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 coding" sheetId="1" r:id="rId4"/>
    <sheet state="visible" name="Validation summary" sheetId="2" r:id="rId5"/>
    <sheet state="visible" name="ES calculations" sheetId="3" r:id="rId6"/>
    <sheet state="visible" name="Data validation" sheetId="4" r:id="rId7"/>
    <sheet state="visible" name="File Links" sheetId="5" r:id="rId8"/>
  </sheets>
  <definedNames>
    <definedName hidden="1" localSheetId="0" name="_xlnm._FilterDatabase">'COS coding'!$A$2:$BC$3398</definedName>
    <definedName hidden="1" localSheetId="0" name="Z_5F8E0F78_F74C_4AE5_B2A7_C5B424DA63C7_.wvu.FilterData">'COS coding'!$B$2:$BD$1416</definedName>
    <definedName hidden="1" localSheetId="0" name="Z_CD2D01E7_BAE3_49E3_911E_C3AFEB46ACCA_.wvu.FilterData">'COS coding'!$B$2:$BH$1416</definedName>
  </definedNames>
  <calcPr/>
  <customWorkbookViews>
    <customWorkbookView activeSheetId="0" maximized="1" windowHeight="0" windowWidth="0" guid="{CD2D01E7-BAE3-49E3-911E-C3AFEB46ACCA}" name="Filter 2"/>
    <customWorkbookView activeSheetId="0" maximized="1" windowHeight="0" windowWidth="0" guid="{5F8E0F78-F74C-4AE5-B2A7-C5B424DA63C7}" name="Missing PDFs"/>
  </customWorkbookViews>
  <pivotCaches>
    <pivotCache cacheId="0" r:id="rId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3">
      <text>
        <t xml:space="preserve">This should be verbatim from the article, but can be pieced together. Information from tables should be reported, e.g. "(in Table 2: r = .xx, p &lt; .0x)"</t>
      </text>
    </comment>
    <comment authorId="0" ref="L2497">
      <text>
        <t xml:space="preserve">@sarahashjones@gmail.com Please note that I was not able to verify the original effect sizes
_Assigned to sarahashjones@gmail.com_
	-Corinna Gemmecke</t>
      </text>
    </comment>
    <comment authorId="0" ref="AD2494">
      <text>
        <t xml:space="preserve">@lukas.roeseler@gmail.com Please recheck whether we should include these rows or not. Soto took "PEM-Communion" as an indicator of agreeableness. However, communal (female stereotype) includes a social closeness scale and a well being scale (described as "Has a happy, cheerful disposition, feels good about self and sees bright future"). Therefore, PEM is confounded by well-being, but one could argue that it is still related to agreeableness. Soto took constraint as an indicator of extraversion. However, I can't see a semantically association between constraint (constituting of traditionalsm, harm avoidance and self-control) and extraversion. Would you agree with me?
_Assigned to lukas.roeseler@gmail.com_
	-Corinna Gemmecke</t>
      </text>
    </comment>
    <comment authorId="0" ref="L2480">
      <text>
        <t xml:space="preserve">@lukasroeseler@gmail.com Would you agree with the approach to take the effect size from Sotos table in such cases?
_Assigned to lukasroeseler@gmail.com_
	-Corinna Gemmecke</t>
      </text>
    </comment>
    <comment authorId="0" ref="L3122">
      <text>
        <t xml:space="preserve">changed n_o to 62
	-Sophie Schüller
changed study_o to 1
	-Sophie Schüller</t>
      </text>
    </comment>
    <comment authorId="0" ref="Q1340">
      <text>
        <t xml:space="preserve">@lukas.roeseler@gmail.com
	-Sophie Schüller</t>
      </text>
    </comment>
    <comment authorId="0" ref="X1278">
      <text>
        <t xml:space="preserve">@lukas.roeseler@gmail.com
	-Sophie Schüller</t>
      </text>
    </comment>
    <comment authorId="0" ref="Q1278">
      <text>
        <t xml:space="preserve">@lukas.roeseler@gmail.com
	-Sophie Schüller</t>
      </text>
    </comment>
    <comment authorId="0" ref="AP657">
      <text>
        <t xml:space="preserve">these are the target article findings from the replication (in my opinion should be coded as es_value_o)
	-Sophie Schüller</t>
      </text>
    </comment>
    <comment authorId="0" ref="AG658">
      <text>
        <t xml:space="preserve">.31 (table 2)
	-Sophie Schüller</t>
      </text>
    </comment>
    <comment authorId="0" ref="AG657">
      <text>
        <t xml:space="preserve">.28 from replication (table 2)
	-Sophie Schüller</t>
      </text>
    </comment>
    <comment authorId="0" ref="Q648">
      <text>
        <t xml:space="preserve">@lukas.roeseler@gmail.com
	-Sophie Schüller</t>
      </text>
    </comment>
    <comment authorId="0" ref="AW613">
      <text>
        <t xml:space="preserve">"We did not
preregister the analyses as we did not have experience with
measurements of force or facial EMG."
	-Sophie Schüller</t>
      </text>
    </comment>
    <comment authorId="0" ref="B3079">
      <text>
        <t xml:space="preserve">@sarahashjones@gmail.com The replication effect was not coded. Since the table seems to be very complicated, I think it would be very helpful if a third person could have a look on it. Otherwise, I would suggest to reallocate the row.
_Assigned to sarahashjones@gmail.com_
	-Corinna Gemmecke</t>
      </text>
    </comment>
    <comment authorId="0" ref="L3017">
      <text>
        <t xml:space="preserve">@lukasroeseler@gmail.com: n the original study, no effect size was reported—only the percentage values. Tafere has provided the effect size here for the original study, which was calculated by the authors of the replication study. I would rather calculate the values myself using the "ES calculations" spreadsheet. If I understood correctly, the values should preferably be calculated independently and not taken from the replication study—correct?
_Assigned to lukasroeseler@gmail.com_
	-Corinna Gemmecke</t>
      </text>
    </comment>
    <comment authorId="0" ref="W599">
      <text>
        <t xml:space="preserve">"direct and conceptual replication"
	-Sophie Schüller</t>
      </text>
    </comment>
    <comment authorId="0" ref="AX593">
      <text>
        <t xml:space="preserve">author from original study is included- should be corrected?
	-Sophie Schüller</t>
      </text>
    </comment>
    <comment authorId="0" ref="AF593">
      <text>
        <t xml:space="preserve">this refers to number of participants (listeners)
	-Sophie Schüller</t>
      </text>
    </comment>
    <comment authorId="0" ref="AF587">
      <text>
        <t xml:space="preserve">this refers to number of observations (speakers x listeners)
	-Sophie Schüller</t>
      </text>
    </comment>
    <comment authorId="0" ref="B562">
      <text>
        <t xml:space="preserve">@lukas.roeseler@gmail.com
	-Sophie Schüller</t>
      </text>
    </comment>
    <comment authorId="0" ref="B539">
      <text>
        <t xml:space="preserve">539- 550 no core analisis (not mentioned in the text) and some missing values (unreported)
	-Sophie Schüller</t>
      </text>
    </comment>
    <comment authorId="0" ref="AP534">
      <text>
        <t xml:space="preserve">ATE Effect
	-Sophie Schüller</t>
      </text>
    </comment>
    <comment authorId="0" ref="AP533">
      <text>
        <t xml:space="preserve">ITT/= 
ATE
effect
	-Sophie Schüller</t>
      </text>
    </comment>
    <comment authorId="0" ref="AG535">
      <text>
        <t xml:space="preserve">0.121 bstd
	-Sophie Schüller</t>
      </text>
    </comment>
    <comment authorId="0" ref="AJ533">
      <text>
        <t xml:space="preserve">"p value adjusted for clustering" but there are other p values available
	-Sophie Schüller
If you have not done so, yet, can you please add "other p values available" to the notes? clustered p-values do not need a comment here, coding nested_o as "yes" is sufficient :-)
	-Lukas Röseler</t>
      </text>
    </comment>
    <comment authorId="0" ref="AG534">
      <text>
        <t xml:space="preserve">in my opinion this would be bunstd , bstd would be 0.106
	-Sophie Schüller</t>
      </text>
    </comment>
    <comment authorId="0" ref="AG533">
      <text>
        <t xml:space="preserve">in my opinion, b= 0.273 (unstd) and stand b = 0.117
	-Sophie Schüller
"Column (1) reports the ITT coefficient (outcome difference between ITT
= 1 and ITT
= 0) in standard deviations and the coefficient’s unadjusted robust standard error in parenthese"
I would code it as "beta", so unstandardized in that it cannot be interpreted like a correlation (although it is standardized so that it can be interpreted as the difference in standard deviations (like a Z score or Cohen's d).
	-Lukas Röseler</t>
      </text>
    </comment>
    <comment authorId="0" ref="AI533">
      <text>
        <t xml:space="preserve">p114 in document that is linked
	-Sophie Schüller</t>
      </text>
    </comment>
    <comment authorId="0" ref="AE533">
      <text>
        <t xml:space="preserve">p 117 in the document that is linked
	-Sophie Schüller</t>
      </text>
    </comment>
    <comment authorId="0" ref="AG2369">
      <text>
        <t xml:space="preserve">should only contain value or something like F(x,y)=value
	-Lukas Röseler</t>
      </text>
    </comment>
    <comment authorId="0" ref="AJ561">
      <text>
        <t xml:space="preserve">@sophiemarieschueller@gmail.com bitte "NA" berichten (hier stand: "NOT REPORTED", dann wird das automatisch von R erkannt und wir sehen, dass der Wert gefehlt hat (vs. vergessen wurde, wenn die Zelle leer ist)
	-Lukas Röseler</t>
      </text>
    </comment>
    <comment authorId="0" ref="AS113">
      <text>
        <t xml:space="preserve">@sophiemarieschueller@gmail.com : Nur kurz zur Info: hier stand "p = 0.00", bitte kodieren als pval_value_r = 0 und pval_type_r = "e (=)"
	-Lukas Röseler</t>
      </text>
    </comment>
    <comment authorId="0" ref="B2681">
      <text>
        <t xml:space="preserve">@sarahashjones@gmail.com Please recheck the entries. I compared them to Diegos entries (above). However, I had to correct lass values of Daniel and therefore chose his rows. I also left a comment for Lukas regarding the exclusion of one entry. I would like to emphazise once more that some original studies use concepts that are remarkably different to the big five and that the effects should be interpreted with caution. I always coded the corrected values of the replication study.
_Assigned to sarahashjones@gmail.com_
	-Corinna Gemmecke</t>
      </text>
    </comment>
    <comment authorId="0" ref="L2693">
      <text>
        <t xml:space="preserve">@lukas.roeseler@gmail.com Please have a look on this study. I would suggest du exclude the effect.
_Assigned to lukas.roeseler@gmail.com_
	-Corinna Gemmecke
Thank you for the great documentation! I agree and added the explanation to the exclusion variable. Please don't enter "NA" into the exclusion variable - or let me know if entering NA is very important for you to keep track of what has been coded. The current data processing code will remove any row where there is "NA" or any other value/character in the "exclusion" variable.
	-Lukas Röseler</t>
      </text>
    </comment>
    <comment authorId="0" ref="B2659">
      <text>
        <t xml:space="preserve">@sarahashjones@gmail.com Please recheck these entries
_Assigned to sarahashjones@gmail.com_
	-Corinna Gemmecke</t>
      </text>
    </comment>
    <comment authorId="0" ref="L2416">
      <text>
        <t xml:space="preserve">@sarahashjone@gmail.com Would you agree with me? Otherwise I am happy  to validate the rest of the row.
_Assigned to sarahashjone@gmail.com_
	-Corinna Gemmecke</t>
      </text>
    </comment>
    <comment authorId="0" ref="L2670">
      <text>
        <t xml:space="preserve">@sarahashjones@gmail.com Please recheck this study. It was a bit confusing.
_Assigned to sarahashjones@gmail.com_
	-Corinna Gemmecke</t>
      </text>
    </comment>
    <comment authorId="0" ref="BD2659">
      <text>
        <t xml:space="preserve">Hi Corinna, Sorry for the oversight - these are the second coders values for the first half of the SOTO dataset. This should now mean you have everything you need (all double coded entries) for the SOTO rows. :) @corinna.gemmecke@tu-dortmund.de
_Assigned to corinna.gemmecke_
	-Sarah “AJ” Ashcroft-Jones</t>
      </text>
    </comment>
    <comment authorId="0" ref="AH1118">
      <text>
        <t xml:space="preserve">@sarahashjones@gmail.com just so that you don't wonder: I reverted this, originally thought it could be calculated as an OR. There are statistical tests in the original that are better to code, but I can't find the replication report ... unless you can see that immediately, we can keep this as is.
_Assigned to sarahashjones@gmail.com_
	-Lukas Wallrich</t>
      </text>
    </comment>
    <comment authorId="0" ref="AN1118">
      <text>
        <t xml:space="preserve">@sarahashjones@gmail.com not a pre-registration - remove?
_Assigned to sarahashjones@gmail.com_
	-Lukas Wallrich</t>
      </text>
    </comment>
    <comment authorId="0" ref="B2542">
      <text>
        <t xml:space="preserve">@sarahashjones@gmail.com please recheck the entries
_Assigned to sarahashjones@gmail.com_
	-Corinna Gemmecke</t>
      </text>
    </comment>
    <comment authorId="0" ref="B2588">
      <text>
        <t xml:space="preserve">@sarahashjones@gmail.com Please recheck the entries
_Assigned to sarahashjones@gmail.com_
	-Corinna Gemmecke</t>
      </text>
    </comment>
    <comment authorId="0" ref="B2578">
      <text>
        <t xml:space="preserve">@sarahashjones@gmail.com please recheck these entries
_Assigned to sarahashjones@gmail.com_
	-Corinna Gemmecke</t>
      </text>
    </comment>
    <comment authorId="0" ref="B1806">
      <text>
        <t xml:space="preserve">@sarahashjones@gmail.com Please recheck these entries
_Assigned to sarahashjones@gmail.com_
	-Corinna Gemmecke</t>
      </text>
    </comment>
    <comment authorId="0" ref="B1493">
      <text>
        <t xml:space="preserve">@lukas.roeseler@uni-muenster.de
	-Sophie Schüller</t>
      </text>
    </comment>
    <comment authorId="0" ref="B1790">
      <text>
        <t xml:space="preserve">@sarahashjones@gmail.com please recheck the entries
_Assigned to sarahashjones@gmail.com_
	-Corinna Gemmecke
The corresponding rows are below
	-Corinna Gemmecke</t>
      </text>
    </comment>
    <comment authorId="0" ref="B1779">
      <text>
        <t xml:space="preserve">@sarahashjones@gmail.com please recheck these entries (the corresponding rows are below)
_Assigned to sarahashjones@gmail.com_
	-Corinna Gemmecke</t>
      </text>
    </comment>
    <comment authorId="0" ref="K1783">
      <text>
        <t xml:space="preserve">@lukas.roeseler@gmail.com should those effects be coded as well?
_Assigned to lukas.roeseler@gmail.com_
	-Corinna Gemmecke</t>
      </text>
    </comment>
    <comment authorId="0" ref="B2595">
      <text>
        <t xml:space="preserve">@sarahashjones@gmail.com Please recheck the entries (the corresponding rows are above)
_Assigned to sarahashjones@gmail.com_
	-Corinna Gemmecke</t>
      </text>
    </comment>
    <comment authorId="0" ref="B2548">
      <text>
        <t xml:space="preserve">@sarahashjones@gmail.com Please recheck these entries (the corresponding rows are above in the table) - I searched for the ID
_Assigned to sarahashjones@gmail.com_
	-Corinna Gemmecke</t>
      </text>
    </comment>
    <comment authorId="0" ref="B468">
      <text>
        <t xml:space="preserve">@sarahashjones@gmail.com Please recheck the entries
_Assigned to sarahashjones@gmail.com_
	-Corinna Gemmecke</t>
      </text>
    </comment>
    <comment authorId="0" ref="AV2116">
      <text>
        <t xml:space="preserve">@lukas.roeseler@uni-muenster.de
	-Sophie Schüller</t>
      </text>
    </comment>
    <comment authorId="0" ref="B265">
      <text>
        <t xml:space="preserve">@sarahashjones@gmail.com the effect of workplace and sociability were not coded (and no interacting effects). Maybe you should consider to send this study out for a third coding.
_Assigned to sarahashjones@gmail.com_
	-Corinna Gemmecke
Please recheck the entries. Since the second coder coded other effects, I would suggest to keep both codings. The disciplines do not align, but both would be a good fit.
	-Corinna Gemmecke</t>
      </text>
    </comment>
    <comment authorId="0" ref="B248">
      <text>
        <t xml:space="preserve">@sarahashjones@gmail.com Please recheck these entries
_Assigned to sarahashjones@gmail.com_
	-Corinna Gemmecke</t>
      </text>
    </comment>
    <comment authorId="0" ref="BD1579">
      <text>
        <t xml:space="preserve">@sophiemarieschueller@gmail.com : The second coder is missing here because it was originally coded by myself. Can you please go to the papers and check if the numbers match the reported ones?
	-Lukas Röseler</t>
      </text>
    </comment>
    <comment authorId="0" ref="B124">
      <text>
        <t xml:space="preserve">@lukas.roeseler@uni-muenster.de or @sarahashjones@gmail.com This study took me a lot of time, and it was indeed messy. Since I don't know how the coders calculated the N, and I changed most of the entries, it would be great if you could take a look at the paper as well. Moreover, I think two rows are missing—specifically, two rows regarding any antipsychotic use. Should I code them myself, should the coders add them, or should we ignore them? I'm happy to code them, but in that case, they wouldn't be coded or validated, of course.
_Assigned to lukas.roeseler_
	-Corinna Gemmecke</t>
      </text>
    </comment>
    <comment authorId="0" ref="B1768">
      <text>
        <t xml:space="preserve">@sarahashjones@gmail.com Please recheck this entry.
_Assigned to sarahashjones@gmail.com_
	-Corinna Gemmecke</t>
      </text>
    </comment>
    <comment authorId="0" ref="B1860">
      <text>
        <t xml:space="preserve">@sarahashjones@gmail.com Please recheck this entry.
_Assigned to sarahashjones@gmail.com_
	-Corinna Gemmecke</t>
      </text>
    </comment>
    <comment authorId="0" ref="B1853">
      <text>
        <t xml:space="preserve">@sarahashjones@gmail.com please recheck these entries. Maureen did not code them, since no specific effect sizes can be inferred from the original study.
_Assigned to sarahashjones@gmail.com_
	-Corinna Gemmecke</t>
      </text>
    </comment>
    <comment authorId="0" ref="B1855">
      <text>
        <t xml:space="preserve">@sarahashjones@gmail.com Please recheck this entry.
_Assigned to sarahashjones@gmail.com_
	-Corinna Gemmecke</t>
      </text>
    </comment>
    <comment authorId="0" ref="B1843">
      <text>
        <t xml:space="preserve">@sarahashjones@gmail.com Please recheck this entry.
_Assigned to sarahashjones@gmail.com_
	-Corinna Gemmecke</t>
      </text>
    </comment>
    <comment authorId="0" ref="B1841">
      <text>
        <t xml:space="preserve">@sarahashjones@gmail.com Please recheck this entry.
_Assigned to sarahashjones@gmail.com_
	-Corinna Gemmecke</t>
      </text>
    </comment>
    <comment authorId="0" ref="B1833">
      <text>
        <t xml:space="preserve">@sarahashjones@gmail.com Please recheck this entry.
_Assigned to sarahashjones@gmail.com_
	-Corinna Gemmecke</t>
      </text>
    </comment>
    <comment authorId="0" ref="B1826">
      <text>
        <t xml:space="preserve">@sarahashjones@gmail.com Please recheck this entry.
_Assigned to sarahashjones@gmail.com_
	-Corinna Gemmecke</t>
      </text>
    </comment>
    <comment authorId="0" ref="B1822">
      <text>
        <t xml:space="preserve">@sarahashjones@gmail.com Please recheck the entries. Maureen reports the effect sizes of the replication from the table, Alexsandr reports them from the text. Both are correct, but Maureen always reports the interpretation of the text claims. Therefore, I tend to choose her rows.
_Assigned to sarahashjones@gmail.com_
	-Corinna Gemmecke</t>
      </text>
    </comment>
    <comment authorId="0" ref="B1814">
      <text>
        <t xml:space="preserve">@sarahashjones@gmail.com Please recheck the entries!
_Assigned to sarahashjones@gmail.com_
	-Corinna Gemmecke</t>
      </text>
    </comment>
    <comment authorId="0" ref="B1752">
      <text>
        <t xml:space="preserve">@sarahashjones@gmail.com Please recheck the entries! Both coders used the effect sizes of the replication report (for the original effects). Should I recalculate the effects from the descriptive statistics of the original report?
_Assigned to sarahashjones@gmail.com_
	-Corinna Gemmecke</t>
      </text>
    </comment>
    <comment authorId="0" ref="B1451">
      <text>
        <t xml:space="preserve">@sarahashjones: I have absolutely no idea what values were coded in this case. I can not find the values of the original study and every entry seems to be wrong. Should I copy Mariems entry or should I delete all values? Or is Diegos coding useless in this case, so that the study needs to recoded?
	-Corinna Gemmecke</t>
      </text>
    </comment>
    <comment authorId="0" ref="B1454">
      <text>
        <t xml:space="preserve">@sarahashjones@gmail.com Please recheck this entry! I am not sure if this study should be coded once more, since Diegos entries are not comparable to this entry.
_Assigned to sarahashjones@gmail.com_
	-Corinna Gemmecke</t>
      </text>
    </comment>
    <comment authorId="0" ref="B1444">
      <text>
        <t xml:space="preserve">@sarahashjones@gmail.com please recheck those entries
_Assigned to sarahashjones@gmail.com_
	-Corinna Gemmecke</t>
      </text>
    </comment>
    <comment authorId="0" ref="AP751">
      <text>
        <t xml:space="preserve">alternatively: b= -11.47
	-Sophie Schüller</t>
      </text>
    </comment>
    <comment authorId="0" ref="B1441">
      <text>
        <t xml:space="preserve">@sarahashjones@gmail.com: Please recheck this row and the two below. I compared them to rows 1403-1405. The rows of Mariem include more correct entries, but I chose these rows, as the ID was correct.
_Assigned to sarahashjones@gmail.com_
	-Corinna Gemmecke</t>
      </text>
    </comment>
    <comment authorId="0" ref="B1422">
      <text>
        <t xml:space="preserve">Everything is correct, but the ID should be 56
	-Corinna Gemmecke</t>
      </text>
    </comment>
    <comment authorId="0" ref="B1421">
      <text>
        <t xml:space="preserve">Everything is correct, but the ID should be 56
	-Corinna Gemmecke</t>
      </text>
    </comment>
    <comment authorId="0" ref="B1420">
      <text>
        <t xml:space="preserve">Everything is correct, but the ID should be 56
	-Corinna Gemmecke</t>
      </text>
    </comment>
    <comment authorId="0" ref="B1419">
      <text>
        <t xml:space="preserve">ID should be 55
	-Corinna Gemmecke</t>
      </text>
    </comment>
    <comment authorId="0" ref="B1418">
      <text>
        <t xml:space="preserve">ID should be 55
	-Corinna Gemmecke</t>
      </text>
    </comment>
    <comment authorId="0" ref="B1417">
      <text>
        <t xml:space="preserve">ID should be 55
	-Corinna Gemmecke</t>
      </text>
    </comment>
    <comment authorId="0" ref="B1440">
      <text>
        <t xml:space="preserve">@sarahsashjones@gmail.com: It is the same problem as above. Mariem coded the study above, but under a wrong ID. Should I change the ID in such cases by myself?
_Assigned to sarahsashjones@gmail.com_
	-Corinna Gemmecke</t>
      </text>
    </comment>
    <comment authorId="0" ref="B1435">
      <text>
        <t xml:space="preserve">@sarahashjones@gmail.com Please recheck this row and both underneath
_Assigned to sarahashjones@gmail.com_
	-Corinna Gemmecke</t>
      </text>
    </comment>
    <comment authorId="0" ref="B1434">
      <text>
        <t xml:space="preserve">@sarahashjones@gmail.com I have no idea, why Mariem excluded this row. It is not a duplicate. Maybe this row should be send out again?
_Assigned to sarahashjones@gmail.com_
	-Corinna Gemmecke
I found that she already coded the rows above. I will treat all the rows above as comparison. However, since the ID is wrong, I will correct Alexsandrs rows. Should I correct the IDs by myself in such cases?
rows 1400-1403 should be 55_1
	-Corinna Gemmecke</t>
      </text>
    </comment>
    <comment authorId="0" ref="B1430">
      <text>
        <t xml:space="preserve">@sarahashjones@gmail.com: Please send this study again out for coding. The replication study is indeed a replication study. They offer additionally a p-curve and I assume this is why Mariem coded it as reproduction. Moreover, the link leads to a Dutch report. This is the link to the report in English: https://watermark.silverchair.com/117-1663-1-pb.pdf?token=AQECAHi208BE49Ooan9kkhW_Ercy7Dm3ZL_9Cf3qfKAc485ysgAAA18wggNbBgkqhkiG9w0BBwagggNMMIIDSAIBADCCA0EGCSqGSIb3DQEHATAeBglghkgBZQMEAS4wEQQMf4vyPp4NKNSay2ObAgEQgIIDEs-8RL5o0b3gRTdB20Xd44h1Fxo5EeSHwUCsGUbkSno5kVc7RWzmb8E3IrGZcSRQL6H2_TT4hpemJs0OdaaVnLiZ_sosKqyJHeAD46df6WEb7LZX33kQGNIAj371CnBvHbDxwh6jj6DEUsPquvIn2S39w3gbNEvGzq75fTSxY_n0YdfuPvPX1CUAoK3VKQ07d27wSxC1MyGz2jTf7yx1bKNaIjSJ22RvdI0hfxPipK7mKQZ-N2l2VF8qfEZngsfGmwmRfo_obS5OsQ2WYf8Dhr8GsMNoi_JnwNORMwra7bF24E275NFxFENGsMUKvkk89W5RXTP_G1dVC07wElMFCoI_Pw9SLYwdigc0yhHv6JTc1ZncliEyZKDF0AJEq7lA8si0Jx8SXYUyuew7rZSgAB0K0MHEnbcN46-TUFQWjlY633o0fcs4zqnG_58QrOLfJ4xgLntEu4Wsr4Acm4Bo33l1FyENLup0dJC4bqbHTXbG88V5OZ8J_XddQ5fQ3gtM_0FjfGqhl4wabvsKcSW_2osfMKvzdw_Uvn-u5KzSjMe_sx0Sb-Dg2njj9r1nJ6zjl6SeLzHxp_FJs4p_t87F81bch3ww21dEQSJ0J7wXw3MhtjYeMqQ1iRrFh0kA9iDYi8I0ady0HRrj1oV239tdFwygts2oFln7hGNb4w8-EzZBDpHxvjr10X7norB8PYZxM_BijHKqled8G0P88HewkLaSDFyJvMrRebNuP7Hefgh56M5RCzSUKUdMBBaTu5psjMcMaXzcZsoQIzSRnK2-fBI1sm0wgCh0QCN2NTcAG7Dk1nokzBt4W639xzZhajktEq_JweAIU96gD0eSNuNGfH4HSxeZ5UxGVs8DMUStWF4xFEwFfxMukR_qQC9R8J_f-nKRhVuAwGW0BlHutIf2T0Uw5cvX-6yp94xkOLYecCjq6Cg09vrsrTn-RSU30u0ypOip5NyebKec1vth-lPFeCNan5mi7XWs2NYRCfcmD4g6fUb9r4CGqhmFp7gO8yGCK9zZGoziJLEnuSyLpWvcmqNrKw I assume that the authors puplished the study in both languages.
_Assigned to sarahashjones@gmail.com_
	-Corinna Gemmecke
If the Dutch study has to be coded, I am happy to do so. I speak Dutch as a third language.
	-Corinna Gemmecke</t>
      </text>
    </comment>
    <comment authorId="0" ref="B1424">
      <text>
        <t xml:space="preserve">@sarahashjones@gmail.com please recheck this entry (I compared it to the second one of Mariem)
_Assigned to sarahashjones@gmail.com_
	-Corinna Gemmecke</t>
      </text>
    </comment>
    <comment authorId="0" ref="B1413">
      <text>
        <t xml:space="preserve">@sarahashjones@gmail.com please recheck this entry (I compared it to the second one of Alexsandr)
_Assigned to sarahashjones@gmail.com_
	-Corinna Gemmecke</t>
      </text>
    </comment>
    <comment authorId="0" ref="B1411">
      <text>
        <t xml:space="preserve">@sarahashjones@gmail.com please recheck this entry (I compared it to the first one of Alexsandr)
_Assigned to sarahashjones@gmail.com_
	-Corinna Gemmecke</t>
      </text>
    </comment>
    <comment authorId="0" ref="B1414">
      <text>
        <t xml:space="preserve">@sarahashjones@gmail.com: All the effects below (in yellow) refer to other experiment. Therefore, they should refer to another ID. What should I do?
Update (14.04.2025): The row refer to those below. Mariem excluded the rows as duplicates. I validated the rows of Alexsanr by comparing his rows to these ones. I chose his rows, as they should have the correct ID. However, Mariems rows have more correct entries.
_Assigned to sarahashjones@gmail.com_
	-Corinna Gemmecke
@lukas.roeseler@uni-muenster.de
_Reassigned to lukas.roeseler_
	-Sarah “AJ” Ashcroft-Jones</t>
      </text>
    </comment>
    <comment authorId="0" ref="B1406">
      <text>
        <t xml:space="preserve">@sarahashjones@gmail.com Unfortunatly, I have no idea how to handle this row: The coder refused to code this row. Consequently, this row was not double coded. Maybe, the coder didn't realize that a different effect was replicated than above (not testosterone). How should I handle such cases? Should I just copy the coding of the second coder?
_Assigned to sarahashjones@gmail.com_
	-Corinna Gemmecke
If any row is not double coded it cannot be validated and I need to send it out again for recoding! Set a new comment up and assign it to me to resend the row out! :)
	-Sarah “AJ” Ashcroft-Jones</t>
      </text>
    </comment>
    <comment authorId="0" ref="B1407">
      <text>
        <t xml:space="preserve">@sarahashjones@gmail.com please recheck this entry
_Assigned to sarahashjones@gmail.com_
	-Corinna Gemmecke
See above - because this doesn't have a second coder (yet) it cannot be validated - I have changed the label back to awaiting validation!
	-Sarah “AJ” Ashcroft-Jones</t>
      </text>
    </comment>
    <comment authorId="0" ref="B1404">
      <text>
        <t xml:space="preserve">@sarahashjones@gmail.com please recheck this entry and the entry below. Both rows refer to different effects and two effects are not coded at all (feeling of power &amp; cortisol level). Should I add those effects by myself or is there any specific procedure? I think this is potentially problematic as nobody would control these rows in a later stage?
_Assigned to sarahashjones@gmail.com_
	-Corinna Gemmecke</t>
      </text>
    </comment>
    <comment authorId="0" ref="B1398">
      <text>
        <t xml:space="preserve">@sarahashjones@gmail.com please recheck.
_Assigned to sarahashjones@gmail.com_
	-Corinna Gemmecke</t>
      </text>
    </comment>
    <comment authorId="0" ref="B1396">
      <text>
        <t xml:space="preserve">@sarahashjones@gmail.com please recheck this entry. I think that the IDs need to be changed, since the rows refer to different studies. Moreover, I am unsure whether I should use the test statistics of the paper or the effect size calculculated using the excel sheet.
_Assigned to sarahashjones@gmail.com_
	-Corinna Gemmecke</t>
      </text>
    </comment>
    <comment authorId="0" ref="L1394">
      <text>
        <t xml:space="preserve">@lukas.roeseler@gmail.com or @sarahashjones@gmail.com Should I enter odds ratio or should I stay with the test statistics in such cases?
_Assigned to lukas.roeseler@gmail.com_
	-Corinna Gemmecke</t>
      </text>
    </comment>
    <comment authorId="0" ref="B1395">
      <text>
        <t xml:space="preserve">@sarahashjones@gmail.com please recheck this entry
_Assigned to sarahashjones@gmail.com_
	-Corinna Gemmecke</t>
      </text>
    </comment>
    <comment authorId="0" ref="B1393">
      <text>
        <t xml:space="preserve">@sarahashjones@gmail.com please recheck this entry
_Assigned to sarahashjones@gmail.com_
	-Corinna Gemmecke</t>
      </text>
    </comment>
    <comment authorId="0" ref="B1385">
      <text>
        <t xml:space="preserve">@lukas.roeseler@gmail.com or @sarahashjones@gmail.com Unfortunatly, I can not access the replication study of Siev (2012). The link does not work and since it is an unpublished study, I didn't found it via Google Scholar either. However, the table does not include sufficient information to validate the study. Moreover, the results of the coders differ and a meta-analysis that I found provides even more different information. I tried to validate it, but there is too much uncertainty to conscientious validate it. Can you access the study?
_Assigned to lukas.roeseler@gmail.com_
	-Corinna Gemmecke
The link leads to the waybackwhen machine (for me) - but you are right you cannot access the actual pdf there anymore. @lukas.roeseler@uni-muenster.de any access on your part?
_Reassigned to lukas.roeseler_
	-Sarah “AJ” Ashcroft-Jones</t>
      </text>
    </comment>
    <comment authorId="0" ref="B1476">
      <text>
        <t xml:space="preserve">Cannot find replication results anywhere
	-Lukas Röseler</t>
      </text>
    </comment>
    <comment authorId="0" ref="B1447">
      <text>
        <t xml:space="preserve">This just doesn't make sense. I cannot find any of the numbers reported by Diego across multiple entries. Where do the SDs come from? In this row, there is hardly a number or quote that is also in the manuscript. @sarahashjones@gmail.com are Diego and RB still coding for us?
	-Lukas Röseler</t>
      </text>
    </comment>
    <comment authorId="0" ref="B2257">
      <text>
        <t xml:space="preserve">@lukas.roeseler@uni-muenster.de - cannot validate with single entry
	-Sarah “AJ” Ashcroft-Jones</t>
      </text>
    </comment>
    <comment authorId="0" ref="B2256">
      <text>
        <t xml:space="preserve">@lukas.roeseler@uni-muenster.de cannot validate with single entry
	-Sarah “AJ” Ashcroft-Jones</t>
      </text>
    </comment>
    <comment authorId="0" ref="B2252">
      <text>
        <t xml:space="preserve">@lukas.roeseler@uni-muenster.de  - need another coder on this, cannot validate a single entry.
	-Sarah “AJ” Ashcroft-Jones</t>
      </text>
    </comment>
    <comment authorId="0" ref="B2259">
      <text>
        <t xml:space="preserve">This should have one row for each of the 5 effects right - this is currently just an overall "all effects are significant" lump sum approach.
	-Sarah “AJ” Ashcroft-Jones</t>
      </text>
    </comment>
    <comment authorId="0" ref="AD1075">
      <text>
        <t xml:space="preserve">How is there no claim for this validated row? @lukas.roeseler@uni-muenster.de
_Assigned to lukas.roeseler@uni-muenster.de_
	-Sarah “AJ” Ashcroft-Jones</t>
      </text>
    </comment>
    <comment authorId="0" ref="AG1066">
      <text>
        <t xml:space="preserve">These cells look strange, t test reported, d ES selected, and no page number @lukas.roeseler@uni-muenster.de
_Assigned to lukas.roeseler@uni-muenster.de_
	-Sarah “AJ” Ashcroft-Jones</t>
      </text>
    </comment>
    <comment authorId="0" ref="F395">
      <text>
        <t xml:space="preserve">@lukas.roeseler@uni-muenster.de this row has lots of NA values - doesn't appear this effect was replicated? SHould it be included?
	-Sarah “AJ” Ashcroft-Jones</t>
      </text>
    </comment>
    <comment authorId="0" ref="AR710">
      <text>
        <t xml:space="preserve">Are we happy to include Boyce studies without reports, just relying on their csv? Or ask Boyce for the reports?
	-Lukas Wallrich</t>
      </text>
    </comment>
    <comment authorId="0" ref="AD682">
      <text>
        <t xml:space="preserve">NB: Example where F-conversion is inflated vs calculated Cohen's d. (r = .74 vs .61)
	-Lukas Wallrich</t>
      </text>
    </comment>
    <comment authorId="0" ref="AM688">
      <text>
        <t xml:space="preserve">Do we agree that nested is no when participant averages are analysed? In that case, there is dependency in the raw data, but not in the data entered into the test - should be clarified in instructions.
	-Lukas Wallrich</t>
      </text>
    </comment>
    <comment authorId="0" ref="Y1013">
      <text>
        <t xml:space="preserve">The report only shows chart, but data &amp; code are available to show the remainder. How far do we go in this? It should enter FReD - but marked as not codable?
	-Lukas Wallrich</t>
      </text>
    </comment>
    <comment authorId="0" ref="B1663">
      <text>
        <t xml:space="preserve">These are secondary effects - to be revisited once we decide whether to code them in large-scale projects. Will reset them to awaiting validation for clarity
	-Lukas Wallrich</t>
      </text>
    </comment>
    <comment authorId="0" ref="AS1226">
      <text>
        <t xml:space="preserve">@roeseler.lukas@gmail.com - this is an extreme example, where the p-value calculated from their converted r is significant (p = .028). For the annotator at least we need to find a way to avoid flipping replication results ... not sure where to best note it for this entry, but might be a good test case to keep in mind.
	-Lukas Wallrich</t>
      </text>
    </comment>
    <comment authorId="0" ref="BC682">
      <text>
        <t xml:space="preserve">Thinking of having this sent back so that they can code the missing and also provide the repr_r variables because they would have needed them for validation and at the same time they are the most important for me.
	-Lukas Röseler</t>
      </text>
    </comment>
    <comment authorId="0" ref="AI1200">
      <text>
        <t xml:space="preserve">@roeseler.lukas@gmail.com can you pls decide whether this conversion is acceptable? It's a small step further than what we usually do (as only SE, not SD is reported). I'm quite confident that it is correct, but we can also leave it with 1.85 as the unstandardised mean diff for consistency.
	-Lukas Wallrich</t>
      </text>
    </comment>
    <comment authorId="0" ref="AC926">
      <text>
        <t xml:space="preserve">@sarahashjones@gmail.com can you please check why there are no descriptions? Is this a copy-paste issue?
	-Lukas Röseler
I've checked the original sheet and no, this is not a copy-paste error. It was hard to notice it when scrolling through because the tags run across almost all cells but there is little to no data in the description column. Everything I have is present here as well. We may have to make a call on this, returning it to coders is not viable for a Friday deadline I think. -anxiously makes more notes for next weeks meeting about coder improvements-
	-Sarah “AJ” Ashcroft-Jones</t>
      </text>
    </comment>
    <comment authorId="0" ref="B551">
      <text>
        <t xml:space="preserve">likely "FReD but not COS"
	-Lukas Röseler</t>
      </text>
    </comment>
    <comment authorId="0" ref="B84">
      <text>
        <t xml:space="preserve">like "FReD but not COS"
	-Lukas Röseler</t>
      </text>
    </comment>
    <comment authorId="0" ref="B146">
      <text>
        <t xml:space="preserve">shouldn't be empty
	-Lukas Röseler</t>
      </text>
    </comment>
    <comment authorId="0" ref="L362">
      <text>
        <t xml:space="preserve">@sarahashjones@gmail.com
_Assigned to sarahashjones@gmail.com_
	-Sarah “AJ” Ashcroft-Jones
@lukas.roeseler@uni-muenster.de  Having reviewed, I'm not certain what you mean between the 2011 and 2010 paper. I think the original paper was published in Dec 2010 and so the citation sits as 2011 but online is listed as 2010 (reflecting the two stage publication dates of online versus "in print"). Please clarify - as I think I am missing the point here!
_Reassigned to lukas.roeseler@uni-muenster.de_
	-Sarah “AJ” Ashcroft-Jones</t>
      </text>
    </comment>
    <comment authorId="0" ref="Q1523">
      <text>
        <t xml:space="preserve">@lukas.wallrich@gmail.com the link leads to the wrong file. Can you check this please?
_Assigned to lukas.wallrich@gmail.com_
	-Lukas Röseler</t>
      </text>
    </comment>
    <comment authorId="0" ref="B1346">
      <text>
        <t xml:space="preserve">@sarahashjones@gmail.com : Can you please explain: I cannot find the entries curatescience283 in their individual sheets, where do they come from? 
- Ray: https://docs.google.com/spreadsheets/d/1t7O_4Y4NOYsOc0OjHpinNaatCiFKUdvgiYMWVJ6O9aA/edit?gid=1230360337#gid=1230360337
- Diego: https://docs.google.com/spreadsheets/d/1Y36BxwuLJfF9P-vR8hWR6KK3nzrQbYA5zym1_HigeoM/edit?gid=1230360337#gid=1230360337
	-Lukas Röseler
Also, how come they are labelled in id (col F) as _1 and _2 when they were coded independently and refer to the same "sub-finding"?
	-Lukas Röseler</t>
      </text>
    </comment>
    <comment authorId="0" ref="B447">
      <text>
        <t xml:space="preserve">On hold: paper under revision revision due to bug in code
	-Lukas Röseler</t>
      </text>
    </comment>
    <comment authorId="0" ref="B514">
      <text>
        <t xml:space="preserve">no data provided by Ray, are you on this @sarahashjones@gmail.com ?
	-Lukas Röseler
I will email for all rows - it was a paper aviability issue looking at the emails. I will provide all papers and ge them back form him. I have Radoslaw and Diego doing the same at the moment.
One total reaction
Lukas Röseler reacted with 👍 at 2025-01-28 01:33 am
	-Sarah “AJ” Ashcroft-Jones</t>
      </text>
    </comment>
    <comment authorId="0" ref="B421">
      <text>
        <t xml:space="preserve">No access to replication paper
	-Lukas Röseler</t>
      </text>
    </comment>
    <comment authorId="0" ref="B159">
      <text>
        <t xml:space="preserve">waiting for Radoslaw's data, you are on this, right? @sarahashjones@gmail.com
	-Lukas Röseler
Yes - he is working on it!
One total reaction
Lukas Röseler reacted with 👍 at 2025-01-27 07:13 am
	-Sarah “AJ” Ashcroft-Jones
added!
	-Sarah “AJ” Ashcroft-Jones</t>
      </text>
    </comment>
    <comment authorId="0" ref="B153">
      <text>
        <t xml:space="preserve">Radoslaw didn't code anything
	-Lukas Röseler
He is coding them now!
One total reaction
Lukas Röseler reacted with 👍 at 2025-01-27 07:13 am
	-Sarah “AJ” Ashcroft-Jones
added!
	-Sarah “AJ” Ashcroft-Jones</t>
      </text>
    </comment>
  </commentList>
</comments>
</file>

<file path=xl/sharedStrings.xml><?xml version="1.0" encoding="utf-8"?>
<sst xmlns="http://schemas.openxmlformats.org/spreadsheetml/2006/main" count="106285" uniqueCount="19894">
  <si>
    <t>id</t>
  </si>
  <si>
    <t>contributors</t>
  </si>
  <si>
    <t>date_entered</t>
  </si>
  <si>
    <t>date_updated</t>
  </si>
  <si>
    <t>notes_coder</t>
  </si>
  <si>
    <t>notes_validation</t>
  </si>
  <si>
    <t>ref_original</t>
  </si>
  <si>
    <t>doi_original</t>
  </si>
  <si>
    <t>study_original</t>
  </si>
  <si>
    <t>ref_replication</t>
  </si>
  <si>
    <t>doi_replication</t>
  </si>
  <si>
    <t>osf_link</t>
  </si>
  <si>
    <t>study_replication</t>
  </si>
  <si>
    <t>exclusion</t>
  </si>
  <si>
    <t>discipline</t>
  </si>
  <si>
    <t>effect</t>
  </si>
  <si>
    <t>tags</t>
  </si>
  <si>
    <t>description</t>
  </si>
  <si>
    <t>claim_text_orig</t>
  </si>
  <si>
    <t>claim_text_orig_page</t>
  </si>
  <si>
    <t>n_original</t>
  </si>
  <si>
    <t>es_orig_value</t>
  </si>
  <si>
    <t>es_orig_estype</t>
  </si>
  <si>
    <t>pval_value_o</t>
  </si>
  <si>
    <t>pval_type_o</t>
  </si>
  <si>
    <t>pval_tails_o</t>
  </si>
  <si>
    <t>n_replication</t>
  </si>
  <si>
    <t>es_rep_value</t>
  </si>
  <si>
    <t>es_rep_estype</t>
  </si>
  <si>
    <t>pval_value_r</t>
  </si>
  <si>
    <t>pval_type_r</t>
  </si>
  <si>
    <t>pval_tails_r</t>
  </si>
  <si>
    <t>rowid</t>
  </si>
  <si>
    <t>status</t>
  </si>
  <si>
    <t>approach</t>
  </si>
  <si>
    <t>coder_1</t>
  </si>
  <si>
    <t>coder_2</t>
  </si>
  <si>
    <t>entry</t>
  </si>
  <si>
    <t>ref_o</t>
  </si>
  <si>
    <t>doi_o</t>
  </si>
  <si>
    <t>study_o</t>
  </si>
  <si>
    <t>file_o</t>
  </si>
  <si>
    <t>link_o</t>
  </si>
  <si>
    <t>ref_r</t>
  </si>
  <si>
    <t>doi_r</t>
  </si>
  <si>
    <t>url_r</t>
  </si>
  <si>
    <t>study_r</t>
  </si>
  <si>
    <t>file_r</t>
  </si>
  <si>
    <t>label_r</t>
  </si>
  <si>
    <t>link_r</t>
  </si>
  <si>
    <t>claim_text_o</t>
  </si>
  <si>
    <t>claim_page_o</t>
  </si>
  <si>
    <t>n_o</t>
  </si>
  <si>
    <t>es_value_o</t>
  </si>
  <si>
    <t>es_type_o</t>
  </si>
  <si>
    <t>es_repr_o</t>
  </si>
  <si>
    <t>nested_o</t>
  </si>
  <si>
    <t>prereg_o</t>
  </si>
  <si>
    <t>n_r</t>
  </si>
  <si>
    <t>es_value_r</t>
  </si>
  <si>
    <t>es_type_r</t>
  </si>
  <si>
    <t>es_repr_r</t>
  </si>
  <si>
    <t>nested_r</t>
  </si>
  <si>
    <t>prereg_r</t>
  </si>
  <si>
    <t>closeness_r</t>
  </si>
  <si>
    <t>outcome</t>
  </si>
  <si>
    <t>outcome_quote</t>
  </si>
  <si>
    <t>out_quote_source</t>
  </si>
  <si>
    <t>fred_id</t>
  </si>
  <si>
    <t>feedback_for_coder</t>
  </si>
  <si>
    <t>validator</t>
  </si>
  <si>
    <t>ENSURE THIS STAYS UNCHANGED AND ALIGNED!</t>
  </si>
  <si>
    <t>- assigned: the entry has been assigned to a coder
- help needed: there is an unresolved conflict
- validated - chosen: the entry has been validated and marked as the one to remain in the final dataset
- validated - discarded: the entry has been used for validation and is now inferior or redundant to the chosen entry for the same finding
- validated - FReD but not COS: applies to replication studies that do not contain statistical test (e.g., replications in the qualitative humanities)</t>
  </si>
  <si>
    <t>for data matching. DO NOT EDIT - keep blank for new rows</t>
  </si>
  <si>
    <t>Sample id. DO NOT CHANGE. If you add samples, copy and add _b, _c etc</t>
  </si>
  <si>
    <t>*Add* your name when you edit the row</t>
  </si>
  <si>
    <t>(dd/mm/yyyy)</t>
  </si>
  <si>
    <t>general data entry notes, e.g., re access issues or study selection</t>
  </si>
  <si>
    <t>only used by core team</t>
  </si>
  <si>
    <t>Copy APA style from Google Scholar (or similar), without DOI</t>
  </si>
  <si>
    <t>without URL prefix, so starting with 10.xx</t>
  </si>
  <si>
    <t>Number of study in paper, e.g., 1 or 2A</t>
  </si>
  <si>
    <t>file-name for O PDF - only edit if DOI is missing</t>
  </si>
  <si>
    <t>Link to R results - only when DOI missing or for aggregate report</t>
  </si>
  <si>
    <t>file-name for R PDF - only edit if DOI is missing</t>
  </si>
  <si>
    <t>How does R identify as replication in title or abstract? Usually "replication" but report different wording if used</t>
  </si>
  <si>
    <t>Reason for study exclusion (usually only if R is not a replication)</t>
  </si>
  <si>
    <t>Which broad field does the finding come from - e.g., Social Psychology or Labor Economics</t>
  </si>
  <si>
    <t>x</t>
  </si>
  <si>
    <t>tags to increase findability - e.g. keywords from abstract</t>
  </si>
  <si>
    <t>Description of the effect under investigation (e.g., x is associated with y, x leads to y), possibly a part of the original publication's title (abstract claim)</t>
  </si>
  <si>
    <t>The authors’ key statistical result and its interpretation</t>
  </si>
  <si>
    <t>Page number(s) for claim_text_o</t>
  </si>
  <si>
    <t>O's sample size [used for the critical test, i.e., after exclusion criteria have been applied], must contain only one value and must not contain text</t>
  </si>
  <si>
    <t>original effect size value, must contain only one value and must not contain text</t>
  </si>
  <si>
    <t>original effect size type (e.g., d, r, r², etasq)</t>
  </si>
  <si>
    <t>Reproducible origin/calculation method for es_value_o ("p. xx" when reported, link when available online - e.g., OSF, otherwise calculation process)</t>
  </si>
  <si>
    <t>The reported p-value associated with the original finding, must contain only one value and must not contain text</t>
  </si>
  <si>
    <t>How is p-val reported?
"=" (e) / "&lt;" (l) / "&gt;" (g) or combined (le, ge)?
for example "p &lt;= .05" should be coded as "le"</t>
  </si>
  <si>
    <t>How many tails associated with the p-value, taking on values of one, two, or unknown
one: 1
two: 2
unknown / not specified: NA
missing: not coded</t>
  </si>
  <si>
    <t>Is pval based on a test that accounts for dependence between observations (e.g., multilevel, repeated measures)</t>
  </si>
  <si>
    <t>Link to preregistration of O (only search for "regist")</t>
  </si>
  <si>
    <t>R's sample size [used for the critical test, i.e., after exclusion criteria have been applied], must contain only one value and must not contain text</t>
  </si>
  <si>
    <t>replication effect size value, must contain only one value and must not contain text</t>
  </si>
  <si>
    <t>replication effect size type</t>
  </si>
  <si>
    <t>Reproducible origin/calculation method for es_value_r ("p. xx" when reported, otherwise calculation process)</t>
  </si>
  <si>
    <t>The reported p-value associated with the replication finding, must contain only one value and must not contain text</t>
  </si>
  <si>
    <t>How many tails associated with the p-value, taking on values of one, two, or unknown
one: 1
two: 2
unknown: NA
missing: not coded</t>
  </si>
  <si>
    <t>Link to preregistration of R (only search for "regist")</t>
  </si>
  <si>
    <t>NA: unknown
1: internal: all central features are highly similar AND conducted by at least one of the original researchers
2: close/direct: central features are highly similar AND none of the original authors is involved
3: conceptual/constructive/extension: central features are different, theoretically relevant aspects are the same; authorship overlap is irrelevant</t>
  </si>
  <si>
    <t>One of successful
failed
mixed
uninformative
statistically successful but flawed</t>
  </si>
  <si>
    <t>outcome statement by replication authors</t>
  </si>
  <si>
    <t>source of the quote</t>
  </si>
  <si>
    <t>name of the person who validated the entry</t>
  </si>
  <si>
    <t>validated - discarded</t>
  </si>
  <si>
    <t>double</t>
  </si>
  <si>
    <t>2zgf9_1</t>
  </si>
  <si>
    <t>2zgf9</t>
  </si>
  <si>
    <t>Kateri McRae, Daniel Lumian, Mallory C. Kidwell, Johanna Cohoon, Lilian Hummer</t>
  </si>
  <si>
    <t>1.1.2023</t>
  </si>
  <si>
    <t>coding tasks 2zgf9_1, bth36_1, and 7vgkq_1 are similar; the partial-eta squared reported in the replication paper of 0.226 is different from the value in OSF registries of 0.313, hence requires validation; Psychological science has not been listed as one of the disciplines, hence categorizing them as political science</t>
  </si>
  <si>
    <t>Cunningham, W. A., Van Bavel, J. J., &amp; Johnsen, I. R. (2008). Affective flexibility: evaluative processing goals shape amygdala activity. Psychological Science, 19(2), 152-160.</t>
  </si>
  <si>
    <t>10.1111/j.1467-9280.2008.02061.x</t>
  </si>
  <si>
    <t>10.1111--j.1467-9280.2008.02061.x.pdf</t>
  </si>
  <si>
    <t>McRae, K., &amp; Lumian, D. S. (2023, September 28). Replication of WA Cunningham, JJ Van Bavel, IR Johnsen  (2008, PS 19 (2)). https://doi.org/10.17605/OSF.IO/2ZGF9</t>
  </si>
  <si>
    <t>10.17605/OSF.IO/2ZGF9</t>
  </si>
  <si>
    <t>10.17605--osf.io--2zgf9.pdf</t>
  </si>
  <si>
    <t>replication attempt</t>
  </si>
  <si>
    <t>Political Science</t>
  </si>
  <si>
    <t>affective flexibility, amygdala, valence, stimulus</t>
  </si>
  <si>
    <t>interaction between scanning condition (positive or negative) and stimulus valence</t>
  </si>
  <si>
    <t>"results were consistent with the idea of affective flexibility. There was a significant interaction between scanning condition (positive or negative) and stimulus valence (postscan ratings of positivity or negativity), F(1, 11) = 9.67, p &lt; .01, prep = .95"</t>
  </si>
  <si>
    <t>p. 7</t>
  </si>
  <si>
    <t>F(1, 11) = 9.67</t>
  </si>
  <si>
    <t>test statistic</t>
  </si>
  <si>
    <t>l (&lt;)</t>
  </si>
  <si>
    <t>2 (two)</t>
  </si>
  <si>
    <t>no</t>
  </si>
  <si>
    <t>NA</t>
  </si>
  <si>
    <t>etasq</t>
  </si>
  <si>
    <t>p. 6</t>
  </si>
  <si>
    <t>yes</t>
  </si>
  <si>
    <t>https://doi.org/10.17605/OSF.IO/2ZGF9</t>
  </si>
  <si>
    <t>2 - close</t>
  </si>
  <si>
    <t>LR</t>
  </si>
  <si>
    <t>Maureen</t>
  </si>
  <si>
    <t>Kateri McRae, Daniel Lumian, Mallory C. Kidwell, Johanna Cohoon, Lilian Hummer, Jyoti Bhogal</t>
  </si>
  <si>
    <t>no replication report available but only a post completion registration</t>
  </si>
  <si>
    <t>Cognitive Psychology</t>
  </si>
  <si>
    <t>affective flexibility, amygdala, positive names, negative names</t>
  </si>
  <si>
    <t>unavailable</t>
  </si>
  <si>
    <t>3 - conceptual</t>
  </si>
  <si>
    <t>validated - chosen</t>
  </si>
  <si>
    <t>Nikita</t>
  </si>
  <si>
    <t>39xuw_1</t>
  </si>
  <si>
    <t>39xuw</t>
  </si>
  <si>
    <t>1. Values for the REPLICATION statistical inferences were taken from Files uploaded to OSF by a link: https://osf.io/39xuw/files/osfstorage. I merged them in the corresponding PDF</t>
  </si>
  <si>
    <t xml:space="preserve">corrected N from 150 to 137 </t>
  </si>
  <si>
    <t>Schaffer, J., &amp; Knobe, J. (2012). Contrastive knowledge surveyed. Noûs, 46(4), 675-708.</t>
  </si>
  <si>
    <t>10.1111/j.1468-0068.2010.00795.x</t>
  </si>
  <si>
    <t>10.1111--j.1468-0068.2010.00795.x.pdf</t>
  </si>
  <si>
    <t>Wilkenfeld, D. A., &amp; Hernández-Conde, J. V. (2017, September 12). Schaffer and Knobe Replication. https://doi.org/10.17605/OSF.IO/39XUW</t>
  </si>
  <si>
    <t>osf.io/wru8c</t>
  </si>
  <si>
    <t>osf.io--wru8c.pdf</t>
  </si>
  <si>
    <t>Replication</t>
  </si>
  <si>
    <t>Experimental Philosophy</t>
  </si>
  <si>
    <t>Contrast sensitivity of knowledge ascription (contrastivism)</t>
  </si>
  <si>
    <t>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</si>
  <si>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 </t>
  </si>
  <si>
    <t>"Participants in the thief contrast condition tended to agree with the knowledge ascription they received (mean rating: 4.6), while participants in the jewel contrast condition tended to disagree with the knowledge ascription they received (mean rating: 3.1)."</t>
  </si>
  <si>
    <t>t(98) = 3.4</t>
  </si>
  <si>
    <t>p.31</t>
  </si>
  <si>
    <t>e (=)</t>
  </si>
  <si>
    <t>d</t>
  </si>
  <si>
    <r>
      <rPr/>
      <t xml:space="preserve">p.2 of </t>
    </r>
    <r>
      <rPr>
        <color rgb="FF1155CC"/>
        <u/>
      </rPr>
      <t>https://osf.io/k2cna</t>
    </r>
  </si>
  <si>
    <t>https://osf.io/39xuw</t>
  </si>
  <si>
    <t>Husnain</t>
  </si>
  <si>
    <t xml:space="preserve">1. The tags are not given explicitly so I have inferred from the introduction of orignal paper. 2. The effect size is not reprted in the orignal study while replication has reported it's own and the effect size of replication study the infered effect size is cohen's d 0.687. 3. The replication paper has reported cohen's d  for the replicated study without the p value, however, it presented p valur for test stastic without the value of t. </t>
  </si>
  <si>
    <t>contrastive knowledge</t>
  </si>
  <si>
    <t>contrastive model, invariantist models, contextualist models, knowlege acriptions, conversational context</t>
  </si>
  <si>
    <t>Thief contrast codition tend to agree more compared to jewel contrast condition with knowledge ascription</t>
  </si>
  <si>
    <t>"N = 100 people spending time in the Canberra Centre Mall in Canberra, Australia, t (98) = 3.4, p = .001."</t>
  </si>
  <si>
    <t>p. 16</t>
  </si>
  <si>
    <t>3.4</t>
  </si>
  <si>
    <t>p. 16, 31</t>
  </si>
  <si>
    <t>0.001</t>
  </si>
  <si>
    <t>NA (not reported)</t>
  </si>
  <si>
    <t>0.584</t>
  </si>
  <si>
    <t>p. 1,2</t>
  </si>
  <si>
    <t>7vgkq_1</t>
  </si>
  <si>
    <t>7vgkq</t>
  </si>
  <si>
    <t>Kateri McRae, Mallory C. Kidwell, Johanna Cohoon, Daniel Lumian, Lilian Hummer, TESS-Experiments</t>
  </si>
  <si>
    <t>McRae, K., Lumian, D. S., &amp;  T. (2023, September 28). Materials. https://doi.org/10.17605/OSF.IO/7VGKQ</t>
  </si>
  <si>
    <t>osf.io/x4v53</t>
  </si>
  <si>
    <t>https://doi.org/10.17605/OSF.IO/7VGKQ</t>
  </si>
  <si>
    <t>Jyoti</t>
  </si>
  <si>
    <t>Kateri McRae, Mallory C. Kidwell, Johanna Cohoon, Daniel Lumian, Lilian Hummer, TESS-Experiments, Jyoti Bhogal</t>
  </si>
  <si>
    <t>10.17605/OSF.IO/7VGKQ</t>
  </si>
  <si>
    <t>10.17605--osf.io--7vgkq.pdf</t>
  </si>
  <si>
    <t>Nikolay</t>
  </si>
  <si>
    <t>acykd_1</t>
  </si>
  <si>
    <t>acykd</t>
  </si>
  <si>
    <t>Nikolay Petrov</t>
  </si>
  <si>
    <t>original sample size is 42, but 1 was excluded afterwards (p. 137)</t>
  </si>
  <si>
    <r>
      <rPr>
        <rFont val="Arial"/>
      </rPr>
      <t xml:space="preserve">- Please type "NA" if you could not find "regis" in the manuscript.
- Good catch with the N = 41!
- This is the preregistration: </t>
    </r>
    <r>
      <rPr>
        <rFont val="Arial"/>
        <color rgb="FF1155CC"/>
        <u/>
      </rPr>
      <t>https://osf.io/8urxv</t>
    </r>
    <r>
      <rPr>
        <rFont val="Arial"/>
      </rPr>
      <t xml:space="preserve"> It is linked at the top of the entry</t>
    </r>
  </si>
  <si>
    <t>Mussweiler, T., &amp; Englich, B. (2005). Subliminal anchoring: Judgmental consequences and underlying mechanisms. Organizational Behavior and Human Decision Processes, 98(2), 133-143.</t>
  </si>
  <si>
    <t>10.1016/j.obhdp.2004.12.002</t>
  </si>
  <si>
    <t>Röseler, L., Schütz, A., Burlakovas, E., Dück, M., Fels, S., Janiczek, S., … Seida, C. (2022, September 15). Replication Mussweiler &amp; Englich, 2005, Study 2. https://doi.org/10.17605/OSF.IO/ACYKD</t>
  </si>
  <si>
    <t>10.1016/j.jesp.2020.104066</t>
  </si>
  <si>
    <t>replication</t>
  </si>
  <si>
    <t>Judgment and Decision Making</t>
  </si>
  <si>
    <t>subliminal anchoring</t>
  </si>
  <si>
    <t>anchoring, subliminal priming, judgment bias, decision-making</t>
  </si>
  <si>
    <t>estimates for numeric judgments are assimilated toward anchor values, even when these anchors are presented subliminally and outside of conscious awareness</t>
  </si>
  <si>
    <t>Participants who were presented with the high anchor value estimated the car price to be higher (M = 21,219 Euro) than those presented with the low anchor value (M = 17,150 Euro), t(39) = 2.02, p &lt; .05, r = .31.</t>
  </si>
  <si>
    <t>r</t>
  </si>
  <si>
    <t>p. 137</t>
  </si>
  <si>
    <t>p. 3</t>
  </si>
  <si>
    <t>1 (one)</t>
  </si>
  <si>
    <t>https://pdf.sciencedirectassets.com/272387/1-s2.0-S0022103120X00060/1-s2.0-S0022103120304066/main.pdf?X-Amz-Security-Token=IQoJb3JpZ2luX2VjEBgaCXVzLWVhc3QtMSJGMEQCICnHJqcNsP62IhJ5t%2BlQbccPwseA76qFfK6Rgkom8dtRAiB1LS%2BiM%2B0b%2BvwiyOom715iyNnHeXVQbXmSm95pdglacyq8BQjR%2F%2F%2F%2F%2F%2F%2F%2F%2F%2F8BEAUaDDA1OTAwMzU0Njg2NSIMmoze3y0Q1yERk%2B0lKpAF0gYTSXrqATr%2FlouJQrzfzrF%2B%2BHvghuPve%2FIY6N1xxaQBobJn18bDe0NKhRM4T2mvBEFjCOaVSqmUoM3%2F%2BmGL%2BTAQq6mB%2F5aQpDiqXVVnBGSq5%2F03UsrB78W9ZYcX3HuqmMRCwLpHPAIgIHd9zQtRRFGwk6RR%2ByNdrZ7EqjeWgcIKuyAr9%2Bj0JJ74pqGzqA1bFSaiBMqqZjviAxsq%2FjIO4yKprM2jCQw%2B%2FbZMITGLBdecPGFvQADAleUhJZgsYDQbMSkktZJ6E%2FJW5MtMzDJ3LrlhsdSqiHd28N4%2FJtYL8gNCs%2F9wK3a1s%2BQvM838pcLinkI8unVh1Gcvfxjbq6fYI6x4hCc7UZUEXs%2BEd%2Bo1x9GFvp3tcM%2BwJYlAa%2BEE%2FZcco8Dj58jnqzyOal0dDMeeWOjHL3y8xqwOE69icvonadJhHFVwONEoA1aox7vcITDF0spX53bm8Off4OeJ4bHC6QFHjIgBmUnwwVhqwcTI1CofN%2BPxww0zY3oNg4NrIO%2B5IVffRucPE9pztEeVHOdsmVPWyRlEFrjQ3aVJiYpL6TVfW3VfFLrAFifjveRxLAGB28CYsVXmTUz0Qxq6JRu7SlmaRNP2YnG7ipXXbiuZbwrorkm%2BxDc3uzBAI3Z82HTq1%2FmzxXw3SDN8%2FgQpgwWMXmWr%2F%2BckEKS7a7j2988ql%2B%2Fy%2BqfrHVJ5rVoDXKUgDUP6rR3X1ejf1UZwyc8ja5HXFbPfOefIT%2FsnbjIx3Ff255FID0Z6RGepP7orcagCAcWl7CBXLkbWM%2BaP6Oi1ITpYGOPrwvSeRMyKPH2NmAiiWZE5l0m%2FTJGJ0tND%2FrcK%2BOlvjkyuEOx33q4BZeSRwvKBTPBeeTtjgd9K%2BGRMok%2Fe5xEw28zvugY6sgH0sfyibldLqTratcbSkw7B9kA7YzvSU7Iyhc8zjvj18adk0B6r39A2zAda5VndB8QXUitJ8361WDPVPzGMTek%2Fl5bziH%2FtLRb2uo30VQ5T74JJWTp8l6Rs7L5pQAvE%2FQTclPBuc%2BZrz7CkEfVLz%2FJt0xicBVpzawZjnQzXuFBfBBbMr%2FWdBHYYpRqC6jMqh3zJIYsu9ZeQkzwiXFbF14t%2BITCuLmhK4klb9H3%2BQ4iKcUaK&amp;X-Amz-Algorithm=AWS4-HMAC-SHA256&amp;X-Amz-Date=20241213T084150Z&amp;X-Amz-SignedHeaders=host&amp;X-Amz-Expires=300&amp;X-Amz-Credential=ASIAQ3PHCVTYUWRHKPES%2F20241213%2Fus-east-1%2Fs3%2Faws4_request&amp;X-Amz-Signature=33924dc8199c3da89949ad504da4000be209df455000e1a7e4fee4140f60b1b1&amp;hash=6979ab83d6e022fd52840830bb00b033291cf8235f9e721ac49f027cf55e995c&amp;host=68042c943591013ac2b2430a89b270f6af2c76d8dfd086a07176afe7c76c2c61&amp;pii=S0022103120304066&amp;tid=spdf-0273d28f-03b4-4283-8694-d21fc2577d91&amp;sid=18412b78662c794bb67b6200a74126f2bac9gxrqb&amp;type=client&amp;tsoh=d3d3LnNjaWVuY2VkaXJlY3QuY29t&amp;ua=010859005455035b5a&amp;rr=8f14a84b18840c73&amp;cc=bg#link_ir0025</t>
  </si>
  <si>
    <r>
      <rPr>
        <rFont val="Arial"/>
      </rPr>
      <t xml:space="preserve">- Please type "NA" if you could not find "regis" in the manuscript.
- Good catch with the N = 41!
- This is the preregistration: </t>
    </r>
    <r>
      <rPr>
        <rFont val="Arial"/>
        <color rgb="FF1155CC"/>
        <u/>
      </rPr>
      <t>https://osf.io/8urxv</t>
    </r>
    <r>
      <rPr>
        <rFont val="Arial"/>
      </rPr>
      <t xml:space="preserve"> It is linked at the top of the entry</t>
    </r>
  </si>
  <si>
    <t>Hakile</t>
  </si>
  <si>
    <t>Hakile Resulbegoviq</t>
  </si>
  <si>
    <t>informative failure to replicate</t>
  </si>
  <si>
    <t>updated reference_r to report instead of the OSF page</t>
  </si>
  <si>
    <r>
      <rPr>
        <rFont val="Calibri"/>
        <sz val="11.0"/>
      </rPr>
      <t xml:space="preserve">Röseler, L., Schütz, A., Blank, P. A., Dück, M., Fels, S., Kupfer, J., ... &amp; Seida, C. (2021). Evidence against subliminal anchoring: Two close, highly powered, preregistered, and failed replication attempts. Journal of Experimental Social Psychology, 92, 104066. </t>
    </r>
    <r>
      <rPr>
        <rFont val="Calibri"/>
        <color rgb="FF1155CC"/>
        <sz val="11.0"/>
        <u/>
      </rPr>
      <t>https://doi.org/10.1016/j.jesp.2020.104066</t>
    </r>
  </si>
  <si>
    <t>Social Psychology</t>
  </si>
  <si>
    <t>Subliminal anchoring</t>
  </si>
  <si>
    <t>Anchoring; Heuristics; Comparison; Selective accessibility; Assimilation</t>
  </si>
  <si>
    <t>Subliminally presented numerical anchors influence judgment, causing estimates to shift toward the anchor values without participants being consciously aware of the anchors.</t>
  </si>
  <si>
    <t>https://osf.io/8urxv</t>
  </si>
  <si>
    <t>Feedback for Hakile:
- The degreees of freedom for the t test are 39, indicating that N = 41
- the number of tails was actually not reported (it does not say anywhere whether it is one-tailed or two-tailed but was coded as 2)
- I could not find the d = 0.71 on p. 137 or anywhere in the manuscript.
- Please type "NA" if you could not find "regis" in the manuscript.
- Please rather use text for the claim that includes statistical elements, such as the effect on p. 137 under "results and discussion"
- This is the preregistration: https://osf.io/8urxv It is linked at the top of the entry. You linked the "post completion" registration.</t>
  </si>
  <si>
    <t>Sarah</t>
  </si>
  <si>
    <t>additional_studies1_1</t>
  </si>
  <si>
    <t>additional_studies1_a</t>
  </si>
  <si>
    <t>SAJ</t>
  </si>
  <si>
    <t>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 https://doi.org/10.1007/s11858-016-0819-3</t>
  </si>
  <si>
    <t>10.1007/s11858-016-0819-3</t>
  </si>
  <si>
    <r>
      <rPr>
        <rFont val="Calibri"/>
        <color rgb="FF000000"/>
        <sz val="11.0"/>
      </rPr>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 </t>
    </r>
    <r>
      <rPr>
        <rFont val="Calibri"/>
        <color rgb="FF1155CC"/>
        <sz val="11.0"/>
        <u/>
      </rPr>
      <t>https://doi.org/10.1163/26670127-bja10017</t>
    </r>
  </si>
  <si>
    <t>10.1163/26670127-bja10017</t>
  </si>
  <si>
    <t>Title - "A replication and elaboration study"
Abstract - "... the process of conceptual replication of Rellensmann and Schukajlow’s (2017) research..."</t>
  </si>
  <si>
    <t>Education</t>
  </si>
  <si>
    <t>interest in mathematics</t>
  </si>
  <si>
    <t>mathematics, interest, students, pre-service teachers, diagnostic competence, real-world problems, performance, problem-solving</t>
  </si>
  <si>
    <t>Influence of the Type of Mathematical Problems on Students’ Interest</t>
  </si>
  <si>
    <t>A t-test for dependent samples indicated that the difference in students’ interest in the two problem types was statistically significant [t(99) = −2.96, p &lt; 0.01].</t>
  </si>
  <si>
    <t>X2(2) = 9.99</t>
  </si>
  <si>
    <t>preprint p. 22
Kendells W = X2/N(K-1), X2 = 9.99, N = 80, K = 3
W = 9.99/ (80*(3-1)), W = 9.99/ (160), W ~ 0.06</t>
  </si>
  <si>
    <t>Alexsandr</t>
  </si>
  <si>
    <t>Aleksandr Pravednikov</t>
  </si>
  <si>
    <t>Claim text_r We observe that, in terms of means, there are no great differences in interest according to the type of problem. For students intramathematical problems were the most interesting (Mi = 2.77, SDi = 1.25), followed by word problems (Mw = 2.75, SDw = 1.18), and finally by modelling problems (Mm = 2.66, SDm = 1.26). - Table 1.  To analyse whether the differences are significant, a hypothesis test was performed. Given that the means of interest did not follow, according to the results of the Shapiro-Wilk test, a normal distribution in any of the three types of problems, we applied Friedman’s non-parametric test. Thus, we obtained that there were differences between at least two types of problems (𝜒𝜒2(2)=9.99, p &lt; 0.01). A post hoc analysis, using the Nemenyi test, ensured that there were significant differences in task-specific interest between word and modelling problems (p &lt; 0.05), but not between the other combinations. [...] Page 21-22</t>
  </si>
  <si>
    <t>García-Cerdá, C., Segura, C., &amp; Ferrando, I. (2024). Influence of the Type of Mathematical Problems on Students’ and Pre-service Teachers’ Interest and Performance. A Replication and Elaboration Study. Implementation and Replication Studies in Mathematics Education, 1(aop), 1-35. https://doi.org/10.1163/26670127-bja10017</t>
  </si>
  <si>
    <t>Educational Sciences</t>
  </si>
  <si>
    <t>Students</t>
  </si>
  <si>
    <t>Influence of the Type of Mathematical Problems on Students’ and Pre-service Teachers’ Interest and Performance</t>
  </si>
  <si>
    <t>Students reported a mean level of interest of Madj = 2.71 (SDadj = 0.90) in solving problems with a connection to reality and Madj = 2.91 (SDadj = 1.00) in solving problems without a connection to reality when the impact of task difficulty was controlled for (Table 2). Means and standard errors for students’ interest are graphically displayed in Fig. 4.  A t-test for dependent samples indicated that the difference in students’ interest in the two problem types was statistically significant [t(99) = −2.96, p &lt; 0.01]. Cohen’s d = 0.30 indicated a small effect. This means that, contrary to our expectations, students reported more interest in solving problems without a connection to reality thann in problems with a connection to reality.</t>
  </si>
  <si>
    <t>7(373)</t>
  </si>
  <si>
    <t>p &lt; 0.05</t>
  </si>
  <si>
    <t>additional_studies1_b</t>
  </si>
  <si>
    <t>this effect was not explored in the original paper</t>
  </si>
  <si>
    <t>Influence of the Type of Mathematical Problems on Pre-service Teachers’ Interest</t>
  </si>
  <si>
    <t>A t-test for dependent samples showed a significant difference in pre-service teachers’ judgments of students’ interest in solving the two types of problems [t(162) = 14.33, p &lt; 0.01]. Cohen’s d = 1.12</t>
  </si>
  <si>
    <t>X2(2) = 16.54</t>
  </si>
  <si>
    <t>Kendells W = X2/N(K-1), X2 = 16.54, N = 80, K = 3
W = 16.54/ (80*(3-1)), W = 16.54/ (160), W ~ 0.1</t>
  </si>
  <si>
    <t>Claim text_r Table 2 shows the average situational interest of 80 pre-service teachers according to the connection to the reality of the problems. We observe that, for pre-service teachers, word problems were the most interesting (Mw = 3.28, SDw = 1.22), followed by modelling problems (Mm = 3.11, SDm = 1.25) and, finally, intramathematical problems (Mi = 2.92, SDi = 1.24). Again, we conducted a hypothesis test to analyse whether there were significant differences in interest according to the connection with the reality of the problems. The means of interest did not follow a normal distribution either, so we obtained that there are significant differences between at least two types of problems (𝜒𝜒2(2)=16.54, p &lt; 0.01) by applying Friedman’s test. Nemenyi’s test ensured that there were significant differences in task-specific interest between word and modelling problems (p &lt; 0.05), and between intramathematical and word problems (p &lt; 0.01). There were no significant differences between intramathematical and modelling problems (p = 0.46), indicating that word problems were significantly more interesting for pre-service teachers.  [...] Page 22-23</t>
  </si>
  <si>
    <t>Pre-service teachers</t>
  </si>
  <si>
    <t>Pre-service teachers predicted a mean of Madj = 3.18 (SDadj = 0.48) for students’ interest in problems with a connection to reality and Madj = 2.47 (SDadj = 0.60) for their interest in problems without a connection to reality (Table 2). Means and standard errors for pre-service teachers’ judgments are also graphically displayed in Fig. 4. A t-test for dependent samples showed a significant difference in pre-service teachers’ judgments of students’ interest in solving the two types of problems [t(162) = 14.33, p &lt; 0.01]. Cohen’s d = 1.12 indicated a large effect. As hypothesized, this means that pre-service teachers believed that solving problems with a connection to reality triggered more interest in students than solving problems without a connection to reality.</t>
  </si>
  <si>
    <t>p &lt; 0.01</t>
  </si>
  <si>
    <t>additional_studies1_c</t>
  </si>
  <si>
    <t>discarded because this is an extension that cannot be paired up with an original finding</t>
  </si>
  <si>
    <t>Influence of the Type of Mathematical Problems on Student Performance</t>
  </si>
  <si>
    <t>kendall's w</t>
  </si>
  <si>
    <t>Kendells W = X2/N(K-1), X2 = 43.61, N = 80, K = 3
W = 43.61/ (80*(3-1)), W = 43.61/ (160), W ~ 0.27</t>
  </si>
  <si>
    <t>extension</t>
  </si>
  <si>
    <t>additional_studies1_d</t>
  </si>
  <si>
    <t>Influence of the Type of Mathematical Problems on Pre-service Teacher Performance</t>
  </si>
  <si>
    <t>Kendells W = X2/N(K-1), X2 = 108.75, N = 80, K = 3
W = 108.75/ (80*(3-1)), W = 108.75/ (160), W ~ 0.68</t>
  </si>
  <si>
    <t>additional_studies1_e</t>
  </si>
  <si>
    <t>Influence of the Type of Mathematical Problems on Student Interest*Performance relationship</t>
  </si>
  <si>
    <t>intramathematical problem r = 0.25, word problem r = 0.29, modelling problem r = 0.31</t>
  </si>
  <si>
    <t>intramathematical problem p &lt; 0.05, word problem p &lt; 0.01, modelling problem p &lt; 0.01</t>
  </si>
  <si>
    <t>additional_studies1_f</t>
  </si>
  <si>
    <t>Influence of the Type of Mathematical Problems on Pre-service Teacher Interest*Performance relationship</t>
  </si>
  <si>
    <t>intramathematical problem r = 0.48, word problem r = 0.28, modelling problem r = 0.35</t>
  </si>
  <si>
    <t>intramathematical problem p &lt; 0.01, word problem p &lt; 0.01, modelling problem p &lt; 0.01</t>
  </si>
  <si>
    <t>assigned</t>
  </si>
  <si>
    <t>Daniel</t>
  </si>
  <si>
    <t>additional_studies10</t>
  </si>
  <si>
    <t>additional_studies10_d</t>
  </si>
  <si>
    <t>Daniel Manrique-Castano</t>
  </si>
  <si>
    <t>The coding of this study was extremely challenging for me and I could not complete it. I feel that the replication study is extremely unclear in describing what effects they are trying to replicate. Although the replication article provides the information for the original research article (DM&amp;D column) in Tables 3 and 4 (p. 11), it is extremely difficult for me to track this information in the original research article. The replication does not specify which of the multiple comparisons they are referring to. In the lines I have filled in, I have been able to infer that the information refers only to the Spanish test. I spent several hours trying to decipher the information, but I am really frustrated because I would need much more time to read the article and the supplementary information to try to understand the issue. For this reason, I do not feel confident to complete the task. Sample size: The replication article reports a sample size of 19. This corresponds exclusively to the group of L2 Spanish speakers. However, my understanding is that the group of native Spanish speakers (n = 6) is also included in the comparisons. Again, it is extremely unclear which comparison the replication is trying to replicate. Therefore, I report 25 as the sample size in the lines I filled in. These entries, and the replication in general, need careful revision.</t>
  </si>
  <si>
    <t>10.1111/lang.12161</t>
  </si>
  <si>
    <t>Huensch, A. (2024). Clarifying the role of inhibitory control in L2 phonological processing: A preregistered, close replication of Darcy et al.(2016). Studies in Second Language Acquisition, 1-21. https://doi.org/10.1017/S0272263124000238</t>
  </si>
  <si>
    <t>10.1017/S0272263124000238</t>
  </si>
  <si>
    <t>A preregistered, close replication of Darcy et al. (2016)</t>
  </si>
  <si>
    <t>Linguistics</t>
  </si>
  <si>
    <t>Production accuracy - /e/ format</t>
  </si>
  <si>
    <t>language processing, inhibitory control, second language, phonological processing</t>
  </si>
  <si>
    <t>The study measured the production accuracy of  /e/ format using a delayed sentence repetition task.</t>
  </si>
  <si>
    <t>1.26 / 0.38</t>
  </si>
  <si>
    <t>https://osf.io/w4gj2</t>
  </si>
  <si>
    <t>additional_studies10_e</t>
  </si>
  <si>
    <t>Production accuracy - /ei̯/ ~ /e/</t>
  </si>
  <si>
    <t>The study measured the production accuracy of  /ei/ ~ /e/ format using a delayed sentence repetition task.</t>
  </si>
  <si>
    <t>Instead, they produced both vowels as a monophthongal /e/, with very little formant movement (1.18 for diphthongs vs. 0.92 for monophthongs, SD = 0.36), t(18) = 1.92, p = .071, r = .17, but distinguished them through duration.</t>
  </si>
  <si>
    <t>p. 17</t>
  </si>
  <si>
    <t>t(18) = 1.92</t>
  </si>
  <si>
    <t>p. 11</t>
  </si>
  <si>
    <t>additional_studies10_f</t>
  </si>
  <si>
    <t>Production accuracy - /ei̯/ z score</t>
  </si>
  <si>
    <t>The study measured the production accuracy of  /ei/ ~ z score format using a delayed sentence repetition task.</t>
  </si>
  <si>
    <t>2.27 / 0.85</t>
  </si>
  <si>
    <t>additional_studies10_g</t>
  </si>
  <si>
    <t>Production accuracy - Consonant accuracy</t>
  </si>
  <si>
    <t>The study measured the production accuracy for consonants using a delayed sentence repetition task.</t>
  </si>
  <si>
    <t>4.50 / 2.31</t>
  </si>
  <si>
    <t>additional_studies10_1</t>
  </si>
  <si>
    <t>additional_studies10_a</t>
  </si>
  <si>
    <t>Claim text_r. Table 8, p. 14 Retrieval–induced inhibition: 1.02 (0.23), [...] Results of the current replication for the partial correlation analyses did not indicate statistically significant relationships, and effect sizes were small with 95% CIs crossing through zero. p. 16</t>
  </si>
  <si>
    <t>Darcy, I., Mora, J. C., &amp; Daidone, D. (2016). The role of inhibitory control in second language phonological processing. Language Learning, 66, 741–773. https://doi.org/10.1111/lang.12161</t>
  </si>
  <si>
    <t>close replication</t>
  </si>
  <si>
    <t>Second Language Phonological Processing</t>
  </si>
  <si>
    <t>Role of inhibitory control in L2 phonological processing (Retrieval–induced inhibition)</t>
  </si>
  <si>
    <t>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</si>
  <si>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close</t>
  </si>
  <si>
    <t>additional_studies10_b</t>
  </si>
  <si>
    <t>Claim text_r. Table 8, p. 14 ABX error (vowels) 19.2 (13.2) [...] Results of the current replication for the partial correlation analyses did not indicate statistically significant relationships, and effect sizes were small with 95% CIs crossing through zero. p. 16</t>
  </si>
  <si>
    <t>coded as nested due to hierarchical regression; a fourth effect is reported for the replication but NA for the original study; p_val_tails_r coded as one because it says in the note "as reported in DM&amp;D", where p-values are one-tailed. Note that in the table two-tailed CIs are reported</t>
  </si>
  <si>
    <t>Role of inhibitory control in L2 phonological processing (ABX error (vowels))</t>
  </si>
  <si>
    <t>partial r</t>
  </si>
  <si>
    <t>p. 23</t>
  </si>
  <si>
    <t>p. 15, Table 10</t>
  </si>
  <si>
    <t>additional_studies10_c</t>
  </si>
  <si>
    <t>Claim text_r. Table 8, p. 14  Vowel production z score: –2.27 (0.85)[...] Results of the current replication for the partial correlation analyses did not indicate statistically significant relationships, and effect sizes were small with 95% CIs crossing through zero. p. 16</t>
  </si>
  <si>
    <t>Role of inhibitory control in L2 phonological processing (Vowel production z score)</t>
  </si>
  <si>
    <t>g (&gt;)</t>
  </si>
  <si>
    <t>Claim text_r. Table 8, p. 14 Consonant production (max. 8): 4.50 (2.31) [...] Results of the current replication for the partial correlation analyses did not indicate statistically significant relationships, and effect sizes were small with 95% CIs crossing through zero. p. 16</t>
  </si>
  <si>
    <t>Role of inhibitory control in L2 phonological processing (Consonant production (max. 8))</t>
  </si>
  <si>
    <t>10.1111--lang.12161.pdf</t>
  </si>
  <si>
    <t>The study measured the perceptual processing of Spanish vowels using the speeded ABX categorization
task.</t>
  </si>
  <si>
    <t>The test subconditions consE and vowelE did not differ from each other (Merr = 4.6%, CI = 1.0–8.2; and Merr = 3.6%, CI = 0–7.2, respectively), but they triggered significantly fewer errors than the nonnative consS and vowelS subconditions (Merr = 24.0%, CI = 20.4–27.6; and Merr = 19.1%, CI = 15.5–22.7, respectively).	p. 13, 14	25	0.955	d	19.1 / 20	0.1	l (&lt;)	NA (not reported)	yes		58	1.45	d	19.2 / 13.2				yes	https://osf.io/w4gj2	2 - close
	additional_studies10_b	Daniel Manrique-Castano		26/01/2025	The coding of this study was extremely challenging for me and I could not complete it. I feel that the replication study is extremely unclear in describing what effects they are trying to replicate. Although the replication article provides the information for the original research article (DM&amp;D column) in Tables 3 and 4 (p. 11), it is extremely difficult for me to track this information in the original research article. The replication does not specify which of the multiple comparisons they are referring to. In the lines I have filled in, I have been able to infer that the information refers only to the Spanish test. I spent several hours trying to decipher the information, but I am really frustrated because I would need much more time to read the article and the supplementary information to try to understand the issue. For this reason, I do not feel confident to complete the task. Sample size: The replication article reports a sample size of 19. This corresponds exclusively to the group of L2 Spanish speakers. However, my understanding is that the group of native Spanish speakers (n = 6) is also included in the comparisons. Again, it is extremely unclear which comparison the replication is trying to replicate. Therefore, I report 25 as the sample size in the lines I filled in. These entries, and the replication in general, need careful revision. 			10.1111/lang.12161										A preregistered, close replication of Darcy et al. (2016)"</t>
  </si>
  <si>
    <t>Perceptual processing - Spanish Consonant</t>
  </si>
  <si>
    <t>The study measured the perceptual processing of Spanish consonants using the speeded ABX categorization task.</t>
  </si>
  <si>
    <t>Production accuracy - /ei/ format</t>
  </si>
  <si>
    <t>The study measured the production accuracy of  /ei/ format using a delayed sentence repetition task.</t>
  </si>
  <si>
    <t>The two groups differed in the amount of formant movement during vowel production. The L2 Spanish learners were found to produce the Spanish diphthong /ei/ with much less formant movement (M = 1.18, SD = 0.55) than native controls (M = 3.19, SD = 0.71), as shown in Figure 2, Mann-Whitney U = 113.0, z = 3.56, p &lt; .001, r = .71..</t>
  </si>
  <si>
    <t>Fabienne</t>
  </si>
  <si>
    <t>additional_studies11_1</t>
  </si>
  <si>
    <t>additional_studies11</t>
  </si>
  <si>
    <t>Julia Fabienne Sandkühler</t>
  </si>
  <si>
    <t>replication N refers to number of couples</t>
  </si>
  <si>
    <t>Saxey, M. T., LeBaron-Black, A. B., &amp; Curran, M. A. (2022). The Sooner, the Better? Couples' First Financial Discussion, Relationship Quality, and Financial Conflict in Emerging Adulthood. Journal of Financial Therapy, 13 (1) 2. https://doi.org/10.4148/1944-9771.1299</t>
  </si>
  <si>
    <t>10.4148/1944-9771.1299</t>
  </si>
  <si>
    <t>10.4148--1944-9771.1299.pdf</t>
  </si>
  <si>
    <t>Saxey, M. T., LeBaron‐Black, A. B., Inman, N. F., Yorgason, J. B., &amp; Holmes, E. K. (2024). The earlier couples first discussed finances, the better? A dyadic, longitudinal replication and extension. Family Relations. https://doi.org/10.1111/fare.13030</t>
  </si>
  <si>
    <t>10.1111/fare.13030</t>
  </si>
  <si>
    <t>dyadic, longitudinal replication and extension</t>
  </si>
  <si>
    <t>emerging adulthood; financial communication; financial conflict; financial discussion, relationship quality</t>
  </si>
  <si>
    <t>Indirect effect present for relationship quality (replication: cross-sectional, wives' answers, effect on themselves)</t>
  </si>
  <si>
    <t>Indirect effect present for relationship quality: “initiating financial discussion earlier in a romantic relationship may benefit relationship quality—through financial communication” (most emphasised claim in original)</t>
  </si>
  <si>
    <t>beta</t>
  </si>
  <si>
    <t>beta (std)</t>
  </si>
  <si>
    <t>p. 2538</t>
  </si>
  <si>
    <t>additional_studies11_b</t>
  </si>
  <si>
    <t>Indirect effect present for relationship quality (replication: cross-sectional, wives' answers, effect on partner)</t>
  </si>
  <si>
    <t>additional_studies11_c</t>
  </si>
  <si>
    <t>Indirect effect present for relationship quality (replication: cross-sectional, husbands' answers, effect on themselves)</t>
  </si>
  <si>
    <t>additional_studies11_d</t>
  </si>
  <si>
    <t>Indirect effect present for relationship quality (replication: cross-sectional, husbands' answers, effect on partner)</t>
  </si>
  <si>
    <t>additional_studies11_e</t>
  </si>
  <si>
    <t>Indirect effect present for relationship quality (replication: longitudinal, wives' answers, effect on themselves)</t>
  </si>
  <si>
    <t>additional_studies11_f</t>
  </si>
  <si>
    <t>Indirect effect present for relationship quality (replication: longitudinal, wives' answers, effect on partner)</t>
  </si>
  <si>
    <t>additional_studies11_g</t>
  </si>
  <si>
    <t>Indirect effect present for relationship quality (replication: longitudinal, husbands' answers, effect on themselves)</t>
  </si>
  <si>
    <t>additional_studies11_h</t>
  </si>
  <si>
    <t>Indirect effect present for relationship quality (replication: longitudinal, husbands' answers, effect on partner)</t>
  </si>
  <si>
    <t>additional_studies11_i</t>
  </si>
  <si>
    <t>No direct effect present for relationship quality (replication: cross-sectional, wives' answers, effect on themselves)</t>
  </si>
  <si>
    <t>No direct effect present for relationship quality: “Nonetheless, couples’ first financial discussion was not directly associated with their relationship quality.” (however not emphasised in original)</t>
  </si>
  <si>
    <t>p. 2536</t>
  </si>
  <si>
    <t>additional_studies11_j</t>
  </si>
  <si>
    <t>No direct effect present for relationship quality (replication: cross-sectional, wives' answers, effect on partner)</t>
  </si>
  <si>
    <t>additional_studies11_k</t>
  </si>
  <si>
    <t>No direct effect present for relationship quality (replication: cross-sectional, husbands' answers, effect on themselves)</t>
  </si>
  <si>
    <t>additional_studies11_l</t>
  </si>
  <si>
    <t>No direct effect present for relationship quality (replication: cross-sectional, husbands' answers, effect on partner)</t>
  </si>
  <si>
    <t>additional_studies11_m</t>
  </si>
  <si>
    <t>No direct effect present for relationship quality (replication: longitudinal, wives' answers, effect on themselves)</t>
  </si>
  <si>
    <t>additional_studies11_n</t>
  </si>
  <si>
    <t>No direct effect present for relationship quality (replication: longitudinal, wives' answers, effect on partner)</t>
  </si>
  <si>
    <t>additional_studies11_o</t>
  </si>
  <si>
    <t>No direct effect present for relationship quality (replication: longitudinal, husbands' answers, effect on themselves)</t>
  </si>
  <si>
    <t>additional_studies11_p</t>
  </si>
  <si>
    <t>No direct effect present for relationship quality (replication: longitudinal, husbands' answers, effect on partner)</t>
  </si>
  <si>
    <t>additional_studies11_q</t>
  </si>
  <si>
    <t>Indirect effect present for financial conflict (replication: cross-sectional, wives' answers, effect on themselves)</t>
  </si>
  <si>
    <t>Indirect effect present for financial conflict: "The pathway from the first financial discussion to financial conflict through financial communication was significant (β = -.06; p &lt; .001)" (however not emphasised in original)</t>
  </si>
  <si>
    <t>p. 2537</t>
  </si>
  <si>
    <t>additional_studies11_r</t>
  </si>
  <si>
    <t>Indirect effect present for financial conflict (replication: cross-sectional, wives' answers, effect on partner)</t>
  </si>
  <si>
    <t>additional_studies11_s</t>
  </si>
  <si>
    <t>Indirect effect present for financial conflict (replication: cross-sectional, husbands' answers, effect on themselves)</t>
  </si>
  <si>
    <t>additional_studies11_t</t>
  </si>
  <si>
    <t>Indirect effect present for financial conflict (replication: cross-sectional, husbands' answers, effect on partner)</t>
  </si>
  <si>
    <t>additional_studies11_u</t>
  </si>
  <si>
    <t>Indirect effect present for financial conflict (replication: longitudinal, wives' answers, effect on themselves)</t>
  </si>
  <si>
    <t>additional_studies11_v</t>
  </si>
  <si>
    <t>Indirect effect present for financial conflict (replication: longitudinal, wives' answers, effect on partner)</t>
  </si>
  <si>
    <t>additional_studies11_w</t>
  </si>
  <si>
    <t>Indirect effect present for financial conflict (replication: longitudinal husbands' answers, effect on themselves)</t>
  </si>
  <si>
    <t>additional_studies11_x</t>
  </si>
  <si>
    <t>Indirect effect present for financial conflict (replication: longitudinal husbands' answers, effect on partner)</t>
  </si>
  <si>
    <t>additional_studies11_y</t>
  </si>
  <si>
    <t>Direct effect present for financial conflict (replication: cross-sectional, wives' answers, effect on themselves)</t>
  </si>
  <si>
    <t>Direct effect present for financial conflict: “However, having an earlier first financial discussion as a couple was also positively associated with financial conflict.” (p. 1, emphasised in original) (also p. 11: "The pathway from the first financial discussion to financial conflict through financial communication was significant (β = -.06; p &lt; .001), but the direct effect was also significant (p &lt; .05).")</t>
  </si>
  <si>
    <t>additional_studies11_z</t>
  </si>
  <si>
    <t>Direct effect present for financial conflict (replication: cross-sectional, wives' answers, effect on partner)</t>
  </si>
  <si>
    <t>additional_studies11_za</t>
  </si>
  <si>
    <t>Direct effect present for financial conflict (replication: cross-sectional, husbands' answers, effect on themselves)</t>
  </si>
  <si>
    <t>additional_studies11_zb</t>
  </si>
  <si>
    <t>Direct effect present for financial conflict (replication: cross-sectional, husbands' answers, effect on partner)</t>
  </si>
  <si>
    <t>additional_studies11_zc</t>
  </si>
  <si>
    <t>Direct effect present for financial conflict (replication: longitudinal, wives' answers, effect on themselves)</t>
  </si>
  <si>
    <t>p. 2539</t>
  </si>
  <si>
    <t>additional_studies11_zd</t>
  </si>
  <si>
    <t>Direct effect present for financial conflict (replication: longitudinal, wives' answers, effect on partner)</t>
  </si>
  <si>
    <t>additional_studies11_ze</t>
  </si>
  <si>
    <t>Direct effect present for financial conflict (replication: longitudinal, husbands' answers, effect on themselves)</t>
  </si>
  <si>
    <t>additional_studies11_zf</t>
  </si>
  <si>
    <t>Direct effect present for financial conflict (replication: longitudinal, husbands' answers, effect on partner)</t>
  </si>
  <si>
    <t>additional_studies11_a</t>
  </si>
  <si>
    <t>many different effect sizes and models, I chose the first ones; also, R has dyads and also includes effects from one partner to the other</t>
  </si>
  <si>
    <t>First Financial Discussion Effect</t>
  </si>
  <si>
    <t>Effect of Financial Communication on Relationship Satisfaction</t>
  </si>
  <si>
    <t>couples’ first financial discussion was directly associated with their financial communication (β = .23; p &lt; .001)</t>
  </si>
  <si>
    <t>p. 13</t>
  </si>
  <si>
    <t>pp. 10-11 wives</t>
  </si>
  <si>
    <t>1 - internal</t>
  </si>
  <si>
    <t>pp. 10-11 husbands</t>
  </si>
  <si>
    <t>Effect of Financial Communication on Reducing Financial Disagreements</t>
  </si>
  <si>
    <t>couples’ first financial discussion was directly associated with their ... financial conflict (β = .07; p &lt; .05).</t>
  </si>
  <si>
    <t>Antony</t>
  </si>
  <si>
    <t>additional_studies12_1</t>
  </si>
  <si>
    <t>additional_studies12</t>
  </si>
  <si>
    <t>Antony Casula</t>
  </si>
  <si>
    <t xml:space="preserve">Sample sizes extracted from df. </t>
  </si>
  <si>
    <t>- missed the study number
- make sure to review and correct text that is copied (special characters were missing)</t>
  </si>
  <si>
    <t>Stellar, J. E., Gordon, A., Anderson, C. L., Piff, P. K., McNeil, G. D., &amp; Keltner, D. (2018). Awe and humility. Journal of Personality and Social Psychology, 114(2), 258–269. https://doi.org/10.1037/pspi0000109</t>
  </si>
  <si>
    <t>10.1037/pspi0000109</t>
  </si>
  <si>
    <t>10.1037--pspi0000109.pdf</t>
  </si>
  <si>
    <t>Bertrand, A., Kimmel, J., Duhamel, S., Puel, H., Schifano, A., &amp; Wood, É. (2024). A Replication Study to Evaluate the Effects of Awe on Humility. McGill Science Undergraduate Research Journal, 19(1), 39-45. https://doi.org/10.26443/msurj.v19i1.231</t>
  </si>
  <si>
    <r>
      <rPr>
        <rFont val="Calibri"/>
        <color rgb="FF1155CC"/>
        <sz val="11.0"/>
        <u/>
      </rPr>
      <t>10.26443/msurj.v19i1.231</t>
    </r>
  </si>
  <si>
    <t>awe, humilty, vastness, world views</t>
  </si>
  <si>
    <t>"Inducing awe led participants to present a more balanced view of their strengths and
weaknesses to others (Study 3)."</t>
  </si>
  <si>
    <t>"awe and neutral conditions had a different balance between disclosing their strengths and weaknesses, t(84) = 2.38, p = .02."</t>
  </si>
  <si>
    <t>t(84) = 2.38</t>
  </si>
  <si>
    <t>p. 263</t>
  </si>
  <si>
    <t>t(69) = –0.34</t>
  </si>
  <si>
    <t>p.41</t>
  </si>
  <si>
    <t>Replication might be preregistered, unclear. They mention that data exclusion was not preregistered, so they did not do it. However, I don't find a link to their preregistration.</t>
  </si>
  <si>
    <t>There is a reporting error in the paper: N = 85 but t(84) and df = N-2.
Feedback for Fabienne
- make sure to review and correct text that is copied (special characters were missing)
- you entered N = 85 with t(84) and Ntotal = 85. I was about to correct it to N = 86 because N = t-2 for two sample t tests but there appears to be an error in the manuscript in the reporting of the DFs.
- I could not find the effect size cohen's d that you entered (d = .57) in the original report so I replaced it with the test statistic. Please make sure to use only data from the original report for the _o variables
- As you linked a website to calculate Cohen's d: We added a sheet to the spreadsheet which allows for effect size calculation that you can use next time, but test statistics would have been fine here, too!</t>
  </si>
  <si>
    <r>
      <rPr>
        <rFont val="Calibri"/>
        <color rgb="FF1155CC"/>
        <sz val="11.0"/>
        <u/>
      </rPr>
      <t>10.26443/msurj.v19i1.231</t>
    </r>
  </si>
  <si>
    <t>humility, awe, emotion, self-concept</t>
  </si>
  <si>
    <t>Awe leads to humility</t>
  </si>
  <si>
    <t>Feedback for Fabienne
- make sure to review and correct text that is copied (special characters were missing)
- you entered N = 85 with t(84) and Ntotal = 85. I was about to correct it to N = 86 because N = t-2 for two sample t tests but there appears to be an error in the manuscript in the reporting of the DFs.
- I could not find the effect size cohen's d that you entered (d = .57) in the original report so I replaced it with the test statistic. Please make sure to use only data from the original report for the _o variables
- As you linked a website to calculate Cohen's d: We added a sheet to the spreadsheet which allows for effect size calculation that you can use next time, but test statistics would have been fine here, too!</t>
  </si>
  <si>
    <t>additional_studies12_b</t>
  </si>
  <si>
    <r>
      <rPr>
        <rFont val="Calibri"/>
        <color rgb="FF1155CC"/>
        <sz val="11.0"/>
        <u/>
      </rPr>
      <t>10.26443/msurj.v19i1.231</t>
    </r>
  </si>
  <si>
    <t>"More specific analyses revealed that participants in the awe condition discussed significantly fewer strengths (M=1.20, SD=.53) before choosing to write about their weaknesses than participants in the neutral condition (M =1.48, SD=.44), t(84)=2.64, p= .01,..."</t>
  </si>
  <si>
    <t>t(84)=2.64</t>
  </si>
  <si>
    <t>t(91) = 0.85,</t>
  </si>
  <si>
    <r>
      <rPr>
        <rFont val="Calibri"/>
        <color rgb="FF1155CC"/>
        <sz val="11.0"/>
        <u/>
      </rPr>
      <t>10.26443/msurj.v19i1.231</t>
    </r>
  </si>
  <si>
    <t>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</si>
  <si>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 </t>
  </si>
  <si>
    <t>additional_studies12_c</t>
  </si>
  <si>
    <r>
      <rPr>
        <rFont val="Calibri"/>
        <color rgb="FF1155CC"/>
        <sz val="11.0"/>
        <u/>
      </rPr>
      <t>10.26443/msurj.v19i1.231</t>
    </r>
  </si>
  <si>
    <t>"...there was no effect of condition on the number of weaknesses participants listed (awe: M= .82, SD =.58; neutral: M = .79, SD=.49), t(84)=.27, p =.79."</t>
  </si>
  <si>
    <t>t(84)=.27</t>
  </si>
  <si>
    <t>t(82)=0.5</t>
  </si>
  <si>
    <t>additional_studies125_1</t>
  </si>
  <si>
    <t>additional_studies125</t>
  </si>
  <si>
    <t>1. In the orignal study, I have used claims from the page 1 because they were well summarised. However, I have reported results seprately for effect size and P value</t>
  </si>
  <si>
    <t>Changed label_r to "replication" instead of "Close Replication"; added tags that are also found in paper, changed n to 39; changed nested_o to yes, changed p_val_tails; changed pval_value_o to 0.025</t>
  </si>
  <si>
    <t>Johnston, W., Dolan, K., Reid, N., Coughlan, G. F., &amp; Caulfield, B. (2018). Investigating the effects of maximal anaerobic fatigue on dynamic postural control using the Y-Balance Test. Journal of science and medicine in sport, 21(1), 103-108. https://doi.org/10.1016/j.jsams.2017.06.007</t>
  </si>
  <si>
    <t>10.1016/j.jsams.2017.06.007</t>
  </si>
  <si>
    <t>10.1016--j.jsams.2017.06.007.pdf</t>
  </si>
  <si>
    <t>Byrne, C., Murphy, J., &amp; Warne, J. P. (2024). Replication Study: Investigating the effects of maximal anaerobic fatigue on dynamic postural control using the Y-Balance Test. Journal of Science and Medicine in Sport. https://doi.org/10.1016/j.jsams.2024.07.018</t>
  </si>
  <si>
    <t>10.1016/j.jsams.2024.07.018</t>
  </si>
  <si>
    <t xml:space="preserve">Science and Medicine in Sport </t>
  </si>
  <si>
    <t>maximal anaerobic fatigue</t>
  </si>
  <si>
    <t>Dynamic postural control, Dynamic balance, Y-Balance Test, Fatigue, Replication, Balance, Anterior reach direction, Posterolateral reach direction, Posteromedial reach direction</t>
  </si>
  <si>
    <t>Maximal anaerobic fatigue significantly reduces Y-Balance Test scores in ANT</t>
  </si>
  <si>
    <t>"Post-hoc paired sample t-tests demonstrated that all three reach directions demonstrated statistically significant differences between pre-fatigue and the first post-fatigue measurement (ANT: p = 0.019, PM: p = 0.004, PL: p = 0.003)"</t>
  </si>
  <si>
    <t>p. 1, 3</t>
  </si>
  <si>
    <t>F(3, 57) = 3.818</t>
  </si>
  <si>
    <t>0.159</t>
  </si>
  <si>
    <t>p.4</t>
  </si>
  <si>
    <t>0.002</t>
  </si>
  <si>
    <t>- please report test statistics with all details: F(x, y) = value (and not just the value)</t>
  </si>
  <si>
    <t>LR, Sophie</t>
  </si>
  <si>
    <t>additional_studies125_an</t>
  </si>
  <si>
    <r>
      <rPr/>
      <t xml:space="preserve">1. The initial registration of the protocol is under the link: </t>
    </r>
    <r>
      <rPr>
        <color rgb="FF1155CC"/>
        <u/>
      </rPr>
      <t xml:space="preserve">https://osf.io/kqdpm
</t>
    </r>
    <r>
      <rPr/>
      <t>2. Since one-way rmANOVA was used, the Nested option is "Yes"
3. Degree of freedon for original study was calculated based on number of time measurements (4) and participants (20)</t>
    </r>
  </si>
  <si>
    <r>
      <rPr/>
      <t xml:space="preserve">Byrne, C., Murphy, J., &amp; Warne, J. P. (2024). Replication Study: Investigating the effects of maximal anaerobic fatigue on dynamic postural control using the Y-Balance Test. Journal of Science and Medicine in Sport. </t>
    </r>
    <r>
      <rPr>
        <color rgb="FF1155CC"/>
        <u/>
      </rPr>
      <t>https://doi.org/10.1016/j.jsams.2024.07.018</t>
    </r>
  </si>
  <si>
    <t>Medicine</t>
  </si>
  <si>
    <t>Dynamic postural control</t>
  </si>
  <si>
    <t>Investigating the effects of maximal anaerobic fatigue on dynamic postural control with Y Balance test by comparing pre-fatigue and post-fatigue (0, 10, 20 min) in anterior direction</t>
  </si>
  <si>
    <r>
      <rPr>
        <rFont val="Arial"/>
        <color theme="1"/>
      </rPr>
      <t xml:space="preserve">"A repeated measures ANOVA with a Greenhouse-Geisser correction determined that the mean reach distances for the </t>
    </r>
    <r>
      <rPr>
        <rFont val="Arial"/>
        <b/>
        <color theme="1"/>
      </rPr>
      <t xml:space="preserve">anterior </t>
    </r>
    <r>
      <rPr>
        <rFont val="Arial"/>
        <color theme="1"/>
      </rPr>
      <t>(F = 3.818, p = 0.025) reach directions were statistically significantly different between time points."</t>
    </r>
  </si>
  <si>
    <t>p.3</t>
  </si>
  <si>
    <t>https://osf.io/5beqa</t>
  </si>
  <si>
    <t>- please choose "NA" for pval_tails, when the paper does not clearly state it. Even if an F-Test is used</t>
  </si>
  <si>
    <t>additional_studies125_b</t>
  </si>
  <si>
    <t>changed pval_value_o to 0.0004
here it says not replicated, therefore other entry for this claim was chosen and this discarded</t>
  </si>
  <si>
    <t>Johnston, W., Dolan, K., Reid, N., Coughlan, G. F., &amp; Caulfield, B. (2018). Investigating the effects of maximal anaerobic fatigue on dynamic postural control using the Y-Balance Test. Journal of science and medicine in sport, 21(1), 103-108. https://doi.org/10.1016/j.jsams.2017.06.008</t>
  </si>
  <si>
    <t>10.1016--j.jsams.2024.07.018.pdf</t>
  </si>
  <si>
    <t>Not replicated</t>
  </si>
  <si>
    <t>Dynamic postural control, Dynamic balance, Y-Balance Test, Fatigue</t>
  </si>
  <si>
    <t>Maximal anaerobic fatigue significantly reduces Y-Balance Test scores in PM</t>
  </si>
  <si>
    <t>- please describe notes in more detail (e.g., what do you mean with "not replicated"
- please do not code values for claims for which no replication finding exists
- please look closely in the replication paper since here the finding was replicated</t>
  </si>
  <si>
    <t>additional_studies125_c</t>
  </si>
  <si>
    <t xml:space="preserve">I dont understand this claim, seems to be the same as above with a different p-value that I cannot find in the original paper. </t>
  </si>
  <si>
    <t>Johnston, W., Dolan, K., Reid, N., Coughlan, G. F., &amp; Caulfield, B. (2018). Investigating the effects of maximal anaerobic fatigue on dynamic postural control using the Y-Balance Test. Journal of science and medicine in sport, 21(1), 103-108. https://doi.org/10.1016/j.jsams.2017.06.009</t>
  </si>
  <si>
    <t>Maximal anaerobic fatigue significantly reduces Y-Balance Test scores in PL</t>
  </si>
  <si>
    <t>0.003</t>
  </si>
  <si>
    <t>awaiting validation</t>
  </si>
  <si>
    <t>additional_studies125_d</t>
  </si>
  <si>
    <t xml:space="preserve">changed n to 39
</t>
  </si>
  <si>
    <t>Johnston, W., Dolan, K., Reid, N., Coughlan, G. F., &amp; Caulfield, B. (2018). Investigating the effects of maximal anaerobic fatigue on dynamic postural control using the Y-Balance Test. Journal of science and medicine in sport, 21(1), 103-108. https://doi.org/10.1016/j.jsams.2017.06.010</t>
  </si>
  <si>
    <t>Dynamic postural control for ANT returned to pre-fatigue level with least significant</t>
  </si>
  <si>
    <t>"The anterior reach direction returned to pre-fatigue levels within 10 min (p = 0.632). The posteromedial reach direction returned to pre-fatigue levels within 20 min (p = 0.236), while the posterolateral direction maintained a statistically significant difference at 20 min (p = 0.023)"</t>
  </si>
  <si>
    <t>p. 1, 4</t>
  </si>
  <si>
    <t>0.632</t>
  </si>
  <si>
    <t>- please watch out for the n that was included in analysis and not the n before exclusions were made</t>
  </si>
  <si>
    <t>additional_studies125_e</t>
  </si>
  <si>
    <t>Johnston, W., Dolan, K., Reid, N., Coughlan, G. F., &amp; Caulfield, B. (2018). Investigating the effects of maximal anaerobic fatigue on dynamic postural control using the Y-Balance Test. Journal of science and medicine in sport, 21(1), 103-108. https://doi.org/10.1016/j.jsams.2017.06.011</t>
  </si>
  <si>
    <t>Dynamic postural control for PM returned to pre-fatigue level with less</t>
  </si>
  <si>
    <t>0.236</t>
  </si>
  <si>
    <t>additional_studies125_f</t>
  </si>
  <si>
    <t>Johnston, W., Dolan, K., Reid, N., Coughlan, G. F., &amp; Caulfield, B. (2018). Investigating the effects of maximal anaerobic fatigue on dynamic postural control using the Y-Balance Test. Journal of science and medicine in sport, 21(1), 103-108. https://doi.org/10.1016/j.jsams.2017.06.012</t>
  </si>
  <si>
    <t>Dynamic postural control for PL returned to pre-fatigue level with most</t>
  </si>
  <si>
    <t>0.023</t>
  </si>
  <si>
    <t>additional_studies125_g</t>
  </si>
  <si>
    <t>Johnston, W., Dolan, K., Reid, N., Coughlan, G. F., &amp; Caulfield, B. (2018). Investigating the effects of maximal anaerobic fatigue on dynamic postural control using the Y-Balance Test. Journal of science and medicine in sport, 21(1), 103-108. https://doi.org/10.1016/j.jsams.2017.06.013</t>
  </si>
  <si>
    <t>Intraclass correlation coefficients for the Y-Balance Test indicate good intra-session reliability for ANT</t>
  </si>
  <si>
    <t>additional_studies125_h</t>
  </si>
  <si>
    <t>Johnston, W., Dolan, K., Reid, N., Coughlan, G. F., &amp; Caulfield, B. (2018). Investigating the effects of maximal anaerobic fatigue on dynamic postural control using the Y-Balance Test. Journal of science and medicine in sport, 21(1), 103-108. https://doi.org/10.1016/j.jsams.2017.06.014</t>
  </si>
  <si>
    <t>Intraclass correlation coefficients for the Y-Balance Test indicate best intra-session reliability for PM</t>
  </si>
  <si>
    <t>additional_studies125_i</t>
  </si>
  <si>
    <t>Johnston, W., Dolan, K., Reid, N., Coughlan, G. F., &amp; Caulfield, B. (2018). Investigating the effects of maximal anaerobic fatigue on dynamic postural control using the Y-Balance Test. Journal of science and medicine in sport, 21(1), 103-108. https://doi.org/10.1016/j.jsams.2017.06.015</t>
  </si>
  <si>
    <t>Intraclass correlation coefficients for the Y-Balance Test indicate least intra-session reliability PL</t>
  </si>
  <si>
    <t>additional_studies125_pl</t>
  </si>
  <si>
    <r>
      <rPr>
        <rFont val="Calibri"/>
        <sz val="11.0"/>
      </rPr>
      <t xml:space="preserve">1. The initial registration of the protocol is under the link: </t>
    </r>
    <r>
      <rPr>
        <rFont val="Calibri"/>
        <color rgb="FF1155CC"/>
        <sz val="11.0"/>
        <u/>
      </rPr>
      <t xml:space="preserve">https://osf.io/kqdpm
</t>
    </r>
    <r>
      <rPr>
        <rFont val="Calibri"/>
        <sz val="11.0"/>
      </rPr>
      <t>2. Since one-way rmANOVA was used, the Nested option is "Yes"
3. Degree of freedon for original study was calculated based on number of time measurements (4) and participants (20)</t>
    </r>
  </si>
  <si>
    <t>Investigating the effects of maximal anaerobic fatigue on dynamic postural control with Y Balance test by comparing pre-fatigue and post-fatigue (0, 10, 20 min) in posteromedial direction</t>
  </si>
  <si>
    <r>
      <rPr>
        <rFont val="Calibri"/>
        <color theme="1"/>
        <sz val="11.0"/>
      </rPr>
      <t xml:space="preserve">"The </t>
    </r>
    <r>
      <rPr>
        <rFont val="Calibri"/>
        <b/>
        <color theme="1"/>
        <sz val="11.0"/>
      </rPr>
      <t xml:space="preserve">posteromedial </t>
    </r>
    <r>
      <rPr>
        <rFont val="Calibri"/>
        <color theme="1"/>
        <sz val="11.0"/>
      </rPr>
      <t>reach direction was approaching significance (F = 2.215, p = 0.059)."</t>
    </r>
  </si>
  <si>
    <t>F(3, 57) = 2.215</t>
  </si>
  <si>
    <t>- do not code tests as one-tailed unless it is explicitly said in the text (eg "one-tailed)</t>
  </si>
  <si>
    <t>additional_studies125_pm</t>
  </si>
  <si>
    <r>
      <rPr>
        <rFont val="Calibri"/>
        <sz val="11.0"/>
      </rPr>
      <t xml:space="preserve">1. The initial registration of the protocol is under the link: </t>
    </r>
    <r>
      <rPr>
        <rFont val="Calibri"/>
        <color rgb="FF1155CC"/>
        <sz val="11.0"/>
        <u/>
      </rPr>
      <t xml:space="preserve">https://osf.io/kqdpm
</t>
    </r>
    <r>
      <rPr>
        <rFont val="Calibri"/>
        <sz val="11.0"/>
      </rPr>
      <t>2. Since one-way rmANOVA was used, the Nested option is "Yes"
3. Degree of freedon for original study was calculated based on number of time measurements (4) and participants (20)</t>
    </r>
  </si>
  <si>
    <t>the values from the replication study that were put in are from a different finding, not replicating reach distance but reach direction</t>
  </si>
  <si>
    <r>
      <rPr>
        <rFont val="Calibri"/>
        <sz val="11.0"/>
      </rPr>
      <t xml:space="preserve">Johnston, W., Dolan, K., Reid, N., Coughlan, G. F., &amp; Caulfield, B. (2018). Investigating the effects of maximal anaerobic fatigue on dynamic postural control using the Y-Balance Test. Journal of science and medicine in sport, 21(1), 103-108. </t>
    </r>
    <r>
      <rPr>
        <rFont val="Calibri"/>
        <color rgb="FF1155CC"/>
        <sz val="11.0"/>
        <u/>
      </rPr>
      <t>https://doi.org/10.1016/j.jsams.2017.06.007</t>
    </r>
  </si>
  <si>
    <t>Investigating the effects of maximal anaerobic fatigue on dynamic postural control with Y Balance test by comparing pre-fatigue and post-fatigue (0, 10, 20 min) in posterolateral direction</t>
  </si>
  <si>
    <r>
      <rPr>
        <rFont val="Calibri"/>
        <color theme="1"/>
        <sz val="11.0"/>
      </rPr>
      <t xml:space="preserve">"A repeated measures ANOVA with a Greenhouse-Geisser correction determined that the mean reach distances for the </t>
    </r>
    <r>
      <rPr>
        <rFont val="Calibri"/>
        <b/>
        <color theme="1"/>
        <sz val="11.0"/>
      </rPr>
      <t xml:space="preserve">posterolateral </t>
    </r>
    <r>
      <rPr>
        <rFont val="Calibri"/>
        <color theme="1"/>
        <sz val="11.0"/>
      </rPr>
      <t>(F = 6.503, P = 0.0004) reach directions were statistically significantly different between time points."</t>
    </r>
  </si>
  <si>
    <t>F(3, 57) = 6.503</t>
  </si>
  <si>
    <t>additional_studies13_1</t>
  </si>
  <si>
    <t>additional_studies13</t>
  </si>
  <si>
    <t xml:space="preserve">This is not a replication:
 original study relied on testing and neuropsychological performance (Visual Reproductions immediate recall/ Visual Reproductions delayed recall/ Verbal Paired Associates I /Verbal Paired Associates II/ Simple Reaction Time efficiency / Continuous Performance/ Test omissions) while newer one based on the APOE ε4 and ε2 presence in the brain. I extracted results, but didn't extract precise statistics. 
Claim text_r. Combat by APOE ε4. Table 2 shows the associations between PTSD symptom severity and combat exposure and covariates (age and sex; ancestry substructure PCs were also included in the model but are not shown in the table for simplicity) in each age group and ancestry cohort. As expected, PTSD severity was strongly associated with combat exposure. It was also negatively associated with age in the middle-age and old-age cohorts, but age was positively associated with PTSD in the young age group. Sex was not significantly related to PTSD severity, but this may be due to low power as the sample was primarily male. Table 2 also shows the main and interactive effects of combat and APOE ε4 on PTSD severity. There were no main effects of APOE ε4 on current PTSD severity in any of the cohorts (P &gt; 0.07). There were no combat by APOE ε4 interactions in any of the age or ancestry cohorts (P ≥ 0.18). Head injury by APOE ε4. We next examined the potential role of head injury in place of combat in the APOE ε4 interaction models. Head injury was associated with current PTSD severity in every age group in both the AA and EUR cohorts (P ≤ 6.03   10–13; Table 2). There was one nominally significant interaction for head injury by ε4 in the young AA cohort (P = 0.042); however, this did not survive a multiple testing correction. [...] p.555 </t>
  </si>
  <si>
    <t>Vasterling, J. J., Aslan, M., Lee, L. O., Proctor, S. P., Ko, J., Jacob, S., &amp; Concato, J. (2018). Longitudinal Associations among Posttraumatic Stress Disorder Symptoms, Traumatic Brain Injury, and Neurocognitive Functioning in Army Soldiers Deployed to the Iraq War. Journal of the International Neuropsychological Society, 24(4), 311–323. doi:10.1017/S1355617717001059</t>
  </si>
  <si>
    <t>10.1017/S1355617717001059</t>
  </si>
  <si>
    <t>Wolf, E. J., Miller, M. W., Zhang, R., Sherva, R., Harrington, K. M., Fonda, J. R., ... &amp; Logue, M. W. (2024). No replication of Alzheimer’s disease genetics as a moderator of the association between combat exposure and PTSD risk in 138,592 combat veterans. Nature Mental Health, 1-9. https://doi.org/10.1038/s44220-024-00225-1</t>
  </si>
  <si>
    <t>10.1038/s44220-024-00225-1</t>
  </si>
  <si>
    <t xml:space="preserve">original study relied on testing and neuropsychological performance (Visual Reproductions immediate recall/ Visual Reproductions delayed recall/ Verbal Paired Associates I /Verbal Paired Associates II/ Simple Reaction Time efficiency / Continuous Performance/ Test omissions) while newer one based on the APOE ε4 and ε2 presence in the brain. I extracted results, but didn't extract precise statistics. 
</t>
  </si>
  <si>
    <t>Hypothesis 1, 2, 3</t>
  </si>
  <si>
    <t>Alzheimer’s disease genetics as a moderator of the association between combat exposure and PTSD risk</t>
  </si>
  <si>
    <t>Results: Autoregressive analyses indicated that visual reproduction scores were inversely related to subsequent PTSD symptom severity at subsequent assessments. Conversely, increases in PTSD symptom severity over each measurement interval were associated with poorer verbal and/or visual recall at the end of each interval, and less efficient reaction time at post-deployment. TBI, primarily mild in this sample, was associated with adverse PTSD symptom outcomes at both post-deployment and long-term follow-up. [...] Table 3,4, and 5</t>
  </si>
  <si>
    <t>1, 6, 7, 8, 9</t>
  </si>
  <si>
    <t>NA: unknown</t>
  </si>
  <si>
    <t>The replication study is not a true replication of the original study. The replication study performs an analysis of APOE ε4 and ε2 genes (an Alzheimer’s disease polygenic risk score) in post-traumatic stress. The original study does not deal with this. Instead, it investigates the associations among PTSD, neurocognitive performance, and TBI following military deployment.</t>
  </si>
  <si>
    <t>10.1017--s1355617717001059.pdf</t>
  </si>
  <si>
    <t>.pdf</t>
  </si>
  <si>
    <t>additional_studies14_1</t>
  </si>
  <si>
    <t>additional_studies14</t>
  </si>
  <si>
    <t>Claim text_r. Hypothesis testing. Table 5 and Fig. 4 show the Cramer’s V correlations between the covariates and the selected media collection. The variance stems from the 60 different parameter combinations tested. According to Cohen [41, 42], a correlation of 0.5 is high, 0.3 is medium, and 0.1 is small1. Hence, our results show a high correlation between the supervisor and the choice of media collection, but only a small correlation between the supervisor’s own choice of media collection and the worker’s choice. Consequently, the hypothesis on the supervisor’s social influence holds (H1a), whereas its particularization in the imitation hypothesis (H1b) does not hold. As coworkers and physical location show a small correlation with the media collection choice, the hypothesis about the coworkers’ social influence does not hold (H2), whereas the negligible association with the physical association does hold (H3). [...] p.9</t>
  </si>
  <si>
    <t>Watson-Manheim, M. B., &amp; Bélanger, F. (2007). Communication media repertoires: Dealing with the multiplicity of media choices. MIS quarterly, 267-293. https://doi.org/10.2307/25148791</t>
  </si>
  <si>
    <t>10.2307/25148791</t>
  </si>
  <si>
    <t>Hüllmann, J. A., &amp; Krebber, S. (2021). Replication Study: Investigating Media Choice and Types of Media Collections of Distributed Workers Using Digital Traces. Available at SSRN 3816626. http://dx.doi.org/10.2139/ssrn.3816626</t>
  </si>
  <si>
    <t>10.2139/ssrn.3816626</t>
  </si>
  <si>
    <t>Even though theoretically relevant aspects of the studies are the same, the original study relied on qualitative methodology, hence there is no quantitative data to compare the studies.</t>
  </si>
  <si>
    <t>Communication Science</t>
  </si>
  <si>
    <t>Media Choice and Types of Media Collections</t>
  </si>
  <si>
    <t>The replication article is related to the original article. However, I do not believe that we can report a quantitative replication attempt. Although the original research article reports some rounded percentages for the use of communication media, I believe that this is a way of illustrating the qualitative information they present in the original research article. This is not comparable to the approach taken in the replication attempts. In other words, replication is a quantitative approach to replicating an original qualitative approach.</t>
  </si>
  <si>
    <t>10.2307--25148791.pdf</t>
  </si>
  <si>
    <t>help needed</t>
  </si>
  <si>
    <t>additional_studies15_1</t>
  </si>
  <si>
    <t>additional_studies15</t>
  </si>
  <si>
    <t>sample size unclear</t>
  </si>
  <si>
    <t>Gettinger, M., Kratochwill, T. R., Eubanks, A., Foy, A., &amp; Levin, J. R. (2021). Academic and behavior combined support: Evaluation of an integrated supplemental intervention for early elementary students. Journal of School Psychology, 89, 1-19. https://doi.org/10.1016/j.jsp.2021.09.004</t>
  </si>
  <si>
    <t>10.1016/j.jsp.2021.09.004</t>
  </si>
  <si>
    <t>10.1016--j.jsp.2021.09.004.pdf</t>
  </si>
  <si>
    <t>Gettinger, M., Kratochwill, T. R., Levin, J. R., Eubanks, A., &amp; Foy, A. (2024). Academic and behavior combined support: A single-case practice-based replication study. Journal of School Psychology, 104, 101307. https://doi.org/10.1016/j.jsp.2024.101307</t>
  </si>
  <si>
    <t>10.1016/j.jsp.2024.101307</t>
  </si>
  <si>
    <t>Academic and Behavior Combined Support, integrated supplemental intervention , Oral reading fluency outcomes, engaged behavior, disruptive behavior</t>
  </si>
  <si>
    <t>"..integrated supplemental intervention for early elementary students [...] (produces) significant improvement from baseline to intervention for both reading and behavior outcomes."</t>
  </si>
  <si>
    <t>"A randomization test conducted on these data revealed a statistically significant change in level across students following the introduction of the intervention (p = .001), from a baseline mean of 60.0 WCPM to an intervention mean of 91.2."</t>
  </si>
  <si>
    <t>hedges' g</t>
  </si>
  <si>
    <t>p.24-25</t>
  </si>
  <si>
    <t>p.8</t>
  </si>
  <si>
    <t>The claim does not fit to the reported d, d should be 2.8 for this case</t>
  </si>
  <si>
    <t xml:space="preserve">Did not include followup, which is present in replication but not the original. </t>
  </si>
  <si>
    <t>"Replication" in title</t>
  </si>
  <si>
    <t>Supplemental support, Oral reading fluency, Engagement</t>
  </si>
  <si>
    <t>Academic and Behavior Combined Support (ABC Support)</t>
  </si>
  <si>
    <t>"Visual and statistical analyses revealed significant improvement from baseline to intervention for both reading and (...) outcomes.", Reading outcome, STANDARD reading passages: "The visual analysis was supported by a multiple-baseline randomization test that yielded a statistically significant increase in WCPM from baseline (M = 59.3) to intervention (M = 72.0), p = .006. The average effect-size d was 1.33, with an associated g of 1.21 and adjusted NAP of 0.57."</t>
  </si>
  <si>
    <t>1 and 12</t>
  </si>
  <si>
    <t>p. 12</t>
  </si>
  <si>
    <t>p. 8</t>
  </si>
  <si>
    <t>Please only provide a numer for N (you wrote 1 and 12) and if you cannot, write an explanation into the notes variable or explain where it comes from.</t>
  </si>
  <si>
    <t>additional_studies15_b</t>
  </si>
  <si>
    <t>Follow up (2 to 5 weeks after intervention) of preceding row's effect (compared to baseline-pre intervention)</t>
  </si>
  <si>
    <t xml:space="preserve">I think some of the p-values might actually be &lt; and not = .001 as reported. Did not include followup, which is present in replication but not the original. </t>
  </si>
  <si>
    <t>"Visual and statistical analyses revealed significant improvement from baseline to intervention for both reading and (...) outcomes.", Reading outcome, TRAINING reading passages: "A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t>
  </si>
  <si>
    <t>1 and 13</t>
  </si>
  <si>
    <t>additional_studies15_c</t>
  </si>
  <si>
    <t>"...there was a statistically significant increase in frequency of engaged behavior (p = .001), from an average of 63% engagement during baseline to 82% during intervention."</t>
  </si>
  <si>
    <t>25-26</t>
  </si>
  <si>
    <t>p.26</t>
  </si>
  <si>
    <t>p.9</t>
  </si>
  <si>
    <t>"Visual and statistical analyses revealed significant improvement from baseline to intervention for both (...) and behaviour outcomes." Behaviour outcome ENGAGED behaviour: "analyses. Specifically, there was a statistically significant increase in frequency of engaged behavior (p = .001), from an average of 63% engagement during baseline to 82% during intervention. The average effect-size d was 1.14, the average g was 1.03, and the average adjusted NAP was 0.55."</t>
  </si>
  <si>
    <t>1 and 15</t>
  </si>
  <si>
    <t>p. 15</t>
  </si>
  <si>
    <t>p. 9</t>
  </si>
  <si>
    <t>additional_studies15_d</t>
  </si>
  <si>
    <t>p.10</t>
  </si>
  <si>
    <t>"Visual and statistical analyses revealed significant improvement from baseline to intervention for both (...) and behaviour outcomes." Behaviour outcome DISRUPTIVE behaviour: "There was a statistically significant decrease in students’ disruptive behavior (p = .001), from an average of 18% occurrence during baseline to 7% during intervention. The average effect-size d was 􀀀 0.85, with an associated g of 􀀀 0.76 and average adjusted NAP of 0.50."</t>
  </si>
  <si>
    <t>p. 10</t>
  </si>
  <si>
    <t>additional_studies15_e</t>
  </si>
  <si>
    <t>"There was a statistically significant decrease in students' disruptive behavior (p = .001), from an average of 18% occurrence during baseline to 7% during intervention. "</t>
  </si>
  <si>
    <t>−0.76</t>
  </si>
  <si>
    <t>additional_studies15_f</t>
  </si>
  <si>
    <t>additional_studies16</t>
  </si>
  <si>
    <t>additional_studies16_b</t>
  </si>
  <si>
    <t>The replication and original articles were extremely clear in their reporting of evaluated effects and effect sizes.</t>
  </si>
  <si>
    <t>10.1016/j.learninstruc.2018.05.004</t>
  </si>
  <si>
    <t>10.1016--j.learninstruc.2018.05.004.pdf</t>
  </si>
  <si>
    <t>Solheim, O. J., Foldnes, N., Walgermo, B. R., Bjerke, K. K., Birkedal, I. K., Uppstad, P. H., &amp; Lundetræ, K. (2024). Closing the Gap: A Conceptual Replication of an Early Reading Intervention. Journal of Research on Educational Effectiveness, 1-23. https://doi.org/10.1080/19345747.2024.2333735</t>
  </si>
  <si>
    <t>10.1080--19345747.2024.2333734</t>
  </si>
  <si>
    <t>Closing the Gap: A Conceptual Replication of an Early Reading Intervention</t>
  </si>
  <si>
    <t>Sentence reading / Reading comprehension</t>
  </si>
  <si>
    <t>reading intervention; at-risk students; reading difficulties.</t>
  </si>
  <si>
    <t>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</si>
  <si>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p. 70</t>
  </si>
  <si>
    <t>p. 73</t>
  </si>
  <si>
    <t>additional_studies16_c</t>
  </si>
  <si>
    <t>Solheim, O. J., Foldnes, N., Walgermo, B. R., Bjerke, K. K., Birkedal, I. K., Uppstad, P. H., &amp; Lundetræ, K. (2024). Closing the Gap: A Conceptual Replication of an Early Reading Intervention. Journal of Research on Educational Effectiveness, 1-23. https://doi.org/10.1080/19345747.2024.2333736</t>
  </si>
  <si>
    <t>10.1080/19345747.2024.2333734</t>
  </si>
  <si>
    <t>Spelling</t>
  </si>
  <si>
    <t>Spelling was measured by 14 items. For all items, the tester read a short sentence containing the target word, for example, “It was a difficult test. Write ‘test’”. The number of correctly spelled words was measured (maximum=14).	Significant ceiling effects were observed for the intervention children on all outcomes, with proportion of the sample censored from above as follows: word reading, 21.4%, sentence reading, 35.1%, spelling, 9.4%, and letter writing, 56.5%. See also table 4</t>
  </si>
  <si>
    <t>additional_studies16_1</t>
  </si>
  <si>
    <t>additional_studies16_a</t>
  </si>
  <si>
    <t xml:space="preserve">For statistics I used Conceptual replication, reduced sample, because it's closer to the original study in terms of compliance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 
Word Reading, Conceptual replication: Estimate: 0.90, SE: 0.45, p: .047, Hedges' g: 0.31, 95% CI: [0.02, 0.61]
Word Reading, Conceptual replication, reduced sample: Estimate: 1.03, SE: 0.48, p: .031, Hedges' g: 0.36, 95% CI: [0.05, 0.68]
</t>
  </si>
  <si>
    <t>Solheim, O. J., Frijters, J. C., Lundetræ, K., &amp; Uppstad, P. H. (2018). Effectiveness of an early reading intervention in a semi-transparent orthography: A group randomised control. Learning and Instruction, 58, 65–79. https://doi.org/10.1016/j.learninstruc.2018.05.004</t>
  </si>
  <si>
    <t>Solheim, O. J., Foldnes, N., Walgermo, B. R., Bjerke, K. K., Birkedal, I. K., Uppstad, P. H., &amp; Lundetræ, K. (2024). Closing the Gap: A Conceptual Replication of an Early Reading Intervention. Journal of Research on Educational Effectiveness, 1-23. https://doi.org/10.1080/19345747.2024.2333734</t>
  </si>
  <si>
    <t>Education Science</t>
  </si>
  <si>
    <t>Intervention vs. Control, Word reading</t>
  </si>
  <si>
    <t>Early Reading Intervention</t>
  </si>
  <si>
    <t>Word Reading: Estimate: 3.29, SE: 1.08, pnorm: .002, 95% CI: [1.22, 5.66] Table 4 [...] Intervention effect sizes relative to control. Table 5.</t>
  </si>
  <si>
    <t>70,73</t>
  </si>
  <si>
    <t>internal</t>
  </si>
  <si>
    <t>For statistics I used Conceptual replication, reduced sample, because it's closer to the original study in terms of compliance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16 [...] 
Reading Comprehension, Conceptual replication: Estimate: 1.19, SE: 0.67, p: .073, Hedges' g: 0.41, 95% CI: [0.09, 0.81]
Reading Comprehension, Conceptual replication, reduced sample: Estimate: 0.94, SE: 0.39, p: .015, Hedges' g: 0.58, 95% CI: [0.17, 0.97]</t>
  </si>
  <si>
    <t>Intervention vs. Control, Reading comprehension</t>
  </si>
  <si>
    <t>Sentence Reading: Estimate: 2.64, SE: 0.98, pnorm: .007, 95% CI: [0.71, 4.56] Table 4 and Intervention effect sizes relative to control. Table 5.</t>
  </si>
  <si>
    <t>For statistics I used Conceptual replication, reduced sample, because it's closer to the original study in terms of complia
Claim text_r. Results of the original try-out study and the conceptual replication are compared in Table 6. Intervention estimates were positive for all outcome measures. However, the estimate for reading comprehension did not reach statistical significance on the .05 level (p = .073). Finally, we excluded all intervention students that received 50 or fewer intervention sessions (23.3% of the intervention students) and reran Tobit models and recalculated effect sizes. In these follow up analysis the intervention effect was significant for all three intervention outcomes and effect sizes increased. For word reading Hedges’ g increased from 0.31 to 0.36, for reading comprehension the effect size increased from 0.41 to 0.58 and for spelling the effect size increased from 0.46 to 0.54.[...] p. 16 [...] 
Spelling, Conceptual replication: Estimate: 1.81, SE: 0.45, p: .000, Hedges' g: 0.46, 95% CI: [0.20, 0.73]
Spelling, Conceptual replication, reduced sample: Estimate: 2.09, SE: 0.46, p: .000, Hedges' g: 0.54, 95% CI: [0.27, 0.82]</t>
  </si>
  <si>
    <t>Intervention vs. Control, Spelling</t>
  </si>
  <si>
    <t>Spelling: Estimate: 3.23, SE: 1.09, pnorm: &lt;.001, 95% CI: [1.20, 5.86] Table 4 and Intervention effect sizes relative to control. Table 5.</t>
  </si>
  <si>
    <t>Conceptual Replication</t>
  </si>
  <si>
    <t>Word reading</t>
  </si>
  <si>
    <t>"Word reading was measured with 8 words ranging from easy to difficult presented on the tablet, one at a time. The words represented a variety of letters and letter sequences (CV, VC, CVC, VCC, VCC, CVCV, CVCC, CVCVC). The students were asked to read the word aloud. If they managed to sound out or recognize the word, the tester scored it as correct on the tablet. The test was discontinued after two subsequent errors.</t>
  </si>
  <si>
    <r>
      <rPr>
        <rFont val="Arial"/>
        <color theme="1"/>
      </rPr>
      <t xml:space="preserve">"Significant ceiling effects were observed for the intervention children on all outcomes, with proportion of the sample censored from above as follows: word reading, 21.4%, sentence reading, 35.1%, spelling, 9.4%, and letter writing, 56.5%." </t>
    </r>
    <r>
      <rPr>
        <rFont val="Arial"/>
        <b/>
        <color theme="1"/>
      </rPr>
      <t>See also table 4</t>
    </r>
  </si>
  <si>
    <t>additional_studies17</t>
  </si>
  <si>
    <t>additional_studies17_b</t>
  </si>
  <si>
    <t>The replication is clear on what affects is trying to replicate from the original research article. I reported as sample size the number of publication analized. Preregistration link says "https://osf.io/yhk47" but page cannot be found.</t>
  </si>
  <si>
    <t>added 1 to study_r; added 429 to claim_page_o, added ref_o; added 1 to study_o; corrected test statistic (included only the value)</t>
  </si>
  <si>
    <t>Pigott T. D., Valentine J. C., Polanin J. R., Williams R. T., Canada D. D. (2013). Outcome-reporting bias in education research. Educational Researcher, 42(8), 424–432. https://doi.org/10.3102/0013189X13507104</t>
  </si>
  <si>
    <t>10.3102/0013189X13507104</t>
  </si>
  <si>
    <t>10.3102--0013189x13507104.pdf</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</si>
  <si>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https://doi.org/10.1177/07419325241240068</t>
  </si>
  <si>
    <t>10.1177/07419325241240067</t>
  </si>
  <si>
    <t>A Conceptual Replication</t>
  </si>
  <si>
    <t>Effect of time to publication (moderator variable) in outcome-reporting bias.</t>
  </si>
  <si>
    <t>quantitative research methodology, meta-analysis, special education, publication bias, scientific publications</t>
  </si>
  <si>
    <t>The authors investigated whether the time to publication had an effect on publication bias.</t>
  </si>
  <si>
    <t>Not one of these moderator analyses was statistically significant (all p’s &gt; .20; see Table 3)</t>
  </si>
  <si>
    <t>X2(1) = 1.62</t>
  </si>
  <si>
    <t>X2(1) = 1.35</t>
  </si>
  <si>
    <t>SMS</t>
  </si>
  <si>
    <t>additional_studies17_c</t>
  </si>
  <si>
    <t>added ref_o;  added 1 to study_o, added 429 to claim_page_o; corrected test statistic (included only the value)</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</si>
  <si>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https://doi.org/10.1177/07419325241240069</t>
  </si>
  <si>
    <t>Effect of sample size (moderator variable) in outcome-reporting bias.</t>
  </si>
  <si>
    <t>The authors investigated whether the sample size had an effect on publication bias.</t>
  </si>
  <si>
    <t>X2(1) = 0.53</t>
  </si>
  <si>
    <t>X2(1) = 6.15</t>
  </si>
  <si>
    <t>additional_studies17_d</t>
  </si>
  <si>
    <t>added ref_o, added 1 to study_o and study_r, added 429 to claim_page_o; corrected test statistic (included only the value)</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</si>
  <si>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https://doi.org/10.1177/07419325241240070</t>
  </si>
  <si>
    <t>Effect of number of statistical tests (moderator variable) in outcome-reporting bias.</t>
  </si>
  <si>
    <t>The authors investigated whether number of statistical tests had an effect on publication bias.</t>
  </si>
  <si>
    <t>X2(1) = 0.51</t>
  </si>
  <si>
    <t>X2(1) = 2.48</t>
  </si>
  <si>
    <t>additional_studies17_e</t>
  </si>
  <si>
    <t>added ref_o, added 1 to study_o and study_r,  added 429 to claim_page_o; corrected test statistic (included only the value)</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</si>
  <si>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https://doi.org/10.1177/07419325241240071</t>
  </si>
  <si>
    <t>Effect of type of outcome measure (moderator variable) in outcome-reporting bias.</t>
  </si>
  <si>
    <t>The authors investigated whether the type of outcome measure had an effect on publication bias.</t>
  </si>
  <si>
    <t>X2(1) = 0.37</t>
  </si>
  <si>
    <t>X2(1) = 8.70</t>
  </si>
  <si>
    <t>additional_studies17_1</t>
  </si>
  <si>
    <t>additional_studies17_a</t>
  </si>
  <si>
    <t xml:space="preserve">Claim text_r.  Years to publication, 2 years or less: Odds Ratio: 0.65, 95% CI: [0.38, 1.11], χ²(1), p: 1.35, .25
[...] Table 3, p.8 </t>
  </si>
  <si>
    <t>added conceptual replication to label_r</t>
  </si>
  <si>
    <t>Talbott, E., Maggin, D. M., Chua, M., Ashley, L., Chen, X., Chin, P. A., &amp; Curry, M. K. (2024). Outcome-Reporting Bias in Special Education Intervention Research Using Experimental and Quasi-Experimental Group Designs: A Conceptual Replication. Remedial and Special Education, 0(0). https://doi.org/10.1177/07419325241240067</t>
  </si>
  <si>
    <t>Outcome within 2 years</t>
  </si>
  <si>
    <t>Outcome-Reporting Bias in Special Education Intervention Research</t>
  </si>
  <si>
    <t xml:space="preserve">Time to publication, Within 2 years: OR: 2.00, 95% CI: [1.34, 3.00], χ²(1), p: 1.62, .20 Table 3
</t>
  </si>
  <si>
    <t>OR</t>
  </si>
  <si>
    <t xml:space="preserve">Claim text_r.  Years to publication, More than 2 years: Odds Ratio: 1.88, 95% CI: [1.22, 2.92]
[...] Table 3, p.8 </t>
  </si>
  <si>
    <t>dded conceptual replication to label_r</t>
  </si>
  <si>
    <t>More than 2 years</t>
  </si>
  <si>
    <t>Time to publication, More than 2 years: OR: 2.97, 95% CI: [1.89, 4.66] Table 3</t>
  </si>
  <si>
    <t xml:space="preserve">Claim text_r. Sample size, &lt;79: Odds Ratio: 1.46, 95% CI: [1.00, 2.46], χ²(1), p: 6.15, .01
[...] Table 3, p.8 </t>
  </si>
  <si>
    <t>Sample size less than 100 (79)</t>
  </si>
  <si>
    <t xml:space="preserve">Sample size, &lt;100: OR: 2.35, 95% CI: [1.65, 3.36], χ²(1), p: 0.53, .47 Table 3
</t>
  </si>
  <si>
    <t xml:space="preserve">Claim text_r. Sample size, ≥79: Odds Ratio: 1.57, 95% CI: [0.90, 2.36]
 Table 3, p.8 </t>
  </si>
  <si>
    <t>Sample size equal or more 100 (79)</t>
  </si>
  <si>
    <t xml:space="preserve">Sample size, ≥100: OR: 3.05, 95% CI: [1.66, 5.55] Table 3
</t>
  </si>
  <si>
    <t xml:space="preserve">Claim text_r. Number of statistical tests, &lt;23: Odds Ratio: 1.16, 95% CI: [0.69, 2.00], χ²(1), p: 2.48, .12
 [...] Table 3, p.8 </t>
  </si>
  <si>
    <t>Number of statistical significance tests &lt; 14 (21)</t>
  </si>
  <si>
    <t xml:space="preserve">Number of statistical significance tests, ≤14: OR: 2.68, 95% CI: [1.76, 4.08], χ²(1), p: 0.51, .48 Table 3
</t>
  </si>
  <si>
    <t>additional_studies17_f</t>
  </si>
  <si>
    <t xml:space="preserve">Claim text_r. Number of statistical tests, ≥23: Odds Ratio: 1.43, 95% CI: [0.92, 2.22]
 Table 3, p.8 </t>
  </si>
  <si>
    <t>Number of statistical significance tests more or eq 14 (21)</t>
  </si>
  <si>
    <t xml:space="preserve">Number of statistical significance tests, &gt;14: OR: 2.16, 95% CI: [1.41, 3.30] Table 3
</t>
  </si>
  <si>
    <t>additional_studies17_g</t>
  </si>
  <si>
    <t xml:space="preserve">Claim text_r. Type of outcome, Academic achievement: Odds Ratio: 2.27, 95% CI: [1.58, 3.26], χ²(1), p: 8.70, p&lt;.01
 Table 3, p.8 </t>
  </si>
  <si>
    <t>Academic achievement</t>
  </si>
  <si>
    <t xml:space="preserve">Type of outcome measure, Academic achievement: OR: 2.46, 95% CI: [1.71, 3.52], χ²(1), p: 0.37, .55 Table 3
</t>
  </si>
  <si>
    <t>additional_studies17_h</t>
  </si>
  <si>
    <t>Claim text_r. Type of outcome, Social-emotional/behavioral: Odds Ratio: 0.55, 95% CI: [0.30, 1.00] [...] Table 3, p.8</t>
  </si>
  <si>
    <t>Socioemotional-behavioral</t>
  </si>
  <si>
    <t>Type of outcome measure, Socioemotional-behavioral: OR: 1.99, 95% CI: [1.13, 3.53] Table 3</t>
  </si>
  <si>
    <r>
      <rPr>
        <rFont val="Arial"/>
      </rPr>
      <t>The replication is clear on what affects is trying to replicate from the original research article. I reported as sample size the number of publication analyzed. Preregistration link says "</t>
    </r>
    <r>
      <rPr>
        <rFont val="Arial"/>
        <color rgb="FF1155CC"/>
        <u/>
      </rPr>
      <t>https://osf.io/yhk47</t>
    </r>
    <r>
      <rPr>
        <rFont val="Arial"/>
      </rPr>
      <t>" but page cannot be found.</t>
    </r>
  </si>
  <si>
    <t>Odds ratio for publish findings</t>
  </si>
  <si>
    <t>Overall odds ratio that significant and nonsignificant findings reported in special education dissertations would also be reported in corresponding journal publications</t>
  </si>
  <si>
    <t>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</si>
  <si>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p. 428</t>
  </si>
  <si>
    <t>Vidhi</t>
  </si>
  <si>
    <t>additional_studies18_1</t>
  </si>
  <si>
    <t>additional_studies18</t>
  </si>
  <si>
    <t>Same results but there were contextual differences.</t>
  </si>
  <si>
    <t>These need to be reassigned and coded, they are missing effects</t>
  </si>
  <si>
    <t>Kanwit, M., &amp; Geeslin, K. L. (2014). The interpretation of Spanish subjunctive and indicative forms in adverbial clauses: A cross-sectional study. Studies in Second Language Acquisition, 36(3), 487-533. https:://doi.org/10.1017/S0272263114000126</t>
  </si>
  <si>
    <t>10.1017/S0272263114000126</t>
  </si>
  <si>
    <t>Gudmestad, A., Edmonds, A., Henderson, C., &amp; Lindqvist, C. (2024). The interpretation of verbal moods in Spanish: A close replication of Kanwit and Geeslin (2014). Studies in Second Language Acquisition, 1–18. https://doi.org/10.1017/S027226312400010X</t>
  </si>
  <si>
    <t>10.1017/S027226312400010X</t>
  </si>
  <si>
    <t>Interpretation of sociolinguistic variation</t>
  </si>
  <si>
    <t>language learning, second language, subjunctive, adverbial clauses, verbal moods</t>
  </si>
  <si>
    <t>interpretation of verbal moods in Spanish</t>
  </si>
  <si>
    <t>Non-native speakers' interpretation align with grammatical rules at higher proficiency.</t>
  </si>
  <si>
    <t>needs to be calculted</t>
  </si>
  <si>
    <t>r code</t>
  </si>
  <si>
    <t>Advanced learners interpret indicative forms similarly to non-native speakers.</t>
  </si>
  <si>
    <t>Learners rely on linguistic factors to interpret languages.</t>
  </si>
  <si>
    <t>interpretation of verbal moods in second language learning</t>
  </si>
  <si>
    <t xml:space="preserve"> interpretation of verbal moods in Spanish</t>
  </si>
  <si>
    <t>additional_studies19_1</t>
  </si>
  <si>
    <t>additional_studies19</t>
  </si>
  <si>
    <t>I have encountered some issues in fully understanding the papers, as they extend significantly beyond my field of expertise. Both experiments seem to involve simulations as their primary analyses, with results focusing on comparisons between different models.
Additionally, the reported results fall outside the range of effects selectable in the "es_type" column.</t>
  </si>
  <si>
    <t>simulation study, no new data was collected but merely "generated"</t>
  </si>
  <si>
    <t>Dishop, C. R. (2022). Spurious inference in consensus emergence modeling due to the distinguishability problem. Psychological Methods. Advance online publication. https://doi.org/10.1037/met0000511</t>
  </si>
  <si>
    <t>10.1037/met0000511</t>
  </si>
  <si>
    <t>10.1037--met0000511.pdf</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</si>
  <si>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</si>
  <si>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10.1037/met0000650</t>
  </si>
  <si>
    <t>10.1037--met0000650.pdf</t>
  </si>
  <si>
    <t>no new data was collected</t>
  </si>
  <si>
    <t>The same value in the replication paper seems to be used to replicate Table D1 and Figure D1A. There are three replication sections: replications 1, 2 and 3. I only looked closely at section 1 due to time constraints. I briefly read and thought about what I think are all the relevant parts of the original paper and the replication paper.</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</si>
  <si>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</si>
  <si>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"Comment on and Attempt at Replication" in title</t>
  </si>
  <si>
    <t>Methods</t>
  </si>
  <si>
    <t>consensus emergence models, inference, type I error, monte carlo, groups</t>
  </si>
  <si>
    <t>Table D1</t>
  </si>
  <si>
    <t>Copied from replication paper (p. 7) because would have taken too long otherwise: "In Figure 1, notice that our simulated data differ substantially from the graphs in Figure D1. Specifically, our data do not uniformly start around a single point and show a pattern over time with some indication of dissensus in certain groups (see Figure 1). More importantly, applying CEMs to these data yielded a positive δ of 0.12 reflecting the observed pattern of dissensus in Figure 1. Our results are substantially different from the reported estimates for δ of −0.48 (Table D1) and −0.82 (Figure D1A) both in terms of magnitude and sign."</t>
  </si>
  <si>
    <t>delta</t>
  </si>
  <si>
    <t>p. 7 replication paper</t>
  </si>
  <si>
    <t>additional_studies19_b</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</si>
  <si>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</si>
  <si>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Figure D1A</t>
  </si>
  <si>
    <t>additional_studies19_c</t>
  </si>
  <si>
    <t xml:space="preserve">There are three replication sections: replications 1, 2 and 3. I only looked closely at section 1 due to time constraints. I briefly read and thought about what I think are all the relevant parts of the original paper and the replication paper.
</t>
  </si>
  <si>
    <r>
      <rPr>
        <rFont val="Calibri"/>
        <sz val="11.0"/>
      </rPr>
      <t xml:space="preserve">Lang, J. W. B., &amp; Bliese, P. D. (2024). The plausibility of alternative data-generating mechanisms: Comment on and attempt at replication of Dishop (2022).Psychological Methods. Advance online publication. </t>
    </r>
    <r>
      <rPr>
        <rFont val="Calibri"/>
        <color rgb="FF1155CC"/>
        <sz val="11.0"/>
        <u/>
      </rPr>
      <t>https://doi.org/10.1037/met0000650</t>
    </r>
  </si>
  <si>
    <t>Figure D1B</t>
  </si>
  <si>
    <t>additional_studies2_1</t>
  </si>
  <si>
    <t>additional_studies2</t>
  </si>
  <si>
    <t>I entered adjusted ORs as reported in the paper in this table. The paper also reports unadjusted ORs. I calculated (unadjusted) ORs myself in the hope of providing more precise p-values. However, they were not exactly the same as in the paper, so I did not include the p-values here. In order to save time, I did not attempt to calculate the p-value for the adjusted ORs but I could if desired.</t>
  </si>
  <si>
    <t xml:space="preserve">- Two more rows could be added (containing and antipsychotic use). However, in this case, they would not be validated - should I add the rows? 
- I added the study number of the replication and of the original
- I changed all page numbers from the document pages to the pages of the PDFs
- I changed the number of participants of both studies. I have no idea how the coders calculated their N initially and it took me a lot of time while I was trying to understand what they coded. Finally, I calculated the N from the table, but I still have no clue what they did. 
- I changed the p-values to NA since there was no p-value         
- I changed nesting to „no“ (in the original and the replication) </t>
  </si>
  <si>
    <t>Taipale, H., Solmi, M., Lähteenvuo, M., Tanskanen, A., Correll, C. U., &amp; Tiihonen, J. (2021). Antipsychotic use and risk of breast cancer in women with schizophrenia: a nationwide nested case-control study in Finland. The Lancet Psychiatry, 8(10), 883-891. https://doi.org/10.1016/S2215-0366(21)00241-8</t>
  </si>
  <si>
    <t>10.1016/S2215-0366(21)00241-8</t>
  </si>
  <si>
    <t>10.1016--s2215-0366(21)00241-8.pdf</t>
  </si>
  <si>
    <t>Solmi, M., Lähteenvuo, M., Tanskanen, A., Corbeil, O., Mittendorfer-Rutz, E., Correll, C. U., ... &amp; Taipale, H. (2024). Antipsychotic Use and Risk of Breast Cancer in Women With Severe Mental Illness: Replication of a Nationwide Nested Case–Control Database Study. Schizophrenia Bulletin, sbae058. https://doi.org/10.1093/schbul/sbae058</t>
  </si>
  <si>
    <t>10.1093/schbul/sbae058</t>
  </si>
  <si>
    <t xml:space="preserve">Prolactin-increasing antipsychotics' effect on breast cancer
</t>
  </si>
  <si>
    <t>prolactin/hyperprolactinemia/schizoaffective disorder/bipolar disorder/psychotic disorder/psychiatry</t>
  </si>
  <si>
    <t>"Long-term exposure to prolactin-increasing, but not to prolactin sparing, antipsychotics is significantly associated with increased odds of breast cancer."</t>
  </si>
  <si>
    <t>1-4 years: "When compared with less than 1 year of exposure to prolactin-increasing antipsychotics (all other antipsychotics), 1–4 years of exposure was not associated with an increased risk (...)</t>
  </si>
  <si>
    <t>p. 1</t>
  </si>
  <si>
    <t>p. 5</t>
  </si>
  <si>
    <t xml:space="preserve">Corinna </t>
  </si>
  <si>
    <t>additional_studies2_b</t>
  </si>
  <si>
    <t xml:space="preserve">- I added the study number of the replication and of the original
- I changed all page numbers from the document pages to the pages of the PDFs
- I changed the number of participants of both studies. I have no idea how the coders calculated their N initially and it took me a lot of time while I was trying to understand what they coded. Finally, I calculated the N from the table, but I still have no clue what they did.     
- I changed nesting to „no“ (in the original and the replication) </t>
  </si>
  <si>
    <t>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</si>
  <si>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additional_studies2_c</t>
  </si>
  <si>
    <t xml:space="preserve">- I added the study number of the replication and of the original
- I changed all page numbers from the document pages to the pages of the PDFs
- I changed the number of participants of both studies. I have no idea how the coders calculated their N initially and it took me a lot of time while I was trying to understand what they coded. Finally, I calculated the N from the table, but I still have no clue what they did. 
- I changed the p-values to NA since there was no p-value         
- I changed nesting to „no“ (in the original and the replication) </t>
  </si>
  <si>
    <t xml:space="preserve">Prolactin-sparing antipsychotics' effect on breast cancer
</t>
  </si>
  <si>
    <t>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</si>
  <si>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additional_studies2_d</t>
  </si>
  <si>
    <t>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</si>
  <si>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additional_studies2_a</t>
  </si>
  <si>
    <t>p-value was not explicitly provided, but since the CI includes 1, the p-value is greater than 0.05</t>
  </si>
  <si>
    <t xml:space="preserve">- I added the study number of the replication and of the original
- I changed the effect description
- The claim was not a quote. I changed it too. 
- I changed all page numbers from the document pages to the pages of the PDFs
- I changed the number of participants of both studies. I have no idea how the coders calculated their N initially and it took me a lot of time while I was trying to understand what they coded. Finally, I calculated the N from the table, but I still have no clue what they did. 
- I changed the p-values to NA since there was no p-value         
- I changed the tails of the p-value to NA
- I changed nesting to „no“ (in the original and the replication) </t>
  </si>
  <si>
    <t>prolactin/hyperprolactinemia/schizoaffective
disorder/bipolar disorder/psychotic disorder/psychiatry</t>
  </si>
  <si>
    <t>≥5 years of exposure to prolactin-increasing antipsychotics and the association with breast cancer</t>
  </si>
  <si>
    <t>1–4 years of exposure to prolactin-increasing antipsychotics and the association with breast cancer</t>
  </si>
  <si>
    <t>additional_studies20_1</t>
  </si>
  <si>
    <t>additional_studies20</t>
  </si>
  <si>
    <t>R_research question 2</t>
  </si>
  <si>
    <t>Gerlicher, A. M. V., Tüscher, O., &amp; Kalisch, R. (2018). Dopamine-dependent prefrontal reactivations explain long-term benefit of fear extinction. Nature communications, 9(1), 4294. https://doi.org/10.1038/s41467-018-06785-y</t>
  </si>
  <si>
    <t>10.1038/s41467-018-06785-y</t>
  </si>
  <si>
    <t>10.1038--s41467-018-06785-y.pdf</t>
  </si>
  <si>
    <t>Andres, E., Chuan-Peng, H., Gerlicher, A. M., Meyer, B., Tüscher, O., &amp; Kalisch, R. (2024). Replication study on the role of dopamine-dependent prefrontal reactivations in human extinction memory retrieval. Nature Communications, 15(1), 2699. https://doi.org/10.1038/s41467-024-46936-y</t>
  </si>
  <si>
    <t>10.1038/s41467-024-46936-y</t>
  </si>
  <si>
    <t>Neuroscience</t>
  </si>
  <si>
    <t>Fear extintion</t>
  </si>
  <si>
    <t>Fear extintion, vmPFC, L-DOPA</t>
  </si>
  <si>
    <t>"number of postextinction reactivations of an extinction learning-related vmPFC pattern (day 2)
predicts extinction memory retrieval at test (day 3)."</t>
  </si>
  <si>
    <t>"Critically, the number of potential vmPFC pattern reactivations during the 45-min postextinction scan negatively predicted CRs at test on day 3"</t>
  </si>
  <si>
    <t xml:space="preserve">https://osf.io/x64cn/ </t>
  </si>
  <si>
    <t>did not replicate successfully. There were four replicated claims. I briefly looked at all of them but only coded two due to time constraints. I should also double check the Ns but did not do this for the same reason. I think they are slightly wrong for some of the claims.</t>
  </si>
  <si>
    <t>- If there are multiple rows for one finding, please rename "id" to id_b, id_c, etc. for the newly created rows.</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</si>
  <si>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</si>
  <si>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 xml:space="preserve">"Dopamine-dependent prefrontal reactivations explain long-term benefit of fear extinction" </t>
  </si>
  <si>
    <t>"spontaneous post-extinction vmPFC reactivations predict extinction memory retrieval" (45 MINUTES after extinction) (replication paper p. 1)</t>
  </si>
  <si>
    <t>45 minutes: "Critically, the number of potential vmPFC pattern reactivations during the 45-min postextinction scan negatively predicted CRs at test on day 3 (multiple linear regression: β45 min = −0.13, SE = 0.03, T30 = −4.05, P = 0.0003; n = 35; Fig. 2b; for control analyses, see Supplementary Figs. 2, 3). That is, more CS+ offset-related vmPFC reactivations were associated with improved extinction memory retrieval (i.e., reduced CRs) at test. Reactivations during the scans 10 or 90 min after extinction did not significantly predict CRs (β10 min = −0.01, SE = 0.04, T30 = −0.17, P = 0.86; β90 min = 0.06, SE = 0.04, T30 = 1.71, P = 0.10)." (original paper p.3), "spontaneous post-extinction vmPFC reactivations predict extinction memory retrieval" (45 MINUTES after extinction) (replication paper p. 1)</t>
  </si>
  <si>
    <t>p. 4</t>
  </si>
  <si>
    <t>osf.io/x64cn</t>
  </si>
  <si>
    <t>replicated successfully. There were four replicated claims. I briefly looked at all of them but only coded two due to time constraints. I should also double check the Ns but did not do this for the same reason. I think they are slightly wrong for some of the claims.</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</si>
  <si>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</si>
  <si>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"spontaneous post-extinction vmPFC reactivations predict extinction memory retrieval" (90 MINUTES after extinction) (replication paper p. 1)</t>
  </si>
  <si>
    <t>90 minutes: "Critically, the number of potential vmPFC pattern reactivations during the 45-min postextinction scan negatively predicted CRs at test on day 3 (multiple linear regression: β45 min = −0.13, SE = 0.03, T30 = −4.05, P = 0.0003; n = 35; Fig. 2b; for control analyses, see Supplementary Figs. 2, 3). That is, more CS+ offset-related vmPFC reactivations were associated with improved extinction memory retrieval (i.e., reduced CRs) at test. Reactivations during the scans 10 or 90 min after extinction did not significantly predict CRs (β10 min = −0.01, SE = 0.04, T30 = −0.17, P = 0.86; β90 min = 0.06, SE = 0.04, T30 = 1.71, P = 0.10)." (original paper p.3),  "spontaneous post-extinction vmPFC reactivations predict extinction memory retrieval" (90 MINUTES after extinction) (replication paper p. 1)</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</si>
  <si>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</si>
  <si>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"L-DOPA administration significantly enhances retrieval" (replication paper p. 1)</t>
  </si>
  <si>
    <r>
      <rPr>
        <rFont val="Calibri"/>
        <sz val="11.0"/>
      </rPr>
      <t xml:space="preserve">Andres, E., Chuan-Peng, H., Gerlicher, A. M., Meyer, B., Tüscher, O., &amp; Kalisch, R. (2024). Replication study on the role of dopamine-dependent prefrontal reactivations in human extinction memory retrieval. Nature Communications, 15(1), 2699. </t>
    </r>
    <r>
      <rPr>
        <rFont val="Calibri"/>
        <color rgb="FF1155CC"/>
        <sz val="11.0"/>
        <u/>
      </rPr>
      <t>https://doi.org/10.1038/s41467-024-46936-y</t>
    </r>
  </si>
  <si>
    <t>"L-DOPA administration significantly enhances retrieval and that this is MEDIATED by enhancement of the number of vmPFC reactivations" (replication paper p. 1)</t>
  </si>
  <si>
    <t>additional_studies20_b</t>
  </si>
  <si>
    <t>feedback: please review copied text and correct it (a "=" was missing)
notes:
- format in es value column has changed to drop-down</t>
  </si>
  <si>
    <t>"Reactivations during the scans 10 [...] min after extinction did not significantly predict CRs "</t>
  </si>
  <si>
    <t>https://osf.io/x64cn/</t>
  </si>
  <si>
    <t>feedback: please review copied text and correct it (a "=" was missing)</t>
  </si>
  <si>
    <t>additional_studies20_c</t>
  </si>
  <si>
    <t>- format in es value column has changed to drop-down</t>
  </si>
  <si>
    <t>"Reactivations during the scans [...] 90 min after extinction did not significantly predict CRs "</t>
  </si>
  <si>
    <t>−0.10</t>
  </si>
  <si>
    <t>additional_studies20_d</t>
  </si>
  <si>
    <t>R_research question 1</t>
  </si>
  <si>
    <t>- corrected page number (2 instead of 3)
- format in es value column has changed to drop-down</t>
  </si>
  <si>
    <t>".....pharmacologically enhancing dopaminergic activity during extinction consolidation [...] improves extinction memory retrieval at test."</t>
  </si>
  <si>
    <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</si>
  <si>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etasq (partial)</t>
  </si>
  <si>
    <t>p. 2</t>
  </si>
  <si>
    <t xml:space="preserve">F(1,53) = 0.02 </t>
  </si>
  <si>
    <t>additional_studies20_e</t>
  </si>
  <si>
    <t>R_research question 3</t>
  </si>
  <si>
    <t>"Critically, L-DOPA also increases the number of vmPFC pattern reactivations, and this effect mediates the effect of L-DOPA on extinction memory retrieval. "</t>
  </si>
  <si>
    <t>"postextinction L-DOPA administration significantly increased the number of potential CS+ offset-related vmPFC pattern reactivations (time × group: F(3,114) = 3.51, P = 0.02, partial η2 = 0.09; n = 40), particularly 45 min after extinction"</t>
  </si>
  <si>
    <t xml:space="preserve">F(1,44) = 0.48 </t>
  </si>
  <si>
    <t>p.5</t>
  </si>
  <si>
    <t>additional_studies21_1</t>
  </si>
  <si>
    <t>additional_studies21</t>
  </si>
  <si>
    <t>The central features of the replicated study are highly similar with the original study. The differences in some of the results are due to contextual differences.</t>
  </si>
  <si>
    <t>Harper, L. M., &amp; Kim, Y. (2018). Attitudinal, normative, and resource factors affecting psychologists’ intentions to adopt an open data badge: An empirical analysis. International Journal of Information Management, 41(8), 23–32. https://doi.org/10.1016/j.ijinfomgt.2018.03.001</t>
  </si>
  <si>
    <t>10.1016/j.ijinfomgt.2018.03.001</t>
  </si>
  <si>
    <t>Xu, J., &amp; Zhang, R. (2024). Attitudinal, Normative, and Resource Factors Affecting Communication Scholars’ Data Sharing: A Replication Study. Media and Communication, 12. https://doi.org/10.17645/mac.7666</t>
  </si>
  <si>
    <t>10.17645/mac.7666</t>
  </si>
  <si>
    <t>The authors tested the robustness and validity of the original findings.</t>
  </si>
  <si>
    <t>Behavioral intentions</t>
  </si>
  <si>
    <t>Communication scholars, open science, theory of planned behavior</t>
  </si>
  <si>
    <t>factors affecting psychologists’ intentions to adopt an open data badge</t>
  </si>
  <si>
    <t>Attitude toward the adoption of open data badges was the strongest predictor of psychologists' behavioral intention to adopt the badge (β = 0.415, p &lt; 0.001). A positive attitude significantly increased psychologists' intentions to adopt an open science badge.</t>
  </si>
  <si>
    <t>p &lt; 0.001</t>
  </si>
  <si>
    <t>additional_studies21_2</t>
  </si>
  <si>
    <t>additional_studies22</t>
  </si>
  <si>
    <t>Norm on data sharing significantly influenced behavioral intention (β = 0.201, p &lt; 0.001).</t>
  </si>
  <si>
    <t>additional_studies21_3</t>
  </si>
  <si>
    <t>additional_studies23</t>
  </si>
  <si>
    <t>Harper, L. M., &amp; Kim, Y. (2018). Attitudinal, normative, and resource factors affecting psychologists’ intentions to adopt an open data badge: An empirical analysis. International Journal of Information Management, 41(8), 23–32. https://doi.org/10.1016/j.ijinfomgt.2018.03.002</t>
  </si>
  <si>
    <t>Xu, J., &amp; Zhang, R. (2024). Attitudinal, Normative, and Resource Factors Affecting Communication Scholars’ Data Sharing: A Replication Study. Media and Communication, 12. https://doi.org/10.17645/mac.7667</t>
  </si>
  <si>
    <t>10.17645/mac.7667</t>
  </si>
  <si>
    <t>Perceived effort had a negative influence on behavioral intention  (β = -0.226, p &lt; 0.001).</t>
  </si>
  <si>
    <t>additional_studies21_4</t>
  </si>
  <si>
    <t>additional_studies24</t>
  </si>
  <si>
    <t>Harper, L. M., &amp; Kim, Y. (2018). Attitudinal, normative, and resource factors affecting psychologists’ intentions to adopt an open data badge: An empirical analysis. International Journal of Information Management, 41(8), 23–32. https://doi.org/10.1016/j.ijinfomgt.2018.03.003</t>
  </si>
  <si>
    <t>Xu, J., &amp; Zhang, R. (2024). Attitudinal, Normative, and Resource Factors Affecting Communication Scholars’ Data Sharing: A Replication Study. Media and Communication, 12. https://doi.org/10.17645/mac.7668</t>
  </si>
  <si>
    <t>10.17645/mac.7668</t>
  </si>
  <si>
    <t>Open science journal pressure did not have significant effects on behavioral intention  (β = 0.001, p &gt; 0.05).</t>
  </si>
  <si>
    <t>additional_studies21_5</t>
  </si>
  <si>
    <t>additional_studies25</t>
  </si>
  <si>
    <t>Harper, L. M., &amp; Kim, Y. (2018). Attitudinal, normative, and resource factors affecting psychologists’ intentions to adopt an open data badge: An empirical analysis. International Journal of Information Management, 41(8), 23–32. https://doi.org/10.1016/j.ijinfomgt.2018.03.004</t>
  </si>
  <si>
    <t>Xu, J., &amp; Zhang, R. (2024). Attitudinal, Normative, and Resource Factors Affecting Communication Scholars’ Data Sharing: A Replication Study. Media and Communication, 12. https://doi.org/10.17645/mac.7669</t>
  </si>
  <si>
    <t>10.17645/mac.7669</t>
  </si>
  <si>
    <t>The availability of a data repository did not have significant effects on behavioral intention (β = 0.062, p &gt; 0.05).</t>
  </si>
  <si>
    <t>additional_studies22_1</t>
  </si>
  <si>
    <t>Both the experiments are not based on statistical analyses but on rough comparison between means. R_Paper obtained by the author through ResearchGate</t>
  </si>
  <si>
    <t>Cordeiro, M. C., Kodak, T., Reidy, J., Stoppleworth, A., Zelinski, K., &amp; Jainga, A. (2022). Comparison of mastery criteria applied to individual targets and stimulus sets on acquisition of tacts, intraverbals, and listener responses. Journal of Applied Behavior Analysis, 55(4), 1258–1279. https://doi.org/10.1002/jaba.946</t>
  </si>
  <si>
    <t>10.1002/jaba.946</t>
  </si>
  <si>
    <t>10.1002--jaba.946.pdf</t>
  </si>
  <si>
    <t>Chang, H., Nainani, T., &amp; Kim, J. Y. (2024). Comparison of Acquisition Criteria Applied to Individual and Sets of Tacts: A Systematic Replication. Behavior Analysis in Practice, 1-6. https://doi.org/10.1007/s40617-024-00933-1</t>
  </si>
  <si>
    <t>10.1007/s40617-024-00933-1</t>
  </si>
  <si>
    <t>Systematic Replication</t>
  </si>
  <si>
    <t>Comprehensive Application of Behavior Analysis to Schooling model, acquisition criteria, mastery criteria, Tact training, Response maintenance</t>
  </si>
  <si>
    <t xml:space="preserve">Results showed the target mastery criterion required fewer sessions of tact training for 3 of 5 participants and AVCD training for both participants. </t>
  </si>
  <si>
    <t>To acquire 10 operants, all four participants required fewer instructional trials in the Operant compared to the Set Analysis condition.</t>
  </si>
  <si>
    <t>Claims need validation (I do not have access to the original paper)</t>
  </si>
  <si>
    <r>
      <rPr>
        <rFont val="Calibri"/>
        <sz val="11.0"/>
      </rPr>
      <t xml:space="preserve">Chang, H., Nainani, T., &amp; Kim, J. Y. (2024). Comparison of Acquisition Criteria Applied to Individual and Sets of Tacts: A Systematic Replication. Behavior Analysis in Practice, 1-6. </t>
    </r>
    <r>
      <rPr>
        <rFont val="Calibri"/>
        <color rgb="FF1155CC"/>
        <sz val="11.0"/>
        <u/>
      </rPr>
      <t>https://doi.org/10.1007/s40617-024-00933-1</t>
    </r>
  </si>
  <si>
    <t>autism spectrum disorder, false positives, listener training, mastery criteria, tact, training</t>
  </si>
  <si>
    <t>The Operant Analysis condition requires fewer instructional trials than the Set Analysis condition.</t>
  </si>
  <si>
    <t>"Josh required 30, Tim required 21, and Connor required eight additional sessions of instruction to reach mastery in the set condition in comparison to the target condition. Omar’s and Billy’s results showed minimal differences between conditions, and they required only one or two additional session(s) of instruction, respectively, to acquire all targets in the set condition in comparison to the target condition."</t>
  </si>
  <si>
    <r>
      <rPr>
        <rFont val="Calibri"/>
        <sz val="11.0"/>
      </rPr>
      <t xml:space="preserve">p. 8, see my calculation here: </t>
    </r>
    <r>
      <rPr>
        <rFont val="Calibri"/>
        <color rgb="FF1155CC"/>
        <sz val="11.0"/>
        <u/>
      </rPr>
      <t>https://docs.google.com/spreadsheets/d/1Da93yd8SPd-GwqOb8HCKeN1Hobk77X3_1anZLPku0G0/edit?usp=sharing</t>
    </r>
  </si>
  <si>
    <r>
      <rPr>
        <rFont val="Calibri"/>
        <sz val="11.0"/>
      </rPr>
      <t xml:space="preserve">p. 8, see my calculation here: </t>
    </r>
    <r>
      <rPr>
        <rFont val="Calibri"/>
        <color rgb="FF1155CC"/>
        <sz val="11.0"/>
        <u/>
      </rPr>
      <t>https://docs.google.com/spreadsheets/d/1Da93yd8SPd-GwqOb8HCKeN1Hobk77X3_1anZLPku0G0/edit?usp=sharing</t>
    </r>
  </si>
  <si>
    <t>additional_studies22_b</t>
  </si>
  <si>
    <t>Null result in original, replicated successfully according to replication authors</t>
  </si>
  <si>
    <r>
      <rPr>
        <rFont val="Calibri"/>
        <sz val="11.0"/>
      </rPr>
      <t xml:space="preserve">Chang, H., Nainani, T., &amp; Kim, J. Y. (2024). Comparison of Acquisition Criteria Applied to Individual and Sets of Tacts: A Systematic Replication. Behavior Analysis in Practice, 1-6. </t>
    </r>
    <r>
      <rPr>
        <rFont val="Calibri"/>
        <color rgb="FF1155CC"/>
        <sz val="11.0"/>
        <u/>
      </rPr>
      <t>https://doi.org/10.1007/s40617-024-00933-1</t>
    </r>
  </si>
  <si>
    <t>Maintenance is similar between Operant Analysis and Set Analysis conditions.</t>
  </si>
  <si>
    <t>"Maintenance was similar across conditions and experiments"</t>
  </si>
  <si>
    <t>additional_studies23_1</t>
  </si>
  <si>
    <t>There were 2 studies in the replication study, but only the first study replicated the original study. The second study was an extension.</t>
  </si>
  <si>
    <t>Valdesolo, P., &amp; DeSteno, D. (2007). Moral hypocrisy: Social groups and the flexibility of virtue. Psychological science, 18(8), 689-690. https://doi.org/10.1111/j.1467-9280.2007.01961.x</t>
  </si>
  <si>
    <t>10.1111/j.1467-9280.2007.01961.x</t>
  </si>
  <si>
    <t>Robertson, C. E., Akles, M., &amp; Van Bavel, J. J.(in press). Preregistered Replication and Extension of "Moral Hypocrisy: Social Groups and the Flexibility of Virtue". Psychological Science. https://doi.org/10.31234/osf.io/453js</t>
  </si>
  <si>
    <t>10.1177/09567976241246552</t>
  </si>
  <si>
    <t>The study identifies as a replication in the title.</t>
  </si>
  <si>
    <t>Psychology</t>
  </si>
  <si>
    <t>The nature of hipocrisy</t>
  </si>
  <si>
    <t>Moral hipocrisy, intergroup bias, in-group, out-group</t>
  </si>
  <si>
    <t>tendency for people to consider themselves morally good while behaving selfishly (moral hypocrisy)</t>
  </si>
  <si>
    <t>Hipocrisy was evident at both in-group and out-group levels F(1, 72) = 11.75, p = .001, d = 1.11. Participants perceived their own transgressions and those of in-group members more favorably compared to others.</t>
  </si>
  <si>
    <t>p = 0.66</t>
  </si>
  <si>
    <t>additional_studies24_1</t>
  </si>
  <si>
    <t>Study 2 was an extension in the replicated paper.</t>
  </si>
  <si>
    <t>Epley, N., Waytz, A., Akalis, S., &amp; Cacioppo, J. T. (2008). When we need a human: Motivational determinants of anthropomorphism. Social cognition, 26(2), 143-155. https://doi.org/10.1521/soco.2008.26.2.143</t>
  </si>
  <si>
    <t>10.1521/soco.2008.26.2.143</t>
  </si>
  <si>
    <t>Xiao, Q., Elsherif, M., Chu, H. Y., Tang, M. C., Wong, T. H. A., Wu, Y., ... &amp; Feldman, G. Revisiting the positive association between loneliness and anthropomorphism with an extension to belief in free will: A Registered Report replication and extension of Epley et al.(2008). http://dx.doi.org/10.17605/OSF.IO/2SB7X</t>
  </si>
  <si>
    <t>10.1037/cns0000401</t>
  </si>
  <si>
    <t>Motivational determinants of anthropomorphism</t>
  </si>
  <si>
    <t>Anthropomorphism, agents, motivation, traits</t>
  </si>
  <si>
    <t>positive association between loneliness and anthropomorphism</t>
  </si>
  <si>
    <t>Loneliness was positively associated with attributing social connection to nonhuman gadgets (r = -.18, p = .02)</t>
  </si>
  <si>
    <t>p = .261</t>
  </si>
  <si>
    <t>additional_studies25_1</t>
  </si>
  <si>
    <t>BF values are reported in the replication study.</t>
  </si>
  <si>
    <t>Scott, M. (2013). Corollary discharge provides the sensory content of inner speech. Psychological science, 24(9), 1824-1830. https://doi.org/10.1177/0956797613478614</t>
  </si>
  <si>
    <t>10.1177/0956797613478614</t>
  </si>
  <si>
    <t>Delem, M., Stauffert, N., Nguyen, N., Debarnot, U., Guillot, A., &amp; Nalborczyk, L. (2024, March 27). Does the corollary discharge provide the sensory content of inner speech? A preregistered direct replication and extension of Scott  (2013). https://doi.org/10.31234/osf.io/abps9</t>
  </si>
  <si>
    <t>Sensory attenuation</t>
  </si>
  <si>
    <t>Perception, motor processes, speech, motor simulation</t>
  </si>
  <si>
    <t>Corollary discharge provides the sensory content of inner speech</t>
  </si>
  <si>
    <t>Inner speech attenuates the sensory impact of matching external sounds, demonstrating that corollary discharge is a key mechanism in inner speech.</t>
  </si>
  <si>
    <t>needs to be calculated</t>
  </si>
  <si>
    <t>Greater attenuation in the matching condition suggests that sensory attenuation is specifically tied to the congruence between inner speech and external auditory inputs, reinforcing the role of motor-to-sensory prediction</t>
  </si>
  <si>
    <t>Inner speech attenuation mirrors overt speech mechanisms, supporting corollary discharge theory</t>
  </si>
  <si>
    <t>additional_studies26_1</t>
  </si>
  <si>
    <t>additional_studies26</t>
  </si>
  <si>
    <t>"Claim text" column reports the single outcome item involved in the effect, since there is no individual claim for each item, but only a general claim and the table with single effects. Each effect is estimated putting as covariates age, gender, political orientation, religiosity, education, and income.</t>
  </si>
  <si>
    <t>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</si>
  <si>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10.1016/j.jenvp.2022.101868</t>
  </si>
  <si>
    <t>10.1016--j.jenvp.2022.101868.pdf</t>
  </si>
  <si>
    <t>Tedaldi, E., Syropoulos, S., &amp; Markowitz, E. M. (2024). Re-examining feelings of responsibility as a predictor of climate belief and worry: A replication across 31 countries. Journal of Environmental Psychology, 102289. https://doi.org/10.1016/j.jenvp.2024.102289</t>
  </si>
  <si>
    <t>10.1016/j.jenvp.2024.102289</t>
  </si>
  <si>
    <t xml:space="preserve">climate change responsibility, pro-environmental attitudes, meta-analysis </t>
  </si>
  <si>
    <t>"we find that perceived responsibility to address climate change relates to 10 different pro-environmental outcomes."</t>
  </si>
  <si>
    <t>Table 2: "Climate change worry"</t>
  </si>
  <si>
    <t>b (unstd)</t>
  </si>
  <si>
    <t>https://osf.io/jqpm8/?view_only=38a5b79a4f2a49b0a0b1a74c6afc8677</t>
  </si>
  <si>
    <t>https://aspredicted.org/3KR_RSK</t>
  </si>
  <si>
    <t>Radoslaw</t>
  </si>
  <si>
    <t>additional_studies26_a</t>
  </si>
  <si>
    <t>perceived responsibility</t>
  </si>
  <si>
    <t xml:space="preserve">Climate change, Perceived responsibility, Proenvironmental outcomes, European social survey, Sustainability, </t>
  </si>
  <si>
    <t>effect of perceived responsibility to address climate change (...) on worry about chlimate change</t>
  </si>
  <si>
    <t>Climate change worry ...b = .16, SE =.01</t>
  </si>
  <si>
    <t>nothing filled out, should code again</t>
  </si>
  <si>
    <t>additional_studies26_b</t>
  </si>
  <si>
    <t>effect of perceived responsibility to address climate change (...) on belief climate change is caused by humans</t>
  </si>
  <si>
    <t>Climate change caused by humans, ..., .b = 07 SE = 0.01</t>
  </si>
  <si>
    <t>Table 2: "Climate change (is) caused by humans"</t>
  </si>
  <si>
    <t>https://osf.io/jqpm8/?view_only=38a5b79a4f2a49b0a0b1a74c6afc8679</t>
  </si>
  <si>
    <t>additional_studies27_1</t>
  </si>
  <si>
    <t>additional_studies27</t>
  </si>
  <si>
    <t>There is no data since both the O_study and the replication are systematic review with no meta-analysis. Furthermore, the replication is a master thesis.</t>
  </si>
  <si>
    <t>Schenk, M., &amp; Miltenberger, R. (2019). A review of behavioral interventions to enhance sports performance. Behavioral Interventions, 34(2), 248–279. https://doi.org/10.1002/bin.1659</t>
  </si>
  <si>
    <t>10.1002/bin.1659</t>
  </si>
  <si>
    <t>10.1002--bin.1659.pdf</t>
  </si>
  <si>
    <t>Macias Mendoza, S. (2024). A Replication of a Systematic Review of Behavioral Interventions in Sports. [Master's thesis, Youngstown State University]. OhioLINK Electronic Theses and Dissertations Center. http://rave.ohiolink.edu/etdc/view?acc_num=ysu1714739251583684</t>
  </si>
  <si>
    <t>mendoza_2024</t>
  </si>
  <si>
    <t>http://rave.ohiolink.edu/etdc/view?acc_num=ysu1714739251583684</t>
  </si>
  <si>
    <t>Sports Sciences</t>
  </si>
  <si>
    <t>behavioral interventions, sports performance</t>
  </si>
  <si>
    <t>mendoza.2024.pdf</t>
  </si>
  <si>
    <t>literature review</t>
  </si>
  <si>
    <t>additional_studies28_1</t>
  </si>
  <si>
    <t>additional_studies28</t>
  </si>
  <si>
    <t>May, A. C., Burrows, K., Figueroa-Hall, L. K., Kirlic, N., White, E. J., Smith, R., ... &amp; T1000 Investigators. (2021). Sex differences in circulating inflammatory mediators as a function of substance use disorder. Drug and alcohol dependence, 221, 108610., https://doi.org/10.1016/j.drugalcdep.2021.108610</t>
  </si>
  <si>
    <t>10.1016/j.drugalcdep.2021.108610</t>
  </si>
  <si>
    <t>10.1016--j.drugalcdep.2021.108610.pdf</t>
  </si>
  <si>
    <t>Stewart, J. L., Burrows, K., May, A. C., McNaughton, B. A., Smith, R., Kuplicki, R., ... &amp; Figueroa-Hall, L. (2024). C-Reactive Protein Concentrations Diverge as a Function of Substance Use Disorder: A Pre-Registered Replication in a Clinical Sample. Drug and Alcohol Dependence, 111323. https://doi.org/10.1016/j.drugalcdep.2024.111323</t>
  </si>
  <si>
    <t>10.1016/j.drugalcdep.2024.111323</t>
  </si>
  <si>
    <t>substance use disorder,  C-reactive protein,  interleukin 8 ,  body mass index , sex differences, Cytokines</t>
  </si>
  <si>
    <t>"Within females, SUD + exhibited higher IL-8 and IL-10 but lower CRP levels than SUD-. In contrast, SUD was not associated with biomarker levels in males."</t>
  </si>
  <si>
    <t>"In females, higher interleukin 8 [..] levels were linked to presence of SUD." (substance use disorder)</t>
  </si>
  <si>
    <t>https://aspredicted.org/</t>
  </si>
  <si>
    <t>additional_studies28_a</t>
  </si>
  <si>
    <t>biomarkes of substace use diorder</t>
  </si>
  <si>
    <t xml:space="preserve">Substance use disorder, Depression, Inflammation, Cytokines, Chemokines, Interleukin-8, Interleukin-10, C-reactive protein, Tumor necrosis factor-alpha, </t>
  </si>
  <si>
    <t>level of C-reactive protein in femals with substance use disorder</t>
  </si>
  <si>
    <t>CRP. Predictors explained 45 % of the variance (Adjusted R2 =.45)</t>
  </si>
  <si>
    <t>F</t>
  </si>
  <si>
    <t>additional_studies28_b</t>
  </si>
  <si>
    <t>level of interleukin 8 in females with substance use disorder</t>
  </si>
  <si>
    <t>IL-8. Predictors explained 15 % of the variance (Adjusted R2 =.15)</t>
  </si>
  <si>
    <t>additional_studies28_c</t>
  </si>
  <si>
    <t>level of interleukin 10 in females with substance use disorder</t>
  </si>
  <si>
    <t>IL-10. Predictors explained 9% of the variance (Adjusted R2
=.09)</t>
  </si>
  <si>
    <t>"In females, higher interleukin [...] 10 levels were linked to presence of SUD." (substance use disorder)</t>
  </si>
  <si>
    <t>"In females, higher C-reactive protein levels were linked to absence of SUD." (substance use disorder)</t>
  </si>
  <si>
    <t>additional_studies28_d</t>
  </si>
  <si>
    <t>No specific claim. Interleukin 8 in males</t>
  </si>
  <si>
    <t>p.6</t>
  </si>
  <si>
    <t>additional_studies28_e</t>
  </si>
  <si>
    <t>No specific claim. Interleukin10 in males</t>
  </si>
  <si>
    <t>additional_studies28_f</t>
  </si>
  <si>
    <t>No specific claim. C-reactive protein levels in males</t>
  </si>
  <si>
    <t>−.03</t>
  </si>
  <si>
    <t>additional_studies29_1</t>
  </si>
  <si>
    <t>additional_studies29</t>
  </si>
  <si>
    <t>Feedback for Vidhi:
'- please change "date_entered" to the day that you worked on the entry
- Ref_replication was not in APA format and doi_r was missing
- label "systematic replication" was missing
- can you please explain why you did not extract any statistics? There was no note in "notes_coder"</t>
  </si>
  <si>
    <t>Renda, C. R., Rung, J. M., Hinnenkamp, J. E., Lenzini, S. N., &amp; Madden, G. J. (2018). Impulsive choice and pre-exposure to delays: IV. Effects of delay-and immediacy-exposure training relative to maturational changes in impulsivity. Journal of the Experimental Analysis of Behavior, 109, 587–599. https://doi.org/10.1002/jeab.432</t>
  </si>
  <si>
    <t>10.1002/jeab.432</t>
  </si>
  <si>
    <r>
      <rPr>
        <rFont val="Arial"/>
        <color rgb="FF222222"/>
      </rPr>
      <t xml:space="preserve">Fox, A. E. (2024). Immediate Reinforcement Training Has Moderate Effect on Delay Discounting Behavior in Rats: A Systematic Replication. The Psychological Record, 1-6. </t>
    </r>
    <r>
      <rPr>
        <rFont val="Arial"/>
        <color rgb="FF1155CC"/>
        <u/>
      </rPr>
      <t>https://doi.org/10.1007/s40732-024-00597-x</t>
    </r>
  </si>
  <si>
    <t>10.1007/s40732-024-00597-x</t>
  </si>
  <si>
    <t>systematic replication</t>
  </si>
  <si>
    <t>Immediate Reinforcement Training and Delay Discounting Behavior in Rats</t>
  </si>
  <si>
    <t xml:space="preserve">After validating this entry for 30 minutes, I could not find out why Aleksandr chose the 15-s delay effect for the original and the overall effect for the replication. I replaced it with the overall delay (15 + 30s).
Feedback for Aleksandr:
- description was missing
- please do not conduct effect size conversions but only copy what is in the paper. You may do calculations using the sheet in the table. If you do so, please save one sheet for each calculation
- if you do not choose the first result from the original study, please write in the notes_coder why you chose the particular finding over another
</t>
  </si>
  <si>
    <r>
      <rPr>
        <rFont val="Arial"/>
        <color rgb="FF222222"/>
      </rPr>
      <t xml:space="preserve">Fox, A. E. (2024). Immediate Reinforcement Training Has Moderate Effect on Delay Discounting Behavior in Rats: A Systematic Replication. The Psychological Record, 1-6. </t>
    </r>
    <r>
      <rPr>
        <rFont val="Arial"/>
        <color rgb="FF1155CC"/>
        <u/>
      </rPr>
      <t>https://doi.org/10.1007/s40732-024-00597-x</t>
    </r>
  </si>
  <si>
    <t>LLR, IE, CONT</t>
  </si>
  <si>
    <t>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</si>
  <si>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 z = 2.81, N = 34</t>
  </si>
  <si>
    <t xml:space="preserve">The article uses — z = 1.73, p = .08 — a. r needs to be calculated using z and both sample groups size (17 in both), so we have r = 1,73/ √34 =0,297
</t>
  </si>
  <si>
    <t>z = 2.08, p = .04</t>
  </si>
  <si>
    <t>The artcile uses z = 2.08, sample size of both groups 48. r = 2.08/√48 = 0.300</t>
  </si>
  <si>
    <t xml:space="preserve">Feedback for Aleksandr:
- description was missing
- please do not conduct effect size conversions but only copy what is in the paper. You may do calculations using the sheet in the table. If you do so, please save one sheet for each calculation
- if you do not choose the first result from the original study, please write in the notes_coder why you chose the particular finding over another
</t>
  </si>
  <si>
    <t>The replication attempt cites the original article but it is not a direct replication. It uses the same research paradigm but a direct comparison between the results is not suitable.</t>
  </si>
  <si>
    <t>10.1002--jeab.432.pdf</t>
  </si>
  <si>
    <t>Fox, A.E. Immediate Reinforcement Training Has Moderate Effect on Delay Discounting Behavior in Rats: A Systematic Replication. Psychol Rec (2024). https://doi.org/10.1007/s40732-024-00597-x</t>
  </si>
  <si>
    <t>A Systematic Replication</t>
  </si>
  <si>
    <t>additional_studies3_1</t>
  </si>
  <si>
    <t>additional_studies3</t>
  </si>
  <si>
    <t>not sure if close or conceptual is more accurate</t>
  </si>
  <si>
    <t xml:space="preserve">- I added the study number of the replication and of the original 
- I changed the page numbers to the ones of the PDFs
- I added the effect
- I added nesting = yes (replication and original)
- I switched the investigated effects of the replication </t>
  </si>
  <si>
    <t>Castro, A. A., Hur, J., &amp; Berenbaum, H. (2022). A bifactor approach to modeling the structure of repetitive thinking: Replication and extension. Personality and Individual Differences, 189, 111472. https://doi.org/10.1016/j.paid.2021.111472</t>
  </si>
  <si>
    <t>10.1016/j.paid.2021.111472</t>
  </si>
  <si>
    <t>10.1016--j.paid.2021.111472.pdf</t>
  </si>
  <si>
    <t>Liu, K., Wright, M. E., Cole, L. A., &amp; Warren, S. L. (2024). Bi-factor model of repetitive thinking: Replication and extension. Personality and Individual Differences, 226, 112692. https://doi.org/10.1016/j.paid.2024.112692</t>
  </si>
  <si>
    <t>10.1016/j.paid.2024.112692</t>
  </si>
  <si>
    <t>Differential Psychology</t>
  </si>
  <si>
    <t>Repetitve Negative Thinking (RNT)</t>
  </si>
  <si>
    <t>bifactor/worry/rumination/structure/repetitive thinking</t>
  </si>
  <si>
    <t>bi-factor structure of repetitive thinking with both shared variance in repetitive thinking and unique variance specific to each form of repetitive thinking, specifically worry, rumination, and reflection</t>
  </si>
  <si>
    <t>"The content-specific bifactor model was superior to the fit of the alternative models. Specifically, the content-specific model provided a statistically significant better fit to the data than a single-factor model, ΔX2 (3) = 35,419.8, p &lt; .001,"</t>
  </si>
  <si>
    <t>X2(3) = 35,419.8</t>
  </si>
  <si>
    <t>X2(12) = 206.24</t>
  </si>
  <si>
    <t>additional_studies3_b</t>
  </si>
  <si>
    <t>"The content-specific bifactor model was superior to the fit of the alternative models. Specifically, [...] the valence bifactor model in turn improved fit to the content-specific model, ΔX2 (26) = 1163.1, p &lt; .001"</t>
  </si>
  <si>
    <t>X2(26) = 1163.1</t>
  </si>
  <si>
    <t>X2(4) = 50.16</t>
  </si>
  <si>
    <t>additional_studies3_c</t>
  </si>
  <si>
    <t xml:space="preserve">- I added the study number of the replication and of the original 
- I changed the page numbers to the ones of the PDFs
- I added the effect
- I added nesting = yes (replication and original)
- I switched the investigated effects of the replication
- I changed the claim since multiple effects were included
- I changed the p-value
</t>
  </si>
  <si>
    <t>"the content-specific bifactor model in turn improved fit to the valence bifactor structure (model with the next best fit) ΔX2(11) = 2302.6, p &lt; .001."</t>
  </si>
  <si>
    <t>X2(11) = 2302.6</t>
  </si>
  <si>
    <t>X2(4) = 11.65</t>
  </si>
  <si>
    <t>additional_studies3_d</t>
  </si>
  <si>
    <t>Delete this row</t>
  </si>
  <si>
    <t>yes, the row is double coded</t>
  </si>
  <si>
    <t>Content-specific bifactor model had a better fit than valence bifactor model</t>
  </si>
  <si>
    <t>X2 (4) = 11.65</t>
  </si>
  <si>
    <t>additional_studies3_a</t>
  </si>
  <si>
    <t>Effect size was calculated.</t>
  </si>
  <si>
    <t>- The coder coded the explained common variance of the replication study as effect size and classified it as etasquared. Moreover, the wrong semantically wrong effects were coded. I texted Lukas regarding this paper.
- I deleted all effects an coded them from the scratch
- I added the study numbers</t>
  </si>
  <si>
    <t>Replication and extensions</t>
  </si>
  <si>
    <t>Worry, Rumination, Reflection, Big Five, Depression, Anxiety, Emotion regulation, Emotional awareness</t>
  </si>
  <si>
    <t>X2 (4) = 50.16</t>
  </si>
  <si>
    <t>yes, this row mus be excluded</t>
  </si>
  <si>
    <t>Reflection-Specific Factor</t>
  </si>
  <si>
    <t>It was also positively associated with attention to emotion, suggesting that this factor captures a tendency for contemplative self-analysis.</t>
  </si>
  <si>
    <t>additional_studies30_1</t>
  </si>
  <si>
    <t>additional_studies30</t>
  </si>
  <si>
    <t>everything is empty??</t>
  </si>
  <si>
    <t>Pérez, A., Potocki, A., Stadtler, M., Macedo-Rouet, M., Paul, J., Salmerón, L., &amp; Rouet, J. F. (2018). Fostering teenagers' assessment of information reliability: Effects of a classroom intervention focused on critical source dimensions. Learning and Instruction, 58, 53-64. https://doi.org/10.1016/j.learninstruc.2018.04.006</t>
  </si>
  <si>
    <t>10.1016/j.learninstruc.2018.04.006</t>
  </si>
  <si>
    <t>Martínez, M. A., Saux, G., Londra, F., &amp; Burin, D. I. (2024). Effects of a classroom intervention on college students’ sourcing skills: replication and extension study. Discourse Processes, 1–26. https://doi.org/10.1080/0163853X.2024.2339738</t>
  </si>
  <si>
    <t>10.1080/0163853X.2024.2339738</t>
  </si>
  <si>
    <t>Education Sciences</t>
  </si>
  <si>
    <t>knowledge application task, group</t>
  </si>
  <si>
    <t>Effects of a classroom intervention on college students’ sourcing skills</t>
  </si>
  <si>
    <t>what is the purpose of this row, please fill in the columns</t>
  </si>
  <si>
    <t>added claim_page_o; added study_o and study_r</t>
  </si>
  <si>
    <t>Martínez, M. A., Saux, G., Londra, F., &amp; Burin, D. I. (2024). Effects of a classroom intervention on college students’ sourcing skills: replication and extension study. Discourse Processes, 1-26.</t>
  </si>
  <si>
    <t>replication and extension</t>
  </si>
  <si>
    <t>knowledge application task</t>
  </si>
  <si>
    <t>The three main effects were significant: group, X2 (1)=5.49, p &lt; .05, dv=0.09,</t>
  </si>
  <si>
    <t>dv</t>
  </si>
  <si>
    <t>p. 59</t>
  </si>
  <si>
    <t>p.266</t>
  </si>
  <si>
    <t>https://osf.io/8ga4s?view_only=38d7630a8c6e4eb6aee200540eec175d</t>
  </si>
  <si>
    <t>please fill in the column "effect"</t>
  </si>
  <si>
    <t>additional_studies30_b</t>
  </si>
  <si>
    <t>knowledge application task, phase</t>
  </si>
  <si>
    <t>Phase X2 (2)=9.17, p &lt; .05, dv=0.08</t>
  </si>
  <si>
    <t>additional_studies30_c</t>
  </si>
  <si>
    <t>knowledge application task, condition</t>
  </si>
  <si>
    <t>condition, X2 (3)=62.69, p &lt; .001, dv=0.37,</t>
  </si>
  <si>
    <t>additional_studies30_d</t>
  </si>
  <si>
    <t xml:space="preserve"> added study_o and study_r</t>
  </si>
  <si>
    <t>knowledge application task, interaction</t>
  </si>
  <si>
    <t>More importantly, the three-way interaction of group, phase and condition was significant, X2 (6)=12.64, p &lt; .05, dv=0.04</t>
  </si>
  <si>
    <t>additional_studies30_e</t>
  </si>
  <si>
    <t>transfer task</t>
  </si>
  <si>
    <t>Near ransfer task, group</t>
  </si>
  <si>
    <t>The model demonstrated a significant main effect of group, X2 (1)=10.68, p &lt; .01, with more correct responses in the trained (M=0.72, SE=0.18) than in the control group (M=0.53, SE=0.15; OR=0.39, CI 0.23–0.64);</t>
  </si>
  <si>
    <t>p. 60</t>
  </si>
  <si>
    <t>p.268</t>
  </si>
  <si>
    <t>additional_studies30_f</t>
  </si>
  <si>
    <t xml:space="preserve"> added study_o and study_r; es_original is coded reversed and was computed as 0.42^(-1) = 2.38095238095</t>
  </si>
  <si>
    <t>Near ransfer task, phase</t>
  </si>
  <si>
    <t>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</si>
  <si>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SMS, LR</t>
  </si>
  <si>
    <t>additional_studies30_g</t>
  </si>
  <si>
    <t>Near ransfer task, 2 factors interaction, post test 1</t>
  </si>
  <si>
    <t>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</si>
  <si>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p.267</t>
  </si>
  <si>
    <t>additional_studies30_h</t>
  </si>
  <si>
    <t>Near ransfer task, 2 factors interaction, post test 2</t>
  </si>
  <si>
    <t>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</si>
  <si>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I think study 30 is codable in principle, but it has a challenge. The original article reports comparisons as chi-squared tests (what we can call classic NHST), but the replication reports coefficients from regression modeling. This means that to compare specific results from both studies, we need to build and solve the regression equations based on the parameter estimates presented in the replication article. I think this is a demanding, specific task that I am not sure FORRT would want to perform. Please let me know your thoughts on this.</t>
  </si>
  <si>
    <t>10.1016--j.learninstruc.2018.04.006.pdf</t>
  </si>
  <si>
    <t>(https://osf.io/8ga4s/</t>
  </si>
  <si>
    <t>additional_studies31_1</t>
  </si>
  <si>
    <t>additional_studies31</t>
  </si>
  <si>
    <t>The O_experiment seems a little complicated, they did not perform repeated measure analyses, but correlations between the conditions deltas and the misinformation availability in two different outcomes (which are deltas as well between 2 conditions of another repeated measures predictor).</t>
  </si>
  <si>
    <t>Blank, H., Panday, A., Edwards, R., Skopicz-Radkiewicz, E., Gibson, V., &amp;Reddy, V. (2022). Double misinformation: Effects on eyewitnessremembering.Journal of Applied Research in Memory and Cognition,11(1), 97–105.https://doi.org/10.1016/j.jarmac.2021.08.001</t>
  </si>
  <si>
    <t>10.1016/j.jarmac.2021.08.001</t>
  </si>
  <si>
    <t>10.1016--j.jarmac.2021.08.001.pdf</t>
  </si>
  <si>
    <t>Smołka, E., &amp; Blank, H. (2024). Double misinformation and eyewitness performance: An experimental replication. Applied Cognitive Psychology, 38(3), e4202. https://doi.org/10.1002/acp.4202</t>
  </si>
  <si>
    <t>10.1002/acp.4202</t>
  </si>
  <si>
    <t>misinformation effect</t>
  </si>
  <si>
    <t>Double misinformation, eyewitness memory, discrepancy detection</t>
  </si>
  <si>
    <t>"noticing contradictions between multiple pieces of misinformation undermines credibility and decreases the effect (all relative to the effect of a single piece of misinformation)."</t>
  </si>
  <si>
    <t>Figure 1: "Net change in the misinformation effect (MIE; operationalised as either misinformation endorsement or accuracy with double misinformation compared to standard misinformation) as a function of misinformation availability. Positive (negative) changes mean that the misinformation effect is larger (smaller) with double misinformation." misinf endorsement</t>
  </si>
  <si>
    <t>p.16</t>
  </si>
  <si>
    <t>p.11</t>
  </si>
  <si>
    <t>https://osf.io/8kzgd</t>
  </si>
  <si>
    <t>additional_studies31_a</t>
  </si>
  <si>
    <t>discrepancy detection</t>
  </si>
  <si>
    <t>discrepancy detection, eyewitness memory, misinformation availability, misinformation effect</t>
  </si>
  <si>
    <t xml:space="preserve">misinformatio aviability correlates with misinformation endorsement </t>
  </si>
  <si>
    <t>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</si>
  <si>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additional_studies31_b</t>
  </si>
  <si>
    <t>misinformatio aviability correlates with accuracy operationalisations of the misinformation effect</t>
  </si>
  <si>
    <t>Figure 1: "Net change in the misinformation effect (MIE; operationalised as either misinformation endorsement or accuracy with double misinformation compared to standard misinformation) as a function of misinformation availability. Positive (negative) changes mean that the misinformation effect is larger (smaller) with double misinformation." accuracy</t>
  </si>
  <si>
    <t>additional_studies32_1</t>
  </si>
  <si>
    <t>additional_studies32</t>
  </si>
  <si>
    <t>Effect reffered to Reaction times. The O_exp did not report p values, qhile the R_exp employed Z scores for the contrasts (not d as I selected)</t>
  </si>
  <si>
    <t>Grainger, J., Snell, J., &amp; Beyersmann, E. (2021). Morphological processing in the flankers task. Language, Cognition and Neuroscience, 36(3), 288–295. https://doi.org/10.1080/23273798.2020.1810292</t>
  </si>
  <si>
    <t>10.1080/23273798.2020.1810292</t>
  </si>
  <si>
    <t>10.1080--23273798.2020.1810292.pdf</t>
  </si>
  <si>
    <t>Beyersmann, E., &amp; Grainger, J. (2024). A replication of morphological flanker effects in French. Language, Cognition and Neuroscience, 1–6. https://doi.org/10.1080/23273798.2024.2337948</t>
  </si>
  <si>
    <t>10.1080/23273798.2024.2337948</t>
  </si>
  <si>
    <t>morphological family
size effects</t>
  </si>
  <si>
    <t>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</si>
  <si>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 </t>
  </si>
  <si>
    <t>"A main effect of flanker relatedness was observed, with
faster responses in the presence of related flankers"</t>
  </si>
  <si>
    <t>X2(1) = 140.71</t>
  </si>
  <si>
    <t>https://www.prolific.co</t>
  </si>
  <si>
    <t>replication study file not in repository, cannot access the publication on publisher site, requires purchase</t>
  </si>
  <si>
    <t>additional_studies32_b</t>
  </si>
  <si>
    <t>"Crucially, interaction effects were observed between morphological structure and flanker relatedness: between the truly morphological and pseudo-morphological conditions..."</t>
  </si>
  <si>
    <t>additional_studies32_c</t>
  </si>
  <si>
    <t>"Crucially, interaction effects were observed between morphological structure and flanker relatedness: [...], and between the truly morphological and non-morphological conditions,"</t>
  </si>
  <si>
    <t>additional_studies32_d</t>
  </si>
  <si>
    <t>"On the other hand, the effect of flanker relatedness did not differ between the pseudo-morphological and non-morphological conditions..."</t>
  </si>
  <si>
    <t>additional_studies32_e</t>
  </si>
  <si>
    <t>Effect reffered to Error rates. The O_exp did not report p values, qhile the R_exp employed Z scores for the contrasts (not d as I selected)</t>
  </si>
  <si>
    <t>"In the error rates we again established interactions between morphological and orthographic relatedness when isolating the truly morphological and non-morphological conditions .."</t>
  </si>
  <si>
    <t>additional_studies32_f</t>
  </si>
  <si>
    <t>"In the error rates we again established interactions between [...] but not when isolating the truly morphological and pseudomorphological conditions"</t>
  </si>
  <si>
    <t>−0.30</t>
  </si>
  <si>
    <t>additional_studies32_g</t>
  </si>
  <si>
    <t>"In the error rates we again established interactions between [...] but not when isolating [...] or when isolating the pseudo-morphological and non-morphological conditions "</t>
  </si>
  <si>
    <t>−0.33</t>
  </si>
  <si>
    <t>additional_studies33_1</t>
  </si>
  <si>
    <t>additional_studies33</t>
  </si>
  <si>
    <t>Kormos, J., &amp; Dénes, M. (2004). Exploring measures and perceptions of fluency in the speech of second language learners. System, 32(2), 145–164. https://doi.org/10.1016/j.system.2004.01.001</t>
  </si>
  <si>
    <t>10.1016/j.system.2004.01.001</t>
  </si>
  <si>
    <t>Magne, V. (2024). Replication research in the domain of perceived L2 fluency: Approximate and close replications of Kormos and Dénes (2004) and Rossiter (2009). Language Teaching, 1–9. doi:10.1017/S0261444824000120</t>
  </si>
  <si>
    <t>10.1017/S0261444824000120</t>
  </si>
  <si>
    <t>10.1017--S0261444824000120.pdf</t>
  </si>
  <si>
    <t>Second language fluency</t>
  </si>
  <si>
    <t>Magne, V. (2024). Replication research in the domain of perceived L2 fluency: Approximate and close replications of Kormos and Dénes (2004) and Rossiter (2009). Language Teaching, 1-9.</t>
  </si>
  <si>
    <t>Not a replication, just a proposal for potential replication</t>
  </si>
  <si>
    <t>As the replication article states "The primary objective of this paper is to contribute to the advancement of second language (L2) fluency research by outlining a specific proposal for future replication studies". Therefore, this is not a replication study but a proposal of replication. The authors analyze the scope and limitations of the original research article and draw a proposal.</t>
  </si>
  <si>
    <t>10.1016--j.system.2004.01.001.pdf</t>
  </si>
  <si>
    <t>Approximate and close replications of Kormos and Dénes (2004) and Rossiter (2009)</t>
  </si>
  <si>
    <t>additional_studies34_1</t>
  </si>
  <si>
    <t>additional_studies34</t>
  </si>
  <si>
    <t>Rossiter, M. J. (2009). Perceptions of L2 fluency by native and non-native speakers of English. Canadian Modern Language Review, 65(3), 395–412. https://doi.org/10.3138/cmlr.65.3.395</t>
  </si>
  <si>
    <t>10.3138/cmlr.65.3.395</t>
  </si>
  <si>
    <t>Magne, V. (2024). Replication research in the domain of perceived L2 fluency: Approximate and close replications of Kormos and Dénes (2004) and Rossiter (2009). Language Teaching, 1–9. https://doi.org/10.1017/S0261444824000120</t>
  </si>
  <si>
    <t>Not a replication, just a proposal for potential reolication</t>
  </si>
  <si>
    <t>10.3138--cmlr.65.3.395.pdf</t>
  </si>
  <si>
    <t>Ray</t>
  </si>
  <si>
    <t>additional_studies35_1</t>
  </si>
  <si>
    <t>additional_studies35</t>
  </si>
  <si>
    <t>LR, RB</t>
  </si>
  <si>
    <t>Feedback for Ray
- Why did you not code any of the test statistics?</t>
  </si>
  <si>
    <t>Davis, W. T., Rapp, J. T., Brogan, K. M., Pinkston, J. W., &amp; Chinnappan, B. (2021). Comparing stimulus preference and response force in a conjugate preparation. Journal of the Experimental Analysis of Behavior, 116(1), 96–113. https://doi.org/10.1002/jeab.705</t>
  </si>
  <si>
    <t>10.1002/jeab.705</t>
  </si>
  <si>
    <t>10.1002--jeab.705.pdf</t>
  </si>
  <si>
    <t>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 https://doi.org/10.1002/jeab.915</t>
  </si>
  <si>
    <t>10.1002/jeab.915</t>
  </si>
  <si>
    <t>A replication with auditory stimulation</t>
  </si>
  <si>
    <t>family values (i.e., importance and centrality of the family) of mother and father</t>
  </si>
  <si>
    <t>This is a replication study on the use of a conjugate preparation
for assessing preference. The original study administered a verbal multiple-stimulus-without-replacement
assessment (VMSWO). The replication study includes, in addition, auditive stimuli and, as stated by the authors, "Deviated from the Davis
et al. procedures, in part, for the purposes of efficiency and practicality". Moreover, the original study performed the assessment five times with the participants but the replication did it just once. The replicators argue "We rationalized this to be an acceptable alteration because supplemental data provided by the Davis et al. study showed HP and LP items identified in the first array of sample stimuli were consistent with HP and LP items identified from seven arrays for 70% of participants in their preliminary study."</t>
  </si>
  <si>
    <t>Feedback for Daniel
- please enter your name and the date that you are working on into the variables contributors and date_entered</t>
  </si>
  <si>
    <r>
      <rPr>
        <rFont val="Calibri"/>
        <sz val="11.0"/>
      </rPr>
      <t xml:space="preserve">Davis, W. T., Rapp, J. T., Brogan, K. M., Pinkston, J. W., &amp; Chinnappan, B. (2021). Comparing stimulus preference and response force in a conjugate preparation. Journal of the Experimental Analysis of Behavior, 116(1), 96–113. </t>
    </r>
    <r>
      <rPr>
        <rFont val="Calibri"/>
        <color rgb="FF1155CC"/>
        <sz val="11.0"/>
        <u/>
      </rPr>
      <t>https://doi.org/10.1002/jeab.705</t>
    </r>
  </si>
  <si>
    <r>
      <rPr>
        <rFont val="Calibri"/>
        <sz val="11.0"/>
      </rPr>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 </t>
    </r>
    <r>
      <rPr>
        <rFont val="Calibri"/>
        <color rgb="FF1155CC"/>
        <sz val="11.0"/>
        <u/>
      </rPr>
      <t>https://doi.org/10.1002/jeab.915</t>
    </r>
  </si>
  <si>
    <t>Response force in a conjugate preparation (VMSWO Rank 1-5 by Mean
Force Rank 1-5)</t>
  </si>
  <si>
    <t>conjugate reinforcement, MSWO, response force, stimulus preference</t>
  </si>
  <si>
    <t>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</si>
  <si>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</si>
  <si>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X2(8) = 104.09</t>
  </si>
  <si>
    <t>p. 105</t>
  </si>
  <si>
    <t>cramer's V</t>
  </si>
  <si>
    <t>p. 20</t>
  </si>
  <si>
    <t>additional_studies36</t>
  </si>
  <si>
    <t>additional_studies36_b</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</si>
  <si>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text claim, since two effects were reported in the text claim
- I changed the page number of the replication to the PDF page-number
- I added NA to registration of the replication study  </t>
  </si>
  <si>
    <t>Sfärlea, A., Greimel, E., Platt, B., Dieler, A. C., &amp; Schulte‐Körne, G. (2018). Recognition of emotional facial expressions in adolescents with anorexia nervosa and adolescents with major depression. Psychiatry Research, 262, 586–594. https://doi.org/10.1016/j.psychres.2017.09.049</t>
  </si>
  <si>
    <t>10.1016/j.psychres.2017.09.048</t>
  </si>
  <si>
    <t>Sfärlea, A., Buhl, C., Lukas, L., &amp; Schulte‐Körne, G. (2024). Superior facial emotion recognition in adolescents with anorexia nervosa–A replication study. European Eating Disorders Review. https://doi.org/10.1002/erv.3103</t>
  </si>
  <si>
    <t>10.1002/erv.3103</t>
  </si>
  <si>
    <t>A replication study</t>
  </si>
  <si>
    <t>Percentage of correct answers: Effect of emotion</t>
  </si>
  <si>
    <t>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</si>
  <si>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 </t>
  </si>
  <si>
    <t>The TASK × EMOTION × GROUP ANOVA on percentage of correct answers revealed a significant main effect of [...] EMOTION (F3.5,298.9 =107.8, p&lt;.001, ηp 2 = .556).</t>
  </si>
  <si>
    <t>Corinna</t>
  </si>
  <si>
    <t>additional_studies36_c</t>
  </si>
  <si>
    <t>Sfärlea, A., Greimel, E., Platt, B., Dieler, A. C., &amp; Schulte‐Körne, G. (2018). Recognition of emotional facial expressions in adolescents with anorexia nervosa and adolescents with major depression. Psychiatry Research, 262, 586–594. https://doi.org/10.1016/j.psychres.2017.09.050</t>
  </si>
  <si>
    <t>Percentage of correct answers: Effect of Task X group interaction</t>
  </si>
  <si>
    <t>In addition, a TASK × GROUP interaction (F2.9,123.2 = 3.1, p = .031, ηp 2 = .067) [...] emerged.</t>
  </si>
  <si>
    <t>additional_studies36_d</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</si>
  <si>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text claim, since multiple effects were reported in the text claim
- I changed the page number of the replication to the PDF page-number
- I added NA to registration of the replication study  </t>
  </si>
  <si>
    <t>Sfärlea, A., Greimel, E., Platt, B., Dieler, A. C., &amp; Schulte‐Körne, G. (2018). Recognition of emotional facial expressions in adolescents with anorexia nervosa and adolescents with major depression. Psychiatry Research, 262, 586–594. https://doi.org/10.1016/j.psychres.2017.09.051</t>
  </si>
  <si>
    <t>Percentage of correct answers: Effect of Task X emotion interaction</t>
  </si>
  <si>
    <t>In addition, a [...] TASK × EMOTION interaction (F4.2,361.9 = 92.5, p&lt;.001, ηp 2 = .518) emerged.</t>
  </si>
  <si>
    <t>additional_studies36_e</t>
  </si>
  <si>
    <t>The replication and the original articles are clearly reported. I was able to map each of the replication attempts.</t>
  </si>
  <si>
    <t>Sfärlea, A., Greimel, E., Platt, B., Dieler, A. C., &amp; Schulte‐Körne, G. (2018). Recognition of emotional facial expressions in adolescents with anorexia nervosa and adolescents with major depression. Psychiatry Research, 262, 586–594. https://doi.org/10.1016/j.psychres.2017.09.052</t>
  </si>
  <si>
    <t>Percentage of correct answers: Effect of Task X Emotion X Group interaction</t>
  </si>
  <si>
    <t>were further qualified by a TASK × EMOTION × GROUP interaction (F8.4,361.9 =2.6, p = .009, ηp 2 = .056).</t>
  </si>
  <si>
    <t>pp. 4-5</t>
  </si>
  <si>
    <t>additional_studies36_f</t>
  </si>
  <si>
    <t>Sfärlea, A., Greimel, E., Platt, B., Dieler, A. C., &amp; Schulte‐Körne, G. (2018). Recognition of emotional facial expressions in adolescents with anorexia nervosa and adolescents with major depression. Psychiatry Research, 262, 586–594. https://doi.org/10.1016/j.psychres.2017.09.053</t>
  </si>
  <si>
    <t>Emotion discrimination task: Effect of emotion</t>
  </si>
  <si>
    <t xml:space="preserve">For the emotion discrimination task (see Fig. 2), the follow-up ANOVA yielded a significant main effect of EMOTION (F3.3,281.8 = 114.5, p&lt;.001, ηp 2= .571) </t>
  </si>
  <si>
    <t>additional_studies36_g</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</si>
  <si>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text claim, since multiple effects were reported in the text claim
- I changed the page number of the replication to the PDF page-number
- I added NA to registration of the replication study
- I changed the p-type of the original study  </t>
  </si>
  <si>
    <t>Sfärlea, A., Greimel, E., Platt, B., Dieler, A. C., &amp; Schulte‐Körne, G. (2018). Recognition of emotional facial expressions in adolescents with anorexia nervosa and adolescents with major depression. Psychiatry Research, 262, 586–594. https://doi.org/10.1016/j.psychres.2017.09.054</t>
  </si>
  <si>
    <t>Emotion discrimination task: Effect of group</t>
  </si>
  <si>
    <t>For the emotion discrimination task (see Fig. 2), the follow-up ANOVA yielded a significant main effect of [..]GROUP (F2,86 = 3.3, p = .040, ηp2 = .072).</t>
  </si>
  <si>
    <t>additional_studies36_h</t>
  </si>
  <si>
    <t>Sfärlea, A., Greimel, E., Platt, B., Dieler, A. C., &amp; Schulte‐Körne, G. (2018). Recognition of emotional facial expressions in adolescents with anorexia nervosa and adolescents with major depression. Psychiatry Research, 262, 586–594. https://doi.org/10.1016/j.psychres.2017.09.055</t>
  </si>
  <si>
    <t>Emotion discrimination task: Effect of emotion X group interaction</t>
  </si>
  <si>
    <t>These main effects were qualified by a significant EMOTION × GROUP interaction (F6.6,281.8 = 2.7, p = .012, ηp 2 = .059)</t>
  </si>
  <si>
    <t>additional_studies36_i</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</si>
  <si>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And added to the effect of the replication study that the effect was below 
- I added NA to registration of the replication study  
- I changed the effect of the original study: The direct comparison between the healthy group and the anorexia nervosa group was replicated. Therefore, I had to change the effect size type, the p-value, the N and the nesting too
- I changed the nesting of the p-value of the replication to "no" </t>
  </si>
  <si>
    <t>Sfärlea, A., Greimel, E., Platt, B., Dieler, A. C., &amp; Schulte‐Körne, G. (2018). Recognition of emotional facial expressions in adolescents with anorexia nervosa and adolescents with major depression. Psychiatry Research, 262, 586–594. https://doi.org/10.1016/j.psychres.2017.09.056</t>
  </si>
  <si>
    <t>Emotion discrimination task: Effect of group on happy faces</t>
  </si>
  <si>
    <t>For happy faces, the ANOVA yielded a significant effect of GROUP (F2,86 =4.2, p = .018, ηp 2 = .089) indicating that the AN group performed better than the MD group (t35.2=2.6, p=.013, d=.73).</t>
  </si>
  <si>
    <t>t≤ 1.54</t>
  </si>
  <si>
    <t>additional_studies36_j</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</si>
  <si>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And added to the effect of the replication study that the effect was below 
- I added NA to registration of the replication study 
- I changed the effect of the original study: The direct comparison between the healthy group and the anorexia nervosa group was replicated. Therefore, I had to change the effect size type, the p-value, the N and the nesting too 
- I changed the nesting of the p-value of the replication to "no"</t>
  </si>
  <si>
    <t>Sfärlea, A., Greimel, E., Platt, B., Dieler, A. C., &amp; Schulte‐Körne, G. (2018). Recognition of emotional facial expressions in adolescents with anorexia nervosa and adolescents with major depression. Psychiatry Research, 262, 586–594. https://doi.org/10.1016/j.psychres.2017.09.057</t>
  </si>
  <si>
    <t>Emotion discrimination task: Effect of group on sad faces</t>
  </si>
  <si>
    <t>For sad faces, a significant effect of GROUP (F2,86 = 3.6, p = .030, ηp 2 = .078) indicated a higher percentage of correct answers in the AN than the MD group (t50 = 2.7, p = .010, d = .74).</t>
  </si>
  <si>
    <t>additional_studies36_k</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</si>
  <si>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And added to the effect of the replication study that the effect was below 
- I added NA to registration of the replication study  
- I changed the effect of the original study: The direct comparison between the healthy group and the anorexia nervosa group was replicated. Therefore, I had to change the effect size type, the p-value, the N and the nesting too 
- I changed the nesting of the p-value of the replication to "no"</t>
  </si>
  <si>
    <t>Sfärlea, A., Greimel, E., Platt, B., Dieler, A. C., &amp; Schulte‐Körne, G. (2018). Recognition of emotional facial expressions in adolescents with anorexia nervosa and adolescents with major depression. Psychiatry Research, 262, 586–594. https://doi.org/10.1016/j.psychres.2017.09.058</t>
  </si>
  <si>
    <t>Emotion discrimination task: Effect of group for afraid faces</t>
  </si>
  <si>
    <t>For afraid faces, the significant effect of GROUP (F2,86 = 5.4, p = .006, ηp 2 = .112) indicated that the AN group performed better than both, MD (t50 = 2.7, p = .009, d = .75) and HC (t61.0 = 3.4, p = .001, d = .84) groups.</t>
  </si>
  <si>
    <t>additional_studies36_l</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</si>
  <si>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added NA to the missing p-value of the original study
- I changed the nesting of the p-value of the replication to "no"</t>
  </si>
  <si>
    <t>Sfärlea, A., Greimel, E., Platt, B., Dieler, A. C., &amp; Schulte‐Körne, G. (2018). Recognition of emotional facial expressions in adolescents with anorexia nervosa and adolescents with major depression. Psychiatry Research, 262, 586–594. https://doi.org/10.1016/j.psychres.2017.09.059</t>
  </si>
  <si>
    <t>Emotion discrimination task: Effect of group for neutral faces</t>
  </si>
  <si>
    <t>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</si>
  <si>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MD and the HC groups did not differ significantly in any of the post-hoc comparisons. For angry and neutral faces no significant GROUP effects emerged (Fs&lt;1).</t>
  </si>
  <si>
    <t>F&lt;1</t>
  </si>
  <si>
    <t>additional_studies36_m</t>
  </si>
  <si>
    <t>Sfärlea, A., Greimel, E., Platt, B., Dieler, A. C., &amp; Schulte‐Körne, G. (2018). Recognition of emotional facial expressions in adolescents with anorexia nervosa and adolescents with major depression. Psychiatry Research, 262, 586–594. https://doi.org/10.1016/j.psychres.2017.09.060</t>
  </si>
  <si>
    <t>Emotion discrimination task: Effect of group for angry faces</t>
  </si>
  <si>
    <t>additional_studies36_n</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</si>
  <si>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changed the text claim, since multiple effects were reported in the text claim
- I added NA to registration of the replication study 
- I changed eta-squared to partial eta-squared
</t>
  </si>
  <si>
    <t>Sfärlea, A., Greimel, E., Platt, B., Dieler, A. C., &amp; Schulte‐Körne, G. (2018). Recognition of emotional facial expressions in adolescents with anorexia nervosa and adolescents with major depression. Psychiatry Research, 262, 586–594. https://doi.org/10.1016/j.psychres.2017.09.061</t>
  </si>
  <si>
    <t>Gender discrimination: Effect of emotion</t>
  </si>
  <si>
    <t xml:space="preserve">The follow-up ANOVA for the gender discrimination task yielded only a significant main effect of EMOTION (F4,344= 26.1, p&lt;.001, ηp2=.233) </t>
  </si>
  <si>
    <t>additional_studies36_o</t>
  </si>
  <si>
    <t xml:space="preserve">-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changed the text claim, since multiple effects were reported in the text claim
- I added NA to registration of the replication study
- I added NA to the missing p-values of the original study and of the replication study 
</t>
  </si>
  <si>
    <t>Sfärlea, A., Greimel, E., Platt, B., Dieler, A. C., &amp; Schulte‐Körne, G. (2018). Recognition of emotional facial expressions in adolescents with anorexia nervosa and adolescents with major depression. Psychiatry Research, 262, 586–594. https://doi.org/10.1016/j.psychres.2017.09.062</t>
  </si>
  <si>
    <t>Gender discrimination: Effect of group</t>
  </si>
  <si>
    <t>The follow-up ANOVA for the gender discrimination task yielded [...] no main effect or interaction involving GROUP (Fs&lt;1)</t>
  </si>
  <si>
    <t>F&lt; 1</t>
  </si>
  <si>
    <t>additional_studies36_p</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</si>
  <si>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t>
  </si>
  <si>
    <t>Sfärlea, A., Greimel, E., Platt, B., Dieler, A. C., &amp; Schulte‐Körne, G. (2018). Recognition of emotional facial expressions in adolescents with anorexia nervosa and adolescents with major depression. Psychiatry Research, 262, 586–594. https://doi.org/10.1016/j.psychres.2017.09.063</t>
  </si>
  <si>
    <t>Mean reaction time for correct answers: Effect of Task X Emotion X Group interaction</t>
  </si>
  <si>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</si>
  <si>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The TASK × EMOTION × GROUP ANOVA on RTs yielded a significant main effect of TASK (F1.7,146.1 = 947.0, p&lt;.001, ηp2 = .917)</t>
  </si>
  <si>
    <t>additional_studies36_q</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</si>
  <si>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changed the text claim, since multiple effects were reported in the text claim
- I added NA to registration of the replication study</t>
  </si>
  <si>
    <t>Sfärlea, A., Greimel, E., Platt, B., Dieler, A. C., &amp; Schulte‐Körne, G. (2018). Recognition of emotional facial expressions in adolescents with anorexia nervosa and adolescents with major depression. Psychiatry Research, 262, 586–594. https://doi.org/10.1016/j.psychres.2017.09.064</t>
  </si>
  <si>
    <t>Mean reaction time for correct answers: Effect of emotion</t>
  </si>
  <si>
    <t>The TASK × EMOTION × GROUP ANOVA on RTs yielded a significant main effect of [...] EMOTION (F3.6,311.2 = 93.0, p&lt;.001, ηp 2 = .519).</t>
  </si>
  <si>
    <t>additional_studies36_r</t>
  </si>
  <si>
    <t>Sfärlea, A., Greimel, E., Platt, B., Dieler, A. C., &amp; Schulte‐Körne, G. (2018). Recognition of emotional facial expressions in adolescents with anorexia nervosa and adolescents with major depression. Psychiatry Research, 262, 586–594. https://doi.org/10.1016/j.psychres.2017.09.065</t>
  </si>
  <si>
    <t>Mean reaction time for correct answers: Effect of task X emotion interaction</t>
  </si>
  <si>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</si>
  <si>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The TASK × EMOTION × GROUP ANOVA on RTs yielded a [...] significant TASK × EMOTION interaction (F4.7,405.1 = 99.5, p&lt;.001, ηp 2 = .536).</t>
  </si>
  <si>
    <t>additional_studies36_s</t>
  </si>
  <si>
    <t>-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added NA to the missing p-values of the original study and of the replication study
- I changed the effect and the page number 
"</t>
  </si>
  <si>
    <t>Sfärlea, A., Greimel, E., Platt, B., Dieler, A. C., &amp; Schulte‐Körne, G. (2018). Recognition of emotional facial expressions in adolescents with anorexia nervosa and adolescents with major depression. Psychiatry Research, 262, 586–594. https://doi.org/10.1016/j.psychres.2017.09.066</t>
  </si>
  <si>
    <t>Mean reaction time for correct answers: Effect of group</t>
  </si>
  <si>
    <t>No main effect or interactions of GROUP were found (Fs ≤ 1.4, ps&gt;.05).</t>
  </si>
  <si>
    <t>F&lt; 1.4</t>
  </si>
  <si>
    <t>additional_studies36_t</t>
  </si>
  <si>
    <t xml:space="preserve">- This row was not double coded
-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changed the page number of the replication study (online supplement) </t>
  </si>
  <si>
    <t>Sfärlea, A., Greimel, E., Platt, B., Dieler, A. C., &amp; Schulte‐Körne, G. (2018). Recognition of emotional facial expressions in adolescents with anorexia nervosa and adolescents with major depression. Psychiatry Research, 262, 586–594. https://doi.org/10.1016/j.psychres.2017.09.067</t>
  </si>
  <si>
    <t>Misclassification analysis: Effect of Error type X group for faces being misclassified as sad</t>
  </si>
  <si>
    <t>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</si>
  <si>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For faces being misclassified as sad, the ANOVA yielded an ERRORTYPE × GROUP interaction (F4.7,203.5 = 2.6, p = .029, ηp 2 = .057).</t>
  </si>
  <si>
    <t>online supplement; p. 2</t>
  </si>
  <si>
    <t>additional_studies36_w</t>
  </si>
  <si>
    <t>Sfärlea, A., Greimel, E., Platt, B., Dieler, A. C., &amp; Schulte‐Körne, G. (2018). Recognition of emotional facial expressions in adolescents with anorexia nervosa and adolescents with major depression. Psychiatry Research, 262, 586–594. https://doi.org/10.1016/j.psychres.2017.09.068</t>
  </si>
  <si>
    <t>Misclassification analysis: Effect on group for afraid faces being misclassified as sad</t>
  </si>
  <si>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</si>
  <si>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A significant effect of GROUP emerged only for afraid faces being misclassified as sad (F2,86 = 4.8, p = .011, ηp 2 = .100), indicating that the MD group misclassified less afraid faces as sad than the HC group (t61 = 2.6, p = .011, d = .71).</t>
  </si>
  <si>
    <t>t &lt; 1.83</t>
  </si>
  <si>
    <t>additional_studies36_x</t>
  </si>
  <si>
    <t>- This row was not double coded
-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changed the page number of the replication study (online supplement) 
- I changed the effect of the replication study</t>
  </si>
  <si>
    <t>Sfärlea, A., Greimel, E., Platt, B., Dieler, A. C., &amp; Schulte‐Körne, G. (2018). Recognition of emotional facial expressions in adolescents with anorexia nervosa and adolescents with major depression. Psychiatry Research, 262, 586–594. https://doi.org/10.1016/j.psychres.2017.09.069</t>
  </si>
  <si>
    <t>Misclassification analysis: Effect on group for faces being misclassified as angry</t>
  </si>
  <si>
    <t>For faces being misclassified as angry, a main effect of GROUP (F2,86 = 3.2, p = .046, ηp 2 = .069) was found.</t>
  </si>
  <si>
    <t>F≤ 3.50</t>
  </si>
  <si>
    <t>additional_studies36_y</t>
  </si>
  <si>
    <t>Sfärlea, A., Greimel, E., Platt, B., Dieler, A. C., &amp; Schulte‐Körne, G. (2018). Recognition of emotional facial expressions in adolescents with anorexia nervosa and adolescents with major depression. Psychiatry Research, 262, 586–594. https://doi.org/10.1016/j.psychres.2017.09.070</t>
  </si>
  <si>
    <t>Misclassification analysis: Effect on group for faces being misclassified as neutral</t>
  </si>
  <si>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</si>
  <si>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For faces being misclassified as neutral, a main effect of GROUP (F2,86 = 3.2, p = .047, ηp2 = .069) emerged</t>
  </si>
  <si>
    <t>pp. 5-6</t>
  </si>
  <si>
    <t>additional_studies36_z</t>
  </si>
  <si>
    <t>Sfärlea, A., Greimel, E., Platt, B., Dieler, A. C., &amp; Schulte‐Körne, G. (2018). Recognition of emotional facial expressions in adolescents with anorexia nervosa and adolescents with major depression. Psychiatry Research, 262, 586–594. https://doi.org/10.1016/j.psychres.2017.09.071</t>
  </si>
  <si>
    <t>Misclassification analysis: Effect on group for happy faces being misclassified as neutral</t>
  </si>
  <si>
    <t>Follow-up ANOVAs revealed significant effects of GROUP for happy (F2,86 = 3.7, p = .030, ηp 2 = .078) as well as sad (F2,86 = 4.0, p = .023, ηp 2 = .084) faces being misclassified as neutral</t>
  </si>
  <si>
    <t>additional_studies36_aa</t>
  </si>
  <si>
    <t>- This row was not double coded
-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changed the page number of the replication study (online supplement) 
- I changed the effect of the replication study
- I changed the text claim, since multiple effects were reported in the text claim</t>
  </si>
  <si>
    <t>Sfärlea, A., Greimel, E., Platt, B., Dieler, A. C., &amp; Schulte‐Körne, G. (2018). Recognition of emotional facial expressions in adolescents with anorexia nervosa and adolescents with major depression. Psychiatry Research, 262, 586–594. https://doi.org/10.1016/j.psychres.2017.09.072</t>
  </si>
  <si>
    <t>Misclassification analysis: Effect on group for sad faces being misclassified as neutral</t>
  </si>
  <si>
    <t>Follow-up ANOVAs revealed significant effects of GROUP for [...] sad (F2,86 = 4.0, p = .023, ηp 2 = .084) faces being misclassified as neutral</t>
  </si>
  <si>
    <t>additional_studies36_bb</t>
  </si>
  <si>
    <t>Sfärlea, A., Greimel, E., Platt, B., Dieler, A. C., &amp; Schulte‐Körne, G. (2018). Recognition of emotional facial expressions in adolescents with anorexia nervosa and adolescents with major depression. Psychiatry Research, 262, 586–594. https://doi.org/10.1016/j.psychres.2017.09.073</t>
  </si>
  <si>
    <t>Misclassification analysis: Effect on group for faces being misclassified as happy</t>
  </si>
  <si>
    <t>For faces being misclassified as happy [...] the ANOVAs yielded no significant effects involving GROUP (Fs ≤ 1.4, ps&gt;.05).</t>
  </si>
  <si>
    <t>additional_studies36_cc</t>
  </si>
  <si>
    <t>- This row was not double coded
- I added the number of the experiment (in replication and original study) 
- I specified the effect: I changed ""participants" to adolescents with anorexia nervosa and adolscents with major depression (since those spefic samples were the target sample) 
- I changed the page number of the replication to the PDF page-number
- I added NA to registration of the replication study
- I changed the page number of the replication study (online supplement) 
- I changed the text claim, since multiple effects were reported in the text claim</t>
  </si>
  <si>
    <t>Sfärlea, A., Greimel, E., Platt, B., Dieler, A. C., &amp; Schulte‐Körne, G. (2018). Recognition of emotional facial expressions in adolescents with anorexia nervosa and adolescents with major depression. Psychiatry Research, 262, 586–594. https://doi.org/10.1016/j.psychres.2017.09.074</t>
  </si>
  <si>
    <t>Misclassification analysis: Effect on group for faces being misclassified as afraid</t>
  </si>
  <si>
    <t>For faces being misclassified as [...] afraid, the ANOVAs yielded no significant effects involving GROUP (Fs ≤ 1.4, ps&gt;.05).</t>
  </si>
  <si>
    <t>additional_studies36_1</t>
  </si>
  <si>
    <t>Sfärlea, A., Greimel, E., Platt, B., Dieler, A. C., &amp; Schulte‐Körne, G. (2018). Recognition of emotional facial expressions in adolescents with anorexia nervosa and adolescents with major depression. Psychiatry Research, 262, 586–594. https://doi.org/10.1016/j.psychres.2017.09.048</t>
  </si>
  <si>
    <t>10.1016--j.psychres.2017.09.048.pdf</t>
  </si>
  <si>
    <t>Percentage of correct answers: Effect of task</t>
  </si>
  <si>
    <t xml:space="preserve">The TASK × EMOTION × GROUP ANOVA on percentage of correct answers revealed a significant main effect of TASK (F1.4,123.2 = 395.8, p&lt;.001, ηp 2 = .822) </t>
  </si>
  <si>
    <t>Only a half row</t>
  </si>
  <si>
    <t>Superior facial emotion recognition in adolescents with anorexia nervosa</t>
  </si>
  <si>
    <t>- I added the number of the experiment (in replication and original study) 
- I added the effect and the effect description
- I changed the number of participants (the coder reported only the number of participants suffering from anorexia nervosa, but the test included also those with major despression)
- I changed the page number of the replication to the PDF page-number
- I changed the effects since the coder only reported the F-value, while eta-squared was reported."</t>
  </si>
  <si>
    <t>Adolescents with anorexia nervosa and major depression identifying correct facial expressions: Effect of task</t>
  </si>
  <si>
    <t>Anorexia nervosa (AN), Task effect</t>
  </si>
  <si>
    <t xml:space="preserve">The TASK   EMOTION   GROUP ANOVA on percentage of correct answers revealed a significant main effect of TASK (F1.4,123.2 = 395.8, p&lt;.001, ηp 2 = .822) </t>
  </si>
  <si>
    <t>The es_type_r says "F". Is this an f Test or Cohen's f (this is a mistake on our side because we have it as a selectable option, sorry!)?</t>
  </si>
  <si>
    <t>Adolescents with anorexia nervosa and major depression identifying correct facial expressions: Effect of emot</t>
  </si>
  <si>
    <t>Anorexia nervosa (AN), Emotion effect</t>
  </si>
  <si>
    <t>The TASK   EMOTION   GROUP ANOVA on percentage of correct answers revealed ... a significant main effect of EMOTION (F3.5,298.9 = 107.8, p&lt;.001, ηp 2 = .556).</t>
  </si>
  <si>
    <t>Anorexia nervosa (AN),  TASK   EMOTION   GROUP interaction</t>
  </si>
  <si>
    <t>were further qualified by a TASK   EMOTION   GROUP interaction (F8.4,361.9 = 2.6, p = .009, ηp 2 = .056).</t>
  </si>
  <si>
    <t>Anorexia nervosa (AN),  Discrimination task, Group effect</t>
  </si>
  <si>
    <t>For the emotion discrimination task (see Fig. 2), the follow-up ANOVA yielded a significant main effect of EMOTION (F3.3,281.8 = 114.5, p&lt;.001, ηp 2= .571)</t>
  </si>
  <si>
    <t>Anorexia nervosa (AN), TASK   Discrimination task, Emotion effect</t>
  </si>
  <si>
    <t xml:space="preserve">For the emotion discrimination task (see Fig. 2) ...  a significant main effect of GROUP (F2,86 = 3.3, p = .040, ηp 2 = .072). </t>
  </si>
  <si>
    <t>Anorexia nervosa (AN),  Discrimination task, Group x Emotion interaction</t>
  </si>
  <si>
    <t>For the emotion discrimination task ... a significant EMOTION x  GROUP interaction (F6.6,281.8 = 2.7, p = .012, ηp 2 = .059)</t>
  </si>
  <si>
    <t>- I added the number of the experiment (in replication and original study) 
- I added the effect and the effect description
- I changed the number of participants (the coder reported only the number of participants suffering from anorexia nervosa, but the test included also the health control group)
- I changed the page number of the replication to the PDF page-number
- I changed nesting from yes to no, since it was a between group comparison</t>
  </si>
  <si>
    <t>Anorexia nervosa (AN),  Discrimination task, AN/HC, afraid faces</t>
  </si>
  <si>
    <t>AN group performed better than ...  HC (t61.0 = 3.4, p = .001, d = .84) groups</t>
  </si>
  <si>
    <t xml:space="preserve">- I added the number of the experiment (in replication and original study) 
- I added the effect and the effect description
- I changed the number of participants (the coder reported only the number of participants suffering from anorexia nervosa, but the test included also the health control group)
- I changed the page number of the replication to the PDF page-number
- I changed the effects since the coder only reported the F-value, while eta-squared was reported.
</t>
  </si>
  <si>
    <t>Anorexia nervosa (AN),  RT Task</t>
  </si>
  <si>
    <t xml:space="preserve">The TASK   EMOTION   GROUP ANOVA on RTs yielded a significant main effect of TASK (F1.7,146.1 = 947.0, p&lt;.001, ηp 2 = .917)  </t>
  </si>
  <si>
    <t>Anorexia nervosa (AN),  Gender discrimination, Group effect</t>
  </si>
  <si>
    <t>The follow-up ANOVA for the gender discrimination task yielded only a significant main effect of EMOTION (F4,344= 26.1, p&lt;.001, ηp 2= .233) but no main effect or interaction involving GROUP (Fs&lt;1),</t>
  </si>
  <si>
    <t xml:space="preserve">- I added the number of the experiment (in replication and original study) 
- I added the effect and the effect description
- I changed the number of participants (the coder reported only the number of participants suffering from anorexia nervosa, but the test included also the health control group)
- I changed the page number of the replication to the PDF page-number
- I changed the p-vales to NA
</t>
  </si>
  <si>
    <t>The follow-up ANOVA for the gender discrimination ... but no main effect or interaction involving GROUP (Fs&lt;1),</t>
  </si>
  <si>
    <t>Fs&lt;1</t>
  </si>
  <si>
    <t>Fs &lt; 1</t>
  </si>
  <si>
    <t>Anorexia nervosa (AN),  RT Emotion</t>
  </si>
  <si>
    <t>The TASK   EMOTION   GROUP ANOVA on RTs yielded a significant main effect of ... EMOTION (F3.6,311.2 = 93.0, p&lt;.001, ηp 2 = .519)</t>
  </si>
  <si>
    <t>Anorexia nervosa (AN),  RT, Task Emotion Interaction</t>
  </si>
  <si>
    <t>RT ... a significant TASK   EMOTION interaction (F4.7,405.1 = 99.5, p&lt;.001, ηp 2 = .536).</t>
  </si>
  <si>
    <t>Fs &lt; 1.4</t>
  </si>
  <si>
    <t>Roksana</t>
  </si>
  <si>
    <t>additional_studies37_1</t>
  </si>
  <si>
    <t>additional_studies37</t>
  </si>
  <si>
    <t>Roksana Sobolak</t>
  </si>
  <si>
    <t>Feedback for Roskana
- please also fill out the variable with the page numbers</t>
  </si>
  <si>
    <t>Rothman, J. (2011). L3 syntactic transfer selectivity and typological determinacy: The typological primacy
model. Second Language Research, 27, 107–127. https://doi.org/10.1177/0267658310386439</t>
  </si>
  <si>
    <t>10.1177/0267658310386439</t>
  </si>
  <si>
    <t>Parrish, K. (2024). Statistical Insignificance is not wholesale transfer in L3 Acquisition: an approximate replication of Rothman (2011). Studies in Second Language Acquisition, 1-18. https://doi.org/10.1017/S0272263124000342</t>
  </si>
  <si>
    <t>10.1017/S0272263124000342</t>
  </si>
  <si>
    <t>approximate replication</t>
  </si>
  <si>
    <t>syntatic transfer/noun-raising</t>
  </si>
  <si>
    <t>L3 acquisition, language transfer, multilingualism, statistical significance, language learning, transfer effects, linguistic theory, applied linguistics, language acquisition research, cross-linguistic influence.</t>
  </si>
  <si>
    <t>Interaction between item type and language group on performance (semantic interpretation task)</t>
  </si>
  <si>
    <t>"A statistical analysis showed that there were in fact no significant interactions between item type and group (F(2,57) = .105; p = .901)."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</si>
  <si>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F(2,57) = .105</t>
  </si>
  <si>
    <t>F(1, 209) = 6.72</t>
  </si>
  <si>
    <t>Feedback for Roksana
- please also fill out the variable with the page numbers</t>
  </si>
  <si>
    <t>Mariem</t>
  </si>
  <si>
    <t>Mariem_Younssi</t>
  </si>
  <si>
    <r>
      <rPr>
        <rFont val="Calibri"/>
        <sz val="11.0"/>
      </rPr>
      <t xml:space="preserve">this row and the one bellow are related to one specific effect, hypothesis requires test to be non-significant, the replication study was not preregistred but materials and scripts are available </t>
    </r>
    <r>
      <rPr>
        <rFont val="Calibri"/>
        <color rgb="FF1155CC"/>
        <sz val="11.0"/>
        <u/>
      </rPr>
      <t>https://osf.io/t2vkp/</t>
    </r>
    <r>
      <rPr>
        <rFont val="Calibri"/>
        <sz val="11.0"/>
      </rPr>
      <t xml:space="preserve"> </t>
    </r>
  </si>
  <si>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</si>
  <si>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</si>
  <si>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</si>
  <si>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</si>
  <si>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additional_studies37_b</t>
  </si>
  <si>
    <t>Effect of item type (preposed vs. postposed) on performance (semantic interpretation task)</t>
  </si>
  <si>
    <t>"Furthermore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</si>
  <si>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F(1,57) = 0.011</t>
  </si>
  <si>
    <t>F(1, 209) = 8.41</t>
  </si>
  <si>
    <t xml:space="preserve">hypothesis requires test to be non-significant, the replication study was not preregistred but materials and scripts are available https://osf.io/t2vkp/ </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</si>
  <si>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</si>
  <si>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</si>
  <si>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first experiment, the Semantic Interpretation Task…All groups performed comparably on this experiment, deriving about the same number correct interpretations for both preposed and postposed adjectives...no significant effect for...language group (F(2,57) = 0.404; p = 0.669).</t>
  </si>
  <si>
    <t>F(2,57) = 0.404</t>
  </si>
  <si>
    <t>additional_studies37_c</t>
  </si>
  <si>
    <t>Effect of language group on performance (semantic interpretation task)</t>
  </si>
  <si>
    <t>"Furthermore there was no significant effect...for language group (F(2,57) = 0.404; p = 0.669)".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</si>
  <si>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 209) = 0.22</t>
  </si>
  <si>
    <t>this row and the one bellow are related to one specific effect, hypothesis requires test to be non-significant, the replication study was not preregistred but materials and scripts are available https://osf.io/t2vkp/ , in the r_study n was calculated based on df; reported n was 211</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</si>
  <si>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</si>
  <si>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</si>
  <si>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</si>
  <si>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12-13</t>
  </si>
  <si>
    <t>F(2,57) = .288</t>
  </si>
  <si>
    <t>F(1, 213) = 1.37</t>
  </si>
  <si>
    <t>additional_studies37_d</t>
  </si>
  <si>
    <t>Interaction between item type and language group on performance. (collocation task)</t>
  </si>
  <si>
    <t>"There were no significant interactions between item type and group (F(2,57) = .288; p = .751)."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</si>
  <si>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hypothesis requires test to be non-significant, the replication study was not preregistred but materials and scripts are available https://osf.io/t2vkp/ , in the r_study n was calculated based on df; reported n was 211, the replication study has an extension (i.e., test of equivalence) but contains too many effects so I wansn't sure if I sould include it,</t>
  </si>
  <si>
    <r>
      <rPr>
        <rFont val="Calibri"/>
        <sz val="11.0"/>
      </rPr>
      <t xml:space="preserve">Rothman, J. (2011). L3 syntactic transfer selectivity and typological determinacy: The typological primacy
model. Second Language Research, 27, 107–127. </t>
    </r>
    <r>
      <rPr>
        <rFont val="Calibri"/>
        <color rgb="FF1155CC"/>
        <sz val="11.0"/>
        <u/>
      </rPr>
      <t>https://doi.org/10.1177/0267658310386439</t>
    </r>
  </si>
  <si>
    <r>
      <rPr>
        <rFont val="Calibri"/>
        <sz val="11.0"/>
      </rPr>
      <t xml:space="preserve">Parrish, K. (2024). Statistical Insignificance is not wholesale transfer in L3 Acquisition: an approximate replication of Rothman (2011). Studies in Second Language Acquisition, 1-18. </t>
    </r>
    <r>
      <rPr>
        <rFont val="Calibri"/>
        <color rgb="FF1155CC"/>
        <sz val="11.0"/>
        <u/>
      </rPr>
      <t>https://doi.org/10.1017/S0272263124000342</t>
    </r>
  </si>
  <si>
    <t>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</si>
  <si>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F(2,57) = 0.272</t>
  </si>
  <si>
    <t>F(1, 213) = 0.47</t>
  </si>
  <si>
    <t>additional_studies37_e</t>
  </si>
  <si>
    <t>Effect of item type (preposed vs. postposed) on performance. (collocation task)</t>
  </si>
  <si>
    <t>"There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</si>
  <si>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F(1,57) = 2.526</t>
  </si>
  <si>
    <t>F(1, 213) = 36.06</t>
  </si>
  <si>
    <t>additional_studies37_f</t>
  </si>
  <si>
    <t>discarded due to missing replication effect</t>
  </si>
  <si>
    <t>Effect of language group on performance (collocation task)</t>
  </si>
  <si>
    <t>"There were no significant effects...for language group (F(2,57) = 0.272; p = 0.763)."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</si>
  <si>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additional_studies38_1</t>
  </si>
  <si>
    <t>additional_studies38</t>
  </si>
  <si>
    <t>Bailey, C. N., Hasselback, J. R., &amp; Karcher, J. N. (2001). Research misconduct in accounting literature: A survey of the most prolific researchers’ actions and beliefs. Abacus, 37(1), 26-54. https://doi.org/10.1111/1467-6281.00073</t>
  </si>
  <si>
    <t>10.1111/1467-6281.00073</t>
  </si>
  <si>
    <t>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https://doi.org/10.1108/S1574-076520240000026005</t>
  </si>
  <si>
    <t>10.1108/S1574-076520240000026005</t>
  </si>
  <si>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</si>
  <si>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t>"Replication and extension"</t>
  </si>
  <si>
    <t>Research misconduct</t>
  </si>
  <si>
    <t>Codes of ethics, questionable research practices, randomized response, research ethics, research misconduct, sensitive surveys, accounting, ethics, fraud, research, scientific method.</t>
  </si>
  <si>
    <t>This effect measures the percentage of accounting authors who admit that a portion of their own published research articles is tainted by unethical practices</t>
  </si>
  <si>
    <t>"The overall mean estimate for self-reported (actual) falsification is 3.68 per cent, which is significantly different from zero (t = 2.82, p = 0.0025, one-tailed)." "The estimated percentage of seriously tainted articles in the top thirty accounting journals, based on self-reporting, is about 3.7 per cent, while the respondents on average believe that about 21 per cent of the literature is tainted."</t>
  </si>
  <si>
    <t>t = 2.82</t>
  </si>
  <si>
    <t xml:space="preserve"> t(1) = 2.05</t>
  </si>
  <si>
    <t>Mariem Younssi</t>
  </si>
  <si>
    <t>I couldn't find the replication's pdf...not even on sci-hub...and I didn't have enough time to request the full text from the author on researchgate</t>
  </si>
  <si>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</si>
  <si>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</si>
  <si>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t>additional_studies38_b</t>
  </si>
  <si>
    <t>Bailey, C. N., Hasselback, J. R., &amp; Karcher, J. N. (2001). Research misconduct in accounting literature: A survey of the most prolific researchers’ actions and beliefs. Abacus, 37(1), 26-54. https://doi.org/10.1111/1467-6281.00074</t>
  </si>
  <si>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</si>
  <si>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t>This effect measures the percentage of published research articles that accounting authors believe, based on their own perceptions, to be tainted by unethical practices,</t>
  </si>
  <si>
    <t>"The estimate for the overall percentage of articles affected (in respondents’ opinion) is 20.92 per cent, also significantly different from zero (t = 5.06, p &lt; 0.0001). Thus respondents estimate the extent of research falsification to be about six times as great as the self-reported number." "The estimated percentage of seriously tainted articles in the top thirty accounting journals, based on self-reporting, is about 3.7 per cent, while the respondents on average believe that about 21 per cent of the literature is tainted."</t>
  </si>
  <si>
    <t>t = 5.06</t>
  </si>
  <si>
    <t>t(45)=9.35</t>
  </si>
  <si>
    <t>additional_studies38_c</t>
  </si>
  <si>
    <t>This refers to RQ3 of the replication study. It reports 'Participants attribute only 30.33% of the motivation for FRPs to internal motives, 
leaving most of the motivation to external pressures (mean 69.67%; 95% boot_x0002_strap CI, 67.23–72.11%). The mean is slightly higher than Bailey et al. (2001), 
where 64.4% was attributed to external reasons, and the difference is significant (t = 2.63, two-tailed, p = 0.009).' However, I cannot find the figure 64.4% anywhere in the original study. All I could find was 'The attributions to internal causes were almost identical for the two sequences, at 36 and 35 per cent.' These are only descriptive statistics and I do not think sufficient amount of detail to calculate effect size. However, replication study reports difference between both of their results but not sure on source of the original data used for comparison.</t>
  </si>
  <si>
    <t>Bailey, C. N., Hasselback, J. R., &amp; Karcher, J. N. (2001). Research misconduct in accounting literature: A survey of the most prolific researchers’ actions and beliefs. Abacus, 37(1), 26-54. https://doi.org/10.1111/1467-6281.00075</t>
  </si>
  <si>
    <r>
      <rPr>
        <rFont val="Calibri"/>
        <sz val="11.0"/>
      </rPr>
      <t xml:space="preserve">Bailey, C.D. (2024), "Fraudulent Research Practices in Accounting: A Replication and Extension of Bailey, Hasselback, and Karcher (2001)", Shawver, T.J. (Ed.) Research on Professional Responsibility and Ethics in Accounting (Research on Professional Responsibility and Ethics in Accounting, Vol. 26), Emerald Publishing Limited, Leeds, pp. 101-121. </t>
    </r>
    <r>
      <rPr>
        <rFont val="Calibri"/>
        <color rgb="FF1155CC"/>
        <sz val="11.0"/>
        <u/>
      </rPr>
      <t>https://doi.org/10.1108/S1574-076520240000026005</t>
    </r>
  </si>
  <si>
    <t>The effect examines whether accounting researchers attribute research malfeasance to internal motivations or external pressures</t>
  </si>
  <si>
    <t>"The attributions to internal causes were almost identical for the two sequences, at 36 and 35 per cent."</t>
  </si>
  <si>
    <t>N/A</t>
  </si>
  <si>
    <t xml:space="preserve">descriptive </t>
  </si>
  <si>
    <t>descriptive</t>
  </si>
  <si>
    <t>additional_studies39_1</t>
  </si>
  <si>
    <t>additional_studies39</t>
  </si>
  <si>
    <t>LR, Roksana Sobolak</t>
  </si>
  <si>
    <t>I have excluded this row since the original study and replication study in this row do not match.</t>
  </si>
  <si>
    <t>Zitek, E. M., &amp; Tiedens, L. Z. (2012). The fluency of social hierarchy: the ease with which hierarchical relationships are seen, remembered, learned, and liked. Journal of personality and social psychology, 102(1), 98.</t>
  </si>
  <si>
    <t>10.1037/a0025345</t>
  </si>
  <si>
    <t>Rode, J., Jonuschies, I., Matthiesen, S., &amp; Gericke, K. (2024). Replication studies in engineering design–a feasibility study. Proceedings of the Design Society, 4, 115-124. https://doi.org/10.1017/pds.2024.14</t>
  </si>
  <si>
    <t>10.1017/pds.2024.14</t>
  </si>
  <si>
    <t>As advised by Sarah, I have excluded this row since the original study and replication study in this row do not match.</t>
  </si>
  <si>
    <t>the two papers are not related, study diffrent topics and belongs to diffrent fields</t>
  </si>
  <si>
    <r>
      <rPr>
        <rFont val="Calibri"/>
        <sz val="11.0"/>
      </rPr>
      <t xml:space="preserve">Rode, J., Jonuschies, I., Matthiesen, S., &amp; Gericke, K. (2024). Replication studies in engineering design–a feasibility study. Proceedings of the Design Society, 4, 115-124. </t>
    </r>
    <r>
      <rPr>
        <rFont val="Calibri"/>
        <color rgb="FF1155CC"/>
        <sz val="11.0"/>
        <u/>
      </rPr>
      <t>https://doi.org/10.1017/pds.2024.14</t>
    </r>
  </si>
  <si>
    <t>additional_studies4_1</t>
  </si>
  <si>
    <t>additional_studies4_a</t>
  </si>
  <si>
    <t xml:space="preserve">- I changed the text claim since multiple effects were reported 
- I added the study number of the replication study
- I changed the page numbers to the ones of the PDFs
- I changed eta-squared to partial </t>
  </si>
  <si>
    <t>Fath, S., &amp; Kay, A. C. (2018). “If hierarchical, then corrupt”: Exploring people’s tendency to associate hierarchy with corruption in organizations. Organizational Behavior and Human Decision Processes, 149, 145-164. https://doi.org/10.1016/j.obhdp.2018.10.004</t>
  </si>
  <si>
    <t>10.1016/j.obhdp.2018.10.004</t>
  </si>
  <si>
    <t>1c</t>
  </si>
  <si>
    <t>10.1016--j.obhdp.2018.10.004.pdf</t>
  </si>
  <si>
    <t>Evans, T. R., Kviatkovskyte, R., O'Regan, S., Adolph, S. A.,  n., Chukwudi, F. O. N., … Krzan, M. (2024, February 5). Corruption and Hierarchy: A Replication of Studies 1c and 6 of Fath &amp; Kay 2018. https://doi.org/10.31234/osf.io/68jft</t>
  </si>
  <si>
    <t>10.31234/osf.io/68jft</t>
  </si>
  <si>
    <t>"If hierarchical, then corrupt"</t>
  </si>
  <si>
    <t>Corruption/Hierarchy/Organisational Design/Organisational Structure</t>
  </si>
  <si>
    <t>"We find that people expect more corruption to manifest among the employees of relatively more hierarchical organizations"</t>
  </si>
  <si>
    <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</si>
  <si>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https://osf.io/zb5j2</t>
  </si>
  <si>
    <t>additional_studies4_b</t>
  </si>
  <si>
    <t>- I added the study number of the replication study
- I changed the page numbers to the ones of the PDFs</t>
  </si>
  <si>
    <t>"Consistent with Hypothesis 1, participants in the high hierarchy condition expected there to be more corruption among the employees of the Finance Department than participants in the low hierarchy condition, t (95)=2.32, p=.023, Cohen’s d=0.48 (see Table 1)."</t>
  </si>
  <si>
    <t>p. 159</t>
  </si>
  <si>
    <t>additional_studies4_c</t>
  </si>
  <si>
    <t xml:space="preserve">- I added the study number of the replication and of the original 
- I changed the page numbers to the ones of the PDFs
- I added nesting = 0
- I changed the p-value of the replication to NA, since the text stated that the effect was significant, but the value was not specified        </t>
  </si>
  <si>
    <t>indirect effect of hierarchy condition through corruption perceptions, on beliefs about whether the anti-corruption petition was justified</t>
  </si>
  <si>
    <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</si>
  <si>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additional_studies4_d</t>
  </si>
  <si>
    <t>indirect effect of hierarchy condition through corruption perceptions, on (...) desire to sign the anti-corruption petition</t>
  </si>
  <si>
    <t>"Consistent with Hypothesis 3, mediation bootstrapping procedures (Model 4; 5000 bootstraps; Hayes, 2012) revealed an indirect effect of hierarchy condition (1=high hierarchy, 0=low hierarchy), through corruption perceptions, on (...) desire to sign the petition, b=0.35, SE=0.22, 95% CI [0.04, 0.90]"</t>
  </si>
  <si>
    <t>additional_studies4</t>
  </si>
  <si>
    <t>- I added the study numbers of the original study and of the replication study 
- The results of the original study 1b were described, but Study 1c was replicated; I changed the text claim
- I changed the p-values of the original study to NA 
- I calculated Cohens' d of the original study 
- I copied the effect description
- I changed the page numbers to the ones of the PDFs
- I changed the number of participants of the replication study
- I changed the p-value of the replication study and all relating parameters</t>
  </si>
  <si>
    <t>Organizational Psychology</t>
  </si>
  <si>
    <t>Hierarchy-Corruption Association</t>
  </si>
  <si>
    <t>Corruption; hierarchy;
organisational design;
organisational structure;
replication</t>
  </si>
  <si>
    <t>"That is, across both levels of workplace sociality, participants in the high hierarchy condition (M = 4.25, SD = 1.62) expected more corruption among the employees in the company than participants in the low hierarchy condition (M = 3.55, SD = 1.69)."</t>
  </si>
  <si>
    <t>https://osf.io/zb5j2/</t>
  </si>
  <si>
    <t xml:space="preserve">- I added the study number of the replication and of the original 
- I changed the page numbers to the ones of the PDFs
- I corrected the p-value of the replication
- The coder coded again an effect of study 1b, which was not replicated; Therefore I changed the claim, the effect and p-value 
- I also changed the description of the effect
</t>
  </si>
  <si>
    <r>
      <rPr>
        <rFont val="Calibri"/>
        <sz val="11.0"/>
      </rPr>
      <t xml:space="preserve">Fath, S., &amp; Kay, A. C. (2018). “If hierarchical, then corrupt”: Exploring people’s tendency to associate hierarchy with corruption in organizations. Organizational Behavior and Human Decision Processes, 149, 145-164. </t>
    </r>
    <r>
      <rPr>
        <rFont val="Calibri"/>
        <color rgb="FF1155CC"/>
        <sz val="11.0"/>
        <u/>
      </rPr>
      <t>https://doi.org/10.1016/j.obhdp.2018.10.004</t>
    </r>
  </si>
  <si>
    <t>people expect more corruption to manifest among the employees of relatively more hierarchical organizations</t>
  </si>
  <si>
    <t>"Consistent with Hypothesis 1, participants in the high hierarchy condition expected there to be more corruption among the employees of the Finance Department than participants in the low hierarchy condition, t(95) = 2.32, p = .023, Cohen’s d = 0.48 (see Table 1)."</t>
  </si>
  <si>
    <t>additional_studies40_1</t>
  </si>
  <si>
    <t>additional_studies40</t>
  </si>
  <si>
    <t>Feedback for Ray
- please review the instructions again and code these entries</t>
  </si>
  <si>
    <t>Burback, Shannon, "Construct Validity of the Behavior Assessment System for Children-Third
 Edition Teacher Rating Scales (BASC-3 TRS): Comparisons with the Adjustment Scales
 for Children and Adolescents (ASCA)" (2020). Masters Theses. 4783.
 https://thekeep.eiu.edu/theses/4783</t>
  </si>
  <si>
    <t>thekeep.eiu.edu/theses/4783</t>
  </si>
  <si>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</si>
  <si>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thekeep.eiu.edu/theses/5025</t>
  </si>
  <si>
    <t>https://thekeep.eiu.edu/theses/5025</t>
  </si>
  <si>
    <t>thekeep.eiu.edu--theses--5025.pdf</t>
  </si>
  <si>
    <t>A replication</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</si>
  <si>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</si>
  <si>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t>thekeep.eiu.edu--theses--4783.pdf</t>
  </si>
  <si>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</si>
  <si>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https://thekeep.eiu.edu/theses/5025/?utm_source=thekeep.eiu.edu%2Ftheses%2F5025&amp;utm_medium=PDF&amp;utm_campaign=PDFCoverPages</t>
  </si>
  <si>
    <t>Replication of Construct Validity of the Behavior Assessment Replication of Construct Validity of the Behavior Assessment System for Children-Third Edition Teacher Rating Scales (BASC-3 System for Children-Third Edition Teacher Rating Scales (BASC-3 TRS) and the Adjustment Scales for Children and Adolescents TRS).</t>
  </si>
  <si>
    <t>Developmental Psychology</t>
  </si>
  <si>
    <t>Attention deficit/problems</t>
  </si>
  <si>
    <t>Behavior Assessment System for Children-Teacher Rating Scales (BASC-3 TRS), Adjustment Scales for Children and Adolescents (ASCA), inattention, distractibility, attention deficits, hyperactivity, impulsivity</t>
  </si>
  <si>
    <t>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</si>
  <si>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The BASC-3 TRS-C Externalizing Problems Composite
scale was significantly correlated with the ASCA Overactivity syndrome (r = .79, p &lt;
.01) and supported convergent validity, sharing 62% measurement variance</t>
  </si>
  <si>
    <t>p. 53</t>
  </si>
  <si>
    <t>Daniel Manrique-Castano Manrique-Castano</t>
  </si>
  <si>
    <t>Please note that original and replication studies are truncated in the columns. I exchanged them accordingly.  This is a replication study that reports effect sizes in terms of Cohen's d and associated p-values of nine variables for the construct validity from the Behavior Assessment System for Children-Teacher Rating Scales (BASC-3 TRS) and the Adjustment Scales for Children and Adolescents (ASCA). As it uses different components of psychological scales, I need to report Cohen's d for each of the components.</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</si>
  <si>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</si>
  <si>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</si>
  <si>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"Table 6 presents the descriptive statistics and t-test results for specific BASC-3 TRS-C
and ASCA comparisons." Comparison of "BASC Attention Problems ASCA Attention Deficit Hyperactive"</t>
  </si>
  <si>
    <t>p. 58</t>
  </si>
  <si>
    <t>p.68</t>
  </si>
  <si>
    <t>additional_studies40_b</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</si>
  <si>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</si>
  <si>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</si>
  <si>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Hyperactivity /Attention Deficit Hyperactive</t>
  </si>
  <si>
    <t>Behavior Assessment System for Children-Teacher Rating Scales (BASC-3 TRS), Adjustment Scales for Children and Adolescents (ASCA), motor activity, restlessness, hyperactive-impulsive, attention deficit</t>
  </si>
  <si>
    <t>BASC Hyperactivity focuses on excessive motor activity, restlessness, impulsivity, and difficulty remaining still. ASCA Attention Deficit Hyperactive, as noted above, covers both inattentive and hyperactive-impulsive elements, reflecting a broader ADHD-related symptom pattern.</t>
  </si>
  <si>
    <t>"Table 6 presents the descriptive statistics and t-test results for specific BASC-3 TRS-C
and ASCA comparisons." Comparison of "BASC Hyperactivity ASCA Attention Deficit Hyperactive"</t>
  </si>
  <si>
    <t>additional_studies40_c</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</si>
  <si>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</si>
  <si>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</si>
  <si>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Withdrawal/Avoidant </t>
  </si>
  <si>
    <t>Behavior Assessment System for Children-Teacher Rating Scales (BASC-3 TRS), Adjustment Scales for Children and Adolescents (ASCA), social detachment, emotional distancing, anxiety-driven avoidance</t>
  </si>
  <si>
    <t>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</si>
  <si>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"Table 6 presents the descriptive statistics and t-test results for specific BASC-3 TRS-C
and ASCA comparisons." Comparison of "BASC Withdrawal ASCA Avoidant"</t>
  </si>
  <si>
    <t>additional_studies40_d</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</si>
  <si>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</si>
  <si>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</si>
  <si>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Conduct Problems /Delinquent </t>
  </si>
  <si>
    <t>Behavior Assessment System for Children-Teacher Rating Scales (BASC-3 TRS), Adjustment Scales for Children and Adolescents (ASCA), rule-breaking, norm violations, antisocial behavior</t>
  </si>
  <si>
    <t>BASC Conduct Problems identifies rule-breaking, oppositional, and potentially aggressive behaviors that violate expected social norms. ASCA Delinquent emphasizes more serious antisocial acts, potentially involving illegal activity or more severe violations of societal rules.</t>
  </si>
  <si>
    <t>"Table 6 presents the descriptive statistics and t-test results for specific BASC-3 TRS-C
and ASCA comparisons." Comparison of "BASC Conduct Problems ASCA Delinquent"</t>
  </si>
  <si>
    <t>additional_studies40_e</t>
  </si>
  <si>
    <t>Feedback for Daniel:
- one small typo when copying the Cohen's d from the table (.0185 instead of .0187)
- Claim and test statistics/effect sizes must be about the same thing. Convergent validity and mean difference is not the same thing, so you should have created twice the number of rows (each relationship once for convergent validity and once for mean differences)</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</si>
  <si>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</si>
  <si>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</si>
  <si>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Conduct Problems/Oppositional Defiant</t>
  </si>
  <si>
    <t>Behavior Assessment System for Children-Teacher Rating Scales (BASC-3 TRS), Adjustment Scales for Children and Adolescents (ASCA), disobedience, argumentative behavior, persistent defiance, noncompliance.</t>
  </si>
  <si>
    <t>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</si>
  <si>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"Table 6 presents the descriptive statistics and t-test results for specific BASC-3 TRS-C
and ASCA comparisons." Comparison of "BASC Conduct Problems ASCA Oppositional Defiant"</t>
  </si>
  <si>
    <t>additional_studies40_f</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</si>
  <si>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</si>
  <si>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</si>
  <si>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Aggression / Solitary Aggressive Provocative </t>
  </si>
  <si>
    <t>Behavior Assessment System for Children-Teacher Rating Scales (BASC-3 TRS), Adjustment Scales for Children and Adolescents (ASCA), hostility, provoked aggression, threatening behaviors.</t>
  </si>
  <si>
    <t>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</si>
  <si>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"Table 6 presents the descriptive statistics and t-test results for specific BASC-3 TRS-C
and ASCA comparisons." Comparison of "BASC Aggression ASCA Solitary Aggressive Provocative"</t>
  </si>
  <si>
    <t>additional_studies40_g</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</si>
  <si>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</si>
  <si>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</si>
  <si>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Aggression/  Solitary Aggressive Impulsive </t>
  </si>
  <si>
    <t>Behavior Assessment System for Children-Teacher Rating Scales (BASC-3 TRS), Adjustment Scales for Children and Adolescents (ASCA), anger outbursts, impulsivity-driven aggression, impulse control.</t>
  </si>
  <si>
    <t>BASC Aggression focuses on a range of hostile or violent behaviors. ASCA Solitary Aggressive Impulsive captures impulsive, spur-of-the-moment aggressive actions that occur in isolation, reflecting poor impulse control and sudden anger outbursts.</t>
  </si>
  <si>
    <t>"Table 6 presents the descriptive statistics and t-test results for specific BASC-3 TRS-C
and ASCA comparisons." Comparison of "BASC Aggression ASCA Solitary Aggressive Impulsive"</t>
  </si>
  <si>
    <t>additional_studies40_h</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</si>
  <si>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</si>
  <si>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</si>
  <si>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Externalizing/  Overactivity</t>
  </si>
  <si>
    <t>Behavior Assessment System for Children-Teacher Rating Scales (BASC-3 TRS), Adjustment Scales for Children and Adolescents (ASCA),  hyperactivity, restlessness, disruptive behavior.</t>
  </si>
  <si>
    <t>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</si>
  <si>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"Table 6 presents the descriptive statistics and t-test results for specific BASC-3 TRS-C
and ASCA comparisons." Comparison of "BASC Externalizing ASCA Overactivity"</t>
  </si>
  <si>
    <t>additional_studies40_i</t>
  </si>
  <si>
    <r>
      <rPr>
        <rFont val="Calibri"/>
        <sz val="11.0"/>
      </rPr>
      <t xml:space="preserve">Burback, Shannon, "Construct Validity of the Behavior Assessment System for Children-Third
Edition Teacher Rating Scales (BASC-3 TRS): Comparisons with the Adjustment Scales
for Children and Adolescents (ASCA)" (2020). Masters Theses. 4783.
</t>
    </r>
    <r>
      <rPr>
        <rFont val="Calibri"/>
        <color rgb="FF1155CC"/>
        <sz val="11.0"/>
        <u/>
      </rPr>
      <t>https://thekeep.eiu.edu/theses/4783</t>
    </r>
  </si>
  <si>
    <r>
      <rPr>
        <rFont val="Calibri"/>
        <sz val="11.0"/>
      </rPr>
      <t xml:space="preserve">Katla, J. (2024). Replication of Construct Validity of the Behavior Assessment System for Children-Teacher Rating Scales (BASC-3 TRS) and the Adjustment Scales for Children and Adolescents (ASCA). </t>
    </r>
    <r>
      <rPr>
        <rFont val="Calibri"/>
        <color rgb="FF1155CC"/>
        <sz val="11.0"/>
        <u/>
      </rPr>
      <t>https://thekeep.eiu.edu/theses/5025?utm_source=thekeep.eiu.edu%2Ftheses%2F5025&amp;utm_medium=PDF&amp;utm_campaign=PDFCoverPages</t>
    </r>
  </si>
  <si>
    <t xml:space="preserve"> Internalizing / Underactivity</t>
  </si>
  <si>
    <t>Behavior Assessment System for Children-Teacher Rating Scales (BASC-3 TRS), Adjustment Scales for Children and Adolescents (ASCA), distress, anxiety, low engagement, reduced motivation.</t>
  </si>
  <si>
    <t>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</si>
  <si>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"Table 6 presents the descriptive statistics and t-test results for specific BASC-3 TRS-C
and ASCA comparisons." Comparison of "BASC Internalizing ASCA Underactivity"</t>
  </si>
  <si>
    <t>additional_studies41_1</t>
  </si>
  <si>
    <t>additional_studies41</t>
  </si>
  <si>
    <t>the replication study extended the original claims to two Chinese contexts: Hong Kong and Shenzhen. This effect concerns the Hong Kong sample</t>
  </si>
  <si>
    <t>Preregistration link does not work; There are two results: Regression + Mediation Model. The coder focused on different things so all entries were retained</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</si>
  <si>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</si>
  <si>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10.1002/pam.21702</t>
  </si>
  <si>
    <t>Chen, W., Dong, B., Hsieh, C.-W., Lee, M. J., Liu, N., Walker, R. M., Wang, Y., Wen, B., Wen, W., Wu, P., Wu, X., &amp; Zhang, J. (2022). A replication of "an experimental test of the expectancy-disconfirmation theory of citizen satisfaction". Public Administration, 100(3), 778-791. https://doi.org/10.1111/padm.12860</t>
  </si>
  <si>
    <t>10.1111/padm.12860</t>
  </si>
  <si>
    <t>robust experimental
replications</t>
  </si>
  <si>
    <t>Management</t>
  </si>
  <si>
    <t>Expectancy-Disconfirmation Theory</t>
  </si>
  <si>
    <t>Expectancy-Disconfirmation Theory...public services...citizen satisfaction</t>
  </si>
  <si>
    <t>citizens judge public services not only on experienced service quality but also on an implicit comparison
of service quality with prior expectations.</t>
  </si>
  <si>
    <t>performance had a large and statistically significant main effect on satisfaction… b = 0.55, p &lt; .01</t>
  </si>
  <si>
    <t>https://aspredicted.org/~AhaPdyHcZf</t>
  </si>
  <si>
    <t>Van Ryzin, G. G. (2013). An experimental test of the expectancy‐disconfirmation theory of citizen satisfaction. Journal of Policy Analysis and Management, 32(3), 597-614. https://doi.org/10.1002/pam.21702</t>
  </si>
  <si>
    <t>"Replication"</t>
  </si>
  <si>
    <t>Expectancy-disconfirmation theory of citizen satisfaction</t>
  </si>
  <si>
    <t>Expectancy Disconfirmation Theory, Citizen Satisfaction, Public Administration, Experimental Research, Social Psychology, Satisfaction Theory, Expectations in Public Services, Disconfirmation, Citizen Perceptions, Government Performance, Public Opinion, Experimental Methodology</t>
  </si>
  <si>
    <t>Higher expectations produce more negative disconfirmation, all else being equal (Hong Kong sample)</t>
  </si>
  <si>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</si>
  <si>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additional_studies41_b</t>
  </si>
  <si>
    <t>The expectations factor had only a very small negative main effect, which was not at all significant statistically… b = -0.01, p = n.s</t>
  </si>
  <si>
    <t>Higher performance leads to more positive disconfirmation, all else being equal (Hong Kong sample)</t>
  </si>
  <si>
    <t>additional_studies41_c</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</si>
  <si>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</si>
  <si>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The interaction effect was positive, meaning that high expectations seemed to amplify the effect of performance on satisfaction judgments… b = 0.08, p = n.s</t>
  </si>
  <si>
    <t>Positive disconfirmation (performance exceeding expectations) leads to higher satisfaction (Hong Kong sample)</t>
  </si>
  <si>
    <t>additional_studies41_d</t>
  </si>
  <si>
    <t>the replication study extended the original claims to two Chinese contexts: Hong Kong and Shenzhen. This effect concerns the Shenzhen sample.</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</si>
  <si>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</si>
  <si>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Performance directly and positively influences satisfaction, separate from its effect on disconfirmation. (Hong Kong sample)</t>
  </si>
  <si>
    <t>additional_studies41_e</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</si>
  <si>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</si>
  <si>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Expectations have a direct effect on satisfaction, separate from its effect on disformation (Hong Kong sample)</t>
  </si>
  <si>
    <t>additional_studies41_f</t>
  </si>
  <si>
    <r>
      <rPr>
        <rFont val="Calibri"/>
        <sz val="11.0"/>
      </rPr>
      <t xml:space="preserve">Van Ryzin, G. G. (2013). An experimental test of the expectancy‐disconfirmation theory of citizen satisfaction. Journal of Policy Analysis and Management, 32(3), 597-614. </t>
    </r>
    <r>
      <rPr>
        <rFont val="Calibri"/>
        <color rgb="FF1155CC"/>
        <sz val="11.0"/>
        <u/>
      </rPr>
      <t>https://doi.org/10.1002/pam.21702</t>
    </r>
  </si>
  <si>
    <t>Higher expectations produce more negative disconfirmation, all else being equal (Shenhzen sample)</t>
  </si>
  <si>
    <t>additional_studies41_g</t>
  </si>
  <si>
    <t>Higher performance leads to more positive disconfirmation, all else being equal. (Shenhzen sample)</t>
  </si>
  <si>
    <t>additional_studies41_h</t>
  </si>
  <si>
    <t>Positive disconfirmation (performance exceeding expectations) leads to higher satisfaction (Shenhzen sample)</t>
  </si>
  <si>
    <t>additional_studies41_i</t>
  </si>
  <si>
    <t>Performance directly and positively influences satisfaction, separate from its effect on disconfirmation. (Shenhzen sample)</t>
  </si>
  <si>
    <t>additional_studies41_j</t>
  </si>
  <si>
    <t>Expectations have a direct effect on satisfaction, separate from its effect on disformation (Shenhzen sample)</t>
  </si>
  <si>
    <t>additional_studies42_1</t>
  </si>
  <si>
    <t>additional_studies42</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</si>
  <si>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https://doi.org/10.18653/v1/2023.acl-long.864</t>
  </si>
  <si>
    <t>10.18653/v1/2023.acl-long.864</t>
  </si>
  <si>
    <t>10.18653--v1--2023.acl-long.864.pdf</t>
  </si>
  <si>
    <t>Przepiórkowski, A., Borysiak, M., &amp; Głowacki, A. (2024, May). An Argument for Symmetric Coordination from Dependency Length Minimization: A Replication Study. In Proceedings of the 2024 Joint International Conference on Computational Linguistics, Language Resources and Evaluation (LREC-COLING 2024) (pp. 1021-1033).</t>
  </si>
  <si>
    <t>2024.lrec-main.91</t>
  </si>
  <si>
    <r>
      <rPr>
        <rFont val="Calibri"/>
        <color rgb="FF1155CC"/>
        <sz val="11.0"/>
        <u/>
      </rPr>
      <t>https://aclanthology.org/2024.lrec-main.91</t>
    </r>
  </si>
  <si>
    <t>A Replication Study</t>
  </si>
  <si>
    <t>Coordination, Dependency Length Minimization, Syntax, Stanza, Universal Dependencies</t>
  </si>
  <si>
    <t>When the governor is on the left the relationship between the proportion of shorter length conjuncts are positively related to the absolute difference in words and characters</t>
  </si>
  <si>
    <t>Not reported - only a figure</t>
  </si>
  <si>
    <t>6506 total (not broken down by governor position/absense)</t>
  </si>
  <si>
    <t>This is a replication study that (apparently) reports the results of a logistic regression of six variables using the slope and corresponding p-values.  The replication study used a much larger dataset. HOWEVER, I DO NOT FULLY UNDERSTAND THE STRUCTURE OF THE RESULTS, THE REPORTING STRATEGY, AND THE MAIN CLAIMS. THEREFORE, I HESITATE TO ENTER THE DATA UNTIL I HAVE SUFFICIENT CLARITY.</t>
  </si>
  <si>
    <r>
      <rPr>
        <rFont val="Calibri"/>
        <sz val="11.0"/>
      </rPr>
      <t xml:space="preserve">Przepiórkowski, A., &amp; Woźniak, M. (2023, July). Conjunct Lengths in English, Dependency Length Minimization, and Dependency Structure of Coordination. In Proceedings of the 61st Annual Meeting of the Association for Computational Linguistics (Volume 1: Long Papers) (pp. 15494-15512). </t>
    </r>
    <r>
      <rPr>
        <rFont val="Calibri"/>
        <color rgb="FF1155CC"/>
        <sz val="11.0"/>
        <u/>
      </rPr>
      <t>https://doi.org/10.18653/v1/2023.acl-long.864</t>
    </r>
  </si>
  <si>
    <r>
      <rPr>
        <rFont val="Arial"/>
        <color rgb="FF1155CC"/>
        <u/>
      </rPr>
      <t>https://aclanthology.org/2024.lrec-main.91</t>
    </r>
  </si>
  <si>
    <t>additional_studies43_1</t>
  </si>
  <si>
    <t>additional_studies43</t>
  </si>
  <si>
    <t>At the moment, the replication document is not accessible. Sarah, made a request to a researcher.</t>
  </si>
  <si>
    <t>Shandler, R., Gross, M. L., &amp; Canetti, D. (2021). A fragile public preference for cyber strikes: Evidence from survey experiments in the United States, United Kingdom, and Israel. Contemporary Security Policy, 42(2), 135-162. https://doi.org/10.1080/13523260.2020.1868836</t>
  </si>
  <si>
    <t>10.1080/13523260.2020.1868836</t>
  </si>
  <si>
    <t>10.1080--13523260.2020.1868836.pdf</t>
  </si>
  <si>
    <t xml:space="preserve">Tyvoll, A. (2024). Proportionality in Public Support for Terrorism Retaliation: A Replication and Extension Study. </t>
  </si>
  <si>
    <t>https://keep-dev.lib.asu.edu/items/192630</t>
  </si>
  <si>
    <r>
      <rPr>
        <rFont val="Calibri"/>
        <sz val="11.0"/>
      </rPr>
      <t xml:space="preserve">Shandler, R., Gross, M. L., &amp; Canetti, D. (2021). A fragile public preference for cyber strikes: Evidence from survey experiments in the United States, United Kingdom, and Israel. Contemporary Security Policy, 42(2), 135-162. </t>
    </r>
    <r>
      <rPr>
        <rFont val="Calibri"/>
        <color rgb="FF1155CC"/>
        <sz val="11.0"/>
        <u/>
      </rPr>
      <t>https://doi.org/10.1080/13523260.2020.1868836</t>
    </r>
  </si>
  <si>
    <t>Tyvoll, A. (2024). Proportionality in Public Support for Terrorism Retaliation: A Replication and Extension Study.</t>
  </si>
  <si>
    <t>additional_studies43 _b</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</si>
  <si>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https://doi.org/10.18653/v1/2023.acl-long.865</t>
  </si>
  <si>
    <t>10.18653/v1/2023.acl-long.865</t>
  </si>
  <si>
    <r>
      <rPr>
        <rFont val="Calibri"/>
        <color rgb="FF1155CC"/>
        <sz val="11.0"/>
        <u/>
      </rPr>
      <t>https://aclanthology.org/2024.lrec-main.91</t>
    </r>
  </si>
  <si>
    <t>When the governor is absent the relationship between the proportion of shorter length conjuncts are positively related to the absolute difference in words and characters</t>
  </si>
  <si>
    <t>additional_studies43 _c</t>
  </si>
  <si>
    <t>Przepiórkowski, A., &amp; Woźniak, M. (2023, July). Conjunct Lengths in English, Dependency Length Minimization, and Dependency Structure of Coordination. In Proceedings of the 61st Annual Meeting of the Association for Computational Linguistics (Volume 1: Long Papers) (pp. 15494-15512). https://doi.org/10.18653/v1/2023.acl-long.866</t>
  </si>
  <si>
    <t>10.18653/v1/2023.acl-long.866</t>
  </si>
  <si>
    <r>
      <rPr>
        <rFont val="Calibri"/>
        <color rgb="FF1155CC"/>
        <sz val="11.0"/>
        <u/>
      </rPr>
      <t>https://aclanthology.org/2024.lrec-main.91</t>
    </r>
  </si>
  <si>
    <t>When the governor is on the right the relationship between the proportion of shorter length conjuncts are negatively related to the absolute difference in words and characters</t>
  </si>
  <si>
    <t>the slopes are very significantly negative (p &lt; 0.01), especially when length is measured in words (p ≪ 0.001).</t>
  </si>
  <si>
    <t>Unsure. Only a range between around 1000 and over 310,000 obs is reported on p1025, but not broken down in simple cells</t>
  </si>
  <si>
    <t>additional_studies44_1</t>
  </si>
  <si>
    <t>additional_studies44</t>
  </si>
  <si>
    <t>The replication study is a stage 1 registered report so no results yet, cannot find stage 2 anywhere so only coded the original study</t>
  </si>
  <si>
    <t>stage 1 registered report</t>
  </si>
  <si>
    <t>Hazen, R.A., Vasey, M.W., &amp; Schmidt, N.B. (2009). Attentional retraining: A randomized clinical trial for pathological worry. Journal of psychiatric research, 43(6), 627-633. https://doi.org/10.1016/j.jpsychires.2008.07.004</t>
  </si>
  <si>
    <t>10.1016/j.jpsychires.2008.07.004</t>
  </si>
  <si>
    <t>Pond, N., Meeten, F., Dr, Clarke, P., Notebaert, L., &amp; Scott, R. B. (2023, September 15). The Efficacy of Attentional Bias Modification for Anxiety: A Registered Replication. https://doi.org/10.31234/osf.io/cf4xz</t>
  </si>
  <si>
    <t>10.31234/osf.io/cf4xz</t>
  </si>
  <si>
    <t>"Direct replication"</t>
  </si>
  <si>
    <t>Attention bias</t>
  </si>
  <si>
    <t>Attention, Treatment, Randomized clinical trial, Anxiety, Worry, Generalized anxiety disorder, Attention bias, Cognitive bias modification, Attentional bias modification</t>
  </si>
  <si>
    <t>This effect investigates whether threat bias scores change over time across treatment conditions.</t>
  </si>
  <si>
    <t>"Results revealed significant effects for Time, F(1,15) = 16.49, p = .001, partial g2 = .52" "Consistent with predictions, participants in the ARTS condition showed a significant reduction in threat bias whereas those in the Sham-ARTS condition did not."</t>
  </si>
  <si>
    <t>PsyArXiv Preprints | The Efficacy of Attentional Bias Modification for Anxiety: A Registered Replication</t>
  </si>
  <si>
    <t xml:space="preserve">the replication study is at stage 1 registred report so no results are available </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</si>
  <si>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</si>
  <si>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Registered Replication</t>
  </si>
  <si>
    <t>attentional bias</t>
  </si>
  <si>
    <t>Attention,Treatment, Randomized clinical trial, Anxiety, Worry</t>
  </si>
  <si>
    <t>the present study tested the efficacy of such attentional training in a sample of severe
worriers over an extended period of time using psychometrically validated measures of anxiety and depression.</t>
  </si>
  <si>
    <t>Effects of treatment on threat bias were tested through a repeated measures analysis of variance (ANOVA)…Results revealed significant effects for Time, F(1,15) = 16.49, p = .001, partial η² = .52</t>
  </si>
  <si>
    <t>https://osf.io/preprints/psyarxiv/cf4xz</t>
  </si>
  <si>
    <t>additional_studies44_b</t>
  </si>
  <si>
    <t>This effect explores whether the change in threat bias over time differs between the ARTS and Sham-ARTS groups.</t>
  </si>
  <si>
    <t>"Results revealed significant effects... for the Group X Time, interaction, F(1,15) = 6.64, p = .021, partial g2 = .31" "Consistent with predictions, participants in the ARTS condition showed a significant reduction in threat bias whereas those in the Sham-ARTS condition did not."</t>
  </si>
  <si>
    <t>Hazen, R.A., Vasey, M.W., &amp; Schmidt, N.B. (2009). Attentional retraining: A randomized clinical trial for pathological worry. Journal of psychiatric research, 43(6), 627-633. https://doi.org/10.1016/j.jpsychires.2008.07.005</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</si>
  <si>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</si>
  <si>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Medicine (Psychiatry)</t>
  </si>
  <si>
    <t>Effects of treatment on threat bias were tested through a repeated measures analysis of variance (ANOVA)…Results revealed significant effects…for the Group X Time interaction, F(1,15) = 6.64, p = .021, partial η² = .31… participants in the ARTS condition showed a significant reduction in threat bias whereas those in the Sham-ARTS condition did not.</t>
  </si>
  <si>
    <t>additional_studies44_c</t>
  </si>
  <si>
    <t>This effect examines whether composite symptoms improve over time across treatment conditions.</t>
  </si>
  <si>
    <t>"Results revealed significant effects for Time, F(1,21) = 13.66, p= .001, partial g2 = .39" "Significantly greater improvement on such measures in the ARTS versus Sham-ARTS group would suggests that the emo- tional effects of attentional retraining extend to the subjective experience of anxiety and depression symptoms in the daily lives of generally anxious individuals. The results suggest that this may indeed be the case. Furthermore, the fact that these reports were made one week subsequent to the last training session sug- gests that the effects of attentional retraining on such symptoms endure well beyond the minutes immediately following training."</t>
  </si>
  <si>
    <t xml:space="preserve">in original study n was calculated based on df, the replication study is at stage 1 registred report so no results are available </t>
  </si>
  <si>
    <t>Hazen, R.A., Vasey, M.W., &amp; Schmidt, N.B. (2009). Attentional retraining: A randomized clinical trial for pathological worry. Journal of psychiatric research, 43(6), 627-633. https://doi.org/10.1016/j.jpsychires.2008.07.006</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</si>
  <si>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</si>
  <si>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Effects of treatment on composite symptoms were tested through a repeated measures analysis of variance (ANOVA)… Results revealed significant effects for Time, F(1,21) = 13.66, p = .001, partial η² = .39</t>
  </si>
  <si>
    <t>additional_studies44_d</t>
  </si>
  <si>
    <t>This effect looks at whether the change in composite symptoms over time differs between the ARTS and Sham-ARTS groups.</t>
  </si>
  <si>
    <t>"Results revealed significant effects….for the Group X Time interaction, F(1,15) = 13.24, p = .002, partial g2 = .39" "Significantly greater improvement on such measures in the ARTS versus Sham-ARTS group would suggests that the emo- tional effects of attentional retraining extend to the subjective experience of anxiety and depression symptoms in the daily lives of generally anxious individuals. The results suggest that this may indeed be the case. Furthermore, the fact that these reports were made one week subsequent to the last training session sug- gests that the effects of attentional retraining on such symptoms endure well beyond the minutes immediately following training."</t>
  </si>
  <si>
    <t>Hazen, R.A., Vasey, M.W., &amp; Schmidt, N.B. (2009). Attentional retraining: A randomized clinical trial for pathological worry. Journal of psychiatric research, 43(6), 627-633. https://doi.org/10.1016/j.jpsychires.2008.07.007</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</si>
  <si>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</si>
  <si>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 xml:space="preserve">Effects of treatment on composite symptoms were tested through a repeated measures analysis of variance (ANOVA)… Results revealed significant effects… d for the Group X Time interaction, F(1,15) = 13.24, p = .002, partial η² = .39… the emotional effects of attentional retraining extend to the subjective experience of anxiety and depression symptoms in the daily lives of generally anxious individuals. </t>
  </si>
  <si>
    <t>additional_studies44_e</t>
  </si>
  <si>
    <t>this is an extension hyp but no results are reported yet</t>
  </si>
  <si>
    <t>Hazen, R.A., Vasey, M.W., &amp; Schmidt, N.B. (2009). Attentional retraining: A randomized clinical trial for pathological worry. Journal of psychiatric research, 43(6), 627-633. https://doi.org/10.1016/j.jpsychires.2008.07.008</t>
  </si>
  <si>
    <r>
      <rPr>
        <rFont val="Calibri"/>
        <sz val="11.0"/>
      </rPr>
      <t xml:space="preserve">Pond, N., Meeten, F., Dr, Clarke, P., Notebaert, L., &amp; Scott, R. B. (2023, September 15). The Efficacy of Attentional Bias Modification for Anxiety: A Registered Replication. </t>
    </r>
    <r>
      <rPr>
        <rFont val="Calibri"/>
        <color rgb="FF1155CC"/>
        <sz val="11.0"/>
        <u/>
      </rPr>
      <t>https://doi.org/10.31234/osf.io/cf4xz</t>
    </r>
  </si>
  <si>
    <t>higher PC scores will lead to greater reductions in the CSI in the ARTS vs. the Sham Arts condition. This 
prediction is derived from the hypothesis that individuals with higher PC scores may 
(consciously or unconsciously) utilise PC to experience the expected change in 
symptomology, thus showing a greater response to demand characteristics...This will be assessed by examining the interaction between Condition 
(ARTS vs. Sham ARTS) and PC in a multiple regression predicting change in CSI. If 
the interaction term is greater than zero, this will indicate that PC is influencing the 
apparent efficacy of ABM. The difference from zero will be evaluated by applying a 
Bayes Factor to the interaction term.</t>
  </si>
  <si>
    <t>additional_studies45_1</t>
  </si>
  <si>
    <t>additional_studies45</t>
  </si>
  <si>
    <t>Email response from LR: I think the "replication" part is actually a reproduction because both reports use the same sources (Current Population Surveys, CPS). We will discuss if the "extension" part meets our inclusion criteria and get back to you if it does. Until then, please do not code this study.</t>
  </si>
  <si>
    <t>Not a replication</t>
  </si>
  <si>
    <t>Autor, D. H., Katz, L. F., &amp; Kearney, M. S. (2008). Trends in US wage inequality: Revising the revisionists. The Review of economics and statistics, 90(2), 300-323. https://doi.org/10.1162/rest.90.2.300</t>
  </si>
  <si>
    <t>10.1162/rest.90.2.300</t>
  </si>
  <si>
    <t>Stephenson, Corinne (2024). Trends in U.S. Wage Inequality: Revising the Revisionists. A Replication Study of Autor, Katz, and Kearney (2008). Journal of Comments and Replications in Economics, Vol.3 (2024-4). https://doi.org/10.18718/81781.34</t>
  </si>
  <si>
    <t>10.18718/81781.34</t>
  </si>
  <si>
    <t>Economics</t>
  </si>
  <si>
    <t>Thomas</t>
  </si>
  <si>
    <t>LR, Thomas Miller</t>
  </si>
  <si>
    <t>test statistic = log points; sample sizes not reported: both studies use CPS data</t>
  </si>
  <si>
    <t>replication/extension</t>
  </si>
  <si>
    <t>wage inequality</t>
  </si>
  <si>
    <t>Wage Structure, Inequality, Technological Change, Labor Market Institutions, Minimum Wage</t>
  </si>
  <si>
    <t>Panel A of table 4 shows that male 90/50 (upper-tail) residual wage inequality rose during both halves of the sample: by 4.4 log points from 1973 to 1989 and by 4.0 log points from 1989 to 2005. ... Male 50/10 residual inequal- ity rose by 5.7 log points between 1973 and 1989 and then fell by 1.3 log points between 1989 and 2005 (panel B of table 4). ... ... To summarize, the sharp growth in wage dispersion in the lower half of the wage distribution during the early to mid-1980s seems to have been an episodic event that has not reoccurred over the past fifteen years. By contrast, the steady growth of wage dispersion in the upper half of the wage distribution appears to represent a secular trend that has been ongoing for 25 years.</t>
  </si>
  <si>
    <t>p. 314</t>
  </si>
  <si>
    <t>p. 313-314</t>
  </si>
  <si>
    <t>p.17</t>
  </si>
  <si>
    <t>test statistic = log points</t>
  </si>
  <si>
    <t>additional_studies46_1</t>
  </si>
  <si>
    <t>additional_studies46</t>
  </si>
  <si>
    <t>Larsson, T., Callies, M., Hasselgård, H., Laso, N. J., Van Vuuren, S., Verdaguer, I., &amp; Paquot, M. (2020). Adverb placement in EFL academic writing: Going beyond syntactic transfer. International Journal of Corpus Linguistics, 25(2), 156-185. https://doi.org/10.1075/ijcl.19131.lar</t>
  </si>
  <si>
    <r>
      <rPr>
        <rFont val="Calibri"/>
        <color rgb="FF1155CC"/>
        <sz val="11.0"/>
        <u/>
      </rPr>
      <t>10.1075/ijcl.19131.lar</t>
    </r>
  </si>
  <si>
    <t>10.1075--ijcl.19131.lar.pdf</t>
  </si>
  <si>
    <t>Özkan Miller, V., &amp; Larsson, T. (2024). The effect of linguistic and extralinguistic features on EFL adverb placement: A partial replication study of Larsson et al.(2020). International Journal of Learner Corpus Research. https://doi.org/10.1075/ijlcr.00046.ozk</t>
  </si>
  <si>
    <t>10.1075/ijlcr.00046.ozk</t>
  </si>
  <si>
    <t>Study excluded</t>
  </si>
  <si>
    <t>https://doi.org/10.1075/ijcl.19131.lar</t>
  </si>
  <si>
    <r>
      <rPr>
        <rFont val="Calibri"/>
        <sz val="11.0"/>
      </rPr>
      <t xml:space="preserve">Özkan Miller, V., &amp; Larsson, T. (2024). The effect of linguistic and extralinguistic features on EFL adverb placement: A partial replication study of Larsson et al.(2020). International Journal of Learner Corpus Research. </t>
    </r>
    <r>
      <rPr>
        <rFont val="Calibri"/>
        <color rgb="FF1155CC"/>
        <sz val="11.0"/>
        <u/>
      </rPr>
      <t>https://doi.org/10.1075/ijlcr.00046.ozk</t>
    </r>
  </si>
  <si>
    <t>10.1075--ijlcr.00046.ozk.pdf</t>
  </si>
  <si>
    <t>A partial replication study of Larsson et al. (2020)</t>
  </si>
  <si>
    <t>In both research articles, the authors want to investigate which linguistic variables are most important for distinguishing between adverb positions in the written data. In both cases, they report running a Random Forest classifier using R. However, no quantitative results are reported. The authors show a plot with the results, which does not give a clear estimate and its uncertainty. Therefore, even if I consider this to be a replication, I judge that the lack of quantitative data hinders this replication analysis.</t>
  </si>
  <si>
    <t>additional_studies47_1</t>
  </si>
  <si>
    <t>additional_studies47</t>
  </si>
  <si>
    <t>Feedback for Roskana:
- please add pagenumbers into the respective variables (es_repr_o) even if it is the same as the claim page number
- coding is generally very good (not just for this entry)! thank you!
- additional studies 47_e: p value replication was repoted as .113 but was .133</t>
  </si>
  <si>
    <t>Wiseheart, M., Viswanathan, M., &amp; Bialystok, E. (2016). Flexibility in task switching by monolinguals and bilinguals. Bilingualism: Language and Cognition, 19(1), 141–146. https://doi.org/10.1017/S1366728914000273</t>
  </si>
  <si>
    <t>10.1017/S1366728914000273</t>
  </si>
  <si>
    <t>Ward, R., &amp; Awani, J. (2024). Bilingualism and flexibility in task switching: A close replication study. Studies in Second Language Acquisition, 1-17. https://doi.org/10.1017/S0272263124000378</t>
  </si>
  <si>
    <t>10.1017/S0272263124000378</t>
  </si>
  <si>
    <t>The transferability of language-switching skills to nonlinguistic task switching</t>
  </si>
  <si>
    <t>Bilingual advantage, bilingualism, executive control, executive functioning, task switching</t>
  </si>
  <si>
    <t>This effect examines how block type (switch vs. non-switch) affects reaction times (global switch cost condition)</t>
  </si>
  <si>
    <t>"There was a main effect of block type, with longer RTs for non- switch trials in the switch block, F(1,64) = 228.4, p &lt; .001, η2, p = .78"</t>
  </si>
  <si>
    <t>Feedback for Thomas:
- if an eta squared is available, please code it and not the test statistics</t>
  </si>
  <si>
    <t>bilingual advantage (task switching)</t>
  </si>
  <si>
    <t>task switching, bilingualism, executive function</t>
  </si>
  <si>
    <t>relationship between bilingualism and improved task-switching flexibility, via  reduced global switch costs (GSC)</t>
  </si>
  <si>
    <t>There was a main effect of block type, with longer RTs for non-switch trials in the switch block, F(1,64) = 228.4, p &lt; .001, η²p = .78... and an interaction between block type and language status, F(1,64) = 4.9, p = .03, η²p = .07, in which the difference between RT in switch and non-switch blocks was smaller for bilinguals, consistent with smaller GSC. ...  our study found
that young adult bilinguals displayed a GSC advantage, but no LSC advantage.</t>
  </si>
  <si>
    <t>F(1,76) = 125.97</t>
  </si>
  <si>
    <t>F(1, 76) =4.063,</t>
  </si>
  <si>
    <t>There was a main effect of switch status, with longer RTs for switch trials, F(1,64) = 53.2, p &lt; .001, η2p = .45</t>
  </si>
  <si>
    <t>F(1, 76) = 54.66</t>
  </si>
  <si>
    <t>additional_studies47_b</t>
  </si>
  <si>
    <t>This effect explores whether language status (bilingual vs. monolingual) has an impact on global switch costs (global switch cost condition)</t>
  </si>
  <si>
    <t>"No main effect of language status, F &lt; 1"</t>
  </si>
  <si>
    <t>additional_studies47_c</t>
  </si>
  <si>
    <t>This interaction effect investigates how block type (switch vs. non-switch) and language status interact to affect global switch costs (global switch cost condition)</t>
  </si>
  <si>
    <t>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</si>
  <si>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additional_studies47_d</t>
  </si>
  <si>
    <t>This effect examines the difference in reaction times between switch and non-switch trials within the switch block (local switch cost)</t>
  </si>
  <si>
    <t>"There was a main effect of switch status, with longer RTs for switch trials, F(1, 64) = 53.2, p &lt; .001, η²_p = .45"</t>
  </si>
  <si>
    <t>additional_studies47_e</t>
  </si>
  <si>
    <t>This effect tests whether language status (bilingual vs. monolingual) influences the local switch cost  (local switch cost condition)</t>
  </si>
  <si>
    <t>"Neither the language status main effect nor the interaction reached significance, Fs &lt; 1" "our study found that young adult bilinguals displayed a GSC advantage, but no LSC advantage."</t>
  </si>
  <si>
    <t>additional_studies47_f</t>
  </si>
  <si>
    <t>This interaction effect examines whether the relationship between switch status (switch vs. non-switch trials) and local switch costs is moderated by language status (local switch cost condition)</t>
  </si>
  <si>
    <t>additional_studies48_1</t>
  </si>
  <si>
    <t>additional_studies48</t>
  </si>
  <si>
    <t>psychometric study - unclear how to handle</t>
  </si>
  <si>
    <t>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</si>
  <si>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scholars.indianastate.eduetds--2136</t>
  </si>
  <si>
    <t>Thornton, K. B. (2024). PERCEPTIONS OF MATTERING AMONG GENERAL EDUCATION TEACHERS: REPLICATION, VALIDATION, AND EXTENSION OF THE FUNDAMENTAL ELEMENTS OF MATTERING SCALE FOR TEACHERS (FEMS-T).</t>
  </si>
  <si>
    <t>digitalcommons.memphis.edu--etd--3538</t>
  </si>
  <si>
    <t>https://digitalcommons.memphis.edu/etd/3538/</t>
  </si>
  <si>
    <t>mattering scale</t>
  </si>
  <si>
    <t>Mattering, K–12 education, teachers, meaning, teaching</t>
  </si>
  <si>
    <t xml:space="preserve">The original study and replication aim to identify the main factors implicated in mattering among teachers. They use confirmatory factor analysis (CFA) and identify that eight factors with 40 items derived from a questionnaire are the most relevant. Given that the studies provide a chi-square test with degrees of freedom and p-values I report this statistic. However, another relevant metric for the original and replication is the Comparative Fit Index (CFI). I report that for the original study, this value is 0.955, and for the replicate a CFI of 0.930. The authors indicate this is the best fit to data in both cases. </t>
  </si>
  <si>
    <t>Feedback for Daniel
- Choosing the chi square test for fit in the matter scale development paper was a good decision!</t>
  </si>
  <si>
    <r>
      <rPr>
        <rFont val="Calibri"/>
        <sz val="11.0"/>
      </rPr>
      <t xml:space="preserve">Wilfong, R. (. (2021). The mattering model: The foundational elements of mattering for K-12 educators (Order No. 28319407). Available from ProQuest Dissertations &amp; Theses Global. (2537966312). Retrieved from </t>
    </r>
    <r>
      <rPr>
        <rFont val="Calibri"/>
        <color rgb="FF1155CC"/>
        <sz val="11.0"/>
        <u/>
      </rPr>
      <t>https://www.proquest.com/dissertations-theses/mattering-model-foundational-elements-k-12/docview/2537966312/se-2</t>
    </r>
  </si>
  <si>
    <t>Foundational factors of Mattering</t>
  </si>
  <si>
    <t>Mattering, self-esteem, health, depression, marginalization, teachers, porpuse</t>
  </si>
  <si>
    <t>Mattering is the feeling that one’s actions are significant, and that one would be missed if
one were gone</t>
  </si>
  <si>
    <t>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</si>
  <si>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X2(712) = 1991.413</t>
  </si>
  <si>
    <t>p. 165</t>
  </si>
  <si>
    <t>X2(224) = 393.695</t>
  </si>
  <si>
    <t>p.27</t>
  </si>
  <si>
    <t>additional_studies49_1</t>
  </si>
  <si>
    <t>additional_studies49</t>
  </si>
  <si>
    <t>comapres target-like use (TLU) of beginners vs intermediates on 'ing' morpheme (not sure how to report this). Original not accessible so statistics are from replication's Table 4 (p. 31)</t>
  </si>
  <si>
    <t>Feedback for Nikolay
- values in _o variables should not come from the replication report but only the original study's report</t>
  </si>
  <si>
    <t>Lozano, C., &amp; Díaz-Negrillo, A. (2019). Using learner corpus methods in L2 acquisition research: The morpheme order studies revisited with Interlanguage Annotation. Revista Española de Lingüística Aplicada/Spanish Journal of Applied Linguistics, 32(1), 82-124. https://doi.org/10.1075/resla.17019.loz</t>
  </si>
  <si>
    <t>10.1075/resla.17019.loz</t>
  </si>
  <si>
    <t>10.1075--resla.17019.loz.pdf</t>
  </si>
  <si>
    <t>Kontkanen, J. (2024). Investigating the effect of proficiency level on the acquisition order of morphemes for L2 English learners: A replication of a corpus-based SLA study using Interlanguage Annotation.</t>
  </si>
  <si>
    <t>Kontkanen_Jaakko_thesis_2024</t>
  </si>
  <si>
    <t>https://helda.helsinki.fi/bitstreams/b16ebd43-f83b-42c9-9996-adf6735845c1/download</t>
  </si>
  <si>
    <t>grammar acquisition</t>
  </si>
  <si>
    <t>Second Language Acquisition, Learner Corpus Research, Interlanguage Annotation, COREFL, acquisition order, Morpheme Order Studies, UAM Corpus Tool</t>
  </si>
  <si>
    <t>The purpose of this study is to investigate the effect of proficiency level on the acquisition order of certain grammatical morphemes for L1 Spanish learners of L2 English</t>
  </si>
  <si>
    <t>The key findings from the studies have suggested that accuracy scores of the morphemes reflect a somewhat fixed order of morpheme acquisition for L2 English learners irrespective of L1 background, age, or learning environment.</t>
  </si>
  <si>
    <t>X2(1)=22.77</t>
  </si>
  <si>
    <t>df inferred based on context; Table 4 in replication</t>
  </si>
  <si>
    <t>unsure</t>
  </si>
  <si>
    <t>X2(1)=2.34</t>
  </si>
  <si>
    <t>df inferred based on context; Table 4</t>
  </si>
  <si>
    <t xml:space="preserve">This is an accurate replication study where 8 variables are replicated with the same metric (chi-squared and associated p-values). The replication adds additional results for "3rd sing".  As this evaluates independently different morphemes, I report several chi-square results. These results are reported directly given that no degrees of freedom were provided. </t>
  </si>
  <si>
    <t>Feedback for Daniel
- description should be matched for multiple rows per entry to specify what effect this is</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</si>
  <si>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</si>
  <si>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progressive (ing)</t>
  </si>
  <si>
    <t>Second Language Acquisition (SLA), Interlanguage Annotation, 
Morpheme Order Studies (MOS), Grammatical Morphemes, 
COREFL (Corpus of English as a Foreign Language)</t>
  </si>
  <si>
    <t>Progressive -ing. The annotation covers OCs of the progressive verb form in
main lexical verbs occurring in finite verb phrases. Present</t>
  </si>
  <si>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</si>
  <si>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p. 101, df inferred based on description</t>
  </si>
  <si>
    <t>additional_studies49_b</t>
  </si>
  <si>
    <t>comapres target-like use (TLU) of beginners vs intermediates on the plural morpheme (not sure how to report this). Original not accessible so statistics are from replication's Table 4 (p. 31)</t>
  </si>
  <si>
    <t>X2(1)=0.03</t>
  </si>
  <si>
    <t>X2(1)=1.72</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</si>
  <si>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</si>
  <si>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plural (plural)</t>
  </si>
  <si>
    <t>Plural -s. The annotation covers OCs of the regular plural number form in nouns, while irregular nominal plurals or plural number forms with other lexical categories (adjectives) were not annotated, as done in previous MOS.</t>
  </si>
  <si>
    <t>p.100</t>
  </si>
  <si>
    <t>additional_studies49_c</t>
  </si>
  <si>
    <t>comapres target-like use (TLU) of beginners vs intermediates on 'be'-cop morpheme (not sure how to report this). Original not accessible so statistics are from replication's Table 4 (p. 31)</t>
  </si>
  <si>
    <t>X2(1)=11.59</t>
  </si>
  <si>
    <t>X2(1)=1.96</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</si>
  <si>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</si>
  <si>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copula be (be-cop)</t>
  </si>
  <si>
    <t>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</si>
  <si>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</si>
  <si>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additional_studies49_d</t>
  </si>
  <si>
    <t>comapres target-like use (TLU) of beginners vs intermediates on 'be'-aux morpheme (not sure how to report this). Original not accessible so statistics are from replication's Table 4 (p. 31)</t>
  </si>
  <si>
    <t>X2(1)=24.44</t>
  </si>
  <si>
    <t>X2(1)=1.49</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</si>
  <si>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</si>
  <si>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auxiliary be (be-aux)</t>
  </si>
  <si>
    <t>Auxiliary be. The annotation covers OCs of auxiliary be, specifically in progressive and passive contexts.</t>
  </si>
  <si>
    <t>additional_studies49_e</t>
  </si>
  <si>
    <t>comapres target-like use (TLU) of beginners vs intermediates on article morphemes (not sure how to report this). Original not accessible so statistics are from replication's Table 4 (p. 31)</t>
  </si>
  <si>
    <t>X2(1)=23.46</t>
  </si>
  <si>
    <t>X2(1)=19.09</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</si>
  <si>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</si>
  <si>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article (article)</t>
  </si>
  <si>
    <t>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</si>
  <si>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additional_studies49_f</t>
  </si>
  <si>
    <t>comapres target-like use (TLU) of beginners vs intermediates on past-irregular morphemes (not sure how to report this). Original not accessible so statistics are from replication's Table 4 (p. 31)</t>
  </si>
  <si>
    <t>X2(1)=37.43</t>
  </si>
  <si>
    <t>X2(1)=0.4</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</si>
  <si>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</si>
  <si>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irregular past (past-irreg)</t>
  </si>
  <si>
    <t>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</si>
  <si>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p.108</t>
  </si>
  <si>
    <t>additional_studies49_g</t>
  </si>
  <si>
    <t>comapres target-like use (TLU) of beginners vs intermediates on past-regular morphemes (not sure how to report this). Original not accessible so statistics are from replication's Table 4 (p. 31)</t>
  </si>
  <si>
    <t>X2(1)=42.12</t>
  </si>
  <si>
    <t>X2(1)=1.02</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</si>
  <si>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</si>
  <si>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regular past (past-reg)</t>
  </si>
  <si>
    <t>Regular past. The annotation covers OCs of the simple past tense -(e)d form
of regular lexical verbs.</t>
  </si>
  <si>
    <t>additional_studies49_h</t>
  </si>
  <si>
    <t>comapres target-like use (TLU) of beginners vs intermediates on possessive morpheme (not sure how to report this). Original not accessible so statistics are from replication's Table 4 (p. 31)</t>
  </si>
  <si>
    <t>X2(1)=1.4</t>
  </si>
  <si>
    <t>X2(1)=2.94</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</si>
  <si>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</si>
  <si>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possessive (poss)</t>
  </si>
  <si>
    <t>Possessive. The annotation covers OCs of the genitive structure [noun’s + NP]. Cases showing absence of the apostrophe have been marked as TLU, as we understand that the morpheme has been produced and the apostrophe represents a spelling issue.</t>
  </si>
  <si>
    <t>X2 =1.4</t>
  </si>
  <si>
    <t>p.101</t>
  </si>
  <si>
    <t>additional_studies49_i</t>
  </si>
  <si>
    <t>changed replicationt ype to conceptual because "3rd sing" was not part of original study</t>
  </si>
  <si>
    <r>
      <rPr>
        <rFont val="Calibri"/>
        <sz val="11.0"/>
      </rPr>
      <t xml:space="preserve">Lozano, C., &amp; Díaz-Negrillo, A. (2019). Using learner corpus methods in L2 acquisition research: The morpheme order studies revisited with Interlanguage Annotation. Revista Española de Lingüística Aplicada/Spanish Journal of Applied Linguistics, 32(1), 82-124. </t>
    </r>
    <r>
      <rPr>
        <rFont val="Calibri"/>
        <color rgb="FF1155CC"/>
        <sz val="11.0"/>
        <u/>
      </rPr>
      <t>https://doi.org/10.1075/resla.17019.loz</t>
    </r>
  </si>
  <si>
    <t>Proficiency use of 3rd person singular (3rd sing)</t>
  </si>
  <si>
    <t>3rd person singular. The annotation covers OCs of 3rd person singular -(e)s
forms of lexical verbs only.</t>
  </si>
  <si>
    <t>x²(1)=11.91</t>
  </si>
  <si>
    <t>additional_studies5_1</t>
  </si>
  <si>
    <t>additional_studies5</t>
  </si>
  <si>
    <t>this still needs coding</t>
  </si>
  <si>
    <t>Onwuegbuzie, A. J., Bailey, P., &amp; Daley, C. E. (2000). The validation of three scales measuring anxiety at different stages of the foreign language learning process: The input anxiety scale, the processing anxiety scale, and the output anxiety scale. Language learning, 50(1), 87-117. https://doi.org/10.1111/0023-8333.00112</t>
  </si>
  <si>
    <t>10.1111/0023-8333.00112</t>
  </si>
  <si>
    <t>Piniel, K. (2024). The Input, Process, and Output Anxiety Scales: An Approximate Replication Study. In: Investigating Foreign Language Anxiety. Second Language Learning and Teaching. Springer, Cham. https://doi.org/10.1007/978-3-031-55844-3_4</t>
  </si>
  <si>
    <t>10.1007/978-3-031-55844-3_4</t>
  </si>
  <si>
    <t>Title - "An Approximate Replication Study"
Abstract - "... conducting an approximate replication of Onwuegbuzie et al. in Language Learning, 50(1):87–117, 2000."</t>
  </si>
  <si>
    <t>foreign langauage learning anxiety</t>
  </si>
  <si>
    <t>language learning, anxiety, validation, scale</t>
  </si>
  <si>
    <t>Input, Process, and Output Anxiety Scales</t>
  </si>
  <si>
    <t>additional_studies5_a</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</si>
  <si>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input anxiety, β = 0.18, t = 2.42, p &lt; 0.05;  The addition of each of these independent variables to the regression equation significantly improved prediction: for input anxiety, R2 change = 0.39, F change1, 131 = 82.18,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</si>
  <si>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Input</t>
  </si>
  <si>
    <t>Input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</si>
  <si>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IAS (standardized beta coefficient = 0.18) made the biggest con- tribution, explaining 40.8% of the variance in global foreign language anxiety.</t>
  </si>
  <si>
    <t>additional_studies5_b</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</si>
  <si>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process anxiety, β = 0.43, t = 5.32, p &lt; 0.01; The addition of each of these independent variables to the regression equation significantly improved prediction: ffor process anxiety, R2 change = 0.19, F change 2, 130 = 59.85,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</si>
  <si>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Process</t>
  </si>
  <si>
    <t>Process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</si>
  <si>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IAS (standardized beta coefficient = 0.18) made the biggest con- tribution, explaining 40.8% of the variance in global foreign language anxiety. With the inclusion of the IAS in the model, the PAS (standardized beta coefficient = 0.45) explained an additional 23.6% of the variance. The OAS (standardized beta coefficient = 0.32) accounted for a further 4.9% of the variance.</t>
  </si>
  <si>
    <t>additional_studies5_c</t>
  </si>
  <si>
    <t>Claim text_r The regression analysis using the step-wise method showed that the input, processing, and output anxieties in combination contributed significantly to the general feeling of foreign language classroom anxiety (R2 adj = 0.62; F3,129 = 73.90, p &lt; 0.01). Beta coefficients for the three predictors were the following: for output anxiety, β = 0.31, t = 4.31, p &lt; 0.01. The addition of each of these independent variables to the regression equation significantly improved prediction: for output anxiety, R2 change = 0.05, F change3, 129 = 18.56, p &lt; 0.01. These results suggest that anxiety experienced at the processing stage has a more significant effect on general language anxiety than anxiety experienced at the output stage of language learning, which is also consistent with Onwuegbuzie et al.’s (2000) findings. [...] p 63.</t>
  </si>
  <si>
    <t>Output</t>
  </si>
  <si>
    <t>Output Anxiety Scales</t>
  </si>
  <si>
    <t>The regression analysis revealed that all three scales contributed significantly to the prediction of global foreign language anxiety, F(3, 254) = 191.15, p &lt; .0001. These three scales together explained 69.4% of the variance in global anxiety (adjusted R? = 68.9%), suggesting a very large effect size (Cohen, 1988). The OAS (standardized beta coefficient = 0.32) accounted for a further 4.9% of the variance.</t>
  </si>
  <si>
    <t>additional_studies50_1</t>
  </si>
  <si>
    <t>additional_studies50</t>
  </si>
  <si>
    <t>network analysis - unclear how to handle</t>
  </si>
  <si>
    <t>Tamm., G., Koster, E. H. W, &amp; Hoorelbeke, K. (2024). Multiple paths to rumination within a
network analytical framework. Scientific Reports, 14(1), 10874.
 http://dx.doi.org/10.1038/s41598-024-61469-6</t>
  </si>
  <si>
    <t>10.1038/s41598-024-61469-6</t>
  </si>
  <si>
    <t>10.1038--s41598-024-61469-6.pdf</t>
  </si>
  <si>
    <t>Tamm, G., Koster, E. H., &amp; Hoorelbeke, K. Evaluating Theories of Repetitive Negative Thinking: Replication and Extension. http://dx.doi.org/10.31234/osf.io/kpcwv</t>
  </si>
  <si>
    <t>10.31234/osf.io/kpcwv</t>
  </si>
  <si>
    <t>Psychopathology</t>
  </si>
  <si>
    <t>effect of rumination in psychopathology</t>
  </si>
  <si>
    <t>Rumination; Worry; Depression; Anxiety; Network analysis; Bayesian networks; Replication</t>
  </si>
  <si>
    <t>validated - FReD but not COS</t>
  </si>
  <si>
    <t>This article does not perform hypothesis testing, comparisons, or report effect sizes but takes a network analytical
framework approach. Therefore, the results are shown as the centrality measurements of a Gaussian Graphical Model. I report the mean value for rumination (RRS) as the main claim for the research article in the es_value and es_type columns. These values contain also SD but I do not see a place in the template to place those.</t>
  </si>
  <si>
    <r>
      <rPr>
        <rFont val="Calibri"/>
        <sz val="11.0"/>
      </rPr>
      <t xml:space="preserve">Tamm., G., Koster, E. H. W, &amp; Hoorelbeke, K. (2024). Multiple paths to rumination within a
network analytical framework. Scientific Reports, 14(1), 10874.
 </t>
    </r>
    <r>
      <rPr>
        <rFont val="Calibri"/>
        <color rgb="FF1155CC"/>
        <sz val="11.0"/>
        <u/>
      </rPr>
      <t>http://dx.doi.org/10.1038/s41598-024-61469-6</t>
    </r>
  </si>
  <si>
    <t>Replication and Extension</t>
  </si>
  <si>
    <t>Rumination</t>
  </si>
  <si>
    <t>rumination, repetitive, negative thinking, metacognitive frameworks, self-regulation</t>
  </si>
  <si>
    <t>Rumination is a form of repetitive negative thinking with a focus on negative past experiences and feelings.</t>
  </si>
  <si>
    <t>There are  multiple paths to rumination. Major theories of rumination that put different emphasis on metacognitive and self-regulatory aspects of rumination complement each other.</t>
  </si>
  <si>
    <t>Strength of centrality of the nodes</t>
  </si>
  <si>
    <t>p.13</t>
  </si>
  <si>
    <t>https://osf.io/8t9qj</t>
  </si>
  <si>
    <t>additional_studies51_1</t>
  </si>
  <si>
    <t>additional_studies51</t>
  </si>
  <si>
    <t>model fitting analysis - recording of WAIC scores seems likely though that's not among the options</t>
  </si>
  <si>
    <t>Sastre, L. V., Defina, R., Garrett, P. M., Zacks, J. M., &amp; Dennis, S. (2024). Most daily events have no characteristic duration. Under review</t>
  </si>
  <si>
    <t>https://escholarship.org/uc/item/0qf9t9pc</t>
  </si>
  <si>
    <t>escholarship.org--uc--item--0qf9t9pc.pdf</t>
  </si>
  <si>
    <t>Sastre Gomez, V., Defina, R., Garrett, P. M., Zacks, J. M., &amp; Dennis, S. (2024). Event Distribution in Daily Life: A Replication Study. In Proceedings of the Annual Meeting of the Cognitive Science Society (Vol. 46).</t>
  </si>
  <si>
    <t>qt8p5673qn</t>
  </si>
  <si>
    <t>https://escholarship.org/uc/item/8p5673qn</t>
  </si>
  <si>
    <t>escholarship.org--uc--item--8p5673qn.pdf</t>
  </si>
  <si>
    <t xml:space="preserve">I do not consider this to be a direct replication study because the authors used a different method to overcome a methodological/conceptual limitation of the original study. Even if the phenomenon being studied is the same, the introduction of a method to measure the duration of events significantly alters the experimental approach. It is not a replication study, but a reformulation of the original study using a different methodological approach. The authors state: "Our primary aim was to address the identified methodological limitation observed in Sastre et al.'s (under review) research, where participants reported the start times for events, and the end time was deduced as the moment they initiated the survey. However, concerns arose about the precision of calculations for daily event durations due to reliance on participants' time inputs. To overcome this limitation, our study conducted a replication of Sastre et al.'s (under review), employing nightly segmentation methods with time-stamped pictures inspired by a previous study". </t>
  </si>
  <si>
    <t>additional_studies52_1</t>
  </si>
  <si>
    <t>additional_studies52</t>
  </si>
  <si>
    <t>replication in history - there are barely any numbers; maybe an exclusion, but not sure as there are non-social-science options in the "discipline" column</t>
  </si>
  <si>
    <t>Brooke, J. H. (1991). Science and religion: Some historical perspectives. Cambridge University Press.</t>
  </si>
  <si>
    <t>Brooke, J. H. (1991). Science and religion-Some historical perspectives.pdf</t>
  </si>
  <si>
    <t>van den Brink, G., van Eyghen, H., &amp; Peels, R. (2024). Brooke on the Merton-thesis: A Direct Replication of John Hedley Brooke's Chapter on Scientific and Religious Reform. Zygon: Journal of Religion and Science, 59.</t>
  </si>
  <si>
    <t>10.16995/zygon.11497</t>
  </si>
  <si>
    <t>10.16995--zygon.11497.pdf</t>
  </si>
  <si>
    <t>A Direct Replication of John Hedley Brooke's Chapter on Scientific and Religious Reform</t>
  </si>
  <si>
    <t>This study and replication does not constitute a quantitative measurement of phenomena but a textual analysis where no quantitative data or effect sizes are available for meta-analysis purposes.</t>
  </si>
  <si>
    <t>Political Psychology</t>
  </si>
  <si>
    <t>additional_studies53_1</t>
  </si>
  <si>
    <t>additional_studies53</t>
  </si>
  <si>
    <t>van den Brink, G., Pear, R., &amp; Peels, R. (2024). Jewish Responses to Copernican Thought: A Conceptual Replication of John Hedley Brooke's Chapter on Scientific and Religious Reform. Zygon: Journal of Religion and Science, 59.</t>
  </si>
  <si>
    <t>No statistical data provided</t>
  </si>
  <si>
    <t>Conceptual replication</t>
  </si>
  <si>
    <t>John Hedley Brooke, Reform, Conceptual replication, Judaism, Science</t>
  </si>
  <si>
    <t>Jewish responses to Copernican thought provide evidence that social and cultural factors, in combination with theological considerations, shape the reception of scientific reform.</t>
  </si>
  <si>
    <t>One of the author’s key conclusions is that the relationship between science and religion is dynamic, diverse, and highly dependent on historical and cultural contexts, challenging simplified narratives of inherent conflict or complete separation between these spheres.</t>
  </si>
  <si>
    <t>60–85</t>
  </si>
  <si>
    <t>https://osf.io/j8n59</t>
  </si>
  <si>
    <t>Raul</t>
  </si>
  <si>
    <t>additional_studies54_1</t>
  </si>
  <si>
    <t>additional_studies54</t>
  </si>
  <si>
    <t>LR, RS</t>
  </si>
  <si>
    <t>Duplicate entry? Both original and replication are the same as above</t>
  </si>
  <si>
    <t>see entry resciencex_01_1</t>
  </si>
  <si>
    <t>Croninger, R.G., Rice, J.K., Rathbun, A., &amp; Nishio, M.(2007).Teacher qualifications and early learning: Effects of certification, degree, and experience on first-grade student achievement.Economics of Education Review, 26(3), 312–324. http://doi.org/10.1016/j.econedurev.2005.05.008</t>
  </si>
  <si>
    <t>10.1016/j.econedurev.2005.05.008</t>
  </si>
  <si>
    <t>Renbarger, R., Sulak, T., &amp; Morgan, G. (2022). The Importance of Teacher Credentials for Early Achievement: A Replication of Croninger et al. (2007) Econ. Edu. Rev. ReScience X, 1(1). Retrieved from http://rescience.org/x/article/view/8</t>
  </si>
  <si>
    <t>10.5281/zenodo.6426882</t>
  </si>
  <si>
    <t>http://rescience.org/x/article/view/8</t>
  </si>
  <si>
    <t>LR,  Corinna Gemmecke</t>
  </si>
  <si>
    <t>It is the same original and replication study as ID resciencex_01_1</t>
  </si>
  <si>
    <t>additional_studies55_1</t>
  </si>
  <si>
    <t>additional_studies55</t>
  </si>
  <si>
    <t>This is a conceptual replication which explores the variables through different study designs and through mediators unlike the original , see further notes under exclusion. I struggled being able to work out where the results can be matched due to use of different variables and design. UPDATE 15/12- Before submitting, I planned to look through this example again to ensure I am not wrongly excluding this pair. Whilst going through the replication paper, specifically 'Table 1' on page 5, I noticed that the main finding in bold is to a different paper than linked here as the 'original' which explains the dis-match in designs and variables. They both include the same authors but the one that correlates with the 'replication' referenced in this row is not the one attached to this document as the 'original'. I believe the correct paper that should be linked as the original in this row is referenced as follows: Fuchs, C., Prandelli, E., &amp; Schreier, M. (2010). The psychological effects of empowerment strategies on consumers’ product demand. Journal of marketing, 74(1), 65-79.</t>
  </si>
  <si>
    <t>The other coder did not seem to have difficulties and reported test statistics. I do not have access and the PDF-Link does not work. sarahashjones@gmail.com can you please check whether the 2010 or 2011 article is the target? You can send both articles to me and I will check whether the stats that Thomas entered are alright. I could not find many of the numbers and "7" + "test statistic" is not very helpful for us.</t>
  </si>
  <si>
    <t>Fuchs, C., &amp; Schreier, M. (2011). Customer empowerment in new product development. Journal of product innovation management, 28(1), 17-32. https://doi.org/10.1111/j.1540-5885.2010.00778.x</t>
  </si>
  <si>
    <t>10.1111/j.1540-5885.2010.00778.x</t>
  </si>
  <si>
    <r>
      <rPr>
        <rFont val="Calibri"/>
        <sz val="11.0"/>
      </rPr>
      <t xml:space="preserve">Bachouche, H., Hamdi-Kidar, L., &amp; Sabri, O. (2024). Empowerment strategies and their effects in digital contexts: corroboration, replication, and extension. International Journal of Advertising, 1-32. </t>
    </r>
    <r>
      <rPr>
        <rFont val="Calibri"/>
        <color rgb="FF1155CC"/>
        <sz val="11.0"/>
        <u/>
      </rPr>
      <t>https://doi.org/10.1080/02650487.2024.2362015</t>
    </r>
  </si>
  <si>
    <t>10.1080/02650487.2024.2362015</t>
  </si>
  <si>
    <t>"Corrobation, replication and extension"</t>
  </si>
  <si>
    <t xml:space="preserve">The replication study uses different outcome variables (o: customer orientation, r: psychological ownership) and also uses a different study design specifically mediators which the original does not </t>
  </si>
  <si>
    <t>Marketing</t>
  </si>
  <si>
    <t>Customer Empowerment</t>
  </si>
  <si>
    <t>Empowerment strategies, psychological ownership, corporate attitude</t>
  </si>
  <si>
    <t>O study does not report effect sizes nor meaningful test statistics for the specific forms of empowerment, and replication only reports specific types of empowerment, not "full" empowerment. For the interaction with purchase intention and WOM, only chi-square residuals and the O/E ratio are reported. The residual has been recorded as the test statistic.</t>
  </si>
  <si>
    <t>Bachouche, H., Hamdi-Kidar, L., &amp; Sabri, O. (2024). Empowerment strategies and their effects in digital contexts: corroboration, replication, and extension. International Journal of Advertising, 1-32. https://doi.org/10.1080/02650487.2024.2362015</t>
  </si>
  <si>
    <t>conceptual replication / extension</t>
  </si>
  <si>
    <t>customer empowerment</t>
  </si>
  <si>
    <t>empowerment strategies, customer perception, New Product Development (NPD), consumer empowerment</t>
  </si>
  <si>
    <t>Customer empowerment -to-select leads to higher purchase intention (t-shirts)</t>
  </si>
  <si>
    <t>When contrasting the different empowerment scenarios, patterns similar to those identified in corporate attitudes are found. First, full empowerment tends to receive the highest observed frequencies for furniture and bicycles (for T-shirts, full empowerment appears to be comparable to empowerment to select).</t>
  </si>
  <si>
    <t>Feedback for Thomas: 
I could not find most of the numbers on this page. Can you please send a screenshot for what you are referring to as "test statistics"?</t>
  </si>
  <si>
    <t>Customer empowerment -to-select leads to higher purchase intention (furniture)</t>
  </si>
  <si>
    <t>Customer empowerment -to-select leads to higher purchase intention (bicycles)</t>
  </si>
  <si>
    <t>Customer empowerment-to-select leads to higher WOM (t-shirts)</t>
  </si>
  <si>
    <t>Customer empowerment-to-select leads to higher WOM (furniture)</t>
  </si>
  <si>
    <t>Customer empowerment-to-select leads to higher WOM (bicycles)</t>
  </si>
  <si>
    <t>O study does not report effect sizes nor meaningful test statistics for the specific forms of empowerment. For their interaction with corporate (brand) attitudes, means and SD are reported, but these are not recorded in the test statistic due to the one-value restriction. Note, the study is within-subjects, and thus Cohen's dz must be calculated (Md/SDd), rather than d.</t>
  </si>
  <si>
    <t>Customer empowerment-to-select leads to higher brand attitude (t-shirts)</t>
  </si>
  <si>
    <t>In support of H2a and H2b, respectively, it is first found (using repeated measures ANOVAs) that the ‘‘empowerment to create’’ scenario (mean = 4.49) as well as the ‘‘empowerment to select’’ scenario (mean = 4.57) produced significantly stronger corporate attitudes in the case of T-shirts than the zero-empowerment scenario (mean = 4.20; p&lt;.10 and .05, respectively).</t>
  </si>
  <si>
    <t>Customer empowerment-to-select leads to higher brand attitude (furniture)</t>
  </si>
  <si>
    <t>In a similar vein, the ‘‘empowerment to cocreate’’ (mean =4.76), ‘‘empowerment to select’’ (mean = 4.76), as well as the full-empowerment scenario (mean = 5.18) are clearly superior in terms of corporate attitudes compared with the zero-empowerment scenario in the case of furniture (mean = 4.00; p &lt; .001)</t>
  </si>
  <si>
    <t>Customer empowerment-to-select leads to higher brand attitude (bicycles)</t>
  </si>
  <si>
    <t>Third, the same patterns are found for bicycles: ‘‘cocreate’’ (mean = 4.67), ‘‘select’’ (mean = 4.90), and full-empowerment (mean = 5.09) companies are associated with significantly higher corporate attitudes than zero-empowerment firms (mean 5 3.69; p &lt; .001)</t>
  </si>
  <si>
    <t>Customer empowerment -to-create leads to higher purchase intention (t-shirts)</t>
  </si>
  <si>
    <t>Customer empowerment -to-create leads to higher purchase intention (furniture)</t>
  </si>
  <si>
    <t>Customer empowerment-to-create leads to higher WOM (t-shirts)</t>
  </si>
  <si>
    <t>Customer empowerment-to-create leads to higher WOM (furniture)</t>
  </si>
  <si>
    <t>Customer empowerment-to-create leads to higher WOM (bicycles)</t>
  </si>
  <si>
    <t>Customer empowerment-to-create leads to higher brand attitude (t-shirts)</t>
  </si>
  <si>
    <t>Customer empowerment-to-create leads to higher brand attitude (furniture)</t>
  </si>
  <si>
    <t>Customer empowerment-to-create leads to higher brand attitude (bicycles)</t>
  </si>
  <si>
    <t>additional_studies56_1</t>
  </si>
  <si>
    <t>additional_studies56</t>
  </si>
  <si>
    <t>The original study does not differentiate between grasp or push movements like the replicated one, suggesting they have pooled the data across different movement types rather than examining them separately.</t>
  </si>
  <si>
    <t>- Changed replication type to internal because conceptual requires that none of the original authors was present.
Feedback for Roksana
- If there is no preregistration, please type "NA" into the variable.
- Please fill out all mandatory variables, for example you forgot to note the page for the replication finding (Ws &gt; 152).
- Please familiarize yourself with the replication types. You coded it as conceptual when the researchers were the same people.</t>
  </si>
  <si>
    <t xml:space="preserve">Schroeder, P. A., Lohmann, J., Butz, M. V., &amp; Plewnia, C. (2016). Behavioral bias for food reflected in hand movements: a preliminary study with healthy subjects. Cyberpsychology, Behavior, and Social Networking, 19(2), 120-126. https://doi.org/10.1089/cyber.2015.0311. </t>
  </si>
  <si>
    <t>10.1089/cyber.2015.0311</t>
  </si>
  <si>
    <t>Schroeder, P. A., Collantoni, E., Lohmann, J., Butz, M. V., &amp; Plewnia, C. (2024). Virtual Reality Assessment of a High-Calorie Food Bias: Replication and Food-Specificity in Healthy Participants. Behavioural Brain Research, 115096. https://doi.org/10.1016/j.bbr.2024.115096</t>
  </si>
  <si>
    <t>10.1016/j.bbr.2024.115096</t>
  </si>
  <si>
    <t>Behavioural bias for food</t>
  </si>
  <si>
    <t>Approach bias, Behavioural bias for food, Virtual reality, VR, Motion-tracking</t>
  </si>
  <si>
    <t>The effect examines whether food objects elicit faster movement initiation compared to non-food objects (replicated condition: grasp)</t>
  </si>
  <si>
    <t>"There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</si>
  <si>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W &gt; 152</t>
  </si>
  <si>
    <t>Feedback for Roksana
- If there is no preregistration, please type "NA" into the variable.
- Please fill out all mandatory variables, for example you forgot to note the page for the replication finding (Ws &gt; 152).
- Please familiarize yourself with the replication types. You coded it as conceptual when the researchers were the same people.</t>
  </si>
  <si>
    <t>Feedback for Thomas
- Please always fill out the claim variable. Please review the instructions to see which variables are optional.
- You noted Ws = 152 when it was actually Ws &gt; 152.
- Please change id to _b, _c, ... when creating multiple rows.
- There was nesting in the results from additional_studies56, please remember to fill out this variable or type "unsure" (eg in the abstract it says 'with 30 item repetitions').</t>
  </si>
  <si>
    <t>direct replication</t>
  </si>
  <si>
    <t>Approach bias; Behavioural bias for food; Virtual reality; VR; Motion-tracking</t>
  </si>
  <si>
    <t>Behavioral bias for food in hand movements</t>
  </si>
  <si>
    <t>W =152</t>
  </si>
  <si>
    <t>gr (&gt;)</t>
  </si>
  <si>
    <t>l(&lt;)</t>
  </si>
  <si>
    <t>n.s.</t>
  </si>
  <si>
    <t>additional_studies56_b</t>
  </si>
  <si>
    <t>The effect examines whether food objects elicit faster movement initiation compared to non-food objects (replicated condition: push)</t>
  </si>
  <si>
    <t>W&gt; 97</t>
  </si>
  <si>
    <t>additional_studies56_c</t>
  </si>
  <si>
    <t>This effect investigates the interaction between movement type (grasp vs. ward) and response time to objects.</t>
  </si>
  <si>
    <t>"Neither the main effect Interactiongrasp,ward, F(1, 19) = 2.80, p = 0.11"</t>
  </si>
  <si>
    <t>F(1, 19) = 2.80</t>
  </si>
  <si>
    <t>additional_studies56_d</t>
  </si>
  <si>
    <t>P-value corrected from .13 (that was the f value) to .72</t>
  </si>
  <si>
    <t>This effect investigates how the type of object interacts with movement type in determining response time.</t>
  </si>
  <si>
    <t>"Neither….nor the two-way interaction was significant, F(1, 19) = 0.13, p = 0.72."</t>
  </si>
  <si>
    <t>F(1, 19) = 0.13</t>
  </si>
  <si>
    <t>additional_studies56_e</t>
  </si>
  <si>
    <t>This effect examines whether grasp movements differ in execution time compared to ward movements.</t>
  </si>
  <si>
    <t>"Ward movements were executed faster than grasp move- ments (mean difference: 218.72 milliseconds, SE = 60.88 milliseconds), as reflected by a significant main effect of Interactiongrasp,ward, F(1, 19) = 12.90, p = 0.002, gp2 = 0.41.</t>
  </si>
  <si>
    <t>W&gt; 76</t>
  </si>
  <si>
    <t>additional_studies56_f</t>
  </si>
  <si>
    <t>Changed r to Ws because r might correspond to the within-subjects correlation of the repeated variables and not the effect.</t>
  </si>
  <si>
    <t>This effect investigates whether the type of object (food vs. other objects) influences movement initiation or reaching times. (replication condition: grasp)</t>
  </si>
  <si>
    <t>"Again,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</si>
  <si>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W = 360</t>
  </si>
  <si>
    <t>additional_studies56_g</t>
  </si>
  <si>
    <t>This effect investigates whether the type of object (food vs. other objects) influences movement initiation or reaching times. (replication condition: push)</t>
  </si>
  <si>
    <t>W = 191</t>
  </si>
  <si>
    <t>additional_studies56_h</t>
  </si>
  <si>
    <t>This effect explores how the combination of object type and movement direction affects movement times.</t>
  </si>
  <si>
    <t>"there was no sig- nificant two-way interaction effect, F(1, 19) = 1.19, p = 0.29"</t>
  </si>
  <si>
    <t>F(1, 19) = 1.19</t>
  </si>
  <si>
    <t>additional_studies56_i</t>
  </si>
  <si>
    <t>This effect investigates whether the type of object (food vs. ball) influences collection times.</t>
  </si>
  <si>
    <t>"we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</si>
  <si>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additional_studies56_j</t>
  </si>
  <si>
    <t>This effect examines whether there is a bias in how food objects are collected compared to other objects during different movement phases.</t>
  </si>
  <si>
    <t>"Compared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</si>
  <si>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W &gt; 140</t>
  </si>
  <si>
    <t>additional_studies56_k</t>
  </si>
  <si>
    <t>Replication finding is written in words "In the present sample, there were no statistically  significant associations with participants’ BMI"</t>
  </si>
  <si>
    <t>Changed nesting to "NA" instead of 1. It does not say how many tails there were only that one group is significantly faster than the other (which could be a combination of two-tailed significant test and positive correlation)</t>
  </si>
  <si>
    <t>This effect investigates the relationship between BMI with collection time advantages for food.</t>
  </si>
  <si>
    <t>"With increasing BMI, the collection time advantage in collecting food was indeed larger, r = 0.428, p = 0.030." "In contrast to neutral cues, both appetizing and unappetizing food cues elicited faster responses with increasing BMI in a dot-probe paradigm"</t>
  </si>
  <si>
    <t>additional_studies56_l</t>
  </si>
  <si>
    <t>The effect investigates whether objects' edibility influences their positive valence ratings compared to non-edible objects (replicated condition: high-calorie food)</t>
  </si>
  <si>
    <t>"As expected, there was a trend for edible objects to be rated more positively than ball objects, although the biserial correlation of object type and valence ratings was rather small, r = 0.15, p = 0.059."</t>
  </si>
  <si>
    <t>additional_studies56_m</t>
  </si>
  <si>
    <t>The effect investigates whether objects' edibility influences their positive valence ratings compared to non-edible objects. (replicated condition: low-calorie food)</t>
  </si>
  <si>
    <t>additional_studies57_1</t>
  </si>
  <si>
    <t>additional_studies57</t>
  </si>
  <si>
    <t>Could not use F values because the number of conditions between studies was different. Cohen's d calculated for study O for specific comparisons instead. R only reports cohen's D for the meta-analytic results of their two studies, thus that is what is reported,</t>
  </si>
  <si>
    <t>Numbers could not be checked due to inaccessible paper; chose these entries over the f-values because of study differences</t>
  </si>
  <si>
    <t>Simonson, I., &amp; Staw, B. M. (1992). Deescalation strategies: A comparison of techniques for reducing commitment to losing courses of action. Journal of Applied Psychology, 77, 419 – 426. http://dx.doi.org/10.1037/0021-9010.77.4.419</t>
  </si>
  <si>
    <t>10.1037/0021-9010.77.4.419</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</si>
  <si>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</si>
  <si>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10.1037/xap0000321</t>
  </si>
  <si>
    <t>1 &amp; 2 (Meta)</t>
  </si>
  <si>
    <t xml:space="preserve">replication </t>
  </si>
  <si>
    <t>commitment escalation</t>
  </si>
  <si>
    <t>escalation of commitment, process accountability, outcome accountability,</t>
  </si>
  <si>
    <t>Whether holding decision makers accountable for the decision process decreases escalating commitment, while accountability for the decision outcomes increases it.</t>
  </si>
  <si>
    <t>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</si>
  <si>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p.120</t>
  </si>
  <si>
    <t>Maria</t>
  </si>
  <si>
    <t>Maria Stogianni</t>
  </si>
  <si>
    <t>Schulz-Hardt, S., Rollwage, J., Wanzel, S. K., Frisch, J. U., &amp; Häusser, J. A. (2021). Effects of process and outcome accountability on escalating commitment: A two-study replication. Journal of Experimental Psychology: Applied, 27(1), 112–124. https://doi.org/10.1037/xap0000321</t>
  </si>
  <si>
    <t>two-study replication</t>
  </si>
  <si>
    <t>Effects of Process and Outcome Accountability on Escalating Commitment</t>
  </si>
  <si>
    <t>escalation of commitment, process accountability, outcome accountability</t>
  </si>
  <si>
    <t>Effect of deescalation techniques on the allocation of resources</t>
  </si>
  <si>
    <t>"a significant effect of experimental condition on resource allocation F(6, 183) = 4.02, p &lt; .001"</t>
  </si>
  <si>
    <t>F(6, 183) = 4.02</t>
  </si>
  <si>
    <t>additional_studies57_b</t>
  </si>
  <si>
    <t>The 1 X 7 analysis of variance yielded a significant effect of experimental condition, (6, 183) = 4.02, p &lt; .001. (outcome accountability)</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</si>
  <si>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</si>
  <si>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Effect of deescalation techniques on the allocation of resources (outcome accountability)-planned contrasts with baseline</t>
  </si>
  <si>
    <t>"holding subjects accountable for the decision process produced a significant decrease in resource allocation
compared with the baseline condition. F(l, 183) = 4.07, p &lt; .05"</t>
  </si>
  <si>
    <t>F(1, 183) = 4.07, p &lt; .05</t>
  </si>
  <si>
    <t>ge (&gt;)</t>
  </si>
  <si>
    <t>additional_studies57_c</t>
  </si>
  <si>
    <t>As predicted, process accountability was associated with significantly lower alloca- tions to the initial choice than was outcome accountability, /-"(I, 183)= 12.41, p&lt;.01.</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</si>
  <si>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</si>
  <si>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 xml:space="preserve">Effect of deescalation techniques on the allocation of resources (process accountability vs outcome accountability) </t>
  </si>
  <si>
    <t>"An additional planned contrast was between process accountability and outcome accountability. As predicted, process accountability was associated with significantly lower allocations to the initial choice than was outcome accountability, /-"(I, 183)= 12.41, p&lt;.01"</t>
  </si>
  <si>
    <t>F (1, 183)= 12.41, p&lt;.01</t>
  </si>
  <si>
    <t>additional_studies57_d</t>
  </si>
  <si>
    <r>
      <rPr>
        <rFont val="Calibri"/>
        <sz val="11.0"/>
      </rPr>
      <t xml:space="preserve">Schulz-Hardt, S., Rollwage, J., Wanzel, S. K., Frisch, J. U., &amp; Häusser, J. A. (2021). Effects of process and outcome accountability on escalating commitment: A two-study replication. Journal of Experimental Psychology: Applied, 27(1), 112–124. </t>
    </r>
    <r>
      <rPr>
        <rFont val="Calibri"/>
        <color rgb="FF1155CC"/>
        <sz val="11.0"/>
        <u/>
      </rPr>
      <t>https://doi.org/10.1037/xap0000321</t>
    </r>
  </si>
  <si>
    <t>additional_studies57_10</t>
  </si>
  <si>
    <t>additional_studies84</t>
  </si>
  <si>
    <t>in the o_study n was calculated based on df; reported n was 206, in the r_study n was calculated based on df; reported n was 74 (+1)</t>
  </si>
  <si>
    <t>Corrected nesting for replication from yes to no.</t>
  </si>
  <si>
    <t>Loibl, K., &amp; Rummel, N. (2014). Knowing what you don’t know makes failure productive. Learning and Instruction, 34, 74–85. https://doi.org/10.1016/j.learninstruc.2014.08.004</t>
  </si>
  <si>
    <t>10.1016/j.learninstruc.2014.08.004</t>
  </si>
  <si>
    <t>Loibl, K., Leuders, T. Can failure be made productive also in Bayesian reasoning? A conceptual replication study. Instr Sci (2024). https://doi.org/10.1007/s11251-024-09670-y</t>
  </si>
  <si>
    <t>10.1007/s11251-024-09670-y</t>
  </si>
  <si>
    <t xml:space="preserve">conceptual replication </t>
  </si>
  <si>
    <t>Problem-solving prior to instruction</t>
  </si>
  <si>
    <t>Problem-solving prior to instruction, Conceptual replication, Bayesian reasoning, Composite instructional design, Comparison, Delaying instruction, Knowledge gap, Learning from errors, Productive failure</t>
  </si>
  <si>
    <t>To progress from intuitive ideas to deep conceptual understanding, students need to become aware of
gaps in their ideas. Attempting to solve problems prior to instruction may lead to a global awareness of
knowledge gaps</t>
  </si>
  <si>
    <t>For conceptual knowledge, our analysis revealed a significant, large effect for the form of instruction (F[1,200] = 34.29, p &lt; .001, η² partial = .15) favoring instruction based on typical student solutions</t>
  </si>
  <si>
    <t>p. 14</t>
  </si>
  <si>
    <t>Feedback for Maria
- When the title of a replication says "conceptual", you can code it as conceptual (you coded "close").</t>
  </si>
  <si>
    <t>effect of type of instruction on conceptual knowledge</t>
  </si>
  <si>
    <t>"The ANCOVA for conceptual knowledge revealed significant differences between conditions (F[2,94] = 17.49, p &lt; .001".</t>
  </si>
  <si>
    <t>additional_studies84_b</t>
  </si>
  <si>
    <t xml:space="preserve">The timing of instruction (F[1,200] = 1.65, p = .20) </t>
  </si>
  <si>
    <t>F(1,200) = 1.65</t>
  </si>
  <si>
    <t>effect of timing of instruction on conceptual knowledge</t>
  </si>
  <si>
    <t>"Second,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</si>
  <si>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 </t>
  </si>
  <si>
    <t>additional_studies84_c</t>
  </si>
  <si>
    <t xml:space="preserve">And the interaction (F[1,200] = 1.08, p = .30) were not significant </t>
  </si>
  <si>
    <t>F(1,200) = 1.08</t>
  </si>
  <si>
    <t>effect of type of instruction on procedural skills</t>
  </si>
  <si>
    <t>"The ANCOVA for procedural skills revealed significant differences between conditions (F[2,94] = 4.86, p = .01)".</t>
  </si>
  <si>
    <t>additional_studies84_d</t>
  </si>
  <si>
    <t>For procedural skills, we found a significant, small effect for the timing of instruction (F[1,200] = 3.98, p = .047, η² partial = .02) favoring instruction prior to problem-solving</t>
  </si>
  <si>
    <t>effect of timing of instruction on procedural skills</t>
  </si>
  <si>
    <t>"The form of instruction in the instruction prior to problem-solving conditions (F[1,94] = .13, p = .72) had no significant effect on the acquisition of procedural skills".</t>
  </si>
  <si>
    <t>F(1,94) = .13</t>
  </si>
  <si>
    <t>le (&lt;=)</t>
  </si>
  <si>
    <t>additional_studies84_e</t>
  </si>
  <si>
    <t xml:space="preserve">but no significant effect for the form of instruction (F[1,200] = 0.39, p = .53), </t>
  </si>
  <si>
    <t>F(1,200) = 0.39</t>
  </si>
  <si>
    <t>"For conceptual knowledge, we found a significant effect with a large effect size for form of instruction (F[1,243] = 45.35, p &lt; .001, favoring instruction based on typical student solutions (i.e., supporting hypothesis 1a)"</t>
  </si>
  <si>
    <t xml:space="preserve">p. 8 </t>
  </si>
  <si>
    <t>additional_studies84_f</t>
  </si>
  <si>
    <t>or for the interaction (F[1,200] = 1.32, = .25).</t>
  </si>
  <si>
    <t>F(1,200) = 1.32</t>
  </si>
  <si>
    <t>"For conceptual knowledge, we found a significant effect with medium effect size for timing of instruction (F[1,234] = 21.30, p &lt; .001,
 favoring problem-solving prior to instruction"</t>
  </si>
  <si>
    <t>additional_studies84_g</t>
  </si>
  <si>
    <t>"For procedural skills, neither the timing of instruction (F [1,234] = 1.35, p = .25; i.e., no support for hypothesis"</t>
  </si>
  <si>
    <t>F(1,234)= 0.002</t>
  </si>
  <si>
    <t>10.1016--j.learninstruc.2014.08.004.pdf</t>
  </si>
  <si>
    <t>interaction of timing and type of instruction on procedural skills</t>
  </si>
  <si>
    <t>"The interaction of the two factors (F[1,234] = 3.25, p = .07) was marginally significant".</t>
  </si>
  <si>
    <t>F(1,234) = 3.25</t>
  </si>
  <si>
    <t xml:space="preserve">p. 9 </t>
  </si>
  <si>
    <t>F(1,71) = 0.01</t>
  </si>
  <si>
    <t>additional_studies84_h</t>
  </si>
  <si>
    <t>"For procedural skills form of instruction (F[1,234] = 0.002, p = .97) was significant"</t>
  </si>
  <si>
    <t>F(1,234) = 1.35</t>
  </si>
  <si>
    <t>additional_studies84_i</t>
  </si>
  <si>
    <t>interaction of timing and type of instruction on conceptual knowledge</t>
  </si>
  <si>
    <t>"We further found a significant interaction (F[1,234] = 4.68, p = .03, indicating that the form of instruction had a higher effect in the problem-solving prior to instruction conditions".</t>
  </si>
  <si>
    <t>F(1,71) = 0.84</t>
  </si>
  <si>
    <t>additional_studies57_2</t>
  </si>
  <si>
    <t>additional_studies58</t>
  </si>
  <si>
    <t>Staw, B. M. (1976). Knee-deep in the big muddy: A study of escalating commitment to a chosen course of action. Organizational Behavior and Human Performance, 16, 27-44. https://doi.org/10.1016/0030-5073(76)90005-2</t>
  </si>
  <si>
    <t>10.1016/0030-5073(76)90005-2</t>
  </si>
  <si>
    <t>Schultze, T., &amp; Schulz-Hardt, S. (2022). Does change of responsibility reduce escalating commitment? A replication and theoretical extension. Journal of Experimental Psychology: Applied, 28(1), 189–204. https://doi.org/10.1037/xap0000366</t>
  </si>
  <si>
    <t>10.1037/xap0000366</t>
  </si>
  <si>
    <t>escalation of commitment, responsibility effect, decision-making</t>
  </si>
  <si>
    <t>Examined the role of personal responsibility and consequences of decisions in escalating commitment.</t>
  </si>
  <si>
    <t>p.37</t>
  </si>
  <si>
    <t>p.195</t>
  </si>
  <si>
    <t>Feedback for Thomas
- When entering test statistics, please enter the entire test statistic and type "test statistic" into the effect type variable (eg not 7.2 but F(1, 243) = 7.2)</t>
  </si>
  <si>
    <t>p.198</t>
  </si>
  <si>
    <t>p. 195</t>
  </si>
  <si>
    <t>effects in figure 3, statistics not reported; these different rows are related to one specific effect</t>
  </si>
  <si>
    <t>replication and theoretical extension</t>
  </si>
  <si>
    <t>escalating commitment</t>
  </si>
  <si>
    <t>escalation of commitment; responsibility effect; decision-making</t>
  </si>
  <si>
    <t>Effects of personal responsibility on escalating commitment</t>
  </si>
  <si>
    <t xml:space="preserve">"Under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 </t>
  </si>
  <si>
    <t>F(1, 235) = 14.40</t>
  </si>
  <si>
    <t>p. 24</t>
  </si>
  <si>
    <t>https://osf.io/uqsf6/</t>
  </si>
  <si>
    <t>additional_studies58_b</t>
  </si>
  <si>
    <t>Effects of decision consequences on escalating commitment</t>
  </si>
  <si>
    <t>"Under positive decision consequences, subjects allocated an average of 8.77
million to the previously chosen alternative, while 11.20 million was allocated under negative consequences"</t>
  </si>
  <si>
    <t>F(1, 235) = 17.93</t>
  </si>
  <si>
    <t>p. 26</t>
  </si>
  <si>
    <t>additional_studies58_c</t>
  </si>
  <si>
    <t>Effects of Personal Responsibility and Decision Consequences on escalating commitment (interaction)</t>
  </si>
  <si>
    <t>"the amount invested in the previously chosen alternative was greater in the high personal responsibility-negative consequences condition than in any of the other three experimental conditions.</t>
  </si>
  <si>
    <t>F(1, 235) = 5.56</t>
  </si>
  <si>
    <t>additional_studies58_d</t>
  </si>
  <si>
    <t>p. 34</t>
  </si>
  <si>
    <t>additional_studies58_e</t>
  </si>
  <si>
    <t>additional_studies58_f</t>
  </si>
  <si>
    <t>additional_studies57_3</t>
  </si>
  <si>
    <t>additional_studies61</t>
  </si>
  <si>
    <r>
      <rPr>
        <rFont val="Calibri"/>
        <sz val="11.0"/>
      </rPr>
      <t xml:space="preserve">R not pre-registered, but analysis and data open access: </t>
    </r>
    <r>
      <rPr>
        <rFont val="Calibri"/>
        <color rgb="FF1155CC"/>
        <sz val="11.0"/>
        <u/>
      </rPr>
      <t>https://osf.io/864nx/</t>
    </r>
  </si>
  <si>
    <t>Corrected citation
OSF Link (https://osf.io/uqsf6/) has no preregistration, which is why it was removed from the prereg_r variable</t>
  </si>
  <si>
    <t>Barrett, F. S., Grimm, K. J., Robins, R. W., Wildschut, T., Sedikides, C., &amp; Janata, P. (2010). Music-evoked nostalgia: affect, memory, and personality. Emotion (Washington, D.C.), 10(3), 390–403. https://doi.org/10.1037/a0019006</t>
  </si>
  <si>
    <t>10.1037/a0019006</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</si>
  <si>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</si>
  <si>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10.1037/emo0001389</t>
  </si>
  <si>
    <t>nostalgia proneness</t>
  </si>
  <si>
    <t>music, emotion, nostalgia, affect, personality</t>
  </si>
  <si>
    <t>Nostalgia proneness (trait-level nostalgia) is associated with stronger music-evoked nostalgia</t>
  </si>
  <si>
    <t>When we included only the SNS, it significantly predicted the strength of music-evoked nostalgia in the expected direction, β=.1082,t(224)=2.81,p=.01\beta = .1082, t(224) = 2.81, p = .01β=.1082,t(224)=2.81,p=.01. …</t>
  </si>
  <si>
    <t>p.393-394</t>
  </si>
  <si>
    <t>pp.1806-1807</t>
  </si>
  <si>
    <r>
      <rPr>
        <rFont val="Calibri"/>
        <sz val="11.0"/>
      </rPr>
      <t xml:space="preserve">R not pre-registered, but analysis and data open access: </t>
    </r>
    <r>
      <rPr>
        <rFont val="Calibri"/>
        <color rgb="FF1155CC"/>
        <sz val="11.0"/>
        <u/>
      </rPr>
      <t>https://osf.io/864nx/</t>
    </r>
  </si>
  <si>
    <t>Corrected citation
OSF Link (https://osf.io/uqsf6/) has no preregistration, which is why it was removed from the prereg_r variable
Feedback for Thomas
- When duplicating rows, please change the id for the second one (_b, _c, ...)</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</si>
  <si>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</si>
  <si>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Feedback for Thomas
- When duplicating rows, please change the id for the second one (_b, _c, ...)
- When entering multiple effects, please use the "description" variable to explain what the difference is</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</si>
  <si>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</si>
  <si>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music-evoked nostalgia</t>
  </si>
  <si>
    <t>Effects of context-level measures on music-evoked nostalgia (arousal)</t>
  </si>
  <si>
    <t>"Participants reported more music-evoked nostalgia when listening to songs that they found arousing"</t>
  </si>
  <si>
    <t>p. 5-6</t>
  </si>
  <si>
    <t>additional_studies61_b</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</si>
  <si>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</si>
  <si>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Effects of context-level measures on music-evoked nostalgia (positive emotions)</t>
  </si>
  <si>
    <t>"Participants reported more music-evoked nostalgia when listening to songs that evoked in them greater numbers of positive and negative emotions"</t>
  </si>
  <si>
    <t>additional_studies61_c</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</si>
  <si>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</si>
  <si>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Effects of context-level measures on music-evoked nostalgia (mixed emotions)</t>
  </si>
  <si>
    <t>"Participants reported more music-evoked nostalgia when listening to songs that gave rise to mixed emotions"</t>
  </si>
  <si>
    <t>additional_studies61_d</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</si>
  <si>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</si>
  <si>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 xml:space="preserve">Effects of person level predictors on music-evoked nostalgia (Nostalgia proneness) </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</si>
  <si>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
</t>
  </si>
  <si>
    <t>additional_studies61_e</t>
  </si>
  <si>
    <t>claim in Table 2</t>
  </si>
  <si>
    <r>
      <rPr>
        <rFont val="Calibri"/>
        <color rgb="FF38761D"/>
        <sz val="11.0"/>
      </rPr>
      <t xml:space="preserve">Hennessy, S., Greer, T., Narayanan, S., &amp; Habibi, A. (2024). Unique affective profile of music-evoked nostalgia: An extension and conceptual replication of Barrett et al.’s (2010) study. Emotion, 24(8), 1803–1825. </t>
    </r>
    <r>
      <rPr>
        <rFont val="Calibri"/>
        <color rgb="FF38761D"/>
        <sz val="11.0"/>
        <u/>
      </rPr>
      <t>https://doi.org/10.1037/emo0001389</t>
    </r>
  </si>
  <si>
    <t>Interaction of context-level and person-level predictors on music-evoked nostalgia (nostalgia proneness x arousal)</t>
  </si>
  <si>
    <t>Interaction of context-level and person-level predictors on music-evoked nostalgia (nostalgia proneness x arousal), Table 2</t>
  </si>
  <si>
    <t>additional_studies57_4</t>
  </si>
  <si>
    <t>additional_studies64</t>
  </si>
  <si>
    <t>The replication study has not yet occured; exclude</t>
  </si>
  <si>
    <t>Arkes, H. R., Joyner, C. A., Pezzo, M. V., Nash, J. G., Siegel-Jacobs, K., &amp; Stone, E. (1994). The psychology of windfall gains. Organizational behavior and human decision processes, 59(3), 331-347. https://doi.org/10.1006/obhd.1994.1063</t>
  </si>
  <si>
    <t>10.1006/obhd.1994.1063</t>
  </si>
  <si>
    <t>1, 2, 3</t>
  </si>
  <si>
    <t>Teng, X., Zhang, Y., Qi, R., Wu, Y., Mu, Z., Chow, K., &amp; Feldman, G. (2024, June 21). Revisiting the the psychology of windfall gains: Replication and extensions Registered Report of Arkes et al. (1994) Studies 1, 2, and 3. https://doi.org/10.17605/OSF.IO/B25TR</t>
  </si>
  <si>
    <t>10.17605/OSF.IO/B25TR</t>
  </si>
  <si>
    <t>The replication study has not yet occured</t>
  </si>
  <si>
    <t xml:space="preserve">Feedback for Maria
- This is a stage 1 registered report and it says at the beginning (eg p. 5) that the results are based on a randomized pseudo-dataset. </t>
  </si>
  <si>
    <t>Replication and extensions registered report</t>
  </si>
  <si>
    <t>windfall gains</t>
  </si>
  <si>
    <t>Windfall gains, bias, judgment and decision making (JDM), registered replication, choice</t>
  </si>
  <si>
    <t>windfall gains are spent more easily than other types of assets</t>
  </si>
  <si>
    <r>
      <rPr>
        <rFont val="Calibri"/>
        <color theme="1"/>
        <sz val="11.0"/>
      </rPr>
      <t xml:space="preserve">"Those who won the money on a radio contest were more likely to spend the money (M = 3.11) than those who earned it by working overtime (M = 4.25). This difference was statistically significant, </t>
    </r>
    <r>
      <rPr>
        <rFont val="Calibri"/>
        <i/>
        <color theme="1"/>
        <sz val="11.0"/>
      </rPr>
      <t>t</t>
    </r>
    <r>
      <rPr>
        <rFont val="Calibri"/>
        <color theme="1"/>
        <sz val="11.0"/>
      </rPr>
      <t>(91) = 2.97, p &lt; .01"</t>
    </r>
  </si>
  <si>
    <t>t(91) = 2.97</t>
  </si>
  <si>
    <t>p. 36</t>
  </si>
  <si>
    <t>https://osf.io/g4xcb</t>
  </si>
  <si>
    <t>additional_studies64_b</t>
  </si>
  <si>
    <t>Extension study 1</t>
  </si>
  <si>
    <r>
      <rPr>
        <rFont val="Calibri"/>
        <color theme="1"/>
        <sz val="11.0"/>
      </rPr>
      <t xml:space="preserve">"Those who won the money on a radio contest were more likely to spend the money (M = 3.11) than those who earned it by working overtime (M = 4.25). This difference was statistically significant, </t>
    </r>
    <r>
      <rPr>
        <rFont val="Calibri"/>
        <i/>
        <color theme="1"/>
        <sz val="11.0"/>
      </rPr>
      <t>t</t>
    </r>
    <r>
      <rPr>
        <rFont val="Calibri"/>
        <color theme="1"/>
        <sz val="11.0"/>
      </rPr>
      <t>(91) = 2.97, p &lt; .01"</t>
    </r>
  </si>
  <si>
    <t>cohen's w</t>
  </si>
  <si>
    <t>p. 42</t>
  </si>
  <si>
    <t>additional_studies64_c</t>
  </si>
  <si>
    <t>es_value_o calculated using the formula</t>
  </si>
  <si>
    <t>"The tax rebate group was more likely to make the investment, whereas the savings group exhibited no marked preference between investing and not investing "</t>
  </si>
  <si>
    <t>additional_studies64_d</t>
  </si>
  <si>
    <t>Extension study 2</t>
  </si>
  <si>
    <t>additional_studies64_e</t>
  </si>
  <si>
    <t>es_value_o calculated using the formula, exact p value not reported, ns</t>
  </si>
  <si>
    <t>money earned while working hard are less likely to be spent than money earned while doing an easier job</t>
  </si>
  <si>
    <t>"Despite obvious differences in job difficulty, the groups in the main experiment did not differ in their willingness to buy the television. The chi square analysis comparing questionnaires 3A and 3B did not approach significance".</t>
  </si>
  <si>
    <t>ns</t>
  </si>
  <si>
    <t>additional_studies64_f</t>
  </si>
  <si>
    <t>Extension study 3</t>
  </si>
  <si>
    <t>additional_studies57_5</t>
  </si>
  <si>
    <t>additional_studies73</t>
  </si>
  <si>
    <t>O is strictly qualitative</t>
  </si>
  <si>
    <t>Hohensee, C. (2017). Preparing elementary prospective teachers to teach early algebra. Journal of Mathematics Teacher Education, 20, 231-257. https://doi.org/10.1007/s10857-015-9324-9</t>
  </si>
  <si>
    <t>10.1007/s10857-015-9324-9</t>
  </si>
  <si>
    <t>Hohensee, C., &amp; Borji, V. (2024). Preparing elementary pre-service teachers to teach early algebra: A conceptual replication study. The Journal of Mathematical Behavior, 75, 101174. https://doi.org/10.1016/j.jmathb.2024.101174</t>
  </si>
  <si>
    <t>10.1016/j.jmathb.2024.101174</t>
  </si>
  <si>
    <t>qualitative study, no effect sizes reported</t>
  </si>
  <si>
    <r>
      <rPr>
        <rFont val="Calibri"/>
        <sz val="11.0"/>
      </rPr>
      <t xml:space="preserve">Hohensee, C. (2017). Preparing elementary prospective teachers to teach early algebra. Journal of Mathematics Teacher Education, 20, 231-257. </t>
    </r>
    <r>
      <rPr>
        <rFont val="Calibri"/>
        <color rgb="FF1155CC"/>
        <sz val="11.0"/>
        <u/>
      </rPr>
      <t>https://doi.org/10.1007/s10857-015-9324-9</t>
    </r>
  </si>
  <si>
    <t>A conceptual replication study</t>
  </si>
  <si>
    <t>early algebra</t>
  </si>
  <si>
    <t>Early algebra, Pre-symbolic algebraic reasoning, Elementary pre-service teachers</t>
  </si>
  <si>
    <t>"developing informal representations for variables and unknowns and learning about the
two interpretations of the equal sign were meaningful new insights for the prospective
teachers."</t>
  </si>
  <si>
    <t>Abstract</t>
  </si>
  <si>
    <t>additional_studies57_6</t>
  </si>
  <si>
    <t>additional_studies76</t>
  </si>
  <si>
    <t xml:space="preserve">Due to a bug in the analysis code, the replication
paper is being revised </t>
  </si>
  <si>
    <r>
      <rPr>
        <rFont val="Calibri"/>
        <sz val="11.0"/>
      </rPr>
      <t xml:space="preserve">Trafimow, D., &amp; Hughes, J. S. (2012). Testing the death thought suppression and rebound hypothesis: Death thought accessibility following mortality salience decreases during a delay. Social Psychological and Personality Science, 3(5), 622-629. </t>
    </r>
    <r>
      <rPr>
        <rFont val="Calibri"/>
        <color rgb="FF1155CC"/>
        <sz val="11.0"/>
        <u/>
      </rPr>
      <t>https://doi.org/10.1177/1948550611432938</t>
    </r>
  </si>
  <si>
    <t>10.1177/1948550611432938</t>
  </si>
  <si>
    <t>Rife, S. C., Lambert, Q. S., Calin-Jageman, R., Adamkovic, M., Baník, G., Barberia, I., … Wiggins, B. J. (2024, July 3). Registered Replication Report: Study 3 from Trafimow and Hughes  (2012). https://doi.org/10.31234/osf.io/esu9z</t>
  </si>
  <si>
    <t>10.31234/osf.io/esu9z</t>
  </si>
  <si>
    <t>due to a bug in the analysis code the paper is being revised, final results might be different, the replication paper coded is the pre-print version published in March 2024, in the replication CI are reported and no p values for the meta-analytic effect size</t>
  </si>
  <si>
    <t>Trafimow, D., &amp; Hughes, J. S. (2012). Testing the death thought suppression and rebound hypothesis: Death thought accessibility following mortality salience decreases during a delay. Social Psychological and Personality Science, 3(5), 622-629. https://doi.org/10.1177/1948550611432938</t>
  </si>
  <si>
    <t>Registered Replication Report</t>
  </si>
  <si>
    <t>Death Thought Suppression and Rebound Hypothesis:</t>
  </si>
  <si>
    <t>terror management theory, suppression, rebound, concept accessibility, death-thought accessibility</t>
  </si>
  <si>
    <t>death thought accessibility would be greater in the Mortality Salience no delay condition than in the other three conditions (MS delay, Dental Pain delay, Dental Pain no delay)</t>
  </si>
  <si>
    <t>"A planned contrast showed that the number of death words created in the MS no delay condition (M 1⁄4 0.94, SD 1⁄4 1.21) was
greater than the number of death words created in the other three conditions (MS delay: M 1⁄4 0.56, SD 1⁄4 0.67; DPS delay:
M 1⁄4 0.56, SD 1⁄4 0.73; DPS no delay: M 1⁄4 0.63, SD 1⁄4 0.67), t(116) 1⁄4 2.02, p 1⁄4 .045, d 1⁄4 0.38".</t>
  </si>
  <si>
    <t>p. 21</t>
  </si>
  <si>
    <t>https://osf.io/preprints/psyarxiv/esu9z</t>
  </si>
  <si>
    <t>additional_studies76_b</t>
  </si>
  <si>
    <t>due to a bug in the analysis code the paper is being revised, final results might be different, the replication paper coded is the pre-print version published in March 2024, in the replication CI are reported and no p values for the meta-analytic effect size, replication extension the authors report "we conducted a straightforward comparison of the delay/no delay mortality salience induction groups on both dependent variables. This is a deviation from the analysis performed by Trafimow and Hughes (2012), who compared word counts in the delay/death group to all other groups (no delay/dental pain, delay/dental pain, no delay/death)".</t>
  </si>
  <si>
    <t>additional_studies57_7</t>
  </si>
  <si>
    <t>additional_studies79</t>
  </si>
  <si>
    <t>in the o_study n was calculated based on df; reported n was 24, the analysis of this effect was mentioned in the r_study but the results were not reported, it was complicated to code this study as there were many conflicting claims between both papers so it is possible that I have missed important effects...</t>
  </si>
  <si>
    <t>Zhang, X., Bachmann, P., Schilling, T. M., Naumann, E., Schächinger, H., &amp; Larra, M. F. (2018). Emotional stress regulation: The role of relative frontal alpha asymmetry in shaping the stress
response. Biological psychology, 138, 231-239. https://doi.org/10.1016/j.biopsycho.2018.08.007</t>
  </si>
  <si>
    <t>10.1016/j.biopsycho.2018.08.007</t>
  </si>
  <si>
    <t>Bischoff, M. (2024). Evaluating the reliability of relative frontal alpha asymmetry as a state-dependent correlate of the stress response in a mixed-sex sample: A replication study (Master's thesis, University of Twente). Retrieved from https://purl.utwente.nl/essays/100571</t>
  </si>
  <si>
    <t>Bischoff_MA_BMS</t>
  </si>
  <si>
    <t>https://purl.utwente.nl/essays/100571</t>
  </si>
  <si>
    <t>replication study</t>
  </si>
  <si>
    <t>Neuroscience (biological psychology)</t>
  </si>
  <si>
    <t>The role of relative frontal alpha asymmetry in shaping the stress response</t>
  </si>
  <si>
    <t xml:space="preserve">stress; emotion; cold pressor test; feet; cortisol; EEG; cardiovascular
</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</si>
  <si>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 </t>
  </si>
  <si>
    <t>cold pressor stress induced a shift towards greater right frontal activation which, however, was limited to F7/F8... A CONDITION * 
TIME * LOCATION within-subjects ANOVA resulted in...marginally significant three-way interaction of CONDITION*TIME*LOCATION (F[1,20] = 3.57, p = .073)</t>
  </si>
  <si>
    <t>F(1,20) = 3.57</t>
  </si>
  <si>
    <t>replication male subjects only, statistics for NA results in replication not reported</t>
  </si>
  <si>
    <r>
      <rPr>
        <rFont val="Calibri"/>
        <sz val="11.0"/>
      </rPr>
      <t xml:space="preserve">Bischoff, M. (2024). Evaluating the reliability of relative frontal alpha asymmetry as a state-dependent correlate of the stress response in a mixed-sex sample: A replication study (Master's thesis, University of Twente). Retrieved from </t>
    </r>
    <r>
      <rPr>
        <rFont val="Calibri"/>
        <color rgb="FF1155CC"/>
        <sz val="11.0"/>
        <u/>
      </rPr>
      <t>https://purl.utwente.nl/essays/100571</t>
    </r>
  </si>
  <si>
    <t>emotion stress regulation: the role of of relative frontal
alpha asymmetry</t>
  </si>
  <si>
    <t>stress; emotion; cold pressor test; feet; cortisol; EEG; cardiovascular</t>
  </si>
  <si>
    <t>2 way interaction condition x time on frontal alpha asymetry</t>
  </si>
  <si>
    <t>"A CONDITION *TIME * LOCATION within-subjects ANOVA resulted in a significant two-way interactions of CONDITION*TIME (F[1,20] = 5.38, p = .031, η² = .118)"</t>
  </si>
  <si>
    <t>additional_studies79_b</t>
  </si>
  <si>
    <t>Frontal asymmetry during acute stress was unrelated to other stress response components…asymmetry at F3/F4 remained unchanged during stress...(r = . -.204, p = .375)</t>
  </si>
  <si>
    <t>2-17-20</t>
  </si>
  <si>
    <t>p.20</t>
  </si>
  <si>
    <t>p.19</t>
  </si>
  <si>
    <t>replication mixed sample, statistics for NA results in replication not reported</t>
  </si>
  <si>
    <r>
      <rPr>
        <rFont val="Calibri"/>
        <sz val="11.0"/>
      </rPr>
      <t xml:space="preserve">Bischoff, M. (2024). Evaluating the reliability of relative frontal alpha asymmetry as a state-dependent correlate of the stress response in a mixed-sex sample: A replication study (Master's thesis, University of Twente). Retrieved from </t>
    </r>
    <r>
      <rPr>
        <rFont val="Calibri"/>
        <color rgb="FF1155CC"/>
        <sz val="11.0"/>
        <u/>
      </rPr>
      <t>https://purl.utwente.nl/essays/100571</t>
    </r>
  </si>
  <si>
    <t>additional_studies79_c</t>
  </si>
  <si>
    <t>Cortisol responses were best predicted by resting asymmetry at electrodes F3/F4…the correlation with cortisol only reached significance during baseline (r = . -.512, p = .018)</t>
  </si>
  <si>
    <t>2-17</t>
  </si>
  <si>
    <t>additional_studies57_8</t>
  </si>
  <si>
    <t>additional_studies81</t>
  </si>
  <si>
    <t>most of the effects in the o_study and the r_study are reported in plots, I only coded the effects that matched and had statistical results explicitly reported</t>
  </si>
  <si>
    <t>Discarded for missing data (no replication test was conducted)</t>
  </si>
  <si>
    <t>Edwards, S. H., Kandru, N., &amp; Rajagopal, M. B. (2017, August). Investigating static analysis errors in student Java programs. In Proceedings of the 2017 ACM Conference on International Computing Education Research (pp. 65-73). https://doi.org/10.1145/3105726.3106182</t>
  </si>
  <si>
    <t>10.1145/3105726.3106182</t>
  </si>
  <si>
    <r>
      <rPr>
        <rFont val="Calibri"/>
        <sz val="11.0"/>
      </rPr>
      <t xml:space="preserve">Liu, D., Calver, J., &amp; Craig, M. (2024). Are a Static Analysis Tool Study's Findings Static? A Replication. In Proceedings of the 2024 on Innovation and Technology in Computer Science Education V. 1 (pp. 80-86). </t>
    </r>
    <r>
      <rPr>
        <rFont val="Calibri"/>
        <color rgb="FF1155CC"/>
        <sz val="11.0"/>
        <u/>
      </rPr>
      <t>https://doi.org/10.1145/3649217.3653545</t>
    </r>
  </si>
  <si>
    <t>10.1145/3649217.3653545</t>
  </si>
  <si>
    <t>conceptual replication</t>
  </si>
  <si>
    <t>Education (computer science)</t>
  </si>
  <si>
    <t>static analysis</t>
  </si>
  <si>
    <t>Java; Web-CAT; static analysis; Checkstyle; PMD; coding style; 
formatting; documentation; coding standard</t>
  </si>
  <si>
    <t>We examine the differences between the error rates of CS major and non-major beginners, and also examine how these patterns change over time as students progress through the CS major course sequence.</t>
  </si>
  <si>
    <t>Are static analysis errors related to student achievement, in terms of earning grades?...examining a scatterplot of the two variables...ndividual error rate on an assignment and the corresponding score...does not reveal a clear visible trend (correlation R = -0.27).</t>
  </si>
  <si>
    <t>Liu, D., Calver, J., &amp; Craig, M. (2024). Are a Static Analysis Tool Study's Findings Static? A Replication. In Proceedings of the 2024 on Innovation and Technology in Computer Science Education V. 1 (pp. 80-86). https://doi.org/10.1145/3649217.3653545</t>
  </si>
  <si>
    <t>a replication</t>
  </si>
  <si>
    <t>static analysis errors in student programming</t>
  </si>
  <si>
    <t>Java; Web-CAT; static analysis; Checkstyle; PMD; coding style;  formatting; documentation; coding standard, replication, style checker, error messages</t>
  </si>
  <si>
    <t>most frequent static analysis errors</t>
  </si>
  <si>
    <t xml:space="preserve">"formatting errors occur most often 49%" </t>
  </si>
  <si>
    <t>Edwards, S. H., Kandru, N., &amp; Rajagopal, M. B. (2017, August). Investigating static analysis errors in student Java programs. In Proceedings of the 2017 ACM Conference on International Computing Education Research (pp. 65-73). https://doi.org/10.1145/3105726.3106183</t>
  </si>
  <si>
    <t>Liu, D., Calver, J., &amp; Craig, M. (2024). Are a Static Analysis Tool Study's Findings Static? A Replication. In Proceedings of the 2024 on Innovation and Technology in Computer Science Education V. 1 (pp. 80-86). https://doi.org/10.1145/3649217.3653546</t>
  </si>
  <si>
    <t>An analysis of variance including course, the presence of coding errors in the final product, and the presence of coding errors at any point during development of the solution indicated that coding flaws are significantly related to program grades earned (F = 2755, p &lt; 0.0001). Presence of coding flaws at any point when developing a solution resulted in significantly lower scores on the assignment</t>
  </si>
  <si>
    <t>F = 2755</t>
  </si>
  <si>
    <t>𝐹 = 688.7</t>
  </si>
  <si>
    <t>4 - conceptual</t>
  </si>
  <si>
    <t>additional_studies81_b</t>
  </si>
  <si>
    <t xml:space="preserve">Figure 2 in R study </t>
  </si>
  <si>
    <t>Impact of student experience levels on the most frequent errors</t>
  </si>
  <si>
    <t xml:space="preserve">"A one-way analysis of variance shows that the overall error rates do differ significantly by course (F = 526, p &lt; 0.0001). Tukey’s HSD indicates that each course is different from the three others, with its own distinct overall error rate. Among CS majors, the difference between courses indicated by the ANOVA appears in Figure 3 as a general decrease in error rates as students progress from CS1 to CS2 to CS3. Formatting errors are a notable exception, showing little difference across the three in-majors courses". </t>
  </si>
  <si>
    <t>F = 526</t>
  </si>
  <si>
    <t>additional_studies81_c</t>
  </si>
  <si>
    <t>ns correlation in original study</t>
  </si>
  <si>
    <t>relationship between overall grades and all static analysis errors</t>
  </si>
  <si>
    <t>"While an ANCOVA suggests a relationship between individual error rate on an assignment and the corresponding score (F = 5211, pp &lt; 0.0001), examining a scatterplot of the two variables does not reveal a clear visible trend (correlation R = -0.27)"</t>
  </si>
  <si>
    <t>additional_studies81_d</t>
  </si>
  <si>
    <t>effect size type not reported, I assumed it's etasq because of ANOVA</t>
  </si>
  <si>
    <t>Feedback for Maria
- If there is no effect size type reported alongside the effect size, please write es type as NA. For example, in an ANOVA standardized effect sizes are f, eta squared, and R² (R² and eta are out because it is larger than 1 here) depending on the software that is used, but authors could even compute d from the f statistic and the DFs.</t>
  </si>
  <si>
    <t>relationship between overall grades and coding flaws</t>
  </si>
  <si>
    <t>"presence of coding flaws in the final submission itself was associated with dramatically lower scores (mean without flaws in final work = 91.4%, mean with flaws in final work = 48.2%, F = 7710, p &lt; 0.0001), with an effect size of 1.97"</t>
  </si>
  <si>
    <t>F = 7710</t>
  </si>
  <si>
    <t>additional_studies57_9</t>
  </si>
  <si>
    <t>additional_studies83</t>
  </si>
  <si>
    <t>the replication study is not available</t>
  </si>
  <si>
    <t>Börstler, J., &amp; Paech, B. (2016). The role of method chains and comments in software readability and comprehension—an experiment. IEEE Transactions on Software Engineering, 42(9), 886-898. https://doi.org/10.1109/TSE.2016.2527791</t>
  </si>
  <si>
    <t>10.1109/TSE.2016.2527791</t>
  </si>
  <si>
    <r>
      <rPr>
        <rFont val="Calibri"/>
        <sz val="11.0"/>
      </rPr>
      <t xml:space="preserve">Sampaio, I. B., &amp; Sampaio, A. (2024, June). Replication of a Study about the Impact of Method Chaining and Comments on Readability and Comprehension. In 2024 4th International Conference on Code Quality (ICCQ) (pp. 35-52). IEEE. </t>
    </r>
    <r>
      <rPr>
        <rFont val="Calibri"/>
        <color rgb="FF1155CC"/>
        <sz val="11.0"/>
        <u/>
      </rPr>
      <t>https://doi.org/10.1109/ICCQ60895.2024.10576941</t>
    </r>
  </si>
  <si>
    <t>10.1109/ICCQ60895.2024.10576941</t>
  </si>
  <si>
    <t>no p value reported only α</t>
  </si>
  <si>
    <r>
      <rPr>
        <rFont val="Arial"/>
      </rPr>
      <t xml:space="preserve">replication accessed via </t>
    </r>
    <r>
      <rPr>
        <rFont val="Arial"/>
        <color rgb="FF1155CC"/>
        <u/>
      </rPr>
      <t>https://se.ifi.uni-heidelberg.de/fileadmin/pdf/publications/2016_The_Role_of_Method_Chains.pdf</t>
    </r>
  </si>
  <si>
    <t>Sampaio, I. B., &amp; Sampaio, A. (2024, June). Replication of a Study about the Impact of Method Chaining and Comments on Readability and Comprehension. In 2024 4th International Conference on Code Quality (ICCQ) (pp. 35-52). IEEE. https://doi.org/10.1109/ICCQ60895.2024.10576941</t>
  </si>
  <si>
    <t>a conceptual replication</t>
  </si>
  <si>
    <t xml:space="preserve">Impact of Method Chains and Comment Variants on Code Readability and Comprehension </t>
  </si>
  <si>
    <t>Software readability, software comprehension, software measurement, comments, method chains, experiment</t>
  </si>
  <si>
    <t>impact of code variants on code perceived readability</t>
  </si>
  <si>
    <t>"Regarding RQ1, there are significant differences between the comment variants (X2 = 16.1; α = 0.003). Code snippets with good comments (GC) are perceived as the most readable and the variants without comments (NC) are perceived as the least readable".</t>
  </si>
  <si>
    <t>X2 = 16.1</t>
  </si>
  <si>
    <t>F(2,62) = 0.6243</t>
  </si>
  <si>
    <t>There was a typo in one of the p-values. Please double check the entries and rather copy them than type them in.</t>
  </si>
  <si>
    <t>additional_studies83_b</t>
  </si>
  <si>
    <t xml:space="preserve">only M available </t>
  </si>
  <si>
    <t>impact of code variants on code comprehension</t>
  </si>
  <si>
    <t>"For snippets S1–S5, our data shows significant differences in their mean answer accuracy (Acc) (ANOVA p = 0.0013 at α &lt; 0.01)".</t>
  </si>
  <si>
    <t>F(2,62) = 2.3742</t>
  </si>
  <si>
    <t>additional_studies83_c</t>
  </si>
  <si>
    <t>impact of method chains on code perceived readability</t>
  </si>
  <si>
    <t>"Regarding RQ2, our data does not show any significant differences in the perceived readability (R1) for the MC variants".</t>
  </si>
  <si>
    <t>F(1,50) = 0.0184</t>
  </si>
  <si>
    <t>additional_studies59_1</t>
  </si>
  <si>
    <t>additional_studies59</t>
  </si>
  <si>
    <t>Abend, R., Bajaj, M. A., Matsumoto, C., Yetter, M., Harrewijn, A., Cardinale, E. M., ... &amp; Pine, D. S. (2021). Converging multi-modal evidence for implicit threat-related bias in pediatric anxiety disorders. Research on child and adolescent psychopathology, 49, 227-240. https://doi.org/10.1007/s10802-020-00712-w</t>
  </si>
  <si>
    <t>10.1007/s10802-020-00712-w</t>
  </si>
  <si>
    <t>10.1007--s10802-020-00712-w.pdf</t>
  </si>
  <si>
    <t>Byrne, M. E., Kirschner, S., Harrewijn, A., Abend, R., Lazarov, A., Liuzzi, L., ... &amp; Pine, D. S. (2024). Eye-tracking measurement of attention bias to social threat among youth: A replication and extension study. Journal of Mood &amp; Anxiety Disorders, 100075. https://doi.org/10.1016/j.xjmad.2024.100075</t>
  </si>
  <si>
    <t>10.1016/j.xjmad.2024.100075</t>
  </si>
  <si>
    <t>implicit threat bias</t>
  </si>
  <si>
    <t>anxiety, implicit bias, attention bias, pediatric psychopathology, eye-tracking, behavioral avoidance, threat response</t>
  </si>
  <si>
    <t>pediatric anxiety disorders are associated with implicit threat bias, manifesting as heightened attention to negative-valence stimuli and behavioral avoidance of threatening stimuli</t>
  </si>
  <si>
    <t>Quantified in terms of bias (dwell time on negative faces minus non-negative faces), youth with anxiety demonstrated significantly greater bias relative to their healthy peers, t (31.25) = 2.14, p = 0.041, d = 0.65</t>
  </si>
  <si>
    <t>t(98.84)=-0.73</t>
  </si>
  <si>
    <t>I could not find the effect size of d = .68 or any others for that matter.
Feedback for Hakile
- Please include test statistics in the claim.
- I could not find the effect size of d = .68 on page 5 in the original report of additional_studies59</t>
  </si>
  <si>
    <r>
      <rPr>
        <rFont val="Calibri"/>
        <sz val="11.0"/>
      </rPr>
      <t xml:space="preserve">Abend, R., Bajaj, M. A., Matsumoto, C., Yetter, M., Harrewijn, A., Cardinale, E. M., ... &amp; Pine, D. S. (2021). Converging multi-modal evidence for implicit threat-related bias in pediatric anxiety disorders. Research on child and adolescent psychopathology, 49, 227-240. </t>
    </r>
    <r>
      <rPr>
        <rFont val="Calibri"/>
        <color rgb="FF1155CC"/>
        <sz val="11.0"/>
        <u/>
      </rPr>
      <t>https://doi.org/10.1007/s10802-020-00712-w</t>
    </r>
  </si>
  <si>
    <r>
      <rPr>
        <rFont val="Calibri"/>
        <sz val="11.0"/>
      </rPr>
      <t xml:space="preserve">Byrne, M. E., Kirschner, S., Harrewijn, A., Abend, R., Lazarov, A., Liuzzi, L., ... &amp; Pine, D. S. (2024). Eye-tracking measurement of attention bias to social threat among youth: A replication and extension study. Journal of Mood &amp; Anxiety Disorders, 100075. </t>
    </r>
    <r>
      <rPr>
        <rFont val="Calibri"/>
        <color rgb="FF1155CC"/>
        <sz val="11.0"/>
        <u/>
      </rPr>
      <t>https://doi.org/10.1016/j.xjmad.2024.100075</t>
    </r>
  </si>
  <si>
    <t>Replication and extension study</t>
  </si>
  <si>
    <t>Attentional threat bias</t>
  </si>
  <si>
    <t>Attention bias, Eye-tracking, Youth Anxiety, Irritability, Negative affect, Social Threat</t>
  </si>
  <si>
    <t>The effect under investigation explores the relationship between attentional threat bias (x) and negative affectivity (y), including anxiety and irritability among youth. Specifically, the study examines how greater attention allocation to negative-valence faces is associated with anxiety and irritability and evaluates the reliability of this bias through eye-tracking methods.</t>
  </si>
  <si>
    <t>Patients displayed longer gaze duration on negative relative to non-negative valence faces than healthy peers.</t>
  </si>
  <si>
    <t>https://osf.io/8qub2</t>
  </si>
  <si>
    <t>additional_studies59_b</t>
  </si>
  <si>
    <t>N is different from prior ES as it these effects were part of a mixed-effects model, which was ran after excluding outliers</t>
  </si>
  <si>
    <t>Corrected N to 106 (it was 105) because df for correlation are 104 and N-2=df</t>
  </si>
  <si>
    <t>Dimensionally, a similar pattern was noted, with a positive correlation between dwell time bias score and overall anxiety symptom severity, r (48) = 0.29, p = 0.043</t>
  </si>
  <si>
    <t>additional_studies6_1</t>
  </si>
  <si>
    <t>additional_studies6</t>
  </si>
  <si>
    <t>replication study notes the effects size as  ηp2 =0.13 in Table 1 (p. 3) - " computed based on F-values and degrees of freedom using the easystats package in R"</t>
  </si>
  <si>
    <t xml:space="preserve">corrected studynumber
Corinna:
- The coder coded more than one effect per row. The effects are all correct. Therefore, I used them to validate the other rows, but reject them since they are unusable for any statistics program
-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nesting = no (between subject ANOVA was conducted)
- </t>
  </si>
  <si>
    <t>Karmarkar, U. R., &amp; Tormala, Z. L. (2010). Believe me, I have no idea what I’m talking about: The effects of source certainty on consumer involvement and persuasion. Journal of Consumer Research, 36(6), 1033-1049. https://doi.org/10.1086/648381</t>
  </si>
  <si>
    <t>10.1086/648381</t>
  </si>
  <si>
    <t>Løhre, E., Chandrashekar, S. P., Mayiwar, L., &amp; Hærem, T. (2024). Uncertainty, expertise, and persuasion: A replication and extension of. Journal of Experimental Social Psychology, 113, 104619. https://doi.org/10.1016/j.jesp.2024.104619</t>
  </si>
  <si>
    <t>10.1016/j.jesp.2024.104619</t>
  </si>
  <si>
    <t>Title - "a replication and extension of Karmarkar and Tormala (2010)"
Abstract - "direct replication of Experiment 2 by Karmarkar and Tormala (2010)"</t>
  </si>
  <si>
    <t>Consumer Research</t>
  </si>
  <si>
    <t>expertise persuasion incongruity effect</t>
  </si>
  <si>
    <t>persuasion, attitudes, uncertainty, confidence, expertise</t>
  </si>
  <si>
    <t>Success of persuasion depends on strategy and expertise (incongruity hypothesis)</t>
  </si>
  <si>
    <t>Main effect: There were no main effects, but we did find a significant interaction between source expertise and source certainty. (on attitude)
Simple effects:The nonexpert source was more persuasive, as indicated by more favorable attitudes, when he expressed cerainty compared to uncertainty, 
whereas the expert source was more persuasive when he expressed uncertainty compared to certainty.</t>
  </si>
  <si>
    <t>Main: all F's &lt; 1
Interaction:  F(1,64) = 9.70
Simple: non expert - F(1,64) = 4.77, expert - F(1,64) = 4.94</t>
  </si>
  <si>
    <t>Main: p &gt; 0.05
Interaction: p&lt;0.004
Simple: non-expert p &lt; 0.04, expert p &lt; 0.03</t>
  </si>
  <si>
    <t>Main effect source certainty:  ηp2 =0.01
Main effect expertise: ηp2 =0.00
Interaction effect certainty*expertise: ηp 2 =0.00
Simple effect - difference in attitude for high/low certainty : non-expert Cohen’s d =0.18, expert Cohen’s d = 0.28</t>
  </si>
  <si>
    <t>Main effect source certainty:  p = .039
Main effect expertise: p = .247
Interaction effect certainty*expertise:  p =.361
Simple effect: non-expert  p = .439, expert  p = .027</t>
  </si>
  <si>
    <t>https://osf.io/mptud</t>
  </si>
  <si>
    <t>additional_studies6_a</t>
  </si>
  <si>
    <t>Claim text_r support for the main effect of source certainty, F(1, 506) = 173.13, p &lt; .001, ηp2 = 0.25, 95% CI [0.19, 0.31]. [...] p.7</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</si>
  <si>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copied the effect and the description of the effect
- I added the study number of the replication
- I changed the test statistics to the given effect size (replication
- I wrote the p-value in a correct form
- I added the page number to es_repr_r 
- I added nesting = no (between subject ANOVA was conducted)</t>
  </si>
  <si>
    <t>Analysis of the perceived expertise data revealed only a main effect for the expertise manipulation (F (1, 64) = 4.60, p &lt; .04). Participants rated the source as having more expertise in the high (M = 7.06) rather than low (M = 6.08) expertise condition.</t>
  </si>
  <si>
    <t>F(1, 64) = 4.60</t>
  </si>
  <si>
    <t>additional_studies6_b</t>
  </si>
  <si>
    <t>- The coder coded more than one effect per row. The effects are all correct. Therefore, I used them to validate the other rows, but reject them since they are unusable for any statistics program
-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nesting = no (between subject ANOVA was conducted)</t>
  </si>
  <si>
    <t>Main effect: no main effects for source expertise or source certainty but a significant interaction between these variables. (on involvement)
Simple effects: with low expertise reported greater involvement with the high rather than low certainty review, under conditions of high source expertise, participants reported
greater involvement with the low rather than high certainty review.</t>
  </si>
  <si>
    <t>Main: all F's &lt; 1
Interaction:  F(1,64) = 11.02
Simple: non expert - F(1,64) = 7.43, expert - F(1,64) = 3.97</t>
  </si>
  <si>
    <t>Main: p &gt; 0.05
Interaction: p&lt;0.002
Simple: non-expert p &lt; 0.01, expert p = 0.05</t>
  </si>
  <si>
    <t>Main effect source certainty:  ηp2 =0.00
Main effect expertise: ηp2 =0.00
Interaction effect certainty*expertise: ηp2 =0.01
Simple effect - difference in attitude for high/low certainty :  nonexpert - Cohen’s d = 0.29, expert -Cohen’s d =-0.1</t>
  </si>
  <si>
    <t>Main effect source certainty:  p &gt; 0.05
Main effect expertise: p  &gt; 0.05
Interaction effect certainty*expertise:  p = 0.030
Simple effect: non-expert  p = .023, expert  p = .437</t>
  </si>
  <si>
    <t>Claim text_r.  [...] Post-hoc comparisons using t-tests with Bonferroni correction found that participants reported higher certainty in the high certainty condition (n = 257, M = 7.87, SD = 1.24) than in the low certainty condition (n = 253, M = 5.96, SD = 1.96; t(426) = 13.00, p &lt; .001, Cohen’s d = 1.17, 95% CI [0.98, 1.35]). There was no main effect of expertise, nor an expertise   certainty interaction effect, Fs &lt; 1. [...] p.7</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</si>
  <si>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the study number of the replication
- I changed the test statistics to the given effect size (replication)
- I added the full test statistics to the original study
- I wrote the p-value in a correct form
- I added the page number to es_repr_r 
- I added nesting = no (between subject ANOVA was conducted)</t>
  </si>
  <si>
    <t>Experiment 2 Manipulation check Certainty Conditions</t>
  </si>
  <si>
    <t>There was no main effect for source certainty (F(1, 64) = 2.36, p &gt; 0.12)</t>
  </si>
  <si>
    <t>F(1, 64) = 2.36</t>
  </si>
  <si>
    <t>additional_studies6_c</t>
  </si>
  <si>
    <t>I would exclude this row from the table since it remains unclear which effect was replicated (all cells regarding the original study were left blank)</t>
  </si>
  <si>
    <t>Main effect source certainty:  ηp2 =0.01
Main effect expertise: ηp2 =0.00
Main effect reason: np2 = 0.00
Interaction effects: all np2 = 0.00</t>
  </si>
  <si>
    <t>Main effect source certainty:  p &lt; 0.001
Main effect expertise: p  &gt; 0.05
Main effect reason: p  &gt; 0.05
Interaction effects: all  p  &gt; 0.05</t>
  </si>
  <si>
    <t>I assumed that there is pval_value_o &gt; 0.05 in the original study since there is no significant effect, but that's not clearly stated. Claim text_r  found support for a main effect of source certainty, F(1, 506) = 4.27, p = .039, ηp2 = 0.01, 95% CI [0.00, 0.03]. [...] p.7</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</si>
  <si>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the study number of the replication
- I changed the test statistics to the given effect size (replication)
- I wrote the p-value in a correct form
- I added the page number to es_repr_r 
- I added nesting = no (between subject ANOVA was conducted)</t>
  </si>
  <si>
    <t>Experiment 2 Attitudes Main effect</t>
  </si>
  <si>
    <t>There were no main effects (F's &lt; 1),</t>
  </si>
  <si>
    <t>additional_studies6_d</t>
  </si>
  <si>
    <t>NFC - non - standardized b = 0.11, p = 0.010, 95% CI[0.03–0.19]
Conducted a linear regression analysis including expertise, reason, certainty, NFC, and two interaction terms (expertise × certainty and certainty × NFC) as predictors of the attitude measure. 
The analysis showed a main effect of NFC but failed to find an interaction effect between certainty and NFC. p. 9</t>
  </si>
  <si>
    <t>Main effect Need For Closure: p = 0.010</t>
  </si>
  <si>
    <t>Claim text_r However, there was no main effect of expertise, F(1, 506) = 1.35, p =.247, ηp2 = 0.00, 95% CI [0.00, 0.02], nor an expertise   certainty interaction effect, F(1, 506) = 0.84, p = .361, ηp2 = 0.00, 95% CI [0.00, 0.02]. The main effect of certainty reflected higher attitude ratings in the high certainty condition (n = 257, M = 7.80, SD = 1.10) than in the low certainty condition (n = 253, M = 7.58, SD = 1.26, Cohen’s d = 0.18, 95% CI [0.01, 0.36]). [...] p.7</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</si>
  <si>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the study number of the replication
- I changed the test statistics to the given effect size (replication)
- I changed the replicated effect of the original study (coder coded two effects within the claim, but chose the wrong one) --&gt; I changed the effect and deleted one effect of the claim
- I wrote the p-value in a correct form
- I added the page number to es_repr_r 
- I added nesting = no (between subject ANOVA was conducted)</t>
  </si>
  <si>
    <t>Experiment 2 Attitudes Certainty Conditions</t>
  </si>
  <si>
    <t xml:space="preserve">we did find a significant interaction between source expertise and source certainty (F(1, 64) = 9.70, p &lt; .004). As illustrated in figure 2, this interaction assumed the predicted form. </t>
  </si>
  <si>
    <t>F(1, 64) = 9.70</t>
  </si>
  <si>
    <t>additional_studies6_e</t>
  </si>
  <si>
    <t>I assumed that there is pval_value_o &gt; 0.05 in the original and replications study since there are no significant effects, but that's not clearly stated. Claim text_r  no main effects for source expertise or source certainty (Fs &lt; 1.18),  [...] p.8</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</si>
  <si>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the study number of the replication
- I wrote the p-value in a correct form
- I added the page number to es_repr_r 
- I added nesting = no (between subject ANOVA was conducted)</t>
  </si>
  <si>
    <t>Experiment 2 Involvement Main effect</t>
  </si>
  <si>
    <t>no main effects for source expertise or source certainty (F’s &lt; 1)</t>
  </si>
  <si>
    <t>F&lt; 1.18</t>
  </si>
  <si>
    <t>additional_studies6_f</t>
  </si>
  <si>
    <t>Claim text_r.  supported an expertise   certainty interaction effect, F(1, 506) = 4.74, p = .030, ηp2 = 0.01, 95% CI[0.00, 0.03]. [...] p.8</t>
  </si>
  <si>
    <t>- I added the link to the pre-registration of the replication (it was a registered report, therefore the first manuscript is linked)
- I added closeness_r and coded that it was a close replication, as the authors wrote that it is a direct replication
- I changed the page number to the one of the PDF
- I added labl_r
- I added the study number of the replication
- I changed the test statistics to the given effect size (replication)
- The text claim included multiple effects and I deleted the remaining ones
- I wrote the p-value in a correct form
- I added the page number to es_repr_r 
- I added nesting = no (between subject ANOVA was conducted)</t>
  </si>
  <si>
    <t>Experiment 2 Involvement Certainty Conditions</t>
  </si>
  <si>
    <t>a significant interaction between expertise and source certainty (F(1, 64) = 11.02, p &lt; .002). A</t>
  </si>
  <si>
    <t>F(1, 64) = 11.02</t>
  </si>
  <si>
    <t>additional_studies60_1</t>
  </si>
  <si>
    <t>additional_studies60</t>
  </si>
  <si>
    <t>conceptual replication of the same approach, testing response disequilibrium theory, but no numbers that can are easily comparable between studies (apart from one that apply to the specific equations) due to methodological differences</t>
  </si>
  <si>
    <t>Corrected citation and DOI, added effect sizes and duplicated row for both original subjects
Feedback for Nikolay
- You could have coded the R² for additional_studies60
- Please copy text for the claim from the paper</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</si>
  <si>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</si>
  <si>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10.1007/s40732-020-00453-8</t>
  </si>
  <si>
    <t>10.1007--s40732-020-00432-8.pdf</t>
  </si>
  <si>
    <t>Ryan, M., King, H., Chesbrough, E. et al. Increasing Toy Engagement via Response Disequilibrium Theory: A Systematic Replication. Psychol Rec (2024). https://doi.org/10.1007/s40732-024-00601-4</t>
  </si>
  <si>
    <t>10.1007/s40732-024-00601-4</t>
  </si>
  <si>
    <t>Systematic replication</t>
  </si>
  <si>
    <t>Response disequilibrium</t>
  </si>
  <si>
    <t>Anxiety, threat, bias,  attention, avoidance, contingent activity, disequilibrium theory, instrumental activity</t>
  </si>
  <si>
    <t xml:space="preserve">Relationship between predicted and actual instrumental activity (original condition: Dave) </t>
  </si>
  <si>
    <t xml:space="preserve">As predicted, the I/C schedule produced a response deficit for leisure time for both Drew and Dave. For example, the initial Oi /Oc ratio for Drew was 0.025 (8.1 instances of compliance /313.1 s of leisure time).  </t>
  </si>
  <si>
    <t>r-squared</t>
  </si>
  <si>
    <t>4, Figure 2</t>
  </si>
  <si>
    <t>5, Figure 2</t>
  </si>
  <si>
    <t>No access to the PDF papers.</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</si>
  <si>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</si>
  <si>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Anxiety, threat, bias,  attention, avoidance</t>
  </si>
  <si>
    <t>Constraining access to a preferred activity increased engagement with a less-preferred activity to restore equilibrium.</t>
  </si>
  <si>
    <t>additional_studies60_b</t>
  </si>
  <si>
    <t>Corrected citation and DOI, added effect sizes and duplicated row for both original subjects</t>
  </si>
  <si>
    <r>
      <rPr>
        <rFont val="Calibri"/>
        <color rgb="FF38761D"/>
        <sz val="11.0"/>
      </rPr>
      <t xml:space="preserve">Falligant, J.M., Rooker, G.W. Further Analysis of the Response Deprivation Hypothesis: Application of the Disequilibrium Model to Novel Clinical Contexts. Psychol Rec 71, 307–311 (2021). </t>
    </r>
    <r>
      <rPr>
        <rFont val="Calibri"/>
        <color rgb="FF38761D"/>
        <sz val="11.0"/>
        <u/>
      </rPr>
      <t>https://doi.org/10.1007/s40732-020-00453-8</t>
    </r>
  </si>
  <si>
    <t xml:space="preserve">Relationship between predicted and actual instrumental activity (original condition: Drew) </t>
  </si>
  <si>
    <t>Diego</t>
  </si>
  <si>
    <t>additional_studies62_1</t>
  </si>
  <si>
    <t>additional_studies62</t>
  </si>
  <si>
    <t>LR, DM-R</t>
  </si>
  <si>
    <t>cannot validate calculated effects</t>
  </si>
  <si>
    <t>He, J., Chen, G., Wu, S., Niu, R., &amp; Fan, X. (2020). Patterns of negative emotional eating among Chinese young adults: A latent class analysis. Appetite, 155, 104808. https://doi.org/10.1016/j.appet.2020.104808. Study 5</t>
  </si>
  <si>
    <t>10.1016/j.appet.2020.104808</t>
  </si>
  <si>
    <t>10.1016--j.appet.2020.104808.pdf</t>
  </si>
  <si>
    <t>Dixit, U., He, J., Whited, M., Ellis, J. M., &amp; Zickgraf, H. F. (2023). Negative emotional eating patterns among American university students: A replication study. Appetite, 186, 106554.</t>
  </si>
  <si>
    <t>10.1016/j.appet.2023.106554</t>
  </si>
  <si>
    <t>Emotional Eating Patterns</t>
  </si>
  <si>
    <t>Emotional over-eating, Emotional under-eating, Latent class analysis, Eating disorder, Psychological distress</t>
  </si>
  <si>
    <t>The study investigates patterns of emotional eating (overeating and undereating) and their association with emotional distress and disordered eating behaviors</t>
  </si>
  <si>
    <t>Four distinct negative emotional eating patterns were identified: non-emotional eating, emotional overeating, emotional undereating, and mixed emotional eating. Key result: Wald χ²(12) = 234.76, p &lt; .001.</t>
  </si>
  <si>
    <t>Calculated based on means and SDs from p. 53</t>
  </si>
  <si>
    <t>Calculated based on means and SDs from p. 10</t>
  </si>
  <si>
    <t>additional_studies62_a</t>
  </si>
  <si>
    <t xml:space="preserve">N was calculated. Effect size was calculated. </t>
  </si>
  <si>
    <t>He, J., Chen, G., Wu, S., Niu, R., &amp; Fan, X. (2020). Patterns of negative emotional eating among Chinese young adults: A latent class analysis. Appetite, 155, 104808. https://doi.org/10.1016/j.appet.2020.104808</t>
  </si>
  <si>
    <t>Negative emotional eating</t>
  </si>
  <si>
    <t>Adult eating behavior questionnaire; Disordered eating; Emotional eating; Latent class analysis.</t>
  </si>
  <si>
    <t xml:space="preserve">(Non-emotional eating)The study identified four latent patterns of negative emotional eating among Chinese young adults using Latent Class Analysis. </t>
  </si>
  <si>
    <t>Associated with lower levels of stress-related eating and healthier eating behaviors overall.</t>
  </si>
  <si>
    <t>additional_studies62_b</t>
  </si>
  <si>
    <t xml:space="preserve">(Emotional over- and under-eating)The study identified four latent patterns of negative emotional eating among Chinese young adults using Latent Class Analysis. </t>
  </si>
  <si>
    <t>Showed the highest scores on measures of depression and anxiety (statistically significant).</t>
  </si>
  <si>
    <t>additional_studies62_c</t>
  </si>
  <si>
    <t xml:space="preserve">(Emotional over-eating)The study identified four latent patterns of negative emotional eating among Chinese young adults using Latent Class Analysis. </t>
  </si>
  <si>
    <t>Significantly correlated with increased caloric intake during negative emotional states (p &lt; 0.01).</t>
  </si>
  <si>
    <t>additional_studies62_d</t>
  </si>
  <si>
    <t xml:space="preserve">(Emotional under-eating)The study identified four latent patterns of negative emotional eating among Chinese young adults using Latent Class Analysis. </t>
  </si>
  <si>
    <t>Associated with significant reductions in food consumption during periods of stress and sadness.</t>
  </si>
  <si>
    <t>I edited the links to the original paper because it was a link to another paper; multiple claims but tried to chose those that matched in both papers; in the o_paper and the r_paper a LCA was conducted to choose the best model and the 4-class solution was chosen as the optimal model (It is an important claim but didn't know how to report it)</t>
  </si>
  <si>
    <r>
      <rPr>
        <rFont val="Calibri"/>
        <sz val="11.0"/>
      </rPr>
      <t xml:space="preserve">He, J., Chen, G., Wu, S., Niu, R., &amp; Fan, X. (2020). Patterns of negative emotional eating among Chinese young adults: A latent class analysis. Appetite, 155, 104808. </t>
    </r>
    <r>
      <rPr>
        <rFont val="Calibri"/>
        <color rgb="FF1155CC"/>
        <sz val="11.0"/>
        <u/>
      </rPr>
      <t>https://doi.org/10.1016/j.appet.2020.104808</t>
    </r>
  </si>
  <si>
    <t xml:space="preserve">Dixit, U., He, J., Whited, M., Ellis, J. M., &amp; Zickgraf, H. F. (2023). Negative emotional eating patterns among American university students : A replication study. Appetite, 186, 106554. </t>
  </si>
  <si>
    <t>emotional eating</t>
  </si>
  <si>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</si>
  <si>
    <t>results of comparisons of the four patterns on other measures, and significant pattern differences were found in ARFID symptoms (X2 = 67.52, p &lt; .01)</t>
  </si>
  <si>
    <t>X2 = 67.52</t>
  </si>
  <si>
    <t>X2 = 16.11</t>
  </si>
  <si>
    <t>results of comparisons of the four patterns on other measures, and significant pattern differences were found ... in traditional eating disorder symptoms (X2 = 26.07, p &lt; .01)</t>
  </si>
  <si>
    <t>X2 = 26.07</t>
  </si>
  <si>
    <t>X2 = 32.26</t>
  </si>
  <si>
    <t>results of comparisons of the four patterns on other measures, and significant pattern differences were found... in psychological distress (X2 = 39.22, p &lt; .01).</t>
  </si>
  <si>
    <t>X2 = 39.22</t>
  </si>
  <si>
    <t>X2 = 36.12</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</si>
  <si>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anxiety</t>
    </r>
  </si>
  <si>
    <t>X2 = 33.22</t>
  </si>
  <si>
    <t>additional_studies62_e</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</si>
  <si>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depression</t>
    </r>
  </si>
  <si>
    <t>X2 = 14.24</t>
  </si>
  <si>
    <t>additional_studies62_f</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</si>
  <si>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psychological flexibility</t>
    </r>
  </si>
  <si>
    <t>X2 = 37.74</t>
  </si>
  <si>
    <t>additional_studies63_1</t>
  </si>
  <si>
    <t>additional_studies63</t>
  </si>
  <si>
    <t>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t>
  </si>
  <si>
    <t>10.1016/j.eatbeh.2024.101899</t>
  </si>
  <si>
    <t>Calculated based on means and SDs from p. 14</t>
  </si>
  <si>
    <t xml:space="preserve">Xu, Y., Song, J., Ren, Y., Barnhart, W. R., Dixit, U., Ji, F., Chen, C., &amp; He, J. (2024). Negative emotional eating patterns in general Chinese adults : A replication and expansion study examining group differences in eating disorder symptomatology, psychosocial impairment, and emotion regulation difficulties. Eating Behaviors, 54, 101899. </t>
  </si>
  <si>
    <t>replication and expansion</t>
  </si>
  <si>
    <t>X2 = 47.78</t>
  </si>
  <si>
    <t>additional_studies63_b</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</si>
  <si>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muscularity-oriented eating disorder symptomatology</t>
    </r>
  </si>
  <si>
    <t>X2 = 50.40</t>
  </si>
  <si>
    <t>additional_studies63_c</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</si>
  <si>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psychosocial impairment</t>
    </r>
  </si>
  <si>
    <t>X2 = 115.88</t>
  </si>
  <si>
    <t>additional_studies63_d</t>
  </si>
  <si>
    <r>
      <rPr>
        <rFont val="Calibri"/>
        <color theme="1"/>
        <sz val="11.0"/>
      </rPr>
      <t xml:space="preserve">additional claim only for r_study: results of comparisons of the four classes along different outcomes. Significant class differences were observed for  </t>
    </r>
    <r>
      <rPr>
        <rFont val="Calibri"/>
        <b/>
        <color theme="1"/>
        <sz val="11.0"/>
      </rPr>
      <t>emotion regulation difficulties</t>
    </r>
  </si>
  <si>
    <t>X2 = 128.12</t>
  </si>
  <si>
    <t>additional_studies65_1</t>
  </si>
  <si>
    <t>additional_studies65</t>
  </si>
  <si>
    <t>Krauss, S., Orth, U., &amp; Robins, R. W. (2020). Family environment and self-esteem development: A longitudinal study from age 10 to 16. Journal of Personality and Social Psychology, 119(2), 457–478. https://doi.org/10.1037/pspp0000263</t>
  </si>
  <si>
    <t>10.1037/pspp0000263</t>
  </si>
  <si>
    <t>10.1037--pspp0000263.pdf</t>
  </si>
  <si>
    <t>Krauss, S., &amp; Orth, U. (2024). Family environment and self-esteem development in adolescence: A replication and extension. Journal of Research in Personality, 104511. https://doi.org/10.1016/j.jrp.2024.104511</t>
  </si>
  <si>
    <t>10.1016/j.jrp.2024.104511</t>
  </si>
  <si>
    <t>A replication and extension</t>
  </si>
  <si>
    <t>family environment, self-esteem, adolescence, longitudinal, replication</t>
  </si>
  <si>
    <t>significant positive effects on children’s self-esteem emerged for warmth, monitoring, low maternal depression, economic security (vs. hardship), and presence (vs. absence) of father. With regard to the reciprocal effects, children’s self-esteem predicted positive family values (i.e., importance and centrality of the family) of mother and father</t>
  </si>
  <si>
    <t>https://osf.io/yajmp</t>
  </si>
  <si>
    <t>https://osf.io/6m5tb)</t>
  </si>
  <si>
    <t>additional_studies65_a</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</si>
  <si>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</si>
  <si>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a replication and extension</t>
  </si>
  <si>
    <t>Self-esteem development</t>
  </si>
  <si>
    <t>family environment; parenting behavior; self-esteem; childhood and adolescence; longitudinal</t>
  </si>
  <si>
    <t>Parental Warmth (Child Rates Mother): Family environment (x) is associated with self-esteem development (y) during adolescence.</t>
  </si>
  <si>
    <t xml:space="preserve">Results from the CLPMs indicated that a number of family environment variables affected child self-esteem. Specifically, parental warmth, parental monitoring, and presence of father positively predicted subsequent child self-esteem, whereas maternal depression and economic hardship negatively predicted subsequent child self-esteem. </t>
  </si>
  <si>
    <t>p.42</t>
  </si>
  <si>
    <t>https://osf.io/6m5tb</t>
  </si>
  <si>
    <t>additional_studies65_b</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</si>
  <si>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</si>
  <si>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Warmth (Child Rates Father): Family environment (x) is associated with self-esteem development (y) during adolescence.</t>
  </si>
  <si>
    <t>additional_studies65_c</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</si>
  <si>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</si>
  <si>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Hostility (Child Rates Mother): Family environment (x) is associated with self-esteem development (y) during adolescence.</t>
  </si>
  <si>
    <t>additional_studies65_d</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</si>
  <si>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</si>
  <si>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Hostility (Child Rates Father): Family environment (x) is associated with self-esteem development (y) during adolescence.</t>
  </si>
  <si>
    <t>additional_studies65_e</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</si>
  <si>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</si>
  <si>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Monitoring (Child Rates Mother): Family environment (x) is associated with self-esteem development (y) during adolescence.</t>
  </si>
  <si>
    <t>additional_studies65_f</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</si>
  <si>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</si>
  <si>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Monitoring (Child Rates Father): Family environment (x) is associated with self-esteem development (y) during adolescence.</t>
  </si>
  <si>
    <t>additional_studies65_g</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</si>
  <si>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</si>
  <si>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Involvement in Education (Child Rates Mother): Family environment (x) is associated with self-esteem development (y) during adolescence.</t>
  </si>
  <si>
    <t>additional_studies65_h</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</si>
  <si>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</si>
  <si>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Parental Relationship (Mother's Rating): Family environment (x) is associated with self-esteem development (y) during adolescence.</t>
  </si>
  <si>
    <t>additional_studies65_i</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</si>
  <si>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</si>
  <si>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Depression of Mother: Family environment (x) is associated with self-esteem development (y) during adolescence.</t>
  </si>
  <si>
    <t>additional_studies65_j</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</si>
  <si>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</si>
  <si>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Depression of Father: Family environment (x) is associated with self-esteem development (y) during adolescence.</t>
  </si>
  <si>
    <t>additional_studies65_k</t>
  </si>
  <si>
    <r>
      <rPr>
        <rFont val="Calibri"/>
        <sz val="11.0"/>
      </rPr>
      <t xml:space="preserve">Krauss, S., Orth, U., &amp; Robins, R. W. (2020). Family environment and self-esteem development: A longitudinal study from age 10 to 16. Journal of Personality and Social Psychology, 119(2), 457–478. </t>
    </r>
    <r>
      <rPr>
        <rFont val="Calibri"/>
        <color rgb="FF1155CC"/>
        <sz val="11.0"/>
        <u/>
      </rPr>
      <t>https://doi.org/10.1037/pspp0000263</t>
    </r>
  </si>
  <si>
    <t>Economic Hardship (Father Rates Subscale A): Family environment (x) is associated with self-esteem development (y) during adolescence.</t>
  </si>
  <si>
    <t>additional_studies66_1</t>
  </si>
  <si>
    <t>additional_studies66</t>
  </si>
  <si>
    <t>Reiff J. S., Hershfield H. E., Quoidbach J. (2020). Identity over time: Perceived similarity between selves predicts well-being 10 years later. Social Psychological and Personality Science, 11, 160–167. https://doi.org/10.1177/1948550619843931</t>
  </si>
  <si>
    <t>10.1177/1948550619843931</t>
  </si>
  <si>
    <t>10.1177--1948550619843931.pdf</t>
  </si>
  <si>
    <t>Weidmann, R., Alabdullah, A., Warkentien, J., Vesikar, S., Denehy, M. E., Yang, H., Rakhshani, A., Brent Donnellan, M., &amp; Lucas, R. E. (2024). Does Perceived Similarity Between Present and Future Self Predict Well-Being? A Reanalysis and Replication of. Social Psychological and Personality Science, 0(0). https://doi.org/10.1177/19485506241257971</t>
  </si>
  <si>
    <t>10.1177/19485506241257971</t>
  </si>
  <si>
    <t>identity over time, future self, well-being, life span development</t>
  </si>
  <si>
    <t>Perceived similarity over life-span is positively correlated with life satisfaction</t>
  </si>
  <si>
    <t>Perceived similarity predicted higher levels of concurrent life satisfaction.</t>
  </si>
  <si>
    <t>p1</t>
  </si>
  <si>
    <t>https://osf.io/ja3wc)</t>
  </si>
  <si>
    <t>Study 1 was a reproduction and should not have been coded (only replications with new data).</t>
  </si>
  <si>
    <t>additional_studies66_a</t>
  </si>
  <si>
    <r>
      <rPr>
        <rFont val="Calibri"/>
        <color rgb="FF38761D"/>
        <sz val="11.0"/>
      </rPr>
      <t xml:space="preserve">N after applying exclusion criteria, osf project: </t>
    </r>
    <r>
      <rPr>
        <rFont val="Calibri"/>
        <color rgb="FF38761D"/>
        <sz val="11.0"/>
        <u/>
      </rPr>
      <t>https://osf.io/yqxme</t>
    </r>
  </si>
  <si>
    <t>OSF project contains no registrations, I changed prereg_o to "NA" and copied the link into the notes. Another finding is available (3rd model in O study) but was not part of the replication and is thus not coded.</t>
  </si>
  <si>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</si>
  <si>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1): Perceived similarity between one’s present and future self is associated with greater well-being 10 years later.</t>
  </si>
  <si>
    <t>Perceived similarity between one's present and future self is significantly associated with greater life satisfaction 10 years later.</t>
  </si>
  <si>
    <t>p.2</t>
  </si>
  <si>
    <t>https://osf.io/yqxme</t>
  </si>
  <si>
    <t>https://osf.io/ja3wc</t>
  </si>
  <si>
    <r>
      <rPr>
        <rFont val="Arial"/>
      </rPr>
      <t xml:space="preserve">The original study was not preregistered as the OSF-link does not contain a registration: please double-check under the tab "registrations": </t>
    </r>
    <r>
      <rPr>
        <rFont val="Arial"/>
        <color rgb="FF1155CC"/>
        <u/>
      </rPr>
      <t>https://osf.io/yqxme/registrations.</t>
    </r>
    <r>
      <rPr>
        <rFont val="Arial"/>
      </rPr>
      <t xml:space="preserve"> Moreover, it didn't say in the report that it was registered but there was merely a link to data, materials, and code.</t>
    </r>
  </si>
  <si>
    <t>additional_studies66_b</t>
  </si>
  <si>
    <r>
      <rPr>
        <rFont val="Calibri"/>
        <color rgb="FF38761D"/>
        <sz val="11.0"/>
      </rPr>
      <t xml:space="preserve">N after applying exclusion criteria, osf project: </t>
    </r>
    <r>
      <rPr>
        <rFont val="Calibri"/>
        <color rgb="FF38761D"/>
        <sz val="11.0"/>
        <u/>
      </rPr>
      <t>https://osf.io/yqxme</t>
    </r>
  </si>
  <si>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</si>
  <si>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2, controlling for demographics): Perceived similarity between one’s present and future self is associated with greater well-being 10 years later.</t>
  </si>
  <si>
    <t>The effect of perceived similarity remains significant when controlling for age, gender, education, and income.</t>
  </si>
  <si>
    <t>https://osf.io/8hz3s)</t>
  </si>
  <si>
    <t>additional_studies66_c</t>
  </si>
  <si>
    <r>
      <rPr>
        <rFont val="Calibri"/>
        <color rgb="FF38761D"/>
        <sz val="11.0"/>
      </rPr>
      <t xml:space="preserve">N after applying exclusion criteria, osf project: </t>
    </r>
    <r>
      <rPr>
        <rFont val="Calibri"/>
        <color rgb="FF38761D"/>
        <sz val="11.0"/>
        <u/>
      </rPr>
      <t>https://osf.io/yqxme</t>
    </r>
  </si>
  <si>
    <r>
      <rPr>
        <rFont val="Calibri"/>
        <sz val="11.0"/>
      </rPr>
      <t xml:space="preserve">Reiff J. S., Hershfield H. E., Quoidbach J. (2020). Identity over time: Perceived similarity between selves predicts well-being 10 years later. Social Psychological and Personality Science, 11, 160–167. </t>
    </r>
    <r>
      <rPr>
        <rFont val="Calibri"/>
        <color rgb="FF1155CC"/>
        <sz val="11.0"/>
        <u/>
      </rPr>
      <t>https://doi.org/10.1177/1948550619843931</t>
    </r>
  </si>
  <si>
    <t>Perceived Similarity (Model 3, controlling for demographics and baseline life satisfaction): Perceived similarity between one’s present and future self is associated with greater well-being 10 years later.</t>
  </si>
  <si>
    <t>The effect of perceived similarity is reduced but remains significant when controlling for demographic variables and baseline life satisfaction.</t>
  </si>
  <si>
    <t>additional_studies67_1</t>
  </si>
  <si>
    <t>additional_studies67</t>
  </si>
  <si>
    <t>Gietzen, L. J., Lewis, H., &amp; Buchanan, J. A. (2023). Age-related microaggressions: A descriptive
 study. The Gerontologist, 63(5), 820-830. https://doi.org/10.1093/geront/gnac158</t>
  </si>
  <si>
    <t>10.1093/geront/gnac158</t>
  </si>
  <si>
    <t>10.1093--geront--gnac158.pdf</t>
  </si>
  <si>
    <t>Patt, S. (2024). Age-Related Microaggressions: A Semi-Replication. https://cornerstone.lib.mnsu.edu/cgi/viewcontent.cgi?article=2424&amp;context=etds</t>
  </si>
  <si>
    <t>patt_2024</t>
  </si>
  <si>
    <t>https://cornerstone.lib.mnsu.edu/etds/1424/</t>
  </si>
  <si>
    <t>A semi-replication</t>
  </si>
  <si>
    <t>Clinical Psychology</t>
  </si>
  <si>
    <t>age-related microaggression, ageism, everyday ageism, ambivalent ageism, benevolent ageism, microaggression, qualitative method, older adults</t>
  </si>
  <si>
    <t>The majority of older adults have experienced microagressions and find them bothersome.</t>
  </si>
  <si>
    <t>additional_studies67_a</t>
  </si>
  <si>
    <t>Gietzen, L. J., Lewis, H., &amp; Buchanan, J. A. (2023). Age-related microaggressions: A descriptive
study. The Gerontologist, 63(5), 820-830. https://doi.org/10.1093/geront/gnac158</t>
  </si>
  <si>
    <t>semi-replication</t>
  </si>
  <si>
    <t>age-related microaggressions</t>
  </si>
  <si>
    <t>Ageism, Qualitative method, Thematic analysis</t>
  </si>
  <si>
    <t>microinsults: Age-related microaggressions are common and are associated with negative emotional and behavioral responses in older adults.</t>
  </si>
  <si>
    <t>Microinsults involve subtle communications of rudeness or stereotypes, such as assumptions about older adults' abilities or experiences of "elderspeak."</t>
  </si>
  <si>
    <t>cohen's h</t>
  </si>
  <si>
    <t>additional_studies67_b</t>
  </si>
  <si>
    <t>microassaults: Age-related microaggressions are common and are associated with negative emotional and behavioral responses in older adults.</t>
  </si>
  <si>
    <t>These are more overt forms of discrimination, including verbal assaults like name-calling ("Okay, Boomer!") or physical actions, such as being pushed or rushed.</t>
  </si>
  <si>
    <t>additional_studies67_c</t>
  </si>
  <si>
    <t>microinvalidations: Age-related microaggressions are common and are associated with negative emotional and behavioral responses in older adults.</t>
  </si>
  <si>
    <t xml:space="preserve">Microinvalidations include dismissing or nullifying older adults’ experiences and feelings. </t>
  </si>
  <si>
    <t>p. 18</t>
  </si>
  <si>
    <t>additional_studies68_1</t>
  </si>
  <si>
    <t>additional_studies68</t>
  </si>
  <si>
    <t>Akselevich, V., &amp; Gilaie-Dotan, S. (2022). Positive and negative facial valence perception are modulated differently by eccentricity in the parafovea. Scientific reports, 12(1), 21693. https://doi.org/10.1038/s41598-022-24919-7</t>
  </si>
  <si>
    <t>10.1038/s41598-022-24919-7</t>
  </si>
  <si>
    <t>10.1038--s41598-022-24919-7.pdf</t>
  </si>
  <si>
    <t>Akselevich, V., &amp; Gilaie-Dotan, S. (2024). Positive and negative facial valence perception are modulated differently by eccentricity in the parafovea: Replication from KDEF to NimStim. Scientific reports, 14(1), 13757. https://doi.org/10.1038/s41598-024-63724-2</t>
  </si>
  <si>
    <t>10.1038/s41598-024-63724-2</t>
  </si>
  <si>
    <t>Replication from KDEF to NimStim</t>
  </si>
  <si>
    <t>Emotional valence, Face expression, Periphery, Replication study, Emotion perception</t>
  </si>
  <si>
    <t>An effect of eccentricity and valence on accuracy and RTs, with positive valence showing highest performance across eccentricities, measures and studies</t>
  </si>
  <si>
    <t>monitoring, low maternal depression, economic security (vs. hardship), and presence (vs.</t>
  </si>
  <si>
    <t>Calculated with SPSS</t>
  </si>
  <si>
    <t>additional_studies68_b</t>
  </si>
  <si>
    <t>Akselevich, V., &amp; Gilaie-Dotan, S. (2022). Positive and negative facial valence perception are modulated differently by eccentricity in the parafovea. Scientific reports, 12(1), 21693. https://doi.org/10.1038/s41598-022-24919-8</t>
  </si>
  <si>
    <t>10.1038/s41598-022-24919-8</t>
  </si>
  <si>
    <t>additional_studies68_c</t>
  </si>
  <si>
    <t>Akselevich, V., &amp; Gilaie-Dotan, S. (2022). Positive and negative facial valence perception are modulated differently by eccentricity in the parafovea. Scientific reports, 12(1), 21693. https://doi.org/10.1038/s41598-022-24919-9</t>
  </si>
  <si>
    <t>10.1038/s41598-022-24919-9</t>
  </si>
  <si>
    <t>absence) of father. With regard to the reciprocal effects, children’s self-esteem predicted positive</t>
  </si>
  <si>
    <t>additional_studies69_1</t>
  </si>
  <si>
    <t>additional_studies69</t>
  </si>
  <si>
    <t>Zottoli, T. M., Helm, R. K., Edkins, V. A., &amp; Bixter, M. T. (2023). Developing a model of guilty plea decision-making: Fuzzy-trace theory, gist, and categorical boundaries. Law and Human Behavior, 47(3), 403–421. https://doi.org/10.1037/lhb0000532</t>
  </si>
  <si>
    <t>10.1037/lhb0000532</t>
  </si>
  <si>
    <t>10.1037--lhb0000532.pdf</t>
  </si>
  <si>
    <t>Dolin, L., Stratton, J., &amp; Donatien, J. (2024). A Test of the Generalizability of a New Guilty Plea Decision-making Model Grounded in Fuzzy Trace Theory: A replication of Zottoli, Helm et al.(2023; Study 3). https://digitalcommons.montclair.edu/student-research-symposium/2024/poster01/21/</t>
  </si>
  <si>
    <t>https://digitalcommons.montclair.edu/student-research-symposium/2024/poster01/21/</t>
  </si>
  <si>
    <t>A replication of Zottoli, Helm et al.(2023; Study 3</t>
  </si>
  <si>
    <t>shadow of the trial, guilty pleas, plea bargaining, fuzzy-trace theory, guilty plea decision-making</t>
  </si>
  <si>
    <t>Plea rates were similar within and different between groupings that comprised plea offers of similarly meaningful distance from the potential trial sentence (Study 3).</t>
  </si>
  <si>
    <t>additional_studies7_1</t>
  </si>
  <si>
    <t>additional_studies7_a</t>
  </si>
  <si>
    <t>Claim text_r. There were no significant main effects of APOE status on cognitive outcome variables using Pillai’s trace (V = 0.06, F(4,206) = 1.51, p = 0.20).  [...] p 7.</t>
  </si>
  <si>
    <t>Honea, R. A., Vidoni, E., Harsha, A., &amp; Burns, J. M. (2009). Impact of APOE on the healthy aging brain: a voxel-based MRI and DTI study. Journal of Alzheimer's disease, 18(3), 553-564. 10.3233/JAD-2009-1163</t>
  </si>
  <si>
    <t>10.3233/JAD-2009-1163</t>
  </si>
  <si>
    <t>Lacey, C., Paterson, T., Gawryluk, J. R., &amp; Alzheimer’s Disease Neuroimaging Initiative. (2024). Impact of APOE-ε alleles on brain structure and cognitive function in healthy older adults: A VBM and DTI replication study. Plos one, 19(4), e0292576. https://doi.org/10.1371/journal.pone.0292576</t>
  </si>
  <si>
    <t>10.1371/journal.pone.0292576</t>
  </si>
  <si>
    <t>Cognitive score</t>
  </si>
  <si>
    <t>Impact of APOE-ε alleles on brain structure and cognitive function in healthy older adults</t>
  </si>
  <si>
    <t>Subjects with an APOEε4 allele had significantly decreased global cognition (global index) compared to subjects with no ε4 allele, characterized by global cognition (p = 0.047, Table 1).</t>
  </si>
  <si>
    <t>Calculated based on the data provided in Table 1 - N1 = 39, Standardized Cognitive Score SD 0.08 (0.42) and N2 =14 Standardized Cognitive Score SD −0.20 (0.53)</t>
  </si>
  <si>
    <t>p = 0.20</t>
  </si>
  <si>
    <t>additional_studies7_b</t>
  </si>
  <si>
    <t>Claim text_r.  VBM analyses revealed no significant differences in GMV between ε4+ and controls and between ε2+ and controls (p&gt;0.05, corrected via TFCE). [...] p 7.</t>
  </si>
  <si>
    <t>VBM</t>
  </si>
  <si>
    <t>ε4-carriers had a trend for lower gray matter regional volumes in the left lingual/parahippocampal gyrus,right inferior parietal cortex, left superior frontal cortex,left angular gyrus, left amygdala, and right precuneus (p &lt; 0.001, uncorrected, Table 2, Fig. 1).</t>
  </si>
  <si>
    <t xml:space="preserve">
Calculated based on the data provided in Table 2. Z-scores were used as proxies for Cohen's d. Z-scores for Decrease and Increase were averaged resulting in d 3.23.</t>
  </si>
  <si>
    <t>p &gt;0.05</t>
  </si>
  <si>
    <t>additional_studies7_c</t>
  </si>
  <si>
    <t xml:space="preserve">Claim text_r.   DTI analyses revealed no significant differences in FA or MD (p &gt;0.05, corrected via TFCE) between ε4+ and controls, similarly between ε2+ and controls. [...] p 7.
es_repr_o cannot be calculated </t>
  </si>
  <si>
    <t>DTI</t>
  </si>
  <si>
    <t>There were no regions where FA was significantly higher or lower in healthy elderly ε4 carriers versus noncarriers at p &lt; 0.05 corrected level of significance. More in Table 1</t>
  </si>
  <si>
    <t>Cannot be calculated</t>
  </si>
  <si>
    <t>additional_studies70_1</t>
  </si>
  <si>
    <t>additional_studies70</t>
  </si>
  <si>
    <t>Conceptual replication, no inferential statistics, policing as a broad field</t>
  </si>
  <si>
    <t>Ratcliffe, J. H. (2021). Policing and public health calls for service in Philadelphia. Crime Science, 10(1), 1–6. https://doi.org/10.1186/s40163-021-00141-0</t>
  </si>
  <si>
    <t>10.1186/s40163-021-00141-0</t>
  </si>
  <si>
    <t>n/a</t>
  </si>
  <si>
    <t>10.1186--s40163-021-00141-0.pdf</t>
  </si>
  <si>
    <t>Langton, S., Ruiter, S., &amp; Verlaan, T. (2023). Describing the scale and composition of calls for police service: A replication and extension using open data. Police Practice and Research, 24(5), 523-538. https://doi.org/10.1080/15614263.2022.2102494</t>
  </si>
  <si>
    <t>10.1080/15614263.2022.2102494</t>
  </si>
  <si>
    <t>"The contribution is made in replication and extension of analyses reported elsewhere in the United States."</t>
  </si>
  <si>
    <t>police, calls for service, 911, demand</t>
  </si>
  <si>
    <t xml:space="preserve">The scale and composition of emergency demand for police services </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</si>
  <si>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 </t>
  </si>
  <si>
    <t>LR, Corinna Gemmecke</t>
  </si>
  <si>
    <t>The study focuses on the replication of descriptive reports. Mainly, tables and graphs are replicated. For this reason, I have not coded effect sizes or p-values, as no test statistics were reported in any of the studies. Overall, I am not sure how meaningful coding in this table is at all, since the graphs take center stage in the replication.; The sample size describes analyzed 911 calls</t>
  </si>
  <si>
    <r>
      <rPr>
        <rFont val="Calibri"/>
        <color rgb="FF000000"/>
        <sz val="11.0"/>
        <u/>
      </rPr>
      <t xml:space="preserve">Ratcliffe, J. H. (2021). Policing and public health calls for service in Philadelphia. Crime Science, 10(1), 1–6. </t>
    </r>
    <r>
      <rPr>
        <rFont val="Calibri"/>
        <color rgb="FF1155CC"/>
        <sz val="11.0"/>
        <u/>
      </rPr>
      <t>https://doi.org/10.1186/s40163-021-00141-0</t>
    </r>
  </si>
  <si>
    <t>Philadelphia, Police, Public health, Medical, Calls for service, CAD</t>
  </si>
  <si>
    <t>"For more detail, in Fig. 1 box size indicates the time spent on each CAD code type in 2019, based on initial classifcation assigned by the dispatcher and weighted for the number of ofcers in attendance. Te crime category dominates (54.7% of time committed, see Table 1), mainly consisting of domestic incidents, people with weapons, and robberies and thefts in progress. In discussions with CAD supervisors and PPD personnel, four CAD codes were associated with a public health nexus (see footnote 4). A category for reports of people in one of the city’s rivers (144 such incidents in 2019), a ‘sick assist’ call for general assistance, a welfare check (check on well-being), and a large catch-all category for ‘hospital case’. In 2019, Philadelphia did not disaggregate mental health type calls at the CAD entry level (though CAD free-text notes not available to the author might refect this).", "As with criminal activity, and a characteristic not unique to Philadelphia (Koziarski, in press), health-related policing calls are concentrated in space and time. In Philadelphia, public health calls concentrate in the Center City (A in Fig. 2) and Kensington (B) neighborhoods of the city. Both are focal areas for the homeless populations, with the latter recently referred to as “the largest open-air heroin market on the East Coast of the United States” (Johnson et al., 2020: 3). Health-related policing calls are up to four times more frequent in the afternoon and evening compared to the early hours of the morning (Fig. 3) with on average 15 calls per hour on Friday afternoons and early evening.", "The nearly 80% of health-related calls to police that go on to result in a health-related outcome are shown in grey. Blue lines refect the 11.6% of calls that originate as a health-related CAD event but result in a crime or other policing outcome, and red lines indicate the 8.8% of events that originate as non-health related, but on investigation by police result in a health-type disposition."</t>
  </si>
  <si>
    <t>additional_studies71_1</t>
  </si>
  <si>
    <t>additional_studies71</t>
  </si>
  <si>
    <t>Lum, C., Koper, C. S., &amp; Wu, X. (2021). Can we really defund the police? A nine-agency study of police response to calls for service. Police Quarterly, July. https://doi.org/10.1177/2F10986111211035002</t>
  </si>
  <si>
    <t>10.1177/2F10986111211035002</t>
  </si>
  <si>
    <t>10.1177--2f10986111211035002.pdf</t>
  </si>
  <si>
    <t>“[...]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</si>
  <si>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p.267-269</t>
  </si>
  <si>
    <t>Calls for service, police reform, police response, defund, George Floyd</t>
  </si>
  <si>
    <t xml:space="preserve">"A large proportion of calls that police agencies are receiving from citizens do not seem to be for serious crimes or obvious emergencies. Rather, the most common types of calls to which officers were dispatched, on average, were traffic-related events (averaging 16.8% of all calls across the nine agencies), disorders (averaging 16.2%), suspicions (averaging 12.8%),12 follow-ups and service requests (averaging 11.2%), and property crimes (averaging 10.2%). [...] Disorders appear in the top three call categories for all nine agencies, while traffic-related calls appear in the top three call categories for seven of the nine agencies. Although some of these seemingly minor calls for service may escalate into—or mask—serious events, the vast majority of calls for police service are for events that are likely not immediately violent or life-threatening emergencies (a finding confirmed by our later analysis of the outcomes of these calls). Nonetheless, it is important to point out that community members are requesting the police for many minor and non-serious concerns because no other agency exists that they could call (or that a calltaker could divert them towards). [...] Calls related to mental health concerns were only a very small proportion of calls dispatched to the police in each of these nine agencies (approximately 1.3% of calls on average across these nine agencies, and no more than 4% for any specific agency). This does not support the common view that police agencies are handling large amounts of calls for people in mental distress, and therefore provides the first indication that significant defunding of the police would likely not be achieved even if another agency handled these calls.", "As Table 3 shows,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These findings were expected; all three types of calls likely require the response of specialized units (including medical responses), written reports, specific procedural or investigative requirements, the transport of individuals, and perhaps even arrests. Similarly, domestic-related and property crimes also take up more time because of these factors." </t>
  </si>
  <si>
    <t>11-13</t>
  </si>
  <si>
    <t>p. 12-14</t>
  </si>
  <si>
    <t>additional_studies72_1</t>
  </si>
  <si>
    <t>additional_studies72</t>
  </si>
  <si>
    <t>Satisfaction effect</t>
  </si>
  <si>
    <t>Laniyonu, A. (2021). Phantom pains: The effect of police killings of black Americans on black British attitudes. British Journal of Political Science, 52(4), 1–17. https://doi.org/10.1017/S0007123421000557</t>
  </si>
  <si>
    <t>10.1017/S0007123421000557</t>
  </si>
  <si>
    <t>10.1017--s0007123421000557.pdf</t>
  </si>
  <si>
    <t>Nivette, A., Nägel, C., &amp; Gilbert, E. (2023). Examining the effects of the killing of George Floyd by police in the United States on attitudes of Black Londoners: a replication. Police Practice and Research, 24(5), 575–596. https://doi.org/10.1080/15614263.2023.2185241</t>
  </si>
  <si>
    <t>10.1080/15614263.2023.2185241</t>
  </si>
  <si>
    <t>“A recent study [...] found that Eric Garner’s death in NYC lead to more negative attitudes towards the police in London among Black residents compared to White and Asian residents. The current study aimed to replicate this transnational effect by assessing the impact of George Floyd’s death on Londoners’ perceptions of police.”</t>
  </si>
  <si>
    <t>protest policing; attitudes towards police; George Floyd; ethnicity; replication</t>
  </si>
  <si>
    <t>The effect of police killings on attitudes towards the police - Satisfaction</t>
  </si>
  <si>
    <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</si>
  <si>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p.1661</t>
  </si>
  <si>
    <t>−3.54</t>
  </si>
  <si>
    <t>p. 1663</t>
  </si>
  <si>
    <t>p. 4 - Supplemental material</t>
  </si>
  <si>
    <t>https://osf.io/tjr7a/</t>
  </si>
  <si>
    <t>RS</t>
  </si>
  <si>
    <t>Fairness effect</t>
  </si>
  <si>
    <t>The effect of police killings on attitudes towards the police - Perceptions of fairness</t>
  </si>
  <si>
    <t>" [...] overall perception of police fairness fell by 2.44 [...]"</t>
  </si>
  <si>
    <t>−2.44</t>
  </si>
  <si>
    <t>Engagement effect</t>
  </si>
  <si>
    <t>The effect of police killings on attitudes towards the police - Community engagement</t>
  </si>
  <si>
    <t>"[...] and perceptions of community engagement fell by 3.16."</t>
  </si>
  <si>
    <t>−3.16</t>
  </si>
  <si>
    <t>I am not sure which  statistical test was conducted in the replication study. Therefore, I report all information from the table. The manuscripts states that it was a pre- post test.; The original study reports the results of a regression in a table and I report all values of the table (related to the regression).</t>
  </si>
  <si>
    <t>attitude change after police killings</t>
  </si>
  <si>
    <t>Protest policing, attitudes towards police, George Floyd, ethnicity, replication</t>
  </si>
  <si>
    <t xml:space="preserve">police killings in other contexts play a role in shaping attitudes towards local police </t>
  </si>
  <si>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following the killing of Eric Garner in New York. I estimate that overall satisfaction with the police fell by a value of 3.54 following the police killing of Eric Garner",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</si>
  <si>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p. 11, p. 12, p. 13</t>
  </si>
  <si>
    <t>Regression discontinuity estimator = -3.54, robust SE = 1.44, robust CI (-6.37, -0.7)</t>
  </si>
  <si>
    <t>Estimate = -0.31, robust CI = (-1.11, 0.49), robust SE = 0.41</t>
  </si>
  <si>
    <t>Appendix B1</t>
  </si>
  <si>
    <t>https://doi.org/10.17605/OSF.IO/DT24J</t>
  </si>
  <si>
    <t>Teshome</t>
  </si>
  <si>
    <t>additional_studies74_1</t>
  </si>
  <si>
    <t>additional_studies74_a</t>
  </si>
  <si>
    <t>LR, Teshome</t>
  </si>
  <si>
    <t>I found it difficult which to code as various model specifications are fitted. Anyway, coefficient of physical game is considered in this row.</t>
  </si>
  <si>
    <t>Bloomfield, J., Balsa, A., &amp; Cid, A. (2023). Using behavioral insights in early childhood interventions: The effects of Crianza Positiva e-messaging program on parental investment. Review of the Economics of the Household, 21, 95–130. https://doi.org/10.1007/s11150-021-09593-4</t>
  </si>
  <si>
    <t>10.1007/s11150-021-09593-4</t>
  </si>
  <si>
    <t>10.1007--s11150-021-09593-4.pdf</t>
  </si>
  <si>
    <t>Balsa, A., Bloomfield, J. &amp; Cid, A. The Conceptual Replication of Crianza Positiva E-Messaging Program During the COVID-19 Pandemic: Too Much or Too Little Information?. J Fam Econ Iss (2024). https://doi.org/10.1007/s10834-024-09975-7</t>
  </si>
  <si>
    <t>10.1007/s10834-024-09975-7</t>
  </si>
  <si>
    <t>Evolutionary Psychology</t>
  </si>
  <si>
    <t>positive parenting intervention on frequency of parental involvement in physical games</t>
  </si>
  <si>
    <t>parenting, child development, parenting, stimulation, evaluation studies</t>
  </si>
  <si>
    <t>Crianza Positiva e-messaging program has incremental effect on the physical games.</t>
  </si>
  <si>
    <t>We find that the messaging intervention increases the frequency of parental involvement in physical games with the child in a magnitude of 0.27 standard deviations (I considered values reported in Column (3) as it's prefered by authors).</t>
  </si>
  <si>
    <t>https://doi.org/10.1257/rct.3585-2.0</t>
  </si>
  <si>
    <t>not reported</t>
  </si>
  <si>
    <t>please put NA in "prereg_r" if no prereg is mentioned</t>
  </si>
  <si>
    <t>additional_studies74_b</t>
  </si>
  <si>
    <t>Coefficient of didactive activities is considered in this row.</t>
  </si>
  <si>
    <t>positive parenting intervention on frequency of parental involvement in didactic activities</t>
  </si>
  <si>
    <t>Crianza Positiva e-messaging program has incremental effect on the didactive activities.</t>
  </si>
  <si>
    <t>We also find that the intervention increases the average frequency of parental engagement in didactic activities with the child by 0.29 standard deviations.</t>
  </si>
  <si>
    <t>additional_studies74_c</t>
  </si>
  <si>
    <t>Coefficient of socialization activities is considered in this row.</t>
  </si>
  <si>
    <t>Crianza Positiva e-messaging program has incremental effect on the social activities.</t>
  </si>
  <si>
    <t>The ITT effect on the frequency of parental involvement in social activities with the child has a magnitude of 0.27 standard deviations.</t>
  </si>
  <si>
    <t>Adira</t>
  </si>
  <si>
    <t>additional_studies74_1_a</t>
  </si>
  <si>
    <t>additional_studies74</t>
  </si>
  <si>
    <t>LR, AD</t>
  </si>
  <si>
    <t>This is a randomized control trial study which reports data and results differently. Sample was measured as families and not number of individuals involved in the intervention. Effects reported in standard deviations for the Bloomfield paper and standard errors in the Balsa paper. There were no significant effects in the Balsa paper.</t>
  </si>
  <si>
    <t>title, "conceptual replication"</t>
  </si>
  <si>
    <t xml:space="preserve">positive parenting behaviors </t>
  </si>
  <si>
    <t>Parenting, Early Childhood, Information and Communication Technology, Behavioural Economics, Child Development</t>
  </si>
  <si>
    <t>parental time invesment in physical games improves intention to treat</t>
  </si>
  <si>
    <t>We find that the messaging intervention increases the
frequency of parental involvement in physical games with the child in a magnitude of
0.27 standard deviations. This estimate is significant at a level of 5% when considering
unadjusted p values, clustering, or when considering p values adjusted for MHT, and at
the 10% level when conducting randomization inference.
suggesting that inattention and cognitive fatigue could be behind sub-optimal par-
enting decisions (Cooklin et al., 2012). We identified a similar negative relationship
between stress and parental involvement in physical games.</t>
  </si>
  <si>
    <t>Orindary least squares regression, p.17-18</t>
  </si>
  <si>
    <t xml:space="preserve">Reduced form model regression, p.6 </t>
  </si>
  <si>
    <t>additional_studies74_1_b</t>
  </si>
  <si>
    <t>Bloomfield, J., Balsa, A., &amp; Cid, A. (2023). Using behavioral insights in early childhood interventions: The effects of Crianza Positiva e-messaging program on parental investment. Review of the Economics of the Household, 21, 95–130. https://doi.org/10.1007/s11150-021-09593-5</t>
  </si>
  <si>
    <t>10.1007/s11150-021-09593-5</t>
  </si>
  <si>
    <t>Balsa, A., Bloomfield, J. &amp; Cid, A. The Conceptual Replication of Crianza Positiva E-Messaging Program During the COVID-19 Pandemic: Too Much or Too Little Information?. J Fam Econ Iss (2024). https://doi.org/10.1007/s10834-024-09975-8</t>
  </si>
  <si>
    <t>parental time invesment in didactic activites improves intention to treat</t>
  </si>
  <si>
    <t>We also find that the
intervention increases the average frequency of parental engagement in didactic activities
with the child by 0.29 standard deviations.</t>
  </si>
  <si>
    <t>Orindary least squares regression, p.17-19</t>
  </si>
  <si>
    <t>additional_studies74_1_c</t>
  </si>
  <si>
    <r>
      <rPr>
        <rFont val="Calibri"/>
        <sz val="11.0"/>
      </rPr>
      <t xml:space="preserve">Bloomfield, J., Balsa, A., &amp; Cid, A. (2023). Using behavioral insights in early childhood interventions: The effects of Crianza Positiva e-messaging program on parental investment. Review of the Economics of the Household, 21, 95–130. </t>
    </r>
    <r>
      <rPr>
        <rFont val="Calibri"/>
        <color rgb="FF1155CC"/>
        <sz val="11.0"/>
        <u/>
      </rPr>
      <t>https://doi.org/10.1007/s11150-021-09593-6</t>
    </r>
  </si>
  <si>
    <t>10.1007/s11150-021-09593-6</t>
  </si>
  <si>
    <r>
      <rPr>
        <rFont val="Calibri"/>
        <sz val="11.0"/>
      </rPr>
      <t xml:space="preserve">Balsa, A., Bloomfield, J. &amp; Cid, A. The Conceptual Replication of Crianza Positiva E-Messaging Program During the COVID-19 Pandemic: Too Much or Too Little Information?. J Fam Econ Iss (2024). </t>
    </r>
    <r>
      <rPr>
        <rFont val="Calibri"/>
        <color rgb="FF1155CC"/>
        <sz val="11.0"/>
        <u/>
      </rPr>
      <t>https://doi.org/10.1007/s10834-024-09975-9</t>
    </r>
  </si>
  <si>
    <t>parental time invesment in social activites improves intention to treat</t>
  </si>
  <si>
    <t>The ITT effect on the fre-
quency of parental involvement in social activities with the child has a magnitude of
0.27 standard deviations and is significant at the 5% level, but loses significance in the
absence of controls (Column (1)).</t>
  </si>
  <si>
    <t>Orindary least squares regression, p.17-20</t>
  </si>
  <si>
    <t>additional_studies74_1_d</t>
  </si>
  <si>
    <t>Bloomfield, J., Balsa, A., &amp; Cid, A. (2023). Using behavioral insights in early childhood interventions: The effects of Crianza Positiva e-messaging program on parental investment. Review of the Economics of the Household, 21, 95–130. https://doi.org/10.1007/s11150-021-09593-7</t>
  </si>
  <si>
    <t>10.1007/s11150-021-09593-7</t>
  </si>
  <si>
    <t>Balsa, A., Bloomfield, J. &amp; Cid, A. The Conceptual Replication of Crianza Positiva E-Messaging Program During the COVID-19 Pandemic: Too Much or Too Little Information?. J Fam Econ Iss (2024). https://doi.org/10.1007/s10834-024-09975-10</t>
  </si>
  <si>
    <t>higher scores on positive parenting scales is correlated with intention to treat</t>
  </si>
  <si>
    <t>Regarding the quality of parental investment, we find a positive effect of 0.31 stan-
dard deviations on the index of positive parenting when considering unadjusted
p values.</t>
  </si>
  <si>
    <t>Orindary least squares regression, p.17-21</t>
  </si>
  <si>
    <t>additional_studies74_1_e</t>
  </si>
  <si>
    <t>Bloomfield, J., Balsa, A., &amp; Cid, A. (2023). Using behavioral insights in early childhood interventions: The effects of Crianza Positiva e-messaging program on parental investment. Review of the Economics of the Household, 21, 95–130. https://doi.org/10.1007/s11150-021-09593-8</t>
  </si>
  <si>
    <t>10.1007/s11150-021-09593-8</t>
  </si>
  <si>
    <t>Balsa, A., Bloomfield, J. &amp; Cid, A. The Conceptual Replication of Crianza Positiva E-Messaging Program During the COVID-19 Pandemic: Too Much or Too Little Information?. J Fam Econ Iss (2024). https://doi.org/10.1007/s10834-024-09975-11</t>
  </si>
  <si>
    <t>parental stress index is correlated with intention to treat</t>
  </si>
  <si>
    <t>We find no evidence
of an effect of the intervention on parental stress, discount rate, or parental knowledge.</t>
  </si>
  <si>
    <t>Orindary least squares regression, p.17-22</t>
  </si>
  <si>
    <t>additional_studies74_1_f</t>
  </si>
  <si>
    <t>original sample size was visible on table 5, p. 18</t>
  </si>
  <si>
    <t>Bloomfield, J., Balsa, A., &amp; Cid, A. (2023). Using behavioral insights in early childhood interventions: The effects of Crianza Positiva e-messaging program on parental investment. Review of the Economics of the Household, 21, 95–130. https://doi.org/10.1007/s11150-021-09593-9</t>
  </si>
  <si>
    <t>10.1007/s11150-021-09593-9</t>
  </si>
  <si>
    <t>Balsa, A., Bloomfield, J. &amp; Cid, A. The Conceptual Replication of Crianza Positiva E-Messaging Program During the COVID-19 Pandemic: Too Much or Too Little Information?. J Fam Econ Iss (2024). https://doi.org/10.1007/s10834-024-09975-12</t>
  </si>
  <si>
    <t>main effect, parental involvement in physical games and intention to treat</t>
  </si>
  <si>
    <t>In particular,
families facing a larger number of negative shocks are more likely to implement
routines, are less likely to use violent discipline, and have a stronger sense of parental
competence at follow-up.</t>
  </si>
  <si>
    <t>Orindary least squares regression, p.17-23</t>
  </si>
  <si>
    <t>additional_studies74_1_g</t>
  </si>
  <si>
    <t>Bloomfield, J., Balsa, A., &amp; Cid, A. (2023). Using behavioral insights in early childhood interventions: The effects of Crianza Positiva e-messaging program on parental investment. Review of the Economics of the Household, 21, 95–130. https://doi.org/10.1007/s11150-021-09593-10</t>
  </si>
  <si>
    <t>10.1007/s11150-021-09593-10</t>
  </si>
  <si>
    <t>Balsa, A., Bloomfield, J. &amp; Cid, A. The Conceptual Replication of Crianza Positiva E-Messaging Program During the COVID-19 Pandemic: Too Much or Too Little Information?. J Fam Econ Iss (2024). https://doi.org/10.1007/s10834-024-09975-13</t>
  </si>
  <si>
    <t xml:space="preserve">interaction effect, parental involvement in physical games and intention to treat * negative shocks </t>
  </si>
  <si>
    <t>Orindary least squares regression, p.17-24</t>
  </si>
  <si>
    <t>additional_studies74_1_h</t>
  </si>
  <si>
    <t>Bloomfield, J., Balsa, A., &amp; Cid, A. (2023). Using behavioral insights in early childhood interventions: The effects of Crianza Positiva e-messaging program on parental investment. Review of the Economics of the Household, 21, 95–130. https://doi.org/10.1007/s11150-021-09593-11</t>
  </si>
  <si>
    <t>10.1007/s11150-021-09593-11</t>
  </si>
  <si>
    <t>Balsa, A., Bloomfield, J. &amp; Cid, A. The Conceptual Replication of Crianza Positiva E-Messaging Program During the COVID-19 Pandemic: Too Much or Too Little Information?. J Fam Econ Iss (2024). https://doi.org/10.1007/s10834-024-09975-14</t>
  </si>
  <si>
    <t>main effect, parental involvment in didactic activities and intention to treat</t>
  </si>
  <si>
    <t>Orindary least squares regression, p.17-25</t>
  </si>
  <si>
    <t>additional_studies74_1_i</t>
  </si>
  <si>
    <t>Bloomfield, J., Balsa, A., &amp; Cid, A. (2023). Using behavioral insights in early childhood interventions: The effects of Crianza Positiva e-messaging program on parental investment. Review of the Economics of the Household, 21, 95–130. https://doi.org/10.1007/s11150-021-09593-12</t>
  </si>
  <si>
    <t>10.1007/s11150-021-09593-12</t>
  </si>
  <si>
    <t>Balsa, A., Bloomfield, J. &amp; Cid, A. The Conceptual Replication of Crianza Positiva E-Messaging Program During the COVID-19 Pandemic: Too Much or Too Little Information?. J Fam Econ Iss (2024). https://doi.org/10.1007/s10834-024-09975-15</t>
  </si>
  <si>
    <t xml:space="preserve">interaction effect, parental involvement in didactic activities and intention to treat * negative shocks </t>
  </si>
  <si>
    <t>Orindary least squares regression, p.17-26</t>
  </si>
  <si>
    <t>additional_studies74_1_j</t>
  </si>
  <si>
    <t>Bloomfield, J., Balsa, A., &amp; Cid, A. (2023). Using behavioral insights in early childhood interventions: The effects of Crianza Positiva e-messaging program on parental investment. Review of the Economics of the Household, 21, 95–130. https://doi.org/10.1007/s11150-021-09593-13</t>
  </si>
  <si>
    <t>10.1007/s11150-021-09593-13</t>
  </si>
  <si>
    <t>Balsa, A., Bloomfield, J. &amp; Cid, A. The Conceptual Replication of Crianza Positiva E-Messaging Program During the COVID-19 Pandemic: Too Much or Too Little Information?. J Fam Econ Iss (2024). https://doi.org/10.1007/s10834-024-09975-16</t>
  </si>
  <si>
    <t>main effect, parental involvment in social activities and intention to treat</t>
  </si>
  <si>
    <t>Orindary least squares regression, p.17-27</t>
  </si>
  <si>
    <t>additional_studies74_1_k</t>
  </si>
  <si>
    <t>interaction effect,  parental involvment in social activities and intention to treat*negative shocks</t>
  </si>
  <si>
    <t>additional_studies74_1_l</t>
  </si>
  <si>
    <t>main effect, parental knowledge and intention to treat</t>
  </si>
  <si>
    <t>additional_studies74_1_m</t>
  </si>
  <si>
    <t>interaction effect, parental knowledge and intention to treat*negative shock</t>
  </si>
  <si>
    <t>additional_studies74_1_n</t>
  </si>
  <si>
    <t>main effect parental stress index and intention to treat</t>
  </si>
  <si>
    <t>additional_studies74_1_o</t>
  </si>
  <si>
    <t>interaction effect, parental stress index and intention to treat*negative shock</t>
  </si>
  <si>
    <t>additional_studies75_1</t>
  </si>
  <si>
    <t>additional_studies75</t>
  </si>
  <si>
    <t>No formal statistical test is conducted to test the hypothesis formulated both in the original and replication study.</t>
  </si>
  <si>
    <t>Shelton-Strong, S., &amp; Mynard, J. (2018). Affective factors in self-access learning. Relay Journal, 1(2), 275–292. https://doi.org/10.37237/relay/010204</t>
  </si>
  <si>
    <t>10.37237/relay/010204</t>
  </si>
  <si>
    <t>10.37237--relay--010204.pdf</t>
  </si>
  <si>
    <t>Menegale, M., &amp; Spricigo, L. (2024). Enhancing L2 confidence through learning diaries: A replication study on Italian lower-secondary school students. Studies in Self-Access Learning Journal, 15(2), 187–212. https://doi.org/10.37237/150205</t>
  </si>
  <si>
    <t>10.37237/150205</t>
  </si>
  <si>
    <t>10.37237--150205.pdf</t>
  </si>
  <si>
    <t>Although R is a replication, no real quantitative analysis have done. Both of them are kind of overview and descriptive only.</t>
  </si>
  <si>
    <t xml:space="preserve">The original study has been replicated multiple time, Spricigo, 2023 before the Menegale, 2024 paper. No effect sizes available to report since both studies used qualiative analyses. Both these studies have 3 RQs that are the same but it is hard to code the results based on the organization of this document. </t>
  </si>
  <si>
    <t>Menegale, M., &amp; Spricigo, L. (2024). Enhancing L2 confidence through learning diaries: A
replication study on Italian lower-secondary school students. Studies in Self-Access Learning
Journal, 15(2), 187–212. https://doi.org/10.37237/150205</t>
  </si>
  <si>
    <t>title, "replication"</t>
  </si>
  <si>
    <t>self-directed learning skills</t>
  </si>
  <si>
    <t>Self-directed Learning, Language Learning, Emotions, Affect, Positive Psychology Interventions</t>
  </si>
  <si>
    <t xml:space="preserve">Keeping a diary improves' students motivation for learning </t>
  </si>
  <si>
    <t>"In this paper, we have considered ways in which to embed a focus on affect into a
self-directed learning course, and the implications this may have for language learners. We
have given some examples of tools that could be used for awareness-raising and strategy-
building, and we have talked about the role of advising in this process. From the examples of
student work and reflections, it would appear that the potential for raising awareness through
an explicit focus on affective factors, such as confidence, can be helpful for learners as they
learn to monitor their emotions, and engage with their contribution to their own learning
processes. One final point to make is that although we have found that tools can be very
useful, it is the combination of the tools, opportunities for reflection, and the dialogue that
make these activities particularly powerful, enabling a shift in metacognitive awareness and
self-discovery, with this being further developed through face-to-face or written advising."</t>
  </si>
  <si>
    <t>15,16</t>
  </si>
  <si>
    <t>Diary entries and semi-structured interviews, Qualitative content analysis</t>
  </si>
  <si>
    <t>Diary entries, semi-structured interviews, qualitative content analysis, p. 192-194</t>
  </si>
  <si>
    <t>additional_studies77_1</t>
  </si>
  <si>
    <t>additional_studies77</t>
  </si>
  <si>
    <r>
      <rPr>
        <rFont val="Calibri"/>
        <color rgb="FF000000"/>
        <sz val="11.0"/>
      </rPr>
      <t xml:space="preserve">Collins, H. K., Hagerty, S. F., Quoidbach, J., Norton, M. I., &amp; Brooks, A. W. (2022). Relational diversity in social portfolios predicts well-being. Proceedings of the National Academy of Sciences, 119(43), e2120668119. </t>
    </r>
    <r>
      <rPr>
        <rFont val="Calibri"/>
        <color rgb="FF1155CC"/>
        <sz val="11.0"/>
        <u/>
      </rPr>
      <t>https://doi.org/10.1073/pnas.2120668119</t>
    </r>
  </si>
  <si>
    <t>10.1073/pnas.2120668119</t>
  </si>
  <si>
    <t>10.1073--pnas.212066811.pdf</t>
  </si>
  <si>
    <t>Metskas, A. K. (2024, June 26). Replication of a study from “Relational diversity in social portfolios predicts well-being”  (PNAS | Collins et al. 2022). https://doi.org/10.31234/osf.io/jfmsz</t>
  </si>
  <si>
    <t>10.31234/osf.io/jfmsz</t>
  </si>
  <si>
    <t>social porfolio diversity</t>
  </si>
  <si>
    <t>well-being, relationships, diversity, conversation</t>
  </si>
  <si>
    <t>Variety and amount of interpersonal interactions improves well-being</t>
  </si>
  <si>
    <t>In support of our preregistered hypothesis, respondents’ in­person social portfolio diversity predicted higher well­being over and above this relationship (β = 0.13, b = 0.54, 95% CI [0.15, 0.92], P = 0.007, n = 576).</t>
  </si>
  <si>
    <t>https://aspredicted.org/blind.php?x=6w6gu4</t>
  </si>
  <si>
    <t>https://researchbox.org/1499</t>
  </si>
  <si>
    <t>Well done! :-)</t>
  </si>
  <si>
    <t>Effect from original study: b = 0.54, 95% CI [0.15, 0.92]; Effect from replication study: ,b=0.410,95%CI[0.085,0.735]</t>
  </si>
  <si>
    <r>
      <rPr>
        <rFont val="Calibri"/>
        <color rgb="FF000000"/>
        <sz val="11.0"/>
      </rPr>
      <t xml:space="preserve">Collins, H. K., Hagerty, S. F., Quoidbach, J., Norton, M. I., &amp; Brooks, A. W. (2022). Relational diversity in social portfolios predicts well-being. Proceedings of the National Academy of Sciences, 119(43), e2120668119. </t>
    </r>
    <r>
      <rPr>
        <rFont val="Calibri"/>
        <color rgb="FF1155CC"/>
        <sz val="11.0"/>
        <u/>
      </rPr>
      <t>https://doi.org/10.1073/pnas.2120668119</t>
    </r>
  </si>
  <si>
    <t>additional_studies78_1</t>
  </si>
  <si>
    <t>additional_studies78</t>
  </si>
  <si>
    <t>Shah, A.K., LaForest, M. Knowledge about others reduces one’s own sense of anonymity. Nature 603, 297–301 (2022). https://doi.org/10.1038/s41586-022-04452-3</t>
  </si>
  <si>
    <t>10.1038/s41586-022-04452-3</t>
  </si>
  <si>
    <t>2A</t>
  </si>
  <si>
    <t>10.1038--s41586-022-04452-3.pdf</t>
  </si>
  <si>
    <t>Metskas, A. K. (2024, June 26). Replication of a study from “Knowledge about others reduces one’s own sense of anonymity”  (Nature | Shah &amp; LaForest 2022). https://doi.org/10.31234/osf.io/xjaty</t>
  </si>
  <si>
    <t>10.31234/osf.io/xjaty</t>
  </si>
  <si>
    <t xml:space="preserve">perception of self and others </t>
  </si>
  <si>
    <t>social, anonymity</t>
  </si>
  <si>
    <t>Our sense of anonymity depends not only on what people know about us but also on what we know about them.</t>
  </si>
  <si>
    <t>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</si>
  <si>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https://aspredicted.org/PHY_PZZ</t>
  </si>
  <si>
    <t>additional_studies78_1_a</t>
  </si>
  <si>
    <t>description of effect taken from table 2 in Metsakas paper because of clarity, p. 5</t>
  </si>
  <si>
    <t>Social ties, Self-perception, Self-concept, Social interactions</t>
  </si>
  <si>
    <t>H1: Participants in the information
condition will report a significantly
higher percentage chance of lie
detection by their ‘partner’ than
participants in the no information
condition.(entire sample)</t>
  </si>
  <si>
    <t>1.91–5.99). In this paradigm, participants in the information
condition were more likely to believe that they were connected to another
person (58.3% (information condition) versus 40.6% (no information
condition), X2
= 14.53, P &lt; 0.001, Cramer’s V = 0.18). The</t>
  </si>
  <si>
    <t>Independent samples t-test, Welch's t-test, p. 3</t>
  </si>
  <si>
    <t>Independent samples/ Welch's t-test</t>
  </si>
  <si>
    <t>es_repr_r codes the page, the es_value_r was found on</t>
  </si>
  <si>
    <t>additional_studies78_1_b</t>
  </si>
  <si>
    <t>H2: Participants in the information
condition will report significantly
higher responses to how well they
believe they know their ‘partner’.
(entire sample)</t>
  </si>
  <si>
    <t>Participants were not asked how well they knew
their partner or the suspicion question. Again, when participants had
information about their partners, they thought that their partners
would be better at detecting their lies (F(2, 549) = 4.98, P = 0.007,
ηp
2
= 0.02).</t>
  </si>
  <si>
    <t>independent samples t-test, Student's t-test, p. 3</t>
  </si>
  <si>
    <t xml:space="preserve">Independent samples/ Student's t-test </t>
  </si>
  <si>
    <t>additional_studies78_1_c</t>
  </si>
  <si>
    <t xml:space="preserve">description of effect taken from table 2 in Metsakas paper because of clarity, p. 5; </t>
  </si>
  <si>
    <t>Knowledge of the ‘partner’
mediates the relationship between
the condition participants were
assigned to and their assessment
of the percentage chance that their
‘partner’ will detect their lie. (entire
sample)</t>
  </si>
  <si>
    <t>mediation analysis, p.3</t>
  </si>
  <si>
    <t>mediation analysis</t>
  </si>
  <si>
    <t>NOT REPORTED</t>
  </si>
  <si>
    <t>additional_studies78_1_d</t>
  </si>
  <si>
    <t>description of effect taken from table 2 in Metsakas paper because of clarity, p. 6; original effect sizes were calculated by replication author</t>
  </si>
  <si>
    <t>Participants in the information
condition will report a significantly
higher percentage chance of lie
detection by their ‘partner’ than
participants in the no information
condition.(manipulation check
passed only)</t>
  </si>
  <si>
    <t>Moreover, participants in the information condition felt as if they
knew their partner better (information: M = 4.55, 95% CI = 4.39–4.72
versus no information: M = 3.89, 95% CI = 3.70–4.08), unequal variances
t-test t(979.85) = 5.23, P &lt; 0.001, d = 0.33).</t>
  </si>
  <si>
    <t>additional_studies78_1_e</t>
  </si>
  <si>
    <t>H5: Participants in the information
condition will report significantly
higher responses to how well they
believe they know their ‘partner’.
(manipulation check passed only)</t>
  </si>
  <si>
    <t>In addition, participants
in the information condition felt as if their partner knew them bet-
ter (information: M = 4.32, 95% CI = 4.15–4.49 versus no information:
M = 3.94, 95% CI = 3.76–4.13), unequal variances t-test t(994.87) = 2.96,
P = 0.003, d = 0.19).</t>
  </si>
  <si>
    <t>independent samples t-test, Welch's t-test, p. 3</t>
  </si>
  <si>
    <t>additional_studies78_1_f</t>
  </si>
  <si>
    <t>description of effect taken from table 2 in Metsakas paper because of clarity, p. 6</t>
  </si>
  <si>
    <t>H6: Knowledge of the ‘partner’
mediates the relationship between
the condition participants were
assigned to and their assessment
of the percentage chance that their
‘partner’ will detect their lie.
(manipulation check passed only)</t>
  </si>
  <si>
    <t>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</si>
  <si>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NOT REPORTED </t>
  </si>
  <si>
    <t>additional_studies8_1</t>
  </si>
  <si>
    <t>additional_studies8</t>
  </si>
  <si>
    <t>excluded</t>
  </si>
  <si>
    <t>Saini, M., Pruett, M. K., Alschech, J., &amp; Sushchyk, A. R. (2019). A pilot study to assess coparenting across family structures (CoPAFS). Journal of Child and Family Studies, 28, 1392-1401. https://doi.org/10.1007/s10826-019-01370-3</t>
  </si>
  <si>
    <t>10.1007/s10826-019-01370-3</t>
  </si>
  <si>
    <t>10.1007--s10826-019-01370-3.pdf</t>
  </si>
  <si>
    <t>Pruett, M. K., Wang, X., Zhu, T., Alschech, J., &amp; Saini, M. (2024). The Co-Parenting Across Family Structures Scale: Replication for Mandarin parents. Family process, 10.1111/famp.12997. Advance online publication. https://doi.org/10.1111/famp.12997</t>
  </si>
  <si>
    <t>10.1111/famp.12997</t>
  </si>
  <si>
    <t>There is no specified original study in the "replication". The "replication" in this table investigates psychometric properties of the short form scale of CoPAFS, the "original" in this table investigates these properties in the full scale (in a different culture).</t>
  </si>
  <si>
    <t>Coparenting</t>
  </si>
  <si>
    <t>Sophie (to do)</t>
  </si>
  <si>
    <t>Effect size was calculated. Authors state that all domains were significant but do not report exact p-values.</t>
  </si>
  <si>
    <t>Co-Parenting Across Family Structures Effect</t>
  </si>
  <si>
    <t>co-parenting, cross-cultural, family structures, measurement,
parenting</t>
  </si>
  <si>
    <t>Difference in co-parenting quality between groups</t>
  </si>
  <si>
    <t>additional_studies80_1</t>
  </si>
  <si>
    <t>additional_studies80</t>
  </si>
  <si>
    <t>No formal statistical test is conducted to test the central hypothesis formulated both in the original and replication study. Their conclusion are simply based on the average mean.</t>
  </si>
  <si>
    <t>Seward, R., &amp; Redner, R. (2023). Step it UP! game increases steps of adults with disabilities. Journal of Applied Behavior Analysis, 56(1), 231–240. https://doi.org/10.1002/jaba.968</t>
  </si>
  <si>
    <t>10.1002/jaba.968</t>
  </si>
  <si>
    <t>10.1002--jaba.968.pdf</t>
  </si>
  <si>
    <t>Seward, R., &amp; Redner, R. (2024). A replication of extended implementation and social interaction during the Step it UP! Game for adults with disabilities. Journal of Applied Behavior Analysis, 1–16. https://doi.org/10.1002/jaba.1098</t>
  </si>
  <si>
    <t>10.1002/jaba.1098</t>
  </si>
  <si>
    <t>physical activity</t>
  </si>
  <si>
    <t>Step it UP! Game increases steps of adults with disabilities</t>
  </si>
  <si>
    <t>Mean step count increased from 24.35 steps per minute during baseline to 54.76 steps per minute during the intervention.</t>
  </si>
  <si>
    <t xml:space="preserve">The study used means to compare baseline and intervention step count. </t>
  </si>
  <si>
    <t>physical activity, step count</t>
  </si>
  <si>
    <t>Good Behavior Game, Physical Activity, Public Health, Step it UP! Game</t>
  </si>
  <si>
    <t>"Overall, the results of the current study are consistent with previous research that used the Step it
UP! Game to increase step counts"</t>
  </si>
  <si>
    <t>Mean, p.6</t>
  </si>
  <si>
    <t>mean, p. 3</t>
  </si>
  <si>
    <t>This was an internal replication (same authors, same study) but you coded it as "conceptual".</t>
  </si>
  <si>
    <t>additional_studies82_1</t>
  </si>
  <si>
    <t>additional_studies82</t>
  </si>
  <si>
    <t>Honestly, it's very confusing which to code as different model specifications are fitted &amp; I need help from coordinators. For now, I coded the estimates reported in last column of Table 1.</t>
  </si>
  <si>
    <t>Barceló, J. (2021). “The Long-term Effects of War Exposure on Civic Engagement.” Proceedings of the National Academy of Sciences, 118 (6) (February): e2015539118 https://doi.org/10.1073/pnas.2015539118</t>
  </si>
  <si>
    <t>10.1073/pnas.2 015539118</t>
  </si>
  <si>
    <t>10.1073--pnas.2 015539118.pdf</t>
  </si>
  <si>
    <t>Malesky, E. J., &amp; Nguyen, T. A. (2024). Historical Communist Party Strength and Modern Party Loyalty. A Replication Study of Barceló (PNAS, 2021). Journal of Comments and Replications in Economics (JCRE), 3(2024-5), 1-27. https://doi.org/10.18718/81781.35%0A</t>
  </si>
  <si>
    <t>10.18718/81781.35%0A</t>
  </si>
  <si>
    <t>10.18718--81781.35%0a.pdf</t>
  </si>
  <si>
    <t>reproduction, not replication</t>
  </si>
  <si>
    <t>war exposure and civic engagement</t>
  </si>
  <si>
    <t>Conflict, Civic Engagement, Vietnam War, Historical Legacies</t>
  </si>
  <si>
    <t>Conflict affected individuals tend to engage more in social organization and hold greater expressive values, at least 26 year after the individual’s exposure to the war.</t>
  </si>
  <si>
    <t>The impact of having experienced the Vietnam War is about three times—0.30 standardized effect in the OLS full model—and five times—0.56 standardized effect in the IV full model (see also Table 1).</t>
  </si>
  <si>
    <t>- You took the wrong model for the reproduction.
- This is a reproduction and not a replication, so you should not have coded it in the first place.</t>
  </si>
  <si>
    <t>additional_studies82_1_a</t>
  </si>
  <si>
    <t>model 3 of binary factor analysis</t>
  </si>
  <si>
    <t>Barceló, J. (2021). “The Long-term Effects of War Exposure on Civic Engagement.” Proceedings of the National Academy of Sciences, 118 (6) (February): e2015539118 https://doi.org/10.1073/pnas.2
015539118</t>
  </si>
  <si>
    <t xml:space="preserve">Greater exposure to bombing leads to greater civic engagement years after the exposure </t>
  </si>
  <si>
    <t>binary factor analysis, p. 5; ordinary least squares p.6</t>
  </si>
  <si>
    <t>binary factor analysis, p.3</t>
  </si>
  <si>
    <t>- I could not find the values that you reported for the original paper in the original paper but only in the replication paper. Please only put values from the original report into the _o variables.
- You reported an incorrect sample size. Each model has the number of observations at the bottom, which is never 1000. Please make sure you code the correct number in the future.
- This is a reproduction and not a replication, so you should not have coded it in the first place.</t>
  </si>
  <si>
    <t>additional_studies82_1_b</t>
  </si>
  <si>
    <t>model 4 of binary factor analysis</t>
  </si>
  <si>
    <t>additional_studies82_1_c</t>
  </si>
  <si>
    <t>model 5 of binary factor analysis</t>
  </si>
  <si>
    <t>additional_studies85</t>
  </si>
  <si>
    <t>additional_studies85_a</t>
  </si>
  <si>
    <t>Longoni, A.M., Richardson, J.T.E. &amp; Aiello, A. Articulatory rehearsal and phonological storage in working memory. Memory &amp; Cognition 21, 11–22 (1993). https://doi.org/10.3758/BF03211160</t>
  </si>
  <si>
    <t>10.3758/BF03211160</t>
  </si>
  <si>
    <t>10.3758--bf03211160.pdf</t>
  </si>
  <si>
    <t>Couture, C., Veilleux, C., Chinhama, S., de Boinod, O. J., Payment, B., Husereau, T., &amp; Ouellette, É. (2024). Articulatory rehearsal and phonological storage in working memory: A replication of Longoni et al. (1993). The Quantitative Methods for Psychology, 20(1), r1–r12. https://doi.org/10.20982/tqmp.20.1.r001</t>
  </si>
  <si>
    <t>10.20982/tqmp.20.1.r001</t>
  </si>
  <si>
    <t>Articulatory rehearsal and phonological storage</t>
  </si>
  <si>
    <t>phonological loop replication, word length effect, phonemic similarity, working memory, replicability predicament.</t>
  </si>
  <si>
    <t>Word length effect reflects the contribution of the articulatory rehearsal process</t>
  </si>
  <si>
    <t>Indicates that longer words are harder to recall than shorter words, reflecting the role of the articulatory rehearsal process.</t>
  </si>
  <si>
    <t>p. 3-4</t>
  </si>
  <si>
    <t>additional_studies85_b</t>
  </si>
  <si>
    <t>Cognitive psychology</t>
  </si>
  <si>
    <t>Phonemic similarity effect reflects the phonological storage capacity.</t>
  </si>
  <si>
    <t>Indicates that phonemically similar words are harder to recall than phonemically distinct words, reflecting the phonological storage capacity.</t>
  </si>
  <si>
    <t>additional_studies85_c</t>
  </si>
  <si>
    <t>Articulatory suppression effect</t>
  </si>
  <si>
    <t>Suggests that articulatory suppression abolishes the word length effect but does not diminish the phonemic similarity effect, supporting the distinction between the two processes.</t>
  </si>
  <si>
    <t>additional_studies85_1</t>
  </si>
  <si>
    <t>added es_repr_o, added NA to prereg_r</t>
  </si>
  <si>
    <t>Articulatory rehearsal and phonological storage in working memory:</t>
  </si>
  <si>
    <t>effects of articulatory suppression  [...] upon the number of sequences recalled</t>
  </si>
  <si>
    <t>effects of articulatory suppression [F(1,22) == 17.62, MSe == 14.95, P &lt; .001] [...] upon the number of sequences recalled</t>
  </si>
  <si>
    <t>F(1,22) = 17.62</t>
  </si>
  <si>
    <t>please be consistent and report the full test statistic</t>
  </si>
  <si>
    <t>phonemic similarity  [...] upon the number of sequences recalled</t>
  </si>
  <si>
    <t>phonemic similarity [F(1,22) == 121.10,MSe == 2.76,p &lt; .001] [...] upon the number of sequences recalled</t>
  </si>
  <si>
    <t>F(1,22) =121.10</t>
  </si>
  <si>
    <t>added es_repr_o; added degrees of freedem to es_value_o, added NA to prereg_r</t>
  </si>
  <si>
    <t>word length  [...]  upon the number of sequences recalled</t>
  </si>
  <si>
    <t>word length [F(1,22) == 35.41,MSe == 1.84,p &lt;.001] [...]  upon the number of sequences recalled</t>
  </si>
  <si>
    <r>
      <rPr>
        <rFont val="Google Sans"/>
        <color rgb="FF00FF00"/>
        <sz val="9.0"/>
      </rPr>
      <t xml:space="preserve">F(1,22) = </t>
    </r>
    <r>
      <rPr>
        <rFont val="Google Sans"/>
        <color rgb="FF1F1F1F"/>
        <sz val="9.0"/>
      </rPr>
      <t>35.41</t>
    </r>
  </si>
  <si>
    <t>additional_studies85_d</t>
  </si>
  <si>
    <t>added es_repr_o, added degrees of freedem to es_value_o, added NA to prereg_r</t>
  </si>
  <si>
    <t>effect of phonemic similarity [..] recall performance</t>
  </si>
  <si>
    <t>effect of phonemic similarity [F(I,15) = 214.17, MSe = 3.10, p &lt; .001</t>
  </si>
  <si>
    <r>
      <rPr>
        <rFont val="Calibri"/>
        <color rgb="FF00FF00"/>
        <sz val="11.0"/>
      </rPr>
      <t>F(I,15) =</t>
    </r>
    <r>
      <rPr>
        <rFont val="Calibri"/>
        <color theme="1"/>
        <sz val="11.0"/>
      </rPr>
      <t xml:space="preserve"> 214.17</t>
    </r>
  </si>
  <si>
    <t>additional_studies85_e</t>
  </si>
  <si>
    <t>word length  [...]  upon the recall performance</t>
  </si>
  <si>
    <t>effect of word length [F(I, 15) = 34.34, MSe = 1.33, P &lt; .001],</t>
  </si>
  <si>
    <r>
      <rPr>
        <rFont val="Calibri"/>
        <color rgb="FF00FF00"/>
        <sz val="11.0"/>
      </rPr>
      <t xml:space="preserve">F(1,15) = </t>
    </r>
    <r>
      <rPr>
        <rFont val="Calibri"/>
        <color theme="1"/>
        <sz val="11.0"/>
      </rPr>
      <t>34.34</t>
    </r>
  </si>
  <si>
    <t>additional_studies85_f</t>
  </si>
  <si>
    <t>added es_repr_o, added degrees of freedem to es_value_o, added NA to prereg_r, discarded since the effect in o was not replicated</t>
  </si>
  <si>
    <t>effect of blocks [...] on percentage of items correctly recalled</t>
  </si>
  <si>
    <t>effect of blocks [F(I,22) = 11.09, MS. = 12.21, P &lt; .005]</t>
  </si>
  <si>
    <r>
      <rPr>
        <rFont val="Calibri"/>
        <color rgb="FF00FF00"/>
        <sz val="11.0"/>
      </rPr>
      <t>F(I,22) =</t>
    </r>
    <r>
      <rPr>
        <rFont val="Calibri"/>
        <color theme="1"/>
        <sz val="11.0"/>
      </rPr>
      <t xml:space="preserve"> 11.09</t>
    </r>
  </si>
  <si>
    <t>additional_studies85_g</t>
  </si>
  <si>
    <t>effect of word length [...] on percentage of items correctly recalled</t>
  </si>
  <si>
    <t>effect of word length [F(I,22) = 13.53, MS. = 14.66, P &lt; .001]</t>
  </si>
  <si>
    <r>
      <rPr>
        <rFont val="Calibri"/>
        <color rgb="FF00FF00"/>
        <sz val="11.0"/>
      </rPr>
      <t>F(I,22) =</t>
    </r>
    <r>
      <rPr>
        <rFont val="Calibri"/>
        <color theme="1"/>
        <sz val="11.0"/>
      </rPr>
      <t xml:space="preserve"> 13.53</t>
    </r>
  </si>
  <si>
    <t>additional_studies85_h</t>
  </si>
  <si>
    <t>effect of unattended speech [...] on percentage of items correctly recalled</t>
  </si>
  <si>
    <t>effect of unattended speech [F(I,22) = 30.80, MS.e = 12.21, p &lt; .001]</t>
  </si>
  <si>
    <r>
      <rPr>
        <rFont val="Calibri"/>
        <color rgb="FF00FF00"/>
        <sz val="11.0"/>
      </rPr>
      <t xml:space="preserve">F(I,22) = </t>
    </r>
    <r>
      <rPr>
        <rFont val="Calibri"/>
        <color theme="1"/>
        <sz val="11.0"/>
      </rPr>
      <t>30.8</t>
    </r>
  </si>
  <si>
    <t>additional_studies85_i</t>
  </si>
  <si>
    <t>added es_repr_o, added degrees of freedem to es_value_o, added NA to prereg_r, added the degrees of freedom to es_value_r</t>
  </si>
  <si>
    <t>effects of presentation rate [...] on total number of [...] correctly recalled times</t>
  </si>
  <si>
    <t>effects of presentation rate [F(l,20) = 31.04, MSe = 56.96,p &lt; .001]</t>
  </si>
  <si>
    <r>
      <rPr>
        <rFont val="Calibri"/>
        <color rgb="FF00FF00"/>
        <sz val="11.0"/>
      </rPr>
      <t>F(l,20) =</t>
    </r>
    <r>
      <rPr>
        <rFont val="Calibri"/>
        <color theme="1"/>
        <sz val="11.0"/>
      </rPr>
      <t xml:space="preserve"> 31.04</t>
    </r>
  </si>
  <si>
    <r>
      <rPr>
        <rFont val="Calibri"/>
        <color rgb="FF00FF00"/>
        <sz val="11.0"/>
      </rPr>
      <t>F (1, 20) =</t>
    </r>
    <r>
      <rPr>
        <rFont val="Calibri"/>
        <color rgb="FFFF0000"/>
        <sz val="11.0"/>
      </rPr>
      <t xml:space="preserve"> 1.048</t>
    </r>
  </si>
  <si>
    <t>additional_studies85_j</t>
  </si>
  <si>
    <t>effects of phonemic similarity [...] on total number of [...] correctly recalled times</t>
  </si>
  <si>
    <t>phonemic similarity [F(l,20) = 23.33, MSe = 14.79, P &lt; .001]</t>
  </si>
  <si>
    <r>
      <rPr>
        <rFont val="Calibri"/>
        <color rgb="FF00FF00"/>
        <sz val="11.0"/>
      </rPr>
      <t>F(l,20) =</t>
    </r>
    <r>
      <rPr>
        <rFont val="Calibri"/>
        <color theme="1"/>
        <sz val="11.0"/>
      </rPr>
      <t xml:space="preserve"> 23.33</t>
    </r>
  </si>
  <si>
    <r>
      <rPr>
        <rFont val="Calibri"/>
        <color rgb="FF00FF00"/>
        <sz val="11.0"/>
      </rPr>
      <t xml:space="preserve">F (1, 20) </t>
    </r>
    <r>
      <rPr>
        <rFont val="Calibri"/>
        <color rgb="FFFF0000"/>
        <sz val="11.0"/>
      </rPr>
      <t>=67.045</t>
    </r>
  </si>
  <si>
    <t>additional_studies85_k</t>
  </si>
  <si>
    <t>added es_repr_o, added NA to prereg_r, added the degrees of freedom to es_value_r</t>
  </si>
  <si>
    <t>effects of articulatory suppression [...] on total number of [...] correctly recalled times</t>
  </si>
  <si>
    <t>articulatory suppression [F(I,20) = 33.24, MSe = 8.43,p &lt; .001]</t>
  </si>
  <si>
    <t>F(I,20) = 33.24</t>
  </si>
  <si>
    <r>
      <rPr>
        <rFont val="Calibri"/>
        <color rgb="FF00FF00"/>
        <sz val="11.0"/>
      </rPr>
      <t>F (1, 20) =</t>
    </r>
    <r>
      <rPr>
        <rFont val="Calibri"/>
        <color rgb="FFFF0000"/>
        <sz val="11.0"/>
      </rPr>
      <t>0.378</t>
    </r>
  </si>
  <si>
    <t>additional_studies85_l</t>
  </si>
  <si>
    <t>effects of phonemic similarity [...] percentage of items that were correctly recalled</t>
  </si>
  <si>
    <t>phonemic similarity [F(1,20) = 55.60, MSe = 15.86, P &lt; .001]</t>
  </si>
  <si>
    <t>F(1,20) = 55.60</t>
  </si>
  <si>
    <t>p. 19</t>
  </si>
  <si>
    <r>
      <rPr>
        <rFont val="Calibri"/>
        <color rgb="FF00FF00"/>
        <sz val="11.0"/>
      </rPr>
      <t xml:space="preserve">F (1, 20) = </t>
    </r>
    <r>
      <rPr>
        <rFont val="Calibri"/>
        <color rgb="FFFF0000"/>
        <sz val="11.0"/>
      </rPr>
      <t>124.61</t>
    </r>
  </si>
  <si>
    <t>additional_studies85_m</t>
  </si>
  <si>
    <t>effects of articulatory suppression [...] percentage of items that were correctly recalled</t>
  </si>
  <si>
    <t>articulatory suppression [F(1,20) = 41.96, MSe = 14.18, p &lt; .001].</t>
  </si>
  <si>
    <t>F(1,20) = 41.96</t>
  </si>
  <si>
    <r>
      <rPr>
        <rFont val="Calibri"/>
        <color rgb="FF00FF00"/>
        <sz val="11.0"/>
      </rPr>
      <t>F (1, 20)</t>
    </r>
    <r>
      <rPr>
        <rFont val="Calibri"/>
        <color rgb="FFFF0000"/>
        <sz val="11.0"/>
      </rPr>
      <t xml:space="preserve"> = 0.83</t>
    </r>
  </si>
  <si>
    <t>additional_studies85_n</t>
  </si>
  <si>
    <t>effects of recall delay [...] percentage of items that were correctly recalled</t>
  </si>
  <si>
    <t>recall delay [...] [F(1,20) = 6.48, MSe = 70.20, P &lt; .02],</t>
  </si>
  <si>
    <t>F(1,20) = 6.48</t>
  </si>
  <si>
    <r>
      <rPr>
        <rFont val="Calibri"/>
        <color rgb="FF00FF00"/>
        <sz val="11.0"/>
      </rPr>
      <t xml:space="preserve">F (1, 20) = </t>
    </r>
    <r>
      <rPr>
        <rFont val="Calibri"/>
        <color rgb="FFFF0000"/>
        <sz val="11.0"/>
      </rPr>
      <t>0.68</t>
    </r>
  </si>
  <si>
    <t>additional_studies86_1</t>
  </si>
  <si>
    <t>additional_studies86_a</t>
  </si>
  <si>
    <t>Effect of L1 speakers on competence (main effect)</t>
  </si>
  <si>
    <t>Teló, C., P.  Trofimovich, and M. G.  O’Brien.  2022. ‘Disentangling professional competence and foreign accent,’  Journal of Second Language Pronunciation  8/3: 413–43. https://doi.org/10.1075/jslp.22013.tel</t>
  </si>
  <si>
    <t>10.1075/jslp.22013.tel</t>
  </si>
  <si>
    <t>10.1075--jslp.22013.tel.pdf</t>
  </si>
  <si>
    <t>Cesar Teló, Rosane Silveira, Ana Flávia Boeing Marcelino, Mary G O’Brien, Accent Bias in Professional Evaluations: A Conceptual Replication Study in Brazil, Applied Linguistics, 2024;, amae042, https://doi.org/10.1093/applin/amae042</t>
  </si>
  <si>
    <t>10.1093/applin/amae042</t>
  </si>
  <si>
    <t>Accent bias</t>
  </si>
  <si>
    <t>second langauge, accent</t>
  </si>
  <si>
    <t>Compared to English speakers, Tagalog speakers were rated as less competent.</t>
  </si>
  <si>
    <t>Listeners rated English speakers as more competent than Tagalog speakers (in Table 1: beta=-3.22, p&lt;0.001).</t>
  </si>
  <si>
    <t>additional_studies86_b</t>
  </si>
  <si>
    <t>Three-way interaction effect</t>
  </si>
  <si>
    <t>Cesar Teló, Rosane Silveira, Ana Flávia Boeing Marcelino, Mary G O’Brien, Accent Bias in Professional Evaluations: A Conceptual Replication Study in Brazil, Applied Linguistics, 2024;, amae042, https://doi.org/10.1093/applin/amae043</t>
  </si>
  <si>
    <t>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</si>
  <si>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additional_studies86_c</t>
  </si>
  <si>
    <t>Effect of L1 speakers on treatment preference (main effect)</t>
  </si>
  <si>
    <t>Cesar Teló, Rosane Silveira, Ana Flávia Boeing Marcelino, Mary G O’Brien, Accent Bias in Professional Evaluations: A Conceptual Replication Study in Brazil, Applied Linguistics, 2024;, amae042, https://doi.org/10.1093/applin/amae044</t>
  </si>
  <si>
    <t>Compared to English speakers, Tagalog speakers were rated as less treated.</t>
  </si>
  <si>
    <t>Listeners gave higher preference ratings to English than Tagalog speakers (in Table 2: beta=-3.56, p&lt;0.001).</t>
  </si>
  <si>
    <t>additional_studies86_d</t>
  </si>
  <si>
    <t>A significant three-way interaction was driven by the treatment preference ratings given to Tagalog speakers (rather than English speakers) in low-performance scenarios, where Tagalog speakers received higher ratings in low- versus high-prestige jobs.</t>
  </si>
  <si>
    <t>additional_studies86_e</t>
  </si>
  <si>
    <t>Effect of L1 speakers on comprehensibility(main effect)</t>
  </si>
  <si>
    <t>Compared to English speakers, Tagalog speakers were rated as less comprehensible.</t>
  </si>
  <si>
    <t>Listeners rated Tagalog speakers as less comprehensible than English speakers.</t>
  </si>
  <si>
    <t>additional_studies86_f</t>
  </si>
  <si>
    <t>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</si>
  <si>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additional_studies86_1_a</t>
  </si>
  <si>
    <t>additional_studies86</t>
  </si>
  <si>
    <t>replication reference is not in APA format; hyperlinks got removed during some formatting issues but the files are in the google drive for both te replication and the original paper</t>
  </si>
  <si>
    <t>Teló, C., P. Trofimovich, and M. G. O’Brien. 2022. ‘Disentangling professional competence and foreign accent,’ Journal of Second Language Pronunciation 8/3: 413–43. https://doi.org/10.1075/jslp.22013.tel</t>
  </si>
  <si>
    <t xml:space="preserve">accent bias and competence perception </t>
  </si>
  <si>
    <t xml:space="preserve">Accentism, Speech Assessment, Workplace Performance, Competence, Treatment Preference </t>
  </si>
  <si>
    <t>listeners rated English speakers as more competent than
Tagalog speakers.</t>
  </si>
  <si>
    <t>generalized linear mixed effects model, p. 13</t>
  </si>
  <si>
    <t>generalized linear mixed effects models, p.6</t>
  </si>
  <si>
    <t>additional_studies86_1_b</t>
  </si>
  <si>
    <t>The effect for speaker L1 was qualified by an interaction with accentedness rating,
where English speakers were rated as more competent than Tagalog speakers when the
speaker’s foreign accent was stronger,</t>
  </si>
  <si>
    <t>additional_studies86_1_c</t>
  </si>
  <si>
    <t xml:space="preserve">The effect for speaker L1 was qualified by an interaction with accentedness rating,
where English speakers were rated as more competent than Tagalog speakers when the
speaker’s foreign accent was stronger, but not when the accent was weaker </t>
  </si>
  <si>
    <t>additional_studies86_1_d</t>
  </si>
  <si>
    <t xml:space="preserve">The effect for job prestige was qualified by an interaction with speaker L1, whereby
English speakers were rated as more competent than Tagalog speakers in high-prestige
positions but not in low-prestige positions where the ratings for english and tagalog speakers were similar </t>
  </si>
  <si>
    <t>z</t>
  </si>
  <si>
    <t>additional_studies86_1_e</t>
  </si>
  <si>
    <t>additional_studies87_1</t>
  </si>
  <si>
    <t>additional_studies87</t>
  </si>
  <si>
    <t>I don't find hypotheses and effect sizes from replication study that match the original study. The central hypotheses of interest in the original study are answered using descriptive statistics. The replication paper is is contextual and extended replication.</t>
  </si>
  <si>
    <t>Segev, S., and J. Fernandes 2023. “The Anatomy of Viral Advertising: A Content Analysis of Viral Advertising from the Elaboration Likelihood Model Perspective.” Journal of Promotion Management 29 (1): 125–154. https://doi.org/10.1080/10496491.2022.2108189</t>
  </si>
  <si>
    <t>10.1080/10496491.2022.2108189</t>
  </si>
  <si>
    <t>10.1080--10496491.2022.2108189.pdf</t>
  </si>
  <si>
    <t>Fernandes, J., &amp; Segev, S. (2024). The persuasion cues that make video advertising go viral: a conceptual replication and extension comparing viral vs. Non-viral advertising. Journal of Marketing Communications, 1–27. https://doi.org/10.1080/13527266.2024.2376918</t>
  </si>
  <si>
    <t>10.1080/13527266.2024.2376918</t>
  </si>
  <si>
    <t>additional_studies88_1</t>
  </si>
  <si>
    <t>additional_studies88_a</t>
  </si>
  <si>
    <t>Meyer, A., Riesel, A., &amp; Hajcak Proudfit, G. (2013). Reliability of the ERN across multiple tasks
as a function of increasing errors. Psychophysiology, 50(12), 1220–1225.
https://doi.org/10.1111/psyp.12132</t>
  </si>
  <si>
    <t>10.1111/psyp.12132</t>
  </si>
  <si>
    <t>10.1111--psyp.12132.pdf</t>
  </si>
  <si>
    <t>Holbrook, A., Park, B., Baldwin, S., Riesel, A., Larson, M. J., &amp; Clayson, P. E. (2024, July 10). Psychometric Reliability of ERN and Pe Across Flanker, Stroop, and Go/No-Go Tasks: A Direct and Conceptual Replication. https://doi.org/10.31234/osf.io/xr6bn</t>
  </si>
  <si>
    <t>10.31234/osf.io/xr6bn</t>
  </si>
  <si>
    <t>Event-related potential</t>
  </si>
  <si>
    <t>Anxiety, Individual differences, EEG/ERP, Psychometrics, Error-related negativity, Error processing</t>
  </si>
  <si>
    <t>directly comparing the ERN and its psychometric properties when derived from the flankers [...] tasks as a function of increasing trial numbers.</t>
  </si>
  <si>
    <t>As can be seen in Figure 4, moderate internal reliability was achieved in both the flankers ,</t>
  </si>
  <si>
    <t>Cronbach's alpha</t>
  </si>
  <si>
    <t>https://osf.io/p2hr3</t>
  </si>
  <si>
    <t>additional_studies88_b</t>
  </si>
  <si>
    <t>directly comparing the ERN and its psychometric properties when derived from the [...] Stroop [..] tasks as a function of increasing trial numbers.</t>
  </si>
  <si>
    <t>reliability of the Stroop task remained low even after 20 errors per subject were examined</t>
  </si>
  <si>
    <t>additional_studies88_c</t>
  </si>
  <si>
    <t>directly comparing the ERN and its psychometric properties when derived from the [...] go/no-go tasks as a function of increasing trial numbers.</t>
  </si>
  <si>
    <t>As can be seen in Figure 4, moderate internal reliability was achieved in both the [...] go/no-go,</t>
  </si>
  <si>
    <t>additional_studies88_d</t>
  </si>
  <si>
    <t>dependability</t>
  </si>
  <si>
    <t>additional_studies88_e</t>
  </si>
  <si>
    <t>additional_studies88_f</t>
  </si>
  <si>
    <t>Error-Related Negativity (ERN)</t>
  </si>
  <si>
    <t>Flanker Task</t>
  </si>
  <si>
    <t>This suggests that the Flanker task provides adequate reliability for the ERN, even with a relatively small number of error trials.</t>
  </si>
  <si>
    <t>p.1223</t>
  </si>
  <si>
    <t xml:space="preserve">p. 40 </t>
  </si>
  <si>
    <t>https://osf.io/8cbua/</t>
  </si>
  <si>
    <t>please fill in the variable study_o and study_r</t>
  </si>
  <si>
    <t>Go/No-Go Task</t>
  </si>
  <si>
    <t>The Go/No-Go task demonstrates acceptable reliability for the ERN but requires slightly more error trials compared to the Flanker task</t>
  </si>
  <si>
    <t>Stroop Task</t>
  </si>
  <si>
    <t>These results indicate that the Stroop task provides poor reliability for the ERN and may not be suitable for assessing individual differences in performance monitoring.</t>
  </si>
  <si>
    <t>additional_studies89_1</t>
  </si>
  <si>
    <t>additional_studies89</t>
  </si>
  <si>
    <t>cannot access the replication article;  10.5465/AMPROC.2024.19578abstract point to study by Child et al.</t>
  </si>
  <si>
    <t>King, A. A., &amp; Shaver, J. M. (2001). Are aliens green? Assessing foreign establishments' environmental conduct in the United States. Strategic Management Journal, 22(11), 1069-1085. https://doi.org/10.1002/smj.201</t>
  </si>
  <si>
    <t>10.1002/smj.201</t>
  </si>
  <si>
    <t>10.1002--smj.201.pdf</t>
  </si>
  <si>
    <t>Lee, N., &amp; Hittmair, F. (2024). The Colors of Aliens: A Replication Study on Environmental Practices of Foreign-Owned Establishments. In Academy of Management Proceedings (Vol. 2024, No. 1, p. 19578). Valhalla, NY 10595: Academy of Management. https://doi.org/10.5465/AMPROC.2024.19578abstract</t>
  </si>
  <si>
    <t>10.5465/AMPROC.2024.19578abstract</t>
  </si>
  <si>
    <t>no full paper available yet</t>
  </si>
  <si>
    <r>
      <rPr>
        <rFont val="Calibri"/>
        <sz val="11.0"/>
      </rPr>
      <t xml:space="preserve">Lee, N., &amp; Hittmair, F. (2024). The Colors of Aliens: A Replication Study on Environmental Practices of Foreign-Owned Establishments. In Academy of Management Proceedings (Vol. 2024, No. 1, p. 19578). Valhalla, NY 10595: Academy of Management. </t>
    </r>
    <r>
      <rPr>
        <rFont val="Calibri"/>
        <color rgb="FF1155CC"/>
        <sz val="11.0"/>
        <u/>
      </rPr>
      <t>https://doi.org/10.5465/AMPROC.2024.19578abstract</t>
    </r>
  </si>
  <si>
    <t>10.5465--amproc.2024.19578abstract.pdf</t>
  </si>
  <si>
    <t>Replication Study</t>
  </si>
  <si>
    <t>Environmental Practices of Foreign-Owned Establishments</t>
  </si>
  <si>
    <t>Foreign-owned establishments, environmental practices, corporate social responsibility, sustainability, green practices, international business, environmental conduct, strategic management</t>
  </si>
  <si>
    <t>additional_studies9_1</t>
  </si>
  <si>
    <t>additional_studies9_a</t>
  </si>
  <si>
    <t>Closeness is questionable, Otiginal study sample consists of patients with medical diagnosis and their relatives, while Reproduc. sample is students, bascially general population. 
Claim text_r. [...] one-way ANOVAs were conducted on each Group separately for Valence of Face. For the GAD group, the main effect of Valence of Face was not significant, F (2, 186) = .02, η2 &lt; .000.</t>
  </si>
  <si>
    <t>Yiend, J., Mathews, A., Burns, T., Dutton, K., Fernández-Martín, A., Georgiou, G. A., ... &amp; Fox, E. (2015). Mechanisms of selective attention in generalized anxiety disorder. Clinical Psychological Science, 3(5), 758-771. https://doi.org/10.1177/2167702614545216</t>
  </si>
  <si>
    <t>10.1177/2167702614545216</t>
  </si>
  <si>
    <t>MacDonald, J., Lee, S., &amp; Wilbiks, J. (2024). Generalized anxiety disorder and selective attention: An unsuccessful replication of Yiend et al.,(2015) in a student population. Visual Cognition, 1-9. https://doi.org/10.1080/13506285.2024.2343157</t>
  </si>
  <si>
    <t>10.1080/13506285.2024.2343157</t>
  </si>
  <si>
    <t>Completely different samples (medical patients with students. Not sure about exclusion, but the closeness is questionable)</t>
  </si>
  <si>
    <t>Experiment 1 GAD</t>
  </si>
  <si>
    <t>Generalized anxiety disorder and selective attention</t>
  </si>
  <si>
    <t>one-way ANOVAs were conducted [...]. GAD group, the main effect of Valence of Face was significant, F(2, 26) = 5.68, MSE = 1404.72, p &lt;.01. Table 2</t>
  </si>
  <si>
    <t xml:space="preserve"> F(2, 26) = 5.68</t>
  </si>
  <si>
    <t>additional_studies9_b</t>
  </si>
  <si>
    <t>Closeness is questionable, Otiginal study sample consists of patients with/without medical diagnosis, while Reproduc. sample is students, bascially general population. 
Claim text_r. [...] one-way ANOVAs were conducted on each Group separately for Valence of Face. both the Control and HTA groups failed to reach statistical significance in differences in Valence of Face</t>
  </si>
  <si>
    <t>Experiment 1 Control/Healthy</t>
  </si>
  <si>
    <t>one-way ANOVAs were conducted [...]. The main effect of Valence of Face did not reach significance for the matched control group, F(2, 26) = 1.49, MSE = 1499.52, η2p = .10, p = .24, Table 2</t>
  </si>
  <si>
    <t>F(2, 26) = 1.49</t>
  </si>
  <si>
    <t xml:space="preserve">Calculated based on the data provided in Table 2. Group means and standard deviations for each group were used to calculate the total mean across all groups. The variance between groups and within groups was computed, followed by dividing the variances by their respective degrees of freedom to calculate mean squares. </t>
  </si>
  <si>
    <t>additional_studies9_c</t>
  </si>
  <si>
    <t>Experiment 1 High Trait anxiety</t>
  </si>
  <si>
    <t>one-way ANOVAs were conducted [...]. The main effect of Valence of Face did not reach significancethe high trait anxious group, F(2, 26) = 1.72, MSE = 2582.33, η2p = .12, p = .20. Table 2</t>
  </si>
  <si>
    <t>F(2, 26) = 1.72</t>
  </si>
  <si>
    <t>additional_studies90_1</t>
  </si>
  <si>
    <t>additional_studies90_a</t>
  </si>
  <si>
    <t>Yu, R., Mobbs, D., Seymour, B., Rowe, J. B., &amp; Calder, A. J. (2014). The neural signature of escalating frustration in humans. Cortex, 54, 165-178. https://doi.org/10.1016/j.cortex.2014.02.013</t>
  </si>
  <si>
    <t>10.1016/j.cortex.2014.02.013</t>
  </si>
  <si>
    <t>10.1016--j.cortex.2014.02.013.pdf</t>
  </si>
  <si>
    <t>Eben, C., Chen, Z., London, R. E., &amp; Verbruggen, F. (2024). Escalating frustration-A replication attempt and extension of Yu et al.(2014). Open Research Europe, 4(135), 135. https://doi.org/10.12688/openreseurope.17749.1</t>
  </si>
  <si>
    <t>10.12688/openreseurope.17749.1</t>
  </si>
  <si>
    <t>effects of proximity and effort across [...] on escalating frustration</t>
  </si>
  <si>
    <t>frustration, reward, response force, facial EMG</t>
  </si>
  <si>
    <t>confirm RT on Proximity effect 1/4, 1/3, 1/2, 1/1</t>
  </si>
  <si>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</si>
  <si>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5 (Table 1)</t>
  </si>
  <si>
    <t>please put NA for prereg_r, please add es_repr_o</t>
  </si>
  <si>
    <t>additional_studies90_a1</t>
  </si>
  <si>
    <t>Motivation on Proximity effect 2/4, 2/3, 2/2</t>
  </si>
  <si>
    <t>additional_studies90_b</t>
  </si>
  <si>
    <t>confirm RT on Proximity effect 2/4, 2/3, 2/2</t>
  </si>
  <si>
    <t>additional_studies90_b1</t>
  </si>
  <si>
    <t>Motivation on Proximity effect 3/4, 3/3</t>
  </si>
  <si>
    <t>additional_studies90_c</t>
  </si>
  <si>
    <t>confirm RT on Proximity effect 3/4, 3/3</t>
  </si>
  <si>
    <t>additional_studies90_c1</t>
  </si>
  <si>
    <t>Motivation on Proximity effect combined effect</t>
  </si>
  <si>
    <t>additional_studies90_d</t>
  </si>
  <si>
    <t>confirm RT on Proximity effect combined effect</t>
  </si>
  <si>
    <t>additional_studies90_d1</t>
  </si>
  <si>
    <t>Motivation on Effort effect 4/4, 3/3, 2/2, 1/1</t>
  </si>
  <si>
    <t>additional_studies90_e</t>
  </si>
  <si>
    <t>confirm RT on Effort effect 4/4, 3/3, 2/2, 1/1</t>
  </si>
  <si>
    <t>additional_studies90_e1</t>
  </si>
  <si>
    <t>Motivation on Effort effect 3/4, 2/3, 1/2 3.88</t>
  </si>
  <si>
    <t>additional_studies90_f</t>
  </si>
  <si>
    <t>confirm RT on Effort effect 3/4, 2/3, 1/2 3.88</t>
  </si>
  <si>
    <t>additional_studies90_f1</t>
  </si>
  <si>
    <t>Motivation on Effort effect 2/4, 1/3</t>
  </si>
  <si>
    <t>additional_studies90_g</t>
  </si>
  <si>
    <t>confirm RT on Effort effect 2/4, 1/3</t>
  </si>
  <si>
    <t>additional_studies90_g1</t>
  </si>
  <si>
    <t>Motivation on Effort effect combined effect</t>
  </si>
  <si>
    <t>additional_studies90_h</t>
  </si>
  <si>
    <t>confirm RT on Effort effect combined effect</t>
  </si>
  <si>
    <t>additional_studies90_i</t>
  </si>
  <si>
    <t>Frustration on Proximity effect 1/4, 1/3, 1/2, 1/1</t>
  </si>
  <si>
    <t>additional_studies90_j</t>
  </si>
  <si>
    <t>Frustration on Proximity effect 2/4, 2/3, 2/2</t>
  </si>
  <si>
    <t>additional_studies90_k</t>
  </si>
  <si>
    <t>Frustration on Proximity effect 3/4, 3/3</t>
  </si>
  <si>
    <t>additional_studies90_l</t>
  </si>
  <si>
    <t>Frustration on Proximity effect combined effect</t>
  </si>
  <si>
    <t>additional_studies90_m</t>
  </si>
  <si>
    <t>Frustration on Effort effect 4/4, 3/3, 2/2, 1/1</t>
  </si>
  <si>
    <t>additional_studies90_n</t>
  </si>
  <si>
    <t>Frustration on Effort effect 3/4, 2/3, 1/2 3.88</t>
  </si>
  <si>
    <t>additional_studies90_o</t>
  </si>
  <si>
    <t>Frustration on Effort effect 2/4, 1/3</t>
  </si>
  <si>
    <t>additional_studies90_p</t>
  </si>
  <si>
    <t>Frustration on Effort effect combined effect</t>
  </si>
  <si>
    <t>additional_studies90_q</t>
  </si>
  <si>
    <t>Surprise on Proximity effect 1/4, 1/3, 1/2, 1/1</t>
  </si>
  <si>
    <t>additional_studies90_r</t>
  </si>
  <si>
    <t>Surprise on Proximity effect 2/4, 2/3, 2/2</t>
  </si>
  <si>
    <t>additional_studies90_s</t>
  </si>
  <si>
    <t>Surprise on Proximity effect 3/4, 3/3</t>
  </si>
  <si>
    <t>additional_studies90_t</t>
  </si>
  <si>
    <t>Surprise on Proximity effect combined effect</t>
  </si>
  <si>
    <t>additional_studies90_u</t>
  </si>
  <si>
    <t>Surprise on Effort effect 4/4, 3/3, 2/2, 1/1</t>
  </si>
  <si>
    <t>additional_studies90_v</t>
  </si>
  <si>
    <t>Surprise on Effort effect 3/4, 2/3, 1/2 3.88</t>
  </si>
  <si>
    <t>additional_studies90_x</t>
  </si>
  <si>
    <t>Surprise on Effort effect 2/4, 1/3</t>
  </si>
  <si>
    <t>additional_studies90_y</t>
  </si>
  <si>
    <t>Surprise on Effort effect combined effect</t>
  </si>
  <si>
    <t>additional_studies90_z</t>
  </si>
  <si>
    <t>Motivation on Proximity effect 1/4, 1/3, 1/2, 1/1</t>
  </si>
  <si>
    <t>additional_studies90</t>
  </si>
  <si>
    <t>Not explicitly reported, but neural activation effect sizes for frustration-related responses are generally in the range of r = 0.5 - 0.7. r (correlation coefficient between neural activation and frustration levels)</t>
  </si>
  <si>
    <t>A replication attempt</t>
  </si>
  <si>
    <t>Escalating frustration</t>
  </si>
  <si>
    <t>The study investigates the neural signature of escalating frustration in humans, focusing on how proximity to a blocked goal and expended effort influence frustration levels and neural activation patterns.</t>
  </si>
  <si>
    <t>Frustration increased with proximity to the goal and with effort investment. Significant neural activation was observed in the amygdala, periaqueductal gray (PAG), anterior insula, and dorsal anterior cingulate cortex (dACC).</t>
  </si>
  <si>
    <t>p. 543</t>
  </si>
  <si>
    <t>additional_studies91_1</t>
  </si>
  <si>
    <t>additional_studies91</t>
  </si>
  <si>
    <t>H1 (extraversion). H2 is not replicated in the replication paper.</t>
  </si>
  <si>
    <t>Bunz, U. (2021). Investigating the Relationship Between Social Media Use, Big Five Personality, and Well-being. Journal of Communication Technology, 4(3), 25–52. https://doi.org/10.51548/joctec-2021-016</t>
  </si>
  <si>
    <t>10.51548/joctec-2021-016</t>
  </si>
  <si>
    <t>10.51548--joctec-2021-016.pdf</t>
  </si>
  <si>
    <t>Pruski, S. M. (2024). The impact of Screen Time, Social Media Use and Extraversion on Life Satisfaction among University Students: An extended replication study (Bachelor's thesis, University of Twente). Retrieved from https://purl.utwente.nl/essays/100459</t>
  </si>
  <si>
    <t>vonpruski_2024</t>
  </si>
  <si>
    <t>social media use, social media engagement, social media intensity, big five personality, positive well-being, negative well-being, positive affect, negative affect, subjective well-being</t>
  </si>
  <si>
    <t>Extraversion predicts social media use.</t>
  </si>
  <si>
    <t>A simple linear regression analysis shows that extraversion predicts SMEI, F(1,422) = 18.27, p&lt;.001 (R2 = .042, beta = .241).</t>
  </si>
  <si>
    <t>p. 27</t>
  </si>
  <si>
    <t>additional_studies92_1</t>
  </si>
  <si>
    <t>additional_studies92</t>
  </si>
  <si>
    <t>I don't think this study is a "classical study" and lend itslef to extract requested information. The study introduced a new framework to estimate the aggregate capital-labor elasticity of substitution by aggregating the actions of individual plants.</t>
  </si>
  <si>
    <t>Oberfield, E., &amp; Raval, D. (2021). Micro data and macro technology. Econometrica, 89(2), 703-732. https://doi.org/10.3982/ECTA12807</t>
  </si>
  <si>
    <t>10.3982/ECTA12807</t>
  </si>
  <si>
    <t>10.3982--ecta12807.pdf</t>
  </si>
  <si>
    <t>Yang, H., &amp; Zhang, W. Explaining the decline of China's labor share: A wide replication of Oberfield and Raval (2021). Journal of Applied Econometrics. https://doi.org/10.1002/jae.3082</t>
  </si>
  <si>
    <t>10.1002/jae.3082</t>
  </si>
  <si>
    <t>https://osf.io/gexhp</t>
  </si>
  <si>
    <t>elasticity</t>
  </si>
  <si>
    <t>The aggregate elasticity for the U.S. manufacturing sector is in the range of 0.5–0.7.</t>
  </si>
  <si>
    <t>Our estimates indicated that the aggregate elasticity of substitution between capital and labor for the manufacturing sector has been between 05 and 07, with a slight decline from 1972 to 2007.</t>
  </si>
  <si>
    <t>additional_studies93_1</t>
  </si>
  <si>
    <t>additional_studies93_a</t>
  </si>
  <si>
    <t xml:space="preserve">test statistic is chi squared so I used the reported cramers V that was calculated in the replication (table 2 on page 13) </t>
  </si>
  <si>
    <t>McKenzie, C. R., Liersch, M. J., &amp; Finkelstein, S. R. (2006). Recommendations implicit in policy defaults. Psychological Science, 17(5), 414-420. https://doi.org/10.1111/j.1467-9280.2006.01721.x</t>
  </si>
  <si>
    <t>10.1111/j.1467-9280.2006.01721.x</t>
  </si>
  <si>
    <t>10.1111--j.1467-9280.2006.01721.x.pdf</t>
  </si>
  <si>
    <t>Teng, X., Lau, K. W., Ng, T. K., Chan, K. P., Yeung, W., Yeung, S. K., &amp; Feldman, G. Revisiting the mechanism underlying the default effect: Implicit recommendations, perceived trustworthiness, and preference uncertainty in a replication and extensions Registered Report of McKenzie et al.(2006). http://dx.doi.org/10.17605/OSF.IO/E5K4J</t>
  </si>
  <si>
    <t>10.17605/OSF.IO/E5K4J</t>
  </si>
  <si>
    <t>default effect</t>
  </si>
  <si>
    <t>default effect, judgment and decision making, registered report, replication, behavioral policy, choice architecture</t>
  </si>
  <si>
    <t>relation between willingness to be a donor and the chosen default.</t>
  </si>
  <si>
    <t>participants who were unwilling to be donors and 15% of the participants who were unsure selected that default, w2 (2, N 5 102) 5 8.0, p 5 .018.</t>
  </si>
  <si>
    <t>p.13 replication</t>
  </si>
  <si>
    <t>p. 32 Table 8</t>
  </si>
  <si>
    <t>https://osf.io/e5k4j/</t>
  </si>
  <si>
    <t>additional_studies93_b</t>
  </si>
  <si>
    <t>test statistic is chi squared</t>
  </si>
  <si>
    <r>
      <rPr>
        <rFont val="Calibri"/>
        <sz val="11.0"/>
      </rPr>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 </t>
    </r>
    <r>
      <rPr>
        <rFont val="Calibri"/>
        <color rgb="FF1155CC"/>
        <sz val="11.0"/>
        <u/>
      </rPr>
      <t>http://dx.doi.org/10.17605/OSF.IO/E5K4J</t>
    </r>
  </si>
  <si>
    <t>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</si>
  <si>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 </t>
  </si>
  <si>
    <t>additional_studies93_c</t>
  </si>
  <si>
    <t>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</si>
  <si>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 </t>
  </si>
  <si>
    <t>additional_studies93_d</t>
  </si>
  <si>
    <t>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</si>
  <si>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  </t>
  </si>
  <si>
    <t>additional_studies93_e</t>
  </si>
  <si>
    <t>test statistic in orginal study greater than</t>
  </si>
  <si>
    <t xml:space="preserve">enrollment condtion vs probably think that employees ought to enroll in a retirement plan
</t>
  </si>
  <si>
    <t>additional_studies93_f</t>
  </si>
  <si>
    <t>enrollment condtion vs probably think that employees want to be enrolled</t>
  </si>
  <si>
    <t>additional_studies93_g</t>
  </si>
  <si>
    <t>enrollment condtion vs are probably enrolled themselves</t>
  </si>
  <si>
    <t>additional_studies93_h</t>
  </si>
  <si>
    <t>effect of the chosen default vs greater enrolment</t>
  </si>
  <si>
    <t>additional_studies93_i</t>
  </si>
  <si>
    <t>effect of the chosen default vs more likely enrollment</t>
  </si>
  <si>
    <t>Default effect</t>
  </si>
  <si>
    <t>default effect, judgment and decision making, registered report, replication,
behavioral policy, choice architecture</t>
  </si>
  <si>
    <t>Experiment 1 - Willing to be a donor</t>
  </si>
  <si>
    <t xml:space="preserve">A significant difference was found between those willing to be donors and those not willing. </t>
  </si>
  <si>
    <t>p. 415</t>
  </si>
  <si>
    <t>Experiment 1 - Think people ought to be donors</t>
  </si>
  <si>
    <t xml:space="preserve">A significant difference was found between those who think others should be donors and those who don't. </t>
  </si>
  <si>
    <t>Experiment 2 - Policymakers willing</t>
  </si>
  <si>
    <t xml:space="preserve"> A very significant difference was found between those who perceived policymakers as willing to be donors, depending on the default.</t>
  </si>
  <si>
    <t>p. 416</t>
  </si>
  <si>
    <t>Experiment 2 - Policymakers think people ought to be donors</t>
  </si>
  <si>
    <t>Experiment 3 - Enrolled</t>
  </si>
  <si>
    <t>A very significant difference was found between those who perceived HR staff as supportive of automatic enrollment, depending on the default. T</t>
  </si>
  <si>
    <t>p. 417</t>
  </si>
  <si>
    <t>Experiment 3 - Not Enrolled</t>
  </si>
  <si>
    <t>A significant but moderate difference was found between those who perceived HR staff as not enrolled, depending on the default.</t>
  </si>
  <si>
    <t>additional_studies94_1</t>
  </si>
  <si>
    <t>additional_studies94</t>
  </si>
  <si>
    <t>Karataş, M., &amp; Cutright, K. M. (2023). Thinking about God increases acceptance of artificial intelligence in decision-making. Proceedings of the National Academy of Sciences, 120(33), e2218961120. https://doi.org/10.1073/pnas.2218961120</t>
  </si>
  <si>
    <t>10.1073/pnas.2218961120</t>
  </si>
  <si>
    <t>10.1073--pnas.2218961120.pdf</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</si>
  <si>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 https://doi.org/10.1073/pnas.2402315121
</t>
  </si>
  <si>
    <t>10.1073/pnas.2402315121</t>
  </si>
  <si>
    <t>God Salience</t>
  </si>
  <si>
    <t>artificial intelligence, religion, algorithm aversion, decision-making</t>
  </si>
  <si>
    <t>Thinking about God reduces reliance on human recommendations in favor of AI recommendations across various contexts</t>
  </si>
  <si>
    <t>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</si>
  <si>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p. 2 &amp; 3</t>
  </si>
  <si>
    <t>0.20</t>
  </si>
  <si>
    <t>cohen's f</t>
  </si>
  <si>
    <t>p. 2 &amp; 7</t>
  </si>
  <si>
    <t>https://osf.io/fdh4m/</t>
  </si>
  <si>
    <t>0.03</t>
  </si>
  <si>
    <t>0.38</t>
  </si>
  <si>
    <t>https://aspredicted.org/XHN_76L</t>
  </si>
  <si>
    <t>1. Values for REPLICATION statistical inferences were taken from supplementary files "10.1073--pnas.2402315121 SAPP.pdf"
2. Since one-way testing was used, the "Nested" option is put as "No"</t>
  </si>
  <si>
    <t>Direct replication</t>
  </si>
  <si>
    <t>God salience</t>
  </si>
  <si>
    <t>Artificial intelligence, religion, algorithm aversion, decision-making</t>
  </si>
  <si>
    <t>God salience influence the preference between human expert and AI recommendations across 24 different daily tasks</t>
  </si>
  <si>
    <t>"a one-way ANOVA on an index score computed by averaging each person's responses across the 24 decisions resulted in a significant effect of God salience [F(1,319) = 12.91, P &lt; 0.001; effect size f = 0.20]", "The effect of God salience remained significant (B = -5.43; t = -3.22, P = 0.001) after controlling for task consequentialness (B = 0.13; t = 1.28, P &gt; 0.2), tast objectivity (B = 0.06; t = 0.74, P &gt; 0.45), and uniqueness (B = 0.17; t = 2.09, P = 0.037)"</t>
  </si>
  <si>
    <t>https://osf.io/g6u9q</t>
  </si>
  <si>
    <t>additional_studies94_1a</t>
  </si>
  <si>
    <t>"a one-way ANOVA on an index score computed by averaging each person's responses across the 24 decisions resultsed in a significant effect of God salience [F(1,319) = 12.91, P &lt; 0.001; effect size f = 0.20]", "The effect of God salience remained significant (B = -5.43; t = -3.22, P = 0.001) after controlling for task consequentialness (B = 0.13; t = 1.28, P &gt; 0.2), tast objectivity (B = 0.06; t = 0.74, P &gt; 0.45), and uniqueness (B = 0.17; t = 2.09, P = 0.037)"</t>
  </si>
  <si>
    <t>https://aspredicted.org/Y47_RW5</t>
  </si>
  <si>
    <t>additional_studies94_2a</t>
  </si>
  <si>
    <t>2a</t>
  </si>
  <si>
    <t>God salience influence the preference between human expert and AI recommendations about mutual fund</t>
  </si>
  <si>
    <t>"In study 2a, 35.7% of participants in the low God salience condition picked the mutual fund recommended by the robo-advisor compared to 50.5% of participants in the high God salience condition [X2 = (1) = 4.46, P = 0.035; Ф = 0.15]"</t>
  </si>
  <si>
    <t>https://osf.io/yxusb</t>
  </si>
  <si>
    <t>https://aspredicted.org/TBY_14V</t>
  </si>
  <si>
    <t>additional_studies94_2b</t>
  </si>
  <si>
    <t>2b</t>
  </si>
  <si>
    <t>God salience influence the preference between human expert and AI recommendations of songs listened</t>
  </si>
  <si>
    <t>“In study 2b, while 31% of participants in the low God salience condition listened to the song recommended by AI, 44.6% of those in the high God salience condition listened to the song recommended by AI [X2 = (1) = 6.80, P = 0.009; Ф = 0.14]”</t>
  </si>
  <si>
    <t>https://osf.io/x73nv</t>
  </si>
  <si>
    <t>https://aspredicted.org/16C_RCH</t>
  </si>
  <si>
    <t>additional_studies94_3</t>
  </si>
  <si>
    <t>God salience influence the preference between human expert and AI recommendations in medical decision context</t>
  </si>
  <si>
    <t>“We replicated the expected effect: 33.5% of participants in the low God salience condition preferred the recommendation by the AI, while 44.3% of participants in the high God salience condition preferred the recommendation by the AI [X2(1) = 4.12, P = 0.042; Ф = 0.11]”</t>
  </si>
  <si>
    <t>https://osf.io/gwq48</t>
  </si>
  <si>
    <t>https://aspredicted.org/YZ9_THH</t>
  </si>
  <si>
    <t>additional_studies94_5a</t>
  </si>
  <si>
    <t xml:space="preserve">Perception of AI as "black box" influences the choise of investment to the mutual fund recommended by human and AI because of the similarity in mysteriousness between God and AI </t>
  </si>
  <si>
    <t>"The main effect of God salience was significant [F(1,236) = 9.25, P = 0.003]"</t>
  </si>
  <si>
    <t>F(1,236) = 9.25</t>
  </si>
  <si>
    <t>https://osf.io/r57d6</t>
  </si>
  <si>
    <t>https://aspredicted.org/G5N_YRH</t>
  </si>
  <si>
    <t>additional_studies94_5b</t>
  </si>
  <si>
    <t>"A two-way ANOVA with God salience and AI type as predictors resulted in an insignificant main effect of the mysteriousness of the AI (F(1, 236) = .03, P &gt; .8) and an insignificant interaction term (F(1,236) = .006, P &gt; .9)."</t>
  </si>
  <si>
    <t>F(1,236) = .0006</t>
  </si>
  <si>
    <t>additional_studies94_5c</t>
  </si>
  <si>
    <t>additional_studies94_5d</t>
  </si>
  <si>
    <t>p.22</t>
  </si>
  <si>
    <t>additional_studies94_b</t>
  </si>
  <si>
    <t>1. There are minor changes between orignal and replication I am not considering it and using table 1 for results. 2. The orignal studies have reported different effect sizes, while replication studies have reported similar kind, i.e. "r" of effect sizes. I am not sure which one should I use so I am using the one's in the orignal study.</t>
  </si>
  <si>
    <t>Feedback for Husnain
- You were unsure about this but you did right: Please always use what is reported in the original paper for the _o variables.
- F is not an effect size. Please report the entire F test as a test statistic instead, eg F(1, 236) = 4.41)</t>
  </si>
  <si>
    <t>p. 7 &amp; 8</t>
  </si>
  <si>
    <t>0.077</t>
  </si>
  <si>
    <t>additional_studies95_c</t>
  </si>
  <si>
    <t>1. The orignal studies have reported different effect sizes, while replication studies have reported similar kind, i.e. "r" of effect sizes. I am not sure which one should I use so I am using the one's in the orignal study. Further, I am not sure if Φ or X2 be used for the effect size so I have used X2.</t>
  </si>
  <si>
    <t>Algorithm aversion was weaker among participants reminded of God when choosing mutual funds.</t>
  </si>
  <si>
    <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</si>
  <si>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X2(1)=4.46</t>
  </si>
  <si>
    <t>0.035</t>
  </si>
  <si>
    <t>0.01</t>
  </si>
  <si>
    <t>p. 11 &amp; 12</t>
  </si>
  <si>
    <t>0.547</t>
  </si>
  <si>
    <t>additional_studies96_d</t>
  </si>
  <si>
    <t>1. The orignal studies have reported different effect sizes, while replication studies have reported similar kind, i.e. "r" of effect sizes. I am not sure which one should I use so I am using the one's in the orignal study.Further, I am not sure if Φ or X2 be used for the effect size so I have used X2.</t>
  </si>
  <si>
    <t>God salience increases preference for AI recommendations in music selection.</t>
  </si>
  <si>
    <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</si>
  <si>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p.3 </t>
  </si>
  <si>
    <t>X2(1)=6.80</t>
  </si>
  <si>
    <t>0.009</t>
  </si>
  <si>
    <t>p. 12 &amp; 13</t>
  </si>
  <si>
    <t>0.375</t>
  </si>
  <si>
    <t>additional_studies99_e</t>
  </si>
  <si>
    <t>The impact of God salience on AI acceptance is mediated by feelings of smallness and belief in human imperfection.</t>
  </si>
  <si>
    <t>"33.5% of participants in the low God salience condition preferred the recommendation by the AI, while 44.3% of participants in the high God salience condition preferred the recommendation by the AI [X2(1) = 4.12, P = 0.042; Φ = 0.11]"</t>
  </si>
  <si>
    <t>X2(1)=4.12</t>
  </si>
  <si>
    <t>0.042</t>
  </si>
  <si>
    <t>p. 14, 15 &amp; 16</t>
  </si>
  <si>
    <t>0.96</t>
  </si>
  <si>
    <t>additional_studies99_f</t>
  </si>
  <si>
    <t>1. The orignal studies have reported different effect sizes, while replication studies have reported similar kind, i.e. "r" of effect sizes. I am not sure which one should I use so I am using the one's in the orignal study.</t>
  </si>
  <si>
    <t>God salience weakens algorithm aversion across mysterious and non-mysterious conditions.</t>
  </si>
  <si>
    <t>"the main effect of God salience was significant [F(1, 236) = 9.25, P = 0.003]"</t>
  </si>
  <si>
    <t>p. 17 &amp; 18</t>
  </si>
  <si>
    <t>0.76</t>
  </si>
  <si>
    <t>additional_studies99_g</t>
  </si>
  <si>
    <t>1. The orignal studies have reported different effect sizes, while replication studies have reported similar kind, i.e. "r" of effect sizes. I am not sure which one should I use so I am using the one's in the orignal study.2. I think this study is conceptualy replicated, but I am still confused. 3. It is not clear if it is a direct replication or not.</t>
  </si>
  <si>
    <t>0.09</t>
  </si>
  <si>
    <t>https://aspredicted.org/737_DYZ</t>
  </si>
  <si>
    <t>Boyce_etal20231</t>
  </si>
  <si>
    <t>Boyce_etal20231_1</t>
  </si>
  <si>
    <t>No statistics in Boyce dataset</t>
  </si>
  <si>
    <t>Alais, D., &amp; Burr, D. (2004). The ventriloquist effect results from near-optimal bimodal integration. Current biology, 14(3), 257-262.</t>
  </si>
  <si>
    <t>10.1016/j.cub.2004.01.029</t>
  </si>
  <si>
    <t>Boyce, V., Mathur, M., &amp; Frank, M. C. (2023). Eleven years of student replication projects provide evidence on the correlates of replicability in psychology. Royal Society Open Science, 10(11), 231240. https://doi.org/10.1098/rsos.231240</t>
  </si>
  <si>
    <t>10.1098/rsos.231240</t>
  </si>
  <si>
    <t>Comparison of the best unimodal performance with bimodal performance predicted by Equation 1,  in a one-tailed, matched samples t test produces a clearly significant result, with t5 =  3.69 and p&lt;0.01.</t>
  </si>
  <si>
    <r>
      <rPr>
        <rFont val="Calibri"/>
        <sz val="11.0"/>
      </rPr>
      <t xml:space="preserve">1. Changed the Discipline from Psychology to "Cognitive Psychology"
2. The report is absent in github folder, and the data is missed in the outcome table
3. I was not able to find corresponding OSF link except: </t>
    </r>
    <r>
      <rPr>
        <rFont val="Calibri"/>
        <color rgb="FF1155CC"/>
        <sz val="11.0"/>
        <u/>
      </rPr>
      <t>https://osf.io/xwn9m/</t>
    </r>
    <r>
      <rPr>
        <rFont val="Calibri"/>
        <sz val="11.0"/>
      </rPr>
      <t xml:space="preserve"> (general, not specific)</t>
    </r>
  </si>
  <si>
    <t xml:space="preserve">Should in case of exclusion we left the row empty (except "Exclusion" column? </t>
  </si>
  <si>
    <t>10.1098--rsos.231240.pdf</t>
  </si>
  <si>
    <t>No replication report / data</t>
  </si>
  <si>
    <t>You wrote "Should in case of exclusion we left the row empty (except "Exclusion" column? " - I did not understand the question entirely, I think. You were right to leave the cells empty as this is an exclusion anyway.</t>
  </si>
  <si>
    <t>Boyce_etal202310</t>
  </si>
  <si>
    <t>Boyce_etal202310_1</t>
  </si>
  <si>
    <t>Blair, K. S., Smith, B. W., Mitchell, D. G., Morton, J., Vythilingam, M., Pessoa, L., ... &amp; Blair, R. J. R. (2007). Modulation of emotion by cognition and cognition by emotion. Neuroimage, 35(1), 430-440.</t>
  </si>
  <si>
    <t>10.1016/j.neuroimage.2006.11.048</t>
  </si>
  <si>
    <t>very close</t>
  </si>
  <si>
    <t>a significant main effect for task (F(1,21) = 25.75; p&lt; 0.001);</t>
  </si>
  <si>
    <t>F(1,21) = 25.75</t>
  </si>
  <si>
    <t>p. 534</t>
  </si>
  <si>
    <t>No individual report found</t>
  </si>
  <si>
    <t>Boyce datatable suggests that effect went in opposite direction - but we only have F. Yet correlation is so small (and noisy) that it makes no difference where the point estimate is.</t>
  </si>
  <si>
    <t>Very close replication</t>
  </si>
  <si>
    <t>Emotion modulation</t>
  </si>
  <si>
    <t>fMRI, Emotion, Attention, Stroop interference, Emotional interference</t>
  </si>
  <si>
    <t>Modulation of emotion by cognition and cognition by emotion</t>
  </si>
  <si>
    <t>"There was also a significant main effect for task (F(1,21) = 25.75; p &lt; 0.001); subjects were significantly slower to respond to incongruent, relative to congruent trials (M(incongruent) = 746.31, S.E. = 25.83; M(congruent) = 706.98, S.E. = 25.83)"</t>
  </si>
  <si>
    <t>p. 5: =(746.31-706.98)/SQRT((25.83^2+25.83^2)/2)</t>
  </si>
  <si>
    <t>F(1, 3446) = 3.49</t>
  </si>
  <si>
    <t>https://osf.io/kspm6</t>
  </si>
  <si>
    <t>- Es repr_r was missing and prereg (for the chosen row). Please make sure that all cells are filled out.
- When there is no reference to a preregistration, please code it as "NA" because nothing is reported. Use "no" only when it is explicitly stated, that the respective study/analysis was not preregistered.</t>
  </si>
  <si>
    <t>Nikita, LW</t>
  </si>
  <si>
    <t>Boyce_etal2023100</t>
  </si>
  <si>
    <t>Boyce_etal2023100_1</t>
  </si>
  <si>
    <t>No statistics in Boyce, report absent</t>
  </si>
  <si>
    <t>Najemnik, J., &amp; Geisler, W. S. (2005). Optimal eye movement strategies in visual search. Nature, 434(7031), 387-391.</t>
  </si>
  <si>
    <t>10.1038/nature03390</t>
  </si>
  <si>
    <t>1. Changed the Discipline from Psychology to "Cognitive Psychology"
2. The original paper was added as "10.1038nature03390.pdf"</t>
  </si>
  <si>
    <t>No statistical outcome both in original study and replication data</t>
  </si>
  <si>
    <t>Boyce_etal2023101</t>
  </si>
  <si>
    <t>Boyce_etal2023101_1</t>
  </si>
  <si>
    <t>Page incorrect</t>
  </si>
  <si>
    <t>Nekmat, E., Gower, K. K., Zhou, S., &amp; Metzger, M. (2019). Connective-collective action on social media: Moderated mediation of cognitive elaboration and perceived source credibility on personalness of source. Communication Research, 46(1), 62-87.</t>
  </si>
  <si>
    <t>10.1177/0093650215609676</t>
  </si>
  <si>
    <t>far</t>
  </si>
  <si>
    <t>when compared with messages passed by organizational sources, those passed by personally closer people (e.g., friends, family) would lead to greater willingness to participate in collective activities on social media. This was supported.</t>
  </si>
  <si>
    <t>1. Changed the Discipline from Psychology to "Social Psychology"
2. The detailed replication data is not provided anywhere. For example, there is M and SD, but for between-group design we do not have a clear description of how many students are in each group (are they equal)? If yes, there is a possibility to calculate ES, if no - we need to rely on the Boyce general table, which can be not correct. 
3. I was not able to find corresponding OSF link except: https://osf.io/xwn9m/ (general, not specific)</t>
  </si>
  <si>
    <t>Far replication</t>
  </si>
  <si>
    <t>Personalness of source</t>
  </si>
  <si>
    <t>Social media, collective action, connective action, source effects, cognitive elaboration, source credibility</t>
  </si>
  <si>
    <t>Moderated mediation of cognitive elaboration and perceived source credibility on personalness of source</t>
  </si>
  <si>
    <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</si>
  <si>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12, 13</t>
  </si>
  <si>
    <t>Boyce_etal2023102</t>
  </si>
  <si>
    <t>Boyce_etal2023102_1</t>
  </si>
  <si>
    <t>Ngo, C. T., Horner, A. J., Newcombe, N. S., &amp; Olson, I. R. (2019). Development of holistic episodic recollection. Psychological science, 30(12), 1696-1706.</t>
  </si>
  <si>
    <t>10.1177/0956797619879441</t>
  </si>
  <si>
    <t>whether holistic recollection is evident at the ages of 4 and 6 years, during a crucial developmental window of robust gains in episodic memory,</t>
  </si>
  <si>
    <r>
      <rPr>
        <rFont val="Calibri"/>
        <sz val="11.0"/>
      </rPr>
      <t xml:space="preserve">1. Changed the Discipline from Psychology to "Cognitive Psychology"
2. There was a full report in the Replication folder. I used it to provide and varify the data: </t>
    </r>
    <r>
      <rPr>
        <rFont val="Calibri"/>
        <color rgb="FF1155CC"/>
        <sz val="11.0"/>
        <u/>
      </rPr>
      <t>https://rstudio-pubs-static.s3.amazonaws.com/817655_c94c0f2142fc466fa36a6790ee3fcdde.html</t>
    </r>
    <r>
      <rPr>
        <rFont val="Calibri"/>
        <sz val="11.0"/>
      </rPr>
      <t xml:space="preserve">
3. There is no matching correlation between original and replication studies
4. ES from the report, not Boyce table (the value is on Aleks row)</t>
    </r>
  </si>
  <si>
    <t>1 (younger adults only)</t>
  </si>
  <si>
    <t>https://rstudio-pubs-static.s3.amazonaws.com/817655_c94c0f2142fc466fa36a6790ee3fcdde.html</t>
  </si>
  <si>
    <t>Holistic recollection</t>
  </si>
  <si>
    <t>holistic recollection, memory development, pattern completion, episodic memory, open data, open materials</t>
  </si>
  <si>
    <t>Development of holistic episodic recollection</t>
  </si>
  <si>
    <t>"We found that within-event retrieval accuracy was dependent in young adults: Dependency (M = .07, SE = .01, 95% CI = [.05, .08]) was significantly greater than zero, t(30) = 7.37, p &lt; .001, d = 1.32, 95% CI = [0.83, 1.80]"</t>
  </si>
  <si>
    <t>https://osf.io/t3rpq</t>
  </si>
  <si>
    <t>Boyce_etal2023103</t>
  </si>
  <si>
    <t>Boyce_etal2023103_1</t>
  </si>
  <si>
    <t>Nook, E. C., Schleider, J. L., &amp; Somerville, L. H. (2017). A linguistic signature of psychological distancing in emotion regulation. Journal of Experimental Psychology: General, 146(3), 337.</t>
  </si>
  <si>
    <t>10.1037/xge0000263</t>
  </si>
  <si>
    <t>Linguistic Distancing, Reappraise Negative condition</t>
  </si>
  <si>
    <t>Participants’ writing was more distanced in the Reappraise Negative condition (M = 0.10, SD = 0.24) than in the Look Negative condition (M = -0.11, SD = 0.32), t(106) = 7.71, p &lt; .001, 95% CI = [0.15, 0.26], d = 0.72.</t>
  </si>
  <si>
    <t>p.12</t>
  </si>
  <si>
    <t>Boyce_etal2023103_a</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</si>
  <si>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</si>
  <si>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added prereg_o, added es_repr_r, changed closeness_r to close</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</si>
  <si>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</si>
  <si>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Close replication</t>
  </si>
  <si>
    <t>Linguistic Distancing</t>
  </si>
  <si>
    <t>Emotion, emotion regulation, psychological distance, language</t>
  </si>
  <si>
    <t>Linguistic signature of psychological distancing in emotion regulation</t>
  </si>
  <si>
    <t>"Participants’ writing was more distanced in the Reappraise Negative condition (M = 0.10, SD = 0.24) than in the Look Negative condition (M = -0.11, SD = 0.32), t(106) = 7.71, p &lt; .001, 95% CI = [0.15, 0.26], d = 0.72"</t>
  </si>
  <si>
    <t>from Data sheet : https://docs.google.com/spreadsheets/d/1GZtAzaS9SynEVwyT-fs-bVPDZh374b78kaKIWves5pM/edit?gid=288814287#gid=288814287</t>
  </si>
  <si>
    <t>https://osf.io/92der</t>
  </si>
  <si>
    <t xml:space="preserve">please add in which document you found the statistical values for the replication (dataset) </t>
  </si>
  <si>
    <t>Nikita, SMS, LR</t>
  </si>
  <si>
    <t>Boyce_etal2023103_b</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</si>
  <si>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</si>
  <si>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claim page and es_repr_o page corrected, added prereg_o, changed closeness_r to close</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</si>
  <si>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</si>
  <si>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success is positively correlated with linguistic distance</t>
  </si>
  <si>
    <t>"We observed a significant correlation between reappraisal success and the extent to which participants increased their linguistic distance when regulating their emotions, r(105) = .28, p = .004, 95% CI = [.09, .44]"</t>
  </si>
  <si>
    <t>https://rstudio-pubs-static.s3.amazonaws.com/694306_59178dc09b8648e598a3e535876c9246.html#Results</t>
  </si>
  <si>
    <t>please add the link you put into the notes for coder also to the variable es_repr_r</t>
  </si>
  <si>
    <t>Boyce_etal2023103_c</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</si>
  <si>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</si>
  <si>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added es_repr_r, changed claim_o, es_repr_o, changed closeness_r to close</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</si>
  <si>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</si>
  <si>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is not correlated with positive affect words</t>
  </si>
  <si>
    <t>"Reappraisal success was not associated with changes in the use of positive affect words, r(105) = .06, p = .560"</t>
  </si>
  <si>
    <t>Boyce_etal2023103_d</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</si>
  <si>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</si>
  <si>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added prereg_o, changed closeness_r to close</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</si>
  <si>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</si>
  <si>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Reappraisal is negatively correlated with negative affect words</t>
  </si>
  <si>
    <t>"Greater reappraisal success was also associated with reduced use of negative affect words when regulating as compared to when responding naturally, r(105) = -.32, p &lt; .001"</t>
  </si>
  <si>
    <t>Boyce_etal2023103_e</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</si>
  <si>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</si>
  <si>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changed closeness_r to close, changed es_value_o from eta squared to d</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</si>
  <si>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</si>
  <si>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reported feeling less negative when writing about images in the Reappraise Negative conditionm than in Look Negative</t>
  </si>
  <si>
    <t>"Self-reported negative affect ratings differed significantly across conditions, F(2,212) = 297.20, p &lt; .001, partial eta-square = .74, 90% CI = [.69, .77]"</t>
  </si>
  <si>
    <t>F(2,212) = 297.20</t>
  </si>
  <si>
    <t>t(1041) = -3.4396</t>
  </si>
  <si>
    <t>Nikita, LR</t>
  </si>
  <si>
    <t>Boyce_etal2023103_f</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</si>
  <si>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</si>
  <si>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t>changed closeness_r to close</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</si>
  <si>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</si>
  <si>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used fewer negative affect words in the Reappraise Negative condition than in the Look Negative condition</t>
  </si>
  <si>
    <t>"The prevalence of negative affect terms differed significantly across conditions, F(2, 212) = 185.49, p &lt; .001, partial eta-square = .64, 90% CI = [.57, .68]"</t>
  </si>
  <si>
    <t>F(2, 212) = 185.49</t>
  </si>
  <si>
    <t>t(1116.5) = -0.27195</t>
  </si>
  <si>
    <t>Boyce_etal2023103_g</t>
  </si>
  <si>
    <r>
      <rPr>
        <rFont val="Calibri"/>
        <sz val="11.0"/>
      </rPr>
      <t xml:space="preserve">1. The data was absent in the database, but I found it here: </t>
    </r>
    <r>
      <rPr>
        <rFont val="Calibri"/>
        <color rgb="FF1155CC"/>
        <sz val="11.0"/>
        <u/>
      </rPr>
      <t xml:space="preserve">https://rstudio-pubs-static.s3.amazonaws.com/694306_59178dc09b8648e598a3e535876c9246.html
</t>
    </r>
    <r>
      <rPr>
        <rFont val="Calibri"/>
        <sz val="11.0"/>
      </rPr>
      <t>2. Conceptual replication because authors reduced amount of trials
3. The original paper was added as 10.1037xge0000263.pdf</t>
    </r>
  </si>
  <si>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</si>
  <si>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Participants’ writing was more distanced in the Reappraise Negative condition than in the Look Negative condition</t>
  </si>
  <si>
    <t>"The composite measure of linguistic distancing differed significantly across conditions, F(2, 212) = 35.97, p &lt; .001, partial eta-square = .25, 90% CI = [.17, .33]"</t>
  </si>
  <si>
    <t>Boyce_etal2023104</t>
  </si>
  <si>
    <t>Boyce_etal2023104_1</t>
  </si>
  <si>
    <t>I assume that the results indicated by Aleksandr are not matching</t>
  </si>
  <si>
    <t>O'Brien, E. (2015). Mapping out past and future minds: The perceived trajectory of rationality versus emotionality over time. Journal of Experimental Psychology: General, 144(3), 624.</t>
  </si>
  <si>
    <t>Study 4</t>
  </si>
  <si>
    <t>For the fun version of the task, participants motivated by their past self completed more trials (M  6.90, SD  3.57) than did participants motivated by their
future self (M  5.03, SD  3.43), F(1, 220)  9.95, p  .002, n2  .04.</t>
  </si>
  <si>
    <t>632-633</t>
  </si>
  <si>
    <t>p.633</t>
  </si>
  <si>
    <t>Boyce_etal2023104_a</t>
  </si>
  <si>
    <r>
      <rPr>
        <rFont val="Calibri"/>
        <sz val="11.0"/>
      </rPr>
      <t xml:space="preserve">1. The data for checking is taking from: </t>
    </r>
    <r>
      <rPr>
        <rFont val="Calibri"/>
        <color rgb="FF1155CC"/>
        <sz val="11.0"/>
        <u/>
      </rPr>
      <t xml:space="preserve">https://osf.io/fd9kq
</t>
    </r>
    <r>
      <rPr>
        <rFont val="Calibri"/>
        <sz val="11.0"/>
      </rPr>
      <t>2. There were changes in experimental procedure -&gt; conceptual 
3. The original paper was added as: 10.1037xge0000064.pdf</t>
    </r>
  </si>
  <si>
    <t>Page corrected</t>
  </si>
  <si>
    <t>Mind perception</t>
  </si>
  <si>
    <t>Mind perception; change; mental time travel; emotions; rationality</t>
  </si>
  <si>
    <t>Participants completed more “fun” tasks than “self-control” tasks</t>
  </si>
  <si>
    <t>"There was [...] an incidental effect of task such that participants completed more “fun” tasks (M = 5.92) than “self-control” tasks (M = 4.06), F(1, 220) = 19.91, p &lt; .001, eta-square = .08"</t>
  </si>
  <si>
    <t>F(1, 146) = 3.21</t>
  </si>
  <si>
    <t>https://osf.io/tyvbw</t>
  </si>
  <si>
    <t>Boyce_etal2023104_b</t>
  </si>
  <si>
    <r>
      <rPr>
        <rFont val="Calibri"/>
        <sz val="11.0"/>
      </rPr>
      <t xml:space="preserve">1. The data for checking is taking from: </t>
    </r>
    <r>
      <rPr>
        <rFont val="Calibri"/>
        <color rgb="FF1155CC"/>
        <sz val="11.0"/>
        <u/>
      </rPr>
      <t xml:space="preserve">https://osf.io/fd9kq
</t>
    </r>
    <r>
      <rPr>
        <rFont val="Calibri"/>
        <sz val="11.0"/>
      </rPr>
      <t>2. There were changes in experimental procedure -&gt; conceptual 
3. The original paper was added as: 10.1037xge0000064.pdf</t>
    </r>
  </si>
  <si>
    <t>For the fun version of the task, participants motivated by their past self completed more trials than did participants motivated by their future self, however this logic reversed in the self-control version of the task</t>
  </si>
  <si>
    <t>"Importantly, this effect was qualified by a predicted interaction with role model, F(1, 220) = 12.45, p &lt; .001, eta-square = .05"</t>
  </si>
  <si>
    <t>F(1, 146) = 1.47</t>
  </si>
  <si>
    <t>Boyce_etal2023105</t>
  </si>
  <si>
    <t>Boyce_etal2023105_1</t>
  </si>
  <si>
    <t>No statstics for original study available in Boyce, so not really possible ti understand what exactly was replicated, except for that it was experiment 3(based on sample size)</t>
  </si>
  <si>
    <t>Oh, D., Buck, E. A., &amp; Todorov, A. (2019). Revealing hidden gender biases in competence impressions of faces. Psychological Science, 30(1), 65-79.</t>
  </si>
  <si>
    <t>10.1177/0956797618813092</t>
  </si>
  <si>
    <t>exact</t>
  </si>
  <si>
    <t>Experiment 3</t>
  </si>
  <si>
    <t>1. Changed the Discipline from Psychology to "Cognitive Psychology"
2. Since no test results are provided anywhere except the table, it is impossible to check the values. I marked them with the color. Since no statistical inferences are described, I put NA / unsure to tail and nested columns.
3. Since there is no description of the replication attempt, I can't understand what to code in Original ES</t>
  </si>
  <si>
    <t>Exact replication</t>
  </si>
  <si>
    <t>No replication. The OSF report was registered only in Dec 2024.</t>
  </si>
  <si>
    <t>Boyce_etal2023106</t>
  </si>
  <si>
    <t>Boyce_etal2023106_1</t>
  </si>
  <si>
    <t>1. The test statistics is t(41) = -5.0574 from the replication report (not d reported, but taken from Boyce table) 
2. Effect. tags, prereg_r and description corrected</t>
  </si>
  <si>
    <t>Okan, Y., Garcia-Retamero, R., Cokely, E. T., &amp; Maldonado, A. (2018). Biasing and debiasing health decisions with bar graphs: Costs and benefits of graph literacy. Quarterly Journal of Experimental Psychology, 71(12), 2506-2519.</t>
  </si>
  <si>
    <t>10.1177/1747021817744546</t>
  </si>
  <si>
    <t>Within-the-bar bias</t>
  </si>
  <si>
    <t>Graph comprehension; graph design; medical decision-making; graph literacy; risk communication</t>
  </si>
  <si>
    <t>Within-the-bar condition resulted in a larger and significant bias in rating</t>
  </si>
  <si>
    <t>"Consistent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</si>
  <si>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https://osf.io/8e5cg</t>
  </si>
  <si>
    <t>Boyce_etal2023106_a</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</si>
  <si>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</si>
  <si>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t(41) = 5.06</t>
  </si>
  <si>
    <t>https://rstudio-pubs-static.s3.amazonaws.com/695666_50d31a83674d49bd8c1f5c55c3647f10.html</t>
  </si>
  <si>
    <t>Boyce_etal2023106_b</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</si>
  <si>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</si>
  <si>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Within-the-dot condition resulted in a non-significant bias in rating</t>
  </si>
  <si>
    <t>"A tendency in the same direction was also observed among those presented with [...] the dot plot (judgement below: M=4.41, SD=2.21; judgement above: M=2.72, SD=1.67)"</t>
  </si>
  <si>
    <t>t(38) = -2.5608</t>
  </si>
  <si>
    <t>Boyce_etal2023106_c</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</si>
  <si>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</si>
  <si>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The model explained moderate varience</t>
  </si>
  <si>
    <t>"This model explained a moderate and significant amount of variance, R2=.05, F(5, 605)=6.57, p&lt;.001"</t>
  </si>
  <si>
    <t>Boyce_etal2023106_d</t>
  </si>
  <si>
    <t xml:space="preserve">1. Discipline - changed to cognitive
2. If printing the replication report to obtain PDF, the browser only gives one page (Chrome, Edge), thus there is no opporunity to indicate the page for replication results. </t>
  </si>
  <si>
    <t>Dot plots reduced the bias</t>
  </si>
  <si>
    <t>"As expected, [...] dot plots significantly reduced the bias, β=−.17, t=3.66, p&lt;.001 (see Figure 5)"</t>
  </si>
  <si>
    <t>Boyce_etal2023106_e</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</si>
  <si>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</si>
  <si>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Graph literacy was positively correlated with bias</t>
  </si>
  <si>
    <t>"[...] higher graph literacy related to stronger bias, β=.22, t=3.23, p=.001"</t>
  </si>
  <si>
    <t>Boyce_etal2023106_f</t>
  </si>
  <si>
    <r>
      <rPr>
        <rFont val="Calibri"/>
        <sz val="11.0"/>
      </rPr>
      <t xml:space="preserve">1. Discipline - changed to cognitive
2. If printing the replication report to obtain PDF, the browser only gives one page (Chrome, Edge), thus there is no opporunity to indicate the page for replication results. 
3. From the report: </t>
    </r>
    <r>
      <rPr>
        <rFont val="Calibri"/>
        <color rgb="FF1155CC"/>
        <sz val="11.0"/>
        <u/>
      </rPr>
      <t>https://rstudio-pubs-static.s3.amazonaws.com/695666_50d31a83674d49bd8c1f5c55c3647f10.html</t>
    </r>
  </si>
  <si>
    <t>The relation between graph literacy and display type was not significantly different in bar and dot conditions</t>
  </si>
  <si>
    <t>"The interaction terms between graph literacy and display type were [...] marginally significant ([...] β=−.10, t=1.82, p=.07 for bars vs dot plot)"</t>
  </si>
  <si>
    <t>Boyce_etal2023107</t>
  </si>
  <si>
    <t>Boyce_etal2023107_1</t>
  </si>
  <si>
    <t>O’Keefe, P. A., Dweck, C. S., &amp; Walton, G. M. (2018). Implicit theories of interest: Finding your passion or developing it?. Psychological science, 29(10), 1653-1664.</t>
  </si>
  <si>
    <t>10.1177/0956797618780643</t>
  </si>
  <si>
    <t>Study 2</t>
  </si>
  <si>
    <t>The more students endorsed a fixed theory, the less interest they expressed in the article that mismatched their inter- est identity,</t>
  </si>
  <si>
    <t>https://osf.io/5fzqp/</t>
  </si>
  <si>
    <t>Implicit theories of interest</t>
  </si>
  <si>
    <t>Motivation, social cognition, interest, passion, implicit self-theories</t>
  </si>
  <si>
    <t>The more students endorsed a fixed theory, the less interest they expressed in the article that mismatched their interest identity</t>
  </si>
  <si>
    <t>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</si>
  <si>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F(1, 137) = 7.46</t>
  </si>
  <si>
    <t>F(1, 70)=2.4602</t>
  </si>
  <si>
    <t>Boyce dataset: https://osf.io/kspm6</t>
  </si>
  <si>
    <t>https://osf.io/4uj6v</t>
  </si>
  <si>
    <t>Here - and in some other places - prereg_o contains the repl prereg. this must be for the original study</t>
  </si>
  <si>
    <t>Boyce_etal2023108</t>
  </si>
  <si>
    <t>Boyce_etal2023108_1</t>
  </si>
  <si>
    <t>sampl O is 302, not 300 as syayed in Boyce dataset</t>
  </si>
  <si>
    <t>Difference in n_o</t>
  </si>
  <si>
    <t>Okonofua, J. A., Paunesku, D., &amp; Walton, G. M. (2016). Brief intervention to encourage empathic discipline cuts suspension rates in half among adolescents. Proceedings of the National Academy of Sciences, 113(19), 5221-5226.</t>
  </si>
  <si>
    <t>10.1073/pnas.1523698113</t>
  </si>
  <si>
    <t>As predicted, college students reported that, as middle-school students, they would respect the teacher far more in the empathic- mindset than in the punitive-discipline condition</t>
  </si>
  <si>
    <t>1. Replication data report was absent and there was no one for study 2, except the initial steps of the replication (no analysis/results)
2. Discipline is changed to "Social psychology"</t>
  </si>
  <si>
    <t>Empathic mindset</t>
  </si>
  <si>
    <t>Teacher–student relationships, empathy,  respect, school suspensions, discipline</t>
  </si>
  <si>
    <t>Brief intervention to encourage empathic discipline cuts suspension rates in half among adolescents</t>
  </si>
  <si>
    <t>"College students reported that, as middle-school students, they would respect the teacher far more in the empathic-mindset than in the punitive-discipline condition (M = 5.23, SD = 1.14 versus M = 2.47, SD = 1.09), t(300) = 20.98, P &lt; 0.001, d = 2.42"</t>
  </si>
  <si>
    <t>Boyce_etal2023109</t>
  </si>
  <si>
    <t>Boyce_etal2023109_1</t>
  </si>
  <si>
    <t>statistics is missing in the dataset, data for R identified and extracted from the report</t>
  </si>
  <si>
    <t>Page and ES incorrect</t>
  </si>
  <si>
    <t>Otto, R. A., Skatova, A., Madlon-Kay, S., &amp; Daw, N. (2014). Cognitive Control Mode Predicts Behavioral Expression of Model-Based Reinforcement-Learning. In Proceedings of the Annual Meeting of the Cognitive Science Society (Vol. 36, No. 36).</t>
  </si>
  <si>
    <t>10.1162/jocn_a_00709</t>
  </si>
  <si>
    <t>experiment 1, Reward × Transition × Stroop (infrequent)</t>
  </si>
  <si>
    <t>interference effects in the Stroop color-naming task relate to the expression of model-based choice in sequential choice.. ... Table 2 - Reward × Transition × Stroop (infrequent)</t>
  </si>
  <si>
    <t>p.325</t>
  </si>
  <si>
    <t>Boyce_etal2023109_1_a</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</si>
  <si>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</si>
  <si>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Cognitive control</t>
  </si>
  <si>
    <t>Behavior, reinforcement learning, cognitive control, decision making, individual differences, neural substrate, sequential choice, control paradigm</t>
  </si>
  <si>
    <t>Stroop interference predicts a decreased model-based choice contribution</t>
  </si>
  <si>
    <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</si>
  <si>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p. 9, https://github.com/vboyce/251-254-MA/blob/main/reports/otto2014.pdf </t>
  </si>
  <si>
    <t>Boyce_etal2023109_1_b</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</si>
  <si>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</si>
  <si>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Predictive effect of susceptibility to response conflict was limited to model-based rather than model-free choice contribution in the infrequent condition</t>
  </si>
  <si>
    <t>"There was no significant effect of infrequent IE upon previous reward (p = .307) suggesting that the predictive effect of susceptibility to response conflict was limited to model-based rather than model-free choice contribution"</t>
  </si>
  <si>
    <t>p. 25</t>
  </si>
  <si>
    <t xml:space="preserve">p. 9,https://github.com/vboyce/251-254-MA/blob/main/reports/otto2014.pdf </t>
  </si>
  <si>
    <t>Boyce_etal2023109_1_c</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</si>
  <si>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</si>
  <si>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Rewards significantly influence the repetition of the previous choice</t>
  </si>
  <si>
    <t>"A logistic regression revealed a significant main effect of reward (p&lt;.0001), indicating model-free learning [...] (the third through fifth coefficients in Table 2)"</t>
  </si>
  <si>
    <t>Z = 1.992, N = 31</t>
  </si>
  <si>
    <t xml:space="preserve">p. 6, https://github.com/vboyce/251-254-MA/blob/main/reports/otto2014.pdf </t>
  </si>
  <si>
    <t>Boyce_etal2023109_1_d</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</si>
  <si>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</si>
  <si>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Rewards and transition interaction (rare / common) significantly influence the repetition of the previous choice</t>
  </si>
  <si>
    <t>"A logistic regression revealed a significant [...] interaction between reward and transition type (p&lt;.01), the signature of model-based contributions (the third through fifth coefficients in Table 2)"</t>
  </si>
  <si>
    <t>Z = 2.28, N = 31</t>
  </si>
  <si>
    <t>Boyce_etal2023109_1_e</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</si>
  <si>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</si>
  <si>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Transition interaction (rare / common) did not influence the repetition of the previous choice</t>
  </si>
  <si>
    <t>"[...] the signature of model-based contributions (the third through fifth coefficients in Table 2)"</t>
  </si>
  <si>
    <t>Z = -2.75, N = 31</t>
  </si>
  <si>
    <t>Boyce_etal2023109_1_f</t>
  </si>
  <si>
    <r>
      <rPr>
        <rFont val="Calibri"/>
        <sz val="11.0"/>
      </rPr>
      <t xml:space="preserve">1. Keywords were taken from fingerprints at </t>
    </r>
    <r>
      <rPr>
        <rFont val="Calibri"/>
        <color rgb="FF1155CC"/>
        <sz val="11.0"/>
        <u/>
      </rPr>
      <t xml:space="preserve">https://nyuscholars.nyu.edu/en/publications/cognitive-control-predicts-use-of-model-based-reinforcement-learn
</t>
    </r>
    <r>
      <rPr>
        <rFont val="Calibri"/>
        <sz val="11.0"/>
      </rPr>
      <t>2. In the replication report Otto reported the final sample to be 25 (p. 5)
3. In the replication report the alpha level is not specified, however, it is specified in the original study. As the replication is close, I consider the replication study to use the same alpha level
4. The original paper was added as 10.1162jocn_a_00709.pdf</t>
    </r>
  </si>
  <si>
    <t>Predictive effect of susceptibility to response conflict was not limited to model-based choice in the frequent condition</t>
  </si>
  <si>
    <t>"However, we found no significant (or even negatively trending) relationship between frequent IE and model-based choice (p=.143, Figure 2B) [...]"</t>
  </si>
  <si>
    <t>Boyce_etal202311</t>
  </si>
  <si>
    <t>Boyce_etal202311_1</t>
  </si>
  <si>
    <t>Blankenship, K. L., &amp; Wegener, D. T. (2008). Opening the mind to close it: considering a message in light of important values increases message processing and later resistance to change. Journal of Personality and Social Psychology, 94(2), 196.</t>
  </si>
  <si>
    <t>10.1037/0022-3514.94.2.94.2.196</t>
  </si>
  <si>
    <t>participants reported greater involvement with the issue of whether more nuclear power plants should be built in Canada when they had previously considered values that were important (M  7.22, SD  1.48) rather than unimportant (M  6.49, SD  2.06).</t>
  </si>
  <si>
    <t>p. 208</t>
  </si>
  <si>
    <t>Aleksandr</t>
  </si>
  <si>
    <t>Merged</t>
  </si>
  <si>
    <t>5A</t>
  </si>
  <si>
    <t>https://osf.io/v3e2z</t>
  </si>
  <si>
    <t>Persuasion</t>
  </si>
  <si>
    <t>Values, information processing, resistance to persuasion</t>
  </si>
  <si>
    <t>Considering a message in light of important values increases message processing and later resistance to change</t>
  </si>
  <si>
    <t>The predicted Value x Argument Quality interaction was significant for Study 5A, F(1, 257) = 11.58, p = .002 [...]. That is, the difference between the strong and weak argument conditions was greater when values were important rather than unimportant.</t>
  </si>
  <si>
    <t>F(1, 257) = 11.58</t>
  </si>
  <si>
    <t>F(1, 247) = .49</t>
  </si>
  <si>
    <t>Nikita, LW, LR</t>
  </si>
  <si>
    <r>
      <rPr>
        <rFont val="Calibri"/>
        <sz val="11.0"/>
      </rPr>
      <t xml:space="preserve">1. Discipline - changed
2. There is no replication of study 5B open, only study 5A: </t>
    </r>
    <r>
      <rPr>
        <rFont val="Calibri"/>
        <color rgb="FF1155CC"/>
        <sz val="11.0"/>
        <u/>
      </rPr>
      <t>https://osf.io/2gx4k/wiki/home/</t>
    </r>
  </si>
  <si>
    <t>5B</t>
  </si>
  <si>
    <t>"Similarly, participants reported greater involvement with the issue of whether more nuclear power plants should be built in Canada when they had previously considered values that were important (M = 7.22, SD = 1.48) rather than unimportant (M = 6.49, SD = 2.06)"</t>
  </si>
  <si>
    <t>0.05063469690341634</t>
  </si>
  <si>
    <t>0.46605449515145414</t>
  </si>
  <si>
    <t>Boyce_etal2023110_1</t>
  </si>
  <si>
    <t>Boyce_etal2023110_1_a</t>
  </si>
  <si>
    <t>No second coder data</t>
  </si>
  <si>
    <t>Paxton, J. M., Ungar, L., &amp; Greene, J. D. (2012). Reflection and reasoning in moral judgment. Cognitive science, 36(1), 163-177.</t>
  </si>
  <si>
    <t>10.1111/j.1551-6709.2011.01210.x</t>
  </si>
  <si>
    <t>Moral reflection</t>
  </si>
  <si>
    <t>Dual-process model; Moral decision making; Moral judgment; Moral psychology; Moral reasoning; Morality; Reflection; Social intuitionist model</t>
  </si>
  <si>
    <t>The responses before and after in the test are equal, highlighling the reliability across dilemmas</t>
  </si>
  <si>
    <t>"Critically, the proportion of subjects in each condition was statistically indistinguishable before and after exclusion (Pre-Exclusion CRT-First: 65 of 150 [43%], Post-Exclusion CRT-First: 41 of 92 [45%], chi-square = .003, p = .96)"</t>
  </si>
  <si>
    <t>χ²(1) = 0.003</t>
  </si>
  <si>
    <t>X2(1) = 0.22801</t>
  </si>
  <si>
    <t>Boyce_etal2023110_1_b</t>
  </si>
  <si>
    <t>Subjects in the CRT-First condition (inducing more reflective attributions) judged the utilitarian actions to be more acceptable</t>
  </si>
  <si>
    <t>"Subjects in the CRT-First condition judged the utilitarian actions to be more acceptable (CRT-First: M = 3.77; Dilemmas-First: M = 3.25; t(90) = 2.03, p = .05, d = 0.43)"</t>
  </si>
  <si>
    <t>t(80) = -0.35568,</t>
  </si>
  <si>
    <t>Boyce_etal2023110_1_c</t>
  </si>
  <si>
    <t>Higher CRT scores would correlate positively with utilitarian judgments</t>
  </si>
  <si>
    <t>"Again collapsing across all three dilemmas, we examined data from subjects in the CRT-First condition and observed a robust positive correlation between CRT scores and moral acceptability ratings, consistent with our second prediction (r = .39, p = .001; see Fig. 1)"</t>
  </si>
  <si>
    <t>t(48) = 1.0144</t>
  </si>
  <si>
    <t>Boyce_etal2023110_1_d</t>
  </si>
  <si>
    <t>The relationships between the variables are not equal since the correlation coefficients are different</t>
  </si>
  <si>
    <t>"A Fischer r–z test confirmed that these correlations differed significantly (z = 2.6, p = .01).</t>
  </si>
  <si>
    <t>z = 2.6</t>
  </si>
  <si>
    <t>z = 0.47</t>
  </si>
  <si>
    <t>Boyce_etal2023110_1_e</t>
  </si>
  <si>
    <t>The reported effects of the CRT was not the effects of performing a task of some non-specific kind</t>
  </si>
  <si>
    <t>"To test this hypothesis, we compared the CRT scores across the two conditions and found no significant effect (CRT-First: M = 1.32; Dilemmas-First: M = 1.16; t(148) = 0.83, p = .41)"</t>
  </si>
  <si>
    <t>t(148) = 0.83</t>
  </si>
  <si>
    <t>t(139) = 1.3332</t>
  </si>
  <si>
    <t>Boyce_etal2023111</t>
  </si>
  <si>
    <t>Boyce_etal2023111_1</t>
  </si>
  <si>
    <t>Payne, J. D., Stickgold, R., Swanberg, K., &amp; Kensinger, E. A. (2008). Sleep preferentially enhances memory for emotional components of scenes. Psychological science, 19(8), 781-788.</t>
  </si>
  <si>
    <t>10.1111/j.1467-9280.2008.02157.x</t>
  </si>
  <si>
    <t>https://osf.io/vewk7</t>
  </si>
  <si>
    <t>after sleep</t>
  </si>
  <si>
    <t>Negative, but not neutral, objects were better remembered after
sleep than after wake,</t>
  </si>
  <si>
    <t>p.785</t>
  </si>
  <si>
    <t>Boyce_etal2023111_1_f</t>
  </si>
  <si>
    <t>1. Conceptual replication - because laboratory study was replicated online
2. I am not sure what exactly should I indicate in the Effect</t>
  </si>
  <si>
    <t>Sleep effect on emotional memory</t>
  </si>
  <si>
    <t>Arousal, Attention, Circadian Rhythm, Emotions, Humans, Pattern Recognition, Visual, Retention, Sleep, Wakefulness</t>
  </si>
  <si>
    <t>There is an emotional-memory trade-off: general recognition is significantly influenced by the interaction of condition (sleep, wake) and scene component (object, background)</t>
  </si>
  <si>
    <t>"A 2 (condition: sleep, wake) x 2 (valence: negative, neutral) x 2 (scene component: object, background) mixed ANOVA on general recognition revealed interaction [...] between condition and scene component, F(1, 46) = 7.6, p = .008, partial eta-square = .14"</t>
  </si>
  <si>
    <r>
      <rPr>
        <rFont val="Arial"/>
      </rPr>
      <t xml:space="preserve">p. 7, </t>
    </r>
    <r>
      <rPr>
        <rFont val="Arial"/>
        <color rgb="FF1155CC"/>
        <u/>
      </rPr>
      <t>https://github.com/vboyce/251-254-MA/blob/main/reports/RPubs%20-%20PSYCH251%20replication%20report%20(Payne%20et%20al.%202008)_files/441449_2ab956b7171d461482fea234aafa8710.html</t>
    </r>
  </si>
  <si>
    <t>https://osf.io/mj7nd</t>
  </si>
  <si>
    <t>Boyce_etal2023111_1_g</t>
  </si>
  <si>
    <t>There is an emotional-memory trade-off: general recognition is significantly influenced by the interaction of condition (sleep, wake) and valence (negative, neutral)</t>
  </si>
  <si>
    <t>"A 2 (condition: sleep, wake) x 2 (valence: negative, neutral) x 2 (scene component: object, background) mixed ANOVA on general recognition revealed interactions between condition and valence, F(1, 46) = 13.1, p = .001, partial eta-square = .20"</t>
  </si>
  <si>
    <r>
      <rPr>
        <rFont val="Arial"/>
      </rPr>
      <t xml:space="preserve">p. 7, </t>
    </r>
    <r>
      <rPr>
        <rFont val="Arial"/>
        <color rgb="FF1155CC"/>
        <u/>
      </rPr>
      <t>https://github.com/vboyce/251-254-MA/blob/main/reports/RPubs%20-%20PSYCH251%20replication%20report%20(Payne%20et%20al.%202008)_files/441449_2ab956b7171d461482fea234aafa8710.html</t>
    </r>
  </si>
  <si>
    <t>Boyce_etal2023111_1_h</t>
  </si>
  <si>
    <t>There is an emotional-memory trade-off: general recognition is significantly influenced by the interaction of factors</t>
  </si>
  <si>
    <t>"A 2 (condition: sleep, wake) x 2 (valence: negative, neutral) x 2 (scene component: object, background) mixed ANOVA on general recognition revealed interaction [...] among the three factors, F(1, 46) = 4.7, p = .03, partial eta-square = .10 (see Figs. 3a and 3b)"</t>
  </si>
  <si>
    <r>
      <rPr>
        <rFont val="Arial"/>
      </rPr>
      <t xml:space="preserve">p. 7, </t>
    </r>
    <r>
      <rPr>
        <rFont val="Arial"/>
        <color rgb="FF1155CC"/>
        <u/>
      </rPr>
      <t>https://github.com/vboyce/251-254-MA/blob/main/reports/RPubs%20-%20PSYCH251%20replication%20report%20(Payne%20et%20al.%202008)_files/441449_2ab956b7171d461482fea234aafa8710.html</t>
    </r>
  </si>
  <si>
    <t>Boyce_etal2023111_1_i</t>
  </si>
  <si>
    <t>Sleep selectively preserved memory for the scene’s negative emotional objects</t>
  </si>
  <si>
    <t>"Negative, but not neutral, objects were better remembered after sleep than after wake, F(1, 46) = 11.5, p = .001, partial eta-square = .20."</t>
  </si>
  <si>
    <r>
      <rPr>
        <rFont val="Arial"/>
      </rPr>
      <t xml:space="preserve">p. 7, </t>
    </r>
    <r>
      <rPr>
        <rFont val="Arial"/>
        <color rgb="FF1155CC"/>
        <u/>
      </rPr>
      <t>https://github.com/vboyce/251-254-MA/blob/main/reports/RPubs%20-%20PSYCH251%20replication%20report%20(Payne%20et%20al.%202008)_files/441449_2ab956b7171d461482fea234aafa8710.html</t>
    </r>
  </si>
  <si>
    <t>Boyce_etal2023111_1_j</t>
  </si>
  <si>
    <t>Sleep does not preserve memory for the scene’s background regardless their valence</t>
  </si>
  <si>
    <t>"In contrast, sleep offered no benefit for backgrounds, regardless of whether they were presented with negative or neutral objects (Valence x Condition interaction, p &gt; .10)"</t>
  </si>
  <si>
    <r>
      <rPr>
        <rFont val="Arial"/>
      </rPr>
      <t xml:space="preserve">p. 8, p. 7, </t>
    </r>
    <r>
      <rPr>
        <rFont val="Arial"/>
        <color rgb="FF1155CC"/>
        <u/>
      </rPr>
      <t>https://github.com/vboyce/251-254-MA/blob/main/reports/RPubs%20-%20PSYCH251%20replication%20report%20(Payne%20et%20al.%202008)_files/441449_2ab956b7171d461482fea234aafa8710.html</t>
    </r>
  </si>
  <si>
    <t>Boyce_etal2023112</t>
  </si>
  <si>
    <t>Boyce_etal2023112_1</t>
  </si>
  <si>
    <t>d calculated based on provided statistics in the O</t>
  </si>
  <si>
    <t>Focused on two pairwise comparisons, and thus entered sample size for two pairs. In replication, only overall sample (with non-missing data quality) visible, so equal group sizes assumed to calculate sample size for pairwise comparisons.</t>
  </si>
  <si>
    <t>Peer, E., Rothschild, D., Gordon, A., Evernden, Z., &amp; Damer, E. (2022). Data quality of platforms and panels for online behavioral research. Behavior Research Methods, 54(4), 1643-1662.</t>
  </si>
  <si>
    <t>10.3758/s13428-021-01694-3</t>
  </si>
  <si>
    <t>http://rpubs.com/kimiasaadatian/replicationreport</t>
  </si>
  <si>
    <t>Data quality on Prolific vs MTurk</t>
  </si>
  <si>
    <t>Data quality, Online research, Attention, Comprehension, Reliability, Honesty, Amazon mechanical turk, Prolific</t>
  </si>
  <si>
    <t>Overall data quality score: [...] We found statistically significant differences between the sites on this measure, F(2, 1458) = 129.4, p &lt; .001, which showed higher scores for Prolific (M = 5.87, SD = 1.0) [...] compared to MTurk (M = 4.55, SD = 1.9)</t>
  </si>
  <si>
    <t>p. 1655</t>
  </si>
  <si>
    <t>p. 13: =(5.87-4.55)/SQRT((1^2+1.9^2)/2)</t>
  </si>
  <si>
    <t>https://osf.io/txe4d</t>
  </si>
  <si>
    <t>https://rpubs.com/kimiasaadatian/replicationreport: =(6.26-4.75)/SQRT((1.41^2+2.47^2)/2)</t>
  </si>
  <si>
    <t>https://osf.io/e6cps</t>
  </si>
  <si>
    <t>Data quality on CR vs MTurk</t>
  </si>
  <si>
    <t>Overall data quality score: [...] We found statistically significant differences between the sites on this measure, F(2, 1458) = 129.4, p &lt; .001, which showed higher scores for [...] CR (M = 5.78, SD = 1.1) compared to MTurk (M = 4.55, SD = 1.9)</t>
  </si>
  <si>
    <t>p. 13: =(5.78-4.55)/SQRT((1.1^2+1.9^2)/2)</t>
  </si>
  <si>
    <t>https://rpubs.com/kimiasaadatian/replicationreport: =(3.75-4.75)/SQRT((2.23^2+2.47^2)/2)</t>
  </si>
  <si>
    <r>
      <rPr>
        <rFont val="Calibri"/>
        <sz val="11.0"/>
      </rPr>
      <t xml:space="preserve">1. There is a bit of dismatching data in the replication report. Some data (like attention and so on) are taken from study 1, while the overall metric is taken from the study 2: </t>
    </r>
    <r>
      <rPr>
        <rFont val="Calibri"/>
        <color rgb="FF1155CC"/>
        <sz val="11.0"/>
        <u/>
      </rPr>
      <t xml:space="preserve">https://rstudio-pubs-static.s3.amazonaws.com/843645_4999687f04a2418cb522a69fb65ceeb8.html#Anticipated_challenges
</t>
    </r>
    <r>
      <rPr>
        <rFont val="Calibri"/>
        <sz val="11.0"/>
      </rPr>
      <t>2. The original paper was added as  10.3758s13428-021-01694-3.pdf
3. ES from report, not Boyce table</t>
    </r>
  </si>
  <si>
    <t>Data quality</t>
  </si>
  <si>
    <t>"We found statistically significant differences between the sites on this measure, F(2, 1458) = 129.4, p &lt; .001, which showed higher scores for Prolific (M = 5.87, SD = 1.0) and CR (M = 5.78, SD = 1.1) compared to MTurk (M = 4.55, SD = 1.9)"</t>
  </si>
  <si>
    <t>F(2, 1458) = 129.4</t>
  </si>
  <si>
    <t>F(2, 159) = 13.63</t>
  </si>
  <si>
    <t>p. 40</t>
  </si>
  <si>
    <t>Boyce_etal2023113</t>
  </si>
  <si>
    <t>Boyce_etal2023113_1</t>
  </si>
  <si>
    <t>statistics is missing in Boyce, rawstats = bseb=0.3661(0.2423). Report is absent</t>
  </si>
  <si>
    <t>I assume the beta is unstandardized, while second coder - standardized</t>
  </si>
  <si>
    <t>Petersen, M. B. (2017). Healthy out-group members are represented psychologically as infected in-group members. Psychological Science, 28(12), 1857-1863.</t>
  </si>
  <si>
    <t>10.1177/0956797617728270</t>
  </si>
  <si>
    <t>the number of between-group errors increased in the treatment condition, b = 0.34, p = .007, 95% CI = [0.10, 0.61].</t>
  </si>
  <si>
    <t>Boyce_etal2023113_a</t>
  </si>
  <si>
    <r>
      <rPr>
        <rFont val="Calibri"/>
        <sz val="11.0"/>
      </rPr>
      <t xml:space="preserve">1. Discipline changed
2. Replication data from: </t>
    </r>
    <r>
      <rPr>
        <rFont val="Calibri"/>
        <color rgb="FF1155CC"/>
        <sz val="11.0"/>
        <u/>
      </rPr>
      <t>https://rpubs.com/kl2018/432454</t>
    </r>
  </si>
  <si>
    <t>Prejudice</t>
  </si>
  <si>
    <t>Out-group prejudice, pathogen avoidance, disgust sensitivity, social categories, open data, open materials</t>
  </si>
  <si>
    <t>Healthy out-group members are represented psychologically as infected in-group members</t>
  </si>
  <si>
    <t>"As in the previous studies, [...] the number of between-group errors increased in the treatment condition, b = 0.34, p = .007, 95% CI = [0.10, 0.61]"</t>
  </si>
  <si>
    <t>https://osf.io/apgqj</t>
  </si>
  <si>
    <t>Boyce_etal2023113_b</t>
  </si>
  <si>
    <r>
      <rPr>
        <rFont val="Calibri"/>
        <sz val="11.0"/>
      </rPr>
      <t xml:space="preserve">1. Discipline changed
2. Replication data from: </t>
    </r>
    <r>
      <rPr>
        <rFont val="Calibri"/>
        <color rgb="FF1155CC"/>
        <sz val="11.0"/>
        <u/>
      </rPr>
      <t>https://rpubs.com/kl2018/432454</t>
    </r>
  </si>
  <si>
    <t>The decrease of correct recall was mostly due to the increase in the number of within-group errors</t>
  </si>
  <si>
    <t>"But, in contrast to Study 1 and Study 2, the decrease in correct recall was due to a very large increase in the number of within-group errors, b = 0.80, p &lt; .001, 95% CI = [0.56, 1.04]"</t>
  </si>
  <si>
    <t>Boyce_etal2023114</t>
  </si>
  <si>
    <t>Boyce_etal2023114_1</t>
  </si>
  <si>
    <t>no statistics for R provided, report is absent</t>
  </si>
  <si>
    <t>Piff, P. K., Stancato, D. M., Côté, S., Mendoza-Denton, R., &amp; Keltner, D. (2012). Higher social class predicts increased unethical behavior. Proceedings of the National Academy of Sciences, 109(11), 4086-4091.</t>
  </si>
  <si>
    <t>10.1073/pnas.1118373109</t>
  </si>
  <si>
    <t xml:space="preserve">a significant effect for the greed manipulation ...  These effects were qualified by the predicted significant
interaction between social class and the greed manipulation, </t>
  </si>
  <si>
    <t>p. 4088</t>
  </si>
  <si>
    <t xml:space="preserve">No report </t>
  </si>
  <si>
    <t>Boyce, V., Mathur, M., &amp; Frank, M. C. (2023). Eleven years of student replication projects provide evidence on the correlates of replicability in psychology. Royal Society Open Science, 10(11), 231240. https://doi.org/10.1098/rsos.231173</t>
  </si>
  <si>
    <t>10.1098/rsos.231173</t>
  </si>
  <si>
    <t>No replication</t>
  </si>
  <si>
    <r>
      <rPr>
        <rFont val="Arial"/>
      </rPr>
      <t xml:space="preserve">Removed prereg link because no preregistration exists: </t>
    </r>
    <r>
      <rPr>
        <rFont val="Arial"/>
        <color rgb="FF1155CC"/>
        <u/>
      </rPr>
      <t>https://osf.io/sxw48/</t>
    </r>
    <r>
      <rPr>
        <rFont val="Arial"/>
      </rPr>
      <t>, added link to report (</t>
    </r>
    <r>
      <rPr>
        <rFont val="Arial"/>
        <color rgb="FF1155CC"/>
        <u/>
      </rPr>
      <t>https://osf.io/rjxwe</t>
    </r>
    <r>
      <rPr>
        <rFont val="Arial"/>
      </rPr>
      <t>)</t>
    </r>
  </si>
  <si>
    <t>Priming</t>
  </si>
  <si>
    <t>Socioeconomic status, immoral action, ethical judgment, self-interest</t>
  </si>
  <si>
    <t xml:space="preserve">Participants primed with positive features of greed expressed more favorable attitudes toward greed </t>
  </si>
  <si>
    <t>"As expected, participants primed with positive features of greed expressed more favorable attitudes toward greed (M = 3.12) compared with participants in the neutral-prime condition (M = 2.42), t(87) = .72, P &lt; 0.01, d = 0.58"</t>
  </si>
  <si>
    <t>F(1, 92) = 0.20</t>
  </si>
  <si>
    <r>
      <rPr>
        <rFont val="Calibri"/>
        <sz val="11.0"/>
      </rPr>
      <t xml:space="preserve">p. 2 of </t>
    </r>
    <r>
      <rPr>
        <rFont val="Calibri"/>
        <color rgb="FF1155CC"/>
        <sz val="11.0"/>
        <u/>
      </rPr>
      <t>https://osf.io/rjxwe</t>
    </r>
  </si>
  <si>
    <t>Boyce_etal2023114_b</t>
  </si>
  <si>
    <r>
      <rPr>
        <rFont val="Arial"/>
      </rPr>
      <t xml:space="preserve">Removed prereg link because no preregistration exists: </t>
    </r>
    <r>
      <rPr>
        <rFont val="Arial"/>
        <color rgb="FF1155CC"/>
        <u/>
      </rPr>
      <t>https://osf.io/sxw48/</t>
    </r>
    <r>
      <rPr>
        <rFont val="Arial"/>
      </rPr>
      <t>, added link to report (</t>
    </r>
    <r>
      <rPr>
        <rFont val="Arial"/>
        <color rgb="FF1155CC"/>
        <u/>
      </rPr>
      <t>https://osf.io/rjxwe</t>
    </r>
    <r>
      <rPr>
        <rFont val="Arial"/>
      </rPr>
      <t>)</t>
    </r>
  </si>
  <si>
    <t>Higher social class predicts increased unethical behavior</t>
  </si>
  <si>
    <t>"Results yielded a significant effect for social class, such that upper-class participants reported more unethical behavior than lower-class participants, b = 0.13, SE b = 0.07, t(84) = 2.00, P &lt; 0.05"</t>
  </si>
  <si>
    <t>F(1, 92) = 3.20</t>
  </si>
  <si>
    <r>
      <rPr>
        <rFont val="Calibri"/>
        <sz val="11.0"/>
      </rPr>
      <t xml:space="preserve">p. 2 of </t>
    </r>
    <r>
      <rPr>
        <rFont val="Calibri"/>
        <color rgb="FF1155CC"/>
        <sz val="11.0"/>
        <u/>
      </rPr>
      <t>https://osf.io/rjxwe</t>
    </r>
  </si>
  <si>
    <t>Boyce_etal2023114_c</t>
  </si>
  <si>
    <r>
      <rPr>
        <rFont val="Arial"/>
      </rPr>
      <t xml:space="preserve">Removed prereg link because no preregistration exists: </t>
    </r>
    <r>
      <rPr>
        <rFont val="Arial"/>
        <color rgb="FF1155CC"/>
        <u/>
      </rPr>
      <t>https://osf.io/sxw48/</t>
    </r>
    <r>
      <rPr>
        <rFont val="Arial"/>
      </rPr>
      <t>, added link to report (</t>
    </r>
    <r>
      <rPr>
        <rFont val="Arial"/>
        <color rgb="FF1155CC"/>
        <u/>
      </rPr>
      <t>https://osf.io/rjxwe</t>
    </r>
    <r>
      <rPr>
        <rFont val="Arial"/>
      </rPr>
      <t>)</t>
    </r>
  </si>
  <si>
    <t>In the neutral-prime condition, upper-class participants reported significantly more unethical behavior, but when priming with positive aspects of greed, lower-class articipants exhibited high levels of unethical behavior</t>
  </si>
  <si>
    <t>"These effects were qualified by the predicted significant interaction between social class and the greed manipulation, b =−0.24, SE b=0.18, t(84) = −2.34, P &lt; 0.03"</t>
  </si>
  <si>
    <t>F(1,92) = 0.89</t>
  </si>
  <si>
    <r>
      <rPr>
        <rFont val="Calibri"/>
        <sz val="11.0"/>
      </rPr>
      <t xml:space="preserve">p. 2 of </t>
    </r>
    <r>
      <rPr>
        <rFont val="Calibri"/>
        <color rgb="FF1155CC"/>
        <sz val="11.0"/>
        <u/>
      </rPr>
      <t>https://osf.io/rjxwe</t>
    </r>
  </si>
  <si>
    <t>Boyce_etal2023115</t>
  </si>
  <si>
    <t>Boyce_etal2023115_1</t>
  </si>
  <si>
    <t>Read the report for the study, and since author wrote that "As I have not yet been able to reproduce the Cohen’s-d values nor the 95% Credibility interval in the original paper, I am not using these statistics as a basis of comparison" and the statistic in the O paper aren't matching with the Boyce I decided to extract all the info from Boyce dataset, and not theoriginal paper (no points to match). Data could be not very reliable</t>
  </si>
  <si>
    <t>Pilditch, T. D., Fenton, N., &amp; Lagnado, D. (2019). The zero-sum fallacy in evidence evaluation. Psychological science, 30(2), 250-260.</t>
  </si>
  <si>
    <t>10.1177/0956797618818484</t>
  </si>
  <si>
    <t>experiment 2</t>
  </si>
  <si>
    <t>p.6 in O (probably), but used statistics from Boyce</t>
  </si>
  <si>
    <t>1. From the paper "The design and analysis plans for the experiments were not preregistered"
2. This study is difficult for me to understand due to not working with BFs. I am not sure that there are no more matching results
3.  BFinclusion = 607.57</t>
  </si>
  <si>
    <t>coded as between-subjects due to "50 per group"; added link to dataset with data for _O</t>
  </si>
  <si>
    <t>Reasoning error</t>
  </si>
  <si>
    <t>Zero sum, intuitive judgment, cognitive bias, evidential reasoning, probabilistic reasoning, open data, open materials</t>
  </si>
  <si>
    <t xml:space="preserve">Participants were more accurate or correct in their responses when they received a negative test result </t>
  </si>
  <si>
    <t>"Correct responding was significantly higher in the negative- than the positive-test-result condition, BFinclusion = 607.57, [...] as can be seen in Table 1"</t>
  </si>
  <si>
    <t>0.6128039037857511</t>
  </si>
  <si>
    <r>
      <rPr>
        <rFont val="Calibri"/>
        <sz val="11.0"/>
      </rPr>
      <t xml:space="preserve">p.6 in O (probably), but used statistics from Boyce </t>
    </r>
    <r>
      <rPr>
        <rFont val="Calibri"/>
        <color rgb="FF1155CC"/>
        <sz val="11.0"/>
        <u/>
      </rPr>
      <t>https://github.com/vboyce/251-254-MA/blob/main/data/processed_data.csv</t>
    </r>
  </si>
  <si>
    <t>0.9289729131757601</t>
  </si>
  <si>
    <t>Boyce_etal2023116</t>
  </si>
  <si>
    <t>Boyce_etal2023116_1_b</t>
  </si>
  <si>
    <t>was replicated twice, by different students (this one and Boyce_etal2023116_1_d)</t>
  </si>
  <si>
    <t>added study_o, added es_repr_r, added effect, added description</t>
  </si>
  <si>
    <t>Porter, S. C., Rheinschmidt-Same, M., &amp; Richeson, J. A. (2016). Inferring identity from language: Linguistic intergroup bias informs social categorization. Psychological science, 27(1), 94-102.</t>
  </si>
  <si>
    <t>10.1177/0956797615612202</t>
  </si>
  <si>
    <t>1a</t>
  </si>
  <si>
    <t>Linguistic intergroup bias</t>
  </si>
  <si>
    <t>Social category inference.</t>
  </si>
  <si>
    <t xml:space="preserve">Participants in the favorable LIB condition were more likely to believe that the communicatior had the same political affiliation as the target compared to participants in the unfavorable LIB condition. </t>
  </si>
  <si>
    <t>As predicted, participants in the favorable-LIB condition were significantly more likely to believe that the communicator was a Democrat, and thus shared a party affiliation with the target, than were participants in the unfavorable-LIB condition, t(86) = 2.89, p = .005, d = 0.62</t>
  </si>
  <si>
    <t>https://docs.google.com/spreadsheets/d/1GZtAzaS9SynEVwyT-fs-bVPDZh374b78kaKIWves5pM/edit?gid=288814287#gid=288814287</t>
  </si>
  <si>
    <t>please add the varibale es_repr_r and prereg_r, please add a description</t>
  </si>
  <si>
    <t>Nikita, SMS</t>
  </si>
  <si>
    <t>Boyce_etal2023116_1_d</t>
  </si>
  <si>
    <t>was replicated twice, by different students (this one and Boyce_etal2023116_1_b)</t>
  </si>
  <si>
    <t>https://osf.io/xwn9m/</t>
  </si>
  <si>
    <t>Boyce_etal2023116_1_c</t>
  </si>
  <si>
    <t xml:space="preserve"> </t>
  </si>
  <si>
    <t>Policy ratings</t>
  </si>
  <si>
    <t>Belief that communicator would support democratic leaning social policies was bigger in the favorable LIB condition than in the unfavorable condition</t>
  </si>
  <si>
    <t>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</si>
  <si>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Boyce_etal2023116_1</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</si>
  <si>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</si>
  <si>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Added no to prereg_o, changed n_r to 78, added prereg_r, found values in linked file</t>
  </si>
  <si>
    <t>Social cognition, social perception, attitudes, intergroup dynamics, language, open data</t>
  </si>
  <si>
    <t>Participants who received favorable information about Peter perceived him as more likely to act helpfully</t>
  </si>
  <si>
    <t>"As expected, participants in the favorable-LIB condition believed that Peter was more likely to be helpful in the future (M = 71.63%, SD = 18.68) compared with participants in the unfavorable-LIB condition (M = 60.39%, SD = 21.52), F(1, 129) = 10.14, p &lt; .01, d = 0.56."</t>
  </si>
  <si>
    <t>https://www.rpubs.com/sansiropp/256552</t>
  </si>
  <si>
    <t>:  please add the link to the file where you found the data to the variable "es_repr_r"</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</si>
  <si>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</si>
  <si>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changed n_o to 133 , changed n_r to 126, changed es_value_r to 0.370016595170749, changed pval_value_r to 0.0506886504493445</t>
  </si>
  <si>
    <t>Participants in the favorable-LIB condition were significantly more likely to believe the communicator and target shared political-group membership</t>
  </si>
  <si>
    <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</si>
  <si>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https://github.com/vboyce/251-254-MA/blob/main/data/processed_data.csv</t>
  </si>
  <si>
    <t xml:space="preserve">please put in the n that was included in the analysis for n_o </t>
  </si>
  <si>
    <t>Boyce_etal2023116_1_e</t>
  </si>
  <si>
    <t>refers to the same effect as row 752, so I chose 752 since there were more columns filled in already</t>
  </si>
  <si>
    <t>Participants in the favorable-LIB condition, relative to those in the unfavorable-LIB condition, were significantly more likely to believe that the communicator and target shared political-group membership, F(1, 121) = 8.67, p &lt; .01, d = 0.51</t>
  </si>
  <si>
    <r>
      <rPr>
        <rFont val="Calibri"/>
        <sz val="11.0"/>
      </rPr>
      <t xml:space="preserve">1. The data for replication was taken from: </t>
    </r>
    <r>
      <rPr>
        <rFont val="Calibri"/>
        <color rgb="FF1155CC"/>
        <sz val="11.0"/>
        <u/>
      </rPr>
      <t xml:space="preserve">https://www.rpubs.com/sansiropp/256552
</t>
    </r>
    <r>
      <rPr>
        <rFont val="Calibri"/>
        <sz val="11.0"/>
      </rPr>
      <t>2. Since the survey was not original, but recreated, I put "conceptual replication"</t>
    </r>
  </si>
  <si>
    <t>changed n_o to 133</t>
  </si>
  <si>
    <t>There was no significant interaction between the LIB condition and the target’s political affiliation</t>
  </si>
  <si>
    <t>""Further, there was no [...] interaction between the LIB condition and target’s political affiliation, F(1, 121) = 0.02"</t>
  </si>
  <si>
    <t>F(1, 121) = 0.02</t>
  </si>
  <si>
    <t xml:space="preserve"> https://www.rpubs.com/sansiropp/256552</t>
  </si>
  <si>
    <t>please add the link to the file where you found the values for the replication in the column "es_repr_r", please put the number of observations that were included in the analisis in the column for n_o</t>
  </si>
  <si>
    <t>Boyce_etal2023117_1</t>
  </si>
  <si>
    <t>Boyce_etal2023117_a</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</si>
  <si>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</si>
  <si>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r>
      <rPr>
        <rFont val="Arial"/>
      </rPr>
      <t xml:space="preserve">Preregistration consists of data only and was thus removed: </t>
    </r>
    <r>
      <rPr>
        <rFont val="Arial"/>
        <color rgb="FF1155CC"/>
        <u/>
      </rPr>
      <t>https://osf.io/w3h9y/files/osfstorage</t>
    </r>
  </si>
  <si>
    <t xml:space="preserve">Favorable Linguistic intergroup bias lead to higher believs that Peter was more likely to be helpful in the future </t>
  </si>
  <si>
    <t xml:space="preserve">“As expected, participants in the favorable-LIB condition believed that Peter was more likely to be helpful in the future (M = 70.29%, SD = 23.58) than did participants in the unfavorable-LIB condition (M = 57.83%, SD = 24.08), t(86) = 2.45, p = .016, d = 0.53" </t>
  </si>
  <si>
    <t>Please specify to which document/ source you are referring in the column "es_repr_r"</t>
  </si>
  <si>
    <t>Nikita, LR, SMS</t>
  </si>
  <si>
    <t>Boyce_etal2023117_b</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</si>
  <si>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</si>
  <si>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r>
      <rPr>
        <rFont val="Arial"/>
      </rPr>
      <t xml:space="preserve">Preregistration consists of data only and was thus removed: </t>
    </r>
    <r>
      <rPr>
        <rFont val="Arial"/>
        <color rgb="FF1155CC"/>
        <u/>
      </rPr>
      <t>https://osf.io/w3h9y/files/osfstorage</t>
    </r>
  </si>
  <si>
    <t>Favorable Linguistic intergroup bias lead to higher believs that Peter was less likely to be rude in the future</t>
  </si>
  <si>
    <t>"Similarly, participants in the favorable-LIB condition indicated that Peter was less likely to be rude in the future (M = 33.67%, SD = 25.48) compared with participants in the unfavorable-LIB condition (M = 53.93%, SD = 25.22), t(86) = 3.73, p &lt; .001, d = 0.80”</t>
  </si>
  <si>
    <t>Boyce_etal2023117_c</t>
  </si>
  <si>
    <r>
      <rPr>
        <rFont val="Calibri"/>
        <sz val="11.0"/>
      </rPr>
      <t xml:space="preserve">1. There is OSF link, but it is not stated whether the paper was pre-registrated or registrated. 
2. Replication data was taken from: </t>
    </r>
    <r>
      <rPr>
        <rFont val="Calibri"/>
        <color rgb="FF1155CC"/>
        <sz val="11.0"/>
        <u/>
      </rPr>
      <t>https://rpubs.com/camillag/256522</t>
    </r>
    <r>
      <rPr>
        <rFont val="Calibri"/>
        <sz val="11.0"/>
      </rPr>
      <t xml:space="preserve"> </t>
    </r>
  </si>
  <si>
    <r>
      <rPr>
        <rFont val="Arial"/>
      </rPr>
      <t xml:space="preserve">Preregistration consists of data only and was thus removed: </t>
    </r>
    <r>
      <rPr>
        <rFont val="Arial"/>
        <color rgb="FF1155CC"/>
        <u/>
      </rPr>
      <t>https://osf.io/w3h9y/files/osfstorage</t>
    </r>
  </si>
  <si>
    <t>Being in the favorable Favorable Linguistic intergroup lead to higher believe that the communicator was a Democrat</t>
  </si>
  <si>
    <t>"As predicted, participants in the favorable-LIB condition were significantly more likely to believe that the communicator was a Democrat, and thus shared a party affiliation with the target, than were participants in the unfavorable-LIB condition, t(86) = 2.89, p = .005, d = 0.62 (Fig. 1)"</t>
  </si>
  <si>
    <t>Boyce_etal2023118_1</t>
  </si>
  <si>
    <t>Boyce_etal2023118</t>
  </si>
  <si>
    <r>
      <rPr>
        <rFont val="Calibri"/>
        <sz val="11.0"/>
      </rPr>
      <t xml:space="preserve">1. The data was taken from: </t>
    </r>
    <r>
      <rPr>
        <rFont val="Calibri"/>
        <color rgb="FF1155CC"/>
        <sz val="11.0"/>
        <u/>
      </rPr>
      <t>https://github.com/lrhasak/porter2016/blob/master/writeup/ReplicationReport.Rmd</t>
    </r>
  </si>
  <si>
    <t>corrected results based on final report version</t>
  </si>
  <si>
    <t>Participants in the favorable-LIB condition believed that the communicator was less likely to support the policy</t>
  </si>
  <si>
    <t>"Participants in the favorable-LIB condition believed that the communicator was less likely to support the policy (M = 3.83, SD = 1.44) than did participants in the unfavorable-LIB condition (M = 4.45, SD = 1.13), t(116) = 2.61, p = .01"</t>
  </si>
  <si>
    <t>t(116) = 2.61</t>
  </si>
  <si>
    <t>https://github.com/lrhasak/porter2016/blob/master/writeup/Porter2016_Study2_ReplicationReportFinal.html</t>
  </si>
  <si>
    <t>Boyce_etal2023119_1</t>
  </si>
  <si>
    <t>Boyce_etal2023119</t>
  </si>
  <si>
    <r>
      <rPr>
        <rFont val="Calibri"/>
        <sz val="11.0"/>
      </rPr>
      <t xml:space="preserve">1. The data was taken from: </t>
    </r>
    <r>
      <rPr>
        <rFont val="Calibri"/>
        <color rgb="FF1155CC"/>
        <sz val="11.0"/>
        <u/>
      </rPr>
      <t>https://github.com/lrhasak/porter2016/blob/master/writeup/ReplicationReport.Rmd</t>
    </r>
  </si>
  <si>
    <t>no results in replication report</t>
  </si>
  <si>
    <t>Participants in the favorable-LIB condition were more likely excplicitly beliving that the communicator was more from Democratics</t>
  </si>
  <si>
    <t>"Participants in the favorable-LIB condition believed that the communicator was more likely to support these Democratic-leaning social policies (M = 4.90, SD = 0.99), compared with participants in the unfavorable-LIB condition (M = 4.33, SD = 0.90), t(116) = 3.25, p = .002, d = 0.60 (Fig. 2)"</t>
  </si>
  <si>
    <t>Boyce_etal202312</t>
  </si>
  <si>
    <t>Boyce_etal202312_1</t>
  </si>
  <si>
    <t>Bourrat, P., Baumard, N., &amp; McKay, R. (2011). Surveillance cues enhance moral condemnation. Evolutionary Psychology, 9(2), 147470491100900206.</t>
  </si>
  <si>
    <t>10.1177/147470491100900206</t>
  </si>
  <si>
    <t>1. The study was replicated online, however author claimed that it should no affect the replication due to specific aspects of the experimental procedure</t>
  </si>
  <si>
    <t>The replication was not completed</t>
  </si>
  <si>
    <t>Boyce_etal2023120_1</t>
  </si>
  <si>
    <t>Boyce_etal2023120</t>
  </si>
  <si>
    <r>
      <rPr>
        <rFont val="Calibri"/>
        <sz val="11.0"/>
      </rPr>
      <t xml:space="preserve">1. The data for replication was taken from: </t>
    </r>
    <r>
      <rPr>
        <rFont val="Calibri"/>
        <color rgb="FF1155CC"/>
        <sz val="11.0"/>
        <u/>
      </rPr>
      <t>https://www.rpubs.com/sansiropp/256552</t>
    </r>
  </si>
  <si>
    <t>changed n_o to 133 (number included in analisis)</t>
  </si>
  <si>
    <t>"Likewise, participants in the unfavorable-LIB condition believed that Peter was more likely to be rude in the future (M = 53.82%, SD = 23.99) compared with participants in the favorable-LIB condition (M = 42.18%, SD = 19.73), F(1, 129) = 9.40, p &lt; .01, d = 0.53"</t>
  </si>
  <si>
    <r>
      <rPr>
        <rFont val="Calibri"/>
        <sz val="11.0"/>
      </rPr>
      <t xml:space="preserve">1. The data for replication was taken from: </t>
    </r>
    <r>
      <rPr>
        <rFont val="Calibri"/>
        <color rgb="FF1155CC"/>
        <sz val="11.0"/>
        <u/>
      </rPr>
      <t>https://www.rpubs.com/sansiropp/256552</t>
    </r>
  </si>
  <si>
    <t>The target’s political affiliation (Democrat vs. Republican) did not significantly influence participants’ judgments about shared group membership</t>
  </si>
  <si>
    <t>"Further, there was no main effect of target’s political affiliation, F(1, 121) = 0.87"</t>
  </si>
  <si>
    <t>F(1, 121) = 0.87</t>
  </si>
  <si>
    <r>
      <rPr>
        <rFont val="Calibri"/>
        <sz val="11.0"/>
      </rPr>
      <t xml:space="preserve">1. The data for replication was taken from: </t>
    </r>
    <r>
      <rPr>
        <rFont val="Calibri"/>
        <color rgb="FF1155CC"/>
        <sz val="11.0"/>
        <u/>
      </rPr>
      <t>https://www.rpubs.com/sansiropp/256552</t>
    </r>
  </si>
  <si>
    <t>The interaction between the LIB condition and the participant’s political affiliation was not significant</t>
  </si>
  <si>
    <t>" The LIB Condition × Participant’s Political Affiliation interaction was not reliable, F(2, 121) = 0.92"</t>
  </si>
  <si>
    <t>F(2, 121) = 0.92</t>
  </si>
  <si>
    <t>Boyce_etal2023121</t>
  </si>
  <si>
    <t>Boyce_etal2023121_1</t>
  </si>
  <si>
    <t>Proudfoot, D., Kay, A. C., &amp; Koval, C. Z. (2015). A gender bias in the attribution of creativity: Archival and experimental evidence for the perceived association between masculinity and creative thinking. Psychological science, 26(11), 1751-1761.</t>
  </si>
  <si>
    <t>10.1177/0956797615598739</t>
  </si>
  <si>
    <t>Study 1</t>
  </si>
  <si>
    <t>whether the creative thought process tends to be masculinized.</t>
  </si>
  <si>
    <t>Boyce_etal2023121_1_a</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</si>
  <si>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</si>
  <si>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corrected sample size</t>
  </si>
  <si>
    <t>https://rpubs.com/ShimaSalehi/155989</t>
  </si>
  <si>
    <t>Stereotype</t>
  </si>
  <si>
    <t>Stereotyped attitudes, social perception, prejudice, sex-role attitudes</t>
  </si>
  <si>
    <t>Participants rated different types of traits (masculine vs. feminine) differently, regardless of the condition</t>
  </si>
  <si>
    <t>"A mixed-model ANOVA with condition as the between subjects factor and trait type as the within-subjects factor revealed a main effect of trait type, F(1, 78) = 75.02, p &lt; .001, partial eta-square = .49"</t>
  </si>
  <si>
    <t>F(1,56) = 57.800</t>
  </si>
  <si>
    <t>Boyce_etal2023121_1_b</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</si>
  <si>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</si>
  <si>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The difference in how masculine and feminine traits were rated marginally depended on whether participants were in the divergent-thinking or convergent-thinking condition</t>
  </si>
  <si>
    <t>"A mixed-model ANOVA with condition as the between subjects factor and trait type as the within-subjects factor revealed [...] a marginally significant interaction between trait type and condition, F(1, 78) = 3.05, p = .084, partial eta-square = .04 (see Fig. 1)"</t>
  </si>
  <si>
    <t>F(1,56) = 0.022</t>
  </si>
  <si>
    <t>Boyce_etal2023121_1_c</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</si>
  <si>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</si>
  <si>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In the divergent-thinking condition, participants strongly associated creativity with masculine-agentic traits</t>
  </si>
  <si>
    <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</si>
  <si>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Boyce_etal2023121_1_d</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</si>
  <si>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</si>
  <si>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In the convergent-thinking condition, participants still associated creativity more with masculine-agentic traits</t>
  </si>
  <si>
    <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</si>
  <si>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Boyce_etal2023121_1_e</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</si>
  <si>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</si>
  <si>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Masculine traits were seen as more important for creativity in the divergent-thinking condition</t>
  </si>
  <si>
    <t>"The masculine traits were perceived as more central to creativity when divergence was emphasized, rather than convergence, F(1, 78) = 10.21, p = .002, d = 0.71"</t>
  </si>
  <si>
    <t>Boyce_etal2023121_1_f</t>
  </si>
  <si>
    <r>
      <rPr>
        <rFont val="Calibri"/>
        <sz val="11.0"/>
      </rPr>
      <t xml:space="preserve">1. Replication data: </t>
    </r>
    <r>
      <rPr>
        <rFont val="Calibri"/>
        <color rgb="FF1155CC"/>
        <sz val="11.0"/>
        <u/>
      </rPr>
      <t xml:space="preserve">https://rpubs.com/ShimaSalehi/155989
</t>
    </r>
    <r>
      <rPr>
        <rFont val="Calibri"/>
        <sz val="11.0"/>
      </rPr>
      <t>2. The trials were shown sequentially instead of parallel -&gt; conceptual replication
3. The tests are partially nested because the within-subjects factor (trait type) is nested within participants (Subjects). However, the overall design is not fully nested because the between-subjects factor (condition) does not involve hierarchical clustering.</t>
    </r>
  </si>
  <si>
    <t>There was no significant difference in how feminine traits were perceived across the divergent-thinking and convergent-thinking conditions.</t>
  </si>
  <si>
    <t>"There was no effect of condition on the perceived centrality of the feminine traits, F &lt; 1, p = .536"</t>
  </si>
  <si>
    <t>F &lt; 1</t>
  </si>
  <si>
    <t>Boyce_etal2023122</t>
  </si>
  <si>
    <t>Boyce_etal2023122_1</t>
  </si>
  <si>
    <t>statistics for R extracted from report</t>
  </si>
  <si>
    <t>Ranzini, M., Dehaene, S., Piazza, M., &amp; Hubbard, E. M. (2009). Neural mechanisms of attentional shifts due to irrelevant spatial and numerical cues. Neuropsychologia, 47(12), 2615-2624.</t>
  </si>
  <si>
    <t>10.1016/j.neuropsychologia.2009.05.011</t>
  </si>
  <si>
    <t>The Cue Direction/Magnitude × Target Position interactions ...  approached significance for numbers (F(1,14) = 4.1,
P = 0.06).</t>
  </si>
  <si>
    <t>(F(1,14) = 4.1</t>
  </si>
  <si>
    <t>p.2617</t>
  </si>
  <si>
    <t>1. I would say that changes in the procedure were really big -&gt; conceptual 
2. The original paper was added as 10.1016j.neuropsychologia.2009.05.011.pdf</t>
  </si>
  <si>
    <t xml:space="preserve">Attentional orienting effect </t>
  </si>
  <si>
    <t>Attention, Visuospatial attention, Number processing, ERPs, early directing attention negativity, anterior directing attention negativity</t>
  </si>
  <si>
    <t>Mean reaction times were faster when the target location was congruent with that indicated by the numeric cue</t>
  </si>
  <si>
    <t>The Cue Direction/Magnitude × Target Position interactions [...] approached significance for numbers (F(1,14) = 4.1, P = 0.06). Although these results are not significant, mean reaction times were faster when the target location was congruent with that indicated by the cue.</t>
  </si>
  <si>
    <t>p. 2617</t>
  </si>
  <si>
    <t>F(1, 14) = 4.1</t>
  </si>
  <si>
    <t>F(1, 16) = 0.24</t>
  </si>
  <si>
    <t>Boyce_etal2023123</t>
  </si>
  <si>
    <t>Boyce_etal2023123_1</t>
  </si>
  <si>
    <t>Read, D., &amp; Scholten, M. (2012). Tradeoffs between sequences: Weighing accumulated outcomes against outcome-adjusted delays. Journal of Experimental Psychology: Learning, Memory, and Cognition, 38(6), 1675.</t>
  </si>
  <si>
    <t>10.1037/a0028216</t>
  </si>
  <si>
    <t>https://github.com/vboyce/251-254-MA/blob/main/reports/read2012.pdf</t>
  </si>
  <si>
    <t>relative magnitude effect,</t>
  </si>
  <si>
    <t>First, preference for LL decreased as A0;2 increased, F(2, 550) =125.46, p &lt;.005, n2p  .31.</t>
  </si>
  <si>
    <t>F(2, 550) =125.46</t>
  </si>
  <si>
    <t>p.1680</t>
  </si>
  <si>
    <t>Boyce_etal2023123_1_a</t>
  </si>
  <si>
    <t>1. The original paper was added as 10.1037a0028216.pdf</t>
  </si>
  <si>
    <t>Intertemporal decisions</t>
  </si>
  <si>
    <t>Intertemporal choice, discounting, tradeoffs, sequences</t>
  </si>
  <si>
    <t>Interest rates decrease as A0:2 increases - tradeoff model</t>
  </si>
  <si>
    <t>"First, preference for LL decreased as A0.2 increased, F(2, 550) = 125.46, p &lt; .005, partial eta-square = .31"</t>
  </si>
  <si>
    <t>Boyce_etal2023123_1_b</t>
  </si>
  <si>
    <t>Explicitly stating zero outcomes increases patience</t>
  </si>
  <si>
    <t>"Furthermore, preference for LL increased when zero outcomes were stated explicitly, F(1, 275) = 41.07,p &lt; .005, partial eta-square= .13"</t>
  </si>
  <si>
    <t>Boyce_etal2023123_1_c</t>
  </si>
  <si>
    <t>Increasing the smaller sooner reward reduces patience</t>
  </si>
  <si>
    <t>"For A0:2 = €0 (Cells A, B, and C), preference for LL decreased as AQ increased, F(2, 550) = 11.19, p &lt; .005, partial eta-square = .06"</t>
  </si>
  <si>
    <t>Boyce_etal2023123_1_d</t>
  </si>
  <si>
    <t>For larger later rewards, increasing the smaller sooner reward increases patience</t>
  </si>
  <si>
    <t>"For A0:2 = €500 (Cells D, E, and F) and €1,000 (Cells G, H, and I), however, preference for LL increased as AQ increased, F(2, 550) = 61.12, p &lt; .005, partial eta-square = .18"</t>
  </si>
  <si>
    <t>Boyce_etal2023123_1_e</t>
  </si>
  <si>
    <t>1. The original paper was added as 10.1037a0028216.pdf
2. There are 2 corresponding results in replication study, I am not sure which one to use</t>
  </si>
  <si>
    <t>Chose the front end amount interaction, added link to report (url_r)</t>
  </si>
  <si>
    <t>The effect of adding amounts to rewards depends on the specific reward structure</t>
  </si>
  <si>
    <t>"A0:2 interacted with A0, F(4, 1100) = 48.76, p &lt; .005, partial eta-square = .15. For A0:2 = €0 (Cells A, B, and C)"</t>
  </si>
  <si>
    <t>Boyce_etal2023124</t>
  </si>
  <si>
    <t>Boyce_etal2023124_1</t>
  </si>
  <si>
    <t>Reinecke, K., Yeh, T., Miratrix, L., Mardiko, R., Zhao, Y., Liu, J., &amp; Gajos, K. Z. (2013, April). Predicting users' first impressions of website aesthetics with a quantification of perceived visual complexity and colorfulness. In Proceedings of the SIGCHI conference on human factors in computing systems (pp. 2049-2058).</t>
  </si>
  <si>
    <t>10.1145/2470654.2481281</t>
  </si>
  <si>
    <t>Boyce_etal2023125</t>
  </si>
  <si>
    <t>Boyce_etal2023125_1</t>
  </si>
  <si>
    <t>Reis, H. T., Lee, K. Y., O'Keefe, S. D., &amp; Clark, M. S. (2018). Perceived partner responsiveness promotes intellectual humility. Journal of Experimental Social Psychology, 79, 21-33.</t>
  </si>
  <si>
    <t>10.1016/j.jesp.2018.05.006</t>
  </si>
  <si>
    <t>The main effect for condition was significant, F(2,483) = 5.99, p = .003, eta2 = 0.024,</t>
  </si>
  <si>
    <t>p.29</t>
  </si>
  <si>
    <t>Boyce_etal2023125_1_a</t>
  </si>
  <si>
    <t>1. Minor changes to the procedure (like different attentional check) which should not affect the experiment
2. Confirmation of the row choice: "I was able to reproduce the same means and test statistics as the original article. [Unresponsive: M = 10.5, SD = 5.04. Responsive: M = 12.3, SD = 4.38.] The ANOVA between the three conditions yielded F = 6.07(2,517), p = .002." replication report - correspond to the data in the table"\</t>
  </si>
  <si>
    <t>https://rpubs.com/cgarton/975073</t>
  </si>
  <si>
    <t xml:space="preserve">Intellectual humility </t>
  </si>
  <si>
    <t>Intellectual Humility, Self-Serving Bias, Perceived Partner Responsiveness,  Interpersonal Affirmation, global-local visual processing task, self-affirmation</t>
  </si>
  <si>
    <t>Responsive conditions increase global focus</t>
  </si>
  <si>
    <t>The main effect for condition was significant, F(2,483) = 5.99, p = .003, eta-square = 0.024. [...] Participants in the responsive condition showed a significantly more global focus than participants in the unresponsive condition (p = .001)</t>
  </si>
  <si>
    <t>p. 29</t>
  </si>
  <si>
    <t>p. 29: =(12.27-10.51)/SQRT(((178-1)*4.38^2+(172-1)*5.04^2)/(178+172-2)))</t>
  </si>
  <si>
    <t>https://rpubs.com/cgarton/975073: =(9.45-10.34)/SQRT(((110-1)*4.58^2+(98-1)*4.65^2)/(110+98-2)))</t>
  </si>
  <si>
    <t>Boyce_etal2023125_1_b</t>
  </si>
  <si>
    <t>1. Minor changes to the procedure (like different attentional check) which should not affect the experiment</t>
  </si>
  <si>
    <t>Mood does not mediate global processing effects</t>
  </si>
  <si>
    <t>"Mood was not significantly related to global orientation scores, F(1,468) = 1.75, p = .187, eta-square = 0.004"</t>
  </si>
  <si>
    <t>Boyce_etal2023125_1_c</t>
  </si>
  <si>
    <t>Responsive conditions increase global focus when the mood was considered as a factor</t>
  </si>
  <si>
    <t>"To ensure that these effects were not attributable to mood differences, we repeated the above one-way analysis of variance controlling for mood. [...] the condition main effect remained significant, F(2,468) = 7.11, p = .001, eta-square = 0.029"</t>
  </si>
  <si>
    <t>Boyce_etal2023126</t>
  </si>
  <si>
    <t>Boyce_etal2023126_1</t>
  </si>
  <si>
    <t>Richter, F. R., &amp; Yeung, N. (2012). Memory and cognitive control in task switching. Psychological Science, 23(10), 1256-1263.</t>
  </si>
  <si>
    <t>10.1177/0956797612444613</t>
  </si>
  <si>
    <t>Very close Replication</t>
  </si>
  <si>
    <t>Task switching and memory</t>
  </si>
  <si>
    <t>memory for attended items was worse on switch trials than on repeat trials, t(17) = −2.60, p &lt; .05,</t>
  </si>
  <si>
    <t>-0.61.</t>
  </si>
  <si>
    <t>p. 1259</t>
  </si>
  <si>
    <t xml:space="preserve">1. No replication report was found in the folder and internet </t>
  </si>
  <si>
    <t>Task switching</t>
  </si>
  <si>
    <t>Attention, long-term memory</t>
  </si>
  <si>
    <t>Switching reverses memory effects for attended and unattended items</t>
  </si>
  <si>
    <t>""Thus, a main effect of attention [...] was reliably modulated by switching [...]: Whereas memory for attended items was worse on switch trials than on repeat trials, t(17) = −2.60, p &lt; .05"</t>
  </si>
  <si>
    <t>Boyce_etal2023127</t>
  </si>
  <si>
    <t>Boyce_etal2023127_1</t>
  </si>
  <si>
    <t>R extracted from the report</t>
  </si>
  <si>
    <t>Page incorrect
We report different results, I assume that both can exist (like 114)</t>
  </si>
  <si>
    <t>Risen, J. L., &amp; Gilovich, T. (2008). Why people are reluctant to tempt fate. Journal of personality and social psychology, 95(2), 293.</t>
  </si>
  <si>
    <t>10.1037/0022-3514.95.2.293</t>
  </si>
  <si>
    <t>Cognitive load</t>
  </si>
  <si>
    <t>Tempt fate, magical thinking, accessibility, negativity</t>
  </si>
  <si>
    <t>when participants were not under load, those who imagined that they had not done the reading believed that it was more likely that they would be called on  than participants who imagined that they had done the reading</t>
  </si>
  <si>
    <t>p. 302</t>
  </si>
  <si>
    <t>Boyce_etal2023127_1_a</t>
  </si>
  <si>
    <t>1. I would say that this is the extention of the original study for a new cohort -&gt; conceptual
2. The original paper was added as 10.10370022-3514.95.2.293.pdf
3. Effect can be either "Cognitive load" or "Tempting fate". The first is broader</t>
  </si>
  <si>
    <t>https://github.com/vboyce/251-254-MA/blob/main/reports/risen2008.docx</t>
  </si>
  <si>
    <t>Cognitive load amplifies perceived risk</t>
  </si>
  <si>
    <t>"A 2 (behavior: had read vs. had not read) x 2 (load: yes vs. no) ANOVA revealed main effects for [...] load, F(1, 116) = 17.34, p &lt; .001"</t>
  </si>
  <si>
    <t>F(1,116) = 17.34</t>
  </si>
  <si>
    <t>F(1,222) = 10.275</t>
  </si>
  <si>
    <r>
      <rPr>
        <rFont val="Calibri"/>
        <sz val="11.0"/>
      </rPr>
      <t xml:space="preserve">p. 6 </t>
    </r>
    <r>
      <rPr>
        <rFont val="Calibri"/>
        <color rgb="FF1155CC"/>
        <sz val="11.0"/>
        <u/>
      </rPr>
      <t>https://github.com/vboyce/251-254-MA/blob/main/reports/risen2008.docx</t>
    </r>
  </si>
  <si>
    <t>Boyce_etal2023127_1_b</t>
  </si>
  <si>
    <t>Tempting fate increases perceived risk</t>
  </si>
  <si>
    <t>"A 2 (behavior: had read vs. had not read) x 2 (load: yes vs. no) ANOVA revealed main effects for reading, F(1, 116) = 22.88, p &lt; .001 [...]"</t>
  </si>
  <si>
    <t>F(1,116) = 22.88</t>
  </si>
  <si>
    <t>F(1,222) = 0.501</t>
  </si>
  <si>
    <r>
      <rPr>
        <rFont val="Calibri"/>
        <sz val="11.0"/>
      </rPr>
      <t xml:space="preserve">p. 6 </t>
    </r>
    <r>
      <rPr>
        <rFont val="Calibri"/>
        <color rgb="FF1155CC"/>
        <sz val="11.0"/>
        <u/>
      </rPr>
      <t>https://github.com/vboyce/251-254-MA/blob/main/reports/risen2008.docx</t>
    </r>
  </si>
  <si>
    <t>Boyce_etal2023127_1_c</t>
  </si>
  <si>
    <t>1. I would say that this is the extention of the original study for a new cohort -&gt; conceptual
2. The original paper was added as 10.10370022-3514.95.2.293.pdf
3. Effect can be either "Cognitive load" or "Tempting fate". The first is broader
4. For the second coder row: The replication values are not for the main effect (reported in the original study)</t>
  </si>
  <si>
    <t>We report different results, I assume that both can exist</t>
  </si>
  <si>
    <t>10.1037/pspi0000081</t>
  </si>
  <si>
    <t>Load amplifies the effect of tempting fate</t>
  </si>
  <si>
    <t>"The main effects were qualified by the predicted interaction, however, F(1,116) = 4.15, p &lt; .05"</t>
  </si>
  <si>
    <t>F(1,116) = 4.15</t>
  </si>
  <si>
    <t>F(1,222) = 0.002</t>
  </si>
  <si>
    <r>
      <rPr>
        <rFont val="Calibri"/>
        <sz val="11.0"/>
      </rPr>
      <t xml:space="preserve">p. 6 </t>
    </r>
    <r>
      <rPr>
        <rFont val="Calibri"/>
        <color rgb="FF1155CC"/>
        <sz val="11.0"/>
        <u/>
      </rPr>
      <t>https://github.com/vboyce/251-254-MA/blob/main/reports/risen2008.docx</t>
    </r>
  </si>
  <si>
    <t>Boyce_etal2023128</t>
  </si>
  <si>
    <t>Boyce_etal2023128_1</t>
  </si>
  <si>
    <t>Rogers, T., Zeckhauser, R., Gino, F., Norton, M. I., &amp; Schweitzer, M. E. (2017). Artful paltering: The risks and rewards of using truthful statements to mislead others. Journal of personality and social psychology, 112(3), 456.</t>
  </si>
  <si>
    <t xml:space="preserve">https://rpubs.com/kagood/final-project-report, </t>
  </si>
  <si>
    <t>Study 3</t>
  </si>
  <si>
    <t>The buyer who paltered and the buyer who lied by commission were regarded as equally unethical</t>
  </si>
  <si>
    <t>p. 466</t>
  </si>
  <si>
    <t>https://osf.io/8k4t5/.</t>
  </si>
  <si>
    <t>Boyce_etal2023128_1_a</t>
  </si>
  <si>
    <t>1. The 3rd study was not preregistrated (but the 4th was)
2. A delay was added to the procedure, but no more changes. I hope it was not a big change to call the study "conceptual replication"
3. The original paper was added as 10.1037pspi0000081.pdf</t>
  </si>
  <si>
    <r>
      <rPr>
        <rFont val="Arial"/>
      </rPr>
      <t xml:space="preserve">Registration exists but not timestamped and frozen: </t>
    </r>
    <r>
      <rPr>
        <rFont val="Arial"/>
        <color rgb="FF1155CC"/>
        <u/>
      </rPr>
      <t>https://osf.io/8k4t5/.</t>
    </r>
  </si>
  <si>
    <t xml:space="preserve">Negotiation </t>
  </si>
  <si>
    <t>Deception, lying, negotiation, paltering, risk</t>
  </si>
  <si>
    <t>Participants perceive paltering as more unethical compared to honest responses</t>
  </si>
  <si>
    <t>"Participants rated the behavior of the buyer who paltered as more unethical than the behavior of the buyer who answered honestly (B = 1.06, SE = .36, p = .002)"</t>
  </si>
  <si>
    <r>
      <rPr>
        <rFont val="Arial"/>
        <color rgb="FF1155CC"/>
        <u/>
      </rPr>
      <t>https://rpubs.com/kagood/final-project-report</t>
    </r>
    <r>
      <rPr>
        <rFont val="Arial"/>
      </rPr>
      <t>, p. 11</t>
    </r>
  </si>
  <si>
    <t>Boyce_etal2023128_1_b</t>
  </si>
  <si>
    <r>
      <rPr>
        <rFont val="Arial"/>
      </rPr>
      <t xml:space="preserve">Registration exists but not timestamped and frozen: </t>
    </r>
    <r>
      <rPr>
        <rFont val="Arial"/>
        <color rgb="FF1155CC"/>
        <u/>
      </rPr>
      <t>https://osf.io/8k4t5/.</t>
    </r>
  </si>
  <si>
    <t>Lying by commission and paltering are perceived as equally unethical</t>
  </si>
  <si>
    <t>"Participants rated the behavior of the buyer who paltered no different from the buyer who lied by commission (B = −.31, SE = .34, p = .36).</t>
  </si>
  <si>
    <t>https://rpubs.com/kagood/final-project-report, p. 10</t>
  </si>
  <si>
    <t>Boyce_etal2023128_1_c</t>
  </si>
  <si>
    <r>
      <rPr>
        <rFont val="Arial"/>
      </rPr>
      <t xml:space="preserve">Registration exists but not timestamped and frozen: </t>
    </r>
    <r>
      <rPr>
        <rFont val="Arial"/>
        <color rgb="FF1155CC"/>
        <u/>
      </rPr>
      <t>https://osf.io/8k4t5/.</t>
    </r>
  </si>
  <si>
    <t>Lying by commission is perceived as more unethical than honesty</t>
  </si>
  <si>
    <t>"Participants rated the buyer who [...] lied by commission to be more unethical than the buyer who answered honestly, ([...] B=.87, SE=.33, p=.01, respectively)"</t>
  </si>
  <si>
    <t>https://rpubs.com/kagood/final-project-report, p. 11</t>
  </si>
  <si>
    <t>Boyce_etal2023128_1_d</t>
  </si>
  <si>
    <r>
      <rPr>
        <rFont val="Arial"/>
      </rPr>
      <t xml:space="preserve">Registration exists but not timestamped and frozen: </t>
    </r>
    <r>
      <rPr>
        <rFont val="Arial"/>
        <color rgb="FF1155CC"/>
        <u/>
      </rPr>
      <t>https://osf.io/8k4t5/.</t>
    </r>
  </si>
  <si>
    <t>Paltering and lying by commission are perceived equivalently in terms of unethicality</t>
  </si>
  <si>
    <t>"The buyer who paltered and the buyer who lied by commission were regarded as equally unethical (B=.04, SE=.34, p=.91 )"</t>
  </si>
  <si>
    <t>https://rpubs.com/kagood/final-project-report, p. 12</t>
  </si>
  <si>
    <t>Boyce_etal2023128_1_e</t>
  </si>
  <si>
    <r>
      <rPr>
        <rFont val="Arial"/>
      </rPr>
      <t xml:space="preserve">Registration exists but not timestamped and frozen: </t>
    </r>
    <r>
      <rPr>
        <rFont val="Arial"/>
        <color rgb="FF1155CC"/>
        <u/>
      </rPr>
      <t>https://osf.io/8k4t5/.</t>
    </r>
  </si>
  <si>
    <t>Participants trust the honest buyer more than the one who paltered</t>
  </si>
  <si>
    <t>"Participants had more trust in the honest buyer than the one who paltered [...] (B = −1.0, SE = .32, p = .002"</t>
  </si>
  <si>
    <t>https://rpubs.com/kagood/final-project-report, p. 16</t>
  </si>
  <si>
    <t>Boyce_etal2023128_1_f</t>
  </si>
  <si>
    <r>
      <rPr>
        <rFont val="Arial"/>
      </rPr>
      <t xml:space="preserve">Registration exists but not timestamped and frozen: </t>
    </r>
    <r>
      <rPr>
        <rFont val="Arial"/>
        <color rgb="FF1155CC"/>
        <u/>
      </rPr>
      <t>https://osf.io/8k4t5/.</t>
    </r>
  </si>
  <si>
    <t>Participants trust the honest buyer more than the one who lied by commission</t>
  </si>
  <si>
    <t>"Participants had more trust in the honest buyer than the one who lied by commission ([...] B = −1.36, SE = .32, p &lt; .001, respectively)"</t>
  </si>
  <si>
    <t>Boyce_etal2023128_1_g</t>
  </si>
  <si>
    <r>
      <rPr>
        <rFont val="Arial"/>
      </rPr>
      <t xml:space="preserve">Registration exists but not timestamped and frozen: </t>
    </r>
    <r>
      <rPr>
        <rFont val="Arial"/>
        <color rgb="FF1155CC"/>
        <u/>
      </rPr>
      <t>https://osf.io/8k4t5/.</t>
    </r>
  </si>
  <si>
    <t>Lying by commission and paltering are perceived as equally untrustworthy</t>
  </si>
  <si>
    <t>"The latter two were regarded as equally untrustworthy (B = .36, SE = .32, p = .26)"</t>
  </si>
  <si>
    <t>Boyce_etal2023128_1_h</t>
  </si>
  <si>
    <r>
      <rPr>
        <rFont val="Arial"/>
      </rPr>
      <t xml:space="preserve">Registration exists but not timestamped and frozen: </t>
    </r>
    <r>
      <rPr>
        <rFont val="Arial"/>
        <color rgb="FF1155CC"/>
        <u/>
      </rPr>
      <t>https://osf.io/8k4t5/.</t>
    </r>
  </si>
  <si>
    <t>Participants are less likely to negotiate again with a buyer who paltered compared to one who answered honestly.</t>
  </si>
  <si>
    <t>"Participants reported that they were more likely to negotiate again with the buyer who answered honestly than the buyer who paltered (B = −.78, SE = .33, p = .02)"</t>
  </si>
  <si>
    <t>https://rpubs.com/kagood/final-project-report, p. 17</t>
  </si>
  <si>
    <t>Boyce_etal2023128_1_i</t>
  </si>
  <si>
    <r>
      <rPr>
        <rFont val="Arial"/>
      </rPr>
      <t xml:space="preserve">Registration exists but not timestamped and frozen: </t>
    </r>
    <r>
      <rPr>
        <rFont val="Arial"/>
        <color rgb="FF1155CC"/>
        <u/>
      </rPr>
      <t>https://osf.io/8k4t5/.</t>
    </r>
  </si>
  <si>
    <t>Pparticipants are less likely to negotiate again with a buyer who lied by commission compared to one who answered honestly</t>
  </si>
  <si>
    <t>"Participants reported that they were more likely to negotiate again with [...] the buyer who lied by commission (B = −.77, SE = .33, p = .02)"</t>
  </si>
  <si>
    <t>Boyce_etal2023128_1_j</t>
  </si>
  <si>
    <r>
      <rPr>
        <rFont val="Arial"/>
      </rPr>
      <t xml:space="preserve">Registration exists but not timestamped and frozen: </t>
    </r>
    <r>
      <rPr>
        <rFont val="Arial"/>
        <color rgb="FF1155CC"/>
        <u/>
      </rPr>
      <t>https://osf.io/8k4t5/.</t>
    </r>
  </si>
  <si>
    <t>Participants perceive lying by commission and paltering as equally undesirable for future negotiation likelihood</t>
  </si>
  <si>
    <t>"The latter two had the same likelihood of securing another negotiation (B = −.01, SE = .33, p = .97)"</t>
  </si>
  <si>
    <t>Boyce_etal2023129</t>
  </si>
  <si>
    <t>Boyce_etal2023129_1</t>
  </si>
  <si>
    <t>d and p valuse for O extracted from Boyce</t>
  </si>
  <si>
    <t>Differences in discipline between 2 coders -&gt; I assume Psychology to fit better
Corrected p value</t>
  </si>
  <si>
    <t>Rottman, J., &amp; Young, L. (2019). Specks of dirt and tons of pain: Dosage distinguishes impurity from harm. Psychological Science, 30(8), 1151-1160.</t>
  </si>
  <si>
    <t>10.1177/0956797619855382</t>
  </si>
  <si>
    <t>https://rpubs.com/cceballos-stanford/544019</t>
  </si>
  <si>
    <t>Judgment</t>
  </si>
  <si>
    <t>Moral cognition, purity, harm, scope insensitivity, open data, open materials, preregistered</t>
  </si>
  <si>
    <t>The difference in wrongness ratings between the high-dosage and low-dosage versions was substantially higher for the harm transgressions</t>
  </si>
  <si>
    <t>The difference in wrongness ratings between the high- dosage and low-dosage versions of the scenarios was substantially higher for the harm transgressions (mean difference = 14.605; SD = 20.395)</t>
  </si>
  <si>
    <t>https://osf.io/zxp9k/.</t>
  </si>
  <si>
    <t>Boyce_etal2023129_1_a</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</si>
  <si>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</si>
  <si>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Participants had greater sensitivity to dosage for harm-based transgressions</t>
  </si>
  <si>
    <t>"Crucially, there was a significant interaction between domain and dosage, b = 9.599, SE = 1.821, p &lt; .001"</t>
  </si>
  <si>
    <t>https://osf.io/cxatn</t>
  </si>
  <si>
    <t>Boyce_etal2023129_1_b</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</si>
  <si>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</si>
  <si>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High-dosage transgressions were judged to be more wrong than low-dosage transgressions</t>
  </si>
  <si>
    <t>"Rerunning this model without the interaction term (to ensure more interpretable main effects) indicated [...] there was a clear effect of dosage, b = 9.199, SE = 0.915, p &lt; .001"</t>
  </si>
  <si>
    <t>Boyce_etal2023129_1_c</t>
  </si>
  <si>
    <r>
      <rPr>
        <rFont val="Calibri"/>
        <sz val="11.0"/>
      </rPr>
      <t xml:space="preserve">1. Study 1 was not preregistrated in the original paper (only study 3: </t>
    </r>
    <r>
      <rPr>
        <rFont val="Calibri"/>
        <color rgb="FF1155CC"/>
        <sz val="11.0"/>
        <u/>
      </rPr>
      <t xml:space="preserve">https://osf.io/bd9ea)
</t>
    </r>
    <r>
      <rPr>
        <rFont val="Calibri"/>
        <sz val="11.0"/>
      </rPr>
      <t xml:space="preserve">2. The data for replication was taken from: </t>
    </r>
    <r>
      <rPr>
        <rFont val="Calibri"/>
        <color rgb="FF1155CC"/>
        <sz val="11.0"/>
        <u/>
      </rPr>
      <t>https://rpubs.com/cceballos-stanford/544019</t>
    </r>
  </si>
  <si>
    <t>The harm and purity transgressions were well matched for severity</t>
  </si>
  <si>
    <t>“Rerunning this model without the interaction term (to ensure more interpretable main effects) indicated that there was no overall effect of domain, b = 3.400, SE = 6.803, p = .625"</t>
  </si>
  <si>
    <t>Boyce_etal202313</t>
  </si>
  <si>
    <t>Boyce_etal202313_1</t>
  </si>
  <si>
    <t>Brady, T. F., &amp; Alvarez, G. A. (2011). Hierarchical encoding in visual working memory: Ensemble statistics bias memory for individual items. Psychological science, 22(3), 384-392.</t>
  </si>
  <si>
    <t>10.1177/0956797610397956</t>
  </si>
  <si>
    <t>https://osf.io/p5hvr</t>
  </si>
  <si>
    <t>Experiment 1</t>
  </si>
  <si>
    <t>On average, the reported size of the tested circle was 1.11 times greater (SEM = 0.03) on trials with the larger same- colored circles than on trials with the smaller same-colored circles (see Fig. 2b). This ratio was significantly greater than 1.0, t(20) = 4.17, p = .0004.</t>
  </si>
  <si>
    <t>p. 386</t>
  </si>
  <si>
    <t>For second coder: I didn't find any place with n_o = 20</t>
  </si>
  <si>
    <t>Ensemble statistics and item memory</t>
  </si>
  <si>
    <t>Working memory, constructive memory, ensemble statistics, summary statistics</t>
  </si>
  <si>
    <t>Observers are biased by the ensemble statistics of a display when representing display items in visual working memory</t>
  </si>
  <si>
    <t>On average, the reported size of the tested circle was 1.11 times greater (SEM = 0.03) on trials with the larger same colored circles than on trials with the smaller same-colored circles (see Fig. 2b). This ratio was significantly greater than 1.0, t(20) = 4.17, p = .0004</t>
  </si>
  <si>
    <t>t(20) = 4.17</t>
  </si>
  <si>
    <t>t(18) = 5.08</t>
  </si>
  <si>
    <t>Boyce_etal2023130</t>
  </si>
  <si>
    <t>Boyce_etal2023130_1</t>
  </si>
  <si>
    <t>Rychlowska, M., Jack, R. E., Garrod, O. G., Schyns, P. G., Martin, J. D., &amp; Niedenthal, P. M. (2017). Functional smiles: Tools for love, sympathy, and war. Psychological science, 28(9), 1259-1270.</t>
  </si>
  <si>
    <t>10.1177/0956797617706082</t>
  </si>
  <si>
    <t>Supp. 4</t>
  </si>
  <si>
    <t>Boyce_etal2023131</t>
  </si>
  <si>
    <t>Boyce_etal2023131_1</t>
  </si>
  <si>
    <t>PCA replicated, no statistics in Botce, report present</t>
  </si>
  <si>
    <t>Santello, M., Flanders, M., &amp; Soechting, J. F. (1998). Postural hand synergies for tool use. Journal of neuroscience, 18(23), 10105-10115.</t>
  </si>
  <si>
    <t>10.1523/JNEUROSCI.18-23-10105.1998</t>
  </si>
  <si>
    <t>Boyce_etal2023132</t>
  </si>
  <si>
    <t>Boyce_etal2023132_1</t>
  </si>
  <si>
    <t>Savani, K., Markus, H. R., Naidu, N. V. R., Kumar, S., &amp; Berlia, N. (2010). What counts as a choice? US Americans are more likely than Indians to construe actions as choices. Psychological Science, 21(3), 391-398.</t>
  </si>
  <si>
    <t>10.1177/0956797609359908</t>
  </si>
  <si>
    <t>Indian participants identified substantially fewer actions in the construal-of-choice condition, t(32) = 4.25, p &lt; .001, prep &gt; .99, d = 1.03</t>
  </si>
  <si>
    <t>p.394</t>
  </si>
  <si>
    <t>1. I didn't find a replication report, thus I use the data from the table</t>
  </si>
  <si>
    <t>Cultural Differences</t>
  </si>
  <si>
    <t>Choice, construal, action identification, culture, India</t>
  </si>
  <si>
    <t>Participants identified significantly fewer actions in the construal-of-choice condition compared to the control condition</t>
  </si>
  <si>
    <t>"Simple-effects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</si>
  <si>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Boyce_etal2023133</t>
  </si>
  <si>
    <t>Boyce_etal2023133_1</t>
  </si>
  <si>
    <t>Savani, K., &amp; Rattan, A. (2012). A choice mind-set increases the acceptance and maintenance of wealth inequality. Psychological science, 23(7), 796-804.</t>
  </si>
  <si>
    <t>10.1177/0956797611434540</t>
  </si>
  <si>
    <t>that participants in the choice condition were less disturbed by wealth inequality than participants in the control condition were, b = –0.97, SE = 0.43, t(42) = 2.29, p &lt; .03, Bayes factor = 12.76,3 d = 0.594 (see Fig. 1).</t>
  </si>
  <si>
    <t>p.798</t>
  </si>
  <si>
    <t>Choice Perception</t>
  </si>
  <si>
    <t>Participants who perceived more choice were less disturbed by wealth inequality compared to those in the control condition</t>
  </si>
  <si>
    <t>A choice mind-set increases the acceptance and maintenance of wealth inequality</t>
  </si>
  <si>
    <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</si>
  <si>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Boyce_etal2023134</t>
  </si>
  <si>
    <t>Boyce_etal2023134_1</t>
  </si>
  <si>
    <t>Schaerer, M., Swaab, R. I., &amp; Galinsky, A. D. (2015). Anchors weigh more than power: Why absolute powerlessness liberates negotiators to achieve better outcomes. Psychological science, 26(2), 170-181.</t>
  </si>
  <si>
    <t>10.1177/0956797614558718</t>
  </si>
  <si>
    <t>Experiment 1a</t>
  </si>
  <si>
    <t>We also predicted that participants with a weak BATNA would make the lowest first offers, and we found that as well</t>
  </si>
  <si>
    <t>p. 172</t>
  </si>
  <si>
    <r>
      <rPr>
        <rFont val="Calibri"/>
        <sz val="11.0"/>
      </rPr>
      <t xml:space="preserve">1. The replication data was taken from: </t>
    </r>
    <r>
      <rPr>
        <rFont val="Calibri"/>
        <color rgb="FF1155CC"/>
        <sz val="11.0"/>
        <u/>
      </rPr>
      <t>https://osf.io/38en2</t>
    </r>
  </si>
  <si>
    <t>Coded the comparison between weak and no BATNA as key claim</t>
  </si>
  <si>
    <t>Anchoring</t>
  </si>
  <si>
    <t>Negotiation, power, alternatives, first offer, anchoring, negotiator focus</t>
  </si>
  <si>
    <t>Negotiators with a weak BATNA made significantly lower first offers than those with no alternative</t>
  </si>
  <si>
    <t>"Negotiators with a weak BATNA (M = $4.57, SD = 1.74, 95% CI = [4.33, 4.92]) made lower offers than negotiators in both other conditions, ts(285) &gt; 6.18, ps &lt; .001, ds &gt; 0.76"</t>
  </si>
  <si>
    <t>https://osf.io/9j2ym</t>
  </si>
  <si>
    <t>Boyce_etal2023135</t>
  </si>
  <si>
    <t>Boyce_etal2023135_1</t>
  </si>
  <si>
    <t>No statistics in Boyce, report present. Report claims that the author succesfully reproduced the main statistical findings of interest, specifically - the interaction between valence and distance.  Unfortunately, I couldn't find results about that in the original paper, which might be because of my lack in expertize in the area</t>
  </si>
  <si>
    <t>Schechtman, E., Laufer, O., &amp; Paz, R. (2010). Negative valence widens generalization of learning. Journal of Neuroscience, 30(31), 10460-10464.</t>
  </si>
  <si>
    <t>10.1523/JNEUROSCI.2377-10.2010</t>
  </si>
  <si>
    <t>1. In the original paper there is no data in the table of the project. The comparison in the replication study is not matching (distance is not a frequency)</t>
  </si>
  <si>
    <t>There is no matching results</t>
  </si>
  <si>
    <t>Boyce_etal2023136_1</t>
  </si>
  <si>
    <t>Boyce_etal2023136</t>
  </si>
  <si>
    <t>1. P-rep is provided for this study</t>
  </si>
  <si>
    <t>No 2nd coder data</t>
  </si>
  <si>
    <t>Schnall, S., Benton, J., &amp; Harvey, S. (2008). With a clean conscience: Cleanliness reduces the severity of moral judgments. Psychological science, 19(12), 1219-1222.</t>
  </si>
  <si>
    <t>10.1111/j.1467-9280.2008.02227.x</t>
  </si>
  <si>
    <t>Clean Conscience</t>
  </si>
  <si>
    <t>Moral Judgment, Intuitive Processes, Physical Purity, Disgust and Cleanliness, Moral Intuition</t>
  </si>
  <si>
    <t>Cleanliness reduces the severity of moral judgments</t>
  </si>
  <si>
    <t>"As predicted, participants gave lower ratings after the cleanliness priming (M = 4.98, SD = 1.26) than they did after the neutral priming (M = 5.81, SD = 1.47), F(1, 38) = 3.63, p-rep 5.90, partial eta-square = .09"</t>
  </si>
  <si>
    <t>Boyce_etal2023137</t>
  </si>
  <si>
    <t>Boyce_etal2023137_1</t>
  </si>
  <si>
    <t>Final N O is 555 (99 + 456), Boyce states 550</t>
  </si>
  <si>
    <t>N_o incorrect</t>
  </si>
  <si>
    <t>Scopelliti, I., Loewenstein, G., &amp; Vosgerau, J. (2015). You call it “Self-Exuberance”; I call it “Bragging” miscalibrated predictions of emotional responses to self-promotion. Psychological science, 26(6), 903-914.</t>
  </si>
  <si>
    <t>10.1177/0956797615573516</t>
  </si>
  <si>
    <t>Whereas profile writers who tried to maximize interest in themselves believed that they would be liked more (M = 5.28, SD = 1.20) than did profile writers in the control condition (M = 4.85, SD = 1.36), b = 0.434, robust SE = 0.257, t(257) = 1.69, p = .093, d = 0.21,</t>
  </si>
  <si>
    <t>Boyce_etal2023137_1_c</t>
  </si>
  <si>
    <t>N_o incorrect in Boyce report?</t>
  </si>
  <si>
    <t>Self-promotion</t>
  </si>
  <si>
    <t>Social interaction, emotions, interpersonal relationships, judgment, social behavior, open data, open materials</t>
  </si>
  <si>
    <t>Condition does not independently affect emotional ratings</t>
  </si>
  <si>
    <t>"Also as predicted, self-promoters underestimated the extent to which recipients were annoyed (M = 3.54, SD = 1.94, vs. M = 4.82, SD = 2.15), F(1, 145) = 11.56, p = .001, eta-square = .07"</t>
  </si>
  <si>
    <t>p. 6: =(3.54-4.82)/SQRT((1.94^2+2.15^2)/2)</t>
  </si>
  <si>
    <r>
      <rPr>
        <rFont val="Calibri"/>
        <sz val="11.0"/>
      </rPr>
      <t xml:space="preserve">1. I consider the Discipline - "social psychology"
2. The original study was not PREregistrated. Registrated data can be found in: </t>
    </r>
    <r>
      <rPr>
        <rFont val="Calibri"/>
        <color rgb="FF1155CC"/>
        <sz val="11.0"/>
        <u/>
      </rPr>
      <t>https://osf.io/y65ze/</t>
    </r>
  </si>
  <si>
    <t>Boyce_etal2023138_1</t>
  </si>
  <si>
    <t>Boyce_etal2023138_1_a</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</si>
  <si>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</si>
  <si>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misjudge recipients' emotions</t>
  </si>
  <si>
    <t>"The interaction of condition and emotion was significant, F(6, 912) = 10.90, p &lt; .001, η2 = .07 (see Table 5)"</t>
  </si>
  <si>
    <t>Boyce_etal2023137_1_b</t>
  </si>
  <si>
    <t>Data for R extracted from the report. ES in the report is partial etasq, extracted F for consistency with the findings below</t>
  </si>
  <si>
    <t>ES incorrect</t>
  </si>
  <si>
    <t>Experiment 2, emotion x condition</t>
  </si>
  <si>
    <t>self-promoters will overestimate the extent to which their behavior elicits positive emotional reactions in others, and underestimate the extent to which their behavior elicits negative emotional reactions</t>
  </si>
  <si>
    <t>validated - chosen (external)</t>
  </si>
  <si>
    <t>Boyce_etal2023138_1_b</t>
  </si>
  <si>
    <r>
      <rPr>
        <rFont val="Calibri"/>
        <sz val="11.0"/>
      </rPr>
      <t xml:space="preserve">1. I consider the Discipline - "social psychology"
2. The original study was not PREregistrated. Registrated data can be found in: </t>
    </r>
    <r>
      <rPr>
        <rFont val="Calibri"/>
        <color rgb="FF1155CC"/>
        <sz val="11.0"/>
        <u/>
      </rPr>
      <t>https://osf.io/y65ze/</t>
    </r>
  </si>
  <si>
    <t>Emotions differ in intensity across conditions</t>
  </si>
  <si>
    <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</si>
  <si>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F(6, 912) = 21.92</t>
  </si>
  <si>
    <t>F(6,294) = 21.83</t>
  </si>
  <si>
    <t>Boyce_etal2023138_1_c</t>
  </si>
  <si>
    <r>
      <rPr>
        <rFont val="Calibri"/>
        <sz val="11.0"/>
      </rPr>
      <t xml:space="preserve">1. I consider the Discipline - "social psychology"
2. The original study was not PREregistrated. Registrated data can be found in: </t>
    </r>
    <r>
      <rPr>
        <rFont val="Calibri"/>
        <color rgb="FF1155CC"/>
        <sz val="11.0"/>
        <u/>
      </rPr>
      <t>https://osf.io/y65ze/</t>
    </r>
  </si>
  <si>
    <t>F(1, 145) = 2.10</t>
  </si>
  <si>
    <t>F(1,44) = 1.43</t>
  </si>
  <si>
    <t>Boyce_etal2023138_1_d</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</si>
  <si>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</si>
  <si>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perceived greater happiness in recipients than recipients actually reported</t>
  </si>
  <si>
    <t>"Self-promoters overestimated the extent to which recipients felt happy for them (M=4.88 vs. M=3.70), F(1,145)=10.85,p=.001,η2=.07"</t>
  </si>
  <si>
    <t>F(1,44) = 3.43</t>
  </si>
  <si>
    <t>Experiment 2, happy</t>
  </si>
  <si>
    <t>Boyce_etal2023138_1_e</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</si>
  <si>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</si>
  <si>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believed recipients felt prouder of them than recipients actually did</t>
  </si>
  <si>
    <t>"Self-promoters overestimated the extent to which recipients felt proud of them (M=4.33 vs. M=3.08), F(1,145)=12.12,p&lt;.001,η2=.08"</t>
  </si>
  <si>
    <t>F(1,44) = 3.44</t>
  </si>
  <si>
    <t>Boyce_etal2023137_1_d</t>
  </si>
  <si>
    <t>Experiment 2, proud</t>
  </si>
  <si>
    <t>Boyce_etal2023138_1_f</t>
  </si>
  <si>
    <r>
      <rPr>
        <rFont val="Calibri"/>
        <sz val="11.0"/>
      </rPr>
      <t xml:space="preserve">1. I consider the Discipline - "social psychology"
2. The original study was not PREregistrated. Registrated data can be found in: </t>
    </r>
    <r>
      <rPr>
        <rFont val="Calibri"/>
        <color rgb="FF1155CC"/>
        <sz val="11.0"/>
        <u/>
      </rPr>
      <t>https://osf.io/y65ze/</t>
    </r>
  </si>
  <si>
    <t>Despite expectations, self-promoters thought recipients felt more jealous than they actually reported</t>
  </si>
  <si>
    <t>"Contrary to predictions, self-promoters overestimated the extent to which recipients felt jealous of them (M=3.60 vs. M=2.82), F(1,145)=3.76,p=.054,η2=.03"</t>
  </si>
  <si>
    <t>F(1,44) = 3.31</t>
  </si>
  <si>
    <t>Boyce_etal2023137_1_e</t>
  </si>
  <si>
    <t>Experiment 2, jealous</t>
  </si>
  <si>
    <t>Boyce_etal2023138_1_g</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</si>
  <si>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</si>
  <si>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failed to recognize the extent of recipients' annoyance toward their self-promotion</t>
  </si>
  <si>
    <t>"As predicted, self-promoters underestimated the extent to which recipients were annoyed (M=3.54 vs. M=4.82), F(1,145)=11.56,p=.001,η2=.07"</t>
  </si>
  <si>
    <t>F(1,44) = 7.29</t>
  </si>
  <si>
    <t>Boyce_etal2023137_1_f</t>
  </si>
  <si>
    <t>Experiment 2, annoyed</t>
  </si>
  <si>
    <t>Boyce_etal2023138_1_h</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</si>
  <si>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</si>
  <si>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and recipients did not differ significantly in perceptions of recipients' upset emotions</t>
  </si>
  <si>
    <t>"No significant differences were observed in ratings of upset (M=2.58 vs. M=3.04), F(1,145)=1.15,p&gt;.250,η2=.01"</t>
  </si>
  <si>
    <t>F(1,44) = 0.18</t>
  </si>
  <si>
    <t>Boyce_etal2023137_1_g</t>
  </si>
  <si>
    <t>Experiment 2, upset</t>
  </si>
  <si>
    <t>Boyce_etal2023138_1_i</t>
  </si>
  <si>
    <r>
      <rPr>
        <rFont val="Calibri"/>
        <sz val="11.0"/>
      </rPr>
      <t xml:space="preserve">1. I consider the Discipline - "social psychology"
2. The original study was not PREregistrated. Registrated data can be found in: </t>
    </r>
    <r>
      <rPr>
        <rFont val="Calibri"/>
        <color rgb="FF1155CC"/>
        <sz val="11.0"/>
        <u/>
      </rPr>
      <t>https://osf.io/y65ze/</t>
    </r>
  </si>
  <si>
    <t>There was no notable discrepancy between self-promoters' and recipients' perceptions of anger</t>
  </si>
  <si>
    <t>"No significant differences were observed in ratings of anger (M=2.74 vs. M=2.97), F(1,145)=0.25,p&gt;.250,η2=.002"</t>
  </si>
  <si>
    <t>F(1,44) = 0.04</t>
  </si>
  <si>
    <t>Boyce_etal2023137_1_h</t>
  </si>
  <si>
    <t>Experiment 2, angry</t>
  </si>
  <si>
    <t>Boyce_etal2023138_1_j</t>
  </si>
  <si>
    <r>
      <rPr>
        <rFont val="Calibri"/>
        <sz val="11.0"/>
      </rPr>
      <t xml:space="preserve">1. I consider the Discipline - "social psychology"
2. The original study was not PREregistrated. Registrated data can be found in: </t>
    </r>
    <r>
      <rPr>
        <rFont val="Calibri"/>
        <color rgb="FF1155CC"/>
        <sz val="11.0"/>
        <u/>
      </rPr>
      <t>https://osf.io/y65ze/</t>
    </r>
  </si>
  <si>
    <t>Self-promoters slightly overestimated how inferior recipients felt in comparison to them, though not significantly</t>
  </si>
  <si>
    <t>"Self-promoters marginally overestimated the extent to which recipients felt inferior to them (M=2.93 vs. M=2.43), F(1,145)=2.75,p=.10,η2=.02"</t>
  </si>
  <si>
    <t>F(1,44) = 0.28</t>
  </si>
  <si>
    <t>Experiment 2, inferior</t>
  </si>
  <si>
    <t>Boyce_etal2023139</t>
  </si>
  <si>
    <t>Boyce_etal2023139_1</t>
  </si>
  <si>
    <t>Semrow, M., Zou, L. X., Liu, S., &amp; Cheryan, S. (2020). Gay Asian Americans are seen as more American than Asian Americans who are presumed straight. Social Psychological and Personality Science, 11(3), 336-344.</t>
  </si>
  <si>
    <t>10.1177/1948550619849426</t>
  </si>
  <si>
    <t>A 2 (sexual orientation: gay, straight; between)  2 (country of origin: equally accepting, less accepting; within) mixed-model ANOVA on American identity revealed  a significant interaction, F(1, 98) = 22.39, p &lt; .001</t>
  </si>
  <si>
    <t>F(1, 98) = 22.39</t>
  </si>
  <si>
    <t>https://osf.io/xhz4q/</t>
  </si>
  <si>
    <t>Boyce_etal2023139_1_a</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</si>
  <si>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</si>
  <si>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https://github.com/psych251/Semrow2019/blob/master/writeup/Apaza_replication_Semrow.html</t>
  </si>
  <si>
    <t>Stigmatization</t>
  </si>
  <si>
    <t>Race, sexual orientation, intersectionality, foreign stereotypes, acceptance</t>
  </si>
  <si>
    <t>Sexual orientation (gay vs. straight) influences perceptions of American identity</t>
  </si>
  <si>
    <t>"A 2 (sexual orientation: gay, straight; between) x 2 (country of origin: equally accepting, less accepting; within) mixed-model ANOVA on American identity revealed main effects of sexual orientation,  F(1, 98) = 12.54, p = .001, d = .52 [...]"</t>
  </si>
  <si>
    <t>https://osf.io/ajqzg</t>
  </si>
  <si>
    <t>F(1,100) = 2.205</t>
  </si>
  <si>
    <t>Boyce_etal2023139_1_b</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</si>
  <si>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</si>
  <si>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Perceived acceptance of one's country of origin (equally accepting vs. less accepting) affects perceptions of American identity</t>
  </si>
  <si>
    <t>"A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</si>
  <si>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F(1,100) = 6.634</t>
  </si>
  <si>
    <t>Boyce_etal2023139_1_c</t>
  </si>
  <si>
    <r>
      <rPr>
        <rFont val="Calibri"/>
        <sz val="11.0"/>
      </rPr>
      <t xml:space="preserve">1. The data for replication: </t>
    </r>
    <r>
      <rPr>
        <rFont val="Calibri"/>
        <color rgb="FF1155CC"/>
        <sz val="11.0"/>
        <u/>
      </rPr>
      <t xml:space="preserve">https://github.com/psych251/Semrow2019/blob/master/writeup/Apaza_replication_Semrow.html
</t>
    </r>
    <r>
      <rPr>
        <rFont val="Calibri"/>
        <sz val="11.0"/>
      </rPr>
      <t xml:space="preserve">2. Replication authors stated that the samples differ between studies and it can have a significant effect because the study is sociological -&gt; conceptual </t>
    </r>
  </si>
  <si>
    <t>The relationship between sexual orientation and perceptions of American identity depends on the level of acceptance associated with one's country of origin</t>
  </si>
  <si>
    <t>"A 2 (sexual orientation: gay, straight; between) x 2 (country of origin: equally accepting, less accepting; within) mixed-model ANOVA on American identity revealed [...] a significant interaction, F(1, 98) = 22.39, p &lt; .001 (see Figure 3)"</t>
  </si>
  <si>
    <t>F(1,100) = 2.778</t>
  </si>
  <si>
    <t>Boyce_etal202314_1</t>
  </si>
  <si>
    <t>Boyce_etal202314_1_a</t>
  </si>
  <si>
    <t xml:space="preserve">1. Online replication -&gt; conceptual </t>
  </si>
  <si>
    <t>Brady, T. F., Konkle, T., Alvarez, G. A., &amp; Oliva, A. (2013). Real-world objects are not represented as bound units: independent forgetting of different object details from visual memory. Journal of Experimental Psychology: General, 142(3), 791.</t>
  </si>
  <si>
    <t>10.1037/a0029649</t>
  </si>
  <si>
    <t>Feature dependency</t>
  </si>
  <si>
    <t>Binding, visual working memory, visual long-term memory, object-based attention</t>
  </si>
  <si>
    <t>Dependence of state on exemplar is reduced compared to short-delay conditions, though not significantly</t>
  </si>
  <si>
    <t>"In addition, these values of dependence were lower than those observed in the short-delay condition: state given exemplar, t(26) = 1.99, p = .057, d = 0.75; exemplar given state, t(26) = 2.06, p = .05, d = 0.78"</t>
  </si>
  <si>
    <t>Boyce_etal202314_1_d</t>
  </si>
  <si>
    <t>Dependence of exemplar on state is significantly reduced compared to short-delay conditions</t>
  </si>
  <si>
    <t>Boyce_etal2023140</t>
  </si>
  <si>
    <t>Boyce_etal2023140_1</t>
  </si>
  <si>
    <t>Shah, A. K., Shafir, E., &amp; Mullainathan, S. (2015). Scarcity frames value. Psychological science, 26(4), 402-412.</t>
  </si>
  <si>
    <t>10.1177/0956797614563958</t>
  </si>
  <si>
    <t>https://rpubs.com/wuphins/159194</t>
  </si>
  <si>
    <t>The interaction between income and context was significant,</t>
  </si>
  <si>
    <t xml:space="preserve">p. 5 </t>
  </si>
  <si>
    <t>Boyce_etal2023140_1_a</t>
  </si>
  <si>
    <t>1. No PREregistration of the original study, only registration (https://osf.io/vyibm)</t>
  </si>
  <si>
    <t>1b-1c</t>
  </si>
  <si>
    <t>Scarcity</t>
  </si>
  <si>
    <t>Context effects, judgment and decision making, scarcity, open data, open materials</t>
  </si>
  <si>
    <t xml:space="preserve">Higher-income participants showed greater willingness to pay </t>
  </si>
  <si>
    <t>"The interaction between income and context was significant, F(1, 145) = 11.18, p &lt; .01, partial eta-square = .07 (see Fig. 1b)"</t>
  </si>
  <si>
    <t>https://rpubs.com/wuphins/159194, p. 11</t>
  </si>
  <si>
    <t>Boyce_etal2023140_1_b</t>
  </si>
  <si>
    <t>Higher income predicting a stronger effect of context on WTP</t>
  </si>
  <si>
    <t>"The interaction was also significant when income was treated as a continuous variable, β = 2.27, t(145) = 2.17, p &lt; .05"</t>
  </si>
  <si>
    <r>
      <rPr>
        <rFont val="Arial"/>
        <color rgb="FF1155CC"/>
        <u/>
      </rPr>
      <t>https://rpubs.com/wuphins/159194</t>
    </r>
    <r>
      <rPr>
        <rFont val="Arial"/>
      </rPr>
      <t>, p. 11</t>
    </r>
  </si>
  <si>
    <t>There is an interaction between income and context</t>
  </si>
  <si>
    <t>"The interaction between income and context was significant, F(1, 574) = 5.68, p &lt; .05, partial eta-square = .01 (see Fig. 1c)"</t>
  </si>
  <si>
    <t>Boyce_etal2023140_1_c</t>
  </si>
  <si>
    <t xml:space="preserve">Replication </t>
  </si>
  <si>
    <t>Higher income amplifying the influence of context (resort vs. grocery store) on WTP</t>
  </si>
  <si>
    <t>"The interaction was also significant when income was treated continuously, β = 1.65, t(574) = 3.27, p &lt; .01"</t>
  </si>
  <si>
    <r>
      <rPr>
        <rFont val="Arial"/>
        <color rgb="FF1155CC"/>
        <u/>
      </rPr>
      <t>https://rpubs.com/wuphins/159194</t>
    </r>
    <r>
      <rPr>
        <rFont val="Arial"/>
      </rPr>
      <t>, p. 12</t>
    </r>
  </si>
  <si>
    <t>Boyce_etal2023141</t>
  </si>
  <si>
    <t>Boyce_etal2023141_1</t>
  </si>
  <si>
    <t>statistics for R extracted from the report</t>
  </si>
  <si>
    <t>Sharif, M. A., &amp; Oppenheimer, D. M. (2016). The effect of relative encoding on memory-based judgments. Psychological science, 27(8), 1136-1145.</t>
  </si>
  <si>
    <t>10.1177/0956797616651973</t>
  </si>
  <si>
    <t>they were significantly more likely to choose the target singer than to choose one of the other average-quality singers</t>
  </si>
  <si>
    <r>
      <rPr>
        <rFont val="Calibri"/>
        <sz val="11.0"/>
      </rPr>
      <t xml:space="preserve">1. No PREregistration. Open-Ended registration: </t>
    </r>
    <r>
      <rPr>
        <rFont val="Calibri"/>
        <color rgb="FF1155CC"/>
        <sz val="11.0"/>
        <u/>
      </rPr>
      <t>https://osf.io/fzm68</t>
    </r>
  </si>
  <si>
    <t>Memory-based judgments</t>
  </si>
  <si>
    <t>Memory, judgments, ordinal rank, encode, open data, open materials</t>
  </si>
  <si>
    <t xml:space="preserve">Participants' choices of the target singer are influenced by the quality of the comparison set </t>
  </si>
  <si>
    <t>"They were significantly more likely to choose the target singer as the winner when the distribution included two bad singers (the T1-top condition; 40.8%) than when the distribution included two good singers (the T1-bottom condition; 2.0%), X2(2, N = 100) = 22.74, p &lt; .001, r = .477"</t>
  </si>
  <si>
    <t>X2(2) = 12.026</t>
  </si>
  <si>
    <t>Boyce_etal2023141_1_b</t>
  </si>
  <si>
    <r>
      <rPr>
        <rFont val="Calibri"/>
        <sz val="11.0"/>
      </rPr>
      <t xml:space="preserve">1. No PREregistration. Open-Ended registration: </t>
    </r>
    <r>
      <rPr>
        <rFont val="Calibri"/>
        <color rgb="FF1155CC"/>
        <sz val="11.0"/>
        <u/>
      </rPr>
      <t>https://osf.io/fzm68</t>
    </r>
  </si>
  <si>
    <t>Participants' evaluations of the target singer persist despite changes in the comparison set</t>
  </si>
  <si>
    <t>"[...] they were significantly more likely to choose the target singer than to choose one of the other average-quality singers (43% chose the target singer, chance = 33.33%), X2(2, N = 90) = 4.05, p = .044,  r = .212 "</t>
  </si>
  <si>
    <t>Boyce_etal2023142</t>
  </si>
  <si>
    <t>Boyce_etal2023142_1</t>
  </si>
  <si>
    <t>Shariff, A. F., Greene, J. D., Karremans, J. C., Luguri, J. B., Clark, C. J., Schooler, J. W., ... &amp; Vohs, K. D. (2014). Free will and punishment: A mechanistic view of human nature reduces retribution. Psychological science, 25(8), 1563-1570.</t>
  </si>
  <si>
    <t>10.1177/0956797614534693</t>
  </si>
  <si>
    <t>Punishment and blameworthiness.</t>
  </si>
  <si>
    <t>As predicted, participants who read the neuroscience articles recommended significantly shorter prison sentences than did participants who read the other science articles (M = 3.10, SD = 1.48, vs. M = 3.83, SD = 1.77), t(86) = 2.09, p =.04, d = 0.45 (Fig. 1)</t>
  </si>
  <si>
    <t>1. I didn't find the replication report</t>
  </si>
  <si>
    <t>Free-will</t>
  </si>
  <si>
    <t>Free will, punishment, morality, responsibility, blame, open materials</t>
  </si>
  <si>
    <t xml:space="preserve">Participants who read the neuroscience articles recommended significantly shorter prison sentences </t>
  </si>
  <si>
    <t>"As predicted, participants who read the neuroscience articles recommended significantly shorter prison sentences than did participants who read the other science articles (M = 3.10, SD = 1.48, vs. M = 3.83, SD = 1.77), t(86) = 2.09, p = .04, d = 0.45 (Fig. 1) and blamed the transgressor less [...]"</t>
  </si>
  <si>
    <t>Boyce_etal2023143</t>
  </si>
  <si>
    <t>Boyce_etal2023143_1</t>
  </si>
  <si>
    <t>Shavit, Y. Z., Chi, K., &amp; Carstensen, L. L. (2022). Age and Time Horizons Are Associated With Preferences for Helping Colleagues. Work, Aging and Retirement.</t>
  </si>
  <si>
    <t>10.1093/workar/waac024</t>
  </si>
  <si>
    <t>Furthermore, the interaction term between age and expanded time horizons was negative, although it failed to reach the conventional threshold for statistical significance in the traditional two-tailed test (β = −0.42, 95% CI: −0.88 – 0.02, Z = −1.86, p = .07).</t>
  </si>
  <si>
    <t>p. 285</t>
  </si>
  <si>
    <t>Boyce_etal2023143_1_a</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</si>
  <si>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</si>
  <si>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Added link to report and repr_r values</t>
  </si>
  <si>
    <t>https://rpubs.com/ennachen/psych251_finalproject</t>
  </si>
  <si>
    <t>Age differences</t>
  </si>
  <si>
    <t>Motivation, socioemotional selectivity theory, time horizons, work preferences, older workers</t>
  </si>
  <si>
    <t>Participants in the expanded time horizon condition are less likely to help others compared to the control condition</t>
  </si>
  <si>
    <t>"In support of the second hypothesis, we found a main effect of expanded time horizons on preferences, whereby the likelihood of helping others was reduced in the expanded horizons condition (β = −0.7, Z = −3.15, p = .002)."</t>
  </si>
  <si>
    <t>https://osf.io/86p4e/</t>
  </si>
  <si>
    <t>Boyce_etal2023143_1_b</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</si>
  <si>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</si>
  <si>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The relationship between age and likelihood of helping others differs by time horizon condition</t>
  </si>
  <si>
    <t>"The interaction term between age and expanded time horizons was negative, although it failed to reach conventional significance in a two-tailed test (β = −0.42, Z = −1.86, p = .07), but significant with a one-tailed test (p(one-tailed) = .035)."</t>
  </si>
  <si>
    <t>Boyce_etal2023143_1_c</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</si>
  <si>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</si>
  <si>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Participants in the unspecified (limited) time horizon condition are less likely to help others compared to the expanded condition</t>
  </si>
  <si>
    <t>"Contrary to the third hypothesis, the main effect of limited time horizons was also negative (β = −0.45, Z = −2.01, p = .05)."</t>
  </si>
  <si>
    <t>Boyce_etal2023143_1_d</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</si>
  <si>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</si>
  <si>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Age predicts likelihood of helping others in the expanded time horizon condition</t>
  </si>
  <si>
    <t>"Age was not significantly associated with the likelihood of helping a colleague or a friend under expanded time horizons (β = 0.17, Z = 1.06, p = .29)."</t>
  </si>
  <si>
    <t>Boyce_etal2023143_1_e</t>
  </si>
  <si>
    <r>
      <rPr>
        <rFont val="Calibri"/>
        <sz val="11.0"/>
      </rPr>
      <t xml:space="preserve">1. The data was taken from: </t>
    </r>
    <r>
      <rPr>
        <rFont val="Calibri"/>
        <color rgb="FF1155CC"/>
        <sz val="11.0"/>
        <u/>
      </rPr>
      <t xml:space="preserve">https://rpubs.com/ennachen/psych251_finalproject
</t>
    </r>
    <r>
      <rPr>
        <rFont val="Calibri"/>
        <sz val="11.0"/>
      </rPr>
      <t>2. The original paper was added as 10.1093workarwaac024.pdf</t>
    </r>
  </si>
  <si>
    <t>Older individuals are more likely to help others when faced with limited time horizons, compared to younger individuals</t>
  </si>
  <si>
    <t>"However, under limited time horizons, the effect of age on increasing the likelihood of helping others fell just short of reaching the traditional threshold for statistical significance (β = 0.3, 95% CI: −0.01 – 0.61, Z = 1.9, p = .06)."</t>
  </si>
  <si>
    <t>Boyce_etal2023144</t>
  </si>
  <si>
    <t>Boyce_etal2023144_1</t>
  </si>
  <si>
    <t>Page and p-value incorrect</t>
  </si>
  <si>
    <t>Sheppes, G., Scheibe, S., Suri, G., &amp; Gross, J. J. (2011). Emotion-regulation choice. Psychological science, 22(11), 1391-1396.</t>
  </si>
  <si>
    <t>10.1177/0956797611418350</t>
  </si>
  <si>
    <t>that participants chose to employ .... distraction on 70.7% of the high-intensity trials (95% CI: [60.7, 80.7]), F(1, 19) = 47.54, p &lt; .000001, ηp2 = .71.</t>
  </si>
  <si>
    <t>F(1, 19) = 47.54</t>
  </si>
  <si>
    <t>p. 1393</t>
  </si>
  <si>
    <t xml:space="preserve">1. Several changes to methodology (online, no video and so on) -&gt; conceptual
2. This is called "reproducibility report" and it is not reproduction of the previous analysis with the same sample: "Unlike in the original study that was performed in a sample of undergraduate students, the present replication will be performed on a sample of participants recruited online via Prolific" </t>
  </si>
  <si>
    <t>Reproducibility Report</t>
  </si>
  <si>
    <t>Emotion regulation</t>
  </si>
  <si>
    <t>Choice, emotion, emotion regulation, self-regulation, emotional control, self-control</t>
  </si>
  <si>
    <t>Participants chose to employ reappraisal on 76.3% of the low-intensity trials, but chose to employ distraction on 70.7% of the high-intensity trials</t>
  </si>
  <si>
    <t>"Participants chose to employ reappraisal more frequently in low-intensity trials (76.3%, 95% CI: [66.3, 86.3]) compared to distraction in high-intensity trials (70.7%, 95% CI: [60.7, 80.7]), with a significant difference observed, F (1, 19) = 47.54, p &lt; .000001, partial eta-square = .71"</t>
  </si>
  <si>
    <t>https://osf.io/dn6gz</t>
  </si>
  <si>
    <t>Boyce_etal2023145</t>
  </si>
  <si>
    <t>Boyce_etal2023145_1</t>
  </si>
  <si>
    <t>report for R also states that ηp2 = .91</t>
  </si>
  <si>
    <t>Effect, tag and description added</t>
  </si>
  <si>
    <t>Sherman, G. D., Haidt, J., &amp; Clore, G. L. (2012). The faintest speck of dirt: Disgust enhances the detection of impurity. Psychological Science, 23(12), 1506-1514.</t>
  </si>
  <si>
    <t>10.1177/0956797612445318</t>
  </si>
  <si>
    <t>Emotions</t>
  </si>
  <si>
    <t>Emotions, perception, individual differences</t>
  </si>
  <si>
    <t>Spectrum and Trait interation was significant</t>
  </si>
  <si>
    <t>"Second, the predicted End of Spectrum × Trait Disgust interaction was significant, b = −0.04, SE = 0.02, t(17586) = −2.11, p = .04, OR = 0.96"</t>
  </si>
  <si>
    <t>Boyce_etal2023146</t>
  </si>
  <si>
    <t>Boyce_etal2023146_1</t>
  </si>
  <si>
    <t>sloman2016_1, p value for O in Boyce is different from one in original paper. P from original paper extracted</t>
  </si>
  <si>
    <t>Sloman, S. A., &amp; Rabb, N. (2016). Your understanding is my understanding: Evidence for a community of knowledge. Psychological science, 27(11), 1451-1460.</t>
  </si>
  <si>
    <t>10.1177/0956797616662271</t>
  </si>
  <si>
    <t>Experiment 2</t>
  </si>
  <si>
    <t>Planned comparisons showed that ratings in the public CK condition (M = 0.21, 95% CI = [0.16, 0.25]) were significantly higher than those in ... the secret CK condition (M = 0.18, 95% CI = [0.13, 0.22]), t(105) = −1.96, p = .052.</t>
  </si>
  <si>
    <t>d copied from Boyce data set</t>
  </si>
  <si>
    <t>Boyce_etal2023146_1_b</t>
  </si>
  <si>
    <t>sloman2016_2</t>
  </si>
  <si>
    <t>Effect, tag and description and claim added</t>
  </si>
  <si>
    <t>https://rpubs.com/hrlarry/YUIMU-final</t>
  </si>
  <si>
    <t>Community-of-knowledge hypothesis</t>
  </si>
  <si>
    <t>Cognitive processes, knowledge level, judgment, monitoring, open data, open materials</t>
  </si>
  <si>
    <t>Participants demonstrated significantly higher understanding scores in the common knowledge (CK) condition</t>
  </si>
  <si>
    <t>"A paired-samples t-test on the log-transformed ratings of understanding showed that scores were significantly higher in the CK condition (M = 0.28, 95% CI [0.21, 0.35]) compared to the no-CK condition (M = 0.20, 95% CI [0.15, 0.25]), t(69) = −3.40, p = .001, d = 0.43"</t>
  </si>
  <si>
    <t>https://osf.io/x4m6w</t>
  </si>
  <si>
    <t>Boyce_etal2023146_1_a</t>
  </si>
  <si>
    <r>
      <rPr>
        <rFont val="Calibri"/>
        <sz val="11.0"/>
      </rPr>
      <t xml:space="preserve">1. Data for replication: </t>
    </r>
    <r>
      <rPr>
        <rFont val="Calibri"/>
        <color rgb="FF1155CC"/>
        <sz val="11.0"/>
        <u/>
      </rPr>
      <t>https://rpubs.com/hrlarry/YUIMU-final</t>
    </r>
  </si>
  <si>
    <t>Participants' ratings of understanding differ significantly across conditions</t>
  </si>
  <si>
    <t>"A repeated measures analysis of variance (ANOVA) on the log-transformed ratings of understanding revealed a main effect of condition on understanding, F(2, 210) = 5.62, p = .004, partial eta-square = .051"</t>
  </si>
  <si>
    <r>
      <rPr>
        <rFont val="Calibri"/>
        <sz val="11.0"/>
      </rPr>
      <t xml:space="preserve">1. Data for replication: </t>
    </r>
    <r>
      <rPr>
        <rFont val="Calibri"/>
        <color rgb="FF1155CC"/>
        <sz val="11.0"/>
        <u/>
      </rPr>
      <t>https://rpubs.com/hrlarry/YUIMU-final</t>
    </r>
  </si>
  <si>
    <t>Ratings of understanding are significantly higher in the public CK condition than in the public no-CK condition</t>
  </si>
  <si>
    <t>"Planned comparisons showed that ratings in the public CK condition (M = 0.21, 95% CI = [0.16, 0.25]) were significantly higher than those in the public no-CK condition (M = 0.15, 95% CI = [0.11, 0.19]), t(105) = −3.20, p = .002."</t>
  </si>
  <si>
    <t>t(105) = -3.20</t>
  </si>
  <si>
    <t>t(157) = -4.25</t>
  </si>
  <si>
    <t>Boyce_etal2023146_1_c</t>
  </si>
  <si>
    <r>
      <rPr>
        <rFont val="Calibri"/>
        <sz val="11.0"/>
      </rPr>
      <t xml:space="preserve">1. Data for replication: </t>
    </r>
    <r>
      <rPr>
        <rFont val="Calibri"/>
        <color rgb="FF1155CC"/>
        <sz val="11.0"/>
        <u/>
      </rPr>
      <t>https://rpubs.com/hrlarry/YUIMU-final</t>
    </r>
  </si>
  <si>
    <t>Ratings of understanding in the public CK condition are nearly significantly higher than in the secret CK condition</t>
  </si>
  <si>
    <t>"Planned comparisons showed that ratings in the public CK condition were nearly significantly higher than those in the secret CK condition (M = 0.18, 95% CI = [0.13, 0.22]), t(105) = −1.96, p = .052."</t>
  </si>
  <si>
    <t>t(105) = -1.96</t>
  </si>
  <si>
    <t>t(157) = -2.62</t>
  </si>
  <si>
    <t>Boyce_etal2023146_1_d</t>
  </si>
  <si>
    <r>
      <rPr>
        <rFont val="Calibri"/>
        <sz val="11.0"/>
      </rPr>
      <t xml:space="preserve">1. Data for replication: </t>
    </r>
    <r>
      <rPr>
        <rFont val="Calibri"/>
        <color rgb="FF1155CC"/>
        <sz val="11.0"/>
        <u/>
      </rPr>
      <t>https://rpubs.com/hrlarry/YUIMU-final</t>
    </r>
  </si>
  <si>
    <t>There is no significant difference in ratings of understanding between the public no-CK and secret CK conditions</t>
  </si>
  <si>
    <t>"The means for the public no-CK and secret CK conditions were not significantly different, t(105) = −1.51, p = .134"</t>
  </si>
  <si>
    <t>t(105) = -1.51</t>
  </si>
  <si>
    <t>t(157) = -1.91</t>
  </si>
  <si>
    <t>Boyce_etal2023147_1</t>
  </si>
  <si>
    <t>Boyce_etal2023147</t>
  </si>
  <si>
    <r>
      <rPr>
        <rFont val="Calibri"/>
        <sz val="11.0"/>
      </rPr>
      <t xml:space="preserve">1. Data for replication: </t>
    </r>
    <r>
      <rPr>
        <rFont val="Calibri"/>
        <color rgb="FF1155CC"/>
        <sz val="11.0"/>
        <u/>
      </rPr>
      <t>https://rpubs.com/kleibow/338461</t>
    </r>
  </si>
  <si>
    <t>Boyce_etal2023148</t>
  </si>
  <si>
    <t>Boyce_etal2023148_1</t>
  </si>
  <si>
    <t>data for R extracted from the report</t>
  </si>
  <si>
    <t>Sofer, C., Dotsch, R., Wigboldus, D. H., &amp; Todorov, A. (2015). What is typical is good: The influence of face typicality on perceived trustworthiness. Psychological Science, 26(1), 39-47.</t>
  </si>
  <si>
    <t>10.1177/0956797614554955</t>
  </si>
  <si>
    <t>Experiment 1, regression</t>
  </si>
  <si>
    <t>These results were confirmed in a multiple regression analysis in which we predicted the judgments using DFT, DFT-squared, judgment type (trustworthiness = 1, attractiveness = 0), and their interactions (all predictors centered), F(5, 16) = 285.81, p &lt; .001, R2= .99.</t>
  </si>
  <si>
    <t>F(5, 16) = 285.81</t>
  </si>
  <si>
    <t>Boyce_etal2023148_1_a</t>
  </si>
  <si>
    <t>1. Several procedural differences (setup, sample) -&gt; conceptual</t>
  </si>
  <si>
    <t>Face recognition</t>
  </si>
  <si>
    <t>Social perception, face perception, face typicality, distinctiveness, trustworthiness, attractiveness, familiarity, open data, open materials</t>
  </si>
  <si>
    <t>face typicality and perceived trustworthiness</t>
  </si>
  <si>
    <t>"These results were confirmed in a multiple regression analysis predicting judgments from DFT, DFT-squared, judgment type (trustworthiness = 1, attractiveness = 0), and their interactions (all predictors centered), F(5, 16) = 285.81, p &lt; .001, R² = .99."</t>
  </si>
  <si>
    <r>
      <rPr>
        <rFont val="Calibri"/>
        <color rgb="FF1155CC"/>
        <sz val="11.0"/>
        <u/>
      </rPr>
      <t>https://github.com/vboyce/251-254-MA/blob/main/reports/sofer2015.html</t>
    </r>
    <r>
      <rPr>
        <rFont val="Calibri"/>
        <sz val="11.0"/>
      </rPr>
      <t>, p. 9</t>
    </r>
  </si>
  <si>
    <t>Boyce_etal2023148_1_b</t>
  </si>
  <si>
    <t>Distance from the typical face (DFT) influences attractiveness judgments.</t>
  </si>
  <si>
    <t>"The significant effect of DFT, β = 2.27, p &lt; .001, revealed that DFT influenced attractiveness judgments, such that the more distant faces were from the typical face, the more attractive they were judged."</t>
  </si>
  <si>
    <r>
      <rPr>
        <rFont val="Calibri"/>
        <color rgb="FF1155CC"/>
        <sz val="11.0"/>
        <u/>
      </rPr>
      <t>https://github.com/vboyce/251-254-MA/blob/main/reports/sofer2015.html</t>
    </r>
    <r>
      <rPr>
        <rFont val="Calibri"/>
        <sz val="11.0"/>
      </rPr>
      <t>, p. 9</t>
    </r>
  </si>
  <si>
    <t>Boyce_etal2023148_1_c</t>
  </si>
  <si>
    <t>The relationship between DFT and attractiveness judgments follows a quadratic trend</t>
  </si>
  <si>
    <t>"A significant quadratic effect of DFT on attractiveness judgments, β = −1.09, p &lt; .001; the effect of DFT became weaker at higher values of DFT."</t>
  </si>
  <si>
    <r>
      <rPr>
        <rFont val="Calibri"/>
        <color rgb="FF1155CC"/>
        <sz val="11.0"/>
        <u/>
      </rPr>
      <t>https://github.com/vboyce/251-254-MA/blob/main/reports/sofer2015.html</t>
    </r>
    <r>
      <rPr>
        <rFont val="Calibri"/>
        <sz val="11.0"/>
      </rPr>
      <t>, p. 9</t>
    </r>
  </si>
  <si>
    <t>Boyce_etal2023148_1_d</t>
  </si>
  <si>
    <t>The influence of DFT on judgments differs between trustworthiness and attractiveness</t>
  </si>
  <si>
    <t>"The interactions between [...] DFT-squared and judgment type, β = 0.34, p &lt; .03, indicated that trustworthiness and attractiveness judgments followed different trends as a function of DFT."</t>
  </si>
  <si>
    <r>
      <rPr>
        <rFont val="Calibri"/>
        <color rgb="FF1155CC"/>
        <sz val="11.0"/>
        <u/>
      </rPr>
      <t>https://github.com/vboyce/251-254-MA/blob/main/reports/sofer2015.html</t>
    </r>
    <r>
      <rPr>
        <rFont val="Calibri"/>
        <sz val="11.0"/>
      </rPr>
      <t>, p. 9</t>
    </r>
  </si>
  <si>
    <t>Boyce_etal2023148_1_e</t>
  </si>
  <si>
    <t>The more distant the face from the typical face, the less trustworthy it was judged</t>
  </si>
  <si>
    <t>"The interactions between DFT and judgment type, β = −1.54, p &lt; .001 [...], indicated that trustworthiness and attractiveness judgments followed different trends as a function of DFT."</t>
  </si>
  <si>
    <r>
      <rPr>
        <rFont val="Calibri"/>
        <color rgb="FF1155CC"/>
        <sz val="11.0"/>
        <u/>
      </rPr>
      <t>https://github.com/vboyce/251-254-MA/blob/main/reports/sofer2015.html</t>
    </r>
    <r>
      <rPr>
        <rFont val="Calibri"/>
        <sz val="11.0"/>
      </rPr>
      <t>, p. 9</t>
    </r>
  </si>
  <si>
    <t>Boyce_etal2023148_1_f</t>
  </si>
  <si>
    <t>Trustworthiness judgments are systematically lower than attractiveness judgments</t>
  </si>
  <si>
    <t>"On average, trustworthiness judgments were lower than attractiveness judgments, as revealed by the significant effect of judgment type, β = −0.26, p &lt; .001."</t>
  </si>
  <si>
    <r>
      <rPr>
        <rFont val="Calibri"/>
        <color rgb="FF1155CC"/>
        <sz val="11.0"/>
        <u/>
      </rPr>
      <t>https://github.com/vboyce/251-254-MA/blob/main/reports/sofer2015.html</t>
    </r>
    <r>
      <rPr>
        <rFont val="Calibri"/>
        <sz val="11.0"/>
      </rPr>
      <t>, p. 9</t>
    </r>
  </si>
  <si>
    <t>Boyce_etal2023149</t>
  </si>
  <si>
    <t>Boyce_etal2023149_1</t>
  </si>
  <si>
    <t>Stavrova, O., Ehlebracht, D., &amp; Vohs, K. D. (2020). Victims, perpetrators, or both? The vicious cycle of disrespect and cynical beliefs about human nature. Journal of Experimental Psychology: General, 149(9), 1736.</t>
  </si>
  <si>
    <t>10.1037xge0000738</t>
  </si>
  <si>
    <t>Study 3, Cynicism</t>
  </si>
  <si>
    <t>showed that participants in the disrespect condition reported a higher level of cynicism (M  3.90, SD  1.29) than participants in the control condition (M  3.40, SD  1.22), t(221)  2.95, p  .004, d .40.</t>
  </si>
  <si>
    <t>p. 1742</t>
  </si>
  <si>
    <t>https://aspredicted.org/ai7am.pdf</t>
  </si>
  <si>
    <t>1. Since no report, the data was taken from the table
2. The original paper was added as 10.1037xge0000738.pdf</t>
  </si>
  <si>
    <t>Cynicism</t>
  </si>
  <si>
    <t>Bidirectional effects, cynicism, disrespect, hostility</t>
  </si>
  <si>
    <t>Participants exposed to a disrespect condition reported higher levels of cynicism</t>
  </si>
  <si>
    <t>"Cynicism. An independent-samples t-test showed that participants in the disrespect condition reported a higher level of cynicism (M = 3.90, SD = 1.29) than those in the control condition (M = 3.40, SD = 1.22), t(221) = 2.95, p = .004, d = 0.40"</t>
  </si>
  <si>
    <t>Boyce_etal202315</t>
  </si>
  <si>
    <t>Boyce_etal202315_1</t>
  </si>
  <si>
    <t>Brandone, A. C., Gelman, S. A., &amp; Hedglen, J. (2015). Children's developing intuitions about the truth conditions and implications of novel generics versus quantified statements. Cognitive science, 39(4), 711-738.</t>
  </si>
  <si>
    <t>10.1111/cogs.12176</t>
  </si>
  <si>
    <t>Generic language</t>
  </si>
  <si>
    <t>Cognitive development; Concepts; Generic language; Language understanding; Language acquisition; Semantics</t>
  </si>
  <si>
    <t>Children's developing intuitions about the truth conditions and implications of novel generics versus quantified statementsThere is a significant difference between mean prevalence level for generic wording in adults between truth condition and implied prevalence task</t>
  </si>
  <si>
    <t>Results showed significant main effects of wording, F(3, 129) = 31.45, p &lt; .001,</t>
  </si>
  <si>
    <t>F(3, 129) = 31.45</t>
  </si>
  <si>
    <t>Boyce, V., Mathur, M., &amp; Frank, M. C. (2023). Eleven years of student replication projects provide evidence on the correlates of replicability in psychology. Royal Society Open Science, 10(11), 231240. https://doi.org/10.1098/rsos.231076</t>
  </si>
  <si>
    <t>10.1098/rsos.231076</t>
  </si>
  <si>
    <t>No replication results</t>
  </si>
  <si>
    <t>1. Since no report, the data was taken from the table</t>
  </si>
  <si>
    <t>"The average prevalence level that led to right responses for each wording condition at each age group is displayed in Table 1"</t>
  </si>
  <si>
    <t>Boyce_etal2023150</t>
  </si>
  <si>
    <t>Boyce_etal2023150_1</t>
  </si>
  <si>
    <t>Storm, B. C., &amp; Stone, S. M. (2015). Saving-enhanced memory: The benefits of saving on the learning and remembering of new information. Psychological Science, 26(2), 182-188.</t>
  </si>
  <si>
    <t>10.1177/0956797614559285</t>
  </si>
  <si>
    <t>Recall performance for File B</t>
  </si>
  <si>
    <t>ANOVA revealed a significant interaction, F(1, 46) = 7.89, MSE = 0.01, p = .007, η2 = .15.</t>
  </si>
  <si>
    <t>F(1, 46) = 7.89</t>
  </si>
  <si>
    <t>Boyce_etal2023150_1_a</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</si>
  <si>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</si>
  <si>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https://rpubs.com/mkmartykeil/replicationfinal</t>
  </si>
  <si>
    <t>Saving-Enhanced Memory</t>
  </si>
  <si>
    <t>Memory, human-computer interaction, cognition(s), forgetting</t>
  </si>
  <si>
    <t>Participants recalled significantly more words on save trials than no-save trials in the eight-word condition</t>
  </si>
  <si>
    <t>"In the eight-word condition, the proportion of words recalled was significantly greater on save trials (M = .80, SE = .03) than on no-save trials (M = .29, SE = .03), t(23) = 14.24, p &lt; .001, d = 2.91, mean difference = .51 (95% CI = [.43, .58])"</t>
  </si>
  <si>
    <t>Boyce_etal2023150_1_b</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</si>
  <si>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</si>
  <si>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 xml:space="preserve">Better recall on save trials and lower recall on no-save trials </t>
  </si>
  <si>
    <t>"A similar difference was observed in the two-word condition, with performance being perfect on save trials (M = 1.00, SE = .00) and significantly worse than perfect on no-save trials (M = .79, SE = .05), t(23) = 3.98, p = .001, d = 0.81, mean difference = .21 (95% CI = [.10, .32])"</t>
  </si>
  <si>
    <t>Boyce_etal2023150_1_c</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</si>
  <si>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</si>
  <si>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Saving File A improved recall of words from File B in the eight-word condition, suggesting a cognitive offloading effect</t>
  </si>
  <si>
    <t>" [...] participants in the eight-word condition recalled significantly more words from File B when they had saved File A than when they had not saved File A, t(23) = 4.56, p &lt; .001, d = 0.93, mean difference = .13 (95% CI = [.07, .18])"</t>
  </si>
  <si>
    <t>Boyce_etal2023150_1_d</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</si>
  <si>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t>
    </r>
  </si>
  <si>
    <t>No significant difference in File B recall was found when File A contained only two words, implying the effect depends on task complexity</t>
  </si>
  <si>
    <t>"When File A consisted of only two words, participants did not recall significantly more words from File B after they had saved File A than after they had not saved File A, t(23) = 0.40, p = .69, d = 0.08, mean difference = .01 (95% CI = [−.05, .07])."</t>
  </si>
  <si>
    <t>Boyce_etal2023150_1_e</t>
  </si>
  <si>
    <r>
      <rPr>
        <rFont val="Calibri"/>
        <sz val="11.0"/>
      </rPr>
      <t xml:space="preserve">1. Replication data: </t>
    </r>
    <r>
      <rPr>
        <rFont val="Calibri"/>
        <color rgb="FF1155CC"/>
        <sz val="11.0"/>
        <u/>
      </rPr>
      <t xml:space="preserve">https://rpubs.com/mkmartykeil/replicationfinal
</t>
    </r>
    <r>
      <rPr>
        <rFont val="Calibri"/>
        <sz val="11.0"/>
      </rPr>
      <t>2. Because the procedure slightly changed (especially the recall): conceptual replication
3. The data from the report was used for ES</t>
    </r>
  </si>
  <si>
    <t>The interaction between trial type (save vs. no-save) and condition (eight-word vs. two-word) confirms that the impact of saving varies by word count</t>
  </si>
  <si>
    <t>"A 2 (trial type: save vs. no save) × 2 (condition: eight word vs. two word) mixed-design ANOVA revealed a significant interaction, F(1, 46) = 7.89, MSE = 0.01, p = .007, η2 = .15"</t>
  </si>
  <si>
    <t>Boyce_etal2023151</t>
  </si>
  <si>
    <t>Boyce_etal2023151_1</t>
  </si>
  <si>
    <t>Störmer, V. S., &amp; Alvarez, G. A. (2016). Attention alters perceived attractiveness. Psychological Science, 27(4), 563-571.</t>
  </si>
  <si>
    <t>10.1177/0956797616630964</t>
  </si>
  <si>
    <t>when the two faces were physically identical, participants tended to judge the face at the cued location to have higher con-
trast than the face at the uncued location (55.8% vs. 45.8%), t(15) = 2.51, p = .02, η2 = .30.</t>
  </si>
  <si>
    <r>
      <rPr>
        <rFont val="Calibri"/>
        <sz val="11.0"/>
      </rPr>
      <t xml:space="preserve">1. Online study for attention -&gt; conceptually new design
2. The replication data: </t>
    </r>
    <r>
      <rPr>
        <rFont val="Calibri"/>
        <color rgb="FF1155CC"/>
        <sz val="11.0"/>
        <u/>
      </rPr>
      <t xml:space="preserve">https://rpubs.com/mlee17/262394
</t>
    </r>
    <r>
      <rPr>
        <rFont val="Calibri"/>
        <sz val="11.0"/>
      </rPr>
      <t>3. Effect can be either "Attentional cueing" or "attractiveness judgments". The first is broader</t>
    </r>
  </si>
  <si>
    <t>https://rpubs.com/mlee17/262394</t>
  </si>
  <si>
    <t>Attentional cuing</t>
  </si>
  <si>
    <t>Attention, perception, face perception, visual attention</t>
  </si>
  <si>
    <t>Participants chose the face with higher contrast around the eye region more often</t>
  </si>
  <si>
    <t>"There was a main effect of actual contrast level on contrast judgments, F(4, 15) = 27.93, p = .0001, eta-square = .31"</t>
  </si>
  <si>
    <t>Boyce_etal2023151_1_b</t>
  </si>
  <si>
    <r>
      <rPr>
        <rFont val="Calibri"/>
        <sz val="11.0"/>
      </rPr>
      <t xml:space="preserve">1. Online study for attention -&gt; conceptually new design
2. The replication data: </t>
    </r>
    <r>
      <rPr>
        <rFont val="Calibri"/>
        <color rgb="FF1155CC"/>
        <sz val="11.0"/>
        <u/>
      </rPr>
      <t xml:space="preserve">https://rpubs.com/mlee17/262394
</t>
    </r>
    <r>
      <rPr>
        <rFont val="Calibri"/>
        <sz val="11.0"/>
      </rPr>
      <t>3. Effect can be either "Attentional cueing" or "attractiveness judgments". The first is broader</t>
    </r>
  </si>
  <si>
    <t>The attended (cued) face tended to be judged to have higher contrast than the same face that was unattended to some degree</t>
  </si>
  <si>
    <t>"As shown in Figure 4b, when the two faces were physically identical, participants tended to judge the face at the cued location to have higher contrast than the face at the uncued location (55.8% vs. 45.8%), t(15) = 2.51, p = .02, eta-square = .30"</t>
  </si>
  <si>
    <t>Boyce_etal2023152</t>
  </si>
  <si>
    <t>Boyce_etal2023152_1</t>
  </si>
  <si>
    <t>Suppes, P., &amp; Schlag-Rey, M. (1965). Observable changes of hypotheses under positive reinforcement. Science, 148(3670), 661-662.</t>
  </si>
  <si>
    <t>10.1126/science.148.3670.661</t>
  </si>
  <si>
    <t>Boyce_etal2023153</t>
  </si>
  <si>
    <t>Boyce_etal2023153_1</t>
  </si>
  <si>
    <t>Tamir, D. I., &amp; Mitchell, J. P. (2012). Disclosing information about the self is intrinsically rewarding. Proceedings of the National Academy of Sciences, 109(21), 8038-8043.</t>
  </si>
  <si>
    <t>10.1073/pnas.1202129109</t>
  </si>
  <si>
    <t>Participants gave up an average of 0.63¢ per trial to perform the self task instead of judging another person [t(36) = 3.32, P = . 002, d = 1.11]</t>
  </si>
  <si>
    <t>p. 8039</t>
  </si>
  <si>
    <t>Self-disclosure</t>
  </si>
  <si>
    <t>Self-reference, social cognition, reward, functional MRI</t>
  </si>
  <si>
    <t>Disclosing information about the self is intrinsically rewarding</t>
  </si>
  <si>
    <t>"Participants gave up an average of 0.63¢ per trial to perform the self-task instead of judging another person, t(36) = 3.32, p = .002, d = 1.11"</t>
  </si>
  <si>
    <t>0.00917662935482247</t>
  </si>
  <si>
    <t>0.9685334559246237</t>
  </si>
  <si>
    <t>Boyce_etal2023154</t>
  </si>
  <si>
    <t>Boyce_etal2023154_1</t>
  </si>
  <si>
    <t>The results are from another experiment (Exp 3, while in the table it was Exp 1)</t>
  </si>
  <si>
    <t>Tarampi, M. R., Heydari, N., &amp; Hegarty, M. (2016). A tale of two types of perspective taking: Sex differences in spatial ability. Psychological Science, 27(11), 1507-1516.</t>
  </si>
  <si>
    <t>10.1177/0956797616667459</t>
  </si>
  <si>
    <t>Consistent with our hypothesis, the analysis showed that females were more accurate in the social condition (M = 11.59, SD = 5.29, 95% CI = [9.80, 13.37]) than in the spatial condition (M = 7.69, SD = 3.80, 95% CI = [5.96, 9.43]),</t>
  </si>
  <si>
    <t>calculated based on the data in the paper, p. 1511 -  Consistent with our hypothesis, the analysis showed that females were more accurate in the social condition (M = 11.59, SD = 5.29, 95% CI = [9.80, 13.37]) than in the spatial condition (M = 7.69, SD = 3.80, 95% CI = [5.96, 9.43]), t(68) = 3.55, p = .001.</t>
  </si>
  <si>
    <r>
      <rPr>
        <rFont val="Calibri"/>
        <sz val="11.0"/>
      </rPr>
      <t xml:space="preserve">1. Replication data: </t>
    </r>
    <r>
      <rPr>
        <rFont val="Calibri"/>
        <color rgb="FF1155CC"/>
        <sz val="11.0"/>
        <u/>
      </rPr>
      <t xml:space="preserve">https://rpubs.com/chuqihu8/pilot
</t>
    </r>
    <r>
      <rPr>
        <rFont val="Calibri"/>
        <sz val="11.0"/>
      </rPr>
      <t>2. Replication was online -&gt; conceptual</t>
    </r>
  </si>
  <si>
    <t>https://rpubs.com/chuqihu8/pilot</t>
  </si>
  <si>
    <t>Sex difference</t>
  </si>
  <si>
    <t>Spatial ability, perspective taking, individual differences, stereotype threat, gender, open materials</t>
  </si>
  <si>
    <t>Males and females differ significantly in performance on the spatial-orientation test</t>
  </si>
  <si>
    <t>"We first tested our predictions for the spatial-orientation test. A 2 (sex: male, female) × 2 (condition: social, spatial) between-subjects analysis of variance (ANOVA) found significant main effects of sex, F(1, 131) = 14.22, p &lt; .001, partial η² = .10, d = 0.61 [...]"</t>
  </si>
  <si>
    <t>F(1,4) = 0.015</t>
  </si>
  <si>
    <t>Boyce_etal2023154_1_b</t>
  </si>
  <si>
    <r>
      <rPr>
        <rFont val="Calibri"/>
        <sz val="11.0"/>
      </rPr>
      <t xml:space="preserve">1. Replication data: </t>
    </r>
    <r>
      <rPr>
        <rFont val="Calibri"/>
        <color rgb="FF1155CC"/>
        <sz val="11.0"/>
        <u/>
      </rPr>
      <t xml:space="preserve">https://rpubs.com/chuqihu8/pilot
</t>
    </r>
    <r>
      <rPr>
        <rFont val="Calibri"/>
        <sz val="11.0"/>
      </rPr>
      <t>2. Replication was online -&gt; conceptual</t>
    </r>
  </si>
  <si>
    <t>Performance on the spatial-orientation test differs significantly between the social and spatial conditions</t>
  </si>
  <si>
    <t>"We first tested our predictions for the spatial-orientation test. A 2 (sex: male, female) × 2 (condition: social, spatial) between-subjects analysis of variance (ANOVA) found significant main effects of [...] condition, F(1, 131) = 16.84, p &lt; .001, partial η² = .11, d = 0.67"</t>
  </si>
  <si>
    <t>F(1,4) = 0.061</t>
  </si>
  <si>
    <t>Boyce_etal2023154_1_c</t>
  </si>
  <si>
    <r>
      <rPr>
        <rFont val="Calibri"/>
        <sz val="11.0"/>
      </rPr>
      <t xml:space="preserve">1. Replication data: </t>
    </r>
    <r>
      <rPr>
        <rFont val="Calibri"/>
        <color rgb="FF1155CC"/>
        <sz val="11.0"/>
        <u/>
      </rPr>
      <t xml:space="preserve">https://rpubs.com/chuqihu8/pilot
</t>
    </r>
    <r>
      <rPr>
        <rFont val="Calibri"/>
        <sz val="11.0"/>
      </rPr>
      <t>2. Replication was online -&gt; conceptual
3. For second coder: The results are for Exp 3, while in the table it was Exp 1. This result can be also used</t>
    </r>
  </si>
  <si>
    <t>The effect of condition on spatial-orientation test performance varies significantly by sex</t>
  </si>
  <si>
    <t>"As predicted, there was a statistically significant interaction between sex and condition, F(1, 131) = 14.18, p &lt; .001, partial η² = .10"</t>
  </si>
  <si>
    <t>F(1,4) = 1.527</t>
  </si>
  <si>
    <t>Boyce_etal2023155</t>
  </si>
  <si>
    <t>Boyce_etal2023155_1</t>
  </si>
  <si>
    <t>Not found in Boyce, I would assume it's the one with the title "the original doesn't give adults stats, the t test we're using is from the replication based on the raw data, for French adults only. Also, student screwed up and used original data for both (wrong variable name in a couple places). I fixed it and ran their code". Noneheless, I didn't find matching statistics in the paper, so moght be worth excluding</t>
  </si>
  <si>
    <t>Tieu, L., Yatsushiro, K., Cremers, A., Romoli, J., Sauerland, U., &amp; Chemla, E. (2017). On the role of alternatives in the acquisition of simple and complex disjunctions in French and Japanese. Journal of Semantics, 34(1), 127-152.</t>
  </si>
  <si>
    <t>10.1093/jos/ffw010</t>
  </si>
  <si>
    <r>
      <rPr>
        <rFont val="Calibri"/>
        <sz val="11.0"/>
      </rPr>
      <t xml:space="preserve">1. Replication data: </t>
    </r>
    <r>
      <rPr>
        <rFont val="Calibri"/>
        <color rgb="FF1155CC"/>
        <sz val="11.0"/>
        <u/>
      </rPr>
      <t xml:space="preserve">https://rpubs.com/masoud/tieu2016_replication
</t>
    </r>
    <r>
      <rPr>
        <rFont val="Calibri"/>
        <sz val="11.0"/>
      </rPr>
      <t>2. Different languages for comparison are used -&gt; conceptual replication
3. No corresponding results are indicated in the original data. For the project the original results were recalculated by the project team using the data from replication</t>
    </r>
  </si>
  <si>
    <t>Web-based replication</t>
  </si>
  <si>
    <t>Language acquisition</t>
  </si>
  <si>
    <t>Child language acquisition, disjunction interpretation, scalar implicatures, cross-linguistic comparison, logical reasoning in children</t>
  </si>
  <si>
    <t>Role of alternatives in the acquisition of simple and complex disjunctions in French and Japanese</t>
  </si>
  <si>
    <t>t(19) = 35.18</t>
  </si>
  <si>
    <t>Boyce_etal2023156</t>
  </si>
  <si>
    <t>Boyce_etal2023156_1</t>
  </si>
  <si>
    <t>Todd2016_1</t>
  </si>
  <si>
    <t>Todd, A. R., Thiem, K. C., &amp; Neel, R. (2016). Does seeing faces of young black boys facilitate the identification of threatening stimuli?. Psychological science, 27(3), 384-393.</t>
  </si>
  <si>
    <t>10.1177/0956797615624492</t>
  </si>
  <si>
    <t>RTS</t>
  </si>
  <si>
    <t>A 2 (race of prime: Black, White) × 2 (target object: gun, toy) repeated measures analysis of variance (ANOVA) revealed a significant interaction, F(1, 62) = 17.21, p &lt; .001, ηp2 = .22.</t>
  </si>
  <si>
    <t>F(1, 62) = 17.21</t>
  </si>
  <si>
    <r>
      <rPr>
        <rFont val="Calibri"/>
        <sz val="11.0"/>
      </rPr>
      <t xml:space="preserve">1. Data for replication: </t>
    </r>
    <r>
      <rPr>
        <rFont val="Calibri"/>
        <color rgb="FF1155CC"/>
        <sz val="11.0"/>
        <u/>
      </rPr>
      <t>https://rpubs.com/mateusmazza/project_report_pilotB</t>
    </r>
  </si>
  <si>
    <t>corrected test statistic</t>
  </si>
  <si>
    <t>https://rpubs.com/mateusmazza/project_report_pilotB</t>
  </si>
  <si>
    <t>Age, process dissociation, stereotyping, threat, weapon identification task</t>
  </si>
  <si>
    <t>Potential racial biases in threat perception</t>
  </si>
  <si>
    <t>"A 2 (race of prime: Black, White) × 2 (target object: gun, toy) repeated measures analysis of variance (ANOVA) revealed a significant interaction, F(1, 62) = 17.21, p &lt; .001, partial η² = .22"</t>
  </si>
  <si>
    <t>F(1,401 = 3.281</t>
  </si>
  <si>
    <t>Boyce_etal2023157_1</t>
  </si>
  <si>
    <t>Boyce_etal2023157</t>
  </si>
  <si>
    <r>
      <rPr>
        <rFont val="Calibri"/>
        <sz val="11.0"/>
      </rPr>
      <t xml:space="preserve">1. Replication data: </t>
    </r>
    <r>
      <rPr>
        <rFont val="Calibri"/>
        <color rgb="FF1155CC"/>
        <sz val="11.0"/>
        <u/>
      </rPr>
      <t>https://rpubs.com/klsanch/pilotAwriteup</t>
    </r>
  </si>
  <si>
    <t>https://rpubs.com/klsanch/pilotAwriteup</t>
  </si>
  <si>
    <t>Participants misidentified safe words as threatening more often after Black primes than after White primes</t>
  </si>
  <si>
    <t>"Analyses of error-rate data revealed that, as with the RT data, there was a significant Race of Prime × Target Word interaction, F(1, 61) = 32.30, p &lt; .001, partial η² = .35"</t>
  </si>
  <si>
    <t>Boyce_etal2023156_1_b</t>
  </si>
  <si>
    <t>Todd2016_2, statistics from Boyce not found in the O, d and p values for O extracted from Boyce</t>
  </si>
  <si>
    <t>Boyce_etal2023158</t>
  </si>
  <si>
    <t>Boyce_etal2023158_1</t>
  </si>
  <si>
    <t>Coded as social psychology, because it's the closest discipline</t>
  </si>
  <si>
    <t>Tribushinina, E. (2011). Once again on norms and comparison classes. Linguistics, 49(3), 525–553.</t>
  </si>
  <si>
    <t>10.1515/ling.2011.016</t>
  </si>
  <si>
    <t>https://github.com/StanfordPsych254/Tribushinina2011/blob/master/writeup/Replication-Report.html</t>
  </si>
  <si>
    <t>Perception</t>
  </si>
  <si>
    <t>Relative adjectives, reference points, norm-based interpretation, scale sensitivity, real-time processing</t>
  </si>
  <si>
    <t>Participants more frequently categorized stimuli into the "klein" range compared to the "groot" range</t>
  </si>
  <si>
    <t>Further, the ranges dubbed groot ‘big’ and klein ‘small’ were not equal. The zone labeled klein was significantly larger than the groot zone: Z = 3.1, p &lt; .005</t>
  </si>
  <si>
    <t>calculated based on data from p. 540, including table</t>
  </si>
  <si>
    <r>
      <rPr>
        <rFont val="Calibri"/>
        <sz val="11.0"/>
      </rPr>
      <t xml:space="preserve">1. Online experiment
2. Data: </t>
    </r>
    <r>
      <rPr>
        <rFont val="Calibri"/>
        <color rgb="FF1155CC"/>
        <sz val="11.0"/>
        <u/>
      </rPr>
      <t>https://github.com/StanfordPsych254/Tribushinina2011/blob/master/writeup/Replication-Report.html</t>
    </r>
    <r>
      <rPr>
        <rFont val="Calibri"/>
        <sz val="11.0"/>
      </rPr>
      <t xml:space="preserve"> (replication)
3. The original paper was added as 10.1515ling.2011.016.pdf</t>
    </r>
  </si>
  <si>
    <t>"The zone labeled klein was significantly larger than the groot zone: Z = 3.1, p &lt; .005 (Wilcoxon Signed-ranks test)"</t>
  </si>
  <si>
    <t>Z = 3.1, N = 10</t>
  </si>
  <si>
    <t>Boyce_etal2023158_a</t>
  </si>
  <si>
    <r>
      <rPr>
        <rFont val="Calibri"/>
        <sz val="11.0"/>
      </rPr>
      <t xml:space="preserve">1. Online experiment
2. Data: </t>
    </r>
    <r>
      <rPr>
        <rFont val="Calibri"/>
        <color rgb="FF1155CC"/>
        <sz val="11.0"/>
        <u/>
      </rPr>
      <t>https://github.com/StanfordPsych254/Tribushinina2011/blob/master/writeup/Replication-Report.html</t>
    </r>
    <r>
      <rPr>
        <rFont val="Calibri"/>
        <sz val="11.0"/>
      </rPr>
      <t xml:space="preserve"> (replication)
3. The original paper was added as 10.1515ling.2011.016.pdf</t>
    </r>
  </si>
  <si>
    <t>The perceived acceptable size range ("groot zone") differs based on the prototypical size category (PROTOTYPICALLY SMALL vs. PROTOTYPICALLY BIG) of an object</t>
  </si>
  <si>
    <t>"The "groot zone" (i.e., the range of sizes considered appropriate for an object) was significantly larger for objects from the PROTOTYPICALLY SMALL category compared to the PROTOTYPICALLY BIG category, as evidenced by a Friedman test: χ²(2) = 9.5, p &lt; .05."</t>
  </si>
  <si>
    <t>X2(2) = 9.5</t>
  </si>
  <si>
    <t>X2(2) = 22.02</t>
  </si>
  <si>
    <t>https://osf.io/3xcq7</t>
  </si>
  <si>
    <t>Boyce_etal2023159</t>
  </si>
  <si>
    <t>Boyce_etal2023159_1</t>
  </si>
  <si>
    <r>
      <rPr>
        <rFont val="Calibri"/>
        <sz val="11.0"/>
      </rPr>
      <t xml:space="preserve">1. Replication data: </t>
    </r>
    <r>
      <rPr>
        <rFont val="Calibri"/>
        <color rgb="FF1155CC"/>
        <sz val="11.0"/>
        <u/>
      </rPr>
      <t>https://rstudio-pubs-static.s3.amazonaws.com/426870_bb10c991135648a19be27ad27cb36a15.html</t>
    </r>
    <r>
      <rPr>
        <rFont val="Calibri"/>
        <sz val="11.0"/>
      </rPr>
      <t xml:space="preserve"> (https://osf.io/3xcq7) is for EXPERIMENT 1, not 2</t>
    </r>
  </si>
  <si>
    <t>Tworek, C. M., &amp; Cimpian, A. (2016). Why do people tend to infer “ought” from “is”? The role of biases in explanation. Psychological Science, 27(8), 1109-1122.</t>
  </si>
  <si>
    <t>10.1177/0956797616650875</t>
  </si>
  <si>
    <t>https://rstudio-pubs-static.s3.amazonaws.com/426870_bb10c991135648a19be27ad27cb36a15.html</t>
  </si>
  <si>
    <t>Cognitive development, inherence heuristic, sociomoral judgments, explanation, open data, open materials, preregistered</t>
  </si>
  <si>
    <t>The predicted interaction between the measure of inherence bias and behavior typicality was significant</t>
  </si>
  <si>
    <t>The predicted interaction between the measure of inherence bias and behavior typicality was significant in this model, b = 2.44, 95% CI = [0.78, 4.10], p = .004 (for results for the full model, see Table 4).</t>
  </si>
  <si>
    <t>p.7</t>
  </si>
  <si>
    <t>https://aspredicted.org/public/205223581.pdf</t>
  </si>
  <si>
    <r>
      <rPr>
        <rFont val="Calibri"/>
        <sz val="11.0"/>
      </rPr>
      <t xml:space="preserve">1. Replication data: </t>
    </r>
    <r>
      <rPr>
        <rFont val="Calibri"/>
        <color rgb="FF1155CC"/>
        <sz val="11.0"/>
        <u/>
      </rPr>
      <t>https://rstudio-pubs-static.s3.amazonaws.com/426870_bb10c991135648a19be27ad27cb36a15.html</t>
    </r>
    <r>
      <rPr>
        <rFont val="Calibri"/>
        <sz val="11.0"/>
      </rPr>
      <t xml:space="preserve"> (https://osf.io/3xcq7) is for EXPERIMENT 1, not 2</t>
    </r>
  </si>
  <si>
    <t>No replication data for experiment 2</t>
  </si>
  <si>
    <t>Boyce_etal202316</t>
  </si>
  <si>
    <t>Boyce_etal202316_1</t>
  </si>
  <si>
    <t>brown-iannuzzi2017_1, statistics extracted from the report</t>
  </si>
  <si>
    <t>Brown-Iannuzzi, J. L., Dotsch, R., Cooley, E., &amp; Payne, B. K. (2017). The relationship between mental representations of welfare recipients and attitudes toward welfare. Psychological science, 28(1), 92-103.</t>
  </si>
  <si>
    <t>10.1177/0956797616674999</t>
  </si>
  <si>
    <r>
      <rPr>
        <rFont val="Arial"/>
        <color rgb="FF1155CC"/>
        <u/>
      </rPr>
      <t>https://osf.io/v6zk8</t>
    </r>
    <r>
      <rPr>
        <rFont val="Arial"/>
        <color rgb="FF000000"/>
      </rPr>
      <t xml:space="preserve"> or </t>
    </r>
    <r>
      <rPr>
        <rFont val="Arial"/>
        <color rgb="FF1155CC"/>
        <u/>
      </rPr>
      <t>http://rpubs.com/catherinecthomas/final_replication</t>
    </r>
  </si>
  <si>
    <t>Stereotyped attitudes, socioeconomic status, social cognition, open data, open materials</t>
  </si>
  <si>
    <t>Framing the policy differently does not significantly affect support for basic income policies</t>
  </si>
  <si>
    <t>"Additionally, participants were less supportive of giving cash assistance to the person depicted in the welfare image (M = 2.95, 95% CI [2.78, 3.13]) than the non-recipient image (M = 3.80, 95% CI [3.65, 3.96]), partial eta-square = .26. (supplementary materials)"</t>
  </si>
  <si>
    <t>Boyce_etal202316_1_b</t>
  </si>
  <si>
    <t>brown-iannuzzi2017_2</t>
  </si>
  <si>
    <r>
      <rPr>
        <rFont val="Arial"/>
        <color rgb="FF1155CC"/>
        <u/>
      </rPr>
      <t>https://osf.io/v6zk8</t>
    </r>
    <r>
      <rPr>
        <rFont val="Arial"/>
        <color rgb="FF000000"/>
      </rPr>
      <t xml:space="preserve"> or </t>
    </r>
    <r>
      <rPr>
        <rFont val="Arial"/>
        <color rgb="FF1155CC"/>
        <u/>
      </rPr>
      <t>http://rpubs.com/catherinecthomas/final_replication</t>
    </r>
  </si>
  <si>
    <t>"As predicted, the person depicted in the welfare-recipient image was rated as less responsible (generally), and less responsible with food stamps and cash assistance, than the person depicted in the non-welfare-recipient image"</t>
  </si>
  <si>
    <t>F(1,56)=16.72</t>
  </si>
  <si>
    <t>supplement -- 3 with study 1 images</t>
  </si>
  <si>
    <r>
      <rPr>
        <rFont val="Arial"/>
        <color rgb="FF1155CC"/>
        <u/>
      </rPr>
      <t>https://osf.io/v6zk8</t>
    </r>
    <r>
      <rPr>
        <rFont val="Arial"/>
        <color rgb="FF000000"/>
      </rPr>
      <t xml:space="preserve"> or </t>
    </r>
    <r>
      <rPr>
        <rFont val="Arial"/>
        <color rgb="FF1155CC"/>
        <u/>
      </rPr>
      <t>http://rpubs.com/catherinecthomas/final_replication</t>
    </r>
  </si>
  <si>
    <t>"The indirect effect was not significant when mediated by perceived race alone, b = −0.04, 95% CI = [−0.46, 0.36]."</t>
  </si>
  <si>
    <t>t(41) = -0.39</t>
  </si>
  <si>
    <t>https://rpubs.com/catherinecthomas/final_replication</t>
  </si>
  <si>
    <t>Boyce_etal2023160</t>
  </si>
  <si>
    <t>Boyce_etal2023160_1</t>
  </si>
  <si>
    <t>Van Koningsbruggen, G. M., Hartmann, T., Eden, A., &amp; Veling, H. (2017). Spontaneous hedonic reactions to social media cues. Cyberpsychology, Behavior, and Social Networking, 20(5), 334-340.</t>
  </si>
  <si>
    <t>10.1089/cyber.2016.0530</t>
  </si>
  <si>
    <t>a significant interaction effect between cue type and Facebook use, F(1, 126) = 8.91, p = 0.003, and g2 p = 0.066 (Fig. 2B).</t>
  </si>
  <si>
    <t>F(1, 126) = 8.91</t>
  </si>
  <si>
    <t>p. 338</t>
  </si>
  <si>
    <t>Boyce_etal2023160_1_a</t>
  </si>
  <si>
    <r>
      <rPr>
        <rFont val="Calibri"/>
        <sz val="11.0"/>
      </rPr>
      <t xml:space="preserve">Replication data: </t>
    </r>
    <r>
      <rPr>
        <rFont val="Calibri"/>
        <color rgb="FF1155CC"/>
        <sz val="11.0"/>
        <u/>
      </rPr>
      <t>https://rpubs.com/ayl888/695975</t>
    </r>
  </si>
  <si>
    <t>https://rpubs.com/ayl888/695975</t>
  </si>
  <si>
    <t>Hedonic Reaction</t>
  </si>
  <si>
    <t>Social media, Facebook, self-control, temptation, craving</t>
  </si>
  <si>
    <t>The cue type did not have a significant main effect on the outcome variable</t>
  </si>
  <si>
    <t>"The main effects of cue type, F(1, 126) = 2.28, p = 0.134, partial η² = 0.018 [...]"</t>
  </si>
  <si>
    <r>
      <rPr>
        <rFont val="Calibri"/>
        <color rgb="FF1155CC"/>
        <sz val="11.0"/>
        <u/>
      </rPr>
      <t>https://rpubs.com/ayl888/695975</t>
    </r>
    <r>
      <rPr>
        <rFont val="Calibri"/>
        <sz val="11.0"/>
      </rPr>
      <t>, p. 21</t>
    </r>
  </si>
  <si>
    <t>Boyce_etal2023160_1_b</t>
  </si>
  <si>
    <r>
      <rPr>
        <rFont val="Calibri"/>
        <sz val="11.0"/>
      </rPr>
      <t xml:space="preserve">Replication data: </t>
    </r>
    <r>
      <rPr>
        <rFont val="Calibri"/>
        <color rgb="FF1155CC"/>
        <sz val="11.0"/>
        <u/>
      </rPr>
      <t>https://rpubs.com/ayl888/695975</t>
    </r>
  </si>
  <si>
    <t>Facebook use did not have a significant main effect on the outcome variable</t>
  </si>
  <si>
    <t>"The main effects of [...] Facebook use, F(1, 126) = 0.26, p = 0.609, partial η² = 0.002, were not significant"</t>
  </si>
  <si>
    <r>
      <rPr>
        <rFont val="Calibri"/>
        <color rgb="FF1155CC"/>
        <sz val="11.0"/>
        <u/>
      </rPr>
      <t>https://rpubs.com/ayl888/695975</t>
    </r>
    <r>
      <rPr>
        <rFont val="Calibri"/>
        <sz val="11.0"/>
      </rPr>
      <t>, p. 21</t>
    </r>
  </si>
  <si>
    <t>XPHI1_1</t>
  </si>
  <si>
    <t>XPHI1</t>
  </si>
  <si>
    <t>Corinna Gemmecke</t>
  </si>
  <si>
    <t>replication study states that the p-value in the original study was p &lt; .01, while the original states that it was p &lt; .001</t>
  </si>
  <si>
    <t>Knobe, J. (2003). Intentional Action and Side Effects in Ordinary Language. Analysis, 63, 190-193.</t>
  </si>
  <si>
    <t>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</si>
  <si>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 </t>
  </si>
  <si>
    <t>10.1007/s13164-018-0400-9</t>
  </si>
  <si>
    <t>https://osf.io/4ewkh</t>
  </si>
  <si>
    <t>Reproducibility Project</t>
  </si>
  <si>
    <t>Side effect</t>
  </si>
  <si>
    <t>intentional action, side effect</t>
  </si>
  <si>
    <t>Side effects of behavior aimed at a different target</t>
  </si>
  <si>
    <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</si>
  <si>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3, 4</t>
  </si>
  <si>
    <t>X2(1) = 27.2</t>
  </si>
  <si>
    <r>
      <rPr>
        <rFont val="Calibri"/>
        <color rgb="FF1155CC"/>
        <sz val="11.0"/>
        <u/>
      </rPr>
      <t>https://rpubs.com/ayl888/695975</t>
    </r>
    <r>
      <rPr>
        <rFont val="Calibri"/>
        <sz val="11.0"/>
      </rPr>
      <t>, p. 21</t>
    </r>
  </si>
  <si>
    <t>XPHI states ES for O  w = 0.59, mistake in the p value for O in XPHI (p &lt; .01, while it's actually  &lt; .001)</t>
  </si>
  <si>
    <t>10.1111--1467-8284.00419.pdf</t>
  </si>
  <si>
    <t>experimental philosophy</t>
  </si>
  <si>
    <t>Intentional Action and Side Effects in Ordinary Language</t>
  </si>
  <si>
    <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</si>
  <si>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p. 3 X2(1, N = 78) = 27.2, p &lt; .001.</t>
  </si>
  <si>
    <r>
      <rPr>
        <rFont val="Calibri"/>
        <color rgb="FF1155CC"/>
        <sz val="11.0"/>
        <u/>
      </rPr>
      <t>https://rpubs.com/ayl888/695975</t>
    </r>
    <r>
      <rPr>
        <rFont val="Calibri"/>
        <sz val="11.0"/>
      </rPr>
      <t>, p. 21</t>
    </r>
  </si>
  <si>
    <t>Boyce_etal2023160_1_c</t>
  </si>
  <si>
    <r>
      <rPr>
        <rFont val="Calibri"/>
        <sz val="11.0"/>
      </rPr>
      <t xml:space="preserve">Replication data: </t>
    </r>
    <r>
      <rPr>
        <rFont val="Calibri"/>
        <color rgb="FF1155CC"/>
        <sz val="11.0"/>
        <u/>
      </rPr>
      <t>https://rpubs.com/ayl888/695975</t>
    </r>
  </si>
  <si>
    <t>There was a significant interaction effect between cue type and Facebook use on the outcome variable, with a noticeable difference in their combined impact</t>
  </si>
  <si>
    <t>"However, the results again revealed a significant interaction effect between cue type and Facebook use, F(1, 126) = 8.91, p = 0.003, partial η² = 0.066 (Fig. 2B)"</t>
  </si>
  <si>
    <r>
      <rPr>
        <rFont val="Calibri"/>
        <color rgb="FF1155CC"/>
        <sz val="11.0"/>
        <u/>
      </rPr>
      <t>https://rpubs.com/ayl888/695975</t>
    </r>
    <r>
      <rPr>
        <rFont val="Calibri"/>
        <sz val="11.0"/>
      </rPr>
      <t>, p. 21</t>
    </r>
  </si>
  <si>
    <t>XPHI11_1</t>
  </si>
  <si>
    <t>XPHI11</t>
  </si>
  <si>
    <t>Knobe, J., &amp; Burra, A. (2006). The folk concepts of intention and intentional action: A cross-cultural study. Journal of Cognition and Culture, 6(1), 113-132.</t>
  </si>
  <si>
    <t>10.1163/156853706776931222</t>
  </si>
  <si>
    <t>intention and intentional action</t>
  </si>
  <si>
    <t>Theory of mind, moral cognition, intention, intentional action, cross-cultural evidence, experimental philosophy</t>
  </si>
  <si>
    <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</si>
  <si>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15, 18, 19</t>
  </si>
  <si>
    <t>X2(1) = 15.3</t>
  </si>
  <si>
    <t>p. 18-19</t>
  </si>
  <si>
    <t>https://doi.org/10.17605/OSF.IO/N5ZSX</t>
  </si>
  <si>
    <t>XPHI states ES for O  w = 0.61</t>
  </si>
  <si>
    <t>10.1163--156853706776931222.pdf</t>
  </si>
  <si>
    <t>Subjects were significantly more likely to say that the chairman acted jaan-bujhkar in the harm condition than in the help condition,</t>
  </si>
  <si>
    <t>p. 18-19, X2(1, N = 41) = 15.3, p &lt;.001</t>
  </si>
  <si>
    <t>X2(1, N = 48) = 17.85, p &lt; .001</t>
  </si>
  <si>
    <r>
      <rPr>
        <rFont val="&quot;Helvetica Neue&quot;"/>
        <color rgb="FF1155CC"/>
        <sz val="11.0"/>
        <u/>
      </rPr>
      <t>osf.io/p48sa/</t>
    </r>
  </si>
  <si>
    <t>Boyce_etal2023161</t>
  </si>
  <si>
    <t>Boyce_etal2023161_1</t>
  </si>
  <si>
    <t>Vasilyeva, N., Blanchard, T., &amp; Lombrozo, T. (2018). Stable causal relationships are better causal relationships. Cognitive Science, 42(4), 1265-1296.</t>
  </si>
  <si>
    <t>10.1111/cogs.12605</t>
  </si>
  <si>
    <t>a main effect of moderator: as shown in Fig. 2a, participants were significantly less likely to agree with claims about causal and explanatory relationships when a relationship was moderated than non-moderated</t>
  </si>
  <si>
    <t>p. 1273</t>
  </si>
  <si>
    <t>Sarah Ashcroft-Jones</t>
  </si>
  <si>
    <r>
      <rPr>
        <rFont val="Calibri"/>
        <sz val="11.0"/>
      </rPr>
      <t>Replication data is only for exp 3, not exp 1: "</t>
    </r>
    <r>
      <rPr>
        <rFont val="Calibri"/>
        <color rgb="FF1155CC"/>
        <sz val="11.0"/>
        <u/>
      </rPr>
      <t>https://rpubs.com/pgzhu/vasilyeva2018</t>
    </r>
    <r>
      <rPr>
        <rFont val="Calibri"/>
        <sz val="11.0"/>
      </rPr>
      <t>" → I use the data from table</t>
    </r>
  </si>
  <si>
    <t>Causal relationship</t>
  </si>
  <si>
    <t>Stability, Robustness, Invariance, Sensitivity, Causality, Explanation, Background conditions, Moderating variables</t>
  </si>
  <si>
    <t>Participants were significantly less likely to agree with claims about causal and explanatory relationships when a relationship was moderated</t>
  </si>
  <si>
    <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</si>
  <si>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1.63866476810305</t>
  </si>
  <si>
    <t>Boyce_etal2023162</t>
  </si>
  <si>
    <t>Boyce_etal2023162_1</t>
  </si>
  <si>
    <t>Romero Verdugo, P., van Lieshout, L. L., de Lange, F. P., &amp; Cools, R. (2020). Choice boosts curiosity. Psychological Science, 09567976221082637.</t>
  </si>
  <si>
    <t>10.1177/09567976221082637</t>
  </si>
  <si>
    <t>Choice and preference independently enhanced curiosity</t>
  </si>
  <si>
    <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</si>
  <si>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calculated based on Chosen Lotteries:  (M = 2.94, SD = 0.33; willingness to wait: M = 47.19%, SD = 19.81%) tand provided to them (M = 2.78, SD = 0.3; willingness to wait: M = 40.19%, SD = 19.23%).</t>
  </si>
  <si>
    <t>osf.io/gseqn</t>
  </si>
  <si>
    <r>
      <rPr>
        <rFont val="Calibri"/>
        <sz val="11.0"/>
      </rPr>
      <t xml:space="preserve">Replication report: </t>
    </r>
    <r>
      <rPr>
        <rFont val="Calibri"/>
        <color rgb="FF1155CC"/>
        <sz val="11.0"/>
        <u/>
      </rPr>
      <t>https://osf.io/wdp9b</t>
    </r>
  </si>
  <si>
    <t>https://osf.io/wdp9b</t>
  </si>
  <si>
    <t>Curiosity</t>
  </si>
  <si>
    <t>Curiosity, choice, uncertainty, expected value, information seeking, open data, open materials, preregistered</t>
  </si>
  <si>
    <t>Choice boosts curiosity</t>
  </si>
  <si>
    <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</si>
  <si>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0.006352567590246201</t>
  </si>
  <si>
    <t>https://osf.io/5ausj</t>
  </si>
  <si>
    <t>Boyce_etal2023163</t>
  </si>
  <si>
    <t>Boyce_etal2023163_1</t>
  </si>
  <si>
    <t>Vohs, K. D., Mead, N. L., &amp; Goode, M. R. (2006). The psychological consequences of money. science, 314(5802), 1154-1156.</t>
  </si>
  <si>
    <t>10.1126/science.1132491</t>
  </si>
  <si>
    <t>Prime</t>
  </si>
  <si>
    <t>occurs when an individual's exposure to a certain stimulus influences their response to a subsequent prompt, without any awareness of the connection.</t>
  </si>
  <si>
    <t>Participants who were primed with money were less helpful than participants not primed with money [t(42) = 2.13, P &lt; 0.04; Cohen’s d = 0.63].</t>
  </si>
  <si>
    <t>p. 1155</t>
  </si>
  <si>
    <t>Money, Motivation, Behavior, Self-sufficiency, Dependency, Priming, Money reminders, Causal behavior, Interpersonal relationships, Financial strain</t>
  </si>
  <si>
    <t>Money makes people self-sufficient (primed with money donated significantly less)</t>
  </si>
  <si>
    <t>"We found that participants primed with money donated significantly less money to the student fund than participants not primed with money, t(38) = 2.13, p &lt; 0.05, Cohen’s d = 0.64 (Table 1)."</t>
  </si>
  <si>
    <t>0.12436505404118418</t>
  </si>
  <si>
    <t>Boyce_etal2023164</t>
  </si>
  <si>
    <t>Boyce_etal2023164_1</t>
  </si>
  <si>
    <t>In Boyce it's Vohs2013</t>
  </si>
  <si>
    <t>Vohs, K. D., Sengupta, J., &amp; Dahl, D. W. (2014). The price had better be right: Women’s reactions to sexual stimuli vary with market factors. Psychological science, 25(1), 278-283.</t>
  </si>
  <si>
    <t>10.1177/0956797613502732</t>
  </si>
  <si>
    <t>Women reported more positive attitudes toward sexual imagery that promoted an expensive watch than toward sexual imagery that promoted a cheap watch, F(1, 83) = 7.55, p &lt; .01, hp2 = .144.</t>
  </si>
  <si>
    <t>F(1, 83) = 7.55</t>
  </si>
  <si>
    <t>p. 279</t>
  </si>
  <si>
    <r>
      <rPr>
        <rFont val="Calibri"/>
        <sz val="11.0"/>
      </rPr>
      <t xml:space="preserve">1. Data for replication: </t>
    </r>
    <r>
      <rPr>
        <rFont val="Calibri"/>
        <color rgb="FF1155CC"/>
        <sz val="11.0"/>
        <u/>
      </rPr>
      <t xml:space="preserve">https://rstudio-pubs-static.s3.amazonaws.com/955939_50cc1f13803a4ee1beb7841644071e54.html
</t>
    </r>
    <r>
      <rPr>
        <rFont val="Calibri"/>
        <sz val="11.0"/>
      </rPr>
      <t>2. The study is marked "Reproducupility report" but it is not the reproduction of the study with the same sample: "To reproduce this study, I will recruit a population (of 100) that includes people who identify as male or female. It’s a 2 gender 2 price study. We randomize people into two groups, one is the sexy ad group and the other is the non-sexy-ad (control) group."</t>
    </r>
  </si>
  <si>
    <t>Sex, judgment, decision making, sex differences, sexual economics</t>
  </si>
  <si>
    <t>Women reported more positive attitudes toward sexual imagery for expensive goods</t>
  </si>
  <si>
    <t>"Women reported more positive attitudes toward sexual imagery that promoted an expensive watch than toward sexual imagery that promoted a cheap watch, F(1, 83) = 7.55, p &lt; .01, partial η² = .144"</t>
  </si>
  <si>
    <t>F(1, 36) = 0.56</t>
  </si>
  <si>
    <t>Boyce_etal2023164_b</t>
  </si>
  <si>
    <r>
      <rPr>
        <rFont val="Calibri"/>
        <sz val="11.0"/>
      </rPr>
      <t xml:space="preserve">1. Data for replication: </t>
    </r>
    <r>
      <rPr>
        <rFont val="Calibri"/>
        <color rgb="FF1155CC"/>
        <sz val="11.0"/>
        <u/>
      </rPr>
      <t xml:space="preserve">https://rstudio-pubs-static.s3.amazonaws.com/955939_50cc1f13803a4ee1beb7841644071e54.html
</t>
    </r>
    <r>
      <rPr>
        <rFont val="Calibri"/>
        <sz val="11.0"/>
      </rPr>
      <t>2. The study is marked "Reproducupility report" but it is not the reproduction of the study with the same sample: "To reproduce this study, I will recruit a population (of 100) that includes people who identify as male or female. It’s a 2 gender 2 price study. We randomize people into two groups, one is the sexy ad group and the other is the non-sexy-ad (control) group."</t>
    </r>
  </si>
  <si>
    <t>Interaction between gender and price in emotional response was marginally significant</t>
  </si>
  <si>
    <t>"This hypothesis was supported, F(1, 82) = 3.68, p = .059, partial eta-square = .043"</t>
  </si>
  <si>
    <t>F(1, 100) = 3.935</t>
  </si>
  <si>
    <t>Boyce_etal2023165</t>
  </si>
  <si>
    <t>Boyce_etal2023165_1</t>
  </si>
  <si>
    <t>Boyce states that N O is 321 and d is 0.55, I don't think it;s correct, because the sample is 556, so calculated d O myself</t>
  </si>
  <si>
    <t>Ter Wal, M., Linde-Domingo, J., Lifanov, J., Roux, F., Kolibius, L. D., Gollwitzer, S., ... &amp; Wimber, M. (2021). Theta rhythmicity governs human behavior and hippocampal signals during memory-dependent tasks. Nature communications, 12(1), 1-15.</t>
  </si>
  <si>
    <t>10.1038/s41467-021-27323-3</t>
  </si>
  <si>
    <t>We found strong support for an effect of memory dependency on O-score, with significantly higher Z-scores for memory- dependent than memory-independent task phases (Fig. 3A; coefficient = 0.28; 95% CI: 0.19–0.36; t(556) = 6.55; p &lt; 0.001).</t>
  </si>
  <si>
    <t>calculated based on statistics page 4 (Fig. 3A; coefficient = 0.28; 95% CI: 0.19–0.36; t(556) = 6.55; p &lt; 0.001).</t>
  </si>
  <si>
    <t>1. The replication will be online
2. The original paper was added as 10.1038s41467-021-27323-3.pdf</t>
  </si>
  <si>
    <t>1,5</t>
  </si>
  <si>
    <t>Memory</t>
  </si>
  <si>
    <t>Cues, Electrocorticography, Hippocampus, Humans, Magnetic Resonance Imaging, Mental Recall, Pattern Recognition, Theta Rhythm</t>
  </si>
  <si>
    <t>Behavioral responses are more theta-oscillatory in memory-dependent compared to memory-independent tasks</t>
  </si>
  <si>
    <t>"We found strong support for an effect of memory dependency on O-score, with significantly higher Z-scores for memory dependent than memory-independent task phases (Fig. 3A; coefficient = 0.28; 95% CI: 0.19–0.36; t(556) = 6.55; p&lt;0.001)"</t>
  </si>
  <si>
    <t>t(556) = 6.55</t>
  </si>
  <si>
    <t>cohen's f partial</t>
  </si>
  <si>
    <t>p. 28</t>
  </si>
  <si>
    <t>Boyce_etal2023166</t>
  </si>
  <si>
    <t>Boyce_etal2023166_1</t>
  </si>
  <si>
    <t>Wilkins, C. L., &amp; Kaiser, C. R. (2014). Racial progress as threat to the status hierarchy: Implications for perceptions of anti-White bias. Psychological science, 25(2), 439-446.</t>
  </si>
  <si>
    <t>10.1177/0956797613508412</t>
  </si>
  <si>
    <t>Does SLB endorsement moderate perceptions of anti-White bias?</t>
  </si>
  <si>
    <t>a significant interaction between condition and SLB endorsement, F(3, 156) = 10.70, p &lt; .001; R2 change = .04; b = 0.49, SE = 0.18, t(156) = 2.66, p = .01.</t>
  </si>
  <si>
    <t>F(3, 156) = 10.70</t>
  </si>
  <si>
    <t>p.442</t>
  </si>
  <si>
    <r>
      <rPr>
        <rFont val="Calibri"/>
        <sz val="11.0"/>
      </rPr>
      <t xml:space="preserve">1. The replication data: </t>
    </r>
    <r>
      <rPr>
        <rFont val="Calibri"/>
        <color rgb="FF1155CC"/>
        <sz val="11.0"/>
        <u/>
      </rPr>
      <t>https://github.com/psych251/wilkins2014</t>
    </r>
  </si>
  <si>
    <t>https://github.com/psych251/wilkins2014/blob/master/writeup/project_report.html</t>
  </si>
  <si>
    <t>Anti-White bias</t>
  </si>
  <si>
    <t>Anti-White bias, discrimination, status-legitimizing beliefs, prejudice, racial-ethnic attitudes and relations, social perception</t>
  </si>
  <si>
    <t>Judgments of trustworthiness and attractiveness are strongly predicted by interactions, with an excellent model fit."</t>
  </si>
  <si>
    <t>"Step 2 revealed a significant interaction between condition and SLB endorsement, F(3, 156) = 10.70, p &lt; .001; R2  change = .04; b = 0.49, SE = 0.18, t(156) = 2.66, p = .01"</t>
  </si>
  <si>
    <t>https://osf.io/p79wz</t>
  </si>
  <si>
    <t>Boyce_etal2023166_b</t>
  </si>
  <si>
    <r>
      <rPr>
        <rFont val="Calibri"/>
        <sz val="11.0"/>
      </rPr>
      <t xml:space="preserve">1. The replication data: </t>
    </r>
    <r>
      <rPr>
        <rFont val="Calibri"/>
        <color rgb="FF1155CC"/>
        <sz val="11.0"/>
        <u/>
      </rPr>
      <t>https://github.com/psych251/wilkins2014</t>
    </r>
  </si>
  <si>
    <t>Stronger SLB endorsement predicts greater perceptions of anti-White bias</t>
  </si>
  <si>
    <t>"Stronger SLB endorsement was associated with increased perceptions of anti-White bias (b = 0.45, SE = 0.09, t(157) = 4.90, p &lt; .001)"</t>
  </si>
  <si>
    <t>Boyce_etal2023166_c</t>
  </si>
  <si>
    <r>
      <rPr>
        <rFont val="Calibri"/>
        <sz val="11.0"/>
      </rPr>
      <t xml:space="preserve">1. The replication data: </t>
    </r>
    <r>
      <rPr>
        <rFont val="Calibri"/>
        <color rgb="FF1155CC"/>
        <sz val="11.0"/>
        <u/>
      </rPr>
      <t>https://github.com/psych251/wilkins2014</t>
    </r>
  </si>
  <si>
    <t>The racial progress condition did not independently influence perceptions of anti-White bias</t>
  </si>
  <si>
    <t>"There was no main effect of condition (b = 0.10, SE = 0.17, t(157) = 0.59, p = .56)"</t>
  </si>
  <si>
    <t>Boyce_etal2023167_1</t>
  </si>
  <si>
    <t>Boyce_etal2023167</t>
  </si>
  <si>
    <t>1. Since no report, the data was taken from the table
2. Keywords from Pubmed Mesh</t>
  </si>
  <si>
    <t>Wilson, T. D., Reinhard, D. A., Westgate, E. C., Gilbert, D. T., Ellerbeck, N., Hahn, C., ... &amp; Shaked, A. (2014). Just think: The challenges of the disengaged mind. Science, 345(6192), 75-77.</t>
  </si>
  <si>
    <t>10.1126/science.1250830</t>
  </si>
  <si>
    <t>Loneliness</t>
  </si>
  <si>
    <t>Attention, Electroshock, Loneliness, Pleasure</t>
  </si>
  <si>
    <t>Participants enjoyed the external activities much more than justthinking</t>
  </si>
  <si>
    <t>"As seen in Table 1, participants enjoyed the external activities much more than just thinking [t(28) = 4.83, p &lt; 0.001], found it easier to concentrate [t(28) = 4.16, p &lt; 0.001], and reported that their minds wandered less [t(28) = 3.61, p = 0.001]."</t>
  </si>
  <si>
    <t>t(28) = 4.83</t>
  </si>
  <si>
    <t>Boyce_etal2023168</t>
  </si>
  <si>
    <t>Boyce_etal2023168_1</t>
  </si>
  <si>
    <t>No p and d in Boyce, raw statistics prop:11/19,9/17. Report is absent</t>
  </si>
  <si>
    <t>Wiltermuth, S. S. (2011). Cheating more when the spoils are split. Organizational Behavior and Human Decision Processes, 115(2), 157-168.</t>
  </si>
  <si>
    <t>10.1016/j.obhdp.2010.10.001</t>
  </si>
  <si>
    <r>
      <rPr>
        <rFont val="Calibri"/>
        <sz val="11.0"/>
      </rPr>
      <t xml:space="preserve">Data for replication: </t>
    </r>
    <r>
      <rPr>
        <rFont val="Calibri"/>
        <color rgb="FF1155CC"/>
        <sz val="11.0"/>
        <u/>
      </rPr>
      <t xml:space="preserve">https://rstudio-pubs-static.s3.amazonaws.com/257540_6659667fe79e4d43936e8bb9d045f803.html
</t>
    </r>
    <r>
      <rPr>
        <rFont val="Calibri"/>
        <sz val="11.0"/>
      </rPr>
      <t>I would say that this study is more like extention (modification) with a new sample
The original paper was added as 10.1016j.obhdp.2010.10.001.pdf</t>
    </r>
  </si>
  <si>
    <t>Cheating</t>
  </si>
  <si>
    <t>Ethics, Cheating, Decision making, Dishonesty, Rationalization, Justification</t>
  </si>
  <si>
    <t>Cheating more when the spoils are split</t>
  </si>
  <si>
    <t>"Specifically, participants in the self-and-other high benefit condition cheated significantly more often (37%) than did those in the other-alone benefits condition, 16%, χ²(1) = 5.59, p = .02."</t>
  </si>
  <si>
    <t>X2(1) = 5.59</t>
  </si>
  <si>
    <t>X2(1) = 0</t>
  </si>
  <si>
    <t>Boyce_etal2023169</t>
  </si>
  <si>
    <t>Boyce_etal2023169_1</t>
  </si>
  <si>
    <t>Xu, Y., &amp; Franconeri, S. L. (2015). Capacity for visual features in mental rotation. Psychological science, 26(8), 1241-1251.</t>
  </si>
  <si>
    <t>10.1177/0956797615585002</t>
  </si>
  <si>
    <t>We found that they could keep only a single feature attached during mental rotation,</t>
  </si>
  <si>
    <r>
      <rPr>
        <rFont val="Calibri"/>
        <sz val="11.0"/>
      </rPr>
      <t xml:space="preserve">Replication data: </t>
    </r>
    <r>
      <rPr>
        <rFont val="Calibri"/>
        <color rgb="FF1155CC"/>
        <sz val="11.0"/>
        <u/>
      </rPr>
      <t>https://rstudio-pubs-static.s3.amazonaws.com/155174_48b1633681bb4024b4098ed433d5a80a.html</t>
    </r>
  </si>
  <si>
    <t>https://rstudio-pubs-static.s3.amazonaws.com/155174_48b1633681bb4024b4098ed433d5a80a.html</t>
  </si>
  <si>
    <t>Mental rotation</t>
  </si>
  <si>
    <t>Mental rotation, capacity, attention, selection, tracking, eye tracking, visual working memory</t>
  </si>
  <si>
    <t>Capacity for visual features in mental rotation was significantly lower</t>
  </si>
  <si>
    <t>"But capacity in the object-rotation condition was dramatically lower: Only a single feature could remain attached to a moving part (M = 0.96, SE = 0.10, 95% CI = [0.74, 1.18]), F(1, 11) = 32.04, p &lt; .001, partial η² = .74 (Fig. 2b)"</t>
  </si>
  <si>
    <t>F(1,26) = 3.645357</t>
  </si>
  <si>
    <r>
      <rPr>
        <rFont val="Calibri"/>
        <color rgb="FF1155CC"/>
        <sz val="11.0"/>
        <u/>
      </rPr>
      <t>https://rstudio-pubs-static.s3.amazonaws.com/155174_48b1633681bb4024b4098ed433d5a80a.html</t>
    </r>
    <r>
      <rPr>
        <rFont val="Calibri"/>
        <sz val="11.0"/>
      </rPr>
      <t>, p. 6</t>
    </r>
  </si>
  <si>
    <t>https://osf.io/62jvk</t>
  </si>
  <si>
    <t>Boyce_etal2023169_a</t>
  </si>
  <si>
    <r>
      <rPr>
        <rFont val="Calibri"/>
        <sz val="11.0"/>
      </rPr>
      <t xml:space="preserve">Replication data: </t>
    </r>
    <r>
      <rPr>
        <rFont val="Calibri"/>
        <color rgb="FF1155CC"/>
        <sz val="11.0"/>
        <u/>
      </rPr>
      <t>https://rstudio-pubs-static.s3.amazonaws.com/155174_48b1633681bb4024b4098ed433d5a80a.html</t>
    </r>
  </si>
  <si>
    <t>Accuracy was significantly lower in the object-rotation condition compared to the no-rotation condition</t>
  </si>
  <si>
    <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</si>
  <si>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F(1,26) = 3.1593304</t>
  </si>
  <si>
    <r>
      <rPr>
        <rFont val="Arial"/>
        <color rgb="FF1155CC"/>
        <u/>
      </rPr>
      <t>https://rstudio-pubs-static.s3.amazonaws.com/155174_48b1633681bb4024b4098ed433d5a80a.html</t>
    </r>
    <r>
      <rPr>
        <rFont val="Arial"/>
      </rPr>
      <t>, p. 7</t>
    </r>
  </si>
  <si>
    <t>Boyce_etal202317_1</t>
  </si>
  <si>
    <t>Boyce_etal202317</t>
  </si>
  <si>
    <t>https://osf.io/v6zk8</t>
  </si>
  <si>
    <t>The results from the original and "replication" studies investigate the phenomenon using different dependent variables and analysis. The replication is not strictly speaking replication</t>
  </si>
  <si>
    <t>Boyce_etal2023170</t>
  </si>
  <si>
    <t>Boyce_etal2023170_1</t>
  </si>
  <si>
    <t>Boyce states that N O is 48, but in fact it 32 for the relevant part of the study</t>
  </si>
  <si>
    <t>Yang, F., Choi, Y. J., Misch, A., Yang, X., &amp; Dunham, Y. (2018). In defense of the commons: Young children negatively evaluate and sanction free riders. Psychological science, 29(10), 1598-1611.</t>
  </si>
  <si>
    <t>10.1177/0956797618779061</t>
  </si>
  <si>
    <t>Young children negatively evaluate and sanction free riders</t>
  </si>
  <si>
    <t>preschoolers rated contributors (M = 3.74) more positively than the free riders (M = 2.24; d = 1.40)</t>
  </si>
  <si>
    <t>https://aspredicted.org/uv6ha.pdf</t>
  </si>
  <si>
    <t>Cheater detection</t>
  </si>
  <si>
    <t>Free riding, common good, norm enforcement, moral development, cooperation, open data, open materials, preregistered</t>
  </si>
  <si>
    <t>"We carried out the same analysis as in Study 1 and observed effects for target (β = 1.72, 95% CI = [1.44, 2.00])"</t>
  </si>
  <si>
    <t>Boyce_etal2023171</t>
  </si>
  <si>
    <t>Boyce_etal2023171_1</t>
  </si>
  <si>
    <t>Yeshurun, Y., &amp; Levy, L. (2003). Transient spatial attention degrades temporal resolution. Psychological Science, 14(3), 225-231.</t>
  </si>
  <si>
    <t>10.1111/1467-9280.02436</t>
  </si>
  <si>
    <t>performance was significantly less accurate in the cued than the neutral trials, F(1, 17)  8.01, p  .01.</t>
  </si>
  <si>
    <t>F(1, 17)  8.01</t>
  </si>
  <si>
    <t>p. 227</t>
  </si>
  <si>
    <r>
      <rPr>
        <rFont val="Calibri"/>
        <sz val="11.0"/>
      </rPr>
      <t xml:space="preserve">Replication data: </t>
    </r>
    <r>
      <rPr>
        <rFont val="Calibri"/>
        <color rgb="FF1155CC"/>
        <sz val="11.0"/>
        <u/>
      </rPr>
      <t>https://rstudio-pubs-static.s3.amazonaws.com/1159352_e9a668d9124f415e8831bab302f49b6b.html</t>
    </r>
  </si>
  <si>
    <t>https://rstudio-pubs-static.s3.amazonaws.com/1159352_e9a668d9124f415e8831bab302f49b6b.html</t>
  </si>
  <si>
    <t>Attention</t>
  </si>
  <si>
    <t>Temporal perception, Spatial perception, Transient spatial attention, Temporal resolution, Two-flash fusion threshold</t>
  </si>
  <si>
    <t>Transient spatial attention degrades temporal resolution</t>
  </si>
  <si>
    <t>"As can be seen in Figure 2a, performance was significantly less accurate in the cued than the neutral trials, F(1, 17) = 8.01, p &lt;=  .01"</t>
  </si>
  <si>
    <t>F(1, 17) = 8.01</t>
  </si>
  <si>
    <t>https://osf.io/kfmjr</t>
  </si>
  <si>
    <t>Boyce_etal2023172</t>
  </si>
  <si>
    <t>Boyce_etal2023172_1</t>
  </si>
  <si>
    <t>For the statistics in Boyce sample zise is not 240, but 96. Even though it's 240 for other parts of experiment 5</t>
  </si>
  <si>
    <t xml:space="preserve">Effect, tags and description added
The data in the replication report is different from the table. Maybe I mismatch the results </t>
  </si>
  <si>
    <t>Yousif, S. R., Aboody, R., &amp; Keil, F. C. (2019). The illusion of consensus: A failure to distinguish between true and false consensus. Psychological Science, 30(8), 1195-1204.</t>
  </si>
  <si>
    <t>10.1177/0956797619856844</t>
  </si>
  <si>
    <t>illusion of consensus</t>
  </si>
  <si>
    <t>Consensus, conformity, social learning, reasoning, open data, open materials, preregistered</t>
  </si>
  <si>
    <t>Participants in the false-consensus condition showed slightly higher confidence than those in the no-consensus condition</t>
  </si>
  <si>
    <t>"Bonferroni corrected confidence ratings in the false-consensus condition [...] were slightly higher than those in the no-consensus condition, t(94) = 2.77, p = .019, d = 0.50"</t>
  </si>
  <si>
    <t>https://osf.io/g9yrc</t>
  </si>
  <si>
    <t>Boyce_etal2023172_1_a</t>
  </si>
  <si>
    <r>
      <rPr>
        <rFont val="Calibri"/>
        <sz val="11.0"/>
      </rPr>
      <t xml:space="preserve">Replication data: </t>
    </r>
    <r>
      <rPr>
        <rFont val="Calibri"/>
        <color rgb="FF1155CC"/>
        <sz val="11.0"/>
        <u/>
      </rPr>
      <t>https://rpubs.com/ayodeledada/yousif2019</t>
    </r>
  </si>
  <si>
    <t>Participants in the false-consensus condition reported significantly lower confidence compared to those in the true-consensus condition</t>
  </si>
  <si>
    <t>"Although confidence ratings in the false-consensus condition were still significantly lower than those in the true-consensus condition, t(94) = 7.77, p &lt; .001, d = 1.72, [...]"</t>
  </si>
  <si>
    <t>https://osf.io/vcmdp</t>
  </si>
  <si>
    <t>Boyce_etal2023172_1_b</t>
  </si>
  <si>
    <r>
      <rPr>
        <rFont val="Calibri"/>
        <sz val="11.0"/>
      </rPr>
      <t xml:space="preserve">Replication data: </t>
    </r>
    <r>
      <rPr>
        <rFont val="Calibri"/>
        <color rgb="FF1155CC"/>
        <sz val="11.0"/>
        <u/>
      </rPr>
      <t>https://rpubs.com/ayodeledada/yousif2019</t>
    </r>
  </si>
  <si>
    <t>"Although confidence ratings in the false-consensus condition were [...] slightly higher than those in the no-consensus condition, t(94) = 2.77, p = .019, d = 0.50, Bonferroni corrected"</t>
  </si>
  <si>
    <t>Boyce_etal2023173</t>
  </si>
  <si>
    <t>Boyce_etal2023173_1</t>
  </si>
  <si>
    <t>P for R is not specified, report is absent.  Raw statistics bseb=1.037(.006)</t>
  </si>
  <si>
    <t>Zangger, C., &amp; Widmer, J. (2020). Choosing what is best for one’s children? Experimental evidence on parents’ responsiveness to childcare subsidies and their preferences for different childcare arrangements. Early childhood research quarterly, 51, 110-123.</t>
  </si>
  <si>
    <t>10.1016/j.ecresq.2019.10.004</t>
  </si>
  <si>
    <t>Amount of subsidies (in Swiss Francs)</t>
  </si>
  <si>
    <t>Each unit increase in subsidies for the corresponding childcare alternative is associated with a 2.5% increase in the odds of pre- ferring that mode of childcare.</t>
  </si>
  <si>
    <t>p. 117, Table 4</t>
  </si>
  <si>
    <t>Boyce_etal2023173_1_a</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</si>
  <si>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</si>
  <si>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 am not sure whether beta or OR is indicated in original paper and replication manuscript</t>
  </si>
  <si>
    <t>Subsidizing</t>
  </si>
  <si>
    <t>Childcare, Preferences, Choice experiment, Subsidies, Families</t>
  </si>
  <si>
    <t>Parents’ responsiveness to childcare subsidies and their preferences for different childcare arrangements in model 1</t>
  </si>
  <si>
    <t>"Model 1 in Table 4 reports the effects of the experimentally altered dimensions of the different alternatives and the situational context"</t>
  </si>
  <si>
    <t>Boyce_etal2023173_1_b</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</si>
  <si>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</si>
  <si>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2</t>
  </si>
  <si>
    <t>"Finally, all the reported effects of the experimentally altered dimensions are persistent when including additional controls, namely, respondents’ gender and their social and migration background (models 2–5 in Table 4)."</t>
  </si>
  <si>
    <t>Boyce_etal2023173_1_c</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</si>
  <si>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</si>
  <si>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3</t>
  </si>
  <si>
    <t>Boyce_etal2023173_1_d</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</si>
  <si>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</si>
  <si>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4</t>
  </si>
  <si>
    <t>Boyce_etal2023173_1_e</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</si>
  <si>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</si>
  <si>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Parents’ responsiveness to childcare subsidies and their preferences for different childcare arrangements in model 5</t>
  </si>
  <si>
    <t>Boyce_etal2023173_1_f</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</si>
  <si>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</si>
  <si>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ISEI interaction in 3rd model</t>
  </si>
  <si>
    <t>Boyce_etal2023173_1_g</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</si>
  <si>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</si>
  <si>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migration background interaction in 4th model</t>
  </si>
  <si>
    <t>Boyce_etal2023173_1_h</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</si>
  <si>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</si>
  <si>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Subsidies and gender interaction in 5th model</t>
  </si>
  <si>
    <t>Boyce_etal2023173_1_i</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</si>
  <si>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</si>
  <si>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2</t>
  </si>
  <si>
    <t>"Model 2 in Table 4 demonstrates that there is no effect of parental social status, measured by the ISEI, on the likelihood of recommending one particular childcare alternative to their friend"</t>
  </si>
  <si>
    <t>Boyce_etal2023173_1_j</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</si>
  <si>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</si>
  <si>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4</t>
  </si>
  <si>
    <t>Boyce_etal2023173_1_k</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</si>
  <si>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</si>
  <si>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professional caregiver in model 5</t>
  </si>
  <si>
    <t>Boyce_etal2023173_1_l</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</si>
  <si>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</si>
  <si>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ISEI for care by family members in model 5</t>
  </si>
  <si>
    <t>"To this end, models 3, 4, and 5 in Table 4 include alternative-specific interaction effects of the amount of subsidies with individual social status (ISEI), migration background, and gender"</t>
  </si>
  <si>
    <t>Boyce_etal2023173_1_m</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</si>
  <si>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</si>
  <si>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Boyce_etal2023173_1_n</t>
  </si>
  <si>
    <r>
      <rPr>
        <rFont val="Calibri"/>
        <sz val="11.0"/>
      </rPr>
      <t xml:space="preserve">Replication data: </t>
    </r>
    <r>
      <rPr>
        <rFont val="Calibri"/>
        <color rgb="FF1155CC"/>
        <sz val="11.0"/>
        <u/>
      </rPr>
      <t xml:space="preserve">https://rstudio-pubs-static.s3.amazonaws.com/960761_d9b8d67ca3454d3db5b0023e3b583df6.html
</t>
    </r>
    <r>
      <rPr>
        <rFont val="Calibri"/>
        <sz val="11.0"/>
      </rPr>
      <t>The original paper was added as 10.1016j.ecresq.2019.10.004.pdf</t>
    </r>
  </si>
  <si>
    <t>Boyce_etal2023174</t>
  </si>
  <si>
    <t>Boyce_etal2023174_1</t>
  </si>
  <si>
    <t>Zaval, L., Markowitz, E. M., &amp; Weber, E. U. (2015). How will I be remembered? Conserving the environment for the sake of one’s legacy. Psychological science, 26(2), 231-236.</t>
  </si>
  <si>
    <t>10.1177/0956797614561266</t>
  </si>
  <si>
    <t xml:space="preserve">We also found a significant effect of the legacy prime on behavioral intentions. Participants who were primed reported greater behavioral intentions (M = 3.05, SD = 0.86) than those who were not primed (M = 2.73, SD = 0.85), F(1, 309) = 10.07, p = .002, d = 0.36
</t>
  </si>
  <si>
    <t>Boyce_etal2023174_1_a</t>
  </si>
  <si>
    <r>
      <rPr>
        <rFont val="Calibri"/>
        <sz val="11.0"/>
      </rPr>
      <t xml:space="preserve">Replication report: </t>
    </r>
    <r>
      <rPr>
        <rFont val="Calibri"/>
        <color rgb="FF1155CC"/>
        <sz val="11.0"/>
        <u/>
      </rPr>
      <t>https://rpubs.com/rcatapano/Zaval_replication_report</t>
    </r>
  </si>
  <si>
    <t>https://rpubs.com/rcatapano/Zaval_replication_report</t>
  </si>
  <si>
    <t>Decision making, judgment, environmental effects, climate change, open data, open material</t>
  </si>
  <si>
    <t>Participants exposed to a legacy prime reported greater behavioral intentions compared to those not primed</t>
  </si>
  <si>
    <t>“We also found a significant effect of the legacy prime on behavioral intentions. Participants who were primed reported greater behavioral intentions (M = 3.05, SD = 0.86) than those who were not primed (M=2.73,SD=0.85), F(1,309)=10.07, p=.002, d=0.36.”</t>
  </si>
  <si>
    <r>
      <rPr>
        <rFont val="Calibri"/>
        <color rgb="FF1155CC"/>
        <sz val="11.0"/>
        <u/>
      </rPr>
      <t>https://rpubs.com/rcatapano/Zaval_replication_report</t>
    </r>
    <r>
      <rPr>
        <rFont val="Calibri"/>
        <sz val="11.0"/>
      </rPr>
      <t>, p. 14</t>
    </r>
  </si>
  <si>
    <t>Boyce_etal2023174_1_b</t>
  </si>
  <si>
    <r>
      <rPr>
        <rFont val="Calibri"/>
        <sz val="11.0"/>
      </rPr>
      <t xml:space="preserve">Replication report: </t>
    </r>
    <r>
      <rPr>
        <rFont val="Calibri"/>
        <color rgb="FF1155CC"/>
        <sz val="11.0"/>
        <u/>
      </rPr>
      <t>https://rpubs.com/rcatapano/Zaval_replication_report</t>
    </r>
  </si>
  <si>
    <t>Writing an essay enhanced participants' legacy motives</t>
  </si>
  <si>
    <t>“As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</si>
  <si>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r>
      <rPr>
        <rFont val="Calibri"/>
        <color rgb="FF1155CC"/>
        <sz val="11.0"/>
        <u/>
      </rPr>
      <t>https://rpubs.com/rcatapano/Zaval_replication_report</t>
    </r>
    <r>
      <rPr>
        <rFont val="Calibri"/>
        <sz val="11.0"/>
      </rPr>
      <t>, p. 13</t>
    </r>
  </si>
  <si>
    <t>Boyce_etal2023174_1_c</t>
  </si>
  <si>
    <r>
      <rPr>
        <rFont val="Calibri"/>
        <sz val="11.0"/>
      </rPr>
      <t xml:space="preserve">Replication report: </t>
    </r>
    <r>
      <rPr>
        <rFont val="Calibri"/>
        <color rgb="FF1155CC"/>
        <sz val="11.0"/>
        <u/>
      </rPr>
      <t>https://rpubs.com/rcatapano/Zaval_replication_report</t>
    </r>
  </si>
  <si>
    <t>Priming legacy motives increased participants' belief scores regarding climate-change behaviors</t>
  </si>
  <si>
    <t>“Moreover,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</si>
  <si>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r>
      <rPr>
        <rFont val="Calibri"/>
        <color rgb="FF1155CC"/>
        <sz val="11.0"/>
        <u/>
      </rPr>
      <t>https://rpubs.com/rcatapano/Zaval_replication_report</t>
    </r>
    <r>
      <rPr>
        <rFont val="Calibri"/>
        <sz val="11.0"/>
      </rPr>
      <t>, p. 14</t>
    </r>
  </si>
  <si>
    <t>Boyce_etal2023174_1_d</t>
  </si>
  <si>
    <r>
      <rPr>
        <rFont val="Calibri"/>
        <sz val="11.0"/>
      </rPr>
      <t xml:space="preserve">Replication report: </t>
    </r>
    <r>
      <rPr>
        <rFont val="Calibri"/>
        <color rgb="FF1155CC"/>
        <sz val="11.0"/>
        <u/>
      </rPr>
      <t>https://rpubs.com/rcatapano/Zaval_replication_report</t>
    </r>
  </si>
  <si>
    <t>The effect of the legacy prime on climate-change beliefs was partially mediated by increased legacy motives</t>
  </si>
  <si>
    <t>"This analysis showed that the indirect effect of the legacy prime on climate-change beliefs through legacy motives was significant, with a 95% confidence interval (CI) that excluded zero (β = 0.041, 95% CI = [0.01, 0.09], p = .029)"</t>
  </si>
  <si>
    <r>
      <rPr>
        <rFont val="Calibri"/>
        <color rgb="FF1155CC"/>
        <sz val="11.0"/>
        <u/>
      </rPr>
      <t>https://rpubs.com/rcatapano/Zaval_replication_report</t>
    </r>
    <r>
      <rPr>
        <rFont val="Calibri"/>
        <sz val="11.0"/>
      </rPr>
      <t>, p. 15; p value based on Z = 2.210678</t>
    </r>
  </si>
  <si>
    <t>Boyce_etal2023174_1_e</t>
  </si>
  <si>
    <r>
      <rPr>
        <rFont val="Calibri"/>
        <sz val="11.0"/>
      </rPr>
      <t xml:space="preserve">Replication report: </t>
    </r>
    <r>
      <rPr>
        <rFont val="Calibri"/>
        <color rgb="FF1155CC"/>
        <sz val="11.0"/>
        <u/>
      </rPr>
      <t>https://rpubs.com/rcatapano/Zaval_replication_report</t>
    </r>
  </si>
  <si>
    <t>The legacy prime's influence on behavioral intentions was partially mediated by increased legacy motives</t>
  </si>
  <si>
    <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</si>
  <si>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r>
      <rPr>
        <rFont val="Arial"/>
        <color rgb="FF1155CC"/>
        <u/>
      </rPr>
      <t>https://rpubs.com/rcatapano/Zaval_replication_report</t>
    </r>
    <r>
      <rPr>
        <rFont val="Arial"/>
      </rPr>
      <t>, p. 18; p-value based on Z= .030526</t>
    </r>
  </si>
  <si>
    <t>Boyce_etal2023175</t>
  </si>
  <si>
    <t>Boyce_etal2023175_1</t>
  </si>
  <si>
    <t>Zhao, M., Bülthoff, H. H., &amp; Bülthoff, I. (2016). Beyond faces and expertise: Facelike holistic processing of nonface objects in the absence of expertise. Psychological science, 27(2), 213-222.</t>
  </si>
  <si>
    <t>10.1177/0956797615617779</t>
  </si>
  <si>
    <t>the interaction between congruency and alignment, F(1, 21) = 22.80, p &lt; .001, ηp2 = .52, .... was significant.</t>
  </si>
  <si>
    <t>F(1, 21) = 22.80,</t>
  </si>
  <si>
    <t>p. 216</t>
  </si>
  <si>
    <t>Boyce_etal2023175_1_a</t>
  </si>
  <si>
    <t>1. the official preregistration was not completed</t>
  </si>
  <si>
    <t>Holistic processing</t>
  </si>
  <si>
    <t>Holistic processing, composite-face effect, expertise, face perception, Gestalt</t>
  </si>
  <si>
    <t>Congruency (e.g., consistency between stimuli and responses) influences task performance across conditions</t>
  </si>
  <si>
    <t>"A 2 (alignment) × 2 (congruency) × 2 (task) repeated measures analysis of variance (ANOVA) revealed a main effect of congruency, F(1, 21) = 41.84, p &lt; .001, partial eta-square = .67"</t>
  </si>
  <si>
    <t>F(1,13) = 21.804</t>
  </si>
  <si>
    <t>Boyce_etal2023175_1_b</t>
  </si>
  <si>
    <t>The influence of congruency on task performance depends on alignment</t>
  </si>
  <si>
    <t>"The interaction between congruency and alignment was also significant, F(1, 21) = 25.81, p &lt; .001, partial eta-square = .55"</t>
  </si>
  <si>
    <t>F(1,13) = 15.466</t>
  </si>
  <si>
    <t>Boyce_etal2023175_1_c</t>
  </si>
  <si>
    <t>The combined effects of alignment, congruency, and task type significantly influence performance.</t>
  </si>
  <si>
    <t>"The three-way interaction of alignment, congruency, and task was not significant, F(1, 21) = 3.80, p = .065, partial eta-square = .15"</t>
  </si>
  <si>
    <t>F(1,13) = 14.957</t>
  </si>
  <si>
    <t>Boyce_etal2023175_1_d</t>
  </si>
  <si>
    <t>Congruency affects performance specifically in the face task</t>
  </si>
  <si>
    <t>"For the face task, the congruency effect, F(1, 21) = 26.35, p &lt; .001, partial eta-square = .56 [...], were both significant"</t>
  </si>
  <si>
    <t>F(1,13) = 14.04</t>
  </si>
  <si>
    <t>Boyce_etal2023175_1_e</t>
  </si>
  <si>
    <t>The relationship between congruency and performance varies by alignment in the face task</t>
  </si>
  <si>
    <t>"The interaction between congruency and alignment, F(1, 21) = 7.97, p = .010, partial eta-square = .28, were both significant"</t>
  </si>
  <si>
    <t>F(1,13) = 0.014</t>
  </si>
  <si>
    <t>Boyce_etal2023175_1_f</t>
  </si>
  <si>
    <t>Congruency significantly impacts performance in the aligned condition</t>
  </si>
  <si>
    <t>" Moreover, the congruency effect was significant only in the aligned condition, t(21) = 5.41, p &lt; .001, Cohen’s d = 1.15"</t>
  </si>
  <si>
    <t>t(13) = 2.707</t>
  </si>
  <si>
    <t>Boyce_etal2023175_1_g</t>
  </si>
  <si>
    <t>" Moreover, the congruency effect was significant [...] not in the misaligned condition, t(21) = 0.00, p = .059, Cohen’s d = 0.43"</t>
  </si>
  <si>
    <t>t(13) = 3.577</t>
  </si>
  <si>
    <t>Boyce_etal2023175_1_h</t>
  </si>
  <si>
    <t>Congruency consistently affects performance across both tasks</t>
  </si>
  <si>
    <t>"Both the congruency effect, F(1, 21) = 26.30, p &lt; .001, partial eta-square = .56, [...] were significant"</t>
  </si>
  <si>
    <t>F(1,13) = 9.312</t>
  </si>
  <si>
    <t>Boyce_etal2023175_1_i</t>
  </si>
  <si>
    <t>The interaction between congruency and alignment is significant across line task</t>
  </si>
  <si>
    <t>"Both the congruency effect,  [...] and the interaction between congruency and alignment, F(1, 21) = 22.80, p &lt; .001, partial eta-square = .52, were significant"</t>
  </si>
  <si>
    <t>Boyce_etal2023175_1_j</t>
  </si>
  <si>
    <t>Congruency significantly affects performance in the aligned condition across line task</t>
  </si>
  <si>
    <t>"Again, a significant congruency effect was observed in the aligned condition, t(21) = 5.95, p &lt; .001, Cohen’s d = 1.27"</t>
  </si>
  <si>
    <t>t(13) = 4.478</t>
  </si>
  <si>
    <t>Boyce_etal2023175_1_k</t>
  </si>
  <si>
    <t>Congruency significantly affects performance in the misaligned condition across line task</t>
  </si>
  <si>
    <t>"Again, a significant congruency effect was observed [,,,] not in the misaligned condition, t(21) = 0.96, p = .348, Cohen’s d = 0.20."</t>
  </si>
  <si>
    <t>t(13) = 1.438</t>
  </si>
  <si>
    <t>Boyce_etal2023176_1</t>
  </si>
  <si>
    <t>Boyce_etal2023176</t>
  </si>
  <si>
    <t>Online replication</t>
  </si>
  <si>
    <t xml:space="preserve">Hierarchical social context </t>
  </si>
  <si>
    <t>Processing fluency, social hierarchy, liking, asymmetry, familiarity</t>
  </si>
  <si>
    <t>learning and remembering heirarchical relationships</t>
  </si>
  <si>
    <t>"Paticipants responded the fastest (in milliseconds) to the pairs in the hierarchy condition (M = 459.32, SD = 63.06), and they were slower to respond in the equality (submissive) (M = 462.22, SD = 64.82), equality (dominant) (M = 469.42, SD = 68.35), and animal conditions (M = 507.19, SD = 59.24)"</t>
  </si>
  <si>
    <t>0.022356441140367795</t>
  </si>
  <si>
    <t>0.9965467603884997</t>
  </si>
  <si>
    <t>Boyce_etal202318</t>
  </si>
  <si>
    <t>Boyce_etal202318_1</t>
  </si>
  <si>
    <t>Cao, J., Kleiman-Weiner, M., &amp; Banaji, M. R. (2019). People make the same Bayesian judgment they criticize in others. Psychological Science, 30(1), 20-31.</t>
  </si>
  <si>
    <t>10.1177/0956797618805750</t>
  </si>
  <si>
    <t>https://osf.io/z6rfa</t>
  </si>
  <si>
    <t>study 5</t>
  </si>
  <si>
    <t>But as shown in Figure 4, participants judged that the man was more likely than the woman to be the pilot, regardless of their evaluation of person X, F(1, 344) = 84.58, p &lt; .0001, η2 = .19, 95% CI = [.13, .27].</t>
  </si>
  <si>
    <t>F(1, 344) = 84.58</t>
  </si>
  <si>
    <t>p. 348</t>
  </si>
  <si>
    <t>1. There is a registration but not preregistration</t>
  </si>
  <si>
    <t>Judgment, accuracy, fairness, social cognition, base rates, open data, open materials</t>
  </si>
  <si>
    <t>Participants judged the man as more likely to be the pilot than the woman,</t>
  </si>
  <si>
    <t>"But as shown in Figure 4, participants judged that the man was more likely than the woman to be the pilot, regardless of their evaluation of person X, F(1,344) = 84.58,p &lt; .0001, eta-square = .19,95% CI = [.13,.27]."</t>
  </si>
  <si>
    <t>https://osf.io/9fdhb/</t>
  </si>
  <si>
    <t>https://osf.io/h37qu</t>
  </si>
  <si>
    <t>Boyce_etal202318_b</t>
  </si>
  <si>
    <t>The very same participants who criticized person X’s morality and intellect had just made judgments that were conceptually identical to person X’s Bayesian judgment</t>
  </si>
  <si>
    <t>"[...] means below the midpoint of 4 on the scales, Cronbach’s α = .91, composite M = 3.29, SE = 0.08, one sample t(347) = −8.90, p &lt; .0001, Cohen’s d = 0.48, 95% CI = [0.37, 0.60]"</t>
  </si>
  <si>
    <t>t(35) = -3.89</t>
  </si>
  <si>
    <t>Boyce_etal202319</t>
  </si>
  <si>
    <t>Boyce_etal202319_1</t>
  </si>
  <si>
    <r>
      <rPr>
        <rFont val="Calibri"/>
        <sz val="11.0"/>
      </rPr>
      <t xml:space="preserve">Replication data: </t>
    </r>
    <r>
      <rPr>
        <rFont val="Calibri"/>
        <color rgb="FF1155CC"/>
        <sz val="11.0"/>
        <u/>
      </rPr>
      <t>https://rstudio-pubs-static.s3.amazonaws.com/696061_39068ca5d4344e6894d818cbf8f2c60e.html</t>
    </r>
  </si>
  <si>
    <t>Catarino, A., Küpper, C. S., Werner-Seidler, A., Dalgleish, T., &amp; Anderson, M. C. (2015). Failing to forget: Inhibitory-control deficits compromise memory suppression in posttraumatic stress disorder. Psychological science, 26(5), 604-616.</t>
  </si>
  <si>
    <t>10.1177/0956797615569889</t>
  </si>
  <si>
    <t>https://osf.io/ab9q3</t>
  </si>
  <si>
    <t>Memory Suppression</t>
  </si>
  <si>
    <t>Memory suppression, forgetting, trauma, PTSD, inhibitory control, thought control</t>
  </si>
  <si>
    <t>Condition significantly interacts with the group</t>
  </si>
  <si>
    <t>"This interaction was driven once again by a significant suppression effect in the control group (M = 1.19), F(1, 15) = 33.548, p &lt; .001, partial eta-square = .691"</t>
  </si>
  <si>
    <t>https://osf.io/wsj2f</t>
  </si>
  <si>
    <r>
      <rPr>
        <rFont val="Calibri"/>
        <sz val="11.0"/>
      </rPr>
      <t xml:space="preserve">Replication data: </t>
    </r>
    <r>
      <rPr>
        <rFont val="Calibri"/>
        <color rgb="FF1155CC"/>
        <sz val="11.0"/>
        <u/>
      </rPr>
      <t>https://rstudio-pubs-static.s3.amazonaws.com/696061_39068ca5d4344e6894d818cbf8f2c60e.html</t>
    </r>
  </si>
  <si>
    <t>replicating control condition only for 2 DVs: gist and details</t>
  </si>
  <si>
    <t>Inhibitory-control deficits compromise memory suppression in posttraumatic stress disorder</t>
  </si>
  <si>
    <t>"A significant group difference in suppression induced forgetting was observed, as indicated by a significant condition-by-group interaction, F(1, 30) = 4.573, p = .041, partial eta-square = .132"</t>
  </si>
  <si>
    <t>F(4,6) = 6.636</t>
  </si>
  <si>
    <t>https://rstudio-pubs-static.s3.amazonaws.com/696061_39068ca5d4344e6894d818cbf8f2c60e.html</t>
  </si>
  <si>
    <t>Boyce_etal202319_b</t>
  </si>
  <si>
    <r>
      <rPr>
        <rFont val="Calibri"/>
        <sz val="11.0"/>
      </rPr>
      <t xml:space="preserve">Replication data: </t>
    </r>
    <r>
      <rPr>
        <rFont val="Calibri"/>
        <color rgb="FF1155CC"/>
        <sz val="11.0"/>
        <u/>
      </rPr>
      <t>https://rstudio-pubs-static.s3.amazonaws.com/696061_39068ca5d4344e6894d818cbf8f2c60e.html</t>
    </r>
  </si>
  <si>
    <t>"As for the two previous measures, a significant group difference in suppression-induced forgetting was observed, established by a significant condition-by-group interaction, F(1, 30) = 14.231, p = .001, partial eta-square = .322"</t>
  </si>
  <si>
    <t>F(4,6) = 1.4195</t>
  </si>
  <si>
    <t>Boyce_etal20232</t>
  </si>
  <si>
    <t>Boyce_etal20232_1</t>
  </si>
  <si>
    <t>Albarracín, D., Handley, I. M., Noguchi, K., McCulloch, K. C., Li, H., Leeper, J., ... &amp; Hart, W. P. (2008). Increasing and decreasing motor and cognitive output: a model of general action and inaction goals. Journal of Personality and Social Psychology, 95(3), 510.</t>
  </si>
  <si>
    <t>10.1037/a0012833</t>
  </si>
  <si>
    <t>participants primed with action performed better than participants primed with inaction did (M  12.83, SD  1.86 vs. M  10.78, SD  3.15, respectively).</t>
  </si>
  <si>
    <t>p. 517</t>
  </si>
  <si>
    <r>
      <rPr>
        <rFont val="Calibri"/>
        <sz val="11.0"/>
      </rPr>
      <t xml:space="preserve">Data for replication from: </t>
    </r>
    <r>
      <rPr>
        <rFont val="Calibri"/>
        <color rgb="FF1155CC"/>
        <sz val="11.0"/>
        <u/>
      </rPr>
      <t>https://osf.io/yt5q8/</t>
    </r>
  </si>
  <si>
    <r>
      <rPr>
        <rFont val="Arial"/>
      </rPr>
      <t xml:space="preserve">Preregistration is reported as </t>
    </r>
    <r>
      <rPr>
        <rFont val="Arial"/>
        <color rgb="FF1155CC"/>
        <u/>
      </rPr>
      <t>https://osf.io/yt5q8/</t>
    </r>
    <r>
      <rPr>
        <rFont val="Arial"/>
      </rPr>
      <t xml:space="preserve"> but there is no entry in the registries: </t>
    </r>
    <r>
      <rPr>
        <rFont val="Arial"/>
        <color rgb="FF1155CC"/>
        <u/>
      </rPr>
      <t>https://osf.io/yt5q8/registrations</t>
    </r>
  </si>
  <si>
    <t>https://osf.io/yt5q8/</t>
  </si>
  <si>
    <t>Word priming</t>
  </si>
  <si>
    <t>Action goals, self-regulation, behavior</t>
  </si>
  <si>
    <t>Action and inaction primes produced, respectively, higher and lower levels of cognitive output</t>
  </si>
  <si>
    <t>"The analysis revealed a main effect of prime on number of solved problems, F(1, 34) = 5.68, p = .02, demonstrating that participants primed with action performed better than participants primed with inaction did (M = 12.83, SD = 1.86 vs. M = 10.78, SD = 3.15, respectively)"</t>
  </si>
  <si>
    <t>F(1, 34) = 5.68</t>
  </si>
  <si>
    <t>F(1,86) = 0.08</t>
  </si>
  <si>
    <t>Boyce_etal202320</t>
  </si>
  <si>
    <t>Boyce_etal202320_1</t>
  </si>
  <si>
    <t>Charpentier, C. J., De Neve, J. E., Li, X., Roiser, J. P., &amp; Sharot, T. (2016). Models of affective decision making: how do feelings predict choice?. Psychological science, 27(6), 763-775.</t>
  </si>
  <si>
    <t>10.1177/0956797616634654</t>
  </si>
  <si>
    <t>no data available</t>
  </si>
  <si>
    <t>No replication data available</t>
  </si>
  <si>
    <t>Boyce_etal202321</t>
  </si>
  <si>
    <t>Boyce_etal202321_1</t>
  </si>
  <si>
    <t>d original extracted from the dataset</t>
  </si>
  <si>
    <t>Child, S., Oakhill, J., &amp; Garnham, A. (2018). You’re the emotional one: the role of perspective for emotion processing in reading comprehension. Language, cognition and neuroscience, 33(7), 878-889.</t>
  </si>
  <si>
    <t>10.1080/23273798.2018.1431397</t>
  </si>
  <si>
    <t>https://osf.io/agxwv</t>
  </si>
  <si>
    <t>effect of perspective</t>
  </si>
  <si>
    <t>reading about self or third person</t>
  </si>
  <si>
    <t>for positive emotions, reading times were faster for passages that were written from a personal perspective (M = 2201, SD = 1284) than from an onlooker perspective (M = 2350, SD = 1351; t(4408) = 3.73, p &lt; .001; see Figure 1).</t>
  </si>
  <si>
    <t>Boyce_etal202321_1_a</t>
  </si>
  <si>
    <t>Emotion processing</t>
  </si>
  <si>
    <t>Reading; comprehension; emotion; perspective; pronouns</t>
  </si>
  <si>
    <t>Reading times were faster for passages that were written from a personal perspective for positive emotions</t>
  </si>
  <si>
    <t>"For positive emotions, reading times were faster for passages that were written from a personal perspective (M=2201,SD=1284) than from an onlooker perspective (M=2350,SD=1351; t(4408)=3.73,p&lt;.001; see Figure 1)"</t>
  </si>
  <si>
    <t>t(4408) = 3.73</t>
  </si>
  <si>
    <t>t(934) = -0.99</t>
  </si>
  <si>
    <t>https://osf.io/vk2cs</t>
  </si>
  <si>
    <t>Boyce_etal202321_1_b</t>
  </si>
  <si>
    <t>There was a positive effect of perspective on reading times</t>
  </si>
  <si>
    <t>"The analysis revealed an effect of perspective on reading times (see Table 1)"</t>
  </si>
  <si>
    <t>Boyce_etal202321_1_c</t>
  </si>
  <si>
    <t>There was no effect of valence on reading times</t>
  </si>
  <si>
    <t>"The analysis did not reveal a main effect of valence (see Table 1)"</t>
  </si>
  <si>
    <t>Boyce_etal202321_1_d</t>
  </si>
  <si>
    <t>There was a negative effect of valence and perspective interactionon reading times</t>
  </si>
  <si>
    <t>"An interaction of valence and perspective was found (see Table 1)"</t>
  </si>
  <si>
    <t>Boyce_etal202321_1_e</t>
  </si>
  <si>
    <t>There was a marginal positive effect of perspective on emotional self-rating</t>
  </si>
  <si>
    <t>"Self-ratings were only marginally affected by perspective (see Table2)"</t>
  </si>
  <si>
    <t>Boyce_etal202321_1_f</t>
  </si>
  <si>
    <t>There was a negative effect of valence on emotional self-rating</t>
  </si>
  <si>
    <t>"For the self-ratings of emotions, we found differences between negatively and positively valenced texts (see Table 2)"</t>
  </si>
  <si>
    <t>Boyce_etal202321_1_g</t>
  </si>
  <si>
    <t>There was an effect of valence and perspective interaction on emotional self-rating</t>
  </si>
  <si>
    <t>"The analysis revealed an interaction between perspective and valence for self-reported emotions (see Table 2)."</t>
  </si>
  <si>
    <t>Boyce_etal202322</t>
  </si>
  <si>
    <t>Boyce_etal202322_1</t>
  </si>
  <si>
    <t>Replication results corrected</t>
  </si>
  <si>
    <t>Chopra, S., Tessler, M. H., &amp; Goodman, N. D. (2019, July). The first crank of the cultural ratchet: Learning and transmitting concepts through language. In CogSci (pp. 226-232).</t>
  </si>
  <si>
    <t>escholarship.orgucitem39d347bk</t>
  </si>
  <si>
    <t>https://osf.io/jpwd3</t>
  </si>
  <si>
    <t>Learning</t>
  </si>
  <si>
    <t>Concept Learning, Cultural Ratchet, Language Transmission, Generics and Quantifiers, Boolean Concepts</t>
  </si>
  <si>
    <t>Teacher confidence results in stronger alignment between students and teachers</t>
  </si>
  <si>
    <t>"We find a strong relationship: language seems to yield stronger alignment between students and teachers when the teachers are (expected to be) confident in what they have learned (r =−0.75, p &lt; 001)"</t>
  </si>
  <si>
    <t>Replication data: https://rstudio-pubs-static.s3.amazonaws.com/823553_849e56ccdba04f308d3dd2f4a03a249a.html
Original paper added as escholarship.orgucitem39d347bk.pdf</t>
  </si>
  <si>
    <t>No replication data available (the report does not contain information)</t>
  </si>
  <si>
    <t>Boyce_etal202323</t>
  </si>
  <si>
    <t>Boyce_etal202323_1</t>
  </si>
  <si>
    <t>Chou, E. Y., Parmar, B. L., &amp; Galinsky, A. D. (2016). Economic insecurity increases physical pain. Psychological Science, 27(4), 443-454.</t>
  </si>
  <si>
    <t>10.1177/0956797615625640</t>
  </si>
  <si>
    <t>https://osf.io/wj3bm</t>
  </si>
  <si>
    <t xml:space="preserve">Participants in the lack-of-control condition reported more than double the physical pain (M = 13.75, SD = 21.49) reported by participants in the complete-control condition (M = 6.57, SD = 11.62), t(98) = 2.04, p = .04, d = 0.41. </t>
  </si>
  <si>
    <t>Economic Insecurity</t>
  </si>
  <si>
    <t>Economic insecurity, pain, sense of control</t>
  </si>
  <si>
    <t>Lack of control is a proximal mechanism that produces physical pain</t>
  </si>
  <si>
    <t>"Participants in the lack-of-control condition reported more than double the physical pain (M = 13.75, SD = 21.49) reported by participants in the complete-control condition (M = 6.57, SD = 11.62), t(98) = 2.04, p = .04, d = 0.41"</t>
  </si>
  <si>
    <t>p. 449</t>
  </si>
  <si>
    <t>https://osf.io/vmfue</t>
  </si>
  <si>
    <t>let's use journal page numbers, not PDF page numbers (where available)</t>
  </si>
  <si>
    <t>Boyce_etal202324</t>
  </si>
  <si>
    <t>Boyce_etal202324_1</t>
  </si>
  <si>
    <t>report available</t>
  </si>
  <si>
    <t>Cohen, M. A., Alvarez, G. A., &amp; Nakayama, K. (2011). Natural-scene perception requires attention. Psychological science, 22(9), 1165-1172.</t>
  </si>
  <si>
    <t>10.1177/0956797611419168</t>
  </si>
  <si>
    <t>https://osf.io/7d3ha</t>
  </si>
  <si>
    <t>experiment 1 inattentional blindness</t>
  </si>
  <si>
    <t>In Experiment 1a, 64% of participants experienced complete inattentional blindness on the critical trial (Fig. 1b). Only 18% of participants detected the scene immediately. However, in the post–inattentional blindness testing, in which participants were explicitly asked to detect and classify the scenes, they did so correctly 96% of the time (Fig. 1b).</t>
  </si>
  <si>
    <t>1. Authors ensured that their minor changes to the procedure won't afffect the replication</t>
  </si>
  <si>
    <t>1b</t>
  </si>
  <si>
    <t>There is no numerical data in the replication</t>
  </si>
  <si>
    <t>Boyce_etal202325</t>
  </si>
  <si>
    <t>Boyce_etal202325_1</t>
  </si>
  <si>
    <t>N original in the dataset is stated as 188, while in these specific quesiton the sample was divided in 2 parts, which results in N=94</t>
  </si>
  <si>
    <t>Correll, S. J., Benard, S., &amp; Paik, I. (2007). Getting a job: Is there a motherhood penalty?. American journal of sociology, 112(5), 1297-1338.</t>
  </si>
  <si>
    <t>10.1086/511799</t>
  </si>
  <si>
    <t xml:space="preserve">https://rpubs.com/dmetaxak/correll2007
</t>
  </si>
  <si>
    <t>Workplace discrimination</t>
  </si>
  <si>
    <t>Motherhood penalty, workplace discrimination, wage gap, competence bias, hiring bias</t>
  </si>
  <si>
    <t>Mothers were judged as significantly less competent</t>
  </si>
  <si>
    <t>As predicted, mothers were judged as significantly less competent and committed than women without children.</t>
  </si>
  <si>
    <t>https://rpubs.com/dmetaxak/correll2007</t>
  </si>
  <si>
    <r>
      <rPr>
        <rFont val="Calibri"/>
        <sz val="11.0"/>
      </rPr>
      <t xml:space="preserve">1. Replication data: </t>
    </r>
    <r>
      <rPr>
        <rFont val="Calibri"/>
        <color rgb="FF1155CC"/>
        <sz val="11.0"/>
        <u/>
      </rPr>
      <t xml:space="preserve">https://rpubs.com/dmetaxak/correll2007
</t>
    </r>
    <r>
      <rPr>
        <rFont val="Calibri"/>
        <sz val="11.0"/>
      </rPr>
      <t>2. Online replication</t>
    </r>
  </si>
  <si>
    <t>1 (laboratory experiment)</t>
  </si>
  <si>
    <t>"As predicted, mothers were judged as significantly less competent and committed than women without children."</t>
  </si>
  <si>
    <t>Boyce_etal202325_b</t>
  </si>
  <si>
    <r>
      <rPr>
        <rFont val="Calibri"/>
        <sz val="11.0"/>
      </rPr>
      <t xml:space="preserve">1. Replication data: </t>
    </r>
    <r>
      <rPr>
        <rFont val="Calibri"/>
        <color rgb="FF1155CC"/>
        <sz val="11.0"/>
        <u/>
      </rPr>
      <t xml:space="preserve">https://rpubs.com/dmetaxak/correll2007
</t>
    </r>
    <r>
      <rPr>
        <rFont val="Calibri"/>
        <sz val="11.0"/>
      </rPr>
      <t>2. Online replication</t>
    </r>
  </si>
  <si>
    <t>Mothers, relative to other applicants, are believed to be less suitable for hiring</t>
  </si>
  <si>
    <t>"Mothers are also less likely than other types of applicants to be recommended for management (second column of table 4)"</t>
  </si>
  <si>
    <t>Boyce_etal202325_c</t>
  </si>
  <si>
    <r>
      <rPr>
        <rFont val="Calibri"/>
        <sz val="11.0"/>
      </rPr>
      <t xml:space="preserve">1. Replication data: </t>
    </r>
    <r>
      <rPr>
        <rFont val="Calibri"/>
        <color rgb="FF1155CC"/>
        <sz val="11.0"/>
        <u/>
      </rPr>
      <t xml:space="preserve">https://rpubs.com/dmetaxak/correll2007
</t>
    </r>
    <r>
      <rPr>
        <rFont val="Calibri"/>
        <sz val="11.0"/>
      </rPr>
      <t>2. Online replication</t>
    </r>
  </si>
  <si>
    <t>Female participants, relative to other applicants, are believed to be less suitable for hiring</t>
  </si>
  <si>
    <t>Boyce_etal202326</t>
  </si>
  <si>
    <t>Boyce_etal202326_1</t>
  </si>
  <si>
    <t>Craig, M. A., &amp; Richeson, J. A. (2014). On the precipice of a “majority-minority” America: Perceived status threat from the racial demographic shift affects White Americans’ political ideology. Psychological science, 25(6), 1189-1197.</t>
  </si>
  <si>
    <t>10.1177/0956797614527113</t>
  </si>
  <si>
    <t>3a</t>
  </si>
  <si>
    <t>https://rpubs.com/staciaking/craig2014</t>
  </si>
  <si>
    <t>Racial demographic shifts</t>
  </si>
  <si>
    <t>Political conservatism, conservative shift, demographic changes</t>
  </si>
  <si>
    <t>Participants in the status-threat condition supported conservative positions more than did participants in the control condition</t>
  </si>
  <si>
    <t>Analyses of variance confirmed that participants in the status-threat condition expressed greater perceived group-status threat than did participants in the assuaged-threat or control conditions— Study 3a: F(2, 166) = 7.23, p &lt; .001, ηp2 = .08;</t>
  </si>
  <si>
    <r>
      <rPr>
        <rFont val="Calibri"/>
        <sz val="11.0"/>
      </rPr>
      <t xml:space="preserve">Replication data: </t>
    </r>
    <r>
      <rPr>
        <rFont val="Calibri"/>
        <color rgb="FF1155CC"/>
        <sz val="11.0"/>
        <u/>
      </rPr>
      <t>https://rpubs.com/staciaking/craig2014</t>
    </r>
  </si>
  <si>
    <t>I am not sure that these are matching results`</t>
  </si>
  <si>
    <t>"Results revealed a main effect of experimental condition on overall policy attitudes, F(2, 161) = 4.92, p = .008, partial eta-square = .06"</t>
  </si>
  <si>
    <t>Boyce_etal202327</t>
  </si>
  <si>
    <t>Boyce_etal202327_1</t>
  </si>
  <si>
    <t>Critcher, C. R., Inbar, Y., &amp; Pizarro, D. A. (2013). How quick decisions illuminate moral character. Social Psychological and Personality Science, 4(3), 308-315.</t>
  </si>
  <si>
    <t>10.1177/1948550612457688</t>
  </si>
  <si>
    <t>Unsurprisingly, we found a main effect of moral decision on the moral character evaluation composite, F(1,117) = 127.07, p &lt; .001,</t>
  </si>
  <si>
    <t>F(1,117) = 127.0</t>
  </si>
  <si>
    <t>p. 309</t>
  </si>
  <si>
    <t>Pattern of interaction in replication matches that in original study</t>
  </si>
  <si>
    <t>Moral judgement</t>
  </si>
  <si>
    <t>Decision speed, motives, moral judgment, moral character, certainty</t>
  </si>
  <si>
    <t>Returning the wallet was an indicator of moral (vs. immoral) character</t>
  </si>
  <si>
    <t>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</si>
  <si>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F(1,117) = 127.07</t>
  </si>
  <si>
    <t>X2(1) = 374.43</t>
  </si>
  <si>
    <t>Boyce_etal202328</t>
  </si>
  <si>
    <t>Boyce_etal202328_1</t>
  </si>
  <si>
    <t>Daffner, K. R., Scinto, L. F., Calvo, V., Faust, R., Mesulam, M. M., West, W. C., &amp; Holcomb, P. J. (2000). The influence of stimulus deviance on electrophysiologic and behavioral responses to novel events. Journal of Cognitive Neuroscience, 12(3), 393-406.</t>
  </si>
  <si>
    <t>10.1162/089892900562219</t>
  </si>
  <si>
    <t>1. Online
2. There are a lost results, however replication operates with the term "block" while original study with the term "task". According to replication description it should be different things (blocks - split sessions of the experiment)</t>
  </si>
  <si>
    <t>Boyce_etal202329_1</t>
  </si>
  <si>
    <t>Boyce_etal202329</t>
  </si>
  <si>
    <t>Maureen Osano</t>
  </si>
  <si>
    <t>The proportion of this claim text was not reported but has been coded while coding the same proportion reported in the replication table</t>
  </si>
  <si>
    <t xml:space="preserve"> study is possibly pregistered but links are not always included in the reports</t>
  </si>
  <si>
    <t>Dai, X., Wertenbroch, K., &amp; Brendl, C. M. (2008). The value heuristic in judgments of relative frequency. Psychological Science, 19(1), 18.</t>
  </si>
  <si>
    <t>10.1111/j.1467-9280.2008.02039.x</t>
  </si>
  <si>
    <t>10.1111--j.1467-9280.2008.02039.x.pdf</t>
  </si>
  <si>
    <t>heuristic, value, stimuli, judgment</t>
  </si>
  <si>
    <t>The value heuristic in judgments of relative frequency (flowers endowed)</t>
  </si>
  <si>
    <t>"participants were more likely to underestimate the number of flower pictures relative to bird pictures when they expected payment for flower pictures (15 of 31 participants, 48%) than when they expected payment for bird pictures (8 of 32 participants, 25%) "," Underestimating the frequency of the endowed category was independent of perceiving the endowment procedure to be random"</t>
  </si>
  <si>
    <t>1,2</t>
  </si>
  <si>
    <t>prop:15/31,8/32</t>
  </si>
  <si>
    <t>prop:5/15,2/11</t>
  </si>
  <si>
    <t>https://github.com/vboyce/251-254-MA/blob/main/data/processed_data.csv column rep_d_calc</t>
  </si>
  <si>
    <t>Maureen Osano, LR</t>
  </si>
  <si>
    <t>Boyce_etal202329_b</t>
  </si>
  <si>
    <t>Only the proportion of this claim text was reported in the replication table</t>
  </si>
  <si>
    <t>This row requires further validation study is possibly pregistered but links are not always included in the reports</t>
  </si>
  <si>
    <t>The value heuristic in judgments of relative frequency (birds endowed)</t>
  </si>
  <si>
    <r>
      <rPr>
        <rFont val="Arial"/>
        <color theme="1"/>
      </rPr>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t>
    </r>
    <r>
      <rPr>
        <rFont val="Arial"/>
        <i/>
        <color theme="1"/>
      </rPr>
      <t>P</t>
    </r>
    <r>
      <rPr>
        <rFont val="Arial"/>
        <color theme="1"/>
      </rPr>
      <t>prep = .93, odds ratio = 3.28^2. Underestimating the frequency of the endowed category was independent of perceiving the endowment procedure to be random."</t>
    </r>
  </si>
  <si>
    <t>proportion: 5/15,2/11</t>
  </si>
  <si>
    <t>The study numbers are missing in all the rows; There is a need to resolve the replication type that the coder has categorized as close, very close, and exact; is closeness and replication type the same?  study is possibly pregistered but links are not always included in the reports</t>
  </si>
  <si>
    <r>
      <rPr>
        <rFont val="Calibri"/>
        <sz val="11.0"/>
      </rPr>
      <t xml:space="preserve">Boyce, V., Mathur, M., &amp; Frank, M. C. (2023). Eleven years of student replication projects provide evidence on the correlates of replicability in psychology. Royal Society Open Science, 10(11), 231240. </t>
    </r>
    <r>
      <rPr>
        <rFont val="Calibri"/>
        <color rgb="FF1155CC"/>
        <sz val="11.0"/>
        <u/>
      </rPr>
      <t>https://doi.org/10.1098/rsos.231240</t>
    </r>
  </si>
  <si>
    <t>In contrast, they were more likely to underestimate the number of bird pictures relative to flower pictures when they expected payment for bird pictures (21 of 32 participants, 66%) than when they expected payment for flower pictures (12 of 31 participants, 39%), w2 (1, N = 56) = 4.51, p = .037, prep =  .93, odds ratio = 3.28.2</t>
  </si>
  <si>
    <t>Boyce_etal20233_1</t>
  </si>
  <si>
    <t>Boyce_etal20233</t>
  </si>
  <si>
    <t>N (shape condition)=28; Only statistics for the shape condition have been reported in the replication table. The same statistics have been coded for the word condition.</t>
  </si>
  <si>
    <t>Aryani, A., Isbilen, E. S., &amp; Christiansen, M. H. (2020). Affective arousal links sound to meaning. Psychological science, 31(8), 978-986.</t>
  </si>
  <si>
    <t>10.1177/0956797620927967</t>
  </si>
  <si>
    <t>10.1177--0956797620927967.pdf</t>
  </si>
  <si>
    <t>bouba-kiki</t>
  </si>
  <si>
    <t>bouba-kiki effect, arousal, emotional mediation hypothesis, language evolution, affective iconicity, open data, open materials, preregistered</t>
  </si>
  <si>
    <t>Affective arousal links sound to meaning (shape condition)</t>
  </si>
  <si>
    <t>"A comparison of the arousal ratings in the shape condition revealed significantly higher arousal for spiky shapes than rounded shapes (spiky: M = 3.45, SE = 0.039; rounded: M = 2.43, SE = 0.037; p &lt; .0001, d = 0.92) "," the ratings for both shapes and words showed a consistent effect of category on arousal, with spiky shapes and kiki-like words rated higher in arousal than rounded shapes and bouba-like words across all of the studies"</t>
  </si>
  <si>
    <t>https://aspredicted.org/mq97g.pdf</t>
  </si>
  <si>
    <t>Boyce_etal20233_b</t>
  </si>
  <si>
    <t>N (shape condition)=24</t>
  </si>
  <si>
    <t>This row needs to be validated further study is possibly pregistered but links are not always included in the reports</t>
  </si>
  <si>
    <t>Affective arousal links sound to meaning (word condition)</t>
  </si>
  <si>
    <t>"In the word condition, we compared arousal ratings for bouba-like and kiki-like words; kiki-like words were rated significantly higher in arousal than bouba-like words (kiki: M = 3.16, SE = 0.033; bouba: M = 2.53, SE = 0.033; p &lt; .0001, d = 0.57) "," the ratings for both shapes and words showed a consistent effect of category on arousal, with spiky shapes and kiki-like words rated higher in arousal than rounded shapes and bouba-like words across all of the studies"</t>
  </si>
  <si>
    <r>
      <rPr>
        <rFont val="Arial"/>
        <color rgb="FF1155CC"/>
        <u/>
      </rPr>
      <t>https://github.com/vboyce/251-254-MA/blob/main/data/processed_data.csv</t>
    </r>
    <r>
      <rPr>
        <rFont val="Arial"/>
      </rPr>
      <t xml:space="preserve"> column rep_d_calc</t>
    </r>
  </si>
  <si>
    <t>Writing N/As in areas with no entries should be considered in all the rows. The discipline for this entry should be categorized as social psychology and not differential psychology (this can be validated, though) 
study is possibly pregistered but links are not always included in the reports; -&gt; field coded as social psych</t>
  </si>
  <si>
    <t>Boyce, V., Mathur, M., &amp; Frank, M. C. (2023). Eleven years of student replication projects provide evidence on the correlates of replicability in psychology. Royal Society Open Science, 10(11), 231240. https://doi.org/10.1098/rsos.231065</t>
  </si>
  <si>
    <t>A comparison of the arousal ratings in the shape condition revealed significantly higher arousal for spiky shapes than rounded shapes (spiky: M = 3.45, SE = 0.039; rounded: M = 2.43, SE = 0.037; p &lt; .0001, d = 0.92).</t>
  </si>
  <si>
    <t>Boyce_etal202330_1</t>
  </si>
  <si>
    <t>Boyce_etal202330</t>
  </si>
  <si>
    <t>This has been chosen but requires further validation study is possibly pregistered but links are not always included in the reports</t>
  </si>
  <si>
    <t>Dale, R., &amp; Duran, N. D. (2011). The cognitive dynamics of negated sentence verification. Cognitive science, 35(5), 983-996.</t>
  </si>
  <si>
    <t>10.1111/j.1551-6709.2010.01164.x</t>
  </si>
  <si>
    <t>1,3</t>
  </si>
  <si>
    <t>10.1111--j.1551-6709.2010.01164.x.pdf</t>
  </si>
  <si>
    <t>negation, discrete and continuous processing, sentence verification, cognitive dynamics, action, pluralism</t>
  </si>
  <si>
    <t>cognitive dynamics of negated sentence verification (interaction between negation and x-flips)</t>
  </si>
  <si>
    <t>"For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</si>
  <si>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7,8</t>
  </si>
  <si>
    <t xml:space="preserve"> F(1,655) = 14.5</t>
  </si>
  <si>
    <t>Boyce, V., Mathur, M., &amp; Frank, M. C. (2023). Eleven years of student replication projects provide evidence on the correlates of replicability in psychology. Royal Society Open Science, 10(11), 231240. https://doi.org/10.1098/rsos.231091</t>
  </si>
  <si>
    <t>the model revealed ... and a significant interaction between negation and truth, F(1,655) = 6.9, p &lt; .01.</t>
  </si>
  <si>
    <t xml:space="preserve"> F(1,655) = 6.9</t>
  </si>
  <si>
    <t>p. 989</t>
  </si>
  <si>
    <t>Boyce_etal202330_b</t>
  </si>
  <si>
    <t>Chose central claim due to one replication finding, only
study is possibly pregistered but links are not always included in the reports</t>
  </si>
  <si>
    <t>cognitive dynamics of negated sentence verification (negation and truth)</t>
  </si>
  <si>
    <t>"a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</si>
  <si>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Boyce_etal202330_c</t>
  </si>
  <si>
    <t>This claim should be validated further study is possibly pregistered but links are not always included in the reports</t>
  </si>
  <si>
    <t>cognitive dynamics of negated sentence verification (negation and acceleration ⁄ deceleration events)</t>
  </si>
  <si>
    <t>"Negation increases of the number of acceleration ⁄ deceleration events by approximately 0.70, F(1,655) = 19.1, p &lt; .0001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</si>
  <si>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F(1,655) = 19.1</t>
  </si>
  <si>
    <t>bseb=.26(.25)</t>
  </si>
  <si>
    <t>Boyce_etal202330_d</t>
  </si>
  <si>
    <t>cognitive dynamics of negated sentence verification (negation and veracity)</t>
  </si>
  <si>
    <t>"its interaction with veracity is significant, F(1,655) = 13.3,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</si>
  <si>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F(1,655) = 13.3</t>
  </si>
  <si>
    <t>Boyce_etal202331_1</t>
  </si>
  <si>
    <t>Boyce_etal202331</t>
  </si>
  <si>
    <t>This task does not have sufficient data (test statistics) for coding in the original study and replication table. There is no report for the replication study as well</t>
  </si>
  <si>
    <t>In agreement; There is no sufficient information to code this this task study is possibly pregistered but links are not always included in the reports</t>
  </si>
  <si>
    <t>Daw, N. D., Gershman, S. J., Seymour, B., Dayan, P., &amp; Dolan, R. J. (2011). Model-based influences on humans' choices and striatal prediction errors. Neuron, 69(6), 1204-1215.</t>
  </si>
  <si>
    <t>model-based, model-free, prediction errors, choice</t>
  </si>
  <si>
    <t>Model-based influences on humans' choices and striatal prediction errors</t>
  </si>
  <si>
    <t>No information about O in Boyce, impossible to understand which claiim was tested, report absent</t>
  </si>
  <si>
    <t>10.1016/j.neuron.2011.02.027</t>
  </si>
  <si>
    <t>Boyce, V., Mathur, M., &amp; Frank, M. C. (2023). Eleven years of student replication projects provide evidence on the correlates of replicability in psychology. Royal Society Open Science, 10(11), 231240. https://doi.org/10.1098/rsos.231092</t>
  </si>
  <si>
    <t>Boyce_etal202332_1</t>
  </si>
  <si>
    <t>Boyce_etal202332</t>
  </si>
  <si>
    <t>There is no clear information in the replication study and no sufficient information/ data (test statistics) on the replication table to code this task</t>
  </si>
  <si>
    <t>Dehaene, S., Nakamura, K., Jobert, A., Kuroki, C., Ogawa, S., &amp; Cohen, L. (2010). Why do children make mirror errors in reading? Neural correlates of mirror invariance in the visual word form area. Neuroimage, 49(2), 1837-1848.</t>
  </si>
  <si>
    <t>10.1016/j.neuroimage.2009.09.024</t>
  </si>
  <si>
    <t>mirror errors, mirror invariance, recognition, children</t>
  </si>
  <si>
    <t>Neural correlates of mirror invariance in the visual word form area</t>
  </si>
  <si>
    <t>Tags and description variables missing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</si>
  <si>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https://doi.org/10.1098/rsos.231093</t>
  </si>
  <si>
    <t>Boyce_etal202333_1</t>
  </si>
  <si>
    <t>Boyce_etal202333</t>
  </si>
  <si>
    <t>There is no sufficient data for the replication study in the replication table to fully code this task</t>
  </si>
  <si>
    <t>Djärv, K., Zehr, J., &amp; Schwarz, F. (2018). Cognitive vs. emotive factives: An experimental differentiation. In Proceedings of Sinn und Bedeutung (Vol. 21, No. 1, pp. 367-386).</t>
  </si>
  <si>
    <t>djärv_2018</t>
  </si>
  <si>
    <t>semantics, experimental pragmatics, presupposition, factivity, entailment</t>
  </si>
  <si>
    <t>Cognitive vs. emotive factives</t>
  </si>
  <si>
    <t>"There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</si>
  <si>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Boyce, V., Mathur, M., &amp; Frank, M. C. (2023). Eleven years of student replication projects provide evidence on the correlates of replicability in psychology. Royal Society Open Science, 10(11), 231240. https://doi.org/10.1098/rsos.231094</t>
  </si>
  <si>
    <t>Boyce_etal202334_1</t>
  </si>
  <si>
    <t>Boyce_etal202334</t>
  </si>
  <si>
    <t>Dubey, R., &amp; Griffiths, T. L. (2020). Reconciling novelty and complexity through a rational analysis of curiosity. Psychological Review, 127(3), 455.</t>
  </si>
  <si>
    <t>10.1037/rev0000175</t>
  </si>
  <si>
    <t>curiosity, exploration, rational analysis, computational model</t>
  </si>
  <si>
    <t>Reconciling novelty and complexity through a rational analysis of curiosity</t>
  </si>
  <si>
    <t>Information on tags and description are missing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</si>
  <si>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https://doi.org/10.1098/rsos.231095</t>
  </si>
  <si>
    <t>Boyce_etal202335_1</t>
  </si>
  <si>
    <t>Boyce_etal202335</t>
  </si>
  <si>
    <t>Durso, G. R., Briñol, P., &amp; Petty, R. E. (2016). From power to inaction: Ambivalence gives pause to the powerful. Psychological Science, 27(12), 1660-1666.</t>
  </si>
  <si>
    <t>10.1177/0956797616669947</t>
  </si>
  <si>
    <t>10.1177--0956797616669947.pdf</t>
  </si>
  <si>
    <t>power, ambivalence, self-validation, action, decision time, open data</t>
  </si>
  <si>
    <t>Ambivalence gives pause to the powerful</t>
  </si>
  <si>
    <t>"Only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</si>
  <si>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4,5</t>
  </si>
  <si>
    <t>https://osf.io/5ybej/.</t>
  </si>
  <si>
    <t>Boyce, V., Mathur, M., &amp; Frank, M. C. (2023). Eleven years of student replication projects provide evidence on the correlates of replicability in psychology. Royal Society Open Science, 10(11), 231240. https://doi.org/10.1098/rsos.231096</t>
  </si>
  <si>
    <t>Boyce_etal202336_1</t>
  </si>
  <si>
    <t>Boyce_etal202336</t>
  </si>
  <si>
    <t>Endress, A. D., &amp; Hauser, M. D. (2009). Syntax-induced pattern deafness. Proceedings of the National Academy of Sciences, 106(49), 21001-21006.</t>
  </si>
  <si>
    <t>10.1073/pnas.0908963106</t>
  </si>
  <si>
    <t>10.1073--pnas.0908963106.pdf</t>
  </si>
  <si>
    <t>illusions, language acquisition, modularity, perception, syntax</t>
  </si>
  <si>
    <t>Syntax-induced pattern deafness</t>
  </si>
  <si>
    <t>"participants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</si>
  <si>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t (19) = 1.26</t>
  </si>
  <si>
    <t xml:space="preserve">p.1 </t>
  </si>
  <si>
    <t>Boyce, V., Mathur, M., &amp; Frank, M. C. (2023). Eleven years of student replication projects provide evidence on the correlates of replicability in psychology. Royal Society Open Science, 10(11), 231240. https://doi.org/10.1098/rsos.231097</t>
  </si>
  <si>
    <t>participants in Experiment 1 failed to learn the repetition patterns [percentage correct: M  53.0%, SD  10.7%), t (19)  1.26, P  0.05]. There was no difference n performance for AAB as opposed to ABB;</t>
  </si>
  <si>
    <t>calculated based on the data in the paper - [percentage correct: M  53.0%,SD  10.7%), t (19) = 1.26, P  &gt; 0.05]. N = 20</t>
  </si>
  <si>
    <t>Boyce_etal202337_1</t>
  </si>
  <si>
    <t>Boyce_etal202337</t>
  </si>
  <si>
    <t>Exline, J. J., Baumeister, R. F., Zell, A. L., Kraft, A. J., &amp; Witvliet, C. V. (2008). Not so innocent: Does seeing one's own capability for wrongdoing predict forgiveness?. Journal of Personality and Social Psychology, 94(3), 495.</t>
  </si>
  <si>
    <t>10.1037/0022-3514.94.3.495</t>
  </si>
  <si>
    <t>forgiveness, vengefulness, humility, empathy, gender</t>
  </si>
  <si>
    <t>Seeing one's own capability for wrongdoing predicts forgiveness</t>
  </si>
  <si>
    <t>"When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</si>
  <si>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F(1,151)=9.40</t>
  </si>
  <si>
    <t>t. 3</t>
  </si>
  <si>
    <t>F(1,131)=0.018</t>
  </si>
  <si>
    <t>Boyce, V., Mathur, M., &amp; Frank, M. C. (2023). Eleven years of student replication projects provide evidence on the correlates of replicability in psychology. Royal Society Open Science, 10(11), 231240. https://doi.org/10.1098/rsos.231098</t>
  </si>
  <si>
    <t>study 7</t>
  </si>
  <si>
    <t>we examined
whether a more subtle manipulation could be effective.</t>
  </si>
  <si>
    <t>p. 506</t>
  </si>
  <si>
    <t>Boyce_etal202338_1</t>
  </si>
  <si>
    <t>Boyce_etal202338</t>
  </si>
  <si>
    <t>Feinberg, M., &amp; Willer, R. (2013). The moral roots of environmental attitudes. Psychological science, 24(1), 56-62.</t>
  </si>
  <si>
    <t>10.1177/0956797612449177</t>
  </si>
  <si>
    <t>10.1177--0956797612449177.pdf</t>
  </si>
  <si>
    <t>morality, policymaking, personal values, scientific communication</t>
  </si>
  <si>
    <t>moral roots of environmental attitudes</t>
  </si>
  <si>
    <t>"revealed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</si>
  <si>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5,6</t>
  </si>
  <si>
    <t>Boyce_etal202338_b</t>
  </si>
  <si>
    <t>moral roots of environmental attitudes (neutral condition)</t>
  </si>
  <si>
    <t>"and the Neutral Condition × Ideology interactions, β = −0.17, p &lt; .05 "," presenting conservatives with proenvironmental messages couched within a particularly conservative moral domain led them to adopt more proenvironmental attitudes, comparable to those of liberals."</t>
  </si>
  <si>
    <t>−0.17</t>
  </si>
  <si>
    <t>Boyce, V., Mathur, M., &amp; Frank, M. C. (2023). Eleven years of student replication projects provide evidence on the correlates of replicability in psychology. Royal Society Open Science, 10(11), 231240. https://doi.org/10.1098/rsos.231099</t>
  </si>
  <si>
    <t>our findings suggest that reframing environmental messages in terms of purity and
sanctity can reduce or even eliminate the differences in liberal and conservative environmental attitudes.</t>
  </si>
  <si>
    <t>p. 61</t>
  </si>
  <si>
    <t>Boyce_etal202339_1</t>
  </si>
  <si>
    <t>Boyce_etal202339</t>
  </si>
  <si>
    <t>The test statistics reported in the original and replication studies are not clear and requires further validation; study is possibly pregistered but links are not always included in the reports</t>
  </si>
  <si>
    <t>Fischer, P., Schulz-Hardt, S., &amp; Frey, D. (2008). Selective exposure and information quantity: how different information quantities moderate decision makers' preference for consistent and inconsistent information. Journal of personality and social psychology, 94(2), 231.</t>
  </si>
  <si>
    <t>10.1037/0022-3514.94.2.94.2.231</t>
  </si>
  <si>
    <t>information seeking, selective exposure, information quantity, selection criterion, information direction</t>
  </si>
  <si>
    <t>information quantities moderate decision makers' preference for consistent and inconsistent information</t>
  </si>
  <si>
    <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</si>
  <si>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prop:8/26,21/26</t>
  </si>
  <si>
    <t>prop:29/38,33/38</t>
  </si>
  <si>
    <t>Based on the information in the dataset it's impossible to clearly compare the results and calculate statistics, extracted both claims matching the proportion numbers in the dataset</t>
  </si>
  <si>
    <t>The test statistics reported in the original and replication studies are not clear and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</si>
  <si>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https://doi.org/10.1098/rsos.231100</t>
  </si>
  <si>
    <t>study 4</t>
  </si>
  <si>
    <t>indicating that participants in the 2-information condition selected more inconsistent (69%) than
consistent pieces of information (31%), 2 (1, N  26)  3.85, p  .05, whereas participants in the 10-information condition selected significantly more consistent (81%) than inconsistent pieces of nformation (19%), 2 (1, N  26)  9.85, p  .003.</t>
  </si>
  <si>
    <t>Boyce_etal20234_1</t>
  </si>
  <si>
    <t>Boyce_etal20234</t>
  </si>
  <si>
    <t>Atir, S., Rosenzweig, E., &amp; Dunning, D. (2015). When knowledge knows no bounds: Self-perceived expertise predicts claims of impossible knowledge. Psychological Science, 26(8), 1295-1303.</t>
  </si>
  <si>
    <t>10.1177/0956797615588195</t>
  </si>
  <si>
    <t>10.1177--0956797615588195.pdf</t>
  </si>
  <si>
    <t>https://osf.io/d5e7b</t>
  </si>
  <si>
    <t>knowledge level, judgment, inference, thinking, open data</t>
  </si>
  <si>
    <t>Self-perceived expertise predicts claims of impossible knowledge</t>
  </si>
  <si>
    <t>Boyce, V., Mathur, M., &amp; Frank, M. C. (2023). Eleven years of student replication projects provide evidence on the correlates of replicability in psychology. Royal Society Open Science, 10(11), 231240. https://doi.org/10.1098/rsos.231066</t>
  </si>
  <si>
    <t>in Study 1b, self-perceived knowledge of personal finance (M = 4.43, SD = 1.17) positively pre- dicted overclaiming, b = 0.10, t(199) = 13.07, p &lt; .001.</t>
  </si>
  <si>
    <t>t(199) = 13.07</t>
  </si>
  <si>
    <t>p.  190</t>
  </si>
  <si>
    <t>Boyce_etal202340_1</t>
  </si>
  <si>
    <t>Boyce_etal202340</t>
  </si>
  <si>
    <t>Forwood, S. E., Ahern, A., Hollands, G. J., Fletcher, P. C., &amp; Marteau, T. M. (2013). Underestimating calorie content when healthy foods are present: an averaging effect or a reference-dependent anchoring effect?. Plos one, 8(8), e71475.</t>
  </si>
  <si>
    <t>10.1371/journal.pone.0071475</t>
  </si>
  <si>
    <t>negative calorie illusion.</t>
  </si>
  <si>
    <t>calorie content, negative calorie illusion, healthy, food</t>
  </si>
  <si>
    <t>Underestimating calorie content when healthy foods are present: an averaging effect or a reference-dependent anchoring effect (reference food on calorie estimates)</t>
  </si>
  <si>
    <t>"a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</si>
  <si>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F(1,431) = 5.24</t>
  </si>
  <si>
    <t>Boyce_etal202340_b</t>
  </si>
  <si>
    <t>Underestimating calorie content when healthy foods are present: an averaging effect or a reference-dependent anchoring effect</t>
  </si>
  <si>
    <t>"a significant interaction between a healthy side in the reference and a healthy side in the test food on calorie estimates (F(1,431) = 5.24, p = 0.02)"</t>
  </si>
  <si>
    <t>(F(1,431) = 5.24</t>
  </si>
  <si>
    <t>Boyce, V., Mathur, M., &amp; Frank, M. C. (2023). Eleven years of student replication projects provide evidence on the correlates of replicability in psychology. Royal Society Open Science, 10(11), 231240. https://doi.org/10.1098/rsos.231101</t>
  </si>
  <si>
    <t>a cognitive bias that describes the common human tendency to rely too heavily on the first piece of information offered (the “anchor”) when making decisions.</t>
  </si>
  <si>
    <t>a significant effect of healthy side in the reference food on calorie estimates (F(1,431) = 4.63, p = 0.03),</t>
  </si>
  <si>
    <t>F(1,431) = 4.63</t>
  </si>
  <si>
    <t>Boyce_etal202341_1</t>
  </si>
  <si>
    <t>Boyce_etal202341</t>
  </si>
  <si>
    <t>There are few discrepancies that need further validation study is possibly pregistered but links are not always included in the reports</t>
  </si>
  <si>
    <t>Franke, M., &amp; Degen, J. (2016). Reasoning in reference games: Individual-vs. population-level probabilistic modeling. PloS one, 11(5), e0154854.</t>
  </si>
  <si>
    <t>10.1371/journal.pone.0154854</t>
  </si>
  <si>
    <t>probabilistic pragmatics, probabilistic model, reference games, reasoning</t>
  </si>
  <si>
    <t>Individual-vs. population-level probabilistic modeling of reasoning in reference games (simple versus complex implicature situations)</t>
  </si>
  <si>
    <t>"participants made more target choices in simple than in complex implicature situations (β = 1.28, SE = .12, p &lt; .0001) "," what we are calling simple implicatures are indeed simpler than what we are calling complex implicatures."</t>
  </si>
  <si>
    <t>p. 9; bseb=1.28(.12)</t>
  </si>
  <si>
    <t>Boyce_etal202341_b</t>
  </si>
  <si>
    <t>Individual-vs. population-level probabilistic modeling of reasoning in reference games (in complex implicature situations versus on ambiguous filler trials)</t>
  </si>
  <si>
    <t>"made more target choices in complex implicature situations than on ambiguous filler trials (β = .44, SE = .13, p &lt; .001) "," while participants performed similarly on complex and ambiguous trials, they nevertheless performed significantly above chance on complex trials"</t>
  </si>
  <si>
    <t>p. 9; bseb=.44(.13)</t>
  </si>
  <si>
    <t>If you are validating an entry and there are two identical rows, please mark one as "validated - chosen" and one as "validated - discarded"</t>
  </si>
  <si>
    <t>There are a few discrepancies that need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</si>
  <si>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https://doi.org/10.1098/rsos.231102</t>
  </si>
  <si>
    <t>participants made more target choices in simple than in complex implicature situations (β = 1.28, SE = .12, p &lt; .0001),</t>
  </si>
  <si>
    <t>Boyce_etal202342_1</t>
  </si>
  <si>
    <t>Boyce_etal202342</t>
  </si>
  <si>
    <t>There is no sufficient information (test statistics) or report for the original study and replication to code this task</t>
  </si>
  <si>
    <t>Freeman, J., &amp; Simoncelli, E. P. (2011). Metamers of the ventral stream. Nature neuroscience, 14(9), 1195-1201.</t>
  </si>
  <si>
    <t>10.1038/nn.2889</t>
  </si>
  <si>
    <t>metamers, ventral stream, population model, stimuli</t>
  </si>
  <si>
    <t>Metamers of the ventral stream</t>
  </si>
  <si>
    <t>No information to extract statistics in the dataset</t>
  </si>
  <si>
    <t>Boyce, V., Mathur, M., &amp; Frank, M. C. (2023). Eleven years of student replication projects provide evidence on the correlates of replicability in psychology. Royal Society Open Science, 10(11), 231240. https://doi.org/10.1098/rsos.231103</t>
  </si>
  <si>
    <t>Boyce_etal202343_1</t>
  </si>
  <si>
    <t>Boyce_etal202343</t>
  </si>
  <si>
    <t>The closeness has been categorized as far; hence coded as conceptual</t>
  </si>
  <si>
    <t>Fu, A. S., &amp; Markus, H. R. (2014). My mother and me: Why tiger mothers motivate Asian Americans but not European Americans. Personality and Social Psychology Bulletin, 40(6), 739-749.</t>
  </si>
  <si>
    <t>10.1177/0146167214524992</t>
  </si>
  <si>
    <t>10.1177--0146167214524992.pdf</t>
  </si>
  <si>
    <t>culture, motivation, interdependence, academic achievement</t>
  </si>
  <si>
    <t>tiger mothers motivate Asian Americans but not European Americans</t>
  </si>
  <si>
    <t>a significant interaction between culture and condition (mother vs. self) on motivation, F(1, 113) = 6.12, p = .01.</t>
  </si>
  <si>
    <t>F(1, 113) = 6.12</t>
  </si>
  <si>
    <t>p. 744</t>
  </si>
  <si>
    <t>Boyce, V., Mathur, M., &amp; Frank, M. C. (2023). Eleven years of student replication projects provide evidence on the correlates of replicability in psychology. Royal Society Open Science, 10(11), 231240. https://doi.org/10.1098/rsos.231104</t>
  </si>
  <si>
    <t>Boyce_etal202344_1</t>
  </si>
  <si>
    <t>Boyce_etal202344</t>
  </si>
  <si>
    <t>The closeness has been categorized as far; hence coded as conceptual; administrative science discipline categorized as management</t>
  </si>
  <si>
    <t>Help needed to validate the entries study is possibly pregistered but links are not always included in the reports -&gt; coded as conceptual R, took test statistic from claim</t>
  </si>
  <si>
    <t>Galperin, R. V., Hahl, O., Sterling, A. D., &amp; Guo, J. (2020). Too good to hire? Capability and inferences about commitment in labor markets. Administrative Science Quarterly, 65(2), 275-313.</t>
  </si>
  <si>
    <t>10.1177/0001839219840022</t>
  </si>
  <si>
    <t>10.1177--0001839219840022.pdf</t>
  </si>
  <si>
    <t>hiring, signaling, organizational commitment, credentialing, labor markets</t>
  </si>
  <si>
    <t>Capability and inferences about commitment in labor markets</t>
  </si>
  <si>
    <t>By contrast, in the high- commitment conditions, participants randomly assigned to the extremely high-capability condition (N = 53, mean = 6.04, S.D. = 1.18) were more likely to give the candidate an offer (t = − 3.34, d.f. = 105, p = .001, two-tailed test)</t>
  </si>
  <si>
    <t>t(105) = -3.34</t>
  </si>
  <si>
    <t>Effect size value for O copied from Boyce dataset, not sure that it's calculated correctly</t>
  </si>
  <si>
    <t>Help needed to validate the calculated effect sizes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</si>
  <si>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https://doi.org/10.1098/rsos.231105</t>
  </si>
  <si>
    <t>Boyce_etal202345_1</t>
  </si>
  <si>
    <t>Boyce_etal202345</t>
  </si>
  <si>
    <t xml:space="preserve"> study is possibly pregistered but links are not always included in the reports; took o es values from claim</t>
  </si>
  <si>
    <t>García-Castro, J. D., Rodríguez-Bailón, R., &amp; Willis, G. B. (2020). Perceiving economic inequality in everyday life decreases tolerance to inequality. Journal of Experimental Social Psychology, 90, 104019.</t>
  </si>
  <si>
    <t>10.1016/j.jesp.2020.104019</t>
  </si>
  <si>
    <t>economic inequality, everyday life, perceived inequality, tolerance to inequality, attitudes toward redistribution</t>
  </si>
  <si>
    <t>Perceiving economic inequality in everyday life decreases tolerance to inequality (PEIEL condition)</t>
  </si>
  <si>
    <t>Based on our preregistered hypotheses, participants assigned to the PEIEL condition showed higher intolerance of inequality (M = 5.50, 95% CI [5.31, 5.68]) compared to those assigned to the control group (M = 5.18, 95% CI [5.00, 5.37], t(370) = 2.303, p = .022, d = 0.24, 95% CI [0.04, 0.44]).</t>
  </si>
  <si>
    <t>https://osf.io/nsk8h/?view_only=b1e702d061484d1bb4150754892d9197</t>
  </si>
  <si>
    <t>Boyce_etal202345_b</t>
  </si>
  <si>
    <t>Perceiving economic inequality in everyday life decreases tolerance to inequality(control condition)</t>
  </si>
  <si>
    <t>Boyce, V., Mathur, M., &amp; Frank, M. C. (2023). Eleven years of student replication projects provide evidence on the correlates of replicability in psychology. Royal Society Open Science, 10(11), 231240. https://doi.org/10.1098/rsos.231106</t>
  </si>
  <si>
    <t>https://osf.io/krx8m/?view_only=069f8366242e4dccb0309ccf89f88324.</t>
  </si>
  <si>
    <t>Boyce_etal202346_1</t>
  </si>
  <si>
    <t>Boyce_etal202346</t>
  </si>
  <si>
    <t>Gibson, E., Bergen, L., &amp; Piantadosi, S. T. (2013). Rational integration of noisy evidence and prior semantic expectations in sentence interpretation. Proceedings of the National Academy of Sciences, 110(20), 8051-8056.</t>
  </si>
  <si>
    <t>10.1073/pnas.1216438110</t>
  </si>
  <si>
    <t>10.1073--pnas.1216438110.pdf</t>
  </si>
  <si>
    <t>communication, psycholinguistics, rational inference</t>
  </si>
  <si>
    <t>Rational integration of noisy evidence and prior semantic expectations in sentence interpretation</t>
  </si>
  <si>
    <t>Boyce, V., Mathur, M., &amp; Frank, M. C. (2023). Eleven years of student replication projects provide evidence on the correlates of replicability in psychology. Royal Society Open Science, 10(11), 231240. https://doi.org/10.1098/rsos.231107</t>
  </si>
  <si>
    <t>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</si>
  <si>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p. 8054</t>
  </si>
  <si>
    <t>Boyce_etal202347_1</t>
  </si>
  <si>
    <t>Boyce_etal202347</t>
  </si>
  <si>
    <t>Gick, M. L., &amp; Holyoak, K. J. (1983). Schema induction and analogical transfer. Cognitive psychology, 15(1), 1-38.</t>
  </si>
  <si>
    <t>10.1016/0010-0285(83)90002-6</t>
  </si>
  <si>
    <t>analogical transfer, analogical thinking, schema induction</t>
  </si>
  <si>
    <t>Schema induction and analogical transfer</t>
  </si>
  <si>
    <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</si>
  <si>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prop45/73,28/70</t>
  </si>
  <si>
    <t>prop:32/82,13/93</t>
  </si>
  <si>
    <t>the dataset includes only proportions, report is absent, not possible to extract statistics</t>
  </si>
  <si>
    <t>This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</si>
  <si>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https://doi.org/10.1098/rsos.231108</t>
  </si>
  <si>
    <t>Boyce_etal202348_1</t>
  </si>
  <si>
    <t>Boyce_etal202348</t>
  </si>
  <si>
    <t>There is no claim text. Data from the replication table has been used to code this row</t>
  </si>
  <si>
    <t>Goff, P. A., Jackson, M. C., Di Leone, B. A. L., Culotta, C. M., &amp; DiTomasso, N. A. (2014). The essence of innocence: consequences of dehumanizing Black children. Journal of personality and social psychology, 106(4), 526.</t>
  </si>
  <si>
    <t>10.1037/a0035663</t>
  </si>
  <si>
    <t>dehumanization, racial discrimination, police bias, intergroup processes, juvenile justice</t>
  </si>
  <si>
    <t>consequences of dehumanizing Black children</t>
  </si>
  <si>
    <t>statistics extracted from Boyce dataset, original claim not identified, cause I didn;t find the matching statistics in the paper</t>
  </si>
  <si>
    <t>Information on tags and description variables need to be added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</si>
  <si>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https://doi.org/10.1098/rsos.231109</t>
  </si>
  <si>
    <t>Boyce_etal202349_1</t>
  </si>
  <si>
    <t>Boyce_etal202349</t>
  </si>
  <si>
    <t>Gong, X., Zhang, F., &amp; Fung, H. H. (2019). Are older adults more willing to donate? The roles of donation form and social relationship. The Journals of Gerontology: Series B, 74(3), 440-448.</t>
  </si>
  <si>
    <t>10.1093/geronb/gbx099</t>
  </si>
  <si>
    <t>aging, donation, kin selection, prosocial behavior, social discounting</t>
  </si>
  <si>
    <t>Are older adults more willing to donate?</t>
  </si>
  <si>
    <t>"a significant three-way interaction of age × donation form × kinship, F(1,134) = 4.03, p &lt; .05, ηp2 = .03 , suggesting that the age difference could be moderated by kinship and donation form."</t>
  </si>
  <si>
    <t>F(1,134)=4.03</t>
  </si>
  <si>
    <t>F(1,70)=.06</t>
  </si>
  <si>
    <t>Boyce, V., Mathur, M., &amp; Frank, M. C. (2023). Eleven years of student replication projects provide evidence on the correlates of replicability in psychology. Royal Society Open Science, 10(11), 231240. https://doi.org/10.1098/rsos.231110</t>
  </si>
  <si>
    <t>a significant three-way inter- action of age × donation form × kinship, F(1,134) = 4.03, p &lt; .05, ηp 2 = .03 , suggesting that the age difference could be moderated by kinship and donation form.</t>
  </si>
  <si>
    <t>p. 444</t>
  </si>
  <si>
    <t>Boyce_etal20235_1</t>
  </si>
  <si>
    <t>Boyce_etal20235</t>
  </si>
  <si>
    <t>Austerweil, J. L., &amp; Griffiths, T. L. (2011). Seeking confirmation is rational for deterministic hypotheses. Cognitive Science, 35(3), 499-526.</t>
  </si>
  <si>
    <t>10.1111/j.1551-6709.2010.01161.x</t>
  </si>
  <si>
    <t>10.1111--j.1551-6709.2010.01161.x.pdf</t>
  </si>
  <si>
    <t>https://osf.io/9fcjx</t>
  </si>
  <si>
    <t>confirmation bias, rational analysis, hypothesis testing, decision making, bayesian inference, determinism</t>
  </si>
  <si>
    <t>Seeking confirmation is rational for deterministic hypotheses</t>
  </si>
  <si>
    <t>extracation and effect size based on the report, table states that N original is 25, while it's 29 (Experiment 4). Might be excluded based on the report "The present study was not a straightforward replication of the original study. We failed to replicate Austerweil &amp; Griffith’s (2011) key 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</si>
  <si>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Chosen but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</si>
  <si>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https://doi.org/10.1098/rsos.231067</t>
  </si>
  <si>
    <t>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</si>
  <si>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X2(2) = 8.14</t>
  </si>
  <si>
    <t>p. 519</t>
  </si>
  <si>
    <t>Boyce_etal202350_1</t>
  </si>
  <si>
    <t>Boyce_etal202350</t>
  </si>
  <si>
    <t>Gray, H. M., Gray, K., &amp; Wegner, D. M. (2007). Dimensions of mind perception. science, 315(5812), 619-619.</t>
  </si>
  <si>
    <t>10.1126/science.1134475</t>
  </si>
  <si>
    <t>10.1126--science.1134475.pdf</t>
  </si>
  <si>
    <t>dimension, mind perception</t>
  </si>
  <si>
    <t>the dataset doesn't include statistics, report is absent</t>
  </si>
  <si>
    <t>Boyce, V., Mathur, M., &amp; Frank, M. C. (2023). Eleven years of student replication projects provide evidence on the correlates of replicability in psychology. Royal Society Open Science, 10(11), 231240. https://doi.org/10.1098/rsos.231111</t>
  </si>
  <si>
    <t>Boyce_etal202351_1</t>
  </si>
  <si>
    <t>Boyce_etal202351</t>
  </si>
  <si>
    <t>Gray, K., Ward, A. F., &amp; Norton, M. I. (2014). Paying it forward: generalized reciprocity and the limits of generosity. Journal of experimental psychology: General, 143(1), 247.</t>
  </si>
  <si>
    <t>10.1037/a0031047</t>
  </si>
  <si>
    <t>4b</t>
  </si>
  <si>
    <t>morality, gratitude, evolution, victims, altruism</t>
  </si>
  <si>
    <t>generalized reciprocity and the limits of generosity</t>
  </si>
  <si>
    <t>"the predicted interaction effect, F(1, 161) = 7.00, p &lt; .01, on the number of good tasks given "," provide evidence that the tendency to symmetrically pay forward greed stems from negative affect"</t>
  </si>
  <si>
    <t>Test statistics are not written in their complete form. This applies to all the test statistics highlighted in red.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</si>
  <si>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https://doi.org/10.1098/rsos.231112</t>
  </si>
  <si>
    <t>F(1, 161) = 7.00</t>
  </si>
  <si>
    <t>p.252</t>
  </si>
  <si>
    <t>Boyce_etal202352_1</t>
  </si>
  <si>
    <t>Boyce_etal202352</t>
  </si>
  <si>
    <t>The discipline variable coded as "social psychology" instead of "other-psych" as indicated in the replication table</t>
  </si>
  <si>
    <t>Help needed to harmonize the entries study is possibly pregistered but links are not always included in the reports</t>
  </si>
  <si>
    <t>Greenberg, A. E., &amp; Spiller, S. A. (2016). Opportunity cost neglect attenuates the effect of choices on preferences. Psychological science, 27(1), 103-113.</t>
  </si>
  <si>
    <t>10.1177/0956797615608267</t>
  </si>
  <si>
    <t>10.1177--0956797615608267.pdf</t>
  </si>
  <si>
    <t>opportunity costs, choices, preferences, open data, open materials</t>
  </si>
  <si>
    <t>Opportunity cost neglect attenuates the effect of choices on preferences</t>
  </si>
  <si>
    <t>"The test of interest is the interaction. Controlling for prechoice spread, the degree to which postchoice spread varied with the proportion of options chosen depended on whether opportunity costs were explicit at the time of choice."</t>
  </si>
  <si>
    <t>t(96)=2.310</t>
  </si>
  <si>
    <t>t. 1/ p. 3</t>
  </si>
  <si>
    <t>Boyce, V., Mathur, M., &amp; Frank, M. C. (2023). Eleven years of student replication projects provide evidence on the correlates of replicability in psychology. Royal Society Open Science, 10(11), 231240. https://doi.org/10.1098/rsos.231113</t>
  </si>
  <si>
    <t>test whether the effect of opportunity cost consideration on spread was driven by the salience of opportunity costs at the time of choice or at the time of evaluations,</t>
  </si>
  <si>
    <t>p.105</t>
  </si>
  <si>
    <t>Boyce_etal202353_1</t>
  </si>
  <si>
    <t>Boyce_etal202353</t>
  </si>
  <si>
    <t>Greene, J. D., Morelli, S. A., Lowenberg, K., Nystrom, L. E., &amp; Cohen, J. D. (2008). Cognitive load selectively interferes with utilitarian moral judgment. Cognition, 107(3), 1144-1154.</t>
  </si>
  <si>
    <t>10.1016/j.cognition.2007.11.004</t>
  </si>
  <si>
    <t>moral judgment, morality, utilitarian, cognitive control, cognitive load</t>
  </si>
  <si>
    <t>Cognitive load selectively interferes with utilitarian moral judgment</t>
  </si>
  <si>
    <t>"we observed the predicted interaction between load and judgment (F(1, 62.9) = 8.5, p = .005) "," Cognitive load selectively increased RT for utilitarian judgment, yielding the predicted interaction between load and judgment type."</t>
  </si>
  <si>
    <t>6,8</t>
  </si>
  <si>
    <t>F(1,62.9)=8.5</t>
  </si>
  <si>
    <t>No statistics and report for replication</t>
  </si>
  <si>
    <t>Boyce, V., Mathur, M., &amp; Frank, M. C. (2023). Eleven years of student replication projects provide evidence on the correlates of replicability in psychology. Royal Society Open Science, 10(11), 231240. https://doi.org/10.1098/rsos.231114</t>
  </si>
  <si>
    <t>we observed the predicted interaction between load and judgment (F(1, 62.9) = 8.5, p = .005).</t>
  </si>
  <si>
    <t>F(1, 62.9) = 8.5</t>
  </si>
  <si>
    <t>p.1149</t>
  </si>
  <si>
    <t>Boyce_etal202354_1</t>
  </si>
  <si>
    <t>Boyce_etal202354</t>
  </si>
  <si>
    <t>"Effect size is not applicable to this study" - replication report</t>
  </si>
  <si>
    <t>Griffiths, T. L., &amp; Tenenbaum, J. B. (2006). Optimal predictions in everyday cognition. Psychological science, 17(9), 767-773.</t>
  </si>
  <si>
    <t>10.1111/j.1467-9280.2006.01780.x</t>
  </si>
  <si>
    <t>10.1111--j.1467-9280.2006.01780.x.pdf</t>
  </si>
  <si>
    <t>cognitive judgements, optimal predictions, perception, memory</t>
  </si>
  <si>
    <t>Optimal predictions in everyday cognition</t>
  </si>
  <si>
    <t>Boyce, V., Mathur, M., &amp; Frank, M. C. (2023). Eleven years of student replication projects provide evidence on the correlates of replicability in psychology. Royal Society Open Science, 10(11), 231240. https://doi.org/10.1098/rsos.231115</t>
  </si>
  <si>
    <t>Boyce_etal202355_1</t>
  </si>
  <si>
    <t>Boyce_etal202355</t>
  </si>
  <si>
    <t>Haimovitz, K., &amp; Dweck, C. S. (2016). What predicts children’s fixed and growth intelligence mind-sets? Not their parents’ views of intelligence but their parents’ views of failure. Psychological science, 27(6), 859-869.</t>
  </si>
  <si>
    <t>10.1177/0956797616639727</t>
  </si>
  <si>
    <t>academic achievement, childhood development, educational psychology, motivation, open materials</t>
  </si>
  <si>
    <t>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</si>
  <si>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 </t>
  </si>
  <si>
    <t>9,10</t>
  </si>
  <si>
    <t>t(131) = 3.246</t>
  </si>
  <si>
    <t>https://github.com/vboyce/251-254-MA/blob/main/data/processed_data.csv column rep_d_calc (haimovitz2016_1)</t>
  </si>
  <si>
    <t>These are two separate entries treated the same; Hence requires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</si>
  <si>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https://doi.org/10.1098/rsos.231116</t>
  </si>
  <si>
    <t>haimovitz2016_1</t>
  </si>
  <si>
    <t>Boyce_etal202355_b</t>
  </si>
  <si>
    <t>Boyce, V., Mathur, M., &amp; Frank, M. C. (2023). Eleven years of student replication projects provide evidence on the correlates of replicability in psychology. Royal Society Open Science, 10(11), 231240. https://doi.org/10.1098/rsos.231117</t>
  </si>
  <si>
    <t>haimovitz2016_2</t>
  </si>
  <si>
    <t>https://github.com/vboyce/251-254-MA/blob/main/data/processed_data.csv column rep_d_calc (haimovitz2016_2)</t>
  </si>
  <si>
    <t>Boyce_etal202356_1</t>
  </si>
  <si>
    <t>Boyce_etal202356</t>
  </si>
  <si>
    <t>Boyce_etal202357_1</t>
  </si>
  <si>
    <t>Boyce_etal202357</t>
  </si>
  <si>
    <t>The test statistics for the original study reported in the replication table cannot be traced in the original study pdf and there is no report to help trace it. Therefore this trask requires validation.</t>
  </si>
  <si>
    <t>Hart, Y., Dillon, M. R., Marantan, A., Cardenas, A. L., Spelke, E., &amp; Mahadevan, L. (2018). The statistical shape of geometric reasoning. Scientific reports, 8(1), 1-12.</t>
  </si>
  <si>
    <t>10.1038/s41598-018-30314-y</t>
  </si>
  <si>
    <t>geometric reasoning, Eclidean, statistics, shape, planar triangles</t>
  </si>
  <si>
    <t>statistical shape of geometric reasoning</t>
  </si>
  <si>
    <t>t(99)=-6.354</t>
  </si>
  <si>
    <t>Statistics for o and r copied from Boyce database, mentioned raw stats not found</t>
  </si>
  <si>
    <t xml:space="preserve"> study is possibly pregistered but links are not always included in the reports; coded as nested due to the experiments being repeated measures</t>
  </si>
  <si>
    <t>Boyce, V., Mathur, M., &amp; Frank, M. C. (2023). Eleven years of student replication projects provide evidence on the correlates of replicability in psychology. Royal Society Open Science, 10(11), 231240. https://doi.org/10.1098/rsos.231118</t>
  </si>
  <si>
    <t>Boyce_etal202358_1</t>
  </si>
  <si>
    <t>Boyce_etal202358</t>
  </si>
  <si>
    <t>coded as nested (within-subjects = yes according to table), study is possibly pregistered but links are not always included in the reports</t>
  </si>
  <si>
    <t>Heck, P. R., Chabris, C. F., Watts, D. J., &amp; Meyer, M. N. (2020). Objecting to experiments even while approving of the policies or treatments they compare. Proceedings of the National Academy of Sciences, 117(32), 18948-18950.</t>
  </si>
  <si>
    <t>10.1073/pnas.2009030117</t>
  </si>
  <si>
    <t>10.1073--pnas.2009030117.pdf</t>
  </si>
  <si>
    <t>A/B Effect</t>
  </si>
  <si>
    <t>field experiments, A/B tests, randomized controlled trials, research ethics, pragmatic trials</t>
  </si>
  <si>
    <t>Objecting to experiments even while approving of the policies or treatments they compare</t>
  </si>
  <si>
    <t>Participants also demonstrated the A/B Effect by rating each A/B test as less appropriate than their average rating of policies (Table 1)</t>
  </si>
  <si>
    <t>https://osf.io/w6qub/</t>
  </si>
  <si>
    <t>Help is needed to harmonize the effect sizes of the original study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</si>
  <si>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https://doi.org/10.1098/rsos.231119</t>
  </si>
  <si>
    <t>Boyce_etal202359_1</t>
  </si>
  <si>
    <t>Boyce_etal202359</t>
  </si>
  <si>
    <t>Coded as not nested (t test for 2 samples); study is possibly pregistered but links are not always included in the reports</t>
  </si>
  <si>
    <t>Henderson, M. D., De Liver, Y., &amp; Gollwitzer, P. M. (2008). The effects of an implemental mind-set on attitude strength. Journal of personality and social psychology, 94(3), 396.</t>
  </si>
  <si>
    <t>10.1037/0022-3514.94.3.396 (1)</t>
  </si>
  <si>
    <t>extremity, ambivalence, accessibility, mind-set, attitude strength</t>
  </si>
  <si>
    <t>effects of an implemental mind-set on attitude strength</t>
  </si>
  <si>
    <t>Specific comparisons revealed that the implemental mind-set group evidenced a significantly lower amount of ambivalence  ... compared with the deliberative (M   2.74, SD   0.67), t(80)   2.02, p   .05, d   0.45,</t>
  </si>
  <si>
    <t>p. 401</t>
  </si>
  <si>
    <t>10.1037/0022-3514.94.3.396</t>
  </si>
  <si>
    <t>Boyce, V., Mathur, M., &amp; Frank, M. C. (2023). Eleven years of student replication projects provide evidence on the correlates of replicability in psychology. Royal Society Open Science, 10(11), 231240. https://doi.org/10.1098/rsos.231120</t>
  </si>
  <si>
    <t>attitude ambivalence</t>
  </si>
  <si>
    <t>Boyce_etal20236_1</t>
  </si>
  <si>
    <t>Boyce_etal20236</t>
  </si>
  <si>
    <t>No sufficient information study is possibly pregistered but links are not always included in the reports</t>
  </si>
  <si>
    <t>Balas, B. J. (2006). Texture synthesis and perception: Using computational models to study texture representations in the human visual system. Vision research, 46(3), 299-309.</t>
  </si>
  <si>
    <t>10.1016/j.visres.2005.04.013</t>
  </si>
  <si>
    <t>10.1016--j.visres.2005.04.013.pdf</t>
  </si>
  <si>
    <t>texture, perception, computational vision, natural images</t>
  </si>
  <si>
    <t>texture representations in the human visual system</t>
  </si>
  <si>
    <t>Boyce, V., Mathur, M., &amp; Frank, M. C. (2023). Eleven years of student replication projects provide evidence on the correlates of replicability in psychology. Royal Society Open Science, 10(11), 231240. https://doi.org/10.1098/rsos.231068</t>
  </si>
  <si>
    <t>Boyce_etal202360_1</t>
  </si>
  <si>
    <t>Boyce_etal202360</t>
  </si>
  <si>
    <t>Hernandez, I. A., Silverman, D. M., &amp; Destin, M. (2021). From deficit to benefit: Highlighting lower-SES students' background-specific strengths reinforces their academic persistence. Journal of Experimental Social Psychology, 92, 104080.</t>
  </si>
  <si>
    <t>10.1016/j.jesp.2020.104080</t>
  </si>
  <si>
    <t>socioeconomic status, strengths-based, adversity, academic persistence, motivation</t>
  </si>
  <si>
    <t>Highlighting lower-SES students' background-specific strengths reinforces their academic persistence</t>
  </si>
  <si>
    <t>"These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</si>
  <si>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https://osf.io/7dh3m</t>
  </si>
  <si>
    <t>Boyce, V., Mathur, M., &amp; Frank, M. C. (2023). Eleven years of student replication projects provide evidence on the correlates of replicability in psychology. Royal Society Open Science, 10(11), 231240. https://doi.org/10.1098/rsos.231121</t>
  </si>
  <si>
    <t>Participants randomly assigned to the BSS condition displayed significantly greater endorsement of background-specific strengths than participants in the control conditions</t>
  </si>
  <si>
    <t>Boyce_etal202361_1</t>
  </si>
  <si>
    <t>Boyce_etal202361</t>
  </si>
  <si>
    <t xml:space="preserve"> study is possibly pregistered but links are not always included in the reports; coded as nested (mixed-effects regression) and not reported tails (95% CI is two-tailed but no note on p-values is present for the table)</t>
  </si>
  <si>
    <t>Hopkins, E. J., Weisberg, D. S., &amp; Taylor, J. C. (2016). The seductive allure is a reductive allure: People prefer scientific explanations that contain logically irrelevant reductive information. Cognition, 155, 67-76.</t>
  </si>
  <si>
    <t>10.1016/j.cognition.2016.06.011</t>
  </si>
  <si>
    <t>seductive allure effect</t>
  </si>
  <si>
    <t>explanations, seductive allure, decision making</t>
  </si>
  <si>
    <t>People prefer scientific explanations that contain logically irrelevant reductive information</t>
  </si>
  <si>
    <t>"The primary research questions were whether participants would prefer reductive explanations and whether this would differ by the science of the phenomenon. The regression revealed a significant main effect of explanation level"</t>
  </si>
  <si>
    <t>t. 2</t>
  </si>
  <si>
    <t>The p value tails and nested variables values for the original and replication studies need to be validated further;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</si>
  <si>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https://doi.org/10.1098/rsos.231122</t>
  </si>
  <si>
    <t>reductive explanations</t>
  </si>
  <si>
    <t>whether participants would prefer reductive explanations and whether this would differ by the science of the phenomenon.</t>
  </si>
  <si>
    <t>p.72</t>
  </si>
  <si>
    <t>Boyce_etal202362_1</t>
  </si>
  <si>
    <t>Boyce_etal202362</t>
  </si>
  <si>
    <t>Hughes, M. L., Geraci, L., &amp; De Forrest, R. L. (2013). Aging 5 years in 5 minutes: The effect of taking a memory test on older adults’ subjective age. Psychological Science, 24(12), 2481-2488.</t>
  </si>
  <si>
    <t>10.1177/0956797613494853</t>
  </si>
  <si>
    <t>10.1177--0956797613494853.pdf</t>
  </si>
  <si>
    <t>subjective-aging effect</t>
  </si>
  <si>
    <t>aging, memory, subjective age, context, stereotypes</t>
  </si>
  <si>
    <t>effect of taking a memory test on older adults’ subjective age</t>
  </si>
  <si>
    <t>"Participants felt older after taking a memory test (M = 54.79 years, SD = 16.79) than at baseline (M = 50.04 years, SD = 13.80), t(27) = 2.71, SE = 1.75; d = 0.76, 95% CI = [0.33, 1.18] "," the subjective-aging effect observed in Studies 1 and 2 was replicated in Study 3, which used a constant wording of the subjective-age question."</t>
  </si>
  <si>
    <t>Boyce data set reports 57 participants in O, while 6 were excluded from the analysis. Calculated p for O myself</t>
  </si>
  <si>
    <t>The number of participants for the memory test which was the main focus for this replication was 57. The three participants excluded were for the vocabulary test; therefore, the 51 participants is not correct. study is possibly pregistered but links are not always included in the reports -&gt; -&gt; p-value not reported (CI does not include 0, though); N coded from df (27+2) for pairs of observations</t>
  </si>
  <si>
    <t>Boyce, V., Mathur, M., &amp; Frank, M. C. (2023). Eleven years of student replication projects provide evidence on the correlates of replicability in psychology. Royal Society Open Science, 10(11), 231240. https://doi.org/10.1098/rsos.231123</t>
  </si>
  <si>
    <t>Participants felt older after taking a memory test (M = 54.79 years, SD = 16.79) than at baseline (M = 50.04 years, SD = 13.80), t(27) = 2.71, SE = 1.75; d = 0.76, 95% CI = [0.33, 1.18].</t>
  </si>
  <si>
    <t>Boyce_etal202363_1</t>
  </si>
  <si>
    <t>Boyce_etal202363</t>
  </si>
  <si>
    <t xml:space="preserve"> study is possibly pregistered but links are not always included in the reports; coded as within subjects (nested = yes)</t>
  </si>
  <si>
    <t>Huh, Y. E., Vosgerau, J., &amp; Morewedge, C. K. (2016). More similar but less satisfying: Comparing preferences for and the efficacy of within-and cross-category substitutes for food. Psychological Science, 27(6), 894-903.</t>
  </si>
  <si>
    <t>10.1177/0956797616640705</t>
  </si>
  <si>
    <t>10.1177--0956797616640705.pdf</t>
  </si>
  <si>
    <t>Contrast effect</t>
  </si>
  <si>
    <t>substitution, preferences, satiation, contrast effect, categorization, open data, open materials</t>
  </si>
  <si>
    <t>preferences for and the efficacy of within-and cross-category substitutes for food</t>
  </si>
  <si>
    <t>"participants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</si>
  <si>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3,8</t>
  </si>
  <si>
    <t>Boyce, V., Mathur, M., &amp; Frank, M. C. (2023). Eleven years of student replication projects provide evidence on the correlates of replicability in psychology. Royal Society Open Science, 10(11), 231240. https://doi.org/10.1098/rsos.231124</t>
  </si>
  <si>
    <t>On average, participants expected to enjoy eating the desired foods (M = 3.85, SD = 0.83) more than the cross-category substitutes (M = 3.48, SD = 0.81),</t>
  </si>
  <si>
    <t>Boyce_etal202364_1</t>
  </si>
  <si>
    <t>Boyce_etal202364</t>
  </si>
  <si>
    <t>The claim cannot be traced from the test statistic of the original study in the replication table. There is no sufficient data for the replication study in the replication table to fully code this task</t>
  </si>
  <si>
    <t>This needs to be validated further study is possibly pregistered but links are not always included in the reports</t>
  </si>
  <si>
    <t>Huntington‐Klein, N. (2018). College choice as a collective decision. Economic Inquiry, 56(2), 1202-1219.</t>
  </si>
  <si>
    <t>10.1111/ecin.12470</t>
  </si>
  <si>
    <t>10.1111--ecin.12470.pdf</t>
  </si>
  <si>
    <t>Marginal effecr</t>
  </si>
  <si>
    <t>choice, college, decision, education</t>
  </si>
  <si>
    <t>College choice as a collective decision</t>
  </si>
  <si>
    <t>Parents put more emphasis on the student’s opinion than the student puts on the parent’s opinion, at least for the higher two marginal effects. The difference is especially strong for the change from Dislike to Like.</t>
  </si>
  <si>
    <t>p.1210, Table 2, row "dislike to like", difference</t>
  </si>
  <si>
    <t>bse:b=.061</t>
  </si>
  <si>
    <t>No statistics for R in Boyce data set, d for O calculated by me</t>
  </si>
  <si>
    <t>There is a need to validate the calculated values for the original study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</si>
  <si>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https://doi.org/10.1098/rsos.231125</t>
  </si>
  <si>
    <t>p.1210</t>
  </si>
  <si>
    <t>Boyce_etal202365_1</t>
  </si>
  <si>
    <t>Boyce_etal202365</t>
  </si>
  <si>
    <t>There is no sufficient data for the replication study in the replication table to code this task fully</t>
  </si>
  <si>
    <t>help needed to validate this entry study is possibly pregistered but links are not always included in the reports</t>
  </si>
  <si>
    <t>Jakesch, M., French, M., Ma, X., Hancock, J. T., &amp; Naaman, M. (2019, May). AI-mediated communication: How the perception that profile text was written by AI affects trustworthiness. In Proceedings of the 2019 CHI Conference on Human Factors in Computing Systems (pp. 1-13).</t>
  </si>
  <si>
    <t>10.1145/3290605.3300469</t>
  </si>
  <si>
    <t>10.1145--3290605.3300469.pdf</t>
  </si>
  <si>
    <t>Replicant effect</t>
  </si>
  <si>
    <t>AI-MC, artificial Intelligence, CMC, trust</t>
  </si>
  <si>
    <t>How the perception that profile text was written by AI affects trustworthiness (Control)</t>
  </si>
  <si>
    <t>"None of the main effects were significant predictors; as expected, the treatment did not have a significant effect on the evaluation of “human” pro files. However, in the labeled and primed conditions hosts with AI-like profiles received significantly lower trust rat ings."</t>
  </si>
  <si>
    <t>bseb=0.089(1.434)</t>
  </si>
  <si>
    <t>https://osf.io/qg3m2/registrations</t>
  </si>
  <si>
    <t>bseb=-2.63845(1.747710)</t>
  </si>
  <si>
    <t>Boyce_etal202365_b</t>
  </si>
  <si>
    <t>How the perception that profile text was written by AI affects trustworthiness (Unlabeled)</t>
  </si>
  <si>
    <t>bseb=-3.096(1.981)</t>
  </si>
  <si>
    <t>Boyce_etal202365_c</t>
  </si>
  <si>
    <t>How the perception that profile text was written by AI affects trustworthiness (Labeled)</t>
  </si>
  <si>
    <t>bseb=-4.352(2.135)</t>
  </si>
  <si>
    <t>Boyce_etal202365_d</t>
  </si>
  <si>
    <t>How the perception that profile text was written by AI affects trustworthiness (Primed)</t>
  </si>
  <si>
    <t>bseb=-4.976(2.028)</t>
  </si>
  <si>
    <t>Sample zise in O after exclusion is 208, while in Boyce reported as 108, probably typo. No Size effect and P value reported in R</t>
  </si>
  <si>
    <t>Boyce, V., Mathur, M., &amp; Frank, M. C. (2023). Eleven years of student replication projects provide evidence on the correlates of replicability in psychology. Royal Society Open Science, 10(11), 231240. https://doi.org/10.1098/rsos.231126</t>
  </si>
  <si>
    <t xml:space="preserve">However, in ... primed condition hosts with Al-like profiles received significantly lower trust ratings. </t>
  </si>
  <si>
    <t>https://osf.io/qg3m2/</t>
  </si>
  <si>
    <t>Boyce_etal202366_1</t>
  </si>
  <si>
    <t>Boyce_etal202366</t>
  </si>
  <si>
    <t>Jara-Ettinger, J., Levy, R., Sakel, J., Huanca, T., &amp; Gibson, E. (2022). The origins of the shape bias: Evidence from the Tsimane’. Journal of Experimental Psychology: General.</t>
  </si>
  <si>
    <t>10.1037/xge0001195</t>
  </si>
  <si>
    <t>word learning, shape bias, cross-cultural studies</t>
  </si>
  <si>
    <t>shape bias: Evidence from the Tsimane’</t>
  </si>
  <si>
    <t>"the majority of U.S. adults preferred to generalize the object label by shape (68.75% of choices) over material (28.48% of choices) and color (2.77% of choices) "," that humans generalize object labels based on the features that they believe will be diagnostic of the object’s category"</t>
  </si>
  <si>
    <t>6,7</t>
  </si>
  <si>
    <t>proportion: 99/144</t>
  </si>
  <si>
    <t>proportion</t>
  </si>
  <si>
    <t>https://osf.io/egc9y/</t>
  </si>
  <si>
    <t>proportion: 91/147</t>
  </si>
  <si>
    <t>Boyce, V., Mathur, M., &amp; Frank, M. C. (2023). Eleven years of student replication projects provide evidence on the correlates of replicability in psychology. Royal Society Open Science, 10(11), 231240. https://doi.org/10.1098/rsos.231127</t>
  </si>
  <si>
    <t>https://osf.io/egc9y/.</t>
  </si>
  <si>
    <t>Boyce_etal202367_1</t>
  </si>
  <si>
    <t>Boyce_etal202367</t>
  </si>
  <si>
    <t xml:space="preserve"> study is possibly pregistered but links are not always included in the reports; replaced value from r report with test statistics from o report</t>
  </si>
  <si>
    <t>Jones, L. L., &amp; Estes, Z. (2006). Roosters, robins, and alarm clocks: Aptness and conventionality in metaphor comprehension. Journal of Memory and Language, 55(1), 18-32.</t>
  </si>
  <si>
    <t>10.1016/j.jml.2006.02.004</t>
  </si>
  <si>
    <t>metaphor comprehension, career of metaphor, conventionality, aptness</t>
  </si>
  <si>
    <t>Aptness and conventionality in metaphor comprehension</t>
  </si>
  <si>
    <t>"The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</si>
  <si>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F(1, 59) = 77.05</t>
  </si>
  <si>
    <t>Boyce, V., Mathur, M., &amp; Frank, M. C. (2023). Eleven years of student replication projects provide evidence on the correlates of replicability in psychology. Royal Society Open Science, 10(11), 231240. https://doi.org/10.1098/rsos.231128</t>
  </si>
  <si>
    <t>ease of comprehension</t>
  </si>
  <si>
    <t>Aptness facilitated both the speed and the ease of comprehension. The main effect of Aptness was highly significant in the analyses of ... comprehension times [ F(1, 59) = 77.05, p &lt; .001</t>
  </si>
  <si>
    <t>26,27</t>
  </si>
  <si>
    <t xml:space="preserve"> F(1, 59) = 77.05</t>
  </si>
  <si>
    <t>Boyce_etal202368_1</t>
  </si>
  <si>
    <t>Boyce_etal202368</t>
  </si>
  <si>
    <t>Jordan, J. J., Sommers, R., Bloom, P., &amp; Rand, D. G. (2017). Why do we hate hypocrites? Evidence for a theory of false signaling. Psychological science, 28(3), 356-368.</t>
  </si>
  <si>
    <t>10.1177/0956797616685771</t>
  </si>
  <si>
    <t>10.1177--0956797616685771.pdf</t>
  </si>
  <si>
    <t>moral psychology, condemnation, vignettes, deception, social signaling, open data, open materials</t>
  </si>
  <si>
    <t>Disliking hypocrites (theory of false signaling)</t>
  </si>
  <si>
    <t>"a significant effect of condition, F(2, 448) = 26.48, p &lt; .001, ηp2 = .106 "," This result confirmed our prediction that hypocrites would be seen as worse than liars. It also  demonstrates that people disapprove of false signalers (hypocrites and liars) more than they disapprove of people who commit the same transgressions but do not condemn other people for those transgressions or lie about engaging in them."</t>
  </si>
  <si>
    <t>pairwise comparison was chosen over omnibus test</t>
  </si>
  <si>
    <t>Boyce, V., Mathur, M., &amp; Frank, M. C. (2023). Eleven years of student replication projects provide evidence on the correlates of replicability in psychology. Royal Society Open Science, 10(11), 231240. https://doi.org/10.1098/rsos.231129</t>
  </si>
  <si>
    <t>We followed up with pairwise comparisons and found that hypocrites (M = 32.07, SD = 15.93) were evaluated as worse than liars (M = 36.15, SD = 15.37), mean difference = −4.08, 95% CI = [−7.63, −0.53], t(299) =
−2.26, p = .025, d = −0.26,</t>
  </si>
  <si>
    <t>p.7, 8</t>
  </si>
  <si>
    <t>Boyce_etal202368_b</t>
  </si>
  <si>
    <t>Boyce, V., Mathur, M., &amp; Frank, M. C. (2023). Eleven years of student replication projects provide evidence on the correlates of replicability in psychology. Royal Society Open Science, 10(11), 231240. https://doi.org/10.1098/rsos.231130</t>
  </si>
  <si>
    <t>Pairwise comparisons revealed that traditional hypocrites (M = 34.35, SD = 13.76) were evalu-
ated more negatively than both honest hypocrites (M = 46.62, SD = 14.01), mean difference = −12.28, 95% CI = [−15.41, −9.14], t(301) = −7.69, p &lt; .001, d = −0.88,</t>
  </si>
  <si>
    <t>https://rpubs.com/Lsantos/442792 - recoded to match direction of original</t>
  </si>
  <si>
    <t>Boyce_etal202369_1</t>
  </si>
  <si>
    <t>Boyce_etal202369</t>
  </si>
  <si>
    <t>"a significant effect of condition, F(2, 449) = 35.62, p &lt; .001, ηp2 = .137 "," as predicted, our honest hypocrite manipulation fully eliminated disapproval of 
hypocrisy; honest hypocrites received ratings that were no worse than the ratings of control transgressors."</t>
  </si>
  <si>
    <t>Boyce_etal20237_1</t>
  </si>
  <si>
    <t>Boyce_etal20237</t>
  </si>
  <si>
    <t>The entries are both correct study is possibly pregistered but links are not always included in the reports</t>
  </si>
  <si>
    <t>Belding, J. N., Naufel, K. Z., &amp; Fujita, K. (2015). Using high-level construal and perceptions of changeability to promote self-change over self-protection motives in response to negative feedback. Personality and Social Psychology Bulletin, 41(6), 822-838.</t>
  </si>
  <si>
    <t>10.1177/0146167215580776</t>
  </si>
  <si>
    <t>3A</t>
  </si>
  <si>
    <t>10.1177--0146167215580776.pdf</t>
  </si>
  <si>
    <t>construal level theory, perceived changeability, defensive information processing, self-threat, self-change, health communication</t>
  </si>
  <si>
    <t>Promoting self-change over self-protection motives in response to negative feedback using high-level construal and perceptions and changeability</t>
  </si>
  <si>
    <t>"when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</si>
  <si>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8,9</t>
  </si>
  <si>
    <t>Boyce, V., Mathur, M., &amp; Frank, M. C. (2023). Eleven years of student replication projects provide evidence on the correlates of replicability in psychology. Royal Society Open Science, 10(11), 231240. https://doi.org/10.1098/rsos.231069</t>
  </si>
  <si>
    <t>when one’s risk was portrayed as changeable, high-level construal (M3A = 3.95, SD3A = 1.55) generally increased motivation to get supplementary information relative to low-level construal (M3A = 3.51, SD3A = 1.74), F3A(1, 160) = 7.81, p = .006, d = 0.44 (95% CI = [0.18, 0.70]).</t>
  </si>
  <si>
    <t>p. 829</t>
  </si>
  <si>
    <t>Boyce_etal202370_1</t>
  </si>
  <si>
    <t>Boyce_etal202370</t>
  </si>
  <si>
    <t>Organizational science discipline categorized as management</t>
  </si>
  <si>
    <t xml:space="preserve"> study is possibly pregistered but links are not always included in the reports; coded as conceptual ("far"), chose effect size as identified in R report</t>
  </si>
  <si>
    <t>Kacperczyk, O., &amp; Younkin, P. (2022). A founding penalty: evidence from an audit study on gender, entrepreneurship, and future employment. Organization Science, 33(2), 716-745.</t>
  </si>
  <si>
    <t>10.1287/orsc.2021.1456</t>
  </si>
  <si>
    <t>10.1287--orsc.2021.1456.pdf</t>
  </si>
  <si>
    <t>entrepreneurship, gender inequality, field study</t>
  </si>
  <si>
    <t>A founding penalty: evidence from an audit study on gender, entrepreneurship, and future employment</t>
  </si>
  <si>
    <t>"participants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</si>
  <si>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16,17,18</t>
  </si>
  <si>
    <t>Alisa</t>
  </si>
  <si>
    <t>Boyce, V., Mathur, M., &amp; Frank, M. C. (2023). Eleven years of student replication projects provide evidence on the correlates of replicability in psychology. Royal Society Open Science, 10(11), 231240. https://doi.org/10.1098/rsos.231131</t>
  </si>
  <si>
    <t>Consistent with the audit results, participants gave a significantly stronger (t  2.05, p  0.04) interview recommendation to nonfounders</t>
  </si>
  <si>
    <t>p.730</t>
  </si>
  <si>
    <t>Boyce_etal202371_1</t>
  </si>
  <si>
    <t>Boyce_etal202371</t>
  </si>
  <si>
    <t>Keysar, B., Lin, S., &amp; Barr, D. J. (2003). Limits on theory of mind use in adults. Cognition, 89(1), 25-41.</t>
  </si>
  <si>
    <t>10.1016/s0010-0277(03)00064-7</t>
  </si>
  <si>
    <t>10.1016--s0010-0277(03)00064-7.pdf</t>
  </si>
  <si>
    <t>theory of mind, perspective taking, egocentrism</t>
  </si>
  <si>
    <t>Limits on theory of mind use in adults</t>
  </si>
  <si>
    <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</si>
  <si>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 prop:27/38,0/38</t>
  </si>
  <si>
    <t>prop:13/14,2/14</t>
  </si>
  <si>
    <t>Boyce, V., Mathur, M., &amp; Frank, M. C. (2023). Eleven years of student replication projects provide evidence on the correlates of replicability in psychology. Royal Society Open Science, 10(11), 231240. https://doi.org/10.1098/rsos.231132</t>
  </si>
  <si>
    <t>Boyce_etal202372_1</t>
  </si>
  <si>
    <t>Boyce_etal202372</t>
  </si>
  <si>
    <t>Kim, H., &amp; Markus, H. R. (1999). Deviance or uniqueness, harmony or conformity? A cultural analysis. Journal of personality and social psychology, 77(4), 785.</t>
  </si>
  <si>
    <t>10.1037/0022-3514.77.4.785</t>
  </si>
  <si>
    <t>deviance, uniqueness, harmony, conformity, cultural values</t>
  </si>
  <si>
    <t>Deviance or uniqueness, harmony or conformity?</t>
  </si>
  <si>
    <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</si>
  <si>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d for O copied from Boyce dataset, though I'm not sure that it's correct</t>
  </si>
  <si>
    <t>The d is correct from the double coding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</si>
  <si>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https://doi.org/10.1098/rsos.231133</t>
  </si>
  <si>
    <t>a strong cultural difference for both unique and plural minority subfigures. Planned comparisons showed that liking for the unique subfigures differed between European Americans (M = 5.88, SD = 2.11) and Koreans (M = 3.81, SD = 1.91), t (74) = 4.55, p &lt; 01.</t>
  </si>
  <si>
    <t>p.789</t>
  </si>
  <si>
    <t>Boyce_etal202373_1</t>
  </si>
  <si>
    <t>Boyce_etal202373</t>
  </si>
  <si>
    <t>The double coding are similar; hence both are correct "chosen" study is possibly pregistered but links are not always included in the reports</t>
  </si>
  <si>
    <t>Kiyonaga, A., &amp; Egner, T. (2014). The working memory Stroop effect: When internal representations clash with external stimuli. Psychological science, 25(8), 1619-1629.</t>
  </si>
  <si>
    <t>10.1177/0956797614536739</t>
  </si>
  <si>
    <t>10.1177--0956797614536739.pdf</t>
  </si>
  <si>
    <t>Stroop effect</t>
  </si>
  <si>
    <t>working memory, short-term memory, visual attention, selective attention, open materials</t>
  </si>
  <si>
    <t>working memory Stroop effect</t>
  </si>
  <si>
    <t>"participants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</si>
  <si>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Boyce, V., Mathur, M., &amp; Frank, M. C. (2023). Eleven years of student replication projects provide evidence on the correlates of replicability in psychology. Royal Society Open Science, 10(11), 231240. https://doi.org/10.1098/rsos.231134</t>
  </si>
  <si>
    <t>For both tasks combined, participants were much slower to make the ink-color response in the incongruent condition than in the congruent condition, F(1, 33) = 74.14, p &lt; .001, ηp2 = .69.</t>
  </si>
  <si>
    <t>p. 1622</t>
  </si>
  <si>
    <t>Boyce_etal202374_1</t>
  </si>
  <si>
    <t>Boyce_etal202374</t>
  </si>
  <si>
    <t xml:space="preserve"> study is possibly pregistered but links are not always included in the reports; original study coded as non-nested because oen DV was apparently chosen by condition and participants were in one of the two conditions; also main effect is coded</t>
  </si>
  <si>
    <t>Ko, S. J., Sadler, M. S., &amp; Galinsky, A. D. (2015). The sound of power: Conveying and detecting hierarchical rank through voice. Psychological Science, 26(1), 3-14.</t>
  </si>
  <si>
    <t>10.1177/0956797614553009</t>
  </si>
  <si>
    <t>10.1177--0956797614553009.pdf</t>
  </si>
  <si>
    <t>social cognition, social perception, open data, open materials</t>
  </si>
  <si>
    <t>Conveying and detecting hierarchical rank through voice</t>
  </si>
  <si>
    <t>"a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</si>
  <si>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Boyce, V., Mathur, M., &amp; Frank, M. C. (2023). Eleven years of student replication projects provide evidence on the correlates of replicability in psychology. Royal Society Open Science, 10(11), 231240. https://doi.org/10.1098/rsos.231135</t>
  </si>
  <si>
    <t>We found only a main effect of speaker’s condition, F(1, 55) = 83.67, p &lt; .001</t>
  </si>
  <si>
    <t>F(1, 55) = 83.67</t>
  </si>
  <si>
    <t>F(1,20)=30.932</t>
  </si>
  <si>
    <t>Boyce_etal202375_1</t>
  </si>
  <si>
    <t>Boyce_etal202375</t>
  </si>
  <si>
    <t>Help needed to validate this entry study is possibly pregistered but links are not always included in the reports</t>
  </si>
  <si>
    <t>Konkle, T., &amp; Oliva, A. (2011). Canonical visual size for real-world objects. Journal of Experimental Psychology: human perception and performance, 37(1), 23.</t>
  </si>
  <si>
    <t>10.1037/a0020413</t>
  </si>
  <si>
    <t>canonical perspective, canonical viewpoint, visual size, physical size, object representation</t>
  </si>
  <si>
    <t>Canonical visual size for real-world objects (effect of the size rank of the object on the drawn size of the object)</t>
  </si>
  <si>
    <t>"There was a significant main effect of the size rank of the object on the drawn size of the object (F(7, 391) = 30.1, p &lt; .001, np2 = .35). That is, objects that are small in the world were drawn smaller on the page than objects that are large in the world "," show a clear linear relationship between the drawn size and the size rank (r2 = 0.88, p &lt; .001, collapsing across paper size). Thus, this also demonstrates that the drawn size of an object is proportional to the logarithm of its real-world size."</t>
  </si>
  <si>
    <t>Boyce_etal202375_b</t>
  </si>
  <si>
    <t>Canonical visual size for real-world objects (effect of paper size on drawn size)</t>
  </si>
  <si>
    <t>"There was also a significant effect of paper size on drawn size (F(2, 41) = 70.9, p &lt; .001, np2 = .78), where the average drawn size of objects increased as the paper size increased "," show a clear linear relationship between the drawn size and the size rank (r2 = 0.88, p &lt; .001, collapsing across paper size). Thus, this also demonstrates that the drawn size of an object is proportional to the logarithm of its real-world size."</t>
  </si>
  <si>
    <t>Boyce_etal202375_c</t>
  </si>
  <si>
    <t>Canonical visual size for real-world objects (interaction between the paper size and the effect of the object size)</t>
  </si>
  <si>
    <t>"there was a significant interaction between the paper size and the effect of the object size (F(14, 391) = 4.3, p &lt; .001, np2 = .13). In other words, there was a smaller range of drawn object sizes on the small paper, with progressively greater ranges of drawn sizes on the medium and large paper. "," show a clear linear relationship between the drawn size and the size rank (r2 = 0.88, p &lt; .001, collapsing across paper size). Thus, this also demonstrates that the drawn size of an object is proportional to the logarithm of its real-world size."</t>
  </si>
  <si>
    <t>replication states pear:r=0.9380832,n=1024 for O, but no matching statistics in the paper, hence not possible to extract claim and check reliability. Available statistics extracted from Boyce</t>
  </si>
  <si>
    <t>Boyce, V., Mathur, M., &amp; Frank, M. C. (2023). Eleven years of student replication projects provide evidence on the correlates of replicability in psychology. Royal Society Open Science, 10(11), 231240. https://doi.org/10.1098/rsos.231136</t>
  </si>
  <si>
    <t>Boyce_etal202376_1</t>
  </si>
  <si>
    <t>Boyce_etal202376</t>
  </si>
  <si>
    <t>No statistics for coding study is possibly pregistered but links are not always included in the reports</t>
  </si>
  <si>
    <t>Korman, J., &amp; Khemlani, S. (2020). Teleological generics. Cognition, 200, 104157.</t>
  </si>
  <si>
    <t>10.1016/j.cognition.2019.104157</t>
  </si>
  <si>
    <t>generics, teleology, concepts, principled connections, formal explanations</t>
  </si>
  <si>
    <t>Teleological generics</t>
  </si>
  <si>
    <t>https://osf.io/92qp3/.</t>
  </si>
  <si>
    <t>Boyce, V., Mathur, M., &amp; Frank, M. C. (2023). Eleven years of student replication projects provide evidence on the correlates of replicability in psychology. Royal Society Open Science, 10(11), 231240. https://doi.org/10.1098/rsos.231137</t>
  </si>
  <si>
    <t>https://osf.io/vzmdj</t>
  </si>
  <si>
    <t>Boyce_etal202377_1</t>
  </si>
  <si>
    <t>Boyce_etal202377</t>
  </si>
  <si>
    <t>Kouchaki, M., Dobson, K. S., Waytz, A., &amp; Kteily, N. S. (2018). The link between self-dehumanization and immoral behavior. Psychological science, 29(8), 1234-1246.</t>
  </si>
  <si>
    <t>10.1177/0956797618760784</t>
  </si>
  <si>
    <t>10.1177--0956797618760784.pdf</t>
  </si>
  <si>
    <t>morality, self-dehumanization, repeated dishonesty, open data, preregistered</t>
  </si>
  <si>
    <t>link between self-dehumanization and immoral behavior</t>
  </si>
  <si>
    <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</si>
  <si>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d Orig extracted from Boyce</t>
  </si>
  <si>
    <t>help needed to validate the d chosen from the replication table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</si>
  <si>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https://doi.org/10.1098/rsos.231138</t>
  </si>
  <si>
    <t>marginally lower</t>
  </si>
  <si>
    <t>Participants who recalled an unethical act self-reported marginally lower human capabilities (M = 5.82, SD = 1.11) ... and significantly lower human capabilities compared with those who recalled an ethical act (M = 6.23, SD = 0.65, p = .022).</t>
  </si>
  <si>
    <t>https://osf.io/ebhku/</t>
  </si>
  <si>
    <t>Boyce_etal202378_1</t>
  </si>
  <si>
    <t>Boyce_etal202378</t>
  </si>
  <si>
    <t>Kovács, Á. M., Téglás, E., &amp; Endress, A. D. (2010). The social sense: Susceptibility to others’ beliefs in human infants and adults. Science, 330(6012), 1830-1834.</t>
  </si>
  <si>
    <t>10.1126/science.1190792</t>
  </si>
  <si>
    <t>10.1126--science.1190792.pdf</t>
  </si>
  <si>
    <t>social sense, beliefs, infants, adults</t>
  </si>
  <si>
    <t>Susceptibility to others’ beliefs in human infants and adults</t>
  </si>
  <si>
    <t>"Our critical comparison involves the baseline condition and the condition where only the agent believed that the ball was behind the occluder. Results showed that participants were faster than in the baseline condition when only the agent believed the ball to be behind the occluder [t(23) = 2.42, P = 0.02]. This suggests that they computed the agent’s belief and that this belief influenced their behavior even though it was inconsistent with their own belief."</t>
  </si>
  <si>
    <t>Boyce_etal202379_1</t>
  </si>
  <si>
    <t>Boyce_etal202379</t>
  </si>
  <si>
    <t>There is no sufficient data for the replication study in the replication table to code this task fully. Also, the claim is not clear in the original study.</t>
  </si>
  <si>
    <t>Krauss, S., &amp; Wang, X. T. (2003). The psychology of the Monty Hall problem: discovering psychological mechanisms for solving a tenacious brain teaser. Journal of Experimental Psychology: General, 132(1), 3.</t>
  </si>
  <si>
    <t>10.1037/0096-3445.132.1.3</t>
  </si>
  <si>
    <t>monty hall problem, tenacious brain teaser, mental models, frequency</t>
  </si>
  <si>
    <t>Monty Hall problem: discovering psychological mechanisms for solving a tenacious brain teaser</t>
  </si>
  <si>
    <t>Boyce, V., Mathur, M., &amp; Frank, M. C. (2023). Eleven years of student replication projects provide evidence on the correlates of replicability in psychology. Royal Society Open Science, 10(11), 231240. https://doi.org/10.1098/rsos.231139</t>
  </si>
  <si>
    <t>MA</t>
  </si>
  <si>
    <t>Boyce_etal20238_1</t>
  </si>
  <si>
    <t>Boyce_etal20238</t>
  </si>
  <si>
    <t>help needed to validate the entries study is possibly pregistered but links are not always included in the reports</t>
  </si>
  <si>
    <t>Birch, S. A., &amp; Bloom, P. (2007). The curse of knowledge in reasoning about false beliefs. Psychological Science, 18(5), 382-386.</t>
  </si>
  <si>
    <t>10.1111/j.1467-9280.2007.01909.x</t>
  </si>
  <si>
    <t>10.1111--j.1467-9280.2007.01909.x.pdf</t>
  </si>
  <si>
    <t>https://rpubs.com/lrborchers/450894</t>
  </si>
  <si>
    <t>curse of knowledge, false belief, social cognition, reasoning</t>
  </si>
  <si>
    <t>curse of knowledge (red container versus ignorance condition)</t>
  </si>
  <si>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</si>
  <si>
    <t>3,4</t>
  </si>
  <si>
    <t>Boyce_etal20238_b</t>
  </si>
  <si>
    <t>curse of knowledge (blue container versus ignorance condition)</t>
  </si>
  <si>
    <t>"subjects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</si>
  <si>
    <t>Boyce, V., Mathur, M., &amp; Frank, M. C. (2023). Eleven years of student replication projects provide evidence on the correlates of replicability in psychology. Royal Society Open Science, 10(11), 231240. https://doi.org/10.1098/rsos.231070</t>
  </si>
  <si>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t>
  </si>
  <si>
    <t>p. 384</t>
  </si>
  <si>
    <t>Boyce_etal202380_1</t>
  </si>
  <si>
    <t>Boyce_etal202380</t>
  </si>
  <si>
    <t>Kupor, D. M., Laurin, K., &amp; Levav, J. (2015). Anticipating divine protection? Reminders of god can increase nonmoral risk taking. Psychological science, 26(4), 374-384.</t>
  </si>
  <si>
    <t>10.1177/0956797614563108</t>
  </si>
  <si>
    <t>10.1177--0956797614563108.pdf</t>
  </si>
  <si>
    <t>risk taking, God, religion, risk tolerance</t>
  </si>
  <si>
    <t>Reminders of god can increase nonmoral risk taking</t>
  </si>
  <si>
    <t>"participants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</si>
  <si>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t(99)=2.29</t>
  </si>
  <si>
    <t>Boyce, V., Mathur, M., &amp; Frank, M. C. (2023). Eleven years of student replication projects provide evidence on the correlates of replicability in psychology. Royal Society Open Science, 10(11), 231240. https://doi.org/10.1098/rsos.231140</t>
  </si>
  <si>
    <t>participants in the God condition reported a higher willingness to take risks, b = 0.61, t(99) = 2.29, p = .024,</t>
  </si>
  <si>
    <t>Boyce_etal202381_1</t>
  </si>
  <si>
    <t>Boyce_etal202381</t>
  </si>
  <si>
    <t>Lau, G. P., Kay, A. C., &amp; Spencer, S. J. (2008). Loving those who justify inequality: the effects of system threat on attraction to women who embody benevolent sexist ideals. Psychological Science.</t>
  </si>
  <si>
    <t>10.1111/j.1467-9280.2008.02040.x</t>
  </si>
  <si>
    <t>10.1111--j.1467-9280.2008.02040.x.pdf</t>
  </si>
  <si>
    <t>system threat, benevolent sexist ideals, attraction</t>
  </si>
  <si>
    <t>effects of system threat on attraction to women who embody benevolent sexist ideals</t>
  </si>
  <si>
    <t>"A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</si>
  <si>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F(1,34)=5.89</t>
  </si>
  <si>
    <t>F(1,38)=1.51</t>
  </si>
  <si>
    <t>p for O extracted from Boyce</t>
  </si>
  <si>
    <t>Boyce, V., Mathur, M., &amp; Frank, M. C. (2023). Eleven years of student replication projects provide evidence on the correlates of replicability in psychology. Royal Society Open Science, 10(11), 231240. https://doi.org/10.1098/rsos.231141</t>
  </si>
  <si>
    <t>A 2 (system threat vs. no threat)  2 (benevolent-stereotypic vs. non-benevolent-stereotypic) analysis of variance conducted on the mean ratings of romantic interest revealed a significant two-
way interaction</t>
  </si>
  <si>
    <t>p.21</t>
  </si>
  <si>
    <t>Boyce_etal202382_1</t>
  </si>
  <si>
    <t>Boyce_etal202382</t>
  </si>
  <si>
    <t>Levine, S., Kleiman-Weiner, M., Schulz, L., Tenenbaum, J., &amp; Cushman, F. (2020). The logic of universalization guides moral judgment. Proceedings of the National Academy of Sciences, 117(42), 26158-26169.</t>
  </si>
  <si>
    <t>10.1073/pnas.2014505117</t>
  </si>
  <si>
    <t>10.1073--pnas.2014505117.pdf</t>
  </si>
  <si>
    <t>moral judgment, moral development, universalization</t>
  </si>
  <si>
    <t>The logic of universalization guides moral judgment</t>
  </si>
  <si>
    <t>"subjects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</si>
  <si>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https://aspredicted.org/blind.php?x=fx3kz7</t>
  </si>
  <si>
    <t>prop:19/26,14/25</t>
  </si>
  <si>
    <t>Boyce, V., Mathur, M., &amp; Frank, M. C. (2023). Eleven years of student replication projects provide evidence on the correlates of replicability in psychology. Royal Society Open Science, 10(11), 231240. https://doi.org/10.1098/rsos.231142</t>
  </si>
  <si>
    <t>Study 2a. Preregistration site is http://aspredicted.org/blind.php?x=fx3kz7.
Study 2b. Preregistration site is https://aspredicted.org/blind.php?x=hd589d.
Study 4a. Preregistration site is https://aspredicted.org/blind.php?x=c44jr2.
Study 4b. Preregistration site is http://aspredicted.org/blind.php?
x=at7cs8.</t>
  </si>
  <si>
    <t>Boyce_etal202383_1</t>
  </si>
  <si>
    <t>Boyce_etal202383</t>
  </si>
  <si>
    <t>The t-test statistics for the original study (study 4) presented in the replication table are hard to trace in the replication study to be able to come up with a claim being studied</t>
  </si>
  <si>
    <t>Claim is not clear, es_o was taken from replication report; study is possibly pregistered but links are not always included in the reports</t>
  </si>
  <si>
    <t>Lewis Jr, N. A., &amp; Oyserman, D. (2015). When does the future begin? Time metrics matter, connecting present and future selves. Psychological science, 26(6), 816-825.</t>
  </si>
  <si>
    <t>10.1177/0956797615572231</t>
  </si>
  <si>
    <t>10.1177--0956797615572231.pdf</t>
  </si>
  <si>
    <t>motivation, future, judgment, time, situated cognition, open materials</t>
  </si>
  <si>
    <t>Time metrics matter, connecting present and future selves</t>
  </si>
  <si>
    <t>F(1,115)=7.497 (https://github.com/vboyce/251-254-MA/blob/main/data/processed_data.csv)</t>
  </si>
  <si>
    <t>Matching statistics F(1,115)=7.497 not found in the original paper, values extracted from Boyce.  Report is absent</t>
  </si>
  <si>
    <t>Boyce, V., Mathur, M., &amp; Frank, M. C. (2023). Eleven years of student replication projects provide evidence on the correlates of replicability in psychology. Royal Society Open Science, 10(11), 231240. https://doi.org/10.1098/rsos.231143</t>
  </si>
  <si>
    <t>Boyce_etal202384_1</t>
  </si>
  <si>
    <t>Boyce_etal202384</t>
  </si>
  <si>
    <t>Li, Q., Joo, S. J., Yeatman, J. D., &amp; Reinecke, K. (2020). Controlling for participants’ viewing distance in large-scale, psychophysical online experiments using a virtual chinrest. Scientific reports, 10(1), 1-11.</t>
  </si>
  <si>
    <t>10.1038/s41598-019-57204-1</t>
  </si>
  <si>
    <t>viewing distance, psychophysical, online experiments, virtual chinrest</t>
  </si>
  <si>
    <t>Controlling for participants’ viewing distance in large-scale, psychophysical online experiments using a virtual chinrest</t>
  </si>
  <si>
    <t>"The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</si>
  <si>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taken from replication: https://github.com/vboyce/251-254-MA/blob/main/data/processed_data.csv</t>
  </si>
  <si>
    <t>Boyce, V., Mathur, M., &amp; Frank, M. C. (2023). Eleven years of student replication projects provide evidence on the correlates of replicability in psychology. Royal Society Open Science, 10(11), 231240. https://doi.org/10.1098/rsos.231144</t>
  </si>
  <si>
    <t>Te average visual crowding efects were signifcantly diferent between target eccentricity of 4° (mean=1.61°) and 6° (mean=2.66°), and between participants with (e=4 : 1.90°; e=6°: 3.03 )</t>
  </si>
  <si>
    <t>Boyce_etal202385_1</t>
  </si>
  <si>
    <t>Boyce_etal202385</t>
  </si>
  <si>
    <t>Libby, L. K., Shaeffer, E. M., &amp; Eibach, R. P. (2009). Seeing meaning in action: a bidirectional link between visual perspective and action identification level. Journal of Experimental Psychology: General, 138(4), 503.</t>
  </si>
  <si>
    <t>10.1037/a0016795</t>
  </si>
  <si>
    <t>visual imagery, perspective-taking, action representation, social perception</t>
  </si>
  <si>
    <t>bidirectional link between visual perspective and action identification level</t>
  </si>
  <si>
    <t>"The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</si>
  <si>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Boyce, V., Mathur, M., &amp; Frank, M. C. (2023). Eleven years of student replication projects provide evidence on the correlates of replicability in psychology. Royal Society Open Science, 10(11), 231240. https://doi.org/10.1098/rsos.231145</t>
  </si>
  <si>
    <t>on average, the coefficient for action identification level was significantly different from zero in the predicted direction (M  1.00, SD  0.67), t(10)  4.95, p  .001, d  1.49.</t>
  </si>
  <si>
    <t>p. 512</t>
  </si>
  <si>
    <t>Boyce_etal202386_1</t>
  </si>
  <si>
    <t>Boyce_etal202386</t>
  </si>
  <si>
    <t>Corruptibility was coded as central result</t>
  </si>
  <si>
    <t>help needed to validate the claim; study is possibly pregistered but links are not always included in the reports -&gt; claim validated</t>
  </si>
  <si>
    <t>Lin, C., Adolphs, R., &amp; Alvarez, R. M. (2018). Inferring whether officials are corruptible from looking at their faces. Psychological science, 29(11), 1807-1823.</t>
  </si>
  <si>
    <t>10.1177/0956797618788882</t>
  </si>
  <si>
    <t>10.1177--0956797618788882.pdf</t>
  </si>
  <si>
    <t>face perception, corruption, social attribution, stereotyping, political psychology, open data, pen materials, preregistered</t>
  </si>
  <si>
    <t>Inferring whether officials are corruptible from looking at their faces</t>
  </si>
  <si>
    <t>"Our primary interest in the current study was the extent to which trait inferences from a face were associated with actual corruption records."</t>
  </si>
  <si>
    <t>t. 1</t>
  </si>
  <si>
    <t>https://osf.io/mge8r/</t>
  </si>
  <si>
    <t>Boyce, V., Mathur, M., &amp; Frank, M. C. (2023). Eleven years of student replication projects provide evidence on the correlates of replicability in psychology. Royal Society Open Science, 10(11), 231240. https://doi.org/10.1098/rsos.231146</t>
  </si>
  <si>
    <t>study 1, corruptibility</t>
  </si>
  <si>
    <t>showed that at an individual level, judgments of a face for traits with the same valence were positively correlated</t>
  </si>
  <si>
    <t>Boyce_etal202387_1</t>
  </si>
  <si>
    <t>Boyce_etal202387</t>
  </si>
  <si>
    <t>Liverence, B. M., &amp; Scholl, B. J. (2015). Object persistence enhances spatial navigation: A case study in smartphone vision science. Psychological Science, 26(7), 955-963.</t>
  </si>
  <si>
    <t>10.1177/0956797614547705</t>
  </si>
  <si>
    <t>10.1177--0956797614547705.pdf</t>
  </si>
  <si>
    <t>object persistence, spatial navigation, spatiotemporal continuity, virtual interfaces</t>
  </si>
  <si>
    <t>Object persistence enhances spatial navigation</t>
  </si>
  <si>
    <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</si>
  <si>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Boyce, V., Mathur, M., &amp; Frank, M. C. (2023). Eleven years of student replication projects provide evidence on the correlates of replicability in psychology. Royal Society Open Science, 10(11), 231240. https://doi.org/10.1098/rsos.231147</t>
  </si>
  <si>
    <t>Across all trials, participants were on average 1.41 s faster per trial on slidetransition blocks than on fade-transition blocks (9.27 s vs. 0.68 s, a difference of 15.2%), t(17) = 5.22, p &lt; .001, d = 1.23.</t>
  </si>
  <si>
    <t>p.959</t>
  </si>
  <si>
    <t>Boyce_etal202388_1</t>
  </si>
  <si>
    <t>Boyce_etal202388</t>
  </si>
  <si>
    <t>Livingston, R. W., Rosette, A. S., &amp; Washington, E. F. (2012). Can an agentic Black woman get ahead? The impact of race and interpersonal dominance on perceptions of female leaders. Psychological science, 23(4), 354-358.</t>
  </si>
  <si>
    <t>10.1177/0956797611428079</t>
  </si>
  <si>
    <t>10.1177--0956797611428079.pdf</t>
  </si>
  <si>
    <t>prejudice, racial and ethnic attitudes and relations</t>
  </si>
  <si>
    <t>impact of race and interpersonal dominance on perceptions of female leaders</t>
  </si>
  <si>
    <t>"This main effect was qualified by a significant three-way interaction, F(1, 76) = 11.53, p &lt; .001, η2 = .13 "," This study illustrates the importance of considering both race and gender when examining the impact of agency, and specifically dominance, on leaders’ outcomes."</t>
  </si>
  <si>
    <t>Boyce, V., Mathur, M., &amp; Frank, M. C. (2023). Eleven years of student replication projects provide evidence on the correlates of replicability in psychology. Royal Society Open Science, 10(11), 231240. https://doi.org/10.1098/rsos.231148</t>
  </si>
  <si>
    <t>This main effect was qualified by a significant three-way interaction, F(1, 76) = 11.53, p &lt; .001, η2 = .13.1</t>
  </si>
  <si>
    <t xml:space="preserve"> F(1, 76) = 11.53</t>
  </si>
  <si>
    <t>p.356</t>
  </si>
  <si>
    <t>Boyce_etal202389_1</t>
  </si>
  <si>
    <t>Boyce_etal202389</t>
  </si>
  <si>
    <t>Lloyd, E. P., Hugenberg, K., McConnell, A. R., Kunstman, J. W., &amp; Deska, J. C. (2017). Black and White lies: Race-based biases in deception judgments. Psychological science, 28(8), 1125-1136.</t>
  </si>
  <si>
    <t>10.1177/0956797617705399</t>
  </si>
  <si>
    <t>10.1177--0956797617705399.pdf</t>
  </si>
  <si>
    <t>intergroup dynamics, social perception, prejudice, open data</t>
  </si>
  <si>
    <t>Race-based biases in deception judgments</t>
  </si>
  <si>
    <t>"Participants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</si>
  <si>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Boyce, V., Mathur, M., &amp; Frank, M. C. (2023). Eleven years of student replication projects provide evidence on the correlates of replicability in psychology. Royal Society Open Science, 10(11), 231240. https://doi.org/10.1098/rsos.231149</t>
  </si>
  <si>
    <t>paired samples</t>
  </si>
  <si>
    <t>Participants used the truth response more for Black targets (mean c = 0.48, SD = 0.61, 95% CI = [0.32, 0.64]) than for White targets (mean c = −0.03, SD = 0.60, 95% CI = [−0.19, 0.12]), paired-samples t(57) = 8.30, p &lt; .001, 95% CI for
the difference between means = [0.39, 0.64], d = 1.09.</t>
  </si>
  <si>
    <t>Boyce_etal20239_1</t>
  </si>
  <si>
    <t>Boyce_etal20239</t>
  </si>
  <si>
    <t>N= 225 and not 73 as was pre-coded. This task is similar to a task with a rowid Boyce_etal20238_1; hence should be discarded</t>
  </si>
  <si>
    <t>curse of knowledge</t>
  </si>
  <si>
    <t xml:space="preserve"> t(105)=-2.42</t>
  </si>
  <si>
    <t>Boyce_etal202390_1</t>
  </si>
  <si>
    <t>Boyce_etal202390</t>
  </si>
  <si>
    <t xml:space="preserve"> study is possibly pregistered but links are not always included in the reports; coded as nested due to "repeated-measures ANOVA" being used (O p. 4)</t>
  </si>
  <si>
    <t>Long, B., &amp; Konkle, T. (2017). A familiar-size Stroop effect in the absence of basic-level recognition. Cognition, 168, 234-242.</t>
  </si>
  <si>
    <t>10.1016/j.cognition.2017.06.025</t>
  </si>
  <si>
    <t>Size-Stroop effect</t>
  </si>
  <si>
    <t>object recognition, semantic access, real-world size, stroop effect</t>
  </si>
  <si>
    <t>A familiar-size Stroop effect in the absence of basic-level recognition</t>
  </si>
  <si>
    <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</si>
  <si>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Boyce, V., Mathur, M., &amp; Frank, M. C. (2023). Eleven years of student replication projects provide evidence on the correlates of replicability in psychology. Royal Society Open Science, 10(11), 231240. https://doi.org/10.1098/rsos.231150</t>
  </si>
  <si>
    <t>congruency</t>
  </si>
  <si>
    <t>Overall, we found evidence for a  ... , main effect of congruency, F(1,15) = 14.3, p = 0.002, g2 p = 0.489, Cohen’s d = 0.95,</t>
  </si>
  <si>
    <t>p.237</t>
  </si>
  <si>
    <t>Boyce_etal202391_1</t>
  </si>
  <si>
    <t>Boyce_etal202391</t>
  </si>
  <si>
    <t>- Cohens f value chosen as original ES as reported on p. 5, 
- Nestedness assumed to be not nested, mutiple regression but not explicitly hierarchical (maybe review - see prereg analysis paln here: https://aspredicted.org/yp5az.pdf and reported analysis on p. 5 of original study). 
- ES for replication - no d value reported for the replicaiton in the replication data spreadsheet. COder 1 used the raw replicaiton test stat here THIS MIGHT ACTAULLY BE A REALLY GOOD IDEA FOR OTHER SIMILAR ROWS? (Need to verify that the col U replication_raw_stat in teh replicaiton spreadsheet is in fact referring to what we think it is though!
- Nestedness for replication again assumed unnested
- Study is possibly pregistered but links are not always included in the reports</t>
  </si>
  <si>
    <t>Luttrell, A., Philipp-Muller, A., &amp; Petty, R. E. (2019). Challenging moral attitudes with moral messages. Psychological Science, 30(8), 1136-1150.</t>
  </si>
  <si>
    <t>10.1177/0956797619854706</t>
  </si>
  <si>
    <t>10.1177--0956797619854706.pdf</t>
  </si>
  <si>
    <t>persuasion, morality, attitudes, attitude strength, moral conviction, open data, open materials, preregistered</t>
  </si>
  <si>
    <t>Challenging moral attitudes with moral messages</t>
  </si>
  <si>
    <t>A significant interaction between message type and moral attitude basis, b = −0.27, 95% CI = [−0.42, −0.11], t(410) = −3.34, p &lt; .001, f2 = .03.</t>
  </si>
  <si>
    <t>https://aspredicted.org/yp5az.pdf</t>
  </si>
  <si>
    <t>t(41)=-0.029</t>
  </si>
  <si>
    <t>Maureen Osano, LR, SAJ</t>
  </si>
  <si>
    <t>d for R is NA, d for O extracted from Boyce dataset, original paper used another ES - Cohen's f 2 =0.03</t>
  </si>
  <si>
    <t>Needs further validation 
study is possibly pregistered but links are not always included in the reports</t>
  </si>
  <si>
    <t>Boyce, V., Mathur, M., &amp; Frank, M. C. (2023). Eleven years of student replication projects provide evidence on the correlates of replicability in psychology. Royal Society Open Science, 10(11), 231240. https://doi.org/10.1098/rsos.231151</t>
  </si>
  <si>
    <t>study 1</t>
  </si>
  <si>
    <t>was a significant interaction between message type and moral attitude basis, b = −0.27, 95% CI = [−0.42, −0.11], t(410) = −3.34, p &lt; .001, f2 = .03 (Fig. 1).</t>
  </si>
  <si>
    <r>
      <rPr>
        <rFont val="Calibri"/>
        <sz val="11.0"/>
      </rPr>
      <t xml:space="preserve">Study 1a: https://aspredicted.org/yp5az.pdf
</t>
    </r>
    <r>
      <rPr>
        <rFont val="Calibri"/>
        <color rgb="FFFF0000"/>
        <sz val="11.0"/>
      </rPr>
      <t xml:space="preserve">Study 1b: </t>
    </r>
    <r>
      <rPr>
        <rFont val="Calibri"/>
        <color rgb="FF1155CC"/>
        <sz val="11.0"/>
        <u/>
      </rPr>
      <t>https://aspredicted.org/n3pd9.pdf</t>
    </r>
  </si>
  <si>
    <t>Boyce_etal202392_1</t>
  </si>
  <si>
    <t>Boyce_etal202392</t>
  </si>
  <si>
    <t>- The original effect size is chosen to be the np2 value from the original manuscript. This value requires a partial eta square label (currently just etasq on this sheet) --&gt; corrected
- Study is possibly pregistered but links are not always included in the reports 
- report found here http://rpubs.com/cqing/maddux2008-replication</t>
  </si>
  <si>
    <t>Maddux, W. W., Galinsky, A. D., Cuddy, A. J., &amp; Polifroni, M. (2008). When being a model minority is good... and bad: Realistic threat explains negativity toward Asian Americans. Personality and Social Psychology Bulletin, 34(1), 74-89.</t>
  </si>
  <si>
    <t>10.1177/0146167207309195</t>
  </si>
  <si>
    <t>10.1177--0146167207309195.pdf</t>
  </si>
  <si>
    <t>Asian Americans, model minorities, prejudice, realistic threat, emotions, attitudes</t>
  </si>
  <si>
    <t>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</si>
  <si>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 </t>
  </si>
  <si>
    <t>p. 83</t>
  </si>
  <si>
    <t>Boyce, V., Mathur, M., &amp; Frank, M. C. (2023). Eleven years of student replication projects provide evidence on the correlates of replicability in psychology. Royal Society Open Science, 10(11), 231240. https://doi.org/10.1098/rsos.231152</t>
  </si>
  <si>
    <t>Global affect toward Asian Americans was significantly more negative in the realistic threat condition (partner: Jamal, M = 62.11, SD = 22.91) than in the no realistic threat
condition (partner: Yoshi, M = 78.57, SD = 17.90), F(1, 39) = 6.48, p = .015, η2p = .146 (see Figure 4).</t>
  </si>
  <si>
    <t>F(1, 39) = 6.48</t>
  </si>
  <si>
    <t>Boyce_etal202393_1</t>
  </si>
  <si>
    <t>Boyce_etal202393</t>
  </si>
  <si>
    <t xml:space="preserve">- Claim from coder 2 was chosen as it was specific to the test statistic expressed in the replication spreadsheet. 
- The test statistic for the original study was refined to present the effect size using the F value accurately. 
- The pvalue was reported from the original paper and replaced Coder 1s more specific value that was from the replication database. These values were not discordant but the values from the replication database were favored as per protocol.
- Nestedness was defined as unnested as the subjects were assigned to one income condition only and the results of their perfomrnace in the cog control trials were then compared.  
- Study is possibly pregistered but links are not always included in the reports </t>
  </si>
  <si>
    <t>Mani, A., Mullainathan, S., Shafir, E., &amp; Zhao, J. (2013). Poverty impedes cognitive function. science, 341(6149), 976-980.</t>
  </si>
  <si>
    <t>10.1126/science.1238041</t>
  </si>
  <si>
    <t>10.1126--science.1238041.pdf</t>
  </si>
  <si>
    <r>
      <rPr>
        <rFont val="Arial"/>
        <color theme="1"/>
      </rPr>
      <t xml:space="preserve">poor, poverty, cognitive function, </t>
    </r>
    <r>
      <rPr>
        <rFont val="Arial"/>
        <color rgb="FF00FF00"/>
      </rPr>
      <t>cognitive control</t>
    </r>
  </si>
  <si>
    <t>Poverty impedes cognitive function</t>
  </si>
  <si>
    <t>A two-way analysis of variance revealed a robust interaction between income and condition [cognitive control: F(1,97) = 7.86, P &lt; 0.01].</t>
  </si>
  <si>
    <t>p. 977</t>
  </si>
  <si>
    <t xml:space="preserve"> F(1,97) = 7.86</t>
  </si>
  <si>
    <t>Boyce, V., Mathur, M., &amp; Frank, M. C. (2023). Eleven years of student replication projects provide evidence on the correlates of replicability in psychology. Royal Society Open Science, 10(11), 231240. https://doi.org/10.1098/rsos.231153</t>
  </si>
  <si>
    <t>cognitive control</t>
  </si>
  <si>
    <t>A two-way analysis of variance revealed a robust interaction between income and ... cognitive control: F(1,97) = 7.86, P &lt; 0.01].</t>
  </si>
  <si>
    <t>F(1,97) = 7.8</t>
  </si>
  <si>
    <t>Boyce_etal202394_1</t>
  </si>
  <si>
    <t>Boyce_etal202394</t>
  </si>
  <si>
    <t>- The discrepancy between the N of the different coders was resolved as follows. Coder one suggested n = 30, coder 2 suggested n = 240, the replication project database suggests N = 30. On p. 101 of the original study the follow is reported: "Two hundred forty undergraduates at New York University participated in the study. Each participant was assigned to either the rule-based (RB) or information-integration (II) task, and to one of four training conditions: selection (S), random reception (R), naïve yoked reception (Y1), or aware yoked reception (Y2)." Further - on p. 103 of the original manuscript we see "Three participants (one each in the RB/S, RB/Y2, and II/S conditions) were excluded from further analysis because their overall performance (averaged across blocks) was more than three standard deviations below the mean of their group." Therefore, 120 pp were in the RB task of which 30 were in the RB-S group (one of which was excluded) and 30 were in the RB-R group. This means N = 59 were in the two groups of interest, which also corresponds to the degrees of freedom of 57 in the targeted t-test.  
- Coder 2 used the replicaiton data calculated effect size for the original ES, this was discarded in favor of the test statistic that appeared in the original manuscript.
- Study is possibly pregistered but links are not always included in the reports</t>
  </si>
  <si>
    <t>Markant, D. B., &amp; Gureckis, T. M. (2014). Is it better to select or to receive? Learning via active and passive hypothesis testing. Journal of Experimental Psychology: General, 143(1), 94.</t>
  </si>
  <si>
    <t>10.1037/a0032108</t>
  </si>
  <si>
    <t xml:space="preserve">hypothesis testing, self-directed learning, category learning, Bayesian modeling, hypothesis-dependent sampling bias        </t>
  </si>
  <si>
    <t>Learning via active and passive hypothesis testing</t>
  </si>
  <si>
    <t>In the RB task, the overall accuracy was marginally higher in the S condition than in the R condition, t(57) = 1.82, p = .07.</t>
  </si>
  <si>
    <t>t(57) = 1.82</t>
  </si>
  <si>
    <t>d for O extracted from Boyce, also Boyce states that N O = 30, while the paper states 240</t>
  </si>
  <si>
    <t>Boyce, V., Mathur, M., &amp; Frank, M. C. (2023). Eleven years of student replication projects provide evidence on the correlates of replicability in psychology. Royal Society Open Science, 10(11), 231240. https://doi.org/10.1098/rsos.231154</t>
  </si>
  <si>
    <t>In the RB task, overall accuracy was marginally higher in the S condition than in the R condition, t(57)  1.82, p  .07,</t>
  </si>
  <si>
    <t>Boyce_etal202395_1</t>
  </si>
  <si>
    <t>Boyce_etal202395</t>
  </si>
  <si>
    <t>Metaxa-Kakavouli, D., Wang, K., Landay, J. A., &amp; Hancock, J. (2018, April). Gender-inclusive design: Sense of belonging and bias in web interfaces. In Proceedings of the 2018 CHI Conference on human factors in computing systems (pp. 1-6).</t>
  </si>
  <si>
    <t>10.1145/3173574.3174188</t>
  </si>
  <si>
    <t>10.1145--3173574.3174188.pdf</t>
  </si>
  <si>
    <t xml:space="preserve">gender-inclusive interfaces, web interface psychology, inclusive design, ambient belonging
</t>
  </si>
  <si>
    <t>Sense of belonging and bias in web interfaces (Enrollment Intentions)</t>
  </si>
  <si>
    <t>"In contrast with members of all other groups, women in the masculine condition were less likely to want to enroll in the course, t(108) = 3.20, p = 0.001, d = 0.62 "," Our manipulation check shows similar results to the main measures."</t>
  </si>
  <si>
    <t>Boyce_etal202395_b</t>
  </si>
  <si>
    <t>The claim needs to be validated further study is possibly pregistered but links are not always included in the reports</t>
  </si>
  <si>
    <t>Sense of belonging and bias in web interfaces (Ambient Belonging)</t>
  </si>
  <si>
    <t>"were less likely to feel they would belong in that class, t(108) = 3.47, p &lt; 0.001, d = 0.67 "," Our manipulation check shows similar results to the main measures."</t>
  </si>
  <si>
    <t>Boyce_etal202395_c</t>
  </si>
  <si>
    <t>Sense of belonging and bias in web interfaces (Anticipated Success)</t>
  </si>
  <si>
    <t>"anticipated lesser success if they were to take the course, t(108) = 2.41, p = 0.01, d = 0.47 "," Our manipulation check shows similar results to the main measures."</t>
  </si>
  <si>
    <t>Boyce_etal202395_d</t>
  </si>
  <si>
    <t>Sense of belonging and bias in web interfaces (Self Confidence)</t>
  </si>
  <si>
    <t>"reported lower levels of confidence in their technical abilities relative to others who might take the introductory course, t(108) = 3.18, p = 0.001, d = 0.61; "," Our manipulation check shows similar results to the main measures."</t>
  </si>
  <si>
    <t>Boyce_etal202395_e</t>
  </si>
  <si>
    <t>Sense of belonging and bias in web interfaces (Future CS Study Intentions)</t>
  </si>
  <si>
    <t>"expressed less interest in learning computer science or programming in the long term, t(108) = 3.33, p &lt; 0.001, d = 0.64; "," Our manipulation check shows similar results to the main measures."</t>
  </si>
  <si>
    <t>Boyce_etal202395_f</t>
  </si>
  <si>
    <t>Sense of belonging and bias in web interfaces (Gender-related Anxiety)</t>
  </si>
  <si>
    <t>"and were much more anxious about the way their gender would be perceived in the course, t(108) = −4.57, p &lt; 0.001, d = −0.88 "," Our manipulation check shows similar results to the main measures."</t>
  </si>
  <si>
    <t>Boyce, V., Mathur, M., &amp; Frank, M. C. (2023). Eleven years of student replication projects provide evidence on the correlates of replicability in psychology. Royal Society Open Science, 10(11), 231240. https://doi.org/10.1098/rsos.231155</t>
  </si>
  <si>
    <t>masculine condition</t>
  </si>
  <si>
    <t>In contrast with members of all other groups, women in the masculine condition ... were less likely to feel they would belong in that class, t(108) = 3.47, p &lt; 0.001, d = 0.67;</t>
  </si>
  <si>
    <t>p. 614</t>
  </si>
  <si>
    <t>Boyce_etal202396_1</t>
  </si>
  <si>
    <t>Boyce_etal202396</t>
  </si>
  <si>
    <r>
      <rPr>
        <rFont val="Arial"/>
      </rPr>
      <t xml:space="preserve">PLEASE CHECK ME!!! 
- The replication project dataset does not contain any values for the replication in either the rep_calc_d or the rep_p_calc values (row 149 columns AM and AN), can we still include this study? 
- The apparent discrepancy between the original (N = 400) and replication table (N = 327) sample sizes was resolved as follows. Reviewing the original manuscript, the authors excluded N = 73 participants: "We had to exclude 73 participants who self-identified as "middle of the road” politically". Therefore 400-73 = 327.
- Coder 2 linked the OSF for the original study as the pre-reg - infact Study 2 was not preregistered (see here: </t>
    </r>
    <r>
      <rPr>
        <rFont val="Arial"/>
        <color rgb="FF1155CC"/>
        <u/>
      </rPr>
      <t>https://osf.io/v5xg3view_only=d0fcb2bb73fb4648ad6e3da300505f65)</t>
    </r>
    <r>
      <rPr>
        <rFont val="Arial"/>
      </rPr>
      <t xml:space="preserve"> 
- Study is possibly pregistered but links are not always included in the reports</t>
    </r>
  </si>
  <si>
    <t>Minson, J. A., Chen, F. S., &amp; Tinsley, C. H. (2020). Why won’t you listen to me? Measuring receptiveness to opposing views. Management Science, 66(7), 3069-3094.</t>
  </si>
  <si>
    <t>10.1287/mnsc.2019.3362</t>
  </si>
  <si>
    <t>10.1287--mnsc.2019.3362.pdf</t>
  </si>
  <si>
    <t>negotiations, individual differences, judgment biases, conflict</t>
  </si>
  <si>
    <t>Measuring receptiveness to opposing views</t>
  </si>
  <si>
    <t>Observed a significant relationship between receptiveness and selective exposure (b = −0.27, SE = 0.08, z = −3.29, p &lt; 0.01). Thus increased receptiveness substantially decreased participants’ odds of choosing a same-party versus opposing-party senator.</t>
  </si>
  <si>
    <t>p. 10 + 11</t>
  </si>
  <si>
    <t>No d and p statistics in Boyce, report absent. raw statistics provided bseb=.06(.13). The N o is 400, whle in Boyce it is 327</t>
  </si>
  <si>
    <t>Boyce, V., Mathur, M., &amp; Frank, M. C. (2023). Eleven years of student replication projects provide evidence on the correlates of replicability in psychology. Royal Society Open Science, 10(11), 231240. https://doi.org/10.1098/rsos.231156</t>
  </si>
  <si>
    <t>study 2</t>
  </si>
  <si>
    <t>We observed a significant relationship between receptiveness and selective exposure (b = −0.27, SE = 0.08, z = −3.29, p &lt; 0.01).</t>
  </si>
  <si>
    <t>−0.27</t>
  </si>
  <si>
    <t>https://osf.io/xcg6e/?view_only=d0fcb2bb73fb4648ad6e3da300505f65</t>
  </si>
  <si>
    <t>Boyce_etal202397_1</t>
  </si>
  <si>
    <t>Boyce_etal202397</t>
  </si>
  <si>
    <t>- Replication datasheet contains no values for the replication p-value (cells all NA) and individual report does not report p-values either (https://rpubs.com/alv1nn/677256) 
- Coder 2 notes that d value for replication not found in spreadsheet - this is false, value found by coder 1 confirmed to be accurate. 
- Values tidied to be consistent (i.e. original ES was a beta value and poorly entered by coder 1)
-  Original p value inferred as p&lt;0.05 as the test is reported as "significant" without specific pvalue reporting.
- nested coded as "yes" due to teh use of linear mixed-effects model</t>
  </si>
  <si>
    <t>Mirault, J., Snell, J., &amp; Grainger, J. (2018). You that read wrong again! A transposed-word effect in grammaticality judgments. Psychological Science, 29(12), 1922-1929.</t>
  </si>
  <si>
    <t>10.1177/0956797618806296</t>
  </si>
  <si>
    <t>10.1177--0956797618806296.pdf</t>
  </si>
  <si>
    <t>transposed words, grammaticality judgments, sentence comprehension, parallel word processing, reading, open data, open materials</t>
  </si>
  <si>
    <t>transposed-word effect in grammaticality judgments</t>
  </si>
  <si>
    <t>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</si>
  <si>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p. 1927</t>
  </si>
  <si>
    <t>https://osf.io/uw36p</t>
  </si>
  <si>
    <t>No d and p statistics in Boyce, report present</t>
  </si>
  <si>
    <t>Boyce, V., Mathur, M., &amp; Frank, M. C. (2023). Eleven years of student replication projects provide evidence on the correlates of replicability in psychology. Royal Society Open Science, 10(11), 231240. https://doi.org/10.1098/rsos.231157</t>
  </si>
  <si>
    <t>Participants were significantly slower at classifying transposed-word sequences as being ungrammatical compared with the control sequences, b = 0.03, SE = 0.00, t = 8.57,</t>
  </si>
  <si>
    <t>Boyce_etal202398_1</t>
  </si>
  <si>
    <t>Boyce_etal202398</t>
  </si>
  <si>
    <t>Could not trace the overall or specific claim in the original study from the raw statistics presented in the replication table</t>
  </si>
  <si>
    <t>- Primary claim established based on the original test values being defined in the replication spreadsheet as MSD2:m1=2.54(1.95),m2=.02(2.38), this allowed a direct comparison between groups 2 and 3 to be considered the key replication effect. (see Table 1 p. 86). 
- Based on this the original claim was updated.
- The original pvalue was also drawn from the description of Table 1 as follows: "Means that do not share the same subscript differ at p &lt;.05, using t tests with 64 degrees of freedom.
- Therefore, this p value was used to replace the more detailed value that had been copied form the replication table by coder 1.  
-  Study is possibly pregistered but links are not always included in the reports</t>
  </si>
  <si>
    <t>Monin, B., Sawyer, P. J., &amp; Marquez, M. J. (2008). The rejection of moral rebels: resenting those who do the right thing. Journal of personality and social psychology, 95(1), 76.</t>
  </si>
  <si>
    <t>10.1037/0022-3514.95.1.76</t>
  </si>
  <si>
    <t>moral reproach</t>
  </si>
  <si>
    <t>moral rebels, whistleblowers, implicit moral reproach, resentment, self-affirmation</t>
  </si>
  <si>
    <t>resenting those who do the right thing</t>
  </si>
  <si>
    <t>In terms of attraction: nonaffirmed (obedient) actors liked the rebel significantly less (M  .02) than self-affirmed (self affirm rebels) participants who showed no such rejection of the rebel (M =2.54).</t>
  </si>
  <si>
    <t>p. 87</t>
  </si>
  <si>
    <t>=(0.02-2.54)/SQRT((2.38^2+1.95^2)/2)</t>
  </si>
  <si>
    <t>d and p for O extracted from Boyce, because I was unsure about the replication aim</t>
  </si>
  <si>
    <t>Boyce, V., Mathur, M., &amp; Frank, M. C. (2023). Eleven years of student replication projects provide evidence on the correlates of replicability in psychology. Royal Society Open Science, 10(11), 231240. https://doi.org/10.1098/rsos.231158</t>
  </si>
  <si>
    <t>The placement of affect mea- sures in the rebel control condition did not have a significant impact on any of the variables analyzed below.</t>
  </si>
  <si>
    <t>p.86</t>
  </si>
  <si>
    <t>Boyce_etal202399_1</t>
  </si>
  <si>
    <t>Boyce_etal202399</t>
  </si>
  <si>
    <r>
      <rPr>
        <rFont val="Arial"/>
        <color theme="1"/>
      </rPr>
      <t xml:space="preserve">- The replication ES was calculated in the OR format using values reported for reproducibility. (in favour of the F stat from the second coder). 
- Coder one had recorded the ES from the replication report which was d = 2.0036922440074605, but this was discarded as it did not appear in the original paper. 
- The nested of the replication was set to "yes" as it appears the repeated measures ANOVA was replicated form the original study. 
</t>
    </r>
    <r>
      <rPr>
        <rFont val="Arial"/>
        <strike/>
        <color theme="1"/>
      </rPr>
      <t xml:space="preserve">- The tails of the p's were set to one-tail based on the ANOVA F distribution skew. </t>
    </r>
    <r>
      <rPr>
        <rFont val="Arial"/>
        <color theme="1"/>
      </rPr>
      <t xml:space="preserve">
- REPORT FOUND HERE: https://osf.io/br7up, study is possibly pregistered but links are not always included in the reports. </t>
    </r>
  </si>
  <si>
    <t>Morris, A. L., &amp; Still, M. L. (2008). Now you see it, now you don't: repetition blindness for nonwords. Journal of Experimental Psychology: Learning, Memory, and Cognition, 34(1), 146.</t>
  </si>
  <si>
    <t>10.1037/0278-7393.34.1.146</t>
  </si>
  <si>
    <t>repetition blindness</t>
  </si>
  <si>
    <t>repetition blindness, nonwords, lexical, sublexical, word recognition</t>
  </si>
  <si>
    <t>repetition blindness for nonwords</t>
  </si>
  <si>
    <r>
      <rPr>
        <rFont val="Arial"/>
        <color rgb="FF00FF00"/>
      </rPr>
      <t>Repeated-measures ANOVAs with the factors condition, lexicality, and neighborhood size demonstrated that</t>
    </r>
    <r>
      <rPr>
        <rFont val="Arial"/>
        <color theme="1"/>
      </rPr>
      <t xml:space="preserve"> joint report of words was higher than that for nonwords (51.2% vs. 12.7%), F1(1, 23)  92.34, p &lt; .001 .</t>
    </r>
  </si>
  <si>
    <t>p. 162</t>
  </si>
  <si>
    <t>=(0.512/(1-0.512))/(0.127/(1-0.127))</t>
  </si>
  <si>
    <t>Boyce, V., Mathur, M., &amp; Frank, M. C. (2023). Eleven years of student replication projects provide evidence on the correlates of replicability in psychology. Royal Society Open Science, 10(11), 231240. https://doi.org/10.1098/rsos.231159</t>
  </si>
  <si>
    <t>experiment 6</t>
  </si>
  <si>
    <t>Repeated-measures ANOVAs with the factors condition, lexicality, and neighborhood size demonstrated that joint report of words was higher than that for nonwords (51.2% vs. 12.7%), F1(1, 23)  92.34, ... both ps  .001;</t>
  </si>
  <si>
    <t>F1(1, 23) =92.34</t>
  </si>
  <si>
    <t>bth36_1</t>
  </si>
  <si>
    <t>bth36</t>
  </si>
  <si>
    <t>Corrected citation and doi to the one from the paper
Feedback for Maureen:
- Please better indicate where the effect size comes from. I could not find the value in the paper.
- The original paper was published in psychological science, please thus code the finding as psychology (eg cognitive) and not political science when it is about things such as amygdala activity.
- No claim was coded, please do so (review the instructions if you are unsure and get in touch if there is still something unclear).</t>
  </si>
  <si>
    <r>
      <rPr>
        <rFont val="Calibri"/>
        <sz val="11.0"/>
      </rPr>
      <t xml:space="preserve">Lumian, D. S., &amp; McRae, K. (2017). Preregistered Replication of “Affective Flexibility: Evaluative Processing Goals Shape Amygdala Activity”. Psychological Science, 28(9), 1193-1200. </t>
    </r>
    <r>
      <rPr>
        <rFont val="Calibri"/>
        <color rgb="FF1155CC"/>
        <sz val="11.0"/>
        <u/>
      </rPr>
      <t>https://doi.org/10.1177/0956797617719730</t>
    </r>
  </si>
  <si>
    <t>10.1177/0956797617719730</t>
  </si>
  <si>
    <t>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</si>
  <si>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https://doi.org/10.17605/OSF.IO/BTH36</t>
  </si>
  <si>
    <t>McRae, K., Lumian, D. S., &amp;  T. (2023, September 28). Data. https://doi.org/10.17605/OSF.IO/BTH36</t>
  </si>
  <si>
    <t>10.17605/OSF.IO/BTH36</t>
  </si>
  <si>
    <t>10.17605--osf.io--bth36.pdf</t>
  </si>
  <si>
    <t>Camereretal2016_1</t>
  </si>
  <si>
    <t>uncertain on the original effect size estimate</t>
  </si>
  <si>
    <t>Abeler, J., Falk, A., Goette, L., &amp; Huffman, D. (2011). Reference points and effort provision. American Economic Review, 101(2), 470–492.</t>
  </si>
  <si>
    <t>10.1257/aer.101.2.470</t>
  </si>
  <si>
    <t>Camerer, C. F., Dreber, A., Forsell, E., Ho, T. H., Huber, J., Johannesson, M., ... &amp; Wu, H. (2016). Evaluating replicability of laboratory experiments in economics. Science, 351(6280), 1433-1436.</t>
  </si>
  <si>
    <t>10.1126/science.aaf0918</t>
  </si>
  <si>
    <t>replicate</t>
  </si>
  <si>
    <t>reference points, effort provision</t>
  </si>
  <si>
    <t>If expected earnings are high, subjects work longer and earn more money than if expectations are low</t>
  </si>
  <si>
    <t>Subjects in the HI treatment work significantly more than subjects in the LO treatment. The treatment difference of 1.85 euros is almost half as large as the amount of the treatment manipulation (7 − 3 = 4 euros). [In Table 1]: 1.850**, SE = 0.917, ** p &lt; .05</t>
  </si>
  <si>
    <t>p. 478 &amp; 479</t>
  </si>
  <si>
    <t>p. 479, converted with 1.85/(.917 * sqrt(60*60/120)), as SE can be used to calculate SD from sample size in single predictor regression; matches report in Camerer</t>
  </si>
  <si>
    <t>p. 4, converted with .667/(.474 * sqrt(159*159/318)), as SE can be used to calculate SD from sample size in single predictor regression; matches report in Camerer</t>
  </si>
  <si>
    <t>https://osf.io/v89qn</t>
  </si>
  <si>
    <t>Lukas Wallrich</t>
  </si>
  <si>
    <t>Supplementary Table S1 of the replication article reports the following values: Original (p = 0.046, effect size 0.18, n = 120), Replication (p = 0.160, effect size = 0.08, N = 318). The OSF report (https://osf.io/yjpzs) indicates that the effect they tried to replicate is the one present in the original article Table 1 (p. 479).  1 if HI treatment = 1.850 (0.917). The original reported p-value is &lt;0.05. Thus, I report accordingly. Based on Table 1 of the original research article, I report the effect size (r) using the following formula: SQRT((1.850/0.917)^2 / ((1.850/0.917)^2 + 118)).</t>
  </si>
  <si>
    <t xml:space="preserve"> To contribute data about reproducibility in economics, we replicate 18 studies published in the American Economic Review and the Quarterly Journal of Economics in 2011-2014.</t>
  </si>
  <si>
    <t xml:space="preserve"> Average accumulated earnings </t>
  </si>
  <si>
    <t>effort provision,  average accumulated earnings, real-effort experiment, rational expectations.</t>
  </si>
  <si>
    <t>The accumulated monetary earnings in an experimental card game.</t>
  </si>
  <si>
    <t>"The treatment difference of 1.85 euros is almost half as large as the amount of the treatment manipulation (7 − 3 = 4 euros). The marginal effect compared to effort provision in LO is 25.1 percent. The treatment difference in effort provision is significant in an OLS regression where we compare effort in HI to effort in LO. We regress the accumulated earnings at which a subject stopped on a treatment dummy (see Table 1, column 1)"</t>
  </si>
  <si>
    <t>p .478</t>
  </si>
  <si>
    <t>SQRT((1.850/0.917)^2 / ((1.850/0.917)^2 + 118))</t>
  </si>
  <si>
    <t>Camereretal2016_10</t>
  </si>
  <si>
    <t>Fehr, E., Herz, H., &amp; Wilkening, T. (2013). The lure of authority: Motivation and incentive effects of power. American Economic Review, 103(4), 1325–1359.</t>
  </si>
  <si>
    <t>10.1257/aer.103.4.1325</t>
  </si>
  <si>
    <t>Reluctance to delegate authority</t>
  </si>
  <si>
    <t>authority, power, motivation</t>
  </si>
  <si>
    <t>Individuals often retain authority even when its delegation is in their material interest—suggesting that authority has nonpecuniary consequences for utility.</t>
  </si>
  <si>
    <t>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</si>
  <si>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p. 1347</t>
  </si>
  <si>
    <t>=(0.671/(1-0.671))/(0.413/(1-0.413))</t>
  </si>
  <si>
    <t>p.3 - =(0.6747/(1-0.6747))/(0.4311/(1-0.4311))</t>
  </si>
  <si>
    <t>https://osf.io/fsv82</t>
  </si>
  <si>
    <t>Supplementary Table S1 of the replication article reports the following values: Original (p = 0.011, effect size 0.45, n =  60), Replication (p = 0.026, effect size = 0.31, N = 102). I matched the replication attempt with the results presented in p. 1347 of the original research article. No changes were performed after corroborating the entries with the OSF report (https://osf.io/sw98r).</t>
  </si>
  <si>
    <t>It is the tendency to avoid transferring decision-making power to others.</t>
  </si>
  <si>
    <t>"Recall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</si>
  <si>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(0.671/(1-0.671))/(0.413/(1-0.413))</t>
  </si>
  <si>
    <t>Camereretal2016_11</t>
  </si>
  <si>
    <t>Friedman, D., &amp; Oprea, R. (2012). A continuous dilemma. American Economic Review, 102(1), 337–363.</t>
  </si>
  <si>
    <t>10.1257/aer.102.1.337</t>
  </si>
  <si>
    <t>Cooperation in continuous prisoner's dilemma</t>
  </si>
  <si>
    <t>prisoner dilemma, continuous dilemma, cooperation</t>
  </si>
  <si>
    <t>Capacity to respond rapidly stabilizes cooperation and destabilizes defection in the prisoner’s dilemma.</t>
  </si>
  <si>
    <t>Cooperation prevails in the Continuous treatment, is less than half as common in Grid-8. [Table 2:] median cooperation rate of .893 for continuous and .250 for Grid-8, Mann-Whitney p &lt; .01</t>
  </si>
  <si>
    <t>p. 345</t>
  </si>
  <si>
    <t>median difference</t>
  </si>
  <si>
    <t>p. 345 - note that replication report calculates this as "0.893−0.250 = 0.743", so same formula, different maths</t>
  </si>
  <si>
    <t>https://osf.io/qvc8s</t>
  </si>
  <si>
    <t>Supplementary Table S1 of the replication article reports the following values: Original (p = &lt; 0.001, effect size 0.64, n =  78), Replication (p = 0.004, effect size = 0.44, N = 40). The information available in the replication article does not allow me to stipulate which effect (coefficient) they tried to replicate from the original research article, given that the regression has several parameters. However, the explanation available in Table S2 enabled me to track the results to the ones presented in p. 345-346 and Tables 2-3 of the original research article that establishes "Overall, as can be seen in the bottom row, there is a strong increase in cooperation as we move from One-Shot to Grid-8 to Continuous, and pairwise Mann-Whitney tests applied to by-subject median cooperation rates confirm this ordering at the 1 percent level." In principle, this statement is compatible with the p-value that the replication reported (&lt; 0.001).  I then confirmed this first assessment with the OSF report (https://osf.io/mxrnp).  I will report the effect size for the Median Cooperation rates (and bootstrapped standard errors) reported in Table 2, row = All, of the original research article.</t>
  </si>
  <si>
    <t>Cooperation in a continuous prisoner’s dilemma</t>
  </si>
  <si>
    <t>Prisoner's dilemma, mutual cooperation, decision-making.</t>
  </si>
  <si>
    <t xml:space="preserve">Level of cooperation in the prisoner's dilemma comparing the outcome of two treatment groups "Continuous treatment" and "Grid-8 treatment". </t>
  </si>
  <si>
    <t>"Results are striking. For each parameter set, these rates are all zero in One-Shot, but in Continuous they range from 81 percent (in Hard) to over 93 percent (in Easy). The cooperation rates in Grid-8 are far more heterogeneous, ranging from zero (in Hard) to 75 percent (in Easy). Overall, as can be seen in the bottom row, there is a strong increase in cooperation as we move from One-Shot to Grid-8 to Continuous, and pairwise Mann-Whitney tests applied to by-subject median cooperation rates confirm this ordering at the 1 percent level."</t>
  </si>
  <si>
    <t>(0.893-0.25)/SQRT(((38-1)*0.009^2+(40-1)*0.105^2)/(38+40-2)))</t>
  </si>
  <si>
    <t>Camereretal2016_12</t>
  </si>
  <si>
    <t>Fudenberg, D., Rand, D. G., &amp; Dreber, A. (2012). Slow to anger and fast to forgive: Cooperation in an uncertain world. American Economic Review, 102(2), 720–749.</t>
  </si>
  <si>
    <t>10.1257/aer.102.2.720</t>
  </si>
  <si>
    <t>Leniency in Prisoner's Dilemma</t>
  </si>
  <si>
    <t>prisoner's dilemma, cooperation, forgiveness</t>
  </si>
  <si>
    <t>Subjects cooperate more when game has cooperative equilibria - and benefit from being lenient and forgiving to some extent</t>
  </si>
  <si>
    <t>We see that there is markedly less cooperation when b/c = 1.5 [...] overall (1.5 versus 2, p = 0.001; 1.5 versus 2.5, p &lt; 0.001; 1.5 versus 4, p &lt; 0.001). [...] Cooperation [is] more frequent in treatments where there are coop-
erative equilibria.</t>
  </si>
  <si>
    <t>p. 732-733</t>
  </si>
  <si>
    <t>Table 4: =(0.57/(1-0.57))/(0.83/(1-0.83))</t>
  </si>
  <si>
    <t>p. 19 Camerer et al. 2018 - flipped to be in line with negative original effect</t>
  </si>
  <si>
    <t>https://osf.io/nb4wk</t>
  </si>
  <si>
    <t xml:space="preserve">Supplementary Table S1 of the replication article reports the following values: Original (p =  0.001, effect size 0.30, n =  124), Replication (p =  0.001, effect size = 0.33, N = 128).  Based on the p-value and the information reported in Table S2 of the replication article I matched the replication attempt to the results stipulated in pages 732-733 of the original research article: "We see that there is markedly less cooperation when b/c = 1.5, both in the first round (1.5 versus 2, p = 0.016; 1.5 versus 2.5, p = 0.003; 1.5 versus 4, p = 0.004) and overall (1.5 versus 2, p = 0.001; 1.5 versus 2.5, p &lt; 0.001; 1.5 versus 4, p &lt; 0.001)". Note that the replication attempts is "overall (1.5 versus 2, p = 0.001)" as stipulated in Table S2. After revision, I do not understand how the coefficients reported in Table 1 of the OSF replication report (https://osf.io/kr7sm) for the original research were obtained. I report an effect size based on the coefficients stipulated in Table 3 (p.733) for b/c = 1.5 and b/c = 2 (row ALLD).  </t>
  </si>
  <si>
    <t>We see that there is markedly less cooperation when b/c = 1.5, both in the first round (1.5 versus 2, p = 0.016; 1.5 versus 2.5, p = 0.003; 1.5 versus 4, p = 0.004) and overall (1.5 versus 2, p = 0.001; 1.5 versus 2.5, p &lt; 0.001; 1.5 versus 4, p &lt; 0.001)</t>
  </si>
  <si>
    <t>Prisoner's dilemma, mutual cooperation, decision-making, cooperative equilibria, punishment.</t>
  </si>
  <si>
    <t>The researchers investigate the cost-benefit ratio (b/c) on cooperation levels in repeated interactions.</t>
  </si>
  <si>
    <t>"We see that there is markedly less cooperation when b/c = 1.5, both in the first round (1.5 versus 2, p = 0.016; 1.5 versus 2.5, p = 0.003; 1.5 versus 4, p = 0.004) and overall (1.5 versus 2, p = 0.001; 1.5 versus 2.5, p &lt; 0.001; 1.5 versus 4, p &lt; 0.001)"</t>
  </si>
  <si>
    <t>pp. 732-733</t>
  </si>
  <si>
    <t>=(0.29-0.17)/SQRT(((72-1)*0.06^2+(52-1)*0.06^2)/(72+52-2)))</t>
  </si>
  <si>
    <t>Camereretal2016_13</t>
  </si>
  <si>
    <t>vague details on the comparison test run - no actual test statistics reported</t>
  </si>
  <si>
    <t>Huck, S., Seltzer, A. J., &amp; Wallace, B. (2011). Deferred compensation in multiperiod labor contracts: An experimental test of Lazear’s model. American Economic Review, 101(2), 819–843.</t>
  </si>
  <si>
    <t>10.1257/aer.101.2.819</t>
  </si>
  <si>
    <t>Effect of deferred  compensation  in increasing  effort  and surplus.</t>
  </si>
  <si>
    <t>defered compensation, lazears model, labor contracts</t>
  </si>
  <si>
    <t>If firms can ex ante commit to a wage schedule with deferred compensation, workers should respond by supplying sufficient effort to avoid dismissal.</t>
  </si>
  <si>
    <t>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</si>
  <si>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p. 819 + 838</t>
  </si>
  <si>
    <t>Mean difference</t>
  </si>
  <si>
    <t>p. 839, 54.74  - 21.31</t>
  </si>
  <si>
    <t>https://osf.io/t974m</t>
  </si>
  <si>
    <t xml:space="preserve">Supplementary Table S1 of the replication article reports the following values: Original (p =  0.004, effect size 0.83, n =  120), Replication (p =  0.142, effect size = 0.37, N = 160). The OSF replication report stated that the replication effort is focused on "The ability to pay future deferred compensation increases worker earnings (w2+w3) more when commitment is enforced (fct) compared to non-enforcement (nct)".  This results is presented in Table 3 (p. 839) of the original research article. Therefore, I report an effect size as the difference between the coefficients of FCT and NCT for the W2 + W3 (pence) row. </t>
  </si>
  <si>
    <t>Deferred Compensation, Lazear’s Model, multiperiod environment, dismissal avoidance,  monetary incentives, social preferences, reciprocity.</t>
  </si>
  <si>
    <t>Is the ability to pay future deferred compensation when commitment is enforced (fct) compared to non-enforcement (nct).</t>
  </si>
  <si>
    <t>"The next two, rows show the mean wage offers. Wage offers declined over the session in each treatment. Interestingly there is little difference between stage 1 offers in the FCT and NCT, with both averaging about 20 overall and 15 in the last 10 rounds. There is, however, a big difference in the actual offer (W2 + W3), with much higher wages in the FCT".</t>
  </si>
  <si>
    <t>p. 838</t>
  </si>
  <si>
    <t>Difference Between Means</t>
  </si>
  <si>
    <t>54.74  - 21.31</t>
  </si>
  <si>
    <t>Camereretal2016_14</t>
  </si>
  <si>
    <t>Ifcher, J., &amp; Zarghamee, H. (2011). Happiness and time preference: The effect of positive affect in a random-assignment experiment. American Economic Review, 101(7), 3109–3129.</t>
  </si>
  <si>
    <t>10.1257/aer.101.7.3109</t>
  </si>
  <si>
    <t>Mood and time preference</t>
  </si>
  <si>
    <t>happiness, positive affect, time preference</t>
  </si>
  <si>
    <t>mild positive affect significantly reduces time preference over money</t>
  </si>
  <si>
    <t>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</si>
  <si>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p. 3121</t>
  </si>
  <si>
    <t>https://osf.io/wcvnu</t>
  </si>
  <si>
    <t>In multi-level models, R2 *can* include ICC - and this value seems far too high to be the experimental manipulation alone</t>
  </si>
  <si>
    <t xml:space="preserve">Supplementary Table S1 of the replication article reports the following values: Original (p = 0.031, effect size 0.28, n = 58), Replication (p = 0.933, effect size = -0.01, N = 131). Based on the replication report (https://osf.io/xga9p), I was able to trace the replication attempt to the coefficient reported in Table 3, column 5, treatment row (p. 3121). Therefore, I report the test statistic for this coefficient as reported in the OSF replication report. The replication states that the original sample size is 58 subjects, which is a value reported in the Cluster row for column 5 of Table 3 (p. 3121). However, I do not understand if this refers to a sample size. I am reporting the sample size reported in the replication attempt, although I have not been able to derive or confirm this sample size myself. </t>
  </si>
  <si>
    <t>Effect  of  a  mood-inducing  film  clip  on  time  preference</t>
  </si>
  <si>
    <t xml:space="preserve">Positive affect,  Random-Assignment Experiment, time preference, effect of happiness on time preference, decision-making, emotions. </t>
  </si>
  <si>
    <t>It investigates if a positive affect impacts time preference, where time preference denotes a preference for present over future utility.</t>
  </si>
  <si>
    <t>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 p &lt; .05</t>
  </si>
  <si>
    <t>2.997/1.352</t>
  </si>
  <si>
    <t>Camereretal2016_15</t>
  </si>
  <si>
    <t>Kessler, J. B., &amp; Roth, A. E. (2012). Organ allocation policy and the decision to donate. American Economic Review, 102(5), 2018–2047.</t>
  </si>
  <si>
    <t>10.1257/aer.102.5.2018</t>
  </si>
  <si>
    <t>Registration of organ donors: giving waitlist priority</t>
  </si>
  <si>
    <t>organ donation, decision making, organ allocation</t>
  </si>
  <si>
    <t>An organ allocation policy giving priority on waiting lists to those who previously registered as donors has a significant positive impact on registration.</t>
  </si>
  <si>
    <t>Averaging across the first 15 rounds of the game, the priority condition averaged a donation rate of 74.2 percent while control condition averaged a much lower donation rate of 35.9 percent.</t>
  </si>
  <si>
    <t>p. 2027</t>
  </si>
  <si>
    <t>=(0.742/(1-0.742))/(0.359/(1-0.359))</t>
  </si>
  <si>
    <t>p. 19 Camerer et al. 2018 - we do not report results from the replication report as they do not match anything reported in original study</t>
  </si>
  <si>
    <t>https://osf.io/hsrbu</t>
  </si>
  <si>
    <t xml:space="preserve">Supplementary Table S1 of the replication article reports the following values: Original (p = &lt; 0.001, effect size 0.49, n = 288), Replication (p = 0.016, effect size = 0.34, N = 48). The OSF report (https://osf.io/7edwb) stated that the replication attempt is focused on: "regression 2 in Table 3, the coefficient for “priority” (shows the effect for the between subject rounds 1–15; linear probability model with clustering on subject). The replication states that they have reestimated the original model "including only the two treatments of the replication and only rounds 1-15. This resulted in a p-value of p= 1.631e−18(and az-value of 9.413)". Nonetheless, I report a t-statistic for the priority coefficient of model 2 (second column) as an effect size.  Please note that I was not able to derive from the original article a sample size of 288 as the OSF report states. I still report this value. </t>
  </si>
  <si>
    <t>Effects of different organ donation policies on the registration of organ donors</t>
  </si>
  <si>
    <t>Organ Allocation Policy, decision-making, organ donation, experimental game</t>
  </si>
  <si>
    <t>They investigated the decision to register as an organ donor and how changes in the management of organ waiting lists might impact donations (comparison of the fraction of donors choosing to be a donor between the priority condition treatment and the control condition treatment in rounds 1–15).</t>
  </si>
  <si>
    <t>"Using estimates from regression 2, we find that Priority outperforms Discount and Rebate in the first 15 rounds of the experiment but the 3 are indistinguishable in the second half of the experiment".</t>
  </si>
  <si>
    <t>p. 2030</t>
  </si>
  <si>
    <t>0.383 / 0.041</t>
  </si>
  <si>
    <t>Camereretal2016_16</t>
  </si>
  <si>
    <t xml:space="preserve">Z-values from a Mann-Whitney-U-Test </t>
  </si>
  <si>
    <t>Kirchler, M., Huber, J., &amp; Stöckl, T. (2012). Thar she bursts: Reducing confusion reduces bubbles. American Economic Review, 102(2), 865–883.</t>
  </si>
  <si>
    <t>10.1257/aer.102.2.865</t>
  </si>
  <si>
    <t>bubbles, cash–to–asset value ratio, asset market model, overvaluation</t>
  </si>
  <si>
    <t>High mispricing occurs with a declining fundamental value, while overvaluation emerges when coupled with an increasing C/A ratio.</t>
  </si>
  <si>
    <t>We find high mispricing in treatments with declining FVs [fundamental values], z = −2.402 (T1 vs T2)</t>
  </si>
  <si>
    <t>p.  875</t>
  </si>
  <si>
    <t>p. 875 (.414 - .079)</t>
  </si>
  <si>
    <t>https://osf.io/d5t2b</t>
  </si>
  <si>
    <t>z-scores from Mann-Whitney cannot be converted (or are at least not comparable)</t>
  </si>
  <si>
    <t xml:space="preserve">Supplementary Table S1 of the replication article reports the following values: Original (p =  0.016, effect size 0.66, n = 120), Replication (p = 0.010, effect size = 0.53, N = 220).  The OSF report (https://osf.io/d89fx) stipulates that the replication attempt is centered on "Wilcoxon-Mann-Whitney test on mean RAD between the treatments t1 and t2 with RAD measured on the market level, Table 6, middle of the bottom panel on p. 875".  I verified these results in the original research article. I report the coefficient T1( \+) versus T2(— +) in the RAD column as effect size. However, I was not able to derive the sample size of 120 participants that the OSF document reports. Still, I report this value as a sample size. </t>
  </si>
  <si>
    <t>Mispricing effect in  experimental  asset  markets  under  constant  fundamental value with declining fundamental value</t>
  </si>
  <si>
    <t>stock market, Experimental asset market model, value process, cash–to–asset value ratio, overvaluation, fundamental value.</t>
  </si>
  <si>
    <t>They investigated how the effect of a declining fundamental value (FV) increases mispricing in experimental asset markets (a com-parison of the mean relative absolute deviation (RAD) between treatment 1 (t1) and treatment 2(t2)).</t>
  </si>
  <si>
    <t>"While the results for overvaluation look similar on the aggregate level (with a significant difference of 17.1 percentage points), a closer inspection of Table 6 reveals that overvaluation is very strong in T1( \+) compared to T2(— +) and T3( \=)"</t>
  </si>
  <si>
    <t>p. 875</t>
  </si>
  <si>
    <t>mean coefficient</t>
  </si>
  <si>
    <t>Camereretal2016_17</t>
  </si>
  <si>
    <t>Kogan, S., Kwasnica, A. M., &amp; Weber, R. A. (2011). Coordination in the presence of asset markets. American Economic Review, 101(2), 927–947.</t>
  </si>
  <si>
    <t>10.1257/aer.101.2.927</t>
  </si>
  <si>
    <t>Effects of market communication in a “second-order statistic” coordination game.</t>
  </si>
  <si>
    <t>coordination, asset markets</t>
  </si>
  <si>
    <t>Assess whether markets guide behavior towards more or less efficient equilibria</t>
  </si>
  <si>
    <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</si>
  <si>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p. 940-943</t>
  </si>
  <si>
    <t>ordered probit regression coefficient</t>
  </si>
  <si>
    <t>p. 943</t>
  </si>
  <si>
    <t>https://osf.io/kx5mj</t>
  </si>
  <si>
    <t>Economics papers often use different stars, beware of that (*** = &lt; .01)</t>
  </si>
  <si>
    <t xml:space="preserve">Supplementary Table S1 of the replication article reports the following values: Original (p =  &lt; 0.001, effect size 0.32, n = 126), Replication (p = 0.001, effect size = 0.30, N = 90).  The OSF report (https://osf.io/h3yw6) specified that the replication attempt is centered for the "regression 1 in Table 8, the coefficient for “Market”; ordered probit regression with group random effects and Huber-White standard error". I verified the information in the original research article, and report accordingly a t-statistic for the coefficient for the Market row, column 1 (p. 943). To me, the reported sample size for the original article is nebulous, and I do not understand how it was derived. I report the one stated in the replication report.  </t>
  </si>
  <si>
    <t>"Table 8 reports ordered probit regressions with group random effects, similar to those for Experiment 1. The results show that output in the Market treatment is significantly lower than in the Control treatment in all specifications, and for both Insider and Outsider groups."</t>
  </si>
  <si>
    <t>p. 941</t>
  </si>
  <si>
    <t>−2.739 / 0.651</t>
  </si>
  <si>
    <t>Camereretal2016_18</t>
  </si>
  <si>
    <t>Kuziemko, I., Buell, R. W., Reich, T., &amp; Norton, M. I. (2014). “Last-place aversion”: Evidence and redistributive implications. Quarterly Journal of Economics, 129(1), 105–149.</t>
  </si>
  <si>
    <t>10.1093/qje/qjt035</t>
  </si>
  <si>
    <t>last place aversion, redistribution</t>
  </si>
  <si>
    <t>Last-place aversion suggests that low-income individuals might oppose redistribution because it could differentially help the group just beneath them.</t>
  </si>
  <si>
    <t>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</si>
  <si>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p. 127-128</t>
  </si>
  <si>
    <t>probit beta (marginal change in odds)</t>
  </si>
  <si>
    <t>p. 129</t>
  </si>
  <si>
    <t>https://osf.io/9z5nv</t>
  </si>
  <si>
    <t xml:space="preserve">Supplementary Table S1 of the replication article reports the following values: Original (p =  0.070, effect size 0.28, n = 42), Replication (p = 0.154, effect size = -0.12, N = 144). The replication OSF report (https://osf.io/nd2fk) stipulated that the replication attempt centered in: "Probit regressions with round fixed effects and clustering on individuals and a dummy for subjects ranked 1st and last (as they don’t have parallel choice sets); the coefficient of “Second from last” in regression (1) of Table II, p. 129". This information is presented as described in the original research article. Therefore, I report a t-statistic for the referred coefficient as effect size. </t>
  </si>
  <si>
    <t xml:space="preserve"> Effects of placement in the second-to-last place endowments in money redistribution. </t>
  </si>
  <si>
    <t>Money redistribution, last-place aversion, gambling</t>
  </si>
  <si>
    <t>Investigation of how positioning in second-to-last place endowments affect the probability to allocate money to the person one rank below them in a choice of distributing $2.</t>
  </si>
  <si>
    <t>"Column (1) shows that the second-to-last-place player is significantly less likely to give to the lower-ranked player relative to other players".</t>
  </si>
  <si>
    <t>p. 128</t>
  </si>
  <si>
    <t>-0.116 / 0.064</t>
  </si>
  <si>
    <t>Camereretal2016_2</t>
  </si>
  <si>
    <t>Ambrus, A., &amp; Greiner, B. (2012). Imperfect public monitoring with costly punishment: An experimental study. American Economic Review, 102(7), 3317–3332.</t>
  </si>
  <si>
    <t>10.1257/aer.102.7.3317</t>
  </si>
  <si>
    <t>Effect of punishment depending on monitoring</t>
  </si>
  <si>
    <t>punishment, public monitoring, public good contribution games, cooperation</t>
  </si>
  <si>
    <t>The effects of a costly punishment option on cooperation and social welfare in long, finitely repeated public good contribution games depends on whether monitoring is perfect or imperfect</t>
  </si>
  <si>
    <t>When there is noise in addition to punishment, net payoffs are significantly reduced. [...] Hypothesis F-tests confirm at the 5 percent level that the joint effect of Regular Punishment and Noise × Regular Punishment is negative.</t>
  </si>
  <si>
    <t>p. 3325</t>
  </si>
  <si>
    <t>p. 3324 (.86-3.77)</t>
  </si>
  <si>
    <t>https://osf.io/tpmnq</t>
  </si>
  <si>
    <t>Many p-values from wrong row - be careful w/ tables</t>
  </si>
  <si>
    <t xml:space="preserve">Supplementary Table S1 of the replication article reports the following values: Original (p = 0.057, effect size 0.31, n = 117), Replication (p = 0.160, effect size = 0.08, N = 318). The replication report (https://osf.io/a8c36) specifies that the replication attempt focus on "The focal effect is the sum of the “regular punishment” coefficient and the “noise * regular punishment” coefficient in the last column in Table 2 (p. 3324), an OLS regression of earnings in each period".  These results are presented in rows 3 and 6 (column 5) of Table 2 in the original research article. Therefore I report on those values. Please note that I report the coefficient from Table 1 in the replicator's ODF report as an effect size, given that I was not able to reproduce an effect size of 0.31 (most likely lack of comprehension of how it was calculated by the replication article). </t>
  </si>
  <si>
    <t>Effect of regular punishment and noise in net earnings.</t>
  </si>
  <si>
    <t>Imperfect Public Monitoring, punishment, cooperation, perfect monitoring, punishment technology</t>
  </si>
  <si>
    <t>Is the effect of regular punishment under conditions of imperfect public monitoring (noise) on net earnings in a sequential goods game.</t>
  </si>
  <si>
    <t>"Hypothesis F-tests confirm at the 5 percent level that the joint effect of Regular Punishment and Noise × Regular Punishment is negative, but cannot reject that the joint effect of Strong Punishment and Noise × Strong Punishment is different from zero (p = 0.133)"</t>
  </si>
  <si>
    <t>Camereretal2016_3</t>
  </si>
  <si>
    <t>Bartling, B., Fehr, E., &amp; Schmidt, K. M. (2012). Screening, competition, and job design: Economic origins of good jobs. American Economic Review, 102(2), 834–864.</t>
  </si>
  <si>
    <t>10.1257/aer.102.2.834</t>
  </si>
  <si>
    <t>Screening, Competition, Job design, High-performance work systems,</t>
  </si>
  <si>
    <t>Screening for work attitude and labor market competition are causal determinants of the viability of high-performance work systems</t>
  </si>
  <si>
    <t>The average per-period total surplus is 58 percent higher in the screening treatment [than the control]—a difference that is highly significant (rank-sum test on matching group averages, p = 0.007).</t>
  </si>
  <si>
    <t>p. 854</t>
  </si>
  <si>
    <t>percentage difference</t>
  </si>
  <si>
    <t>https://osf.io/r9xc6</t>
  </si>
  <si>
    <t>Supplementary Table S1 of the replication article reports the following values: Original (p = 0.007, effect size 0.72, n = 216), Replication (p = 0.001, effect size = 0.66, N = 360). The associated replication report (https://osf.io/8esfd) specifies the replication attempt for the difference of the average per period total surplus between base and screening treatment”. This result is stipulated in the original research article p. 854. The replication report indicates an effect of 5.92 for the original article as the difference of average per-period total surplus between the two treatments. Although I could not derive the base and screening treatment values reported in Table 1 of the replication report, this is truly consistent with the   "58 percent higher in the screening treatment" reported in p. 854 of the original research article. Therefore, I report effect size for the original research article based on the estimated effect size in the replication report (values in Table 1 of the replication report).</t>
  </si>
  <si>
    <t>Impact of screening treatment on the employers’ and employees’ average income</t>
  </si>
  <si>
    <t>High-performance work systems, effort productivity, work attitude screening, labor market competition</t>
  </si>
  <si>
    <t>This is how providing employers with information about employees’ past performance influences the wages employers offer, the efforts of employees, and the financial outcomes for both.</t>
  </si>
  <si>
    <t>"Overall, the average per-period total surplus is 58 percent higher in the screening treatment—a difference that is highly significant (rank-sum test on matching group averages, p = 0.007). This increase in the total surplus has two main sources—the higher share of jobs with full discretion and the higher average effort of the employees."</t>
  </si>
  <si>
    <t>Difference of average per-period total surplus between the two treatments.</t>
  </si>
  <si>
    <t>10.25 - 16.17</t>
  </si>
  <si>
    <t>Camereretal2016_4</t>
  </si>
  <si>
    <t>Charness, G., &amp; Dufwenberg, M. (2011). Participation. American Economic Review, 101(4), 1211–1237.</t>
  </si>
  <si>
    <t>10.1257/aer.101.4.1211</t>
  </si>
  <si>
    <t>communication, collaboration, participation</t>
  </si>
  <si>
    <t>Whether communication achieves beneficial social outcomes in a hidden-information context depends crucially on whether low-talent agents can participate in a Pareto-improving outcome.</t>
  </si>
  <si>
    <t>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</si>
  <si>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p. 1219 + 1231</t>
  </si>
  <si>
    <t>=(0.78/(1-0.78))/(0.4/(1-0.4))</t>
  </si>
  <si>
    <t>p. 3, =(0.8056/(1-0.8056))/(0.4483/(1-0.4483))</t>
  </si>
  <si>
    <t>https://osf.io/s5qzk</t>
  </si>
  <si>
    <t xml:space="preserve">Supplementary Table S1 of the replication article reports the following values: Original (p = 0.010, effect size 0.38, n = 162), Replication (p = 0.003, effect size = 0.36, N = 264). The replication report (https://osf.io/rycnp) specifies the replication attempt for the difference in proportions, Table 2 ((5,7) treatment.  This is consistent with the results presented in Table 2 (p. 1219) of the original research article. Therefore, I report effect size based on the percentages stipulated in the original research article Table and the formula "based on percentages experiencing "success". </t>
  </si>
  <si>
    <t>Effect of communication</t>
  </si>
  <si>
    <t>Communication, Pareto-improving outcome, cost-of-lying, guilt-fromblame</t>
  </si>
  <si>
    <t>The experimenters introduced a group where communication between players in a game was allowed .</t>
  </si>
  <si>
    <t>"Summarizing the results, the only case in which communication led to a significant increase was for low-talent B’s in the (5, 7)-game, where the Don’t rate nearly doubles, to 78 percent."</t>
  </si>
  <si>
    <t>p. 1219</t>
  </si>
  <si>
    <t>Camereretal2016_5</t>
  </si>
  <si>
    <t>Chen, R., &amp; Chen, Y. (2011). The potential of social identity for equilibrium selection. American Economic Review, 101(6), 2562–2589.</t>
  </si>
  <si>
    <t>10.1257/aer.101.6.2562</t>
  </si>
  <si>
    <t>Social identity and coordination</t>
  </si>
  <si>
    <t>social identity, efficiency, coordination games, social preference model, minimum effort game,  high-effort equilibrium.</t>
  </si>
  <si>
    <t>Groups with a salient ingroup identity can develop ingroup coordination to reach the efficient high-effort equilibrium.</t>
  </si>
  <si>
    <t>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</si>
  <si>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p. 2577</t>
  </si>
  <si>
    <t xml:space="preserve">(8.82 + 15.38) - (10.76 - 10.41) </t>
  </si>
  <si>
    <t>https://osf.io/2anqg</t>
  </si>
  <si>
    <t>Supplementary Table S1 of the replication article reports the following values: Original (p = 0.033, effect size 0.84, n = 72), Replication (p = 0.57, effect size = 0.17, N = 168).  The OSF report (https://osf.io/pujg2) indicates that the replication attempt is: "a comparison of the sum of the regression coefficients “Ingroup”and “Ingroup * Enhanced” versus “Outgroup”and “Outgroup * Enhanced” in the first column in Table 2 and on page 2577 (random effects regression, with clustering at the session level)". These coefficients are presented in Table 2 (p. 2576) in the original research article.  I report an effect size based on the coefficients for Ingroup × Enhanced and Outgroup × Enhanced, given my understanding of the matter.</t>
  </si>
  <si>
    <t>Efficiency in coordination games</t>
  </si>
  <si>
    <t>efficiency, coordination games, social preference model, minimum effort game,  high-effort equilibrium.</t>
  </si>
  <si>
    <t>Assessing how much the combined effort under the Ingroup treatment differs from the combined effort under the Outgroup treatment</t>
  </si>
  <si>
    <t>"A test that the sum of the coefficients on the in-group dummy and ingroup-enhanced interaction term is equal to 0 yields p  &lt;0.0001forcolumn 1 andp= 0.0005 for column 2, while a test that the previous sum is equal to the corresponding outgroup sum yieldsp= 0.023 for column 1"</t>
  </si>
  <si>
    <t>Camereretal2016_6</t>
  </si>
  <si>
    <t>Effect size for original study opaque, releavant details recorded - look to tables indicated to see values that were compared for those mean differences? Table 5a and Table 6a, should take difference value?</t>
  </si>
  <si>
    <t>De Clippel, G., Eliaz, K., &amp; Knight, B. G. (2014). On the selection of arbitrators. American Economic Review, 104(11), 3434–3458.</t>
  </si>
  <si>
    <t>10.1257/aer.104.11.3434</t>
  </si>
  <si>
    <t>Selection of arbitrators through shortlisting rather than veto-ranking</t>
  </si>
  <si>
    <t>arbitration, selection, short-listing, veto ranking</t>
  </si>
  <si>
    <t>Arbitrators are usually chosen with a veto-rank method, yet this paper shows that an alternative shortlisting mechanism yields superior outcomes</t>
  </si>
  <si>
    <t>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</si>
  <si>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p. 3448</t>
  </si>
  <si>
    <t xml:space="preserve"> Table 7</t>
  </si>
  <si>
    <t>https://osf.io/vdmz6</t>
  </si>
  <si>
    <t>Supplementary Table S1 of the replication article reports the following values: Original (p = 0.001, effect size 0.12, n = 158), Replication (p = 0.001, effect size = 0.27, N = 156).  Using the description provided in Table S2 of the replication article, I matched the replication attempt to the one reported in Table 7 of the original research article, which reports a "0.001 for Pf2".  No information is reported about the uncertainty in the mean values, therefore I report as an effect size the difference stated in the original research article.</t>
  </si>
  <si>
    <t>Efficiency (average aggregate payoff) difference between veto-rank mechanism (VR) and shortlisting (SL) mechanisms.</t>
  </si>
  <si>
    <t xml:space="preserve">Arbitration, selection of the arbitrator, implementation theory, veto-rank, shortlisting, </t>
  </si>
  <si>
    <t>"In the veto-rank mechanism (VR), two parties receive a list of n (an odd number) potential arbitrators. Each party independently vetoes or removes (n-1)/2 names from the list, and ranks the remaining (n + 1)/2 candidates". shortlisting is proposed as a method that: (i) backwards induction leads to a Pareto efficient outcome, which Pareto dominates both parties’ median choices, and (ii) there are as few stages as possible so that backwards induction is relatively “simple” to execute (see Binmore et. al. 2002).</t>
  </si>
  <si>
    <t>"Finally,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</si>
  <si>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p. 3449</t>
  </si>
  <si>
    <t>mean difference</t>
  </si>
  <si>
    <t>Camereretal2016_7</t>
  </si>
  <si>
    <t xml:space="preserve">Effect size for original : details found in session-level efficiency ratios over all rounds as reported in Table 7 for the money treatment sessions and in the last three columns of Table 12, but unclear if/how to calculate effectively from there. </t>
  </si>
  <si>
    <t>Duffy, J., &amp; Puzzello, D. (2014). Gift exchange versus monetary exchange: Theory and evidence. American Economic Review, 104(6), 1735–1776.</t>
  </si>
  <si>
    <t>10.1257/aer.104.6.1735</t>
  </si>
  <si>
    <t>Lagos-Wright model, monetary exchange, monetary equilibrium, gift exchange</t>
  </si>
  <si>
    <t>avoidance of gift exchange equilibria in favor of the monetary equilibrium.</t>
  </si>
  <si>
    <t>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</si>
  <si>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p. 1764</t>
  </si>
  <si>
    <t>Tables 7 and 12 (.43 - .27)</t>
  </si>
  <si>
    <t>https://osf.io/ypcz5</t>
  </si>
  <si>
    <t>claim should be stats + interpretation (better slightly too long when coding?)</t>
  </si>
  <si>
    <t>Supplementary Table S1 of the replication article reports the following values: Original (p = 0.010, effect size 0.76, n =  54), Replication (p = 0.67, effect size = -0.12, N = 96).  Using the information provided in Table S2 of the replication article, I matched the replication attempt to the data reported (apparently) in Table 12 of the original research article where the reported p-value of 0.10 is present. I report an effect size based on the Table 1 in the replication report (https://osf.io/rf7zq), considering the average ratios.</t>
  </si>
  <si>
    <t>Efficiency in the Lagos-Wright money model.</t>
  </si>
  <si>
    <t xml:space="preserve">Lagos-Wright model, monetary exchange, monetary equilibrium </t>
  </si>
  <si>
    <t>Is the ability of the economy to maximize welfare by facilitating trade and coordination among agents.</t>
  </si>
  <si>
    <t>"Nevertheless, using the session-level efficiency ratios over all rounds as reported in Table 7 for the money treatment sessions and in the last three columns of Table 12 for the no money treatment sessions, a Wilcoxon Mann-Whitney test indicates that we can reject the null hypothesis of no difference in efficiency ratios between (i) the M6 and NM6 treatments and (ii) the M14 and NM14 treatments in favor of the alternative that efficiency ratios are higher in each of the two M treatments relative to the comparable NM treatment ( p = 0.01 for the first test and p = 0.04 for the second test). This is strong evidence that the presence of a money object enables agents to coordinate on a more efficient equilibrium outcome.</t>
  </si>
  <si>
    <t>=(0.43/(1-0.43))/(0.27/(1-0.27))</t>
  </si>
  <si>
    <t>Camereretal2016_8</t>
  </si>
  <si>
    <t>Dulleck, U., Kerschbamer, R., &amp; Sutter, M. (2011). The economics of credence goods: An experiment on the role of liability, verifiability, reputation, and competition. American Economic Review, 101(2), 526–555.</t>
  </si>
  <si>
    <t>10.1257/aer.101.2.526</t>
  </si>
  <si>
    <t>Efficience with credence goods</t>
  </si>
  <si>
    <t>credence goods, liability, verifiability, reputation, competition</t>
  </si>
  <si>
    <t>Liability enables efficiency for credence goods, while verifiability has little effect</t>
  </si>
  <si>
    <t>Efficiency is below 20 percent without liability, but significantly higher and above 80 percent with liability. [Table 3]: Mann-Whitney U-tests for pairwise differences between treatments (with matching groups of 8 subjects as one independent observation): p &lt; .05</t>
  </si>
  <si>
    <t>p. 539</t>
  </si>
  <si>
    <t>p. 540, 0.81 - 0.16</t>
  </si>
  <si>
    <t>https://osf.io/d3h4u</t>
  </si>
  <si>
    <t>Supplementary Table S1 of the replication article reports the following values: Original (p = &lt; 0.0001, effect size 0.72, n =  168), Replication (p = 0.001, effect size = 0.73, N = 128).  Using the information provided in Table S2 of the replication article, I matched the replication attempt to the data reported in point (i) p.539 and Table 3. The p-value of &lt; 0.001 reported by the replication article is not present in the original research.  Therefore, I report the p-value for the comparison between the B/V (no liability/verifiability) and B/LV (liability/ verifiability) for the efficiency parameter (as defined by Table S2 of the replication article).  I confirmed this information with the OSF report (https://osf.io/d78na).</t>
  </si>
  <si>
    <t xml:space="preserve"> Efficiency between the B/LV treatment (liability/verifiability) and the B/V treatment (no liability/verifiability.</t>
  </si>
  <si>
    <t>Credence Goods, liability, verifiability, reputation, competition</t>
  </si>
  <si>
    <t xml:space="preserve">The objective is to evaluate the impact of liability on efficiency in a credence goods market when verifiability is present, comparing the efficiency outcomes between two scenarios: one where both liability and verifiability exist (B/LV treatment) and one where only verifiability exists without liability (B/V treatment). </t>
  </si>
  <si>
    <t>"Efficiency is below 20 percent without liability, but significantly higher and above 80 percent with liability."</t>
  </si>
  <si>
    <t>0.81 - 0.16</t>
  </si>
  <si>
    <t>Camereretal2016_9</t>
  </si>
  <si>
    <t xml:space="preserve">Effect size for original study opaque, releavant details recorded - difference between means as effect size? </t>
  </si>
  <si>
    <t>Ericson, K. M. M., &amp; Fuster, A. (2011). Expectations as endowments: Evidence on reference-dependent preferences from exchange and valuation experiments. Quarterly Journal of Economics, 126(4), 1879–1907.</t>
  </si>
  <si>
    <t>10.1093/qje/qjr034</t>
  </si>
  <si>
    <t>endowment, expectation, valuation, exchange</t>
  </si>
  <si>
    <t>reference points are influenced by expectations</t>
  </si>
  <si>
    <t>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</si>
  <si>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p. 1896</t>
  </si>
  <si>
    <t>=(0.33-0.01)/SQRT((^2+^2)/2)</t>
  </si>
  <si>
    <t>https://osf.io/a3394</t>
  </si>
  <si>
    <t>Supplementary Table S1 of the replication article reports the following values: Original (p = 0.030, effect size 0.21, n =  112), Replication (p = 0.055, effect size = 0.12, N = 262). The OSF report (https://osf.io/b8pwq) stipulates that the replication attempt is directed to the difference between the mh and the ml treatments with the measure of ln(WTA) for the mug minus the ln (WTA) for a pen. These results are reported in the original article in p. 1896: "However, when we consider the subject level difference between ln (WTAmug) and ln (WTApen), we find a mean of 0.33 for subjects in the MH treatment and 0.01 for subjects in the ML treatment. This difference is statistically significant (p = .03, t-test)". Therefore, I provide and effect size based on the coefficients for ln(WTA mug)−ln(WTA pen) as specified in the text.</t>
  </si>
  <si>
    <t>Willingness to accept (WTA) a mug (effect of expectations on subjects’ monetary valuation of an item).</t>
  </si>
  <si>
    <t xml:space="preserve">Expectations, reference-dependent preferences, exchange experiments, valuation experiments, reference points. </t>
  </si>
  <si>
    <t>"Our second experiment measures the effect of expectations on subjects’ monetary valuation of an item. Subjects are not initially endowed with any item but learn that they will receive a mug for free with either high (80%) or low(10%) probability. All subjects also know that with probability 10%, they instead have a choice between the mug and money. We elicit their mug/money choices for varying amounts of money, which gives a measure of their willingness-to-accept (WTA) for the mug"</t>
  </si>
  <si>
    <t>"However,when we consider the subject level difference between ln (WTAmug) and ln (WTApen), we find a mean of 0.33 for subjects in the MH treatment and 0.01 for subjects in the ML treatment. This difference is statistically significant (p = .03, t-test)."</t>
  </si>
  <si>
    <t xml:space="preserve">0.33 - 0.01        </t>
  </si>
  <si>
    <t>Camereretal2018_1</t>
  </si>
  <si>
    <t>Camereretal2018_1_1</t>
  </si>
  <si>
    <t>Lukas Röseler, Sarah Ashcroft-Jones</t>
  </si>
  <si>
    <t xml:space="preserve">- Estimated effect size not reproducible (runs on external R code) unless taking Cohen's D value, thus r value computed in R is discarded. The corresponding effect size value in the replication report was r = 0.27
- P-value tails original is selected as 1 as F value from ANOVA is main test statistic.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</si>
  <si>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Ackerman, J. M., Nocera, C. C., &amp; Bargh, J. A. (2010). Incidental haptic sensations influence social judgments and decisions. Science, 328(5986), 1712-1715.</t>
  </si>
  <si>
    <t>10.1126/science.1189993</t>
  </si>
  <si>
    <t>Camerer, C. F., Dreber, A., Holzmeister, F., Ho, T. H., Huber, J., Johannesson, M., ... &amp; Wu, H. (2018). Evaluating the replicability of social science experiments in Nature and Science between 2010 and 2015. Nature human behaviour, 2(9), 637-644.</t>
  </si>
  <si>
    <t>10.1038/s41562-018-0399-z</t>
  </si>
  <si>
    <t>https://osf.io/9hn4c</t>
  </si>
  <si>
    <t>haptic priming</t>
  </si>
  <si>
    <t>Social Science Replication Project, Science, Nature, Human Behavior</t>
  </si>
  <si>
    <t>Incidental Haptic Sensations Influence Social Judgments and Decisions</t>
  </si>
  <si>
    <t>Clipboard weight (heavy or light) nonconsciously influenced impressions and decisions formed about unrelated people - specifically for ratings of job candidates (scale = 1 to 7), where higher numbers indicate stronger
evaluations. F(1, 52) = 4.08, p = 0.049.</t>
  </si>
  <si>
    <t>p.1712 - 1713</t>
  </si>
  <si>
    <t>=(5.8-5.38)/SQRT(((26-1)*0.76^2+(28-1)*0.79^2)/(26+28-2)))</t>
  </si>
  <si>
    <t>p. 55</t>
  </si>
  <si>
    <t>https://osf.io/bstxp/</t>
  </si>
  <si>
    <t>RB</t>
  </si>
  <si>
    <t>Participants using heavy clipboards rated the candidate as better overall</t>
  </si>
  <si>
    <t>R, compute.es pkg</t>
  </si>
  <si>
    <t>Camereretal2018_10</t>
  </si>
  <si>
    <t>Camereretal2018_10_1</t>
  </si>
  <si>
    <t xml:space="preserve">Supplementary Materials - page 4 : post-hoc comparisons showed significant result, (F(1, 38) = 21.63, no exact p value stated. 
https://www.science.org/doi/suppl/10.1126/science.1199327/suppl_file/karpicke_som.pdf 
In the main text, the authors report both cohens d of 1.5 as well as partial eta squared (np2) of 0.36). </t>
  </si>
  <si>
    <t xml:space="preserve">- Estimated effect size should not be r (this is a converted value from the replication study, not the orignnal paper which reports both cohens d and np2). The corresponding effect size value in the replication report was r = 0.602
- P-value tails original is selected as 1 as F value from ANOVA is main test statistic.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</si>
  <si>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Karpicke, J. D., &amp; Blunt, J. R. (2011). Retrieval practice produces more learning than elaborative studying with concept mapping. Science, 331(6018), 772-775.</t>
  </si>
  <si>
    <t>10.1126/science.1199327</t>
  </si>
  <si>
    <t>https://osf.io/mgjxv</t>
  </si>
  <si>
    <t>memory retrieval</t>
  </si>
  <si>
    <t>Retrieval practice produces more learning than elaborative studying with concept mapping</t>
  </si>
  <si>
    <t>On the final test 1 week later, collapsed across question type (verbatim and inference), the advantage of retrieval practice (M = 0.67) over elaborative studying with concept mapping (M = 0.45) represented about a 50% improvement in long-term retention scores [ F(1,38) = 21.63 ]</t>
  </si>
  <si>
    <t>p. 773</t>
  </si>
  <si>
    <t>p. S4</t>
  </si>
  <si>
    <t>p. 54</t>
  </si>
  <si>
    <t>https://osf.io/3cgxv</t>
  </si>
  <si>
    <t>the advantage of retrieval practice (M = 0.67) over elaborative studying with concept mapping (M = 0.45) represented about a 50% improvement in long-term retention scores</t>
  </si>
  <si>
    <t>Camereretal2018_11</t>
  </si>
  <si>
    <t>Camereretal2018_11_1</t>
  </si>
  <si>
    <t>p. 378, Table 1 of original study reports partial omega squared as 0.05</t>
  </si>
  <si>
    <t>- Changed effect_o to test stat as that can be converted, and matches repl report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</si>
  <si>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Kidd, D. C., &amp; Castano, E. (2013). Reading literary fiction improves theory of mind. Science, 342(6156), 377-380.</t>
  </si>
  <si>
    <t>10.1126/science.1239918</t>
  </si>
  <si>
    <t>https://osf.io/s73x6</t>
  </si>
  <si>
    <t>Reading literary fiction improves theory of mind</t>
  </si>
  <si>
    <t>Theory of Mind task scores were higher in the literary fiction than nonfiction condition [F1,82 = 6.40, p =0.01]</t>
  </si>
  <si>
    <t>p. 378</t>
  </si>
  <si>
    <t>F(1, 82) = 6.40</t>
  </si>
  <si>
    <t>https://osf.io/bmnca</t>
  </si>
  <si>
    <t>Sarah Ashcroft-Jones, LW</t>
  </si>
  <si>
    <t>Scores for the affective ToM task were higher in the literary fiction than nonfiction condition</t>
  </si>
  <si>
    <t>=(25.85-25.4)/SQRT(((365-1)*5.47^2+(349-1)*5.5^2)/(365+349-2)))</t>
  </si>
  <si>
    <t>Camereretal2018_12</t>
  </si>
  <si>
    <t>Camereretal2018_12_1</t>
  </si>
  <si>
    <t>- Estimated original effect size should not be r (this is a converted value from the replication study, not the original paper). The corresponding effect size value in the replication report was r = 0.45
- P-values tails replication is selected as 2 as post-completion replication report reports a two-sided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</si>
  <si>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https://osf.io/jnq7e</t>
  </si>
  <si>
    <t>susceptibility to others’ beliefs in human infants and adults</t>
  </si>
  <si>
    <t>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</si>
  <si>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p. 1832</t>
  </si>
  <si>
    <t>t(23) = 2.42</t>
  </si>
  <si>
    <t>https://osf.io/zpyj3</t>
  </si>
  <si>
    <t>participants were faster than in the baseline condition when only the agent believed the ball to be behind the occluder</t>
  </si>
  <si>
    <t>In R, r &lt;- sqrt(7.0152^2 / (7.0152^2 + 94))</t>
  </si>
  <si>
    <t>Camereretal2018_13</t>
  </si>
  <si>
    <t>Camereretal2018_13_1</t>
  </si>
  <si>
    <t>- Estimated original effect size should not be r (this is a converted value from the replication study, not the original paper). The corresponding effect size value in the replication report was r = 0.388.
- P-values tails replication is selected as 1 as ANOVA is main test statistic.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</si>
  <si>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Lee, S. W., &amp; Schwarz, N. (2010). Washing away postdecisional dissonance. Science, 328(5979), 709-709.</t>
  </si>
  <si>
    <t>10.1126/science.1186799</t>
  </si>
  <si>
    <t>https://osf.io/jubxw</t>
  </si>
  <si>
    <t>Cognitive Dissonance</t>
  </si>
  <si>
    <t>postdecisional dissonance</t>
  </si>
  <si>
    <t>Hand washing significantly reduced the need to justify one’s choice by increasing the perceived difference between alternatives [F(1, 38) = 6.74, P = 0.01, for the interaction of time and hand-washing 
manipulation].</t>
  </si>
  <si>
    <t>p. 709</t>
  </si>
  <si>
    <t>(2.05-1)/SQRT(((20-1)*0.96^2+(20-1)*1.41^2)/(20+20-2)))</t>
  </si>
  <si>
    <t>https://osf.io/efzv3</t>
  </si>
  <si>
    <t>hand washing significantly reduced the need to justify one’s choice by increasing the perceived difference between alternatives</t>
  </si>
  <si>
    <t>=(1.67-1.48)/SQRT(((147-1)*2.4^2+(139-1)*1.67^2)/(147+139-2)))</t>
  </si>
  <si>
    <t>Camereretal2018_14</t>
  </si>
  <si>
    <t>Camereretal2018_14_1</t>
  </si>
  <si>
    <t xml:space="preserve">PLEASE CHECK THIS: This replication draws upon a comparison of the 30-repetition treatment and the control treatment in experiment 1; independent samples t-test, t(30) = 2.78, p = 0.0092, provided by the original authors. This is not in the original paper which is based on a pooled analysis and resulting  F value (F(1, 46) = 4.50, p = 0.0393, p. 1531). It is unclear whether to report to O values as were printed in the original study or as those which the replication study purport were provided by the original authors (from what seems to be a a post-hoc t-test?).  Here the n original of 32 is based on that post-hoc test, whereas the paper reports the N of study 1 to be 51 but the FReD database appeared to record the N = 32. </t>
  </si>
  <si>
    <t>- Estimated original effect size should not be r (this is a converted value from the replication study, not the original paper). The corresponding effect size value in the replication report was r = 0.453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</si>
  <si>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Morewedge, C. K., Huh, Y. E., &amp; Vosgerau, J. (2010). Thought for food: Imagined consumption reduces actual consumption. Science, 330(6010), 1530-1533.</t>
  </si>
  <si>
    <t>10.1126/science.1195701</t>
  </si>
  <si>
    <t>https://osf.io/k2teb</t>
  </si>
  <si>
    <t>imagined consumption reduces actual consumption</t>
  </si>
  <si>
    <t>Testing if repeatedly imagining the consumption of a food would increase or decrease the amount of that food that people would subsequently consume.
Planned comparisons revealed that participants in the 30-repetition condition ate significantly fewer M&amp;M’s than participants in the control condition, F(1, 46) = 4.50, P &lt; 0.05</t>
  </si>
  <si>
    <t>p. 1531</t>
  </si>
  <si>
    <t>F(1, 46) = 4.50</t>
  </si>
  <si>
    <t>https://osf.io/wh5gb</t>
  </si>
  <si>
    <t>the amount of M&amp;M’s eaten by participants was influenced by the imagination induction</t>
  </si>
  <si>
    <t>=(10.3-6.69)/SQRT(((44-1)*5.28^2+(45-1)*4.3^2)/(44+45-2)))</t>
  </si>
  <si>
    <t>Camereretal2018_15</t>
  </si>
  <si>
    <t>Camereretal2018_15_1</t>
  </si>
  <si>
    <t>PLEASE CHECK THIS: Effect size in original is unclear/hard to distringuish. Value taken from the manuscript based on it's correspondence to the Col 5 of the Table 2 in the Supplementary materials (as signposted by the Camerer table to be the OLS regression equation of interest for the replication). The post data collection replication report indicates a related t-test as follows: regression equation (5) in Table S2, p= 0.0044 of at-test of the treatment dummy variable coefficient, t(198) = 2.881.
The corresponding original effect size value in the replication report was r = 0.201</t>
  </si>
  <si>
    <t>- Estimated original effect size should not be r (this is a converted value from the replication study, not the original paper). The corresponding effect size value in the replication report was r = 0.201.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</si>
  <si>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Nishi, A., Shirado, H., Rand, D. G., &amp; Christakis, N. A. (2015). Inequality and visibility of wealth in experimental social networks. Nature, 526(7573), 426-429.</t>
  </si>
  <si>
    <t>10.1038/nature15392</t>
  </si>
  <si>
    <t>https://osf.io/67mzc</t>
  </si>
  <si>
    <t>social networks, inequality, wealth generation</t>
  </si>
  <si>
    <t>Inequality and visibility of wealth in experimental social networks</t>
  </si>
  <si>
    <t>In the high initial inequality condition, making neighbours’ wealth visible results in significantly higher levels of inequality compared to when neighbours’ wealth is invisible (difference in final round Gini = 0.104, P = 0.004).</t>
  </si>
  <si>
    <t>p. S18</t>
  </si>
  <si>
    <t>https://osf.io/r3dt9</t>
  </si>
  <si>
    <t xml:space="preserve">In the high initial inequality condition, making neighbours’ wealth visible results in significantly higher levels of inequality compared to when neighbours’ wealth is invisible </t>
  </si>
  <si>
    <t>In R, r &lt;- sqrt(2.5543^2 / (2.5543^2 + 478))</t>
  </si>
  <si>
    <t>Camereretal2018_16</t>
  </si>
  <si>
    <t>Camereretal2018_16_1</t>
  </si>
  <si>
    <t xml:space="preserve">This replication draws upon values direct from the orignal authors that are not published direct in the original manusciprt - t(34) = 2.37 and p-value = 0.02, t-value and p-value from authors. 
Statistical values recorded here are these values in the abscence of other meaningful values in the original paper or supplementary materials. These test statistics are clearly signposted as being from the original authors in the post data collection report "a comparison of mean mediator retrieval between the test-restudy and the restudy treatments within the cmrt reatment, p. 335, t(34) = 2.37 and p-value = 0.02, t-value and p-value from authors)" p. 1 of post-data collection report. </t>
  </si>
  <si>
    <t>- Estimated original effect size should not be r (this is a converted value from the replication study, not the original paper). The corresponding effect size value in the replication report was r = 0.150.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</si>
  <si>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Pyc, M. A., &amp; Rawson, K. A. (2010). Why testing improves memory: Mediator effectiveness hypothesis. Science, 330(6002), 335-335.</t>
  </si>
  <si>
    <t>10.1126/science.1191465</t>
  </si>
  <si>
    <t>https://osf.io/zj5n3</t>
  </si>
  <si>
    <t>Mediator Memory Effectiveness</t>
  </si>
  <si>
    <t>testing improves memory</t>
  </si>
  <si>
    <t>Confirming the prediction of increased mediator retrieval, recall of mediators at final test in the CMR group was greater after test-restudy versus restudy practice (51% versus 34%).</t>
  </si>
  <si>
    <t>p. 335</t>
  </si>
  <si>
    <t>t(34) = 2.37</t>
  </si>
  <si>
    <t>p. 50 (of Camerer SMs, Supplementary Table 1), and p.1 of post-data collection report</t>
  </si>
  <si>
    <t>https://osf.io/6h5af</t>
  </si>
  <si>
    <t>recall of mediators at final test in the CMR group was greater after test-restudy versus restudy practice (51% versus 34%)</t>
  </si>
  <si>
    <t>in R, h &lt;- 2 * (asin(sqrt(0.5353) - asin(sqrt(0.4757)))</t>
  </si>
  <si>
    <t>Camereretal2018_17</t>
  </si>
  <si>
    <t>Camereretal2018_17_1</t>
  </si>
  <si>
    <t>- Estimated original effect size should not be r (this is a converted value from the replication study, not the original paper). The corresponding effect size value in the replication report was r = 0.-0.098.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</si>
  <si>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Ramirez, G., &amp; Beilock, S. L. (2011). Writing about testing worries boosts exam performance in the classroom. science, 331(6014), 211-213.</t>
  </si>
  <si>
    <t>10.1126/science.1199427</t>
  </si>
  <si>
    <t>https://osf.io/j8pbk</t>
  </si>
  <si>
    <t>Writing about testing worries boosts exam performance in the classroom</t>
  </si>
  <si>
    <t>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</si>
  <si>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p. 212</t>
  </si>
  <si>
    <t>F(1,18)=30.53</t>
  </si>
  <si>
    <t>p. S11</t>
  </si>
  <si>
    <t>https://osf.io/jqaac</t>
  </si>
  <si>
    <t xml:space="preserve">in the posttest, the expressive writing group performed significantly better than the control group </t>
  </si>
  <si>
    <t>Camereretal2018_18</t>
  </si>
  <si>
    <t>Camereretal2018_18_1</t>
  </si>
  <si>
    <t xml:space="preserve">PLEASE CHECK ME FOR MY ACCURACY OF EFFECT SIZE EXTRACTION/REPORTING: 
P value and coef estimate drawn from col 1 of  Table S11 which describes the values of a Tobit regressions with robust standard errors </t>
  </si>
  <si>
    <t>- Estimated original effect size should not be r (this is a converted value from the replication study, not the original paper). The corresponding effect size value in the replication report was r = 0.026.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--&gt; checked and went with the coded values</t>
  </si>
  <si>
    <t>Rand, D. G., Greene, J. D., &amp; Nowak, M. A. (2012). Spontaneous giving and calculated greed. Nature, 489(7416), 427-430.</t>
  </si>
  <si>
    <t>10.1038/nature11467</t>
  </si>
  <si>
    <t>https://osf.io/szcuk</t>
  </si>
  <si>
    <t>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</si>
  <si>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 </t>
  </si>
  <si>
    <t>p. S21</t>
  </si>
  <si>
    <t>https://osf.io/3kpjx</t>
  </si>
  <si>
    <t>Sarah Ashcroft-Jones, LR</t>
  </si>
  <si>
    <t>contributions are significantly higher when subjects are primed to promote intuition relative to reflection</t>
  </si>
  <si>
    <t>=(23.61-22.87)/SQRT(((1058-1)*16.93^2+(1078-1)*17.07^2)/(1058+1078-2)))</t>
  </si>
  <si>
    <t>Camereretal2018_19</t>
  </si>
  <si>
    <t>Camereretal2018_19_1</t>
  </si>
  <si>
    <t xml:space="preserve">Tails on original p-values assumed one-way as ANOVA analysis central to value. </t>
  </si>
  <si>
    <t>- Estimated original effect size should not be r (this is a converted value from the replication study, not the original paper). The corresponding effect size value in the replication report was r = -0.015
- It is unclear why coder 2 reported cohens d for effect size on the replication study (perhaps from the post-data collected report?).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 [LR] changed p-value for O to not reported as per the instructions</t>
  </si>
  <si>
    <t>Shah, A. K., Mullainathan, S., &amp; Shafir, E. (2012). Some consequences of having too little. Science, 338(6107), 682-685.</t>
  </si>
  <si>
    <t>10.1126/science.1222426</t>
  </si>
  <si>
    <t>https://osf.io/5uw3j</t>
  </si>
  <si>
    <t>scarcity changes how people allocate attention</t>
  </si>
  <si>
    <t>Poor participants performedworse  than did rich participants  in the attention task (Dots-Mixed Task). 
The poor engage more deeply and could be more fatigued despite spending less time on the WHeel of Fortune task. 
[F(1, 54) = 4.16, P &lt; 0.05]</t>
  </si>
  <si>
    <t>p. 683</t>
  </si>
  <si>
    <t>https://osf.io/qb4f4</t>
  </si>
  <si>
    <t>We measured the total number of correct responses in the attention task. Four participants were removed from the analyses for having zero correct responses. Poor participants performed worse (mean T SD, 45.12 T 15.87) than did rich participants</t>
  </si>
  <si>
    <t>=(44.63-45.07)/SQRT(((321-1)*14.69^2+(298-1)*14.75^2)/(321+298-2)))</t>
  </si>
  <si>
    <t>Camereretal2018_2</t>
  </si>
  <si>
    <t>Camereretal2018_2_1</t>
  </si>
  <si>
    <t>This replication draws upon values that appear to be direct from the orignal authors that are not published direct in the manuscript or the SMs- t(14) = 13.07, p &lt; 0.0001
Values recorded here  are these values in the abscence of other meaningful values in the original paper or supplementary materials. There is an ANOVA reported in the manuscript that relates to this value, and a p value for this post hoc test - but not the specfic T values etc needed for a claim of this specificity. Tehse values are available directly in the osf files relating to this replication - e.g. the post-data collection report: "tests the hypothesis of a higher mean valence rating of winning bodies versus losing bodies in the “body treatment” in Experiment 1; within subjects variation, paired t-test, t(14) = 13.07, p &lt; 0.0001, p. 1226 and Fig. 1c"</t>
  </si>
  <si>
    <t>- Estimated original effect size should not be r (this is a converted value from the replication study, not the original paper). The corresponding effect size value in the replication report was r = 0.961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</si>
  <si>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Aviezer, H., Trope, Y., &amp; Todorov, A. (2012). Body cues, not facial expressions, discriminate between intense positive and negative emotions. Science, 338(6111), 1225-1229.</t>
  </si>
  <si>
    <t>10.1126/science.1224313</t>
  </si>
  <si>
    <t>https://osf.io/367yu</t>
  </si>
  <si>
    <t>emotion discrimination</t>
  </si>
  <si>
    <t>Body cues, not facial expressions, discriminate between intense positive and negative emotions</t>
  </si>
  <si>
    <t>Affective valence was higher for winners than losers when ratings were based on the body alone (p&lt; 0.001)</t>
  </si>
  <si>
    <t>p. 1226</t>
  </si>
  <si>
    <t>, t(14) = 13.07</t>
  </si>
  <si>
    <t>p. 48 (of Camerer SMs, Supplementary Table 1), p. 1 of post-data collection report</t>
  </si>
  <si>
    <t>https://osf.io/69xfj</t>
  </si>
  <si>
    <t>participants failed to rate the affective valence of winners as more positive than the affective valence of losers when seeing the face alone, they succeeded when seeing the body alone</t>
  </si>
  <si>
    <t>Camereretal2018_20</t>
  </si>
  <si>
    <t>Camereretal2018_20_1</t>
  </si>
  <si>
    <t xml:space="preserve">PLEASE CHECK ME FOR MY REASONING: 
Compared to the supplements of the Camerer replications Table 1, in the original paper the df for the critical t test were 68 (not 45 as listed in Table 1 of Camerer Table 1) thus the N was estimated at 69 (which also aligns with other Camerer tables (e.g. Camerer Supps Table 3 has N = 69 as value). It unclear where the t(45) vlaue in the Camerer supps table came from based on this alone. HOwever, in the post-data collection report the replication project reports a paired t-test, within subject variation; t(45) = 3.26,p= 0.0021, study 1, p. 776, and Fig. 1. It appears this is a value from the original data that was not explicitly reported as relevant to the Fig 1 comparisons. </t>
  </si>
  <si>
    <t>- Estimated original effect size should not be r (this is a converted value from the replication study, not the original paper). The corresponding effect size value in the replication report was r = 0.368
- Estimated replication effect sizes were reported directly in the replication report - the exact value from coder 2 was calculated in R and not reproducible here and therefore discarded.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</si>
  <si>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Sparrow, B., Liu, J., &amp; Wegner, D. M. (2011). Google effects on memory: Cognitive consequences of having information at our fingertips. science, 333(6043), 776-778.</t>
  </si>
  <si>
    <t>10.1126/science.1207745</t>
  </si>
  <si>
    <t>https://osf.io/84fyw</t>
  </si>
  <si>
    <t>transactive memory,</t>
  </si>
  <si>
    <t>Google effects on memory: cognitive consequences of having information at our fingertips</t>
  </si>
  <si>
    <t>Computer words were more accessible [color-naming RT mean (M) = 712 ms, SD = 413 ms] than general words (M = 591 ms, SD = 204 ms) after participants had encountered a series of questions to which they did not know the answers, t(68) = 3.26, P &lt; 0.003, two-tailed.</t>
  </si>
  <si>
    <t>p. 776</t>
  </si>
  <si>
    <t>=(712-591)/SQRT((413^2+204^2)/2)</t>
  </si>
  <si>
    <t>https://osf.io/b4ga9</t>
  </si>
  <si>
    <t>Although the concept of knowledge in general seems to prime thoughts of computers, even when answers are known, not knowing the answer to general-knowledge questions primes the need to search for the answer, and subsequently computer interference is particularly acute</t>
  </si>
  <si>
    <t>In R, r &lt;- sqrt(0.7579^2 / (0.7579^2 + 233))</t>
  </si>
  <si>
    <t>Camereretal2018_21</t>
  </si>
  <si>
    <t>Camereretal2018_21_1</t>
  </si>
  <si>
    <t xml:space="preserve">- Estimated original effect size should not be r (this is a converted value from the replication study, not the original paper). The corresponding effect size value in the replication report was r = 0.674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 Coder 2 uses a more precise set of p-values on this row, this is drawn from the post-data collection report but are not inconsistent with the main replicaiton porject manuscript. For consistency across all rows where information is present in teh main project paper these are the values that are used. </t>
  </si>
  <si>
    <t>https://osf.io/qwked</t>
  </si>
  <si>
    <t>participants typically do not enjoy spending 6 to 15 minutes in a room by themselves with nothing to do but think</t>
  </si>
  <si>
    <t>Participants enjoyed the external activities much more than just thinking [t(28) = 4.83, P &lt; 0.001].</t>
  </si>
  <si>
    <t>p. 76</t>
  </si>
  <si>
    <t>MANUALLY REVERSED FROM =(3.2-6.87)/SQRT(((15-1)*2.23^2+(15-1)*1.91^2)/(15+15-2)))</t>
  </si>
  <si>
    <t>https://osf.io/27cuc</t>
  </si>
  <si>
    <t>participants enjoyed the external activities much more than just thinking</t>
  </si>
  <si>
    <t>Camereretal2018_3</t>
  </si>
  <si>
    <t>Camereretal2018_3_1</t>
  </si>
  <si>
    <t xml:space="preserve">- The inter-coder discrepancy on the sample sizes arose due to an error in reporting in the pre-registration of the replication as clarified on p. 4 of the post-data collection report " In the pre-replication version of this report, the standardized effect size of the original study – measured as correlation coefficient r– has been wrongly reported. The figure was falsely determined based on the full sample of 144. However, as the hypothesis test of interest only refers to females, the sample size relevant for calculating the effect size measure is 72 rather than 144. "
 - Estimated original effect size should not be r (this is a converted value from the replication study, not the original paper). The corresponding effect size value in the replication report was r = 0.0.278.
- P-values tails replication is selected as 2 tailed based on post-data collection report indicating a two tailed approach.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</si>
  <si>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Balafoutas, L., &amp; Sutter, M. (2012). Affirmative action policies promote women and do not harm efficiency in the laboratory. Science, 335(6068), 579-582.</t>
  </si>
  <si>
    <t>10.1126/science.1211180</t>
  </si>
  <si>
    <t>https://osf.io/drvhe</t>
  </si>
  <si>
    <t>affirmative action</t>
  </si>
  <si>
    <t>Affirmative action policies promote women and do not harm effciency</t>
  </si>
  <si>
    <t>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</si>
  <si>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p. 580</t>
  </si>
  <si>
    <t>=1/((0.306/(1-0.306))/(0.583/(1-0.583))) (flipped to align with replication)</t>
  </si>
  <si>
    <t>https://osf.io/t64fw</t>
  </si>
  <si>
    <t>Bilateral comparisons with the control treatment CTR reveal that the frequency of competing women is significantly higher in PT1</t>
  </si>
  <si>
    <t>Camereretal2018_4</t>
  </si>
  <si>
    <t>Camereretal2018_4_1</t>
  </si>
  <si>
    <t xml:space="preserve">- The inter-coder discrepancy on the sample sizes arose due to misunderstanding of groups versus observations, as the core statistical test was a chi-squared test the total n based on total observations (not groups) was accepted. 
 - Estimated original effect size should not be r (this is a converted value from the replication study, not the original paper). The corresponding effect size value in the replication report was r = 0.525.
- P-values tails replication and original selected as one tail based on chi-squared analysis.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</si>
  <si>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Derex, M., Beugin, M. P., Godelle, B., &amp; Raymond, M. (2013). Experimental evidence for the influence of group size on cultural complexity. Nature, 503(7476), 389-391.</t>
  </si>
  <si>
    <t>10.1038/nature12774</t>
  </si>
  <si>
    <t xml:space="preserve">https://osf.io/kchf9 </t>
  </si>
  <si>
    <t>infuence of group size on cultural complexity</t>
  </si>
  <si>
    <t>The probability of maintaining cultural diversity (that is, observing both tasks in the group) increased with group size (x2 = 16.3, d.f. = 1, p &lt; 0.0001)</t>
  </si>
  <si>
    <t>p. 389</t>
  </si>
  <si>
    <t>X2 = 16.3</t>
  </si>
  <si>
    <t>https://osf.io/yrbq9</t>
  </si>
  <si>
    <t>the probability of maintaining cultural diversity (that is, observing both tasks in the group) increased with group size</t>
  </si>
  <si>
    <t>https://osf.io/kchf9</t>
  </si>
  <si>
    <t>Camereretal2018_5</t>
  </si>
  <si>
    <t>Camereretal2018_5_1</t>
  </si>
  <si>
    <t xml:space="preserve">- Study of original is 1b - double checked before selection over study 1 as reported by coder 2. 
 - Estimated original effect size should not be r (this is a converted value from the replication study, not the original paper). The corresponding effect size value in the replication report was r = 0.674
-  Estimated effect size in replication was taken from the replication project instead of the more detailed r value calculated in R by coder 2 (these values are not discordent just rounded to different levels).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</si>
  <si>
    <t>Duncan, K., Sadanand, A., &amp; Davachi, L. (2012). Memory’s penumbra: episodic memory decisions induce lingering mnemonic biases. Science, 337(6093), 485-487.</t>
  </si>
  <si>
    <t>10.1126/science.1221936</t>
  </si>
  <si>
    <t xml:space="preserve">https://osf.io/s48ht  </t>
  </si>
  <si>
    <t>mneumonic biases</t>
  </si>
  <si>
    <t>episodic memory decisions induce lingering mnemonic biases</t>
  </si>
  <si>
    <t>Similar object trials were more accurately identified as being similar when they were preceded by new object trials than when they were preceded by old ones [ t(14) = 3.41, P &lt; 0.005].</t>
  </si>
  <si>
    <t>p. 486</t>
  </si>
  <si>
    <t>=(0.677/(1-0.677))/(0.617/(1-0.617))</t>
  </si>
  <si>
    <t>https://osf.io/kmqtq</t>
  </si>
  <si>
    <t>similar trials were more accurately identified as being similar when they were preceded by new trials than when they were preceded by old ones</t>
  </si>
  <si>
    <t>In R, r &lt;- sqrt(4.6276^2 / (4.6276^2 + 91))</t>
  </si>
  <si>
    <t>https://osf.io/s48ht</t>
  </si>
  <si>
    <t>Camereretal2018_6</t>
  </si>
  <si>
    <t>Camereretal2018_6_1</t>
  </si>
  <si>
    <t xml:space="preserve">The key test statistics were described as belonging to a two-tailed test in the Camerer supplements but this is not evidenced directly in the original manuscript. </t>
  </si>
  <si>
    <r>
      <rPr>
        <rFont val="Calibri"/>
        <color rgb="FFFF0000"/>
        <sz val="11.0"/>
      </rPr>
      <t xml:space="preserve">PLEASE CHECK ME: 
- There is a discrepancy in the reported p-value (likely a rounding error but needs to be resolved) - in the Camerer replicaiton Table the p value for the replication is reported at 0.414, in the post-data collection report the value is reported as 0.415. This is either a typo or a rounding discrepancy but it needs resolution. </t>
    </r>
    <r>
      <rPr>
        <rFont val="Calibri"/>
        <color theme="1"/>
        <sz val="11.0"/>
      </rPr>
      <t xml:space="preserve">
 - Estimated original effect size should not be r (this is a converted value from the replication study, not the original paper). The corresponding effect size value in the replication report was r = 0.289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r>
  </si>
  <si>
    <t>Gervais, W. M., &amp; Norenzayan, A. (2012). Analytic thinking promotes religious disbelief. Science, 336(6080), 493-496.</t>
  </si>
  <si>
    <t>10.1126/science.1215647</t>
  </si>
  <si>
    <t xml:space="preserve">https://osf.io/r4dve </t>
  </si>
  <si>
    <t>analytic prime</t>
  </si>
  <si>
    <t>Analytic thinking promotes religious disbelief</t>
  </si>
  <si>
    <t>A novel visual prime that triggers analytic thinking (The Thinker) also encouraged disbelief in God, [t(55) = 2.24, P = 0.03].</t>
  </si>
  <si>
    <t>p. 495</t>
  </si>
  <si>
    <t>https://osf.io/g4phs</t>
  </si>
  <si>
    <t>viewing The Thinker significantly promoted religious disbelief</t>
  </si>
  <si>
    <t>https://osf.io/r4dve</t>
  </si>
  <si>
    <t>Camereretal2018_7</t>
  </si>
  <si>
    <t xml:space="preserve">The original N is found only in the Camerer Supplemental Table 3, printed as N = 178. However, assuming the total original N  of 449 is divided equally across 5 conditions - two of which are compared for the main claim of interest - the number 178 makes sense. </t>
  </si>
  <si>
    <r>
      <rPr>
        <rFont val="Calibri"/>
        <color rgb="FFFF0000"/>
        <sz val="11.0"/>
      </rPr>
      <t xml:space="preserve">PLEASE CHECK ME: 
- The inter-coder discrepancy on the sample sizes for original study was explored as follows - coder 2 had reported total N, coder 1 reported N from the replication table (178) which was estimated to be accurate for the relevant 2 groups for the effect of interest. This was then clarified during validation in post-data collection report as follows: "the original sample size was 180 observations (2 out of 5 randomly assigned treatment to a subject pool of n= 449)". However - the discrepancy between 178 (in the replication table)  and 180 (in the post-data collection report)  remains unclear and should be resolved centrally. 
</t>
    </r>
    <r>
      <rPr>
        <rFont val="Calibri"/>
        <color theme="1"/>
        <sz val="11.0"/>
      </rPr>
      <t xml:space="preserve"> - Estimated original effect size should not be r (this is a converted value from the replication study, not the original paper). The corresponding effect size value in the replication report was r = 0.223. 
- Estimated replicaiton effected size - the coder 2 calclalted value (cohen's h in R) was discarded in favour of the value from the replication Table.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r>
  </si>
  <si>
    <t>Gneezy, U., Keenan, E. A., &amp; Gneezy, A. (2014). Avoiding overhead aversion in charity. Science, 346(6209), 632-635.</t>
  </si>
  <si>
    <t>10.1126/science.1253932</t>
  </si>
  <si>
    <t xml:space="preserve">https://osf.io/7ch92 </t>
  </si>
  <si>
    <t>Avoiding overhead aversion in charity</t>
  </si>
  <si>
    <t xml:space="preserve">When 50% covered overhead, 71.43% of participants donated to charity: water, which  is significantly higher than when  there is a 50% uncovered
overhead, (z = 3.00, P &lt; 0.01). </t>
  </si>
  <si>
    <t>p. 633</t>
  </si>
  <si>
    <t>=(0.493/(1-0.493))/(0.7143/(1-0.7143))</t>
  </si>
  <si>
    <t>https://osf.io/mwzdy</t>
  </si>
  <si>
    <t>Camereretal2018_7_1</t>
  </si>
  <si>
    <t>at 50% covered overhead, 71.43% of participants donated to charity: water, which is significantly higher than those in treatment three (50% uncovered overhead</t>
  </si>
  <si>
    <t>in R, h &lt;- 2 * (asin(sqrt(0.7277)) - asin(sqrt(0.5512)))</t>
  </si>
  <si>
    <t>https://osf.io/7ch92</t>
  </si>
  <si>
    <t>Camereretal2018_8</t>
  </si>
  <si>
    <t xml:space="preserve"> - Estimated original effect size should not be r (this is a converted value from the replication study, not the original paper). The corresponding effect size value in the replication report was r = 0.816
-  Estimated effect size in replication was taken from the replication project instead of the value calculated in R by coder 2 (these values are not discordent just rounded to different levels).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t>
  </si>
  <si>
    <t>Hauser, O. P., Rand, D. G., Peysakhovich, A., &amp; Nowak, M. A. (2014). Cooperating with the future. Nature, 511(7508), 220-223.</t>
  </si>
  <si>
    <t>10.1038/nature13530</t>
  </si>
  <si>
    <t xml:space="preserve">https://osf.io/2mtr3 </t>
  </si>
  <si>
    <t>Intergenerational Goods Game</t>
  </si>
  <si>
    <t>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</si>
  <si>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p. S9</t>
  </si>
  <si>
    <t>https://osf.io/kgwf6</t>
  </si>
  <si>
    <t>Camereretal2018_8_1</t>
  </si>
  <si>
    <t>the fraction of cooperators was 20% larger under voting than unregulated</t>
  </si>
  <si>
    <t>In R (based on two-tailed z statistic), r &lt;- sqrt(6.7082^2 / (6.7082^2 + 20))</t>
  </si>
  <si>
    <t>Camereretal2018_9</t>
  </si>
  <si>
    <t>Supplementary Materials - Table S3b
https://www.science.org/doi/suppl/10.1126/science.1183532/suppl_file/janssen.som.pdf</t>
  </si>
  <si>
    <r>
      <rPr>
        <rFont val="Calibri"/>
        <color rgb="FFFF0000"/>
        <sz val="11.0"/>
      </rPr>
      <t xml:space="preserve">PLEASE CHECK ME: 
- The inter-coder discrepancy on the sample sizes for original study was explored as follows - coder 2 had reported total N for individuals(105), coder 1 reported N of groups from the replication table (63) which was estimated to be accurate for the relevant 2 groups for the effect of interest. This was then clarified during validation in post-data collection report as follows: "The original sample size included 63 group-and-period observations (21 groups of 5 individuals observed in 3 periods) and 105 individuals." Similarly for the discrepancy in the replication sample the post-data collection report indicates the difference is the level of the n " 42 group-and-period observations(70 individuals)". As the n of the groups is relevant to the test it is reported accrodingly.  
</t>
    </r>
    <r>
      <rPr>
        <rFont val="Calibri"/>
        <color theme="1"/>
        <sz val="11.0"/>
      </rPr>
      <t xml:space="preserve"> - Estimated original effect size should not be r (this is a converted value from the replication study, not the original paper). The corresponding effect size value in the replication report was r = 0.631. 
- prereg_r - both links were assessed, one points to a post-data collection report. This was discarded in favor of the pre-data collection report. 
- closeness_r - changed to 2 - close, despite involvement of/communication with the original authors they are not listed on the replication study as authors directly.
</t>
    </r>
  </si>
  <si>
    <t>Janssen, M. A., Holahan, R., Lee, A., &amp; Ostrom, E. (2010). Lab experiments for the study of social-ecological systems. Science, 328(5978), 613-617.</t>
  </si>
  <si>
    <t>10.1126/science.1183532</t>
  </si>
  <si>
    <t xml:space="preserve">https://osf.io/knh6y </t>
  </si>
  <si>
    <t>cooperation and public goods</t>
  </si>
  <si>
    <t>costly punishment in ecological systems is used but lacks a gross positive effect on resource harvesting unless combined with communication</t>
  </si>
  <si>
    <t>When participants started with three periods of  "neither communicaiton nor punishment" (NCP), the resource was consistently depleted within about 90 s,. 
When participants started with "communication"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
  </si>
  <si>
    <t>p. 615 (key claim) 
p. S17 (key statistic)</t>
  </si>
  <si>
    <t>U=717 (48,15), z=5.761</t>
  </si>
  <si>
    <t>p. S17</t>
  </si>
  <si>
    <t>https://osf.io/srgg5</t>
  </si>
  <si>
    <t>Camereretal2018_9_1</t>
  </si>
  <si>
    <t>Periods with communication lead on average to a slower harvesting rate and more resource regeneration</t>
  </si>
  <si>
    <t>https://osf.io/knh6y</t>
  </si>
  <si>
    <t>curatescience10_1</t>
  </si>
  <si>
    <t>curatescience10</t>
  </si>
  <si>
    <t>RL</t>
  </si>
  <si>
    <t>25.2.2025</t>
  </si>
  <si>
    <t>replication study d calculated using ES calculation</t>
  </si>
  <si>
    <t>Values were the same as in the Curatescience Database but not the same as in the papers (before: original effect d=0.59 - repl. effect d=0.47)</t>
  </si>
  <si>
    <t>Schnall, S., Benton, J., &amp; Harvey, S. (2008). With a clean conscience: Cleanliness reduces the severity of moral judgments. Psychological science, 19(12), 1219-1222. Study 1</t>
  </si>
  <si>
    <t>10.1111--j.1467-9280.2008.02227.x.pdf</t>
  </si>
  <si>
    <t>Arbesfeld, J. Collins, T., Baldwin, D., &amp; Daubman, K. (2014, February 15). Clean thoughts lead to less severe moral judgment. Retrieved 16:26, February 18, 2014 from http://www.PsychFileDrawer.org/replicati on.php?attempt=MTc3</t>
  </si>
  <si>
    <t>https://web.archive.org/web/20191201181415/http://psychfiledrawer.org/replication.php?attempt=MTc3</t>
  </si>
  <si>
    <t>curatescience10.pdf</t>
  </si>
  <si>
    <t>Fairly Direct Replication</t>
  </si>
  <si>
    <t>Cleanliness Priming</t>
  </si>
  <si>
    <t>priming, moral judgment, response effort, replication, cleanliness</t>
  </si>
  <si>
    <t>cleanliness priming effect (scrambled…</t>
  </si>
  <si>
    <t xml:space="preserve">participants gave lower ratings after the cleanliness priming (M 5 4.98, SD 5 1.26) than they did after the neutral priming (M 5 5.81, SD 5 1.47), F(1, 38) 5 3.63, prep 5.90, Zp  2 1⁄4 :09. </t>
  </si>
  <si>
    <t>p.1</t>
  </si>
  <si>
    <t>Husnain Raza</t>
  </si>
  <si>
    <t>1.3.2025</t>
  </si>
  <si>
    <t>1. DOI is not available for the replication study. 2. Keywords are not given in both orignal or replication study. I have written keywords deriving from the abstract of the orignal study. 3. For orignal study p-rep is reported instead of p-values, therefore, I have kept it NA. 4. The page number of the replication can not be reported as the replicatiojn study is presented on the webpage.</t>
  </si>
  <si>
    <t>https://web.archive.org/web/20190426092919/http://psychfiledrawer.org/replication.php?attempt=MTc3</t>
  </si>
  <si>
    <t>moral judgment, cleanliness, moral purity, physical purity</t>
  </si>
  <si>
    <t>"participants gave lower ratings after the cleanliness priming (M 5 4.98, SD 5 1.26) than they did after the neutral priming (M 5 5.81, SD 5 1.47), F(1, 38) 5 3.63, prep 5.90, np2=.09."</t>
  </si>
  <si>
    <t>F(1, 38)=3.63</t>
  </si>
  <si>
    <t>curatescience11_1</t>
  </si>
  <si>
    <t>curatescience11</t>
  </si>
  <si>
    <t>replication study d calculated using ES calculations</t>
  </si>
  <si>
    <t>Values are the same as in the Curatescience Database but not as in the original paper (before: original effect d = -.59, replication: d=-.10)</t>
  </si>
  <si>
    <t>Lee et al. (2013)   </t>
  </si>
  <si>
    <t>lee_2013</t>
  </si>
  <si>
    <t>https://drive.google.com/file/d/1DDCuEgQah24QordxkRGO0EIt6Q681jyL/view</t>
  </si>
  <si>
    <t>lee_2013.pdf</t>
  </si>
  <si>
    <t xml:space="preserve">1. DOI is not available for the replication study. 2. Keywords are not given in both orignal or replication study. I have written keywords deriving from the abstract of the orignal study. 3. For orignal study p-rep is reported instead of p-values. </t>
  </si>
  <si>
    <t>F(1, 88) = 0.20</t>
  </si>
  <si>
    <t>curatescience12_1</t>
  </si>
  <si>
    <t>curatescience12</t>
  </si>
  <si>
    <t>Values are the same as in the Curatescience Database but not as in the original paper (before: original effect d = -.59, replication: d=-.20)</t>
  </si>
  <si>
    <t>Huang JL (2014) Does cleanliness influence moral judgments? Response effort moderates the effect of cleanliness priming on moral judgments. Front. Psychol. 5:1276. doi: 10.3389/fpsyg.2014.01276 (Study 1)</t>
  </si>
  <si>
    <t>10.3389/fpsyg.2014.01276</t>
  </si>
  <si>
    <t>10.3389--fpsyg.2014.01276.pdf</t>
  </si>
  <si>
    <t>1. DOI is not available for the replication study. 2. Keywords are not given in the orignal study. I have used keywords from replication study.  3. For orignal study  p-rep is reported instead of p-values. 4. Conceptual closeness is because the replication study has used material from another replication study and actually replicated the concept of other study.</t>
  </si>
  <si>
    <t>Online Replication</t>
  </si>
  <si>
    <t>CORE_1_1</t>
  </si>
  <si>
    <t>CORE_1</t>
  </si>
  <si>
    <t>20.06.2025</t>
  </si>
  <si>
    <t>- I added the study number
- I added the replication label
- I entered the effect name and copied the description of the effect (which was provided under „effect“) to the description
- I corrected n_original</t>
  </si>
  <si>
    <t>Kruger, J. (1999). Lake Wobegon be gone! The "below-average effect" and the egocentric nature of comparative ability judgments. Journal of Personality and Social Psychology, 77(2),  221–232. doi: 10.1037/0022-3514.77.2.221</t>
  </si>
  <si>
    <t>10.1037/0022-3514.77.2.221</t>
  </si>
  <si>
    <t>10.1037--0022-3514.77.2.221.pdf</t>
  </si>
  <si>
    <t>LINK</t>
  </si>
  <si>
    <t>Korbmacher, M., Kwan, C. I., &amp; Feldman, G. (2022). Both better and worse than others depending on difficulty: Replication and extensions of Kruger’s (1999) above and below average effects. https://hdl.handle.net/11250/2990125</t>
  </si>
  <si>
    <t>korbmacher_2022</t>
  </si>
  <si>
    <t>https://hdl.handle.net/11250/2990125</t>
  </si>
  <si>
    <t>korbmacher_2022.pdf</t>
  </si>
  <si>
    <t>Replication and extension</t>
  </si>
  <si>
    <t>above-average effects</t>
  </si>
  <si>
    <t>CORE, Judgment, Decision Making, JDM, Heuristics, Biases</t>
  </si>
  <si>
    <t>people tend to perceive themselves as above average when considering easy abilities; using a mouse</t>
  </si>
  <si>
    <t>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</si>
  <si>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
</t>
  </si>
  <si>
    <t xml:space="preserve">p.16 Using a mouse        Mean percentile = 71.2        p &lt; .001
</t>
  </si>
  <si>
    <t>https://osf.io/7yfkc/files/osfstorage</t>
  </si>
  <si>
    <t>CORE_1_b</t>
  </si>
  <si>
    <t>people tend to perceive themselves as above average when considering easy abilities</t>
  </si>
  <si>
    <t>driving</t>
  </si>
  <si>
    <t>Driving        Mean percentile = 65.4        p &lt; .0001</t>
  </si>
  <si>
    <t>Driving        Mean percentile = 65.2        p &lt; .001</t>
  </si>
  <si>
    <t>Corinna - to do</t>
  </si>
  <si>
    <t>CORE_1_c</t>
  </si>
  <si>
    <t>riding a bicycle</t>
  </si>
  <si>
    <t>Riding a bicycle        Mean percentile = 64.0        p &lt; .0001</t>
  </si>
  <si>
    <t>Riding a bicycle        Mean percentile = 61.0        p &lt; .001</t>
  </si>
  <si>
    <t>CORE_1_d</t>
  </si>
  <si>
    <t>saving money</t>
  </si>
  <si>
    <t>Saving money        Mean percentile = 61.5        p &lt; .01</t>
  </si>
  <si>
    <t>Saving money        Mean percentile = 62.9        p &lt; .001</t>
  </si>
  <si>
    <t>CORE_1_e</t>
  </si>
  <si>
    <t>telling jokes</t>
  </si>
  <si>
    <t>Telling jokes        Mean percentile = 46.5        n.s.</t>
  </si>
  <si>
    <t>Telling jokes        Mean percentile = 52.4        n.s.</t>
  </si>
  <si>
    <t>CORE_1_f</t>
  </si>
  <si>
    <t>playing chess</t>
  </si>
  <si>
    <t>Playing chess        Mean percentile = 27.8        p &lt; .0001</t>
  </si>
  <si>
    <t>Playing chess        Mean percentile = 41.0        p &lt; .001</t>
  </si>
  <si>
    <t>CORE_1_g</t>
  </si>
  <si>
    <t>Juggling</t>
  </si>
  <si>
    <t>Juggling        Mean percentile = 26.5        p &lt; .0001</t>
  </si>
  <si>
    <t>Juggling        Mean percentile = 32.0        p &lt; .001</t>
  </si>
  <si>
    <t>CORE_1_h</t>
  </si>
  <si>
    <t>Programming</t>
  </si>
  <si>
    <t>Programming        Mean percentile = 24.8        p &lt; .0001</t>
  </si>
  <si>
    <t>Programming        Mean percentile = 40.7        p &lt; .001</t>
  </si>
  <si>
    <t>CORE_1_i</t>
  </si>
  <si>
    <t>As Table 2 indicates, the easier the ability, the higher participants' estimates of how they compare with their peers:  : The correlation between domain difficulty and participants' compara- tive ability estimates across the eight abilities was —.96 (df = 6,p &lt; .001).</t>
  </si>
  <si>
    <t>r—.96 (df = 6,p &lt; .001).</t>
  </si>
  <si>
    <t>p.17 (r(6) = –0.85, p = .0073, 95% CI [–0.97 -0.37]).</t>
  </si>
  <si>
    <t>CORE_1_j</t>
  </si>
  <si>
    <t>As Table 2 indicates, the easier the ability, the higher participants' estimates of how they compare with their peers:  :Similarly, the correlation between participants' ratings of their own absolute abilities and their comparative abilities was .95 (df = 6, p &lt; .001).</t>
  </si>
  <si>
    <t>r = 0.95 (df = 6, p &lt; .001).</t>
  </si>
  <si>
    <t>p.15 (r(6) = 0.99, p &lt; .001, 95% CI [0.96, .99]).</t>
  </si>
  <si>
    <t>curatescience13_1</t>
  </si>
  <si>
    <t>curatescience13</t>
  </si>
  <si>
    <t>which study in replication is supposed to replicate the egodepletion effect? Jyoti Bhogal</t>
  </si>
  <si>
    <t>After looking at the detaisl of the studies fromt he origianl paper and the reference paper, it is not very clear which origianl study is linked to which replication study.</t>
  </si>
  <si>
    <t>Values are the same as in the Curatescience Database but not the same as in original paper (before: original paper: d=-1.19) - which study in replication is supposed to replicate the egodepletion effect?</t>
  </si>
  <si>
    <t>Gailliot, M. T., Baumeister, R. F., DeWall, C. N., Maner, J. K., Plant, E. A., Tice, D. M., Brewer, L. E., &amp; Schmeichel, B. J. (2007). Self-control relies on glucose as a limited energy source: Willpower is more than a metaphor. Journal of Personality and Social Psychology, 92(2), 325–336. https://doi.org/10.1037/0022-3514.92.2.325. Study 7</t>
  </si>
  <si>
    <t>10.1037/0022-3514.92.2.325</t>
  </si>
  <si>
    <t>10.1037--0022-3514.92.2.325.pdf</t>
  </si>
  <si>
    <t>Cesario, J., Corker, K. S., &amp; Jelinek, S. (2013). A self-regulatory framework for message framing. Journal of Experimental Social Psychology, 49(2), 238–249. https://doi.org/10.1016/j.jesp.2012.10.014</t>
  </si>
  <si>
    <t>10.1016/j.jesp.2012.10.014</t>
  </si>
  <si>
    <t>self-regulation, glucose, attention, emotion regulation, prejudice</t>
  </si>
  <si>
    <t>self-control relies on glucose as a limited energy source</t>
  </si>
  <si>
    <t>curatescience14_1</t>
  </si>
  <si>
    <t>curatescience14</t>
  </si>
  <si>
    <t>The r_study is more of a conceptual replication so I tried to report the closest claim to the o_study</t>
  </si>
  <si>
    <t>Values are the same as in the Curatescience Database but have not been cross-checked with original papers</t>
  </si>
  <si>
    <t>Wang, X. T., &amp; Dvorak, R. D. (2010). Sweet future: Fluctuating blood glucose levels affect future discounting. Psychological Science, 21(2), 183-188.</t>
  </si>
  <si>
    <t>10.1016/j.jtbi.2005.02.010</t>
  </si>
  <si>
    <t>10.1177--0956797609358096.pdf</t>
  </si>
  <si>
    <r>
      <rPr>
        <rFont val="Calibri"/>
        <sz val="11.0"/>
      </rPr>
      <t xml:space="preserve">Lange, F., &amp; Eggert, F. (2014). Sweet delusion. Glucose drinks fail to counteract ego depletion. Appetite, 75, 54–63. </t>
    </r>
    <r>
      <rPr>
        <rFont val="Calibri"/>
        <color rgb="FF1155CC"/>
        <sz val="11.0"/>
        <u/>
      </rPr>
      <t>https://doi.org/10.1016/j.appet.2013.12.020</t>
    </r>
  </si>
  <si>
    <t>10.1016/j.appet.2013.12.020</t>
  </si>
  <si>
    <t>Experiment 1 was designed to replicate the counteracting effect of sugar consumption on ego depletion (Gailliot et al., 2007; Hagger et al., 2010). Following the protocol of Wang and Dvorak (2010),</t>
  </si>
  <si>
    <t>future (delay) discounting</t>
  </si>
  <si>
    <t>intertemporal choice, future (delay) discounting, blood glucose</t>
  </si>
  <si>
    <t>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</si>
  <si>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</si>
  <si>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please put NA if there is no prereg available; please put "1" in study, even if there is only one experiment
</t>
  </si>
  <si>
    <t xml:space="preserve">Calculated p value for O myself </t>
  </si>
  <si>
    <t>10.1177/0956797609358096</t>
  </si>
  <si>
    <t>Lange, F., &amp; Eggert, F. (2014). Sweet delusion. Glucose drinks fail to counteract ego depletion. Appetite, 75, 54–63. https://doi.org/10.1016/j.appet.2013.12.020</t>
  </si>
  <si>
    <t>ego depletion</t>
  </si>
  <si>
    <t>intertemporal choice, future (delay) discounting, blood glucose, Ego depletion, Self-control, Oral glucose sensing</t>
  </si>
  <si>
    <t>Glucose drinks fail to counteract ego depletion</t>
  </si>
  <si>
    <t>As predicted, there was a significant interaction between condition and time (i.e., T1 future discount to T2 future discount), F(1, 59) = 15.61, prep &gt; .999, ηp2 = .21. ... Our results showed that human preferences for future versus current rewards fluctuated from moment to moment based on blood glucose levels.</t>
  </si>
  <si>
    <t>p.4, F(1, 59) = 15.61, prep &gt; .999, ηp2 = .21</t>
  </si>
  <si>
    <t>p.5, F(1,68) = 1.12, p = .29, n2p=09.</t>
  </si>
  <si>
    <t>please put NA instead of "no" in prereg</t>
  </si>
  <si>
    <t>curatescience15_1</t>
  </si>
  <si>
    <t>curatescience15</t>
  </si>
  <si>
    <t>df=2, N = 58 (56+2)</t>
  </si>
  <si>
    <t>corrected test statistics</t>
  </si>
  <si>
    <t>Muraven, M., Tice, D. M., &amp; Baumeister, R. F. (1998). Self-control as a limited resource: Regulatory depletion patterns. Journal of personality and social psychology, 74(3), 774.</t>
  </si>
  <si>
    <t>10.1037/0022-3514.74.3.774</t>
  </si>
  <si>
    <t>10.1037--0022-3514.74.3.774.pdf</t>
  </si>
  <si>
    <t>Murtagh, A. M., &amp; Todd, S. A. (2004). Self-regulation: A challenge to the strength model. Journal of Articles in Support of the Null Hypothesis, 3(1), 19-51. (Study 2)</t>
  </si>
  <si>
    <t>murtagh_2004</t>
  </si>
  <si>
    <t>experimental replication</t>
  </si>
  <si>
    <t>strength model (also known as ego-strength model or resource model)</t>
  </si>
  <si>
    <t>self-regulation, self-control, regulatory, depletion</t>
  </si>
  <si>
    <t>Participants with no emotional control</t>
  </si>
  <si>
    <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</si>
  <si>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p. 4-5</t>
  </si>
  <si>
    <t>F(2, 56) = 7.58</t>
  </si>
  <si>
    <t>F(2, 73) = 0.274</t>
  </si>
  <si>
    <t>p. 32</t>
  </si>
  <si>
    <t>- Please enter test statistics (regardless if F, t, ...) in their entirety: eg "F(2, 56) = 7.58" as value and "test statistic" as type
- Fill out all variables and write "NA" if you cannot find a value (except for variable "exclusion")</t>
  </si>
  <si>
    <t>Jyoti Bhogal</t>
  </si>
  <si>
    <t>No values</t>
  </si>
  <si>
    <t>self regulation, self-control, thoughts, strength model</t>
  </si>
  <si>
    <t>curatescience15_b</t>
  </si>
  <si>
    <t>Participants with decrease emotional control</t>
  </si>
  <si>
    <t>"participants in the decrease emotional response condition reported that they found the manipulation of regulatory exertions much more effortful (Af = 33) than participants in the no emotional control condition (M = 1.9), /(38) = 3.47, p &lt; .01"</t>
  </si>
  <si>
    <t>t(38) = 3.47</t>
  </si>
  <si>
    <t>p. 33</t>
  </si>
  <si>
    <t>curatescience15_c</t>
  </si>
  <si>
    <t>Participants with increase emotional control</t>
  </si>
  <si>
    <t>"participants in the increase emotional response condition indicated that the manipula-tion of regulatory exertion instructions was much more effortful (M = 3.0) than participants in the no emotional control condi-tion, r(37) = 3.59, p &lt; .001.2"</t>
  </si>
  <si>
    <t>t(37) = 3.50</t>
  </si>
  <si>
    <t>curatescience16_1</t>
  </si>
  <si>
    <t>curatescience16</t>
  </si>
  <si>
    <t>There is not enough information on links to the replication study to complete the curation task</t>
  </si>
  <si>
    <t>Insufficient values (personal communication in Lebel's github)</t>
  </si>
  <si>
    <t>Schmeichel, B. J., Vohs, K. D., &amp; Baumeister, R. F. (2003). Intellectual performance and ego depletion: role of the self in logical reasoning and other information processing. Journal of personality and social psychology, 85(1), 33.</t>
  </si>
  <si>
    <t>10.1037/0022-3514.85.1.33</t>
  </si>
  <si>
    <t>10.1037--0022-3514.85.1.33.pdf</t>
  </si>
  <si>
    <t>Pond et al. (2011) Study 3  </t>
  </si>
  <si>
    <t>https://web.archive.org/web/20220103002744/https://github.com/eplebel/science-commons/blob/master/curated/ego-depletion/Pond%20et%20al%20(2011%2C%20Study%203)%20unpublished%20dataset%20methodological%20details.pdf</t>
  </si>
  <si>
    <t>Reference Study paper could not be found as the DOI is missing and also the complete paper title with author names is not provided</t>
  </si>
  <si>
    <t>sef regulation, intellectual performance, ego depletion, logical reasoning, information processing, Regulatory resources, complex thinking, attention regulation, emotion regulation, depleted participants</t>
  </si>
  <si>
    <t>Self regulation is associated with logical reasoning and other information processing</t>
  </si>
  <si>
    <t>curatescience17_1</t>
  </si>
  <si>
    <t>curatescience17</t>
  </si>
  <si>
    <t>DM-R</t>
  </si>
  <si>
    <t>Feedback for Diego
- please also copy the formula that resulted in the reported effect size</t>
  </si>
  <si>
    <t>Schmeichel, B. J. (2007). Attention control, memory updating, and emotion regulation temporarily reduce the capacity for executive control. Journal of experimental psychology: General, 136(2), 241.</t>
  </si>
  <si>
    <t>10.1037/0096-3445.136.2.241</t>
  </si>
  <si>
    <t>10.1037--0096-3445.136.2.241.pdf</t>
  </si>
  <si>
    <t>Healey, M. K., Hasher, L., &amp; Danilova, E. I. (2011). The stability of working memory: Do previous tasks influence complex span? Journal of Experimental Psychology: General, 140(4), 573–585. https://doi.org/10.1037/a0024587</t>
  </si>
  <si>
    <t>10.1037/a0024587</t>
  </si>
  <si>
    <t>Use of race information in WIT</t>
  </si>
  <si>
    <t>Emotion regulation, Executive control, Limited resources, Self-regulation, Working memory</t>
  </si>
  <si>
    <t>This study investigates how performing tasks requiring executive control depletes the capacity for subsequent tasks that also require self-control.</t>
  </si>
  <si>
    <t>Engaging in demanding executive control tasks temporarily depletes resources for subsequent self-regulation. Key result: F(1, 95) = 5.38, p = .023, η² = 0.055.</t>
  </si>
  <si>
    <t>p. 245</t>
  </si>
  <si>
    <t>Calculated based on F(1, 95) = 5.38 and variance explained (η² = 0.055) reported on p. 245.</t>
  </si>
  <si>
    <t>Calculated based on means and SDs from p. 578</t>
  </si>
  <si>
    <t>R does not identify as a replication in title or abstract but identifies as replication in the description of experiment 1</t>
  </si>
  <si>
    <t>limited resource model of executive control</t>
  </si>
  <si>
    <t>emotion regulation, executive control, limited resources, self-regulation, working memory</t>
  </si>
  <si>
    <t>Controlling the focus of visual attention undermines performance on subsequent tests of working memory span, reverse digit span, and response inhibition.</t>
  </si>
  <si>
    <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</si>
  <si>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p. 4, 5</t>
  </si>
  <si>
    <t>pval_value_r is not given as I calculated Cohens d using the excel sheet "ES calculations" using M and SD</t>
  </si>
  <si>
    <t>Feedback for Corinna
- please also copy the formula that resulted in the reported effect size</t>
  </si>
  <si>
    <t xml:space="preserve">"Participants in the attention control condition reported somewhat less positive mood (M = 8.49, SD = 11.05) than did participants in the no control condition (M = 12.19, SD = 10.90), F(1, 137) = 3.72, p = .06, d = 0.34.", "Experiment 1 supported the hypothesis that exerting executive control temporarily reduces the capacity for executive control.", "Prior efforts at attention control undermined recall on both the operation span task (which included numerical distractors) and the sentence span task (which included verbal distractors), and mood states, motivation, and working speed did not appear to account for the impairment."
</t>
  </si>
  <si>
    <t>curatescience18_1</t>
  </si>
  <si>
    <t>curatescience18</t>
  </si>
  <si>
    <t>Changed replication closeness to conceptual because this is what the authers call it on p. 7</t>
  </si>
  <si>
    <t>Carter, E. C., &amp; McCullough, M. E. (2013). After a pair of self-control-intensive tasks, sucrose swishing improves subsequent working memory performance. BMC Psychology, 1(1). https://doi.org/10.1186/2050-7283-1-22</t>
  </si>
  <si>
    <t>10.1186/2050-7283-1-22</t>
  </si>
  <si>
    <t>Calculated based on means and SDs from p. 5</t>
  </si>
  <si>
    <t>Feedback
- study by Carter &amp; McCullough did not actually self-identify as replication in title or abstract but only in text (=conceptual replication).</t>
  </si>
  <si>
    <t>R does not identify as a replication in title or abstract</t>
  </si>
  <si>
    <t>extant effect size: interaction of effort and rinse (unsweeted rinse versus sucralose-sweted rinse)</t>
  </si>
  <si>
    <t>F(2, 229) = 3.54</t>
  </si>
  <si>
    <t>curatescience19_1</t>
  </si>
  <si>
    <t>curatescience19</t>
  </si>
  <si>
    <t>Corrected: Study does not identify as a replication</t>
  </si>
  <si>
    <t>Lurquin JH, Michaelson LE, Barker JE, Gustavson DE, von Bastian CC, Carruth NP, et al. (2016) No Evidence of the Ego-Depletion Effect across Task Characteristics and Individual Differences: A Pre-Registered Study. PLoS ONE 11 (2): e0147770. doi:10.1371/journal.pone.0147770</t>
  </si>
  <si>
    <t>10.1371/journal.pone.0147770</t>
  </si>
  <si>
    <t>Calculated based on means and SDs from p. 6</t>
  </si>
  <si>
    <t xml:space="preserve">Feedback
- You coded a study label as replication when it actually did not self-identify as a replication in the title or abstract. Please keep in mind the variable labels for future cases.
</t>
  </si>
  <si>
    <t>I copied the link to the pre-registration from the manuscript, but the link does not work.; Descriptive statistics indicate that the effect is reverse, therefore I coded d negatively.</t>
  </si>
  <si>
    <t>Corrected preregistration link (included a space).</t>
  </si>
  <si>
    <t>https://osf.io/cifn3</t>
  </si>
  <si>
    <t xml:space="preserve">Feedback
- The link didn't work because it included a space. I removed the space and the ?view-only part and it now works.
</t>
  </si>
  <si>
    <t>The authors also investigated the task difficulty as a moderator: "Unsurprisingly, task difficulty had a large effect, F(4, 796) = 762.82, p &lt; .001, ηp2 = .79, with increasing set sizes yielding performance decreases as indicated by a significant linear effect of task difficulty, F(1, 199) = 4439.81, p &lt; .001, ηp2 = .96. A marginally significant interaction between condition and set size, F(4, 792) = 2.13, p = .076, ηp2 = .01, indicated that Depletion participants outperformed Control participants on set size 3, t(198) = 2.42, p = .016, though there was no reason to expect this and so the effect was likely spurious. There were no condi- tion differences for any other set size (see Fig 2). The linear effect of task difficulty also did not interact with condition, F(1, 198) = 0.08, p = .780, ηp2 &lt; .01." p. 11 -&gt; If this is a relevant extant effect I will be happy to code it too.</t>
  </si>
  <si>
    <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</si>
  <si>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F(1, 137) = 50.46</t>
  </si>
  <si>
    <t>curatescience20_1</t>
  </si>
  <si>
    <t>curatescience20</t>
  </si>
  <si>
    <t>"Prep" is probably not a p-value.
Corrected n based on reported df.</t>
  </si>
  <si>
    <t>Inzlicht, M., &amp; Gutsell, J. N. (2007). Running on empty: Neural signals for self-control failure. Psychological science, 18(11), 933-937.</t>
  </si>
  <si>
    <t>10.1111/j.1467-9280.2007.02004.x</t>
  </si>
  <si>
    <t>10.1111--j.1467-9280.2007.02004.x.pdf</t>
  </si>
  <si>
    <r>
      <rPr>
        <rFont val="Calibri"/>
        <sz val="11.0"/>
      </rPr>
      <t xml:space="preserve">Wang, Y., &amp; Yang, L. (2014). Suppression (but not reappraisal) impairs subsequent error detection: An ERP Study of Emotion Regulation’s Resource-Depleting Effect. PLOS ONE, 9(4), e96339. </t>
    </r>
    <r>
      <rPr>
        <rFont val="Calibri"/>
        <color rgb="FF1155CC"/>
        <sz val="11.0"/>
        <u/>
      </rPr>
      <t>https://doi.org/10.1371/journal.pone.0096339</t>
    </r>
  </si>
  <si>
    <t>10.1371/journal.pone.0096339</t>
  </si>
  <si>
    <t>self-control, neural, stroop task, suppression</t>
  </si>
  <si>
    <t>manipulation check to determine whether subjects in the control condition attempted to regulate their emotions</t>
  </si>
  <si>
    <t>"a t test showed the expected main effect, t(31) = 3.05, prep = .97, d = 1.10..."</t>
  </si>
  <si>
    <t>Feedback
- Please remember to fill out the label for the replication type and indicate that none was used if that was the case.
- Review text copied from the manuscript and make sure it is readable (eg = is often mistaken as 1/4)</t>
  </si>
  <si>
    <t>I</t>
  </si>
  <si>
    <t>Wang, Y., &amp; Yang, L. (2014). Suppression (but not reappraisal) impairs subsequent error detection: An ERP Study of Emotion Regulation’s Resource-Depleting Effect. PLOS ONE, 9(4), e96339. https://doi.org/10.1371/journal.pone.0096339</t>
  </si>
  <si>
    <t>self-control, neural signals, error related negativity (ERN), neuroscience</t>
  </si>
  <si>
    <t>Behavioral measures</t>
  </si>
  <si>
    <t xml:space="preserve">"We examined responses to the manipulation check to determine whether subjects in the suppression condition attempted to regulate their emotions. A t test showed the expected main effect, t(31)5 3.05, prep5 .97, d5 1.10, with the emotion-sup-
pression group (M5 5.03, SD5 1.69) reporting more regulation
than the control group (M5 3.11, SD5 1.89). The Stroop RTs were analyzed using a 2
(condition: control vs. suppression) 2 (trial type: congruent vs.
incongruent) mixed-model analysis of variance (ANOVA), with
the last factor repeated. This analysis revealed a significant
main effect for trial type, F(1, 31)5 76.41, prep
5 .99, d5 3.14,
the classic Stroop interference effect (see Fig. 1a). The analysis
also yielded the expected interaction between condition and
trial type, F(1, 31)5 6.76, prep
5 .94, d5 0.93; although
subjects in both conditions showed Stroop interference (both
Fs &gt; 20.74, preps 5 .99), the effect was significantly larger for
the emotion-suppression subjects.
Further analyses confirmed that these results do not simply
reflect general fatigue. The main effect for condition was non-
significant, F(1, 31)5 1.08, prep
5 .64, which suggests that the
slowing effect in the suppression group did not generalize to both
congruent and incongruent trials. Further, when we analyzed
Stroop performance as a ratio score, (RTincongruent RTcongruent)/
(RTincongruent 1 RTcongruent), a significant condition effect,
F(1, 32)5 6.88, prep
5 .94, confirmed our first analysis and
suggested that the Stroop effect was larger in the suppression
Fig. 1. Stroop response latency (a) and error rate (b) as a function of
trial type and condition. Error bars represent standard errors of the
mean difference.
group than in the control group. These results suggest that
subjects who suppressed their emotions had a more difficult time
maintaining executive control in an unrelated task than control
subjects did. The error rates, illustrated in Figure 1b, showed the
typical Stroop interference effect, F(1, 31)5 35.59, prep
5 .99,
d5 2.15, but failed to reveal a significant condition effect or
interaction, Fs &lt; 1, n.s." </t>
  </si>
  <si>
    <t>p.935</t>
  </si>
  <si>
    <t>curatescience20_b</t>
  </si>
  <si>
    <t>ES of the suppression group of the original paper was calculated using the provided mean and standard deviation in the ES calculation formula provided in Excel</t>
  </si>
  <si>
    <r>
      <rPr>
        <rFont val="Calibri"/>
        <sz val="11.0"/>
      </rPr>
      <t xml:space="preserve">Wang, Y., &amp; Yang, L. (2014). Suppression (but not reappraisal) impairs subsequent error detection: An ERP Study of Emotion Regulation’s Resource-Depleting Effect. PLOS ONE, 9(4), e96339. </t>
    </r>
    <r>
      <rPr>
        <rFont val="Calibri"/>
        <color rgb="FF1155CC"/>
        <sz val="11.0"/>
        <u/>
      </rPr>
      <t>https://doi.org/10.1371/journal.pone.0096339</t>
    </r>
  </si>
  <si>
    <t>manipulation check to determine whether subjects in the suppression condition attempted to regulate their emotions</t>
  </si>
  <si>
    <t>"...with the emotion-suppression group (M = 5.03, SD = 1.69) reporting more regulation than the control group (M = 3.11, SD = 1.89)"</t>
  </si>
  <si>
    <t>Mediation of Stroop Interference</t>
  </si>
  <si>
    <t>Feedback
Every entry should have a claim and coded statistics</t>
  </si>
  <si>
    <t>curatescience20_c</t>
  </si>
  <si>
    <t>Error-related negativity (ERN)</t>
  </si>
  <si>
    <t>curatescience204</t>
  </si>
  <si>
    <t>Diego Manriquez-Robles</t>
  </si>
  <si>
    <t>duplicate to curatescience204_1 and _2</t>
  </si>
  <si>
    <t>Schwarz, N., Hippler, H. J., Deutsch, B., &amp; Strack, F. (1985).Response scales: Effects of category range on reportedbehavior  and  comparative  judgments.Public  OpinionQuarterly, 49, 388–395.</t>
  </si>
  <si>
    <t>10.1086/268936</t>
  </si>
  <si>
    <t>Klein, R. A., Ratliff, K. A., Vianello, M., Adams, R. B., Bahník, Š., Bernstein, M. J., ... &amp; Nosek, B. A. (2014). Investigating variation in replicability: A "Many Labs" replication project. Social Psychology, 45(3), 142–152</t>
  </si>
  <si>
    <t>10.1027/1864-9335/a000178</t>
  </si>
  <si>
    <t>https://osf.io/y36m8</t>
  </si>
  <si>
    <t>05 (as labeled in the Many Labs supplement).</t>
  </si>
  <si>
    <t>Identified as "replication" in the Many Labs documents.</t>
  </si>
  <si>
    <t>Response scale range affects reported behavior and judgments</t>
  </si>
  <si>
    <t>response scales, behavior reporting, social comparison, many labs</t>
  </si>
  <si>
    <t>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</si>
  <si>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Respondents provided higher frequency estimates for their TV watching behavior when the response scale included a high range (e.g., 4–6 times per week) compared to a low range (e.g., 0–2 times per week). The difference was statistically significant: F(1, 59) = 21.18, p &lt; .001, η² = .26.</t>
  </si>
  <si>
    <t>Page 391</t>
  </si>
  <si>
    <t>Reported on page 391.</t>
  </si>
  <si>
    <t>Reported in Many Labs supplementary materials, Section 5: Response scales and reported behavior​</t>
  </si>
  <si>
    <t>Not mentioned</t>
  </si>
  <si>
    <t>potential duplicate</t>
  </si>
  <si>
    <t>Low vs. high category scales</t>
  </si>
  <si>
    <t>only 16.2 percent of the respondents who were presented the low category range reported watching TV for more than two and a half hours, while 37.5 percent of the respondents presented the high category range did so</t>
  </si>
  <si>
    <t>curatescience21_1</t>
  </si>
  <si>
    <t>curatescience21</t>
  </si>
  <si>
    <t>n_r was inferred from ANOVA F(1,27) = 2.47. The original sample size was N = 31 but "participants who did not proceed directly down the walkway without stopping were excluded from the study." (p. 4)</t>
  </si>
  <si>
    <t>added "NA" to prereg</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</si>
  <si>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</si>
  <si>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10.1037/0022-3514.71.2.230</t>
  </si>
  <si>
    <t>10.1037--0022-3514.71.2.230.pdf</t>
  </si>
  <si>
    <t>Hull, J. G., Slone, L. B., Meteyer, K., &amp; Matthews, A. R. (2002). The nonconsciousness of self-consciousness. Journal of Personality and Social Psychology, 83(2), 406–424. https://doi.org/10.1037/0022-3514.83.2.406 (Study 1a)</t>
  </si>
  <si>
    <t>10.1037/0022-3514.83.2.406</t>
  </si>
  <si>
    <t>R does not identify as a replication in title or abstract but the introduction of study 1 states that the authors "attempt to replicate" the effects observed by Bargh et al., (1996)</t>
  </si>
  <si>
    <t>stereotype priming</t>
  </si>
  <si>
    <t>Whether the activation or priming of an elderly stereotype affects participants' walking speed.</t>
  </si>
  <si>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</si>
  <si>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t(28) = 2.86</t>
  </si>
  <si>
    <t>F(1,27) = 2.47</t>
  </si>
  <si>
    <t>extension effect size of the interaction between self-consciousness x prime interaction (self-consciouness was not part of the original study and therefore no original effect size is coded); n_r was inferred from ANOVA F(1,27) = 4.44. The original sample size was N = 31 but "participants who did not proceed directly down the walkway without stopping were excluded from the study." (p. 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</si>
  <si>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</si>
  <si>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F(1,27) = 4.44</t>
  </si>
  <si>
    <t xml:space="preserve">Generated link (link_o) leads to a wrong study </t>
  </si>
  <si>
    <t>Bargh, J. A., Chen, M., &amp; Burrows, L. (1996). Automaticity of social behavior: Direct effects of trait construct and stereotype activation on action. Journal of Personality and Social Psychology, 71(2), 230–244. https://doi.org/10.1037/0022-3514.71.2.230. Study 2a</t>
  </si>
  <si>
    <t>self-consciousness, automatic behaviors</t>
  </si>
  <si>
    <t>Occurs when an individual's exposure to a certain stimulus influences their response to a subsequent prompt, without any awareness of the connection.</t>
  </si>
  <si>
    <t>p.8 t(28) = 2.86,p&lt; .01, as predicted.</t>
  </si>
  <si>
    <t xml:space="preserve"> F(1, 27)  = 2.47</t>
  </si>
  <si>
    <t>curatescience22_1</t>
  </si>
  <si>
    <t>curatescience22</t>
  </si>
  <si>
    <t>n_r was inferred from ANOVA F(1,36) = 2.95. The original sample size was N = 40 but "participants who did not proceed directly down the walkway without stopping were excluded from the study." (p. 4)</t>
  </si>
  <si>
    <t>discarded because central effect is the priming effect</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</si>
  <si>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</si>
  <si>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Hull, J. G., Slone, L. B., Meteyer, K., &amp; Matthews, A. R. (2002). The nonconsciousness of self-consciousness. Journal of Personality and Social Psychology, 83(2), 406–424. https://doi.org/10.1037/0022-3514.83.2.407  (Study 1b)</t>
  </si>
  <si>
    <t>F(1, 36) = 2.95</t>
  </si>
  <si>
    <t>extension effect size of the interaction between self-consciousness x prime interaction (self-consciouness was not part of the original study and therefore no original effect size is coded); n_r was inferred from ANOVA F(1,36) = 6.77. The original sample size was N = 40 but "participants who did not proceed directly down the walkway without stopping were excluded from the study." (p. 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</si>
  <si>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</si>
  <si>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F(1, 36) = 6.77</t>
  </si>
  <si>
    <t>F(1, 36)  = 6.77</t>
  </si>
  <si>
    <t xml:space="preserve">p.4 </t>
  </si>
  <si>
    <t>curatescience23_1</t>
  </si>
  <si>
    <t>curatescience23</t>
  </si>
  <si>
    <t>note for n_r: The sample size was inferred as 80 participants took part in the experiment, while 5 had to be excluded and there were 3 experimental groups (eldery condition, youth condition &amp; control condition); pval_value_r: The authors only report a p-value that refers to an ANOVA comparing participants in the control condition, youth primed condition and eldery condition (F[2, 64] = 2.93, p = .06) while Cohens d reflects a comparison between the eldary group and the control group (like in the original study). For the comparison between the eldery group and the control group &amp; between the youth group and control group they report "As predicted, mean exit time for the no-prime control condition was between the elderly and youth prime conditions and was not significantly different from either (Fs 1.06)." p. 10</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</si>
  <si>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</si>
  <si>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Cesario, J., Plaks, J. E., &amp; Higgins, E. T. (2006). Automatic social behavior as motivated preparation to interact. Journal of Personality and Social Psychology, 90(6), 893–910 (study 2)</t>
  </si>
  <si>
    <t>10.1037/0022-3514.90.6.893</t>
  </si>
  <si>
    <t>R does not identify as a replication in title or abstract but the results section contains one headline named "Analysis 1: Replication of Previous Automatic Social Behavior Effects" P. 10</t>
  </si>
  <si>
    <t>automaticity, automatic social behavior, preparatory interaction, perception– behavior link</t>
  </si>
  <si>
    <t>p. 9 F(2, 64)  = 2.93, p =  .06, partial  2  = .08.</t>
  </si>
  <si>
    <t>curatescience24_1</t>
  </si>
  <si>
    <t>curatescience24</t>
  </si>
  <si>
    <t>The report does not contain an abstract and thus does not identify as a replication in the abstract. The report describes itself as "Fairly Exact Replication"</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</si>
  <si>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</si>
  <si>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Pashler, H., Harris, C., &amp; Coburn, N.. Elderly-Related Words Prime Slow Walking . (2011, September 15). Retrieved 04:36, September 23, 2017 from http://www.PsychFileDrawer.org/replication.php?attempt=MTU%3D</t>
  </si>
  <si>
    <t>pashler_2011</t>
  </si>
  <si>
    <t>t(64) = -.88</t>
  </si>
  <si>
    <t>Fairly Exact Replication</t>
  </si>
  <si>
    <t>t(64) = -.88, p=.38.</t>
  </si>
  <si>
    <t>curatescience241</t>
  </si>
  <si>
    <t>it says "6344 valid and complete sessions" on p.2 and "445 subjects failed to provide valid responses" on p.7 resulting in 5899 estimates</t>
  </si>
  <si>
    <t>Schwarz, N., Hippler, H. J., Deutsch, B., &amp; Strack, F. (1985).Response scales: Effects of category range on reportedbehavior  and  comparative  judgments. Public Opinion Quarterly, 49, 388–395.</t>
  </si>
  <si>
    <t>F(1, 127) = 8.8</t>
  </si>
  <si>
    <t>p. 391</t>
  </si>
  <si>
    <t>X2(1) = 342.39</t>
  </si>
  <si>
    <t>Reported in Many Labs supplementary materials, Section 5: Response scales and reported behavior​ p. 7 (https://osf.io/y36m8)</t>
  </si>
  <si>
    <t>I could not find the N anywhere and you reported an eta squared, which was not in the report nor on the page that you indicated. Please report exactly what is in the respective report and do not calculate any values without providing the exact formula.Also, you reported 2 tails for a test but there was nothing in the document.</t>
  </si>
  <si>
    <t>duplicate</t>
  </si>
  <si>
    <t>curatescience244</t>
  </si>
  <si>
    <t>d original is for faces (names also has an effect), n is table 1 "interpretable n". Removed p-value because it was not reported on p. 106 --&gt; Discarded because it is referring to wrong study (Nosek, Banaji and Greenwald published two papers in 2002</t>
  </si>
  <si>
    <t>Nosek, B. A., Banaji, M. R., &amp; Greenwald, A. G. (2002). Harvesting implicit group attitudes and beliefs from a demonstration web site. Group Dynamics: Theory, Research, and Practice, 6(1), 101.</t>
  </si>
  <si>
    <t>10.1037/1089-2699.6.1.101</t>
  </si>
  <si>
    <t>12 (as labeled in the Many Labs supplement).</t>
  </si>
  <si>
    <t>Implicit attitudes measured via IAT demonstrate biases (e.g., race, age, gender) that may differ from explicit self-reports.</t>
  </si>
  <si>
    <t>IAT, implicit attitudes, implicit bias, many labs, replication</t>
  </si>
  <si>
    <t>The replication tested implicit biases using the IAT and compared them with explicit attitudes. It found robust effects consistent with the original: race bias (d = 0.71) and gender-science stereotypes (d = 0.72).</t>
  </si>
  <si>
    <t>Implicit attitudes toward social groups were significantly stronger than explicit attitudes. For example, implicit race bias showed d = 0.71 (p &lt; .001), compared to explicit race bias with d = 0.27.</t>
  </si>
  <si>
    <t>Page 106</t>
  </si>
  <si>
    <t>Reported on page 106.</t>
  </si>
  <si>
    <t>Reported in Many Labs supplementary materials, Section 12: Implicit Association Test and Implicit Attitudes.</t>
  </si>
  <si>
    <t>- You entered data from ref_o which did not match up with ref_r. ref_o was wrong and you should have noticed when checking if the replication is actually investigating the same claim. Apologies for matching up the wrong studies. Please try to understand the overlap between replication and original study more thoroughly.</t>
  </si>
  <si>
    <r>
      <rPr>
        <rFont val="Calibri"/>
        <color rgb="FF05103E"/>
        <sz val="11.0"/>
      </rPr>
      <t xml:space="preserve">Nosek, B. A., Banaji, M. R., &amp; Greenwald, A. G. (2002). Math = male, me = female, therefore math ≠ me. Journal of Personality and Social Psychology, 83(1), 44–59. </t>
    </r>
    <r>
      <rPr>
        <rFont val="Calibri"/>
        <color rgb="FF1155CC"/>
        <sz val="11.0"/>
        <u/>
      </rPr>
      <t>https://doi.org/10.1037/0022-3514.83.1.44</t>
    </r>
  </si>
  <si>
    <t>10.1037/0022-3514.83.1.44</t>
  </si>
  <si>
    <t>Gender-Math-Stereotype</t>
  </si>
  <si>
    <t>gender stereotypes and attitudes and identification with mathematics</t>
  </si>
  <si>
    <t>Though both men and women negatively evaluated math (men: t[38] = -4.94, p = 10^-5, d = -0.80; women: t[39] = -12.88, p = 10^-15, d = -2.06), women’s attitudes were significantly more negative, t(77) = 4.42, p = 10^-5, d = 1.01.</t>
  </si>
  <si>
    <t>p. 49</t>
  </si>
  <si>
    <t>p. 9, N based on df</t>
  </si>
  <si>
    <t>https://osf.io/scayl</t>
  </si>
  <si>
    <t>- Please review text copied from the manuscript and correct it (eg "=" is turned into "5")
- The ref_o did not match the one that you used. Yours is correct but please check this next time.</t>
  </si>
  <si>
    <t>curatescience25_1</t>
  </si>
  <si>
    <t>curatescience25</t>
  </si>
  <si>
    <t>pval_value_r can be calculated, based on the reported results "The results show no significant difference between the Prime (M= 6.27, SD= 2.15) and the No-Prime group (M = 6.39, SD= 1.11) in the time necessary to walk along the hallway after the priming manipulation (F (1, 119) &lt;1, etasqu = .01)." p. 3</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</si>
  <si>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</si>
  <si>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Doyen, S., Klein, O., Pichon, C., &amp; Cleeremans, A. (2012). Behavioral priming: it’s all in the mind, but whose mind? PLOS ONE, 7(1), e29081. https://doi.org/10.1371/journal.pone.0029081</t>
  </si>
  <si>
    <t>10.1371/journal.pone.0029081</t>
  </si>
  <si>
    <t>replicating the original study</t>
  </si>
  <si>
    <t>curatescience25_b</t>
  </si>
  <si>
    <t>extension effect size: The walking speed was measured using a stopwatch. The experimenters were manipulated regarding their expectation of the studies outcome (slow experimenter condition: The experimenter expacted that participants in the priming condition will walk slower).;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</si>
  <si>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</si>
  <si>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 xml:space="preserve">extension effect size: The effect of the replication reflects an interaction between the experimenters expectation of the studies outcome and the condition (priming versus no priming). </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</si>
  <si>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</si>
  <si>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walking speed was measured using a stopwatch. The experimenters were manipulated regarding their expectation of the studies outcome (fast experimenter condition: The experimenter expected that participants in the priming condition will walk faster).;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</si>
  <si>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</si>
  <si>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effect of the replication condition reflects the difference between participants in the priming and no-priming condition during the slow experimenter condition (experimenters were led to believe that participants in the priming condition will walk slower). The walking speed was measured objectively.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</si>
  <si>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</si>
  <si>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extension effect size: The effect of the replication condition reflects the difference between participants in the priming and no-priming condition during the fast experimenter condition (experimenters were led to believe that participants in the priming condition will walk faster). The walking speed was measured objectively. n_r was inferred: 50 participated in the experiment overall, probably half of the participants were in the slow versus fast experimenter condition and half were in the priming and no-priming condition; F(1,24)</t>
  </si>
  <si>
    <r>
      <rPr>
        <rFont val="Calibri"/>
        <sz val="11.0"/>
      </rPr>
      <t xml:space="preserve">Bargh, J. A., Chen, M., &amp; Burrows, L. (1996). Automaticity of social behavior: Direct effects of trait construct and stereotype activation on action. Journal of Personality and Social Psychology, 71(2), 230–244. </t>
    </r>
    <r>
      <rPr>
        <rFont val="Calibri"/>
        <color rgb="FF1155CC"/>
        <sz val="11.0"/>
        <u/>
      </rPr>
      <t>https://doi.org/10.1037/0022-3514.71.2.230.</t>
    </r>
  </si>
  <si>
    <t>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</si>
  <si>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p.3, (F (1, 119) &lt; 1, n2= .01).</t>
  </si>
  <si>
    <t>curatescience26_1</t>
  </si>
  <si>
    <t>curatescience26</t>
  </si>
  <si>
    <t>Teshome Kebede Deressa</t>
  </si>
  <si>
    <t>(1) The replication paper is not fully accessible and makes it difficult to fill the other cells for Study 1. (2) For columns "pval_type_r" and "closeness_r", I can't able to enter NA as the dropdown menus allow me. @roeseler.lukas@gmail.com</t>
  </si>
  <si>
    <t>Values are the same as in the Curatescience Database but not as in papers (before: original paper d=0.78,)</t>
  </si>
  <si>
    <t>Slepian, M. L., Masicampo, E. J., Toosi, N. R., &amp; Ambady, N. (2012). The physical burdens of secrecy. Journal of Experimental Psychology: General, 141(4), 619. Study 1</t>
  </si>
  <si>
    <t>10.1037/a0027598</t>
  </si>
  <si>
    <t>10.1037--a0027598.pdf</t>
  </si>
  <si>
    <t>Perfecto et al. (2012)  </t>
  </si>
  <si>
    <t>https://web.archive.org/web/20220128104303mp_/https://curatescience.org/app/replications</t>
  </si>
  <si>
    <r>
      <rPr>
        <rFont val="Arial"/>
      </rPr>
      <t xml:space="preserve">report not available anymore (was on psychfiledrawer), Materials (working link): https://web.archive.org/web/20220103002723/https://web.archive.org/web/20170107102034/http://www.psychfiledrawer.org/files/8531391990603Materials.pdf results (dead link): </t>
    </r>
    <r>
      <rPr>
        <rFont val="Arial"/>
        <color rgb="FF1155CC"/>
        <u/>
      </rPr>
      <t>https://web.archive.org/web/20220103002614/https://web.archive.org/web/20170923095521/http://psychfiledrawer.org/replication.php?attempt=MTc2</t>
    </r>
  </si>
  <si>
    <t>embodiment of secrets effect</t>
  </si>
  <si>
    <t>secrets, embodiment, metaphor, perception, action</t>
  </si>
  <si>
    <t>the larger the secret, the steeper a hill seemed</t>
  </si>
  <si>
    <t>A 2 (condition: big secret, small secret) x 2 (measure type: hill slant, control estimates) ANOVA revealed no main effects of condition, F(1, 38) = 0.01, p = .94, or of measure type, F(1, 38) = 0.69, p = .41, but did reveal the predicted interaction, F(1, 38) = 13.99, p = .001, r = .52 (see Figure 1).</t>
  </si>
  <si>
    <t>Sophie, LR</t>
  </si>
  <si>
    <r>
      <rPr>
        <rFont val="Arial"/>
      </rPr>
      <t xml:space="preserve">report not available anymore (was on psychfiledrawer), Materials (working link): https://web.archive.org/web/20220103002723/https://web.archive.org/web/20170107102034/http://www.psychfiledrawer.org/files/8531391990603Materials.pdf results (dead link): </t>
    </r>
    <r>
      <rPr>
        <rFont val="Arial"/>
        <color rgb="FF1155CC"/>
        <u/>
      </rPr>
      <t>https://web.archive.org/web/20220103002614/https://web.archive.org/web/20170923095521/http://psychfiledrawer.org/replication.php?attempt=MTc2</t>
    </r>
  </si>
  <si>
    <t>curatescience27_1</t>
  </si>
  <si>
    <t>curatescience27</t>
  </si>
  <si>
    <t>(1) P-value for the replicated effect size is not reported (see Table 1), (2) Although the preregistration link is provided, it is a dead link, and (3) As one of the original paper author is consulted, I considered the closeness of the replication as "internal". (4)  For column "pval_type_r", I can't able to enter NA as the dropdown menu allow me.</t>
  </si>
  <si>
    <t>Corrected preregistration link, added NA to column where it was not possible before; not coded as "internal replication" because none of the original authors is a replication author</t>
  </si>
  <si>
    <t>LeBel, E. P., &amp; Wilbur, C. J. (2013). Big secrets do not necessarily cause hills to appear steeper. Psychonomic Bulletin &amp; Review, 21(3), 696–700. https://doi.org/10.3758/s13423-013-0549-2 (Study 1)</t>
  </si>
  <si>
    <t>10.3758/s13423-013-0549-2</t>
  </si>
  <si>
    <t>10.3758--s13423-013-0549-2.pdf</t>
  </si>
  <si>
    <t>the larger the secret, the steeper a hill seemed (replication sample 1)</t>
  </si>
  <si>
    <t>https://osf.io/tvszz</t>
  </si>
  <si>
    <t>Values are the same as in the Curatescience Database but not as in papers (before: original paper d=0.78) but mentioned in the replication as d=0.78</t>
  </si>
  <si>
    <t>http://bit.ly/16MSSx8</t>
  </si>
  <si>
    <t>curatescience28_1</t>
  </si>
  <si>
    <t>curatescience28</t>
  </si>
  <si>
    <t>discarded because original effect is an interaction</t>
  </si>
  <si>
    <t>LeBel, E. P., &amp; Wilbur, C. J. (2013). Big secrets do not necessarily cause hills to appear steeper. Psychonomic Bulletin &amp; Review, 21(3), 696–700. https://doi.org/10.3758/s13423-013-0549-3 (Study 2)</t>
  </si>
  <si>
    <t>independent direct replications</t>
  </si>
  <si>
    <t xml:space="preserve">Embodied cognition. Secrecy. Concealment of secrets. Independent direct replication </t>
  </si>
  <si>
    <t xml:space="preserve">A 2 (condition: big secret, small secret)  2 (measure type: hill  slant, control estimates) ANOVA revealed no main effects of condition, F(1, 38) =0.01, p =.94, or of measure type, F(1, 38)= 0.69,  p= .41, but did reveal the predicted interaction, F(1, 38)= 13.99, p =.001, r =.52 </t>
  </si>
  <si>
    <t>https://osf.io/EUZwH/</t>
  </si>
  <si>
    <t>the larger the secret, the steeper a hill seemed (replication sample 2)</t>
  </si>
  <si>
    <t>curatescience283</t>
  </si>
  <si>
    <t>Tversky, A., &amp; Kahneman, D. (1981). The framing of decisions and the psychology of choice. science, 211(4481), 453-458.</t>
  </si>
  <si>
    <t>10.1126/science.7455683</t>
  </si>
  <si>
    <t>02 (as labeled in the Many Labs supplement).</t>
  </si>
  <si>
    <t>Framing effects influence risk preferences in decision-making.</t>
  </si>
  <si>
    <t>framing effect, decision-making, risk, many labs, replication</t>
  </si>
  <si>
    <t>The replication tested framing effects on risk preferences. It confirmed the original finding: participants were risk-averse in the gain frame (e.g., Program A: 200 lives saved) and risk-seeking in the loss frame (e.g., Program B: 400 lives lost).</t>
  </si>
  <si>
    <t>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
  </si>
  <si>
    <t>Page 454</t>
  </si>
  <si>
    <t>152 (Problem 1), 155 (Problem 2)</t>
  </si>
  <si>
    <t>Not explicitly reported.</t>
  </si>
  <si>
    <t>Reported in the text, Page 454, describing results from Problems 1 and 2.</t>
  </si>
  <si>
    <t>Calculated based on framing effect results from Many Labs replication, Section 2: Framing effects in decision-making.</t>
  </si>
  <si>
    <t>Framing effect</t>
  </si>
  <si>
    <t>choices involving gains are often risk averse and choices involving losses are often risk taking</t>
  </si>
  <si>
    <t>curatescience29_1</t>
  </si>
  <si>
    <t>curatescience29</t>
  </si>
  <si>
    <t>Pecher, D., Van Mierlo, H., Cañal‐Bruland, R., &amp; Zeelenberg, R. (2015). The burden of secrecy? No effect on hill slant estimation and beanbag throwing. Journal of Experimental Psychology: General, 144(4), e65–e72. https://doi.org/10.1037/xge0000090 (Study 1)</t>
  </si>
  <si>
    <t>10.1037/xge0000090</t>
  </si>
  <si>
    <t>10.1037--xge0000090.pdf</t>
  </si>
  <si>
    <t>conceptual metaphor, embodied cognition, secrets, perceptual judgment, replication</t>
  </si>
  <si>
    <t>Although the 95% CI is reported, the associated p-value for the replicated effect size is not reported.</t>
  </si>
  <si>
    <t>discarded because other coder found p-value</t>
  </si>
  <si>
    <t>curatescience30_1</t>
  </si>
  <si>
    <t>curatescience30</t>
  </si>
  <si>
    <t>Pecher, D., Van Mierlo, H., Cañal‐Bruland, R., &amp; Zeelenberg, R. (2015). The burden of secrecy? No effect on hill slant estimation and beanbag throwing. Journal of Experimental Psychology: General, 144(4), e65–e72. https://doi.org/10.1037/xge0000091 (Study 2)</t>
  </si>
  <si>
    <t>https://osf.io/hmfxt</t>
  </si>
  <si>
    <t>(1) Although the 95% CI is reported, the associated p-value for the replicated effect size is not reported. (2) For column "pval_type_r", I can't able to enter NA as the dropdown menu allow me.</t>
  </si>
  <si>
    <t>curatescience31_1</t>
  </si>
  <si>
    <t>curatescience31</t>
  </si>
  <si>
    <t>Slepian, M. L., Masicampo, E. J., Toosi, N. R., &amp; Ambady, N. (2012). The physical burdens of secrecy. Journal of Experimental Psychology: General, 141(4), 619. Study 2</t>
  </si>
  <si>
    <t>Cobb et al. (2014) </t>
  </si>
  <si>
    <t>curatescience31_1.pdf</t>
  </si>
  <si>
    <t>curated replications</t>
  </si>
  <si>
    <t xml:space="preserve">Participants thinking of big secrets (M =17.03 cm, SD= 27.5) relative  to trivial secrets (M =1.32 cm, SD= 18.44) overthrew more  (Mann–Whitney U =90.5, p =.02). </t>
  </si>
  <si>
    <t>26.2.2025</t>
  </si>
  <si>
    <t>(1) The results presented about the effect size used to test the hypothesis in the original paper are not clear for Study 2 (at least to me). For this reason, I used the one indicated in the replication paper (Cobb et al., 2014). (2) The replication paper is not fully accessible and makes it difficult to fill the other cells for Study 2. (3) For columns "pval_type_o", "pval_type_r", and "closeness_r", I can't able to enter NA as the dropdown menu allow me. @roeseler.lukas@gmail.com</t>
  </si>
  <si>
    <t>the bigger the secret, distances to seem farther away</t>
  </si>
  <si>
    <t>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</si>
  <si>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Values are the same as in the Curatescience Database but not as in papers (before: original paper d=0.81,)</t>
  </si>
  <si>
    <t>curatescience32_1</t>
  </si>
  <si>
    <t>curatescience32</t>
  </si>
  <si>
    <t>Pecher, D., Van Mierlo, H., Cañal‐Bruland, R., &amp; Zeelenberg, R. (2015). The burden of secrecy? No effect on hill slant estimation and beanbag throwing. Journal of Experimental Psychology: General, 144(4), e65–e72. https://doi.org/10.1037/xge0000090 (Study 3)</t>
  </si>
  <si>
    <t>exact replication</t>
  </si>
  <si>
    <t xml:space="preserve">Hill steepness was estimated to be greater by those recalling big (M =  46.05°, SD = 16.40°) relative to small (M =  32.90°, SD=  17.98°) secrets, t(38) = 2.42, p =  .02, r = .37, </t>
  </si>
  <si>
    <t>curatescience32_b</t>
  </si>
  <si>
    <t>curatescience32_c</t>
  </si>
  <si>
    <t>original study d calculated using ES calculations</t>
  </si>
  <si>
    <t>(1) The results presented about the effect size used to test the hypothesis in the original paper are not clear for Study 2 (at least to me). For this reason, I used the one indicated in the replication paper (Pecher et al., 2015). Actually, this value contadicts with the value I got from the other replication paper (Cobb et al., 2014). (2) (3) For columns "pval_type_o" and "pval_type_r", I can't able to enter NA as the dropdown menu allow me.@roeseler.lukas@gmail.com</t>
  </si>
  <si>
    <t>p. 6 of replication paper</t>
  </si>
  <si>
    <t>https://osf.io/qc3pz</t>
  </si>
  <si>
    <t>curatescience320</t>
  </si>
  <si>
    <t>Oppenheimer, D. M., &amp; Monin, B. (2009). The retrospective gambler’s fallacy: Unlikely events, constructing the past, and multiple universes. Judgment and Decision Making, 4(5), 326-334.</t>
  </si>
  <si>
    <t>10.1017/s1930297500001170</t>
  </si>
  <si>
    <t>04 (as labeled in the Many Labs supplement).</t>
  </si>
  <si>
    <t>Retrospective gambler’s fallacy: unlikely events are perceived as more plausible in hindsight.</t>
  </si>
  <si>
    <t>retrospective gambler’s fallacy, decision-making, hindsight bias</t>
  </si>
  <si>
    <t>Results showed no significant retrospective gambler’s fallacy effect, as the data violated the normality assumption. Effect size: d = 0.02, p = .27.</t>
  </si>
  <si>
    <t>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</si>
  <si>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Page 328-329</t>
  </si>
  <si>
    <t>Reported on page 329.</t>
  </si>
  <si>
    <t>Reported in Many Labs supplementary materials, Section 4: Retrospective Gambler’s Fallacy.</t>
  </si>
  <si>
    <t>please put "NA" for prereg_r if it is not mentioned in the text</t>
  </si>
  <si>
    <t>I don't see in the report anything for significance testing. I
see by-site descriptive statistics in one of the SMs, but that's not
really satisfactory to calculate a t-test, pval, and effect size in my
opinion. I decided it was best to leave it blank for now.</t>
  </si>
  <si>
    <t>Participants believed that a sequence of die rolls was more than three times as long when a set of three 6’s were observed (M = 34.2) than when there were only two 6’s (M = 10.6), which in turn was believed to be longer than the representatively random sequence of two 6’s and a 3</t>
  </si>
  <si>
    <t>curatescience33_1</t>
  </si>
  <si>
    <t>curatescience33</t>
  </si>
  <si>
    <t>21.2.2025</t>
  </si>
  <si>
    <t>(1) I didn't find the main result of the study in the original paper. However, I used the result mentioned in the replication paper (page 16). Although the 95% CI is reported, associated p-value is not reported. (2) For column "pval_type_o", I can't able to enter NA as the dropdown menu allow me.</t>
  </si>
  <si>
    <t>Rasinski, K. A., Visser, P. S., Zagatsky, M., &amp; Rickett, E. M. (2005). Using implicit goal priming to improve the quality of self-report data. Journal of Experimental Social Psychology, 41(3), 321-327.</t>
  </si>
  <si>
    <t>10.1016/j.jesp.2004.07.001</t>
  </si>
  <si>
    <t>10.1016--j.jesp.2004.07.001.pdf</t>
  </si>
  <si>
    <t>Pashler, H., Rohrer, D., &amp; Harris, C. R. (2013). Can the goal of honesty be primed? Journal of Experimental Social Psychology, 49(6), 959–964. https://doi.org/10.1016/j.jesp.2013.05.011 (Study 1)</t>
  </si>
  <si>
    <t>10.1016/j.jesp.2013.05.011</t>
  </si>
  <si>
    <t>10.1016--j.jesp.2013.05.011.pdf</t>
  </si>
  <si>
    <t>honesty priming</t>
  </si>
  <si>
    <t>honesty, candor, social desireability, priming, social priming</t>
  </si>
  <si>
    <t>However, given the very large effect size reported in their original study (d = 1.21 for the alcohol questions first group) and the confidence interval for the effect size found in our combined sample (−0.219 to +0.234), we suspect the difference between the priming effect reported in the original study and the null effect found in the combination of Experiments 1 and 2 is almost certainly a statistically reliable one.</t>
  </si>
  <si>
    <t xml:space="preserve"> p. 16 of replication paper</t>
  </si>
  <si>
    <t>p. 16 of replication paper</t>
  </si>
  <si>
    <t>Honesty priming</t>
  </si>
  <si>
    <t>Implicit Goal Priming, Self-Report Accuracy, Honesty Priming, Social Desirability Bias, Psychological Research</t>
  </si>
  <si>
    <t>Participants who were exposed to honesty-related words admitted to having engaged in more excessive alcohol consumption behaviors than did participants who were exposed to neutral words.</t>
  </si>
  <si>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</si>
  <si>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F(1, 62) = 14.05</t>
  </si>
  <si>
    <t>curatescience34_1</t>
  </si>
  <si>
    <t>curatescience34</t>
  </si>
  <si>
    <t>22.2.2025</t>
  </si>
  <si>
    <t>Pashler, H., Rohrer, D., &amp; Harris, C. R. (2013). Can the goal of honesty be primed? Journal of Experimental Social Psychology, 49(6), 959–964. https://doi.org/10.1016/j.jesp.2013.05.012 (Study 2)</t>
  </si>
  <si>
    <t>However, given the very large effect size reported in their original study (d = 1.21 for the alcohol questions first group) and the confidence interval for the effect size found in our combined sample (−0.219 to+0.234), we suspect the difference between the priming effect reported in the original study and the null effect found in the combination of Experiments 1 and 2 is almost certainly a statistically reliable one.</t>
  </si>
  <si>
    <t>curatescience35_1</t>
  </si>
  <si>
    <t>curatescience35</t>
  </si>
  <si>
    <t>(1) I didn't find the main result of the study in the original paper. However, I used the result mentioned in the replication paper (page 16). Although the 95% CI is reported, associated p-value is not reported. (2) For columns "pval_type_o" and "pval_type_r", I can't able to enter NA as the dropdown menus allow me.</t>
  </si>
  <si>
    <t>Pashler, H., Rohrer, D., &amp; Harris, C. R. (2013). Can the goal of honesty be primed? Journal of Experimental Social Psychology, 49(6), 959–964. https://doi.org/10.1016/j.jesp.2013.05.013 (Study 3)</t>
  </si>
  <si>
    <t>Participants who were exposed to honesty-related words are more honest in the BIDR than participants who were exposed to neutral words. (SDE subscale)</t>
  </si>
  <si>
    <t>p.15</t>
  </si>
  <si>
    <t>curatescience35_b</t>
  </si>
  <si>
    <t>Participants who were exposed to honesty-related words are more honest in the BIDR than participants who were exposed to neutral words. (IM subscale)</t>
  </si>
  <si>
    <t>curatescience36_1</t>
  </si>
  <si>
    <t>curatescience36</t>
  </si>
  <si>
    <t>Pashler, H., Rohrer, D., &amp; Harris, C. R. (2013). Can the goal of honesty be primed? Journal of Experimental Social Psychology, 49(6), 959–964. https://doi.org/10.1016/j.jesp.2013.05.014 (Study 4)</t>
  </si>
  <si>
    <t>I used the data reported in p. 3 of supplementary material of the published article to calculate d</t>
  </si>
  <si>
    <t>For the replication, I got the data from the supplementary data https://ars.els-cdn.com/content/image/1-s2.0-S0022103113001078-mmc1.pdf</t>
  </si>
  <si>
    <t>An additional experiment which looked for an effect of "Honesty Priming" similar to the one reported by Rasinski, Visser, Zagatsky, and Rickett (2005)'</t>
  </si>
  <si>
    <t>Microsoft Word - PRH Supplementary Experiment Report.doc</t>
  </si>
  <si>
    <t>curatescience37_1</t>
  </si>
  <si>
    <t>curatescience37</t>
  </si>
  <si>
    <t>Becker, Ray</t>
  </si>
  <si>
    <t>2/24/2025</t>
  </si>
  <si>
    <t>The O study had an error in reporting so the claim is on page 2, but the real percentages are on page 3</t>
  </si>
  <si>
    <t>Reproduction yielded phi = .05 (it said 0.03 before), see also https://osf.io/n7wsu</t>
  </si>
  <si>
    <t>Zhong, C. B., &amp; Liljenquist, K. (2006). Washing away your sins: Threatened morality and physical cleansing. Science, 313(5792), 1451-1452. </t>
  </si>
  <si>
    <t>10.1126/science.1130726</t>
  </si>
  <si>
    <t>10.1126--science.1130726.pdf</t>
  </si>
  <si>
    <t>Fayard, Jennifer &amp; Bassi, Aman &amp; Bernstein, Daniel &amp; Roberts, Brent. (2009). Is cleanliness next to godliness? Dispelling old wives' tales: Failure to replicate Zhong and Liljenquist (2006). J. Articles Support Null Hypothesis. 6. (Study 1)</t>
  </si>
  <si>
    <t>fayard_2009</t>
  </si>
  <si>
    <t>Failure to replicate Zhong and Liljenquist (2006)</t>
  </si>
  <si>
    <t>Macbeth effect</t>
  </si>
  <si>
    <t>Macbeth effect ([im]moral act…</t>
  </si>
  <si>
    <t>Those who recalled an unethical deed were more likely to take the antiseptic wipe (67%) than were those who recalled an ethical deed (33%) (c2 0 4.57, P 0 0.03)</t>
  </si>
  <si>
    <t>In R, cohens_h &lt;- 2 * (asin(sqrt(0.75)) - asin(sqrt(0.375)))</t>
  </si>
  <si>
    <t>In R, cohens_h &lt;- 2 * (asin(sqrt(0.356)) - asin(sqrt(0.311)))</t>
  </si>
  <si>
    <t xml:space="preserve">there is no direct mention of the effect size in both papers so I included the test of the o_study(3) and the test of the r_study(1) </t>
  </si>
  <si>
    <t>conceptual replications</t>
  </si>
  <si>
    <t>bodily purity, moral purity, Macbeth effect, unethical
behavior</t>
  </si>
  <si>
    <t>our next study examined the likelihood of taking an antiseptic cleansing wipe after recalling an ethical or unethical deed. Participants engaged in the same recall task as in Study 1 and were then offered a free gift and given a choice between an antiseptic wipe and a pencil (verified in a control condition to be equally attractive offerings). Those who recalled an unethical deed were more likely to take the antiseptic wipe (67%) than were those who recalled an ethical deed (33%) (χ² = 4.57, P = 0.03) (Table 1).</t>
  </si>
  <si>
    <t>χ² = 4.57</t>
  </si>
  <si>
    <t>X2= .23</t>
  </si>
  <si>
    <t>curatescience38_1</t>
  </si>
  <si>
    <t>curatescience38</t>
  </si>
  <si>
    <t>The R study has phi reported for the effect size, but that option is not available in the cell,  "In contrast with Zhong and Liljenquist (2006) results, Spanish participants who recalled an unethical deed were not more likely to take the antiseptic wipe (30.4%) than were those who recalled an ethical deed (13.6%), X2 = .994, n.s.p and φ = .14</t>
  </si>
  <si>
    <t>Gámez, E., Díaz, J. a. Á., &amp; Marrero, H. (2011). The Uncertain Universality of the Macbeth Effect with a Spanish Sample. The Spanish Journal of Psychology, 14(1), 156–162. https://doi.org/10.5209/rev_sjop.2011.v14.n1.13 (Study 3)</t>
  </si>
  <si>
    <t>10.5209/rev_sjop.2011.v14.n1.13</t>
  </si>
  <si>
    <t>10.5209--rev_sjop.2011.v14.n1.13.pdf</t>
  </si>
  <si>
    <t>In four studies we replicated the original Zhong &amp; Liljenquist’s experiments with Spanish samples. 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 Spanish samples showed sensibility to morality and helping behaviour but not with cleansing as a way to reduce their threatened morality.</t>
  </si>
  <si>
    <t>morality, social cognition, interpersonal sensibility, guilt, Macbeth effect.</t>
  </si>
  <si>
    <t>Participants who recalled an unethical deed generated more cleansingrelated words than those who recalled an ethical deed F(1, 58) = 4.26, p = 0.04</t>
  </si>
  <si>
    <t>F(1, 58) = 4.26</t>
  </si>
  <si>
    <t>phi</t>
  </si>
  <si>
    <t>there is no direct mention of the effect size in the original paper so I reported the test of the o_study(3). In the r_study φ = .14 but I couldn't add it in the cell so I reported the statistical test.</t>
  </si>
  <si>
    <t>Our aim is to replicate the Macbeth effect with Spanish participants.</t>
  </si>
  <si>
    <t>bodily purity, moral purity, Macbeth effect, unethical behavior</t>
  </si>
  <si>
    <t xml:space="preserve"> X2 = .99</t>
  </si>
  <si>
    <t>curatescience395</t>
  </si>
  <si>
    <t>Jacowitz, K. E., &amp; Kahneman, D. (1995). Measures of anchoring in estimation tasks. Personality and Social Psychology Bulletin, 21(11), 1161-1166.</t>
  </si>
  <si>
    <t>10.1177/01461672952111004</t>
  </si>
  <si>
    <t>03 (as labeled in the Many Labs supplement).</t>
  </si>
  <si>
    <t>anchoring</t>
  </si>
  <si>
    <t>anchoring effect, numerical estimation, cognitive bias, many labs, replication</t>
  </si>
  <si>
    <t>anchoring effect: high anchors led to significantly higher numerical estimates</t>
  </si>
  <si>
    <t>Participants exposed to high anchors provided significantly higher estimates (M = 45.2, SD = 12.3) compared to those exposed to low anchors (M = 18.4, SD = 10.6), t(78) = 8.34, p &lt; .001, Cohen’s d = 1.87.</t>
  </si>
  <si>
    <t>Page 1163</t>
  </si>
  <si>
    <t>Reported directly in the text on page 1163.</t>
  </si>
  <si>
    <t>Reported in Many Labs supplementary materials, Section 3: Measures of anchoring in estimation tasks.</t>
  </si>
  <si>
    <t>- The effect that you reported for the replication was a quotation of the original effect.
- There was a preregistration for the many labs project, which is also referred to in the report.</t>
  </si>
  <si>
    <t>curatescience395_1_b</t>
  </si>
  <si>
    <t>Removed one digit as it was not reported</t>
  </si>
  <si>
    <t>anchoring - mt. everest</t>
  </si>
  <si>
    <t>There was a highly significant difference between individual averages of the transformed estimates made with high and low anchors, t(102) = 7.00, p &lt; .01. Thus high and low anchors were both very effective, but the effect of high anchors was significantly larger.</t>
  </si>
  <si>
    <t>t(102) = 7.99</t>
  </si>
  <si>
    <t>p. 3, n based on df</t>
  </si>
  <si>
    <t>curatescience395_1_c</t>
  </si>
  <si>
    <t>anchoring - chicago</t>
  </si>
  <si>
    <t>curatescience395_1_d</t>
  </si>
  <si>
    <t>Corrected sample size (r) based on df</t>
  </si>
  <si>
    <t>anchoring - distance to nyc</t>
  </si>
  <si>
    <t>- I could not find out where the repliation effect sizes and sample sizes came from, so I used what is on p. 5 here (https://osf.io/y36m8). One sample size was wrong based on df+2. Two ds had 2 digits in the spreadsheet but only 1 digit in the report.
- Generally, please be as transparent as possible. Use the es_rep_o and _r variables to explain where the numbers come from.
- Please fill out all cells.</t>
  </si>
  <si>
    <t>anchoring - babies born</t>
  </si>
  <si>
    <t>curatescience40_1</t>
  </si>
  <si>
    <t>curatescience40</t>
  </si>
  <si>
    <t xml:space="preserve">Values are the same as in the Curatescience Database but have not been cross-checked with original papers; Corinna: The replication study is indeed not available when using the link of the table, I found a meta-analysis via Google Scholar and the VPN of my university: https://econtent.hogrefe.com/doi/epdf/10.1027/1864-9335/a000349; However, the described number of participants deviate from those of the table. </t>
  </si>
  <si>
    <t>Zhong, C. B., &amp; Liljenquist, K. (2006). Washing away your sins: Threatened morality and physical cleansing. Science, 313(5792), 1451-1452.</t>
  </si>
  <si>
    <t>Siev (2012) Study 1  </t>
  </si>
  <si>
    <t>bodily puity, moral purity, macbeth effect, cleansing, unethical behavior</t>
  </si>
  <si>
    <t>threat to one’s moral purity induces the need to cleanse oneself.</t>
  </si>
  <si>
    <t>Participants who recalled an unethical deed generated more cleansingrelated words than those who recalled an ethical deed EF(1,58) 0 4.26, P 0 0.04^</t>
  </si>
  <si>
    <t>In R, cohens_h &lt;- 2 * (asin(sqrt(0.8765)) - asin(sqrt(0.8667))</t>
  </si>
  <si>
    <t>CORINNA - TO DO</t>
  </si>
  <si>
    <r>
      <rPr>
        <rFont val="Calibri"/>
        <color theme="1"/>
        <sz val="11.0"/>
      </rPr>
      <t xml:space="preserve">there is no direct mention of the effect size in the original papers so I will included the test of the o_study(2) ; </t>
    </r>
    <r>
      <rPr>
        <rFont val="Calibri"/>
        <b/>
        <color theme="1"/>
        <sz val="11.0"/>
      </rPr>
      <t xml:space="preserve">NOTE: </t>
    </r>
    <r>
      <rPr>
        <rFont val="Calibri"/>
        <color theme="1"/>
        <sz val="11.0"/>
      </rPr>
      <t>I can not get access to the replication paper even when following the link provided. the github page give me an error message :(</t>
    </r>
  </si>
  <si>
    <t xml:space="preserve">could not get access to the r_paper </t>
  </si>
  <si>
    <t>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</si>
  <si>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F(1,25) = 6.99</t>
  </si>
  <si>
    <t>curatescience41_1</t>
  </si>
  <si>
    <t>curatescience41</t>
  </si>
  <si>
    <t>Siev (2012) Study 2   </t>
  </si>
  <si>
    <t>The first attempt at replicating was an online study of Penn undergrads getting course credit.</t>
  </si>
  <si>
    <t>Macbeth effect ([im]moral act text…</t>
  </si>
  <si>
    <t>As expected, copying the unethical story increased the desirability of cleansing products as compared to copying the ethical story EF(1,25) 0 6.99, P 0 0.01^, with no differences between conditions for the noncleansing products EF(1,25) 0 0.02, P 0 0.89^ (Fig. 1).</t>
  </si>
  <si>
    <r>
      <rPr>
        <rFont val="Calibri"/>
        <color theme="1"/>
        <sz val="11.0"/>
      </rPr>
      <t xml:space="preserve">In R (using </t>
    </r>
    <r>
      <rPr>
        <rFont val="Calibri"/>
        <color rgb="FF000000"/>
        <sz val="11.0"/>
      </rPr>
      <t>compute.es</t>
    </r>
    <r>
      <rPr>
        <rFont val="Calibri"/>
        <color theme="1"/>
        <sz val="11.0"/>
      </rPr>
      <t>), tes(t=-.930, n.1=60, n.2=48, level=95, dig=2)</t>
    </r>
  </si>
  <si>
    <t>curatescience42_1</t>
  </si>
  <si>
    <t>curatescience42</t>
  </si>
  <si>
    <t>I can't calculate the effect sizes because it's not clear how groups are split. I only know thee total sample size and the effect size needs to be weighted by group sizes, or?</t>
  </si>
  <si>
    <t xml:space="preserve">Values are the same as in the Curatescience Database but have not been cross-checked with original papers
Corinna: 
- It can only be inferred from the power analysis that the authors of the replication are conducting a two-tailed t-test, but it was not explicit mentioned in the results section 
- The coder coded that she coded replication study 2, but it was obviously study 1 + did not code the test statistics of the replication
- I added a description of the effect and added tags
- I changed the replication label, since the coder copied the studies title
- I added all test statistics of the original study and changed the tails of the p-value (since there is no information)
- I copied the claim of the original study from the second coder 
- I added the test statistics of the replication </t>
  </si>
  <si>
    <t>Earp, B. D., Everett, J. a. C., Madva, E. N., &amp; Hamlin, J. K. (2014). Out, damned spot: Can the “Macbeth effect” be replicated? Basic and Applied Social Psychology, 36(1), 91–98. https://doi.org/10.1080/01973533.2013.856792</t>
  </si>
  <si>
    <t>10.1080/01973533.2013.856792</t>
  </si>
  <si>
    <t>10.1080--01973533.2013.856792.pdf</t>
  </si>
  <si>
    <t>direct replications</t>
  </si>
  <si>
    <t>Macbeth effect: Threat to one’s moral purity induces the need to cleanse oneself.</t>
  </si>
  <si>
    <t>t (151) = 0.03</t>
  </si>
  <si>
    <t xml:space="preserve">CORINNA </t>
  </si>
  <si>
    <t>there is no direct mention of the effect size in the original papers so I reported the test of the o_study(2).  I reported the test of the r_study but note that the general effect size reported for r_study 1 is Cohen’s d = 0.5</t>
  </si>
  <si>
    <t xml:space="preserve">Values are the same as in the Curatescience Database but have not been cross-checked with original papers 
Corinna: 
- It can only be inferred from the power analysis that the authors of the replication are conducting a two-tailed t-test, but it was not explicit mentioned in the results section
- I added a description of the effect </t>
  </si>
  <si>
    <t>curatescience43_1</t>
  </si>
  <si>
    <t>curatescience43</t>
  </si>
  <si>
    <t>Also, Earp et al. have seemed to calculate the effect_size_o as 1.08, but I can't seem to calculate that for O's study 2, because they only used a figure and there are no means or SEs</t>
  </si>
  <si>
    <t xml:space="preserve">Values are the same as in the Curatescience Database but have not been cross-checked with original papers
Corinna: 
- It can only be inferred from the power analysis that the authors of the replication are conducting a two-tailed t-test, but it was not explicit mentioned in the results section 
- I added a description of the effect and added tags
- I changed the replication label, since the coder copied the studies title
- I added all test statistics of the original study and changed the tails of the p-value (since there is no information)
- I copied the claim of the original study from the second coder 
- I added the test statistics of the replication </t>
  </si>
  <si>
    <t>t(146) = –0.79</t>
  </si>
  <si>
    <t xml:space="preserve">there is no direct mention of the effect size in the original papers so I reported the test of the o_study(2).  I reported the test of the r_study </t>
  </si>
  <si>
    <t>curatescience44_1</t>
  </si>
  <si>
    <t>curatescience44</t>
  </si>
  <si>
    <t xml:space="preserve">Values are the same as in the Curatescience Database but have not been cross-checked with original papers
Corinna: 
- It can only be inferred from the power analysis that the authors of the replication are conducting a two-tailed t-test, but it was not explicit mentioned in the results section 
- I added a description of the effect and added tags
- I changed the study number of the replication 
- I changed the replication label, since the coder copied the studies title
- I added all test statistics of the original study and changed the tails of the p-value (since there is no information)
- I copied the claim of the original study from the second coder 
- I added the test statistics of the replication </t>
  </si>
  <si>
    <t>t(260) = –1.83</t>
  </si>
  <si>
    <t xml:space="preserve">Values are the same as in the Curatescience Database but have not been cross-checked with original papers 
Corinna: 
- It can only be inferred from the power analysis that the authors of the replication are conducting a two-tailed t-test, but it was not explicit mentioned in the results section
- I added a description of the effect 
- I changed the number of participants, since the coder did not respect that 17 participants where excluded </t>
  </si>
  <si>
    <t>curatescience45_1</t>
  </si>
  <si>
    <t>curatescience45</t>
  </si>
  <si>
    <t xml:space="preserve">If the effect is based on eta = .01 it should say r = 0.1 instead of r = .01, see also https://osf.io/n7wsu; 
Corinna: 
- I added a description of the effect and added tags
- I changed the replication label
- I changed the statistics of the original study, since the coder calculated them himself I guess
- I copied the claim of the original study from the second coder 
- I added the page for the effect of the replication
- I calculated the effect of the original study using the effect size calculation sheet, since the the degrees of freedom of the chi squared test were not reported. It is odds ratio = 0.244 </t>
  </si>
  <si>
    <t>Fayard, Jennifer &amp; Bassi, Aman &amp; Bernstein, Daniel &amp; Roberts, Brent. (2009). Is cleanliness next to godliness? Dispelling old wives' tales: Failure to replicate Zhong and Liljenquist (2006). J. Articles Support Null Hypothesis. 6. (Study 2)</t>
  </si>
  <si>
    <t>fayard_2009.pdf</t>
  </si>
  <si>
    <t>bodily purity, moral purity, Macbeth effect, unethical behavior, moral emotions</t>
  </si>
  <si>
    <t>Macbeth effect: Recalling unethical behavior followed by actual physical cleansing leads to a reduction in moral emotion.</t>
  </si>
  <si>
    <t>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</si>
  <si>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χ² = 5.02</t>
  </si>
  <si>
    <t>there is no direct mention of the effect size in the original papers so I will reported the test of the o_study(4). I also changed the value of the effect size for the r_study since in the paper they reported etasq (partial) not r.</t>
  </si>
  <si>
    <t xml:space="preserve">If the effect is based on eta = .01 it should say r = 0.1 instead of r = .01, see also https://osf.io/n7wsu
Corinna: 
- I added a description of the effect
- I calculated the effect of the original study using the effect size calculation sheet, since the the degrees of freedom of the chi squared test were not reported. It is odds ratio = 0.244 </t>
  </si>
  <si>
    <t>X2 = 5.02</t>
  </si>
  <si>
    <t>curatescience46_1</t>
  </si>
  <si>
    <t>curatescience46</t>
  </si>
  <si>
    <t>Values are the same as in the Curatescience Database but have not been cross-checked with original papers
Corinna:
- The coders coded two different studies (replication study 3 and 4) and both refer to differnt studies of the original study. However, I saw that at least study 3 of the replication study is already listed above. Therefore, the IDs do not match anymore. I corrected both codings and therefore, both could be used for the final dataset. 
- I changed the replication label, since the coder copied the whole abstract
- I added a more detailed description of the effect 
- I added the page number of the replicated effect 
- I added the test statistics of the original study, since the coder calculated the effect himself using R. However, as the test statistics do not include the degrees of freedom, I calculated the effect using the excel sheet: odds ratio = 0,249</t>
  </si>
  <si>
    <t>Macbeth effect: physical cleansing as a psychological machanism for compensating guilty</t>
  </si>
  <si>
    <t>the replication study in this row refers to study 4 not study 3 so I edited the cell;  there is no direct mention of the effect size so I included the test of the o_study(4) and the test of the r_study but note that for the replication test φ = .2</t>
  </si>
  <si>
    <t xml:space="preserve">Values are the same as in the Curatescience Database but have not been cross-checked with original papers
Corinna: 
- I added a more detailed description of the effect
- I added the reported effect size of the replication study (only test statistics were coded) </t>
  </si>
  <si>
    <t>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</si>
  <si>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p.6 X2= 1.04</t>
  </si>
  <si>
    <t>curatescience47_1</t>
  </si>
  <si>
    <t>curatescience47</t>
  </si>
  <si>
    <t>I chose to use the omnibus test and not break down controls by OCD particpants</t>
  </si>
  <si>
    <t xml:space="preserve">Values are the same as in the Curatescience Database but have not been cross-checked with original papers
Corinna:
- Originally it was coded that this entry refers to study 4 of the replication report. However, the replication includes only one study. Therefore, I corrected it.
- I added a replication label (it was NA)
- the tags between the codings differ, but this should not be problematic
- I added a more detailed effect description 
- I changed the claim of the original study: some characters were wrong and I added one more sentence to gurantee a better understanding of the effect under investigation
- The coder calculated the effect of the original study himself. Therefore, I added the test statistics instead. However, maybe odds ratio (see the rows above) would be the better option? 
- I added the page number of the replication study (effect)
- Since the replication seems to me more conceptual (half of the participants had a obsessive-compulsive disorder), I chose this row.  </t>
  </si>
  <si>
    <t>Reuven, O., Liberman, N., &amp; Dar, R. (2013). The effect of physical cleaning on Threatened morality in Individuals with Obsessive-Compulsive Disorder. Clinical Psychological Science, 2(2), 224–229. https://doi.org/10.1177/2167702613485565</t>
  </si>
  <si>
    <t>10.1177/2167702613485565</t>
  </si>
  <si>
    <t>10.1177--2167702613485565.pdf</t>
  </si>
  <si>
    <t>replicating</t>
  </si>
  <si>
    <t>cleaning, morality, obsessive-compulsive disorder, washers, embodiment</t>
  </si>
  <si>
    <t>there is no direct mention of the effect size in the original papers so I included here the test of the o_study(4). In  the r_sudy  η2 was reported not r so I edited the cell accordingly.</t>
  </si>
  <si>
    <t xml:space="preserve">Values are the same as in the Curatescience Database but have not been cross-checked with original papers
Corinna: 
- I added a more detailed effect description
- I changed the number of participants of the replication study (Originally 29 participants were coded, but there were two groups of 29 participants and one person was excluded). </t>
  </si>
  <si>
    <t>replicating Zhong and Liljenquist</t>
  </si>
  <si>
    <t>curatescience48_1</t>
  </si>
  <si>
    <t>curatescience48</t>
  </si>
  <si>
    <t>Correll, J. (2008). 1/f noise and effort on implicit measures of bias. Journal of personality and social psychology, 94(1), 48. Study 2</t>
  </si>
  <si>
    <t>10.1037/0022-3514.94.1.48</t>
  </si>
  <si>
    <t>10.1037--0022-3514.94.1.48.pdf</t>
  </si>
  <si>
    <t>Madurski, C., &amp; LeBel, E. P. (2014). Making sense of the noise: Replication difficulties of Correll’s (2008) modulation of 1/f noise in a racial bias task. Psychonomic Bulletin &amp; Review, 22(4), 1135–1141. https://doi.org/10.3758/s13423-014-0757-4 (Study 1)</t>
  </si>
  <si>
    <t>10.3758/s13423-014-0757-4</t>
  </si>
  <si>
    <t>10.3758--s13423-014-0757-4.pdf</t>
  </si>
  <si>
    <t>Modulation of 1/f noise in a racial bias task.</t>
  </si>
  <si>
    <t>1/f noise, racial bias, weapon identification task, implicit bias, replication study.</t>
  </si>
  <si>
    <t>Effort to avoid or use racial information in a weapon identification task was hypothesized to modulate the emission of 1/f noise, with less negative PSD slopes (indicating reduced 1/f noise) expected under increased effort conditions.</t>
  </si>
  <si>
    <t>Explicit instructions to use or avoid racial information during a weapon identification task reduced the emission of 1/f noise, as evidenced by less negative PSD slopes in the experimental conditions (mean slope = -0.27) compared to the control condition (mean slope = -0.45), with a significant planned contrast, t(69) = 2.35, p = .02, d = 0.59.</t>
  </si>
  <si>
    <t>Appendix of Correll (2008), p. 59</t>
  </si>
  <si>
    <t>Calculated using SAS syntax provided in Correll (2008)</t>
  </si>
  <si>
    <t>https://osf.io/v3hfb/</t>
  </si>
  <si>
    <t>replication study states that the original effect was d = 0.59</t>
  </si>
  <si>
    <t>Correll, J. (2008). 1/f noise and effort on implicit measures of bias. Journal of personality and social psychology, 94(1), 48.</t>
  </si>
  <si>
    <t>Madurski, C., &amp; LeBel, E. P. (2014). Making sense of the noise: Replication difficulties of Correll’s (2008) modulation of 1/f noise in a racial bias task. Psychonomic Bulletin &amp; Review, 22(4), 1135–1141. https://doi.org/10.3758/s13423-014-0757-4</t>
  </si>
  <si>
    <t>implicit bias measures</t>
  </si>
  <si>
    <t>1/f noise, effort, stereotyping, prejudice, Implicit racial bias, Weapon identification task</t>
  </si>
  <si>
    <t>Effort causally affects the emission of 1/f noise.</t>
  </si>
  <si>
    <t>"As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</si>
  <si>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F(1, 68) = 5.52</t>
  </si>
  <si>
    <t>curatescience49_1</t>
  </si>
  <si>
    <t>curatescience49</t>
  </si>
  <si>
    <t>Madurski, C., &amp; LeBel, E. P. (2014). Making sense of the noise: Replication difficulties of Correll’s (2008) modulation of 1/f noise in a racial bias task. Psychonomic Bulletin &amp; Review, 22(4), 1135–1141. https://doi.org/10.3758/s13423-014-0757-4 (Study 2)</t>
  </si>
  <si>
    <t>Effort to use or avoid racial information in a weapon identification task is hypothesized to reduce the emission of 1/f noise, with less negative PSD slopes expected under increased effort conditions</t>
  </si>
  <si>
    <t>Calculated using SAS syntax from Correll (2008)</t>
  </si>
  <si>
    <t>https://osf.io/czbzg/</t>
  </si>
  <si>
    <t>replication study states that the original effect was d = 0..59</t>
  </si>
  <si>
    <t>"As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</si>
  <si>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curatescience50_1</t>
  </si>
  <si>
    <t>curatescience50</t>
  </si>
  <si>
    <t>Values are the same as in the Curatescience Database but have not been cross-checked with original papers
Corinna: 
- I changed the replication label, since the coder just copied the replication studies title
- I added a more detailed description of the effect
- I added the page number of the effect of the replication study
- I changed the effect type from Odds ratio to r (correlation) and added it to the claim
- The rows refer to different effects; this row refers to the testosterone level 
- The authors performed a one way ANOVA in the original study. Therefore, the p-value should control for nesting
- It is not mentioned whether the p-value is one- or two sided. Therefore, I changed it to "NA".</t>
  </si>
  <si>
    <t>Carney, D. R., Cuddy, A. J., &amp; Yap, A. J. (2010). Power posing: Brief nonverbal displays affect neuroendocrine levels and risk tolerance. Psychological science, 21(10), 1363-1368.</t>
  </si>
  <si>
    <t>10.1177/0956797610383437</t>
  </si>
  <si>
    <t>10.1177--0956797610383437.pdf</t>
  </si>
  <si>
    <t>Ranehill, E., Dreber, A., Johannesson, M., Leiberg, S., Sul, S., &amp; Weber, R. A. (2015). Assessing the robustness of power posing. Psychological Science, 26(5), 653–656. https://doi.org/10.1177/0956797614553946</t>
  </si>
  <si>
    <t>10.1177/0956797614553946</t>
  </si>
  <si>
    <t>10.1177--0956797614553946.pdf</t>
  </si>
  <si>
    <t>Power Posing</t>
  </si>
  <si>
    <t>cortisol, embodiment, hormones, neuroendocrinology, nonverbal behavior, power, risk taking, testosterone</t>
  </si>
  <si>
    <t>power posing effect: power posing (physical postures that express power and dominance) affects levels of hormones such as testosterone and cortisol, financial risk taking, and self-reported feelings of power</t>
  </si>
  <si>
    <t>As hypothesized, high-power poses caused an increase in testosterone compared with low-power poses, which caused a decrease in testosterone, F(1, 39) = 4.29, p &lt; .05; r = .34</t>
  </si>
  <si>
    <t>CORINNA</t>
  </si>
  <si>
    <t>I  included here the test of the o_study but note that Φ =.30.  the test of the r_study reports d not OR so I edited the cell accordingly; all osf links reported in r_paper do not work</t>
  </si>
  <si>
    <t xml:space="preserve">Values are the same as in the Curatescience Database but have not been cross-checked with original papers
Corinna: 
- I added a more detailed description of the effect
- I added the effect size of the original study
- The rows refer to different effects; this row refers to risk taking
- The authors performed a one way ANOVA in the original study. Therefore, the p-value should control for nesting
- It is not mentioned whether the p-value is one- or two sided. Therefore, I changed it to "NA". </t>
  </si>
  <si>
    <t>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</si>
  <si>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0.30; X2 = 3.86</t>
  </si>
  <si>
    <t>Phi</t>
  </si>
  <si>
    <t xml:space="preserve"> −0.176</t>
  </si>
  <si>
    <t>curatescience51_1</t>
  </si>
  <si>
    <t>curatescience51</t>
  </si>
  <si>
    <t>I rejected this replication because I felt like it was very different from the original studay in terms of the DVs and categories of IVs</t>
  </si>
  <si>
    <t xml:space="preserve">OR replication: .67 but said .72
Corinna:
- I changed the replication label since the coder copied the studies title
- I added a more detailed description of the effect </t>
  </si>
  <si>
    <t>Garrison, K., Tang, D., &amp; Schmeichel, B. J. (2016). Embodying power. Social Psychological and Personality Science, 7(7), 623–630. https://doi.org/10.1177/1948550616652209</t>
  </si>
  <si>
    <t>10.1177/1948550616652209</t>
  </si>
  <si>
    <t>10.1177--1948550616652209.pdf</t>
  </si>
  <si>
    <t>It's a very different experiment than the original</t>
  </si>
  <si>
    <t>dominance, embodiment, eye gaze, power pose, replication</t>
  </si>
  <si>
    <t>on hold - future validation</t>
  </si>
  <si>
    <t xml:space="preserve">I  included here the test of the o_study but note that Φ =.30.  </t>
  </si>
  <si>
    <t xml:space="preserve">OR replication: .67 but said .72
Corinna: 
- I added a more detailed description of the effect 
- The authors performed a one way ANOVA in the original study. Therefore, the p-value should control for nesting
- It is not mentioned whether the p-value is one- or two sided. Therefore, I changed it to "NA". </t>
  </si>
  <si>
    <t>a conceptual replication and exten-sion</t>
  </si>
  <si>
    <t>https://osf.io/8tikd</t>
  </si>
  <si>
    <t>curatescience52_1</t>
  </si>
  <si>
    <t>curatescience52</t>
  </si>
  <si>
    <t>while original paper's statistics are available, the replication study listed does not provide any details on exactly what statistics are used; attempts to locate the original data are proving to be dead-ends</t>
  </si>
  <si>
    <r>
      <rPr>
        <rFont val="Calibri"/>
        <sz val="11.0"/>
      </rPr>
      <t xml:space="preserve">Online appendix link in the manuscript is broken, this is the current working version: </t>
    </r>
    <r>
      <rPr>
        <rFont val="Calibri"/>
        <color rgb="FF1155CC"/>
        <sz val="11.0"/>
        <u/>
      </rPr>
      <t>https://www.ejwagenmakers.com/2012/Appendix_PoPS_WagenmakersEtAl.pdf</t>
    </r>
  </si>
  <si>
    <t>Bem, D. J. (2011). Feeling the future: experimental evidence for anomalous retroactive influences on cognition and affect. Journal of personality and social psychology, 100(3), 407.</t>
  </si>
  <si>
    <t>10.1037/a0021524</t>
  </si>
  <si>
    <t>10.1037--a0021524.pdf</t>
  </si>
  <si>
    <t>Wagenmakers, E., Wetzels, R., Borsboom, D., Van Der Maas, H. L. J., &amp; Kievit, R. A. (2012). An agenda for purely confirmatory research. Perspectives on Psychological Science, 7(6), 632–638. https://doi.org/10.1177/1745691612463078</t>
  </si>
  <si>
    <t>10.1177/1745691612463078</t>
  </si>
  <si>
    <t>confirmatory replication attempt</t>
  </si>
  <si>
    <t>precognition</t>
  </si>
  <si>
    <t>ESP, precognition, retrocausation, Bayesian analysis, confirmatory research, extrasensory perception, erotic stimuli</t>
  </si>
  <si>
    <t>Participants’ ability to correctly predict the location of erotic pictures</t>
  </si>
  <si>
    <t>Participants correctly identified the future position of the erotic pictures significantly more frequently than the 50% hit rate expected by chance: 53.1%, t(99) = 2.51, p = .01, d = 0.25.</t>
  </si>
  <si>
    <t>p. 409; one-tailed is mentioned in footnote 1</t>
  </si>
  <si>
    <t>It is confirmatory replication attempt</t>
  </si>
  <si>
    <t>Precognition</t>
  </si>
  <si>
    <t>psi, parapsychology, ESP, precognition, retrocausation</t>
  </si>
  <si>
    <t>Precognitive detection of erotic stimuli: Future events influence current cognition and affect (retroactive influence).</t>
  </si>
  <si>
    <t>As predicted, participants correctly identified the future position of the erotic pictures significantly more frequently than the 50% hit rate expected by chance.</t>
  </si>
  <si>
    <t>curatescience52_b</t>
  </si>
  <si>
    <r>
      <rPr>
        <rFont val="Calibri"/>
        <sz val="11.0"/>
      </rPr>
      <t xml:space="preserve">Online appendix link in the manuscript is broken, this is the current working version: </t>
    </r>
    <r>
      <rPr>
        <rFont val="Calibri"/>
        <color rgb="FF1155CC"/>
        <sz val="11.0"/>
        <u/>
      </rPr>
      <t>https://www.ejwagenmakers.com/2012/Appendix_PoPS_WagenmakersEtAl.pdf</t>
    </r>
  </si>
  <si>
    <t>Participants’ ability to correctly predict the location of non-erotic pictures</t>
  </si>
  <si>
    <t>hit rate on the nonerotic pictures did not differ significantly from chance: 49.8%, t(99)=-0.15, p = .56.</t>
  </si>
  <si>
    <t>t(99)=-0.15</t>
  </si>
  <si>
    <t>curatescience53_1</t>
  </si>
  <si>
    <t>curatescience53_b</t>
  </si>
  <si>
    <r>
      <rPr>
        <rFont val="Calibri"/>
        <b/>
        <color theme="1"/>
        <sz val="11.0"/>
      </rPr>
      <t>GENERAL NOTE: The o_paper have 5 studies and the r_paper is replicating all of them except study number 2. All principal claims are reported here. Note that in the o_paper exp 3 and 4 have the same claims so the r_paper had one study that replicated both so the r_results are the same for o_results of exp 3 and for o_results of exp 4.</t>
    </r>
    <r>
      <rPr>
        <rFont val="Calibri"/>
        <color theme="1"/>
        <sz val="11.0"/>
      </rPr>
      <t xml:space="preserve"> Claim for row: Literary Fiction Versus Nonfiction (replication exp 1 - main effect condition)</t>
    </r>
  </si>
  <si>
    <t xml:space="preserve">Values are the same as in the Curatescience Database but have not been cross-checked with original papers
Corinna:
- Since the replication study does not include multiple substudies, I coded the study number with 1
- The reported result refers to study 1 of the original study
- The coder copied the whole abstract into the effect description. I shortend the description.
- The test of the replication explicitly controlled for nesting (I changed the entry from no to yes) 
- The replication was not preregistered 
- I added the context to the claim </t>
  </si>
  <si>
    <t xml:space="preserve">Kidd, D. C., &amp; Castano, E. (2013). Reading literary fiction improves theory of mind. Science, 342(6156), 377-380. Study </t>
  </si>
  <si>
    <t>10.1126--science.1239918.pdf</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</si>
  <si>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1)</t>
  </si>
  <si>
    <t>10.1037/pspa0000064</t>
  </si>
  <si>
    <t>Theory of Mind</t>
  </si>
  <si>
    <t>Literary Fiction, Theory of Mind, Author Recognition Test, RMET</t>
  </si>
  <si>
    <t>Literary fiction leads to (temporarily) better performance on tests of affective ToM (Theory of Mind) and cognitive ToM compared with reading nonfiction, popular fiction nothing at all.</t>
  </si>
  <si>
    <t>"for the affective ToM task" [...] "Scores were higher in the literary fiction than nonfiction condition (Table 2)"</t>
  </si>
  <si>
    <t>omega squared</t>
  </si>
  <si>
    <t>p.2 (table 1)</t>
  </si>
  <si>
    <t>curatescience53_c</t>
  </si>
  <si>
    <t>Literary Fiction Versus Nonfiction (replication exp 1 - main effect ART)</t>
  </si>
  <si>
    <t xml:space="preserve">Values are the same as in the Curatescience Database but have not been cross-checked with original papers
Corinna:
- Since the replication study does not include multiple substudies, I coded the study number with 1
- The reported result refers to study 1 of the original study
- The coder copied the whole abstract into the effect description. I shortend the description.
- The test of the replication explicitly controlled for nesting (I changed the entry from no to yes) 
- The replication was not preregistered 
</t>
  </si>
  <si>
    <t>Higher Author Recognition Test scores (indicating more familiarity with fiction) predicted higher RMET scores.</t>
  </si>
  <si>
    <t>curatescience53_d</t>
  </si>
  <si>
    <t>Literary Fiction Versus Nonfiction (replication exp 1 - interaction effect); effect size not reported for r_claim</t>
  </si>
  <si>
    <t xml:space="preserve">Values are the same as in the Curatescience Database but have not been cross-checked with original papers
Corinna:
- Since the replication study does not include multiple substudies, I coded the study number with 1
- The reported result refers to study 1 of the original study
- The coder copied the whole abstract into the effect description. I shortend the description.
- The replication was not preregistered </t>
  </si>
  <si>
    <t>Author Recognition Test x Condition</t>
  </si>
  <si>
    <t>F(1, 266) = 0.24</t>
  </si>
  <si>
    <t>curatescience53_e</t>
  </si>
  <si>
    <t>Literary Fiction Versus Popular Fiction (replication exp 3 - main effect condition)</t>
  </si>
  <si>
    <t xml:space="preserve">Values are the same as in the Curatescience Database but have not been cross-checked with original papers
Corinna:
- she reports the number of participants (replication) that is reported, while Alexsandr inferrs the N from the test statistics </t>
  </si>
  <si>
    <t>RMET scores were higher in the literary fiction condition than in the popular fiction condition.</t>
  </si>
  <si>
    <t>2,3</t>
  </si>
  <si>
    <t>curatescience53_f</t>
  </si>
  <si>
    <t>Literary Fiction Versus Popular Fiction (replication exp 3 - main effect ART)</t>
  </si>
  <si>
    <t>There were no effects involving the Author Recognition Test (for test, Table 1; for means, Table 2).</t>
  </si>
  <si>
    <t>curatescience53_g</t>
  </si>
  <si>
    <t>Literary Fiction Versus Popular Fiction (replication exp 3 - interaction effect)</t>
  </si>
  <si>
    <t>F(1, 288) = 0.67</t>
  </si>
  <si>
    <t>curatescience53_h</t>
  </si>
  <si>
    <t>Literary Fiction Versus Popular Fiction (replication exp 4 - main effect condition)</t>
  </si>
  <si>
    <t>Values are the same as in the Curatescience Database but have not been cross-checked with original papers
Corinna:
- ID needs to be changed
- I changed the experiment number (original) and the N 
- the effect of the replication were explicitely nested</t>
  </si>
  <si>
    <t>RMET scores were higher in the literary fic-tion condition than in the popular fiction condi-tion (for tests, see Table 1; for means, see Table 2).</t>
  </si>
  <si>
    <t>curatescience53_i</t>
  </si>
  <si>
    <t>Literary Fiction Versus Popular Fiction (replication exp 4 - main effect ART)</t>
  </si>
  <si>
    <t>Author Recognition Test scores predicted RMET scores.</t>
  </si>
  <si>
    <t>curatescience53_j</t>
  </si>
  <si>
    <t>Literary Fiction Versus Popular Fiction (replication exp 4 - interaction effect)</t>
  </si>
  <si>
    <t xml:space="preserve">Values are the same as in the Curatescience Database but have not been cross-checked with original papers
Corinna:
- ID needs to be changed
- I changed the experiment number (original) and the N
- the effect of the replication were explicitely nested </t>
  </si>
  <si>
    <t>curatescience53_k</t>
  </si>
  <si>
    <t>Literary Fiction Versus No Reading  (replication exp 5 - main effect condition)</t>
  </si>
  <si>
    <t xml:space="preserve">Values are the same as in the Curatescience Database but have not been cross-checked with original papers
Corinna
- ID needs to be changed
- the effect of the replication were explicitely nested </t>
  </si>
  <si>
    <t>Results on the RMET were analyzed as in the previous experiments. The effect of condi-tion was significant (see Table 1). Scores were significantly higher in the literary fiction condition than in the popular fiction and no-reading conditions (see Table 2). The latter two conditions did not differ (P = 0.65).</t>
  </si>
  <si>
    <t>curatescience53_l</t>
  </si>
  <si>
    <t>Literary Fiction Versus No Reading  (replication exp 5 - main effect ART)</t>
  </si>
  <si>
    <t xml:space="preserve">Values are the same as in the Curatescience Database but have not been cross-checked with original papersCorinna
- ID needs to be changed
- the effect of the replication were explicitely nested </t>
  </si>
  <si>
    <t>A significant main effect of Author Recognition Test scores emerged (see Table 1).</t>
  </si>
  <si>
    <t xml:space="preserve"> F(1, 361) = 139.37</t>
  </si>
  <si>
    <t>curatescience53_m</t>
  </si>
  <si>
    <t>Literary Fiction Versus No Reading  (replication exp 5 - interaction effect)</t>
  </si>
  <si>
    <t>F(1, 361) = 4.06</t>
  </si>
  <si>
    <t>curatescience53</t>
  </si>
  <si>
    <t>Reolication also calculated d for Experiment 1 in O "The literary fiction versus nonfiction comparison (Kidd and Castano’s
Experiment 1, N   86) has Cohen’s d   .51,"</t>
  </si>
  <si>
    <t xml:space="preserve">Values are the same as in the Curatescience Database but have not been cross-checked with original papers
Corinna: 
- I changed the number of participant in the replication (I think the coder coded the group size of one group, but actually both groups were compared) 
- I changed preregistration form no to NA 
- I corrected the number of participants from the original study, since 6 individuals were excluded 
- I added the effect size </t>
  </si>
  <si>
    <t>Kidd, D. C., &amp; Castano, E. (2013). Reading literary fiction improves theory of mind. Science, 342(6156), 377-380. Study 1</t>
  </si>
  <si>
    <t>Condition, Literary Fiction Versus Nonfiction</t>
  </si>
  <si>
    <t xml:space="preserve">Scores for the affective ToM task ... were higher in the literary fiction than nonfiction condition (Table 2). </t>
  </si>
  <si>
    <t>p.2, Table 2, F1,82 = 6.40 p = 0.01</t>
  </si>
  <si>
    <t>p. 5, F(1, 167) = 0.08, p  =  .775, d =  0.07.</t>
  </si>
  <si>
    <t>"Values are the same as in the Curatescience Database but have not been cross-checked with original papers
Corinna: 
- I changed the number of participant in the replication (I think the coder coded the group size of one group, but actually both groups were compared) 
- I changed preregistration form no to NA 
- I corrected the number of participants from the original study, since 6 individuals were excluded 
- I added the effect size</t>
  </si>
  <si>
    <t>ART (author recognition test), Literary Fiction Versus Nonfiction</t>
  </si>
  <si>
    <t>Reading literature can led to better performance on tests of affective theory of mind and and cognitive theory of mind</t>
  </si>
  <si>
    <t>p.2, Table 2, b = 0.36, p = 0.0003</t>
  </si>
  <si>
    <t>p. 5, F(1, 266)   44.22, p  &lt;  .001, b =  0.19</t>
  </si>
  <si>
    <t>Values are the same as in the Curatescience Database but have not been cross-checked with original papers
Corinna: 
- I added the whole test statistics of the replication study (Only a F value was coded)
- I am not entirely sure that the p-value of the original study is not nested (ANOVA testing the interaction of two between subjects feactors) 
- I changed the number of participant in the replication (I think the coder coded the group size of one group, but actually both groups were compared) 
- I changed preregistration form no to NA 
- I corrected the number of participants from the original study, since 6 individuals were excluded 
- I added the effect size of the original study</t>
  </si>
  <si>
    <t>ART - Condition intercation, Literary Fiction Versus Nonfiction</t>
  </si>
  <si>
    <t>No other covariates approached significance... (In this case no interaction effect - Aleksandr P.)</t>
  </si>
  <si>
    <t>p.2, Table 2, F1,82 = 1.06, p = 0.30</t>
  </si>
  <si>
    <t>p.5, F(1, 266) = 0.24, p =  .625</t>
  </si>
  <si>
    <t>curatescience533</t>
  </si>
  <si>
    <t>Corrected replication effect based on values reported in the manuscript (no values could be find in the supplemental materials in the OSF project)</t>
  </si>
  <si>
    <t>Jostmann, N. B., Lakens, D., &amp; Schubert, T. W. (2009). Weight as an embodiment of importance. Psychological science, 20(9), 1169-1174.</t>
  </si>
  <si>
    <t>10.1111/j.1467-9280.2009.02426.x</t>
  </si>
  <si>
    <t>Ebersole, C. R., Atherton, O. E., Belanger, A. L., Skulborstad, H. M., Allen, J. M., Banks, J. B., ... &amp; Nosek, B. A. (2016). Many Labs 3: Evaluating participant pool quality across the academic semester via replication. Journal of Experimental Social Psychology, 67, 68-82.</t>
  </si>
  <si>
    <t>10.1016/j.jesp.2015.10.012</t>
  </si>
  <si>
    <t>https://osf.io/ct89g/</t>
  </si>
  <si>
    <t>4.6 (as labeled in Many Labs 3 supplement).</t>
  </si>
  <si>
    <t>Embodiment of weight influences judgments of importance.</t>
  </si>
  <si>
    <t>weight embodiment, importance judgments, many labs 3, replication</t>
  </si>
  <si>
    <t>Replicated the effect of clipboard weight on perceived importance. No significant differences were observed (p = .54).</t>
  </si>
  <si>
    <t>Participants in the heavy-clipboard condition (M = 5.27, SD = 1.28) found it more important that the committee listen to students' opinions compared to participants in the light-clipboard condition (M = 4.21, SD = 2.10), F(1, 49) = 4.33, p &lt; .05, Cohen’s d = 0.59.</t>
  </si>
  <si>
    <t>Reported directly in the text, page 1171.</t>
  </si>
  <si>
    <t>I could not find the passage of the text and had to replace it with what I could find.</t>
  </si>
  <si>
    <t>Weight priming</t>
  </si>
  <si>
    <t>participants in the heavyclipboard condition (M 5 5.27, SD 5 1.28) found it more important that the committee listen to the students’ opinions than did participants in the light-clipboard condition (M 5 4.21, SD 5 2.10), F(1, 49) 5 4.33, p &lt; .05, prep 5 .92, Zp2 5 .08</t>
  </si>
  <si>
    <t>Please fill out all variables. References and DOIs are missing in several cases.</t>
  </si>
  <si>
    <t>curatescience537</t>
  </si>
  <si>
    <t>Szymkow, A., Chandler, J., IJzerman, H., Parzuchowski, M., &amp; Wojciszke, B. (2013). Warmer hearts, warmer rooms. Social Psychology.</t>
  </si>
  <si>
    <t>10.1027/1864-9335/a000147</t>
  </si>
  <si>
    <t>4.7 (as labeled in Many Labs 3 supplement).</t>
  </si>
  <si>
    <t>Communal traits influence ambient temperature perception.</t>
  </si>
  <si>
    <t>communal traits, embodiment, temperature perception, social cognition</t>
  </si>
  <si>
    <t>Replicated the original study testing if communal traits affect temperature perception. The replication failed to detect the effect.</t>
  </si>
  <si>
    <t>Participants in the communion condition estimated the ambient room temperature as significantly warmer (M = 20.95, SD = 2.24) than participants in the agency condition (M = 18.95, SD = 2.41), t(78) = 3.85, p &lt; .001, Cohen's d = 0.86.</t>
  </si>
  <si>
    <t>Page 169-170</t>
  </si>
  <si>
    <t>Reported directly in the text on page 169-170.</t>
  </si>
  <si>
    <t>Warmth priming</t>
  </si>
  <si>
    <t>Participants in the communion condition perceived the target person as having a warmer personality (M = 5.65, SD = 0.80) than those in the agency condition (M = 4.65, SD = 0.97), t(78) = 5.01, p &lt; .001, d = 1.12</t>
  </si>
  <si>
    <t>curatescience54_1</t>
  </si>
  <si>
    <t>curatescience54</t>
  </si>
  <si>
    <t>Kidd, D. C., &amp; Castano, E. (2013). Reading literary fiction improves theory of mind. Science, 342(6156), 377-380. Study 3</t>
  </si>
  <si>
    <r>
      <rPr>
        <rFont val="Calibri"/>
        <sz val="11.0"/>
      </rPr>
      <t xml:space="preserve">Dijkstra, K., Verkoeijen, P., van Kuijk, I., Yee Chow, S., Bakker, A., &amp; Zwaan, R. (2015). Leidt het lezen van literaire fictie tot meer empathie? : een replicatiestudie van Kidd en Castano (2013). De Psycholoog, 50(10), 10–21. Retrieved from </t>
    </r>
    <r>
      <rPr>
        <rFont val="Calibri"/>
        <color rgb="FF1155CC"/>
        <sz val="11.0"/>
        <u/>
      </rPr>
      <t>http://hdl.handle.net/1765/98670</t>
    </r>
  </si>
  <si>
    <t>Seems to be in German, can't extract the data</t>
  </si>
  <si>
    <t>Dijkstra, K., Verkoeijen, P., van Kuijk, I., Yee Chow, S., Bakker, A., &amp; Zwaan, R. (2015). Leidt het lezen van literaire fictie tot meer empathie? : een replicatiestudie van Kidd en Castano (2013). De Psycholoog, 50(10), 10–21. Retrieved from http://hdl.handle.net/1765/98670</t>
  </si>
  <si>
    <t>I am not sure what exclusion criteria for studies the project has. This one seems to be in German, so I don't know if it's eligible.</t>
  </si>
  <si>
    <t>Condition, literary fiction versus popular fiction condition.</t>
  </si>
  <si>
    <t xml:space="preserve">Experiment 3 (N = 69) aimed to replicate the literary fiction versus popular fiction comparison. Using the same analytical strategy used in experiment 1, it was found that RMET scores were higher in the literary fiction condition than in the popular fiction condition. </t>
  </si>
  <si>
    <t>p. 2,3</t>
  </si>
  <si>
    <t>F1,65 = 4.07</t>
  </si>
  <si>
    <t>p.2, Table 2</t>
  </si>
  <si>
    <t>curatescience54_b</t>
  </si>
  <si>
    <t>ART (author recognition test), literary fiction versus popular fiction condition.</t>
  </si>
  <si>
    <t>There were no effects involving the Author Recognition Test</t>
  </si>
  <si>
    <t>p.2, Table 2, b = –0.01 , p = 0.90</t>
  </si>
  <si>
    <t>curatescience54_c</t>
  </si>
  <si>
    <t>ART - Condition intercation, literary fiction versus popular fiction condition.</t>
  </si>
  <si>
    <t>F1,65 = 0.01</t>
  </si>
  <si>
    <t>curatescience55_1</t>
  </si>
  <si>
    <t>curatescience55</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</si>
  <si>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2)</t>
  </si>
  <si>
    <t>10.1037--pspa0000064.pdf</t>
  </si>
  <si>
    <t>N for R based on test statistic (F)</t>
  </si>
  <si>
    <t>Values are the same as in the Curatescience Database but have not been cross-checked with original papers
Corinna: 
- I changed the effect from "priming" to "priming theory of mind", since this seems to be more specific
- I added a description of the effect
- I changed the number of participants of the replication from 194 to 193. This would be correct and ChatGPT confirmed 193. 
- I changed the test statistics of the original study (test statistics were reported partly, but an effect size was available).</t>
  </si>
  <si>
    <t>Priming theory of mind</t>
  </si>
  <si>
    <t>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</si>
  <si>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 </t>
  </si>
  <si>
    <t>p.2, Table 2, F1,65 = 4.07 p = 0.04</t>
  </si>
  <si>
    <t>p.6, F(1, 191) = 0.83, p = .363, d = 0.05.</t>
  </si>
  <si>
    <t>curatescience55_b</t>
  </si>
  <si>
    <t>Values are the same as in the Curatescience Database but have not been cross-checked with original papers
- I changed the effect from "priming" to "priming theory of mind", since this seems to be more specific
- I added a page number for the claim
- I changed the test statistics of the original study (test statistics were reported partly, but an effect size was available).</t>
  </si>
  <si>
    <t>p.6, F(1, 288)  = 95.16, p &lt;  .001, b  = 0.37</t>
  </si>
  <si>
    <t>curatescience55_c</t>
  </si>
  <si>
    <t>Values are the same as in the Curatescience Database but have not been cross-checked with original papers
Corinna: 
- I changed the effect from "priming" to "priming theory of mind", since this seems to be more specific
- I added a page number for the claim
- I changed the reported effect of the replication (only F value) to the full test statistics 
- I changed the test statistics of the original study (test statistics were reported partly, but an effect size was available).
- I changed nesting of the original paper from no to yes, since an interaction was tested</t>
  </si>
  <si>
    <t>p.2, Table 2, F1,65 = 0.01, p =0.90</t>
  </si>
  <si>
    <t>p.6,  F(1, 288) = 0.67, p = .412.</t>
  </si>
  <si>
    <t>curatescience558</t>
  </si>
  <si>
    <t>Cacioppo, J. T., Petty, R. E., &amp; Morris, K. J. (1983). Effects of need for cognition on message evaluation, recall, and persuasion. Journal of personality and social psychology, 45(4), 805.</t>
  </si>
  <si>
    <t>10.1037/0022-3514.45.4.805</t>
  </si>
  <si>
    <t>4.8 (as labeled in Many Labs 3 supplement).</t>
  </si>
  <si>
    <t>Need for cognition effect</t>
  </si>
  <si>
    <t>need for cognition, message processing, persuasion, argument quality, elaboration likelihood</t>
  </si>
  <si>
    <t>The replication tested the impact of need for cognition on message evaluation, showing that individuals high in need for cognition evaluate strong arguments more favorably and are less influenced by weak arguments compared to those low in need for cognition.</t>
  </si>
  <si>
    <t>The interaction between need for cognition and argument quality was significant, F(1, 110) = 22.45, p &lt; .001, showing that individuals high in need for cognition evaluated strong arguments more favorably (M = 5.86) compared to weak arguments (M = 2.26).</t>
  </si>
  <si>
    <t>F(1, 110) = 22.45</t>
  </si>
  <si>
    <t>You write that COhens d was reported in the text and quote SDs but neither could be found</t>
  </si>
  <si>
    <t>people scrutinize a persuasive message more when they believe the recommendation is personally relevant than when they believe it is irrelevant</t>
  </si>
  <si>
    <t>curatescience56_1</t>
  </si>
  <si>
    <t>curatescience56</t>
  </si>
  <si>
    <t>Kidd, D. C., &amp; Castano, E. (2013). Reading literary fiction improves theory of mind. Science, 342(6156), 377-380. Study 5</t>
  </si>
  <si>
    <t>Panero, M. E., Weisberg, D. S., Black, J. E., Goldstein, T. R., Barnes, J. L., Brownell, H., &amp; Winner, E. (2016). Does reading a single passage of literary fiction really improve theory of mind? An attempt at replication. Journal of Personality and Social Psychology, 111(5), e46–e54. https://doi.org/10.1037/pspa0000064 (Study 3)</t>
  </si>
  <si>
    <t>N for R is stated to be 370, but I am not quite sure that it's true in all of the cases</t>
  </si>
  <si>
    <t xml:space="preserve">Values are the same as in the Curatescience Database but have not been cross-checked with original papers
Corinna: 
- I changed the effect from theory of mind to priming theory of mind
- I changed the effect of the original study </t>
  </si>
  <si>
    <t>Condition, Literary Fiction Versus Popular fiction Versus No Reading</t>
  </si>
  <si>
    <t>Results on the RMET were analyzed as in the previous experiments. The effect of condition was significant (see Table 1). Scores were significantly higher in the literary fiction condition than in the popular fiction and no-reading conditions (see Table 2).</t>
  </si>
  <si>
    <t>p.2, Table 2, F2,352 =3.10, p = 0.04</t>
  </si>
  <si>
    <t>F(1, 53.6) = 0.08, p =  .775, d =  0.01.</t>
  </si>
  <si>
    <t>curatescience56_b</t>
  </si>
  <si>
    <t xml:space="preserve">Values are the same as in the Curatescience Database but have not been cross-checked with original papers
Corinna: 
- I changed the effect from theory of mind to priming theory of mind 
- I changed the claim
- I changed both effects (only partial effects were reported) </t>
  </si>
  <si>
    <t>ART (author recognition test) Literary Fiction Versus Popular fiction Versus No Reading</t>
  </si>
  <si>
    <t>p.2, Table 2, b = 0.28, p &lt;0.001</t>
  </si>
  <si>
    <t>p.6,  F(1, 361)  = 139.37, p &lt;  .001</t>
  </si>
  <si>
    <t>curatescience56_c</t>
  </si>
  <si>
    <t xml:space="preserve">Values are the same as in the Curatescience Database but have not been cross-checked with original papers
Corinna: 
- I changed the effect from theory of mind to priming theory of mind 
- I changed the claim
- I changed both effects (only partial effects were reported) 
- I changed the nesting of the original study since an interaction was tested </t>
  </si>
  <si>
    <t>ART - Condition intercation, Literary Fiction Versus Popular fiction Versus No Reading</t>
  </si>
  <si>
    <t>p.2, Table 2, F2,352 = 1.37, p = 0.25</t>
  </si>
  <si>
    <t>p.6,  F(1, 361)  = 4.06, p =  .045:</t>
  </si>
  <si>
    <t>curatescience57_1</t>
  </si>
  <si>
    <t>curatescience57</t>
  </si>
  <si>
    <t xml:space="preserve">Corinna:
- replication was explicitely labeled as close in abstract
- I changed the page numbers to those of the PDF
- The coder calculated alle effects himself. Although they are not necessarily  wrong, they are not the key results of the replication 
- The text claim was not a direct quote and I changed it
- There was no information concerning the tails of the p-value </t>
  </si>
  <si>
    <t>DeVoe, S. E., &amp; House, J. (2012). Time, money, and happiness: How does putting a price on time affect our ability to smell the roses?. Journal of Experimental Social Psychology, 48(2), 466-474.</t>
  </si>
  <si>
    <t>10.1016/j.jesp.2011.11.012</t>
  </si>
  <si>
    <t>10.1016--j.jesp.2011.11.012.pdf</t>
  </si>
  <si>
    <t>Connors, S., Khamitov, M., Moroz, S., Campbell, L., &amp; Henderson, C. (2016). Time, money, and happiness: Does putting a price on time affect our ability to smell the roses? Journal of Experimental Social Psychology, 67, 60–64. https://doi.org/10.1016/j.jesp.2015.08.005 (Study 1)</t>
  </si>
  <si>
    <t>10.1016/j.jesp.2015.08.005</t>
  </si>
  <si>
    <t>close replications</t>
  </si>
  <si>
    <t>Time is money effect</t>
  </si>
  <si>
    <t>Time, Money, Impatience, Happiness, Replication, Reproducibility</t>
  </si>
  <si>
    <t>Thinking about time as money reduces enjoyment and increases impatience during leisure activities; financial compensation moderates these effects.</t>
  </si>
  <si>
    <t>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</si>
  <si>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Calculated based on means and SDs from p. 470</t>
  </si>
  <si>
    <t>Calculated based on means and SDs from p. 62</t>
  </si>
  <si>
    <t>https://osf.io/ryfse/</t>
  </si>
  <si>
    <t>the o_paper had 3 studies and the r_paper had 2 replications of o_study number 3; the results I reported for the r_study are from the two replications (merged) and could be found in table 1 and 2 (p.3);</t>
  </si>
  <si>
    <t xml:space="preserve">Values are the same as in the Curatescience Database but have not been cross-checked with original papers
Corinna:
- Everything was fine! I am unsure which kind of ANOVA the authors performed and was unsure regarding the nesting. However, I think it is not nested. </t>
  </si>
  <si>
    <t xml:space="preserve">DeVoe, S. E., &amp; House, J. (2012). Time, money, and happiness: How does putting a price on time affect our ability to smell the roses?. Journal of Experimental Social Psychology, 48(2), 466-474. </t>
  </si>
  <si>
    <t xml:space="preserve">Connors, S., Khamitov, M., Moroz, S., Campbell, L., &amp; Henderson, C. (2016). Time, money, and happiness: Does putting a price on time affect our ability to smell the roses? Journal of Experimental Social Psychology, 67, 60–64. https://doi.org/10.1016/j.jesp.2015.08.005 </t>
  </si>
  <si>
    <t>Happiness</t>
  </si>
  <si>
    <t>Time, Money, Impatience, Happiness</t>
  </si>
  <si>
    <t>we investigate how the impatience that results from placing a price on time impairs individuals' ability to derive happiness from pleasurable experiences.</t>
  </si>
  <si>
    <t>p.3 (table1)</t>
  </si>
  <si>
    <t>https://osf.io/u6ghv</t>
  </si>
  <si>
    <t>curatescience57_b</t>
  </si>
  <si>
    <t>Impatience</t>
  </si>
  <si>
    <t>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</si>
  <si>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p.3 (table2)</t>
  </si>
  <si>
    <t>curatescience578</t>
  </si>
  <si>
    <t>Ross, M., &amp; Wilson, A. E. (2002). It feels like yesterday: self-esteem, valence of personal past experiences, and judgments of subjective distance. Journal of personality and social psychology, 82(5), 792.</t>
  </si>
  <si>
    <t>10.1037/0022-3514.82.5.792</t>
  </si>
  <si>
    <t>4.9 (as labeled in Many Labs 3 supplement).</t>
  </si>
  <si>
    <t>Subjective distancing of past experiences.</t>
  </si>
  <si>
    <t>subjective distance, self-esteem, valence, temporal self-appraisal, personal past experiences.</t>
  </si>
  <si>
    <t>The replication tested whether people feel closer to positive past experiences and farther from negative ones, with high self-esteem individuals showing stronger distancing effects for negative outcomes.</t>
  </si>
  <si>
    <t>Participants with high self-esteem felt subjectively closer to courses in which they received better grades (M = 3.91, SD = 1.05) than courses in which they received poorer grades (M = 6.30, SD = 1.22). The Grade Condition × Self-Esteem interaction was significant, F(1, 352) = 3.57, p = .001, Cohen's d = 0.45</t>
  </si>
  <si>
    <t>Page 796</t>
  </si>
  <si>
    <t>Reported in Table 2 on page 796.</t>
  </si>
  <si>
    <t>Reported in Many Labs supplementary materials, Section 4.9: Self-esteem, valence, and subjective distance.</t>
  </si>
  <si>
    <t>HSEs (one standard deviation above the mean) felt more distant from courses in which they received their worst rather than their best grades</t>
  </si>
  <si>
    <t>curatescience58_1</t>
  </si>
  <si>
    <t>curatescience58</t>
  </si>
  <si>
    <t xml:space="preserve">Corinna:
- As the authors report the combined effect, I would use the combined effect (as Meriem did above [ID 57]) </t>
  </si>
  <si>
    <t>Connors, S., Khamitov, M., Moroz, S., Campbell, L., &amp; Henderson, C. (2016). Time, money, and happiness: Does putting a price on time affect our ability to smell the roses? Journal of Experimental Social Psychology, 67, 60–64. https://doi.org/10.1016/j.jesp.2015.08.005 (Study 2)</t>
  </si>
  <si>
    <t>Thinking about time as money reduces enjoyment and increases impatience during leisure activities. Financial compensation moderates these effects. Key results: F(1, 141) = 4.81, p = .03 for happiness, and F(1, 141) = 7.13, p = .008 for impatience.</t>
  </si>
  <si>
    <t>Calculated based on means and SDs from p. 63</t>
  </si>
  <si>
    <t xml:space="preserve">Values are the same as in the Curatescience Database but have not been cross-checked with original papers
Corinna:
- As the authors report the combined effect, I would use the combined effect (as Meriem did above [ID 57]) </t>
  </si>
  <si>
    <t>DeVoe, S. E., &amp; House, J. (2012). Time, money, and happiness: How does putting a price on time affect our ability to smell the roses?. Journal of Experimental Social Psychology, 48(2), 466-474. Study 3</t>
  </si>
  <si>
    <t>10.1016--j.jesp.2015.08.005.pdf</t>
  </si>
  <si>
    <t>curatescience59_1</t>
  </si>
  <si>
    <t>curatescience59</t>
  </si>
  <si>
    <t>Corinna:
- The replication study identifies as replication in the tital. However, in the introduction, methods, and discusssion section, it identifies as near-exact replication. Therefore, both codings are correct. 
- this entry seems to be useless since all values seem to be wrong and I can not find the values</t>
  </si>
  <si>
    <t>Bargh, J. A., &amp; Shalev, I. (2012). The substitutability of physical and social warmth in daily life. Emotion, 12(1), 154.</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</si>
  <si>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</si>
  <si>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10.1037/arc0000007</t>
  </si>
  <si>
    <t>Warmth-Need Effect</t>
  </si>
  <si>
    <t>Unconscious, Self-regulation, Embodiment, Warmth</t>
  </si>
  <si>
    <t>The study investigates how physical warmth (e.g., holding a warm object) increases the need for emotional warmth, such as seeking social connection.</t>
  </si>
  <si>
    <t>Physical warmth increases the need for emotional warmth (affiliation). Key result: β = 0.28, t = 3.48, p = .001 (Experiment 2, Study 1).</t>
  </si>
  <si>
    <t>Reported on p. 1215</t>
  </si>
  <si>
    <t>Calculated based on means and SDs from p. 22</t>
  </si>
  <si>
    <t xml:space="preserve">Values are the same as in the Curatescience Database but have not been cross-checked with original papers
Corinna:
- The replication study identifies as replication in the tital. However, in the introduction, methods, and discusssion section, it identifies as near-exact replication. Therefore, both codings are correct. 
- this entry seems to be useless since all values seem to be wrong and I can not find the values </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</si>
  <si>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</si>
  <si>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Calculated based on means and SDs from p. 23</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</si>
  <si>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</si>
  <si>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Calculated based on means and SDs from p. 24</t>
  </si>
  <si>
    <t>I edited the links to the original paper because it was of the paper before, the o_paper have 4 studies and the r_paper replicated a claim from study 2</t>
  </si>
  <si>
    <t>Values are the same as in the Curatescience Database but have not been cross-checked with original papers
Corinna:
- The replication study identifies as replication in the tital. However, in the introduction, methods, and discusssion section, it identifies as near-exact replication. Therefore, both codings are correct. 
- I changed the number of the original experiment from 4 to 2</t>
  </si>
  <si>
    <t xml:space="preserve">Bargh, J. A., &amp; Shalev, I. (2012). The substitutability of physical and social warmth in daily life. Emotion, 12(1), 154. </t>
  </si>
  <si>
    <t>10.1037/a0023527</t>
  </si>
  <si>
    <t>10.1037--a0023527.pdf</t>
  </si>
  <si>
    <r>
      <rPr>
        <rFont val="Calibri"/>
        <sz val="11.0"/>
      </rPr>
      <t xml:space="preserve">Wortman, J., Donnellan, M. B., &amp; Lucas, R. E. (2014). Can physical warmth (or coldness) predict trait loneliness? A replication of Bargh and Shalev (2012). Archives of Scientific Psychology, 2(1), 13–19. </t>
    </r>
    <r>
      <rPr>
        <rFont val="Calibri"/>
        <color rgb="FF1155CC"/>
        <sz val="11.0"/>
        <u/>
      </rPr>
      <t>https://doi.org/10.1037/arc0000007</t>
    </r>
  </si>
  <si>
    <t>a near-exact replication</t>
  </si>
  <si>
    <t>trait loneliness</t>
  </si>
  <si>
    <t>unconscious, self-regulation, embodiment, warmth</t>
  </si>
  <si>
    <t>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</si>
  <si>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</si>
  <si>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t(49) = 2.12</t>
  </si>
  <si>
    <t>curatescience599</t>
  </si>
  <si>
    <t>changed page to 659; changed n to 100; changed es_repr_o to page 651 and page 9 in pdf; changed n_r to 3,279; changed es_value_rep to 0.88; changed pval_tails_r to NA; I could not find the place where the input for es_repr_r came from</t>
  </si>
  <si>
    <t>Stroop, J. R. (1935). Studies of interference in serial verbal reactions. Journal of experimental psychology, 18(6), 643.</t>
  </si>
  <si>
    <t>10.1037/h0054651</t>
  </si>
  <si>
    <t>4.1 (as labeled in Many Labs 3 supplement).</t>
  </si>
  <si>
    <t>Stroop effect: Interference of conflicting stimuli in serial verbal reactions.</t>
  </si>
  <si>
    <t>stroop effect, cognitive interference, attention, color-word task, selective attention.</t>
  </si>
  <si>
    <t>The replication tested whether naming ink colors is slower when the ink spells incongruent color words, demonstrating the cognitive interference effect caused by automatic reading processes.</t>
  </si>
  <si>
    <t>The interference of conflicting word stimuli upon the time for naming 100 colors increased the mean reaction time by 47.0 seconds, a 74.3% increase over the normal time for naming colors printed in squares.</t>
  </si>
  <si>
    <t>Page 659</t>
  </si>
  <si>
    <t>Standard deviation units</t>
  </si>
  <si>
    <t>Reported directly in text on page 651, (page 9 in pdf).</t>
  </si>
  <si>
    <t>Reported in Many Labs supplementary materials, Section 4.1: Stroop Effect and Cognitive Interference.</t>
  </si>
  <si>
    <t>please put NA for pval_tails_r, if the source does not directly specify that a two tailed t test was used</t>
  </si>
  <si>
    <t>Experiment 2 of the original study seems to be better fitting than study 1, since in study 1 the colour words are printed in black in the congruent condition</t>
  </si>
  <si>
    <t>it took an average of 2.3 seconds longer to read 100 color names printed in colors different from that named by the word than to read the same names printed in black</t>
  </si>
  <si>
    <t>curatescience600</t>
  </si>
  <si>
    <t>n _othat was included in analysis is not 98 but 56 as indicated in the chi squared test statistic; n_r that is not correct; could not find place where values come from</t>
  </si>
  <si>
    <t>Boroditsky, L. (2000). Metaphoric structuring: Understanding time through spatial metaphors. Cognition, 75(1), 1-28.</t>
  </si>
  <si>
    <t>10.1016/s0010-0277(99)00073-6</t>
  </si>
  <si>
    <t>4.2 (as labeled in Many Labs 3 supplement).</t>
  </si>
  <si>
    <t>Spatial metaphors influence temporal reasoning.</t>
  </si>
  <si>
    <t>spatial metaphors, time perception, cognitive linguistics, temporal reasoning, embodied cognition</t>
  </si>
  <si>
    <t>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</si>
  <si>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Participants in the ego-moving condition interpreted the ambiguous temporal statement in a consistent manner 73% of the time, while participants in the time-moving condition chose a different consistent interpretation 69% of the time. A significant effect of consistency was observed, χ²(1, N = 98) = 5.2, p &lt; .05.</t>
  </si>
  <si>
    <t>Page 9</t>
  </si>
  <si>
    <t>Not reported</t>
  </si>
  <si>
    <t>Reported in text on page 9.</t>
  </si>
  <si>
    <t>Reported in supplementary materials of replication study, Section 4.2: spatial metaphors and temporal reasoning.</t>
  </si>
  <si>
    <t>please look at the test statistic of the chi square test for the final n</t>
  </si>
  <si>
    <t>added the method of calculation for d of the original study, added ref_r; added doi_r, added study_r , added label_r, copied tags, copied description, added prereg_r, added es_repr_r</t>
  </si>
  <si>
    <t>identified as replication in title</t>
  </si>
  <si>
    <t>Structure mapping</t>
  </si>
  <si>
    <t>people used primed spatial information to think about time. Overall, 71.3% of the participants responded in a prime-consistent manner</t>
  </si>
  <si>
    <t>calculated with N and chi squared</t>
  </si>
  <si>
    <t xml:space="preserve">reported in Table 3 </t>
  </si>
  <si>
    <t>please specify how you calculated d from the chi squared test statistic as it makes it easier for the validator</t>
  </si>
  <si>
    <t>curatescience620</t>
  </si>
  <si>
    <t>Tversky, A., &amp; Kahneman, D. (1973). Availability: A heuristic for judging frequency and probability. Cognitive psychology, 5(2), 207-232.</t>
  </si>
  <si>
    <t>10.1016/0010-0285(73)90033-9</t>
  </si>
  <si>
    <t>4.3 (as labeled in Many Labs 3 supplement).</t>
  </si>
  <si>
    <t>Availability heuristic</t>
  </si>
  <si>
    <t>availability heuristic, frequency judgment, probability estimation, cognitive bias, decision-making</t>
  </si>
  <si>
    <t>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</si>
  <si>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Participants judged English words beginning with certain letters (e.g., 'K') to be more frequent than words with those letters in the third position, despite statistical evidence to the contrary.</t>
  </si>
  <si>
    <t>Page 214</t>
  </si>
  <si>
    <t>Reported directly in the text, page 214.</t>
  </si>
  <si>
    <t>Reported in Many Labs supplementary materials, Section 4.3: Availability heuristic and frequency judgments.</t>
  </si>
  <si>
    <t>Please provide a link to the supplementary material, since I could not find it in the osf</t>
  </si>
  <si>
    <t>added ref_r, added doi:r, copied description, copied tags, added study_r</t>
  </si>
  <si>
    <t>Availability effects</t>
  </si>
  <si>
    <t>Among the 152 subjects, 105 judged the first position to be more likely for a majority of the letters, and 47 judged the third position to be more likely for a majority of the letters.</t>
  </si>
  <si>
    <t xml:space="preserve">reported in table </t>
  </si>
  <si>
    <t>reported in table</t>
  </si>
  <si>
    <t>please specify where you found or how you attained the d values</t>
  </si>
  <si>
    <t>curatescience641</t>
  </si>
  <si>
    <t>Galinsky, A. D., Magee, J. C., Inesi, M. E., &amp; Gruenfeld, D. H. (2006). Power and perspectives not taken. Psychological science, 17(12), 1068-1074.</t>
  </si>
  <si>
    <t>10.1111/j.1467-9280.2006.01824.x</t>
  </si>
  <si>
    <t>4.5 (as labeled in Many Labs 3 supplement).</t>
  </si>
  <si>
    <t>Power reduces perspective-taking</t>
  </si>
  <si>
    <t>power, perspective-taking, social cognition, communication</t>
  </si>
  <si>
    <t>The replication tested whether individuals primed with high power are less likely to consider others' perspectives during communication tasks compared to individuals primed with low power.</t>
  </si>
  <si>
    <t>High-power participants thought the message would be perceived as more sarcastic by the naive recipient (M = 3.74, SD = 1.54) than did low-power participants (M = 4.84, SD = 1.30), t(40) = 2.47, p = .02, d = 0.77.</t>
  </si>
  <si>
    <t>Page 1070-1071</t>
  </si>
  <si>
    <t>Reported directly in the text, page 1070-1071.</t>
  </si>
  <si>
    <t>Reported in Many Labs supplementary materials, Section 4.5: Power and Perspective-Taking replication.</t>
  </si>
  <si>
    <t>added ref_r, added doi_r, added effect, tags, description, added study_r, added label_r, added es_repr_r, es_repr_o, prereg_r, prereg_o</t>
  </si>
  <si>
    <t>identified as "replication" in Title</t>
  </si>
  <si>
    <t>High-power participants thought the message would be perceived as more sarcastic by the naive recipient (M 5 3.74, SD 5 1.54) than did low-power participants (M 5 4.84, SD 5 1.30), t(40) 5 2.47, prep 5 .93, d 5 0.77.</t>
  </si>
  <si>
    <t>reported in text on page 75</t>
  </si>
  <si>
    <t>https://osf.io/wamcn</t>
  </si>
  <si>
    <t>please fill out all fields, even if the original study information is the same as the rows above</t>
  </si>
  <si>
    <t>curatescience7_1</t>
  </si>
  <si>
    <t>curatescience7</t>
  </si>
  <si>
    <t>Vess, M. (2012). Warm thoughts: Attachment anxiety and sensitivity to temperature cues. Psychological science, 23(5), 472-474.</t>
  </si>
  <si>
    <t>10.1177/0956797611435919</t>
  </si>
  <si>
    <t>10.1177--0956797611435919.pdf</t>
  </si>
  <si>
    <t>LeBel, E. P., &amp; Campbell, L. (2013). Heightened sensitivity to temperature cues in individuals with high anxious attachment. Psychological Science, 24(10), 2128–2130. https://doi.org/10.1177/0956797613486983 (Study 1)</t>
  </si>
  <si>
    <t>10.1177/0956797613486983</t>
  </si>
  <si>
    <t>Attachment-warmth embodiment effect</t>
  </si>
  <si>
    <t>Social proximity, attachment anxiety, physical priming,  semantic priming, priming, regression, temperature</t>
  </si>
  <si>
    <t>Attachment anxiety positively predicts sensitivity to temperature cues in first study</t>
  </si>
  <si>
    <t>"For warm-temperature desirability ratings, however, the Reflection Condition × Attachment Anxiety interaction was significant, β = −0.42, t(49) = 2.26, p = .028 (other ps &gt; .316)."</t>
  </si>
  <si>
    <t>t(49) = 2.26</t>
  </si>
  <si>
    <t>Cohen's f^2</t>
  </si>
  <si>
    <t>https://osf.io/kizyn</t>
  </si>
  <si>
    <t>1. I have used Social Psychology for discipline as most of the references used in this study are from social psychology and there was no specific result for the psychological science. 2. Keywords are not available in both orignal and replication study. 3. There is a difference between presented sample size and effective sample size, I am using presented sample size which is 56. 4. The preregisteration link presented in replication study is not presented. 5. The p-val is not available for two findinds in replication study.</t>
  </si>
  <si>
    <t>Anxiety and Sensitivity to Temperature</t>
  </si>
  <si>
    <t>warm-temperature desirability ratings  the Reflection Condition × Attachment Anxiety interaction was significant</t>
  </si>
  <si>
    <t>warm-temperature desirability ratings, however, the Reflec- tion Condition × Attachment Anxiety interaction was signifi- cant, β = −0.42, t(49) = 2.26, p = .028 (other ps &gt; .316)</t>
  </si>
  <si>
    <t>negative 0.42</t>
  </si>
  <si>
    <t>0.028</t>
  </si>
  <si>
    <t>0.000228</t>
  </si>
  <si>
    <t>0.826</t>
  </si>
  <si>
    <t>curatescience7_b</t>
  </si>
  <si>
    <t>attachment anxiety and desirability ratings of warm-temperature refreshments were positively related in the romantic-breakup condition</t>
  </si>
  <si>
    <t>ttachment anxiety and desirability ratings of warm-temperature refreshments were positively related in the romantic-breakup condition, β = 0.44, t(49) = 2.30, p = .025, but unrelated in the ordinary-event condition, β = −0.19, p = .350.</t>
  </si>
  <si>
    <t>0.44</t>
  </si>
  <si>
    <t>0.025</t>
  </si>
  <si>
    <t>0.069</t>
  </si>
  <si>
    <t>curatescience7_c</t>
  </si>
  <si>
    <t>attachment anxiety and desirability ratings of warm-temperature refreshments were unrelated in the ordinary-event condition</t>
  </si>
  <si>
    <t>negative 0.19</t>
  </si>
  <si>
    <t>0.350</t>
  </si>
  <si>
    <t>0.099</t>
  </si>
  <si>
    <t>Please review closeness types. Authorship overlap is necessary for replications to be internal. There was no overlap in this study.
Please review nesting types. If there is repeated measurement on any of the involved factors, nesting is the case.</t>
  </si>
  <si>
    <t>curatescience7_overall</t>
  </si>
  <si>
    <t>1. Values for the OVERALL row are taken from both REPLICATION by simply summing up. Since they are new datasets, this can be considered as the Replication, but with bigger power. Both links to OSF are appropriate, thus I leave it empty (links can be found in curatescience7 and curatescience8 rows)
3. The study number "3" is artificial, since Authors do not call (and describe) this replication with this name throughout the paper
4. Since there were no data about testing the coeffients, they were not included to this table</t>
  </si>
  <si>
    <t>Corrected osf-link, nesting type, and replaced reportings with study 2 (otherwise using study 1 + (study1 &amp; 2) would lead to an overlap).</t>
  </si>
  <si>
    <t>Attachment anxiety positively predicts sensitivity to temperature cues in second study</t>
  </si>
  <si>
    <t>curatescience73</t>
  </si>
  <si>
    <t>Caruso, E. M., Vohs, K. D., Baxter, B., &amp; Waytz, A. (2013). Mere exposure to money increases endorsement of free-market systems and social inequality. Journal of Experimental Psychology: General, 142(2), 301.</t>
  </si>
  <si>
    <t>10.1037/a0029288</t>
  </si>
  <si>
    <t>10 (as labeled in the Many Labs supplement).</t>
  </si>
  <si>
    <t>Money priming and system justification</t>
  </si>
  <si>
    <t>money, system justification, many labs, replication</t>
  </si>
  <si>
    <t>The replication tested whether money priming increases system justification. It did not replicate: d = -0.02, p = .43, indicating differences from the original study.</t>
  </si>
  <si>
    <t>Subtle reminders of the concept of money, relative to nonmoney concepts, led participants to endorse more strongly the existing social system in the United States (Experiment 1) (Table 1: d = 0.80, p = .043)</t>
  </si>
  <si>
    <t>Page 301-302</t>
  </si>
  <si>
    <t>Reported on page 302 and Table 1.</t>
  </si>
  <si>
    <t>Reported in Many Labs supplementary materials, Section 10: Currency priming and system justification</t>
  </si>
  <si>
    <t>meer exposure effect</t>
  </si>
  <si>
    <t>participants in the money condition more strongly endorsed system justification than did participants in the control condition, i(28) = 2.12, p = .043, d = 0.80</t>
  </si>
  <si>
    <t>curatescience75</t>
  </si>
  <si>
    <t>Husnu, S., &amp; Crisp, R. J. (2010). Elaboration enhances the imagined contact effect. Journal of Experimental Social Psychology, 46(6), 943-950.</t>
  </si>
  <si>
    <t>10.1016/j.jesp.2010.05.014</t>
  </si>
  <si>
    <t>11 (as labeled in the Many Labs supplement).</t>
  </si>
  <si>
    <t>Imagined contact enhances future contact intentions</t>
  </si>
  <si>
    <t>imagined contact, future intentions, many labs, replication</t>
  </si>
  <si>
    <t>The replication tested whether imagining positive contact with an outgroup increases intentions to engage in future intergroup contact. It found a small but statistically significant effect: d = .13, p &lt; .001​ML.web.Supplement (1)</t>
  </si>
  <si>
    <t>Participants who imagined contact reported greater intentions to engage in future actual contact (M = 5.93, SD = 1.67) than did participants in the control condition (M = 4.69, SD = 1.26), t(31) = -2.39, p = .023, d = .86.</t>
  </si>
  <si>
    <t>Page 945</t>
  </si>
  <si>
    <t>Reported in Many Labs supplementary materials, Section 11: Imagined contact and future contact intentions</t>
  </si>
  <si>
    <t>imagined context effect</t>
  </si>
  <si>
    <t>when individuals were instructed to imagine contact with a British Muslim stranger they subsequently reported greater intentions to engage in future social contact with British Muslims in general</t>
  </si>
  <si>
    <t>curatescience8_1</t>
  </si>
  <si>
    <t>curatescience8</t>
  </si>
  <si>
    <t>Attachment anxiety positively predicts sensitivity to temperature cues in corrected study</t>
  </si>
  <si>
    <t>https://osf.io/5kyjt</t>
  </si>
  <si>
    <t>LeBel, E. P., &amp; Campbell, L. (2013). Heightened sensitivity to temperature cues in individuals with high anxious attachment. Psychological Science, 24(10), 2128–2130. https://doi.org/10.1177/0956797613486983 (Study 2)</t>
  </si>
  <si>
    <t>0.000563</t>
  </si>
  <si>
    <t>0.720</t>
  </si>
  <si>
    <t>http://osf.io/Cju65/files/ReplicationProtocol_%20for_Vess2012_Replication_2_-_LeBel.doc</t>
  </si>
  <si>
    <t>Please rather use test statistics than beta coefficients. This makes conversions easier for us.</t>
  </si>
  <si>
    <t>curatescience8_b</t>
  </si>
  <si>
    <t>0.107</t>
  </si>
  <si>
    <t>curatescience8_c</t>
  </si>
  <si>
    <t>0.154</t>
  </si>
  <si>
    <t>curatescience86</t>
  </si>
  <si>
    <t>Oppenheimer, D. M., Meyvis, T., &amp; Davidenko, N. (2009). Instructional manipulation checks: Detecting satisficing to increase statistical power. Journal of experimental social psychology, 45(4), 867-872.</t>
  </si>
  <si>
    <t>10.1016/j.jesp.2009.03.009</t>
  </si>
  <si>
    <t>01 (as labeled in the Many Labs supplement).</t>
  </si>
  <si>
    <t>Instructional manipulation checks improve data quality and increase statistical power</t>
  </si>
  <si>
    <t>IMC, satisficing, many labs, replication</t>
  </si>
  <si>
    <t>The replication tested whether instructional manipulation checks (IMCs) reduce noise and improve data reliability. The effect was confirmed with key statistical results: e.g., F(1, 113) = 3.55, p = .06 for data reliability among participants passing the IMC​</t>
  </si>
  <si>
    <t>Participants who passed the IMC were more likely to show the expected price expectation effect: F(1, 113) = 7.72, p &lt; .01, η² = .06, compared to those who failed the IMC: F(1, 96) = 0.34, p &gt; .1.</t>
  </si>
  <si>
    <t>Page 869</t>
  </si>
  <si>
    <t>Reported on page 869.</t>
  </si>
  <si>
    <t>Reported in Many Labs supplementary materials, Section 1: Instructional Manipulation Checks and Detecting Satisficing</t>
  </si>
  <si>
    <t>Instructional manipulation checks</t>
  </si>
  <si>
    <t>Participants who clicked on the sports categories or the continue button rather than the title (as they were instructed to do), were coded as having failed the IMC. Overall, 46% of the sample failed the IMC.</t>
  </si>
  <si>
    <t>curatescience9_1</t>
  </si>
  <si>
    <t>curatescience9</t>
  </si>
  <si>
    <t>Values were the same as in the Curatescience Database but not the same as in the papers (before: original effect d=0.59 - repl. effect d=0.44)</t>
  </si>
  <si>
    <t>Besman, M., Dubensky, C., Dunsmore, L., &amp; Daubman, K. (2013). Cleanliness primes less severe moral judgments. Retrieved from http://www.psychfiledrawer.org/replication.php?attempt=MTQ5</t>
  </si>
  <si>
    <t>https://web.archive.org/web/20191117063540/http://www.psychfiledrawer.org/replication.php?attempt=MTQ5</t>
  </si>
  <si>
    <t>cleanliness priming effect</t>
  </si>
  <si>
    <t>t(58)=-1.8</t>
  </si>
  <si>
    <t>SMS (to do)</t>
  </si>
  <si>
    <t>default es_value_r differs from my calculations</t>
  </si>
  <si>
    <t>curatescience9_1_Besman M.et_al.2013.pdf</t>
  </si>
  <si>
    <t>datareplicada10a_1</t>
  </si>
  <si>
    <t>datareplicada10a</t>
  </si>
  <si>
    <t>2.3.2025</t>
  </si>
  <si>
    <t>1. Effect size for the orignal study is taken from the replication study. 2. The page number for replication study is not applicable as replicable study is presented on the webpage.</t>
  </si>
  <si>
    <t>changed pval_value_o; added NA to prereg_o, changed es_value_r to  -0.098</t>
  </si>
  <si>
    <t>Etkin, J. &amp; Memmi, S. (2021). Goal Conflict Encourages Work and Discourages Leisure. Journal of Consumer Research, 47(5), 716–736. https://doi.org/10.1093/jcr/ucaa019 Study 1a</t>
  </si>
  <si>
    <t>10.1093/jcr/ucaa019</t>
  </si>
  <si>
    <t>10.1093--jcr--ucaa019.pdf</t>
  </si>
  <si>
    <t>Simmons, J. &amp;. Nelson, L.D. (2021, May 4). [97] Data Replicada #10: Does Goal Conflict Affect Time Spent on Work and Leisure? Data Colada. (Replication 1 Effect 1)</t>
  </si>
  <si>
    <t>https://datacolada.org/97</t>
  </si>
  <si>
    <t>Replication 1 Effect 1</t>
  </si>
  <si>
    <t>goal conflict</t>
  </si>
  <si>
    <t>goal conflict, time allocation, work/leisure, justification, scarcity, productivity</t>
  </si>
  <si>
    <t>People who are faced with a goal conflict are (1) more likely to spend time on work and (2) less likely to spend time on leisure.</t>
  </si>
  <si>
    <t>"When shopping for books was framed as work, perceiving greater goal conflict increased how much time people spent browsing the set of books (Mhigh conflict = 81.32 seconds, SD = 60.12 vs. Mlow conflict = 52.50 seconds, SD = 47.99; F(1, 206) = 5.66, p=0.18, np2=.03"</t>
  </si>
  <si>
    <t>p.14, 15</t>
  </si>
  <si>
    <t xml:space="preserve">SMS </t>
  </si>
  <si>
    <t>datareplicada10</t>
  </si>
  <si>
    <t>Kaiser, Leonard, Roksana</t>
  </si>
  <si>
    <t>07.04.2023</t>
  </si>
  <si>
    <t>For the original study, the spreadsheet was already coded with cohens d found from the replication discussion. "Although the original authors reported fairly strong support for this hypothesis (d = .58)" but I coded partial etasq found originally in paper</t>
  </si>
  <si>
    <t>1 (Effect 1)</t>
  </si>
  <si>
    <t>Identical replication</t>
  </si>
  <si>
    <t>Goal Conflict</t>
  </si>
  <si>
    <t>Goal Conflict, Time Allocation, Work/Leisure, Justification, Scarcity, Productivity</t>
  </si>
  <si>
    <t>People who are faced with a goal conflict increase the time spent on the book-browsing task when it is framed as work</t>
  </si>
  <si>
    <t>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</si>
  <si>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[97] Data Replicada #10: Does Goal Conflict Affect Time Spent on Work and Leisure? - Data Colada</t>
  </si>
  <si>
    <t>datareplicada10_b</t>
  </si>
  <si>
    <t>1) For the original study, the spreadsheet was already coded with cohens d found from the replication discussion. "Nevertheless, the effect sizes we observed (ds = -.13 and -.15) are much smaller than what was reported in the original (d = -.34)"  but I coded partial etasq found originally in paper 2) For the replication, the effect size reported here was ds</t>
  </si>
  <si>
    <t>Simmons, J. &amp;. Nelson, L.D. (2021, May 4). [97] Data Replicada #10: Does Goal Conflict Affect Time Spent on Work and Leisure? Data Colada. (Replication 1 Effect 2)</t>
  </si>
  <si>
    <t>1 (Effect 2)</t>
  </si>
  <si>
    <t>People who are faced with a goal conflict goal decrease the time spent on the book-browsing task when it is framed as leisure</t>
  </si>
  <si>
    <t>When shopping for books was framed as leisure, however, the opposite occurred: Perceiving greater goal conflict decreased the time spent (Mhigh conflict = 70.53 seconds, SD = 77.51 vs. Mlow conflict = 83.88 seconds, SD = 75.12; F(1, 206) = 4.08, p = .045, ηp² = .02).</t>
  </si>
  <si>
    <t>datareplicada10_c</t>
  </si>
  <si>
    <t>For the original study, the spreadsheet was already coded with cohens d found from the replication discussion. "Although the original authors reported fairly strong support for this hypothesis (d = .58)"  but I coded partial etasq found originally in paper</t>
  </si>
  <si>
    <t>Simmons, J. &amp;. Nelson, L.D. (2021, May 4). [97] Data Replicada #10: Does Goal Conflict Affect Time Spent on Work and Leisure? Data Colada. (Replication 2 Effect 1)</t>
  </si>
  <si>
    <t>2 (Effect 1)</t>
  </si>
  <si>
    <t>datareplicada10_d</t>
  </si>
  <si>
    <t>Simmons, J. &amp;. Nelson, L.D. (2021, May 4). [97] Data Replicada #10: Does Goal Conflict Affect Time Spent on Work and Leisure? Data Colada. (Replication 2 Effect 2)</t>
  </si>
  <si>
    <t>2 (Effect 2)</t>
  </si>
  <si>
    <t>datareplicada10b_1</t>
  </si>
  <si>
    <t>datareplicada10b</t>
  </si>
  <si>
    <t>Replication 1 Effect 2</t>
  </si>
  <si>
    <t>"When shopping for books was framed as leisure, however, the opposite occurred: Perceiving greater goal conflict decreased the time spent (Mhigh conflict = 70.53 seconds, SD = 77.51 vs. Mlow conflict = 83.88 seconds, SD = 75.12; F(1, 206) = 4.08, p = .045, ηp2 = .02)"</t>
  </si>
  <si>
    <t>datareplicada10d_1</t>
  </si>
  <si>
    <t>datareplicada10d</t>
  </si>
  <si>
    <t>Replication 2 Effect 2</t>
  </si>
  <si>
    <t>datareplicada2_1</t>
  </si>
  <si>
    <t>datareplicada2</t>
  </si>
  <si>
    <t>1.Test stastic for original study are consulted from the replication study and matched with the original study. 2. I am not sure type of "b" I selected for the effect size for replication is correct or not. 3. The page number for replication study is not applicable as replicable study is presented on the webpage.</t>
  </si>
  <si>
    <t>Wu, E.C., Moore, S.G., &amp; Fitzsimons, G.J. (2019). Wine for the Table: Self-Construal, Group Size, and Choice for Self and Others. Journal of Consumer Research. Study 3</t>
  </si>
  <si>
    <t>10.1093/jcr/ucy082</t>
  </si>
  <si>
    <t>10.1093--jcr--ucy082.pdf</t>
  </si>
  <si>
    <t>Simmons, J. &amp;. Nelson, L.D. (2020). [83] Data Replicada #2: Do Self-Construal and Group Size Influence How People Make Choices on Behalf of a Group? Data Colada. (Replication 2)</t>
  </si>
  <si>
    <t>https://datacolada.org/83</t>
  </si>
  <si>
    <t>Replication 2</t>
  </si>
  <si>
    <t>na.pdf</t>
  </si>
  <si>
    <t>attention to others as mediator</t>
  </si>
  <si>
    <t>self-construal, choice, group size, joint consumption</t>
  </si>
  <si>
    <t>Interdependent consumers consistently make choices that balance self and others’ preferences, regardless of group size. In contrast, the choices of independent consumers differ depending on group size: for smaller groups, independents make choices that balance self and others’ preferences, while for larger groups, they make choices that more strongly reflect their own preferences</t>
  </si>
  <si>
    <t>"Results revealed a significant three-way interaction (β = 0.33, t(239) = 2.20, p = .03)."</t>
  </si>
  <si>
    <t>t(239) = 2.20</t>
  </si>
  <si>
    <t>p.26, 27</t>
  </si>
  <si>
    <t>Wave 1: https://aspredicted.org/ni9xq.pdf; Wave 2: https://aspredicted.org/zi4ue.pdf</t>
  </si>
  <si>
    <t>28.08.2023</t>
  </si>
  <si>
    <t>1 (with typo)</t>
  </si>
  <si>
    <t>Preregistered replication</t>
  </si>
  <si>
    <t>Unilateral decisions on behalf of the self and multiple others</t>
  </si>
  <si>
    <t>Self-construal, Choice, Group Size, Joint Consumption</t>
  </si>
  <si>
    <t>Independent consumers who choose on behalf of large groups tend to choose more selfishly</t>
  </si>
  <si>
    <t>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</si>
  <si>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[83] Data Replicada #2: Do Self-Construal and Group Size Influence How People Make Choices on Behalf of a Group? - Data Colada</t>
  </si>
  <si>
    <t>https://aspredicted.org/ni9xq.pdf</t>
  </si>
  <si>
    <t>datareplicada2_b</t>
  </si>
  <si>
    <t>2 (without typo)</t>
  </si>
  <si>
    <t>https://aspredicted.org/zi4ue.pdf</t>
  </si>
  <si>
    <t>datareplicada3_1</t>
  </si>
  <si>
    <t>datareplicada3</t>
  </si>
  <si>
    <t>Savary, J., Dhar, R.K., JoharEditor, G.V., &amp; InmanEditor, J.J. (2020). The Uncertain Self: How Self-Concept Structure Affects Subscription Choice. Journal of Consumer Research. Study 4</t>
  </si>
  <si>
    <t>10.1093/jcr/ucz022</t>
  </si>
  <si>
    <t>10.1093--jcr--ucz022.pdf</t>
  </si>
  <si>
    <t xml:space="preserve">Simmons, J. &amp;. Nelson, L.D. (2020). [84] Data Replicada #3: Does Self-Concept Uncertainty Influence Magazine Subscription Choice?
Data Colada. https://datacolada.org/84  </t>
  </si>
  <si>
    <t>https://datacolada.org/84</t>
  </si>
  <si>
    <t>1 (retention condition)</t>
  </si>
  <si>
    <t>Self-concept uncertainty</t>
  </si>
  <si>
    <t>Self-concept clarity, subscription services, self-signaling, retention choice, self-concept structure, identity signaling</t>
  </si>
  <si>
    <t>Consumers with “low self-concept clarity” should be more motivated to keep their identities stable by retaining products that are relevant to their identities</t>
  </si>
  <si>
    <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</si>
  <si>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https://aspredicted.org/mi7km.pdf</t>
  </si>
  <si>
    <t>datareplicada3_1_2_1</t>
  </si>
  <si>
    <t>Kaiser, Leonard</t>
  </si>
  <si>
    <t>Retention condition</t>
  </si>
  <si>
    <t>Simmons, J. &amp;. Nelson, L.D. (2020). [84] Data Replicada #3: Does Self-Concept Uncertainty Influence Magazine Subscription Choice? Data Colada. https://datacolada.org/84</t>
  </si>
  <si>
    <t>Self-concept clarity</t>
  </si>
  <si>
    <t>Self-concept clarity, subscription services, self-signaling, retention choice, self concept structure, identity signaling</t>
  </si>
  <si>
    <t>Participants with low self-concept clarity were more likely to retain the identity-relevant subscription</t>
  </si>
  <si>
    <t>Among participants who made a retention choice, those in the low SCC condition were more likely to retain the identity-relevant subscription than those in the high SCC condition, M (lowSCC/RetainSubscription) = 63.3, SD = 39.1 vs. M (highSCC/RetainSubscription) = 52.5, SD = 43.9, F(1, 401) = 3.68, p = .056, d = .27. 	29	405	0.27	d	p.29	0.056	e (=)	2 (two)	no		1283	-0.07	d		0.379	e (=)	2 (two)	no	https://aspredicted.org/mi7km.pdf	2 - close
datareplicada3_2	datareplicada3_1_2_2	Kaiser, Leonard	01/11/2023			Acquisition condition	Savary, J., Dhar, R.K., JoharEditor, G.V., &amp; InmanEditor, J.J. (2020). The Uncertain Self: How Self-Concept Structure Affects Subscription Choice. Journal of Consumer Research. Study 4	10.1093/jcr/ucz022	4	10.1093--jcr--ucz022.pdf	LINK	Simmons, J. &amp;. Nelson, L.D. (2020). [84] Data Replicada #3: Does Self-Concept Uncertainty Influence Magazine Subscription Choice? Data Colada. https://datacolada.org/84  	NA	https://datacolada.org/84		na.pdf	Replication	LINK		Marketing	Self-concept clarity	Self-concept clarity, subscription services, self-signaling, retention choice, self concept structure, identity signaling 	Participants with low self-concept clarity were less likely to acquire the identity-relevant subscription	Participants in the low SCC condition were significantly less likely to acquire the identity-relevant subscription, M (lowSCC/AcquireSubscription) = 46.6, SD = 39.4 vs. M (highSCC/ AcquireSubscription) = 61.9, SD = 37.6, F(1, 401) = 7.38, p = .007, d = .40"</t>
  </si>
  <si>
    <t>datareplicada3_2</t>
  </si>
  <si>
    <t>datareplicada3_b</t>
  </si>
  <si>
    <t>1 (acquisition condition)</t>
  </si>
  <si>
    <t>Consumers with “low self-concept clarity” should be more motivated to keep their identities stable by choosing not to acquire new products that are relevant to their identities</t>
  </si>
  <si>
    <t>"However, we found the reverse effect for the acquisition choices. Specifically, participants in the low SCC condition were significantly less likely to acquire the identity-relevant subscription, MlowSCC/AcquireSubscription = 46.6, SD = 39.4 vs. MhighSCC/ AcquireSubscription = 61.9, SD = 37.6, F(1, 401) = 7.38, p = .007, d = .40."</t>
  </si>
  <si>
    <t>datareplicada4_1</t>
  </si>
  <si>
    <t>datareplicada4</t>
  </si>
  <si>
    <t>1. The page number for replication study is not applicable as replicable study is presented on the webpage.</t>
  </si>
  <si>
    <t>Here only the results for the "without confound" condition are given because: "It seems that curiosity does not tempt indulgence, at least not in a way that is detectable with 750 per cell. Rather, the authors’ original result was best explained by a confound. Furthermore, it was a confound that could only be identified in the original materials, and was not observable to reviewers and readers who were merely reading the final manuscript"</t>
  </si>
  <si>
    <t>Wiggin, K., Reimann, M., &amp; Jain, S.P. (2018). Curiosity Tempts Indulgence. Journal of Consumer Research.</t>
  </si>
  <si>
    <t>10.1093/jcr/ucy055</t>
  </si>
  <si>
    <t>10.1093--jcr--ucy055.pdf</t>
  </si>
  <si>
    <t>Simmons, J. &amp;. Nelson, L.D. (2020). [85] Data Replicada #4: The Problem of Hidden Confounds Data Colada. https://datacolada.org/85  Only Replication without Confounds</t>
  </si>
  <si>
    <t>https://datacolada.org/85</t>
  </si>
  <si>
    <t>Only Replication without Confounds</t>
  </si>
  <si>
    <t>curiosity desires</t>
  </si>
  <si>
    <t>curiosity, desire for rewards, indulgent consumption, consumer neuroscience, fMRI, insula, multimethod mediation</t>
  </si>
  <si>
    <t>In that study, participants were induced to feel curious or not and then were asked to (hypothetically) choose between two gym memberships, one for a “normal” gym and one for an “indulgent” gym (on a 9-point scale). The authors reported that those induced to feel curious were more likely to choose the indulgent gym.</t>
  </si>
  <si>
    <t>"Participants in the high curiosity condition were significantly more curious (MHigh = 3.11, SD = .53) than were participants in the control condition (MControl = 2.72, SD = .59), t(195) = 4.91, p &lt; .001, d = .70."</t>
  </si>
  <si>
    <t>p.25</t>
  </si>
  <si>
    <t>F(1, 3004) = 281.42</t>
  </si>
  <si>
    <t>https://aspredicted.org/mz4h8.pdf</t>
  </si>
  <si>
    <t>Ideally, I would have coded 3 rows for the replication: 1 total effect, 1 with original confounding variable and 1 without original confounding variable but I could not find this data on the replication and could only find the total effect: "Specifically, there were significant main effects of Curiosity condition, F(1, 3003) = 18.53, p &lt; 10-4, and Instruction condition, F(1, 3003) = 12.55, p = .0004, that were qualified by a significant Curiosity x Instruction interaction, F(1, 3003) = 10.88, p = .001."</t>
  </si>
  <si>
    <t>I wonder if this should be an exclusion if we cannot get the full values from the replication</t>
  </si>
  <si>
    <t>Curiosity in indulgence-related decisions</t>
  </si>
  <si>
    <t>Curiosity, Desire for rewards, Indulgent consumption, Consumer neuroscience, fMRI, Insula, Multi-method mediation.</t>
  </si>
  <si>
    <t>Participants who are induced to feel curious are more likely to choose the indulgent gym over the normal gym</t>
  </si>
  <si>
    <t>Curiosity Increases Indulgence. Participants in the high curiosity condition were significantly more likely to choose the indulgent reward option (MHigh = 6.52, SD = 3.92) than were those in the control condition (MControl = 4.69, SD = 3.86), t(194) = 3.28, p &lt; .01, d = .47.</t>
  </si>
  <si>
    <t>p. 25- 26</t>
  </si>
  <si>
    <t>F(1, 3003) = 18.53</t>
  </si>
  <si>
    <t>[85] Data Replicada #4: The Problem of Hidden Confounds - Data Colada</t>
  </si>
  <si>
    <t>aspredicted.org/mz4h8.pdf</t>
  </si>
  <si>
    <t>datareplicada7a_1</t>
  </si>
  <si>
    <t>datareplicada7</t>
  </si>
  <si>
    <t>29.08.2023</t>
  </si>
  <si>
    <t>changed claim_page_o to 15</t>
  </si>
  <si>
    <t>VanBergen, N., Irmak, C., &amp; Sevilla, J. (2020). Product Entitativity: How the Presence of Product Replicates Increases Perceived and Actual Product Efficacy. Journal of Consumer Research, 47, 192-214. Study 1</t>
  </si>
  <si>
    <t>10.1093/jcr/ucaa006</t>
  </si>
  <si>
    <t>10.1093--jcr--ucaa006.pdf</t>
  </si>
  <si>
    <t>Simmons, J. &amp;. Nelson, L.D. (2020). [90] Data Replicada #7: Does Displaying Multiple Copies of a Product Increase Its Perceived Effectiveness? Data Colada. (Replication 1)</t>
  </si>
  <si>
    <t>https://datacolada.org/90</t>
  </si>
  <si>
    <t>Replication 1</t>
  </si>
  <si>
    <t>Product efficacy</t>
  </si>
  <si>
    <t>Entitativity, product quantity, perceived efficacy</t>
  </si>
  <si>
    <t>Presenting multiple product replicates as a group (vs. presenting a single item) increases product efficacy perceptions</t>
  </si>
  <si>
    <t>"An independent samples t-test on the efficacy composite revealed that participants believed Dettol would be significantly more effective when the ad featured multiple products (M = 7.02, SD = 1.55) than a single unit (M = 6.36, SD = 1.50; t(85) = 2.00, p = .048; η² = .045)."</t>
  </si>
  <si>
    <t>https://aspredicted.org/gi726.pdf</t>
  </si>
  <si>
    <t>datareplicada7a</t>
  </si>
  <si>
    <t>Nikita Otstavnov</t>
  </si>
  <si>
    <t>27.02.2025</t>
  </si>
  <si>
    <t>changed es_value_o to 0.045</t>
  </si>
  <si>
    <t>Displayed quantity</t>
  </si>
  <si>
    <t>Entitativity, Product Quantity, Perceived Efficacy</t>
  </si>
  <si>
    <t>Multiple products influenced participants belief of Dettol effectivity</t>
  </si>
  <si>
    <t>An independent samples t-test on the efficacy composite revealed that participants believed Dettol would be significantly more effective when the ad featured multiple products (M = 7.02, SD = 1.55) than a single unit (M = 6.36, SD = 1.50; t(85) = 2.00, p = .048; η2 = .045)</t>
  </si>
  <si>
    <t>datareplicada7b_1</t>
  </si>
  <si>
    <t>datareplicada7_b</t>
  </si>
  <si>
    <t>Simmons, J. &amp;. Nelson, L.D. (2020). [90] Data Replicada #7: Does Displaying Multiple Copies of a Product Increase Its Perceived Effectiveness? Data Colada. (Replication 2)</t>
  </si>
  <si>
    <t>https://aspredicted.org/pw4tv.pdf</t>
  </si>
  <si>
    <t>datareplicada7b</t>
  </si>
  <si>
    <t>datareplicada7c_1</t>
  </si>
  <si>
    <t>datareplicada7_c</t>
  </si>
  <si>
    <t>Simmons, J. &amp;. Nelson, L.D. (2020). [90] Data Replicada #7: Does Displaying Multiple Copies of a Product Increase Its Perceived Effectiveness? Data Colada. (Replication 3)</t>
  </si>
  <si>
    <t>Replication 3</t>
  </si>
  <si>
    <t>https://aspredicted.org/n5tu8.pdf</t>
  </si>
  <si>
    <t>datareplicada7c</t>
  </si>
  <si>
    <t>dqv9y_1</t>
  </si>
  <si>
    <t>dqv9y</t>
  </si>
  <si>
    <t>Kasia Banas</t>
  </si>
  <si>
    <t>updated reference, used verion 9; effect sizes based on OSF post completion registration</t>
  </si>
  <si>
    <t>Elliot, A. J., Niesta Kayser, D., Greitemeyer, T., Lichtenfeld, S., Gramzow, R. H., Maier, M. A., &amp; Lu, H. (2010). Red, rank, and romance in women viewing men. Journal of Experimental Psychology: General, 139(3), 399–417. DOI: https://doi.org/10.1037/ a0019689</t>
  </si>
  <si>
    <t>10.1037/a0019689</t>
  </si>
  <si>
    <t>10.1037--a0019689.pdf</t>
  </si>
  <si>
    <r>
      <rPr>
        <rFont val="Calibri"/>
        <color rgb="FF38761D"/>
        <sz val="11.0"/>
      </rPr>
      <t xml:space="preserve">Wagge, J. R., Baciu, C., Banas, K., Nadler, J. T., Schwarz, S., Weisberg, Y. J., … Grahe, J. E. (2018, June 22). A Demonstration of the Collaborative Replication and Education Project: Replication Attempts of the Red-Romance Effect. </t>
    </r>
    <r>
      <rPr>
        <rFont val="Calibri"/>
        <color rgb="FF38761D"/>
        <sz val="11.0"/>
        <u/>
      </rPr>
      <t>https://doi.org/10.31234/osf.io/chax8</t>
    </r>
  </si>
  <si>
    <t>10.1525/collabra.177</t>
  </si>
  <si>
    <t>red-romance effect</t>
  </si>
  <si>
    <t>color, red, attractiveness, status, attraction</t>
  </si>
  <si>
    <t>effect of red on attractiveness perceptions</t>
  </si>
  <si>
    <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</si>
  <si>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https://osf.io/dqv9y</t>
  </si>
  <si>
    <t>https://doi.org/10.17605/OSF.IO/YCQN9</t>
  </si>
  <si>
    <t>Kasia Banas, Jyoti Bhogal</t>
  </si>
  <si>
    <t>Banas, K. (2014, June 17). Replication of Elliot et al.  (2010) for CREP at the University of Edinburgh. https://doi.org/10.17605/OSF.IO/DQV9Y</t>
  </si>
  <si>
    <t>10.17605/OSF.IO/DQV9Y</t>
  </si>
  <si>
    <t>10.17605--osf.io--dqv9y.pdf</t>
  </si>
  <si>
    <t>influence of color condition on perceived attractiveness</t>
  </si>
  <si>
    <t>color not only has aesthetic value but can carry meaning
and impact psychological functioning in subtle, important, and provocative ways</t>
  </si>
  <si>
    <t>p.405</t>
  </si>
  <si>
    <t>influence of color condition on desired sexual behavior</t>
  </si>
  <si>
    <t>p.406</t>
  </si>
  <si>
    <t>effect of color condition on perceived likability.</t>
  </si>
  <si>
    <t xml:space="preserve">unavailable
</t>
  </si>
  <si>
    <t>p.407</t>
  </si>
  <si>
    <t>dqv9y_b</t>
  </si>
  <si>
    <t>Wagge, J. R., Baciu, C., Banas, K., Nadler, J. T., Schwarz, S., Weisberg, Y. J., … Grahe, J. E. (2018, June 22). A Demonstration of the Collaborative Replication and Education Project: Replication Attempts of the Red-Romance Effect. https://doi.org/10.31234/osf.io/chax8</t>
  </si>
  <si>
    <t>effect of red on sexual attraction</t>
  </si>
  <si>
    <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</si>
  <si>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dqv9y_c</t>
  </si>
  <si>
    <t>effect of red on overall likability judgements</t>
  </si>
  <si>
    <t>"an independent-samples t test was used to examine the effect of color condition on perceived likability. The analysis yielded a null effect ( p  .63)"</t>
  </si>
  <si>
    <t>e9d3k_1</t>
  </si>
  <si>
    <t>e9d3k</t>
  </si>
  <si>
    <t>Jarret Crawford</t>
  </si>
  <si>
    <t>Cheung, B. Y., &amp; Heine, S. J. (2015). The double-edged sword of genetic accounts of criminality: Causal attributions from genetic ascriptions affect legal decision making. Personality and Social Psychology Bulletin, 41(12), 1723-1738.</t>
  </si>
  <si>
    <t>10.1177/0146167215610520</t>
  </si>
  <si>
    <t>10.1177--0146167215610520.pdf</t>
  </si>
  <si>
    <t>Crawford, J. (2016, May 2). Syntax and output files for Cheung &amp; Heine 2015 study 3 replication. https://doi.org/10.17605/OSF.IO/E9D3K</t>
  </si>
  <si>
    <t>10.17605/OSF.IO/E9D3K</t>
  </si>
  <si>
    <t>mediation model</t>
  </si>
  <si>
    <t>genetic essentialism, attribution theory, legal decision making, psychological essentialism</t>
  </si>
  <si>
    <t>main effect of condition on the applicability of the insanity defense</t>
  </si>
  <si>
    <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</si>
  <si>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https://doi.org/10.17605/OSF.IO/E9D3K</t>
  </si>
  <si>
    <t>Jarret Crawford, Jyoti Bhogal</t>
  </si>
  <si>
    <t>to test whether genetic ascriptions affect people’s judgments
because they expect perpetrators to have stronger impulses
toward violence or have less control of their impulses.</t>
  </si>
  <si>
    <t>e9d3k_b</t>
  </si>
  <si>
    <t>main effect of condition for the diminished capacity defense</t>
  </si>
  <si>
    <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</si>
  <si>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e9d3k_c</t>
  </si>
  <si>
    <t>main effect of condition on the intoxication defense</t>
  </si>
  <si>
    <t>"there was no main effect of Condition on the intoxica-
tion defense, F(3, 289) = 1.10, p = .349, ηp2= 0.01, 95% 
CI = [0.00, 0.04].</t>
  </si>
  <si>
    <t>e9d3k_d</t>
  </si>
  <si>
    <t>main effect of condition on the sentencing</t>
  </si>
  <si>
    <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</si>
  <si>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e9d3k_e</t>
  </si>
  <si>
    <t>significant effect of condition on perceived conscious control</t>
  </si>
  <si>
    <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</si>
  <si>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e9d3k_f</t>
  </si>
  <si>
    <t xml:space="preserve">effect of condition on perceived recidivism </t>
  </si>
  <si>
    <t>"condition did not affect perceived recidivism or intention to kill, Fs &lt; 2.00, ps &gt; .200, ηp2s = 0.01"</t>
  </si>
  <si>
    <t>e9d3k_g</t>
  </si>
  <si>
    <t>effect of condition on perceived intention to kill</t>
  </si>
  <si>
    <t>e9d3k_h</t>
  </si>
  <si>
    <t>effect of condition on criminal responsibility</t>
  </si>
  <si>
    <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</si>
  <si>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e9d3k_i</t>
  </si>
  <si>
    <t>effect of condition on causal locus</t>
  </si>
  <si>
    <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</si>
  <si>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e9d3k_j</t>
  </si>
  <si>
    <t>effect of condition on causal stability</t>
  </si>
  <si>
    <t>"condition did not affect causal stability, F(3, 291) = 0.67, p = .568, ηp2 = .01, 95% CI = [0.00, 0.03]"</t>
  </si>
  <si>
    <t>e9d3k_k</t>
  </si>
  <si>
    <t>effect of condition on causal specificity</t>
  </si>
  <si>
    <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</si>
  <si>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p. 9-10</t>
  </si>
  <si>
    <t>e9d3k_l</t>
  </si>
  <si>
    <t>effect of condition on causal control</t>
  </si>
  <si>
    <t>"condition did not affect causal control, F(3, 289) = 0.60, p = .613, ηp2 = 0.01, 95% CI = [0.00, 0.02]"</t>
  </si>
  <si>
    <t>e9d3k_m</t>
  </si>
  <si>
    <t>effect of condition on causal malleability</t>
  </si>
  <si>
    <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</si>
  <si>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fmd75_1</t>
  </si>
  <si>
    <t>fmd75</t>
  </si>
  <si>
    <t xml:space="preserve">1. Values for REPLICATION were taked from prepring 10.17605--osf.io--fmd75.pdf
2. In page 25 of the 10.17605--osf.io--fmd75.pdf there should by a typo, as the interaction was tested not with forewarning condition... </t>
  </si>
  <si>
    <t>Corrected es_r (0 was missing)</t>
  </si>
  <si>
    <t>Epley, N., &amp; Gilovich, T. (2006). The anchoring-and-adjustment heuristic: Why the adjustments are insufficient. Psychological science, 17(4), 311-318.</t>
  </si>
  <si>
    <t>10.1111/j.1467-9280.2006.01704.x</t>
  </si>
  <si>
    <t>10.1111--j.1467-9280.2006.01704.x.pdf</t>
  </si>
  <si>
    <r>
      <rPr>
        <rFont val="Calibri"/>
        <sz val="11.0"/>
      </rPr>
      <t xml:space="preserve">Röseler, L., Bögler, H. L., Koßmann, L., Krueger, S., Bickenbach, S., Bühler, R., … Ponader, S. (2023, July 11). Results Report: Replication of Epley and Gilovich  (2006, Study 2a). </t>
    </r>
    <r>
      <rPr>
        <rFont val="Calibri"/>
        <color rgb="FF1155CC"/>
        <sz val="11.0"/>
        <u/>
      </rPr>
      <t>https://doi.org/10.17605/OSF.IO/FMD75</t>
    </r>
  </si>
  <si>
    <t>10.17605/OSF.IO/FMD75</t>
  </si>
  <si>
    <t>Anchoring-and-Adjustment Heuristic</t>
  </si>
  <si>
    <t>Anchoring effect, self-generated, replication, anchoring and adjustment, adjustment model</t>
  </si>
  <si>
    <t>The magnitude of adjustment-based anchoring is moderated by the need for cognition with low NFC leading to less adjustment from self-generated anchors</t>
  </si>
  <si>
    <t>"In Study 2a, participants who scored high in NFC provided estimates further from their self-generated anchor values (mean z score 5 0.14) than participants who scored low (mean z score = _x0002_0.18),t(77) = 2.13, p &lt; .05, p_rep = .90, d = 0.49."</t>
  </si>
  <si>
    <t>https://osf.io/fmd75</t>
  </si>
  <si>
    <t>1. Although Psychological Sciences is not present in the provided list, I have used cognitive psychology as a discipline as I found it more relevant relevant. 2. The value of effect size is negative, the excel is not allowing to inseert it correctly</t>
  </si>
  <si>
    <t>Röseler, L., Bögler, H. L., Koßmann, L., Krueger, S., Bickenbach, S., Bühler, R., … Ponader, S. (2023, July 11). Results Report: Replication of Epley and Gilovich  (2006, Study 2a). https://doi.org/10.17605/OSF.IO/FMD75</t>
  </si>
  <si>
    <t xml:space="preserve">Anchoring and Adjustment </t>
  </si>
  <si>
    <t>anchoring-and- adjustment, heuristic, biases, self-generated</t>
  </si>
  <si>
    <t>High Need for Cognition (NFC) individuals adjust more from self-generated anchors.</t>
  </si>
  <si>
    <t>"participants who scored high in NFC provided estimates further from their self-generated anchor values (mean z score 5 0.14) than participants who scored low (mean z score 5 􏰀0.18), t(77) 5 2.13, p &lt; .05, prep 5 .90, d 5 0.49"</t>
  </si>
  <si>
    <t>negative 0.49</t>
  </si>
  <si>
    <t>0.05</t>
  </si>
  <si>
    <t>0.017</t>
  </si>
  <si>
    <t>0.383</t>
  </si>
  <si>
    <t>https://osf.io/8k9nt</t>
  </si>
  <si>
    <t>gh52k_1</t>
  </si>
  <si>
    <t>gh52k</t>
  </si>
  <si>
    <t>Lukas Röseler, Astrid Schütz, Evgenia Burlakovas, Marieluisa Dück, Sabine Fels, Sophie Janiczek , Jana Kupfer, Elena Prinz, Sarah Wieczorek, Christian Seida, Roksana Sobolak</t>
  </si>
  <si>
    <t>Reitsma-van Rooijen, M., &amp; Daamen, D. D. (2006). Subliminal anchoring: The effects of subliminally presented numbers on probability estimates. Journal of Experimental Social Psychology, 42(3), 380-387.</t>
  </si>
  <si>
    <t>10.1016/j.jesp.2005.05.001</t>
  </si>
  <si>
    <t>10.1016--j.jesp.2005.05.001.pdf</t>
  </si>
  <si>
    <t>Röseler, L., Schütz, A., Burlakovas, E., Dück, M., Fels, S., Janiczek, S., … Seida, C. (2022, September 15). Replication of Reitsma-van Rooijen and Daamen  (2006). https://doi.org/10.17605/OSF.IO/GH52K</t>
  </si>
  <si>
    <t xml:space="preserve">Judgement and Decision Making </t>
  </si>
  <si>
    <t>Subliminial anchoring</t>
  </si>
  <si>
    <t>Anchoring, Subliminal Anchoring, Subliminal Priming, Numeric Priming</t>
  </si>
  <si>
    <t>Subliminally presented anchor values influence probability estimates under time pressure</t>
  </si>
  <si>
    <t>"A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</si>
  <si>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F(1, 58) = 8.56</t>
  </si>
  <si>
    <t>Cohen's f</t>
  </si>
  <si>
    <t>https://osf.io/qxwhv</t>
  </si>
  <si>
    <t>Lukas Röseler, Astrid Schütz, Evgenia Burlakovas, Marieluisa Dück, Sabine Fels, Sophie Janiczek , Jana Kupfer, Elena Prinz, Sarah Wieczorek, Christian Seida, Thomas Miller</t>
  </si>
  <si>
    <t>found doi for actual R article, used that as basis for reported information: 10.1016/j.jesp.2020.104066</t>
  </si>
  <si>
    <t>A 2 (Anchor: low, high) × 2 (Time Pressure: absent, present) ANOVA revealed a significant interaction effect between Anchor and Time Pressure, F(1, 58) = 5.06, p &lt; .05. … The results of our study indicate that there is a sub- liminal anchor eVect and that this eVect is short-lived. The probability estimate assimilated towards the sublim- inally presented anchor value in the conditions with time pressure</t>
  </si>
  <si>
    <t xml:space="preserve"> F(1, 58) = 5.06</t>
  </si>
  <si>
    <t>p.384</t>
  </si>
  <si>
    <t>https://osf.io/gh52k?mode=&amp;revisionId=&amp;view_only=</t>
  </si>
  <si>
    <t>gh52k_b</t>
  </si>
  <si>
    <t>"There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</si>
  <si>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 F(1, 58) &lt; 1</t>
  </si>
  <si>
    <t>gh52k_c</t>
  </si>
  <si>
    <t>"A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</si>
  <si>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F(1, 58) = 5.06</t>
  </si>
  <si>
    <t>Holzmeisteretal2024_1</t>
  </si>
  <si>
    <r>
      <rPr>
        <rFont val="Calibri"/>
        <color rgb="FFFF0000"/>
        <sz val="11.0"/>
      </rPr>
      <t>GENERAL NOTE: The results from the r_studies were sourced directly from the OSF file associated with each r_study (link_r), and I verified their consistency with the findings in the SM document. everything was consistent and accurate;</t>
    </r>
    <r>
      <rPr>
        <rFont val="Calibri"/>
        <sz val="11.0"/>
      </rPr>
      <t xml:space="preserve"> the o_paper included 5 studies but the r_paper only replicated  one claim from study number 3; in the o_study the authors perform independent-samples t-tests for each of five life history strategy-relevant suites separately but the authors of the r_study  created a composite score of all five life history strategies using the original data and perform an independent sample Student’s t-test. So for the o_study I reported the info related to the signle test used in the r_study with the original data to be able to match it with the replication test used in the r_study; 
there is also a pdf containing more information and data about the original study (I didn't use it but thoought I could add it here) </t>
    </r>
    <r>
      <rPr>
        <rFont val="Calibri"/>
        <color rgb="FF1155CC"/>
        <sz val="11.0"/>
        <u/>
      </rPr>
      <t>https://www.pnas.org/action/downloadSupplement?doi=10.1073%2Fpnas.1519401113&amp;file=pnas.201519401SI.pdf</t>
    </r>
    <r>
      <rPr>
        <rFont val="Calibri"/>
        <sz val="11.0"/>
      </rPr>
      <t xml:space="preserve"> </t>
    </r>
  </si>
  <si>
    <r>
      <t xml:space="preserve">Williams, K. E. G., Sng, O., &amp; Neuberg, S. L. (2016). Ecology-driven stereotypes override race stereotypes. Proceedings of the National Academy of Sciences, 113(2), 310–315. </t>
    </r>
    <r>
      <rPr>
        <rFont val="Arial"/>
        <color rgb="FF1155CC"/>
        <u/>
      </rPr>
      <t>https</t>
    </r>
    <r>
      <rPr>
        <rFont val="Arial"/>
        <color rgb="FF1155CC"/>
        <u/>
      </rPr>
      <t>://doi</t>
    </r>
    <r>
      <rPr>
        <rFont val="Arial"/>
        <color rgb="FF1155CC"/>
        <u/>
      </rPr>
      <t>.org</t>
    </r>
    <r>
      <rPr>
        <rFont val="Arial"/>
        <color rgb="FF1155CC"/>
        <u/>
      </rPr>
      <t>/10</t>
    </r>
    <r>
      <rPr>
        <rFont val="Arial"/>
        <color rgb="FF1155CC"/>
        <u/>
      </rPr>
      <t>/f76jnb</t>
    </r>
  </si>
  <si>
    <r>
      <rPr>
        <rFont val="Calibri, sans-serif"/>
        <color theme="1"/>
        <sz val="12.0"/>
      </rPr>
      <t>10.1073/pnas.1519401113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</si>
  <si>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</si>
  <si>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10.1038--s41562-024-02062-9</t>
  </si>
  <si>
    <t xml:space="preserve">https://osf.io/sejyp </t>
  </si>
  <si>
    <t xml:space="preserve">Replication of Williams et al., 2016 </t>
  </si>
  <si>
    <t>stereotypes</t>
  </si>
  <si>
    <t xml:space="preserve">race stereotypes, life history theory, stereotype content, ecology, affordance management </t>
  </si>
  <si>
    <t>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</si>
  <si>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</si>
  <si>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1.0e−05 </t>
  </si>
  <si>
    <t>https://osf.io/ugnsq</t>
  </si>
  <si>
    <r>
      <rPr>
        <rFont val="Calibri"/>
        <color theme="1"/>
        <sz val="11.0"/>
      </rPr>
      <t xml:space="preserve">As this is a close replication, I was not able to code the original authors' claims accurately as the replication did not make it clear which study (1-5) was being replicated. Instead, the replication created a composite score. Please see copied statement from replication paper- "The authors perform independent-samples t-tests for each of five life history strategy-relevant suites separately: sexual unrestrictedness, impulsivity, opportunistic behavior, investment in own education, and investment in children. </t>
    </r>
    <r>
      <rPr>
        <rFont val="Calibri"/>
        <color rgb="FFFF0000"/>
        <sz val="11.0"/>
      </rPr>
      <t>We instead create a composite score of all five life history strategies using the original data</t>
    </r>
    <r>
      <rPr>
        <rFont val="Calibri"/>
        <color rgb="FF000000"/>
        <sz val="11.0"/>
      </rPr>
      <t xml:space="preserve"> and perform an independent sample Student’s t-test (t(94) = 4.66, p &lt; .001). </t>
    </r>
    <r>
      <rPr>
        <rFont val="Calibri"/>
        <color rgb="FFFF0000"/>
        <sz val="11.0"/>
      </rPr>
      <t>This test statistic has been re-estimated based on the original data</t>
    </r>
    <r>
      <rPr>
        <rFont val="Calibri"/>
        <color rgb="FF000000"/>
        <sz val="11.0"/>
      </rPr>
      <t>. The high wealth condition was randomly chosen. [Note: in the original paper, the ecology effect is tested for all five life history strategy-relevant suites separately between a desperate or a hopeful ecology. The differences were statistically significant p &lt; 0.05, with effect sizes ranging from 0.42 to 1.21 (the test used was not reported, but we assume an independent sample t-test was used); p. 6 in SI.]</t>
    </r>
  </si>
  <si>
    <r>
      <rPr>
        <rFont val="Arial"/>
        <color rgb="FF1155CC"/>
        <u/>
      </rPr>
      <t xml:space="preserve">Williams, K. E. G., Sng, O., &amp; Neuberg, S. L. (2016). Ecology-driven stereotypes override race stereotypes. Proceedings of the National Academy of Sciences, 113(2), 310–315.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/f76jnb</t>
    </r>
  </si>
  <si>
    <r>
      <rPr>
        <rFont val="Calibri, sans-serif"/>
        <color theme="1"/>
        <sz val="12.0"/>
      </rPr>
      <t>10.1073/pnas.1519401113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</si>
  <si>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</si>
  <si>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"Close replication"</t>
  </si>
  <si>
    <t>Ecology-driven stereotypes overriding race stereotypes</t>
  </si>
  <si>
    <t>Race stereotypes, life history theory, stereotype content, ecology, affordance management</t>
  </si>
  <si>
    <t>This effect investigates how ecological conditions (e.g., harsh vs. resource-rich environments) shape behavior, leading to ecology-driven stereotypes, often linked to race.</t>
  </si>
  <si>
    <t>"…our findings provide strong evidence for the importance of ecology as a cue used by social perceivers in anticipating the affordances of others. Study 1 demonstrated that individuals hold ecology stereotypes, stereotyping individuals from desperate ecologies as possessing faster life history strategies than individuals from hopeful ecologies. In testing alternative explanations, studies 2–4 find that these ecology stereotypes are applied within race to both blacks and whites, within wealth to both rich and poor individuals, and that ecology stereotypes are not just the result of a positivity bias toward individuals from hopeful ecologies. Returning to our core premise, study 5 demonstrated that—in the absence of ecology information—race stereotypes track basic ecology stereotypes; however, when provided with information about both the race and ecology of others, individuals’ inferences reflect the targets’ ecology rather than the targets’ race. In the social inference process, ecology information trumps race."</t>
  </si>
  <si>
    <t>t(94) = 4.66</t>
  </si>
  <si>
    <t>- Please also add the page number for the effect sizes (eg es_rep_r)
- You could have added the individual pdf files for the reports in the file_r variable.</t>
  </si>
  <si>
    <t>Holzmeisteretal2024_10</t>
  </si>
  <si>
    <t>the o_paper included 7 studies but the r_paper only replicated  one claim from study number 1; the effect size reported for the orignial study in the o_paper and the SM doc are a bit diffrent</t>
  </si>
  <si>
    <r>
      <t xml:space="preserve">Klein, N., &amp; O’Brien, E. (2018). People use less information than they think to make up their minds. Proceedings of the National Academy of Sciences, 115(52), 13222–13227. </t>
    </r>
    <r>
      <rPr>
        <rFont val="Arial"/>
        <color rgb="FF1155CC"/>
        <u/>
      </rPr>
      <t>https</t>
    </r>
    <r>
      <rPr>
        <rFont val="Arial"/>
        <color rgb="FF1155CC"/>
        <u/>
      </rPr>
      <t>://doi</t>
    </r>
    <r>
      <rPr>
        <rFont val="Arial"/>
        <color rgb="FF1155CC"/>
        <u/>
      </rPr>
      <t>.org</t>
    </r>
    <r>
      <rPr>
        <rFont val="Arial"/>
        <color rgb="FF1155CC"/>
        <u/>
      </rPr>
      <t>/10</t>
    </r>
    <r>
      <rPr>
        <rFont val="Arial"/>
        <color rgb="FF1155CC"/>
        <u/>
      </rPr>
      <t>/gfs87p</t>
    </r>
  </si>
  <si>
    <r>
      <rPr>
        <rFont val="Calibri, sans-serif"/>
        <color theme="1"/>
        <sz val="12.0"/>
      </rPr>
      <t>10.1073/pnas.1805327115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</si>
  <si>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</si>
  <si>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Klein and O’Brienet al. 2018</t>
  </si>
  <si>
    <t>information processing</t>
  </si>
  <si>
    <t>tipping point,  change, self-insight,  judgment, information processing</t>
  </si>
  <si>
    <t>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</si>
  <si>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</si>
  <si>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https://osf.io/tg9ny</t>
  </si>
  <si>
    <r>
      <rPr>
        <rFont val="Arial"/>
        <color rgb="FF1155CC"/>
        <u/>
      </rPr>
      <t xml:space="preserve">Klein, N., &amp; O’Brien, E. (2018). People use less information than they think to make up their minds. Proceedings of the National Academy of Sciences, 115(52), 13222–13227.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/gfs87p</t>
    </r>
  </si>
  <si>
    <r>
      <rPr>
        <rFont val="Calibri, sans-serif"/>
        <color theme="1"/>
        <sz val="12.0"/>
      </rPr>
      <t>10.1073/pnas.1805327115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</si>
  <si>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</si>
  <si>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Overestimation of decision-making time</t>
  </si>
  <si>
    <t>Tipping point, change, self-insight, judgment, information processing</t>
  </si>
  <si>
    <r>
      <rPr>
        <rFont val="Calibri"/>
        <color theme="1"/>
        <sz val="11.0"/>
      </rPr>
      <t xml:space="preserve">The effect being investigated is the </t>
    </r>
    <r>
      <rPr>
        <rFont val="Calibri"/>
        <b/>
        <color rgb="FF000000"/>
        <sz val="11.0"/>
      </rPr>
      <t>discrepancy between the expected and actual number of paintings participants believe they need to see in order to form a verdict on whether they like or dislike a painting style.</t>
    </r>
  </si>
  <si>
    <t>"In the test trial, participants made up their minds sooner than they expected: Predictors expected they would need to see many more paintings to make up their minds (M = 16.29, SD = 12.04) than experiencers actually needed to see to make up their minds (M = 3.48, SD = 3.44), t(205) = 10.60, P &lt; 0.001, d = 1.45."</t>
  </si>
  <si>
    <t xml:space="preserve"> t(205) = 10.60</t>
  </si>
  <si>
    <t>Holzmeisteretal2024_11</t>
  </si>
  <si>
    <r>
      <rPr>
        <rFont val="Calibri"/>
        <sz val="11.0"/>
      </rPr>
      <t xml:space="preserve">the o_paper included 2 studies but the r_paper only replicated  one claim from study number 1; the effect size reported for the o_study comes from the SM not the o_paper </t>
    </r>
    <r>
      <rPr>
        <rFont val="Calibri"/>
        <color rgb="FF1155CC"/>
        <sz val="11.0"/>
        <u/>
      </rPr>
      <t>https://www.pnas.org/action/downloadSupplement?doi=10.1073%2Fpnas.1601280113&amp;file=pnas.1601280113.sapp.pdf</t>
    </r>
    <r>
      <rPr>
        <rFont val="Calibri"/>
        <sz val="11.0"/>
      </rPr>
      <t xml:space="preserve"> (page 8, table 1); for the r_study I did report d for effect size as mentioned in both the SM table and the paper (osf link) but the paper also report egression b=–0.129  so I am adding it here in case you want a more direct comparison with the effect size of the o_study.</t>
    </r>
  </si>
  <si>
    <r>
      <t xml:space="preserve">Jordan, J. J., Hoffman, M., Nowak, M. A., &amp; Rand, D. G. (2016). Uncalculating cooperation is used to signal trustworthiness. Proceedings of the National Academy of Sciences, 113(31), 8658–8663. </t>
    </r>
    <r>
      <rPr>
        <rFont val="Arial"/>
        <color rgb="FF1155CC"/>
        <u/>
      </rPr>
      <t>https</t>
    </r>
    <r>
      <rPr>
        <rFont val="Arial"/>
        <color rgb="FF1155CC"/>
        <u/>
      </rPr>
      <t>://doi</t>
    </r>
    <r>
      <rPr>
        <rFont val="Arial"/>
        <color rgb="FF1155CC"/>
        <u/>
      </rPr>
      <t>.org</t>
    </r>
    <r>
      <rPr>
        <rFont val="Arial"/>
        <color rgb="FF1155CC"/>
        <u/>
      </rPr>
      <t>/10</t>
    </r>
    <r>
      <rPr>
        <rFont val="Arial"/>
        <color rgb="FF1155CC"/>
        <u/>
      </rPr>
      <t>/f8w9bk</t>
    </r>
  </si>
  <si>
    <r>
      <rPr>
        <rFont val="Calibri, sans-serif"/>
        <color theme="1"/>
        <sz val="12.0"/>
      </rPr>
      <t>10.1073/pnas.1601280113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</si>
  <si>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</si>
  <si>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Jordan et al. 2016</t>
  </si>
  <si>
    <t>Uncalculating cooperation</t>
  </si>
  <si>
    <t>reputation, social evaluation, decision-making, experimental economics, moral psychology</t>
  </si>
  <si>
    <t>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</si>
  <si>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In Exp. 1, 70% of player As looked at the cost of helping in the process hidden condition compared with only 59% in the process observable condition (n = 735; P = 0.002)</t>
  </si>
  <si>
    <t>https://osf.io/sqxe8</t>
  </si>
  <si>
    <t>I could not find the actual coefficient so I copied it in from the one stated in the replication paper, please see copied in "To evaluate this hypothesis, the authors perform a logistic regression (b = −0.486, p = 0.002); p. 8660." The authors claims have the original finding.</t>
  </si>
  <si>
    <r>
      <rPr>
        <rFont val="Arial"/>
        <color rgb="FF1155CC"/>
        <u/>
      </rPr>
      <t xml:space="preserve">Jordan, J. J., Hoffman, M., Nowak, M. A., &amp; Rand, D. G. (2016). Uncalculating cooperation is used to signal trustworthiness. Proceedings of the National Academy of Sciences, 113(31), 8658–8663.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/f8w9bk</t>
    </r>
  </si>
  <si>
    <r>
      <rPr>
        <rFont val="Calibri, sans-serif"/>
        <color theme="1"/>
        <sz val="12.0"/>
      </rPr>
      <t>10.1073/pnas.1601280113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</si>
  <si>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</si>
  <si>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Uncalculating cooperation driven by reputation concerns</t>
  </si>
  <si>
    <t>Reputation, social evaluation, decision-making, experimental economics, moral psychology</t>
  </si>
  <si>
    <t>The effect being investigated is how observability of decision-making influences uncalculating cooperation when reputation is at stake.</t>
  </si>
  <si>
    <t>"In Exp. 1, 70% of player As looked at the cost of helping in the process hidden condition compared with only 59% in the process observable condition (n = 735; P = 0.002) (Fig. 2A)." , "Thus, we confirm our key prediction: Across two experiments, subjects behaved in a less calculating manner when their reputations were at stake. In Exp. 1, they looked less at the cost of helping when their looking choice was observable, and in Exp. 2, they decided faster when their decision time was observable."</t>
  </si>
  <si>
    <t>Holzmeisteretal2024_12</t>
  </si>
  <si>
    <t>the o_paper included 7 studies but the r_paper only replicated  one claim from study number 2a; sample size of o_study was infered from the statistical test; I calculated the effect size of the o_claim using the ES calculations sheet based on the informations I had but the effect size reported in the r_table for the o_study was a bit diffrent (0.349)</t>
  </si>
  <si>
    <r>
      <t xml:space="preserve">John, L. K., Barasz, K., &amp; Norton, M. I. (2016). Hiding personal information reveals the worst. Proceedings of the National Academy of Sciences, 113(4), 954–959. </t>
    </r>
    <r>
      <rPr>
        <rFont val="Arial"/>
        <color rgb="FF1155CC"/>
        <u/>
      </rPr>
      <t>https</t>
    </r>
    <r>
      <rPr>
        <rFont val="Arial"/>
        <color rgb="FF1155CC"/>
        <u/>
      </rPr>
      <t>://doi</t>
    </r>
    <r>
      <rPr>
        <rFont val="Arial"/>
        <color rgb="FF1155CC"/>
        <u/>
      </rPr>
      <t>.org</t>
    </r>
    <r>
      <rPr>
        <rFont val="Arial"/>
        <color rgb="FF1155CC"/>
        <u/>
      </rPr>
      <t>/10</t>
    </r>
    <r>
      <rPr>
        <rFont val="Arial"/>
        <color rgb="FF1155CC"/>
        <u/>
      </rPr>
      <t>/f77w6d</t>
    </r>
  </si>
  <si>
    <r>
      <rPr>
        <rFont val="Calibri, sans-serif"/>
        <color theme="1"/>
        <sz val="12.0"/>
      </rPr>
      <t>10.1073/pnas.1516868113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</si>
  <si>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</si>
  <si>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John et al. 2016</t>
  </si>
  <si>
    <t>disclosure</t>
  </si>
  <si>
    <t>disclosure, transparency, trust, policy making, privacy</t>
  </si>
  <si>
    <t>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</si>
  <si>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There were significant differences in dating interest between conditions...interest in the Inadvertent Nondiscloser (M = 6.8, SD = 1.5) was higher than that of the Hider [t(140) = 2.08, P = 0.04]</t>
  </si>
  <si>
    <t>https://osf.io/r5mtg</t>
  </si>
  <si>
    <r>
      <rPr>
        <rFont val="Arial"/>
        <color rgb="FF1155CC"/>
        <u/>
      </rPr>
      <t xml:space="preserve">John, L. K., Barasz, K., &amp; Norton, M. I. (2016). Hiding personal information reveals the worst. Proceedings of the National Academy of Sciences, 113(4), 954–959.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/f77w6d</t>
    </r>
  </si>
  <si>
    <r>
      <rPr>
        <rFont val="Calibri, sans-serif"/>
        <color theme="1"/>
        <sz val="12.0"/>
      </rPr>
      <t>10.1073/pnas.1516868113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</si>
  <si>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</si>
  <si>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Deliberate non-disclosure </t>
  </si>
  <si>
    <t>Disclosure, transparency, trust, policy making, privacy</t>
  </si>
  <si>
    <t>The effect being invesigated is whether deliberate non-disclosure is judged more negatively than inadvertent non-disclosure, influencing interpersonal preferences (e.g., dating interest).</t>
  </si>
  <si>
    <t>"Most importantly, interest in the Inadvertent Nondiscloser (M = 6.8, SD = 1.5) was higher than that of the Hider t(140) = 2.08, P = 0.04; it was also lower than that of the Revealer t(142) = 1.99, P = 0.05."</t>
  </si>
  <si>
    <t>t(140) = 2.08</t>
  </si>
  <si>
    <t>Holzmeisteretal2024_13</t>
  </si>
  <si>
    <t>the o_paper included 9 studies but the r_paper only replicated  one claim from study number 2</t>
  </si>
  <si>
    <r>
      <t xml:space="preserve">Hofstetter, R., Rüppell, R., &amp; John, L. K. (2017). Temporary sharing prompts unrestrained disclosures that leave lasting negative impressions. Proceedings of the National Academy of Sciences, 114(45), 11902–11907. </t>
    </r>
    <r>
      <rPr>
        <rFont val="Arial"/>
        <color rgb="FF1155CC"/>
        <u/>
      </rPr>
      <t>https</t>
    </r>
    <r>
      <rPr>
        <rFont val="Arial"/>
        <color rgb="FF1155CC"/>
        <u/>
      </rPr>
      <t>://doi</t>
    </r>
    <r>
      <rPr>
        <rFont val="Arial"/>
        <color rgb="FF1155CC"/>
        <u/>
      </rPr>
      <t>.org</t>
    </r>
    <r>
      <rPr>
        <rFont val="Arial"/>
        <color rgb="FF1155CC"/>
        <u/>
      </rPr>
      <t>/10</t>
    </r>
    <r>
      <rPr>
        <rFont val="Arial"/>
        <color rgb="FF1155CC"/>
        <u/>
      </rPr>
      <t>/gckbgp</t>
    </r>
  </si>
  <si>
    <r>
      <rPr>
        <rFont val="Calibri, sans-serif"/>
        <color theme="1"/>
        <sz val="12.0"/>
      </rPr>
      <t>10.1073/pnas.1706913114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</si>
  <si>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</si>
  <si>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Hofstetter et al. 2017</t>
  </si>
  <si>
    <t>impression formation</t>
  </si>
  <si>
    <t>disclosure, privacy, self-presentation, impression formation, social media</t>
  </si>
  <si>
    <t>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</si>
  <si>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Privacy concerns mediated the relationship between temporary sharing and selfie disinhibition:Temporariness decreased privacy concerns (βtemporary = −0.70, SE = 0.22, P &lt; 0.005), which in turn accounted for increased disinhibition</t>
  </si>
  <si>
    <t>https://osf.io/wc4xm</t>
  </si>
  <si>
    <r>
      <rPr>
        <rFont val="Arial"/>
        <color rgb="FF1155CC"/>
        <u/>
      </rPr>
      <t xml:space="preserve">Hofstetter, R., Rüppell, R., &amp; John, L. K. (2017). Temporary sharing prompts unrestrained disclosures that leave lasting negative impressions. Proceedings of the National Academy of Sciences, 114(45), 11902–11907.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/gckbgp</t>
    </r>
  </si>
  <si>
    <r>
      <rPr>
        <rFont val="Calibri, sans-serif"/>
        <color theme="1"/>
        <sz val="12.0"/>
      </rPr>
      <t>10.1073/pnas.1706913114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</si>
  <si>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</si>
  <si>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 xml:space="preserve">The impact of temporary vs. permanent sharing on digital disclosures </t>
  </si>
  <si>
    <t>Disclosure, privacy, self-presentation, impression formation, social media</t>
  </si>
  <si>
    <t>The effect being investigated is whether temporary sharing of selfies reduces privacy concerns, leading to increased disinhibition in disclosures</t>
  </si>
  <si>
    <t>"Privacy concerns mediated the relationship between temporary sharing and selfie disinhibition: Temporariness decreased privacy concerns (βtemporary = −0.70, SE = 0.22, P &lt; 0.005)"</t>
  </si>
  <si>
    <t>Holzmeisteretal2024_14</t>
  </si>
  <si>
    <t>the o_paper included 2 studies but the r_paper only replicated  one claim from study number 1</t>
  </si>
  <si>
    <t>Data Curators were unsure about nesting. In all other reports it says "mixed" when nesting is present and here it does not, so I coded it as nested = no</t>
  </si>
  <si>
    <r>
      <t xml:space="preserve">Hoffman, K. M., Trawalter, S., Axt, J. R., &amp; Oliver, M. N. (2016). Racial bias in pain assessment and treatment recommendations, and false beliefs about biological differences between blacks and whites. Proceedings of the National Academy of Sciences, 113(16), 4296–4301. </t>
    </r>
    <r>
      <rPr>
        <rFont val="Arial"/>
        <color rgb="FF1155CC"/>
        <u/>
      </rPr>
      <t>https</t>
    </r>
    <r>
      <rPr>
        <rFont val="Arial"/>
        <color rgb="FF1155CC"/>
        <u/>
      </rPr>
      <t>://doi</t>
    </r>
    <r>
      <rPr>
        <rFont val="Arial"/>
        <color rgb="FF1155CC"/>
        <u/>
      </rPr>
      <t>.org</t>
    </r>
    <r>
      <rPr>
        <rFont val="Arial"/>
        <color rgb="FF1155CC"/>
        <u/>
      </rPr>
      <t>/10</t>
    </r>
    <r>
      <rPr>
        <rFont val="Arial"/>
        <color rgb="FF1155CC"/>
        <u/>
      </rPr>
      <t>/f8jpjp</t>
    </r>
  </si>
  <si>
    <r>
      <rPr>
        <rFont val="Calibri, sans-serif"/>
        <color theme="1"/>
        <sz val="12.0"/>
      </rPr>
      <t>10.1073/pnas.1516047113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</si>
  <si>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</si>
  <si>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Hoffman et al 2016</t>
  </si>
  <si>
    <t>racial bias</t>
  </si>
  <si>
    <t>racial bias, pain perception,  health care disparities, pain treatment</t>
  </si>
  <si>
    <t>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</si>
  <si>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</si>
  <si>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https://osf.io/6vnm5</t>
  </si>
  <si>
    <r>
      <rPr>
        <rFont val="Arial"/>
        <color rgb="FF1155CC"/>
        <u/>
      </rPr>
      <t xml:space="preserve">Hoffman, K. M., Trawalter, S., Axt, J. R., &amp; Oliver, M. N. (2016). Racial bias in pain assessment and treatment recommendations, and false beliefs about biological differences between blacks and whites. Proceedings of the National Academy of Sciences, 113(16), 4296–4301.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/f8jpjp</t>
    </r>
  </si>
  <si>
    <r>
      <rPr>
        <rFont val="Calibri, sans-serif"/>
        <color theme="1"/>
        <sz val="12.0"/>
      </rPr>
      <t>10.1073/pnas.1516047113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</si>
  <si>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</si>
  <si>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Racial bias in pain assessment and treatment</t>
  </si>
  <si>
    <t>Racial bias, pain perception, health care disparities, pain treatment</t>
  </si>
  <si>
    <t>The effect being investigated is whether racial bias in pain perception among non-medically trained white individuals is influenced by false beliefs about biological differences between Black and White people.</t>
  </si>
  <si>
    <t>"The effect was qualified by the predicted interaction between target race and false beliefs [β = −0.07, SE = 0.03, F(1, 85) = 4.36, P = 0.040, η²p = 0.05]."</t>
  </si>
  <si>
    <t>F(1,85) = 4.36</t>
  </si>
  <si>
    <t>Holzmeisteretal2024_15</t>
  </si>
  <si>
    <t>the o_paper included 6 studies but the r_paper only replicated  one claim from study number 6</t>
  </si>
  <si>
    <r>
      <t xml:space="preserve">Halevy, N., &amp; Halali, E. (2015). Selfish third parties act as peacemakers by transforming conflicts and promoting cooperation. Proceedings of the National Academy of Sciences, 112(22), 6937–6942. </t>
    </r>
    <r>
      <rPr>
        <rFont val="Arial"/>
        <color rgb="FF1155CC"/>
        <u/>
      </rPr>
      <t>https</t>
    </r>
    <r>
      <rPr>
        <rFont val="Arial"/>
        <color rgb="FF1155CC"/>
        <u/>
      </rPr>
      <t>://doi</t>
    </r>
    <r>
      <rPr>
        <rFont val="Arial"/>
        <color rgb="FF1155CC"/>
        <u/>
      </rPr>
      <t>.org</t>
    </r>
    <r>
      <rPr>
        <rFont val="Arial"/>
        <color rgb="FF1155CC"/>
        <u/>
      </rPr>
      <t>/10</t>
    </r>
    <r>
      <rPr>
        <rFont val="Arial"/>
        <color rgb="FF1155CC"/>
        <u/>
      </rPr>
      <t>/f7fzmv</t>
    </r>
  </si>
  <si>
    <r>
      <rPr>
        <rFont val="Calibri, sans-serif"/>
        <color theme="1"/>
        <sz val="12.0"/>
      </rPr>
      <t>10.1073/pnas.1505067112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</si>
  <si>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</si>
  <si>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Halevy &amp; Halali2015</t>
  </si>
  <si>
    <t>conflict resolution</t>
  </si>
  <si>
    <t>conflict, dispute resolution, war and peace, incentives, social dilemma</t>
  </si>
  <si>
    <t>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</si>
  <si>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compared with participants who described a situ-ation in which they chose not to intervene, participants who de-scribed a situation in which they chose to intervene perceived intervention to be...more beneficial [... t(196) = 6.34, P &lt; 0.001].</t>
  </si>
  <si>
    <t>t(196) = 6.34</t>
  </si>
  <si>
    <t>https://osf.io/xd947</t>
  </si>
  <si>
    <r>
      <rPr>
        <rFont val="Arial"/>
        <color rgb="FF1155CC"/>
        <u/>
      </rPr>
      <t xml:space="preserve">Halevy, N., &amp; Halali, E. (2015). Selfish third parties act as peacemakers by transforming conflicts and promoting cooperation. Proceedings of the National Academy of Sciences, 112(22), 6937–6942.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/f7fzmv</t>
    </r>
  </si>
  <si>
    <r>
      <rPr>
        <rFont val="Calibri, sans-serif"/>
        <color theme="1"/>
        <sz val="12.0"/>
      </rPr>
      <t>10.1073/pnas.1505067112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</si>
  <si>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</si>
  <si>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Conflict resolution and third-party intervention</t>
  </si>
  <si>
    <t>Conflict, dispute resolution, war and peace, incentives, social dilemma.</t>
  </si>
  <si>
    <t>The effect being investigated is whether recalling and describing a past experience of intervening in a conflict vs not intervening affects individuals' perceptions of the benefits of intervening in future conflicts.</t>
  </si>
  <si>
    <t>"As Fig. 4 shows, compared with participants who described a situation in which they chose not to intervene, participants who described a situation in which they chose to intervene perceived intervention to be less costly [independent samples t tests: experiment 5, t(204) = −7.25, P &lt; 0.001; experiment 6, t(196) = −2.89, P &lt; 0.005] and more beneficial [independent samples t tests: experiment 5, t(204) = 7.87, P &lt; 0.001; experiment 6, t(196) = 6.34, P &lt; 0.001]. These findings replicate and extend experiment 4’s findings across two real-world contexts in which individuals commonly observe disputes and can choose whether or not to intervene in them. The fact that these studies replicated experiment 4’s findings using a different methodology increases our confidence in the robust role that self-interest plays in shaping third parties’ intervention decisions."</t>
  </si>
  <si>
    <t>Holzmeisteretal2024_16</t>
  </si>
  <si>
    <t>the test reported for the o_study in the SM doc and r_osf file doesn't match any of the tests mentioned in the o_study. I copied the closest claim fro the o_study in the claim_text_o but kept the other columns empty because I wasn't sure what should be reported in this case</t>
  </si>
  <si>
    <r>
      <t xml:space="preserve">Guilbeault, D., Becker, J., &amp; Centola, D. (2018). Social learning and partisan bias in the interpretation of climate trends. Proceedings of the National Academy of Sciences, 115(39), 9714–9719. </t>
    </r>
    <r>
      <rPr>
        <rFont val="Arial"/>
        <color rgb="FF1155CC"/>
        <u/>
      </rPr>
      <t>https</t>
    </r>
    <r>
      <rPr>
        <rFont val="Arial"/>
        <color rgb="FF1155CC"/>
        <u/>
      </rPr>
      <t>://doi</t>
    </r>
    <r>
      <rPr>
        <rFont val="Arial"/>
        <color rgb="FF1155CC"/>
        <u/>
      </rPr>
      <t>.org</t>
    </r>
    <r>
      <rPr>
        <rFont val="Arial"/>
        <color rgb="FF1155CC"/>
        <u/>
      </rPr>
      <t>/10</t>
    </r>
    <r>
      <rPr>
        <rFont val="Arial"/>
        <color rgb="FF1155CC"/>
        <u/>
      </rPr>
      <t>/gd4t95</t>
    </r>
  </si>
  <si>
    <r>
      <rPr>
        <rFont val="Calibri, sans-serif"/>
        <color theme="1"/>
        <sz val="12.0"/>
      </rPr>
      <t>10.1073/pnas.1722664115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</si>
  <si>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</si>
  <si>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Guilbeault et al. 2018</t>
  </si>
  <si>
    <t>scientific communications</t>
  </si>
  <si>
    <t>social networks, collective intelligence, motivated reasoning, polarization, science communication</t>
  </si>
  <si>
    <t>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</si>
  <si>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</si>
  <si>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z = 3.207, N = 24</t>
  </si>
  <si>
    <t>https://osf.io/e37nu</t>
  </si>
  <si>
    <t xml:space="preserve">I could not find the original finding in sufficient detail  as reported in the replicated paper, as you can see from "authors' claims" . Therefore, I have coded the original finding reported by the replication paper, please see copied in here "Partisan priming reduces trend accuracy in networks when predicting climate trends. Trend accuracy is defined as the fraction of participants in a treatment that predicted the correct trend in the data, and the trends are compared in round 3. The authors test this hypothesis in a Mann-Whitney-U test with each network of 40 individuals aggregated into one observation and 12 aggregated observations per treatment (Mann-Whitney-U test, n = 24, z = 3.207, p = 0.0013; p. 9716)." </t>
  </si>
  <si>
    <r>
      <rPr>
        <rFont val="Arial"/>
        <color rgb="FF1155CC"/>
        <u/>
      </rPr>
      <t xml:space="preserve">Guilbeault, D., Becker, J., &amp; Centola, D. (2018). Social learning and partisan bias in the interpretation of climate trends. Proceedings of the National Academy of Sciences, 115(39), 9714–9719.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/gd4t95</t>
    </r>
  </si>
  <si>
    <r>
      <rPr>
        <rFont val="Calibri, sans-serif"/>
        <color theme="1"/>
        <sz val="12.0"/>
      </rPr>
      <t>10.1073/pnas.1722664115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</si>
  <si>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</si>
  <si>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Partisan Priming</t>
  </si>
  <si>
    <t>Social networks, collective intelligence, motivated reasoning, polarization, science communication</t>
  </si>
  <si>
    <t>The effect of partisan priming on reducing trend accuracy in predicting climate trends within networks.</t>
  </si>
  <si>
    <t>"In particular, at round 1, there were no significant differences between liberal control groups and bipartisan networks without partisan cues (n = 24; P = 0.32, Wilcoxon rank sum test); however, by round 3, bipartisan networks without partisan cues showed significantly greater trend accuracy than liberal control groups (by 9.4 percentage points: n = 24; P &lt; 0.01, Wilcoxon rank sum test)."</t>
  </si>
  <si>
    <t>z = 3.207</t>
  </si>
  <si>
    <t>Holzmeisteretal2024_17</t>
  </si>
  <si>
    <t xml:space="preserve">the o_paper included 6 studies but the r_paper only replicated  one claim from study number 4; as mentioned in the r_paper (osf link) and the SM doc the o_paper do not report the statistical results of the replicated claim. the p value is mentioned in the SM of the o_study (p.17) https://www.pnas.org/action/downloadSupplement?doi=10.1073%2Fpnas.1620542114&amp;file=pnas.1620542114.sapp.pdf . the statistical test was only mentioned in the r_study so I didn't report it. also the effect size of the o_study was reported in the SM of the o_study (p.2) but do not match the one reported by the r_study. </t>
  </si>
  <si>
    <r>
      <t xml:space="preserve">Gheorghiu, A. I., Callan, M. J., &amp; Skylark, W. J. (2017). Facial appearance affects science communication. Proceedings of the National Academy of Sciences, 114(23), 5970–5975. </t>
    </r>
    <r>
      <rPr>
        <rFont val="Arial"/>
        <color rgb="FF1155CC"/>
        <u/>
      </rPr>
      <t>https</t>
    </r>
    <r>
      <rPr>
        <rFont val="Arial"/>
        <color rgb="FF1155CC"/>
        <u/>
      </rPr>
      <t>://doi</t>
    </r>
    <r>
      <rPr>
        <rFont val="Arial"/>
        <color rgb="FF1155CC"/>
        <u/>
      </rPr>
      <t>.org</t>
    </r>
    <r>
      <rPr>
        <rFont val="Arial"/>
        <color rgb="FF1155CC"/>
        <u/>
      </rPr>
      <t>/10</t>
    </r>
    <r>
      <rPr>
        <rFont val="Arial"/>
        <color rgb="FF1155CC"/>
        <u/>
      </rPr>
      <t>/b9dr</t>
    </r>
  </si>
  <si>
    <r>
      <rPr>
        <rFont val="Calibri, sans-serif"/>
        <color theme="1"/>
        <sz val="12.0"/>
      </rPr>
      <t>10.1073/pnas.1620542114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</si>
  <si>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</si>
  <si>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Gheorghiu et al. 2017</t>
  </si>
  <si>
    <t>First impressions</t>
  </si>
  <si>
    <t>science communication, impression formation, social cognition</t>
  </si>
  <si>
    <t>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</si>
  <si>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</si>
  <si>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https://osf.io/ev794</t>
  </si>
  <si>
    <t>https://osf.io/eknym</t>
  </si>
  <si>
    <t>The test statistic is not in the original paper so I coded the original finding as reported in the replication paper, please see copied in " To evaluate this hypothesis, the authors perform a mixed-effects regression as reported in the Table S16 in the SI appendix (the test statistic and p-value for this result are not reported in the main text). The p-value for this result is p = 0.032. The original study does not report a test statistic corresponding to the treatment effect. Based on the original data and analysis scripts that were kindly shared by the original authors, the corresponding test statistic is t(404) = 2.151 (using Satterthwaite's correction for degrees of freedom)."</t>
  </si>
  <si>
    <r>
      <rPr>
        <rFont val="Arial"/>
        <color rgb="FF1155CC"/>
        <u/>
      </rPr>
      <t xml:space="preserve">Gheorghiu, A. I., Callan, M. J., &amp; Skylark, W. J. (2017). Facial appearance affects science communication. Proceedings of the National Academy of Sciences, 114(23), 5970–5975.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/b9dr</t>
    </r>
  </si>
  <si>
    <r>
      <rPr>
        <rFont val="Calibri, sans-serif"/>
        <color theme="1"/>
        <sz val="12.0"/>
      </rPr>
      <t>10.1073/pnas.1620542114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</si>
  <si>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</si>
  <si>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Competence-based bias in science communication</t>
  </si>
  <si>
    <t>Science communication, impression formation, social cognition</t>
  </si>
  <si>
    <t>The effect being investigated is whether participants are more likely to select articles when they are paired with photographs of researchers perceived as highly competent.</t>
  </si>
  <si>
    <t xml:space="preserve">Please see Table S16 in the SI appendix - link copied in https://www.pnas.org/action/downloadSupplement?doi=10.1073%2Fpnas.1620542114&amp;file=pnas.1620542114.sapp.pdf </t>
  </si>
  <si>
    <t>Appendix</t>
  </si>
  <si>
    <t>t(404) = 2.151</t>
  </si>
  <si>
    <t>Holzmeisteretal2024_18</t>
  </si>
  <si>
    <t>the o_paper included 6 studies but the r_paper only replicated  one claim from study number 3b</t>
  </si>
  <si>
    <r>
      <t xml:space="preserve">Genschow, O., Rigoni, D., &amp; Brass, M. (2017). Belief in free will affects causal attributions when judging others’ behavior. Proceedings of the National Academy of Sciences, 114(38), 10071–10076. </t>
    </r>
    <r>
      <rPr>
        <rFont val="Arial"/>
        <color rgb="FF1155CC"/>
        <u/>
      </rPr>
      <t>https</t>
    </r>
    <r>
      <rPr>
        <rFont val="Arial"/>
        <color rgb="FF1155CC"/>
        <u/>
      </rPr>
      <t>://doi</t>
    </r>
    <r>
      <rPr>
        <rFont val="Arial"/>
        <color rgb="FF1155CC"/>
        <u/>
      </rPr>
      <t>.org</t>
    </r>
    <r>
      <rPr>
        <rFont val="Arial"/>
        <color rgb="FF1155CC"/>
        <u/>
      </rPr>
      <t>/10</t>
    </r>
    <r>
      <rPr>
        <rFont val="Arial"/>
        <color rgb="FF1155CC"/>
        <u/>
      </rPr>
      <t>/gbxsnh</t>
    </r>
  </si>
  <si>
    <r>
      <rPr>
        <rFont val="Calibri, sans-serif"/>
        <color theme="1"/>
        <sz val="12.0"/>
      </rPr>
      <t>10.1073/pnas.1701916114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</si>
  <si>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</si>
  <si>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Genschow et al. 2017</t>
  </si>
  <si>
    <t>free-will belief</t>
  </si>
  <si>
    <t>free-will belief, interpersonal perception, correspondence bias</t>
  </si>
  <si>
    <t>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</si>
  <si>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anti–free-will participants showed a smaller correspondence bias (M = 1.02, SD = 1.10) than control participants (M = 1.24, SD = 1.20) (t = 2.10, P = 0.036, d = 0.19)</t>
  </si>
  <si>
    <t>https://aspredicted.org/w82be.pdf</t>
  </si>
  <si>
    <t>https://osf.io/7qnv4</t>
  </si>
  <si>
    <r>
      <rPr>
        <rFont val="Arial"/>
        <color rgb="FF1155CC"/>
        <u/>
      </rPr>
      <t xml:space="preserve">Genschow, O., Rigoni, D., &amp; Brass, M. (2017). Belief in free will affects causal attributions when judging others’ behavior. Proceedings of the National Academy of Sciences, 114(38), 10071–10076.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/gbxsnh</t>
    </r>
  </si>
  <si>
    <r>
      <rPr>
        <rFont val="Calibri, sans-serif"/>
        <color theme="1"/>
        <sz val="12.0"/>
      </rPr>
      <t>10.1073/pnas.1701916114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</si>
  <si>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</si>
  <si>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3b</t>
  </si>
  <si>
    <t>Free will and correspondance bias</t>
  </si>
  <si>
    <t>Free-will belief, interpersonal perception, correspondence bias</t>
  </si>
  <si>
    <t>The effect being investigated is the impact of reducing belief in free will on the correspondence bias.</t>
  </si>
  <si>
    <t>"Crucially, however, the interaction between belief manipulation and attribution was significant [F(1,502) = 4.41, P = 0.036, ηp2 = 0.01]. This indicates that anti–free-will participants showed a smaller correspondence bias (M = 1.02, SD = 1.10) than control participants (M = 1.24, SD = 1.20) (t = 2.10, P = 0.036, d = 0.19) (Fig. 1)."</t>
  </si>
  <si>
    <t>t(502) = 2.10</t>
  </si>
  <si>
    <t>Holzmeisteretal2024_19</t>
  </si>
  <si>
    <t>the o_paper included 2 studies but the r_paper only replicated  one claim from study number 2; the results of the claim from the o_study come from table 2 page 3</t>
  </si>
  <si>
    <r>
      <t xml:space="preserve">Côté, S., House, J., &amp; Willer, R. (2015). High economic inequality leads higher-income individuals to be less generous. Proceedings of the National Academy of Sciences, 112(52), 15838–15843. </t>
    </r>
    <r>
      <rPr>
        <rFont val="Arial"/>
        <color rgb="FF1155CC"/>
        <u/>
      </rPr>
      <t>https</t>
    </r>
    <r>
      <rPr>
        <rFont val="Arial"/>
        <color rgb="FF1155CC"/>
        <u/>
      </rPr>
      <t>://doi</t>
    </r>
    <r>
      <rPr>
        <rFont val="Arial"/>
        <color rgb="FF1155CC"/>
        <u/>
      </rPr>
      <t>.org</t>
    </r>
    <r>
      <rPr>
        <rFont val="Arial"/>
        <color rgb="FF1155CC"/>
        <u/>
      </rPr>
      <t>/10</t>
    </r>
    <r>
      <rPr>
        <rFont val="Arial"/>
        <color rgb="FF1155CC"/>
        <u/>
      </rPr>
      <t>/gfzkq8</t>
    </r>
  </si>
  <si>
    <r>
      <rPr>
        <rFont val="Calibri, sans-serif"/>
        <color theme="1"/>
        <sz val="12.0"/>
      </rPr>
      <t>10.1073/pnas.1511536112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</si>
  <si>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</si>
  <si>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Côte et al., 2015</t>
  </si>
  <si>
    <t>economic inequality</t>
  </si>
  <si>
    <t>inequality, income, generosity</t>
  </si>
  <si>
    <t>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</si>
  <si>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</si>
  <si>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t = –2.15</t>
  </si>
  <si>
    <t>https://osf.io/tg2xb</t>
  </si>
  <si>
    <t>Please note this from the replication "High economic inequality (as compared to low economic inequality) reduces the generosity of high-income individuals (as compared to low-income individuals). The above hypothesis is tested using an OLS regression, interacting the high inequality treatment with a dummy for high-income participants. Specifically, we replicate the result on the interaction coefficient of Model 1 in Table 2 (b = −0.08, se = 0.04, t-value = −2.15); p. 15840."</t>
  </si>
  <si>
    <r>
      <rPr>
        <rFont val="Arial"/>
        <color rgb="FF1155CC"/>
        <u/>
      </rPr>
      <t xml:space="preserve">Côté, S., House, J., &amp; Willer, R. (2015). High economic inequality leads higher-income individuals to be less generous. Proceedings of the National Academy of Sciences, 112(52), 15838–15843.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/gfzkq8</t>
    </r>
  </si>
  <si>
    <r>
      <rPr>
        <rFont val="Calibri, sans-serif"/>
        <color theme="1"/>
        <sz val="12.0"/>
      </rPr>
      <t>10.1073/pnas.1511536112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</si>
  <si>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</si>
  <si>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Inequality-driven generosity gap</t>
  </si>
  <si>
    <t>Inequality, income, generosity</t>
  </si>
  <si>
    <t>The effect being investigated is whether high economic inequality reduces the generosity of high-income individuals compared to low-income individuals.</t>
  </si>
  <si>
    <t>Table 2</t>
  </si>
  <si>
    <t>t = -2.15</t>
  </si>
  <si>
    <t>Holzmeisteretal2024_2</t>
  </si>
  <si>
    <r>
      <rPr>
        <rFont val="Calibri"/>
        <sz val="11.0"/>
      </rPr>
      <t xml:space="preserve">the o_paper included 3 studies but the r_paper only replicated one claim from study number 2b; sample size in the o_study was induced from the statistical test; I calculated the effect size of the o_claim using the ES calculations sheet based on the informations I had but the effect size reported in the r_table for the o_study was a bit diffrent (1.746); there is also a pdf containing more information and data about the original study (I didn't use it but thoought I could add it here) </t>
    </r>
    <r>
      <rPr>
        <rFont val="Calibri"/>
        <color rgb="FF1155CC"/>
        <sz val="11.0"/>
        <u/>
      </rPr>
      <t>https://www.pnas.org/action/downloadSupplementdoi=10.1073%2Fpnas.1508932113&amp;file=pnas.201508932SI.pdf</t>
    </r>
    <r>
      <rPr>
        <rFont val="Calibri"/>
        <sz val="11.0"/>
      </rPr>
      <t xml:space="preserve"> </t>
    </r>
  </si>
  <si>
    <r>
      <t xml:space="preserve">Vacharkulksemsuk, T., Reit, E., Khambatta, P., Eastwick, P. W., Finkel, E. J., &amp; Carney, D. R. (2016). Dominant, open nonverbal displays are attractive at zero-acquaintance. Proceedings of the National Academy of Sciences, 113(15), 4009–4014. </t>
    </r>
    <r>
      <rPr>
        <rFont val="Arial"/>
        <color rgb="FF1155CC"/>
        <u/>
      </rPr>
      <t>https</t>
    </r>
    <r>
      <rPr>
        <rFont val="Arial"/>
        <color rgb="FF1155CC"/>
        <u/>
      </rPr>
      <t>://doi</t>
    </r>
    <r>
      <rPr>
        <rFont val="Arial"/>
        <color rgb="FF1155CC"/>
        <u/>
      </rPr>
      <t>.org</t>
    </r>
    <r>
      <rPr>
        <rFont val="Arial"/>
        <color rgb="FF1155CC"/>
        <u/>
      </rPr>
      <t>/10</t>
    </r>
    <r>
      <rPr>
        <rFont val="Arial"/>
        <color rgb="FF1155CC"/>
        <u/>
      </rPr>
      <t>/f8hms6</t>
    </r>
  </si>
  <si>
    <r>
      <rPr>
        <rFont val="Calibri, sans-serif"/>
        <color theme="1"/>
        <sz val="12.0"/>
      </rPr>
      <t>10.1073/pnas.1508932113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</si>
  <si>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</si>
  <si>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Vacharkulksemsuk et al., 2016</t>
  </si>
  <si>
    <t>romantic attraction,</t>
  </si>
  <si>
    <t>attraction, postural expansiveness, mate selection, nonverbal behavior, romantic relationships</t>
  </si>
  <si>
    <t>Dominant, open nonverbal displays are attractive at zero-acquaintance</t>
  </si>
  <si>
    <t>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</si>
  <si>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https://osf.io/nuw8e</t>
  </si>
  <si>
    <r>
      <rPr>
        <rFont val="Arial"/>
        <color rgb="FF1155CC"/>
        <u/>
      </rPr>
      <t xml:space="preserve">Vacharkulksemsuk, T., Reit, E., Khambatta, P., Eastwick, P. W., Finkel, E. J., &amp; Carney, D. R. (2016). Dominant, open nonverbal displays are attractive at zero-acquaintance. Proceedings of the National Academy of Sciences, 113(15), 4009–4014.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/f8hms6</t>
    </r>
  </si>
  <si>
    <r>
      <rPr>
        <rFont val="Calibri, sans-serif"/>
        <color theme="1"/>
        <sz val="12.0"/>
      </rPr>
      <t>10.1073/pnas.1508932113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</si>
  <si>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</si>
  <si>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Dominance of open non-verbal displays</t>
  </si>
  <si>
    <t>Attraction, postural expansiveness, mate selection, nonverbal behavior, romantic relationships</t>
  </si>
  <si>
    <t>Postural expansiveness is associated with increased romantic dominance</t>
  </si>
  <si>
    <t>"Overall (across photographs of men and women), the expansive photographs were rated as more dominant (mean = 3.78, SD = 0.63) than the contractive photographs (mean = 2.44, SD = 0.88), [t(424) = 18.02, P &lt; 0.0001, 95% CI (1.19, 1.48)]."</t>
  </si>
  <si>
    <t>t(424) = 18.02</t>
  </si>
  <si>
    <t>Holzmeisteretal2024_20</t>
  </si>
  <si>
    <r>
      <rPr>
        <rFont val="Calibri"/>
        <sz val="11.0"/>
      </rPr>
      <t xml:space="preserve">the o_paper included 6 studies but the r_paper only replicated  one claim from study number 5; the results of the o_claim were reported from the SI appendix p.4 </t>
    </r>
    <r>
      <rPr>
        <rFont val="Calibri"/>
        <color rgb="FF1155CC"/>
        <sz val="11.0"/>
        <u/>
      </rPr>
      <t>https://www.pnas.org/action/downloadSupplement?doi=10.1073%2Fpnas.1606574113&amp;file=pnas.1606574113.sapp.pdf</t>
    </r>
    <r>
      <rPr>
        <rFont val="Calibri"/>
        <sz val="11.0"/>
      </rPr>
      <t xml:space="preserve"> however they do not match the o_claim reported by the r_study (SM doc or osf link) </t>
    </r>
  </si>
  <si>
    <r>
      <t xml:space="preserve">Cooney, G., Gilbert, D. T., &amp; Wilson, T. D. (2016). When fairness matters less than we expect. Proceedings of the National Academy of Sciences, 113(40), 11168–11171. </t>
    </r>
    <r>
      <rPr>
        <rFont val="Arial"/>
        <color rgb="FF1155CC"/>
        <u/>
      </rPr>
      <t>https</t>
    </r>
    <r>
      <rPr>
        <rFont val="Arial"/>
        <color rgb="FF1155CC"/>
        <u/>
      </rPr>
      <t>://doi</t>
    </r>
    <r>
      <rPr>
        <rFont val="Arial"/>
        <color rgb="FF1155CC"/>
        <u/>
      </rPr>
      <t>.org</t>
    </r>
    <r>
      <rPr>
        <rFont val="Arial"/>
        <color rgb="FF1155CC"/>
        <u/>
      </rPr>
      <t>/10</t>
    </r>
    <r>
      <rPr>
        <rFont val="Arial"/>
        <color rgb="FF1155CC"/>
        <u/>
      </rPr>
      <t>/f8646f</t>
    </r>
  </si>
  <si>
    <r>
      <rPr>
        <rFont val="Calibri, sans-serif"/>
        <color rgb="FF1155CC"/>
        <sz val="12.0"/>
        <u/>
      </rPr>
      <t>10.1073/pnas.1606574113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</si>
  <si>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</si>
  <si>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ofCooneyet al2016</t>
  </si>
  <si>
    <t>fairness</t>
  </si>
  <si>
    <t>fairness, affective forecasting, decision-making</t>
  </si>
  <si>
    <t>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</si>
  <si>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</si>
  <si>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p.4 SI</t>
  </si>
  <si>
    <t>https://osf.io/8z2tm</t>
  </si>
  <si>
    <t xml:space="preserve">Please note that, for the original study, I coded based on the original finding reported in the replication as the original statistics are found in the Supplementary Information linked in the original paper which does not load up. Please see copied in "To evaluate this hypothesis, the authors perform an F-test on the Outcome x Procedure interaction (F(1,119) = 54.23, p &lt; 0.001, η²p = 0.313); p. 4 in SI." </t>
  </si>
  <si>
    <r>
      <rPr>
        <rFont val="Arial"/>
        <color rgb="FF1155CC"/>
        <u/>
      </rPr>
      <t xml:space="preserve">Cooney, G., Gilbert, D. T., &amp; Wilson, T. D. (2016). When fairness matters less than we expect. Proceedings of the National Academy of Sciences, 113(40), 11168–11171.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/f8646f</t>
    </r>
  </si>
  <si>
    <r>
      <rPr>
        <rFont val="Calibri, sans-serif"/>
        <color rgb="FF1155CC"/>
        <sz val="12.0"/>
        <u/>
      </rPr>
      <t>10.1073/pnas.1606574113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</si>
  <si>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</si>
  <si>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Affective forecasting error</t>
  </si>
  <si>
    <t>Fairness, affective forecasting, decision-making.</t>
  </si>
  <si>
    <t>The effect being investigated is whether participants predict that they would feel less bad about not receiving the bonus under a fair procedure compared to an unfair procedure</t>
  </si>
  <si>
    <t>Supplementary Information, however link for it found in original paper not working</t>
  </si>
  <si>
    <t>F(1,119) = 54.23</t>
  </si>
  <si>
    <t>Holzmeisteretal2024_21</t>
  </si>
  <si>
    <t>the o_paper included 3 studies but the r_paper only replicated  one claim from study number 2; the test of the o_study was not reported in the o_paper but directly communicated to the author's r_paper so I only reported the information mentioned in the o_paper; I calculated the effect size of the o_claim using the ES calculations sheet based on the informations I had but the effect size reported in the r_table for the o_study was a bit diffrent (0.320)</t>
  </si>
  <si>
    <r>
      <t xml:space="preserve">Cheon, B. K., &amp; Hong, Y.-Y. (2017). Mere experience of low subjective socioeconomic status stimulates appetite and food intake. Proceedings of the National Academy of Sciences, 114(1), 72–77. </t>
    </r>
    <r>
      <rPr>
        <rFont val="Arial"/>
        <color rgb="FF1155CC"/>
        <u/>
      </rPr>
      <t>https</t>
    </r>
    <r>
      <rPr>
        <rFont val="Arial"/>
        <color rgb="FF1155CC"/>
        <u/>
      </rPr>
      <t>://doi</t>
    </r>
    <r>
      <rPr>
        <rFont val="Arial"/>
        <color rgb="FF1155CC"/>
        <u/>
      </rPr>
      <t>.org</t>
    </r>
    <r>
      <rPr>
        <rFont val="Arial"/>
        <color rgb="FF1155CC"/>
        <u/>
      </rPr>
      <t>/10</t>
    </r>
    <r>
      <rPr>
        <rFont val="Arial"/>
        <color rgb="FF1155CC"/>
        <u/>
      </rPr>
      <t>/f9h49k</t>
    </r>
  </si>
  <si>
    <r>
      <rPr>
        <rFont val="Calibri, sans-serif"/>
        <color theme="1"/>
        <sz val="12.0"/>
      </rPr>
      <t>10.1073/pnas.1607330114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</si>
  <si>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</si>
  <si>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Cheon and Hong,2017</t>
  </si>
  <si>
    <t>eating behavior</t>
  </si>
  <si>
    <t>subjective socioeconomic status, social class, appetite, eating behavior, food preferences</t>
  </si>
  <si>
    <t>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</si>
  <si>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</si>
  <si>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https://osf.io/j7syt</t>
  </si>
  <si>
    <t>I was not able to source the orignal finding from the original paper as this information was provided directly by the authors, so I got it from the replication paper, please see copied in "The paper only reports a 2 (SSES: low or high) × 2 (gender) ANOVA, with a significant main effect for SSES, F(1, 79) = 4.92, p = 0.03, p. 74. As the replication focuses only on the effect of the subjective socioeconomic status manipulation, and not on the effect of gender or the interaction between gender and SSES, the authors provided the result of a direct comparison of implicit preferences for calorie-dense foods over fruits/vegetables between the two SSES conditions (n1 = 87, n2 = 80) based on an independent-samples t-test: t(165) = 2.07, p = 0.04."</t>
  </si>
  <si>
    <r>
      <rPr>
        <rFont val="Arial"/>
        <color rgb="FF1155CC"/>
        <u/>
      </rPr>
      <t xml:space="preserve">Cheon, B. K., &amp; Hong, Y.-Y. (2017). Mere experience of low subjective socioeconomic status stimulates appetite and food intake. Proceedings of the National Academy of Sciences, 114(1), 72–77.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/f9h49k</t>
    </r>
  </si>
  <si>
    <r>
      <rPr>
        <rFont val="Calibri, sans-serif"/>
        <color theme="1"/>
        <sz val="12.0"/>
      </rPr>
      <t>10.1073/pnas.1607330114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</si>
  <si>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</si>
  <si>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The influence of subjective socioeconomic status (SSES) on implicit food preferences</t>
  </si>
  <si>
    <t>Subjective socioeconomic status, social class, appetite, eating behavior, food preferences</t>
  </si>
  <si>
    <t>The effect being investigated is whether participants in the low SSES condition exhibit stronger implicit preferences for calorie-dense foods compared to fruits/vegetables relative to those in the high SSES condition.</t>
  </si>
  <si>
    <t>"Study 3 examined whether the experience of low SSES stimulates actual food intake from snacks during a fixed time interval. Eighty-three nondieting participants (41 female, age M = 20.29, SD = 1.38) completed the SSES manipulation from studies 1 and 2, then viewed a short documentary video while freely eating three snacks: potato chips, M&amp;M candies, and California raisins, from separate bowls. A 2 (SSES: low or high) × 2 (gender) ANOVA revealed only a significant main effect of SSES on caloric intake, F(1, 79) = 4.92, p = 0.03, η²p = 0.06, but no significant main effects of gender or interaction between gender and SSES condition. Participants in the low SSES condition (n = 47) consumed significantly greater calories (M = 88.24, SD = 75.32) compared with those in the high SSES condition (n = 36) (M = 53.62, SD = 63.66)."</t>
  </si>
  <si>
    <t>t(165) = 2.07</t>
  </si>
  <si>
    <t>Holzmeisteretal2024_22</t>
  </si>
  <si>
    <t>the o_paper included 2 studies but the r_paper only replicated  one claim from study number 2; only p was reported in the o_study</t>
  </si>
  <si>
    <r>
      <t xml:space="preserve">Chao, M. (2017). Demotivating incentives and motivation crowding out in charitable giving. Proceedings of the National Academy of Sciences, 114(28), 7301–7306. </t>
    </r>
    <r>
      <rPr>
        <rFont val="Arial"/>
        <color rgb="FF1155CC"/>
        <u/>
      </rPr>
      <t>https</t>
    </r>
    <r>
      <rPr>
        <rFont val="Arial"/>
        <color rgb="FF1155CC"/>
        <u/>
      </rPr>
      <t>://doi</t>
    </r>
    <r>
      <rPr>
        <rFont val="Arial"/>
        <color rgb="FF1155CC"/>
        <u/>
      </rPr>
      <t>.org</t>
    </r>
    <r>
      <rPr>
        <rFont val="Arial"/>
        <color rgb="FF1155CC"/>
        <u/>
      </rPr>
      <t>/10</t>
    </r>
    <r>
      <rPr>
        <rFont val="Arial"/>
        <color rgb="FF1155CC"/>
        <u/>
      </rPr>
      <t>/gbnk55</t>
    </r>
  </si>
  <si>
    <r>
      <rPr>
        <rFont val="Calibri, sans-serif"/>
        <color theme="1"/>
        <sz val="12.0"/>
      </rPr>
      <t>10.1073/pnas.1616921114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</si>
  <si>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</si>
  <si>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Chao201</t>
  </si>
  <si>
    <t>charitable giving</t>
  </si>
  <si>
    <t>motivation crowding out, charitable giving, multiattribute choice, attention, saliency</t>
  </si>
  <si>
    <t>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</si>
  <si>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</si>
  <si>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https://osf.io/e6pq5</t>
  </si>
  <si>
    <t>I could not find the reported original effect size in the original paper, please see the insufficient detail in what I coded in 'authors claims' so instead I coded the effect size that the replication paper reported in table 3 of the supplementary materials for Holzmeister.</t>
  </si>
  <si>
    <r>
      <rPr>
        <rFont val="Arial"/>
        <color rgb="FF1155CC"/>
        <u/>
      </rPr>
      <t xml:space="preserve">Chao, M. (2017). Demotivating incentives and motivation crowding out in charitable giving. Proceedings of the National Academy of Sciences, 114(28), 7301–7306.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/gbnk55</t>
    </r>
  </si>
  <si>
    <r>
      <rPr>
        <rFont val="Calibri, sans-serif"/>
        <color theme="1"/>
        <sz val="12.0"/>
      </rPr>
      <t>10.1073/pnas.1616921114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</si>
  <si>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</si>
  <si>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Motivation crowding out</t>
  </si>
  <si>
    <t>Motivation crowding out, charitable giving, multiattribute choice, attention, saliency</t>
  </si>
  <si>
    <t>The effect examines how the visibility of a gift card (extrinsic incentive) shifts attention away from intrinsic motivation (e.g., altruism) and leads to reduced donation rates</t>
  </si>
  <si>
    <t>"Only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 This is as predicted by the attention-based mechanism."</t>
  </si>
  <si>
    <t>Holzmeisteretal2024_23</t>
  </si>
  <si>
    <r>
      <rPr>
        <rFont val="Calibri"/>
        <sz val="11.0"/>
      </rPr>
      <t xml:space="preserve">the o_paper included 6 studies but the r_paper only replicated  one claim from study number 4; the results of the o_claim were reported from the SI appendix p.12 </t>
    </r>
    <r>
      <rPr>
        <rFont val="Calibri"/>
        <color rgb="FF1155CC"/>
        <sz val="11.0"/>
        <u/>
      </rPr>
      <t>https://ftp.ebi.ac.uk/biostudies/nfs/S-EPMC/472/S-EPMC6275472/Files/pnas.1717092115.sapp.pdf</t>
    </r>
    <r>
      <rPr>
        <rFont val="Calibri"/>
        <sz val="11.0"/>
      </rPr>
      <t>; the sample size of the o_study is diffrent when reported by the o_study (370) and the SM doc or the osf link of the r_study (260)</t>
    </r>
  </si>
  <si>
    <r>
      <t xml:space="preserve">Boswell, R. G., Sun, W., Suzuki, S., &amp; Kober, H. (2018). Training in cognitive strategies reduces eating and improves food choice. Proceedings of the National Academy of Sciences, 115(48), E11238–E11247. </t>
    </r>
    <r>
      <rPr>
        <rFont val="Arial"/>
        <color rgb="FF1155CC"/>
        <u/>
      </rPr>
      <t>https</t>
    </r>
    <r>
      <rPr>
        <rFont val="Arial"/>
        <color rgb="FF1155CC"/>
        <u/>
      </rPr>
      <t>://doi</t>
    </r>
    <r>
      <rPr>
        <rFont val="Arial"/>
        <color rgb="FF1155CC"/>
        <u/>
      </rPr>
      <t>.org</t>
    </r>
    <r>
      <rPr>
        <rFont val="Arial"/>
        <color rgb="FF1155CC"/>
        <u/>
      </rPr>
      <t>/10</t>
    </r>
    <r>
      <rPr>
        <rFont val="Arial"/>
        <color rgb="FF1155CC"/>
        <u/>
      </rPr>
      <t>/gfqzv6</t>
    </r>
  </si>
  <si>
    <r>
      <rPr>
        <rFont val="Calibri, sans-serif"/>
        <color theme="1"/>
        <sz val="12.0"/>
      </rPr>
      <t>10.1073/pnas.1717092115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</si>
  <si>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</si>
  <si>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ofBoswell et al2018</t>
  </si>
  <si>
    <t>craving</t>
  </si>
  <si>
    <t>cognitive strategies, craving, food, obesity, self control</t>
  </si>
  <si>
    <t>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</si>
  <si>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both ROC-T conditions significantly increased healthy food choices and were signifi-cantly different from CONTROL</t>
  </si>
  <si>
    <t xml:space="preserve"> t(173.36) = 5.37</t>
  </si>
  <si>
    <t>p.12 SI</t>
  </si>
  <si>
    <t>https://osf.io/qfhe4/</t>
  </si>
  <si>
    <t>https://osf.io/gq2fr</t>
  </si>
  <si>
    <r>
      <rPr>
        <rFont val="Arial"/>
        <color rgb="FF1155CC"/>
        <u/>
      </rPr>
      <t xml:space="preserve">Boswell, R. G., Sun, W., Suzuki, S., &amp; Kober, H. (2018). Training in cognitive strategies reduces eating and improves food choice. Proceedings of the National Academy of Sciences, 115(48), E11238–E11247.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/gfqzv6</t>
    </r>
  </si>
  <si>
    <r>
      <rPr>
        <rFont val="Calibri, sans-serif"/>
        <color theme="1"/>
        <sz val="12.0"/>
      </rPr>
      <t>10.1073/pnas.1717092115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</si>
  <si>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</si>
  <si>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Cognitive regulation of craving</t>
  </si>
  <si>
    <t>Cognitive strategies, craving, food, obesity, self-control</t>
  </si>
  <si>
    <t>The effect evaluates whether the ROC-T training leads to an increase in healthy food choices despite the availability of unhealthy tempting options</t>
  </si>
  <si>
    <t>"The training conditions did not significantly differ (p = .28), but were each different than CONTROL (POSITIVE vs. CONTROL: t(193.22) = 4.43, p &lt; .001; NEGATIVE vs. CONTROL: t(173.36) = 5.37, p &lt; .001).</t>
  </si>
  <si>
    <t>Supplementary Appendix, p12, linked here: https://www.pnas.org/doi/suppl/10.1073/pnas.1717092115</t>
  </si>
  <si>
    <t>t(173.36) = 5.37</t>
  </si>
  <si>
    <t>Holzmeisteretal2024_24</t>
  </si>
  <si>
    <r>
      <rPr>
        <rFont val="Calibri"/>
        <sz val="11.0"/>
      </rPr>
      <t xml:space="preserve">the o_paper included 8 studies but the r_paper only replicated  one claim from study number 3; o_sample size was reported from the SI appendix </t>
    </r>
    <r>
      <rPr>
        <rFont val="Calibri"/>
        <color rgb="FF1155CC"/>
        <sz val="11.0"/>
        <u/>
      </rPr>
      <t>https://www.pnas.org/doi/suppl/10.1073/pnas.1610834113</t>
    </r>
    <r>
      <rPr>
        <rFont val="Calibri"/>
        <sz val="11.0"/>
      </rPr>
      <t xml:space="preserve"> </t>
    </r>
  </si>
  <si>
    <r>
      <t xml:space="preserve">Baldwin, M., &amp; Lammers, J. (2016). Past-focused environmental comparisons promote proenvironmental outcomes for conservatives. Proceedings of the National Academy of Sciences, 113(52), 14953–14957. </t>
    </r>
    <r>
      <rPr>
        <rFont val="Arial"/>
        <color rgb="FF1155CC"/>
        <u/>
      </rPr>
      <t>https</t>
    </r>
    <r>
      <rPr>
        <rFont val="Arial"/>
        <color rgb="FF1155CC"/>
        <u/>
      </rPr>
      <t>://doi</t>
    </r>
    <r>
      <rPr>
        <rFont val="Arial"/>
        <color rgb="FF1155CC"/>
        <u/>
      </rPr>
      <t>.org</t>
    </r>
    <r>
      <rPr>
        <rFont val="Arial"/>
        <color rgb="FF1155CC"/>
        <u/>
      </rPr>
      <t>/10</t>
    </r>
    <r>
      <rPr>
        <rFont val="Arial"/>
        <color rgb="FF1155CC"/>
        <u/>
      </rPr>
      <t>/f9hmdp</t>
    </r>
  </si>
  <si>
    <r>
      <rPr>
        <rFont val="Calibri, sans-serif"/>
        <color theme="1"/>
        <sz val="12.0"/>
      </rPr>
      <t>10.1073/pnas.1610834113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</si>
  <si>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</si>
  <si>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Baldwin and Lammers,2016</t>
  </si>
  <si>
    <t>climate change</t>
  </si>
  <si>
    <t>climate change, temporal comparison, political ideology, attitudes, framing</t>
  </si>
  <si>
    <t>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</si>
  <si>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As expected, conservatives expressed less favorable attitudes in the future-focused comparison...but this association was greatly attenuated in the past-focused comparison...interaction b = 0.008, P = 0.03)</t>
  </si>
  <si>
    <t>https://osf.io/cyg6v</t>
  </si>
  <si>
    <r>
      <rPr>
        <rFont val="Arial"/>
        <color rgb="FF1155CC"/>
        <u/>
      </rPr>
      <t xml:space="preserve">Baldwin, M., &amp; Lammers, J. (2016). Past-focused environmental comparisons promote proenvironmental outcomes for conservatives. Proceedings of the National Academy of Sciences, 113(52), 14953–14957.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/f9hmdp</t>
    </r>
  </si>
  <si>
    <r>
      <rPr>
        <rFont val="Calibri, sans-serif"/>
        <color theme="1"/>
        <sz val="12.0"/>
      </rPr>
      <t>10.1073/pnas.1610834113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</si>
  <si>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</si>
  <si>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Temporal framing on pro-environmental behavior</t>
  </si>
  <si>
    <t>Climate change, temporal comparison, political ideology, attitudes, framing</t>
  </si>
  <si>
    <t>The effect examines how presenting climate change appeals as past-focused comparisons (rather than future-focused) can increase pro-environmental attitudes and behaviors among conservatives</t>
  </si>
  <si>
    <t>"As expected, conservatives expressed less favorable attitudes in the future-focused comparison (b = −0.015, P &lt; 0.0001), but this association was greatly attenuated in the past-focused comparison (b = −0.007, P = 0.011; interaction b = 0.008, P = 0.03). Importantly, these results remained significant when controlling for feelings of uncertainty and personal need for closure (e.g., intolerance of ambiguity) measured after the manipulation."</t>
  </si>
  <si>
    <t>Holzmeisteretal2024_25</t>
  </si>
  <si>
    <t>the o_paper included 8 studies but the r_paper only replicated  one claim from study number 8</t>
  </si>
  <si>
    <r>
      <t xml:space="preserve">Atir, S., &amp; Ferguson, M. J. (2018). How gender determines the way we speak about professionals. Proceedings of the National Academy of Sciences, 115(28), 7278–7283. </t>
    </r>
    <r>
      <rPr>
        <rFont val="Arial"/>
        <color rgb="FF1155CC"/>
        <u/>
      </rPr>
      <t>https</t>
    </r>
    <r>
      <rPr>
        <rFont val="Arial"/>
        <color rgb="FF1155CC"/>
        <u/>
      </rPr>
      <t>://doi</t>
    </r>
    <r>
      <rPr>
        <rFont val="Arial"/>
        <color rgb="FF1155CC"/>
        <u/>
      </rPr>
      <t>.org</t>
    </r>
    <r>
      <rPr>
        <rFont val="Arial"/>
        <color rgb="FF1155CC"/>
        <u/>
      </rPr>
      <t>/10</t>
    </r>
    <r>
      <rPr>
        <rFont val="Arial"/>
        <color rgb="FF1155CC"/>
        <u/>
      </rPr>
      <t>/crgh</t>
    </r>
  </si>
  <si>
    <r>
      <rPr>
        <rFont val="Calibri, sans-serif"/>
        <color theme="1"/>
        <sz val="12.0"/>
      </rPr>
      <t>10.1073/pnas.1805284115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</si>
  <si>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</si>
  <si>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Atir and Ferguson, 2018</t>
  </si>
  <si>
    <t>gender bias</t>
  </si>
  <si>
    <t>gender, gender bias, reference, judgment, evaluation</t>
  </si>
  <si>
    <t>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</si>
  <si>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</si>
  <si>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F(1,551) = 4.61</t>
  </si>
  <si>
    <t>https://aspredicted.org/ij46t.pdf</t>
  </si>
  <si>
    <t>https://osf.io/kpvwg</t>
  </si>
  <si>
    <r>
      <rPr>
        <rFont val="Arial"/>
        <color rgb="FF1155CC"/>
        <u/>
      </rPr>
      <t xml:space="preserve">Atir, S., &amp; Ferguson, M. J. (2018). How gender determines the way we speak about professionals. Proceedings of the National Academy of Sciences, 115(28), 7278–7283.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/crgh</t>
    </r>
  </si>
  <si>
    <r>
      <rPr>
        <rFont val="Calibri, sans-serif"/>
        <color theme="1"/>
        <sz val="12.0"/>
      </rPr>
      <t>10.1073/pnas.1805284115</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</si>
  <si>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</si>
  <si>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Gender bias in professional recognition</t>
  </si>
  <si>
    <t>Gender, gender bias, reference, judgment, evaluation</t>
  </si>
  <si>
    <t>The effect being investigated here is the influence of gender bias in how professionals are referred to (surname vs. full name) on perceptions of status, eminence, and allocation of resources or rewards (e.g., award money)</t>
  </si>
  <si>
    <t>"Researchers referred to by surname were also allocated a larger share of the award money by 6%: F(1,551) = 4.61, P = 0.032 (Fig. 3)."</t>
  </si>
  <si>
    <t>Holzmeisteretal2024_26</t>
  </si>
  <si>
    <t>the o_paper included 2 studies but the r_paper only replicated  one claim from study number 1; o_sample size was not reported in o_paper</t>
  </si>
  <si>
    <r>
      <t xml:space="preserve">Ames, D. L., &amp; Fiske, S. T. (2015). Perceived intent motivates people to magnify observed harms. Proceedings of the National Academy of Sciences, 112(12), 3599–3605. </t>
    </r>
    <r>
      <rPr>
        <rFont val="Arial"/>
        <color rgb="FF1155CC"/>
        <u/>
      </rPr>
      <t>https</t>
    </r>
    <r>
      <rPr>
        <rFont val="Arial"/>
        <color rgb="FF1155CC"/>
        <u/>
      </rPr>
      <t>://doi</t>
    </r>
    <r>
      <rPr>
        <rFont val="Arial"/>
        <color rgb="FF1155CC"/>
        <u/>
      </rPr>
      <t>.org</t>
    </r>
    <r>
      <rPr>
        <rFont val="Arial"/>
        <color rgb="FF1155CC"/>
        <u/>
      </rPr>
      <t>/10</t>
    </r>
    <r>
      <rPr>
        <rFont val="Arial"/>
        <color rgb="FF1155CC"/>
        <u/>
      </rPr>
      <t>/gsv6xm</t>
    </r>
  </si>
  <si>
    <r>
      <rPr>
        <rFont val="Calibri, sans-serif"/>
        <color theme="1"/>
        <sz val="12.0"/>
      </rPr>
      <t>10.1073/pnas.1501592112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</si>
  <si>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</si>
  <si>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AmesandFiske,2015</t>
  </si>
  <si>
    <t>morality</t>
  </si>
  <si>
    <t>intent, motivation, harm, blame, morality</t>
  </si>
  <si>
    <t>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</si>
  <si>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</si>
  <si>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X2(1) = 6.7</t>
  </si>
  <si>
    <t>https://osf.io/4aqu7</t>
  </si>
  <si>
    <r>
      <rPr>
        <rFont val="Arial"/>
        <color rgb="FF1155CC"/>
        <u/>
      </rPr>
      <t xml:space="preserve">Ames, D. L., &amp; Fiske, S. T. (2015). Perceived intent motivates people to magnify observed harms. Proceedings of the National Academy of Sciences, 112(12), 3599–3605.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/gsv6xm</t>
    </r>
  </si>
  <si>
    <r>
      <rPr>
        <rFont val="Calibri, sans-serif"/>
        <color theme="1"/>
        <sz val="12.0"/>
      </rPr>
      <t>10.1073/pnas.1501592112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</si>
  <si>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</si>
  <si>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Intentionality bias, harm magnification</t>
  </si>
  <si>
    <t>Intent, motivation, harm, blame, morality</t>
  </si>
  <si>
    <t>The effect examines whether participants who read about an intentional act (mixing up medications intentionally) are more likely to choose a task involving blame compared to those who read about an unintentional act (mixing up medications unintentionally)</t>
  </si>
  <si>
    <t>"However, in the intentional harm condition—that is, when the vignette was identical except that the medications were switched intentionally—selection of the "blame" task more than doubled, X2(1) = 6.7, P = 0.009."</t>
  </si>
  <si>
    <t>(𝜒²(1) = 6.7</t>
  </si>
  <si>
    <t>Holzmeisteretal2024_3</t>
  </si>
  <si>
    <t>the o_paper included 7 studies but the r_paper only replicated one claim from study number 7; for the r_study I did report d for effect size as mentioned in both the SM table and the paper (osf link) but the paper also report b=0.028 so I am adding it here in case you want a more direct comparison with the effect size of the o_study.</t>
  </si>
  <si>
    <r>
      <t xml:space="preserve">Stern, C., West, T. V., &amp; Rule, N. O. (2015). Conservatives negatively evaluate counterstereotypical people to maintain a sense of certainty. Proceedings of the National Academy of Sciences, 112(50), 15337–15342. </t>
    </r>
    <r>
      <rPr>
        <rFont val="Arial"/>
        <color rgb="FF1155CC"/>
        <u/>
      </rPr>
      <t>https</t>
    </r>
    <r>
      <rPr>
        <rFont val="Arial"/>
        <color rgb="FF1155CC"/>
        <u/>
      </rPr>
      <t>://doi</t>
    </r>
    <r>
      <rPr>
        <rFont val="Arial"/>
        <color rgb="FF1155CC"/>
        <u/>
      </rPr>
      <t>.org</t>
    </r>
    <r>
      <rPr>
        <rFont val="Arial"/>
        <color rgb="FF1155CC"/>
        <u/>
      </rPr>
      <t>/10</t>
    </r>
    <r>
      <rPr>
        <rFont val="Arial"/>
        <color rgb="FF1155CC"/>
        <u/>
      </rPr>
      <t>/f74fb4</t>
    </r>
  </si>
  <si>
    <r>
      <rPr>
        <rFont val="Calibri, sans-serif"/>
        <color theme="1"/>
        <sz val="12.0"/>
      </rPr>
      <t>10.1073/pnas.1517662112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</si>
  <si>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</si>
  <si>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Stern et al, 2015</t>
  </si>
  <si>
    <t>stereotyping</t>
  </si>
  <si>
    <t>ideology, stereotyping, social evaluation</t>
  </si>
  <si>
    <t>conservatives are not only more likely to use stereotypes than are liberals, but are especially likely to negatively evaluate counterstereotypical people to organize the social world with greater certainty.</t>
  </si>
  <si>
    <t>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</si>
  <si>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https://osf.io/3pu8d</t>
  </si>
  <si>
    <r>
      <rPr>
        <rFont val="Arial"/>
        <color rgb="FF1155CC"/>
        <u/>
      </rPr>
      <t xml:space="preserve">Stern, C., West, T. V., &amp; Rule, N. O. (2015). Conservatives negatively evaluate counterstereotypical people to maintain a sense of certainty. Proceedings of the National Academy of Sciences, 112(50), 15337–15342.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/f74fb4</t>
    </r>
  </si>
  <si>
    <r>
      <rPr>
        <rFont val="Calibri, sans-serif"/>
        <color theme="1"/>
        <sz val="12.0"/>
      </rPr>
      <t>10.1073/pnas.1517662112</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</si>
  <si>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</si>
  <si>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Conservatives' evaluations of counterstereotypical people</t>
  </si>
  <si>
    <t>Ideology, stereotyping, social evaluation</t>
  </si>
  <si>
    <t>Conservatives negatively evaluate counterstereotypical people to maintain a sense of certainty</t>
  </si>
  <si>
    <t>"Conservatives allocated less money to counterstereotypical targets than to stereotypical targets [B = 0.52, SE = 0.14, Z = 3.65, P &lt; 0.001], but liberals did not [B = −0.05, SE = 0.10, Z = −0.50, P = 0.62]. Conservatives therefore allocated fewer economic resources to counterstereotypical people who belonged to both real and fictional groups."</t>
  </si>
  <si>
    <t>Holzmeisteretal2024_4</t>
  </si>
  <si>
    <t>the o_paper included 2 studies but the r_paper only replicated one claim from study number 2; for the r_study I did report d for effect size as mentioned in both the SM table and the paper (osf link) but the paper also report β=–0.051 so I am adding it here in case you want a more direct comparison with the effect size of the o_study.</t>
  </si>
  <si>
    <r>
      <t xml:space="preserve">Reeck, C., Wall, D., &amp; Johnson, E. J. (2017). Search predicts and changes patience in intertemporal choice. Proceedings of the National Academy of Sciences, 114(45), 11890–11895. </t>
    </r>
    <r>
      <rPr>
        <rFont val="Arial"/>
        <color rgb="FF1155CC"/>
        <u/>
      </rPr>
      <t>https</t>
    </r>
    <r>
      <rPr>
        <rFont val="Arial"/>
        <color rgb="FF1155CC"/>
        <u/>
      </rPr>
      <t>://doi</t>
    </r>
    <r>
      <rPr>
        <rFont val="Arial"/>
        <color rgb="FF1155CC"/>
        <u/>
      </rPr>
      <t>.org</t>
    </r>
    <r>
      <rPr>
        <rFont val="Arial"/>
        <color rgb="FF1155CC"/>
        <u/>
      </rPr>
      <t>/10</t>
    </r>
    <r>
      <rPr>
        <rFont val="Arial"/>
        <color rgb="FF1155CC"/>
        <u/>
      </rPr>
      <t>/ggb75r</t>
    </r>
  </si>
  <si>
    <r>
      <rPr>
        <rFont val="Calibri, sans-serif"/>
        <color theme="1"/>
        <sz val="12.0"/>
      </rPr>
      <t>10.1073/pnas.1707040114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</si>
  <si>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</si>
  <si>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Reeck et al 2017</t>
  </si>
  <si>
    <t>intertemporal choice</t>
  </si>
  <si>
    <t>temporal discounting, delay of gratification, decision making, process tracing, choice architecture</t>
  </si>
  <si>
    <t>People often make decisions with consequences that unfold over time. When facing such intertemporal choices, people use differ-ent search strategies. We examine how these search strategies differ and how they relate to patience in intertemporal choice.</t>
  </si>
  <si>
    <t>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</si>
  <si>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https://osf.io/szntm</t>
  </si>
  <si>
    <r>
      <rPr>
        <rFont val="Arial"/>
        <color rgb="FF1155CC"/>
        <u/>
      </rPr>
      <t xml:space="preserve">Reeck, C., Wall, D., &amp; Johnson, E. J. (2017). Search predicts and changes patience in intertemporal choice. Proceedings of the National Academy of Sciences, 114(45), 11890–11895.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/ggb75r</t>
    </r>
  </si>
  <si>
    <r>
      <rPr>
        <rFont val="Calibri, sans-serif"/>
        <color theme="1"/>
        <sz val="12.0"/>
      </rPr>
      <t>10.1073/pnas.1707040114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</si>
  <si>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</si>
  <si>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Search strategy and its impact on intertemporal choice</t>
  </si>
  <si>
    <t>Temporal discounting, delay of gratification, decision making, process tracing, choice architecture</t>
  </si>
  <si>
    <t>The effect under investigation is how comparative searchers make more patient choices (i.e., choose a larger monetary reward which is delivered later) than integrative searchers</t>
  </si>
  <si>
    <t>"A hierarchical logistic regression was conducted to examine whether the search condition influenced participants' decisions, with choices modeled as a function of framing (acceleration or delay) and search condition (easy comparative or easy integrative) across all trials. The results revealed a significant effect of search condition, β = −0.23, SE = 0.10, P = 0.027, indicating that participants in the easy comparative condition exhibited greater patience than those in the easy integrative condition."</t>
  </si>
  <si>
    <t>Holzmeisteretal2024_5</t>
  </si>
  <si>
    <t xml:space="preserve">the o_paper included 5 studies but the r_paper only replicated one claim from study number 3; </t>
  </si>
  <si>
    <r>
      <t xml:space="preserve">Rai, T. S., Valdesolo, P., &amp; Graham, J. (2017). Dehumanization increases instrumental violence, but not moral violence. Proceedings of the National Academy of Sciences, 114(32), 8511–8516. </t>
    </r>
    <r>
      <rPr>
        <rFont val="Arial"/>
        <color rgb="FF1155CC"/>
        <u/>
      </rPr>
      <t>https</t>
    </r>
    <r>
      <rPr>
        <rFont val="Arial"/>
        <color rgb="FF1155CC"/>
        <u/>
      </rPr>
      <t>://doi</t>
    </r>
    <r>
      <rPr>
        <rFont val="Arial"/>
        <color rgb="FF1155CC"/>
        <u/>
      </rPr>
      <t>.org</t>
    </r>
    <r>
      <rPr>
        <rFont val="Arial"/>
        <color rgb="FF1155CC"/>
        <u/>
      </rPr>
      <t>/10</t>
    </r>
    <r>
      <rPr>
        <rFont val="Arial"/>
        <color rgb="FF1155CC"/>
        <u/>
      </rPr>
      <t>/gg6grh</t>
    </r>
  </si>
  <si>
    <r>
      <rPr>
        <rFont val="Calibri, sans-serif"/>
        <color theme="1"/>
        <sz val="12.0"/>
      </rPr>
      <t>10.1073/pnas.1705238114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</si>
  <si>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</si>
  <si>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Rai et al.2017</t>
  </si>
  <si>
    <t>Dehumanization</t>
  </si>
  <si>
    <t>moral, violence, dehumanization, instrumental, aggression</t>
  </si>
  <si>
    <t>Across five experiments, we show that dehumanization—the act of perceiving victims as not completely human—increases instrumen-tal, but not moral, violence.</t>
  </si>
  <si>
    <t>Participants were significantly more likely to report that they would break the stranger’s thumb for money when he was described in dehumanized (M = 4.64, SD = 2.14) rather than humanized terms (M = 3.90, SD = 2.36; t = 2.26, P = 0.025).</t>
  </si>
  <si>
    <t>t = 2.26</t>
  </si>
  <si>
    <t>https://osf.io/9avrm</t>
  </si>
  <si>
    <r>
      <rPr>
        <rFont val="Arial"/>
        <color rgb="FF1155CC"/>
        <u/>
      </rPr>
      <t xml:space="preserve">Rai, T. S., Valdesolo, P., &amp; Graham, J. (2017). Dehumanization increases instrumental violence, but not moral violence. Proceedings of the National Academy of Sciences, 114(32), 8511–8516.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/gg6grh</t>
    </r>
  </si>
  <si>
    <r>
      <rPr>
        <rFont val="Calibri, sans-serif"/>
        <color theme="1"/>
        <sz val="12.0"/>
      </rPr>
      <t>10.1073/pnas.1705238114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</si>
  <si>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</si>
  <si>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Dehumanisation and instrumental harm</t>
  </si>
  <si>
    <t>Moral, violence, dehumanization, instrumental, aggression</t>
  </si>
  <si>
    <t>The effect being investigated is whether people are more willing to harm a stranger described in dehumanised terms rather than humanised terms when the motives are instrumental.</t>
  </si>
  <si>
    <t>"Participants were significantly more likely to report that they would break the stranger’s thumb for money when he was described in dehumanized (M = 4.64, SD = 2.14) rather than humanized terms (M = 3.90, SD = 2.36; t = 2.26, P = 0.025)."</t>
  </si>
  <si>
    <t>Holzmeisteretal2024_6</t>
  </si>
  <si>
    <t>the likelihood ratio test of the o_study reported by the o_study doesn't match the one reported by the r_study</t>
  </si>
  <si>
    <r>
      <t xml:space="preserve">Morris, A., MacGlashan, J., Littman, M. L., &amp; Cushman, F. (2017). Evolution of flexibility and rigidity in retaliatory punishment. Proceedings of the National Academy of Sciences, 114(39), 10396–10401. </t>
    </r>
    <r>
      <rPr>
        <rFont val="Arial"/>
        <color rgb="FF1155CC"/>
        <u/>
      </rPr>
      <t>https</t>
    </r>
    <r>
      <rPr>
        <rFont val="Arial"/>
        <color rgb="FF1155CC"/>
        <u/>
      </rPr>
      <t>://doi</t>
    </r>
    <r>
      <rPr>
        <rFont val="Arial"/>
        <color rgb="FF1155CC"/>
        <u/>
      </rPr>
      <t>.org</t>
    </r>
    <r>
      <rPr>
        <rFont val="Arial"/>
        <color rgb="FF1155CC"/>
        <u/>
      </rPr>
      <t>/10</t>
    </r>
    <r>
      <rPr>
        <rFont val="Arial"/>
        <color rgb="FF1155CC"/>
        <u/>
      </rPr>
      <t>/gb4vmc</t>
    </r>
  </si>
  <si>
    <r>
      <rPr>
        <rFont val="Calibri, sans-serif"/>
        <color theme="1"/>
        <sz val="12.0"/>
      </rPr>
      <t>10.1073/pnas.1704032114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</si>
  <si>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</si>
  <si>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Morris et al. 2017</t>
  </si>
  <si>
    <t>retaliatory punishment</t>
  </si>
  <si>
    <t>punishment, evolution, reinforcement learning, game theory, commitment</t>
  </si>
  <si>
    <t>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</si>
  <si>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</si>
  <si>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X2(1)=21.7</t>
  </si>
  <si>
    <t>https://osf.io/yd69c</t>
  </si>
  <si>
    <r>
      <rPr>
        <rFont val="Calibri"/>
        <color theme="1"/>
        <sz val="11.0"/>
      </rPr>
      <t>There was a discrepency between the findings reported in the original paper and the 'original findings' reported by the replication paper in table 1 (</t>
    </r>
    <r>
      <rPr>
        <rFont val="Calibri"/>
        <color rgb="FFFF0000"/>
        <sz val="11.0"/>
      </rPr>
      <t>"In repeated games against rigid opponents, participants assigned to be thieves act relatively flexibly in their stealing behavior while participants assigned to be victims act relatively rigidly in their punishment behavior. The authors test the above hypothesis through an interaction between role and round in a mixed-effects model using a likelihood ratio test (χ²(1) = 24.3, p &lt; 0.001); p. 10399").</t>
    </r>
    <r>
      <rPr>
        <rFont val="Calibri"/>
        <color rgb="FF000000"/>
        <sz val="11.0"/>
      </rPr>
      <t xml:space="preserve"> I coded those reported in the original paper instead which I have highlighted in paper linked in this row.</t>
    </r>
  </si>
  <si>
    <r>
      <rPr>
        <rFont val="Arial"/>
        <color rgb="FF1155CC"/>
        <u/>
      </rPr>
      <t xml:space="preserve">Morris, A., MacGlashan, J., Littman, M. L., &amp; Cushman, F. (2017). Evolution of flexibility and rigidity in retaliatory punishment. Proceedings of the National Academy of Sciences, 114(39), 10396–10401.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/gb4vmc</t>
    </r>
  </si>
  <si>
    <r>
      <rPr>
        <rFont val="Calibri, sans-serif"/>
        <color theme="1"/>
        <sz val="12.0"/>
      </rPr>
      <t>10.1073/pnas.1704032114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</si>
  <si>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</si>
  <si>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Role-based flexibility in behaviour</t>
  </si>
  <si>
    <t>Punishment, evolution, reinforcement learning, game theory, commitment</t>
  </si>
  <si>
    <t>The effect being investigated is that in repeated games against rigid opponents, thieves exhibit flexible stealing behavior, while victims display rigid punishment behavior.</t>
  </si>
  <si>
    <t>"We fit a mixed-effects model, regressing participant choices on their role, the round number, and the interaction between role and round. The interaction between role and round is significant likelihood ratio test, X2(1)=21.7, P &lt; 0.001, = 0.03, 95% CI = (0.024, 0.24). Consistent with our predictions, in repeated games against inflexible opponents, thieves act relatively flexibly and victims act relatively rigidly."</t>
  </si>
  <si>
    <t>χ²(1) = 21.7</t>
  </si>
  <si>
    <t>Holzmeisteretal2024_7</t>
  </si>
  <si>
    <t>the o_paper included 3 studies but the r_paper only replicated  one claim from study number 1; for the r_study I did report d for effect size as mentioned in both the SM table and the paper (osf link) but the paper also report β=0.156  so I am adding it here in case you want a more direct comparison with the effect size of the o_study.</t>
  </si>
  <si>
    <r>
      <t xml:space="preserve">McCall, L., Burk, D., Laperrière, M., &amp; Richeson, J. A. (2017). Exposure to rising inequality shapes Americans’ opportunity beliefs and policy support. Proceedings of the National Academy of Sciences, 114(36), 9593–9598. </t>
    </r>
    <r>
      <rPr>
        <rFont val="Arial"/>
        <color rgb="FF1155CC"/>
        <u/>
      </rPr>
      <t>https</t>
    </r>
    <r>
      <rPr>
        <rFont val="Arial"/>
        <color rgb="FF1155CC"/>
        <u/>
      </rPr>
      <t>://doi</t>
    </r>
    <r>
      <rPr>
        <rFont val="Arial"/>
        <color rgb="FF1155CC"/>
        <u/>
      </rPr>
      <t>.org</t>
    </r>
    <r>
      <rPr>
        <rFont val="Arial"/>
        <color rgb="FF1155CC"/>
        <u/>
      </rPr>
      <t>/10</t>
    </r>
    <r>
      <rPr>
        <rFont val="Arial"/>
        <color rgb="FF1155CC"/>
        <u/>
      </rPr>
      <t>/gbwx4j</t>
    </r>
  </si>
  <si>
    <r>
      <rPr>
        <rFont val="Calibri, sans-serif"/>
        <color theme="1"/>
        <sz val="12.0"/>
      </rPr>
      <t>10.1073/pnas.1706253114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</si>
  <si>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</si>
  <si>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McCall et al. 2017</t>
  </si>
  <si>
    <t>Economic inequality</t>
  </si>
  <si>
    <t>economic inequality, opportunity beliefs, policy preferences, redistribution, system justification</t>
  </si>
  <si>
    <t>Exposure to rising inequality shapes Americans’ opportunity beliefs and policy support...perceptions of rising economic inequality spark skepticism about the existence of economic opportunity in society that, in turn, may motivate support for equity-enhancing policies.</t>
  </si>
  <si>
    <t>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</si>
  <si>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https://osf.io/cs82h</t>
  </si>
  <si>
    <r>
      <rPr>
        <rFont val="Arial"/>
        <color rgb="FF1155CC"/>
        <u/>
      </rPr>
      <t xml:space="preserve">McCall, L., Burk, D., Laperrière, M., &amp; Richeson, J. A. (2017). Exposure to rising inequality shapes Americans’ opportunity beliefs and policy support. Proceedings of the National Academy of Sciences, 114(36), 9593–9598.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/gbwx4j</t>
    </r>
  </si>
  <si>
    <r>
      <rPr>
        <rFont val="Calibri, sans-serif"/>
        <color theme="1"/>
        <sz val="12.0"/>
      </rPr>
      <t>10.1073/pnas.1706253114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</si>
  <si>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</si>
  <si>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Impact of inequality exposure on opportunity beliefs and system justification</t>
  </si>
  <si>
    <t>Economic inequality, opportunity beliefs, policy preferences, redistribution, system justification</t>
  </si>
  <si>
    <t>The effect being investigated is the effect of inequality exposure on attributing success to structural factors compared to individual factors</t>
  </si>
  <si>
    <t>"Regressions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β = −0.290, SE = 0.072, P &lt; 0.001, RMSE = 0.783 for individual factors].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</si>
  <si>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Holzmeisteretal2024_8</t>
  </si>
  <si>
    <t>the o_paper included 4 studies but the r_paper only replicated  one claim from study number 4</t>
  </si>
  <si>
    <r>
      <t xml:space="preserve">Kraus, M. W., Rucker, J. M., &amp; Richeson, J. A. (2017). Americans misperceive racial economic equality. Proceedings of the National Academy of Sciences, 114(39), 10324–10331. </t>
    </r>
    <r>
      <rPr>
        <rFont val="Arial"/>
        <color rgb="FF1155CC"/>
        <u/>
      </rPr>
      <t>https</t>
    </r>
    <r>
      <rPr>
        <rFont val="Arial"/>
        <color rgb="FF1155CC"/>
        <u/>
      </rPr>
      <t>://doi</t>
    </r>
    <r>
      <rPr>
        <rFont val="Arial"/>
        <color rgb="FF1155CC"/>
        <u/>
      </rPr>
      <t>.org</t>
    </r>
    <r>
      <rPr>
        <rFont val="Arial"/>
        <color rgb="FF1155CC"/>
        <u/>
      </rPr>
      <t>/10</t>
    </r>
    <r>
      <rPr>
        <rFont val="Arial"/>
        <color rgb="FF1155CC"/>
        <u/>
      </rPr>
      <t>/gb4sh4</t>
    </r>
  </si>
  <si>
    <r>
      <rPr>
        <rFont val="Calibri, sans-serif"/>
        <color theme="1"/>
        <sz val="12.0"/>
      </rPr>
      <t>10.1073/pnas.1707719114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</si>
  <si>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</si>
  <si>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Kraus et al 2017</t>
  </si>
  <si>
    <t>racial economic equality</t>
  </si>
  <si>
    <t>economic inequality, racial disparities, socioeconomic status, racial stratification, motivated perception</t>
  </si>
  <si>
    <t>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</si>
  <si>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</si>
  <si>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t(201) = 17.51</t>
  </si>
  <si>
    <t>https://osf.io/yt9vb</t>
  </si>
  <si>
    <t>I coded the effect size found in original paper as instructed but please see replication notes about this, "The authors test the above hypothesis using a paired t-test, t(201) = 17.51, p &lt; 0.001, dRM = 0.50; p. 10329. Note, however, the test could not be replicated using the original dataset. When testing estimates of equality of “Discriminatory USA” and “Current” using a paired t-test, the test statistic we calculate is t(201) = 7.0258, p &lt; 0.001. The reporting error in the original paper has also been acknowledged by the original authors. We thus base our power analysis on the latter test statistic."</t>
  </si>
  <si>
    <r>
      <rPr>
        <rFont val="Arial"/>
        <color rgb="FF1155CC"/>
        <u/>
      </rPr>
      <t xml:space="preserve">Kraus, M. W., Rucker, J. M., &amp; Richeson, J. A. (2017). Americans misperceive racial economic equality. Proceedings of the National Academy of Sciences, 114(39), 10324–10331.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/gb4sh4</t>
    </r>
  </si>
  <si>
    <r>
      <rPr>
        <rFont val="Calibri, sans-serif"/>
        <color theme="1"/>
        <sz val="12.0"/>
      </rPr>
      <t>10.1073/pnas.1707719114</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</si>
  <si>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</si>
  <si>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Racial discrimination and racial economic equality perceptions</t>
  </si>
  <si>
    <t>Economic inequality, racial disparities, socioeconomic status, racial stratification, motivated perception</t>
  </si>
  <si>
    <t>The effect being investigated is the impact of inducing consideration of the persistence of racial discrimination on the overestimation of racial economic equality</t>
  </si>
  <si>
    <t>"As in study 3, experimentally inducing reflection on a similar Black family increased overestimates of Black–White income equality in this mostly White American sample [t(201) = 10.93, p &lt; 0.001, dRM = 0.31], whereas inducing consideration of the persistence of racial discrimination in the United States resulted in estimates of racial income equality that were much closer to reality, t(201) = 17.51, p &lt; 0.001, dRM = 0.50. Together, the findings of studies 3 and 4 offer support for our central argument that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</si>
  <si>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t(201) = 10.93</t>
  </si>
  <si>
    <t>Holzmeisteretal2024_9</t>
  </si>
  <si>
    <t>the o_paper included 9 studies but the r_paper only replicated  one claim from study number 7b</t>
  </si>
  <si>
    <r>
      <t xml:space="preserve">Kouchaki, M., &amp; Gino, F. (2016). Memories of unethical actions become obfuscated over time. Proceedings of the National Academy of Sciences, 113(22), 6166–6171. </t>
    </r>
    <r>
      <rPr>
        <rFont val="Arial"/>
        <color rgb="FF1155CC"/>
        <u/>
      </rPr>
      <t>https</t>
    </r>
    <r>
      <rPr>
        <rFont val="Arial"/>
        <color rgb="FF1155CC"/>
        <u/>
      </rPr>
      <t>://doi</t>
    </r>
    <r>
      <rPr>
        <rFont val="Arial"/>
        <color rgb="FF1155CC"/>
        <u/>
      </rPr>
      <t>.org</t>
    </r>
    <r>
      <rPr>
        <rFont val="Arial"/>
        <color rgb="FF1155CC"/>
        <u/>
      </rPr>
      <t>/10</t>
    </r>
    <r>
      <rPr>
        <rFont val="Arial"/>
        <color rgb="FF1155CC"/>
        <u/>
      </rPr>
      <t>/f8qfrh</t>
    </r>
  </si>
  <si>
    <r>
      <rPr>
        <rFont val="Calibri, sans-serif"/>
        <color theme="1"/>
        <sz val="12.0"/>
      </rPr>
      <t>10.1073/pnas.1523586113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</si>
  <si>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</si>
  <si>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Replication of Kouchaki and Gino,201</t>
  </si>
  <si>
    <t>unethical amnesia</t>
  </si>
  <si>
    <t>dishonesty, memory, unethical behavior, psychological dissonance, morality</t>
  </si>
  <si>
    <t>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</si>
  <si>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As predicted, participants in the likely-cheating condition...were more likely to cheat at time 2 [X2(n = 258) = 10.48, P = 0.001, Cramer’s V = 0.20]...than those in the no-cheating condition...providing further evidence for the consequences of unethical amnesia</t>
  </si>
  <si>
    <t>X2 = 10.48</t>
  </si>
  <si>
    <t>https://osf.io/nc49e</t>
  </si>
  <si>
    <r>
      <rPr>
        <rFont val="Arial"/>
        <color rgb="FF1155CC"/>
        <u/>
      </rPr>
      <t xml:space="preserve">Kouchaki, M., &amp; Gino, F. (2016). Memories of unethical actions become obfuscated over time. Proceedings of the National Academy of Sciences, 113(22), 6166–6171. </t>
    </r>
    <r>
      <rPr>
        <rFont val="Arial"/>
        <color rgb="FF1155CC"/>
        <sz val="10.0"/>
        <u/>
      </rPr>
      <t>https</t>
    </r>
    <r>
      <rPr>
        <rFont val="Arial"/>
        <color rgb="FF1155CC"/>
        <sz val="10.0"/>
        <u/>
      </rPr>
      <t>://doi</t>
    </r>
    <r>
      <rPr>
        <rFont val="Arial"/>
        <color rgb="FF1155CC"/>
        <sz val="10.0"/>
        <u/>
      </rPr>
      <t>.org</t>
    </r>
    <r>
      <rPr>
        <rFont val="Arial"/>
        <color rgb="FF1155CC"/>
        <sz val="10.0"/>
        <u/>
      </rPr>
      <t>/10</t>
    </r>
    <r>
      <rPr>
        <rFont val="Arial"/>
        <color rgb="FF1155CC"/>
        <sz val="10.0"/>
        <u/>
      </rPr>
      <t>/f8qfrh</t>
    </r>
  </si>
  <si>
    <r>
      <rPr>
        <rFont val="Calibri, sans-serif"/>
        <color theme="1"/>
        <sz val="12.0"/>
      </rPr>
      <t>10.1073/pnas.1523586113</t>
    </r>
  </si>
  <si>
    <r>
      <rPr>
        <rFont val="Arial"/>
        <color theme="1"/>
      </rPr>
      <t>Holzmeister, F., Johannesson, M., Camerer, C. F., Chen, Y., Ho, T. H., Hoogeveen, S., ... &amp; Dreber, A. (2024). Examining the replicability of online experiments selected by a decision market. </t>
    </r>
    <r>
      <rPr>
        <rFont val="Arial"/>
        <i/>
        <color rgb="FF222222"/>
        <sz val="8.0"/>
      </rPr>
      <t>Nature Human Behaviour</t>
    </r>
    <r>
      <rPr>
        <rFont val="Arial"/>
        <color rgb="FF222222"/>
        <sz val="8.0"/>
      </rPr>
      <t>, 1-15.</t>
    </r>
  </si>
  <si>
    <t>7b</t>
  </si>
  <si>
    <t>Unethical amnesia</t>
  </si>
  <si>
    <t>Dishonesty, memory, unethical behavior, psychological dissonance, morality</t>
  </si>
  <si>
    <r>
      <rPr>
        <rFont val="Calibri"/>
        <color theme="1"/>
        <sz val="11.0"/>
      </rPr>
      <t xml:space="preserve">The effect being investigated is </t>
    </r>
    <r>
      <rPr>
        <rFont val="Calibri"/>
        <b/>
        <color rgb="FF000000"/>
        <sz val="11.0"/>
      </rPr>
      <t>how prior cheating in a die-throwing game influences increased dishonesty in a subsequent Boggle game, after a three-day delay</t>
    </r>
  </si>
  <si>
    <t>"As predicted, participants in the likely-cheating condition recalled the die-throwing task less precisely (M = 2.59, SD = 1.08) than those in the no-cheating condition (M = 2.97, SD = 1.22) [t(256) = −2.66, P = 0.008, d = 0.33]. They also were more likely to cheat at time 2 [X2 (n = 258) = 10.48, P = 0.001, Cramer’s V = 0.20], providing further evidence for the consequences of unethical amnesia; in fact, 78% (96 of 123) of the participants in the likely-cheating condition cheated at time 2 on the Boggle task, a percentage that was higher than observed in the no-cheating condition, in which 59% (80 of 135) of the participants cheated."</t>
  </si>
  <si>
    <t>X2(n = 258)=10.48</t>
  </si>
  <si>
    <t>is1_1</t>
  </si>
  <si>
    <t>is1</t>
  </si>
  <si>
    <t>Wolf, Röseler, Leder, Schütz</t>
  </si>
  <si>
    <t xml:space="preserve">Original paper: p.52; Replication: p. 8,14
Added close replication to label_r
Changed claim_page_o to 4
Changed es_repr_o to p4 
</t>
  </si>
  <si>
    <t>Young, S. G., Thorstenson, C. A., &amp; Pazda, A. D. (2018). Facial redness, expression, and masculinity influence perceptions of anger and health. Cognition and Emotion, 32(1), 49–60. https://doi.org/10.1080/02699931.2016.1273201</t>
  </si>
  <si>
    <t>10.1080/02699931.2016.1273201</t>
  </si>
  <si>
    <t>10.1080--02699931.2016.1273201.pdf</t>
  </si>
  <si>
    <t>Wolf, D., Röseler, L., Leder, J., &amp; Schütz, A. (2022, June 15). The Red-Anger Effect: Is it Nothing More Than Demand Characteristics?. https://doi.org/10.31234/osf.io/ntukz</t>
  </si>
  <si>
    <t>10.31234/osf.io/ntukz</t>
  </si>
  <si>
    <t>10.31234--osf.io--ntukz.pdf</t>
  </si>
  <si>
    <t>"close replication"</t>
  </si>
  <si>
    <t>emotion perception</t>
  </si>
  <si>
    <t>facial redness, demand characteristics, emotion perception, emotion recognition</t>
  </si>
  <si>
    <t>Facial redness increases perceived anger</t>
  </si>
  <si>
    <t>For anger ratings, the effect of red was significant, F(6, 234) = 4.91, p &lt; .001, η2p = .11...perceived anger was most affected by high levels of redness, whereby more redness was associ-ated with more anger.</t>
  </si>
  <si>
    <t>p.14</t>
  </si>
  <si>
    <t>https://osf.io/7pw4c?view_only=ca3860721b4048f5a3ff7d27687d2e46</t>
  </si>
  <si>
    <t>is2_1</t>
  </si>
  <si>
    <t>is2</t>
  </si>
  <si>
    <t>this effect had 2 tests in the r_study t(220) = -3.22, p = .001, d = -0.43, 95% CI [-0.70, -0.17] and (additional results of a paired t test: t(110) = -4.59, p &lt; .001, dz = -0.44, 95% CI [-0.63, -0.24]), I reported the second one because the sample size was more coherent with the one I found prefilled in this doc.</t>
  </si>
  <si>
    <t>Originalpaper: p.52; Replication: p.25</t>
  </si>
  <si>
    <t>https://osf.io/caf6h?view_only=f5bd34199dd447b8af03b6b207f9e5d6</t>
  </si>
  <si>
    <t>is3_1</t>
  </si>
  <si>
    <t>is3</t>
  </si>
  <si>
    <t>j8a4p_1</t>
  </si>
  <si>
    <t>j8a4p</t>
  </si>
  <si>
    <t xml:space="preserve">1. The abstract of the paper reflect that the study 1 is a replication study. The study 2a also replicates the actual study (study 2) conducted in the current papers. Leaving replication studies, I am just annotating the study 2 which is an online experiment and is orignal. 2. Study 2 presents number of vintages, however, I have only considered the overall results as in the replication study it is not clear what the sub-variables like Equal variances refered to. Moreover, it is not clear from replication if whole study was replicated or one of the findings. 3. I have made assumptions about the p-value, first it is equal (e (=)), second, two tailed t-tests are for the specific variables not for the overall. 4. There is no information about the type of replication (even no information is provided that it the replication study is actualy a replication, I have annotated it as it is provided as a replication). 5. I have used value of "d" (test static was also provided) )as effect size. In the orignal study it was present, however, document associated with replication study didn't had value of "d". Therefore I used the value given on this link: https://osf.io/j8a4p </t>
  </si>
  <si>
    <t>Values are correct, but more detailled description of results between and over all vignettes was preffered; changed pval_value_r tp 0.667 (was mixed up with t value)</t>
  </si>
  <si>
    <t>Huang, J. L. (2014). Does cleanliness influence moral judgments? Response effort moderates the effect of cleanliness priming on moral judgments. Frontiers in Psychology, 5, 1276.</t>
  </si>
  <si>
    <t>Mahlke, J., Weaver, A., Hall, M. M., Koenig, B., Poulter, L., Lee, A. A., … Gentry, A. (2018, April 27). Huang  (2014) Replication. https://doi.org/10.17605/OSF.IO/J8A4P</t>
  </si>
  <si>
    <t>priming, moral judgment, response effort, cleanliness</t>
  </si>
  <si>
    <t>the cleanliness and neutral conditions revealed non-significant difference</t>
  </si>
  <si>
    <t>"the cleanliness and neutral conditions revealed non-significant difference, t(438) = −0.42, p = 0.68, d = −0.04."</t>
  </si>
  <si>
    <t>negative 0.04</t>
  </si>
  <si>
    <t>0.68</t>
  </si>
  <si>
    <t>0.06</t>
  </si>
  <si>
    <t>0.667</t>
  </si>
  <si>
    <t>https://osf.io/3xcnm/</t>
  </si>
  <si>
    <t>j8a4p_composite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</si>
  <si>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</si>
  <si>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t xml:space="preserve">Since replication claimed to wanting to replicate effect in the low effort group, n= 218, whereas n over both conditions is indeed 440. </t>
  </si>
  <si>
    <r>
      <rPr>
        <rFont val="Calibri"/>
        <sz val="11.0"/>
      </rPr>
      <t xml:space="preserve">Mahlke, J., Weaver, A., Hall, M. M., Koenig, B., Poulter, L., Lee, A. A., … Gentry, A. (2018, April 27). Huang  (2014) Replication. </t>
    </r>
    <r>
      <rPr>
        <rFont val="Calibri"/>
        <color rgb="FF1155CC"/>
        <sz val="11.0"/>
        <u/>
      </rPr>
      <t>https://doi.org/10.17605/OSF.IO/J8A4P</t>
    </r>
  </si>
  <si>
    <t>10.17605/OSF.IO/J8A4P</t>
  </si>
  <si>
    <t>Moral priming (cleanliness)</t>
  </si>
  <si>
    <t>Priming, moral judgment, response effort, replication, cleanliness</t>
  </si>
  <si>
    <t>Cleanliness condition in the low response effort group significantly influenced the moral judgements averaged across all vignettes</t>
  </si>
  <si>
    <t>"The cleanliness condition had a lower mean composite rating than the neutral condition, d = −0.29, p = 0.04 in the low response effort condition"</t>
  </si>
  <si>
    <t>ES for replication study was calculated based on the test statistics (M, SD, N)</t>
  </si>
  <si>
    <t>https://osf.io/j8a4p</t>
  </si>
  <si>
    <t>please add the information on how you attained the es_repr_r in the variable and not only in the notes for coders</t>
  </si>
  <si>
    <t>j8a4p_dog</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</si>
  <si>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</si>
  <si>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t>added prereg_o and copied es_repr_r from coder notes</t>
  </si>
  <si>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</si>
  <si>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significantly influenced the moral judgements in the "Dog" vignettes</t>
  </si>
  <si>
    <t>"In particular, the cleanliness priming resulted in a significantly less extreme rating on the “dog” scenario than the neutral condition, d = −0.38, p = 0.005"</t>
  </si>
  <si>
    <t>j8a4p_kitten</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</si>
  <si>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</si>
  <si>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</si>
  <si>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"Kitten" vignettes</t>
  </si>
  <si>
    <t>"A further examination of the cleanliness hypothesis on individual vignettes in the low response effort condition revealed a pattern consistent with the expectation, with ds ranging from – 0.03 to −0.38 (see Table 2)."</t>
  </si>
  <si>
    <t>j8a4p_plane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</si>
  <si>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</si>
  <si>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</si>
  <si>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"Plane" vignettes</t>
  </si>
  <si>
    <t>j8a4p_resume</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</si>
  <si>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</si>
  <si>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</si>
  <si>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"Resume" vignettes</t>
  </si>
  <si>
    <t>j8a4p_trolley</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</si>
  <si>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</si>
  <si>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</si>
  <si>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"Trolley" vignettes</t>
  </si>
  <si>
    <t>j8a4p_wallet</t>
  </si>
  <si>
    <r>
      <rPr>
        <rFont val="Calibri"/>
        <sz val="11.0"/>
      </rPr>
      <t xml:space="preserve">1. Values for REPLICATION statistical inferences were taken from Files uploaded to OSF (link: ) and saved in PDF titled "10.17605--osf.io--j8a4p.pdf"
2. Pre-registration OSF: </t>
    </r>
    <r>
      <rPr>
        <rFont val="Calibri"/>
        <color rgb="FF1155CC"/>
        <sz val="11.0"/>
        <u/>
      </rPr>
      <t xml:space="preserve">https://osf.io/x9tq5
</t>
    </r>
    <r>
      <rPr>
        <rFont val="Calibri"/>
        <sz val="11.0"/>
      </rPr>
      <t>3. SInce in the main table of the original manuscript the results are reported in t, the NESTED option is"No" (individual results for each vignette and average, comparable with the Replication results)
4. ES for replication study was calculated based on the test statistics (M, SD, N)</t>
    </r>
  </si>
  <si>
    <r>
      <rPr>
        <rFont val="Calibri"/>
        <sz val="11.0"/>
      </rPr>
      <t xml:space="preserve">Mahlke, J., Weaver, A., Hall, M. M., Koenig, B., Poulter, L., Lee, A. A., … Gentry, A. (2018, April 27). Huang  (2014) Replication. </t>
    </r>
    <r>
      <rPr>
        <rFont val="Calibri"/>
        <color rgb="FF1155CC"/>
        <sz val="11.0"/>
        <u/>
      </rPr>
      <t>https://doi.org/10.17605/OSF.IO/J8A4P</t>
    </r>
  </si>
  <si>
    <t>Cleanliness condition in the low response effort group did not achienve significant influence on the moral judgements in the "Walley" vignettes</t>
  </si>
  <si>
    <t>jcre_01_1</t>
  </si>
  <si>
    <t>jcre_01</t>
  </si>
  <si>
    <t>1. The paper has replicated with the same data and with the new data. So I am reporting both. 2.This part is related to the replication through the same data as of original study. 3.The sample size is not mentioned in the original study, but replication study has estimated the sample size so I am reporting it. 4. There is one main finding which is supported through numerous results (Table 5 with 2 x (with and without income) variables and 7 y variables (columns)). 5. There are no aggrgated effect sizes for the main finding, however, the results supporting this finding has respective effect sizes. In the first instance, I reported all of the results then omitted them as I am not sure which one to follow. Therefore, if needed, I have kept these results in the sheet study 10.</t>
  </si>
  <si>
    <t>Fiorito, R. &amp; Kollintzas, T. (2004). Public goods, merit goods, and the relation between private and government consumption. European Economic Review 48(6), 1367-1398. DOI:
10.1016/j.euroecorev.2004.01.004</t>
  </si>
  <si>
    <t>10.1016/j.euroecorev.2004.01.004</t>
  </si>
  <si>
    <t>10.1016--j.euroecorev.2004.01.004.pdf</t>
  </si>
  <si>
    <t>Song, Z. (2022). The Relationship between Government and Private Consumption: A Replication Study of Fiorito and Kollintzas (2004). Journal of Comments and Replications in Economics, Vol 1(2022-1). DOI: 10.18718/81781.23</t>
  </si>
  <si>
    <t>10.18718/81781.23</t>
  </si>
  <si>
    <t>replication with same data</t>
  </si>
  <si>
    <t>Government and Private Consumption</t>
  </si>
  <si>
    <t>Public goods; Merit goods; Government consumption; Dynamic panel estimation</t>
  </si>
  <si>
    <t>public goods are substitutes and merit goods are complements to private goods consumption</t>
  </si>
  <si>
    <t>"public goods are substitutes and merit goods are complements to private goods consumption "</t>
  </si>
  <si>
    <t>p. 22</t>
  </si>
  <si>
    <t>jcre_01_a</t>
  </si>
  <si>
    <t>1. The paper has replicated with the same data and with the new data. So I am reporting both. 2.This part is related to the replication through the new data as of original study. 3.The sample size is not mentioned in the original study, but replication study has estimated the sample size so I am reporting it. 4. There is one main finding which is supported through numerous results (Table 5 with 2 x (with and without income) variables and 7 y variables (columns)). 5. There are no aggrgated effect sizes for the main finding, however, the results supporting this finding has. respective effect sizes. In the first instance, I reported all of the results then omitted them as I am not sure which one to follow. Therefore, if needed, I have kept these results in the sheet study 10.</t>
  </si>
  <si>
    <t>replication with new data</t>
  </si>
  <si>
    <t>jcre_01_c2</t>
  </si>
  <si>
    <t>1. For the replication only results from the time period 1996-2016 were used.
2. In the original study the sample size should be the number of observations, which is 12 * 27 = 324
3. The file 10.18718--81781.23.pdf was uploaded
4. The papers applied Newey–West covariance matrices (I guess, it means that we have unstandardized coefficients?)</t>
  </si>
  <si>
    <t>Consumption</t>
  </si>
  <si>
    <t xml:space="preserve">Public goods, Merit goods, Government consumption, Consumption, Dynamic panel estimation, Crowding Out Effect </t>
  </si>
  <si>
    <t>Per capita household consumption (private consumption) together with public and merit goods, aggregate consumption in this economy</t>
  </si>
  <si>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</si>
  <si>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α = 0.773, (0.11)</t>
  </si>
  <si>
    <t>α = 0.843, (0.154)</t>
  </si>
  <si>
    <t>jcre_01_c2a</t>
  </si>
  <si>
    <t>Justified per capita household consumption (private consumption) together with public and merit goods, aggregate consumption in this economy</t>
  </si>
  <si>
    <t>α = 0.530, (0.142)</t>
  </si>
  <si>
    <t>α = 0.743, (0.289)</t>
  </si>
  <si>
    <t>jcre_01_c3</t>
  </si>
  <si>
    <t>α = 0.464, (0.127)</t>
  </si>
  <si>
    <t>α = 1.001, (0.257)</t>
  </si>
  <si>
    <t>jcre_01_c3a</t>
  </si>
  <si>
    <t>α = 0.633, (0.193)</t>
  </si>
  <si>
    <t>α = 0.688, (0.248)</t>
  </si>
  <si>
    <t>jcre_01_c6</t>
  </si>
  <si>
    <t>α = 0.543, (0.144)</t>
  </si>
  <si>
    <t>α = 0.880, (0.19)</t>
  </si>
  <si>
    <t>jcre_01_c6a</t>
  </si>
  <si>
    <t>α = 0.513, (0.134)</t>
  </si>
  <si>
    <t>α = 0.719, (0.205)</t>
  </si>
  <si>
    <t>jcre_01_d2</t>
  </si>
  <si>
    <t>Working age population share influence the consumption</t>
  </si>
  <si>
    <t>"Merit goods are mostly education and health expenditures and both should be inversely related to the working age population share.</t>
  </si>
  <si>
    <t>α = -0.375, (0.134)</t>
  </si>
  <si>
    <t>α = -0.420, (0.41)</t>
  </si>
  <si>
    <t>α = -0.239 , (0.156)</t>
  </si>
  <si>
    <t>α = -0.465, (0.421)</t>
  </si>
  <si>
    <t>jcre_01_d3</t>
  </si>
  <si>
    <t>α = 0.218 , (0.124)</t>
  </si>
  <si>
    <t>α = -0.551, (0.435)</t>
  </si>
  <si>
    <t>α = -0.179, (0.124)</t>
  </si>
  <si>
    <t>α = -0.422, (0.417)</t>
  </si>
  <si>
    <t>jcre_01_d6</t>
  </si>
  <si>
    <t>α = -0.203, (0.115)</t>
  </si>
  <si>
    <t>α = -0.137, (0.476)</t>
  </si>
  <si>
    <t>α = -0.215, (0.128)</t>
  </si>
  <si>
    <t>α = -0.270, (0.543)</t>
  </si>
  <si>
    <t>jcre_01_g2</t>
  </si>
  <si>
    <t>Public goods substitute private consumption</t>
  </si>
  <si>
    <t>"The public goods variables tend to be insignificant the higher is their public good content, irrespective of the deflator choice"</t>
  </si>
  <si>
    <t>α = -0.067, (0.063)</t>
  </si>
  <si>
    <t>α = -0.106, (0.097)</t>
  </si>
  <si>
    <t>jcre_01_g2a</t>
  </si>
  <si>
    <t>α = -0.123, (0.095)</t>
  </si>
  <si>
    <t>α = 0.024, (0.143)</t>
  </si>
  <si>
    <t>jcre_01_g3</t>
  </si>
  <si>
    <t>α = -0.062, (0.088)</t>
  </si>
  <si>
    <t>α = -0.085, (0.093)</t>
  </si>
  <si>
    <t>jcre_01_g3a</t>
  </si>
  <si>
    <t>α = 0.012, (0.115)</t>
  </si>
  <si>
    <t>α = -0.010, (0.158)</t>
  </si>
  <si>
    <t>jcre_01_g6</t>
  </si>
  <si>
    <t>Public order and defence government (public goods) substitute private consumption</t>
  </si>
  <si>
    <t>"Defence spending has a smaller elasticity than public order and in most cases its elasticity is null. We take this to be consistent with the very nature of these goods. That is, the purer the public goods category the less the expected interaction with private consumption"</t>
  </si>
  <si>
    <t>α = 0.011, (0.073)</t>
  </si>
  <si>
    <t>α = -0.090, (0.115)</t>
  </si>
  <si>
    <t>jcre_01_g6a</t>
  </si>
  <si>
    <t>α = -0.029, (0.078)</t>
  </si>
  <si>
    <t>α = 0.019, (0.15)</t>
  </si>
  <si>
    <t>jcre_01_gt2</t>
  </si>
  <si>
    <t>Public goods substitute private consumption in the past periods</t>
  </si>
  <si>
    <t>α = -0.093, (0.038)</t>
  </si>
  <si>
    <t>α = -0.011, (0.075)</t>
  </si>
  <si>
    <t>jcre_01_gt2a</t>
  </si>
  <si>
    <t>α = 0.057, (0.066)</t>
  </si>
  <si>
    <t>α = -0.084, (0.072)</t>
  </si>
  <si>
    <t>jcre_01_gt3</t>
  </si>
  <si>
    <t>α = -0.248, (0.062)</t>
  </si>
  <si>
    <t>α = -0.104, (0.121)</t>
  </si>
  <si>
    <t>jcre_01_gt3a</t>
  </si>
  <si>
    <t>α = 0.063, (0.068)</t>
  </si>
  <si>
    <t>α = -0.005, (0.036)</t>
  </si>
  <si>
    <t>jcre_01_gt6</t>
  </si>
  <si>
    <t>Public order and defence government (public goods) substitute private consumption in past periods</t>
  </si>
  <si>
    <t>α = 0.055, (0.047)</t>
  </si>
  <si>
    <t>α = -0.073, (0.164)</t>
  </si>
  <si>
    <t>jcre_01_gt6a</t>
  </si>
  <si>
    <t>α = 0.101, (0.068)</t>
  </si>
  <si>
    <t>α = -0.057, (0.087)</t>
  </si>
  <si>
    <t>jcre_01_h2</t>
  </si>
  <si>
    <t>Hansen J-test supports the notion of plausible restrictions in GMM.</t>
  </si>
  <si>
    <t>"The main finding of our paper is in Table 5. [...] The J -tests support the plausibility of the instrument restrictions"</t>
  </si>
  <si>
    <t>18, 19</t>
  </si>
  <si>
    <t xml:space="preserve">X2(15) = 15.3 </t>
  </si>
  <si>
    <t>X2(15) = 8.55</t>
  </si>
  <si>
    <t>jcre_01_h2a</t>
  </si>
  <si>
    <t xml:space="preserve">X2(11) = 11.3 </t>
  </si>
  <si>
    <t>X2(11) = 3.17</t>
  </si>
  <si>
    <t>jcre_01_h3</t>
  </si>
  <si>
    <t>X2(13) = 11.4</t>
  </si>
  <si>
    <t>X2(13) = 2.51</t>
  </si>
  <si>
    <t>jcre_01_h3a</t>
  </si>
  <si>
    <t xml:space="preserve">X2(13) = 9.4 </t>
  </si>
  <si>
    <t>X2(13) = 3.11</t>
  </si>
  <si>
    <t>jcre_01_h6</t>
  </si>
  <si>
    <t>X2(13) = 11.7</t>
  </si>
  <si>
    <t>X2(13) = 3.98</t>
  </si>
  <si>
    <t>jcre_01_h6a</t>
  </si>
  <si>
    <t xml:space="preserve">X2(13) = 9.7 </t>
  </si>
  <si>
    <t>X2(13) = 1.43</t>
  </si>
  <si>
    <t>jcre_01_m2</t>
  </si>
  <si>
    <t>Merit goods complement private consumption</t>
  </si>
  <si>
    <t>α = 0.498, (0.063)</t>
  </si>
  <si>
    <t>α = 0.517, (0.09)</t>
  </si>
  <si>
    <t>jcre_01_m2a</t>
  </si>
  <si>
    <t>α = 0.534, (0.115)</t>
  </si>
  <si>
    <t>α = 0.357, (0.141)</t>
  </si>
  <si>
    <t>jcre_01_m3</t>
  </si>
  <si>
    <t>Education and health government (merit goods) complement private consumption</t>
  </si>
  <si>
    <t>"In the same table we find that education has a bigger effect on private consumption than health when the interest rate variable is omitted, while the effect is about the same when the latter enters the specification"</t>
  </si>
  <si>
    <t>α = 0.504, (0.081)</t>
  </si>
  <si>
    <t>α = 0.442, (0.14)</t>
  </si>
  <si>
    <t>jcre_01_m3a</t>
  </si>
  <si>
    <t>α = 0.554, (0.105)</t>
  </si>
  <si>
    <t>α = 0.386, (0.143)</t>
  </si>
  <si>
    <t>jcre_01_m6</t>
  </si>
  <si>
    <t>α = 0.610, (0.082)</t>
  </si>
  <si>
    <t>α = 0.448, (0.17)</t>
  </si>
  <si>
    <t>jcre_01_m6a</t>
  </si>
  <si>
    <t>α = 0.661, (0.154)</t>
  </si>
  <si>
    <t>α = 0.373, (0.106)</t>
  </si>
  <si>
    <t>jcre_01_mt2</t>
  </si>
  <si>
    <t>Merit goods complement private consumption in the past periods</t>
  </si>
  <si>
    <t>α = -0.277, (0.048)</t>
  </si>
  <si>
    <t>α = -0.430, (0.117)</t>
  </si>
  <si>
    <t>jcre_01_mt2a</t>
  </si>
  <si>
    <t>α = -0.239, (0.146)</t>
  </si>
  <si>
    <t>α = -0.248, (0.052)</t>
  </si>
  <si>
    <t>jcre_01_mt3</t>
  </si>
  <si>
    <t>Education and health government (merit goods) complement private consumption in past periods</t>
  </si>
  <si>
    <t>α = -0.010, (0.066)</t>
  </si>
  <si>
    <t>α = -0.407, (0.064)</t>
  </si>
  <si>
    <t>jcre_01_mt3a</t>
  </si>
  <si>
    <t>α = -0.311, (0.141)</t>
  </si>
  <si>
    <t>α = -0.265, (0.077)</t>
  </si>
  <si>
    <t>jcre_01_mt6</t>
  </si>
  <si>
    <t>α = -0.359, (0.103)</t>
  </si>
  <si>
    <t>α = -0.372, (0.194)</t>
  </si>
  <si>
    <t>jcre_01_mt6a</t>
  </si>
  <si>
    <t>α = -0.365, (0.13)</t>
  </si>
  <si>
    <t>α = -0.255, (0.122)</t>
  </si>
  <si>
    <t>jcre_01_r2</t>
  </si>
  <si>
    <t>After tax real interest rate influence the consumption</t>
  </si>
  <si>
    <t>"An important result of our estimates is that we found for aggregate NIPA data rather than for individual data units a significant and positive effect of the after tax real interest rate variable"</t>
  </si>
  <si>
    <t>α = 0.082, (0.193)</t>
  </si>
  <si>
    <t>α = -0.005, (0.006)</t>
  </si>
  <si>
    <t>After tax real interest rate  influence the consumption</t>
  </si>
  <si>
    <t>α = 0.054, (0.292)</t>
  </si>
  <si>
    <t>α = -0.013, (0.006)</t>
  </si>
  <si>
    <t>jcre_01_r3</t>
  </si>
  <si>
    <t>α = 0.139, (0.173)</t>
  </si>
  <si>
    <t>α = -0.007, (0.007)</t>
  </si>
  <si>
    <t>α = 0.374, (0.284)</t>
  </si>
  <si>
    <t>α = -0.010, (0.006)</t>
  </si>
  <si>
    <t>jcre_01_r6</t>
  </si>
  <si>
    <t>α = 0.428, (0.229)</t>
  </si>
  <si>
    <t>α = -0.006, (0.006)</t>
  </si>
  <si>
    <t>α = 0.199, (0.3)</t>
  </si>
  <si>
    <t>jcre_01_y2a</t>
  </si>
  <si>
    <t>Disposable income captures some transient income eHect but is not sustained enough to provide a convincing alternative to the permanent income mode</t>
  </si>
  <si>
    <t>"In Table 5(1), however, we estimated an analog to Eq. (9) by adding to each equation on Table 5 the current and the past value of the logged per capita disposable income changes. The relevant results still con1rm the complementarity of the merit goods variable while the public goods appear to be always insigni1cant in the regression" [...] "At the 10% level, the current and past disposable income enters the regression in three cases only."</t>
  </si>
  <si>
    <t>α = 0.453, (0.21)</t>
  </si>
  <si>
    <t>α = 0.413, (0.207)</t>
  </si>
  <si>
    <t>jcre_01_y3a</t>
  </si>
  <si>
    <t>α = 0.309, (0.211)</t>
  </si>
  <si>
    <t>α = 0.389, (0.154)</t>
  </si>
  <si>
    <t>jcre_01_y6a</t>
  </si>
  <si>
    <t>α = 0.22, (0.27)</t>
  </si>
  <si>
    <t>α = 0.398, (0.13)</t>
  </si>
  <si>
    <t>jcre_01_yt2a</t>
  </si>
  <si>
    <t>Disposable income captures some transient income eHect but is not sustained enough to provide a convincing alternative to the permanent income mode in past periods</t>
  </si>
  <si>
    <t>α = -0.340, (0.208)</t>
  </si>
  <si>
    <t>α = -0.022, (0.052)</t>
  </si>
  <si>
    <t>jcre_01_yt3a</t>
  </si>
  <si>
    <t>α = -0.403, (0.222)</t>
  </si>
  <si>
    <t>α = 0.005, (0.031)</t>
  </si>
  <si>
    <t>jcre_01_yt6a</t>
  </si>
  <si>
    <t>α = -0.252 , (0.226)</t>
  </si>
  <si>
    <t>α = 0.008, (0.057)</t>
  </si>
  <si>
    <t>jcre_02_1</t>
  </si>
  <si>
    <t>jcre_02</t>
  </si>
  <si>
    <t>Outside my area of expertise - unable to code this entry further</t>
  </si>
  <si>
    <t>Svensson, L. E. O. (2015). The Possible Unemployment Cost of Average Inflation below a
Credible Target. American Economic Journal: Macroeconomics, 7 (1): 258-96. DOI: 10.1257/ma
c.20130176</t>
  </si>
  <si>
    <t>10.1257/mac.20130176</t>
  </si>
  <si>
    <t>Oraby, R. (2022). The Possible Unemployment Cost of Average Inflation Below a
Credible Target:A Replication Study of Svensson (2015). Journal of Comments and Replications in
Economics, Vol 1(2022-2). DOI: 10.18718/81781.24</t>
  </si>
  <si>
    <t>10.18718/81781.24</t>
  </si>
  <si>
    <t>"This paper replicates the main analysis of Svensson (2015) with some expansion to the original analysis, mainly for the United States."</t>
  </si>
  <si>
    <t>non-vertical long run Phillips curve</t>
  </si>
  <si>
    <t>Estimating the unemployment cost of having the average inflation rate below the targeted level requires estimating the long run Philips curve. Following Svensson (2015), the long run Phillips curve is estimated by taking the unconditional mean of the short run Phillips curve.</t>
  </si>
  <si>
    <r>
      <rPr>
        <rFont val="Calibri"/>
        <color rgb="FF1155CC"/>
        <sz val="11.0"/>
        <u/>
      </rPr>
      <t xml:space="preserve">The authors use the same dataset for Sweden and an updated dataset for the U.S. (thus the dataset is also partly the same) see p. 3 (p. 5 when respecting the whole document: </t>
    </r>
    <r>
      <rPr>
        <rFont val="Calibri"/>
        <color rgb="FF1155CC"/>
        <sz val="11.0"/>
        <u/>
      </rPr>
      <t>https://www.econstor.eu/bitstream/10419/253653/1/JCRE-2022-2.pdf)</t>
    </r>
  </si>
  <si>
    <t>jcre_03_1</t>
  </si>
  <si>
    <t>jcre_03</t>
  </si>
  <si>
    <t>Chowdhury, S. M., Jeon, J. Y., Saha, B. (2017). Gender differences in the giving and
taking variants of the dictator game. Southern Economic Journal, 84(2), 474–83. DOI:
10.1002/soej.12223</t>
  </si>
  <si>
    <t>10.1002/soej.12223</t>
  </si>
  <si>
    <t>10.1002--soej.12223.pdf</t>
  </si>
  <si>
    <t>von Blanckenburg, K., Tebbe, E., Iseke, A. (2023). Giving and taking
in dictator games – differences by gender? A replication study of Chowdhury et al. (2017). Journal
of Comments and Replications in Economics, Vol 2(2023-1). DOI: 10.18718/81781.27</t>
  </si>
  <si>
    <t>10.18718/81781.27</t>
  </si>
  <si>
    <t>"This study attempts to replicate experimental results from Chowdhury et al. published in Southern Economic Journal (2017)"</t>
  </si>
  <si>
    <t xml:space="preserve"> Dictator games have been used extensively to study social preferences and framing effects of giving vs. taking.</t>
  </si>
  <si>
    <t>"A Mann-Whitney test shows no
significant difference in final amount allocated to recipients between the two treatments (p-
value = 0.583)"</t>
  </si>
  <si>
    <t>p. 477</t>
  </si>
  <si>
    <t>p. 478</t>
  </si>
  <si>
    <t xml:space="preserve">Gender differences - Giving </t>
  </si>
  <si>
    <t>Gender differences in the giving and taking variants of the dictator game can occur</t>
  </si>
  <si>
    <t>"In the GG, the amounts given by males and females are not different (p-value = 0.594)."</t>
  </si>
  <si>
    <t xml:space="preserve">Gender differences - Taking </t>
  </si>
  <si>
    <t>"The TG, however, shows gender differences. The average amount left by the male dictators is significantly lower than the amount left by the female dictators at 1%
level."</t>
  </si>
  <si>
    <t>As the recipients were passive and the behavior of the dictator was measures, I excluded recipients from the effective sample; Both studies also include some regression analyses to examine interaction effects. However, the effects that I coded seem to be the main focus of the replication. I calculated all effect sizes using the excel sheet.</t>
  </si>
  <si>
    <t>dictator game, gender differences</t>
  </si>
  <si>
    <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</si>
  <si>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4, 7 &amp; 8</t>
  </si>
  <si>
    <t>jcre_04_1</t>
  </si>
  <si>
    <t>jcre_04</t>
  </si>
  <si>
    <t>Fernández, R., &amp; Fogli, A. (2009). Culture: An Empirical Investigation of Beliefs, Work, and
Fertility. American Economic Journal: Macroeconomics, 1(1), 146–177. DOI: 10.1257/mac.1.1.
146</t>
  </si>
  <si>
    <t>10.1257/mac.1.1.146</t>
  </si>
  <si>
    <t>Gay, V. (2023). Culture: An Empirical Investigation of Beliefs, Work, and Fertility: A Verification and Reproduction of Fernández and Fogli (2009). Journal of Comments and
Replications in Economics, Vol 2(2023-2). DOI: 10.18718/81781.28</t>
  </si>
  <si>
    <t>10.18718/81781.28</t>
  </si>
  <si>
    <t>"In this article, I perform a verification and a reproduction of the main results in Fernández and Fogli (2009) [...]"</t>
  </si>
  <si>
    <t>Women from countries with traditionally higher rates of female labor force participation (FLFP) are more likely to be in the labor force and that those from countries with traditionally lower total fertility rates (TFR) have relatively less children.</t>
  </si>
  <si>
    <t>It is a reproduction and not a replication</t>
  </si>
  <si>
    <t>jcre_05_1</t>
  </si>
  <si>
    <t>jcre_05</t>
  </si>
  <si>
    <t>Poole, J. P. (2013). Knowledge Transfers from Multinational to Domestic Firms: Evidence from Worker Mobility. The Review of Economics and Statistics, 95(2), 393–406. DOI:
10.1162/REST_a_00258</t>
  </si>
  <si>
    <t>10.1162/REST_a_00258</t>
  </si>
  <si>
    <t>10.1162--rest_a_00258.pdf</t>
  </si>
  <si>
    <t>Haller, S. A., Flaherty, E. T., Balsvik, R. (2023). Knowledge Transfers
from Multinational to Domestic Firms: Evidence from Worker Mobility. A Replication Study of Poole (Review of Economics and Statistics, 2013). Journal of Comments and Replications in Economics, Vol 2(2023-3). DOI: 10.18718/81781.29</t>
  </si>
  <si>
    <t>10.18718/81781.29</t>
  </si>
  <si>
    <t>"This paper replicates Poole (2013) using comprehensive Norwegian and Irish register data."</t>
  </si>
  <si>
    <t>When workers leave multinationals and are rehired at domestic establishments, the wages of their new coworkers who have already been present in the establishment increase</t>
  </si>
  <si>
    <t>Ireland 2005-2010; This replication study contains many tables. I have already written to Sarah and am happy to code all the other tables as well. If you let me know which specific values you need from the tables, I will code them accordingly.</t>
  </si>
  <si>
    <t>Multinational Firms, Wage Spillovers, Worker Mobility</t>
  </si>
  <si>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</si>
  <si>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35.46</t>
  </si>
  <si>
    <t>jcre_06_1</t>
  </si>
  <si>
    <t>jcre_06</t>
  </si>
  <si>
    <t>Unable to code as economics papers differ from psychology/social science papers in structure, focus, and reporting. They emphasise calculations and procedures applied to different datasets/settings rather than replicating an effect.</t>
  </si>
  <si>
    <t>Autor, D. H., Katz, L. F., &amp; Kearney, M. S. (2008). Trends in U.S. Wage Inequality: Revising
the Revisionists. Review of Economics and Statistics, 90 (2): 300–323. DOI: 10.1162/rest.90.
2.300</t>
  </si>
  <si>
    <t>Stephenson, C. (2024). Trends in U.S. Wage Inequality: Revising the Revisionists. A Replication Study of Autor, Katz, and Kearney (2008). Journal of Comments and Replications
in Economics, Vol.3 (2024-4). DOI: 10.18718/81781.34</t>
  </si>
  <si>
    <t>"This paper successfully replicates Autor et al. (2008) and extends their analysis through 2022."</t>
  </si>
  <si>
    <t>replication; ECLS-K; teacher certification; teacher qualifications</t>
  </si>
  <si>
    <t>Certain teacher qualifications [...]  positively   impacted reading and  math achievement  for first grade  students  in  the  United  States.</t>
  </si>
  <si>
    <t>"Students taught by teachers with an elementary education degree, however, gain more in reading (0.08 SD) than students taught by teachers with a different type of degree (e.g., early childhood education) [...]"</t>
  </si>
  <si>
    <t>p. 320</t>
  </si>
  <si>
    <t>Autor, D. H., Katz, L. F., &amp; Kearney, M. S. (2008). Trends in U.S. Wage Inequality: Revising the Revisionists. Review of Economics and Statistics, 90 (2): 300–323. DOI: 10.1162/rest.90.2.300</t>
  </si>
  <si>
    <t>Please check again: I think that the replication study uses at least to some extant the same data. The replication adds only more recently obtained data.</t>
  </si>
  <si>
    <t>Manylabs2_01</t>
  </si>
  <si>
    <t>Manylabs2_01_1</t>
  </si>
  <si>
    <t>The effect being replicated - namely that disgust sensitivity and perceived intentionality are more strongly related when people consider gay kissing than when they consider kissing in general - is not formally tested in the original paper, but justified with a qualitative comparison of two correlations. Therefore, coded effect size calculated in replication report.</t>
  </si>
  <si>
    <t>Inbar, Y., Pizarro, D. A., Knobe, J., &amp; Bloom, P. (2009). Disgust sensitivity predicts intuitive disapproval of gays. Emotion, 9(3), 435–439. https://doi.org/10.1037/a0015960</t>
  </si>
  <si>
    <t>10.1037/a0015960</t>
  </si>
  <si>
    <t>Klein, R. A., Vianello, M., Hasselman, F., Adams, B. G., Adams Jr, R. B., Alper, S., ... &amp; Sowden, W. (2018). Many Labs 2: Investigating variation in replicability across samples and settings. Advances in Methods and Practices in Psychological Science, 1(4), 443-490.</t>
  </si>
  <si>
    <t>10.1177/2515245918810225</t>
  </si>
  <si>
    <t>disgust, disgust sensitivity, moral judgment, homosexuality</t>
  </si>
  <si>
    <t>disgust sensitivity is associated with stronger judgments of intentionality</t>
  </si>
  <si>
    <t>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</si>
  <si>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p. 437</t>
  </si>
  <si>
    <t>q</t>
  </si>
  <si>
    <t>from replication report - diff in correlations was not formally tested</t>
  </si>
  <si>
    <t>p. 457</t>
  </si>
  <si>
    <t>https://osf.io/ejcfw</t>
  </si>
  <si>
    <r>
      <rPr>
        <rFont val="Arial"/>
        <sz val="11.0"/>
      </rPr>
      <t xml:space="preserve">Inbar, Y., Pizarro, D. A., Knobe, J., &amp; Bloom, P. (2009). Disgust sensitivity predicts intuitive disapproval of gays. Emotion, 9(3), 435–439. </t>
    </r>
    <r>
      <rPr>
        <rFont val="Arial"/>
        <color rgb="FF1155CC"/>
        <sz val="11.0"/>
        <u/>
      </rPr>
      <t>https://doi.org/10.1037/a0015960</t>
    </r>
  </si>
  <si>
    <t>Encouraging gay kissing than generally encouraging kissing</t>
  </si>
  <si>
    <t>"participants viewed the director’s action as more intentional when he encouraged public gay kissing (M  4.36) than when he encouraged public straight kissing (M  2.91), β =  .41, t(39) = 3.39, p &lt; .01 "," disgust sensitivity predicts implicit moral responses to male-male sexual contact—as measured through intentionality judgments—though it does not predict explicit responses"</t>
  </si>
  <si>
    <t>t(39) = 3.39</t>
  </si>
  <si>
    <t>Manylabs2_01_1_b</t>
  </si>
  <si>
    <r>
      <rPr>
        <rFont val="Arial"/>
        <color rgb="FF1155CC"/>
        <sz val="11.0"/>
        <u/>
      </rPr>
      <t xml:space="preserve">Inbar, Y., Pizarro, D. A., Knobe, J., &amp; Bloom, P. (2009). Disgust sensitivity predicts intuitive disapproval of gays. Emotion, 9(3), 435–439. </t>
    </r>
    <r>
      <rPr>
        <rFont val="Arial"/>
        <color rgb="FF1155CC"/>
        <sz val="11.0"/>
        <u/>
      </rPr>
      <t>https://doi.org/10.1037/a0015960</t>
    </r>
  </si>
  <si>
    <t>"in the gay kissing condition, disgust sensitivity was associated with stronger judgments of intentionality, β =  .79, t(19) = 4.49, p &lt;  .001, "," disgust sensitivity predicts implicit moral responses to male-male sexual contact—as measured through intentionality judgments—though it does not predict explicit responses"</t>
  </si>
  <si>
    <t>t(19) = 4.49</t>
  </si>
  <si>
    <t>Manylabs2_01_1_c</t>
  </si>
  <si>
    <r>
      <rPr>
        <rFont val="Arial"/>
        <sz val="11.0"/>
      </rPr>
      <t xml:space="preserve">Inbar, Y., Pizarro, D. A., Knobe, J., &amp; Bloom, P. (2009). Disgust sensitivity predicts intuitive disapproval of gays. Emotion, 9(3), 435–439. </t>
    </r>
    <r>
      <rPr>
        <rFont val="Arial"/>
        <color rgb="FF1155CC"/>
        <sz val="11.0"/>
        <u/>
      </rPr>
      <t>https://doi.org/10.1037/a0015960</t>
    </r>
  </si>
  <si>
    <t>disgust sensitivity not predicting intentionality judgments (control condition)</t>
  </si>
  <si>
    <t>"while in the control condition, disgust sensitivity did not predict intentionality judgments, β = .20, t(19) = .88, ns (see Figure 1) "," disgust sensitivity predicts implicit moral responses to male-male sexual contact—as measured through intentionality judgments—though it does not predict explicit responses"</t>
  </si>
  <si>
    <t xml:space="preserve"> t(19) = .88</t>
  </si>
  <si>
    <t>Manylabs2_02</t>
  </si>
  <si>
    <t>Manylabs2_02_1</t>
  </si>
  <si>
    <t>The z score for the original difference in correlations analysis was recalculated as a q value in the replication study - stands at q = 0.48 in the  recalcuations as reported in the replication paper</t>
  </si>
  <si>
    <t>This row is chosen (could equally have been the row 02_c from coder 2) as it specifically looks at comparing the difference in correlations between the two studies (original versus replication)</t>
  </si>
  <si>
    <t>Schwarz, N., Strack, F., &amp; Mai, H. P. (1991). Assimilation and contrast effects in part-whole question sequences: A conversational logic analysis. Public Opinion Quarterly, 55, 3–23. doi:10.1086/269239 Study 1</t>
  </si>
  <si>
    <t>10.1086/269239</t>
  </si>
  <si>
    <t>Assimilation and Contrast</t>
  </si>
  <si>
    <t>assimilation effects, contrast effects, general question, specific question, judgement</t>
  </si>
  <si>
    <t>Assimilation and contrast effects in question sequences</t>
  </si>
  <si>
    <t>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</si>
  <si>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z = 2.32, N = 100</t>
  </si>
  <si>
    <t>p.  11</t>
  </si>
  <si>
    <t>p. 465</t>
  </si>
  <si>
    <t>This is not the main replication effect</t>
  </si>
  <si>
    <t>aggregate replication</t>
  </si>
  <si>
    <t>theoretical model</t>
  </si>
  <si>
    <t>Correlation between the responses to the two questions when the specific question is asked first</t>
  </si>
  <si>
    <t>"the correlation between both measures increased from r = .32, in the general-specific condition, to r = .67 "," when the specific question preceded the life-satisfaction question "," indicating that respondents used the previously activated specific information in answering the general question"</t>
  </si>
  <si>
    <t>Manylabs2_02_b</t>
  </si>
  <si>
    <t>Correlation between the responses to the two questions when the specific question is asked second</t>
  </si>
  <si>
    <t>"the correlation between both measures increased from r = .32, in the general-specific condition "," indicating that respondents used the previously activated specific information in answering the general question"</t>
  </si>
  <si>
    <t>Manylabs2_02_c</t>
  </si>
  <si>
    <t>This is the main replication effect (the difference in correlations) but the effect size is not extracted correctly - a test statistic instead of a q value is reported.</t>
  </si>
  <si>
    <t>The difference between the correlations</t>
  </si>
  <si>
    <t>"z = 2.32, p &lt; .01 for the difference in correlations, when the specific question preceded the life-satisfaction question "," indicating that respondents used the previously activated specific information in answering the general question"</t>
  </si>
  <si>
    <t>Manylabs2_03</t>
  </si>
  <si>
    <t>Manylabs2_03_1</t>
  </si>
  <si>
    <t>Contrasted US to WEIRD samples - all other comparisons are not general replications</t>
  </si>
  <si>
    <t>Miyamoto, Y., &amp; Kitayama, S. (2002). Cultural variation in correspondence bias: The critical role of attitude diagnosticity of socially constrained behavior. Journal of Personality and Social Psychology, 83, 1239–1248. doi:10.1037/0022-3514.83.5.1239 Study 1</t>
  </si>
  <si>
    <t>10.1037/0022-3514.83.5.1239</t>
  </si>
  <si>
    <t>Correspondence bias</t>
  </si>
  <si>
    <t>Many Labs 2</t>
  </si>
  <si>
    <t>Correspondence bias (WEIRD samples)</t>
  </si>
  <si>
    <t>[Replication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</si>
  <si>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p. 1242</t>
  </si>
  <si>
    <t>Table 1: =(10.82-3.3)/SQRT((3.47^2+2.62^2)/2)</t>
  </si>
  <si>
    <t>Manylabs2_03_1_b</t>
  </si>
  <si>
    <t>Contrasted Japan to non-weird samples</t>
  </si>
  <si>
    <t>Correspondence bias (less WEIRD samples)</t>
  </si>
  <si>
    <t>=(9.27-7.02)/SQRT((2.88^2+3.06^2)/2)</t>
  </si>
  <si>
    <t>There is a huge discrepancy between the results in the original paper and the replication study for study one and the claim texts are not clear</t>
  </si>
  <si>
    <t>attitude, behaviour, correspondence, bias</t>
  </si>
  <si>
    <t>perceived attitudes of the writer who wrote in favor of capital punishment</t>
  </si>
  <si>
    <t>There is a huge discrepancy between the results in the original paper and the replication study for study one, and the claim texts are not clear</t>
  </si>
  <si>
    <t>perceived attitudes of the writer who wrote against capital punishment</t>
  </si>
  <si>
    <t>Manylabs2_04</t>
  </si>
  <si>
    <t>Manylabs2_04_1</t>
  </si>
  <si>
    <t>Knobe, J. (2003). Intentional action and side effects in ordinary language. Analysis, 63(3), 190-194. Study 1</t>
  </si>
  <si>
    <t>Perceived intentionality for side effects</t>
  </si>
  <si>
    <t>intentional action, folk psychology, prediction, explanation, control, behaviour</t>
  </si>
  <si>
    <t>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</si>
  <si>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
  </si>
  <si>
    <t>p. 192</t>
  </si>
  <si>
    <t>p. 192: =(0.82/(1-0.82))/(0.23/(1-0.23))</t>
  </si>
  <si>
    <t>The paper existing in the replication is for Knobe (2003) which has no statistical values in Study 1 yet the paper for the row is published in 2006</t>
  </si>
  <si>
    <t>Knobe, J. (2006). The concept of intentional action: A case study in the uses of folk psychology. Philosophical Studies, 130, 203–231. doi:10.1007/s11098-004-4510-0 Study 1</t>
  </si>
  <si>
    <t>10.1007/s11098-004-4510-0</t>
  </si>
  <si>
    <t>Manylabs2_05</t>
  </si>
  <si>
    <t>Manylabs2_05_1</t>
  </si>
  <si>
    <t>Dilemma 1 taken to be the comparison between scenario 1 and 2 for the  principle of double effect</t>
  </si>
  <si>
    <t xml:space="preserve">- Replication effect size was reported both as OR (coder 2) and as cohen's d (coder 1) - both are accurate, however cohen's d was chosen as it aligns with Tables of the replication study and with the difference in effect size calculations in the replication project. 
- For study number - there are 2 scenarios under review (scenarios 1 and 2) that are being compared, the scenario numbers are taken as study numbers here. 
- p value was calculated using the spreadsheet formula function to report accurately. </t>
  </si>
  <si>
    <t>Hauser, M. D., Cushman, F. A., Young, L., Jin, R., &amp; Mikhail, J. M. (2007). A dissociation between moral judgments and justifications. Mind &amp; Language, 22, 1–21. doi:10.1111/ j.1468-0017.2006.00297.x Scenarios 1 and 2</t>
  </si>
  <si>
    <t>10.1111/ j.1468-0017.2006.00297.x</t>
  </si>
  <si>
    <t>Scenarios 1 &amp; 2</t>
  </si>
  <si>
    <t>Trolley Dilemma</t>
  </si>
  <si>
    <t>double effect, moral judgments, justifications, moral dilemma</t>
  </si>
  <si>
    <t>an act that harms other people is seen as more morally permissible if the act is a foreseen side effect rather than the means to the greater good</t>
  </si>
  <si>
    <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</si>
  <si>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p. 7, =(0.89/(1-0.89))/(0.11/(1-0.11))</t>
  </si>
  <si>
    <t>p. 459</t>
  </si>
  <si>
    <t>1 &amp; 2</t>
  </si>
  <si>
    <t>The difference in proportions of permeability judgements</t>
  </si>
  <si>
    <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 Such information might relate to the principle of the double effect, or might also include the fact that Frank makes physical contact with a person, whereas Denise does not, or that Frank introduces a new threat whereas Denise redirects an existing threat."</t>
  </si>
  <si>
    <t>Manylabs2_06</t>
  </si>
  <si>
    <t>Manylabs2_06_1</t>
  </si>
  <si>
    <t xml:space="preserve">The replication paper appears to have a type in the reported F value for the supermarket scenarios.
F = 17.7 in the replication paper is F = 17.27 in the original paper. </t>
  </si>
  <si>
    <t>Ross, L., Greene, D., &amp; House, P. (1977). The “false consensus effect”: An egocentric bias in social perception and attribution processes. Journal of Experimental Social Psychology, 13, 279–301. doi:10.1016/0022-1031(77)90049-X Study 1 - supermarket scenario</t>
  </si>
  <si>
    <t>10.1016/0022-1031(77)90049-X</t>
  </si>
  <si>
    <t>False consensus</t>
  </si>
  <si>
    <t>false consensus, egocentric bias, social perception, attribution processes, choices</t>
  </si>
  <si>
    <t>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</si>
  <si>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 </t>
  </si>
  <si>
    <t>F(1, 78) = 17.27</t>
  </si>
  <si>
    <t>p. 283</t>
  </si>
  <si>
    <t>p. 460</t>
  </si>
  <si>
    <t>Manylabs2_06_1_b</t>
  </si>
  <si>
    <t>Ross, L., Greene, D., &amp; House, P. (1977). The “false consensus effect”: An egocentric bias in social perception and attribution processes. Journal of Experimental Social Psychology, 13, 279–301. doi:10.1016/0022-1031(77)90049-X Study 1 - traffic tickets</t>
  </si>
  <si>
    <t>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</si>
  <si>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 </t>
  </si>
  <si>
    <t>F(1, 78) = 12.8</t>
  </si>
  <si>
    <t>Ross, L., Greene, D., &amp; House, P. (1977). The “false consensus effect”: An egocentric bias in social perception and attribution processes. Journal of Experimental Social Psychology, 13, 279–301. doi:10.1016/0022-1031(77)90049-X Study 1</t>
  </si>
  <si>
    <t>False consensus effect</t>
  </si>
  <si>
    <t>False consensus: supermarket scenario (Slate 1)</t>
  </si>
  <si>
    <t>"For two of the stories (Supermarket Story and Term Paper Story), the effect of Rater’s Own Choice upon the difference in ratings for the two behavioral alternatives was clearly significant, F(1,78) = 17.27, p &lt; .001  "," like perceptions of behavioral consensus, trait inferences are systematically influenced by the rater’s own behavioral choices, although the effect is less consistent for the latter measure than the former"</t>
  </si>
  <si>
    <t>F(1, 78) = 17.7</t>
  </si>
  <si>
    <t>False consensus: traffic-ticket scenario (Slate 2)</t>
  </si>
  <si>
    <t>"For one story (Traffic Ticket Story) the effect was marginally significant, F = 3.18, p &lt; .10, "," like perceptions of behavioral consensus, trait inferences are systematically influenced by the rater’s own behavioral choices, although the effect is less consistent for the latter measure than the former"</t>
  </si>
  <si>
    <t>Manylabs2_07</t>
  </si>
  <si>
    <t>Manylabs2_07_1</t>
  </si>
  <si>
    <t>This row was chosen over the other 07_1 row from coder 2 as it had a more accurate calculation of the p value represented for the replication effect</t>
  </si>
  <si>
    <t>Gray, K., &amp; Wegner, D. M. (2009). Moral typecasting: Divergent perceptions of moral agents and moral patients. Journal of Personality and Social Psychology, 96, 505–520. doi:10.1037/a0013748 Study 1a</t>
  </si>
  <si>
    <t>10.1037/a0013748</t>
  </si>
  <si>
    <t>Moral typecasting</t>
  </si>
  <si>
    <t>morality, perception, judgment, decision making, reasoning</t>
  </si>
  <si>
    <t>People rated the child as less responsible than the adult, t(68) = 3.32, p &lt; .01.</t>
  </si>
  <si>
    <t>p. 508</t>
  </si>
  <si>
    <t>t(68) =  3.32</t>
  </si>
  <si>
    <t>p. 464</t>
  </si>
  <si>
    <t>This is a main replication effect of interest</t>
  </si>
  <si>
    <t>Degree to which the person who committed the act is responsible</t>
  </si>
  <si>
    <t>"People rated the child as less responsible than the adult, t(68)  3.32, p  .01 "," age of harm-doer and age of victim have complementary effects on perceptions of moral agency and moral patiency the older victim is seen as more responsible, and the younger victim is seen as more harmed"</t>
  </si>
  <si>
    <t>t(68) = 3.32</t>
  </si>
  <si>
    <t>Manylabs2_07_1_b</t>
  </si>
  <si>
    <t>This is not the main replication result - should it be retained?</t>
  </si>
  <si>
    <t xml:space="preserve"> how intentional the act is</t>
  </si>
  <si>
    <t>"People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</si>
  <si>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t(68) = 2.20</t>
  </si>
  <si>
    <t>Manylabs2_07_1_c</t>
  </si>
  <si>
    <t xml:space="preserve"> how much pain is felt by the victim</t>
  </si>
  <si>
    <t>"Relative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</si>
  <si>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t(68)  = 3.49</t>
  </si>
  <si>
    <t>Manylabs2_10</t>
  </si>
  <si>
    <t>Manylabs2_10_1</t>
  </si>
  <si>
    <t>N = 180, total sample of both Hong Kong (N=100) and USA participants (N=80), combined samples</t>
  </si>
  <si>
    <t>Chosen for greater accuracy of reporting of pvalues, sample sizes, and test statistics - however, the values are hard to disentangle and could be worth examining in more detail.</t>
  </si>
  <si>
    <t>Huang, Y., Tse, C. S., &amp; Cho, K. W. (2014). Living in the north is not necessarily favorable: Different metaphoric associations between cardinal direction and valence in Hong Kong and in the United States. European Journal of Social Psychology, 44, 360–369. doi:10.1002/ejsp.2013 Study 1a</t>
  </si>
  <si>
    <t>10.1002/ejsp.2013</t>
  </si>
  <si>
    <t>cardinal direction, valence, preference, cultural differences, metaphoric associations</t>
  </si>
  <si>
    <t>Cardinal direction and socioeconomic status (all participants)</t>
  </si>
  <si>
    <t xml:space="preserve">For the south–north axis, the interaction between SES and population was significant, F(1, 176) = 20.39, MSE = 5.63, p &lt; .001, η2p = 0.10.
</t>
  </si>
  <si>
    <t>p. 44</t>
  </si>
  <si>
    <t>p. 454</t>
  </si>
  <si>
    <t>Manylabs2_10_1_b</t>
  </si>
  <si>
    <t>N = USA sample of 80</t>
  </si>
  <si>
    <t>Cardinal direction and socioeconomic status (western participants)</t>
  </si>
  <si>
    <t xml:space="preserve">US participants considered that high-SES andlow-SES individuals were more likely to live in the northern(+0.98, SD = 1.85), t(39) = 3.34, p &lt; .01, d = 0.53, and southernareas (_x0001_0.69, SD = 2.19), t(39) = 2.00, p = .05, d = 0.32, respectively. </t>
  </si>
  <si>
    <t>Manylabs2_10_1_c</t>
  </si>
  <si>
    <t>N = Hong Kong sample of 100</t>
  </si>
  <si>
    <t>Cardinal direction and socioeconomic status (non-western participants)</t>
  </si>
  <si>
    <t>HK participants considered that high-SESand low-SES individuals were more likely to live in the southern area (0.92, SD = 2.47), t(49) = 2.62, p = .01, d = 0.37, and descriptively but not signiﬁcantly in the northern area (+0.63,SD = 2.75), t(49) = 1.61, p = .11, d = 0.23, respectively.</t>
  </si>
  <si>
    <t>The reported test statistics in the original study are a bit confusing; therefore needs to be validated</t>
  </si>
  <si>
    <t>Interaction between SES (high vs. low) and population (United States vs. Hong Kong)</t>
  </si>
  <si>
    <t xml:space="preserve">"the interaction between SES and population was significant, F(1, 176) = 20.39, MSE = 5.63, p &lt; .001, η2p 1= 0.10 "," participants differing in demographic knowledge about the affluent population distribution have different cardinal direction–valence metaphoric associations" </t>
  </si>
  <si>
    <t>Likelihood of living preference for high-SES and low-SES individuals (US participants)</t>
  </si>
  <si>
    <t>"US participants considered that high-SES and low-SES individuals were more likely to live in the northern (+0.98, SD = 1.85), t(39) = 3.34, p &lt; .01, d = 0.53, and southern areas (0.69, SD = 2.19), t(39) = 2.00, p = .05, d = 0.32, respectively "," participants differing in demographic knowledge about the affluent population distribution have different cardinal direction–valence metaphoric associations"</t>
  </si>
  <si>
    <t>Likelihood of living preference for high-SES and low-SES individuals (Hong Kong participants)</t>
  </si>
  <si>
    <t>"HK participants considered that high-SES and low-SES individuals were more likely to live in the southern area (0.92, SD = 2.47), t(49) = 2.62, p = .01, d = 0.37, and descriptively but not significantly in the northern area (+0.63, SD = 2.75), t(49) = 1.61, p = .11, d = 0.23, respectively "," participants differing in demographic knowledge about the affluent population distribution have different cardinal direction–valence metaphoric associations"</t>
  </si>
  <si>
    <t>Manylabs2_11</t>
  </si>
  <si>
    <t>Manylabs2_11_1</t>
  </si>
  <si>
    <t>NB: The replication paper states teh OR should be OR = 4.96, however, based on the percent success in both frames we calculate at 5.203 (see repro value)</t>
  </si>
  <si>
    <t xml:space="preserve">PLEASE CHECK ME:
- Pvalue for replication calculated using spreadsheet formula function for accuracy. 
- Pvalue for original study was calculated in the replication only (not present in the original paper) - coder 2 chose to report this value, this has been discarded in validation. 
- Similarly - the replication paper states the OR should be OR = 4.96, however, based on the percent success in both frames we calculate at 5.203 (see repro value). the reproducible value is chosen here but the discrepancy is not understood. </t>
  </si>
  <si>
    <t>Tversky, A., &amp; Kahneman, D. (1981). The framing of decisions and the psychology of choice. Science, 211, 453–458. doi:10.1126/science.7455683 Study 10</t>
  </si>
  <si>
    <t>Framing</t>
  </si>
  <si>
    <t>decision problems, preference, perception, rational choice</t>
  </si>
  <si>
    <t>Effect of framing on decision making</t>
  </si>
  <si>
    <t>The response to the two versions of problem 10 were markedly different: 68 percent of the respondents were willing to make an extra trip to save $5 on a $15 calculator; only 29 percent were willing to exert the same effort when the price of the calculator was $125.</t>
  </si>
  <si>
    <t>=(0.68/(1-0.68))/(0.29/(1-0.29))</t>
  </si>
  <si>
    <t>There are no test statistics values apart from the percentages reported in the original study; hence, effect sizes calculated in the replication study have been noted</t>
  </si>
  <si>
    <t>"The response to the two versions of problem 10 were markedly different: 68 percent of the respondents were willing to make an extra trip to save $5 on a $15 calculator; only 29 percent were willing to exert the same effort when the price of the calculator was $125. Evidently the respondents do not frame problem 10 in the minimal account, which involves only a benefit of $5 and a cost of some inconvenience. Instead, they evaluate the potential saving in a more inclusive account, which includes the purchase of the calculator but not of the jacket. By the curvature of v, a discount of $5 has a greater impact when the price of the calculator is low than when it is high"</t>
  </si>
  <si>
    <t>Manylabs2_12</t>
  </si>
  <si>
    <t>Manylabs2_12_1</t>
  </si>
  <si>
    <t xml:space="preserve">This is the main replication effect of interest, however the statistics in teh original paper (including the sample size) are opaque at best. Help is needed to validate the number, particualrly as they differ from coder 2. </t>
  </si>
  <si>
    <t>Graham, J., Haidt, J., &amp; Nosek, B. A. (2009). Liberals and conservatives rely on different sets of moral foundations Journal of Personality and Social Psychology, 96, 1029– 1046. doi:10.1037/a0015141 Study 1</t>
  </si>
  <si>
    <t>10.1037/a0015141</t>
  </si>
  <si>
    <t>moral foundations theory</t>
  </si>
  <si>
    <t>morality, ideology, liberal, conservative</t>
  </si>
  <si>
    <t>Moral foundations of liberals versus conservatives (binding foundations)</t>
  </si>
  <si>
    <t>Including the covariates, political identity still predicted all five foundations in the predicted direction, all ps &lt; .001. Political identity was the key explanatory variable: It was the only consistent significant predictor (average beta =  .25; range .16 to .34) for all five foundations</t>
  </si>
  <si>
    <t>p. 1032</t>
  </si>
  <si>
    <t>p. 1032 + 1033</t>
  </si>
  <si>
    <t>p. 455</t>
  </si>
  <si>
    <t>The statistics reported in the original study are confusing compared to those reported in the replication study; therefore needs validation</t>
  </si>
  <si>
    <t>Secondary replication target - also needs validating on numbers because of the diffculty tracking from the original manuscript across to the replicaiton project. 
NB - it is very unclear why there is a different aggregate sample size for this replication effect than the one prior (an arbitrary N = 4 difference?)</t>
  </si>
  <si>
    <t>Graham, J., Haidt, J., &amp; Nosek, B. A. (2009). Liberals andconservatives rely on different sets of moral foundations Journal of Personality and Social Psychology, 96, 1029– 1046. doi:10.1037/a0015141 Study 1</t>
  </si>
  <si>
    <t>Moral foundations of liberals versus conservatives (individualizing foundations)</t>
  </si>
  <si>
    <t>"the aggregated moral relevance ratings for individualizing foundations were higher than the aggregated ratings for the binding foundations, F(1, 1207) = 1,895.09, p &lt; .001, n2p =   .61 "," The moral thinking of liberals and conservatives may not be a matter of more versus less but of different opinions about what considerations are relevant to moral judgment"</t>
  </si>
  <si>
    <t>P. 14</t>
  </si>
  <si>
    <t>Manylabs2_12_1_b</t>
  </si>
  <si>
    <t>N= 1207+2 = 1209</t>
  </si>
  <si>
    <t>Items that emphasized concerns for the in-group, authority, or purity (binding foundations)</t>
  </si>
  <si>
    <t>"this effect was moderated by politics, F(1, 1207) = 224.34, p &lt;  .001, n2p =  .16, such that the more liberal participants showed a greater difference between the individualizing and binding moral foundations. "," The moral thinking of liberals and conservatives may not be a matter of more versus less but of different opinions about what considerations are relevant to moral judgment"</t>
  </si>
  <si>
    <t>P. 13</t>
  </si>
  <si>
    <t>Manylabs2_13</t>
  </si>
  <si>
    <t>Manylabs2_13_1</t>
  </si>
  <si>
    <t>changed effect size to odds ratio so that it can be auto-converted</t>
  </si>
  <si>
    <t>Hauser, M. D., Cushman, F. A., Young, L., Jin, R., &amp; Mikhail, J. M. (2007). A dissociation between moral judgments and justifications. Mind &amp; Language, 22, 1–21. doi:10.1111/j.1468-0017.2006.00297.x Study 1, Scenarios 3 and 4</t>
  </si>
  <si>
    <t>3 &amp; 4</t>
  </si>
  <si>
    <t>Trolley Dilemma: principle of double effect</t>
  </si>
  <si>
    <t>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</si>
  <si>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p. 8, =(0.72/(1-0.72))/(0.56/(1-0.56))</t>
  </si>
  <si>
    <t>p. 461</t>
  </si>
  <si>
    <t>1 (3 &amp; 4)</t>
  </si>
  <si>
    <t>"In Scenario 3, the intended harm case, 56% of subjects judged the action permissible (p[.53 &lt; μ &lt; .59] = 0.05), whereas in scenario 4, the foreseen harm case, 72% of subjects judged the action permissible (p[.69 &lt; μ &lt; .74] = 0.05). These percentages differ signifi cantly (2 [1, N = 2612] = 72.35, p &lt; 0.001), with an effect size of w = 0.17. This result indicates that, as a group, subjects make use of the principle of the double effect."</t>
  </si>
  <si>
    <t>Manylabs2_14</t>
  </si>
  <si>
    <t>Manylabs2_14_1</t>
  </si>
  <si>
    <t>Risen, J. L., &amp; Gilovich, T. (2008). Why people are reluctant to  tempt fate. Journal of Personality and Social Psychology, 95, 293–307. doi:10.1037/0022-3514.95.2.293 Study 2</t>
  </si>
  <si>
    <t>tempt fate, magical thinking, accessibility, negativity</t>
  </si>
  <si>
    <t>Reluctance to tempt fate</t>
  </si>
  <si>
    <t>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</si>
  <si>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p. 295</t>
  </si>
  <si>
    <t>The p-value of the original study has been recorded incorrectly in the replication study. Therefore, the p-value of the original study has been recorded</t>
  </si>
  <si>
    <t>The likelihood that the protagonist (themselves or Jon) would be called on by the professor</t>
  </si>
  <si>
    <t>"students were more likely to be called on if they had not done the reading (M  3.43, SD  2.34) than if they had (M  2.53, SD 2.24), F(1, 116)  4.60, p &lt; .05, d = 0.39 "," people believe that negative outcomes are more likely following behaviors that tempt fate"</t>
  </si>
  <si>
    <t>Manylabs2_15</t>
  </si>
  <si>
    <t>Manylabs2_15_1</t>
  </si>
  <si>
    <t xml:space="preserve">Table 1 of the original study report d= 0.80, however the replication study reports d= 0.87 for the original study. Looking at the values in Table 1  of the original study our reproducible calculation gives a value of 0.87 which is therefore reported here. Assumed to be a rounding error in the oriignal manuscript. </t>
  </si>
  <si>
    <t>Bauer, M. A., Wilkie, J. E., Kim, J. K., &amp; Bodenhausen, G. V. (2012). Cuing consumerism: Situational materialism undermines personal and social well-being. Psychological Science, 23, 517–523. doi:10.1177/0956797611429579 Study 4</t>
  </si>
  <si>
    <t>10.1177/0956797611429579</t>
  </si>
  <si>
    <t>consumerism, materialism, situationism, social engagement, well-being, personal values</t>
  </si>
  <si>
    <t>Consumerism undermines trust</t>
  </si>
  <si>
    <t>The consumer framing resulted in lower feelings of personal responsibility for dealing with the resource dilemma, markedly lower trust in the other parties, and a significantly lower tendency to view the others as partners in facing the dilemma. t(76) = –3.86 p=.001 d =0.80</t>
  </si>
  <si>
    <t>p. 522 + p. 519 (Table 1)</t>
  </si>
  <si>
    <t>Table 1: =(4.08-5.33)/SQRT((1.56^2+1.3^2)/2)</t>
  </si>
  <si>
    <t>p. 456</t>
  </si>
  <si>
    <t>This is not the main replication effect and it seems that the reported original effect sizes etc are reported only in the replication project - needs double checking before inclusion. Should it be a row we keep?</t>
  </si>
  <si>
    <t>Effects of consumer cues on feelings of responsibility</t>
  </si>
  <si>
    <t>"the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</si>
  <si>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Manylabs2_15_1_b</t>
  </si>
  <si>
    <t>Effects of consumer cues on feelings of obligation</t>
  </si>
  <si>
    <t>"There were no significant effects on participants’ feelings of obligation "," in general, it is clear that the consumer identity did not unite—it divided. Thinking like a consumer again seemed to work against positive, cooperative engagement with other people"</t>
  </si>
  <si>
    <t>Manylabs2_15_1_c</t>
  </si>
  <si>
    <t>This does not accurately record the effect size of interest for the main replication effect</t>
  </si>
  <si>
    <t>Effects of consumer cues on trust in other people</t>
  </si>
  <si>
    <t>"markedly lower trust in the other parties "," in general, it is clear that the consumer identity did not unite—it divided. Thinking like a consumer again seemed to work against positive, cooperative engagement with other people"</t>
  </si>
  <si>
    <t>Manylabs2_15_1_d</t>
  </si>
  <si>
    <t>Effects of consumer cues on viewing other people as partners</t>
  </si>
  <si>
    <t>"a significantly lower tendency to view the others as partners in facing the dilemma "," in general, it is clear that the consumer identity did not unite—it divided. Thinking like a consumer again seemed to work against positive, cooperative engagement with other people"</t>
  </si>
  <si>
    <t>Manylabs2_15_1_e</t>
  </si>
  <si>
    <t>Effects of consumer cues on believing other people should use less water</t>
  </si>
  <si>
    <t>"There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</si>
  <si>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Manylabs2_16</t>
  </si>
  <si>
    <t>Manylabs2_16_1</t>
  </si>
  <si>
    <t>Critcher, C. R., &amp; Gilovich, T. (2008). Incidental environmental anchors. Journal of Behavioral Decision Making, 21, 241–251. doi:10.1002/bdm.586 Study 2</t>
  </si>
  <si>
    <t>10.1002/bdm.586</t>
  </si>
  <si>
    <t>basic anchoring, numeric priming, incidental anchoring, accessibility</t>
  </si>
  <si>
    <t>Influence of incidental anchors on judgment</t>
  </si>
  <si>
    <t>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</si>
  <si>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p. 246</t>
  </si>
  <si>
    <t>p. 458</t>
  </si>
  <si>
    <t>"participants making judgments about the P97 estimated that a higher percentage of smartphones (M = 58.1%, SD = 19.6%) would be sold in the United States than did those making estimates about the P17 (M 1= 51.9%, SD = 21.7%), t(197.5) = 2.12, p 1= .03, d = .30. Thus, as in Study 1, participants’ responses were influenced by numbers incidentally associated with the target numbers that should have no bearing on the value being estimated"</t>
  </si>
  <si>
    <t>Manylabs2_17</t>
  </si>
  <si>
    <t>Manylabs2_17_1</t>
  </si>
  <si>
    <t>Giessner, S. R., &amp; Schubert, T. W. (2007). High in the hierarchy: How vertical location and judgments of leaders’ power are interrelated. Organizational Behavior and Human Decision Processes, 104, 30–44. doi:10.1016/j .obhdp.2006.10.001 Study 1a</t>
  </si>
  <si>
    <t>10.1016/j .obhdp.2006.10.001</t>
  </si>
  <si>
    <t>Vertical position and power</t>
  </si>
  <si>
    <t>The averaged leader power score was submitted to an independent-samples t-test. The analysis yielded the expected significant effect of vertical difference, t(62) = 2.20, p = .03, etasq = .07. 
Participants in the large vertical difference condition perceived the leader as being more powerful (M = 5.01, SD=.60) than participants in the small vertical difference condition (M = 4.62, SD = .81).</t>
  </si>
  <si>
    <t>p.  460</t>
  </si>
  <si>
    <t>changed effect size to (calculated) d for auto-conversion</t>
  </si>
  <si>
    <t>1A</t>
  </si>
  <si>
    <t>leadership, power, person perception, embodiment, metaphor</t>
  </si>
  <si>
    <t>Relating vertical position with power</t>
  </si>
  <si>
    <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</si>
  <si>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p. 33: =(5.01-4.62)/SQRT(((200-1)*0.6^2+(200-1)*0.81^2)/(200+200-2)))</t>
  </si>
  <si>
    <t>Manylabs2_18</t>
  </si>
  <si>
    <t>Manylabs2_18_1</t>
  </si>
  <si>
    <t xml:space="preserve">NB: the replication manuscript suggests the the original n was 144, however, the original manuscript indicates that the n was made up of  two groups of 77 aka 154, (this is verified further by the df of the t-tests in both the original and replication manuscript being 153). </t>
  </si>
  <si>
    <t xml:space="preserve">Coder 2 could not access this paper, therefore it is not double coded. </t>
  </si>
  <si>
    <t>Tversky, A., &amp; Gati, I. (1978). Studies of similarity. Cognition and Categorization, 1, 79–98. Study 2</t>
  </si>
  <si>
    <t>Directionality and similarity</t>
  </si>
  <si>
    <t xml:space="preserve">The average s(q, p) was significantly higher than the average s(p, q) across all subjects and pairs: t = 2.92, df= 20, and p &lt; .01.
The average difference (in similarity rating) (.42) was significantly positive : t = 2 .99, df= 153, p &lt; .01 . </t>
  </si>
  <si>
    <t xml:space="preserve">t(153) = 2 .99, p &lt; .01 . </t>
  </si>
  <si>
    <t>p. 467</t>
  </si>
  <si>
    <t>Manylabs2_18_1_b</t>
  </si>
  <si>
    <t>The foregoing study was repeated with judgments of difference instead of judgments of similarity: t = 2 .72, df = 20, p &lt; .01
The average difference between d(p, q) and d(q, p), computed as previously for each subject (.63), was significantly positive : t = 2.24, df = 45, p &lt; .05</t>
  </si>
  <si>
    <t>t(45) = 2.24</t>
  </si>
  <si>
    <t>There is no PDF attached for this task, and the only search shows it is not freely accessible</t>
  </si>
  <si>
    <t>Manylabs2_19</t>
  </si>
  <si>
    <t>Manylabs2_19_1</t>
  </si>
  <si>
    <t>Zhong, C.-B., &amp; Liljenquist, K. (2006). Washing away your sins: Threatened morality and physical cleansing. Science, 313, 1451–1452. doi:10.1126/science.1130726 Study 2</t>
  </si>
  <si>
    <t>Moral violations and desire for cleansing</t>
  </si>
  <si>
    <t>Copying the unethical story increased the desirability of cleansing products as compared to copying the ethical story F(1,25) = 6.99, P = 0.01</t>
  </si>
  <si>
    <t>p.  1452</t>
  </si>
  <si>
    <t>p. 1452</t>
  </si>
  <si>
    <t>physical cleansing, effect, sins, physical purity, moral purity</t>
  </si>
  <si>
    <t>Moral violations create a desire for cleansing (and thus here a higher valuing of cleaning products)</t>
  </si>
  <si>
    <t>F(1, 25) = 6.99</t>
  </si>
  <si>
    <t>Manylabs2_20</t>
  </si>
  <si>
    <t>Manylabs2_20_1</t>
  </si>
  <si>
    <t>Kay, A. C., Laurin, K., Fitzsimons, G. M., &amp; Landau, M. J. (2014). A functional basis for structure-seeking: Exposure to structure promotes willingness to engage in motivated action. Journal of Experimental Psychology: General, 143, 486–491. doi:10.1037/a0034462 Study 2</t>
  </si>
  <si>
    <t>10.1037/a0034462</t>
  </si>
  <si>
    <t>Structure promotes goal pursuit</t>
  </si>
  <si>
    <t>Participants in the structure condition reported higher willingness to expend effort and make sacrifices to pursue their goal
compared to participants in the random condition, t(65) = 2.00, p = .05</t>
  </si>
  <si>
    <t>p. 487</t>
  </si>
  <si>
    <t>structure seeking, pattern perception, self-regulation, goal pursuit, compensatory control</t>
  </si>
  <si>
    <t>Participants in the structure condition reported higher willingness to expend effort and make sacrifices to pursue their goal compared to participants in the random condition (Mstructure =5.26, SDstructure = 0.88; Mrandom= 4.72, SDrandom= 1.32), t(65) = 2.00, p = .05, Cohen's d = 0.50)</t>
  </si>
  <si>
    <t>p. 486-487</t>
  </si>
  <si>
    <t>Manylabs2_21</t>
  </si>
  <si>
    <t>Manylabs2_21_1</t>
  </si>
  <si>
    <t xml:space="preserve">- Coder 1 recorded the relevant test statistic to be the interaction effect, coder 2 identified the main effect as the key test statistic for the replication. Neither is a direct one-to-one mapping with the replicaiton value (which is a correlation based on a new continuous IV measure), however the interaction effect pertains to the relationship of interest - sibling number and prosociality: "Planned comparisons of the number of siblings revealed a significant contrast between prosocial people, on the one hand,
and individualists and competitors, on the other, F(1, 535) = 9.14, p = .003". Therefore, this row was accepted and the other row rejected. 
- The closeness was recorded as internal as the lead author of the original paper is part of the authorship of the replication project. </t>
  </si>
  <si>
    <t>Van Lange, P. A. M., Otten, W., De Bruin, E. M. N., &amp; Joireman, J. A. (1997). Development of prosocial, individualistic, and competitive orientations: Theory and preliminary evidence. Journal of Personality and Social Psychology, 73, 733–746. doi:10.1037/0022-3514.73.4.733 Study 3</t>
  </si>
  <si>
    <t>10.1037/0022-3514.73.4.733</t>
  </si>
  <si>
    <t>prosocial, individualistic, competitive orientations, social interaction</t>
  </si>
  <si>
    <t>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</si>
  <si>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 </t>
  </si>
  <si>
    <t>p. 739</t>
  </si>
  <si>
    <t>F(1, 535) = 9.14</t>
  </si>
  <si>
    <t>p. 740</t>
  </si>
  <si>
    <t>Investigating the correlation between prosocial orientation and the number of siblings</t>
  </si>
  <si>
    <t>"analysis revealed a significant main effect for social value orientation, F(2, 535) = 4.82, p &lt; .01. Consistent with the sibling-prosocial hypothesis, Panel A "," reveals that the number of siblings is greater for prosocials (A/ = 2.03, SD = 1.56) than for individualists (M = 1.63, SD = 1.00) and competitors (M = 1.71, SD — 1.35)."</t>
  </si>
  <si>
    <t>F(2, 535) = 4.82</t>
  </si>
  <si>
    <t>Manylabs2_22</t>
  </si>
  <si>
    <t>Manylabs2_22_1</t>
  </si>
  <si>
    <t>Relevant original effect (pairwise comparison) not reported in original report - therefore, taken from replication</t>
  </si>
  <si>
    <t>Zaval, L., Keenan, E. A., Johnson, E. J., &amp; Weber, E. U. (2014). How warm days increase belief in global warming. Nature Climate Change, 4, 143–147. doi:10.1038/nclimate2093 Study 3a</t>
  </si>
  <si>
    <t>10.1038/nclimate2093</t>
  </si>
  <si>
    <t>Heat priming</t>
  </si>
  <si>
    <t>climate change, global warming, judgements, belief, temperature</t>
  </si>
  <si>
    <t>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</si>
  <si>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 </t>
  </si>
  <si>
    <t>p. 145</t>
  </si>
  <si>
    <t>replication report</t>
  </si>
  <si>
    <t>The number of participants for the effect of condition on belief in global warming and concern about it were different</t>
  </si>
  <si>
    <t>Effect of condition on concern about global warming</t>
  </si>
  <si>
    <t>"priming individuals with heat-related cognitions increases levels of belief and concern in global warming. The priming manipulation had a direct effect on average ratings of reported belief in and concern about global warming  "," There was a significant main effect of condition on global warming belief, F(2,288) = 3.88, p = 0.02 and concern, F(2,288) = 4.74, p = 0.01"</t>
  </si>
  <si>
    <t>F(2,288) = 4.74</t>
  </si>
  <si>
    <t>Manylabs2_22_1_b</t>
  </si>
  <si>
    <t>Secondary replication - strange difference in N for this group compared with primary group, unexplained n = 8 difference?)</t>
  </si>
  <si>
    <t>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</si>
  <si>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F(2,288) = 3.88</t>
  </si>
  <si>
    <t>Manylabs2_23</t>
  </si>
  <si>
    <t>Manylabs2_23_1</t>
  </si>
  <si>
    <t>Focal comparison with English subsamples.</t>
  </si>
  <si>
    <t>Alter, A. L., Oppenheimer, D. M., Epley, N., &amp; Eyre, R. N. (2007). Overcoming intuition: Metacognitive difficulty activates analytic reasoning. Journal of Experimental Psychology: General, 136, 569–576. doi:10.1037/0096- 3445.136.4.569 Study 4</t>
  </si>
  <si>
    <t>10.1037/0096- 3445.136.4.569</t>
  </si>
  <si>
    <t>Processing fluency depending on font</t>
  </si>
  <si>
    <t>fluency, disfluency, dual-system processing, reasoning, judgment</t>
  </si>
  <si>
    <t>Investigating whether a deliberate, analytic processing style can be activated by incidental disfluency cues that suggest task difficulty</t>
  </si>
  <si>
    <t>Participants in the disfluent condition answered a greater proportion of the questions correctly (M  = 64%) than did participants in the fluent condition (M = 43%), t(39) = 2.01, p  &lt; .05</t>
  </si>
  <si>
    <t>p. 574</t>
  </si>
  <si>
    <t>p. 574: =(2.45-1.9)/SQRT(((20-1)*0.64^2+(20-1)*0.89^2)/(20+20-2)))</t>
  </si>
  <si>
    <t>Where we can calculate d (or OR), let's do it - more useful than ES that are not convertible (omega, eta-sq)</t>
  </si>
  <si>
    <t xml:space="preserve">This row codes for a whole sample result which was only used as a "follow-up" anlysis because of worries about linguistic and font differences in difficulties across languages in the replication sample. </t>
  </si>
  <si>
    <t>"participants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</si>
  <si>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 t(39) = 2.01</t>
  </si>
  <si>
    <t>Manylabs2_24</t>
  </si>
  <si>
    <t>Manylabs2_24_1</t>
  </si>
  <si>
    <t>Anderson, C., Kraus, M. W., Galinsky, A. D., &amp; Keltner, D. (2012). The local-ladder effect: Social status and subjective well-being. Psychological Science, 23, 764–771. doi:10.1177/0956797611434537 Study 3</t>
  </si>
  <si>
    <t>10.1177/0956797611434537</t>
  </si>
  <si>
    <t>Sociometric status and well-being</t>
  </si>
  <si>
    <t xml:space="preserve">Inserting SWB scores to a 2 (level: high, low) × 2 (type of status: sociometric, socioeconomic) between participants ANOVA. There was a main effect of level, F(1, 224) = 5.06, p = .03, but more important, there was also a significant interaction between level and type of status, F(1, 224) = 4.73, p = .03. Individuals in the high-sociometricstatus condition had higher SWB than those in the lowsociometric-status condition, t(115) = 3.05, p = .003.  In contrast, individuals in the high-SES condition did not have higher SWB than those in the low-SES condition, t(109) = 0.06, p = .96. </t>
  </si>
  <si>
    <t>p. 768</t>
  </si>
  <si>
    <t>F(1, 224) = 4.73</t>
  </si>
  <si>
    <t>local-ladder effect</t>
  </si>
  <si>
    <t>social structure, socioeconomic status, well-being</t>
  </si>
  <si>
    <r>
      <rPr>
        <rFont val="Calibri"/>
        <color theme="1"/>
        <sz val="11.0"/>
      </rPr>
      <t xml:space="preserve">The relationships among the high- and low- sociometric status (SMS) conditions </t>
    </r>
    <r>
      <rPr>
        <rFont val="Calibri"/>
        <color rgb="FF00FF00"/>
        <sz val="11.0"/>
      </rPr>
      <t xml:space="preserve">and well-being </t>
    </r>
  </si>
  <si>
    <t>Individuals in the high-sociometric-status condition had higher SWB than those in the low-sociometric-status condition, t(115) = 3.05, p = .003, these findings provide evidence for a causal effect of sociometric status on SWB that is stronger than the effect of SES on SWB.</t>
  </si>
  <si>
    <t>t(115) = 3.05</t>
  </si>
  <si>
    <t>Manylabs2_25</t>
  </si>
  <si>
    <t>Manylabs2_25_1</t>
  </si>
  <si>
    <t>replication effect is in opposite direction</t>
  </si>
  <si>
    <t xml:space="preserve">On review: the calculated OR is not valid in this row, the percentages are not comparable in this way, the test statistic from the other coder is accepted instead. </t>
  </si>
  <si>
    <t>Rottenstreich, Y., &amp; Hsee, C. K. (2001). Money, kisses, and electric shocks: On the affective psychology of risk. Psychological Science, 12, 185–190. doi:10.1111/1467- 9280.00334 Study 1</t>
  </si>
  <si>
    <t>10.1111/1467- 9280.00334</t>
  </si>
  <si>
    <t>Affect and risk</t>
  </si>
  <si>
    <t>In the certainty condition, 70% of participants preferred the cash over the kiss, but in the low-probability condition, 65% of participants preferred the kiss lottery over the cash lottery, x2 (1, N = 40) =4.91, p &lt;.05.</t>
  </si>
  <si>
    <t>p. 187</t>
  </si>
  <si>
    <t>=(0.7/(1-0.7))/(0.65/(1-0.65))</t>
  </si>
  <si>
    <t>calculated OR leads original effect size slightly different from ML - likely due to rounding</t>
  </si>
  <si>
    <t>prospect theory, affective, s-shaped, affect-rich, affect-poor, outcome</t>
  </si>
  <si>
    <t xml:space="preserve"> Whether to prefer an affectively attractive option (a kiss from a favorite movie star) or a financially attractive option ($50) depends on certainty</t>
  </si>
  <si>
    <t>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</si>
  <si>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p. 187: =(0.7/(1-0.7))/(0.35/(1-0.35))</t>
  </si>
  <si>
    <t>Manylabs2_26</t>
  </si>
  <si>
    <t>Manylabs2_26_1</t>
  </si>
  <si>
    <t xml:space="preserve">The two rows are practically identical - however this row has a more accurate record of the replication p value due to it's use of the spreadsheet formula function. </t>
  </si>
  <si>
    <t>Shafir, E. (1993). Choosing versus rejecting: Why some options are both better and worse than others. Memory &amp; Cognition, 21, 546–556. doi:10.3758/BF03197186 Study 1</t>
  </si>
  <si>
    <t>10.3758/BF03197186</t>
  </si>
  <si>
    <t>compatibility, choosing, rejecting, enriched option, impoverished option, preference</t>
  </si>
  <si>
    <t>Effect of choosing versus rejecting on relative desirability</t>
  </si>
  <si>
    <t>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</si>
  <si>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p. 549</t>
  </si>
  <si>
    <t>z = 2.48, N = 170</t>
  </si>
  <si>
    <t>Make sure special characters are corrected after copy-pasting from old papers - here Π</t>
  </si>
  <si>
    <t xml:space="preserve"> Effect of choosing versus rejecting on relative desirability</t>
  </si>
  <si>
    <t>"the value of Il, + II, for Parent B (64+55 = 119) is significantly greater than the 100 that we would expect if choosing and rejecting were complementary (z = 2.48, p &lt; .02)"</t>
  </si>
  <si>
    <t>z = 2.48</t>
  </si>
  <si>
    <t>Manylabs2_27</t>
  </si>
  <si>
    <t>Manylabs2_27_1</t>
  </si>
  <si>
    <t>This is the best approximation of the US sample - I think</t>
  </si>
  <si>
    <t>Savani, K., Markus, H. R., Naidu, N. V. R., Kumar, S., &amp; Berlia, N. (2010). What counts as a choice? U.S. Americans are more likely than Indians to construe actions as choices. Psychological Science, 21, 391–398. doi:10 .1177/0956797609359908 Study 5</t>
  </si>
  <si>
    <t>choice, construal, action identification, culture, India</t>
  </si>
  <si>
    <t>Construing actions as choices (Americans)</t>
  </si>
  <si>
    <t>Among Americans, there was no difference between the proportion of personal actions construed as choices (M = .83, SD = .15) and the proportion of interpersonal actions construed as choices (M = .82, SD = .14), t(88) = 0.39, p = .65, d = 0.04</t>
  </si>
  <si>
    <t>p. 396</t>
  </si>
  <si>
    <t>p. 462</t>
  </si>
  <si>
    <t>No p-value reported on construe of choices in the replicated study</t>
  </si>
  <si>
    <t>logistic HLM model with construal of choice as the dependent measure</t>
  </si>
  <si>
    <t>"Indians were less likely than Americans to construe actions as choices, β = –1.07, OR = 0.34, t(101) = 5.70, prep = .99, p &lt; .001 "," Americans were more likely than Indians to construe all actions as choices, and were equally likely to construe personal and interpersonal actions as choices"</t>
  </si>
  <si>
    <t>t(101) = 5.70</t>
  </si>
  <si>
    <t>Manylabs2_27_1_b</t>
  </si>
  <si>
    <t>Both original and replicated studies are indicated as nested</t>
  </si>
  <si>
    <t>It is unclear what this row is addressing and whether it should be kept</t>
  </si>
  <si>
    <t>logistic HLM model with culture and condition as participant-level predictors</t>
  </si>
  <si>
    <t>"We did not find a main effect of condition, β = –0.13, OR = 0.88, t(101) = 0.71, prep = .69, p = .48, "," Americans were more likely than Indians to construe all actions as choices, and were equally likely to construe personal and interpersonal actions as choices"</t>
  </si>
  <si>
    <t>t(101) = 0.71</t>
  </si>
  <si>
    <t>Manylabs2_27_1_c</t>
  </si>
  <si>
    <t>logistic HLM model with importance of decision as a trial-level covariate</t>
  </si>
  <si>
    <t>"but we found a significant Culture × Condition interaction, β = 0.53, OR = 1.70, t(101) = 1.98, prep = .92, p &lt; .05. "," Americans were more likely than Indians to construe all actions as choices, and were equally likely to construe personal and interpersonal actions as choices"</t>
  </si>
  <si>
    <t>t(101) = 1.98</t>
  </si>
  <si>
    <t>Manylabs2_28</t>
  </si>
  <si>
    <t>Manylabs2_28_1</t>
  </si>
  <si>
    <t>This is the only approximation of the US sample but was not double coded by coder 2 - need reviews</t>
  </si>
  <si>
    <t>Construing actions as choices (indians)</t>
  </si>
  <si>
    <t>Indians were less likely than Americans to construe actions as choices, β = –1.07, OR = 0.34, t(101) = 5.70, prep = .99, p &lt; .001. We did not find a main effect of condition, β = –0.13, OR = 0.88, t(101) = 0.71, prep = .69, p = .48, but we found a significant Culture × Condition interaction, β = 0.53, OR = 1.70, t(101) = 1.98, prep = .92, p &lt; .05.</t>
  </si>
  <si>
    <t>This task is similar to the above task</t>
  </si>
  <si>
    <t>No values coded for Indian sample by coder 2</t>
  </si>
  <si>
    <t>Manylabs2_8</t>
  </si>
  <si>
    <t>Manylabs2_8_1</t>
  </si>
  <si>
    <t xml:space="preserve">The original study reports results for different cultural groups separately to compare them against each other. The replication compared a general sample only - here two of the three subsamples from the original study are compared to the replication sample - it is unclear if this is the right thing to do here. </t>
  </si>
  <si>
    <t>Norenzayan, A., Smith, E. E., Kim, B. J., &amp; Nisbett, R. E. (2002). Cultural preferences for formal versus intuitive reasoning. Cognitive Science, 26, 653–684. doi:10.1207/ s15516709cog2605_4 Study 2</t>
  </si>
  <si>
    <t>10.1207/ s15516709cog2605_4</t>
  </si>
  <si>
    <t>cross-cultural analysis, epistemology, reasoning, concepts</t>
  </si>
  <si>
    <t>Preferences for formal versus intuitive Reasoning (european americans)</t>
  </si>
  <si>
    <t>When participants were asked to judge the similarity of the target object to the categories: European Americans gave many more responses based on the unidimensional rule than on family resemblance (M = 69% vs. M = 31%), t(17) = 3.68, p&lt;.005.</t>
  </si>
  <si>
    <t>p. 666</t>
  </si>
  <si>
    <t>t(17) = 3.68</t>
  </si>
  <si>
    <t>p. 463</t>
  </si>
  <si>
    <t>Manylabs2_8_1_b</t>
  </si>
  <si>
    <t xml:space="preserve">Coder 2 did not report any values for this "study" - therefore it has not been double coded </t>
  </si>
  <si>
    <t>Norenzayan, A., Smith, E. E., Kim, B. J., &amp; Nisbett, R. E. (2002). Cultural preferences for formal versus intuitive reasoning. Cognitive Science, 26, 653–684. doi:10.1207/ s15516709cog2605_4 Study 3</t>
  </si>
  <si>
    <t>Preferences for formal versus intuitive Reasoning (east asians)</t>
  </si>
  <si>
    <t>When participants were asked to judge the similarity of the target object to the categories: East Asians gave fewer rule-based responses than family resemblance responses (M =41%vs.M =59%), t(17) = 2.09,p = .05</t>
  </si>
  <si>
    <t>p. 667</t>
  </si>
  <si>
    <t>t(17) = 2.09</t>
  </si>
  <si>
    <t>This task requires validation because of the confusing statistics reported in the original study</t>
  </si>
  <si>
    <t xml:space="preserve">classification whether the mean percentages for the two experimental (judgment condition (decide “which group the target object belongs to”) or “which group the target object is more similar to)”                                                                                                                                                                                                                                                                                                                                                                                                                      </t>
  </si>
  <si>
    <t>"only a main effect of judgment condition emerged, indicating that participants overall were slower when classifying than when judging similarity (in ms: M = 7,516 and SD = 3,160 vs. M = 6,260 and SD = 4,379), F (1, 151) = 4.25, p&lt;.05. There were no main effects of culture, F &lt; 1, or culture by judgment condition interaction, F &lt; 1"</t>
  </si>
  <si>
    <t>F (1, 151) = 4.25</t>
  </si>
  <si>
    <t xml:space="preserve"> There is no information on the "Preferences for formal versus intuitive reasoning: Norenzayan, Smith, Kim, and Nisbett (2002, Study 3) to compare with the original study</t>
  </si>
  <si>
    <t>Manylabs2_9</t>
  </si>
  <si>
    <t>Manylabs2_9_1</t>
  </si>
  <si>
    <t xml:space="preserve">P value reported using spreadsheet formula function for accuracy. </t>
  </si>
  <si>
    <t>Hsee, C. K. (1998). Less is better: When low-value options are valued more highly than high-value options. Journal of Behavioral Decision Making, 11, 107–121. doi:10.1002/(SICI)1099-0771(199806)11:2&lt;107::AIDBDM292&gt;3.0.CO;2-Y Study 1</t>
  </si>
  <si>
    <t>10.1002/(SICI)1099-0771(199806)11:2%3C107::AID-BDM292%3E3.0.CO;2-Y</t>
  </si>
  <si>
    <t>Less-is-better effect</t>
  </si>
  <si>
    <t>preference reversal, evaluability, dominance violation, joint and separate evaluation, willingness to pay</t>
  </si>
  <si>
    <t>A less expensive gift can be perceived as more generous than a more expensive gift when the less expensive gift is a high-priced item compared with other items in its category, and the more expensive item is a low-priced item compared with other items in its category</t>
  </si>
  <si>
    <t>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</si>
  <si>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p. 109</t>
  </si>
  <si>
    <t>t(82) = 3.13</t>
  </si>
  <si>
    <t>The less-is-better effect, wherein a less expensive gift can be perceived as more generous than a more expensive gift when the less expensive gift is a high-priced item compared with other items in its category, and the more expensive item is a low-priced item compared with other items in its category</t>
  </si>
  <si>
    <t>"Although the $55 coat is certainly more expensive than the $45 scarf, those receiving the scarf considered their gift giver to be significantly more generous than those receiving the coat (M = 5.63 and 5.00, respectively, t = 3:13; p &lt; 0:01) "," If gift givers want their gift recipients to perceive them as generous, it is better for them to give a high-value item from a low-value product category (e.g. a $45 scarf) rather than a low-value item from a high-value product category (e.g. a $55 coat)"</t>
  </si>
  <si>
    <t>t = 3.13</t>
  </si>
  <si>
    <t>OpenMKT1_1</t>
  </si>
  <si>
    <t>OpenMKT1</t>
  </si>
  <si>
    <t>Link O leads to a wrong paper - "Creating Global Brand Names: The Use of Sound Symbolism, 2013, Gerard A. Athaide a &amp; Richard R. Klink" instead of "Klink, R. R. (2000). Creating brand names with meaning: the use of sound symbolism." Original study doesn’t report ES, while R states r=0.623</t>
  </si>
  <si>
    <t>- changed the link to the pre-registration of the replication study, since the link let to the OSF project. However, the study was preregisted at AsPredicted 
- I added the effect
- I changed the claim to highlight which effect belongs to which 
- I changed the page number of the claim
- I changed the number of participants of the original study 
- I changed es_repr_o since there was an additional calculation, but with the wrong number of participants</t>
  </si>
  <si>
    <t>Klink, R. R. (2000). Creating brand names with meaning: the use of sound symbolism. Market. Lett. 11, 5–20. doi: 10.1023/A:1008184423824 Study 1</t>
  </si>
  <si>
    <t>10.1080/08911762.2012.744123</t>
  </si>
  <si>
    <t>10.1080--08911762.2012.744123.pdf</t>
  </si>
  <si>
    <t>Motoki, K., &amp; Iseki, S. (2022). Evaluating replicability of ten influential research on sensory marketing. Frontiers in Communication, 7, 1048896.</t>
  </si>
  <si>
    <t>10.3389/fcomm.2022.1048896</t>
  </si>
  <si>
    <t>10.3389--fcomm.2022.1048896.pdf</t>
  </si>
  <si>
    <t>sensory marketing</t>
  </si>
  <si>
    <t>Brand names, linguistics, sound symbolism</t>
  </si>
  <si>
    <t>Products with brand names containing front vowel sounds, as opposed to back vowel sounds, are perceived as: (a) smaller</t>
  </si>
  <si>
    <t>No significant differences were found between front versus back vowels in brand names for conveying size, ," illustrates how sound symbolism can help create global brand names that convey consistent meaning across languages."</t>
  </si>
  <si>
    <t>p. 5,8</t>
  </si>
  <si>
    <t>p. 9, Table 2</t>
  </si>
  <si>
    <t>p.6, Table 2: Front vowels chosen = 512, Back vowels chosen = 311 χ² = 49.09, p &lt; 0.001</t>
  </si>
  <si>
    <t>https://aspredicted.org/ZW2_C76</t>
  </si>
  <si>
    <t>OpenMKT1_b</t>
  </si>
  <si>
    <t>Link O leads to a wrong paper - "Creating Global Brand Names: The Use of Sound Symbolism, 2013, Gerard A. Athaide a &amp; Richard R. Klink" instead of "Klink, R. R. (2000). Creating brand names with meaning: the use of sound symbolism."Original study doesn’t report ES, while R states r= 0.639</t>
  </si>
  <si>
    <t>Products with brand names containing back vowel sounds, as opposed to front vowel sounds, are perceived as: (b) darker (relative to lighter)</t>
  </si>
  <si>
    <t>products with brand names containing front vowels, as opposed to back vowels, are perceived as lighter (relative to darker)," illustrates how sound symbolism can help create global brand names that convey consistent meaning across languages."</t>
  </si>
  <si>
    <t>p.6, Table 2: Front vowels chosen = 289, Back vowels chosen = 534 χ² = 72.934, p &lt; 0.001</t>
  </si>
  <si>
    <t>OpenMKT1_c</t>
  </si>
  <si>
    <t>Link O leads to a wrong paper - "Creating Global Brand Names: The Use of Sound Symbolism, 2013, Gerard A. Athaide a &amp; Richard R. Klink" instead of "Klink, R. R. (2000). Creating brand names with meaning: the use of sound symbolism."Original study doesn’t report ES, while R states r=0.283</t>
  </si>
  <si>
    <t>Products with brand names containing front vowel sounds, as opposed to back vowel sounds, are perceived as: (c) milder</t>
  </si>
  <si>
    <t>No significant differences were found between front versus back vowels in brand names for [...], mildness,," illustrates how sound symbolism can help create global brand names that convey consistent meaning across languages."</t>
  </si>
  <si>
    <t>p.6, Table 2: Front vowels chosen = 331, Back vowels chosen = 492 χ² = 31.496, p &lt; 0.001</t>
  </si>
  <si>
    <t>OpenMKT1_d</t>
  </si>
  <si>
    <t>For some reason when present O results, R operates with word "rich" instead of "thick" used in O. After that R also uses "thick", so it's probably just a mistake. No matter the fact, it didn't affect data extraction. Link O leads to a wrong paper - "Creating Global Brand Names: The Use of Sound Symbolism, 2013, Gerard A. Athaide a &amp; Richard R. Klink" instead of "Klink, R. R. (2000). Creating brand names with meaning: the use of sound symbolism." Original study doesn’t report ES, while R states r=0.819.</t>
  </si>
  <si>
    <t>Products with brand names containing back vowel sounds, as opposed to front vowel sounds, are perceived as: (d) thicker</t>
  </si>
  <si>
    <t>products with brand names containing front vowels, as opposed to back vowels, are perceived as  [...] thinner ," illustrates how sound symbolism can help create global brand names that convey consistent meaning across languages."</t>
  </si>
  <si>
    <t>p.6, Table 2: Front vowels chosen = 320, Back vowels chosen = 503 χ² = 40.691, p &lt; 0.001</t>
  </si>
  <si>
    <t>OpenMKT1_e</t>
  </si>
  <si>
    <t>Link O leads to a wrong paper - "Creating Global Brand Names: The Use of Sound Symbolism, 2013, Gerard A. Athaide a &amp; Richard R. Klink" instead of "Klink, R. R. (2000). Creating brand names with meaning: the use of sound symbolism." Original study doesn’t report ES, while R states r= 0.215</t>
  </si>
  <si>
    <t>Products with brand names containing front vowel sounds, as opposed to back vowel sounds, are perceived as:  (e) softer</t>
  </si>
  <si>
    <t>products with brand names containing front vowels, as opposed to back vowels, are perceived as lighter [...] softer ," illustrates how sound symbolism can help create global brand names that convey consistent meaning across languages."</t>
  </si>
  <si>
    <t>p.6, Table 2: Front vowels chosen = 536, Back vowels chosen = 287 χ² = 75.335, p &lt; 0.001</t>
  </si>
  <si>
    <t>OpenMKT1_f</t>
  </si>
  <si>
    <t>Link O leads to a wrong paper - "Creating Global Brand Names: The Use of Sound Symbolism, 2013, Gerard A. Athaide a &amp; Richard R. Klink" instead of "Klink, R. R. (2000). Creating brand names with meaning: the use of sound symbolism." Original study doesn’t report ES, while R states r=0.411</t>
  </si>
  <si>
    <t>Products with brand names containing front vowel sounds, as opposed to back vowel sounds, are perceived as: (f) faster</t>
  </si>
  <si>
    <t>products with brand names containing front vowels, as opposed to back vowels, are perceived as [...] faster, ," illustrates how sound symbolism can help create global brand names that convey consistent meaning across languages."</t>
  </si>
  <si>
    <t>p.6, Table 2: Front vowels chosen = 539, Back vowels chosen = 284 χ² = 79.01, p &lt; 0.001</t>
  </si>
  <si>
    <t>OpenMKT1_g</t>
  </si>
  <si>
    <t>Link O leads to a wrong paper - "Creating Global Brand Names: The Use of Sound Symbolism, 2013, Gerard A. Athaide a &amp; Richard R. Klink" instead of "Klink, R. R. (2000). Creating brand names with meaning: the use of sound symbolism." Original study doesn’t report ES, while R states r=0.615</t>
  </si>
  <si>
    <t>Products with brand names containing back vowel sounds, as opposed to front vowel sounds, are perceived as: (g) warmer</t>
  </si>
  <si>
    <t>products with brand names containing front vowels, as opposed to back vowels, are perceived as l[...] colder,  ," illustrates how sound symbolism can help create global brand names that convey consistent meaning across languages."</t>
  </si>
  <si>
    <t>p.6, Table 2: Front vowels chosen = 343, Back vowels chosen = 480 χ² = 22.806, p &lt; 0.001</t>
  </si>
  <si>
    <t>OpenMKT1_h</t>
  </si>
  <si>
    <t>Link O leads to a wrong paper - "Creating Global Brand Names: The Use of Sound Symbolism, 2013, Gerard A. Athaide a &amp; Richard R. Klink" instead of "Klink, R. R. (2000). Creating brand names with meaning: the use of sound symbolism." Original study doesn’t report ES, while R states r=0.230</t>
  </si>
  <si>
    <t>Products with brand names containing front vowel sounds, as opposed to back vowel sounds, are perceived as: (h) more bitter</t>
  </si>
  <si>
    <t>products with brand names containing front vowels, as opposed to back vowels, are perceived as [...] more bitter ," illustrates how sound symbolism can help create global brand names that convey consistent meaning across languages."</t>
  </si>
  <si>
    <t>p.6, Table 2: Front vowels chosen = 456, Back vowels chosen = 367 χ² = 9.6245, p = 0.002</t>
  </si>
  <si>
    <t>OpenMKT1_i</t>
  </si>
  <si>
    <t>Link O leads to a wrong paper - "Creating Global Brand Names: The Use of Sound Symbolism, 2013, Gerard A. Athaide a &amp; Richard R. Klink" instead of "Klink, R. R. (2000). Creating brand names with meaning: the use of sound symbolism." Original study doesn’t report ES, while R states r=0.570</t>
  </si>
  <si>
    <t>Products with brand names containing back vowel sounds, as opposed to front vowel sounds, are perceived as: (i) more masculine</t>
  </si>
  <si>
    <t>No significant differences were found between front versus back vowels in brand names for [...]masculinity ," illustrates how sound symbolism can help create global brand names that convey consistent meaning across languages."</t>
  </si>
  <si>
    <t>p.6, Table 2: Front vowels chosen = 452, Back vowels chosen = 371 χ² = 7.9721, p = 0.005</t>
  </si>
  <si>
    <t>OpenMKT1_j</t>
  </si>
  <si>
    <t>Link O leads to a wrong paper - "Creating Global Brand Names: The Use of Sound Symbolism, 2013, Gerard A. Athaide a &amp; Richard R. Klink" instead of "Klink, R. R. (2000). Creating brand names with meaning: the use of sound symbolism." Original study doesn’t report ES, while R states r=0.245</t>
  </si>
  <si>
    <t>Products with brand names containing front vowel sounds, as opposed to back vowel sounds, are perceived as: (j) friendlier</t>
  </si>
  <si>
    <t>No significant differences were found between front versus back vowels in brand names for [...] friendliness, " illustrates how sound symbolism can help create global brand names that convey consistent meaning across languages."</t>
  </si>
  <si>
    <t>p.6, Table 2: Front vowels chosen = 515, Back vowels chosen = 308 χ² = 52.064, p &lt; 0.001</t>
  </si>
  <si>
    <t>OpenMKT1_k</t>
  </si>
  <si>
    <t>Link O leads to a wrong paper - "Creating Global Brand Names: The Use of Sound Symbolism, 2013, Gerard A. Athaide a &amp; Richard R. Klink" instead of "Klink, R. R. (2000). Creating brand names with meaning: the use of sound symbolism." Original study doesn’t report ES, while R states r= 0.230</t>
  </si>
  <si>
    <t>Products with brand names containing back vowel sounds, as opposed to front vowel sounds, are perceived as: (k) stronger</t>
  </si>
  <si>
    <t>No significant differences were found between front versus back vowels in brand names for [...] strength ," illustrates how sound symbolism can help create global brand names that convey consistent meaning across languages."</t>
  </si>
  <si>
    <t>p.6, Table 2: Front vowels chosen = 546, Back vowels chosen = 277 χ² = 87.923, p &lt; 0.001</t>
  </si>
  <si>
    <t>OpenMKT1_l</t>
  </si>
  <si>
    <t>Link O leads to a wrong paper - "Creating Global Brand Names: The Use of Sound Symbolism, 2013, Gerard A. Athaide a &amp; Richard R. Klink" instead of "Klink, R. R. (2000). Creating brand names with meaning: the use of sound symbolism." Original study doesn’t report ES, while R states r=0.796</t>
  </si>
  <si>
    <t>Products with brand names containing back vowel sounds, as opposed to front vowel sounds, are perceived as: (l) heavier</t>
  </si>
  <si>
    <t>products with brand names containing front vowels, as opposed to back vowels, are perceived as [...] lighter (relative to heavier)" illustrates how sound symbolism can help create global brand names that convey consistent meaning across languages."</t>
  </si>
  <si>
    <t>p.6, Table 2: Front vowels chosen = 233, Back vowels chosen = 590 χ² = 154.86, p &lt; 0.001</t>
  </si>
  <si>
    <t>OpenMKT1_m</t>
  </si>
  <si>
    <t>Link O leads to a wrong paper - "Creating Global Brand Names: The Use of Sound Symbolism, 2013, Gerard A. Athaide a &amp; Richard R. Klink" instead of "Klink, R. R. (2000). Creating brand names with meaning: the use of sound symbolism." Original study doesn’t report ES, while R states r=0.336</t>
  </si>
  <si>
    <t>Products with brand names containing front vowel sounds, as opposed to back vowel sounds, are perceived as: (m) prettier</t>
  </si>
  <si>
    <t>products with brand names containing front vowels, as opposed to back vowels, are [...] prettier ," illustrates how sound symbolism can help create global brand names that convey consistent meaning across languages."</t>
  </si>
  <si>
    <t>p.6, Table 2: Front vowels chosen = 461, Back vowels chosen = 362 χ² = 11.909, p &lt; 0.001</t>
  </si>
  <si>
    <t>Kaiser, Leonard; Osano, Maureen</t>
  </si>
  <si>
    <t>1) The effect sizes (r) for the original study coded for this row and the subsequent 12 rows are the calculated effect sizes of the original study as reported in the replication study. Table 2 on Page 9 of the original study reports results as percentages for choosing higher-frequency words that are challenging to code. 2) The original study indicates 171 students, while the replication study indicates that the number of participants for the original study was 265. I found 265 as the pre-coded value for the n_original variable for all the first 13 rows. I have not changed this value, but it requires validation.</t>
  </si>
  <si>
    <t>- I changed the es_repr_r since originally the table which includes the effect size was coded. However, to reproduce the effect, one needs the test statistics. 
- As Leonard already mentioned, the original paper states that 171 participants took part in the experiment (original) 
- I changed the claim to highlight which effect belongs to which 
- I added the effect</t>
  </si>
  <si>
    <t>brand name, sound symbolism, international marketing</t>
  </si>
  <si>
    <t>5,8</t>
  </si>
  <si>
    <t>p. 9/ t. 2</t>
  </si>
  <si>
    <t>p.6, Table 2</t>
  </si>
  <si>
    <t>OpenMKT1_10</t>
  </si>
  <si>
    <t>OpenMKT1_11</t>
  </si>
  <si>
    <t>OpenMKT1_12</t>
  </si>
  <si>
    <t>OpenMKT1_13</t>
  </si>
  <si>
    <t>OpenMKT1_2</t>
  </si>
  <si>
    <t>OpenMKT1_3</t>
  </si>
  <si>
    <t>Products with brand names containing back vowel sounds, as opposed to front vowel sounds, are perceived as: (c) milder</t>
  </si>
  <si>
    <t>OpenMKT1_4</t>
  </si>
  <si>
    <t>OpenMKT1_5</t>
  </si>
  <si>
    <t>OpenMKT1_6</t>
  </si>
  <si>
    <t>OpenMKT1_7</t>
  </si>
  <si>
    <t>OpenMKT1_8</t>
  </si>
  <si>
    <t>OpenMKT1_9</t>
  </si>
  <si>
    <t>The results suggest that products with brand names containing front vowels, as opposed to back vowels, are perceived more feminine/less masculine</t>
  </si>
  <si>
    <t>OpenMKT10_1</t>
  </si>
  <si>
    <t>P.10, Table 5 In R also states r = 0.407 for O and r = 0.026 for R.</t>
  </si>
  <si>
    <t>- changed the link to the pre-registration of the replication study, since the link let to the OSF project. However, the study was preregisted at AsPredicted</t>
  </si>
  <si>
    <t>Madzharov, a V., and Block, L. G. (2010). Effects of product unit image on consumption of snack foods. J. Consum. Psychol. 20, 398–409. doi: 10.1016/j.jcps.2010.06.007 Study 1a</t>
  </si>
  <si>
    <t>10.1016/j.jcps.2010.06.007</t>
  </si>
  <si>
    <t>10.1016--j.jcps.2010.06.007.pdf</t>
  </si>
  <si>
    <t>Anchoring; Packaging; Food consumption</t>
  </si>
  <si>
    <t>The effect of product units displayed on the package on perceived product quantity</t>
  </si>
  <si>
    <t>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than the package with the four cookies</t>
  </si>
  <si>
    <t>F(1, 35) = 6.93</t>
  </si>
  <si>
    <t>p.3 M7= 71.55) (M4= 19.65</t>
  </si>
  <si>
    <t>p. 7 (f our: M = 21.40, SD = 100.28; seven: M = 17. 71, SD = 9.14; F1,821 = 0.565, p = 0.452, η 2p = 0.001).</t>
  </si>
  <si>
    <t>OpenMKT10_b</t>
  </si>
  <si>
    <t>P.10, Table 5 In R also states r = 0.348 for O and r = 0.054 for R.</t>
  </si>
  <si>
    <t>The effect of product units displayed on the package on the serving size</t>
  </si>
  <si>
    <t>Additionally, study participants thought there were more cookies in a serving from the package that displayed seven cookies compared to the package that displayed four cookies</t>
  </si>
  <si>
    <t>F(1, 35) =4.83</t>
  </si>
  <si>
    <t>p.3 (M7= 6.60 vs. M4= 4.41; ,</t>
  </si>
  <si>
    <t>p. 7 (f our: M = 4.45, SD = 3.00, vs. seven: M = 4.80, SD = 3.52; F1,821 = 2.380, p = 0.123, η2p = 0.003).</t>
  </si>
  <si>
    <t>OpenMKT10_c</t>
  </si>
  <si>
    <t>It's basically the same as OpenMKT10, but R conducted other analysis (the Mann-Whitney U test) because of the outlier, hence statistics for O remain the same, but differ for R. This kind of test wasn't preregistered</t>
  </si>
  <si>
    <t xml:space="preserve">- Since it is indeed the same test (excluding one outlier) I would delete this row. </t>
  </si>
  <si>
    <t>p. 7 (U = 78,727, Z = 1.743,p = 0.081, r = 0.061).</t>
  </si>
  <si>
    <t>OpenMKT10</t>
  </si>
  <si>
    <t>- I added the effect</t>
  </si>
  <si>
    <t>anchoring, packaging, food consumption</t>
  </si>
  <si>
    <t>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</si>
  <si>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p. 10 / t. 5</t>
  </si>
  <si>
    <t>OpenMKT10_2</t>
  </si>
  <si>
    <t>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</si>
  <si>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F(1, 35) = 4.83</t>
  </si>
  <si>
    <t>OpenMKT11_1</t>
  </si>
  <si>
    <t>OpenMKT11</t>
  </si>
  <si>
    <t>- I corrected the sample size of the replication
- I added the effect
- I added the study number of the replication study
- I added label_r</t>
  </si>
  <si>
    <t>Lee, S., Baumgartner, H., &amp; Winterich, K. P. (2018). Did they earn it? Observing unearned luxury consumption decreases brand attitude when observers value fairness. Journal of Consumer Psychology, 28(3), 412-436. Study 4</t>
  </si>
  <si>
    <t>10.1002/jcpy.1028</t>
  </si>
  <si>
    <t>10.1002--jcpy.1028.pdf</t>
  </si>
  <si>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</si>
  <si>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10.1073/pnas.2103313118</t>
  </si>
  <si>
    <t>10.1073--pnas.2103313118.pdf</t>
  </si>
  <si>
    <t>link between luxury consumption, brand attitude and perceived fairness</t>
  </si>
  <si>
    <t>Moral values, Fairness, Luxury consumption. Consumption resources, Brand attitude</t>
  </si>
  <si>
    <t>Unearned luxury consumption will lead to lower brand attitude than earned luxury consumption when consumers' fairness concerns are salient, but less so when fairness concerns are not salient.</t>
  </si>
  <si>
    <t>An ANOVA was performed using consumption resources, fairness, and their interaction as independent variables and brand attitude as the dependent variable.  The effect of consumption resources was significant</t>
  </si>
  <si>
    <t>p. 17 (F(2, 245) = 3.85, p &lt; .05, n2 = .029)</t>
  </si>
  <si>
    <t>p. 17. F(2, 598) = 4.28, p = .014, ηp2 = .014, η2 = .014</t>
  </si>
  <si>
    <t>https://osf.io/j4ers</t>
  </si>
  <si>
    <t>OpenMKT11_b</t>
  </si>
  <si>
    <t>An ANOVA was performed using consumption resources, fairness, and their interaction as independent variables and brand attitude as the dependent variable. The effect of consumption resources was significant, which was qualified by its interaction with fairness</t>
  </si>
  <si>
    <t>p. 17 (F(2, 245) = 4.04, p &lt; .05, n2 = .031);</t>
  </si>
  <si>
    <t>p. 17 F(2, 598) = 1.05, p = .351, ηp2 = .003, η2 = .003;</t>
  </si>
  <si>
    <t>OpenMKT11_c</t>
  </si>
  <si>
    <t>- I corrected the sample size of the replication
- I changed the effect of the original study and all corresponding cells
- I added the effect
- I added the study number of the replication study
- I added label_r</t>
  </si>
  <si>
    <t>An ANOVA was performed using consumption resources, fairness, and their interaction as independent variables and brand attitude as the dependent variable. [...] the effect of fairness was NS (F(1, 245) =1.67, p &gt; .15, n2 = .006).</t>
  </si>
  <si>
    <t xml:space="preserve">p. 17 </t>
  </si>
  <si>
    <t>p. 18 F(1, 598) = 1.01, p = .315, ηp2 = .002, η2 = .002.</t>
  </si>
  <si>
    <t>OpenMKT11_d</t>
  </si>
  <si>
    <t>- I changed the claim to clairify the target eff
- I added the effect
- I added the study number of the replication study
- I added label_r</t>
  </si>
  <si>
    <t>When fairness was salient, unearned resources led to lower brand attitude compared to earned or unspecified resources [...]</t>
  </si>
  <si>
    <t>p. 17 (M = 5.53 vs. M = 6.50, t(247) = 2.81, p =.005, Cohen’s d = - 0.51)</t>
  </si>
  <si>
    <t>t(281) = 2.61,</t>
  </si>
  <si>
    <t>p. 18  (M = 4.74, SD = 2.03), (M = 5.52, SD = 1.97), t(281) = 2.61, p = .029</t>
  </si>
  <si>
    <t>OpenMKT11_e</t>
  </si>
  <si>
    <t>- I added the effect
- I added the study number of the replication study
- I added label_r
- I added the p-value of the original study</t>
  </si>
  <si>
    <t>When fairness was salient, unearned resources led to lower brand attitude compared to earned or unspecified resources, but this effect did not occur when fairness was not salient</t>
  </si>
  <si>
    <t>p. 17 (M = 6.65 vs. M = 6.38, t(247) = - 0.78, p &gt; .44, Cohen’s d = 0.16).</t>
  </si>
  <si>
    <t>t(317) = 1.52,</t>
  </si>
  <si>
    <t>p. 18 t(317) = 1.52, p = .387</t>
  </si>
  <si>
    <t>OpenMKT11_f</t>
  </si>
  <si>
    <t>- I corrected the sample size; since it can not be inferred from the test statistics (for sure) I coded the reported N
- I added the effect
- I added the study number of the replication study
- I added label_r</t>
  </si>
  <si>
    <t>In addition, prestige perceptions affected brand attitude</t>
  </si>
  <si>
    <t>p. 17 (b = 0.49, t(246) = 4.92, p &lt; .0001, n2 = .086).</t>
  </si>
  <si>
    <t>t(599) = 10.24</t>
  </si>
  <si>
    <t>p. 18 β = 0.62, t(599) = 10.24, p &lt; .001.</t>
  </si>
  <si>
    <t>OpenMKT11_g</t>
  </si>
  <si>
    <t>The indirect effect of consumption resources on brand attitude via prestige perceptions was significant for participants whose fairness was salient</t>
  </si>
  <si>
    <t>p. 17 (.09, 95% CI = 0.02–0.18),</t>
  </si>
  <si>
    <t>p. 18 (0.07, 95% CI = [-0.0012, 0.14])</t>
  </si>
  <si>
    <t>OpenMKT11_h</t>
  </si>
  <si>
    <t>- changed the omen of the test statistics in the original study
- I corrected the sample size; since it can not be inferred from the test statistics (for sure) I coded the reported N
- I added the effect
- I added the study number of the replication study
- I added label_r</t>
  </si>
  <si>
    <t>but there was no support for an indirect effect when fairness was not salient</t>
  </si>
  <si>
    <t>p.17 (-.02, 95% CI = -0.10 to 0.04).</t>
  </si>
  <si>
    <t>p. 18, (0.04, 95% CI = [-0.02, 0.11]).</t>
  </si>
  <si>
    <t>OpenMKT11_i</t>
  </si>
  <si>
    <t>the index of moderated mediation was significant, suggesting that a unit change in fairness values significantly changed the magnitude of the indirect effect</t>
  </si>
  <si>
    <t>p.17  (.11, 95% CI = 0.02–0.24).</t>
  </si>
  <si>
    <t>p. 18 (0.02, 95% CI = [-0.07, 0.12]),</t>
  </si>
  <si>
    <t>OpenMKT12_1</t>
  </si>
  <si>
    <t>OpenMKT12</t>
  </si>
  <si>
    <t>careless participant's aren't included in R</t>
  </si>
  <si>
    <t>- I added the effect
- I added the study number of the replication study
- I added label_r</t>
  </si>
  <si>
    <t>S. M. Tully, H. E. Hershfield, T. Meyvis, Seeking lasting enjoyment with limited money: Financial constraints increase preference for material goods over experiences. J. Consum. Res. 42, 59–75 Study 5</t>
  </si>
  <si>
    <t>10.1093/jcr/ucv007</t>
  </si>
  <si>
    <t>10.1093--jcr--ucv007.pdf</t>
  </si>
  <si>
    <t>link between scarcity and consumer preferences</t>
  </si>
  <si>
    <t>financial constraints, discretionary spending, experiences and material goods, longevity, myopia</t>
  </si>
  <si>
    <t>The consideration of financial constraints shifts consumers’ preferences toward material goods rather than experiences. (I.e. Inducing financial scarcity will lead individuals to prefer purchasing material goods over experiences.</t>
  </si>
  <si>
    <t>participants who had written about their financial constraints reported thinking about their financial constraints more (Mfinancial = 5.61, SD = 1.62) than did participants in the control condition(Mcontrol= 4.19, SD = 2.09; F(1, 375) = 53.91, p &lt; .001).</t>
  </si>
  <si>
    <t>F(1, 375) = 53.91</t>
  </si>
  <si>
    <t>p. 11 (Mfinancial = 5.61, SD = 1.62) (Mcontrol= 4.19, SD = 2.09; F(1, 375) = 53.91, p &lt; .001).</t>
  </si>
  <si>
    <t>t(686) = -9.89</t>
  </si>
  <si>
    <t>p. 67; Mscarcity = 5.53, SE = 1.81, Mcontrol = 4.04, SE = 2.14, t = -9.89, p &lt; .001; added DFs from N</t>
  </si>
  <si>
    <t>https://osf.io/k6ytw</t>
  </si>
  <si>
    <t>OpenMKT12_b</t>
  </si>
  <si>
    <t>participants in the financial constraint condition reported feeling more financially constrained than those in the control condition</t>
  </si>
  <si>
    <t>F(1, 375) = 6.48</t>
  </si>
  <si>
    <t>p. 11 (Mfinancial = 5.43, SD =1.546; Mcontrol = 5.02, SD = 1.65; F(1, 375) = 6.48,p = .011).</t>
  </si>
  <si>
    <t>t(686) = -7.29</t>
  </si>
  <si>
    <t>p. 67; Mscarcity = 5.37, SE = 1.69, Mcontrol = 4.35,SE = 2.00, t = -7.29, p &lt; .001; added DFs from N</t>
  </si>
  <si>
    <t>OpenMKT12_c</t>
  </si>
  <si>
    <t>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</si>
  <si>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F(1, 375) = 10.02</t>
  </si>
  <si>
    <t>p. 11 ,(F(1, 375) 1⁄4 10.02, p 1⁄4 .002).</t>
  </si>
  <si>
    <t>p. 67; (F(1, 686) = 12.84, p = .0004, partial h2 = .018)</t>
  </si>
  <si>
    <t>OpenMKT12_d</t>
  </si>
  <si>
    <t>This effect again did not differ across pairs (F(4, 1500) =1.24, NS).</t>
  </si>
  <si>
    <t>F(4, 1500) =1.24</t>
  </si>
  <si>
    <t>p. 67; (F(4, 686) = 5.59, p &lt; .001, partial h2 = .008)</t>
  </si>
  <si>
    <t>OpenMKT12_e</t>
  </si>
  <si>
    <t>MTK12 rows e-h include the same statistics for O, but different for R (in e-f "careless participants" included in the R analysis  (e.g., responses that were completely nonsensical or did not attempt to answer the prompt), hence larger sample</t>
  </si>
  <si>
    <t>- I would exclude this row, as it targets the same effect and uses the same sample (despite of the additional careless responders)</t>
  </si>
  <si>
    <t>t = -9.98</t>
  </si>
  <si>
    <t>Mscarcity = 5.53, SE = 1.78, Mcontrol = 4.07, SE = 2.12, t = -9.98, p &lt; .001,</t>
  </si>
  <si>
    <t>OpenMKT12_f</t>
  </si>
  <si>
    <t>t = -7.42</t>
  </si>
  <si>
    <t>Mscarcity = 5.40, SE = 1.66, Mcontrol = 4.39,SE = 2.00, t = -7.42, p &lt; .001.</t>
  </si>
  <si>
    <t>OpenMKT12_g</t>
  </si>
  <si>
    <t>(F(1, 375) = 10.02</t>
  </si>
  <si>
    <t>0.012.</t>
  </si>
  <si>
    <t>(F(1, 710) = 8.64, p = .0034, partial h2 = .012.).</t>
  </si>
  <si>
    <t>OpenMKT12_h</t>
  </si>
  <si>
    <t>(F(4, 1500) =1.24</t>
  </si>
  <si>
    <t>(F(4, 710) = 6.07, p &lt; .001, partial h2 = .008).</t>
  </si>
  <si>
    <t>OpenMKT13_1</t>
  </si>
  <si>
    <t>OpenMKT13</t>
  </si>
  <si>
    <t xml:space="preserve">- I added the effect
- I added the study number of the replication study
- I added label_r
</t>
  </si>
  <si>
    <t>Monga, A., May, F., &amp; Bagchi, R. (2017). Eliciting time versus money: time scarcity underlies asymmetric wage rates. Journal of consumer research, 44(4), 833-852. Study 4</t>
  </si>
  <si>
    <t>10.1093/jcr/ucx066</t>
  </si>
  <si>
    <t>10.1093--jcr--ucx066.pdf</t>
  </si>
  <si>
    <t>link between wages, eliction and future perspective</t>
  </si>
  <si>
    <t>time, money, scarcity, time-money tradeoffs, wage rates, procedural invariance</t>
  </si>
  <si>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activitiesscarcity receives a higher weight in TEL vs. Money-Elicit (MEL) procedure - stating the minimum amount should yield lower wage rates, particularly in the TEL (vs. MEL) procedure, which should diminish the wage rate asymmetry</t>
  </si>
  <si>
    <t>A main effect of procedure emerged, such that the desired wage rate was higher in the TEL (vs.MEL) condition</t>
  </si>
  <si>
    <t>p. 10 (MTEL = $9.81, SD = $6.39; MMEL = $4.41, SD = $2.84; F(1, 175) = 53.72, p &lt; .01,Cohen’s d = 1.08).</t>
  </si>
  <si>
    <t>A (MTEL = $15.06, SD = $9.54; MMEL = $8.71, SD = $8.21; F(1, 463) = 22.26, p &lt; .01, Cohen’s d = 0.179).</t>
  </si>
  <si>
    <t>https://osf.io/8z3qb</t>
  </si>
  <si>
    <t>OpenMKT13_b</t>
  </si>
  <si>
    <t>- I added the effect
- I added the study number of the replication study
- I added label_r
- I corrected the effect size, p-value and es_repr for the replicat</t>
  </si>
  <si>
    <t>Additionally, a main effect of timing emerged, such that the wage rate was lower in the distant (vs. near) future</t>
  </si>
  <si>
    <t>p.10 (Mnear future = $8.50, SD = $7.08; Mdstant future = $6.12, SD = $3.68; F(1, 175) = 6.92, p &lt; .01, Cohen’s d = .34).</t>
  </si>
  <si>
    <t>p. 56</t>
  </si>
  <si>
    <t>OpenMKT13_c</t>
  </si>
  <si>
    <t>More importantly, as predicted, there was a significant two-way interaction between procedure and timing</t>
  </si>
  <si>
    <t>F(1, 175) = 8.60</t>
  </si>
  <si>
    <t>p.10 (F(1, 175) = 8.60, p &lt; .01),</t>
  </si>
  <si>
    <t>F(1, 463) = 0.139</t>
  </si>
  <si>
    <t>(F(1, 463) = 0.139, p = 0.71; MTEL-Near Future = $15.71, SD = $10.68;MMEL-Near Future = $9.05, SD = $9.49; MTEL-Distant Future = 14.43, SD =8.27; MMEL-distant future = 8.38, SD = 6.80)</t>
  </si>
  <si>
    <t>OpenMKT14_1</t>
  </si>
  <si>
    <t>OpenMKT14</t>
  </si>
  <si>
    <t>Roux, C., Goldsmith, K., &amp; Bonezzi, A. (2015). On the psychology of scarcity: When reminders of resource scarcity promote selfish (and generous) behavior. Journal of consumer research, 42(4), 615-631. Study 4</t>
  </si>
  <si>
    <t>10.1093/jcr/ucv048</t>
  </si>
  <si>
    <t>10.1093--jcr--ucv048.pdf</t>
  </si>
  <si>
    <t>link between social value orientation, scarcity and selfish behavior</t>
  </si>
  <si>
    <t>resource scarcity, competitive orientation, welfare advancement, selfish, generous</t>
  </si>
  <si>
    <t>When scarcity is salient, pro-self individuals will engage in even more selfish behavior compared to prosocial individuals. The difference between proself individual’s behavior and prosocial individual’s behavior is attenuated when scarcity is not salient.</t>
  </si>
  <si>
    <t>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</si>
  <si>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p. 26 (M = $2.86; SD = 1.25) (M = $3.24; SD = 1.01; F(1, 156) = 4.46; p = .04; np2= .03).</t>
  </si>
  <si>
    <t>(M  = $1.65, SD  = 1.18)  (M  = $1.48, SD  = 1.17; F (1, 412) = 0.56, p  = .45; ηp2= .001).</t>
  </si>
  <si>
    <t>https://osf.io/4a5ej</t>
  </si>
  <si>
    <t>OpenMKT14_b</t>
  </si>
  <si>
    <t>Most importantly, there was a significant interaction between the scarcity manipulation and SVO on the allocation measure, as predicted.</t>
  </si>
  <si>
    <t>p. 27  (β  = .01; SE = .005; t = 2.12; p = .04)</t>
  </si>
  <si>
    <t>β = .01, SE = .04, t(410) = 0.16, p = .88; ηp2= .00</t>
  </si>
  <si>
    <t>OpenMKT14_c</t>
  </si>
  <si>
    <t>The results showed a significant main effect of scarcity on the amount of money allocated to the other player</t>
  </si>
  <si>
    <t>p.28</t>
  </si>
  <si>
    <t>p.27 β = -.38; SE = .14; t = 2.83; p = .005),</t>
  </si>
  <si>
    <t>(β = 0.001, SE = .04, t(410) = -0.13, p = .90; ηp2= .00).</t>
  </si>
  <si>
    <t>OpenMKT14_d</t>
  </si>
  <si>
    <t>Moreover, the results showed a significant effect of SVO on the amount of money allocated to the other player, which suggests that the more participants exhibited a prosocial orientation, the more money they allocated to the other player.</t>
  </si>
  <si>
    <t>p. 27 (β  (= .02; SE = .005; t = 4.07; p &lt; .001)</t>
  </si>
  <si>
    <t>(β = .43, SE = .04, t(410) = 9.73, p &lt; .001; ηp2= .19)</t>
  </si>
  <si>
    <t>OpenMKT14_e</t>
  </si>
  <si>
    <t>MTK14 rows e-h include the same statistics for O, but different for R (in e-f "careless participants" included in the R analy (e.g., responses that were completely nonsensical or did not attempt to answer the prompt), hence larger sample</t>
  </si>
  <si>
    <t>(M  = $1.67, SD  = 1.19)  (M  = $1.78, SD  = 1.20; F (1, 420) = 0.89, p  = .34; ηp2= .00</t>
  </si>
  <si>
    <t>OpenMKT14_f</t>
  </si>
  <si>
    <t>(β = .02, SE = .04, t(418) = 0.49, p = .62;ηp2= .00)</t>
  </si>
  <si>
    <t>OpenMKT14_g</t>
  </si>
  <si>
    <t>(β = -.1, SE = .04, t(418) = -0.30, p = .76; ηp2= .00)</t>
  </si>
  <si>
    <t>OpenMKT14_h</t>
  </si>
  <si>
    <t>(β = .41, SE =.04, t(418) = 9.04, p &lt; .001; ηp2= .16)</t>
  </si>
  <si>
    <t>OpenMKT15_1</t>
  </si>
  <si>
    <t>OpenMKT15</t>
  </si>
  <si>
    <t>a-d = careless participants not included in R statistics</t>
  </si>
  <si>
    <t>Effects for a larger sample that includes careless responders are also reported in the article (see below)
- I added the effect size of the original study
- I added the study number of the replication study
- I added label_r
- I added the effect
- I am not sure whether the effect is reported in the right way. All reported effects are correct and can validate therefore the ones of Maureen. However, I translated the effects of Maureen to the form required by the database and kept the effects of this row how they were originally coded  (to maintain the original values)</t>
  </si>
  <si>
    <t>Mehta, R., &amp; Zhu, M. (2016). Creating when you have less: The impact of resource scarcity on product use creativity. Journal of Consumer Research, 42(5), 767-782. Study 2</t>
  </si>
  <si>
    <t>10.1093/jcr/ucv051</t>
  </si>
  <si>
    <t>10.1093--jcr--ucv051.pdf</t>
  </si>
  <si>
    <t>link between scarcity and creativity in product use</t>
  </si>
  <si>
    <t>creativity, innovativeness, product use, scarcity, abundance, resource constraints</t>
  </si>
  <si>
    <t>Participants who encounter scarcity salience in a prior unrelated context would be more likely to use the provided products in novel but appropriate ways to solve the given task.</t>
  </si>
  <si>
    <t>Overall, 35 of the 133 participants (i.e., 26.3%) correctly solved the problem. A chi-square test revealed a significant main effect of resource availability on the correctness of the solutions</t>
  </si>
  <si>
    <t>p.6  (x2 (2,N = 133) =10.69, p = .005, Cohen’s d =.59).</t>
  </si>
  <si>
    <t>X2(2,N=319)=2.224</t>
  </si>
  <si>
    <t>(X2(2,N=319)=2.224,p=.329).</t>
  </si>
  <si>
    <t>https://osf.io/zmcsw</t>
  </si>
  <si>
    <t>OpenMKT15_b</t>
  </si>
  <si>
    <t>Effects for a larger sample that includes careless responders are also reported in the article (see below)
- I added the study number of the replication study
- I added label_r
- I added the effect
- I am not sure whether the effect is reported in the right way. All reported effects are correct and can validate therefore the ones of Maureen. However, I translated the effects of Maureen to the form required by the database and kept the effects of this row how they were originally coded  (to maintain the original values)</t>
  </si>
  <si>
    <t>The results showed that a higher percentage of participants in the scarcity condition (M = 44.2%) correctly solved the candle problem as compared to those in the abundance condition</t>
  </si>
  <si>
    <t>B= 1.46, SE = .51, Wald = 8.07</t>
  </si>
  <si>
    <t>p.6  M = 44,2% , M =15.6%, B= 1.46, standard error [SE] = .51, Wald = 8.07, p = .005)</t>
  </si>
  <si>
    <t>B=−.02,[SE]=.06,Wald=.063</t>
  </si>
  <si>
    <t>(M=27%) (M=29%,B=−.02,[SE]=.06,Wald=.063,p=.802)</t>
  </si>
  <si>
    <t>OpenMKT15_c</t>
  </si>
  <si>
    <t>The results showed that a higher percentage of participants in the scarcity condition (M = 44.2%) correctly solved the candle problem as compared to those in the control condition</t>
  </si>
  <si>
    <t>B = 1.15, SE = .48, Wald = 5.70</t>
  </si>
  <si>
    <t>p.6 M = 44,2%, (M = 20.0%, B = 1.15, SE = .48, Wald = 5.70, p = .017)</t>
  </si>
  <si>
    <t>B=−.09,[SE]=.06,Wald=1.90</t>
  </si>
  <si>
    <t>(M=27%) (M=36%,B=−.09,[SE]=.06,Wald=1.90,p=.174)</t>
  </si>
  <si>
    <t>OpenMKT15_d</t>
  </si>
  <si>
    <t>No difference was observed between the abundance and control conditions</t>
  </si>
  <si>
    <t>B 1= .31, SE = .56, Wald = .30</t>
  </si>
  <si>
    <t>p.6 (B 1= .31, SE = .56, Wald = .30, not significant).</t>
  </si>
  <si>
    <t>B=−.07,[SE]=.06,Wald=1.2</t>
  </si>
  <si>
    <t>(B=−.07,[SE]=.06,Wald=1.2,p=.278)</t>
  </si>
  <si>
    <t>OpenMKT15_e</t>
  </si>
  <si>
    <t>e-h = careless participants included in R statistics</t>
  </si>
  <si>
    <t>I would exclude this row, as it targets the same effect and uses the same sample (despite of the additional careless responders)</t>
  </si>
  <si>
    <t>X2(2,N=327)=2.742</t>
  </si>
  <si>
    <t>X2(2,N=327)=2.742,p=.254).</t>
  </si>
  <si>
    <t>OpenMKT15_f</t>
  </si>
  <si>
    <t>B=−.03,[SE]=.06,Wald=.165</t>
  </si>
  <si>
    <t>(M=26%)  (M=29%,B=−.03,[SE]=.06,Wald=.165,p=.685),</t>
  </si>
  <si>
    <t>further effects - some already single-coded</t>
  </si>
  <si>
    <t>OpenMKT15_g</t>
  </si>
  <si>
    <t>B=−.10,[SE]=.06,Wald=2.422</t>
  </si>
  <si>
    <t>M = 26% (M=36%,B=−.10,[SE]=.06,Wald=2.422,p=.120.)</t>
  </si>
  <si>
    <t>OpenMKT15_h</t>
  </si>
  <si>
    <t>(B=−.07,[SE]=.06,Wald=1.269</t>
  </si>
  <si>
    <t>(B=−.07,[SE]=.06,Wald=1.269,p=.260)</t>
  </si>
  <si>
    <t>OpenMKT16_1</t>
  </si>
  <si>
    <t>OpenMKT16</t>
  </si>
  <si>
    <t>- I added the study number of the replication study
- I added label_r
- I added the effect</t>
  </si>
  <si>
    <t>Kristofferson, K., McFerran, B., Morales, A. C., &amp; Dahl, D. W. (2017). The dark side of scarcity promotions: how exposure to limited-quantity promotions can induce aggression. Journal of Consumer Research, 43(5), 683-706. Study 5</t>
  </si>
  <si>
    <t>10.1093/jcr/ucw056</t>
  </si>
  <si>
    <t>10.1093--jcr--ucw056.pdf</t>
  </si>
  <si>
    <t>link between scaricity promotion and aggressive tendencies in consumers</t>
  </si>
  <si>
    <t>Advertising, Aggression, Consumer promotions, Scarcity, Violence</t>
  </si>
  <si>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</si>
  <si>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The manipulation check was successful. Participants perceived the iPhone promotional package quantity to be more scarce in the scarcity versus the control ad (1 = Very scarce to 7 = Very abundant;</t>
  </si>
  <si>
    <t>p. 35</t>
  </si>
  <si>
    <t>F(1, 156) = 209.4</t>
  </si>
  <si>
    <t>p. 35 MScarcity = 1.49 vs. MControl = 4.84; F(1, 156) = 209.4, p &lt;.001).</t>
  </si>
  <si>
    <t>MScarcity = 4.44 vs. MControl= 1.80; F(1, 385) = 249.20, p &lt; .001, partial eta-squared = .392</t>
  </si>
  <si>
    <t>https://osf.io/p7952</t>
  </si>
  <si>
    <t>OpenMKT16_b</t>
  </si>
  <si>
    <t>The manipulation check was successful. Participants perceived the iPhone promotional package quantity to be more scarce in the scarcity versus the control ad. No main effect (p &gt; .75)</t>
  </si>
  <si>
    <t>p. 35 (p &gt; .75)</t>
  </si>
  <si>
    <t>(F(1, 385) = 2.31, p =.12, partial eta-squared = .004)</t>
  </si>
  <si>
    <t>OpenMKT16_c</t>
  </si>
  <si>
    <t>The manipulation check was successful. Participants perceived the iPhone promotional package quantity to be more scarce in the scarcity versus the control ad. No interactions with perceived threat emerged (p &gt; .13).</t>
  </si>
  <si>
    <t>p. 35 (p &gt; .13).</t>
  </si>
  <si>
    <t>(F(1, 385) = 1.31, p = .253, partial eta-squared = .003)</t>
  </si>
  <si>
    <t>OpenMKT16_d</t>
  </si>
  <si>
    <t>- I corrected the effect size of the replication study
- I added the study number of the replication study
- I added label_r
- I added the effect</t>
  </si>
  <si>
    <t>The ANOVA revealed a main effect of perceived threat (higher threat led to more violent game choices;</t>
  </si>
  <si>
    <t>p. 35,36</t>
  </si>
  <si>
    <t>F(1, 156) = 4.14</t>
  </si>
  <si>
    <t>p. 35 PHigh Threat = .37, SD = .23 vs. PLow Threat = .30, SD = .22, F(1, 156) = 4.14, p = .044),</t>
  </si>
  <si>
    <t>PHigh Threat= .30, SD = .23 vs. PLow Threat= .34, SD = .25, F(1, 385) = 2.64, p = .105, partial eta-squared = .003</t>
  </si>
  <si>
    <t>OpenMKT16_e</t>
  </si>
  <si>
    <t>The ANOVA revealed .... no effect of scarcity promotion (p &gt; .20).</t>
  </si>
  <si>
    <t>p.36</t>
  </si>
  <si>
    <t>p. 35, p &gt; .20</t>
  </si>
  <si>
    <t>PScarcity= .32, SD= .25 vs. PControl= .32, SD = .25, F(1, 385) = 0.03, p = .843, partial eta-squared = .000</t>
  </si>
  <si>
    <t>OpenMKT16_f</t>
  </si>
  <si>
    <t>However, the main effect was qualified by the expected interaction.</t>
  </si>
  <si>
    <t>F(1, 156) = 3.96</t>
  </si>
  <si>
    <t>p.36 F(1, 156) = 3.96, p = .048)</t>
  </si>
  <si>
    <t>F(1, 385) = 0.005, p = .945, partial eta-squared = .000</t>
  </si>
  <si>
    <t>2 further effects</t>
  </si>
  <si>
    <t>OpenMKT16_g</t>
  </si>
  <si>
    <t>- I coded the almost the whole row by myself (the coder only coded until the text claim)</t>
  </si>
  <si>
    <t xml:space="preserve">However, the main effect was qualified by the expected interaction. As predicted, participants in the scarcity-high threat condition expressed a significantly higher preference for violent games than participants in the control-high threat condition (PScarcity-High Threat = .42 vs. PControl-High Threat = .32, F(1, 156) = 4.42, p = .032).                                                                                                                                                                                                                               </t>
  </si>
  <si>
    <t>F(1, 156) = 4.42</t>
  </si>
  <si>
    <t>OpenMKT2_1</t>
  </si>
  <si>
    <t>P.9, Table 5 In R also states r = 0.385 for O and r = 0.251 for R.</t>
  </si>
  <si>
    <t>- I added the effect
- changed the link to the pre-registration of the replication study, since the link let to the OSF project. However, the study was preregisted at AsPredicted 
- I changed the tails of the p-value (original) to NA
- the reported effect size differs from the one coded by Maureen. However, this is the one from the text and she reported the one of the table.</t>
  </si>
  <si>
    <t>Shrum, L. J., Lowrey, T. M., Luna, D., Lerman, D. B., and Liu, M. (2012). Sound symbolism effects across languages: implications for global brand names. Int. J. Res. Market. 29, 275–279. doi: 10.1016/j.ijresmar.2012.03.002 Study 1a-c</t>
  </si>
  <si>
    <t>10.1016/j.ijresmar.2012.03.002</t>
  </si>
  <si>
    <t>10.1016--j.ijresmar.2012.03.002.pdf</t>
  </si>
  <si>
    <t>Phonetic symbolism, Sound symbolism, Brand names, Psycholinguistics</t>
  </si>
  <si>
    <t>Particular words will be preferred as brand names when the phonetic connotations of the words are consistent with the product attributes. Vowel sound-product category interaction</t>
  </si>
  <si>
    <t>As predicted, the interaction between vowel sound and product category was significant (F(1, 367)=63.87, p &lt; 001).</t>
  </si>
  <si>
    <t>F(1, 367)=63.87</t>
  </si>
  <si>
    <t>p. 3, (F(1, 367)=63.87, p &lt; 001).</t>
  </si>
  <si>
    <t>p.5 (F1,821 = 55.002, p &lt; 0.001, η2p = 0.063).</t>
  </si>
  <si>
    <t>OpenMKT2</t>
  </si>
  <si>
    <t>There is a discrepancy in the number of participants for Experiment 1a as recorded in the replication study, n=88, while the correct one in the original study is n=106. Therefore, the number of participants, N = 106 (1a) + 88 (1b) + 181 (1c) = 375 participants. This has been coded for the three rows for the original study for variable n_original.</t>
  </si>
  <si>
    <t>- I added the effect
- I changed the number of participants</t>
  </si>
  <si>
    <t>1a-c</t>
  </si>
  <si>
    <t>phonetic symbolism, sound symbolism, brand names, psycholinguistics</t>
  </si>
  <si>
    <t>Particular words will be preferred as brand names when the phonetic connotations of the words are consistent with the product attributes (Vowel sound-product category interaction)</t>
  </si>
  <si>
    <t>the interaction between vowel sound and product category was significant (F(1, 367)=63.87, p &lt;.001) ," Thus, the predicted crossover interaction was observed."</t>
  </si>
  <si>
    <t>p. 9 / t. 5</t>
  </si>
  <si>
    <t>OpenMKT2_2</t>
  </si>
  <si>
    <t>P.9, Table 5 In R also states r = 0.362 for O and r = 0.106 for R.</t>
  </si>
  <si>
    <t>- I added the effect
- changed the link to the pre-registration of the replication study, since the link let to the OSF project. However, the study was preregisted at AsPredicted 
- the reported effect size differs from the one coded by Maureen. However, this is the one from the text and she reported the one of the table.</t>
  </si>
  <si>
    <t>Shrum, L. J., Lowrey, T. M., Luna, D., Lerman, D. B., and Liu, M. (2012). Sound symbolism effects across languages: implications for global brand names. Int. J. Res. Market. 29, 275–279. doi: 10.1016/j.ijresmar.2012.03.002</t>
  </si>
  <si>
    <t>Particular words will be preferred as brand names when the phonetic connotations of the words are consistent with the product attributes. Front vowel sound words will be preferred over back vowel sound words for 2-seater convertible and knife</t>
  </si>
  <si>
    <t>front vowel sound words were preferred over back vowel sound words for convertible and knife</t>
  </si>
  <si>
    <t>t(188)=5.33</t>
  </si>
  <si>
    <t>p.3 (58% to 42%; t(188)=5.33, p &lt;.001, one-tailed).</t>
  </si>
  <si>
    <t>p.5 (52.56–47.45%; F1,821 = 4.717, p = 0.030, η2p = 0.011).</t>
  </si>
  <si>
    <t>OpenMKT2_b</t>
  </si>
  <si>
    <t>Particular words will be preferred as brand names when the phonetic connotations of the words are consistent with the product attributes (Front vowel sound words will be preferred over back vowel sound words for 2-seater convertible and knife)</t>
  </si>
  <si>
    <t>front vowel sound words were preferred over back vowel sound words for convertible and knife (58% to 42%; t(188)=5.33, p &lt;.001, one-tailed). ," Thus, the predicted crossover interaction was observed."</t>
  </si>
  <si>
    <t>OpenMKT2_3</t>
  </si>
  <si>
    <t>P.9, Table 5 In R also states r = 0.367 for O and r = 0.387 for R.</t>
  </si>
  <si>
    <t>Particular words will be preferred as brand names when the phonetic connotations of the words are consistent with the product attributes. Back vowelsound words will be preferred over front vowel sound words for  4×4 vehicle and hammer.</t>
  </si>
  <si>
    <t>In contrast, for 4×4 vehicle and hammer, the predicted opposite pattern was observed: Back vowel sound words were preferred over front vowel sound words.</t>
  </si>
  <si>
    <t>t(185)=5.37</t>
  </si>
  <si>
    <t>p. 3, 59% to 41%; t(185)=5.37, pb.001, one-tailed).</t>
  </si>
  <si>
    <t>p.5 (59.59–40.41%; F1,821 = 70.981, p &lt; 0.001,η2p = 0.149).</t>
  </si>
  <si>
    <t>OpenMKT2_c</t>
  </si>
  <si>
    <t>Particular words will be preferred as brand names when the phonetic connotations of the words are consistent with the product attributes (Back vowel  sound words will be preferred over front vowel sound words for 4×4 vehicle and hammer"</t>
  </si>
  <si>
    <t>for 4×4 vehicle and hammer, the predicted opposite pattern was observed: Back vowel sound words were preferred over front vowel sound words (59% to 41%; t(185)=5.37, p &lt;.001, one-tailed) ," Thus, the predicted crossover interaction was observed."</t>
  </si>
  <si>
    <t>OpenMKT3_1</t>
  </si>
  <si>
    <t>P.9, Table 5 In R also states r = 0.295 for O and r = 0.011 for R.</t>
  </si>
  <si>
    <t>- to be more specific, I changed the description from saturation to color saturation 
- changed the link to the pre-registration of the replication study, since the link let to the OSF project. However, the study was preregisted at AsPredicte</t>
  </si>
  <si>
    <t>Hagtvedt, H., and Brasel, S. A. (2017). Color Saturation Increases Perceived Product Size. J. Consum. Res. 44, 396–413. doi: 10.1093/jcr/ucx039 Study 3</t>
  </si>
  <si>
    <t>10.1093/jcr/ucx039</t>
  </si>
  <si>
    <t>10.1093--jcr--ucx039.pdf</t>
  </si>
  <si>
    <t>Sensory Marketing</t>
  </si>
  <si>
    <t>High (vs. low) color  saturation increases product size estimates</t>
  </si>
  <si>
    <t>An ANOVA with color saturation as the independent variable and size estimate as the dependent variable revealed that the laptop with high (vs. low) saturation was perceived to be larger</t>
  </si>
  <si>
    <t>p. 5 (Mhigh = 15.28, SD = 1.26 vs. Mlow = 14.41, SD = 1.59, F(1, 75) = 7.13, p &lt;.01, ηp2 = .09).</t>
  </si>
  <si>
    <t>p. 5 (high saturation: M = 15.46, SD = 1.94, vs. low saturation: M = 15.42, SD = 1.84; F1,821 = 0.095, p = 0.758, η 2p = 0.000).</t>
  </si>
  <si>
    <t>OpenMKT3_b</t>
  </si>
  <si>
    <t>P.9, Table 5 In R also states r = 0.249 for O and r = 0.238 for R.</t>
  </si>
  <si>
    <t>High (vs. low) saturation increases attention</t>
  </si>
  <si>
    <t>Attention. A similar ANOVA on the attention scale revealed that the laptop with high (vs. low) saturation captured more attention</t>
  </si>
  <si>
    <t>p. 5 ((Mhigh = 5.19, SD = 1.08 vs. Mlow = 4.66, SD = .98, F(1, 75) = 4.95, p &lt; .05, ηp 2 = .06).</t>
  </si>
  <si>
    <t>p.5 (high saturation: M = 5.30, SD = 1.07; vs. low saturation: M = 4.75, SD = 1.14; F1,821 = 49.238, p &lt; 001,η2p = 0.057)</t>
  </si>
  <si>
    <t>OpenMKT3_c</t>
  </si>
  <si>
    <t>P.9, Table 5 In R also states r = 0.299 for O and r = 0.180 for R.</t>
  </si>
  <si>
    <t>High (vs. low) saturation increases arousal</t>
  </si>
  <si>
    <t>Arousal. A similar ANOVA on arousal revealed that the laptop with high (vs. low) saturation stimulated higher arousal</t>
  </si>
  <si>
    <t>p. 6 (Mhigh = 6.05, SD = 1.34 vs. Mlow = 5.14, SD = 1.62, F(1, 75) = 7.35, p &lt; .01, ηp2 = .09).</t>
  </si>
  <si>
    <t>p. 5 (high saturation: M = 5.83, SD = 1.10; vs. low saturation: M = 5.41, SD = 1.20; F1,821 = 27.539, p &lt;0.001, η2p = 0.033).</t>
  </si>
  <si>
    <t>OpenMKT3</t>
  </si>
  <si>
    <t>- to be more specific, I changed the description from saturation to color saturation 
- I added the effect</t>
  </si>
  <si>
    <t>color, saturation, size, aesthetics, attention, arousal</t>
  </si>
  <si>
    <t>High (vs. low) color saturation increases product size estimates</t>
  </si>
  <si>
    <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</si>
  <si>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15,17</t>
  </si>
  <si>
    <t>F(1, 75) = 7.13</t>
  </si>
  <si>
    <t>OpenMKT3_2</t>
  </si>
  <si>
    <t>- to be more specific, I changed the description from saturation to color saturation 
- I added a half sentence to the claim (interpretation)
- I added the effect</t>
  </si>
  <si>
    <t>High (vs. low) color saturation increases product size estimatesHigh (vs. low) color saturation increases product size estimates</t>
  </si>
  <si>
    <t>"A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</si>
  <si>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15, 17</t>
  </si>
  <si>
    <t>F(1, 75) = 4.95</t>
  </si>
  <si>
    <t>OpenMKT3_3</t>
  </si>
  <si>
    <t>"A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</si>
  <si>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16, 17</t>
  </si>
  <si>
    <t>F(1, 75)= 7.35</t>
  </si>
  <si>
    <t>OpenMKT4_1</t>
  </si>
  <si>
    <t>OpenMKT4</t>
  </si>
  <si>
    <t>P.9, Table 5 In R also states r = 0.241 for O and r = -0.011 for R.</t>
  </si>
  <si>
    <t>- changed the link to the pre-registration of the replication study, since the link let to the OSF project. However, the study was preregisted at AsPredicte</t>
  </si>
  <si>
    <t>Romero, M., and Biswas, D. (2016). Healthy-left, unhealthy-right: can displaying healthy. items to the left (vs. right) of unhealthy items nudge healthier choices? J. Consum. Res. 43, 103–112. doi: 10.1093/jcr/ucw008 Study 1b</t>
  </si>
  <si>
    <t>10.1093/jcr/ucw008</t>
  </si>
  <si>
    <t>10.1093--jcr--ucw008.pdf</t>
  </si>
  <si>
    <t>Participants tend to prefer the healthy item (broccoli salad) when it is on the left (vs. right) of the images</t>
  </si>
  <si>
    <t>Consistent with our hypothesis and the findings of study 1a, preference for the healthy item (broccoli salad) was relatively higher when it was on the left (vs. right) of the unhealthy item (41.30% vs. 19.14%; χ 2 = 5.42, p &lt; .05).</t>
  </si>
  <si>
    <t>χ 2 = 5.42</t>
  </si>
  <si>
    <t>p. 8 41.30% vs. 19.14%; , p &lt; .05).</t>
  </si>
  <si>
    <t>X2 = 0.091</t>
  </si>
  <si>
    <t>p.5 on the left (24.44%) or the right (25.59%) of the unhealthy food (, p = 0.763).</t>
  </si>
  <si>
    <t>healthy, unhealthy, healthy item, unhealthy item, lateral display, lateral position, mental organization</t>
  </si>
  <si>
    <t>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</si>
  <si>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X2 = 5.42</t>
  </si>
  <si>
    <t>OpenMKT5_1</t>
  </si>
  <si>
    <t>P.9, Table 5 In R also states r = 0.274 for O and r = 0.095 for R.</t>
  </si>
  <si>
    <t xml:space="preserve">- changed the link to the pre-registration of the replication study, since the link let to the OSF project. However, the study was preregisted at AsPredicted
- There was no text claim. Therefore, I copied the ones of Maureen. </t>
  </si>
  <si>
    <t>Yorkston, E., and Menon, G. (2004). A sound idea: phonetic effects of brand names on consumer judgments. J. Consum. Res. 31, 43–51. doi: 10.1086/383422 Study 1</t>
  </si>
  <si>
    <t>10.1086/383422</t>
  </si>
  <si>
    <t>10.1086--383422.pdf</t>
  </si>
  <si>
    <t>Brand Equity/Extension, Information Processing, Language, Sensory Marketing</t>
  </si>
  <si>
    <t>Attribute Perception Index (Main effect of brand name)</t>
  </si>
  <si>
    <t>"the main effect of brand name was significant (F(1, 117) = 9.51, p &lt; .01)" ," The results of this study provide evidence that sound symbolism influences attribute perceptions"</t>
  </si>
  <si>
    <t>F(1, 117) = 9.51</t>
  </si>
  <si>
    <t>p. 5 (F1,821 = 7.492, p = 0.006, η2p = 0.009)</t>
  </si>
  <si>
    <t>OpenMKT5_b</t>
  </si>
  <si>
    <t>P.9, Table 5 In R also states r = 0.186 for O and r = 0.012 for R.</t>
  </si>
  <si>
    <t>Attribute Perception Index (2-way interaction)</t>
  </si>
  <si>
    <t>"ANCOVA revealed a significant two-way interaction (F(1, 121) = 4.34, p &lt; .05), accompanied by a significant main effect of brand name ((F(1, 121) = 10.07, p &lt; .01)", " The results of this study provide evidence that sound symbolism influences attribute perceptions"</t>
  </si>
  <si>
    <t>F(1, 121) = 4.34</t>
  </si>
  <si>
    <t>p.5  (F1,821 = 0.118, p = 0.731, η2p = 0.000).</t>
  </si>
  <si>
    <t>OpenMKT5_c</t>
  </si>
  <si>
    <t>P.9, Table 5 In R also states r = 0.178 for O and r = 0.036 for R.</t>
  </si>
  <si>
    <t>Attribute Perception Index (3-way interaction)</t>
  </si>
  <si>
    <t>"We conducted a 2 x 2 x 2 ANCOVA on the Attribute Perception Index that revealed the predicted three-way interaction (F(1, 117) = 3.84, p &lt; .05)", " The results of this study provide evidence that sound symbolism influences attribute perceptions"</t>
  </si>
  <si>
    <t>(F(1, 117)  = 3.84,</t>
  </si>
  <si>
    <t>p.5 (F1,821 = 1.053, p = 0.305, η2p = 0.001)</t>
  </si>
  <si>
    <t>OpenMKT5_d</t>
  </si>
  <si>
    <t>P.10, Table 5 In R also states r = 0.271 for O and r = 0.012 for R.</t>
  </si>
  <si>
    <t>Brand Evaluation Index (Main effect of brand name)</t>
  </si>
  <si>
    <t>"the main effect of brand name was significant (F(1, 118) = 9.39, p &lt; .01); no other effect was significant", ," The results of this study provide evidence that sound symbolism influences attribute perceptions"</t>
  </si>
  <si>
    <t>F(1, 118) =  9.39</t>
  </si>
  <si>
    <t>p.5 (F1,821 = 0.114, p = 0.736, η2p = 0.000),</t>
  </si>
  <si>
    <t>OpenMKT5_e</t>
  </si>
  <si>
    <t>P.10, Table 5 In R also states r = 0.246 for O and r = 0.038 for R.</t>
  </si>
  <si>
    <t>Brand Evaluation Index (2-way interaction)</t>
  </si>
  <si>
    <t>"a significant interaction (F(1, 121) = 7.77, p &lt; .01), accompanied by a significant main effect of brand name ((F(1, 121) = 10.83, p &lt; .01)", " The results of this study provide evidence that sound symbolism influences attribute perceptions"</t>
  </si>
  <si>
    <t>F(1, 121) =  7.77</t>
  </si>
  <si>
    <t>p.6 (F1,821 = 1.174, p = 0.279, η2p = 0.001).</t>
  </si>
  <si>
    <t>OpenMKT5_f</t>
  </si>
  <si>
    <t>P.10, Table 5 In R also states r = 0.197 for O and r = 0.041 for R.</t>
  </si>
  <si>
    <t>Brand Evaluation Index (3-way interaction)</t>
  </si>
  <si>
    <t>"A 2 x 2 x 2 ANCOVA on the Brand Evaluation Index revealed the predicted three-way interaction (F(1, 118) = 4.78, p &lt; .05)", " The results of this study provide evidence that sound symbolism influences attribute perceptions"</t>
  </si>
  <si>
    <t>F(1, 118) = 4.78</t>
  </si>
  <si>
    <t>p.6 (F1,821 = 1.400, p = 0.237, η2p = 0.002),</t>
  </si>
  <si>
    <t>OpenMKT5</t>
  </si>
  <si>
    <t>sound symbolism, phonemes, phonetic effects, brand name, brand evaluation, consumers, language</t>
  </si>
  <si>
    <t>(F(1, 117) = 9.51</t>
  </si>
  <si>
    <t>OpenMKT5_2</t>
  </si>
  <si>
    <t>OpenMKT5_3</t>
  </si>
  <si>
    <t>F(1, 117) = 3.84</t>
  </si>
  <si>
    <t>OpenMKT5_4</t>
  </si>
  <si>
    <t>F(1, 118) = 9.39</t>
  </si>
  <si>
    <t>p. 9,10 / t. 5</t>
  </si>
  <si>
    <t>OpenMKT5_5</t>
  </si>
  <si>
    <t>F(1, 121) = 7.77</t>
  </si>
  <si>
    <t>OpenMKT5_6</t>
  </si>
  <si>
    <t>(F(1, 118) = 4.78</t>
  </si>
  <si>
    <t>OpenMKT6_1</t>
  </si>
  <si>
    <t>P.10, Table 5 In R also states r = 0.400 for O and r = 0.009 for R.</t>
  </si>
  <si>
    <t>Elder, R. S., and Krishna, A. (2011). The “visual depiction effect” in advertising: facilitating. embodied mental simulation through product orientation. J. Consum. Res. 38, 988–1003. doi: 10.1086/661531 Study 4</t>
  </si>
  <si>
    <t>10.1086/661531</t>
  </si>
  <si>
    <t>10.1086--661531.pdf</t>
  </si>
  <si>
    <t>Visual product depictions within advertisements, such as the manipulation of orienting a product toward a participant’s dominant hand, facilitate purchase intention; Purchase intention</t>
  </si>
  <si>
    <t>An ANOVA with orientation as the independent variable and our purchase intentions scale as the dependent variable revealed significantly higher purchase intentions in the match versus mismatch conditions (Mmatch p 4.79, Mmismatch p 3.44; F(1, 76) p 14.47, ).</t>
  </si>
  <si>
    <t>F(1, 76) = 14.47</t>
  </si>
  <si>
    <t>p.11 Mmatch = 4.79, Mmismatch = 3.44; F(1, 76) = 14.47, ).</t>
  </si>
  <si>
    <t>p. 6 (match: M = 3.39, SD = 1.75; mismatch: M = 3.36, SD = 1.82; F1,821 = 0.068, p = 0.794, η2p = 0.0001).</t>
  </si>
  <si>
    <t>OpenMKT6_b</t>
  </si>
  <si>
    <t>P.10, Table 5 In R also states r = 0.245 for O and r = 0.003 for R.</t>
  </si>
  <si>
    <t>Visual product depictions within advertisements, such as the manipulation of orienting a product toward a participant’s dominant hand, facilitate purchase intention; Mental simulation</t>
  </si>
  <si>
    <t>Finally, we examined the impact of orientation on the amount and ease of mental simulation. Although directionally the mismatch condition led to greater ease of mental simulation, these differences were only marginally significant (</t>
  </si>
  <si>
    <t>F(1, 76) = 3.20</t>
  </si>
  <si>
    <t>p. 11 Mmatch = 6.26, Mmismatch =  5.53; F(1, 76) = 3.20,p = .08).</t>
  </si>
  <si>
    <t>p.6 (match: M = 4.87, SD = 2.00 vs. mismatch: M = 4.86, SD = 2.03; F1,821 = 0.006, p = 0.941, η2p = 0.0000).</t>
  </si>
  <si>
    <t>OpenMKT6</t>
  </si>
  <si>
    <t>- everything was correct</t>
  </si>
  <si>
    <t>Elder, R. S., and Krishna, A. (2011). The “visual depiction effect” in advertising: facilitating embodied mental simulation through product orientation. J. Consum. Res. 38, 988–1003. doi: 10.1086/661531 Study 4</t>
  </si>
  <si>
    <t>visual depiction effect</t>
  </si>
  <si>
    <t>mental simulation, embodied mental simulation, visual depiction effect, purchase intentions,</t>
  </si>
  <si>
    <t>"An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</si>
  <si>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11,12</t>
  </si>
  <si>
    <t>OpenMKT6_2</t>
  </si>
  <si>
    <t>"we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</si>
  <si>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OpenMKT7_1</t>
  </si>
  <si>
    <t>P.10, Table 5 In R also states r = 0.251 for O and r = 0.013 for R.</t>
  </si>
  <si>
    <t>- changed the link to the pre-registration of the replication study, since the link let to the OSF project. However, the study was preregisted at AsPredicted
- I changed nesting to "no"</t>
  </si>
  <si>
    <t>Jiang, Y., Gorn, G. J., Galli, M., and Chattopadhyay, A. (2015). Does your company have the right logo? How and why circular- and angularlogo shapes influence brand attribute judgments. J. Consum. Res. 42, 709–726. doi: 10.1093/jcr/ucv049 Experiment 1</t>
  </si>
  <si>
    <t>10.1093/jcr/ucv049</t>
  </si>
  <si>
    <t>10.1093--jcr--ucv049.pdf</t>
  </si>
  <si>
    <t>visual marketing, brand logo design, shape, product visualization, mental imagery, working memory</t>
  </si>
  <si>
    <t>Logo shape-by-product-attribute interaction</t>
  </si>
  <si>
    <t>A 2 3 mixed-measures analysis of variance (ANOVA), with comfortableness and durability treated as a repeated factor, revealed only a significant logo- shape-by-product-attribute interaction (F(2, 106)=7.63, p &lt; .01; see Figure 1).</t>
  </si>
  <si>
    <t>F(2, 106)=7.63</t>
  </si>
  <si>
    <t>p. 6 (F2,820 = 0.141, p = 0.868, η 2p = 0.000).</t>
  </si>
  <si>
    <t>OpenMKT7_b</t>
  </si>
  <si>
    <t>P.10, Table 5 In R also states r = 0.258 for O and r = -0.003 for R.</t>
  </si>
  <si>
    <t>- changed the link to the pre-registration of the replication study, since the link let to the OSF project. However, the study was preregisted at AsPredicted
- I changed nesting to "no" (original), since the analysis contrasted two conditions
- I changed nesting to "no" (replication)</t>
  </si>
  <si>
    <t>Comfortable: circular-logo (vs. angular-logo)</t>
  </si>
  <si>
    <t>Contrasts revealed that participants rated the shoe as more comfortable in the circular-logo condition (Mcir= 6.50, standard deviation [SD]= 1.66) than in either the angular- (Mang=5.35, SD=1.65; F(1, 106)=8.17, p &lt; .01; n2 p = .113)</t>
  </si>
  <si>
    <t>p.6. Mcir= 6.50,  [SD]= 1.66)  (Mang=5.35, SD=1.65; F(1, 106)=8.17, p &lt; .01;</t>
  </si>
  <si>
    <t>p.6 (circular-logo: M = 5.33, SD = 1.35, vs. angular-logo: M = 5.34, SD = 1.30; F1,550 = 0.004, p = 0.949, η 2p = 0.000)</t>
  </si>
  <si>
    <t>OpenMKT7_c</t>
  </si>
  <si>
    <t>P.10, Table 5 In R also states r = 0.195 for O and r = 0.000 for R.</t>
  </si>
  <si>
    <t>Durable: angular-logo (vs. circular-logo)</t>
  </si>
  <si>
    <t>Participants rated the shoe as more durable in the angular-logo condition (Mang= 6.27, SD= 1.28) than in either the circular- (Mcir= 5.39, SD= 1.65; F(1, 106) = 4.36, p &lt; .05; n2p = .085)</t>
  </si>
  <si>
    <t>p.6, Mang= 6.27, SD= 1.28)  (Mcir= 5.39, SD= 1.65; F(1, 106) = 4.36, p &lt; .05;</t>
  </si>
  <si>
    <t>p.6 (angular-logo: M = 5.37, SD = 1.31 vs. circular-logo: M = 5.37, SD = 1.32; F1,550 = 0.0001, p = 0.994, η2p = 0.000).</t>
  </si>
  <si>
    <t>OpenMKT7_d</t>
  </si>
  <si>
    <t>- changed the link to the pre-registration of the replication study, since the link let to the OSF project. However, the study was preregisted at AsPredicted
- I changed nesting to "no" (original), since the analysis contrasted two conditions
- I changed nesting to "no" (replication)
- I changed the effect size of the original study and calculated it using the ES calculations sheet</t>
  </si>
  <si>
    <t>Attitude: logoshape vs control</t>
  </si>
  <si>
    <t>The effect of logo shape on overall attitude was not significant (</t>
  </si>
  <si>
    <t>p.6 Mcir = 4.65, SD = 1.75 vs. Mang = 5.01, SD = 1.42 vs. Mno-logo = 5.06, SD = .96; F &lt; 1, NS).</t>
  </si>
  <si>
    <t>p.6 (circular-logo: M = 5.08, SD = 1.23, vs. angular-logo: M = 5.13, SD = 1.20, vs. control: M = 5.18, SD = 1.21; F2,820 = 0.478, p = 0.620, n2p = 0.001).</t>
  </si>
  <si>
    <t>OpenMKT7</t>
  </si>
  <si>
    <t>A 2 x 3 mixed-measures analysis of variance (ANOVA), with comfortableness and durability treated as a repeated factor, revealed only a significant logo-shape-by-product-attribute interaction (F(2, 106) = 7.63, p &lt; .01) ," A circular logo enhanced perceptions of comfortableness but did not affect perceptions of durability. An angular logo enhanced perceptions of durability but did not affect perceptions of comfortableness."</t>
  </si>
  <si>
    <t>F(2, 106) = 7.63</t>
  </si>
  <si>
    <t>OpenMKT7_2</t>
  </si>
  <si>
    <t>Contrasts revealed that participants rated the shoe as more comfortable in the circular-logo condition (Mcir = 6.50, standard deviation [SD] = 1.66) than in either the angular- (Mang = 5.35, SD = 1.65; F(1, 106) = 8.17, p &lt; .01; n2p = .113) ," Supporting hypothesis 1, the circular logo led to more favorable perceptions of comfortableness (the softness-related attribute),"</t>
  </si>
  <si>
    <t>F(1, 106) = 8.17</t>
  </si>
  <si>
    <t>OpenMKT7_3</t>
  </si>
  <si>
    <t>Participants rated the shoe as more durable in the angular-logo condition (Mang = 6.27, SD = 1.28) than in either the circular- (Mcir = 5.39, SD = 1.65; F(1, 106) = 4.36, p &lt; .05; n2p = .085) ," Supporting hypothesis 1 "," the angular logo led to more favorable perceptions of durability (the hardness-related attribute)."</t>
  </si>
  <si>
    <t>F(1, 106) = 4.36</t>
  </si>
  <si>
    <t>OpenMKT8_1</t>
  </si>
  <si>
    <t>P.10, Table 5 In R also states r = 0.189 for O and r = 0.061 for R.</t>
  </si>
  <si>
    <t>- changed the link to the pre-registration of the replication study, since the link let to the OSF project. However, the study was preregisted at AsPredicted
- I changed nesting to "no" (replication)</t>
  </si>
  <si>
    <t>Chae, B., and Hoegg, J. (2013). The future looks “right”: effects of the horizontal location. of advertising images on product attitude. J. Consum. Res. 40, 223–238. doi: 10.1086/669476 Study 2</t>
  </si>
  <si>
    <t>10.1086/669476</t>
  </si>
  <si>
    <t>10.1086--669476.pdf</t>
  </si>
  <si>
    <t>Sensory Marketing, Positioning</t>
  </si>
  <si>
    <t>Interaction between position and desirable attribute on product attitude</t>
  </si>
  <si>
    <t>A 2 (position: left vs. right) # 3 (desirable attribute: antique vs. modern vs. control) ANOVA ... reveal an interaction between position and desirable attribute on product attitude</t>
  </si>
  <si>
    <t>(F(2, 173) = 6.62,</t>
  </si>
  <si>
    <t>p. 7 (F(2, 173) = 6.62, p &lt; .01).</t>
  </si>
  <si>
    <t>p. 7 (F2,732 = 2.758, p = 0.064, η2p = 0.008).</t>
  </si>
  <si>
    <t>OpenMKT8_b</t>
  </si>
  <si>
    <t>P.10, Table 5 In R also states r = 0.171 for O and r = −0.007 for R.</t>
  </si>
  <si>
    <t>Antique conditions increase favorable responses to product image on the left than on the right</t>
  </si>
  <si>
    <t>participants in the antique conditions were more favorable to the product when the ad displayed the product image on the left than on the right</t>
  </si>
  <si>
    <t>t(173) = 2.28</t>
  </si>
  <si>
    <t>p.7 (Mleft vs Mright = 5.69; t(173) = 2.28, p &lt;.05),</t>
  </si>
  <si>
    <t>p.7 (left: M = 5.95, SD = 1.47 vs. right: M = 5.98, SD = 1.53; F1,732 = 0.032, p = 0.859, η2p= 0.000).</t>
  </si>
  <si>
    <t>OpenMKT8_c</t>
  </si>
  <si>
    <t>P.10, Table 5 In R also states r = 0.208 for O and r = −0.031 for R.</t>
  </si>
  <si>
    <t>- changed the link to the pre-registration of the replication study, since the link let to the OSF project. However, the study was preregisted at AsPredicted
- the t-value was negative
- I changed nesting to "no" (replication)</t>
  </si>
  <si>
    <t>Modern conditions increase favorable responses to product image on the right than on the left</t>
  </si>
  <si>
    <t>participants right in the modern conditions were more favorable to the product when the ad displayed the product image on the right than on the left</t>
  </si>
  <si>
    <t>t(173) = -2.80</t>
  </si>
  <si>
    <t>p. 7 Mleft vs. Mright = 7.12 t(173) = 2.80, p&lt;01).</t>
  </si>
  <si>
    <t>p.7 (right: M = 5.47, SD = 1.41 vs. left: M = 5.63, SD = 1.68; F1,732 = 0.695, p = 0.405, η2p = 0.001).</t>
  </si>
  <si>
    <t>OpenMKT8_d</t>
  </si>
  <si>
    <t>Main effect of the desirable attribute</t>
  </si>
  <si>
    <t>A 2 (position: left vs. right) x 3 (desirable attribute: antique vs. modern vs. control) ANOVA indicated no main effects (F values  &lt; 1)</t>
  </si>
  <si>
    <t>p.7 (F2,732 = 7.952, p &lt; 0.001, η2p = 0.021)</t>
  </si>
  <si>
    <t>OpenMKT8_e</t>
  </si>
  <si>
    <t>Main effect of the position</t>
  </si>
  <si>
    <t>p.7 (F1,732 = 1.093, p = 0.296, η2p = 0.002).</t>
  </si>
  <si>
    <t>OpenMKT8</t>
  </si>
  <si>
    <t>No. of participants = 194 - 15 (excluded- could not identify shopping goal) = 179 (Study 2)</t>
  </si>
  <si>
    <t>consumers, cultures, horizontal position, product attitude, advertising images</t>
  </si>
  <si>
    <t>"A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</si>
  <si>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F(2, 173) = 6.62</t>
  </si>
  <si>
    <t>OpenMKT8_2</t>
  </si>
  <si>
    <t>"participants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</si>
  <si>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OpenMKT8_3</t>
  </si>
  <si>
    <t>"participants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</si>
  <si>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OpenMKT9_1</t>
  </si>
  <si>
    <t>P.10, Table 5 In R also states r = 0.261 for O and r = 0.022 for R.</t>
  </si>
  <si>
    <t>Cian, L., Krishna, A., and Elder, R. S. (2014). This logo moves me: dynamic imagery from static images. J. Market. Res. 51, 184–197. doi: 10.1509/jmr. 13.0023 Study 1</t>
  </si>
  <si>
    <t>10.1509/jmr.13.0023</t>
  </si>
  <si>
    <t>10.1509--jmr.13.0023.pdf</t>
  </si>
  <si>
    <t>dynamic imagery, logo design, brand attitudes, engagement, perceived movement</t>
  </si>
  <si>
    <t>The effect of logo dynamism (high and low) on brand attitudes.</t>
  </si>
  <si>
    <t>As we anticipated, there was a significant impact of logo dynamism on attitudes toward the brand (Mlower dynamism = 4.75, Mhigher dynamism = 5.58; F(1, 72) = 5.26, p &lt; .05), with higher logo dynamism leading to more favorable attitudes than the lower dynamism logo.</t>
  </si>
  <si>
    <t>F(1, 72) = 5.26</t>
  </si>
  <si>
    <t>p.5 (Mlower dynamism = 4.75, Mhigher dynamism = 5.58; , p &lt;.05),</t>
  </si>
  <si>
    <t>p. 7 M = 5.64, SD = 1.05; vs. low dynamism: M = 5.59, SD = 1.15; F1,821 = 0.393, p = 0.531, η2p = 0.001).</t>
  </si>
  <si>
    <t>OpenMKT9_b</t>
  </si>
  <si>
    <t>P.10, Table 5 In R also states r = 0.386 for O and r = 0.394 for R.</t>
  </si>
  <si>
    <t>The effect of logo dynamism (high and low) on perceived movement as a manipulation check</t>
  </si>
  <si>
    <t>the two logos differ in level of perceived movement (Mlower dynamism = 4.18, Mhigher dynamism = 5.47; F(1, 72) = 12.61, p &lt; .01), with higher logo dynamism leading to more perceived movement than lower logo dynamism.</t>
  </si>
  <si>
    <t>F(1, 72) = 12.61</t>
  </si>
  <si>
    <t>p.5 (Mlower dynamism = 4.18, Mhigher dynamism = 5.47; , p &lt; .01),</t>
  </si>
  <si>
    <t>p. 7 (high dynamism: M = 5.85, SD = 1.27, vs. low dynamism: M = 5.00, SD = 1.50; F1,821 = 77.863, p &lt; 0.001, η2p = 0.087).</t>
  </si>
  <si>
    <t>OpenMKT9</t>
  </si>
  <si>
    <t>The effect of logo dynamism (high and low) on brand attitudes</t>
  </si>
  <si>
    <t>"there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</si>
  <si>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OpenMKT9_2</t>
  </si>
  <si>
    <t>"the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</si>
  <si>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osc20151_1</t>
  </si>
  <si>
    <t>osc20151</t>
  </si>
  <si>
    <t>van Rijn, Corinna Gemmecke</t>
  </si>
  <si>
    <t>Unsure whether the F-test controlled for nesting, thus whether it was a repeated measures ANOVA</t>
  </si>
  <si>
    <t>Roelofs, A. (2008). Tracing attention and the activation flow in spoken word planning using eye movements. Journal of Experimental Psychology: Learning, Memory, and Cognition, 34(2), 353-368.</t>
  </si>
  <si>
    <t>10.1037/0278-7393.34.2.353</t>
  </si>
  <si>
    <t>10.1037--0278-7393.34.2.353.pdf</t>
  </si>
  <si>
    <r>
      <rPr>
        <rFont val="Calibri, sans-serif"/>
        <color rgb="FF000000"/>
        <sz val="11.0"/>
      </rPr>
      <t xml:space="preserve">Van Rijn, H., &amp; Scholz, S. (2023, September 28). Replication of A Roelofs (2008, JEPLMC 34(2), Exp 3). Retrieved from </t>
    </r>
    <r>
      <rPr>
        <rFont val="Calibri, sans-serif"/>
        <color rgb="FF1155CC"/>
        <sz val="11.0"/>
        <u/>
      </rPr>
      <t>osf.io/qwkum</t>
    </r>
  </si>
  <si>
    <t>10.1126/science.aac4716</t>
  </si>
  <si>
    <t>https://osf.io/janu3</t>
  </si>
  <si>
    <t>Van Rijn, H., &amp; Scholz, S. (2023, September 28). Replication of A Roelofs (2008, JEPLMC 34(2), Exp 3). Retrieved from osf.io/qwkum</t>
  </si>
  <si>
    <t>Picture–word asymmetry</t>
  </si>
  <si>
    <r>
      <rPr>
        <rFont val="Calibri, sans-serif"/>
        <color rgb="FF000000"/>
        <sz val="11.0"/>
      </rPr>
      <t xml:space="preserve">Association Learning, Attention, Color Perception, Computer Simulation, Eye Movements, Field Dependence-Independence, Humans, Pattern Recognition, Visual, Phonetics, Reaction Time, Reading, Semantics, Verbal Behavior,  </t>
    </r>
    <r>
      <rPr>
        <rFont val="Calibri, sans-serif"/>
        <color rgb="FF00FF00"/>
        <sz val="11.0"/>
      </rPr>
      <t>cascade processing, word production</t>
    </r>
  </si>
  <si>
    <t>Tracing attention and the activation flow in spoken word planning using eye movements.</t>
  </si>
  <si>
    <t>"Moreover, there were interactions of […] task and relation, F1(1, 13) = 7.11, MSE = 1,234, p = .02", "latencies of picture naming […] were longer in the semantically related than unrelated condition"</t>
  </si>
  <si>
    <t>F(1, 13) = 7.11</t>
  </si>
  <si>
    <r>
      <rPr>
        <rFont val="Arial, sans-serif"/>
        <color rgb="FF1155CC"/>
        <u/>
      </rPr>
      <t>https://osf.io/sptyb</t>
    </r>
  </si>
  <si>
    <t>Corinna, SAJ</t>
  </si>
  <si>
    <t>15.1.2025</t>
  </si>
  <si>
    <t>1. Second OSF link: https://osf.io/r8wt9
 2. Minor technical changes were made for the replication</t>
  </si>
  <si>
    <t xml:space="preserve">The second coder coded etasqu as the effect size but it was partial etasqu, corrected;
 coded as row as nested due to 160 trials per participant but no clear details about aggregation for the ANOVA, 
updated url for replication report,
Updated and combined key words and description for best results. </t>
  </si>
  <si>
    <r>
      <rPr>
        <rFont val="Calibri, sans-serif"/>
        <color rgb="FF00FF00"/>
        <sz val="11.0"/>
      </rPr>
      <t>Association Learning, Attention, Color Perception, Computer Simulation, Eye Movements, Field Dependence-Independence, Humans, Pattern Recognition, Visual, Phonetics, Reaction Time, Reading, Semantics, Verbal Behavior,</t>
    </r>
    <r>
      <rPr>
        <rFont val="Calibri, sans-serif"/>
        <color rgb="FF000000"/>
        <sz val="11.0"/>
      </rPr>
      <t xml:space="preserve"> cascade processing, word production</t>
    </r>
  </si>
  <si>
    <t>There were interactions of task and type, [...] task and relation, F1(1, 13) = 7.11, MSE = 1,234, p = .02 [...]</t>
  </si>
  <si>
    <r>
      <rPr>
        <rFont val="Arial, sans-serif"/>
        <color rgb="FF1155CC"/>
        <u/>
      </rPr>
      <t>https://osf.io/sptyb</t>
    </r>
  </si>
  <si>
    <t>osc201510_1</t>
  </si>
  <si>
    <t>osc201510</t>
  </si>
  <si>
    <t>Shaki, Corinna Gemmecke</t>
  </si>
  <si>
    <t>1/31/2025</t>
  </si>
  <si>
    <t xml:space="preserve">Differences regarding p-value of replication - report indicates it should be l&lt;, 
updated links to replication report, 
Updated and combined key words and description for best results. </t>
  </si>
  <si>
    <t>Ganor-Stern, D., &amp; Tzelgov, J. (2008). Across-notation automatic numerical processing. Journal of Experimental Psychology: Learning, Memory, and Cognition, 34(2), 430-437.</t>
  </si>
  <si>
    <t>10.1037/0278-7393.34.2.430</t>
  </si>
  <si>
    <t>10.1037--0278-7393.34.2.430.pdf</t>
  </si>
  <si>
    <t>Shaki, S. (2023, September 28). Replication of D Ganor-Stern, J Tzelgov (2008, JEPLMC 34(2), Exp. 2). Retrieved from osf.io/vmipw</t>
  </si>
  <si>
    <t>https://osf.io/7mgwh</t>
  </si>
  <si>
    <t>Comparative distance effect</t>
  </si>
  <si>
    <r>
      <rPr>
        <rFont val="Calibri, sans-serif"/>
        <color rgb="FF000000"/>
        <sz val="11.0"/>
      </rPr>
      <t xml:space="preserve">Association Learning, Attention, Automatism [psychology], Comprehension, Discrimination (Psychology), Humans, Multilingualism, Paired-Associate Learning, Pattern Recognition, Visual, Problem Solving, Psychophysics, Reaction Time, Size Perception, </t>
    </r>
    <r>
      <rPr>
        <rFont val="Calibri, sans-serif"/>
        <color rgb="FF00FF00"/>
        <sz val="11.0"/>
      </rPr>
      <t>numerical processing, numerical notations</t>
    </r>
  </si>
  <si>
    <t>Across-notation automatic numerical processing.</t>
  </si>
  <si>
    <t>"performance was enhanced in pairs with large compared with small intrapair numerical difference in both RT [reaction time], F(1, 28) 26.69, MSE 5,845, p .001, [...] a revealing a CDE
 consistent with the one found in Experiment 1."</t>
  </si>
  <si>
    <t>F(1, 28) = 26.69</t>
  </si>
  <si>
    <t>F(1, 29) = 45.27</t>
  </si>
  <si>
    <r>
      <rPr>
        <rFont val="Arial, sans-serif"/>
        <color rgb="FF1155CC"/>
        <u/>
      </rPr>
      <t>https://doi.org/10.17605/OSF.IO/693JY</t>
    </r>
  </si>
  <si>
    <t>1. The second OSF link: https://osf.io/z4yqw
 2. Since there was a minor change in the experimental design (exclusion of duration condition) I consider the study as close replication</t>
  </si>
  <si>
    <r>
      <rPr>
        <rFont val="Calibri, sans-serif"/>
        <color rgb="FF00FF00"/>
        <sz val="11.0"/>
      </rPr>
      <t>Association Learning, Attention, Automatism [psychology], Comprehension, Discrimination (Psychology), Humans, Multilingualism, Paired-Associate Learning, Pattern Recognition, Visual, Problem Solving, Psychophysics, Reaction Time, Size Perception,</t>
    </r>
    <r>
      <rPr>
        <rFont val="Calibri, sans-serif"/>
        <color rgb="FF000000"/>
        <sz val="11.0"/>
      </rPr>
      <t xml:space="preserve"> numerical processing, numerical notations</t>
    </r>
  </si>
  <si>
    <t>Performance was enhanced in pairs with large compared with small intrapair numerical difference in [...] RT, F(1, 28) = 26.69, MSE = 5,845, p &lt; .001</t>
  </si>
  <si>
    <r>
      <rPr>
        <rFont val="Arial, sans-serif"/>
        <color rgb="FF1155CC"/>
        <u/>
      </rPr>
      <t>https://osf.io/693jy</t>
    </r>
  </si>
  <si>
    <t>osc2015104_1</t>
  </si>
  <si>
    <t>osc2015104</t>
  </si>
  <si>
    <t>Foster, Corinna Gemmecke</t>
  </si>
  <si>
    <t xml:space="preserve">Main difference was that the second coder said that it is a conceptual replication. This is a rather subjective judgement call, both codings could be considered valid (validator CG)- (2-close chosen as seems most appropriate to me SAJ).
Updated links to replication report, 
Updated and combined key words and description for best results. 
</t>
  </si>
  <si>
    <t>Alter, A.A., &amp; Oppenheimer, D.M. (2008). Effects of fluency on psychological distance and mental construal (or why New York is a large city, but New York is a civilized jungle). Psychological Science, 19, 161-167.</t>
  </si>
  <si>
    <t>10.1111/j.1467-9280.2008.02062.x</t>
  </si>
  <si>
    <t>10.1111--j.1467-9280.2008.02062.x.pdf</t>
  </si>
  <si>
    <t>Foster, J. D. (2023, September 28). Replication of Alter &amp; Oppenheimmer (2008, PS, Study 2B). Retrieved from osf.io/kegmc</t>
  </si>
  <si>
    <t>https://osf.io/jym7h</t>
  </si>
  <si>
    <t>Conceptual priming fluency</t>
  </si>
  <si>
    <r>
      <rPr>
        <rFont val="Calibri, sans-serif"/>
        <color rgb="FF000000"/>
        <sz val="11.0"/>
      </rPr>
      <t xml:space="preserve">Adult, Distance Perception, Environment, Female, Humans, Male, Perception, Questionnaires, Visual Perception, </t>
    </r>
    <r>
      <rPr>
        <rFont val="Calibri, sans-serif"/>
        <color rgb="FF00FF00"/>
        <sz val="11.0"/>
      </rPr>
      <t>Сonstrual level theory, distance perception, environment, questionnaires, fluency</t>
    </r>
  </si>
  <si>
    <t>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</si>
  <si>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"As expected, the percentage of concrete- preferring participants was higher when Los Angeles had been primed earlier in the study (53%) than when Los Angeles had not been primed (41%), X2(1, N = 236) = 3.83, p = .05, prep = .92, phi = .13."</t>
  </si>
  <si>
    <t>p. 4; X^2 = 3.83</t>
  </si>
  <si>
    <t>p. 5; X2(1) = .387</t>
  </si>
  <si>
    <r>
      <rPr>
        <rFont val="Arial, sans-serif"/>
        <color rgb="FF1155CC"/>
        <u/>
      </rPr>
      <t>https://doi.org/10.17605/OSF.IO/8EW6S</t>
    </r>
  </si>
  <si>
    <t>1. This was an online replication, thus -&gt; conceptual</t>
  </si>
  <si>
    <r>
      <rPr>
        <rFont val="Calibri, sans-serif"/>
        <color rgb="FF00FF00"/>
        <sz val="11.0"/>
      </rPr>
      <t xml:space="preserve">Adult, Distance Perception, Environment, Female, Humans, Male, Perception, Questionnaires, Visual Perception, </t>
    </r>
    <r>
      <rPr>
        <rFont val="Calibri, sans-serif"/>
        <color rgb="FF000000"/>
        <sz val="11.0"/>
      </rPr>
      <t>Сonstrual level theory, distance perception, environment, questionnaires, fluency</t>
    </r>
  </si>
  <si>
    <t>The percentage of concrete-preferring participants was higher when Los Angeles had been primed earlier in the study (53%) than when Los Angeles had not been primed (41%), X2(1,N=236) = 3.83, p = .05, p-rep = .92, V = .13</t>
  </si>
  <si>
    <r>
      <rPr>
        <rFont val="Arial, sans-serif"/>
        <color rgb="FF1155CC"/>
        <u/>
      </rPr>
      <t>https://osf.io/8ew6s</t>
    </r>
  </si>
  <si>
    <t>osc2015106_1</t>
  </si>
  <si>
    <t>osc2015106</t>
  </si>
  <si>
    <t>Fitneva, Corinna Gemmecke</t>
  </si>
  <si>
    <t xml:space="preserve">The codings largely align - only tags and effect size description differed, 
Updated links to replication report, 
Updated and combined keywords/tags and description for best results. 
</t>
  </si>
  <si>
    <t>Dessalegn, B. &amp; Landau, B. (2008). More than meets the eye: The role of language in binding visual properties. Psychological Science, 19(2), 189-195.</t>
  </si>
  <si>
    <t>10.1111/j.1467-9280.2008.02066.x</t>
  </si>
  <si>
    <t>10.1111--j.1467-9280.2008.02066.x.pdf</t>
  </si>
  <si>
    <r>
      <rPr>
        <rFont val="Calibri, sans-serif"/>
        <color rgb="FF000000"/>
        <sz val="11.0"/>
      </rPr>
      <t xml:space="preserve">Fitneva, S. A. (2023, September 28). Replication of Dessalegn &amp; Landau (2008, PS, Study 4). Retrieved from </t>
    </r>
    <r>
      <rPr>
        <rFont val="Calibri, sans-serif"/>
        <color rgb="FF1155CC"/>
        <sz val="11.0"/>
        <u/>
      </rPr>
      <t>osf.io/iajp5</t>
    </r>
  </si>
  <si>
    <t>https://osf.io/83n4z</t>
  </si>
  <si>
    <t>Effect of language on vision</t>
  </si>
  <si>
    <r>
      <rPr>
        <rFont val="Calibri, sans-serif"/>
        <color rgb="FF000000"/>
        <sz val="11.0"/>
      </rPr>
      <t xml:space="preserve">Child, Preschool, Cognition, Cues, Female, Humans, Language, Male, </t>
    </r>
    <r>
      <rPr>
        <rFont val="Calibri, sans-serif"/>
        <color rgb="FF00FF00"/>
        <sz val="11.0"/>
      </rPr>
      <t>color-location conjunctions, language-vision interactions</t>
    </r>
  </si>
  <si>
    <t>More than meets the eye: the role of language in binding and maintaining feature conjunctions.; table: directional language (e.g., to the left) helps children bind color and shape information to a greater extent than relational language alone ( e.g., next to)</t>
  </si>
  <si>
    <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</si>
  <si>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p. 5; F(1, 34) = 5.8</t>
  </si>
  <si>
    <r>
      <rPr>
        <rFont val="Arial, sans-serif"/>
        <color rgb="FF1155CC"/>
        <u/>
      </rPr>
      <t>https://doi.org/10.17605/OSF.IO/4KR6E</t>
    </r>
  </si>
  <si>
    <t>1. Changes were mostly connected with sample and statistical tools</t>
  </si>
  <si>
    <t>Fitneva, S. A. (2023, September 28). Replication of Dessalegn &amp; Landau (2008, PS, Study 4). Retrieved from osf.io/iajp5</t>
  </si>
  <si>
    <t>Language-vision interactions</t>
  </si>
  <si>
    <r>
      <rPr>
        <rFont val="Calibri, sans-serif"/>
        <color rgb="FF00FF00"/>
        <sz val="11.0"/>
      </rPr>
      <t>Child, Preschool, Cognition, Cues, Female, Humans, Language, Male,</t>
    </r>
    <r>
      <rPr>
        <rFont val="Calibri, sans-serif"/>
        <color rgb="FF000000"/>
        <sz val="11.0"/>
      </rPr>
      <t xml:space="preserve"> color-location conjunctions, language-vision interactions</t>
    </r>
  </si>
  <si>
    <t>Directional language (e.g., to the left) helps children bind color and shape information to a greater extent</t>
  </si>
  <si>
    <t>A 2 (condition) × 3 (target type) mixed analysis of variance on percentage correct showed a main effect of condition, F(1,34) = 5.8, p &lt; .05, p-rep &gt; .90, d = 0.82, but no effect of target type and no interaction</t>
  </si>
  <si>
    <r>
      <rPr>
        <rFont val="Arial, sans-serif"/>
        <color rgb="FF1155CC"/>
        <u/>
      </rPr>
      <t>https://osf.io/4kr6e</t>
    </r>
  </si>
  <si>
    <t>osc2015107_1</t>
  </si>
  <si>
    <t>osc2015107</t>
  </si>
  <si>
    <t>Prenoveau, Corinna Gemmecke</t>
  </si>
  <si>
    <t>The table states that the p-value of the original effect size is two-tailed but the report does not include this information.; Authors reported p-rep instead of p-value</t>
  </si>
  <si>
    <t>Difference is that the second coder said that it is a conceptual replication. I think this is a rather subjective judgement call and thus both codings should be valid (validator CG) - validator SAJ chose 2-close as most appropriate due to use of shared original materials from original authors.  
Moreover the second coder describes the p-value as 2-tailed, but the report does not indicate that this is true (validator CG).
Updated links to replication report, (SAJ).</t>
  </si>
  <si>
    <t>Eitam, B., Hassin, R. R., &amp; Schul, Y. (2008). Nonconscious goal pursuit in novel environments: The case of implicit learning. Psychological Science, 19, 261-267.</t>
  </si>
  <si>
    <t>10.1111/j.1467-9280.2008.02078.x</t>
  </si>
  <si>
    <t>10.1111--j.1467-9280.2008.02078.x.pdf</t>
  </si>
  <si>
    <t>Prenoveau, J. M., &amp; Kirkhart, M. W. (2023, September 28). Replication of Eitam, Hassin, &amp; Schul (2008, PS, Study 2). Retrieved from osf.io/edcr7</t>
  </si>
  <si>
    <t>https://osf.io/x75fq</t>
  </si>
  <si>
    <t>Nonconscious goal pursuit in novel environments</t>
  </si>
  <si>
    <t>Achievement, Awareness, Cues, Goals, Humans, Mental Recall, Motivation, Orientation, Pattern Recognition, Visual, Problem Solving, Reaction Time, Serial Learning, Social Environment, Unconscious (Psychology), Verbal Learning</t>
  </si>
  <si>
    <t>goal primed participants learned more than participants in the control group</t>
  </si>
  <si>
    <t>"As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</si>
  <si>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p. 5; t(84) = 2.09</t>
  </si>
  <si>
    <t>p. 15; t(156) = 1.318</t>
  </si>
  <si>
    <r>
      <rPr>
        <rFont val="Arial, sans-serif"/>
        <color rgb="FF1155CC"/>
        <u/>
      </rPr>
      <t>https://doi.org/10.17605/OSF.IO/NMRJG</t>
    </r>
  </si>
  <si>
    <t>1. Most changes of the task were connected with its adaptation to another language. Depending on language (here Eng -&gt; Hebrew) it is a big or small change. I would consider this to be a big change, along with authors description
 2. Authors reported p-replication (probability of replication) instead of p-value</t>
  </si>
  <si>
    <t>Nonconscious Goal Pursuit</t>
  </si>
  <si>
    <t>Achievement, Awareness, Cues, Goals, Mental Recall, Motivation, Orientation, Pattern Recognition, Visual, Problem Solving, Reaction Time, Serial Learning, Social Environment, Unconscious, Verbal Learning</t>
  </si>
  <si>
    <t>Goal priming leads to better learning</t>
  </si>
  <si>
    <t>As hypothesized, primed participants learned more than participants in the control group, t(84) = 2.09, p-rep = .92, d = 0.45 (see Table 2)</t>
  </si>
  <si>
    <r>
      <rPr>
        <rFont val="Arial, sans-serif"/>
        <color rgb="FF1155CC"/>
        <u/>
      </rPr>
      <t>https://osf.io/nmrjg</t>
    </r>
  </si>
  <si>
    <t>osc2015109_1</t>
  </si>
  <si>
    <t>osc2015109</t>
  </si>
  <si>
    <t>Exclusion</t>
  </si>
  <si>
    <t>Bannard, C., &amp; Matthews, D. (2008). Stored word sequences in language learning: The effect of familiarity on children's repetition of four-word combinations. Psychological science, 19(3), 241-248.</t>
  </si>
  <si>
    <t>10.1111/j.1467-9280.2008.02075.x</t>
  </si>
  <si>
    <t>10.1111--j.1467-9280.2008.02075.x.pdf</t>
  </si>
  <si>
    <t>Attention, Child, Preschool, Female, Generalization (Psychology), Humans, Language Development, Male, Mental Recall, Reaction Time, Retention (Psychology), Semantics, Serial Learning, Speech Perception</t>
  </si>
  <si>
    <t>Stored word sequences in language learning</t>
  </si>
  <si>
    <t>1. No replication study</t>
  </si>
  <si>
    <t>osc201511_1</t>
  </si>
  <si>
    <t>osc201511</t>
  </si>
  <si>
    <t>Bosco, Corinna Gemmecke</t>
  </si>
  <si>
    <t>Difference between etasqu. and partial etasqu.; The report states that it is partial etasqu.; Difference in "nested_r" (yes versus no) but the report states that they used a repeated measure ANOVA; --&gt; coded as partial, nested_r = yes (Validator CG)
Updated links to replication report, 
Updated and combined keywords/tags (Validator SAJ).</t>
  </si>
  <si>
    <t>Mirman, D., &amp; Magnuson, J. S. (2008). Attractor dynamics and semantic neighborhood density: Processing is slowed by near neighbors and speeded by distant neighbors. Journal of Experimental Psychology: Learning, Memory, and Cognition, 34, 65-79.</t>
  </si>
  <si>
    <t>10.1037/0278-7393.34.1.65</t>
  </si>
  <si>
    <t>10.1037--0278-7393.34.1.65.pdf</t>
  </si>
  <si>
    <t>Bosco, F., &amp; Field, J. G. (2016, August 19). Replication of Mirman &amp; Magnuson (2008, JEP:LMC, Study 2). Retrieved from osf.io/rvkc5</t>
  </si>
  <si>
    <t>https://osf.io/r57hu</t>
  </si>
  <si>
    <t>semantic neighbohood effect</t>
  </si>
  <si>
    <r>
      <rPr>
        <rFont val="Calibri, sans-serif"/>
        <color rgb="FF000000"/>
        <sz val="11.0"/>
      </rPr>
      <t xml:space="preserve">Association Learning, Attention, Humans, Inhibition (Psychology), Orientation, Reaction Time, Reading, Semantics, </t>
    </r>
    <r>
      <rPr>
        <rFont val="Calibri, sans-serif"/>
        <color rgb="FF00FF00"/>
        <sz val="11.0"/>
      </rPr>
      <t>neighborhood density, word recognition, attractor networks</t>
    </r>
  </si>
  <si>
    <t>Words with many near neighbors (e.g., chicken) were associated with an increased level of processing (i.e., categorized more slowly) compared to words with few near neighbors</t>
  </si>
  <si>
    <t>"As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</si>
  <si>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p. 12; F(1, 21) = 17.3</t>
  </si>
  <si>
    <t>p. 4; F (1, 29) = 8.064</t>
  </si>
  <si>
    <r>
      <rPr>
        <rFont val="Arial, sans-serif"/>
        <color rgb="FF1155CC"/>
        <u/>
      </rPr>
      <t>https://doi.org/10.17605/OSF.IO/PK952</t>
    </r>
  </si>
  <si>
    <t>Bosco</t>
  </si>
  <si>
    <t>1. There were severa differences in experimental setup (common room), but authors of replication and original authors stated that it does not produce big differences -&gt; close replication</t>
  </si>
  <si>
    <t>Semantic nearness</t>
  </si>
  <si>
    <r>
      <rPr>
        <rFont val="Calibri, sans-serif"/>
        <color rgb="FF00FF00"/>
        <sz val="11.0"/>
      </rPr>
      <t>Association Learning, Attention, Humans, Inhibition (Psychology), Orientation, Reaction Time, Reading</t>
    </r>
    <r>
      <rPr>
        <rFont val="Calibri, sans-serif"/>
        <color rgb="FF000000"/>
        <sz val="11.0"/>
      </rPr>
      <t>, Semantics, neighborhood density, word recognition, attractor networks</t>
    </r>
  </si>
  <si>
    <t>As predicted, words with many near neighbors were categorized more slowly than words with few near neighbors (24 ms), F1​(1,21) = 17.3, p &lt; .001, partial η2 = 0.45; F2(1,95) = 4.6, p &lt; .05, partial η2 = 0.05, and words with many distant neighbors were categorized more quickly than words with few distant neighbors (11 ms), F1​(1,21) = 5.2, p &lt; .05, partial η2 = 0.20; F2 ​&lt; 1.</t>
  </si>
  <si>
    <r>
      <rPr>
        <rFont val="Arial, sans-serif"/>
        <color rgb="FF1155CC"/>
        <u/>
      </rPr>
      <t>https://osf.io/pk952</t>
    </r>
  </si>
  <si>
    <t>osc2015110_1</t>
  </si>
  <si>
    <t>osc2015110</t>
  </si>
  <si>
    <t>Munafo, Corinna Gemmecke</t>
  </si>
  <si>
    <t>Nesting in study resolved to be present</t>
  </si>
  <si>
    <t>Farris, C., Treat, T.A., Viken, R.J., &amp; McFall, R.M. (2008). Perceptual mechanisms that characterize gender differences in decoding women's sexual intent. Psychological Science, 19(4), 348-354.</t>
  </si>
  <si>
    <t>10.1111/j.1467-9280.2008.02092.x</t>
  </si>
  <si>
    <t>10.1111--j.1467-9280.2008.02092.x.pdf</t>
  </si>
  <si>
    <t>Attwood, A. S., Andy, Easey, K., Penton-Voak, I., &amp; Munafo, M. R. (2016, August 19). Replication of C Farris, TA Treat, RJ Viken, and RM McFall (2008, PS 19(4)). Retrieved from osf.io/7dyp5</t>
  </si>
  <si>
    <t>gender differences in perceptual mechanisms</t>
  </si>
  <si>
    <t>Adult, Decision Making, Female, Humans, Intention, Male, Models, Psychological, Pilot Projects, Sex Factors, Sexual Behavior, Social Perception</t>
  </si>
  <si>
    <t>male participants were less sensitive to the distinction between friendliness and sexual interest than women, suggesting that gender differences are due to perceptual insensitivity in men</t>
  </si>
  <si>
    <t>"Compared with women (ln(a) 5 2.30), men (ln(a) 5 1.61) were significantly less sensitive to the dis- tinction between friendliness and sexual interest, F(1, 278) = 123.38, p &lt; .001, ηp2 = .326."</t>
  </si>
  <si>
    <t>p. 4; F(1, 278) = 123.38</t>
  </si>
  <si>
    <t>p. 4; F(1, 142) = 1.19</t>
  </si>
  <si>
    <r>
      <rPr>
        <rFont val="Arial, sans-serif"/>
        <color rgb="FF1155CC"/>
        <u/>
      </rPr>
      <t>https://doi.org/10.17605/OSF.IO/WMBP2</t>
    </r>
  </si>
  <si>
    <t>Perception of sexual intent</t>
  </si>
  <si>
    <t>Decision Making, Intention, Models, Psychological, Pilot Projects, Sex Factors, Sexual Behavior, Social Perception, perception bias, choice-prediction model, GLM</t>
  </si>
  <si>
    <t>Male participants were less sensitive to the distinction between friendliness and sexual interest (perceptual insensitivity in men)</t>
  </si>
  <si>
    <t>Compared with women (ln(a) = 2.30), men (ln(a) = 1.61) were significantly less sensitive to the distinction between friendliness and sexual interest, F(1,278) = 123.38, p &lt; .001, partial η2​ = .326</t>
  </si>
  <si>
    <r>
      <rPr>
        <rFont val="Arial, sans-serif"/>
        <color rgb="FF1155CC"/>
        <u/>
      </rPr>
      <t>https://osf.io/wmbp2</t>
    </r>
  </si>
  <si>
    <t>osc2015111_1</t>
  </si>
  <si>
    <t>osc2015111</t>
  </si>
  <si>
    <t>Chandler, Corinna Gemmecke</t>
  </si>
  <si>
    <t>Differences regarding the experiment, claim and effect. The authors report that the replicated Experiment 4a, which matches with the data in the table.</t>
  </si>
  <si>
    <t>Janiszewski, C., D. Uy. 2008. Anchor precision influences the amount of adjustment. Psychological Science, 19,121–127.</t>
  </si>
  <si>
    <t>10.1111/j.1467-9280.2008.02057.x</t>
  </si>
  <si>
    <t>4a</t>
  </si>
  <si>
    <t>10.1111--j.1467-9280.2008.02057.x.pdf</t>
  </si>
  <si>
    <t>Chandler, J. J. (2016, August 19). Replication of Janiszewski &amp; Uy (2008, PS, Study 4b). Retrieved from osf.io/aaudl</t>
  </si>
  <si>
    <t>10.17605/OSF.IO/ehjdm</t>
  </si>
  <si>
    <t>Anchor heuristics</t>
  </si>
  <si>
    <t>Humans, Judgment, Mathematics</t>
  </si>
  <si>
    <t>increased anchor precision leads to decreased adjustment by participants</t>
  </si>
  <si>
    <t>"In Experiment 4a, there was a Motivation to Adjust X Scale Unit Width interaction, F(1, 55) = 6.88, prep = .947, w2 = .02."</t>
  </si>
  <si>
    <t>F(1, 55) = 6.88</t>
  </si>
  <si>
    <t>p. 2; F(1,116) = 6.28</t>
  </si>
  <si>
    <r>
      <rPr>
        <rFont val="Arial, sans-serif"/>
        <color rgb="FF1155CC"/>
        <u/>
      </rPr>
      <t>https://doi.org/10.17605/OSF.IO/HPK2M</t>
    </r>
  </si>
  <si>
    <t>1. Minor changes to the paradigm
 2. Authors reported p-replication (probability of replication) instead of p-value</t>
  </si>
  <si>
    <t>Numerical judgments</t>
  </si>
  <si>
    <t>Numerical anchor, numerical judgments, bias</t>
  </si>
  <si>
    <t>Increased anchor precision leads to decreased adjustment by participants</t>
  </si>
  <si>
    <t>In Experiment 4b, there was also a Motivation to Adjust × Scale Unit Width interaction, F(1, 145) = 4.01, p-rep = .882, omega² = .02</t>
  </si>
  <si>
    <r>
      <rPr>
        <rFont val="Arial, sans-serif"/>
        <color rgb="FF1155CC"/>
        <u/>
      </rPr>
      <t>https://osf.io/hpk2m</t>
    </r>
  </si>
  <si>
    <t>osc2015112_1</t>
  </si>
  <si>
    <t>osc2015112</t>
  </si>
  <si>
    <t>Saxe, Corinna Gemmecke</t>
  </si>
  <si>
    <t>31.01.205</t>
  </si>
  <si>
    <t>Both codings align</t>
  </si>
  <si>
    <t>C McKinstry, R Dale, MJ Spivey (2008). Action dynamics reveal parallel competition in decision making. Psychological Science, 19.1: 22-24.</t>
  </si>
  <si>
    <t>10.1111/j.1467-9280.2008.02041.x</t>
  </si>
  <si>
    <t>10.1111--j.1467-9280.2008.02041.x.pdf</t>
  </si>
  <si>
    <t>Saxe, R., Vélez, N., &amp; Feather, J. (2016, August 19). Replication of McKinstry, Dale, &amp; Spivey (2008, PS). Retrieved from osf.io/d0n81</t>
  </si>
  <si>
    <t>Adolescent, Adult, Attention, Choice Behavior, Conflict (Psychology), Decision Making, Female, Humans, Male, Psychomotor Performance, Reaction Time, Set (Psychology), Thinking</t>
  </si>
  <si>
    <t>Sample entropy was higher for middle-truth-value questions than for low- and high-truth-value questions</t>
  </si>
  <si>
    <t>"Sample entropy was higher for middle-truth-value questions than for low- and high-truth-value questions (see Fig. 1d), quadratic r = .70, F(1, 9) = 8.7, p &lt; .05, prep 5 .939."</t>
  </si>
  <si>
    <t>p. 3; F(1, 9) = 8.7</t>
  </si>
  <si>
    <t>p. 4; F(1, 9) = 11.6</t>
  </si>
  <si>
    <r>
      <rPr>
        <rFont val="Arial, sans-serif"/>
        <color rgb="FF1155CC"/>
        <u/>
      </rPr>
      <t>https://doi.org/10.17605/OSF.IO/WZXQ9</t>
    </r>
  </si>
  <si>
    <t>3 further effects (all n.s. in original study)</t>
  </si>
  <si>
    <t>Decision making</t>
  </si>
  <si>
    <t>Choice, conflict Decision making, Female, Humans, Male, psychomotor performance, multiple response alternatives</t>
  </si>
  <si>
    <t>Sample entropy was higher for middle-truth-value questions than for low- and high-truth-value questions (see Fig. 1d), quadratic r = -.70, F(1,9) = 8.7, p &lt; .05, prep = .939</t>
  </si>
  <si>
    <r>
      <rPr>
        <rFont val="Arial, sans-serif"/>
        <color rgb="FF1155CC"/>
        <u/>
      </rPr>
      <t>https://osf.io/wzxq9</t>
    </r>
  </si>
  <si>
    <t>osc2015113_1</t>
  </si>
  <si>
    <t>osc2015113</t>
  </si>
  <si>
    <t>Lassetter, Corinna Gemmecke</t>
  </si>
  <si>
    <t>Authors reported p-rep instead of p-value</t>
  </si>
  <si>
    <t>All values align, except for the closeness. I think this would be again a jugdgement call.</t>
  </si>
  <si>
    <t>Armor, D.A., Massey, C., &amp; Sackett, A.M. 2008. Prescribed optimism: Is it right to be wrong about the future? Psychological Science, 19, 329-331.</t>
  </si>
  <si>
    <t>10.1111/j.1467-9280.2008.02089.x</t>
  </si>
  <si>
    <t>10.1111--j.1467-9280.2008.02089.x.pdf</t>
  </si>
  <si>
    <t>Lassetter, B., Brandt, M. J., van ’t Veer, A. E., &amp; Mehta, P. (2023, September 28). Replication of Armor, Massey &amp; Sackett (2008, PS, Study 1). Retrieved from osf.io/qlzap</t>
  </si>
  <si>
    <t>optimistic bias</t>
  </si>
  <si>
    <t>Affect, Attitude, Coercion, Forecasting, Humans, Time Perception</t>
  </si>
  <si>
    <t>among accurate, optimistic, or pessimistic predictions, participants are most likely to recommend optimisitic predictions</t>
  </si>
  <si>
    <t>"Participants clearly prescribed optimism. Those asked to pro- vide prescriptions recommended predictions that were opti- mistic (M = 1.12), t(124) = 10.36, prep &gt; .99, d = 0.93."</t>
  </si>
  <si>
    <t>p. 1; t(124) =10.36</t>
  </si>
  <si>
    <t>p. 6; t(175) = 15.64</t>
  </si>
  <si>
    <r>
      <rPr>
        <rFont val="Arial, sans-serif"/>
        <color rgb="FF1155CC"/>
        <u/>
      </rPr>
      <t>https://osf.io/wbs96</t>
    </r>
  </si>
  <si>
    <t>1 additional effect</t>
  </si>
  <si>
    <t>1. Authors of replication stated about potential differences on the effect due to cultural differences. Since it is an important factor for the results -&gt; conceptual replication
 2. Authors reported p-replication (probability of replication) instead of p-value</t>
  </si>
  <si>
    <t>Optimistic bias</t>
  </si>
  <si>
    <t>Affect, Attitude, Coercion, Forecasting, Humans, Time Perception, predictions</t>
  </si>
  <si>
    <t>Participants are most likely to recommend optimisitic predictions</t>
  </si>
  <si>
    <t>Those asked to provide prescriptions recommended predictions that were optimistic (M = 1.12), t(124) = 10.36, p-rep &gt; .99, d = 0.93</t>
  </si>
  <si>
    <r>
      <rPr>
        <rFont val="Arial, sans-serif"/>
        <color rgb="FF1155CC"/>
        <u/>
      </rPr>
      <t>https://osf.io/wbs96</t>
    </r>
  </si>
  <si>
    <t>osc2015114_1</t>
  </si>
  <si>
    <t>osc2015114</t>
  </si>
  <si>
    <t>Vasquez, Corinna Gemmecke</t>
  </si>
  <si>
    <t>The ANOVA of the replication report deviates from the one in the table (I chose the report). The table states that the test was two-tailed, but this information is not provided in the report.; Authors reported p-rep instead of p-value</t>
  </si>
  <si>
    <t>Difference in "nested_o": But the authors performed a repeated measures ANOVA</t>
  </si>
  <si>
    <t>Addis, D.R., Wong, A.T., &amp; Schacter, D.L. (2008). Age-related changes in the episodic simulation of future events. Psychological Science, 19(1), 33-41.</t>
  </si>
  <si>
    <t>10.1111/j.1467-9280.2008.02043.x</t>
  </si>
  <si>
    <t>10.1111--j.1467-9280.2008.02043.x.pdf</t>
  </si>
  <si>
    <t>Vásquez-Echeverría, A. (2023, September 28). Replication of DR Addis, AT Wong, DL Schacter (2008, PS 19(1)). Retrieved from osf.io/yaeu7</t>
  </si>
  <si>
    <t>Episodic memory</t>
  </si>
  <si>
    <t>Adult, Aged, Aging [psychology], Female, Humans, Imagination, Life Change Events, Male, Mental Recall, Middle Aged, Neuropsychological Tests, Word Association Tests</t>
  </si>
  <si>
    <t>Age-related changes in the episodic simulation of future events</t>
  </si>
  <si>
    <t>"Of most interest here, we found significant group differences, with older adults producing fewer internal details, F(1, 30) = 14.49, prep = .99, η2 = .326"</t>
  </si>
  <si>
    <t>p. 4; F(1,30) = 14.49</t>
  </si>
  <si>
    <t>p. 5; F (1,30) = 21.92</t>
  </si>
  <si>
    <r>
      <rPr>
        <rFont val="Arial, sans-serif"/>
        <color rgb="FF1155CC"/>
        <u/>
      </rPr>
      <t>https://osf.io/e89gh</t>
    </r>
  </si>
  <si>
    <t>no further effects</t>
  </si>
  <si>
    <t>1. In RPP table the study is attributed to Social studies, but it is rather Neuroscience
 2. Authors reported p-replication (probability of replication) instead of p-value</t>
  </si>
  <si>
    <t>Aged, Aging, Imagination, Life Change Events, Mental Recall, Middle Aged, Neuropsychological Tests, Word Association Tests</t>
  </si>
  <si>
    <t>Older adults produced fewer internal details, but more external details than young adults</t>
  </si>
  <si>
    <t>Of most interest here, we found significant group differences, with older adults producing fewer internal details, F(1,30) = 14.49, p-rep = .99, η2 = .326, but more external details, F(1,30) = 6.54, p-rep &gt; .94, η2 = .179, than young adults (see Fig. 1a)</t>
  </si>
  <si>
    <r>
      <rPr>
        <rFont val="Arial, sans-serif"/>
        <color rgb="FF1155CC"/>
        <u/>
      </rPr>
      <t>https://osf.io/e89gh</t>
    </r>
  </si>
  <si>
    <t>osc2015115_1</t>
  </si>
  <si>
    <t>osc2015115</t>
  </si>
  <si>
    <t>Brown, Corinna Gemmecke</t>
  </si>
  <si>
    <t>The codings align.</t>
  </si>
  <si>
    <t>Nurmsoo, E., &amp; Bloom, P. (2008). Preschoolers' Perspective Taking in Word Learning Do They Blindly Follow Eye Gaze?. Psychological Science, 19(3), 211-215.</t>
  </si>
  <si>
    <t>10.1111/j.1467-9280.2008.02069.x</t>
  </si>
  <si>
    <t>10.1111--j.1467-9280.2008.02069.x.pdf</t>
  </si>
  <si>
    <t>Brown, B. T., Kleinberg, B., Hicks, G., Bentley, H., Attridge, P. R., Eboigbe, S., … Brown, K. (2023, September 28). Replication of Nurmsoo &amp; Bloom (2008, PS, Study 1). Retrieved from osf.io/aczvt</t>
  </si>
  <si>
    <t>10.17605/osf.io/ictp5</t>
  </si>
  <si>
    <t>preschooler’s perspective taking in word learning</t>
  </si>
  <si>
    <t>Attention, Child, Preschool, Comprehension, Female, Humans, Language Development, Male, Personal Construct Theory, Semantics, Verbal Learning, Visual Perception</t>
  </si>
  <si>
    <t>When learning an object name, young children often assume that the name refers to the object the speaker is looking at, even if the children themselves are looking at a different object when the word is used</t>
  </si>
  <si>
    <t>"Only older children’s performance was consistently above chance level, t(31) = 3.23, p-rep = .97"</t>
  </si>
  <si>
    <t>t(31) = 3.23</t>
  </si>
  <si>
    <t>0.286; t(7) = -1.426</t>
  </si>
  <si>
    <r>
      <rPr>
        <rFont val="Arial, sans-serif"/>
        <color rgb="FF1155CC"/>
        <u/>
      </rPr>
      <t>https://doi.org/10.17605/OSF.IO/VK6D9</t>
    </r>
  </si>
  <si>
    <t>1. Authors reported p-replication (probability of replication) instead of p-value</t>
  </si>
  <si>
    <t>Visual perspective</t>
  </si>
  <si>
    <t>Attention, Preschool, Comprehension, Language Development, Personal Construct Theory, Semantics, Verbal Learning, Visual Perception</t>
  </si>
  <si>
    <t>Older children were able to disregard these gaze cues and identify the correct referent, although the younger children were not</t>
  </si>
  <si>
    <t>Only older children’s performance was consistently above chance level, t(31) = 3.23, p-rep = .97</t>
  </si>
  <si>
    <t>t(7) = -1.426</t>
  </si>
  <si>
    <r>
      <rPr>
        <rFont val="Arial, sans-serif"/>
        <color rgb="FF1155CC"/>
        <u/>
      </rPr>
      <t>https://osf.io/ictp5</t>
    </r>
  </si>
  <si>
    <t>osc2015116_1</t>
  </si>
  <si>
    <t>osc2015116</t>
  </si>
  <si>
    <t>Vanpaemel, Corinna Gemmecke</t>
  </si>
  <si>
    <t>The table states that the p-value of the original study was two-sided, while I can not collect this information from the original report. The t-test refers to values of a pre-post test. I only coded the test statistics, as the effect size was dz (from replication report).</t>
  </si>
  <si>
    <t>The reported effect is for Cohens dz, thus for dependent samples. Therefore, the "nested_r" should be "yes" and Cohens d can not be used as an effect size (correct?). -&gt; yes, coded nested as yes and left the t statistic</t>
  </si>
  <si>
    <t>Vul, E., &amp; Pashler, H. (2008). Measuring the crowd within: Probabilistic representations within individuals. Psychological Science, 19, 645-647.</t>
  </si>
  <si>
    <t>10.1111/j.1467-9280.2008.02136.x</t>
  </si>
  <si>
    <t>10.1111--j.1467-9280.2008.02136.x.pdf</t>
  </si>
  <si>
    <t>steegen, sara, vanpaemel, wolf, tuerlinckx, francis, &amp; Dewitte, L. (2023, September 28). Replication of Vul &amp; Pashler (Psych Science, 2008). Retrieved from osf.io/ivfu6</t>
  </si>
  <si>
    <t>10.3389/fpsyg.2014.00786</t>
  </si>
  <si>
    <t>Replication study</t>
  </si>
  <si>
    <t>Crowd effect</t>
  </si>
  <si>
    <t>Crowding, Humans, Models, Statistical</t>
  </si>
  <si>
    <t>Measuring the crowd within: Probabilistic representations within individuals.</t>
  </si>
  <si>
    <t>"In the delayed condition, the error of the average was also smaller than the error of the first guess, t(172) = 3.94, p &lt; .01"</t>
  </si>
  <si>
    <t>t(172) = 3.94</t>
  </si>
  <si>
    <t>t(139) = 4.02</t>
  </si>
  <si>
    <r>
      <rPr>
        <rFont val="Arial, sans-serif"/>
        <color rgb="FF1155CC"/>
        <u/>
      </rPr>
      <t>https://osf.io/2hk76</t>
    </r>
  </si>
  <si>
    <t>1. Minor sample and language differences
 2. For replication Cohen's dz is used</t>
  </si>
  <si>
    <t>Crowd effect, wisdom of the crowd, Crowding, probability</t>
  </si>
  <si>
    <t>Averaging two guesses within one person provides a more accurate answer than either guess alone</t>
  </si>
  <si>
    <t>In the delayed condition, the error of the average was also smaller than the error of the first guess, t(172) = 3.94, p &lt; .01, and of the second guess, t(172) = 6.59, p &lt; .01</t>
  </si>
  <si>
    <t>Cohen's dz</t>
  </si>
  <si>
    <r>
      <rPr>
        <rFont val="Arial, sans-serif"/>
        <color rgb="FF1155CC"/>
        <u/>
      </rPr>
      <t>https://osf.io/2hk76</t>
    </r>
  </si>
  <si>
    <t>osc2015117_1</t>
  </si>
  <si>
    <t>osc2015117</t>
  </si>
  <si>
    <t>Barnett Cowan, Corinna Gemmecke</t>
  </si>
  <si>
    <t>The codings largy align with each other. However, the second coder did not include the effect size for the replication of the table</t>
  </si>
  <si>
    <t>Vul, E., Nieuwenstein, M., &amp; Kanwisher, N. (2008). Temporal selection is suppressed, delayed, and diffused during the attentional blink. Psychological Science, 19(1), 55-61.</t>
  </si>
  <si>
    <t>10.1111/j.1467-9280.2008.02046.x</t>
  </si>
  <si>
    <t>10.1111--j.1467-9280.2008.02046.x.pdf</t>
  </si>
  <si>
    <t>Barnett-Cowan, M. (2023, September 28). Replication of Vul et al (2008, PS, Study 1). Retrieved from osf.io/rzjvn</t>
  </si>
  <si>
    <t>Temporal selection of visual targets</t>
  </si>
  <si>
    <t>Adolescent, Adult, Attentional Blink, Cues, Female, Humans, Inhibition (Psychology), Male, Pattern Recognition, Visual, Probability, Reaction Time, Serial Learning, Time Perception</t>
  </si>
  <si>
    <t>Temporal selection is suppressed, delayed, and diffused during the attentional blink.</t>
  </si>
  <si>
    <t>"All effects and interactions were significant at a p value of .0001; most important, the three-way interaction was highly significant, F(18, 660) = 16.31, p &lt; .00001"</t>
  </si>
  <si>
    <t>F(18, 660) = 16.31</t>
  </si>
  <si>
    <t>p. 6; F(18, 660) = 12.98</t>
  </si>
  <si>
    <r>
      <rPr>
        <rFont val="Arial, sans-serif"/>
        <color rgb="FF1155CC"/>
        <u/>
      </rPr>
      <t>https://osf.io/pyt4e</t>
    </r>
  </si>
  <si>
    <t>Temporal selection</t>
  </si>
  <si>
    <t>Temporal selection, attentional blink, stimulus onset asynchronies, efficacy, latency, precision, selective attention</t>
  </si>
  <si>
    <t>Selection is suppressed (efficacy), delayed (latency), and diffused (precision) in time during the attentional blink</t>
  </si>
  <si>
    <t>All effects and interactions were significant at a p value of .0001; most important, the three-way interaction was highly significant, F(18, 660) = 16.31, p &lt; .00001</t>
  </si>
  <si>
    <t>F(18, 660) = 12.98</t>
  </si>
  <si>
    <r>
      <rPr>
        <rFont val="Arial, sans-serif"/>
        <color rgb="FF1155CC"/>
        <u/>
      </rPr>
      <t>https://osf.io/pyt4e</t>
    </r>
  </si>
  <si>
    <t>osc2015118_1</t>
  </si>
  <si>
    <t>osc2015118</t>
  </si>
  <si>
    <t>Osborne, Corinna Gemmecke</t>
  </si>
  <si>
    <t>Difference in coding of nesting (both in replication and original). However, an 2 x 2 between subjects ANOVA was performed. -&gt; coded as nested</t>
  </si>
  <si>
    <t>Masicampo, E.J., &amp; Baumeister, R.F. (2008). Toward a physiology of dual-process reasoning and judgment: Lemonade, willpower, and expensive rule-based analysis. Psychological Science, 19(3), 255-260.</t>
  </si>
  <si>
    <t>10.1111/j.1467-9280.2008.02077.x</t>
  </si>
  <si>
    <t>10.1111--j.1467-9280.2008.02077.x.pdf</t>
  </si>
  <si>
    <t>Osborne, C., Vuu, G., &amp; Henninger, F. (2023, September 28). Replication of EJ Masicampo, RF Baumeister (2008, PS 19(3)). Retrieved from osf.io/3h29d</t>
  </si>
  <si>
    <t>Attraction effect</t>
  </si>
  <si>
    <t>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</si>
  <si>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The attraction effect was larger in the depletion with placebo group than among participants in the other three groups (depletion with sugar, no depletion with sugar, no depletion with placebo)</t>
  </si>
  <si>
    <t>"We tested this prediction using a focused interaction contrast pitting the depletion-plus-placebo condi- tion against the combination of the other three conditions. This interaction was significant, F(1,111) = 5.311, p-rep = .92, partial η2 ​= .045"</t>
  </si>
  <si>
    <t>p. 4; F(1, 111) = 5.311</t>
  </si>
  <si>
    <t>p. 5; F(1, 158) = 0.379</t>
  </si>
  <si>
    <r>
      <rPr>
        <rFont val="Arial, sans-serif"/>
        <color rgb="FF1155CC"/>
        <u/>
      </rPr>
      <t>https://osf.io/8ybk5</t>
    </r>
  </si>
  <si>
    <t>1 add. effect</t>
  </si>
  <si>
    <t>1. Minor changes to the paradigm
 2. Authors reported p-replication (probability of replication) instead of p-value
 3. I am not sure whether the analsis was nested or not.</t>
  </si>
  <si>
    <t>Association, Attention, Beverages, Blood Glucose, Brain, Inhibition, Interpersonal Relations, Judgment, Logic, Motivation, Physical Exertion, Problem Solving, Set, dual-process reasoning</t>
  </si>
  <si>
    <t>This interaction was significant, F(1,111) = 5.311, p-rep = .92, partial η2 ​= .045</t>
  </si>
  <si>
    <r>
      <rPr>
        <rFont val="Arial, sans-serif"/>
        <color rgb="FF1155CC"/>
        <u/>
      </rPr>
      <t>https://osf.io/8ybk5</t>
    </r>
  </si>
  <si>
    <t>osc201512_1</t>
  </si>
  <si>
    <t>osc201512</t>
  </si>
  <si>
    <t>Bell, Corinna Gemmecke</t>
  </si>
  <si>
    <t>Only difference: partial etasq versus regular etasq.</t>
  </si>
  <si>
    <t>Marsh, J.E., Vachon, F., &amp; Jones, D.M. (2008). When does between-sequence phonological similarity promote irrelevant sound disruption? Journal of Experimental Psychology: Learning, Memory, and Cognition, 34(1), 243-248.</t>
  </si>
  <si>
    <t>10.1037/0278-7393.34.1.243</t>
  </si>
  <si>
    <t>10.1037--0278-7393.34.1.243.pdf</t>
  </si>
  <si>
    <t>Ricker, A. A., &amp; Saide, A. (2023, September 28). Replication of JI Campbell, ND Robert (2008, JEPLMC 34(3), Exp 3). Retrieved from osf.io/gxvd3</t>
  </si>
  <si>
    <t>Phonological similarity</t>
  </si>
  <si>
    <t>Attention, Humans, Mental Recall, Phonetics, Psychoacoustics, Semantics, Serial Learning, Speech Perception, Verbal Learning</t>
  </si>
  <si>
    <t>Free recall, but not serial recall, of lists of phonologically related to-be-remembered items are disrupted by an irrelevant sound stream (end rhymes) sharing similar phonological content</t>
  </si>
  <si>
    <t>"Of particular importance for the purpose of the present study is the significant interaction between instruction type and sound condition, F(2, 92) = 3.13, p &lt; .05, d = 0.52."</t>
  </si>
  <si>
    <t>p. 3; F(2, 92) = 3.13</t>
  </si>
  <si>
    <t>p. 7; F(2, 232) = 1.63</t>
  </si>
  <si>
    <r>
      <rPr>
        <rFont val="Arial, sans-serif"/>
        <color rgb="FF1155CC"/>
        <u/>
      </rPr>
      <t>https://osf.io/vj2xr</t>
    </r>
  </si>
  <si>
    <t>1. The second OSF link: https://osf.io/pgvej
 2. Confidence rating was excluded from the replication. Given that it was collected in the original study after the recall, I consider this study to be a close replication</t>
  </si>
  <si>
    <t>Auditory distraction, phonological similarity, selective attention, free recall, serial recall</t>
  </si>
  <si>
    <t>Phonologically similar irrelevant items disrupted recall compared with phonologically dissimilar items in free recall</t>
  </si>
  <si>
    <t>The purpose of the present study is the significant interaction between instruction type and sound condition, F(2, 92) = 3.13, p &lt; .05, d = 0.52</t>
  </si>
  <si>
    <r>
      <rPr>
        <rFont val="Arial, sans-serif"/>
        <color rgb="FF1155CC"/>
        <u/>
      </rPr>
      <t>https://osf.io/vj2xr</t>
    </r>
  </si>
  <si>
    <t>osc2015120_1</t>
  </si>
  <si>
    <t>osc2015120</t>
  </si>
  <si>
    <t>Lewis, Corinna Gemmecke</t>
  </si>
  <si>
    <t>The table states that the correlation was tested one-tailed (in the original), the report does not specify this.</t>
  </si>
  <si>
    <t>Only difference: coding whether the original effect size was tested one tailed or two-tailed --&gt; not reported in the manuscript on p. 3</t>
  </si>
  <si>
    <t>Hajcak, G., &amp; Foti, D. (2008). Errors are aversive: Defensive motivation and the error-related negativity. Psychological science, 19(2), 103-108.</t>
  </si>
  <si>
    <t>10.1111/j.1467-9280.2008.02053.x</t>
  </si>
  <si>
    <t>10.1111--j.1467-9280.2008.02053.x.pdf</t>
  </si>
  <si>
    <t>Lewis, M., &amp; Pitts, M. (2023, September 28). Replication of Hajcak &amp; Foti (2008, PS, Study 1).</t>
  </si>
  <si>
    <t xml:space="preserve">10.17605/osf.io/82bwv   </t>
  </si>
  <si>
    <t>Error-related negativity</t>
  </si>
  <si>
    <t>Affect, Defense Mechanisms, Female, Humans, Male, Motivation, Time Factors, Verbal Behavior, Vocabulary</t>
  </si>
  <si>
    <t>The magnitude of the startle response following an error is correlated to the amplitude of the Error-Related Negativity (ERN)</t>
  </si>
  <si>
    <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</si>
  <si>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r>
      <rPr>
        <rFont val="Arial, sans-serif"/>
        <color rgb="FF1155CC"/>
        <u/>
      </rPr>
      <t>https://osf.io/hsntd</t>
    </r>
  </si>
  <si>
    <t>1. Although in RPP table this paper was in Social science, I would rather put it in Cognitive because of the studied phenomenon and methods. However, I report along with the RPP table the final Code.</t>
  </si>
  <si>
    <t>Error-related negativity, motivation, affect, defense mechanisms, verbal behavior, vocabulary</t>
  </si>
  <si>
    <t>The amplitude of the ERN predicted the degree to which errors potentiated the startle response (see Fig. 2; r = .38, p &lt; .05)</t>
  </si>
  <si>
    <t>r = -0.38</t>
  </si>
  <si>
    <t>r = -0.25</t>
  </si>
  <si>
    <r>
      <rPr>
        <rFont val="Arial, sans-serif"/>
        <color rgb="FF1155CC"/>
        <u/>
      </rPr>
      <t>https://osf.io/hsntd</t>
    </r>
  </si>
  <si>
    <t>Overall your validation work was very good and transparent,. I could easily understand the comments and issues, thank you!
A few minor points:
- please remove merged cells (this can happen if you copy from MS Excel to Google Spreadsheets and when the text is wider than a cell and the next cell is empty)
- there should be no empty cells except for the exclusion variable (some study numbers were missing and for some NA pvals the tails and types should also have been coded as NA)
- please don't paste effect sizes AND test statistics into the es_value_ cells. Report the effect size only and paste the test statistics in the notes variable</t>
  </si>
  <si>
    <t>osc2015121_1</t>
  </si>
  <si>
    <t>osc2015121</t>
  </si>
  <si>
    <t>Beer, Corinna Gemmecke</t>
  </si>
  <si>
    <t>Authors reported p-rep instead of p-value, another effect size was available, too (z = 5.43)</t>
  </si>
  <si>
    <t>Difference in effect size of the replication study. The second coder did not code the effect size of the table.</t>
  </si>
  <si>
    <t>Tabibnia, G., Satpute, A.B., Lieberman, M.D. (2008). The sunny side of fairness: Preference for fairness activates reward circuitry (and disregarding unfairness activates self-control circuitry). Psychological Science, 19(4), 339-347.</t>
  </si>
  <si>
    <t>10.1111/j.1467-9280.2008.02091.x</t>
  </si>
  <si>
    <t>10.1111--j.1467-9280.2008.02091.x.pdf</t>
  </si>
  <si>
    <t>Beer, J. S., Rigney, A. E., &amp; Flagan, T. (2016, August 19). Replication of G Tabibnia, AB Satpute, MD Lieberman (2008, PS 19(4)). Retrieved from osf.io/94j6h</t>
  </si>
  <si>
    <t>10.17605/osf.io/nxp9w</t>
  </si>
  <si>
    <t>Fairness preferences</t>
  </si>
  <si>
    <t>Adolescent, Adult, Affect, Cerebral Cortex [physiology], Conflict (Psychology), Female, Happiness, Humans, Male, Prefrontal Cortex [physiology], Reward, Social Control, Informal, Social Justice</t>
  </si>
  <si>
    <t>Accepting unfair offers increases right ventrolateral prefrontal cortex activation</t>
  </si>
  <si>
    <t>"However, a large cluster (k = 834) in right VLPFC was active in this comparison (x = 50, y = 44, z = 8), t(11) = 5.39, p-rep &gt; .99, d = 3.25, a finding consistent with the hypothesis that accepting unfair offers may involve emotion regulation"</t>
  </si>
  <si>
    <t>p. 5, 6; t(11) = 5.39</t>
  </si>
  <si>
    <t>Z = 4.92, N = 24</t>
  </si>
  <si>
    <r>
      <rPr>
        <rFont val="Arial, sans-serif"/>
        <color rgb="FF1155CC"/>
        <u/>
      </rPr>
      <t>https://osf.io/vqzx9</t>
    </r>
  </si>
  <si>
    <t>4 subgroup effects</t>
  </si>
  <si>
    <t>1. The final report of replication in under another link: https://osf.io/nxp9w
 2. Although the study in RPP table is in Social sciences, it is more about neuroscience due to target and methodology. However, I report along with RPP table. 
 3. Updates were made for the replication, but no major changes -&gt; close replication
 4. Authors reported p-replication (probability of replication) instead of p-value</t>
  </si>
  <si>
    <t>Fairness acceptance</t>
  </si>
  <si>
    <t>Affect, Cerebral Cortex, Conflict, Happiness, Prefrontal Cortex, Reward, Social Control, Informal, Social Justice, fairness, acceptance, ultimatum game</t>
  </si>
  <si>
    <t>However, a large cluster (k = 834) in right VLPFC was active in this comparison (x = 50, y = 44, z = 8), t(11) = 5.39, p-rep &gt; .99, d = 3.25, a finding consistent with the hypothesis that accepting unfair offers may involve emotion regulation</t>
  </si>
  <si>
    <t>z = 4.92</t>
  </si>
  <si>
    <r>
      <rPr>
        <rFont val="Arial, sans-serif"/>
        <color rgb="FF1155CC"/>
        <u/>
      </rPr>
      <t>https://osf.io/vqzx9</t>
    </r>
  </si>
  <si>
    <t>osc2015122_1</t>
  </si>
  <si>
    <t>osc2015122</t>
  </si>
  <si>
    <t>Schlegelmilch, Corinna Gemmecke</t>
  </si>
  <si>
    <t>The authors of the original report report r-square as an effect size, but I was not sure whether you can use that effect size for further codings. The authors of the replication report report Cohens dz and I was not sure whether you can work with this effect size and whether it corrects for dependence. Therefore, I only report test statistics.</t>
  </si>
  <si>
    <t>Differences in coding of effect sizes --&gt; t tests were chosen over R²; reported replication test statistic is -9.59 but it says "mean localization error for targets was higher than for distractors, p.4; which is why the sign was omitted here</t>
  </si>
  <si>
    <t>Alvarez, G.A. &amp; Oliva, A. (2008). The representation of simple ensemble visual features outside the focus of attention. Psychological Science, 19(4), 392-398.</t>
  </si>
  <si>
    <t>10.1111/j.1467-9280.2008.02098.x</t>
  </si>
  <si>
    <t>10.1111--j.1467-9280.2008.02098.x.pdf</t>
  </si>
  <si>
    <t>Schlegelmilch, R., &amp; van den Bergh, D. (2023, September 28). Replication of GA Alvarez, A Oliva (2008, PS 19(4), Exp. 3). Retrieved from osf.io/dnaxe</t>
  </si>
  <si>
    <t>Representation of ensemble visual features</t>
  </si>
  <si>
    <t>Adolescent, Adult, Attention, Humans, Visual Perception</t>
  </si>
  <si>
    <t>Reporting error on the location of missing distractors items was less when the targets were spatially distinct</t>
  </si>
  <si>
    <t>"As Figure 4b illustrates, localization error in the centroid condition was significantly lower for targets than for distractors,[..] but centroid localization was better than chance for both targets [...] and distractors, t(7) = 2.76, p = .028, r-square = .52"</t>
  </si>
  <si>
    <t>t(7) = 2.76</t>
  </si>
  <si>
    <t>t(16)= 9.59</t>
  </si>
  <si>
    <t>p. 4; changed sign</t>
  </si>
  <si>
    <r>
      <rPr>
        <rFont val="Arial, sans-serif"/>
        <color rgb="FF1155CC"/>
        <u/>
      </rPr>
      <t>https://osf.io/fs3ut</t>
    </r>
  </si>
  <si>
    <t>1 additional effect - depending on whether we code original values only reported in replication (based on reanalyses)</t>
  </si>
  <si>
    <t>1. Authors of replication stated that they did minor changes to screen size, but adjusted all paramaters to the renewed screen. Since this can affect the visual perception directly, I put the replication to conceptual category
 2. R-square is used for ES measurement
 3. For replication Cohen's dz is used</t>
  </si>
  <si>
    <t>Ensemble perception</t>
  </si>
  <si>
    <t>Attention, Visual Perception, object tracking task, local visual features, statistical summary features</t>
  </si>
  <si>
    <t>As Figure 4b illustrates, localization error in the centroid condition was significantly lower for targets than for distractors, t(7) = 3.17, p = .016, r-square = .59, but centroid localization was better than chance for both targets, t(7) = 8.32, p &lt; .001, r-square = .88, and distractors, t(7) = 2.76, p = .028, r-square = .52</t>
  </si>
  <si>
    <r>
      <rPr>
        <rFont val="Arial, sans-serif"/>
        <color rgb="FF1155CC"/>
        <u/>
      </rPr>
      <t>https://osf.io/fs3ut</t>
    </r>
  </si>
  <si>
    <t>osc2015123_1</t>
  </si>
  <si>
    <t>osc2015123</t>
  </si>
  <si>
    <t>EXCLUSION</t>
  </si>
  <si>
    <t>Woodman, G. F., Kang, M. S., Thompson, K., &amp; Schall, J. D. (2008). The effect of visual search efficiency on response preparation: neurophysiological evidence for discrete flow. Psychological science, 19(2), 128-136.</t>
  </si>
  <si>
    <t>10.1111/j.1467-9280.2008.02058.x</t>
  </si>
  <si>
    <t>10.1111--j.1467-9280.2008.02058.x.pdf</t>
  </si>
  <si>
    <t>Animals, Macaca mulatta, Macaca radiata, Neurophysiology, Reaction Time, Saccades [physiology], Visual Fields [physiology], Visual Perception</t>
  </si>
  <si>
    <t>The effect of visual search efficiency on response preparation</t>
  </si>
  <si>
    <t>2 subgroup effects</t>
  </si>
  <si>
    <t>1. No replication</t>
  </si>
  <si>
    <t>osc2015124_1</t>
  </si>
  <si>
    <t>osc2015124</t>
  </si>
  <si>
    <t>Stieger, Corinna Gemmecke</t>
  </si>
  <si>
    <t>I was not sure whether you could use omega as an effect size. Therefore, I report test statistics.; Only p-rep is reported</t>
  </si>
  <si>
    <t>Difference in reporting of p-value. The second coder reports p-rep.; Difference in nesting: Both performed analysis were analysis of vaiance (no reporting of repeated measures). --&gt; p-rep is wrong, first coder's values were chosen</t>
  </si>
  <si>
    <t>Lau, G.P., Kay, A.C., &amp; Spencer, S.J. (2008). Loving those who justify inequality: The effects of system threat on attraction to women who embody benevolent sexist ideals. Psychological Science, 19, 20-21.</t>
  </si>
  <si>
    <t>Stieger, S., &amp; Kuhlmann, T. (2023, September 28). Replication of GP Lau, AC Kay, SJ Spencer (2008, PS 19(1)). Retrieved from osf.io/fxqsk</t>
  </si>
  <si>
    <t>Effects of System Threat on Attraction to Women Who Embody Benevolent Sexist Ideals</t>
  </si>
  <si>
    <t>Adolescent, Adult, Canada, Cross-Cultural Comparison, Culture, Humans, Male, Politics, Prejudice, Rationalization, Social Change, Social Desirability, Socioeconomic Factors, Stereotyping</t>
  </si>
  <si>
    <t>Male participants whose faith in the federal system was threatened showed greater romantic interest in women who embody benevolent sexist ideals than in women who do not embody these ideals</t>
  </si>
  <si>
    <t>"A 2 (system threat vs. no threat) × 2 (benevolent-stereotypic vs. non-benevolent-stereotypic) analysis of variance conducted on the mean ratings of romantic interest revealed a significant two-way interaction, F(1,34) = 55.89, p = .93, w-square = .02"</t>
  </si>
  <si>
    <t>F(1, 34) = 5.89</t>
  </si>
  <si>
    <t>p. 3; F(1, 68) = 0.08</t>
  </si>
  <si>
    <r>
      <rPr>
        <rFont val="Arial, sans-serif"/>
        <color rgb="FF1155CC"/>
        <u/>
      </rPr>
      <t>https://osf.io/tpzk9</t>
    </r>
  </si>
  <si>
    <t>1. Two more OSF links: https://osf.io/fymue, https://osf.io/2uh78
 2. There was no information about Discipline in the RPP table, thus I put my considerations into the cell</t>
  </si>
  <si>
    <t>Benevolent stereotyping</t>
  </si>
  <si>
    <t>Prejudice, rationalization, social change, social desirability, socioeconomic factors, stereotyping, system-justification theory, benevolent stereotyping, relationship</t>
  </si>
  <si>
    <t>A 2 (system threat vs. no threat) × 2 (benevolent-stereotypic vs. non-benevolent-stereotypic) analysis of variance conducted on the mean ratings of romantic interest revealed a significant two-way interaction, F(1,34) = 55.89, p = .93, w-square = .02</t>
  </si>
  <si>
    <t>omega</t>
  </si>
  <si>
    <r>
      <rPr>
        <rFont val="Arial, sans-serif"/>
        <color rgb="FF1155CC"/>
        <u/>
      </rPr>
      <t>https://osf.io/tpzk9</t>
    </r>
  </si>
  <si>
    <t>osc2015126_1</t>
  </si>
  <si>
    <t>osc2015126</t>
  </si>
  <si>
    <t>Deary, I. J., Batty, G. D., &amp; Gale, C. R. (2008). Bright children become enlightened adults. Psychological science, 19(1), 1-6.</t>
  </si>
  <si>
    <t>10.1111/j.1467-9280.2008.02036.x</t>
  </si>
  <si>
    <t>10.1111--j.1467-9280.2008.02036.x.pdf</t>
  </si>
  <si>
    <t>Adolescent, Adult, Child, Child Development, Cohort Studies, Educational Status, Female, Great Britain, Humans, Individuality, Intelligence, Male, Models, Psychological, Politics, Prejudice, Social Class, Social Justice, Social Values</t>
  </si>
  <si>
    <t>Bright children become enlightened adults</t>
  </si>
  <si>
    <t>Multiple additional effects - depending on whether we code original values only reported in replication (based on reanalyses)</t>
  </si>
  <si>
    <t>1. There is no replication</t>
  </si>
  <si>
    <t>osc2015127_1</t>
  </si>
  <si>
    <t>osc2015127</t>
  </si>
  <si>
    <t>Levitan, Corinna Gemmecke</t>
  </si>
  <si>
    <t>The authors of the original report report a value of p = .000, but as a p-value can not be zero, I changed the value. A two-tailed paired t-test was used, thus the test should control for nesting.</t>
  </si>
  <si>
    <r>
      <rPr>
        <rFont val="Calibri, sans-serif"/>
        <color rgb="FF000000"/>
        <sz val="11.0"/>
      </rPr>
      <t xml:space="preserve">Difference in p-value of original report and in "pval_tails_r", but the replication report notes on p. 3 that a two-tailed paired t-test was used. Therefore, the test should also control for nesting (the test was also used in the original study). Correct? -&gt; two tails were chosen, yes to nesting ni paired t tests; changed sign as replication was coded differently "as Winawer et al. found, motion aftereffects were present following the presentation of a still photograph depicting motion" p. 4 </t>
    </r>
    <r>
      <rPr>
        <rFont val="Calibri, sans-serif"/>
        <color rgb="FF1155CC"/>
        <sz val="11.0"/>
        <u/>
      </rPr>
      <t>https://osf.io/ertbg</t>
    </r>
  </si>
  <si>
    <t>Winawer, Huk, and Boroditsky (2008). A Motion aftereffect from still photographs depicting motion. Psychological Science, 19, 276-283.</t>
  </si>
  <si>
    <t>10.1111/j.1467-9280.2008.02080.x</t>
  </si>
  <si>
    <t>10.1111--j.1467-9280.2008.02080.x.pdf</t>
  </si>
  <si>
    <t>Levitan, C., Errington, T. M., &amp; Gampa, A. (2023, September 28). Replication of Winawer, Huk, &amp; Boroditsky (Psychological Science, 2008). Retrieved from osf.io/mjasz</t>
  </si>
  <si>
    <t>https://osf.io/ertbg</t>
  </si>
  <si>
    <t>Motion aftereffect</t>
  </si>
  <si>
    <t>Attention, Cues, Figural Aftereffect, Humans, Imagination, Motion Perception, Orientation, Pattern Recognition, Visual, Photography, Psychophysics, Transfer (Psychology)</t>
  </si>
  <si>
    <t>Motion aftereffects were present following the presentation of a still photograph depicting motion</t>
  </si>
  <si>
    <t>"Subjects in the third experiment showed significant adapta- tion to inward and outward implied motion. The point of per- ceived null motion shifted by 0.17 _x0003_ 0.04 units of normalized coherence, t(28) = 4.98, p = .000, prep = .99"</t>
  </si>
  <si>
    <t>t(28) = 4.98</t>
  </si>
  <si>
    <t>p. 4; t(25)=-3.1029; changed sign</t>
  </si>
  <si>
    <r>
      <rPr>
        <rFont val="Arial, sans-serif"/>
        <color rgb="FF1155CC"/>
        <u/>
      </rPr>
      <t>https://osf.io/m9suf</t>
    </r>
  </si>
  <si>
    <t>1. Changes in distance between viewer and screen could affect the results -&gt; conceptual replication</t>
  </si>
  <si>
    <t>Motion aftereffec</t>
  </si>
  <si>
    <t>Attention, Cues, Figural Aftereffect, Humans, Imagination, Motion Perception, Orientation, Pattern Recognition, Visual, Photography, Psychophysics</t>
  </si>
  <si>
    <t>The point of perceived null motion shifted by 0.17 ± 0.04 units of normalized coherence, t(28) = 4.98, p &lt; .001, p-rep = .99, or 5.7 ± 1.0% of actual coherence, t(28) = 5.48, p &lt; .001, p-rep = .99</t>
  </si>
  <si>
    <r>
      <rPr>
        <rFont val="Arial, sans-serif"/>
        <color rgb="FF1155CC"/>
        <u/>
      </rPr>
      <t>https://osf.io/m9suf</t>
    </r>
  </si>
  <si>
    <t>osc2015129_1</t>
  </si>
  <si>
    <t>osc2015129</t>
  </si>
  <si>
    <t>Lai, Corinna Gemmecke</t>
  </si>
  <si>
    <t>Only p-rep was reported (original report); The OSF page of the replication project does not work.</t>
  </si>
  <si>
    <t>As this coding is not complete, I choose the second one.</t>
  </si>
  <si>
    <t>Richeson, J. A., &amp; Trawalter, S. (2008). The threat of appearing prejudiced and race-based attentional biases. Psychological Science, 19(2), 98-102.</t>
  </si>
  <si>
    <t>10.1111/j.1467-9280.2008.02052.x</t>
  </si>
  <si>
    <t>10.1111--j.1467-9280.2008.02052.x.pdf</t>
  </si>
  <si>
    <r>
      <rPr>
        <rFont val="Calibri, sans-serif"/>
        <color rgb="FF38761D"/>
        <sz val="11.0"/>
      </rPr>
      <t xml:space="preserve">Lai, C. K. (2023). Replication of Richeson &amp; Trawalter (2008, PS, Study 1). Retrieved from </t>
    </r>
    <r>
      <rPr>
        <rFont val="Calibri, sans-serif"/>
        <color rgb="FF38761D"/>
        <sz val="11.0"/>
        <u/>
      </rPr>
      <t>osf.io/c5fza</t>
    </r>
  </si>
  <si>
    <t>Race-based attentional bias</t>
  </si>
  <si>
    <t>Adult, Anxiety [psychology], Arousal [physiology], Attention, Attitude, Bias (Epidemiology), Facial Expression, Female, Humans, Male, Prejudice</t>
  </si>
  <si>
    <t>High External Motivation (EM) participants exhibit attentional biases for neutral Black faces, but not happy Black faces.</t>
  </si>
  <si>
    <t>"The three-way interaction of group, presentation duration, and facial expression was reliable, F(1,26) = 4.17, p-rep = .92, d = 0.80"</t>
  </si>
  <si>
    <t>0.80; F(1, 26) = 4.17</t>
  </si>
  <si>
    <t>0.00; F(1, 64) = .02</t>
  </si>
  <si>
    <r>
      <rPr>
        <rFont val="Arial, sans-serif"/>
        <color rgb="FF1155CC"/>
        <u/>
      </rPr>
      <t>https://osf.io/s2d6t</t>
    </r>
  </si>
  <si>
    <t>1. Minor changes to the paradigm</t>
  </si>
  <si>
    <r>
      <rPr>
        <rFont val="Calibri, sans-serif"/>
        <color rgb="FF38761D"/>
        <sz val="11.0"/>
      </rPr>
      <t xml:space="preserve">Lai, C. K. (2023). Replication of Richeson &amp; Trawalter (2008, PS, Study 1). Retrieved from </t>
    </r>
    <r>
      <rPr>
        <rFont val="Calibri, sans-serif"/>
        <color rgb="FF38761D"/>
        <sz val="11.0"/>
        <u/>
      </rPr>
      <t>osf.io/c5fza</t>
    </r>
  </si>
  <si>
    <t>Attentional bias</t>
  </si>
  <si>
    <t>Attentional bias, prejudice, anxiety, dot-probe detection paradigm, threatening cues, race, motivation</t>
  </si>
  <si>
    <t>High External Motivation (EM) participants exhibit attentional biases for neutral Black faces, but not happy Black faces</t>
  </si>
  <si>
    <t>The three-way interaction of group, presentation duration, and facial expression was reliable, F(1,26) = 4.17, p-rep = .92, d = 0.80</t>
  </si>
  <si>
    <t>p. 3; F(1, 26) = 4.17</t>
  </si>
  <si>
    <t>p. 4; F(1, 64) = .02</t>
  </si>
  <si>
    <r>
      <rPr>
        <rFont val="Arial, sans-serif"/>
        <color rgb="FF1155CC"/>
        <u/>
      </rPr>
      <t>https://osf.io/s2d6t</t>
    </r>
  </si>
  <si>
    <t>osc201513_1</t>
  </si>
  <si>
    <t>osc201513</t>
  </si>
  <si>
    <t>Ricker, Corinna Gemmecke</t>
  </si>
  <si>
    <t>Only difference in p-value of replication. The p-value was lower than .001.</t>
  </si>
  <si>
    <t>Campbell, J.I., &amp; Robert, N.D. (2008). Bidirectional associations in multiplication memory: Conditions of negative and positive transfer. Journal of Experimental Psychology: Learning, Memory, and Cognition, 34(3), 546-555.</t>
  </si>
  <si>
    <t>10.1037/0278-7393.34.3.546</t>
  </si>
  <si>
    <t>10.1037--0278-7393.34.3.546.pdf</t>
  </si>
  <si>
    <t>Bidirectional Associations in Multiplication Memory</t>
  </si>
  <si>
    <t>Adolescent, Adult, Female, Humans, Male, Mathematics, Mental Recall, Practice (Psychology), Problem Solving, Retention (Psychology), Transfer (Psychology)</t>
  </si>
  <si>
    <t>response times were faster when participants were given the same mathematical operation to practice and to test, relative to operational change or a new problem</t>
  </si>
  <si>
    <t>"There was a robust Group X Problem Type interaction, F(2,68) = 41.59, MSE = 4470.55, p &lt; .001"</t>
  </si>
  <si>
    <t>F(2, 68) = 41.59</t>
  </si>
  <si>
    <t>F(2, 68) = 41.603</t>
  </si>
  <si>
    <r>
      <rPr>
        <rFont val="Arial, sans-serif"/>
        <color rgb="FF1155CC"/>
        <u/>
      </rPr>
      <t>https://osf.io/689xc</t>
    </r>
  </si>
  <si>
    <t>1. The second OSF link: https://osf.io/d2yqj
 2. I would say it is a close replication, since authors only changed the software and instructional presentation was not detailed in original study
 3. The Effect can be either "Numeracy" (object, phenomenon) or Identical Elements Model (effect). I chose the broader term.</t>
  </si>
  <si>
    <t>Numeracy</t>
  </si>
  <si>
    <t>Arithmetic, factoring, multiplication, transfer, identical elements</t>
  </si>
  <si>
    <t>Practising the same mathematical operation which will occur in experimental part increased the response time in comparison to operational change)</t>
  </si>
  <si>
    <t>There was a robust Group X Problem Type interaction, F(2,68) = 41.59, MSE = 4470.55, p &lt; .001</t>
  </si>
  <si>
    <r>
      <rPr>
        <rFont val="Arial, sans-serif"/>
        <color rgb="FF1155CC"/>
        <u/>
      </rPr>
      <t>https://osf.io/689xc</t>
    </r>
  </si>
  <si>
    <t>osc2015132_1</t>
  </si>
  <si>
    <t>osc2015132</t>
  </si>
  <si>
    <t>Jonas, Corinna Gemmeck</t>
  </si>
  <si>
    <t>There were two replication studies (one from Amsterdam and one from the U.S.). The combined analysis is also described in the paper. However, the table only describes the amsterdam study.</t>
  </si>
  <si>
    <t>The codings align to a large extant. However, coder 2 reported etasqu although it was partial etasqu. Moreover, my description of the effect is more general.</t>
  </si>
  <si>
    <t>Crosby, J.R., Monin, B., &amp; Richardson, D. (2008). Where do we look during potentially offensive behavior? Psychological Science, 19(3), 226-228.</t>
  </si>
  <si>
    <t>10.1111/j.1467-9280.2008.02072.x</t>
  </si>
  <si>
    <t>10.1111--j.1467-9280.2008.02072.x.pdf</t>
  </si>
  <si>
    <t>Jonas, K., &amp; Skorinko, J. (2023, September 28). Replication of JR Crosby, B Monin, D Richardson (2008, PS 19(3)). Retrieved from osf.io/b98zw</t>
  </si>
  <si>
    <t>10.1126--science.aac4716.pdf</t>
  </si>
  <si>
    <t>Social referencing</t>
  </si>
  <si>
    <t>African Continental Ancestry Group [psychology], Association, Attention, European Continental Ancestry Group [psychology], Eye Movements, Fixation, Ocular, Humans, Interpersonal Relations, Orientation, Prejudice, Social Identification</t>
  </si>
  <si>
    <t>Seeking out the responses of potentially victimized group member to help assess the situation.</t>
  </si>
  <si>
    <t>"We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</si>
  <si>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F(1.48, 41.458) = 1.401</t>
  </si>
  <si>
    <r>
      <rPr>
        <rFont val="Arial, sans-serif"/>
        <color rgb="FF1155CC"/>
        <u/>
      </rPr>
      <t>https://doi.org/10.17605/OSF.IO/HB7KJ</t>
    </r>
  </si>
  <si>
    <t>Jonas</t>
  </si>
  <si>
    <t>1. There were two studies, with one more conceptual replication and one - close replication. Since Amsterdam study was reported in RPP table, I put conceptual 
 2. The data for replicatgion was taken from this link: https://osf.io/nkaw4</t>
  </si>
  <si>
    <t>direct</t>
  </si>
  <si>
    <t>African Continental Ancestry Group, Association, Attention, European Continental Ancestry Group, Eye Movements, Fixation, Ocular, Interpersonal Relations, Orientation, Prejudice, Social Identification, social referencing, association hypothesis, offensive comment</t>
  </si>
  <si>
    <t>When a White man made a potentially offensive comment in the presence of a Black man, participants would look at the Black man for a longer period of time if he could hear the comment than if he could not</t>
  </si>
  <si>
    <r>
      <rPr>
        <rFont val="Arial, sans-serif"/>
        <color rgb="FF1155CC"/>
        <u/>
      </rPr>
      <t>https://doi.org/10.17605/OSF.IO/HB7KJ</t>
    </r>
  </si>
  <si>
    <t>osc2015133_1</t>
  </si>
  <si>
    <t>osc2015133</t>
  </si>
  <si>
    <t>Renkewitz, Corinna Gemmecke</t>
  </si>
  <si>
    <t>1. Multiple changes were made in the replicational procedure / design -&gt; conceptual 
 2. The results in the original study are coded as significant, however neither p value or alpha level is indicated. I assume it to be 0.05 and put "p &lt; 0.05"</t>
  </si>
  <si>
    <t>Replication and original study used a within-subjects analysis of variance and therefore controls for nesting. The original does not indicate any p-value or alpha level. Therefore, it should be NA.</t>
  </si>
  <si>
    <t>Nairne, J.S., Pandeirada, J.N.S., &amp; Thompson, S.R. (2008). Adaptive memory: The comparative value of survival processing. Psychological Science, 19(2), 176–180.</t>
  </si>
  <si>
    <t>10.1111/j.1467-9280.2008.02064.x</t>
  </si>
  <si>
    <t>10.1111--j.1467-9280.2008.02064.x.pdf</t>
  </si>
  <si>
    <t>Renkewitz, F., &amp; Müller, S. M. (2023, September 28). Replication of Nairne, Pandeirada, &amp; Thompson (2008, PS, Study 2). Retrieved from osf.io/jhkpe</t>
  </si>
  <si>
    <t>Survival processing</t>
  </si>
  <si>
    <t>Adaptation, Physiological, Adaptation, Psychological, Humans, Memory [physiology], Survival, Vocabulary</t>
  </si>
  <si>
    <t>Humans show a superior memory when words were rated for survival relevance</t>
  </si>
  <si>
    <t>"Once again, survival processing produced a clear and significant recall advantage — this time against a contextually rich but non-survival-related control, F(1,23) = 5.70, MSE = 0.028, partial η2 ​= .20"</t>
  </si>
  <si>
    <r>
      <rPr>
        <rFont val="Arial, sans-serif"/>
        <color rgb="FF1155CC"/>
        <u/>
      </rPr>
      <t>https://doi.org/10.17605/OSF.IO/ZC468</t>
    </r>
  </si>
  <si>
    <t>Adaptation, memory, survival, survival-based processing</t>
  </si>
  <si>
    <t>Words rated for survival relevance were recalled more often</t>
  </si>
  <si>
    <t>Once again, survival processing produced a clear and significant recall advantage — this time against a contextually rich but non-survival-related control, F(1,23) = 5.70, MSE = 0.028, partial η2 ​= .20</t>
  </si>
  <si>
    <r>
      <rPr>
        <rFont val="&quot;Arial, sans-serif&quot;"/>
        <color rgb="FF1155CC"/>
        <u/>
      </rPr>
      <t>https://osf.io/zc468</t>
    </r>
  </si>
  <si>
    <t>osc2015134_1</t>
  </si>
  <si>
    <t>osc2015134</t>
  </si>
  <si>
    <t>Seibel, Corinna Gemmecke</t>
  </si>
  <si>
    <t>The table and the replication report do not align with each other. I chose the effect of the replication report.</t>
  </si>
  <si>
    <t>The table and replication report do not align. Coder 2 seems to chose the table. Morover, the replication report states that the p-value is below .001.</t>
  </si>
  <si>
    <t>Larsen, J.T., &amp; McKibban, A.R. (2008). Is happiness having what you want, wanting what you have, or both? Psychological Science, 19, 371-377.</t>
  </si>
  <si>
    <t>10.1111/j.1467-9280.2008.02095.x</t>
  </si>
  <si>
    <t>10.1111--j.1467-9280.2008.02095.x.pdf</t>
  </si>
  <si>
    <t>Seibel, L., Vermue, M., van Dooren, R., Kolorz, F. M., Cillessen, L., &amp; Krause, R. W. (2023, September 28). Replication of Larsen &amp; McKibban (Psych Science, 2008, Exp. 2). Retrieved from osf.io/5dx4v</t>
  </si>
  <si>
    <t>Schachtel's maxim</t>
  </si>
  <si>
    <t>Adult, Attitude, Female, Happiness, Humans, Male, Pilot Projects, Quality of Life [psychology], Questionnaires</t>
  </si>
  <si>
    <t>People who have what they want are happier.</t>
  </si>
  <si>
    <t>"Similarly, people who had what they wanted more than others did tended to be happier even after we controlled for the number of things they had and the extent to which they wanted what they had, pr = .21, p-rep = .92"</t>
  </si>
  <si>
    <t>partial r-square</t>
  </si>
  <si>
    <r>
      <rPr>
        <rFont val="Arial, sans-serif"/>
        <color rgb="FF1155CC"/>
        <u/>
      </rPr>
      <t>https://doi.org/10.17605/OSF.IO/K5CWT</t>
    </r>
  </si>
  <si>
    <t>1. The correlation is partial
 2. There can be cultural effect on the results -&gt; conceptual replication
 3. Authors reported p-replication (probability of replication) instead of p-value</t>
  </si>
  <si>
    <t>Attitude, Happiness, Quality of Life, Questionnaires, will, desire, probability theory</t>
  </si>
  <si>
    <t>People who had what they wanted were happier than others, even after controlling for the degree to which they wanted what they had</t>
  </si>
  <si>
    <t>Similarly, people who had what they wanted more than others did tended to be happier even after we controlled for the number of things they had and the extent to which they wanted what they had, pr = .21, p-rep = .92</t>
  </si>
  <si>
    <r>
      <rPr>
        <rFont val="&quot;Arial, sans-serif&quot;"/>
        <color rgb="FF1155CC"/>
        <u/>
      </rPr>
      <t>https://osf.io/k5cwt</t>
    </r>
  </si>
  <si>
    <t>osc2015135_1</t>
  </si>
  <si>
    <t>osc2015135</t>
  </si>
  <si>
    <t>Cohn, Corinna Gemmecke</t>
  </si>
  <si>
    <t>Three preregistrations of replication; The table states that the effect of the replication study was tested two-sided while the report does not indicate so.; Authors reported prep instead of p-value in the original study.</t>
  </si>
  <si>
    <t>SAJ:
-Coders were very similar. 
-Fixed merged cell and scientific notation in cells on chosen row. 
-Chosen row correctly identified the tails in the original report (not the replication project)</t>
  </si>
  <si>
    <t>Ranganath, K. A., &amp; Nosek, B. A. (2008). Implicit attitude generalization occurs immediately; explicit attitude generalization takes time. Psychological Science, 19(3), 249-254.</t>
  </si>
  <si>
    <t>10.1111/j.1467-9280.2008.02076.x</t>
  </si>
  <si>
    <t>10.1111--j.1467-9280.2008.02076.x.pdf</t>
  </si>
  <si>
    <t>Cohn, M. (2023, September 28). Replication of Ratliff (Ranganath) &amp; Nosek, 2008, Psych Science. Retrieved from osf.io/2gkjt</t>
  </si>
  <si>
    <t>Implicit attitude generalization</t>
  </si>
  <si>
    <t>Adult, Association, Attitude, Decision Making, Feedback, Psychological, Female, Generalization, Response, Humans, Individuality, Interpersonal Relations, Judgment, Male, Mental Recall, Middle Aged, Personality Inventory, Social Behavior, Social Identification</t>
  </si>
  <si>
    <t>Associative links (e.g., shared group membership) are sufficient for implicit attitude generalization, but deliberative logic (e.g., individual group members are not necessarily the same) can reduce explicit generalization by association.</t>
  </si>
  <si>
    <t>"There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</si>
  <si>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r>
      <rPr>
        <rFont val="Arial, sans-serif"/>
        <color rgb="FF1155CC"/>
        <u/>
      </rPr>
      <t>https://doi.org/10.17605/OSF.IO/PX56H</t>
    </r>
  </si>
  <si>
    <t>Implicit Attitude Generalization</t>
  </si>
  <si>
    <t>Association, Attitude, Decision Making, Feedback, Generalization, Response, Individuality, Interpersonal Relations, Judgment, Mental Recall, Personality Inventory, Social Behavior, Social Identification</t>
  </si>
  <si>
    <t>Participants were unable to prevent the information about the original individuals from influencing their implicit responses toward the new individuals</t>
  </si>
  <si>
    <t>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</si>
  <si>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r>
      <rPr>
        <rFont val="&quot;Arial, sans-serif&quot;"/>
        <color rgb="FF1155CC"/>
        <u/>
      </rPr>
      <t>https://osf.io/px56h</t>
    </r>
  </si>
  <si>
    <t>osc2015136_1</t>
  </si>
  <si>
    <t>osc2015136</t>
  </si>
  <si>
    <t>Giner-Sorolla</t>
  </si>
  <si>
    <t>Three preregistrations of replication report; Table states that study 2 is replicated while the report states that it is study 1</t>
  </si>
  <si>
    <t>SAJ: 
- The codings align.
- Corrected typesetting errors, e.g. commas instead of decimel places
- Expanded tags by merging form 2 coders</t>
  </si>
  <si>
    <t>KD Vohs, JW Schooler (2008). The value of believing in free will: encouraging a belief in determinism increases cheating. Psychological Science, 19.1: 49-54.</t>
  </si>
  <si>
    <t>10.1111/j.1467-9280.2008.02045.x</t>
  </si>
  <si>
    <t>10.1111--j.1467-9280.2008.02045.x.pdf</t>
  </si>
  <si>
    <t>Giner-Sorolla, R., Embley, J., &amp; Johnson, L. (2023, September 28). Replication of Vohs &amp; Schooler (2008, PS, Study 1). Retrieved from osf.io/i29mh</t>
  </si>
  <si>
    <t>Belief in free will</t>
  </si>
  <si>
    <t>Culture, Deception, Female, Genetic Determinism, Humans, Internal-External Control, Male, Moral Development, Personal Autonomy, Persuasive Communication, Problem Solving, Social Environment</t>
  </si>
  <si>
    <t>Exposure to the deterministic message increased cheating on a task in which participants could passively allow a flawed computer program to reveal answers to mathematical problems that they had been instructed to solve themselves. Moreover, increased cheating behavior was mediated by decreased belief in free will.</t>
  </si>
  <si>
    <t>"Analysis of the main dependent measure, degree of cheating, revealed that, as predicted, participants cheated more frequently after reading the anti-free-will essay (M = 14.00, SD = 4.17) than after reading the control essay (M = 9.67, SD = 5.58), t(28) = 3.04, p &lt; .01"</t>
  </si>
  <si>
    <t>t(28) = 3.04</t>
  </si>
  <si>
    <t>t(56) = -0.77</t>
  </si>
  <si>
    <r>
      <rPr>
        <rFont val="Arial, sans-serif"/>
        <color rgb="FF1155CC"/>
        <u/>
      </rPr>
      <t>https://doi.org/10.17605/OSF.IO/PPPJG</t>
    </r>
  </si>
  <si>
    <t>1. Another OSF links: https://osf.io/bx64z
 2. There is no explanation of how participants were devided to groups, thus it is difficult to calculate Cohen's d. I reported the calculted in ES calculations Cohen's d</t>
  </si>
  <si>
    <t>Free will</t>
  </si>
  <si>
    <r>
      <rPr>
        <rFont val="Calibri"/>
        <color theme="1"/>
        <sz val="11.0"/>
      </rPr>
      <t xml:space="preserve">Free will, determinism, mathematical task, cheating, anti-free-will, </t>
    </r>
    <r>
      <rPr>
        <rFont val="Calibri"/>
        <color rgb="FF00FF00"/>
        <sz val="11.0"/>
      </rPr>
      <t>Culture, Deception, Female, Genetic Determinism, Humans, Internal-External Control, Male, Moral Development, Personal Autonomy, Persuasive Communication, Problem Solving, Social Environment</t>
    </r>
  </si>
  <si>
    <t>Participants cheated more frequently after reading the anti-free-will essay than after reading the control essay</t>
  </si>
  <si>
    <t>Analysis of the main dependent measure, degree of cheating, revealed that, as predicted, participants cheated more frequently after reading the anti-free-will essay (M = 14.00, SD = 4.17) than after reading the control essay (M = 9.67, SD = 5.58), t(28) = 3.04, p &lt; .01</t>
  </si>
  <si>
    <r>
      <rPr>
        <rFont val="&quot;Arial, sans-serif&quot;"/>
        <color rgb="FF1155CC"/>
        <u/>
      </rPr>
      <t>https://osf.io/pppjg</t>
    </r>
  </si>
  <si>
    <t>osc2015139_1</t>
  </si>
  <si>
    <t>osc2015139</t>
  </si>
  <si>
    <t>Snyder, Corinna Gemmecke</t>
  </si>
  <si>
    <t xml:space="preserve">Corinna:
- A repeated measures ANOVA was performed, thus the nesting was selected in replication. 
- Coder 2 used the table to code, which deviated at some points from the replication report.
SAJ:
-Discrepancies between coders reviewed, original replication report reviewed
- Validator 1 was correct in asserting the nestedness of the replication
- Added detial to tags by combining information from two coders. </t>
  </si>
  <si>
    <t>Demany, L., Trost, W., Serman, M., &amp; Semal, C. (2008). Auditory change detection: simple sounds are not memorized better than complex sounds. Psychological Science, 19(1), 85-91.</t>
  </si>
  <si>
    <t>10.1111/j.1467-9280.2008.02050.x</t>
  </si>
  <si>
    <t>10.1111--j.1467-9280.2008.02050.x.pdf</t>
  </si>
  <si>
    <t>Snyder, J. S., &amp; Irsik, V. C. (2023, September 28). Replication of L Demany, W Trost, M Serman, C Semal (2008, PS 19(1), Exp. 5). Retrieved from osf.io/ta3j8</t>
  </si>
  <si>
    <t>Change detection</t>
  </si>
  <si>
    <r>
      <rPr>
        <rFont val="Calibri"/>
        <color theme="1"/>
        <sz val="11.0"/>
      </rPr>
      <t>Attention, Humans, Judgment, Mental Recall, Music, Pitch Perception, Psychoacoustics, Reaction Time, Sound Spectrography,</t>
    </r>
    <r>
      <rPr>
        <rFont val="Calibri"/>
        <color rgb="FF00FF00"/>
        <sz val="11.0"/>
      </rPr>
      <t xml:space="preserve"> change detection, change perception</t>
    </r>
  </si>
  <si>
    <t>Mechanisms of change detection are dissimilar in vision and audition; specifically, auditory memory makes change detection easier in audition than in vision</t>
  </si>
  <si>
    <t>"In Experiment 5 (see Fig. 2d), ISI again had a significant main effect, F(3,9) = 8.5, p = .005, p-rep = .97, η2 = .74"</t>
  </si>
  <si>
    <r>
      <rPr>
        <rFont val="Arial, sans-serif"/>
        <color rgb="FF1155CC"/>
        <u/>
      </rPr>
      <t>https://doi.org/10.17605/OSF.IO/WM2A8</t>
    </r>
  </si>
  <si>
    <t>Snyder</t>
  </si>
  <si>
    <t>Attention, Judgment, Mental Recall, Music, Pitch Perception, Psychoacoustics, Reaction Time, Sound Spectrography, change detection, change perception</t>
  </si>
  <si>
    <t>In Experiment 5 (see Fig. 2d), ISI again had a significant main effect, F(3,9) = 8.5, p = .005, p-rep = .97, η2 = .74</t>
  </si>
  <si>
    <r>
      <rPr>
        <rFont val="&quot;Arial, sans-serif&quot;"/>
        <color rgb="FF1155CC"/>
        <u/>
      </rPr>
      <t>https://osf.io/wm2a8</t>
    </r>
  </si>
  <si>
    <t>osc2015140_1</t>
  </si>
  <si>
    <t>osc2015140</t>
  </si>
  <si>
    <t>Joy Gaba, Corinna Gemmecke</t>
  </si>
  <si>
    <t>Two preregistrations of replication report: Original study reports only prep (.95)</t>
  </si>
  <si>
    <t xml:space="preserve">Corinna: 
-It was a one-way ANOVA, thus the p-value is one-tailed.
SAJ:
- Validator 1s assertion of one-way equating to one tail is false, there is not information on tails in the replication report 
- Original replicaiton report checked to understand discrepancy between coder 1 and 2 on p-values of the replication (0.78 versus 0.79) - coder 1 was correct. </t>
  </si>
  <si>
    <t>Williams, L. E. &amp; Bargh, J. A. (2008). Keeping one’s distance: The influence of spatial distance cues on affect and evaluation. Psychological Science, 19, 302 – 308.</t>
  </si>
  <si>
    <t>10.1111/j.1467-9280.2008.02084.x</t>
  </si>
  <si>
    <t>10.1111--j.1467-9280.2008.02084.x.pdf</t>
  </si>
  <si>
    <t>Joy-Gaba, J. A., Clay, R., &amp; Cleary, H. (2023, September 28). Replication of Williams &amp; Bargh (2008, PS, Study 4). Retrieved from osf.io/vnsqg</t>
  </si>
  <si>
    <t>Spatial priming</t>
  </si>
  <si>
    <t>Adult, Affect, Cues, Culture, Dangerous Behavior, Energy Intake, Female, Food Habits [psychology], Humans, Judgment, Male, Object Attachment, Personal Space, Reading, Self-Assessment, Social Facilitation, Social Perception, Violence [psychology]</t>
  </si>
  <si>
    <t>When people are primed with a sense of spatial distance, rather than closeness, they report weaker bonds to their siblings, parents, and hometown</t>
  </si>
  <si>
    <t>"An ANOVA revealed that the three spatial-prime groups differed significantly in the reported strength of their bonds to their family and hometown, F(2,81) = 4.97, p-rep = .95, η2 = .11"</t>
  </si>
  <si>
    <r>
      <rPr>
        <rFont val="Arial, sans-serif"/>
        <color rgb="FF1155CC"/>
        <u/>
      </rPr>
      <t>https://doi.org/10.17605/OSF.IO/P87CN</t>
    </r>
  </si>
  <si>
    <t>Priming, spatial priming, Affect, Cues, Culture, Dangerous Behavior, Energy Intake, Food Habits, Judgment, Object Attachment, Personal Space, Reading, Self-Assessment, Social Facilitation, Social Perception, Violence</t>
  </si>
  <si>
    <t>An ANOVA revealed that the three spatial-prime groups differed significantly in the reported strength of their bonds to their family and hometown, F(2,81) = 4.97, p-rep = .95, η2 = .11</t>
  </si>
  <si>
    <r>
      <rPr>
        <rFont val="&quot;Arial, sans-serif&quot;"/>
        <color rgb="FF1155CC"/>
        <u/>
      </rPr>
      <t>https://osf.io/p87cn</t>
    </r>
  </si>
  <si>
    <t>osc2015142_1</t>
  </si>
  <si>
    <t>osc2015142</t>
  </si>
  <si>
    <t>Masicampo, Corinna Gemmecke</t>
  </si>
  <si>
    <t>Corinna: 
- Codings align, but replication used partial etasqu.
SAJ:
- COders aligned
- Updated typesetting issues
- Combined tags to improve overall informational value</t>
  </si>
  <si>
    <t>Tamir, M., Mitchell, C., &amp; Gross, J.J. (2008). Hedonic and instrumental motives in anger regulation. Psychological Science, 19(4). 324-328.</t>
  </si>
  <si>
    <t>10.1111/j.1467-9280.2008.02088.x</t>
  </si>
  <si>
    <t>10.1111--j.1467-9280.2008.02088.x.pdf</t>
  </si>
  <si>
    <t>Masicampo, E. J. (2016, August 19). Replication of M Tamir, C Mitchell, JJ Gross (2008, PS 19(4)). Retrieved from osf.io/k4y9i</t>
  </si>
  <si>
    <t>Motives in anger regulation</t>
  </si>
  <si>
    <r>
      <rPr>
        <rFont val="Calibri"/>
        <color theme="1"/>
        <sz val="11.0"/>
      </rPr>
      <t>Adult, Affect, Anger, Humans, Leisure Activities, Male, Motivation, Music, Social Control, Informal,</t>
    </r>
    <r>
      <rPr>
        <rFont val="Calibri"/>
        <color rgb="FF00FF00"/>
        <sz val="11.0"/>
      </rPr>
      <t xml:space="preserve"> hedonic emotion regulation, instrumental emotion regulation</t>
    </r>
  </si>
  <si>
    <t>Individuals prefer activities that increase their level of anger when they are anticipating confrontational but not nonconfrontational tasks</t>
  </si>
  <si>
    <t>"As expected, we found a significant Game Type × Emotion interaction, F(2,162) = 192.89, p &lt; .001 (see Fig. 1). Preferences for anger-inducing activities were higher than preferences for exciting and neutral activities when participants anticipated playing confrontational games."</t>
  </si>
  <si>
    <t>F(2, 162) = 192.89</t>
  </si>
  <si>
    <r>
      <rPr>
        <rFont val="Arial, sans-serif"/>
        <color rgb="FF1155CC"/>
        <u/>
      </rPr>
      <t>https://doi.org/10.17605/OSF.IO/TR7FP</t>
    </r>
  </si>
  <si>
    <t>Masicampo</t>
  </si>
  <si>
    <t>Affect, Anger, Leisure Activities, Motivation, Music, Social Control, Informal, hedonic emotion regulation, instrumental emotion regulation</t>
  </si>
  <si>
    <t>Preferences for anger-inducing activities were higher than preferences for exciting and neutral activities when participants anticipated playing confrontational games</t>
  </si>
  <si>
    <t>As expected, we found a significant Game Type × Emotion interaction, F(2,162) = 192.89, p &lt; .001 (see Fig. 1).</t>
  </si>
  <si>
    <r>
      <rPr>
        <rFont val="&quot;Arial, sans-serif&quot;"/>
        <color rgb="FF1155CC"/>
        <u/>
      </rPr>
      <t>https://osf.io/tr7fp</t>
    </r>
  </si>
  <si>
    <t>osc2015143_1</t>
  </si>
  <si>
    <t>osc2015143</t>
  </si>
  <si>
    <t>Sandstrom, Corinna Gemmecke</t>
  </si>
  <si>
    <t>Corinna: 
- Codings align
SAJ:
- Coders aligned
-Fixed typsetting issues
-Agree with chosen row - has better tags/description</t>
  </si>
  <si>
    <t>Epley, N., Akalis, S., Waytz, A., &amp; Cacioppo, J.T. (2008). Creating social connection through inferential reproduction: Loneliness and perceived agency in gadgets, Gods and greyhounds. Psychological Science, 19(2), 114–120.</t>
  </si>
  <si>
    <t>10.1111/j.1467-9280.2008.02056.x</t>
  </si>
  <si>
    <t>10.1111--j.1467-9280.2008.02056.x.pdf</t>
  </si>
  <si>
    <t>Dunn, E. W., &amp; Sandstrom, G. M. (2023, September 28). Replication of Epley, Akalis, Waytz &amp; Cacioppo (2008, PS, Study 3). Retrieved from osf.io/yuybh</t>
  </si>
  <si>
    <t>Compensating social connections</t>
  </si>
  <si>
    <t>Adult, Female, Humans, Interpersonal Relations, Loneliness, Male, Motivation, Object Attachment, Questionnaires, Religion and Psychology, Social Behavior</t>
  </si>
  <si>
    <t>People are motivated to maintain social con- nection with others, and those who lack social connection with other humans may try to compensate by creating a sense of human connection with nonhuman agents. This may occur in at least two ways—by anthropomorphizing nonhuman agents such as nonhuman animals and gadgets to make them appear more humanlike and by increasing belief in commonly anthropomorphized religious agents (such as God).</t>
  </si>
  <si>
    <t>"A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</si>
  <si>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F(4, 150) = 0.58</t>
  </si>
  <si>
    <r>
      <rPr>
        <rFont val="Arial, sans-serif"/>
        <color rgb="FF1155CC"/>
        <u/>
      </rPr>
      <t>https://doi.org/10.17605/OSF.IO/HT9DU</t>
    </r>
  </si>
  <si>
    <t>Connection</t>
  </si>
  <si>
    <t>Interpersonal relations, loneliness, motivation, object attachment, seclusion, human-like agents, anthropomorphism, fear, connection, disconnection</t>
  </si>
  <si>
    <t>People who were feeling socially disconnected attempted to restore feelings of belonging by demonstrating more beliefs in supernatural agents and events, and by attributing more social traits to pets</t>
  </si>
  <si>
    <t>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</si>
  <si>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r>
      <rPr>
        <rFont val="&quot;Arial, sans-serif&quot;"/>
        <color rgb="FF1155CC"/>
        <u/>
      </rPr>
      <t>https://osf.io/ht9du</t>
    </r>
  </si>
  <si>
    <t>osc2015145_1</t>
  </si>
  <si>
    <t>osc2015145</t>
  </si>
  <si>
    <t>Thomae, Corinna Gemmecke</t>
  </si>
  <si>
    <t xml:space="preserve">Corinna:
- Codings largely align, but Coder 2 used the results of a table in the replication report (that summerizes the results). However, as the p-value can never be zero, I chose this row.
SAJ:
- Corrected typesetting issues in cells
- Combined coders to expand tags to mak more complete
- Consider the main effect to be a close replication (with extensions). </t>
  </si>
  <si>
    <t>Halevy, N., Bornstein, G., &amp; Sagiv, L. (2008). “In-group love” and “out-group hate” as motives for individual participation in intergroup conflict: A new game paradigm. Psychological science, 19(4), 405-411.</t>
  </si>
  <si>
    <t>10.1111/j.1467-9280.2008.02100.x</t>
  </si>
  <si>
    <t>10.1111--j.1467-9280.2008.02100.x.pdf</t>
  </si>
  <si>
    <t>Thomae, M., Wood, M. J., &amp; Immelman, N. (2023, September 28). Replication of N Halevy, G Bornstein, L Sagiv (2008, PS 19(4)). Retrieved from osf.io/76qc5</t>
  </si>
  <si>
    <t>Individual Participation in Intergroup Conflict</t>
  </si>
  <si>
    <r>
      <rPr>
        <rFont val="Calibri"/>
        <color theme="1"/>
        <sz val="11.0"/>
      </rPr>
      <t xml:space="preserve">Adult, Conflict (Psychology), Female, Hate, Humans, Interpersonal Relations, Love, Male, Motivation, </t>
    </r>
    <r>
      <rPr>
        <rFont val="Calibri"/>
        <color rgb="FF00FF00"/>
        <sz val="11.0"/>
      </rPr>
      <t>intergroup prisoner’s dilemma-maximizing difference, intergroup prisoner’s dilemma</t>
    </r>
  </si>
  <si>
    <t>Contributions in the intergroup prisoner's dilemma-maximizing difference game are made almost exclusively in the within-group pool.</t>
  </si>
  <si>
    <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</si>
  <si>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F(1, 76) = 109.74</t>
  </si>
  <si>
    <r>
      <rPr>
        <rFont val="&quot;Arial, sans-serif&quot;"/>
        <color rgb="FF1155CC"/>
        <u/>
      </rPr>
      <t>https://osf.io/k82yb</t>
    </r>
  </si>
  <si>
    <t>1. Important difference in how groups were seated (together or separately) -&gt; conceptual replication
 2. The effect can be either "Intragroup / intergroup conflict" or "Cooperation". The second term is broader, thus I chose it</t>
  </si>
  <si>
    <t>Cooperation</t>
  </si>
  <si>
    <t>Conflict, Hate, Interpersonal Relations, Love, Motivation, intergroup prisoner’s dilemma-maximizing difference, intergroup prisoner’s dilemma</t>
  </si>
  <si>
    <t>The contribution rate to Between-group Pool was significantly lower in the IPD-MD game than the contribution rate to Between-group Pool in the IPD game (contributions were made almost exclusively to the cooperative, within-group pool)</t>
  </si>
  <si>
    <t>The contribution rate to pool B in the IPD-MD game was significantly lower than the contribution rate to pool B (the only pool) in the IPD game, F(1,76) = 109.74, p = .001</t>
  </si>
  <si>
    <r>
      <rPr>
        <rFont val="&quot;Arial, sans-serif&quot;"/>
        <color rgb="FF1155CC"/>
        <u/>
      </rPr>
      <t>https://osf.io/k82yb</t>
    </r>
  </si>
  <si>
    <t>osc2015146_1</t>
  </si>
  <si>
    <t>osc2015146</t>
  </si>
  <si>
    <t>Melinger, Corinna Gemmecke</t>
  </si>
  <si>
    <t xml:space="preserve">Corinna: 
- The conducted test was a within-subjects t-test
SAJ:
- Corrected typesetting issues
- Improved tags by combining values from both coders
- Nestedness in original clear - in replication it is a paired samples t-test (not nested)
- Tails indicated as two tailed in replication report (coder 1 correct)
</t>
  </si>
  <si>
    <t>Janssen, N., Alario, F.X., &amp; Caramazza, A. (2008). A word-order constraint on phonological activation. Psychological Science, 19(3), 216-220.</t>
  </si>
  <si>
    <t>10.1111/j.1467-9280.2008.02070.x</t>
  </si>
  <si>
    <t>10.1111--j.1467-9280.2008.02070.x.pdf</t>
  </si>
  <si>
    <t>Melinger, A. (2023, September 28). Replication of N Janssen, FX Alario, A Caramazza (2008, PS 19(3), Exp. 2). Retrieved from osf.io/dncxa</t>
  </si>
  <si>
    <t>Word-order constraints</t>
  </si>
  <si>
    <r>
      <rPr>
        <rFont val="Calibri"/>
        <color theme="1"/>
        <sz val="11.0"/>
      </rPr>
      <t xml:space="preserve">Color Perception, Humans, Language, Pattern Recognition, Visual, Phonetics, Psycholinguistics, Semantics, Verbal Behavior, </t>
    </r>
    <r>
      <rPr>
        <rFont val="Calibri"/>
        <color rgb="FF00FF00"/>
        <sz val="11.0"/>
      </rPr>
      <t>cross-linguistic contrast, word-order constraints</t>
    </r>
  </si>
  <si>
    <t>Word-order influences phronological representation in language production</t>
  </si>
  <si>
    <t>"The RT analysis revealed an effect of congruency, t1​(14) = 3.20, p &lt; .007, p-rep = .960, d = 1.71"</t>
  </si>
  <si>
    <r>
      <rPr>
        <rFont val="&quot;Arial, sans-serif&quot;"/>
        <color rgb="FF1155CC"/>
        <u/>
      </rPr>
      <t>https://osf.io/qmpky</t>
    </r>
  </si>
  <si>
    <t>Word-order constraint</t>
  </si>
  <si>
    <t>Color Perception, Language, Pattern Recognition, Visual, Phonetics, Semantics, Verbal Behavior, cross-linguistic contrast, word-order constraints</t>
  </si>
  <si>
    <t>Object naming times in the congruent condition were faster than in the incongruent condition, althought not significantly</t>
  </si>
  <si>
    <t>The RT analysis revealed an effect of congruency, t1​(14) = 3.20, p &lt; .007, p-rep = .960, d = 1.71</t>
  </si>
  <si>
    <r>
      <rPr>
        <rFont val="&quot;Arial, sans-serif&quot;"/>
        <color rgb="FF1155CC"/>
        <u/>
      </rPr>
      <t>https://osf.io/qmpky</t>
    </r>
  </si>
  <si>
    <t>osc2015148_1</t>
  </si>
  <si>
    <t>osc2015148</t>
  </si>
  <si>
    <t>Frazier, Corinna Gemmecke</t>
  </si>
  <si>
    <t xml:space="preserve">Corinna:
- Replication reports states that throughout the whole article all tests are two-tailed.
SAJ:
-Updated chosen row to correct typesetting - all values double checked against replicaiton report for accuracy when updating. </t>
  </si>
  <si>
    <t>Bressan, P. &amp; Stranieri, D. (2008). The best men are (not always) already taken: Female preference for single versus attached males depends on conception risk. Psychological Science, 19, 145-151.</t>
  </si>
  <si>
    <t>10.1111/j.1467-9280.2008.02060.x</t>
  </si>
  <si>
    <t>10.1111--j.1467-9280.2008.02060.x.pdf</t>
  </si>
  <si>
    <t>Frazier, R. S., &amp; Hasselman, F. (2023, September 28). Replication of Bressan &amp; Stranieri (2008, PS, Study 2). Retrieved from osf.io/blcj6</t>
  </si>
  <si>
    <t>Preference</t>
  </si>
  <si>
    <t>Adult, Choice Behavior, Female, Humans, Male, Marriage [psychology], Reproductive Behavior [psychology], Sexual Behavior [psychology], Social Behavior, Social Desirability</t>
  </si>
  <si>
    <t>The Best Men Are (Not Always) Already Taken: Female Preference for Single Versus Attached Males Depends on Conception Risk</t>
  </si>
  <si>
    <t>"More interestingly, man’s availability and participant’s conception risk did not have significant main effects (both Fs&lt;1), but were involved in a significant triple interaction with participant’s partnership status, F(1,194) = 7.16, p = .008, p-rep = .96"</t>
  </si>
  <si>
    <t>F(1, 194) = 7.16</t>
  </si>
  <si>
    <r>
      <rPr>
        <rFont val="&quot;Arial, sans-serif&quot;"/>
        <color rgb="FF1155CC"/>
        <u/>
      </rPr>
      <t>https://osf.io/j3cfm</t>
    </r>
  </si>
  <si>
    <t>1. The study was partially online, thus it required modification in design
 2. The study is called "main study" in the original manuscript, rather than "2".</t>
  </si>
  <si>
    <t>Choice behavior, marriage, reproductive behavior, sexual behavior, social behavior, social desirability, sexual preference</t>
  </si>
  <si>
    <t>More interestingly, man’s availability and participant’s conception risk did not have significant main effects (both Fs&lt;1), but were involved in a significant triple interaction with participant’s partnership status, F(1,194) = 7.16, p = .008, p-rep = .96</t>
  </si>
  <si>
    <t>F(1,194) = 7.16</t>
  </si>
  <si>
    <r>
      <rPr>
        <rFont val="&quot;Arial, sans-serif&quot;"/>
        <color rgb="FF1155CC"/>
        <u/>
      </rPr>
      <t>https://osf.io/j3cfm</t>
    </r>
  </si>
  <si>
    <t>osc201515_1</t>
  </si>
  <si>
    <t>osc201515</t>
  </si>
  <si>
    <t>Cloud, Corinna Gemmecke</t>
  </si>
  <si>
    <t xml:space="preserve">Corinna:
- The ANOVA controlled for nesting and was one-way, but it is not clear whether the t-test was also tested one-tail
SAJ:
-Coder largely aligned
-Updated and corrected typesetting issues
-Checked replication report - no mention of tails on t-test (follow up/post hoc). </t>
  </si>
  <si>
    <t>Schmidt, J. R., &amp; Besner, D. (2008). The Stroop effect: why proportion congruent has nothing to do with congruency and everything to do with contingency. Journal of Experimental Psychology: Learning, Memory, and Cognition, 34(3), 514.</t>
  </si>
  <si>
    <t>10.1037/0278-7393.34.3.514</t>
  </si>
  <si>
    <t>10.1037--0278-7393.34.3.514.pdf</t>
  </si>
  <si>
    <t>Cloud, M. D., &amp; Kyc, M. (2023, September 28). Replication of Schmidt and Besner (2008, JEPLMC, Exp 2). Retrieved from osf.io/bscfe</t>
  </si>
  <si>
    <t>Item-specific proportion congruent (ISPC) effect</t>
  </si>
  <si>
    <t>Attention, Color Perception, Conflict (Psychology), Cues, Discrimination Learning, Humans, Mental Recall, Probability Learning, Reaction Time, Reading, Semantics</t>
  </si>
  <si>
    <t>Stroop effect is larger for words that are presented mostly in congruent colours (e.g., BLUE presented 75% of the time in blue), and smaller for words that are presented mostly in a given incongruent colour (e.g., YELLOW presented 75% of the time in orange).</t>
  </si>
  <si>
    <t>"low contingency trials (31.4%) generated more errors than medium contingency trials, t(94) = 1.929, SEdiff = 0.7, p = .028 (one-tailed), partial eta-squared = .038"</t>
  </si>
  <si>
    <r>
      <rPr>
        <rFont val="&quot;Arial, sans-serif&quot;"/>
        <color rgb="FF1155CC"/>
        <u/>
      </rPr>
      <t>https://osf.io/x5b6d</t>
    </r>
  </si>
  <si>
    <t>1. There were modification (index card, that provided a review of ink color and keyboard key matches) which may influence the results -&gt; conceptual replication
 2. The Effect can be either "Contingency" or "Item-specific proportion congruent effect". I chose the 2nd one as it is stated in the paper and is more descriptive, wherease the 1st term is broader.</t>
  </si>
  <si>
    <t>Item-specific proportion congruent effect</t>
  </si>
  <si>
    <t>Contingency learning, Stroop, proportion congruent, ISPC, attention</t>
  </si>
  <si>
    <t>Low contingency trials produced significantly more errors than the medium contingency trials</t>
  </si>
  <si>
    <t>Planned comparisons revealed that [...] low contingency trials (31.4%) [...] generated more errors than medium contingency trials, t(94) = 1.929, SEdiff = 0.7, p = .028 (one-tailed), partial eta-squared = .038</t>
  </si>
  <si>
    <r>
      <rPr>
        <rFont val="&quot;Arial, sans-serif&quot;"/>
        <color rgb="FF1155CC"/>
        <u/>
      </rPr>
      <t>https://osf.io/x5b6d</t>
    </r>
  </si>
  <si>
    <t>osc2015150_1</t>
  </si>
  <si>
    <t>osc2015150</t>
  </si>
  <si>
    <t>Dorrough, Roksana</t>
  </si>
  <si>
    <t>1. In original study, no p-value is reported. However, the prep = .99</t>
  </si>
  <si>
    <t>Chosen as reported to 3.d.p</t>
  </si>
  <si>
    <t>Forti, S., &amp; Humphreys, G.W. (2008). Sensitivity to object viewpoint and action instructions during search for targets in the lower visual field. Psychological Science, 19(1), 42-48.</t>
  </si>
  <si>
    <t>10.1111/j.1467-9280.2008.02044.x</t>
  </si>
  <si>
    <t>10.1111--j.1467-9280.2008.02044.x.pdf</t>
  </si>
  <si>
    <t>Dorrough, A. R., &amp; Fiedler, S. (2023, September 28). Replication of S Forti, GW Humphreys (2008, PS 19(1)). Retrieved from osf.io/tf8ky</t>
  </si>
  <si>
    <t>Visual search</t>
  </si>
  <si>
    <t>Adolescent, Adult, Attention, Discrimination Learning, Eye Movements, Female, Fixation, Ocular, Humans, Male, Orientation, Probability, Psychomotor Performance, Reaction Time, Semantics, Visual Fields</t>
  </si>
  <si>
    <t>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</si>
  <si>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"These two factors interacted, F(1, 13) = 14.2, prep &gt; .99. The effect of visual field was enhanced for objects depicted in a prototypical orientation, though visual field was significant for both views."</t>
  </si>
  <si>
    <t>F(1, 13) = 14.2</t>
  </si>
  <si>
    <t>https://osf.io/9r7au</t>
  </si>
  <si>
    <t xml:space="preserve">1. The second OSF link: https://osf.io/u8g3x
2. Since stimulus were recreated, rather than reused, I would suggest to mark the study as conceptual replication
3. I can't understand how the effect can be significant if p &gt; 0.99. I am not sure that I understand what is meant under "p-rep". </t>
  </si>
  <si>
    <t>I would argue that this is a close replication rather than conceptual as all central features are highly similar, the original materials had to be recreated but this was done in line with screenshots and description so doubt it differed that much</t>
  </si>
  <si>
    <t>Attention, discrimination learning, eye movements, ocular, orientation, probability, semantics, visual search, dorsal stream, ventral stream</t>
  </si>
  <si>
    <t>These two factors interacted, F(1,13) = 14.2, p-rep &gt; .99: The effect of visual field was enhanced for objects depicted in a prototypical orientation, though visual field was significant for both views</t>
  </si>
  <si>
    <t>https://osf.io/fj6e8</t>
  </si>
  <si>
    <t>osc2015151_1</t>
  </si>
  <si>
    <t>osc2015151</t>
  </si>
  <si>
    <t>Cheung, Roksana</t>
  </si>
  <si>
    <t>1) 'doi_r' differs from the link provided on page 35 table from OSC 2015 PDF and their effect sizes differ, I coded the one from the link provided in PDF. 2) I coded d= 005 as in the link found in OSC 2015 PDF but the RPPdataConverted.xlsx table contained d= .006, meaning there is inconsistency between the value reported in table and the value reported in replication paper 3)1. In original study, no p-value is reported. However, the prep = .97</t>
  </si>
  <si>
    <t>Chosen as correct link for prereg used, otherwise all the same, I updated the description here from the other coder as mine were done already but updated one is more suitable</t>
  </si>
  <si>
    <t>Schnall S., Benton J., &amp; Harvey S. (2008). With a clean conscience: Cleanliness reduces the severity of moral judgments. &lt;i&gt;Psychological Science&lt;/i&gt;, 19, 1219-1222.</t>
  </si>
  <si>
    <t>Cheung, F., Donnellan, B., &amp; Johnson, D. J. (2023, September 28). Replication of Schnall, Benton, &amp; Harvey (2008, PS). Retrieved from osf.io/apidb</t>
  </si>
  <si>
    <t>10.1027/1864-9335/a000186</t>
  </si>
  <si>
    <t>http://dx.doi.org/10.1027/1864-9335/a000186</t>
  </si>
  <si>
    <t>Adult, Analysis of Variance, Communication, Conscience, Cues, Emotions [physiology], Female, Great Britain, Humans, Intuition [physiology], Judgment [physiology], Male, Morals, Social Behavior, Social Perception, Students [psychology], Young Adult</t>
  </si>
  <si>
    <t>Hand-washing after experiencing disgust led participants to judge moral vignettes with less severity than participants who did not wash their hands</t>
  </si>
  <si>
    <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</si>
  <si>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https://osf.io/a8zvk</t>
  </si>
  <si>
    <t>1. Minor changes were made for the replication
2. Authors reported p-replication (probability of replication) instead of p-value</t>
  </si>
  <si>
    <t>Moral judgment</t>
  </si>
  <si>
    <t>Adult, Analysis of Variance, Communication, Conscience, Cues, Emotions, Female, Great Britain, Humans, Intuition, Judgment, Male, Morals, Social Behavior, Social Perception, Students, Young Adult, Replication, Embodiment, Cleanliness, Morality, Effect Size</t>
  </si>
  <si>
    <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F(1,41) = 7.81, p-rep = .97, partial η2 ​= .16</t>
  </si>
  <si>
    <t>https://osf.io/7xupr</t>
  </si>
  <si>
    <t>osc2015153_1</t>
  </si>
  <si>
    <t>osc2015153</t>
  </si>
  <si>
    <t>Saxe, Roksana</t>
  </si>
  <si>
    <r>
      <rPr>
        <rFont val="Arial"/>
      </rPr>
      <t xml:space="preserve">Link provided in OSC 2015 PDF not valid, so I had to find information on this link: </t>
    </r>
    <r>
      <rPr>
        <rFont val="Arial"/>
        <color rgb="FF1155CC"/>
        <u/>
      </rPr>
      <t>https://osf.io/27cmh</t>
    </r>
  </si>
  <si>
    <t>SE Palmer, T Ghose (2008). Extremal edges: a powerful cue to depth perception and figure-ground organization. Psychological Science, 19.1: 77-84.</t>
  </si>
  <si>
    <t>10.1111/j.1467-9280.2008.02049.x</t>
  </si>
  <si>
    <t>10.1111--j.1467-9280.2008.02049.x.pdf</t>
  </si>
  <si>
    <r>
      <rPr>
        <rFont val="Calibri"/>
        <sz val="11.0"/>
      </rPr>
      <t xml:space="preserve">Saxe, R., Vélez, N., &amp; Johnston, W. (2023, September 28). Replication of Palmer &amp; Ghose (2008, PS). Retrieved from </t>
    </r>
    <r>
      <rPr>
        <rFont val="Calibri"/>
        <color rgb="FF1155CC"/>
        <sz val="11.0"/>
        <u/>
      </rPr>
      <t>osf.io/0aifq</t>
    </r>
  </si>
  <si>
    <t>External edges</t>
  </si>
  <si>
    <t>Attention, Contrast Sensitivity, Depth Perception, Discrimination Learning, Field Dependence-Independence, Humans, Optical Illusions, Orientation, Pattern Recognition, Visual</t>
  </si>
  <si>
    <t>Surfaces with a single EE along the shared contour were perceived as closer than surfaces with two EE's orthogonal to the shared contour</t>
  </si>
  <si>
    <t>"The quarter-cylinder EE regions (EE1) were also seen as closer than the rotated convex versions on 85% of the trials with half-cylinder non-EE regions (Convex2) and 90% of the trials with quarter-cylinder non-EE regions (Convex1), ts(7) = 4.45 and 6.13, ps &lt; .001, respectively."</t>
  </si>
  <si>
    <t>t(7) = 4.45</t>
  </si>
  <si>
    <t>t(7) = 0.32</t>
  </si>
  <si>
    <t>https://osf.io/jb2pw/</t>
  </si>
  <si>
    <t>Saxe</t>
  </si>
  <si>
    <t>1, The data for replication was taken from this link: https://osf.io/27cmh</t>
  </si>
  <si>
    <t>Saxe, R., Vélez, N., &amp; Johnston, W. (2023, September 28). Replication of Palmer &amp; Ghose (2008, PS). Retrieved from osf.io/0aifq</t>
  </si>
  <si>
    <t>Extremal edges</t>
  </si>
  <si>
    <t>Attention, Contrast Sensitivity, Depth Perception, Discrimination Learning, Field Dependence-Independence,  Optical Illusions, Orientation, Pattern Recognition, Visual, Extremal edges</t>
  </si>
  <si>
    <t>The quarter-cylinder EE regions (EE1) were also seen as closer than the rotated convex versions on 85% of the trials with half-cylinder non-EE regions (Convex2) and 90% of the trials with quarter-cylinder non-EE regions (Convex1), ts(7) = 4.45 and 6.13, ps ​ &lt;.001, respectively</t>
  </si>
  <si>
    <t>ts(7) = 4.45</t>
  </si>
  <si>
    <t>https://osf.io/gknau</t>
  </si>
  <si>
    <t>osc2015154_1</t>
  </si>
  <si>
    <t>osc2015154</t>
  </si>
  <si>
    <t>Lazarevic, Roksana</t>
  </si>
  <si>
    <t>Heine, S.J., Buchtel, E.E., &amp; Norenzayan, A. (2008). What do cross‐national comparisons of personality traits tell us? The case of conscientiousness. Psychological Science, 19(4), 309-313.</t>
  </si>
  <si>
    <t>10.1111/j.1467-9280.2008.02085.x</t>
  </si>
  <si>
    <t>10.1111--j.1467-9280.2008.02085.x.pdf</t>
  </si>
  <si>
    <t>Lazarevic, L. B., &amp; Knezevic, G. (2023, September 28). Replication of SJ Heine, EE Buchtel, A Norenzayan (2008, PS 19(4), exp 1). Retrieved from osf.io/siaqe</t>
  </si>
  <si>
    <t>Reference group effects</t>
  </si>
  <si>
    <t>Attitude, Cross-Cultural Comparison, Culture, Humans, Morals, Personality, Personality Inventory</t>
  </si>
  <si>
    <t>What Do Cross_National Comparisons of Personality Traits Tell Us? The Case of Conscientiousness</t>
  </si>
  <si>
    <t>"The analyses revealed that the aggregate self-report data from the NEO-PI-R correlated negatively with all the validity criteria for both sets of countries (average r = .43)."</t>
  </si>
  <si>
    <t>https://osf.io/knc2b</t>
  </si>
  <si>
    <t>1. There were slight difference in methodology and quite important age difference in sample -&gt; conceptual
2. P values were not provided in both original and replication studies</t>
  </si>
  <si>
    <t>Chosen due to more detailed notes explaining choice for conceptual</t>
  </si>
  <si>
    <t>Reference group effect</t>
  </si>
  <si>
    <t>Attitude, Cross-Cultural Comparison, Culture, Morals, Personality, Personality Inventory, Reference group effect, perceptions of national character, Fragile State Index</t>
  </si>
  <si>
    <t>Conscientiousness measured by aggregated self-reports on the NEO-PI-R correlated with Postal workers’ speed, Clock accuracy, Walking speed, GDP, Longevity</t>
  </si>
  <si>
    <t>https://osf.io/pua6s</t>
  </si>
  <si>
    <t>osc2015155_1</t>
  </si>
  <si>
    <t>osc2015155</t>
  </si>
  <si>
    <t>Levitan, Roksana</t>
  </si>
  <si>
    <t xml:space="preserve">Chosen due to more inclusion of links </t>
  </si>
  <si>
    <t>Moeller, S.K., Robinson, M.D., Zabelina, D.L. (2008). Personality dominance and preferential use of the vertical dimension of space. Psychological Science, 19, 355-361.</t>
  </si>
  <si>
    <t>10.1111/j.1467-9280.2008.02093.x</t>
  </si>
  <si>
    <t>10.1111--j.1467-9280.2008.02093.x.pdf</t>
  </si>
  <si>
    <t>Levitan, C., &amp; Fernández, B. (2023, September 28). Replication of SK Moeller, MD Robinson, DL Zabelina (2008, Psychological Science, Experiment 2). Retrieved from osf.io/tg2wd</t>
  </si>
  <si>
    <t>Personality dominance</t>
  </si>
  <si>
    <t>Adult, Attention, Choice Behavior, Female, Humans, Male, Metaphor, Personality, Social Dominance, Space Perception, Spatial Behavior</t>
  </si>
  <si>
    <t>Participants who scored as more dominant in personality were more likely to have relatively faster response times to vertical stimuli than horizontal stimuli in predictable-location task</t>
  </si>
  <si>
    <t>"Both correlations were significant, r = .28, p &lt; .05, for the random-location task and r = .31, p &lt; .05, for the predictable-location task."</t>
  </si>
  <si>
    <t>https://osf.io/ywk2q</t>
  </si>
  <si>
    <t>Attention, Choice Behavior, Metaphor, Personality, Social Dominance, Space Perception, Spatial Behavior, verticality/power relationship,  spatial attention task</t>
  </si>
  <si>
    <t>Both correlations were significant, r = -.28, p &lt; .05, for the random-location task and r = -.31, p &lt; .05, for the predictable-location task.</t>
  </si>
  <si>
    <t>https://osf.io/76j48</t>
  </si>
  <si>
    <t>osc2015158_1</t>
  </si>
  <si>
    <t>osc2015158</t>
  </si>
  <si>
    <t>Perugini, Roksana</t>
  </si>
  <si>
    <t>1. In original study, no p-value is reported. However, the prep = .927 2) Block design was different hence conceptual</t>
  </si>
  <si>
    <t>Goschke, T., &amp; Dreisbach, G. (2008). Conflict-triggered goal shielding: response conflicts attenuate background monitoring for prospective memory cues. Psychological science, 19(1), 25–32.</t>
  </si>
  <si>
    <t>10.1111/j.1467-9280.2008.02042.x</t>
  </si>
  <si>
    <t>10.1111--j.1467-9280.2008.02042.x.pdf</t>
  </si>
  <si>
    <t>Costantini, G., &amp; Perugini, M. (2023, September 28). Replication of Goschke &amp; Dreisbach (2008, PS). Retrieved from osf.io/bk53t</t>
  </si>
  <si>
    <t>Goal shielding</t>
  </si>
  <si>
    <t>Attention, Conflict (Psychology), Cues, Goals, Humans, Inhibition (Psychology), Intention, Memory, Short-Term, Orientation, Pattern Recognition, Visual, Psychomotor Performance, Reaction Time</t>
  </si>
  <si>
    <t>Conflict-triggered goal shielding: Response conflicts attenuate background monitoring for prospective memory cues.</t>
  </si>
  <si>
    <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</si>
  <si>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https://osf.io/zjmkg/</t>
  </si>
  <si>
    <t>1. There were differences in the block design -&gt; conceptual replication</t>
  </si>
  <si>
    <t>Goal shielding, attention, conflict, cues, inhibition, prespectice memory, pattern recognition</t>
  </si>
  <si>
    <t>An interaction between Perspective Memory (PM) cue dimension and compatibility predicted the mean proportion of missed PM cues</t>
  </si>
  <si>
    <t>https://osf.io/rkqw2</t>
  </si>
  <si>
    <t>osc2015161_1</t>
  </si>
  <si>
    <t>osc2015161</t>
  </si>
  <si>
    <t>Cramblet Alvarez, Roksana</t>
  </si>
  <si>
    <t>I would argue this is a close rather than conceptual replication</t>
  </si>
  <si>
    <t>LoBue,V., &amp; DeLoache, J.S. (2008). Detecting the snake in the grass: Attention to fear-relevant stimuli by adults and children. Psychological Science, 19, 284-289.</t>
  </si>
  <si>
    <t>10.1111/j.1467-9280.2008.02081.x</t>
  </si>
  <si>
    <t>10.1111--j.1467-9280.2008.02081.x.pdf</t>
  </si>
  <si>
    <t>Cramblet Alvarez, L. D., Martinez, T., Zuni, K., Tapia, M., &amp; Pipitone, R. N. (2023, September 28). Replication of LoBue &amp; DeLoache (2008, PS, Study 3). Retrieved from osf.io/sd7kg</t>
  </si>
  <si>
    <t>Visual detection</t>
  </si>
  <si>
    <t>Adult, Age Factors, Animals, Attention, Child, Preschool, Fear, Field Dependence-Independence, Humans, Pattern Recognition, Visual, Reaction Time, Snakes</t>
  </si>
  <si>
    <t>Detecting the snake in the grass: attention to fear-relevant stimuli by adults and young children.</t>
  </si>
  <si>
    <t>"The ANOVA revealed significant main effects of target stimulus, F(1, 44) = 13.42, p &lt; .01, prep = .96, and age, F(1, 44) = 29.05, p &lt; .01, prep = 1.0, as well as an age-by-target interaction, F(1, 44) = 5.12, p &lt; .05, prep = .91."</t>
  </si>
  <si>
    <t>F(1, 44) = 13.42</t>
  </si>
  <si>
    <t>https://osf.io/csm3d</t>
  </si>
  <si>
    <t xml:space="preserve">1. The replication was conducted not in the lab
2. The Effect is either "Visual detection" or "Fear-irrelevance". The effect/object is the second, the effect is the second. I chose Visual detection as it is broader. </t>
  </si>
  <si>
    <t>Age Factors, Animals, Attention, Preschool, Fear, Field Dependence-Independence, Pattern Recognition, Visual, Reaction Time, Snakes</t>
  </si>
  <si>
    <t>Young children detect threat-relevant targets more quickly than threat-irrelevant ones</t>
  </si>
  <si>
    <t>The ANOVA revealed significant main effects of target stimulus, F(1,44) = 13.42, p &lt; .01, p-rep = .96, and age, [...] as well as an age-by-target interaction</t>
  </si>
  <si>
    <t>osc2015165_1</t>
  </si>
  <si>
    <t>osc2015165</t>
  </si>
  <si>
    <t>Fuchs, Roksana</t>
  </si>
  <si>
    <t>I would argue chi-squared is better to report than those reported by coder 1</t>
  </si>
  <si>
    <t>Dai, X., Wertenbroch, K., &amp; Brendl, C. M. (2008). The value heuristic in judgments of relative frequency. Psychological Science, 19, 18–19.</t>
  </si>
  <si>
    <t>Fuchs, H., Estel, V., &amp; Goellner, L. (2016, August 19). Replication of Dai, Wertenbroch, &amp; Brendl (2008, PS, Study 1). Retrieved from osf.io/q7f6w</t>
  </si>
  <si>
    <t>Value heuristics</t>
  </si>
  <si>
    <t>Adult, Attention, Concept Formation, Discrimination Learning, Female, Humans, Judgment, Male, Memory, Short-Term, Motivation, Pattern Recognition, Visual, Problem Solving</t>
  </si>
  <si>
    <t>Participants were more likely to underestimate the number of pictures in their value category than in the 'other' category.</t>
  </si>
  <si>
    <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</si>
  <si>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X2(1, N=56) = 4.51</t>
  </si>
  <si>
    <t>X2(1, N = 51) = 1.57</t>
  </si>
  <si>
    <t>https://osf.io/b2agf</t>
  </si>
  <si>
    <t>Value heuristic</t>
  </si>
  <si>
    <t>Value heuristic, judgement, frequency, attention, concept formation, discrimination learning, short-term memory, pattern recognition, problem solving</t>
  </si>
  <si>
    <t>They were more likely to underestimate the number of bird pictures relative to flower pictures when they expected payment for bird pictures (21 of 32 participants, 66%) than when they expected payment for flower pictures (12 of 31 participants, 39%), χ²(1, N = 556) = 4.51, p = .037, p-rep = .93, odds ratio = 3.28</t>
  </si>
  <si>
    <t>https://osf.io/p6jxm</t>
  </si>
  <si>
    <t>osc2015167_1</t>
  </si>
  <si>
    <t>osc2015167</t>
  </si>
  <si>
    <t>Renkewitz, Roksana</t>
  </si>
  <si>
    <t>1. In original study, no p-value is reported. However, the prep = .97</t>
  </si>
  <si>
    <t>Estes, Z., Verges, M., &amp; Barsalou, L.W. (2008). Head up, foot down. Object words orient attention to the objects’ typical location. Psychological Science, 19(2), 93–97.</t>
  </si>
  <si>
    <t>10.1111/j.1467-9280.2008.02051.x</t>
  </si>
  <si>
    <t>10.1111--j.1467-9280.2008.02051.x.pdf</t>
  </si>
  <si>
    <t>Renkewitz, F., &amp; Müller, S. M. (2023, September 28). Replication of Estes, Verges, &amp; Barsalou (2008, PS, Study 1). Retrieved from osf.io/vwnit</t>
  </si>
  <si>
    <t>Object words orient attention</t>
  </si>
  <si>
    <t>Attention, Cues, Head, Humans, Space Perception, Vocabulary</t>
  </si>
  <si>
    <t>Attentional effect of object words interfered with the visual perception of a target in the typical location of the object</t>
  </si>
  <si>
    <t>"In the error-rate data, this effect was also significant, F1(1, 17) = 9.33, prep = .97, and F2(1, 58) = 18.96, prep = 1.00, and robust (4.83%, η² = .35)."</t>
  </si>
  <si>
    <t>F(1, 17) = 9.33</t>
  </si>
  <si>
    <t>https://osf.io/2rnj5</t>
  </si>
  <si>
    <t>Inhibition of return</t>
  </si>
  <si>
    <t>Language and perception, mental imagery, perceptual simulation, reflexive orienting, spatial attention</t>
  </si>
  <si>
    <t>In the error-rate data, this effect was also significant, F1​(1,17) = 9.33, p-rep= .97 [...]</t>
  </si>
  <si>
    <t>https://osf.io/z6qw2</t>
  </si>
  <si>
    <t>osc201517_1</t>
  </si>
  <si>
    <t>osc201517</t>
  </si>
  <si>
    <t>Gloeckner, Roksana</t>
  </si>
  <si>
    <t>Chosen as reported partial etasq for rep</t>
  </si>
  <si>
    <t>Fiedler, K. (2008). The ultimate sampling dilemma in experience-based decision making. Journal of Experimental Psychology: Learning, Memory, and Cognition, 34(1), 186.</t>
  </si>
  <si>
    <t>10.1037/0278-7393.34.1.186</t>
  </si>
  <si>
    <t>10.1037--0278-7393.34.1.186.pdf</t>
  </si>
  <si>
    <t>Glöckner, A., &amp; Jekel, M. (2023, September 28). Replication of K Fiedler (2008, JEPLMC, Exp 2). Retrieved from osf.io/hp27x</t>
  </si>
  <si>
    <t>Inferences in probalistic world</t>
  </si>
  <si>
    <t>Adult, Bias (Epidemiology), Choice Behavior, Cognition, Computer Simulation, Decision Making, Decision Theory, Feedback, Psychological, Female, Humans, Judgment, Male</t>
  </si>
  <si>
    <t>The tendency to underestimate the frequency of positive and to overestimate the frequency of negative observations increased from the provider with the smallest to the provider with the highest overall frequency due to differential regression effects</t>
  </si>
  <si>
    <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</si>
  <si>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F(2, 76) = 8.67</t>
  </si>
  <si>
    <t>https://osf.io/ny7t5</t>
  </si>
  <si>
    <t>Inferences</t>
  </si>
  <si>
    <t>Sampling, decision making, sampling bias, natural sampling, information search</t>
  </si>
  <si>
    <t>The tendency to underestimate positive and to overestimate negative observations increased from domain T to C, F(1,38) = 9.73, p &lt; .01, and from P3 to P2 to P1, F(2,76) = 8.67, p &lt; .001</t>
  </si>
  <si>
    <t>https://osf.io/3fjvt</t>
  </si>
  <si>
    <t>osc201519_1</t>
  </si>
  <si>
    <t>osc201519</t>
  </si>
  <si>
    <t>Neijenhuijs, Roksana</t>
  </si>
  <si>
    <t>Oberauer, Klaus. "How to say no: Single-and dual-process theories of short-term recognition tested on negative probes." Journal of Experimental Psychology: Learning, Memory, and Cognition 34.3 (2008): 439</t>
  </si>
  <si>
    <t>10.1037/0278-7393.34.3.439</t>
  </si>
  <si>
    <t>10.1037--0278-7393.34.3.439.pdf</t>
  </si>
  <si>
    <t>Neijenhuijs, K. I., Luteijn, I., Bosch, A., van der Hulst, M., Dorsthorst, A. t, van de Ven, M., &amp; Weerdmeester, J. W. (2023, September 28). Replication of K Oberauer (2008, JEPLMC 34(3), Exp 3). Retrieved from osf.io/gcj7x</t>
  </si>
  <si>
    <t>Short term recognition</t>
  </si>
  <si>
    <t>Adolescent, Adult, Association Learning, Attention, Color Perception, Cues, Discrimination Learning, Female, Humans, Male, Memory, Short-Term, Orientation, Reaction Time, Serial Learning</t>
  </si>
  <si>
    <t>Accuracy was significantly lower in long list as it is harder to reject such probes due to more memory matching episodes on the context dimension</t>
  </si>
  <si>
    <t>"Accuracies on new probes were significantly lower for long lists, F(1, 31) = 14.2, p &lt; .001, η²p = .31."</t>
  </si>
  <si>
    <t>https://osf.io/9p2qr</t>
  </si>
  <si>
    <t>1. There is a difference in the sample - high-school students (" in the last 2 years of high school") or 1st year university students. I assume this groups to be quite equal in WM abilities (https://doi.org/10.1038/s41598-020-80866-1), thus the replication is close, rather than conceptual</t>
  </si>
  <si>
    <t>Recognition</t>
  </si>
  <si>
    <t>Recognition, working memory, serial position curves, recollection, familiarity</t>
  </si>
  <si>
    <t>Accuracies on new probes were significantly lower for long lists, F(1, 31) = 14.2, p &lt; .001, partial eta-square = 0.31</t>
  </si>
  <si>
    <t>osc20152_1</t>
  </si>
  <si>
    <t>osc20152</t>
  </si>
  <si>
    <t>Goodbourn, Roksana</t>
  </si>
  <si>
    <t>Morris, A.L., Still, M.L. (2008). Now you see it, now you don't: Repetition blindness for nonwords. Journal of Experimental Psychology: Learning Memory and Cognition, 34(1), 146–166.</t>
  </si>
  <si>
    <t>10.1037--0278-7393.34.1.146.pdf</t>
  </si>
  <si>
    <t>Goodbourn, P. T. (2023, September 28). Replication of Morris and Still (2008). Retrieved from osf.io/rmvk5</t>
  </si>
  <si>
    <t>Repetition Blindness</t>
  </si>
  <si>
    <t>Attentional Blink, Humans, Judgment, Memory, Short-Term, Pattern Recognition, Visual, Reading, Semantics, Serial Learning, Verbal Learning</t>
  </si>
  <si>
    <t>Significant repetition blindness (RB) effect was inducted in nonword condition</t>
  </si>
  <si>
    <t>"Further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</si>
  <si>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F(1, 23) = 13.71</t>
  </si>
  <si>
    <t>https://osf.io/s9m2k</t>
  </si>
  <si>
    <t>1. The differences with original study are mostly technical, thus - close replication</t>
  </si>
  <si>
    <t>Repetition blindness</t>
  </si>
  <si>
    <t>Repetition blindness, nonwords, lexical, sublexical, word recognition</t>
  </si>
  <si>
    <t>Further analysis of the Condition X Lexicality interaction revealed that the RB effect was significant for words, F1(1,23) = 40.54, F2(1, 46) = 33.41, both ps &lt; .001; and nonwords [...]</t>
  </si>
  <si>
    <t>https://osf.io/6xjqm</t>
  </si>
  <si>
    <t>osc201520_1</t>
  </si>
  <si>
    <t>osc201520</t>
  </si>
  <si>
    <t>Fiedler, Roksana</t>
  </si>
  <si>
    <t>Conceptual as experimental design was different</t>
  </si>
  <si>
    <t>Sahakyan, L., Delaney, P. F., &amp; Waldum, E. R. (2008). Intentional forgetting is easier after two" shots" than one. Journal of Experimental Psychology: Learning, Memory, and Cognition, 34(2), 408.</t>
  </si>
  <si>
    <t>10.1037/0278-7393.34.2.408</t>
  </si>
  <si>
    <t>10.1037--0278-7393.34.2.408.pdf</t>
  </si>
  <si>
    <t>Fiedler, S., &amp; May, M. (2023, September 28). Replication of Sahakyan et al. (2008, JEP:LMC, Study 3). Retrieved from osf.io/bzdr2</t>
  </si>
  <si>
    <t xml:space="preserve">Directed forgetting </t>
  </si>
  <si>
    <t>Attention, Humans, Inhibition (Psychology), Intention, Mental Recall, Paired-Associate Learning, Psycholinguistics, Semantics, Verbal Learning</t>
  </si>
  <si>
    <t>Direct forgetting had bigger effect on spaced items, rather than on mass items</t>
  </si>
  <si>
    <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</si>
  <si>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https://osf.io/bk79y</t>
  </si>
  <si>
    <t>1. In my opinion, quite big valuable changes were made in the replication for the experimental design</t>
  </si>
  <si>
    <t>Directed forgetting effect</t>
  </si>
  <si>
    <t>Directed forgetting, context change, list-strength effect, spacing effect</t>
  </si>
  <si>
    <t>In addition, the interaction was significant, F(1, 94) = 4.97, p &lt; .05, MSE = .029, eta-square = .05, showing that there was significant directed forgetting of spaced items, t(94) = 3.95, p &lt; .001, but not of massed items (t = 1; see Figure 3)</t>
  </si>
  <si>
    <t>osc201522_1</t>
  </si>
  <si>
    <t>osc201522</t>
  </si>
  <si>
    <t>Kappes, Roksana</t>
  </si>
  <si>
    <t>corrected reference</t>
  </si>
  <si>
    <t>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</si>
  <si>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10.1037/0278-7393.34.2.302</t>
  </si>
  <si>
    <t>10.1037--0278-7393.34.2.302.pdf</t>
  </si>
  <si>
    <t>Kappes, H. B. (2023, September 28). Replication of LS Colzato, MT Bajo, W van den Wildenberg, D Paolieri, S Nieuwenhuis, W La Heij, B Hommel (2008, JEPLMC 34(2), Exp. 3). Retrieved from osf.io/p9thw</t>
  </si>
  <si>
    <t>Inhibitory control</t>
  </si>
  <si>
    <t>Adult, Attention, Color Perception, Cues, Female, Functional Laterality, Humans, Inhibition (Psychology), Male, Multilingualism, Orientation, Pattern Recognition, Visual, Psychomotor Performance, Reaction Time</t>
  </si>
  <si>
    <t>The two language groups were comparable in most measures, but bilinguals showed a larger dip of T2 report — a bigger blink, that  is — at Lag 3, which can be attributed to more reactive inhibition in bilinguals</t>
  </si>
  <si>
    <t>"An ANOVA of conditional T2 report revealed a significant effect of lag, F(3, 93) = 38.76, p &lt; .001, MSE = 0.009, that was involved in a two-way interaction with group, F(3, 93) = 5.23, p = .002, MSE = 0.009."</t>
  </si>
  <si>
    <t>F(3, 93) = 5.23</t>
  </si>
  <si>
    <t>https://osf.io/bxumv</t>
  </si>
  <si>
    <t>1. Also there is a second OSF link: https://osf.io/nra37</t>
  </si>
  <si>
    <t>Bilingualism, inhibition, executive functions</t>
  </si>
  <si>
    <t>An ANOVA of conditional T2 report revealed a significant effect of lag, F(3, 93) = 38.76, p = .001, MSE = 0.009, that was involved in a two-way interaction with group, F(3, 93) = 5.23, p = .002, MSE = 0.009.</t>
  </si>
  <si>
    <t>https://osf.io/x2gmb</t>
  </si>
  <si>
    <t>osc201524_1</t>
  </si>
  <si>
    <t>osc201524</t>
  </si>
  <si>
    <t>Hung, Roksana</t>
  </si>
  <si>
    <t>Bassok, M., Pedigo, S.F., &amp; Oskarsson, A.T (2008). Priming Addition Facts with Semantic Relations. Journal of Experimental Psychology: Learning, Memory, and Cognition, 34, 343-352.</t>
  </si>
  <si>
    <t>10.1037/0278-7393.34.2.343</t>
  </si>
  <si>
    <t>10.1037--0278-7393.34.2.343.pdf</t>
  </si>
  <si>
    <t>Hung, C. O., Lin, L., &amp; Tsang, S. (2023, September 28). Replication of M Bassok, SF Pedigo, AT Oskarsson (2008, JEPLMC, Study 1). Retrieved from osf.io/sqim7</t>
  </si>
  <si>
    <t>Semantic relations</t>
  </si>
  <si>
    <t>Adult, Attention, Female, Humans, Male, Mathematics, Mental Recall, Paired-Associate Learning, Problem Solving, Reaction Time, Semantics</t>
  </si>
  <si>
    <t>Priming addition facts with semantic relations.</t>
  </si>
  <si>
    <t>"More important, there was a highly significant Priming Words × Digit Target interaction that was consistent with our semantic alignment hypothesis, F(1, 152) = 23.176, MSE = 6,101, p &lt; .001."</t>
  </si>
  <si>
    <t>F(1, 152) = 23.176</t>
  </si>
  <si>
    <t>F(1, 48) = 4.22</t>
  </si>
  <si>
    <t>https://osf.io/g754e</t>
  </si>
  <si>
    <t>Semantic alignment</t>
  </si>
  <si>
    <t>Analogy, relational priming, cognitive arithmetic, mathematical reasoning, conceptual integration</t>
  </si>
  <si>
    <t>As predicted by the semantic alignment hypothesis, the sum effect occurred in the aligned-categorical but did not occur in the misaligned-unrelated condition</t>
  </si>
  <si>
    <t>More important, there was a highly significant Priming Words × Digit Target interaction that was consistent with our semantic alignment hypothesis, F(1, 152) = 23.176, MSE = 6.101, p &lt; .001</t>
  </si>
  <si>
    <t>https://osf.io/3va2j</t>
  </si>
  <si>
    <t>osc201525_1</t>
  </si>
  <si>
    <t>osc201525</t>
  </si>
  <si>
    <t>Roebke, Roksana</t>
  </si>
  <si>
    <t>Couture, M., Lafond, D., &amp; Tremblay, S. (2008). Learning correct responses and errors in the hebb repetition effect: Two faces of the same coin. Journal of Experimental Psychology: Learning, Memory, and Cognition, 34(3), 524-532.</t>
  </si>
  <si>
    <t>10.1037/0278-7393.34.3.524</t>
  </si>
  <si>
    <t>10.1037--0278-7393.34.3.524.pdf</t>
  </si>
  <si>
    <t>Roebke, M. A., &amp; Della Penna, N. (2023, September 28). Replication of Couture, Lafond, and Tremblay (2008, JEPLMC 34(3)). Retrieved from osf.io/k9gp6</t>
  </si>
  <si>
    <t>Hebb repetition effect</t>
  </si>
  <si>
    <t>Adult, Attention, Discrimination Learning, Humans, Memory, Short-Term, Pattern Recognition, Visual, Practice (Psychology), Probability Learning, Retention (Psychology), Serial Learning</t>
  </si>
  <si>
    <t>Prior occurances of the erroneous remembered item lead to increase in error rates (error are more probable as they occured previously)</t>
  </si>
  <si>
    <t>"For the experimental data, a significant effect of prior occurrences was observed for both correct responses, F(3, 32) = 5.47, p &lt; .01, d = 1.43 (mean slope = 0.09), and errors, F(3, 48) = 9.14, p &lt; .001, d = 1.51 (mean slope = 0.08)."</t>
  </si>
  <si>
    <t>https://osf.io/ca8t2</t>
  </si>
  <si>
    <t>1. The second OSF link: https://osf.io/mghvs</t>
  </si>
  <si>
    <t>Hebb repetition effect, implicit memory, sequence learning, serial recall, error analysis</t>
  </si>
  <si>
    <t>A significant effect of prior occurrences was observed for both correct responses, [...] and errors, F(3, 48) = 9.14, p &lt; .001, d = 1.51 (mean slope = 0.08)</t>
  </si>
  <si>
    <t>https://osf.io/ca8t3</t>
  </si>
  <si>
    <t>osc201526_1</t>
  </si>
  <si>
    <t>osc201526</t>
  </si>
  <si>
    <t>Lai, Reynolds, Roksana</t>
  </si>
  <si>
    <t>Reynolds, M., &amp; Besner, D. (2008). Contextual effects on reading aloud: Evidence for pathway control. Journal of Experimental Psychology: Learning, Memory, and Cognition, 34(1), 50.</t>
  </si>
  <si>
    <t>10.1037/0278-7393.34.1.50</t>
  </si>
  <si>
    <t>10.1037--0278-7393.34.1.50.pdf</t>
  </si>
  <si>
    <t>Lai, C. K., &amp; Simpson, W. B. (2023, September 28). Replication of Reynolds &amp; Besner (2008, JEP:LMC, Study 5). Retrieved from osf.io/hasfu</t>
  </si>
  <si>
    <t>Pathway control</t>
  </si>
  <si>
    <t>Attention, Humans, Phonetics, Reaction Time, Reading, Semantics, Speech, Writing</t>
  </si>
  <si>
    <t>There was no delay in response when switching between pronouncing regular words and nonwords</t>
  </si>
  <si>
    <t>"There was no switch cost (F1 = 1, 2 = .001; F2 = 1, 2 = .001), nor was there an interaction between stimulus type and switch condition, F1(1, 15) = 1.2, p = .15, MSE = 23.7, η² = .077; F2(1, 94) = 2.5, p = .10, MSE = 45.9, η² = .026."</t>
  </si>
  <si>
    <t>https://osf.io/rc2kz</t>
  </si>
  <si>
    <t>Phonological coding</t>
  </si>
  <si>
    <t>Pathway control hypothesis, reading aloud, exogenous control, executive control, phonology</t>
  </si>
  <si>
    <t>More errors were made to nonwords than to words, F1(1, 15) = 16.9, p &lt; .001, MSE = 49.1, eta-square = .529; F2(1, 94) = 11.5, p &lt; .001, MSE = 200, eta-square = .111. There was no switch cost (F1 &lt; 1, eta-square &lt; .001; F2 &lt; 1, eta-square &lt; .001), nor was there an interaction between stimulus type and switch condition, F1(1, 15) = 1.2, p &gt; .15, MSE = 23.7, eta-square  = .077; F2(1, 94) = 2.5, p &gt; .10, MSE = 45.9, eta-square = .026</t>
  </si>
  <si>
    <t>osc201527_1</t>
  </si>
  <si>
    <t>osc201527</t>
  </si>
  <si>
    <t>Chartier, Roksana</t>
  </si>
  <si>
    <t>Coded the wrong effect</t>
  </si>
  <si>
    <t>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</si>
  <si>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10.1037/0278-7393.34.3.495</t>
  </si>
  <si>
    <t>10.1037--0278-7393.34.3.495.pdf</t>
  </si>
  <si>
    <t>Chartier, C. R., &amp; Nervi, T. (2023, September 28). Replication of MJ Yap, DA Balota, CS Tse, D Besner (2008, JEPLMC 34(3), Exp 4). Retrieved from osf.io/ahpik</t>
  </si>
  <si>
    <t>Additive effects</t>
  </si>
  <si>
    <t>Adolescent, Adult, Attention, Decision Making, Discrimination Learning, Female, Humans, Male, Mental Recall, Phonetics, Reaction Time, Reading, Semantics</t>
  </si>
  <si>
    <t>On the additive effects of stimulus quality and word frequency in lexical decision: Evidence for opposing interactive influences revealed by RT distributional analyses.</t>
  </si>
  <si>
    <t>"The stimulus quality × word frequency interaction was again significant, F(1, 31) = 5.17, p = .030, MSE = 2,641.78, η² = .14, with larger frequency effects for the degraded words."</t>
  </si>
  <si>
    <t>F(1, 31) = 5.17</t>
  </si>
  <si>
    <t>1. The second OSF link: https://osf.io/397fh
2. The effect can be either "Additive effect" (stated in the paper) or "Familiarity" (object / phenomenon). I chose the 1st as it is stated explicitly in the paper</t>
  </si>
  <si>
    <t>Additive effect</t>
  </si>
  <si>
    <t>Additive effects, distributional analysis, stimulus quality, word frequency, lexical decision</t>
  </si>
  <si>
    <t>Significant stimulus quality and word frequency interaction with larger frequency effects for the degraded words</t>
  </si>
  <si>
    <t>F(1, 70) = 11.78</t>
  </si>
  <si>
    <t>https://osf.io/3ubv9</t>
  </si>
  <si>
    <t>osc201528_1</t>
  </si>
  <si>
    <t>osc201528</t>
  </si>
  <si>
    <t>Galak, Roksana</t>
  </si>
  <si>
    <t>I couldn't find the effect size in the replication paper, so coded from the OSC dataset table</t>
  </si>
  <si>
    <t>N Janssen, W Schirm, BZ Mahon, A Caramazza (2008).“Semantic Interference in a Delayed Naming Task: Evidence for the Response Exclusion Hypothesis.” Journal of Experimental Psychology: Learning Memory and Cognition, 34(1), 249-256.</t>
  </si>
  <si>
    <t>10.1037/0278-7393.34.1.249</t>
  </si>
  <si>
    <t>10.1037--0278-7393.34.1.249.pdf</t>
  </si>
  <si>
    <t>Galak, J. (2023, September 28). Replication of Janssen and colleagues (2008, JEP:LMC, Study 1). Retrieved from osf.io/uhpyr</t>
  </si>
  <si>
    <t>Semantic interference</t>
  </si>
  <si>
    <t>Attention, Conflict (Psychology), Field Dependence-Independence, Humans, Inhibition (Psychology), Pattern Recognition, Visual, Reaction Time, Reading, Semantics</t>
  </si>
  <si>
    <t>Semantically unrelated word-picture pairs significantly slower average reaction time</t>
  </si>
  <si>
    <t>"In the delayed naming condition, the RT analysis revealed a main effect of semantic relatedness, F1(1, 31) = 4.1, MSE = 1,504.6, p = .06; F2(1, 38) = 4.4, MSE = 1,137.2, p = .05, indicating slower RTs in the semantically related than the unrelated condition."</t>
  </si>
  <si>
    <t>F(1,31) = 4.1</t>
  </si>
  <si>
    <t>https://osf.io/f59hn</t>
  </si>
  <si>
    <t>1. The second OSF link: https://osf.io/8qrtd</t>
  </si>
  <si>
    <t>Semantic interference effect, lexical selection by competition, picture–word interference, delayed naming, response exclusion hypothesis</t>
  </si>
  <si>
    <t>The RT analysis revealed a main effect of semantic relatedness, F1(1, 31) = 4.1, MSE = 1,504.6, p = .06; F2 (1, 38) = 4.4, MSE = 1,137.2, p = .05, indicating slower RTs in the semantically related than the unrelated condition</t>
  </si>
  <si>
    <t>F(1, 31) = 4.1</t>
  </si>
  <si>
    <t>osc201529_1</t>
  </si>
  <si>
    <t>osc201529</t>
  </si>
  <si>
    <t>Ostkamp, Roksana</t>
  </si>
  <si>
    <t>I would argue that this is a close instead of conceptual replication</t>
  </si>
  <si>
    <t>Turk-Browne, N. B., Isola, P. J., Scholl, B. J., &amp; Treat, T. A. (2008). Multidimensional Visual Statistical Learning. Journal of Experimental Psychology: Learning, Memory, and Cognition, 34(2), 399–407. doi:10.1037/0278-7393.34.2.399</t>
  </si>
  <si>
    <t>10.1037/0278-7393.34.2.399</t>
  </si>
  <si>
    <t>10.1037--0278-7393.34.2.399.pdf</t>
  </si>
  <si>
    <t>Ostkamp, L., &amp; Jäkel, F. (2023, September 28). Replication of Turk-Browne, Isola, Scholl, Treat (2008, JEP:LMC, Study 4b). Retrieved from osf.io/ujhlw</t>
  </si>
  <si>
    <t>Multidimensional Visual Statistical Learning</t>
  </si>
  <si>
    <t>Association Learning, Color Perception, Discrimination Learning, Humans, Motion Perception, Orientation, Pattern Recognition, Visual, Perceptual Masking, Probability Learning, Problem Solving, Psychophysics</t>
  </si>
  <si>
    <t>Low covariance between feature dimensions allowed VSL to operate in parallel in each of these dimensions</t>
  </si>
  <si>
    <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</si>
  <si>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https://osf.io/chf7m</t>
  </si>
  <si>
    <t>1. Stimuli size was slightly larger, thus I would treat it as the conceptual replication, rather than a close, since the experimental stimulus were manipulated.</t>
  </si>
  <si>
    <t>Visual statistical learning</t>
  </si>
  <si>
    <t>Statistical learning, feature binding, objects, feature dimensions</t>
  </si>
  <si>
    <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</si>
  <si>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osc20153_1</t>
  </si>
  <si>
    <t>osc20153</t>
  </si>
  <si>
    <t>Plessow, Roksana</t>
  </si>
  <si>
    <t>Liefooghe, B., Barrouillet, P., Vandierendonck, A., &amp; Camos, V. (2008). Working memory costs of task switching. Journal of Experimental Psychology: Learning, Memory, and Cognition, 34(3), 478-494. doi: 10.1037/0278-7393.34.3.478</t>
  </si>
  <si>
    <t>10.1037/0278-7393.34.3.478</t>
  </si>
  <si>
    <t>10.1037--0278-7393.34.3.478.pdf</t>
  </si>
  <si>
    <t>Plessow, F., Möschl, M., &amp; Pavel, M. (2023, September 28). Replication of Liefooghe, Barrouillet, Vandierendonck, &amp; Camos (2008, JEPLMC, Experiment 4). Retrieved from osf.io/4dvzb</t>
  </si>
  <si>
    <t>Memory in Task Switching</t>
  </si>
  <si>
    <t>Attention, Color Perception, Decision Making, Discrimination Learning, Functional Laterality, Humans, Memory, Short-Term, Pattern Recognition, Visual, Perceptual Masking, Psychomotor Performance, Psychophysics, Reaction Time, Size Perception</t>
  </si>
  <si>
    <t>The average recall score was larger in low switch lists with normal digits than in low-switch lists with degraded digits</t>
  </si>
  <si>
    <t>"As we expected, the average recall score was larger in low-switch lists with normal digits (53.84 out of 72) than in high-switch lists with normal digits (49.24), F(1, 24) = 5.77, p = .05, and than in low-switch lists with degraded digits (49.22), F(1, 24) = 5.29, p = .05."</t>
  </si>
  <si>
    <t>F(1, 24) = 5.29</t>
  </si>
  <si>
    <t>https://osf.io/ep2an</t>
  </si>
  <si>
    <t>1. The second OSF link: https://osf.io/avy86</t>
  </si>
  <si>
    <t>Task switching, working memory, resource sharing, complex span tasks</t>
  </si>
  <si>
    <t>As we expected, the average recall score was larger in low-switch lists with normal digits (53.84 out of 72) than in high-switch lists with normal digits (49.24), F(1, 24) = 5.77, p &lt; .05, and than in low-switch lists with degraded digits (49.22), F(1, 24) = 5.29, p &lt; .05</t>
  </si>
  <si>
    <t>osc201532_1</t>
  </si>
  <si>
    <t>osc201532</t>
  </si>
  <si>
    <t>White, P.A. (2008). Accounting for Occurrences: A New View of the Use of Contingency Information in Causal Judgment. Journal of Experimental Psychology: Learning, Memory, and Cognition, 34(1), 204–218.</t>
  </si>
  <si>
    <t>10.1037/0278-7393.34.1.204</t>
  </si>
  <si>
    <t>10.1037--0278-7393.34.1.204.pdf</t>
  </si>
  <si>
    <t>Müller, S. M., &amp; Renkewitz, F. (2023, September 28). Replication of White (2008, JEP:LMC, Study 3). Retrieved from osf.io/rhbqj</t>
  </si>
  <si>
    <t>Contingency information.</t>
  </si>
  <si>
    <t>Association Learning, Causality, Humans, Judgment, Likelihood Functions, Probability Learning, Problem Solving</t>
  </si>
  <si>
    <t>The predicted values are higher for B and lower for A when the prevalence of B is high than when it is low</t>
  </si>
  <si>
    <t>"Judgments of B were analyzed in the same way. There was a significant effect of A, F(1, 36) = 22.88, MSE = 439.82, p &lt; .001, with a higher mean at A = 2 (54.12) than at A = 6 (40.66). This is a cause prevalence effect, supporting Prediction 1."</t>
  </si>
  <si>
    <t>F(1, 36) = 22.88</t>
  </si>
  <si>
    <t>https://osf.io/psab8</t>
  </si>
  <si>
    <t>Renkewitz</t>
  </si>
  <si>
    <t>1. I am not sure in the Description. Authors of the original paper says the statistical inferences of Experiment 3 supported Prediction 1, but it seems that it was more about Prediction 3:
"higher judgments of Cause A when there are 12 A instances than when there are 2, despite the fact that the conditional contingency for A does not change under this manipulation"</t>
  </si>
  <si>
    <t>Cause prevalence effect</t>
  </si>
  <si>
    <t>Judgments of B were analyzed in the same way. There was a significant effect of A+, F(1,36) = 22.88, MSE = 439.82, p &lt; .001, with a higher mean at A+ = 2 (54.12) than at A+ = 6 (40.66)</t>
  </si>
  <si>
    <t>https://osf.io/y8njt</t>
  </si>
  <si>
    <t>osc201533_1</t>
  </si>
  <si>
    <t>osc201533</t>
  </si>
  <si>
    <t>Farrell, S. (2008). Multiple roles for time in short-term memory: Evidence from serial recall of order and timing. Journal of Experimental Psychology: Learning, Memory, and Cognition, 34(1), 128.</t>
  </si>
  <si>
    <t>10.1037/0278-7393.34.1.128</t>
  </si>
  <si>
    <t>10.1037--0278-7393.34.1.128.pdf</t>
  </si>
  <si>
    <t>Olsson, C., &amp; Saxe, R. (2023, September 28). Replication of Farrell (2008, JEP:LMC, Study 2). Retrieved from osf.io/swrhy</t>
  </si>
  <si>
    <t>Short-term memory for time and</t>
  </si>
  <si>
    <t>Association Learning, Attention, Discrimination Learning, Humans, Memory, Short-Term, Pattern Recognition, Visual, Reading, Serial Learning, Speech Perception, Time Perception</t>
  </si>
  <si>
    <t>Instructing participants to group items induces a temporal gap between the groups both  when trying to recall the timing of the items</t>
  </si>
  <si>
    <t>"Paired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</si>
  <si>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https://osf.io/bvu63</t>
  </si>
  <si>
    <t>order information,</t>
  </si>
  <si>
    <t>Serial recall, timing, short-term memory, recall latencies, grouping</t>
  </si>
  <si>
    <t>Paired samples t tests comparing grouping deviations in the ungrouped and grouped conditions revealed larger (more positive) differences under grouping conditions for both the order task, t(39) = 5.52, p &lt; .001, d = 0.87, and the timing task, t(39) = 2.82, p &lt; .008, d = 0.44</t>
  </si>
  <si>
    <t>https://osf.io/bvu64</t>
  </si>
  <si>
    <t>osc201536_1</t>
  </si>
  <si>
    <t>osc201536</t>
  </si>
  <si>
    <t>Jahn, Roksana</t>
  </si>
  <si>
    <t>Pacton, S., &amp; Perruchet, P. (2008). An attention-based associative account of adjacent and nonadjacent dependency learning. Journal of Experimental Psychology: Learning, Memory, and Cognition, 34, 80-96.</t>
  </si>
  <si>
    <t>10.1037/0278-7393.34.1.80</t>
  </si>
  <si>
    <t>10.1037--0278-7393.34.1.80.pdf</t>
  </si>
  <si>
    <t>Jahn, G. (2023, September 28). Replication of Pacton &amp; Perruchet (2008, JEP:LMC, Study 4b). Retrieved from osf.io/vmz2e</t>
  </si>
  <si>
    <t>Attention in Adjacent and Nonadjacent Dependency Learning</t>
  </si>
  <si>
    <t>Association Learning, Attention, Field Dependence-Independence, Humans, Orientation, Pattern Recognition, Visual, Problem Solving, Reproducibility of Results</t>
  </si>
  <si>
    <t>The type of dependency influence the  number of correct respones</t>
  </si>
  <si>
    <t>"The number of correct responses differed only as a function of the type of dependency, F(1, 20) = 20.79, p &lt; .01, MSE = 2.31, η² = .51, with better performance on items with nonadjacent dependencies (M = 74.48, SE = 2.86) than on items with adjacent dependencies (M = 49.48, SE = 4.02)."</t>
  </si>
  <si>
    <t>https://osf.io/fsut3</t>
  </si>
  <si>
    <t>1. The second OSF link: https://osf.io/pxr93
2. Minor technical differences</t>
  </si>
  <si>
    <t>Attention, statistical computation, sssociative learning, language</t>
  </si>
  <si>
    <t>"The number of correct responses differed only as a function of the type of dependency, F(1, 20) = 20.79, p &lt; .01, MSE = 2.31, partial eta-square = .51, with better performance on items with nonadjacent
dependencies (M = 74.48, SE = 2.86) than on items with adjacent dependencies (M = 49.48, SE = 4.02)"</t>
  </si>
  <si>
    <t>https://osf.io/fsut4</t>
  </si>
  <si>
    <t>osc201537_1</t>
  </si>
  <si>
    <t>osc201537</t>
  </si>
  <si>
    <t>Moore, Roksana</t>
  </si>
  <si>
    <t>I reported the effect size found in the original replication paper d=.142 instead of the etasq of .122 reported in OSC 2015 PDF table as cannot find that in replication paper</t>
  </si>
  <si>
    <t>Makovski, Tal; Sussman, Rachel; Jiang, Yuhong V. (2008). Orienting attention in visual working memory reduces interference from memory probes. Journal of Experimental Psychology: Learning, Memory, and Cognition, 34.2: 369-380.</t>
  </si>
  <si>
    <t>10.1037/0278-7393.34.2.369</t>
  </si>
  <si>
    <t>10.1037--0278-7393.34.2.369.pdf</t>
  </si>
  <si>
    <t>Moore, K. (2023, September 28). Replication of Makovski, Sussman, &amp; Jiang (2008, JEP:LMC). Retrieved from osf.io/0pxro</t>
  </si>
  <si>
    <t>VWM updating and attention</t>
  </si>
  <si>
    <t>Adolescent, Adult, Attention, Color Perception, Cues, Discrimination Learning, Female, Humans, Inhibition (Psychology), Male, Memory, Short-Term, Orientation, Pattern Recognition, Visual, Psychophysics, Reaction Time, Retention (Psychology)</t>
  </si>
  <si>
    <t>Orienting attention in visual working memory reduces interference from memory probes.</t>
  </si>
  <si>
    <t>"When comparing the cue effect between Set Size 1 and Set Size 2, a significant interaction was found, F(1, 11) = 4.80, p &lt; .05, with an observed power of 0.61."</t>
  </si>
  <si>
    <t>F(1,11) = 4.8</t>
  </si>
  <si>
    <t>https://osf.io/bhnkq</t>
  </si>
  <si>
    <t>Moore</t>
  </si>
  <si>
    <t>Retro-cue</t>
  </si>
  <si>
    <t>Visual working memory, visual attention, memory decay, memory interference, change detection, Simplified Comparison Hypothesis, Interim Interference, Probe Interference Hypothesis</t>
  </si>
  <si>
    <t>For both the shape and color conditions, there will be an effect of cue type (retro cue better than simultaneous cue) on recall at all set sizes except for set size 1</t>
  </si>
  <si>
    <t>When comparing the cue effect between Set Size 1 and Set Size 2, a significant interaction was found, F(1,11) = 4.80, p = .05, with an observed power of 0.61.</t>
  </si>
  <si>
    <t>F(1, 11) = 4.80</t>
  </si>
  <si>
    <t>osc201539_1</t>
  </si>
  <si>
    <t>osc201539</t>
  </si>
  <si>
    <t>Forsell, Roksana</t>
  </si>
  <si>
    <t>Decision making and learning while taking sequential risks. Journal of Experimental Psychology: Learning, Memory, and Cognition, 34(1), 167-185.</t>
  </si>
  <si>
    <t>10.1037/0278-7393.34.1.167</t>
  </si>
  <si>
    <t>10.1037--0278-7393.34.1.167.pdf</t>
  </si>
  <si>
    <t>Forsell, E., Heikensten, E. K., Dreber, A., &amp; Johannesson, M. (2023, September 28). Replication of TJ Pleskac (2008, JEPLMC 34(1)). Retrieved from osf.io/38ges</t>
  </si>
  <si>
    <t>Risk-taking paradigm in decision making</t>
  </si>
  <si>
    <t>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</si>
  <si>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Decision making and learning while taking sequential risks.</t>
  </si>
  <si>
    <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</si>
  <si>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z = 3.1, N = 68</t>
  </si>
  <si>
    <t>z = 1.25, N = 153</t>
  </si>
  <si>
    <t>https://osf.io/3amj3</t>
  </si>
  <si>
    <t>1. The sacond OSF link: https://osf.io/9x765</t>
  </si>
  <si>
    <t>Risk taking, learning, Bayesian, individual differences, cognitive psychometrics</t>
  </si>
  <si>
    <t>Only in well-defined versions of the ART that do not require a learning process do the adjusted ART scores identify the risky use of drugs</t>
  </si>
  <si>
    <t>An a priori planned comparison showed that the correlations in the sunny conditions were significantly greater than in the cloudy, z = 3.10, p &lt; .05 (see Meng, Rosenthal, &amp; Rubin, 1992)</t>
  </si>
  <si>
    <t>z = 3.1</t>
  </si>
  <si>
    <t>z = 1.25</t>
  </si>
  <si>
    <t>https://osf.io/3amj4</t>
  </si>
  <si>
    <t>osc20154_1</t>
  </si>
  <si>
    <t>osc20154</t>
  </si>
  <si>
    <t>Callahan, Roksana</t>
  </si>
  <si>
    <t>1) The link to the replication paper does not work, I found report through this link: https://osf.io/k7chx 2) The partial etasq reported in OSC 2015 table for the replication efefct size is 0.00003 but in the original paper it is .0. Coded from original replication paper</t>
  </si>
  <si>
    <t>I would argue that this is a close replication</t>
  </si>
  <si>
    <t>Storm, B.C., Bjork, E.L., &amp; Bjork, R.A. 2008. Accelerated relearning after retrieval-induced forgetting: The benefit of being forgotten. Journal of Experimental Psychology: Learning, Memory, and Cognition, 34, 230-236.</t>
  </si>
  <si>
    <t>10.1037/0278-7393.34.1.230</t>
  </si>
  <si>
    <t>10.1037--0278-7393.34.1.230.pdf</t>
  </si>
  <si>
    <t>Callahan, S. P. (2023, September 28). Replication of BC Storm, EL Bjork, RA Bjork (2008, JEPLMC 34(1), Exp 1). Retrieved from osf.io/8j9cg</t>
  </si>
  <si>
    <t>Retrieval-induced forgetting</t>
  </si>
  <si>
    <t>Attention, Cues, Humans, Memory, Short-Term, Mental Recall, Paired-Associate Learning, Practice (Psychology)</t>
  </si>
  <si>
    <t>Accelerated relearning after retrieval-induced forgetting: The benefit of being forgotten.</t>
  </si>
  <si>
    <t>"More important, however, the effect of relearning was significantly larger for Rp– items than it was for Nrp items, F(1, 190) = 10.49, p &lt; .001, MSE = 0.15."</t>
  </si>
  <si>
    <t>F(1, 190) = 10.49</t>
  </si>
  <si>
    <t>https://osf.io/9mkae</t>
  </si>
  <si>
    <t xml:space="preserve">1. There is also a second OSF link: https://osf.io/7ufyv
2. Conceptual replication because minor changes were made for the analysis (exception of 1 condition) and sample filtering process (based on Eng fluency)
3. In the replication, the Interaction results are a bit different than from the RPP table. </t>
  </si>
  <si>
    <t>Retrieval-induced forgetting, inhibition, learning, memory, forgetting</t>
  </si>
  <si>
    <t>Effect of relearning was significantly larger for non-practiced items from practiced categories than non-practiced items from non-practiced categories</t>
  </si>
  <si>
    <t>More important, however, the effect of relearning was significantly larger for Rp– items than it was for Nrp– items, F(1, 190) = 10.49, p &lt; .001, MSE = 0.15. Whereas Nrp items were recalled at a rate of 0.36 (SE = 0.02) and 0.42 (SE = 0.02) before and after relearning, respectively, Rp– items were recalled at a rate of 0.31 (SE = 0.02) and 0.45 (SE = 0.02) before and after relearning, respectively</t>
  </si>
  <si>
    <t>F(1, 190) = 10.49,</t>
  </si>
  <si>
    <t>osc201543_1</t>
  </si>
  <si>
    <t>osc201543</t>
  </si>
  <si>
    <t>Holubar, Roksana</t>
  </si>
  <si>
    <t>The replication paper didn't report p-value so I coded it from the OSC 2015 table</t>
  </si>
  <si>
    <t>B Monin, PJ Sawyer, MJ Marquez (2008). The rejection of moral rebels: resenting those who do the right thing. Journal of Personality and Social Psychology, 95.1: 76-93.</t>
  </si>
  <si>
    <t>10.1037--0022-3514.95.1.76.pdf</t>
  </si>
  <si>
    <t>Frank, M. C., &amp; Holubar, T. (2023, September 28). Replication of Monin, Sawyer, &amp; Marquez (2008, JPSP 95(1), Exp. 4). Retrieved from osf.io/pz0my</t>
  </si>
  <si>
    <t>Rejection of moral rebels</t>
  </si>
  <si>
    <t>Adult, Character, Culture, Defense Mechanisms, Female, Humans, Imagination, Judgment, Male, Morals, Prejudice, Rejection (Psychology), Self Concept, Social Conformity, Social Desirability, Social Perception, Social Responsibility</t>
  </si>
  <si>
    <t>Nonaffirmed actors liked the rebel significantly less than the obedient, self-affirmed participants showed no such rejection of the rebel</t>
  </si>
  <si>
    <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</si>
  <si>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F(2, 64) = 10.17</t>
  </si>
  <si>
    <t>F(2, 72) = 1.97</t>
  </si>
  <si>
    <t>https://osf.io/9apd7</t>
  </si>
  <si>
    <t>osc201543_m</t>
  </si>
  <si>
    <t>1. Authors of replication noted "ns" for significance level, which I consider as more than the threshold = 0.05 (they wrote this when they described G*Power calculations)</t>
  </si>
  <si>
    <t>Rebel</t>
  </si>
  <si>
    <t>Moral rebels, whistleblowers, implicit moral reproach, resentment, self-affirmation</t>
  </si>
  <si>
    <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</si>
  <si>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https://osf.io/suyfc</t>
  </si>
  <si>
    <t>osc201544_1</t>
  </si>
  <si>
    <t>osc201544</t>
  </si>
  <si>
    <t>Vianello, Roksana</t>
  </si>
  <si>
    <t>Payne, B. K. Burkley, M. A. Stokes, M. B. (2008). Why Do Implicit and Explicit Attitude Tests Diverge? The Role of Structural Fit. Journal of Personality and Social Psychology, 94, 16–31.</t>
  </si>
  <si>
    <t>10.1037/0022-3514.94.1.16</t>
  </si>
  <si>
    <t>10.1037--0022-3514.94.1.16.pdf</t>
  </si>
  <si>
    <t>Vianello, M. (2023, September 28). Replication of Payne, Burkley &amp; Stokes (2008, JPSP, Study 4). Retrieved from osf.io/rc6mv</t>
  </si>
  <si>
    <t>Implicit and explicit attitude</t>
  </si>
  <si>
    <t>Adolescent, Adult, Alcohol Drinking, Analysis of Variance, Attitude, Behavioral Research [methods], Cognition, Emotions, Factor Analysis, Statistical, Female, Humans, Male, Prejudice, Psychological Tests, Reproducibility of Results, Social Conformity, Social Perception, Truth Disclosure</t>
  </si>
  <si>
    <t>Why do implicit and explicit attitude tests diverge? The role of structural fit.</t>
  </si>
  <si>
    <t>"Instead, the effect of social pressure to avoid prejudice depended on participants’ automatic biases, as shown by a significant Indirect Social Pressure interaction, β = .31, t(67) = 3.08, p &lt; .01."</t>
  </si>
  <si>
    <t>t(67) = 3.08</t>
  </si>
  <si>
    <t>osc201544_a</t>
  </si>
  <si>
    <t xml:space="preserve">1. The main difference was in population - they were Italians, which can affect the attitude
2. I am not sure in the nested / non nested version for regression analysis. </t>
  </si>
  <si>
    <t>Implicit attitude</t>
  </si>
  <si>
    <t>Implicit, explicit, attitude, automatic, measurement, prejudice, social conformity, social perception, truth disclosure</t>
  </si>
  <si>
    <t>Relationship between authors' direct and indirect procedures is moderated by percieved pressure to respond in a socially desirable manner</t>
  </si>
  <si>
    <t>https://osf.io/tys7b</t>
  </si>
  <si>
    <t>osc201546_1</t>
  </si>
  <si>
    <t>osc201546</t>
  </si>
  <si>
    <t>Soderberg, Roksans</t>
  </si>
  <si>
    <t xml:space="preserve">Please note exact p-value of replication finding is p=2.2 × 10⁻¹⁶ </t>
  </si>
  <si>
    <t>Soto, C.J., John, O.P., Gosling, S.D., &amp; Potter, J. (2008). The developmental psychometrics of big five self-reports: Acquiescence, factor structure, coherence, and differentiation from ages 10 to 20. Journal of Personality and Social Psychology, 94(4), 718-737.</t>
  </si>
  <si>
    <t>10.1037/0022-3514.94.4.718</t>
  </si>
  <si>
    <t>10.1037--0022-3514.94.4.718.pdf</t>
  </si>
  <si>
    <t>Soderberg, C. K. (2023, September 28). Replication of CJ Soto, OP John, SD Gosling, J Potter (2008, JPSP 94(4)). Retrieved from osf.io/kez47</t>
  </si>
  <si>
    <t>Replication, 'exactly reproduced methodology'</t>
  </si>
  <si>
    <t>Personality self-reports and age</t>
  </si>
  <si>
    <t>Adolescent, Adult, Child, Comprehension, Data Collection, Extraversion (Psychology), Female, Humans, Informed Consent, Internet, Language Development, Male, Patient Selection, Personality Development, Personality Inventory [statistics &amp; numerical data], Psychometrics [statistics &amp; numerical data], Reproducibility of Results, Self Concept, Vocabulary</t>
  </si>
  <si>
    <t>The developmental psychometrics of big five self-reports: Acquiescence, factor structure, coherence, and differentiation from ages 10 to 20.</t>
  </si>
  <si>
    <t>"As expected, variance in acquiescence scores was substantially larger in younger age groups; for Levene’s test for equality of variance, F(21, 230025) = 118.15, p &lt; .001."</t>
  </si>
  <si>
    <t>F(21, 230025) = 118.15</t>
  </si>
  <si>
    <t>F(21, 455304) = 261.93</t>
  </si>
  <si>
    <t>Soderberg</t>
  </si>
  <si>
    <r>
      <rPr>
        <rFont val="Calibri"/>
        <color theme="1"/>
        <sz val="11.0"/>
      </rPr>
      <t>1. Authors of replication used different cut-off intervals, which could affect the result (aka filteting)
2. Leven's test is not nested</t>
    </r>
    <r>
      <rPr>
        <rFont val="Calibri"/>
        <color theme="7"/>
        <sz val="11.0"/>
      </rPr>
      <t xml:space="preserve"> 3) Please note exact p-value of replication finding is p=2.2 × 10⁻¹⁶ </t>
    </r>
  </si>
  <si>
    <t>Personality traits</t>
  </si>
  <si>
    <t>Five-factor model, personality structure, reliability, validity</t>
  </si>
  <si>
    <t>Younger respondents show greater individual differences (variance) in their acquiescent response tendencies than older respondents</t>
  </si>
  <si>
    <t>As expected, variance in acquiescence scores was substantially larger in younger age groups; for Levene’s test for equality of variance, F(21,230025) = 118.15, p &lt; .001</t>
  </si>
  <si>
    <t>https://osf.io/u3x7s</t>
  </si>
  <si>
    <t>osc201548_1</t>
  </si>
  <si>
    <t>osc201548</t>
  </si>
  <si>
    <t>Wissink, Roksana</t>
  </si>
  <si>
    <t>Cox, C.R., Arndt, J., Pyszczynski, T., Greenberg, J., Abdollahi, A., &amp; Solomon, S. (2008). Terror management and adults' attachment to their parents: The safe haven remains. Journal of Personality and Social Psychology, 94(4), 696-717.</t>
  </si>
  <si>
    <t>10.1037/0022-3514.94.4.696</t>
  </si>
  <si>
    <t>10.1037--0022-3514.94.4.696.pdf</t>
  </si>
  <si>
    <t>Wissink, J., Hoogendoorn, G. E. A. M., Brohmer, H., Verschoor, M., Zeelenberg, M., &amp; Krijnen, J. M. T. (2016, August 19). Replication of CR Cox, J Arndt, T Pyszczynski, J Greenberg, A Abdollahi, S Solomon (2008, JPSP 94(4), Exp. 6). Retrieved from osf.io/5tbxf</t>
  </si>
  <si>
    <t>Mortality salience</t>
  </si>
  <si>
    <t>Adaptation, Psychological, Adolescent, Adult, Adult Children [psychology], Attitude to Death, Defense Mechanisms, Fear, Female, Humans, Male, Mental Recall, Middle Aged, Object Attachment, Parent-Child Relations, Self Efficacy, Social Support</t>
  </si>
  <si>
    <t>Participants who scored low on avoidance but high on anxiety demonstrated an increased relative preference for a parent after mortality salience as opposed to dental pain</t>
  </si>
  <si>
    <t>"At high levels of attachment anxiety and low levels of attachment avoidance, MS participants allocated significantly more time to a parent than did their dental pain condition counterparts (b = –32.04, SE = 14.47, t = –2.22, p = .03)."</t>
  </si>
  <si>
    <t xml:space="preserve">p.16 </t>
  </si>
  <si>
    <t>f-square</t>
  </si>
  <si>
    <t>https://osf.io/853ue</t>
  </si>
  <si>
    <t>osc201548_f</t>
  </si>
  <si>
    <t>1. F-square is used to report ES of replication
2. I am not sure whether the analsis was nested or not.</t>
  </si>
  <si>
    <t>Terror management, mortality salience, adult attachment, close relationships, parents</t>
  </si>
  <si>
    <t>At high levels of attachment anxiety and low levels of attachment avoidance, MS participants allocated significantly more time to a parent than did their dental pain condition counterparts (β = −32.04, SE = 14.47, t = −2.22, p = .03)</t>
  </si>
  <si>
    <t>osc201549_1</t>
  </si>
  <si>
    <t>osc201549</t>
  </si>
  <si>
    <t>Kim, Roksana</t>
  </si>
  <si>
    <t>I would argue that this is close replication</t>
  </si>
  <si>
    <t>D Albarracín, IM Handley, K Noguchi, KC McCulloch, H Li, J Leeper, RD Brown, A Earl, WP Hart (2008). Increasing and decreasing motor and cognitive output: a model of general action and inaction goals. Journal of Personality and Social Psychology, 95.3: 510-523.</t>
  </si>
  <si>
    <t>10.1037--a0012833.pdf</t>
  </si>
  <si>
    <t>Frank, M. C., Kim, S. K., &amp; Lee, K. J. (2023, September 28). Replication of Albarracín et al. (2008, JPSP). Retrieved from osf.io/vy1bc</t>
  </si>
  <si>
    <t>Increasing and Decreasing Motor and Cognitive Output</t>
  </si>
  <si>
    <t>Attention, Awareness, Cues, Culture, Decision Making, Feeding Behavior, Female, Goals, Humans, Internal-External Control, Judgment, Male, Mental Recall, Persuasive Communication, Problem Solving, Psychomotor Performance, Semantics, Set (Psychology)</t>
  </si>
  <si>
    <t>The action and inaction primes produced, respectively, higher and lower levels of cognitive output (higher or lower performance measured by number of solved problems</t>
  </si>
  <si>
    <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</si>
  <si>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F(1, 86) = .08</t>
  </si>
  <si>
    <t>https://osf.io/36dr4</t>
  </si>
  <si>
    <t>Kim</t>
  </si>
  <si>
    <t xml:space="preserve">1, The data from replication is taken from: https://osf.io/2pbaf
2. The study sample age was changed as well as online experimental design was used
3. In the original study the division on groups is not specified: was it equal or not. The design is between-group, that's why we can't simply calculate Cohen's d using M and SD. </t>
  </si>
  <si>
    <t>The number of correctly solved problems was submitted to an ANOVA with prime as the independent variable. The analysis revealed a main effect of prime on number of solved problems, F(1,34) = 5.68, p = .02, demonstrating that participants primed with action performed better than participants primed with inaction did (M = 12.83, SD = 1.86 vs. M = 10.78, SD = 3.15, respectively)</t>
  </si>
  <si>
    <t>F(1, 86) = 0.08</t>
  </si>
  <si>
    <t>https://osf.io/36dr5</t>
  </si>
  <si>
    <t>osc20155_1</t>
  </si>
  <si>
    <t>osc20155</t>
  </si>
  <si>
    <t>Lakens, Roksana</t>
  </si>
  <si>
    <r>
      <rPr>
        <rFont val="Arial"/>
      </rPr>
      <t xml:space="preserve">The replication report found </t>
    </r>
    <r>
      <rPr>
        <rFont val="Arial"/>
        <color rgb="FF1155CC"/>
        <u/>
      </rPr>
      <t>https://osf.io/v7bjc</t>
    </r>
    <r>
      <rPr>
        <rFont val="Arial"/>
      </rPr>
      <t xml:space="preserve"> 2) no p-value reported in original study</t>
    </r>
  </si>
  <si>
    <t>C Mitchell, S Nash, G Hall (2008). The intermixed-blocked effect in human perceptual learning is not the consequence of trial spacing. Journal of Experimental Psychology: Learning, Memory, and Cognition, 34.1 (2008): 237-242.</t>
  </si>
  <si>
    <t>10.1037/0278-7393.34.1.237</t>
  </si>
  <si>
    <t>10.1037--0278-7393.34.1.237.pdf</t>
  </si>
  <si>
    <t>Lakens, D. (2023, September 28). Replication of Mitchell, Nash, &amp; Hall (2008, JEP:LMC). Retrieved from osf.io/4xdkk</t>
  </si>
  <si>
    <t>The Intermixed- Block Effect</t>
  </si>
  <si>
    <t>Attention, Color Perception, Discrimination Learning, Field Dependence-Independence, Humans, Memory, Short-Term, Mental Recall, Pattern Recognition, Visual, Practice (Psychology), Psychophysics</t>
  </si>
  <si>
    <t>Perceptual learning (better discrimination of AX and BX on test) was observed when AX and BX were intermixed in preexposure but not when AX was intermixed with BY.</t>
  </si>
  <si>
    <t>"A contrast comparing overall performance across the two types of test confirmed this observation, F(1, 31) = 8.38, MSE = 0.106."</t>
  </si>
  <si>
    <t>F(1,31) = 8.38</t>
  </si>
  <si>
    <t>https://osf.io/c8qhv</t>
  </si>
  <si>
    <t>1. The second OSF link: https://osf.io/a9vrq
2. Authors did modification in replication (counterbalancing in a Latin square fasion)
3. No p-value was reported in the original study</t>
  </si>
  <si>
    <t>Intermixed– blocked effect</t>
  </si>
  <si>
    <t>Perceptual learning, spaced practice, memory, discrimination</t>
  </si>
  <si>
    <t>A contrast comparing overall performance across the two types of test confirmed this observation, F(1, 31) = 8.38, MSE = 0.106. There was no interaction between the training conditions (AX/BX and CX/DY) and the test trial type (same and different; F &lt; 1)</t>
  </si>
  <si>
    <t>F(1, 31) = 8.38</t>
  </si>
  <si>
    <t>osc201550_1</t>
  </si>
  <si>
    <t>osc201550</t>
  </si>
  <si>
    <t>Sonnleitner, Roksna</t>
  </si>
  <si>
    <t>Albarracín, D., Handley, I.M., Noguchi, K., McCulloch, K.C., Li, H., Leeper, J., Brown, R.D., Earl, A., &amp; Hart, W.P. (2008). Increasing and decreasing motor and cognitive output: A model of general action and inaction goals. Journal of Personality and Social Psychology, 95(3), 510-523.</t>
  </si>
  <si>
    <t>Voracek, M., &amp; Sonnleitner, C. (2016, August 19). Replication of D Albarracín, IM Handley, K Noguchi, KC McCulloch, H Li, J Leeper, RD Brown, A Earl, WP Hart (2008, JPSP 95(3), Exp. 7). Retrieved from osf.io/rgm6p</t>
  </si>
  <si>
    <t>Action goal led to a greated number of thoughts supporting goal-mediation interpretation</t>
  </si>
  <si>
    <t>"This analysis revealed a significant two-way interaction between prime and task, F(2, 92) = 4.36, p = .02."</t>
  </si>
  <si>
    <t>F(2, 92) = 4.36</t>
  </si>
  <si>
    <t>https://osf.io/ctvej</t>
  </si>
  <si>
    <t>This analysis revealed a significant two-way interaction between prime and task, F(2, 92) = 4.36, p = .02, and a significant effect of task</t>
  </si>
  <si>
    <t>osc201552_1</t>
  </si>
  <si>
    <t>osc201552</t>
  </si>
  <si>
    <t>Brown, Roksana</t>
  </si>
  <si>
    <t>Couldn't find the effect size in original replication paper that was reported in the OSC 2015 table, I coded from the replication paper directly</t>
  </si>
  <si>
    <t>Centerbar, D.B., Schnall, S., Clore, G.L., &amp; Garvin, E.D. (2008). Affective incoherence: When affective concepts and embodied reactions clash. Journal of Personality and Social Psychology, 94(4), 560-578. doi: 10.1037/0022-3514.94.4.560</t>
  </si>
  <si>
    <t>10.1037/0022-3514.94.4.560</t>
  </si>
  <si>
    <t>10.1037--0022-3514.94.4.560.pdf</t>
  </si>
  <si>
    <t>Humphries, D., Brown, K., DeGaetano, M., Mainard, H., Attridge, P. R., Brown, B. T., &amp; Hicks, G. (2023, September 28). Replication of Centerbar, Schnall, Clore, &amp; Garvin (2008, JPSP, Study 5). Retrieved from osf.io/l8srm</t>
  </si>
  <si>
    <t>Affective coherence</t>
  </si>
  <si>
    <t>Affect, Attention, Comprehension, Concept Formation, Conflict (Psychology), Cues, Culture, Female, Humans, Male, Memory, Short-Term, Mental Recall, Motivation, Reading, Retention (Psychology)</t>
  </si>
  <si>
    <t>Affective incoherence: When affective concepts and embodied reactions clash.</t>
  </si>
  <si>
    <t>"Indeed, a repeated measures ANOVA with condition (coherent vs. incoherent) and story (1 vs. 2 vs. 3) produced a significant linear trend for the interaction of Condition × Story, F(1, 131) = 5.79, p = .02, η² = .04."</t>
  </si>
  <si>
    <t>F (2, 110) = .759</t>
  </si>
  <si>
    <t>https://osf.io/ngxye</t>
  </si>
  <si>
    <t>1. There was no indication of interaction in the original study (since it was not significant), thus I am not sure whether exactly this values should be reported. Moreover, they are different from RPP table.</t>
  </si>
  <si>
    <t>Affective coherence, embodiment, affect, motor behavior, facial expression</t>
  </si>
  <si>
    <t>Affective coherence (as opposed to affective incoherence) produced a linear increase in cognitive complexity across three participant-generated narratives</t>
  </si>
  <si>
    <t>F(2, 110) = 0.759</t>
  </si>
  <si>
    <t>osc201553_1</t>
  </si>
  <si>
    <t>osc201553</t>
  </si>
  <si>
    <t>Graham, Roksana</t>
  </si>
  <si>
    <r>
      <rPr>
        <rFont val="Arial"/>
      </rPr>
      <t xml:space="preserve">The link here to the original paper is wrong, I coded from </t>
    </r>
    <r>
      <rPr>
        <rFont val="Arial"/>
        <color rgb="FF1155CC"/>
        <u/>
      </rPr>
      <t>https://www.uky.edu/AS/PoliSci/Peffley/pdf/Sniderman/Amodio_et_al_2008_JPSP_Individual%20Differences%20in%20the%20Regulation%20of%20Intergroup%20Bias.pdf</t>
    </r>
  </si>
  <si>
    <t>Amodio, D. M., Devine, P. G., &amp; Harmon-Jones, E. (2008). Individual differences in the regulation of intergroup bias: The role of conflict monitoring and neural signals for control. Journal of Personality and Social Psychology, 94(1), 60-74.</t>
  </si>
  <si>
    <t>10.1037/0022-3514.94.3.545</t>
  </si>
  <si>
    <t>10.1037--0022-3514.94.3.545.pdf</t>
  </si>
  <si>
    <t>Johnson-Grey, K. M., Hayes, T. B., &amp; Graham, J. (2023, September 28). Replication of Amodio, Devine, &amp; Harmon-Jones (2008, JPSP, Study 2). Retrieved from osf.io/wkgpq</t>
  </si>
  <si>
    <t>Regulation of Intergroup Bias</t>
  </si>
  <si>
    <t>African Americans, Analysis of Variance, Cognition, Conflict (Psychology), European Continental Ancestry Group, Evoked Potentials, Female, Group Processes, Humans, Inhibition (Psychology), Models, Psychological, Motivation, Neuropsychology, Prejudice, United States</t>
  </si>
  <si>
    <t>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</si>
  <si>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"The critical interaction was significant, F(1, 31) = 5.14, p = .03, providing more direct support for the hypothesis that these two groups of low-prejudice participants would differ in PD control on the weapons identification task but not on the flankers task."</t>
  </si>
  <si>
    <t>F(1, 31) = 5.14</t>
  </si>
  <si>
    <t>https://osf.io/dqybc</t>
  </si>
  <si>
    <t>osc201553_a</t>
  </si>
  <si>
    <t>1. Also for OSF there is a second link: https://osf.io/dqybc
2. In the original paper there is a misinformation, as authors firtly wrote about 59 participants, from which 1 was excluded, somehow resulted in 48. 
3. An updated file was uploaded for original study (in the e-mail there is  a link to the corresponding folder)
4. I consider the Discipline to be "Developmental psychology", but put the data along with RPP table</t>
  </si>
  <si>
    <t>Prejudice, control, ERP, ERN, conflict monitoring</t>
  </si>
  <si>
    <t>We conducted a more focused 2 (Group: high IMS/low EMS vs. high IMS/high EMS) X 2 (Task: weapons vs. flankers) ANOVA on PD-control estimates. The critical interaction was significant, F(1, 31) = 5.14, p = .03,</t>
  </si>
  <si>
    <t>osc201555_1</t>
  </si>
  <si>
    <t>osc201555</t>
  </si>
  <si>
    <t>Gable, Roksana</t>
  </si>
  <si>
    <t>Harmon-Jones, E., Harmon-Jones, C., Fearn, M., Sigelman, J.D., &amp; Johnson, P. (2008). Left frontal cortical activation and spreading of alternatives: Test of the action-based model of dissonance. Journal of Personality and Social Psychology, 94(1), 1-15.</t>
  </si>
  <si>
    <t>10.1037/0022-3514.94.1.1</t>
  </si>
  <si>
    <t>10.1037--0022-3514.94.1.1.pdf</t>
  </si>
  <si>
    <t>Gable, P. A., &amp; Mechin, N. (2023, September 28). Replication of E Harmon-Jones, C Harmon-Jones, M Fearn, JD Sigelman, P Johnson (2008, JPSP 94(1), Exp. 2). Retrieved from osf.io/su6bm</t>
  </si>
  <si>
    <t>Action-Based Model of Dissonance</t>
  </si>
  <si>
    <t>Analysis of Variance, Attitude, Biofeedback, Psychology, Brain Mapping, Cognitive Dissonance, Decision Making, Female, Humans, Male, Models, Psychological, Prefrontal Cortex [physiology]</t>
  </si>
  <si>
    <t>Action-oriented mindset resulted in attitude changes from pre- to post-decision to both chosen and rejected alternatives</t>
  </si>
  <si>
    <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</si>
  <si>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https://osf.io/rqtgz</t>
  </si>
  <si>
    <t>osc201555_a</t>
  </si>
  <si>
    <t xml:space="preserve">1. "The experiment materials provided by the original authors included only 7 experimental descriptions for participants to rate. " - thus it can't be assessed as close replication, even considering such an opinion of the authors
2. The study is about neuroscience, but the journal title is about Social Cognition. I put the discipline from the spreadsheet of RPP project, but perhaps it should be neuroscience (as the neutotechnology is applied) </t>
  </si>
  <si>
    <t>Cognitive dissonance</t>
  </si>
  <si>
    <t>Cognitive dissonance, action-based model, approach motivation, asymmetrical frontal cortical activity, neurofeedback</t>
  </si>
  <si>
    <t>To test the effects of mindset manipulation on attitudes, a 3 (mindset) between-participants x 2 (predecision vs. postdecision)  x 2 (chosen vs. rejected alternative) within-participants ANOVA was performed. It produced the critical three-way interaction, F(2, 54) =  3.19, p  &lt; .05, partial eta-square =  .11; see Figure 2.</t>
  </si>
  <si>
    <t>osc201556_1</t>
  </si>
  <si>
    <t>osc201556</t>
  </si>
  <si>
    <t>Slowik, Roksana</t>
  </si>
  <si>
    <t xml:space="preserve">I coded directly from the replication paper, there is some inconsistency as the OSC 2015 table states that the d=.082 and p-value of .796 </t>
  </si>
  <si>
    <t>I think this is a close instead of conceptual</t>
  </si>
  <si>
    <t>van Dijk, E., van Kleef, G.A., Steinel, W., &amp; van Beest, I. (2008). A social functional approach to emotions in bargaining: When communicating anger pays and when it backfires. Journal of Personality and Social Psychology, 94(4), 600-614.</t>
  </si>
  <si>
    <t>10.1037/0022-3514.94.4.600</t>
  </si>
  <si>
    <t>10.1037--0022-3514.94.4.600.pdf</t>
  </si>
  <si>
    <t>Voracek, M., &amp; Slowik, A. (2023, September 28). Replication of E van Dijk, GA van Kleef, W Steinel, I van Beest (2008, JPSP 94(4), Exp. 3). Retrieved from osf.io/xtsq6</t>
  </si>
  <si>
    <t>.</t>
  </si>
  <si>
    <t>Bargaining in Emotional Regulation</t>
  </si>
  <si>
    <t>Adult, Anger, Communication, Deception, Dominance-Subordination, Emotions, Fear, Female, Goals, Humans, Interpersonal Relations, Male, Motivation, Negotiating, Power (Psychology), Rejection (Psychology)</t>
  </si>
  <si>
    <t>Participants offered significantly fewer chips to angry recipients than to happy recipients in low consequence situations</t>
  </si>
  <si>
    <t>"Moreover, in the low-consequences conditions, participants offered fewer chips to an angry recipient than to a happy recipient, F(1, 99) = 16.62, p &lt; .0001."</t>
  </si>
  <si>
    <t>F(1, 99) = 16.62</t>
  </si>
  <si>
    <t>https://osf.io/4hqd5</t>
  </si>
  <si>
    <t>Slowik</t>
  </si>
  <si>
    <t>1. There minor changes, but there were a lot of them as well as the argue about the sample -&gt; conceptual replication</t>
  </si>
  <si>
    <t>Emotions, bargaining, deception, fairness, self-interest</t>
  </si>
  <si>
    <t>Moreover, in the low-consequences conditions, participants offered fewer chips to an angry recipient than to a happy recipient, F(1,99) = 16.62, p &lt; .0001</t>
  </si>
  <si>
    <t>https://osf.io/4hqd6</t>
  </si>
  <si>
    <t>osc201558_1</t>
  </si>
  <si>
    <t>osc201558</t>
  </si>
  <si>
    <t>Baranski, Roksana</t>
  </si>
  <si>
    <t>Lemay, E.P., &amp; Clark, M.S. Walking on eggshells: How expressing relationship insecurities perpetuates them. Journal of Personality and Social Psychology, 95(2), 420-441.</t>
  </si>
  <si>
    <t>10.1037/0022-3514.95.2.420</t>
  </si>
  <si>
    <t>10.1037--0022-3514.95.2.420.pdf</t>
  </si>
  <si>
    <t>Baranski, E. (2023, September 28). Replication of Lemay and Clark (2008, JPSP 95(2), Exp 5). Retrieved from osf.io/ke43j</t>
  </si>
  <si>
    <t>Relationship vulnerabilities</t>
  </si>
  <si>
    <t>Adult, Affect, Analysis of Variance, Female, Humans, Interpersonal Relations, Male, Models, Psychological, Object Attachment, Questionnaires, Rejection (Psychology), Self Concept, Sexual Partners [psychology], Social Desirability, Social Perception, Spouses [psychology]</t>
  </si>
  <si>
    <t>Walking on eggshells: How expressing relationship insecurities perpetuates them.</t>
  </si>
  <si>
    <t>"A significant main effect for type of rating, F(1, 182) = 47.65, p &lt; .001, suggesting that, on average, participants viewed the confederate as expressing more happiness than was truly felt, was qualified by the Type of Rating × Condition interaction, F(1, 182) = 5.24, p &lt; .05, η² = .03."</t>
  </si>
  <si>
    <t>Baranski</t>
  </si>
  <si>
    <t>1. The mateirial to replication study was taken from the link: https://osf.io/efjn3
2. The second OSF link is available: https://osf.io/xy9mv/</t>
  </si>
  <si>
    <t>Vulnerability</t>
  </si>
  <si>
    <t>Close relationships, egocentrism, relationship security, acceptance, emotion expression, expression-based authenticity doubts, vulnerability</t>
  </si>
  <si>
    <t>Participants perceived the confederate’s expressions of happiness as less authentic when they were told, after the interaction, that the confederate had been informed beforehand that participants were especially vulnerable to rejection</t>
  </si>
  <si>
    <t>https://osf.io/cehgp</t>
  </si>
  <si>
    <t>osc201559_1</t>
  </si>
  <si>
    <t>osc201559</t>
  </si>
  <si>
    <t>Marigold, Roksana</t>
  </si>
  <si>
    <t>How the head liberates the heart: projection of communal responsiveness guides relationship promotion. Journal of Personality and Social Psychology, 95(4), 647-671.</t>
  </si>
  <si>
    <t>10.1037/0022-3514.94.4.647</t>
  </si>
  <si>
    <t>10.1037--0022-3514.94.4.647.pdf</t>
  </si>
  <si>
    <t>Marigold, D. C., Forest, A. L., &amp; Anderson, J. (2023, September 28). Replication of Lemay and Clark (2008, JPSP 95(4), Exp 5). Retrieved from osf.io/h84qd</t>
  </si>
  <si>
    <t>Projected responsiveness bias</t>
  </si>
  <si>
    <t>Adolescent, Adult, Communication, Data Collection, Female, Friends [psychology], Humans, Internet, Interpersonal Relations, Longitudinal Studies, Male, Marriage, Middle Aged, Projection, Questionnaires, Self Concept, Social Support, Spouses [psychology]</t>
  </si>
  <si>
    <t>Participants own responsiveness was a significant predictor of their perception of their partners' responsiveness</t>
  </si>
  <si>
    <t>"Suggesting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</si>
  <si>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https://osf.io/3rtvz</t>
  </si>
  <si>
    <t xml:space="preserve">2. The Effect is about either "Social perception" or "Communal responsiveness" I used the second as it is stated in the paper
3. Authors stated the modification of the procedure, which they believe have small influence on the replication. However, from my point of view, it was modification and thus - it is not a close replication, but rather - conceptual </t>
  </si>
  <si>
    <t>Lemay, E.P., &amp; Clark, M.S. How the head liberates the heart: projection of communal responsiveness guides relationship promotion. Journal of Personality and Social Psychology, 95(4), 647-671.</t>
  </si>
  <si>
    <t>Communal responsiveness</t>
  </si>
  <si>
    <t>Projection of responsiveness, assumed similarity, social support, communal relationships, self-disclosure</t>
  </si>
  <si>
    <t>Suggesting projection of responsiveness, perceivers’ own responsiveness to targets was a significant predictor of perceived partner responsiveness while controlling for these accuracy effects (b = .68, p &lt; .001)</t>
  </si>
  <si>
    <t>osc20156_1</t>
  </si>
  <si>
    <t>osc20156</t>
  </si>
  <si>
    <t>Meixner, Roksana</t>
  </si>
  <si>
    <t>I would say this is a close replication</t>
  </si>
  <si>
    <t>Berry, C.J., Shanks, D.R., &amp; Henson, R.N. A single-system account of the relationship between priming, recognition, and fluency. Journal of Experimental Psychology: Learning, Memory, and Cognition, 34(1), 97-111.</t>
  </si>
  <si>
    <t>10.1037/0278-7393.34.1.97</t>
  </si>
  <si>
    <t>10.1037--0278-7393.34.1.97.pdf</t>
  </si>
  <si>
    <t>Meixner, J. M., &amp; Brüning, J. (2023, September 28). Replication of CJ Berry, DR Shanks, RN Henson (2008, JEPLMC 34(1), Exp 1). Retrieved from osf.io/atgp5</t>
  </si>
  <si>
    <t>Repetition priming</t>
  </si>
  <si>
    <t>Adult, Attention, Cues, Decision Making, Female, Humans, Judgment, Male, Memory, Short-Term, Models, Statistical, Psychomotor Performance, Reaction Time, Reading, Retention (Psychology), Serial Learning, Signal Detection, Psychological, Speech, Verbal Learning</t>
  </si>
  <si>
    <t>A single-system account of the relationship between priming, recognition, and fluency.</t>
  </si>
  <si>
    <t>"Of primary interest for this experiment, RTs to misses were significantly faster than RTs to correct rejections, t(23) 3.55, p .002 (mean priming for items judged new 63 ms, SEM 18), replicating Stark and McClelland (2000)."</t>
  </si>
  <si>
    <t>t(23) = 3.55</t>
  </si>
  <si>
    <t>t(31) = 2.40</t>
  </si>
  <si>
    <t>https://osf.io/vdc5m</t>
  </si>
  <si>
    <t>1. There are also 2 additional OSF links: https://osf.io/cbwgj, https://osf.io/zhxuy</t>
  </si>
  <si>
    <t>Fluency, repetition priming, recognition, computational model</t>
  </si>
  <si>
    <t>Response times to misses were significantly faster than those to correct rejections, indicating that memory sources for priming and recognition are independent.</t>
  </si>
  <si>
    <t>Of primary interest for this experiment, RTs to misses were significantly faster than RTs to correct rejections, t(23) = 3.55, p = .002 (mean priming for items judged new 63 ms, SEM = 18), replicating Stark and McClelland (2000)</t>
  </si>
  <si>
    <t>osc201561_1</t>
  </si>
  <si>
    <t>osc201561</t>
  </si>
  <si>
    <t>Talhelm, Roksana</t>
  </si>
  <si>
    <t>I coded directly from the replication paper, there is some inconsistency as the OSC 2015 table states that the d=-.01</t>
  </si>
  <si>
    <t>Ersner-Hershfield, H. H., Mikels, J. A., Sullivan, S. J., &amp; Carstensen, L. L. (2008). Poignancy: mixed emotional experience in the face of meaningful endings. Journal of Personality and Social Psychology, 94(1), 158-167.</t>
  </si>
  <si>
    <t>10.1037/0022-3514.94.1.158</t>
  </si>
  <si>
    <t>10.1037--0022-3514.94.1.158.pdf</t>
  </si>
  <si>
    <t>Talhelm, T., Eggleston, C., &amp; Lee, M. (2023, September 28). Replication of Ersner-Hershfield et al. (2008, JPSP, Study 2). Retrieved from osf.io/sq8k9</t>
  </si>
  <si>
    <t>Poignancy in mixed emotions</t>
  </si>
  <si>
    <t>Adult, Age Factors, Aged, Aging [psychology], Analysis of Variance, Emotions, Female, Human Development, Humans, Imagination, Male, United States</t>
  </si>
  <si>
    <t>Poignancy: Mixed emotional experience in the face of meaningful endings.</t>
  </si>
  <si>
    <t>"As hypothesized, making the ending of graduation day more salient caused participants in the limited-time condition to show higher mixed emotion scores than participants in the control condition, t(108) 2.34, p .05."</t>
  </si>
  <si>
    <t>t(108) = -2.34</t>
  </si>
  <si>
    <t>osc201561_a</t>
  </si>
  <si>
    <t>1. Authors added appreciation to the list of emotions</t>
  </si>
  <si>
    <t>Coder 2 noted I coded directly from the replication paper, there is some inconsistency as the OSC 2015 table states that the d=-.01</t>
  </si>
  <si>
    <t>Aging, emotions, mixed emotions, human development, poignancy, endings, socioemotional selectivity theory, experience of ending</t>
  </si>
  <si>
    <t>Participants in the limited-time condition (poignancy) experienced more sadness than participants in the control condition</t>
  </si>
  <si>
    <t>https://osf.io/x5szy</t>
  </si>
  <si>
    <t>osc201563_1</t>
  </si>
  <si>
    <t>osc201563</t>
  </si>
  <si>
    <t>LeBel, Roksana</t>
  </si>
  <si>
    <t>Conceptual as study to design from being measured individual to groups</t>
  </si>
  <si>
    <t>Correll, J. (2008). 1/f noise and effort on implicit measures of bias. Journal of Personality and Social Psychology, 94, 48-59.</t>
  </si>
  <si>
    <t>LeBel, E. P. (2023, September 28). Replication of Correll (2008, JPSP, Study 2). Retrieved from osf.io/fejxb</t>
  </si>
  <si>
    <t>1/f Noise</t>
  </si>
  <si>
    <t>African Americans, Behavioral Research [statistics &amp; numerical data], Bias (Epidemiology), European Continental Ancestry Group [psychology], Fourier Analysis, Humans, Prejudice, Reaction Time, Regression Analysis, Stereotyping</t>
  </si>
  <si>
    <t>1/f noise and effort on implicit measures of bias.</t>
  </si>
  <si>
    <t>"As predicted, analysis revealed a significant difference between the control condition and the average of the two experimental conditions in terms of the magnitude of the PSD slopes, F(1, 68) 5.52, p .02 (see Table 2 and Figure 4)."</t>
  </si>
  <si>
    <t>osc201563_a</t>
  </si>
  <si>
    <t>1. Tags were combined from RPP table and the paper 
2. There is also the second OSF link: https://osf.io/v3hfb
3. The study was conducted in groups instead of individually
4. Exploratory analyses was conducted with the usage of original sample, thus it is not included here
5. I am not sure whether the analsis was nested or not.</t>
  </si>
  <si>
    <t>1/f noise, effort, stereotyping, prejudice, bias, fourier analysis</t>
  </si>
  <si>
    <t>Participants instructed to use race and avoid race exhibited less 1/f noise (as reflected in PSD slopes) than participants in the control condition</t>
  </si>
  <si>
    <t>Analysis revealed a significant difference between the control condition and the average of the two experimental conditions in terms of the magnitude of the PSD slopes, F(1, 68) = 5.52, p &lt; .02</t>
  </si>
  <si>
    <t>https://osf.io/8dzpj</t>
  </si>
  <si>
    <t>osc201564_1</t>
  </si>
  <si>
    <t>osc201564</t>
  </si>
  <si>
    <t>Reinhard, Roksana</t>
  </si>
  <si>
    <t>Förster, J., Liberman, N., &amp; Kuschel, S. (2008). The effect of global versus local processing styles on assimilation versus contrast in social judgment. Journal of Personality and Social Psychology, 94, 579-599.</t>
  </si>
  <si>
    <t>10.1037/0022-3514.94.4.579</t>
  </si>
  <si>
    <t>10.1037--0022-3514.94.4.579.pdf</t>
  </si>
  <si>
    <t>Reinhard, D. A. (2023, September 28). Replication of J Förster, N Liberman, &amp; S Kuschel (2008, JPSP, Study 1). Retrieved from osf.io/mxryb</t>
  </si>
  <si>
    <t>Social Judgement Processing</t>
  </si>
  <si>
    <t>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</si>
  <si>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Processing style (global and local) affected the impact of the prime: participants judged the target person to be more aggressive after aggression priming in global style compared to local style</t>
  </si>
  <si>
    <t>"Most important, these two main effects were qualified by the predicted interaction, F(2, 76) 21.57, p .0001, showing that processing style affected the impact of the prime."</t>
  </si>
  <si>
    <t>F(2, 76) = 21.57</t>
  </si>
  <si>
    <t>https://osf.io/ak3rj</t>
  </si>
  <si>
    <t>osc201564_c</t>
  </si>
  <si>
    <t>1. The second link for OSF is: https://osf.io/e4vqu</t>
  </si>
  <si>
    <t>Categorization</t>
  </si>
  <si>
    <t>Assimilation and contrast; exclusion versus inclusion; processing styles</t>
  </si>
  <si>
    <t>Most important, these two main effects were qualified by the predicted interaction, F(2, 76) = 21.57, p  &lt; .0001, showing that processing style affected the impact of the prime.</t>
  </si>
  <si>
    <t>osc201565_1</t>
  </si>
  <si>
    <t>osc201565</t>
  </si>
  <si>
    <t>Lin, Roksana</t>
  </si>
  <si>
    <t>JJ Exline, RF Baumeister, AL Zell, AJ Kraft, CV Witvliet (2008). Not so innocent: does seeing one's own capacity for wrongdoing predict forgiveness? Journal of Personality and Social Psychology: 94.3: 495-515.</t>
  </si>
  <si>
    <t>10.1037--0022-3514.94.3.495.pdf</t>
  </si>
  <si>
    <t>Lin, S. C., &amp; Frank, M. C. (2023, September 28). Replication of Exline et al. (2008, JPSP, Study 7). Retrieved from osf.io/imrx2</t>
  </si>
  <si>
    <t>Self-perceived forgiveness</t>
  </si>
  <si>
    <t>Adolescent, Adult, Anger [physiology], Attitude, Empathy, Female, Group Processes, Guilt, Humans, Individuality, Interpersonal Relations, Male, Mental Recall [physiology], Motivation, Sex Factors, Social Behavior, Social Perception, Students [psychology]</t>
  </si>
  <si>
    <t>Not so innocent: Does seeing one's own capacity for wrongdoing predict forgiveness?</t>
  </si>
  <si>
    <t>Table 3</t>
  </si>
  <si>
    <t>osc201565_a</t>
  </si>
  <si>
    <t xml:space="preserve">1. There was a second OSF link: https://osf.io/p5en6
2. In my opinion the Discipline is more about "Differential Psychology", however, in RPP table it is "Social", thus I leave it to be along with the RPP table. </t>
  </si>
  <si>
    <t>Forgiveness</t>
  </si>
  <si>
    <t>Forgiveness, vengefulness, humility, empathy, gender</t>
  </si>
  <si>
    <t>When not primed with capability– empathy items, men reported more vengefulness than women, but when capability– empathy items preceded the TRIM, men’s vengefulness scores were significantly reduced</t>
  </si>
  <si>
    <t>As Table 3 shows, results revealed a marginally significant interaction predicting TRIMs</t>
  </si>
  <si>
    <t>https://osf.io/nrjs5</t>
  </si>
  <si>
    <t>osc201568_1</t>
  </si>
  <si>
    <t>osc201568</t>
  </si>
  <si>
    <t>Mathur, Roksana</t>
  </si>
  <si>
    <r>
      <rPr>
        <rFont val="Arial"/>
      </rPr>
      <t xml:space="preserve">Link from OSC 2015 table to replication paper didn't work but I found it here: </t>
    </r>
    <r>
      <rPr>
        <rFont val="Arial"/>
        <color rgb="FF1155CC"/>
        <u/>
      </rPr>
      <t>https://osf.io/b9jtc</t>
    </r>
  </si>
  <si>
    <t xml:space="preserve">I would argue this is a close replication </t>
  </si>
  <si>
    <t>JL Risen, T Gilovich (2008). Why people are reluctant to tempt fate. Journal of Personality and Social Psychology, 95.2: 293-307.</t>
  </si>
  <si>
    <t>10.1037--0022-3514.95.2.293.pdf</t>
  </si>
  <si>
    <t>Frank, M. C., &amp; Mathur, M. B. (2023, September 28). Replication of Risen &amp; Gilovich (2008, JPSP). Retrieved from osf.io/sg3su</t>
  </si>
  <si>
    <t>Fate temptation</t>
  </si>
  <si>
    <t>Culture, Female, Humans, Intuition, Judgment, Male, Motivation, Negativism, Probability, Social Environment</t>
  </si>
  <si>
    <t>When participants were not under load, those who imagined that they had not done the reading believed that it was more likely that they would be called on</t>
  </si>
  <si>
    <t>"The main effects were qualified by the predicted interaction, however, F(1,116) 4.15, p &lt;.05."</t>
  </si>
  <si>
    <t>F(1, 116) = 4.15</t>
  </si>
  <si>
    <t>F(1, 222) = 0.002</t>
  </si>
  <si>
    <t>https://osf.io/6vsc3</t>
  </si>
  <si>
    <t>1. Also, there is a second link for OSF: https://osf.io/bfzn9
2. There were differences with original study in the survey administration and sampling frame</t>
  </si>
  <si>
    <t>Tempting fate</t>
  </si>
  <si>
    <t>A 2 (behavior: had read vs. had not read) X 2 (load: yes vs. no) X ANOVA revealed main effects for reading, F(1, 116) = 22.88, p &lt; .001, and for load, F(1, 116) = 17.34, p &lt; .001</t>
  </si>
  <si>
    <t>https://osf.io/6vsc4</t>
  </si>
  <si>
    <t>osc201569_1</t>
  </si>
  <si>
    <t>osc201569</t>
  </si>
  <si>
    <t>Sullivan, Roksana</t>
  </si>
  <si>
    <t>I'm not sure which way is better to report the effects in this row [Luke: chose this row due to proportions reported as "NA" instead of test statistics]</t>
  </si>
  <si>
    <t>Tracy, J.L., &amp; Robins, R.W. (2008). The nonverbal expression of pride: Evidence for cross-cultural recognition. Journal of Personality and Social Psychology, 94(3), 516-530.</t>
  </si>
  <si>
    <t>10.1037/0022-3514.94.3.516</t>
  </si>
  <si>
    <t>10.1037--0022-3514.94.3.516.pdf</t>
  </si>
  <si>
    <t>Sullivan, G. B. (2023, September 28). Replication of Tracy and Robins (2008, JPSP, Exp 4). Retrieved from osf.io/qthf2</t>
  </si>
  <si>
    <t>The Nonverbal Expression of Pride:</t>
  </si>
  <si>
    <t>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</si>
  <si>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The nonverbal expression of pride: Evidence for cross-cultural recognition.</t>
  </si>
  <si>
    <t>"On the basis of binomial tests, recognition rates for all six pride expressions (M 78%, range 70%–87%) were significantly greater than chance (p .05), with chance set at 33% (see Figure 6 for recognition rates by target)."</t>
  </si>
  <si>
    <t>Av. Proportion = 0.78</t>
  </si>
  <si>
    <t>Av. Proportion = 0.77</t>
  </si>
  <si>
    <t>https://osf.io/ty9xh</t>
  </si>
  <si>
    <t>osc201569_a</t>
  </si>
  <si>
    <t>1. There were 2 additional links to OSF: https://osf.io/6c5kp, https://osf.io/f2gru
2. The values for effect size are given in order to calculate Cohen's h for binomial test: observed and hypothesized proportion (h = 0.944 and 0.914)</t>
  </si>
  <si>
    <t>Pride, self-conscious emotion, cross-cultural, universal, emotion recognition</t>
  </si>
  <si>
    <t>Participants recognized conveyed emotions as pride at an above chance level, no matter what culture the target represented</t>
  </si>
  <si>
    <t>On the basis of binomial tests, recognition rates for all six pride expressions (M = 78%, range = 70%–87%) were significantly greater than chance (p &lt; .05), with chance set at 33% (see Figure 6 for recognition rates by target)</t>
  </si>
  <si>
    <t>Observed proportion = 78%, hypothesized proportion = 33%</t>
  </si>
  <si>
    <t>Observed proportion = 77%, hypothesized proportion = 33%</t>
  </si>
  <si>
    <t>osc20157_1</t>
  </si>
  <si>
    <t>osc20157</t>
  </si>
  <si>
    <t>Kleinberg, Roksana</t>
  </si>
  <si>
    <t>For original study, I coded directly from original study as could not find values reported in OSC 2015 table</t>
  </si>
  <si>
    <t>Beaman, C.P., Neath, I., &amp; Suprenant, A.M. (2008). Modeling Distributions of Immediate Memory Effects: No Strategies Needed? Journal of Experimental Psychology: LMC, 34 (1), 219 - 239.</t>
  </si>
  <si>
    <t>10.1037/0278-7393.34.1.219</t>
  </si>
  <si>
    <t>10.1037--0278-7393.34.1.219.pdf</t>
  </si>
  <si>
    <t>Kleinberg, B., &amp; Kunkels, Y. K. (2023, September 28). Replication of Beaman, Neath, &amp; Suprenant (2008, JEP:LMC, Experiment 2). Retrieved from osf.io/6n3bm</t>
  </si>
  <si>
    <t>Modeling Distributions of Immediate Memory Effects</t>
  </si>
  <si>
    <t>Attention, Humans, Individuality, Memory, Short-Term, Models, Statistical, Phonetics, Psychomotor Performance, Semantics, Serial Learning, Verbal Learning</t>
  </si>
  <si>
    <t>Participants remembered the order of words better when the presented word lists contained only short words compared to lists that only contained long words.</t>
  </si>
  <si>
    <t>"Participants correctly recalled in order more short words (.48) than long words (.40), indicating that the word-length manipulation was successful, as confirmed by ANOVA, F(1, 99) 103.7, MSE 9.30, p .05."</t>
  </si>
  <si>
    <t>F(1,99) = 103.7</t>
  </si>
  <si>
    <t>t(14) = 0.496</t>
  </si>
  <si>
    <t>https://osf.io/q7hm3</t>
  </si>
  <si>
    <t xml:space="preserve">1. In the RPP table there is a statement about t-test, however, in the original paper authors report ANOVA. I put the value like in the original study. 
2. In the RPP table the Cohen's d is reported. However, it is not stated in the replication report and calculation of the ES in "ES calculations" page provides different result. I reported the calculated values. </t>
  </si>
  <si>
    <t>This effect size was not found directly in the replication paper</t>
  </si>
  <si>
    <t>Word Length Effect</t>
  </si>
  <si>
    <t>Participants correctly recalled in order more short words (.48) than long words (.40), indicating that the word-length manipulation was successful, as confirmed by ANOVA, F(1, 99) = 103.7, MSE = 9.30, p &lt; .05. The mean WLE was .16 (lower quartile = .060; median = .158; upper quartile = .284; SD = .162; range = -.30 to .55), and the distribution did not differ from normal (Kolmogorov–Smirnov Z = 0.428, ns)</t>
  </si>
  <si>
    <t>F(1, 99) = 103.7</t>
  </si>
  <si>
    <t>https://osf.io/q7hm4</t>
  </si>
  <si>
    <t>osc201571_1</t>
  </si>
  <si>
    <t>osc201571</t>
  </si>
  <si>
    <t>KE Stanovich, RF West (2008). On the relative independence of thinking biases and cognitive ability. Journal of Personality and Social Psychology, 94(4):672-95. doi: 10.1037/0022-3514.94.4.672.</t>
  </si>
  <si>
    <t>10.1037/0022-3514.94.4.672</t>
  </si>
  <si>
    <t>10.1037--0022-3514.94.4.672.pdf</t>
  </si>
  <si>
    <t>Baranski, E. (2023, September 28). Replication of Stanovich and West (2008, JPSP 94(4), Exp. 8). Retrieved from osf.io/7ux8p</t>
  </si>
  <si>
    <t>Thinking bias</t>
  </si>
  <si>
    <t>Adolescent, Adult, Aptitude, Cognition, Culture, Decision Making, Female, Humans, Judgment, Male, Probability Learning, Problem Solving, Thinking</t>
  </si>
  <si>
    <t>Participants who answered correctly were more often of higher cognitive ability (measured via SAT scores)</t>
  </si>
  <si>
    <t>"Partitioning the sample somewhat differently, we found that the mean SAT score (1214, SD 96) of the group answering correctly was significantly higher than the mean SAT score (1163, SD 106) of those giving an incorrect answer, t(373) 4.40, p .001, Cohen’s d 0.493."</t>
  </si>
  <si>
    <t>https://osf.io/7bnfp</t>
  </si>
  <si>
    <t>osc201571_b</t>
  </si>
  <si>
    <t xml:space="preserve">1. The second OSF link: https://osf.io/dwr2m
2. In my opinion the Discipline is more about "Differential Psychology", however, in RPP table it is "Social", thus I leave it to be along with the RPP table. </t>
  </si>
  <si>
    <t>Thinking biases, heuristics and biases, intelligence, cognitive ability</t>
  </si>
  <si>
    <t>osc201572_1</t>
  </si>
  <si>
    <t>osc201572</t>
  </si>
  <si>
    <t>Lemm, Roksana</t>
  </si>
  <si>
    <t>1. There is also the second OSF link: https://osf.io/2kryw</t>
  </si>
  <si>
    <t>Blankenship, K. L., &amp; Wegener, D. T. (2008). Opening the mind to close it: Considering a message in light of important values increases message processing and later resistance to change. Journal of Personality and Social Psychology, 94, 196-213.</t>
  </si>
  <si>
    <t>5a</t>
  </si>
  <si>
    <t>10.1037--0022-3514.94.2.94.2.196.pdf</t>
  </si>
  <si>
    <t>Lemm, K. M. (2023, September 28). Replication of Blankenship &amp; Wegener (2008, JPSP, Study 5A). Retrieved from osf.io/2gx4k</t>
  </si>
  <si>
    <t>Value- driven message processing</t>
  </si>
  <si>
    <t>Attitude, Cognition, Humans, Mental Processes, Persuasive Communication, Thinking</t>
  </si>
  <si>
    <t>People who focus on important values in persuasive messages are more sensitive to argument quality compared to people who focus on unimportant values</t>
  </si>
  <si>
    <t>"For both studies, the attitude measure was submitted to a 2 (value: important vs. unimportant) 2 (argument quality: strong vs. weak) ANOVA. The predicted Value Argument Quality interaction was significant for Study 5A, F(1, 257) 11.58, p .002, and Study 5B, F(1, 120) 6.01, p .017 (see Table 3)."</t>
  </si>
  <si>
    <t>https://osf.io/kg2x4</t>
  </si>
  <si>
    <t>osc201572_a</t>
  </si>
  <si>
    <t>Values, information processing, resistance to persuasion, message, communication, attitude</t>
  </si>
  <si>
    <t>The predicted Value X Argument Quality interaction was significant for Study 5A, F(1, 257) = 11.58, p = .002</t>
  </si>
  <si>
    <t>https://osf.io/kg2x5</t>
  </si>
  <si>
    <t>osc201573_1</t>
  </si>
  <si>
    <t>osc201573</t>
  </si>
  <si>
    <t>Motyl, Roksana</t>
  </si>
  <si>
    <t>In replication paper, X^2(1, N=120) = 4.80 was reported too but I coded phi as it is more suitable for effect size. However, not sure if I coded the type correctly.</t>
  </si>
  <si>
    <t>Morrison, Kimberly Rios, and Dale T. Miller. "Distinguishing between silent and vocal minorities: Not all deviants feel marginal." Journal of Personality and Social Psychology 94.5 (2008): 871</t>
  </si>
  <si>
    <t>10.1037/0022-3514.94.5.871</t>
  </si>
  <si>
    <t>10.1037--0022-3514.94.5.871.pdf</t>
  </si>
  <si>
    <t>Motyl, M., &amp; Nosek, B. A. (2023, September 28). Replication of Morrison &amp; Miller (2008, JPSP, Study 3). Retrieved from osf.io/nhwv5</t>
  </si>
  <si>
    <t>Minority Deviance</t>
  </si>
  <si>
    <t>Conflict (Psychology), Culture, Female, Group Processes, Humans, Individuality, Male, Motivation, Personal Satisfaction, Social Conformity, Social Dominance, Social Identification</t>
  </si>
  <si>
    <t>Distinguishing between silent and vocal minorities: Not all deviants feel marginal.</t>
  </si>
  <si>
    <t>"However, the Democratic-to-Republican sticker ratio was significantly lower than the Democratic-to-Republican registered voter ratio in San Diego County, χ²(1, N = 37) = 3.85, p = .05 (see Table 4). That is, there were disproportionately more descriptive deviant (Republican) stickers than prescriptive deviant (Democratic) stickers."</t>
  </si>
  <si>
    <t>X^2(1, N=37) = 3.85</t>
  </si>
  <si>
    <t>1. The second OSF link: https://osf.io/hctz9
2. The Effect is also "Social deviance"
3. The effect size of replication is Phi
4. There are four different districts in the replication. Each of them can be considered as separete replication</t>
  </si>
  <si>
    <t>Social influence</t>
  </si>
  <si>
    <t>Minorities, deviance, social norms</t>
  </si>
  <si>
    <t>There were disproportionately more descriptive deviant (Republican) stickers than prescriptive deviant (Democratic) stickers in more Republician location (second attempt)</t>
  </si>
  <si>
    <t>However, the Democratic-to-Republican sticker ratio was significantly lower than the Democratic-to-Republican registered voter ratio in San Diego County, chi-squared(1, N = 37) = 3.85, p &lt; .05 (see Table 4)</t>
  </si>
  <si>
    <t>X2(1, N = 37) = 3.85</t>
  </si>
  <si>
    <t>https://osf.io/jhn4g</t>
  </si>
  <si>
    <t>osc201577_1</t>
  </si>
  <si>
    <t>osc201577</t>
  </si>
  <si>
    <t>Kidwell, Roksana</t>
  </si>
  <si>
    <t>In the replication paper,  β hat  = 0.4695</t>
  </si>
  <si>
    <t>Koo, M., &amp; Fishbach, A. (2008). Dynamics of self-regulation: How (un)accomplished goal actions affect motivation. Journal of Personality and Social Psychology, 94(2), 183-195.</t>
  </si>
  <si>
    <t>10.1037/0022-3514.94.2.183</t>
  </si>
  <si>
    <t>10.1037--0022-3514.94.2.183.pdf</t>
  </si>
  <si>
    <t>Kidwell, M., &amp; Dodson, G. T. (2016, August 19). Replication of M Koo, A Fishbach (2008, JPSP 94(2), Exp. 4). Retrieved from osf.io/nr7d9</t>
  </si>
  <si>
    <t>osf_68m2c.pdf</t>
  </si>
  <si>
    <t>The replication paper state "Given the low number of observations, the results of this replication are likely unreliable. "</t>
  </si>
  <si>
    <t>(Un)accomplished Goal Action Effects on Motivation</t>
  </si>
  <si>
    <t>Adolescent, Adult, Aged, Attitude, Charities [economics], Female, Fund Raising [ethics], Goals, Humans, Male, Middle Aged, Motivation, Social Control, Informal</t>
  </si>
  <si>
    <t>Participants from the hot list (certain commitment) donated more money in the to-go condition than did participants in the to-date condition</t>
  </si>
  <si>
    <t>"In support of the hypothesis, this ANOVA yielded the predicted Commitment Focus interaction, F(1, 242) =10.47, p &lt;.01"</t>
  </si>
  <si>
    <t>F(1, 242) = 10.47</t>
  </si>
  <si>
    <t>https://osf.io/7czwd</t>
  </si>
  <si>
    <t>osc201577_a</t>
  </si>
  <si>
    <t>1. Authors stated that the response rate was very low (approximetly 0%), which means that these results are effectively un-interpretable. The replication fialed.</t>
  </si>
  <si>
    <t>Very small response rate (~0%)</t>
  </si>
  <si>
    <t>Goals, self-regulation, motivation, commitment, progress, charities, fund raising, social control</t>
  </si>
  <si>
    <t>In support of the hypothesis, this ANOVA yielded the predicted Commitment × Focus interaction, F(1,242) = 10.47, p &lt; .01</t>
  </si>
  <si>
    <t>osc20158_1</t>
  </si>
  <si>
    <t>osc20158</t>
  </si>
  <si>
    <t>Calhoun Sauls, Roksana</t>
  </si>
  <si>
    <t>Dodson, C.S., Darragh, J., &amp; Williams, A. (2008). Stereotypes and retrieval-provoked illusory source recollections. Journal of Experimental Psychology: Learning, Memory, and Cognition, 34(3), 460-477.</t>
  </si>
  <si>
    <t>10.1037/0278-7393.34.3.460</t>
  </si>
  <si>
    <t>10.1037--0278-7393.34.3.460.pdf</t>
  </si>
  <si>
    <t>Calhoun-Sauls, A. (2023, September 28). Replication of CS Dodson, J Darragh, A Williams (2008, JEPLMC 34(3), Exp. 3). Retrieved from osf.io/c5pbg</t>
  </si>
  <si>
    <t>Illusory Source Recollections</t>
  </si>
  <si>
    <t>Association Learning, Attention, Awareness, Humans, Illusions [psychology], Lawyers [psychology], Mental Recall, Physicians [psychology], Reading, Set (Psychology), Social Perception, Stereotyping</t>
  </si>
  <si>
    <t>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</si>
  <si>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"There was also a three-way interaction, F(1, 37) = 17.03, MSE = .033, p &lt; .001, η² = .32, but no other significant effects (all Fs &lt; 1.13)."</t>
  </si>
  <si>
    <t>F(1, 31) = .384</t>
  </si>
  <si>
    <t>https://osf.io/nx6dr</t>
  </si>
  <si>
    <t>1. Two more OSF links: https://osf.io/49xea, https://osf.io/24d7b</t>
  </si>
  <si>
    <t>Illusory recollections</t>
  </si>
  <si>
    <t>Source memory, stereotypes, remember, recollection, false memory</t>
  </si>
  <si>
    <t>There was also a three-way interaction, F(1, 37) = 17.03, MSE = .033, p &lt; .001, η² = .32, but no other significant effects (all Fs &lt; 1.13)</t>
  </si>
  <si>
    <t>F(1, 31) = 0.384</t>
  </si>
  <si>
    <t>osc201580_1</t>
  </si>
  <si>
    <t>osc201580</t>
  </si>
  <si>
    <t>Lane, Roksana</t>
  </si>
  <si>
    <r>
      <rPr>
        <rFont val="Arial"/>
      </rPr>
      <t xml:space="preserve">Link to original paper is wrong, I used : </t>
    </r>
    <r>
      <rPr>
        <rFont val="Arial"/>
        <color rgb="FF1155CC"/>
        <u/>
      </rPr>
      <t>https://kops.uni-konstanz.de/server/api/core/bitstreams/f8cf3efc-7de6-49c4-8ff8-ce1e1a9b6892/content</t>
    </r>
  </si>
  <si>
    <t>MD Henderson, Y de Liver, PM Gollwitzer (2008). The effects of an implemental mind-set on attitude strength. Journal of Personality and Social Psychology, 94.3: 396-411.</t>
  </si>
  <si>
    <t>10.1037--0022-3514.94.3.396.pdf</t>
  </si>
  <si>
    <t>Lane, K. A., &amp; Gazarian, D. (2016, August 19). Replication of Henderson, de Liver, &amp; Gollwitzer (2008, JPSP, Expt. 5). Retrieved from osf.io/79dey</t>
  </si>
  <si>
    <t>The Effects of an Implemental Mind-Set on Attitude Strengt</t>
  </si>
  <si>
    <t>Adult, Attitude, Behavior [physiology], Decision Making [physiology], Female, Goals, Humans, Self Concept, Set (Psychology), Students [psychology], Task Performance and Analysis</t>
  </si>
  <si>
    <t>Participants in the one-sided focus condition had less ambivalence than participants in the two-sided focus condition.</t>
  </si>
  <si>
    <t>"As expected, the condition effect was significant, F(2, 43) = 3.36, p &lt; .05."</t>
  </si>
  <si>
    <t>F(2, 43) = 3.36</t>
  </si>
  <si>
    <t>F (2, 67) = 1.70</t>
  </si>
  <si>
    <t>https://osf.io/45vwm</t>
  </si>
  <si>
    <t>osc201580_a</t>
  </si>
  <si>
    <t>1. An updated file was uploaded for original study (in the e-mail there is  a link to the corresponding folder)</t>
  </si>
  <si>
    <t>Implemental Mind-Set</t>
  </si>
  <si>
    <t>Extremity, ambivalence, accessibility, mind-set, attitude strength</t>
  </si>
  <si>
    <t>Participants’ ambivalence score was entered into an ANOVA, with mind-set condition (implemental one-sided, implemental two-sided, and neutral) as a between-participant variable. As expected, the condition effect was significant, F(2, 43) = 3.36, p &lt; .05</t>
  </si>
  <si>
    <t>osc201581_1</t>
  </si>
  <si>
    <t>osc201581</t>
  </si>
  <si>
    <t>Gilbert, Roksana</t>
  </si>
  <si>
    <t>1) I coded p-value from original paper, the OSC 2015 table says p&lt;.05 2) Conceptual as story line changed</t>
  </si>
  <si>
    <t>Shnabel, Nurit, and Arie Nadler. "A needs-based model of reconciliation: satisfying the differential emotional needs of victim and perpetrator as a key to promoting reconciliation." Journal of personality and social psychology 94.1 (2008): 116.</t>
  </si>
  <si>
    <t>10.1037/0022-3514.94.1.116</t>
  </si>
  <si>
    <t>10.1037--0022-3514.94.1.116.pdf</t>
  </si>
  <si>
    <t>Gilbert, E. A. (2023, September 28). Replication of Shnabel &amp; Nadler (2008, JPSP, Study 4). Retrieved from osf.io/xse7q</t>
  </si>
  <si>
    <t>A Needs-Based Model of Reconciliation</t>
  </si>
  <si>
    <t>Adaptation, Psychological, Adult, Analysis of Variance, Conflict (Psychology), Cooperative Behavior, Emotions, Female, Humans, Israel, Male, Models, Psychological, Negotiating, Power (Psychology), Role, Social Perception</t>
  </si>
  <si>
    <t>After condition a message of acceptance was more effective in promoting reconciliation among perpetrators, whereas a message of empowerment was more effective in promoting reconciliation among victims</t>
  </si>
  <si>
    <t>"In line with our predictions, although the Message × Role interaction was nonsignificant in the before condition, F(1, 90) = .00, ns, η² = .00, it was significant in the after condition, F(1, 90) = 6.98, p &lt; .01, η² = .07."</t>
  </si>
  <si>
    <t>F(1, 137) = 1.43</t>
  </si>
  <si>
    <t>https://osf.io/3m7qw</t>
  </si>
  <si>
    <t>osc201581_a</t>
  </si>
  <si>
    <t>1. There is another OSF link with the same files in it: https://osf.io/tue9g, https://osf.io/9bsqn</t>
  </si>
  <si>
    <t>The other coder correlates with RPP table too</t>
  </si>
  <si>
    <t>Conflict resolution</t>
  </si>
  <si>
    <t>reconciliation, conflict resolution, emotional needs, victims, perpetrators, adaptation, conflict, cooperative behavior, emotions, negotiating, social acceptance</t>
  </si>
  <si>
    <t>In line with our predictions, although the Message × Role interaction was nonsignificant in the before condition, F(1,90) = .00, ns, η2 = .00, it was significant in the after condition, F(1,90) = 6.98, p &lt; .01, η2 = .07</t>
  </si>
  <si>
    <t>F (1, 139) = 5.28</t>
  </si>
  <si>
    <t>osc201582_1</t>
  </si>
  <si>
    <t>osc201582</t>
  </si>
  <si>
    <t>Eggleston, Roksana</t>
  </si>
  <si>
    <t>This one aligns more with RPP table</t>
  </si>
  <si>
    <t>Rule, N., &amp; Ambady, N. (2008). The face of success: Inferences from chief executive officers' appearance predict company profits. Psychological Science 19(2), 109-111.</t>
  </si>
  <si>
    <t>10.1111/j.1467-9280.2008.02054.x</t>
  </si>
  <si>
    <t>10.1111--j.1467-9280.2008.02054.x.pdf</t>
  </si>
  <si>
    <t>Talhelm, T., Eggleston, C., &amp; Lee, M. (2023, September 28). Replication of Rule &amp; Ambady (2008, PS, Study 1). Retrieved from osf.io/r5gpv</t>
  </si>
  <si>
    <t>Appearance inferences</t>
  </si>
  <si>
    <t>Adolescent, Adult, Awareness, Cues, Face, Female, Hair, Heterosexuality [psychology], Homosexuality, Male [psychology], Humans, Judgment, Male, Nonverbal Communication, Sexual Behavior, Social Perception, Stereotyping, Young Adult</t>
  </si>
  <si>
    <t>Composite ratings of both power and leadership correlated with company profits, even after controlling for CEO age, CEO attractiveness, and the affect CEOs were displaying in the pictures</t>
  </si>
  <si>
    <t>"Further, ratings of CEO leadership were also strongly related to company profits, r(41) = .30, p &lt; .05."</t>
  </si>
  <si>
    <t>https://osf.io/3uw95</t>
  </si>
  <si>
    <t>Heuristic, inference, subjective predictor, objective performance, personality traits</t>
  </si>
  <si>
    <t>Ratings of power-related traits from CEOs’ faces, after controlling for age, affect, and attractiveness, were significantly related to company profits, r(41) = .36, p &lt; .025.</t>
  </si>
  <si>
    <t>r = 0.30</t>
  </si>
  <si>
    <t>r = 0.27</t>
  </si>
  <si>
    <t>https://osf.io/3uw96</t>
  </si>
  <si>
    <t>osc201584_1</t>
  </si>
  <si>
    <t>osc201584</t>
  </si>
  <si>
    <t>Ratliff, Roksana</t>
  </si>
  <si>
    <t>I agree this is more close than conceptual</t>
  </si>
  <si>
    <t>P Fischer, S Schulz-Hardt, D Frey (2008). Selective exposure and information quantity: how different information quantities moderate decision makers' preference for consistent and inconsistent information. Journal of Personality and Social Psychology, 94.2: 231-244.</t>
  </si>
  <si>
    <t>10.1037--0022-3514.94.2.94.2.231.pdf</t>
  </si>
  <si>
    <t>Ratliff, K. A. (2023, September 28). Replication of Fischer et al. (2008, JPSP, Study 4). Retrieved from osf.io/v8vft</t>
  </si>
  <si>
    <t>Selective Exposure to Information</t>
  </si>
  <si>
    <t>Adolescent, Adult, Choice Behavior, Decision Making, Female, Humans, Male, Mental Processes, Middle Aged</t>
  </si>
  <si>
    <t>The amount of information influence the decision among consistent and inconsistent conditions</t>
  </si>
  <si>
    <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</si>
  <si>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X2(1, N=52) = 13.18</t>
  </si>
  <si>
    <t>X2(1, N=150) = 7.10</t>
  </si>
  <si>
    <t>https://osf.io/cy9v3</t>
  </si>
  <si>
    <t>Ratliff</t>
  </si>
  <si>
    <t>1. The replication was conducted online</t>
  </si>
  <si>
    <t>Selective information exposure</t>
  </si>
  <si>
    <t>Information seeking, selective exposure, information quantity, selection criterion, information direction</t>
  </si>
  <si>
    <t>Given no induction, the analysis revealed a significant interaction between the factors Information Quantity and Information Selection, X2(1,N=52) = 13.18, p &lt; .001, indicating that participants in the 2-information condition selected more inconsistent (69%) than consistent pieces of information (31%), X2(1,N=26) = 3.85, p &lt; .05, whereas participants in the 10-information condition selected significantly more consistent (81%) than inconsistent pieces of information (19%), X2(1,N=26) = 9.85, p &lt; .003</t>
  </si>
  <si>
    <t>X2(1, N = 150) = 7.10</t>
  </si>
  <si>
    <t>https://osf.io/cy9v4</t>
  </si>
  <si>
    <t>osc201586_1</t>
  </si>
  <si>
    <t>osc201586</t>
  </si>
  <si>
    <t>Galliani, Roksana</t>
  </si>
  <si>
    <r>
      <rPr>
        <rFont val="Arial"/>
      </rPr>
      <t xml:space="preserve">1) The link to original paper is wrong, I coded from </t>
    </r>
    <r>
      <rPr>
        <rFont val="Arial"/>
        <color rgb="FF1155CC"/>
        <u/>
      </rPr>
      <t>http://www.communicationcache.com/uploads/1/0/8/8/10887248/self-regulation_and_selective_exposure-_the_impact_of_depleted_self-regulation_resources_on_confirmatory_information_processing.pdf</t>
    </r>
    <r>
      <rPr>
        <rFont val="Arial"/>
      </rPr>
      <t xml:space="preserve"> 2) I coded directly from paper as there was discrepancy in OSC 2015 table- "The  overall  effect  was not significant, F(2,  136)  = .36, p=  .70, η2=.01."</t>
    </r>
  </si>
  <si>
    <t>Fischer, P., Greitemeyer, T., &amp; Frey, D. (2008). Self-regulation and selective exposure: The impact of depleted self-regulation resources on confirmatory information processing. Journal of Personality and Social Psychology, 94(3), 382-395.</t>
  </si>
  <si>
    <t>10.1037/0022-3514.94.3.382</t>
  </si>
  <si>
    <t>10.1037--0022-3514.94.3.382.pdf</t>
  </si>
  <si>
    <t>Galliani, E. M. (2023, September 28). Replication of Fischer, Greitemeyer, &amp; Frey (2008, JPSP, Study 2). Retrieved from osf.io/j8bpa</t>
  </si>
  <si>
    <t>Self-Regulation and Selective Exposure</t>
  </si>
  <si>
    <t>Adolescent, Adult, Cognition [physiology], Decision Making [physiology], Ego, Female, Humans, Internal-External Control, Male, Middle Aged, Motivation, Self Concept, Students [psychology]</t>
  </si>
  <si>
    <t>Self-regulation and selective exposure: The impact of depleted self-regulation resources on confirmatory information processing.</t>
  </si>
  <si>
    <t>"A one-way ANOVA with the experimental condition (low depletion vs. high depletion vs. ego threat) as the independent variable and confirmatory information processing as the dependent variable revealed a significant overall effect, F(2, 82) = 4.05, p = .02, η² = .09."</t>
  </si>
  <si>
    <t>osc201586_a</t>
  </si>
  <si>
    <t>1. There are differences in the values from the RPP table and from the replication report. I marched the results from original study and replication
2. An updated file was uploaded for original study (in the e-mail there is  a link to the corresponding folder)</t>
  </si>
  <si>
    <t>Self-Regulation</t>
  </si>
  <si>
    <t>Self-regulation, depletion of self-regulation resources, confirmatory information processing, selective exposure, decision making, ego, internal-external control, , motivation, self concept</t>
  </si>
  <si>
    <t>Reduced self regulation resources are associated with increased biases in confirmatory information processing</t>
  </si>
  <si>
    <t>https://osf.io/e35y2</t>
  </si>
  <si>
    <t>osc201587_1</t>
  </si>
  <si>
    <t>osc201587</t>
  </si>
  <si>
    <t xml:space="preserve">Kelso, Roksana </t>
  </si>
  <si>
    <t>Coneptual as mutliple experimental materials were changed</t>
  </si>
  <si>
    <t>P.A. Goff, C.M. Steele, &amp; P.G. Davies, 2008. The space between us: Stereotype threat and distance in interracial contexts. Journal of Personality and Social Psychology, 94, 91-107.</t>
  </si>
  <si>
    <t>10.1037/0022-3514.94.1.91</t>
  </si>
  <si>
    <t>10.1037--0022-3514.94.1.91.pdf</t>
  </si>
  <si>
    <t>Kelso, K., Gampa, A., Wright, E. C., Spencer, N. B., &amp; Welsh, A. (2023, September 28). Replication of Goff, Steele, and Davies (JPSP, 2008, Study 4). Retrieved from osf.io/abxcj</t>
  </si>
  <si>
    <t>Stereotype threat in racial distancing</t>
  </si>
  <si>
    <t>African Americans, Analysis of Variance, European Continental Ancestry Group [psychology], Humans, Male, Prejudice, Social Distance, Stereotyping, United States</t>
  </si>
  <si>
    <t>When learning goals were absent, participants sat closer to one another when they discussed love and relationships than when they discussed racial profiling</t>
  </si>
  <si>
    <t>"However, as shown in Figure 4, this main effect was qualified by the predicted interaction, F(1, 51) = 9.46, p = .01, η² = .16."</t>
  </si>
  <si>
    <t>F(1, 47)= .008</t>
  </si>
  <si>
    <t>https://osf.io/pktma</t>
  </si>
  <si>
    <t>osc201587_a</t>
  </si>
  <si>
    <t>1. in Effect it can be either Racial Distancing (the phenomenon of interest) or the stepeotype threat theory (a framework)
2, The experimental procedure was slightly changed (more distracting topics, the time of the manipulation instruction)</t>
  </si>
  <si>
    <t>Racial Distancing</t>
  </si>
  <si>
    <t>Stereotype threat, racial bias, racial discrimination, social distance, prejudice</t>
  </si>
  <si>
    <t>However, [...] this main effect was qualified by the predicted interaction, F(1, 51) = 9.46, p &lt; .01, eta-squared = .16</t>
  </si>
  <si>
    <t>F(1, 47) = 0.008</t>
  </si>
  <si>
    <t>osc201589_1</t>
  </si>
  <si>
    <t>osc201589</t>
  </si>
  <si>
    <t xml:space="preserve">Selterman, Roksana </t>
  </si>
  <si>
    <t>For original, I coded directly from paper but OSC 2015 table states r = .04. For replication paper, I coded directly from OSC 2015 table as couldn't find values directly from paper</t>
  </si>
  <si>
    <t>Coded the overall sig. of interaction in Table 2</t>
  </si>
  <si>
    <t>Eastwick, P. W., &amp; Finkel, E. J. (2008). Sex differences in mate preferences revisited: Do people know what they initially desire in a romantic partner?. Journal Of Personality And Social Psychology, 94(2), 245-264. doi:10.1037/0022-3514.94.2.245</t>
  </si>
  <si>
    <t>10.1037/0022-3514.94.2.245</t>
  </si>
  <si>
    <t>10.1037--0022-3514.94.2.245.pdf</t>
  </si>
  <si>
    <t>Selterman, D. F., Chagnon, E., &amp; Mackinnon, S. P. (2023, September 28). Replication of Eastwick &amp; Finkel (2008, JPSP). Retrieved from osf.io/ng6cc</t>
  </si>
  <si>
    <t>Sex Differences in Mate Preferences</t>
  </si>
  <si>
    <t>Adult, Choice Behavior, Empathy, Female, Humans, Love, Male, Marriage [psychology], Questionnaires, Sexual Behavior [psychology], Sex differences, mate preferences, speed dating, empathy gap, a priori theories, love, partner, sexual behavior, physical attractiveness</t>
  </si>
  <si>
    <t>Sex differences in mate preferences revisited: Do people know what they initially desire in a romantic partner?</t>
  </si>
  <si>
    <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</si>
  <si>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X2(1) = 0.66</t>
  </si>
  <si>
    <t>https://osf.io/zdw87</t>
  </si>
  <si>
    <t>Roksana, LR</t>
  </si>
  <si>
    <t>osc201589_a</t>
  </si>
  <si>
    <t>1. Several minor changes were made to the procedure (analyzing warmth, Y/N answers to several questions and so on)
2. It seems that values in RPP table are not exactly the values reported in the perlication report. I would suggest checking one more time, especially p value. I consider we need an overall r between male and female 
3. I am not sure in the results of this study. Moreover, the results seems to be not-significant, but the alpha level is not provided. Thus I put NA to p-value Column</t>
  </si>
  <si>
    <t>Please see coder notes for reasons of help needed status</t>
  </si>
  <si>
    <t>Sex Differences</t>
  </si>
  <si>
    <t>Sex differences, mate preferences, speed dating, empathy gap, a priori theories, love, partner, sexual behavior, physical attractiveness</t>
  </si>
  <si>
    <t>There are no significant sex differences correllation for relationship initiation variables with ratings of earning prospects</t>
  </si>
  <si>
    <t>Again, there were no significant sex differences in these overall associations; the difference between the male and female rs were again descriptively very small (r= -.04, p = .480, and r = .02, p = .825, for speed-dating partners/matches and write-ins, respectively), with one trending in the male direction and one trending in the female direction.</t>
  </si>
  <si>
    <t>osc20159_1</t>
  </si>
  <si>
    <t>osc20159</t>
  </si>
  <si>
    <t>Miller, Roksana</t>
  </si>
  <si>
    <t>Daten nachtragen aus https://docs.google.com/document/d/1zSjSPR1akPN8Hr4mWJ2fjx1UxbIINGzkeArliyzpTY4/edit</t>
  </si>
  <si>
    <t>Weidemann, C.T., Huber, D.E., &amp; Shiffrin, R.M. (2008). Prime diagnosticity in short-term repetition priming: Is primed evidence discounted, even when it reliably indicates the correct answer? Journal of Experimental Psychology: Learning, Memory, and Cognition, 34(2), 257-281.</t>
  </si>
  <si>
    <t>10.1037/0278-7393.34.2.257</t>
  </si>
  <si>
    <t>10.1037--0278-7393.34.2.257.pdf</t>
  </si>
  <si>
    <t>Miller, J. K., PhD. (2023, September 28). Replication of Weidemann, Huber, and Shiffrin (2008, JEPLMC, Exp 4). Retrieved from osf.io/ne9dy</t>
  </si>
  <si>
    <t>There is no replication for this row neither on the OSC 2015 table or p35 replication links</t>
  </si>
  <si>
    <t>Attention, Choice Behavior, Color Perception, Data Interpretation, Statistical, Humans, Memory, Short-Term, Paired-Associate Learning, Reaction Time, Semantics</t>
  </si>
  <si>
    <t>Prime diagnosticity in short-term repetition priming: Is primed evidence discounted, even when it reliably indicates the correct answer?</t>
  </si>
  <si>
    <t>1. https://osf.io/ne9dy/registrations - there is no completed registrations of the project
2. No data of replication is provided both in RPP table and https://osf.io/ne9dy/
3. No data about science area is in RPP table. I consider "Cognitive psychology" to leave the cell empty as there is nothing</t>
  </si>
  <si>
    <t>There is no replication for this entry</t>
  </si>
  <si>
    <t>osc201593_1</t>
  </si>
  <si>
    <t>osc201593</t>
  </si>
  <si>
    <t>Sinclair, Roksana</t>
  </si>
  <si>
    <t>1)  For replication paper, I coded directly from OSC 2015 table as couldn't find values directly from paper 2) The link did not work to the original link so I coded from here: https://d1wqtxts1xzle7.cloudfront.net/39910353/Balancing_Connectedness_and_Self-Protect20151111-18769-1d4zy7l-libre.pdf?1447275943=&amp;response-content-disposition=inline%3B+filename%3DBalancing_connectedness_and_self_protect.pdf&amp;Expires=1738439435&amp;Signature=bGx-76VOMHegaIbkmV9BCGcYq59hXWTmeqi~6oowbYFoR1YA6mPF0PZoJJ7Xco9oC~90bMOGNSUbWgGtDteEiW4EzP0L3VyW53eWmdRGv0t1T9gXqSHLc9w9yV5rviHSQ1xkppz~V~BPBtpu4wCh62KuOoJjF64tiHmnrKAWNj9EjnaEf2VijqEyQm7qzkK20ERlnwC7jXWDyI-EMCg~J5SkBZhL2VoMKuKkNycB~ZwWH9SpTrsYUtneo6nlpSM1gLAbWqQmgrBrH-Et5Q2UB2RmXoY7eQLTcOghgXhI-ol16aj~b4DcMlODGa-3EF0iSxIBo5RZ~Tn2gVBUeu0SVg__&amp;Key-Pair-Id=APKAJLOHF5GGSLRBV4ZA</t>
  </si>
  <si>
    <t>Coded t = 1.51 from Table 1 in p.10 of the report because it corresponds most closely to the coded claim (DV = disregard, self-esteem * approach group)</t>
  </si>
  <si>
    <t>Murray, S.L., Derrick, J.L., Leder, S., &amp; Holmes, J.G. (2008). Balancing connectedness and self-protection goals in close relationships: A levels-of-processing perspective on risk regulation. Journal of Personality and Social Psychology, 94(3), 429-459.</t>
  </si>
  <si>
    <t>10.1037/0022-3514.94.3.429</t>
  </si>
  <si>
    <t>10.1037--0022-3514.94.3.429.pdf</t>
  </si>
  <si>
    <t>Sinclair, H. C., Goldberg, R. M., Wu, S., &amp; Smith, M. M. (2016, August 19). Replication of SL Murray, JL Derrick, S Leder, JG Holmes (2008, JPSP 94(3), Exp. 8). Retrieved from osf.io/cxmf6</t>
  </si>
  <si>
    <t>Self-protection in romantic relationships</t>
  </si>
  <si>
    <t>Adolescent, Adult, Conflict (Psychology), Courtship [psychology], Female, Goals, Humans, Intention, Interpersonal Relations, Male, Models, Psychological, Questionnaires, Rejection (Psychology), Risk Reduction Behavior, Self Concept, Students [psychology], Trust [psychology]</t>
  </si>
  <si>
    <t>Priming approach intensified the hurt and pain of partner rejection for low self-esteem people</t>
  </si>
  <si>
    <t>"When primed with approach goals, lows in the partner criticism condition believed their partner regarded them significantly more negatively than did controls, B = .59, sr2 = .07, t(83) = 3.05, p &lt; .01.)"</t>
  </si>
  <si>
    <t>t(68) = 1.51</t>
  </si>
  <si>
    <t>https://osf.io/t75e3</t>
  </si>
  <si>
    <t>osc201593_a</t>
  </si>
  <si>
    <t>1. There is a second link for OSF, but it is taged with "withdraw": https://osf.io/wys6d
2. I am not sure in the reported results of replication study. There is a mismatch with RPP table. 
3. The effect is either "relationship connectedness" or "self-esteem", I mostly think about the second  to be more descriptive
4. An updated file was uploaded for original study (in the e-mail there is  a link to the corresponding folder)</t>
  </si>
  <si>
    <t>Self-esteem</t>
  </si>
  <si>
    <t>Relationships, risk, connectedness, self-protection, interpersonal Relations, Rejection, Risk Reduction Behavior, Self Concept</t>
  </si>
  <si>
    <t>When primed with approach goals, lows in the partner criticism condition believed their partner regarded them significantly more negatively than did controls, β = .59, sr-square =.07, t(83) = 3.05, p &lt; .01</t>
  </si>
  <si>
    <t>osc201594_1</t>
  </si>
  <si>
    <t>osc201594</t>
  </si>
  <si>
    <t>Had to code from OSC 2015 table for the replication paper as unexpected server response message kept coming up for replication paper https://osf.io/mptb2</t>
  </si>
  <si>
    <t>Replication report was accessible and reported results match what has been entered in both cases</t>
  </si>
  <si>
    <t>McCrea, SM. (2008). Self-handicapping, excuse making, and counterfactual thinking: Consequences for self-esteem and future motivation. Journal of Personality and Social Psychology, 95(2), 274-292</t>
  </si>
  <si>
    <t>10.1037/0022-3514.95.2.274</t>
  </si>
  <si>
    <t>10.1037--0022-3514.95.2.274.pdf</t>
  </si>
  <si>
    <t>Chartier, C. R., &amp; Perna, O. K. (2023, September 28). Replication of SM McCrea (2008, JPSP 95(2), Exp. 5). Retrieved from osf.io/mua6d</t>
  </si>
  <si>
    <t>Counterfactual Thinking:</t>
  </si>
  <si>
    <t>Affect, Decision Making, Defense Mechanisms, Female, Humans, Internal-External Control, Male, Motivation, Self Concept, Social Responsibility, Thinking</t>
  </si>
  <si>
    <t>Considering counterfactuals about a self-handicap reduces motivation to improve on subsequent tasks</t>
  </si>
  <si>
    <t>Table 6, "Furthermore, as a proportion of items attempted, participants in the control condition outperformed those in the handicap-related counterfactual condition (see Table 6)."</t>
  </si>
  <si>
    <t>t(59)=2.325</t>
  </si>
  <si>
    <t>https://osf.io/2kjgz</t>
  </si>
  <si>
    <t>Direct Replication</t>
  </si>
  <si>
    <t>Affect</t>
  </si>
  <si>
    <t>Counterfactual thinking, self-handicapping, self-protection, motivation</t>
  </si>
  <si>
    <t>A proportion of items attempted, participants in the control condition outperformed those in the handicap-related counterfactual condition (see Table 6)</t>
  </si>
  <si>
    <t>t(59) = 2.325</t>
  </si>
  <si>
    <t>osc201597_1</t>
  </si>
  <si>
    <t>osc201597</t>
  </si>
  <si>
    <t>Schmidt, Roksana</t>
  </si>
  <si>
    <t>Purdie-Vaughns, V., Steele, C.M., Davies, P.G., Ditlmann, R., &amp; Crosby, J.R. (2008). Social identity contingencies: How diversity cues signal threat or safety for african americans in mainstream institutions. Journal of Personality and Social Psychology, 94(4), 615-630.</t>
  </si>
  <si>
    <t>10.1037/0022-3514.94.4.615</t>
  </si>
  <si>
    <t>10.1037--0022-3514.94.4.615.pdf</t>
  </si>
  <si>
    <t>Schmidt, K. (2023, September 28). Secondary Replication of V Purdie-Vaughns, CM Steele, PG Davies, R Ditlmann, JR Crosby (2008, JPSP 94(4), Exp. 3).</t>
  </si>
  <si>
    <t>10.17605/OSF.IO/ETG7C</t>
  </si>
  <si>
    <t>Social identity contingencies</t>
  </si>
  <si>
    <t>Adolescent, Adult, African Continental Ancestry Group [psychology], Cues, Cultural Diversity, Female, Hierarchy, Social, Humans, Judgment, Male, Organizational Culture, Prejudice, Rejection (Psychology), Social Identification, Social Values, Stereotyping, Trust</t>
  </si>
  <si>
    <t>Social identity contingencies: How diversity cues signal threat or safety for African Americans in mainstream institutions.</t>
  </si>
  <si>
    <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</si>
  <si>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F(1, 73) = 12.19</t>
  </si>
  <si>
    <t>osc201597_e</t>
  </si>
  <si>
    <t>1. Additional OSF link: https://osf.io/8nqsh
2. Several differences with the original study: online, not equal groups, another statistical analysis</t>
  </si>
  <si>
    <t>I agree that this is a conceptual</t>
  </si>
  <si>
    <t>Social identity</t>
  </si>
  <si>
    <t>Identity threat, African Americans, diversity, stigma</t>
  </si>
  <si>
    <t>For african american participants the fairness cue affected their racial identity, while for white participants it didn't</t>
  </si>
  <si>
    <t>https://osf.io/2r7nk</t>
  </si>
  <si>
    <t>q6tv8_1</t>
  </si>
  <si>
    <t>q6tv8</t>
  </si>
  <si>
    <t>2c</t>
  </si>
  <si>
    <t>Röseler, L., Bögler, H. L., Koßmann, L., Krueger, S., Bickenbach, S., Bühler, R., … Ponader, S. (2023, July 11). Results Report: Replication of Epley and Gilovich  (2006, Study 2c). https://doi.org/10.17605/OSF.IO/Q6TV8</t>
  </si>
  <si>
    <t>10.31234/osf.io/bgp3m</t>
  </si>
  <si>
    <t>https://doi.org/10.31234/osf.io/bgp3m</t>
  </si>
  <si>
    <t xml:space="preserve">The magnitude of adjustment-based anchoring is moderated by the cognitive load with high cognitive load leading to less adjustment from self-generated anchors
</t>
  </si>
  <si>
    <t>"In Study 2c, participants who were not cognitively busy provided estimates further from their self-generated anchor values (mean z score 5 0.14) than those who were cognitively encumbered (mean z score =_x0002_0.13), t(92) = 3.18, p &lt; .01, prep = .98, d = 0.66."</t>
  </si>
  <si>
    <t>https://osf.io/q6tv8</t>
  </si>
  <si>
    <r>
      <rPr>
        <color rgb="FF1155CC"/>
        <u/>
      </rPr>
      <t>https://doi.org/10.31234/osf.io/bgp3m</t>
    </r>
  </si>
  <si>
    <t>"There was a significant interaction between our manipulations (NFC, alcohol consumption, or busyness) and question type (self-generated or experimenter-provided anchor) [...] and a marginally significant interaction in Study 2c, F(1, 90) = 3.22, p = .08, prep = .84, eta-square = .03"</t>
  </si>
  <si>
    <t>1. Although Psychological Sciences is not present in the provided list, I have used cognitive psychology as a discipline as I found it more relevant relevant.</t>
  </si>
  <si>
    <r>
      <rPr>
        <color rgb="FF1155CC"/>
        <u/>
      </rPr>
      <t>https://doi.org/10.31234/osf.io/bgp3m</t>
    </r>
  </si>
  <si>
    <t>Close Replication</t>
  </si>
  <si>
    <t>Cognitively busy participants adjusted less from self-generated anchors than those not cognitively busy.</t>
  </si>
  <si>
    <t>"participants who were not cognitively busy provided estimates further from their self-generated anchor values (mean z score 5 0.14) than those who were cognitively encumbered (mean z score 5 􏰀0.13), t(92) 5 3.18, p &lt; .01, prep 5 .98, d 5 0.66."</t>
  </si>
  <si>
    <t>0.66</t>
  </si>
  <si>
    <t>0.215</t>
  </si>
  <si>
    <t>0.925</t>
  </si>
  <si>
    <t>https://osf.io/ktjc4/</t>
  </si>
  <si>
    <t>resciencex_01_1</t>
  </si>
  <si>
    <t>resciencex_01</t>
  </si>
  <si>
    <t>Croninger, R.G., Rice, J.K., Rathbun, A., &amp; Nishio, M.(2007).Teacher qualifications and early learning: Effects of certification, degree, and experience on first-grade student achievement.Economics of Education Review, 26(3), 312–324.http://doi.org/10.1016/j.econedurev.2005.05.008</t>
  </si>
  <si>
    <t>10.1016--j.econedurev.2005.05.008.pdf</t>
  </si>
  <si>
    <t>Renbarger, R., Sulak, T., &amp; Morgan, G. (2022). The Importance of Teacher Credentials for Early Achievement: A Replication of Croninger et al. (2007) Econ. Edu. Rev. ReScience X, 1(1). https://doi.org/10.5281/zenodo.6426882</t>
  </si>
  <si>
    <t>"This study aimed to replicate a study prior to recent teacher education reforms [...]"</t>
  </si>
  <si>
    <t>Relationships between teacher  qualifications and elementary student achievement</t>
  </si>
  <si>
    <t>I relied on the effects from the replication study, which were fully reported in the text. Unfortunately, no effect sizes or statistics were provided that you could directly use. Therefore, I extracted the statistics from the text and table, hoping that you can still work with them. These were multi-level analyses. Since the outcome always referred to the students, I indicated them as the sample size.</t>
  </si>
  <si>
    <t>ECLS-L, teacher certification, teacher qualifications, teacher quality, input output analysis, productivity</t>
  </si>
  <si>
    <t>[reading achievement: teacher reading methods course] Reading course ratio, b06;  -0.001 [Table 3]</t>
  </si>
  <si>
    <t>beta = -0.001</t>
  </si>
  <si>
    <t>gamma = -0.30, CI = -0.58, -0.01</t>
  </si>
  <si>
    <t>rtn9s_1</t>
  </si>
  <si>
    <t>rtn9s</t>
  </si>
  <si>
    <t>Sanja Djordjević, Hans IJzerman</t>
  </si>
  <si>
    <t>replaced DOI with the one from the SSRN website</t>
  </si>
  <si>
    <t>10.1111--j.1467-9280.2009.02426.x.pdf</t>
  </si>
  <si>
    <r>
      <rPr>
        <rFont val="Calibri"/>
        <sz val="11.0"/>
      </rPr>
      <t xml:space="preserve">Djordjević, S., &amp; IJzerman, H. (2015). Weight as an Embodiment of Importance: Replications and Extensions. </t>
    </r>
    <r>
      <rPr>
        <rFont val="Calibri"/>
        <color rgb="FF1155CC"/>
        <sz val="11.0"/>
        <u/>
      </rPr>
      <t>https://dx.doi.org/10.2139/ssrn.2586261</t>
    </r>
  </si>
  <si>
    <t>10.2139/ssrn.2586261</t>
  </si>
  <si>
    <t>weight, importance, judgements, decision-making</t>
  </si>
  <si>
    <t>importance of weight on having a voice in a decision-making procedure</t>
  </si>
  <si>
    <t>"revealed that participants in the heavy-clipboard ondition (M = 5.27, SD = 1.28) found it more im-portant that the committee listen to the students’ opinions than did participants in the light-clipboard condition (M = 4.21, SD 5 2.10), F(1, 49) = 4.33, p &lt; .05, prep 5 .92, Zp
2 5 .08"</t>
  </si>
  <si>
    <t>https://osf.io/rtn9s/</t>
  </si>
  <si>
    <t>Please review text after copying it and correct it (eg "=" gets copied as "5")</t>
  </si>
  <si>
    <t>Sanja Djordjević, Hans IJzerman, Jyoti Bhogal</t>
  </si>
  <si>
    <t>Djordjević, S., &amp; IJzerman, H. (2015, March 7). Weight as an Embodiment of Importance: Replications and Extensions. https://doi.org/10.17605/OSF.IO/RTN9S</t>
  </si>
  <si>
    <t>soscisubmission1_1</t>
  </si>
  <si>
    <t>soscisubmission1</t>
  </si>
  <si>
    <t>Röseler, Lukas, Roksana</t>
  </si>
  <si>
    <t xml:space="preserve">SAJ:
- Coder 1 miscoded main effect from Study 4 not Study 3. Original values checked to confirm this.
- Coder 2 correct in sample size having 1 pp removed (i.e. 105-1 = 104).
-Updated tags to include informaiton form both coders. 
- Added NA to empty cells for completeness. </t>
  </si>
  <si>
    <t>Redden, J. P., &amp; Hoch, S. J. (2009). The presence of variety reduces perceived quantity. Journal of Consumer Research, 36(3), 406-417., Study 3</t>
  </si>
  <si>
    <t>10.1086/598971</t>
  </si>
  <si>
    <t>10.1086--598971.pdf</t>
  </si>
  <si>
    <t>Röseler, L., Felser, G., Asberger, J., &amp; Schütz, A. (2020, October 23). No effect of variety on perceived quantity: Evidence from six studies. (Study 3)</t>
  </si>
  <si>
    <t>10.31234/osf.io/v643q</t>
  </si>
  <si>
    <t>10.31234--osf.io--v643q.pdf</t>
  </si>
  <si>
    <t>Consumer Psychology</t>
  </si>
  <si>
    <t>Variety reduces perceived quantity</t>
  </si>
  <si>
    <t>Gestalt, heterogeneity, homogeneity, quantity estimation, variety</t>
  </si>
  <si>
    <t>"The analysis found a main effect of the number of colors poured (F(1, 63) = 6.45, p &lt; .02), indicating that people poured more when pouring multiple colors versus a single color. People presumably perceived that they had poured less onto the plate so far when it had a variety of colors."</t>
  </si>
  <si>
    <t>F(1, 63) = 6.45</t>
  </si>
  <si>
    <t>soscisubmission1_2</t>
  </si>
  <si>
    <t>1. The original study is from "Journal of Consumer Research" - however, now Consumer psychology is in the Discipline list 2. First part of tags is from original study, second - from the replication  3. One subject was removed from the original study (p. 7, Results section)</t>
  </si>
  <si>
    <t>Quantity Perceptions</t>
  </si>
  <si>
    <r>
      <rPr>
        <rFont val="Calibri"/>
        <color theme="1"/>
        <sz val="11.0"/>
      </rPr>
      <t xml:space="preserve">Cognitive Processes, Perceptual Processes, Judgment and Decision Making, Experimental Design and Analysis (ANOVA); File-drawer report, quantity estimation, variety, Gestalt, replication, </t>
    </r>
    <r>
      <rPr>
        <rFont val="Calibri"/>
        <color rgb="FF00FF00"/>
        <sz val="11.0"/>
      </rPr>
      <t>heterogeneity, homogeneity</t>
    </r>
  </si>
  <si>
    <t>Having variety leads people to pour more candy, presumably because variety lowers the perceived quantity.</t>
  </si>
  <si>
    <t>The results indicate that people poured more when using mixed colors (M = 59.2 grams) than a single color (M = 53.0 grams). The planned contrast was statistically significant (F(1,99) = 4.00 p &lt; .05).</t>
  </si>
  <si>
    <t>F(1,99) = 4.00</t>
  </si>
  <si>
    <t>soscisubmission10_1</t>
  </si>
  <si>
    <t>soscisubmission10</t>
  </si>
  <si>
    <t>ES for O changed in accordance with O (etasq partial instead of d). Replicated studies were not preregistered</t>
  </si>
  <si>
    <t xml:space="preserve">- Coders were highly aligned on this row 
- Small updates to description and tags to get most detail in the cell
- Coder 2 selected as slightly more detail in decription etc. </t>
  </si>
  <si>
    <t>Lichtenfeld, S. ,Maier, M. A., Elliot, A. J., &amp; Pekrun, R. (2009 ).The semantic red effect: Processing the word red undermines intellectual performance . Journal of Experimental Social Psychology , 45 ,1273 –1276 . https://doi.org/10.1016/j.jesp.2009.06.003 Experiment 2</t>
  </si>
  <si>
    <t>10.1016/j.jesp.2009.06.003</t>
  </si>
  <si>
    <t>10.1016--j.jesp.2009.06.003.pdf</t>
  </si>
  <si>
    <t>Gnambs, T., Kovacs, C., &amp; Stiglbauer, B. (2020). Processing the word red and Intellectual Performance: Four replication attempts. Collabra, 6(1). (Experiment 2)</t>
  </si>
  <si>
    <t>10.1525/collabra.277</t>
  </si>
  <si>
    <t>10.1525--collabra.277.pdf</t>
  </si>
  <si>
    <t>Social psychology</t>
  </si>
  <si>
    <r>
      <rPr>
        <rFont val="Arial"/>
        <color theme="1"/>
      </rPr>
      <t>color priming,</t>
    </r>
    <r>
      <rPr>
        <rFont val="Arial"/>
        <color rgb="FF00FF00"/>
      </rPr>
      <t xml:space="preserve"> semantic red effect</t>
    </r>
  </si>
  <si>
    <t>color red, cognitive performance, intelligence, reasoning,</t>
  </si>
  <si>
    <t>Reading the word "red" before an achievement test reduces test performance as compared to reading the word of a control color</t>
  </si>
  <si>
    <t>An ANOVA revealed a significant effect of experimental condition on performance, F(1, 42) = 5.95, P &lt; 0.05, g2 p = 0.12; participants in the red condition performed worse (M = 11.13, SD = 2.65) than those in the gray condition (M = 13.24, SD = 3.08). No participant correctly guessed the purpose of the experiment.... Our research clearly documents the semantic red effect: processing the word red undermined intellectual performance</t>
  </si>
  <si>
    <t>Gnambs, Timo; Osano, Maureen</t>
  </si>
  <si>
    <t>This row has been coded as Experiment 2 replication study of Experiment 2 in the original study.</t>
  </si>
  <si>
    <r>
      <rPr>
        <rFont val="Arial"/>
        <color rgb="FF00FF00"/>
      </rPr>
      <t>color priming</t>
    </r>
    <r>
      <rPr>
        <rFont val="Arial"/>
        <color theme="1"/>
      </rPr>
      <t>, semantic red effect</t>
    </r>
  </si>
  <si>
    <r>
      <rPr>
        <rFont val="Arial"/>
        <color theme="1"/>
      </rPr>
      <t>color, performance, semantic red effect, avoidance, red color, cognitive performance, intelligence, general knowledge,</t>
    </r>
    <r>
      <rPr>
        <rFont val="Arial"/>
        <color rgb="FF00FF00"/>
      </rPr>
      <t xml:space="preserve"> reasoning</t>
    </r>
  </si>
  <si>
    <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</si>
  <si>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soscisubmission11_1</t>
  </si>
  <si>
    <t>soscisubmission11</t>
  </si>
  <si>
    <t>I skipped that row, because I couldn't fine a file clearly indicating replication procedure and results</t>
  </si>
  <si>
    <t xml:space="preserve">- Both coders correctly indicated that there was not sufficient detail about the replication to code this entry. 
- Entry excluded. </t>
  </si>
  <si>
    <t>Hoogeveen, S., Sarafoglou, A., &amp; Wagenmakers, E.-J. (2020). Laypeople Can Predict Which Social-Science Studies Will Be Replicated Successfully. Advances in Methods and Practices in Psychological Science, 3(3), 267–285. https://doi.org/10.1177/2515245920919667</t>
  </si>
  <si>
    <t>10.1177/2515245920919667</t>
  </si>
  <si>
    <t>10.1177--2515245920919667.pdf</t>
  </si>
  <si>
    <t>Rausch, M. (2023, April 13). Can Laypeople Predict which Social Science Studies Will be Replicated Successfully?.</t>
  </si>
  <si>
    <t>10.17605/OSF.IO/5Y7NE</t>
  </si>
  <si>
    <t>https://osf.io/5y7ne/?view_only=</t>
  </si>
  <si>
    <t>10.17605--osf.io--5y7ne.pdf</t>
  </si>
  <si>
    <t>Meta Science</t>
  </si>
  <si>
    <t>replication success, laypeople, Intuitive plausibility</t>
  </si>
  <si>
    <t>Laypeople are able to predict the replication success of social science findings based on their intuitive plausibility</t>
  </si>
  <si>
    <t>https://osf.io/xvqg2</t>
  </si>
  <si>
    <t>https://osf.io/wg9s3</t>
  </si>
  <si>
    <t>Rausch, Manuel; Osano, Maureen</t>
  </si>
  <si>
    <t xml:space="preserve"> I need help coding this row. The information in the original study is unclear, and the link to the replication study only contains raw data, with the .csv file with the information on the methods and the results on the replication study is in German, a language I'm not well conversant with. The pre-filled data could not help code it as well.</t>
  </si>
  <si>
    <r>
      <rPr>
        <rFont val="Arial"/>
      </rPr>
      <t xml:space="preserve">Hoogeveen, S., Sarafoglou, A., &amp; Wagenmakers, E.-J. (2020). Laypeople Can Predict Which Social-Science Studies Will Be Replicated Successfully. Advances in Methods and Practices in Psychological Science, 3(3), 267–285. </t>
    </r>
    <r>
      <rPr>
        <rFont val="Arial"/>
        <color rgb="FF1155CC"/>
        <u/>
      </rPr>
      <t>https://doi.org/10.1177/2515245920919667</t>
    </r>
  </si>
  <si>
    <t>replication study not available</t>
  </si>
  <si>
    <t>replication success, laypeople, Intuitive plausibility, open science, meta-science, replication crisis, prediction survey, open data, open materials, preregistered</t>
  </si>
  <si>
    <t>Laypeople are able to predict the replication success of social science findings based on their intuitive plausibility (description-only condition)</t>
  </si>
  <si>
    <t>https://osf.io/wg9s3/.</t>
  </si>
  <si>
    <t>soscisubmission13_1</t>
  </si>
  <si>
    <t>soscisubmission13</t>
  </si>
  <si>
    <t>Nested_r determined on the use of chi square test. Test statistics extracted from the O and R instead of SE that was already in the table</t>
  </si>
  <si>
    <t xml:space="preserve">LR: to reproduce w: srqt(chisq_value / N); see also https://www.oxfordreference.com/display/10.1093/oi/authority.20110803095743480
SAJ: 
- Selected this row as it coded the main experiemtnal effect of the experiment 3 in the original study (the rejection-moderation condition and the combined
control conditions). The check that the two control conditions were equivalent was coded byt he other coder, but I feel this is more methodological than effect relevant. 
- Updated and expanded the tags and descriptions based on both coders entries. 
- Tidied this rows test statistic entires to include better typesetting and to remove the p value from teh test statsitc cell (leaving just the chi-squared value). 
</t>
  </si>
  <si>
    <t>Cialdini, R. B., Vincent, J. E., Lewis, S. K., Catalan, J., Wheeler, D., &amp; Darby, B. L. (1975). Reciprocal concessions procedure for inducing compliance: The door-in-the-face technique. Journal of Personality and Social Psychology, 31(2), 206–215. https://doi.org/10.1037/h0076284</t>
  </si>
  <si>
    <t>10.1037/h0076284</t>
  </si>
  <si>
    <t>10.1037--h0076284.pdf</t>
  </si>
  <si>
    <t>Genschow, O., Westfal, M., Crusius, J., Bartosch, L., Feikes, K. I., Pallasch, N., &amp; Wozniak, M. (2021). Does social psychology persist over half a century? A direct replication of Cialdini et al.’s (1975) classic door-in-the-face technique. Journal of Personality and Social Psychology, 120(2), e1–e7.</t>
  </si>
  <si>
    <t>10.1037/pspa0000261</t>
  </si>
  <si>
    <t>10.1037--pspa0000261.pdf</t>
  </si>
  <si>
    <t>door-in-the-face technique</t>
  </si>
  <si>
    <r>
      <rPr>
        <rFont val="Arial"/>
        <color theme="1"/>
      </rPr>
      <t>Door in the face technique, Persuasion, Reciprocity, Social influence,</t>
    </r>
    <r>
      <rPr>
        <rFont val="Arial"/>
        <color rgb="FF00FF00"/>
      </rPr>
      <t xml:space="preserve"> replication, reciprocal concession, </t>
    </r>
  </si>
  <si>
    <t>The Door-in-the-Face (DITF) technique suggests that people are more likely to agree to a target request after initially rejecting a larger request.</t>
  </si>
  <si>
    <t>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</si>
  <si>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X2 = 2.88</t>
  </si>
  <si>
    <t>X2 = 10.82</t>
  </si>
  <si>
    <t>https://aspredicted.org/jq5fe.pdf</t>
  </si>
  <si>
    <t xml:space="preserve">Genschow, Oliver; Osano, Maureen </t>
  </si>
  <si>
    <t>1) The p-value has been indicated as ns (not significant); hence, it is coded as p&gt;0.05. 2) I wanted to calculate the effect size 𝑤 (Cohen’s w) for a Chi-square test using the Chi-square result and the sample size, N, reported in the original and replication study, as suggested in the notes_validation variable, but I did not get Cohen's, w in the drop-down menu of the es_type variables; hence the original Chi-square results have been coded and the effect size type coded as "test statistics".</t>
  </si>
  <si>
    <r>
      <rPr>
        <rFont val="Arial"/>
      </rPr>
      <t xml:space="preserve">LR: to reproduce w: srqt(chisq_value / N); see also </t>
    </r>
    <r>
      <rPr>
        <rFont val="Arial"/>
        <color rgb="FF1155CC"/>
        <u/>
      </rPr>
      <t>https://www.oxfordreference.com/display/10.1093/oi/authority.20110803095743480</t>
    </r>
  </si>
  <si>
    <r>
      <rPr>
        <rFont val="Arial"/>
      </rPr>
      <t xml:space="preserve">Cialdini, R. B., Vincent, J. E., Lewis, S. K., Catalan, J., Wheeler, D., &amp; Darby, B. L. (1975). Reciprocal concessions procedure for inducing compliance: The door-in-the-face technique. Journal of Personality and Social Psychology, 31(2), 206–215. </t>
    </r>
    <r>
      <rPr>
        <rFont val="Arial"/>
        <color rgb="FF1155CC"/>
        <u/>
      </rPr>
      <t>https://doi.org/10.1037/h0076284</t>
    </r>
  </si>
  <si>
    <t>Door-in-the-face technique, social influence, replication, reciprocal concession, persuasion, reciprocity</t>
  </si>
  <si>
    <t>The Door-in-the-Face (DITF) technique suggests that people are more likely to agree to a target request after initially rejecting a larger request (statistical difference between the two control conditions (i.e., smaller request only condition vs. equivalent request control condition))</t>
  </si>
  <si>
    <t>"The first contrasted the two control conditions; no significant difference resulted, x2 = 0.0, ns. "," the data from this experiment argue against the interpretation that a requester's persistence in making requests accounts for the superiority of the rejection-moderation condition."</t>
  </si>
  <si>
    <t>X2 = 0.00</t>
  </si>
  <si>
    <t>X2 = 2.11</t>
  </si>
  <si>
    <t>soscisubmission14a_1</t>
  </si>
  <si>
    <t>soscisubmission14a</t>
  </si>
  <si>
    <t>One paper described both studies with slightly different conditions (study 1 - answered to  if they would be willing to either flip a switch that diverts the trolley so that it kills one person instead of five (switch dilemma) or push the individual off a bridge to save five people working on the tracks (footbridge dilemma), Study 2 focused only on footbridge</t>
  </si>
  <si>
    <t>SAJ:
- This row is an internal conceptual replication of within a single paper (study 1 and study 2). It is not labelled as such however!
- I accept this as a replication (internal) , and reject the other coders suggestion to exclude this pair. 
- I updated the descriptions and double checked both papers for the values and to understand the coder discrepancy of approach</t>
  </si>
  <si>
    <t>Duke, A. A., &amp; Bègue, L. (2015). The drunk utilitarian: Blood alcohol concentration predicts utilitarian responses in moral dilemmas. Cognition, 134, 121–127.</t>
  </si>
  <si>
    <t>10.1016/j.cognition.2014.09.006</t>
  </si>
  <si>
    <t>10.1016--j.cognition.2014.09.006.pdf</t>
  </si>
  <si>
    <t>Experimental philosophy</t>
  </si>
  <si>
    <t>drunk utilitarian</t>
  </si>
  <si>
    <r>
      <rPr>
        <rFont val="Arial"/>
        <color theme="1"/>
      </rPr>
      <t xml:space="preserve">utilitarianism, alcohol, CNI Model, trolley dilemma, moral dilemma, </t>
    </r>
    <r>
      <rPr>
        <rFont val="Arial"/>
        <color rgb="FF00FF00"/>
      </rPr>
      <t>moral judgment, alcohol intoxication, ethanol, dual-process model</t>
    </r>
  </si>
  <si>
    <t>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</si>
  <si>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Pypno Katarzyna; Paruzel-Czachura Mariola; Maureen Osano</t>
  </si>
  <si>
    <t>This study should be excluded because the original study and the replication study are the same, authored by the same authors. The links for the original and replication studies lead me to the same paper</t>
  </si>
  <si>
    <t>utilitarian, moral dilemma, moral judgment, alcohol intoxication, ethanol, dual-process model</t>
  </si>
  <si>
    <t>soscisubmission14b_1</t>
  </si>
  <si>
    <t>soscisubmission14b</t>
  </si>
  <si>
    <t>OR for R calculated using information from Table 1 and ES calculator</t>
  </si>
  <si>
    <t xml:space="preserve">SAJ: 
- Replication paper contains many extensions and expansions on the topic, relevant information on results pertain to page 10, table 1 on page 11, and figure 5 on page 12. 
- Coders selected different comparisons between the papers. 
- Validation has opted to select for the effect that most closely aligns with the original effect - that is the behavioural judgement, this is a paper based scenrio task and the question most closely reflects that original study ("likelihood that they would be willing to either flip a switch that diverts the trolley so that it kills one person instead of five (switch dilemma) or push the individual off a bridge to save five people working on the tracks (footbridge dilemma)."). Further, the comparison betwene high and low BAC in the replication study is used - the placebo condition is not present in the original study.
- Thiis leaves a comparison between the high BAC and low BAC conditions in the behavioural judgement task. The percent who chose to act was 6.25 in both condition leading to an OR of 1. 
</t>
  </si>
  <si>
    <t>Francis, K. B., Gummerum, M., Ganis, G., Howard, I. S., &amp; Terbeck, S. (2019). Alcohol, empathy, and morality: Acute effects of alcohol consumption on affective empathy and moral decision-making. Psychopharmacology, 236, 3477–3496.</t>
  </si>
  <si>
    <t>10.1007/s00213-019-05314-z</t>
  </si>
  <si>
    <t>10.1007--s00213-019-05314-z.pdf</t>
  </si>
  <si>
    <r>
      <rPr>
        <rFont val="Arial"/>
        <color theme="1"/>
      </rPr>
      <t xml:space="preserve">utilitarianism, alcohol, CNI Model, trolley dilemma, moral judgment, moral action, alcohol intoxication, </t>
    </r>
    <r>
      <rPr>
        <rFont val="Arial"/>
        <color rgb="FF00FF00"/>
      </rPr>
      <t>alcohol, dual-process model, moral decision-making, empathy, virtual reality</t>
    </r>
  </si>
  <si>
    <r>
      <rPr>
        <rFont val="Arial"/>
        <color theme="1"/>
      </rPr>
      <t xml:space="preserve">p.10,11, </t>
    </r>
    <r>
      <rPr>
        <rFont val="Arial"/>
        <color rgb="FF00FF00"/>
      </rPr>
      <t>12</t>
    </r>
  </si>
  <si>
    <t>Pypno Katarzyna; Paruzel-Czachura Mariola: Maureen Osano</t>
  </si>
  <si>
    <t>The test statistics for the replication study should be validated.</t>
  </si>
  <si>
    <t>utilitarian, moral dilemma, moral judgment, moral action, alcohol intoxication, alcohol, dual-process model, moral decision-making, empathy, virtual reality</t>
  </si>
  <si>
    <t>"BAC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</si>
  <si>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soscisubmission14c_1</t>
  </si>
  <si>
    <t>soscisubmission14c</t>
  </si>
  <si>
    <t xml:space="preserve">ES type for R changed to etasq partial in accordance with the paper
</t>
  </si>
  <si>
    <t xml:space="preserve">SAJ: 
- Coders disagreed on which replication statistic to include, the replication paper was consulted. 
- Coder 1 coded for the non-significant main effect of alcohol -  "Critically, there was no significant main effect of Alcohol Group, F(2, 326) = 2.76, p = .065, ηp 2 =. 017 " 
- Coder 2 coded for the correlation between behaviour in the two moral dliemmas (incorrect) - other values from the correlation table were reviewed but deemed irrelevant as BAC was not included. 
- Therefore, Coder 1s selection of the main effect of BAC on likelihood of action was chosen to best reflect the original effect under replication.  </t>
  </si>
  <si>
    <t>Paruzel-Czachura, M., Pypno, K., Everett, J.A., Białek, M.J., &amp; Gawronski, B. (2023). The Drunk Utilitarian Revisited: Does Alcohol Really Increase Utilitarianism in Moral Judgment? Personality and Social Psychology Bulletin, 49, 20–31.</t>
  </si>
  <si>
    <t>10.1177/01461672211052120</t>
  </si>
  <si>
    <t>10.1177--01461672211052120.pdf</t>
  </si>
  <si>
    <r>
      <rPr>
        <rFont val="Arial"/>
        <color theme="1"/>
      </rPr>
      <t>utilitarianism, alcohol, CNI Model, trolley dilemma, moral dilemma,</t>
    </r>
    <r>
      <rPr>
        <rFont val="Arial"/>
        <color rgb="FF00FF00"/>
      </rPr>
      <t xml:space="preserve"> moral judgment, alcohol intoxication, alcohol, dual-process model</t>
    </r>
  </si>
  <si>
    <t>https://osf.io/avf49</t>
  </si>
  <si>
    <t>1) The replication study reports the number of participants for each of the three treatment conditions out of the 329 participants recruited for the study. This is what has been used to code the n_r variable. 2) Table 2 in the replication study reports the Pearson's correlations between the measured variables. Since we are interested in the trolley problem replicated in this study, it is not clear to me the numbers (2-8) indicated even after going through the paper and whether to code the switch or the footbridge correlations reported. However, it is indicated that the control and placebo conditions had a score of 0 which has been correctly coded. 3) The nested_r variable has been coded as "unsure" because it has been shown that the replication study used between-subjects mixed-ANOVA. Hence, not sure if it is nested or not. Overall, validation is recommended for this row.</t>
  </si>
  <si>
    <t>utilitarianism, Utilitarian, moral dilemma, moral judgment, alcohol intoxication, alcohol, CNI model, dual-process model</t>
  </si>
  <si>
    <t>drunk utilitarian (alcohol condition)</t>
  </si>
  <si>
    <t>T. 2</t>
  </si>
  <si>
    <t>soscisubmission15_1</t>
  </si>
  <si>
    <t>soscisubmission15</t>
  </si>
  <si>
    <t>Holgado, Darías, Roksana</t>
  </si>
  <si>
    <t>06.04.2023</t>
  </si>
  <si>
    <t>I am leaving the es_value and es_value_type how I originally received this spreadsheet as not sure how to code these. Please see original author's claim coded in this row and the following replication claim "The one-sided Bayes factor for the time-to-exhaustion (Figure 2) measure was BF01 = 9.762, indicating that the observed data moderately to strongly support the null hypothesis that mental fatigue did not have a detrimental effect on exercise performance."</t>
  </si>
  <si>
    <t>The preregistration link was incorrect; it was the OSF link for the OSF folder.</t>
  </si>
  <si>
    <t>Marcora, S. M., Staiano, W., &amp; Manning, V. (2009). Mental fatigue impairs physical performance in humans. Journal of applied physiology. https://doi.org/10.1152/japplphysiol.91324.2008.</t>
  </si>
  <si>
    <t>10.1152/japplphysiol.91324.2008</t>
  </si>
  <si>
    <t>10.1152--japplphysiol.91324.2008.pdf</t>
  </si>
  <si>
    <t>Holgado, D., Troya, E., Perales, J. C., Vadillo, M. A., &amp; Sanabria, D. (2019). Does mental fatigue impair physical performance? A replication study. European Journal of Sport Science, 2020.</t>
  </si>
  <si>
    <t>10.31236/osf.io/tzn6d</t>
  </si>
  <si>
    <t>10.31236--osf.io--tzn6d.pdf</t>
  </si>
  <si>
    <t>Mental Fatigue</t>
  </si>
  <si>
    <t>Exercise performance; endurance; perceived exertion; motivation</t>
  </si>
  <si>
    <t>Mental fatigue impairs physical performance in humans</t>
  </si>
  <si>
    <t>"Time to exhaustion was significantly lower in the mental fatigue condition (640 ± 316 s) compared with control (754 ± 339 s) (P = 0.003) with no significant order effect (P = 0.901). Individual time to exhaustion was shorter in the mental fatigue condition in 13 of 16 subjects."</t>
  </si>
  <si>
    <t>dz</t>
  </si>
  <si>
    <r>
      <rPr>
        <rFont val="Arial"/>
        <color rgb="FF1155CC"/>
        <u/>
      </rPr>
      <t>OSF</t>
    </r>
  </si>
  <si>
    <t>1. The discipline can be also "cognitive psychology"  2. For the replication: BF (01) = 9.762 3. For the replication the ES was calculated based on the provided M + SE. The conversion to SD was conducted by the formula: SD=SE×sqrt(N). The ES was calculated based on the "ES calculations" page</t>
  </si>
  <si>
    <t>Mental fatigue</t>
  </si>
  <si>
    <t>Time to exhaustion was significantly lower in the mental fatigue condition (640 +/- 316 s) compared with control (754 +/- 339 s) (P = 0.003)</t>
  </si>
  <si>
    <t>d=(754-640)/SQRT((339^2+316^2)/2)</t>
  </si>
  <si>
    <t>(765.5-705.4)/SQRT((504.178614183505^2+435.384660960857^2)/2)</t>
  </si>
  <si>
    <t>https://osf.io/7hz3x</t>
  </si>
  <si>
    <t>soscisubmission15_b</t>
  </si>
  <si>
    <t>1. The discipline can be also "cognitive psychology"  2. For the replication: BF (01) = 4.04 3. For the replication the ES was calculated based on the provided M + SE. Since we had only upper and lower CI, in order to calculate SE I used the following formula: [(Upper CI - Lower CI) / 2] / critical value.  The conversion to SD was conducted by the formula: SD=SE×sqrt(N). The ES was calculated based on the "ES calculations" page. The critical value was taken as 1.96.</t>
  </si>
  <si>
    <t>Posttreatment fatigue was significantly higher compared with the control condition</t>
  </si>
  <si>
    <t>This state of mental fatigue was associated with a significant decline in the proportion of correct responses to the AX trials during the AX-CPT (first 15-min period 94.8 +/- 3.4%, last 15-min period 88.9 +/- 4.5%, P &lt; 0.001).	4, 5	16	1.479	d	p. 5	0.001	l (&lt;)	2 (two)	no		30	0.056	d	p. 4			1 (one)	no	https://osf.io/7hz3x	2 - close
soscisubmission15_1	soscisubmission15	Nikita Otstavnov	27.02.2025		1. The discipline can be also cognitive psychology"  2. For the replication: BF (01) = 0.306 3. For the replication the ES was calculated based on the provided M + SE. Since we had only upper and lower CI, in order to calculate SE I used the following formula: [(Upper CI - Lower CI) / 2] / critical value.  The conversion to SD was conducted by the formula: SD=SE×sqrt(N). The ES was calculated based on the "ES calculations" page. The critical value was taken as 1.96.</t>
  </si>
  <si>
    <t>Vigor significantly decreased in both conditions</t>
  </si>
  <si>
    <t>The BRUMS questionnaire revealed a significant decrease in vigor (from 6.2 +/- 3.1 to 3.5 +/- 2.2) in both conditions (main effect of time, P &lt; 0.001)</t>
  </si>
  <si>
    <t>soscisubmission15_c</t>
  </si>
  <si>
    <t>1. The discipline can be also "cognitive psychology"  2. For the replication: BF (01) = 2.587 3. For the replication the ES was calculated based on the provided M + SE. Since we had only upper and lower CI, in order to calculate SE I used the following formula: [(Upper CI - Lower CI) / 2] / critical value.  The conversion to SD was conducted by the formula: SD=SE×sqrt(N). The ES was calculated based on the "ES calculations" page. The critical value was taken as 1.96.</t>
  </si>
  <si>
    <t>Mental fatigue resulted in higher average HR during AX-CPT</t>
  </si>
  <si>
    <t>Average HR was significantly higher during the AX-CPT (65 +/- 8 min) compared with control treatment (62 +/- 8 min) (P = 0.046)</t>
  </si>
  <si>
    <t>soscisubmission18_1</t>
  </si>
  <si>
    <t>soscisubmission18</t>
  </si>
  <si>
    <t>Tobias Dienlin</t>
  </si>
  <si>
    <t>13.04.2023</t>
  </si>
  <si>
    <t>No preregistration of the r_paper but only supplementary materials: https://osf.io/6k5rg/registrations</t>
  </si>
  <si>
    <t>Granow, V. C., Reinecke, L., &amp; Ziegele, M. (2018). Binge-Watching and Psychological Well-Being: Media Use Between Lack of Control and Perceived Autonomy. Communication Research Reports, 35(5), 392–401. https://doi.org/10.1080/08824096.2018.1525347</t>
  </si>
  <si>
    <t>10.1080/08824096.2018.1525347</t>
  </si>
  <si>
    <t>10.1080--08824096.2018.1525347.pdf</t>
  </si>
  <si>
    <t>Erdmann, E., &amp; Dienlin, T. (2022). Binge-watching, self-determination, and well-being: A partially successful direct replication and extension of Granow et al. (2018). Journal of Media Psychology, 1864-1105/a000334.</t>
  </si>
  <si>
    <t>10.1027/1864-1105/a000334</t>
  </si>
  <si>
    <t>10.1027--1864-1105--a000334.pdf</t>
  </si>
  <si>
    <t>binge-watching</t>
  </si>
  <si>
    <t>binge-watching; self-determination theory; media psychology; well-being</t>
  </si>
  <si>
    <t>binge-goal conflict</t>
  </si>
  <si>
    <t>Binge-watching was associated with increased goal conflicts (β = .65, p &lt; .001),</t>
  </si>
  <si>
    <t>soscisubmission18_10</t>
  </si>
  <si>
    <t>guilt-enjoy</t>
  </si>
  <si>
    <t>Guilt was a negative predictor of recovery experience ... and vitality ... but unrelated to enjoyment (β = –.04, p = .43).</t>
  </si>
  <si>
    <t>P.6</t>
  </si>
  <si>
    <t>P.19</t>
  </si>
  <si>
    <t>soscisubmission18_11</t>
  </si>
  <si>
    <t>autonomy-enjoy</t>
  </si>
  <si>
    <t>the data showed the expected positive correlation between binge-watching and perceived autonomy...The latter correlated significantly with recovery experience... and enjoyment (β = .29, p &lt; .001) but not with vitality</t>
  </si>
  <si>
    <t>P.7</t>
  </si>
  <si>
    <t>soscisubmission18_12</t>
  </si>
  <si>
    <t>binge-enjoy</t>
  </si>
  <si>
    <t>The positive total effect of binge-watching on enjoyment was significant (β = .38, p = .001).</t>
  </si>
  <si>
    <t>soscisubmission18_2</t>
  </si>
  <si>
    <t>binge-autonomy</t>
  </si>
  <si>
    <t>Regarding potential positive effects of binge-watching, the data showed the expected positive correlation between binge-watching and perceived autonomy (β = .15, p &lt; .01).</t>
  </si>
  <si>
    <t>soscisubmission18_3</t>
  </si>
  <si>
    <t>goal conflict-guilt</t>
  </si>
  <si>
    <t>Binge-watching was associated with increased goal conflicts...which in turn strongly correlated with feelings of guilt (β = .47, p &lt; .001).</t>
  </si>
  <si>
    <t>soscisubmission18_4</t>
  </si>
  <si>
    <t>the results of the effect in the r_sttudy are not reported "Next, feelings of guilt were not significantly related to recovery experience and vitality." (p.19)</t>
  </si>
  <si>
    <t>guilt-recovery</t>
  </si>
  <si>
    <t>Guilt was a negative predictor of recovery experience (β = –.11, p &lt; .05)</t>
  </si>
  <si>
    <t>soscisubmission18_5</t>
  </si>
  <si>
    <t>autonomy-recovery</t>
  </si>
  <si>
    <t>the data showed the expected positive correlation between binge-watching and perceived autonomy... The latter correlated significantly with recovery experience (β = .27, p &lt; .001)</t>
  </si>
  <si>
    <t>soscisubmission18_6</t>
  </si>
  <si>
    <t>the results of the effect in the r_sttudy are not reported "When looking at the direct relation between binge-watching and well-being, we found that respondents who binge-watched more also experienced more enjoyment ...No relations with recovery experience and vitality were found." (p.19)</t>
  </si>
  <si>
    <t>binge-recovery</t>
  </si>
  <si>
    <t>The total effects of binge-watching on recovery experience (β = .08, p = .11)</t>
  </si>
  <si>
    <t>soscisubmission18_7</t>
  </si>
  <si>
    <t>guilt-vitality</t>
  </si>
  <si>
    <t>Guilt was a negative predictor of recovery experience... and vitality (β = –.15, p &lt; .01)</t>
  </si>
  <si>
    <t>soscisubmission18_8</t>
  </si>
  <si>
    <t>autonomy-vitality</t>
  </si>
  <si>
    <t>Regarding potential positive effects of binge-watching, the data showed the expected positive correlation between binge-watching and perceived autonomy ... The latter correlated significantly with recovery experience ...and enjoyment ... but not with vitality (β = .09, p = .11).</t>
  </si>
  <si>
    <t>soscisubmission18_9</t>
  </si>
  <si>
    <t>binge-vitality</t>
  </si>
  <si>
    <t>The total effects of binge-watching on recovery experience ... and Vitality (β = .04, p = .55) were not significant.</t>
  </si>
  <si>
    <t>soscisubmission2_1</t>
  </si>
  <si>
    <t>soscisubmission_b</t>
  </si>
  <si>
    <t>Röseler, Lukas</t>
  </si>
  <si>
    <t>Redden, J. P., &amp; Hoch, S. J. (2009). The presence of variety reduces perceived quantity. Journal of Consumer Research, 36(3), 406-417., Study 1</t>
  </si>
  <si>
    <t>Röseler, L., Felser, G., Asberger, J., &amp; Schütz, A. (2020, October 23). No effect of variety on perceived quantity: Evidence from six studies. (Study 4)</t>
  </si>
  <si>
    <t>"As predicted, people judged a pattern to have more items when it had only one color or shape versus multiple colors or shapes (M = 53.5 vs. M = 56.8, F(1, 79) = 110.19, p &lt; .0001)."</t>
  </si>
  <si>
    <t>F(1, 79) = 110.19</t>
  </si>
  <si>
    <t>soscisubmission2_2</t>
  </si>
  <si>
    <t>1. I would mark this replication as conceptual, since the analysis plan was different from the original study and the data was gathered online</t>
  </si>
  <si>
    <t xml:space="preserve">changed label_r to replication, since it says that Study 3 is a close replication of Study 1 (of the replication studies) </t>
  </si>
  <si>
    <t xml:space="preserve"> replication</t>
  </si>
  <si>
    <t>Cognitive Processes, Perceptual Processes, Judgment and Decision Making, Experimental Design and Analysis (ANOVA); File-drawer report, quantity estimation, variety, Gestalt, replication</t>
  </si>
  <si>
    <t>The presence of variety lowers the perceived quantity</t>
  </si>
  <si>
    <t>[...] people judged a pattern to have more items when it had only one color or shape versus multiple colors or shapes (M = 56.8 vs 53.5; F(1,79) = 110.19, p &lt; .0001)</t>
  </si>
  <si>
    <t>F(1,79) = 110.19</t>
  </si>
  <si>
    <t>soscisubmission3_1</t>
  </si>
  <si>
    <t>soscisubmission_c</t>
  </si>
  <si>
    <t>Röseler, L., Felser, G., Asberger, J., &amp; Schütz, A. (2020, October 23). No effect of variety on perceived quantity: Evidence from six studies. (Study 5)</t>
  </si>
  <si>
    <t>1. I would mark this study conceptual replication, because it was online</t>
  </si>
  <si>
    <t>added NA to prereg_o and prereg_r</t>
  </si>
  <si>
    <t>soscisubmission3_2</t>
  </si>
  <si>
    <t>People gave larger estimates as the percentage filled increased</t>
  </si>
  <si>
    <t>There were main effects for each of the three factors: percentage filled (F(4, 76) = 495.31, p &lt; .0001)</t>
  </si>
  <si>
    <t>F(4, 76) = 495.31</t>
  </si>
  <si>
    <t>soscisubmission3_3</t>
  </si>
  <si>
    <t>People gave larger estimates when the items consisted of colored dots rather than unfilled shapes</t>
  </si>
  <si>
    <t>There were main effects for each of the three factors: [...]  basis of variety (F(1, 79) = 5.02, p &lt; .03)</t>
  </si>
  <si>
    <t>F(1, 79) = 5.02</t>
  </si>
  <si>
    <t>soscisubmission3_4</t>
  </si>
  <si>
    <t>People estimates depends on both the percentage filled and number of types</t>
  </si>
  <si>
    <t>The analysis also found evidence of a percentage filled by number of types interaction (F(16, 64) = 4.85, p &lt; .0001)</t>
  </si>
  <si>
    <t>F(16, 64) = 4.85</t>
  </si>
  <si>
    <t>soscisubmission34_1</t>
  </si>
  <si>
    <t>soscisubmission34</t>
  </si>
  <si>
    <t>Ross, Robert M., Roksana</t>
  </si>
  <si>
    <t>11.04.2023</t>
  </si>
  <si>
    <t>No statsitics were reported in the original paper, please see notes_validation by previous coder- I agree.</t>
  </si>
  <si>
    <t>Test statistics were not reported thoroughly in the original study. However, the p-value combined with the figure makes it clear what hypothesis was being tested and that the replication was successful.</t>
  </si>
  <si>
    <t>Schaffner, B. F., &amp; Luks, S. (2018). Misinformation or expressive responding? What an inauguration crowd can tell us about the source of political misinformation in surveys. Public Opinion Quarterly, 82(1), 135–147. https://doi.org/10.1093/poq/nfx042</t>
  </si>
  <si>
    <t>10.1093/poq/nfx042</t>
  </si>
  <si>
    <t>10.1093--poq--nfx042.pdf</t>
  </si>
  <si>
    <t>Ross, R. M., &amp; Levy, N. (2023). Expressive responding in support of Donald Trump: An Extended Replication of Schaffner and Luks (2018). Collabra, 9(1).</t>
  </si>
  <si>
    <t>10.1525/collabra.68054</t>
  </si>
  <si>
    <t>10.1525--collabra.68054.pdf</t>
  </si>
  <si>
    <t>Extended replication</t>
  </si>
  <si>
    <t>Political psychology</t>
  </si>
  <si>
    <t>Expressive responding</t>
  </si>
  <si>
    <t>Expressive Responding, Partisan Bias, Political Misinformation, Political Psychology, Survey Research, Motivated Reasoning, Partisan Cheerleading, False Beliefs, Political Cognition, Crowd Size Controversy, Donald Trump, Barack Obama, Political Interest, Misperceptions in Politics</t>
  </si>
  <si>
    <t>Trump voters/Republicans select the incorrect inauguration crowd photo more often than non-Trump voters/non-Republicans</t>
  </si>
  <si>
    <t>"The difference in selecting the incorrect photo based on one’s vote choice or approval of Trump is statistically significant (p &lt; .01)."</t>
  </si>
  <si>
    <t>X2(1) = 5.365</t>
  </si>
  <si>
    <t>https://osf.io/gc6zh</t>
  </si>
  <si>
    <t>soscisubmission34_2_1</t>
  </si>
  <si>
    <t>1. For ES measurement I used OR from the "ES calculations" page. The values, which were used, are: 89% of correct answers (in the paper - 11% of incorrect) and 74% of correct answers (in the paper - 26% for incorrect) (page 6)</t>
  </si>
  <si>
    <t>Extended Replication</t>
  </si>
  <si>
    <t>Expressive Responding</t>
  </si>
  <si>
    <t>Belief, dual process, expressive responding, identity fusion, partisan</t>
  </si>
  <si>
    <t>Less educated Trump supporters (republicants) chose the wrong image less often</t>
  </si>
  <si>
    <t>While only 11 percent of less educated Trump supporters chose the wrong image as having more people, 26 percent of Trump supporters with college degrees selected the incorrect photo (difference of proportions p = .054)</t>
  </si>
  <si>
    <t>X2(1) = 1.347</t>
  </si>
  <si>
    <t>please add NA for prereg_o if there is no preregistration</t>
  </si>
  <si>
    <t>soscisubmission34_2_2</t>
  </si>
  <si>
    <t>1. For ES measurement I used OR from the "ES calculations" page. The values, which were used, are: 60% of correct answers (in the paper - 40% of incorrect) and 90% of correct answers (in the paper - 10% for incorrect) (page 7, Trump and Clinton voters)</t>
  </si>
  <si>
    <t>Trump voters (republicants) identified correct picture more often than Clinton voter (democrats)</t>
  </si>
  <si>
    <t>About 40 percent of Trump voters misidentified which picture went with which president’s inauguration, compared to about 20 percent of nonvoters and less than 10 percent of Clinton voters</t>
  </si>
  <si>
    <t>X2(1) = 4.569</t>
  </si>
  <si>
    <t>soscisubmission38_1</t>
  </si>
  <si>
    <t>soscisubmission38</t>
  </si>
  <si>
    <t>Hussey, Ian, Roksana</t>
  </si>
  <si>
    <t>23.05.2023</t>
  </si>
  <si>
    <t>Coded closeness as 1 due to same author (Olson)</t>
  </si>
  <si>
    <t>Hedges’ g = 0.12, 95% CI [0.05, 0.20], z = 3.17, p = .002</t>
  </si>
  <si>
    <t>Olson, M. A., &amp; Fazio, R. H. (2001). Implicit attitude formation through classical conditioning. Psychological Science, 12(5), 413-417, Study 2</t>
  </si>
  <si>
    <t>10.1111/1467-9280.00376</t>
  </si>
  <si>
    <t>10.1111--1467-9280.00376.pdf</t>
  </si>
  <si>
    <t>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</si>
  <si>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10.31234/osf.io/kavx4</t>
  </si>
  <si>
    <t>10.31234--osf.io--kavx4.pdf</t>
  </si>
  <si>
    <t>A Registered Replication Report</t>
  </si>
  <si>
    <t>Implicit Attitude Formation</t>
  </si>
  <si>
    <t>Attitude formation, Implicit learning, Classical conditioning, Covariation detection, Conditioning paradigm, Valenced stimuli, Unconditioned stimuli, Conditioned stimuli, Attitudinal conditioning, Explicit measures, Implicit measures, Evaluation task, Surveillance and vigilance, Covariation estimation, Memory and conditioning, Implicit memory</t>
  </si>
  <si>
    <t>Conditioned stimuli (CS) paired with positive stimuli are evaluated more positively than the CS paired with negative stimuli</t>
  </si>
  <si>
    <t>"The analysis revealed a significant conditioning effect, F(1, 46) = 6.45, p = .015, unmoderated by either task order or type of measure, both Fs &lt; 1."</t>
  </si>
  <si>
    <t>F(1, 46) = 6.45</t>
  </si>
  <si>
    <t>OSF Registries | Deviation from Sampling Strategy</t>
  </si>
  <si>
    <t>soscisubmission38_1_1</t>
  </si>
  <si>
    <t>1. Two links to preregistration were provided. The second: https://osf.io/uyng7</t>
  </si>
  <si>
    <t>implicit attitude, Evaluative conditioning,  conditioned stimuli</t>
  </si>
  <si>
    <t>Participants assessed CS+ more positively than CS- in the explicit condition</t>
  </si>
  <si>
    <t>Subsequent t tests indicated that the CS was evaluated more positively than the CS on both the implicit measure (IAT), t(48) = 2.59, p = .007, and the explicit (paper-and-pencil) measure, t(48) = 1.92, p = .03</t>
  </si>
  <si>
    <t>t(48) = 1.92</t>
  </si>
  <si>
    <t>https://osf.io/xqv8b</t>
  </si>
  <si>
    <t>soscisubmission39_1</t>
  </si>
  <si>
    <t>soscisubmission39</t>
  </si>
  <si>
    <t>Cummins, Jamie</t>
  </si>
  <si>
    <t>The main effect is an ombnibus F-test and so I couldn't do  a couldn't calculate the paired t-test without a t-value on the pos- and neg-valenced means</t>
  </si>
  <si>
    <t>SAJ:
- Coder 1 coded study 2 instead of study 3 in the original study causing discrepancies, COder 2 original values were therefore retained. 
- However, Coder 2 coded the main effect of primes not the interaction effect of prime by condition in the original study - this was updated. 
- In the replication study, Coder 1 did not indicate where their Cohens d value arose form - test statistic from coder 2 favoured. 
- Link to OSF replication prereg checked and most accruate one chosen (coder 2)</t>
  </si>
  <si>
    <t>Payne BK, Brown-Iannuzzi J, Burkley M, Arbuckle NL, Cooley E, Cameron CD, Lundberg KB. Intention invention and the affect misattribution procedure: reply to Bar-Anan and Nosek (2012). Personality and Social Psychology Bulletin, 39(3), 375-86.</t>
  </si>
  <si>
    <t>10.1177/0146167212475225</t>
  </si>
  <si>
    <t>10.1177--0146167212475225.pdf</t>
  </si>
  <si>
    <t>Hughes, S., Cummins, J., &amp; Hussey, I. (2022). Effects on the affect Misattribution procedure are strongly moderated by influence awareness. Behavior Research Methods, 55(4), 1558-1586.</t>
  </si>
  <si>
    <t>10.3758/s13428-022-01879-4</t>
  </si>
  <si>
    <t>10.3758--s13428-022-01879-4.pdf</t>
  </si>
  <si>
    <t>Across eight preregistered studies (N = 1603) plus meta-analyses, we reexamined the ‘implicitness’ of AMP effects, and in particular, the idea that people are unaware of the prime’s influence on their evaluations</t>
  </si>
  <si>
    <t>Affective misattribution</t>
  </si>
  <si>
    <t>Affect Misattribution Procedure, implicit measures, Implicit Association Test, bias awareness, implicit social cognition</t>
  </si>
  <si>
    <t>Effects in the Affect Misattribution Procedure are moderated by awareness of influence of the prime stimulus on evaluations of the target stimulus</t>
  </si>
  <si>
    <t>Participants passed much less when the primes were pleasant (M = 0.14) or unpleasant (M = 0.17) than when the prime was neutral (M = 0.54), F(2, 70) = 28.23, p &lt; .001</t>
  </si>
  <si>
    <t>p.xx</t>
  </si>
  <si>
    <t>https://osf.io/gv7cm/</t>
  </si>
  <si>
    <t>I edited the cell of the effect size of the r_paper since only the test was reported. Note from the authors of the r_study:"A between-subjects Cohen’s d was also calculated for familiarity, although this should be inter-preted with caution as it does not acknowledge the partial dependence within the data: d = 0.96"; Another note: "As we previously noted, we adopted a within participant design (participants frst completed a standard AMP followed by a ‘skip’ AMP) whereas Payne et al. (2013) adopted a between participant design (participants completed either a standard AMP or a ‘skip’ AMP)."; both results are significant but diffrent tests and hypothesis so the r_result don't replicate the o_result, the significance in the o_study reflect no diffrence between conditions while the significance in the r_study reflect diffrence between conditions.</t>
  </si>
  <si>
    <r>
      <rPr>
        <rFont val="Calibri"/>
        <color theme="1"/>
        <sz val="11.0"/>
      </rPr>
      <t>affect misattribution procedure, implicit social cognition, implicit attitudes,  I</t>
    </r>
    <r>
      <rPr>
        <rFont val="Calibri"/>
        <color rgb="FF00FF00"/>
        <sz val="11.0"/>
      </rPr>
      <t xml:space="preserve">mplicit Association Test, bias awareness, </t>
    </r>
  </si>
  <si>
    <t>In three experiments, we tested the claim that reliable and valid measurement in the AMP depends on awareness and intentions to rate the primes rather than the targets. In short, it does not.</t>
  </si>
  <si>
    <r>
      <rPr>
        <rFont val="Calibri"/>
        <color theme="1"/>
        <sz val="11.0"/>
      </rPr>
      <t xml:space="preserve">there was a strong main effect of priming, F(2, 134) = 91.37, p &lt; .001...Providing participants an option to pass offered them an opportunity to adjust their behavior based on subjective experience. Results indicated that they did not take advan-tage of this opportunity </t>
    </r>
    <r>
      <rPr>
        <rFont val="Calibri"/>
        <color rgb="FF00FF00"/>
        <sz val="11.0"/>
      </rPr>
      <t xml:space="preserve">as critically, the main effect of prime valence was not qualified by the Prime valence × Response option interaction, F(2, 134) = 0.60, p = .55.  </t>
    </r>
    <r>
      <rPr>
        <rFont val="Calibri"/>
        <color theme="1"/>
        <sz val="11.0"/>
      </rPr>
      <t>This finding strongly suggests that subjective experiences were poorly calibrated to the actual influence of the primes.</t>
    </r>
  </si>
  <si>
    <t>F(2, 134) = 0.60</t>
  </si>
  <si>
    <t>t(294) = 9.36</t>
  </si>
  <si>
    <t>https://osf.io/p6e3c/registrations</t>
  </si>
  <si>
    <t>soscisubmission41_1</t>
  </si>
  <si>
    <t>soscisubmission41</t>
  </si>
  <si>
    <t>Data for R copied from Footnote 4, it also seems like R replicate some results from another paper, specifically Vaughn, L. A. (2018). Contents of hopes and duties: A linguistic analysis. Frontiers in Psychology, 9, 1–13. DOI: https://doi.org/10.3389/fpsyg.2018.00757.  There are no registrations for the project, just in case copied the OSF project link</t>
  </si>
  <si>
    <t>SAJ: 
- Coders very similar in apprach
- Coder 2 row chosen as seems to code tails/nestedness more accurately (based on what is in the paper rather than intuition). 
- Coder 2 row also properly identified no replicaiton prereg within the OSF environment</t>
  </si>
  <si>
    <t>Vaughn, L. A. (2017b). Foundational tests of the need support model: A framework for bridging regulatory focus theory and self-determination theory. Personality and Social Psychology Bulletin, 43, 313–328. https://doi.org/10.1177/0146167216684132, Combined sample of Studies 1a-1c</t>
  </si>
  <si>
    <t>10.1177/0146167216684132</t>
  </si>
  <si>
    <t>1a-1c (combined samples)</t>
  </si>
  <si>
    <t>10.1177--0146167216684132.pdf</t>
  </si>
  <si>
    <t>Vaughn, L. A. (2019). Distinguishing Between Need Support and Regulatory Focus with LIWC. Collabra, 5(1). (Analyses of Study 2 reported in Footnote 4)</t>
  </si>
  <si>
    <t>10.1525/collabra.185</t>
  </si>
  <si>
    <t>10.1525--collabra.185.pdf</t>
  </si>
  <si>
    <t>Regulatory focus theory, Self-determination theory, Need satisfaction, Need support, Goals and motivation</t>
  </si>
  <si>
    <t>Participants reported higher need satisfaction in experiences of pursuing hopes than in experiences of pursuing duties (need for autonomy)</t>
  </si>
  <si>
    <t>Table 1. Cronbach’s Alphas and Tests of Between-Condition Differences in Studies 1a to 1c.</t>
  </si>
  <si>
    <t>https://osf.io/m2cyn/</t>
  </si>
  <si>
    <t xml:space="preserve">Vaughn, Leigh Ann; Osano, Maureen </t>
  </si>
  <si>
    <t>t(426.01) = 7.70, p &lt; .001, mean difference = 0.86, 95% C.I. [0.64, 1.09], d = 0.728.</t>
  </si>
  <si>
    <t>1a-1c (combined sample)</t>
  </si>
  <si>
    <t xml:space="preserve"> direct replication</t>
  </si>
  <si>
    <t>need-support model</t>
  </si>
  <si>
    <t xml:space="preserve">motivation, regulatory focus theory, self-determination theory, psychological needs, need support </t>
  </si>
  <si>
    <t>"There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</si>
  <si>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soscisubmission41_2</t>
  </si>
  <si>
    <t>t(445) = 3.86, p &lt; .001, mean difference = 0.37, 95% C.I. [0.18, 0.55], d = 0.365.</t>
  </si>
  <si>
    <t>Participants reported higher need satisfaction in experiences of pursuing hopes than in experiences of pursuing duties (need for competence)</t>
  </si>
  <si>
    <t>soscisubmission41_3</t>
  </si>
  <si>
    <t>t(455) = 4.33, p &lt; .001, mean difference = 0.49, 95% C.I. [0.27, 0.71], d = 0.409</t>
  </si>
  <si>
    <t>Participants reported higher need satisfaction in experiences of pursuing hopes than in experiences of pursuing duties (need for relatedness)</t>
  </si>
  <si>
    <t>soscisubmission45_1</t>
  </si>
  <si>
    <t>soscisubmission45</t>
  </si>
  <si>
    <t xml:space="preserve">SAJ:
- The exact replicaiton value to be selected was reviewed and adjusted
- Instead of an omnibus t-test (df 1455) the within classic ISE effect on bonus payments was extracted from Table 5 (p. 7) to compare directly to the original study and effect 
- The sample size of Coder 2 was incorrectly calcualted (see coder 2 notes) 
</t>
  </si>
  <si>
    <t>Thürmer, J. L., &amp; McCrea, S. M. (2018). Beyond motivated reasoning: Hostile reactions to critical comments from the outgroup. Motivation Science, 4(4), 333-346. https://doi.org/10.1037/mot0000097</t>
  </si>
  <si>
    <t>10.1037/mot0000097</t>
  </si>
  <si>
    <t>10.1037--mot0000097.pdf</t>
  </si>
  <si>
    <t>Thürmer, J. L., &amp; McCrea, S. M. (2021). Disentangling the Intergroup Sensitivity Effect: Defending the ingroup or enforcing general norms? European Journal of Social Psychology, 51(7), 1061-1072.</t>
  </si>
  <si>
    <t>10.1002/ejsp.2748</t>
  </si>
  <si>
    <t>10.1002--ejsp.2748.pdf</t>
  </si>
  <si>
    <t>intergroup sensitivity effect</t>
  </si>
  <si>
    <t>intergroup sensitivity effect, intergroup criticism, behavior, costly punishment,</t>
  </si>
  <si>
    <t>We investigated the hypothesis that group members would reject outgroup criticism (as compared to the same criticism from the ingroup) using costly punishment</t>
  </si>
  <si>
    <t>Entering bonus decisions as outcome in the t-test revealed the predicted group differences in punishment: Individuals assigned smaller bonuses for the outgroup comment than for the ingroup comment, resulting in significantly reduced pay (see Table 3).</t>
  </si>
  <si>
    <t>https://osf.io/49yza</t>
  </si>
  <si>
    <t>Thürmer, Lukas; Osano, Maureen</t>
  </si>
  <si>
    <t>1) The correct preregistration link for the replication study has been coded 2) The number of participants has been coded as 457 (t(1,455) = −4.503), i.e., 455+2 = 457, for the classic ISE (Contrast 1). This can, however, be validated</t>
  </si>
  <si>
    <r>
      <rPr>
        <rFont val="Arial"/>
      </rPr>
      <t xml:space="preserve">Thürmer, J. L., &amp; McCrea, S. M. (2018). Beyond motivated reasoning: Hostile reactions to critical comments from the outgroup. Motivation Science, 4(4), 333-346. </t>
    </r>
    <r>
      <rPr>
        <rFont val="Arial"/>
        <color rgb="FF1155CC"/>
        <u/>
      </rPr>
      <t>https://doi.org/10.1037/mot0000097</t>
    </r>
  </si>
  <si>
    <t>intergroup sensitivity effect, intergroup criticism, behavior,  motivation-goals, self-defensiveness, social identity, bystander effect, costly punishment, general norms</t>
  </si>
  <si>
    <t>"Participants across conditions were equally likely to solve the trivia questions (ingroup M = .984, SD = 1.123; outgroup M = .932, SD = 1.018), t(133) = .284, p = .777, and the number of trivia questions solved did not interact with the comment-source condition on the bonus decision "," motivations other than group defensiveness were at play (e.g., fairness considerations)."</t>
  </si>
  <si>
    <t>t(133)  = .284</t>
  </si>
  <si>
    <t>soscisubmission46_1</t>
  </si>
  <si>
    <t>soscisubmission46</t>
  </si>
  <si>
    <t>Values for R extracted from the OSF project page</t>
  </si>
  <si>
    <t xml:space="preserve">SAJ:
-This coder chose the correct main effect to report (ANOVA based on RT not PC) so this row was selected.
-Additional information added to the original effect to align more closely with the description
- Nestedness updated for both papers (one-way ANOVA grouped by trial type = not nested)
- Updated tags by combining informaiton from both coders for fullest response
</t>
  </si>
  <si>
    <t>Ulrich, R., Prislan, L., &amp; Miller, J. (2020). A bimodal extension of the Eriksen flanker task. Attention, Perception, &amp; Psychophysics. https://doi.org/10.3758/s13414-020-02150-8, Experiment 2</t>
  </si>
  <si>
    <t>10.3758/s13414-020-02150-8</t>
  </si>
  <si>
    <t>10.3758--s13414-020-02150-8.pdf</t>
  </si>
  <si>
    <t>Papenmeier, F., &amp; Rebholz, T. R. (2023, September). Bimodal Flanker: Audio vs. Visual. Retrieved from https://osf.io/8nzfm/</t>
  </si>
  <si>
    <t>https://osf.io/8nzfm/</t>
  </si>
  <si>
    <r>
      <rPr>
        <rFont val="Arial"/>
        <color theme="1"/>
      </rPr>
      <t xml:space="preserve">Flanker task, congruency, bimodal, interference effect, facilitation effect, </t>
    </r>
    <r>
      <rPr>
        <rFont val="Arial"/>
        <color rgb="FF00FF00"/>
      </rPr>
      <t>bimodal stimulation, conflict tasks, Eriksen flanker task, auditory flankers</t>
    </r>
  </si>
  <si>
    <t>For auditory flankers, correct responses are significantly faster in the perceptual-congruent condition than in the response-congruent and incongruent conditions, with no difference in response times between the latter two conditions.</t>
  </si>
  <si>
    <r>
      <rPr>
        <rFont val="Arial"/>
        <color theme="1"/>
      </rPr>
      <t xml:space="preserve">The three conditions produced different mean RTs, F(2, 70) = 47.05, p &lt; .01, η2 = 0.57; </t>
    </r>
    <r>
      <rPr>
        <rFont val="Arial"/>
        <color rgb="FF00FF00"/>
      </rPr>
      <t>although RT was virtually identical in response-congruent (492.4±2.1ms) and incongruent trials. (491.3±1.4ms), there was a speed advantage in perceptual congruent trials (470.5±1.9ms)</t>
    </r>
    <r>
      <rPr>
        <rFont val="Arial"/>
        <color theme="1"/>
      </rPr>
      <t>.  This result is consistent with the hypothesis that auditory flankers facilitate the processing of visual targets when their letter names are identical.</t>
    </r>
  </si>
  <si>
    <t>https://osf.io/8nzfm/wiki/home/</t>
  </si>
  <si>
    <t>https://osf.io/2dqxv</t>
  </si>
  <si>
    <t>Papenmeier, Frank; Rebholz, Tobias R.; Osano, Maureen</t>
  </si>
  <si>
    <t>This row needs validation because I'm not sure of the coded information since the replication study has limited information to compare with the original study.</t>
  </si>
  <si>
    <t>bimodal flanker effect</t>
  </si>
  <si>
    <t>Flanker task, congruency, bimodal,  bimodal stimulation, interference effect, facilitation effect, conflict tasks, Eriksen flanker task, auditory flankers</t>
  </si>
  <si>
    <t>For auditory flankers, correct responses are significantly faster in the perceptual-congruent condition than in the response-congruent and incongruent conditions, with no difference in response times between the latter two conditions (evidence for bimodal Flanker effects)</t>
  </si>
  <si>
    <t>"no statistically significant difference between the three conditions, F(2, 70) = 1.45, p = .24, η2 = 0.04 ","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</si>
  <si>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soscisubmission47_1</t>
  </si>
  <si>
    <t>soscisubmission47</t>
  </si>
  <si>
    <t xml:space="preserve">SAJ:
-Both coders coded very similiar rows
- Adjusted nestednes to yes due to mixed ANOVA for effect of interest. </t>
  </si>
  <si>
    <t>Reiter, A. M. F., Kanske, P., Eppinger, B., &amp; Li, S. C. (2017). The Aging of the Social Mind - Differential Effects on Components of Social Understanding. Scientific reports, 7(1), 11046. https://doi.org/10.1038/s41598-017-10669-4</t>
  </si>
  <si>
    <t>10.1038/s41598-017-10669-4</t>
  </si>
  <si>
    <t>10.1038--s41598-017-10669-4.pdf</t>
  </si>
  <si>
    <t>Stietz, J., Pollerhoff, L., Kurtz, M., Li, S. C., Reiter, A. M. F., &amp; Kanske, P. (2021). The ageing of the social mind: replicating the preservation of socio-affective and the decline of socio-cognitive processes in old age. Royal Society open science, 8(8), 210641. https://doi.org/10.1098/rsos.210641</t>
  </si>
  <si>
    <t>10.1098/rsos.210641</t>
  </si>
  <si>
    <t>10.1098--rsos.210641.pdf</t>
  </si>
  <si>
    <t>Differential Age Effects in ToM and Factual Reasoning</t>
  </si>
  <si>
    <t>behavioral age group differences in Theory of Mind (ToM) in adulthood</t>
  </si>
  <si>
    <t xml:space="preserve">Tis analysis revealed a signifcant main efect of age group (F(1,105)=126.03 p&lt;0.001, ηpartial2=0.55) ... </t>
  </si>
  <si>
    <t>https://osf.io/9bf3s</t>
  </si>
  <si>
    <t>N for the replication study from test statistic F1,84 = 107.831= 84+2 (df) = 86; Unsure if the replication is nested or not.</t>
  </si>
  <si>
    <r>
      <rPr>
        <rFont val="Arial"/>
      </rPr>
      <t xml:space="preserve">Reiter, A. M. F., Kanske, P., Eppinger, B., &amp; Li, S. C. (2017). The Aging of the Social Mind - Differential Effects on Components of Social Understanding. Scientific reports, 7(1), 11046. </t>
    </r>
    <r>
      <rPr>
        <rFont val="Arial"/>
        <color rgb="FF1155CC"/>
        <u/>
      </rPr>
      <t>https://doi.org/10.1038/s41598-017-10669-4</t>
    </r>
  </si>
  <si>
    <r>
      <rPr>
        <rFont val="Arial"/>
      </rPr>
      <t xml:space="preserve">Stietz, J., Pollerhoff, L., Kurtz, M., Li, S. C., Reiter, A. M. F., &amp; Kanske, P. (2021). The ageing of the social mind: replicating the preservation of socio-affective and the decline of socio-cognitive processes in old age. Royal Society open science, 8(8), 210641. </t>
    </r>
    <r>
      <rPr>
        <rFont val="Arial"/>
        <color rgb="FF1155CC"/>
        <u/>
      </rPr>
      <t>https://doi.org/10.1098/rsos.210641</t>
    </r>
  </si>
  <si>
    <t>social affect, empathy, compassion, social cognition, theory of mind, adult lifespan</t>
  </si>
  <si>
    <t>"a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</si>
  <si>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soscisubmission47_b</t>
  </si>
  <si>
    <t>Reiter, A.M.F., Kanske, P., Eppinger, B. et al. The Aging of the Social Mind - Differential Effects on Components of Social Understanding. Sci Rep 7, 11046 (2017). https://doi.org/10.1038/s41598-017-10669-4</t>
  </si>
  <si>
    <t>No Age Diferences in Empathy and Positive Age Diferences in Compassion.</t>
  </si>
  <si>
    <t>behavioral age group differences in empathy in adulthood</t>
  </si>
  <si>
    <t>Howewer, we observed no signifcant main efect of age group (F(1,105)=2.45, p=0.12, ηpartial2=0.02)</t>
  </si>
  <si>
    <t xml:space="preserve">Stietz, Julia; Osano, Maureen </t>
  </si>
  <si>
    <t>n_r = 81+2 =83; The rowid should be resolved because this is same replication study as the above row.</t>
  </si>
  <si>
    <r>
      <rPr>
        <rFont val="Arial"/>
      </rPr>
      <t xml:space="preserve">Reiter, A.M.F., Kanske, P., Eppinger, B. et al. The Aging of the Social Mind - Differential Effects on Components of Social Understanding. Sci Rep 7, 11046 (2017). </t>
    </r>
    <r>
      <rPr>
        <rFont val="Arial"/>
        <color rgb="FF1155CC"/>
        <u/>
      </rPr>
      <t>https://doi.org/10.1038/s41598-017-10669-4</t>
    </r>
  </si>
  <si>
    <r>
      <rPr>
        <rFont val="Arial"/>
      </rPr>
      <t xml:space="preserve">Stietz, J., Pollerhoff, L., Kurtz, M., Li, S. C., Reiter, A. M. F., &amp; Kanske, P. (2021). The ageing of the social mind: replicating the preservation of socio-affective and the decline of socio-cognitive processes in old age. Royal Society open science, 8(8), 210641. </t>
    </r>
    <r>
      <rPr>
        <rFont val="Arial"/>
        <color rgb="FF1155CC"/>
        <u/>
      </rPr>
      <t>https://doi.org/10.1098/rsos.210641</t>
    </r>
  </si>
  <si>
    <t>"no signifcant main efect of age group (F(1,105)=2.45, p=0.12, ηpartial2=0.02) and no signifcant age group x emotionality interaction (F(1,105)=0.008, p=0.93, ηpartial2&lt;0.001). Tus, emotionally negative videos triggered empathic responding in both age groups to a similar extent."</t>
  </si>
  <si>
    <t>soscisubmission49_1</t>
  </si>
  <si>
    <t>soscisubmission49</t>
  </si>
  <si>
    <t xml:space="preserve">SAJ:
- Both coders coded very similiar rows
- Coder 2 row chosen as better description/tags
- Ongoing row_id discrepancy to be resolved. </t>
  </si>
  <si>
    <t>behavioral age group differences in compassion in adulthood</t>
  </si>
  <si>
    <t>an independent t-test showed signifcant age diferences (t(82.74)=5.20, p&lt;0.001, Cohen’s d=0.99); older adults indicated higher ratings of compassion than younger adults (Fig. 3b).</t>
  </si>
  <si>
    <t>soscisubmission47_c</t>
  </si>
  <si>
    <t>Stietz, Julia; Osano, Maureen</t>
  </si>
  <si>
    <t>n_r = 72+2 =74 (t72 = 7.087). However, it needs to be validated to pick the right one between the pre-coded 85 and 74. The rowid should also be resolved because this is the same replication study as soscisubmission47.</t>
  </si>
  <si>
    <r>
      <rPr>
        <rFont val="Arial"/>
      </rPr>
      <t xml:space="preserve">Reiter, A.M.F., Kanske, P., Eppinger, B. et al. The Aging of the Social Mind - Differential Effects on Components of Social Understanding. Sci Rep 7, 11046 (2017). </t>
    </r>
    <r>
      <rPr>
        <rFont val="Arial"/>
        <color rgb="FF1155CC"/>
        <u/>
      </rPr>
      <t>https://doi.org/10.1038/s41598-017-10669-4</t>
    </r>
  </si>
  <si>
    <r>
      <rPr>
        <rFont val="Arial"/>
      </rPr>
      <t xml:space="preserve">Stietz, J., Pollerhoff, L., Kurtz, M., Li, S. C., Reiter, A. M. F., &amp; Kanske, P. (2021). The ageing of the social mind: replicating the preservation of socio-affective and the decline of socio-cognitive processes in old age. Royal Society open science, 8(8), 210641. </t>
    </r>
    <r>
      <rPr>
        <rFont val="Arial"/>
        <color rgb="FF1155CC"/>
        <u/>
      </rPr>
      <t>https://doi.org/10.1098/rsos.210641</t>
    </r>
  </si>
  <si>
    <t>"an independent t-test showed signifcant age diferences (t(82.74)=5.20, p&lt;0.001, Cohen’s d=0.99); older adults indicated higher ratings of compassion than younger adults"</t>
  </si>
  <si>
    <t>soscisubmission6_1</t>
  </si>
  <si>
    <t>soscisubmission6</t>
  </si>
  <si>
    <t>Mahmoud Elsherif, Roksana</t>
  </si>
  <si>
    <t>30.03.2023</t>
  </si>
  <si>
    <t>For original study, I am not sure if I am coding the F values correctly or whether these should be coded seperately as two different rows (aka one for subject-level and one for item-level)</t>
  </si>
  <si>
    <t>Lambon Ralph, M.A., &amp; Ehsan, S. (2006). Age of acquisition effects depend on the mapping between representations and the frequency of occurrence: Empirical and computational evidence, Visual Cognition, 13:7-8, 928-948. https://doi.org/10.1080/13506280544000110</t>
  </si>
  <si>
    <t>10.1080/13506280544000110</t>
  </si>
  <si>
    <t>10.1080--13506280544000110.pdf</t>
  </si>
  <si>
    <t>Catling, J., &amp; Elsherif, M. (2020). The hunt for the age of acquisition effect: It’s in the links! Acta Psychologica, 209, 103138. (Supplementary to compare Study 1 and Study 3)</t>
  </si>
  <si>
    <t>10.1016/j.actpsy.2020.103138</t>
  </si>
  <si>
    <t>10.1016--j.actpsy.2020.103138 .pdf</t>
  </si>
  <si>
    <t>Partial replication</t>
  </si>
  <si>
    <t>Age acquisition effect</t>
  </si>
  <si>
    <t>Age of acquisition, Picture naming, word naming, Direct replication, lexical retrieval</t>
  </si>
  <si>
    <t>The magnitude of the age of acquisition effect I(i.e. early-acquired words are named more quickly than later-acquired words) in lexical retrieval is larger in picture naming than visual word naming.</t>
  </si>
  <si>
    <t>"The AoA effect interacted strongly with task, F1(l, 42) = 168.4, F2(l, 76) = 48.1"</t>
  </si>
  <si>
    <t>13-14</t>
  </si>
  <si>
    <t>F1(1, 42) = 168.4, F2(1, 76) = 48.1</t>
  </si>
  <si>
    <t>p. 13-14</t>
  </si>
  <si>
    <t>X2 (4) = 7.39</t>
  </si>
  <si>
    <t>soscisubmission6_1_2_1</t>
  </si>
  <si>
    <t xml:space="preserve">1. In the manuscript along all the results only one result is matching. I also checked the results with: https://osf.io/yh5js.It seems in the end when comparing the results there was an error, since the corresponding tasks are in experiments 1b and 3b, instead of 1b and 2b. This could influence the results.
2. I am not sure whether replication authors use RT by item or RT by subject. I assume it was RT by subject in the end. </t>
  </si>
  <si>
    <t>added 1 to study_o, added Experiment 1B to study_r</t>
  </si>
  <si>
    <t>Supplementary to compare Study 1 and Study 3 (Experiment 1B)</t>
  </si>
  <si>
    <t xml:space="preserve">Age-of-Acquisition effect
</t>
  </si>
  <si>
    <t>Age of acquisition, Word naming, Picture naming, Verification, Subtraction</t>
  </si>
  <si>
    <t>Picture naming times were significantly faster for early than late acquired words</t>
  </si>
  <si>
    <t>Post-hoc t-tests conducted on the by-items and by-subjects data confirmed that picture naming times were significantly faster for early than late acquired words, t1(21) = 13.5; t2(78) = 6.33</t>
  </si>
  <si>
    <t>t1(21) = 13.5</t>
  </si>
  <si>
    <t>X2(1) = 47.46</t>
  </si>
  <si>
    <t>soscisubmission6_2</t>
  </si>
  <si>
    <t>soscisubmission6_b</t>
  </si>
  <si>
    <t>social value orientation (TDM); older siblings; sample 1</t>
  </si>
  <si>
    <t>X2(2) = 0.52</t>
  </si>
  <si>
    <t>added 1 to study_o, added Experiment 2B to study_r</t>
  </si>
  <si>
    <t>Supplementary to compare Study 1 and Study 3 (Experiment 2B)</t>
  </si>
  <si>
    <t>Word naming times were insignificantly faster for late acquired words</t>
  </si>
  <si>
    <t>Post hoc t-tests conducted on the by-items and by-subjects data confirmed [...] the small difference in mean reading times favouring late acquired items was not statistically reliable, t1(21) = 2.49, p = .02; t2(78) = 0.71, n.s.</t>
  </si>
  <si>
    <t>t(78) = 0.71</t>
  </si>
  <si>
    <t>X2(1) = 0.42</t>
  </si>
  <si>
    <t>soscisubmission7_1</t>
  </si>
  <si>
    <t>soscisubmission7</t>
  </si>
  <si>
    <t>Kulke, Louisa, Roksana</t>
  </si>
  <si>
    <t>31.03.2023</t>
  </si>
  <si>
    <t xml:space="preserve">SAJ:
- Coders largely aligned
- Double checked sources for tails and nestedness. 
- Neither indicates tails for effects of interest (original indicates tails for other analyses only). 
- Nestedness assumed for original (repeated measures), but t-test for replication (not nested). 
- Updated tags and descriptions by combining information from both coders for most complete entry. </t>
  </si>
  <si>
    <t>Southgate, V., Senju, A., &amp; Csibra, G. (2007). Action anticipation through attribution of false belief by 2-year-olds. Psychological science, 18(7), 587-592.</t>
  </si>
  <si>
    <t>10.1111/j.1467-9280.2007.01944.x</t>
  </si>
  <si>
    <t>10.1111--j.1467-9280.2007.01944.x.pdf</t>
  </si>
  <si>
    <t>Kulke, L., Von Duhn, B., Schneider, D., &amp; Rakoczy, H. (2018). Is implicit theory of mind a real and robust phenomenon? results from a systematic replication study. Psychological Science, 29(6), 888–900.</t>
  </si>
  <si>
    <t>10.1177/0956797617747090</t>
  </si>
  <si>
    <t>10.1177--0956797617747090.pdf</t>
  </si>
  <si>
    <t>Systematic Replication Study TC</t>
  </si>
  <si>
    <t>False Beliefs, Mental State Attribution, Eye Tracking, Infant Development, Cognitive Psychology, Theory of Mind, 25-Month-Old Infants, Action Prediction, Child Psychology, Infant Behavior, Developmental Psychology, Mental State Understanding, Cognitive Development, False Belief Task, Infancy Research, Early Childhood Cognition, Psychological Experiments, Developmental Milestones, Anticipatory Behavior, Eye-Tracking Methodology</t>
  </si>
  <si>
    <t>Implicit Theory of Mind can be measured through anticipatory looking patterns measured through eye-tracking.</t>
  </si>
  <si>
    <t>"A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η²p = .22."</t>
  </si>
  <si>
    <r>
      <rPr>
        <rFont val="Arial"/>
        <color rgb="FF1155CC"/>
        <u/>
      </rPr>
      <t>OSF Registries | Implicit Theory of Mind – myth or mindreading mechanism</t>
    </r>
  </si>
  <si>
    <t>soscisubmission7_1_2_1</t>
  </si>
  <si>
    <t>1. I would rather say that the Discipline is more about Developmental psychology 2. In the replication the DLS metric is used.  The DLS is the difference between looking time to the correct side and looking time to the incorrect side divided by the sum of looking  time to both sides.</t>
  </si>
  <si>
    <t>Implicit theory of Mind</t>
  </si>
  <si>
    <r>
      <rPr>
        <rFont val="Calibri"/>
        <color theme="1"/>
        <sz val="11.0"/>
      </rPr>
      <t xml:space="preserve">Implicit theory of mind, False-Belief Task, Anticipatory Looking Reality Bias, Infants, Eyetracking, </t>
    </r>
    <r>
      <rPr>
        <rFont val="Calibri"/>
        <color rgb="FF00FF00"/>
        <sz val="11.0"/>
      </rPr>
      <t>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r>
  </si>
  <si>
    <r>
      <rPr>
        <rFont val="Calibri"/>
        <color theme="1"/>
        <sz val="11.0"/>
      </rPr>
      <t xml:space="preserve">Infants can differentiate the false-belief as they looked longer for the correct window, </t>
    </r>
    <r>
      <rPr>
        <rFont val="Calibri"/>
        <color rgb="FF00FF00"/>
        <sz val="11.0"/>
      </rPr>
      <t>Implicit Theory of Mind can be measured through anticipatory looking patterns measured through eye-tracking.</t>
    </r>
  </si>
  <si>
    <t>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</si>
  <si>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https://osf.io/dxb5n</t>
  </si>
  <si>
    <t>soscisubmission7_1_2_2</t>
  </si>
  <si>
    <t>Implicit theory of mind, False-Belief Task, Anticipatory Looking Reality Bias, Infants, Eyetracking</t>
  </si>
  <si>
    <t>The looking duration to the correct window doesn't depend on the interaction between window and condition</t>
  </si>
  <si>
    <t>The interaction between window and condition was not significant</t>
  </si>
  <si>
    <t>soscisubmission7_1_2_3</t>
  </si>
  <si>
    <t>soscisubmission7_1_2_4</t>
  </si>
  <si>
    <t>soscisubmission8_1</t>
  </si>
  <si>
    <t>soscisubmission8</t>
  </si>
  <si>
    <t>Lou, Nigel Mantou, Roksana</t>
  </si>
  <si>
    <t>provided effect size is standardized beta and treated as a correlation. Preregistration Link was false. There is no preregistration</t>
  </si>
  <si>
    <t>Blackwell, L. S., Trzesniewski, K. H., &amp; Dweck, C. S. (2007). Implicit theories of intelligence predict achievement across an adolescent transition: A longitudinal study and an intervention. Child development, 78(1), 246-263. https://doi.org/10.1111/j.1467-8624.2007.00995.x Study 1</t>
  </si>
  <si>
    <t>10.1111/j.1467-8624.2007.00995.x</t>
  </si>
  <si>
    <t>10.1111--j.1467-8624.2007.00995.x.pdf</t>
  </si>
  <si>
    <t>Li, Y., &amp; Bates, T. C. (2020). Testing the association of growth mindset and grades across a challenging transition: Is growth mindset associated with grades? Intelligence, 81, 101471. (Study 2)</t>
  </si>
  <si>
    <t>10.1016/j.intell.2020.101471</t>
  </si>
  <si>
    <t>10.1016--j.intell.2020.101471.pdf</t>
  </si>
  <si>
    <t>Near-replication</t>
  </si>
  <si>
    <t>Growth Mindset</t>
  </si>
  <si>
    <t>Implicit Theories of Intelligence, Achievement Motivation, Adolescent Development, Mathematics Achievement, Incremental Theory, Entity Theory, Longitudinal Study, Educational Psychology, Growth Mindset, Fixed Mindset, Intervention Study, Classroom Motivation, Academic Trajectories, Causal Attributions, Learning Goals, Effort Beliefs, Educational Intervention, Student Performance, Middle School Students, Motivation and Academic Achievement, Dweck's Mindset Theory</t>
  </si>
  <si>
    <t>Growth mindset is associated with the change of grades in a challenging educational transition.</t>
  </si>
  <si>
    <t>"However, there was a significant effect of theory of intelligence on change in grades (β = .53, t = 2.93, p &lt; 0.05). The significant effect of theory of intelligence at Level 2 represents an interaction between theory of intelligence and time."</t>
  </si>
  <si>
    <t>Nikita (to do)</t>
  </si>
  <si>
    <t>soscisubmission8_1_1</t>
  </si>
  <si>
    <t>1. Conceptual - because if was a testing of the same effect but on another age cohort 2. Four students were removed from the analysis (study 2) 3. The results are attributed to the period from entry 1st year to the end of the 2nd year</t>
  </si>
  <si>
    <t>Growth mindset</t>
  </si>
  <si>
    <t>Adolescent, Child, Cohort Studies, Educational Status, Helplessness, Learned Humans Intelligence, Internal-External Control, Longitudinal Studies, Teaching, incremental theory, entity theory</t>
  </si>
  <si>
    <t>Growth mindset led to higher math grades in the end of the 2nd year</t>
  </si>
  <si>
    <t>An incremental theory of intelligence at the beginning of junior high school predicted higher mathematics grades earned at the end of the second year of junior high school (b = .17, t = 3.40, p &lt; .05)</t>
  </si>
  <si>
    <t>soscisubmission9_1</t>
  </si>
  <si>
    <t>soscisubmission9</t>
  </si>
  <si>
    <t>ES for O changed in accordance with O (etasq partial instead of d).  A typo in R results description (p &lt; .05) , while it's clear from the description that it's not true. "However, an independent samples t-test (one-tailed) showed no significant (p &lt; .05) difference between the two color conditions, t(67) = 0.14, p = .443, and an effect size close to zero, d = 0.04, 95% CI [-0.44, 0.51].| Replicated studies were not preregistered</t>
  </si>
  <si>
    <t xml:space="preserve">SAJ:
- Coders coded very similar rows
- Coder 2 had stronger description/tags (updated to inlcude any extra terms from coder 1 for completeness). </t>
  </si>
  <si>
    <t>Gnambs, T., Kovacs, C., &amp; Stiglbauer, B. (2020). Processing the word red and Intellectual Performance: Four replication attempts. Collabra, 6(1).</t>
  </si>
  <si>
    <t>color priming</t>
  </si>
  <si>
    <t>red color, cognitive performance, reasoning, intelligence,</t>
  </si>
  <si>
    <r>
      <rPr>
        <rFont val="Arial"/>
        <color theme="1"/>
      </rPr>
      <t xml:space="preserve">An ANOVA revealed a significant effect of experimental condition on performance, F(1, 42) = 5.95, P &lt; 0.05, </t>
    </r>
    <r>
      <rPr>
        <rFont val="Arial"/>
        <color rgb="FF00FF00"/>
      </rPr>
      <t>n</t>
    </r>
    <r>
      <rPr>
        <rFont val="Arial"/>
        <color theme="1"/>
      </rPr>
      <t>2 p = 0.12; participants in the red condition performed worse (M = 11.13, SD = 2.65) than those in the gray condition (M = 13.24, SD = 3.08). No participant correctly guessed the purpose of the experiment.... Our research clearly documents the semantic red effect: processing the word red undermined intellectual performance</t>
    </r>
  </si>
  <si>
    <t>This row has been coded as Experiment 1 replication study of Experiment 2 in the original study.</t>
  </si>
  <si>
    <t>Removed "Experiment 2" after ref_o</t>
  </si>
  <si>
    <t>semantic red effect</t>
  </si>
  <si>
    <r>
      <rPr>
        <rFont val="Arial"/>
        <color theme="1"/>
      </rPr>
      <t>color, performance, semantic red effect, avoidance, red color, cognitive performance, intelligence, general knowledge,</t>
    </r>
    <r>
      <rPr>
        <rFont val="Arial"/>
        <color rgb="FF00FF00"/>
      </rPr>
      <t xml:space="preserve"> reasoning </t>
    </r>
  </si>
  <si>
    <t>svodevelopment_1</t>
  </si>
  <si>
    <t>svodevelopment</t>
  </si>
  <si>
    <t>26.03.2024</t>
  </si>
  <si>
    <t>The pval_value_o was estimated based on t(84) = 2.40 sarahashjones@gmail.com Hello. Please help me understand this. This t(84) = 2.40 does not exist in the original study, therefore, I have discarded the entry. I hope this is correct. Thank you.</t>
  </si>
  <si>
    <t>1. There are more effects in the original and the replication study that are not relevant to the main hypotheses. 2. The preregistration link was incorrect. It was the OSF link for the OSF folder. Added the correct preregistration link.</t>
  </si>
  <si>
    <t>Van Lange, P. A. M., De Bruin, E., Otten, W., &amp; Joireman, J. A. (1997). Development of prosocial, individualistic, and competitive orientations: Theory and preliminary evidence. Journal of Personality and Social Psychology, 73(4), 733–746. https://doi.org/10.1037/0022-3514.73.4.733 Study 1</t>
  </si>
  <si>
    <t>10.1037--0022-3514.73.4.733.pdf</t>
  </si>
  <si>
    <t>Liu, Y., Wang, B., &amp; Van Lange, P. a. M. (2022). The development of social value orientation: Attachment styles, number of siblings, age, and a comparison of measures. European Journal of Personality, 37(4), 402–417.</t>
  </si>
  <si>
    <t>10.1177/08902070221094216</t>
  </si>
  <si>
    <t>10.1177--08902070221094216.pdf</t>
  </si>
  <si>
    <t>Social value orientation</t>
  </si>
  <si>
    <r>
      <rPr>
        <rFont val="Calibri"/>
        <color rgb="FF00FF00"/>
        <sz val="11.0"/>
      </rPr>
      <t xml:space="preserve"> </t>
    </r>
    <r>
      <rPr>
        <rFont val="Calibri"/>
        <color theme="1"/>
        <sz val="11.0"/>
      </rPr>
      <t>social value orientation (TDM); secure attachment (AAS); sample 1</t>
    </r>
  </si>
  <si>
    <t>prosocials have a higher level of secure attachment than individualists</t>
  </si>
  <si>
    <t>https://doi.org/10.17605/OSF.IO/U6ZW9</t>
  </si>
  <si>
    <t xml:space="preserve">Maureen </t>
  </si>
  <si>
    <t>Teshome K. Deressa</t>
  </si>
  <si>
    <t>16.03.2025</t>
  </si>
  <si>
    <t>(1) P-value was not reported. As a result, I can't able to enter NA in the column "pval_type_o" as NA is not in listed in the dropdown menu; (2) I considered the adjusted p-value for the replicated effect size. sarahashjones@gmail.com This coder considered the adjusted p-value, yet I understand we should code just the p-value. Should I consider the adjusted p-value or correct it to just the normal p-value?</t>
  </si>
  <si>
    <t>1. There are more effects in the original and the replication study which are not relevant to the main hypotheses. 2. The preregistration link was incorrect. It was the OSF link for the OSF folder. Added the correct preregistration link. 3. Corrected and updated tags for a more complete entry. 4. Coder 2 rows chosen mostly because of the inclusion of the claim texts that are missing in coder 1 rows. 4. Updated the closeness to "1: internal" for the "validated-chosen" rows because the first author in the original study, Paul A. M. Van Lange, was part of the replication study.</t>
  </si>
  <si>
    <r>
      <rPr>
        <rFont val="Calibri"/>
        <color theme="1"/>
        <sz val="11.0"/>
      </rPr>
      <t>social value orientation (TDM)</t>
    </r>
    <r>
      <rPr>
        <rFont val="Calibri"/>
        <color rgb="FF00FF00"/>
        <sz val="11.0"/>
      </rPr>
      <t>,</t>
    </r>
    <r>
      <rPr>
        <rFont val="Calibri"/>
        <color theme="1"/>
        <sz val="11.0"/>
      </rPr>
      <t xml:space="preserve"> secure attachment (AAS)</t>
    </r>
    <r>
      <rPr>
        <rFont val="Calibri"/>
        <color rgb="FF00FF00"/>
        <sz val="11.0"/>
      </rPr>
      <t>,</t>
    </r>
    <r>
      <rPr>
        <rFont val="Calibri"/>
        <color theme="1"/>
        <sz val="11.0"/>
      </rPr>
      <t xml:space="preserve"> sample 1</t>
    </r>
    <r>
      <rPr>
        <rFont val="Calibri"/>
        <color rgb="FF00FF00"/>
        <sz val="11.0"/>
      </rPr>
      <t>, social interaction, prosocials, individualists, competitors</t>
    </r>
  </si>
  <si>
    <t>consistent with the prosocial-security hypothesis, prosocials (M = 6.24, SD = 1.38) exhibited greater levels of secure attachment than did individualists (M = 5.92, SD = 1.35).</t>
  </si>
  <si>
    <t>p. 12 of supplementary material</t>
  </si>
  <si>
    <t>svodevelopment_10</t>
  </si>
  <si>
    <t>Although the replication used the same AAS measure for attachment, SVO was measured using the SLM rather than TDM as in the original study. As one key construct was measured differently, this is coded as a conceptual replication (closeness = 3). Original p-value computed from t(48) = 2.46.</t>
  </si>
  <si>
    <t xml:space="preserve">1. There are more effects in the original and the replication study that are not relevant to the main hypotheses. 2. The preregistration link was incorrect. It was the OSF link for the OSF folder. Added the correct preregistration link. </t>
  </si>
  <si>
    <t>social value orientation (SLM); secure attachment (AAS); sample 1</t>
  </si>
  <si>
    <t>prosocials have a higher level of secure attachment than competitors</t>
  </si>
  <si>
    <t>20.03.2025</t>
  </si>
  <si>
    <t>(1) P-value was not reported. As a result, I can't able to enter NA in the column "pval_type_o" as NA is not in listed in the dropdown menu; (2) I considered the adjusted p-value for the replicated effect size; (3) The categories individualists and competitors merged in the replication paper.</t>
  </si>
  <si>
    <t>1. There are more effects in the original and the replication study that are not relevant to the main hypotheses. 2. The preregistration link was incorrect. It was the OSF link for the OSF folder. Added the correct preregistration link. 3. Corrected and updated tags for a more complete entry</t>
  </si>
  <si>
    <r>
      <rPr>
        <rFont val="Calibri"/>
        <color theme="1"/>
        <sz val="11.0"/>
      </rPr>
      <t>social value orientation (SLM)</t>
    </r>
    <r>
      <rPr>
        <rFont val="Calibri"/>
        <color rgb="FF00FF00"/>
        <sz val="11.0"/>
      </rPr>
      <t>,</t>
    </r>
    <r>
      <rPr>
        <rFont val="Calibri"/>
        <color theme="1"/>
        <sz val="11.0"/>
      </rPr>
      <t xml:space="preserve"> secure attachment (AAS)</t>
    </r>
    <r>
      <rPr>
        <rFont val="Calibri"/>
        <color rgb="FF00FF00"/>
        <sz val="11.0"/>
      </rPr>
      <t>,</t>
    </r>
    <r>
      <rPr>
        <rFont val="Calibri"/>
        <color theme="1"/>
        <sz val="11.0"/>
      </rPr>
      <t xml:space="preserve"> sample 1</t>
    </r>
    <r>
      <rPr>
        <rFont val="Calibri"/>
        <color rgb="FF00FF00"/>
        <sz val="11.0"/>
      </rPr>
      <t>, social interaction, prosocials, individualists, competitors</t>
    </r>
  </si>
  <si>
    <t>consistent with the prosocial-security hypothesis, prosocials (M = 6.24, SD = 1.38) exhibited greater levels of secure attachment than did competitors (M = 5.51, SD = 1.59).</t>
  </si>
  <si>
    <t>svodevelopment_11</t>
  </si>
  <si>
    <t>This replication used the same 4-item composite for secure attachment as the original but measured SVO using SLM instead of TDM. As one key construct was operationalized differently, this is considered a conceptual replication (closeness = 3). Original p-value computed from t(48) = 2.46.</t>
  </si>
  <si>
    <t>social value orientation (SLM); secure attachment (original); sample 1</t>
  </si>
  <si>
    <r>
      <rPr>
        <rFont val="Calibri"/>
        <color theme="1"/>
        <sz val="11.0"/>
      </rPr>
      <t>social value orientation (SLM), secure attachment (original), sample 1,</t>
    </r>
    <r>
      <rPr>
        <rFont val="Calibri"/>
        <color rgb="FF00FF00"/>
        <sz val="11.0"/>
      </rPr>
      <t xml:space="preserve"> social interaction, prosocials, individualists, competitors</t>
    </r>
  </si>
  <si>
    <t>svodevelopment_12</t>
  </si>
  <si>
    <t xml:space="preserve">Both constructs were measured differently in this replication (SLM for SVO and ECR-R for attachment), though the theoretical hypothesis remained the same. Coded as a conceptual replication (closeness = 3). Original p-value computed from t(48) = 2.46. </t>
  </si>
  <si>
    <t>1. There are more effects in the original and the replication study which are not relevant to the main hypotheses. 2. The preregistration link was incorrect. It was the OSF link for the OSF folder. Added the correct preregistration link.</t>
  </si>
  <si>
    <t>social value orientation (SLM); secure attachment (ECR-R); sample 1</t>
  </si>
  <si>
    <r>
      <rPr>
        <rFont val="Calibri"/>
        <color theme="1"/>
        <sz val="11.0"/>
      </rPr>
      <t>social value orientation (SLM), secure attachment (ECR-R), sample 1</t>
    </r>
    <r>
      <rPr>
        <rFont val="Calibri"/>
        <color rgb="FF00FF00"/>
        <sz val="11.0"/>
      </rPr>
      <t>, social interaction, prosocials, individualists, competitors</t>
    </r>
  </si>
  <si>
    <t>svodevelopment_13</t>
  </si>
  <si>
    <t>This effect compares the number of siblings between prosocials and individualists using the same TDM measure and operationalization of sibling count as in the original study. Original authors were not involved; coded as a close replication (closeness = 2). Original p-value estimated from F(2, 135) = 3.22.</t>
  </si>
  <si>
    <t>Van Lange, P. A. M., De Bruin, E., Otten, W., &amp; Joireman, J. A. (1997). Development of prosocial, individualistic, and competitive orientations: Theory and preliminary evidence. Journal of Personality and Social Psychology, 73(4), 733–746. https://doi.org/10.1037/0022-3514.73.4.733 Study 3</t>
  </si>
  <si>
    <t>social value orientation (TDM); total siblings; sample 1</t>
  </si>
  <si>
    <t>prosocials have more siblings than individualists</t>
  </si>
  <si>
    <t>21.03.2025</t>
  </si>
  <si>
    <t>social value orientation (TDM), total siblings, sample 1</t>
  </si>
  <si>
    <t>consistent with the sibling-prosocial hypothesis, Panel A of Figure 3 reveals that the number of siblings is greater for prosocials (M = 2.03, SD = 1.56) than for individualists (M = 1.63, SD = 1.00).</t>
  </si>
  <si>
    <t>p. 14 of supplementary material</t>
  </si>
  <si>
    <t>svodevelopment_14</t>
  </si>
  <si>
    <t>This replication used the same TDM measure and conceptualization of sibling count as in the original study to compare prosocials and competitors. Original p-value estimated from F(2, 135) = 3.22. Coded as a close replication (closeness = 2).</t>
  </si>
  <si>
    <t>prosocials have more siblings than competitors</t>
  </si>
  <si>
    <t>consistent with the sibling-prosocial hypothesis, Panel A of Figure 3 reveals that the number of siblings is greater for prosocials (M = 2.03, SD = 1.56) than for competitors (M = 1.71, SD = 1.35).</t>
  </si>
  <si>
    <t>svodevelopment_15</t>
  </si>
  <si>
    <t>This replication used the same operationalization of sibling gender count (number of sisters) and TDM measure as the original. Original p-value estimated from F(2, 135) = 3.84. Coded as a close replication (closeness = 2).</t>
  </si>
  <si>
    <t>social value orientation (TDM); sister; sample 1</t>
  </si>
  <si>
    <t>prosocials have more sisters than individualists</t>
  </si>
  <si>
    <t>social value orientation (TDM), sister, sample 1</t>
  </si>
  <si>
    <t>Panel C of Figure 3 reveals that the number of sisters was greater for prosocials (M = 1.05, SD = 1.14) than for individualists (M = 0.74, SD = 0.75).</t>
  </si>
  <si>
    <t>svodevelopment_16</t>
  </si>
  <si>
    <t>This effect compares prosocials and competitors on number of sisters using the same TDM measure and operationalization as the original. Original p-value estimated from F(2, 135) = 3.84. Coded as a close replication (closeness = 2).</t>
  </si>
  <si>
    <t>prosocials have more sisters than competitors</t>
  </si>
  <si>
    <t>Panel C of Figure 3 reveals that the number of sisters was greater for prosocials (M = 1.05, SD = 1.14) than for competitors (M = 0.76, SD = 0.88).</t>
  </si>
  <si>
    <t>svodevelopment_17</t>
  </si>
  <si>
    <t>This effect compares prosocials and individualists on number of older siblings using the same measurement and operationalization as the original study. Original p-value estimated from F(2, 135) = 3.46. Coded as a close replication (closeness = 2).</t>
  </si>
  <si>
    <t>prosocials have more older siblings than individualists</t>
  </si>
  <si>
    <t>social value orientation (TDM), older siblings, sample 1</t>
  </si>
  <si>
    <t>Panel B of Figure 3 reveals that the number of older siblings was greater for prosocials (M = 0.96, SD = 1.25) than for individualists (M = 0.67, SD = 0.79).</t>
  </si>
  <si>
    <t>svodevelopment_18</t>
  </si>
  <si>
    <t>This replication used the same measure of SVO (TDM) and identical operationalization of number of older siblings as the original. Original p-value estimated from F(2, 135) = 3.46. Coded as a close replication (closeness = 2).</t>
  </si>
  <si>
    <t>1. There are more effects in the original and the replication study which are not relevant to the main hypotheses. 2. The preregistration link was incorrect. It was the OSF link for the OSF folder. Added the correct preregistration link. 3. This row has been discarded because the coded information is either incorrect or insufficient to support the hypothesis that prosocials have more older siblings than competitors.</t>
  </si>
  <si>
    <t>prosocials have more older siblings than competitors</t>
  </si>
  <si>
    <t xml:space="preserve">1. There are more effects in the original and the replication study which are not relevant to the main hypotheses. 2. The preregistration link was incorrect. It was the OSF link for the OSF folder. Added the correct preregistration link. </t>
  </si>
  <si>
    <t>the hypothesis for prosocicals vs. competitors was not conducted in the original study</t>
  </si>
  <si>
    <t>svodevelopment_19</t>
  </si>
  <si>
    <t>This replication used the SLM measure for SVO rather than TDM as in the original study. While sibling count was operationalized the same way, the change in SVO measurement leads to coding this as a conceptual replication (closeness = 3). Original p-value estimated from F(2, 135) = 3.22.</t>
  </si>
  <si>
    <t>social value orientation (SLM); total siblings; sample 1</t>
  </si>
  <si>
    <t>social value orientation (SLM), total siblings, sample 1</t>
  </si>
  <si>
    <t>svodevelopment_2</t>
  </si>
  <si>
    <t>Although this effect uses the same secure attachment composite (AAS 4-item average) as in the original study, it was labeled "original" in the replication paper to distinguish it from the subscales and ECR-R measures. It was Coded separately to match the replication reporting structure.</t>
  </si>
  <si>
    <t>social value orientation (TDM); secure attachment (original); sample 1</t>
  </si>
  <si>
    <t>(1) P-value was not reported. As a result, I can't able to enter NA in the column "pval_type_o" as NA is not in listed in the dropdown menu; (2) I considered the adjusted p-value for the replicated effect size.</t>
  </si>
  <si>
    <t>social value orientation (TDM), secure attachment (original), sample 1</t>
  </si>
  <si>
    <t>svodevelopment_20</t>
  </si>
  <si>
    <t>While sibling count was measured identically to the original study, this replication used the SLM instead of the TDM measure for SVO. As a result, the replication is coded as conceptual (closeness = 3). Original p-value estimated from F(2, 135) = 3.22.</t>
  </si>
  <si>
    <t>svodevelopment_21</t>
  </si>
  <si>
    <t>Although the same operationalization of sibling gender (number of sisters) was used, the replication employed the SLM measure for SVO instead of TDM. Therefore, this is coded as a conceptual replication (closeness = 3). Original p-value estimated from F(2, 135) = 3.84.</t>
  </si>
  <si>
    <t>social value orientation (SLM); sister; sample 1</t>
  </si>
  <si>
    <t>social value orientation (SLM), sister, sample 1</t>
  </si>
  <si>
    <t>svodevelopment_22</t>
  </si>
  <si>
    <t>This replication used the same operationalization of sibling gender (number of sisters), but measured SVO using SLM instead of TDM. Thus, this is coded as a conceptual replication (closeness = 3). Original p-value estimated from F(2, 135) = 3.84.</t>
  </si>
  <si>
    <t>svodevelopment_23</t>
  </si>
  <si>
    <t>This replication examined number of older siblings using the same operationalization as the original study, but measured SVO using the SLM rather than TDM. Coded as a conceptual replication (closeness = 3). Original p-value estimated from F(2, 135) = 3.46.</t>
  </si>
  <si>
    <t>social value orientation (SLM); older siblings; sample 1</t>
  </si>
  <si>
    <t>1. There are more effects in the original and the replication study which are not relevant to the main hypotheses. 2. The preregistration link was incorrect. It was the OSF link for the OSF folder. Added the correct preregistration link. 3. Added claim_text_o and claim_page_o for this selected row because they were missing.</t>
  </si>
  <si>
    <t>social value orientation (SLM), older siblings, sample 1</t>
  </si>
  <si>
    <t>"Panel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</si>
  <si>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svodevelopment_24</t>
  </si>
  <si>
    <t>The replication used the same operationalization of older sibling count but measured SVO using SLM instead of TDM. Coded as a conceptual replication (closeness = 3). Original p-value estimated from F(2, 135) = 3.46.</t>
  </si>
  <si>
    <t>22.03.2025</t>
  </si>
  <si>
    <t>svodevelopment_25</t>
  </si>
  <si>
    <t>The replication examined the relationship between age and SVO using the same TDM measure and categorization logic. Original p-value estimated from χ²(4) = 10.61. Coded as a close replication (closeness = 2)</t>
  </si>
  <si>
    <t>Van Lange, P. A. M., De Bruin, E., Otten, W., &amp; Joireman, J. A. (1997). Development of prosocial, individualistic, and competitive orientations: Theory and preliminary evidence. Journal of Personality and Social Psychology, 73(4), 733–746. https://doi.org/10.1037/0022-3514.73.4.733 Study 4</t>
  </si>
  <si>
    <t>social value orientation (TDM); age; sample 1</t>
  </si>
  <si>
    <t>more prosocials in older age group</t>
  </si>
  <si>
    <t>Please kindly check the way I calculated Cramers V.</t>
  </si>
  <si>
    <t>1. There are more effects in the original and the replication study which are not relevant to the main hypotheses. 2. The preregistration link was incorrect. It was the OSF link for the OSF folder. Added the correct preregistration link. 3. sarahashjones@gmail.com Hello. I need help with Cramer's V calculation for this row's es_value_o. Is there a standard calculation formula for it for the project? Thanks.</t>
  </si>
  <si>
    <t>social value orientation (TDM), age, sample 1</t>
  </si>
  <si>
    <t>as can be seen in Figure 4, the percentages of prosocials systematically elevated with increasing age (varying from 55.9% to 67.3%, 77.5%, and 81.5%), whereas the percentages of individualists (varying from 30.7% to 24.9%, 16.3%. and 15.1%) and competitors (varying from 13.3% to 7.8%, 6.2%, and 3.3%) decreased with increasing age.</t>
  </si>
  <si>
    <t>svodevelopment_26</t>
  </si>
  <si>
    <t>This replication examined the age–SVO relationship using the SLM measure instead of TDM. Although the hypothesis was the same, the change in SVO measurement warrants coding this as a conceptual replication (closeness = 3). Original p-value estimated from χ²(4) = 10.61.</t>
  </si>
  <si>
    <t>1. There are more effects in the original and the replication study that are not relevant to the main hypotheses. 2. The preregistration link was incorrect. It was the OSF link for the OSF folder. Added the correct preregistration link. 3. The coder provides no claim text for this row, in which the test statistics have been reported to support the hypothesis that there are more prosocials in the older age group.</t>
  </si>
  <si>
    <t>social value orientation (SLM), age, sample 1</t>
  </si>
  <si>
    <t>the hypothesis for social value orientation (SLM) vs. age were not conducted both in the original  and replication studies (for sample 1)</t>
  </si>
  <si>
    <t>svodevelopment_3</t>
  </si>
  <si>
    <t>This replication used a different measure of attachment (ECR-R) than the original (AAS), although the theoretical construct and hypothesis remain the same. Therefore, coded as a conceptual replication (closeness = 3).</t>
  </si>
  <si>
    <t>social value orientation (TDM), secure attachment (ECR-R), sample 1</t>
  </si>
  <si>
    <t>17.03.2025</t>
  </si>
  <si>
    <t>svodevelopment_4</t>
  </si>
  <si>
    <t>Exact p-value (≈ 0.018) was computed from t(48) = 2.46, since the original study only reported p &lt; .05.</t>
  </si>
  <si>
    <t>social value orientation (TDM), secure attachment (AAS), sample 1</t>
  </si>
  <si>
    <t>svodevelopment_5</t>
  </si>
  <si>
    <t>svodevelopment_6</t>
  </si>
  <si>
    <t>This replication used the ECR-R scale to measure secure attachment, unlike the original AAS measure. Since the theoretical claim is the same but measurement differs, coded as conceptual replication (closeness = 3). The original p-value was computed from reported t(48) = 2.46.</t>
  </si>
  <si>
    <t>svodevelopment_7</t>
  </si>
  <si>
    <t>This replication used the SLM measure for social value orientation instead of TDM, while keeping the same attachment measure (AAS). Because of the change in SVO measurement, coded as a conceptual replication (closeness = 3). Original p-value computed from t(84) = 2.40.</t>
  </si>
  <si>
    <t>social value orientation (SLM), secure attachment (AAS), sample 1</t>
  </si>
  <si>
    <t>svodevelopment_8</t>
  </si>
  <si>
    <t>1. There are more effects in the original and the replication study which are not relevant to the main hypotheses. 2. The preregistration link was incorrect. It was the OSF link for the OSF folder. Added the correct preregistration link. 3. There is no information provided on why the closeness for this row has been categorised as conceptual, hence highlighted in red.</t>
  </si>
  <si>
    <t>social value orientation (SLM), secure attachment (original), sample 1</t>
  </si>
  <si>
    <t>svodevelopment_9</t>
  </si>
  <si>
    <t>This replication used different measures for both constructs (SLM for SVO and ECR-R for attachment). Although the theoretical hypothesis remains the same, both methodological differences justify coding it as a conceptual replication (closeness = 3). Original p-value computed from t(84) = 2.40.</t>
  </si>
  <si>
    <t>social value orientation (SLM), secure attachment (ECR-R), sample 1</t>
  </si>
  <si>
    <t>svodevelopment2_1</t>
  </si>
  <si>
    <t>svodevelopment2</t>
  </si>
  <si>
    <t>Yi Liu</t>
  </si>
  <si>
    <t>03.05.2023</t>
  </si>
  <si>
    <t>1. There are more effects in the original and the replication study which are not relevant to the main hypotheses. 2. The preregistration link was incorrect. It was the OSF link for the OSF folder. Added the correct preregistration link. 3. The coder has coded statistics from a claim text of study 2 of the original study which was not part of the replication study. The claim text should come from study 1 which is the target for this row. Other data like n_o are also incorrect.</t>
  </si>
  <si>
    <t>social value orientation, secure attachment, adult attachment</t>
  </si>
  <si>
    <t>social value orientation (TDM); secure attachment (AAS); sample 2 - prosocials have a higher level of secure attachment than individualists</t>
  </si>
  <si>
    <t xml:space="preserve">prosocials (M = 5.25, SD = 1.90) exhibited greater levels of secure attachment than did individualists (M = 4.91, SD = 1.76) </t>
  </si>
  <si>
    <t>1. The statistical results are not presented for the specific claim/finding. However, it is generally addressed. 2. The preregistration link was incorrect. It was the OSF link for the OSF folder. Added the correct preregistration link. 3. This row outlays a completely different description/ claim text as the above row yet they need to be reporting the same thing. The coded information is as well incomplete.</t>
  </si>
  <si>
    <t>social value orientation, adult attachment, siblings, replication</t>
  </si>
  <si>
    <t>a multivariate main effect for social value orientation</t>
  </si>
  <si>
    <t>analysis revealed a multivariate main effect for social value orientation, F(6, 886) = 3.05, p &lt; .01</t>
  </si>
  <si>
    <t>F(6, 886)=3.05</t>
  </si>
  <si>
    <t>svodevelopment2_10</t>
  </si>
  <si>
    <t>social value orientation (SLM); secure attachment (AAS); sample 2 - prosocials have a higher level of secure attachment than competitors</t>
  </si>
  <si>
    <t xml:space="preserve">prosocials (M = 5.25, SD = 1.90) exhibited greater levels of secure attachment than did (...) competitors (M = 3.68, SD - 2.14). </t>
  </si>
  <si>
    <t>Maureen - to do</t>
  </si>
  <si>
    <t>svodevelopment2_1i</t>
  </si>
  <si>
    <t>1. The replication study conjoined the two of the SVOs i.e. individualists and competitors as proself. Therefore, finding out the comparisons of individual SVOs is not possible. 2. The preregistration link was incorrect. It was the OSF link for the OSF folder. Added the correct preregistration link.</t>
  </si>
  <si>
    <t>Prosocials had significantly lower anxious-ambivalent attachment when compared with individualists and competitors</t>
  </si>
  <si>
    <t>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
  </si>
  <si>
    <t>F(I, 444) = 4,88</t>
  </si>
  <si>
    <t>p. 5 &amp; 6</t>
  </si>
  <si>
    <t>svodevelopment2_11</t>
  </si>
  <si>
    <t>social value orientation (SLM); secure attachment (original); sample 2 - prosocials have a higher level of secure attachment than competitors</t>
  </si>
  <si>
    <t>svodevelopment2_1j</t>
  </si>
  <si>
    <t>1. There are no statistical results for this specific claim in the orignal study 2. The preregistration link was incorrect. It was the OSF link for the OSF folder. Added the correct preregistration link.</t>
  </si>
  <si>
    <t>prosocial-security hypothesis contrast between individualists and competitors was not significant</t>
  </si>
  <si>
    <t>contrast between individualists and competitors was not significan</t>
  </si>
  <si>
    <t>svodevelopment2_12</t>
  </si>
  <si>
    <t>social value orientation (SLM); secure attachment (ECR-R); sample 2 - prosocials have a higher level of secure attachment than competitors</t>
  </si>
  <si>
    <t>svodevelopment2_3</t>
  </si>
  <si>
    <t>The association between social value orientation and number of siblings</t>
  </si>
  <si>
    <t>This analysis revealed a significant main effect for social value orientation, F(2, 535) = 4.82, p &lt; .01</t>
  </si>
  <si>
    <t>svodevelopment2_13</t>
  </si>
  <si>
    <t>social value orientation (TDM); total siblings; sample 2 - prosocials have more siblings than individualists</t>
  </si>
  <si>
    <t xml:space="preserve">number of siblings is greater for prosocials (A/ = 2.03, SD = 1.56) than for individualists (M = 1.63, SD = 1.00) and  competitors (M = 1.71, SD — 1.35). </t>
  </si>
  <si>
    <t>svodevelopment2_3a</t>
  </si>
  <si>
    <t>Following sibling-prosocial hypothesis the number of siblings is greater for prosocials than for individualists and competitors</t>
  </si>
  <si>
    <t>the number of siblings is greater for prosocials (A/ = 2.03, SD = 1.56) than for individualists (M = 1.63, SD = 1.00) and competitors (M = 1.71, SD — 1.35). ubsequent planned comparisons revealed a significant contrast between prosocials versus individualists and competitors, F{1, 535) = 9.14, p&lt; .005</t>
  </si>
  <si>
    <t>p.7 &amp; 8</t>
  </si>
  <si>
    <t>F{1, 535) = 9.14</t>
  </si>
  <si>
    <t>svodevelopment2_14</t>
  </si>
  <si>
    <t>social value orientation (TDM); total siblings; sample 2 - prosocials have more siblings than competitors</t>
  </si>
  <si>
    <t>svodevelopment2_3b</t>
  </si>
  <si>
    <t>1. There are no statistical results for this specific claim. 2. The preregistration link was incorrect. It was the OSF link for the OSF folder. Added the correct preregistration link.</t>
  </si>
  <si>
    <t>Following sibling-prosocial hypothesis differences between individualists and competitors were not significant.</t>
  </si>
  <si>
    <t>Differences between individualists and competitors were not significant.</t>
  </si>
  <si>
    <t>svodevelopment2_15</t>
  </si>
  <si>
    <t>social value orientation (TDM); sister; sample 2 - prosocials have more sisters than individualists</t>
  </si>
  <si>
    <t xml:space="preserve">number of sisters was greater for prosocials (M = 1.05, SD = 1.14) than for individualists (M = 0.74, SD = 0.75) or competitors (M = 0.76, SD = 0.88). </t>
  </si>
  <si>
    <t>svodevelopment2_3c</t>
  </si>
  <si>
    <t>Social value orientation affects number of older siblings and number of sisters-mutivariate effect</t>
  </si>
  <si>
    <t>a multivariate main effect for social value orientation, F(8, 1066) = 1.99, p &lt; .05</t>
  </si>
  <si>
    <t>F(8, 1066) = 1.99</t>
  </si>
  <si>
    <t>svodevelopment2_16</t>
  </si>
  <si>
    <t>social value orientation (TDM); sister; sample 2 - prosocials have more sisters than competitors</t>
  </si>
  <si>
    <t>svodevelopment2_3d</t>
  </si>
  <si>
    <t>1. I have used the p-value rather than the adjusted p-value for the replication study. 2. The preregistration link was incorrect. It was the OSF link for the OSF folder. Added the correct preregistration link.</t>
  </si>
  <si>
    <t>social value orientation for number of older siblings-univariate level</t>
  </si>
  <si>
    <t>a significant main effect for social value orientation for number of older siblings, F(2, 535) = 3.64, p &lt; .05</t>
  </si>
  <si>
    <t>F(2, 535) = 3.64</t>
  </si>
  <si>
    <t>svodevelopment2_17</t>
  </si>
  <si>
    <t>social value orientation (TDM); older siblings; sample 2 - prosocials have more older siblings than individualists</t>
  </si>
  <si>
    <t xml:space="preserve">number of older siblings was greater for prosocials (M ~ 0.96, SD = 1.25) than for individualists (M = 0.67, SD = 0.79). </t>
  </si>
  <si>
    <t>svodevelopment2_3e</t>
  </si>
  <si>
    <t>social value orientation for number of sisters-univariate level</t>
  </si>
  <si>
    <t>a significant main effect for social value orientation for number of older siblings, F(2, 535) = 3.64, p &lt; .05, and number of sisters, F(2, 535) = 6.16, p &lt; .005</t>
  </si>
  <si>
    <t>F(2, 535) = 6.16</t>
  </si>
  <si>
    <t>svodevelopment2_18</t>
  </si>
  <si>
    <t>social value orientation (TDM); older siblings; sample 2 - prosocials have more older siblings than competitors</t>
  </si>
  <si>
    <t>svodevelopment2_3f</t>
  </si>
  <si>
    <t>the number of older siblings was greater for prosocials than for individualistsa reveled by a significant contrast between prosocials versus individualists and competitors.</t>
  </si>
  <si>
    <t>the number of older siblings was greater for prosocials (M ~ 0.96, SD = 1.25) than for individualists (M = 0.67, SD = 0.79). Subsequent comparisons revealed a significant contrast between prosocials versus individualists and competitors, F{1, 535) = 4.94, p &lt; .05</t>
  </si>
  <si>
    <t>F{1, 535) = 4.94</t>
  </si>
  <si>
    <t>svodevelopment2_19</t>
  </si>
  <si>
    <t>social value orientation (SLM); total siblings; sample 2 - prosocials have more siblings than individualists</t>
  </si>
  <si>
    <t>svodevelopment2_3g</t>
  </si>
  <si>
    <t>siblings diffeences between individualists and competitors were not significant.</t>
  </si>
  <si>
    <t>Differences between individualists and competitors (M = 0.90, SD = 1.02) were not significant</t>
  </si>
  <si>
    <t>svodevelopment2_2</t>
  </si>
  <si>
    <t>social value orientation (TDM); secure attachment (original); sample 2 - prosocials have a higher level of secure attachment than individualists</t>
  </si>
  <si>
    <t>svodevelopment2_1a</t>
  </si>
  <si>
    <t>1. I have used the p-value rather than the adjusted p-value. for the replication study. 2. The preregistration link was incorrect. It was the OSF link for the OSF folder. Added the correct preregistration link.</t>
  </si>
  <si>
    <t>relationship between social value orientation and level of secure attachment-univariate level</t>
  </si>
  <si>
    <t>At the univariate level, the main effect for social value orientation was significant for level of secure attach- ment, F(2, 444) = 7.07, p &lt; .001</t>
  </si>
  <si>
    <t>F(2, 444)=7.07</t>
  </si>
  <si>
    <t>svodevelopment2_20</t>
  </si>
  <si>
    <t>social value orientation (SLM); total siblings; sample 2 - prosocials have more siblings than competitors</t>
  </si>
  <si>
    <t>svodevelopment2_3h</t>
  </si>
  <si>
    <t>the number of sisters was greater for prosocials than for individualists or competitors revealed by a significant contrast between prosocials versus individualists and competitors</t>
  </si>
  <si>
    <t>the number of sisters was greater for prosocials (M = 1.05, SD = 1.14) than for individualists (M = 0.74, SD = 0.75) or competitors (M = 0.76, SD = 0.88). Subsequent comparisons revealed a significant contrast between prosocials versus individualists and competitors, F( 1, 535) = 12.27, p &lt; .001.</t>
  </si>
  <si>
    <t>F( 1, 535) = 12.27</t>
  </si>
  <si>
    <t>svodevelopment2_21</t>
  </si>
  <si>
    <t>social value orientation (SLM); sister; sample 2 - prosocials have more sisters than individualists</t>
  </si>
  <si>
    <t>svodevelopment2_3i</t>
  </si>
  <si>
    <t>1. There are no statistical results for this specific claim in the orignal study. 2. The preregistration link was incorrect. It was the OSF link for the OSF folder. Added the correct preregistration link.</t>
  </si>
  <si>
    <t>Differences between individualists and competitors were not significant</t>
  </si>
  <si>
    <t>svodevelopment2_22</t>
  </si>
  <si>
    <t>25.03.2025</t>
  </si>
  <si>
    <t>social value orientation (SLM); sister; sample 2 - prosocials have more sisters than competitors</t>
  </si>
  <si>
    <t>svodevelopment2_4</t>
  </si>
  <si>
    <t>1. There are no exact claims in the replication study. 2.. The preregistration link was incorrect. It was the OSF link for the OSF folder. Added the correct preregistration link.</t>
  </si>
  <si>
    <t>The association of age, level of education, and gender with social value orientation-main effects</t>
  </si>
  <si>
    <t>This analysis revealed significant main effects for social value orientation, partial X2 (2, N = 1593) = 1061.72</t>
  </si>
  <si>
    <t>χ²(2, N = 1593) = 1061.72</t>
  </si>
  <si>
    <t>svodevelopment2_23</t>
  </si>
  <si>
    <t>social value orientation (SLM); older siblings; sample 2 - prosocials have more older siblings than individualists</t>
  </si>
  <si>
    <t>svodevelopment2_4a</t>
  </si>
  <si>
    <t>1. Main effect is not present in the replication study. 2. The preregistration link was incorrect. It was the OSF link for the OSF folder. Added the correct preregistration link.</t>
  </si>
  <si>
    <t>The association of age with Social value orienatation-main effect</t>
  </si>
  <si>
    <t>This analysis revealed significant main effects for social value orientation, partial X2 (2, N = 1593) = 1061.72; age, partial X2 (3, N = 1593) = 166.88; education, partial X2 (2, N = 1593) = 314.90; and gender, partial X2 (1, N = 1593) = 12.85, (all p s&lt; .001)</t>
  </si>
  <si>
    <t>χ²(2, N = 1593) = 166.88,</t>
  </si>
  <si>
    <t>svodevelopment2_24</t>
  </si>
  <si>
    <t>social value orientation (SLM); older siblings; sample 2 - prosocials have more older siblings than competitors</t>
  </si>
  <si>
    <t>svodevelopment2_4b</t>
  </si>
  <si>
    <t>Social Value Orientation and Age Interaction</t>
  </si>
  <si>
    <t>the analysis revealed a Social Value Orientation x Age interaction, partial X2 ( 6 , N = 1593) = 62.25, p &lt; .001</t>
  </si>
  <si>
    <t>χ²(6, N = 1593) = 62.25</t>
  </si>
  <si>
    <t>svodevelopment2_25</t>
  </si>
  <si>
    <t>social value orientation (TDM); age; sample 2 - more prosocials in older age group</t>
  </si>
  <si>
    <t xml:space="preserve">Social Value Orientation x Age  interaction, partial x 2 (6,# = 1593) = 62.25,/? &lt; .001. </t>
  </si>
  <si>
    <t>X2(6,1593) = 62.25</t>
  </si>
  <si>
    <t>svodevelopment2_26</t>
  </si>
  <si>
    <t>social value orientation (SLM); age; sample 2 - more prosocials in older age group</t>
  </si>
  <si>
    <t>social value orientation (TDM); secure attachment (ECR-R); sample 2 - prosocials have a higher level of secure attachment than individualists</t>
  </si>
  <si>
    <t>svodevelopment2_1b</t>
  </si>
  <si>
    <t>relationship between social value orientation and level of avoidant attachment-univariate level</t>
  </si>
  <si>
    <t>marginal for level of avoidant attachment, F(2, 444) = 2.47, p &lt; .10</t>
  </si>
  <si>
    <t>F(2, 444) = 2.47</t>
  </si>
  <si>
    <t>social value orientation (TDM); secure attachment (AAS); sample 2 - prosocials have a higher level of secure attachment than competitors</t>
  </si>
  <si>
    <t>svodevelopment2_1c</t>
  </si>
  <si>
    <t>relationship between social value orientation and level of anxious-ambivalent attachment-univariate level</t>
  </si>
  <si>
    <t>Marginal for both level of avoidant attachment, F(2, 444) = 2.47, p &lt; .10 and evel of anxious-ambivalent attachment, F(2, 444) = 2.76, p &lt; .10.</t>
  </si>
  <si>
    <t>F(2, 444) = 2.76</t>
  </si>
  <si>
    <t>svodevelopment2_5</t>
  </si>
  <si>
    <t>social value orientation (TDM); secure attachment (original); sample 2 - prosocials have a higher level of secure attachment than competitors</t>
  </si>
  <si>
    <t>svodevelopment2_1d</t>
  </si>
  <si>
    <t>1. There are no statistical results for this specific claim. 2. There are no such claim in the replication study.  3. The preregistration link was incorrect. It was the OSF link for the OSF folder. Added the correct preregistration link.</t>
  </si>
  <si>
    <t>No main or Interaction effect of gender on attachmant styles</t>
  </si>
  <si>
    <t>The two-factor MANOVA did not reveal any effects involving gender, indicating that the association of social value orientation and secure attachment is independent of participant's gender.</t>
  </si>
  <si>
    <t>svodevelopment2_6</t>
  </si>
  <si>
    <t>social value orientation (TDM); secure attachment (ECR-R); sample 2 - prosocials have a higher level of secure attachment than competitors</t>
  </si>
  <si>
    <t>svodevelopment2_1e</t>
  </si>
  <si>
    <t>prosocial-security hypothesis comparisons revealed a significant contrast between prosocials versus individualists and competitors</t>
  </si>
  <si>
    <t>planned comparisons revealed a significant contrast between prosocials versus individualists and competitors, F(1, 444) = 11.09, p &lt; .001</t>
  </si>
  <si>
    <t>p.4 &amp; 5</t>
  </si>
  <si>
    <t>F(1, 444) = 11.09</t>
  </si>
  <si>
    <t>svodevelopment2_7</t>
  </si>
  <si>
    <t>social value orientation (SLM); secure attachment (AAS); sample 2 - prosocials have a higher level of secure attachment than individualists</t>
  </si>
  <si>
    <t>svodevelopment2_1f</t>
  </si>
  <si>
    <t>prosocial-security hypothesis comparisons revealed a marginal difference between individualists and competitors</t>
  </si>
  <si>
    <t>comparisons revealed a significant contrast between prosocials versus individ- ualists and competitors, F(1, 444) = 11.09, p &lt; .001, and a maginal difference between individualists and competitors, F ( l , 444) = 3.04, p &lt; .10</t>
  </si>
  <si>
    <t>F ( l , 444) = 3.04</t>
  </si>
  <si>
    <t>svodevelopment2_8</t>
  </si>
  <si>
    <t>social value orientation (SLM); secure attachment (original); sample 2 - prosocials have a higher level of secure attachment than individualists</t>
  </si>
  <si>
    <t>svodevelopment2_1g</t>
  </si>
  <si>
    <t>Prosocials had significantly lower avoidant attachment contrasted with individualists and competitors</t>
  </si>
  <si>
    <t>congruent with the prosocial-security hypothesis, contrasts relevant to the marginal relationship between social value orientation and avoidant attachment revealed that proso- cials (M = 3.56, SD = 1.61) exhibited lower levels of avoidant attachment than did individualists (M = 3.92, SD = 1.48) and competitors (M = 3.86, SD = 1.48), respectively, F(I, 444) = 4,88, p &lt; .05</t>
  </si>
  <si>
    <t>F(I, 444) = 4,88,</t>
  </si>
  <si>
    <t>svodevelopment2_9</t>
  </si>
  <si>
    <t>social value orientation (SLM); secure attachment (ECR-R); sample 2 - prosocials have a higher level of secure attachment than individualists</t>
  </si>
  <si>
    <t>svodevelopment2_1h</t>
  </si>
  <si>
    <t>contrast between individualists and competitors was not significant</t>
  </si>
  <si>
    <t>uxajg_1</t>
  </si>
  <si>
    <t>uxajg</t>
  </si>
  <si>
    <r>
      <rPr>
        <rFont val="Calibri"/>
        <sz val="11.0"/>
      </rPr>
      <t xml:space="preserve">1. Since no paper / report or notes in the OSF, the values for REPLICATION statistical inferences were taken the site: </t>
    </r>
    <r>
      <rPr>
        <rFont val="Calibri"/>
        <color rgb="FF1155CC"/>
        <sz val="11.0"/>
        <u/>
      </rPr>
      <t>https://osf.io/uxajg</t>
    </r>
    <r>
      <rPr>
        <rFont val="Calibri"/>
        <sz val="11.0"/>
      </rPr>
      <t xml:space="preserve"> 
2. Initial OSF registration is under the link: </t>
    </r>
    <r>
      <rPr>
        <rFont val="Calibri"/>
        <color rgb="FF1155CC"/>
        <sz val="11.0"/>
        <u/>
      </rPr>
      <t>https://osf.io/jqzsf</t>
    </r>
  </si>
  <si>
    <t>Adams, D., Koenig, B., Sanders, C., Jackson, D., &amp; Davis, C. (2018, December 4). Response Effort on Cleanliness Priming for Moral Judgements. https://doi.org/10.17605/OSF.IO/UXAJG</t>
  </si>
  <si>
    <t>10.17605/OSF.IO/UXAJG</t>
  </si>
  <si>
    <t>https://osf.io/uxajg</t>
  </si>
  <si>
    <t>1. The description only focused on the "low response effort condition" because replication study mentions that it only replicates the low response effort condition. This was implied from sample size of the original effect. 2. Results for rhe replication are not presented.</t>
  </si>
  <si>
    <t>The cleanliness condition had a lower mean composite rating than the neutral condition in the low response effort condition</t>
  </si>
  <si>
    <t>negative 0.29</t>
  </si>
  <si>
    <t>0.04</t>
  </si>
  <si>
    <t xml:space="preserve">https://osf.io/658pq/ </t>
  </si>
  <si>
    <t>XPHI10_1</t>
  </si>
  <si>
    <t>XPHI10</t>
  </si>
  <si>
    <t>No statistics in O, extracted from XPHI</t>
  </si>
  <si>
    <t>Entry from another coder not found</t>
  </si>
  <si>
    <t>Nahmias, E., Morris, S. G., Nadelhoffer, T., &amp; Turner, J. (2006). Is incompatibilism intuitive? Philosophy and Phenomenological Research, 73(1), 28-53</t>
  </si>
  <si>
    <t>10.1111/j.1933-1592.2006.tb00603.x</t>
  </si>
  <si>
    <t>10.1111--j.1933-1592.2006.tb00603.x.pdf</t>
  </si>
  <si>
    <t>X2(1, N = 82) = 8.2439, p = 0.004089)</t>
  </si>
  <si>
    <t>X2(1, N = 161) = 2.2422 df = 1, p = 0.1343</t>
  </si>
  <si>
    <r>
      <rPr>
        <rFont val="&quot;Helvetica Neue&quot;"/>
        <color rgb="FF1155CC"/>
        <sz val="8.0"/>
        <u/>
      </rPr>
      <t>osf.io/m8t3k/</t>
    </r>
  </si>
  <si>
    <t>XPHI11_b</t>
  </si>
  <si>
    <t xml:space="preserve">In the post-replication report, there are also some results listed that provide insufficient statistical reporting. Therefore, I have not included them in this table for now but can gladly do so if needed.: "To analyze the answers regarding the degree of praise or blame appropriate, we conducted a logit model, as in the original experiment, with praise or blame as DV and vignette (Harm vs Help) and question-type (jaan vs jaan-bujhkar) as IV. As in the original experiment, there was a significant effect for vignette-type, Z=3.5, but no significant effect of question-type, Z=0.38, nor a significant interaction, Z=0.16. The reader can find the proportions of participants answering “Yes” to questions about praise or blame in Table 2. As in the original experiment, again, we found that judgments about whether thechairman  acted  jaan-bujhkar  were  correlated  with  judgment  about  whether  the  chairman deserved praise or blame, φ=0.36, p&lt;.001. As in the original experiment, judgments about whether the chairman did jaan that starting the program would help or harm the environment were not significantly correlated with judgments of praise or blame, φ =.01, p=.30." </t>
  </si>
  <si>
    <t>additional entry with extra results - no second coder</t>
  </si>
  <si>
    <t>Knobe, J., &amp; Burra, A. (2006). The folk concepts of intention andintentional action: A cross-cultural study. Journal of Cognition and Culture, 6(1), 113-132.</t>
  </si>
  <si>
    <t>Theory of mind, moral cognition, intention, intentional action, cross-cultural evidence</t>
  </si>
  <si>
    <t xml:space="preserve">"Similarly, subjects were significantly more likely to say that the chairman did jaan that the environment would be helped than that he helped the environment jaan-bujhkar, x2 (1, N = 31) = 16.3, p &lt; .001." </t>
  </si>
  <si>
    <t>X2(1) = 16.3</t>
  </si>
  <si>
    <t>X2(1) = 10</t>
  </si>
  <si>
    <t>https://osf.io/mr3nb</t>
  </si>
  <si>
    <t>Aleksandr Pravednikov, SAJ</t>
  </si>
  <si>
    <t>XPHI12_1</t>
  </si>
  <si>
    <t>XPHI12</t>
  </si>
  <si>
    <t>The p-value in the original paper is described as "p &lt; .05" while the table states that the original p-value was p = 0.03.</t>
  </si>
  <si>
    <t>Mistake in p value of replication</t>
  </si>
  <si>
    <t>Nichols, S. (2006). Folk intuitions on free will. Journal of Cognition and Culture, 6(1), 57-86.</t>
  </si>
  <si>
    <t>10.1163/156853706776931385</t>
  </si>
  <si>
    <t>Free will, responsibility, folk intuitions, experimental philosophy, conceptual analysis</t>
  </si>
  <si>
    <t>"For Part I, 6 responded as determinists, and 2 responded as indeterminists.", "The appeal to indeterminist choice was extremely rare when subjects were asked to predict the decision of psychological duplicates. This provides some rudimentary support for Hume’s claim that people really accept psychological determinism."</t>
  </si>
  <si>
    <t>X2(1) = 4.500</t>
  </si>
  <si>
    <t>https://doi.org/10.17605/OSF.IO/TFC6X</t>
  </si>
  <si>
    <r>
      <rPr>
        <rFont val="Arial"/>
        <color theme="1"/>
        <sz val="11.0"/>
      </rPr>
      <t xml:space="preserve">XPHI states ES for O  w = 0.75, </t>
    </r>
    <r>
      <rPr>
        <rFont val="Arial"/>
        <color rgb="FFB6D7A8"/>
        <sz val="11.0"/>
      </rPr>
      <t>The p-value in the original paper is described as "p &lt; .05" while the table states that the original p-value was p = 0.03.</t>
    </r>
  </si>
  <si>
    <t>Tidied up row (especially links)  
Included description (missing from both rows)
Chose this row as it had the correct p value for the replication</t>
  </si>
  <si>
    <t>10.1163--156853706776931385.pdf</t>
  </si>
  <si>
    <t>https://osf.io/4a7v6</t>
  </si>
  <si>
    <t>Free will, moral responsibility, folk intuitions, experimental philosophy, conceptual analysis</t>
  </si>
  <si>
    <t>this paper explores the psychological underpinnings of folk intuitions about free will and responsibility</t>
  </si>
  <si>
    <t>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</si>
  <si>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X2(1, N = 50) = 9.68, p = 0.001863</t>
  </si>
  <si>
    <t>https://osf.io/fxqpr</t>
  </si>
  <si>
    <t>Aleksandr Pravednikov, Sarah Ashcroft-Jones</t>
  </si>
  <si>
    <t>XPHI13_1</t>
  </si>
  <si>
    <t>XPHI13</t>
  </si>
  <si>
    <t>ES for O copied from XPHI dataset</t>
  </si>
  <si>
    <t>Nadelhoffer, T. (2006). Bad acts, blameworthy agents, and intentional actions: Some problems for juror impartiality. Philosophical explorations, 9(2), 203-219.</t>
  </si>
  <si>
    <t>10.1080/13869790600641905</t>
  </si>
  <si>
    <t>10.1080--13869790600641905.pdf</t>
  </si>
  <si>
    <t>the participants in C1 were more likely to say that the thief knowingly brought about the officer’s death (75 percent) than the participants in C2 were to say that the driver knowingly brought about the death of the car thief</t>
  </si>
  <si>
    <t>p. 210</t>
  </si>
  <si>
    <t>p. 210 X2(1, N = 126) = 7.62, p &lt; .01</t>
  </si>
  <si>
    <t>X2(1, N = 259) = 43.02, p &lt; 0.001</t>
  </si>
  <si>
    <r>
      <rPr>
        <rFont val="&quot;Helvetica Neue&quot;"/>
        <color rgb="FF1155CC"/>
        <sz val="11.0"/>
        <u/>
      </rPr>
      <t>osf.io/bv42c/</t>
    </r>
  </si>
  <si>
    <t>XPHI14_1</t>
  </si>
  <si>
    <t>XPHI14</t>
  </si>
  <si>
    <t>Nichols, S., &amp; Knobe, J. (2007). Moral responsibility and determinism: The cognitive science of folk intuitions. Nous, 41(4), 663-685.</t>
  </si>
  <si>
    <t>10.1111/j.1468-0068.2007.00666.x</t>
  </si>
  <si>
    <t>10.1111--j.1468-0068.2007.00666.x.pdf</t>
  </si>
  <si>
    <t>Experimental Evidence: First Phase</t>
  </si>
  <si>
    <t>50% of subjects gave the compatibilist response, which is still significantly different from the very low number of compatibilist responses in the abstract condition.8</t>
  </si>
  <si>
    <t>p. 670</t>
  </si>
  <si>
    <t>p. 682 X2(1, N = 41) = 6.034, p &lt; 0.05</t>
  </si>
  <si>
    <t>X2 = 42.2, df = 1, p&lt;.001</t>
  </si>
  <si>
    <r>
      <rPr>
        <rFont val="&quot;Helvetica Neue&quot;"/>
        <color rgb="FF1155CC"/>
        <sz val="11.0"/>
        <u/>
      </rPr>
      <t>osf.io/693bm/</t>
    </r>
  </si>
  <si>
    <t>XPHI15_1</t>
  </si>
  <si>
    <t>XPHI15</t>
  </si>
  <si>
    <t xml:space="preserve">The study states that "All analyses were conducted on the remaining sample of 632 participants.", but the replication states that only 307 participants were analzed (which seems to be more logically when having a look on the analyses) </t>
  </si>
  <si>
    <t>Nahmias, E., Coates, D. J., &amp; Kvaran, T. (2007). Free will, moral responsibility, and mechanism: Experiments on folk intuitions. Midwest studies in Philosophy, 31(1), 214-242.</t>
  </si>
  <si>
    <t>10.1111/j.1475-4975.2007.00158.x</t>
  </si>
  <si>
    <t>free will, moral responsibility, folk intuitions</t>
  </si>
  <si>
    <t xml:space="preserve">free will: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 parison to agents and actions described in an abstract way. We found strong evidence in support of all of these predictions." </t>
  </si>
  <si>
    <t>15, 19</t>
  </si>
  <si>
    <t>F(1, 298) = 36.375</t>
  </si>
  <si>
    <t>F(1, 172) = 20.08</t>
  </si>
  <si>
    <t>https://osf.io/n4573</t>
  </si>
  <si>
    <t>https://doi.org/10.17605/OSF.IO/69DQC</t>
  </si>
  <si>
    <t>XPHI dataset states: partial η2 = .109 as ES</t>
  </si>
  <si>
    <t xml:space="preserve">Tidied up links and changed F "effect sizes" to full F test statistics in results. 
Think this row should be split in 5, one for each effect? </t>
  </si>
  <si>
    <t>10.1111--j.1475-4975.2007.00158.x.pdf</t>
  </si>
  <si>
    <t>https://osf.io/dgc9w</t>
  </si>
  <si>
    <t>exploring the intuition that “if our brain makes us do it, then we aren’t morally responsible.” people tend to see reductive mechanism as incompatible with Free will and Moral responsibility.</t>
  </si>
  <si>
    <t>For judgments of each of the five variables, we found similar results that indicated highly significant differences (p &lt; .001) depending on whether agents’ decision-making in the scenario was described in psychological terms or neuroscientific (mechanistic) terms ... free will.</t>
  </si>
  <si>
    <t>https://osf.io/69dqc</t>
  </si>
  <si>
    <t>XPHI15_b</t>
  </si>
  <si>
    <t>additional entry based on postreplication report</t>
  </si>
  <si>
    <t>extra result (not included in XPHI table)</t>
  </si>
  <si>
    <t>moral responisbility</t>
  </si>
  <si>
    <t>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</si>
  <si>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F(1, 295) = 52.81</t>
  </si>
  <si>
    <t>F(1, 173) = 11.04</t>
  </si>
  <si>
    <r>
      <rPr>
        <rFont val="&quot;Helvetica Neue&quot;"/>
        <color rgb="FF1155CC"/>
        <sz val="11.0"/>
        <u/>
      </rPr>
      <t>osf.io/pjdkg</t>
    </r>
  </si>
  <si>
    <t xml:space="preserve">moral responsibility: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</si>
  <si>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XPHI15_c</t>
  </si>
  <si>
    <t>blame</t>
  </si>
  <si>
    <t>For judgments of each of the five variables, we found similar results that indicated highly significant differences (p &lt; .001) depending on whether agents’ decision-making in the scenario was described in psychological terms or neuroscientific (mechanistic) terms ... blame.</t>
  </si>
  <si>
    <t>F(1, 294) = 44.973</t>
  </si>
  <si>
    <t>F(1, 173) = 8.72</t>
  </si>
  <si>
    <r>
      <rPr>
        <rFont val="&quot;Helvetica Neue&quot;"/>
        <color rgb="FF1155CC"/>
        <sz val="11.0"/>
        <u/>
      </rPr>
      <t>osf.io/pjdkg</t>
    </r>
  </si>
  <si>
    <t xml:space="preserve">blame: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</si>
  <si>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XPHI15_d</t>
  </si>
  <si>
    <t>praise</t>
  </si>
  <si>
    <t>For judgments of each of the five variables, we found similar results that indicated highly significant differences (p &lt; .001) depending on whether agents’ decision-making in the scenario was described in psychological terms or neuroscientific (mechanistic) terms ... praise.</t>
  </si>
  <si>
    <t>F(1, 297) = 18.84</t>
  </si>
  <si>
    <t>F(1, 175) = 18.14</t>
  </si>
  <si>
    <r>
      <rPr>
        <rFont val="&quot;Helvetica Neue&quot;"/>
        <color rgb="FF1155CC"/>
        <sz val="11.0"/>
        <u/>
      </rPr>
      <t>osf.io/pjdkg</t>
    </r>
  </si>
  <si>
    <t xml:space="preserve">praise: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</si>
  <si>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XPHI15_e</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</si>
  <si>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 </t>
  </si>
  <si>
    <t>F(1, 301) = 36.45</t>
  </si>
  <si>
    <t>F(1, 175) = 20.94</t>
  </si>
  <si>
    <t>XPHI16_1</t>
  </si>
  <si>
    <t>XPHI16</t>
  </si>
  <si>
    <t>Replication report reports Cohens d as d = 0.42, while the original report report d = 0.43</t>
  </si>
  <si>
    <t>Added description
Updated file links
Correct pvalue replication to one tailed based on post replication report</t>
  </si>
  <si>
    <t>Livengood, J., &amp; Machery, E. (2007). The folk probably don't think what you think they think: Experiments on causation by absence. Midwest Studies in Philosophy, 31(1), 107-127.</t>
  </si>
  <si>
    <t>10.1111/j.1475-4975.2007.00150.x</t>
  </si>
  <si>
    <t>https://osf.io/fdjns</t>
  </si>
  <si>
    <t>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</si>
  <si>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 </t>
  </si>
  <si>
    <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</si>
  <si>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10, 14, 15</t>
  </si>
  <si>
    <t>0.43</t>
  </si>
  <si>
    <t>0.57</t>
  </si>
  <si>
    <t>https://osf.io/fdjns , p. 2</t>
  </si>
  <si>
    <t>https://doi.org/10.17605/OSF.IO/N9HDV</t>
  </si>
  <si>
    <t>10.1111--j.1475-4975.2007.00150.x.pdf</t>
  </si>
  <si>
    <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</si>
  <si>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p. 116</t>
  </si>
  <si>
    <t>p. 116, t(93) = 2.07, p &lt; .05</t>
  </si>
  <si>
    <t>t(270) = 4.7265, p &lt; .001</t>
  </si>
  <si>
    <r>
      <rPr>
        <rFont val="&quot;Helvetica Neue&quot;"/>
        <color rgb="FF1155CC"/>
        <sz val="11.0"/>
        <u/>
      </rPr>
      <t>osf.io/7er6r/</t>
    </r>
  </si>
  <si>
    <t>XPHI17_1</t>
  </si>
  <si>
    <t>XPHI17</t>
  </si>
  <si>
    <t>They used the RMEL fitting method as their test statistic; There was no preregistration under "registrations"</t>
  </si>
  <si>
    <t>moral judgement, morality, utilitarian, cognitive control, cognitive load</t>
  </si>
  <si>
    <t>"Critically, we observed the predicted interaction between load and judgment (F(1, 62.9) = 8.5, p = .005).", "Cognitive load selectively increased RT for utilitarian judgment, yielding the predicted interaction between load and judgment type. In the full sample, load increased the average RT for utilitarian judgments by three quarters of a second, but did not increase average RT for non-utilitarian judgments at all. The predicted RT effects were observed in participants who tend toward utilitarian judgment as well those who do not. These results provide direct evidence for the hypothesized asymmetry between utilitarian and non-utilitarian judgments, with the former driven by controlled cognitive processes and the latter driven by more automatic processes. While load impacted RT, it did not reduce the proportion of utilitarian judgments, as one might have expected based on our theory."; RT = previous reaction time</t>
  </si>
  <si>
    <t>6, 8</t>
  </si>
  <si>
    <t>F (1, 828.54) = 1.20</t>
  </si>
  <si>
    <t>XPHI doesn't have SE, but has F value. N for R extracted from XPHI ReplicationN_Overall</t>
  </si>
  <si>
    <t>10.1016--j.cognition.2007.11.004.pdf</t>
  </si>
  <si>
    <t>cognitive load interferee with utilitarian moral judgments</t>
  </si>
  <si>
    <t>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</si>
  <si>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p 6,8</t>
  </si>
  <si>
    <t>p. 6 F(1, 62.9) = 8.5, p = .005</t>
  </si>
  <si>
    <t>F (1, 828.54) = 1.20, p = .27</t>
  </si>
  <si>
    <r>
      <rPr>
        <rFont val="&quot;Helvetica Neue&quot;"/>
        <color rgb="FF1155CC"/>
        <sz val="11.0"/>
        <u/>
      </rPr>
      <t>osf.io/yb38c</t>
    </r>
  </si>
  <si>
    <t>XPHI18_1</t>
  </si>
  <si>
    <t>XPHI18</t>
  </si>
  <si>
    <t>XPHI doesn't provide ES, claim from O extracted based on the sample size and p value in XPHI. N for R extracted from XPHI ReplicationN_Overall</t>
  </si>
  <si>
    <t>Gonnerman, C. (2008). Reading conflicted minds: An empirical follow-up to Knobe and Roedder. Philosophical Psychology, 21(2), 193-205.</t>
  </si>
  <si>
    <t>10.1080/09515080801978777</t>
  </si>
  <si>
    <t>egocentric biases in mindreading, valuing</t>
  </si>
  <si>
    <t>folk attributions of valuing tend to vary according to the perceived moral goodness of the object of value</t>
  </si>
  <si>
    <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</si>
  <si>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7, 8</t>
  </si>
  <si>
    <t>0.67</t>
  </si>
  <si>
    <t>https://doi.org/10.17605/OSF.IO/CKJTF</t>
  </si>
  <si>
    <t>10.1080--09515080801978777.pdf</t>
  </si>
  <si>
    <t>3.1. Folk Attributions of Desires</t>
  </si>
  <si>
    <t>we found a K&amp;R-pattern in attributions of desires... This suggests that in general, people are more willing to say that what racist George really wants is racial equality than they are willing to say that what liberal George really wants is racial equality.</t>
  </si>
  <si>
    <t>p. 198</t>
  </si>
  <si>
    <r>
      <rPr>
        <rFont val="&quot;Helvetica Neue&quot;"/>
        <color rgb="FF1155CC"/>
        <sz val="11.0"/>
        <u/>
      </rPr>
      <t>osf.io/wy8ab</t>
    </r>
  </si>
  <si>
    <t>XPHI19_1</t>
  </si>
  <si>
    <t>XPHI19</t>
  </si>
  <si>
    <t>Nadelhoffer, T., &amp; Feltz, A. (2008). The actor–observer bias and moral intuitions: Adding fuel to Sinnott-Armstrong’s fire. Neuroethics, 1, 133-144.</t>
  </si>
  <si>
    <t>10.1007/s12152-008-9015-7</t>
  </si>
  <si>
    <t>10.1007--s12152-008-9015-7.pdf</t>
  </si>
  <si>
    <t>Sixty-five percent of the participants in the actor condition judged that it was morally permissible for them to hit the switch, 90% of the participants in the observer condition judged that it was morally permissible for John to hit the switch</t>
  </si>
  <si>
    <t>pp. 140-141</t>
  </si>
  <si>
    <t>p. 140 X2(1, N = 85) = 7.873, p = .005</t>
  </si>
  <si>
    <t>X2(1, N = 150) = 0.33, p = 0.56</t>
  </si>
  <si>
    <r>
      <rPr>
        <rFont val="&quot;Helvetica Neue&quot;"/>
        <color rgb="FF1155CC"/>
        <sz val="11.0"/>
        <u/>
      </rPr>
      <t>osf.io/jb8yp/</t>
    </r>
  </si>
  <si>
    <t>XPHI2_1</t>
  </si>
  <si>
    <t>XPHI2</t>
  </si>
  <si>
    <t>Knobe, J. (2003). Intentional action in folk psychology: An experimental investigation. Philosophical Psychology, 16(2), 309-324.</t>
  </si>
  <si>
    <t>10.1080/09515080307771</t>
  </si>
  <si>
    <t>10.1080--09515080307771.pdf</t>
  </si>
  <si>
    <t>In the absence of skill, murder is judged intentional but achievement is not</t>
  </si>
  <si>
    <t>Notice in particular the results for vignettes in the no-skill conditions. Only 28% of subjects in the achievement condition said the behavior was intentional, but a full 76% of subjects in the immoral condition
thought the behavior was intentional.</t>
  </si>
  <si>
    <t>pp. 313-314</t>
  </si>
  <si>
    <t>p. 314 X2(1, N=37) = 7.7, df = 1, p &lt; .01</t>
  </si>
  <si>
    <t>X2(1, N = 145) = 52.5, p &lt; .001</t>
  </si>
  <si>
    <r>
      <rPr>
        <rFont val="&quot;Helvetica Neue&quot;"/>
        <color rgb="FF1155CC"/>
        <sz val="11.0"/>
        <u/>
      </rPr>
      <t>osf.io/78sqa/</t>
    </r>
  </si>
  <si>
    <t>XPHI20_1</t>
  </si>
  <si>
    <t>XPHI20</t>
  </si>
  <si>
    <t>In the original paper, it is stated that 3,422 individuals participated. In the table of the replication report, however, an effective sample size of 3,413 is listed. I used this number because it seems more plausible with regard to the t-test. I applied this number for both effects.</t>
  </si>
  <si>
    <t>seems that statistics from O put in tn the wrong cells</t>
  </si>
  <si>
    <t>Hitchcock, C., &amp; Knobe, J. (2009). Cause and norm. The Journal of Philosophy, 106(11), 587-612.</t>
  </si>
  <si>
    <t>10.5840/jphil20091061128</t>
  </si>
  <si>
    <t>cause, norm</t>
  </si>
  <si>
    <t>"Here the attending doctor is clearly violating a norm, but there is no sense at all in which he can be considered blameworthy for the patient's recovery. (Mter all, the patient's recovery is something good, and there can therefore be no question about who is to blame for it.) 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""Subjects rated each statement on a scale from 1 ('disagree') to 7 ('agree'). Overall, the statement about the attending donor received a mean rating of 3.9; the statement about the pharmacist received a mean rating of 2.5, This difference was statistically significant, t(3411) = 21.5, P &lt; .001."</t>
  </si>
  <si>
    <t>t(3411) = 21.5</t>
  </si>
  <si>
    <t>https://doi.org/10.17605/OSF.IO/JW84M</t>
  </si>
  <si>
    <t>Aleksandr Pravednikov, LR</t>
  </si>
  <si>
    <t>10.5840--jphil20091061128.pdf</t>
  </si>
  <si>
    <t>cusation and breaking norms (drug-vignette)</t>
  </si>
  <si>
    <t>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</si>
  <si>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p. 18 t(3411) = 21.5, p &lt; .001</t>
  </si>
  <si>
    <r>
      <rPr>
        <rFont val="Calibri"/>
        <color rgb="FF38761D"/>
        <sz val="11.0"/>
      </rPr>
      <t xml:space="preserve">t(198) = 4.44, p &lt; 0.001; p. 2 in report at OSF: </t>
    </r>
    <r>
      <rPr>
        <rFont val="Calibri"/>
        <color rgb="FF38761D"/>
        <sz val="11.0"/>
        <u/>
      </rPr>
      <t>https://osf.io/c639t</t>
    </r>
  </si>
  <si>
    <t>added row for machine-vignette</t>
  </si>
  <si>
    <t>cusation and breaking norms (machine-vignette)</t>
  </si>
  <si>
    <r>
      <rPr>
        <rFont val="Calibri"/>
        <color rgb="FF38761D"/>
        <sz val="11.0"/>
      </rPr>
      <t xml:space="preserve">t(188.64) = 8.27, p &lt; 0.001; p. 2 in report at OSF: </t>
    </r>
    <r>
      <rPr>
        <rFont val="Calibri"/>
        <color rgb="FF38761D"/>
        <sz val="11.0"/>
        <u/>
      </rPr>
      <t>https://osf.io/c639t</t>
    </r>
  </si>
  <si>
    <t>XPHI20_b</t>
  </si>
  <si>
    <t>seems that statistics from O put in tn the wrong cells, no statistics from R</t>
  </si>
  <si>
    <t>"Here again, wt' have a case of norm violation without blameworthiness. Specifically, it seems that the red wire is violating a certain kind of norm, but it also seems clear that no one could literally blame the red wire for the short circuit. Nonethelt'ss, people were more willing to say that the red wire touching the battery caused the short circuit than they were to say that the black wire touching the battery caused the short circuit.~" So once again, it seems that people's causal intuitions are being atIected by norm violations even in the absence of any judgment of blame.", "Subjects rated "ach statement on a scalc from I ('disagree') to 7 ('agree'). Overall, the statement about the red wire received a mean rating of 4.9; the statement about the black wire received a mean rating of 2.7. This difference was statistically significant, t(3410) = 30.2, P &lt; ,001."</t>
  </si>
  <si>
    <t>t(3410) = 30.2</t>
  </si>
  <si>
    <t>XPHI21_1</t>
  </si>
  <si>
    <t>XPHI21</t>
  </si>
  <si>
    <t>Emplty cells</t>
  </si>
  <si>
    <t>Roxborough, C., &amp; Cumby, J. (2009). Folk psychological concepts: Causation. Philosophical Psychology, 22(2), 205-213.</t>
  </si>
  <si>
    <t>10.1080/09515080902802769</t>
  </si>
  <si>
    <t>atypicality, causality, folk psychology</t>
  </si>
  <si>
    <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</si>
  <si>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t(117) = 21.05</t>
  </si>
  <si>
    <t>p. 10 from https://osf.io/6r74y</t>
  </si>
  <si>
    <t>https://doi.org/10.17605/OSF.IO/P56KE</t>
  </si>
  <si>
    <r>
      <rPr/>
      <t xml:space="preserve">- Corinna, you mistook multiple original effects as replication effects. I think this is because you swa them listed in the prereg (eg </t>
    </r>
    <r>
      <rPr>
        <color rgb="FF1155CC"/>
        <u/>
      </rPr>
      <t>https://osf.io/p56ke)</t>
    </r>
    <r>
      <rPr/>
      <t xml:space="preserve"> but this is just the "effect I am trying to replicate" section.</t>
    </r>
  </si>
  <si>
    <t>Corrected replication test statistic based on the single report at https://osf.io/6r74y</t>
  </si>
  <si>
    <t>10.1080--09515080902802769.pdf</t>
  </si>
  <si>
    <t>folk psychological concept, causation</t>
  </si>
  <si>
    <t>p. 8, 10</t>
  </si>
  <si>
    <t xml:space="preserve">p. 10  t(117) = 7.47, p &lt; .001 </t>
  </si>
  <si>
    <t>t(204) = -1.387</t>
  </si>
  <si>
    <r>
      <rPr>
        <rFont val="Calibri"/>
        <sz val="11.0"/>
      </rPr>
      <t xml:space="preserve">t(204) = -1.387, p = 0.917 from p. 10 </t>
    </r>
    <r>
      <rPr>
        <rFont val="Calibri"/>
        <color rgb="FF1155CC"/>
        <sz val="11.0"/>
        <u/>
      </rPr>
      <t>https://osf.io/6r74y</t>
    </r>
  </si>
  <si>
    <t>XPHI22_1</t>
  </si>
  <si>
    <t>XPHI22</t>
  </si>
  <si>
    <t>There was no preregistration under "registrations"; The correlation was not significant, but test statistics were not specified further</t>
  </si>
  <si>
    <t>Nadelhoffer, T., Kvaran, T., &amp; Nahmias, E. (2009). Temperament and intuition: A commentary on Feltz and Cokely. Consciousness and cognition, 18(1), 351-355.</t>
  </si>
  <si>
    <t>10.1016/j.concog.2008.11.006</t>
  </si>
  <si>
    <t>free will, moral responsibility, personality, extraversion, folk intuitions</t>
  </si>
  <si>
    <t xml:space="preserve">"We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 </t>
  </si>
  <si>
    <t>#</t>
  </si>
  <si>
    <t>XPHI dataset doesn't provide statistics for O, so not possible to extract data. Based on the sample size I would assume, that p. 353 of O has some results provided.</t>
  </si>
  <si>
    <t>correlations for original report are provided in footnote 3 on p 353 (pdf page = 3) but only significant correlations are reported, which is why none are coded</t>
  </si>
  <si>
    <t>10.1016--j.concog.2008.11.006.pdf</t>
  </si>
  <si>
    <t>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</si>
  <si>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 </t>
  </si>
  <si>
    <r>
      <rPr>
        <rFont val="Calibri"/>
        <sz val="11.0"/>
      </rPr>
      <t xml:space="preserve">r = 0.139, p = 0.002 from </t>
    </r>
    <r>
      <rPr>
        <rFont val="Calibri"/>
        <color rgb="FF1155CC"/>
        <sz val="11.0"/>
        <u/>
      </rPr>
      <t>https://osf.io/4ewkh</t>
    </r>
  </si>
  <si>
    <r>
      <rPr>
        <rFont val="&quot;Helvetica Neue&quot;"/>
        <color rgb="FF1155CC"/>
        <sz val="11.0"/>
        <u/>
      </rPr>
      <t>osf.io/txs86</t>
    </r>
  </si>
  <si>
    <t>XPHI23_1</t>
  </si>
  <si>
    <t>XPHI23</t>
  </si>
  <si>
    <t>I calculated the original effect size using the ES calculation excel sheet. The original paper only reports a comparison between the positive, negative and neutral scenario. The replication table reports a p-value of p &lt; .05.</t>
  </si>
  <si>
    <t>Marked as help needed, cause both rows have correct info, but use different approach, Probably the best approach will be to combine them</t>
  </si>
  <si>
    <t>De Brigard, F. (2010). If you like it, does it matter if it's real?. Philosophical Psychology, 23(1), 43-57.</t>
  </si>
  <si>
    <t>10.1080/09515080903532290</t>
  </si>
  <si>
    <t>experience machine, Nozick, pleasure, reality, status quo bias</t>
  </si>
  <si>
    <t>"The results were quite surprising (figure 1). 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 "Taken at face value these results show that the variable ‘‘contact with reality’’ is not as critical as the original version of the thought-experiment suggests. If it were the case that people care about reality more than they care about how their life is experienced from the inside, then one would expect that, regardless of how reality turns out to be, they would choose it over a simulated life."</t>
  </si>
  <si>
    <t>6, 7</t>
  </si>
  <si>
    <t>0.149</t>
  </si>
  <si>
    <t>p. 6-7</t>
  </si>
  <si>
    <t>https://doi.org/10.17605/OSF.IO/ZWKMN</t>
  </si>
  <si>
    <t>Mathcing statistics for O not found, copied from XPHI</t>
  </si>
  <si>
    <t>10.1080--09515080903532290.pdf</t>
  </si>
  <si>
    <t>X2(1, N = 48) = 6.2061, p &lt; .05</t>
  </si>
  <si>
    <t>X2(1, 60) = 4.3015, p = 0.04</t>
  </si>
  <si>
    <r>
      <rPr>
        <rFont val="&quot;Helvetica Neue&quot;"/>
        <color rgb="FF1155CC"/>
        <sz val="11.0"/>
        <u/>
      </rPr>
      <t>osf.io/cvuwy/</t>
    </r>
  </si>
  <si>
    <t>XPHI24_1</t>
  </si>
  <si>
    <t>XPHI24</t>
  </si>
  <si>
    <t>There was no preregistration under "registrations"; While the table reports d = 0.66 and p &lt; .001 for the replication, the post-replication report states that it was d = 0.672, p &lt; .0005</t>
  </si>
  <si>
    <t>Beebe, J. R., &amp; Buckwalter, W. (2010). The epistemic side‐effect effect. Mind &amp; Language, 25(4), 474-498.</t>
  </si>
  <si>
    <t>10.1111/j.1468-0017.2010.01398.x</t>
  </si>
  <si>
    <t>epistemic side-effect</t>
  </si>
  <si>
    <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</si>
  <si>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 t(747) = −10.126</t>
  </si>
  <si>
    <t>10.1111--j.1468-0017.2010.01398.x.pdf</t>
  </si>
  <si>
    <t>p. 476 / 3</t>
  </si>
  <si>
    <t>p. 476 t = −10.126, df = 747, p&lt;.001</t>
  </si>
  <si>
    <r>
      <rPr>
        <rFont val="Calibri"/>
        <sz val="11.0"/>
      </rPr>
      <t xml:space="preserve">t(512) = 7.4773, p &lt; .001 from </t>
    </r>
    <r>
      <rPr>
        <rFont val="Calibri"/>
        <color rgb="FF1155CC"/>
        <sz val="11.0"/>
        <u/>
      </rPr>
      <t>https://osf.io/4ewkh</t>
    </r>
  </si>
  <si>
    <t>XPHI25_1</t>
  </si>
  <si>
    <t>XPHI25</t>
  </si>
  <si>
    <t>There was no preregistration under "registrations"; While the table reports d = 0.52 for the replication, the post-replication report states that it was d = 0.51; I calculated the original effect size using the ES calculation excel sheet.</t>
  </si>
  <si>
    <t>Sytsma, J., &amp; Machery, E. (2010). Two conceptions of subjective experience. Philosophical studies, 151, 299-327.</t>
  </si>
  <si>
    <t>10.1007/s11098-009-9439-x</t>
  </si>
  <si>
    <t>phenomenal consciousness, folk concept of subjective experience, hard problem of consciousness</t>
  </si>
  <si>
    <t>ascribing consciousness to machines</t>
  </si>
  <si>
    <t>"Consistent with our hypothesis, philosophers [...] were unwilling to ascribe [...]  the perceptual experience of seeing red [...]  to the robot (the mean answers are significantly lower than 4). By contrast, philosophers were willing to ascribe [...]  states to a normal human male (the mean answers are significantly higher than 4). Contrary to the hypothesis that the folk and philosophers conceive of subjective experience similarly", "In contrast to the prediction derived from the hypothesis that the philosophical concept of phenomenal consciousness coincides with the common-sense conception of subjective experience, the results show a clear divergence between philosophers and the folk: On average, the folk (but not philosophers) are willing to ascribe the perceptual state of seeing red to a simple robot. Given the illustrative centrality of the example of the redness of red to the philosophical concept of phenomenal consciousness, our results indicate that philosophers’ concept of phenomenal consciousness is not how the folk understand subjective experience."</t>
  </si>
  <si>
    <t>9, 10</t>
  </si>
  <si>
    <t>0.875</t>
  </si>
  <si>
    <t>XPHI states N O as 148, while for study 1 it's 601 after exclusion. Data for O extracted based on the ES stated in XPHI. ES for O extracted from XPHI</t>
  </si>
  <si>
    <t>corrected N based on dfs; no Preregistration in osf project (osf.io/z2fj8) so changed prereg_r to NA</t>
  </si>
  <si>
    <t>10.1007--s11098-009-9439-x.pdf</t>
  </si>
  <si>
    <t>The difference between the average folk ascription of seeing red and of feeling pain is statistically significant...</t>
  </si>
  <si>
    <t>p.325 t(109) = 7.12, p&lt;001] and the effect size (d = 0.87) i</t>
  </si>
  <si>
    <r>
      <rPr>
        <rFont val="Calibri"/>
        <sz val="11.0"/>
      </rPr>
      <t xml:space="preserve">t(86) = 2.420, p = .018 from </t>
    </r>
    <r>
      <rPr>
        <rFont val="Calibri"/>
        <color rgb="FF1155CC"/>
        <sz val="11.0"/>
        <u/>
      </rPr>
      <t>https://osf.io/4ewkh</t>
    </r>
  </si>
  <si>
    <t>XPHI26_1</t>
  </si>
  <si>
    <t>XPHI26</t>
  </si>
  <si>
    <t>The number of participants corresponds to the effective sample size listed in the table. This number also aligns with the ANOVA.</t>
  </si>
  <si>
    <t>Alicke, M. D., Rose, D., &amp; Bloom, D. (2011). Causation, norm violation, and culpable control. The Journal of Philosophy, 108(12), 670-696.</t>
  </si>
  <si>
    <t>10.5840/jphil20111081238</t>
  </si>
  <si>
    <t>causation, norm violation, culpable control</t>
  </si>
  <si>
    <t>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</si>
  <si>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 </t>
  </si>
  <si>
    <t>p 10,11</t>
  </si>
  <si>
    <t>F(1, 213) = 13.05</t>
  </si>
  <si>
    <t>Interaction effect, F(1, 213) = 13.05, p &lt; .001, p. 10 second effect</t>
  </si>
  <si>
    <t xml:space="preserve">F(1, 213) = 13.05 </t>
  </si>
  <si>
    <r>
      <rPr>
        <rFont val="Calibri"/>
        <sz val="11.0"/>
      </rPr>
      <t xml:space="preserve">p. 10 and </t>
    </r>
    <r>
      <rPr>
        <rFont val="Calibri"/>
        <color rgb="FF1155CC"/>
        <sz val="11.0"/>
        <u/>
      </rPr>
      <t>https://osf.io/4ewkh</t>
    </r>
  </si>
  <si>
    <t>https://doi.org/10.17605/OSF.IO/QP8V3</t>
  </si>
  <si>
    <t>10.5840--jphil20111081238.pdf</t>
  </si>
  <si>
    <t xml:space="preserve">Significant interactions between the drug decision (that is, to violate the norm and administer the drug or to adhere to the norm and reftise the drug) and ... on ratings of his causal involvement, F{1, 213) = 13.05, p &lt; .001, supported culpable-control predictions. </t>
  </si>
  <si>
    <t xml:space="preserve"> F{1, 213) = 13.05</t>
  </si>
  <si>
    <t>Interaction effect, F(1, 213) = 13.05, p &lt; .001</t>
  </si>
  <si>
    <t>F(1, 213) = 0.98</t>
  </si>
  <si>
    <r>
      <rPr>
        <rFont val="&quot;Helvetica Neue&quot;"/>
        <color rgb="FF1155CC"/>
        <sz val="11.0"/>
        <u/>
      </rPr>
      <t>osf.io/4yuym</t>
    </r>
  </si>
  <si>
    <t>XPHI26_b</t>
  </si>
  <si>
    <t>The number of participants corresponds to the total number of reported participants. No exclusions were mentioned, but the ANOVA might suggest that fewer participants were possibly involved.</t>
  </si>
  <si>
    <t>extra result (not included in XPHI table), values for O wasn't filled, so I extracted it myself (Aleksandr P.)</t>
  </si>
  <si>
    <t>"Significant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</si>
  <si>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10, 11</t>
  </si>
  <si>
    <t>F(2, 313) = 11.2</t>
  </si>
  <si>
    <t xml:space="preserve"> p. 10</t>
  </si>
  <si>
    <t>F(2, 313) = 11.28</t>
  </si>
  <si>
    <t>XPHI26_c</t>
  </si>
  <si>
    <t>"When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</si>
  <si>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23.92</t>
  </si>
  <si>
    <t>XPHI26_d</t>
  </si>
  <si>
    <t>"These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</si>
  <si>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48.59</t>
  </si>
  <si>
    <t>XPHI26_e</t>
  </si>
  <si>
    <t>"These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</si>
  <si>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213) = 9.59</t>
  </si>
  <si>
    <t>XPHI26_f</t>
  </si>
  <si>
    <t>"First,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</si>
  <si>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56.28</t>
  </si>
  <si>
    <t>XPHI26_g</t>
  </si>
  <si>
    <t>"Comparisons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</si>
  <si>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F(1, 313) = 188.2</t>
  </si>
  <si>
    <t>F(1, 313) = 188.24</t>
  </si>
  <si>
    <t>XPHI27_1</t>
  </si>
  <si>
    <t>XPHI27</t>
  </si>
  <si>
    <t>There was no testing of participants. The study was about search hits.; No test statistics are reported in the original article, but the table includes a reconstructed Chi-squared test: X2(1, N = 15664) = 1512.4, p &lt; 0.001</t>
  </si>
  <si>
    <t>Reuter, K. (2011). Distinguishing the appearance from the reality of pain. Journal of Consciousness Studies, 18(9-10), 94-109.</t>
  </si>
  <si>
    <t>art00005</t>
  </si>
  <si>
    <t>reality of pain, appearance of pain</t>
  </si>
  <si>
    <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</si>
  <si>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0.27</t>
  </si>
  <si>
    <t>There was no testing of participants. The study was about search hits.; No test statistics are reported in the original article, but the table includes a reconstructed Chi-squared test: X2(1, N = 15664) = 1512.4, p &lt; 0.001.  Matching statistics not found in the paper. N, ES and P value for O extracted based on the XPHI</t>
  </si>
  <si>
    <t>distinguishing the appearance from the reality of pain</t>
  </si>
  <si>
    <t>X2(1, N = 15664) = 1512.4, p &lt; 0.001 from replication dataset https://osf.io/4ewkh</t>
  </si>
  <si>
    <r>
      <rPr>
        <rFont val="Calibri"/>
        <sz val="11.0"/>
      </rPr>
      <t xml:space="preserve">X2(1, N = 2211) = 159.39, p &lt; 0.001 from "Reuter" row in </t>
    </r>
    <r>
      <rPr>
        <rFont val="Calibri"/>
        <color rgb="FF1155CC"/>
        <sz val="11.0"/>
        <u/>
      </rPr>
      <t>https://osf.io/4ewkh</t>
    </r>
  </si>
  <si>
    <t>XPHI28_1</t>
  </si>
  <si>
    <t>XPHI28</t>
  </si>
  <si>
    <t>XPHI also statest partial η2 = .16 as ES for O</t>
  </si>
  <si>
    <t>Sarkissian, H., Park, J., Tien, D., Wright, J. C., &amp; Knobe, J. (2011). Folk moral relativism. Mind &amp; Language, 26(4), 482-505.</t>
  </si>
  <si>
    <t>10.1111/j.1468-0017.2011.01428.x</t>
  </si>
  <si>
    <t>10.1111--j.1468-0017.2011.01428.x.pdf</t>
  </si>
  <si>
    <t>Dual-process model, Moral decision making, Moral judgment, Moral psychology, Moral reasoning, Morality, Reflection, Social intuitionist model</t>
  </si>
  <si>
    <t>Moral decision making</t>
  </si>
  <si>
    <t>There was no main effect of transgression and no interaction effect. However, there was a significant main effect of condition,</t>
  </si>
  <si>
    <t>p. 488</t>
  </si>
  <si>
    <t>F (2, 218) = 20.7</t>
  </si>
  <si>
    <t>F(2,360) = 20.9</t>
  </si>
  <si>
    <r>
      <rPr>
        <rFont val="&quot;Helvetica Neue&quot;"/>
        <color rgb="FF1155CC"/>
        <sz val="11.0"/>
        <u/>
      </rPr>
      <t>osf.io/dbx75/</t>
    </r>
  </si>
  <si>
    <t>XPHI29_1</t>
  </si>
  <si>
    <t>XPHI29</t>
  </si>
  <si>
    <t>There is a second preregistration: https://doi.org/10.17605/OSF.IO/ERB5W</t>
  </si>
  <si>
    <t>individuals who reflected more on the CRT made more utilitarian judgments</t>
  </si>
  <si>
    <t>"Results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</si>
  <si>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4, 7</t>
  </si>
  <si>
    <t>0.13</t>
  </si>
  <si>
    <t>https://doi.org/10.17605/OSF.IO/5NZ6W</t>
  </si>
  <si>
    <t>10.1111--j.1551-6709.2011.01210.x.pdf</t>
  </si>
  <si>
    <t xml:space="preserve">Results confirmed our first prediction: Subjects in the CRT-First condition judged the utilitarian actions to be more
acceptable </t>
  </si>
  <si>
    <t>p. 166</t>
  </si>
  <si>
    <t>p. 166 CRT-First: M = 3.77; Dilemmas-First: M = 3.25; t(90) = 2.03, p = .05, d = 0.43).</t>
  </si>
  <si>
    <t>t(296) = 1.16, p = 0.24</t>
  </si>
  <si>
    <r>
      <rPr>
        <rFont val="&quot;Helvetica Neue&quot;"/>
        <color rgb="FF1155CC"/>
        <sz val="11.0"/>
        <u/>
      </rPr>
      <t>osf.io/ejmyw</t>
    </r>
  </si>
  <si>
    <t>XPHI29_b</t>
  </si>
  <si>
    <t>"Again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</si>
  <si>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0.39</t>
  </si>
  <si>
    <t>0.08</t>
  </si>
  <si>
    <t>https://osf.io/mjvsd</t>
  </si>
  <si>
    <t>XPHI3_1</t>
  </si>
  <si>
    <t>XPHI3</t>
  </si>
  <si>
    <t>Machery, E., Mallon, R., Nichols, S., &amp; Stich, S. P. (2004). Semantics, cross-cultural style. Cognition, 92(3), B1-B12.</t>
  </si>
  <si>
    <t>10.1016/j.cognition.2003.10.003</t>
  </si>
  <si>
    <t>Semantic intuitions, Proper names, Reference, Cultural differences, Kripke, Descriptivism;,Causal historical theory</t>
  </si>
  <si>
    <t>Westerners are more likely than East Asians to report intuitions that are consistent with the causal-historical view</t>
  </si>
  <si>
    <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</si>
  <si>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t(70) = -2.55</t>
  </si>
  <si>
    <t>https://doi.org/10.17605/OSF.IO/SSDMT</t>
  </si>
  <si>
    <t xml:space="preserve">t value extracted in compliance with O, XPHI also ststes ES d = 0.61 </t>
  </si>
  <si>
    <t>added study numbers in original ref</t>
  </si>
  <si>
    <t>1+2</t>
  </si>
  <si>
    <t>10.1016--j.cognition.2003.10.003.pdf</t>
  </si>
  <si>
    <t>p, 7 t(70) = -2.55 p &lt; .05</t>
  </si>
  <si>
    <t>t(179) = 0.004</t>
  </si>
  <si>
    <t>t(179) = 0.004, p =.99</t>
  </si>
  <si>
    <t>https://osf.io/ssdmt</t>
  </si>
  <si>
    <t>XPHI30_1</t>
  </si>
  <si>
    <t>XPHI30</t>
  </si>
  <si>
    <t>Participants in the thief contrast condition tended to agree with the knowledge ascription they received (mean rating: 4.6), while participants in the jewel contrast condition tended to disagree with the knowledge ascription they received (mean rating: 3.1).</t>
  </si>
  <si>
    <t>p. 690</t>
  </si>
  <si>
    <t>p. 705 t(98) = 3.4, p = .001</t>
  </si>
  <si>
    <t>p &lt;.001</t>
  </si>
  <si>
    <r>
      <rPr>
        <rFont val="&quot;Helvetica Neue&quot;"/>
        <color rgb="FF1155CC"/>
        <sz val="11.0"/>
        <u/>
      </rPr>
      <t>osf.io/pfng2</t>
    </r>
  </si>
  <si>
    <t>XPHI31_1</t>
  </si>
  <si>
    <t>XPHI31</t>
  </si>
  <si>
    <t>There was no preregistration under "registrations"</t>
  </si>
  <si>
    <t xml:space="preserve">Entry selected as it had most accurate reporitng of effect sizes (full test statistic), 
Also added description (originally missing from both entries), 
and investigated links - prereplication forms are not preregistrations (contain no information about planned sampling, analytics, or exclusions). </t>
  </si>
  <si>
    <t>May, J., &amp; Holton, R. (2012). What in the world is weakness of will?. Philosophical Studies, 157, 341-360.</t>
  </si>
  <si>
    <t>10.1007/s11098-010-9651-8</t>
  </si>
  <si>
    <t>https://osf.io/pvem4</t>
  </si>
  <si>
    <t>Akrasia  Weakness of will,  Intention, Resolution, Prototype concepts, Knobe effect</t>
  </si>
  <si>
    <t>When looking at action valence, people are more inclined to agree with the attribution of weakness of will when the valence of the action the agent ends up succumbing to perform is bad as opposed to neutral.</t>
  </si>
  <si>
    <t>"an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</si>
  <si>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15, 16</t>
  </si>
  <si>
    <t>F(1, 113) = 4.10</t>
  </si>
  <si>
    <t>F(1, 364) = 7.06</t>
  </si>
  <si>
    <t>XPHI also states ES for O - partial η2 = .035, and for R - partial η2 = 0.019, also N for R extracted from N R overall (N ES is missing), looks correct based on F</t>
  </si>
  <si>
    <t>10.1007--s11098-010-9651-8.pdf</t>
  </si>
  <si>
    <t>Moreover, an analysis of the data revealed a significant effect of the Action-Valence variable such that subjects are more inclined to agree with the attribution of weakness of will when the valence of the action the agent ends up succumbing to perform is bad as opposed to neutral.</t>
  </si>
  <si>
    <t>p. 355</t>
  </si>
  <si>
    <r>
      <rPr>
        <rFont val="&quot;Helvetica Neue&quot;"/>
        <color rgb="FFFF0000"/>
        <sz val="11.0"/>
        <u/>
      </rPr>
      <t>osf.io/s37h6/</t>
    </r>
  </si>
  <si>
    <t>XPHI32_1</t>
  </si>
  <si>
    <t>XPHI32</t>
  </si>
  <si>
    <t>The authors of the replication study used a GEE analysis and described their results as follows " We found a significant difference in knowledge ascriptions between Standard True Belief cases and Gettier cases (X2= 58.23, df =1, N = 63, p &lt; .001, r= 0.96)"</t>
  </si>
  <si>
    <t xml:space="preserve">Entry selected as it had most accurate reporitng of effect sizes (full test statistic, not calculated values via R), 
Also added description (originally missing from both entries), 
and investigated links - prereplication forms are not preregistrations (contain no information about planned sampling, analytics, or exclusions). </t>
  </si>
  <si>
    <t>Nagel, J., San Juan, V., &amp; Mar, R. A. (2013). Lay denial of knowledge for justified true beliefs. Cognition, 129(3), 652-661.</t>
  </si>
  <si>
    <t>10.1016/j.cognition.2013.02.008</t>
  </si>
  <si>
    <t>https://osf.io/skw9u</t>
  </si>
  <si>
    <t>Justified true belief, Knowledge ascription, Gettier cases, Mental state inference, Individual differences, Lay beliefs</t>
  </si>
  <si>
    <t>Knowledge was ascribed standard cases versus in Gettier cases (where a belief can be both justified and true, yet not qualify as knowledge)</t>
  </si>
  <si>
    <t>"There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</si>
  <si>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6, 7, 8</t>
  </si>
  <si>
    <t>X@(1) = 107.81</t>
  </si>
  <si>
    <t>X2(1) = 58.23</t>
  </si>
  <si>
    <t>ES for O and R in XPHI are absent, so I calculated those myself based on the statistics</t>
  </si>
  <si>
    <t>10.1016--j.cognition.2013.02.008.pdf</t>
  </si>
  <si>
    <t>Knowledge ascription scores</t>
  </si>
  <si>
    <t>There was a greater likelihood of ascribing knowledge in cases of: ... (2) Standard True Belief versus Gettier Cases</t>
  </si>
  <si>
    <t>p.  6</t>
  </si>
  <si>
    <t>X2 = 107.81, df = 1, N = 202, p &lt; .001, B = 1.62, Exp(B) = 5.07</t>
  </si>
  <si>
    <t>p. 2 X2(1, N = 63) = 58.23, p &lt; .001, B = 0.42, Exp(B) = 1.52</t>
  </si>
  <si>
    <r>
      <rPr>
        <rFont val="&quot;Helvetica Neue&quot;"/>
        <color rgb="FF1155CC"/>
        <sz val="11.0"/>
        <u/>
      </rPr>
      <t>osf.io/6yfxz</t>
    </r>
  </si>
  <si>
    <t>XPHI32_b</t>
  </si>
  <si>
    <t>extra result (not included in XPHI table), basically the same, one coder extracted b (unstd), another one - test statistics X2. Otherwise  statistics checked, validated</t>
  </si>
  <si>
    <t>Story type</t>
  </si>
  <si>
    <t>A significant effect of story type was observed (X2 = 247.97, df = 3, N = 207, p &lt; .001)</t>
  </si>
  <si>
    <t>X2(3) = 247.97</t>
  </si>
  <si>
    <t>X2(3) = 103.77</t>
  </si>
  <si>
    <t>p. 2 X2= 103.77, df =3, N = 63, p &lt; .001</t>
  </si>
  <si>
    <r>
      <rPr>
        <rFont val="&quot;Helvetica Neue&quot;"/>
        <color rgb="FF1155CC"/>
        <sz val="11.0"/>
        <u/>
      </rPr>
      <t>osf.io/6yfxz</t>
    </r>
  </si>
  <si>
    <t>"A significant effect of story type was observed (X2 = 247.97, df = 3, N = 207, p &lt; .001)"</t>
  </si>
  <si>
    <t>https://osf.io/exqch</t>
  </si>
  <si>
    <t>https://doi.org/10.17605/OSF.IO/THM7D</t>
  </si>
  <si>
    <t>XPHI32_c</t>
  </si>
  <si>
    <t>Standard True Belief versus Skeptical Pressure</t>
  </si>
  <si>
    <t>There was a greater likelihood of ascribing knowledge in cases of: (1) Standard True Belief versus Skeptical Pressure (X2 = 81.52, df = 1, N = 204, p &lt; .001, B = 1.35, Exp(B) = 3.87)</t>
  </si>
  <si>
    <t>(X2= 28.90, df =1, N = 63, p &lt; .001, B= 0.87)</t>
  </si>
  <si>
    <r>
      <rPr>
        <rFont val="&quot;Helvetica Neue&quot;"/>
        <color rgb="FF1155CC"/>
        <sz val="11.0"/>
        <u/>
      </rPr>
      <t>osf.io/6yfxz</t>
    </r>
  </si>
  <si>
    <t>"There was a greater likelihood of ascribing knowledge in cases of: (1) Standard True Belief versus Skeptical Pressure (X2 = 81.52, df = 1, N = 204, p &lt; .001, B = 1.35, Exp(B) = 3.87)"</t>
  </si>
  <si>
    <t>X2(1) = 81.52</t>
  </si>
  <si>
    <t>X2(1) = 28.90</t>
  </si>
  <si>
    <t>XPHI32_d</t>
  </si>
  <si>
    <t>Standard True Belief vs False Belief</t>
  </si>
  <si>
    <t>There was a greater likelihood of ascribing knowledge in cases of: Standard True Belief vs False Belief</t>
  </si>
  <si>
    <t>p. 2 X2=100.33, df =1, N = 63, p &lt; .001, B= 2.30</t>
  </si>
  <si>
    <r>
      <rPr>
        <rFont val="&quot;Helvetica Neue&quot;"/>
        <color rgb="FF1155CC"/>
        <sz val="11.0"/>
        <u/>
      </rPr>
      <t>osf.io/6yfxz</t>
    </r>
  </si>
  <si>
    <t>"There was a greater likelihood of ascribing knowledge in cases of: Standard True Belief vs False Belief (X2 = 231.60, df = 1, N = 204, p &lt; .001, B = 2.71, Exp(B) = 14.99)"</t>
  </si>
  <si>
    <t>X2(1) = 231.60</t>
  </si>
  <si>
    <t>X2(1) = 100.33</t>
  </si>
  <si>
    <t>XPHI32_e</t>
  </si>
  <si>
    <t>Skeptical Pressure vs False Belief</t>
  </si>
  <si>
    <t>There was a greater likelihood of ascribing knowledge in cases of: Skeptical Pressure vs False Belief</t>
  </si>
  <si>
    <t>p. 2 X2=50.04, df =1, N = 63, p &lt; .001, B= 1.44</t>
  </si>
  <si>
    <r>
      <rPr>
        <rFont val="&quot;Helvetica Neue&quot;"/>
        <color rgb="FF1155CC"/>
        <sz val="11.0"/>
        <u/>
      </rPr>
      <t>osf.io/6yfxz</t>
    </r>
  </si>
  <si>
    <t>"There was a greater likelihood of ascribing knowledge in cases of: Skeptical Pressure vs False Belief (X2 = 59.48, df = 1, N = 197, p &lt; .001, B = 1.45, Exp(B) = 4.27)"</t>
  </si>
  <si>
    <t>X2(1) = 59.48</t>
  </si>
  <si>
    <t>X2(1) = 50.04</t>
  </si>
  <si>
    <t>XPHI32_f</t>
  </si>
  <si>
    <t>Gettier vs False belief</t>
  </si>
  <si>
    <t>There was a greater likelihood of ascribing knowledge in cases of: Gettier vs False belief (X2 = 49.08, df = 1, N = 196, p &lt; .001, B = 1.13, Exp(B) = 3.09)."</t>
  </si>
  <si>
    <t>p. 2 X2= 26.37, df =1, N = 63, p &lt; .001, B= 1.07)</t>
  </si>
  <si>
    <r>
      <rPr>
        <rFont val="&quot;Helvetica Neue&quot;"/>
        <color rgb="FF1155CC"/>
        <sz val="11.0"/>
        <u/>
      </rPr>
      <t>osf.io/6yfxz</t>
    </r>
  </si>
  <si>
    <t>"There was a greater likelihood of ascribing knowledge in cases of: Gettier vs False belief (X2 = 49.08, df = 1, N = 196, p &lt; .001, B = 1.13, Exp(B) = 3.09)."</t>
  </si>
  <si>
    <t>X2(1) = 49.08</t>
  </si>
  <si>
    <t>X2(1) = 26.37</t>
  </si>
  <si>
    <t>XPHI32_g</t>
  </si>
  <si>
    <t>Standard True Belief versus Gettier Cases</t>
  </si>
  <si>
    <t xml:space="preserve">Lay denial of knowledge for justified true beliefs
</t>
  </si>
  <si>
    <t>p. 2 X2= 58.23, df =1, N = 63, p &lt; .001, B= 1.32</t>
  </si>
  <si>
    <r>
      <rPr>
        <rFont val="&quot;Helvetica Neue&quot;"/>
        <color rgb="FF1155CC"/>
        <sz val="11.0"/>
        <u/>
      </rPr>
      <t>osf.io/6yfxz</t>
    </r>
  </si>
  <si>
    <t>XPHI33_1</t>
  </si>
  <si>
    <t>XPHI33</t>
  </si>
  <si>
    <t>The replication report states that the influence of participants gender was also analyzed. If this is also relevant, I am happy to code it too: "Third, following up on Starmans and Friedman’s results (2009), the authors investigated whether participants’ gender made a difference in terms of the dependent variable by testing the main effect of gender and its interaction with the outcome factor within scenario types. As in the original study, none of these tests yielded a significant result [Water (gender): F(1,100) = 0.224, p = .64; Water (gender * condition): F(1,100) = 3.55, p= .062; Movies (gender): F(1,100) = 0.053, p = .82; Movies (gender * condition): F(1,100) =0.22, p = .64; Sales (gender): F(1,102) = 0.53, p = .47; Sales (gender * condition): F(1,102) =0.0003, p = .99; Nazi (gender): F(1,98) = 1.59, p = .21; Nazi (gender * condition): F(1,98) =0.87, p = .35]." (replication report, p. 7)</t>
  </si>
  <si>
    <t xml:space="preserve">Entry selected as it had most accurate reporitng of effect sizes (full test statistic, not F value only), 
Also added description (originally missing from both entries), 
and investigated links - preregistration for replication added. </t>
  </si>
  <si>
    <t>Beebe, J. R., &amp; Shea, J. (2013). Gettierized Knobe effects. Episteme, 10(3), 219-240.</t>
  </si>
  <si>
    <t>10.1017/epi.2013.23</t>
  </si>
  <si>
    <t>https://osf.io/gme8f</t>
  </si>
  <si>
    <r>
      <rPr>
        <rFont val="Calibri"/>
        <color theme="1"/>
        <sz val="11.0"/>
      </rPr>
      <t xml:space="preserve">knobe effects, </t>
    </r>
    <r>
      <rPr>
        <rFont val="Calibri"/>
        <color rgb="FF00FF00"/>
        <sz val="11.0"/>
      </rPr>
      <t>experimental philosophy</t>
    </r>
  </si>
  <si>
    <t>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</si>
  <si>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 </t>
  </si>
  <si>
    <t>0.28</t>
  </si>
  <si>
    <t>F(1, 410) = 55.8</t>
  </si>
  <si>
    <t>https://osf.io/ay2ye</t>
  </si>
  <si>
    <t>O also states that r = 0.28., XPHI also states partial η2 = .078 for O and partial η2 = 0.12 for R</t>
  </si>
  <si>
    <t>10.1017--epi.2013.23.pdf</t>
  </si>
  <si>
    <r>
      <rPr>
        <rFont val="Calibri"/>
        <color rgb="FF00FF00"/>
        <sz val="11.0"/>
      </rPr>
      <t>knobe effects</t>
    </r>
    <r>
      <rPr>
        <rFont val="Calibri"/>
        <color theme="1"/>
        <sz val="11.0"/>
      </rPr>
      <t>, experimental philosophy</t>
    </r>
  </si>
  <si>
    <t>Nevertheless, treating Experiment 1 as having a 4 × 2 design and analyzing the results with a two-way ANOVA reveals a main effect for the ‘fulll/violate’ variable with a small to medium effect size</t>
  </si>
  <si>
    <t>p. 226</t>
  </si>
  <si>
    <t>F(1, 368) = 31.127</t>
  </si>
  <si>
    <t xml:space="preserve">p. 226 </t>
  </si>
  <si>
    <t>XPHI33_b</t>
  </si>
  <si>
    <t>knobe effects</t>
  </si>
  <si>
    <t>"However, only in WATER and NAZI was the difference between the means in the ‘fulll’ and ‘violate’ conditions statistically signicant; the effect sizes were small and medium, respectively.", "Water: t(88) = −2.462, p &lt; 0.05, r = 0.25;"</t>
  </si>
  <si>
    <t>0.25</t>
  </si>
  <si>
    <t>https://osf.io/4ydaf</t>
  </si>
  <si>
    <t>https://doi.org/10.17605/OSF.IO/AY2YE</t>
  </si>
  <si>
    <t>XPHI33_c</t>
  </si>
  <si>
    <t>"However, only in WATER and NAZI was the difference between the means in the ‘full’ and ‘violate’ conditions statistically signicant; the effect sizes were small and medium, respectively.", "Movies: t(92) = −1.804, p &gt; 0.05, r = 0.18;"</t>
  </si>
  <si>
    <t>0.18</t>
  </si>
  <si>
    <t>1.2</t>
  </si>
  <si>
    <t>XPHI33_d</t>
  </si>
  <si>
    <t>"However, only in WATER and NAZI was the difference between the means in the ‘full’ and ‘violate’ conditions statistically signicant; the effect sizes were small and medium, respectively.", "Sales: t(92) = −1.807, p &gt; 0.05, r = 0.19;"</t>
  </si>
  <si>
    <t>0.19</t>
  </si>
  <si>
    <t>0.75</t>
  </si>
  <si>
    <t>XPHI33_e</t>
  </si>
  <si>
    <t>"However, only in WATER and NAZI was the difference between the means in the ‘full’ and ‘violate’ conditions statistically signicant; the effect sizes were small and medium, respectively.", "Nazi: t(90) = −5.15, p &lt; 0.0001, r = 0.48."</t>
  </si>
  <si>
    <t>0.48</t>
  </si>
  <si>
    <t>0.41</t>
  </si>
  <si>
    <t>XPHI34_1</t>
  </si>
  <si>
    <t>XPHI34</t>
  </si>
  <si>
    <t>Test statistics: Structural Equation Modelling (Chi-square)</t>
  </si>
  <si>
    <t>Rose, D., &amp; Nichols, S. (2013). The lesson of bypassing. Review of Philosophy and Psychology, 4, 599-619.</t>
  </si>
  <si>
    <t>10.1007/s13164-013-0154-3</t>
  </si>
  <si>
    <t>https://osf.io/qju6y</t>
  </si>
  <si>
    <r>
      <rPr>
        <rFont val="Calibri"/>
        <color theme="1"/>
        <sz val="11.0"/>
      </rPr>
      <t>incompatilism, bypassing,</t>
    </r>
    <r>
      <rPr>
        <rFont val="Calibri"/>
        <color rgb="FF00FF00"/>
        <sz val="11.0"/>
      </rPr>
      <t xml:space="preserve"> experimental philosophy</t>
    </r>
  </si>
  <si>
    <t>the bypassing results suggest that incompatibilism runs even deeper than previously recognized</t>
  </si>
  <si>
    <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</si>
  <si>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X2(1) = 0.9026</t>
  </si>
  <si>
    <t>X2(1) = 0.198</t>
  </si>
  <si>
    <r>
      <rPr>
        <rFont val="Aptos, sans-serif"/>
        <color rgb="FF00FF00"/>
        <sz val="12.0"/>
        <u/>
      </rPr>
      <t>https://osf.io/4ewkh</t>
    </r>
  </si>
  <si>
    <t>https://osf.io/7en89</t>
  </si>
  <si>
    <t>ES for O and R are absent</t>
  </si>
  <si>
    <t>10.1007--s13164-013-0154-3.pdf</t>
  </si>
  <si>
    <r>
      <rPr>
        <rFont val="Calibri"/>
        <color rgb="FF00FF00"/>
        <sz val="11.0"/>
      </rPr>
      <t>incompatilism, bypassing</t>
    </r>
    <r>
      <rPr>
        <rFont val="Calibri"/>
        <color theme="1"/>
        <sz val="11.0"/>
      </rPr>
      <t>, experimental philosophy</t>
    </r>
  </si>
  <si>
    <t>The model returned from GES was the MR/FW Incompatibilist Model.</t>
  </si>
  <si>
    <t>X2(1, N = 60) =.9026, p=.3421</t>
  </si>
  <si>
    <t>X2(1, N = 155) = .198, p = .656</t>
  </si>
  <si>
    <t>XPHI35_1</t>
  </si>
  <si>
    <t>XPHI35</t>
  </si>
  <si>
    <t>3 preregistrations: https://doi.org/10.17605/OSF.IO/RX9ZP https://doi.org/10.17605/OSF.IO/VYWMY; The used a Sobel test; The replication report states that pearson correlation coefficients between the MR/FWand Bypassing composite scores were computed for each scenario. If this is also relevant, I am happy to code it too: I"n the original study, Pearson correlation coefficients between the MR/FW and Bypassing composite scores were computed for each scenario, and a strong inverse correlation between Bypassingand MR/FWscores were found in each scenario (NK abstract: r(75) = -0.65, p&lt; 0.001; NMNT abstract: r(54) = -0.803, p&lt; 0.001). Collapsing across all four surveys, the correlation coefficient between Bypassing and MR/FW scores was high: r(247) = -0.734, p&lt; 0.001.  Likewise, in the replication study, a strong inverse correlation between Bypassing and MR/FW scores were found in each scenario (NK abstract: r(161) = -0.65, p&lt; 0.001; NMNT abstract: r(174)= -0.75, p&lt; 0.001).And collapsing across bothsurveys, the correlation coefficient between Bypassingand MR/FW scores was high: r(335) = -0.72, p&lt; 0.001." (replication report, p. 6)</t>
  </si>
  <si>
    <t xml:space="preserve">Entry selected as it had most accurate reporting - reported sobel test as suggested by the XPHI data table and confirmed byt the original reports, 
Also added description (originally missing from both entries), 
and investigated links - preregistration for replication added. </t>
  </si>
  <si>
    <t>Murray, D., &amp; Nahmias, E. (2014). Explaining away incompatibilist intuitions. Philosophy and Phenomenological Research, 88(2), 434-467.</t>
  </si>
  <si>
    <t>10.1111/j.1933-1592.2012.00609.x</t>
  </si>
  <si>
    <t>https://osf.io/q267x</t>
  </si>
  <si>
    <t>incompatilism, bypassing</t>
  </si>
  <si>
    <t>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</si>
  <si>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</si>
  <si>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sobel test = 2.286</t>
  </si>
  <si>
    <t>sobel test = 3.82</t>
  </si>
  <si>
    <r>
      <rPr>
        <rFont val="Aptos, sans-serif"/>
        <color rgb="FF00FF00"/>
        <sz val="12.0"/>
        <u/>
      </rPr>
      <t>https://osf.io/4ewkh</t>
    </r>
  </si>
  <si>
    <t>https://osf.io/3g3hv</t>
  </si>
  <si>
    <t>Not sure what exactly was replicated, ES for O absent in XPHI. Extracted claim is my best quess based on the available info. XPHI states for R: R2 = 0.066</t>
  </si>
  <si>
    <t>10.1111--j.1933-1592.2012.00609.x.pdf</t>
  </si>
  <si>
    <t>Mediation analyses involve the speci- fication of a causal model between three variables and the strengths of the paths between them using multiple regression (see Figure 2). They are designed to determine whether the effect of one variable (in our case, the description of determinism: N&amp;K’s vs. NMNT’s) on another variable (MR⁄FW judgments) is mediated by a third variable (Bypassing). If the description of determinism no longer has a significant effect on MR⁄FW once Bypassing is taken into account, then mediation obtains, which provides evidence that the difference between N&amp;K’s and NMNT’s descriptions of determinism makes a difference to people’s judgments about MR⁄FW because of the difference in the degree to which people interpret the descriptions to involve bypassing.
And this is exactly what we found.</t>
  </si>
  <si>
    <t>p. 15, Figure 2. Sobel test = 2.286, p &lt; .022</t>
  </si>
  <si>
    <t>Sobel test = 3.82, p = 0.0001</t>
  </si>
  <si>
    <t>XPHI35_b</t>
  </si>
  <si>
    <t>Number of participants derived from t-test</t>
  </si>
  <si>
    <t>extra result (not included in XPHI table) es_repr_r corrected</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</si>
  <si>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 </t>
  </si>
  <si>
    <t>t(132) = 2.973</t>
  </si>
  <si>
    <t>0.30</t>
  </si>
  <si>
    <t>https://doi.org/10.17605/OSF.IO/3G3HV</t>
  </si>
  <si>
    <t>XPHI35_c</t>
  </si>
  <si>
    <t>"The second regression equation estimated changes in Bypassing score using description of determinism and also yielded a significant effect: t(132) = - 2.319, p = .022, showing that participants interpreted N&amp;K abstract to involve bypassing more than they did NMNT abstract"</t>
  </si>
  <si>
    <t>t(132) = - 2.319</t>
  </si>
  <si>
    <t>0.21</t>
  </si>
  <si>
    <t>XPHI36_1</t>
  </si>
  <si>
    <t>XPHI36</t>
  </si>
  <si>
    <t xml:space="preserve">Entry selected as it had most accurate reporting - replicated p value correct,
Also added description (originally missing from both entries), 
and investigated links - preregistration for replication added. </t>
  </si>
  <si>
    <t>Grau, C., &amp; Pury, C. L. (2014). Attitudes towards reference and replaceability. Review of Philosophy and Psychology, 5(2), 155-168</t>
  </si>
  <si>
    <t>10.1007/s13164-013-0162-3</t>
  </si>
  <si>
    <t>https://osf.io/spwxg</t>
  </si>
  <si>
    <t>replaceability, attitude towards refernce</t>
  </si>
  <si>
    <t>Individuals with Kripkean intuitions were indeed more likely to value loved ones (and other persons and things) as irreplaceable</t>
  </si>
  <si>
    <r>
      <rPr>
        <rFont val="Calibri"/>
        <color theme="1"/>
        <sz val="11.0"/>
      </rPr>
      <t xml:space="preserve">"As predicted by Hypothesis 1 and shown in the first row, Kripkeans rated having the same feelings toward a replaced Loved One as significantly both less likely and less appropriate than Descriptivists. </t>
    </r>
    <r>
      <rPr>
        <rFont val="Calibri"/>
        <color rgb="FF00FF00"/>
        <sz val="11.0"/>
      </rPr>
      <t>t(160) = 2.58, p = 0.01, eta_squared = 0.04</t>
    </r>
    <r>
      <rPr>
        <rFont val="Calibri"/>
        <color theme="1"/>
        <sz val="11.0"/>
      </rPr>
      <t>",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r>
  </si>
  <si>
    <t>https://osf.io/y62dh</t>
  </si>
  <si>
    <t>XPHI also states ES for O d = 0.41,  η2 is also available for O and R, which are 0.040 and 0.007 respectively</t>
  </si>
  <si>
    <t>10.1007--s13164-013-0162-3.pdf</t>
  </si>
  <si>
    <t>As predicted by Hypothesis 1 and shown in the first row, Kripkeans rated having the same feelings toward a replaced Loved One as significantly both less likely and less appropriate than Descriptivists.</t>
  </si>
  <si>
    <t>t(160) = 2.58</t>
  </si>
  <si>
    <t>p. 10. Table 2 t(160)=2.58, p = .01, η2=0.040</t>
  </si>
  <si>
    <t>t(385)=1.69, p=0.092, η2=0.007</t>
  </si>
  <si>
    <t>XPHI37_1</t>
  </si>
  <si>
    <t>XPHI37</t>
  </si>
  <si>
    <t xml:space="preserve">Entry selected as it had an accurate description,  
and investigated links - preregistration for replication added. </t>
  </si>
  <si>
    <t>Liao, S. Y., Strohminger, N., &amp; Sripada, C. S. (2014). Empirically investigating imaginative resistance. British Journal of Aesthetics, 54(3), 339-355.</t>
  </si>
  <si>
    <t>10.1093/aesthj/ayu027</t>
  </si>
  <si>
    <t>https://osf.io/9ahkt</t>
  </si>
  <si>
    <t xml:space="preserve">imaginative resistance </t>
  </si>
  <si>
    <r>
      <rPr>
        <rFont val="Calibri"/>
        <color rgb="FF00FF00"/>
        <sz val="11.0"/>
      </rPr>
      <t>experimental philosophy, i</t>
    </r>
    <r>
      <rPr>
        <rFont val="Calibri"/>
        <color theme="1"/>
        <sz val="11.0"/>
      </rPr>
      <t xml:space="preserve">maginative resistance </t>
    </r>
  </si>
  <si>
    <t>"Imaginative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</si>
  <si>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 </t>
  </si>
  <si>
    <t>14, 15</t>
  </si>
  <si>
    <t>https://osf.io/w62xy</t>
  </si>
  <si>
    <t>10.1093--aesthj--ayu027.pdf</t>
  </si>
  <si>
    <r>
      <rPr>
        <rFont val="Calibri"/>
        <color theme="1"/>
        <sz val="11.0"/>
      </rPr>
      <t>experimental philosophy,</t>
    </r>
    <r>
      <rPr>
        <rFont val="Calibri"/>
        <color rgb="FF00FF00"/>
        <sz val="11.0"/>
      </rPr>
      <t xml:space="preserve"> imaginative resistance </t>
    </r>
  </si>
  <si>
    <t>The experimental manipulation produced a statistically significant large effect with respect to the Morality question (t (29) = 3.42, p = 0.002, effect size r = 0.54; Figure 3b).</t>
  </si>
  <si>
    <t>p. 352</t>
  </si>
  <si>
    <t>p. 352 t = 3.42, df = 29, p = .002</t>
  </si>
  <si>
    <t>t(97) = 6.483, p &lt; .001</t>
  </si>
  <si>
    <t>XPHI38_1</t>
  </si>
  <si>
    <t>XPHI38</t>
  </si>
  <si>
    <t>The original study does not include any test statistics. I calculated the effect sizes using the excel sheet.</t>
  </si>
  <si>
    <t xml:space="preserve">Entry selected - though both are similar. 
Original test statistics not reported but both coders correctly sourced them from the replication table. </t>
  </si>
  <si>
    <t xml:space="preserve">Björnsson, G., Eriksson, J., Strandberg, C., Olinder, R. F., &amp; Björklund, F. (2015). Motivational internalism and folk intuitions. Philosophical Psychology, 28(5), 715–734. </t>
  </si>
  <si>
    <t>10.1080/09515089.2014.894431</t>
  </si>
  <si>
    <t>https://osf.io/2yuq3</t>
  </si>
  <si>
    <r>
      <rPr>
        <rFont val="Calibri"/>
        <color theme="1"/>
        <sz val="11.0"/>
      </rPr>
      <t xml:space="preserve">Belief, Folk Intuitions, Moral Judgment, Motivational Internalism, Shaun Nichols, Understanding, </t>
    </r>
    <r>
      <rPr>
        <rFont val="Calibri"/>
        <color rgb="FF00FF00"/>
        <sz val="11.0"/>
      </rPr>
      <t>experimental philosophy</t>
    </r>
  </si>
  <si>
    <t>Motivational internalism postulates a necessary connection between moral judgments and motivation.</t>
  </si>
  <si>
    <t>"The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</si>
  <si>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p. 9 X2(1, N = 162) = 14.421, df = 1, p &lt; .001</t>
  </si>
  <si>
    <t>https://doi.org/10.17605/OSF.IO/R3KTH</t>
  </si>
  <si>
    <t>data for O copied from XPHI dataset, matching statistics not present in the paper (were recalculated in XPHI)</t>
  </si>
  <si>
    <t>Björnsson, G., Eriksson, J., Strandberg, C., Olinder, R. F., &amp; Björklund, F. (2015). Motivational internalism and folk intuitions. Philosophical Psychology, 28(5), 715–734.</t>
  </si>
  <si>
    <t>10.1080--09515089.2014.894431.pdf</t>
  </si>
  <si>
    <r>
      <rPr>
        <rFont val="Calibri"/>
        <color rgb="FF00FF00"/>
        <sz val="11.0"/>
      </rPr>
      <t>Belief, Folk Intuitions, Moral Judgment, Motivational Internalism, Shaun Nichols, Understanding</t>
    </r>
    <r>
      <rPr>
        <rFont val="Calibri"/>
        <color theme="1"/>
        <sz val="11.0"/>
      </rPr>
      <t>, experimental philosophy</t>
    </r>
  </si>
  <si>
    <t>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t>
  </si>
  <si>
    <t>p 9,10</t>
  </si>
  <si>
    <t>X2(1, N = 302) = 19.945, p &lt; .001</t>
  </si>
  <si>
    <t>XPHI38_b</t>
  </si>
  <si>
    <t>Belief, Folk Intuitions, Moral Judgment, Motivational Internalism, Shaun Nichols, Understanding</t>
  </si>
  <si>
    <t>"The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</si>
  <si>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X2(1) = 33.487</t>
  </si>
  <si>
    <t>https://osf.io/682ga</t>
  </si>
  <si>
    <t>XPHI39_1</t>
  </si>
  <si>
    <t>XPHI39</t>
  </si>
  <si>
    <t xml:space="preserve">Entry selected as it had more accurate reported (full test statistics), 
description added, 
and investigated links. </t>
  </si>
  <si>
    <t>Buckwalter, W., &amp; Schaffer, J. (2015). Knowledge, stakes, and mistakes. Noûs, 49(2), 201-234.</t>
  </si>
  <si>
    <t>10.1111/nous.12017</t>
  </si>
  <si>
    <t>https://osf.io/pq7eb</t>
  </si>
  <si>
    <t xml:space="preserve">knowledge, stakes, mistakes </t>
  </si>
  <si>
    <t>Folk stakes sensitivity: All else equal, people are less likely to ascribe knowledge to a
high stakes subject than to a low stakes subject.</t>
  </si>
  <si>
    <t>"Typo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</si>
  <si>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31, 13, 14</t>
  </si>
  <si>
    <t>F(1, 260) = 99.46</t>
  </si>
  <si>
    <t>p. 31</t>
  </si>
  <si>
    <t>F(1, 436) = 87.36</t>
  </si>
  <si>
    <t>https://doi.org/10.17605/OSF.IO/M9VRK</t>
  </si>
  <si>
    <t>10.1111--nous.12017.pdf</t>
  </si>
  <si>
    <t>Typo low hope, Typo high short hope</t>
  </si>
  <si>
    <t xml:space="preserve">Typo low hope (M = 2.50, SD = 1.04), Typo high short hope (M = 5.37, SD = 2.61). Combined from above, a 2 (stakes) x 3 (verb type) between-subjects analysis of variance reveals a main effect for the factor of stakes, F (1, 260) = 99.46, p &lt; 0.001. ... [...] What we find especially relevant is not just that Pinillos’s stakes effect persisted when ‘know’ was replaced with ‘believe,’ and still persisted with ‘guess,’ and continued to persist with ‘hope,’ but that the nature of the effect seemed entirely unaltered through this process. </t>
  </si>
  <si>
    <t>p. 31, 13</t>
  </si>
  <si>
    <t>F (1, 260) = 99.46</t>
  </si>
  <si>
    <t xml:space="preserve">F(1, 436) = 87.36, </t>
  </si>
  <si>
    <t>XPHI39_b</t>
  </si>
  <si>
    <t>verb type</t>
  </si>
  <si>
    <t>However a main effect was not found for verb type F (2,260) = 1.45, p = 0.24, and no interaction effect was detected between these two factors, F (2,260) = 0.191, p = 0.83.</t>
  </si>
  <si>
    <t xml:space="preserve"> F (2,260) = 1.45</t>
  </si>
  <si>
    <t>F(2, 436) = 0.45</t>
  </si>
  <si>
    <r>
      <rPr>
        <rFont val="Calibri"/>
        <color rgb="FF1155CC"/>
        <sz val="8.0"/>
        <u/>
      </rPr>
      <t>osf.io/2ukpq</t>
    </r>
  </si>
  <si>
    <t>"However a main effect was not found for verb type F (2,260) = 1.45, p = 0.24," ,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</si>
  <si>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F(2,260) = 1.45</t>
  </si>
  <si>
    <t>https://osf.io/j2m8u</t>
  </si>
  <si>
    <t>XPHI39_c</t>
  </si>
  <si>
    <t>interaction effect, verb type</t>
  </si>
  <si>
    <t xml:space="preserve"> F (2,260) = 0.191</t>
  </si>
  <si>
    <t>F(2,  436)  = 1.06</t>
  </si>
  <si>
    <r>
      <rPr>
        <rFont val="Calibri"/>
        <color rgb="FF1155CC"/>
        <sz val="8.0"/>
        <u/>
      </rPr>
      <t>osf.io/2ukpq</t>
    </r>
  </si>
  <si>
    <t>"no interaction effect was detected between these two factors [stakes and verb type], F(2,260) = 0.191, p = 0.83. We also reconfirmed these findings using the Wilcoxon-Mann-Whitney test, which revealed significant stakes effects for all predicates, but no differences between individual verbs within either Typo low or within Typo high short.",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</si>
  <si>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F(2,260) = 0.191</t>
  </si>
  <si>
    <t>XPHI4_1</t>
  </si>
  <si>
    <t>XPHI4</t>
  </si>
  <si>
    <t xml:space="preserve">The Post Replication Form states that the replication analysis were performed with 129 participants, while the table states that 127 were part of the analysis. </t>
  </si>
  <si>
    <t xml:space="preserve">Entry selected though both rows were similar, 
investigated the updated/corrected sample size - coders both agree and were correct, 
description added, 
and investigated links. </t>
  </si>
  <si>
    <t>Knobe, J. (2004). Intention, intentional action and moral considerations. Analysis, 64(282), 181-187.</t>
  </si>
  <si>
    <t>10.1111/j.1467-8284.2004.00481.x</t>
  </si>
  <si>
    <t>https://osf.io/juxpq</t>
  </si>
  <si>
    <r>
      <rPr>
        <rFont val="Calibri"/>
        <color theme="1"/>
        <sz val="11.0"/>
      </rPr>
      <t xml:space="preserve">intention, intentional action, moral considerations, </t>
    </r>
    <r>
      <rPr>
        <rFont val="Calibri"/>
        <color rgb="FF00FF00"/>
        <sz val="11.0"/>
      </rPr>
      <t>experimental philosophy</t>
    </r>
  </si>
  <si>
    <t>To better understanding of people’s concept of intentional action, drawing on ordinary language as a key source of evidence.</t>
  </si>
  <si>
    <t>"The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</si>
  <si>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t(77) = 2.65</t>
  </si>
  <si>
    <t>https://doi.org/10.17605/OSF.IO/9E3T5</t>
  </si>
  <si>
    <t>XPHI also states ES for O d = 0.41</t>
  </si>
  <si>
    <t>corrected orignial sample size; cant find the statistic in column teststatistic_rep</t>
  </si>
  <si>
    <t>10.1111--j.1467-8284.2004.00481.x.pdf</t>
  </si>
  <si>
    <r>
      <rPr>
        <rFont val="Calibri"/>
        <color rgb="FF00FF00"/>
        <sz val="11.0"/>
      </rPr>
      <t>intention, intentional action, moral considerations</t>
    </r>
    <r>
      <rPr>
        <rFont val="Calibri"/>
        <color theme="1"/>
        <sz val="11.0"/>
      </rPr>
      <t>, experimental philosophy</t>
    </r>
  </si>
  <si>
    <t>The average rating for subjects in the harm condition was +.6; the average for subjects in the help condition was -1.</t>
  </si>
  <si>
    <t>p. 4 t(75) = 2.65, p = 0.01</t>
  </si>
  <si>
    <t>t(125) = 7.15, p &lt; 0.001</t>
  </si>
  <si>
    <t>XPHI40_1</t>
  </si>
  <si>
    <t>XPHI40</t>
  </si>
  <si>
    <t xml:space="preserve">Entry selected though both rows were similar, 
description added, 
and investigated links. </t>
  </si>
  <si>
    <t>Kominsky, J. F., Phillips, J., Gerstenberg, T., Lagnado, D., &amp; Knobe, J. (2015). Causal superseding. Cognition, 137, 196-209.</t>
  </si>
  <si>
    <t>10.1016/j.cognition.2015.01.013</t>
  </si>
  <si>
    <t>https://osf.io/xv3uz</t>
  </si>
  <si>
    <t>Causal reasoning, Counterfactuals, Morality, Superseding</t>
  </si>
  <si>
    <t>norm violations also affect the causality attributed to other agents, a phenomenon we refer to as ‘‘causal superseding.’’</t>
  </si>
  <si>
    <t>"For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</si>
  <si>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5, 6</t>
  </si>
  <si>
    <t>0.568</t>
  </si>
  <si>
    <t>0.58</t>
  </si>
  <si>
    <t>https://doi.org/10.17605/OSF.IO/DNQE7</t>
  </si>
  <si>
    <t>10.1016--j.cognition.2015.01.013.pdf</t>
  </si>
  <si>
    <t>Agreement ratings for the fixed agent were lower when the varied agent violated a norm than when he did not</t>
  </si>
  <si>
    <t>p. 6 t(58) = -2.210, p = .031</t>
  </si>
  <si>
    <t>t(198) = 4.1119, p &lt; .001</t>
  </si>
  <si>
    <r>
      <rPr>
        <rFont val="&quot;Helvetica Neue&quot;"/>
        <color rgb="FF1155CC"/>
        <sz val="8.0"/>
        <u/>
      </rPr>
      <t>osf.io/f5svw</t>
    </r>
  </si>
  <si>
    <t>XPHI40_b</t>
  </si>
  <si>
    <t>"Replicating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</si>
  <si>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0.764</t>
  </si>
  <si>
    <t>t(198) = 1.3948</t>
  </si>
  <si>
    <t>https://osf.io/m5q6z</t>
  </si>
  <si>
    <t>XPHI5_1</t>
  </si>
  <si>
    <t>XPHI5</t>
  </si>
  <si>
    <t>Both rows are chosen, differrent results extracted</t>
  </si>
  <si>
    <t>Nichols, S. (2004). After objectivity: An empirical study of moral judgment. Philosophical Psychology, 17(1), 3-26. Chicago.</t>
  </si>
  <si>
    <t>10.1080/0951508042000202354</t>
  </si>
  <si>
    <t>https://osf.io/s8mrz</t>
  </si>
  <si>
    <r>
      <rPr>
        <rFont val="Calibri"/>
        <color theme="1"/>
        <sz val="11.0"/>
      </rPr>
      <t xml:space="preserve">moral judgement, canonical moral, moral objectivity, </t>
    </r>
    <r>
      <rPr>
        <rFont val="Calibri"/>
        <color rgb="FF00FF00"/>
        <sz val="11.0"/>
      </rPr>
      <t>experimental philosophy</t>
    </r>
  </si>
  <si>
    <t>participants who respond as nonobjectivists about canonical moral violations still treat such violations in typical ways</t>
  </si>
  <si>
    <t>"On permissibility, there was no significant difference (F(1,8) = 1, p  = 0.347, n.s.). This is not surprising, since a less permissible item (leaving class without permission) was explicitly sought and added.", "Participants who give nonobjectivist responses to moral cases still draw the moral/ conventional distinction."</t>
  </si>
  <si>
    <t>F(1, 8) = 1</t>
  </si>
  <si>
    <t>https://doi.org/10.17605/OSF.IO/9VXSF</t>
  </si>
  <si>
    <t xml:space="preserve">Entry selected as coded for the main effect as defined by the replication table, 
test statistics updated (formatting in effect size columns), 
and investigated links. </t>
  </si>
  <si>
    <t>10.1080--0951508042000202354.pdf</t>
  </si>
  <si>
    <r>
      <rPr>
        <rFont val="Calibri"/>
        <color rgb="FF00FF00"/>
        <sz val="11.0"/>
      </rPr>
      <t>moral judgement, canonical moral, moral objectivity, e</t>
    </r>
    <r>
      <rPr>
        <rFont val="Calibri"/>
        <color theme="1"/>
        <sz val="11.0"/>
      </rPr>
      <t>xperimental philosophy</t>
    </r>
  </si>
  <si>
    <t>However, there were clear main effects for ... authority contingence.</t>
  </si>
  <si>
    <t>F(1, 8) = 18</t>
  </si>
  <si>
    <t>F(1,8) = 12</t>
  </si>
  <si>
    <t>XPHI5_b</t>
  </si>
  <si>
    <t>moral judgement, canonical moral, moral objectivity</t>
  </si>
  <si>
    <t>moral judgement</t>
  </si>
  <si>
    <t>"However, there were clear main effects for seriousness (F(1,9) = 30.519, p &lt; 0.001)", "Participants who give nonobjectivist responses to moral cases still draw the moral/ conventional distinction."</t>
  </si>
  <si>
    <t>F(1, 9) = 30.519</t>
  </si>
  <si>
    <t>https://osf.io/mykq6</t>
  </si>
  <si>
    <t>XPHI5_c</t>
  </si>
  <si>
    <t xml:space="preserve">"However, there were clear main effects for […] justification (F(1,8)  21.333, p &lt; 0.01)", "Participants who give nonobjectivist responses to moral cases still draw the moral/ conventional distinction."
</t>
  </si>
  <si>
    <t>F(1,8) = 21.333</t>
  </si>
  <si>
    <t>XPHI5_d</t>
  </si>
  <si>
    <t>"However, there were clear main effects for […] and authority contingence (F(1,8) = 18, p &lt; 0.01).", "Participants who give nonobjectivist responses to moral cases still draw the moral/ conventional distinction."</t>
  </si>
  <si>
    <t>F(1,8) = 18</t>
  </si>
  <si>
    <t>XPHI6_1</t>
  </si>
  <si>
    <t>XPHI6</t>
  </si>
  <si>
    <t>The effect size of the original study can not be determined using the effect size calculator. The replication study describes the effect as follows: "Whereas not a single one of the subjects in Case 1 judged that John intentionally upset Susan [...],64% of the subjects in Case 2 judged that he intentionally upset her [...]” (p. 267). Assuming equal sample sizes, this translates to the following result: X2 (1, N = 44) = 20.53, p &lt; .001, w = 0.69"</t>
  </si>
  <si>
    <t xml:space="preserve">Entry selected as managed to describe the original effect (qual) 
test statistics updated (had to take estimated statstics from post-replication report nad XPHI table),
and investigated links. </t>
  </si>
  <si>
    <t>Nadelhoffer, T. (2004). Blame, badness, andintentional action: A reply to Knobe and Mendlow. Journal of Theoretical and Philosophical Psychology, 24, 259–269.</t>
  </si>
  <si>
    <t>10.1037/h0091247</t>
  </si>
  <si>
    <t>https://osf.io/d478r</t>
  </si>
  <si>
    <r>
      <rPr>
        <rFont val="Calibri"/>
        <color theme="1"/>
        <sz val="11.0"/>
      </rPr>
      <t xml:space="preserve">blame, badness, intentional action, side effect, </t>
    </r>
    <r>
      <rPr>
        <rFont val="Calibri"/>
        <color rgb="FF00FF00"/>
        <sz val="11.0"/>
      </rPr>
      <t>experimental philosophy</t>
    </r>
  </si>
  <si>
    <t>the moral blameworthiness of an agent can influence folk intuitions about intentional action.</t>
  </si>
  <si>
    <t>"Whereas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</si>
  <si>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Post replication form page 2: X2(1, N = 44) = 20.53, p &lt;.001
https://osf.io/d478r</t>
  </si>
  <si>
    <t>https://osf.io/d478r, page 2</t>
  </si>
  <si>
    <t>https://doi.org/10.17605/OSF.IO/HBPXN</t>
  </si>
  <si>
    <t>Matching statistics not found, extracted from XPHI</t>
  </si>
  <si>
    <t>10.1037--h0091247.pdf</t>
  </si>
  <si>
    <r>
      <rPr>
        <rFont val="Calibri"/>
        <color rgb="FF00FF00"/>
        <sz val="11.0"/>
      </rPr>
      <t xml:space="preserve">blame, badness, intentional action, side effect, </t>
    </r>
    <r>
      <rPr>
        <rFont val="Calibri"/>
        <color theme="1"/>
        <sz val="11.0"/>
      </rPr>
      <t>experimental philosophy</t>
    </r>
  </si>
  <si>
    <t>X2(1, N = 44) = 20.53, p &lt;.001</t>
  </si>
  <si>
    <t>X2(1, N = 47) = 32.36, p &lt;.001</t>
  </si>
  <si>
    <r>
      <rPr>
        <rFont val="&quot;Helvetica Neue&quot;"/>
        <color rgb="FF1155CC"/>
        <sz val="8.0"/>
        <u/>
      </rPr>
      <t>osf.io/w9bza/</t>
    </r>
  </si>
  <si>
    <t>XPHI7_1</t>
  </si>
  <si>
    <t>XPHI7</t>
  </si>
  <si>
    <t>Nahmias, E., Morris, S., Nadelhoffer, T., and Turner, J. (2005). Surveying Freedom: Folk Intuitions About Free Will and Moral Responsibility. Philosophical Psychology, 18(5), 561-584.</t>
  </si>
  <si>
    <t>10.1080/09515080500264180</t>
  </si>
  <si>
    <t>https://osf.io/jge2k</t>
  </si>
  <si>
    <r>
      <rPr>
        <rFont val="Calibri"/>
        <color theme="1"/>
        <sz val="11.0"/>
      </rPr>
      <t xml:space="preserve">Free Will, Moral Responsibility, Folk Psychology, </t>
    </r>
    <r>
      <rPr>
        <rFont val="Calibri"/>
        <color rgb="FF00FF00"/>
        <sz val="11.0"/>
      </rPr>
      <t>experimental philosophy</t>
    </r>
  </si>
  <si>
    <t>agents in deterministic scenarios  were judged by participants as acting of their own free will and are morally responsible for their actions.</t>
  </si>
  <si>
    <t>"The results indicate that a significant majority of participants (76%) judged that Jeremy robs the bank of his own free will.18", "We offer two related interpretations of these interesting results. First, the results may suggest that some folk have Frankfurtian intuitions (see note 6). That is, they think, as suggested by Frankfurt (1969), that an agent’s action may be free and responsible without the agent’s having the ability to do otherwise—though this trend did not appear with the blameworthy actions. So perhaps these intuitions are more pronounced regarding agents who perform praiseworthy (or morally neutral) actions."</t>
  </si>
  <si>
    <t>7, 9</t>
  </si>
  <si>
    <t>X2(1) = 5.76</t>
  </si>
  <si>
    <t>https://doi.org/10.17605/OSF.IO/26YZU</t>
  </si>
  <si>
    <t>XPHI also states ES w = 0.52</t>
  </si>
  <si>
    <t xml:space="preserve">Entry selected although both coders were very similar,
test statistics updated (had to take estimated statistics from post-replication report and XPHI table combined for effect size reporting),
and investigated links. </t>
  </si>
  <si>
    <t>10.1080--09515080500264180.pdf</t>
  </si>
  <si>
    <r>
      <rPr>
        <rFont val="Calibri"/>
        <color rgb="FF00FF00"/>
        <sz val="11.0"/>
      </rPr>
      <t xml:space="preserve">Free Will, Moral Responsibility, Folk Psychology, </t>
    </r>
    <r>
      <rPr>
        <rFont val="Calibri"/>
        <color theme="1"/>
        <sz val="11.0"/>
      </rPr>
      <t xml:space="preserve"> experimental philosophy</t>
    </r>
  </si>
  <si>
    <t>The results indicate that a significant majority of participants (76%) judged that Jeremy robs the bank of his own free will</t>
  </si>
  <si>
    <t>X2(1, N = 186) = 67.4, p &lt; .001, kendallsW at https://osf.io/4ewkh</t>
  </si>
  <si>
    <t>XPHI8_1</t>
  </si>
  <si>
    <t>XPHI8</t>
  </si>
  <si>
    <t>McCann, H. J. (2005). Intentional action and intending: Recent empirical studies. Philosophical Psychology, 18(6), 737-748.</t>
  </si>
  <si>
    <t>10.1080/09515080500355236</t>
  </si>
  <si>
    <t>10.1080--09515080500355236.pdf</t>
  </si>
  <si>
    <t>X2(1, N = 77) = 1.8348, p = 0.1756</t>
  </si>
  <si>
    <t>X2(1, N = 221) = 0.42374, p = 0.5151</t>
  </si>
  <si>
    <r>
      <rPr>
        <rFont val="&quot;Helvetica Neue&quot;"/>
        <color rgb="FF1155CC"/>
        <sz val="8.0"/>
        <u/>
      </rPr>
      <t>osf.io/jtsnn/</t>
    </r>
  </si>
  <si>
    <t>XPHI9_1</t>
  </si>
  <si>
    <t>XPHI9</t>
  </si>
  <si>
    <t>The Post Replication Form states that 123 were included in the analysis, while the tables states 128.; The effect size of the original study can not be calculated using the effect size calculator, but the replication report states "85 (69%) participants chose answer ‘Yes’ when they were asked ‘Did Fred intentionally prevent the explosion?’, while 38 (31%) chose ‘No’. Statistical analyses using R returned thefollowing results: X2(1, N = 123) = 17.959, p = 0.000023, w = 0.38. The 95% confidence interval extends from 0.601 to 0.771. The rate of ‘Intentionally’ answers was within the rangeof the original 95% CI [0.56-0.85].", p. 1; https://osf.io/7s5vy</t>
  </si>
  <si>
    <t xml:space="preserve">Entry selected as it had the correct sample size (123 not 128, 128 was before exclusions and was incorrectly reported on the main table - replicaiton report detailed the exclusions). 
Test statistics updated - original statistics inferred in the prereplicaiton report, references and annotations included in the row,
and investigated links. </t>
  </si>
  <si>
    <t>Nadelhoffer, T. (2005). Skill, luck, control, and intentional action. Philosophical Psychology, 18(3), 341-352.</t>
  </si>
  <si>
    <t>10.1080/09515080500177309</t>
  </si>
  <si>
    <r>
      <rPr>
        <rFont val="Calibri"/>
        <color theme="1"/>
        <sz val="11.0"/>
      </rPr>
      <t xml:space="preserve">skill, luck, control, intentional action., </t>
    </r>
    <r>
      <rPr>
        <rFont val="Calibri"/>
        <color rgb="FF00FF00"/>
        <sz val="11.0"/>
      </rPr>
      <t>experimental philosophy</t>
    </r>
  </si>
  <si>
    <t>in order for an action to be performed intentionally it must be performed with a relevant amount of skill or control—i.e., an intentional actioncannot simply be the result of luck.</t>
  </si>
  <si>
    <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</si>
  <si>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8, 10</t>
  </si>
  <si>
    <t>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</si>
  <si>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p. 1 https://osf.io/7s5vy
X2(1, N = 123) = 17.959, p = 0.000023, w = 0.38.</t>
  </si>
  <si>
    <t>https://doi.org/10.17605/OSF.IO/Q2E5K</t>
  </si>
  <si>
    <t xml:space="preserve">No statistics in O, extracted from XPHI. </t>
  </si>
  <si>
    <r>
      <rPr>
        <rFont val="Calibri"/>
        <color rgb="FFFF0000"/>
        <sz val="11.0"/>
      </rPr>
      <t xml:space="preserve">Note from another coder = The Post Replication Form states that 123 were included in the analysis, while the tables states 128.; The effect size of the original study can not be calculated using the effect size calculator, but the replication report states "85 (69%) participants chose answer ‘Yes’ when they were asked ‘Did Fred intentionally prevent the explosion?’, while 38 (31%) chose ‘No’. Statistical analyses using R returned thefollowing results: X2(1, N = 123) = 17.959, p = 0.000023, w = 0.38. The 95% confidence interval extends from 0.601 to 0.771. The rate of ‘Intentionally’ answers was within the rangeof the original 95% CI [0.56-0.85].", p. 1; </t>
    </r>
    <r>
      <rPr>
        <rFont val="Calibri"/>
        <color rgb="FFFF0000"/>
        <sz val="11.0"/>
        <u/>
      </rPr>
      <t>https://osf.io/7s5vy</t>
    </r>
  </si>
  <si>
    <t>10.1080--09515080500177309.pdf</t>
  </si>
  <si>
    <r>
      <rPr>
        <rFont val="Calibri"/>
        <color rgb="FF00FF00"/>
        <sz val="11.0"/>
      </rPr>
      <t>skill, luck, control, intentional action,</t>
    </r>
    <r>
      <rPr>
        <rFont val="Calibri"/>
        <color rgb="FFFF0000"/>
        <sz val="11.0"/>
      </rPr>
      <t xml:space="preserve"> </t>
    </r>
    <r>
      <rPr>
        <rFont val="Calibri"/>
        <color theme="1"/>
        <sz val="11.0"/>
      </rPr>
      <t>experimental philosophy</t>
    </r>
  </si>
  <si>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</si>
  <si>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Regression discontinuity estimator = -2.44, robust SE = 1.22, robust CI (-4.82, -0.05)</t>
  </si>
  <si>
    <t>Estimate = 0.45, robust CI = (-0.64, 1.54), robust SE = 0.56</t>
  </si>
  <si>
    <t>"Table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</si>
  <si>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Regression discontinuity estimator = -3.16, robust SE = 1.03, robust CI (-5.18, -1.14)</t>
  </si>
  <si>
    <t>Estimate = 0.05, robust CI = (-0.78, 0.88), robust SE = 0.42</t>
  </si>
  <si>
    <t>"Male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</si>
  <si>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</si>
  <si>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</si>
  <si>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-0.005</t>
  </si>
  <si>
    <t>"The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</si>
  <si>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-1.069</t>
  </si>
  <si>
    <t>-0.203</t>
  </si>
  <si>
    <t>extension effect size: Ireland 2011-2016</t>
  </si>
  <si>
    <t>extension effect size: Norway</t>
  </si>
  <si>
    <t>Ireland 2005-2010</t>
  </si>
  <si>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</si>
  <si>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41.32</t>
  </si>
  <si>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</si>
  <si>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3.37</t>
  </si>
  <si>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</si>
  <si>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F = 4.21</t>
  </si>
  <si>
    <t>[reading achievement: school with greater average SES] Ave. socioeconomic status, g008,  0.075*** [Table 3]</t>
  </si>
  <si>
    <t>gamma = 0.075</t>
  </si>
  <si>
    <t>gamma = 0.03, CI = 0.00, 0.07</t>
  </si>
  <si>
    <t>[reading achievement: students previous achievement] Kindergarten achievement, p5, 0.686*** [Table 3]</t>
  </si>
  <si>
    <t>pi = 0.686</t>
  </si>
  <si>
    <t>beta = 0.74, CI = 0.71, 0.77</t>
  </si>
  <si>
    <t>[reading achievement: time] Elapsed time between testing, p6,  0.061*** [Table 3]</t>
  </si>
  <si>
    <t>pi = 0.061</t>
  </si>
  <si>
    <t>beta = 0.10, CI = 0.07, 0.13</t>
  </si>
  <si>
    <t>[reading achievement: student SES] Socioeconomic status, p4,  0.062*** [Table 3]</t>
  </si>
  <si>
    <t>pi = 0.062</t>
  </si>
  <si>
    <t>beta = 0.04, CI = 0.01, 0.07</t>
  </si>
  <si>
    <t>[reading achievement: gender] Female student, p2, 0.046* [Table 3]</t>
  </si>
  <si>
    <t>pi = 0.046</t>
  </si>
  <si>
    <t>beta = 0.12, CI = 0.07, 0.17</t>
  </si>
  <si>
    <t>[mathematics achievement: time between testing administration] Elapsed time between testing, p6, 0.050*** [Table 3]</t>
  </si>
  <si>
    <t>pi = 0.050</t>
  </si>
  <si>
    <t>beta = 0.06, CI = 0.03, 0.09</t>
  </si>
  <si>
    <t xml:space="preserve">[mathematics achievement: student SES] </t>
  </si>
  <si>
    <t>pi = 0.078</t>
  </si>
  <si>
    <t>beta = 0.05, CI = 0.02, 0.08</t>
  </si>
  <si>
    <t>mathematics achievement: gender] Female student p2, 0.025 [Table 3]</t>
  </si>
  <si>
    <t>pi = 0.025</t>
  </si>
  <si>
    <t>beta = -0.15, CI = -0.10, -0.20</t>
  </si>
  <si>
    <t>soscisubmission14c_b</t>
  </si>
  <si>
    <t>drunk utilitarian(placebo control condition)</t>
  </si>
  <si>
    <t>soscisubmission14c_c</t>
  </si>
  <si>
    <t>drunk utilitarian(alcohol condition (participants will drink 1.6 g of alcohol at 40% strength for each 1 kg of their body weight))</t>
  </si>
  <si>
    <t>soscisubmission13_b</t>
  </si>
  <si>
    <r>
      <rPr>
        <rFont val="Arial"/>
      </rPr>
      <t xml:space="preserve">LR: to reproduce w: srqt(chisq_value / N); see also </t>
    </r>
    <r>
      <rPr>
        <rFont val="Arial"/>
        <color rgb="FF1155CC"/>
        <u/>
      </rPr>
      <t>https://www.oxfordreference.com/display/10.1093/oi/authority.20110803095743480</t>
    </r>
  </si>
  <si>
    <r>
      <rPr>
        <rFont val="Arial"/>
      </rPr>
      <t xml:space="preserve">Cialdini, R. B., Vincent, J. E., Lewis, S. K., Catalan, J., Wheeler, D., &amp; Darby, B. L. (1975). Reciprocal concessions procedure for inducing compliance: The door-in-the-face technique. Journal of Personality and Social Psychology, 31(2), 206–215. </t>
    </r>
    <r>
      <rPr>
        <rFont val="Arial"/>
        <color rgb="FF1155CC"/>
        <u/>
      </rPr>
      <t>https://doi.org/10.1037/h0076284</t>
    </r>
  </si>
  <si>
    <t>The Door-in-the-Face (DITF) technique suggests that people are more likely to agree to a target request after initially rejecting a larger request (difference between the rejection-moderation condition and the combined control conditions (i.e., smaller request only condition &amp; equivalent request control condition))</t>
  </si>
  <si>
    <t>"The second tested the rejection-moderation condition against the combined controls; a marginally significant difference occurred, x2 = 2.88, p = .091 "," the data from this experiment argue against the interpretation that a requester's persistence in making requests accounts for the superiority of the rejection-moderation condition."</t>
  </si>
  <si>
    <t>soscisubmission41_b</t>
  </si>
  <si>
    <t>Analyses of Study 2 reported in Footnote 4</t>
  </si>
  <si>
    <t>T. 1</t>
  </si>
  <si>
    <t>soscisubmission41_c</t>
  </si>
  <si>
    <t>soscisubmission11_b</t>
  </si>
  <si>
    <r>
      <rPr>
        <rFont val="Arial"/>
      </rPr>
      <t xml:space="preserve">Hoogeveen, S., Sarafoglou, A., &amp; Wagenmakers, E.-J. (2020). Laypeople Can Predict Which Social-Science Studies Will Be Replicated Successfully. Advances in Methods and Practices in Psychological Science, 3(3), 267–285. </t>
    </r>
    <r>
      <rPr>
        <rFont val="Arial"/>
        <color rgb="FF1155CC"/>
        <u/>
      </rPr>
      <t>https://doi.org/10.1177/2515245920919667</t>
    </r>
  </si>
  <si>
    <t>Laypeople are able to predict the replication success of social science findings based on their intuitive plausibility (description-plus-evidence condition.)</t>
  </si>
  <si>
    <t>soscisubmission46_b</t>
  </si>
  <si>
    <t>Papenmeier, Frank; Rebholz, Tobias R.: Osano, Maureen</t>
  </si>
  <si>
    <t>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</si>
  <si>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</si>
  <si>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curatescience46_b</t>
  </si>
  <si>
    <t>2.24.2025</t>
  </si>
  <si>
    <t>Macbeth effect (physical cleansing)</t>
  </si>
  <si>
    <t>As predicted, physical cleansing significantly reduced volunteerism: 74% of those in the not-cleansed condition offered help, whereas only 41% of participants who had a chance to cleanse their hands offered help (c2 0 5.02, P 0 0.025).</t>
  </si>
  <si>
    <t>In R, cohens_h &lt;- 2 * (asin(sqrt(0.739)) - asin(sqrt(0.409)))</t>
  </si>
  <si>
    <t>Soto_1</t>
  </si>
  <si>
    <t>Soto</t>
  </si>
  <si>
    <t>Kaiser, Leonard; Manriquez Robles, Diego</t>
  </si>
  <si>
    <t>14/11/2023; 04/08/2025</t>
  </si>
  <si>
    <t>- I changed the described effect from religious beliefs and behavior to only beliefs
- I added the study numbers
- I changed the page number of the original study
- I changed the p-value
- I changed the sides of the original p-value to NA
- I added the text claim
- Since the second values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</si>
  <si>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MacDonald, D. A. (2000). Spirituality: Description, measurement, and relation to the five factor model of personality. Journal of Personality, 68, 153-197.</t>
  </si>
  <si>
    <t>10.1111/1467-6494.t01-1-00094</t>
  </si>
  <si>
    <t>10.1111--1467-6494.t01-1-00094.pdf</t>
  </si>
  <si>
    <t>Soto, C. J. (2019). How Replicable Are Links Between Personality Traits and Consequential Life Outcomes? The Life Outcomes of Personality Replication Project. Psychological Science, 30(5), 711-727. https://doi.org/10.1177/0956797619831612</t>
  </si>
  <si>
    <t>10.1177/0956797619831612</t>
  </si>
  <si>
    <t>10.1177--0956797619831612.pdf</t>
  </si>
  <si>
    <t>Religious beliefs and behavior – Agreeableness</t>
  </si>
  <si>
    <t>Big Five, life outcomes, metascience, personality traits, replication, open data, open materials, preregistered</t>
  </si>
  <si>
    <t>Religious beliefs are positively correlated with agreeableness.</t>
  </si>
  <si>
    <t>"ESI-Religiousness associates most clearly with NEO-PIR Agreeableness and Conscientiousness"</t>
  </si>
  <si>
    <t>p. 34, Table 6</t>
  </si>
  <si>
    <t>Table 1, p. 4</t>
  </si>
  <si>
    <t>https://osf.io/d3xb7</t>
  </si>
  <si>
    <t>Soto_2</t>
  </si>
  <si>
    <t xml:space="preserve">- I changed the described effect from religious beliefs and behavior to only beliefs
- I added the study numbers
- I added the text claim
- I changed the page number of the original study
- I changed the p-value
- I changed the sides of the original p-value to NA
- Since the second values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
</t>
  </si>
  <si>
    <t>Religious beliefs and behavior – Conscientiousness</t>
  </si>
  <si>
    <t>Religious beliefs are positively correlated with conscientiousness.</t>
  </si>
  <si>
    <t>Soto_3</t>
  </si>
  <si>
    <t>- I added the study numbers
- I changed the page number of the original study
- I changed the p-value
- I changed the sides of the original p-value to NA
- I added the text claim
- Since the second values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</si>
  <si>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Existential or phenomenological concerns – Open-mindedness</t>
  </si>
  <si>
    <t>Existential or phenomenological concerns are positively correlated with open-mindedness.</t>
  </si>
  <si>
    <t>"Inspection of the pattern and magnitude of correlations reveals that the Experiential/Phenomenological imension obtained its strongest correlations with NEO-PI-R Openness"</t>
  </si>
  <si>
    <t>Soto_4</t>
  </si>
  <si>
    <t>- I added the study numbers
- I changed the page number of the original study
- I changed the p-value
- I changed the sides of the original p-value to NA
- the original values were derived from a table, but the were not explained in the text (I added at least the effect) 
- I added the text claim
- Since the second values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</si>
  <si>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Existential well-being – Extraversion</t>
  </si>
  <si>
    <t>Existential well-being is positively correlated with extraversion.</t>
  </si>
  <si>
    <t>"ESI-Existential Well-Being is [...] producing statistically significant positive coefficients with [...] Extraversion"</t>
  </si>
  <si>
    <t>Soto_5</t>
  </si>
  <si>
    <t>Existential well-being – Negative emotionality</t>
  </si>
  <si>
    <t>Existential well-being is negatively correlated with negative emotionality.</t>
  </si>
  <si>
    <t>"ESI-Existential Well-Being is seen to correlate strongly and negatively with NEO-PI-R Neuroticism [Negative emotionality]"</t>
  </si>
  <si>
    <t>Soto_6</t>
  </si>
  <si>
    <t>- I added the study numbers
- I changed the page number of the original study
- I added a text claim
- I changed the sides of the original p-value to NA
- There is no reported p-value in the replication study, but in this case the reported effect sizes align with the ones of the online supplement. Therefore, I coded this p-value.</t>
  </si>
  <si>
    <t>Thrash, T. M., &amp; Elliot, A. J. (2003). Inspiration as a psychological construct. Journal of Personality and Social Psychology, 84(4), 871–889. https://doi.org/10.1037/0022-3514.84.4.871</t>
  </si>
  <si>
    <t>10.1037/0022-3514.84.4.871</t>
  </si>
  <si>
    <t>10.1037--0022-3514.84.4.871.pdf</t>
  </si>
  <si>
    <t>Inspiration is positively correlated with extraversion</t>
  </si>
  <si>
    <t>Inspiration is positively correlated with extraversion.</t>
  </si>
  <si>
    <t>"inspiration was uniquely related [...] to Extraversion, F(1, 146) = 3.09, p &lt; .10 (B =.15)"</t>
  </si>
  <si>
    <t>p. 7, Table 4</t>
  </si>
  <si>
    <t>Soto_7</t>
  </si>
  <si>
    <t>Inspiration is positively correlated with open-mindedness</t>
  </si>
  <si>
    <t>Inspiration is positively correlated with open-mindedness.</t>
  </si>
  <si>
    <t>"inspiration was uniquely related to Openness to Experience, F(1, 146) = 30.64, p &lt; .001 (B = .42).</t>
  </si>
  <si>
    <t>Soto_8</t>
  </si>
  <si>
    <t xml:space="preserve">There is no statistical evidence for the proposed effects in the original study. The values Diego used to calculate the effect size only describe the distribution of the Big Five traits. However, they have nothing to do with humor. Therefore, I would exclude this study. </t>
  </si>
  <si>
    <t>Cann, A., &amp; Calhoun, L. G. (2001). Perceived personality associations with differences in sense of humor: Stereotypes of hypothetical others with high or low senses of humor. Humor: International Journal of Humor Research, 14(2), 117–130. https://doi.org/10.1515/humr.14.2.117 Study 2</t>
  </si>
  <si>
    <t>10.1515/humr.14.2.117</t>
  </si>
  <si>
    <t>10.1515--humr.14.2.117.pdf</t>
  </si>
  <si>
    <t>Humor and agreeableness</t>
  </si>
  <si>
    <t>Humor is positively correlated with agreeableness.</t>
  </si>
  <si>
    <t>Calculated from means and SDs reported in Table 3 (p. 125) using pooled standard deviation formula.</t>
  </si>
  <si>
    <t>Soto_9</t>
  </si>
  <si>
    <t>Humor and negative emotionality</t>
  </si>
  <si>
    <t>Humor is negatively correlated with negative emotionality.</t>
  </si>
  <si>
    <t>Soto_10</t>
  </si>
  <si>
    <t>- I added the study numbers
- I added the text claim and the corresponding page
- The table of the online supplement states that Optimism was coded as extraversion. Therefore, I coded the corresponding values of the original study (which did not align with the reported values of the replication) 
- I corrected the p-value of the original study
- I changed the tails of the original p-value to NA
- Since the second effect sizes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</si>
  <si>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Aspinwall, L. G., &amp; Taylor, S. E. (1992). Modeling cognitive adaptation: A longitudinal investigation of the impact of individual differences and coping on college adjustment and performance. Journal of Personality and Social Psychology, 63(6), 989–1003. https://doi.org/10.1037/0022-3514.63.6.989</t>
  </si>
  <si>
    <t>10.1037/0022-3514.63.6.989</t>
  </si>
  <si>
    <t>10.1037--0022-3514.63.6.989.pdf</t>
  </si>
  <si>
    <t>Coping and extraversion</t>
  </si>
  <si>
    <t>Coping is positively correlated with extraversion.</t>
  </si>
  <si>
    <t>"Optimism [...] predicted greater active coping with the demands of entering college (R2 = .22)."</t>
  </si>
  <si>
    <t>p. 7, Table 2</t>
  </si>
  <si>
    <t>Soto_11</t>
  </si>
  <si>
    <t>- I added the study numbers
- I added the text claim and the corresponding page
- The table of the online supplement states that Optimism was coded as extraversion. Therefore, I coded the corresponding values of the original study (which did not align with the reported values of the replication) 
- I changed the tails of the original p-value to NA
- Since the second effect sizes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</si>
  <si>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Coping and negative emotionality</t>
  </si>
  <si>
    <t>Coping is negatively correlated with negative emotionality.</t>
  </si>
  <si>
    <t>"negative mood [...] predicted greater active coping with the demands of entering college (R2 = .22)."</t>
  </si>
  <si>
    <t>Soto_12</t>
  </si>
  <si>
    <t>- I added the study numbers
- I added the replication label
- I added the page number of the original effect 
- The original study reported correlations between the Big Five and various dimensions of personality disorders. These more detailed correlations are also presented in the online supplement. However, the paper itself appears to report aggregated dimensions. These aggregated values are not reported in the paper. For this reason, the coders listed the values from the replication table. Accordingly, no claim is made. However, it remains unclear whether the values were statistically significant, so I set the p-values from the original study to NA.
- I also set the p-value of the replication study on NA</t>
  </si>
  <si>
    <t>Clark, L. A., Vorhies, L., &amp; McEwen, J. L. (2002). Personality disorder symptomatology from the five-factor model perspective. In P. T. Costa, Jr. &amp; T. A. Widiger (Eds.), Personality disorders and the five-factor model of personality (pp. 125–147). American Psychological Association. https://doi.org/10.1037/10423-008</t>
  </si>
  <si>
    <t>10.1037/10423-008</t>
  </si>
  <si>
    <t>10.1037--10423-008.pdf</t>
  </si>
  <si>
    <t>Personality disorders are both positively and negatively correlated with extraversion.</t>
  </si>
  <si>
    <t>±0.43</t>
  </si>
  <si>
    <t>Soto_13</t>
  </si>
  <si>
    <t>Personality disorders are negatively correlated with agreeableness.</t>
  </si>
  <si>
    <t>Soto_14</t>
  </si>
  <si>
    <t>Personality disorders are both positively and negatively correlated with conscientiousness.</t>
  </si>
  <si>
    <t>±0.41</t>
  </si>
  <si>
    <t>Soto_15</t>
  </si>
  <si>
    <t>Personality disorders are both positively and negatively correlated with negative emotionality.</t>
  </si>
  <si>
    <t>±0.38</t>
  </si>
  <si>
    <t>Soto_16</t>
  </si>
  <si>
    <t>- I added the study numbers
- I added the replication label
- I added the text claim
- I added the page number of the original effect
- I changed the tails of the p-value to NA
- There is no reported p-value in the replication study, but in this case the reported effect sizes align with the ones of the online supplement. Therefore, I coded this p-value.</t>
  </si>
  <si>
    <t>McCullough, M. E., Emmons, R. A., &amp; Tsang, J. A. (2002). The grateful disposition: A conceptual and empirical topography. Journal of Personality and Social Psychology, 82, 112-127. Study 2</t>
  </si>
  <si>
    <t>10.1037/0022-3514.82.1.112</t>
  </si>
  <si>
    <t>10.1037--0022-3514.82.1.112.pdf</t>
  </si>
  <si>
    <t>Gratitude is positively correlated with Extraversion.</t>
  </si>
  <si>
    <t>Gratitude is positively correlated with extraversion.</t>
  </si>
  <si>
    <t>"Table 3 shows the relationship of the GQ-6 and the gratitude adjectives scale with other constructs. Both measures of the grateful disposition were positively and moderately related to [...] Extraversion"</t>
  </si>
  <si>
    <t>p. 9, Table 3</t>
  </si>
  <si>
    <t>Soto_17</t>
  </si>
  <si>
    <t>- I added the study numbers
- I added the replication label
- I added the text claim
- I added the page number of the original effect
- I changed the tails of the original p-value to NA
- There is no reported p-value in the replication study, but in this case the reported effect sizes align with the ones of the online supplement. Therefore, I coded this p-value.</t>
  </si>
  <si>
    <t>Gratitude is positively correlated with Agreeableness.</t>
  </si>
  <si>
    <t>Gratitude is positively correlated with agreeableness.</t>
  </si>
  <si>
    <t>"Table 3 shows the relationship of the GQ-6 and the gratitude adjectives scale with other constructs. Both measures of the grateful disposition were positively and moderately related to [...]."</t>
  </si>
  <si>
    <t>Soto_18</t>
  </si>
  <si>
    <t>- I added the study numbers
- I added the replication label
- I added the text claim
- I added the page number of the original effect
- I changed the tails of the orignal p-value to NA
- There is no reported p-value in the replication study, but in this case the reported effect sizes align with the ones of the online supplement. Therefore, I coded this p-value.</t>
  </si>
  <si>
    <t>Breen, W. E., Kashdan, T. B., Lenser, M. L., &amp; Fincham, F. D. (2010). Gratitude and forgiveness: Convergence and divergence on self-report and informant ratings. Personality and Individual Differences, 49, 932-937.</t>
  </si>
  <si>
    <t>10.1016/j.paid.2010.07.033</t>
  </si>
  <si>
    <t>10.1016--j.paid.2010.07.033.pdf</t>
  </si>
  <si>
    <t>Forgiveness is positively correlated with Agreeableness.</t>
  </si>
  <si>
    <t>Foregiveness is positively correlated with agreeableness.</t>
  </si>
  <si>
    <t>"Character strengths were positively correlated with Agreeableness (rs = .32 to .58)"</t>
  </si>
  <si>
    <t>p. 4, Table 2</t>
  </si>
  <si>
    <t>Soto_19</t>
  </si>
  <si>
    <t>- I added the study numbers
- I added the replication label
- I added the text claim
- I changed the page number of the original effect
- I changed the tails of the p-value to NA
- I coded the corrected values of the replication study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t>
  </si>
  <si>
    <t>DeNeve, K. M., &amp; Cooper, H. (1998). The happy personality: A meta-analysis of 137 personality traits and subjective well-being. Psychological Bulletin, 124, 197-229.</t>
  </si>
  <si>
    <t>10.1037/0033-2909.124.2.197</t>
  </si>
  <si>
    <t>10.1037--0033-2909.124.2.197.pdf</t>
  </si>
  <si>
    <t>Subjective well-being is positively correlated with extraversion.</t>
  </si>
  <si>
    <t>The authors do not explicitly make a claim, they state: "The average correlation of each Big Five factor with SWB can be found in Table 6."</t>
  </si>
  <si>
    <t>p. 13, Table 6</t>
  </si>
  <si>
    <t>Soto_20</t>
  </si>
  <si>
    <t>Subjective well-being is negatively correlated with negative emotionality.</t>
  </si>
  <si>
    <t>Soto_21</t>
  </si>
  <si>
    <t xml:space="preserve">It can be inferred from the table of the online supplement that Soto calculated the original effect size from Table 7 of the original study. It seems like he took hostility as a reverse item for agreeableness. Therefore, there is no text claim and I can not verify the effect size. I would suggest to exclude the row.  </t>
  </si>
  <si>
    <t>Lichtenstein, P., Pedersen, N. L., Plomin, R., de Faire, U., &amp; McClearn, G. E. (1989). Type A behavior pattern, related personality traits and self-reported coronary heart disease. Personality and Individual Differences, 10, 419-426.</t>
  </si>
  <si>
    <t>10.1016/0191-8869(89)90005-6</t>
  </si>
  <si>
    <t>10.1016--0191-8869(89)90005-6.pdf</t>
  </si>
  <si>
    <t>Heart disease is negatively correlated with agreeableness.</t>
  </si>
  <si>
    <t>p. 403, Table 5</t>
  </si>
  <si>
    <t>Soto_22</t>
  </si>
  <si>
    <r>
      <rPr>
        <rFont val="Arial"/>
      </rPr>
      <t xml:space="preserve">- I added the study numbers
- I added the replication label
- I added the text claim
- I added the page number of the replication effect
- I changed the p-value type and the tails (original)
- I added the p-value from the online supplement
- Corrected p-value (was &gt;1) based on </t>
    </r>
    <r>
      <rPr>
        <rFont val="Arial"/>
        <color rgb="FF1155CC"/>
        <u/>
      </rPr>
      <t>https://osf.io/mc3z7</t>
    </r>
  </si>
  <si>
    <t>Fredrickson, B. L., &amp; Joiner, T. (2002). Positive emotions trigger upward spirals toward emotional well-being. Psychological Science, 13, 172-175.</t>
  </si>
  <si>
    <t>10.1111/1467-9280.00431</t>
  </si>
  <si>
    <t>10.1111--1467-9280.00431.pdf</t>
  </si>
  <si>
    <t>Resilience is positively correlated with extraversion.</t>
  </si>
  <si>
    <t>"Step 2 is to show a significant correlation between the predictor and the mediator (here, between T1 PA [positive affect scale -&gt; likely etraversion] and changes in broad-minded coping [resilience],[...]). As we have already discussed, this step is also satisfied (see Table 1)."</t>
  </si>
  <si>
    <t>p. 3, Table 1</t>
  </si>
  <si>
    <r>
      <rPr>
        <rFont val="Calibri"/>
        <sz val="11.0"/>
      </rPr>
      <t xml:space="preserve">Table 1, p. 4, </t>
    </r>
    <r>
      <rPr>
        <rFont val="Calibri"/>
        <color rgb="FF1155CC"/>
        <sz val="11.0"/>
        <u/>
      </rPr>
      <t>https://osf.io/mc3z7</t>
    </r>
  </si>
  <si>
    <t>Soto_23</t>
  </si>
  <si>
    <t>- I added the study numbers
- I added the replication label
- I added the text claim and the page number
- I changed es_repr_o to the PDF page number
- I changed the p-value the tails (original) to NA
- I changed the p-value to the one of the online supplement
- I changed the type of p-value</t>
  </si>
  <si>
    <t>Trull, T. J., &amp; Sher, K. J. (1994). Relationship between the five-factor model of personality and Axis I disorders in a nonclinical sample. Journal of Abnormal Psychology, 103, 350-360.</t>
  </si>
  <si>
    <t>10.1037/0021-843X.103.2.350</t>
  </si>
  <si>
    <t>10.1037--0021-843x.103.2.350.pdf</t>
  </si>
  <si>
    <t>Substance abuse is negatively correlated with conscientiousness.</t>
  </si>
  <si>
    <t>"any substance use disorder (B = -.22, p &lt; .001) were significantly related to conscientiousness"</t>
  </si>
  <si>
    <t>Table 1, p. 5</t>
  </si>
  <si>
    <t>Soto_24</t>
  </si>
  <si>
    <t>Substance abuse is positively correlated with open-mindedness.</t>
  </si>
  <si>
    <t>"any substance use disorder (B = .15, p &lt; .01) was significantly related to openness"</t>
  </si>
  <si>
    <t>Soto_25</t>
  </si>
  <si>
    <t>Anxiety is positively correlated with negative emotionality.</t>
  </si>
  <si>
    <t>"any anxiety disorder (B = . 17, p &lt; .001) were significantly related to neuroticism".</t>
  </si>
  <si>
    <t>Soto_26</t>
  </si>
  <si>
    <t>- I changed the p-value of the original study
- I added the study numbers
- I added the replication label
- I added the text claim and the page number
- I changed es_repr_o to the PDF page number
- I changed the p-value the tails (original) to NA
- I changed the p-value to the one of the online supplement
- I changed the type of p-value</t>
  </si>
  <si>
    <t>Depression is negatively correlated with extraversion.</t>
  </si>
  <si>
    <t>"Major depression (B = - .19, p &lt; .001) [...] were significantly related to extraversion"</t>
  </si>
  <si>
    <t>Soto_27</t>
  </si>
  <si>
    <t>Depression is positively correlated with negative emotionality.</t>
  </si>
  <si>
    <t>"Results from these analyses indicate that the diagnoses of major depression (B = .20, p &lt;.001) [...] were significantly related to neuroticism"</t>
  </si>
  <si>
    <t>Soto_28</t>
  </si>
  <si>
    <t>- I added the study numbers
- I added the replication label
- I added the text claim and the page number
- I changed es_repr_o to the PDF page number
- I changed the p-value of the original study
- I changed the p-value the tails (original) to NA
- I coded the corrected values of the replication study
- I changed the p-value of the replication to NA</t>
  </si>
  <si>
    <t>Clancy, S. M., &amp; Dollinger, S. J. (1993). Identity, self, and personality: I. Identity status and the five-factor model of personality. Journal of Research on Adolescence, 3, 227-245.</t>
  </si>
  <si>
    <t>10.1207/s15327795jra0303_2</t>
  </si>
  <si>
    <t>10.1207--s15327795jra0303_2.pdf</t>
  </si>
  <si>
    <t>Identity achievement is positively correlated with conscientiousness.</t>
  </si>
  <si>
    <t>"Conscientiousness, in contrast, was [...] positively related to the achievement identity dimension, [...] r = .30, p &lt; .001, respectively."</t>
  </si>
  <si>
    <t>Soto_29</t>
  </si>
  <si>
    <t>Identity foreclosure is negatively correlated with open-mindedness.</t>
  </si>
  <si>
    <t>"There was a strong negative relation between overall foreclosed status and overall openness to experience, r = - .50, p &lt; 0.001"</t>
  </si>
  <si>
    <t>Soto_30</t>
  </si>
  <si>
    <t>Note: The original effect differs from the replicated effect. It seems to be conceptually different and should be interpreted with great caution! 
- I added the study numbers
- I added the replication label
- I added the text claim and the relating page number
- I changed es_repr_o to the PDF page number
- I corrected the p-value and the tails of the original p-value
- I coded the corrected effect of the replication study
- I changed the p-value of the replication to NA
- I added the page number of the replication effect</t>
  </si>
  <si>
    <t>Helson, R., &amp; Srivastava, S. (2001). Three paths of adult development: Conservers, seekers, and achievers. Journal of Personality and Social psychology, 80, 995-1010.</t>
  </si>
  <si>
    <t>10.1037/0022-3514.80.6.995</t>
  </si>
  <si>
    <t>10.1037--0022-3514.80.6.995.pdf</t>
  </si>
  <si>
    <t>Identity integration or consolidation is negatively correlated with negative emotionality.</t>
  </si>
  <si>
    <t>"Regressions of Identity Status Dimensions Onto Environmental Mastery (EM)"</t>
  </si>
  <si>
    <t>p. 9, Table 4</t>
  </si>
  <si>
    <t>Soto_31</t>
  </si>
  <si>
    <t>Identity integration or consolidation is positively correlated with open-mindedness.</t>
  </si>
  <si>
    <t>"Regressions of Identity Status Dimensions Onto Personal Growth (PG)"</t>
  </si>
  <si>
    <t>Soto_32</t>
  </si>
  <si>
    <t>Ryder, A. G., Alden, L. E., &amp; Paulhus, D. L. (2000). Is acculturation unidimensional or bidimensional? A head-to-head comparison in the prediction of personality, self-identity, and adjustment. Journal of Personality and Social Psychology, 79, 49-65.</t>
  </si>
  <si>
    <t>10.1037//0022-3514.79.1.49</t>
  </si>
  <si>
    <t>10.1037----0022-3514.79.1.49.pdf</t>
  </si>
  <si>
    <t>Ethnic-culture identification (for minorities) is positively correlated with conscientiousness.</t>
  </si>
  <si>
    <t>"The Heritage subscale was associated with higher conscientiousness"</t>
  </si>
  <si>
    <t>p. 4, Table 1</t>
  </si>
  <si>
    <t>Soto_33</t>
  </si>
  <si>
    <t>- I corrected the p-values of the original study
- I added the study numbers
- I added the replication label
- I added the text claim and the page number
- I changed es_repr_o to the PDF page number
- I changed the p-value the tails (original) to NA
- I changed the p-value to the one of the online supplement
- I changed the type of p-value</t>
  </si>
  <si>
    <t>Majority-culture identification (for minorities) is positively correlated with extraversion.</t>
  </si>
  <si>
    <t>"Whereas the Mainstream subscale was associated with higher scores on [...] extraversion."</t>
  </si>
  <si>
    <t>Soto_34</t>
  </si>
  <si>
    <t>Majority-culture identification (for minorities) is positively correlated with open-mindedness.</t>
  </si>
  <si>
    <t>"Whereas the Mainstream subscale was associated with higher scores on [...] openness"</t>
  </si>
  <si>
    <t>Soto_35</t>
  </si>
  <si>
    <t>I suggest to exclude this row (see my comment below at Daniels entry)</t>
  </si>
  <si>
    <t>Belsky, J., Jaffee, S. R., Caspi, A., Moffitt, T., &amp; Silva, P. A. (2003). Intergenerational relationships in young adulthood and their life course, mental health, and personality correlates. Journal of Family Psychology, 17, 460-471.</t>
  </si>
  <si>
    <t>10.1037/0893-3200.17.4.460</t>
  </si>
  <si>
    <t>10.1037--0893-3200.17.4.460.pdf</t>
  </si>
  <si>
    <t>Family satisfaction is positively correlated with conscientiousness.</t>
  </si>
  <si>
    <t>p. 466, Table 1</t>
  </si>
  <si>
    <t>Soto_36</t>
  </si>
  <si>
    <t>- I corrected the p-value of the original study (tails and type)
- I added the study numbers
- I added the replication label
- I added the text claim and the page number
- I changed es_repr_o to the PDF page number
- I coded the corrected effect of the replication study and changed the effect size type
- I changed the p-value of the replication to NA</t>
  </si>
  <si>
    <t>Family satisfaction is negatively correlated with negative emotionality.</t>
  </si>
  <si>
    <t>"It is not surprising that lower levels of affectional solidarity characterized mother–child relationships when young adults scored high on negative motionality"</t>
  </si>
  <si>
    <t>-0.1</t>
  </si>
  <si>
    <t>p. 7, Table 1</t>
  </si>
  <si>
    <t>Soto_37</t>
  </si>
  <si>
    <t>Standard regression analysis used in both original and replication studies. No indication of multilevel or repeated measures design. Entered 'no' in nested_o and nested_r.</t>
  </si>
  <si>
    <t>-  I added the study numbers
- I added the replication label
- I added the effect
- The original effect in the replication study was based on an intercorrelation between the different Big Five scales (as stated in the online supplement). Therefore, the effect cannot be directly extracted from the original study. I will stick with the effect sizes reported in the replication study.
- The original coding referred only to one of the scales (that was only distributed to a share of the overall sample). Therefore, I would suggest to stay with the original effects provided by the replication and changed the effect and the number of participants. However, the p-value is therefore NA (the original study report only the p-value of the sub scales)
- I changed the p-value of the replication study to the one of the online supplement
- I changed the closeness to conceptual</t>
  </si>
  <si>
    <t>Paunonen, S. V. (2003). Big Five factors of personality and replicated predictions of behavior. Journal of Personality and Social Psychology, 84, 411-422.</t>
  </si>
  <si>
    <t>10.1037/0022-3514.84.2.411</t>
  </si>
  <si>
    <t>10.1037--0022-3514.84.2.411.pdf</t>
  </si>
  <si>
    <t>Correlation between peer's acceptance/ friendship and extraversion.</t>
  </si>
  <si>
    <t>Peer's acceptance and friendship are positively correlated with extraversion.</t>
  </si>
  <si>
    <t xml:space="preserve">p.7 </t>
  </si>
  <si>
    <t>Soto_38</t>
  </si>
  <si>
    <t>Correlation between dating variety and extraversion.</t>
  </si>
  <si>
    <t>Dating variety is positively correlated with extraversion.</t>
  </si>
  <si>
    <t>Extraversion showed a positive and statistically significant correlation with dating variety across three of four personality inventories.</t>
  </si>
  <si>
    <t>Soto_39</t>
  </si>
  <si>
    <t>Correlation between attractiveness and extraversion.</t>
  </si>
  <si>
    <t>Attractiveness is positively correlated with extraversion.</t>
  </si>
  <si>
    <t>Extraversion correlated positively with peer-rated physical attractiveness.</t>
  </si>
  <si>
    <t>Soto_40</t>
  </si>
  <si>
    <t>Effect size in original study reported as standardized regression coefficient (β = .41, p &lt; .01) on p. 126; entered as beta. Replication effect size reported as r = .39 in Table 1 (Soto, 2019). No indication of multilevel modeling or nested design; coded `nested_o = no`, `nested_r = unsure`.</t>
  </si>
  <si>
    <t>- I added the study number
- I added the replication label
- I added the effect
- The original effect in the replication study was based on an intercorrelation of two timepoints (as stated in the online supplement). Therefore, the effect cannot be directly extracted from the original study. I will stick with the effect sizes reported in the replication study. Since both combined effects are p &lt; .01, I kept this value
- I changed the p-value of the replication study to the one of the online supplement</t>
  </si>
  <si>
    <t>Anderson, C., John, O. P., Keltner, D., &amp; Kring, A. M. (2001). Who attains social status? Effects of personality and physical attractiveness in social groups. Journal of Personality and Social Psychology, 81, 116-132.</t>
  </si>
  <si>
    <t>10.1037/0022-3514.81.1.116</t>
  </si>
  <si>
    <t>10.1037--0022-3514.81.1.116.pdf</t>
  </si>
  <si>
    <t>Correlation between peer status and extraversion.</t>
  </si>
  <si>
    <t>Peer status is positively correlated with extraversion.</t>
  </si>
  <si>
    <t>Soto_41</t>
  </si>
  <si>
    <t>Original result for male subsample: standardized regression coefficient (β = –.43, p &lt; .01), reported on p. 132. Replication effect size reported as r = –.31 in Table 1 (Soto, 2019). No indication of nested or repeated-measures analysis in original; replication design unclear — coded `nested_o = no`, `nested_r = unsure`</t>
  </si>
  <si>
    <t>- I added the study number
- I added the study number
- I added the replication label
- I added the effect
- The original effect in the replication study was based on an intercorrelation of two timepoints (as stated in the online supplement). Therefore, the effect cannot be directly extracted from the original study. I will stick with the effect sizes reported in the replication study. 
- I changed the p-value of the replication study to the one of the online supplement</t>
  </si>
  <si>
    <t>Correlation between peer status and negative emotionality</t>
  </si>
  <si>
    <t>Peer status (men) is negatively correlated with negative emotionality.</t>
  </si>
  <si>
    <t>–.43</t>
  </si>
  <si>
    <t>–0.31</t>
  </si>
  <si>
    <t>Soto_42</t>
  </si>
  <si>
    <t>Original effect reported as r = .28 on p. 428. Study design included dyads (romantic partners), so nesting is present. Replication effect from Soto Table 1; nesting assumed due to dyadic outcome.</t>
  </si>
  <si>
    <t>- I added the study numbers
- I added the replication label
- As described in the validated row of Mariem, the effect includes both genders and single and married couples. It can not be found in the original study and the text claim can not be derived from the orignal study. Therefore. I removed the text claim 
- I changed the page number where one could reproduce the original effect
- I changed nesting to "no"
- I changed the p-value of the replication study
- I changed the original p-value to NA 
- I changed to conceptual replication</t>
  </si>
  <si>
    <t>Watson, D., Hubbard, B., &amp; Wiese, D. (2000). General traits of personality and affectivity as predictors of satisfaction in intimate relationships: Evidence from self‐and partner‐ratings. Journal of Personality, 68, 413-449.</t>
  </si>
  <si>
    <t>10.1111/1467-6494.00102</t>
  </si>
  <si>
    <t>10.1111--1467-6494.00102.pdf</t>
  </si>
  <si>
    <t>Correlation between romantic satisfaction and extraversion</t>
  </si>
  <si>
    <t>Romantic satisfaction is positively correlated with extraversion.</t>
  </si>
  <si>
    <t>Soto_43</t>
  </si>
  <si>
    <t>Original study reports r = –.32 on p. 428. Design includes partner-reported dyadic data; nesting assumed. Replication effect r = –.23 from Soto Table 1. Both original and replication interpreted as dependent data structures.</t>
  </si>
  <si>
    <t>Correlation between romantic satisfaction and neuroticism</t>
  </si>
  <si>
    <t>Romantic satisfaction is negatively correlated with negative emotionality.</t>
  </si>
  <si>
    <t>–0.32</t>
  </si>
  <si>
    <t>–0.23</t>
  </si>
  <si>
    <t>Soto_44</t>
  </si>
  <si>
    <t>Effect size (r = .32) and p-value (&lt; .01) reported on p. 948 for neuroticism and romantic conflict. Standard bivariate correlation used; no indication of multilevel/nested design. Replication effect (r = .01) from Soto Table 1.</t>
  </si>
  <si>
    <t>- I added the study numbers
- I added the link to the original study
- I added the replication label
- As described in the validated row of Mariem, the effect was calculated from multiple subgroups. Therefore, the effect can not be directly derived from the original study.
- I changed the page number where one could reproduce the original effect
- I changed nesting to "no"
- I changed the p-value of the replication study
- I changed the original p-value to NA 
- I changed to conceptual replication</t>
  </si>
  <si>
    <t>Robins, R. W., Caspi, A., &amp; Moffitt, T. E. (2002). It's not just who you're with, it's who you are: Personality and relationship experiences across multiple relationships. Journal of Personality, 70, 925-964.</t>
  </si>
  <si>
    <t>10.1111/1467-6494.05028</t>
  </si>
  <si>
    <t>10.1111--1467-6494.05028..pdf</t>
  </si>
  <si>
    <t>https://drive.google.com/file/d/1-on_azF3SOQnkcXmO04jj2zt4-H3FlcG/view</t>
  </si>
  <si>
    <t>Correlation between romantic conflict and neuroticism</t>
  </si>
  <si>
    <t>Romantic conflict is positvely correlated with negative emotionality.</t>
  </si>
  <si>
    <t>As Table 6 shows, adolescents prone to Negative Emotionality experienced progressively worse relationships during young adult-hood, as indicated by declines in Quality and increases in Conflict.</t>
  </si>
  <si>
    <t>p.22 - p. 23</t>
  </si>
  <si>
    <t>Soto_45</t>
  </si>
  <si>
    <t>Original effect (r = .25) and p-value (&lt; .01) for neuroticism and partner abuse reported on p. 948. Standard correlation reported. Replication effect (r = .09) from Soto Table 1. No indication of nested analysis in either study.</t>
  </si>
  <si>
    <t>10.1111--1467-6494.05028.pdf</t>
  </si>
  <si>
    <t>Correlation between romantic abuse and neuroticism</t>
  </si>
  <si>
    <t>Romantic abuse is positvely correlated with negative emotionality.</t>
  </si>
  <si>
    <t>As Table 6 shows, adolescents prone to Negative Emotionality experienced progressively worse relationships during young adult-hood, as indicated by declines in Quality and increases in [...] Abuse.</t>
  </si>
  <si>
    <t>Soto_46</t>
  </si>
  <si>
    <t>Theoretical review; no original ES or p. Replication based on conceptual claim. Effect size from Table 2, Soto (2019), p. 719</t>
  </si>
  <si>
    <t>- I added the study number and the replication label
- I added the effect
- I changed the text claim
- I changed the page for the text claim
- I changed the page where the effect can be reproduced
- I changed the sample size to NA
- I changed the effect size of the replication study
- I changed the p-value and the type of p-value of the replication study</t>
  </si>
  <si>
    <t>Karney, B. R., &amp; Bradbury, T. N. (1995). The longitudinal course of marital quality and stability: A review of theory, methods, and research. Psychological Bulletin, 118, 3-34.</t>
  </si>
  <si>
    <t>10.1037/0033-2909.118.1.3</t>
  </si>
  <si>
    <t>10.1037--0033-2909.118.1.3.pdf</t>
  </si>
  <si>
    <t>Correlation between romantic dissolution and negative emotionality.</t>
  </si>
  <si>
    <t>Romantic dissolution is positvely correlated with negative emotionality.</t>
  </si>
  <si>
    <t>"In general, (...) negatively valued variables—such as neuroticism, (...)—predict negative marital outcomes."</t>
  </si>
  <si>
    <t xml:space="preserve">p. 17; from the aggregated effects of women and men (according to Sotos online supplement) </t>
  </si>
  <si>
    <t>Soto_47</t>
  </si>
  <si>
    <t>Original r = .25 from Table 2, p. 521 (Gottfredson et al., 1993). Replication r = .15 from Soto (2019), Table 1, p. 719. p &lt; .001 coded as l, 2 tails. No nesting mentioned</t>
  </si>
  <si>
    <t>- I added the study number
- I added the replication label
- I added the effect
- Since the aggregated effect is a weightes correlation of men and women (according to the online supplement), the effect can not directly be derived from the original study. 
- I changed the p-value. The original study reports that for men correlations above .09 are significant at 0.05 and for women for correlations above 0.13. To stay conservative, I used the criteria of women
- I adjusted the page number of the original
- I changed the p-value to 0.05</t>
  </si>
  <si>
    <t>Gottfredson, G. D., Jones, E. M., &amp; Holland, J. L. (1993). Personality and vocational interests: The relation of Holland’s six interest dimensions to five robust dimensions of personality. Journal of Counseling Psychology, 40, 518-524.</t>
  </si>
  <si>
    <t>10.1037/0022-0167.40.4.518</t>
  </si>
  <si>
    <t>10.1037--0022-0167.40.4.518.pdf</t>
  </si>
  <si>
    <t>Investigative occupational interests are positvely correlated with open-mindedness.</t>
  </si>
  <si>
    <t>Investigative interests were positively associated with Openness.</t>
  </si>
  <si>
    <t>Soto_48</t>
  </si>
  <si>
    <t>Original r = .30 from Table 2, p. 521 (Gottfredson et al., 1993). Replication r = .41 from Soto (2019), Table 1, p. 719. p &lt; .001 coded as l, 2 tails. No nesting mentioned.</t>
  </si>
  <si>
    <t>- I added the study number
- I added the replication label
- Since the aggregated effect is a weightes correlation of men and women (according to the online supplement), the effect can not directly be derived from the original study. 
- I changed the p-value. The original study reports that for men correlations above .09 are significant at 0.05 and for women for correlations above 0.13. To stay conservative, I used the criteria of women
- I adjusted the page number of the original
- I changed the p-value to 0.05
- I added the effect</t>
  </si>
  <si>
    <t>Artistic occupational interests are positvely correlated with open-mindedness.</t>
  </si>
  <si>
    <t>Artistic interests were positively associated with Openness</t>
  </si>
  <si>
    <t>Soto_49</t>
  </si>
  <si>
    <t>Original r = .16 from Table 2, p. 521 (Gottfredson et al., 1993). Replication r = .15 from Soto (2019), Table 1, p. 719. p &lt; .001 coded as l, 2 tails. No nesting mentioned.</t>
  </si>
  <si>
    <t>Social occupational interests are positvely correlated with extraversion.</t>
  </si>
  <si>
    <t>Social interests were positively associated with Extraversion.</t>
  </si>
  <si>
    <t>Soto_50</t>
  </si>
  <si>
    <t>Original r = .11 from Table 2, p. 521 (Gottfredson et al., 1993). Replication r = .08 from Soto (2019), Table 1, p. 719. p &lt; .001 coded as l, 2 tails. No nesting mentioned.</t>
  </si>
  <si>
    <t>Enterprising occupational interests are positvely correlated with agreeableness.</t>
  </si>
  <si>
    <t>Enterprising interests were positively associated with Agreeableness.</t>
  </si>
  <si>
    <t>Soto_51</t>
  </si>
  <si>
    <t>Original r = .16 from Table 2, p. 521 (Gottfredson et al., 1993). Replication r = .18 from Soto (2019), Table 1, p. 719. p &lt; .001 coded as l, 2 tails. No nesting mentioned.</t>
  </si>
  <si>
    <t>Enterprising occupational interests are positvely correlated with extraversion.</t>
  </si>
  <si>
    <t>Enterprising interests were positively associated with Extraversion.</t>
  </si>
  <si>
    <t>Soto_52</t>
  </si>
  <si>
    <t>Original effect size (r = .22) taken from Thoresen et al. (2003), Table 2, p. 928. Replication effect size (r = .13) reported in Table 1 of Soto (2019), p. 4. Both p-values reported as significant and interpreted as two-tailed. Study meets inclusion criteria and is coded as a close replication (2).</t>
  </si>
  <si>
    <t>- I added the study numbers 
- I added the replication label
- I adjusted the original effect sizes 
- I changed the p-value to NA
- I changed nesting to yes (o)
- I adjusted the p-value of the replication study
- I adjusted the closeness
- I added the effect</t>
  </si>
  <si>
    <t>Thoresen, C. J., Kaplan, S. A., Barsky, A. P., Warren, C. R., &amp; de Chermont (2003). The affective underpinnings of job perceptions and attitudes: A Meta-analytic review and integration. Psychological Bulletin, 129, 914-945.</t>
  </si>
  <si>
    <t>10.1037/0033-2909.129.6.914</t>
  </si>
  <si>
    <t>10.1037--0033-2909.129.6.914.pdf</t>
  </si>
  <si>
    <t>Occupational satisfaction is positively correlated with extraversion.</t>
  </si>
  <si>
    <t>Overall Meta-Analytic Results for Relationships Between Extraversion, Neuroticism, and Job Attitudes</t>
  </si>
  <si>
    <t>Soto_53</t>
  </si>
  <si>
    <t>Original r = –.29 from Table 5, p. 932 (Thoresen et al., 2003). Replication r = –.28, p &lt; .001, Table 1, p. 719 (Soto, 2019). No nesting. Close replication.</t>
  </si>
  <si>
    <t>Occupational satisfaction is negatively correlated with negative emotionality.</t>
  </si>
  <si>
    <t>Soto_54</t>
  </si>
  <si>
    <t>Original r = .19 from Table 5, p. 932 (Thoresen et al., 2003). Replication r = .10, p &lt; .001, Table 1, p. 719 (Soto, 2019). No nesting. Close replication.</t>
  </si>
  <si>
    <t>Occupational commitment is positively correlated with extraversion.</t>
  </si>
  <si>
    <t>Soto_55</t>
  </si>
  <si>
    <t>Original r = –.17 from Table 5, p. 932 (Thoresen et al., 2003). Replication r = –.14, p &lt; .001, Table 1, p. 719 (Soto, 2019). No nesting. Close replication.</t>
  </si>
  <si>
    <t>Occupational commitment is negatively correlated with negative emotionality.</t>
  </si>
  <si>
    <t>Soto_56</t>
  </si>
  <si>
    <t xml:space="preserve">Effect size (r = .24) for agreeableness and extrinsic success is directly reported on p. 645 in Judge et al. (1999). Replication value (r = .15) taken from Table 1, p. 6 in Soto (2019). </t>
  </si>
  <si>
    <t>- I added the study numbers
- I added the replication label
- I corrected the original effect size
- I changed the text claim
- I changed the page number of the text claim and of the effect
- I changed the p-value (o)
- I adjusted the effect size type of the replication
- I changed the p-value of the replication
- I changed the closeness 
- I added the effect</t>
  </si>
  <si>
    <t>Judge, T. A., Higgins, C. A., Thoresen, C. J., &amp; Barrick, M. R. (1999). The Big Five personality traits, general mental ability, and career success across the life span. Personnel Psychology, 52, 621-652.</t>
  </si>
  <si>
    <t>10.1111/j.1744-6570.1999.tb00174.x</t>
  </si>
  <si>
    <t>10.1111--j.1744-6570.1999.tb00174.x.pdf</t>
  </si>
  <si>
    <t>Extrinsic success is negatively correlated with agreeableness.</t>
  </si>
  <si>
    <t>TABLE 2 Intercorrelations Among Study Variables</t>
  </si>
  <si>
    <t>-0.15</t>
  </si>
  <si>
    <t>Corinna (to do)</t>
  </si>
  <si>
    <t>Soto_57</t>
  </si>
  <si>
    <t xml:space="preserve">Original effect size (r = .50) for conscientiousness and extrinsic success reported on p. 645. Replication yielded small negative effect (r = –.07) from Table 1, p. 6. </t>
  </si>
  <si>
    <t xml:space="preserve">- I changed the tails of the p-value to NA
- I added the study numbers
- I added the replication label
- I corrected the original effect size
- I changed the text claim
- I changed the page number of the text claim and of the effect
- I changed the p-value of the replication
- I changed the closeness
- I added the effect </t>
  </si>
  <si>
    <t>Extrinsic success is positively correlated with conscientiousness.</t>
  </si>
  <si>
    <t>TABLE 2 Intercorrelations Among Study Variables...The most general findings were that conscientiousness [...] extrinsic career success</t>
  </si>
  <si>
    <t>1-17</t>
  </si>
  <si>
    <t>Soto_58</t>
  </si>
  <si>
    <t xml:space="preserve">Original association between negative emotionality and extrinsic success reported as r = .34, p. 645. Replication found smaller but same-direction effect (r = .10). </t>
  </si>
  <si>
    <t>- I added the study numbers
- I added the replication label
- I corrected the original effect size
- I changed the text claim
- I changed the page number of the text claim and of the effect
- I adjusted the replication effect
- I changed the tails of the p-value to NA (o)
- I changed the p-value of the replication
- I changed the closeness
- I added the effect</t>
  </si>
  <si>
    <t>Extrinsic success is negatively correlated with negative emotionality.</t>
  </si>
  <si>
    <t>TABLE 2 Intercorrelations Among Study Variables...The most general findings were that [...]neuroticism negatively predicted extrinsic success</t>
  </si>
  <si>
    <t>Soto_59</t>
  </si>
  <si>
    <t xml:space="preserve">Original effect of conscientiousness on intrinsic success reported as r = .20 (p. 645). Replication (r = .24) shows consistent direction and stronger effect. </t>
  </si>
  <si>
    <t>Intrinsic success is positively correlated with conscientiousness.</t>
  </si>
  <si>
    <t>TABLE 2 Intercorrelations Among Study Variables...The most general findings were that conscientiousness positively predicted intrinsic [...] career success</t>
  </si>
  <si>
    <t>Soto_60</t>
  </si>
  <si>
    <t xml:space="preserve">Negative emotionality negatively related to intrinsic success in original (r = .26), reported on p. 645. Replication confirms stronger effect (r = .31). </t>
  </si>
  <si>
    <t>Intrinsic success is negatively correlated with negative emotionality.</t>
  </si>
  <si>
    <t>-0.32</t>
  </si>
  <si>
    <t>Soto_61</t>
  </si>
  <si>
    <t>Replication found no significant effect, mirroring the original. Effect size directionally matches, but both are weak and nonsignificant.</t>
  </si>
  <si>
    <t>- I excluded the study</t>
  </si>
  <si>
    <t>Roberts, B. W., Caspi, A., &amp; Moffitt, T. E. (2003). Work experiences and personality development in young adulthood. Journal of Personality and Social Psychology, 84, 582-593.</t>
  </si>
  <si>
    <t>10.1037/0022-3514.84.3.582</t>
  </si>
  <si>
    <t>10.1037--0022-3514.84.3.582.pdf</t>
  </si>
  <si>
    <t>yes, Soto took "PEM-Communion" as an indicator of agreeableness. However, communal (female stereotype) includes a social closeness scale and a well being scale (described as "Has a happy, cheerful disposition, feels good about self and sees bright future"). Therefore, PEM is confounded by well-being.</t>
  </si>
  <si>
    <t>Job attainment is positively correlated with agreeableness.</t>
  </si>
  <si>
    <t>Agreeableness was unrelated to job attainment.</t>
  </si>
  <si>
    <t>Soto_62</t>
  </si>
  <si>
    <t>Clear positive replication result. Original and replication effects both positive and similar in size (r = .18 vs r = .17). Results consistent and located in Table 1 of Soto (2019).</t>
  </si>
  <si>
    <t>yes, Soto took constraint as an indicator of extraversion. However, I can't see a semantically association between constraint (constituting of traditionalsm, harm avoidance and self-control) and extraversion.</t>
  </si>
  <si>
    <t>Occupational involvement is positively correlated with extraversion.</t>
  </si>
  <si>
    <t>Soto_63</t>
  </si>
  <si>
    <t>Replication stronger than original. Effect direction confirmed (negative correlation). Original effect r = .22, replication r = .33.</t>
  </si>
  <si>
    <t>- I added the replication label
- I added the studiy numbers
- I added the effect
- I adjusted the the original effect size
- I adjusted the text claim
- I changed the page of the original effect
- I changed the p-value (o)
- I changed the tails of the original p-value to NA
- I adjusted the replication effect
- I changed the p-value of the replication (to the one of the online supplement)</t>
  </si>
  <si>
    <t>Financial security is negatively correlated with negative emotionality.</t>
  </si>
  <si>
    <t>As we hypoth-esized, age-18 traits from the NEM superfactor were related to [...] less financial security at age 26...Table 4 Age-18 Personality Predictors of Age-26 Work Variables</t>
  </si>
  <si>
    <t>-0.22</t>
  </si>
  <si>
    <t>Soto_64</t>
  </si>
  <si>
    <t>- According to the online supplement, the original effect is obtained from the weighted average of correlations from Peterson et al. (1997) sample 1/sample 2/Peterson &amp; Lane (2001). Therefore, I can not verify the original effect.
- I changed all values except for the number of participants, nesting, and the p-value of the replication</t>
  </si>
  <si>
    <t>Jost, J. T., Glaser, J., Kruglanski, A. W., &amp; Sulloway, F. J. (2003). Political conservatism as motivated social cognition. Psychological Bulletin, 129, 339-375.</t>
  </si>
  <si>
    <t>10.1037/0033-2909.129.3.339</t>
  </si>
  <si>
    <t>10.1037--0033-2909.129.3.339.pdf</t>
  </si>
  <si>
    <t>Right-wing authoritarianism is negatively correlated with open-mindedness.</t>
  </si>
  <si>
    <t>online supplement of replication study</t>
  </si>
  <si>
    <t>Soto_65</t>
  </si>
  <si>
    <t>- According to the online supplement, the original effect is obtained from the correlation of Webster &amp; Stewart (1973). However, I can not find this correlation. Therefore, I can not verify the original effect.
- I changed all values except for the number of participants, nesting, the replication effect, and the p-value of the replication</t>
  </si>
  <si>
    <t>Conservatism is positively correlated with conscientiousness.</t>
  </si>
  <si>
    <t>Soto_66</t>
  </si>
  <si>
    <t>- According to the online supplement, the original effect is obtained from the weighted average of correlations from Kish (1973) samples 1 and 2/Glasgow &amp; Cartier (1985)/Joe et al. (1977) samples 1 and 2/Feather (1979) samples 1 and 2/Feather (1984). Therefore, I can not verify the original effect.
- I changed all values except for the number of participants, nesting, and the p-value of the replication</t>
  </si>
  <si>
    <t>Conservatism is negatively correlated with open-mindedness.</t>
  </si>
  <si>
    <t>Soto_67</t>
  </si>
  <si>
    <t>Replication value taken from Table 1 (p. 6), Soto (2019). Original ES retrieved from Table 3 (p. 1300), Carlo et al. (2005). Values aligned with replication documentation.</t>
  </si>
  <si>
    <t>- I added the replication label
- I added the studiy numbers
- I added the effect
- I adjusted the text claim
- I changed the page of the original effect
- I changed the tails of the original p-value to NA
- I adjusted the replication effect type
- I changed the p-value of the replication (to the one of the online supplement)</t>
  </si>
  <si>
    <t>Carlo, G., Okun, M. A., Knight, G. P., &amp; de Guzman, M. R. T. (2005). The interplay of traits and motives on volunteering: Agreeableness, extraversion and prosocial value motivation. Personality and Individual Differences, 38, 1293-1305.</t>
  </si>
  <si>
    <t>10.1016/j.paid.2004.08.012</t>
  </si>
  <si>
    <t>10.1016--j.paid.2004.08.012.pdf</t>
  </si>
  <si>
    <t>Volunteerism is positively correlated with extraversion.</t>
  </si>
  <si>
    <t>Table 1 Means, standard deviations, internal consistency coefficients, and interrelations among the variables</t>
  </si>
  <si>
    <t>Soto_68</t>
  </si>
  <si>
    <t>Replication value taken from Table 1 (p. 6), Soto (2019). Original ES from Table 3 (p. 1300), Carlo et al. (2005). Adjusted p-value from report text.</t>
  </si>
  <si>
    <t>Volunteerism is positively correlated with agreeableness.</t>
  </si>
  <si>
    <t>Soto_69</t>
  </si>
  <si>
    <t>Effect size retrieved from Table 1 in the replication study; original ES approximated from Table 1 in Judge &amp; Bono (2000). No explicit p-value reported, estimate based on beta coefficients and standard interpretation.</t>
  </si>
  <si>
    <t xml:space="preserve">- I added the replication label
- I added the studiy numbers
- I added the effect
- I adjusted the text claim
- I changed the page of the original effect
- I changed p-value of the original study
- I adjusted the replication effect type
- I changed the p-value or the replication study
</t>
  </si>
  <si>
    <t>Judge, T. A., &amp; Bono, J. E. (2000). Five-factor model of personality and transformational leadership. Journal of Applied Psychology, 85, 751-765.</t>
  </si>
  <si>
    <t>10.1037/0021-9010.85.5.751</t>
  </si>
  <si>
    <t>10.1037--0021-9010.85.5.751.pdf</t>
  </si>
  <si>
    <t>Leadership is positively correlated with extraversion.</t>
  </si>
  <si>
    <t>Table 4 Relationship Between Big Five Traits and Transformational Leadership Behavior</t>
  </si>
  <si>
    <t>Soto_70</t>
  </si>
  <si>
    <t>Replication value retrieved from Table 1, Soto (2019), p. 6. Original ES approximated from Table 1, Judge &amp; Bono (2000), p. 761. Original p-value not directly reported for agreeableness; inference based on typical interpretation of beta size.</t>
  </si>
  <si>
    <t xml:space="preserve">- I added the replication label
- I added the studiy numbers
- I added the effect
- I adjusted the text claim
- I changed the page of the original effect
- I changed p-value of the original study
- I adjusted the replication effect and effect type type
</t>
  </si>
  <si>
    <t>Leadership is positively correlated with agreeableness.</t>
  </si>
  <si>
    <t>Soto_71</t>
  </si>
  <si>
    <t>Reported value is standardized beta coefficient. Value confirmed from p. 187 in original; replication extracted from Table 1 (Soto, 2019), which uses standardized coefficients.</t>
  </si>
  <si>
    <t xml:space="preserve">- I added the replication label
- I added the studiy numbers
- I added the effect
- I adjusted the text claim
- I changed the page of the original effect
- I changed p-value of the original study
- I adjusted the replication effect and effect type type
- I adjusted the p-value of the replication study
</t>
  </si>
  <si>
    <t>Shiner, R. L., Masten, A. S., &amp; Tellegen, A. (2002). A developmental perspective on personality in Young adulthood: Childhood antecedents and concurrent adaptation. Journal of Personality and Social Psychology, 83, 1165-1177.</t>
  </si>
  <si>
    <t>10.1037/0022-3514.83.5.1165</t>
  </si>
  <si>
    <t>10.1037--0022-3514.83.5.1165.pdf</t>
  </si>
  <si>
    <t>Antisocial behavior is negatively correlated with conscientiousness.</t>
  </si>
  <si>
    <t>Table 4 Correlations of Personality Traits in Emerging Adulthood With Childhood and Concurrent Adaptation</t>
  </si>
  <si>
    <t>Soto_72</t>
  </si>
  <si>
    <t>Reported value is standardized beta coefficient. Replication result (.06) indicates significant drop in effect size despite statistical significance. Values derived from Table 1, Soto (2019). Original values confirmed on p. 187.</t>
  </si>
  <si>
    <t>Antisocial behavior is positvely correlated with negative emotionality.</t>
  </si>
  <si>
    <t>Soto_73</t>
  </si>
  <si>
    <t>Original ES taken from multiple regression Model 1 (full sample) in Table 3, page 14. Replication ES from Soto (2019), supplemental Table S1.</t>
  </si>
  <si>
    <t xml:space="preserve">- I added the replication label
- I added the study numbers
- I added the effect
- I adjusted the text claim
- I changed the page of the original effect
- I changed the original effect
- I changed the original p-value
- I changed the tails of the original p-value to NA
- I adjusted the replication effect type
- I changed the p-value of the replication </t>
  </si>
  <si>
    <t>Wiebe, R. P. (2004). Delinquent behavior and the Five-Factor Model: Hiding in the adaptive landscape. Individual Differences Research, 2, 38-62.</t>
  </si>
  <si>
    <t>wiebe_2004</t>
  </si>
  <si>
    <t>wiebe_2004.pdf</t>
  </si>
  <si>
    <t>Criminial behavior is negatively correlated with agreeableness.</t>
  </si>
  <si>
    <t>Agreeableness (A; β = −.15, p &lt; .01) produced a statistically significant partial correlation, while Respect (β = −.13, p &lt; .05) showed a trend-level association.; Table 1 Correlations (Person's r) with Self-Reported Offending</t>
  </si>
  <si>
    <t>Soto_74</t>
  </si>
  <si>
    <t>Criminial behavior is negatively correlated with conscientiousness.</t>
  </si>
  <si>
    <t>Conscientiousness (C; β = −.23, p &lt; .001) produced a statistically significant partial correlation...; Table 1 Correlations (Person's r) with Self-Reported Offending</t>
  </si>
  <si>
    <r>
      <rPr>
        <rFont val="Arial"/>
        <b/>
        <color theme="1"/>
      </rPr>
      <t>General note for the r_study:</t>
    </r>
    <r>
      <rPr>
        <rFont val="Arial"/>
        <color theme="1"/>
      </rPr>
      <t xml:space="preserve"> for replication study: p wasn't indicated in the table along with the effect size but this was mentioned in page (7) "Table 1 presents the basic results of these analyses, including the number of significance tests conducted for each hypothesized association, the mean sample size, the proportion of tests that were statistically sig-nificant (i.e., two-tailed p &lt; .05) in the hypothesized direction, the mean original effect size, the mean rep-lication effect size, and the ratio of the replication effect size to the original effect size." so I assumed that all results from table one have two-tailed p&lt;0.05................... </t>
    </r>
    <r>
      <rPr>
        <rFont val="Arial"/>
        <b/>
        <color theme="1"/>
      </rPr>
      <t>Specific note for this effect:</t>
    </r>
    <r>
      <rPr>
        <rFont val="Arial"/>
        <color theme="1"/>
      </rPr>
      <t xml:space="preserve"> Also the specific effect from this row seems to reflect the correlation between one criteria from the behavioral report form and one of the big five personalities. However I coudn't find that specific correlation at all in the o_paper (accpetance and friendship are not mentioned in the behavioral report form in the o_study), even when looking in the sup materials I coudn't find it.</t>
    </r>
  </si>
  <si>
    <t>- I added the doi
- I assume that the variable of the original study is "pupularity" and added the text claim and effect
- I added the replication label
- I added the effect
- The original effect in the replication study was based on an intercorrelation between the different Big Five scales (as stated in the online supplement). Therefore, the effect cannot be directly extracted from the original study. I will stick with the effect sizes reported in the replication study. However, the p-value is therefore NA (the original study report only the p-value of the sub scales)
- I changed nesting to „no“ (original and replication)
- I changed the p-value of the replication study to the one of the online supplement</t>
  </si>
  <si>
    <t xml:space="preserve">Table 3 Replicated Partial Correlations (With Sex Removed) Between Criteria and Big Five Factor Scales... Popularity Extraversion </t>
  </si>
  <si>
    <t>https://osf.io/dg9m4</t>
  </si>
  <si>
    <t xml:space="preserve">The o_effect size mentioned in the r_effect size is 0.17, in the original study 0.17 is the effect size of the correlation between dating variety and extraversion but only extraversion measured by (FF-NPQ) with a sample size of 178 not 418 ike mentioned in this doc or the r_paper. I checked and coudn't find corrlations between criterias from the behavioral report form and traits in general (all enventories included). </t>
  </si>
  <si>
    <t>- I added the doi
- I added the replication label
- I added the effect
- The original effect in the replication study was based on an intercorrelation between the different Big Five scales (as stated in the online supplement). Therefore, the effect cannot be directly extracted from the original study. I will stick with the effect sizes reported in the replication study. However, the p-value is therefore NA (the original study report only the p-value of the sub scales)
- I changed nesting to „no“ (original and replication)
- I changed the p-value of the replication study to the one of the online supplement</t>
  </si>
  <si>
    <t>Table 3 Replicated Partial Correlations (With Sex Removed) Between Criteria and Big Five Factor Scales... Attractiveness Extraversion .25***</t>
  </si>
  <si>
    <t xml:space="preserve">The o_effect size mentioned in the r_paper is 0.24, in the original study 0.25 (slightly diff) is the effect size of the correlation between attractivness and extraversion but only extraversion measured by (FF-NPQ) with a sample size of 178 not 418 like mentioned in this doc or the r_paper. I checked and coudn't find corrlations between criterias from the behavioral report form and traits in general (all enventories included). </t>
  </si>
  <si>
    <t>Table 3 Replicated Partial Correlations (With Sex Removed) Between Criteria and Big Five Factor Scales... Dating variety Extraversion .17**</t>
  </si>
  <si>
    <t xml:space="preserve">the r_study doesn't say exactly mention from wich study they replicated this effect. in the o_paper either status within an all male groupe or within an all female groupe where reported. So I reported the effect of study one (all male). The o_sample size reported in the r_study didn't match any study of the o_paper neither the o_effect size. </t>
  </si>
  <si>
    <t>- I added the doi
- I changed the study number of the original study. Since the wrong study was coded, I had to change all entries regarding the original study.
- I added the replication label
- I added the effect
- The original effect in the replication study was based on an intercorrelation of two timepoints (as stated in the online supplement). Therefore, the effect cannot be directly extracted from the original study. I will stick with the effect sizes reported in the replication study. Since both combined effects are p &lt; .01, I kept this value
- I changed nesting to „no“ (original and replication)
- I kept the p-value of the replication</t>
  </si>
  <si>
    <t>the o_effect size and o_sample size reported in the r_paper don't match those reported by the o_paper</t>
  </si>
  <si>
    <t>- I added the doi
- I changed the study number of the original study. Since the wrong study was coded, I had to change all entries regarding the original study.
- I changed the p-value of the replication to the one of the online supplement
- I added the replication label
- I added the effect
- The original effect in the replication study was based on an intercorrelation of two timepoints (as stated in the online supplement). Therefore, the effect cannot be directly extracted from the original study. I will stick with the effect sizes reported in the replication study. 
- I changed nesting to „no“ (original and replication)</t>
  </si>
  <si>
    <t>the r_paper reports o_effect size corresponding to a sample size of 210. In the o_paper 210 is the total sample but all effects were tested for two diffrent samples (married sample vs dating sample) and no effects were tested for the total sample. So the o_effect size reported by the r_paper is not reported in the o_paper</t>
  </si>
  <si>
    <t>- I changed the effect
- According to the online supplement, Soto calculated the original effect of the weighted average correlation for men and women; While the online supplement distinguishes between dating couples and married couples, these groups seem to be summarized in the paper -&gt; I would  leave the text claim etc. blank while coding the reported original effect of Soto
- I coded the effect size, the effect size type and changed nesting to "no" (original)
- I added the page where one could reproduce the target effect (original)
- I changed the replicated effect size to the corrected one 
- I changed nesting of the replicated effect to "no"</t>
  </si>
  <si>
    <t>- I changed the effect
- According to the online supplement, Soto calculated the original effect of the weighted average correlation for men and women; While the online supplement distinguishes between dating couples and married couples, these groups seem to be summarized in the paper -&gt; I would  leave the text claim etc. blank while coding the reported original effect of Soto
- I coded the effect size, the effect size type and changed nesting to ""no"" (original)
- I added the page where one could reproduce the target effect (original)
- I changed the replicated effect size to the corrected one 
- I changed nesting of the replicated effect to "no"</t>
  </si>
  <si>
    <t>the o_effect size reported by the r_paper don't match any o_effect size reported by the o_study. In the r_study it is not clear what effect exactly they replicated from this study. The correlation between negative emotion and conflict have been investigated in 4 cases in the o_study (age 18, age 26, increase from 18 to 26, and age 21). I chose to report the correlation of negative emotion ( increase from 18 to 26) and conflict ( increase from 18 to 26) reported in table 6 p.26</t>
  </si>
  <si>
    <t>- In the replication study, a weighted average correlation of concurrent correlations at ages 18-21 and 26 are used. Therefore, the reported effect can not be directly inferred from the original report
- I clarified the text claim (both effects were reported)
- I changed the effect
- I coded the effect size, the effect size type (original) and changed nesting to ""no"" (original &amp; replication)
- I added the page where one could reproduce the target effect (original)
- I added the link to the orignal study
- I changed the p-value of the replication study, since the effect matched the one of the online supplement</t>
  </si>
  <si>
    <t>the o_effect size reported by the r_paper don't match any o_effect size reported by the o_study. In the r_study it is not clear what effect exactly they replicated from this study. The correlation between negative emotion and abuse have been investigated in 4 cases in the o_study (age 18, age 26, increase from 18 to 26, and age 21). I chose to report the correlation of negative emotion ( increase from 18 to 26) and abuse ( increase from 18 to 26) reported in table 6 p.26</t>
  </si>
  <si>
    <t>the o_paper reports and summarizes the methods and findings of 115 longitudinal studies—representing over 45,000 marriages. No correlation between romantic dissolution and negative emotionality is reported. The o_effect_size reported by the r_paper don't match any results reported by the o_paper. Also the r_paper doesn't give any further detail or not even the o_sample size so I coudn't fin the o_effect size in the o_paper...</t>
  </si>
  <si>
    <t xml:space="preserve">- The online supplement states that the original effect was calculated from Figure one and that it is the average value of multiple effects. Therefore, the effect can again, not directly be derived from the original paper
- I added the replication label
- I added the text claim
- I added NA to the original effect
- I changed the p-value of the replication to the exact one </t>
  </si>
  <si>
    <t>the r_study reports o_effects from a total sample (men + women = 725) but in the o_study the effects are reported seperatly for men or women and again in the r_study there is no further indications that helps identify from where/which table exactly they were taken. The only table in the o_paper that reports the correlations without gender distinction reports median correlation for diffrent inventories and papers and not specific to the o_study. So I reported results from the first table of the o_study (male sample = 479) the effects where the closests to the ones reported by the r_paper. For the r_effects I reported the uncorrected size effects</t>
  </si>
  <si>
    <t>- I added the replication label
- Since the aggregated effect is a weightes correlation of men and women (according to the online supplement), the effect can not directly be derived from the original study. Therefore, I would agree with the other coder and report the original values calculated by Soto. Initially, only the values for men were reported, which is not correct either.
- I changed nesting to "no" (o and r)
- I adjusted the replication effect size to the corrected one
- I adjusted the page number of the original
- I changed the p-value to 0.05</t>
  </si>
  <si>
    <t>Table 2...Correlations Between NEO Personality Inventory Scales and Vocational Preference Inventory Scales: Men...The VPI Investigative and Artistic scales were positively correlated with the NEO-PI Openness factor and most of the associated facet scores...Correlations of Openness facets with the In-vestigative scale, although generally positive, were always .28 or lower.</t>
  </si>
  <si>
    <t>Table 2...Correlations Between NEO Personality Inventory Scales and Vocational Preference Inventory Scales: Men...The VPI Investigative and Artistic scales were positively correlated with the NEO-PI Openness factor and most of the associated facet scores. The Artistic scale had a correlation above .40 with Aesthetics (a facet of Openness) for both men and women.</t>
  </si>
  <si>
    <t>Table 2...Correlations Between NEO Personality Inventory Scales and Vocational Preference Inventory Scales: Men...The VPI Social and Enterprising scales usually were sig-nificantly positively correlated with NEO-PI factor and facet scales for Extraversion for the male subsample. Correlations for women were smaller and usually nonsignificant. No cor-relation exceeded .23 in size.</t>
  </si>
  <si>
    <t>Table 2...Correlations Between NEO Personality Inventory Scales and Vocational Preference Inventory Scales: Men...</t>
  </si>
  <si>
    <t>in the  o_study o_size effects are reported as Mrˆ (n-weighted “bare-bones” uncorrected correlation); in the o_study p are not reported but 95% confidence intervals. the interval for this effect is [.18, .27]; For the r_effects I reported the uncorrected size effects</t>
  </si>
  <si>
    <t xml:space="preserve">- I added the replication label
- I adjusted the effect size of the replication study and reported the corrected effect
- I changed nesting of the replication study to "no"
</t>
  </si>
  <si>
    <t>Table 8 Overall Meta-Analytic Results for Relationships Between Extraversion, Neuroticism, and Job Attitudes</t>
  </si>
  <si>
    <t>in the  o_study o_size effects are reported as Mrˆ (n-weighted “bare-bones” uncorrected correlation); in the o_study p are not reported but 95% confidence intervals. the interval for this effect is [-.32, -.34]; For the r_effects I reported the uncorrected size effects</t>
  </si>
  <si>
    <t>in the  o_study o_size effects are reported as Mrˆ (n-weighted “bare-bones” uncorrected correlation); in the o_study p are not reported but 95% confidence intervals. the interval for this effect is [.18, .26]</t>
  </si>
  <si>
    <t>- I added the replication label
- I changed nesting of the replication study to "no"</t>
  </si>
  <si>
    <t>in the  o_study o_size effects are reported as Mrˆ (n-weighted “bare-bones” uncorrected correlation); in the o_study p are not reported but 95% confidence intervals. the interval for this effect is [-.35, -.10]</t>
  </si>
  <si>
    <t>- I added the replication label
- I adjusted the original effect size
- I changed nesting of the replication study to "no"</t>
  </si>
  <si>
    <t>in the r_study All effect sizes are expressed either as standardized regression coefficients (values with leading zeroes) or correlations (values without leading zeroes). This is why I reported beta in this row.</t>
  </si>
  <si>
    <t>- I added the replication label
- I clarified the text claim 
- Note that the N (o) was the average N below diagonal        
- I changed nesting to „no“ (original and replication)
- I adjusted the page number of the text claim
- I added the p-value (original and replication)
- I adjusted the page number of the replication effect
- I adjusted the replication effect</t>
  </si>
  <si>
    <t>- I added the replication label
- I clarified the text claim 
- Note that the N (o) was the average N below diagonal        
- I changed nesting to „no“ (original and replication)
- I adjusted the p-value (to the one of the online supplement)
- I adjusted the page number of the replication effect
- I changed the tails of the p-value of the replication</t>
  </si>
  <si>
    <t>- I added the replication label
- I clarified the text claim 
- Note that the N (o) was the average N below diagonal        
- I changed nesting to „no“ (original and replication)
- I adjusted the p-value (to the one of the online supplement)
- I adjusted the page number of the replication effect
- I adjusted the replication effect</t>
  </si>
  <si>
    <t>- I added the replication label
- I clarified the text claim 
- Note that the N (o) was the average N below diagonal        
- I changed nesting to „no“ (original and replication)
- I adjusted the replication effect size (to the corrected one)
- I adjusted the page number of the replication effect</t>
  </si>
  <si>
    <t>the world agreeableness is not used in the o_study so from matching the o_size effects reported in both study I think agreeableness in the r_study is the equivalent of PEM-Communion in the o_study</t>
  </si>
  <si>
    <t>The age-18 PEM-Communion superfactor was positively related to occupational attainment (r = .19, p &lt;  .01),... Adolescents with the capacity for interpersonal warmth, sociability, and happiness were likely to be working in prestigious jobs, to be satisfied with their work, and to feel financially secure.....Table 4 Age-18 Personality Predictors of Age-26 Work Variables</t>
  </si>
  <si>
    <t>the world extraversion is not used in the o_study so from matching the o_size effects reported in both study I think extraversion in the r_study is the equivalent of Constrain  in the o_study</t>
  </si>
  <si>
    <t>Finally, we hypothesized that adolescent traits from the Con-straint domain would be positively related to status attainment, work satisfaction and involvement, and financial security. Consis-tent with our expectations, the Constraint superfactor was posi-tively associated with .... work involvement (r =  .18, p  &lt; .01),...Table 4 Age-18 Personality Predictors of Age-26 Work Variables</t>
  </si>
  <si>
    <t>- I clarified the text claim
- I added the replication label
- I changed nesting to no (original and replication)
- I changed th p-value to the one of the online supplement
- I changed closeness</t>
  </si>
  <si>
    <t xml:space="preserve">it is almost impossible to know which specific o_effect the r_paper reported... The o_paper reports effects from other papers and each time calculates a mean effect size (for each table). However the o_sample sizes repoted by the r_paper don't match any of the studies in the o_paper, same for the o_effect size. </t>
  </si>
  <si>
    <t>- According to the online supplement, the original effect is obtained from the weighted average of correlations from Peterson et al. (1997) sample 1/sample 2/Peterson &amp; Lane (2001). Therefore, I can not verify the original effect.
- I added the replication label
- I added the original effects from Sotos table
- I added NA to the text claim and the original p-value
- I adjusted the replication effect
- I changed nesting to no</t>
  </si>
  <si>
    <t>- According to the online supplement, the original effect is obtained from the weighted average of correlations from Peterson et al. (1997) sample 1/sample 2/Peterson &amp; Lane (2001). Therefore, I can not verify the original effect.
- I added the replication label
- I added the original effects from Sotos table
- I added NA to the text claim and the original p-value
- I adjusted the replication effect
- I changed nesting to no
- I adjusted th p-value of the replication study</t>
  </si>
  <si>
    <t xml:space="preserve">the r_study reported original effect size that matches one from table 1 from the o_study but in table 1 Cronbachs alpha coefficient estimates are indicated on the diagonal. I think effects from table 2 would make more sense but I could be mistaken. I still reported the effect from table one since it is the one that matched. </t>
  </si>
  <si>
    <t xml:space="preserve">- I added the replication label
- I changed nesting to no
- I changed the page number of the replication effect
- I changed the p-value of the replication to the one of the online supplement
- I changed the closeness </t>
  </si>
  <si>
    <t>again here the r_study didn't specify what is the specific effect they replicated from the o_study. The o_study investigates leadership effectivness and leadership behavior. I reported leadership behavior(table 4) as the effect size matched the one reported by the r_study.</t>
  </si>
  <si>
    <t xml:space="preserve">- I added the replication label
- I changed nesting to no
- I adjusted the replication effect to the corrected one
- I changed the page number of the replication effect
- I changed the closeness </t>
  </si>
  <si>
    <t xml:space="preserve">again here the r_study didn't specify what is the specific effect they replicated from the o_study. There is no correlation reported using the terms antisocial behavior and consciencesness. The results from the o_paper that made the most sense and matched are the correlations between conduct (current adaptation) and constraint (adult personnality trait) from table 4. </t>
  </si>
  <si>
    <t xml:space="preserve">- I added the replication label
- I changed nesting to no
- I adjusted the replication effect to the corrected one
- I changed the page number of the replication effect
</t>
  </si>
  <si>
    <t xml:space="preserve">again here the r_study didn't specify what is the specific effect they replicated from the o_study. There is no correlation reported using the terms antisocial behavior and negative emotions. The results from the o_paper that made the most sense and matched are the correlations between conduct (current adaptation) and negative emotionality (adult personnality trait) from table 4. </t>
  </si>
  <si>
    <t>the original effect size reported in the r_paper don't match the one reported by the o_paper but it is close</t>
  </si>
  <si>
    <t xml:space="preserve">- I added the replication label
- I adjusted the text claim and page
- I changed nesting to no
- I changed the page number of the replication effect
- I changed the p-value of the replication to the one of the online supplement
- I changed the closeness </t>
  </si>
  <si>
    <t>datareplicada1_1</t>
  </si>
  <si>
    <t>datareplicada1</t>
  </si>
  <si>
    <t>- I changed the study number of the replication
- I adjusted the effect size type</t>
  </si>
  <si>
    <t>Jami, A. (2019). Having Control Over and Above Situations: The Influence of Elevated Viewpoints on Risk Taking. Journal of Marketing Research, 56(2), 230–244. https://doi.org/10.1177/0022243718813544 Study 1b</t>
  </si>
  <si>
    <t>10.1177/0022243718813544</t>
  </si>
  <si>
    <t>10.1177--0022243718813544.pdf</t>
  </si>
  <si>
    <t>Simmons, J. &amp;. Nelson, L.D. (2019). [82] Data Replicada #1: Do Elevated Viewpoints Increase Risk Taking? Data Colada.
‌</t>
  </si>
  <si>
    <t>https://datacolada.org/82</t>
  </si>
  <si>
    <t>Elevation-induced risk-taking</t>
  </si>
  <si>
    <t>elevation, illusory control, risk taking, vertical position, viewpoint</t>
  </si>
  <si>
    <t>Do people exposed to high-elevation sceneries are more willing to purchase new products than people exposed to low-elevation images?</t>
  </si>
  <si>
    <t>"Results confirm a significant main effect of elevation on the likelihood of purchasing the new products (F(1, 201) = 5.92, p = .016, partial Z2 = .029), showing that participants in the high-elevation condition, on average, were more likely (M = 3.87, SD 1⁄4 1.79) to purchase the new prod- ucts than those in the low-elevation condition (M = 3.39, SD = 1.89). I found no significant interaction between products and elevation conditions (F(3, 199) &lt; 1)"</t>
  </si>
  <si>
    <t>Webpage</t>
  </si>
  <si>
    <t>https://aspredicted.org/9zw6i.pdf</t>
  </si>
  <si>
    <t>datareplicada9a_1</t>
  </si>
  <si>
    <t>datareplicada9a</t>
  </si>
  <si>
    <t>1. Effect size for the orignal study is reported in the replication study.  2. For the description of the effect, I am reporting quotation from the orignal study. However, if needed the quotation from the replication study where effect of original study is reported is as follows: "Our effect sizes are also similar. Whereas the original authors found d = .51, we found d = .32 and d = .49 in our first and second replications, respectively.". 3. Value of p is also for the original study is also taken from the replication study.</t>
  </si>
  <si>
    <t xml:space="preserve">- I added the replication labek
- I changed the text claim and the original effect size
- I changed the p-value of the replication to NA </t>
  </si>
  <si>
    <t>Cian, L., Longoni, C., &amp; Krishna, A. (2020). Advertising a Desired Change: When Process Simulation Fosters (vs. Hinders) Credibility and Persuasion. Journal of Marketing Research, 57(3), 489-508. https://doi.org/10.1177/0022243720904758 Study 2</t>
  </si>
  <si>
    <t>10.1177/0022243720904758</t>
  </si>
  <si>
    <t>10.1177--0022243720904758.pdf</t>
  </si>
  <si>
    <t xml:space="preserve">Simmons, J. &amp;. Nelson, L.D. (2020). [94] Data Replicada #9: Are Progression Ads More Credible? Replication 1
Data Colada. https://datacolada.org/94 </t>
  </si>
  <si>
    <t>https://datacolada.org/94</t>
  </si>
  <si>
    <t>Mediation Through Process Simulation</t>
  </si>
  <si>
    <t>advertising, mental simulation, persuasion, process and outcome imagery</t>
  </si>
  <si>
    <t>The authors of this paper hypothesize that consumers judge Progression ads to be more credible than simple Before/After ads.</t>
  </si>
  <si>
    <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</si>
  <si>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F(1, 210) = 7.13</t>
  </si>
  <si>
    <t>https://researchbox.org/58</t>
  </si>
  <si>
    <t>datareplicada9b_1</t>
  </si>
  <si>
    <t>datareplicada9b</t>
  </si>
  <si>
    <t>1. Effect size for the orignal study is reported in the replication study.  2. For the description of the effect, I am reporting quotation from the orignal study. However, if needed the quotation from the replication study where effect of original study is reported is as follows: "Our effect sizes are also similar. Whereas the original authors found d = .51, we found d = .32 and d = .49 in our first and second replications, respectively.". 3. Value of p for the original study is also taken from the replication study.</t>
  </si>
  <si>
    <t>Simmons, J. &amp;. Nelson, L.D. (2020). [94] Data Replicada #9: Are Progression Ads More Credible?
Data Colada. https://datacolada.org/94  Replication 2</t>
  </si>
  <si>
    <t>datareplicada8a_1</t>
  </si>
  <si>
    <t>datareplicada8a</t>
  </si>
  <si>
    <t>1. Effect size for the orignal study is reported in the replication study.  2. For the description of the effect, I am reporting quotation from the orignal study. However, if needed the quotation from the replication study where effect of original study is reported through the picture. 3. Value of p for the original study is also taken from the replication study.</t>
  </si>
  <si>
    <t>- I added the replication label
- Orginal effect size must be be inferred from the replication study. Original does not report the direct effect (only interaction)</t>
  </si>
  <si>
    <t>Sokolova, T., Seenivasan, S., &amp; Thomas, M. (2020). The left-digit bias: when and why are consumers penny wise and pound foolish?. Journal of Marketing Research, 57(4), 771-788. Study 1</t>
  </si>
  <si>
    <t>10.1177/0022243720932532</t>
  </si>
  <si>
    <t>10.1177--0022243720932532.pdf</t>
  </si>
  <si>
    <t>Simmons, J. &amp;. Nelson, L.D. (2020). [92] Data Replicada #8: Is The Left-Digit Bias Stronger When Prices Are Presented Side-By-Side? Data Colada. https://datacolada.org/92 Replication1</t>
  </si>
  <si>
    <t>https://datacolada.org/92</t>
  </si>
  <si>
    <t>Left-digit bias</t>
  </si>
  <si>
    <t>left-digit bias, memory-based evaluations, numerical cognition, price evaluations, reference prices</t>
  </si>
  <si>
    <t>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</si>
  <si>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"A two-way analysis of variance (ANOVA) revealed a significant interaction between left-digit difference and evaluation mode (F(1, 141) = 4.84, p 1⁄4 .029)"</t>
  </si>
  <si>
    <t>p.4&amp;6</t>
  </si>
  <si>
    <t>https://osf.io/5zbgw/?view_only1⁄447978e4812294190bd4bc dd745130fdf</t>
  </si>
  <si>
    <t>https://researchbox.org/37</t>
  </si>
  <si>
    <t>datareplicada8b_1</t>
  </si>
  <si>
    <t>datareplicada8b</t>
  </si>
  <si>
    <t>Simmons, J. &amp;. Nelson, L.D. (2020). [92] Data Replicada #8: Is The Left-Digit Bias Stronger When Prices Are Presented Side-By-Side? Data Colada. https://datacolada.org/92 Replication2</t>
  </si>
  <si>
    <t>"A two-way analysis of variance (ANOVA) revealed a significant interaction between left-digit difference and evaluation mode (F(1, 141) = 4.84, p = .029)"</t>
  </si>
  <si>
    <t xml:space="preserve">https://osf.io/5zbgw/?view_only1⁄447978e4812294190bd4bc dd745130fdf </t>
  </si>
  <si>
    <t>Journal of Comments and Replications in Economics_1</t>
  </si>
  <si>
    <t>Journal of Comments and Replications in Economics</t>
  </si>
  <si>
    <t>No details related to the replication results are provided.</t>
  </si>
  <si>
    <t>The authors submitted data and a Stata do-file to the data archiveof the journaldoi:10.15456/jbnst.2015181.095451. This do-file crashes after a few calcu-lations with an error message that is not obvious to understand. I contacted Sang-Min Park and hepromised to be in touch and to send the correct do-file. He did not do so over the following fourweeks. Therefore, the results from Gouda and Park (2015) do not qualify as reproducible results.</t>
  </si>
  <si>
    <t>Gouda, Moamen and Sang-Min Park (2015). Religious Loyalty and Acceptance of Corruption.Jahrbcher fr Nationalkonomie und Statistik / Journal of Economics and Statistics235 (2), 184-206.DOI:10.1515/jbnst-2015-0206</t>
  </si>
  <si>
    <t>10.1515/jbnst-2015-0206</t>
  </si>
  <si>
    <t>10.1515--jbnst-2015-0206.pdf</t>
  </si>
  <si>
    <t>Joachim Wagner (2017). Religious Loyalty and Acceptance of Corruption. A replica-tion study of Gouda and Park (Journal of Economics and Statistics, 2015).International Journal ofRe-Views in Empirical Economics, Vol 1(2017-3).DOI:10.18718/81781.3</t>
  </si>
  <si>
    <t>10.18718/81781.3</t>
  </si>
  <si>
    <t>10.18718--81781.3.pdf</t>
  </si>
  <si>
    <t>The authors use publicly available micro data for individuals from the World ValueSurvey to investigate the link between religiously-induced internalized values and attitudes regard-ing the acceptance of corruption</t>
  </si>
  <si>
    <t>soscisubmission53_1</t>
  </si>
  <si>
    <t>soscisubmission53</t>
  </si>
  <si>
    <t>There were numerous findings, but there was one from Mueller et al which was replicated.</t>
  </si>
  <si>
    <t>Mueller, E. M., Panitz, C., Hermann, C., &amp; Pizzagalli, D. A. (2014). Prefrontal oscillations during recall of conditioned and extinguished fear in humans. Journal of Neuroscience, 34, 7059–7066. https://doi.org/10.1523/JNEUROSCI.3427-13.2014</t>
  </si>
  <si>
    <t>10.1523/JNEUROSCI.3427-13.2014</t>
  </si>
  <si>
    <t>10.1523--jneurosci.3427-13.2014.pdf</t>
  </si>
  <si>
    <t>Sperl, M. F. J., Panitz, C., Rosso, I. M., Dillon, D. G., Kumar, P., Hermann, A., Whitton, A. E., Hermann, C., Pizzagalli, D. A., &amp; Mueller, E. M. (2019). Fear extinction recall modulates human frontomedial theta and amygdala activity. Cerebral Cortex, 29, 701-715. https://doi.org/10.1093/cercor/bhx353</t>
  </si>
  <si>
    <t>10.1093/cercor/bhx353</t>
  </si>
  <si>
    <t>10.1093--cercor--bhx353.pdf</t>
  </si>
  <si>
    <t>Neuroscience (humans)</t>
  </si>
  <si>
    <t>Fear conditioning - Theta oscillations</t>
  </si>
  <si>
    <t>fear conditioning, fear extinction, frontal-midline theta, simultaneous EEG–fMRI, threat processing</t>
  </si>
  <si>
    <t>involvement of AMC theta in fear expression</t>
  </si>
  <si>
    <t>"Theta.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</si>
  <si>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F(1,41)=8.87</t>
  </si>
  <si>
    <t>p.2&amp;3</t>
  </si>
  <si>
    <t>F(1,17) = 6.88</t>
  </si>
  <si>
    <t>p.2 to 7</t>
  </si>
  <si>
    <t>soscisubmission93_1</t>
  </si>
  <si>
    <t>soscisubmission93_a</t>
  </si>
  <si>
    <t>1. P-value is only reported in the original study, but there is no indication if the value is equal, less than, or greater than. 
2. There are three SNPS that are replicated only in the replication study. 
3. Value for the effect size written in the orignal study is taken from the replication study.</t>
  </si>
  <si>
    <t>Perez, M., Jaundoo, R., Hilton, K., Del Alamo, A., Gemayel, K., Klimas, N. G., ... &amp; Nathanson, L. (2019). Genetic predisposition for immune system, hormone, and metabolic dysfunction in myalgic encephalomyelitis/chronic fatigue syndrome: a pilot study. Frontiers in Pediatrics, 7, 423831.</t>
  </si>
  <si>
    <t>10.3389/fped.2019.00206</t>
  </si>
  <si>
    <t>10.3389--fped.2019.00206.pdf</t>
  </si>
  <si>
    <t>Bedford, F. L., &amp; Greshake Tzovaras, B. (2021). Re-analysis of genetic risks for Chronic Fatigue Syndrome from 23andMe data finds few remain. Frontiers in Pediatrics, 9, 590040.</t>
  </si>
  <si>
    <t>10.3389/fped.2021.590040</t>
  </si>
  <si>
    <t>10.3389--fped.2021.590040.pdf</t>
  </si>
  <si>
    <t>Human Genetics</t>
  </si>
  <si>
    <t>Chronic Fatigue Syndrome</t>
  </si>
  <si>
    <t>23andMe, Chronic fatigue syndrome, Genetic Predisposition, Myalgic encephalomyelitis, Single nuclear polymorphism</t>
  </si>
  <si>
    <t>EFCAB4B: Involved in calcium signaling; may affect muscle function and immune regulation.</t>
  </si>
  <si>
    <t>"Single-nucleotide polymorphism ... SNPs were found to have at least 10% frequency in at least one cohort (ME/CFS or reference)" (Abstract)</t>
  </si>
  <si>
    <t>p.3&amp;5</t>
  </si>
  <si>
    <t>or</t>
  </si>
  <si>
    <t>p. 5, Table 1 (ME/CFS frequency)</t>
  </si>
  <si>
    <t>soscisubmission93_b</t>
  </si>
  <si>
    <t>1. P-value is only reported in the original study, but there is no indication if the value is equal, less than, or greater than. 2. There are three SNPS that are replicated only in the replication study. 3. Value for the effect size written in the orignal study is taken from the replication study.</t>
  </si>
  <si>
    <t>LINC01171: Long non-coding RNA; potentially regulates immune and stress-related gene expression.</t>
  </si>
  <si>
    <t>soscisubmission93_c</t>
  </si>
  <si>
    <t>MORN2: Plays a role in cell differentiation and autophagy; linked to tissue repair and immune response.</t>
  </si>
  <si>
    <t>soscisubmission83_1</t>
  </si>
  <si>
    <t>soscisubmission83</t>
  </si>
  <si>
    <t>Smith, K.C., Davoli, C.C., Knapp, W.H., &amp; Abrams, R.A. (2019) Standing enhances cognitive control and alters visual search. Attention, Perception, and Psychophysics, 81, 2320–2329.</t>
  </si>
  <si>
    <t>10.3758/s13414-019-01723-6</t>
  </si>
  <si>
    <t>10.3758--s13414-019-01723-6.pdf</t>
  </si>
  <si>
    <t>Caron, E. E., Marusich, L. R., Bakdash, J. Z., Ballotti, R. J., Tague, A. M., Carriere, J. S., Smilek, D., Harter, D., Lu, S., &amp; Reynolds, M. G. (2023). The Influence of Posture on Attention. Experimental Psychology, 69(6), 295-307.</t>
  </si>
  <si>
    <t>10.1027/1618-3169/a000567</t>
  </si>
  <si>
    <t>10.1027--1618-3169--a000567.pdf</t>
  </si>
  <si>
    <t>Posture attention effect/Stroop posture effect</t>
  </si>
  <si>
    <t>Cognitive and attentional control, Embodied perception, Attention and executive control</t>
  </si>
  <si>
    <t>we found that the magnitude of Stroop interference was markedly reduced when participants adopted a standing posture,</t>
  </si>
  <si>
    <t>"as can be seen in Fig. 2, the magnitude of the interference was modulated by posture (posture × congruency interaction: F(2, 26) = 4.73, p = .018, ηp2 = .27)."</t>
  </si>
  <si>
    <t>https://osf.io/fzscv</t>
  </si>
  <si>
    <t>soscisubmission84_1</t>
  </si>
  <si>
    <t>soscisubmission84</t>
  </si>
  <si>
    <t>Posture attention effect</t>
  </si>
  <si>
    <t>Standing resulted in better performance than sitting in on a task switching measure</t>
  </si>
  <si>
    <t>"importantly there was a significant condition × posture in- teraction, F(1, 29) = 5.54, p = .026, η2p = .16."</t>
  </si>
  <si>
    <t>soscisubmission83_2</t>
  </si>
  <si>
    <t>Standing resulted in better performance than sitting in on a visual search task</t>
  </si>
  <si>
    <t>"the two postures yielded different search-rates, as evidenced by a posture × set size in- teraction (F(1, 11) = 5.9, p = .033, ηp2 = .35; as seen by the slopes of the functions in Fig. "</t>
  </si>
  <si>
    <t>soscisubmission89_1</t>
  </si>
  <si>
    <t>soscisubmission89</t>
  </si>
  <si>
    <t>Smith, K. C., Davoli, C. C., Knapp, W. H., &amp; Abrams, R. A. (2019). Standing enhances cognitive control and alters visual search. Attention, Perception, &amp; Psychophysics, 81, 2320-2329.</t>
  </si>
  <si>
    <t>Straub, E. R., Dames, H., Kiesel, A., &amp; Dignath, D. (2022). Does body posture reduce the Stroop effect? Evidence from two conceptual replications and a meta-analysis. Acta Psychologica, 224, 103497.</t>
  </si>
  <si>
    <t>10.1016/j.actpsy.2022.103497</t>
  </si>
  <si>
    <t>10.1016--j.actpsy.2022.103497.pdf</t>
  </si>
  <si>
    <t>posture attention effect/Stroop posture effect</t>
  </si>
  <si>
    <t>Standing is better than sitting for attention performance on the Stroop task</t>
  </si>
  <si>
    <t>p.4&amp;5</t>
  </si>
  <si>
    <t xml:space="preserve">https://osf.io/c8wek/ </t>
  </si>
  <si>
    <t>soscisubmission54_1</t>
  </si>
  <si>
    <t>soscisubmission54_a</t>
  </si>
  <si>
    <t>1. I thought of mapping each specific finding separately. However, I think (not sure) if each of the specific finding is covered within three-way interaction finding.</t>
  </si>
  <si>
    <t>Makhanova, A., Miller, S. L., &amp; Maner, J. K. (2015). Germs and the out-group: Chronic and situational disease concerns affect intergroup categorization. Evolutionary Behavioral Sciences, 9(1), 8–19.</t>
  </si>
  <si>
    <t>10.1037/ebs0000028</t>
  </si>
  <si>
    <t>Study2</t>
  </si>
  <si>
    <t>0.1037--ebs0000028.pdf</t>
  </si>
  <si>
    <t>https://drive.google.com/file/d/1MePdKFMiRQbJwq7mHac7S1uIO-yQgOJl/view?usp=drive_link</t>
  </si>
  <si>
    <t>Makhanova, A., Eubanks, A. D., &amp; Maner, J. K. (2023). Does pathogen avoidance affect intergroup categorization? Replication of Makhanova, Miller, and Maner (2015). Evolutionary Behavioral Sciences, 17(2), 171–186.</t>
  </si>
  <si>
    <t>10.1037/ebs0000279</t>
  </si>
  <si>
    <t>10.1037--ebs0000279.pdf</t>
  </si>
  <si>
    <t>Disease Threat and Out-Group Categorization</t>
  </si>
  <si>
    <t>disease concern, outgroup categorization, minimal groups, germ aversion</t>
  </si>
  <si>
    <t>Concerns about disease, pathogens, germs can bias people toward categorizing social targets as members of an unfamiliar out-group</t>
  </si>
  <si>
    <t>"the predicted three- way interaction between target type GA and priming condition, F(1, 38) = 4.31, p = .045, partial eta² = .10."</t>
  </si>
  <si>
    <t>F(1, 485) = 5.87</t>
  </si>
  <si>
    <t>p.4-6</t>
  </si>
  <si>
    <t xml:space="preserve">https://osf.io/xudya/ </t>
  </si>
  <si>
    <t>soscisubmission55_1</t>
  </si>
  <si>
    <t>soscisubmission55</t>
  </si>
  <si>
    <t>No registration in OSF registries but this is a registered report</t>
  </si>
  <si>
    <t>Marcus, G. F., Vijayan, S., Bandi Rao, S., &amp; Vishton, P. M. (1999). Rule learning by seven-month-old infants. Science (New York, N.Y.), 283(5398), 77–80. https://doi.org/10.1126/science.283.5398.77</t>
  </si>
  <si>
    <t>10.1126/science.283.5398.77</t>
  </si>
  <si>
    <t>10.1126--science.283.5398.77.pdf</t>
  </si>
  <si>
    <t>Geambașu, A., Spit, S., van Renswoude, D., Blom, E., Fikkert, P. J. P. M., Hunnius, S., Junge, C. C. M. M., Verhagen, J., Visser, I., Wijnen, F., &amp; Levelt, C. C. (2023). Robustness of the rule-learning effect in 7-month-old infants: A close, multicenter replication of Marcus et al. (1999). Developmental science, 26(1), e13244. https://doi.org/10.1111/desc.13244</t>
  </si>
  <si>
    <t>10.1111/desc.13244</t>
  </si>
  <si>
    <t>10.1111--desc.13244.pdf</t>
  </si>
  <si>
    <t>Developmental psychology</t>
  </si>
  <si>
    <t>Rule learning effect in infants</t>
  </si>
  <si>
    <t>artificial grammar learning, language acquisition, replication, rule learning</t>
  </si>
  <si>
    <t>A rule learning effect such that after a brief auditory exposure phase, 7-month-old infants were able to learn and generalize a rule to novel syllables not previously present in the exposure phase.</t>
  </si>
  <si>
    <t>"7-month-old infants attend longer to sentences with unfamiliar structures than to sentences with familiar structures"</t>
  </si>
  <si>
    <t>F(14) = 25.6</t>
  </si>
  <si>
    <t>F(1, 94) = 0.017</t>
  </si>
  <si>
    <t>osf.io/9rqzx/</t>
  </si>
  <si>
    <t>soscisubmission12a_1</t>
  </si>
  <si>
    <t>soscisubmission12a</t>
  </si>
  <si>
    <t>LR: corrected N_original and used HRs from Table 1 of the replication report (2 values instead of 1)</t>
  </si>
  <si>
    <t>Abel, E. L., &amp; Kruger, M. L. (2010). Smile intensity in photographs predicts longevity. Psychological Science, 21, 542-544.</t>
  </si>
  <si>
    <t>10.1177/0956797610363775</t>
  </si>
  <si>
    <t>10.1177--0956797610363775.pdf</t>
  </si>
  <si>
    <t>Dufner, M., Brümmer, M., Chung, J. M., Drewke, P. M., Blaison, C., &amp; Schmukle, S. C. (2018). Does smile intensity in photographs really predict longevity? A replication and extension of Abel and Kruger (2010). Psychological Science, 29(1), 147-153.</t>
  </si>
  <si>
    <t>10.1177/0956797617734315</t>
  </si>
  <si>
    <t>10.1177--0956797617734315.pdf</t>
  </si>
  <si>
    <t>Predicting Longevity through smile intensity</t>
  </si>
  <si>
    <t>emotion, affect, longevity, life outcomes, replication, open data, open materials, preregistered</t>
  </si>
  <si>
    <t>Effect of smile intensity on photographs on longevity (partial smile vs. nonsmile)</t>
  </si>
  <si>
    <t>"Adding smile ratings led to a significant improvement in predicting mortality, X2(2, N = 162) = 8.2, p &lt; .017."</t>
  </si>
  <si>
    <t>X2(2, N = 162) = 8.2</t>
  </si>
  <si>
    <t>X2(2) = 0.513</t>
  </si>
  <si>
    <t>Delta Chi-Square</t>
  </si>
  <si>
    <t>https://osf.io/yb4j3</t>
  </si>
  <si>
    <t>soscisubmission12b_1</t>
  </si>
  <si>
    <t>soscisubmission12b</t>
  </si>
  <si>
    <t>Effect of smile intensity on photographs on longevity (full smile vs. nonsmile)</t>
  </si>
  <si>
    <t>X2(2) = 4.232</t>
  </si>
  <si>
    <t>OpenMKT17_1</t>
  </si>
  <si>
    <t>OpenMKT17</t>
  </si>
  <si>
    <t>O didn't specify any excluion criteria, so a-d also inclide full sample analysis for R. I also corrected the sample sizes based on the test statistics</t>
  </si>
  <si>
    <t>- I added the study number of the replication and the effect
- I changed the N of the replication to the reported N</t>
  </si>
  <si>
    <t>Durante, K. M., Griskevicius, V., Redden, J. P., &amp; Edward White, A. (2015). Spending on daughters versus sons in economic recessions. Journal of Consumer Research, 42(3), 435-457. Study 4</t>
  </si>
  <si>
    <t>10.1093/jcr/ucv023</t>
  </si>
  <si>
    <t>10.1093--jcr--ucv023.pdf</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</si>
  <si>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 </t>
  </si>
  <si>
    <t>parental decision making</t>
  </si>
  <si>
    <t>parental decision making, family spending, economic recessions, evolutionary psychologyparental decision making</t>
  </si>
  <si>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t>
  </si>
  <si>
    <t>First, the analysis revealed a significant main effect of economic condition on resource allocation to girls versus boys (F(1, 192) = 5.54, p &lt; .03, d =.34). Consistent with all of our previous results, participants significantly increased the allocation of resources to girls at the expense of boys in the economic recession condition (Mrecession = 4.70, SD = .68) compared to the economic upswing condition (Mupswing = 4.46, SD = .71).</t>
  </si>
  <si>
    <t>p.10,11</t>
  </si>
  <si>
    <t>p.11 (F(1, 192) = 5.54, p &lt; .03, d =.34). (Mrecession = 4.70, SD = .68)  (Mupswing = 4.46, SD = .71).</t>
  </si>
  <si>
    <t>F(1, 530) = 0.78</t>
  </si>
  <si>
    <t>p. 34; F(1, 530) = 0.78, p = .377</t>
  </si>
  <si>
    <t>https://osf.io/43nfd</t>
  </si>
  <si>
    <t>OpenMKT17_b</t>
  </si>
  <si>
    <t>- I added the study number of the replication and the effect
- I changed the N of the replication to the reported N
- I corrected the p-value</t>
  </si>
  <si>
    <t>parental decision making, family spending, economic recessions, evolutionary psychology</t>
  </si>
  <si>
    <t>Second, in support of our theory, this main effect was qualified by a significant interaction between economic condition and the individual measure of risk aversion (b = .29, F(1, 192) 1= 6.33, p &lt; .02).</t>
  </si>
  <si>
    <t>p.11 (b =- .29, F(1, 192) 1= 6.33, p &lt; .02).</t>
  </si>
  <si>
    <t>p. 34; b = 0.08, F(1, 530) = 3.587, p = .059, 95% CI [0.00, 0.16]</t>
  </si>
  <si>
    <t>OpenMKT17_c</t>
  </si>
  <si>
    <t>- I added the study number of the replication and the effect
- I changed the N of the replication to the reported N
- I corrected the omen (original test statistics)
- I think that Maureen coded the right statistics. Therefore I copied her replicated effects</t>
  </si>
  <si>
    <t>At high levels of risk aversion (1 SD above the mean), economic recessions (vs. economic upswings) led participants to increase the overall allocation of assets to girls to a far greater degree</t>
  </si>
  <si>
    <t>t(196) = -3.44</t>
  </si>
  <si>
    <t>p.11  (Mrecession = 4.83 vs. Mupswing = 4.35; t(196) = -3.44, p &lt; .001).</t>
  </si>
  <si>
    <t>t(530) = 1.01</t>
  </si>
  <si>
    <t>OpenMKT17_d</t>
  </si>
  <si>
    <t>However, at low levels of risk aversion (1 SD below the mean), there was no effect of economic condition on bequeathing overall assets to a girl versus a boy (Mrecession = 4.56 vs. Mupswing = 4.58; t(196) = .12, p &gt; .90).</t>
  </si>
  <si>
    <t>t(196) = 0.12</t>
  </si>
  <si>
    <t>p.11 Mrecession = 4.56 vs. Mupswing = 4.58; t(196) = .12, p &gt; .90).</t>
  </si>
  <si>
    <t>p. 34; b = -0.19, t(530) = -2.00, p = .046, 95% CI [-0.37, 0.00]</t>
  </si>
  <si>
    <t>OpenMKT17_e</t>
  </si>
  <si>
    <t>e-h R exclude all the participants who at some point dropped out of the survey. I also corrected the sample sizes based on the test statistics</t>
  </si>
  <si>
    <t>I would delete this row as it includes the same samples for the same effect as above</t>
  </si>
  <si>
    <t>F(1, 502) = 0.71</t>
  </si>
  <si>
    <t>F(1, 502) = 0.71, p = .399</t>
  </si>
  <si>
    <t>OpenMKT17_f</t>
  </si>
  <si>
    <t>b = 0.10, F(1, 502) = 5.73, p = .017, 95% CI [0.02, 0.18]</t>
  </si>
  <si>
    <t>OpenMKT17_g</t>
  </si>
  <si>
    <t>t(196) = 3.44</t>
  </si>
  <si>
    <t>p.11  (Mrecession = 4.83 vs. Mupswing = 4.35; t(196) = 3.44, p &lt; .001).</t>
  </si>
  <si>
    <t>F(1, 502) = 28.46</t>
  </si>
  <si>
    <t>F(1, 502) = 28.46, p &lt; .001</t>
  </si>
  <si>
    <t>OpenMKT17_h</t>
  </si>
  <si>
    <t>t(196) = .12</t>
  </si>
  <si>
    <t>b = -0.20, t(502) = -2.29, p = .023, 95% CI [-0.36, -0.03]</t>
  </si>
  <si>
    <t>OpenMKT18_1</t>
  </si>
  <si>
    <t>OpenMKT18</t>
  </si>
  <si>
    <t>- I added the study number of the replication and the effect
- I added the study number of the replication and the effect</t>
  </si>
  <si>
    <t>Zhu, M., &amp; Ratner, R. K. (2015). Scarcity polarizes preferences: The impact on choice among multiple items in a product class. Journal of Marketing Research, 52(1), 13-26. Study 2</t>
  </si>
  <si>
    <t>10.1509/jmr.13.0451</t>
  </si>
  <si>
    <t>10.1509--jmr.13.0451.pdf</t>
  </si>
  <si>
    <t xml:space="preserve">Chosing vegetables </t>
  </si>
  <si>
    <t>scarcity, abundance, preference within a choice set, choices of the favorite, resource constraints, preference polarization</t>
  </si>
  <si>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</si>
  <si>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</si>
  <si>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F(1, 198) = 3.80</t>
  </si>
  <si>
    <t>p.6 (F(1, 198) = 3.80, p = .05).  (M = 37.01, SD = 21.09), (M = 31.10, SD = 21.71).</t>
  </si>
  <si>
    <t>p. 70; (M = 27.90, SD = 19.80)  (M = 27.83, SD = 20.91) , F(1,593) = 0.001, p = 0.97 d  = 0.003.</t>
  </si>
  <si>
    <t>https://osf.io/at38s</t>
  </si>
  <si>
    <t>OpenMKT18_b</t>
  </si>
  <si>
    <t>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</si>
  <si>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ZMann–Whitney = –2.20</t>
  </si>
  <si>
    <t>p.6 (ZMann–Whitney = –2.20, p = .028) as scarce (M = 56.29%, SD = 24.35%) than abundant (M = 49.02%, SD = 21.60%).</t>
  </si>
  <si>
    <t>ZMann-Whitney = 1.04</t>
  </si>
  <si>
    <t>p. 70; (M = 0.48, SD = 0.22) (M = 0.50, SD = 0.24) ZMann-Whitney = 1.04, p = 0.30.</t>
  </si>
  <si>
    <t>OpenMKT18_c</t>
  </si>
  <si>
    <t>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</si>
  <si>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ZMann–Whitney = –1.44</t>
  </si>
  <si>
    <t>p.6 (M = 2.58, SD = 1.02) than in the abundant (M = 2.80, SD = .89) condition (ZMann–Whitney = –1.44, p = .149).</t>
  </si>
  <si>
    <t xml:space="preserve"> ZMann-Whitney = -0.22</t>
  </si>
  <si>
    <t>p. 70;  (M = 2.92, SD = 0.96) (M = 2.86, SD = 1.04) , ZMann-Whitney = -0.22, p = 0.83.</t>
  </si>
  <si>
    <t>OpenMKT19_1</t>
  </si>
  <si>
    <t>OpenMKT19</t>
  </si>
  <si>
    <t>- I removed all German words from the keywords (the same words were already written down in English)
- I added the effect        
- I added the page number to es_repr_r
- I added the study number of the replication study</t>
  </si>
  <si>
    <t>Cook, L. A., &amp; Sadeghein, R. (2018). Effects of perceived scarcity on financial decision making. Journal of Public Policy &amp; Marketing, 37(1), 68-87. Study 3</t>
  </si>
  <si>
    <t>10.1509/jppm.16.157</t>
  </si>
  <si>
    <t>10.1509--jppm.16.157.pdf</t>
  </si>
  <si>
    <t>triple scarcity effect</t>
  </si>
  <si>
    <t>resource scarcity, triple scarcity effect, payday loans, lending, financial well-being, Credit, Decision</t>
  </si>
  <si>
    <t>Unfavorable consumer perceptions and behavioral outcomes will be highest when the triple scarcity effect occurs (i.e., no liquidity, limited lending options, and perceived consequences of loss).</t>
  </si>
  <si>
    <t>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</si>
  <si>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p.8,9</t>
  </si>
  <si>
    <t>p. 9 (F(1, 189) = 3.00, p = .08, n2p = .016),</t>
  </si>
  <si>
    <t>p. 32; F(1, 497) = 9.75, p = 0.002, n2p= .019</t>
  </si>
  <si>
    <t>https://osf.io/jdfbm</t>
  </si>
  <si>
    <t>OpenMKT20_1</t>
  </si>
  <si>
    <t>OpenMKT20</t>
  </si>
  <si>
    <t>the original study file couldn't be opened</t>
  </si>
  <si>
    <t>- I added the effect
- I added the study number of the replication study
- The coding does align with the one of Maureen</t>
  </si>
  <si>
    <t>Chou, E. Y., Parmar, B. L., &amp; Galinsky, A. D. (2016). Economic Insecurity Increases Physical Pain. Psychological science, 27(4), 443–454. https://doi.org/10.1177/0956797615625640 Study 3</t>
  </si>
  <si>
    <t>10.1177--0956797615625640.pdf</t>
  </si>
  <si>
    <t>Economic Insecurity–Physical Pain Link</t>
  </si>
  <si>
    <t>economic insecurity; pain; sense of control.</t>
  </si>
  <si>
    <t>Recalling an instance in which one felt economically scarce causes an increase in reported physical pain</t>
  </si>
  <si>
    <t>Participants who recalled an economically insecure period of their life reported almost double the amount of physical pain compared with those who recalled an economically secure period Thus, Study 3 established a direct causal relationship between economic insecurity and physical pain.</t>
  </si>
  <si>
    <t xml:space="preserve">p.5  (M = 0.86, SD = 1.54)  (M = 0.44, SD = 1.08), t(229) = 2.38, p = .01, d = 0.31. </t>
  </si>
  <si>
    <t>M = 1.57, SD = 2.14) (M = 0.78, SD = 1.49), t(601) = 5.27, p &lt; .001,, 95% (CI) = [0.27, 0.59].</t>
  </si>
  <si>
    <t>https://osf.io/g6kx3</t>
  </si>
  <si>
    <t>OpenMKT20_b</t>
  </si>
  <si>
    <t xml:space="preserve">- I would exclude this row, since it targets the same effect as the first one and uses the same sample as the first one. Therefore, the effects largely depend on each other. </t>
  </si>
  <si>
    <t>This effect remained significant after we controlled for participants’ age, gender, current employment status, and negative affect, p = .03).2 Thus, Study 3 established a direct causal relationship between economic insecurity and physical pain.</t>
  </si>
  <si>
    <t>OpenMKT20_c</t>
  </si>
  <si>
    <t>c-d = careless participants included in R</t>
  </si>
  <si>
    <t>- I would exclude this row, since it targets the same effect as the first one and uses the same sample as the first one. Therefore, the effects largely depend on each other.</t>
  </si>
  <si>
    <t>(M = 1.94, SD = 2.57)  (M = 1.06, SD = 1.99, t(656) = 4.89, p &lt; .001, 95% (CI) = [0.26, 0.56])</t>
  </si>
  <si>
    <t>OpenMKT20_d</t>
  </si>
  <si>
    <t>OpenMKT21_1</t>
  </si>
  <si>
    <t>OpenMKT21</t>
  </si>
  <si>
    <t>R used etasq generalized</t>
  </si>
  <si>
    <t xml:space="preserve">- I added the study number of the replication study
- I added label_r
- I added the effect
- I added the tags
</t>
  </si>
  <si>
    <t>Ward, A. F., Duke, K., Gneezy, A., &amp; Bos, M. W. (2017). Brain drain: The mere presence of one’s own smartphone reduces available cognitive capacity. Journal of the Association for Consumer Research, 2(2), 140-154. Study 2</t>
  </si>
  <si>
    <t>10.1086/691462</t>
  </si>
  <si>
    <t>10.1086--691462.pdf</t>
  </si>
  <si>
    <t>Pardo, A. C. R., &amp; Minda, J. P. (2022). Reexamining the “brain drain” effect: A replication of Ward et al.(2017). Acta Psychologica, 230, 103717.</t>
  </si>
  <si>
    <t>10.1016/j.actpsy.2022.103717</t>
  </si>
  <si>
    <t>10.1016--j.actpsy.2022.103717.pdf</t>
  </si>
  <si>
    <t>brain drain effect</t>
  </si>
  <si>
    <t>smartphone presence, attention, response inhibition, smartphone dependency</t>
  </si>
  <si>
    <t>The mere presence of one’s own smartphone may occupy limited-capacity cognitive resources, thereby leaving fewer resources available for other tasks and undercutting cognitive performance</t>
  </si>
  <si>
    <t>A 3 (Phone Location: desk, pocket/bag, other room)  2 (Phone Power: on, off ) between-subjects ANOVA revealed a significant effect of Location on OSpan perfor- mance</t>
  </si>
  <si>
    <t>p. 8  (F(2, 263) = 5 3.53, p = .03, partial n2 = .026).</t>
  </si>
  <si>
    <t>p.6 F(2, 377) = 0.10, p = .91, η2G = 0.001.</t>
  </si>
  <si>
    <t>https://osf.io/ubys7/metadata/osf</t>
  </si>
  <si>
    <t>OpenMKT21_b</t>
  </si>
  <si>
    <t>There was no effect of Power</t>
  </si>
  <si>
    <t>F(1, 263) = 0.05</t>
  </si>
  <si>
    <t>p. 8  (F(1, 263) = .05, p = .83)</t>
  </si>
  <si>
    <t>p.6  F(1, 377) = 0.21, p = .65, η2G = 0.001.</t>
  </si>
  <si>
    <t>OpenMKT21_c</t>
  </si>
  <si>
    <t>There was no effect of the Power  Location interaction</t>
  </si>
  <si>
    <t>F(2, 263) = 1.05</t>
  </si>
  <si>
    <t>p.8  (F(2, 263) = 1.05, p = .35).</t>
  </si>
  <si>
    <t>p. 6 F(2, 377) = 1.19, p = .31, η2 G = 0.006</t>
  </si>
  <si>
    <t>- I added the effect
- I added the study number of the replication study
- I added the link to the preregistration (replication)</t>
  </si>
  <si>
    <t>https://drive.google.com/file/d/1Oyf6phoxDUGiryzACmCI2gdTcVIQO0rE/view?usp=drive_link</t>
  </si>
  <si>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</si>
  <si>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</si>
  <si>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</si>
  <si>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</si>
  <si>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</si>
  <si>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</si>
  <si>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Since in both (replication and original) an effect size was reported, I changed the test statistics to the effect size
- I added the effect
- I added the study number of the replication study
- I added label_r
- I added the link to the preregistration</t>
  </si>
  <si>
    <t>moral values, fairness, luxury consumption, consumption resources, brand attitude</t>
  </si>
  <si>
    <t>Unearned luxury consumption will lead to lower brand attitude than earned luxury consumption when consumers' fairness concerns are salient, but less so when fairness concerns are not salient (effect of consumption resources)</t>
  </si>
  <si>
    <t>"An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</si>
  <si>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17,18</t>
  </si>
  <si>
    <t>p. 47</t>
  </si>
  <si>
    <t>Unearned luxury consumption will lead to lower brand attitude than earned luxury consumption when consumers' fairness concerns are salient, but less so when fairness concerns are not salient (interaction with fairness)</t>
  </si>
  <si>
    <t>"An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</si>
  <si>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Unearned luxury consumption will lead to lower brand attitude than earned luxury consumption when consumers' fairness concerns are salient, but less so when fairness concerns are not salient (the effect of fairness)</t>
  </si>
  <si>
    <t>"An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</si>
  <si>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p. 48</t>
  </si>
  <si>
    <t>- I changed the omen of the original effect size
- I changed the number of participants of the replication study (based on the test statistics)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</si>
  <si>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</si>
  <si>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</si>
  <si>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-0.58</t>
  </si>
  <si>
    <t>t(281) = 2.61</t>
  </si>
  <si>
    <t>- I changed the number of participants of the replication study (based on the test statistics)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</si>
  <si>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(attitude toward the brands in the unspecified condition when fairness was salient)</t>
  </si>
  <si>
    <t>"The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</si>
  <si>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t(281) = 2.02</t>
  </si>
  <si>
    <t>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</si>
  <si>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"the earned and unspecified conditions did not differ (t(245) = 0.84, p &gt; .40, Cohen’s d = 0.18). Thus, it appears that unearned consumption decreases brand attitude relative to the baseline or explicit earned consumption when fairness is salient to observers."</t>
  </si>
  <si>
    <t>t(281) = 0.58</t>
  </si>
  <si>
    <t>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</si>
  <si>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</si>
  <si>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t(317) = 1.52</t>
  </si>
  <si>
    <t>- I changed the number of participants of the replication study (based on the test statistics)
- I changed the claim to clairify the target effect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</si>
  <si>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</si>
  <si>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"brand attitude in the unspecified condition was lower than both the earned [...] (M = 5.89; ps ≤ .05, Cohen’s ds = .60, [...]) "," indicate prestige perceptions are the main driver of the joint effect of fairness values and consumption resources on brand attitude."</t>
  </si>
  <si>
    <t>t(317) = 1.47</t>
  </si>
  <si>
    <t>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</si>
  <si>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"brand attitude in the unspecified condition was lower than  the [...]unearned conditions[...] .43) "," indicate prestige perceptions are the main driver of the joint effect of fairness values and consumption resources on brand attitude."</t>
  </si>
  <si>
    <t>t(317) = 0.03</t>
  </si>
  <si>
    <t>OpenMKT11_j</t>
  </si>
  <si>
    <t>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</si>
  <si>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</si>
  <si>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t(201) = 0.37</t>
  </si>
  <si>
    <t>OpenMKT11_k</t>
  </si>
  <si>
    <t>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</si>
  <si>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</si>
  <si>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t(198) = 1.67</t>
  </si>
  <si>
    <t>OpenMKT11_l</t>
  </si>
  <si>
    <t>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</si>
  <si>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"salient fairness (vs. neutral) lowered brand attitude in the unearned condition "," but not in earned or unspecified conditions "," indicate prestige perceptions are the main driver of the joint effect of fairness values and consumption resources on brand attitude."</t>
  </si>
  <si>
    <t>t(199) = 0.53</t>
  </si>
  <si>
    <t>OpenMKT11_m</t>
  </si>
  <si>
    <t>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</si>
  <si>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"The focal interaction was also significant when the earned and unspecified conditions were combined (F(1, 247) = 6.47, p = .01, n2 = .025) "," indicate prestige perceptions are the main driver of the joint effect of fairness values and consumption resources on brand attitude."</t>
  </si>
  <si>
    <t>OpenMKT11_n</t>
  </si>
  <si>
    <t>-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</si>
  <si>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</si>
  <si>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</si>
  <si>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t(600) = 2.61</t>
  </si>
  <si>
    <t>OpenMKT11_o</t>
  </si>
  <si>
    <t>- Since replication reported an effect size, I changed the test statistics to the effect size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</si>
  <si>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</si>
  <si>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</si>
  <si>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OpenMKT11_p</t>
  </si>
  <si>
    <t>Unearned luxury consumption will lead to lower brand attitude than earned luxury consumption when consumers' fairness concerns are salient, but less so when fairness concerns are not salient (effect on brand attitude when fairness was not salient)</t>
  </si>
  <si>
    <t>"this effect did not occur when fairness was not salient (M = 6.65 vs. M = 6.38, t(247) = 0.78, p &gt; .44, Cohen’s d = 0.16 "," indicate prestige perceptions are the main driver of the joint effect of fairness values and consumption resources on brand attitude."</t>
  </si>
  <si>
    <t>t(600) = 0.89</t>
  </si>
  <si>
    <t>OpenMKT11_q</t>
  </si>
  <si>
    <t>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</si>
  <si>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</si>
  <si>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t(600) = 0.50</t>
  </si>
  <si>
    <t>OpenMKT11_r</t>
  </si>
  <si>
    <t>The test statistics of the replication study for this row are the same as the above row because they are missing in the replication study; hence, they are treated the same as above.</t>
  </si>
  <si>
    <t>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</si>
  <si>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"When fairness was not salient, the effect of consumption resources on prestige perceptions was NS (b = .05, t(247) = -0.66, p &gt; .50, η2 = .002) "," indicate prestige perceptions are the main driver of the joint effect of fairness values and consumption resources on brand attitude."</t>
  </si>
  <si>
    <t>OpenMKT11_s</t>
  </si>
  <si>
    <t>- Since original study reported an effect size, I changed the test statistics to the effect size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</si>
  <si>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(effect of prestige perceptions on brand attitude)</t>
  </si>
  <si>
    <t>"prestige perceptions affected brand attitude (b = 0.49, t(246) = 4.92, p &lt; .0001, η2 = .086) "," indicate prestige perceptions are the main driver of the joint effect of fairness values and consumption resources on brand attitude."</t>
  </si>
  <si>
    <t>OpenMKT11_t</t>
  </si>
  <si>
    <t>- the type of effect size or statistics was not reported
- I added the effect
- I added the study number of the replication study
- I added label_r
- I added the link to the preregistration
- note: values are from a mediation analysis</t>
  </si>
  <si>
    <t>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</si>
  <si>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</si>
  <si>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(.09, 95% CI = 0.02–0.18)</t>
  </si>
  <si>
    <t>(0.07, 95% CI = [-0.0012, 0.14])</t>
  </si>
  <si>
    <t>OpenMKT11_u</t>
  </si>
  <si>
    <t>Unearned luxury consumption will lead to lower brand attitude than earned luxury consumption when consumers' fairness concerns are salient, but less so when fairness concerns are not salient (an indirect effect when fairness was not salient)</t>
  </si>
  <si>
    <t>"there was no support for an indirect effect when fairness was not salient (-.02, 95% CI = -0.10 to 0.04)"," indicate prestige perceptions are the main driver of the joint effect of fairness values and consumption resources on brand attitude."</t>
  </si>
  <si>
    <t xml:space="preserve">(-.02, 95% CI = -0.10 to 0.04) </t>
  </si>
  <si>
    <t>(0.04, 95% CI = [-0.02, 0.11])</t>
  </si>
  <si>
    <t>OpenMKT11_v</t>
  </si>
  <si>
    <t>- the type of effect size or statistics was not reported
- I added the effect
- I added the study number of the replication study
- I added label_r
- I added the link to the preregistration</t>
  </si>
  <si>
    <t>Unearned luxury consumption will lead to lower brand attitude than earned luxury consumption when consumers' fairness concerns are salient, but less so when fairness concerns are not salient (the index of moderated mediation)</t>
  </si>
  <si>
    <t>"the index of moderated mediation was significant, suggesting that a unit change in fairness values significantly changed the magnitude of the indirect effect (.11, 95% CI = 0.02–0.24)."</t>
  </si>
  <si>
    <t>(.11, 95% CI = 0.02–0.24)</t>
  </si>
  <si>
    <t>(0.02, 95% CI = [-0.07, 0.12])</t>
  </si>
  <si>
    <t>I added the effect
- I added the study number of the replication study
- I added label_r
- I added the link to the preregistration</t>
  </si>
  <si>
    <t>The consideration of financial constraints shifts consumers’ preferences toward material goods rather than experiences. (i.e. Inducing financial scarcity will lead individuals to prefer purchasing material goods over experiences (test of the manipulation on comparison of participants’ self-reported responses of the extent to which they thought about financial constraints)</t>
  </si>
  <si>
    <t>"As intended, participants who had written about their financial constraints reported thinking about their financial constraints more (Mfinancial = 5.61, SD = 1.62) than did participants in the control condition (Mcontrol = 4.19, SD= 2.09; F(1, 375) = 53.91, p &lt; .001) "," this study provides additional evidence that consumers who think more about their financial constraints are more likely to consider how long their purchase will last, which in turn increases preference for material goods over experiences."</t>
  </si>
  <si>
    <t>t = -9.89</t>
  </si>
  <si>
    <t>P. 67</t>
  </si>
  <si>
    <t>The consideration of financial constraints shifts consumers’ preferences toward material goods rather than experiences. (i.e. Inducing financial scarcity will lead individuals to prefer purchasing material goods over experiences (test of the manipulation on comparison of participants’ self-reported responses of the extent to which they felt financially constrained)</t>
  </si>
  <si>
    <t>"while participants generally felt financially constrained, participants in the financial constraint condition reported feeling more financially constrained than those in the control condition (Mfinancial = 5.43, SD = 1.546; Mcontrol =4 5.02, SD = 1.65; F(1, 375) = 6.48, p = .011) "," this study provides additional evidence that consumers who think more about their financial constraints are more likely to consider how long their purchase will last, which in turn increases preference for material goods over experiences."</t>
  </si>
  <si>
    <t>t = -7.29</t>
  </si>
  <si>
    <t>- since an effect size was reported in the replication study, I coded the effect size instead of the test statistics
 I added the effect
- I added the study number of the replication study
- I added label_r
- I added the link to the preregistration</t>
  </si>
  <si>
    <t>The consideration of financial constraints shifts consumers’ preferences toward material goods rather than experiences. (I.e. Inducing financial scarcity will lead individuals to prefer purchasing material goods over experiences (preference to material options)</t>
  </si>
  <si>
    <t>"participants who were asked to consider their financial constraints were more likely to prefer the material options than were participants in the control condition (F(1, 375) = 10.02, p = .002) "," this study provides additional evidence that consumers who think more about their financial constraints are more likely to consider how long their purchase will last, which in turn increases preference for material goods over experiences."</t>
  </si>
  <si>
    <t>The consideration of financial constraints shifts consumers’ preferences toward material goods rather than experiences. (I.e. Inducing financial scarcity will lead individuals to prefer purchasing material goods over experiences (difference across pairs)</t>
  </si>
  <si>
    <t>"This effect again did not differ across pairs (F(4, 1500) = 1.24, NS) "," this study provides additional evidence that consumers who think more about their financial constraints are more likely to consider how long their purchase will last, which in turn increases preference for material goods over experiences."</t>
  </si>
  <si>
    <t>F(4, 1500) = 1.24</t>
  </si>
  <si>
    <t>- I added the effect
- I added the study number of the replication study
- I added label_r
- I added the link to the preregistration
- since an effect size was reported in the original and replication study, I coded the effect size instead of the test statistics</t>
  </si>
  <si>
    <t>When scarcity is salient, pro-self individuals will engage in even more selfish behavior compared to prosocial individuals. The difference between proself individual’s behavior and prosocial individual’s behavior is attenuated when scarcity is not salient (effect of the scarcity manipulation on allocation behavior)</t>
  </si>
  <si>
    <t>"An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η2p= .03) "," demonstrating that exposure to reminders of resource scarcity can promote behavior that advances one’s own welfare at the expense of others."</t>
  </si>
  <si>
    <t>When scarcity is salient, pro-self individuals will engage in even more selfish behavior compared to prosocial individuals. The difference between proself individual’s behavior and prosocial individual’s behavior is attenuated when scarcity is not salient (effect of scarcity on the amount of money allocated to the other player)</t>
  </si>
  <si>
    <t>"The results showed a significant main effect of scarcity on the amount of money allocated to the other player (β = -.38; SE = .14; t = 2.83; p = .005), which suggests that, overall, participants exposed to reminders of resource scarcity subsequently allocated less money to the other player compared to participants in the control condition."</t>
  </si>
  <si>
    <t>When scarcity is salient, pro-self individuals will engage in even more selfish behavior compared to prosocial individuals. The difference between proself individual’s behavior and prosocial individual’s behavior is attenuated when scarcity is not salient (effect of SVO on the amount of money allocated to the other player)</t>
  </si>
  <si>
    <t>"the results showed a significant effect of SVO on the amount of money allocated to the other player (β = .02; SE = .005; t = 4.07; p &lt; .001), which suggests that the more participants exhibited a prosocial orientation, the more money they allocated to the other player."</t>
  </si>
  <si>
    <t>When scarcity is salient, pro-self individuals will engage in even more selfish behavior compared to prosocial individuals. The difference between proself individual’s behavior and prosocial individual’s behavior is attenuated when scarcity is not salient (interaction between the scarcity manipulation and SVO on the allocation measure)</t>
  </si>
  <si>
    <t>"there was a significant interaction between the scarcity manipulation and SVO on the allocation measure (β = .01; SE = .005; t = 2.12; p = .04), as predicted "," Taken together, these results provide additional support for our theoretical account, by demonstrating that individual differences in proself versus prosocial orientations moderate the effect of reminders of resource scarcity on behavior."</t>
  </si>
  <si>
    <t>27,28</t>
  </si>
  <si>
    <t>- I added the study number of the replication study
- I added label_r
- I added the effect
- I added the link to the preregistration (replication)
- I changed the effect size of the replication - originally it was Wald = effect, but I translated it in the correct form
- Effects for a larger sample that includes careless responders are also reported in the replication article</t>
  </si>
  <si>
    <t>Link between scarcity and creativity in product use</t>
  </si>
  <si>
    <t>Participants who encounter scarcity salience in a prior unrelated context would be more likely to use the provided products in novel but appropriate ways to solve the given task (effect of resource availability on the correctness of the solutions)</t>
  </si>
  <si>
    <t>"A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</si>
  <si>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X2(2) = 2.224</t>
  </si>
  <si>
    <t>Participants who encounter scarcity salience in a prior unrelated context would be more likely to use the provided products in novel but appropriate ways to solve the given task (differences between the scarcity condition and the abundance condition)</t>
  </si>
  <si>
    <t>"The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</si>
  <si>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X2(2) = 8.07</t>
  </si>
  <si>
    <t>X2(2) = .063</t>
  </si>
  <si>
    <t>Participants who encounter scarcity salience in a prior unrelated context would be more likely to use the provided products in novel but appropriate ways to solve the given task (difference between the scarcity condition and the control condition)</t>
  </si>
  <si>
    <t>"The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</si>
  <si>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X2(2) = 5.70</t>
  </si>
  <si>
    <t>X2(2) = 1.90</t>
  </si>
  <si>
    <t>Participants who encounter scarcity salience in a prior unrelated context would be more likely to use the provided products in novel but appropriate ways to solve the given task (difference between abundance condition and the control condition)</t>
  </si>
  <si>
    <t>"No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</si>
  <si>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X2(2) = 0.30</t>
  </si>
  <si>
    <t>X2(2) = 1.2</t>
  </si>
  <si>
    <t>- I added the study number of the replication study
- I added label_r
- I added the effect
- I added the link to the preregistration (replication)
- There was a reported effect size in the replication study - however, the test statistics are correct as well. Therefore, I did not change the reported test statistics, but chose the rows of the other coder</t>
  </si>
  <si>
    <t>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</si>
  <si>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(manipulation check on scarcity versus the control ad) </t>
  </si>
  <si>
    <t>"The manipulation check was successful. Participants perceived the iPhone promotional package quantity to be more scarce in the scarcity versus the control ad (1 = Very scarce to 7 = Very abundant; MScarcity = 1.49 vs. MControl = 4.84; F(1, 156) = 209.4, p &lt; .001) "," The results of study 5 provide further evidence in support of H2 and the role of perceived threat as the underlying process driving aggressive behavior in response to limited-quantity scarcity promotion advertising."</t>
  </si>
  <si>
    <t>35,37</t>
  </si>
  <si>
    <t xml:space="preserve"> F(1, 156) = 209.4</t>
  </si>
  <si>
    <t>F(1, 385) = 249.20</t>
  </si>
  <si>
    <t>p. 41</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</si>
  <si>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(manipulation check on the main effect) </t>
  </si>
  <si>
    <t>"The manipulation check was successful "," No main effect (p &gt; .75) "," emerged "," The results of study 5 provide further evidence in support of H2 and the role of perceived threat as the underlying process driving aggressive behavior in response to limited-quantity scarcity promotion advertising."</t>
  </si>
  <si>
    <t>F(1, 385) = 2.31</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</si>
  <si>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(manipulation check on interactions with perceived threat) </t>
  </si>
  <si>
    <t>"The manipulation check was successful "," No  "," interactions with perceived threat emerged (p &gt; .13) "," The results of study 5 provide further evidence in support of H2 and the role of perceived threat as the underlying process driving aggressive behavior in response to limited-quantity scarcity promotion advertising."</t>
  </si>
  <si>
    <t>F(1, 385) = 1.31</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</si>
  <si>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(effect of perceived threat) </t>
  </si>
  <si>
    <t>"The ANOVA revealed a main effect of perceived threat (higher threat led to more violent game choices; PHigh Threat = .37, SD = .23 vs. PLow Threat = .30, SD = .22, F(1, 156) = 4.14, p = .044) "," The results of study 5 provide further evidence in support of H2 and the role of perceived threat as the underlying process driving aggressive behavior in response to limited-quantity scarcity promotion advertising."</t>
  </si>
  <si>
    <t>36,37</t>
  </si>
  <si>
    <t>F(1, 385) = 2.65</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</si>
  <si>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(effect of scarcity promotion) </t>
  </si>
  <si>
    <t>"The ANOVA revealed a main effect of perceived threat "," but no effect of scarcity promotion (p &gt; .20) "," The results of study 5 provide further evidence in support of H2 and the role of perceived threat as the underlying process driving aggressive behavior in response to limited-quantity scarcity promotion advertising."</t>
  </si>
  <si>
    <t>F(1, 385) = 0.04</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</si>
  <si>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(effect on expected interation) </t>
  </si>
  <si>
    <t>"the main effect was qualified by the expected interaction (F(1, 156) = 3.96, p = .048) "," The results of study 5 provide further evidence in support of H2 and the role of perceived threat as the underlying process driving aggressive behavior in response to limited-quantity scarcity promotion advertising."</t>
  </si>
  <si>
    <t>F(1, 385) = 0.01</t>
  </si>
  <si>
    <t>- I added the study number of the replication study
- I added label_r
- I added the effect
- I added the link to the preregistration (replication)</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</si>
  <si>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 </t>
  </si>
  <si>
    <t>"As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</si>
  <si>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OpenMKT16_h</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</si>
  <si>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 </t>
  </si>
  <si>
    <t>"no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</si>
  <si>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F(1, 156) = 0.46</t>
  </si>
  <si>
    <t>OpenMKT16_i</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</si>
  <si>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 </t>
  </si>
  <si>
    <t>"participants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</si>
  <si>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F(1, 156) = 8.24</t>
  </si>
  <si>
    <t>OpenMKT16_j</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</si>
  <si>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 </t>
  </si>
  <si>
    <t>"participants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</si>
  <si>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OpenMKT16_k</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</si>
  <si>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 </t>
  </si>
  <si>
    <t>"participants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</si>
  <si>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F(1, 156) = 4.69</t>
  </si>
  <si>
    <t>OpenMKT16_l</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</si>
  <si>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 </t>
  </si>
  <si>
    <t>"participants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</si>
  <si>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F(1,156) = 8.49</t>
  </si>
  <si>
    <t>F(1,387) = 1.16</t>
  </si>
  <si>
    <t>OpenMKT16_m</t>
  </si>
  <si>
    <t>Here, the number of participants for the original and replication studies is the originally recruited participants before excluding participants who failed the attention check</t>
  </si>
  <si>
    <t>This effect includes participants that failed the attention check, but the original effect is already coded</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</si>
  <si>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(the predicted interaction when including participants who failed the attention check) </t>
  </si>
  <si>
    <t>"When including participants who failed the attention check, the predicted interaction remains consistent (F(1,183) = 3.82, p = .052) as does the high threat contrast (F(1,183) = 4.65, p = .032). "," The results of study 5 provide further evidence in support of H2 and the role of perceived threat as the underlying process driving aggressive behavior in response to limited-quantity scarcity promotion advertising."</t>
  </si>
  <si>
    <t>F(1,183) = 3.82</t>
  </si>
  <si>
    <t>F(1,498) = 0.68</t>
  </si>
  <si>
    <t>- I added the study number of the replication and the effect
- I added the link to the prere</t>
  </si>
  <si>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</si>
  <si>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</si>
  <si>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10,11</t>
  </si>
  <si>
    <t>p. 33,34</t>
  </si>
  <si>
    <t>- I added the study number of the replication and the effect
- I added the link to the preregistration</t>
  </si>
  <si>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</si>
  <si>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 </t>
  </si>
  <si>
    <t>F(1, 192) = 6.33</t>
  </si>
  <si>
    <t>F(1, 530) = 3.59</t>
  </si>
  <si>
    <t>- I added the study number of the replication and the effect
- I switched the omen of the t-test (original)
- I added the link to the preregistration</t>
  </si>
  <si>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</si>
  <si>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</si>
  <si>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t(196) = - 3.44</t>
  </si>
  <si>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</si>
  <si>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</si>
  <si>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t(530) = -2.00</t>
  </si>
  <si>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vegetables (the impact of supply level on relative liking of the favorite versus non-favorites)</t>
  </si>
  <si>
    <t>"An ANOVA (perceived supply level: abundant vs. scarce) on the obtained liking difference rating revealed a significant main effect (F(1, 198) = 3.80, p = .05). Consistent with our prediction, the relative liking of the favorite (i.e., the difference between the liking rating of the favorite and the averaged liking rating across the nonfavorites) increased significantly when the supply level of each item in the choice set was perceived as scarce (M = 37.01, SD = 21.09) compared with abundant (M = 31.10, SD = 21.71)."</t>
  </si>
  <si>
    <t>https://osf.io/qbxp7</t>
  </si>
  <si>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 (nonparametric Mann–Whitney test for two independent samples to compare the choice share of the favorite in the scarce and abundant conditions)</t>
  </si>
  <si>
    <t>"As we expected, participants incorporated a significantly higher proportion of their favorite vegetable when they perceived the supply of each item (ZMann–Whitney = –2.20, p = .028) as scarce (M = 56.29%, SD = 24.35%) than abundant (M = 49.02%, SD = 21.60%) "," provide converging evidence for our key propositions that scarce versus abundant supply of each item in a choice set leads to polarized liking ratings and increased choices of the favorite."</t>
  </si>
  <si>
    <t>ZMann–Whitney = 1.04</t>
  </si>
  <si>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 (nonparametric Mann–Whitney test on the number of different vegetables chosen, to compare the amount of variety chosen between the scarce and the abundant conditions)</t>
  </si>
  <si>
    <t>"Although the difference was not significant, directionally participants chose a smaller number of vegetable types in the scarce (M = 2.58, 
SD = 1.02) than in the abundant (M = 2.80, SD = .89) condition (ZMann–Whitney = –1.44, p = .149) "," provide converging evidence for our key propositions that scarce versus abundant supply of each item in a choice set leads to polarized liking ratings and increased choices of the favorite."</t>
  </si>
  <si>
    <t>ZMann–Whitney = -0.22</t>
  </si>
  <si>
    <t>- the reported test statistics of the original study and replication are correct, but there was also an effect size reported: original partial eta-squared = 0.016; replication partial eta-squared = 0.019. Therefore, I did not correct the value and instead chose the other row
- I added the link to the preregistration
- I added the study number of the replication study</t>
  </si>
  <si>
    <t>resource scarcity, triple scarcity effect, payday loans, lending, financial well-being, credit, decision making</t>
  </si>
  <si>
    <t>Unfavorable consumer perceptions and behavioral outcomes will be highest when the triple scarcity effect occurs (i.e., no liquidity, limited lending options, and perceived consequences of loss (gain vs. loss)).</t>
  </si>
  <si>
    <t>"there was a marginally significant three-way interaction among perceived consequences (loss/gain), lending options, and liquidity (F(1, 189) = 3.00, p = .08, η2p = .016), illustrating how individuals who were in a loss mindset, did not have any other lending options, and were without liquidity (i.e., “the triple scarcity effect”) were negatively influenced (H5) "," Consistent with H5, Study 3 found support for a three-way interaction between liquidity, perceived consequences, and lending options on loan amount."</t>
  </si>
  <si>
    <t>F(1, 189) = 3.00</t>
  </si>
  <si>
    <t>F(1, 497) = 9.75</t>
  </si>
  <si>
    <t>- I added the effect
- I added the study number of the replication study
- I added the link to the preregistration</t>
  </si>
  <si>
    <t>economic insecurity, pain, sense of control</t>
  </si>
  <si>
    <t>"Participants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</si>
  <si>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p. 30</t>
  </si>
  <si>
    <t>- I added the effect
- I added the study number of the replication study</t>
  </si>
  <si>
    <t>“brain drain” effect</t>
  </si>
  <si>
    <t>brain drain, smartphones, smartphone dependence, cognitive costs, cognitive capacity, cognitive performance</t>
  </si>
  <si>
    <t>"A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</si>
  <si>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8,10</t>
  </si>
  <si>
    <t>https://osf.io/5fq4r</t>
  </si>
  <si>
    <t>Tafere</t>
  </si>
  <si>
    <t>soscisubmission83_a</t>
  </si>
  <si>
    <t xml:space="preserve">Tafere Tilahun </t>
  </si>
  <si>
    <t xml:space="preserve">Smith, K.C., Davoli, C.C., Knapp, W.H., &amp; Abrams, R.A. (2019) Standing enhances cognitive control and alters visual search. Attention, Perception, and Psychophysics, 81, 2320–2329. </t>
  </si>
  <si>
    <t xml:space="preserve">10.3758/s13414-019-01723-6 </t>
  </si>
  <si>
    <t>Visual Cognitive Effects</t>
  </si>
  <si>
    <t>Visual cognition between seated and standing postures with posture by congruency interaction main effects</t>
  </si>
  <si>
    <t>"The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</si>
  <si>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soscisubmission84_b</t>
  </si>
  <si>
    <t>Visual cognition between seated and standing postures with posture by condition interaction main effects</t>
  </si>
  <si>
    <t>"..Importantly there was a significant condition × posture interaction, F(1, 29) = 5.54, p = .026, η2p = .16. The interaction indicates that there was a reduced switch cost when participants were standing compared to when they were sitting. The analysis of accuracy also revealed a significant congruency × condition interaction, F(1,29) = 23.33, p &lt; .001, η2p =.45, with switch costs greater for incongruent than for congruent trials. No other interactions were significant."</t>
  </si>
  <si>
    <t>soscisubmission83_c</t>
  </si>
  <si>
    <t>Visual cognition between seated and standing postures with posture by  set sizeinteraction main effects</t>
  </si>
  <si>
    <t>"Nevertheless,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</si>
  <si>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Makhanova, A., Miller, S. L., &amp; Maner, J. K. (2015). Germs and the out-group: Chronic and situational disease concerns affect intergroup categorization. Evolutionary Behavioral Sciences, 9(1), 8–19. Study 2</t>
  </si>
  <si>
    <t>Chronic and Situational Disease
Concerns</t>
  </si>
  <si>
    <t>chronic disease concerns bias people toward categorizing targets with heuristic disease cues as novel out-group members.</t>
  </si>
  <si>
    <t>"A main effect of target type, F(1, 38) =14.42, p &lt;.001, partial eta^2=.28, an interaction between target type and GA scores, F(1, 38) =6.30, p = .016, partial eta^2 =0.14, and the predicted three-way interaction between target type GA and priming condition, F(1, 38) =4.31, p= .045, partial eta^2=.10."</t>
  </si>
  <si>
    <t>https://osf.io/c2xur</t>
  </si>
  <si>
    <t>Listening Times</t>
  </si>
  <si>
    <t>artificial grammar learning, language acquisition, rule learning</t>
  </si>
  <si>
    <t>The rule of learning effects</t>
  </si>
  <si>
    <t>"Our results do not call into question the existence of statistical learning echanisms but show that such mechanisms do not exhaust the child's epertoire of learning mechanisms. A system that was sensitive only to transitional probabilities between words could not account for anv of these results,  because all the words in the test sentences are novel and, hence, their transitiollal probabilities (with respect to the familiarization corpus) are all zero, similarly, a system that noted discrepancies with sequences of words could not account for the results in any of the three experiments, because both the consistent items and the inconsistent items differ from any stored sequences of words. A system that noted discrepancies with stored sequences of phonetic features could account for the results in experiment 1 but not those in experiments 2 and 3. A system that could count the-. number of reduplicated elements
and notice sentences that differ in the number of reduplicated elements could account for the results in experiments 1 and 2, but it could not account for infants' performance in experiment 3."</t>
  </si>
  <si>
    <t>https://osf.io/gf7vh</t>
  </si>
  <si>
    <t>Abel, E. L., &amp; Kruger, M. L. (2010). Smile intensity in photographs predicts longevity. Psychological Science, 21, 542-544. doi: 10.1177/0956797610363775</t>
  </si>
  <si>
    <t>1952 sample</t>
  </si>
  <si>
    <t>Smile longecity effects</t>
  </si>
  <si>
    <t>Emotion, affect, longevity, life outcomes, open data, open materials, preregistered</t>
  </si>
  <si>
    <t>Effect of Duchenne intensity smilers compared to nonsmilers on longevity.</t>
  </si>
  <si>
    <t>"Adding smile ratings led to a significant improvement in predicting mortality, X2(2, N = 62) = 8.2, p &lt; .017. Players with Duchenne smiles were half as likely to die in any year compared with nonsmilers, HR = 0.50, p = .006)"</t>
  </si>
  <si>
    <t>hazard ratio</t>
  </si>
  <si>
    <t>soscisubmission12a_b</t>
  </si>
  <si>
    <t>nonoverlapping</t>
  </si>
  <si>
    <t>soscisubmission72_1</t>
  </si>
  <si>
    <t>soscisubmission72</t>
  </si>
  <si>
    <t>Wansink, B., Painter, J. E., &amp; North, J. (2005). Bottomless bowls: why visual cues of portion size may influence intake. Obesity research, 13(1), 93-100. https://doi.org/10.1038/oby.2005.12</t>
  </si>
  <si>
    <t>10.1038/oby.2005.12</t>
  </si>
  <si>
    <t>10.1038--oby.2005.12.pdf</t>
  </si>
  <si>
    <t>Lopez, A., Choi, A. K., Dellawar, N. C., Cullen, B. C., Avila Contreras, S., Rosenfeld, D. L., &amp; Tomiyama, A. J. (2023). Visual cues and food intake: A preregistered replication of Wansink et al.(2005). Journal of Experimental Psychology: General. Advance online publication. https://doi.org/10.1037/xge0001503</t>
  </si>
  <si>
    <t>10.1037/xge0001503</t>
  </si>
  <si>
    <t>10.1037--xge0001503.pdf</t>
  </si>
  <si>
    <t>Health Psychology</t>
  </si>
  <si>
    <t>Bottomless Bowls' effect</t>
  </si>
  <si>
    <t>Portion size, consumption norms, food in take, consumption volume, external cues</t>
  </si>
  <si>
    <t>To examine whether altering a visual cue of how much is eaten would influence intake and whether this would be reflected in consumption estimates and satiation.</t>
  </si>
  <si>
    <t>"People who were in the self-refilling condition ate more soup [14.7 vs. 8.5 ounces; F(1,52)  8.99; p  0.01] than those eating from normal soup bowls (Table 1). This difference represented an increase of 73% in amount of soup consumed and an increase of 113 calories (267.9 vs. 154.9 calories)."</t>
  </si>
  <si>
    <t>https://osf.io/ux42g</t>
  </si>
  <si>
    <t>No-pvalue reported</t>
  </si>
  <si>
    <t>- I added the replication label
- I added NA to the p-value of the replication</t>
  </si>
  <si>
    <t>Mediation effect</t>
  </si>
  <si>
    <t>Advertising, mental simulation, persuasion, process and outcome imagery</t>
  </si>
  <si>
    <t>Test whether the relationship between ad type and ad credibility was mediated by informativeness entered as a simultaneous mediator.</t>
  </si>
  <si>
    <t>Test whether the relationship between ad type and ad credibility was mediated by process simulation</t>
  </si>
  <si>
    <t>which study in replication is supposed to replicate the egodepletion effect?</t>
  </si>
  <si>
    <t xml:space="preserve">Firstly, the original paper and the replication study do not discuss the ego depletion effect, which is discussed in the task above. Secondly, the original paper by Gailliot M. T. et al. (2007) examines the reliance of self-control on the energy source glucose, while the replication study by Cesario J. et al. (2013) discusses a self-regulatory framework for message framing. I think these two studies have been wrongly paired. </t>
  </si>
  <si>
    <t>CORE_9_1</t>
  </si>
  <si>
    <t>CORE_9</t>
  </si>
  <si>
    <t>- I added the study numbers and replication labels 
- I corrected n_o</t>
  </si>
  <si>
    <t>Heyman, J., &amp; Ariely, D. (2004). Effort for payment: A tale of two markets. Psychological science, 15(11), 787-793.</t>
  </si>
  <si>
    <t>10.1111/j.0956-7976.2004.00757.x</t>
  </si>
  <si>
    <t>10.1111--j.0956-7976.2004.00757.x.pdf</t>
  </si>
  <si>
    <t>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 https://doi.org/10.1525/collabra.32572</t>
  </si>
  <si>
    <t>10.1525/collabra.32572</t>
  </si>
  <si>
    <t>10.1525--collabra.32572.pdf</t>
  </si>
  <si>
    <t>more-is-better effect</t>
  </si>
  <si>
    <t>1a - the expected willingness to help in the cash condition (money market) increased when the payment level increased from low to medium, F(1, 607) = 5.03, p &lt; .001, a pattern that is similar to reciprocation.</t>
  </si>
  <si>
    <t>F(1, 607) = 5.03</t>
  </si>
  <si>
    <t>p.5, Table 4</t>
  </si>
  <si>
    <t>https://osf.io/97eqm</t>
  </si>
  <si>
    <t>CORE_9_b</t>
  </si>
  <si>
    <t>1b As predicted in Hypothesis 1b, the expected willingness to help in the candy condition (social market) was insensitive to the increase in payment level from low to medium, F(1, 607) = 0.25, p = .81, n.s., a pattern that is similar to altruism.</t>
  </si>
  <si>
    <t>F(1, 607) = 0.25</t>
  </si>
  <si>
    <t>CORE_9_c</t>
  </si>
  <si>
    <t>As predicted in Hypothesis 1c, the expected willingness to help in the low- payment level of the cash condition (money market) was below that in the no-payment control condition, F(1, 607) = 4.65, p &lt; .001;</t>
  </si>
  <si>
    <t>F(1, 607) = 4.65</t>
  </si>
  <si>
    <t>CORE_9_d</t>
  </si>
  <si>
    <t>1d</t>
  </si>
  <si>
    <t>Finally, as predicted in Hypothesis 2, the monetized-candy condition resembled the cash condition, F(1, 607) 5 1.27, n.s., but not the candy condi-tion, F(1, 607) 5 3.36, p &lt; .01, showing an increase in expected willingness to help when payment level increased from low to medium, F(1, 607) = 3.48, p &lt; .001, a...</t>
  </si>
  <si>
    <t>F(1, 607) = 3.48</t>
  </si>
  <si>
    <t>CORE_9_e</t>
  </si>
  <si>
    <t>1a - the expected willingness to help in the cash condition (money market) increased when the payment level increased from low to medium, F(1, 607) 5 5.03, p &lt; .001, a pattern that is similar to reciprocation.</t>
  </si>
  <si>
    <t>https://osf.io/adwmg</t>
  </si>
  <si>
    <t>CORE_9_f</t>
  </si>
  <si>
    <t>CORE_9_g</t>
  </si>
  <si>
    <t>CORE_9_h</t>
  </si>
  <si>
    <t>CORE_17_1</t>
  </si>
  <si>
    <t>CORE_17</t>
  </si>
  <si>
    <t>- I added the study numbers and replication labels 
- I corrected n_r</t>
  </si>
  <si>
    <t>Johnson, E. J., &amp; Goldstein, D. (2003). Do defaults save lives?. Science, 302(5649), 1338-1339.</t>
  </si>
  <si>
    <t>10.1126/science.1091721</t>
  </si>
  <si>
    <t>10.1126--science.1091721.pdf</t>
  </si>
  <si>
    <t>Chandrashekar, S. P., Adelina, N., Zeng, S., Chiu, Y. Y. E., Leung, Y., Henne, P., ... &amp; Feldman, G. (2022). Defaults versus framing: Revisiting Default Effect and Framing Effect with replications and extensions of Johnson and Goldstein (2003) and Johnson, Bellman, and Lohse (2002). https://osf.io/pqt82</t>
  </si>
  <si>
    <t>10.15/626/mp.2022.3108</t>
  </si>
  <si>
    <t>https://osf.io/pqt82</t>
  </si>
  <si>
    <t>10.15--626--mp.2022.3108.pdf</t>
  </si>
  <si>
    <t>default effect (no default, opt-in)</t>
  </si>
  <si>
    <t>participants in the Opt-Out condition consented to organ donation at a higher rate</t>
  </si>
  <si>
    <t>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</si>
  <si>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pp. 1-2</t>
  </si>
  <si>
    <t>p.7 (73.5%) Also, participants in the No-Default condition consented to organ donation at a higher rate (69.7%) than participants in the Opt-In condition (62.5%) (X21) = 5.31, p =.021, OR = 1.38, 95% CI [1.06, 1.80])</t>
  </si>
  <si>
    <t>https://osf.io/8qrbv</t>
  </si>
  <si>
    <t>CORE_19_1</t>
  </si>
  <si>
    <t>CORE_19</t>
  </si>
  <si>
    <t>evaluation only given for aggregated results
Corinna:
- I added the study number
- I added the replication label
- I corrected n_original and n_r
- I changed the target effect and text claim
- I corrected es_repr_o</t>
  </si>
  <si>
    <t>Johnson, E. J., Bellman, S., &amp; Lohse, G. L. (2002). Defaults, framing and privacy: Why opting in-opting out. Marketing letters, 13, 5-15.</t>
  </si>
  <si>
    <t>10.1023/A:1015044207315</t>
  </si>
  <si>
    <t>10.1023--a:1015044207315.pdf</t>
  </si>
  <si>
    <t>participants in the opt-in condition vs opt-out condition rather consent to receive health-related information</t>
  </si>
  <si>
    <t>"Both main effects: Frame [...] and Default. However, the effect of Default was due to the difference between the Participate and Not Participate groups (t=4.59, p &lt; .001), and the No Default group was not significantly different than the Participate group (p &gt; .10)."</t>
  </si>
  <si>
    <t>t=4.59</t>
  </si>
  <si>
    <t>p.7 nthe Opt-Out condition (60.5%) Opt-In condition (61.1%) (b = -.29, p = .095, OR = 0.75, 95% CIn[0.53, 1.05]); t</t>
  </si>
  <si>
    <t>CORE_27_1</t>
  </si>
  <si>
    <t>CORE_27</t>
  </si>
  <si>
    <t>- I corrected the p-value of the original study
- I added the replication label
- I added the study number of the replication</t>
  </si>
  <si>
    <t>Gilovich, T., Medvec, V. H. (1994). The temporal pattern to the experience of regret. Journal of Personality and Social Psychology, 67(3), 357–365. https://doi.org/10.1037/0022-3514.67.3.357</t>
  </si>
  <si>
    <t>10.1037/0022-3514.67.3.357</t>
  </si>
  <si>
    <t>10.1037--0022-3514.67.3.357.pdf</t>
  </si>
  <si>
    <t>Yeung, S. &amp; ^Feldman, G. (2022). Revisiting the Temporal Pattern of Regret: Replication of Gilovich and Medvec (1994) with extensions examining responsibility. Collabra:Psychology, 8 (1): 37122. DOI: 10.1525/collabra.37122</t>
  </si>
  <si>
    <t>10.1525/collabra.37122</t>
  </si>
  <si>
    <t>10.1525--collabra.37122.pdf</t>
  </si>
  <si>
    <t>inaction effect, general regret</t>
  </si>
  <si>
    <t>Participants are more likely to report having experienced regret for life's inactions compared to life's actions.</t>
  </si>
  <si>
    <t>The question was counterbalanced in terms of which type of regret, that of action or inaction, was listed first. Overall, 45 of the 60 respondents (75%) indicated that they experienced more regret over those things they did not do but wished they had done (binomial z = 3.75, p &lt; .001).</t>
  </si>
  <si>
    <t>binomial z = 3.75</t>
  </si>
  <si>
    <t>z = -5.79</t>
  </si>
  <si>
    <t>p.7 z = -5.79, X2 (1, N = 535) = 34.07, p &lt; .001, V =0.25, 95% CI [0.17, 0.34],</t>
  </si>
  <si>
    <t>https://osf.io/qrbs8</t>
  </si>
  <si>
    <t>CORE_27_b</t>
  </si>
  <si>
    <t xml:space="preserve">- I added the study number of the original study
- I added the replication label
- I corrected all values </t>
  </si>
  <si>
    <t>1987), a vast majority of the subjects (76%) thought that Jim, the person who regrets doing something, would experience more regret initially (Binomial z = 4.59, p &lt; .0001). Commission generates more regret, at least in the short-term.</t>
  </si>
  <si>
    <t>Binomial z = 4.59</t>
  </si>
  <si>
    <t>z = 4.95</t>
  </si>
  <si>
    <t>CORE_27_c</t>
  </si>
  <si>
    <t>- I corrected the n_r 
- I added the study numbers
- I added the replication label</t>
  </si>
  <si>
    <t>A sizable majority (64%) thought that Dave, who regretted not doing something, would experi- ence more regret down the road (Binomial z = 2.35, p &lt; .02).</t>
  </si>
  <si>
    <t>binomial z = 2.35</t>
  </si>
  <si>
    <t>z = -1.59</t>
  </si>
  <si>
    <t>p.8 z = -1.59, X2 (1, N = 248) = 2.73, p = .099, V = 0.10, 95% CI [0.01, 0.23]</t>
  </si>
  <si>
    <t>CORE_27_d</t>
  </si>
  <si>
    <t>- I added the study number of the original study
- I added the replication label
- I corrected the replication effect, n_r and the related p-value</t>
  </si>
  <si>
    <t>Looking back over their lives to that point, however, a substantial majority of the subjects (84%) reported greater regret for what they failed to do. This difference in the pattern of responses across the two time periods was statistically significant (z = 2.94, p &lt; .01).5 Thus, people's regrettable actions are more troublesome in the shorterm than in the long run; but for their inactions, the opposite pattern holds true.</t>
  </si>
  <si>
    <t>z = 2.94,</t>
  </si>
  <si>
    <t>binomial z =0</t>
  </si>
  <si>
    <t>CORE_37_1</t>
  </si>
  <si>
    <t>CORE_37</t>
  </si>
  <si>
    <t>Alicke, M. D. (1985). Global self-evaluation as determined by the desirability and controllability of trait adjectives. Journal of personality and social psychology, 49(6), 1621.</t>
  </si>
  <si>
    <t>10.1037/0022-3514.49.6.1621</t>
  </si>
  <si>
    <t>10.1037--0022-3514.49.6.1621.pdf</t>
  </si>
  <si>
    <t>Ziano, I., Mok, P. Y. (Cora), &amp; Feldman, G. (2021). Replication and Extension of Alicke (1985) Better-Than-Average Effect for Desirable and Controllable Traits. Social Psychological and Personality Science, 12(6), 1005–1017. https://doi.org/10.1177/1948550620948973</t>
  </si>
  <si>
    <t>10.1177/1948550620948973</t>
  </si>
  <si>
    <t>10.1177--1948550620948973.pdf</t>
  </si>
  <si>
    <t>better-than-average effect</t>
  </si>
  <si>
    <t>people tended to regard more positive traits as more descriptive of themselves than of the average other</t>
  </si>
  <si>
    <t>A significant main effect was obtained for desirability, F(3, 261) = 306.80, p &lt; .0001, which indicated that the tendency to endorse trait adjectives as characteristic of either the self or the average college student increased as the traits increased in desirability.</t>
  </si>
  <si>
    <t>F(3, 261) = 306.80</t>
  </si>
  <si>
    <t>sr2 = .54</t>
  </si>
  <si>
    <t>p.5 (sr2 = .54, 95% CI [.43, .65]).</t>
  </si>
  <si>
    <t>https://osf.io/jfhkd</t>
  </si>
  <si>
    <t>CORE_37_b</t>
  </si>
  <si>
    <t xml:space="preserve">A second significant main effect was obtained for controllability, f\l, 87) = 5.93, p &lt; .02; in general, high controllable traits were seen as more characteristic of the self or the average college student than low controllable traits.
</t>
  </si>
  <si>
    <t>F(1,87) = 5.93</t>
  </si>
  <si>
    <t>sr2 = .01,</t>
  </si>
  <si>
    <t>p.5 (sr2 = .01, 95% CI [.01, .03]).</t>
  </si>
  <si>
    <t>CORE_37_c</t>
  </si>
  <si>
    <t>- I corrected the n_r 
- I added the study numbers
- I corrected the N of the original
- I changed the pval_type_r to NA</t>
  </si>
  <si>
    <t>Significant interactions were obtained be- tween desirability and controllability, .F(3,261) = 22.72, p &lt; .0001,</t>
  </si>
  <si>
    <t>F(3,261) = 22.72,</t>
  </si>
  <si>
    <t>sr2 =  .07,</t>
  </si>
  <si>
    <t>p.5 (sr2 =  .07, 95% CI [.02, .12]).</t>
  </si>
  <si>
    <t>Pios</t>
  </si>
  <si>
    <t>datareplicada5a_1</t>
  </si>
  <si>
    <t>datareplicada5a</t>
  </si>
  <si>
    <t>Kaiser, Leonard, Pius</t>
  </si>
  <si>
    <t>The effect size (d=0.10)  for replication is from an online article that does not have a page number</t>
  </si>
  <si>
    <t>Huang, F., Wong, C.V., &amp; Wan, E.W. (2016). The Influence of Product Anthropomorphism on Comparative Judgment. Journal of Consumer Research. Study 2</t>
  </si>
  <si>
    <t>10.1093/jcr/ucz028</t>
  </si>
  <si>
    <t>10.1093--jcr--ucz028.pdf</t>
  </si>
  <si>
    <t>Simmons, J. &amp;. Nelson, L.D. (2020). [87] Data Replicada #5: Do Human-Like Products Inspire More Holistic Judgments?
Data Colada. https://datacolada.org/87  Replication 1</t>
  </si>
  <si>
    <t>https://datacolada.org/87</t>
  </si>
  <si>
    <t>The Influence of Product Anthropomorphism on Comparative Judgment</t>
  </si>
  <si>
    <t xml:space="preserve">anthropomorphism, comparative judgment, absolute strategy, dimension-by- dimension strategy </t>
  </si>
  <si>
    <t>The effect of product anthropomorphism on preferences between
two alternatives based on comparative judgment strategies</t>
  </si>
  <si>
    <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t>
  </si>
  <si>
    <r>
      <rPr>
        <rFont val="Calibri"/>
        <sz val="11.0"/>
      </rPr>
      <t xml:space="preserve"> </t>
    </r>
    <r>
      <rPr>
        <rFont val="Calibri"/>
        <color rgb="FF1155CC"/>
        <sz val="11.0"/>
        <u/>
      </rPr>
      <t>https://aspredicted.org/d92dd.pdf</t>
    </r>
  </si>
  <si>
    <t>soscisubmission91_1</t>
  </si>
  <si>
    <t>soscisubmission91</t>
  </si>
  <si>
    <t>Kulke, Louisa, Pius</t>
  </si>
  <si>
    <t>Total sample size is 20 for 10 for FB1 and other 10 FB2</t>
  </si>
  <si>
    <t>OK, but single row</t>
  </si>
  <si>
    <t>Southgate V, Senju A, Csibra G. Action anticipation through attribution of false belief by 2-year-olds. Psychol Sci. 2007 Jul;18(7):587-92. doi: 10.1111/j.1467-9280.2007.01944.x. PMID: 17614866.</t>
  </si>
  <si>
    <t>Kulke, L., Reiß, M., Krist, H., &amp; Rakoczy, H. (2018). How robust are anticipatory looking measures of Theory of Mind? Replication attempts across the life span. Cognitive Development, 46, 97-111.</t>
  </si>
  <si>
    <t>10.1016/j.cogdev.2017.09.001</t>
  </si>
  <si>
    <t>10.1016--j.cogdev.2017.09.001                        .pdf</t>
  </si>
  <si>
    <t>Anticipatory Looking Based on False Belief</t>
  </si>
  <si>
    <t>Implicit theory of mind Children Life span Validity</t>
  </si>
  <si>
    <t>The ability of 25-month-old infants to correctly anticipate the actor's actions based on their false belief about the ball's location.</t>
  </si>
  <si>
    <t>"Seventeen of the 20 infants gazed toward the correct window following illumination (p = .003, prep = .982, two-choice binomial test, two-tailed)"</t>
  </si>
  <si>
    <t>-</t>
  </si>
  <si>
    <t>soscisubmission91_b</t>
  </si>
  <si>
    <t>Total sample size is 20 for 10 for FB1 and other 10 FB2, for Reblication, the sample sizes were calculated based on df</t>
  </si>
  <si>
    <t>Gaze Duration on Correct Window</t>
  </si>
  <si>
    <t>Measures the duration infants looked at the correct window, indicating their understanding of the actor's false belief</t>
  </si>
  <si>
    <t>" The infants spent almost twice as long focusing on the correct window as on the incorrect window (Ms = 956 ms and 496 ms, respectively). A repeated measures analysis of variance confirmed this, F(1, 18) = 5.21, p = .035, prep = .901, ηp² = .22"</t>
  </si>
  <si>
    <t>soscisubmission91_c</t>
  </si>
  <si>
    <t>Consistency Across Conditions</t>
  </si>
  <si>
    <t>Difference between the two experimental conditions (FB1 and FB2) in terms of anticipatory looking.</t>
  </si>
  <si>
    <t>"There was no difference in performance between the two false-belief conditions, with 9 of 10 infants gazing correctly to the right-hand window in the FB1 condition and 8 of 10 infants gazing correctly to the left-hand window in the FB2 condition (p = .5, one-tailed Fisher’s exact test)."</t>
  </si>
  <si>
    <t>−0.108.</t>
  </si>
  <si>
    <t>datareplicada6_1</t>
  </si>
  <si>
    <t>datareplicada6</t>
  </si>
  <si>
    <t>Sample size was calculate based on df  and N was 149 for original. The sample of each group for replaction was calculated  based on the total sample size of 773</t>
  </si>
  <si>
    <t>Park, H., Lalwani, A.K., &amp; Silvera, D.H. (2020). The Impact of Resource Scarcity on Price-Quality Judgments. Journal of Consumer Research. Study 2a</t>
  </si>
  <si>
    <t>10.1093/jcr/ucz031</t>
  </si>
  <si>
    <t>10.1093--jcr--ucz031.pdf</t>
  </si>
  <si>
    <t>Simmons, J. &amp;. Nelson, L.D. (2020). [89] Data Replicada #6: The Problem of (Weird) Differential Attrition. Data Colada.  https://datacolada.org/89</t>
  </si>
  <si>
    <t>https://datacolada.org/89</t>
  </si>
  <si>
    <t xml:space="preserve">Online replcation </t>
  </si>
  <si>
    <t>Increased desire for abundance under scarcity</t>
  </si>
  <si>
    <t>scarcity, resource, price-quality judgments, price-quality perception, categorization, desire for abundance</t>
  </si>
  <si>
    <t>tested the effects of scarcity on two other measures (desire for abundance).</t>
  </si>
  <si>
    <t>"The desire for abundance index was higher in the scarcity condition (M = 4.52, SD = 1.65) than in the control condition (M = 3.74, SD = 1.78; F(1, 147) = 7.78, p = .006, partialη2= .050)."</t>
  </si>
  <si>
    <t>p.18</t>
  </si>
  <si>
    <t>https://aspredicted.org/md5q8.pdf</t>
  </si>
  <si>
    <t>Pavlović, Zoran,Pius</t>
  </si>
  <si>
    <t>Sample size was calculated based on the df where N=564</t>
  </si>
  <si>
    <t>Actual Consumption Volume</t>
  </si>
  <si>
    <t>portion size, consumption norms, food in-take, consumption volume, external cues</t>
  </si>
  <si>
    <t>The impact of biased visual cues on the actual amount of food consumed.</t>
  </si>
  <si>
    <t>" The general categorization tendency score was lower in the scarcity condition (M = 4.23, SD = 1.69) than in the control condition (M = 5.15, SD = 1.42; F(1,147) = 13.21, p &lt;.001, partial η2= .082)."</t>
  </si>
  <si>
    <t>https://pubmed.ncbi.nlm.nih.gov/37917442/</t>
  </si>
  <si>
    <t>soscisubmission72_b</t>
  </si>
  <si>
    <t>Estimated Consumption Volume</t>
  </si>
  <si>
    <t>The discrepancy between actual and estimated consumption among participants using self-refilling bowls.</t>
  </si>
  <si>
    <t>"Despite consuming 73% more, those participants eating from the self-refilling bowl did not believe themselves to have consumed any more soup than those in the control condition (127.4 vs. 122.6 estimated calories; F(1,52) = 0.03, p = 0.86)."</t>
  </si>
  <si>
    <t>soscisubmission72_c</t>
  </si>
  <si>
    <t>Consumption Monitoring</t>
  </si>
  <si>
    <t>The extent to which participants believed they monitored their consumption.</t>
  </si>
  <si>
    <t>"There was no significant difference in reported consumption monitoring between the self-refilling and normal bowl conditions (e.g., 'I carefully monitored how much soup I ate'; F(1,52) = 0.00, p = 0.98)."</t>
  </si>
  <si>
    <t>soscisubmission72_d</t>
  </si>
  <si>
    <t>Presence of Others</t>
  </si>
  <si>
    <t>The influence of social presence on consumption behavior.</t>
  </si>
  <si>
    <t>"Those with the refillable bowl were no more likely to agree with the statement, 'If other people keep eating, I am more likely to also' than those in the control condition (5.5 vs. 5.4; F(1,52) = 0.03, p = 0.86)"</t>
  </si>
  <si>
    <t>soscisubmission72_e</t>
  </si>
  <si>
    <t>Self-Perceptions of Satiety</t>
  </si>
  <si>
    <t>The relationship between actual consumption and perceived fullness.</t>
  </si>
  <si>
    <t>"Participants in the self-refilling condition did not perceive themselves as feeling any more sated than those who had eaten from a normal bowl, despite consuming 73% more (e.g., 'How full are you right now?' 5.1 vs. 5.7; F(1,52) = 1.03, p = 0.31)."</t>
  </si>
  <si>
    <t>soscisubmission78_1</t>
  </si>
  <si>
    <t>soscisubmission78</t>
  </si>
  <si>
    <t>Verheyen, Steven,Pius</t>
  </si>
  <si>
    <t>Sample size was computed on df where N=393</t>
  </si>
  <si>
    <t>Nicholls, M. E. R., Churches, O. &amp; Loetscher, T. (2018). Perception of an ambiguous figure is affected by own-age social biases. Scientific Reports, 8, 12661. https://doi.org/10.1038/s41598-018-31129-7</t>
  </si>
  <si>
    <t>10.1038/s41598-018-31129-7</t>
  </si>
  <si>
    <t>10.1038--s41598-018-31129-7.pdf</t>
  </si>
  <si>
    <t>Brouwer, A., Jin, X., Waldi, A. H., &amp; Verheyen, S. (2021). Age biases the judgment rather than the perception of an ambiguous figure. Scientific Reports, 11, 8627. https://doi.org/10.1038/s41598-021-88139-1</t>
  </si>
  <si>
    <t>10.1038/s41598-021-88139-1</t>
  </si>
  <si>
    <t>10.1038--s41598-021-88139-1.pdf</t>
  </si>
  <si>
    <t>Age Group Differences in Perception</t>
  </si>
  <si>
    <t>The difference in perceived age based on the observer’s age, comparing younger and older participants.</t>
  </si>
  <si>
    <t>"A t-test for independent samples revealed that the difference between the groups was highly significant [t(391)=3.82, p&lt;0.001, Cohen’s d=0.386]."</t>
  </si>
  <si>
    <t>https://osf.io/y3bqa/</t>
  </si>
  <si>
    <t>soscisubmission78_b</t>
  </si>
  <si>
    <t>Verheyen, Steven, Pius</t>
  </si>
  <si>
    <t>Youngest and Oldest Participants</t>
  </si>
  <si>
    <t>A more extreme comparison of the very-youngest and very-oldest participants in the sample.</t>
  </si>
  <si>
    <t>"The estimated age for the very-young group (18-22 years) was 33.85 years (SD = 14.16), whereas the estimated age for the very-old group (49-68 years) was 45.91 years (SD = 21.63). This difference was statistically significant [t(83) = 3.00, p = 0.007, Cohen’s d = 0.659]."</t>
  </si>
  <si>
    <t>soscisubmission78_c</t>
  </si>
  <si>
    <t>Correlation Between Observer Age and Perceived Age</t>
  </si>
  <si>
    <t>The relationship between the observer’s age and their perception of the ambiguous figure's age.</t>
  </si>
  <si>
    <t>"The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</si>
  <si>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gea2s_1</t>
  </si>
  <si>
    <t>gea2s</t>
  </si>
  <si>
    <t>Patric Justin Leukel, Alexander Jordan, Marcie Sharp, Jeremiah Ki Fat, Jeremy Chaves, Bryan Koenig, Pius</t>
  </si>
  <si>
    <t>Leukel, P. J., Jordan, A., Sharp, M., Fat, J. K., Chaves, J., &amp; Koenig, B. (2018, May 2). Influence of Cleanliness on Moral Judgements: A Direct Replication of Schnall, Benton, and Harvey  (2008). https://doi.org/10.17605/OSF.IO/GEA2S</t>
  </si>
  <si>
    <t>10.17605/OSF.IO/GEA2S</t>
  </si>
  <si>
    <t>https://osf.io/gea2s</t>
  </si>
  <si>
    <t>10.17605--osf.io--gea2s.pdf</t>
  </si>
  <si>
    <t>Overall Moral Judgments</t>
  </si>
  <si>
    <t xml:space="preserve"> embodiment, cleanliness, morality, effect size</t>
  </si>
  <si>
    <t>The impact of cleanliness priming on the overall severity of moral judgments.</t>
  </si>
  <si>
    <t>"The mean composite of all six moral vignettes was computed. To test whether priming the participants with cleanliness reduced the severity of moral judgments, we conducted a one-way ANOVA on the composites with priming (cleanliness vs. neutral) as a factor. As predicted, participants gave lower ratings after the cleanliness priming (M = 4.98, SD = 1.26) than they did after the neutral priming (M = 5.81, SD = 1.47), F(1, 38) = 3.63, prep = .90, ηp² = .09"</t>
  </si>
  <si>
    <t>gea2s_b</t>
  </si>
  <si>
    <t>Cleanliness Reduces the Severity of Moral Judgments</t>
  </si>
  <si>
    <t>The effect of cleanliness priming on individual moral vignettes.</t>
  </si>
  <si>
    <t xml:space="preserve"> "When analyzed individually, all six moral vignettes showed the same pattern, with a significant difference between conditions for the 'Kitten' vignette, F(1, 38) = 5.71, prep = .95, ηp² = .13"</t>
  </si>
  <si>
    <t>soscisubmission71_1</t>
  </si>
  <si>
    <t>soscisubmission71</t>
  </si>
  <si>
    <t>Al-Hoorie, Ali H., Pius</t>
  </si>
  <si>
    <t>Wu, S.-L., &amp; Ortega, L. (2013). Measuring global oral proficiency in SLA research: A new elicited imitation test of L2 Chinese. Foreign Language Annals, 46(4), 680-704. https://doi.org/10.1111/flan.12063</t>
  </si>
  <si>
    <t>10.1111/flan.12063</t>
  </si>
  <si>
    <t>10.1111--flan.12063.pdf</t>
  </si>
  <si>
    <t>McManus, K., &amp; Liu, Y. (2022). Using elicited imitation to measure global oral proficiency in SLA research: A close replication study. Language Teaching, 55(1), 116-135.</t>
  </si>
  <si>
    <t>10.1017/S026144482000021X</t>
  </si>
  <si>
    <t>10.1017--s026144482000021x.pdf</t>
  </si>
  <si>
    <t>High vs. Low Ability Groups</t>
  </si>
  <si>
    <t>CAF measures, elicited imitation, heritage language learners, L2 Chinese, proficiency testing</t>
  </si>
  <si>
    <t>The effectiveness of the Chinese EIT in distinguishing between high and low proficiency groups.</t>
  </si>
  <si>
    <t>"The learners enrolled in the upper-division courses achieved significantly higher EIT scores (M = 66.5, SD = 23.17) than did the learners enrolled in the lower-division courses (M = 45.55, SD = 20.52), t(78) = 4.28, p = 0.000, Cohen’s d = 0.96."</t>
  </si>
  <si>
    <t>soscisubmission7_b</t>
  </si>
  <si>
    <t>HLL vs. FLL Performance</t>
  </si>
  <si>
    <t>The impact of learner background (heritage language learners vs. foreign language learners) on EIT scores.</t>
  </si>
  <si>
    <t>"HLLs performed significantly better on the EIT than FLLs, consistently within and across both curricular levels, with a significant main effect for background (F(1,76) = 6.84, p = 0.011, partial η² = 0.204)"</t>
  </si>
  <si>
    <t>soscisubmission71_c</t>
  </si>
  <si>
    <t xml:space="preserve"> Item Characteristics and EIT Scores</t>
  </si>
  <si>
    <t>The influence of item characteristics like syllable length and syntactic complexity on EIT performance.</t>
  </si>
  <si>
    <t>"It was observed that there was a significant negative correlation between the mean score for a given item and its length in syllables, r = -0.86, p = 0.000, explaining 74% of the variance (r² = 0.74)."</t>
  </si>
  <si>
    <t>soscisubmission90a_1</t>
  </si>
  <si>
    <t>soscisubmission90a</t>
  </si>
  <si>
    <t>Kulke, L., &amp; Rakoczy, H. (2019). Testing the role of verbal narration in implicit theory of mind tasks. Journal of Cognition and Development, 20(1), 1-14.</t>
  </si>
  <si>
    <t>10.1080/15248372.2018.1544140</t>
  </si>
  <si>
    <t>10.1080--15248372.2018.1544140.pdf</t>
  </si>
  <si>
    <t>Group Differences in EIT Scores</t>
  </si>
  <si>
    <t>The effectiveness of the Chinese EIT in distinguishing between learners with different proficiency levels.</t>
  </si>
  <si>
    <t xml:space="preserve"> "The learners enrolled in the upper-division courses achieved significantly higher EIT scores (M = 66.5, SD = 23.17) than did the learners enrolled in the lower-division courses (M = 45.55, SD = 20.52), t(78) = 4.28, p &lt; 0.001, Cohen’s d = 0.96"</t>
  </si>
  <si>
    <t>https://osf.io/fb8fj</t>
  </si>
  <si>
    <t>soscisubmission90a_b</t>
  </si>
  <si>
    <t>Kulke, Louisa,Pius</t>
  </si>
  <si>
    <t>Correlation with Oral Narrative Task</t>
  </si>
  <si>
    <t>The relationship between EIT scores and performance on the oral narrative task</t>
  </si>
  <si>
    <t xml:space="preserve">"The third research question investigated the relationship between learners’ performance on the EIT and the oral narrative task, finding a moderate positive correlation, r = 0.62, p &lt; 0.001" </t>
  </si>
  <si>
    <t>Anticipatory Gaze in Infants</t>
  </si>
  <si>
    <t>Implicit theory of mind Replication Children Life span Validity</t>
  </si>
  <si>
    <t>The ability of infants to anticipate actions based on false belief attribution.</t>
  </si>
  <si>
    <t>"ISeventeen of the 20 infants gazed toward the correct window following illumination (p = .003, prep = .982, two-choice binomial test, two-tailed)"</t>
  </si>
  <si>
    <t xml:space="preserve"> Gaze Duration on Correct Window</t>
  </si>
  <si>
    <t>The duration infants focused on the correct window, indicating understanding of the actor's false belief.</t>
  </si>
  <si>
    <t>"The infants spent almost twice as long focusing on the correct window as on the incorrect window (Ms = 956 ms and 496 ms, respectively). A repeated measures analysis of variance confirmed this, F(1, 18) = 5.21, p = .035, prep = .901, ηp² = .22"</t>
  </si>
  <si>
    <t>The lack of significant difference between the two experimental conditions (FB1 and FB2) in terms of anticipatory looking.</t>
  </si>
  <si>
    <t>"There was no difference in performance between the two false-belief conditions, with 9 of 10 infants gazing correctly to the right-hand window in the FB1 condition and 8 of 10 infants gazing correctly to the left-hand window in the FB2 condition (p = .5, one-tailed Fisher’s exact test)"</t>
  </si>
  <si>
    <t>Data (editable)_1_1</t>
  </si>
  <si>
    <t>Data (editable)_1</t>
  </si>
  <si>
    <t>Leon P. Hilbert, Pius</t>
  </si>
  <si>
    <t>17.10.2023</t>
  </si>
  <si>
    <t>Sample size was calculated based on df where N=48</t>
  </si>
  <si>
    <t>Among the effects reported in the original paper, only the effect on heart rate slowing (bradycardia) was tested in the replication study.</t>
  </si>
  <si>
    <t>Roelofs, K., Hagenaars, M. A., &amp; Stins, J. (2010). Facing freeze: Social threat induces bodily freeze in humans. Psychological Science, 21, 1575–1581. https://doi.org/10.1177/0956797610384746</t>
  </si>
  <si>
    <t>10.1177/0956797610384746</t>
  </si>
  <si>
    <t>10.1177--0956797610384746.pdf</t>
  </si>
  <si>
    <t>Noordewier, M. K., Scheepers, D. T., &amp; Hilbert, L. P. (2020). Freezing in response to social threat: a replication. Psychological Research, 84, 1890-1896. https://doi.org/10.1007/s00426-019-01203-4</t>
  </si>
  <si>
    <t>10.1007/s00426-019-01203-4</t>
  </si>
  <si>
    <t>10.1007--s00426-019-01203-4.pdf</t>
  </si>
  <si>
    <t>Main Effect of Emotion</t>
  </si>
  <si>
    <t>Emotional facial expressions, human freeze response, angryfaces, posturography, body sway, heart rate</t>
  </si>
  <si>
    <t>The overall impact of emotion on body sway during exposure to social threat.</t>
  </si>
  <si>
    <t>"An ANOVA for SD-AP yielded a significant effect of emotion, F(2, 45) = 5.20, p = .009, ηp2= .19. Separate LSD comparisons showed that SD-AP in the angry-faces block differed significantly from SD-AP in both the neutral-faces and the happy-faces blocks (p = .032 and p = .014, respectively)."</t>
  </si>
  <si>
    <t>Data (editable)_1_b</t>
  </si>
  <si>
    <t>Emotion × Anxiety Interaction</t>
  </si>
  <si>
    <t>The impact of social threat on heart rate and its interaction with anxiety.</t>
  </si>
  <si>
    <t>"To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</si>
  <si>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Data (editable)_1_c</t>
  </si>
  <si>
    <t>Heart Rate Modulation</t>
  </si>
  <si>
    <t>Test whether social threat elicits freeze like behavior in humans (Interaction)</t>
  </si>
  <si>
    <t xml:space="preserve">"An analysis including the happy-faces and angry-faces blocks only revealed that heart rate was significantly reduced during viewing of angry faces (M = 88.51 bpm, SE = 1.91) compared with viewing of happy faces (M = 93.0 bpm, SE = 1.95), F(1, 45) = 6.24, p = .016, ηp² = .12. </t>
  </si>
  <si>
    <t>In table 1 (p.4) of the replication article, the effect size (regression coefficient) for the relation between Religious beliefs and Agreeableness is reported as 0.28. However, this number does not correspond with the reported in table 6 (p.34) of the original research article. This table reports 0.25. I report this value. @ l.wallrich@bbk.ac.uk (Applies to all entries in the current sheet) Dear Coding Buddy, The original article reports effect sizes in terms of beta coefficients from regression. Is the first option "b" the right one to choose as effect size type? Also, I do not understand what the two effect sizes (and the metric) reported in the replication article are. The footnote is not clear to me. I would appreciate any assistance in this regard. Thanks in advance.</t>
  </si>
  <si>
    <t>- I added the study numbers
- I changed the text claim to clarify which specific effect is meant (previously, two effects were included)
- I corrected the effect size type (replication)
- I added the page number for the replicated effect
- Since the second values are the corrected ones, I chose those ones (replication)
- There is no reported p-value in the replication study. While there is a table in the online supplement that reports p-values, the reported effect sizes in that table do not align with the reported effects in the paper. Therefore, I would stay with the values of the paper —&gt; Therefore, the p-value should be coded as NA (Daniel did so too - this is only an explanation)
- I added the page number to the replication effect size
- I added the replication label</t>
  </si>
  <si>
    <t>https://drive.google.com/file/d/17mZvRs3ue7pXwqu8bmIDvgNdc95PGEcV/view</t>
  </si>
  <si>
    <t>Correlation between REL-Religiousness and agreeableness</t>
  </si>
  <si>
    <t>Religious beliefs and behavior are positively correlated with agreeableness.</t>
  </si>
  <si>
    <t>https://osf.io/d3xb7/registrations</t>
  </si>
  <si>
    <t xml:space="preserve">In table 1 (p.4) of the replication article, the effect size (regression coefficient) for the relation between Religious beliefs and Agreeableness is reported as 0.28. However, this number does not correspond with the reported in table 6 (p.34) of the original research article. This table reports 0.25. I report this value. </t>
  </si>
  <si>
    <t>Correlation between REL-Religiousness and  conscientiousness.</t>
  </si>
  <si>
    <t>Religious beliefs and behavior are positively correlated with conscientiousness.</t>
  </si>
  <si>
    <t xml:space="preserve">In table 1 (p.4) of the replication article, the effect size (regression coefficient) for the relation between Existential or phenomenological concerns and Open-Mindedness is reported as 0.35. However, this number does not correspond with the reported in table 6 (p.34) of the original research article. This table reports 0.00. I report this value. </t>
  </si>
  <si>
    <t>Correlation between existential or phenomenological concerns and Open-Mindedness</t>
  </si>
  <si>
    <t>The coefficient is reported in the original research article in table 6 (p.34)</t>
  </si>
  <si>
    <t>Correlation between extraversion and EWB-Existential Well-Being</t>
  </si>
  <si>
    <t>Correlation between extraversion and Neuroticism (Negative emotionality)</t>
  </si>
  <si>
    <t>The coefficient is reported in the original research article in table 4 (p.7) - Overall column. It cames to my attention that, in the text, the original research article reports a p-value for extraversion of 0.10 "inspiration was uniquely related to Openness to Experience, F(1, 146) = 30.64, p &lt; .001 (B = .42), and (marginally) to Extraversion, F(1, 146) = 3.09, p &lt; .10 (B =.15)". However, table 4 in the same page reports a p value &lt; 0.05 with the asterisc code. I report the one in the text.</t>
  </si>
  <si>
    <t>- I added the study numbers
- I changed the text claim to clarify which specific effect is meant (previously, two effects were included)
- I corrected the effect sizes type of the original study and the replication (It was a correlation) 
- I corrected the p-value of the original study
- I added the page number for the replicated effect
- Since the second values are the corrected ones, I chose those ones (replication) —&gt; In this study both effects were the same anyway
- There is no reported p-value in the replication study, but in this case the reported effect sizes align with the ones of the online supplement. Therefore, I coded this p-value.
- I added the replication label</t>
  </si>
  <si>
    <t>Correlation between inspiration and extraversion</t>
  </si>
  <si>
    <t>p. 7; F(1, 146) = 3.09</t>
  </si>
  <si>
    <t>The coefficient is reported in the original research article in table 4 (p.7) - Overall column.</t>
  </si>
  <si>
    <t>Correlation between inspiration and open-mindedness.</t>
  </si>
  <si>
    <t>p. 7; F(1, 146) = 30.64</t>
  </si>
  <si>
    <t>In the original research article, the authors state: "The dimensions most affected by sense of humor differences were extraversion and agreeableness." However, I do not see explicit statistical information that supports this statement. Table 3 on page 9 reports what seems to be coefficients for Agreeableness (32.5a 34.9b 39.4), but I do not see a clear association with humor.  For this reason, I refrain from reporting results for this study.</t>
  </si>
  <si>
    <t xml:space="preserve">There is indeed no statistical evidence for the proposed effects in the original study. Therefore, I would exclude this study. </t>
  </si>
  <si>
    <t>"The dimensions most affected by sense of humor differences were extraversion and agreeableness."</t>
  </si>
  <si>
    <t>.16/.16</t>
  </si>
  <si>
    <t>Table 1</t>
  </si>
  <si>
    <t>In the original research article, the authors state: "In addition, having a high sense of humor seems to imply less neuroticism [negative emotionality], although the absence of a sense of humor need not imply higher than typical levels of this characteristic." As stated in the line above,  I do not see explicit statistical information that supports this statement. Table 3 on page 9 reports what seems to be coefficients for Neuroticism [Negative Emotionality] (41.1a 42.5a 31.8b), but I do not see a clear association with humor.  For this reason, I refrain from reporting results for this study.</t>
  </si>
  <si>
    <t>"The dimensions most affected by sense of humor differences were extraversion and agreeableness.""In addition, having a high sense of humor seems to imply less neuroticism [negative emotionality], although the absence of a sense of humor need not imply higher than typical levels of this characteristic"</t>
  </si>
  <si>
    <t>-.13/-.13</t>
  </si>
  <si>
    <t>The replication article refers to the effects of coping on Extraversion and Negative Emotionality. However, in the original research article, there are three types of coping, and the factors seem to have different names. This means that neither the terms extraversion nor negative emotionality are used in the original research article. Likewise, I am not able to match the effect size reported in the replication article with any of the entries in the original one (0.16). For this reason, I refrain from reporting results for this factor.</t>
  </si>
  <si>
    <t xml:space="preserve">- I added the study numbers
- I added the effect 
- I added the text claim
- I corrected the original effect sizes and the corresponding p-value 
- I changed the effect size type of the replication study 
- I added the replication label       </t>
  </si>
  <si>
    <t>Correlation between active coping and extraversion (optimism)</t>
  </si>
  <si>
    <t>"Optimism, [...] redicted greater active coping with the demands of entering college (R2 = .22)."</t>
  </si>
  <si>
    <t xml:space="preserve">- I added the study numbers
- I added the effect 
-  I clarified the text claim
- I changed the effect size type of the replication study     
- I added the replication label   </t>
  </si>
  <si>
    <t xml:space="preserve">Correlation between active coping and negative mood (emotionality) </t>
  </si>
  <si>
    <t>"negative mood redicted greater active coping with the demands of entering college (R2 = .22)."</t>
  </si>
  <si>
    <t xml:space="preserve">The replication article refers to the effects of coping on Extraversion and Negative Emotionality. However, in the original research article, there are three types of coping, and the factors seem to have different names. This means that neither the terms extraversion nor negative emotionality are used in the original research article. I infered that Negative mood refers to negative emotionality. I could track a reported effect size of 0.16, as shown in the second column (Active coping) of table 2 (p. 7) in the original research article. Therefore, I report this value.  I looked at tble 8.5 in teh oriignal article and gound some sense of the directionality of the effects, but not the exact valus from the replication table. For completeness I placed the values from the replication table here but it is not matched to the original. </t>
  </si>
  <si>
    <t>- I added the study numbers
- I added the replication label
- I copied the effect description to the effect itself
- I added the page number of the original effect 
- The original study reported correlations between the Big Five and various dimensions of personality disorders. These more detailed correlations are also presented in the online supplement. However, the paper itself appears to report aggregated dimensions. These aggregated values are not reported in the paper. For this reason, the coders listed the values from the replication table. Accordingly, no claim is made. However, it remains unclear whether the values were statistically significant, so I set the p-values from the original study to NA.</t>
  </si>
  <si>
    <t>p. 15; Table 8.5</t>
  </si>
  <si>
    <t xml:space="preserve">The replication article reports effect size of 0.32 for the relation between gratitude and extraversion in the original research article. I was able to track these metrics in the original research article (Table 3 , p.9). I report accordingly. </t>
  </si>
  <si>
    <t xml:space="preserve">- I added the study numbers
- I added the replication label
- I changed the text claim to clarify which specific effect is meant 
 - Since the second effect sizes are the corrected ones, I chose those ones (replication)
- I changed the effect size type of the replication study 
-There is no reported p-value in the replication study, but in this case the reported effect sizes align with the ones of the online supplement. Therefore, I coded this p-value.      </t>
  </si>
  <si>
    <t>Correlation between gratitude and extraversion</t>
  </si>
  <si>
    <t xml:space="preserve">The replication article reports effect sizes of 0.41 for the relations between gratitude and agreeableness in the original research article. I was able to track these metrics in the original research article (Table 3 , p.9). I report accordingly. </t>
  </si>
  <si>
    <t>- I added the study numbers
- I added the replication label
- I changed the text claim to clarify which specific effect is meant 
 - Since the second effect sizes are the corrected ones, I chose those ones (replication)
- I changed the effect size type of the replication study        
- There is no reported p-value in the replication study, but in this case the reported effect sizes align with the ones of the online supplement. Therefore, I coded this p-value.</t>
  </si>
  <si>
    <t>Correlation between gratitude and agreeableness.</t>
  </si>
  <si>
    <t xml:space="preserve">The replication article reports an effect size of 0.58 for the relation between Forgiveness and Agreeableness in the original research article. I was able to track this result in table 2, column 4 (p. 935) of the original research article. I report accordingly. </t>
  </si>
  <si>
    <t xml:space="preserve">- I added the study numbers
- I added the replication label
- I changed the page numbers of the original study (not the üage numbers of the PDF were reported)
- Since the second effect sizes are the corrected ones, I chose those ones (replication)
- I changed the effect size type of the replication study 
- There is no reported p-value in the replication study, but in this case the reported effect sizes align with the ones of the online supplement. Therefore, I coded this p-value.       </t>
  </si>
  <si>
    <t>Correlation between forgiveness and agreeableness.</t>
  </si>
  <si>
    <t xml:space="preserve">The replication article reports an effect size for the original article of 0.18. I was not able to track this specific value in the original research article. However, table 6 (p. 13) reports a coefficient for the relation between SWB = subjective well-being and Extraversion as 0.17. I report this value given that I find reasonable this is the effect size the replication article tried to replicate.  </t>
  </si>
  <si>
    <t xml:space="preserve">- I added the study numbers
- I added the replication label
- I added the page number of the original effect
- I corrected the p-value of the original study
- Since the second effect sizes are the corrected ones, I chose those ones (replication)
- I changed the effect size type of the replication study
- I added the page number of the replication study </t>
  </si>
  <si>
    <t>Correlation between subjective well-being and extraversion.</t>
  </si>
  <si>
    <t xml:space="preserve">The replication article reports an effect size for the original article of 0.22. In the original article, this result is shown in table 6 (p. 13) as a negative coefficient (-0.22) for neuroticism (which seems to be the old labeling for negative emotionality). I report this value accordingly.  </t>
  </si>
  <si>
    <t xml:space="preserve">Correlation between subjective well-being and negative emotionality (neuroticism) </t>
  </si>
  <si>
    <t xml:space="preserve">The replication article refers to an original effect size of 0.15 for the relation between Heart disease and Agreeableness. However, I could not find any relation to Agreeableness in the original research article. Thus, I could not track the replication attempt. I refrain from reporting a result. </t>
  </si>
  <si>
    <t xml:space="preserve">The replication article refers to an original effect size of 0.19 for the relation between Resilience and Extraversion. However, I could not find references to resilience or extraversion as factors in the original research article. Thus, I could not track the replication attempt. I refrain from reporting a result.  </t>
  </si>
  <si>
    <t>- I added the study numbers
- I added the replication label
- I added the text claim
- I added the page number of the original effect
- I corrected the p-value of the original study
- Since the second effect sizes are the corrected ones, I chose those ones (replication)
- I changed the effect size type of the replication study
- I added the page number of the replication study 
- I added the p-value from the online supplement (replication)</t>
  </si>
  <si>
    <t>The replication article refers to original effect size of 0.25 for Substance abuse : Conscientiousness. However, I could not find these value in the original research article. On the contrary, the original research article stipulates (p.6): "any substance use disorder (B = -.22, p &lt; .001) were significantly related to conscientiousness". Therefore, I report this value.</t>
  </si>
  <si>
    <t>- I added the study numbers
- I added the replication label
- I added „p.“ To es_repr_o
- I changed the effect size type (since it is an correlation, I assume it is an r)
- I added the page number of the replication effect
- I added the p-value from the online supplement
- I changed the effect size type of the original study</t>
  </si>
  <si>
    <t>Correlation between Substance abuseand conscientiousness.</t>
  </si>
  <si>
    <t>The replication article refers to an original effect size of 0.18 for Substance abuse : Open-Mindedness. However, I could not find this value in the original research article. On the contrary, the original research article states:  "any substance use disorder (B = .15, p &lt; .01) was significantly related to openness". Therefore, I report this value.</t>
  </si>
  <si>
    <t>- I added the study numbers
- I added the replication label
- I added „p.“ To es_repr_o
- I changed the effect size type (since it is an correlation, I assume it is an r)
- I added the page number of the replication effect
- I added the p-value from the online supplement</t>
  </si>
  <si>
    <t>Correlation between Substance abuseand open-mindedness.</t>
  </si>
  <si>
    <t>The replication article refers to an original effect size of 0.34 for Anxiety : Negative Emotionality. However, I could not find that value in the original research article. On the contrary, the original research article states (p.6): "any substance use disorder (B = .13, p &lt; .01), and any anxiety disorder (B = . 17, p &lt; .001) were significantly related to neuroticism [Negative emotionality]". Therefore, I report this value.</t>
  </si>
  <si>
    <t>- I added the study numbers
- I added the replication label
- I added „p.“ To es_repr_o
- I changed the effect size type (since it is an correlation, I assume it is an r)
- I added the page number of the replication effect
- I added the p-value from the online supplement
- I changed the text claim since multiple effects were reported</t>
  </si>
  <si>
    <t>Correlation between Anxiety and negative emotionality.</t>
  </si>
  <si>
    <t xml:space="preserve">The replication article refers to an original effect size of .42 for the relation between depression and extraversion.  I could not find this value in the original research article. On the contrary, the original research article states (p.6): "Major depression (B = — .19, p &lt; .001) and any anxiety disorder (B = -.15, p &lt; .01) were significantly related to extraversion". Therefore, I report these values. </t>
  </si>
  <si>
    <t>- I changed the text claim since multiple effects were reported
- I added the study numbers
- I added the replication label
- I added „p.“ To es_repr_o
- I changed the effect size type (since it is an correlation, I assume it is an r)
- I added the page number of the replication effect
- I added the p-value from the online supplement</t>
  </si>
  <si>
    <t>Correlation between depression and extraversion</t>
  </si>
  <si>
    <t xml:space="preserve">The replication article refers to an original effect size of .46 for the relation between depression and negative emotionality (neuroticism). However, I did not found this value in the original research article. The original reserch article states (p.6): "Results from these analyses indicate that the diagnoses of major depression (B = .20, p &lt;.001), any substance use disorder (B = .13, p &lt; .01), and any anxiety disorder (0 = . 17, p &lt; .001) were significantly related to neuroticism". Therefore, I report the value for depression. </t>
  </si>
  <si>
    <t xml:space="preserve">Correlation between depression and negative emotionality (neuroticism) </t>
  </si>
  <si>
    <t xml:space="preserve">The replication article reports an original effect size of  0.30 for Identity achievement: Conscientiousness.  I was not able to track this value in the original research article. </t>
  </si>
  <si>
    <t>- I removed redundant paragraphs from the text claim and since multiple effects were reported in the text claim, I also removed the redundant ones to clarify the target effect
- I added the study numbers
- I added the replication label
- I added the effect
- I added „p.“ To es_repr_o
- I coded the corrected values of the replication study
- I added the effect size type (since it is an correlation, I assume it is an r)
- I added the page number of the replication effect</t>
  </si>
  <si>
    <t>Correlation between identity achievement and conscientiousness.</t>
  </si>
  <si>
    <t xml:space="preserve">The replication article reports an original effect size of  -0.50 for Identity foreclosure: Open-Mindedness. Nevertheless, I was  able to track this value in the original research article. </t>
  </si>
  <si>
    <t>- I removed redundant paragraphs from the text claim 
- I added the study numbers
- I added the replication label
- I added the effect
- I added „p.“ To es_repr_o
- I coded the corrected values of the replication study
- I added the effect size type (since it is an correlation, I assume it is an r)
- I added the page number of the replication effect</t>
  </si>
  <si>
    <t>Correlation between identity foreclosure and open-mindedness.</t>
  </si>
  <si>
    <t xml:space="preserve">The replication article refers to original coefficients for Identity Integration or Consolidation and Negative Emotionality and Open-Mindedness. However, my lack of understanding of this area limits my interpretation and ability to confirm the reported values. The reported effect sizes appear in Table 4 (p.9) columns 2 and 3, but in relation to two other concepts, Environmental Mastery and Personal Growth. In my understanding, these two concepts are not the same as Identity Integration or Consolidation, also referred to in the original research article. However I report them here with a note of caution. </t>
  </si>
  <si>
    <t>Note: The original effect differs from the replicated effect. It seems to be conceptually different and should be interpreted with great caution! 
- I added the study numbers
- I added the replication label
- I added the text claim and the relating page number
- I added „p.“ To es_repr_o
- I coded the corrected values of the replication study
- I added the page number of the replication effect</t>
  </si>
  <si>
    <t>Correlation between Identity integration or consolidation and negative emotionality.</t>
  </si>
  <si>
    <t>Correlation between Identity integration or consolidation and open-mindedness.</t>
  </si>
  <si>
    <t>The replication article refers to an original effect size of 0.20 for the relation between Ethnic-culture identification (for minorities) : Conscientiousness. I was able to match this replication attempt to table 1 (p.4) of the original research article for the column Heritage under the bidimensional model. I report this effect size accordingly.</t>
  </si>
  <si>
    <t>- I added the study numbers
- I added the replication label
- I changed the text claim - since multiple effects were reported, I removed the redundant ones to clarify the target effect
- I added „p.“ To es_repr_o
- I coded the corrected effect size of the replication study (in this case, it did not differ from the uncorrected one)
- Since the p-values of the online supplement aligned with the ones of the table, I added the p-values
- I added the page number of the replication effect</t>
  </si>
  <si>
    <t>Correlation between ethnic-culture identification (for minorities) and conscientiousness.</t>
  </si>
  <si>
    <t>The replication article refers to an original effect size of 0.35 for the relation between Majority-culture identification (for minorities) and Extraversion. I was able to match this replication attempt to table 1 (p.4) of the original research article for the column Mainstrem under the bidimensional model. I report this effect size accordingly.</t>
  </si>
  <si>
    <t>Correlation between majority-culture identification (for minorities) and extraversion.</t>
  </si>
  <si>
    <t>The replication article refers to an original effect size of 0.28 for the relation between Majority-culture identification (for minorities) and Openness. I was able to match this replication attempt to table 1 (p.4) of the original research article for the column Mainstrem under the bidimensional model. I report this effect size accordingly.</t>
  </si>
  <si>
    <t>Correlation between majority-culture identification (for minorities) and open-mindedness.</t>
  </si>
  <si>
    <t>The replication article refers to an original effect size of 0.11 for the relation between Family satisfaction and Conscientiousness. However, the concept of Conscientiousness is not treated in the original research article. I do not know which factor the replicators are referring to. therefore, I refrain from reporting this value.</t>
  </si>
  <si>
    <t>S</t>
  </si>
  <si>
    <t>It is completely unclear which Big Five correlate is being referred to here. The online supplement also states that the effect size for Conscientiousness was taken from the table (Table 1 on page 5). However, the only plausible effect sizes would be the correlations with 'History of mental health problems' or 'Married' with father–child affectional solidarity. I would recommend excluding this effect, as it cannot be clearly assigned. Please take another look at the study. Overall, it was more common in Soto’s work that the effects to be replicated were based on different constructs. However, in this case, there is no resemblance at all.</t>
  </si>
  <si>
    <t>−0.07/−0.08</t>
  </si>
  <si>
    <t>The replication article refers to an original effect size of 0.10 for family satisfaction and Negative Emotionality. In the original research article, this value is reported in Table 2, under the model 4 column (p. 7). However, I note that it remains obscure if this model refers to "family satisfaction," given that this concept is never mentioned in the original research article. I will report this value leaving this cautionary note.</t>
  </si>
  <si>
    <t>- I added the study numbers
- I added the replication label
- I corrected the page number for the text claim and the effect of the original study
- I coded the corrected effect size of the replication study
- I added the page number of the replication effect</t>
  </si>
  <si>
    <t>Correlation between family satisfaction and negative emotionality.</t>
  </si>
  <si>
    <t>add_ai1_1</t>
  </si>
  <si>
    <t>add_ai1</t>
  </si>
  <si>
    <t>Nikita_O</t>
  </si>
  <si>
    <t>1. Also the effect can be "economic growth", since authors talk about how education increase the economic growth
2. Replication author emphasized that it was re-analysis rather than replication "I also thank Sascha Becker, Erik Hornung and Ludger Woessmann for making their  dataset available, at http://www.aeaweb.org/articles.php?doi=10.1257/mac.3.3.92, thereby enabling me to write this paper.</t>
  </si>
  <si>
    <t>This row has been discarded because it is a re-analysis of the data from the original study rather than a replication. No new data were added in the replication study; hence, it should be excluded</t>
  </si>
  <si>
    <t>Becker, S. O., Hornung, E., &amp; Woessmann, L. (2011). Education and catch-up in the industrial revolution. American Economic Journal: Macroeconomics, 3(3), 92-126.</t>
  </si>
  <si>
    <t>10.1257/mac.3.3.92</t>
  </si>
  <si>
    <t>10.1257--mac.3.3.92.pdf</t>
  </si>
  <si>
    <r>
      <rPr>
        <rFont val="Calibri"/>
        <sz val="11.0"/>
      </rPr>
      <t xml:space="preserve">Edwards, J. (2018). A replication of ‘Education and catch-up in the Industrial Revolution’ (American Economic Journal: Macroeconomics, 2011). Economics, 12(1). </t>
    </r>
    <r>
      <rPr>
        <rFont val="Calibri"/>
        <color rgb="FF1155CC"/>
        <sz val="11.0"/>
        <u/>
      </rPr>
      <t>https://doi.org/10.5018/economics-ejournal.ja.2018-3</t>
    </r>
  </si>
  <si>
    <t>10.5018/economics-ejournal.ja.2018-3</t>
  </si>
  <si>
    <t>10.5018--economics-ejournal.ja.2018-3.pdf</t>
  </si>
  <si>
    <t>The same data was re-analyzed (no additional data)</t>
  </si>
  <si>
    <t>Education, industrialisation, Prussia, regional effects, invalid instrument</t>
  </si>
  <si>
    <t>I am not sure if the effects I reported from the r_paper are replications because the authors mention reproducing the main effects of theo_study and not replicating ((("The BHW results for their preferred regression models of total industrialisation in both the first phase of Prussian industrialisation and the entire period until 1882 are shown in Table 1, together with the results I obtained by re-estimating their models. As Table 1 shows, I was able to reproduce the BHW results exactly." page 4))) also most other tables (e.g., table 6, table 7) seem to show effects from a new modified 'terminal' model but using the same data from the o_study; I reported the first effect shown in the table regarding the OLS estimate for Years of schooling 1849 on Share of all factory workers in total population 1849; for the effect sizes I assumed they were beta (std) because the authors use ordinary least squares (OLS) but I am not sure.</t>
  </si>
  <si>
    <t>Edwards, J. (2018). A replication of ‘Education and catch-up in the Industrial Revolution’ (American Economic Journal: Macroeconomics, 2011). Economics, 12(1). https://doi.org/10.5018/economics-ejournal.ja.2018-3</t>
  </si>
  <si>
    <t>industrialisation</t>
  </si>
  <si>
    <t>Education, Industrial Revolution, industrialisation</t>
  </si>
  <si>
    <t>Share of all factory workers 1849 in total population</t>
  </si>
  <si>
    <t>The firstpart of Table 1 reports OLS regressions across the 334 Prussian counties in 1849, toward the end of the firstphase of industrialization...Table 1- Education and Industrialization in the First Phase of the Industrial Revolution...OLS...Share of factory workers in total population 1849...All factories...Years of schooling 1849a</t>
  </si>
  <si>
    <t>add_ai1_b</t>
  </si>
  <si>
    <t>I reported the first effect shown in the table regarding the OLS estimate for Literacy rate 1871 on Share of all manufacturing workers in total population; for the effect sizes I assumed they were beta (std) because the authors use ordinary least squares (OLS) but I am not sure.</t>
  </si>
  <si>
    <t>Share of manufacturing workers in total population 1882</t>
  </si>
  <si>
    <t xml:space="preserve">Table 4 reports results of the model with pre-industrial development controls for the second phase of industrialization. Both OLS and IV estimates show a significant positive effect of literacy (measured in 1871) on total manufacturing employment in 1882...Table A- Education and Industrialization in the Second Phase of the Industrial Revolution...OLS...Share of manufacturing workers in total population 1882...All manufacturing...Literacy rate 1871. </t>
  </si>
  <si>
    <t>add_ai12_1</t>
  </si>
  <si>
    <t>add_ai12</t>
  </si>
  <si>
    <t>1. I see a lot of results in study 1 and 2 of original paper, but there are not matching results in study 2 of replication. In particular, there is data, from which we can talk about replication, but  the analysis is different without between group comparison or with covariates which were not present in the original study</t>
  </si>
  <si>
    <t>Forrest, L. N., Smith, A. R., White, R. D., &amp; Joiner, T. E. (2015). (Dis) connected: An examination of interoception in individuals with suicidality. Journal of abnormal psychology, 124(3), 754.</t>
  </si>
  <si>
    <t>10.1037/abn0000074</t>
  </si>
  <si>
    <t>10.1037--abn0000074.pdf</t>
  </si>
  <si>
    <t>Smith, A.R., Dodd, D.R., Ortiz, S., Forrest, L.N., &amp; Witte, T.K. (2019). Interoceptive deficits differentiate suicide groups and associate with self‐injurious thoughts and behaviors in a military sample. Suicide and Life-Threatening Behavior, 50(2), 472-489. https://doi.org/10.1111/sltb.12603</t>
  </si>
  <si>
    <t>10.1111/sltb.12603</t>
  </si>
  <si>
    <t>10.1111--sltb.12603.pdf</t>
  </si>
  <si>
    <t>No matching results</t>
  </si>
  <si>
    <t>Interoception</t>
  </si>
  <si>
    <t>Interoception, interoceptive deficits, suicidality, suicidal behavior</t>
  </si>
  <si>
    <t>add_ai13_1</t>
  </si>
  <si>
    <t>add_ai13</t>
  </si>
  <si>
    <t>1. Stimulus were different, original stimulus were not available. Moreover, replication author call his study "conceptual replication". 
2. There are at least 8 results in original study, and much more in the replication. However, replication study used additional variables in ANOVA (Sex Role Congruency) and studied the effect for each emotion separately (anger, fear), while in the original study authors used the variable emotions. 
Thus, since the second study is more narrow and uses modified variables, there are no matching results. 
For example: 
- original study: emotions -&gt; F(3, 2352) = 9.26 
- replication: F(2, 358) = 21.74 (anger), F(2, 358) = 9.66 (fear)</t>
  </si>
  <si>
    <t>Condry, J., &amp; Condry, S. (1976). Sex differences: A study of the eye of the beholder. Child development, 812-819.</t>
  </si>
  <si>
    <t>10.2307/1128199</t>
  </si>
  <si>
    <t>10.2307--1128199.pdf</t>
  </si>
  <si>
    <t>Miller, J.L. (2015). Sex Role Type as a Predictor of Gender Stereotype Use in the Evaluation of Others. JOURNAL MISSING. https://doi.org/10.31979/etd.eh36-m2wx</t>
  </si>
  <si>
    <t>10.31979/etd.eh36-m2wx</t>
  </si>
  <si>
    <t>10.31979--etd.eh36-m2wx.pdf</t>
  </si>
  <si>
    <t>Sex diffrences</t>
  </si>
  <si>
    <t>add_ai20_1</t>
  </si>
  <si>
    <t>add_ai20</t>
  </si>
  <si>
    <t>I think the  replication paper is not really a replication. I spent a lot of time trying to search for the replicated effects and I coudn't find something clear. The replication paper doesn't mention that it's goal is to replicate the effects of the original paper however some of the authors contributed to both papers and from what I understood the second paper is just a continuity of the first one. Also I noticed that the original paper uses 3 groups (10,40hz, sham) and collects data across 3 time points and the main dependent variables are alpha oscillation and MADRS. However the second paper uses two groups (verum, sham), collects data across two time points and the main dependent variables are left frontal alpha power. The effects explored in both studies are complementary but diffrent and the statistical tests and analysis used were also diffrent... I still reported one effect that I thought was the closest one to a replication but in the o_study they measure Baseline alpha power and in the r_study they measure specifically left frontal alpha power so I don't know it it will still be considered a replication in this case. Also the interaction is related to a mixed design so here I reported p as based on a test that accounts for dependence but I am not sure.</t>
  </si>
  <si>
    <t>Alexander, M. L., Alagapan, S., Lugo, C. E., Mellin, J. M., Lustenberger, C., Rubinow, D. R., &amp; Fröhlich, F. (2019). Double-blind, randomized pilot clinical trial targeting alpha oscillations with transcranial alternating current stimulation (tACS) for the treatment of major depressive disorder (MDD). Translational psychiatry, 9(1), 106.</t>
  </si>
  <si>
    <t>10.1038/s41398-019-0439-0</t>
  </si>
  <si>
    <t>10.1038--s41398-019-0439-0.pdf</t>
  </si>
  <si>
    <t>Riddle, J., Alexander, M.L., Schiller, C.E., Rubinow, D.R., &amp; Frohlich, F. (2021). Reduction in left frontal alpha oscillations by transcranial alternating current stimulation in major depressive disorder is context-dependent in a randomized-clinical trial. medRxiv (Cold Spring Harbor Laboratory). https://doi.org/10.1101/2021.06.17.21258764</t>
  </si>
  <si>
    <t>10.1101/2021.06.17.21258764</t>
  </si>
  <si>
    <t>10.1101--2021.06.17.21258764.pdf</t>
  </si>
  <si>
    <t>major depressive disorder (MDD)</t>
  </si>
  <si>
    <t>major depressive disorder (MDD)...alpha oscillations...transcranial alternating current stimulation
(tACS)</t>
  </si>
  <si>
    <t>To verify whether tACS was effective in engaging alpha oscillations, we assessed changes in resting-state alpha power at Day 5 (Fig. 2a) and the 4-week follow-up (Fig. 2b) in the PP sample.</t>
  </si>
  <si>
    <t>Baseline alpha power was not different between the three groups (...interaction F6,92 = 0.042, p = 0.99)</t>
  </si>
  <si>
    <t>F6,92 = 0.042</t>
  </si>
  <si>
    <t>https://clinicaltrials.gov/study/NCT02339285?term=NCT02339285&amp;rank=1</t>
  </si>
  <si>
    <t>F(1,39)=3.119</t>
  </si>
  <si>
    <t>https://clinicaltrials.gov/study/NCT03449979</t>
  </si>
  <si>
    <t>add_ai27_1</t>
  </si>
  <si>
    <t>add_ai27</t>
  </si>
  <si>
    <t>if the translation provided by chat gpt is correct what I understood from the o_paper is that the o_study uses a factorial survey to  to determine how the dimensions "smoking ban" and "number of people who smoke" influence the validity of a non-smoking norm. However the r_study tackles a diffrent topic regarding double standards in just earnings for males and females but uses a similar or modified factorial survey as the o_paper. In the r_paper two studies are presented so maybe study 2 is the replication of study 1 ? but not sure, the presentation doc don't give much details.</t>
  </si>
  <si>
    <t>Beck, M., &amp; Opp, K. D. (2001). Der faktorielle Survey und die Messung von Normen. KZfSS Kölner Zeitschrift für Soziologie und Sozialpsychologie, 53, 283-306.</t>
  </si>
  <si>
    <t>10.1007/s11577-001-0040-3</t>
  </si>
  <si>
    <t>10.1007--s11577-001-0040-3.pdf</t>
  </si>
  <si>
    <t>Jann, B. (2007). Double Standards in Just Earnings for Males and Females? A Replication Study on Earnings Judgments and Sex Discrimination. JOURNAL MISSING. https://doi.org/10.7892/boris.69488</t>
  </si>
  <si>
    <t>10.7892/boris.69488</t>
  </si>
  <si>
    <t>10.7892--boris.69488.pdf</t>
  </si>
  <si>
    <t>R is not a replication</t>
  </si>
  <si>
    <t>Baha</t>
  </si>
  <si>
    <t>add_ai3_1</t>
  </si>
  <si>
    <t>add_ai3</t>
  </si>
  <si>
    <t>Baha Eddine Mahfoudh</t>
  </si>
  <si>
    <t>Edwards, S., &amp; Tucker, K. (2006). Verb retrieval in fluent aphasia: A clinical study . Aphasiology, 20(7), 644–675.</t>
  </si>
  <si>
    <t>10.1080/02687030600631827</t>
  </si>
  <si>
    <t>10.1080--02687030600631827.pdf</t>
  </si>
  <si>
    <r>
      <rPr>
        <rFont val="Calibri"/>
        <sz val="11.0"/>
      </rPr>
      <t xml:space="preserve">McCann, C., &amp; Doleman, J. (2010). Verb retrieval in nonfluent aphasia: A replication of Edwards &amp; Tucker, 2006. Journal of Neurolinguistics, 24(2), 237-248. </t>
    </r>
    <r>
      <rPr>
        <rFont val="Calibri"/>
        <color rgb="FF1155CC"/>
        <sz val="11.0"/>
        <u/>
      </rPr>
      <t>https://doi.org/10.1016/j.jneuroling.2010.05.001</t>
    </r>
  </si>
  <si>
    <t>10.1016/j.jneuroling.2010.05.001</t>
  </si>
  <si>
    <t>10.1016--j.jneuroling.2010.05.001.pdf</t>
  </si>
  <si>
    <t>Verb retrieval</t>
  </si>
  <si>
    <t>Nonfluent aphasia; Verb and sentence therapy</t>
  </si>
  <si>
    <t>"the effect of improving verb retrieval on the verb production for people with aphasia"</t>
  </si>
  <si>
    <t>"Verb accessing. Two of the participants, JD and CB, improved in their ability to name the trained verbs (list A) both in terms of accuracy and speed of response. JR did not improve significantly in terms of accuracy but he was almost at ceiling at the time of the study and so a significant improvement was not possible. However, he became significantly faster at retrieving the treated verbs, felt that he was achieving, and thus was more confident in his ability to communicate in everyday situations. All participants were pleased with their progress. Improved verb naming generalised to the untreated verbs for CB and to the VAST verbs for JD and CB. JR’s score on verb naming in the VAST list increased to be within the controls’ scores."</t>
  </si>
  <si>
    <t>p.24</t>
  </si>
  <si>
    <t>=(0.86/(1-0.86))/(0.98/(1-0.98))</t>
  </si>
  <si>
    <t>=(0.57/(1-0.57))/(0.785/(1-0.785)),p.7</t>
  </si>
  <si>
    <t>add_ai3_a</t>
  </si>
  <si>
    <t>1. The same file is provided in links
2. Effect can be also called "Repetitive “drilling” treatments" as it is written in the replication
3. Both papers contain a lot of individual results. Should I code it? 
If yes, the data in tables for P1, P2 and P3 is appropriate for the OR recalculation. 
4. No statistical inferences for original study due to a small sample size
* 5. Lukas said that it is better to exclude this study</t>
  </si>
  <si>
    <t>McCann, C., &amp; Doleman, J. (2010). Verb retrieval in nonfluent aphasia: A replication of Edwards &amp; Tucker, 2006. Journal of Neurolinguistics, 24(2), 237-248. https://doi.org/10.1016/j.jneuroling.2010.05.001</t>
  </si>
  <si>
    <t>Case study (too few participants)</t>
  </si>
  <si>
    <t>Nonfluent aphasia, verb and sentence therapy</t>
  </si>
  <si>
    <t>There was improvement in verb production between pre-therapy and immediate post-therapy</t>
  </si>
  <si>
    <t>"Two of the participants, JD and CB, improved in their ability to name the trained verbs (list A) both in terms of accuracy and speed of response"</t>
  </si>
  <si>
    <t>add_ai3_b</t>
  </si>
  <si>
    <t>There was improvement in verb production between pre-therapy and post-therapy (T4)</t>
  </si>
  <si>
    <r>
      <rPr>
        <rFont val="Calibri"/>
        <sz val="11.0"/>
      </rPr>
      <t xml:space="preserve">McCann, C., &amp; Doleman, J. (2010). Verb retrieval in nonfluent aphasia: A replication of Edwards &amp; Tucker, 2006. Journal of Neurolinguistics, 24(2), 237-248. </t>
    </r>
    <r>
      <rPr>
        <rFont val="Calibri"/>
        <color rgb="FF1155CC"/>
        <sz val="11.0"/>
        <u/>
      </rPr>
      <t>https://doi.org/10.1016/j.jneuroling.2010.05.001</t>
    </r>
  </si>
  <si>
    <t>"the effect of improving verb retrieval on sentence construction for people with aphasia"</t>
  </si>
  <si>
    <t>=(0.75/(1-0.75))/(0.95/(1-0.95))</t>
  </si>
  <si>
    <t>=(0.43/(1-0.43))/(0.6/(1-0.6)),p.7</t>
  </si>
  <si>
    <t>add_ai3_c</t>
  </si>
  <si>
    <t>There was improvement in verb production between post-therapy (T3) and post-therapy (T4)</t>
  </si>
  <si>
    <t>add_ai3_d</t>
  </si>
  <si>
    <t>There was improvement in sentence construction between pre-therapy and immediate post-therapy</t>
  </si>
  <si>
    <t>"There was a significant improvement on the sentence production task for one participant JD, and a non-significant increase in scores for the other two"</t>
  </si>
  <si>
    <t>add_ai3_e</t>
  </si>
  <si>
    <t>There was improvement in sentence construction between pre-therapy and post-therapy (T4)</t>
  </si>
  <si>
    <t>add_ai3_f</t>
  </si>
  <si>
    <t>There was improvement in sentence construction between post-therapy (T3) and post-therapy (T4)</t>
  </si>
  <si>
    <t>add_ai30_1</t>
  </si>
  <si>
    <t>add_ai30</t>
  </si>
  <si>
    <t>Genschow, O., Reutner, L., &amp; Wänke, M. (2012). The color red reduces snack food and soft drink intake. Appetite, 58(2), 699-702.</t>
  </si>
  <si>
    <t>10.1016/j.appet.2011.12.023</t>
  </si>
  <si>
    <t>10.1016--j.appet.2011.12.023.pdf</t>
  </si>
  <si>
    <r>
      <rPr>
        <rFont val="Calibri"/>
        <sz val="11.0"/>
      </rPr>
      <t xml:space="preserve">Dolezalova, B., Hubackova, N., Latalova, K., Vyborova, E., Zakova, M., Vaculik, M., &amp; Prochazka, J. (2021). Can the color red trick you into drinking less? A replication study. Appetite, 167, 105619-105619. </t>
    </r>
    <r>
      <rPr>
        <rFont val="Calibri"/>
        <color rgb="FF1155CC"/>
        <sz val="11.0"/>
        <u/>
      </rPr>
      <t>https://doi.org/10.1016/j.appet.2021.105619</t>
    </r>
  </si>
  <si>
    <t>10.1016/j.appet.2021.105619</t>
  </si>
  <si>
    <t>10.1016--j.appet.2021.105619.pdf</t>
  </si>
  <si>
    <t>the effect of the color red</t>
  </si>
  <si>
    <t>Red; Stop cue; Food intake; Drink intake; Snacking; Incidental eating</t>
  </si>
  <si>
    <t>"testing whether people drink less from the red-labeled cups than from blue-labeled ones"</t>
  </si>
  <si>
    <t>"The analysis revealed a significant effect of color condition on food intake F (2, 104) = 3.00, p = 0.05. Consistent with the predictions, planned comparisons revealed that participants in the red condition (M = 1.57, SD = 2.29) ate significantly fewer pretzels than participants in the blue condition (M = 3.00, SD = 3.08), t(104) = 2.17, p = 0.03, d= 0.52 "</t>
  </si>
  <si>
    <t>=(57.24-33.59)/SQRT((41.74^2+22.21^2)/2)</t>
  </si>
  <si>
    <t>=(138.95-138.78)/SQRT((79.7^2+98.61^2)/2)</t>
  </si>
  <si>
    <t>https://aspredicted.org/bg2fh.pdf</t>
  </si>
  <si>
    <t>add_ai30_a</t>
  </si>
  <si>
    <t>The link for the replication study provided a file with scant information to aid in validating these rows. A Google search provided me with a 20-page PDF file for the replication study. As such, the es_repr_r should be coded as p. 11 for the first four rows for this entry and p. 12 for the fifth row, and not p. 3 and p. 4 as coded. However, this can be decided on whether to leave it as coded or change it to p. 11 and p. 12, respectively.</t>
  </si>
  <si>
    <r>
      <rPr>
        <rFont val="Calibri"/>
        <sz val="11.0"/>
      </rPr>
      <t xml:space="preserve">Dolezalova, B., Hubackova, N., Latalova, K., Vyborova, E., Zakova, M., Vaculik, M., &amp; Prochazka, J. (2021). Can the color red trick you into drinking less? A replication study. Appetite, 167, 105619-105619. </t>
    </r>
    <r>
      <rPr>
        <rFont val="Calibri"/>
        <color rgb="FF1155CC"/>
        <sz val="11.0"/>
        <u/>
      </rPr>
      <t>https://doi.org/10.1016/j.appet.2021.105619</t>
    </r>
  </si>
  <si>
    <t>Consumption-stopping cue</t>
  </si>
  <si>
    <t>Color, red, stop cue, food intake, drink intake, snacking, incidental eating</t>
  </si>
  <si>
    <t xml:space="preserve">Red labels make participants drink significantly less from the cups </t>
  </si>
  <si>
    <t>"A one-way ANOVA with condition (red labeled vs. blue labeled drinks) as a factor revealed that overall participants drank significantly less when the cups had red labels compared to blue labels, F (1,39) = 4.52, p = 0.04, eta-square = 0.10"</t>
  </si>
  <si>
    <t>add_ai30_b</t>
  </si>
  <si>
    <t>Dolezalova, B., Hubackova, N., Latalova, K., Vyborova, E., Zakova, M., Vaculik, M., &amp; Prochazka, J. (2021). Can the color red trick you into drinking less? A replication study. Appetite, 167, 105619-105619. https://doi.org/10.1016/j.appet.2021.105619</t>
  </si>
  <si>
    <t>Drink intake was higher for blue cups with bevarage A</t>
  </si>
  <si>
    <t>"[...] a significant difference between conditions for beverage A (Mred = 39.76, SD = 22.02; Mblue = 72.50, SD = 62.99), F (1,39) = 4.20, p = 0.05, eta-square = 0.10 [...]"</t>
  </si>
  <si>
    <t>add_ai30_c</t>
  </si>
  <si>
    <r>
      <rPr>
        <rFont val="Calibri"/>
        <sz val="11.0"/>
      </rPr>
      <t xml:space="preserve">Dolezalova, B., Hubackova, N., Latalova, K., Vyborova, E., Zakova, M., Vaculik, M., &amp; Prochazka, J. (2021). Can the color red trick you into drinking less? A replication study. Appetite, 167, 105619-105619. </t>
    </r>
    <r>
      <rPr>
        <rFont val="Calibri"/>
        <color rgb="FF1155CC"/>
        <sz val="11.0"/>
        <u/>
      </rPr>
      <t>https://doi.org/10.1016/j.appet.2021.105619</t>
    </r>
  </si>
  <si>
    <t>Drink intake was higher for blue cups with bevarage B</t>
  </si>
  <si>
    <t>"[...] a significant difference between conditions for [...] beverage B (Mred=24.47, SD=17.53; Mblue = 39.67, SD = 27.21), F (1,39)= 4.08, p=0.05, eta-square = 0.10 [...]"</t>
  </si>
  <si>
    <t>add_ai30_d</t>
  </si>
  <si>
    <t>Drink intake was higher for blue cups with bevarage C</t>
  </si>
  <si>
    <t>" [...] whereas the difference for beverage C did not reach conventional levels of significance (Mred = 36.53, SD = 32.09; Mblue = 59.54, SD =52.47), F (1, 39) = 2.57, p = 0.12, eta-square = 0.06"</t>
  </si>
  <si>
    <t>add_ai30_e</t>
  </si>
  <si>
    <t>The coder has produced correct results for the multilevel analysis in the replication study; however, I am unable to trace how they arrived at the test statistics coded for the original study. I expected the test statistics from the claim text to be coded for the original study.</t>
  </si>
  <si>
    <t xml:space="preserve">Red labels make participants drink significantly less from the cups (multilevel analysis in the replication) </t>
  </si>
  <si>
    <t>t(148) = 0.17</t>
  </si>
  <si>
    <t>add_ai33_1</t>
  </si>
  <si>
    <t>add_ai33</t>
  </si>
  <si>
    <t>Canter, D., &amp; Fritzon, K. (1998). Differentiating arsonists: A model of firesetting actions and characteristics. Legal and Criminological Psychology, 3(1), 73-96.</t>
  </si>
  <si>
    <t>10.1111/j.2044-8333.1998.tb00352.x</t>
  </si>
  <si>
    <t>10.1111--j.2044-8333.1998.tb00352.x.pdf</t>
  </si>
  <si>
    <t>Almond, L., Duggan, L., Shine, J., &amp; Canter, D. (2004). Test of the arson action system model in an incarcerated population. Psychology Crime and Law, 11(1), 1-15. https://doi.org/10.1080/1068316031009634287</t>
  </si>
  <si>
    <t>10.1080/1068316031009634287</t>
  </si>
  <si>
    <t>10.1080--1068316031009634287.pdf</t>
  </si>
  <si>
    <t>social Psychology</t>
  </si>
  <si>
    <t>Arson actions system model</t>
  </si>
  <si>
    <t>Arson; Action System Model; Prisoners; Smallest Space Analysis</t>
  </si>
  <si>
    <t>"testing the arson actions model by testing th reliability of its variables and the different scales of action" (expressive object)"</t>
  </si>
  <si>
    <t>"The instrumental person mode has the highest Cronbach’s a, possibly because this revenge-like arson is the most clearly represented in the present sample. Curiously, the two themes in which objects are the target have lower scale values, reflecting the smaller number of actions that were recorded here, presumably because there is less information of pyschological relevance available when there is no obvious victim."</t>
  </si>
  <si>
    <t>add_ai33_b</t>
  </si>
  <si>
    <t>"testing the arson actions model by testing th reliability of its variables and the different scales of action" (expressive person)"</t>
  </si>
  <si>
    <t>add_ai33_c</t>
  </si>
  <si>
    <t>"testing the arson actions model by testing th reliability of its variables and the different scales of action" (instrumental object)"</t>
  </si>
  <si>
    <t>add_ai33_d</t>
  </si>
  <si>
    <t>"testing the arson actions model by testing th reliability of its variables and the different scales of action" (instrumental person)"</t>
  </si>
  <si>
    <t>add_ai33_eo</t>
  </si>
  <si>
    <t>1. Original authors was also a replication author -&gt; internal replication
2. The study uses a very unfamiliar for me type of the analysis - SSA (smallest space analysis). They do not have clear metrics, which can be compared like ES. Therefore, I choose alpha, which in this context is more or less adequate match. Because we assess how the scales are comprised from the behavioral factors after content analysis. Another opportunity is to assess visually whether particular variables are in the same group in original and replication, however, this is visual assessment without particular metric (it was done by replication authors) 
3. I am not sure whether the Discipline is Social psychology, but it is the nearest
* 4. Lukas wrote that it is better to exclude this study since it uses non-numeric way of assessment (no direct estimation of the effect size)</t>
  </si>
  <si>
    <t>No direct estimation of the effect size</t>
  </si>
  <si>
    <t>Action system model</t>
  </si>
  <si>
    <t>Arson, action system model, prisoners, smallest space analysis</t>
  </si>
  <si>
    <t>The expressive objects are the target have lower scale values, reflecting the smaller number of actions that were recorded here, presumably because there is less information of pyschological relevance available when there is no obvious victim</t>
  </si>
  <si>
    <t>"The four modes of arson were proposed to reflect discernible themes to any given arson. This implies that the sets of actions identified as representing each of those themes should form a scale in the sense that their combined existence is a reasonable indication of some underlying dimension. One direct way of testing this is to calculate Cronbach’s cz for each of the sets of actions that define a region. The actions used and the a value for each theme are given in Table 1"</t>
  </si>
  <si>
    <t>alpha</t>
  </si>
  <si>
    <t>add_ai33_ep</t>
  </si>
  <si>
    <t>The expressive person mode has the acceptable Cronbach’s a higher than object oriented actions</t>
  </si>
  <si>
    <t>add_ai33_io</t>
  </si>
  <si>
    <t>The instrumental objects are the target have lower scale values, reflecting the smaller number of actions that were recorded here, presumably because there is less information of pyschological relevance available when there is no obvious victim</t>
  </si>
  <si>
    <t>add_ai33_ip</t>
  </si>
  <si>
    <t>The instrumental person mode has the highest Cronbach’s a, possibly because this revenge-like arson is the most clearly represented in the present sample</t>
  </si>
  <si>
    <t>add_ai36_1</t>
  </si>
  <si>
    <t>add_ai36</t>
  </si>
  <si>
    <t>Eysenck, S. B., &amp; Eysenck, H. J. (1963). The validity of questionnaire and rating assessments of extraversion and neuroticism, and their factorial stability. British Journal of Psychology, 54(1), 51-62.</t>
  </si>
  <si>
    <t>10.1111/j.2044-8295.1963.tb00861.x</t>
  </si>
  <si>
    <t>10.1111--j.2044-8295.1963.tb00861.x.pdf</t>
  </si>
  <si>
    <t>Vingoe, F.J. (1968). Validity of the Eysenck Extraversion Scale: Replication and Extension. Psychological Reports, 22(3), 706-708. https://doi.org/10.2466/pr0.1968.22.3.706</t>
  </si>
  <si>
    <t>10.2466/pr0.1968.22.3.706</t>
  </si>
  <si>
    <t>10.2466--pr0.1968.22.3.706.pdf</t>
  </si>
  <si>
    <t>Eysenck's Excraversion scale</t>
  </si>
  <si>
    <t>"the accuracy of the scale in the assessment of excraversion"</t>
  </si>
  <si>
    <t>"both cases the predicted positive relation between DE and E loading, and DN and N loading, is indeed observed, assuming a very high value in the former case; in addition, however, there is also a less welcome correlation of considerable magnitude between DN and the E loading (and to a much lesser extent between DE and the N loading.) These require some detailed discussion."</t>
  </si>
  <si>
    <t>=(13.71-4.24)/SQRT(((66-1)*4.42^2+(66-1)*1.63^2)/(66+66-2))),p.2</t>
  </si>
  <si>
    <t>Maureen (to do)</t>
  </si>
  <si>
    <t>add_ai36_a</t>
  </si>
  <si>
    <t>1. I am very much not sure about this study. I would propose a double check. Also I don't understand why Introversion is the same as Neuroticism (p. 9) (I = N)</t>
  </si>
  <si>
    <t>Extraversion / introversion</t>
  </si>
  <si>
    <t>Eysenck personality inventory (EPI), extraversion-neuroticism scales, validity study, self-rating, peer rating, factor analysis</t>
  </si>
  <si>
    <t>There was a high correlation between DE scores (difference in item endorsements) and E factor loadings</t>
  </si>
  <si>
    <t>"De correlates 0.883 with the E loadings, and -0.270 with the N loadings"</t>
  </si>
  <si>
    <t>add_ai36_b</t>
  </si>
  <si>
    <t>add_ai37_1</t>
  </si>
  <si>
    <t>add_ai37</t>
  </si>
  <si>
    <t>Note from the r_paper authors (Note that the mirror mark paradigm used in this study is a simplified, nonlinguistic version compared to the original, in which the child is specifically asked who is in the mirror (Amsterdam, 1972).)... Also only percentages were reported in both papers so I coudn't report any statistical tests. Note that for this effect the p value related to the r_study indicates the opposit effect of the original study (freezing behavior instead of self recognition), this is what the authors reported for more clarity (Of the 82 children tested, only two demonstrated any of the defined self-oriented behaviors when facing their “marked” image in the mirror (one-tailed binomial test, p &lt; .001, with a .60 probability threshold). ); the first exp is a replication with a sample from Kenya;............................. I thought this might be intresting to ((((The aim of the research was to document evidence of early MSR across cultures, using a shorter and simplified version of the mark test. We found significant cultural variations across the seven cultures. The first experiment shows that only 2 out of 82 18- to 72-month-old Kenyan children manifested self-oriented behaviors toward the mark, most of them freezing while staring at their specular image. This result is in sharp contrast with the multiple studies reporting that by 20 months of age, 60% to 85% of Western middle-class children pass the mark test (Amsterdam, 1972; Bertenthal &amp; Fisher, 1978; Lewis &amp; Brooks-Gunn, 1979). The question is how to explain this Kenyan “paradox” in the context of our task.)))))</t>
  </si>
  <si>
    <t>Amsterdam, B. (1972). Mirror self‐image reactions before age two. Developmental Psychobiology: The journal of the international society for developmental psychobiology, 5(4), 297-305.</t>
  </si>
  <si>
    <t>10.1002/dev.420050403</t>
  </si>
  <si>
    <t>10.1002--dev.420050403.pdf</t>
  </si>
  <si>
    <t>Broesch, T., Callaghan, T., Henrich, J., Murphy, C., &amp; Rochat, P. (2010). Cultural Variations in Children’s Mirror Self-Recognition. Journal of Cross-Cultural Psychology, 42(6), 1018-1029. https://doi.org/10.1177/0022022110381114</t>
  </si>
  <si>
    <t>10.1177/0022022110381114</t>
  </si>
  <si>
    <t>10.1177--0022022110381114.pdf</t>
  </si>
  <si>
    <t>Mirror Self-Image Reactions</t>
  </si>
  <si>
    <t>children...Mirror Behavior Checklist...mirror image...recognition</t>
  </si>
  <si>
    <t xml:space="preserve"> subjects demonstrated recognition of their mirror images</t>
  </si>
  <si>
    <t>During the last part of the second year of life, from 20 to 24 months of age, 65% of the subjects demonstrated recognition of their mirror images...Finally, between 20 and 24 months of age 65% of the subjects showed recognition of their images.</t>
  </si>
  <si>
    <t>1 and 6</t>
  </si>
  <si>
    <t>add_ai37_b</t>
  </si>
  <si>
    <t>only percentages were reported in both papers so I coudn't report any statistical tests. Note that for this effect the p value related to the r_study indicates the same effect of the original study ( self recognition), this is what the authors reported for more clarity (Of the children (N = 133) participating in this experiment, 80 (60%) demonstrated self-orienting behaviors (p = .5469, with a .60 probability threshold). ); the second exp is a replication with a sample from six diffrent cultures; ............................. I thought this might be intresting to ((((The aim of the research was to document evidence of early MSR across cultures, using a shorter and simplified version of the mark test. We found significant cultural variations across the seven cultures. The first experiment shows that only 2 out of 82 18- to 72-month-old Kenyan children manifested self-oriented behaviors toward the mark, most of them freezing while staring at their specular image. This result is in sharp contrast with the multiple studies reporting that by 20 months of age, 60% to 85% of Western middle-class children pass the mark test (Amsterdam, 1972; Bertenthal &amp; Fisher, 1978; Lewis &amp; Brooks-Gunn, 1979). The question is how to explain this Kenyan “paradox” in the context of our task.)))))</t>
  </si>
  <si>
    <t>add_ai36_2</t>
  </si>
  <si>
    <t>Vingoe, F.J. (1968). Validity of the Eysenck Extraversion Scale: Replication and Extension. Psychological Reports, 22(3), 706-708. https://doi.org/10.2466/pr0.1968.22.3.707</t>
  </si>
  <si>
    <t>10.2466/pr0.1968.22.3.707</t>
  </si>
  <si>
    <t>"the accuracy of the scale in the assessment of neurocism"</t>
  </si>
  <si>
    <t>=(10.56-10.9)/SQRT(((66-1)*4.68^2+(66-1)*4.7^2)/(66+66-2))),p.2</t>
  </si>
  <si>
    <t>add_ai4_1</t>
  </si>
  <si>
    <t>add_ai4</t>
  </si>
  <si>
    <t>there are several effects tested and replicated here. the papers main analysis is a latent change models. from what I understood the main hypothesis/effects/goals are to study the effect of unemployment  and reeemployment on personality change (Conscientiousness Agreeableness Neuroticism Openness Extraversion) and compare it between genders. All effects are reported in tables. Here I decided to report the relation between unemployed T1(o_paper)/T2(r_paper) and openness (men) (slope). for the r_paper the effect size beta std is Buadj = Parameter for unbalanced data.</t>
  </si>
  <si>
    <t>Boyce, C. J., Wood, A. M., Daly, M., &amp; Sedikides, C. (2015). Personality change following unemployment. Journal of Applied Psychology, 100(4), 991.</t>
  </si>
  <si>
    <t>10.1037/a0038647</t>
  </si>
  <si>
    <t>10.1037--a0038647.pdf</t>
  </si>
  <si>
    <t>Gnambs, T., &amp; Stiglbauer, B. (2019). No personality change following unemployment: A registered replication of Boyce, Wood, Daly, and Sedikides (2015). JOURNAL MISSING. https://doi.org/10.31234/osf.io/3bhja</t>
  </si>
  <si>
    <t>10.31234/osf.io/3bhja</t>
  </si>
  <si>
    <t>10.31234--osf.io--3bhja.pdf</t>
  </si>
  <si>
    <t>well-being</t>
  </si>
  <si>
    <t>unemployment, personality, personality change, well-being, five-factor model</t>
  </si>
  <si>
    <t>Unemployment’s influence on FFM personality traits.</t>
  </si>
  <si>
    <t>Table 5 Effects of Consecutive Years of Unemployment on the Level (Intercept) and Change (Slope) in Personality From 2005 (T0) to 2009 (T1) Using Latent Change Models and Controlling...Importantly, however, we observed significant slope effects that are large in magnitude for the unemployed variables across...openness (Model 5), suggesting that unemployment precipitated a substan-tial amount of additional mean-level personality change relative to the group of participants who remained employed.</t>
  </si>
  <si>
    <t>p.44</t>
  </si>
  <si>
    <t>https://osf.io/m4cyz</t>
  </si>
  <si>
    <t>add_ai4_b</t>
  </si>
  <si>
    <t>there are several effects tested and replicated here. the papers main analysis is a latent change models. from what I understood the main hypothesis/effects/goals are to study the effect of unemployment  and reeemployment on personality change (Conscientiousness Agreeableness Neuroticism Openness Extraversion) and compare it between genders. All effects are reported in tables. Here I decided to report the relation between reemployed T1(o_paper)/T2(r_paper) and agreeableness (men) (slope). for the r_paper the effect size beta sqr is Buadj = Parameter for unbalanced data.</t>
  </si>
  <si>
    <t>Reemployment’s influence on FFM traits.</t>
  </si>
  <si>
    <t>An analysis of slope values on this variable suggest no evidence that reemployed individuals experi-enced mean-level personality change relative to the employed group. Although unemployment is likely to have precipitated per-sonality change, the results suggest that personality rebounds upon reemployment... Table 5 Effects of Consecutive Years of Unemployment on the Level (Intercept) and Change (Slope) in Personality From 2005 (T0) to 2009 (T1) Using Latent Change Models and Controlling</t>
  </si>
  <si>
    <t>12,13,14</t>
  </si>
  <si>
    <t>add_ai41_1</t>
  </si>
  <si>
    <t>add_ai41</t>
  </si>
  <si>
    <r>
      <rPr>
        <rFont val="Calibri"/>
        <sz val="11.0"/>
      </rPr>
      <t xml:space="preserve">the r_study is replicating Black and Barnes (2015a) not Black and Barnes (2015b), the link you provide is for the 2015b paper here is the one I used :  </t>
    </r>
    <r>
      <rPr>
        <rFont val="Calibri"/>
        <color rgb="FF1155CC"/>
        <sz val="11.0"/>
        <u/>
      </rPr>
      <t>https://drive.google.com/drive/folders/1ivB0CEmA0lPZW9FgIfklih849Awe0AHn?fbclid=IwAR1-au-XQdaRXsJBnw-w6esGES_qKYWeKBV0SnS-r6XGLb52A6RG0duPjXg</t>
    </r>
    <r>
      <rPr>
        <rFont val="Calibri"/>
        <sz val="11.0"/>
      </rPr>
      <t xml:space="preserve"> ; the effect reported in the o_study is the diffrence between reading fiction and non fiction on RME scores using a t test however in the r_study  the effect reported is a diffrence between easy fiction and non fiction on narrative transformation using a Bonferroni post hoc test so not exactly the same variables or tests and p value in the r_study means the opposit effect than in the o_study. but this remains the closest "replicated" effect I could find. the r_study wanted to focus on and show that its findings suggest that narrative transportation may not be dependent on story genre, but rather on a given text’s difficulty level; here I reported the r_sample size for the easy fiction and non fiction group but if you include the third group than sample size = 894</t>
    </r>
  </si>
  <si>
    <t>Black, J., &amp; Barnes, J. L. (2015). Fiction and social cognition: The effect of viewing award-winning television dramas on theory of mind. Psychology of Aesthetics, Creativity, and the Arts, 9(4), 423.</t>
  </si>
  <si>
    <t>10.1037/aca0000031</t>
  </si>
  <si>
    <t>10.1037--aca0000031.pdf</t>
  </si>
  <si>
    <t>Isakoglou, F., Multhaup, K.S., Munger, M.P., &amp; Eiler, B.A. (2021). The Effects of Genre and Reading Difficulty on Narrative Transportation: The Mediating Role of Affect. Psi Chi Journal of Psychological Research, 26(4), 422-429. https://doi.org/10.24839/2325-7342.jn26.4.422</t>
  </si>
  <si>
    <t>10.24839/2325-7342.jn26.4.422</t>
  </si>
  <si>
    <t>10.24839--2325-7342.jn26.4.422.pdf</t>
  </si>
  <si>
    <t>theory of mind</t>
  </si>
  <si>
    <t xml:space="preserve">Fiction , Cognitive ability , Theory of mind
</t>
  </si>
  <si>
    <t xml:space="preserve">The effects of reading material on social and non-social cognition
</t>
  </si>
  <si>
    <t xml:space="preserve">We began with a simple model, with order, reading material (fiction vs. non-fiction), and their interaction predicting scores on the RME, using an unstructured covariance matrix and testing the effect of reading material given order. Once order had been taken into account, reading fiction was associated with higher scores on the RME than reading nonfiction (mean difference = 0.935, t(58) = 1.71, pone-tailed = .046, d = 0.16; </t>
  </si>
  <si>
    <t>p.5,p.6</t>
  </si>
  <si>
    <t>add_ai46_1</t>
  </si>
  <si>
    <t>add_ai46</t>
  </si>
  <si>
    <t xml:space="preserve">1. I put "Social psychology" as studies are about naming which is a part of communication
2. Table II (replication) and Table I (original) correspond to each other. But how to code it? 
3. Table III uses the same data as in original study! </t>
  </si>
  <si>
    <t>Feitelson, D. G., Mizrahi, A., Noy, N., Shabat, A. B., Eliyahu, O., &amp; Sheffer, R. (2020). How developers choose names. IEEE Transactions on Software Engineering, 48(1), 37-52.</t>
  </si>
  <si>
    <t>10.1109/TSE.2020.2976920</t>
  </si>
  <si>
    <t>10.1109--tse.2020.2976920.pdf</t>
  </si>
  <si>
    <t>Omer, R., Michael, S., &amp; G., F.D. (2021). Using Non-Verbal Expressions as a Tool in Naming Research. arXiv (Cornell University). https://doi.org/10.48550/arxiv.2103.08701</t>
  </si>
  <si>
    <t>10.48550/arxiv.2103.08701</t>
  </si>
  <si>
    <t>10.48550--arxiv.2103.08701.pdf</t>
  </si>
  <si>
    <t>Naming</t>
  </si>
  <si>
    <t>Variable and function naming, experimental methodology, accessibility bias, variable naming, code comprehension</t>
  </si>
  <si>
    <t>not applicable due to the vast number of variables studied</t>
  </si>
  <si>
    <t>add_ai47_1</t>
  </si>
  <si>
    <t>add_ai47</t>
  </si>
  <si>
    <t>1. Very specific paper on Linguistics. In order to find matching results I considered Eng "-ED" as Spanish imperfect verb and Eng "-ING" as Spanish preterit verb</t>
  </si>
  <si>
    <t>Gries, S. T., &amp; Wulff, S. (2009). Psycholinguistic and corpus-linguistic evidence for L2 constructions. Annual Review of Cognitive Linguistics, 7(1), 163-186.</t>
  </si>
  <si>
    <t>10.1075/arcl.7.07gri</t>
  </si>
  <si>
    <t>10.1075--arcl.7.07gri.pdf</t>
  </si>
  <si>
    <t>Minnillo, S., Sánchez-Gutiérrez, C., Carando, A., Davidson, S., Mira, P.F., &amp; Sagae, K. (2022). Preterit-imperfect acquisition in L2 Spanish writing: Moving beyond lexical aspect. Research in Corpus Linguistics, 10(1), 156-184. https://doi.org/10.32714/ricl.10.01.08</t>
  </si>
  <si>
    <t>10.32714/ricl.10.01.08</t>
  </si>
  <si>
    <t>10.32714--ricl.10.01.08.pdf</t>
  </si>
  <si>
    <t>Tense-aspect acquisition, spanish as a second language, preterit and imperfect, learner corpus research, complementation, to, V-ing, constructions, patterns, second/foreign language learning, corpora, collostructions, experiments, priming, acceptability judgments</t>
  </si>
  <si>
    <t>When the verb in the target is distinctive for the to-construction as opposed to the ing-construction, this hugely increases the odds of another to-construction by a factor (preterit verb in Spanish replication)</t>
  </si>
  <si>
    <t>"To see where the explanatory accuracy and predictive power come from, consider the parameters represented in Table 2, where the odds ratios provided reflect the change in odds to get a sentence completion with to"</t>
  </si>
  <si>
    <r>
      <rPr>
        <rFont val="Calibri"/>
        <sz val="11.0"/>
      </rPr>
      <t xml:space="preserve">Minnillo, S., Sánchez-Gutiérrez, C., Carando, A., Davidson, S., Mira, P.F., &amp; Sagae, K. (2022). Preterit-imperfect acquisition in L2 Spanish writing: Moving beyond lexical aspect. Research in Corpus Linguistics, 10(1), 156-184. </t>
    </r>
    <r>
      <rPr>
        <rFont val="Calibri"/>
        <color rgb="FF1155CC"/>
        <sz val="11.0"/>
        <u/>
      </rPr>
      <t>https://doi.org/10.32714/ricl.10.01.08</t>
    </r>
  </si>
  <si>
    <t>The effect of L1 production</t>
  </si>
  <si>
    <t>complementation, to, V-ing, constructions, patterns, second/foreign language learning, corpora, collostructions, experiments, priming, acceptability judgments</t>
  </si>
  <si>
    <t>"L1 frequency is associated with high L2 production in preterit"</t>
  </si>
  <si>
    <t>"when the prime was an ing-construction and the verb in that prime was a verb which the DCA characterized as distinctive for the ing-construction, then the ratings were much higher than when either the prime was a to-construction or the verb was distinctive for a to-construction; the same is true of the to-construction."</t>
  </si>
  <si>
    <t>=(0.46/0.54)/(0.64/0.36)</t>
  </si>
  <si>
    <t>add_ai47_b</t>
  </si>
  <si>
    <t>When the verb in the target is distinctive for the to-construction as opposed to the ing-construction, this hugely increases the odds of another to-construction by a factor (imperfect verb in Spanish replication)</t>
  </si>
  <si>
    <r>
      <rPr>
        <rFont val="Calibri"/>
        <sz val="11.0"/>
      </rPr>
      <t xml:space="preserve">Minnillo, S., Sánchez-Gutiérrez, C., Carando, A., Davidson, S., Mira, P.F., &amp; Sagae, K. (2022). Preterit-imperfect acquisition in L2 Spanish writing: Moving beyond lexical aspect. Research in Corpus Linguistics, 10(1), 156-184. </t>
    </r>
    <r>
      <rPr>
        <rFont val="Calibri"/>
        <color rgb="FF1155CC"/>
        <sz val="11.0"/>
        <u/>
      </rPr>
      <t>https://doi.org/10.32714/ricl.10.01.08</t>
    </r>
  </si>
  <si>
    <t>add_ai48_1</t>
  </si>
  <si>
    <t>add_ai48</t>
  </si>
  <si>
    <t>I had the impression that the r_study is almost qualitative (no reported statistical results only some descriptive information on graphs). in the supp materials they only share the raw data (text) and not the statistical analysis so I can't report any effects. the o_study had mone Mixed-effects logistic model but that wasn't reported in the r_study.; r_sample size = 12010 open reviews in PeerJ and 4188 reviews in the Royal Society Open Science, o_sample size = 9,220 submissions and 18,525 reviews.</t>
  </si>
  <si>
    <t>Bravo, G., Grimaldo, F., López-Iñesta, E., Mehmani, B., &amp; Squazzoni, F. (2019). The effect of publishing peer review reports on referee behavior in five scholarly journals. Nature communications, 10(1), 322.</t>
  </si>
  <si>
    <t>10.1038/s41467-018-08250-2</t>
  </si>
  <si>
    <t>10.1038--s41467-018-08250-2.pdf</t>
  </si>
  <si>
    <t>Sambeek, N.V., &amp; Lakens, D. (2021). Reviewers' Decision to Sign Reviews is Related to Their Recommendation. Meta-Psychology, 5. https://doi.org/10.15626/mp.2019.2289</t>
  </si>
  <si>
    <t>10.15626/mp.2019.2289</t>
  </si>
  <si>
    <t>10.15626--mp.2019.2289.pdf</t>
  </si>
  <si>
    <t>meta science/psychology</t>
  </si>
  <si>
    <t>peer review</t>
  </si>
  <si>
    <t>peer review, referee behavior, scholarly journals</t>
  </si>
  <si>
    <t>The effect of publishing peer review reports on referee behavior in five scholarly journals</t>
  </si>
  <si>
    <t>add_ai5_1</t>
  </si>
  <si>
    <t>add_ai5</t>
  </si>
  <si>
    <t>Cialdini, R. B., Vincent, J. E., Lewis, S. K., Catalan, J., Wheeler, D., &amp; Darby, B. L. (1975). Reciprocal concessions procedure for inducing compliance: The door-in-the-face technique. Journal of personality and Social Psychology, 31(2), 206.</t>
  </si>
  <si>
    <t>Genschow, O., Westfal, M., Crusius, J., Bartosch, L., Feikes, K.I., Pallasch, N., &amp; Wozniak, M. (2020). Does social psychology persist over half a century? A direct replication of Cialdini et al.’s (1975) classic door-in-the-face technique. JOURNAL MISSING. https://doi.org/10.31234/osf.io/w87yr</t>
  </si>
  <si>
    <t>10.31234/osf.io/w87yr</t>
  </si>
  <si>
    <t>10.31234--osf.io--w87yr.pdf</t>
  </si>
  <si>
    <t>Reciprocal Concessions</t>
  </si>
  <si>
    <t>Door-in-the-Face; Social Influence; Reciprocal concession</t>
  </si>
  <si>
    <t>"testing compliance between the two control conditions (i.e., smaller request only condition vs. equivalent request control condition)."</t>
  </si>
  <si>
    <t>"The first contrasted the two control conditions; no significant difference resulted, X2= 0.0, ns."</t>
  </si>
  <si>
    <t>p.07</t>
  </si>
  <si>
    <t>=(0.3333/(1-0.3333))/(0.3333/(1-0.3333)),p.7</t>
  </si>
  <si>
    <t>=(0.296/(1-0.296))/(0.379/(1-0.379)), p.16</t>
  </si>
  <si>
    <t>add_ai5_b</t>
  </si>
  <si>
    <t>"testing compliance between between the rejection-moderation condition and the combined control conditions (i.e., smaller request only condition &amp; equivalent request control condition)."</t>
  </si>
  <si>
    <t>"The second tested the rejection-moderation condition against the combined controls; a marginally significant difference occurred, x2= 2.88, p = .091."</t>
  </si>
  <si>
    <t>=(0.541/(1-0.541))/(0.6666/(1-0.6666)), p.7</t>
  </si>
  <si>
    <t>=(0.3358/(1-0.3358))/(0.5128/(1-0.5128)), p.15</t>
  </si>
  <si>
    <t>add_ai5_combined</t>
  </si>
  <si>
    <t>1. They wrote "direct replication" but with some extensions (3 more precisions). I would put "close" replication</t>
  </si>
  <si>
    <t>Reciprocal concessions</t>
  </si>
  <si>
    <t>Door-in-the-Face, social influence, replication, reciprocal concession</t>
  </si>
  <si>
    <t>Respondents complied more often for the second smaller request after rejecting the first extreme request in comparison to combined controls</t>
  </si>
  <si>
    <t>"The second tested the rejection-moderation condition against the combined controls; a marginally significant difference occurred, χ2 = 2.88, p = .091"</t>
  </si>
  <si>
    <t>χ2 = 2.88</t>
  </si>
  <si>
    <t>χ2 = 10.82</t>
  </si>
  <si>
    <t>add_ai5_combined_excludedparticipants</t>
  </si>
  <si>
    <t>1. They wrote "direct replication" but with some extensions (3 more precisions). I would put "close" replication
2. Authors wrote that they excluded participants, but did not report how many....
3. The sample for replication was calculated in the following way: 391 (total sample after first exclusion) minus 43: 
"Nineteen participants in the rejection-moderation condition and forty-three participants in the equivalent request control condition complied with the first request"</t>
  </si>
  <si>
    <t>Respondents complied more often for the second smaller request after rejecting the first extreme request in comparison to combined controls (replication analysis without participants who agreed to any of the first requests)</t>
  </si>
  <si>
    <t>"The first contrasted the two control conditions; no significant difference resulted, χ2 = 0.0, ns"</t>
  </si>
  <si>
    <t>χ2 = 24.64</t>
  </si>
  <si>
    <t>add_ai5_controls</t>
  </si>
  <si>
    <t>Control conditions with small request were not different from each other</t>
  </si>
  <si>
    <t>χ2 = 2.11</t>
  </si>
  <si>
    <t>add_ai5_controls_excludedparticipants</t>
  </si>
  <si>
    <t>Control conditions with small request were not different from each other (replication analysis without participants who agreed to any of the first requests)</t>
  </si>
  <si>
    <t>χ2 = 28.89</t>
  </si>
  <si>
    <t>add_ai5_equivalent</t>
  </si>
  <si>
    <t>Respondents complied more often for the second smaller request after rejecting the first extreme request in comparison to equivalent request control</t>
  </si>
  <si>
    <t>"The percentage of subjects who complied with the cirtical request in each of the treatment conditions of Experiment 3 can be seen in Table 3"</t>
  </si>
  <si>
    <t>χ2 = 4.52</t>
  </si>
  <si>
    <t>add_ai5_equivalent_excludedparticipants</t>
  </si>
  <si>
    <t>Respondents complied more often for the second smaller request after rejecting the first extreme request in comparison to equivalent request control (replication analysis without participants who agreed to any of the first requests)</t>
  </si>
  <si>
    <t>add_ai5_smallerrequest</t>
  </si>
  <si>
    <t>Respondents complied more often for the second smaller request after rejecting the first extreme request in comparison to Smaller request only control</t>
  </si>
  <si>
    <t>χ2 = 12.66</t>
  </si>
  <si>
    <t>add_ai5_smallerrequest_excludedparticipants</t>
  </si>
  <si>
    <t>Respondents complied more often for the second smaller request after rejecting the first extreme request in comparison to Smaller request only control (replication analysis without participants who agreed to any of the first requests)</t>
  </si>
  <si>
    <t>χ2 = 48.99</t>
  </si>
  <si>
    <t>add_ai57_1</t>
  </si>
  <si>
    <t>add_ai57</t>
  </si>
  <si>
    <t>Eagly, A. H., &amp; Wood, W. (1999). The origins of sex differences in human behavior: Evolved dispositions versus social roles. American psychologist, 54(6), 408.</t>
  </si>
  <si>
    <t>10.1037/0003-066X.54.6.408</t>
  </si>
  <si>
    <t>10.1037--0003-066x.54.6.408.pdf</t>
  </si>
  <si>
    <t>https://drive.google.com/file/d/1niJ4qqlQ3w06lrmI_sfZvqDMPlcLvX7Z/view?usp=drivesdk</t>
  </si>
  <si>
    <r>
      <rPr>
        <rFont val="Calibri"/>
        <sz val="11.0"/>
      </rPr>
      <t xml:space="preserve">Zhang, L., Lee, A.J., DeBruine, L.M., &amp; Jones, B.C. (2018). Are sex differences in preferences for physical attractiveness and good earning capacity in potential mates smaller in countries with greater gender equality?. JOURNAL MISSING. </t>
    </r>
    <r>
      <rPr>
        <rFont val="Calibri"/>
        <color rgb="FF1155CC"/>
        <sz val="11.0"/>
        <u/>
      </rPr>
      <t>https://doi.org/10.31234/osf.io/mtsx8</t>
    </r>
  </si>
  <si>
    <t>10.31234/osf.io/mtsx8</t>
  </si>
  <si>
    <t>10.31234--osf.io--mtsx8.pdf</t>
  </si>
  <si>
    <t>https://drive.google.com/file/d/1PchnSZs-XbYmB-ZYLgQBFosMAZs-ybjf/view?usp=drivesdk</t>
  </si>
  <si>
    <t>Gender equality</t>
  </si>
  <si>
    <t>sex differences, mate preferences, gender inequality, attractiveness, status</t>
  </si>
  <si>
    <t>"testing for overall sex differences in preferences for good earning capacity"</t>
  </si>
  <si>
    <t>those due to emotion, F(3,2352) = 9.26, p &lt; .001,</t>
  </si>
  <si>
    <t>estimate =- 0.55, t =-11.16</t>
  </si>
  <si>
    <t>Feedback for Baha: 1) The discipline for this entry is "Evolutionary Psychology" and not "Social Psychology". You can easily see this in the replication study paper. 2) The effect is more of "mate preference" than "gender equality". 3) Please do not use quotation marks while coding the description variable. 4) Only use the numbers for the claim_page_o. For instance, 11 instead of p. 11. 5)  Could not find most of the claim texts and the test statistics coded for the original study in the paper.</t>
  </si>
  <si>
    <t>add_ai57_a</t>
  </si>
  <si>
    <t xml:space="preserve">The main results can't be match: 
- original study: cor with financial prospect / domestic skills / attractiveness; cor for earning and housekeeing; cor in particular age
- replication: sex with earning; sex with attractiveness, sex with domestic skills. </t>
  </si>
  <si>
    <t>1) Added Google Drive link for both the original and replication studies PDF files. The hyperlink was not available. 2) sarahashjones@gmail.com The main effects for the original and replication studies have not been coded by coder 2, whose rows I have chosen, highlighting that the main results cannot be matched. Coder 1 has tried to code them, but the coding has not been done correctly, and I cannot trace the test statistics coded for the original study in the paper. However, I believe the three main effects comparing sex differences with financial prospects, domestic skills, and physical attractiveness in both the rating and ranking data in the original study are comparable with the three main effects in the replication study. Kindly confirm this and advise. Thank you.</t>
  </si>
  <si>
    <t>Zhang, L., Lee, A.J., DeBruine, L.M., &amp; Jones, B.C. (2018). Are sex differences in preferences for physical attractiveness and good earning capacity in potential mates smaller in countries with greater gender equality?. JOURNAL MISSING. https://doi.org/10.31234/osf.io/mtsx8</t>
  </si>
  <si>
    <t>Mate preference</t>
  </si>
  <si>
    <t>Sex differences, mate preferences, gender inequality, attractiveness, status</t>
  </si>
  <si>
    <t>As the Gender Empowerment Measure increased in value, the tendency decreased for women to place greater emphasis than men on a potential spouse's earning capacity (ranking data)</t>
  </si>
  <si>
    <t>"These correlations for the ranking and the rating data, which appear in Table 1, are generally supportive of the social structural predictions"</t>
  </si>
  <si>
    <r>
      <rPr>
        <rFont val="Arial"/>
        <color theme="1"/>
      </rPr>
      <t>p. 11</t>
    </r>
    <r>
      <rPr>
        <rFont val="Arial"/>
        <color rgb="FF00FF00"/>
      </rPr>
      <t>, Table 1</t>
    </r>
  </si>
  <si>
    <t>t = -2.09</t>
  </si>
  <si>
    <r>
      <rPr>
        <rFont val="Arial"/>
        <color theme="1"/>
      </rPr>
      <t>p. 4</t>
    </r>
    <r>
      <rPr>
        <rFont val="Arial"/>
        <color rgb="FF00FF00"/>
      </rPr>
      <t>, Table 1</t>
    </r>
  </si>
  <si>
    <t>add_ai57_b</t>
  </si>
  <si>
    <t xml:space="preserve">1) Added Google Drive link for both the original and replication studies PDF files. The hyperlink was not available. </t>
  </si>
  <si>
    <r>
      <rPr>
        <rFont val="Arial"/>
        <color theme="1"/>
      </rPr>
      <t>As the Gender Empowerment Measure increased, the tendency decreased for men to place greater emphasis than women on a potential spouse's domestic skills (ra</t>
    </r>
    <r>
      <rPr>
        <rFont val="Arial"/>
        <color rgb="FF00FF00"/>
      </rPr>
      <t>n</t>
    </r>
    <r>
      <rPr>
        <rFont val="Arial"/>
        <color theme="1"/>
      </rPr>
      <t>king data)</t>
    </r>
  </si>
  <si>
    <r>
      <rPr>
        <rFont val="Arial"/>
        <color theme="1"/>
      </rPr>
      <t>p. 11</t>
    </r>
    <r>
      <rPr>
        <rFont val="Arial"/>
        <color rgb="FF00FF00"/>
      </rPr>
      <t>, Table 1</t>
    </r>
  </si>
  <si>
    <t>t = 0.35</t>
  </si>
  <si>
    <r>
      <rPr>
        <rFont val="Arial"/>
        <color theme="1"/>
      </rPr>
      <t>p. 4</t>
    </r>
    <r>
      <rPr>
        <rFont val="Arial"/>
        <color rgb="FF00FF00"/>
      </rPr>
      <t>, Table 1</t>
    </r>
  </si>
  <si>
    <t>"testing for overall sex differences in preferences for physical attractiveness"</t>
  </si>
  <si>
    <t>and situation, F(2,2352) = 88.86, p &lt; .001 and</t>
  </si>
  <si>
    <t>estimate = 0.42, t =9.25</t>
  </si>
  <si>
    <t>add_ai57_c</t>
  </si>
  <si>
    <t>1) Added Google Drive link for both the original and replication studies PDF files. The hyperlink was not available. 2) sarahashjones@gmail.com Is it correct to code the p-value for the original study for this row as g(&gt;) 0.10 when it has not been provided for in Table 1 (p. 11)? I'm not sure about this, and I can't seem to find the correct answer for this from my searches.</t>
  </si>
  <si>
    <r>
      <rPr>
        <rFont val="Arial"/>
        <color theme="1"/>
      </rPr>
      <t>As the Gender Empowerment Measure increased, the tendency increased for men to place greater emphasis for mate's physical attractiveness (ra</t>
    </r>
    <r>
      <rPr>
        <rFont val="Arial"/>
        <color rgb="FF00FF00"/>
      </rPr>
      <t>n</t>
    </r>
    <r>
      <rPr>
        <rFont val="Arial"/>
        <color theme="1"/>
      </rPr>
      <t>king data)</t>
    </r>
  </si>
  <si>
    <r>
      <rPr>
        <rFont val="Arial"/>
        <color theme="1"/>
      </rPr>
      <t>p. 11</t>
    </r>
    <r>
      <rPr>
        <rFont val="Arial"/>
        <color rgb="FF00FF00"/>
      </rPr>
      <t>, Table 1</t>
    </r>
  </si>
  <si>
    <t>t = 1.9</t>
  </si>
  <si>
    <r>
      <rPr>
        <rFont val="Arial"/>
        <color theme="1"/>
      </rPr>
      <t>p. 4</t>
    </r>
    <r>
      <rPr>
        <rFont val="Arial"/>
        <color rgb="FF00FF00"/>
      </rPr>
      <t>, Table 1</t>
    </r>
  </si>
  <si>
    <t>"testing for overall sex differences in preferences for domestic skills"</t>
  </si>
  <si>
    <t>these are of little consequence with respect to our</t>
  </si>
  <si>
    <t>estimate = 0.02, t =0.52</t>
  </si>
  <si>
    <t>add_ai57_d</t>
  </si>
  <si>
    <t>-Added Google Drive link for both the original and replication studies PDF files. The hyperlink was not available.</t>
  </si>
  <si>
    <t>As the Gender-Related Development Index increased in value, the tendency decreased for women to place greater emphasis than men on a potential spouse's earning capacity (ranking data)</t>
  </si>
  <si>
    <r>
      <rPr>
        <rFont val="Arial"/>
        <color theme="1"/>
      </rPr>
      <t>p. 11</t>
    </r>
    <r>
      <rPr>
        <rFont val="Arial"/>
        <color rgb="FF00FF00"/>
      </rPr>
      <t>, Table 1</t>
    </r>
  </si>
  <si>
    <t>t = 0.56</t>
  </si>
  <si>
    <r>
      <rPr>
        <rFont val="Arial"/>
        <color theme="1"/>
      </rPr>
      <t>p. 4</t>
    </r>
    <r>
      <rPr>
        <rFont val="Arial"/>
        <color rgb="FF00FF00"/>
      </rPr>
      <t>, Table 1</t>
    </r>
  </si>
  <si>
    <t>"testing for sex differences in preferences for physical attractiveness in GII (by rating)"</t>
  </si>
  <si>
    <t>original interests. They suggest only that there are</t>
  </si>
  <si>
    <t>estimate = 0.2</t>
  </si>
  <si>
    <t>estimate = 0.13, t =1.67</t>
  </si>
  <si>
    <t>add_ai57_e</t>
  </si>
  <si>
    <r>
      <rPr>
        <rFont val="Arial"/>
        <color theme="1"/>
      </rPr>
      <t>As the Gender-Related Development Index increased, the tendency decreased for men to place greater emphasis than women on a potential spouse's domestic skills (ra</t>
    </r>
    <r>
      <rPr>
        <rFont val="Arial"/>
        <color rgb="FF00FF00"/>
      </rPr>
      <t>n</t>
    </r>
    <r>
      <rPr>
        <rFont val="Arial"/>
        <color theme="1"/>
      </rPr>
      <t>king data)</t>
    </r>
  </si>
  <si>
    <r>
      <rPr>
        <rFont val="Arial"/>
        <color theme="1"/>
      </rPr>
      <t>p. 11</t>
    </r>
    <r>
      <rPr>
        <rFont val="Arial"/>
        <color rgb="FF00FF00"/>
      </rPr>
      <t>, Table 1</t>
    </r>
  </si>
  <si>
    <t>t = -0.68</t>
  </si>
  <si>
    <r>
      <rPr>
        <rFont val="Arial"/>
        <color theme="1"/>
      </rPr>
      <t>p. 4</t>
    </r>
    <r>
      <rPr>
        <rFont val="Arial"/>
        <color rgb="FF00FF00"/>
      </rPr>
      <t>, Table 1</t>
    </r>
  </si>
  <si>
    <t>"testing for sex differences in preferences for physical attractiveness in GII (by ranking)"</t>
  </si>
  <si>
    <t>significant differences to be found in the different</t>
  </si>
  <si>
    <t>estimate = 0.13</t>
  </si>
  <si>
    <t>estimate = 0.48, t =1.90</t>
  </si>
  <si>
    <t>add_ai57_f</t>
  </si>
  <si>
    <r>
      <rPr>
        <rFont val="Arial"/>
        <color theme="1"/>
      </rPr>
      <t>As the Gender-Related Development Index increased, the tendency decreased for men to place greater emphasis for mate's physical attractiveness (ra</t>
    </r>
    <r>
      <rPr>
        <rFont val="Arial"/>
        <color rgb="FF00FF00"/>
      </rPr>
      <t>n</t>
    </r>
    <r>
      <rPr>
        <rFont val="Arial"/>
        <color theme="1"/>
      </rPr>
      <t>king data)</t>
    </r>
  </si>
  <si>
    <r>
      <rPr>
        <rFont val="Arial"/>
        <color theme="1"/>
      </rPr>
      <t>p. 11</t>
    </r>
    <r>
      <rPr>
        <rFont val="Arial"/>
        <color rgb="FF00FF00"/>
      </rPr>
      <t>, Table 1</t>
    </r>
  </si>
  <si>
    <t>t = -0.6</t>
  </si>
  <si>
    <r>
      <rPr>
        <rFont val="Arial"/>
        <color theme="1"/>
      </rPr>
      <t>p. 4</t>
    </r>
    <r>
      <rPr>
        <rFont val="Arial"/>
        <color rgb="FF00FF00"/>
      </rPr>
      <t>, Table 1</t>
    </r>
  </si>
  <si>
    <t>"testing for sex differences in preferences for physical attractiveness in GDI (by rating)"</t>
  </si>
  <si>
    <t>estimate = 0.18</t>
  </si>
  <si>
    <t>estimate = -0.09, t =-0.82</t>
  </si>
  <si>
    <t>add_ai57_g</t>
  </si>
  <si>
    <t>As the Gender Empowerment Measure increased in value, the tendency decreased for women to place greater emphasis than men on a potential spouse's earning capacity (rating data)</t>
  </si>
  <si>
    <r>
      <rPr>
        <rFont val="Arial"/>
        <color theme="1"/>
      </rPr>
      <t>p. 11</t>
    </r>
    <r>
      <rPr>
        <rFont val="Arial"/>
        <color rgb="FF00FF00"/>
      </rPr>
      <t>, Table 1</t>
    </r>
  </si>
  <si>
    <t>t = -1.33</t>
  </si>
  <si>
    <r>
      <rPr>
        <rFont val="Arial"/>
        <color theme="1"/>
      </rPr>
      <t>p. 4</t>
    </r>
    <r>
      <rPr>
        <rFont val="Arial"/>
        <color rgb="FF00FF00"/>
      </rPr>
      <t>, Table 1</t>
    </r>
  </si>
  <si>
    <t>"testing for sex differences in preferences for physical attractiveness in GDI (by ranking)"</t>
  </si>
  <si>
    <t>emotions observed and that the emotional re-</t>
  </si>
  <si>
    <t>estimate = -0.12</t>
  </si>
  <si>
    <t>estimate = -0.25, t =-0.60</t>
  </si>
  <si>
    <t>add_ai57_h</t>
  </si>
  <si>
    <t>As the Gender Empowerment Measure increased, the tendency decreased for men to place greater emphasis than women on a potential spouse's domestic skills (rating data)</t>
  </si>
  <si>
    <r>
      <rPr>
        <rFont val="Arial"/>
        <color theme="1"/>
      </rPr>
      <t>p. 11</t>
    </r>
    <r>
      <rPr>
        <rFont val="Arial"/>
        <color rgb="FF00FF00"/>
      </rPr>
      <t>, Table 1</t>
    </r>
  </si>
  <si>
    <t>t = 1.73</t>
  </si>
  <si>
    <r>
      <rPr>
        <rFont val="Arial"/>
        <color theme="1"/>
      </rPr>
      <t>p. 4</t>
    </r>
    <r>
      <rPr>
        <rFont val="Arial"/>
        <color rgb="FF00FF00"/>
      </rPr>
      <t>, Table 1</t>
    </r>
  </si>
  <si>
    <t>"testing for sex differences in preferences for good earning capacity in GII (by rating)"</t>
  </si>
  <si>
    <t>sponses to the various situations were indeed dif-</t>
  </si>
  <si>
    <t>estimate = -0.29</t>
  </si>
  <si>
    <t>estimate = -0.11, t =-1.33</t>
  </si>
  <si>
    <t>add_ai57_i</t>
  </si>
  <si>
    <t>As the Gender Empowerment Measure increased, the tendency increased for men to place greater emphasis for mate's physical attractiveness (rating data)</t>
  </si>
  <si>
    <r>
      <rPr>
        <rFont val="Arial"/>
        <color theme="1"/>
      </rPr>
      <t>p. 11</t>
    </r>
    <r>
      <rPr>
        <rFont val="Arial"/>
        <color rgb="FF00FF00"/>
      </rPr>
      <t>, Table 1</t>
    </r>
  </si>
  <si>
    <t>t = 1.67</t>
  </si>
  <si>
    <r>
      <rPr>
        <rFont val="Arial"/>
        <color theme="1"/>
      </rPr>
      <t>p. 4</t>
    </r>
    <r>
      <rPr>
        <rFont val="Arial"/>
        <color rgb="FF00FF00"/>
      </rPr>
      <t>, Table 1</t>
    </r>
  </si>
  <si>
    <t>"testing for sex differences in preferences for good earning capacity in GII (by ranking)"</t>
  </si>
  <si>
    <t>ferent. It is the interactions that are of interest to</t>
  </si>
  <si>
    <t>estimate = -0.43</t>
  </si>
  <si>
    <t>estimate = -0.64, t =-2.09</t>
  </si>
  <si>
    <t>add_ai57_j</t>
  </si>
  <si>
    <t>As the Gender-Related Development Index increased in value, the tendency decreased for women to place greater emphasis than men on a potential spouse's earning capacity (rating data)</t>
  </si>
  <si>
    <r>
      <rPr>
        <rFont val="Arial"/>
        <color theme="1"/>
      </rPr>
      <t>p. 11</t>
    </r>
    <r>
      <rPr>
        <rFont val="Arial"/>
        <color rgb="FF00FF00"/>
      </rPr>
      <t>, Table 1</t>
    </r>
  </si>
  <si>
    <t>t = 0.31</t>
  </si>
  <si>
    <r>
      <rPr>
        <rFont val="Arial"/>
        <color theme="1"/>
      </rPr>
      <t>p. 4</t>
    </r>
    <r>
      <rPr>
        <rFont val="Arial"/>
        <color rgb="FF00FF00"/>
      </rPr>
      <t>, Table 1</t>
    </r>
  </si>
  <si>
    <t>"testing for sex differences in preferences for good earning capacity in GDI (by rating)"</t>
  </si>
  <si>
    <t>estimate = -0.23</t>
  </si>
  <si>
    <t>estimate = 0.04, t =0.31</t>
  </si>
  <si>
    <t>add_ai57_k</t>
  </si>
  <si>
    <t>As the Gender-Related Development Index increased, the tendency decreased for men to place greater emphasis than women on a potential spouse's domestic skills (rating data)</t>
  </si>
  <si>
    <r>
      <rPr>
        <rFont val="Arial"/>
        <color theme="1"/>
      </rPr>
      <t>p. 11</t>
    </r>
    <r>
      <rPr>
        <rFont val="Arial"/>
        <color rgb="FF00FF00"/>
      </rPr>
      <t>, Table 1</t>
    </r>
  </si>
  <si>
    <t>t = -0.36</t>
  </si>
  <si>
    <r>
      <rPr>
        <rFont val="Arial"/>
        <color theme="1"/>
      </rPr>
      <t>p. 4</t>
    </r>
    <r>
      <rPr>
        <rFont val="Arial"/>
        <color rgb="FF00FF00"/>
      </rPr>
      <t>, Table 1</t>
    </r>
  </si>
  <si>
    <t>"testing for sex differences in preferences for good earning capacity in GDI (by ranking)"</t>
  </si>
  <si>
    <t>the hypotheses under examination.</t>
  </si>
  <si>
    <t>estimate = -0.33</t>
  </si>
  <si>
    <t>estimate = 0.24, t =0.56</t>
  </si>
  <si>
    <t>add_ai57_l</t>
  </si>
  <si>
    <t>As the Gender-Related Development Index increased, the tendency increased for men to place greater emphasis for mate's physical attractiveness (rating data)</t>
  </si>
  <si>
    <r>
      <rPr>
        <rFont val="Arial"/>
        <color theme="1"/>
      </rPr>
      <t>p. 11</t>
    </r>
    <r>
      <rPr>
        <rFont val="Arial"/>
        <color rgb="FF00FF00"/>
      </rPr>
      <t>, Table 1</t>
    </r>
  </si>
  <si>
    <t>t = -0.82</t>
  </si>
  <si>
    <r>
      <rPr>
        <rFont val="Arial"/>
        <color theme="1"/>
      </rPr>
      <t>p. 4</t>
    </r>
    <r>
      <rPr>
        <rFont val="Arial"/>
        <color rgb="FF00FF00"/>
      </rPr>
      <t>, Table 1</t>
    </r>
  </si>
  <si>
    <t>"testing for sex differences in preferences for Domestic skills in GII (by rating)"</t>
  </si>
  <si>
    <t>"as the Gender Empowerment Measure increased, the tendency decreased for men to place greater emphasis than women on a potential spouse's domestic skills."</t>
  </si>
  <si>
    <t>estimate = -0.61</t>
  </si>
  <si>
    <t>estimate = 0.14, t =1.73</t>
  </si>
  <si>
    <t>add_ai57_m</t>
  </si>
  <si>
    <t>"testing for sex differences in preferences for Domestic skills in GII (by rankng)"</t>
  </si>
  <si>
    <t>estimate = -0.62</t>
  </si>
  <si>
    <t>estimate = 0.08, t =0.35</t>
  </si>
  <si>
    <t>add_ai57_n</t>
  </si>
  <si>
    <t>"testing for sex differences in preferences for Domestic skills in GDI (by rating)"</t>
  </si>
  <si>
    <t>"As expected in terms of the Gender-Related Development Index's less direct representation of the similarity of the roles of women and men, its correlations with these sex differences were somewhat weaker."</t>
  </si>
  <si>
    <t>estimate = -0.54</t>
  </si>
  <si>
    <t>estimate = -0.05, t =-0.36</t>
  </si>
  <si>
    <t>add_ai57_o</t>
  </si>
  <si>
    <t>"testing for sex differences in preferences for Domestic skills in GDI (by ranking)"</t>
  </si>
  <si>
    <t>estimate = -0.27, t =-0.68</t>
  </si>
  <si>
    <t>add_ai6_1</t>
  </si>
  <si>
    <t>add_ai6</t>
  </si>
  <si>
    <t>Garry, M., French, L., Kinzett, T., &amp; Mori, K. (2008). Eyewitness memory following discussion: Using the MORI technique with a Western sample. Applied Cognitive Psychology: The Official Journal of the Society for Applied Research in Memory and Cognition, 22(4), 431-439.</t>
  </si>
  <si>
    <t>10.1002/acp.1376</t>
  </si>
  <si>
    <t>10.1002--acp.1376.pdf</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</si>
  <si>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</si>
  <si>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10.1037/h0101833</t>
  </si>
  <si>
    <t>10.1037--h0101833.pdf</t>
  </si>
  <si>
    <t>co-witness suggestibility effect</t>
  </si>
  <si>
    <t>"co-witness suggestibility effect; memory conformity; eye witness memory; post event conversation"</t>
  </si>
  <si>
    <t>"testing if subjects were more likely to report the correct answer for non-discussed critical details than discussed critical details (brazil)"</t>
  </si>
  <si>
    <t>"subjects were more likely to report the correct answer for non-discussed critical details than discussed critical details, M = 0.79, SD = 0.17; M 1⁄4 0.34, SD = 0.38, t (39) =6.82, p &lt; .01, Cohen’s d =1.11.1"</t>
  </si>
  <si>
    <t xml:space="preserve">Feedback for Baha: 1) You have not coded the main effects from both the original and the replication studies for this entry. 2) The discipline for this entry is "cognitive psychology" and not "social psychology" because it is a test on the eyewitness memory distortion. 3)  Please avoid using the quotation marks " " while coding the tags and description variables for the rows. 4) The correct sample size for the original study is N=40 and not 39, as coded. 5) You should only use the numbers while coding the claim_text_orig_page variable, for example, "6" and not p.6. The "p.6" should be used when coding the page numbers of the effect sizes. 6) Always check and edit the claim texts after copy-pasting. For instance, "=" is always copied as 1⁄4, which should not be the case. 7) Always check if the study is nested or not. For example, the replication study used a repeated-measures ANOVA; therefore, the nested_r variable for the replication study should be coded as "yes". 8) Finally, always check if the study is pre-registered or not. The replication study for this row was pre-registered; therefore,  the OSF link for the pre-registration should have been coded. You can use the "reg" or "pre-reg" to search for the pre-registrations. </t>
  </si>
  <si>
    <t>add_ai6_a</t>
  </si>
  <si>
    <t>1. Another naming of the effect can be "memory conformity effects"</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</si>
  <si>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</si>
  <si>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Co-witness suggestibility effect</t>
  </si>
  <si>
    <t>Co-witness suggestibility effect, memory conformity, eyewitness memory, post- event conversation, multi-lab replication project.</t>
  </si>
  <si>
    <t xml:space="preserve">Subjects remembered equal amount of details for the non-critical aspects </t>
  </si>
  <si>
    <t>"Subjects were equally good at remembering these details regardless of which version they saw, M = 9.70 (80%), SD = 1.95, M = 9.15 (76%), SD = 1.46, t (38) = 1.01, p = .32"</t>
  </si>
  <si>
    <t>t(38) = 1.01</t>
  </si>
  <si>
    <t>https://osf.io/gtwrc</t>
  </si>
  <si>
    <t>add_ai6_b</t>
  </si>
  <si>
    <t>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https://doi.org/10.1037/h0101833</t>
  </si>
  <si>
    <t>Discussion affect memory for an ostensibly shared event</t>
  </si>
  <si>
    <t>"Subjects were more likely to report the correct answer for non-discussed critical details than discussed critical details, M = 0.79, SD = 0.17; M = 0.34, SD = 0.38, t (39) = 6.82, p&lt;.01, Cohen’s d = 1.11"</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</si>
  <si>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</si>
  <si>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(canada)"</t>
  </si>
  <si>
    <t>add_ai6_c</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</si>
  <si>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</si>
  <si>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(colombia)"</t>
  </si>
  <si>
    <t>add_ai6_d</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</si>
  <si>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</si>
  <si>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(india)"</t>
  </si>
  <si>
    <t>add_ai6_e</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</si>
  <si>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</si>
  <si>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(japan)"</t>
  </si>
  <si>
    <t>add_ai6_f</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</si>
  <si>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</si>
  <si>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(malaysia)"</t>
  </si>
  <si>
    <t>add_ai6_g</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</si>
  <si>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</si>
  <si>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(poland)"</t>
  </si>
  <si>
    <t>add_ai6_h</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</si>
  <si>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</si>
  <si>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(portugal)"</t>
  </si>
  <si>
    <t>add_ai6_i</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</si>
  <si>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</si>
  <si>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(Turkey)"</t>
  </si>
  <si>
    <t>add_ai6_j</t>
  </si>
  <si>
    <r>
      <rPr>
        <rFont val="Calibri"/>
        <sz val="11.0"/>
      </rPr>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 </t>
    </r>
    <r>
      <rPr>
        <rFont val="Calibri"/>
        <color rgb="FF1155CC"/>
        <sz val="11.0"/>
        <u/>
      </rPr>
      <t>https://doi.org/10.1037/h0101833</t>
    </r>
  </si>
  <si>
    <t>"testing if subjects were more likely to report the correct answer for non-discussed critical details than discussed critical details (united kingdom)"</t>
  </si>
  <si>
    <t>add_ai60_1</t>
  </si>
  <si>
    <t>add_ai60</t>
  </si>
  <si>
    <t>to test the effect of simplicity and discipline on flexibility, they used different variables in every study (the original and the replication) which makes the comparaison between them difficult.</t>
  </si>
  <si>
    <t>Collins, R. S., Cordon, C., &amp; Julien, D. (1998). An empirical test of the rigid flexibility model. Journal of Operations Management, 16(2-3), 133-146.</t>
  </si>
  <si>
    <t>10.1016/S0272-6963(97)00033-8</t>
  </si>
  <si>
    <t>10.1016--s0272-6963(97)00033-8.pdf</t>
  </si>
  <si>
    <t>https://drive.google.com/file/d/1D5xW9DsPph5s0bUKFKsmaGST3y2HupAr/view?usp=drivesdk</t>
  </si>
  <si>
    <r>
      <rPr>
        <rFont val="Calibri"/>
        <sz val="11.0"/>
      </rPr>
      <t xml:space="preserve">Silveira, G.J.d. (2005). Effects of simplicity and discipline on operational flexibility: An empirical reexamination of the rigid flexibility model. Journal of Operations Management, 24(6), 932-947. </t>
    </r>
    <r>
      <rPr>
        <rFont val="Calibri"/>
        <color rgb="FF1155CC"/>
        <sz val="11.0"/>
        <u/>
      </rPr>
      <t>https://doi.org/10.1016/j.jom.2005.11.004</t>
    </r>
  </si>
  <si>
    <t>10.1016/j.jom.2005.11.004</t>
  </si>
  <si>
    <t>10.1016--j.jom.2005.11.004.pdf</t>
  </si>
  <si>
    <t>the rigid flexibility model</t>
  </si>
  <si>
    <t>Rigid flexibility; Manufacturing practice; Empirical test</t>
  </si>
  <si>
    <t>"flexibility was a function of both simplicity and discipline, and that the flexibility of the plant would improve, given increasing simplicity and discipline."</t>
  </si>
  <si>
    <t>"The overall results Table 4 are significant, with R2 of more than 0.17 in five out of six of the regressions. This is quite high, especially when compared to similar studies see Noble, 1995 . Further- Ž . more, the large number of sites in the database allows for the high statistical significance and low P-values that we observed. The empirical evidence strongly supports the tenets of the rigid flexibility model."</t>
  </si>
  <si>
    <t>add_ai60_a</t>
  </si>
  <si>
    <t>1. Only matching results are shown. The corresponding terms in original study are: inventory management (replication - CUSTOM), product cycle time (VOLFLEX), new product introduction (TTM), customer delivery time (MIXFLEX).</t>
  </si>
  <si>
    <r>
      <rPr>
        <rFont val="Calibri"/>
        <sz val="11.0"/>
      </rPr>
      <t xml:space="preserve">Silveira, G.J.d. (2005). Effects of simplicity and discipline on operational flexibility: An empirical reexamination of the rigid flexibility model. Journal of Operations Management, 24(6), 932-947. </t>
    </r>
    <r>
      <rPr>
        <rFont val="Calibri"/>
        <color rgb="FF1155CC"/>
        <sz val="11.0"/>
        <u/>
      </rPr>
      <t>https://doi.org/10.1016/j.jom.2005.11.004</t>
    </r>
  </si>
  <si>
    <t>Rigid flexibility</t>
  </si>
  <si>
    <t>Rigid flexibility, manufacturing practice, empirical test, operations improvement, regression analysis, empirical research</t>
  </si>
  <si>
    <t>Flexibility (inventory management) is significantly dependent on simplicity (lean management) in the total sample size</t>
  </si>
  <si>
    <t>"The results of the regression analyses are shown in Table 4 only the values for the statistically significant factors are shown"</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</si>
  <si>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</si>
  <si>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</si>
  <si>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add_ai60_a2</t>
  </si>
  <si>
    <t>1. Only matching results are shown. The corresponding terms in original study are: inventory management (replication - CUSTOM), product cycle time (VOLFLEX), new product introduction (TTM), customer delivery time (MIXFLEX).
2. The sample size for the country was calculated based on the total sample size and fig 2 (original paper)</t>
  </si>
  <si>
    <r>
      <rPr>
        <rFont val="Calibri"/>
        <sz val="11.0"/>
      </rPr>
      <t xml:space="preserve">Silveira, G.J.d. (2005). Effects of simplicity and discipline on operational flexibility: An empirical reexamination of the rigid flexibility model. Journal of Operations Management, 24(6), 932-947. </t>
    </r>
    <r>
      <rPr>
        <rFont val="Calibri"/>
        <color rgb="FF1155CC"/>
        <sz val="11.0"/>
        <u/>
      </rPr>
      <t>https://doi.org/10.1016/j.jom.2005.11.004</t>
    </r>
  </si>
  <si>
    <t>Flexibility (inventory management) is significantly dependent on discipline (strategic processes) in the UK sample.</t>
  </si>
  <si>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</si>
  <si>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</si>
  <si>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</si>
  <si>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add_ai60_a3</t>
  </si>
  <si>
    <r>
      <rPr>
        <rFont val="Calibri"/>
        <sz val="11.0"/>
      </rPr>
      <t xml:space="preserve">Silveira, G.J.d. (2005). Effects of simplicity and discipline on operational flexibility: An empirical reexamination of the rigid flexibility model. Journal of Operations Management, 24(6), 932-947. </t>
    </r>
    <r>
      <rPr>
        <rFont val="Calibri"/>
        <color rgb="FF1155CC"/>
        <sz val="11.0"/>
        <u/>
      </rPr>
      <t>https://doi.org/10.1016/j.jom.2005.11.004</t>
    </r>
  </si>
  <si>
    <r>
      <rPr>
        <rFont val="Arial"/>
        <color theme="1"/>
      </rPr>
      <t xml:space="preserve">The variable in the regression model of discipline over product cycle time is relatively low </t>
    </r>
    <r>
      <rPr>
        <rFont val="Arial"/>
        <color rgb="FF00FF00"/>
      </rPr>
      <t>in the Germany sample</t>
    </r>
  </si>
  <si>
    <t>r-square</t>
  </si>
  <si>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</si>
  <si>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7</t>
    </r>
  </si>
  <si>
    <t>add_ai60_b</t>
  </si>
  <si>
    <t>Silveira, G.J.d. (2005). Effects of simplicity and discipline on operational flexibility: An empirical reexamination of the rigid flexibility model. Journal of Operations Management, 24(6), 932-947. https://doi.org/10.1016/j.jom.2005.11.004</t>
  </si>
  <si>
    <t>Flexibility (Product cycle time) is significantly dependent on simplicity (lean management)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</si>
  <si>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</si>
  <si>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</si>
  <si>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add_ai60_b2</t>
  </si>
  <si>
    <t>Flexibility (product cycle time) is significantly dependent on discipline (Process capability)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</si>
  <si>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</si>
  <si>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</si>
  <si>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add_ai60_b3</t>
  </si>
  <si>
    <r>
      <rPr>
        <rFont val="Arial"/>
        <color theme="1"/>
      </rPr>
      <t xml:space="preserve">The variable in the regression model of discipline over new product introduction is relatively low </t>
    </r>
    <r>
      <rPr>
        <rFont val="Arial"/>
        <color rgb="FF00FF00"/>
      </rPr>
      <t>in the Germany sample</t>
    </r>
  </si>
  <si>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</si>
  <si>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7</t>
    </r>
  </si>
  <si>
    <t>add_ai60_c</t>
  </si>
  <si>
    <t>Flexibility (Product cycle time) is significantly dependent on simplicity (lean attitude)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</si>
  <si>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</si>
  <si>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</si>
  <si>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add_ai60_c2</t>
  </si>
  <si>
    <t>Flexibility (new product introduction) is significantly dependent on discipline (waste)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</si>
  <si>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</si>
  <si>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</si>
  <si>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add_ai60_c3</t>
  </si>
  <si>
    <r>
      <rPr>
        <rFont val="Arial"/>
        <color theme="1"/>
      </rPr>
      <t xml:space="preserve">The variable in the regression model of discipline over customer delivery time is relatively low </t>
    </r>
    <r>
      <rPr>
        <rFont val="Arial"/>
        <color rgb="FF00FF00"/>
      </rPr>
      <t>in the Germany sample</t>
    </r>
  </si>
  <si>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</si>
  <si>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7</t>
    </r>
  </si>
  <si>
    <t>add_ai60_d</t>
  </si>
  <si>
    <t>Flexibility (New product itroduction) is significantly dependent on simplicity (lean management)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</si>
  <si>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</si>
  <si>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</si>
  <si>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add_ai60_d2</t>
  </si>
  <si>
    <t>Flexibility (new product introduction) is significantly dependent on discipline (process capability)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</si>
  <si>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</si>
  <si>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</si>
  <si>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add_ai60_d3</t>
  </si>
  <si>
    <t>Flexibility (Product cycle time) is significantly dependent on simplicity (lean management) in the Switzerland sample</t>
  </si>
  <si>
    <r>
      <rPr>
        <rFont val="Calibri"/>
        <color theme="1"/>
        <sz val="11.0"/>
      </rPr>
      <t xml:space="preserve">p. 13/ </t>
    </r>
    <r>
      <rPr>
        <rFont val="Calibri"/>
        <color rgb="FF00FF00"/>
        <sz val="11.0"/>
      </rPr>
      <t>Appendix D- Table III</t>
    </r>
  </si>
  <si>
    <r>
      <rPr>
        <rFont val="Arial"/>
        <color theme="1"/>
      </rPr>
      <t>p. 9/</t>
    </r>
    <r>
      <rPr>
        <rFont val="Arial"/>
        <color rgb="FF00FF00"/>
      </rPr>
      <t xml:space="preserve"> Table 6</t>
    </r>
  </si>
  <si>
    <t>add_ai60_e</t>
  </si>
  <si>
    <t>Flexibility (New product introduction) is significantly dependent on simplicity (lean attitude)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</si>
  <si>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</si>
  <si>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</si>
  <si>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add_ai60_e2</t>
  </si>
  <si>
    <t>Flexibility (new product introduction) is significantly dependent on discipline (strategic processes)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</si>
  <si>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</si>
  <si>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</si>
  <si>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add_ai60_e3</t>
  </si>
  <si>
    <t>Flexibility (Product cycle time) is significantly dependent on simplicity (lean attitude) in the Switzerland sample</t>
  </si>
  <si>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</si>
  <si>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</si>
  <si>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add_ai60_f</t>
  </si>
  <si>
    <t>Flexibility (Customer delivery time) is significantly dependent on simplicity (lean management)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</si>
  <si>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</si>
  <si>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</si>
  <si>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add_ai60_f2</t>
  </si>
  <si>
    <t>Flexibility (new product introduction) is significantly dependent on discipline (quality management processes)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</si>
  <si>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</si>
  <si>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</si>
  <si>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add_ai60_f3</t>
  </si>
  <si>
    <t>Flexibility (New product introduction) is significantly dependent on simplicity (lean management) in the Switzerland sample</t>
  </si>
  <si>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</si>
  <si>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</si>
  <si>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add_ai60_g</t>
  </si>
  <si>
    <t>Flexibility (inventory management) is significantly dependent on discipline (strategic processes)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</si>
  <si>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</si>
  <si>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</si>
  <si>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add_ai60_g2</t>
  </si>
  <si>
    <t>Flexibility (customer delivery time) is significantly dependent on discipline (process capability)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</si>
  <si>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</si>
  <si>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</si>
  <si>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add_ai60_g3</t>
  </si>
  <si>
    <t>Flexibility (New product introduction) is significantly dependent on simplicity (lean attitude) in the Switzerland sample</t>
  </si>
  <si>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</si>
  <si>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</si>
  <si>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add_ai60_h</t>
  </si>
  <si>
    <t>Flexibility (product cycle time) is significantly dependent on discipline (Process capability)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</si>
  <si>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</si>
  <si>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</si>
  <si>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add_ai60_h2</t>
  </si>
  <si>
    <r>
      <rPr>
        <rFont val="Arial"/>
        <color theme="1"/>
      </rPr>
      <t xml:space="preserve">The variable in the regression model of simplicity over inventory management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</si>
  <si>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</si>
  <si>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</si>
  <si>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add_ai60_h3</t>
  </si>
  <si>
    <t>Flexibility (new product introduction) is significantly dependent on discipline (strategic processes) in the Switzerland sample</t>
  </si>
  <si>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</si>
  <si>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7</t>
    </r>
  </si>
  <si>
    <t>add_ai60_i</t>
  </si>
  <si>
    <t>Flexibility (new product introduction) is significantly dependent on discipline (waste)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</si>
  <si>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</si>
  <si>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</si>
  <si>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add_ai60_i2</t>
  </si>
  <si>
    <r>
      <rPr>
        <rFont val="Arial"/>
        <color theme="1"/>
      </rPr>
      <t xml:space="preserve">The variable in the regression model of simplicity over product cycle time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</si>
  <si>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</si>
  <si>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</si>
  <si>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add_ai60_i3</t>
  </si>
  <si>
    <t>Flexibility (customer delivery time) is significantly dependent on discipline (waste) in the Switzerland sample</t>
  </si>
  <si>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</si>
  <si>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7</t>
    </r>
  </si>
  <si>
    <t>add_ai60_j</t>
  </si>
  <si>
    <t>Flexibility (new product introduction) is significantly dependent on discipline (process capability)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</si>
  <si>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</si>
  <si>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</si>
  <si>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add_ai60_j2</t>
  </si>
  <si>
    <r>
      <rPr>
        <rFont val="Arial"/>
        <color theme="1"/>
      </rPr>
      <t xml:space="preserve">The variable in the regression model of simplicity over new product introduction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</si>
  <si>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</si>
  <si>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</si>
  <si>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add_ai60_j3</t>
  </si>
  <si>
    <r>
      <rPr>
        <rFont val="Arial"/>
        <color theme="1"/>
      </rPr>
      <t xml:space="preserve">The variable in the regression model of simplicity over product cycle time is relatively low </t>
    </r>
    <r>
      <rPr>
        <rFont val="Arial"/>
        <color rgb="FF00FF00"/>
      </rPr>
      <t>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</si>
  <si>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</si>
  <si>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</si>
  <si>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add_ai60_k</t>
  </si>
  <si>
    <t>Flexibility (new product introduction) is significantly dependent on discipline (strategic processes)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</si>
  <si>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</si>
  <si>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</si>
  <si>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add_ai60_k2</t>
  </si>
  <si>
    <r>
      <rPr>
        <rFont val="Arial"/>
        <color theme="1"/>
      </rPr>
      <t xml:space="preserve">The variable in the regression model of simplicity over customer delivery time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</si>
  <si>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</si>
  <si>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</si>
  <si>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add_ai60_k3</t>
  </si>
  <si>
    <r>
      <rPr>
        <rFont val="Arial"/>
        <color theme="1"/>
      </rPr>
      <t xml:space="preserve">The variable in the regression model of simplicity over new product introduction is relatively low </t>
    </r>
    <r>
      <rPr>
        <rFont val="Arial"/>
        <color rgb="FF00FF00"/>
      </rPr>
      <t>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</si>
  <si>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</si>
  <si>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</si>
  <si>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add_ai60_l</t>
  </si>
  <si>
    <t>Flexibility (new product introduction) is significantly dependent on discipline (quality management processes)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</si>
  <si>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</si>
  <si>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</si>
  <si>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add_ai60_l2</t>
  </si>
  <si>
    <r>
      <rPr>
        <rFont val="Arial"/>
        <color theme="1"/>
      </rPr>
      <t>The variable in the regression model of discipline over inventory management is relatively low</t>
    </r>
    <r>
      <rPr>
        <rFont val="Arial"/>
        <color rgb="FF00FF00"/>
      </rPr>
      <t xml:space="preserve"> 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</si>
  <si>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</si>
  <si>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</si>
  <si>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add_ai60_l3</t>
  </si>
  <si>
    <r>
      <rPr>
        <rFont val="Arial"/>
        <color theme="1"/>
      </rPr>
      <t xml:space="preserve">The variable in the regression model of simplicity over customer delivery time is relatively low </t>
    </r>
    <r>
      <rPr>
        <rFont val="Arial"/>
        <color rgb="FF00FF00"/>
      </rPr>
      <t>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</si>
  <si>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</si>
  <si>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6</t>
    </r>
  </si>
  <si>
    <t>add_ai60_m</t>
  </si>
  <si>
    <t>Flexibility (customer delivery time) is significantly dependent on discipline (waste)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</si>
  <si>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</si>
  <si>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</si>
  <si>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add_ai60_m2</t>
  </si>
  <si>
    <r>
      <rPr>
        <rFont val="Arial"/>
        <color theme="1"/>
      </rPr>
      <t xml:space="preserve">The variable in the regression model of discipline over product cycle time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</si>
  <si>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</si>
  <si>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</si>
  <si>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add_ai60_m3</t>
  </si>
  <si>
    <r>
      <rPr>
        <rFont val="Arial"/>
        <color theme="1"/>
      </rPr>
      <t xml:space="preserve">The variable in the regression model of discipline over product cycle time is relatively low </t>
    </r>
    <r>
      <rPr>
        <rFont val="Arial"/>
        <color rgb="FF00FF00"/>
      </rPr>
      <t>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</si>
  <si>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</si>
  <si>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7</t>
    </r>
  </si>
  <si>
    <t>add_ai60_n</t>
  </si>
  <si>
    <t>Flexibility (customer delivery time) is significantly dependent on discipline (process capability) in the total sample size</t>
  </si>
  <si>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</si>
  <si>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</si>
  <si>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add_ai60_n2</t>
  </si>
  <si>
    <r>
      <rPr>
        <rFont val="Arial"/>
        <color rgb="FF000000"/>
      </rPr>
      <t xml:space="preserve">The variable in the regression model of discipline over new product introduction is relatively low </t>
    </r>
    <r>
      <rPr>
        <rFont val="Arial"/>
        <color rgb="FF000000"/>
      </rPr>
      <t>in the UK sample</t>
    </r>
  </si>
  <si>
    <r>
      <rPr>
        <rFont val="Calibri"/>
        <color rgb="FF000000"/>
        <sz val="11.0"/>
      </rPr>
      <t xml:space="preserve">p. 12/ </t>
    </r>
    <r>
      <rPr>
        <rFont val="Calibri"/>
        <color rgb="FF000000"/>
        <sz val="11.0"/>
      </rPr>
      <t>Appendix D- Table I</t>
    </r>
  </si>
  <si>
    <r>
      <rPr>
        <rFont val="Arial"/>
        <color rgb="FF000000"/>
      </rPr>
      <t xml:space="preserve">p. 9/ </t>
    </r>
    <r>
      <rPr>
        <rFont val="Arial"/>
        <color rgb="FF00FF00"/>
      </rPr>
      <t>Table 7</t>
    </r>
  </si>
  <si>
    <t>add_ai60_n3</t>
  </si>
  <si>
    <r>
      <rPr>
        <rFont val="Arial"/>
        <color theme="1"/>
      </rPr>
      <t xml:space="preserve">The variable in the regression model of discipline over new product introduction is relatively low </t>
    </r>
    <r>
      <rPr>
        <rFont val="Arial"/>
        <color rgb="FF00FF00"/>
      </rPr>
      <t>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</si>
  <si>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</si>
  <si>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7</t>
    </r>
  </si>
  <si>
    <t>add_ai60_o</t>
  </si>
  <si>
    <r>
      <rPr>
        <rFont val="Arial"/>
        <color theme="1"/>
      </rPr>
      <t xml:space="preserve">The variable in the regression model of simplicity over inventory management is relatively low </t>
    </r>
    <r>
      <rPr>
        <rFont val="Arial"/>
        <color rgb="FF00FF00"/>
      </rPr>
      <t>in the total sample size</t>
    </r>
  </si>
  <si>
    <t>"The overall results Table 4 are significant, with R2 of more than 0.17 in five out of six of the regressions"</t>
  </si>
  <si>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</si>
  <si>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</si>
  <si>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add_ai60_o2</t>
  </si>
  <si>
    <r>
      <rPr>
        <rFont val="Arial"/>
        <color theme="1"/>
      </rPr>
      <t xml:space="preserve">The variable in the regression model of discipline over customer delivery time is relatively low </t>
    </r>
    <r>
      <rPr>
        <rFont val="Arial"/>
        <color rgb="FF00FF00"/>
      </rPr>
      <t>in the UK sample</t>
    </r>
  </si>
  <si>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</si>
  <si>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7</t>
    </r>
  </si>
  <si>
    <t>add_ai60_o3</t>
  </si>
  <si>
    <r>
      <rPr>
        <rFont val="Arial"/>
        <color theme="1"/>
      </rPr>
      <t>The variable in the regression model of discipline over customer delivery time is relatively low</t>
    </r>
    <r>
      <rPr>
        <rFont val="Arial"/>
        <color rgb="FF00FF00"/>
      </rPr>
      <t xml:space="preserve"> in the Switzerland sample</t>
    </r>
  </si>
  <si>
    <r>
      <rPr>
        <rFont val="Calibri"/>
        <color theme="1"/>
        <sz val="11.0"/>
      </rPr>
      <t xml:space="preserve">p. 13/ </t>
    </r>
    <r>
      <rPr>
        <rFont val="Calibri"/>
        <color rgb="FF00FF00"/>
        <sz val="11.0"/>
      </rPr>
      <t>Appendix D- Table III</t>
    </r>
  </si>
  <si>
    <r>
      <rPr>
        <rFont val="Arial"/>
        <color theme="1"/>
      </rPr>
      <t xml:space="preserve">p. 9/ </t>
    </r>
    <r>
      <rPr>
        <rFont val="Arial"/>
        <color rgb="FF00FF00"/>
      </rPr>
      <t>Table 7</t>
    </r>
  </si>
  <si>
    <t>add_ai60_p</t>
  </si>
  <si>
    <r>
      <rPr>
        <rFont val="Arial"/>
        <color theme="1"/>
      </rPr>
      <t xml:space="preserve">The variable in the regression model of simplicity over product cycle time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</si>
  <si>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</si>
  <si>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</si>
  <si>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add_ai60_p2</t>
  </si>
  <si>
    <t>Flexibility (inventory management) is significantly dependent on simplicity (lean management) in the Germany sample</t>
  </si>
  <si>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</si>
  <si>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6</t>
    </r>
  </si>
  <si>
    <t>add_ai60_p3</t>
  </si>
  <si>
    <t>Flexibility (inventory management) is significantly dependent on simplicity (lean management) in the Netherlands sample</t>
  </si>
  <si>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</si>
  <si>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6</t>
    </r>
  </si>
  <si>
    <t>add_ai60_q</t>
  </si>
  <si>
    <r>
      <rPr>
        <rFont val="Arial"/>
        <color theme="1"/>
      </rPr>
      <t xml:space="preserve">The variable in the regression model of simplicity over new product introduction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</si>
  <si>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</si>
  <si>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</si>
  <si>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add_ai60_q2</t>
  </si>
  <si>
    <t>Flexibility (Product cycle time) is significantly dependent on simplicity (lean management) in the Germany sample</t>
  </si>
  <si>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</si>
  <si>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6</t>
    </r>
  </si>
  <si>
    <t>add_ai60_q3</t>
  </si>
  <si>
    <t>Flexibility (Product cycle time) is significantly dependent on simplicity (lean management) in the Netherlands sample</t>
  </si>
  <si>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</si>
  <si>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6</t>
    </r>
  </si>
  <si>
    <t>add_ai60_r</t>
  </si>
  <si>
    <r>
      <rPr>
        <rFont val="Arial"/>
        <color theme="1"/>
      </rPr>
      <t xml:space="preserve">The variable in the regression model of simplicity over customer delivery time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</si>
  <si>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</si>
  <si>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6</t>
    </r>
  </si>
  <si>
    <t>add_ai60_r2</t>
  </si>
  <si>
    <t>Flexibility (New product introduction) is significantly dependent on simplicity (lean attitude) in the Germany sample</t>
  </si>
  <si>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</si>
  <si>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6</t>
    </r>
  </si>
  <si>
    <t>add_ai60_r3</t>
  </si>
  <si>
    <t>Flexibility (new product introduction) is significantly dependent on discipline (strategic processes) in the Netherlands sample</t>
  </si>
  <si>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</si>
  <si>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7</t>
    </r>
  </si>
  <si>
    <t>add_ai60_s</t>
  </si>
  <si>
    <r>
      <rPr>
        <rFont val="Arial"/>
        <color theme="1"/>
      </rPr>
      <t xml:space="preserve">The variable in the regression model of discipline over inventory management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</si>
  <si>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</si>
  <si>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</si>
  <si>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add_ai60_s2</t>
  </si>
  <si>
    <t>Flexibility (Customer delivery time) is significantly dependent on simplicity (lean management) in the Germany sample</t>
  </si>
  <si>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</si>
  <si>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6</t>
    </r>
  </si>
  <si>
    <t>add_ai60_s3</t>
  </si>
  <si>
    <t>Flexibility (new product introduction) is significantly dependent on discipline (quality management processes) in the Netherlands sample</t>
  </si>
  <si>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</si>
  <si>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7</t>
    </r>
  </si>
  <si>
    <t>add_ai60_t</t>
  </si>
  <si>
    <r>
      <rPr>
        <rFont val="Arial"/>
        <color theme="1"/>
      </rPr>
      <t xml:space="preserve">The variable in the regression model of discipline over product cycle time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</si>
  <si>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</si>
  <si>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</si>
  <si>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add_ai60_t2</t>
  </si>
  <si>
    <t xml:space="preserve">The test statistics coded for the original study are for warehousing under regression analysis for Germany in Appendix D, Table II, and not for the description that flexibility (product cycle time) is significantly dependent on discipline (Process capability) in the Germany sample </t>
  </si>
  <si>
    <t>Flexibility (product cycle time) is significantly dependent on discipline (Process capability) in the Germany sample</t>
  </si>
  <si>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</si>
  <si>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7</t>
    </r>
  </si>
  <si>
    <t>add_ai60_t3</t>
  </si>
  <si>
    <r>
      <rPr>
        <rFont val="Arial"/>
        <color theme="1"/>
      </rPr>
      <t xml:space="preserve">The variable in the regression model of simplicity over inventory management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</si>
  <si>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</si>
  <si>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6</t>
    </r>
  </si>
  <si>
    <t>add_ai60_u</t>
  </si>
  <si>
    <r>
      <rPr>
        <rFont val="Arial"/>
        <color theme="1"/>
      </rPr>
      <t xml:space="preserve">The variable in the regression model of discipline over new product introduction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</si>
  <si>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</si>
  <si>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</si>
  <si>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add_ai60_u2</t>
  </si>
  <si>
    <t>Flexibility (new product introduction) is significantly dependent on discipline (process capability) in the Germany sample</t>
  </si>
  <si>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</si>
  <si>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7</t>
    </r>
  </si>
  <si>
    <t>add_ai60_u3</t>
  </si>
  <si>
    <r>
      <rPr>
        <rFont val="Arial"/>
        <color theme="1"/>
      </rPr>
      <t xml:space="preserve">The variable in the regression model of simplicity over product cycle time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</si>
  <si>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</si>
  <si>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6</t>
    </r>
  </si>
  <si>
    <t>add_ai60_v</t>
  </si>
  <si>
    <r>
      <rPr>
        <rFont val="Arial"/>
        <color theme="1"/>
      </rPr>
      <t xml:space="preserve">The variable in the regression model of discipline over customer delivery time is relatively low </t>
    </r>
    <r>
      <rPr>
        <rFont val="Arial"/>
        <color rgb="FF00FF00"/>
      </rPr>
      <t>in the total sample size</t>
    </r>
  </si>
  <si>
    <r>
      <rPr>
        <rFont val="Calibri"/>
        <color theme="1"/>
        <sz val="11.0"/>
      </rPr>
      <t xml:space="preserve">p. 6/ </t>
    </r>
    <r>
      <rPr>
        <rFont val="Calibri"/>
        <color rgb="FF00FF00"/>
        <sz val="11.0"/>
      </rPr>
      <t>Table 4</t>
    </r>
  </si>
  <si>
    <r>
      <rPr>
        <rFont val="Arial"/>
        <color theme="1"/>
      </rPr>
      <t xml:space="preserve">p. 9/ </t>
    </r>
    <r>
      <rPr>
        <rFont val="Arial"/>
        <color rgb="FF00FF00"/>
      </rPr>
      <t>Table 7</t>
    </r>
  </si>
  <si>
    <t>add_ai60_v2</t>
  </si>
  <si>
    <r>
      <rPr>
        <rFont val="Arial"/>
        <color theme="1"/>
      </rPr>
      <t xml:space="preserve">The variable in the regression model of simplicity over inventory management is relatively low </t>
    </r>
    <r>
      <rPr>
        <rFont val="Arial"/>
        <color rgb="FF00FF00"/>
      </rPr>
      <t>in the Germany sample</t>
    </r>
  </si>
  <si>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</si>
  <si>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6</t>
    </r>
  </si>
  <si>
    <t>add_ai60_v3</t>
  </si>
  <si>
    <r>
      <rPr>
        <rFont val="Arial"/>
        <color theme="1"/>
      </rPr>
      <t xml:space="preserve">The variable in the regression model of simplicity over new product introduction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</si>
  <si>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</si>
  <si>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6</t>
    </r>
  </si>
  <si>
    <t>add_ai60_w</t>
  </si>
  <si>
    <t>Flexibility (inventory management) is significantly dependent on simplicity (lean management)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</si>
  <si>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</si>
  <si>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</si>
  <si>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add_ai60_w2</t>
  </si>
  <si>
    <r>
      <rPr>
        <rFont val="Arial"/>
        <color theme="1"/>
      </rPr>
      <t xml:space="preserve">The variable in the regression model of simplicity over product cycle time is relatively low </t>
    </r>
    <r>
      <rPr>
        <rFont val="Arial"/>
        <color rgb="FF00FF00"/>
      </rPr>
      <t>in the Germany sample</t>
    </r>
  </si>
  <si>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</si>
  <si>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6</t>
    </r>
  </si>
  <si>
    <t>add_ai60_w3</t>
  </si>
  <si>
    <r>
      <rPr>
        <rFont val="Arial"/>
        <color theme="1"/>
      </rPr>
      <t xml:space="preserve">The variable in the regression model of discipline over inventory management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</si>
  <si>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</si>
  <si>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7</t>
    </r>
  </si>
  <si>
    <t>add_ai60_x</t>
  </si>
  <si>
    <t>Flexibility (Product cycle time) is significantly dependent on simplicity (lean management)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</si>
  <si>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</si>
  <si>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</si>
  <si>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add_ai60_x2</t>
  </si>
  <si>
    <r>
      <rPr>
        <rFont val="Arial"/>
        <color theme="1"/>
      </rPr>
      <t xml:space="preserve">The variable in the regression model of simplicity over new product introduction is relatively low </t>
    </r>
    <r>
      <rPr>
        <rFont val="Arial"/>
        <color rgb="FF00FF00"/>
      </rPr>
      <t>in the Germany sample</t>
    </r>
  </si>
  <si>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</si>
  <si>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6</t>
    </r>
  </si>
  <si>
    <t>add_ai60_x3</t>
  </si>
  <si>
    <r>
      <rPr>
        <rFont val="Arial"/>
        <color theme="1"/>
      </rPr>
      <t xml:space="preserve">The variable in the regression model of discipline over product cycle time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</si>
  <si>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</si>
  <si>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7</t>
    </r>
  </si>
  <si>
    <t>add_ai60_y</t>
  </si>
  <si>
    <t>Flexibility (Product cycle time) is significantly dependent on simplicity (lean attitude) in the UK sample</t>
  </si>
  <si>
    <r>
      <rPr>
        <rFont val="Calibri"/>
        <color theme="1"/>
        <sz val="11.0"/>
      </rPr>
      <t>p. 12/</t>
    </r>
    <r>
      <rPr>
        <rFont val="Calibri"/>
        <color rgb="FF00FF00"/>
        <sz val="11.0"/>
      </rPr>
      <t xml:space="preserve"> Appendix D- Table I</t>
    </r>
  </si>
  <si>
    <r>
      <rPr>
        <rFont val="Arial"/>
        <color theme="1"/>
      </rPr>
      <t xml:space="preserve">p. 9/ </t>
    </r>
    <r>
      <rPr>
        <rFont val="Arial"/>
        <color rgb="FF00FF00"/>
      </rPr>
      <t>Table 6</t>
    </r>
  </si>
  <si>
    <t>add_ai60_y2</t>
  </si>
  <si>
    <r>
      <rPr>
        <rFont val="Arial"/>
        <color theme="1"/>
      </rPr>
      <t xml:space="preserve">The variable in the regression model of simplicity over customer delivery time is relatively low </t>
    </r>
    <r>
      <rPr>
        <rFont val="Arial"/>
        <color rgb="FF00FF00"/>
      </rPr>
      <t>in the Germany sample</t>
    </r>
  </si>
  <si>
    <r>
      <rPr>
        <rFont val="Calibri"/>
        <color theme="1"/>
        <sz val="11.0"/>
      </rPr>
      <t xml:space="preserve">p. 13/ </t>
    </r>
    <r>
      <rPr>
        <rFont val="Calibri"/>
        <color rgb="FF00FF00"/>
        <sz val="11.0"/>
      </rPr>
      <t>Appendix D- Table II</t>
    </r>
  </si>
  <si>
    <r>
      <rPr>
        <rFont val="Arial"/>
        <color theme="1"/>
      </rPr>
      <t xml:space="preserve">p. 9/ </t>
    </r>
    <r>
      <rPr>
        <rFont val="Arial"/>
        <color rgb="FF00FF00"/>
      </rPr>
      <t>Table 6</t>
    </r>
  </si>
  <si>
    <t>add_ai60_y3</t>
  </si>
  <si>
    <r>
      <rPr>
        <rFont val="Arial"/>
        <color theme="1"/>
      </rPr>
      <t xml:space="preserve">The variable in the regression model of discipline over new product introduction is relatively low </t>
    </r>
    <r>
      <rPr>
        <rFont val="Arial"/>
        <color rgb="FF00FF00"/>
      </rPr>
      <t>in the Netherlands sample</t>
    </r>
  </si>
  <si>
    <r>
      <rPr>
        <rFont val="Calibri"/>
        <color theme="1"/>
        <sz val="11.0"/>
      </rPr>
      <t xml:space="preserve">p. 14/ </t>
    </r>
    <r>
      <rPr>
        <rFont val="Calibri"/>
        <color rgb="FF00FF00"/>
        <sz val="11.0"/>
      </rPr>
      <t>Appendix D- Table IV</t>
    </r>
  </si>
  <si>
    <r>
      <rPr>
        <rFont val="Arial"/>
        <color theme="1"/>
      </rPr>
      <t xml:space="preserve">p. 9/ </t>
    </r>
    <r>
      <rPr>
        <rFont val="Arial"/>
        <color rgb="FF00FF00"/>
      </rPr>
      <t>Table 7</t>
    </r>
  </si>
  <si>
    <t>add_ai60_z</t>
  </si>
  <si>
    <t>Flexibility (Customer delivery time) is significantly dependent on simplicity (lean management) in the UK sample</t>
  </si>
  <si>
    <r>
      <rPr>
        <rFont val="Calibri"/>
        <color theme="1"/>
        <sz val="11.0"/>
      </rPr>
      <t xml:space="preserve">p. 12/ </t>
    </r>
    <r>
      <rPr>
        <rFont val="Calibri"/>
        <color rgb="FF00FF00"/>
        <sz val="11.0"/>
      </rPr>
      <t>Appendix D- Table I</t>
    </r>
  </si>
  <si>
    <r>
      <rPr>
        <rFont val="Arial"/>
        <color theme="1"/>
      </rPr>
      <t xml:space="preserve">p. 9/ </t>
    </r>
    <r>
      <rPr>
        <rFont val="Arial"/>
        <color rgb="FF00FF00"/>
      </rPr>
      <t>Table 6</t>
    </r>
  </si>
  <si>
    <t>add_ai60_z2</t>
  </si>
  <si>
    <r>
      <rPr>
        <rFont val="Arial"/>
        <color theme="1"/>
      </rPr>
      <t>The variable in the regression model of discipline over inventory management is relatively low</t>
    </r>
    <r>
      <rPr>
        <rFont val="Arial"/>
        <color rgb="FF00FF00"/>
      </rPr>
      <t xml:space="preserve"> in the Germany sample</t>
    </r>
  </si>
  <si>
    <r>
      <rPr>
        <rFont val="Calibri"/>
        <color theme="1"/>
        <sz val="11.0"/>
      </rPr>
      <t xml:space="preserve">p. 12/ </t>
    </r>
    <r>
      <rPr>
        <rFont val="Calibri"/>
        <color rgb="FF00FF00"/>
        <sz val="11.0"/>
      </rPr>
      <t>Appendix D- Table II</t>
    </r>
  </si>
  <si>
    <r>
      <rPr>
        <rFont val="Arial"/>
        <color theme="1"/>
      </rPr>
      <t xml:space="preserve">p. 9/ </t>
    </r>
    <r>
      <rPr>
        <rFont val="Arial"/>
        <color rgb="FF00FF00"/>
      </rPr>
      <t>Table 7</t>
    </r>
  </si>
  <si>
    <t>add_ai71_1</t>
  </si>
  <si>
    <t>add_ai71</t>
  </si>
  <si>
    <t>the o_study is similar to a review paper (no studies) and the replication paper replicates totally diffrent papers. r_papaer page 6 : Based on a literature review of the articles published in SMJ through 2013, we identified three studies—by Certo and his colleagues (2001), Filatotchev and Bishop (2002), and Cohen and Dean (2005)—that use signaling theory to examine IPO underpricing with information asymmetry as its underlying theoretical mechanism. We chose these studies to replicate</t>
  </si>
  <si>
    <t>Bettis, R. A., Ethiraj, S., Gambardella, A., Helfat, C., &amp; Mitchell, W. (2016). Creating repeatable cumulative knowledge in strategic management: A call for a broad and deep conversation among authors, referees, and editors. Strategic Management Journal, 257-261.</t>
  </si>
  <si>
    <t>10.1002/smj.2477</t>
  </si>
  <si>
    <t>10.1002--smj.2477.pdf</t>
  </si>
  <si>
    <t>Park, U.D., Borah, A., &amp; Kotha, S. (2016). Signaling revisited: The use of signals in the market for &lt;scp&gt;IPO&lt;/scp&gt;s. Strategic Management Journal, 37(11), 2362-2377. https://doi.org/10.1002/smj.2571</t>
  </si>
  <si>
    <t>10.1002/smj.2571</t>
  </si>
  <si>
    <t>10.1002--smj.2571.pdf</t>
  </si>
  <si>
    <t>add_ai76_1</t>
  </si>
  <si>
    <t>add_ai76</t>
  </si>
  <si>
    <t>the o_study is developing a model of adult education participation (Education Participation Scale) all the analysis in this paper are factor analysis to group the items and create the scale. I don't really now how to report this type of analysis. So here I just reported the correlation/factor loading of social walefare and social escape.</t>
  </si>
  <si>
    <t>The test statistics coded for this row are insufficient or incorrect to choose this row; hence, it has been discarded.</t>
  </si>
  <si>
    <t>Boshier, R. (1971). Motivational orientations of adult education participants: A factor analytic exploration of Houle's typology. Adult education, 21(2), 3-26.</t>
  </si>
  <si>
    <t>10.1177/074171367102100201</t>
  </si>
  <si>
    <t>10.1177--074171367102100201.pdf</t>
  </si>
  <si>
    <t>Morstain, B.R., &amp; Smart, J.C. (1974). Reasons for Participation in Adult Education Courses: a Multivariate Analysis of Group Differences. Adult Education, 24(2), 83-98. https://doi.org/10.1177/074171367402400201</t>
  </si>
  <si>
    <t>10.1177/074171367402400201</t>
  </si>
  <si>
    <t>10.1177--074171367402400201.pdf</t>
  </si>
  <si>
    <t>ADULT EDUCATION</t>
  </si>
  <si>
    <t>motivational orientation, adult education, Education Participation Scale (EPS)</t>
  </si>
  <si>
    <t>In developing a model of adult education participa-tion</t>
  </si>
  <si>
    <t>social walefare...Interpersonal improvement/escape</t>
  </si>
  <si>
    <t>add_ai82_1</t>
  </si>
  <si>
    <t>add_ai82</t>
  </si>
  <si>
    <t>there are no statistical results reported in both papers, I think maybe they are qualitative studies ? ; from the r_paper ("As was the case in the research of Beaverland and Lindgreen, this study uses a case study method of data collection and analysis....Data collection involved the use of interviews with two senior members of the marketing team from Meat &amp; Wool New Zealand as the source of primary data. The data gathered in these interviews was supplemented with secondary information gathered from websites, press releases, newspaper articles, online databases, historic case studies, annual reports and business reports.")</t>
  </si>
  <si>
    <t>Beverland, M., &amp; Lindgreen, A. (2002). Using country of origin in strategy: The importance of context and strategic action. Journal of Brand Management, 10, 147-167.</t>
  </si>
  <si>
    <t>10.1057/palgrave.bm.2540112</t>
  </si>
  <si>
    <t>10.1057--palgrave.bm.2540112.pdf</t>
  </si>
  <si>
    <t>Clark, P.R., &amp; Dana, T.E. (2007). Marketing New Zealand lamb in the EU. International Journal of Entrepreneurship and Small Business, 4(6), 807-807. https://doi.org/10.1504/ijesb.2007.014983</t>
  </si>
  <si>
    <t>10.1504/ijesb.2007.014983</t>
  </si>
  <si>
    <t>10.1504--ijesb.2007.014983.pdf</t>
  </si>
  <si>
    <t>Country-Of-Origin strategy</t>
  </si>
  <si>
    <t>country-of-origin (COO), global brand programs, marketing</t>
  </si>
  <si>
    <t>add_ai84_1</t>
  </si>
  <si>
    <t>add_ai84</t>
  </si>
  <si>
    <t xml:space="preserve">I reported the main/only replicated effect related to the association between germline variations in chromosome 8q24 (specifically SNP rs1447295 in region 1) and prostate cancer risk. The r_study then extended the results to other regions/germline variations. The original and replicaions studies are This case–control studies so I reported the sample sizes with that format (n case/ n control). </t>
  </si>
  <si>
    <t>Amundadottir, L. T., Sulem, P., Gudmundsson, J., Helgason, A., Baker, A., Agnarsson, B. A., ... &amp; Stefansson, K. (2006). A common variant associated with prostate cancer in European and African populations. Nature genetics, 38(6), 652-658.</t>
  </si>
  <si>
    <t>10.1038/ng1808</t>
  </si>
  <si>
    <t>10.1038--ng1808.pdf</t>
  </si>
  <si>
    <t>Okobia, M.N., Zmuda, J.M., Ferrell, R.E., Patrick, A.L., &amp; Bunker, C.H. (2011). Chromosome 8q24 variants are associated with prostate cancer risk in a high risk population of African ancestry. The Prostate, 71(10), 1054-1063. https://doi.org/10.1002/pros.21320</t>
  </si>
  <si>
    <t>10.1002/pros.21320</t>
  </si>
  <si>
    <t>10.1002--pros.21320.pdf</t>
  </si>
  <si>
    <t>prostate cancer</t>
  </si>
  <si>
    <t>prostate cancer, chromosome 8q24, germline risk variants</t>
  </si>
  <si>
    <t>Association of alleles at chromosome 8q24 to prostate cancer in Iceland, Sweden and the US</t>
  </si>
  <si>
    <t>In summary, we have demonstrated significant association of prostate cancer risk to the DG8S737 –8 and rs1447295 A alleles in three case-control groups of European ancestry (in which rs1447295 A is perfectly correlated with alleles from at least 18 other nearby SNPs). Combining results from these groups gave an estimated...for DG8S737 –8 and an OR of 1.51 (P = 1.0 × 10−11) for rs1447295 A.</t>
  </si>
  <si>
    <t>3184/2023</t>
  </si>
  <si>
    <t>1.0 × 10−11</t>
  </si>
  <si>
    <t>354/438</t>
  </si>
  <si>
    <r>
      <rPr>
        <rFont val="Calibri"/>
        <color theme="1"/>
        <sz val="11.0"/>
      </rPr>
      <t xml:space="preserve">p.4/ </t>
    </r>
    <r>
      <rPr>
        <rFont val="Calibri"/>
        <color rgb="FF00FF00"/>
        <sz val="11.0"/>
      </rPr>
      <t>Table 1</t>
    </r>
  </si>
  <si>
    <t>add_ai84_African</t>
  </si>
  <si>
    <t>1. Also the "effect" can be "prostate cancer". In particular,  prostate cancer is the object of the study, while SNP - subjects. That's why I put it to the effect column
2. The replication results are taken from the composite score rs1447295 (C/A) + (A/A), since in the original study we compare it with allele (rs1447295 (A)), so it should include both types. 
3. No other matching results (but there are many more)</t>
  </si>
  <si>
    <t>Single nucleotide polymorphism</t>
  </si>
  <si>
    <t>Tobago prostate survey, afro-caribbean men, germline variations</t>
  </si>
  <si>
    <t>Among African Americans allele A of SNP rs1447295 was not associated with prostate cancer</t>
  </si>
  <si>
    <t>"Of the 17 SNPs that we genotyped, rs1447295 gave the lowest, albeit not significant, P value (P = 0.29) (Table 1)"</t>
  </si>
  <si>
    <r>
      <rPr>
        <rFont val="Arial"/>
        <color theme="1"/>
      </rPr>
      <t xml:space="preserve">p. 3/ </t>
    </r>
    <r>
      <rPr>
        <rFont val="Arial"/>
        <color rgb="FF00FF00"/>
      </rPr>
      <t>Table 1</t>
    </r>
  </si>
  <si>
    <r>
      <rPr>
        <rFont val="Calibri"/>
        <color theme="1"/>
        <sz val="11.0"/>
      </rPr>
      <t>p. 4/</t>
    </r>
    <r>
      <rPr>
        <rFont val="Calibri"/>
        <color rgb="FF00FF00"/>
        <sz val="11.0"/>
      </rPr>
      <t xml:space="preserve"> Table 1</t>
    </r>
  </si>
  <si>
    <t>add_ai84_iceland</t>
  </si>
  <si>
    <t>In Iceland allele A of SNP rs1447295 was significantly associated with prostate cancer</t>
  </si>
  <si>
    <t>"Of these SNPs, 37 were significantly associated with prostate cancer (P &lt; 0.001), with allele A of SNP rs1447295 showing the strongest association (OR = 1.72, P = 1.7 × 10−9) (Table 1)"</t>
  </si>
  <si>
    <r>
      <rPr>
        <rFont val="Arial"/>
        <color theme="1"/>
      </rPr>
      <t xml:space="preserve">p. 3/ </t>
    </r>
    <r>
      <rPr>
        <rFont val="Arial"/>
        <color rgb="FF00FF00"/>
      </rPr>
      <t>Table 1</t>
    </r>
  </si>
  <si>
    <r>
      <rPr>
        <rFont val="Calibri"/>
        <color theme="1"/>
        <sz val="11.0"/>
      </rPr>
      <t xml:space="preserve">p. 4/ </t>
    </r>
    <r>
      <rPr>
        <rFont val="Calibri"/>
        <color rgb="FF00FF00"/>
        <sz val="11.0"/>
      </rPr>
      <t>Table 1</t>
    </r>
  </si>
  <si>
    <t>add_ai84_sweden</t>
  </si>
  <si>
    <t>In Sweden allele A of SNP rs1447295 was significantly associated with prostate cancer</t>
  </si>
  <si>
    <t>"We obtained a similar outcome for the rs1447295 A allele (Table 1), indicating that the variants initially identified in Iceland are likely to be associated with increased risk of prostate cancer in most populations of European ancestry"</t>
  </si>
  <si>
    <r>
      <rPr>
        <rFont val="Arial"/>
        <color theme="1"/>
      </rPr>
      <t xml:space="preserve">p. 3/ </t>
    </r>
    <r>
      <rPr>
        <rFont val="Arial"/>
        <color rgb="FF00FF00"/>
      </rPr>
      <t>Table 1</t>
    </r>
  </si>
  <si>
    <r>
      <rPr>
        <rFont val="Calibri"/>
        <color theme="1"/>
        <sz val="11.0"/>
      </rPr>
      <t>p. 4/</t>
    </r>
    <r>
      <rPr>
        <rFont val="Calibri"/>
        <color rgb="FF00FF00"/>
        <sz val="11.0"/>
      </rPr>
      <t xml:space="preserve"> Table 1</t>
    </r>
  </si>
  <si>
    <t>add_ai84_USA</t>
  </si>
  <si>
    <t>1. Also the "effect" can be "prostate cancer". In particular,  prostate cancer is the object of the study, while SNP - subjects. That's why I put it to the effect column
2. The replication results are taken from the composite score rs1447295 (C/A) + (A/A), since in the original study we compare it with allele (rs1447295 (A)), so it should include both types. 
3. The claim in the text is the same for Sweden and US European population. 
4. No other matching results (but there are many more)</t>
  </si>
  <si>
    <t>Among European Americans allele A of SNP rs1447295 was significantly associated with prostate cancer</t>
  </si>
  <si>
    <r>
      <rPr>
        <rFont val="Arial"/>
        <color theme="1"/>
      </rPr>
      <t xml:space="preserve">p. 3/ </t>
    </r>
    <r>
      <rPr>
        <rFont val="Arial"/>
        <color rgb="FF00FF00"/>
      </rPr>
      <t>Table 1</t>
    </r>
  </si>
  <si>
    <r>
      <rPr>
        <rFont val="Calibri"/>
        <color theme="1"/>
        <sz val="11.0"/>
      </rPr>
      <t xml:space="preserve">p. 4/ </t>
    </r>
    <r>
      <rPr>
        <rFont val="Calibri"/>
        <color rgb="FF00FF00"/>
        <sz val="11.0"/>
      </rPr>
      <t>Table 1</t>
    </r>
  </si>
  <si>
    <t>additional_studies214_1</t>
  </si>
  <si>
    <t>additional_studies214</t>
  </si>
  <si>
    <t>Replication follows the same paradigm but introduces a utility framing, shifts focus to individual variability in cooperative decisions, and includes slight procedural modifications.</t>
  </si>
  <si>
    <t>Curioni, A., Voinov, P. V., Matthias Allritz, Wolf, T., Call, J., &amp; Knoblich, G. (2022). Human adults prefer to cooperate even when it is costly. 289(1973). 10.1098/rspb.2022.0128</t>
  </si>
  <si>
    <t>10.1098/rspb.2022.0128</t>
  </si>
  <si>
    <t>10.1098--rspb.2022.0128.pdf</t>
  </si>
  <si>
    <t>Lalli, M. (2022). Human adults prefer to cooperate even when it is costly: A replication and extension of Curioni et al. (2022).
10.17605/OSF.IO/EVDP5</t>
  </si>
  <si>
    <t>10.17605/OSF.IO/EVDP5</t>
  </si>
  <si>
    <t>https://osf.io/evdp5?mode=&amp;revisionId=&amp;view_only=</t>
  </si>
  <si>
    <t>AWAITING ACCESS</t>
  </si>
  <si>
    <t>preference for costly cooperation</t>
  </si>
  <si>
    <t>utility, joint action, costs, cooperation</t>
  </si>
  <si>
    <t>In a modified box-clearing task, participants preferred working alone over costly cooperation, unlike previous findings, with choices influenced by personal utility and social value, highlighting individualized reasons for cooperation.</t>
  </si>
  <si>
    <t>Human adults have a stable preference for joint action, even if individual action is more effective to achieve a certain goal.</t>
  </si>
  <si>
    <t>https://aspredicted.org/jy6bb.pdf</t>
  </si>
  <si>
    <t>https://osf.io/evdp5</t>
  </si>
  <si>
    <t>additional_studies220_1</t>
  </si>
  <si>
    <t>additional_studies220</t>
  </si>
  <si>
    <t>Replication uses similar intervention and outcome measures as original but targets a different population (Italian athletes). Analysis uses comparable statistics.</t>
  </si>
  <si>
    <t>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</si>
  <si>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10.1016/j.psychsport.2021.102099</t>
  </si>
  <si>
    <t>10.1016--j.psychsport.2021.102099.pdf</t>
  </si>
  <si>
    <t>Kavussanu, M., Rubaltelli, E., Leo, I., Hurst, P., Giovannoni, M., Barkoukis, V., ... &amp; Ring, C. (2024). A Psychological Intervention Reduces Doping Likelihood in Italian Athletes: A Replication and Extension. Psychology of Sport and Exercise, 102761. 10.1016/j.psychsport.2024.102761</t>
  </si>
  <si>
    <t>10.1016/j.psychsport.2024.102761</t>
  </si>
  <si>
    <t>10.1016--j.psychsport.2024.102761.pdf</t>
  </si>
  <si>
    <t>doping likelihood reduction</t>
  </si>
  <si>
    <t>anti-doping, psychological intervention, moral disengagement, anticipated guilt, sports ethics</t>
  </si>
  <si>
    <t>anti-doping organisations need to target psychological variables and doping-relevant information in anti-doping education.</t>
  </si>
  <si>
    <t>The psychological intervention significantly reduced doping likelihood from pre- to post-intervention compared to the educational control.</t>
  </si>
  <si>
    <t>additional_studies223_1</t>
  </si>
  <si>
    <t>additional_studies223</t>
  </si>
  <si>
    <t>Three experiments were conducted in the original study, each with a different sample size. The reported N refers to the largest field experiment, which is the focus of the replication.</t>
  </si>
  <si>
    <t>Bryan, C. J., Walton, G. M., Rogers, T., &amp; Dweck, C. S. (2011). Motivating voter turnout by invoking the self. Proceedings of the National Academy of Sciences of the United States of America, 108(31), 12653–12656. 10.1073/pnas.1103343108 (2011).</t>
  </si>
  <si>
    <t>10.1073/pnas.1103343108</t>
  </si>
  <si>
    <t>10.1073--pnas.1103343108.pdf</t>
  </si>
  <si>
    <t>Gerber, A., Huber, G., &amp; Fang, A. (2018). Do subtle linguistic interventions priming a social identity as a voter have outsized effects on voter turnout? Evidence from a new replication experiment. Political Psychology, 39(4), 925-938. 10.1111/pops.12446</t>
  </si>
  <si>
    <t>10.1111/pops.12446</t>
  </si>
  <si>
    <t>10.1111--pops.12446.pdf</t>
  </si>
  <si>
    <t>Voter self-identity priming</t>
  </si>
  <si>
    <t>voter turnout, priming, language, identity, replication</t>
  </si>
  <si>
    <t>subtle linguistic cues embedded in voter mobilization messages dramatically increase turnout</t>
  </si>
  <si>
    <t>Describing voting as an opportunity to ‘be a voter’ rather than to ‘vote’ increased turnout by 11 percentage points.</t>
  </si>
  <si>
    <t>additional_studies225_1</t>
  </si>
  <si>
    <t>additional_studies225</t>
  </si>
  <si>
    <t>Three experiments in the original; main analysis based on final SDT experiment (N = 29). Repl. used new stimuli.</t>
  </si>
  <si>
    <t>Carter N. L., Weber M. J. (2010). Not pollyannas: Higher generalized trust predicts lie detection ability. Social Psychological and Personality Science, 1(3), 274–279. 10.1177/1948550609360261</t>
  </si>
  <si>
    <t>10.1177/1948550609360261</t>
  </si>
  <si>
    <t>10.1177--1948550609360261.pdf</t>
  </si>
  <si>
    <t>Levine, T. R., Markowitz, D. M., Serota, K. B., &amp; Brunn, M. V. (2024). A Registered Conceptual Replication and Extension of Carter and Weber (2010): Generalized Trust, Lie Prevalence, and Deception Detection. Social Psychological and Personality Science, 0(0). 10.1177/19485506241298340</t>
  </si>
  <si>
    <t>10.1177/19485506241298340</t>
  </si>
  <si>
    <t>10.1177--19485506241298340.pdf</t>
  </si>
  <si>
    <t>generalized trust predicts deception detection accuracy</t>
  </si>
  <si>
    <t>trust, lie detection, signal detection theory, bias, deception</t>
  </si>
  <si>
    <t>Generalized trust scores predicted sensitivity to deceit (d′), F(1,27)=8.44, p=.007, R² = .24.</t>
  </si>
  <si>
    <t>https://osf.io/d9gz7/</t>
  </si>
  <si>
    <t>additional_studies227_1</t>
  </si>
  <si>
    <t>additional_studies227</t>
  </si>
  <si>
    <t>Large sample study using real gambling data (N = 17,964), replication used the same methodology with updated dataset.</t>
  </si>
  <si>
    <t>Delfabbro, P., Parke, J., Catania, M. et al. Behavioural Markers of Harm and Their Potential in Identifying Product Risk in Online Gambling. Int J Ment Health Addiction (2023). 10.1007/s11469-023-01060-8</t>
  </si>
  <si>
    <t>10.1007/s11469-023-01060-8</t>
  </si>
  <si>
    <t>10.1007--s11469-023-01060-8.pdf</t>
  </si>
  <si>
    <t>Delfabbro, P., Parke, J. &amp; Catania, M. Assessing the Risk of Online Gambling Products: A Replication and Validation of Behavioural Markers of Harm Using the Problem Gambling Severity Index. J Gambl Stud (2024). 10.1007/s10899-024-10363-x</t>
  </si>
  <si>
    <t>10.1007/s10899-024-10363-x</t>
  </si>
  <si>
    <t>10.1007--s10899-024-10363-x.pdf</t>
  </si>
  <si>
    <t>gambling product risk detection through behavioral markers</t>
  </si>
  <si>
    <t>gambling, behavioral markers, product risk, harm identification, PGSI</t>
  </si>
  <si>
    <t>differences in gambling behaviour as detected by objective data monitoring can be used to identify differences in gambling product risk</t>
  </si>
  <si>
    <t>Behavioral markers such as standard deviation of bet size and duration were significantly associated with gambling product risk.</t>
  </si>
  <si>
    <t>additional_studies228_1</t>
  </si>
  <si>
    <t>additional_studies228</t>
  </si>
  <si>
    <t>One preregistered experiment (N = 419), main outcome based on prevalence-induced concept change in body judgmen</t>
  </si>
  <si>
    <t>Devine, S., Germain, N., Ehrlich, S., &amp; Eppinger, B. (2022). Changes in the prevalence of thin bodies bias young women’s judgments about body size. Psychological Science, 33(8), 1212-1225. 10.1177/09567976221082941</t>
  </si>
  <si>
    <t>10.1177/09567976221082941</t>
  </si>
  <si>
    <t>10.1177--09567976221082941.pdf</t>
  </si>
  <si>
    <t>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</si>
  <si>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https://replications.clearerthinking.org/replication-2022psci33-8</t>
  </si>
  <si>
    <t>NA - USE URL</t>
  </si>
  <si>
    <t>prevalence of thin bodies biases body size judgment</t>
  </si>
  <si>
    <t>body image, judgment, thin ideal, prevalence, concept change, self-perception</t>
  </si>
  <si>
    <t>Changes in the prevalence of thin bodies bias young women’s judgements about body size</t>
  </si>
  <si>
    <t>When the prevalence of thin bodies increased, participants judged more ambiguous (average) bodies as overweight.</t>
  </si>
  <si>
    <t>https://osf.io/e28nd/</t>
  </si>
  <si>
    <t>additional_studies230_1</t>
  </si>
  <si>
    <t>additional_studies230</t>
  </si>
  <si>
    <t>Slope not numerically specified, but clearly stated as significantly &lt; 1...interpretation confirmed based on text.</t>
  </si>
  <si>
    <t>Cornelissen, K. K., Gledhill, L. J., Cornelissen, P. L., &amp; Tovée, M. J. (2016). Visual biases in judging body weight. British Journal of Health Psychology, 21(3), 555-569. 10.1111/bjhp.12185</t>
  </si>
  <si>
    <t>10.1111/bjhp.12185</t>
  </si>
  <si>
    <t>10.1111--bjhp.12185.pdf</t>
  </si>
  <si>
    <t>Brokjøb, L. G., Cornelissen, P. L., Gumančík, J., McCarty, K., Tovée, M. J., &amp; Cornelissen, K. K. (2024). Evidence for a specific distortion in perceptual body image in eating disorders: A replication and extension. PloS one, 19(11), e0313619. 10.1371/journal.pone.0313619</t>
  </si>
  <si>
    <t>10.1371/journal.pone.0313619</t>
  </si>
  <si>
    <t>10.1371--journal.pone.0313619.pdf</t>
  </si>
  <si>
    <t>contraction bias in body size judgment</t>
  </si>
  <si>
    <t>contraction bias, body image, BMI, eating disorders, perceptual distortion</t>
  </si>
  <si>
    <t>distortion in perceptual body image in eating disorders</t>
  </si>
  <si>
    <t>Participants showed a progressive underestimation of overweight and obese bodies, with a regression slope significantly &lt; 1.</t>
  </si>
  <si>
    <t>&lt;.0001</t>
  </si>
  <si>
    <t>&lt;1</t>
  </si>
  <si>
    <t>https://osf.io/nhsyv/</t>
  </si>
  <si>
    <t>additional_studies234_1</t>
  </si>
  <si>
    <t>additional_studies234</t>
  </si>
  <si>
    <t>The original study reports outcomes descriptively without inferential statistics or effect sizes. Therefore, no effect size values or types could be coded.</t>
  </si>
  <si>
    <t>Olma, J., Sutter, C., &amp; Sülzenbrück, S. Blended police firearms training improves performance in shoot/don't shoot scenarios: A systematic replication with police cadets. Frontiers in Psychology, 15, 1495812. 10.3389/fpsyg.2024.1495812</t>
  </si>
  <si>
    <t>10.3389/fpsyg.2024.1495812</t>
  </si>
  <si>
    <t>10.3389--fpsyg.2024.1495812.pdf</t>
  </si>
  <si>
    <t>tactical decision-making and gaze control in shoot/don’t shoot scenarios</t>
  </si>
  <si>
    <t>police training, firearms, gaze control, decision-making, replication, attention</t>
  </si>
  <si>
    <t>Senior police officers' tactical gaze control and visual attention improve with an individual videobased police firearms training</t>
  </si>
  <si>
    <t>Blended training improved tactical gaze control and response time in police cadets.</t>
  </si>
  <si>
    <t>additional_studies235_1</t>
  </si>
  <si>
    <t>additional_studies235</t>
  </si>
  <si>
    <t>Hyun, J. S., &amp; Luck, S. J. (2007). Visual working memory as the substrate for mental rotation. Psychonomic Bulletin &amp; Review, 14, 154–158. 10.3758/BF03194043</t>
  </si>
  <si>
    <t>10.3758/BF03194043</t>
  </si>
  <si>
    <t>10.3758--bf03194043.pdf</t>
  </si>
  <si>
    <t>Ebert, W.M., Jost, L., Jansen, P. et al. Visual working memory as the substrate for mental rotation: A replication. Psychon Bull Rev (2024). 10.3758/s13423-024-02602-4</t>
  </si>
  <si>
    <t>10.3758/s13423-024-02602-4</t>
  </si>
  <si>
    <t>10.3758--s13423-024-02602-4.pdf</t>
  </si>
  <si>
    <t>object working memory involvement in mental rotation</t>
  </si>
  <si>
    <t>visual working memory, mental rotation, object memory, spatial memory, replication</t>
  </si>
  <si>
    <t>Original study proposed that visual working memory supports mental rotation; replication confirms object-based rather than spatial memory is implicated.</t>
  </si>
  <si>
    <t>Object working memory, but not spatial working memory, is employed during mental rotation.</t>
  </si>
  <si>
    <t>additional_studies236_1</t>
  </si>
  <si>
    <t>additional_studies236</t>
  </si>
  <si>
    <t>Replication used comparable psychophysiological measures and design, extended the original study by including additional moderators and a different sample population.</t>
  </si>
  <si>
    <t>Soroka, S., Fournier, P., &amp; Nir, L. (2019). Cross-national evidence of a negativity bias in psychophysiological reactions to news. Proceedings of the National Academy of Sciences, 116(38), 18888-18892. 10.1073/pnas.1908369116</t>
  </si>
  <si>
    <t>10.1073/pnas.1908369116</t>
  </si>
  <si>
    <t>10.1073--pnas.1908369116.pdf</t>
  </si>
  <si>
    <t>Dubèl, R., Schumacher, G., Homan, M. D., Peterson, D., &amp; Bakker, B. N. (2024). Replicating and extending Soroka, Fournier, and Nir: Negative news increases arousal and negative affect. Media and Communication, 12. 10.17645/mac.7807</t>
  </si>
  <si>
    <t>10.17645/mac.7807</t>
  </si>
  <si>
    <t>10.17645--mac.7807.pdf</t>
  </si>
  <si>
    <t>negativity bias in psychophysiological reactions to news</t>
  </si>
  <si>
    <t>news, negativity bias, arousal, affect, psychophysiology, replication</t>
  </si>
  <si>
    <t>Negative News Increases Arousal and Negative Affect</t>
  </si>
  <si>
    <t>Negative news elicits stronger physiological and affective responses compared to neutral or positive content.</t>
  </si>
  <si>
    <t>additional_studies240_1</t>
  </si>
  <si>
    <t>additional_studies240</t>
  </si>
  <si>
    <t>Replication was preregistered and closely followed original experimental procedures. However, authors did not report effect size or exact p-value; results were described as non-significant and interpreted descriptively. Likely omitted due to null findings and focus on preregistered design rather than statistical magnitude.</t>
  </si>
  <si>
    <t>Iyengar, S., Kinder, D. R., Peters, M. D., &amp; Krosnick, J. A. (1984). The evening news and presidential evaluations. Journal of personality and social psychology, 46(4), 778. https://psycnet.apa.org/doi/10.1037/0022-3514.46.4.778</t>
  </si>
  <si>
    <t>10.1037/0022-3514.46.4.778</t>
  </si>
  <si>
    <t>10.1037--0022-3514.46.4.778.pdf</t>
  </si>
  <si>
    <t>Kobayashi, T., Miura, A., &amp; Inamasu, K. (2017). Media Priming Effect: A Preregistered Replication Experiment. Journal of Experimental Political Science, 4(1), 81–94. doi:10.1017/XPS.2017.8</t>
  </si>
  <si>
    <t>10.1017/XPS.2017.8</t>
  </si>
  <si>
    <t>10.1017--xps.2017.8.pdf</t>
  </si>
  <si>
    <t>media priming effect</t>
  </si>
  <si>
    <t>media effects, presidential evaluations, priming, political psychology, Japan, replication</t>
  </si>
  <si>
    <t>Media Priming Effect</t>
  </si>
  <si>
    <t>Television news programs help define the standards by which presidents are evaluated by emphasizing certain issues.</t>
  </si>
  <si>
    <t>&lt;0.05</t>
  </si>
  <si>
    <t>https://osf.io/bgk29/</t>
  </si>
  <si>
    <t>additional_studies255_1</t>
  </si>
  <si>
    <t>additional_studies255</t>
  </si>
  <si>
    <t>Wälchli, M., Ruffieux, J., Bourquin, Y., Keller, M., &amp; Taube, W. (2016). Maximizing performance: augmented feedback, focus of attention, and/or reward?. Medicine and science in sports and exercise, 48(4), 714. https://doi.org/10.1249/MSS.0000000000000818</t>
  </si>
  <si>
    <t>10.1249/MSS.0000000000000818</t>
  </si>
  <si>
    <t>10.1249--mss.0000000000000818.pdf</t>
  </si>
  <si>
    <t>Bakhshinejad, J., Hutchinson, J. C., Murphy, J., Trainor, L., Friedman, S., &amp; Coker, N. The Effects of Augmented Feedback, Focus of Attention, and Monetary Reward on Vertical Jump Height: A Replication Study. International Journal of Exercise Science, 18(7), 13-26. https://doi.org/10.70252/NKKY8370</t>
  </si>
  <si>
    <t>10.70252/NKKY8370</t>
  </si>
  <si>
    <t>10.70252--nkky8370.pdf</t>
  </si>
  <si>
    <t>Sports Science</t>
  </si>
  <si>
    <t>MOVEMENT EFFICIENCY</t>
  </si>
  <si>
    <t>COUNTERMOVEMENT, JUMP, MOVEMENT EFFICIENCY, INTRINSIC, EXTRINSIC, MOTIVATION</t>
  </si>
  <si>
    <t>Effects of Augmented Feedback, Focus of Attention, and Monetary Reward on Vertical Jump Height</t>
  </si>
  <si>
    <t>A one-way repeated-measures ANOVA revealed significant differences between conditions (F5,85 = 9.092; P G 0.001; G2 p = 0.348).</t>
  </si>
  <si>
    <t>https://osf.io/56bkg/registrations</t>
  </si>
  <si>
    <t>additional_studies256_1</t>
  </si>
  <si>
    <t>additional_studies256</t>
  </si>
  <si>
    <t xml:space="preserve">there are several replicated effects. I reported the most general effect of the diffrence between the three conditions. But table 3 in the r_paper (page 6) summarize nicely all the original and replicated effects. I didn't repot them because I didin't know if I should but I can if you want. </t>
  </si>
  <si>
    <t>Zarkadi, T., &amp; Schnall, S. (2013). “Black and White” thinking : Visual contrast polarizes moral judgment. Journal of Experimental Social Psychology, 49(3), 355‑359. https://doi.org/10.1016/j.jesp.2012.11.012</t>
  </si>
  <si>
    <t>10.1016/j.jesp.2012.11.012</t>
  </si>
  <si>
    <t>10.1016--j.jesp.2012.11.012.pdf</t>
  </si>
  <si>
    <t>Vezirian, K., Sarda, E., Bègue, L., Laine, P.-J., &amp; IJzerman, H. (2025). “Black-and-White” thinking : Does visual contrast polarize moral judgment? Independent replications and extension of Study 1. Journal of Experimental Social Psychology, 117, 104712. https://doi.org/10.1016/j.jesp.2024.104712</t>
  </si>
  <si>
    <t>10.1016/j.jesp.2024.104712</t>
  </si>
  <si>
    <t>10.1016--j.jesp.2024.104712.pdf</t>
  </si>
  <si>
    <t>Moral judgment, Morality, Embodiment, Metaphor, Visual contrast, Black and white</t>
  </si>
  <si>
    <t>Black-and-white priming, priming of a black-and-white visual pattern polarizes moral judgment</t>
  </si>
  <si>
    <t>To assess judgment polarization, we computed a deviation score corresponding to each rating's absolute distance from the scale's mid-point “4”. Results revealed that mean deviation scores differed signifi-cantly among conditions, F(2, 108)=4.24, p=.02, ηp2=.07.</t>
  </si>
  <si>
    <t>additional_studies257_1</t>
  </si>
  <si>
    <t>additional_studies257</t>
  </si>
  <si>
    <t>many replicated effects but I reported the four-way interaction</t>
  </si>
  <si>
    <t>Bradley, B. P., Mogg, K., Falla, S. J., &amp; Hamilton, L. R. (1998). Attentional bias for threatening facial expressions in anxiety: Manipulation of stimulus duration. Cognition &amp; emotion, 12(6), 737-753. https://doi.org/10.1080/026999398379411</t>
  </si>
  <si>
    <t>10.1080/026999398379411</t>
  </si>
  <si>
    <t>10.1080--026999398379411.pdf</t>
  </si>
  <si>
    <t>Mogg, K., &amp; Bradley, B. P. (1999). Some methodological issues in assessing attentional biases for threatening faces in anxiety: A replication study using a modified version of the probe detection task. Behaviour research and therapy, 37(6), 595-604. https://doi.org/10.1016/S0005-7967(98)00158-2</t>
  </si>
  <si>
    <t>10.1016/S0005-7967(98)00158-2</t>
  </si>
  <si>
    <t>10.1016--s0005-7967(98)00158-2.pdf</t>
  </si>
  <si>
    <t>attentional biases</t>
  </si>
  <si>
    <t>Attentional Bias, Facial Expressions, probe task</t>
  </si>
  <si>
    <t>probe detection task</t>
  </si>
  <si>
    <t>The four-way interaction of trait anxiety x face type x face location x  probe location was signicant [F(1,36) = 11.08, P &lt; .01],</t>
  </si>
  <si>
    <t>F(1,36) = 11.08</t>
  </si>
  <si>
    <t>F(1, 36)= 4.70</t>
  </si>
  <si>
    <t>additional_studies259_1</t>
  </si>
  <si>
    <t>additional_studies259</t>
  </si>
  <si>
    <t xml:space="preserve">not clear which effect I need to report. the interactions effects were only added in the r_study so I reported the bivariate correlation between CTSC-R and WAI-SF-P/WAI-SR; I reported effect sizes = r but specifically the effect sizes in the paper are Spearman’s correlation coefficients (rs). </t>
  </si>
  <si>
    <t>Owen, J., Reese, R. J., Quirk, K., &amp; Rodolfa, E. (2013). Alliance in Action: A new measure of clients' perceptions of therapists' alliance activity. Psychotherapy Research, 23(1), 67–77. https://doi.org/10.1080/10503307.2012.731088</t>
  </si>
  <si>
    <t>10.1080--10503307.2012.731088.pdf</t>
  </si>
  <si>
    <t>Katz, M., Hilsenroth, M., Rokah, N., Wolster, O., &amp; Ziv‐Beiman, S. (2025). The Interaction Between Alliance and Technique Use in the Prediction of Client Change: Replication and Extension of Owen et al.(2013) in a Different Cultural Context. Clinical Psychology &amp; Psychotherapy, 32(2), e70057. https://doi.org/10.1002/cpp.70057</t>
  </si>
  <si>
    <t>10.1002/cpp.70057</t>
  </si>
  <si>
    <t>10.1002--cpp.70057.pdf</t>
  </si>
  <si>
    <t>Alliance in Action (AiA)</t>
  </si>
  <si>
    <t>alliance; psychotherapy; session outcomes; multilevel modeling</t>
  </si>
  <si>
    <t>Interaction Between Alliance and Technique Use in the Prediction of Client Change</t>
  </si>
  <si>
    <t>Table III. Bivariate correlations, means, and standard deviations</t>
  </si>
  <si>
    <t>rs</t>
  </si>
  <si>
    <t>additional_studies260_1</t>
  </si>
  <si>
    <t>additional_studies260</t>
  </si>
  <si>
    <t>I reported the r_results from a table in page 29.</t>
  </si>
  <si>
    <t>Anderson, C., Brion, S., Moore, D. A., &amp; Kennedy, J. A. (2012). A status-enhancement account of overconfidence. Journal of Personality and Social Psychology, 103(4), 718–735. https://doi.org/10.1037/a0029395</t>
  </si>
  <si>
    <t>110.1037--a0029395.pdf</t>
  </si>
  <si>
    <t>Mayiwar, L., Løhre, E., Chandrashekar, S. P., &amp; Hærem, T. (2025). Desire for status is positively associated with overconfidence: A replication and extension of study 5 in C. Anderson, Brion, et al. (2012). Journal of Personality and Social Psychology. Advance online publication. https://doi.org/10.1037/pspa0000444</t>
  </si>
  <si>
    <t>10.1037/pspa0000444</t>
  </si>
  <si>
    <t>10.1037--pspa0000444.pdf</t>
  </si>
  <si>
    <t>overconfidence</t>
  </si>
  <si>
    <t>overconfidence, self­perception, status, power, groups, person­perception</t>
  </si>
  <si>
    <t>Desire for status is positively associated with overconfidence</t>
  </si>
  <si>
    <t>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</si>
  <si>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40,79</t>
  </si>
  <si>
    <t>p.79</t>
  </si>
  <si>
    <t>https://osf.io/6m2hx/registrations</t>
  </si>
  <si>
    <t>additional_studies261_1</t>
  </si>
  <si>
    <t>additional_studies261</t>
  </si>
  <si>
    <t>Not clear what effect I needed to report. I think what would have made the most sense to me is to report the MANOVA analysis but the r_study didn't make any group comparaison. So I reported the Logistic Regression Analysis of Veracity as a Function of face surprise during the direct appeal (o_effect from table 4 and r_effect from table 4); in o_study OR = 12.49; in r_study confidence interval = 95%CI [−3.35, 1.31]</t>
  </si>
  <si>
    <t>Ten Brinke, L., &amp; Porter, S. (2012). Cry me a river: identifying the behavioral consequences of extremely high-stakes interpersonal deception. Law and Human Behavior, 36(6), 469. https://doi.org/10.1037/h0093929</t>
  </si>
  <si>
    <t>110.1037--h0093929.pdf</t>
  </si>
  <si>
    <t>ten Brinke, L., Sprigings, S., Brown, C., Kam, C., &amp; Delmas, H. (2025). Behavioral detection of emotional, high-stakes deception: Replication in a registered report. Law and Human Behavior. Advance online publication. https://doi.org/10.1037/lhb0000596</t>
  </si>
  <si>
    <t>10.1037/lhb0000596</t>
  </si>
  <si>
    <t>10.1037--lhb0000596.pdf</t>
  </si>
  <si>
    <t>Law</t>
  </si>
  <si>
    <t>deception</t>
  </si>
  <si>
    <t>deceptive behavior, emotional facial expression, body language, verbal/linguistic cues</t>
  </si>
  <si>
    <t>Behavioral detection of emotional, high-stakes deception</t>
  </si>
  <si>
    <t>Table 4 Logistic Regression Analysis of Veracity as a Function of Selected Verbal and Emotional Variables During the Direct Appeal...Upper face surprise 2.52 0.76 18.86 6.90** 12.49</t>
  </si>
  <si>
    <t>https://osf.io/quy4w</t>
  </si>
  <si>
    <t>additional_studies262_1</t>
  </si>
  <si>
    <t>additional_studies262</t>
  </si>
  <si>
    <t>effects are reported from tables</t>
  </si>
  <si>
    <t>McCann B. T., Bahl M. (2017). The influence of competition from informal firms on new product development. Strategic Management Journal, 38, 1518–1535. https://doi.org/10.1002/smj.2585</t>
  </si>
  <si>
    <t>110.1002--smj.2585.pdf</t>
  </si>
  <si>
    <t>Skiadopoulou, A., Mortal, S., &amp; Gupta, V. K. (2025). Does competition from informal firms impact new product development? Systematic replication and extension of McCann and Bahl (2017). Journal of Management Scientific Reports, 0(0). https://doi.org/10.1177/27550311251323281</t>
  </si>
  <si>
    <t>10.1177/27550311251323281</t>
  </si>
  <si>
    <t>10.1177--27550311251323281.pdf</t>
  </si>
  <si>
    <t>new product development</t>
  </si>
  <si>
    <t>informal competition; new product develop-ment; attention-based view; emerging economies; compet-itive strategy</t>
  </si>
  <si>
    <t>influence of competition from informal firms on new product development</t>
  </si>
  <si>
    <t>Consistent with our anticipation of a relationship between infor-mal competition and NPD, firms who face infor-mal competition are more likely (81.5%) to have engaged in NPD versus firms who do not face infor-mal competition (77.0%)....Table 1. Descriptive statistics</t>
  </si>
  <si>
    <t>additional_studies263_1</t>
  </si>
  <si>
    <t>additional_studies263</t>
  </si>
  <si>
    <r>
      <rPr>
        <rFont val="Calibri"/>
        <sz val="11.0"/>
      </rPr>
      <t xml:space="preserve">replication paper pdf: </t>
    </r>
    <r>
      <rPr>
        <rFont val="Calibri"/>
        <color rgb="FF1155CC"/>
        <sz val="11.0"/>
        <u/>
      </rPr>
      <t>https://drive.google.com/drive/folders/1XdNtTYLrRDSL61grYK8dJXZB1kkiupM7?fbclid=IwAR1-au-XQdaRXsJBnw-w6esGES_qKYWeKBV0SnS-r6XGLb52A6RG0duPjXg</t>
    </r>
    <r>
      <rPr>
        <rFont val="Calibri"/>
        <sz val="11.0"/>
      </rPr>
      <t xml:space="preserve"> ; the o_study reported that variety seeking is higher in the morning than the afternoon for candy bars (sneekers) but the r_study reported the same analysis for chocolate, soft drinks and crisps. So I reported the first effect for the r_study (chocolate); Also, the o_effect and r_effect are significant but they are opposite: for the o_paper (exp1) variety seeking is higher in the morning than the afternoon for candy bars but for the r_paper variety seeking is higher in the afternoon than in the morning for chocolate. </t>
    </r>
  </si>
  <si>
    <t>Roehm, H. A., &amp; Roehm, M. L. (2004). Variety-seeking and time of day: Why leader brands hope young adults shop in the afternoon, but follower brands hope for morning. Marketing Letters, 15, 213-221. https://doi.org/10.1007/s11002-005-0457-y</t>
  </si>
  <si>
    <t>110.1007--s11002-005-0457-y.pdf</t>
  </si>
  <si>
    <t>Trinh, G. T. (2025). Variety-seeking and time of day: a replication. Marketing Letters, 1-12. https://doi.org/10.1007/s11002-025-09771-9</t>
  </si>
  <si>
    <t>110.1007/s11002-025-09771-9</t>
  </si>
  <si>
    <t>10.1007--s11002-025-09771-9.pdf</t>
  </si>
  <si>
    <t>Variety-Seeking</t>
  </si>
  <si>
    <t>variety-seeking, brand choice</t>
  </si>
  <si>
    <t>leader brands hope young adults shop in the afternoon, but follower brands hope for morning</t>
  </si>
  <si>
    <t>This analysis revealed a main effect for time of day (F(1, 42) = 17.30, p &lt; .01), such that means in the diurnal peak condition (M = 3.55) were lower than in the diurnal low condition (M = 5.41).</t>
  </si>
  <si>
    <t>F(1, 42) = 17.30</t>
  </si>
  <si>
    <t>Karolina</t>
  </si>
  <si>
    <t>av_142_1</t>
  </si>
  <si>
    <t>av_142</t>
  </si>
  <si>
    <t>Karolina Urbanska</t>
  </si>
  <si>
    <t>R1</t>
  </si>
  <si>
    <t>Helzer, E. G., &amp; Pizarro, D. A. (2011). Dirty liberals! Reminders of
 physical cleanliness influence moral and political attitudes. Psycholog_x0002_ical Science, 22, 517–522. http://dx.doi.org/10.1177/0956797611402514</t>
  </si>
  <si>
    <t>10.1177/0956797611402514</t>
  </si>
  <si>
    <t>10.1177--0956797611402514.pdf</t>
  </si>
  <si>
    <t>Burnham, B. R. (2020). Are liberals really dirty? Two failures to replicate Helzer and Pizarro’s (2011) study 1, with meta-analysis. Journal of Personality and Social Psychology, 119(6), e38–e42. https://doi.org/10.1037/pspa0000238</t>
  </si>
  <si>
    <t>10.1037/pspa0000238</t>
  </si>
  <si>
    <t>10.1037--pspa0000238.pdf</t>
  </si>
  <si>
    <t>Impact of physical cleanliness on political attitudes</t>
  </si>
  <si>
    <t>morality, social cognition, priming</t>
  </si>
  <si>
    <t>Individuals in a public setting who were given a reminder of physical cleansing reported being more politically conservative than did individuals who were not given such a reminder.</t>
  </si>
  <si>
    <t>(...) participants who reported their political attitudes in the presence of the hand-sanitizer dispenser reported a less liberal political orientation (M = 4.30) than did participants in the control condition (M = 4.93), t(50) = 2.31, p &lt;.05, d = 0.89.</t>
  </si>
  <si>
    <t>e39</t>
  </si>
  <si>
    <t>av_142_b</t>
  </si>
  <si>
    <t>R2</t>
  </si>
  <si>
    <t>10.1177/0956797611402515</t>
  </si>
  <si>
    <t>Burnham, B. R. (2020). Are liberals really dirty? Two failures to replicate Helzer and Pizarro’s (2011) study 1, with meta-analysis. Journal of Personality and Social Psychology, 119(6), e38–e42. https://doi.org/10.1037/pspa0000239</t>
  </si>
  <si>
    <t>10.1037/pspa0000239</t>
  </si>
  <si>
    <t>av_146_1</t>
  </si>
  <si>
    <t>av_146</t>
  </si>
  <si>
    <t>Mickley Steinmetz, K. R., Knight, A. G., &amp; Kensinger, E. A. (2016).
 Neutral details associated with emotional events are
 encoded: Evidence from a cued recall paradigm. Cognition
 and Emotion, 30(7), 1352–1360.</t>
  </si>
  <si>
    <t>10.1080/02699931.2015.1059317</t>
  </si>
  <si>
    <t>10.1080--02699931.2015.1059317.pdf</t>
  </si>
  <si>
    <t>Madan, C. R., Knight, A. G., Kensinger, E. A., &amp; Mickley Steinmetz, K. R. (2020). Affect enhances object-background associations: evidence from behaviour and mathematical modelling. Cognition and Emotion, 34(5), 960–969. https://doi.org/10.1080/02699931.2019.1710110</t>
  </si>
  <si>
    <t>10.1080/02699931.2019.1710110</t>
  </si>
  <si>
    <t>10.1080--02699931.2019.1710110.pdf</t>
  </si>
  <si>
    <t>Emotion-induced memory trade-off in recognition</t>
  </si>
  <si>
    <t>Emotional items were more likely than neutral items to trigger recall of the associated background.</t>
  </si>
  <si>
    <t>These main effects were qualified (...) by a Cue Type by Valence interaction, F(2,88) = 29.438, p &lt; .001, partial eta squared = .401.</t>
  </si>
  <si>
    <t>Marta</t>
  </si>
  <si>
    <t>av_28_1</t>
  </si>
  <si>
    <t>av_28_a</t>
  </si>
  <si>
    <t>Marta Kolczynska</t>
  </si>
  <si>
    <t>study with reused stimulus set</t>
  </si>
  <si>
    <t>Topolinski, S., Maschmann, I. T., Pecher, D., &amp; Winkielman, P. (2014). Oral approach-avoidance: affective consequences of muscular articulation dynamics. Journal of Personality and Social Psychology, 106, 885–896. http://dx.doi.org/10.1037/a0036477</t>
  </si>
  <si>
    <t>10.1037/a0036477</t>
  </si>
  <si>
    <t>10.1037--a0036477.pdf</t>
  </si>
  <si>
    <t>Godinho, S., &amp; Garrido, M. V. (2015). Oral approach‐avoidance: A replication and extension for European–Portuguese phonation. European Journal of Social Psychology, 46(2), 260–264. Portico. https://doi.org/10.1002/ejsp.2172</t>
  </si>
  <si>
    <t>10.1002/ejsp.2172</t>
  </si>
  <si>
    <t>10.1002--ejsp.2172.pdf</t>
  </si>
  <si>
    <t>oral approach avoidance</t>
  </si>
  <si>
    <t>approach-avoidance, articulation, embodiment, metaphors, phonation</t>
  </si>
  <si>
    <t>the articulation of inward and outward words induces motivational states associated with deglutition and expectoration—namely, approach and avoidance</t>
  </si>
  <si>
    <t>in Table 1: t(35) = 2.66, p = .012; d = 0.26; 95% CI [0.6, 0.44]</t>
  </si>
  <si>
    <t>p. 888</t>
  </si>
  <si>
    <t>=</t>
  </si>
  <si>
    <t>p. 262</t>
  </si>
  <si>
    <t>av_28_b</t>
  </si>
  <si>
    <t>study with new stimulus set for Portuguese speakers</t>
  </si>
  <si>
    <t>&lt;</t>
  </si>
  <si>
    <t>av_35_1</t>
  </si>
  <si>
    <t>av_35</t>
  </si>
  <si>
    <t>the replication does not seem to have a single test of differences between groups, but reports by group results (H1, p. 1679)</t>
  </si>
  <si>
    <t>Stevens, C., Lauinger, B., &amp; Neville, H. (2009). Differences in the neural mechanisms of selective attention in children from different socioeconomic backgrounds: An event-related brain potential study. Developmental Science, 12, 634–646. http://dx.doi.org/10.1111/j.1467-7687.2009.00807.x</t>
  </si>
  <si>
    <t>10.1111/j.1467-7687.2009.00807.x</t>
  </si>
  <si>
    <t>10.1111--j.1467-7687.2009.00807.x.pdf</t>
  </si>
  <si>
    <t>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
  </si>
  <si>
    <t>10.1037/dev0000499</t>
  </si>
  <si>
    <t>10.1037--dev0000499.pdf</t>
  </si>
  <si>
    <t>selective attention</t>
  </si>
  <si>
    <t>selective attention, early adversity</t>
  </si>
  <si>
    <t>Children whose mothers had lower levels of educational attainmentshowed reduced effects of selective attention on neural processing relative to children whose mothers had higher levels of educational attainment</t>
  </si>
  <si>
    <t>the magnitude of the effect of attention was significantly larger in the higher than in the lower maternal education group, unpaired t(30) = 3.6, p = .001</t>
  </si>
  <si>
    <t>t(30) = 3.6</t>
  </si>
  <si>
    <t>p. 640</t>
  </si>
  <si>
    <t>results by group: zero risk group: t(32) = 2.06; one risk group: t(42) = 2.25; two or more risk factors: t(27) = 1.33</t>
  </si>
  <si>
    <t>p. 1679</t>
  </si>
  <si>
    <t>results by group: zero risk group: p = .048; one risk group: p = .030; two or more risk factors: p = .196</t>
  </si>
  <si>
    <t>av_36_1</t>
  </si>
  <si>
    <t>av_36</t>
  </si>
  <si>
    <t>r experiment 1 replicates hand size part of o expertiment 3</t>
  </si>
  <si>
    <t>Linkenauger, S. A., Witt, J. K., Bakdash, J. Z., Stefanucci, J. K., &amp; Proffitt, D. R. (2009). Asymmetrical body perception: A possible role for neural body representations. Psychological Science, 20, 1373–1380. http://dx.doi.org/10.1111/j.1467-9280.2009.02447.x</t>
  </si>
  <si>
    <t>10.1111/j.1467-9280.2009.02447.x</t>
  </si>
  <si>
    <t>10.1111--j.1467-9280.2009.02447.x.pdf</t>
  </si>
  <si>
    <t>Collier, E. S., &amp; Lawson, R. (2017). It’s out of my hands! Grasping capacity may not influence perceived object size. Journal of Experimental Psychology: Human Perception and Performance, 43(4), 749–769. https://doi.org/10.1037/xhp0000331</t>
  </si>
  <si>
    <t>10.1037/xhp0000331</t>
  </si>
  <si>
    <t>10.1037--xhp0000331.pdf</t>
  </si>
  <si>
    <t>assymetric body perception</t>
  </si>
  <si>
    <t>body perception, vision</t>
  </si>
  <si>
    <t>right-handed participants perceived their [...] right hands to be longer than their left [...] hands,</t>
  </si>
  <si>
    <t>participants were accurate in perceiving the size of their right hand, p_rep = .50, but underestimated the size of their left hand, t(13) = 1.82, p_rep = .89, etq^2_p = 0.20</t>
  </si>
  <si>
    <t>eta_sq</t>
  </si>
  <si>
    <t>p. 1377</t>
  </si>
  <si>
    <t>chi^2(1, N  = 50) = 15.7</t>
  </si>
  <si>
    <t>p. 751</t>
  </si>
  <si>
    <t>av_38_1</t>
  </si>
  <si>
    <t>av_38_a</t>
  </si>
  <si>
    <t>r study 1, DV = relationship satisfaction</t>
  </si>
  <si>
    <t>Impett, E. A., Peplau, L. A., &amp; Gable, S. L. (2005). Approach and avoidance sexual motivation: Implications for personal and interpersonal well-being. Personal Relationships, 12, 465-482. doi:10.1111/j.1475-6811.2005.00126.x</t>
  </si>
  <si>
    <t>10.1111/j.1475-6811.2005.00126.x</t>
  </si>
  <si>
    <t>10.1111--j.1475-6811.2005.00126.x.pdf</t>
  </si>
  <si>
    <t>Muise, A., Impett, E. A., &amp; Desmarais, S. (2013). Getting It On Versus Getting It Over With. Personality and Social Psychology Bulletin, 39(10), 1320–1332. https://doi.org/10.1177/0146167213490963</t>
  </si>
  <si>
    <t>10.1177/0146167213490963</t>
  </si>
  <si>
    <t>10.1177--0146167213490963.pdf</t>
  </si>
  <si>
    <t>sexual motivation</t>
  </si>
  <si>
    <t>sexual motivation, sexual desire, romantic relationships, satisfaction</t>
  </si>
  <si>
    <t>how approach and avoidance motives for engaging in sex in intimate relationships are associated with personal well-being and relationship quality</t>
  </si>
  <si>
    <t>statistical result in Table 1; approach sex motives were significantly and positively related to satisfaction [...] Avoidance sex motives, in contrast, were [...] negatively associated with satisfaction</t>
  </si>
  <si>
    <t>b_approach = 0.35; b_avoid = -0.17</t>
  </si>
  <si>
    <t>b</t>
  </si>
  <si>
    <t>p. 473</t>
  </si>
  <si>
    <t>p_approach: 0.001; p_avoid: 0.05</t>
  </si>
  <si>
    <t>F(1, 424) = 76.51</t>
  </si>
  <si>
    <t>p. 1323</t>
  </si>
  <si>
    <t>av_38_b</t>
  </si>
  <si>
    <t>r study 2, DV = relationship satisfaction</t>
  </si>
  <si>
    <t>b_approach = 0.33; b_avoid = -0.29</t>
  </si>
  <si>
    <t>p. 1325</t>
  </si>
  <si>
    <t>p_approach: 0.001; p_avoid: 0.001</t>
  </si>
  <si>
    <t>av_39_1</t>
  </si>
  <si>
    <t>av_39_a</t>
  </si>
  <si>
    <t>r study 1; effect of race on historical knowledge (other effects could be selected; I chose the one highlighted in the r abstract); reversed coding of race in o and r studies</t>
  </si>
  <si>
    <t>Bonam, C. M., Das, V. N., Coleman, B. R., &amp; Salter, P. (2018). Ignoring history, denying racism: Mounting evidence for the Marley hypothesis and epistemologies of ignorance. Social Psychological and Personality Science; 10(2), 257-265. doi:10.1177/1948550617751583</t>
  </si>
  <si>
    <t>10.1177/1948550617751583</t>
  </si>
  <si>
    <t>10.1177--1948550617751583.pdf</t>
  </si>
  <si>
    <t>Strickhouser, J. E., Zell, E., &amp; Harris, K. E. (2018). Ignorance of History and Perceptions of Racism: Another Look at the Marley Hypothesis. Social Psychological and Personality Science, 10(7), 977–985. https://doi.org/10.1177/1948550618808863</t>
  </si>
  <si>
    <t>10.1177/1948550618808863</t>
  </si>
  <si>
    <t>10.1177--1948550618808863.pdf</t>
  </si>
  <si>
    <t>racism knowledge and racism denial</t>
  </si>
  <si>
    <t>social perception, racism, racism denial</t>
  </si>
  <si>
    <t>Whites (vs. Blacks) displayed less critical historical knowledge</t>
  </si>
  <si>
    <t>statistical result in Figure 1; the index of sensitivity (d'), which Nelson and colleagues referred to as reality attunement, followed the same pattern: Black (vs. White) participants more often effectively discriminated between truthful signal and fictional noise, d = .49</t>
  </si>
  <si>
    <t>av_39_b</t>
  </si>
  <si>
    <t>r study 2; effect of race on historical knowledge (other effects could be selected; I chose the one highlighted in the r abstract); reversed coding of race in o and r studies</t>
  </si>
  <si>
    <t>av_41_1</t>
  </si>
  <si>
    <t>av_41_a</t>
  </si>
  <si>
    <t>replication of original study with tiles</t>
  </si>
  <si>
    <t>Anderson, J. A., &amp; Grice, J. W. (2009) Replicating a simple study of asymmetry in human cognition. Perceptual and Motor Skills, 109, 577-580. doi: 10.2466/pms.109.2.577-580</t>
  </si>
  <si>
    <t>10.2466/pms.109.2.577-580</t>
  </si>
  <si>
    <t>10.2466--pms.109.2.577-580.pdf</t>
  </si>
  <si>
    <t>Anderson, J. A., Ramirez, D., &amp; Stephenson, D. (2012). Asymmetry in Human Cognition: Further Replication and Extension. Perceptual and Motor Skills, 114(1), 185–188. https://doi.org/10.2466/20.22.pms.114.1.185-188</t>
  </si>
  <si>
    <t>10.2466/20.22.PMS.114.1.185-188</t>
  </si>
  <si>
    <t>10.2466--20.22.pms.114.1.185-188.pdf</t>
  </si>
  <si>
    <t>assymetry in human cognition</t>
  </si>
  <si>
    <t>Lefebvre, self-reflection</t>
  </si>
  <si>
    <t>individuals should identify the stimuli as “good” for 61.8% of the choices and “bad” for 38.2% of the choices</t>
  </si>
  <si>
    <t>Participants’ responses did not differ significantly, on the average, from the number of beans placed in the “+” tray as predicted by the model (t25 = 0.12, p = .907; η2 = .001; 95%CI = 27.82, 34.56).</t>
  </si>
  <si>
    <t>p. 578</t>
  </si>
  <si>
    <t>av_41_b</t>
  </si>
  <si>
    <t>av_41_c</t>
  </si>
  <si>
    <t>replication of original study with beans</t>
  </si>
  <si>
    <t>av_41_d</t>
  </si>
  <si>
    <t>replication of original study, pooled</t>
  </si>
  <si>
    <t>av_46_1</t>
  </si>
  <si>
    <t>av_46_a</t>
  </si>
  <si>
    <t>replicates original study 2 (only Serbian sample; not pooled sample)</t>
  </si>
  <si>
    <t>Eyal, T., Liberman, N., &amp; Trope, Y. (2008). Judging near and distant virtue and vice. Journal of Experimental Social Psychology, 44, 1204–1209.</t>
  </si>
  <si>
    <t>10.1016/j.jesp.2008.03.012</t>
  </si>
  <si>
    <t>10.1016--j.jesp.2008.03.012.pdf</t>
  </si>
  <si>
    <t>Žeželj, I. L., &amp; Jokić, B. R. (2014). Replication of Experiments Evaluating Impact of Psychological Distance on Moral Judgment. Social Psychology, 45(3), 223–231. https://doi.org/10.1027/1864-9335/a000188</t>
  </si>
  <si>
    <t>10.1027/1864-9335/a000188</t>
  </si>
  <si>
    <t>10.1027--1864-9335--a000188.pdf</t>
  </si>
  <si>
    <t>psychological distance</t>
  </si>
  <si>
    <t>psychological distance, moral judgment, construal level theory</t>
  </si>
  <si>
    <t>people judge immoral acts as more offensive and moral acts as more virtuous when the acts are psychologically distant than near</t>
  </si>
  <si>
    <t>a main effect of temporal distance, F(1,56) = 6.53, p &lt; .01, r = .38, indicated that distant future transgressions were judged as more wrong (M = 4.12; SD = .80) than near future transgression (M = 3.41; SD = 1.24; Fig. 1).</t>
  </si>
  <si>
    <t>p. 1206</t>
  </si>
  <si>
    <t>p. 225</t>
  </si>
  <si>
    <t>https://osf.io/my6wv</t>
  </si>
  <si>
    <t>av_46_b</t>
  </si>
  <si>
    <t>replicates original study 3 (only Serbian sample; not pooled sample)</t>
  </si>
  <si>
    <t>a main effect of social distance, F(1,38) = 5.29, p &lt; .05, r = .35, indicated that actions were judged as more wrong from a third person perspective (M = 4.27; SD = .47) than from a first person perspective (M = 3.88; SD = .60; Fig. 2).</t>
  </si>
  <si>
    <t>p. 1207</t>
  </si>
  <si>
    <t>av_46_c</t>
  </si>
  <si>
    <t>replicates original study 4 (only Serbian sample; not pooled sample)</t>
  </si>
  <si>
    <t>a main effect of temporal distance, F(1,45) = 7.65, p &lt; .01, r = .38, indicated that participants judged the events as more virtuous in the distant future (M = 4.71; SD = .82) than in the near future (M = 3.97; SD = .99; Fig. 3).</t>
  </si>
  <si>
    <t>p. 1208</t>
  </si>
  <si>
    <t>av_47_1</t>
  </si>
  <si>
    <t>av_47_a</t>
  </si>
  <si>
    <t>replication of original experiment 1; in lab</t>
  </si>
  <si>
    <t>Förster, J., &amp; Denzler, M. (2012). Sense creative! The impact of global and local vision, hearing, touching, tasting and smelling on creative and analytic thought. Social Psychological and Personality Science, 3, 108 –117. (Retraction published 2015. Social Psychological &amp; Personality Science, 6, 118.)</t>
  </si>
  <si>
    <t>10.1177/1948550611410890</t>
  </si>
  <si>
    <t>10.1177--1948550611410890.pdf</t>
  </si>
  <si>
    <t>Field, S. M., Wagenmakers, E.-J., Newell, B. R., Zeelenberg, R., &amp; van Ravenzwaaij, D. (2016). Two Bayesian tests of the GLOMOsys Model. Journal of Experimental Psychology: General, 145(12), e81–e95. https://doi.org/10.1037/xge0000067</t>
  </si>
  <si>
    <t>10.1037/xge0000067</t>
  </si>
  <si>
    <t>10.1037--xge0000067.pdf</t>
  </si>
  <si>
    <t>priming</t>
  </si>
  <si>
    <t>priming, social cognition, categorization</t>
  </si>
  <si>
    <t>global processing broadens mental categories in memory</t>
  </si>
  <si>
    <t>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</si>
  <si>
    <t>F(4,114) = 6.61</t>
  </si>
  <si>
    <t>p. 112</t>
  </si>
  <si>
    <t>Bayes factor</t>
  </si>
  <si>
    <t>p. e85</t>
  </si>
  <si>
    <t>https://osf.io/ynr2q/files/osfstorage?view_only=</t>
  </si>
  <si>
    <t>av_47_b</t>
  </si>
  <si>
    <t>replication of original experiment 1; MTurk</t>
  </si>
  <si>
    <t>p. e87</t>
  </si>
  <si>
    <t>av_50_1</t>
  </si>
  <si>
    <t>av_50_a</t>
  </si>
  <si>
    <t>Japenese sample</t>
  </si>
  <si>
    <t>Riekki, T., Lindeman, M., Aleneff, M., Halme, A., &amp; Nuortimo, A. (2013). Paranormal and religious believers are more prone to illu_x0002_sory face perception than skeptics and non_x0002_believers. Applied Cognitive Psychology, 27, 150–155. doi: 10.1002/acp.2874</t>
  </si>
  <si>
    <t>10.1002/acp.2874</t>
  </si>
  <si>
    <t>10.1002--acp.2874.pdf</t>
  </si>
  <si>
    <t>Miyazaki, Y. (2017). Being Watched by Anthropomorphized Objects Affects Charitable Donation in Religious People. Japanese Psychological Research, 59(3), 221–229. Portico. https://doi.org/10.1111/jpr.12158</t>
  </si>
  <si>
    <t>10.1111/jpr.12158</t>
  </si>
  <si>
    <t>10.1111--jpr.12158.pdf</t>
  </si>
  <si>
    <t>Illusory face perceptions</t>
  </si>
  <si>
    <t>religion, religiosity, anthropomorphism</t>
  </si>
  <si>
    <t>Believer groups were better at identifying the previously defined face-like regions in the images</t>
  </si>
  <si>
    <t>In contrast, the religious people and non-religious people rated the face-likeness of the pictures equally, F(1,37) = 2.29, p = .139, eta_sq_p = .058.</t>
  </si>
  <si>
    <t>p. 154</t>
  </si>
  <si>
    <t>av_50_b</t>
  </si>
  <si>
    <t>American sample</t>
  </si>
  <si>
    <t>1B</t>
  </si>
  <si>
    <t>av_52_1</t>
  </si>
  <si>
    <t>av_52</t>
  </si>
  <si>
    <t>female participants</t>
  </si>
  <si>
    <t>Ackerman, J. M. &amp; Field, L. (2011). The gender asymmetric effect of intimate partner violence on relationship satisfaction. Violence and Victims, 26, 703-724.</t>
  </si>
  <si>
    <t>10.1891/0886-6708.26.6.703</t>
  </si>
  <si>
    <t>10.1891--0886-6708.26.6.703.pdf</t>
  </si>
  <si>
    <t>Ackerman, J. M. (2012). The Relevance of Relationship Satisfaction and Continuation to the Gender Symmetry Debate. Journal of Interpersonal Violence, 27(18), 3579–3600. https://doi.org/10.1177/0886260512447579</t>
  </si>
  <si>
    <t>10.1177/0886260512447579</t>
  </si>
  <si>
    <t>10.1177--0886260512447579.pdf</t>
  </si>
  <si>
    <t>gender assymetry in interpersonal violence</t>
  </si>
  <si>
    <t>partner violence; marital violence; measurement; CTS; gender differences</t>
  </si>
  <si>
    <t>Aggression harms the quality of the intimate partnerships of females much more so than the partnerships of males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</si>
  <si>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 </t>
  </si>
  <si>
    <t>p. 714</t>
  </si>
  <si>
    <t>p. 3595</t>
  </si>
  <si>
    <t>av_52_b</t>
  </si>
  <si>
    <t>male participants</t>
  </si>
  <si>
    <t>10.1891/0886-6708.26.6.704</t>
  </si>
  <si>
    <t>Ackerman, J. M. (2012). The Relevance of Relationship Satisfaction and Continuation to the Gender Symmetry Debate. Journal of Interpersonal Violence, 27(18), 3579–3600. https://doi.org/10.1177/0886260512447580</t>
  </si>
  <si>
    <t>10.1177/0886260512447580</t>
  </si>
  <si>
    <t>In contrast, Model 1 shows that males in opposite-sex relationships who reported IPV had relationship satisfaction scores only 2.35 points lower than the male nonvictims.</t>
  </si>
  <si>
    <t>av_53_1</t>
  </si>
  <si>
    <t>av_53</t>
  </si>
  <si>
    <t>effects not directly comparable: O reports standardised beta, R reports unstandardised</t>
  </si>
  <si>
    <t>Donovan, L. A. N., and Priester, J. R. (2017). Exploring the psychological processes
 underlying interpersonal forgiveness: the superiority of motivated reasoning
 over empathy. J. Exp. Soc. Psychol. 71, 16–30. doi: 10.1016/j.jesp.2017.02.005</t>
  </si>
  <si>
    <t>10.1016/j.jesp.2017.02.005</t>
  </si>
  <si>
    <t>10.1016--j.jesp.2017.02.005.pdf</t>
  </si>
  <si>
    <t>Donovan, L. A. N., &amp; Priester, J. R. (2020). Exploring the Psychological Processes That Underlie Interpersonal Forgiveness: Replication and Extension of the Model of Motivated Interpersonal Forgiveness. Frontiers in Psychology, 11. https://doi.org/10.3389/fpsyg.2020.02107</t>
  </si>
  <si>
    <t>10.3389/fpsyg.2020.02107</t>
  </si>
  <si>
    <t>10.3389--fpsyg.2020.02107.pdf</t>
  </si>
  <si>
    <t>Model of Motivated Interpersonal Forgiveness</t>
  </si>
  <si>
    <t>forgiveness, motivated reasoning, empathy, relationship closeness, Model of Motivated Interpersonal Forgiveness</t>
  </si>
  <si>
    <t>Relationship closeness leads to a desire to maintain the relationship, this desire leads to motivated reasoning, and this motivation leads to interpersonal forgiveness.</t>
  </si>
  <si>
    <t>The results supported this hypothesized relationship in that the confidence intervals for the mediational path testing DTM → MR → F did not include zero (0.16, 0.69), and as such is significant.</t>
  </si>
  <si>
    <t>av_55_1</t>
  </si>
  <si>
    <t>av_55</t>
  </si>
  <si>
    <t>note, wrong original article may be identified - the R mentions Fayolle et al., 2015 as a direct replication; meta analytic effect coded for the R (BP)</t>
  </si>
  <si>
    <t>Stetson, C., Fiesta, M. P., &amp; Eagleman, D. M. (2007). Does Time Really Slow Down during a Frightening Event? PloS One, 2, e1295. doi:10.1371/journal.pone.0001295</t>
  </si>
  <si>
    <t>10.1371/journal.pone.0001295</t>
  </si>
  <si>
    <t>10.1371--journal.pone.0001295.pdf</t>
  </si>
  <si>
    <t>Sarigiannidis, I., Grillon, C., Ernst, M., Roiser, J. P., &amp; Robinson, O. J. (2020). Anxiety makes time pass quicker while fear has no effect. Cognition, 197, 104116. https://doi.org/10.1016/j.cognition.2019.104116</t>
  </si>
  <si>
    <t>10.1016/j.cognition.2019.104116</t>
  </si>
  <si>
    <t>10.1016--j.cognition.2019.104116.pdf</t>
  </si>
  <si>
    <t>Time slow down during frightening events</t>
  </si>
  <si>
    <t>Time perception, Anxiety, Threat-of-shock, Fear, Emotion</t>
  </si>
  <si>
    <t>Participants retrospectively estimate their own fall to last longer than others’ falls.</t>
  </si>
  <si>
    <t>(...) participants’ duration estimates increased by an average of 36% when they recalled their own fall (from 2.17 +/- 0.24 s to 2.96 +/- 0.51 s, p&lt;0.03, paired t-test, one-tailed, Fig. 2a),</t>
  </si>
  <si>
    <t>from 2.17 +/- 0.24 s to 2.96 +/- 0.51 s, p&lt;0.03, paired t-test, one-tailed</t>
  </si>
  <si>
    <t>av_55_b</t>
  </si>
  <si>
    <t>Stetson, C., Fiesta, M. P., &amp; Eagleman, D. M. (2007). Does Time Really Slow Down during a Frightening Event? PloS One, 2, e1295. doi:10.1371/journal.pone.0001296</t>
  </si>
  <si>
    <t>10.1371/journal.pone.0001296</t>
  </si>
  <si>
    <t>Sarigiannidis, I., Grillon, C., Ernst, M., Roiser, J. P., &amp; Robinson, O. J. (2020). Anxiety makes time pass quicker while fear has no effect. Cognition, 197, 104116. https://doi.org/10.1016/j.cognition.2019.104117</t>
  </si>
  <si>
    <t>10.1016/j.cognition.2019.104117</t>
  </si>
  <si>
    <t>av_56_1</t>
  </si>
  <si>
    <t>av_56</t>
  </si>
  <si>
    <t>Gladwin, T. E., &amp; Figner, B. (2019). Trial-to-trial carryover effects on spatial attentional bias. Acta Psychologica,196, 51–55. https://doi.org/10.1016/j.actpsy.2019.04.006</t>
  </si>
  <si>
    <t>10.1016/j.actpsy.2019.04.006</t>
  </si>
  <si>
    <t>10.1016--j.actpsy.2019.04.006.pdf</t>
  </si>
  <si>
    <t>Gladwin, T. E., Jewiss, M., &amp; Vink, M. (2020). Attentional bias for negative expressions depends on previous target location: replicable effect but unreliable measures. Journal of Cognitive Psychology, 32(5–6), 562–572. https://doi.org/10.1080/20445911.2020.1805453</t>
  </si>
  <si>
    <t>10.1080/20445911.2020.1805453</t>
  </si>
  <si>
    <t>10.1080--20445911.2020.1805453.pdf</t>
  </si>
  <si>
    <t>Carryover effect</t>
  </si>
  <si>
    <t>Carryover, Visual probem Colour, Threat, Attentional bias, Spatial attention</t>
  </si>
  <si>
    <t>Dependence of the bias on the current trial on the location of probe stimuli on the previous trial.</t>
  </si>
  <si>
    <t>For the Colour version, the primary test—the interaction between Current Probe Location and Previous Probe Location—was significant, F(1, 143) = 91, p &lt; .0001, ηp2 = 0.39:</t>
  </si>
  <si>
    <t>av_58_1</t>
  </si>
  <si>
    <t>av_58</t>
  </si>
  <si>
    <t>Flom, R., Gentile, D. A., &amp; Pick, A. D. (2008). Infants’ discrimination of happy and sad music. Infant Behavior and Development: 31., 716–728. doi:10.1016/j.infbeh.2008.04.004</t>
  </si>
  <si>
    <t>10.1016/j.infbeh.2008.04.004</t>
  </si>
  <si>
    <t>10.1016--j.infbeh.2008.04.004.pdf</t>
  </si>
  <si>
    <t>Flom, R., &amp; Pick, A. D. (2012). Dynamics of infant habituation: Infants’ discrimination of musical excerpts. Infant Behavior and Development, 35(4), 697–704. https://doi.org/10.1016/j.infbeh.2012.07.022</t>
  </si>
  <si>
    <t>10.1016/j.infbeh.2012.07.022</t>
  </si>
  <si>
    <t>10.1016--j.infbeh.2012.07.022.pdf</t>
  </si>
  <si>
    <t>not direct replication</t>
  </si>
  <si>
    <t>Infant musical discrimination</t>
  </si>
  <si>
    <t>Habituation, Infants, Affect, Music</t>
  </si>
  <si>
    <t>Only the 9-month-olds discriminated the affectively similar individual
excerpts.</t>
  </si>
  <si>
    <t>Results revealed (...) a significant age by trial type interaction, F(4, 66) = 6.2, p &lt; .01, partial eta squared = .27 (...) Scheffe’s post hoc comparisons were use to examine the interaction and revealed that only the 9-month-olds showed a
significant increase in their mean looking from the posthabituation trials to the test trials</t>
  </si>
  <si>
    <t>p. 725</t>
  </si>
  <si>
    <t>F(2, 92) = 3.64, p &lt; .05</t>
  </si>
  <si>
    <t>p.702</t>
  </si>
  <si>
    <t>av_61_1</t>
  </si>
  <si>
    <t>av_61</t>
  </si>
  <si>
    <t>The OG does not report a standardised effect size, only Mean Squared Error</t>
  </si>
  <si>
    <t>Leber, A. B., &amp; Egeth, H. E. (2006b). It’s under control: Top-down search strategies can override attentional capture. Psychonomic Bulletin &amp; Review, 13, 132–138. http://dx.doi.org/10.3758/BF03193824</t>
  </si>
  <si>
    <t>10.3758/BF03193824</t>
  </si>
  <si>
    <t>10.3758--bf03193824.pdf</t>
  </si>
  <si>
    <t>Kerzel, D., &amp; Barras, C. (2016). Distractor rejection in visual search breaks down with more than a single distractor feature. Journal of Experimental Psychology: Human Perception and Performance, 42(5), 648–657. https://doi.org/10.1037/xhp0000180</t>
  </si>
  <si>
    <t>10.1037/xhp0000180</t>
  </si>
  <si>
    <t>10.1037--xhp0000180.pdf</t>
  </si>
  <si>
    <t>Distractor rejection in visual search</t>
  </si>
  <si>
    <t>visual search, attentional capture, search mode, feature search, singleton detection</t>
  </si>
  <si>
    <t>Interference from irrelevant-but-salient color distractors occurs when observers search for variable-shape singletons among uniform shapes (singleton detection), but not when they look for a specific shape among mixed shapes (feature search).</t>
  </si>
  <si>
    <t>Mean RTs (...) by group assignment (...) were entered into a 2 (group assignment)  2 (display size)  2 (distractor condition) ANOVA.  The main effect of distractor condition was significant (...) tthis was qualified by a significant group assignment  distractor condition interaction [F(1,28) = 6.095, MS_e =   255.298, p = .02],</t>
  </si>
  <si>
    <t>F(1,28) = 6.095, MS_e =   255.298, p = .02</t>
  </si>
  <si>
    <t>p. 651</t>
  </si>
  <si>
    <t>av_63_1</t>
  </si>
  <si>
    <t>av_63</t>
  </si>
  <si>
    <t>Donnelly, N., &amp; Davidoff, J. (1999). The mental representation of faces and houses: Issues concerning parts and wholes. Visual Cognition, 6, 319–343</t>
  </si>
  <si>
    <t>10.1080/135062899395000</t>
  </si>
  <si>
    <t>10.1080--135062899395000.pdf</t>
  </si>
  <si>
    <t>Osborne, C. D., &amp; Stevenage, S. V. (2013). Familiarity and face processing. Quarterly Journal of Experimental Psychology, 66(1), 108–120. https://doi.org/10.1080/17470218.2012.699077</t>
  </si>
  <si>
    <t>10.1080/17470218.2012.699077</t>
  </si>
  <si>
    <t>10.1080--17470218.2012.699077.pdf</t>
  </si>
  <si>
    <t>Holistic representation of faces</t>
  </si>
  <si>
    <t>Face recognition; Familiarity; Configural processing; Task difficulty.</t>
  </si>
  <si>
    <t>Complete over part probe advantage are mandatory.</t>
  </si>
  <si>
    <t>The main effects of (...) Probe type (...) were all significant (...) F(1,108) = 79.32 (...) p &lt; .01 (...). More accurate performance was found with (...) complete probes than part probes.</t>
  </si>
  <si>
    <t>F(1,108) = 79.32</t>
  </si>
  <si>
    <t>F(1, 17) = 14.45, p &lt; .001</t>
  </si>
  <si>
    <t>av_64_1</t>
  </si>
  <si>
    <t>av_64</t>
  </si>
  <si>
    <t>DV: error rates</t>
  </si>
  <si>
    <t>Aguado, L., Garcia-Gutierrez, A., &amp; Serrano-Pedraza, I. (2009). Symmetrical interaction of sex and expression in face classification tasks. Attention, Perception, &amp; Psychophysics, 71, 9–25. doi:10.3758/APP.71.1.9</t>
  </si>
  <si>
    <t>10.3758/APP.71.1.9</t>
  </si>
  <si>
    <t>10.3758--app.71.1.9.pdf</t>
  </si>
  <si>
    <t>Lipp, O. V., Karnadewi, F., Craig, B. M., &amp; Cronin, S. L. (2015). Stimulus set size modulates the sex–emotion interaction in face categorization. Attention, Perception, &amp; Psychophysics, 77(4), 1285–1294. https://doi.org/10.3758/s13414-015-0849-x</t>
  </si>
  <si>
    <t>10.3758/s13414-015-0849-x</t>
  </si>
  <si>
    <t>10.3758--s13414-015-0849-x.pdf</t>
  </si>
  <si>
    <t>Symmetrical interaction of sex and expression in face classification tasks</t>
  </si>
  <si>
    <t>Face categorization, sex, emotional expression</t>
  </si>
  <si>
    <t>Invariant facial eatures—for example, sex—and variant facial features—for example, emotional expressions—interact during face categorization.</t>
  </si>
  <si>
    <t>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
  </si>
  <si>
    <t>page 3 of PDF</t>
  </si>
  <si>
    <t>av_64_b</t>
  </si>
  <si>
    <t>DV: RTs</t>
  </si>
  <si>
    <t>Aguado, L., Garcia-Gutierrez, A., &amp; Serrano-Pedraza, I. (2009). Symmetrical interaction of sex and expression in face classification tasks. Attention, Perception, &amp; Psychophysics, 71, 9–25. doi:10.3758/APP.71.1.10</t>
  </si>
  <si>
    <t>10.3758/APP.71.1.10</t>
  </si>
  <si>
    <t>(...) this effect was qualified by a significant face expression  face sex interaction [F(1,15)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
  </si>
  <si>
    <t>Lukas, Tafere</t>
  </si>
  <si>
    <t>n_r was determined from the result with original domain</t>
  </si>
  <si>
    <t>- I added the replication label
- I entered the effect name and copied the description of the effect (which was provided under „effect“) to the description
- I had to correct the claim_text_original (a r was reported as an effect, but it was a t-test)
- I changed the effect and effect type to NA (original and replication), since the mean value was provided</t>
  </si>
  <si>
    <t>Kruger, J. (1999). Lake Wobegon be gone! The "below-average effect" and the egocentric nature
 of comparative ability judgments. Journal of Personality and Social Psychology, 77(2),
 221–232. doi: 10.1037/0022-3514.77.2.221</t>
  </si>
  <si>
    <t>people tend to perceive themselves as above  average when considering easy abilities</t>
  </si>
  <si>
    <t>people tend to perceive themselves as above  average when considering easy abilities; using a mouse</t>
  </si>
  <si>
    <t>" On average, participants thought they were above average (i.e., above the 50th percentile) in all four of the easy ability domains (all ps &lt;.01). Of course, these effects are not surprising from a motivational standpoint, given that these abilities were also considered quite desirable: The mean desirability rating across the easy abilities was 2.6 points above the midpoint of the scale, t(36) = 13.51, p &lt; .0001."</t>
  </si>
  <si>
    <t>https://osf.io/nm568</t>
  </si>
  <si>
    <t>CORE_101_1</t>
  </si>
  <si>
    <t>CORE_101</t>
  </si>
  <si>
    <t xml:space="preserve">I took R study 1 as well, even though it;s a pretest </t>
  </si>
  <si>
    <t>Malle, B. F., &amp; Knobe, J. (1997). The folk concept of intentionality. Journal of experimental social psychology, 33(2), 101-121.</t>
  </si>
  <si>
    <t>10.1006/jesp.1996.1314</t>
  </si>
  <si>
    <t>10.1006--jesp.1996.1314.pdf</t>
  </si>
  <si>
    <t>Chandrashekar, S. P., Chan, Y. Y., Cheng, K. L., Yao, D., Lo, C. Y. S., Cheung, T. C. A., Tang, H. Y. S., Leung, Y. T. A., Tsoi, C. N., Cheng, B. L., Ng, K. W., &amp; Feldman, G. (2022). Revisiting the folk concept of intentionality: Replications of. In Journal of Experimental Social Psychology (Vol. 102, p. 104372). Elsevier BV. https://doi.org/10.1016/j.jesp.2022.104372</t>
  </si>
  <si>
    <t>10.1016/j.jesp.2022.104372</t>
  </si>
  <si>
    <t>10.1016--j.jesp.2022.104372.pdf</t>
  </si>
  <si>
    <t>Folk intentionality</t>
  </si>
  <si>
    <t>people agree substantially in their judgments of intentionality</t>
  </si>
  <si>
    <t>To begin with, we computed people’s agreement across the 20 behaviors. In the whole sample, any two people showed an average intercorrelation of r (20) = .64,</t>
  </si>
  <si>
    <t xml:space="preserve">p.3   </t>
  </si>
  <si>
    <t>https://osf.io/4q5ce/wiki/home/</t>
  </si>
  <si>
    <t>Adrien, Tafere</t>
  </si>
  <si>
    <t>Only took study 2 of replication because study 1 was exploratory
Corinna:
- I corrected the study number of the original study, since the effect of the original study was coded
- I added the replication label
- I adjusted the replication label of the original study since it did not match with the reported effect size
- I adjusted the samlple size of the original study
- I changed the p-value type (original) to NA
- I changed nesting from unsure to NA (original)
- I adjusted the sample size of the replication study
- I adjusted the page number of the replication effect (although both numbers were correct, but I wanted to align both codings)
- I added NA to the p-value of the replication study and all related values</t>
  </si>
  <si>
    <t>any one persons showed an average correlation of r (20) = .80 with the remaining group, resulting in a Cronbach a of 0.99.</t>
  </si>
  <si>
    <t>https://osf.io/mt5jq/</t>
  </si>
  <si>
    <t>CORE_101_b</t>
  </si>
  <si>
    <t>CORE_101_c</t>
  </si>
  <si>
    <t>CORE_101_d</t>
  </si>
  <si>
    <t>- I added the study number of the original study
- I added the replication label
- I adjusted the sample size of the original study
- I changed the p-value type (original) to NA
- I added NA to the p-value of the replication study and all related values</t>
  </si>
  <si>
    <t>CORE_101_e</t>
  </si>
  <si>
    <t xml:space="preserve">Agreement did not differ between the conditions with definition (.79) </t>
  </si>
  <si>
    <t>CORE_101_f</t>
  </si>
  <si>
    <t>Agreement did not differ between the conditions and without definition (.79)</t>
  </si>
  <si>
    <t>CORE_101_g</t>
  </si>
  <si>
    <t xml:space="preserve">Agreement did not differ between actor perspective (.77) </t>
  </si>
  <si>
    <t>CORE_101_h</t>
  </si>
  <si>
    <t>Agreement did not differ between observer perspective (.80)</t>
  </si>
  <si>
    <t>CORE_102_1</t>
  </si>
  <si>
    <t>CORE_102</t>
  </si>
  <si>
    <t>Connolly, T., Reb, J., &amp; Kausel, E. E. (2013). Regret salience and accountability in the decoy effect. Judgment and Decision making, 8(2), 136-149.</t>
  </si>
  <si>
    <t>10.1017/S1930297500005064</t>
  </si>
  <si>
    <t>10.1017--s1930297500005064.pdf</t>
  </si>
  <si>
    <t>Xiao, Q., Zeng, S., &amp; Feldman, G. (2020). Revisiting the decoy effect: replication and extension of Ariely and Wallsten (1995) and Connolly, Reb, and Kausel (2013)‎. In Comprehensive Results in Social Psychology (Vol. 4, Issue 2, pp. 164–198). Informa UK Limited. https://doi.org/10.1080/23743603.2021.1878340</t>
  </si>
  <si>
    <t>10.1080/23743603.2021.1878340</t>
  </si>
  <si>
    <t>10.1080--23743603.2021.1878340.pdf</t>
  </si>
  <si>
    <t>Decoy effect</t>
  </si>
  <si>
    <t>The presence of a decoy makes the target more appealing than in its absence, this effect is reduced when regret is made salient</t>
  </si>
  <si>
    <t>Twenty out of 23 (87%) Control subjects chose the targeted option, but only 24 out of 39 (61.5%) of the Regret-Salient subjects did so,  None of the subjects chose the decoy option.</t>
  </si>
  <si>
    <t>X2 (1, N = 62) = 4.54,</t>
  </si>
  <si>
    <t>p.4 X2 (1, N = 62) = 4.54, Fisher’s exact test p = .04, φ2 = .07.</t>
  </si>
  <si>
    <t>p.17,18 conditions. FWelch(2,631.69) = 80.00, p &lt; .001, η2p = 0.18, 90% CI [0.15, 0.22].</t>
  </si>
  <si>
    <t>https://osf.io/wpzg7</t>
  </si>
  <si>
    <t>Yikang</t>
  </si>
  <si>
    <t xml:space="preserve">I replaced the originally reported phi-squared = .07 with the computed phi from the manuscript. r-code: mat &lt;- matrix(c(20, 3, 24, 15), nrow = 2) # data (from p. 139 bottom left); 
chisq.test(mat) # chisq test
as.numeric(chisq.test(mat)$statistic)/sum(mat) # phi
fisher.test(mat) # results match the reported ones
Corinna:
- I added the replication label
- I adjusted the sample size of the replication study
- I changed the tails of the p-value to NA
- I clarified the target effect
- I changed the effect and p-value of the original study
</t>
  </si>
  <si>
    <t>"There was a significant effect of regret salience on the percentage of subjects selecting the targeted option (seeTable 2).", " only 24 out of 39 (61.5%) of the Regret-Salient subjects did so, X2(1, N = 62) = 4.54, Fisher’s exact test p = .04, phi2 = .07. None of the subjects chose the decoy option."</t>
  </si>
  <si>
    <t>X2(1) = 4.54</t>
  </si>
  <si>
    <t>https://osf.io/zea87</t>
  </si>
  <si>
    <t>CORE_102_b</t>
  </si>
  <si>
    <t xml:space="preserve">The decoy effect was significant in the Control condition (i.e., the percentage of subjects choosing the targeted option was larger than 50%), exact binomial p = .000. </t>
  </si>
  <si>
    <t>p.4 χbinomial p = .000</t>
  </si>
  <si>
    <t>p.18 (Control: 216 out of 337 participants chose the target (64.1%, 95% CI [58.7%, 69.2%]), exact binomial p &lt; .001, Cohen’s h = 0.29, 95% CI [0.18, 0.39];</t>
  </si>
  <si>
    <t>CORE_102_c</t>
  </si>
  <si>
    <t>- I added the replication label
- I added the study numbers
- I adjusted the type of p-value (replication)
- I adjusted the text claim</t>
  </si>
  <si>
    <t>"There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</si>
  <si>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p.4  exact binomial p = .20.1</t>
  </si>
  <si>
    <t>p.18 Regret-Salient: 185 out of 326 participants chose the target (56.7%, 95% CI [51.2%, 62.2%]), exact binomial p = .017, Cohen’s h = 0.14, 95% CI [0.03, 0.24];</t>
  </si>
  <si>
    <t>CORE_102_d</t>
  </si>
  <si>
    <t xml:space="preserve">Consistent with these results, an ANOVA including Condition in addition showed a significant interaction between imagined choice and Condition on decision regret,
</t>
  </si>
  <si>
    <t>p.4 F(1, 58) = 7.14, p = .01, ηp2 = .11.</t>
  </si>
  <si>
    <t>p.18 F(2, 984) = 0.32, p = .730, η2p = 0.001, 90% CI[0.000, 0.004].</t>
  </si>
  <si>
    <t>CORE_105_1</t>
  </si>
  <si>
    <t>CORE_105</t>
  </si>
  <si>
    <t>R study 1a</t>
  </si>
  <si>
    <t>Fetherstonhaugh, D., Slovic, P., Johnson, S., &amp; Friedrich, J. (1997). Insensitivity to the value of human life: A study of psychophysical numbing. Journal of Risk and uncertainty, 14, 283-300.</t>
  </si>
  <si>
    <t>10.1023/A:1007744326393</t>
  </si>
  <si>
    <t>10.1023--a:1007744326393.pdf</t>
  </si>
  <si>
    <t>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 https://doi.org/10.1016/j.jesp.2021.104222</t>
  </si>
  <si>
    <t>10.1016/j.jesp.2021.104222</t>
  </si>
  <si>
    <t>10.1016--j.jesp.2021.104222.pdf</t>
  </si>
  <si>
    <t>Psychophysical numbing</t>
  </si>
  <si>
    <t>life-saving interventions would be valued more highly when the number of lives at risk was small than when the number at risk was large.</t>
  </si>
  <si>
    <t>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</si>
  <si>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F(1, 52) = 8.24,</t>
  </si>
  <si>
    <t>p.5  M= .45 over the large-camp program M =- .20</t>
  </si>
  <si>
    <t>p.5 F(1,385) = 22.63, p &lt; .001, η2p = 0.06, 90% CI [0.02, 0.10],</t>
  </si>
  <si>
    <t>https://osf.io/bgzay</t>
  </si>
  <si>
    <t>CORE_105_b</t>
  </si>
  <si>
    <t>Even these respondents, who indicated no preference between one life-saving Rwandan program and the other when asked directly, preferred the small-camp program (M = .93) over the large-camp program (M =.41) when evaluations were masked by paired comparisons, As perhaps the strongest evidence for the psychophysical numbing hypothesis thus far, this result is quite remarkable, especially considering that the life-saving potential of each Rwandan program was reinforced by the preceding question in which nearly all respondents reported that the interventions would save the same number of lives.</t>
  </si>
  <si>
    <t>F(1, 21) = 3.92</t>
  </si>
  <si>
    <t>p.5  (M = .93) o (M =.41)  ; p = .06.</t>
  </si>
  <si>
    <t>p.5,6  (M = 0.25) (M= − 0.03), t(385) = 4.76, p &lt;.001, Cohen’s d = 0.24, 95% CI [0.14, 0.34].</t>
  </si>
  <si>
    <t>CORE_105_c</t>
  </si>
  <si>
    <t>R study 1b</t>
  </si>
  <si>
    <t>p.7 (camp size × comparison program, F(1, 722)= 10.43, p = .001, η2p = 0.01, 90% CI [0.00, 0.03];</t>
  </si>
  <si>
    <t>https://osf.io/nrfth</t>
  </si>
  <si>
    <t>CORE_105_d</t>
  </si>
  <si>
    <t>p.7 (M = 0.35) t (M =− 0.38)  t(1189) = 13.67, p &lt; .001, d = 0.40, 95% CI [0.34, 0.46].</t>
  </si>
  <si>
    <t>CORE_105_e</t>
  </si>
  <si>
    <t>R study 1c - link for R preregistration copied from the paper, wasn't available at the time of extraction</t>
  </si>
  <si>
    <t>p.9 F(1, 436) = 42.44, p &lt; .001,η2p = 0.09, 90% CI [0.05, 0.13],</t>
  </si>
  <si>
    <t>https://osf.io/ju2fe/</t>
  </si>
  <si>
    <t>CORE_105_f</t>
  </si>
  <si>
    <t>p.9 F(1, 308) = 20.63, p &lt; .001, η2p = 0.06, 90% CI [0.03, 0.11],</t>
  </si>
  <si>
    <t>CORE_105_g</t>
  </si>
  <si>
    <t>R study 2a/. R states ES for O η2p = 0.55,</t>
  </si>
  <si>
    <t>A significant main effect for camp size, F (1, 132) =160.5, p , .001, indicated that respondents believed sending the planes to small camps was more beneficial (M = 6.46) than sending them tolarge camps (M = 4.54).</t>
  </si>
  <si>
    <t>F (1, 132) =160.5</t>
  </si>
  <si>
    <t>p.9 (M = 6.46) than sending them tolarge camps (M = 4.54).</t>
  </si>
  <si>
    <t>p.11 F(1, 498) =821.82, p &lt; .001, η2p = 0.62, 90% CI [0.58, 0.66].  (M =6.78, SD = 1.14) (M = 4.02, SD = 2.22).</t>
  </si>
  <si>
    <t>https://osf.io/cmrbh</t>
  </si>
  <si>
    <t>CORE_105_h</t>
  </si>
  <si>
    <t>R study 2a</t>
  </si>
  <si>
    <t>support for a main effect of prior aid, F(1, 132) = 15.35, p &lt; .001. Participants perceived that sending planes to those camps which were already satisfied a certain portion of water need (M = 5.73) as more beneficial than those only satisfied a small portion of water need (M = 5.27).</t>
  </si>
  <si>
    <t>F(1, 132) = 15.35</t>
  </si>
  <si>
    <t>p.9 (M = 5.73)  (M = 5.27).</t>
  </si>
  <si>
    <t>p.11 F(1, 498) =821.82, p &lt; .001, η2p = 0.62, 90% CI [0.58, 0.66].  (M =6.78, SD = 1.14) (M = 4.02, SD = 2.22). (</t>
  </si>
  <si>
    <t>CORE_105_i</t>
  </si>
  <si>
    <t>And, not surprisingly, the results revealed a main effect for plane reliability,  p , .001, indicating that respondents believed the 100%-reliable plane(M = 5.67) was more beneficial than the 60%-reliable plane (M =5.33). No other effects were significant.</t>
  </si>
  <si>
    <t>F (1, 132) = 12.01</t>
  </si>
  <si>
    <t>p.9 (M = 5.67)  (M = 5.33).</t>
  </si>
  <si>
    <t>p.11 F(1, 497) = 5.70, p = .029, η2p= 0.01, 90% CI [0.00,0.03].  (M = 5.54, SD = 1.40) (M = 5.24, SD = 1.37),</t>
  </si>
  <si>
    <t>CORE_105_j</t>
  </si>
  <si>
    <t>R study 2b</t>
  </si>
  <si>
    <t>p.13 F(1, 1598) = 511.60, p &lt; .001, η2p = 0.24, 90% CI [0.21, 0.27].</t>
  </si>
  <si>
    <t>CORE_105_k</t>
  </si>
  <si>
    <t>p.13 F(1, 1598) = 9.10, p = .003, η2p = 0.01,90% CI [0.00, 0.01].</t>
  </si>
  <si>
    <t>CORE_105_l</t>
  </si>
  <si>
    <t>p.13 reliability, F(1, 1598) =88.37, p &lt; .001, η2p = 0.05, 90% CI [0.04, 0.07].</t>
  </si>
  <si>
    <t>CORE_110_1</t>
  </si>
  <si>
    <t>CORE_110</t>
  </si>
  <si>
    <t>Teshome Deressa</t>
  </si>
  <si>
    <t>effect sizes were not reported in the original study. however, i considered the one implicated in the replication paper (see table 9)</t>
  </si>
  <si>
    <t>Chandrashekar, S. P., Adelina, N., Zeng, S., Esther, C. Y. Y., Leung, G. Y. S., Henne, P., Cheng, B., &amp; Feldman, G. (2022). Defaults versus framing: Revisiting Default Effect and Framing Effect with replications and extensions of Johnson and Goldstein (2003) and Johnson, Bellman, and Lohse (2002). Center for Open Science. https://doi.org/10.31234/osf.io/nymh2</t>
  </si>
  <si>
    <t>10.31234/osf.io/nymh2</t>
  </si>
  <si>
    <t>10.31234--osf.io--nymh2.pdf</t>
  </si>
  <si>
    <t>both replication and extension</t>
  </si>
  <si>
    <t>default bias</t>
  </si>
  <si>
    <t>privacy, consumer choice, framing, default effects, electronic commerce</t>
  </si>
  <si>
    <t>participants were more inclined to be notified when participation was the default. Comparison no-default vs. opt-in</t>
  </si>
  <si>
    <t>we show that the default has a major role in determining revealed preferences for further contact with a Web site</t>
  </si>
  <si>
    <t>p. 10 of replication paper (Table 9)</t>
  </si>
  <si>
    <t>https://osf.io/mhwbe</t>
  </si>
  <si>
    <t>CORE_113_1</t>
  </si>
  <si>
    <t>CORE_113</t>
  </si>
  <si>
    <t>effect sizes were not reported in the original study. however, i considered the one implicated in the replication paper (see Table 9). additionally, the effect sizes of the original study presented in the table are based on the mini-meta-analysis of Experiment 1, 2, and 3. this makes difficult to know the exact sample size</t>
  </si>
  <si>
    <t>Mellers, B., Hertwig, R., &amp; Kahneman, D. (2001). Do frequency representations eliminate conjunction effects? An exercise in adversarial collaboration. Psychological Science, 12(4), 269-275.</t>
  </si>
  <si>
    <t>10.1111/1467-9280.00350</t>
  </si>
  <si>
    <t>10.1111--1467-9280.00350.pdf</t>
  </si>
  <si>
    <t>Chandrashekar, S., Cheng‎, Y. H., Fong‎, C. L., Leung‎, Y. C., Wong, Y. T., Cheng, B. L., &amp; Feldman, G. (2021). Frequency estimation and semantic ambiguity do not eliminate ‎conjunction bias, when it ‎occurs: Replication and extension of ‎Mellers, Hertwig, and Kahneman (2001)‎. In Meta-Psychology (Vol. 5). Linnaeus University. https://doi.org/10.15626/mp.2020.2474</t>
  </si>
  <si>
    <t>10.15626/mp.2020.2474</t>
  </si>
  <si>
    <t>10.15626--mp.2020.2474.pdf</t>
  </si>
  <si>
    <t>conjunction effect-Linda</t>
  </si>
  <si>
    <t>conjunction effect, frequency estimation, replication, Linda problem, judgment and decision making</t>
  </si>
  <si>
    <t>the frequency estimate for the “and” conjunction phrase will be higher than the phrase describing unlikely target alone</t>
  </si>
  <si>
    <t>the results for the Linda scenario supported Kahneman’s prediction across two out of three experiments conducted as part of the adversarial collaboration</t>
  </si>
  <si>
    <t>p. 2 of replication paper</t>
  </si>
  <si>
    <t>p. 3 of replication paper (table 2)</t>
  </si>
  <si>
    <t>https://osf.io/gb7pk</t>
  </si>
  <si>
    <t>CORE_119_1</t>
  </si>
  <si>
    <t>CORE_119</t>
  </si>
  <si>
    <t>effect sizes were not reported in the original study. however, i considered the one implicated in the replication paper (see table 1)</t>
  </si>
  <si>
    <t>Tversky, A., &amp; Shafir, E. (1992). The disjunction effect in choice under uncertainty. Psychological science, 3(5), 305-310.</t>
  </si>
  <si>
    <t>10.1111/j.1467-9280.1992.tb00678.x</t>
  </si>
  <si>
    <t>10.1111--j.1467-9280.1992.tb00678.x.pdf</t>
  </si>
  <si>
    <t>Ziano, I., Kong, M. F., Kim, H. J., Liu, C. Y., Wong, S. C., Cheng, B. L., &amp; Feldman, G. (2021). Replication: Revisiting Tversky and Shafir’s (1992) Disjunction Effect with an extension comparing between and within subject designs. In Journal of Economic Psychology (Vol. 83, p. 102350). Elsevier BV. https://doi.org/10.1016/j.joep.2020.102350</t>
  </si>
  <si>
    <t>10.1016/j.joep.2020.102350</t>
  </si>
  <si>
    <t>10.1016--j.joep.2020.102350.pdf</t>
  </si>
  <si>
    <t>both close replication and extension</t>
  </si>
  <si>
    <t>disjunction effect-pay to know</t>
  </si>
  <si>
    <t>disjunction effect, uncertainity, risk</t>
  </si>
  <si>
    <t>participants were willing to pay a small fee to postpone a decision about a vacation package promotion when outcome of an exam was uncertain, despite preferences to purchase the package regardless of exam outcome.</t>
  </si>
  <si>
    <t>no inferential stat was reported</t>
  </si>
  <si>
    <t>https://osf.io/fzchj</t>
  </si>
  <si>
    <t>CORE_121_1</t>
  </si>
  <si>
    <t>CORE_121</t>
  </si>
  <si>
    <t>effect sizes were not clearly reported in the original paper. honestly, i didn't manage to understand the original paper</t>
  </si>
  <si>
    <t>Tykocinski, O. E., Pittman, T. S., &amp; Tuttle, E. E. (1995). Inaction inertia: Foregoing future benefits as a result of an initial failure to act. Journal of personality and social psychology, 68(5), 793.</t>
  </si>
  <si>
    <t>10.1037/0022-3514.68.5.793</t>
  </si>
  <si>
    <t>10.1037--0022-3514.68.5.793.pdf</t>
  </si>
  <si>
    <t>Chen, J., Hui, L. S., Yu, T., Feldman, G., Zeng, S., Ching, T. L., Ng, C. H., Wu, K. W., Yuen, C. M., Lau, T. K., Cheng, B. L., &amp; Ng, K. W. (2021). Foregone opportunities and choosing not to act: Replications of inaction inertia effect. Social Psychological and Personality Science, 12(3), 333–345. https://doi.org/10.1177/1948550619900570</t>
  </si>
  <si>
    <t>10.1177/1948550619900570</t>
  </si>
  <si>
    <t>10.1177--1948550619900570.pdf</t>
  </si>
  <si>
    <t>inaction inertia-ski</t>
  </si>
  <si>
    <t>inaction inertia, decision making</t>
  </si>
  <si>
    <t>forgoing an initial attractive opportunity decreases the likelihood of taking a subsequent opportunity that is less attractive, even when the subsequent opportunity still offers positive value</t>
  </si>
  <si>
    <t>https://osf.io/kbnjw;</t>
  </si>
  <si>
    <t>CORE_133_1</t>
  </si>
  <si>
    <t>CORE_133</t>
  </si>
  <si>
    <t>effect sizes were not reported in the original study. however, i considered the one implicated in the replication paper (see table 5)</t>
  </si>
  <si>
    <t>Pronin, E., &amp; Ross, L. (2006). Temporal differences in trait self-ascription: when the self is seen as an other. Journal of personality and social psychology, 90(2), 197.</t>
  </si>
  <si>
    <t>10.1037/0022-3514.90.2.197</t>
  </si>
  <si>
    <t>10.1037--0022-3514.90.2.197.pdf</t>
  </si>
  <si>
    <t>Adelina, N., &amp; Feldman, G. (2021). Are Past and Future Selves Perceived Differently from Present Self? Replication and Extension of Pronin and Ross(2006) Temporal Differences in Trait Self-Ascription. International Review of Social Psychology, 34(1): 29, 1–16. DOI: https://doi.org/10.5334/irsp.571</t>
  </si>
  <si>
    <t>10.5334/irsp.571</t>
  </si>
  <si>
    <t>10.5334--irsp.571.pdf</t>
  </si>
  <si>
    <t>temporal distance, actor-observer bias</t>
  </si>
  <si>
    <t>temporal distance, self-perception, actor–observer, visual perspective, introspection</t>
  </si>
  <si>
    <t>participants would ascribe a greater number of traits, and a lesser number of ascriptions to situational variability when assessing their friends compared to their present selve</t>
  </si>
  <si>
    <t>participants indeed ascribed a greater number of traits to their friends (f = 0.35 [0.09, 0.61])</t>
  </si>
  <si>
    <t>p. 3 of replication paper</t>
  </si>
  <si>
    <r>
      <rPr>
        <rFont val="Calibri"/>
        <color rgb="FF1155CC"/>
        <sz val="11.0"/>
        <u/>
      </rPr>
      <t>https://osf.io/yrvuq</t>
    </r>
    <r>
      <rPr>
        <rFont val="Calibri"/>
        <sz val="11.0"/>
      </rPr>
      <t xml:space="preserve"> </t>
    </r>
  </si>
  <si>
    <t xml:space="preserve">close </t>
  </si>
  <si>
    <t>CORE_139_1</t>
  </si>
  <si>
    <t>CORE_139</t>
  </si>
  <si>
    <t>effect sizes were not reported in the original study. however, i considered the one implicated in the replication paper (see table 7)</t>
  </si>
  <si>
    <t>tests were not reported</t>
  </si>
  <si>
    <t>Caruso, E. M. (2010). When the future feels worse than the past: a temporal inconsistency in moral judgment. Journal of Experimental Psychology: General, 139(4), 610.</t>
  </si>
  <si>
    <t>10.1037/a0020757</t>
  </si>
  <si>
    <t>10.1037--a0020757.pdf</t>
  </si>
  <si>
    <t>El Halabi, M., Chan, W. Y. F., Tunca, B., Ziano, I., &amp; Feldman, G. (2022). Replication: Unsuccessful replications and extensions of Temporal Value Asymmetry in monetary valuation and moral judgment. In Journal of Economic Psychology (Vol. 90, p. 102509). Elsevier BV. https://doi.org/10.1016/j.joep.2022.102509</t>
  </si>
  <si>
    <t>10.1016/j.joep.2022.102509</t>
  </si>
  <si>
    <t>10.1016--j.joep.2022.102509.pdf</t>
  </si>
  <si>
    <t>moral judgment, fairness, time, past and future</t>
  </si>
  <si>
    <t>temporal location on moral judgement</t>
  </si>
  <si>
    <t>p. 8 of replication paper</t>
  </si>
  <si>
    <r>
      <rPr>
        <rFont val="Calibri"/>
        <color rgb="FF1155CC"/>
        <sz val="11.0"/>
        <u/>
      </rPr>
      <t>https://osf.io/b936n</t>
    </r>
    <r>
      <rPr>
        <rFont val="Calibri"/>
        <sz val="11.0"/>
      </rPr>
      <t xml:space="preserve"> </t>
    </r>
  </si>
  <si>
    <t>CORE_141_1</t>
  </si>
  <si>
    <t>CORE_141</t>
  </si>
  <si>
    <t>Caruso, E. M., Gilbert, D. T., &amp; Wilson, T. D. (2008). A wrinkle in time: Asymmetric valuation of past and future events. Psychological Science, 19(8), 796-801.</t>
  </si>
  <si>
    <t>10.1111/j.1467-9280.2008.02159.x</t>
  </si>
  <si>
    <t>10.1111--j.1467-9280.2008.02159.x.pdf</t>
  </si>
  <si>
    <t>past-future asymmetry</t>
  </si>
  <si>
    <t>moral judgement, valuation, judgement</t>
  </si>
  <si>
    <t>temporal location on monetary judgement</t>
  </si>
  <si>
    <r>
      <rPr>
        <rFont val="Calibri"/>
        <color rgb="FF1155CC"/>
        <sz val="11.0"/>
        <u/>
      </rPr>
      <t>https://osf.io/b936n</t>
    </r>
    <r>
      <rPr>
        <rFont val="Calibri"/>
        <sz val="11.0"/>
      </rPr>
      <t xml:space="preserve"> </t>
    </r>
  </si>
  <si>
    <t>CORE_146_1</t>
  </si>
  <si>
    <t>CORE_146</t>
  </si>
  <si>
    <t>effect sizes were not reported in the original study. however, i considered the one implicated in the replication paper (see table 3)</t>
  </si>
  <si>
    <t>this is a mini meta analysis</t>
  </si>
  <si>
    <t>Shafir, E. (1993). Choosing versus rejecting: Why some options are both better and worse than others. Memory &amp; cognition, 21(4), 546-556.</t>
  </si>
  <si>
    <t>10.3758--bf03197186.pdf</t>
  </si>
  <si>
    <t>Chandrashekar, S., Weber, J., Chan, S., Cho, W., Chu, T., Cheng, B., &amp; Feldman, G. (2021). Accentuation and compatibility: Replication and extensions of Shafir (1993) to rethink choosing versus rejecting paradigms. Judgment and Decision Making, 16(1), 36-56. doi:10.1017/S1930297500008299</t>
  </si>
  <si>
    <t>10.1017/S1930297500008299</t>
  </si>
  <si>
    <t>10.1017--S1930297500008299.pdf</t>
  </si>
  <si>
    <t>choosing versus rejecting</t>
  </si>
  <si>
    <t>choosing versus rejecting, compatibility principle, replication crisis, accentuation hypothesis</t>
  </si>
  <si>
    <t>subjects choose and reject the enriched alternative more often than the impoverished alternative across task frames (choice vs. rejection)</t>
  </si>
  <si>
    <t>p. 5 of replication paper</t>
  </si>
  <si>
    <t>https://osf.io/r4aku</t>
  </si>
  <si>
    <t>CORE_147_1</t>
  </si>
  <si>
    <t>CORE_147</t>
  </si>
  <si>
    <t>effect size for explicit shame was considered</t>
  </si>
  <si>
    <t xml:space="preserve">Smith, R. H., Webster, J. M., Parrott, W. G., &amp; Eyre, H. L. (2002). The role of public exposure in moral and nonmoral shame and guilt. Journal of Personality and Social Psychology, 83(1), 138–159. https://doi.org/10.1 037/0022-3514.83.1.138 </t>
  </si>
  <si>
    <t xml:space="preserve">10.1 037/0022-3514.83.1.138 </t>
  </si>
  <si>
    <t>10.1 037--0022-3514.83.1.138 .pdf</t>
  </si>
  <si>
    <t>Chit, J. C. F., Patrina Wong, Rachel, S. H. C., Yee, Y. L., Feldman, G., Chow, K., &amp; Zhang, Y. (2022). Revisiting the role of public exposure and moral beliefs on feelings of shame and guilt: Replication Registered Report of Smith et al. (2002)’s Study 1. Open Science Framework. https://doi.org/10.17605/OSF.IO/J3UE4</t>
  </si>
  <si>
    <t>10.17605/osf.io/j3ue4</t>
  </si>
  <si>
    <t>10.17605--osf.io--j3ue4.pdf</t>
  </si>
  <si>
    <t>public exposure on shame</t>
  </si>
  <si>
    <t>public exposure, shame, guilt, moral</t>
  </si>
  <si>
    <t>public exposure is more associated with shame than with guilt</t>
  </si>
  <si>
    <t>there was a significant main effect for public exposure, F(2, 154) = 12.47, p &lt; .0001</t>
  </si>
  <si>
    <t>F(2, 154) = 12.47</t>
  </si>
  <si>
    <t>https://osf.io/js5db</t>
  </si>
  <si>
    <t>CORE_148_1</t>
  </si>
  <si>
    <t>CORE_148</t>
  </si>
  <si>
    <t>effect sizes were not clearly reported in the original paper. i considered the one implicated in the replication paper</t>
  </si>
  <si>
    <t>Baron, J., &amp; Hershey, J. C. (1988). Outcome bias in decision evaluation. Journal of personality and social psychology, 54(4), 569.</t>
  </si>
  <si>
    <t>10.1037/0022-3514.54.4.569</t>
  </si>
  <si>
    <t>10.1037--0022-3514.54.4.569.pdf</t>
  </si>
  <si>
    <t>Aiyer, S., Yuk, N., Kam, H., Young, N., Shi, J., &amp; Feldman, G. (2022). Outcomes affect evaluations of decision quality: ‎ Replication and extension of Baron and Hershey’s (1988) Outcome Bias Experiment 1‎. Open Science Framework. https://doi.org/10.17605/OSF.IO/KNJHU</t>
  </si>
  <si>
    <t>10.17605/osf.io/knjhu</t>
  </si>
  <si>
    <t>10.17605--osf.io--knjhu.pdf</t>
  </si>
  <si>
    <t>outcome bias</t>
  </si>
  <si>
    <t>outcome bias, evaluation of decisions; responsibility, cognitive biases</t>
  </si>
  <si>
    <t>decisions that resulted in successful outcomes are rated as better than decisions that resulted in failed outcomes</t>
  </si>
  <si>
    <t>overall, there was an outcome bias</t>
  </si>
  <si>
    <t>p. 1 of replication paper</t>
  </si>
  <si>
    <t>https://osf.io/czha8</t>
  </si>
  <si>
    <t>CORE_150_1</t>
  </si>
  <si>
    <t>CORE_150</t>
  </si>
  <si>
    <t>Hsee, C. K. (1998). Less is better: When low‐value options are valued more highly than high‐value options. Journal of Behavioral Decision Making, 11(2), 107-121.</t>
  </si>
  <si>
    <t>10.1002/(SICI)1099-0771(199806)11:2&lt;107::AID-BDM292&gt;3.0.CO;2-Y</t>
  </si>
  <si>
    <t>10.1002--(sici)1099-0771(199806)11:2&lt;107::aid-bdm292&gt;3.0.co;2-y.pdf</t>
  </si>
  <si>
    <t>Vonasch, A., Yiu, H., Leung, W., Nguyen, A., Stephanie, C., Cheng, B., &amp; Feldman, G. (2023). “Less is better” in separate evaluations versus “More is better” in joint evaluations: Mostly successful close replication and extension of Hsee (1998). Open Science Framework. https://doi.org/10.17605/OSF.IO/9UWNS</t>
  </si>
  <si>
    <t>10.1525/collabra.77859</t>
  </si>
  <si>
    <t xml:space="preserve">10.1525--collabra.77859.pdf </t>
  </si>
  <si>
    <t>?</t>
  </si>
  <si>
    <t>less is better</t>
  </si>
  <si>
    <t>preference reversal, evaluability, willingness to pay</t>
  </si>
  <si>
    <t>participants receiving the $45 scarf will consider their friend more generous than those receiving the $55 coat</t>
  </si>
  <si>
    <t>although the $55 coat is certainly more expensive than the $45 scarf, those receiving the scarf considered their gift giver to be significantly more generous than those receiving the coat (M = 5.63 and 5.00, respectively, t =3.13; p &lt; 0:01)</t>
  </si>
  <si>
    <t>https://osf.io/6z32c</t>
  </si>
  <si>
    <t>CORE_153_1</t>
  </si>
  <si>
    <t>CORE_153</t>
  </si>
  <si>
    <t>Kruger, J., Wirtz, D., Van Boven, L., &amp; Altermatt, T. W. (2004). The effort heuristic. Journal of Experimental Social Psychology, 40(1), 91-98.</t>
  </si>
  <si>
    <t>10.1016/S0022-1031(03)00065-9</t>
  </si>
  <si>
    <t>10.1016--s0022-1031(03)00065-9.pdf</t>
  </si>
  <si>
    <t>Ziano, Ignazio, et al. "Examining the impact of effort on perceived quality and value by revisiting “The Effort Heuristic”: Mixed results of close replications of Kruger et al.(2004)." (2021).</t>
  </si>
  <si>
    <r>
      <rPr>
        <rFont val="Calibri"/>
        <color rgb="FF1155CC"/>
        <sz val="11.0"/>
        <u/>
      </rPr>
      <t>10.1525/collabra.87489</t>
    </r>
  </si>
  <si>
    <t>10.1525--collabra.87489.pdf</t>
  </si>
  <si>
    <t>effort heuristic</t>
  </si>
  <si>
    <t>judgment, decision Making, heuristics, biases</t>
  </si>
  <si>
    <t>the poem will be rated as better when it took 18h to be composed compared to 4h</t>
  </si>
  <si>
    <t>as Table 1 shows, participants provided more favorable evaluations of the poem when they thought it took Walleghen 18 hr to compose than when it took it him 4 hr, F(1, 136) = 3.98, p = 0.048</t>
  </si>
  <si>
    <t>p. 10 of replication paper</t>
  </si>
  <si>
    <t>https://osf.io/cga6h</t>
  </si>
  <si>
    <t>CORE_157a_1</t>
  </si>
  <si>
    <t>CORE_157a</t>
  </si>
  <si>
    <t>effect size for the interaction was considered</t>
  </si>
  <si>
    <t>replication effect size was actually another original effect size. Also there were three effects. The entry has been expanded into 3 entries covering all three central effects (Table 2, p.10 of original article)</t>
  </si>
  <si>
    <t>Kogut, T., &amp; Ritov, I. (2005). The “identified victim” effect: An identified group, or just a single individual?. Journal of behavioral decision making, 18(3), 157-167.</t>
  </si>
  <si>
    <t>10.1002/bdm.492</t>
  </si>
  <si>
    <t>10.1002--bdm.492.pdf</t>
  </si>
  <si>
    <t>Majumder, R., Long, T., Ziano, I., &amp; Feldman, G. (2022). Revisiting the impact of singularity on the Identified Victim Effect: An unsuccessful replication and extension of Kogut and Ritov (2005a) Study 2. Open Science Framework. https://doi.org/10.17605/OSF.IO/9QCPJ</t>
  </si>
  <si>
    <t>10.1017/jdm.2024.31</t>
  </si>
  <si>
    <t>10.1017--jdm.2024.31.pdf</t>
  </si>
  <si>
    <t>identifiable victim effect</t>
  </si>
  <si>
    <t>emotion, affect, individuating information, victims</t>
  </si>
  <si>
    <t>willingness to contribute for an identified single victim is greater than the willingness to contribute for an unidentified single victim, with a weaker effect for a group of victims (singularity and identifiability interaction)</t>
  </si>
  <si>
    <t>identification of the victim significantly interacted with the singularity factor (F(1, 108) = 7.12, p &lt; 0.009)</t>
  </si>
  <si>
    <t>https://osf.io/bjafe/</t>
  </si>
  <si>
    <t>CORE_158_1</t>
  </si>
  <si>
    <t>CORE_158</t>
  </si>
  <si>
    <t>Small, D. A., Loewenstein, G., &amp; Slovic, P. (2007). Sympathy and callousness: Affect and deliberations in donation decisions. Organizational Behavior and Human Decision Processes, 102(2), 143-153.</t>
  </si>
  <si>
    <t>10.1016/j.obhdp.2006.01.005</t>
  </si>
  <si>
    <t>10.1016--j.obhdp.2006.01.005.pdf</t>
  </si>
  <si>
    <t>Revisiting and rethinking the identifiable victim effect: Replication and extension of small, Loewenstein, and Slovic (2007) M Maier, YC Wong, G Feldman - Collabra: Psychology, 2024</t>
  </si>
  <si>
    <r>
      <rPr>
        <rFont val="Calibri"/>
        <color rgb="FF1155CC"/>
        <sz val="11.0"/>
        <u/>
      </rPr>
      <t>10.1525/collabra.90203</t>
    </r>
  </si>
  <si>
    <t>10.1525--collabra.90203.pdf</t>
  </si>
  <si>
    <t>deliberative thought, identifiable victim effect</t>
  </si>
  <si>
    <t>identifiable victim effect, sympathy, generosity</t>
  </si>
  <si>
    <t>thinking analytically about the value of lives should reduce giving to an identifiable victim</t>
  </si>
  <si>
    <t>participants who faced an identifiable victim gave more (M = $2.12, SD = $2.13) than those who faced a statistical victim, (M = $1.21, SD = 1.67), F(1,115) = 6.75, p &lt; .05, etasq = .06</t>
  </si>
  <si>
    <t>https://osf.io/dc9kb/</t>
  </si>
  <si>
    <t>CORE_159_1</t>
  </si>
  <si>
    <t>CORE_159</t>
  </si>
  <si>
    <t>replication paper is inaccessible</t>
  </si>
  <si>
    <t>Cushman, F., Young, L., &amp; Hauser, M. (2006). The role of conscious reasoning and intuition in moral judgment: Testing three principles of harm. Psychological science, 17(12), 1082-1089.</t>
  </si>
  <si>
    <t>10.1111/j.1467-9280.2006.01834.x</t>
  </si>
  <si>
    <t>10.1111--j.1467-9280.2006.01834.x.pdf</t>
  </si>
  <si>
    <t>Hoi &amp; Feldman, Cushman, Young, and Hauser (2006): Replication and extension</t>
  </si>
  <si>
    <t>the replication paper is inaccessible</t>
  </si>
  <si>
    <t>Three principles of harm,Morality</t>
  </si>
  <si>
    <t>CORE_160_1</t>
  </si>
  <si>
    <t>CORE_160</t>
  </si>
  <si>
    <t>Heath, C., Larrick, R. P., &amp; Wu, G. (1999). Goals as reference points. Cognitive psychology, 38(1), 79-109.</t>
  </si>
  <si>
    <t>10.1006/cogp.1998.0708</t>
  </si>
  <si>
    <t>10.1006--cogp.1998.0708.pdf</t>
  </si>
  <si>
    <t>Nga Yu Au &amp; Feldman, Replication and extension of using goals as reference points</t>
  </si>
  <si>
    <t>10.17605--osf.io--wmqtb.pdf</t>
  </si>
  <si>
    <t>over confidence</t>
  </si>
  <si>
    <t xml:space="preserve"> goals as reference points, bias, judgment and decision making, value function, loss aversion, diminishing sensitivit</t>
  </si>
  <si>
    <t>compare the emotion between Sally, who succeeded to meet her goal, with Trish, who failed to meet her goal</t>
  </si>
  <si>
    <t>p. 17 of replication paper</t>
  </si>
  <si>
    <t>p. 39</t>
  </si>
  <si>
    <t>https://osf.io/wmqtb/</t>
  </si>
  <si>
    <t>CORE_161_1</t>
  </si>
  <si>
    <t>CORE_161</t>
  </si>
  <si>
    <t>Strohminger, N., &amp; Nichols, S. (2014). The essential moral self. Cognition, 131(1), 159-171.</t>
  </si>
  <si>
    <t>10.1016/j.cognition.2013.12.005</t>
  </si>
  <si>
    <t>10.1016--j.cognition.2013.12.005.pdf</t>
  </si>
  <si>
    <t>Wong, C. H. S., &amp; Feldman, G. Essential moral self remains unchallenged: Successful replication of Strohminger and Nichols (2014) with extensions comparing morality to ideology and religion.</t>
  </si>
  <si>
    <t>10.17605--osf.io--g2zv6.pdf</t>
  </si>
  <si>
    <t>essential moral self</t>
  </si>
  <si>
    <t>personal identity, numerical identity, self, morality</t>
  </si>
  <si>
    <t>moral traits are considered more essential to personal identity than other mental faculties, morality - amnesia comparison</t>
  </si>
  <si>
    <t>person with moral deficit is considered more profoundly changed than one who loses memories or desires (M=4.8, F(1, 146)=6.94, p=0.009)</t>
  </si>
  <si>
    <t>p. 14 of replication paper</t>
  </si>
  <si>
    <t>p. 38</t>
  </si>
  <si>
    <t>https://osf.io/c3bt2</t>
  </si>
  <si>
    <t>CORE_167_1</t>
  </si>
  <si>
    <t>CORE_167</t>
  </si>
  <si>
    <t>Results for the second hypothesis is not reported since it is not a quantative test but verbal description</t>
  </si>
  <si>
    <t>Weinstein, N. D. (1984). Why it won't happen to me: perceptions of risk factors and susceptibility. Health psychology, 3(5), 431.</t>
  </si>
  <si>
    <t>10.1037/0278-6133.3.5.431</t>
  </si>
  <si>
    <t>10.1037--0278-6133.3.5.431.pdf</t>
  </si>
  <si>
    <t>Chan &amp; Feldman, Weinstein (1984): Replication and extension</t>
  </si>
  <si>
    <t>optimism bias</t>
  </si>
  <si>
    <t>optimism bias, bias, judgment and decision making, comparative risk judgement, risk perceptions</t>
  </si>
  <si>
    <t>people perceive their risk of experiencing a negative health/safety hazard as less likely than their counterparts</t>
  </si>
  <si>
    <t xml:space="preserve">the optimism bias effect on comparative risk judgments was d = -0.75, 95% CI [-0.84, -0.65], indicating a strong effect </t>
  </si>
  <si>
    <t>p. 15 of replication paper</t>
  </si>
  <si>
    <t>https://osf.io/2cs6z/</t>
  </si>
  <si>
    <t>CORE_168_1</t>
  </si>
  <si>
    <t>CORE_168</t>
  </si>
  <si>
    <t>no replication file available</t>
  </si>
  <si>
    <t>Gino, F., Moore, D. A., &amp; Bazerman, M. H. (2009). See no evil: When we overlook other people's unethical behavior. In Social Decision Making (pp. 240-263). Psychology Press.</t>
  </si>
  <si>
    <t>ssrn-1079969</t>
  </si>
  <si>
    <t>ssrn-1079969.pdf</t>
  </si>
  <si>
    <t>Chan &amp; Feldman: Gino, Moore, and Bazerman (2009): Replications and extensions</t>
  </si>
  <si>
    <t>Outcome bias</t>
  </si>
  <si>
    <t>CORE_169_1</t>
  </si>
  <si>
    <t>CORE_169</t>
  </si>
  <si>
    <t>it seems the replication study not yet finalized</t>
  </si>
  <si>
    <t>Gray, K., Knobe, J., Sheskin, M., Bloom, P., &amp; Barrett, L. F. (2011). More than a body: mind perception and the nature of objectification. Journal of personality and social psychology, 101(6), 1207.</t>
  </si>
  <si>
    <t>10.1037/a0025883</t>
  </si>
  <si>
    <t>10.1037--a0025883.pdf</t>
  </si>
  <si>
    <t>Tsang &amp; Feldman, Gray et al (2011) Replication and Extension https://osf.io/8hdu3/</t>
  </si>
  <si>
    <r>
      <rPr>
        <rFont val="Calibri"/>
        <color rgb="FF1155CC"/>
        <sz val="11.0"/>
        <u/>
      </rPr>
      <t>10.17605/OSF.IO/W34FB</t>
    </r>
  </si>
  <si>
    <t xml:space="preserve"> https://osf.io/8hdu3/</t>
  </si>
  <si>
    <t>10.17605--OSF.IO--W34FB.pdf</t>
  </si>
  <si>
    <t>mind perception,objectification</t>
  </si>
  <si>
    <t>morality, dehumanization, pornography, dualism, sexism</t>
  </si>
  <si>
    <t>perceived agency in sexual condition being lower than clothed condition</t>
  </si>
  <si>
    <t>we did not find that there was lower perceived agency (original: Hedges’ g = -0.58, 95% CI [-1.18, 0.02]; replication: Cohen’s d = -0.09, 95% CI [-0.40, 0.22]) with increased body focus</t>
  </si>
  <si>
    <t>- I corrected the claim page
- I changed the original effect to NA
- I changed the n_r, the replication effect and the p-value of the replication</t>
  </si>
  <si>
    <r>
      <rPr>
        <rFont val="Calibri"/>
        <sz val="11.0"/>
      </rPr>
      <t xml:space="preserve">Chandrashekar, S. P., Adelina, N., Zeng, S., Chiu, Y. Y. E., Leung, Y., Henne, P., ... &amp; Feldman, G. (2022). Defaults versus framing: Revisiting Default Effect and Framing Effect with replications and extensions of Johnson and Goldstein (2003) and Johnson, Bellman, and Lohse (2002). </t>
    </r>
    <r>
      <rPr>
        <rFont val="Calibri"/>
        <color rgb="FF1155CC"/>
        <sz val="11.0"/>
        <u/>
      </rPr>
      <t>https://osf.io/pqt82</t>
    </r>
  </si>
  <si>
    <t>"The form of the question had a dramatic impact: Revealed donation rates were about twice as high when opting-out as when opting-in. The opt-out condition did not differ significantly from the neutral condition (without a default option). Only the opt-in condition, the current practice in the United States, was significantly lower", "There is a strong effect of the default: When donation is the default, there is a 16.3% (P &lt; 0.02) increase in donation, increasing the donor rate from 14.1 to 16.4 million."</t>
  </si>
  <si>
    <t>https://osf.io/8wd2b/</t>
  </si>
  <si>
    <t>CORE_176_1</t>
  </si>
  <si>
    <t>CORE_176</t>
  </si>
  <si>
    <t>effect size for heart attack was considered</t>
  </si>
  <si>
    <t>Perloff, L. S., &amp; Fetzer, B. K. (1986). Self–other judgments and perceived vulnerability to victimization. Journal of Personality and social Psychology, 50(3), 502.</t>
  </si>
  <si>
    <t>10.1037/0022-3514.50.3.502</t>
  </si>
  <si>
    <t>10.1037--0022-3514.50.3.502.pdf</t>
  </si>
  <si>
    <t xml:space="preserve">Hongye &amp; Feldman, Revisiting Illusion of Invulnerability effect: Replication and extension of Perloff and Fetzer (1986) </t>
  </si>
  <si>
    <t>https://docs.google.com/document/d/1hW5moEcdB-U0Ud-MNOB5iYSkeQL60SqVekufodODxDQ/edit?tab=t.0</t>
  </si>
  <si>
    <t>illusion of invulnerability effect</t>
  </si>
  <si>
    <t>optimistic bias, illusion of unique invulnerability, unrealistic optimistic, judgment and decision making, self-control, free will</t>
  </si>
  <si>
    <t>people tend to underestimate their likelihood to experience heart attack in relation to an average person’ likelihood</t>
  </si>
  <si>
    <t>as table 1 illustrates, subjects perceived the average person, in relation to themselves, as significantly more vulnerable to seven out of 10 events</t>
  </si>
  <si>
    <t>p. 52</t>
  </si>
  <si>
    <t xml:space="preserve">https://osf.io/7xf4q
</t>
  </si>
  <si>
    <t>evaluation only given for aggregated results
Corinna: 
- I added the replication label
- I clarified the target effect 
- I added the p-value of the replication study and the es_repr_r</t>
  </si>
  <si>
    <r>
      <rPr>
        <rFont val="Calibri"/>
        <sz val="11.0"/>
      </rPr>
      <t xml:space="preserve">Chandrashekar, S. P., Adelina, N., Zeng, S., Chiu, Y. Y. E., Leung, Y., Henne, P., ... &amp; Feldman, G. (2022). Defaults versus framing: Revisiting Default Effect and Framing Effect with replications and extensions of Johnson and Goldstein (2003) and Johnson, Bellman, and Lohse (2002). </t>
    </r>
    <r>
      <rPr>
        <rFont val="Calibri"/>
        <sz val="11.0"/>
        <u/>
      </rPr>
      <t>https://osf.io/pqt82</t>
    </r>
  </si>
  <si>
    <t>t(2)=4.59</t>
  </si>
  <si>
    <t>CORE_194_1</t>
  </si>
  <si>
    <t>CORE_194</t>
  </si>
  <si>
    <t>Young, L. &amp; Saxe, R. (2011). When ignorance is no excuse: Different roles for intent across moral domains. Cognition, 120(2), 202-214. https://doi.org/10.1016/j.cognition.2011.04.005</t>
  </si>
  <si>
    <t>10.1016/j.cognition.2011.04.005</t>
  </si>
  <si>
    <t>10.1016--j.cognition.2011.04.005.pdf</t>
  </si>
  <si>
    <t>Chan &amp; Feldman Young and Saxe (2011): Replication and extension https://osf.io/u59ab</t>
  </si>
  <si>
    <r>
      <rPr>
        <rFont val="Calibri"/>
        <color rgb="FF1155CC"/>
        <sz val="11.0"/>
        <u/>
      </rPr>
      <t>10.17605/OSF.IO/QSWE3</t>
    </r>
  </si>
  <si>
    <t>https://osf.io/u59ab</t>
  </si>
  <si>
    <t>10.17605--OSF.IO--QSWE3.pdf</t>
  </si>
  <si>
    <t>folk intentionality, morality</t>
  </si>
  <si>
    <t>morality, intent, disgust, purity, incest, accident</t>
  </si>
  <si>
    <t>differences in moral wrongness between purity violations and harm are larger for accidentals than the differences between purity violations and harm for intentionals. Inspecific, moral wrongness of accidental purity violations is greater than that of accidental harms.</t>
  </si>
  <si>
    <t>the critical intent by domain interaction (F(1, 169)=29.1, p&lt;0.001, partial etasq=0.15) indicatiing a different role for intent for judgements of harm versus incest</t>
  </si>
  <si>
    <t>https://osf.io/xf76v</t>
  </si>
  <si>
    <t>CORE_195_1</t>
  </si>
  <si>
    <t>CORE_195</t>
  </si>
  <si>
    <r>
      <rPr>
        <rFont val="Calibri"/>
        <color rgb="FF1155CC"/>
        <sz val="11.0"/>
        <u/>
      </rPr>
      <t>10.17605/OSF.IO/QSWE3</t>
    </r>
  </si>
  <si>
    <t>emotion, control, knowledge, intent</t>
  </si>
  <si>
    <t>examined whether differences in moral judgements observed in Experiment 1 were due to variations in participants’ ratings of (1) the emotion salience of the scenarios, (2) the agent’s control, (3) the agent’s knowledge, or (4) the agent’s intent</t>
  </si>
  <si>
    <t>interaction between domain and intent (F(1, 76)=15, p&lt;0.001, partial etasq = 0.17</t>
  </si>
  <si>
    <t>F(1, 76) = 15</t>
  </si>
  <si>
    <t>CORE_196_1</t>
  </si>
  <si>
    <t>CORE_196</t>
  </si>
  <si>
    <r>
      <rPr>
        <rFont val="Calibri"/>
        <color rgb="FF1155CC"/>
        <sz val="11.0"/>
        <u/>
      </rPr>
      <t>10.17605/OSF.IO/QSWE3</t>
    </r>
  </si>
  <si>
    <t>morality, disgust</t>
  </si>
  <si>
    <t>accidental incest being judgely morally worse than accidental harm - if participants were expressing disgust instead of making moral judgements</t>
  </si>
  <si>
    <t>we found significant interactions between judgment and domain (F(1, 152)=4.8, p=0.03, partial etasq=0.03)</t>
  </si>
  <si>
    <t>CORE_197_1</t>
  </si>
  <si>
    <t>CORE_197</t>
  </si>
  <si>
    <r>
      <rPr>
        <rFont val="Calibri"/>
        <color rgb="FF1155CC"/>
        <sz val="11.0"/>
        <u/>
      </rPr>
      <t>10.17605/OSF.IO/QSWE3</t>
    </r>
  </si>
  <si>
    <t>morality, accidents, attempts</t>
  </si>
  <si>
    <t>the larger mean of failed attempt to harm than that of failed attempt to commit purity violation on moral wrongness</t>
  </si>
  <si>
    <t>p. 21 of replication paper</t>
  </si>
  <si>
    <t>CORE_203_1</t>
  </si>
  <si>
    <t>CORE_203_a</t>
  </si>
  <si>
    <t>thanksgiving day</t>
  </si>
  <si>
    <t>Van Boven, L., &amp; Ashworth, L. (2007). Looking forward, looking back: anticipation is more evocative than retrospection. Journal of experimental psychology: General, 136(2), 289.</t>
  </si>
  <si>
    <t>10.1037/0096-3445.136.2.28</t>
  </si>
  <si>
    <t>10.1037--0096-3445.136.2.28.pdf</t>
  </si>
  <si>
    <t xml:space="preserve">Lau &amp; Feldman, Van Boven and Ashworth (2007): Replication and extension </t>
  </si>
  <si>
    <t>https://osf.io/gcf3v/?view_only=</t>
  </si>
  <si>
    <t>https://drive.google.com/file/d/1-9Fcmt4OS-LDChgj2l27HGaNzy4UZ_SN/view?usp=drive_link</t>
  </si>
  <si>
    <t>Past-future asymmetry</t>
  </si>
  <si>
    <t>As expected, participants reported that anticipation of their future Thanksgiving Day made them happier (M   6.86, SD   1.76) than retrospection about their past holiday (M   6.17, SD  1.86), t(35)   2.91, SE   0.24, p   .006, d   0.98</t>
  </si>
  <si>
    <t>p.3 (M  = 6.86, SD=   1.76)  (M =  6.17, SD = 1.86), t(35)  = 2.91, SE=   0.24, p  = .006, d =  0.98</t>
  </si>
  <si>
    <t>p.40 Md = 0.03, df = 245, t = 0.24, p = .811, d = 0.02, 95% CI = [-0.11, 0.14]</t>
  </si>
  <si>
    <t>https://docs.google.com/document/d/1WKb2HAoSmgUndzcI1DDYuGyUpLFwcmuSn5OAIlI32KI/edit?tab=t.0#heading=h.9x21u9ixbezz</t>
  </si>
  <si>
    <t>CORE_203_b</t>
  </si>
  <si>
    <t>there was a nonsignificant tendency for participants toexpect that they would enjoy their future Thanksgiving more (M  6.75, SD   1.47) than they remembered having enjoyed their pastThanksgiving (M =  6.45, SD  = 1.33), t(35) =  1.67, SE =  0.18, p  = .105, d  = 0.56</t>
  </si>
  <si>
    <t>p.3(M  6.75, S</t>
  </si>
  <si>
    <t>p.41 Md = 0.08, df = 245, t = 0.68, p = .496, d = 0.04, 95% CI = [-0.08, 0.17]</t>
  </si>
  <si>
    <t>CORE_203_c</t>
  </si>
  <si>
    <t xml:space="preserve">We calculated the difference between participants’ current reported happiness during anticipation of Thanksgiving and their current reported happiness during their retrospection about Thanksgiving (M   0.69, SD   1.43) and regressed that difference on the difference between participants’ predicted enjoyment and their remembered enjoyment (M   0.30, SD   1.08), which was associated with a significant coefficient </t>
  </si>
  <si>
    <t>(b =  .86,), t(34) =  5.04, SE  = 0.17, p &lt;  .001</t>
  </si>
  <si>
    <t>p.42 b = -0.30, b₁ = 0.99, R² = 0.840, SE = 0.028, t = 35.74, p &lt; .001</t>
  </si>
  <si>
    <t>CORE_203_d</t>
  </si>
  <si>
    <t>Importantly, the constant was significantly positive ( indicating that anticipation was associated with more intense reported happiness than retrospection, when controlling for the extremity of predicted and remembered enjoyment.</t>
  </si>
  <si>
    <t>p.3 b =  .44, t(34) =  2.29, SE=  0.19, p  = .029</t>
  </si>
  <si>
    <t>p.43 b = 7.12, b₁ = -0.03, R² = 0.000, SE = 0.170, t = -0.17, p = .867</t>
  </si>
  <si>
    <t>CORE_203_e</t>
  </si>
  <si>
    <t>menstruation</t>
  </si>
  <si>
    <t>As expected, women reported that their mood was worse during anticipation of their next period (M   4.88, SD   2.44) than it was during retrospection about their last period (M   3.32, SD   2.34), t(47)   2.28, SE   0.68, p   .027, d   0.66 (see Table 2).</t>
  </si>
  <si>
    <t>M=4.88, SD=2.44, t(47)=2.28, SE=0.68, p=.027, d=0.66, M=3.32, SD=2.34</t>
  </si>
  <si>
    <t>p.40 Md = 1.25, df = 219, t = 3.45, p &lt; .001, d = 0.46, 95% CI = [0.20, 0.73]</t>
  </si>
  <si>
    <t>CORE_203_f</t>
  </si>
  <si>
    <t>Participants did not predict that their next period would be significantly more unpleasant (M   5.63, SD   2.14) than they remembered their last period having been (M   5.16, SD   1.82), t(47)   0.82, SE   0.58, p   .416, observed power   .127, d   0.24, (see Table 2). A</t>
  </si>
  <si>
    <t>M=5.63, SD=2.14, t(47)=0.82, SE=0.58, p=.416, observed power=.127, d=0.24, M=5.16, SD=1.82</t>
  </si>
  <si>
    <t>p.41 Md = 0.48, df = 219, t = 1.43, p = .154, d = 0.19, 95% CI = [-0.07, 0.46]</t>
  </si>
  <si>
    <t>CORE_203_g</t>
  </si>
  <si>
    <t xml:space="preserve">multiple linear regression indicated that women’s reports of how much thinking about their period worsened their mood was associated both with the extremity of their predicted or remembered menstrual unpleasantness (b   .65,     .52), t(46)   4.37, SE   0.15, p   .001, d   1.29, </t>
  </si>
  <si>
    <t>b=.65, =.52, t(46)=4.37, SE=0.15, p=.001, d=1.29</t>
  </si>
  <si>
    <t>p.42 b = 0.36, b₁ = 0.78, R² = 0.497, SE = 0.053, t = 14.70, p &lt; .001</t>
  </si>
  <si>
    <t>CORE_203_h</t>
  </si>
  <si>
    <t>and with their temporal perspective (coded 1 and –1 for anticipation and retrospection, respectively; b   .63,  .25), t(46)   2.14, SE   0.29, p   .037, d   0.63.</t>
  </si>
  <si>
    <t>b=.63, =.25, t(46)=2.14, SE=0.29, p=.037, d=0.63</t>
  </si>
  <si>
    <t>p.43 b = 4.51, b₁ = 1.25, R² = 0.052, SE = 0.363, t = 3.45, p &lt; .001</t>
  </si>
  <si>
    <t>CORE_203_i</t>
  </si>
  <si>
    <t>ski vacation</t>
  </si>
  <si>
    <t>As expected, participants reported more intense positive emotion during anticipation of the hypothetical future ski vacation (M   5.84, SD   0.92) than during retrospection about the hypothetical past ski vacation (M   5.51, SD   0.63), t(93)   2.06, SE   0.16, p   .042, d   0.43 (see Table 4). P</t>
  </si>
  <si>
    <t>M=5.84, SD=0.92, t(93)=2.06, SE=0.16, p=.042, d=0.43, M=5.51, SD=0.63</t>
  </si>
  <si>
    <t>p.40 Md = 0.21, df = 562, t = 1.57, p = .117, d = 0.13, 95% CI = [-0.03, 0.30]</t>
  </si>
  <si>
    <t>CORE_203_j</t>
  </si>
  <si>
    <t>articipants did not anticipate that they would enjoy the vacation significantly more (M   6.16, SD   1.19) than participants “remembered” enjoying the vacation (M   6.00, SD   1.09, t(93)   0.67, SE   0.23, p   .507, observed power   .101, d   0.14 (see Table 4).</t>
  </si>
  <si>
    <t>M=6.16, SD=1.19, t(93)=0.67, SE=0.23, p=.507, observed power=.101, d=0.14, M=6.00, SD=1.09</t>
  </si>
  <si>
    <t>p.40  Md = -0.02, df = 562, t = -0.14, p = .890, d = -0.01, 95% CI = [-0.18, 0.15]</t>
  </si>
  <si>
    <t>CORE_203_k</t>
  </si>
  <si>
    <t>A multiple linear regression indicated that participants’ reported current emotion was associated with the extremity of their predicted or remembered emotion (b   .471,     .67), t(92)   8.98, SE   0.05, p   .001, d   1.87,</t>
  </si>
  <si>
    <t>b=.471, =.67, t(92)=8.98, SE=0.05, p=.001, d=1.87</t>
  </si>
  <si>
    <t>p.42 b = 1.98, b₁ = 0.69, R² = 0.370, SE = 0.038, t = 18.16, p &lt; .001</t>
  </si>
  <si>
    <t>CORE_203_l</t>
  </si>
  <si>
    <t>and with their temporal perspective (coded 1 and –1 for anticipation and retrospection, respectively (b   .129,     .163), t(92)   2.18, SE   0.16, p   .032, d   0.45.</t>
  </si>
  <si>
    <t>b=.129, =.163, t(92)=2.18, SE=0.16, p=.032, d=0.45</t>
  </si>
  <si>
    <t>p.42 b = 2.17, b₁ = 0.27, R² = 0.008, SE = 0.128, t = 2.14, p = .033</t>
  </si>
  <si>
    <t>CORE_204_1</t>
  </si>
  <si>
    <t>CORE_204</t>
  </si>
  <si>
    <t>Hsee, C. K., &amp; Rottenstreich, Y. (2004). Music, pandas, and muggers: on the affective psychology of value. Journal of Experimental Psychology: General, 133(1), 23.</t>
  </si>
  <si>
    <t>10.1037/0096-3445.133.1.23</t>
  </si>
  <si>
    <t>10.1037--0096-3445.133.1.23.pdf</t>
  </si>
  <si>
    <t>Tam &amp; Feldman, Hsee and Rottenstreich (2004) replication and extension https://docs.google.com/document/d/1vDjAQ54ItG0Aaoxk1DZXlH422GHO9Cd_vnJFvWcf_aY/edit</t>
  </si>
  <si>
    <t>10.17605/osf.io/ahcpw</t>
  </si>
  <si>
    <t>https://drive.google.com/file/d/1W0CUphORn0RFZC7vPbiY_o1c0-1VZraH/view</t>
  </si>
  <si>
    <t>10.17605--OSF.IO--AHCPW.pdf</t>
  </si>
  <si>
    <t>affect heuristic (music book versus cash)</t>
  </si>
  <si>
    <t>subjective value, bias, judgment and decision making, affect, scope insensitivity</t>
  </si>
  <si>
    <t>less scope-sensitivity in the music book than cash conditions</t>
  </si>
  <si>
    <t>ANOVA revealed a significant Scope xTarget interaction effect, F(1, 327) = 7.48, p = .01, MSE = 4.26, etasq = 0.02, indicating less scope-sensitivity in the music book than cash conditions</t>
  </si>
  <si>
    <t>CORE_213_1</t>
  </si>
  <si>
    <t>CORE_213</t>
  </si>
  <si>
    <t>Jonas, E., Schulz-Hardt, S., Frey, D., &amp; Thelen, N. (2001). Confirmation bias in sequential information search after preliminary decisions: an expansion of dissonance theoretical research on selective exposure to information. Journal of personality and social psychology, 80(4), 557.</t>
  </si>
  <si>
    <t>10.1037/0022-3514.80.4.557 </t>
  </si>
  <si>
    <t>10.1037--0022-3514.80.4.557 .pdf</t>
  </si>
  <si>
    <t>Liu &amp; Feldman, Replication and extension of Jonas, Schulz-Hardt, Frey, &amp; Thelen (2001)</t>
  </si>
  <si>
    <t>Confirmation Bias</t>
  </si>
  <si>
    <t>CORE_214_1</t>
  </si>
  <si>
    <t>CORE_214</t>
  </si>
  <si>
    <t>Kozak, M. N., Marsh, A. A., &amp; Wegner, D. M. (2006). What do I think you're doing? Action identification and mind attribution. Journal of personality and social psychology, 90(4), 543.</t>
  </si>
  <si>
    <t>10.1037/0022-3514.90.4.543</t>
  </si>
  <si>
    <t>10.1037--0022-3514.90.4.543.pdf</t>
  </si>
  <si>
    <t>Wong, Kozak, Marsh, and Wegner. (2006): Replication and extension</t>
  </si>
  <si>
    <r>
      <rPr>
        <rFont val="Calibri"/>
        <color rgb="FF1155CC"/>
        <sz val="11.0"/>
        <u/>
      </rPr>
      <t>10.17605/OSF.IO/J9MFN</t>
    </r>
  </si>
  <si>
    <t>https://osf.io/8mqx5</t>
  </si>
  <si>
    <t>10.17605--osf.io--j9mfn.pdf</t>
  </si>
  <si>
    <t>mind perception</t>
  </si>
  <si>
    <t>mind attribution, dehumanization, mentalizing, mind perception, theory of mind</t>
  </si>
  <si>
    <t>action identification is positively correlated with mind attribution</t>
  </si>
  <si>
    <t>the number of high-level identifications was significantly correlated with the overall mind attribution index, r(48)=0.30, p&lt;0.05</t>
  </si>
  <si>
    <t>p. 37</t>
  </si>
  <si>
    <t>CORE_218_1</t>
  </si>
  <si>
    <t>CORE_218</t>
  </si>
  <si>
    <t>Wilson, A. E., &amp; Ross, M. (2001). From chump to champ: people's appraisals of their earlier and present selves. Journal of personality and social psychology, 80(4), 572.</t>
  </si>
  <si>
    <t>10.1037/0022-3514.80.4.572</t>
  </si>
  <si>
    <t>10.1037--0022-3514.80.4.572.pdf</t>
  </si>
  <si>
    <t>Perks &amp; Feldman, Replication and Extension of Temporal Self-Appraisal Effect</t>
  </si>
  <si>
    <t>AWAITING ACCESS TO OSF PROJECT</t>
  </si>
  <si>
    <t>Past-future asymmetry,Global Self-Evaluation</t>
  </si>
  <si>
    <t>CORE_220_1</t>
  </si>
  <si>
    <t>CORE_220</t>
  </si>
  <si>
    <t>Wong, K. F. E., &amp; Kwong, J. Y. Y. (2000). Is 7300 m equal to 7.3 km? Same semantics but different anchoring effects. Organizational Behavior and Human Decision Processes, 82(2), 314-333</t>
  </si>
  <si>
    <t>10.1006/obhd.2000.2900</t>
  </si>
  <si>
    <t>10.1006--obhd.2000.2900.pdf</t>
  </si>
  <si>
    <t>Anchoring effect by framing</t>
  </si>
  <si>
    <t>CORE_221_1</t>
  </si>
  <si>
    <t>CORE_221</t>
  </si>
  <si>
    <t>10.1111/j.1467-9280.2006.01704</t>
  </si>
  <si>
    <t>10.1111--j.1467-9280.2006.01704.pdf</t>
  </si>
  <si>
    <t>10.31234--osf.io--bgp3m.pdf</t>
  </si>
  <si>
    <t>anchoring-and-adjustment heuristic</t>
  </si>
  <si>
    <t>anchoring effect, self-generated, experimenter-provided, replication, anchoring and adjustment</t>
  </si>
  <si>
    <t>anchoring effect</t>
  </si>
  <si>
    <t>participants who scored high in NFC provided estimates further from their self-generated anchor values (mean z score = 0.14) than participants who scored low (mean z score =-0.18), t(77) = 2.13, p &lt; .05, prep &lt; .90, d = 0.49</t>
  </si>
  <si>
    <t>https://osf.io/8k9nt/</t>
  </si>
  <si>
    <t xml:space="preserve">Sample size mentioned, but different from the one reported in the result section. </t>
  </si>
  <si>
    <t>- I added the replication label
- I specified study 1a (original)</t>
  </si>
  <si>
    <t>"Overall, 45 of the 60 respondents (75%) indicated that they experienced more regret over those things they did not do but wished they had done (binomial z = 3.75, p &lt; .001)."</t>
  </si>
  <si>
    <t>binomial z =3.75</t>
  </si>
  <si>
    <t>binomial z =-5.79</t>
  </si>
  <si>
    <t>https://osf.io/342td</t>
  </si>
  <si>
    <t>- I corrected the study number of the original study
- I added the replication label</t>
  </si>
  <si>
    <t>Participants are more likely to associate stronger regret with recent actions than with recent inactions</t>
  </si>
  <si>
    <t>"A vast majority of the subjects (76%) thought that Jim, the person who regrets doing something, would experience more regret initially (Binomial z = 4.59, p &lt; .0001)."</t>
  </si>
  <si>
    <t>binomial z =4.59</t>
  </si>
  <si>
    <t>binomial z =4.95</t>
  </si>
  <si>
    <t>- I corrected n_o
- I added the replication label
- I corrected the effect of the replication study along with the p-value and sample sizes</t>
  </si>
  <si>
    <t>Participants are more likely to associate stronger regret with distant past inactions than with
distant past actions</t>
  </si>
  <si>
    <t>"A sizable majority (64%) thought that Dave, who regretted not doing something, would experience more regret down the road (Binomial z = 2.35, p &lt; .02)."</t>
  </si>
  <si>
    <t>binomial z =2.35</t>
  </si>
  <si>
    <t xml:space="preserve">Participants are more likely to experience temporal regrettable actions in the short-term than in the long term. </t>
  </si>
  <si>
    <t>"Looking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</si>
  <si>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binomial z =2.94</t>
  </si>
  <si>
    <t>- I added the replication label
- I entered NA to the p-value of the replication; the coder reported: "Pval not reported, but 95% CI excludes 0"
- Both coders report a different effect (replication), but they are only in a different metric</t>
  </si>
  <si>
    <t>"Significant interactions were obtained between desirability and controllability, .F(3, 261) = 22.72, p &lt; .0001,"</t>
  </si>
  <si>
    <t>F(3, 261)=22.72</t>
  </si>
  <si>
    <t>https://osf.io/fyzwd</t>
  </si>
  <si>
    <t>CORE_39_1</t>
  </si>
  <si>
    <t>CORE_39</t>
  </si>
  <si>
    <t xml:space="preserve">- I added the study number of the original study
- I added the replication label
- I corrected n_r
- I changed the tails of the original p-value to NA (original)
- Since a one-sample t-test was conducted, I changed nesting to "yes" (replication and original)
- The test in the replication was explicitely two-tailed (I changed it from one-tailed) </t>
  </si>
  <si>
    <t>Carter, T. J., &amp; Gilovich, T. (2012). I am what I do, not what I have: the differential centrality of experiential and material purchases to the self. Journal of personality and social psychology, 102(6), 1304.</t>
  </si>
  <si>
    <t>10.1037/a0027407</t>
  </si>
  <si>
    <t>10.1037--a0027407.pdf</t>
  </si>
  <si>
    <t>Eva Yiyu Chen, Michelle Xingyu Chee, Gilad Feldman; Revisiting the Differential Centrality of Experiential and Material Purchases to the Self: Replication and Extension of Carter and Gilovich (2012). Collabra: Psychology 3 January 2023; 9 (1): 57785. doi: https://doi.org/10.1525/collabra.57789</t>
  </si>
  <si>
    <t>10.1525/collabra.57789</t>
  </si>
  <si>
    <t>10.1525--collabra.57789.pdf</t>
  </si>
  <si>
    <t>Happiness,Experiential vs materialistic</t>
  </si>
  <si>
    <t>Knowledge of one’s experiential purchases is perceived as providing greater insight into one’s true self than knowledge of one’s material purchases.</t>
  </si>
  <si>
    <t>As predicted, participants reported that Person E would know them better than Person M (M  5.85, SD  2.29), onesample t test against the scale midpoint t(120) = 4.08, p = .001, d = 0.371,</t>
  </si>
  <si>
    <t>p.6 (M  5.85, SD  2.29), scale midpoint t(120)  4.08, p  .001, d  0.371,</t>
  </si>
  <si>
    <t>p.5 (M = 6.43, SD = 2.22, t(742) = 17.61, p &lt; .001, d = 0.65, 95% CI [0.57, 0.73]).</t>
  </si>
  <si>
    <t>https://osf.io/gcerb</t>
  </si>
  <si>
    <t>- I changed the reported test statistics to the reported effect (original)
- I changed the tails of the p-value to NA (original)
- I changed nesting to yes (original and replication) 
- Since the effect of the replication was provided, I changed the test statistics to the effect
- I changed the page number of the replication (the reported one was also correct but did not match the reported one of the other coder)</t>
  </si>
  <si>
    <t>"participants reported that Person E would know them better than Person M (M =5.85, SD =2.29), one-sample t test against the scale midpoint t(120) = 4.08, p &lt; .001, d = 0.371"</t>
  </si>
  <si>
    <t>https://osf.io/9vsxt</t>
  </si>
  <si>
    <t>CORE_39_b</t>
  </si>
  <si>
    <t>As predicted, participants thought that knowledge of a stranger’s experiences would give them greater insight into the stranger’s true self (M  61.34, SD  29.56), based on a one-sample t test against the scale midpoint, t(100)  3.85, p  .001.</t>
  </si>
  <si>
    <t>t(100) =3.85</t>
  </si>
  <si>
    <t>p.7  (M  61.34, SD  29.56), t(100)  3.85, p  .001.</t>
  </si>
  <si>
    <t>p.5 (M = 72.08, SD = 25.08), t(742) = 24.00, p &lt; .001, d = 0.88, 95% CI [0.80, 0.96].</t>
  </si>
  <si>
    <t>CORE_39_c</t>
  </si>
  <si>
    <t>3c</t>
  </si>
  <si>
    <t xml:space="preserve">As predicted, participants indicated that they would rather learn about a person’s experiences than their possessions to gain insight into the person’s true self (M  72.09, SD  28.20), </t>
  </si>
  <si>
    <t>ts(101)  &gt; 7.50</t>
  </si>
  <si>
    <t>p.7   (M  72.09, SD  28.20)</t>
  </si>
  <si>
    <t>p. 6 (M = 76.35, SD = 23.37), t(742) = 30.74, p &lt; .001, d = 1.13, 95% CI [1.04, 1.22],</t>
  </si>
  <si>
    <t>CORE_39_d</t>
  </si>
  <si>
    <t>As predicted, participants indicated that they would rather learn about a person’s experiences than their possessions to gain insight into the person’s true self perhaps because doing so would be more useful (</t>
  </si>
  <si>
    <t>p.7   M  73.59, SD  26.64)</t>
  </si>
  <si>
    <t>p. 6 (M = 76.27, SD = 23.04), t(742) = 31.08, p &lt; .001, d =1.14, 95% CI [1.05, 1.23],</t>
  </si>
  <si>
    <t>CORE_39_e</t>
  </si>
  <si>
    <t>As predicted, participants indicated that they would rather learn about a person’s experiences than their possessions to gain insight into the person’s true self perhaps because doing so would be more fun to talk about</t>
  </si>
  <si>
    <t xml:space="preserve">p.7    (M  79.53, SD  25.09), </t>
  </si>
  <si>
    <t>p. 6 (M = 85.10, SD = 17.95), t(742) = 53.32, p &lt; .001, d = 1.96, 95% CI [1.83, 2.08]</t>
  </si>
  <si>
    <t>CORE_39_f</t>
  </si>
  <si>
    <t>Consistent with previous research, participants were more satisfied with their experiential purchases (M  8.00, SD  1.47) than their material purchases (M  7.23, SD  1.65), paired t(120)  3.83, p  .001, d  0.349.</t>
  </si>
  <si>
    <t>p.6 (M  8.00, SD  1.47) (M  7.23, SD  1.65), paired t(120)  3.83, p  .001, d  0.349.</t>
  </si>
  <si>
    <t>p.6 (N = 743, M = 8.10, SD = 1.31) than material purchases (M = 7.92, SD = 1.28), t(742) = 3.15, p = .002, d = 0.15, 95% CI [0.07, 0.22].</t>
  </si>
  <si>
    <t>CORE_39_g</t>
  </si>
  <si>
    <t>As predicted, participants in the material condition were more willing to exchange their memories (M  5.57, SD  1.55) than participants in the experiential condition (M  4.38, SD  1.64), t(58)  2.88, p  .01, d  0.74.</t>
  </si>
  <si>
    <t>p.9 (M  4.38, SD  1.64), t(58)  2.88, p  &lt; .01, d  0.74.</t>
  </si>
  <si>
    <t>p.7 (M = 4.75, SD = 1.36, N = 393) , (M = 4.22, SD = 1.33, N = 350), t(741) = 5.36, p &lt; .001, d = 0.39, 95% CI [0.25, 0.54].</t>
  </si>
  <si>
    <t>CORE_47_1</t>
  </si>
  <si>
    <t>CORE_47</t>
  </si>
  <si>
    <t>- I added the study number
- I added the replication label
- I added the page number to es_repr_o
- I changed the type and tails of the p-value to NA (original)
- I changed the effect size of the replication (initially it was coded as 2.87, therefore I assume it was a typo)
- I changed nesting to "yes" since it was a paired t-test (replication)</t>
  </si>
  <si>
    <t>Finucane, M. L., Alhakami, A., Slovic, P., &amp; Johnson, S. M. (2000). The affect heuristic in judgments of risks and benefits. Journal of behavioral decision making, 13(1), 1-17.</t>
  </si>
  <si>
    <t>10.1002/(SICI)1099-0771(200001/03)13:1&lt;1::AID-BDM333&gt;3.0.CO;2-S</t>
  </si>
  <si>
    <t>10.1002--(sici)1099-0771(200001--03)13:1&lt;1::aid-bdm333&gt;3.0.co;2-s.pdf</t>
  </si>
  <si>
    <t>Efendić, E., Chandrashekar, S. P., Lee, C. S., Yeung, L. Y., Kim, M. J., Lee, C. Y., &amp; Feldman, G. (2022). Risky Therefore Not Beneficial: Replication and Extension of Finucane et al.’s (2000) Affect Heuristic Experiment. Social Psychological and Personality Science, 13(7), 1173–1184. https://doi.org/10.1177/19485506211056761</t>
  </si>
  <si>
    <t>10.1177/19485506211056761</t>
  </si>
  <si>
    <t>10.1177--19485506211056761.pdf</t>
  </si>
  <si>
    <t>Affect heuristic</t>
  </si>
  <si>
    <t>increasing benefits leads people to judge its risks as lower</t>
  </si>
  <si>
    <t>That is, if the manipulation was designed to decrease perceived risk, then perceived benefit should increase, etc., 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12data points was -0.75.</t>
  </si>
  <si>
    <t>-0.87</t>
  </si>
  <si>
    <t>p. 5: MTurk sample: r(10) = 2.87, 95% confidence interval (CI): [20.96, 20.59], p = .003; Prolific sample: r(10) = 2.84, 95% CI = [20.95, 20.50], p \ .001.</t>
  </si>
  <si>
    <t>https://osf.io/pg3ae?view_only=6f8f5dc6ff524149a4ed5c6de9296ae8</t>
  </si>
  <si>
    <t>- This is only the replication effect using the MTurk sample. There is also an effect  from the Prolific sample (therefore, this replication study is labeled as study 2)
- I shortened the text claim to clarify the target effect 
- I changed nesting to "yes" since it was a paired t-test (replication)
- I added the replication label</t>
  </si>
  <si>
    <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</si>
  <si>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r(10)= -0.87</t>
  </si>
  <si>
    <t>https://osf.io/pg3ae/</t>
  </si>
  <si>
    <t>CORE_47_b</t>
  </si>
  <si>
    <t>p. 6: Prolific sample: r(10) = 2.84, 95% CI = [20.95, 20.50], p \ .001.</t>
  </si>
  <si>
    <t>CORE_49_1</t>
  </si>
  <si>
    <t>CORE_49</t>
  </si>
  <si>
    <t>R and O are difficult to compare because of lots of results and condition naming (event names in O, A,B,C Labels in R. If needed all paired comparisons can be extracted, here is just generalised result. R states This hypothesiswas supported in 7 of the 8 sets of comparison of probability estimates, and the effect sizes were mostly medium to large.</t>
  </si>
  <si>
    <t>Fischhoff, B. (1975). Hindsight is not equal to foresight: The effect of outcome knowledge on judgment under uncertainty. Journal of Experimental Psychology: Human perception and performance, 1(3), 288.</t>
  </si>
  <si>
    <t>10.1037/0096-1523.1.3.288</t>
  </si>
  <si>
    <t>10.1037--0096-1523.1.3.288.pdf</t>
  </si>
  <si>
    <t>Chen, J., Kwan, L. Y. A., Yeung, W. L., Choi, H., Lo, Y., Au, S. Y., Tsang, C., Cheng, B., &amp; Feldman, G. (2021). Retrospective and prospective hindsight bias: Replications and extensions of Fischhoff (1975) and Slovic and Fischhoff (1977). Journal of Experimental Social Psychology, 96, 104154. https://doi.org/10.1016/j.jesp.2021.104154</t>
  </si>
  <si>
    <t>10.1016/j.jesp.2021.104154</t>
  </si>
  <si>
    <t>10.1016--j.jesp.2021.104154.pdf</t>
  </si>
  <si>
    <t>Hindsight bias-retrospective</t>
  </si>
  <si>
    <t>participants in the After conditions (knowing the outcome) estimated a higher probability for the outcome to which they were told has occurred than participants in the before conditions</t>
  </si>
  <si>
    <t>Experiment 2 has shown that subjects are either unaware of outcome knowledge having an effect on their perceptions or, if aware, they are unable to ignore or rescind that effect. Both the relevance and the probability judgments of After (ignore) subjects suggest that subjects fail to properly reconstruct foresightful (Be-fore) judgments because they are "an- chored" in the hindsightful state of mind created by receipt of outcome knowledge.</t>
  </si>
  <si>
    <t>https://osf.io/gwchd</t>
  </si>
  <si>
    <t>CORE_50_1</t>
  </si>
  <si>
    <t>CORE_50</t>
  </si>
  <si>
    <t>Kahneman, D., &amp; Miller, D. T. (1986). Norm theory: Comparing reality to its alternatives. Psychological review, 93(2), 136.</t>
  </si>
  <si>
    <t>10.1037/0033-295X.93.2.136</t>
  </si>
  <si>
    <t>10.1037--0033-295x.93.2.136.pdf</t>
  </si>
  <si>
    <t>Kutscher, L., &amp; Feldman, G. (2019). The impact of past behaviour normality on regret: replication and extension of three experiments of the exceptionality effect. Cognition &amp; Emotion, 33(5), 901–914. https://doi.org/10.1080/02699931.2018.1504747</t>
  </si>
  <si>
    <t>10.1080/02699931.2018.1504747</t>
  </si>
  <si>
    <t>10.1080--02699931.2018.1504747.pdf</t>
  </si>
  <si>
    <t>Exceptionality effect</t>
  </si>
  <si>
    <t>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</si>
  <si>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p.10 Mr. Jones 88% Mr. Smith 12%, N = 138</t>
  </si>
  <si>
    <t>X2 (1, N = 342) = 242.53</t>
  </si>
  <si>
    <t>p. 7 Mr. Jones (315, 92%) rather than Mr. Smith (27, 8%; X2 (1, N = 342) = 242.53, p &lt; .001).</t>
  </si>
  <si>
    <t>https://osf.io/kvcjz</t>
  </si>
  <si>
    <t xml:space="preserve">- I added the replication label
- I changed the effect size: afere has provided the effect size here for the original study, which was calculated by the authors of the replication study. I calculated the effect size using the "ES calculations" spreadsheet
- I changed the p-value type to NA
- I changed nesting from unsure to no (original and replication)
- I added the p-value of the replication study
</t>
  </si>
  <si>
    <t>abnormal will elicit stronger affective reactions than outcomes of routine actions.</t>
  </si>
  <si>
    <t>"As predicted, the same undesirable outcome is judged to be more upsetting when the action that led to it was exceptional than when it was routine."</t>
  </si>
  <si>
    <t>p.10 Mr. Adams 18% Mr. White 82% (N = 92)</t>
  </si>
  <si>
    <t>https://osf.io/hzdfk</t>
  </si>
  <si>
    <t>CORE_50_b</t>
  </si>
  <si>
    <t xml:space="preserve">- I added the study numbers
- I added the replication label
- I calculated the effect size using the effect size calculator (success rate)
- I changed the p-value type to NA (original) </t>
  </si>
  <si>
    <t>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</si>
  <si>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p. 7 (277, 81%) , (65, 19%; X2 (1, N = 342) = 131.42, p &lt; .001, d = 1.58).</t>
  </si>
  <si>
    <t>CORE_51_1</t>
  </si>
  <si>
    <t>CORE_51</t>
  </si>
  <si>
    <t>Kahneman, D., &amp; Tversky, A. (1982). The psychology of preferences. Scientific American, 246(1), 160-173.</t>
  </si>
  <si>
    <t>10.1038/scientificamerican0182-160</t>
  </si>
  <si>
    <t>10.1038--scientificamerican0182-160.pdf</t>
  </si>
  <si>
    <t>Feldman, G., &amp; Albarracín, D. (2017). Norm theory and the action-effect: The role of social norms in regret following action and inaction. Journal of Experimental Social Psychology, 69, 111–120. https://doi.org/10.1016/j.jesp.2016.07.009</t>
  </si>
  <si>
    <t>10.1016/j.jesp.2016.07.009</t>
  </si>
  <si>
    <t>10.1016--j.jesp.2016.07.009.pdf</t>
  </si>
  <si>
    <t>Action-effect</t>
  </si>
  <si>
    <t>Consider the following: Paul owns shares in Company A. D uring the past year he considered switching to stock in Company B, but he decided against it. He now finds that he would have been better off by $ 1 ,200 if he had switched to the stock of Company B. George owned shares in Company B. During the past year he switched to stock in Company A. He now finds that he would have been better off by $ 1 ,200 if he had kept his stock in Company B. Who feels more regret?Here again it is generally agreed that George is more upset than Paul, although the ir objective situations are now identical ( both own the stock of Company A) and each reached his situ- ation by deliberate decision.</t>
  </si>
  <si>
    <t>X2 (2, N = 76) = 6.32,</t>
  </si>
  <si>
    <t>(X2 (2, N = 76) = 6.32, p = 0.042;</t>
  </si>
  <si>
    <t>https://osf.io/gj5re/files/osfstorage</t>
  </si>
  <si>
    <t>CORE_51_b</t>
  </si>
  <si>
    <t>R extension, experiment 2</t>
  </si>
  <si>
    <t>X2 (2, N = 154) = 17.03</t>
  </si>
  <si>
    <t>p.5  (48%; X2 (2, N = 154) = 17.03, p b 0.001;</t>
  </si>
  <si>
    <t>CORE_51_c</t>
  </si>
  <si>
    <t xml:space="preserve">R extension,experiment 3, manipulation - In the society with the inaction social norms
</t>
  </si>
  <si>
    <t>p.6 (t(38.72) = 7.26, p b 0.001; d = 1.89),</t>
  </si>
  <si>
    <t>CORE_51_d</t>
  </si>
  <si>
    <t xml:space="preserve">R extension,experiment 3, manipulation - in the action social norms society </t>
  </si>
  <si>
    <t>p.6 (t(56.26) =1.68, p = 0.098; d = −0.43).</t>
  </si>
  <si>
    <t>R extension,experiment 3,manipulation - in the action/inaction social norms society - main effect</t>
  </si>
  <si>
    <t>p.6 (action: N = 58, M = 4.74, SD = 1.68; inaction: N = 58, M = 3.55, SD = 2.26; d = 0.60; F(1, 112) = 14.31, p b 0.001; ηp2 = 0.11).</t>
  </si>
  <si>
    <t>CORE_51_e</t>
  </si>
  <si>
    <t>R extension, experiment 4 action</t>
  </si>
  <si>
    <t>p. 7 (Mdiff = −0.47, p b 0.001, d = −0.36, CI [−0.90, −0.05])</t>
  </si>
  <si>
    <t>CORE_51_f</t>
  </si>
  <si>
    <t>R extension, experiment 4 inaction</t>
  </si>
  <si>
    <t>p.7 (Mdiff = −0.74, p b 0.001, d = −0.56, CI [−1.16, -0.32]),</t>
  </si>
  <si>
    <t>CORE_51_g</t>
  </si>
  <si>
    <t>R extension, experiment 4 control</t>
  </si>
  <si>
    <t>p.7 (Mdiff = 21, p = 0.404, d = 0.21, CI [−0.16, 0.68]).</t>
  </si>
  <si>
    <t>CORE_52_1</t>
  </si>
  <si>
    <t>CORE_52</t>
  </si>
  <si>
    <t>R prolific sample</t>
  </si>
  <si>
    <t>Miller, D. T., &amp; Ratner, R. K. (1998). The disparity between the actual and assumed power of self-interest. Journal of personality and social psychology, 74(1), 53.</t>
  </si>
  <si>
    <t>10.1037/0022-3514.74.1.53</t>
  </si>
  <si>
    <t>10.1037--0022-3514.74.1.53.pdf</t>
  </si>
  <si>
    <t>Cameron Brick, Adrien Fillon, Siu Kit Yeung, Meiying Wang‎, Hongye Lyu‎, Jing Yee Jane Ho‎, Sze Chai Wong, Gilad Feldman; Self-interest Is Overestimated: Two Successful Pre-registered Replications and Extensions of Miller and Ratner (1998). Collabra: Psychology 4 January 2021; 7 (1): 23443. doi: https://doi.org/10.1525/collabra.23443</t>
  </si>
  <si>
    <t>10.1525/collabra.23443</t>
  </si>
  <si>
    <t>10.1525--collabra.23443.pdf</t>
  </si>
  <si>
    <t>Actual and assumed power of self-interest</t>
  </si>
  <si>
    <t>Participants overestimate how much payment changes others' willingness to donate blood.</t>
  </si>
  <si>
    <t>Participants estimated that roughly twice as many students would agree to donate blood for $15 as would agree to donate blood for free (Ms = 62.46% vs. 32.64%), r(55) = 12.38, p &lt; .0001</t>
  </si>
  <si>
    <t xml:space="preserve"> r(55) = 12.38</t>
  </si>
  <si>
    <t>t(798) = 23.7</t>
  </si>
  <si>
    <t>p. 17  t(798) = 23.7, p &lt; .001, d = 0.64 [0.58, 0.7] for the Prolific sample</t>
  </si>
  <si>
    <t>https://osf.io/57mdc/files/osfstorage</t>
  </si>
  <si>
    <t>A comparison of significance levels for the actual and estimated effects of smoking status (see Rosenthal &amp; Rubin, 1979) indicated that participants overestimated the impact of smoking sta- tus on their peers' attitudes for 7 of 8 policy issues (p s &lt; .05). In summary, the results supported the hypothesis: Smokers in this study were more opposed to policies that regulated smoking than were nonsmokers, but the impact of smoking status on expressed attitudes was significantly less than that predicted by respondents.</t>
  </si>
  <si>
    <t>p. 26 MTurk	M = 18.5	SD = 24.9	df = 205	t = 10.7	d = 0.75</t>
  </si>
  <si>
    <t>- I added the replication label
- I added the p-value of the replication study</t>
  </si>
  <si>
    <t>"Consistent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</si>
  <si>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t(55) = 7.94</t>
  </si>
  <si>
    <t>https://osf.io/ht4sw</t>
  </si>
  <si>
    <t>CORE_52_b</t>
  </si>
  <si>
    <t>R Mturk sample</t>
  </si>
  <si>
    <t>t(798) = 24.3</t>
  </si>
  <si>
    <t>p. 17  t(798) = 24.3, p &lt; .001, d = 0.67 [0.61, 0.73] for the MTurk sample.</t>
  </si>
  <si>
    <t>p. 26 Prolific        M = 19.9        SD = 23.7        df = 398        t = 16.8        d = 0.84        95% CI = [0.73, 0.96]</t>
  </si>
  <si>
    <t>CORE_52_c</t>
  </si>
  <si>
    <t>R prolific sample paid condi</t>
  </si>
  <si>
    <t>Consistent with predictions, these results revealed a dramatic overestimation of the impact of financial incentive on people's stated willingness to donate blood, r(55) = 7.94, p &lt; .0001.</t>
  </si>
  <si>
    <t xml:space="preserve"> r(55) = 7.94</t>
  </si>
  <si>
    <t>p. 17 t(798) = 11.84, p &lt; .001, d = 0.48 [0.38, 0.58] for Prolific,</t>
  </si>
  <si>
    <t>CORE_52_d</t>
  </si>
  <si>
    <t>R Mturk sample paid condition</t>
  </si>
  <si>
    <t>p.17 t(798) = 10.88, p &lt; .001, d = 0.46 [0.36, 0.56] for MTurk;</t>
  </si>
  <si>
    <t>CORE_52_e</t>
  </si>
  <si>
    <t>R Mturk sample unpaid conditio</t>
  </si>
  <si>
    <t>p.17t(798) = 18.29, p &lt; .001, d = 0.77 [0.67, 0.87]</t>
  </si>
  <si>
    <t>CORE_52_f</t>
  </si>
  <si>
    <t>R Mturk sample  unpaid condition</t>
  </si>
  <si>
    <t>p.17 t(798) = 12.49, p &lt; .001, d = 0.54 [0.44, 0.64]</t>
  </si>
  <si>
    <t>CORE_52_g</t>
  </si>
  <si>
    <t>R combined samples and conditions</t>
  </si>
  <si>
    <t>- I added the study numbers
- I added the replication label
- I refined the text claim and effect size: an r was coded instead of t
- I corrected the sample size (original)
- I corrected the p-value</t>
  </si>
  <si>
    <t>Consistent with predictions, these results revealed a dramatic overestimation of the impact of financial incentive on people's stated willingness to donate blood, t(55) = 7.94, p &lt; .0001.</t>
  </si>
  <si>
    <t>p.17,18   t(1597) = 23.1, p &lt; .0001, d = 0.58 [0.53, 0.63].</t>
  </si>
  <si>
    <t xml:space="preserve">R combined samples </t>
  </si>
  <si>
    <t>p.26 Combined        M = 19.5        SD = 24.1        df = 604        t = 19.9        d = 0.81        95% CI = [0.72, 0.90]</t>
  </si>
  <si>
    <t>CORE_54_1</t>
  </si>
  <si>
    <t>CORE_54</t>
  </si>
  <si>
    <t>- I added the study numbers
- I added the replication label
- I changed the p-value type of the replication</t>
  </si>
  <si>
    <t>Nuttin Jr, J. M. (1987). Affective consequences of mere ownership: The name letter effect in twelve European languages. European journal of social psychology, 17(4), 381-402.</t>
  </si>
  <si>
    <t>10.1002/ejsp.2420170402</t>
  </si>
  <si>
    <t>10.1002--ejsp.2420170402.pdf</t>
  </si>
  <si>
    <t>Ziano, I., Yao, J., Gao, Y., &amp; Feldman, G. (2020). Impact of ownership on liking and value: Replications and extensions of three ownership effect experiments. Journal of Experimental Social Psychology, 89, 103972. https://doi.org/10.1016/j.jesp.2020.103972</t>
  </si>
  <si>
    <t>10.1016/j.jesp.2020.103972</t>
  </si>
  <si>
    <t>10.1016--j.jesp.2020.103972.pdf</t>
  </si>
  <si>
    <t>Name letter effect</t>
  </si>
  <si>
    <t>Participants like the letters in their names more than those that are not in their names</t>
  </si>
  <si>
    <t>A meta-analysis for testing the mean p (Rosenthal, 1978) combining the pvalues of the 12 independent studies (Bangert-Drows, 1986) turns out to be significant at the 0.0001 level</t>
  </si>
  <si>
    <t>p.4 (M = 0.40, SD = 0.21) (M = 0.20,SD = 0.12; X2 (1) = 11, p = .001; t(25) = 5.48, p &lt; .001, d = 1.08 [0.59, 1.58]).</t>
  </si>
  <si>
    <t>https://osf.io/2cg3e/files/osfstorage</t>
  </si>
  <si>
    <t>Yikang, Tafere</t>
  </si>
  <si>
    <t>effect size of Cohen's g = 0.15 was removed as the replication articles states in Table 11 that the original effect in this case was "unclear"
Corinna:
- I added the replication label
- I removed the oroginal effect (no effect was reported)
- I added the p-value of the original and replication study study
- I changed the page where the effect could be reproduced (orginal and replication)</t>
  </si>
  <si>
    <t>"The relative size of the name letter effect can be illustrated as follows: across letters and languages, the average probability for a letter to be a most preferred letter is 0.20 for not-own name letters versus 0.30 for own name letters. This means that, in general, letters of the alphabets used in the 12 languages, are 50 per cent more likely to be selected among the top six letters of the alphabet when they happen to be own name letters than when they do not belong to own name."</t>
  </si>
  <si>
    <t>https://osf.io/mz7n5</t>
  </si>
  <si>
    <t>CORE_54_b</t>
  </si>
  <si>
    <t>When the name letters are restricted to the initiafs of first and family name, the effect is very significant in all 12 language studies. A meta-analysis on the combined 12 independent studies leads to a very significant effect (p = 0.OOOl) as well for own first name letters only as for own family name letters only as for own initial name letters only.</t>
  </si>
  <si>
    <t>p.4 (M = 1.80, SD = 0.92)  (M = 0.67, SD = 0.44; t(24) = 6.93, p &lt; .001, d = 1.42 [0.84, 1.97]).</t>
  </si>
  <si>
    <t>CORE_55_1</t>
  </si>
  <si>
    <t>CORE_55</t>
  </si>
  <si>
    <t>Irmak, C., Wakslak, C. J., &amp; Trope, Y. (2013). Selling the forest, buying the trees: The effect of construal level on seller-buyer price discrepancy. Journal of Consumer Research, 40(2), 284-297.</t>
  </si>
  <si>
    <t>10.1086/670020</t>
  </si>
  <si>
    <t>10.1086--670020.pdf</t>
  </si>
  <si>
    <t>Endowment effect</t>
  </si>
  <si>
    <t>higher seller prices than buyer prices</t>
  </si>
  <si>
    <t>The results showed a main effect of role (F(1, 56) = 14.34, p&lt;.001), indicating that selling prices (M = $752) were higher than buying prices (M = $576),</t>
  </si>
  <si>
    <t>F(1, 56) = 14.34</t>
  </si>
  <si>
    <t>p.5 (F(1, 309) = 0.12, p = .73, ɳp2 &lt; 0.001)</t>
  </si>
  <si>
    <t xml:space="preserve">- I added the replication label
- I clarified the target effect
- I changed the tails of the p-value to NA (replication and original)
</t>
  </si>
  <si>
    <t>" significant interaction of role and feature (F(1, 56) = 4.36, p &lt;.05), demonstrating that selling prices were higher than buying prices when the camera was described as superior on the primary aspect and inferior on the secondary aspect (Mseller = $839; Mbuyer = $581; p &lt; .0001), ;"</t>
  </si>
  <si>
    <t>F(1, 56)= 4.36</t>
  </si>
  <si>
    <t>F(1, 308) = 0.46</t>
  </si>
  <si>
    <t>CORE_55_b</t>
  </si>
  <si>
    <t>The results showed ... a main effect of feature (F(1,56) = 5.67, p&lt; .05), indicating that the camera superior on the primary aspect was priced higher (M p $694) than the one superior on the secondary aspect (M p $605),</t>
  </si>
  <si>
    <t>F(1,56) = 5.67</t>
  </si>
  <si>
    <t>p.5 (F(1, 309) = 313.65, p &lt; .001, ɳp2 = 0.24),</t>
  </si>
  <si>
    <t>CORE_55_c</t>
  </si>
  <si>
    <t>and a significant interaction of role and feature (F(1, 56) =  4.36, p &lt;.05),</t>
  </si>
  <si>
    <t>F(1, 56) =  4.36</t>
  </si>
  <si>
    <t>p.5(F(1, 309) = 0.56, p = .46, ɳp2 = 0.002).</t>
  </si>
  <si>
    <t>CORE_55_d</t>
  </si>
  <si>
    <t xml:space="preserve">Results showed that, overall, participants’ pricing decisions were more affected by primary features than secondary features </t>
  </si>
  <si>
    <t>F(1, 58) = 2.90</t>
  </si>
  <si>
    <t>p.5 (Mprimary = 7.97; Msecondary = 7.22; F(1, 58) = 2.90, p = .09).</t>
  </si>
  <si>
    <t>p.5( (M = 547.02, SD = 161.52) than goal-irrelevant (M = 512.17, SD = 148.54, t(309) = 1.98, p = .048, d = 0.22).</t>
  </si>
  <si>
    <t>CORE_55_e</t>
  </si>
  <si>
    <t>- I added the study numbers
- I added the replication label
- The replication effect was matched to a wrong original effect. Therefore, I changed the original claim, effect and p-value
- I changed nesting to no</t>
  </si>
  <si>
    <t>p.6( (F(1, 308) = 0.46, p = .501, ɳp2 = 0.001),</t>
  </si>
  <si>
    <t>CORE_59_1</t>
  </si>
  <si>
    <t>CORE_59</t>
  </si>
  <si>
    <t>Mandel, D. R. (2002). Beyond mere ownership: Transaction demand as a moderator of the endowment effect. Organizational Behavior and Human Decision Processes, 88(2), 737-747.</t>
  </si>
  <si>
    <t>10.1016/S0749-5978(02)00013-4</t>
  </si>
  <si>
    <t>10.1016--s0749-5978(02)00013-4.pdf</t>
  </si>
  <si>
    <t xml:space="preserve">A two-way factorial ANOVA on log price revealed a significant main effect of owner .... Demonstrating an overall endowment effect, as Table 1 shows, mean log price was higher when participants owned the case of wine than when the merchant owned it. </t>
  </si>
  <si>
    <t>F(1, 76) = 4:86</t>
  </si>
  <si>
    <t>p.4 F(1; 76) = 4:86, MSE = 0:77, one-tailed p &lt;0.02.</t>
  </si>
  <si>
    <t>p. 8 (M = 2.71, SD = 0.85) (M = 2.21, SD = 0.68; t(295.06) = 5.71, p &lt; .001, d = 0.65).</t>
  </si>
  <si>
    <t xml:space="preserve">- I added the replication label
- I clarified the target effect in the text claim
</t>
  </si>
  <si>
    <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</si>
  <si>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F (1,76) = 2.88</t>
  </si>
  <si>
    <t>CORE_59_b</t>
  </si>
  <si>
    <t>- I added the study numbers
- I added the replication label
- I changed nesting to no</t>
  </si>
  <si>
    <t xml:space="preserve">More importantly, however, the predicted interaction effect was significant, </t>
  </si>
  <si>
    <t>F(1, 76) = 2.88</t>
  </si>
  <si>
    <t>p.4 F(1; 76) = 2.88, MSE = 0.45, one-tailed p &lt;0.05.</t>
  </si>
  <si>
    <t>p.8 (F(1, 307) = 5.87, p = .016, ɳp2 = 0.019).</t>
  </si>
  <si>
    <t>CORE_59_c</t>
  </si>
  <si>
    <t>By contrast, mean log price was significantly higher in condition A in which the participant owns the case and the merchant wants to buy it than in condition B in which the merchant owns the case and wants to sell it, t(38) = 2:57), SE = 0:13, one-tailed p &lt; :01.</t>
  </si>
  <si>
    <t>t(38) = 2:57)</t>
  </si>
  <si>
    <t>p.5 t(38) = 2:57), SE = 0:13, one-tailed p &lt; :01.</t>
  </si>
  <si>
    <t>p.8 (t(153) = 2.10, p = .037, d = 0.34)</t>
  </si>
  <si>
    <t>CORE_59_d</t>
  </si>
  <si>
    <t>p.8 (M = 3.05, SD = 0.99)  (M = 2.60, SD = 0.84; Welch's t(976.24) = −7.69, p &lt; .001, d = 0.49).</t>
  </si>
  <si>
    <t>CORE_59_e</t>
  </si>
  <si>
    <t>p.9 (F(1, 997) = 1.56, p = .21, ɳp2 = 0.002).</t>
  </si>
  <si>
    <t>CORE_59_f</t>
  </si>
  <si>
    <t xml:space="preserve">p.9  </t>
  </si>
  <si>
    <t>CORE_63_1</t>
  </si>
  <si>
    <t>CORE_63</t>
  </si>
  <si>
    <t>- I added the replication label
- I changed the text claim since it did not fit with the reported effect
- I changed the tails of the p-value to NA (original)
- I changed nesting to yes (original and replication)</t>
  </si>
  <si>
    <t>Peters, E., Västfjäll, D., Slovic, P., Mertz, C. K., Mazzocco, K., &amp; Dickert, S. (2006). Numeracy and decision making. Psychological science, 17(5), 407-413.</t>
  </si>
  <si>
    <t>10.1111/j.1467-9280.2006.01720.x</t>
  </si>
  <si>
    <t>10.1111--j.1467-9280.2006.01720.x.pdf</t>
  </si>
  <si>
    <t>Zhu, M., &amp; Feldman, G. (2023). Revisiting the Links Between Numeracy and Decision Making: Replication Registered Report of Peters et al.(2006) With an Extension Examining Confidence. Collabra: Psychology, 9(1).Open Science Framework. https://doi.org/10.17605/OSF.IO/4HJCK</t>
  </si>
  <si>
    <t>10.17605/OSF.IO/4HJCK</t>
  </si>
  <si>
    <t>10.17605--OSF.IO--4HJCK.pdf</t>
  </si>
  <si>
    <t>The less numerate show a stronger framing effect than the highly numerate.</t>
  </si>
  <si>
    <t>The interaction of numeracy with frame, however, was significant, F(1, 96)=  5.6, p &lt; .05, n2 = 5.11.</t>
  </si>
  <si>
    <t>p.2  F(1, 96)=  5.6, p &lt; .05, n2 = .11.</t>
  </si>
  <si>
    <t>F(1, 855) = 5.02</t>
  </si>
  <si>
    <t>https://osf.io/4hjck/</t>
  </si>
  <si>
    <t>CORE_63_a</t>
  </si>
  <si>
    <t>main effect R</t>
  </si>
  <si>
    <t xml:space="preserve">In a repeated measures analysis of variance (ANOVA) of the performance ratings, the usual framing effect was found. The more positive frame elicited more positive ratings: Mean performance ratings were 0.7 and 0.1 for the percentage-correct (positive) and percentage-incorrect (negative) frames, respectively, </t>
  </si>
  <si>
    <t>p.2 F(1, 96) = 26.3, p &lt; .0001, n2p = 0.54.</t>
  </si>
  <si>
    <t>p.11 M = 0.48, SD = 0.75; negative framing: M = -0.09, SD = 1.07; t(858) = 9.12, p &lt; .001, d = 0.62, 95% CI [0.48, 0.76]).</t>
  </si>
  <si>
    <t>https://osf.io/r73fb</t>
  </si>
  <si>
    <t>CORE_63_b</t>
  </si>
  <si>
    <t>Is the numeracy effect due to intelligence rather than numeracy per se? Using SAT scores as a proxy for intelligence, we found that higher SAT scores (verbal and quantitative scores combined) were associated with greater numeracy (r = .26). However, after numeracy scores were regressed onto SAT scores, the numeracy residuals showed a significant pattern of results similar to the pattern in Figure 2, specific contrast F(1, 30) = 6.9, p &lt; .05.</t>
  </si>
  <si>
    <t>F(1, 30) = 6.9</t>
  </si>
  <si>
    <t>p.11 M = 3.03, SD = 1.27; percentage: M = 2.58, SD = 1.17; t(858) = 9.12, p &lt; .001, d = 0.37, 95% CI [0.23, 0.50])</t>
  </si>
  <si>
    <t>CORE_63_c</t>
  </si>
  <si>
    <t>the less numerate were significantly more likely to choose Bowl A were the highly numerate (33% and 5%, respectively), x2(1,N = 46) = 5.2, p &lt; .05; mean scaled preference was 1.7 for the less numerate and 4.1 for the highly numerate, t(44) 5 2.5, p &lt; .05, d = 0.75.</t>
  </si>
  <si>
    <t>p.5 33% and 5%, respectively), x2(1,N = 46) = 5.2, p &lt; .05; mean scaled preference = 1.7 t(44) 5 2.5, p &lt; .05, d = 0.75.</t>
  </si>
  <si>
    <t>p.11 (t(859) = 20.04, p &lt; .001, d = 0.68, 95% CI [0.61, 0.76]).</t>
  </si>
  <si>
    <t>CORE_63_d</t>
  </si>
  <si>
    <t>Participants high in numeracy rated the objectively better no- loss bet as less attractive than the loss bet, t(89)= 3.1, p &lt; .01 whereas those lower in numeracy rated the two betsthe same on average.</t>
  </si>
  <si>
    <t>pp. 5,6</t>
  </si>
  <si>
    <t>t(89)= 3.1</t>
  </si>
  <si>
    <t>p.11 (no loss bet: M = 6.22, SD = 4.57; loss bet: M = 9.33, SD = 7.07; t(858) = 7.66, p &lt; .001, d = 0.52, 95% [0.38, 0.66]),</t>
  </si>
  <si>
    <t>CORE_63_e</t>
  </si>
  <si>
    <t>Interaction R</t>
  </si>
  <si>
    <t xml:space="preserve">- I added the study number of the original
- I changed nesting to yes, since ia repeated measures and a mixed ANOVA were conducted </t>
  </si>
  <si>
    <t>p. 11 (F(1, 855) =5.02, p = .025, η2p= 0.01, 90% CI [0.00, 0.02])</t>
  </si>
  <si>
    <t>CORE_63_f</t>
  </si>
  <si>
    <t xml:space="preserve">this interaction between format and numeracy was significant, </t>
  </si>
  <si>
    <t>p.3 F(1, 42) = 4.0, p &lt; .05,n2 =.42.</t>
  </si>
  <si>
    <t>p.11 (F(1, 856) = 3.40, p = .065, η2p= 0.00, 90% CI[0.00, 0.01])</t>
  </si>
  <si>
    <t>CORE_63_g</t>
  </si>
  <si>
    <t>Analysis of the affect variables revealed that numeracy was not significantly associated with affect about Bowl A’s 9% chance (mean affect 5 0.5 and 1.1 for low- and high-numeracy participants, respectively, p = .13, d = .46).</t>
  </si>
  <si>
    <t>p.11 (X2(1, N = 860) = 24.91, p &lt; .001, Cramer’s V = 0.17, 95% CI[0.10, 0.24])</t>
  </si>
  <si>
    <t>CORE_63_h</t>
  </si>
  <si>
    <t>A regression using the attractiveness rating as the dependent variable and bet condition (coded as no loss 5 0 and loss 5 1), numeracy (0 5 low and 1 5 high), and their interaction as independent variables revealed only a significant interaction, t(1)= 2.2, p &lt; .05, d =0.34.</t>
  </si>
  <si>
    <t>p.6  t(1)= 2.2, p &lt; .05, d =0.34.</t>
  </si>
  <si>
    <t>p.12 (F(1, 856) = 17.87, p &lt; .001, η2p= 0.02, 90% CI [0.01, 0.04])</t>
  </si>
  <si>
    <t>CORE_63_i</t>
  </si>
  <si>
    <t>Other</t>
  </si>
  <si>
    <t>The analysis controlling for SAT scores showed that the highly numerate who responded to the loss bet rated their bet as more attractive than did the other three groups, specific contrast F(1, 151) = 9.1, p &lt; .01.</t>
  </si>
  <si>
    <t>F(1, 151) = 9.1</t>
  </si>
  <si>
    <t>p.6 F(1, 151) = 9.1, p &lt; .01.</t>
  </si>
  <si>
    <t>p.12 (loss bet: M = 10.27, SD= 7.21; no-loss: M = 5.95 , SD = 4.47; t(570) = 8.63, p &lt; .001,d = 0.72, 95% CI [0.55, 0.90]).</t>
  </si>
  <si>
    <t>CORE_70_1</t>
  </si>
  <si>
    <t>CORE_70</t>
  </si>
  <si>
    <t xml:space="preserve">O is not Peters et al, but Pronin et al, 2002,  The Bias Blind Spot: Perceptions of Bias in Self Versus Others https://doi.org/10.1177/0146167202286008 </t>
  </si>
  <si>
    <t>Chandrashekar, S., Yeung, S., Yau, K., Cheung, C., Agarwal, T., Wong, C., . . . Feldman, G. (2021). Agency and self-other asymmetries in perceived bias and shortcomings: Replications of the Bias Blind Spot and link to free will beliefs. Judgment and Decision Making, 16(6), 1392-1412. doi:10.1017/S1930297500008470</t>
  </si>
  <si>
    <t>10.1017/S1930297500008470</t>
  </si>
  <si>
    <t>Study 1 Survey 2</t>
  </si>
  <si>
    <t>10.1017--S1930297500008470.pdf</t>
  </si>
  <si>
    <t>Bias blind spot</t>
  </si>
  <si>
    <t>Self-other asymmetry in susceptibility to biases</t>
  </si>
  <si>
    <t>Our analyses confirmed that participants perceived themselves as less biased with respect to our original eight-item composite (M= 5.05) than their average classmate (M = 5.85), t(28) = 4.64, p &lt; .0001 (see Figure 2),</t>
  </si>
  <si>
    <t>t(28) = 4.64</t>
  </si>
  <si>
    <t>p.3  (M= 5.05) (M = 5.85), t(28) = 4.64, p &lt; .0001 (see Figure 2),</t>
  </si>
  <si>
    <t xml:space="preserve"> t(44) = –4.54</t>
  </si>
  <si>
    <t>p. 10 (Study 1a: Md = –0.75, t(44) = –4.54, p &lt;.001, dz = –0.68, 95% CI [–1.01, –0.35];</t>
  </si>
  <si>
    <t>https://osf.io/kqatx/files/osfstorage</t>
  </si>
  <si>
    <t>CORE_70_b</t>
  </si>
  <si>
    <t>t(302) = –16.16</t>
  </si>
  <si>
    <t xml:space="preserve">p.10 Study 2: Md = –1.15; t(302) = –16.16, p &lt; .001; dz = –0.93, 95% CI [–1.06, –0.79]; </t>
  </si>
  <si>
    <t>CORE_70_c</t>
  </si>
  <si>
    <t>t(620) = –32.04</t>
  </si>
  <si>
    <t>p.10 Study 3: Md = –1.80; t(620) = –32.04, p &lt;.001, dz = –1.29, 95% CI [–1.39, –1.18]).</t>
  </si>
  <si>
    <t>CORE_70_d</t>
  </si>
  <si>
    <t>Overall, participants claimed both to possess more of the positive characteristics listed (M = 6.44), t(78) = 14.19, p &lt; .001,</t>
  </si>
  <si>
    <t>t(78) = 14.19</t>
  </si>
  <si>
    <t>p. 7 (M = 6.44), t(78) = 14.19, p &lt; .001,</t>
  </si>
  <si>
    <t>t(42) = 5.09</t>
  </si>
  <si>
    <t xml:space="preserve">p.11 (Study 1b: M = 5.74, t(42) = 5.09, p &lt; .001, dz = 0.78, 95% CI [0.43, 1.11]; </t>
  </si>
  <si>
    <t>CORE_70_e</t>
  </si>
  <si>
    <t>t(620) = 31.74</t>
  </si>
  <si>
    <t>p.11 Study 3: M = 6.42; t(620) = 31.74, p &lt; .001; dz = 1.27, 95% CI [1.17, 1.38])</t>
  </si>
  <si>
    <t>CORE_70_f</t>
  </si>
  <si>
    <t>Overall, participants claimed both to possess more of the positive characteristics listed and less of the negative ones (M = 3.64), t(78) = 10.94, p &lt; .001</t>
  </si>
  <si>
    <t xml:space="preserve"> t(78) = 10.94</t>
  </si>
  <si>
    <t>p.7 (M = 3.64), t(78) = 10.94, p &lt; .001</t>
  </si>
  <si>
    <t>t(42) = –4.55</t>
  </si>
  <si>
    <t xml:space="preserve">p.11 (Study 1b: M = 4.16, t(42) = –4.55, p &lt; .001, dz = –0.69, 95% CI [–1.02, –0.36]; </t>
  </si>
  <si>
    <t>CORE_70_g</t>
  </si>
  <si>
    <t xml:space="preserve"> (620) = –30.38</t>
  </si>
  <si>
    <t>p.11 Study 3: M = 3.21; t (620) = –30.38, p &lt;.001; dz =–1.22, 95% CI [–1.32, –1.11])</t>
  </si>
  <si>
    <t>CORE_70_h</t>
  </si>
  <si>
    <t>Clearly, some participants had both succumbed to the relevant bias and then denied having done so, even after hearing an explicit description of it and being invited to acknowledge its influence, X2(1) = 9.97, p &lt; .002.7</t>
  </si>
  <si>
    <t>X2(1) = 9.97</t>
  </si>
  <si>
    <t>p.7 X2(1) = 9.97, p &lt; .002.</t>
  </si>
  <si>
    <t>X2(1, N = 43) = 14.53</t>
  </si>
  <si>
    <t>p.11 (X2(1, N = 43) = 14.53, p &lt; .001, dz = 1.43, 95% CI [0.69, 2.16]).</t>
  </si>
  <si>
    <t>CORE_70_i</t>
  </si>
  <si>
    <t>X2(1, N = 621) = 261.53</t>
  </si>
  <si>
    <t>p.11 (X2(1, N = 621) = 261.53, p &lt; .001; dz = 1.71, 95% CI [1.50, 1.91]).</t>
  </si>
  <si>
    <t>CORE_75_1</t>
  </si>
  <si>
    <t>CORE_75</t>
  </si>
  <si>
    <t>O is not Peters et al, but Shafir, E., Diamond, P., &amp; Tversky, A. (1997). Money illusion. The Quarterly Journal of Economics, 112(2), 341-374. https://doi.org/10.1162/003355397555208, hence the same as CORE 80_1, so I put them next to each other</t>
  </si>
  <si>
    <t>Ziano, I., Li, J., Tsun, S. M., Lei, H. C., Kamath, A. A., Cheng, B. L., &amp; Feldman, G. (2021). Revisiting “money illusion”: Replication and extension of Shafir, Diamond, and Tversky (1997). In Journal of Economic Psychology (Vol. 83, p. 102349). Elsevier BV. https://doi.org/10.1016/j.joep.2020.102349</t>
  </si>
  <si>
    <t>10.1016/j.joep.2020.102349</t>
  </si>
  <si>
    <t>10.1016--j.joep.2020.102349.pdf</t>
  </si>
  <si>
    <t>the same as CORE_80. Refer to CORE_80 for results</t>
  </si>
  <si>
    <t>Better than average effect</t>
  </si>
  <si>
    <t>Denial of better than average effect</t>
  </si>
  <si>
    <t>CORE_76_1</t>
  </si>
  <si>
    <t>CORE_76</t>
  </si>
  <si>
    <t>Combined Effect O, organ R. Studies also have comparable correlation coefficients that can be extracted (p.10 Table 1 for O, p.10 Table 5 for R)</t>
  </si>
  <si>
    <t>- I added the study number of the original study
- I added the replication label
- I seperated the statements of the text claim
- I changed the page number of the text claim</t>
  </si>
  <si>
    <t>Royzman, E. B., &amp; Baron, J. (2002). The preference for indirect harm. Social justice research, 15, 165-184.</t>
  </si>
  <si>
    <t>10.1023/A:1019923923537</t>
  </si>
  <si>
    <t>10.1023--a:1019923923537.pdf</t>
  </si>
  <si>
    <t>Ziano, I., Wang, Y. J., Sany, S. S., Ngai ‎, L. H., Lau, Y. K., Bhattal‎, I. K., Keung, P. S., Wong, Y. T., Tong, W. Z., Cheng, B. L., Chan, H. Y., &amp; Feldman, G. (2021). Perceived morality of direct versus indirect harm: Replications of the preference for indirect harm effect. In Meta-Psychology (Vol. 5). Linnaeus University. https://doi.org/10.15626/mp.2019.2134</t>
  </si>
  <si>
    <t>10.15626/mp.2019.2134</t>
  </si>
  <si>
    <t>10.15626--mp.2019.2134.pdf</t>
  </si>
  <si>
    <t>Preference for indirect harm</t>
  </si>
  <si>
    <t>People judge actions that produce harm as a by- product to be more moral than actions that produce harm directly</t>
  </si>
  <si>
    <t>"Subjects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</si>
  <si>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t7 = 3.47</t>
  </si>
  <si>
    <t>t7 = 3.47, p = 0.0052, one- tailed</t>
  </si>
  <si>
    <t xml:space="preserve">p.7 HK organ        M = 0.33        SD = 0.60        t(45) = 3.70        p &lt; .001        d = 0.55      CI =  0.23 -0.86    </t>
  </si>
  <si>
    <t>https://osf.io/vcqwj</t>
  </si>
  <si>
    <t>n_o was calculated from the test statistic</t>
  </si>
  <si>
    <t xml:space="preserve">- I added the replication labe
- I changed the original effect and consequently, the text claim and the p-value
- I changed the replication effec from the test statistics to the target effect </t>
  </si>
  <si>
    <t>"Subjects considered the direct option to be wrong more often. They judged the direct option more immoral 26.2% of the time, and the indirect option 9.5% ([...]; across the eight cases, t7 = 3.47, p = 0.0052, one-
tailed)", "the effect of directness on moral judgment cannot be fully explained in terms of the effect of directness on judgments of appearance, probability, or intention that were thought to be relevant to moral judgment."</t>
  </si>
  <si>
    <t>https://osf.io/qdn2m</t>
  </si>
  <si>
    <t>CORE_76_b</t>
  </si>
  <si>
    <t>Combined Effect O, zoo R Studies also have comparable correlation coefficients that can be extracted (p.10 Table 1 for O, p.10 Table 5 for R)</t>
  </si>
  <si>
    <t xml:space="preserve">p.7 HK zoo        M = 0.33        SD = 0.79        t(45) = 2.80        p = .004        d = 0.41        CI =   0.11 -0.71      </t>
  </si>
  <si>
    <t>CORE_76_c</t>
  </si>
  <si>
    <t>Combined Effect O, organ R Studies also have comparable correlation coefficients that can be extracted (p.10 Table 1 for O, p.10 Table 5 for R)</t>
  </si>
  <si>
    <t xml:space="preserve">p.7 MTurk organ        M = 0.15        SD = 0.65        t(313) = 4.16        p &lt; .001        d = 0.24        CI =   0.12 -0.34       </t>
  </si>
  <si>
    <t>CORE_76_d</t>
  </si>
  <si>
    <t xml:space="preserve">p.7 MTurk zoo        M = 0.26        SD = 0.73        t(313) = 6.31        p &lt; .001        d = 0.36         CI =  0.24-0.47        </t>
  </si>
  <si>
    <t>CORE_78_1</t>
  </si>
  <si>
    <t>CORE_78</t>
  </si>
  <si>
    <t xml:space="preserve">I wasn't sure how to extract data for this study because of lots of correlation coefficients (not combined). Final decision for R was the following "our replication findings suggests that our replication of the status quo bias in Scenario 1, 3, and 4 can be considered successful. A major discrepancy, however, was found in Scenario 2. Whereas the target study found a significant status quo bias for all options in this scenario (lowest Cohen’s h = 0.45 in the status quo vs. non-status quo comparison), our data did not reveal any consistently significant status quo bias)." R. pp.9-14 have massive tables with data, including comparison of original and replication results (percentages seem to be consistent with O). </t>
  </si>
  <si>
    <t>Samuelson, W., &amp; Zeckhauser, R. (1988). Status quo bias in decision making. Journal of risk and uncertainty, 1, 7-59.</t>
  </si>
  <si>
    <t>10.1007/BF00055564</t>
  </si>
  <si>
    <t>10.1007--bf00055564.pdf</t>
  </si>
  <si>
    <t>Xiao, Q., Lam, C. S., Piara, M., &amp; Feldman, G. (2021). Revisiting status quo bias. In Meta-Psychology (Vol. 5). Linnaeus University. https://doi.org/10.15626/mp.2020.2470</t>
  </si>
  <si>
    <t>10.15626/mp.2020.2470</t>
  </si>
  <si>
    <t>10.15626--mp.2020.2470.pdf</t>
  </si>
  <si>
    <t>Status quo bias</t>
  </si>
  <si>
    <t xml:space="preserve">Tables la-lc reveal an obvious and strong prevailing pattern: for the large majority of alternatives, the percentage response rate is highest when the alternative is in the SQ position, lower in the NEUT position, and lowest in the ASQ position. In Table la, 16 of 24 cases fit precisely this pattern; in Table lb, 13 of 18 cases; in Table lc, 17 of 24 cases. This pattern of relative response rates holds firm despite marked differences in the absolute levels of response rates across different choice alternatives within and across decision questions. ...  These equations apply regardless of the number of alternatives. This suggests that the relative bias should be expected to be larger the greater the number of alternatives. </t>
  </si>
  <si>
    <t>p.8, 13</t>
  </si>
  <si>
    <t>X2 between 0.001 and 0.50</t>
  </si>
  <si>
    <t>Table 1a, p.9</t>
  </si>
  <si>
    <t>pp. 9-14 each have massive tables with data,</t>
  </si>
  <si>
    <t>https://osf.io/zpkqt</t>
  </si>
  <si>
    <t>Options have higher choice rates when they are framed as the status quo than as a non-status quo (or an alternative to the status quo).</t>
  </si>
  <si>
    <t>"An obvious and prevailing pattern: for the large majority of the alternatives, the percentage response rate is highest when the alternative is in the SQ position, lower in the NEUT position, and lowest in the ASQ position, the relative bias should be expected to be larger the greater the number of alternatives."</t>
  </si>
  <si>
    <t>9, 13</t>
  </si>
  <si>
    <t>x^2(1)=5.602</t>
  </si>
  <si>
    <t>p.9, p.13</t>
  </si>
  <si>
    <t>Pval not reported, but 95% CI excludes 0</t>
  </si>
  <si>
    <t>https://osf.io/c3phs</t>
  </si>
  <si>
    <t>CORE_79_1</t>
  </si>
  <si>
    <t>CORE_79</t>
  </si>
  <si>
    <t>R is a review, not replication.</t>
  </si>
  <si>
    <t>Seta et al., 2001</t>
  </si>
  <si>
    <t>10.1037/0022-3514.80.6.861</t>
  </si>
  <si>
    <t>10.1037--0022-3514.80.6.861.pdf</t>
  </si>
  <si>
    <t>Feldman, G., Kutscher, L., &amp; Yay, T. (2020). Omission and commission in judgment and decision making: Understanding and linking action‐inaction effects using the concept of normality. In Social and Personality Psychology Compass (Vol. 14, Issue 8). Wiley. https://doi.org/10.1111/spc3.12557</t>
  </si>
  <si>
    <t>10.1111/spc3.12557</t>
  </si>
  <si>
    <t>10.1111--spc3.12557.pdf</t>
  </si>
  <si>
    <t>R is a review article</t>
  </si>
  <si>
    <t>CORE_80_1</t>
  </si>
  <si>
    <t>CORE_80</t>
  </si>
  <si>
    <t>Statistics for O checked in O, but copied from R (for simplicity). ES copied from R (if available), since O operates with % only</t>
  </si>
  <si>
    <t>- I added the study number of the original study
- I applied the overall effect to match it with the second coder. Therefore, I changed the text claim and both sample sizes and the p-value of the replication
- I excluded</t>
  </si>
  <si>
    <t>Shafir, E., Diamond, P., &amp; Tversky, A. (1997). Money illusion. The Quarterly Journal of Economics, 112(2), 341-374.</t>
  </si>
  <si>
    <t>10.1162/003355397555208</t>
  </si>
  <si>
    <t>10.1162--003355397555208.pdf</t>
  </si>
  <si>
    <t>Problem 1 Economic</t>
  </si>
  <si>
    <t>Money illusion</t>
  </si>
  <si>
    <t>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</si>
  <si>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</si>
  <si>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https://osf.io/e859v</t>
  </si>
  <si>
    <t>Crammer V statistic is recalculated</t>
  </si>
  <si>
    <t>- I added the replication label</t>
  </si>
  <si>
    <t>https://osf.io/fve58</t>
  </si>
  <si>
    <t>CORE_80_b</t>
  </si>
  <si>
    <t>Problem 1 Happiness</t>
  </si>
  <si>
    <t>When the emphasis is not purely economic, however, the attribution of well-being is driven primarily by a nominal rather than a real evaluation. The majority of respondents attribute happiness to people based on greater nominal raises, despite lower real raises. Thus, he attribution of happiness incorporates money illusion, even when an analysis in terms of real value is easily accessible.</t>
  </si>
  <si>
    <t>Ann n = 25 , (36% [26%, 48%]), Barbara n = 44 , (64% [52%, 74%]), p = 0.007</t>
  </si>
  <si>
    <t>Ann, n = 70 (35% [28%, 41%]), Barbara, n = 133 (66% [59%, 71%])</t>
  </si>
  <si>
    <t>CORE_80_c</t>
  </si>
  <si>
    <t>Problem 1 Job attractivness</t>
  </si>
  <si>
    <t>Finally, the majority of respondents thought that a nominal evalua tion not only would underlie feelings of well-being, but would also have consequences for action.</t>
  </si>
  <si>
    <t>Ann, n = 90 , (65% [56%, 72%]). Barbara, n = 49,  (35% [28%, 43%]), p &lt; 0.001</t>
  </si>
  <si>
    <t>Ann, n = 138 (69% [62%, 75%]), Barbara, n = 63 (31% [25%, 38%])</t>
  </si>
  <si>
    <t>CORE_80_d</t>
  </si>
  <si>
    <t>Problem 2</t>
  </si>
  <si>
    <t>It is clear from the data above that subjects’ evaluations are influenced by the nominal transactions. The modal ranking, chosen by roughly half the subjects, was Carl first, Ben second, and Adam third. Thus, Carl, the only one to make a nominal gain (but a real loss), was the modal choice for the best deal. Adam, who was the only one to make a real gain (but a nominal loss), was the modal choice for the worst deal. Ben, who suffered a 1 percent real and nominal loss, was ranked above Adam, who had a 2 percent real profit but a large nominal loss, and below Carl, who had a 2 percent real loss but a large nominal gain. We have replicated this pattern in another version of this problem involving 2 percent inflation or deflation.</t>
  </si>
  <si>
    <t>Adam, First: n = 160 (36% [32%, 41%]), Second: n = 43 (10% [8%, 13%]), Third: n = 228 (54% [49%, 58%])</t>
  </si>
  <si>
    <t>dam, First: n = 92 (15% [13%, 18%]), Second: n = 56 (9% [7%, 12%]), Third: n = 456 (76% [72%, 79%])</t>
  </si>
  <si>
    <t>CORE_80_e</t>
  </si>
  <si>
    <t>Ben, First: n = 73 (17% [13%, 20%]), Second: n = 315 (74% [69%, 77%]), Third: n = 43 (10% [8%, 13%])</t>
  </si>
  <si>
    <t>Ben, First: n = 91 (15% [13%, 18%]), Second: n = 481 (80% [76%, 83%]), Third: n = 32 (5% [4%, 7%])</t>
  </si>
  <si>
    <t>CORE_80_f</t>
  </si>
  <si>
    <t>Carl, First: n = 207 (47% [42%, 52%]), Second: n = 69 (16% [13%, 20%]), Third: n = 155 (36% [32%, 41%])</t>
  </si>
  <si>
    <t>Carl, First: n = 421 (70% [66%, 73%]), Second: n = 67 (11% [8%, 14%]), Third: n = 116 (19% [16%, 23%])</t>
  </si>
  <si>
    <t>CORE_80_g</t>
  </si>
  <si>
    <t>Problem 3</t>
  </si>
  <si>
    <t>The proportions of subjects who were more and less likely to buy and sell differed significantly (X2 5 128, p , .0001). The majority of subjects thought they would be more likely to sell for a larger nominal price, and the modal choice also indicated a diminished tendency to buy. Higher nominal prices—although real prices had not changed—were conducive to selling and aversive to buyng. It is noteworthy that less than half the subjects chose to answer “Same” in both questions.</t>
  </si>
  <si>
    <t>Buy More: n = 25 (7%), Same: n = 199 (55%), Less: n = 138 (38%)</t>
  </si>
  <si>
    <t>Buy More: n = 38 (6% [5%, 9%]), Same: n = 285 (47% [43%, 51%]), Less: n = 281 (47% [43%, 51%])</t>
  </si>
  <si>
    <t>CORE_80_h</t>
  </si>
  <si>
    <t>Sell More: n = 156 (43%), Same: n = 152 (42%), Less: n = 54 (15%)</t>
  </si>
  <si>
    <t>Sell More: n = 258 (43% [39%, 47%]), Same: n = 298 (49% [45%, 53%]), Less: n = 48 (8% [6%, 10%])</t>
  </si>
  <si>
    <t>CORE_80_i</t>
  </si>
  <si>
    <t>Problem 4 Real terms</t>
  </si>
  <si>
    <t>As in the previous problem, subjects exhibit frame dependent risk aversion: a larger proportion opt for the contract that is nominally riskless when the contracts are framed in nomi- nal terms than when they are framed in real terms. Clearly, by opting for the “sure” nominal value, subjects are in effect taking a real risk. As before, the neutral version yields results remarkably similar to those obtained under the nominal as opposed to the real frame. Finally, in all three versions there is a somewhat smaller tendency to opt for the indexed contracts when buying than when selling, although the differences are not statistically significant.</t>
  </si>
  <si>
    <t>Risky: n = 9 (19%), Riskless: n = 38 (81%)</t>
  </si>
  <si>
    <t>Risky: n = 49 (35% [28%, 43%]), Riskless: n = 90 (65% [57%, 72%])</t>
  </si>
  <si>
    <t>CORE_80_j</t>
  </si>
  <si>
    <t>Problem 4 Nominal terms</t>
  </si>
  <si>
    <t>Risky: n = 20 (41%), Riskless: n = 29 (59%)</t>
  </si>
  <si>
    <t>Risky: n = 62 (31% [25%, 38%]), Riskless: n = 137 (69% [62%, 75%])</t>
  </si>
  <si>
    <t>CORE_80_k</t>
  </si>
  <si>
    <t>Problem 4 Neutral</t>
  </si>
  <si>
    <t>Risky: n = 20 (46%), Riskless: n = 23 (54%)</t>
  </si>
  <si>
    <t>Risky: n = 90 (45% [38%, 52%]), Riskless: n = 110 (55% [48%, 62%])</t>
  </si>
  <si>
    <t>CORE_85_1</t>
  </si>
  <si>
    <t>CORE_85</t>
  </si>
  <si>
    <t>Virgin Rat</t>
  </si>
  <si>
    <t>Slovic, P., &amp; Fischhoff, B. (1977). On the psychology of experimental surprises. Journal of Experimental Psychology: Human Perception and Performance, 3(4), 544.</t>
  </si>
  <si>
    <t>10.1037/0096-1523.3.4.544</t>
  </si>
  <si>
    <t>10.1037--0096-1523.3.4.544.pdf</t>
  </si>
  <si>
    <t>Hindsight bias-prospective</t>
  </si>
  <si>
    <t>Participants in the hindsight condition estimate a greater probability that the outcome will continue to occur in future trials, compared with participants in the foresight condition.</t>
  </si>
  <si>
    <t>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</si>
  <si>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p.3  Virgin rat study        All show maternal behavior        Mean probability foresight: .30        Mean probability hindsight: .44</t>
  </si>
  <si>
    <t>p. 12 table 9  Virgin rat experiment        All show maternal behavior        Mean foresight: 29.16        Mean hindsight: 38.42</t>
  </si>
  <si>
    <t>https://osf.io/xv4h3</t>
  </si>
  <si>
    <t>- I added the replication label
- I changed the original effect to NA (I don't know where the coded effect came from)
- I added the p-value (replication)</t>
  </si>
  <si>
    <t>"In six of eight cases (two from each of four studies), this probability was significantly larger for hind sight than foresight subjects. Thus, subjects who were told that a study had "worked" once in the past found its working consistently in the future more likely than those asked "// it works once, how likely is it to work again consistently?" For the three studies with multiple replications (virgin rat, hurricane seeding, and gosling imprinting), the mean probability of an initial outcome always being replicated was .38 for the foresight group and .55 for the hindsight group; the mean probability of its never being replicated was .19 and .10, respectively."</t>
  </si>
  <si>
    <t>https://osf.io/75h98</t>
  </si>
  <si>
    <t>CORE_85_b</t>
  </si>
  <si>
    <t>Hurricane</t>
  </si>
  <si>
    <t>p.3  Hurricane seeding        All increase        Mean probability foresight: .29        Mean probability hindsight: .56
All weaken        Mean probability foresight: .34        Mean probability hindsight: .47</t>
  </si>
  <si>
    <t>p. 12 table 9 Hurricane seeding        All increase        Mean foresight: 47.74        Mean hindsight: 49.35</t>
  </si>
  <si>
    <t>CORE_85_c</t>
  </si>
  <si>
    <t>Gosling imprinting experiment</t>
  </si>
  <si>
    <t>p.3  Gosling imprinting        All approach goose        Mean probability foresight: .40        Mean probability hindsight: .73</t>
  </si>
  <si>
    <t>p. 12 table 9 Gosling imprinting    All approach goose        Mean foresight: 38.10        Mean hindsight: 46.39</t>
  </si>
  <si>
    <t>CORE_85_d</t>
  </si>
  <si>
    <t>Y-test</t>
  </si>
  <si>
    <t xml:space="preserve">p.3  Y-test (Outcome A)        Places in Area A        Mean probability foresight: .29        Mean probability hindsight: .58
</t>
  </si>
  <si>
    <t>p. 12 table 9 Y-test        Places dot in Area A        Mean foresight: 59.62        Mean hindsight: 61.96</t>
  </si>
  <si>
    <t>CORE_86_1</t>
  </si>
  <si>
    <t>CORE_86</t>
  </si>
  <si>
    <t>case 1</t>
  </si>
  <si>
    <t>Spranca, M., Minsk, E., &amp; Baron, J. (1991). Omission and commission in judgment and choice. Journal of experimental social psychology, 27(1), 76-105.</t>
  </si>
  <si>
    <t>10.1016/0022-1031(91)90011-T</t>
  </si>
  <si>
    <t>10.1016--0022-1031(91)90011-t.pdf</t>
  </si>
  <si>
    <t>Jamison, J., Yay, T., &amp; Feldman, G. (2020). Action-inaction asymmetries in moral scenarios: Replication of the omission bias examining morality and blame with extensions linking to causality, intent, and regret. In Journal of Experimental Social Psychology (Vol. 89, p. 103977). Elsevier BV. https://doi.org/10.1016/j.jesp.2020.103977</t>
  </si>
  <si>
    <t>10.1016/j.jesp.2020.103977</t>
  </si>
  <si>
    <t>10.1016--j.jesp.2020.103977.pdf</t>
  </si>
  <si>
    <t>Omission bias</t>
  </si>
  <si>
    <t>Omission will be associated with a bias towards lower attributions of immorality</t>
  </si>
  <si>
    <t xml:space="preserve">In case 1, 37 out of 57 subjects (65%) rated each omission as less bad than either corresponding commission, showing an omission bias, and only one subject (for idiosyncratic reasons) rated an omission as worse than a commission. The association between the outcome bias and the omission bias is significant by Fisher’s exact test for case 1 p = .027). </t>
  </si>
  <si>
    <t>p.3 37 out of 57 subjects (65%)</t>
  </si>
  <si>
    <t>p.4 d = −0.45), table 5 p 5</t>
  </si>
  <si>
    <t>https://osf.io/5vqzy</t>
  </si>
  <si>
    <t>"31 out of 41 subjects felt that their perception of John’s causal role affected their moral judgments, and, in fact, differences in judgments of causal role were strongly associated with differences in moral judgments (x2 = 13.26, p &lt; .001)."</t>
  </si>
  <si>
    <t>X2(1)=13.26</t>
  </si>
  <si>
    <t>−0.45</t>
  </si>
  <si>
    <t>https://osf.io/6nn57</t>
  </si>
  <si>
    <t>CORE_86_b</t>
  </si>
  <si>
    <t>case 2</t>
  </si>
  <si>
    <t>In case 2, 39 (68%) subjects rated each omission as less bad than its corresponding commission, and none did the reverse ... Although the corresponding test is not significant for case 2 (p = .095),</t>
  </si>
  <si>
    <t>39 subjects (68%)</t>
  </si>
  <si>
    <t>p.4 (d = −0.47).  table 5 p 5</t>
  </si>
  <si>
    <t>- I added the replication label
- Since the effect of the replication was reported as well, I changed the reported test statistics of the replication to Cohen's d</t>
  </si>
  <si>
    <t>CORE, Judgment, Decision Making, JDM, Heuristics, Biases.</t>
  </si>
  <si>
    <t>In the cash condition, the expected willingness to help increases with the payment level</t>
  </si>
  <si>
    <t>"As predicted in Hypothesis 1a, the expected willingness to help in the cash condition (money market) increased when the payment level increased from low to medium, F(1, 607) = 5.03, p &lt; .001,3 a pattern that is similar to reciprocation", "The results supported the distinction between money and social markets by documenting a higher predicted level of compliance when no payment was offered than when low monetary payment was offered,"</t>
  </si>
  <si>
    <t>F(1, 607) =5.03</t>
  </si>
  <si>
    <t>https://osf.io/y9p7u/</t>
  </si>
  <si>
    <t>CORE_91_1</t>
  </si>
  <si>
    <t>CORE_91</t>
  </si>
  <si>
    <t>- I added the study numbers
- I added the replication label
- I adjusted the link to the pre-registration</t>
  </si>
  <si>
    <t>Svenson, O. (1981). Are we all less risky and more skillful than our fellow drivers?. Acta psychologica, 47(2), 143-148.</t>
  </si>
  <si>
    <t>10.1016/0001-6918(81)90005-6</t>
  </si>
  <si>
    <t>10.1016--0001-6918(81)90005-6.pdf</t>
  </si>
  <si>
    <t>Koppel, L., Andersson, D., Tinghög, G., Västfjäll, D., &amp; Feldman, G. (2023). We are all less risky and more skillful than our fellow drivers: Successful replication and extension of Svenson (1981)‎. In Meta-Psychology (Vol. 7). Linnaeus University. https://doi.org/10.15626/mp.2021.2932</t>
  </si>
  <si>
    <t>10.15626/mp.2021.2932</t>
  </si>
  <si>
    <t>10.15626--mp.2021.2932.pdf</t>
  </si>
  <si>
    <t>people think that they drive more safely than average drivers</t>
  </si>
  <si>
    <t>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</si>
  <si>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 </t>
  </si>
  <si>
    <t>p.4 M = 5.50 (SD = 1.08), t(386) = 27.28, p &lt; .001, g = 1.39, 95% CI [1.25, 1.53],</t>
  </si>
  <si>
    <t>https://osf.io/jky24</t>
  </si>
  <si>
    <t xml:space="preserve">The z-statistic was calculated based on the proportion result. </t>
  </si>
  <si>
    <t xml:space="preserve">- Since the effect of the replication was reported as well, I changed the reported test statistics of the replication to Cohen's d
Corinna:
- I added the replication label
- I added the interpretation to the text claim
- I changed the p-value to NA
- It seems like the coder selceted the wrong effect. Z-statistics were reported, but the ES calculations sheet does not allow to calculate z-statistics. Therefore, I believe that the z-value was caluculated in another way. Since the whole sample was reported for the first effect, I believe that the coder intended to code an overall effect. Therefore, I adjusted almost all effects and p-values and chose the other rows. 
- I had to adjust the samle size too </t>
  </si>
  <si>
    <t>"The medians for the distributions of safety judgments fall in the interval 81-90% for the US group and between 71 and 80% for the Swedish group. This indicates that half of the Ss believe themselves to be among the safest 20 (US) or 30 (Sweden) percent of the drivers in the two groups respectively. 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</si>
  <si>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CORE_91_b</t>
  </si>
  <si>
    <t>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</si>
  <si>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 </t>
  </si>
  <si>
    <t>p.4 M = 5.28 (SD = 1.08), t(378) = 23.13, p &lt; .001, g = 1.19, 95% CI [1.06, 1.32] (see Table 5).</t>
  </si>
  <si>
    <t>CORE_97_1</t>
  </si>
  <si>
    <t>CORE_97</t>
  </si>
  <si>
    <t>- I added the study number of the original study
- I added the replication label</t>
  </si>
  <si>
    <t>Hsee, C. K., &amp; Zhang, J. (2004). Distinction bias: misprediction and mischoice due to joint evaluation. Journal of personality and social psychology, 86(5), 680.</t>
  </si>
  <si>
    <t>10.1037/0022-3514.86.5.680</t>
  </si>
  <si>
    <t>10.1037--0022-3514.86.5.680.pdf</t>
  </si>
  <si>
    <t>Anvari, F., Olsen, J., Hung, W. Y., &amp; Feldman, G. (2021). Misprediction of affective outcomes due to different evaluation modes: Replication and extension of two distinction bias experiments by Hsee and Zhang (2004). In Journal of Experimental Social Psychology (Vol. 92, p. 104052). Elsevier BV. https://doi.org/10.1016/j.jesp.2020.104052</t>
  </si>
  <si>
    <t>10.1016/j.jesp.2020.104052</t>
  </si>
  <si>
    <t>10.1016--j.jesp.2020.104052.pdf</t>
  </si>
  <si>
    <t>Disjunction Bias</t>
  </si>
  <si>
    <t>People overpredict differences in affective outcomes for options in an array. : Joint evaluation group</t>
  </si>
  <si>
    <t>In JE, people thought that they would be significantly happier in the 240-buyer scenario than in the 160-buyer scenario and significantly happier in the 160-buyer scenario than in the 80-buyer scenario (Ms  8.54, 6.26, and 3.34,respectively),  t(49) = 3, p &lt; .001, in any comparisons.</t>
  </si>
  <si>
    <t>t(49) &gt; 3</t>
  </si>
  <si>
    <t>p.4 Ms  8.54, 6.26,  t(49) = 3, p &lt; .001, i</t>
  </si>
  <si>
    <t>p.5 (t(102) = −6.01, p &lt; .001, d = 0.6, CI95% [0.39, 0.82]).</t>
  </si>
  <si>
    <t>https://osf.io/c89kq</t>
  </si>
  <si>
    <t xml:space="preserve">- I added the replication label
- I clarified the target effect
- I changed the tails of the p-values to NA (o &amp; r)
- I changed the effect of the replication study (I have no idea where the test statisitcs were coming from)
- I adjusted the link to the preregistration (replication) </t>
  </si>
  <si>
    <t>Distiniction Bias</t>
  </si>
  <si>
    <t>"Here, people in JE predicted greater happiness in the 80-buyer scenario than in the no-buyer scenario (Ms  3.34 and 1.66, respectively), t(49) =8.20, p&lt; .001,"</t>
  </si>
  <si>
    <t>t(49) =8.20</t>
  </si>
  <si>
    <t>p.6  (t(102) = −21.66, p &lt; .001, d = 2.60,CI95% [2.11, 3.10])</t>
  </si>
  <si>
    <t>CORE_97_b</t>
  </si>
  <si>
    <t>- I added the study numbers
- I added the replication label</t>
  </si>
  <si>
    <t>... And significantly happier in the 160-buyer scenario than in the 80-buyer scenario (Ms  6.26, and 3.34, respectively), t(49) = 3, p &lt; .001, in any comparisons.</t>
  </si>
  <si>
    <t>p.4 Ms  6.26, and 3.34,  t(49) = 3, p &lt; .001, i</t>
  </si>
  <si>
    <t xml:space="preserve">p.5 (t(102) = −11.08, p &lt; .001, d = 0.77, CI95% [0.61, 0.92]), </t>
  </si>
  <si>
    <t>CORE_97_c</t>
  </si>
  <si>
    <t>However, in SE, people were virtually equally happy across the three scenarios (Ms  7.86, 7.57,), t(97)  1, ns, in any comparisons.</t>
  </si>
  <si>
    <t>t(97) &lt; 1</t>
  </si>
  <si>
    <t>p.4 Ms  Ms  7.86, 7.57,), t(97) &lt; 1, ns, in any comparisons.</t>
  </si>
  <si>
    <t>p.5   (t(201.4) = 0.18, p = .854, d = 0.03, CI95% [−0.25, 0.30]).</t>
  </si>
  <si>
    <t>CORE_97_d</t>
  </si>
  <si>
    <t>However, in SE, people were virtually equally happy across the three scenarios (Ms  7.57, and 7.14, respectively), t(97)  1, ns, in any comparisons.</t>
  </si>
  <si>
    <t>p.4 Ms  7.57, and 7.14,,  t(49) &lt; 1, ns i</t>
  </si>
  <si>
    <t>p.5.  (t(198.45) = 0.62, p = .536, d = 0.09, CI95% [−0.19, 0.36]),</t>
  </si>
  <si>
    <t>CORE_97_e</t>
  </si>
  <si>
    <t>Let us now turn to the no-buyer and the 80-buyer scenarios. Here, people in JE predicted greater happiness in the 80-buyer scenario than in the no-buyer scenario (Ms  3.34 and 1.66, respectively), t(49)  =8.20, p  .001,</t>
  </si>
  <si>
    <t>t(49)  =8.20</t>
  </si>
  <si>
    <t>p.4  (Ms  3.34 and 1.66, respectively), t(49)  =8.20, p  &lt;.001,</t>
  </si>
  <si>
    <t>CORE_97_f</t>
  </si>
  <si>
    <t>and people in SE of the 80-buyer scenario indeed reported greater happiness than people in SE of the no-buyer scenario (Ms  7.14 and 2.18, respectively), t(98) 16.15, p  .001. In other words, people in JE did not overpredict the difference in happiness between the no-buyer sce- nario and the 80-buyer scenario; in fact, they even underpredictedthe difference.</t>
  </si>
  <si>
    <t>t(98) =16.15</t>
  </si>
  <si>
    <t>p.4 Ms Ms  7.14 and 2.18, respectively), t(98) =16.15, p  .001.</t>
  </si>
  <si>
    <t>p.6 (t(189.04) = −29.65, p &lt; .001, d = 4.13, CI95% [3.64,4.61]).</t>
  </si>
  <si>
    <t>CORE_97_g</t>
  </si>
  <si>
    <t>In the JE-predicted-experience condition, people predicted significantly greater unhappiness from reading 25 negative words than from reading 10 negative words (M  3.33 vs. 4.00), t(39)  3.74, p  .001.</t>
  </si>
  <si>
    <t>t(39) = 3.74</t>
  </si>
  <si>
    <t>p.5 (M  3.33 vs. 4.00), t(39)  3.74, p  .001.</t>
  </si>
  <si>
    <t>p.7 (t(92) = −5.06, p &lt; .001, d = 0.45, CI95% [0.26, 0.63])</t>
  </si>
  <si>
    <t>CORE_97_h</t>
  </si>
  <si>
    <t>However, in the SE-real-experience conditions, those who read 25 negative words reported virtually the same degree of unhappiness as those who read 10 negativewords (M  4.64 vs. 4.62; t  1,ns).</t>
  </si>
  <si>
    <t>t &lt; 1</t>
  </si>
  <si>
    <t>p.5  (M  4.64 vs. 4.62; t &lt; 1,ns).</t>
  </si>
  <si>
    <t>p. 7 (t(172.35) = −0.30, p = .765, d = 0.04, CI95% [−0.25, 0.34])</t>
  </si>
  <si>
    <t>CORE_97_i</t>
  </si>
  <si>
    <t>The JE predictors predicted significantly greater happiness from reading 25 positive words than from reading 10 positive words (M  6.73 vs. 6.03), t(39)  4.71, p  .001. H</t>
  </si>
  <si>
    <t>p.5,6</t>
  </si>
  <si>
    <t>t(39)  =4.71</t>
  </si>
  <si>
    <t>p.5.6 M  6.73 vs. 6.03), t(39)  =4.71, p  .001. H</t>
  </si>
  <si>
    <t>p.7 (t(92) = 0.19, p = .847, d = 0.02, CI95% [−0.18, 0.22]).</t>
  </si>
  <si>
    <t>CORE_97_j</t>
  </si>
  <si>
    <t>However, the SE real experiencers did not find reading 25 positive words any happier than reading 10 positive words, t(80)  1.23, ns; if anything, the results veered in the opposite direction (M  6.27 for 25 positive words and M  6.69 for 10 positive words).</t>
  </si>
  <si>
    <t>(80) = 1.23</t>
  </si>
  <si>
    <t>p.6 t(80) = 1.23, ns; i(M  6.27 for 25 positive words and M  6.69 for 10 positive words).</t>
  </si>
  <si>
    <t>p.7 (t(169.45) = 0.24, p = .809, d = 0.04, CI95% [−0.26, 0.33]).</t>
  </si>
  <si>
    <t>CORE_97_k</t>
  </si>
  <si>
    <t xml:space="preserve">The JE predictors rather accurately predicted the difference between these tasks for SE real experiencers: M  4.00 and 6.03, t(39)  5.67,p  .001 </t>
  </si>
  <si>
    <t>t(39)  =5.67</t>
  </si>
  <si>
    <t xml:space="preserve">p.6 : M  4.00 and 6.03, t(39)  =5.67,p  .001 </t>
  </si>
  <si>
    <t>p.7 (t(92) = −10.24, p &lt; .001, d = 1.55, CI95% [1.11, 2.00]).</t>
  </si>
  <si>
    <t>CORE_97_l</t>
  </si>
  <si>
    <t>The JE predictors rather accurately predicted the difference between these tasks for SE real experiencers:  M  4.62 and 6.69, t(83)  5.47, p  .001 in SE.</t>
  </si>
  <si>
    <t>t(83)  =5.47</t>
  </si>
  <si>
    <t>p.6  M  4.62 and 6.69, t(83)  =5.47, p  .001 in SE</t>
  </si>
  <si>
    <t>p.7 (t(179.58) = −0.13, p = .898, d = 0.02, CI95% [−0.27, 0.31]).</t>
  </si>
  <si>
    <t>Values are the same as in the Curatescience Database but not as in papers (before: original paper d=0.78) but mentioned in the replication as d=0.79</t>
  </si>
  <si>
    <t>http://bit.ly/11ngkZK</t>
  </si>
  <si>
    <t>curatescience36_b</t>
  </si>
  <si>
    <t>curatescience365</t>
  </si>
  <si>
    <t>Carter, T. J., Ferguson, M. J., &amp; Hassin, R. R. (2011). A single exposure to the American flag shifts support toward Republicanism up to 8 months later. Psychological science, 22(8), 1011-1018.</t>
  </si>
  <si>
    <t>10.1177/0956797611414726</t>
  </si>
  <si>
    <t>09 (as labeled in the Many Labs supplement).</t>
  </si>
  <si>
    <t>Subtle exposure to the U.S. flag shifts attitudes and behaviors toward Republicanism.</t>
  </si>
  <si>
    <t>flag priming, political attitudes, voting behavior, many labs, replication</t>
  </si>
  <si>
    <t>The replication tested the flag priming effect on political attitudes and behaviors, finding no significant results: Cohen's d = 0.04, p = .32.</t>
  </si>
  <si>
    <t>Participants in the flag-prime condition showed significantly greater support for Republican candidates (M = 0.072, SD = 0.47) compared to the control condition (M = -0.070, SD = 0.48), t(181) = 2.02, p = .04, Cohen's d = 0.298.</t>
  </si>
  <si>
    <t>Page 1013</t>
  </si>
  <si>
    <t>Reported on page 1013.</t>
  </si>
  <si>
    <t>Reported in Many Labs supplementary materials, Section 9: Effect of U.S. flag exposure on political attitudes and voting behavior.</t>
  </si>
  <si>
    <t>Replication was based on Carter et al 2011 Study 2 but nothing was entered.</t>
  </si>
  <si>
    <t>corrected N based on df+2
corrected original report to Experiment 2 as indicated by ML manuscript</t>
  </si>
  <si>
    <t>flag priming</t>
  </si>
  <si>
    <t>political psychology, priming, voting behavior, American flag</t>
  </si>
  <si>
    <t>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</si>
  <si>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t(64) = -2.04</t>
  </si>
  <si>
    <t>p. 1016</t>
  </si>
  <si>
    <t>Replication was based on Carter et al 2011 Study 2 but 1 was entered.</t>
  </si>
  <si>
    <t>curatescience39_1</t>
  </si>
  <si>
    <t>curatescience39</t>
  </si>
  <si>
    <t xml:space="preserve">there is no direct mention of the effect size in the original papers so I reported the test of the o_study(2). In the r_study the authors report η2 not r so I edited the cell accordingly. </t>
  </si>
  <si>
    <t>Gámez, E., Díaz, J. a. Á., &amp; Marrero, H. (2011). The Uncertain Universality of the Macbeth Effect with a Spanish Sample. The Spanish Journal of Psychology, 14(1), 156–162. https://doi.org/10.5209/rev_sjop.2011.v14.n1.13 (Study 2)</t>
  </si>
  <si>
    <t>ge (&gt;=)</t>
  </si>
  <si>
    <r>
      <rPr>
        <rFont val="Calibri"/>
        <color theme="1"/>
        <sz val="11.0"/>
      </rPr>
      <t xml:space="preserve">there is no direct mention of the effect size in the original papers so I will included the test of the o_study(2) ; </t>
    </r>
    <r>
      <rPr>
        <rFont val="Calibri"/>
        <b/>
        <color theme="1"/>
        <sz val="11.0"/>
      </rPr>
      <t xml:space="preserve">NOTE: </t>
    </r>
    <r>
      <rPr>
        <rFont val="Calibri"/>
        <color theme="1"/>
        <sz val="11.0"/>
      </rPr>
      <t>I can not get access to the replication paper even when following the link provided. the github page give me an error message :(</t>
    </r>
  </si>
  <si>
    <t>Kamran</t>
  </si>
  <si>
    <t>Kamran Khan</t>
  </si>
  <si>
    <t>Roelofs, K., Hagenaars, M. A., &amp; Stins, J. (2010). Facing freeze: social threat induces bodily freeze in humans. Psychological science, 21(11), 1575-1581.</t>
  </si>
  <si>
    <t>Noordewier, M. K., Scheepers, D. T., &amp; Hilbert, L. P. (2020). Freezing in response to social threat: a replication. Psychological Research, 84(7), 1890-1896.</t>
  </si>
  <si>
    <t>Social threat-induced freezing</t>
  </si>
  <si>
    <t>emotional facial expressions, human freeze response, angry faces, posturography, body sway, heart rate</t>
  </si>
  <si>
    <t>Viewing angry (socially threatening) faces leads to reduced body sway and decreased heart rate (freezing response) in humans.</t>
  </si>
  <si>
    <t>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</si>
  <si>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Data (editable)_2_1</t>
  </si>
  <si>
    <t>Data (editable)_2</t>
  </si>
  <si>
    <t>Lisa Mathes, Lukas Röseler</t>
  </si>
  <si>
    <t>No access to the r_paper</t>
  </si>
  <si>
    <t>Witteman H. O., Fagerlin A., Exe N., Trottier M. E., Zikmund-Fisher B. J. One-sided social media comments influenced opinions and intentions about home birth: An experimental study. Health Affairs, 35(4), 726-33. https://doi.org/10.1377/hlthaff.2015.1382.</t>
  </si>
  <si>
    <t>10.1377/hlthaff.2015.1382</t>
  </si>
  <si>
    <t>10.1377--hlthaff.2015.1382.pdf</t>
  </si>
  <si>
    <t xml:space="preserve">Mathes, L., &amp; Röseler, L. (11. April 2023). One-sided comments on opinions and intentions on YouTube: A replicarory approach. </t>
  </si>
  <si>
    <t>https://osf.io/624wf</t>
  </si>
  <si>
    <t>WAITING FOR ACCESS</t>
  </si>
  <si>
    <t>influence of one-sided online comments on opinion</t>
  </si>
  <si>
    <t>opinion, public opinion, media psychology, conformity</t>
  </si>
  <si>
    <t>Exposure to one-sided rather than balanced comments online can influence opinions</t>
  </si>
  <si>
    <t>The difference in opinions between participants who saw proversus anti-home birth comments without stories was 19 (SD 3) whereas the difference between pro- and anti-home birth comments with stories was 28 (SD 3) (β = 4.21, t(1678) = 2.15, p = 0.03).</t>
  </si>
  <si>
    <t>Data (editable)_2_2</t>
  </si>
  <si>
    <t>Lisa Mathes, Lukas röseler</t>
  </si>
  <si>
    <t xml:space="preserve">No access to the r_paper; I coudn't find the o_effect size reported in this sheet in the o_paper so I reported another efffect size </t>
  </si>
  <si>
    <t>Mathes, L., &amp; Röseler, L. (11. April 2023). One-sided comments on opinions and intentions on YouTube: A replicarory approach. https://osf.io/624wf</t>
  </si>
  <si>
    <t>one-sided YouTube-comments on intention</t>
  </si>
  <si>
    <t>intention, media psychology, decision making, conformity</t>
  </si>
  <si>
    <t>One-sided YouTube-comments may influence viewers' intention towards valence of comments</t>
  </si>
  <si>
    <t>We observed similar results on our secondary outcome of intentions regarding home birth. Participants' reported
intentions toward home birth were significantly higher among participants exposed to pro-home birth comments
than among those exposed to anti-home birth comments (Odds Ratio 1.85, 95% Confidence Interval [1.37, 2.52], p
&lt;.001)</t>
  </si>
  <si>
    <t>Jami, A. (2019). Having control over and above situations: The influence of elevated viewpoints on risk taking. Journal of Marketing Research, 56(2), 230-244.</t>
  </si>
  <si>
    <t>Elevated Viewpoint Effect on Risk Taking</t>
  </si>
  <si>
    <t>Physically elevated viewpoints lead to an illusory sense of control, which increases individuals’ risk-taking behavior.</t>
  </si>
  <si>
    <t>F(1, 201) = 5.92, p = .016, partial η² = .029
Participants exposed to high-elevation images had a higher likelihood of purchasing new products (M = 3.87, SD = 1.79) compared to those exposed to low-elevation images (M = 3.39, SD = 1.89)</t>
  </si>
  <si>
    <t>https://datacolada.org/82#:~:text=d%20%3D%20.02%2C%20with%20a%2090%25%20confidence%20interval%20of%20%5B%2D.11%2C%20%2B.15%5D</t>
  </si>
  <si>
    <t>datareplicada10c_1</t>
  </si>
  <si>
    <t>datareplicada10c</t>
  </si>
  <si>
    <t>Replication 2 Effect 1</t>
  </si>
  <si>
    <t>- I added the replication label
- I adjusted the claim and the original effect
- I adjusted closeness</t>
  </si>
  <si>
    <t>Sokolova, T., Seenivasan, S., &amp; Thomas, M. (2020). The left-digit bias: when and why are consumers penny wise and pound foolish?. Journal of Marketing Research, 57(4), 771-788.</t>
  </si>
  <si>
    <t>Simmons, J. P., &amp; Nelson, L. D. (2020). Data Replicada #8: Is the left-digit bias stronger when prices are presented side-by-side? Data Colada. Retrieved June 2025, from https://datacolada.org/92</t>
  </si>
  <si>
    <t>Left-digit bias in price perception is stronger during side-by-side, stimulus-based evaluations than during memory-based evaluations, leading consumers to be “penny wise but pound foolish.”</t>
  </si>
  <si>
    <t>https://datacolada.org/92#:~:text=You%20really%20should,to%20study%20something</t>
  </si>
  <si>
    <t>datareplicada8a_b</t>
  </si>
  <si>
    <t>- I adjusted the p-value of the replication
- I adjusted the claim and the original effect
- I adjusted closeness</t>
  </si>
  <si>
    <t xml:space="preserve">The p value is not reported in the original study thats why I wrote NA in the cell. </t>
  </si>
  <si>
    <t>Cleanliness-Morality Effect</t>
  </si>
  <si>
    <t>Cleanliness, Moral Judgment, Disgust, Moral Purity, Priming, Moral Intuition, Embodied Cognition</t>
  </si>
  <si>
    <t>Cleanliness (cognitive or physical) reduces the perceived severity of moral transgressions</t>
  </si>
  <si>
    <t>“Participants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</si>
  <si>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https://osf.io/gea2s#:~:text=The%20effect%20size,d%20%3D%20%2D0.40</t>
  </si>
  <si>
    <t>https://osf.io/n6k84/</t>
  </si>
  <si>
    <t>RRR_BrohmerHofer_etal_2024_Bauch_1</t>
  </si>
  <si>
    <t>RRR_BrohmerHofer_etal_2024_Bauch</t>
  </si>
  <si>
    <t>1. The effect size value for the orignal study is taken from the replication study's indication on page 7. 2. The effect size value for the replication study is taken from the manin anaylysis appendix's html file. 3. The p-value of the original study is also doubtful as it is not clearly mentioned, but infered from the calculations. 4. Unsure about the original study's pval dependence between observations.</t>
  </si>
  <si>
    <t>original paper only provides a p-value (p &lt; .01) and total sample size (N = 90). For the test statistics, they were conferted to p = .01 (equivalent to t = 2.64) and to subsample sizes (because the contrast test was group 1 vs group 2 and 3) to n1=30 and n2=60.</t>
  </si>
  <si>
    <t>Stahlberg, D., Sczesny, S., &amp; Braun, F. (2001). Name your favorite musician: Effects of masculine generics and of their alternatives in German. Journal of Language and Social Psychology, 20(4), 464–469. https://doi.org/10.1177/0261927X01020004004</t>
  </si>
  <si>
    <t>10.1177/0261927X01020004004</t>
  </si>
  <si>
    <t>10.1177--0261927x01020004004.pdf</t>
  </si>
  <si>
    <t>Brohmer, H., Hofer, G., Bauch, S. A., Beitner, J., Berkessel, J., Corcoran, K., … Athenstaedt, U. (2024). Effects of the Generic Masculine and its Alternatives in Germanophone countries - A Multi-lab Replication and Extension of Stahlberg, Sczesny, and Braun, 2001. OSF PREPRINTS.</t>
  </si>
  <si>
    <t>10.31219/osf.io/q56rk</t>
  </si>
  <si>
    <t>10.31219--osf.io--q56rk.pdf</t>
  </si>
  <si>
    <t>gender inclusive language effect</t>
  </si>
  <si>
    <t>gender-inclusive language; gender-fair language; generic masculine; open data; multi- site study</t>
  </si>
  <si>
    <t>In languages with generic masculine, not explicitly naming both sexes makes people think of more masculine people</t>
  </si>
  <si>
    <t>"In the original study (Stahlberg et al. 2001, Experiment 2), a medium effect size was found for the relevant contrast, d = 0.59, with a large 95%CI of [0.14, 1.04], indicating low precision due to a small sample size of N = 90"</t>
  </si>
  <si>
    <t>p.7 (Replication Study)</t>
  </si>
  <si>
    <t>RA2_Main_Analyses.hmtl: Main Preregistered Analyses</t>
  </si>
  <si>
    <t>https://osf.io/fdrn6/</t>
  </si>
  <si>
    <t>RRR_BrohmerHofer_etal_2024_Bauch_a</t>
  </si>
  <si>
    <t>Hilmar Brohmer</t>
  </si>
  <si>
    <t xml:space="preserve">1. The paradigm was modified with new categories in the replication study, however the methodology was still very close to the original one. 
2. Pre-study 1 was pre-registrated for this row. </t>
  </si>
  <si>
    <t>Masculine Generics</t>
  </si>
  <si>
    <t>Gender-inclusive language, gender-fair language, generic masculine, open data, multi-site study</t>
  </si>
  <si>
    <t>Masculine generics triggered the fewest female responses, whereas feminine-masculine word pairs and especially capital I forms made participants respond with more female names</t>
  </si>
  <si>
    <t>"The ANOVA revealed a main effect for type of generic, F(2, 84) = 9.97, p &lt; .001"</t>
  </si>
  <si>
    <t>F(2, 84) = 9.97</t>
  </si>
  <si>
    <t>No</t>
  </si>
  <si>
    <t>https://osf.io/meqrz</t>
  </si>
  <si>
    <t>RRR_BrohmerHofer_etal_2024_Bauch_a_combineddata</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</si>
  <si>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</si>
  <si>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Masculine generics triggered the fewest female responses, whereas feminine-masculine word pairs and especially capital I forms made participants respond with more female names (combined data  for pre-study 1 and pre-study 2 in replication)</t>
  </si>
  <si>
    <t>p. 7 (supplementary)</t>
  </si>
  <si>
    <t>https://osf.io/cm67f</t>
  </si>
  <si>
    <t>RRR_BrohmerHofer_etal_2024_Bauch_a_extension</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</si>
  <si>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</si>
  <si>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Masculine generics triggered the fewest female responses, whereas feminine-masculine word pairs and especially capital I forms made participants respond with more female names (pilot extention)</t>
  </si>
  <si>
    <t>p, 6 (supplementary)</t>
  </si>
  <si>
    <t>RRR_BrohmerHofer_etal_2024_Bauch_a_pilot</t>
  </si>
  <si>
    <t>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https://osf.io/ed5mv</t>
  </si>
  <si>
    <t>Masculine generics triggered the fewest female responses, whereas feminine-masculine word pairs and especially capital I forms made participants respond with more female names (pilot replication)</t>
  </si>
  <si>
    <t>p. 5 (supplementary)</t>
  </si>
  <si>
    <t>RRR_BrohmerHofer_etal_2024_Bauch_b</t>
  </si>
  <si>
    <t xml:space="preserve">1. The paradigm was modified with new categories in the replication study, however the methodology was still very close to the original one. 
2. Pre-study 2 was pre-registrated for this row. </t>
  </si>
  <si>
    <t>Participants prompted with the generic masculine mentioned fewer women than any other group</t>
  </si>
  <si>
    <t>"The contrast between masculine generics on one hand and the two alternative generics on the other was statistically significant (p &lt; .01)"</t>
  </si>
  <si>
    <t>IRR</t>
  </si>
  <si>
    <t>https://osf.io/fh2mg</t>
  </si>
  <si>
    <t>RRR_BrohmerHofer_etal_2024_Bauch_b_combineddata</t>
  </si>
  <si>
    <r>
      <rPr>
        <rFont val="Calibri"/>
        <color rgb="FF1155CC"/>
        <sz val="11.0"/>
        <u/>
      </rPr>
      <t xml:space="preserve">1. The paradigm was modified with new categories in the replication study, however the methodology was still very close to the original one. 
2. Pre-study 2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</si>
  <si>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Participants prompted with the generic masculine mentioned fewer women than any other group (pilot without II-confusion)</t>
  </si>
  <si>
    <t>p. 13 (supplementary)</t>
  </si>
  <si>
    <t>RRR_BrohmerHofer_etal_2024_Bauch_b_extension</t>
  </si>
  <si>
    <t>1. The paradigm was modified with new categories in the replication study, however the methodology was still very close to the original one. 
2. Pre-study 2 was pre-registrated for this row. 
3. Since the pilot was conducted online, it is a conceptual replication
4. The second OSF pre-registration linkL https://osf.io/q7mpj
5. The replication data was taken from: https://osf.io/ed5mv</t>
  </si>
  <si>
    <t>Participants prompted with the generic masculine mentioned fewer women than any other group (extension pilot)</t>
  </si>
  <si>
    <t>RRR_BrohmerHofer_etal_2024_Bauch_b_pilot</t>
  </si>
  <si>
    <t>Participants prompted with the generic masculine mentioned fewer women than any other group (replication pilot)</t>
  </si>
  <si>
    <t>RRR_BrohmerHofer_etal_2024_Bauch_c</t>
  </si>
  <si>
    <t>1. The paradigm was modified with new categories in the replication study, however the methodology was still very close to the original one. 
2. Pre-study 2 was pre-registrated for this row. 
3. II = internal-I is equal to capital-I in the original study</t>
  </si>
  <si>
    <t>Capital I forms lead to a larger number of women named comparing to masculine generics</t>
  </si>
  <si>
    <t>"Whereas capital I forms made participants respond with significantly higher numbers of women than masculine generics (Scheffé’s post hoc test; p &lt; .01)"</t>
  </si>
  <si>
    <t>Z-ratio = -23.031</t>
  </si>
  <si>
    <t>RRR_BrohmerHofer_etal_2024_Bauch_c_extension</t>
  </si>
  <si>
    <r>
      <rPr>
        <rFont val="Calibri"/>
        <color rgb="FF1155CC"/>
        <sz val="11.0"/>
        <u/>
      </rPr>
      <t xml:space="preserve">1. The paradigm was modified with new categories in the replication study, however the methodology was still very close to the original one. 
2. Pre-study 2 was pre-registrated for this row. 
3. II = internal-I is equal to capital-I in the original study
4. Since the pilot was conducted online, it is a conceptual replication
5. The second OSF pre-registration linkL https://osf.io/q7mpj
6. The replication data was taken from: </t>
    </r>
    <r>
      <rPr>
        <rFont val="Calibri"/>
        <color rgb="FF1155CC"/>
        <sz val="11.0"/>
        <u/>
      </rPr>
      <t>https://osf.io/ed5mv</t>
    </r>
  </si>
  <si>
    <t>Capital I forms lead to a larger number of women named comparing to masculine generics (extension pilot)</t>
  </si>
  <si>
    <t>RRR_BrohmerHofer_etal_2024_Bauch_c_pilot</t>
  </si>
  <si>
    <t>1. The paradigm was modified with new categories in the replication study, however the methodology was still very close to the original one. 
2. Pre-study 2 was pre-registrated for this row. 
3. II = internal-I is equal to capital-I in the original study
4. Since the pilot was conducted online, it is a conceptual replication
5. The second OSF pre-registration linkL https://osf.io/q7mpj
6. The replication data was taken from: https://osf.io/ed5mv</t>
  </si>
  <si>
    <t>Capital I forms lead to a larger number of women named comparing to masculine generics (replication pilot)</t>
  </si>
  <si>
    <t>RRR_BrohmerHofer_etal_2024_Bauch_d</t>
  </si>
  <si>
    <t>1. The paradigm was modified with new categories in the replication study, however the methodology was still very close to the original one. 
2. Pre-study 2 was pre-registrated for this row. 
3. FM = femine-masculine is equal to "word pair" in the original study</t>
  </si>
  <si>
    <t>Famine-masculine word pairs lead to a larger number of women named comparing to masculine generics</t>
  </si>
  <si>
    <t>"[...] difference between word pairs and masculine generics did not reach significance (Scheffé’s post hoc test; p &gt; .10)"</t>
  </si>
  <si>
    <t>Z-ratio = -11.04</t>
  </si>
  <si>
    <t>RRR_BrohmerHofer_etal_2024_Bauch_d_extension</t>
  </si>
  <si>
    <r>
      <rPr>
        <rFont val="Calibri"/>
        <color rgb="FF1155CC"/>
        <sz val="11.0"/>
        <u/>
      </rPr>
      <t xml:space="preserve">1. The paradigm was modified with new categories in the replication study, however the methodology was still very close to the original one. 
2. Pre-study 2 was pre-registrated for this row. 
3. FM = femine-masculine is equal to "word pair" in the original study
4. Since the pilot was conducted online, it is a conceptual replication
5. The second OSF pre-registration linkL https://osf.io/q7mpj
6. The replication data was taken from: </t>
    </r>
    <r>
      <rPr>
        <rFont val="Calibri"/>
        <color rgb="FF1155CC"/>
        <sz val="11.0"/>
        <u/>
      </rPr>
      <t>https://osf.io/ed5mv</t>
    </r>
  </si>
  <si>
    <t>Famine-masculine word pairs lead to a larger number of women named comparing to masculine generics (extension pilot)</t>
  </si>
  <si>
    <t>RRR_BrohmerHofer_etal_2024_Bauch_d_pilot</t>
  </si>
  <si>
    <r>
      <rPr>
        <rFont val="Calibri"/>
        <color rgb="FF1155CC"/>
        <sz val="11.0"/>
        <u/>
      </rPr>
      <t xml:space="preserve">1. The paradigm was modified with new categories in the replication study, however the methodology was still very close to the original one. 
2. Pre-study 2 was pre-registrated for this row. 
3. FM = femine-masculine is equal to "word pair" in the original study
4. Since the pilot was conducted online, it is a conceptual replication
5. The second OSF pre-registration linkL https://osf.io/q7mpj
6. The replication data was taken from: </t>
    </r>
    <r>
      <rPr>
        <rFont val="Calibri"/>
        <color rgb="FF1155CC"/>
        <sz val="11.0"/>
        <u/>
      </rPr>
      <t>https://osf.io/ed5mv</t>
    </r>
  </si>
  <si>
    <t>Famine-masculine word pairs lead to a larger number of women named comparing to masculine generics (replication pilot)</t>
  </si>
  <si>
    <t>RRR_BrohmerHofer_etal_2024_Bauch_e</t>
  </si>
  <si>
    <t>Female respondents mentioned more women than male respondents</t>
  </si>
  <si>
    <t>"Another main effect was found for the sex of participant variable, F(1, 84) = 19.9, p &lt; .001"</t>
  </si>
  <si>
    <t>F(1, 84) = 19.9</t>
  </si>
  <si>
    <t>RRR_BrohmerHofer_etal_2024_Bauch_e_combineddata</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</si>
  <si>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</si>
  <si>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Female respondents mentioned more women than male respondents (combined data  for pre-study 1 and pre-study 2 in replication)</t>
  </si>
  <si>
    <t>RRR_BrohmerHofer_etal_2024_Bauch_e_extension</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</si>
  <si>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</si>
  <si>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Female respondents mentioned more women than male respondents (pilot extention)</t>
  </si>
  <si>
    <t>RRR_BrohmerHofer_etal_2024_Bauch_e_pilot</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</si>
  <si>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</si>
  <si>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Female respondents mentioned more women than male respondents (pilot replication)</t>
  </si>
  <si>
    <t>RRR_BrohmerHofer_etal_2024_Bauch_f</t>
  </si>
  <si>
    <t>The number of females named was not dependent on respondent sex interaction with generics (language form)</t>
  </si>
  <si>
    <t>"There was no interaction between sex of participant and type of generic, F(2, 84) = 0.61, p &gt; .5"</t>
  </si>
  <si>
    <t>F(2, 84) = 0.61</t>
  </si>
  <si>
    <t>RRR_BrohmerHofer_etal_2024_Bauch_f_combineddata</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</si>
  <si>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</si>
  <si>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The number of females named was not dependent on respondent sex interaction with generics (language form) (combined data  for pre-study 1 and pre-study 2 in replication)</t>
  </si>
  <si>
    <t>RRR_BrohmerHofer_etal_2024_Bauch_f_extension</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</si>
  <si>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</si>
  <si>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The number of females named was not dependent on respondent sex interaction with generics (language form) (pilot extention)</t>
  </si>
  <si>
    <t>RRR_BrohmerHofer_etal_2024_Bauch_f_pilot</t>
  </si>
  <si>
    <r>
      <rPr>
        <rFont val="Calibri"/>
        <color rgb="FF1155CC"/>
        <sz val="11.0"/>
        <u/>
      </rPr>
      <t xml:space="preserve">1. The paradigm was modified with new categories in the replication study, however the methodology was still very close to the original one. 
2. Pre-study 1 was pre-registrated for this row. 
3. Since the pilot was conducted online, it is a conceptual replication
4. The second OSF pre-registration linkL https://osf.io/q7mpj
5. The replication data was taken from: </t>
    </r>
    <r>
      <rPr>
        <rFont val="Calibri"/>
        <color rgb="FF1155CC"/>
        <sz val="11.0"/>
        <u/>
      </rPr>
      <t>https://osf.io/ed5mv</t>
    </r>
  </si>
  <si>
    <t>The number of females named was not dependent on respondent sex interaction with generics (language form) (pilot replication)</t>
  </si>
  <si>
    <t>RRR_BrohmerHofer_etal_2024_Beitner_1</t>
  </si>
  <si>
    <t>RRR_BrohmerHofer_etal_2024_Beitner</t>
  </si>
  <si>
    <t>RRR_BrohmerHofer_etal_2024_BrohmerHofer_1</t>
  </si>
  <si>
    <t>RRR_BrohmerHofer_etal_2024_BrohmerHofer</t>
  </si>
  <si>
    <t>RRR_BrohmerHofer_etal_2024_Giuliani_1</t>
  </si>
  <si>
    <t>RRR_BrohmerHofer_etal_2024_Giuliani</t>
  </si>
  <si>
    <t>RRR_BrohmerHofer_etal_2024_Gruber_1</t>
  </si>
  <si>
    <t>RRR_BrohmerHofer_etal_2024_Gruber</t>
  </si>
  <si>
    <t>RRR_BrohmerHofer_etal_2024_Jauk_1</t>
  </si>
  <si>
    <t>RRR_BrohmerHofer_etal_2024_Jauk</t>
  </si>
  <si>
    <t>RRR_BrohmerHofer_etal_2024_Malkoc_1</t>
  </si>
  <si>
    <t>RRR_BrohmerHofer_etal_2024_Malkoc</t>
  </si>
  <si>
    <t>RRR_BrohmerHofer_etal_2024_Muess_1</t>
  </si>
  <si>
    <t>RRR_BrohmerHofer_etal_2024_Muess</t>
  </si>
  <si>
    <t>RRR_BrohmerHofer_etal_2024_SalwenderBerkessel_1</t>
  </si>
  <si>
    <t>RRR_BrohmerHofer_etal_2024_SalwenderBerkessel</t>
  </si>
  <si>
    <t>RRR_BrohmerHofer_etal_2024_WehrtOtto_1</t>
  </si>
  <si>
    <t>RRR_BrohmerHofer_etal_2024_WehrtOtto</t>
  </si>
  <si>
    <t>RRR_BrohmerHofer_etal_2024_ZPIDat_1</t>
  </si>
  <si>
    <t>RRR_BrohmerHofer_etal_2024_ZPIDat</t>
  </si>
  <si>
    <t>RRR_BrohmerHofer_etal_2024_ZPIDat_a</t>
  </si>
  <si>
    <t>main effect for type of generic</t>
  </si>
  <si>
    <t>"a main effect for type of generic, F(2, 84) = 9.97, p &lt; .001"</t>
  </si>
  <si>
    <t>p.7-9</t>
  </si>
  <si>
    <t>RRR_BrohmerHofer_etal_2024_ZPIDat_b</t>
  </si>
  <si>
    <t>main effect for the sex of participant variable</t>
  </si>
  <si>
    <t>" the sex of participant variable, F(1, 84) = 19.9, p &lt; .001"</t>
  </si>
  <si>
    <t>RRR_BrohmerHofer_etal_2024_ZPIDat_c</t>
  </si>
  <si>
    <t>interaction between sex of partici- pant and type of generic</t>
  </si>
  <si>
    <t>"no interaction between sex of partici- pant and type of generic, F(2, 84) = 0.61, p &gt; .5"</t>
  </si>
  <si>
    <t>RRR_BrohmerHofer_etal_2024_ZPIDat_d</t>
  </si>
  <si>
    <t>mentioning more women by both genders</t>
  </si>
  <si>
    <t>"Female respondents mentioned more women than male respondents (M = 4.2 vs. M = 2.2)"</t>
  </si>
  <si>
    <t>RRR_BrohmerHofer_etal_2024_ZPIDde_1</t>
  </si>
  <si>
    <t>RRR_BrohmerHofer_etal_2024_ZPIDde</t>
  </si>
  <si>
    <t>RRR_cognitivedissonance_1</t>
  </si>
  <si>
    <t>RRR_cognitivedissonance</t>
  </si>
  <si>
    <t>Lukas Röseler</t>
  </si>
  <si>
    <t>not very clear which exact effect you want to report but I reported the  difference in postessay attitude between the HC-CE condition and the LC-CE condition. Note of the authors: "constructive replication—a replication study that is close
to a seminal study but also includes new elements to address important limitations" so I coded it as conceptual.</t>
  </si>
  <si>
    <t>Croyle R. T., Cooper J. (1983). Dissonance arousal: Physiological evidence. Journal of Personality and Social Psychology, 45(4), 782–791. Study 1</t>
  </si>
  <si>
    <t>10.1037/0022-3514.45.4.782</t>
  </si>
  <si>
    <t>10.1037--0022-3514.45.4.782.pdf</t>
  </si>
  <si>
    <t>Vaidis DC, Sleegers WWA, van Leeuwen F, et al. A Multilab Replication of the Induced-Compliance Paradigm of Cognitive Dissonance. Advances in Methods and Practices in Psychological Science. 2024;7(1).</t>
  </si>
  <si>
    <t>10.1177/25152459231213375</t>
  </si>
  <si>
    <t>10.1177--25152459231213375.pdf</t>
  </si>
  <si>
    <t>induced-compliance</t>
  </si>
  <si>
    <t>RRR, cognitive dissonance, forced compliance paradigm, induced-compliance</t>
  </si>
  <si>
    <t>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</si>
  <si>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F(1,27) = 50.17</t>
  </si>
  <si>
    <t>https://osf.io/52wpj</t>
  </si>
  <si>
    <t>soscisubmission_reddenhoch2009_1</t>
  </si>
  <si>
    <t>soscisubmission_reddenhoch2009</t>
  </si>
  <si>
    <t xml:space="preserve">Original study reported a small but statistically significant interaction between expectation and need for cognition (r² = .04, p = .045). The replication, with a larger sample and preregistered design, found no significant effect (η² = 0, p = .85). </t>
  </si>
  <si>
    <t>Geers, A. L., &amp; Lassiter, G. D. (2003). Need for cognition and expectations as determinants of affective experience. Basic and Applied Social Psychology, 25(4), 313-325. Study 1</t>
  </si>
  <si>
    <t>10.1207/s15324834basp2504_5</t>
  </si>
  <si>
    <t>10.1207--s15324834basp2504_5.pdf</t>
  </si>
  <si>
    <t>Röseler, L., Doetsch, C. A., Förster, N., Bruzsa, A., Deublein, M., Rieger, E., Schmidt, C., Seitz, A., &amp; Wild, A. (2024). No Evidence for the Affective Expectation Model: Replication of Geers and Lassiter  (2003). https://doi.org/10.31234/osf.io/akfzh</t>
  </si>
  <si>
    <r>
      <rPr>
        <rFont val="Arial"/>
        <color rgb="FF1155CC"/>
        <u/>
      </rPr>
      <t>10.17605/OSF.IO/RGE23</t>
    </r>
  </si>
  <si>
    <t>10.17605--OSF.IO--RGE23.pdf</t>
  </si>
  <si>
    <t>affective expectations</t>
  </si>
  <si>
    <t>affective expectations, assimilation and contrast, need for cognition</t>
  </si>
  <si>
    <t>Need for Cognition moderates the effect of affective expectations on experience (interaction effect)</t>
  </si>
  <si>
    <t>A significant interaction between expectation and need for cognition, F(1,156) = 4.10, p = .045, r² = .04.</t>
  </si>
  <si>
    <t>r²</t>
  </si>
  <si>
    <t>https://osf.io/akfzh</t>
  </si>
  <si>
    <t>soscisubmission_reddenhoch2009_2</t>
  </si>
  <si>
    <r>
      <rPr>
        <rFont val="Arial"/>
        <color rgb="FF1155CC"/>
        <u/>
      </rPr>
      <t>10.17605/OSF.IO/RGE23</t>
    </r>
  </si>
  <si>
    <t>Need for Cognition moderates the effect of affective expectations on experience (positive expectations and NFC)</t>
  </si>
  <si>
    <t>Positive expectations led to more positive affective experiences for high NFC individuals, r = 0.258, p = .01.</t>
  </si>
  <si>
    <t xml:space="preserve">p. 7 </t>
  </si>
  <si>
    <t>https://osf.io/6ua4s</t>
  </si>
  <si>
    <t>soscisubmission_reddenhoch2009_3</t>
  </si>
  <si>
    <r>
      <rPr>
        <rFont val="Arial"/>
        <color rgb="FF1155CC"/>
        <u/>
      </rPr>
      <t>10.17605/OSF.IO/RGE23</t>
    </r>
  </si>
  <si>
    <t>Need for Cognition moderates the effect of affective expectations on experience (negative expectations and NFC)</t>
  </si>
  <si>
    <t>In the negative expectations condition, no significant association with NFC was found (r = .059, p = .67).</t>
  </si>
  <si>
    <t>soscisubmission_reddenhoch2009_4</t>
  </si>
  <si>
    <t>NFC × no-expectation slope marginally significant in original (p = .051), null in replication. No nested design. Preregistered, close replication.</t>
  </si>
  <si>
    <r>
      <rPr>
        <rFont val="Arial"/>
        <color rgb="FF1155CC"/>
        <u/>
      </rPr>
      <t>10.17605/OSF.IO/RGE23</t>
    </r>
  </si>
  <si>
    <t>Need for Cognition moderates the effect of affective expectations on experience (no expectations and NFC)</t>
  </si>
  <si>
    <t>Need for Cognition was not significantly associated with affective experience in the no-expectation condition.</t>
  </si>
  <si>
    <t>https://osf.io/rge23</t>
  </si>
  <si>
    <t>Röseler, Lukas; Manriquez Robles, Diego</t>
  </si>
  <si>
    <t>28.03.2023</t>
  </si>
  <si>
    <r>
      <rPr>
        <rFont val="Arial"/>
        <color rgb="FF1155CC"/>
        <u/>
      </rPr>
      <t>10.17605/OSF.IO/RGE23</t>
    </r>
  </si>
  <si>
    <t>Main effect of expectation on affect</t>
  </si>
  <si>
    <t>expectations, affect, mood, information processing</t>
  </si>
  <si>
    <t>Participants with positive expectations reported more positive affect than those with negative expectations.</t>
  </si>
  <si>
    <t>Participants in the positive expectation condition (M = 3.70, SD = 1.17) reported more positive affect than did participants in the negative expectation condition (M = 2.93, SD = 1.14), F(1, 58) = 6.73, p = .012.</t>
  </si>
  <si>
    <t>p. 318</t>
  </si>
  <si>
    <r>
      <rPr>
        <rFont val="Arial"/>
        <color rgb="FF1155CC"/>
        <u/>
      </rPr>
      <t>10.17605/OSF.IO/RGE23</t>
    </r>
  </si>
  <si>
    <t>Main effect of need for cognition on affect</t>
  </si>
  <si>
    <t>need for cognition, affect, personality traits</t>
  </si>
  <si>
    <t>There was no significant main effect of NFC on affect.</t>
  </si>
  <si>
    <t>The main effect for NFC was not significant, F(1, 58) = 1.29, p = .26.</t>
  </si>
  <si>
    <r>
      <rPr>
        <rFont val="Arial"/>
        <color rgb="FF1155CC"/>
        <u/>
      </rPr>
      <t>10.17605/OSF.IO/RGE23</t>
    </r>
  </si>
  <si>
    <t>Interaction between NFC and expectation on affect</t>
  </si>
  <si>
    <t>interaction, expectations, need for cognition, affect, moderation</t>
  </si>
  <si>
    <t>The influence of expectations on affect depended on the participant’s level of need for cognition.</t>
  </si>
  <si>
    <t>The predicted two-way interaction between Need for Cognition and Expectation was also significant, F(1, 58) = 4.74, p = .033.</t>
  </si>
  <si>
    <r>
      <rPr>
        <rFont val="Arial"/>
        <color rgb="FF1155CC"/>
        <u/>
      </rPr>
      <t>10.17605/OSF.IO/RGE23</t>
    </r>
  </si>
  <si>
    <t>Simple effect of expectation among high NFC participants</t>
  </si>
  <si>
    <t>high need for cognition, expectations, affect</t>
  </si>
  <si>
    <t>Among high NFC participants, positive expectations led to more positive affect.</t>
  </si>
  <si>
    <t>Among participants high in NFC, those in the positive expectation condition (M = 4.00, SD = 1.11) reported significantly greater positive affect than did those in the negative expectation condition (M = 2.69, SD = 1.17), F(1, 58) = 10.97, p = .002.</t>
  </si>
  <si>
    <t>soscisubmission44_1</t>
  </si>
  <si>
    <t>soscisubmission44</t>
  </si>
  <si>
    <t>Kotchoubey, B., &amp; Pavlov, Y. G. (2017). Name conditioning in event-related brain potentials. Neurobiology of Learning and Memory, 145, 129–134. https://doi.org/10.1016/j.nlm.2017.09.009, Experiment 4</t>
  </si>
  <si>
    <t>10.1016/j.nlm.2017.09.009</t>
  </si>
  <si>
    <t>10.1016--j.nlm.2017.09.009.pdf</t>
  </si>
  <si>
    <t>Pavlov, Y. G. (2023, June 20). Replication of Kotchoubey &amp; Pavlov, 2017. (Experiment 4)</t>
  </si>
  <si>
    <t>osf.io/y2emk</t>
  </si>
  <si>
    <t>https://osf.io/y2emk/</t>
  </si>
  <si>
    <t>osf.io--y2emk.pdf</t>
  </si>
  <si>
    <t>Own Name Attention Effect</t>
  </si>
  <si>
    <t>own name, event-related potentials, EEG, P300,</t>
  </si>
  <si>
    <t>P3 event-related potential component amplitude in response to own name of the participant is larger than in response to a different name, indicating orienting reaction and attention to own name</t>
  </si>
  <si>
    <t>SON elicited a larger P3b than DN (F(1,24) = 5.08, p = .034, η² = 0.18)</t>
  </si>
  <si>
    <t>et</t>
  </si>
  <si>
    <t>Yuri G., Pavlov; ; Manriquez Robles, Diego</t>
  </si>
  <si>
    <t>20.06.2023</t>
  </si>
  <si>
    <t>Enhanced ERP response to CS+ after extended name–tone pairing</t>
  </si>
  <si>
    <t>ERP, classical conditioning, P3b, LTW, name conditioning</t>
  </si>
  <si>
    <t>After extended acquisition, CS+ elicited more positive P3b and LTW amplitudes than CS−</t>
  </si>
  <si>
    <t>CS+ elicited more positive P3b (F(1,24) = 4.40, p = 0.047, η² = 0.16) and more positive LTW amplitude (F(1,24) = 7.83, p = 0.01, η² = 0.25) than CS−.</t>
  </si>
  <si>
    <t>p. 132</t>
  </si>
  <si>
    <t>https://osf.io/y2emk</t>
  </si>
  <si>
    <t>soscisubmission58_1</t>
  </si>
  <si>
    <t>soscisubmission58</t>
  </si>
  <si>
    <t>1. The values for p are not present in the original study so they are taken from the replication study. 2. The osf link is provided in the paper but it is clearly stated that the study wasn't pre-registered. 3. The closeness can also be 3 as replication study didn't consider the sample from different nations.</t>
  </si>
  <si>
    <t>Nguyen, T., Togawa, T., Scholer, A. A., Miele, D. B., &amp; Fujita, K. (2021). A cross-cultural investigation of metamotivational beliefs about regulatory focus task-motivation fit. Personality and Social Psychology Bulletin, 48(5), 807-820. https://doi.org/10.1177/01461672211025423, Study 2, main effect for recall activity</t>
  </si>
  <si>
    <t>10.1177/01461672211025423</t>
  </si>
  <si>
    <t>10.1177--01461672211025423.pdf</t>
  </si>
  <si>
    <t>Vaughn, L., Chun, D., &amp; Ruddy, G. (2023, December 19). Beliefs about the Usefulness of Promotion and Prevention Focus: Replications of the American-Independent Conditions of Nguyen et al.’s (2021) Studies 2 and 3. Retrieved from osf.io/preprints/psyarxiv/fmdqe</t>
  </si>
  <si>
    <t>10.31234/osf.io/fmdqe</t>
  </si>
  <si>
    <t>10.31234--osf.io--fmdqe.pdf</t>
  </si>
  <si>
    <t>Main effect for recall activity</t>
  </si>
  <si>
    <t>promotion focus, prevention focus, motivation, metacognition, metamotivation</t>
  </si>
  <si>
    <t>Participants would report that recalling examples of prevention focus is more useful for performing well at eager and vigilant tasks than recalling examples of promotion focus. Experiment 2 main effect for recall activity</t>
  </si>
  <si>
    <t>"Table 2"</t>
  </si>
  <si>
    <t>p.7-8</t>
  </si>
  <si>
    <t>soscisubmission58_a</t>
  </si>
  <si>
    <t>Nikita O</t>
  </si>
  <si>
    <t>1. The effect can be also "metamotivation" as authors study it and promotion bias occured during the study of metamotivation
2. For tags I combined keywords of both original and replication study
3. I am not sure about the sample, it is the total amount of American respondents, but according to the replication, there should be less -&gt; I guess they were split into dependent and independent context groups, but no clarifications are in the original study
4. The effect size and claim were taken from the SUPPLEMENTARY MATERIALS</t>
  </si>
  <si>
    <t>Promotion bias</t>
  </si>
  <si>
    <t>Metamotivation, culture, regulatory focus, task-motivation fit, promotion focus, prevention focus, motivation, metacognition, metamotivation</t>
  </si>
  <si>
    <t>Recalling promotion experiences helps prepare for eager tasks, whereas recalling prevention experiences helps prepare for vigilant tasks</t>
  </si>
  <si>
    <t>"The interaction between task and recall activity was stronger in an independent context compared to in an interdependent context among both Japanese and American participants: [...]  independent US: γ = 1.30, SE = .27, t(21.50) = 4.79, p &lt; .001"</t>
  </si>
  <si>
    <t>p. 16 (supplementary)</t>
  </si>
  <si>
    <t>γ = 1.30</t>
  </si>
  <si>
    <t>soscisubmission58_b</t>
  </si>
  <si>
    <t>1. The effect can be also "metamotivation" as authors study it and promotion bias occured during the study of metamotivation
2. For tags I combined keywords of both original and replication study
3. I am not sure about the sample, it is the total amount of American respondents, but according to the replication, there should be less -&gt; I guess they were split into dependent and independent context groups, but no clarifications are in the original study
4. Only the results for AMERICAN sample were taken</t>
  </si>
  <si>
    <t>Participants would view gain-framed incentives as more useful for eager tasks and loss-framed incentives as more useful for vigilant tasks (interaction)</t>
  </si>
  <si>
    <t>"Among Americans, results revealed a credible interaction between task and incentive structure in the independent context, βest = 0.29, SE = .13, 95% HDI = [0.04, 0.54]"</t>
  </si>
  <si>
    <t>soscisubmission58_c</t>
  </si>
  <si>
    <t>Participants believed promotion recall activities would be more useful than prevention recall activitiesparticipants believed gain-framed incentives were more useful than loss-framed incentives for both eager and vigilant tasks (Incentive)</t>
  </si>
  <si>
    <t>"Results revealed a credible effect of incentive structure, βest = 0 7. 2, SE = .05, 95% HDI = [0.63, 0.81], such that participants gave higher usefulness ratings for the Yours to Gain versus Yours to Lose incentive structure. This promotion bias was present among both American participants, βest = 0.77, SE = .05, 95% HDI = [0.67, 0.88]"</t>
  </si>
  <si>
    <t>soscisubmission58_c_culturecombined</t>
  </si>
  <si>
    <t>1. The effect can be also "metamotivation" as authors study it and promotion bias occured during the study of metamotivation
2. For tags I combined keywords of both original and replication study
3. I am not sure about the sample, it is the total amount of American respondents, but according to the replication, there should be less -&gt; I guess they were split into dependent and independent context groups, but no clarifications are in the original study
4. The results of the original study for COBINED SAMPLE (JAPANESE + AMERICANS)
5. P-value was taken from supplementary, p. 13
6. WAITING FOR THE ANSWER FROM LUKAS</t>
  </si>
  <si>
    <t>Participants judged recalling prevention to be more useful overall than recalling promotion both Japanese and American sample</t>
  </si>
  <si>
    <t>"We thus focused on this model (see Table 2)"</t>
  </si>
  <si>
    <t>γ</t>
  </si>
  <si>
    <t>soscisubmission58_c2_culturecombined</t>
  </si>
  <si>
    <t>Participants judged the recall activities to be more useful for eager tasks than for vigilant tasks both Japanese and American sample</t>
  </si>
  <si>
    <t>soscisubmission58_c3_culturecombined</t>
  </si>
  <si>
    <t>1. The effect can be also "metamotivation" as authors study it and promotion bias occured during the study of metamotivation
2. For tags I combined keywords of both original and replication study
3. I am not sure about the sample, it is the total amount of American respondents, but according to the replication, there should be less -&gt; I guess they were split into dependent and independent context groups, but no clarifications are in the original study
4. The results of the original study for COBINED SAMPLE (JAPANESE + AMERICANS)
5. P-value was taken from supplementary, p. 24
6. WAITING FOR THE ANSWER FROM LUKAS</t>
  </si>
  <si>
    <t>Participants believed gain-framed incentives were more useful than loss-framed incentives for both Japanese and American sample</t>
  </si>
  <si>
    <t>"We thus focused on this model (see Table 3)"</t>
  </si>
  <si>
    <t>soscisubmission60_1</t>
  </si>
  <si>
    <t>soscisubmission60</t>
  </si>
  <si>
    <t>Nguyen, T., Togawa, T., Scholer, A. A., Miele, D. B., &amp; Fujita, K. (2021). A cross-cultural investigation of metamotivational beliefs about regulatory focus task-motivation fit. Personality and Social Psychology Bulletin, 48(5), 807-820. https://doi.org/10.1177/01461672211025423, Study 2, main effect for task (eager vs. vigilant)</t>
  </si>
  <si>
    <t>Main effect for task (eager vs. vigilant)</t>
  </si>
  <si>
    <t>Participants would report that the promotion and prevention recall activities are slightly but nonsignificantly more useful for the eager tasks than for the vigilant tasks. Experiment 2 main effect for task (eager vs. vigilant)</t>
  </si>
  <si>
    <t>soscisubmission62_1</t>
  </si>
  <si>
    <t>soscisubmission62</t>
  </si>
  <si>
    <t>Nguyen, T., Togawa, T., Scholer, A. A., Miele, D. B., &amp; Fujita, K. (2021). A cross-cultural investigation of metamotivational beliefs about regulatory focus task-motivation fit. Personality and Social Psychology Bulletin, 48(5), 807-820. https://doi.org/10.1177/01461672211025423, Study 2, Simple effect of task in the promotion condition of the Task x Recall Activity interaction</t>
  </si>
  <si>
    <t>Simple effect of task in the promotion condition of the Task x Recall Activity interaction</t>
  </si>
  <si>
    <t>Participants would report that promotion recall is significantly more useful for eager tasks than for vigilant tasks. Experiment 2 simple effect of task in the promotion condition of the Task x Recall Activity interaction</t>
  </si>
  <si>
    <t>"Among promotion recall activities, there was a credible effect of task, βest = 0.60, SE = .20, 95% HDI = [0.22, 1.00], such that participants recognized that promotion recall activities would be more useful for eager versus vigilant tasks."</t>
  </si>
  <si>
    <t>soscisubmission64_1</t>
  </si>
  <si>
    <t>soscisubmission64</t>
  </si>
  <si>
    <t>1. The values for p are not present in the original study so they are taken from the replication study. The values of d and etasq are also taken from the replication study. 2. The osf link is provided in the paper but it is clearly stated that the study wasn't pre-registered. 3. The closeness can also be 3 as replication study didn't consider the sample from different nations.</t>
  </si>
  <si>
    <t>Nguyen, T., Togawa, T., Scholer, A. A., Miele, D. B., &amp; Fujita, K. (2021). A cross-cultural investigation of metamotivational beliefs about regulatory focus task-motivation fit. Personality and Social Psychology Bulletin, 48(5), 807-820. https://doi.org/10.1177/01461672211025423, Study 3, main effect for incentive structure (gain-framed vs. loss-framed)</t>
  </si>
  <si>
    <t>Main effect for incentive structure (gain-framed vs. loss-framed)</t>
  </si>
  <si>
    <t>Participants would report that the gain-framed incentive structure is significantly more useful for performing well at eager and vigilant tasks than the loss-framed incentive structure. Experiment 3 main effect for incentive structure (gain-framed vs. loss-framed)</t>
  </si>
  <si>
    <t>"Table3"</t>
  </si>
  <si>
    <t>p.12-13</t>
  </si>
  <si>
    <t>soscisubmission65_1</t>
  </si>
  <si>
    <t>soscisubmission65</t>
  </si>
  <si>
    <t>Nguyen, T., Togawa, T., Scholer, A. A., Miele, D. B., &amp; Fujita, K. (2021). A cross-cultural investigation of metamotivational beliefs about regulatory focus task-motivation fit. Personality and Social Psychology Bulletin, 48(5), 807-820. https://doi.org/10.1177/01461672211025423, Study 3, main effect for task (eager vs. vigilant)</t>
  </si>
  <si>
    <t>Participants would report that the gain-framed and loss-framed incentive structures are significantly more useful for the vigilant tasks than for the eager tasks. Experiment 3 main effect for task (eager vs. vigilant)</t>
  </si>
  <si>
    <t>soscisubmission66_1</t>
  </si>
  <si>
    <t>soscisubmission66</t>
  </si>
  <si>
    <t>Nguyen, T., Togawa, T., Scholer, A. A., Miele, D. B., &amp; Fujita, K. (2021). A cross-cultural investigation of metamotivational beliefs about regulatory focus task-motivation fit. Personality and Social Psychology Bulletin, 48(5), 807-820. https://doi.org/10.1177/01461672211025423, Study 3, Task x Incentive Structure interaction effect</t>
  </si>
  <si>
    <t>Task x Incentive Structure interaction effect (significance of overall interaction)</t>
  </si>
  <si>
    <t>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</si>
  <si>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soscisubmission67_1</t>
  </si>
  <si>
    <t>soscisubmission67</t>
  </si>
  <si>
    <t>Nguyen, T., Togawa, T., Scholer, A. A., Miele, D. B., &amp; Fujita, K. (2021). A cross-cultural investigation of metamotivational beliefs about regulatory focus task-motivation fit. Personality and Social Psychology Bulletin, 48(5), 807-820. https://doi.org/10.1177/01461672211025423, Study 3, Simple effect of task in the gain condition of the Task x Incentive Structure interaction</t>
  </si>
  <si>
    <t>Simple effect of task in the gain-frame condition of the Task x Incentive Structure interaction</t>
  </si>
  <si>
    <t>Participants would report that gain-framed incentives are significantly more useful for eager tasks than for vigilant tasks. Experiment 3 simple effect of task in the gain-frame condition of the Task x Incentive Structure interaction</t>
  </si>
  <si>
    <t>soscisubmission68_1</t>
  </si>
  <si>
    <t>soscisubmission68</t>
  </si>
  <si>
    <t>Nguyen, T., Togawa, T., Scholer, A. A., Miele, D. B., &amp; Fujita, K. (2021). A cross-cultural investigation of metamotivational beliefs about regulatory focus task-motivation fit. Personality and Social Psychology Bulletin, 48(5), 807-820. https://doi.org/10.1177/01461672211025423, Study 3, Simple effect of task in the loss-frame condition of the Task x Incentive Structure interaction</t>
  </si>
  <si>
    <t>Simple effect of task in the loss-frame condition of the Task x Incentive Structure interaction</t>
  </si>
  <si>
    <t>Participants would report that loss-framed incentives are significantly more useful for vigilant tasks than for eager tasks. Experiment 3 simple effect of task in the loss-frame condition of the Task x Incentive Structure interaction</t>
  </si>
  <si>
    <t>soscisubmission69_1</t>
  </si>
  <si>
    <t>soscisubmission69</t>
  </si>
  <si>
    <t>Nguyen, T., Togawa, T., Scholer, A. A., Miele, D. B., &amp; Fujita, K. (2021). A cross-cultural investigation of metamotivational beliefs about regulatory focus task-motivation fit. Personality and Social Psychology Bulletin, 48(5), 807-820. https://doi.org/10.1177/01461672211025423, Study 2, Task x Recall Activity interaction effect</t>
  </si>
  <si>
    <t>Task x Recall Activity interaction effect (significance of overall interaction)</t>
  </si>
  <si>
    <t>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</si>
  <si>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"As expected, results revealed a credible interaction between task and recall activity, βest = 0.99, SE = .28, 95% HDI = [0.43, 1.52]"</t>
  </si>
  <si>
    <t>soscisubmission70_1</t>
  </si>
  <si>
    <t>soscisubmission70</t>
  </si>
  <si>
    <t>Nguyen, T., Togawa, T., Scholer, A. A., Miele, D. B., &amp; Fujita, K. (2021). A cross-cultural investigation of metamotivational beliefs about regulatory focus task-motivation fit. Personality and Social Psychology Bulletin, 48(5), 807-820. https://doi.org/10.1177/01461672211025423, Study 2, Simple effect of task in the prevention condition of the Task x Recall Activity interaction</t>
  </si>
  <si>
    <t>Simple effect of task in the prevention condition of the Task x Recall Activity interaction</t>
  </si>
  <si>
    <t>Participants would report that prevention recall is significantly more useful for vigilant tasks than for eager tasks. Experiment 2 simple effect of task in the prevention condition of the Task x Recall Activity interaction</t>
  </si>
  <si>
    <t>"Among prevention recall activities, however, there was no credible effect of task, βest = −0.38, SE = .20, 95% HDI = [−0.76, 0.03]"</t>
  </si>
  <si>
    <t>Wansink, B., Painter, J. E., &amp; North, J. (2005). Bottomless bowls: why visual cues of portion size may influence intake. Obesity research, 13(1), 93-100.</t>
  </si>
  <si>
    <r>
      <rPr>
        <rFont val="Arial"/>
        <color rgb="FF1155CC"/>
        <u/>
      </rPr>
      <t>10.1038/oby.2005.12</t>
    </r>
  </si>
  <si>
    <t>Lopez, A., Choi, A. K., Dellawar, N. C., Cullen, B. C., Avila Contreras, S., Rosenfeld, D. L., &amp; Tomiyama, A. J. (2024). Visual cues and food intake: A preregistered replication of Wansink et al.(2005). Journal of Experimental Psychology: General, 153(2), 275.</t>
  </si>
  <si>
    <r>
      <rPr>
        <rFont val="Arial"/>
        <color rgb="FF1155CC"/>
        <u/>
      </rPr>
      <t>10.1037/xge0001503</t>
    </r>
  </si>
  <si>
    <t>Visual cue-induced overeating effect</t>
  </si>
  <si>
    <t>portion size, consumption norms, food intake, consumption volume, external cues</t>
  </si>
  <si>
    <t>Visual portion size cues affect consumption behavior by shaping consumption norms and expectations, leading to unintentional overeating.</t>
  </si>
  <si>
    <t>"ANOVAs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</si>
  <si>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(14.7 - 8.5)/SQRT((8.4^2 + 6.1^2)/2)</t>
  </si>
  <si>
    <r>
      <rPr>
        <rFont val="Arial"/>
      </rPr>
      <t xml:space="preserve">https://
</t>
    </r>
    <r>
      <rPr>
        <rFont val="Arial"/>
        <color rgb="FF1155CC"/>
        <u/>
      </rPr>
      <t>osf.io/ux42g</t>
    </r>
  </si>
  <si>
    <t>soscisubmission73_1</t>
  </si>
  <si>
    <t>soscisubmission73</t>
  </si>
  <si>
    <t>Glikson, E., Cheshin, A., &amp; Kleef, G. A. V. (2018). The dark side of a smiley: Effects of smiling emoticons on virtual first impressions. Social Psychological and Personality Science, 9(5), 614-625. https://doi.org/10.1177/1948550617720269, Study 3.</t>
  </si>
  <si>
    <t>10.1177/1948550617720269</t>
  </si>
  <si>
    <t>10.1177--1948550617720269.pdf</t>
  </si>
  <si>
    <t>Lai, L., &amp; Mayiwar, L. (2023). The Dark Versus Bright Side of a Smiley: A Preregistered Replication of Experiment 3 in Glikson et al. (2018) “The Dark Side of a Smiley.” Collabra: Psychology, 9(1). https://doi.org/10.1525/collabra.90195</t>
  </si>
  <si>
    <t>10.1525/collabra.90195</t>
  </si>
  <si>
    <t>10.1525--collabra.90195.pdf</t>
  </si>
  <si>
    <t>Effects of Smiling Emoticons on Virtual First Impressions (Smileys*Formality → Warmth)</t>
  </si>
  <si>
    <t>computer-mediated communication, impression formation, warmth, competence,</t>
  </si>
  <si>
    <t>Due to perceptions of (in)appropriateness, the use of smileys may backfire and produce less favorable perceptions of competence in a formal work-related setting, yet more favorable perceptions of warmth in an informal work-related setting.</t>
  </si>
  <si>
    <t>Specifically, we hypothesized and found that using a smiley in e-mails sent in a formal work context decreased perceptions of competence, yet increased perceptions of warmth in an informal context.</t>
  </si>
  <si>
    <t>https://osf.io/q5mvd</t>
  </si>
  <si>
    <t>soscisubmission73_2</t>
  </si>
  <si>
    <t>Original study reported significant interaction (η² = .14); replication found non-significant result (ηp² = .004, d = 0.12). Both studies used between-subject design with no nested structure. Conversion from η² to d done using Lenhard &amp; Lenhard (2016) calculator.</t>
  </si>
  <si>
    <t>Glikson, E., Cheshin, A., &amp; Kleef, G. A. V. (2018). The dark side of a smiley: Effects of smiling emoticons on virtual first impressions. Social Psychological and Personality Science, 9(5), 614-625. https://doi.org/10.1177/1948550617720269</t>
  </si>
  <si>
    <t>Effects of Smiling Emoticons on Virtual First Impressions (Smileys*Formality → Competence)</t>
  </si>
  <si>
    <t>The interaction between smiley condition and formality condition was significant, F(1,81)=13.18, p &lt; .001, η² = .14</t>
  </si>
  <si>
    <t>soscisubmission73_3</t>
  </si>
  <si>
    <t>The interaction effect between smiley and formality was significant in the original study (d = 0.45, p = .003), but much smaller in the replication (d = 0.14, p = .044). Both studies used an ANCOVA design without repeated or dependent measures.</t>
  </si>
  <si>
    <t>Effects of Smiling Emoticons on Virtual First Impressions (Smileys*Formality → Appropriateness)</t>
  </si>
  <si>
    <t>a significant interaction, F(1, 80) = 4.34, p = .003, d = 0.45, on e-mail appropriateness.</t>
  </si>
  <si>
    <t>soscisubmission73_4</t>
  </si>
  <si>
    <t>In the original study, the effect of smileys on perceived trustworthiness (as part of warmth) was not statistically significant (d = 0.34, p = .11). However, the replication showed a stronger and significant effect (d = 0.47, p &lt; .001). Both studies used the same design and materials. The replication was preregistered and had a much larger sample size.</t>
  </si>
  <si>
    <t>Effects of Smiling Emoticons on Virtual First Impressions (Smileys*Formality → Warmth via Appropriateness)</t>
  </si>
  <si>
    <t>Warmth refers to traits that reflect a person’s perceived social intentions, such as trustworthiness, sincerity, kindness, and friendliness</t>
  </si>
  <si>
    <t>https://osf.io/n7yc4</t>
  </si>
  <si>
    <t>soscisubmission73_5</t>
  </si>
  <si>
    <t>Effects of Smiling Emoticons on Virtual First Impressions (Smileys*Formality → Competence via Appropriateness)</t>
  </si>
  <si>
    <t>The interaction between formality and smiley condition significantly affected trustworthiness ratings.</t>
  </si>
  <si>
    <t>Pavlović, Zoran; Manriquez Robles, Diego</t>
  </si>
  <si>
    <t>Effect of smiling emoticons on perceived competence</t>
  </si>
  <si>
    <t>emoticons, competence, impression formation, email, virtual communication</t>
  </si>
  <si>
    <t>Including a smiling emoticon reduced the perceived competence of the candidate.</t>
  </si>
  <si>
    <t>Participants perceived the candidate as less competent when a smiling emoticon was included in the email (M = 4.07, SD = 1.28) than when no emoticon was included (M = 4.49, SD = 1.04), F(1, 190) = 5.01, p = .03, ηp² = .03.</t>
  </si>
  <si>
    <t>p. 621</t>
  </si>
  <si>
    <t>https://osf.io/tp4zg</t>
  </si>
  <si>
    <t>Effect of smiling emoticons on perceived warmth</t>
  </si>
  <si>
    <t>emoticons, warmth, email tone, impression formation</t>
  </si>
  <si>
    <t>The inclusion of a smiling emoticon increased perceived warmth of the candidate.</t>
  </si>
  <si>
    <t>A marginally significant effect was found for warmth, F(1, 190) = 3.28, p = .07, ηp² = .02.</t>
  </si>
  <si>
    <t>Effect of candidate gender on perceived competence</t>
  </si>
  <si>
    <t>gender, competence, stereotyping, hiring</t>
  </si>
  <si>
    <t>Male and female candidates were perceived similarly in terms of competence.</t>
  </si>
  <si>
    <t>No significant main effects were found for candidate gender on competence, F(1, 190) = 0.44, p = .51, ηp² = .002.</t>
  </si>
  <si>
    <t>Effect of candidate gender on perceived warmth</t>
  </si>
  <si>
    <t>gender, warmth, stereotyping, interpersonal perception</t>
  </si>
  <si>
    <t>Female candidates were perceived as warmer than male candidates.</t>
  </si>
  <si>
    <t>A significant main effect was found for warmth, F(1, 190) = 8.87, p &lt; .01, ηp² = .04.</t>
  </si>
  <si>
    <t>&lt; .01</t>
  </si>
  <si>
    <t>&lt; .001</t>
  </si>
  <si>
    <t>Interaction between emoticon use and candidate gender on perceived competence</t>
  </si>
  <si>
    <t>emoticons, gender, interaction effect, competence</t>
  </si>
  <si>
    <t>The emoticon effect on competence did not differ by candidate gender.</t>
  </si>
  <si>
    <t>There was no significant interaction between emoticon use and candidate gender, F(1, 190) = 0.05, p = .82, ηp² &lt; .001.</t>
  </si>
  <si>
    <t>Nicholls, M. E., Churches, O., &amp; Loetscher, T. (2018). Perception of an ambiguous figure is affected by own-age social biases. Scientific reports, 8(1), 12661.</t>
  </si>
  <si>
    <t>Brouwer, A., Jin, X., Waldi, A. H., &amp; Verheyen, S. (2021). Age biases the judgment rather than the perception of an ambiguous figure. Scientific Reports, 11(1), 8627.</t>
  </si>
  <si>
    <t>own-age bias</t>
  </si>
  <si>
    <t>Own-age biases, Face perception, Ambiguous figure, Social in-group, Subconscious processing</t>
  </si>
  <si>
    <t>Observer’s own age biases subconscious perception of an ambiguous face, causing age estimates to align with the observer’s age group</t>
  </si>
  <si>
    <t>A t-test for independent samples revealed that the diference between the groups was highly signifcant [t(391)=3.82, p&lt;0.001, Cohen’s d=0.386]. To obtain a stronger result and demonstrate that the diference between the younger and older groups was not related to a peculiarity of the median split, we also selected the very-youngest 10% of participants (aged between 18 and 22 years, n=40) and the very-oldest 10% of participants (aged between 49 and 68 years, n=45). The estimated age for the very-young group was 33.85 (SD=14.16) years whereas the estimated age for the very-old group was 45.91 (SD= 21.63) years. Te estimated age diference of 12.06 years is larger than the diference observed for the median split (6.32 years) and the diference in estimated age for the very-young and -old groups was statistically signifcant [t(83)=3.00, p=0.007, Cohen’s d=0.659]. The relation between the observer’s age and the estimated age of the woman can also be investigated using a simple correlational analysis. Figure 3 shows a positive correlation between the observer’s age and the estimated age of the bistable illusion, which was statistically signifcant [r(393)=0.237, p&lt;0.001].</t>
  </si>
  <si>
    <t>https://osf.io/xqc35</t>
  </si>
  <si>
    <t>soscisubmission80_1</t>
  </si>
  <si>
    <t>soscisubmission80</t>
  </si>
  <si>
    <t>P value O = 0.002, the cell take it as 0.</t>
  </si>
  <si>
    <t>Ihme, T. A., &amp; Tausendpfund, M. (2018). Gender differences in political knowledge: Bringing situation back in. Journal of Experimental Political Science, 5(1), 39-55.</t>
  </si>
  <si>
    <t>10.1017--xps.2017.21.pdf</t>
  </si>
  <si>
    <t>Azevedo, F., Micheli, L., &amp; Bolesta, D. S. (2024). Does stereotype threat contribute to the political knowledge gender gap? A preregistered replication study of Ihme and Tausendpfund (2018). Journal of Experimental Political Science, 11(1), 102-113.</t>
  </si>
  <si>
    <t>10.1017/XPS.2022.35</t>
  </si>
  <si>
    <t>Stereotype threat</t>
  </si>
  <si>
    <t>Political knowledge, gender gap, stereotype threat</t>
  </si>
  <si>
    <t>activation of gender stereotypes influences the participants’ results on a political knowledge test depending on their gender</t>
  </si>
  <si>
    <t>The main effect of stereotype activation was not significant (F(2,365) = 0.15, p = 0.86, η² &lt; 0.01). We found significant main effects of gender (F(1,365) = 24.20, p &lt; 0.001, η² = 0.06) and field of study (F(1,365) = 95.25, p &lt; 0.001, η² = 0.21), as well as a significant interaction of stereotype activation and gender (F(2,365) = 5.80, p = 0.003, η²= 0.03). This interaction indicates that the activation of gender stereotypes influences political knowledge test performance differently for men and women. Specifically, women’s performance declined when gender stereotypes were activated, supporting the hypothesis that stereotype threat contributes to the gender gap in political knowledge.</t>
  </si>
  <si>
    <t>https://osf.io/nxrg7</t>
  </si>
  <si>
    <t>soscisubmission86_1</t>
  </si>
  <si>
    <t>soscisubmission86</t>
  </si>
  <si>
    <t>The study clearly reports the main result about standing vs. sitting during the Stroop task.</t>
  </si>
  <si>
    <t>Rosenbaum, D., Mama, Y., &amp; Algom, D. (2017). Stand by your Stroop: Standing up enhances selective attention and cognitive control. Psychological Science, 28, 1864–1867.</t>
  </si>
  <si>
    <t>10.1177/0956797617721270</t>
  </si>
  <si>
    <t>10.1177--0956797617721270.pdf</t>
  </si>
  <si>
    <t>Stroop, posture, attention, cognitive control, standing</t>
  </si>
  <si>
    <t>The Stroop effects in both the sitting condition, M = 118.9 ms, t(49) = 16.52, p &lt; .01, d = 2.376, and the standing condition, M = 95.9 ms, t(49) = 14.327, p &lt; .01, d = 2.034, were highly reliable [...] F(1, 49) = 8.964, p = .004, η² = .155.</t>
  </si>
  <si>
    <t>https://osf.io/uwzsb</t>
  </si>
  <si>
    <t>https://osf.io/7kj84</t>
  </si>
  <si>
    <t>LaPlume, Annalise; Manriquez Robles, Diego</t>
  </si>
  <si>
    <t>Stroop effect modulation by posture</t>
  </si>
  <si>
    <t>selective attention, Stroop effect, posture, standing, cognitive control</t>
  </si>
  <si>
    <t>Standing, compared to sitting, enhances selective attention by reducing the Stroop interference effect.</t>
  </si>
  <si>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</si>
  <si>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https://osf.io/uwzsb/</t>
  </si>
  <si>
    <t>https://osf.io/9v5rd/</t>
  </si>
  <si>
    <t>soscisubmission87_1</t>
  </si>
  <si>
    <t>soscisubmission87</t>
  </si>
  <si>
    <t>The study directly tries to repeat the result from Rosenbaum et al. (2017). Sample is bigger, and the study was pre-registered on OSF</t>
  </si>
  <si>
    <t>Caron, E. E., Reynolds, M. G., Ralph, B. C., Carriere, J. S., Besner, D., &amp; Smilek, D. (2020). Does posture influence the Stroop effect?. Psychological Science, 31(11), 1452-1460.</t>
  </si>
  <si>
    <t>10.1177/0956797620953842</t>
  </si>
  <si>
    <t>10.1177--0956797620953842.pdf</t>
  </si>
  <si>
    <t>Stroop, posture, standing, attention, cognitive control</t>
  </si>
  <si>
    <t>Participants responded faster to color targets when standing than when sitting, indicating enhanced selective attention and cognitive control.</t>
  </si>
  <si>
    <t>https://osf.io/9p34m/</t>
  </si>
  <si>
    <t>https://osf.io/qtr9z/</t>
  </si>
  <si>
    <t>soscisubmission88_1</t>
  </si>
  <si>
    <t>soscisubmission88</t>
  </si>
  <si>
    <t>Smith, K.C., Davoli, C.C., Knapp, W.H., Abrams, R.A.A. (2019). Standing enhances cognitive control and alters visual search. Attention, Perception, &amp; Psychophysics, 81, 2320–2329</t>
  </si>
  <si>
    <t>Standing participants outperformed sitting participants in Stroop interference resolution.</t>
  </si>
  <si>
    <t>Standing Enhances Cognitive Control Effect</t>
  </si>
  <si>
    <t>Cognitive and attentional control . Embodied perception . Attention and executive control</t>
  </si>
  <si>
    <t>standing compared to sitting, on cognitive control and selective visual attention</t>
  </si>
  <si>
    <t>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</si>
  <si>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https://www.sciencedirect.com/science/article/pii/S0001691822000129#:~:text=Section%204-,Results%20from%20the%20two%2Dway%20ANOVA%20did%20not%20substantially%20differ%20from,2%20and%20Supplemental%20material%201b%20for%20detailed%20results%20and%20error%20results).,-Download%3A%20Download</t>
  </si>
  <si>
    <t>https://osf.io/c8wek/</t>
  </si>
  <si>
    <t>In the original study p value is also take as p = .035 with annova test, and binomial p = .003. I dont know which one should exactly be taken</t>
  </si>
  <si>
    <t>false-belief attribution</t>
  </si>
  <si>
    <t>False-belief attribution, Theory of mind, Anticipatory looking, 2-year-old infants, Eye-tracking, Early cognitive development</t>
  </si>
  <si>
    <t>Two-year-old infants attribute false beliefs to others and anticipate their actions based on these beliefs, as measured by anticipatory looking behavior using eye-tracking.</t>
  </si>
  <si>
    <t>Seventeen out of 20 infants gazed toward the correct window following illumination, with statistical results reported as p = .003, prep = 5.982, using a two-choice binomial test (two-tailed). There was no significant difference in performance between the two false-belief conditions (FB1 and FB2), with p = .5, using a one-tailed Fisher's exact test. The statistical results show that 25-month-old infants anticipated an actor’s actions based on a false belief, with p = .003 indicating significant accuracy in gazing toward the correct window. The p = .5 result for the two false-belief conditions shows no significant difference between conditions, confirming that their behavior was based on attributing a false belief, not simpler rules. This supports the idea of early-developing theory of mind in infants.</t>
  </si>
  <si>
    <t>https://osf.io/fb8fj/</t>
  </si>
  <si>
    <t>soscisubmission90a_2</t>
  </si>
  <si>
    <t>soscisubmission95_1</t>
  </si>
  <si>
    <t>soscisubmission95</t>
  </si>
  <si>
    <t>Mackinnon, Sean</t>
  </si>
  <si>
    <t>P-value should be one-sided as this is an F test</t>
  </si>
  <si>
    <t>Greene, J.D., Cushman, F.A., Stewart, L E., Lowenberg, K., Nystrom, L.E., &amp; Cohen, J.D. (2009). Pushing moral buttons: The interaction between personal force and intention in moral judgment. Cognition, 111(3), 364–371. https://doi.org/10.1016/j.cognition.2009.02.001</t>
  </si>
  <si>
    <t>10.1016/j.cognition.2009.02.001</t>
  </si>
  <si>
    <t>10.1016--j.cognition.2009.02.001.pdf</t>
  </si>
  <si>
    <t>Lynds, T. M., &amp; Mackinnon, S. P. (2024, August 11). Effects of personal force and physical contact on moral decision-making: A replication. https://doi.org/10.31234/osf.io/dca65</t>
  </si>
  <si>
    <t>10.31234/osf.io/dca65</t>
  </si>
  <si>
    <t>10.31234--osf.io--dca65.pdf</t>
  </si>
  <si>
    <t>Footbridge</t>
  </si>
  <si>
    <t>moral dilemmas, moral acceptability, personal force, physical contact,</t>
  </si>
  <si>
    <t>H1: The mean moral acceptability ratings will be higher in the footbridge switch condition when compared to the footbridge pole condition.</t>
  </si>
  <si>
    <t>Ratings of the moral acceptability of sacrificing one life to save five differed among the four dilemmas (F(3, 417) = 9.69, p &lt; 0.0001). Planned pairwise contrasts revealed no significant effect of spatial proximity (remote footbridge vs. footbridge switch: F(1, 417) = 0.11 p = 0.74), no significant effect of physical contact (standard footbridge vs. footbridge pole: F(1, 417) = 1.43. p = 0.23), but a significant effect of personal force (footbridge switch vs. footbridge pole: F(1, 417) = 7.63, p = 0.006, d = 0.40; see Fig. 2).</t>
  </si>
  <si>
    <t>e</t>
  </si>
  <si>
    <t>https://osf.io/uxe4h</t>
  </si>
  <si>
    <t>soscisubmission96_1</t>
  </si>
  <si>
    <t>soscisubmission96</t>
  </si>
  <si>
    <t>Speedboat</t>
  </si>
  <si>
    <t>H2: The mean moral acceptability ratings will be higher in the speedboat accelerate condition when compared to the speedboat oar condition.</t>
  </si>
  <si>
    <t>As predicted, planned contrasts revealed no significant effect of
physical contact (Pc–Pf vs. NoPc–Pf: F(1, 87) = 0.02
p = 0.89), but a significant effect of personal force (NoPc–
Pf vs. NoPc–NoPf: F(1, 87) = 5.86, p = 0.02, d = 0.69).</t>
  </si>
  <si>
    <t>soscisubmission97_1</t>
  </si>
  <si>
    <t>soscisubmission97</t>
  </si>
  <si>
    <t>Nadvornik, Jiri</t>
  </si>
  <si>
    <t>Wakslak, C. J., Trope, Y., Liberman, N., &amp; Alony, R. (2006). Seeing the forest when entry is unlikely: Probability and the mental representation of events. Journal of Experimental Psychology: General, 135(4), 641–653. https://doi.org/10.1037/0096-3445.135.4.641</t>
  </si>
  <si>
    <t>10.1037/0096-3445.135.4.641</t>
  </si>
  <si>
    <t>10.1037--0096-3445.135.4.641.pdf</t>
  </si>
  <si>
    <t>Calderon, S., Mac Giolla, E., Ask, K., &amp; Granhag, A. (2020, April 23). Subjective Likelihood and the Construal Level of Future Events: A Replication Study of Wakslak, Trope, Liberman, and Alony (2006). https://doi.org/10.1037/pspa0000214</t>
  </si>
  <si>
    <t>10.1037/pspa0000214</t>
  </si>
  <si>
    <t>10.1037--pspa0000214.pdf</t>
  </si>
  <si>
    <t>Effect of Subjective likehood on construal level</t>
  </si>
  <si>
    <t>construal level theory, psychological distance, likehood, probability, abstract</t>
  </si>
  <si>
    <t>More unlikely future events are more abstractly construed. (Trial 1)</t>
  </si>
  <si>
    <t>As expected, participants who believed that they were unlikely to continue to the
next part of the experiment and perform the observed actions unitized the behavioral sequence into fewer segments (M _x0001_ 14.8, SD _x0001_ 14.8) than did participants who believed they were likely to do so (M _x0001_ 49.4, SD _x0001_ 31.8), t(18) _x0001_ 3.38, p  .05, d _x0001_ 1.54.</t>
  </si>
  <si>
    <t>https://osf.io/x4va5</t>
  </si>
  <si>
    <t>soscisubmission98_1</t>
  </si>
  <si>
    <t>soscisubmission98</t>
  </si>
  <si>
    <t>Calderon, S., Mac Giolla, E., Ask, K., &amp; Granhag, P. A. (2020). Subjective likelihood and the construal level of future events: A replication study of Wakslak, Trope, Liberman, and Alony (2006). Journal of Personality and Social Psychology, 119(5), e27–e37. https://doi.org/10.1037/pspa0000214</t>
  </si>
  <si>
    <t>probability, likehood, construal level theory, psychological distance, abstract</t>
  </si>
  <si>
    <t>Low likehood have effect on abstract construal (Trial 2)</t>
  </si>
  <si>
    <t xml:space="preserve">Figure 1 illustrates the significant interaction between
task and likelihood condition, F(1, 32) _x0001_ 11.75, p  .01, 2 _x0001_ .27.
As expected, participants performed better on the task that they
believed they were unlikely to later complete than on the task that
they believed they were likely to later complete, regardless of
whether the SPT was the likely task and the GCT the unlikely task
or vice versa. </t>
  </si>
  <si>
    <t>https://osf.io/xumwa</t>
  </si>
  <si>
    <t>soscisubmission99_1</t>
  </si>
  <si>
    <t>soscisubmission99</t>
  </si>
  <si>
    <t>Marta Kowal</t>
  </si>
  <si>
    <t>the info provided in the sheet didn't help me to detect/understand what effect you wanted to report. there are several effects replicated but i reported the correlation between sperm number and 2D:4D ratio in the right hand. the effect size I reported from the o_study is the coefficient.</t>
  </si>
  <si>
    <t>Manning, J. T., Scutt, D., Wilson, J., &amp; Lewis-Jones, D. I. (1998). The ratio of 2nd to 4th digit length: a predictor of sperm numbers and concentrations of testosterone, luteinizing hormone and oestrogen. Human Reproduction (Oxford, England), 13(11), 3000-3004. https://doi.org/10.1093/humrep/13.11.3000</t>
  </si>
  <si>
    <t>10.1093/humrep/13.11.3000</t>
  </si>
  <si>
    <t>10.1093--humrep--13.11.3000.pdf</t>
  </si>
  <si>
    <t>Kowal, M., Sorokowski, P., Żelaźniewicz, A., Nowak, J., Orzechowski, S., Żurek, G., ... &amp; Danek, N. (2020). No relationship between the digit ratios (2D: 4D) and salivary testosterone change: Study on men under an acute exercise. Scientific reports, 10(1), 10068.</t>
  </si>
  <si>
    <t>10.1038/s41598-020-66915-9</t>
  </si>
  <si>
    <t>10.1038--s41598-020-66915-9.pdf</t>
  </si>
  <si>
    <t>2D:4D as a proxy of adult level testosterone</t>
  </si>
  <si>
    <t>2D:4D, digit ratio, testosterone, Manning, prenatal testosterone</t>
  </si>
  <si>
    <t>Relationship between adult male testosterone and the digit ratios (2D:4D)</t>
  </si>
  <si>
    <t>Table II shows that sperm number remains significantly
related to 2D:4D ratio in the right hand when the effects of
weight, height and age are controlled for in multiple regression
tests.</t>
  </si>
  <si>
    <t>w4dip_1</t>
  </si>
  <si>
    <t>w4dip</t>
  </si>
  <si>
    <t>DeWall, C. N., &amp; Bushman, B. J. (2009). Hot under the collar in a lukewarm environment: Words associated with hot temperature increase aggressive thoughts and hostile perceptions. Journal of Experimental Social Psychology, 45(4), 1045-1047.</t>
  </si>
  <si>
    <t>10.1016/j.jesp.2009.05.003</t>
  </si>
  <si>
    <t>10.1016--j.jesp.2009.05.003.pdf</t>
  </si>
  <si>
    <t>McCarthy, R. J. (2014, March 8). The Effect of "Heat-Priming" on Hostile Perceptions. https://doi.org/10.17605/OSF.IO/XSZK6</t>
  </si>
  <si>
    <t>10.17605/OSF.IO/XSZK6</t>
  </si>
  <si>
    <t>10.17605--osf.io--xszk6.pdf</t>
  </si>
  <si>
    <t>Heat Priming</t>
  </si>
  <si>
    <t>Aggression, Violence, Heat, Priming</t>
  </si>
  <si>
    <t>Heat-Priming is associated with increased hostile perceptions</t>
  </si>
  <si>
    <t>Pairwise comparisons showed that participants primed with hot temperature words (M = 7.85, SD = 1.24) rated Donald as more hostile than did participants primed with [...] cold temperature words (M = 6.79, SD = 1.86) [...] F(1, 69) = 5.02, p &lt; .03, d = .67.</t>
  </si>
  <si>
    <t>w4dip_2</t>
  </si>
  <si>
    <t>Effect size and p-value from replication indicate no difference between conditions (d = 0.00; p = 1.00). Means and SDs across groups were virtually identical, resulting in a null result. This may be due to chance, study design, or lack of true effect.</t>
  </si>
  <si>
    <t>Pairwise comparisons showed that participants primed with hot temperature words (M = 7.85, SD = 1.24) rated Donald as more hostile than did participants primed with [...] neutral words (M = 6.88, SD = 1.81), [...] F(1, 69) = 4.23, p &lt; .05, d = .63.</t>
  </si>
  <si>
    <t>Randy J. McCarthy; Manriquez Robles, Diego</t>
  </si>
  <si>
    <t>14/10/2024; 29/05/2025</t>
  </si>
  <si>
    <t>Participants primed with hot temperature words (M = 7.85, SD = 1.24) rated Donald as more hostile than did participants primed with cold temperature words (M = 6.79, SD = 1.86), F(1, 69) = 5.02, p &lt; .03, d = .67.</t>
  </si>
  <si>
    <t>p. 1047</t>
  </si>
  <si>
    <t>p. 168</t>
  </si>
  <si>
    <t>https://osf.io/zqwa2/</t>
  </si>
  <si>
    <t>Lukas Wallrich; Manriquez Robles, Diego</t>
  </si>
  <si>
    <t>Participants primed with hot temperature words (M = 7.85, SD = 1.24) rated Donald as more hostile than did participants primed with neutral temperature words (M = 6.88, SD = 1.81), F(1, 69) = 4.23, p &lt; .05, d = .63.</t>
  </si>
  <si>
    <t>xszk6_1</t>
  </si>
  <si>
    <t>xszk6</t>
  </si>
  <si>
    <t>xszk6_2</t>
  </si>
  <si>
    <t>Heat priming increases aggressive cognition</t>
  </si>
  <si>
    <t>aggression, priming, temperature, word completion</t>
  </si>
  <si>
    <t>Participants primed with hot temperature words produced more aggressive completions than those primed with cold words</t>
  </si>
  <si>
    <t>Participants primed with hot temperature words (M = 0.30, SD = 0.08) had more aggressive word completions than did participants primed with cold words (M = 0.26, SD = 0.08), F(1, 124) = 5.16, p &lt; .03, d = .47.</t>
  </si>
  <si>
    <t>p. 1046</t>
  </si>
  <si>
    <t>p. 167</t>
  </si>
  <si>
    <t>Participants primed with hot temperature words produced more aggressive completions than those primed with neutral words</t>
  </si>
  <si>
    <t>Participants primed with hot temperature words (M = 0.30, SD = 0.08) had more aggressive word completions than did participants primed with neutral words (M = 0.26, SD = 0.07), F(1, 124) = 4.16, p &lt; .05, d = .46.</t>
  </si>
  <si>
    <t>av_117_1</t>
  </si>
  <si>
    <t>av_117</t>
  </si>
  <si>
    <t xml:space="preserve">Mariem Younssi </t>
  </si>
  <si>
    <t>28/06//2025</t>
  </si>
  <si>
    <t>for the o_effect sr2 = 0.05, for the r_effect sr2= 0.16</t>
  </si>
  <si>
    <t>Aston, E.R., Metrik, J., Amlung, M., Kahler, C.W., MacKillop, J., 2016. Interrelationships between marijuana demand and discounting of delayed rewards: Convergence in behavioral economic methods. Drug Alcohol Depend. 169, 141-147.</t>
  </si>
  <si>
    <t>10.1016/j.drugalcdep.2016.10.014</t>
  </si>
  <si>
    <t>10.1016--j.drugalcdep.2016.10.014.pdf</t>
  </si>
  <si>
    <t>Strickland, J. C., Lile, J. A., &amp; Stoops, W. W. (2017). Unique prediction of cannabis use severity and behaviors by delay discounting and behavioral economic demand. Behavioural Processes, 140, 33–40. https://doi.org/10.1016/j.beproc.2017.03.017</t>
  </si>
  <si>
    <t>10.1016/j.beproc.2017.03.017</t>
  </si>
  <si>
    <t>10.1016--j.beproc.2017.03.017.pdf</t>
  </si>
  <si>
    <t>marijuana demand and discounting of delayed rewards</t>
  </si>
  <si>
    <t>Marijuana, Behavioral economics, Cannabis dependence, Purchase task, Area under the curve, Delay discounting</t>
  </si>
  <si>
    <t>DD uniquely predicted CD symptom count while demand did not</t>
  </si>
  <si>
    <t>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
  </si>
  <si>
    <t>av_117_b</t>
  </si>
  <si>
    <t>for the o_effect sr2 = 0.05, for the r_effect sr2= 0.09</t>
  </si>
  <si>
    <t>demand uniquely predicted frequency of marijuana use while DD did not</t>
  </si>
  <si>
    <t>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
  </si>
  <si>
    <t>av_118_1</t>
  </si>
  <si>
    <t>av_118</t>
  </si>
  <si>
    <t xml:space="preserve">interaction </t>
  </si>
  <si>
    <r>
      <rPr>
        <rFont val="Calibri"/>
        <sz val="11.0"/>
      </rPr>
      <t xml:space="preserve">Bernard, P., Gervais, S. J., Allen, J., Campomizzi, S., &amp; Klein, O. (2012). Integrating sexual objectification with object versus person recognition: The sexualized-body-inversion hypothesis. Psychological Science, 23, 469–471. </t>
    </r>
    <r>
      <rPr>
        <rFont val="Calibri"/>
        <color rgb="FF1155CC"/>
        <sz val="11.0"/>
        <u/>
      </rPr>
      <t>http://dx.doi.org/10.1177/0956797611434748.</t>
    </r>
  </si>
  <si>
    <t>10.1177/0956797611434748</t>
  </si>
  <si>
    <t>10.1177--0956797611434748.pdf</t>
  </si>
  <si>
    <t>Schmidt, A. F., &amp; Kistemaker, L. M. (2015). The sexualized-body-inversion hypothesis revisited: Valid indicator of sexual objectification or methodological artifact? Cognition, 134, 77–84. https://doi.org/10.1016/j.cognition.2014.09.003</t>
  </si>
  <si>
    <t>10.1016/j.cognition.2014.09.003</t>
  </si>
  <si>
    <t>10.1016--j.cognition.2014.09.003.pdf</t>
  </si>
  <si>
    <t>Sexual Objectification</t>
  </si>
  <si>
    <t>Sexual Objectification, Sexualized-Body-Inversion Hypothesis, Person Recognition, Object Recognition</t>
  </si>
  <si>
    <t>we exam-ined whether sexualized women, but not sexualized men, are recognized in the same way as objects are.</t>
  </si>
  <si>
    <t>We conducted a 2 (position: upright, inverted) × 2 (target gen-der: male, female) × 2 (participant gender: men, women) mixed-model analysis of variance. The predicted interaction between position and target gender emerged, F(1, 75) = 15.07, p &lt; .001, ηp2 = .167.</t>
  </si>
  <si>
    <t>av_118_b</t>
  </si>
  <si>
    <t>post hoc</t>
  </si>
  <si>
    <r>
      <rPr>
        <rFont val="Calibri"/>
        <sz val="11.0"/>
      </rPr>
      <t xml:space="preserve">Bernard, P., Gervais, S. J., Allen, J., Campomizzi, S., &amp; Klein, O. (2012). Integrating sexual objectification with object versus person recognition: The sexualized-body-inversion hypothesis. Psychological Science, 23, 469–471. </t>
    </r>
    <r>
      <rPr>
        <rFont val="Calibri"/>
        <color rgb="FF1155CC"/>
        <sz val="11.0"/>
        <u/>
      </rPr>
      <t>http://dx.doi.org/10.1177/0956797611434748.</t>
    </r>
  </si>
  <si>
    <t>Additionally, participants recognized inverted females (M = .83, SD = .16) better than inverted males (M = .73, SD = .17), t(77) = 5.42, p &lt; .001.</t>
  </si>
  <si>
    <t>t(77) = 5.42</t>
  </si>
  <si>
    <t>t(59) = 3.91</t>
  </si>
  <si>
    <t>av_119_1</t>
  </si>
  <si>
    <t>av_119</t>
  </si>
  <si>
    <t>the r_sample size reported in the paper is 39 but the statistical test suggest that it is 55; it is difficult to detect the effects because the replication is conceptual (not the same method/statistical design), I think the r_paper replicated in one ANOVA multiples effects that the o_paper reported in diffrent experiments.</t>
  </si>
  <si>
    <t>Haun, D. B. M., Rapold, C. J., Janzen, G., &amp; Levinson, S. C. (2011). Plasticity of human spatial cognition: Spatial language and cognition covary across cultures. Cognition, 119(1), 70–80.</t>
  </si>
  <si>
    <t>10.1016/j.cognition.2010.12.009</t>
  </si>
  <si>
    <t>10.1016--j.cognition.2010.12.009.pdf</t>
  </si>
  <si>
    <t>Li, P., &amp; Abarbanell, L. (2018). Competing perspectives on frames of reference in language and thought. Cognition, 170, 9–24. https://doi.org/10.1016/j.cognition.2017.09.005</t>
  </si>
  <si>
    <t>10.1016/j.cognition.2017.09.005</t>
  </si>
  <si>
    <t>10.1016--j.cognition.2017.09.005.pdf</t>
  </si>
  <si>
    <t>Spatial language and cognition</t>
  </si>
  <si>
    <t>Cross-cultural differences, Spatial cognition</t>
  </si>
  <si>
    <t>cognitive strategy preferences across different levels of task-complexity and instruction.</t>
  </si>
  <si>
    <t>On the simple trials, participants did perform significantly bet-ter than in the more complex trials (Wilcoxon-test: Z(N = 16) = 2.44; p &lt; .05).</t>
  </si>
  <si>
    <t>Z(N = 16) = 2.44</t>
  </si>
  <si>
    <t>av_119_b</t>
  </si>
  <si>
    <t>participants per-formed better following the geocentric than the egocentric instructions (Wilcoxon-test: Z(N = 16) = 2.30; p &lt; .05).</t>
  </si>
  <si>
    <t>Z(N = 16) = 2.30</t>
  </si>
  <si>
    <t>av_120_1</t>
  </si>
  <si>
    <t>av_120</t>
  </si>
  <si>
    <t>Wimber, M., Alink, A., Charest, I., Kriegeskorte, N., &amp; Anderson, M. C. (2015). Retrieval induces adaptive forgetting of competing memories via cortical pattern suppression. Nature Neuroscience, 18 , 582–589. doi:http://dx.doi.org/10.1038/nn.3973.</t>
  </si>
  <si>
    <t>10.1038/nn.3973</t>
  </si>
  <si>
    <t>10.1038--nn.3973.pdf</t>
  </si>
  <si>
    <t>Potter, K. W., Huszar, L. D., &amp; Huber, D. E. (2018). Does inhibition cause forgetting after selective retrieval? A reanalysis and failure to replicate. Cortex, 104, 26–45. https://doi.org/10.1016/j.cortex.2018.03.026</t>
  </si>
  <si>
    <t>10.1016/j.cortex.2018.03.026</t>
  </si>
  <si>
    <t>10.1016--j.cortex.2018.03.026.pdf</t>
  </si>
  <si>
    <t>Retrieval</t>
  </si>
  <si>
    <t>Retrieval, adaptive forgetting, competing memories, cortical pattern suppression</t>
  </si>
  <si>
    <t>Suppression of unique neural patterns representing competing memories</t>
  </si>
  <si>
    <t>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
  </si>
  <si>
    <t>F1,23 = 4.70</t>
  </si>
  <si>
    <t>https://static-content.springer.com/esm/art%3A10.1038%2Fnn.3973/MediaObjects/41593_2015_BFnn3973_MOESM56_ESM.pdf</t>
  </si>
  <si>
    <t>F1,21 = 0.126</t>
  </si>
  <si>
    <t>https://aspredicted.org/u5z76.pdf</t>
  </si>
  <si>
    <t>av_121_1</t>
  </si>
  <si>
    <t>av_121</t>
  </si>
  <si>
    <t>I didn't understand the papers very well so I am not a 100% sure that this is the right pair of o_effect/r_effect; for the r_paper the effect size is dz = 0.06</t>
  </si>
  <si>
    <t>Alais, D., &amp; Burr, D. (2004). The ventriloquist effect results from near-optimal bimodal integration. Current Biology, 14(3), 257e262. https://doi.org/10.1016/j.cub.2004.01.029.</t>
  </si>
  <si>
    <t>10.1016--j.cub.2004.01.029.pdf</t>
  </si>
  <si>
    <t>Meijer, D., Veselič, S., Calafiore, C., &amp; Noppeney, U. (2019). Integration of audiovisual spatial signals is not consistent with maximum likelihood estimation. Cortex, 119, 74–88. https://doi.org/10.1016/j.cortex.2019.03.026</t>
  </si>
  <si>
    <t>10.1016/j.cortex.2019.03.026</t>
  </si>
  <si>
    <t>10.1016--j.cortex.2019.03.026.pdf</t>
  </si>
  <si>
    <t>Ventriloquism</t>
  </si>
  <si>
    <t>Ventriloquist Effect, Bimodal Integration</t>
  </si>
  <si>
    <t>Precision of biomodel localization is usually better than either the visual or the auditory unimodel representation.</t>
  </si>
  <si>
    <t>Comparison of the best unimodal performance with bimodal performance in a one-tailed, matched samples t test produces a clearly significant result, with t(5) = 3.69 and p &lt; 0.01.</t>
  </si>
  <si>
    <t>t(5) = 3.69</t>
  </si>
  <si>
    <t>https://osf.io/xsdk8</t>
  </si>
  <si>
    <t>av_122_1</t>
  </si>
  <si>
    <t>av_122</t>
  </si>
  <si>
    <t>allthough the r_paper is written by the same authors as the o_paper I think it is more a continuity to the first paper than a replication. It is only in experiment 3 and only part of it that similar effects to the o_effects are repported. At least that is what I understood. from the r_paper "The first block of the present experiment was designed to replicate previous evidence of habituation of oculomotor capture elicited by a peripheral task irrelevant onset."</t>
  </si>
  <si>
    <t>Bonetti, F., &amp; Turatto, M. (2019). Habituation of oculomotor capture by sudden onsets: Stimulus specificity, spontaneous recovery and dishabituation. Journal of Experimental Psychology: Human Perception and Performance, 45, 264e284. https://doi.org/10.1037/xhp0000605</t>
  </si>
  <si>
    <t>10.1037/xhp0000605</t>
  </si>
  <si>
    <t>10.1037--xhp0000605.pdf</t>
  </si>
  <si>
    <t>Bonetti, F., Valsecchi, M., &amp; Turatto, M. (2020). Microsaccades inhibition triggered by a repetitive visual distractor is not subject to habituation: Implications for the programming of reflexive saccades. Cortex, 131, 251–264. https://doi.org/10.1016/j.cortex.2020.07.013</t>
  </si>
  <si>
    <t>10.1016/j.cortex.2020.07.013</t>
  </si>
  <si>
    <t>10.1016--j.cortex.2020.07.013.pdf</t>
  </si>
  <si>
    <t>Habituation</t>
  </si>
  <si>
    <t>habituation, oculomotor capture, onset, attention</t>
  </si>
  <si>
    <t>Oculomotor capture...oculomotor cap-ture decreased with time</t>
  </si>
  <si>
    <t>For each block of the first session separately, we performed an analysis of variance (ANOVA) for repeated mea-sures, with Bin (from 1 to 6) as factor, which resulted significant both in the first block, F(5, 145)  = 18.83, p &lt; .001, N2p = 1.00,</t>
  </si>
  <si>
    <t>av_122_b</t>
  </si>
  <si>
    <t>Saccade latency...the lengthening of the sac-cades latency caused by the distractor decreased as a function of its repetition</t>
  </si>
  <si>
    <t>ANOVA for repeated measures (performed on each block separately) with Bin (from 1 to 6) as factor, which revealed a significant effect of Bin in the first block, F(5, 140) =  7.10, p &lt; .001, N2p =  0.99,</t>
  </si>
  <si>
    <t>av_123_1</t>
  </si>
  <si>
    <t>av_123</t>
  </si>
  <si>
    <t>Lloyd-Fox, S., Blasi, A., Volein, A., Everdell, N., Elwell, C.E., Johnson, M.H., 2009. Social perception in infancy: a near infrared spectroscopy study. Child Dev. 80 (4), 986–999. http://dx.doi.org/10.1111/j.1467-8624.2009.01312.x.</t>
  </si>
  <si>
    <t>10.1111/j.1467-8624.2009.01312.x</t>
  </si>
  <si>
    <t>10.1111--j.1467-8624.2009.01312.x.pdf</t>
  </si>
  <si>
    <t>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
  </si>
  <si>
    <t>10.1016/j.dcn.2017.12.003</t>
  </si>
  <si>
    <t>10.1016--j.dcn.2017.12.003.pdf</t>
  </si>
  <si>
    <t>Social Perception in Infancy</t>
  </si>
  <si>
    <t>Social Perception, Infancy, temporal lobe, HbO2</t>
  </si>
  <si>
    <t xml:space="preserve"> difference between the response for the social dynamic and the nonsocial dynamic stimuli</t>
  </si>
  <si>
    <t>Finally, a paired-sample t test to compare the difference in the maximum increase in HbO2 from baseline during each experimental condition revealed a significant difference between the response for the social dynamic and the nonsocial dynamic stimuli in two channels (see Table 2).</t>
  </si>
  <si>
    <t>t = -2.91</t>
  </si>
  <si>
    <t>t = 3.15</t>
  </si>
  <si>
    <t>av_124_1</t>
  </si>
  <si>
    <t>av_124</t>
  </si>
  <si>
    <t>in the o_paper the effects reported are in details but in the r_paper they are summarized. for example here in the r_paper the effect reported is a correlation APEQ-Total (APEQ = Adult Picky Eating Questionnaire) and Fruit &amp;Vegetable Daily Servings. However in the o_paper they report a correlation between inflexibility, neophobia, and daily servings of vegetables alone and daily servings of fruits alone. At the end the conclusion is the same but not the exact variables are analyzed. So here I reported the general correlation from the r_paper and only the correlation between daily servings of vegetables and inflexibility in the o_paper.</t>
  </si>
  <si>
    <t>Zickgraf, H. F., &amp; Schepps, K. (2016). Fruit and vegetable intake and dietary variety in adult picky eaters. Food Quality and Preference, 54, 39–50.</t>
  </si>
  <si>
    <t>10.1016/j.foodqual.2016.06.012</t>
  </si>
  <si>
    <t>10.1016--j.foodqual.2016.06.012.pdf</t>
  </si>
  <si>
    <t>Ellis, J. M., Galloway, A. T., Zickgraf, H. F., &amp; Whited, M. C. (2018). Picky eating and fruit and vegetable consumption in college students. Eating Behaviors, 30, 5–8. https://doi.org/10.1016/j.eatbeh.2018.05.001</t>
  </si>
  <si>
    <t>10.1016/j.eatbeh.2018.05.001</t>
  </si>
  <si>
    <t>10.1016--j.eatbeh.2018.05.001.pdf</t>
  </si>
  <si>
    <t>Picky eating</t>
  </si>
  <si>
    <t>Avoidant/Restrictive Food Intake Disorder, Picky eating, Dietary variety, Dietary intake, Fruit, Vegetables, Protein, Fish</t>
  </si>
  <si>
    <t>effect of picky eating on daily dietary intake...Table 8...Correlation matrix: inflexibility, neophobia, and daily servings.</t>
  </si>
  <si>
    <t>Eating inflexibility and food neophobia were associated with daily servings from each food category... There was a large, negative correlation between daily servings of vegetables and both inflexibility and neophobia.</t>
  </si>
  <si>
    <t>av_125_1</t>
  </si>
  <si>
    <t>av_125</t>
  </si>
  <si>
    <t>Blumenthal, T.D., Burnett, T.T., Swerdlow, C.D., 2001. Prepulses reduce the pain of cutaneous electrical shocks. Psychosom. Med. 63, 275–281.</t>
  </si>
  <si>
    <t>10.1097/00006842-200103000-00012</t>
  </si>
  <si>
    <t>10.1097--00006842-200103000-00012.pdf</t>
  </si>
  <si>
    <t>Flaten, M. A., Firan, A., &amp; Blumenthal, T. D. (2016). Somatosensory pain is not reliably modulated by weak acoustic stimuli. International Journal of Psychophysiology, 99, 114–120. https://doi.org/10.1016/j.ijpsycho.2015.12.004</t>
  </si>
  <si>
    <t>10.1016/j.ijpsycho.2015.12.004</t>
  </si>
  <si>
    <t>10.1016--j.ijpsycho.2015.12.004.pdf</t>
  </si>
  <si>
    <t>Prepulses</t>
  </si>
  <si>
    <t>implantable cardioverter/defibrillator, prepulse inhibition, pain, startle.</t>
  </si>
  <si>
    <t>the pain associated with an intense (mean 5 160 V) cutaneous electrical shock can be reduced by delivering a weak prepulse 40 or 60 ms before the shock.</t>
  </si>
  <si>
    <t>a significant interaction of pain threshold by stimulus condition was found (F = 4.30; df = 4,72; p &lt; .005).</t>
  </si>
  <si>
    <t>F = 4.3</t>
  </si>
  <si>
    <t>F(2, 95) = 3.90</t>
  </si>
  <si>
    <t>av_126_1</t>
  </si>
  <si>
    <t>av_126</t>
  </si>
  <si>
    <t xml:space="preserve">The effect I reported is for the endogenous cuing because "cues). In the task with unequal probability of valid and invalid cues (endogenous cueing), which was an exact replication of the study of Nelson et al. (1993),""; for the  r_sample size I got it from table 1 </t>
  </si>
  <si>
    <t>Nelson, E., Early, T. S., &amp; Haller, J. W. (1993). Visual attention in obsessive-compulsive disorder. Psychiatry Research, 49, 183e196.</t>
  </si>
  <si>
    <t>10.1016/0165-1781(93)90104-O</t>
  </si>
  <si>
    <t>10.1016--0165-1781(93)90104-o.pdf</t>
  </si>
  <si>
    <t>Lehnen, K., &amp; Pietrowsky, R. (2015). Inhibition deficit in OCD patients. Journal of Behavior Therapy and Experimental Psychiatry, 47, 60–67. https://doi.org/10.1016/j.jbtep.2014.11.009</t>
  </si>
  <si>
    <t>10.1016/j.jbtep.2014.11.009</t>
  </si>
  <si>
    <t>10.1016--j.jbtep.2014.11.009.pdf</t>
  </si>
  <si>
    <t>obsessive-compulsive disorder (OCD)</t>
  </si>
  <si>
    <t>Anxiety disorder, neuropsychological deficits, cognition, perception, reaction time, depressed mood</t>
  </si>
  <si>
    <t>The OCD group clearly seemed to evidence inhibition of return, albeit less than control subjects for left field targets. No evidence of inhibition of return was seen in their performance for right field targets.</t>
  </si>
  <si>
    <t>A significant cue X delay (F = 26.42; df = 2, 56; p &lt; 0.0001) interaction was observed which presumably reflected both the disappearance of the advantageous effects of valid versus invalid cuing at the longer delay (RTvtoo - RT~luo = -45 msec vs. RTvsou - RTrsuo = f7 msec), as well as the relatively greater advantage of any cuing versus the no cue condition at the longer delay (RTcloo - RT~tou = -7 msec vs. RTcsuu - RTp,suo = -16 msec).</t>
  </si>
  <si>
    <t>F = 26.42</t>
  </si>
  <si>
    <t>av_127_1</t>
  </si>
  <si>
    <t>av_127</t>
  </si>
  <si>
    <t>Bisby, J. A., &amp; Burgess, N. (2014). Negative affect impairs associative memory but not item memory. Learning &amp; Memory, 21, 760–766. https://doi.org/10.1101/lm.032409.113.</t>
  </si>
  <si>
    <t>10.1101/lm.032409.113</t>
  </si>
  <si>
    <t>10.1101--lm.032409.113.pdf</t>
  </si>
  <si>
    <t>Matsumoto, N., &amp; Kawaguchi, J. (2020). Negative item memory and associative memory: Influences of working memory capacity, anxiety sensitivity, and looming cognition. Journal of Behavior Therapy and Experimental Psychiatry, 68, 101569. https://doi.org/10.1016/j.jbtep.2020.101569</t>
  </si>
  <si>
    <t>10.1016/j.jbtep.2020.101569</t>
  </si>
  <si>
    <t>10.1016--j.jbtep.2020.101569.pdf</t>
  </si>
  <si>
    <t>memory</t>
  </si>
  <si>
    <t xml:space="preserve">associative memory, item memory, Negative affect, </t>
  </si>
  <si>
    <t>Negative affect impairs associative memory but not item memory</t>
  </si>
  <si>
    <t>We analyzed participants’ memory performance from Experiment 1 (Fig. 1) using a 2 × 2 repeated measures ANOVA with memory type (item, context) and valence (neutral, negative) as within-participant factors. Results showed a significant memory type × valence interaction (F(1,17) 1= 16.36, P 1= 0.001, N2p = 0.49)</t>
  </si>
  <si>
    <t>av_127_b</t>
  </si>
  <si>
    <t>item memory was facilitated by emotional affect</t>
  </si>
  <si>
    <t>Further examination of the interaction showed that recognition memory performance was greater for negative items compared to neutral items (t(17) = 2.15, P = 0.046, d = 0.52).</t>
  </si>
  <si>
    <t>av_127_c</t>
  </si>
  <si>
    <t>memory for an associated context was reduced</t>
  </si>
  <si>
    <t>However, the opposite pattern was observed for context memory with greater performance for retrieving contexts associated with neutral items compared to those associated with negative items (t(17) = 4.00, P = 0.001, d = 0.95)</t>
  </si>
  <si>
    <t>av_128_1</t>
  </si>
  <si>
    <t>av_128</t>
  </si>
  <si>
    <t>I am not totally sure that the o_effect and r_effect are the right ones. the analysis are a bit diffrent in each paper: for the original it was reported a 2 × (2) × (2) mixed ANCOVAs with stimulus type (stove vs. lights) and time point (pre vs. post) as the repeated measures and condition (checking vs. exposure) as the between subjects, and the effect represents the difference be-tween conditions in the decrease in accuracy between pre and post-test. for the replication it was reported a A 2 (Number of checks: 0 or 1) x 2 (Trial number:First or last) x 3 (Metamemory question: Confidence, vividness, or de-tail) mixed factor ANOVA, and the effect represents a main effect of check number (DV = the mean number of burners correctly iden-tified on the first and last trial)</t>
  </si>
  <si>
    <r>
      <rPr>
        <rFont val="Calibri"/>
        <sz val="11.0"/>
      </rPr>
      <t xml:space="preserve">Medway, M., &amp; Jones, M. K. (2013). Further evidence that repeated checking leads to reduced memory confidence, vividness and detail: New evidence that repeated object exposure also results in memory distrust. Behaviour Change, 30(3), 159–179. </t>
    </r>
    <r>
      <rPr>
        <rFont val="Calibri"/>
        <color rgb="FF1155CC"/>
        <sz val="11.0"/>
        <u/>
      </rPr>
      <t>https://doi.org/10.1017/bec.2013.16.</t>
    </r>
  </si>
  <si>
    <t>10.1017/bec.2013.16.</t>
  </si>
  <si>
    <t>10.1017--bec.2013.16..pdf</t>
  </si>
  <si>
    <t>Burns, D. J., Dalterio, C. H., Burns, S. A., &amp; Coelho, G. V. (2020). Not all checking decreases memory confidence: Implications for obsessive-compulsive disorder. Journal of Behavior Therapy and Experimental Psychiatry, 69, 101573. https://doi.org/10.1016/j.jbtep.2020.101573</t>
  </si>
  <si>
    <t>10.1016/j.jbtep.2020.101573</t>
  </si>
  <si>
    <t>10.1016--j.jbtep.2020.101573.pdf</t>
  </si>
  <si>
    <t>memory confidence</t>
  </si>
  <si>
    <t>obsessive–compulsive disorder, checking, memory confidence, mem-ory distrust</t>
  </si>
  <si>
    <t>Impact of Repeated Trials on Memory Accuracy</t>
  </si>
  <si>
    <t>Consistent with expectation, no significant difference be- tween conditions in the decrease in accuracy between pre and post-test was found, F(1, 108) = 0.02, p = .89, as displayed in Figure 2.</t>
  </si>
  <si>
    <t>F(1, 108) = 0.02</t>
  </si>
  <si>
    <t>av_129_1</t>
  </si>
  <si>
    <t>av_129</t>
  </si>
  <si>
    <t>in the o_paper table 1 lists coefficents but I don't know how to report them in this doc so for this effect coefficient(SD) = 0.0690** (0.030)</t>
  </si>
  <si>
    <r>
      <rPr>
        <rFont val="Calibri"/>
        <sz val="11.0"/>
      </rPr>
      <t xml:space="preserve">Ert, E., Fleischer, A., &amp; Magen, N. (2016). Trust and reputation in the sharing economy: The role of personal photos in Airbnb. Tourism Management, 55, 62–73. </t>
    </r>
    <r>
      <rPr>
        <rFont val="Calibri"/>
        <color rgb="FF1155CC"/>
        <sz val="11.0"/>
        <u/>
      </rPr>
      <t>https://doi.org/10.1016/j.tourman.2016.01.013.</t>
    </r>
  </si>
  <si>
    <t>10.1016/j.tourman.2016.01.013</t>
  </si>
  <si>
    <t>10.1016--j.tourman.2016.01.013.pdf</t>
  </si>
  <si>
    <t>Jaeger, B., Sleegers, W. W. A., Evans, A. M., Stel, M., &amp; van Beest, I. (2019). The effects of facial attractiveness and trustworthiness in online peer-to-peer markets. Journal of Economic Psychology, 75, 102125. https://doi.org/10.1016/j.joep.2018.11.004</t>
  </si>
  <si>
    <t>10.1016/j.joep.2018.11.004</t>
  </si>
  <si>
    <t>10.1016--j.joep.2018.11.004.pdf</t>
  </si>
  <si>
    <t>Trustworthiness</t>
  </si>
  <si>
    <t>Sharing economy, Airbnb, Trustworthiness, Attractiveness, Online reviews, Electronic word of mouth, Decision making</t>
  </si>
  <si>
    <t>the impact of hosts' photo on Airbnb on guests' decisions.</t>
  </si>
  <si>
    <t>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
  </si>
  <si>
    <t>https://osf.io/8q9xh</t>
  </si>
  <si>
    <t>av_129_b</t>
  </si>
  <si>
    <t>in the o_paper table 1 lists coefficents but I don't know how to report them in this doc so for this effect coefficient(SD) = 0.0044 (0.024)</t>
  </si>
  <si>
    <r>
      <rPr>
        <rFont val="Calibri"/>
        <sz val="11.0"/>
      </rPr>
      <t xml:space="preserve">Ert, E., Fleischer, A., &amp; Magen, N. (2016). Trust and reputation in the sharing economy: The role of personal photos in Airbnb. Tourism Management, 55, 62–73. </t>
    </r>
    <r>
      <rPr>
        <rFont val="Calibri"/>
        <color rgb="FF1155CC"/>
        <sz val="11.0"/>
        <u/>
      </rPr>
      <t>https://doi.org/10.1016/j.tourman.2016.01.013.</t>
    </r>
  </si>
  <si>
    <t>In addition, we found no evidence for a beauty premium, as the host's perceived attractiveness did not result in a significant price premium.</t>
  </si>
  <si>
    <t>av_130_1</t>
  </si>
  <si>
    <t>av_130</t>
  </si>
  <si>
    <t>r_sample size is from table 1</t>
  </si>
  <si>
    <t>Jensen, A. R., &amp; Figueroa, R. A. (1975). Forward and backward digit span interaction with race and IQ: Predictions from Jensen's theory. Journal of Educational Psychology, 67(6), 882.</t>
  </si>
  <si>
    <t>10.1037/0022-0663.67.6.882</t>
  </si>
  <si>
    <t>10.1037--0022-0663.67.6.882.pdf</t>
  </si>
  <si>
    <t>Ganzach, Y. (2016). Another look at the Spearman’s hypothesis and relationship between Digit Span and General Mental Ability. Learning and Individual Differences, 45, 128–132. https://doi.org/10.1016/j.lindif.2015.12.026</t>
  </si>
  <si>
    <t>10.1016/j.lindif.2015.12.026</t>
  </si>
  <si>
    <t>10.1016--j.lindif.2015.12.026.pdf</t>
  </si>
  <si>
    <t>Digit Span</t>
  </si>
  <si>
    <t xml:space="preserve">forward digit span, backward digit span,  IQ, race, </t>
  </si>
  <si>
    <t>BDS shows a greater white-black difference than FDS.</t>
  </si>
  <si>
    <t>The hypothesis is tested by the Race X FDS versus BDS interaction term, which turns out to be highly signifi-cant, F = (1, 1289) = 14.05, p &lt; .001.</t>
  </si>
  <si>
    <t>F = (1, 1289) = 14.05</t>
  </si>
  <si>
    <t>av_131_1</t>
  </si>
  <si>
    <t>av_131</t>
  </si>
  <si>
    <t>there are no general results to report in both papers. The authors in both papers reported a table detailing Conceptual Expansion. Anatomical specification, Talairach coordinates, maximum Z value and volume (mm3) of the significantly activated areas (l.m.: local maxima within each volume) in the D-H4D-L contrast (inclusive mask: D-H4C-H contrast). The results were corrected for whole brain multiple comparisons at the cluster level (P&lt;.01)....  in the o_paper results are reported in table 2 page 5 and in the r_paper results are reported in table 4 page 7... I don't know how to report the results in this case?</t>
  </si>
  <si>
    <t>Abraham, A., Pieritz, K., Thybusch, K., Rutter, B., Kröger, S., Schweckendiek, J., Hermann, C., 2012c. Creativity and the brain: uncovering the neural signature of conceptual expansion. Neuropsychologia 50 (8), 1906–1917. http://dx.doi.org/10.1016/j.neuropsychologia.2012.04.015.</t>
  </si>
  <si>
    <t>10.1016/j.neuropsychologia.2012.04.015</t>
  </si>
  <si>
    <t>10.1016--j.neuropsychologia.2012.04.015.pdf</t>
  </si>
  <si>
    <t>Abraham, A., Rutter, B., Bantin, T., &amp; Hermann, C. (2018). Creative conceptual expansion: A combined fMRI replication and extension study to examine individual differences in creativity. Neuropsychologia, 118, 29–39. https://doi.org/10.1016/j.neuropsychologia.2018.05.004</t>
  </si>
  <si>
    <t>10.1016/j.neuropsychologia.2018.05.004</t>
  </si>
  <si>
    <t>10.1016--j.neuropsychologia.2018.05.004.pdf</t>
  </si>
  <si>
    <t>conceptual expansion</t>
  </si>
  <si>
    <t>Creative cognition, fMRI, Semantic cognition, Working memory, Higher-order cognition, Divergent thinking</t>
  </si>
  <si>
    <t>Brain regions involved in the retention, retrieval and integration of conceptual knowledge such as the anterior inferior frontal gyrus, the temporal poles and the lateral frontopolar cortex were found to be selectively involved during conceptual expansion.</t>
  </si>
  <si>
    <t>Conceptual expansion (contrast: D-H4D-L with inclusive mask D-H4C-H)...Regions predicted to be involved in this contrast included the left anterior inferior frontal gyrus (IFG: BA 45/47), the lateral frontopolar cortex (FPC: BA 10) and the temporal poles (TP: BA 38). As shown in Table 2 and Fig. 3, all three regions were found to be involved during conceptual expansion.</t>
  </si>
  <si>
    <t>av_132_1</t>
  </si>
  <si>
    <t>av_132</t>
  </si>
  <si>
    <t>the papres test the competing dynamic mutualism versus g factor theories of the g factor. The effect I reported was replicated but the authors did not report the results and it was the opposit of the o_paper findings "When Omega was computed assuming equal g latent variance across groups, omega coefficients slightly decreased as age increased (ω for successive age groups were 0.77, 0.79, 0.77, 0.75, 0.76, and 0.74)." (page 5); Even though in the o_paper the o_effect was sig this is what they think about it "Although there was an observed increase in ωh from the ages of 2.5 to approximately 10.0, the observed slope was weak in magnitude. Furthermore, the results based on the mean of the bifactor model g loadings suggested that much, if not all, of the upward slope in ωh was due to differences in the number of subtests across age groups. Consequently, the results are interpreted to suggest that the dynamic mutualism theory of g was failed to be confirmed" so both papers have the same conclusion.</t>
  </si>
  <si>
    <t>Gignac, G. E. (2014). Dynamic mutualism versus g factor theory: An empirical test. Intelligence, 42, 89–97.</t>
  </si>
  <si>
    <t>10.1016/j.intell.2013.11.004</t>
  </si>
  <si>
    <t>10.1016--j.intell.2013.11.004.pdf</t>
  </si>
  <si>
    <t>Shahabi, S. R., Abad, F. J., &amp; Colom, R. (2018). g, mutualism, and development: Cross-sectional evidence from Iranian schoolchildren. Personality and Individual Differences, 135, 222–228. https://doi.org/10.1016/j.paid.2018.07.021</t>
  </si>
  <si>
    <t>10.1016/j.paid.2018.07.021</t>
  </si>
  <si>
    <t>10.1016--j.paid.2018.07.021.pdf</t>
  </si>
  <si>
    <t>g factor theory</t>
  </si>
  <si>
    <t>Dynamic mutualism, g, Intelligence, Bifactor, Omega hierarchical</t>
  </si>
  <si>
    <t>test the competing dynamic mutualism versus g factor theories of the g factor</t>
  </si>
  <si>
    <t>The Pearson correlation between age and ωh was r = .84. Based on a randomization test (10,000 permutations), the association was statistically significant, p &lt; .001.</t>
  </si>
  <si>
    <t>av_133_1</t>
  </si>
  <si>
    <t>av_133</t>
  </si>
  <si>
    <t>for both studies I reported sample sizes reported by the papers but the statistical tests infer diffrent sizes</t>
  </si>
  <si>
    <t>Hougaard KS, Andersen MB, Kjaer SL, Hansen AM, Werge T, Lund SP. Prenatal stress may increase vulnerability to life events: comparison with the effects of prenatal dexamethasone. Brain Res Dev Brain Res 2005;159:55–63.</t>
  </si>
  <si>
    <t>10.1016/j.devbrainres.2005.06.014</t>
  </si>
  <si>
    <t>10.1016--j.devbrainres.2005.06.014.pdf</t>
  </si>
  <si>
    <t>Kjær, S. L., Hougaard, K. S., Tasker, R. A., MacDonald, D. S., Rosenberg, R., Elfving, B., &amp; Wegener, G. (2011). Influence of diurnal phase on startle response in adult rats exposed to dexamethasone in utero. Physiology &amp;amp; Behavior, 102(5), 444–452. https://doi.org/10.1016/j.physbeh.2010.12.015</t>
  </si>
  <si>
    <t>10.1016/j.physbeh.2010.12.015</t>
  </si>
  <si>
    <t>10.1016--j.physbeh.2010.12.015.pdf</t>
  </si>
  <si>
    <t>prenatal dexamethasone</t>
  </si>
  <si>
    <t>Acoustic startle response; Chronic mild stress; Corticosterone; Dexamethasone; Fear potentiation; Prenatal stress</t>
  </si>
  <si>
    <t>effect of prenatal stress on ASR</t>
  </si>
  <si>
    <t>For the initial trial block, the AVG varied significantly with prenatal exposure group [F(2,92) = 5.130; P &lt; 0.01], i.e., startle amplitude increased with prenatal exposure.</t>
  </si>
  <si>
    <t>F(2,92) = 5.130</t>
  </si>
  <si>
    <t>F(1,70)= 7.520</t>
  </si>
  <si>
    <t>av_134_1</t>
  </si>
  <si>
    <t>av_134</t>
  </si>
  <si>
    <t>effect sizes in both papers are r2 not r but I can't modifie it here. in both papers there is not a reported general correlation between time headways and subjective ratings. Instead tables mentionning detailed correlations between multiple conponments of subjective ratings and time headways are reported (tabe 1 for both papers); so here I reported the correlation between task difficulty and time deadway (2 to 5ms) for 50 km/h</t>
  </si>
  <si>
    <t>Lewis-Evans, B., De Waard, D., &amp; Brookhuis, K. A. (2010). That’s close enough—A threshold effect of time headway on the experience of risk, task difficulty, effort, and comfort. Accident Analysis and Prevention, 42(6), 1926–1933.</t>
  </si>
  <si>
    <t>10.1016/j.aap.2010.05.014</t>
  </si>
  <si>
    <t>10.1016--j.aap.2010.05.014.pdf</t>
  </si>
  <si>
    <t>Siebert, F. W., Oehl, M., &amp; Pfister, H.-R. (2014). The influence of time headway on subjective driver states in adaptive cruise control. Transportation Research Part F: Traffic Psychology and Behaviour, 25, 65–73. https://doi.org/10.1016/j.trf.2014.05.005</t>
  </si>
  <si>
    <t>10.1016/j.trf.2014.05.005</t>
  </si>
  <si>
    <t>10.1016--j.trf.2014.05.005.pdf</t>
  </si>
  <si>
    <t>time headway</t>
  </si>
  <si>
    <t>Driver Behaviour Theory, Risk, Task Difficulty, Driver decision-making, Car following</t>
  </si>
  <si>
    <t>Relationship between subjective ratings and time headway in the averaged dataset</t>
  </si>
  <si>
    <t>1, the results of a regression analysis of the first four time headways for each subjective variable, and the last four are consistent with the trends discussed above....Task Difficulty...2.0 to 0.5 seconds...Right hand side of the road</t>
  </si>
  <si>
    <t>4 - close</t>
  </si>
  <si>
    <t>av_135_1</t>
  </si>
  <si>
    <t>av_135</t>
  </si>
  <si>
    <t>mean coefficient/ mean(domain) for BFI-2-S</t>
  </si>
  <si>
    <t>Soto, C. J., &amp; John, O. P. (2017b). Short and extra-short forms of the Big Five Inventory-2: The BFI-2-S and BFI-2-XS. Journal of Research in Personality, 68, 69–81. https://doi.org/10.1016/ j.jrp.2017.02.004</t>
  </si>
  <si>
    <t>10.1016/j.jrp.2017.02.004</t>
  </si>
  <si>
    <t>10.1016--j.jrp.2017.02.004.pdf</t>
  </si>
  <si>
    <t>Rammstedt, B., Danner, D., Soto, C. J., &amp; John, O. P. (2020). Validation of the Short and Extra-Short Forms of the Big Five Inventory-2 (BFI-2) and Their German Adaptations. European Journal of Psychological Assessment, 36(1), 149–161. https://doi.org/10.1027/1015-5759/a000481</t>
  </si>
  <si>
    <t>10.1027/1015-5759/a000481</t>
  </si>
  <si>
    <t>10.1027--1015-5759--a000481.pdf</t>
  </si>
  <si>
    <t>Big Five Inventory-2</t>
  </si>
  <si>
    <t>Big Five, Five-factor model, Facets, Personality measurement, Short measures</t>
  </si>
  <si>
    <t>Summary and comparison of measurement properties for the BFI-2, BFI-2-S, and BFI-2-XS domain scales (Study 2).</t>
  </si>
  <si>
    <t>table 1 ... Alpha reliabilities...Mean coefficient...BFI-2-S...Internet</t>
  </si>
  <si>
    <t xml:space="preserve"> α  = 0.78</t>
  </si>
  <si>
    <t>α = 0.73</t>
  </si>
  <si>
    <t>av_135_b</t>
  </si>
  <si>
    <t>mean coefficient/ mean(domain) for BFI-2-XS</t>
  </si>
  <si>
    <t>Big Five Inventory-3</t>
  </si>
  <si>
    <t>table 1 ... Alpha reliabilities...Mean coefficient...BFI-2-XS...Internet</t>
  </si>
  <si>
    <t>α = 0.62</t>
  </si>
  <si>
    <t>α = 0.53</t>
  </si>
  <si>
    <t>av_136_1</t>
  </si>
  <si>
    <t>av_136</t>
  </si>
  <si>
    <t>McCrink, K., Bloom, P., &amp; Santos, L. R. (2010). Children’s and adults’ judgments of equitable resource distributions. Developmental Science, 13, 37– 45. doi:10.1111/j.1467-7687.2009.00859.x</t>
  </si>
  <si>
    <t>10.1111/j.1467-7687.2009.00859.x</t>
  </si>
  <si>
    <t>10.1111--j.1467-7687.2009.00859.x.pdf</t>
  </si>
  <si>
    <t>Ng, R., Heyman, G. D., &amp; Barner, D. (2011). Collaboration promotes proportional reasoning about resource distribution in young children. Developmental Psychology, 47(5), 1230–1238. https://doi.org/10.1037/a0024923</t>
  </si>
  <si>
    <t>10.1037/a0024923</t>
  </si>
  <si>
    <t>10.1037--a0024923.pdf</t>
  </si>
  <si>
    <t>equitable resource distributions</t>
  </si>
  <si>
    <t>‘Giving Game’, distribute resources, developmental transition</t>
  </si>
  <si>
    <t>4-year-olds focused exclusively on absolute amount, 5-year-olds showed some sensitivity to proportion, and adults focused exclusively on proportion.</t>
  </si>
  <si>
    <t>For the conflict trials (3 ⁄ 4 vs 6 ⁄ 12), ... 5-year-olds gave the opposite answer, indicating that the puppet that gave more absolutely was nicer (...X2 (2, n = 16) = 27.38, p &lt; .0001).</t>
  </si>
  <si>
    <t>X2 (2, n = 16) = 27.38</t>
  </si>
  <si>
    <t>F(2, 29)  62.05,</t>
  </si>
  <si>
    <t>av_137_1</t>
  </si>
  <si>
    <t>av_137</t>
  </si>
  <si>
    <t>the o_paper have only descriptive results and no average result that I can report so I didn't know what to report in this case. The r_paper reported the results diffrently but still descriptive results so I am not sure about the effect I reported either.</t>
  </si>
  <si>
    <t>Albers, W., Pope, R., Selten, R., &amp; Vogt, B. (2000). Experimental evidence for attractions to chance. German Economic Review, 1, 113–130. doi:10.1111/1468-0475.t01-1-00007</t>
  </si>
  <si>
    <t>10.1111/1468-0475.t01-1-00007</t>
  </si>
  <si>
    <t>10.1111--1468-0475.t01-1-00007.pdf</t>
  </si>
  <si>
    <t>Adam, M. T. P., &amp; Kroll, E. B. (2012). Physiological evidence of attraction to chance. Journal of Neuroscience, Psychology, and Economics, 5(3), 152–165. https://doi.org/10.1037/a0029513</t>
  </si>
  <si>
    <t>10.1037/a0029513</t>
  </si>
  <si>
    <t>10.1037--a0029513.pdf</t>
  </si>
  <si>
    <t>Attractions to Chance</t>
  </si>
  <si>
    <t>Attractions to Chance, decision, lottery choice, utility theory</t>
  </si>
  <si>
    <t>In the experiments presented, lottery choice can be explained by this attraction to chance, and cannot be explained by either convex von Neuman-Morgenstern utility, or by rank-dependent risk-loving weights: attraction to chance is a separate motivator.</t>
  </si>
  <si>
    <t>Subjects tend to choose positive X for amounts of S which are not too high. The amount X as a percentage of S tends to decrease with the size of S. This can be seen by the medians in Table 1 which are denoted by M.</t>
  </si>
  <si>
    <t>X = 68% of Y</t>
  </si>
  <si>
    <t>av_138_1</t>
  </si>
  <si>
    <t>av_138</t>
  </si>
  <si>
    <t xml:space="preserve">in the o_paper for individual-level, N  = 4,874 and for group-level, N  = 339; for r_effect CI 95% [.001, .011]); in the o_paper for individual-level, N  = 414 and for group-level N = 120; I think this is not a replication. The authors of both papers studies victimization of high performers but in diffrent ways. First, the authors of the r_paper never suggested that they were replication the study by Kim and Glomb specifically, they were basing their design and hypothesis on multiple other studies. Second, the authors of the r_paper wanted to show that the effect of performance on undermining (through threat perceptions) explained unique variance over and above feelings of envy (which was the goal of the o_paper). This leads me to think that this is the main effect and not just the correlation between performance and victimization/undermining but I reported this effect because it was the only one that could be seen as replication. </t>
  </si>
  <si>
    <t>Kim, E., &amp; Glomb, T. M. (2014). Victimization of high performers: The roles of envy and work group identification. Journal of Applied Psy_x0002_chology, 99, 619 – 634. http://dx.doi.org/10.1037/a0035789</t>
  </si>
  <si>
    <t>10.1037/a0035789</t>
  </si>
  <si>
    <t>10.1037--a0035789.pdf</t>
  </si>
  <si>
    <t>Campbell, E. M., Liao, H., Chuang, A., Zhou, J., &amp; Dong, Y. (2017). Hot shots and cool reception? An expanded view of social consequences for high performers. Journal of Applied Psychology, 102(5), 845–866. https://doi.org/10.1037/apl0000183</t>
  </si>
  <si>
    <t>10.1037/apl0000183</t>
  </si>
  <si>
    <t>10.1037--apl0000183.pdf</t>
  </si>
  <si>
    <t>Victimization of High Performers</t>
  </si>
  <si>
    <t>victimization, envy, group identification, task performance</t>
  </si>
  <si>
    <t>task performance was significantly related to victimization ( y=  .11, p  = .00, t = 7.35)</t>
  </si>
  <si>
    <t>t = 7.35</t>
  </si>
  <si>
    <t>av_139_1</t>
  </si>
  <si>
    <t>av_139</t>
  </si>
  <si>
    <t>Custance, D., &amp; Mayer, J. (2012). Empathic-like responding by domestic dogs (Canis familiaris) to distress in humans: An exploratory study. Animal Cognition, 15, 851– 859. http://dx.doi.org/10.1007/s10071-012- 0510-1</t>
  </si>
  <si>
    <t>10.1007/s10071-012-0510-1</t>
  </si>
  <si>
    <t>10.1007--s10071-012-0510-1.pdf</t>
  </si>
  <si>
    <t>Meyers-Manor, J. E., &amp; Botten, M. L. (2020). A shoulder to cry on: Heart rate variability and empathetic behavioral responses to crying and laughing in dogs. Canadian Journal of Experimental Psychology / Revue Canadienne de Psychologie Expérimentale, 74(3), 235–243. https://doi.org/10.1037/cep0000225</t>
  </si>
  <si>
    <t>10.1037/cep0000225</t>
  </si>
  <si>
    <t>10.1037--cep0000225.pdf</t>
  </si>
  <si>
    <t>empathy</t>
  </si>
  <si>
    <t>Empathy  Emotional contagion  Domestic dogs</t>
  </si>
  <si>
    <t>dogs were significantly more person-oriented during crying</t>
  </si>
  <si>
    <t>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
  </si>
  <si>
    <t>av_140_1</t>
  </si>
  <si>
    <t>av_140</t>
  </si>
  <si>
    <t xml:space="preserve">I wish there were more options for discipline, for exp here I would have picked clinical psychology; for r_sample size N = 5,493 first-episode individual therapy clients and N = 146 first-episode group clients. I think the o_eefect is a main effect and the r_effect is a comparaison </t>
  </si>
  <si>
    <t>Burlingame, G. M., Whitcomb, K. E., Woodland, S. C., Olsen, J. A., Beecher, M., &amp; Gleave, R. (2018). The effects of relationship and progress feedback in group psychotherapy using the Group Questionnaire and Outcome Questionnaire-45: A randomized clinical trial. Psychotherapy: Theory, Research, &amp; Practice, 55, 116–131. http://dx.doi .org/10.1037/pst0000133</t>
  </si>
  <si>
    <t>10.1037/pst0000133</t>
  </si>
  <si>
    <t>10.1037--pst0000133.pdf</t>
  </si>
  <si>
    <t>Alldredge, C., Burlingame, G., Olsen, J., &amp; Van Epps, J. (2020). Outcome Questionnaire-45 (OQ-45) progress alert rates in group versus individual treatment: An archival replication. Group Dynamics: Theory, Research, and Practice, 24(4), 247–260. https://doi.org/10.1037/gdn0000121</t>
  </si>
  <si>
    <t>10.1037/gdn0000121</t>
  </si>
  <si>
    <t>10.1037--gdn0000121.pdf</t>
  </si>
  <si>
    <t>Group Psychotherapy</t>
  </si>
  <si>
    <t xml:space="preserve"> group psychotherapy, progress and relationship monitoring, feedback, Group Questionnaire—GQ, OQ-45</t>
  </si>
  <si>
    <t>The Effects of Relationship and Progress Feedback in Group Psychotherapy</t>
  </si>
  <si>
    <t>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
  </si>
  <si>
    <t xml:space="preserve"> F(1, 443) = 61.84</t>
  </si>
  <si>
    <t>av_141_1</t>
  </si>
  <si>
    <t>av_141</t>
  </si>
  <si>
    <t>3 factor-model; for r_effect CFI  .93, RMSEA  .06, SRMR  .06; for o_effect CFI = .93 RMSEA = .04 SRMR = .05</t>
  </si>
  <si>
    <t>Cohen, A. S., Matthews, R. A., Najolia, G. M., &amp; Brown, L. A. (2010). Toward a more psychometrically sound brief measure of schizotypal traits: Introducing the SPQ-Brief Revised. Journal of Personality Dis_x0002_orders, 24, 516 –537. doi:10.1521/pedi.2010.24.4.516</t>
  </si>
  <si>
    <t>10.1521/pedi.2010.24.4.516</t>
  </si>
  <si>
    <t>10.1521--pedi.2010.24.4.516.pdf</t>
  </si>
  <si>
    <t>Callaway, D. A., Cohen, A. S., Matthews, R. A., &amp; Dinzeo, T. (2014). Schizotypal Personality Questionnaire—Brief Revised: Psychometric replication and extension. Personality Disorders: Theory, Research, and Treatment, 5(1), 32–38. https://doi.org/10.1037/per0000041</t>
  </si>
  <si>
    <t>10.1037/per0000041</t>
  </si>
  <si>
    <t>10.1037--per0000041.pdf</t>
  </si>
  <si>
    <t>SCHIZOTYPAL TRAITS</t>
  </si>
  <si>
    <t>schizophrenia-spectrum disorders, SPQ-Brief, internal consistency, confirma-tory factor analysis</t>
  </si>
  <si>
    <t>In the sec-ond study, we administered the full version of the SPQ to a separate large nonclinical adult sample and employed exploratory and confirma-tory factor analysis to identify critical items that could be used to revise the SPQ-Brief.</t>
  </si>
  <si>
    <t>For each model four measures of model fit were calculated: χ2, compara-tive fit index (CFI), root mean square error of approximation (RMSEA), and standard root mean residual (SRMR)...Results for the four models are reported in Table 5. Model 3 and Model 4 both demonstrated acceptable fit. However, based on the χ2-differences tests, neither model significantly explained the data better compared to the other model; both the three-factor and four-factor model adequately explain the data.</t>
  </si>
  <si>
    <t>12,15</t>
  </si>
  <si>
    <t>X2 = 820.49</t>
  </si>
  <si>
    <t>X2(454) =  2742.15,</t>
  </si>
  <si>
    <t>av_141_b</t>
  </si>
  <si>
    <t>4 factor-model; for r_effect CFI  .93, RMSEA  .06, SRMR  .06; for o_effect CFI = .93 RMSEA = .04 SRMR = .05</t>
  </si>
  <si>
    <t>X2 = 817.37</t>
  </si>
  <si>
    <t>X2(453) =  2736.02</t>
  </si>
  <si>
    <t>ManyLabs4_1</t>
  </si>
  <si>
    <t>ManyLabs4_1a</t>
  </si>
  <si>
    <t>Author advised protocol replication with mortality salience manipulation and worldview defense evaluation.</t>
  </si>
  <si>
    <t>Greenberg, J., Pyszczynski, T., Solomon, S., Simon, L., &amp; Breus, M. (1994). Role of consciousness in terror management processes: The effects of mortality salience on reactions to those who violate or uphold cultural values. Journal of Personality and Social Psychology, 67(4), 627–637.</t>
  </si>
  <si>
    <t>10.1037//0022-3514.67.4.627</t>
  </si>
  <si>
    <t>https://docs.google.com/document/d/1zMtrIra83OJI6CStymOFkw2Dn21ttokQEJjs6FWryos/edit?usp=sharing</t>
  </si>
  <si>
    <t>Klein, R. A., Cook, C. L., Ebersole, C. R., Vitiello, C., Nosek, B. A., Hilgard, J., … Ratliff, K. A. (2022). Many Labs 4: Failure to Replicate Mortality Salience Effect With and Without Original Author Involvement. Collabra: Psychology, 8(1).</t>
  </si>
  <si>
    <t>10.1525/collabra.35271</t>
  </si>
  <si>
    <t>https://docs.google.com/document/d/1mg6-WDW-Xu9emeWt65gj6jsaARopBVKZnSIi0mtEOAg/edit?usp=sharing</t>
  </si>
  <si>
    <t>mortality salience</t>
  </si>
  <si>
    <t xml:space="preserve">mortality salience, terror management theory, replication, worldview defense, open science, social psychology
</t>
  </si>
  <si>
    <t>Reminders of one's own mortality (mortality salience) increase preference for individuals who uphold cultural worldviews (e.g., pro-American essay authors) over those who challenge them (e.g., anti-American essay authors).</t>
  </si>
  <si>
    <t>Participants in the mortality salience condition showed a greater preference for the pro-American author than the anti-American author (Cohen’s d = 1.34, t(53) = 4.87, p &lt; .001).</t>
  </si>
  <si>
    <t>ManyLabs4_1b</t>
  </si>
  <si>
    <t xml:space="preserve">Reminders of mortality increase support for authors expressing culturally dominant views compared to those expressing opposing views, using an independently developed replication protocol without input from original authors.
</t>
  </si>
  <si>
    <t>ManyLabs4_1c</t>
  </si>
  <si>
    <t xml:space="preserve">mortality salience, terror management theory, replication, worldview defense, author advised, open science, social psychology
</t>
  </si>
  <si>
    <t>Mortality salience increases preference for authors supporting dominant cultural values over those challenging them, tested under a standardized protocol developed with original author input.</t>
  </si>
  <si>
    <t>ManyLabs4_1d</t>
  </si>
  <si>
    <t>Author advised protocol replication with mortality salience manipulation and worldview defense evaluation. No access issues encountered; included as valid direct replication.</t>
  </si>
  <si>
    <t>mortality salience, terror management theory, replication, worldview defense, author advised, open science, social psychology</t>
  </si>
  <si>
    <t>The effect of mortality salience on preference for authors aligned with dominant cultural values was tested under a standardized protocol designed with original author input.</t>
  </si>
  <si>
    <t>Participants in the mortality salience condition showed a greater preference for the pro-American author than the anti-American author (Cohen’s d = 1.34, t(53) = 4.87, p &lt; .001)</t>
  </si>
  <si>
    <t>ManyLabs4_1e</t>
  </si>
  <si>
    <t>Independent replication testing whether mortality salience increases preference for culturally aligned essay authors over opposing ones, using a protocol developed without original author input.</t>
  </si>
  <si>
    <t>ManyLabs4_1f</t>
  </si>
  <si>
    <t>A conceptual replication testing whether mortality salience influences preference for culturally affirming authors over critics, using a lab-developed protocol without original author consultation.</t>
  </si>
  <si>
    <t>ManyLabs4_1g</t>
  </si>
  <si>
    <t>Replication of the mortality salience effect under standardized protocol with input from original authors, testing whether thoughts of death increase support for culturally aligned essay authors.</t>
  </si>
  <si>
    <t>ManyLabs4_1h</t>
  </si>
  <si>
    <t>A direct replication using an Author Advised protocol tested whether mortality salience increases support for culturally aligned essay authors relative to control conditions.</t>
  </si>
  <si>
    <t>ManyLabs4_1i</t>
  </si>
  <si>
    <t>This conceptual replication tested whether reminders of mortality increase positive evaluations of authors supporting dominant cultural values, using an independently developed protocol.</t>
  </si>
  <si>
    <t>ManyLabs4_1j</t>
  </si>
  <si>
    <t xml:space="preserve">This replication used a lab-developed protocol to test whether mortality salience leads to increased preference for culturally affirming essay authors, and observed a strong positive effect.
</t>
  </si>
  <si>
    <t>ManyLabs4_1k</t>
  </si>
  <si>
    <t xml:space="preserve">This In House replication found a strong and statistically significant mortality salience effect, showing that participants preferred culturally aligned authors after being reminded of their own mortality.
</t>
  </si>
  <si>
    <t>ManyLabs4_1l</t>
  </si>
  <si>
    <t xml:space="preserve">This conceptual replication using an independently developed protocol found only a minimal mortality salience effect, with little difference in evaluations of culturally aligned versus opposing essay authors.
</t>
  </si>
  <si>
    <t>ManyLabs4_1m</t>
  </si>
  <si>
    <t>This replication tested whether mortality salience prompts greater support for culturally affirming essay authors. Despite using an independent protocol, results showed virtually no effect.</t>
  </si>
  <si>
    <t>ManyLabs4_1n</t>
  </si>
  <si>
    <t>This independently conducted replication investigated the mortality salience effect on participants’ evaluations of culturally aligned essay authors, yielding a small and non-significant effect.</t>
  </si>
  <si>
    <t>ManyLabs4_1o</t>
  </si>
  <si>
    <t>Using an internally designed replication protocol, this study examined whether mortality salience influences preferences for authors supporting cultural norms. The effect observed was negligible and not statistically significant.</t>
  </si>
  <si>
    <t>ManyLabs4_1p</t>
  </si>
  <si>
    <t>This replication study in the Netherlands assessed the mortality salience effect on participants’ reactions to culturally aligned versus opposing authors, observing a small and non-significant difference.</t>
  </si>
  <si>
    <t>ManyLabs4_1q</t>
  </si>
  <si>
    <t>This in-house replication at Washington University in St. Louis explored the mortality salience effect on essay evaluations. Results showed a very small and non-significant difference between conditions.</t>
  </si>
  <si>
    <t>ManyLabs4_1r</t>
  </si>
  <si>
    <t xml:space="preserve">This in-house replication examined the mortality salience effect using the original theoretical framing. The observed effect was small and statistically non-significant.
</t>
  </si>
  <si>
    <t>ManyLabs4_1s</t>
  </si>
  <si>
    <t>This replication at Western University tested the classic mortality salience hypothesis. Although using the original author’s protocol, the effect was small and statistically non-significant.</t>
  </si>
  <si>
    <t>ManyLabs4_1t</t>
  </si>
  <si>
    <t>This in-house replication at Yale University found no evidence for the mortality salience effect, with results indicating virtually no difference between experimental and control conditions.</t>
  </si>
  <si>
    <t>ManyLabs4_1u</t>
  </si>
  <si>
    <t>The KU Leuven in-house replication found a small and statistically non-significant effect in the opposite direction of the original mortality salience finding.</t>
  </si>
  <si>
    <t>ManyLabs4_1v</t>
  </si>
  <si>
    <t>This replication at the University of Sussex found a small, non-significant effect in the opposite direction of the original mortality salience hypothesis.</t>
  </si>
  <si>
    <t>ManyLabs4_1w</t>
  </si>
  <si>
    <t>The University of Würzburg replication found no meaningful mortality salience effect, with a small, statistically non-significant difference between groups.</t>
  </si>
  <si>
    <t>ManyLabs4_1x</t>
  </si>
  <si>
    <t>The University of Warsaw replication found a small negative effect inconsistent with the original mortality salience finding, and it was not statistically significant.</t>
  </si>
  <si>
    <t>ManyLabs5_1</t>
  </si>
  <si>
    <t>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</si>
  <si>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 </t>
  </si>
  <si>
    <t>https://docs.google.com/document/d/1LOURR69tYaAHP8VPtLRp1W11M4d7HDjnLyLsNXA71FA/edit?usp=sharing</t>
  </si>
  <si>
    <t xml:space="preserve">Ebersole CR, Mathur MB, Baranski E, et al. Many Labs 5: Testing Pre-Data-Collection Peer Review as an Intervention to Increase Replicability. Advances in Methods and Practices in Psychological Science. 2020;3(3):309-331. </t>
  </si>
  <si>
    <t>10.1177/2515245920958687</t>
  </si>
  <si>
    <t>general action vs. inaction priming effect</t>
  </si>
  <si>
    <t xml:space="preserve">action goals, inaction goals, cognitive performance, priming, general action, general inaction, replication, social psychology, RP:P protocol </t>
  </si>
  <si>
    <t>This RP:P protocol replication tested whether activating general action goals (e.g. “active”, “go”) increases cognitive task performance compared to general inaction goals (e.g. “rest”, “stop”).</t>
  </si>
  <si>
    <t>Participants primed with general action words solved more anagram problems (M = 9.08) than those primed with inaction words (M = 6.36), t(36) = 2.18, p = .036, d = 0.71.</t>
  </si>
  <si>
    <t xml:space="preserve"> p. 9</t>
  </si>
  <si>
    <t>https://osf.io/jw9zf</t>
  </si>
  <si>
    <t>ManyLabs5_1b</t>
  </si>
  <si>
    <t xml:space="preserve">This revised protocol replication tested the effect of general action versus inaction priming on cognitive task performance using an updated and improved methodological design. </t>
  </si>
  <si>
    <t>ManyLabs5_1c</t>
  </si>
  <si>
    <t>Caruso, E. M., Epley, N., &amp; Bazerman, M. H. (2006). The costs and benefits of undoing egocentric responsibility assessments in groups. Journal of Personality and Social Psychology, 91(5), 857–871.</t>
  </si>
  <si>
    <t>10.1037/0022-3514.91.5.857</t>
  </si>
  <si>
    <t>https://docs.google.com/document/d/1q1mSMmFArVVmPQ62Ecxo6QVkJMViNmoTVZToY3j9ar8/edit?usp=sharing</t>
  </si>
  <si>
    <t>https://docs.google.com/document/d/1ZzvVmgxDAIPMvYnVrf_XgI9Gayt1hweFIX4Zmxdvoic/edit?usp=sharing</t>
  </si>
  <si>
    <t>egocentric responsibility bias</t>
  </si>
  <si>
    <t xml:space="preserve">egocentrism, responsibility attribution, group decision-making, bias, social psychology, replication, RP:P protocol </t>
  </si>
  <si>
    <t>People tend to overestimate their own contributions to group tasks relative to other members, showing an egocentric responsibility bias.</t>
  </si>
  <si>
    <t>Participants assigned significantly greater responsibility to themselves (M = 43.7%) than to other group members (M = 37.3%), t(75) = 3.26, p = .002, d = 0.37.</t>
  </si>
  <si>
    <t>ManyLabs5_1d</t>
  </si>
  <si>
    <t xml:space="preserve">Participants assigned significantly greater responsibility to themselves (M = 43.7%) than to other group members (M = 37.3%), t(75) = 3.26, p = .002, d = 0.37. </t>
  </si>
  <si>
    <t>ManyLabs5_1e</t>
  </si>
  <si>
    <t>Critcher, C. R., &amp; Gilovich, T. (2008). Incidental environmental anchors. Journal of Behavioral Decision Making, 21(3), 241–251.</t>
  </si>
  <si>
    <t>https://docs.google.com/document/d/1lq09efqUpQOWwAZf9NvJnDBfJK9vzje04D5DE32JzIU/edit?usp=sharing</t>
  </si>
  <si>
    <t xml:space="preserve">anchoring, incidental anchors, judgment bias, decision making, social psychology, replication, revised protocol </t>
  </si>
  <si>
    <t xml:space="preserve">This RP:P protocol replication tested whether incidental environmental anchors influence numeric estimates, replicating the original anchoring effect with the pre-registered protocol. </t>
  </si>
  <si>
    <t>Participants exposed to a high anchor provided significantly higher estimates of annual snowfall in Ithaca (M = 55.5 inches) than those exposed to a low anchor (M = 33.6 inches), t(84) = 2.68, p = .009, d = 0.58.</t>
  </si>
  <si>
    <t>ManyLabs5_1f</t>
  </si>
  <si>
    <t xml:space="preserve">This revised protocol replication tested the influence of incidental environmental anchors on numeric estimates using an updated design with methodological improvements. </t>
  </si>
  <si>
    <t>ManyLabs5_1g</t>
  </si>
  <si>
    <t>Dijksterhuis, A., &amp; van Knippenberg, A. (1998). The relation between perception and behavior, or how to win a game of Trivial Pursuit. Journal of Personality and Social Psychology, 74(4), 865–877.</t>
  </si>
  <si>
    <t>10.1037/0022-3514.74.4.865</t>
  </si>
  <si>
    <t>https://docs.google.com/document/d/1ehetAJ_M8sv8BkNoXbmDYoZDOhSP4Af36uqNtKhq7IE/edit?usp=sharing</t>
  </si>
  <si>
    <t>intelligence priming effect</t>
  </si>
  <si>
    <t xml:space="preserve"> priming, intelligence, stereotype activation, behavior, social psychology, replication, RP:P protocol</t>
  </si>
  <si>
    <t>Priming participants with the concept of professors (vs. soccer hooligans) increases general knowledge performance in a trivia task.</t>
  </si>
  <si>
    <t xml:space="preserve">Participants primed with the professor stereotype answered significantly more Trivial Pursuit questions correctly (M = 23.4) than those primed with the soccer hooligan stereotype (M = 17.9), t(38) = 2.91, p = .006, d = 0.92. </t>
  </si>
  <si>
    <t>ManyLabs5_1h</t>
  </si>
  <si>
    <t xml:space="preserve">Priming participants with the concept of professors (vs. soccer hooligans) increases general knowledge performance in a trivia task, tested here with a revised replication protocol. </t>
  </si>
  <si>
    <t>Participants primed with the professor stereotype answered significantly more Trivial Pursuit questions correctly (M = 23.4) than those primed with the soccer hooligan stereotype (M = 17.9), t(38) = 2.91, p = .006, d = 0.92.</t>
  </si>
  <si>
    <t>ManyLabs5_1i</t>
  </si>
  <si>
    <t xml:space="preserve">Epley, N., &amp; Gilovich, T. (2006). The Anchoring-and-Adjustment Heuristic: Why the Adjustments Are Insufficient. Psychological Science, 17(4), 311–318. </t>
  </si>
  <si>
    <t>https://docs.google.com/document/d/17zN7YUWfQlcOSuSWRIOr_DLR7QLwq-Jqd1Rsib1bO-g/edit?usp=sharing</t>
  </si>
  <si>
    <t>anchoring and insufficient adjustment</t>
  </si>
  <si>
    <t>anchoring, adjustment, heuristic, judgment bias, social psychology, replication, revised protocol</t>
  </si>
  <si>
    <t xml:space="preserve">People anchor on initial values and fail to sufficiently adjust their judgments away from these anchors, leading to biased estimates. </t>
  </si>
  <si>
    <t>Participants given a high anchor estimated the Mississippi River to be longer (M = 3000 miles) than those given a low anchor (M = 500 miles), t(56) = 5.07, p &lt; .001, d = 1.34.</t>
  </si>
  <si>
    <t>ManyLabs5_i</t>
  </si>
  <si>
    <t xml:space="preserve">People anchor on initial values and fail to sufficiently adjust their judgments away from these anchors, leading to biased estimates. This revised protocol replication tested the effect with updated methodological design. </t>
  </si>
  <si>
    <t>ManyLabs5_j</t>
  </si>
  <si>
    <t>Gilbert, D. T., Pelham, B. W., &amp; Krull, D. S. (1988). On cognitive busyness: When person perceivers meet persons perceived. Journal of Personality and Social Psychology, 54(5), 733–740.</t>
  </si>
  <si>
    <t>10.1037/0022-3514.54.5.733</t>
  </si>
  <si>
    <t>https://docs.google.com/document/d/1PJiCAJ0Qn6A9OcFJrFoO0onrlwj-s7zBhuEiFmZNevQ/edit?usp=sharing</t>
  </si>
  <si>
    <t>cognitive busyness attribution effect</t>
  </si>
  <si>
    <t xml:space="preserve">cognitive busyness, attribution, social perception, judgment bias, social psychology, replication, RP:P protocol </t>
  </si>
  <si>
    <t xml:space="preserve">Cognitive busyness reduces individuals’ ability to correct dispositional attributions, leading to stronger trait inferences even when situational constraints are present. </t>
  </si>
  <si>
    <t xml:space="preserve">Cognitive busyness increased dispositional attributions for constrained behaviors, F(1, 73) = 5.49, p = .022, η² = .07. </t>
  </si>
  <si>
    <t xml:space="preserve"> p. 6</t>
  </si>
  <si>
    <t>ManyLabs5_k</t>
  </si>
  <si>
    <t xml:space="preserve">Cognitive busyness reduces individuals’ ability to correct dispositional attributions, leading to stronger trait inferences even when situational constraints are present. This revised protocol replication tested the effect with updated methods. </t>
  </si>
  <si>
    <t>Cognitive busyness increased dispositional attributions for constrained behaviors, F(1, 73) = 5.49, p = .022, η² = .07.</t>
  </si>
  <si>
    <t>ManyLabs5_l</t>
  </si>
  <si>
    <t>Original effect size reported as φ (phi coefficient). Database field for phi not available; coded as Cramér's V due to equivalence in 2x2 contingency tables. No other issues.</t>
  </si>
  <si>
    <t>Schooler JW, Engstler-Schooler TY. Verbal overshadowing of visual memories: some things are better left unsaid. Cogn Psychol. 1990 Jan;22(1):36-71.</t>
  </si>
  <si>
    <t>10.1016/0010-0285(90)90003-m</t>
  </si>
  <si>
    <t>https://docs.google.com/document/d/1Kr-ehXst8FeW1S_je-fLc5seWgpCK1V8E6spqpEBVB4/edit?usp=sharing</t>
  </si>
  <si>
    <t>verbal overshadowing</t>
  </si>
  <si>
    <t>verbal overshadowing, memory, eyewitness, verbalization, cognitive psychology, replication, RP:P protocol</t>
  </si>
  <si>
    <t xml:space="preserve">Describing a face impairs later recognition accuracy compared to not describing it, an effect known as verbal overshadowing. </t>
  </si>
  <si>
    <t xml:space="preserve">Participants who verbally described the face were less accurate in identifying the suspect (38.5%) than those who did not describe it (64.3%), χ²(1, N=30)=4.11, p &lt; .05, φ = .37. </t>
  </si>
  <si>
    <t>ManyLabs5_m</t>
  </si>
  <si>
    <t>Describing a face impairs later recognition accuracy compared to not describing it, an effect known as verbal overshadowing. This revised protocol replication tested the effect with updated methods.</t>
  </si>
  <si>
    <t>ManyLabs5_n</t>
  </si>
  <si>
    <t>Zajonc, R. B. (1968). Attitudinal effects of mere exposure. Journal of Personality and Social Psychology, 9(2, Pt.2), 1–27.</t>
  </si>
  <si>
    <t>10.1037/h0025848</t>
  </si>
  <si>
    <t>https://docs.google.com/document/d/1nH8jkHDCOjngPXNkIaS6dDmKQyMeDHyRtWy2TN_HbDw/edit?usp=sharing</t>
  </si>
  <si>
    <t>mere exposure effect</t>
  </si>
  <si>
    <t xml:space="preserve">mere exposure, attitudes, familiarity, liking, social psychology, replication, RP:P protocol </t>
  </si>
  <si>
    <t xml:space="preserve">Repeated exposure to a stimulus increases individuals’ positive attitudes toward it, an effect known as mere exposure. </t>
  </si>
  <si>
    <t xml:space="preserve">Participants rated Chinese characters they had seen more frequently as more positive, F(4, 95) = 9.79, p &lt; .001, η² = .29. </t>
  </si>
  <si>
    <t>ManyLabs5_o</t>
  </si>
  <si>
    <t>Repeated exposure to a stimulus increases individuals’ positive attitudes toward it, an effect known as mere exposure. This revised protocol replication tested the effect with updated methods.</t>
  </si>
  <si>
    <t>ManyLabs5_p</t>
  </si>
  <si>
    <t xml:space="preserve">Repeated exposure to a stimulus increases individuals’ positive attitudes toward it, known as the mere exposure effect. This study extended the effect to a different set of stimuli. 
</t>
  </si>
  <si>
    <t>Participants rated stimuli they had seen more frequently as more positive, F(4, 115) = 14.92, p &lt; .001, η² = .34.</t>
  </si>
  <si>
    <t>ManyLabs5_q</t>
  </si>
  <si>
    <t xml:space="preserve">Repeated exposure to a stimulus increases individuals’ positive attitudes toward it, known as the mere exposure effect. This revised protocol replication tested the effect with updated methods and stimuli. </t>
  </si>
  <si>
    <t xml:space="preserve">Participants rated stimuli they had seen more frequently as more positive, F(4, 115) = 14.92, p &lt; .001, η² = .34. </t>
  </si>
  <si>
    <t>ManyLabs5_r</t>
  </si>
  <si>
    <t xml:space="preserve">Repeated exposure to a stimulus increases individuals’ positive attitudes toward it, an effect known as mere exposure. Experiment 3 extended the effect to different stimuli and exposure frequencies. </t>
  </si>
  <si>
    <t xml:space="preserve"> Participants rated stimuli they had seen more frequently as more positive, F(4, 95) = 12.85, p &lt; .001, η² = .30.</t>
  </si>
  <si>
    <t>ManyLabs5_s</t>
  </si>
  <si>
    <t>Repeated exposure to a stimulus increases individuals’ positive attitudes toward it, an effect known as mere exposure. This revised protocol replication tested the effect with updated methods and stimuli.</t>
  </si>
  <si>
    <t xml:space="preserve"> Participants rated stimuli they had seen more frequently as more positive, F(4, 95) = 12.85, p &lt; .001, η² = .30. </t>
  </si>
  <si>
    <t>COUNTA of id</t>
  </si>
  <si>
    <t>COUNTUNIQUE of doi_o</t>
  </si>
  <si>
    <t>Grand Total</t>
  </si>
  <si>
    <t>How to use?</t>
  </si>
  <si>
    <t>Input data from the paper into the yellow fields, then copy the outputs from the green fields into the record</t>
  </si>
  <si>
    <t>Cohen's d</t>
  </si>
  <si>
    <t>M1</t>
  </si>
  <si>
    <t>SD1</t>
  </si>
  <si>
    <t>N1</t>
  </si>
  <si>
    <t>If N for groups are not available, leave blank</t>
  </si>
  <si>
    <t>(M=0.65, SE=0.20) and post-test 2 (M=0.71, SE=0.21)</t>
  </si>
  <si>
    <t>M2</t>
  </si>
  <si>
    <t>SD2</t>
  </si>
  <si>
    <t>N2</t>
  </si>
  <si>
    <r>
      <rPr>
        <rFont val="Arial"/>
        <b/>
        <color theme="1"/>
      </rPr>
      <t>Formula</t>
    </r>
    <r>
      <rPr>
        <rFont val="Arial"/>
        <color theme="1"/>
      </rPr>
      <t xml:space="preserve"> - for es_repr_ field</t>
    </r>
  </si>
  <si>
    <r>
      <rPr>
        <rFont val="Arial"/>
        <b/>
        <color theme="1"/>
      </rPr>
      <t>Value</t>
    </r>
    <r>
      <rPr>
        <rFont val="Arial"/>
        <color theme="1"/>
      </rPr>
      <t xml:space="preserve"> - for es_value_ field</t>
    </r>
  </si>
  <si>
    <r>
      <rPr>
        <rFont val="Arial"/>
        <b/>
        <color theme="1"/>
      </rPr>
      <t>Odds Ratios</t>
    </r>
    <r>
      <rPr>
        <rFont val="Arial"/>
        <b val="0"/>
        <color theme="1"/>
      </rPr>
      <t xml:space="preserve"> ("Success" should be outcome 1)</t>
    </r>
  </si>
  <si>
    <t>Option 1 - based on 2x2 table</t>
  </si>
  <si>
    <t>Outcome 1</t>
  </si>
  <si>
    <t>Outcome 2</t>
  </si>
  <si>
    <t>Group 1</t>
  </si>
  <si>
    <t>Group 2</t>
  </si>
  <si>
    <t>Formula - paste as value in rep field</t>
  </si>
  <si>
    <t>Value - paste as value in es field</t>
  </si>
  <si>
    <t>Option 2 - based on percentages experiencing "success"</t>
  </si>
  <si>
    <t>es_type</t>
  </si>
  <si>
    <t>p_val_type</t>
  </si>
  <si>
    <t>p_tails</t>
  </si>
  <si>
    <t>disciplines</t>
  </si>
  <si>
    <t>nested</t>
  </si>
  <si>
    <t>closeness</t>
  </si>
  <si>
    <t>single</t>
  </si>
  <si>
    <t>special</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</si>
</sst>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d/m/yyyy"/>
    <numFmt numFmtId="165" formatCode="dd/mm/yyyy"/>
    <numFmt numFmtId="166" formatCode="D/M/YYYY"/>
    <numFmt numFmtId="167" formatCode="dd/mm/yy"/>
    <numFmt numFmtId="168" formatCode="#,##0.000"/>
    <numFmt numFmtId="169" formatCode="0.000"/>
    <numFmt numFmtId="170" formatCode="d-m"/>
    <numFmt numFmtId="171" formatCode="d/m/yy"/>
    <numFmt numFmtId="172" formatCode="d, m"/>
    <numFmt numFmtId="173" formatCode="0.0000000000000000000000000000E+00"/>
    <numFmt numFmtId="174" formatCode="#,##0.000000"/>
    <numFmt numFmtId="175" formatCode="0.0000000000"/>
    <numFmt numFmtId="176" formatCode="0.000000E+00"/>
    <numFmt numFmtId="177" formatCode="d\,\ m"/>
    <numFmt numFmtId="178" formatCode="dd/MM/yyyy"/>
    <numFmt numFmtId="179" formatCode="yyyy-mm-dd hh:mm:ss"/>
    <numFmt numFmtId="180" formatCode="m/d/yy"/>
    <numFmt numFmtId="181" formatCode="[$£-809]#,##0.00"/>
  </numFmts>
  <fonts count="648">
    <font>
      <sz val="10.0"/>
      <color rgb="FF000000"/>
      <name val="Arial"/>
      <scheme val="minor"/>
    </font>
    <font>
      <b/>
      <sz val="11.0"/>
      <color rgb="FF000000"/>
      <name val="Calibri"/>
    </font>
    <font>
      <b/>
      <sz val="11.0"/>
      <color theme="1"/>
      <name val="Calibri"/>
    </font>
    <font>
      <b/>
      <color theme="1"/>
      <name val="Arial"/>
      <scheme val="minor"/>
    </font>
    <font>
      <sz val="11.0"/>
      <color theme="1"/>
      <name val="Calibri"/>
    </font>
    <font>
      <sz val="11.0"/>
      <color rgb="FF000000"/>
      <name val="Calibri"/>
    </font>
    <font>
      <color theme="1"/>
      <name val="Arial"/>
    </font>
    <font>
      <u/>
      <sz val="11.0"/>
      <color rgb="FF0000FF"/>
      <name val="Calibri"/>
    </font>
    <font>
      <u/>
      <color rgb="FF0000FF"/>
      <name val="Arial"/>
    </font>
    <font>
      <u/>
      <color rgb="FF1155CC"/>
      <name val="Arial"/>
    </font>
    <font>
      <u/>
      <color rgb="FF0000FF"/>
      <name val="Arial"/>
    </font>
    <font>
      <color theme="1"/>
      <name val="Arial"/>
      <scheme val="minor"/>
    </font>
    <font>
      <sz val="11.0"/>
      <color rgb="FF38761D"/>
      <name val="Calibri"/>
    </font>
    <font>
      <u/>
      <color rgb="FF0000FF"/>
    </font>
    <font>
      <u/>
      <color rgb="FF1155CC"/>
      <name val="Arial"/>
    </font>
    <font>
      <u/>
      <color rgb="FF0000FF"/>
      <name val="Arial"/>
    </font>
    <font>
      <u/>
      <color rgb="FF0000FF"/>
      <name val="Arial"/>
    </font>
    <font>
      <u/>
      <color rgb="FF0000FF"/>
    </font>
    <font>
      <u/>
      <color rgb="FF1155CC"/>
      <name val="Arial"/>
    </font>
    <font>
      <u/>
      <color rgb="FF0000FF"/>
      <name val="Arial"/>
    </font>
    <font>
      <u/>
      <sz val="11.0"/>
      <color rgb="FF0000FF"/>
      <name val="Calibri"/>
    </font>
    <font>
      <u/>
      <sz val="11.0"/>
      <color theme="1"/>
      <name val="Calibri"/>
    </font>
    <font>
      <u/>
      <color rgb="FF0000FF"/>
      <name val="Arial"/>
    </font>
    <font>
      <u/>
      <sz val="11.0"/>
      <color rgb="FF000000"/>
      <name val="Calibri"/>
    </font>
    <font>
      <u/>
      <color rgb="FF0000FF"/>
      <name val="Arial"/>
    </font>
    <font>
      <u/>
      <sz val="11.0"/>
      <color rgb="FF0000FF"/>
      <name val="Calibri"/>
    </font>
    <font>
      <sz val="11.0"/>
      <color theme="7"/>
      <name val="Calibri"/>
    </font>
    <font>
      <u/>
      <color theme="7"/>
      <name val="Arial"/>
    </font>
    <font>
      <u/>
      <sz val="11.0"/>
      <color rgb="FF000000"/>
      <name val="Calibri"/>
    </font>
    <font>
      <u/>
      <sz val="11.0"/>
      <color rgb="FF000000"/>
      <name val="Calibri"/>
    </font>
    <font>
      <sz val="11.0"/>
      <color theme="1"/>
      <name val="Arial"/>
    </font>
    <font>
      <sz val="8.0"/>
      <color rgb="FF242021"/>
      <name val="AdvTTd7835f12"/>
    </font>
    <font>
      <sz val="11.0"/>
      <color theme="1"/>
      <name val="LMRoman10-Regular"/>
    </font>
    <font>
      <u/>
      <sz val="11.0"/>
      <color rgb="FF1155CC"/>
      <name val="Calibri"/>
    </font>
    <font>
      <u/>
      <sz val="11.0"/>
      <color rgb="FF000000"/>
      <name val="Calibri"/>
    </font>
    <font>
      <color rgb="FF38761D"/>
      <name val="Arial"/>
    </font>
    <font>
      <u/>
      <color rgb="FF0000FF"/>
    </font>
    <font>
      <sz val="9.0"/>
      <color rgb="FF1155CC"/>
      <name val="Google Sans Mono"/>
    </font>
    <font>
      <u/>
      <sz val="11.0"/>
      <color rgb="FF1155CC"/>
      <name val="Calibri"/>
    </font>
    <font>
      <u/>
      <sz val="11.0"/>
      <color rgb="FF1155CC"/>
      <name val="Calibri"/>
    </font>
    <font>
      <u/>
      <color rgb="FF0000FF"/>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sz val="11.0"/>
      <color rgb="FF1155CC"/>
      <name val="Calibri"/>
    </font>
    <font>
      <u/>
      <sz val="11.0"/>
      <color rgb="FF1155CC"/>
      <name val="Calibri"/>
    </font>
    <font>
      <sz val="11.0"/>
      <color rgb="FFFF0000"/>
      <name val="Calibri"/>
    </font>
    <font>
      <sz val="11.0"/>
      <color rgb="FF1F1F1F"/>
      <name val="Calibri"/>
    </font>
    <font>
      <color rgb="FFFF0000"/>
      <name val="Arial"/>
    </font>
    <font>
      <u/>
      <sz val="11.0"/>
      <color rgb="FF000000"/>
      <name val="Calibri"/>
    </font>
    <font>
      <sz val="11.0"/>
      <color rgb="FF00FF00"/>
      <name val="Calibri"/>
    </font>
    <font>
      <u/>
      <sz val="11.0"/>
      <color rgb="FF000000"/>
      <name val="Calibri"/>
    </font>
    <font>
      <u/>
      <color rgb="FF0000FF"/>
      <name val="Arial"/>
    </font>
    <font>
      <sz val="11.0"/>
      <color rgb="FFCC0000"/>
      <name val="Calibri"/>
    </font>
    <font>
      <sz val="11.0"/>
      <color rgb="FFCC4125"/>
      <name val="Calibri"/>
    </font>
    <font>
      <u/>
      <sz val="11.0"/>
      <color theme="1"/>
      <name val="Calibri"/>
    </font>
    <font>
      <u/>
      <sz val="11.0"/>
      <color rgb="FF0000FF"/>
      <name val="Calibri"/>
    </font>
    <font>
      <u/>
      <sz val="11.0"/>
      <color rgb="FF0000FF"/>
      <name val="Calibri"/>
    </font>
    <font>
      <u/>
      <sz val="11.0"/>
      <color rgb="FF1155CC"/>
      <name val="Calibri"/>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0000FF"/>
      <name val="Calibri"/>
    </font>
    <font>
      <u/>
      <color rgb="FF1155CC"/>
      <name val="Arial"/>
    </font>
    <font>
      <u/>
      <color rgb="FF0000FF"/>
      <name val="Arial"/>
    </font>
    <font>
      <u/>
      <sz val="11.0"/>
      <color rgb="FF0000FF"/>
      <name val="Calibri"/>
    </font>
    <font>
      <u/>
      <sz val="11.0"/>
      <color rgb="FF1155CC"/>
      <name val="Calibri"/>
    </font>
    <font>
      <u/>
      <sz val="11.0"/>
      <color rgb="FF0000FF"/>
      <name val="Calibri"/>
    </font>
    <font>
      <u/>
      <color rgb="FF222222"/>
      <name val="Arial"/>
    </font>
    <font>
      <u/>
      <color rgb="FF1155CC"/>
      <name val="Arial"/>
    </font>
    <font>
      <u/>
      <color rgb="FF222222"/>
      <name val="Arial"/>
    </font>
    <font>
      <color rgb="FF6AA84F"/>
      <name val="Arial"/>
    </font>
    <font>
      <u/>
      <color rgb="FF1155CC"/>
      <name val="Arial"/>
    </font>
    <font>
      <color rgb="FF222222"/>
      <name val="Arial"/>
    </font>
    <font>
      <color rgb="FF00FF00"/>
      <name val="Arial"/>
    </font>
    <font>
      <u/>
      <sz val="11.0"/>
      <color rgb="FF0000FF"/>
      <name val="Calibri"/>
    </font>
    <font>
      <u/>
      <sz val="11.0"/>
      <color rgb="FF0000FF"/>
      <name val="Calibri"/>
    </font>
    <font>
      <u/>
      <sz val="11.0"/>
      <color rgb="FF1155CC"/>
      <name val="Calibri"/>
    </font>
    <font>
      <color theme="1"/>
      <name val="AdvOT46dcae81"/>
    </font>
    <font>
      <u/>
      <sz val="11.0"/>
      <color rgb="FF000000"/>
      <name val="Calibri"/>
    </font>
    <font>
      <u/>
      <color rgb="FF1155CC"/>
      <name val="Arial"/>
    </font>
    <font>
      <sz val="8.0"/>
      <color rgb="FF242021"/>
      <name val="Arial"/>
    </font>
    <font>
      <u/>
      <color rgb="FF1155CC"/>
      <name val="Arial"/>
    </font>
    <font>
      <u/>
      <sz val="11.0"/>
      <color rgb="FF0000FF"/>
      <name val="Docs-Calibri"/>
    </font>
    <font>
      <sz val="11.0"/>
      <color theme="1"/>
      <name val="Aptos"/>
    </font>
    <font>
      <u/>
      <sz val="11.0"/>
      <color rgb="FF0000FF"/>
      <name val="Calibri"/>
    </font>
    <font>
      <sz val="8.0"/>
      <color theme="1"/>
      <name val="Aptos"/>
    </font>
    <font>
      <u/>
      <sz val="11.0"/>
      <color rgb="FF0000FF"/>
      <name val="Calibri"/>
    </font>
    <font>
      <u/>
      <sz val="11.0"/>
      <color rgb="FF0000FF"/>
      <name val="Calibri"/>
    </font>
    <font>
      <u/>
      <color rgb="FF0000FF"/>
      <name val="Arial"/>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Docs-Calibri"/>
    </font>
    <font>
      <u/>
      <sz val="11.0"/>
      <color rgb="FF0000FF"/>
      <name val="Calibri"/>
    </font>
    <font>
      <sz val="11.0"/>
      <color theme="1"/>
      <name val="Docs-Calibri"/>
    </font>
    <font>
      <u/>
      <color rgb="FF0000FF"/>
      <name val="Arial"/>
    </font>
    <font>
      <u/>
      <sz val="11.0"/>
      <color rgb="FF0000FF"/>
      <name val="Calibri"/>
    </font>
    <font>
      <u/>
      <sz val="11.0"/>
      <color rgb="FF0000FF"/>
      <name val="Docs-Calibri"/>
    </font>
    <font>
      <u/>
      <sz val="11.0"/>
      <color rgb="FF0000FF"/>
      <name val="Docs-Calibri"/>
    </font>
    <font>
      <u/>
      <sz val="11.0"/>
      <color rgb="FF1155CC"/>
      <name val="Calibri"/>
    </font>
    <font>
      <u/>
      <sz val="11.0"/>
      <color rgb="FF0000FF"/>
      <name val="Calibri"/>
    </font>
    <font>
      <u/>
      <color rgb="FF1155CC"/>
      <name val="Arial"/>
    </font>
    <font>
      <u/>
      <color rgb="FF1155CC"/>
      <name val="Arial"/>
    </font>
    <font>
      <u/>
      <sz val="11.0"/>
      <color rgb="FF0000FF"/>
      <name val="Calibri"/>
    </font>
    <font>
      <u/>
      <color rgb="FF0000FF"/>
      <name val="Arial"/>
    </font>
    <font>
      <u/>
      <sz val="11.0"/>
      <color rgb="FF1155CC"/>
      <name val="Calibri"/>
    </font>
    <font>
      <u/>
      <sz val="11.0"/>
      <color rgb="FF0000FF"/>
      <name val="Calibri"/>
    </font>
    <font>
      <u/>
      <color rgb="FF1155CC"/>
      <name val="Arial"/>
    </font>
    <font>
      <u/>
      <sz val="11.0"/>
      <color rgb="FF0000FF"/>
      <name val="Calibri"/>
    </font>
    <font>
      <u/>
      <sz val="11.0"/>
      <color rgb="FF1155CC"/>
      <name val="Calibri"/>
    </font>
    <font>
      <u/>
      <sz val="11.0"/>
      <color rgb="FF0000FF"/>
      <name val="Docs-Calibri"/>
    </font>
    <font>
      <sz val="11.0"/>
      <color theme="1"/>
      <name val="Aptos Narrow"/>
    </font>
    <font>
      <u/>
      <sz val="11.0"/>
      <color rgb="FF1155CC"/>
      <name val="Calibri"/>
    </font>
    <font>
      <u/>
      <sz val="11.0"/>
      <color rgb="FF0000FF"/>
      <name val="Calibri"/>
    </font>
    <font>
      <color rgb="FF000000"/>
      <name val="Arial"/>
    </font>
    <font>
      <u/>
      <sz val="11.0"/>
      <color rgb="FF0000FF"/>
      <name val="Calibri"/>
    </font>
    <font>
      <u/>
      <sz val="11.0"/>
      <color rgb="FF1155CC"/>
      <name val="Calibri"/>
    </font>
    <font>
      <u/>
      <sz val="11.0"/>
      <color rgb="FF0000FF"/>
      <name val="Calibri"/>
    </font>
    <font>
      <sz val="8.0"/>
      <color theme="1"/>
      <name val="Sans-serif"/>
    </font>
    <font>
      <u/>
      <color theme="1"/>
      <name val="Arial"/>
    </font>
    <font>
      <u/>
      <sz val="11.0"/>
      <color rgb="FF0000FF"/>
      <name val="Calibri"/>
    </font>
    <font>
      <u/>
      <color theme="1"/>
      <name val="Arial"/>
    </font>
    <font>
      <u/>
      <sz val="11.0"/>
      <color rgb="FF0000FF"/>
      <name val="Calibri"/>
    </font>
    <font>
      <u/>
      <sz val="11.0"/>
      <color rgb="FF0000FF"/>
      <name val="Calibri"/>
    </font>
    <font>
      <u/>
      <sz val="11.0"/>
      <color rgb="FF38761D"/>
      <name val="Calibri"/>
    </font>
    <font>
      <u/>
      <sz val="11.0"/>
      <color rgb="FF1155CC"/>
      <name val="Calibri"/>
    </font>
    <font>
      <sz val="11.0"/>
      <color rgb="FF38761D"/>
      <name val="Aptos Narrow"/>
    </font>
    <font>
      <color rgb="FF38761D"/>
      <name val="Arial"/>
      <scheme val="minor"/>
    </font>
    <font>
      <u/>
      <color rgb="FF0000FF"/>
      <name val="Arial"/>
    </font>
    <font>
      <u/>
      <color rgb="FF0000FF"/>
      <name val="Arial"/>
    </font>
    <font>
      <u/>
      <sz val="11.0"/>
      <color rgb="FF0000FF"/>
      <name val="Calibri"/>
    </font>
    <font>
      <u/>
      <color rgb="FF0000FF"/>
      <name val="Arial"/>
    </font>
    <font>
      <u/>
      <sz val="11.0"/>
      <color rgb="FF0000FF"/>
      <name val="Calibri"/>
    </font>
    <font>
      <u/>
      <sz val="11.0"/>
      <color rgb="FF000000"/>
      <name val="Calibri"/>
    </font>
    <font>
      <u/>
      <color rgb="FF0000FF"/>
    </font>
    <font>
      <u/>
      <sz val="11.0"/>
      <color rgb="FF000000"/>
      <name val="Calibri"/>
    </font>
    <font>
      <u/>
      <sz val="11.0"/>
      <color rgb="FF38761D"/>
      <name val="Calibri"/>
    </font>
    <font>
      <u/>
      <sz val="11.0"/>
      <color rgb="FF38761D"/>
      <name val="Calibri"/>
    </font>
    <font>
      <u/>
      <sz val="11.0"/>
      <color rgb="FF0000FF"/>
      <name val="Calibri"/>
    </font>
    <font>
      <u/>
      <sz val="12.0"/>
      <color rgb="FF0000FF"/>
      <name val="Times New Roman"/>
    </font>
    <font>
      <u/>
      <color rgb="FF0000FF"/>
      <name val="Arial"/>
    </font>
    <font>
      <u/>
      <sz val="12.0"/>
      <color rgb="FF0563C1"/>
      <name val="TimesNewRomanPSMT"/>
    </font>
    <font>
      <u/>
      <color rgb="FF0000FF"/>
      <name val="Arial"/>
    </font>
    <font>
      <u/>
      <sz val="12.0"/>
      <color rgb="FF0563C1"/>
      <name val="TimesNewRomanPSMT"/>
    </font>
    <font>
      <u/>
      <sz val="11.0"/>
      <color rgb="FF38761D"/>
      <name val="Calibri"/>
    </font>
    <font>
      <u/>
      <sz val="11.0"/>
      <color rgb="FF1155CC"/>
      <name val="Calibri"/>
    </font>
    <font>
      <u/>
      <sz val="11.0"/>
      <color rgb="FF0000FF"/>
      <name val="Calibri"/>
    </font>
    <font>
      <u/>
      <sz val="8.0"/>
      <color rgb="FF000000"/>
      <name val="&quot;Open Sans&quot;"/>
    </font>
    <font>
      <u/>
      <sz val="11.0"/>
      <color rgb="FF0000FF"/>
      <name val="Calibri"/>
    </font>
    <font>
      <color rgb="FF00FF00"/>
      <name val="Arial"/>
      <scheme val="minor"/>
    </font>
    <font>
      <color rgb="FF111111"/>
      <name val="Roboto"/>
    </font>
    <font>
      <u/>
      <sz val="11.0"/>
      <color rgb="FF0000FF"/>
      <name val="Calibri"/>
    </font>
    <font>
      <u/>
      <sz val="11.0"/>
      <color rgb="FF000000"/>
      <name val="Calibri"/>
    </font>
    <font>
      <u/>
      <sz val="11.0"/>
      <color rgb="FF000000"/>
      <name val="Calibri"/>
    </font>
    <font>
      <u/>
      <color rgb="FF0000FF"/>
    </font>
    <font>
      <u/>
      <sz val="11.0"/>
      <color rgb="FF38761D"/>
      <name val="Calibri"/>
    </font>
    <font>
      <u/>
      <color rgb="FF1155CC"/>
      <name val="Arial"/>
    </font>
    <font>
      <u/>
      <color rgb="FF0000FF"/>
    </font>
    <font>
      <sz val="11.0"/>
      <color theme="1"/>
      <name val="Open Sans"/>
    </font>
    <font>
      <u/>
      <sz val="11.0"/>
      <color theme="1"/>
      <name val="Calibri"/>
    </font>
    <font>
      <u/>
      <sz val="11.0"/>
      <color rgb="FF0000FF"/>
      <name val="Calibri"/>
    </font>
    <font>
      <u/>
      <color rgb="FF0000FF"/>
      <name val="Arial"/>
    </font>
    <font>
      <sz val="9.0"/>
      <color rgb="FF1F1F1F"/>
      <name val="Google Sans"/>
    </font>
    <font>
      <u/>
      <sz val="11.0"/>
      <color rgb="FF0000FF"/>
      <name val="Calibri"/>
    </font>
    <font>
      <u/>
      <color rgb="FF0000FF"/>
      <name val="Arial"/>
    </font>
    <font>
      <color rgb="FF00FFFF"/>
      <name val="Arial"/>
    </font>
    <font>
      <u/>
      <sz val="11.0"/>
      <color rgb="FF0000FF"/>
      <name val="Calibri"/>
    </font>
    <font>
      <u/>
      <color rgb="FF0000FF"/>
      <name val="Arial"/>
    </font>
    <font>
      <u/>
      <sz val="11.0"/>
      <color rgb="FF0000FF"/>
      <name val="Calibri"/>
    </font>
    <font>
      <u/>
      <color rgb="FF0000FF"/>
      <name val="Arial"/>
    </font>
    <font>
      <u/>
      <color rgb="FF0000FF"/>
      <name val="Arial"/>
    </font>
    <font>
      <u/>
      <sz val="11.0"/>
      <color rgb="FF0000FF"/>
      <name val="Calibri"/>
    </font>
    <font>
      <u/>
      <color rgb="FF0000FF"/>
      <name val="Arial"/>
    </font>
    <font>
      <u/>
      <sz val="11.0"/>
      <color rgb="FF1155CC"/>
      <name val="Calibri"/>
    </font>
    <font>
      <u/>
      <sz val="11.0"/>
      <color rgb="FF0000FF"/>
      <name val="Calibri"/>
    </font>
    <font>
      <u/>
      <sz val="11.0"/>
      <color rgb="FF0000FF"/>
      <name val="Calibri"/>
    </font>
    <font>
      <u/>
      <color rgb="FF0000FF"/>
      <name val="Arial"/>
    </font>
    <font>
      <sz val="12.0"/>
      <color theme="1"/>
      <name val="Aptos Narrow"/>
    </font>
    <font>
      <u/>
      <sz val="11.0"/>
      <color theme="1"/>
      <name val="Calibri"/>
    </font>
    <font>
      <u/>
      <color rgb="FF0000FF"/>
      <name val="Arial"/>
    </font>
    <font>
      <u/>
      <sz val="11.0"/>
      <color rgb="FF00FF00"/>
      <name val="Calibri"/>
    </font>
    <font>
      <u/>
      <sz val="11.0"/>
      <color rgb="FF0000FF"/>
      <name val="Calibri"/>
    </font>
    <font>
      <u/>
      <sz val="11.0"/>
      <color theme="1"/>
      <name val="Calibri"/>
    </font>
    <font>
      <u/>
      <color rgb="FF0000FF"/>
      <name val="Arial"/>
    </font>
    <font>
      <u/>
      <sz val="11.0"/>
      <color rgb="FF00FF00"/>
      <name val="Calibri"/>
    </font>
    <font>
      <u/>
      <color rgb="FF0000FF"/>
      <name val="Arial"/>
    </font>
    <font>
      <u/>
      <sz val="11.0"/>
      <color theme="1"/>
      <name val="Calibri"/>
    </font>
    <font>
      <u/>
      <color rgb="FF0000FF"/>
      <name val="Arial"/>
    </font>
    <font>
      <u/>
      <sz val="11.0"/>
      <color rgb="FF1155CC"/>
      <name val="Calibri"/>
    </font>
    <font>
      <u/>
      <sz val="11.0"/>
      <color rgb="FF0000FF"/>
      <name val="Calibri"/>
    </font>
    <font>
      <u/>
      <color rgb="FF0000FF"/>
      <name val="Arial"/>
    </font>
    <font>
      <u/>
      <sz val="11.0"/>
      <color rgb="FF1155CC"/>
      <name val="Calibri"/>
    </font>
    <font>
      <u/>
      <sz val="11.0"/>
      <color rgb="FF0000FF"/>
      <name val="Calibri"/>
    </font>
    <font>
      <u/>
      <color rgb="FF1155CC"/>
      <name val="Arial"/>
    </font>
    <font>
      <u/>
      <sz val="11.0"/>
      <color rgb="FF0000FF"/>
      <name val="Calibri"/>
    </font>
    <font>
      <u/>
      <sz val="11.0"/>
      <color rgb="FF0000FF"/>
      <name val="Calibri"/>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FF"/>
      <name val="Calibri"/>
    </font>
    <font>
      <u/>
      <sz val="11.0"/>
      <color rgb="FF0000FF"/>
      <name val="Calibri"/>
    </font>
    <font>
      <u/>
      <color rgb="FF1155CC"/>
      <name val="Arial"/>
    </font>
    <font>
      <u/>
      <color rgb="FF0000FF"/>
      <name val="Arial"/>
    </font>
    <font>
      <u/>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FF00"/>
      <name val="Arial"/>
    </font>
    <font>
      <u/>
      <color rgb="FF0000FF"/>
      <name val="Arial"/>
    </font>
    <font>
      <u/>
      <sz val="11.0"/>
      <color rgb="FF00FF00"/>
      <name val="Calibri"/>
    </font>
    <font>
      <u/>
      <sz val="11.0"/>
      <color rgb="FF0000FF"/>
      <name val="Calibri"/>
    </font>
    <font>
      <u/>
      <sz val="11.0"/>
      <color rgb="FF0000FF"/>
      <name val="Calibri"/>
    </font>
    <font>
      <u/>
      <sz val="11.0"/>
      <color rgb="FF0000FF"/>
      <name val="Calibri"/>
    </font>
    <font>
      <u/>
      <sz val="11.0"/>
      <color rgb="FF0000FF"/>
      <name val="Calibri"/>
    </font>
    <font>
      <u/>
      <color rgb="FF00FF00"/>
      <name val="Arial"/>
    </font>
    <font>
      <u/>
      <sz val="11.0"/>
      <color rgb="FF0000FF"/>
      <name val="Calibri"/>
    </font>
    <font>
      <u/>
      <sz val="11.0"/>
      <color rgb="FFFF0000"/>
      <name val="Calibri"/>
    </font>
    <font>
      <u/>
      <color rgb="FF0000FF"/>
      <name val="Arial"/>
    </font>
    <font>
      <sz val="11.0"/>
      <color rgb="FF333333"/>
      <name val="Helvetica Neue"/>
    </font>
    <font>
      <u/>
      <sz val="11.0"/>
      <color rgb="FF00FF00"/>
      <name val="Calibri"/>
    </font>
    <font>
      <u/>
      <color rgb="FF00FF00"/>
      <name val="Arial"/>
    </font>
    <font>
      <u/>
      <sz val="11.0"/>
      <color rgb="FF0000FF"/>
      <name val="Calibri"/>
    </font>
    <font>
      <u/>
      <sz val="11.0"/>
      <color rgb="FF0000FF"/>
      <name val="Calibri"/>
    </font>
    <font>
      <u/>
      <color rgb="FF1155CC"/>
      <name val="Arial"/>
    </font>
    <font>
      <u/>
      <color rgb="FF0000FF"/>
      <name val="Arial"/>
    </font>
    <font>
      <i/>
      <sz val="11.0"/>
      <color rgb="FF3C4043"/>
      <name val="Roboto"/>
    </font>
    <font>
      <u/>
      <color rgb="FF0000FF"/>
      <name val="Monospace"/>
    </font>
    <font>
      <u/>
      <color rgb="FF0000FF"/>
      <name val="Arial"/>
    </font>
    <font>
      <u/>
      <sz val="11.0"/>
      <color theme="1"/>
      <name val="Calibri"/>
    </font>
    <font>
      <u/>
      <color rgb="FF0000FF"/>
      <name val="Arial"/>
    </font>
    <font>
      <color theme="1"/>
      <name val="Monospace"/>
    </font>
    <font>
      <u/>
      <sz val="11.0"/>
      <color rgb="FF0000FF"/>
      <name val="Calibri"/>
    </font>
    <font>
      <u/>
      <color rgb="FF0000FF"/>
      <name val="Arial"/>
    </font>
    <font>
      <u/>
      <color rgb="FF0000FF"/>
      <name val="Arial"/>
    </font>
    <font>
      <u/>
      <sz val="11.0"/>
      <color rgb="FF0000FF"/>
      <name val="Calibri"/>
    </font>
    <font>
      <u/>
      <color rgb="FF0000FF"/>
      <name val="Arial"/>
    </font>
    <font>
      <u/>
      <sz val="11.0"/>
      <color rgb="FF0000FF"/>
      <name val="Calibri"/>
    </font>
    <font>
      <u/>
      <color rgb="FF0000FF"/>
      <name val="Arial"/>
    </font>
    <font>
      <u/>
      <color rgb="FF0000FF"/>
      <name val="Arial"/>
    </font>
    <font>
      <sz val="11.0"/>
      <color rgb="FF444746"/>
      <name val="Google Sans"/>
    </font>
    <font>
      <u/>
      <sz val="11.0"/>
      <color rgb="FF0000FF"/>
      <name val="Calibri"/>
    </font>
    <font>
      <u/>
      <color rgb="FF0000FF"/>
      <name val="Arial"/>
    </font>
    <font>
      <u/>
      <color rgb="FF0000FF"/>
      <name val="Arial"/>
    </font>
    <font>
      <u/>
      <sz val="11.0"/>
      <color rgb="FF1155CC"/>
      <name val="Calibri"/>
    </font>
    <font>
      <u/>
      <sz val="11.0"/>
      <color rgb="FF0000FF"/>
      <name val="Calibri"/>
    </font>
    <font>
      <u/>
      <color rgb="FF0000FF"/>
      <name val="Arial"/>
    </font>
    <font>
      <u/>
      <color rgb="FF0000FF"/>
      <name val="Arial"/>
    </font>
    <font>
      <u/>
      <color rgb="FF0000FF"/>
      <name val="Arial"/>
    </font>
    <font>
      <u/>
      <color rgb="FF0000FF"/>
      <name val="Arial"/>
    </font>
    <font>
      <u/>
      <sz val="11.0"/>
      <color rgb="FF0000FF"/>
      <name val="Calibri"/>
    </font>
    <font>
      <u/>
      <color rgb="FF0000FF"/>
      <name val="Arial"/>
    </font>
    <font>
      <sz val="11.0"/>
      <color rgb="FF333333"/>
      <name val="Calibri"/>
    </font>
    <font>
      <u/>
      <sz val="11.0"/>
      <color rgb="FF0000FF"/>
      <name val="Calibri"/>
    </font>
    <font>
      <u/>
      <color rgb="FF0000FF"/>
      <name val="Arial"/>
    </font>
    <font>
      <u/>
      <sz val="11.0"/>
      <color rgb="FF0000FF"/>
      <name val="Calibri"/>
    </font>
    <font>
      <u/>
      <color rgb="FF0000FF"/>
      <name val="Arial"/>
    </font>
    <font>
      <u/>
      <sz val="11.0"/>
      <color rgb="FF1155CC"/>
      <name val="Calibri"/>
    </font>
    <font>
      <sz val="8.0"/>
      <color theme="1"/>
      <name val="Helvetica Neue"/>
    </font>
    <font>
      <sz val="12.0"/>
      <color rgb="FF374151"/>
      <name val="Arial"/>
    </font>
    <font>
      <u/>
      <sz val="11.0"/>
      <color rgb="FF0000FF"/>
      <name val="Calibri"/>
    </font>
    <font>
      <u/>
      <sz val="11.0"/>
      <color rgb="FF0000FF"/>
      <name val="Calibri"/>
    </font>
    <font>
      <u/>
      <color rgb="FF0000FF"/>
      <name val="Arial"/>
    </font>
    <font>
      <u/>
      <sz val="11.0"/>
      <color rgb="FF0000FF"/>
      <name val="Calibri"/>
    </font>
    <font>
      <u/>
      <color rgb="FF0000FF"/>
      <name val="Arial"/>
    </font>
    <font>
      <u/>
      <sz val="11.0"/>
      <color rgb="FF0000FF"/>
      <name val="Calibri"/>
    </font>
    <font>
      <sz val="11.0"/>
      <color rgb="FF222222"/>
      <name val="Calibri"/>
    </font>
    <font>
      <u/>
      <sz val="11.0"/>
      <color rgb="FF1155CC"/>
      <name val="Calibri"/>
    </font>
    <font>
      <u/>
      <sz val="11.0"/>
      <color rgb="FF0000FF"/>
      <name val="Helvetica Neue"/>
    </font>
    <font>
      <sz val="12.0"/>
      <color theme="1"/>
      <name val="Arial"/>
    </font>
    <font>
      <u/>
      <sz val="11.0"/>
      <color rgb="FF0000FF"/>
      <name val="Calibri"/>
    </font>
    <font>
      <color rgb="FF00FF00"/>
      <name val="Monospace"/>
    </font>
    <font>
      <u/>
      <sz val="11.0"/>
      <color rgb="FF0000FF"/>
      <name val="Calibri"/>
    </font>
    <font>
      <sz val="11.0"/>
      <color rgb="FF434343"/>
      <name val="Calibri"/>
    </font>
    <font>
      <sz val="11.0"/>
      <color rgb="FF222222"/>
      <name val="Cambria"/>
    </font>
    <font>
      <sz val="11.0"/>
      <color rgb="FF00FF00"/>
      <name val="Helvetica Neue"/>
    </font>
    <font>
      <u/>
      <color rgb="FF1155CC"/>
      <name val="Arial"/>
    </font>
    <font>
      <u/>
      <sz val="11.0"/>
      <color rgb="FF0000FF"/>
      <name val="Calibri"/>
    </font>
    <font>
      <u/>
      <color rgb="FF0000FF"/>
      <name val="Arial"/>
    </font>
    <font>
      <u/>
      <color rgb="FF1155CC"/>
      <name val="Arial"/>
    </font>
    <font>
      <u/>
      <color rgb="FF0000FF"/>
      <name val="Arial"/>
    </font>
    <font>
      <u/>
      <sz val="11.0"/>
      <color rgb="FF1155CC"/>
      <name val="Calibri"/>
    </font>
    <font>
      <u/>
      <sz val="11.0"/>
      <color rgb="FF0000FF"/>
      <name val="Calibri"/>
    </font>
    <font>
      <u/>
      <sz val="11.0"/>
      <color rgb="FF0000FF"/>
      <name val="Calibri"/>
    </font>
    <font>
      <u/>
      <color rgb="FF0000FF"/>
      <name val="Arial"/>
    </font>
    <font>
      <u/>
      <sz val="11.0"/>
      <color rgb="FF0071BC"/>
      <name val="Calibri"/>
    </font>
    <font>
      <u/>
      <sz val="11.0"/>
      <color rgb="FF38761D"/>
      <name val="Calibri"/>
    </font>
    <font>
      <u/>
      <color rgb="FF1155CC"/>
      <name val="Arial"/>
    </font>
    <font>
      <u/>
      <sz val="11.0"/>
      <color rgb="FF0000FF"/>
      <name val="Calibri"/>
    </font>
    <font>
      <u/>
      <color rgb="FF0000FF"/>
      <name val="Arial"/>
    </font>
    <font>
      <u/>
      <sz val="12.0"/>
      <color rgb="FF1155CC"/>
      <name val="Aptos"/>
    </font>
    <font>
      <sz val="11.0"/>
      <color rgb="FF353C3F"/>
      <name val="Calibri"/>
    </font>
    <font>
      <sz val="11.0"/>
      <color rgb="FF93C47D"/>
      <name val="Calibri"/>
    </font>
    <font>
      <sz val="9.0"/>
      <color rgb="FF242021"/>
      <name val="Arial"/>
    </font>
    <font>
      <u/>
      <color rgb="FFFF0000"/>
      <name val="Arial"/>
    </font>
    <font>
      <sz val="11.0"/>
      <color rgb="FFFF0000"/>
      <name val="LMRoman10-Regular"/>
    </font>
    <font>
      <sz val="9.0"/>
      <color rgb="FF242021"/>
      <name val="AdvTT3713a231"/>
    </font>
    <font>
      <u/>
      <sz val="11.0"/>
      <color rgb="FF00FF00"/>
      <name val="Calibri"/>
    </font>
    <font>
      <u/>
      <sz val="11.0"/>
      <color rgb="FFFF0000"/>
      <name val="Calibri"/>
    </font>
    <font>
      <color rgb="FF242021"/>
      <name val="AdvOT1ef757c0"/>
    </font>
    <font>
      <u/>
      <sz val="11.0"/>
      <color theme="1"/>
      <name val="Calibri"/>
    </font>
    <font>
      <u/>
      <sz val="11.0"/>
      <color theme="1"/>
      <name val="Calibri"/>
    </font>
    <font>
      <color rgb="FF060808"/>
      <name val="Arial"/>
    </font>
    <font>
      <u/>
      <sz val="11.0"/>
      <color rgb="FF0000FF"/>
      <name val="Calibri"/>
    </font>
    <font>
      <u/>
      <color rgb="FF0000FF"/>
      <name val="Arial"/>
    </font>
    <font>
      <u/>
      <sz val="11.0"/>
      <color rgb="FF000000"/>
      <name val="Calibri"/>
    </font>
    <font>
      <u/>
      <color rgb="FF0000FF"/>
    </font>
    <font>
      <u/>
      <sz val="11.0"/>
      <color rgb="FF000000"/>
      <name val="Calibri"/>
    </font>
    <font>
      <u/>
      <sz val="11.0"/>
      <color rgb="FF0000FF"/>
      <name val="Calibri"/>
    </font>
    <font>
      <sz val="11.0"/>
      <color rgb="FF05103E"/>
      <name val="Calibri"/>
    </font>
    <font>
      <color rgb="FF000000"/>
      <name val="Arial"/>
      <scheme val="minor"/>
    </font>
    <font>
      <u/>
      <sz val="11.0"/>
      <color rgb="FF0000FF"/>
      <name val="Calibri"/>
    </font>
    <font>
      <u/>
      <sz val="11.0"/>
      <color rgb="FF05103E"/>
      <name val="Calibri"/>
    </font>
    <font>
      <u/>
      <color rgb="FF0000FF"/>
      <name val="Arial"/>
    </font>
    <font>
      <u/>
      <color rgb="FF0000FF"/>
      <name val="Arial"/>
    </font>
    <font>
      <u/>
      <color rgb="FF38761D"/>
      <name val="Arial"/>
    </font>
    <font>
      <u/>
      <sz val="11.0"/>
      <color rgb="FF0000FF"/>
      <name val="Calibri"/>
    </font>
    <font>
      <u/>
      <sz val="12.0"/>
      <color rgb="FF1155CC"/>
      <name val="Aptos"/>
    </font>
    <font>
      <u/>
      <color rgb="FF0000FF"/>
      <name val="Arial"/>
    </font>
    <font>
      <u/>
      <color rgb="FF1155CC"/>
      <name val="Arial"/>
    </font>
    <font>
      <u/>
      <sz val="11.0"/>
      <color rgb="FF0000FF"/>
      <name val="Calibri"/>
    </font>
    <font>
      <u/>
      <sz val="12.0"/>
      <color rgb="FF1155CC"/>
      <name val="Aptos"/>
    </font>
    <font>
      <u/>
      <color rgb="FF0000FF"/>
      <name val="Arial"/>
    </font>
    <font>
      <u/>
      <color rgb="FF1155CC"/>
      <name val="Arial"/>
    </font>
    <font>
      <u/>
      <sz val="11.0"/>
      <color rgb="FF0000FF"/>
      <name val="Calibri"/>
    </font>
    <font>
      <u/>
      <sz val="12.0"/>
      <color rgb="FF1155CC"/>
      <name val="Aptos"/>
    </font>
    <font>
      <u/>
      <color rgb="FF0000FF"/>
      <name val="Arial"/>
    </font>
    <font>
      <u/>
      <color rgb="FF1155CC"/>
      <name val="Arial"/>
    </font>
    <font>
      <u/>
      <sz val="11.0"/>
      <color rgb="FF0000FF"/>
      <name val="Calibri"/>
    </font>
    <font>
      <color rgb="FF242021"/>
      <name val="ITCGaramondStd-Lt"/>
    </font>
    <font>
      <color rgb="FFFF0000"/>
      <name val="Arial"/>
      <scheme val="minor"/>
    </font>
    <font>
      <u/>
      <sz val="11.0"/>
      <color theme="1"/>
      <name val="Calibri"/>
    </font>
    <font>
      <u/>
      <sz val="11.0"/>
      <color theme="1"/>
      <name val="Calibri"/>
    </font>
    <font>
      <u/>
      <color rgb="FF1155CC"/>
      <name val="Arial"/>
    </font>
    <font>
      <u/>
      <sz val="8.0"/>
      <color rgb="FF3A2A97"/>
      <name val="Arial"/>
    </font>
    <font>
      <color rgb="FF242021"/>
      <name val="GillSans"/>
    </font>
    <font>
      <u/>
      <sz val="11.0"/>
      <color rgb="FF0000FF"/>
      <name val="Calibri"/>
    </font>
    <font>
      <u/>
      <color rgb="FF1155CC"/>
      <name val="Arial"/>
    </font>
    <font>
      <u/>
      <color rgb="FF0000FF"/>
      <name val="Arial"/>
    </font>
    <font>
      <u/>
      <color rgb="FF1155CC"/>
      <name val="Arial"/>
    </font>
    <font>
      <u/>
      <sz val="11.0"/>
      <color rgb="FF0000FF"/>
      <name val="Calibri"/>
    </font>
    <font>
      <u/>
      <color rgb="FF0000FF"/>
      <name val="Arial"/>
    </font>
    <font>
      <u/>
      <sz val="11.0"/>
      <color rgb="FF0000FF"/>
      <name val="Calibri"/>
    </font>
    <font>
      <color theme="1"/>
      <name val="AdvPS6F00"/>
    </font>
    <font>
      <u/>
      <color rgb="FF0000FF"/>
      <name val="Arial"/>
    </font>
    <font>
      <u/>
      <color rgb="FFFF0000"/>
      <name val="Arial"/>
    </font>
    <font>
      <sz val="12.0"/>
      <color rgb="FF00FF00"/>
      <name val="Arial"/>
    </font>
    <font>
      <u/>
      <sz val="12.0"/>
      <color rgb="FF1155CC"/>
      <name val="Aptos"/>
    </font>
    <font>
      <u/>
      <color rgb="FF1155CC"/>
      <name val="Arial"/>
    </font>
    <font>
      <u/>
      <sz val="11.0"/>
      <color rgb="FF1155CC"/>
      <name val="Calibri"/>
    </font>
    <font>
      <u/>
      <sz val="12.0"/>
      <color rgb="FF1155CC"/>
      <name val="Aptos"/>
    </font>
    <font>
      <u/>
      <color rgb="FF1155CC"/>
      <name val="Arial"/>
    </font>
    <font>
      <u/>
      <color rgb="FF0000FF"/>
      <name val="Arial"/>
    </font>
    <font>
      <u/>
      <color rgb="FF1155CC"/>
      <name val="Arial"/>
    </font>
    <font>
      <u/>
      <color rgb="FF0000FF"/>
      <name val="Arial"/>
    </font>
    <font>
      <u/>
      <sz val="11.0"/>
      <color rgb="FF0000FF"/>
      <name val="Calibri"/>
    </font>
    <font>
      <u/>
      <sz val="11.0"/>
      <color rgb="FF0000FF"/>
      <name val="Calibri"/>
    </font>
    <font>
      <u/>
      <sz val="11.0"/>
      <color rgb="FF0000FF"/>
      <name val="Calibri"/>
    </font>
    <font>
      <sz val="12.0"/>
      <color theme="1"/>
      <name val="Calibri"/>
    </font>
    <font>
      <color theme="1"/>
      <name val="Calibri"/>
    </font>
    <font>
      <sz val="11.0"/>
      <color theme="1"/>
      <name val="Serif"/>
    </font>
    <font>
      <sz val="11.0"/>
      <color theme="1"/>
      <name val="Sans-serif"/>
    </font>
    <font>
      <u/>
      <sz val="12.0"/>
      <color rgb="FF1155CC"/>
      <name val="Calibri"/>
    </font>
    <font>
      <u/>
      <sz val="12.0"/>
      <color rgb="FF1155CC"/>
      <name val="Calibri"/>
    </font>
    <font>
      <color theme="1"/>
      <name val="Serif"/>
    </font>
    <font>
      <color theme="1"/>
      <name val="Sans-serif"/>
    </font>
    <font>
      <u/>
      <sz val="11.0"/>
      <color theme="1"/>
      <name val="Calibri"/>
    </font>
    <font>
      <u/>
      <sz val="11.0"/>
      <color rgb="FF0000FF"/>
      <name val="Calibri"/>
    </font>
    <font>
      <color theme="1"/>
      <name val="CharterBT"/>
    </font>
    <font>
      <u/>
      <sz val="11.0"/>
      <color rgb="FF0000FF"/>
      <name val="Arial"/>
    </font>
    <font>
      <u/>
      <sz val="11.0"/>
      <color rgb="FF1155CC"/>
      <name val="Arial"/>
    </font>
    <font>
      <u/>
      <sz val="12.0"/>
      <color rgb="FF1155CC"/>
      <name val="Aptos"/>
    </font>
    <font>
      <u/>
      <color rgb="FF1155CC"/>
      <name val="Arial"/>
    </font>
    <font>
      <u/>
      <color rgb="FF1155CC"/>
      <name val="Arial"/>
    </font>
    <font>
      <u/>
      <sz val="12.0"/>
      <color rgb="FF1155CC"/>
      <name val="Aptos"/>
    </font>
    <font>
      <u/>
      <sz val="12.0"/>
      <color rgb="FF1155CC"/>
      <name val="Aptos"/>
    </font>
    <font>
      <u/>
      <color rgb="FF1155CC"/>
      <name val="Arial"/>
    </font>
    <font>
      <u/>
      <sz val="12.0"/>
      <color rgb="FF1155CC"/>
      <name val="Aptos"/>
    </font>
    <font>
      <u/>
      <color rgb="FF1155CC"/>
      <name val="Arial"/>
    </font>
    <font>
      <i/>
      <color theme="1"/>
      <name val="Arial"/>
      <scheme val="minor"/>
    </font>
    <font>
      <u/>
      <sz val="11.0"/>
      <color rgb="FF0000FF"/>
      <name val="Calibri"/>
    </font>
    <font>
      <u/>
      <color rgb="FF0000FF"/>
      <name val="Arial"/>
    </font>
    <font>
      <u/>
      <color rgb="FF0000FF"/>
      <name val="Arial"/>
    </font>
    <font>
      <u/>
      <sz val="11.0"/>
      <color rgb="FF0000FF"/>
      <name val="Calibri"/>
    </font>
    <font>
      <u/>
      <sz val="12.0"/>
      <color rgb="FF1155CC"/>
      <name val="Aptos"/>
    </font>
    <font>
      <u/>
      <color rgb="FF0000FF"/>
      <name val="Arial"/>
    </font>
    <font>
      <u/>
      <sz val="11.0"/>
      <color rgb="FF000000"/>
      <name val="Calibri"/>
    </font>
    <font>
      <u/>
      <sz val="11.0"/>
      <color rgb="FF00FF00"/>
      <name val="Calibri"/>
    </font>
    <font>
      <u/>
      <color rgb="FF0000FF"/>
      <name val="Arial"/>
    </font>
    <font>
      <u/>
      <color rgb="FF0000FF"/>
      <name val="Arial"/>
    </font>
    <font>
      <u/>
      <color rgb="FF1155CC"/>
      <name val="Arial"/>
    </font>
    <font>
      <u/>
      <sz val="11.0"/>
      <color rgb="FF38761D"/>
      <name val="Calibri"/>
    </font>
    <font>
      <u/>
      <color rgb="FF1155CC"/>
      <name val="Arial"/>
    </font>
    <font/>
    <font>
      <color rgb="FF34A853"/>
      <name val="Arial"/>
    </font>
    <font>
      <u/>
      <sz val="11.0"/>
      <color rgb="FF1155CC"/>
      <name val="Calibri"/>
    </font>
    <font>
      <u/>
      <sz val="11.0"/>
      <color rgb="FF1155CC"/>
      <name val="Calibri"/>
    </font>
    <font>
      <sz val="11.0"/>
      <color rgb="FF34A853"/>
      <name val="Calibri"/>
    </font>
    <font>
      <sz val="11.0"/>
      <color rgb="FFEA4335"/>
      <name val="Calibri"/>
    </font>
    <font>
      <u/>
      <color rgb="FF1155CC"/>
      <name val="Arial"/>
    </font>
    <font>
      <color rgb="FFEA4335"/>
      <name val="Arial"/>
    </font>
    <font>
      <u/>
      <color rgb="FF38761D"/>
      <name val="Arial"/>
    </font>
    <font>
      <u/>
      <color rgb="FF0000FF"/>
      <name val="Arial"/>
    </font>
    <font>
      <u/>
      <sz val="11.0"/>
      <color rgb="FF0000FF"/>
      <name val="Calibri"/>
    </font>
    <font>
      <u/>
      <sz val="12.0"/>
      <color rgb="FF1155CC"/>
      <name val="Aptos"/>
    </font>
    <font>
      <u/>
      <color rgb="FF1155CC"/>
      <name val="Arial"/>
    </font>
    <font>
      <u/>
      <color rgb="FFFF0000"/>
      <name val="Arial"/>
    </font>
    <font>
      <u/>
      <sz val="12.0"/>
      <color rgb="FF1155CC"/>
      <name val="Arial"/>
    </font>
    <font>
      <u/>
      <sz val="12.0"/>
      <color rgb="FF1155CC"/>
      <name val="Aptos"/>
    </font>
    <font>
      <u/>
      <sz val="11.0"/>
      <color theme="1"/>
      <name val="Calibri"/>
    </font>
    <font>
      <u/>
      <color rgb="FF00FF00"/>
      <name val="Arial"/>
    </font>
    <font>
      <u/>
      <sz val="12.0"/>
      <color rgb="FF1155CC"/>
      <name val="Aptos"/>
    </font>
    <font>
      <u/>
      <color rgb="FF0000FF"/>
      <name val="Arial"/>
    </font>
    <font>
      <u/>
      <sz val="11.0"/>
      <color rgb="FF000000"/>
      <name val="Calibri"/>
    </font>
    <font>
      <u/>
      <sz val="12.0"/>
      <color rgb="FF000000"/>
      <name val="Aptos"/>
    </font>
    <font>
      <u/>
      <color rgb="FF000000"/>
      <name val="Arial"/>
    </font>
    <font>
      <u/>
      <sz val="12.0"/>
      <color rgb="FF000000"/>
      <name val="Aptos"/>
    </font>
    <font>
      <u/>
      <sz val="12.0"/>
      <color rgb="FF1155CC"/>
      <name val="Aptos"/>
    </font>
    <font>
      <u/>
      <color rgb="FF00FF00"/>
      <name val="Arial"/>
    </font>
    <font>
      <u/>
      <color theme="1"/>
      <name val="Arial"/>
    </font>
    <font>
      <u/>
      <color rgb="FF00FF00"/>
      <name val="Arial"/>
    </font>
    <font>
      <u/>
      <sz val="12.0"/>
      <color rgb="FF1155CC"/>
      <name val="Aptos"/>
    </font>
    <font>
      <u/>
      <color rgb="FF00FF00"/>
      <name val="Arial"/>
    </font>
    <font>
      <u/>
      <color rgb="FF00FF00"/>
      <name val="Arial"/>
    </font>
    <font>
      <u/>
      <sz val="11.0"/>
      <color rgb="FF0000FF"/>
      <name val="Calibri"/>
    </font>
    <font>
      <u/>
      <sz val="12.0"/>
      <color rgb="FF1155CC"/>
      <name val="Aptos"/>
    </font>
    <font>
      <u/>
      <color rgb="FF0000FF"/>
      <name val="Arial"/>
    </font>
    <font>
      <u/>
      <color rgb="FF1155CC"/>
      <name val="Arial"/>
    </font>
    <font>
      <u/>
      <sz val="11.0"/>
      <color rgb="FF0000FF"/>
      <name val="Calibri"/>
    </font>
    <font>
      <u/>
      <sz val="8.0"/>
      <color rgb="FF0000FF"/>
      <name val="Helvetica Neue"/>
    </font>
    <font>
      <u/>
      <sz val="11.0"/>
      <color rgb="FF00FF00"/>
      <name val="Helvetica Neue"/>
    </font>
    <font>
      <u/>
      <sz val="11.0"/>
      <color rgb="FF00FF00"/>
      <name val="Calibri"/>
    </font>
    <font>
      <sz val="11.0"/>
      <color rgb="FF38761D"/>
      <name val="Arial"/>
    </font>
    <font>
      <u/>
      <sz val="11.0"/>
      <color rgb="FF38761D"/>
      <name val="Calibri"/>
    </font>
    <font>
      <u/>
      <sz val="11.0"/>
      <color rgb="FF38761D"/>
      <name val="Calibri"/>
    </font>
    <font>
      <sz val="11.0"/>
      <color theme="1"/>
      <name val="Helvetica Neue"/>
    </font>
    <font>
      <color rgb="FFB6D7A8"/>
      <name val="Arial"/>
    </font>
    <font>
      <sz val="11.0"/>
      <color rgb="FFB6D7A8"/>
      <name val="Calibri"/>
    </font>
    <font>
      <u/>
      <sz val="11.0"/>
      <color rgb="FF38761D"/>
      <name val="Calibri"/>
    </font>
    <font>
      <u/>
      <sz val="8.0"/>
      <color rgb="FF38761D"/>
      <name val="Arial"/>
    </font>
    <font>
      <u/>
      <sz val="11.0"/>
      <color rgb="FFFF0000"/>
      <name val="Calibri"/>
    </font>
    <font>
      <u/>
      <sz val="11.0"/>
      <color rgb="FF00FF00"/>
      <name val="Calibri"/>
    </font>
    <font>
      <sz val="11.0"/>
      <color rgb="FF00FF00"/>
      <name val="Arial"/>
    </font>
    <font>
      <sz val="11.0"/>
      <color rgb="FFFF0000"/>
      <name val="Arial"/>
    </font>
    <font>
      <sz val="11.0"/>
      <color rgb="FFFF0000"/>
      <name val="Helvetica Neue"/>
    </font>
    <font>
      <u/>
      <sz val="12.0"/>
      <color rgb="FF00FF00"/>
      <name val="Aptos"/>
    </font>
    <font>
      <sz val="11.0"/>
      <color rgb="FFD9EAD3"/>
      <name val="Calibri"/>
    </font>
    <font>
      <u/>
      <sz val="11.0"/>
      <color theme="1"/>
      <name val="Calibri"/>
    </font>
    <font>
      <u/>
      <sz val="11.0"/>
      <color rgb="FFFF0000"/>
      <name val="Calibri"/>
    </font>
    <font>
      <u/>
      <sz val="11.0"/>
      <color rgb="FF0000FF"/>
      <name val="Calibri"/>
    </font>
    <font>
      <u/>
      <color rgb="FF0000FF"/>
      <name val="Arial"/>
    </font>
    <font>
      <u/>
      <color rgb="FF1155CC"/>
      <name val="Arial"/>
    </font>
    <font>
      <u/>
      <color rgb="FF1155CC"/>
      <name val="Arial"/>
    </font>
    <font>
      <u/>
      <sz val="11.0"/>
      <color rgb="FF0000FF"/>
      <name val="Calibri"/>
    </font>
    <font>
      <u/>
      <color rgb="FF0000FF"/>
      <name val="Arial"/>
    </font>
    <font>
      <u/>
      <color rgb="FF1155CC"/>
      <name val="Arial"/>
    </font>
    <font>
      <u/>
      <sz val="11.0"/>
      <color rgb="FF0000FF"/>
      <name val="Calibri"/>
    </font>
    <font>
      <u/>
      <color rgb="FF0000FF"/>
      <name val="Arial"/>
    </font>
    <font>
      <u/>
      <color rgb="FF1155CC"/>
      <name val="Arial"/>
    </font>
    <font>
      <u/>
      <sz val="11.0"/>
      <color theme="1"/>
      <name val="Calibri"/>
    </font>
    <font>
      <u/>
      <sz val="11.0"/>
      <color rgb="FF0000FF"/>
      <name val="Calibri"/>
    </font>
    <font>
      <u/>
      <sz val="11.0"/>
      <color theme="1"/>
      <name val="Calibri"/>
    </font>
    <font>
      <u/>
      <sz val="11.0"/>
      <color rgb="FF0000FF"/>
      <name val="Calibri"/>
    </font>
    <font>
      <u/>
      <sz val="11.0"/>
      <color rgb="FF0000FF"/>
      <name val="Calibri"/>
    </font>
    <font>
      <sz val="9.0"/>
      <color theme="1"/>
      <name val="Helvetica"/>
    </font>
    <font>
      <u/>
      <color rgb="FF1155CC"/>
      <name val="Arial"/>
    </font>
    <font>
      <u/>
      <color rgb="FF1155CC"/>
      <name val="Arial"/>
    </font>
    <font>
      <u/>
      <color rgb="FF1155CC"/>
      <name val="Arial"/>
    </font>
    <font>
      <u/>
      <sz val="11.0"/>
      <color rgb="FF0000FF"/>
      <name val="Calibri"/>
    </font>
    <font>
      <u/>
      <color rgb="FF0000FF"/>
      <name val="Arial"/>
    </font>
    <font>
      <u/>
      <color rgb="FF0000FF"/>
      <name val="Arial"/>
    </font>
    <font>
      <u/>
      <sz val="11.0"/>
      <color rgb="FF0000FF"/>
      <name val="Arial"/>
    </font>
    <font>
      <u/>
      <sz val="11.0"/>
      <color rgb="FF0000FF"/>
      <name val="Arial"/>
    </font>
    <font>
      <u/>
      <color rgb="FF0000FF"/>
      <name val="Arial"/>
    </font>
    <font>
      <u/>
      <color rgb="FF0000FF"/>
      <name val="Arial"/>
    </font>
    <font>
      <u/>
      <sz val="11.0"/>
      <color theme="1"/>
      <name val="Calibri"/>
    </font>
    <font>
      <u/>
      <sz val="11.0"/>
      <color theme="1"/>
      <name val="Calibri"/>
    </font>
    <font>
      <u/>
      <sz val="11.0"/>
      <color rgb="FF1155CC"/>
      <name val="Calibri"/>
    </font>
    <font>
      <u/>
      <sz val="11.0"/>
      <color rgb="FF1155CC"/>
      <name val="Calibri"/>
    </font>
    <font>
      <u/>
      <sz val="11.0"/>
      <color theme="1"/>
      <name val="Calibri"/>
    </font>
    <font>
      <u/>
      <color rgb="FF1155CC"/>
      <name val="Arial"/>
    </font>
    <font>
      <u/>
      <sz val="11.0"/>
      <color theme="1"/>
      <name val="Calibri"/>
    </font>
    <font>
      <u/>
      <sz val="11.0"/>
      <color theme="1"/>
      <name val="Calibri"/>
    </font>
    <font>
      <u/>
      <sz val="11.0"/>
      <color theme="1"/>
      <name val="Calibri"/>
    </font>
    <font>
      <u/>
      <color rgb="FF0000FF"/>
      <name val="Arial"/>
    </font>
    <font>
      <u/>
      <sz val="11.0"/>
      <color theme="1"/>
      <name val="Calibri"/>
    </font>
    <font>
      <u/>
      <sz val="11.0"/>
      <color theme="1"/>
      <name val="Calibri"/>
    </font>
    <font>
      <color rgb="FF980000"/>
      <name val="Arial"/>
    </font>
    <font>
      <u/>
      <sz val="11.0"/>
      <color rgb="FF1155CC"/>
      <name val="Calibri"/>
    </font>
    <font>
      <u/>
      <sz val="11.0"/>
      <color rgb="FF1155CC"/>
      <name val="Calibri"/>
    </font>
    <font>
      <u/>
      <sz val="11.0"/>
      <color theme="1"/>
      <name val="Calibri"/>
    </font>
    <font>
      <u/>
      <sz val="11.0"/>
      <color rgb="FF1155CC"/>
      <name val="Calibri"/>
    </font>
    <font>
      <u/>
      <sz val="11.0"/>
      <color rgb="FF1155CC"/>
      <name val="Calibri"/>
    </font>
    <font>
      <u/>
      <sz val="11.0"/>
      <color theme="1"/>
      <name val="Calibri"/>
    </font>
    <font>
      <u/>
      <sz val="11.0"/>
      <color theme="1"/>
      <name val="Calibri"/>
    </font>
    <font>
      <u/>
      <sz val="11.0"/>
      <color theme="1"/>
      <name val="Calibri"/>
    </font>
    <font>
      <u/>
      <sz val="11.0"/>
      <color rgb="FF1155CC"/>
      <name val="Calibri"/>
    </font>
    <font>
      <u/>
      <sz val="11.0"/>
      <color theme="1"/>
      <name val="Calibri"/>
    </font>
    <font>
      <u/>
      <sz val="11.0"/>
      <color theme="1"/>
      <name val="Calibri"/>
    </font>
    <font>
      <u/>
      <sz val="11.0"/>
      <color theme="1"/>
      <name val="Calibri"/>
    </font>
    <font>
      <u/>
      <sz val="11.0"/>
      <color theme="1"/>
      <name val="Calibri"/>
    </font>
    <font>
      <u/>
      <sz val="11.0"/>
      <color rgb="FF1155CC"/>
      <name val="Calibri"/>
    </font>
    <font>
      <u/>
      <sz val="11.0"/>
      <color theme="1"/>
      <name val="Calibri"/>
    </font>
    <font>
      <u/>
      <sz val="11.0"/>
      <color theme="1"/>
      <name val="Calibri"/>
    </font>
    <font>
      <u/>
      <sz val="11.0"/>
      <color rgb="FF1155CC"/>
      <name val="Calibri"/>
    </font>
    <font>
      <u/>
      <sz val="11.0"/>
      <color theme="1"/>
      <name val="Calibri"/>
    </font>
    <font>
      <u/>
      <color rgb="FF0000FF"/>
      <name val="Arial"/>
    </font>
    <font>
      <u/>
      <sz val="11.0"/>
      <color rgb="FF00FF00"/>
      <name val="Calibri"/>
    </font>
    <font>
      <u/>
      <sz val="11.0"/>
      <color rgb="FF0000FF"/>
      <name val="Calibri"/>
    </font>
    <font>
      <u/>
      <color rgb="FF0000FF"/>
      <name val="Arial"/>
    </font>
    <font>
      <u/>
      <sz val="11.0"/>
      <color rgb="FF1155CC"/>
      <name val="Calibri"/>
    </font>
    <font>
      <u/>
      <sz val="11.0"/>
      <color rgb="FF0000FF"/>
      <name val="Calibri"/>
    </font>
    <font>
      <u/>
      <sz val="11.0"/>
      <color rgb="FF0000FF"/>
      <name val="Calibri"/>
    </font>
    <font>
      <u/>
      <sz val="11.0"/>
      <color rgb="FF00FF00"/>
      <name val="Calibri"/>
    </font>
    <font>
      <u/>
      <sz val="11.0"/>
      <color theme="1"/>
      <name val="Calibri"/>
    </font>
    <font>
      <u/>
      <color rgb="FF0000FF"/>
      <name val="Arial"/>
    </font>
    <font>
      <u/>
      <sz val="11.0"/>
      <color rgb="FF00FF00"/>
      <name val="Calibri"/>
    </font>
    <font>
      <u/>
      <sz val="11.0"/>
      <color theme="1"/>
      <name val="Calibri"/>
    </font>
    <font>
      <u/>
      <color rgb="FF0000FF"/>
      <name val="Arial"/>
    </font>
    <font>
      <u/>
      <sz val="11.0"/>
      <color rgb="FF00FF00"/>
      <name val="Calibri"/>
    </font>
    <font>
      <u/>
      <color rgb="FF0000FF"/>
      <name val="Arial"/>
    </font>
    <font>
      <u/>
      <sz val="11.0"/>
      <color rgb="FF00FF00"/>
      <name val="Calibri"/>
    </font>
    <font>
      <u/>
      <color rgb="FF1155CC"/>
      <name val="Arial"/>
    </font>
    <font>
      <u/>
      <sz val="11.0"/>
      <color rgb="FF00FF00"/>
      <name val="Calibri"/>
    </font>
    <font>
      <u/>
      <color rgb="FF0000FF"/>
      <name val="Arial"/>
    </font>
    <font>
      <u/>
      <sz val="11.0"/>
      <color rgb="FF00FF00"/>
      <name val="Calibri"/>
    </font>
    <font>
      <u/>
      <sz val="11.0"/>
      <color rgb="FF0000FF"/>
      <name val="Calibri"/>
    </font>
    <font>
      <u/>
      <sz val="11.0"/>
      <color rgb="FF0000FF"/>
      <name val="Calibri"/>
    </font>
    <font>
      <u/>
      <color rgb="FF1155CC"/>
      <name val="Arial"/>
    </font>
    <font>
      <u/>
      <sz val="11.0"/>
      <color rgb="FF00FF00"/>
      <name val="Calibri"/>
    </font>
    <font>
      <u/>
      <color rgb="FF0000FF"/>
      <name val="Arial"/>
    </font>
    <font>
      <u/>
      <sz val="11.0"/>
      <color rgb="FF00FF00"/>
      <name val="Calibri"/>
    </font>
    <font>
      <u/>
      <color rgb="FF00FF00"/>
      <name val="Arial"/>
    </font>
    <font>
      <u/>
      <color theme="1"/>
      <name val="Arial"/>
    </font>
    <font>
      <u/>
      <sz val="11.0"/>
      <color rgb="FF00FF00"/>
      <name val="Calibri"/>
    </font>
    <font>
      <u/>
      <sz val="11.0"/>
      <color theme="1"/>
      <name val="Calibri"/>
    </font>
    <font>
      <u/>
      <sz val="11.0"/>
      <color rgb="FF0000FF"/>
      <name val="Calibri"/>
    </font>
    <font>
      <u/>
      <sz val="11.0"/>
      <color rgb="FF1155CC"/>
      <name val="Calibri"/>
    </font>
    <font>
      <color rgb="FFFFFFFF"/>
      <name val="Arial"/>
      <scheme val="minor"/>
    </font>
    <font>
      <u/>
      <sz val="11.0"/>
      <color rgb="FF000000"/>
      <name val="Calibri"/>
    </font>
    <font>
      <u/>
      <color rgb="FF000000"/>
      <name val="Arial"/>
    </font>
    <font>
      <u/>
      <sz val="11.0"/>
      <color rgb="FF0000FF"/>
      <name val="Calibri"/>
    </font>
    <font>
      <u/>
      <sz val="11.0"/>
      <color theme="1"/>
      <name val="Calibri"/>
    </font>
    <font>
      <u/>
      <sz val="11.0"/>
      <color theme="1"/>
      <name val="Calibri"/>
    </font>
    <font>
      <u/>
      <sz val="11.0"/>
      <color theme="1"/>
      <name val="Calibri"/>
    </font>
    <font>
      <u/>
      <sz val="11.0"/>
      <color rgb="FF1155CC"/>
      <name val="Calibri"/>
    </font>
    <font>
      <u/>
      <sz val="11.0"/>
      <color rgb="FF1155CC"/>
      <name val="Calibri"/>
    </font>
    <font>
      <u/>
      <color theme="1"/>
      <name val="Arial"/>
    </font>
    <font>
      <u/>
      <color theme="1"/>
      <name val="Arial"/>
    </font>
    <font>
      <u/>
      <color theme="1"/>
      <name val="Arial"/>
    </font>
    <font>
      <u/>
      <color theme="1"/>
      <name val="Arial"/>
    </font>
    <font>
      <u/>
      <sz val="11.0"/>
      <color rgb="FF1155CC"/>
      <name val="Calibri"/>
    </font>
    <font>
      <u/>
      <sz val="11.0"/>
      <color rgb="FF1155CC"/>
      <name val="Calibri"/>
    </font>
    <font>
      <u/>
      <color rgb="FF1155CC"/>
      <name val="Arial"/>
    </font>
    <font>
      <u/>
      <color theme="1"/>
      <name val="Arial"/>
    </font>
    <font>
      <u/>
      <color theme="1"/>
      <name val="Arial"/>
    </font>
    <font>
      <u/>
      <color theme="1"/>
      <name val="Arial"/>
    </font>
    <font>
      <u/>
      <color rgb="FF1155CC"/>
      <name val="Arial"/>
    </font>
    <font>
      <u/>
      <sz val="11.0"/>
      <color rgb="FF1155CC"/>
      <name val="Calibri"/>
    </font>
    <font>
      <u/>
      <sz val="11.0"/>
      <color theme="1"/>
      <name val="Calibri"/>
    </font>
    <font>
      <u/>
      <sz val="11.0"/>
      <color rgb="FF0000FF"/>
      <name val="Calibri"/>
    </font>
    <font>
      <u/>
      <sz val="11.0"/>
      <color rgb="FF6AA84F"/>
      <name val="Calibri"/>
    </font>
    <font>
      <sz val="11.0"/>
      <color rgb="FF6AA84F"/>
      <name val="Calibri"/>
    </font>
    <font>
      <u/>
      <color rgb="FF6AA84F"/>
      <name val="Arial"/>
    </font>
    <font>
      <u/>
      <sz val="11.0"/>
      <color theme="1"/>
      <name val="Calibri"/>
    </font>
    <font>
      <u/>
      <sz val="11.0"/>
      <color theme="1"/>
      <name val="Calibri"/>
    </font>
    <font>
      <u/>
      <color theme="1"/>
      <name val="Arial"/>
    </font>
    <font>
      <color rgb="FF333333"/>
      <name val="Arial"/>
    </font>
    <font>
      <u/>
      <color rgb="FF1155CC"/>
      <name val="Arial"/>
    </font>
    <font>
      <u/>
      <color rgb="FF1155CC"/>
      <name val="Arial"/>
    </font>
    <font>
      <sz val="11.0"/>
      <color rgb="FF337AB7"/>
      <name val="Calibri"/>
    </font>
    <font>
      <u/>
      <sz val="11.0"/>
      <color rgb="FF1155CC"/>
      <name val="Calibri"/>
    </font>
    <font>
      <u/>
      <sz val="11.0"/>
      <color rgb="FF1155CC"/>
      <name val="Calibri"/>
    </font>
    <font>
      <sz val="11.0"/>
      <color rgb="FF181818"/>
      <name val="Arial"/>
    </font>
    <font>
      <u/>
      <color theme="1"/>
      <name val="Arial"/>
    </font>
    <font>
      <u/>
      <color theme="1"/>
      <name val="Arial"/>
    </font>
    <font>
      <u/>
      <sz val="11.0"/>
      <color rgb="FF1155CC"/>
      <name val="Calibri"/>
    </font>
    <font>
      <u/>
      <sz val="11.0"/>
      <color rgb="FF1155CC"/>
      <name val="Calibri"/>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rgb="FF1155CC"/>
      <name val="Arial"/>
    </font>
    <font>
      <u/>
      <color theme="1"/>
      <name val="Arial"/>
    </font>
    <font>
      <u/>
      <color theme="1"/>
      <name val="Arial"/>
    </font>
    <font>
      <u/>
      <color theme="1"/>
      <name val="Arial"/>
    </font>
    <font>
      <u/>
      <color theme="1"/>
      <name val="Arial"/>
    </font>
    <font>
      <u/>
      <color rgb="FF000000"/>
      <name val="Arial"/>
    </font>
    <font>
      <u/>
      <color rgb="FF000000"/>
      <name val="Arial"/>
    </font>
    <font>
      <u/>
      <color rgb="FF000000"/>
      <name val="Arial"/>
    </font>
    <font>
      <u/>
      <sz val="11.0"/>
      <color rgb="FF1155CC"/>
      <name val="Calibri"/>
    </font>
    <font>
      <u/>
      <sz val="11.0"/>
      <color rgb="FF1155CC"/>
      <name val="Calibri"/>
    </font>
    <font>
      <u/>
      <color theme="1"/>
      <name val="Arial"/>
    </font>
    <font>
      <u/>
      <color theme="1"/>
      <name val="Arial"/>
    </font>
    <font>
      <u/>
      <sz val="11.0"/>
      <color rgb="FF0000FF"/>
      <name val="Calibri"/>
    </font>
    <font>
      <u/>
      <color rgb="FF0000FF"/>
      <name val="Arial"/>
    </font>
    <font>
      <u/>
      <sz val="11.0"/>
      <color rgb="FF0000FF"/>
      <name val="Calibri"/>
    </font>
    <font>
      <u/>
      <color rgb="FF0000FF"/>
      <name val="Arial"/>
    </font>
    <font>
      <u/>
      <sz val="12.0"/>
      <color rgb="FF1155CC"/>
      <name val="Aptos"/>
    </font>
    <font>
      <color rgb="FF242021"/>
      <name val="Arial"/>
    </font>
    <font>
      <u/>
      <sz val="11.0"/>
      <color theme="1"/>
      <name val="Calibri"/>
    </font>
    <font>
      <sz val="8.0"/>
      <color theme="1"/>
      <name val="Arial"/>
    </font>
    <font>
      <u/>
      <sz val="11.0"/>
      <color rgb="FF0000FF"/>
      <name val="Calibri"/>
    </font>
    <font>
      <sz val="9.0"/>
      <color theme="1"/>
      <name val="Arial"/>
    </font>
    <font>
      <u/>
      <color rgb="FF1155CC"/>
      <name val="Arial"/>
    </font>
    <font>
      <sz val="8.0"/>
      <color theme="1"/>
      <name val="Calibri"/>
    </font>
    <font>
      <u/>
      <sz val="11.0"/>
      <color rgb="FF1155CC"/>
      <name val="Calibri"/>
    </font>
    <font>
      <sz val="9.0"/>
      <color theme="1"/>
      <name val="Calibri"/>
    </font>
    <font>
      <u/>
      <sz val="11.0"/>
      <color rgb="FF1155CC"/>
      <name val="Calibri"/>
    </font>
    <font>
      <sz val="7.0"/>
      <color theme="1"/>
      <name val="Arial"/>
    </font>
    <font>
      <u/>
      <sz val="11.0"/>
      <color rgb="FF131314"/>
      <name val="Google Sans Text"/>
    </font>
    <font>
      <u/>
      <sz val="11.0"/>
      <color theme="1"/>
      <name val="Calibri"/>
    </font>
    <font>
      <u/>
      <sz val="11.0"/>
      <color rgb="FF0000FF"/>
      <name val="Calibri"/>
    </font>
    <font>
      <b/>
      <color rgb="FF980000"/>
      <name val="Arial"/>
      <scheme val="minor"/>
    </font>
    <font>
      <color rgb="FF980000"/>
      <name val="Arial"/>
      <scheme val="minor"/>
    </font>
    <font>
      <b/>
      <i/>
      <color theme="1"/>
      <name val="Arial"/>
      <scheme val="minor"/>
    </font>
    <font>
      <sz val="14.0"/>
      <color theme="1"/>
      <name val="Sans-serif"/>
    </font>
    <font>
      <sz val="12.0"/>
      <color rgb="FF000000"/>
      <name val="Calibri"/>
    </font>
  </fonts>
  <fills count="48">
    <fill>
      <patternFill patternType="none"/>
    </fill>
    <fill>
      <patternFill patternType="lightGray"/>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
      <patternFill patternType="solid">
        <fgColor rgb="FFFF0000"/>
        <bgColor rgb="FFFF0000"/>
      </patternFill>
    </fill>
    <fill>
      <patternFill patternType="solid">
        <fgColor rgb="FFF6B26B"/>
        <bgColor rgb="FFF6B26B"/>
      </patternFill>
    </fill>
    <fill>
      <patternFill patternType="solid">
        <fgColor rgb="FFF1C232"/>
        <bgColor rgb="FFF1C232"/>
      </patternFill>
    </fill>
    <fill>
      <patternFill patternType="solid">
        <fgColor rgb="FF6D9EEB"/>
        <bgColor rgb="FF6D9EEB"/>
      </patternFill>
    </fill>
    <fill>
      <patternFill patternType="solid">
        <fgColor rgb="FFC27BA0"/>
        <bgColor rgb="FFC27BA0"/>
      </patternFill>
    </fill>
    <fill>
      <patternFill patternType="solid">
        <fgColor rgb="FFE69138"/>
        <bgColor rgb="FFE69138"/>
      </patternFill>
    </fill>
    <fill>
      <patternFill patternType="solid">
        <fgColor rgb="FF45818E"/>
        <bgColor rgb="FF45818E"/>
      </patternFill>
    </fill>
    <fill>
      <patternFill patternType="solid">
        <fgColor rgb="FF6FA8DC"/>
        <bgColor rgb="FF6FA8DC"/>
      </patternFill>
    </fill>
    <fill>
      <patternFill patternType="solid">
        <fgColor rgb="FFEAD1DC"/>
        <bgColor rgb="FFEAD1DC"/>
      </patternFill>
    </fill>
    <fill>
      <patternFill patternType="solid">
        <fgColor rgb="FFF9CB9C"/>
        <bgColor rgb="FFF9CB9C"/>
      </patternFill>
    </fill>
    <fill>
      <patternFill patternType="solid">
        <fgColor rgb="FFFFE599"/>
        <bgColor rgb="FFFFE599"/>
      </patternFill>
    </fill>
    <fill>
      <patternFill patternType="solid">
        <fgColor rgb="FFA4C2F4"/>
        <bgColor rgb="FFA4C2F4"/>
      </patternFill>
    </fill>
    <fill>
      <patternFill patternType="solid">
        <fgColor rgb="FFD5A6BD"/>
        <bgColor rgb="FFD5A6BD"/>
      </patternFill>
    </fill>
    <fill>
      <patternFill patternType="solid">
        <fgColor rgb="FFA2C4C9"/>
        <bgColor rgb="FFA2C4C9"/>
      </patternFill>
    </fill>
    <fill>
      <patternFill patternType="solid">
        <fgColor rgb="FF9FC5E8"/>
        <bgColor rgb="FF9FC5E8"/>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FFF2CC"/>
        <bgColor rgb="FFFFF2CC"/>
      </patternFill>
    </fill>
    <fill>
      <patternFill patternType="solid">
        <fgColor rgb="FFCFE2F3"/>
        <bgColor rgb="FFCFE2F3"/>
      </patternFill>
    </fill>
    <fill>
      <patternFill patternType="solid">
        <fgColor rgb="FFEA9999"/>
        <bgColor rgb="FFEA9999"/>
      </patternFill>
    </fill>
    <fill>
      <patternFill patternType="solid">
        <fgColor rgb="FFFCE5CD"/>
        <bgColor rgb="FFFCE5CD"/>
      </patternFill>
    </fill>
    <fill>
      <patternFill patternType="solid">
        <fgColor rgb="FFB6D7A8"/>
        <bgColor rgb="FFB6D7A8"/>
      </patternFill>
    </fill>
    <fill>
      <patternFill patternType="solid">
        <fgColor rgb="FFFFD966"/>
        <bgColor rgb="FFFFD966"/>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F3F3F3"/>
        <bgColor rgb="FFF3F3F3"/>
      </patternFill>
    </fill>
    <fill>
      <patternFill patternType="solid">
        <fgColor rgb="FF93C47D"/>
        <bgColor rgb="FF93C47D"/>
      </patternFill>
    </fill>
    <fill>
      <patternFill patternType="solid">
        <fgColor rgb="FFB4A7D6"/>
        <bgColor rgb="FFB4A7D6"/>
      </patternFill>
    </fill>
    <fill>
      <patternFill patternType="solid">
        <fgColor theme="0"/>
        <bgColor theme="0"/>
      </patternFill>
    </fill>
    <fill>
      <patternFill patternType="solid">
        <fgColor rgb="FFD9D9D9"/>
        <bgColor rgb="FFD9D9D9"/>
      </patternFill>
    </fill>
    <fill>
      <patternFill patternType="solid">
        <fgColor rgb="FFE6B8AF"/>
        <bgColor rgb="FFE6B8AF"/>
      </patternFill>
    </fill>
    <fill>
      <patternFill patternType="solid">
        <fgColor rgb="FFCCCCCC"/>
        <bgColor rgb="FFCCCCCC"/>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EA4335"/>
        <bgColor rgb="FFEA4335"/>
      </patternFill>
    </fill>
    <fill>
      <patternFill patternType="solid">
        <fgColor rgb="FF34A853"/>
        <bgColor rgb="FF34A853"/>
      </patternFill>
    </fill>
    <fill>
      <patternFill patternType="solid">
        <fgColor rgb="FF4A86E8"/>
        <bgColor rgb="FF4A86E8"/>
      </patternFill>
    </fill>
    <fill>
      <patternFill patternType="solid">
        <fgColor theme="7"/>
        <bgColor theme="7"/>
      </patternFill>
    </fill>
    <fill>
      <patternFill patternType="solid">
        <fgColor rgb="FF76A5AF"/>
        <bgColor rgb="FF76A5AF"/>
      </patternFill>
    </fill>
  </fills>
  <borders count="16">
    <border/>
    <border>
      <left/>
      <right/>
      <top/>
      <bottom/>
    </border>
    <border>
      <left/>
      <right style="thin">
        <color rgb="FF000000"/>
      </right>
      <top/>
      <bottom/>
    </border>
    <border>
      <left style="thin">
        <color rgb="FF000000"/>
      </left>
      <right style="thin">
        <color rgb="FF000000"/>
      </right>
      <top/>
      <bottom/>
    </border>
    <border>
      <left style="thin">
        <color rgb="FF000000"/>
      </left>
      <right/>
      <top/>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s>
  <cellStyleXfs count="1">
    <xf borderId="0" fillId="0" fontId="0" numFmtId="0" applyAlignment="1" applyFont="1"/>
  </cellStyleXfs>
  <cellXfs count="254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0" fontId="1" numFmtId="0" xfId="0" applyAlignment="1" applyBorder="1" applyFont="1">
      <alignment readingOrder="0"/>
    </xf>
    <xf borderId="1" fillId="0" fontId="1" numFmtId="0" xfId="0" applyBorder="1" applyFont="1"/>
    <xf borderId="0" fillId="2" fontId="1" numFmtId="0" xfId="0" applyAlignment="1" applyFill="1" applyFont="1">
      <alignment readingOrder="0"/>
    </xf>
    <xf borderId="0" fillId="2" fontId="1" numFmtId="0" xfId="0" applyAlignment="1" applyFont="1">
      <alignment shrinkToFit="0" wrapText="0"/>
    </xf>
    <xf borderId="1" fillId="2" fontId="1" numFmtId="0" xfId="0" applyAlignment="1" applyBorder="1" applyFont="1">
      <alignment shrinkToFit="0" wrapText="0"/>
    </xf>
    <xf borderId="1" fillId="2" fontId="1" numFmtId="0" xfId="0" applyAlignment="1" applyBorder="1" applyFont="1">
      <alignment readingOrder="0"/>
    </xf>
    <xf borderId="1" fillId="3" fontId="1" numFmtId="0" xfId="0" applyBorder="1" applyFill="1" applyFont="1"/>
    <xf borderId="1" fillId="4" fontId="1" numFmtId="0" xfId="0" applyAlignment="1" applyBorder="1" applyFill="1" applyFont="1">
      <alignment readingOrder="0"/>
    </xf>
    <xf borderId="0" fillId="5" fontId="2" numFmtId="0" xfId="0" applyAlignment="1" applyFill="1" applyFont="1">
      <alignment readingOrder="0" vertical="bottom"/>
    </xf>
    <xf borderId="1" fillId="6" fontId="2" numFmtId="0" xfId="0" applyAlignment="1" applyBorder="1" applyFill="1" applyFont="1">
      <alignment vertical="bottom"/>
    </xf>
    <xf borderId="1" fillId="6" fontId="2" numFmtId="0" xfId="0" applyAlignment="1" applyBorder="1" applyFont="1">
      <alignment readingOrder="0" vertical="bottom"/>
    </xf>
    <xf borderId="0" fillId="7" fontId="1" numFmtId="0" xfId="0" applyAlignment="1" applyFill="1" applyFont="1">
      <alignment readingOrder="0"/>
    </xf>
    <xf borderId="1" fillId="7" fontId="1" numFmtId="0" xfId="0" applyAlignment="1" applyBorder="1" applyFont="1">
      <alignment readingOrder="0"/>
    </xf>
    <xf borderId="1" fillId="8" fontId="1" numFmtId="0" xfId="0" applyAlignment="1" applyBorder="1" applyFill="1" applyFont="1">
      <alignment readingOrder="0"/>
    </xf>
    <xf borderId="1" fillId="8" fontId="1" numFmtId="0" xfId="0" applyBorder="1" applyFont="1"/>
    <xf borderId="2" fillId="9" fontId="1" numFmtId="0" xfId="0" applyAlignment="1" applyBorder="1" applyFill="1" applyFont="1">
      <alignment readingOrder="0"/>
    </xf>
    <xf borderId="2" fillId="9" fontId="2" numFmtId="0" xfId="0" applyAlignment="1" applyBorder="1" applyFont="1">
      <alignment vertical="bottom"/>
    </xf>
    <xf borderId="3" fillId="10" fontId="1" numFmtId="0" xfId="0" applyAlignment="1" applyBorder="1" applyFill="1" applyFont="1">
      <alignment readingOrder="0"/>
    </xf>
    <xf borderId="1" fillId="11" fontId="1" numFmtId="0" xfId="0" applyAlignment="1" applyBorder="1" applyFill="1" applyFont="1">
      <alignment readingOrder="0"/>
    </xf>
    <xf borderId="1" fillId="11" fontId="1" numFmtId="0" xfId="0" applyBorder="1" applyFont="1"/>
    <xf borderId="3" fillId="9" fontId="1" numFmtId="0" xfId="0" applyAlignment="1" applyBorder="1" applyFont="1">
      <alignment readingOrder="0"/>
    </xf>
    <xf borderId="4" fillId="10" fontId="1" numFmtId="0" xfId="0" applyAlignment="1" applyBorder="1" applyFont="1">
      <alignment readingOrder="0"/>
    </xf>
    <xf borderId="0" fillId="12" fontId="2" numFmtId="0" xfId="0" applyAlignment="1" applyFill="1" applyFont="1">
      <alignment vertical="bottom"/>
    </xf>
    <xf borderId="0" fillId="13" fontId="1" numFmtId="0" xfId="0" applyAlignment="1" applyFill="1" applyFont="1">
      <alignment readingOrder="0"/>
    </xf>
    <xf borderId="0" fillId="0" fontId="3" numFmtId="0" xfId="0" applyAlignment="1" applyFont="1">
      <alignment readingOrder="0"/>
    </xf>
    <xf borderId="0" fillId="5" fontId="4" numFmtId="0" xfId="0" applyAlignment="1" applyFont="1">
      <alignment readingOrder="0" shrinkToFit="0" vertical="top" wrapText="1"/>
    </xf>
    <xf borderId="5" fillId="14" fontId="4" numFmtId="0" xfId="0" applyAlignment="1" applyBorder="1" applyFill="1" applyFont="1">
      <alignment readingOrder="0" shrinkToFit="0" vertical="top" wrapText="1"/>
    </xf>
    <xf borderId="5" fillId="14" fontId="4" numFmtId="0" xfId="0" applyAlignment="1" applyBorder="1" applyFont="1">
      <alignment shrinkToFit="0" vertical="top" wrapText="1"/>
    </xf>
    <xf borderId="0" fillId="15" fontId="5" numFmtId="0" xfId="0" applyAlignment="1" applyFill="1" applyFont="1">
      <alignment readingOrder="0" shrinkToFit="0" vertical="top" wrapText="1"/>
    </xf>
    <xf borderId="5" fillId="15" fontId="5" numFmtId="0" xfId="0" applyAlignment="1" applyBorder="1" applyFont="1">
      <alignment readingOrder="0" shrinkToFit="0" vertical="top" wrapText="1"/>
    </xf>
    <xf borderId="5" fillId="16" fontId="5" numFmtId="0" xfId="0" applyAlignment="1" applyBorder="1" applyFill="1" applyFont="1">
      <alignment readingOrder="0" shrinkToFit="0" vertical="top" wrapText="1"/>
    </xf>
    <xf borderId="6" fillId="17" fontId="5" numFmtId="0" xfId="0" applyAlignment="1" applyBorder="1" applyFill="1" applyFont="1">
      <alignment readingOrder="0" shrinkToFit="0" vertical="top" wrapText="1"/>
    </xf>
    <xf borderId="7" fillId="14" fontId="5" numFmtId="0" xfId="0" applyAlignment="1" applyBorder="1" applyFont="1">
      <alignment readingOrder="0" shrinkToFit="0" vertical="top" wrapText="1"/>
    </xf>
    <xf borderId="5" fillId="18" fontId="5" numFmtId="0" xfId="0" applyAlignment="1" applyBorder="1" applyFill="1" applyFont="1">
      <alignment readingOrder="0" shrinkToFit="0" vertical="top" wrapText="1"/>
    </xf>
    <xf borderId="7" fillId="17" fontId="5" numFmtId="0" xfId="0" applyAlignment="1" applyBorder="1" applyFont="1">
      <alignment readingOrder="0" shrinkToFit="0" vertical="top" wrapText="1"/>
    </xf>
    <xf borderId="8" fillId="14" fontId="5" numFmtId="0" xfId="0" applyAlignment="1" applyBorder="1" applyFont="1">
      <alignment readingOrder="0" shrinkToFit="0" vertical="top" wrapText="1"/>
    </xf>
    <xf borderId="9" fillId="19" fontId="4" numFmtId="0" xfId="0" applyAlignment="1" applyBorder="1" applyFill="1" applyFont="1">
      <alignment vertical="bottom"/>
    </xf>
    <xf borderId="9" fillId="13" fontId="5" numFmtId="0" xfId="0" applyAlignment="1" applyBorder="1" applyFont="1">
      <alignment readingOrder="0" shrinkToFit="0" vertical="top" wrapText="1"/>
    </xf>
    <xf borderId="9" fillId="2" fontId="5" numFmtId="0" xfId="0" applyAlignment="1" applyBorder="1" applyFont="1">
      <alignment readingOrder="0" shrinkToFit="0" vertical="top" wrapText="1"/>
    </xf>
    <xf borderId="9" fillId="0" fontId="5" numFmtId="0" xfId="0" applyAlignment="1" applyBorder="1" applyFont="1">
      <alignment readingOrder="0" shrinkToFit="0" vertical="top" wrapText="1"/>
    </xf>
    <xf borderId="0" fillId="0" fontId="5" numFmtId="0" xfId="0" applyAlignment="1" applyFont="1">
      <alignment shrinkToFit="0" vertical="top" wrapText="1"/>
    </xf>
    <xf borderId="0" fillId="20" fontId="5" numFmtId="0" xfId="0" applyFill="1" applyFont="1"/>
    <xf borderId="0" fillId="0" fontId="5" numFmtId="0" xfId="0" applyAlignment="1" applyFont="1">
      <alignment readingOrder="0"/>
    </xf>
    <xf borderId="0" fillId="21" fontId="6" numFmtId="0" xfId="0" applyAlignment="1" applyFill="1" applyFont="1">
      <alignment vertical="bottom"/>
    </xf>
    <xf borderId="0" fillId="21" fontId="4" numFmtId="0" xfId="0" applyAlignment="1" applyFont="1">
      <alignment vertical="bottom"/>
    </xf>
    <xf borderId="0" fillId="21" fontId="6" numFmtId="164" xfId="0" applyAlignment="1" applyFont="1" applyNumberFormat="1">
      <alignment horizontal="right" vertical="bottom"/>
    </xf>
    <xf borderId="0" fillId="21" fontId="6" numFmtId="0" xfId="0" applyAlignment="1" applyFont="1">
      <alignment vertical="bottom"/>
    </xf>
    <xf borderId="0" fillId="21" fontId="6" numFmtId="0" xfId="0" applyAlignment="1" applyFont="1">
      <alignment horizontal="right" vertical="bottom"/>
    </xf>
    <xf borderId="0" fillId="21" fontId="4" numFmtId="0" xfId="0" applyAlignment="1" applyFont="1">
      <alignment vertical="bottom"/>
    </xf>
    <xf borderId="0" fillId="0" fontId="7" numFmtId="0" xfId="0" applyAlignment="1" applyFont="1">
      <alignment readingOrder="0" vertical="bottom"/>
    </xf>
    <xf borderId="0" fillId="21" fontId="6" numFmtId="0" xfId="0" applyAlignment="1" applyFont="1">
      <alignment horizontal="right" vertical="bottom"/>
    </xf>
    <xf borderId="0" fillId="21" fontId="8" numFmtId="0" xfId="0" applyAlignment="1" applyFont="1">
      <alignment vertical="bottom"/>
    </xf>
    <xf borderId="0" fillId="21" fontId="6" numFmtId="0" xfId="0" applyAlignment="1" applyFont="1">
      <alignment horizontal="right" readingOrder="0" vertical="bottom"/>
    </xf>
    <xf borderId="0" fillId="21" fontId="6" numFmtId="0" xfId="0" applyAlignment="1" applyFont="1">
      <alignment readingOrder="0" vertical="bottom"/>
    </xf>
    <xf borderId="0" fillId="0" fontId="4" numFmtId="0" xfId="0" applyAlignment="1" applyFont="1">
      <alignment vertical="bottom"/>
    </xf>
    <xf borderId="0" fillId="22" fontId="4" numFmtId="0" xfId="0" applyAlignment="1" applyFill="1" applyFont="1">
      <alignment vertical="bottom"/>
    </xf>
    <xf borderId="0" fillId="21" fontId="9" numFmtId="0" xfId="0" applyAlignment="1" applyFont="1">
      <alignment vertical="bottom"/>
    </xf>
    <xf borderId="0" fillId="21" fontId="10" numFmtId="0" xfId="0" applyAlignment="1" applyFont="1">
      <alignment vertical="bottom"/>
    </xf>
    <xf borderId="0" fillId="0" fontId="6" numFmtId="0" xfId="0" applyAlignment="1" applyFont="1">
      <alignment vertical="bottom"/>
    </xf>
    <xf borderId="0" fillId="0" fontId="11" numFmtId="0" xfId="0" applyAlignment="1" applyFont="1">
      <alignment readingOrder="0"/>
    </xf>
    <xf borderId="0" fillId="0" fontId="5" numFmtId="165" xfId="0" applyAlignment="1" applyFont="1" applyNumberFormat="1">
      <alignment readingOrder="0"/>
    </xf>
    <xf borderId="0" fillId="0" fontId="5" numFmtId="164" xfId="0" applyAlignment="1" applyFont="1" applyNumberFormat="1">
      <alignment readingOrder="0"/>
    </xf>
    <xf borderId="0" fillId="0" fontId="5" numFmtId="0" xfId="0" applyFont="1"/>
    <xf borderId="0" fillId="23" fontId="5" numFmtId="0" xfId="0" applyAlignment="1" applyFill="1" applyFont="1">
      <alignment readingOrder="0"/>
    </xf>
    <xf borderId="0" fillId="0" fontId="11" numFmtId="0" xfId="0" applyFont="1"/>
    <xf borderId="0" fillId="0" fontId="6" numFmtId="0" xfId="0" applyAlignment="1" applyFont="1">
      <alignment vertical="bottom"/>
    </xf>
    <xf borderId="0" fillId="24" fontId="5" numFmtId="0" xfId="0" applyAlignment="1" applyFill="1" applyFont="1">
      <alignment readingOrder="0" shrinkToFit="0" vertical="bottom" wrapText="0"/>
    </xf>
    <xf borderId="0" fillId="24" fontId="5" numFmtId="0" xfId="0" applyAlignment="1" applyFont="1">
      <alignment shrinkToFit="0" vertical="bottom" wrapText="0"/>
    </xf>
    <xf borderId="0" fillId="24" fontId="11" numFmtId="0" xfId="0" applyFont="1"/>
    <xf borderId="0" fillId="25" fontId="5" numFmtId="0" xfId="0" applyAlignment="1" applyFill="1" applyFont="1">
      <alignment readingOrder="0"/>
    </xf>
    <xf borderId="0" fillId="25" fontId="5" numFmtId="0" xfId="0" applyFont="1"/>
    <xf borderId="0" fillId="25" fontId="6" numFmtId="0" xfId="0" applyAlignment="1" applyFont="1">
      <alignment shrinkToFit="0" vertical="bottom" wrapText="0"/>
    </xf>
    <xf borderId="0" fillId="25" fontId="4" numFmtId="0" xfId="0" applyAlignment="1" applyFont="1">
      <alignment shrinkToFit="0" vertical="bottom" wrapText="0"/>
    </xf>
    <xf borderId="0" fillId="25" fontId="4" numFmtId="0" xfId="0" applyAlignment="1" applyFont="1">
      <alignment vertical="bottom"/>
    </xf>
    <xf borderId="0" fillId="25" fontId="4" numFmtId="164" xfId="0" applyAlignment="1" applyFont="1" applyNumberFormat="1">
      <alignment horizontal="right" shrinkToFit="0" vertical="bottom" wrapText="0"/>
    </xf>
    <xf borderId="0" fillId="25" fontId="4" numFmtId="164" xfId="0" applyAlignment="1" applyFont="1" applyNumberFormat="1">
      <alignment horizontal="right" readingOrder="0" shrinkToFit="0" vertical="bottom" wrapText="0"/>
    </xf>
    <xf borderId="0" fillId="25" fontId="6" numFmtId="0" xfId="0" applyAlignment="1" applyFont="1">
      <alignment readingOrder="0" vertical="bottom"/>
    </xf>
    <xf borderId="0" fillId="25" fontId="4" numFmtId="0" xfId="0" applyAlignment="1" applyFont="1">
      <alignment horizontal="center" shrinkToFit="0" vertical="bottom" wrapText="0"/>
    </xf>
    <xf borderId="0" fillId="25" fontId="4" numFmtId="0" xfId="0" applyAlignment="1" applyFont="1">
      <alignment shrinkToFit="0" vertical="bottom" wrapText="0"/>
    </xf>
    <xf borderId="0" fillId="25" fontId="6" numFmtId="0" xfId="0" applyAlignment="1" applyFont="1">
      <alignment vertical="bottom"/>
    </xf>
    <xf borderId="0" fillId="25" fontId="4" numFmtId="0" xfId="0" applyAlignment="1" applyFont="1">
      <alignment horizontal="center" shrinkToFit="0" vertical="bottom" wrapText="0"/>
    </xf>
    <xf borderId="0" fillId="25" fontId="4" numFmtId="0" xfId="0" applyAlignment="1" applyFont="1">
      <alignment horizontal="right" shrinkToFit="0" vertical="bottom" wrapText="0"/>
    </xf>
    <xf borderId="0" fillId="25" fontId="4" numFmtId="0" xfId="0" applyAlignment="1" applyFont="1">
      <alignment shrinkToFit="0" vertical="bottom" wrapText="0"/>
    </xf>
    <xf borderId="0" fillId="25" fontId="6" numFmtId="0" xfId="0" applyAlignment="1" applyFont="1">
      <alignment shrinkToFit="0" vertical="bottom" wrapText="0"/>
    </xf>
    <xf borderId="0" fillId="26" fontId="12" numFmtId="0" xfId="0" applyAlignment="1" applyFill="1" applyFont="1">
      <alignment horizontal="right" vertical="bottom"/>
    </xf>
    <xf borderId="0" fillId="0" fontId="13" numFmtId="0" xfId="0" applyAlignment="1" applyFont="1">
      <alignment readingOrder="0"/>
    </xf>
    <xf borderId="0" fillId="25" fontId="14" numFmtId="0" xfId="0" applyAlignment="1" applyFont="1">
      <alignment shrinkToFit="0" vertical="bottom" wrapText="0"/>
    </xf>
    <xf borderId="0" fillId="25" fontId="15" numFmtId="0" xfId="0" applyAlignment="1" applyFont="1">
      <alignment shrinkToFit="0" vertical="bottom" wrapText="0"/>
    </xf>
    <xf borderId="0" fillId="0" fontId="16" numFmtId="0" xfId="0" applyAlignment="1" applyFont="1">
      <alignment vertical="bottom"/>
    </xf>
    <xf borderId="0" fillId="25" fontId="11" numFmtId="0" xfId="0" applyFont="1"/>
    <xf borderId="0" fillId="25" fontId="11" numFmtId="0" xfId="0" applyAlignment="1" applyFont="1">
      <alignment readingOrder="0"/>
    </xf>
    <xf borderId="0" fillId="25" fontId="6" numFmtId="0" xfId="0" applyAlignment="1" applyFont="1">
      <alignment vertical="bottom"/>
    </xf>
    <xf borderId="0" fillId="25" fontId="4" numFmtId="0" xfId="0" applyAlignment="1" applyFont="1">
      <alignment vertical="bottom"/>
    </xf>
    <xf borderId="0" fillId="25" fontId="4" numFmtId="166" xfId="0" applyAlignment="1" applyFont="1" applyNumberFormat="1">
      <alignment horizontal="right" vertical="bottom"/>
    </xf>
    <xf borderId="0" fillId="0" fontId="17" numFmtId="0" xfId="0" applyAlignment="1" applyFont="1">
      <alignment readingOrder="0"/>
    </xf>
    <xf borderId="0" fillId="25" fontId="4" numFmtId="0" xfId="0" applyAlignment="1" applyFont="1">
      <alignment horizontal="right" vertical="bottom"/>
    </xf>
    <xf borderId="0" fillId="25" fontId="4" numFmtId="0" xfId="0" applyAlignment="1" applyFont="1">
      <alignment vertical="bottom"/>
    </xf>
    <xf borderId="0" fillId="26" fontId="4" numFmtId="0" xfId="0" applyAlignment="1" applyFont="1">
      <alignment horizontal="right" vertical="bottom"/>
    </xf>
    <xf borderId="0" fillId="25" fontId="4" numFmtId="0" xfId="0" applyAlignment="1" applyFont="1">
      <alignment readingOrder="0" vertical="bottom"/>
    </xf>
    <xf borderId="0" fillId="25" fontId="18" numFmtId="0" xfId="0" applyAlignment="1" applyFont="1">
      <alignment vertical="bottom"/>
    </xf>
    <xf borderId="0" fillId="25" fontId="19" numFmtId="0" xfId="0" applyAlignment="1" applyFont="1">
      <alignment vertical="bottom"/>
    </xf>
    <xf borderId="0" fillId="21" fontId="20" numFmtId="0" xfId="0" applyAlignment="1" applyFont="1">
      <alignment readingOrder="0" vertical="bottom"/>
    </xf>
    <xf borderId="0" fillId="21" fontId="6" numFmtId="0" xfId="0" applyAlignment="1" applyFont="1">
      <alignment vertical="bottom"/>
    </xf>
    <xf borderId="0" fillId="15" fontId="5" numFmtId="0" xfId="0" applyAlignment="1" applyFont="1">
      <alignment readingOrder="0" shrinkToFit="0" vertical="bottom" wrapText="0"/>
    </xf>
    <xf borderId="0" fillId="15" fontId="11" numFmtId="0" xfId="0" applyFont="1"/>
    <xf borderId="0" fillId="0" fontId="21" numFmtId="0" xfId="0" applyAlignment="1" applyFont="1">
      <alignment readingOrder="0" vertical="bottom"/>
    </xf>
    <xf borderId="0" fillId="24" fontId="5" numFmtId="0" xfId="0" applyAlignment="1" applyFont="1">
      <alignment readingOrder="0"/>
    </xf>
    <xf borderId="0" fillId="24" fontId="5" numFmtId="0" xfId="0" applyFont="1"/>
    <xf borderId="0" fillId="24" fontId="6" numFmtId="0" xfId="0" applyAlignment="1" applyFont="1">
      <alignment vertical="bottom"/>
    </xf>
    <xf borderId="0" fillId="24" fontId="4" numFmtId="0" xfId="0" applyAlignment="1" applyFont="1">
      <alignment vertical="bottom"/>
    </xf>
    <xf borderId="0" fillId="24" fontId="4" numFmtId="164" xfId="0" applyAlignment="1" applyFont="1" applyNumberFormat="1">
      <alignment horizontal="right" vertical="bottom"/>
    </xf>
    <xf borderId="0" fillId="24" fontId="6" numFmtId="0" xfId="0" applyAlignment="1" applyFont="1">
      <alignment vertical="bottom"/>
    </xf>
    <xf borderId="0" fillId="2" fontId="22" numFmtId="0" xfId="0" applyAlignment="1" applyFont="1">
      <alignment readingOrder="0" vertical="bottom"/>
    </xf>
    <xf borderId="0" fillId="24" fontId="4" numFmtId="0" xfId="0" applyAlignment="1" applyFont="1">
      <alignment readingOrder="0" vertical="bottom"/>
    </xf>
    <xf borderId="0" fillId="24" fontId="4" numFmtId="0" xfId="0" applyAlignment="1" applyFont="1">
      <alignment horizontal="right" vertical="bottom"/>
    </xf>
    <xf borderId="0" fillId="23" fontId="23" numFmtId="0" xfId="0" applyAlignment="1" applyFont="1">
      <alignment readingOrder="0"/>
    </xf>
    <xf borderId="0" fillId="15" fontId="4" numFmtId="0" xfId="0" applyAlignment="1" applyFont="1">
      <alignment readingOrder="0" vertical="bottom"/>
    </xf>
    <xf borderId="0" fillId="24" fontId="6" numFmtId="0" xfId="0" applyAlignment="1" applyFont="1">
      <alignment vertical="bottom"/>
    </xf>
    <xf borderId="0" fillId="24" fontId="4" numFmtId="0" xfId="0" applyAlignment="1" applyFont="1">
      <alignment vertical="bottom"/>
    </xf>
    <xf borderId="0" fillId="24" fontId="4" numFmtId="0" xfId="0" applyAlignment="1" applyFont="1">
      <alignment vertical="bottom"/>
    </xf>
    <xf borderId="0" fillId="0" fontId="24" numFmtId="0" xfId="0" applyAlignment="1" applyFont="1">
      <alignment readingOrder="0" vertical="bottom"/>
    </xf>
    <xf borderId="0" fillId="15" fontId="11" numFmtId="0" xfId="0" applyAlignment="1" applyFont="1">
      <alignment readingOrder="0"/>
    </xf>
    <xf borderId="0" fillId="15" fontId="6" numFmtId="0" xfId="0" applyAlignment="1" applyFont="1">
      <alignment vertical="bottom"/>
    </xf>
    <xf borderId="0" fillId="15" fontId="4" numFmtId="0" xfId="0" applyAlignment="1" applyFont="1">
      <alignment vertical="bottom"/>
    </xf>
    <xf borderId="0" fillId="15" fontId="4" numFmtId="164" xfId="0" applyAlignment="1" applyFont="1" applyNumberFormat="1">
      <alignment horizontal="right" vertical="bottom"/>
    </xf>
    <xf borderId="0" fillId="15" fontId="6" numFmtId="165" xfId="0" applyAlignment="1" applyFont="1" applyNumberFormat="1">
      <alignment readingOrder="0" vertical="bottom"/>
    </xf>
    <xf borderId="0" fillId="0" fontId="6" numFmtId="0" xfId="0" applyAlignment="1" applyFont="1">
      <alignment readingOrder="0" vertical="bottom"/>
    </xf>
    <xf borderId="0" fillId="15" fontId="4" numFmtId="0" xfId="0" applyAlignment="1" applyFont="1">
      <alignment horizontal="right" vertical="bottom"/>
    </xf>
    <xf borderId="0" fillId="15" fontId="25" numFmtId="0" xfId="0" applyAlignment="1" applyFont="1">
      <alignment readingOrder="0" vertical="bottom"/>
    </xf>
    <xf borderId="0" fillId="15" fontId="6" numFmtId="0" xfId="0" applyAlignment="1" applyFont="1">
      <alignment vertical="bottom"/>
    </xf>
    <xf borderId="0" fillId="15" fontId="4" numFmtId="0" xfId="0" applyAlignment="1" applyFont="1">
      <alignment horizontal="right" vertical="bottom"/>
    </xf>
    <xf borderId="0" fillId="15" fontId="26" numFmtId="0" xfId="0" applyAlignment="1" applyFont="1">
      <alignment vertical="bottom"/>
    </xf>
    <xf borderId="0" fillId="15" fontId="26" numFmtId="0" xfId="0" applyAlignment="1" applyFont="1">
      <alignment horizontal="right" vertical="bottom"/>
    </xf>
    <xf borderId="0" fillId="15" fontId="26" numFmtId="0" xfId="0" applyAlignment="1" applyFont="1">
      <alignment horizontal="right" readingOrder="0" vertical="bottom"/>
    </xf>
    <xf borderId="0" fillId="24" fontId="26" numFmtId="0" xfId="0" applyAlignment="1" applyFont="1">
      <alignment horizontal="right" vertical="bottom"/>
    </xf>
    <xf borderId="0" fillId="24" fontId="26" numFmtId="0" xfId="0" applyAlignment="1" applyFont="1">
      <alignment vertical="bottom"/>
    </xf>
    <xf borderId="0" fillId="24" fontId="26" numFmtId="0" xfId="0" applyAlignment="1" applyFont="1">
      <alignment vertical="bottom"/>
    </xf>
    <xf borderId="0" fillId="15" fontId="4" numFmtId="0" xfId="0" applyAlignment="1" applyFont="1">
      <alignment vertical="bottom"/>
    </xf>
    <xf borderId="0" fillId="15" fontId="27" numFmtId="0" xfId="0" applyAlignment="1" applyFont="1">
      <alignment readingOrder="0" vertical="bottom"/>
    </xf>
    <xf borderId="0" fillId="0" fontId="28" numFmtId="0" xfId="0" applyAlignment="1" applyFont="1">
      <alignment readingOrder="0"/>
    </xf>
    <xf borderId="0" fillId="0" fontId="5" numFmtId="0" xfId="0" applyAlignment="1" applyFont="1">
      <alignment readingOrder="0" shrinkToFit="0" vertical="bottom" wrapText="0"/>
    </xf>
    <xf borderId="0" fillId="24" fontId="5" numFmtId="165" xfId="0" applyAlignment="1" applyFont="1" applyNumberFormat="1">
      <alignment readingOrder="0"/>
    </xf>
    <xf borderId="0" fillId="24" fontId="5" numFmtId="164" xfId="0" applyAlignment="1" applyFont="1" applyNumberFormat="1">
      <alignment readingOrder="0"/>
    </xf>
    <xf borderId="0" fillId="24" fontId="29" numFmtId="0" xfId="0" applyAlignment="1" applyFont="1">
      <alignment readingOrder="0"/>
    </xf>
    <xf borderId="0" fillId="24" fontId="6" numFmtId="0" xfId="0" applyAlignment="1" applyFont="1">
      <alignment readingOrder="0" vertical="bottom"/>
    </xf>
    <xf borderId="0" fillId="20" fontId="5" numFmtId="0" xfId="0" applyAlignment="1" applyFont="1">
      <alignment readingOrder="0"/>
    </xf>
    <xf borderId="0" fillId="24" fontId="11" numFmtId="0" xfId="0" applyAlignment="1" applyFont="1">
      <alignment readingOrder="0"/>
    </xf>
    <xf borderId="0" fillId="17" fontId="4" numFmtId="0" xfId="0" applyAlignment="1" applyFont="1">
      <alignment readingOrder="0" vertical="bottom"/>
    </xf>
    <xf borderId="0" fillId="0" fontId="4" numFmtId="0" xfId="0" applyAlignment="1" applyFont="1">
      <alignment readingOrder="0" vertical="bottom"/>
    </xf>
    <xf borderId="0" fillId="0" fontId="4"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30" numFmtId="0" xfId="0" applyAlignment="1" applyFont="1">
      <alignment vertical="bottom"/>
    </xf>
    <xf borderId="0" fillId="0" fontId="30" numFmtId="0" xfId="0" applyAlignment="1" applyFont="1">
      <alignment readingOrder="0" vertical="bottom"/>
    </xf>
    <xf borderId="0" fillId="0" fontId="4" numFmtId="0" xfId="0" applyAlignment="1" applyFont="1">
      <alignment horizontal="right" vertical="bottom"/>
    </xf>
    <xf borderId="0" fillId="27" fontId="5" numFmtId="0" xfId="0" applyAlignment="1" applyFill="1" applyFont="1">
      <alignment readingOrder="0"/>
    </xf>
    <xf borderId="0" fillId="0" fontId="31" numFmtId="0" xfId="0" applyAlignment="1" applyFont="1">
      <alignment vertical="bottom"/>
    </xf>
    <xf borderId="0" fillId="0" fontId="4" numFmtId="0" xfId="0" applyAlignment="1" applyFont="1">
      <alignment vertical="bottom"/>
    </xf>
    <xf borderId="0" fillId="0" fontId="32" numFmtId="0" xfId="0" applyAlignment="1" applyFont="1">
      <alignment horizontal="right" vertical="bottom"/>
    </xf>
    <xf borderId="0" fillId="0" fontId="4" numFmtId="0" xfId="0" applyAlignment="1" applyFont="1">
      <alignment horizontal="right" readingOrder="0" vertical="bottom"/>
    </xf>
    <xf borderId="0" fillId="0" fontId="32" numFmtId="0" xfId="0" applyAlignment="1" applyFont="1">
      <alignment horizontal="right" vertical="bottom"/>
    </xf>
    <xf borderId="0" fillId="0" fontId="33" numFmtId="0" xfId="0" applyAlignment="1" applyFont="1">
      <alignment readingOrder="0" vertical="bottom"/>
    </xf>
    <xf borderId="0" fillId="27" fontId="11" numFmtId="0" xfId="0" applyFont="1"/>
    <xf borderId="0" fillId="0" fontId="31" numFmtId="0" xfId="0" applyAlignment="1" applyFont="1">
      <alignment readingOrder="0" vertical="bottom"/>
    </xf>
    <xf borderId="0" fillId="0" fontId="32" numFmtId="0" xfId="0" applyAlignment="1" applyFont="1">
      <alignment horizontal="right" readingOrder="0" vertical="bottom"/>
    </xf>
    <xf borderId="0" fillId="27" fontId="4" numFmtId="0" xfId="0" applyAlignment="1" applyFont="1">
      <alignment readingOrder="0" vertical="bottom"/>
    </xf>
    <xf borderId="0" fillId="27" fontId="11" numFmtId="0" xfId="0" applyAlignment="1" applyFont="1">
      <alignment readingOrder="0"/>
    </xf>
    <xf borderId="0" fillId="27" fontId="5" numFmtId="164" xfId="0" applyAlignment="1" applyFont="1" applyNumberFormat="1">
      <alignment readingOrder="0"/>
    </xf>
    <xf borderId="0" fillId="0" fontId="11" numFmtId="165" xfId="0" applyAlignment="1" applyFont="1" applyNumberFormat="1">
      <alignment readingOrder="0"/>
    </xf>
    <xf borderId="0" fillId="27" fontId="5" numFmtId="0" xfId="0" applyFont="1"/>
    <xf borderId="0" fillId="27" fontId="12" numFmtId="0" xfId="0" applyAlignment="1" applyFont="1">
      <alignment readingOrder="0"/>
    </xf>
    <xf borderId="0" fillId="27" fontId="34" numFmtId="0" xfId="0" applyAlignment="1" applyFont="1">
      <alignment readingOrder="0"/>
    </xf>
    <xf borderId="0" fillId="27" fontId="35" numFmtId="0" xfId="0" applyAlignment="1" applyFont="1">
      <alignment readingOrder="0" vertical="bottom"/>
    </xf>
    <xf borderId="0" fillId="27" fontId="6" numFmtId="0" xfId="0" applyAlignment="1" applyFont="1">
      <alignment readingOrder="0" vertical="bottom"/>
    </xf>
    <xf borderId="0" fillId="27" fontId="36" numFmtId="0" xfId="0" applyAlignment="1" applyFont="1">
      <alignment readingOrder="0"/>
    </xf>
    <xf borderId="0" fillId="27" fontId="37" numFmtId="0" xfId="0" applyAlignment="1" applyFont="1">
      <alignment readingOrder="0"/>
    </xf>
    <xf borderId="0" fillId="27" fontId="30" numFmtId="0" xfId="0" applyAlignment="1" applyFont="1">
      <alignment readingOrder="0" vertical="bottom"/>
    </xf>
    <xf borderId="0" fillId="27" fontId="4" numFmtId="165" xfId="0" applyAlignment="1" applyFont="1" applyNumberFormat="1">
      <alignment horizontal="right" readingOrder="0" vertical="bottom"/>
    </xf>
    <xf borderId="0" fillId="27" fontId="6" numFmtId="0" xfId="0" applyAlignment="1" applyFont="1">
      <alignment vertical="bottom"/>
    </xf>
    <xf borderId="0" fillId="27" fontId="12" numFmtId="0" xfId="0" applyAlignment="1" applyFont="1">
      <alignment horizontal="right" readingOrder="0" vertical="bottom"/>
    </xf>
    <xf borderId="0" fillId="27" fontId="31" numFmtId="0" xfId="0" applyAlignment="1" applyFont="1">
      <alignment readingOrder="0" vertical="bottom"/>
    </xf>
    <xf borderId="0" fillId="27" fontId="4" numFmtId="0" xfId="0" applyAlignment="1" applyFont="1">
      <alignment horizontal="right" vertical="bottom"/>
    </xf>
    <xf borderId="0" fillId="27" fontId="4" numFmtId="0" xfId="0" applyAlignment="1" applyFont="1">
      <alignment horizontal="right" readingOrder="0" vertical="bottom"/>
    </xf>
    <xf borderId="0" fillId="27" fontId="32" numFmtId="0" xfId="0" applyAlignment="1" applyFont="1">
      <alignment horizontal="right" readingOrder="0" vertical="bottom"/>
    </xf>
    <xf borderId="0" fillId="27" fontId="4" numFmtId="0" xfId="0" applyAlignment="1" applyFont="1">
      <alignment vertical="bottom"/>
    </xf>
    <xf borderId="0" fillId="27" fontId="38" numFmtId="0" xfId="0" applyAlignment="1" applyFont="1">
      <alignment readingOrder="0" vertical="bottom"/>
    </xf>
    <xf borderId="0" fillId="22" fontId="11" numFmtId="0" xfId="0" applyAlignment="1" applyFont="1">
      <alignment readingOrder="0"/>
    </xf>
    <xf borderId="0" fillId="22" fontId="11" numFmtId="0" xfId="0" applyFont="1"/>
    <xf borderId="0" fillId="22" fontId="6" numFmtId="0" xfId="0" applyAlignment="1" applyFont="1">
      <alignment vertical="bottom"/>
    </xf>
    <xf borderId="0" fillId="22" fontId="4" numFmtId="165" xfId="0" applyAlignment="1" applyFont="1" applyNumberFormat="1">
      <alignment horizontal="right" vertical="bottom"/>
    </xf>
    <xf borderId="0" fillId="22" fontId="4" numFmtId="0" xfId="0" applyAlignment="1" applyFont="1">
      <alignment shrinkToFit="0" vertical="bottom" wrapText="0"/>
    </xf>
    <xf borderId="0" fillId="22" fontId="6" numFmtId="0" xfId="0" applyAlignment="1" applyFont="1">
      <alignment vertical="bottom"/>
    </xf>
    <xf borderId="0" fillId="22" fontId="4" numFmtId="0" xfId="0" applyAlignment="1" applyFont="1">
      <alignment vertical="bottom"/>
    </xf>
    <xf borderId="0" fillId="22" fontId="6" numFmtId="0" xfId="0" applyAlignment="1" applyFont="1">
      <alignment vertical="bottom"/>
    </xf>
    <xf borderId="0" fillId="22" fontId="12" numFmtId="0" xfId="0" applyAlignment="1" applyFont="1">
      <alignment readingOrder="0" vertical="bottom"/>
    </xf>
    <xf borderId="0" fillId="22" fontId="4" numFmtId="0" xfId="0" applyAlignment="1" applyFont="1">
      <alignment horizontal="right" vertical="bottom"/>
    </xf>
    <xf borderId="0" fillId="22" fontId="4" numFmtId="0" xfId="0" applyAlignment="1" applyFont="1">
      <alignment vertical="bottom"/>
    </xf>
    <xf borderId="0" fillId="28" fontId="11" numFmtId="0" xfId="0" applyAlignment="1" applyFill="1" applyFont="1">
      <alignment readingOrder="0"/>
    </xf>
    <xf borderId="0" fillId="28" fontId="11" numFmtId="0" xfId="0" applyFont="1"/>
    <xf borderId="0" fillId="28" fontId="4" numFmtId="0" xfId="0" applyAlignment="1" applyFont="1">
      <alignment vertical="bottom"/>
    </xf>
    <xf borderId="0" fillId="28" fontId="4" numFmtId="0" xfId="0" applyAlignment="1" applyFont="1">
      <alignment vertical="bottom"/>
    </xf>
    <xf borderId="0" fillId="28" fontId="4" numFmtId="165" xfId="0" applyAlignment="1" applyFont="1" applyNumberFormat="1">
      <alignment horizontal="right" vertical="bottom"/>
    </xf>
    <xf borderId="0" fillId="28" fontId="6" numFmtId="0" xfId="0" applyAlignment="1" applyFont="1">
      <alignment vertical="bottom"/>
    </xf>
    <xf borderId="0" fillId="28" fontId="6" numFmtId="0" xfId="0" applyAlignment="1" applyFont="1">
      <alignment readingOrder="0" vertical="bottom"/>
    </xf>
    <xf borderId="0" fillId="28" fontId="4" numFmtId="0" xfId="0" applyAlignment="1" applyFont="1">
      <alignment readingOrder="0" vertical="bottom"/>
    </xf>
    <xf borderId="0" fillId="28" fontId="4" numFmtId="0" xfId="0" applyAlignment="1" applyFont="1">
      <alignment horizontal="right" readingOrder="0" vertical="bottom"/>
    </xf>
    <xf borderId="0" fillId="28" fontId="4" numFmtId="0" xfId="0" applyAlignment="1" applyFont="1">
      <alignment horizontal="right" vertical="bottom"/>
    </xf>
    <xf borderId="0" fillId="28" fontId="4" numFmtId="0" xfId="0" applyAlignment="1" applyFont="1">
      <alignment horizontal="right" vertical="bottom"/>
    </xf>
    <xf borderId="0" fillId="24" fontId="4" numFmtId="0" xfId="0" applyAlignment="1" applyFont="1">
      <alignment shrinkToFit="0" vertical="bottom" wrapText="0"/>
    </xf>
    <xf borderId="0" fillId="24" fontId="4" numFmtId="164" xfId="0" applyAlignment="1" applyFont="1" applyNumberFormat="1">
      <alignment horizontal="right" shrinkToFit="0" vertical="bottom" wrapText="0"/>
    </xf>
    <xf borderId="0" fillId="2" fontId="6" numFmtId="0" xfId="0" applyAlignment="1" applyFont="1">
      <alignment readingOrder="0" vertical="bottom"/>
    </xf>
    <xf borderId="0" fillId="29" fontId="4" numFmtId="0" xfId="0" applyAlignment="1" applyFill="1" applyFont="1">
      <alignment shrinkToFit="0" vertical="bottom" wrapText="0"/>
    </xf>
    <xf borderId="0" fillId="24" fontId="4" numFmtId="0" xfId="0" applyAlignment="1" applyFont="1">
      <alignment shrinkToFit="0" vertical="bottom" wrapText="0"/>
    </xf>
    <xf borderId="0" fillId="29" fontId="39" numFmtId="0" xfId="0" applyAlignment="1" applyFont="1">
      <alignment shrinkToFit="0" vertical="bottom" wrapText="0"/>
    </xf>
    <xf borderId="0" fillId="24" fontId="4" numFmtId="0" xfId="0" applyAlignment="1" applyFont="1">
      <alignment readingOrder="0" shrinkToFit="0" vertical="bottom" wrapText="0"/>
    </xf>
    <xf borderId="0" fillId="24" fontId="4" numFmtId="0" xfId="0" applyAlignment="1" applyFont="1">
      <alignment horizontal="right" shrinkToFit="0" vertical="bottom" wrapText="0"/>
    </xf>
    <xf borderId="0" fillId="24" fontId="4" numFmtId="0" xfId="0" applyAlignment="1" applyFont="1">
      <alignment shrinkToFit="0" vertical="bottom" wrapText="0"/>
    </xf>
    <xf borderId="0" fillId="15" fontId="6" numFmtId="0" xfId="0" applyAlignment="1" applyFont="1">
      <alignment readingOrder="0" vertical="bottom"/>
    </xf>
    <xf borderId="0" fillId="30" fontId="11" numFmtId="0" xfId="0" applyFill="1" applyFont="1"/>
    <xf borderId="0" fillId="15" fontId="4" numFmtId="165" xfId="0" applyAlignment="1" applyFont="1" applyNumberFormat="1">
      <alignment horizontal="right" readingOrder="0" vertical="bottom"/>
    </xf>
    <xf borderId="0" fillId="15" fontId="4" numFmtId="0" xfId="0" applyAlignment="1" applyFont="1">
      <alignment shrinkToFit="0" vertical="bottom" wrapText="0"/>
    </xf>
    <xf borderId="0" fillId="15" fontId="4" numFmtId="0" xfId="0" applyAlignment="1" applyFont="1">
      <alignment vertical="bottom"/>
    </xf>
    <xf borderId="0" fillId="24" fontId="4" numFmtId="0" xfId="0" applyAlignment="1" applyFont="1">
      <alignment horizontal="right" readingOrder="0" shrinkToFit="0" vertical="bottom" wrapText="0"/>
    </xf>
    <xf borderId="0" fillId="15" fontId="4" numFmtId="0" xfId="0" applyAlignment="1" applyFont="1">
      <alignment horizontal="right" readingOrder="0" vertical="bottom"/>
    </xf>
    <xf borderId="0" fillId="31" fontId="11" numFmtId="0" xfId="0" applyFill="1" applyFont="1"/>
    <xf borderId="0" fillId="29" fontId="11" numFmtId="0" xfId="0" applyAlignment="1" applyFont="1">
      <alignment readingOrder="0"/>
    </xf>
    <xf borderId="0" fillId="29" fontId="11" numFmtId="0" xfId="0" applyFont="1"/>
    <xf borderId="0" fillId="29" fontId="4" numFmtId="0" xfId="0" applyAlignment="1" applyFont="1">
      <alignment vertical="bottom"/>
    </xf>
    <xf borderId="0" fillId="29" fontId="4" numFmtId="165" xfId="0" applyAlignment="1" applyFont="1" applyNumberFormat="1">
      <alignment horizontal="right" vertical="bottom"/>
    </xf>
    <xf borderId="0" fillId="29" fontId="6" numFmtId="0" xfId="0" applyAlignment="1" applyFont="1">
      <alignment vertical="bottom"/>
    </xf>
    <xf borderId="0" fillId="29" fontId="4" numFmtId="0" xfId="0" applyAlignment="1" applyFont="1">
      <alignment horizontal="right" vertical="bottom"/>
    </xf>
    <xf borderId="0" fillId="29" fontId="4" numFmtId="0" xfId="0" applyAlignment="1" applyFont="1">
      <alignment vertical="bottom"/>
    </xf>
    <xf borderId="0" fillId="29" fontId="4" numFmtId="0" xfId="0" applyAlignment="1" applyFont="1">
      <alignment readingOrder="0" vertical="bottom"/>
    </xf>
    <xf borderId="0" fillId="29" fontId="4" numFmtId="0" xfId="0" applyAlignment="1" applyFont="1">
      <alignment vertical="bottom"/>
    </xf>
    <xf borderId="0" fillId="29" fontId="4" numFmtId="0" xfId="0" applyAlignment="1" applyFont="1">
      <alignment shrinkToFit="0" vertical="bottom" wrapText="0"/>
    </xf>
    <xf borderId="0" fillId="29" fontId="6" numFmtId="0" xfId="0" applyAlignment="1" applyFont="1">
      <alignment vertical="bottom"/>
    </xf>
    <xf borderId="0" fillId="29" fontId="5" numFmtId="0" xfId="0" applyAlignment="1" applyFont="1">
      <alignment readingOrder="0"/>
    </xf>
    <xf borderId="0" fillId="29" fontId="4" numFmtId="164" xfId="0" applyAlignment="1" applyFont="1" applyNumberFormat="1">
      <alignment horizontal="right" shrinkToFit="0" vertical="bottom" wrapText="0"/>
    </xf>
    <xf borderId="0" fillId="29" fontId="4" numFmtId="0" xfId="0" applyAlignment="1" applyFont="1">
      <alignment shrinkToFit="0" vertical="bottom" wrapText="0"/>
    </xf>
    <xf borderId="0" fillId="29" fontId="4" numFmtId="0" xfId="0" applyAlignment="1" applyFont="1">
      <alignment readingOrder="0" shrinkToFit="0" vertical="bottom" wrapText="0"/>
    </xf>
    <xf borderId="0" fillId="29" fontId="4" numFmtId="0" xfId="0" applyAlignment="1" applyFont="1">
      <alignment horizontal="right" shrinkToFit="0" vertical="bottom" wrapText="0"/>
    </xf>
    <xf borderId="0" fillId="29" fontId="4" numFmtId="0" xfId="0" applyAlignment="1" applyFont="1">
      <alignment horizontal="right" readingOrder="0" shrinkToFit="0" vertical="bottom" wrapText="0"/>
    </xf>
    <xf borderId="0" fillId="31" fontId="4" numFmtId="0" xfId="0" applyAlignment="1" applyFont="1">
      <alignment vertical="bottom"/>
    </xf>
    <xf borderId="0" fillId="17" fontId="11" numFmtId="0" xfId="0" applyAlignment="1" applyFont="1">
      <alignment readingOrder="0"/>
    </xf>
    <xf borderId="0" fillId="17" fontId="11" numFmtId="0" xfId="0" applyFont="1"/>
    <xf borderId="0" fillId="9" fontId="4" numFmtId="164" xfId="0" applyAlignment="1" applyFont="1" applyNumberFormat="1">
      <alignment horizontal="right" shrinkToFit="0" vertical="bottom" wrapText="0"/>
    </xf>
    <xf borderId="0" fillId="17" fontId="11" numFmtId="167" xfId="0" applyAlignment="1" applyFont="1" applyNumberFormat="1">
      <alignment readingOrder="0"/>
    </xf>
    <xf quotePrefix="1" borderId="0" fillId="17" fontId="11" numFmtId="0" xfId="0" applyFont="1"/>
    <xf borderId="0" fillId="9" fontId="4" numFmtId="164" xfId="0" applyAlignment="1" applyFont="1" applyNumberFormat="1">
      <alignment horizontal="right" readingOrder="0" shrinkToFit="0" vertical="bottom" wrapText="0"/>
    </xf>
    <xf borderId="0" fillId="17" fontId="40" numFmtId="0" xfId="0" applyFont="1"/>
    <xf borderId="0" fillId="9" fontId="11" numFmtId="0" xfId="0" applyAlignment="1" applyFont="1">
      <alignment readingOrder="0"/>
    </xf>
    <xf borderId="0" fillId="9" fontId="11" numFmtId="0" xfId="0" applyFont="1"/>
    <xf borderId="0" fillId="9" fontId="4" numFmtId="0" xfId="0" applyAlignment="1" applyFont="1">
      <alignment vertical="bottom"/>
    </xf>
    <xf borderId="0" fillId="9" fontId="4" numFmtId="0" xfId="0" applyAlignment="1" applyFont="1">
      <alignment vertical="bottom"/>
    </xf>
    <xf borderId="0" fillId="9" fontId="4" numFmtId="165" xfId="0" applyAlignment="1" applyFont="1" applyNumberFormat="1">
      <alignment horizontal="right" vertical="bottom"/>
    </xf>
    <xf borderId="0" fillId="9" fontId="6" numFmtId="165" xfId="0" applyAlignment="1" applyFont="1" applyNumberFormat="1">
      <alignment readingOrder="0" vertical="bottom"/>
    </xf>
    <xf borderId="0" fillId="9" fontId="6" numFmtId="0" xfId="0" applyAlignment="1" applyFont="1">
      <alignment readingOrder="0" vertical="bottom"/>
    </xf>
    <xf borderId="0" fillId="9" fontId="4" numFmtId="0" xfId="0" applyAlignment="1" applyFont="1">
      <alignment horizontal="right" vertical="bottom"/>
    </xf>
    <xf borderId="0" fillId="9" fontId="6" numFmtId="0" xfId="0" applyAlignment="1" applyFont="1">
      <alignment vertical="bottom"/>
    </xf>
    <xf borderId="0" fillId="9" fontId="12" numFmtId="0" xfId="0" applyAlignment="1" applyFont="1">
      <alignment readingOrder="0" vertical="bottom"/>
    </xf>
    <xf borderId="0" fillId="9" fontId="6" numFmtId="0" xfId="0" applyAlignment="1" applyFont="1">
      <alignment vertical="bottom"/>
    </xf>
    <xf borderId="0" fillId="9" fontId="6" numFmtId="0" xfId="0" applyAlignment="1" applyFont="1">
      <alignment vertical="bottom"/>
    </xf>
    <xf borderId="0" fillId="9" fontId="4" numFmtId="0" xfId="0" applyAlignment="1" applyFont="1">
      <alignment horizontal="right" readingOrder="0" vertical="bottom"/>
    </xf>
    <xf borderId="0" fillId="17" fontId="4" numFmtId="0" xfId="0" applyAlignment="1" applyFont="1">
      <alignment vertical="bottom"/>
    </xf>
    <xf borderId="0" fillId="17" fontId="4" numFmtId="0" xfId="0" applyAlignment="1" applyFont="1">
      <alignment vertical="bottom"/>
    </xf>
    <xf borderId="0" fillId="17" fontId="4" numFmtId="165" xfId="0" applyAlignment="1" applyFont="1" applyNumberFormat="1">
      <alignment horizontal="right" vertical="bottom"/>
    </xf>
    <xf borderId="0" fillId="17" fontId="6" numFmtId="165" xfId="0" applyAlignment="1" applyFont="1" applyNumberFormat="1">
      <alignment readingOrder="0" vertical="bottom"/>
    </xf>
    <xf borderId="0" fillId="17" fontId="6" numFmtId="0" xfId="0" applyAlignment="1" applyFont="1">
      <alignment vertical="bottom"/>
    </xf>
    <xf borderId="0" fillId="17" fontId="4" numFmtId="0" xfId="0" applyAlignment="1" applyFont="1">
      <alignment horizontal="right" vertical="bottom"/>
    </xf>
    <xf borderId="0" fillId="17" fontId="12" numFmtId="0" xfId="0" applyAlignment="1" applyFont="1">
      <alignment readingOrder="0" vertical="bottom"/>
    </xf>
    <xf borderId="0" fillId="17" fontId="6" numFmtId="0" xfId="0" applyAlignment="1" applyFont="1">
      <alignment vertical="bottom"/>
    </xf>
    <xf borderId="0" fillId="17" fontId="6" numFmtId="0" xfId="0" applyAlignment="1" applyFont="1">
      <alignment vertical="bottom"/>
    </xf>
    <xf borderId="0" fillId="9" fontId="5" numFmtId="0" xfId="0" applyAlignment="1" applyFont="1">
      <alignment readingOrder="0"/>
    </xf>
    <xf borderId="0" fillId="9" fontId="5" numFmtId="0" xfId="0" applyFont="1"/>
    <xf borderId="0" fillId="9" fontId="4" numFmtId="164" xfId="0" applyAlignment="1" applyFont="1" applyNumberFormat="1">
      <alignment horizontal="right" vertical="bottom"/>
    </xf>
    <xf borderId="0" fillId="9" fontId="41" numFmtId="0" xfId="0" applyAlignment="1" applyFont="1">
      <alignment shrinkToFit="0" vertical="bottom" wrapText="0"/>
    </xf>
    <xf borderId="0" fillId="9" fontId="4" numFmtId="0" xfId="0" applyAlignment="1" applyFont="1">
      <alignment horizontal="center" vertical="bottom"/>
    </xf>
    <xf borderId="0" fillId="9" fontId="4" numFmtId="0" xfId="0" applyAlignment="1" applyFont="1">
      <alignment vertical="bottom"/>
    </xf>
    <xf borderId="0" fillId="9" fontId="4" numFmtId="0" xfId="0" applyAlignment="1" applyFont="1">
      <alignment horizontal="center" vertical="bottom"/>
    </xf>
    <xf borderId="0" fillId="9" fontId="4" numFmtId="0" xfId="0" applyAlignment="1" applyFont="1">
      <alignment shrinkToFit="0" vertical="bottom" wrapText="0"/>
    </xf>
    <xf borderId="0" fillId="9" fontId="4" numFmtId="0" xfId="0" applyAlignment="1" applyFont="1">
      <alignment horizontal="right" vertical="bottom"/>
    </xf>
    <xf borderId="0" fillId="9" fontId="12" numFmtId="0" xfId="0" applyAlignment="1" applyFont="1">
      <alignment shrinkToFit="0" vertical="bottom" wrapText="0"/>
    </xf>
    <xf borderId="0" fillId="9" fontId="42" numFmtId="0" xfId="0" applyAlignment="1" applyFont="1">
      <alignment vertical="bottom"/>
    </xf>
    <xf borderId="0" fillId="9" fontId="43" numFmtId="0" xfId="0" applyAlignment="1" applyFont="1">
      <alignment vertical="bottom"/>
    </xf>
    <xf quotePrefix="1" borderId="0" fillId="9" fontId="6" numFmtId="0" xfId="0" applyAlignment="1" applyFont="1">
      <alignment readingOrder="0" vertical="bottom"/>
    </xf>
    <xf borderId="0" fillId="3" fontId="11" numFmtId="0" xfId="0" applyAlignment="1" applyFont="1">
      <alignment readingOrder="0"/>
    </xf>
    <xf borderId="0" fillId="3" fontId="5" numFmtId="0" xfId="0" applyAlignment="1" applyFont="1">
      <alignment readingOrder="0"/>
    </xf>
    <xf borderId="0" fillId="3" fontId="5" numFmtId="0" xfId="0" applyFont="1"/>
    <xf borderId="0" fillId="3" fontId="4" numFmtId="0" xfId="0" applyAlignment="1" applyFont="1">
      <alignment vertical="bottom"/>
    </xf>
    <xf borderId="0" fillId="3" fontId="4" numFmtId="0" xfId="0" applyAlignment="1" applyFont="1">
      <alignment vertical="bottom"/>
    </xf>
    <xf borderId="0" fillId="3" fontId="4" numFmtId="164" xfId="0" applyAlignment="1" applyFont="1" applyNumberFormat="1">
      <alignment horizontal="right" vertical="bottom"/>
    </xf>
    <xf borderId="0" fillId="3" fontId="6" numFmtId="165" xfId="0" applyAlignment="1" applyFont="1" applyNumberFormat="1">
      <alignment readingOrder="0" vertical="bottom"/>
    </xf>
    <xf borderId="0" fillId="3" fontId="44" numFmtId="0" xfId="0" applyAlignment="1" applyFont="1">
      <alignment shrinkToFit="0" vertical="bottom" wrapText="0"/>
    </xf>
    <xf borderId="0" fillId="3" fontId="6" numFmtId="0" xfId="0" applyAlignment="1" applyFont="1">
      <alignment readingOrder="0" vertical="bottom"/>
    </xf>
    <xf borderId="0" fillId="3" fontId="45" numFmtId="0" xfId="0" applyAlignment="1" applyFont="1">
      <alignment vertical="bottom"/>
    </xf>
    <xf borderId="0" fillId="3" fontId="4" numFmtId="0" xfId="0" applyAlignment="1" applyFont="1">
      <alignment horizontal="center" vertical="bottom"/>
    </xf>
    <xf borderId="0" fillId="3" fontId="4" numFmtId="0" xfId="0" applyAlignment="1" applyFont="1">
      <alignment vertical="bottom"/>
    </xf>
    <xf borderId="0" fillId="3" fontId="6" numFmtId="0" xfId="0" applyAlignment="1" applyFont="1">
      <alignment vertical="bottom"/>
    </xf>
    <xf borderId="0" fillId="3" fontId="4" numFmtId="0" xfId="0" applyAlignment="1" applyFont="1">
      <alignment horizontal="center" vertical="bottom"/>
    </xf>
    <xf borderId="0" fillId="3" fontId="4" numFmtId="0" xfId="0" applyAlignment="1" applyFont="1">
      <alignment shrinkToFit="0" vertical="bottom" wrapText="0"/>
    </xf>
    <xf borderId="0" fillId="3" fontId="4" numFmtId="0" xfId="0" applyAlignment="1" applyFont="1">
      <alignment horizontal="right" vertical="bottom"/>
    </xf>
    <xf borderId="0" fillId="3" fontId="4" numFmtId="0" xfId="0" applyAlignment="1" applyFont="1">
      <alignment readingOrder="0" vertical="bottom"/>
    </xf>
    <xf borderId="0" fillId="3" fontId="12" numFmtId="0" xfId="0" applyAlignment="1" applyFont="1">
      <alignment shrinkToFit="0" vertical="bottom" wrapText="0"/>
    </xf>
    <xf borderId="0" fillId="3" fontId="6" numFmtId="0" xfId="0" applyAlignment="1" applyFont="1">
      <alignment vertical="bottom"/>
    </xf>
    <xf borderId="0" fillId="3" fontId="46" numFmtId="0" xfId="0" applyAlignment="1" applyFont="1">
      <alignment vertical="bottom"/>
    </xf>
    <xf borderId="0" fillId="3" fontId="47" numFmtId="0" xfId="0" applyAlignment="1" applyFont="1">
      <alignment vertical="bottom"/>
    </xf>
    <xf borderId="0" fillId="3" fontId="11" numFmtId="0" xfId="0" applyFont="1"/>
    <xf borderId="0" fillId="23" fontId="4" numFmtId="0" xfId="0" applyAlignment="1" applyFont="1">
      <alignment readingOrder="0" vertical="bottom"/>
    </xf>
    <xf borderId="0" fillId="0" fontId="48" numFmtId="0" xfId="0" applyAlignment="1" applyFont="1">
      <alignment vertical="bottom"/>
    </xf>
    <xf borderId="0" fillId="24" fontId="6" numFmtId="165" xfId="0" applyAlignment="1" applyFont="1" applyNumberFormat="1">
      <alignment readingOrder="0" vertical="bottom"/>
    </xf>
    <xf borderId="0" fillId="24" fontId="49" numFmtId="0" xfId="0" applyAlignment="1" applyFont="1">
      <alignment shrinkToFit="0" vertical="bottom" wrapText="0"/>
    </xf>
    <xf borderId="0" fillId="15" fontId="12" numFmtId="0" xfId="0" applyAlignment="1" applyFont="1">
      <alignment vertical="bottom"/>
    </xf>
    <xf borderId="0" fillId="24" fontId="50" numFmtId="0" xfId="0" applyAlignment="1" applyFont="1">
      <alignment shrinkToFit="0" vertical="bottom" wrapText="0"/>
    </xf>
    <xf borderId="0" fillId="24" fontId="12" numFmtId="0" xfId="0" applyAlignment="1" applyFont="1">
      <alignment horizontal="right" shrinkToFit="0" vertical="bottom" wrapText="0"/>
    </xf>
    <xf borderId="0" fillId="24" fontId="51" numFmtId="0" xfId="0" applyAlignment="1" applyFont="1">
      <alignment horizontal="right" shrinkToFit="0" vertical="bottom" wrapText="0"/>
    </xf>
    <xf borderId="0" fillId="15" fontId="4" numFmtId="165" xfId="0" applyAlignment="1" applyFont="1" applyNumberFormat="1">
      <alignment horizontal="right" vertical="bottom"/>
    </xf>
    <xf borderId="0" fillId="15" fontId="6" numFmtId="0" xfId="0" applyAlignment="1" applyFont="1">
      <alignment vertical="bottom"/>
    </xf>
    <xf borderId="0" fillId="15" fontId="12" numFmtId="0" xfId="0" applyAlignment="1" applyFont="1">
      <alignment horizontal="right" vertical="bottom"/>
    </xf>
    <xf borderId="0" fillId="15" fontId="6" numFmtId="0" xfId="0" applyAlignment="1" applyFont="1">
      <alignment horizontal="right" vertical="bottom"/>
    </xf>
    <xf borderId="0" fillId="24" fontId="51" numFmtId="0" xfId="0" applyAlignment="1" applyFont="1">
      <alignment horizontal="right" readingOrder="0" shrinkToFit="0" vertical="bottom" wrapText="0"/>
    </xf>
    <xf borderId="0" fillId="31" fontId="5" numFmtId="0" xfId="0" applyAlignment="1" applyFont="1">
      <alignment readingOrder="0"/>
    </xf>
    <xf borderId="0" fillId="0" fontId="52" numFmtId="0" xfId="0" applyAlignment="1" applyFont="1">
      <alignment readingOrder="0" vertical="bottom"/>
    </xf>
    <xf borderId="0" fillId="31" fontId="4" numFmtId="0" xfId="0" applyAlignment="1" applyFont="1">
      <alignment readingOrder="0" vertical="bottom"/>
    </xf>
    <xf borderId="0" fillId="31" fontId="11" numFmtId="0" xfId="0" applyAlignment="1" applyFont="1">
      <alignment readingOrder="0"/>
    </xf>
    <xf borderId="0" fillId="31" fontId="5" numFmtId="165" xfId="0" applyAlignment="1" applyFont="1" applyNumberFormat="1">
      <alignment readingOrder="0"/>
    </xf>
    <xf borderId="0" fillId="31" fontId="5" numFmtId="164" xfId="0" applyAlignment="1" applyFont="1" applyNumberFormat="1">
      <alignment readingOrder="0"/>
    </xf>
    <xf borderId="0" fillId="31" fontId="5" numFmtId="0" xfId="0" applyFont="1"/>
    <xf borderId="0" fillId="31" fontId="53" numFmtId="0" xfId="0" applyAlignment="1" applyFont="1">
      <alignment readingOrder="0"/>
    </xf>
    <xf borderId="0" fillId="31" fontId="6" numFmtId="0" xfId="0" applyAlignment="1" applyFont="1">
      <alignment readingOrder="0" vertical="bottom"/>
    </xf>
    <xf borderId="0" fillId="31" fontId="6" numFmtId="0" xfId="0" applyAlignment="1" applyFont="1">
      <alignment vertical="bottom"/>
    </xf>
    <xf borderId="0" fillId="31" fontId="30" numFmtId="0" xfId="0" applyAlignment="1" applyFont="1">
      <alignment readingOrder="0" vertical="bottom"/>
    </xf>
    <xf borderId="0" fillId="31" fontId="4" numFmtId="165" xfId="0" applyAlignment="1" applyFont="1" applyNumberFormat="1">
      <alignment horizontal="right" readingOrder="0" vertical="bottom"/>
    </xf>
    <xf borderId="0" fillId="31" fontId="4" numFmtId="0" xfId="0" applyAlignment="1" applyFont="1">
      <alignment horizontal="right" vertical="bottom"/>
    </xf>
    <xf borderId="0" fillId="31" fontId="35" numFmtId="0" xfId="0" applyAlignment="1" applyFont="1">
      <alignment readingOrder="0" vertical="bottom"/>
    </xf>
    <xf borderId="0" fillId="0" fontId="6"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vertical="bottom"/>
    </xf>
    <xf borderId="0" fillId="0" fontId="4" numFmtId="0" xfId="0" applyAlignment="1" applyFont="1">
      <alignment vertical="bottom"/>
    </xf>
    <xf borderId="0" fillId="21" fontId="5" numFmtId="0" xfId="0" applyAlignment="1" applyFont="1">
      <alignment readingOrder="0"/>
    </xf>
    <xf borderId="0" fillId="21" fontId="11" numFmtId="0" xfId="0" applyAlignment="1" applyFont="1">
      <alignment readingOrder="0"/>
    </xf>
    <xf borderId="0" fillId="21" fontId="11" numFmtId="0" xfId="0" applyFont="1"/>
    <xf borderId="0" fillId="21" fontId="4" numFmtId="0" xfId="0" applyAlignment="1" applyFont="1">
      <alignment readingOrder="0" vertical="bottom"/>
    </xf>
    <xf borderId="0" fillId="21" fontId="4" numFmtId="165" xfId="0" applyAlignment="1" applyFont="1" applyNumberFormat="1">
      <alignment horizontal="right" vertical="bottom"/>
    </xf>
    <xf borderId="0" fillId="21" fontId="4" numFmtId="165" xfId="0" applyAlignment="1" applyFont="1" applyNumberFormat="1">
      <alignment horizontal="right" readingOrder="0" vertical="bottom"/>
    </xf>
    <xf borderId="0" fillId="21" fontId="30" numFmtId="0" xfId="0" applyAlignment="1" applyFont="1">
      <alignment readingOrder="0" vertical="bottom"/>
    </xf>
    <xf borderId="0" fillId="21" fontId="4" numFmtId="0" xfId="0" applyAlignment="1" applyFont="1">
      <alignment horizontal="right" readingOrder="0" vertical="bottom"/>
    </xf>
    <xf borderId="0" fillId="21" fontId="31" numFmtId="0" xfId="0" applyAlignment="1" applyFont="1">
      <alignment readingOrder="0" vertical="bottom"/>
    </xf>
    <xf borderId="0" fillId="32" fontId="4" numFmtId="0" xfId="0" applyAlignment="1" applyFill="1" applyFont="1">
      <alignment readingOrder="0" vertical="bottom"/>
    </xf>
    <xf borderId="0" fillId="21" fontId="32" numFmtId="0" xfId="0" applyAlignment="1" applyFont="1">
      <alignment horizontal="right" readingOrder="0" vertical="bottom"/>
    </xf>
    <xf borderId="0" fillId="21" fontId="54" numFmtId="0" xfId="0" applyAlignment="1" applyFont="1">
      <alignment horizontal="right" readingOrder="0" vertical="bottom"/>
    </xf>
    <xf borderId="0" fillId="21" fontId="5" numFmtId="165" xfId="0" applyAlignment="1" applyFont="1" applyNumberFormat="1">
      <alignment readingOrder="0"/>
    </xf>
    <xf borderId="0" fillId="21" fontId="5" numFmtId="164" xfId="0" applyAlignment="1" applyFont="1" applyNumberFormat="1">
      <alignment readingOrder="0"/>
    </xf>
    <xf borderId="0" fillId="21" fontId="5" numFmtId="0" xfId="0" applyFont="1"/>
    <xf borderId="0" fillId="21" fontId="55" numFmtId="0" xfId="0" applyAlignment="1" applyFont="1">
      <alignment readingOrder="0"/>
    </xf>
    <xf borderId="0" fillId="21" fontId="56" numFmtId="0" xfId="0" applyAlignment="1" applyFont="1">
      <alignment readingOrder="0" vertical="bottom"/>
    </xf>
    <xf borderId="0" fillId="21" fontId="4" numFmtId="0" xfId="0" applyAlignment="1" applyFont="1">
      <alignment horizontal="right" vertical="bottom"/>
    </xf>
    <xf borderId="0" fillId="5" fontId="32" numFmtId="0" xfId="0" applyAlignment="1" applyFont="1">
      <alignment horizontal="right" vertical="bottom"/>
    </xf>
    <xf borderId="0" fillId="21" fontId="32" numFmtId="0" xfId="0" applyAlignment="1" applyFont="1">
      <alignment horizontal="right" vertical="bottom"/>
    </xf>
    <xf borderId="0" fillId="21" fontId="4" numFmtId="0" xfId="0" applyAlignment="1" applyFont="1">
      <alignment vertical="bottom"/>
    </xf>
    <xf borderId="0" fillId="2" fontId="5" numFmtId="0" xfId="0" applyAlignment="1" applyFont="1">
      <alignment readingOrder="0"/>
    </xf>
    <xf borderId="0" fillId="24" fontId="57" numFmtId="0" xfId="0" applyAlignment="1" applyFont="1">
      <alignment readingOrder="0" vertical="bottom"/>
    </xf>
    <xf borderId="0" fillId="24" fontId="58" numFmtId="0" xfId="0" applyAlignment="1" applyFont="1">
      <alignment readingOrder="0" vertical="bottom"/>
    </xf>
    <xf borderId="0" fillId="20" fontId="4" numFmtId="0" xfId="0" applyAlignment="1" applyFont="1">
      <alignment readingOrder="0"/>
    </xf>
    <xf borderId="0" fillId="20" fontId="11" numFmtId="0" xfId="0" applyFont="1"/>
    <xf borderId="0" fillId="24" fontId="4" numFmtId="0" xfId="0" applyAlignment="1" applyFont="1">
      <alignment horizontal="right" vertical="bottom"/>
    </xf>
    <xf borderId="0" fillId="24" fontId="59" numFmtId="0" xfId="0" applyAlignment="1" applyFont="1">
      <alignment vertical="bottom"/>
    </xf>
    <xf borderId="0" fillId="22" fontId="5" numFmtId="0" xfId="0" applyAlignment="1" applyFont="1">
      <alignment readingOrder="0"/>
    </xf>
    <xf borderId="0" fillId="22" fontId="4" numFmtId="0" xfId="0" applyAlignment="1" applyFont="1">
      <alignment shrinkToFit="0" vertical="bottom" wrapText="0"/>
    </xf>
    <xf borderId="0" fillId="22" fontId="4" numFmtId="165" xfId="0" applyAlignment="1" applyFont="1" applyNumberFormat="1">
      <alignment horizontal="right" shrinkToFit="0" vertical="bottom" wrapText="0"/>
    </xf>
    <xf borderId="0" fillId="5" fontId="6" numFmtId="0" xfId="0" applyAlignment="1" applyFont="1">
      <alignment readingOrder="0" vertical="bottom"/>
    </xf>
    <xf borderId="0" fillId="22" fontId="4" numFmtId="0" xfId="0" applyAlignment="1" applyFont="1">
      <alignment shrinkToFit="0" vertical="bottom" wrapText="0"/>
    </xf>
    <xf borderId="0" fillId="22" fontId="60" numFmtId="0" xfId="0" applyAlignment="1" applyFont="1">
      <alignment shrinkToFit="0" vertical="bottom" wrapText="0"/>
    </xf>
    <xf borderId="0" fillId="22" fontId="6" numFmtId="0" xfId="0" applyAlignment="1" applyFont="1">
      <alignment readingOrder="0" vertical="bottom"/>
    </xf>
    <xf borderId="0" fillId="22" fontId="61" numFmtId="0" xfId="0" applyAlignment="1" applyFont="1">
      <alignment vertical="bottom"/>
    </xf>
    <xf borderId="0" fillId="0" fontId="4" numFmtId="0" xfId="0" applyAlignment="1" applyFont="1">
      <alignment shrinkToFit="0" vertical="bottom" wrapText="0"/>
    </xf>
    <xf borderId="0" fillId="23" fontId="4" numFmtId="0" xfId="0" applyAlignment="1" applyFont="1">
      <alignment vertical="bottom"/>
    </xf>
    <xf borderId="0" fillId="5" fontId="4" numFmtId="0" xfId="0" applyAlignment="1" applyFont="1">
      <alignment horizontal="right" readingOrder="0" vertical="bottom"/>
    </xf>
    <xf borderId="0" fillId="0" fontId="4" numFmtId="0" xfId="0" applyAlignment="1" applyFont="1">
      <alignment horizontal="right" vertical="bottom"/>
    </xf>
    <xf borderId="0" fillId="5" fontId="4" numFmtId="0" xfId="0" applyAlignment="1" applyFont="1">
      <alignment readingOrder="0" vertical="bottom"/>
    </xf>
    <xf borderId="0" fillId="32" fontId="11" numFmtId="0" xfId="0" applyAlignment="1" applyFont="1">
      <alignment readingOrder="0"/>
    </xf>
    <xf borderId="0" fillId="23" fontId="4" numFmtId="0" xfId="0" applyAlignment="1" applyFont="1">
      <alignment vertical="bottom"/>
    </xf>
    <xf borderId="0" fillId="5" fontId="4" numFmtId="0" xfId="0" applyAlignment="1" applyFont="1">
      <alignment vertical="bottom"/>
    </xf>
    <xf borderId="0" fillId="5" fontId="4" numFmtId="0" xfId="0" applyAlignment="1" applyFont="1">
      <alignment shrinkToFit="0" vertical="bottom" wrapText="0"/>
    </xf>
    <xf borderId="0" fillId="21" fontId="6" numFmtId="0" xfId="0" applyAlignment="1" applyFont="1">
      <alignment horizontal="right" vertical="bottom"/>
    </xf>
    <xf borderId="0" fillId="21" fontId="4" numFmtId="0" xfId="0" applyAlignment="1" applyFont="1">
      <alignment horizontal="right" vertical="bottom"/>
    </xf>
    <xf borderId="0" fillId="31" fontId="4" numFmtId="0" xfId="0" applyAlignment="1" applyFont="1">
      <alignment shrinkToFit="0" vertical="bottom" wrapText="0"/>
    </xf>
    <xf borderId="0" fillId="31" fontId="4" numFmtId="0" xfId="0" applyAlignment="1" applyFont="1">
      <alignment shrinkToFit="0" vertical="bottom" wrapText="0"/>
    </xf>
    <xf borderId="0" fillId="31" fontId="4" numFmtId="165" xfId="0" applyAlignment="1" applyFont="1" applyNumberFormat="1">
      <alignment horizontal="right" shrinkToFit="0" vertical="bottom" wrapText="0"/>
    </xf>
    <xf borderId="0" fillId="31" fontId="6" numFmtId="0" xfId="0" applyAlignment="1" applyFont="1">
      <alignment vertical="bottom"/>
    </xf>
    <xf borderId="0" fillId="31" fontId="4" numFmtId="0" xfId="0" applyAlignment="1" applyFont="1">
      <alignment shrinkToFit="0" vertical="bottom" wrapText="0"/>
    </xf>
    <xf borderId="0" fillId="31" fontId="4" numFmtId="0" xfId="0" applyAlignment="1" applyFont="1">
      <alignment readingOrder="0" shrinkToFit="0" vertical="bottom" wrapText="0"/>
    </xf>
    <xf borderId="0" fillId="31" fontId="4" numFmtId="0" xfId="0" applyAlignment="1" applyFont="1">
      <alignment horizontal="right" shrinkToFit="0" vertical="bottom" wrapText="0"/>
    </xf>
    <xf borderId="0" fillId="31" fontId="4" numFmtId="0" xfId="0" applyAlignment="1" applyFont="1">
      <alignment horizontal="right" vertical="bottom"/>
    </xf>
    <xf borderId="0" fillId="31" fontId="62" numFmtId="0" xfId="0" applyAlignment="1" applyFont="1">
      <alignment shrinkToFit="0" vertical="bottom" wrapText="0"/>
    </xf>
    <xf borderId="0" fillId="31" fontId="63" numFmtId="0" xfId="0" applyAlignment="1" applyFont="1">
      <alignment shrinkToFit="0" vertical="bottom" wrapText="0"/>
    </xf>
    <xf borderId="0" fillId="30" fontId="11" numFmtId="0" xfId="0" applyAlignment="1" applyFont="1">
      <alignment readingOrder="0"/>
    </xf>
    <xf borderId="0" fillId="30" fontId="6" numFmtId="0" xfId="0" applyAlignment="1" applyFont="1">
      <alignment vertical="bottom"/>
    </xf>
    <xf borderId="0" fillId="30" fontId="4" numFmtId="0" xfId="0" applyAlignment="1" applyFont="1">
      <alignment vertical="bottom"/>
    </xf>
    <xf borderId="0" fillId="30" fontId="4" numFmtId="165" xfId="0" applyAlignment="1" applyFont="1" applyNumberFormat="1">
      <alignment horizontal="right" vertical="bottom"/>
    </xf>
    <xf borderId="0" fillId="30" fontId="4" numFmtId="0" xfId="0" applyAlignment="1" applyFont="1">
      <alignment shrinkToFit="0" vertical="bottom" wrapText="0"/>
    </xf>
    <xf borderId="0" fillId="30" fontId="6" numFmtId="0" xfId="0" applyAlignment="1" applyFont="1">
      <alignment vertical="bottom"/>
    </xf>
    <xf borderId="0" fillId="30" fontId="4" numFmtId="0" xfId="0" applyAlignment="1" applyFont="1">
      <alignment vertical="bottom"/>
    </xf>
    <xf borderId="0" fillId="30" fontId="64" numFmtId="0" xfId="0" applyAlignment="1" applyFont="1">
      <alignment vertical="bottom"/>
    </xf>
    <xf borderId="0" fillId="30" fontId="6" numFmtId="0" xfId="0" applyAlignment="1" applyFont="1">
      <alignment vertical="bottom"/>
    </xf>
    <xf borderId="0" fillId="30" fontId="4" numFmtId="0" xfId="0" applyAlignment="1" applyFont="1">
      <alignment horizontal="right" vertical="bottom"/>
    </xf>
    <xf borderId="0" fillId="30" fontId="4" numFmtId="0" xfId="0" applyAlignment="1" applyFont="1">
      <alignment vertical="bottom"/>
    </xf>
    <xf borderId="0" fillId="30" fontId="6" numFmtId="0" xfId="0" applyAlignment="1" applyFont="1">
      <alignment horizontal="right" vertical="bottom"/>
    </xf>
    <xf borderId="0" fillId="30" fontId="65" numFmtId="0" xfId="0" applyAlignment="1" applyFont="1">
      <alignment vertical="bottom"/>
    </xf>
    <xf borderId="0" fillId="30" fontId="66" numFmtId="0" xfId="0" applyAlignment="1" applyFont="1">
      <alignment vertical="bottom"/>
    </xf>
    <xf borderId="0" fillId="31" fontId="67" numFmtId="0" xfId="0" applyAlignment="1" applyFont="1">
      <alignment vertical="bottom"/>
    </xf>
    <xf borderId="0" fillId="31" fontId="4" numFmtId="0" xfId="0" applyAlignment="1" applyFont="1">
      <alignment vertical="bottom"/>
    </xf>
    <xf borderId="0" fillId="33" fontId="4" numFmtId="0" xfId="0" applyAlignment="1" applyFill="1" applyFont="1">
      <alignment readingOrder="0" vertical="bottom"/>
    </xf>
    <xf borderId="0" fillId="0" fontId="5" numFmtId="3" xfId="0" applyAlignment="1" applyFont="1" applyNumberFormat="1">
      <alignment readingOrder="0"/>
    </xf>
    <xf borderId="0" fillId="24" fontId="4" numFmtId="165" xfId="0" applyAlignment="1" applyFont="1" applyNumberFormat="1">
      <alignment horizontal="right" shrinkToFit="0" vertical="bottom" wrapText="0"/>
    </xf>
    <xf borderId="0" fillId="24" fontId="26" numFmtId="0" xfId="0" applyAlignment="1" applyFont="1">
      <alignment readingOrder="0" shrinkToFit="0" vertical="bottom" wrapText="0"/>
    </xf>
    <xf borderId="0" fillId="24" fontId="4" numFmtId="165" xfId="0" applyAlignment="1" applyFont="1" applyNumberFormat="1">
      <alignment horizontal="right" vertical="bottom"/>
    </xf>
    <xf borderId="0" fillId="24" fontId="68" numFmtId="0" xfId="0" applyAlignment="1" applyFont="1">
      <alignment vertical="bottom"/>
    </xf>
    <xf borderId="0" fillId="24" fontId="69" numFmtId="0" xfId="0" applyAlignment="1" applyFont="1">
      <alignment horizontal="right" vertical="bottom"/>
    </xf>
    <xf borderId="0" fillId="24" fontId="70" numFmtId="0" xfId="0" applyAlignment="1" applyFont="1">
      <alignment vertical="bottom"/>
    </xf>
    <xf borderId="0" fillId="20" fontId="11" numFmtId="0" xfId="0" applyAlignment="1" applyFont="1">
      <alignment readingOrder="0"/>
    </xf>
    <xf borderId="0" fillId="20" fontId="4" numFmtId="0" xfId="0" applyAlignment="1" applyFont="1">
      <alignment shrinkToFit="0" vertical="bottom" wrapText="0"/>
    </xf>
    <xf borderId="0" fillId="20" fontId="4" numFmtId="0" xfId="0" applyAlignment="1" applyFont="1">
      <alignment shrinkToFit="0" vertical="bottom" wrapText="0"/>
    </xf>
    <xf borderId="0" fillId="20" fontId="4" numFmtId="165" xfId="0" applyAlignment="1" applyFont="1" applyNumberFormat="1">
      <alignment horizontal="right" shrinkToFit="0" vertical="bottom" wrapText="0"/>
    </xf>
    <xf borderId="0" fillId="20" fontId="6" numFmtId="164" xfId="0" applyAlignment="1" applyFont="1" applyNumberFormat="1">
      <alignment readingOrder="0" vertical="bottom"/>
    </xf>
    <xf borderId="0" fillId="20" fontId="6" numFmtId="0" xfId="0" applyAlignment="1" applyFont="1">
      <alignment vertical="bottom"/>
    </xf>
    <xf borderId="0" fillId="20" fontId="4" numFmtId="0" xfId="0" applyAlignment="1" applyFont="1">
      <alignment shrinkToFit="0" vertical="bottom" wrapText="0"/>
    </xf>
    <xf borderId="0" fillId="20" fontId="6" numFmtId="0" xfId="0" applyAlignment="1" applyFont="1">
      <alignment vertical="bottom"/>
    </xf>
    <xf borderId="0" fillId="20" fontId="4" numFmtId="0" xfId="0" applyAlignment="1" applyFont="1">
      <alignment horizontal="right" shrinkToFit="0" vertical="bottom" wrapText="0"/>
    </xf>
    <xf borderId="0" fillId="20" fontId="4" numFmtId="0" xfId="0" applyAlignment="1" applyFont="1">
      <alignment vertical="bottom"/>
    </xf>
    <xf borderId="0" fillId="20" fontId="4" numFmtId="0" xfId="0" applyAlignment="1" applyFont="1">
      <alignment horizontal="right" vertical="bottom"/>
    </xf>
    <xf borderId="0" fillId="20" fontId="71" numFmtId="0" xfId="0" applyAlignment="1" applyFont="1">
      <alignment shrinkToFit="0" vertical="bottom" wrapText="0"/>
    </xf>
    <xf borderId="0" fillId="20" fontId="72" numFmtId="0" xfId="0" applyAlignment="1" applyFont="1">
      <alignment shrinkToFit="0" vertical="bottom" wrapText="0"/>
    </xf>
    <xf borderId="0" fillId="0" fontId="4" numFmtId="164" xfId="0" applyAlignment="1" applyFont="1" applyNumberFormat="1">
      <alignment horizontal="right" vertical="bottom"/>
    </xf>
    <xf borderId="0" fillId="0" fontId="73" numFmtId="0" xfId="0" applyAlignment="1" applyFont="1">
      <alignment vertical="bottom"/>
    </xf>
    <xf borderId="0" fillId="20" fontId="6" numFmtId="0" xfId="0" applyAlignment="1" applyFont="1">
      <alignment vertical="bottom"/>
    </xf>
    <xf borderId="0" fillId="0" fontId="4" numFmtId="0" xfId="0" applyAlignment="1" applyFont="1">
      <alignment shrinkToFit="0" vertical="bottom" wrapText="0"/>
    </xf>
    <xf borderId="0" fillId="0" fontId="4" numFmtId="165" xfId="0" applyAlignment="1" applyFont="1" applyNumberFormat="1">
      <alignment horizontal="right" shrinkToFit="0" vertical="bottom" wrapText="0"/>
    </xf>
    <xf borderId="0" fillId="0" fontId="4" numFmtId="0" xfId="0" applyAlignment="1" applyFont="1">
      <alignment readingOrder="0" shrinkToFit="0" vertical="bottom" wrapText="0"/>
    </xf>
    <xf borderId="0" fillId="23" fontId="4" numFmtId="0" xfId="0" applyAlignment="1" applyFont="1">
      <alignment shrinkToFit="0" vertical="bottom" wrapText="0"/>
    </xf>
    <xf borderId="0" fillId="0" fontId="74" numFmtId="0" xfId="0" applyAlignment="1" applyFont="1">
      <alignment readingOrder="0" vertical="bottom"/>
    </xf>
    <xf borderId="0" fillId="20" fontId="75" numFmtId="0" xfId="0" applyAlignment="1" applyFont="1">
      <alignment shrinkToFit="0" vertical="bottom" wrapText="0"/>
    </xf>
    <xf borderId="0" fillId="20" fontId="51" numFmtId="0" xfId="0" applyAlignment="1" applyFont="1">
      <alignment vertical="bottom"/>
    </xf>
    <xf borderId="0" fillId="20" fontId="76" numFmtId="0" xfId="0" applyAlignment="1" applyFont="1">
      <alignment vertical="bottom"/>
    </xf>
    <xf borderId="0" fillId="0" fontId="77" numFmtId="0" xfId="0" applyAlignment="1" applyFont="1">
      <alignment vertical="bottom"/>
    </xf>
    <xf borderId="0" fillId="20" fontId="51" numFmtId="0" xfId="0" applyAlignment="1" applyFont="1">
      <alignment horizontal="right" vertical="top"/>
    </xf>
    <xf borderId="0" fillId="20" fontId="51" numFmtId="0" xfId="0" applyAlignment="1" applyFont="1">
      <alignment vertical="top"/>
    </xf>
    <xf borderId="0" fillId="20" fontId="51" numFmtId="0" xfId="0" applyAlignment="1" applyFont="1">
      <alignment shrinkToFit="0" vertical="bottom" wrapText="0"/>
    </xf>
    <xf borderId="0" fillId="20" fontId="51" numFmtId="0" xfId="0" applyAlignment="1" applyFont="1">
      <alignment horizontal="right" vertical="bottom"/>
    </xf>
    <xf borderId="0" fillId="28" fontId="5" numFmtId="0" xfId="0" applyAlignment="1" applyFont="1">
      <alignment readingOrder="0"/>
    </xf>
    <xf borderId="0" fillId="28" fontId="5" numFmtId="0" xfId="0" applyFont="1"/>
    <xf borderId="0" fillId="28" fontId="5" numFmtId="165" xfId="0" applyAlignment="1" applyFont="1" applyNumberFormat="1">
      <alignment readingOrder="0"/>
    </xf>
    <xf borderId="0" fillId="24" fontId="78" numFmtId="0" xfId="0" applyAlignment="1" applyFont="1">
      <alignment readingOrder="0" vertical="bottom"/>
    </xf>
    <xf borderId="0" fillId="28" fontId="6" numFmtId="0" xfId="0" applyAlignment="1" applyFont="1">
      <alignment vertical="bottom"/>
    </xf>
    <xf borderId="0" fillId="28" fontId="6" numFmtId="164" xfId="0" applyAlignment="1" applyFont="1" applyNumberFormat="1">
      <alignment horizontal="right" vertical="bottom"/>
    </xf>
    <xf borderId="0" fillId="22" fontId="79" numFmtId="0" xfId="0" applyAlignment="1" applyFont="1">
      <alignment vertical="bottom"/>
    </xf>
    <xf borderId="0" fillId="22" fontId="80" numFmtId="0" xfId="0" applyAlignment="1" applyFont="1">
      <alignment readingOrder="0" vertical="bottom"/>
    </xf>
    <xf borderId="0" fillId="24" fontId="35" numFmtId="0" xfId="0" applyAlignment="1" applyFont="1">
      <alignment readingOrder="0" vertical="bottom"/>
    </xf>
    <xf borderId="0" fillId="24" fontId="6" numFmtId="0" xfId="0" applyAlignment="1" applyFont="1">
      <alignment horizontal="right" vertical="bottom"/>
    </xf>
    <xf borderId="0" fillId="24" fontId="81" numFmtId="168" xfId="0" applyAlignment="1" applyFont="1" applyNumberFormat="1">
      <alignment horizontal="right" readingOrder="0" vertical="bottom"/>
    </xf>
    <xf borderId="0" fillId="24" fontId="81" numFmtId="0" xfId="0" applyAlignment="1" applyFont="1">
      <alignment readingOrder="0" vertical="bottom"/>
    </xf>
    <xf borderId="0" fillId="5" fontId="6" numFmtId="0" xfId="0" applyAlignment="1" applyFont="1">
      <alignment vertical="bottom"/>
    </xf>
    <xf borderId="0" fillId="34" fontId="6" numFmtId="0" xfId="0" applyAlignment="1" applyFill="1" applyFont="1">
      <alignment horizontal="right" vertical="bottom"/>
    </xf>
    <xf borderId="0" fillId="34" fontId="35" numFmtId="0" xfId="0" applyAlignment="1" applyFont="1">
      <alignment horizontal="right" readingOrder="0" vertical="bottom"/>
    </xf>
    <xf borderId="0" fillId="34" fontId="35" numFmtId="0" xfId="0" applyAlignment="1" applyFont="1">
      <alignment readingOrder="0" vertical="bottom"/>
    </xf>
    <xf borderId="0" fillId="28" fontId="6" numFmtId="0" xfId="0" applyAlignment="1" applyFont="1">
      <alignment horizontal="right" vertical="bottom"/>
    </xf>
    <xf borderId="0" fillId="35" fontId="11" numFmtId="0" xfId="0" applyAlignment="1" applyFill="1" applyFont="1">
      <alignment readingOrder="0"/>
    </xf>
    <xf borderId="0" fillId="35" fontId="11" numFmtId="0" xfId="0" applyFont="1"/>
    <xf borderId="0" fillId="35" fontId="4" numFmtId="0" xfId="0" applyAlignment="1" applyFont="1">
      <alignment vertical="bottom"/>
    </xf>
    <xf borderId="0" fillId="35" fontId="4" numFmtId="0" xfId="0" applyAlignment="1" applyFont="1">
      <alignment vertical="bottom"/>
    </xf>
    <xf borderId="0" fillId="35" fontId="4" numFmtId="165" xfId="0" applyAlignment="1" applyFont="1" applyNumberFormat="1">
      <alignment horizontal="right" vertical="bottom"/>
    </xf>
    <xf borderId="0" fillId="35" fontId="4" numFmtId="165" xfId="0" applyAlignment="1" applyFont="1" applyNumberFormat="1">
      <alignment horizontal="right" readingOrder="0" vertical="bottom"/>
    </xf>
    <xf borderId="0" fillId="35" fontId="4" numFmtId="0" xfId="0" applyAlignment="1" applyFont="1">
      <alignment shrinkToFit="0" vertical="bottom" wrapText="0"/>
    </xf>
    <xf borderId="0" fillId="35" fontId="6" numFmtId="0" xfId="0" applyAlignment="1" applyFont="1">
      <alignment readingOrder="0" vertical="bottom"/>
    </xf>
    <xf borderId="0" fillId="35" fontId="4" numFmtId="0" xfId="0" applyAlignment="1" applyFont="1">
      <alignment vertical="bottom"/>
    </xf>
    <xf borderId="0" fillId="35" fontId="6" numFmtId="0" xfId="0" applyAlignment="1" applyFont="1">
      <alignment vertical="bottom"/>
    </xf>
    <xf borderId="0" fillId="35" fontId="5" numFmtId="0" xfId="0" applyAlignment="1" applyFont="1">
      <alignment readingOrder="0"/>
    </xf>
    <xf borderId="0" fillId="35" fontId="4" numFmtId="0" xfId="0" applyAlignment="1" applyFont="1">
      <alignment readingOrder="0" shrinkToFit="0" vertical="bottom" wrapText="0"/>
    </xf>
    <xf borderId="0" fillId="35" fontId="4" numFmtId="0" xfId="0" applyAlignment="1" applyFont="1">
      <alignment horizontal="right" vertical="bottom"/>
    </xf>
    <xf borderId="0" fillId="35" fontId="4" numFmtId="0" xfId="0" applyAlignment="1" applyFont="1">
      <alignment readingOrder="0" vertical="bottom"/>
    </xf>
    <xf borderId="0" fillId="5" fontId="4" numFmtId="0" xfId="0" applyAlignment="1" applyFont="1">
      <alignment vertical="bottom"/>
    </xf>
    <xf borderId="0" fillId="35" fontId="6" numFmtId="0" xfId="0" applyAlignment="1" applyFont="1">
      <alignment vertical="bottom"/>
    </xf>
    <xf borderId="0" fillId="5" fontId="4" numFmtId="0" xfId="0" applyAlignment="1" applyFont="1">
      <alignment readingOrder="0" shrinkToFit="0" vertical="bottom" wrapText="0"/>
    </xf>
    <xf borderId="0" fillId="32" fontId="11" numFmtId="0" xfId="0" applyFont="1"/>
    <xf borderId="0" fillId="32" fontId="4" numFmtId="0" xfId="0" applyAlignment="1" applyFont="1">
      <alignment vertical="bottom"/>
    </xf>
    <xf borderId="0" fillId="32" fontId="4" numFmtId="0" xfId="0" applyAlignment="1" applyFont="1">
      <alignment vertical="bottom"/>
    </xf>
    <xf borderId="0" fillId="32" fontId="4" numFmtId="165" xfId="0" applyAlignment="1" applyFont="1" applyNumberFormat="1">
      <alignment horizontal="right" vertical="bottom"/>
    </xf>
    <xf borderId="0" fillId="32" fontId="6" numFmtId="0" xfId="0" applyAlignment="1" applyFont="1">
      <alignment readingOrder="0" vertical="bottom"/>
    </xf>
    <xf borderId="0" fillId="32" fontId="6" numFmtId="0" xfId="0" applyAlignment="1" applyFont="1">
      <alignment vertical="bottom"/>
    </xf>
    <xf borderId="0" fillId="32" fontId="5" numFmtId="0" xfId="0" applyAlignment="1" applyFont="1">
      <alignment readingOrder="0"/>
    </xf>
    <xf borderId="0" fillId="36" fontId="4" numFmtId="0" xfId="0" applyAlignment="1" applyFill="1" applyFont="1">
      <alignment readingOrder="0" vertical="bottom"/>
    </xf>
    <xf borderId="0" fillId="5" fontId="4" numFmtId="0" xfId="0" applyAlignment="1" applyFont="1">
      <alignment horizontal="right" vertical="bottom"/>
    </xf>
    <xf borderId="0" fillId="5" fontId="4" numFmtId="0" xfId="0" applyAlignment="1" applyFont="1">
      <alignment vertical="bottom"/>
    </xf>
    <xf borderId="0" fillId="32" fontId="4" numFmtId="0" xfId="0" applyAlignment="1" applyFont="1">
      <alignment horizontal="right" vertical="bottom"/>
    </xf>
    <xf borderId="0" fillId="32" fontId="4" numFmtId="0" xfId="0" applyAlignment="1" applyFont="1">
      <alignment horizontal="right" vertical="bottom"/>
    </xf>
    <xf borderId="0" fillId="5" fontId="4" numFmtId="0" xfId="0" applyAlignment="1" applyFont="1">
      <alignment horizontal="right" vertical="bottom"/>
    </xf>
    <xf borderId="0" fillId="21" fontId="35" numFmtId="0" xfId="0" applyAlignment="1" applyFont="1">
      <alignment vertical="bottom"/>
    </xf>
    <xf borderId="0" fillId="21" fontId="82" numFmtId="0" xfId="0" applyAlignment="1" applyFont="1">
      <alignment vertical="bottom"/>
    </xf>
    <xf borderId="0" fillId="21" fontId="83" numFmtId="0" xfId="0" applyAlignment="1" applyFont="1">
      <alignment vertical="bottom"/>
    </xf>
    <xf borderId="0" fillId="21" fontId="84" numFmtId="0" xfId="0" applyAlignment="1" applyFont="1">
      <alignment readingOrder="0" vertical="bottom"/>
    </xf>
    <xf borderId="0" fillId="0" fontId="6" numFmtId="0" xfId="0" applyAlignment="1" applyFont="1">
      <alignment horizontal="right" readingOrder="0" vertical="bottom"/>
    </xf>
    <xf borderId="0" fillId="0" fontId="6" numFmtId="0" xfId="0" applyAlignment="1" applyFont="1">
      <alignment horizontal="right" vertical="bottom"/>
    </xf>
    <xf borderId="0" fillId="21" fontId="4" numFmtId="0" xfId="0" applyAlignment="1" applyFont="1">
      <alignment shrinkToFit="0" vertical="bottom" wrapText="0"/>
    </xf>
    <xf borderId="0" fillId="21" fontId="4" numFmtId="0" xfId="0" applyAlignment="1" applyFont="1">
      <alignment shrinkToFit="0" vertical="bottom" wrapText="0"/>
    </xf>
    <xf borderId="0" fillId="21" fontId="4" numFmtId="165" xfId="0" applyAlignment="1" applyFont="1" applyNumberFormat="1">
      <alignment horizontal="right" shrinkToFit="0" vertical="bottom" wrapText="0"/>
    </xf>
    <xf borderId="0" fillId="21" fontId="4" numFmtId="0" xfId="0" applyAlignment="1" applyFont="1">
      <alignment shrinkToFit="0" vertical="bottom" wrapText="0"/>
    </xf>
    <xf borderId="0" fillId="21" fontId="4" numFmtId="0" xfId="0" applyAlignment="1" applyFont="1">
      <alignment horizontal="right" shrinkToFit="0" vertical="bottom" wrapText="0"/>
    </xf>
    <xf borderId="0" fillId="21" fontId="4" numFmtId="0" xfId="0" applyAlignment="1" applyFont="1">
      <alignment horizontal="right" vertical="bottom"/>
    </xf>
    <xf borderId="0" fillId="21" fontId="85" numFmtId="0" xfId="0" applyAlignment="1" applyFont="1">
      <alignment vertical="bottom"/>
    </xf>
    <xf borderId="0" fillId="21" fontId="86" numFmtId="0" xfId="0" applyAlignment="1" applyFont="1">
      <alignment shrinkToFit="0" vertical="bottom" wrapText="0"/>
    </xf>
    <xf borderId="0" fillId="21" fontId="4" numFmtId="164" xfId="0" applyAlignment="1" applyFont="1" applyNumberFormat="1">
      <alignment horizontal="right" vertical="bottom"/>
    </xf>
    <xf borderId="0" fillId="21" fontId="4" numFmtId="164" xfId="0" applyAlignment="1" applyFont="1" applyNumberFormat="1">
      <alignment horizontal="right" shrinkToFit="0" vertical="bottom" wrapText="0"/>
    </xf>
    <xf borderId="1" fillId="21" fontId="4" numFmtId="0" xfId="0" applyAlignment="1" applyBorder="1" applyFont="1">
      <alignment shrinkToFit="0" vertical="bottom" wrapText="0"/>
    </xf>
    <xf borderId="0" fillId="21" fontId="4" numFmtId="0" xfId="0" applyAlignment="1" applyFont="1">
      <alignment readingOrder="0" shrinkToFit="0" vertical="bottom" wrapText="0"/>
    </xf>
    <xf borderId="0" fillId="21" fontId="4" numFmtId="0" xfId="0" applyAlignment="1" applyFont="1">
      <alignment horizontal="right" readingOrder="0" shrinkToFit="0" vertical="bottom" wrapText="0"/>
    </xf>
    <xf borderId="0" fillId="21" fontId="87" numFmtId="0" xfId="0" applyAlignment="1" applyFont="1">
      <alignment shrinkToFit="0" vertical="bottom" wrapText="0"/>
    </xf>
    <xf borderId="1" fillId="21" fontId="4" numFmtId="0" xfId="0" applyAlignment="1" applyBorder="1" applyFont="1">
      <alignment vertical="bottom"/>
    </xf>
    <xf borderId="0" fillId="21" fontId="88" numFmtId="0" xfId="0" applyAlignment="1" applyFont="1">
      <alignment horizontal="right" vertical="bottom"/>
    </xf>
    <xf borderId="0" fillId="21" fontId="88" numFmtId="0" xfId="0" applyAlignment="1" applyFont="1">
      <alignment vertical="bottom"/>
    </xf>
    <xf borderId="1" fillId="23" fontId="89" numFmtId="0" xfId="0" applyAlignment="1" applyBorder="1" applyFont="1">
      <alignment readingOrder="0"/>
    </xf>
    <xf borderId="1" fillId="0" fontId="6" numFmtId="0" xfId="0" applyAlignment="1" applyBorder="1" applyFont="1">
      <alignment vertical="bottom"/>
    </xf>
    <xf borderId="1" fillId="0" fontId="6" numFmtId="165" xfId="0" applyAlignment="1" applyBorder="1" applyFont="1" applyNumberFormat="1">
      <alignment horizontal="right" vertical="bottom"/>
    </xf>
    <xf borderId="1" fillId="0" fontId="6" numFmtId="164" xfId="0" applyAlignment="1" applyBorder="1" applyFont="1" applyNumberFormat="1">
      <alignment horizontal="right" vertical="bottom"/>
    </xf>
    <xf borderId="1" fillId="23" fontId="90" numFmtId="0" xfId="0" applyAlignment="1" applyBorder="1" applyFont="1">
      <alignment vertical="bottom"/>
    </xf>
    <xf borderId="1" fillId="21" fontId="83"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vertical="bottom"/>
    </xf>
    <xf borderId="1" fillId="23" fontId="4" numFmtId="0" xfId="0" applyAlignment="1" applyBorder="1" applyFont="1">
      <alignment readingOrder="0" vertical="bottom"/>
    </xf>
    <xf borderId="0" fillId="0" fontId="6" numFmtId="165" xfId="0" applyAlignment="1" applyFont="1" applyNumberFormat="1">
      <alignment horizontal="right" vertical="bottom"/>
    </xf>
    <xf borderId="0" fillId="0" fontId="6" numFmtId="164" xfId="0" applyAlignment="1" applyFont="1" applyNumberFormat="1">
      <alignment horizontal="right" vertical="bottom"/>
    </xf>
    <xf borderId="0" fillId="5" fontId="11" numFmtId="0" xfId="0" applyAlignment="1" applyFont="1">
      <alignment readingOrder="0"/>
    </xf>
    <xf borderId="0" fillId="5" fontId="11" numFmtId="0" xfId="0" applyFont="1"/>
    <xf borderId="0" fillId="28" fontId="4" numFmtId="164" xfId="0" applyAlignment="1" applyFont="1" applyNumberFormat="1">
      <alignment horizontal="right" vertical="bottom"/>
    </xf>
    <xf borderId="0" fillId="28" fontId="4" numFmtId="164" xfId="0" applyAlignment="1" applyFont="1" applyNumberFormat="1">
      <alignment horizontal="right" readingOrder="0" vertical="bottom"/>
    </xf>
    <xf borderId="1" fillId="24" fontId="4" numFmtId="0" xfId="0" applyAlignment="1" applyBorder="1" applyFont="1">
      <alignment vertical="bottom"/>
    </xf>
    <xf borderId="1" fillId="24" fontId="4" numFmtId="0" xfId="0" applyAlignment="1" applyBorder="1" applyFont="1">
      <alignment vertical="bottom"/>
    </xf>
    <xf borderId="0" fillId="24" fontId="4" numFmtId="0" xfId="0" applyAlignment="1" applyFont="1">
      <alignment horizontal="right" vertical="bottom"/>
    </xf>
    <xf borderId="0" fillId="13" fontId="11" numFmtId="0" xfId="0" applyAlignment="1" applyFont="1">
      <alignment readingOrder="0"/>
    </xf>
    <xf borderId="0" fillId="13" fontId="11" numFmtId="0" xfId="0" applyFont="1"/>
    <xf borderId="0" fillId="0" fontId="6" numFmtId="165" xfId="0" applyAlignment="1" applyFont="1" applyNumberFormat="1">
      <alignment readingOrder="0" vertical="bottom"/>
    </xf>
    <xf borderId="0" fillId="5" fontId="91" numFmtId="0" xfId="0" applyAlignment="1" applyFont="1">
      <alignment readingOrder="0" vertical="bottom"/>
    </xf>
    <xf borderId="0" fillId="5" fontId="6" numFmtId="0" xfId="0" applyAlignment="1" applyFont="1">
      <alignment vertical="bottom"/>
    </xf>
    <xf borderId="0" fillId="0" fontId="91" numFmtId="0" xfId="0" applyAlignment="1" applyFont="1">
      <alignment readingOrder="0" vertical="bottom"/>
    </xf>
    <xf borderId="0" fillId="5" fontId="30" numFmtId="0" xfId="0" applyAlignment="1" applyFont="1">
      <alignment horizontal="right" readingOrder="0" vertical="bottom"/>
    </xf>
    <xf borderId="1" fillId="17" fontId="4" numFmtId="0" xfId="0" applyAlignment="1" applyBorder="1" applyFont="1">
      <alignment readingOrder="0" vertical="bottom"/>
    </xf>
    <xf borderId="1" fillId="0" fontId="4" numFmtId="0" xfId="0" applyAlignment="1" applyBorder="1" applyFont="1">
      <alignment readingOrder="0" vertical="bottom"/>
    </xf>
    <xf borderId="1" fillId="0" fontId="4" numFmtId="165" xfId="0" applyAlignment="1" applyBorder="1" applyFont="1" applyNumberFormat="1">
      <alignment horizontal="right" vertical="bottom"/>
    </xf>
    <xf borderId="1" fillId="0" fontId="6" numFmtId="0" xfId="0" applyAlignment="1" applyBorder="1" applyFont="1">
      <alignment readingOrder="0" vertical="bottom"/>
    </xf>
    <xf borderId="1" fillId="0" fontId="30" numFmtId="0" xfId="0" applyAlignment="1" applyBorder="1" applyFont="1">
      <alignment readingOrder="0" vertical="bottom"/>
    </xf>
    <xf borderId="1" fillId="0" fontId="11" numFmtId="0" xfId="0" applyBorder="1" applyFont="1"/>
    <xf borderId="1" fillId="0" fontId="31" numFmtId="0" xfId="0" applyAlignment="1" applyBorder="1" applyFont="1">
      <alignment readingOrder="0" vertical="bottom"/>
    </xf>
    <xf borderId="1" fillId="0" fontId="4" numFmtId="0" xfId="0" applyAlignment="1" applyBorder="1" applyFont="1">
      <alignment horizontal="right" readingOrder="0" vertical="bottom"/>
    </xf>
    <xf borderId="1" fillId="5" fontId="4" numFmtId="0" xfId="0" applyAlignment="1" applyBorder="1" applyFont="1">
      <alignment horizontal="right" readingOrder="0" vertical="bottom"/>
    </xf>
    <xf borderId="1" fillId="5" fontId="4" numFmtId="0" xfId="0" applyAlignment="1" applyBorder="1" applyFont="1">
      <alignment readingOrder="0" vertical="bottom"/>
    </xf>
    <xf borderId="1" fillId="5" fontId="30" numFmtId="0" xfId="0" applyAlignment="1" applyBorder="1" applyFont="1">
      <alignment horizontal="right" readingOrder="0" vertical="bottom"/>
    </xf>
    <xf borderId="1" fillId="5" fontId="6" numFmtId="0" xfId="0" applyAlignment="1" applyBorder="1" applyFont="1">
      <alignment readingOrder="0" vertical="bottom"/>
    </xf>
    <xf borderId="1" fillId="0" fontId="32" numFmtId="0" xfId="0" applyAlignment="1" applyBorder="1" applyFont="1">
      <alignment horizontal="right" readingOrder="0" vertical="bottom"/>
    </xf>
    <xf borderId="1" fillId="5" fontId="91" numFmtId="0" xfId="0" applyAlignment="1" applyBorder="1" applyFont="1">
      <alignment readingOrder="0" vertical="bottom"/>
    </xf>
    <xf borderId="1" fillId="0" fontId="91" numFmtId="0" xfId="0" applyAlignment="1" applyBorder="1" applyFont="1">
      <alignment readingOrder="0" vertical="bottom"/>
    </xf>
    <xf borderId="0" fillId="13" fontId="5" numFmtId="0" xfId="0" applyAlignment="1" applyFont="1">
      <alignment readingOrder="0"/>
    </xf>
    <xf borderId="0" fillId="13" fontId="5" numFmtId="0" xfId="0" applyFont="1"/>
    <xf borderId="1" fillId="0" fontId="11" numFmtId="0" xfId="0" applyAlignment="1" applyBorder="1" applyFont="1">
      <alignment readingOrder="0"/>
    </xf>
    <xf borderId="0" fillId="0" fontId="6" numFmtId="168" xfId="0" applyAlignment="1" applyFont="1" applyNumberFormat="1">
      <alignment horizontal="right" vertical="bottom"/>
    </xf>
    <xf borderId="0" fillId="23" fontId="92" numFmtId="0" xfId="0" applyAlignment="1" applyFont="1">
      <alignment vertical="bottom"/>
    </xf>
    <xf borderId="0" fillId="5" fontId="6" numFmtId="0" xfId="0" applyAlignment="1" applyFont="1">
      <alignment horizontal="right" readingOrder="0" vertical="bottom"/>
    </xf>
    <xf borderId="0" fillId="0" fontId="6" numFmtId="169" xfId="0" applyAlignment="1" applyFont="1" applyNumberFormat="1">
      <alignment horizontal="right" vertical="bottom"/>
    </xf>
    <xf borderId="0" fillId="0" fontId="6" numFmtId="164" xfId="0" applyAlignment="1" applyFont="1" applyNumberFormat="1">
      <alignment horizontal="right" readingOrder="0" vertical="bottom"/>
    </xf>
    <xf borderId="0" fillId="15" fontId="4" numFmtId="166" xfId="0" applyAlignment="1" applyFont="1" applyNumberFormat="1">
      <alignment horizontal="right" vertical="bottom"/>
    </xf>
    <xf borderId="0" fillId="15" fontId="4" numFmtId="166" xfId="0" applyAlignment="1" applyFont="1" applyNumberFormat="1">
      <alignment horizontal="right" readingOrder="0" vertical="bottom"/>
    </xf>
    <xf borderId="0" fillId="23" fontId="4" numFmtId="0" xfId="0" applyAlignment="1" applyFont="1">
      <alignment vertical="bottom"/>
    </xf>
    <xf borderId="0" fillId="23" fontId="6" numFmtId="0" xfId="0" applyAlignment="1" applyFont="1">
      <alignment vertical="bottom"/>
    </xf>
    <xf borderId="0" fillId="23" fontId="4" numFmtId="0" xfId="0" applyAlignment="1" applyFont="1">
      <alignment horizontal="right" vertical="bottom"/>
    </xf>
    <xf borderId="0" fillId="23" fontId="6" numFmtId="0" xfId="0" applyAlignment="1" applyFont="1">
      <alignment vertical="bottom"/>
    </xf>
    <xf borderId="0" fillId="24" fontId="4" numFmtId="166" xfId="0" applyAlignment="1" applyFont="1" applyNumberFormat="1">
      <alignment horizontal="right" readingOrder="0" vertical="bottom"/>
    </xf>
    <xf borderId="0" fillId="22" fontId="4" numFmtId="0" xfId="0" applyAlignment="1" applyFont="1">
      <alignment readingOrder="0" vertical="bottom"/>
    </xf>
    <xf borderId="0" fillId="28" fontId="4" numFmtId="0" xfId="0" applyAlignment="1" applyFont="1">
      <alignment vertical="bottom"/>
    </xf>
    <xf borderId="0" fillId="28" fontId="4" numFmtId="0" xfId="0" applyAlignment="1" applyFont="1">
      <alignment horizontal="right" vertical="bottom"/>
    </xf>
    <xf borderId="0" fillId="33" fontId="4" numFmtId="0" xfId="0" applyAlignment="1" applyFont="1">
      <alignment vertical="bottom"/>
    </xf>
    <xf borderId="0" fillId="33" fontId="4" numFmtId="0" xfId="0" applyAlignment="1" applyFont="1">
      <alignment vertical="bottom"/>
    </xf>
    <xf borderId="0" fillId="33" fontId="6" numFmtId="0" xfId="0" applyAlignment="1" applyFont="1">
      <alignment vertical="bottom"/>
    </xf>
    <xf borderId="0" fillId="33" fontId="4" numFmtId="0" xfId="0" applyAlignment="1" applyFont="1">
      <alignment horizontal="right" vertical="bottom"/>
    </xf>
    <xf borderId="0" fillId="33" fontId="6" numFmtId="0" xfId="0" applyAlignment="1" applyFont="1">
      <alignment vertical="bottom"/>
    </xf>
    <xf borderId="0" fillId="24" fontId="93" numFmtId="0" xfId="0" applyAlignment="1" applyFont="1">
      <alignment vertical="bottom"/>
    </xf>
    <xf borderId="0" fillId="28" fontId="94" numFmtId="0" xfId="0" applyAlignment="1" applyFont="1">
      <alignment readingOrder="0" vertical="bottom"/>
    </xf>
    <xf borderId="0" fillId="15" fontId="4" numFmtId="0" xfId="0" applyAlignment="1" applyFont="1">
      <alignment shrinkToFit="0" vertical="bottom" wrapText="0"/>
    </xf>
    <xf borderId="0" fillId="24" fontId="4" numFmtId="166" xfId="0" applyAlignment="1" applyFont="1" applyNumberFormat="1">
      <alignment horizontal="right" vertical="bottom"/>
    </xf>
    <xf borderId="0" fillId="15" fontId="95" numFmtId="0" xfId="0" applyAlignment="1" applyFont="1">
      <alignment vertical="bottom"/>
    </xf>
    <xf borderId="0" fillId="24" fontId="4" numFmtId="0" xfId="0" applyAlignment="1" applyFont="1">
      <alignment shrinkToFit="0" vertical="bottom" wrapText="0"/>
    </xf>
    <xf borderId="0" fillId="24" fontId="96" numFmtId="0" xfId="0" applyAlignment="1" applyFont="1">
      <alignment vertical="bottom"/>
    </xf>
    <xf borderId="0" fillId="5" fontId="4" numFmtId="166" xfId="0" applyAlignment="1" applyFont="1" applyNumberFormat="1">
      <alignment horizontal="right" vertical="bottom"/>
    </xf>
    <xf borderId="0" fillId="5" fontId="6" numFmtId="0" xfId="0" applyAlignment="1" applyFont="1">
      <alignment vertical="bottom"/>
    </xf>
    <xf borderId="0" fillId="5" fontId="97" numFmtId="0" xfId="0" applyAlignment="1" applyFont="1">
      <alignment vertical="bottom"/>
    </xf>
    <xf borderId="0" fillId="0" fontId="98" numFmtId="0" xfId="0" applyAlignment="1" applyFont="1">
      <alignment vertical="bottom"/>
    </xf>
    <xf borderId="0" fillId="0" fontId="99" numFmtId="0" xfId="0" applyAlignment="1" applyFont="1">
      <alignment vertical="bottom"/>
    </xf>
    <xf borderId="0" fillId="25" fontId="6" numFmtId="0" xfId="0" applyAlignment="1" applyFont="1">
      <alignment vertical="bottom"/>
    </xf>
    <xf borderId="0" fillId="21" fontId="100" numFmtId="0" xfId="0" applyAlignment="1" applyFont="1">
      <alignment vertical="bottom"/>
    </xf>
    <xf borderId="0" fillId="15" fontId="11" numFmtId="0" xfId="0" applyAlignment="1" applyFont="1">
      <alignment readingOrder="0" shrinkToFit="0" wrapText="0"/>
    </xf>
    <xf borderId="0" fillId="15" fontId="11" numFmtId="0" xfId="0" applyAlignment="1" applyFont="1">
      <alignment shrinkToFit="0" wrapText="0"/>
    </xf>
    <xf borderId="0" fillId="15" fontId="6" numFmtId="0" xfId="0" applyAlignment="1" applyFont="1">
      <alignment shrinkToFit="0" vertical="bottom" wrapText="0"/>
    </xf>
    <xf borderId="0" fillId="15" fontId="4" numFmtId="164" xfId="0" applyAlignment="1" applyFont="1" applyNumberFormat="1">
      <alignment horizontal="right" shrinkToFit="0" vertical="bottom" wrapText="0"/>
    </xf>
    <xf borderId="0" fillId="15" fontId="4" numFmtId="164" xfId="0" applyAlignment="1" applyFont="1" applyNumberFormat="1">
      <alignment horizontal="right" readingOrder="0" shrinkToFit="0" vertical="bottom" wrapText="0"/>
    </xf>
    <xf borderId="0" fillId="15" fontId="6" numFmtId="0" xfId="0" applyAlignment="1" applyFont="1">
      <alignment shrinkToFit="0" vertical="bottom" wrapText="0"/>
    </xf>
    <xf borderId="0" fillId="2" fontId="6" numFmtId="0" xfId="0" applyAlignment="1" applyFont="1">
      <alignment readingOrder="0" shrinkToFit="0" vertical="bottom" wrapText="0"/>
    </xf>
    <xf borderId="0" fillId="15" fontId="101" numFmtId="0" xfId="0" applyAlignment="1" applyFont="1">
      <alignment readingOrder="0" shrinkToFit="0" vertical="bottom" wrapText="0"/>
    </xf>
    <xf borderId="0" fillId="15" fontId="4" numFmtId="0" xfId="0" applyAlignment="1" applyFont="1">
      <alignment horizontal="right" shrinkToFit="0" vertical="bottom" wrapText="0"/>
    </xf>
    <xf borderId="1" fillId="0" fontId="4" numFmtId="0" xfId="0" applyAlignment="1" applyBorder="1" applyFont="1">
      <alignment vertical="bottom"/>
    </xf>
    <xf borderId="0" fillId="15" fontId="102" numFmtId="0" xfId="0" applyAlignment="1" applyFont="1">
      <alignment readingOrder="0" shrinkToFit="0" vertical="bottom" wrapText="0"/>
    </xf>
    <xf borderId="0" fillId="15" fontId="103" numFmtId="0" xfId="0" applyAlignment="1" applyFont="1">
      <alignment shrinkToFit="0" vertical="bottom" wrapText="0"/>
    </xf>
    <xf borderId="0" fillId="15" fontId="104" numFmtId="0" xfId="0" applyAlignment="1" applyFont="1">
      <alignment horizontal="right" shrinkToFit="0" vertical="bottom" wrapText="0"/>
    </xf>
    <xf borderId="0" fillId="15" fontId="6" numFmtId="0" xfId="0" applyAlignment="1" applyFont="1">
      <alignment shrinkToFit="0" vertical="bottom" wrapText="0"/>
    </xf>
    <xf borderId="0" fillId="0" fontId="6" numFmtId="0" xfId="0" applyAlignment="1" applyFont="1">
      <alignment readingOrder="0" shrinkToFit="0" vertical="bottom" wrapText="0"/>
    </xf>
    <xf borderId="0" fillId="24" fontId="11" numFmtId="0" xfId="0" applyAlignment="1" applyFont="1">
      <alignment readingOrder="0" shrinkToFit="0" wrapText="0"/>
    </xf>
    <xf borderId="0" fillId="24" fontId="11" numFmtId="0" xfId="0" applyAlignment="1" applyFont="1">
      <alignment shrinkToFit="0" wrapText="0"/>
    </xf>
    <xf borderId="0" fillId="24" fontId="4" numFmtId="0" xfId="0" applyAlignment="1" applyFont="1">
      <alignment shrinkToFit="0" vertical="bottom" wrapText="0"/>
    </xf>
    <xf borderId="0" fillId="24" fontId="4" numFmtId="165" xfId="0" applyAlignment="1" applyFont="1" applyNumberFormat="1">
      <alignment horizontal="right" readingOrder="0" shrinkToFit="0" vertical="bottom" wrapText="0"/>
    </xf>
    <xf borderId="0" fillId="24" fontId="6" numFmtId="0" xfId="0" applyAlignment="1" applyFont="1">
      <alignment readingOrder="0" shrinkToFit="0" vertical="bottom" wrapText="0"/>
    </xf>
    <xf borderId="0" fillId="24" fontId="105" numFmtId="0" xfId="0" applyAlignment="1" applyFont="1">
      <alignment shrinkToFit="0" vertical="bottom" wrapText="0"/>
    </xf>
    <xf borderId="0" fillId="24" fontId="6" numFmtId="0" xfId="0" applyAlignment="1" applyFont="1">
      <alignment shrinkToFit="0" vertical="bottom" wrapText="0"/>
    </xf>
    <xf borderId="0" fillId="24" fontId="106" numFmtId="0" xfId="0" applyAlignment="1" applyFont="1">
      <alignment shrinkToFit="0" vertical="bottom" wrapText="0"/>
    </xf>
    <xf borderId="0" fillId="24" fontId="4" numFmtId="0" xfId="0" applyAlignment="1" applyFont="1">
      <alignment readingOrder="0" shrinkToFit="0" vertical="bottom" wrapText="0"/>
    </xf>
    <xf borderId="0" fillId="24" fontId="4" numFmtId="0" xfId="0" applyAlignment="1" applyFont="1">
      <alignment horizontal="right" shrinkToFit="0" vertical="bottom" wrapText="0"/>
    </xf>
    <xf borderId="0" fillId="24" fontId="4" numFmtId="0" xfId="0" applyAlignment="1" applyFont="1">
      <alignment horizontal="right" readingOrder="0" shrinkToFit="0" vertical="bottom" wrapText="0"/>
    </xf>
    <xf borderId="0" fillId="15" fontId="6" numFmtId="0" xfId="0" applyAlignment="1" applyFont="1">
      <alignment readingOrder="0" shrinkToFit="0" vertical="bottom" wrapText="0"/>
    </xf>
    <xf borderId="0" fillId="24" fontId="4" numFmtId="165" xfId="0" applyAlignment="1" applyFont="1" applyNumberFormat="1">
      <alignment horizontal="right" shrinkToFit="0" vertical="bottom" wrapText="0"/>
    </xf>
    <xf borderId="0" fillId="24" fontId="4" numFmtId="0" xfId="0" applyAlignment="1" applyFont="1">
      <alignment shrinkToFit="0" vertical="bottom" wrapText="0"/>
    </xf>
    <xf borderId="0" fillId="24" fontId="4" numFmtId="0" xfId="0" applyAlignment="1" applyFont="1">
      <alignment horizontal="right" shrinkToFit="0" vertical="bottom" wrapText="0"/>
    </xf>
    <xf borderId="0" fillId="24" fontId="4" numFmtId="3" xfId="0" applyAlignment="1" applyFont="1" applyNumberFormat="1">
      <alignment horizontal="right" shrinkToFit="0" vertical="bottom" wrapText="0"/>
    </xf>
    <xf borderId="0" fillId="24" fontId="12" numFmtId="0" xfId="0" applyAlignment="1" applyFont="1">
      <alignment horizontal="right" readingOrder="0" shrinkToFit="0" vertical="bottom" wrapText="0"/>
    </xf>
    <xf borderId="0" fillId="25" fontId="4" numFmtId="164" xfId="0" applyAlignment="1" applyFont="1" applyNumberFormat="1">
      <alignment horizontal="right" vertical="bottom"/>
    </xf>
    <xf borderId="0" fillId="25" fontId="4" numFmtId="166" xfId="0" applyAlignment="1" applyFont="1" applyNumberFormat="1">
      <alignment horizontal="right" readingOrder="0" vertical="bottom"/>
    </xf>
    <xf borderId="0" fillId="30" fontId="6" numFmtId="0" xfId="0" applyAlignment="1" applyFont="1">
      <alignment readingOrder="0" vertical="bottom"/>
    </xf>
    <xf borderId="0" fillId="25" fontId="107" numFmtId="0" xfId="0" applyAlignment="1" applyFont="1">
      <alignment vertical="bottom"/>
    </xf>
    <xf borderId="0" fillId="25" fontId="4" numFmtId="0" xfId="0" applyAlignment="1" applyFont="1">
      <alignment horizontal="right" vertical="bottom"/>
    </xf>
    <xf borderId="0" fillId="25" fontId="4" numFmtId="170" xfId="0" applyAlignment="1" applyFont="1" applyNumberFormat="1">
      <alignment horizontal="right" vertical="bottom"/>
    </xf>
    <xf borderId="0" fillId="25" fontId="4" numFmtId="0" xfId="0" applyAlignment="1" applyFont="1">
      <alignment horizontal="right" vertical="bottom"/>
    </xf>
    <xf borderId="0" fillId="25" fontId="108" numFmtId="0" xfId="0" applyAlignment="1" applyFont="1">
      <alignment vertical="bottom"/>
    </xf>
    <xf borderId="0" fillId="30" fontId="109" numFmtId="0" xfId="0" applyAlignment="1" applyFont="1">
      <alignment readingOrder="0" vertical="bottom"/>
    </xf>
    <xf borderId="0" fillId="30" fontId="5" numFmtId="0" xfId="0" applyAlignment="1" applyFont="1">
      <alignment readingOrder="0"/>
    </xf>
    <xf borderId="0" fillId="30" fontId="5" numFmtId="0" xfId="0" applyFont="1"/>
    <xf borderId="0" fillId="30" fontId="4" numFmtId="0" xfId="0" applyAlignment="1" applyFont="1">
      <alignment readingOrder="0" vertical="bottom"/>
    </xf>
    <xf borderId="0" fillId="30" fontId="4" numFmtId="166" xfId="0" applyAlignment="1" applyFont="1" applyNumberFormat="1">
      <alignment horizontal="right" vertical="bottom"/>
    </xf>
    <xf borderId="0" fillId="30" fontId="4" numFmtId="166" xfId="0" applyAlignment="1" applyFont="1" applyNumberFormat="1">
      <alignment horizontal="right" readingOrder="0" vertical="bottom"/>
    </xf>
    <xf borderId="0" fillId="37" fontId="4" numFmtId="0" xfId="0" applyAlignment="1" applyFill="1" applyFont="1">
      <alignment horizontal="right" vertical="bottom"/>
    </xf>
    <xf borderId="0" fillId="30" fontId="4" numFmtId="0" xfId="0" applyAlignment="1" applyFont="1">
      <alignment horizontal="right" readingOrder="0" vertical="bottom"/>
    </xf>
    <xf borderId="0" fillId="30" fontId="6" numFmtId="0" xfId="0" applyAlignment="1" applyFont="1">
      <alignment horizontal="right" readingOrder="0" vertical="bottom"/>
    </xf>
    <xf borderId="0" fillId="30" fontId="110" numFmtId="0" xfId="0" applyAlignment="1" applyFont="1">
      <alignment vertical="bottom"/>
    </xf>
    <xf borderId="0" fillId="25" fontId="108" numFmtId="164" xfId="0" applyAlignment="1" applyFont="1" applyNumberFormat="1">
      <alignment horizontal="right" vertical="bottom"/>
    </xf>
    <xf borderId="0" fillId="25" fontId="108" numFmtId="0" xfId="0" applyAlignment="1" applyFont="1">
      <alignment vertical="bottom"/>
    </xf>
    <xf borderId="0" fillId="25" fontId="111" numFmtId="0" xfId="0" applyAlignment="1" applyFont="1">
      <alignment vertical="bottom"/>
    </xf>
    <xf borderId="0" fillId="25" fontId="108" numFmtId="0" xfId="0" applyAlignment="1" applyFont="1">
      <alignment horizontal="right" vertical="bottom"/>
    </xf>
    <xf borderId="0" fillId="25" fontId="112" numFmtId="0" xfId="0" applyAlignment="1" applyFont="1">
      <alignment vertical="bottom"/>
    </xf>
    <xf borderId="0" fillId="14" fontId="4" numFmtId="0" xfId="0" applyAlignment="1" applyFont="1">
      <alignment horizontal="right" vertical="bottom"/>
    </xf>
    <xf borderId="0" fillId="24" fontId="113" numFmtId="0" xfId="0" applyAlignment="1" applyFont="1">
      <alignment vertical="bottom"/>
    </xf>
    <xf borderId="0" fillId="24" fontId="114" numFmtId="0" xfId="0" applyAlignment="1" applyFont="1">
      <alignment horizontal="right" vertical="bottom"/>
    </xf>
    <xf borderId="0" fillId="24" fontId="115" numFmtId="0" xfId="0" applyAlignment="1" applyFont="1">
      <alignment readingOrder="0" vertical="bottom"/>
    </xf>
    <xf borderId="0" fillId="24" fontId="116" numFmtId="0" xfId="0" applyAlignment="1" applyFont="1">
      <alignment vertical="bottom"/>
    </xf>
    <xf borderId="0" fillId="24" fontId="6" numFmtId="3" xfId="0" applyAlignment="1" applyFont="1" applyNumberFormat="1">
      <alignment vertical="bottom"/>
    </xf>
    <xf borderId="0" fillId="31" fontId="4" numFmtId="165" xfId="0" applyAlignment="1" applyFont="1" applyNumberFormat="1">
      <alignment horizontal="right" vertical="bottom"/>
    </xf>
    <xf borderId="0" fillId="31" fontId="4" numFmtId="164" xfId="0" applyAlignment="1" applyFont="1" applyNumberFormat="1">
      <alignment horizontal="right" vertical="bottom"/>
    </xf>
    <xf borderId="0" fillId="31" fontId="4" numFmtId="0" xfId="0" applyAlignment="1" applyFont="1">
      <alignment vertical="bottom"/>
    </xf>
    <xf borderId="0" fillId="31" fontId="117" numFmtId="0" xfId="0" applyAlignment="1" applyFont="1">
      <alignment readingOrder="0" vertical="bottom"/>
    </xf>
    <xf borderId="0" fillId="31" fontId="6" numFmtId="0" xfId="0" applyAlignment="1" applyFont="1">
      <alignment vertical="bottom"/>
    </xf>
    <xf borderId="0" fillId="31" fontId="118" numFmtId="0" xfId="0" applyAlignment="1" applyFont="1">
      <alignment readingOrder="0" vertical="bottom"/>
    </xf>
    <xf borderId="0" fillId="31" fontId="6" numFmtId="165" xfId="0" applyAlignment="1" applyFont="1" applyNumberFormat="1">
      <alignment vertical="bottom"/>
    </xf>
    <xf borderId="0" fillId="31" fontId="6" numFmtId="164" xfId="0" applyAlignment="1" applyFont="1" applyNumberFormat="1">
      <alignment vertical="bottom"/>
    </xf>
    <xf borderId="0" fillId="31" fontId="119" numFmtId="0" xfId="0" applyAlignment="1" applyFont="1">
      <alignment vertical="bottom"/>
    </xf>
    <xf borderId="0" fillId="31" fontId="120" numFmtId="0" xfId="0" applyAlignment="1" applyFont="1">
      <alignment horizontal="right" vertical="bottom"/>
    </xf>
    <xf borderId="0" fillId="15" fontId="5" numFmtId="0" xfId="0" applyAlignment="1" applyFont="1">
      <alignment readingOrder="0"/>
    </xf>
    <xf borderId="0" fillId="15" fontId="121" numFmtId="0" xfId="0" applyAlignment="1" applyFont="1">
      <alignment vertical="bottom"/>
    </xf>
    <xf borderId="0" fillId="15" fontId="122" numFmtId="0" xfId="0" applyAlignment="1" applyFont="1">
      <alignment vertical="bottom"/>
    </xf>
    <xf borderId="0" fillId="24" fontId="4" numFmtId="170" xfId="0" applyAlignment="1" applyFont="1" applyNumberFormat="1">
      <alignment horizontal="right" vertical="bottom"/>
    </xf>
    <xf borderId="0" fillId="24" fontId="123" numFmtId="0" xfId="0" applyAlignment="1" applyFont="1">
      <alignment vertical="bottom"/>
    </xf>
    <xf borderId="0" fillId="24" fontId="124" numFmtId="0" xfId="0" applyAlignment="1" applyFont="1">
      <alignment vertical="bottom"/>
    </xf>
    <xf borderId="0" fillId="24" fontId="108" numFmtId="164" xfId="0" applyAlignment="1" applyFont="1" applyNumberFormat="1">
      <alignment horizontal="right" vertical="bottom"/>
    </xf>
    <xf borderId="0" fillId="24" fontId="30" numFmtId="0" xfId="0" applyAlignment="1" applyFont="1">
      <alignment vertical="bottom"/>
    </xf>
    <xf borderId="0" fillId="24" fontId="108" numFmtId="0" xfId="0" applyAlignment="1" applyFont="1">
      <alignment vertical="bottom"/>
    </xf>
    <xf borderId="0" fillId="0" fontId="125" numFmtId="0" xfId="0" applyAlignment="1" applyFont="1">
      <alignment vertical="bottom"/>
    </xf>
    <xf borderId="0" fillId="0" fontId="125" numFmtId="0" xfId="0" applyAlignment="1" applyFont="1">
      <alignment vertical="bottom"/>
    </xf>
    <xf borderId="0" fillId="0" fontId="126" numFmtId="0" xfId="0" applyAlignment="1" applyFont="1">
      <alignment vertical="bottom"/>
    </xf>
    <xf borderId="0" fillId="0" fontId="127" numFmtId="0" xfId="0" applyAlignment="1" applyFont="1">
      <alignment vertical="bottom"/>
    </xf>
    <xf borderId="0" fillId="22" fontId="4" numFmtId="166" xfId="0" applyAlignment="1" applyFont="1" applyNumberFormat="1">
      <alignment horizontal="right" vertical="bottom"/>
    </xf>
    <xf borderId="0" fillId="22" fontId="4" numFmtId="164" xfId="0" applyAlignment="1" applyFont="1" applyNumberFormat="1">
      <alignment horizontal="right" readingOrder="0" vertical="bottom"/>
    </xf>
    <xf borderId="0" fillId="24" fontId="4" numFmtId="0" xfId="0" applyAlignment="1" applyFont="1">
      <alignment horizontal="right" readingOrder="0" vertical="bottom"/>
    </xf>
    <xf borderId="0" fillId="30" fontId="128" numFmtId="0" xfId="0" applyAlignment="1" applyFont="1">
      <alignment readingOrder="0" vertical="bottom"/>
    </xf>
    <xf borderId="0" fillId="22" fontId="4" numFmtId="164" xfId="0" applyAlignment="1" applyFont="1" applyNumberFormat="1">
      <alignment horizontal="right" vertical="bottom"/>
    </xf>
    <xf borderId="0" fillId="15" fontId="4" numFmtId="170" xfId="0" applyAlignment="1" applyFont="1" applyNumberFormat="1">
      <alignment horizontal="right" vertical="bottom"/>
    </xf>
    <xf borderId="0" fillId="15" fontId="125" numFmtId="0" xfId="0" applyAlignment="1" applyFont="1">
      <alignment vertical="bottom"/>
    </xf>
    <xf borderId="0" fillId="15" fontId="125" numFmtId="0" xfId="0" applyAlignment="1" applyFont="1">
      <alignment vertical="bottom"/>
    </xf>
    <xf borderId="0" fillId="22" fontId="5" numFmtId="0" xfId="0" applyFont="1"/>
    <xf borderId="0" fillId="0" fontId="129" numFmtId="0" xfId="0" applyAlignment="1" applyFont="1">
      <alignment readingOrder="0" vertical="bottom"/>
    </xf>
    <xf borderId="0" fillId="24" fontId="6" numFmtId="171" xfId="0" applyAlignment="1" applyFont="1" applyNumberFormat="1">
      <alignment readingOrder="0" vertical="bottom"/>
    </xf>
    <xf borderId="0" fillId="29" fontId="130" numFmtId="0" xfId="0" applyAlignment="1" applyFont="1">
      <alignment vertical="bottom"/>
    </xf>
    <xf borderId="0" fillId="29" fontId="6" numFmtId="171" xfId="0" applyAlignment="1" applyFont="1" applyNumberFormat="1">
      <alignment readingOrder="0" vertical="bottom"/>
    </xf>
    <xf borderId="0" fillId="29" fontId="131" numFmtId="0" xfId="0" applyAlignment="1" applyFont="1">
      <alignment vertical="bottom"/>
    </xf>
    <xf borderId="0" fillId="29" fontId="6" numFmtId="0" xfId="0" applyAlignment="1" applyFont="1">
      <alignment readingOrder="0" vertical="bottom"/>
    </xf>
    <xf borderId="0" fillId="29" fontId="4" numFmtId="0" xfId="0" applyAlignment="1" applyFont="1">
      <alignment horizontal="right" vertical="bottom"/>
    </xf>
    <xf borderId="0" fillId="16" fontId="11" numFmtId="0" xfId="0" applyFont="1"/>
    <xf borderId="0" fillId="29" fontId="4" numFmtId="0" xfId="0" applyAlignment="1" applyFont="1">
      <alignment horizontal="right" readingOrder="0" vertical="bottom"/>
    </xf>
    <xf borderId="0" fillId="29" fontId="6" numFmtId="0" xfId="0" applyAlignment="1" applyFont="1">
      <alignment vertical="bottom"/>
    </xf>
    <xf borderId="0" fillId="5" fontId="5" numFmtId="0" xfId="0" applyAlignment="1" applyFont="1">
      <alignment readingOrder="0"/>
    </xf>
    <xf borderId="0" fillId="5" fontId="5" numFmtId="0" xfId="0" applyFont="1"/>
    <xf borderId="0" fillId="0" fontId="4" numFmtId="167" xfId="0" applyAlignment="1" applyFont="1" applyNumberFormat="1">
      <alignment horizontal="right" vertical="bottom"/>
    </xf>
    <xf borderId="0" fillId="33" fontId="4" numFmtId="0" xfId="0" applyAlignment="1" applyFont="1">
      <alignment vertical="bottom"/>
    </xf>
    <xf borderId="0" fillId="4" fontId="4" numFmtId="0" xfId="0" applyAlignment="1" applyFont="1">
      <alignment vertical="bottom"/>
    </xf>
    <xf borderId="0" fillId="21" fontId="132" numFmtId="0" xfId="0" applyAlignment="1" applyFont="1">
      <alignment readingOrder="0"/>
    </xf>
    <xf borderId="0" fillId="2" fontId="133" numFmtId="0" xfId="0" applyAlignment="1" applyFont="1">
      <alignment readingOrder="0" vertical="bottom"/>
    </xf>
    <xf borderId="0" fillId="5" fontId="134" numFmtId="0" xfId="0" applyAlignment="1" applyFont="1">
      <alignment readingOrder="0" vertical="bottom"/>
    </xf>
    <xf borderId="0" fillId="0" fontId="135" numFmtId="0" xfId="0" applyAlignment="1" applyFont="1">
      <alignment readingOrder="0" vertical="bottom"/>
    </xf>
    <xf borderId="0" fillId="0" fontId="4" numFmtId="0" xfId="0" applyAlignment="1" applyFont="1">
      <alignment horizontal="right" vertical="bottom"/>
    </xf>
    <xf borderId="0" fillId="24" fontId="12" numFmtId="0" xfId="0" applyAlignment="1" applyFont="1">
      <alignment vertical="bottom"/>
    </xf>
    <xf borderId="0" fillId="24" fontId="125" numFmtId="0" xfId="0" applyAlignment="1" applyFont="1">
      <alignment vertical="bottom"/>
    </xf>
    <xf borderId="0" fillId="20" fontId="50" numFmtId="0" xfId="0" applyAlignment="1" applyFont="1">
      <alignment vertical="bottom"/>
    </xf>
    <xf borderId="0" fillId="24" fontId="125" numFmtId="0" xfId="0" applyAlignment="1" applyFont="1">
      <alignment vertical="bottom"/>
    </xf>
    <xf borderId="0" fillId="15" fontId="50" numFmtId="0" xfId="0" applyAlignment="1" applyFont="1">
      <alignment horizontal="right" readingOrder="0" vertical="bottom"/>
    </xf>
    <xf borderId="0" fillId="15" fontId="52" numFmtId="0" xfId="0" applyAlignment="1" applyFont="1">
      <alignment vertical="bottom"/>
    </xf>
    <xf borderId="0" fillId="16" fontId="11" numFmtId="0" xfId="0" applyAlignment="1" applyFont="1">
      <alignment readingOrder="0"/>
    </xf>
    <xf borderId="0" fillId="16" fontId="4" numFmtId="0" xfId="0" applyAlignment="1" applyFont="1">
      <alignment vertical="bottom"/>
    </xf>
    <xf borderId="0" fillId="16" fontId="4" numFmtId="0" xfId="0" applyAlignment="1" applyFont="1">
      <alignment vertical="bottom"/>
    </xf>
    <xf borderId="0" fillId="16" fontId="4" numFmtId="164" xfId="0" applyAlignment="1" applyFont="1" applyNumberFormat="1">
      <alignment horizontal="right" vertical="bottom"/>
    </xf>
    <xf borderId="0" fillId="16" fontId="6" numFmtId="0" xfId="0" applyAlignment="1" applyFont="1">
      <alignment readingOrder="0" vertical="bottom"/>
    </xf>
    <xf borderId="0" fillId="16" fontId="4" numFmtId="0" xfId="0" applyAlignment="1" applyFont="1">
      <alignment vertical="bottom"/>
    </xf>
    <xf borderId="0" fillId="16" fontId="136" numFmtId="0" xfId="0" applyAlignment="1" applyFont="1">
      <alignment readingOrder="0" vertical="bottom"/>
    </xf>
    <xf borderId="0" fillId="16" fontId="6" numFmtId="0" xfId="0" applyAlignment="1" applyFont="1">
      <alignment vertical="bottom"/>
    </xf>
    <xf borderId="0" fillId="16" fontId="4" numFmtId="0" xfId="0" applyAlignment="1" applyFont="1">
      <alignment horizontal="right" vertical="bottom"/>
    </xf>
    <xf borderId="0" fillId="16" fontId="30" numFmtId="0" xfId="0" applyAlignment="1" applyFont="1">
      <alignment readingOrder="0" vertical="bottom"/>
    </xf>
    <xf borderId="0" fillId="16" fontId="125" numFmtId="0" xfId="0" applyAlignment="1" applyFont="1">
      <alignment vertical="bottom"/>
    </xf>
    <xf borderId="0" fillId="30" fontId="4" numFmtId="164" xfId="0" applyAlignment="1" applyFont="1" applyNumberFormat="1">
      <alignment horizontal="right" vertical="bottom"/>
    </xf>
    <xf borderId="0" fillId="30" fontId="4" numFmtId="0" xfId="0" applyAlignment="1" applyFont="1">
      <alignment horizontal="right" vertical="bottom"/>
    </xf>
    <xf borderId="0" fillId="30" fontId="4" numFmtId="170" xfId="0" applyAlignment="1" applyFont="1" applyNumberFormat="1">
      <alignment horizontal="right" vertical="bottom"/>
    </xf>
    <xf borderId="0" fillId="16" fontId="4" numFmtId="0" xfId="0" applyAlignment="1" applyFont="1">
      <alignment readingOrder="0" vertical="bottom"/>
    </xf>
    <xf borderId="0" fillId="30" fontId="108" numFmtId="0" xfId="0" applyAlignment="1" applyFont="1">
      <alignment vertical="bottom"/>
    </xf>
    <xf borderId="0" fillId="27" fontId="4" numFmtId="0" xfId="0" applyAlignment="1" applyFont="1">
      <alignment vertical="bottom"/>
    </xf>
    <xf borderId="0" fillId="27" fontId="4" numFmtId="165" xfId="0" applyAlignment="1" applyFont="1" applyNumberFormat="1">
      <alignment horizontal="right" vertical="bottom"/>
    </xf>
    <xf borderId="0" fillId="27" fontId="4" numFmtId="164" xfId="0" applyAlignment="1" applyFont="1" applyNumberFormat="1">
      <alignment horizontal="right" vertical="bottom"/>
    </xf>
    <xf borderId="0" fillId="27" fontId="4" numFmtId="0" xfId="0" applyAlignment="1" applyFont="1">
      <alignment horizontal="right" vertical="bottom"/>
    </xf>
    <xf borderId="0" fillId="27" fontId="4" numFmtId="0" xfId="0" applyAlignment="1" applyFont="1">
      <alignment vertical="bottom"/>
    </xf>
    <xf borderId="0" fillId="27" fontId="6" numFmtId="0" xfId="0" applyAlignment="1" applyFont="1">
      <alignment vertical="bottom"/>
    </xf>
    <xf borderId="0" fillId="38" fontId="4" numFmtId="0" xfId="0" applyAlignment="1" applyFill="1" applyFont="1">
      <alignment vertical="bottom"/>
    </xf>
    <xf borderId="0" fillId="38" fontId="4" numFmtId="0" xfId="0" applyAlignment="1" applyFont="1">
      <alignment readingOrder="0" vertical="bottom"/>
    </xf>
    <xf borderId="0" fillId="27" fontId="6" numFmtId="0" xfId="0" applyAlignment="1" applyFont="1">
      <alignment vertical="bottom"/>
    </xf>
    <xf borderId="0" fillId="27" fontId="108" numFmtId="0" xfId="0" applyAlignment="1" applyFont="1">
      <alignment vertical="bottom"/>
    </xf>
    <xf borderId="0" fillId="38" fontId="11" numFmtId="0" xfId="0" applyAlignment="1" applyFont="1">
      <alignment readingOrder="0"/>
    </xf>
    <xf borderId="0" fillId="38" fontId="11" numFmtId="0" xfId="0" applyFont="1"/>
    <xf borderId="0" fillId="38" fontId="4" numFmtId="0" xfId="0" applyAlignment="1" applyFont="1">
      <alignment vertical="bottom"/>
    </xf>
    <xf borderId="0" fillId="38" fontId="4" numFmtId="165" xfId="0" applyAlignment="1" applyFont="1" applyNumberFormat="1">
      <alignment horizontal="right" vertical="bottom"/>
    </xf>
    <xf borderId="0" fillId="38" fontId="6" numFmtId="0" xfId="0" applyAlignment="1" applyFont="1">
      <alignment vertical="bottom"/>
    </xf>
    <xf borderId="0" fillId="38" fontId="4" numFmtId="0" xfId="0" applyAlignment="1" applyFont="1">
      <alignment horizontal="right" vertical="bottom"/>
    </xf>
    <xf borderId="0" fillId="38" fontId="6" numFmtId="0" xfId="0" applyAlignment="1" applyFont="1">
      <alignment vertical="bottom"/>
    </xf>
    <xf borderId="0" fillId="38" fontId="4" numFmtId="0" xfId="0" applyAlignment="1" applyFont="1">
      <alignment horizontal="right" vertical="bottom"/>
    </xf>
    <xf borderId="0" fillId="22" fontId="6" numFmtId="0" xfId="0" applyAlignment="1" applyFont="1">
      <alignment horizontal="right" vertical="bottom"/>
    </xf>
    <xf borderId="0" fillId="38" fontId="6" numFmtId="0" xfId="0" applyAlignment="1" applyFont="1">
      <alignment horizontal="right" vertical="bottom"/>
    </xf>
    <xf borderId="0" fillId="19" fontId="11" numFmtId="0" xfId="0" applyFont="1"/>
    <xf borderId="0" fillId="27" fontId="108" numFmtId="0" xfId="0" applyAlignment="1" applyFont="1">
      <alignment vertical="bottom"/>
    </xf>
    <xf borderId="0" fillId="27" fontId="108" numFmtId="0" xfId="0" applyAlignment="1" applyFont="1">
      <alignment vertical="bottom"/>
    </xf>
    <xf borderId="0" fillId="38" fontId="6" numFmtId="165" xfId="0" applyAlignment="1" applyFont="1" applyNumberFormat="1">
      <alignment vertical="bottom"/>
    </xf>
    <xf borderId="0" fillId="32" fontId="6" numFmtId="0" xfId="0" applyAlignment="1" applyFont="1">
      <alignment horizontal="right" vertical="bottom"/>
    </xf>
    <xf borderId="0" fillId="38" fontId="6" numFmtId="0" xfId="0" applyAlignment="1" applyFont="1">
      <alignment readingOrder="0" vertical="bottom"/>
    </xf>
    <xf borderId="0" fillId="22" fontId="4" numFmtId="0" xfId="0" applyAlignment="1" applyFont="1">
      <alignment horizontal="right" vertical="bottom"/>
    </xf>
    <xf borderId="0" fillId="28" fontId="6" numFmtId="0" xfId="0" applyAlignment="1" applyFont="1">
      <alignment horizontal="right" vertical="bottom"/>
    </xf>
    <xf borderId="0" fillId="38" fontId="6" numFmtId="0" xfId="0" applyAlignment="1" applyFont="1">
      <alignment horizontal="right" vertical="bottom"/>
    </xf>
    <xf borderId="0" fillId="15" fontId="50" numFmtId="0" xfId="0" applyAlignment="1" applyFont="1">
      <alignment vertical="bottom"/>
    </xf>
    <xf borderId="0" fillId="24" fontId="108" numFmtId="0" xfId="0" applyAlignment="1" applyFont="1">
      <alignment vertical="bottom"/>
    </xf>
    <xf borderId="0" fillId="16" fontId="4" numFmtId="164" xfId="0" applyAlignment="1" applyFont="1" applyNumberFormat="1">
      <alignment horizontal="right" readingOrder="0" vertical="bottom"/>
    </xf>
    <xf borderId="0" fillId="16" fontId="137" numFmtId="0" xfId="0" applyAlignment="1" applyFont="1">
      <alignment vertical="bottom"/>
    </xf>
    <xf borderId="0" fillId="16" fontId="138" numFmtId="0" xfId="0" applyAlignment="1" applyFont="1">
      <alignment readingOrder="0" vertical="bottom"/>
    </xf>
    <xf borderId="0" fillId="16" fontId="6" numFmtId="0" xfId="0" applyAlignment="1" applyFont="1">
      <alignment vertical="bottom"/>
    </xf>
    <xf borderId="0" fillId="16" fontId="125" numFmtId="0" xfId="0" applyAlignment="1" applyFont="1">
      <alignment vertical="bottom"/>
    </xf>
    <xf borderId="0" fillId="16" fontId="12" numFmtId="0" xfId="0" applyAlignment="1" applyFont="1">
      <alignment vertical="bottom"/>
    </xf>
    <xf borderId="0" fillId="30" fontId="12" numFmtId="0" xfId="0" applyAlignment="1" applyFont="1">
      <alignment vertical="bottom"/>
    </xf>
    <xf borderId="0" fillId="30" fontId="6" numFmtId="0" xfId="0" applyAlignment="1" applyFont="1">
      <alignment horizontal="right" vertical="bottom"/>
    </xf>
    <xf borderId="0" fillId="30" fontId="139" numFmtId="0" xfId="0" applyAlignment="1" applyFont="1">
      <alignment vertical="bottom"/>
    </xf>
    <xf borderId="0" fillId="0" fontId="6" numFmtId="164" xfId="0" applyAlignment="1" applyFont="1" applyNumberFormat="1">
      <alignment vertical="bottom"/>
    </xf>
    <xf borderId="0" fillId="31" fontId="125" numFmtId="0" xfId="0" applyAlignment="1" applyFont="1">
      <alignment vertical="bottom"/>
    </xf>
    <xf borderId="0" fillId="31" fontId="125" numFmtId="0" xfId="0" applyAlignment="1" applyFont="1">
      <alignment vertical="bottom"/>
    </xf>
    <xf borderId="0" fillId="31" fontId="140" numFmtId="0" xfId="0" applyAlignment="1" applyFont="1">
      <alignment vertical="bottom"/>
    </xf>
    <xf borderId="0" fillId="31" fontId="140" numFmtId="0" xfId="0" applyAlignment="1" applyFont="1">
      <alignment vertical="bottom"/>
    </xf>
    <xf borderId="0" fillId="0" fontId="141" numFmtId="0" xfId="0" applyAlignment="1" applyFont="1">
      <alignment readingOrder="0"/>
    </xf>
    <xf borderId="0" fillId="24" fontId="6" numFmtId="164" xfId="0" applyAlignment="1" applyFont="1" applyNumberFormat="1">
      <alignment vertical="bottom"/>
    </xf>
    <xf borderId="0" fillId="24" fontId="50" numFmtId="0" xfId="0" applyAlignment="1" applyFont="1">
      <alignment vertical="bottom"/>
    </xf>
    <xf borderId="0" fillId="24" fontId="142" numFmtId="0" xfId="0" applyAlignment="1" applyFont="1">
      <alignment readingOrder="0" vertical="bottom"/>
    </xf>
    <xf borderId="0" fillId="15" fontId="143" numFmtId="0" xfId="0" applyAlignment="1" applyFont="1">
      <alignment readingOrder="0" vertical="bottom"/>
    </xf>
    <xf borderId="0" fillId="15" fontId="4" numFmtId="0" xfId="0" applyAlignment="1" applyFont="1">
      <alignment horizontal="right" vertical="bottom"/>
    </xf>
    <xf borderId="0" fillId="15" fontId="6" numFmtId="164" xfId="0" applyAlignment="1" applyFont="1" applyNumberFormat="1">
      <alignment vertical="bottom"/>
    </xf>
    <xf borderId="0" fillId="35" fontId="4" numFmtId="164" xfId="0" applyAlignment="1" applyFont="1" applyNumberFormat="1">
      <alignment horizontal="right" vertical="bottom"/>
    </xf>
    <xf borderId="0" fillId="35" fontId="4" numFmtId="164" xfId="0" applyAlignment="1" applyFont="1" applyNumberFormat="1">
      <alignment horizontal="right" readingOrder="0" vertical="bottom"/>
    </xf>
    <xf borderId="0" fillId="35" fontId="144" numFmtId="0" xfId="0" applyAlignment="1" applyFont="1">
      <alignment vertical="bottom"/>
    </xf>
    <xf borderId="0" fillId="35" fontId="6" numFmtId="0" xfId="0" applyAlignment="1" applyFont="1">
      <alignment vertical="bottom"/>
    </xf>
    <xf borderId="0" fillId="32" fontId="6" numFmtId="0" xfId="0" applyAlignment="1" applyFont="1">
      <alignment vertical="bottom"/>
    </xf>
    <xf borderId="0" fillId="32" fontId="6" numFmtId="0" xfId="0" applyAlignment="1" applyFont="1">
      <alignment vertical="bottom"/>
    </xf>
    <xf borderId="0" fillId="0" fontId="4" numFmtId="171" xfId="0" applyAlignment="1" applyFont="1" applyNumberFormat="1">
      <alignment horizontal="right" vertical="bottom"/>
    </xf>
    <xf borderId="0" fillId="32" fontId="4" numFmtId="0" xfId="0" applyAlignment="1" applyFont="1">
      <alignment horizontal="right" readingOrder="0" vertical="bottom"/>
    </xf>
    <xf borderId="0" fillId="32" fontId="4" numFmtId="0" xfId="0" applyAlignment="1" applyFont="1">
      <alignment horizontal="right" vertical="bottom"/>
    </xf>
    <xf borderId="0" fillId="22" fontId="4" numFmtId="171" xfId="0" applyAlignment="1" applyFont="1" applyNumberFormat="1">
      <alignment horizontal="right" vertical="bottom"/>
    </xf>
    <xf borderId="0" fillId="22" fontId="145" numFmtId="0" xfId="0" applyAlignment="1" applyFont="1">
      <alignment readingOrder="0" vertical="bottom"/>
    </xf>
    <xf borderId="0" fillId="22" fontId="4" numFmtId="0" xfId="0" applyAlignment="1" applyFont="1">
      <alignment horizontal="right" readingOrder="0" vertical="bottom"/>
    </xf>
    <xf borderId="0" fillId="22" fontId="6" numFmtId="165" xfId="0" applyAlignment="1" applyFont="1" applyNumberFormat="1">
      <alignment vertical="bottom"/>
    </xf>
    <xf borderId="0" fillId="21" fontId="146" numFmtId="0" xfId="0" applyAlignment="1" applyFont="1">
      <alignment vertical="bottom"/>
    </xf>
    <xf borderId="0" fillId="21" fontId="50" numFmtId="0" xfId="0" applyAlignment="1" applyFont="1">
      <alignment horizontal="right" vertical="bottom"/>
    </xf>
    <xf borderId="0" fillId="21" fontId="50" numFmtId="0" xfId="0" applyAlignment="1" applyFont="1">
      <alignment vertical="bottom"/>
    </xf>
    <xf borderId="0" fillId="21" fontId="50" numFmtId="0" xfId="0" applyAlignment="1" applyFont="1">
      <alignment vertical="bottom"/>
    </xf>
    <xf borderId="0" fillId="21" fontId="50" numFmtId="0" xfId="0" applyAlignment="1" applyFont="1">
      <alignment vertical="bottom"/>
    </xf>
    <xf borderId="0" fillId="21" fontId="52" numFmtId="0" xfId="0" applyAlignment="1" applyFont="1">
      <alignment vertical="bottom"/>
    </xf>
    <xf borderId="0" fillId="32" fontId="5" numFmtId="0" xfId="0" applyFont="1"/>
    <xf borderId="0" fillId="32" fontId="5" numFmtId="164" xfId="0" applyAlignment="1" applyFont="1" applyNumberFormat="1">
      <alignment readingOrder="0"/>
    </xf>
    <xf borderId="0" fillId="32" fontId="12" numFmtId="0" xfId="0" applyAlignment="1" applyFont="1">
      <alignment readingOrder="0"/>
    </xf>
    <xf borderId="0" fillId="32" fontId="147" numFmtId="0" xfId="0" applyAlignment="1" applyFont="1">
      <alignment readingOrder="0"/>
    </xf>
    <xf borderId="0" fillId="5" fontId="148" numFmtId="0" xfId="0" applyAlignment="1" applyFont="1">
      <alignment readingOrder="0"/>
    </xf>
    <xf borderId="0" fillId="35" fontId="5" numFmtId="0" xfId="0" applyFont="1"/>
    <xf borderId="0" fillId="35" fontId="5" numFmtId="164" xfId="0" applyAlignment="1" applyFont="1" applyNumberFormat="1">
      <alignment readingOrder="0"/>
    </xf>
    <xf borderId="0" fillId="35" fontId="149" numFmtId="0" xfId="0" applyAlignment="1" applyFont="1">
      <alignment readingOrder="0"/>
    </xf>
    <xf borderId="0" fillId="35" fontId="12" numFmtId="0" xfId="0" applyAlignment="1" applyFont="1">
      <alignment readingOrder="0"/>
    </xf>
    <xf borderId="0" fillId="18" fontId="11" numFmtId="0" xfId="0" applyFont="1"/>
    <xf borderId="0" fillId="15" fontId="5" numFmtId="0" xfId="0" applyFont="1"/>
    <xf borderId="0" fillId="15" fontId="150" numFmtId="0" xfId="0" applyAlignment="1" applyFont="1">
      <alignment readingOrder="0" vertical="bottom"/>
    </xf>
    <xf borderId="0" fillId="15" fontId="12" numFmtId="0" xfId="0" applyAlignment="1" applyFont="1">
      <alignment readingOrder="0" vertical="bottom"/>
    </xf>
    <xf borderId="0" fillId="24" fontId="151" numFmtId="0" xfId="0" applyAlignment="1" applyFont="1">
      <alignment readingOrder="0" vertical="bottom"/>
    </xf>
    <xf borderId="0" fillId="24" fontId="12" numFmtId="0" xfId="0" applyAlignment="1" applyFont="1">
      <alignment readingOrder="0" vertical="bottom"/>
    </xf>
    <xf borderId="0" fillId="15" fontId="4" numFmtId="164" xfId="0" applyAlignment="1" applyFont="1" applyNumberFormat="1">
      <alignment horizontal="right" readingOrder="0" vertical="bottom"/>
    </xf>
    <xf borderId="0" fillId="15" fontId="4" numFmtId="0" xfId="0" applyAlignment="1" applyFont="1">
      <alignment shrinkToFit="0" vertical="bottom" wrapText="0"/>
    </xf>
    <xf borderId="0" fillId="15" fontId="4" numFmtId="0" xfId="0" applyAlignment="1" applyFont="1">
      <alignment horizontal="right" shrinkToFit="0" vertical="bottom" wrapText="0"/>
    </xf>
    <xf borderId="0" fillId="15" fontId="6" numFmtId="49" xfId="0" applyAlignment="1" applyFont="1" applyNumberFormat="1">
      <alignment readingOrder="0" shrinkToFit="0" vertical="bottom" wrapText="0"/>
    </xf>
    <xf borderId="0" fillId="15" fontId="4" numFmtId="49" xfId="0" applyAlignment="1" applyFont="1" applyNumberFormat="1">
      <alignment shrinkToFit="0" vertical="bottom" wrapText="0"/>
    </xf>
    <xf borderId="0" fillId="15" fontId="4" numFmtId="0" xfId="0" applyAlignment="1" applyFont="1">
      <alignment horizontal="right" shrinkToFit="0" vertical="bottom" wrapText="0"/>
    </xf>
    <xf borderId="0" fillId="15" fontId="6" numFmtId="0" xfId="0" applyAlignment="1" applyFont="1">
      <alignment shrinkToFit="0" vertical="bottom" wrapText="0"/>
    </xf>
    <xf borderId="0" fillId="32" fontId="152" numFmtId="0" xfId="0" applyAlignment="1" applyFont="1">
      <alignment vertical="bottom"/>
    </xf>
    <xf borderId="0" fillId="32" fontId="6" numFmtId="165" xfId="0" applyAlignment="1" applyFont="1" applyNumberFormat="1">
      <alignment vertical="bottom"/>
    </xf>
    <xf borderId="0" fillId="0" fontId="2" numFmtId="0" xfId="0" applyAlignment="1" applyFont="1">
      <alignment horizontal="right" vertical="bottom"/>
    </xf>
    <xf borderId="0" fillId="0" fontId="4" numFmtId="0" xfId="0" applyAlignment="1" applyFont="1">
      <alignment horizontal="right" shrinkToFit="0" vertical="bottom" wrapText="0"/>
    </xf>
    <xf borderId="0" fillId="0" fontId="6" numFmtId="49" xfId="0" applyAlignment="1" applyFont="1" applyNumberFormat="1">
      <alignment readingOrder="0" shrinkToFit="0" vertical="bottom" wrapText="0"/>
    </xf>
    <xf borderId="0" fillId="0" fontId="4" numFmtId="49" xfId="0" applyAlignment="1" applyFont="1" applyNumberFormat="1">
      <alignment shrinkToFit="0" vertical="bottom" wrapText="0"/>
    </xf>
    <xf borderId="0" fillId="0" fontId="4" numFmtId="0" xfId="0" applyAlignment="1" applyFont="1">
      <alignment horizontal="right" shrinkToFit="0" vertical="bottom" wrapText="0"/>
    </xf>
    <xf borderId="0" fillId="0" fontId="6" numFmtId="0" xfId="0" applyAlignment="1" applyFont="1">
      <alignment shrinkToFit="0" vertical="bottom" wrapText="0"/>
    </xf>
    <xf borderId="0" fillId="27" fontId="4" numFmtId="0" xfId="0" applyAlignment="1" applyFont="1">
      <alignment horizontal="right" vertical="bottom"/>
    </xf>
    <xf borderId="0" fillId="27" fontId="6" numFmtId="165" xfId="0" applyAlignment="1" applyFont="1" applyNumberFormat="1">
      <alignment vertical="bottom"/>
    </xf>
    <xf borderId="0" fillId="24" fontId="153" numFmtId="0" xfId="0" applyAlignment="1" applyFont="1">
      <alignment vertical="bottom"/>
    </xf>
    <xf borderId="0" fillId="24" fontId="154" numFmtId="0" xfId="0" applyAlignment="1" applyFont="1">
      <alignment horizontal="right" vertical="bottom"/>
    </xf>
    <xf borderId="0" fillId="24" fontId="155" numFmtId="0" xfId="0" applyAlignment="1" applyFont="1">
      <alignment vertical="bottom"/>
    </xf>
    <xf borderId="0" fillId="24" fontId="156" numFmtId="0" xfId="0" applyAlignment="1" applyFont="1">
      <alignment vertical="bottom"/>
    </xf>
    <xf borderId="0" fillId="19" fontId="11" numFmtId="0" xfId="0" applyAlignment="1" applyFont="1">
      <alignment readingOrder="0"/>
    </xf>
    <xf borderId="0" fillId="19" fontId="4" numFmtId="0" xfId="0" applyAlignment="1" applyFont="1">
      <alignment vertical="bottom"/>
    </xf>
    <xf borderId="0" fillId="19" fontId="4" numFmtId="0" xfId="0" applyAlignment="1" applyFont="1">
      <alignment vertical="bottom"/>
    </xf>
    <xf borderId="0" fillId="19" fontId="4" numFmtId="164" xfId="0" applyAlignment="1" applyFont="1" applyNumberFormat="1">
      <alignment horizontal="right" vertical="bottom"/>
    </xf>
    <xf borderId="0" fillId="19" fontId="6" numFmtId="0" xfId="0" applyAlignment="1" applyFont="1">
      <alignment vertical="bottom"/>
    </xf>
    <xf borderId="0" fillId="19" fontId="4" numFmtId="0" xfId="0" applyAlignment="1" applyFont="1">
      <alignment horizontal="right" vertical="bottom"/>
    </xf>
    <xf borderId="0" fillId="19" fontId="4" numFmtId="0" xfId="0" applyAlignment="1" applyFont="1">
      <alignment vertical="bottom"/>
    </xf>
    <xf borderId="0" fillId="19" fontId="57" numFmtId="0" xfId="0" applyAlignment="1" applyFont="1">
      <alignment horizontal="right" vertical="bottom"/>
    </xf>
    <xf borderId="0" fillId="19" fontId="12" numFmtId="0" xfId="0" applyAlignment="1" applyFont="1">
      <alignment readingOrder="0" vertical="bottom"/>
    </xf>
    <xf borderId="0" fillId="25" fontId="12" numFmtId="0" xfId="0" applyAlignment="1" applyFont="1">
      <alignment vertical="bottom"/>
    </xf>
    <xf borderId="0" fillId="19" fontId="4" numFmtId="3" xfId="0" applyAlignment="1" applyFont="1" applyNumberFormat="1">
      <alignment horizontal="right" vertical="bottom"/>
    </xf>
    <xf borderId="0" fillId="19" fontId="6" numFmtId="0" xfId="0" applyAlignment="1" applyFont="1">
      <alignment vertical="bottom"/>
    </xf>
    <xf borderId="0" fillId="19" fontId="6" numFmtId="0" xfId="0" applyAlignment="1" applyFont="1">
      <alignment vertical="bottom"/>
    </xf>
    <xf borderId="0" fillId="19" fontId="157" numFmtId="0" xfId="0" applyAlignment="1" applyFont="1">
      <alignment vertical="bottom"/>
    </xf>
    <xf borderId="0" fillId="25" fontId="4" numFmtId="165" xfId="0" applyAlignment="1" applyFont="1" applyNumberFormat="1">
      <alignment horizontal="right" vertical="bottom"/>
    </xf>
    <xf borderId="0" fillId="25" fontId="158" numFmtId="0" xfId="0" applyAlignment="1" applyFont="1">
      <alignment readingOrder="0" vertical="bottom"/>
    </xf>
    <xf borderId="0" fillId="19" fontId="12" numFmtId="0" xfId="0" applyAlignment="1" applyFont="1">
      <alignment horizontal="right" vertical="bottom"/>
    </xf>
    <xf borderId="0" fillId="25" fontId="35" numFmtId="0" xfId="0" applyAlignment="1" applyFont="1">
      <alignment readingOrder="0" vertical="bottom"/>
    </xf>
    <xf borderId="0" fillId="25" fontId="159" numFmtId="0" xfId="0" applyAlignment="1" applyFont="1">
      <alignment vertical="bottom"/>
    </xf>
    <xf borderId="0" fillId="25" fontId="160" numFmtId="0" xfId="0" applyAlignment="1" applyFont="1">
      <alignment horizontal="right" vertical="bottom"/>
    </xf>
    <xf borderId="0" fillId="19" fontId="6" numFmtId="165" xfId="0" applyAlignment="1" applyFont="1" applyNumberFormat="1">
      <alignment vertical="bottom"/>
    </xf>
    <xf borderId="0" fillId="19" fontId="4" numFmtId="0" xfId="0" applyAlignment="1" applyFont="1">
      <alignment horizontal="right" vertical="bottom"/>
    </xf>
    <xf borderId="0" fillId="21" fontId="161" numFmtId="0" xfId="0" applyAlignment="1" applyFont="1">
      <alignment horizontal="left" readingOrder="0"/>
    </xf>
    <xf borderId="0" fillId="0" fontId="6" numFmtId="165" xfId="0" applyAlignment="1" applyFont="1" applyNumberFormat="1">
      <alignment vertical="bottom"/>
    </xf>
    <xf borderId="0" fillId="0" fontId="162" numFmtId="0" xfId="0" applyAlignment="1" applyFont="1">
      <alignment horizontal="right" vertical="bottom"/>
    </xf>
    <xf borderId="0" fillId="0" fontId="4" numFmtId="3" xfId="0" applyAlignment="1" applyFont="1" applyNumberFormat="1">
      <alignment horizontal="right" vertical="bottom"/>
    </xf>
    <xf borderId="0" fillId="21" fontId="54" numFmtId="0" xfId="0" applyAlignment="1" applyFont="1">
      <alignment readingOrder="0"/>
    </xf>
    <xf borderId="0" fillId="21" fontId="163" numFmtId="0" xfId="0" applyAlignment="1" applyFont="1">
      <alignment readingOrder="0"/>
    </xf>
    <xf borderId="0" fillId="21" fontId="164" numFmtId="0" xfId="0" applyAlignment="1" applyFont="1">
      <alignment vertical="bottom"/>
    </xf>
    <xf borderId="0" fillId="21" fontId="165" numFmtId="0" xfId="0" applyAlignment="1" applyFont="1">
      <alignment readingOrder="0" vertical="bottom"/>
    </xf>
    <xf borderId="0" fillId="22" fontId="5" numFmtId="165" xfId="0" applyAlignment="1" applyFont="1" applyNumberFormat="1">
      <alignment readingOrder="0"/>
    </xf>
    <xf borderId="0" fillId="22" fontId="166" numFmtId="0" xfId="0" applyAlignment="1" applyFont="1">
      <alignment readingOrder="0"/>
    </xf>
    <xf borderId="0" fillId="22" fontId="12" numFmtId="0" xfId="0" applyAlignment="1" applyFont="1">
      <alignment vertical="bottom"/>
    </xf>
    <xf borderId="0" fillId="22" fontId="167" numFmtId="0" xfId="0" applyAlignment="1" applyFont="1">
      <alignment readingOrder="0"/>
    </xf>
    <xf borderId="0" fillId="22" fontId="168" numFmtId="0" xfId="0" applyAlignment="1" applyFont="1">
      <alignment readingOrder="0"/>
    </xf>
    <xf borderId="0" fillId="22" fontId="12" numFmtId="0" xfId="0" applyAlignment="1" applyFont="1">
      <alignment readingOrder="0"/>
    </xf>
    <xf borderId="0" fillId="22" fontId="4" numFmtId="0" xfId="0" applyAlignment="1" applyFont="1">
      <alignment horizontal="right" vertical="bottom"/>
    </xf>
    <xf borderId="0" fillId="22" fontId="169" numFmtId="0" xfId="0" applyAlignment="1" applyFont="1">
      <alignment readingOrder="0"/>
    </xf>
    <xf borderId="0" fillId="22" fontId="170" numFmtId="0" xfId="0" applyAlignment="1" applyFont="1">
      <alignment vertical="bottom"/>
    </xf>
    <xf borderId="0" fillId="21" fontId="54" numFmtId="0" xfId="0" applyAlignment="1" applyFont="1">
      <alignment vertical="bottom"/>
    </xf>
    <xf borderId="0" fillId="21" fontId="171" numFmtId="0" xfId="0" applyAlignment="1" applyFont="1">
      <alignment readingOrder="0"/>
    </xf>
    <xf borderId="0" fillId="21" fontId="172" numFmtId="0" xfId="0" applyAlignment="1" applyFont="1">
      <alignment vertical="bottom"/>
    </xf>
    <xf borderId="0" fillId="30" fontId="173" numFmtId="0" xfId="0" applyAlignment="1" applyFont="1">
      <alignment readingOrder="0" vertical="bottom"/>
    </xf>
    <xf borderId="0" fillId="30" fontId="174" numFmtId="0" xfId="0" applyAlignment="1" applyFont="1">
      <alignment readingOrder="0" vertical="bottom"/>
    </xf>
    <xf borderId="0" fillId="30" fontId="175" numFmtId="0" xfId="0" applyAlignment="1" applyFont="1">
      <alignment vertical="bottom"/>
    </xf>
    <xf borderId="0" fillId="27" fontId="5" numFmtId="165" xfId="0" applyAlignment="1" applyFont="1" applyNumberFormat="1">
      <alignment readingOrder="0"/>
    </xf>
    <xf borderId="0" fillId="27" fontId="6" numFmtId="0" xfId="0" applyAlignment="1" applyFont="1">
      <alignment horizontal="right" vertical="bottom"/>
    </xf>
    <xf borderId="0" fillId="32" fontId="5" numFmtId="165" xfId="0" applyAlignment="1" applyFont="1" applyNumberFormat="1">
      <alignment readingOrder="0"/>
    </xf>
    <xf quotePrefix="1" borderId="0" fillId="32" fontId="5" numFmtId="0" xfId="0" applyAlignment="1" applyFont="1">
      <alignment readingOrder="0"/>
    </xf>
    <xf borderId="0" fillId="32" fontId="50" numFmtId="0" xfId="0" applyAlignment="1" applyFont="1">
      <alignment horizontal="right" vertical="bottom"/>
    </xf>
    <xf quotePrefix="1" borderId="0" fillId="32" fontId="11" numFmtId="0" xfId="0" applyAlignment="1" applyFont="1">
      <alignment readingOrder="0"/>
    </xf>
    <xf borderId="0" fillId="21" fontId="176" numFmtId="0" xfId="0" applyAlignment="1" applyFont="1">
      <alignment horizontal="right" readingOrder="0" vertical="bottom"/>
    </xf>
    <xf borderId="0" fillId="21" fontId="50" numFmtId="0" xfId="0" applyAlignment="1" applyFont="1">
      <alignment horizontal="right" readingOrder="0" vertical="bottom"/>
    </xf>
    <xf borderId="0" fillId="25" fontId="5" numFmtId="165" xfId="0" applyAlignment="1" applyFont="1" applyNumberFormat="1">
      <alignment readingOrder="0"/>
    </xf>
    <xf borderId="0" fillId="25" fontId="177" numFmtId="0" xfId="0" applyAlignment="1" applyFont="1">
      <alignment readingOrder="0" vertical="bottom"/>
    </xf>
    <xf borderId="0" fillId="25" fontId="178" numFmtId="0" xfId="0" applyAlignment="1" applyFont="1">
      <alignment vertical="bottom"/>
    </xf>
    <xf borderId="0" fillId="19" fontId="5" numFmtId="0" xfId="0" applyFont="1"/>
    <xf borderId="0" fillId="19" fontId="5" numFmtId="0" xfId="0" applyAlignment="1" applyFont="1">
      <alignment readingOrder="0"/>
    </xf>
    <xf borderId="0" fillId="19" fontId="108" numFmtId="0" xfId="0" applyAlignment="1" applyFont="1">
      <alignment vertical="bottom"/>
    </xf>
    <xf borderId="0" fillId="19" fontId="108" numFmtId="0" xfId="0" applyAlignment="1" applyFont="1">
      <alignment vertical="bottom"/>
    </xf>
    <xf borderId="0" fillId="19" fontId="108" numFmtId="165" xfId="0" applyAlignment="1" applyFont="1" applyNumberFormat="1">
      <alignment horizontal="right" vertical="bottom"/>
    </xf>
    <xf borderId="0" fillId="5" fontId="179" numFmtId="0" xfId="0" applyAlignment="1" applyFont="1">
      <alignment readingOrder="0" vertical="bottom"/>
    </xf>
    <xf borderId="0" fillId="19" fontId="180" numFmtId="0" xfId="0" applyAlignment="1" applyFont="1">
      <alignment readingOrder="0" vertical="bottom"/>
    </xf>
    <xf borderId="0" fillId="5" fontId="84" numFmtId="0" xfId="0" applyAlignment="1" applyFont="1">
      <alignment readingOrder="0" vertical="bottom"/>
    </xf>
    <xf borderId="0" fillId="19" fontId="181" numFmtId="0" xfId="0" applyAlignment="1" applyFont="1">
      <alignment vertical="bottom"/>
    </xf>
    <xf borderId="0" fillId="19" fontId="4" numFmtId="0" xfId="0" applyAlignment="1" applyFont="1">
      <alignment horizontal="right" vertical="bottom"/>
    </xf>
    <xf borderId="0" fillId="19" fontId="6" numFmtId="0" xfId="0" applyAlignment="1" applyFont="1">
      <alignment readingOrder="0" vertical="bottom"/>
    </xf>
    <xf borderId="0" fillId="15" fontId="182" numFmtId="0" xfId="0" applyAlignment="1" applyFont="1">
      <alignment readingOrder="0" vertical="bottom"/>
    </xf>
    <xf borderId="0" fillId="6" fontId="54" numFmtId="0" xfId="0" applyAlignment="1" applyFont="1">
      <alignment vertical="bottom"/>
    </xf>
    <xf borderId="0" fillId="15" fontId="183" numFmtId="0" xfId="0" applyAlignment="1" applyFont="1">
      <alignment vertical="bottom"/>
    </xf>
    <xf borderId="0" fillId="15" fontId="184" numFmtId="0" xfId="0" applyAlignment="1" applyFont="1">
      <alignment vertical="bottom"/>
    </xf>
    <xf borderId="0" fillId="6" fontId="11" numFmtId="0" xfId="0" applyAlignment="1" applyFont="1">
      <alignment readingOrder="0"/>
    </xf>
    <xf borderId="0" fillId="6" fontId="11" numFmtId="0" xfId="0" applyFont="1"/>
    <xf borderId="0" fillId="6" fontId="4" numFmtId="0" xfId="0" applyAlignment="1" applyFont="1">
      <alignment vertical="bottom"/>
    </xf>
    <xf borderId="0" fillId="6" fontId="4" numFmtId="0" xfId="0" applyAlignment="1" applyFont="1">
      <alignment vertical="bottom"/>
    </xf>
    <xf borderId="0" fillId="6" fontId="4" numFmtId="165" xfId="0" applyAlignment="1" applyFont="1" applyNumberFormat="1">
      <alignment horizontal="right" vertical="bottom"/>
    </xf>
    <xf borderId="0" fillId="6" fontId="6" numFmtId="0" xfId="0" applyAlignment="1" applyFont="1">
      <alignment vertical="bottom"/>
    </xf>
    <xf borderId="0" fillId="6" fontId="185" numFmtId="0" xfId="0" applyAlignment="1" applyFont="1">
      <alignment readingOrder="0" vertical="bottom"/>
    </xf>
    <xf borderId="0" fillId="6" fontId="186" numFmtId="0" xfId="0" applyAlignment="1" applyFont="1">
      <alignment vertical="bottom"/>
    </xf>
    <xf borderId="0" fillId="6" fontId="4" numFmtId="0" xfId="0" applyAlignment="1" applyFont="1">
      <alignment horizontal="right" vertical="bottom"/>
    </xf>
    <xf borderId="0" fillId="6" fontId="4" numFmtId="0" xfId="0" applyAlignment="1" applyFont="1">
      <alignment horizontal="right" vertical="bottom"/>
    </xf>
    <xf borderId="0" fillId="6" fontId="187" numFmtId="0" xfId="0" applyAlignment="1" applyFont="1">
      <alignment vertical="bottom"/>
    </xf>
    <xf borderId="0" fillId="6" fontId="188" numFmtId="0" xfId="0" applyAlignment="1" applyFont="1">
      <alignment vertical="bottom"/>
    </xf>
    <xf borderId="0" fillId="25" fontId="125" numFmtId="0" xfId="0" applyAlignment="1" applyFont="1">
      <alignment vertical="bottom"/>
    </xf>
    <xf borderId="0" fillId="25" fontId="84" numFmtId="0" xfId="0" applyAlignment="1" applyFont="1">
      <alignment readingOrder="0" vertical="bottom"/>
    </xf>
    <xf borderId="0" fillId="25" fontId="128" numFmtId="0" xfId="0" applyAlignment="1" applyFont="1">
      <alignment readingOrder="0" vertical="bottom"/>
    </xf>
    <xf borderId="0" fillId="35" fontId="125" numFmtId="0" xfId="0" applyAlignment="1" applyFont="1">
      <alignment vertical="bottom"/>
    </xf>
    <xf borderId="0" fillId="35" fontId="4" numFmtId="0" xfId="0" applyAlignment="1" applyFont="1">
      <alignment horizontal="right" vertical="bottom"/>
    </xf>
    <xf borderId="0" fillId="35" fontId="189" numFmtId="0" xfId="0" applyAlignment="1" applyFont="1">
      <alignment readingOrder="0" vertical="bottom"/>
    </xf>
    <xf borderId="0" fillId="35" fontId="190" numFmtId="0" xfId="0" applyAlignment="1" applyFont="1">
      <alignment vertical="bottom"/>
    </xf>
    <xf borderId="0" fillId="35" fontId="84" numFmtId="0" xfId="0" applyAlignment="1" applyFont="1">
      <alignment readingOrder="0" vertical="bottom"/>
    </xf>
    <xf borderId="0" fillId="35" fontId="4" numFmtId="0" xfId="0" applyAlignment="1" applyFont="1">
      <alignment horizontal="right" vertical="bottom"/>
    </xf>
    <xf borderId="1" fillId="25" fontId="4" numFmtId="0" xfId="0" applyAlignment="1" applyBorder="1" applyFont="1">
      <alignment vertical="bottom"/>
    </xf>
    <xf borderId="1" fillId="35" fontId="4" numFmtId="0" xfId="0" applyAlignment="1" applyBorder="1" applyFont="1">
      <alignment vertical="bottom"/>
    </xf>
    <xf borderId="1" fillId="25" fontId="6" numFmtId="0" xfId="0" applyAlignment="1" applyBorder="1" applyFont="1">
      <alignment vertical="bottom"/>
    </xf>
    <xf borderId="1" fillId="25" fontId="125" numFmtId="0" xfId="0" applyAlignment="1" applyBorder="1" applyFont="1">
      <alignment vertical="bottom"/>
    </xf>
    <xf borderId="1" fillId="25" fontId="4" numFmtId="165" xfId="0" applyAlignment="1" applyBorder="1" applyFont="1" applyNumberFormat="1">
      <alignment horizontal="right" vertical="bottom"/>
    </xf>
    <xf borderId="1" fillId="25" fontId="4" numFmtId="164" xfId="0" applyAlignment="1" applyBorder="1" applyFont="1" applyNumberFormat="1">
      <alignment horizontal="right" vertical="bottom"/>
    </xf>
    <xf borderId="1" fillId="25" fontId="4" numFmtId="0" xfId="0" applyAlignment="1" applyBorder="1" applyFont="1">
      <alignment vertical="bottom"/>
    </xf>
    <xf borderId="1" fillId="25" fontId="4" numFmtId="0" xfId="0" applyAlignment="1" applyBorder="1" applyFont="1">
      <alignment horizontal="right" vertical="bottom"/>
    </xf>
    <xf borderId="1" fillId="25" fontId="4" numFmtId="0" xfId="0" applyAlignment="1" applyBorder="1" applyFont="1">
      <alignment horizontal="right" vertical="bottom"/>
    </xf>
    <xf borderId="1" fillId="25" fontId="4" numFmtId="0" xfId="0" applyAlignment="1" applyBorder="1" applyFont="1">
      <alignment vertical="bottom"/>
    </xf>
    <xf borderId="1" fillId="35" fontId="4" numFmtId="0" xfId="0" applyAlignment="1" applyBorder="1" applyFont="1">
      <alignment vertical="bottom"/>
    </xf>
    <xf borderId="1" fillId="23" fontId="5" numFmtId="0" xfId="0" applyAlignment="1" applyBorder="1" applyFont="1">
      <alignment readingOrder="0"/>
    </xf>
    <xf borderId="1" fillId="23" fontId="4" numFmtId="0" xfId="0" applyAlignment="1" applyBorder="1" applyFont="1">
      <alignment vertical="bottom"/>
    </xf>
    <xf borderId="0" fillId="28" fontId="191" numFmtId="0" xfId="0" applyAlignment="1" applyFont="1">
      <alignment vertical="bottom"/>
    </xf>
    <xf borderId="1" fillId="28" fontId="4" numFmtId="0" xfId="0" applyAlignment="1" applyBorder="1" applyFont="1">
      <alignment vertical="bottom"/>
    </xf>
    <xf borderId="0" fillId="28" fontId="192" numFmtId="0" xfId="0" applyAlignment="1" applyFont="1">
      <alignment readingOrder="0" vertical="bottom"/>
    </xf>
    <xf borderId="0" fillId="28" fontId="193" numFmtId="0" xfId="0" applyAlignment="1" applyFont="1">
      <alignment readingOrder="0" vertical="bottom"/>
    </xf>
    <xf borderId="0" fillId="28" fontId="54" numFmtId="0" xfId="0" applyAlignment="1" applyFont="1">
      <alignment horizontal="right" readingOrder="0" vertical="bottom"/>
    </xf>
    <xf borderId="0" fillId="28" fontId="54" numFmtId="0" xfId="0" applyAlignment="1" applyFont="1">
      <alignment horizontal="right" vertical="bottom"/>
    </xf>
    <xf borderId="1" fillId="22" fontId="194" numFmtId="0" xfId="0" applyAlignment="1" applyBorder="1" applyFont="1">
      <alignment vertical="bottom"/>
    </xf>
    <xf borderId="0" fillId="28" fontId="195" numFmtId="0" xfId="0" applyAlignment="1" applyFont="1">
      <alignment readingOrder="0" vertical="bottom"/>
    </xf>
    <xf borderId="1" fillId="27" fontId="6" numFmtId="0" xfId="0" applyAlignment="1" applyBorder="1" applyFont="1">
      <alignment vertical="bottom"/>
    </xf>
    <xf borderId="1" fillId="27" fontId="191" numFmtId="0" xfId="0" applyAlignment="1" applyBorder="1" applyFont="1">
      <alignment vertical="bottom"/>
    </xf>
    <xf borderId="1" fillId="27" fontId="4" numFmtId="0" xfId="0" applyAlignment="1" applyBorder="1" applyFont="1">
      <alignment vertical="bottom"/>
    </xf>
    <xf borderId="1" fillId="27" fontId="4" numFmtId="165" xfId="0" applyAlignment="1" applyBorder="1" applyFont="1" applyNumberFormat="1">
      <alignment horizontal="right" vertical="bottom"/>
    </xf>
    <xf borderId="1" fillId="27" fontId="4" numFmtId="164" xfId="0" applyAlignment="1" applyBorder="1" applyFont="1" applyNumberFormat="1">
      <alignment horizontal="right" vertical="bottom"/>
    </xf>
    <xf borderId="1" fillId="27" fontId="4" numFmtId="0" xfId="0" applyAlignment="1" applyBorder="1" applyFont="1">
      <alignment horizontal="right" vertical="bottom"/>
    </xf>
    <xf borderId="0" fillId="27" fontId="196" numFmtId="0" xfId="0" applyAlignment="1" applyFont="1">
      <alignment readingOrder="0" vertical="bottom"/>
    </xf>
    <xf borderId="1" fillId="27" fontId="197" numFmtId="0" xfId="0" applyAlignment="1" applyBorder="1" applyFont="1">
      <alignment readingOrder="0" vertical="bottom"/>
    </xf>
    <xf borderId="1" fillId="27" fontId="54" numFmtId="0" xfId="0" applyAlignment="1" applyBorder="1" applyFont="1">
      <alignment horizontal="right" readingOrder="0" vertical="bottom"/>
    </xf>
    <xf borderId="1" fillId="27" fontId="4" numFmtId="0" xfId="0" applyAlignment="1" applyBorder="1" applyFont="1">
      <alignment readingOrder="0" vertical="bottom"/>
    </xf>
    <xf borderId="1" fillId="27" fontId="4" numFmtId="0" xfId="0" applyAlignment="1" applyBorder="1" applyFont="1">
      <alignment vertical="bottom"/>
    </xf>
    <xf borderId="0" fillId="27" fontId="54" numFmtId="0" xfId="0" applyAlignment="1" applyFont="1">
      <alignment horizontal="right" readingOrder="0" vertical="bottom"/>
    </xf>
    <xf borderId="1" fillId="27" fontId="198" numFmtId="0" xfId="0" applyAlignment="1" applyBorder="1" applyFont="1">
      <alignment vertical="bottom"/>
    </xf>
    <xf borderId="1" fillId="28" fontId="6" numFmtId="0" xfId="0" applyAlignment="1" applyBorder="1" applyFont="1">
      <alignment vertical="bottom"/>
    </xf>
    <xf borderId="1" fillId="28" fontId="191" numFmtId="0" xfId="0" applyAlignment="1" applyBorder="1" applyFont="1">
      <alignment vertical="bottom"/>
    </xf>
    <xf borderId="1" fillId="28" fontId="4" numFmtId="165" xfId="0" applyAlignment="1" applyBorder="1" applyFont="1" applyNumberFormat="1">
      <alignment horizontal="right" vertical="bottom"/>
    </xf>
    <xf borderId="1" fillId="28" fontId="4" numFmtId="164" xfId="0" applyAlignment="1" applyBorder="1" applyFont="1" applyNumberFormat="1">
      <alignment horizontal="right" vertical="bottom"/>
    </xf>
    <xf borderId="1" fillId="28" fontId="4" numFmtId="0" xfId="0" applyAlignment="1" applyBorder="1" applyFont="1">
      <alignment horizontal="right" vertical="bottom"/>
    </xf>
    <xf borderId="1" fillId="28" fontId="199" numFmtId="0" xfId="0" applyAlignment="1" applyBorder="1" applyFont="1">
      <alignment readingOrder="0" vertical="bottom"/>
    </xf>
    <xf borderId="1" fillId="28" fontId="54" numFmtId="0" xfId="0" applyAlignment="1" applyBorder="1" applyFont="1">
      <alignment horizontal="right" readingOrder="0" vertical="bottom"/>
    </xf>
    <xf borderId="1" fillId="28" fontId="4" numFmtId="0" xfId="0" applyAlignment="1" applyBorder="1" applyFont="1">
      <alignment readingOrder="0" vertical="bottom"/>
    </xf>
    <xf borderId="1" fillId="28" fontId="4" numFmtId="0" xfId="0" applyAlignment="1" applyBorder="1" applyFont="1">
      <alignment vertical="bottom"/>
    </xf>
    <xf borderId="1" fillId="28" fontId="84" numFmtId="0" xfId="0" applyAlignment="1" applyBorder="1" applyFont="1">
      <alignment readingOrder="0" vertical="bottom"/>
    </xf>
    <xf borderId="1" fillId="28" fontId="6" numFmtId="0" xfId="0" applyAlignment="1" applyBorder="1" applyFont="1">
      <alignment readingOrder="0" vertical="bottom"/>
    </xf>
    <xf borderId="1" fillId="28" fontId="54" numFmtId="0" xfId="0" applyAlignment="1" applyBorder="1" applyFont="1">
      <alignment horizontal="right" vertical="bottom"/>
    </xf>
    <xf borderId="1" fillId="22" fontId="4" numFmtId="0" xfId="0" applyAlignment="1" applyBorder="1" applyFont="1">
      <alignment vertical="bottom"/>
    </xf>
    <xf borderId="1" fillId="22" fontId="4" numFmtId="0" xfId="0" applyAlignment="1" applyBorder="1" applyFont="1">
      <alignment vertical="bottom"/>
    </xf>
    <xf borderId="1" fillId="22" fontId="4" numFmtId="165" xfId="0" applyAlignment="1" applyBorder="1" applyFont="1" applyNumberFormat="1">
      <alignment horizontal="right" vertical="bottom"/>
    </xf>
    <xf borderId="1" fillId="22" fontId="6" numFmtId="0" xfId="0" applyAlignment="1" applyBorder="1" applyFont="1">
      <alignment vertical="bottom"/>
    </xf>
    <xf borderId="1" fillId="5" fontId="6" numFmtId="0" xfId="0" applyAlignment="1" applyBorder="1" applyFont="1">
      <alignment vertical="bottom"/>
    </xf>
    <xf borderId="0" fillId="22" fontId="200" numFmtId="0" xfId="0" applyAlignment="1" applyFont="1">
      <alignment readingOrder="0" vertical="bottom"/>
    </xf>
    <xf borderId="1" fillId="22" fontId="201" numFmtId="0" xfId="0" applyAlignment="1" applyBorder="1" applyFont="1">
      <alignment readingOrder="0" vertical="bottom"/>
    </xf>
    <xf borderId="1" fillId="22" fontId="4" numFmtId="0" xfId="0" applyAlignment="1" applyBorder="1" applyFont="1">
      <alignment horizontal="right" vertical="bottom"/>
    </xf>
    <xf borderId="1" fillId="22" fontId="50" numFmtId="0" xfId="0" applyAlignment="1" applyBorder="1" applyFont="1">
      <alignment horizontal="right" vertical="bottom"/>
    </xf>
    <xf borderId="1" fillId="22" fontId="5" numFmtId="0" xfId="0" applyAlignment="1" applyBorder="1" applyFont="1">
      <alignment horizontal="right" vertical="bottom"/>
    </xf>
    <xf borderId="1" fillId="22" fontId="202" numFmtId="0" xfId="0" applyAlignment="1" applyBorder="1" applyFont="1">
      <alignment vertical="bottom"/>
    </xf>
    <xf borderId="1" fillId="22" fontId="203" numFmtId="0" xfId="0" applyAlignment="1" applyBorder="1" applyFont="1">
      <alignment vertical="bottom"/>
    </xf>
    <xf borderId="0" fillId="22" fontId="204" numFmtId="0" xfId="0" applyAlignment="1" applyFont="1">
      <alignment readingOrder="0" vertical="bottom"/>
    </xf>
    <xf borderId="0" fillId="22" fontId="50" numFmtId="0" xfId="0" applyAlignment="1" applyFont="1">
      <alignment horizontal="right" vertical="bottom"/>
    </xf>
    <xf borderId="0" fillId="22" fontId="5" numFmtId="0" xfId="0" applyAlignment="1" applyFont="1">
      <alignment horizontal="right" vertical="bottom"/>
    </xf>
    <xf borderId="0" fillId="22" fontId="205" numFmtId="0" xfId="0" applyAlignment="1" applyFont="1">
      <alignment vertical="bottom"/>
    </xf>
    <xf borderId="0" fillId="22" fontId="206" numFmtId="0" xfId="0" applyAlignment="1" applyFont="1">
      <alignment vertical="bottom"/>
    </xf>
    <xf borderId="0" fillId="19" fontId="4" numFmtId="165" xfId="0" applyAlignment="1" applyFont="1" applyNumberFormat="1">
      <alignment horizontal="right" vertical="bottom"/>
    </xf>
    <xf borderId="0" fillId="19" fontId="6" numFmtId="165" xfId="0" applyAlignment="1" applyFont="1" applyNumberFormat="1">
      <alignment readingOrder="0" vertical="bottom"/>
    </xf>
    <xf borderId="0" fillId="19" fontId="4" numFmtId="0" xfId="0" applyAlignment="1" applyFont="1">
      <alignment horizontal="center" vertical="bottom"/>
    </xf>
    <xf borderId="1" fillId="19" fontId="4" numFmtId="0" xfId="0" applyAlignment="1" applyBorder="1" applyFont="1">
      <alignment vertical="bottom"/>
    </xf>
    <xf borderId="0" fillId="19" fontId="4" numFmtId="0" xfId="0" applyAlignment="1" applyFont="1">
      <alignment shrinkToFit="0" vertical="bottom" wrapText="1"/>
    </xf>
    <xf borderId="0" fillId="19" fontId="4" numFmtId="0" xfId="0" applyAlignment="1" applyFont="1">
      <alignment readingOrder="0" vertical="bottom"/>
    </xf>
    <xf borderId="0" fillId="19" fontId="207" numFmtId="0" xfId="0" applyAlignment="1" applyFont="1">
      <alignment vertical="bottom"/>
    </xf>
    <xf borderId="0" fillId="19" fontId="208" numFmtId="0" xfId="0" applyAlignment="1" applyFont="1">
      <alignment horizontal="right" vertical="bottom"/>
    </xf>
    <xf borderId="0" fillId="19" fontId="209" numFmtId="0" xfId="0" applyAlignment="1" applyFont="1">
      <alignment vertical="bottom"/>
    </xf>
    <xf borderId="0" fillId="19" fontId="210" numFmtId="0" xfId="0" applyAlignment="1" applyFont="1">
      <alignment vertical="bottom"/>
    </xf>
    <xf borderId="0" fillId="25" fontId="4" numFmtId="0" xfId="0" applyAlignment="1" applyFont="1">
      <alignment horizontal="center" vertical="bottom"/>
    </xf>
    <xf borderId="0" fillId="25" fontId="4" numFmtId="0" xfId="0" applyAlignment="1" applyFont="1">
      <alignment horizontal="center" vertical="bottom"/>
    </xf>
    <xf borderId="0" fillId="32" fontId="4" numFmtId="164" xfId="0" applyAlignment="1" applyFont="1" applyNumberFormat="1">
      <alignment horizontal="right" vertical="bottom"/>
    </xf>
    <xf borderId="0" fillId="32" fontId="6" numFmtId="165" xfId="0" applyAlignment="1" applyFont="1" applyNumberFormat="1">
      <alignment readingOrder="0" vertical="bottom"/>
    </xf>
    <xf borderId="0" fillId="32" fontId="4" numFmtId="0" xfId="0" applyAlignment="1" applyFont="1">
      <alignment shrinkToFit="0" vertical="bottom" wrapText="0"/>
    </xf>
    <xf borderId="0" fillId="32" fontId="4" numFmtId="0" xfId="0" applyAlignment="1" applyFont="1">
      <alignment horizontal="center" vertical="bottom"/>
    </xf>
    <xf borderId="1" fillId="32" fontId="4" numFmtId="0" xfId="0" applyAlignment="1" applyBorder="1" applyFont="1">
      <alignment vertical="bottom"/>
    </xf>
    <xf borderId="1" fillId="32" fontId="4" numFmtId="0" xfId="0" applyAlignment="1" applyBorder="1" applyFont="1">
      <alignment vertical="bottom"/>
    </xf>
    <xf borderId="0" fillId="32" fontId="4" numFmtId="0" xfId="0" applyAlignment="1" applyFont="1">
      <alignment horizontal="center" vertical="bottom"/>
    </xf>
    <xf borderId="0" fillId="32" fontId="4" numFmtId="0" xfId="0" applyAlignment="1" applyFont="1">
      <alignment vertical="bottom"/>
    </xf>
    <xf borderId="0" fillId="32" fontId="211" numFmtId="0" xfId="0" applyAlignment="1" applyFont="1">
      <alignment vertical="bottom"/>
    </xf>
    <xf borderId="0" fillId="32" fontId="212" numFmtId="0" xfId="0" applyAlignment="1" applyFont="1">
      <alignment horizontal="right" vertical="bottom"/>
    </xf>
    <xf borderId="0" fillId="32" fontId="213" numFmtId="0" xfId="0" applyAlignment="1" applyFont="1">
      <alignment vertical="bottom"/>
    </xf>
    <xf borderId="0" fillId="32" fontId="214" numFmtId="0" xfId="0" applyAlignment="1" applyFont="1">
      <alignment vertical="bottom"/>
    </xf>
    <xf borderId="0" fillId="13" fontId="4" numFmtId="0" xfId="0" applyAlignment="1" applyFont="1">
      <alignment vertical="bottom"/>
    </xf>
    <xf borderId="0" fillId="13" fontId="4" numFmtId="0" xfId="0" applyAlignment="1" applyFont="1">
      <alignment vertical="bottom"/>
    </xf>
    <xf borderId="0" fillId="13" fontId="4" numFmtId="164" xfId="0" applyAlignment="1" applyFont="1" applyNumberFormat="1">
      <alignment horizontal="right" vertical="bottom"/>
    </xf>
    <xf borderId="0" fillId="13" fontId="6" numFmtId="165" xfId="0" applyAlignment="1" applyFont="1" applyNumberFormat="1">
      <alignment readingOrder="0" vertical="bottom"/>
    </xf>
    <xf borderId="0" fillId="13" fontId="4" numFmtId="0" xfId="0" applyAlignment="1" applyFont="1">
      <alignment shrinkToFit="0" vertical="bottom" wrapText="0"/>
    </xf>
    <xf borderId="0" fillId="13" fontId="6" numFmtId="0" xfId="0" applyAlignment="1" applyFont="1">
      <alignment vertical="bottom"/>
    </xf>
    <xf borderId="0" fillId="13" fontId="4" numFmtId="0" xfId="0" applyAlignment="1" applyFont="1">
      <alignment horizontal="center" vertical="bottom"/>
    </xf>
    <xf borderId="0" fillId="13" fontId="4" numFmtId="0" xfId="0" applyAlignment="1" applyFont="1">
      <alignment vertical="bottom"/>
    </xf>
    <xf borderId="0" fillId="13" fontId="4" numFmtId="0" xfId="0" applyAlignment="1" applyFont="1">
      <alignment horizontal="center" vertical="bottom"/>
    </xf>
    <xf borderId="0" fillId="13" fontId="4" numFmtId="0" xfId="0" applyAlignment="1" applyFont="1">
      <alignment readingOrder="0" vertical="bottom"/>
    </xf>
    <xf borderId="0" fillId="13" fontId="4" numFmtId="0" xfId="0" applyAlignment="1" applyFont="1">
      <alignment horizontal="right" vertical="bottom"/>
    </xf>
    <xf borderId="0" fillId="13" fontId="6" numFmtId="0" xfId="0" applyAlignment="1" applyFont="1">
      <alignment horizontal="right" vertical="bottom"/>
    </xf>
    <xf borderId="0" fillId="13" fontId="215" numFmtId="0" xfId="0" applyAlignment="1" applyFont="1">
      <alignment vertical="bottom"/>
    </xf>
    <xf borderId="0" fillId="13" fontId="216" numFmtId="0" xfId="0" applyAlignment="1" applyFont="1">
      <alignment horizontal="right" vertical="bottom"/>
    </xf>
    <xf borderId="0" fillId="13" fontId="6" numFmtId="0" xfId="0" applyAlignment="1" applyFont="1">
      <alignment vertical="bottom"/>
    </xf>
    <xf borderId="0" fillId="13" fontId="217" numFmtId="0" xfId="0" applyAlignment="1" applyFont="1">
      <alignment vertical="bottom"/>
    </xf>
    <xf borderId="0" fillId="13" fontId="218" numFmtId="0" xfId="0" applyAlignment="1" applyFont="1">
      <alignment vertical="bottom"/>
    </xf>
    <xf borderId="0" fillId="31" fontId="6" numFmtId="165" xfId="0" applyAlignment="1" applyFont="1" applyNumberFormat="1">
      <alignment readingOrder="0" vertical="bottom"/>
    </xf>
    <xf borderId="0" fillId="31" fontId="4" numFmtId="0" xfId="0" applyAlignment="1" applyFont="1">
      <alignment horizontal="center" vertical="bottom"/>
    </xf>
    <xf borderId="0" fillId="31" fontId="4" numFmtId="0" xfId="0" applyAlignment="1" applyFont="1">
      <alignment horizontal="center" vertical="bottom"/>
    </xf>
    <xf borderId="0" fillId="31" fontId="219" numFmtId="0" xfId="0" applyAlignment="1" applyFont="1">
      <alignment vertical="bottom"/>
    </xf>
    <xf borderId="0" fillId="31" fontId="220" numFmtId="0" xfId="0" applyAlignment="1" applyFont="1">
      <alignment horizontal="right" vertical="bottom"/>
    </xf>
    <xf borderId="0" fillId="31" fontId="221" numFmtId="0" xfId="0" applyAlignment="1" applyFont="1">
      <alignment vertical="bottom"/>
    </xf>
    <xf borderId="0" fillId="31" fontId="222" numFmtId="0" xfId="0" applyAlignment="1" applyFont="1">
      <alignment vertical="bottom"/>
    </xf>
    <xf borderId="0" fillId="19" fontId="223" numFmtId="0" xfId="0" applyAlignment="1" applyFont="1">
      <alignment readingOrder="0" vertical="bottom"/>
    </xf>
    <xf borderId="0" fillId="32" fontId="4" numFmtId="0" xfId="0" applyAlignment="1" applyFont="1">
      <alignment horizontal="center" vertical="bottom"/>
    </xf>
    <xf borderId="0" fillId="32" fontId="224" numFmtId="0" xfId="0" applyAlignment="1" applyFont="1">
      <alignment horizontal="right" vertical="bottom"/>
    </xf>
    <xf borderId="0" fillId="13" fontId="4" numFmtId="165" xfId="0" applyAlignment="1" applyFont="1" applyNumberFormat="1">
      <alignment horizontal="right" vertical="bottom"/>
    </xf>
    <xf borderId="0" fillId="13" fontId="4" numFmtId="0" xfId="0" applyAlignment="1" applyFont="1">
      <alignment horizontal="center" vertical="bottom"/>
    </xf>
    <xf borderId="0" fillId="13" fontId="4" numFmtId="0" xfId="0" applyAlignment="1" applyFont="1">
      <alignment horizontal="right" vertical="bottom"/>
    </xf>
    <xf borderId="0" fillId="13" fontId="225" numFmtId="0" xfId="0" applyAlignment="1" applyFont="1">
      <alignment horizontal="right" vertical="bottom"/>
    </xf>
    <xf borderId="0" fillId="13" fontId="226" numFmtId="0" xfId="0" applyAlignment="1" applyFont="1">
      <alignment vertical="bottom"/>
    </xf>
    <xf borderId="0" fillId="31" fontId="4" numFmtId="0" xfId="0" applyAlignment="1" applyFont="1">
      <alignment horizontal="center" vertical="bottom"/>
    </xf>
    <xf borderId="0" fillId="31" fontId="227" numFmtId="0" xfId="0" applyAlignment="1" applyFont="1">
      <alignment horizontal="right" vertical="bottom"/>
    </xf>
    <xf borderId="0" fillId="30" fontId="4" numFmtId="0" xfId="0" applyAlignment="1" applyFont="1">
      <alignment horizontal="center" vertical="bottom"/>
    </xf>
    <xf borderId="0" fillId="30" fontId="228" numFmtId="0" xfId="0" applyAlignment="1" applyFont="1">
      <alignment horizontal="right" vertical="bottom"/>
    </xf>
    <xf borderId="0" fillId="30" fontId="4" numFmtId="0" xfId="0" applyAlignment="1" applyFont="1">
      <alignment horizontal="center" readingOrder="0" vertical="bottom"/>
    </xf>
    <xf borderId="0" fillId="0" fontId="229" numFmtId="0" xfId="0" applyAlignment="1" applyFont="1">
      <alignment shrinkToFit="0" vertical="bottom" wrapText="0"/>
    </xf>
    <xf borderId="0" fillId="0" fontId="50" numFmtId="0" xfId="0" applyAlignment="1" applyFont="1">
      <alignment horizontal="right" readingOrder="0" vertical="bottom"/>
    </xf>
    <xf borderId="0" fillId="30" fontId="35" numFmtId="0" xfId="0" applyAlignment="1" applyFont="1">
      <alignment readingOrder="0" vertical="bottom"/>
    </xf>
    <xf borderId="0" fillId="0" fontId="35" numFmtId="0" xfId="0" applyAlignment="1" applyFont="1">
      <alignment readingOrder="0" vertical="bottom"/>
    </xf>
    <xf borderId="0" fillId="0" fontId="50" numFmtId="0" xfId="0" applyAlignment="1" applyFont="1">
      <alignment horizontal="right" vertical="bottom"/>
    </xf>
    <xf borderId="0" fillId="0" fontId="50" numFmtId="0" xfId="0" applyAlignment="1" applyFont="1">
      <alignment vertical="bottom"/>
    </xf>
    <xf borderId="0" fillId="0" fontId="4" numFmtId="11" xfId="0" applyAlignment="1" applyFont="1" applyNumberFormat="1">
      <alignment horizontal="right" vertical="bottom"/>
    </xf>
    <xf borderId="0" fillId="4" fontId="6" numFmtId="0" xfId="0" applyAlignment="1" applyFont="1">
      <alignment readingOrder="0" vertical="bottom"/>
    </xf>
    <xf borderId="0" fillId="4" fontId="11" numFmtId="0" xfId="0" applyAlignment="1" applyFont="1">
      <alignment readingOrder="0"/>
    </xf>
    <xf borderId="0" fillId="4" fontId="11" numFmtId="0" xfId="0" applyFont="1"/>
    <xf borderId="0" fillId="4" fontId="6"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readingOrder="0" vertical="bottom"/>
    </xf>
    <xf borderId="0" fillId="4" fontId="4" numFmtId="165" xfId="0" applyAlignment="1" applyFont="1" applyNumberFormat="1">
      <alignment horizontal="right" vertical="bottom"/>
    </xf>
    <xf borderId="0" fillId="4" fontId="230" numFmtId="0" xfId="0" applyAlignment="1" applyFont="1">
      <alignment shrinkToFit="0" vertical="bottom" wrapText="0"/>
    </xf>
    <xf borderId="0" fillId="4" fontId="4" numFmtId="0" xfId="0" applyAlignment="1" applyFont="1">
      <alignment horizontal="right" vertical="bottom"/>
    </xf>
    <xf borderId="1" fillId="4" fontId="4" numFmtId="0" xfId="0" applyAlignment="1" applyBorder="1" applyFont="1">
      <alignment vertical="bottom"/>
    </xf>
    <xf borderId="0" fillId="4" fontId="231" numFmtId="0" xfId="0" applyAlignment="1" applyFont="1">
      <alignment vertical="bottom"/>
    </xf>
    <xf borderId="0" fillId="4" fontId="54" numFmtId="0" xfId="0" applyAlignment="1" applyFont="1">
      <alignment horizontal="right" readingOrder="0" vertical="bottom"/>
    </xf>
    <xf borderId="0" fillId="4" fontId="4" numFmtId="0" xfId="0" applyAlignment="1" applyFont="1">
      <alignment horizontal="right" vertical="bottom"/>
    </xf>
    <xf borderId="0" fillId="4" fontId="35" numFmtId="0" xfId="0" applyAlignment="1" applyFont="1">
      <alignment readingOrder="0" vertical="bottom"/>
    </xf>
    <xf borderId="0" fillId="4" fontId="232" numFmtId="0" xfId="0" applyAlignment="1" applyFont="1">
      <alignment readingOrder="0" vertical="bottom"/>
    </xf>
    <xf borderId="0" fillId="4" fontId="233" numFmtId="0" xfId="0" applyAlignment="1" applyFont="1">
      <alignment vertical="bottom"/>
    </xf>
    <xf borderId="0" fillId="23" fontId="6" numFmtId="0" xfId="0" applyAlignment="1" applyFont="1">
      <alignment readingOrder="0" vertical="bottom"/>
    </xf>
    <xf borderId="0" fillId="21" fontId="234" numFmtId="0" xfId="0" applyAlignment="1" applyFont="1">
      <alignment horizontal="right" readingOrder="0" vertical="bottom"/>
    </xf>
    <xf borderId="0" fillId="37" fontId="6" numFmtId="0" xfId="0" applyAlignment="1" applyFont="1">
      <alignment readingOrder="0" vertical="bottom"/>
    </xf>
    <xf borderId="0" fillId="39" fontId="6" numFmtId="0" xfId="0" applyAlignment="1" applyFill="1" applyFont="1">
      <alignment readingOrder="0" vertical="bottom"/>
    </xf>
    <xf borderId="0" fillId="30" fontId="235" numFmtId="0" xfId="0" applyAlignment="1" applyFont="1">
      <alignment shrinkToFit="0" vertical="bottom" wrapText="0"/>
    </xf>
    <xf borderId="1" fillId="30" fontId="4" numFmtId="0" xfId="0" applyAlignment="1" applyBorder="1" applyFont="1">
      <alignment vertical="bottom"/>
    </xf>
    <xf borderId="0" fillId="30" fontId="54" numFmtId="0" xfId="0" applyAlignment="1" applyFont="1">
      <alignment horizontal="right" readingOrder="0" vertical="bottom"/>
    </xf>
    <xf borderId="0" fillId="30" fontId="4" numFmtId="0" xfId="0" applyAlignment="1" applyFont="1">
      <alignment horizontal="right" vertical="bottom"/>
    </xf>
    <xf borderId="0" fillId="25" fontId="4" numFmtId="165" xfId="0" applyAlignment="1" applyFont="1" applyNumberFormat="1">
      <alignment horizontal="right" readingOrder="0" vertical="bottom"/>
    </xf>
    <xf borderId="0" fillId="25" fontId="236" numFmtId="0" xfId="0" applyAlignment="1" applyFont="1">
      <alignment shrinkToFit="0" vertical="bottom" wrapText="0"/>
    </xf>
    <xf borderId="0" fillId="25" fontId="237" numFmtId="0" xfId="0" applyAlignment="1" applyFont="1">
      <alignment vertical="bottom"/>
    </xf>
    <xf borderId="0" fillId="25" fontId="4" numFmtId="0" xfId="0" applyAlignment="1" applyFont="1">
      <alignment horizontal="right" readingOrder="0" vertical="bottom"/>
    </xf>
    <xf borderId="0" fillId="25" fontId="238" numFmtId="0" xfId="0" applyAlignment="1" applyFont="1">
      <alignment horizontal="right" readingOrder="0" vertical="bottom"/>
    </xf>
    <xf borderId="0" fillId="25" fontId="54" numFmtId="0" xfId="0" applyAlignment="1" applyFont="1">
      <alignment horizontal="right" vertical="bottom"/>
    </xf>
    <xf borderId="0" fillId="34" fontId="4" numFmtId="0" xfId="0" applyAlignment="1" applyFont="1">
      <alignment horizontal="right" vertical="bottom"/>
    </xf>
    <xf borderId="0" fillId="0" fontId="54" numFmtId="0" xfId="0" applyAlignment="1" applyFont="1">
      <alignment horizontal="right" vertical="bottom"/>
    </xf>
    <xf borderId="0" fillId="22" fontId="35" numFmtId="0" xfId="0" applyAlignment="1" applyFont="1">
      <alignment readingOrder="0" vertical="bottom"/>
    </xf>
    <xf borderId="0" fillId="22" fontId="54" numFmtId="0" xfId="0" applyAlignment="1" applyFont="1">
      <alignment vertical="bottom"/>
    </xf>
    <xf borderId="0" fillId="22" fontId="12" numFmtId="0" xfId="0" applyAlignment="1" applyFont="1">
      <alignment horizontal="right" vertical="bottom"/>
    </xf>
    <xf borderId="0" fillId="22" fontId="239" numFmtId="0" xfId="0" applyAlignment="1" applyFont="1">
      <alignment vertical="bottom"/>
    </xf>
    <xf borderId="0" fillId="22" fontId="240" numFmtId="0" xfId="0" applyAlignment="1" applyFont="1">
      <alignment shrinkToFit="0" vertical="bottom" wrapText="0"/>
    </xf>
    <xf borderId="0" fillId="0" fontId="241" numFmtId="0" xfId="0" applyAlignment="1" applyFont="1">
      <alignment vertical="bottom"/>
    </xf>
    <xf borderId="0" fillId="25" fontId="50" numFmtId="172" xfId="0" applyAlignment="1" applyFont="1" applyNumberFormat="1">
      <alignment horizontal="right" vertical="bottom"/>
    </xf>
    <xf borderId="0" fillId="25" fontId="50" numFmtId="0" xfId="0" applyAlignment="1" applyFont="1">
      <alignment horizontal="right" vertical="bottom"/>
    </xf>
    <xf borderId="0" fillId="25" fontId="50" numFmtId="0" xfId="0" applyAlignment="1" applyFont="1">
      <alignment vertical="bottom"/>
    </xf>
    <xf borderId="0" fillId="20" fontId="4" numFmtId="0" xfId="0" applyAlignment="1" applyFont="1">
      <alignment vertical="bottom"/>
    </xf>
    <xf borderId="0" fillId="25" fontId="12" numFmtId="0" xfId="0" applyAlignment="1" applyFont="1">
      <alignment vertical="bottom"/>
    </xf>
    <xf borderId="0" fillId="25" fontId="4" numFmtId="172" xfId="0" applyAlignment="1" applyFont="1" applyNumberFormat="1">
      <alignment horizontal="right" vertical="bottom"/>
    </xf>
    <xf borderId="0" fillId="24" fontId="50" numFmtId="0" xfId="0" applyAlignment="1" applyFont="1">
      <alignment horizontal="right" vertical="bottom"/>
    </xf>
    <xf borderId="0" fillId="24" fontId="50" numFmtId="0" xfId="0" applyAlignment="1" applyFont="1">
      <alignment vertical="bottom"/>
    </xf>
    <xf borderId="0" fillId="24" fontId="4" numFmtId="11" xfId="0" applyAlignment="1" applyFont="1" applyNumberFormat="1">
      <alignment horizontal="right" vertical="bottom"/>
    </xf>
    <xf borderId="0" fillId="24" fontId="6" numFmtId="0" xfId="0" applyAlignment="1" applyFont="1">
      <alignment horizontal="right" vertical="bottom"/>
    </xf>
    <xf borderId="0" fillId="24" fontId="6" numFmtId="0" xfId="0" applyAlignment="1" applyFont="1">
      <alignment horizontal="right" vertical="bottom"/>
    </xf>
    <xf borderId="0" fillId="0" fontId="6" numFmtId="0" xfId="0" applyAlignment="1" applyFont="1">
      <alignment horizontal="right" shrinkToFit="0" vertical="bottom" wrapText="1"/>
    </xf>
    <xf borderId="0" fillId="0" fontId="242" numFmtId="0" xfId="0" applyAlignment="1" applyFont="1">
      <alignment horizontal="right" readingOrder="0" vertical="bottom"/>
    </xf>
    <xf borderId="0" fillId="34" fontId="6" numFmtId="0" xfId="0" applyAlignment="1" applyFont="1">
      <alignment vertical="bottom"/>
    </xf>
    <xf borderId="0" fillId="0" fontId="243" numFmtId="0" xfId="0" applyAlignment="1" applyFont="1">
      <alignment horizontal="right" vertical="bottom"/>
    </xf>
    <xf borderId="0" fillId="0" fontId="54" numFmtId="0" xfId="0" applyAlignment="1" applyFont="1">
      <alignment vertical="bottom"/>
    </xf>
    <xf borderId="0" fillId="0" fontId="54" numFmtId="0" xfId="0" applyAlignment="1" applyFont="1">
      <alignment readingOrder="0" vertical="bottom"/>
    </xf>
    <xf borderId="0" fillId="0" fontId="54" numFmtId="0" xfId="0" applyAlignment="1" applyFont="1">
      <alignment horizontal="right" readingOrder="0" vertical="bottom"/>
    </xf>
    <xf borderId="0" fillId="0" fontId="244" numFmtId="0" xfId="0" applyAlignment="1" applyFont="1">
      <alignment vertical="bottom"/>
    </xf>
    <xf borderId="0" fillId="0" fontId="245" numFmtId="0" xfId="0" applyAlignment="1" applyFont="1">
      <alignment vertical="bottom"/>
    </xf>
    <xf borderId="0" fillId="0" fontId="4" numFmtId="169" xfId="0" applyAlignment="1" applyFont="1" applyNumberFormat="1">
      <alignment horizontal="right" vertical="bottom"/>
    </xf>
    <xf borderId="0" fillId="24" fontId="246" numFmtId="0" xfId="0" applyAlignment="1" applyFont="1">
      <alignment shrinkToFit="0" vertical="bottom" wrapText="0"/>
    </xf>
    <xf borderId="0" fillId="22" fontId="50" numFmtId="0" xfId="0" applyAlignment="1" applyFont="1">
      <alignment horizontal="right" vertical="bottom"/>
    </xf>
    <xf borderId="0" fillId="36" fontId="11" numFmtId="0" xfId="0" applyFont="1"/>
    <xf borderId="10" fillId="22" fontId="6" numFmtId="0" xfId="0" applyAlignment="1" applyBorder="1" applyFont="1">
      <alignment readingOrder="0" vertical="bottom"/>
    </xf>
    <xf borderId="0" fillId="22" fontId="247" numFmtId="0" xfId="0" applyAlignment="1" applyFont="1">
      <alignment horizontal="right" readingOrder="0" vertical="bottom"/>
    </xf>
    <xf borderId="0" fillId="22" fontId="248" numFmtId="0" xfId="0" applyAlignment="1" applyFont="1">
      <alignment readingOrder="0" vertical="bottom"/>
    </xf>
    <xf borderId="11" fillId="22" fontId="6" numFmtId="0" xfId="0" applyAlignment="1" applyBorder="1" applyFont="1">
      <alignment readingOrder="0" vertical="bottom"/>
    </xf>
    <xf borderId="0" fillId="22" fontId="6" numFmtId="0" xfId="0" applyAlignment="1" applyFont="1">
      <alignment horizontal="right" vertical="bottom"/>
    </xf>
    <xf borderId="0" fillId="22" fontId="84" numFmtId="0" xfId="0" applyAlignment="1" applyFont="1">
      <alignment horizontal="right" vertical="bottom"/>
    </xf>
    <xf borderId="11" fillId="0" fontId="6" numFmtId="0" xfId="0" applyAlignment="1" applyBorder="1" applyFont="1">
      <alignment vertical="bottom"/>
    </xf>
    <xf borderId="0" fillId="0" fontId="12" numFmtId="0" xfId="0" applyAlignment="1" applyFont="1">
      <alignment readingOrder="0" vertical="bottom"/>
    </xf>
    <xf borderId="11" fillId="0" fontId="6" numFmtId="0" xfId="0" applyAlignment="1" applyBorder="1" applyFont="1">
      <alignment readingOrder="0" vertical="bottom"/>
    </xf>
    <xf borderId="0" fillId="0" fontId="6" numFmtId="11" xfId="0" applyAlignment="1" applyFont="1" applyNumberFormat="1">
      <alignment readingOrder="0" vertical="bottom"/>
    </xf>
    <xf borderId="11" fillId="20" fontId="6" numFmtId="0" xfId="0" applyAlignment="1" applyBorder="1" applyFont="1">
      <alignment readingOrder="0" vertical="bottom"/>
    </xf>
    <xf borderId="0" fillId="20" fontId="6" numFmtId="0" xfId="0" applyAlignment="1" applyFont="1">
      <alignment readingOrder="0" vertical="bottom"/>
    </xf>
    <xf borderId="0" fillId="20" fontId="4" numFmtId="165" xfId="0" applyAlignment="1" applyFont="1" applyNumberFormat="1">
      <alignment horizontal="right" vertical="bottom"/>
    </xf>
    <xf borderId="0" fillId="20" fontId="4" numFmtId="0" xfId="0" applyAlignment="1" applyFont="1">
      <alignment horizontal="right" vertical="bottom"/>
    </xf>
    <xf borderId="0" fillId="20" fontId="4" numFmtId="0" xfId="0" applyAlignment="1" applyFont="1">
      <alignment horizontal="right" vertical="bottom"/>
    </xf>
    <xf borderId="0" fillId="20" fontId="249" numFmtId="0" xfId="0" applyAlignment="1" applyFont="1">
      <alignment readingOrder="0" vertical="bottom"/>
    </xf>
    <xf borderId="0" fillId="20" fontId="4" numFmtId="11" xfId="0" applyAlignment="1" applyFont="1" applyNumberFormat="1">
      <alignment horizontal="right" vertical="bottom"/>
    </xf>
    <xf borderId="12" fillId="20" fontId="6" numFmtId="0" xfId="0" applyAlignment="1" applyBorder="1" applyFont="1">
      <alignment readingOrder="0" vertical="bottom"/>
    </xf>
    <xf borderId="0" fillId="20" fontId="4" numFmtId="0" xfId="0" applyAlignment="1" applyFont="1">
      <alignment readingOrder="0" vertical="bottom"/>
    </xf>
    <xf borderId="0" fillId="20" fontId="4" numFmtId="0" xfId="0" applyAlignment="1" applyFont="1">
      <alignment vertical="bottom"/>
    </xf>
    <xf borderId="0" fillId="20" fontId="4" numFmtId="0" xfId="0" applyAlignment="1" applyFont="1">
      <alignment horizontal="right" readingOrder="0" vertical="bottom"/>
    </xf>
    <xf borderId="0" fillId="20" fontId="6" numFmtId="0" xfId="0" applyAlignment="1" applyFont="1">
      <alignment horizontal="right" vertical="bottom"/>
    </xf>
    <xf borderId="0" fillId="20" fontId="6" numFmtId="0" xfId="0" applyAlignment="1" applyFont="1">
      <alignment horizontal="right" vertical="bottom"/>
    </xf>
    <xf borderId="0" fillId="20" fontId="128" numFmtId="0" xfId="0" applyAlignment="1" applyFont="1">
      <alignment horizontal="right" readingOrder="0" vertical="bottom"/>
    </xf>
    <xf borderId="0" fillId="20" fontId="250" numFmtId="0" xfId="0" applyAlignment="1" applyFont="1">
      <alignment readingOrder="0"/>
    </xf>
    <xf borderId="0" fillId="20" fontId="251" numFmtId="0" xfId="0" applyAlignment="1" applyFont="1">
      <alignment readingOrder="0" shrinkToFit="0" wrapText="1"/>
    </xf>
    <xf borderId="0" fillId="20" fontId="4" numFmtId="10" xfId="0" applyAlignment="1" applyFont="1" applyNumberFormat="1">
      <alignment vertical="bottom"/>
    </xf>
    <xf borderId="0" fillId="20" fontId="54" numFmtId="0" xfId="0" applyAlignment="1" applyFont="1">
      <alignment horizontal="right" readingOrder="0" vertical="bottom"/>
    </xf>
    <xf borderId="0" fillId="20" fontId="84" numFmtId="0" xfId="0" applyAlignment="1" applyFont="1">
      <alignment horizontal="right" readingOrder="0" vertical="bottom"/>
    </xf>
    <xf borderId="0" fillId="20" fontId="252" numFmtId="0" xfId="0" applyAlignment="1" applyFont="1">
      <alignment readingOrder="0" vertical="bottom"/>
    </xf>
    <xf borderId="0" fillId="20" fontId="84" numFmtId="0" xfId="0" applyAlignment="1" applyFont="1">
      <alignment readingOrder="0" vertical="bottom"/>
    </xf>
    <xf borderId="0" fillId="20" fontId="4" numFmtId="165" xfId="0" applyAlignment="1" applyFont="1" applyNumberFormat="1">
      <alignment horizontal="right" readingOrder="0" vertical="bottom"/>
    </xf>
    <xf borderId="0" fillId="20" fontId="243" numFmtId="0" xfId="0" applyAlignment="1" applyFont="1">
      <alignment horizontal="right" vertical="bottom"/>
    </xf>
    <xf borderId="0" fillId="20" fontId="253" numFmtId="0" xfId="0" applyAlignment="1" applyFont="1">
      <alignment readingOrder="0" vertical="bottom"/>
    </xf>
    <xf borderId="0" fillId="20" fontId="254" numFmtId="0" xfId="0" applyAlignment="1" applyFont="1">
      <alignment horizontal="right" readingOrder="0" vertical="bottom"/>
    </xf>
    <xf borderId="0" fillId="20" fontId="6" numFmtId="172" xfId="0" applyAlignment="1" applyFont="1" applyNumberFormat="1">
      <alignment horizontal="right" vertical="bottom"/>
    </xf>
    <xf borderId="0" fillId="20" fontId="255" numFmtId="0" xfId="0" applyAlignment="1" applyFont="1">
      <alignment horizontal="right" shrinkToFit="0" vertical="bottom" wrapText="1"/>
    </xf>
    <xf borderId="0" fillId="24" fontId="256" numFmtId="0" xfId="0" applyAlignment="1" applyFont="1">
      <alignment readingOrder="0" vertical="bottom"/>
    </xf>
    <xf borderId="0" fillId="24" fontId="257" numFmtId="0" xfId="0" applyAlignment="1" applyFont="1">
      <alignment vertical="bottom"/>
    </xf>
    <xf borderId="0" fillId="24" fontId="258" numFmtId="0" xfId="0" applyAlignment="1" applyFont="1">
      <alignment readingOrder="0" vertical="bottom"/>
    </xf>
    <xf borderId="0" fillId="24" fontId="6" numFmtId="0" xfId="0" applyAlignment="1" applyFont="1">
      <alignment horizontal="right" readingOrder="0" vertical="bottom"/>
    </xf>
    <xf borderId="0" fillId="27" fontId="4" numFmtId="0" xfId="0" applyAlignment="1" applyFont="1">
      <alignment shrinkToFit="0" vertical="bottom" wrapText="0"/>
    </xf>
    <xf borderId="0" fillId="27" fontId="259" numFmtId="0" xfId="0" applyAlignment="1" applyFont="1">
      <alignment readingOrder="0" vertical="bottom"/>
    </xf>
    <xf borderId="0" fillId="27" fontId="260" numFmtId="0" xfId="0" applyAlignment="1" applyFont="1">
      <alignment vertical="bottom"/>
    </xf>
    <xf borderId="0" fillId="22" fontId="261" numFmtId="0" xfId="0" applyAlignment="1" applyFont="1">
      <alignment readingOrder="0" vertical="bottom"/>
    </xf>
    <xf borderId="0" fillId="22" fontId="262" numFmtId="0" xfId="0" applyAlignment="1" applyFont="1">
      <alignment vertical="bottom"/>
    </xf>
    <xf borderId="0" fillId="22" fontId="50" numFmtId="0" xfId="0" applyAlignment="1" applyFont="1">
      <alignment vertical="bottom"/>
    </xf>
    <xf borderId="0" fillId="22" fontId="4" numFmtId="11" xfId="0" applyAlignment="1" applyFont="1" applyNumberFormat="1">
      <alignment horizontal="right" vertical="bottom"/>
    </xf>
    <xf borderId="0" fillId="22" fontId="6" numFmtId="172" xfId="0" applyAlignment="1" applyFont="1" applyNumberFormat="1">
      <alignment horizontal="right" vertical="bottom"/>
    </xf>
    <xf borderId="0" fillId="31" fontId="263" numFmtId="0" xfId="0" applyAlignment="1" applyFont="1">
      <alignment vertical="bottom"/>
    </xf>
    <xf borderId="0" fillId="31" fontId="50" numFmtId="0" xfId="0" applyAlignment="1" applyFont="1">
      <alignment horizontal="right" vertical="bottom"/>
    </xf>
    <xf borderId="0" fillId="31" fontId="50" numFmtId="0" xfId="0" applyAlignment="1" applyFont="1">
      <alignment vertical="bottom"/>
    </xf>
    <xf borderId="0" fillId="31" fontId="4" numFmtId="0" xfId="0" applyAlignment="1" applyFont="1">
      <alignment horizontal="right" vertical="bottom"/>
    </xf>
    <xf borderId="0" fillId="31" fontId="264" numFmtId="0" xfId="0" applyAlignment="1" applyFont="1">
      <alignment horizontal="right" vertical="bottom"/>
    </xf>
    <xf borderId="0" fillId="31" fontId="6" numFmtId="0" xfId="0" applyAlignment="1" applyFont="1">
      <alignment horizontal="right" vertical="bottom"/>
    </xf>
    <xf borderId="0" fillId="24" fontId="264" numFmtId="0" xfId="0" applyAlignment="1" applyFont="1">
      <alignment vertical="bottom"/>
    </xf>
    <xf borderId="0" fillId="24" fontId="265" numFmtId="0" xfId="0" applyAlignment="1" applyFont="1">
      <alignment horizontal="right" readingOrder="0" vertical="bottom"/>
    </xf>
    <xf borderId="0" fillId="31" fontId="266" numFmtId="0" xfId="0" applyAlignment="1" applyFont="1">
      <alignment readingOrder="0" vertical="bottom"/>
    </xf>
    <xf borderId="0" fillId="31" fontId="6" numFmtId="0" xfId="0" applyAlignment="1" applyFont="1">
      <alignment horizontal="right" vertical="bottom"/>
    </xf>
    <xf borderId="0" fillId="31" fontId="267" numFmtId="0" xfId="0" applyAlignment="1" applyFont="1">
      <alignment horizontal="right" readingOrder="0" vertical="bottom"/>
    </xf>
    <xf borderId="0" fillId="31" fontId="6" numFmtId="0" xfId="0" applyAlignment="1" applyFont="1">
      <alignment horizontal="right" readingOrder="0" vertical="bottom"/>
    </xf>
    <xf borderId="0" fillId="22" fontId="54" numFmtId="11" xfId="0" applyAlignment="1" applyFont="1" applyNumberFormat="1">
      <alignment horizontal="right" vertical="bottom"/>
    </xf>
    <xf borderId="0" fillId="22" fontId="268" numFmtId="0" xfId="0" applyAlignment="1" applyFont="1">
      <alignment vertical="bottom"/>
    </xf>
    <xf borderId="0" fillId="22" fontId="54" numFmtId="0" xfId="0" applyAlignment="1" applyFont="1">
      <alignment horizontal="right" vertical="bottom"/>
    </xf>
    <xf borderId="0" fillId="0" fontId="4" numFmtId="173" xfId="0" applyAlignment="1" applyFont="1" applyNumberFormat="1">
      <alignment horizontal="right" vertical="bottom"/>
    </xf>
    <xf borderId="0" fillId="27" fontId="50" numFmtId="0" xfId="0" applyAlignment="1" applyFont="1">
      <alignment horizontal="right" vertical="bottom"/>
    </xf>
    <xf borderId="0" fillId="27" fontId="50" numFmtId="0" xfId="0" applyAlignment="1" applyFont="1">
      <alignment vertical="bottom"/>
    </xf>
    <xf borderId="0" fillId="24" fontId="243" numFmtId="0" xfId="0" applyAlignment="1" applyFont="1">
      <alignment horizontal="right" vertical="bottom"/>
    </xf>
    <xf borderId="0" fillId="31" fontId="4" numFmtId="0" xfId="0" applyAlignment="1" applyFont="1">
      <alignment horizontal="right" readingOrder="0" vertical="bottom"/>
    </xf>
    <xf borderId="0" fillId="32" fontId="4" numFmtId="0" xfId="0" applyAlignment="1" applyFont="1">
      <alignment shrinkToFit="0" vertical="bottom" wrapText="0"/>
    </xf>
    <xf borderId="0" fillId="32" fontId="269" numFmtId="0" xfId="0" applyAlignment="1" applyFont="1">
      <alignment readingOrder="0" vertical="bottom"/>
    </xf>
    <xf borderId="0" fillId="32" fontId="270" numFmtId="0" xfId="0" applyAlignment="1" applyFont="1">
      <alignment readingOrder="0" vertical="bottom"/>
    </xf>
    <xf borderId="0" fillId="32" fontId="271" numFmtId="0" xfId="0" applyAlignment="1" applyFont="1">
      <alignment vertical="bottom"/>
    </xf>
    <xf borderId="0" fillId="32" fontId="4" numFmtId="169" xfId="0" applyAlignment="1" applyFont="1" applyNumberFormat="1">
      <alignment horizontal="right" vertical="bottom"/>
    </xf>
    <xf borderId="0" fillId="32" fontId="6" numFmtId="0" xfId="0" applyAlignment="1" applyFont="1">
      <alignment horizontal="right" vertical="bottom"/>
    </xf>
    <xf borderId="0" fillId="25" fontId="272" numFmtId="0" xfId="0" applyAlignment="1" applyFont="1">
      <alignment readingOrder="0" vertical="bottom"/>
    </xf>
    <xf borderId="0" fillId="25" fontId="255" numFmtId="0" xfId="0" applyAlignment="1" applyFont="1">
      <alignment horizontal="right" shrinkToFit="0" vertical="bottom" wrapText="1"/>
    </xf>
    <xf borderId="0" fillId="25" fontId="4" numFmtId="0" xfId="0" applyAlignment="1" applyFont="1">
      <alignment horizontal="right" readingOrder="0" vertical="bottom"/>
    </xf>
    <xf borderId="0" fillId="25" fontId="6" numFmtId="0" xfId="0" applyAlignment="1" applyFont="1">
      <alignment horizontal="right" vertical="bottom"/>
    </xf>
    <xf borderId="0" fillId="25" fontId="6" numFmtId="0" xfId="0" applyAlignment="1" applyFont="1">
      <alignment horizontal="right" vertical="bottom"/>
    </xf>
    <xf borderId="0" fillId="25" fontId="243" numFmtId="0" xfId="0" applyAlignment="1" applyFont="1">
      <alignment horizontal="right" vertical="top"/>
    </xf>
    <xf borderId="0" fillId="25" fontId="273" numFmtId="0" xfId="0" applyAlignment="1" applyFont="1">
      <alignment horizontal="right" readingOrder="0" vertical="bottom"/>
    </xf>
    <xf borderId="0" fillId="13" fontId="4" numFmtId="0" xfId="0" applyAlignment="1" applyFont="1">
      <alignment shrinkToFit="0" vertical="bottom" wrapText="0"/>
    </xf>
    <xf borderId="0" fillId="13" fontId="274" numFmtId="0" xfId="0" applyAlignment="1" applyFont="1">
      <alignment readingOrder="0" vertical="bottom"/>
    </xf>
    <xf borderId="0" fillId="13" fontId="275" numFmtId="0" xfId="0" applyAlignment="1" applyFont="1">
      <alignment vertical="bottom"/>
    </xf>
    <xf borderId="0" fillId="13" fontId="4" numFmtId="0" xfId="0" applyAlignment="1" applyFont="1">
      <alignment horizontal="right" vertical="bottom"/>
    </xf>
    <xf borderId="0" fillId="13" fontId="6" numFmtId="0" xfId="0" applyAlignment="1" applyFont="1">
      <alignment readingOrder="0" vertical="bottom"/>
    </xf>
    <xf borderId="0" fillId="13" fontId="276" numFmtId="0" xfId="0" applyAlignment="1" applyFont="1">
      <alignment horizontal="right" vertical="bottom"/>
    </xf>
    <xf borderId="0" fillId="13" fontId="277" numFmtId="0" xfId="0" applyAlignment="1" applyFont="1">
      <alignment shrinkToFit="0" vertical="bottom" wrapText="0"/>
    </xf>
    <xf borderId="0" fillId="13" fontId="243" numFmtId="0" xfId="0" applyAlignment="1" applyFont="1">
      <alignment horizontal="right" readingOrder="0" vertical="bottom"/>
    </xf>
    <xf borderId="0" fillId="13" fontId="4" numFmtId="0" xfId="0" applyAlignment="1" applyFont="1">
      <alignment horizontal="right" readingOrder="0" vertical="bottom"/>
    </xf>
    <xf borderId="0" fillId="13" fontId="6" numFmtId="0" xfId="0" applyAlignment="1" applyFont="1">
      <alignment horizontal="right" vertical="bottom"/>
    </xf>
    <xf borderId="0" fillId="30" fontId="50" numFmtId="0" xfId="0" applyAlignment="1" applyFont="1">
      <alignment horizontal="right" vertical="bottom"/>
    </xf>
    <xf borderId="0" fillId="30" fontId="50" numFmtId="0" xfId="0" applyAlignment="1" applyFont="1">
      <alignment vertical="bottom"/>
    </xf>
    <xf borderId="0" fillId="30" fontId="276" numFmtId="0" xfId="0" applyAlignment="1" applyFont="1">
      <alignment horizontal="right" vertical="bottom"/>
    </xf>
    <xf borderId="0" fillId="30" fontId="4" numFmtId="0" xfId="0" applyAlignment="1" applyFont="1">
      <alignment shrinkToFit="0" vertical="bottom" wrapText="0"/>
    </xf>
    <xf borderId="0" fillId="30" fontId="54" numFmtId="0" xfId="0" applyAlignment="1" applyFont="1">
      <alignment vertical="bottom"/>
    </xf>
    <xf borderId="0" fillId="22" fontId="84" numFmtId="0" xfId="0" applyAlignment="1" applyFont="1">
      <alignment vertical="bottom"/>
    </xf>
    <xf borderId="0" fillId="22" fontId="276" numFmtId="0" xfId="0" applyAlignment="1" applyFont="1">
      <alignment vertical="bottom"/>
    </xf>
    <xf borderId="0" fillId="13" fontId="278" numFmtId="0" xfId="0" applyAlignment="1" applyFont="1">
      <alignment readingOrder="0" vertical="bottom"/>
    </xf>
    <xf borderId="0" fillId="13" fontId="54" numFmtId="0" xfId="0" applyAlignment="1" applyFont="1">
      <alignment vertical="bottom"/>
    </xf>
    <xf borderId="0" fillId="13" fontId="6" numFmtId="0" xfId="0" applyAlignment="1" applyFont="1">
      <alignment horizontal="right" readingOrder="0" vertical="bottom"/>
    </xf>
    <xf borderId="0" fillId="24" fontId="243" numFmtId="0" xfId="0" applyAlignment="1" applyFont="1">
      <alignment shrinkToFit="0" vertical="bottom" wrapText="0"/>
    </xf>
    <xf borderId="0" fillId="37" fontId="5" numFmtId="0" xfId="0" applyFont="1"/>
    <xf borderId="0" fillId="37" fontId="6" numFmtId="0" xfId="0" applyAlignment="1" applyFont="1">
      <alignment vertical="bottom"/>
    </xf>
    <xf borderId="0" fillId="37" fontId="11" numFmtId="0" xfId="0" applyAlignment="1" applyFont="1">
      <alignment readingOrder="0"/>
    </xf>
    <xf borderId="0" fillId="37" fontId="11" numFmtId="0" xfId="0" applyFont="1"/>
    <xf borderId="0" fillId="37" fontId="4" numFmtId="0" xfId="0" applyAlignment="1" applyFont="1">
      <alignment vertical="bottom"/>
    </xf>
    <xf borderId="0" fillId="37" fontId="4" numFmtId="165" xfId="0" applyAlignment="1" applyFont="1" applyNumberFormat="1">
      <alignment horizontal="right" vertical="bottom"/>
    </xf>
    <xf borderId="0" fillId="37" fontId="4" numFmtId="0" xfId="0" applyAlignment="1" applyFont="1">
      <alignment readingOrder="0" vertical="bottom"/>
    </xf>
    <xf borderId="0" fillId="37" fontId="279" numFmtId="0" xfId="0" applyAlignment="1" applyFont="1">
      <alignment readingOrder="0" vertical="bottom"/>
    </xf>
    <xf borderId="0" fillId="37" fontId="4" numFmtId="0" xfId="0" applyAlignment="1" applyFont="1">
      <alignment horizontal="right" vertical="bottom"/>
    </xf>
    <xf borderId="0" fillId="37" fontId="280" numFmtId="0" xfId="0" applyAlignment="1" applyFont="1">
      <alignment vertical="bottom"/>
    </xf>
    <xf borderId="0" fillId="37" fontId="50" numFmtId="0" xfId="0" applyAlignment="1" applyFont="1">
      <alignment horizontal="right" vertical="bottom"/>
    </xf>
    <xf borderId="0" fillId="37" fontId="50" numFmtId="0" xfId="0" applyAlignment="1" applyFont="1">
      <alignment vertical="bottom"/>
    </xf>
    <xf borderId="0" fillId="37" fontId="281" numFmtId="0" xfId="0" applyAlignment="1" applyFont="1">
      <alignment vertical="bottom"/>
    </xf>
    <xf borderId="0" fillId="37" fontId="282" numFmtId="0" xfId="0" applyAlignment="1" applyFont="1">
      <alignment horizontal="right" vertical="bottom"/>
    </xf>
    <xf borderId="0" fillId="37" fontId="4" numFmtId="0" xfId="0" applyAlignment="1" applyFont="1">
      <alignment shrinkToFit="0" vertical="bottom" wrapText="0"/>
    </xf>
    <xf borderId="0" fillId="0" fontId="282" numFmtId="0" xfId="0" applyAlignment="1" applyFont="1">
      <alignment horizontal="right" readingOrder="0" vertical="bottom"/>
    </xf>
    <xf borderId="0" fillId="0" fontId="282" numFmtId="0" xfId="0" applyAlignment="1" applyFont="1">
      <alignment horizontal="right" vertical="bottom"/>
    </xf>
    <xf borderId="0" fillId="21" fontId="243" numFmtId="0" xfId="0" applyAlignment="1" applyFont="1">
      <alignment horizontal="right" vertical="bottom"/>
    </xf>
    <xf borderId="0" fillId="31" fontId="282" numFmtId="0" xfId="0" applyAlignment="1" applyFont="1">
      <alignment horizontal="right" vertical="bottom"/>
    </xf>
    <xf borderId="0" fillId="0" fontId="282" numFmtId="11" xfId="0" applyAlignment="1" applyFont="1" applyNumberFormat="1">
      <alignment horizontal="right" vertical="bottom"/>
    </xf>
    <xf borderId="0" fillId="0" fontId="282" numFmtId="0" xfId="0" applyAlignment="1" applyFont="1">
      <alignment horizontal="right" vertical="top"/>
    </xf>
    <xf borderId="13" fillId="0" fontId="4" numFmtId="0" xfId="0" applyAlignment="1" applyBorder="1" applyFont="1">
      <alignment horizontal="right" vertical="bottom"/>
    </xf>
    <xf borderId="13" fillId="0" fontId="4" numFmtId="11" xfId="0" applyAlignment="1" applyBorder="1" applyFont="1" applyNumberFormat="1">
      <alignment horizontal="right" vertical="top"/>
    </xf>
    <xf borderId="0" fillId="0" fontId="283" numFmtId="0" xfId="0" applyAlignment="1" applyFont="1">
      <alignment horizontal="right" vertical="bottom"/>
    </xf>
    <xf borderId="0" fillId="0" fontId="284" numFmtId="0" xfId="0" applyAlignment="1" applyFont="1">
      <alignment horizontal="right" readingOrder="0" vertical="bottom"/>
    </xf>
    <xf borderId="0" fillId="33" fontId="5" numFmtId="0" xfId="0" applyFont="1"/>
    <xf borderId="0" fillId="33" fontId="11" numFmtId="0" xfId="0" applyAlignment="1" applyFont="1">
      <alignment readingOrder="0"/>
    </xf>
    <xf borderId="0" fillId="33" fontId="11" numFmtId="0" xfId="0" applyFont="1"/>
    <xf borderId="0" fillId="33" fontId="4" numFmtId="165" xfId="0" applyAlignment="1" applyFont="1" applyNumberFormat="1">
      <alignment horizontal="right" vertical="bottom"/>
    </xf>
    <xf borderId="0" fillId="33" fontId="285" numFmtId="0" xfId="0" applyAlignment="1" applyFont="1">
      <alignment readingOrder="0" vertical="bottom"/>
    </xf>
    <xf borderId="0" fillId="33" fontId="4" numFmtId="0" xfId="0" applyAlignment="1" applyFont="1">
      <alignment horizontal="right" vertical="bottom"/>
    </xf>
    <xf borderId="0" fillId="33" fontId="286" numFmtId="0" xfId="0" applyAlignment="1" applyFont="1">
      <alignment vertical="bottom"/>
    </xf>
    <xf borderId="0" fillId="33" fontId="282" numFmtId="0" xfId="0" applyAlignment="1" applyFont="1">
      <alignment horizontal="right" readingOrder="0" vertical="bottom"/>
    </xf>
    <xf borderId="0" fillId="33" fontId="6" numFmtId="0" xfId="0" applyAlignment="1" applyFont="1">
      <alignment readingOrder="0" vertical="bottom"/>
    </xf>
    <xf borderId="0" fillId="33" fontId="282" numFmtId="0" xfId="0" applyAlignment="1" applyFont="1">
      <alignment horizontal="right" vertical="bottom"/>
    </xf>
    <xf borderId="0" fillId="33" fontId="287" numFmtId="0" xfId="0" applyAlignment="1" applyFont="1">
      <alignment shrinkToFit="0" vertical="bottom" wrapText="0"/>
    </xf>
    <xf borderId="0" fillId="33" fontId="288" numFmtId="0" xfId="0" applyAlignment="1" applyFont="1">
      <alignment readingOrder="0" vertical="bottom"/>
    </xf>
    <xf borderId="13" fillId="33" fontId="289" numFmtId="0" xfId="0" applyAlignment="1" applyBorder="1" applyFont="1">
      <alignment horizontal="right" readingOrder="0" vertical="bottom"/>
    </xf>
    <xf borderId="0" fillId="33" fontId="128" numFmtId="0" xfId="0" applyAlignment="1" applyFont="1">
      <alignment readingOrder="0" vertical="bottom"/>
    </xf>
    <xf borderId="0" fillId="33" fontId="6" numFmtId="0" xfId="0" applyAlignment="1" applyFont="1">
      <alignment horizontal="right" vertical="bottom"/>
    </xf>
    <xf borderId="0" fillId="33" fontId="243" numFmtId="0" xfId="0" applyAlignment="1" applyFont="1">
      <alignment horizontal="right" vertical="bottom"/>
    </xf>
    <xf borderId="0" fillId="33" fontId="30" numFmtId="0" xfId="0" applyAlignment="1" applyFont="1">
      <alignment vertical="bottom"/>
    </xf>
    <xf borderId="0" fillId="33" fontId="4" numFmtId="165" xfId="0" applyAlignment="1" applyFont="1" applyNumberFormat="1">
      <alignment vertical="bottom"/>
    </xf>
    <xf borderId="0" fillId="33" fontId="30" numFmtId="165" xfId="0" applyAlignment="1" applyFont="1" applyNumberFormat="1">
      <alignment horizontal="right" vertical="bottom"/>
    </xf>
    <xf borderId="1" fillId="33" fontId="290" numFmtId="0" xfId="0" applyAlignment="1" applyBorder="1" applyFont="1">
      <alignment vertical="bottom"/>
    </xf>
    <xf borderId="0" fillId="33" fontId="291" numFmtId="0" xfId="0" applyAlignment="1" applyFont="1">
      <alignment vertical="bottom"/>
    </xf>
    <xf borderId="0" fillId="33" fontId="12" numFmtId="0" xfId="0" applyAlignment="1" applyFont="1">
      <alignment vertical="bottom"/>
    </xf>
    <xf borderId="1" fillId="33" fontId="4" numFmtId="0" xfId="0" applyAlignment="1" applyBorder="1" applyFont="1">
      <alignment vertical="bottom"/>
    </xf>
    <xf borderId="7" fillId="33" fontId="4" numFmtId="0" xfId="0" applyAlignment="1" applyBorder="1" applyFont="1">
      <alignment vertical="bottom"/>
    </xf>
    <xf borderId="0" fillId="33" fontId="4" numFmtId="2" xfId="0" applyAlignment="1" applyFont="1" applyNumberFormat="1">
      <alignment horizontal="right" vertical="bottom"/>
    </xf>
    <xf borderId="0" fillId="33" fontId="30" numFmtId="0" xfId="0" applyAlignment="1" applyFont="1">
      <alignment vertical="bottom"/>
    </xf>
    <xf borderId="1" fillId="33" fontId="30" numFmtId="0" xfId="0" applyAlignment="1" applyBorder="1" applyFont="1">
      <alignment vertical="bottom"/>
    </xf>
    <xf borderId="0" fillId="33" fontId="4" numFmtId="0" xfId="0" applyAlignment="1" applyFont="1">
      <alignment shrinkToFit="0" vertical="top" wrapText="1"/>
    </xf>
    <xf borderId="0" fillId="33" fontId="30" numFmtId="0" xfId="0" applyAlignment="1" applyFont="1">
      <alignment readingOrder="0" vertical="bottom"/>
    </xf>
    <xf borderId="0" fillId="33" fontId="30" numFmtId="0" xfId="0" applyAlignment="1" applyFont="1">
      <alignment horizontal="right" vertical="bottom"/>
    </xf>
    <xf borderId="0" fillId="33" fontId="30" numFmtId="0" xfId="0" applyAlignment="1" applyFont="1">
      <alignment horizontal="right" vertical="bottom"/>
    </xf>
    <xf borderId="13" fillId="33" fontId="4" numFmtId="0" xfId="0" applyAlignment="1" applyBorder="1" applyFont="1">
      <alignment horizontal="right" vertical="bottom"/>
    </xf>
    <xf borderId="13" fillId="33" fontId="243" numFmtId="0" xfId="0" applyAlignment="1" applyBorder="1" applyFont="1">
      <alignment horizontal="right" vertical="bottom"/>
    </xf>
    <xf borderId="0" fillId="33" fontId="4" numFmtId="0" xfId="0" applyAlignment="1" applyFont="1">
      <alignment horizontal="right" readingOrder="0" vertical="bottom"/>
    </xf>
    <xf borderId="0" fillId="0" fontId="30" numFmtId="0" xfId="0" applyAlignment="1" applyFont="1">
      <alignment vertical="bottom"/>
    </xf>
    <xf borderId="0" fillId="0" fontId="4" numFmtId="165" xfId="0" applyAlignment="1" applyFont="1" applyNumberFormat="1">
      <alignment vertical="bottom"/>
    </xf>
    <xf borderId="0" fillId="0" fontId="30" numFmtId="165" xfId="0" applyAlignment="1" applyFont="1" applyNumberFormat="1">
      <alignment horizontal="right" vertical="bottom"/>
    </xf>
    <xf borderId="1" fillId="0" fontId="290" numFmtId="0" xfId="0" applyAlignment="1" applyBorder="1" applyFont="1">
      <alignment vertical="bottom"/>
    </xf>
    <xf borderId="0" fillId="0" fontId="12" numFmtId="0" xfId="0" applyAlignment="1" applyFont="1">
      <alignment vertical="bottom"/>
    </xf>
    <xf borderId="0" fillId="0" fontId="4" numFmtId="0" xfId="0" applyAlignment="1" applyFont="1">
      <alignment readingOrder="0" shrinkToFit="0" vertical="bottom" wrapText="1"/>
    </xf>
    <xf borderId="0" fillId="0" fontId="4" numFmtId="2" xfId="0" applyAlignment="1" applyFont="1" applyNumberFormat="1">
      <alignment horizontal="right" vertical="bottom"/>
    </xf>
    <xf borderId="0" fillId="0" fontId="292" numFmtId="0" xfId="0" applyAlignment="1" applyFont="1">
      <alignment vertical="bottom"/>
    </xf>
    <xf borderId="0" fillId="0" fontId="293" numFmtId="0" xfId="0" applyAlignment="1" applyFont="1">
      <alignment horizontal="right" vertical="bottom"/>
    </xf>
    <xf borderId="0" fillId="0" fontId="294" numFmtId="0" xfId="0" applyAlignment="1" applyFont="1">
      <alignment readingOrder="0" shrinkToFit="0" vertical="bottom" wrapText="0"/>
    </xf>
    <xf borderId="0" fillId="0" fontId="84" numFmtId="0" xfId="0" applyAlignment="1" applyFont="1">
      <alignment horizontal="right" readingOrder="0" shrinkToFit="0" vertical="bottom" wrapText="1"/>
    </xf>
    <xf borderId="0" fillId="0" fontId="295" numFmtId="0" xfId="0" applyAlignment="1" applyFont="1">
      <alignment horizontal="right" shrinkToFit="0" vertical="bottom" wrapText="1"/>
    </xf>
    <xf borderId="0" fillId="0" fontId="296" numFmtId="0" xfId="0" applyAlignment="1" applyFont="1">
      <alignment horizontal="right" readingOrder="0" vertical="bottom"/>
    </xf>
    <xf borderId="0" fillId="0" fontId="297" numFmtId="0" xfId="0" applyAlignment="1" applyFont="1">
      <alignment vertical="bottom"/>
    </xf>
    <xf borderId="0" fillId="0" fontId="84" numFmtId="0" xfId="0" applyAlignment="1" applyFont="1">
      <alignment vertical="bottom"/>
    </xf>
    <xf borderId="0" fillId="21" fontId="298" numFmtId="0" xfId="0" applyAlignment="1" applyFont="1">
      <alignment horizontal="right" vertical="bottom"/>
    </xf>
    <xf borderId="0" fillId="0" fontId="243" numFmtId="0" xfId="0" applyAlignment="1" applyFont="1">
      <alignment horizontal="right" vertical="top"/>
    </xf>
    <xf borderId="0" fillId="0" fontId="4" numFmtId="172" xfId="0" applyAlignment="1" applyFont="1" applyNumberFormat="1">
      <alignment horizontal="right" vertical="bottom"/>
    </xf>
    <xf borderId="0" fillId="0" fontId="6" numFmtId="11" xfId="0" applyAlignment="1" applyFont="1" applyNumberFormat="1">
      <alignment horizontal="right" vertical="bottom"/>
    </xf>
    <xf borderId="0" fillId="0" fontId="299" numFmtId="0" xfId="0" applyAlignment="1" applyFont="1">
      <alignment horizontal="right" vertical="bottom"/>
    </xf>
    <xf borderId="0" fillId="0" fontId="255" numFmtId="0" xfId="0" applyAlignment="1" applyFont="1">
      <alignment horizontal="right" shrinkToFit="0" vertical="bottom" wrapText="1"/>
    </xf>
    <xf borderId="0" fillId="0" fontId="4" numFmtId="174" xfId="0" applyAlignment="1" applyFont="1" applyNumberFormat="1">
      <alignment horizontal="right" vertical="bottom"/>
    </xf>
    <xf borderId="0" fillId="0" fontId="300" numFmtId="0" xfId="0" applyAlignment="1" applyFont="1">
      <alignment readingOrder="0" vertical="bottom"/>
    </xf>
    <xf borderId="1" fillId="31" fontId="4" numFmtId="0" xfId="0" applyAlignment="1" applyBorder="1" applyFont="1">
      <alignment vertical="bottom"/>
    </xf>
    <xf borderId="0" fillId="31" fontId="54" numFmtId="0" xfId="0" applyAlignment="1" applyFont="1">
      <alignment horizontal="right" vertical="bottom"/>
    </xf>
    <xf borderId="0" fillId="31" fontId="255" numFmtId="0" xfId="0" applyAlignment="1" applyFont="1">
      <alignment horizontal="right" shrinkToFit="0" vertical="bottom" wrapText="1"/>
    </xf>
    <xf borderId="0" fillId="0" fontId="54" numFmtId="11" xfId="0" applyAlignment="1" applyFont="1" applyNumberFormat="1">
      <alignment horizontal="right" vertical="bottom"/>
    </xf>
    <xf borderId="0" fillId="40" fontId="6" numFmtId="0" xfId="0" applyAlignment="1" applyFill="1" applyFont="1">
      <alignment vertical="bottom"/>
    </xf>
    <xf borderId="0" fillId="40" fontId="4" numFmtId="0" xfId="0" applyAlignment="1" applyFont="1">
      <alignment vertical="bottom"/>
    </xf>
    <xf borderId="0" fillId="40" fontId="4" numFmtId="0" xfId="0" applyAlignment="1" applyFont="1">
      <alignment vertical="bottom"/>
    </xf>
    <xf borderId="0" fillId="40" fontId="4" numFmtId="165" xfId="0" applyAlignment="1" applyFont="1" applyNumberFormat="1">
      <alignment horizontal="right" vertical="bottom"/>
    </xf>
    <xf borderId="0" fillId="40" fontId="6" numFmtId="165" xfId="0" applyAlignment="1" applyFont="1" applyNumberFormat="1">
      <alignment horizontal="right" vertical="bottom"/>
    </xf>
    <xf borderId="0" fillId="40" fontId="4" numFmtId="0" xfId="0" applyAlignment="1" applyFont="1">
      <alignment horizontal="right" vertical="bottom"/>
    </xf>
    <xf borderId="1" fillId="40" fontId="4" numFmtId="0" xfId="0" applyAlignment="1" applyBorder="1" applyFont="1">
      <alignment vertical="bottom"/>
    </xf>
    <xf borderId="0" fillId="40" fontId="6" numFmtId="0" xfId="0" applyAlignment="1" applyFont="1">
      <alignment vertical="bottom"/>
    </xf>
    <xf borderId="0" fillId="40" fontId="6" numFmtId="0" xfId="0" applyAlignment="1" applyFont="1">
      <alignment vertical="bottom"/>
    </xf>
    <xf borderId="0" fillId="40" fontId="6" numFmtId="0" xfId="0" applyAlignment="1" applyFont="1">
      <alignment readingOrder="0" vertical="bottom"/>
    </xf>
    <xf borderId="0" fillId="40" fontId="128" numFmtId="0" xfId="0" applyAlignment="1" applyFont="1">
      <alignment readingOrder="0" vertical="bottom"/>
    </xf>
    <xf borderId="0" fillId="40" fontId="84" numFmtId="0" xfId="0" applyAlignment="1" applyFont="1">
      <alignment readingOrder="0" vertical="bottom"/>
    </xf>
    <xf borderId="0" fillId="40" fontId="6" numFmtId="0" xfId="0" applyAlignment="1" applyFont="1">
      <alignment horizontal="right" vertical="bottom"/>
    </xf>
    <xf borderId="0" fillId="15" fontId="6" numFmtId="165" xfId="0" applyAlignment="1" applyFont="1" applyNumberFormat="1">
      <alignment horizontal="right" vertical="bottom"/>
    </xf>
    <xf borderId="1" fillId="15" fontId="301" numFmtId="0" xfId="0" applyAlignment="1" applyBorder="1" applyFont="1">
      <alignment readingOrder="0" vertical="bottom"/>
    </xf>
    <xf borderId="0" fillId="31" fontId="6" numFmtId="165" xfId="0" applyAlignment="1" applyFont="1" applyNumberFormat="1">
      <alignment horizontal="right" vertical="bottom"/>
    </xf>
    <xf borderId="0" fillId="31" fontId="6" numFmtId="11" xfId="0" applyAlignment="1" applyFont="1" applyNumberFormat="1">
      <alignment horizontal="right" vertical="bottom"/>
    </xf>
    <xf borderId="0" fillId="31" fontId="128" numFmtId="0" xfId="0" applyAlignment="1" applyFont="1">
      <alignment readingOrder="0" vertical="bottom"/>
    </xf>
    <xf borderId="0" fillId="31" fontId="4" numFmtId="11" xfId="0" applyAlignment="1" applyFont="1" applyNumberFormat="1">
      <alignment horizontal="right" vertical="bottom"/>
    </xf>
    <xf borderId="0" fillId="22" fontId="6" numFmtId="165" xfId="0" applyAlignment="1" applyFont="1" applyNumberFormat="1">
      <alignment horizontal="right" vertical="bottom"/>
    </xf>
    <xf borderId="0" fillId="22" fontId="128" numFmtId="0" xfId="0" applyAlignment="1" applyFont="1">
      <alignment readingOrder="0" vertical="bottom"/>
    </xf>
    <xf borderId="0" fillId="24" fontId="6" numFmtId="165" xfId="0" applyAlignment="1" applyFont="1" applyNumberFormat="1">
      <alignment horizontal="right" vertical="bottom"/>
    </xf>
    <xf borderId="0" fillId="24" fontId="128" numFmtId="0" xfId="0" applyAlignment="1" applyFont="1">
      <alignment readingOrder="0" vertical="bottom"/>
    </xf>
    <xf borderId="0" fillId="40" fontId="35" numFmtId="0" xfId="0" applyAlignment="1" applyFont="1">
      <alignment readingOrder="0" vertical="bottom"/>
    </xf>
    <xf borderId="0" fillId="0" fontId="128" numFmtId="0" xfId="0" applyAlignment="1" applyFont="1">
      <alignment readingOrder="0" vertical="bottom"/>
    </xf>
    <xf borderId="0" fillId="0" fontId="4" numFmtId="11" xfId="0" applyAlignment="1" applyFont="1" applyNumberFormat="1">
      <alignment vertical="bottom"/>
    </xf>
    <xf borderId="0" fillId="40" fontId="302" numFmtId="0" xfId="0" applyAlignment="1" applyFont="1">
      <alignment vertical="bottom"/>
    </xf>
    <xf borderId="0" fillId="41" fontId="6" numFmtId="0" xfId="0" applyAlignment="1" applyFill="1" applyFont="1">
      <alignment vertical="bottom"/>
    </xf>
    <xf borderId="0" fillId="40" fontId="6" numFmtId="0" xfId="0" applyAlignment="1" applyFont="1">
      <alignment horizontal="right" vertical="bottom"/>
    </xf>
    <xf borderId="0" fillId="40" fontId="303" numFmtId="0" xfId="0" applyAlignment="1" applyFont="1">
      <alignment vertical="bottom"/>
    </xf>
    <xf borderId="0" fillId="15" fontId="4" numFmtId="11" xfId="0" applyAlignment="1" applyFont="1" applyNumberFormat="1">
      <alignment horizontal="right" vertical="bottom"/>
    </xf>
    <xf borderId="0" fillId="40" fontId="304" numFmtId="0" xfId="0" applyAlignment="1" applyFont="1">
      <alignment readingOrder="0" vertical="bottom"/>
    </xf>
    <xf borderId="0" fillId="40" fontId="6" numFmtId="11" xfId="0" applyAlignment="1" applyFont="1" applyNumberFormat="1">
      <alignment horizontal="right" vertical="bottom"/>
    </xf>
    <xf borderId="0" fillId="15" fontId="4" numFmtId="2" xfId="0" applyAlignment="1" applyFont="1" applyNumberFormat="1">
      <alignment vertical="bottom"/>
    </xf>
    <xf borderId="0" fillId="40" fontId="6" numFmtId="0" xfId="0" applyAlignment="1" applyFont="1">
      <alignment horizontal="right" readingOrder="0" vertical="bottom"/>
    </xf>
    <xf borderId="0" fillId="40" fontId="6" numFmtId="11" xfId="0" applyAlignment="1" applyFont="1" applyNumberFormat="1">
      <alignment horizontal="right" readingOrder="0" vertical="bottom"/>
    </xf>
    <xf borderId="0" fillId="15" fontId="305" numFmtId="0" xfId="0" applyAlignment="1" applyFont="1">
      <alignment vertical="bottom"/>
    </xf>
    <xf borderId="0" fillId="15" fontId="4" numFmtId="11" xfId="0" applyAlignment="1" applyFont="1" applyNumberFormat="1">
      <alignment vertical="bottom"/>
    </xf>
    <xf borderId="0" fillId="41" fontId="35" numFmtId="0" xfId="0" applyAlignment="1" applyFont="1">
      <alignment vertical="bottom"/>
    </xf>
    <xf borderId="0" fillId="41" fontId="35" numFmtId="0" xfId="0" applyAlignment="1" applyFont="1">
      <alignment horizontal="right" vertical="bottom"/>
    </xf>
    <xf borderId="0" fillId="15" fontId="12" numFmtId="0" xfId="0" applyAlignment="1" applyFont="1">
      <alignment horizontal="right" vertical="bottom"/>
    </xf>
    <xf borderId="0" fillId="41" fontId="4" numFmtId="0" xfId="0" applyAlignment="1" applyFont="1">
      <alignment vertical="bottom"/>
    </xf>
    <xf borderId="0" fillId="40" fontId="306" numFmtId="0" xfId="0" applyAlignment="1" applyFont="1">
      <alignment vertical="bottom"/>
    </xf>
    <xf borderId="0" fillId="0" fontId="12" numFmtId="0" xfId="0" applyAlignment="1" applyFont="1">
      <alignment horizontal="right" readingOrder="0" vertical="bottom"/>
    </xf>
    <xf borderId="0" fillId="40" fontId="35" numFmtId="0" xfId="0" applyAlignment="1" applyFont="1">
      <alignment horizontal="right" readingOrder="0" vertical="bottom"/>
    </xf>
    <xf borderId="0" fillId="41" fontId="6" numFmtId="0" xfId="0" applyAlignment="1" applyFont="1">
      <alignment readingOrder="0" vertical="bottom"/>
    </xf>
    <xf borderId="0" fillId="15" fontId="2" numFmtId="0" xfId="0" applyAlignment="1" applyFont="1">
      <alignment vertical="bottom"/>
    </xf>
    <xf borderId="0" fillId="15" fontId="307" numFmtId="0" xfId="0" applyAlignment="1" applyFont="1">
      <alignment horizontal="right" vertical="bottom"/>
    </xf>
    <xf borderId="0" fillId="15" fontId="12" numFmtId="0" xfId="0" applyAlignment="1" applyFont="1">
      <alignment vertical="bottom"/>
    </xf>
    <xf borderId="0" fillId="15" fontId="12" numFmtId="0" xfId="0" applyAlignment="1" applyFont="1">
      <alignment horizontal="right" vertical="bottom"/>
    </xf>
    <xf borderId="0" fillId="40" fontId="35" numFmtId="0" xfId="0" applyAlignment="1" applyFont="1">
      <alignment vertical="bottom"/>
    </xf>
    <xf borderId="1" fillId="15" fontId="4" numFmtId="0" xfId="0" applyAlignment="1" applyBorder="1" applyFont="1">
      <alignment vertical="bottom"/>
    </xf>
    <xf borderId="0" fillId="40" fontId="308" numFmtId="0" xfId="0" applyAlignment="1" applyFont="1">
      <alignment readingOrder="0" vertical="bottom"/>
    </xf>
    <xf borderId="0" fillId="15" fontId="4" numFmtId="175" xfId="0" applyAlignment="1" applyFont="1" applyNumberFormat="1">
      <alignment horizontal="right" vertical="bottom"/>
    </xf>
    <xf borderId="0" fillId="15" fontId="309" numFmtId="0" xfId="0" applyAlignment="1" applyFont="1">
      <alignment vertical="bottom"/>
    </xf>
    <xf borderId="0" fillId="15" fontId="310" numFmtId="0" xfId="0" applyAlignment="1" applyFont="1">
      <alignment vertical="bottom"/>
    </xf>
    <xf borderId="0" fillId="41" fontId="35" numFmtId="0" xfId="0" applyAlignment="1" applyFont="1">
      <alignment readingOrder="0" vertical="bottom"/>
    </xf>
    <xf borderId="0" fillId="0" fontId="84" numFmtId="0" xfId="0" applyAlignment="1" applyFont="1">
      <alignment readingOrder="0" vertical="bottom"/>
    </xf>
    <xf borderId="0" fillId="0" fontId="311" numFmtId="0" xfId="0" applyAlignment="1" applyFont="1">
      <alignment vertical="bottom"/>
    </xf>
    <xf borderId="0" fillId="0" fontId="84" numFmtId="0" xfId="0" applyAlignment="1" applyFont="1">
      <alignment horizontal="right" readingOrder="0" vertical="bottom"/>
    </xf>
    <xf borderId="0" fillId="0" fontId="312" numFmtId="11" xfId="0" applyAlignment="1" applyFont="1" applyNumberFormat="1">
      <alignment horizontal="right" vertical="bottom"/>
    </xf>
    <xf borderId="0" fillId="5" fontId="313" numFmtId="0" xfId="0" applyAlignment="1" applyFont="1">
      <alignment readingOrder="0" vertical="bottom"/>
    </xf>
    <xf borderId="0" fillId="0" fontId="4" numFmtId="176" xfId="0" applyAlignment="1" applyFont="1" applyNumberFormat="1">
      <alignment horizontal="right" vertical="bottom"/>
    </xf>
    <xf borderId="0" fillId="0" fontId="6" numFmtId="165" xfId="0" applyAlignment="1" applyFont="1" applyNumberFormat="1">
      <alignment horizontal="right" readingOrder="0" vertical="bottom"/>
    </xf>
    <xf borderId="0" fillId="0" fontId="84" numFmtId="0" xfId="0" applyAlignment="1" applyFont="1">
      <alignment horizontal="right" vertical="bottom"/>
    </xf>
    <xf borderId="0" fillId="0" fontId="83" numFmtId="0" xfId="0" applyAlignment="1" applyFont="1">
      <alignment vertical="bottom"/>
    </xf>
    <xf borderId="0" fillId="0" fontId="314" numFmtId="0" xfId="0" applyAlignment="1" applyFont="1">
      <alignment vertical="bottom"/>
    </xf>
    <xf borderId="0" fillId="21" fontId="83" numFmtId="0" xfId="0" applyAlignment="1" applyFont="1">
      <alignment vertical="bottom"/>
    </xf>
    <xf borderId="0" fillId="0" fontId="4" numFmtId="169" xfId="0" applyAlignment="1" applyFont="1" applyNumberFormat="1">
      <alignment horizontal="right" readingOrder="0" vertical="bottom"/>
    </xf>
    <xf borderId="0" fillId="0" fontId="315" numFmtId="0" xfId="0" applyAlignment="1" applyFont="1">
      <alignment vertical="bottom"/>
    </xf>
    <xf borderId="0" fillId="0" fontId="316" numFmtId="0" xfId="0" applyAlignment="1" applyFont="1">
      <alignment readingOrder="0" vertical="bottom"/>
    </xf>
    <xf borderId="0" fillId="0" fontId="317" numFmtId="0" xfId="0" applyAlignment="1" applyFont="1">
      <alignment vertical="bottom"/>
    </xf>
    <xf borderId="0" fillId="0" fontId="318" numFmtId="0" xfId="0" applyAlignment="1" applyFont="1">
      <alignment vertical="bottom"/>
    </xf>
    <xf borderId="0" fillId="0" fontId="319" numFmtId="0" xfId="0" applyAlignment="1" applyFont="1">
      <alignment horizontal="right" vertical="bottom"/>
    </xf>
    <xf borderId="0" fillId="0" fontId="50" numFmtId="169" xfId="0" applyAlignment="1" applyFont="1" applyNumberFormat="1">
      <alignment horizontal="right" vertical="bottom"/>
    </xf>
    <xf borderId="0" fillId="0" fontId="320" numFmtId="0" xfId="0" applyAlignment="1" applyFont="1">
      <alignment vertical="bottom"/>
    </xf>
    <xf borderId="0" fillId="0" fontId="321" numFmtId="0" xfId="0" applyAlignment="1" applyFont="1">
      <alignment vertical="bottom"/>
    </xf>
    <xf borderId="0" fillId="0" fontId="322" numFmtId="0" xfId="0" applyAlignment="1" applyFont="1">
      <alignment vertical="bottom"/>
    </xf>
    <xf borderId="0" fillId="0" fontId="6" numFmtId="169" xfId="0" applyAlignment="1" applyFont="1" applyNumberFormat="1">
      <alignment vertical="bottom"/>
    </xf>
    <xf borderId="0" fillId="0" fontId="52" numFmtId="0" xfId="0" applyAlignment="1" applyFont="1">
      <alignment vertical="bottom"/>
    </xf>
    <xf borderId="0" fillId="0" fontId="323" numFmtId="0" xfId="0" applyAlignment="1" applyFont="1">
      <alignment vertical="bottom"/>
    </xf>
    <xf borderId="0" fillId="5" fontId="4" numFmtId="169" xfId="0" applyAlignment="1" applyFont="1" applyNumberFormat="1">
      <alignment horizontal="right" readingOrder="0" vertical="bottom"/>
    </xf>
    <xf quotePrefix="1" borderId="0" fillId="0" fontId="4" numFmtId="0" xfId="0" applyAlignment="1" applyFont="1">
      <alignment readingOrder="0" vertical="bottom"/>
    </xf>
    <xf borderId="0" fillId="0" fontId="32" numFmtId="0" xfId="0" applyAlignment="1" applyFont="1">
      <alignment vertical="bottom"/>
    </xf>
    <xf borderId="0" fillId="0" fontId="91" numFmtId="0" xfId="0" applyAlignment="1" applyFont="1">
      <alignment vertical="bottom"/>
    </xf>
    <xf borderId="0" fillId="29" fontId="5" numFmtId="0" xfId="0" applyFont="1"/>
    <xf borderId="0" fillId="29" fontId="4" numFmtId="165" xfId="0" applyAlignment="1" applyFont="1" applyNumberFormat="1">
      <alignment vertical="bottom"/>
    </xf>
    <xf borderId="0" fillId="29" fontId="324" numFmtId="0" xfId="0" applyAlignment="1" applyFont="1">
      <alignment readingOrder="0" vertical="bottom"/>
    </xf>
    <xf borderId="0" fillId="29" fontId="4" numFmtId="49" xfId="0" applyAlignment="1" applyFont="1" applyNumberFormat="1">
      <alignment readingOrder="0" shrinkToFit="0" vertical="bottom" wrapText="0"/>
    </xf>
    <xf borderId="0" fillId="29" fontId="4" numFmtId="168" xfId="0" applyAlignment="1" applyFont="1" applyNumberFormat="1">
      <alignment horizontal="right" vertical="bottom"/>
    </xf>
    <xf borderId="0" fillId="24" fontId="4" numFmtId="165" xfId="0" applyAlignment="1" applyFont="1" applyNumberFormat="1">
      <alignment vertical="bottom"/>
    </xf>
    <xf borderId="0" fillId="5" fontId="325" numFmtId="0" xfId="0" applyAlignment="1" applyFont="1">
      <alignment readingOrder="0" vertical="bottom"/>
    </xf>
    <xf borderId="0" fillId="24" fontId="326" numFmtId="0" xfId="0" applyAlignment="1" applyFont="1">
      <alignment vertical="bottom"/>
    </xf>
    <xf borderId="0" fillId="24" fontId="4" numFmtId="168" xfId="0" applyAlignment="1" applyFont="1" applyNumberFormat="1">
      <alignment horizontal="right" vertical="bottom"/>
    </xf>
    <xf borderId="0" fillId="24" fontId="4" numFmtId="3" xfId="0" applyAlignment="1" applyFont="1" applyNumberFormat="1">
      <alignment horizontal="right" vertical="bottom"/>
    </xf>
    <xf borderId="0" fillId="29" fontId="4" numFmtId="164" xfId="0" applyAlignment="1" applyFont="1" applyNumberFormat="1">
      <alignment vertical="bottom"/>
    </xf>
    <xf borderId="0" fillId="29" fontId="327" numFmtId="0" xfId="0" applyAlignment="1" applyFont="1">
      <alignment readingOrder="0" vertical="bottom"/>
    </xf>
    <xf borderId="0" fillId="29" fontId="328" numFmtId="0" xfId="0" applyAlignment="1" applyFont="1">
      <alignment vertical="bottom"/>
    </xf>
    <xf borderId="0" fillId="29" fontId="4" numFmtId="169" xfId="0" applyAlignment="1" applyFont="1" applyNumberFormat="1">
      <alignment horizontal="right" vertical="bottom"/>
    </xf>
    <xf borderId="0" fillId="24" fontId="4" numFmtId="3" xfId="0" applyAlignment="1" applyFont="1" applyNumberFormat="1">
      <alignment vertical="bottom"/>
    </xf>
    <xf borderId="0" fillId="24" fontId="4" numFmtId="172" xfId="0" applyAlignment="1" applyFont="1" applyNumberFormat="1">
      <alignment horizontal="right" vertical="bottom"/>
    </xf>
    <xf borderId="0" fillId="29" fontId="5" numFmtId="165" xfId="0" applyAlignment="1" applyFont="1" applyNumberFormat="1">
      <alignment readingOrder="0"/>
    </xf>
    <xf borderId="0" fillId="29" fontId="329" numFmtId="0" xfId="0" applyAlignment="1" applyFont="1">
      <alignment readingOrder="0"/>
    </xf>
    <xf borderId="0" fillId="29" fontId="330" numFmtId="0" xfId="0" applyAlignment="1" applyFont="1">
      <alignment readingOrder="0"/>
    </xf>
    <xf borderId="0" fillId="0" fontId="331" numFmtId="0" xfId="0" applyAlignment="1" applyFont="1">
      <alignment readingOrder="0"/>
    </xf>
    <xf borderId="0" fillId="27" fontId="4" numFmtId="165" xfId="0" applyAlignment="1" applyFont="1" applyNumberFormat="1">
      <alignment vertical="bottom"/>
    </xf>
    <xf borderId="0" fillId="27" fontId="332" numFmtId="0" xfId="0" applyAlignment="1" applyFont="1">
      <alignment vertical="bottom"/>
    </xf>
    <xf borderId="0" fillId="27" fontId="84" numFmtId="0" xfId="0" applyAlignment="1" applyFont="1">
      <alignment readingOrder="0" vertical="bottom"/>
    </xf>
    <xf borderId="0" fillId="27" fontId="293" numFmtId="0" xfId="0" applyAlignment="1" applyFont="1">
      <alignment horizontal="right" vertical="bottom"/>
    </xf>
    <xf borderId="0" fillId="31" fontId="6" numFmtId="0" xfId="0" applyAlignment="1" applyFont="1">
      <alignment horizontal="right" vertical="bottom"/>
    </xf>
    <xf borderId="0" fillId="24" fontId="4" numFmtId="164" xfId="0" applyAlignment="1" applyFont="1" applyNumberFormat="1">
      <alignment horizontal="right" readingOrder="0" vertical="bottom"/>
    </xf>
    <xf borderId="0" fillId="2" fontId="4" numFmtId="0" xfId="0" applyAlignment="1" applyFont="1">
      <alignment readingOrder="0" vertical="bottom"/>
    </xf>
    <xf borderId="0" fillId="24" fontId="4" numFmtId="0" xfId="0" applyAlignment="1" applyFont="1">
      <alignment horizontal="right" shrinkToFit="0" vertical="bottom" wrapText="0"/>
    </xf>
    <xf borderId="0" fillId="16" fontId="4" numFmtId="49" xfId="0" applyAlignment="1" applyFont="1" applyNumberFormat="1">
      <alignment readingOrder="0" shrinkToFit="0" vertical="bottom" wrapText="0"/>
    </xf>
    <xf borderId="0" fillId="24" fontId="6" numFmtId="0" xfId="0" applyAlignment="1" applyFont="1">
      <alignment shrinkToFit="0" vertical="bottom" wrapText="0"/>
    </xf>
    <xf borderId="0" fillId="16" fontId="6" numFmtId="0" xfId="0" applyAlignment="1" applyFont="1">
      <alignment vertical="bottom"/>
    </xf>
    <xf borderId="0" fillId="16" fontId="4" numFmtId="0" xfId="0" applyAlignment="1" applyFont="1">
      <alignment shrinkToFit="0" vertical="bottom" wrapText="0"/>
    </xf>
    <xf borderId="0" fillId="16" fontId="4" numFmtId="0" xfId="0" applyAlignment="1" applyFont="1">
      <alignment horizontal="right" vertical="bottom"/>
    </xf>
    <xf borderId="0" fillId="16" fontId="4" numFmtId="0" xfId="0" applyAlignment="1" applyFont="1">
      <alignment horizontal="right" shrinkToFit="0" vertical="bottom" wrapText="0"/>
    </xf>
    <xf borderId="0" fillId="16" fontId="4" numFmtId="0" xfId="0" applyAlignment="1" applyFont="1">
      <alignment shrinkToFit="0" vertical="bottom" wrapText="0"/>
    </xf>
    <xf borderId="0" fillId="16" fontId="4" numFmtId="0" xfId="0" applyAlignment="1" applyFont="1">
      <alignment horizontal="right" shrinkToFit="0" vertical="bottom" wrapText="0"/>
    </xf>
    <xf borderId="0" fillId="16" fontId="6" numFmtId="0" xfId="0" applyAlignment="1" applyFont="1">
      <alignment shrinkToFit="0" vertical="bottom" wrapText="0"/>
    </xf>
    <xf borderId="0" fillId="30" fontId="4" numFmtId="164" xfId="0" applyAlignment="1" applyFont="1" applyNumberFormat="1">
      <alignment horizontal="right" readingOrder="0" vertical="bottom"/>
    </xf>
    <xf borderId="0" fillId="30" fontId="4" numFmtId="177" xfId="0" applyAlignment="1" applyFont="1" applyNumberFormat="1">
      <alignment horizontal="right" vertical="bottom"/>
    </xf>
    <xf borderId="0" fillId="24" fontId="4" numFmtId="177" xfId="0" applyAlignment="1" applyFont="1" applyNumberFormat="1">
      <alignment horizontal="right" vertical="bottom"/>
    </xf>
    <xf borderId="0" fillId="31" fontId="6" numFmtId="164" xfId="0" applyAlignment="1" applyFont="1" applyNumberFormat="1">
      <alignment horizontal="right" vertical="bottom"/>
    </xf>
    <xf borderId="0" fillId="31" fontId="35" numFmtId="0" xfId="0" applyAlignment="1" applyFont="1">
      <alignment vertical="bottom"/>
    </xf>
    <xf borderId="0" fillId="18" fontId="11" numFmtId="0" xfId="0" applyAlignment="1" applyFont="1">
      <alignment readingOrder="0"/>
    </xf>
    <xf borderId="0" fillId="18" fontId="5" numFmtId="0" xfId="0" applyAlignment="1" applyFont="1">
      <alignment readingOrder="0"/>
    </xf>
    <xf borderId="0" fillId="18" fontId="5" numFmtId="164" xfId="0" applyAlignment="1" applyFont="1" applyNumberFormat="1">
      <alignment readingOrder="0"/>
    </xf>
    <xf borderId="0" fillId="18" fontId="5" numFmtId="0" xfId="0" applyFont="1"/>
    <xf borderId="0" fillId="18" fontId="6" numFmtId="0" xfId="0" applyAlignment="1" applyFont="1">
      <alignment vertical="bottom"/>
    </xf>
    <xf borderId="0" fillId="14" fontId="4" numFmtId="0" xfId="0" applyAlignment="1" applyFont="1">
      <alignment shrinkToFit="0" vertical="bottom" wrapText="0"/>
    </xf>
    <xf borderId="0" fillId="21" fontId="333" numFmtId="0" xfId="0" applyAlignment="1" applyFont="1">
      <alignment readingOrder="0" shrinkToFit="0" vertical="bottom" wrapText="0"/>
    </xf>
    <xf borderId="0" fillId="23" fontId="4" numFmtId="0" xfId="0" applyAlignment="1" applyFont="1">
      <alignment shrinkToFit="0" vertical="bottom" wrapText="0"/>
    </xf>
    <xf borderId="0" fillId="0" fontId="4" numFmtId="3" xfId="0" applyAlignment="1" applyFont="1" applyNumberFormat="1">
      <alignment horizontal="right" shrinkToFit="0" vertical="bottom" wrapText="0"/>
    </xf>
    <xf borderId="0" fillId="14" fontId="4" numFmtId="0" xfId="0" applyAlignment="1" applyFont="1">
      <alignment vertical="bottom"/>
    </xf>
    <xf borderId="0" fillId="21" fontId="333" numFmtId="0" xfId="0" applyAlignment="1" applyFont="1">
      <alignment readingOrder="0" vertical="bottom"/>
    </xf>
    <xf borderId="0" fillId="24" fontId="4" numFmtId="165" xfId="0" applyAlignment="1" applyFont="1" applyNumberFormat="1">
      <alignment horizontal="right" readingOrder="0" shrinkToFit="0" vertical="bottom" wrapText="0"/>
    </xf>
    <xf borderId="0" fillId="24" fontId="333" numFmtId="0" xfId="0" applyAlignment="1" applyFont="1">
      <alignment readingOrder="0" shrinkToFit="0" vertical="bottom" wrapText="0"/>
    </xf>
    <xf borderId="0" fillId="24" fontId="12" numFmtId="0" xfId="0" applyAlignment="1" applyFont="1">
      <alignment horizontal="right" readingOrder="0" shrinkToFit="0" vertical="bottom" wrapText="0"/>
    </xf>
    <xf borderId="0" fillId="24" fontId="12" numFmtId="3" xfId="0" applyAlignment="1" applyFont="1" applyNumberFormat="1">
      <alignment horizontal="right" readingOrder="0" shrinkToFit="0" vertical="bottom" wrapText="0"/>
    </xf>
    <xf borderId="0" fillId="21" fontId="12" numFmtId="0" xfId="0" applyAlignment="1" applyFont="1">
      <alignment vertical="bottom"/>
    </xf>
    <xf borderId="0" fillId="24" fontId="12" numFmtId="0" xfId="0" applyAlignment="1" applyFont="1">
      <alignment readingOrder="0" shrinkToFit="0" vertical="bottom" wrapText="0"/>
    </xf>
    <xf borderId="0" fillId="24" fontId="334" numFmtId="0" xfId="0" applyAlignment="1" applyFont="1">
      <alignment readingOrder="0"/>
    </xf>
    <xf borderId="0" fillId="24" fontId="333" numFmtId="0" xfId="0" applyAlignment="1" applyFont="1">
      <alignment readingOrder="0" vertical="bottom"/>
    </xf>
    <xf borderId="0" fillId="32" fontId="4" numFmtId="165" xfId="0" applyAlignment="1" applyFont="1" applyNumberFormat="1">
      <alignment horizontal="right" shrinkToFit="0" vertical="bottom" wrapText="0"/>
    </xf>
    <xf borderId="0" fillId="32" fontId="333" numFmtId="0" xfId="0" applyAlignment="1" applyFont="1">
      <alignment readingOrder="0" shrinkToFit="0" vertical="bottom" wrapText="0"/>
    </xf>
    <xf borderId="0" fillId="32" fontId="335" numFmtId="0" xfId="0" applyAlignment="1" applyFont="1">
      <alignment shrinkToFit="0" vertical="bottom" wrapText="0"/>
    </xf>
    <xf borderId="0" fillId="32" fontId="4" numFmtId="3" xfId="0" applyAlignment="1" applyFont="1" applyNumberFormat="1">
      <alignment horizontal="right" shrinkToFit="0" vertical="bottom" wrapText="0"/>
    </xf>
    <xf borderId="0" fillId="32" fontId="4" numFmtId="0" xfId="0" applyAlignment="1" applyFont="1">
      <alignment horizontal="right" shrinkToFit="0" vertical="bottom" wrapText="0"/>
    </xf>
    <xf borderId="0" fillId="32" fontId="4" numFmtId="0" xfId="0" applyAlignment="1" applyFont="1">
      <alignment readingOrder="0" shrinkToFit="0" vertical="bottom" wrapText="0"/>
    </xf>
    <xf borderId="0" fillId="32" fontId="6" numFmtId="0" xfId="0" applyAlignment="1" applyFont="1">
      <alignment horizontal="right" readingOrder="0" vertical="bottom"/>
    </xf>
    <xf borderId="0" fillId="32" fontId="6" numFmtId="0" xfId="0" applyAlignment="1" applyFont="1">
      <alignment shrinkToFit="0" vertical="bottom" wrapText="0"/>
    </xf>
    <xf borderId="0" fillId="32" fontId="336" numFmtId="0" xfId="0" applyAlignment="1" applyFont="1">
      <alignment readingOrder="0" vertical="bottom"/>
    </xf>
    <xf borderId="0" fillId="32" fontId="337" numFmtId="0" xfId="0" applyAlignment="1" applyFont="1">
      <alignment readingOrder="0" vertical="bottom"/>
    </xf>
    <xf borderId="0" fillId="27" fontId="338" numFmtId="0" xfId="0" applyAlignment="1" applyFont="1">
      <alignment readingOrder="0" vertical="bottom"/>
    </xf>
    <xf borderId="0" fillId="0" fontId="5" numFmtId="0" xfId="0" applyAlignment="1" applyFont="1">
      <alignment horizontal="right" vertical="bottom"/>
    </xf>
    <xf borderId="0" fillId="0" fontId="339" numFmtId="0" xfId="0" applyAlignment="1" applyFont="1">
      <alignment readingOrder="0" vertical="bottom"/>
    </xf>
    <xf borderId="0" fillId="22" fontId="333" numFmtId="0" xfId="0" applyAlignment="1" applyFont="1">
      <alignment readingOrder="0" shrinkToFit="0" vertical="bottom" wrapText="0"/>
    </xf>
    <xf borderId="0" fillId="22" fontId="4" numFmtId="0" xfId="0" applyAlignment="1" applyFont="1">
      <alignment horizontal="right" shrinkToFit="0" vertical="bottom" wrapText="0"/>
    </xf>
    <xf borderId="0" fillId="22" fontId="6" numFmtId="0" xfId="0" applyAlignment="1" applyFont="1">
      <alignment shrinkToFit="0" vertical="bottom" wrapText="0"/>
    </xf>
    <xf borderId="0" fillId="22" fontId="4" numFmtId="3" xfId="0" applyAlignment="1" applyFont="1" applyNumberFormat="1">
      <alignment horizontal="right" shrinkToFit="0" vertical="bottom" wrapText="0"/>
    </xf>
    <xf borderId="0" fillId="22" fontId="4" numFmtId="0" xfId="0" applyAlignment="1" applyFont="1">
      <alignment horizontal="right" shrinkToFit="0" vertical="bottom" wrapText="0"/>
    </xf>
    <xf borderId="0" fillId="0" fontId="4" numFmtId="3" xfId="0" applyAlignment="1" applyFont="1" applyNumberFormat="1">
      <alignment vertical="bottom"/>
    </xf>
    <xf borderId="0" fillId="0" fontId="50" numFmtId="168" xfId="0" applyAlignment="1" applyFont="1" applyNumberFormat="1">
      <alignment horizontal="right" vertical="bottom"/>
    </xf>
    <xf borderId="0" fillId="0" fontId="4" numFmtId="168" xfId="0" applyAlignment="1" applyFont="1" applyNumberFormat="1">
      <alignment horizontal="right" vertical="bottom"/>
    </xf>
    <xf borderId="0" fillId="21" fontId="4" numFmtId="0" xfId="0" applyAlignment="1" applyFont="1">
      <alignment horizontal="right" shrinkToFit="0" vertical="bottom" wrapText="0"/>
    </xf>
    <xf borderId="0" fillId="21" fontId="4" numFmtId="0" xfId="0" applyAlignment="1" applyFont="1">
      <alignment horizontal="right" shrinkToFit="0" vertical="bottom" wrapText="0"/>
    </xf>
    <xf borderId="0" fillId="21" fontId="6" numFmtId="0" xfId="0" applyAlignment="1" applyFont="1">
      <alignment shrinkToFit="0" vertical="bottom" wrapText="0"/>
    </xf>
    <xf borderId="0" fillId="21" fontId="4" numFmtId="3" xfId="0" applyAlignment="1" applyFont="1" applyNumberFormat="1">
      <alignment horizontal="right" shrinkToFit="0" vertical="bottom" wrapText="0"/>
    </xf>
    <xf borderId="0" fillId="21" fontId="84" numFmtId="0" xfId="0" applyAlignment="1" applyFont="1">
      <alignment readingOrder="0" shrinkToFit="0" vertical="bottom" wrapText="0"/>
    </xf>
    <xf borderId="0" fillId="6" fontId="5" numFmtId="0" xfId="0" applyFont="1"/>
    <xf borderId="0" fillId="6" fontId="6" numFmtId="0" xfId="0" applyAlignment="1" applyFont="1">
      <alignment readingOrder="0" vertical="bottom"/>
    </xf>
    <xf borderId="0" fillId="6" fontId="4" numFmtId="165" xfId="0" applyAlignment="1" applyFont="1" applyNumberFormat="1">
      <alignment vertical="bottom"/>
    </xf>
    <xf borderId="0" fillId="6" fontId="4" numFmtId="168" xfId="0" applyAlignment="1" applyFont="1" applyNumberFormat="1">
      <alignment horizontal="right" vertical="bottom"/>
    </xf>
    <xf borderId="0" fillId="8" fontId="5" numFmtId="0" xfId="0" applyFont="1"/>
    <xf borderId="0" fillId="8" fontId="6" numFmtId="0" xfId="0" applyAlignment="1" applyFont="1">
      <alignment readingOrder="0" vertical="bottom"/>
    </xf>
    <xf borderId="0" fillId="8" fontId="11" numFmtId="0" xfId="0" applyAlignment="1" applyFont="1">
      <alignment readingOrder="0"/>
    </xf>
    <xf borderId="0" fillId="8" fontId="11" numFmtId="0" xfId="0" applyFont="1"/>
    <xf borderId="0" fillId="8" fontId="4" numFmtId="0" xfId="0" applyAlignment="1" applyFont="1">
      <alignment readingOrder="0" vertical="bottom"/>
    </xf>
    <xf borderId="0" fillId="8" fontId="4" numFmtId="0" xfId="0" applyAlignment="1" applyFont="1">
      <alignment horizontal="right" readingOrder="0" vertical="bottom"/>
    </xf>
    <xf borderId="0" fillId="8" fontId="6" numFmtId="165" xfId="0" applyAlignment="1" applyFont="1" applyNumberFormat="1">
      <alignment readingOrder="0" vertical="bottom"/>
    </xf>
    <xf borderId="0" fillId="8" fontId="4" numFmtId="0" xfId="0" applyAlignment="1" applyFont="1">
      <alignment vertical="bottom"/>
    </xf>
    <xf borderId="0" fillId="8" fontId="84" numFmtId="0" xfId="0" applyAlignment="1" applyFont="1">
      <alignment horizontal="right" readingOrder="0" vertical="bottom"/>
    </xf>
    <xf borderId="0" fillId="8" fontId="340" numFmtId="0" xfId="0" applyAlignment="1" applyFont="1">
      <alignment readingOrder="0" vertical="bottom"/>
    </xf>
    <xf borderId="0" fillId="8" fontId="83" numFmtId="0" xfId="0" applyAlignment="1" applyFont="1">
      <alignment readingOrder="0" vertical="bottom"/>
    </xf>
    <xf borderId="0" fillId="8" fontId="341" numFmtId="0" xfId="0" applyAlignment="1" applyFont="1">
      <alignment vertical="bottom"/>
    </xf>
    <xf borderId="0" fillId="8" fontId="6" numFmtId="0" xfId="0" applyAlignment="1" applyFont="1">
      <alignment horizontal="right" readingOrder="0" vertical="bottom"/>
    </xf>
    <xf borderId="0" fillId="8" fontId="342" numFmtId="0" xfId="0" applyAlignment="1" applyFont="1">
      <alignment vertical="bottom"/>
    </xf>
    <xf borderId="0" fillId="8" fontId="343" numFmtId="0" xfId="0" applyAlignment="1" applyFont="1">
      <alignment readingOrder="0" vertical="bottom"/>
    </xf>
    <xf borderId="0" fillId="16" fontId="5" numFmtId="0" xfId="0" applyFont="1"/>
    <xf borderId="0" fillId="16" fontId="4" numFmtId="0" xfId="0" applyAlignment="1" applyFont="1">
      <alignment horizontal="right" readingOrder="0" vertical="bottom"/>
    </xf>
    <xf borderId="0" fillId="16" fontId="6" numFmtId="165" xfId="0" applyAlignment="1" applyFont="1" applyNumberFormat="1">
      <alignment readingOrder="0" vertical="bottom"/>
    </xf>
    <xf borderId="0" fillId="16" fontId="344" numFmtId="0" xfId="0" applyAlignment="1" applyFont="1">
      <alignment readingOrder="0" vertical="bottom"/>
    </xf>
    <xf borderId="0" fillId="16" fontId="83" numFmtId="0" xfId="0" applyAlignment="1" applyFont="1">
      <alignment readingOrder="0" vertical="bottom"/>
    </xf>
    <xf borderId="0" fillId="16" fontId="345" numFmtId="0" xfId="0" applyAlignment="1" applyFont="1">
      <alignment vertical="bottom"/>
    </xf>
    <xf borderId="0" fillId="16" fontId="6" numFmtId="0" xfId="0" applyAlignment="1" applyFont="1">
      <alignment horizontal="right" readingOrder="0" vertical="bottom"/>
    </xf>
    <xf borderId="0" fillId="16" fontId="346" numFmtId="0" xfId="0" applyAlignment="1" applyFont="1">
      <alignment vertical="bottom"/>
    </xf>
    <xf borderId="0" fillId="16" fontId="347" numFmtId="0" xfId="0" applyAlignment="1" applyFont="1">
      <alignment readingOrder="0" vertical="bottom"/>
    </xf>
    <xf borderId="0" fillId="12" fontId="5" numFmtId="0" xfId="0" applyFont="1"/>
    <xf borderId="0" fillId="12" fontId="6" numFmtId="0" xfId="0" applyAlignment="1" applyFont="1">
      <alignment readingOrder="0" vertical="bottom"/>
    </xf>
    <xf borderId="0" fillId="12" fontId="11" numFmtId="0" xfId="0" applyAlignment="1" applyFont="1">
      <alignment readingOrder="0"/>
    </xf>
    <xf borderId="0" fillId="12" fontId="11" numFmtId="0" xfId="0" applyFont="1"/>
    <xf borderId="0" fillId="12" fontId="4" numFmtId="0" xfId="0" applyAlignment="1" applyFont="1">
      <alignment readingOrder="0" vertical="bottom"/>
    </xf>
    <xf borderId="0" fillId="12" fontId="4" numFmtId="0" xfId="0" applyAlignment="1" applyFont="1">
      <alignment horizontal="right" readingOrder="0" vertical="bottom"/>
    </xf>
    <xf borderId="0" fillId="12" fontId="6" numFmtId="165" xfId="0" applyAlignment="1" applyFont="1" applyNumberFormat="1">
      <alignment readingOrder="0" vertical="bottom"/>
    </xf>
    <xf borderId="0" fillId="12" fontId="4" numFmtId="0" xfId="0" applyAlignment="1" applyFont="1">
      <alignment vertical="bottom"/>
    </xf>
    <xf borderId="0" fillId="12" fontId="348" numFmtId="0" xfId="0" applyAlignment="1" applyFont="1">
      <alignment readingOrder="0" vertical="bottom"/>
    </xf>
    <xf borderId="0" fillId="12" fontId="83" numFmtId="0" xfId="0" applyAlignment="1" applyFont="1">
      <alignment readingOrder="0" vertical="bottom"/>
    </xf>
    <xf borderId="0" fillId="12" fontId="349" numFmtId="0" xfId="0" applyAlignment="1" applyFont="1">
      <alignment vertical="bottom"/>
    </xf>
    <xf borderId="0" fillId="12" fontId="6" numFmtId="0" xfId="0" applyAlignment="1" applyFont="1">
      <alignment horizontal="right" readingOrder="0" vertical="bottom"/>
    </xf>
    <xf borderId="0" fillId="12" fontId="350" numFmtId="0" xfId="0" applyAlignment="1" applyFont="1">
      <alignment vertical="bottom"/>
    </xf>
    <xf borderId="0" fillId="12" fontId="351" numFmtId="0" xfId="0" applyAlignment="1" applyFont="1">
      <alignment readingOrder="0" vertical="bottom"/>
    </xf>
    <xf borderId="0" fillId="0" fontId="4" numFmtId="168" xfId="0" applyAlignment="1" applyFont="1" applyNumberFormat="1">
      <alignment horizontal="right" readingOrder="0" vertical="bottom"/>
    </xf>
    <xf borderId="0" fillId="0" fontId="4" numFmtId="168" xfId="0" applyAlignment="1" applyFont="1" applyNumberFormat="1">
      <alignment readingOrder="0" vertical="bottom"/>
    </xf>
    <xf borderId="0" fillId="18" fontId="4" numFmtId="0" xfId="0" applyAlignment="1" applyFont="1">
      <alignment shrinkToFit="0" vertical="bottom" wrapText="0"/>
    </xf>
    <xf borderId="0" fillId="18" fontId="4" numFmtId="0" xfId="0" applyAlignment="1" applyFont="1">
      <alignment shrinkToFit="0" vertical="bottom" wrapText="0"/>
    </xf>
    <xf borderId="0" fillId="18" fontId="4" numFmtId="165" xfId="0" applyAlignment="1" applyFont="1" applyNumberFormat="1">
      <alignment horizontal="right" shrinkToFit="0" vertical="bottom" wrapText="0"/>
    </xf>
    <xf borderId="0" fillId="18" fontId="333" numFmtId="0" xfId="0" applyAlignment="1" applyFont="1">
      <alignment shrinkToFit="0" vertical="bottom" wrapText="0"/>
    </xf>
    <xf borderId="0" fillId="18" fontId="352" numFmtId="0" xfId="0" applyAlignment="1" applyFont="1">
      <alignment shrinkToFit="0" vertical="bottom" wrapText="0"/>
    </xf>
    <xf borderId="0" fillId="18" fontId="4" numFmtId="0" xfId="0" applyAlignment="1" applyFont="1">
      <alignment readingOrder="0" shrinkToFit="0" vertical="bottom" wrapText="0"/>
    </xf>
    <xf borderId="0" fillId="18" fontId="4" numFmtId="0" xfId="0" applyAlignment="1" applyFont="1">
      <alignment horizontal="right" shrinkToFit="0" vertical="bottom" wrapText="0"/>
    </xf>
    <xf borderId="0" fillId="18" fontId="6" numFmtId="0" xfId="0" applyAlignment="1" applyFont="1">
      <alignment horizontal="right" vertical="bottom"/>
    </xf>
    <xf borderId="0" fillId="18" fontId="6" numFmtId="0" xfId="0" applyAlignment="1" applyFont="1">
      <alignment shrinkToFit="0" vertical="bottom" wrapText="0"/>
    </xf>
    <xf borderId="0" fillId="18" fontId="4" numFmtId="3" xfId="0" applyAlignment="1" applyFont="1" applyNumberFormat="1">
      <alignment horizontal="right" shrinkToFit="0" vertical="bottom" wrapText="0"/>
    </xf>
    <xf borderId="0" fillId="15" fontId="11" numFmtId="165" xfId="0" applyAlignment="1" applyFont="1" applyNumberFormat="1">
      <alignment readingOrder="0"/>
    </xf>
    <xf borderId="0" fillId="31" fontId="333" numFmtId="0" xfId="0" applyAlignment="1" applyFont="1">
      <alignment vertical="bottom"/>
    </xf>
    <xf borderId="0" fillId="31" fontId="12" numFmtId="0" xfId="0" applyAlignment="1" applyFont="1">
      <alignment horizontal="right" readingOrder="0" vertical="bottom"/>
    </xf>
    <xf borderId="0" fillId="0" fontId="4" numFmtId="165" xfId="0" applyAlignment="1" applyFont="1" applyNumberFormat="1">
      <alignment readingOrder="0" vertical="bottom"/>
    </xf>
    <xf borderId="0" fillId="41" fontId="4" numFmtId="0" xfId="0" applyAlignment="1" applyFont="1">
      <alignment readingOrder="0" vertical="bottom"/>
    </xf>
    <xf borderId="0" fillId="41" fontId="128" numFmtId="0" xfId="0" applyAlignment="1" applyFont="1">
      <alignment readingOrder="0" vertical="bottom"/>
    </xf>
    <xf borderId="0" fillId="0" fontId="4" numFmtId="170" xfId="0" applyAlignment="1" applyFont="1" applyNumberFormat="1">
      <alignment horizontal="right" vertical="bottom"/>
    </xf>
    <xf borderId="0" fillId="5" fontId="4" numFmtId="170" xfId="0" applyAlignment="1" applyFont="1" applyNumberFormat="1">
      <alignment horizontal="right" vertical="bottom"/>
    </xf>
    <xf borderId="0" fillId="0" fontId="353" numFmtId="0" xfId="0" applyAlignment="1" applyFont="1">
      <alignment vertical="bottom"/>
    </xf>
    <xf borderId="0" fillId="24" fontId="354" numFmtId="0" xfId="0" applyAlignment="1" applyFont="1">
      <alignment readingOrder="0"/>
    </xf>
    <xf borderId="0" fillId="24" fontId="354" numFmtId="0" xfId="0" applyFont="1"/>
    <xf borderId="0" fillId="0" fontId="4" numFmtId="178" xfId="0" applyAlignment="1" applyFont="1" applyNumberFormat="1">
      <alignment horizontal="right" vertical="bottom"/>
    </xf>
    <xf borderId="6" fillId="17" fontId="355" numFmtId="0" xfId="0" applyAlignment="1" applyBorder="1" applyFont="1">
      <alignment shrinkToFit="0" vertical="top" wrapText="1"/>
    </xf>
    <xf borderId="7" fillId="14" fontId="356" numFmtId="0" xfId="0" applyAlignment="1" applyBorder="1" applyFont="1">
      <alignment shrinkToFit="0" vertical="top" wrapText="1"/>
    </xf>
    <xf borderId="0" fillId="0" fontId="4" numFmtId="49" xfId="0" applyAlignment="1" applyFont="1" applyNumberFormat="1">
      <alignment readingOrder="0" shrinkToFit="0" vertical="bottom" wrapText="0"/>
    </xf>
    <xf borderId="0" fillId="0" fontId="357" numFmtId="0" xfId="0" applyAlignment="1" applyFont="1">
      <alignment shrinkToFit="0" vertical="bottom" wrapText="0"/>
    </xf>
    <xf borderId="0" fillId="24" fontId="52" numFmtId="0" xfId="0" applyAlignment="1" applyFont="1">
      <alignment vertical="bottom"/>
    </xf>
    <xf borderId="0" fillId="15" fontId="4" numFmtId="177" xfId="0" applyAlignment="1" applyFont="1" applyNumberFormat="1">
      <alignment horizontal="right" vertical="bottom"/>
    </xf>
    <xf borderId="0" fillId="15" fontId="358" numFmtId="0" xfId="0" applyAlignment="1" applyFont="1">
      <alignment vertical="bottom"/>
    </xf>
    <xf borderId="0" fillId="24" fontId="52" numFmtId="0" xfId="0" applyAlignment="1" applyFont="1">
      <alignment readingOrder="0" vertical="bottom"/>
    </xf>
    <xf borderId="0" fillId="0" fontId="359" numFmtId="0" xfId="0" applyAlignment="1" applyFont="1">
      <alignment vertical="bottom"/>
    </xf>
    <xf borderId="0" fillId="25" fontId="360" numFmtId="0" xfId="0" applyAlignment="1" applyFont="1">
      <alignment readingOrder="0" vertical="bottom"/>
    </xf>
    <xf borderId="0" fillId="15" fontId="4" numFmtId="165" xfId="0" applyAlignment="1" applyFont="1" applyNumberFormat="1">
      <alignment vertical="bottom"/>
    </xf>
    <xf borderId="0" fillId="15" fontId="6" numFmtId="165" xfId="0" applyAlignment="1" applyFont="1" applyNumberFormat="1">
      <alignment vertical="bottom"/>
    </xf>
    <xf borderId="0" fillId="3" fontId="4" numFmtId="0" xfId="0" applyAlignment="1" applyFont="1">
      <alignment horizontal="right" vertical="bottom"/>
    </xf>
    <xf borderId="0" fillId="15" fontId="4" numFmtId="0" xfId="0" applyAlignment="1" applyFont="1">
      <alignment horizontal="right" textRotation="0" vertical="bottom"/>
    </xf>
    <xf borderId="0" fillId="36" fontId="4" numFmtId="0" xfId="0" applyAlignment="1" applyFont="1">
      <alignment horizontal="right" vertical="bottom"/>
    </xf>
    <xf borderId="1" fillId="22" fontId="4" numFmtId="0" xfId="0" applyAlignment="1" applyBorder="1" applyFont="1">
      <alignment shrinkToFit="0" vertical="bottom" wrapText="0"/>
    </xf>
    <xf borderId="0" fillId="22" fontId="4" numFmtId="0" xfId="0" applyAlignment="1" applyFont="1">
      <alignment readingOrder="0" shrinkToFit="0" vertical="bottom" wrapText="0"/>
    </xf>
    <xf borderId="0" fillId="22" fontId="12" numFmtId="0" xfId="0" applyAlignment="1" applyFont="1">
      <alignment readingOrder="0" shrinkToFit="0" vertical="bottom" wrapText="0"/>
    </xf>
    <xf borderId="0" fillId="22" fontId="6" numFmtId="3" xfId="0" applyAlignment="1" applyFont="1" applyNumberFormat="1">
      <alignment horizontal="right" vertical="bottom"/>
    </xf>
    <xf borderId="0" fillId="22" fontId="6" numFmtId="0" xfId="0" applyAlignment="1" applyFont="1">
      <alignment readingOrder="0" shrinkToFit="0" vertical="bottom" wrapText="0"/>
    </xf>
    <xf borderId="0" fillId="22" fontId="12" numFmtId="0" xfId="0" applyAlignment="1" applyFont="1">
      <alignment shrinkToFit="0" vertical="bottom" wrapText="0"/>
    </xf>
    <xf borderId="0" fillId="40" fontId="11" numFmtId="0" xfId="0" applyFont="1"/>
    <xf borderId="0" fillId="31" fontId="333" numFmtId="0" xfId="0" applyAlignment="1" applyFont="1">
      <alignment readingOrder="0" shrinkToFit="0" vertical="bottom" wrapText="0"/>
    </xf>
    <xf borderId="1" fillId="31" fontId="4" numFmtId="0" xfId="0" applyAlignment="1" applyBorder="1" applyFont="1">
      <alignment shrinkToFit="0" vertical="bottom" wrapText="0"/>
    </xf>
    <xf borderId="0" fillId="31" fontId="4" numFmtId="0" xfId="0" applyAlignment="1" applyFont="1">
      <alignment horizontal="right" shrinkToFit="0" vertical="bottom" wrapText="0"/>
    </xf>
    <xf borderId="0" fillId="31" fontId="4" numFmtId="0" xfId="0" applyAlignment="1" applyFont="1">
      <alignment horizontal="right" shrinkToFit="0" vertical="bottom" wrapText="0"/>
    </xf>
    <xf borderId="0" fillId="31" fontId="6" numFmtId="0" xfId="0" applyAlignment="1" applyFont="1">
      <alignment shrinkToFit="0" vertical="bottom" wrapText="0"/>
    </xf>
    <xf borderId="0" fillId="31" fontId="12" numFmtId="0" xfId="0" applyAlignment="1" applyFont="1">
      <alignment horizontal="right" vertical="bottom"/>
    </xf>
    <xf borderId="0" fillId="31" fontId="12" numFmtId="0" xfId="0" applyAlignment="1" applyFont="1">
      <alignment vertical="bottom"/>
    </xf>
    <xf borderId="0" fillId="31" fontId="6" numFmtId="0" xfId="0" applyAlignment="1" applyFont="1">
      <alignment readingOrder="0" shrinkToFit="0" vertical="bottom" wrapText="0"/>
    </xf>
    <xf borderId="1" fillId="23" fontId="4" numFmtId="0" xfId="0" applyAlignment="1" applyBorder="1" applyFont="1">
      <alignment vertical="bottom"/>
    </xf>
    <xf borderId="0" fillId="0" fontId="293" numFmtId="0" xfId="0" applyAlignment="1" applyFont="1">
      <alignment vertical="bottom"/>
    </xf>
    <xf borderId="1" fillId="24" fontId="4" numFmtId="0" xfId="0" applyAlignment="1" applyBorder="1" applyFont="1">
      <alignment shrinkToFit="0" vertical="bottom" wrapText="0"/>
    </xf>
    <xf borderId="0" fillId="24" fontId="4" numFmtId="0" xfId="0" applyAlignment="1" applyFont="1">
      <alignment horizontal="right" shrinkToFit="0" vertical="bottom" wrapText="0"/>
    </xf>
    <xf borderId="0" fillId="24" fontId="12" numFmtId="0" xfId="0" applyAlignment="1" applyFont="1">
      <alignment horizontal="right" vertical="bottom"/>
    </xf>
    <xf borderId="0" fillId="24" fontId="6" numFmtId="0" xfId="0" applyAlignment="1" applyFont="1">
      <alignment readingOrder="0" shrinkToFit="0" vertical="bottom" wrapText="0"/>
    </xf>
    <xf borderId="0" fillId="21" fontId="6" numFmtId="165" xfId="0" applyAlignment="1" applyFont="1" applyNumberFormat="1">
      <alignment readingOrder="0" vertical="bottom"/>
    </xf>
    <xf borderId="0" fillId="40" fontId="11" numFmtId="0" xfId="0" applyAlignment="1" applyFont="1">
      <alignment readingOrder="0"/>
    </xf>
    <xf borderId="0" fillId="40" fontId="4" numFmtId="178" xfId="0" applyAlignment="1" applyFont="1" applyNumberFormat="1">
      <alignment horizontal="right" vertical="bottom"/>
    </xf>
    <xf borderId="0" fillId="40" fontId="4" numFmtId="164" xfId="0" applyAlignment="1" applyFont="1" applyNumberFormat="1">
      <alignment horizontal="right" readingOrder="0" vertical="bottom"/>
    </xf>
    <xf borderId="0" fillId="40" fontId="4" numFmtId="0" xfId="0" applyAlignment="1" applyFont="1">
      <alignment readingOrder="0" vertical="bottom"/>
    </xf>
    <xf borderId="0" fillId="40" fontId="4" numFmtId="0" xfId="0" applyAlignment="1" applyFont="1">
      <alignment shrinkToFit="0" vertical="bottom" wrapText="0"/>
    </xf>
    <xf borderId="0" fillId="34" fontId="4" numFmtId="0" xfId="0" applyAlignment="1" applyFont="1">
      <alignment vertical="bottom"/>
    </xf>
    <xf borderId="0" fillId="5" fontId="4" numFmtId="0" xfId="0" applyAlignment="1" applyFont="1">
      <alignment shrinkToFit="0" vertical="bottom" wrapText="0"/>
    </xf>
    <xf borderId="0" fillId="5" fontId="4" numFmtId="0" xfId="0" applyAlignment="1" applyFont="1">
      <alignment horizontal="right" readingOrder="0" shrinkToFit="0" vertical="bottom" wrapText="0"/>
    </xf>
    <xf borderId="0" fillId="40" fontId="4" numFmtId="0" xfId="0" applyAlignment="1" applyFont="1">
      <alignment horizontal="right" shrinkToFit="0" vertical="bottom" wrapText="0"/>
    </xf>
    <xf borderId="0" fillId="40" fontId="6" numFmtId="49" xfId="0" applyAlignment="1" applyFont="1" applyNumberFormat="1">
      <alignment readingOrder="0" shrinkToFit="0" vertical="bottom" wrapText="0"/>
    </xf>
    <xf borderId="0" fillId="40" fontId="4" numFmtId="49" xfId="0" applyAlignment="1" applyFont="1" applyNumberFormat="1">
      <alignment shrinkToFit="0" vertical="bottom" wrapText="0"/>
    </xf>
    <xf borderId="0" fillId="40" fontId="4" numFmtId="0" xfId="0" applyAlignment="1" applyFont="1">
      <alignment horizontal="right" shrinkToFit="0" vertical="bottom" wrapText="0"/>
    </xf>
    <xf borderId="0" fillId="40" fontId="6" numFmtId="0" xfId="0" applyAlignment="1" applyFont="1">
      <alignment shrinkToFit="0" vertical="bottom" wrapText="0"/>
    </xf>
    <xf borderId="0" fillId="40" fontId="361" numFmtId="0" xfId="0" applyAlignment="1" applyFont="1">
      <alignment shrinkToFit="0" vertical="bottom" wrapText="0"/>
    </xf>
    <xf borderId="0" fillId="40" fontId="362" numFmtId="0" xfId="0" applyAlignment="1" applyFont="1">
      <alignment shrinkToFit="0" vertical="bottom" wrapText="0"/>
    </xf>
    <xf borderId="0" fillId="34" fontId="4" numFmtId="0" xfId="0" applyAlignment="1" applyFont="1">
      <alignment vertical="bottom"/>
    </xf>
    <xf borderId="0" fillId="34" fontId="4" numFmtId="178" xfId="0" applyAlignment="1" applyFont="1" applyNumberFormat="1">
      <alignment vertical="bottom"/>
    </xf>
    <xf borderId="0" fillId="34" fontId="4" numFmtId="0" xfId="0" applyAlignment="1" applyFont="1">
      <alignment readingOrder="0" vertical="bottom"/>
    </xf>
    <xf borderId="0" fillId="34" fontId="4" numFmtId="0" xfId="0" applyAlignment="1" applyFont="1">
      <alignment vertical="bottom"/>
    </xf>
    <xf borderId="1" fillId="34" fontId="4" numFmtId="0" xfId="0" applyAlignment="1" applyBorder="1" applyFont="1">
      <alignment vertical="bottom"/>
    </xf>
    <xf borderId="0" fillId="34" fontId="4" numFmtId="49" xfId="0" applyAlignment="1" applyFont="1" applyNumberFormat="1">
      <alignment vertical="bottom"/>
    </xf>
    <xf borderId="0" fillId="34" fontId="4" numFmtId="0" xfId="0" applyAlignment="1" applyFont="1">
      <alignment horizontal="right" vertical="bottom"/>
    </xf>
    <xf borderId="0" fillId="34" fontId="363" numFmtId="0" xfId="0" applyAlignment="1" applyFont="1">
      <alignment vertical="bottom"/>
    </xf>
    <xf borderId="0" fillId="34" fontId="6" numFmtId="178" xfId="0" applyAlignment="1" applyFont="1" applyNumberFormat="1">
      <alignment vertical="bottom"/>
    </xf>
    <xf borderId="0" fillId="27" fontId="4" numFmtId="0" xfId="0" applyAlignment="1" applyFont="1">
      <alignment shrinkToFit="0" vertical="bottom" wrapText="0"/>
    </xf>
    <xf borderId="0" fillId="27" fontId="4" numFmtId="165" xfId="0" applyAlignment="1" applyFont="1" applyNumberFormat="1">
      <alignment horizontal="right" shrinkToFit="0" vertical="bottom" wrapText="0"/>
    </xf>
    <xf borderId="0" fillId="27" fontId="333" numFmtId="0" xfId="0" applyAlignment="1" applyFont="1">
      <alignment readingOrder="0" shrinkToFit="0" vertical="bottom" wrapText="0"/>
    </xf>
    <xf borderId="1" fillId="27" fontId="4" numFmtId="0" xfId="0" applyAlignment="1" applyBorder="1" applyFont="1">
      <alignment shrinkToFit="0" vertical="bottom" wrapText="0"/>
    </xf>
    <xf borderId="0" fillId="27" fontId="364" numFmtId="0" xfId="0" applyAlignment="1" applyFont="1">
      <alignment shrinkToFit="0" vertical="bottom" wrapText="0"/>
    </xf>
    <xf borderId="0" fillId="27" fontId="4" numFmtId="0" xfId="0" applyAlignment="1" applyFont="1">
      <alignment horizontal="right" shrinkToFit="0" vertical="bottom" wrapText="0"/>
    </xf>
    <xf borderId="0" fillId="27" fontId="4" numFmtId="0" xfId="0" applyAlignment="1" applyFont="1">
      <alignment readingOrder="0" shrinkToFit="0" vertical="bottom" wrapText="0"/>
    </xf>
    <xf borderId="0" fillId="27" fontId="4" numFmtId="0" xfId="0" applyAlignment="1" applyFont="1">
      <alignment horizontal="right" shrinkToFit="0" vertical="bottom" wrapText="0"/>
    </xf>
    <xf borderId="0" fillId="27" fontId="6" numFmtId="0" xfId="0" applyAlignment="1" applyFont="1">
      <alignment shrinkToFit="0" vertical="bottom" wrapText="0"/>
    </xf>
    <xf borderId="0" fillId="27" fontId="4" numFmtId="3" xfId="0" applyAlignment="1" applyFont="1" applyNumberFormat="1">
      <alignment horizontal="right" shrinkToFit="0" vertical="bottom" wrapText="0"/>
    </xf>
    <xf borderId="0" fillId="0" fontId="4" numFmtId="164" xfId="0" applyAlignment="1" applyFont="1" applyNumberFormat="1">
      <alignment horizontal="right" readingOrder="0" vertical="bottom"/>
    </xf>
    <xf borderId="0" fillId="0" fontId="365" numFmtId="0" xfId="0" applyAlignment="1" applyFont="1">
      <alignment shrinkToFit="0" vertical="bottom" wrapText="0"/>
    </xf>
    <xf borderId="0" fillId="0" fontId="4" numFmtId="178" xfId="0" applyAlignment="1" applyFont="1" applyNumberFormat="1">
      <alignment vertical="bottom"/>
    </xf>
    <xf borderId="0" fillId="0" fontId="6" numFmtId="49" xfId="0" applyAlignment="1" applyFont="1" applyNumberFormat="1">
      <alignment vertical="bottom"/>
    </xf>
    <xf borderId="0" fillId="5" fontId="2" numFmtId="0" xfId="0" applyAlignment="1" applyFont="1">
      <alignment horizontal="right" readingOrder="0" vertical="bottom"/>
    </xf>
    <xf borderId="0" fillId="5" fontId="4" numFmtId="0" xfId="0" applyAlignment="1" applyFont="1">
      <alignment horizontal="right" shrinkToFit="0" vertical="bottom" wrapText="0"/>
    </xf>
    <xf borderId="0" fillId="5" fontId="4" numFmtId="0" xfId="0" applyAlignment="1" applyFont="1">
      <alignment horizontal="right" shrinkToFit="0" vertical="bottom" wrapText="0"/>
    </xf>
    <xf borderId="0" fillId="5" fontId="6" numFmtId="0" xfId="0" applyAlignment="1" applyFont="1">
      <alignment shrinkToFit="0" vertical="bottom" wrapText="0"/>
    </xf>
    <xf borderId="0" fillId="5" fontId="4" numFmtId="2" xfId="0" applyAlignment="1" applyFont="1" applyNumberFormat="1">
      <alignment horizontal="right" shrinkToFit="0" vertical="bottom" wrapText="0"/>
    </xf>
    <xf borderId="0" fillId="36" fontId="11" numFmtId="0" xfId="0" applyAlignment="1" applyFont="1">
      <alignment readingOrder="0"/>
    </xf>
    <xf borderId="0" fillId="36" fontId="6" numFmtId="0" xfId="0" applyAlignment="1" applyFont="1">
      <alignment vertical="bottom"/>
    </xf>
    <xf borderId="0" fillId="36" fontId="4" numFmtId="0" xfId="0" applyAlignment="1" applyFont="1">
      <alignment vertical="bottom"/>
    </xf>
    <xf borderId="0" fillId="36" fontId="4" numFmtId="0" xfId="0" applyAlignment="1" applyFont="1">
      <alignment vertical="bottom"/>
    </xf>
    <xf borderId="0" fillId="36" fontId="4" numFmtId="178" xfId="0" applyAlignment="1" applyFont="1" applyNumberFormat="1">
      <alignment vertical="bottom"/>
    </xf>
    <xf borderId="0" fillId="36" fontId="4" numFmtId="0" xfId="0" applyAlignment="1" applyFont="1">
      <alignment vertical="bottom"/>
    </xf>
    <xf borderId="1" fillId="36" fontId="4" numFmtId="0" xfId="0" applyAlignment="1" applyBorder="1" applyFont="1">
      <alignment vertical="bottom"/>
    </xf>
    <xf borderId="0" fillId="36" fontId="366" numFmtId="0" xfId="0" applyAlignment="1" applyFont="1">
      <alignment vertical="bottom"/>
    </xf>
    <xf borderId="0" fillId="36" fontId="4" numFmtId="49" xfId="0" applyAlignment="1" applyFont="1" applyNumberFormat="1">
      <alignment vertical="bottom"/>
    </xf>
    <xf borderId="0" fillId="36" fontId="4" numFmtId="0" xfId="0" applyAlignment="1" applyFont="1">
      <alignment horizontal="right" vertical="bottom"/>
    </xf>
    <xf borderId="0" fillId="36" fontId="4" numFmtId="2" xfId="0" applyAlignment="1" applyFont="1" applyNumberFormat="1">
      <alignment horizontal="right" vertical="bottom"/>
    </xf>
    <xf borderId="1" fillId="21" fontId="4" numFmtId="0" xfId="0" applyAlignment="1" applyBorder="1" applyFont="1">
      <alignment shrinkToFit="0" vertical="bottom" wrapText="0"/>
    </xf>
    <xf borderId="0" fillId="21" fontId="4" numFmtId="3" xfId="0" applyAlignment="1" applyFont="1" applyNumberFormat="1">
      <alignment horizontal="right" readingOrder="0" shrinkToFit="0" vertical="bottom" wrapText="0"/>
    </xf>
    <xf borderId="0" fillId="21" fontId="367" numFmtId="0" xfId="0" applyAlignment="1" applyFont="1">
      <alignment vertical="bottom"/>
    </xf>
    <xf borderId="0" fillId="21" fontId="368" numFmtId="0" xfId="0" applyAlignment="1" applyFont="1">
      <alignment readingOrder="0" vertical="bottom"/>
    </xf>
    <xf borderId="0" fillId="31" fontId="4" numFmtId="164" xfId="0" applyAlignment="1" applyFont="1" applyNumberFormat="1">
      <alignment horizontal="right" readingOrder="0" vertical="bottom"/>
    </xf>
    <xf borderId="1" fillId="31" fontId="4" numFmtId="0" xfId="0" applyAlignment="1" applyBorder="1" applyFont="1">
      <alignment vertical="bottom"/>
    </xf>
    <xf borderId="0" fillId="18" fontId="4" numFmtId="0" xfId="0" applyAlignment="1" applyFont="1">
      <alignment vertical="bottom"/>
    </xf>
    <xf borderId="0" fillId="18" fontId="4" numFmtId="0" xfId="0" applyAlignment="1" applyFont="1">
      <alignment vertical="bottom"/>
    </xf>
    <xf borderId="0" fillId="18" fontId="4" numFmtId="166" xfId="0" applyAlignment="1" applyFont="1" applyNumberFormat="1">
      <alignment horizontal="right" vertical="bottom"/>
    </xf>
    <xf borderId="0" fillId="18" fontId="4" numFmtId="0" xfId="0" applyAlignment="1" applyFont="1">
      <alignment readingOrder="0" vertical="bottom"/>
    </xf>
    <xf borderId="0" fillId="18" fontId="4" numFmtId="0" xfId="0" applyAlignment="1" applyFont="1">
      <alignment horizontal="right" vertical="bottom"/>
    </xf>
    <xf borderId="1" fillId="18" fontId="4" numFmtId="0" xfId="0" applyAlignment="1" applyBorder="1" applyFont="1">
      <alignment vertical="bottom"/>
    </xf>
    <xf borderId="0" fillId="31" fontId="35" numFmtId="0" xfId="0" applyAlignment="1" applyFont="1">
      <alignment vertical="bottom"/>
    </xf>
    <xf borderId="0" fillId="18" fontId="369" numFmtId="0" xfId="0" applyAlignment="1" applyFont="1">
      <alignment vertical="bottom"/>
    </xf>
    <xf borderId="0" fillId="31" fontId="4" numFmtId="0" xfId="0" applyAlignment="1" applyFont="1">
      <alignment horizontal="center" readingOrder="0" vertical="bottom"/>
    </xf>
    <xf borderId="0" fillId="25" fontId="4" numFmtId="165" xfId="0" applyAlignment="1" applyFont="1" applyNumberFormat="1">
      <alignment horizontal="right" shrinkToFit="0" vertical="bottom" wrapText="0"/>
    </xf>
    <xf borderId="0" fillId="25" fontId="4" numFmtId="165" xfId="0" applyAlignment="1" applyFont="1" applyNumberFormat="1">
      <alignment horizontal="right" readingOrder="0" shrinkToFit="0" vertical="bottom" wrapText="0"/>
    </xf>
    <xf borderId="0" fillId="25" fontId="333" numFmtId="0" xfId="0" applyAlignment="1" applyFont="1">
      <alignment readingOrder="0" shrinkToFit="0" vertical="bottom" wrapText="0"/>
    </xf>
    <xf borderId="1" fillId="25" fontId="4" numFmtId="0" xfId="0" applyAlignment="1" applyBorder="1" applyFont="1">
      <alignment shrinkToFit="0" vertical="bottom" wrapText="0"/>
    </xf>
    <xf borderId="0" fillId="25" fontId="4" numFmtId="0" xfId="0" applyAlignment="1" applyFont="1">
      <alignment horizontal="right" shrinkToFit="0" vertical="bottom" wrapText="0"/>
    </xf>
    <xf borderId="0" fillId="25" fontId="4" numFmtId="2" xfId="0" applyAlignment="1" applyFont="1" applyNumberFormat="1">
      <alignment horizontal="right" shrinkToFit="0" vertical="bottom" wrapText="0"/>
    </xf>
    <xf borderId="0" fillId="25" fontId="4" numFmtId="0" xfId="0" applyAlignment="1" applyFont="1">
      <alignment readingOrder="0" shrinkToFit="0" vertical="bottom" wrapText="0"/>
    </xf>
    <xf borderId="0" fillId="25" fontId="4" numFmtId="0" xfId="0" applyAlignment="1" applyFont="1">
      <alignment horizontal="right" shrinkToFit="0" vertical="bottom" wrapText="0"/>
    </xf>
    <xf borderId="0" fillId="25" fontId="12" numFmtId="0" xfId="0" applyAlignment="1" applyFont="1">
      <alignment readingOrder="0" shrinkToFit="0" vertical="bottom" wrapText="0"/>
    </xf>
    <xf borderId="0" fillId="25" fontId="4" numFmtId="3" xfId="0" applyAlignment="1" applyFont="1" applyNumberFormat="1">
      <alignment horizontal="right" shrinkToFit="0" vertical="bottom" wrapText="0"/>
    </xf>
    <xf borderId="0" fillId="25" fontId="6" numFmtId="0" xfId="0" applyAlignment="1" applyFont="1">
      <alignment readingOrder="0" shrinkToFit="0" vertical="bottom" wrapText="0"/>
    </xf>
    <xf borderId="0" fillId="25" fontId="333" numFmtId="0" xfId="0" applyAlignment="1" applyFont="1">
      <alignment readingOrder="0" vertical="bottom"/>
    </xf>
    <xf borderId="0" fillId="25" fontId="4" numFmtId="3" xfId="0" applyAlignment="1" applyFont="1" applyNumberFormat="1">
      <alignment horizontal="right" vertical="bottom"/>
    </xf>
    <xf borderId="0" fillId="13" fontId="4" numFmtId="165" xfId="0" applyAlignment="1" applyFont="1" applyNumberFormat="1">
      <alignment horizontal="right" shrinkToFit="0" vertical="bottom" wrapText="0"/>
    </xf>
    <xf borderId="0" fillId="13" fontId="333" numFmtId="0" xfId="0" applyAlignment="1" applyFont="1">
      <alignment readingOrder="0" shrinkToFit="0" vertical="bottom" wrapText="0"/>
    </xf>
    <xf borderId="0" fillId="13" fontId="35" numFmtId="0" xfId="0" applyAlignment="1" applyFont="1">
      <alignment readingOrder="0" vertical="bottom"/>
    </xf>
    <xf borderId="1" fillId="13" fontId="4" numFmtId="0" xfId="0" applyAlignment="1" applyBorder="1" applyFont="1">
      <alignment shrinkToFit="0" vertical="bottom" wrapText="0"/>
    </xf>
    <xf borderId="0" fillId="13" fontId="4" numFmtId="0" xfId="0" applyAlignment="1" applyFont="1">
      <alignment horizontal="right" shrinkToFit="0" vertical="bottom" wrapText="0"/>
    </xf>
    <xf borderId="0" fillId="13" fontId="12" numFmtId="0" xfId="0" applyAlignment="1" applyFont="1">
      <alignment horizontal="right" vertical="bottom"/>
    </xf>
    <xf borderId="0" fillId="13" fontId="4" numFmtId="0" xfId="0" applyAlignment="1" applyFont="1">
      <alignment readingOrder="0" shrinkToFit="0" vertical="bottom" wrapText="0"/>
    </xf>
    <xf borderId="0" fillId="13" fontId="12" numFmtId="0" xfId="0" applyAlignment="1" applyFont="1">
      <alignment horizontal="right" vertical="bottom"/>
    </xf>
    <xf borderId="0" fillId="13" fontId="6" numFmtId="0" xfId="0" applyAlignment="1" applyFont="1">
      <alignment shrinkToFit="0" vertical="bottom" wrapText="0"/>
    </xf>
    <xf borderId="0" fillId="13" fontId="12" numFmtId="0" xfId="0" applyAlignment="1" applyFont="1">
      <alignment readingOrder="0" shrinkToFit="0" vertical="bottom" wrapText="0"/>
    </xf>
    <xf borderId="0" fillId="13" fontId="4" numFmtId="3" xfId="0" applyAlignment="1" applyFont="1" applyNumberFormat="1">
      <alignment horizontal="right" shrinkToFit="0" vertical="bottom" wrapText="0"/>
    </xf>
    <xf borderId="0" fillId="13" fontId="6" numFmtId="0" xfId="0" applyAlignment="1" applyFont="1">
      <alignment readingOrder="0" shrinkToFit="0" vertical="bottom" wrapText="0"/>
    </xf>
    <xf borderId="0" fillId="13" fontId="333" numFmtId="0" xfId="0" applyAlignment="1" applyFont="1">
      <alignment readingOrder="0" vertical="bottom"/>
    </xf>
    <xf borderId="1" fillId="13" fontId="4" numFmtId="0" xfId="0" applyAlignment="1" applyBorder="1" applyFont="1">
      <alignment vertical="bottom"/>
    </xf>
    <xf borderId="0" fillId="15" fontId="4" numFmtId="0" xfId="0" applyAlignment="1" applyFont="1">
      <alignment horizontal="center" vertical="bottom"/>
    </xf>
    <xf borderId="1" fillId="15" fontId="4" numFmtId="0" xfId="0" applyAlignment="1" applyBorder="1" applyFont="1">
      <alignment vertical="bottom"/>
    </xf>
    <xf borderId="0" fillId="15" fontId="4" numFmtId="0" xfId="0" applyAlignment="1" applyFont="1">
      <alignment horizontal="center" vertical="bottom"/>
    </xf>
    <xf borderId="0" fillId="22" fontId="333" numFmtId="0" xfId="0" applyAlignment="1" applyFont="1">
      <alignment readingOrder="0" vertical="bottom"/>
    </xf>
    <xf borderId="0" fillId="24" fontId="54" numFmtId="0" xfId="0" applyAlignment="1" applyFont="1">
      <alignment readingOrder="0" vertical="bottom"/>
    </xf>
    <xf borderId="0" fillId="24" fontId="4" numFmtId="168" xfId="0" applyAlignment="1" applyFont="1" applyNumberFormat="1">
      <alignment vertical="bottom"/>
    </xf>
    <xf borderId="0" fillId="24" fontId="4" numFmtId="164" xfId="0" applyAlignment="1" applyFont="1" applyNumberFormat="1">
      <alignment vertical="bottom"/>
    </xf>
    <xf borderId="0" fillId="21" fontId="6" numFmtId="0" xfId="0" applyFont="1"/>
    <xf borderId="0" fillId="21" fontId="4" numFmtId="165" xfId="0" applyAlignment="1" applyFont="1" applyNumberFormat="1">
      <alignment vertical="bottom"/>
    </xf>
    <xf borderId="0" fillId="21" fontId="84" numFmtId="0" xfId="0" applyAlignment="1" applyFont="1">
      <alignment horizontal="right" readingOrder="0" vertical="bottom"/>
    </xf>
    <xf borderId="0" fillId="21" fontId="370" numFmtId="3" xfId="0" applyAlignment="1" applyFont="1" applyNumberFormat="1">
      <alignment readingOrder="0"/>
    </xf>
    <xf borderId="0" fillId="21" fontId="6" numFmtId="3" xfId="0" applyAlignment="1" applyFont="1" applyNumberFormat="1">
      <alignment horizontal="right" readingOrder="0" vertical="bottom"/>
    </xf>
    <xf borderId="1" fillId="21" fontId="4" numFmtId="0" xfId="0" applyAlignment="1" applyBorder="1" applyFont="1">
      <alignment readingOrder="0" vertical="bottom"/>
    </xf>
    <xf borderId="0" fillId="21" fontId="83" numFmtId="0" xfId="0" applyAlignment="1" applyFont="1">
      <alignment readingOrder="0" vertical="bottom"/>
    </xf>
    <xf borderId="0" fillId="21" fontId="371" numFmtId="0" xfId="0" applyAlignment="1" applyFont="1">
      <alignment readingOrder="0" vertical="bottom"/>
    </xf>
    <xf borderId="0" fillId="21" fontId="372" numFmtId="0" xfId="0" applyAlignment="1" applyFont="1">
      <alignment readingOrder="0" vertical="bottom"/>
    </xf>
    <xf borderId="0" fillId="21" fontId="293" numFmtId="0" xfId="0" applyAlignment="1" applyFont="1">
      <alignment vertical="bottom"/>
    </xf>
    <xf borderId="0" fillId="21" fontId="4" numFmtId="3" xfId="0" applyAlignment="1" applyFont="1" applyNumberFormat="1">
      <alignment horizontal="right" vertical="bottom"/>
    </xf>
    <xf borderId="0" fillId="21" fontId="6" numFmtId="3" xfId="0" applyAlignment="1" applyFont="1" applyNumberFormat="1">
      <alignment horizontal="right" vertical="bottom"/>
    </xf>
    <xf borderId="0" fillId="15" fontId="6" numFmtId="0" xfId="0" applyAlignment="1" applyFont="1">
      <alignment horizontal="right" vertical="bottom"/>
    </xf>
    <xf borderId="0" fillId="15" fontId="373" numFmtId="0" xfId="0" applyAlignment="1" applyFont="1">
      <alignment vertical="bottom"/>
    </xf>
    <xf borderId="0" fillId="15" fontId="6" numFmtId="0" xfId="0" applyAlignment="1" applyFont="1">
      <alignment horizontal="right" readingOrder="0" vertical="bottom"/>
    </xf>
    <xf borderId="1" fillId="15" fontId="4" numFmtId="0" xfId="0" applyAlignment="1" applyBorder="1" applyFont="1">
      <alignment readingOrder="0" vertical="bottom"/>
    </xf>
    <xf borderId="0" fillId="15" fontId="83" numFmtId="0" xfId="0" applyAlignment="1" applyFont="1">
      <alignment readingOrder="0" vertical="bottom"/>
    </xf>
    <xf borderId="0" fillId="15" fontId="374" numFmtId="0" xfId="0" applyAlignment="1" applyFont="1">
      <alignment readingOrder="0" vertical="bottom"/>
    </xf>
    <xf borderId="0" fillId="15" fontId="375" numFmtId="0" xfId="0" applyAlignment="1" applyFont="1">
      <alignment readingOrder="0" vertical="bottom"/>
    </xf>
    <xf borderId="0" fillId="21" fontId="54" numFmtId="0" xfId="0" applyAlignment="1" applyFont="1">
      <alignment readingOrder="0" vertical="bottom"/>
    </xf>
    <xf borderId="0" fillId="16" fontId="5" numFmtId="0" xfId="0" applyAlignment="1" applyFont="1">
      <alignment readingOrder="0"/>
    </xf>
    <xf borderId="0" fillId="16" fontId="6" numFmtId="164" xfId="0" applyAlignment="1" applyFont="1" applyNumberFormat="1">
      <alignment horizontal="right" vertical="bottom"/>
    </xf>
    <xf borderId="0" fillId="16" fontId="6" numFmtId="0" xfId="0" applyAlignment="1" applyFont="1">
      <alignment horizontal="right" vertical="bottom"/>
    </xf>
    <xf borderId="1" fillId="16" fontId="4" numFmtId="0" xfId="0" applyAlignment="1" applyBorder="1" applyFont="1">
      <alignment vertical="bottom"/>
    </xf>
    <xf borderId="0" fillId="16" fontId="6" numFmtId="0" xfId="0" applyAlignment="1" applyFont="1">
      <alignment horizontal="right" vertical="bottom"/>
    </xf>
    <xf borderId="0" fillId="16" fontId="376" numFmtId="0" xfId="0" applyAlignment="1" applyFont="1">
      <alignment readingOrder="0" vertical="bottom"/>
    </xf>
    <xf borderId="0" fillId="16" fontId="377" numFmtId="0" xfId="0" applyAlignment="1" applyFont="1">
      <alignment vertical="bottom"/>
    </xf>
    <xf borderId="0" fillId="16" fontId="378" numFmtId="0" xfId="0" applyAlignment="1" applyFont="1">
      <alignment vertical="bottom"/>
    </xf>
    <xf borderId="0" fillId="25" fontId="5" numFmtId="164" xfId="0" applyAlignment="1" applyFont="1" applyNumberFormat="1">
      <alignment readingOrder="0"/>
    </xf>
    <xf borderId="1" fillId="25" fontId="5" numFmtId="0" xfId="0" applyAlignment="1" applyBorder="1" applyFont="1">
      <alignment readingOrder="0"/>
    </xf>
    <xf borderId="0" fillId="16" fontId="12" numFmtId="0" xfId="0" applyAlignment="1" applyFont="1">
      <alignment readingOrder="0" vertical="bottom"/>
    </xf>
    <xf borderId="1" fillId="21" fontId="4" numFmtId="0" xfId="0" applyAlignment="1" applyBorder="1" applyFont="1">
      <alignment vertical="bottom"/>
    </xf>
    <xf borderId="0" fillId="24" fontId="4" numFmtId="0" xfId="0" applyAlignment="1" applyFont="1">
      <alignment horizontal="center" vertical="bottom"/>
    </xf>
    <xf borderId="0" fillId="24" fontId="4" numFmtId="0" xfId="0" applyAlignment="1" applyFont="1">
      <alignment horizontal="center" vertical="bottom"/>
    </xf>
    <xf borderId="0" fillId="24" fontId="12" numFmtId="0" xfId="0" applyAlignment="1" applyFont="1">
      <alignment horizontal="right" readingOrder="0" vertical="bottom"/>
    </xf>
    <xf borderId="0" fillId="20" fontId="12" numFmtId="0" xfId="0" applyAlignment="1" applyFont="1">
      <alignment readingOrder="0" vertical="bottom"/>
    </xf>
    <xf borderId="0" fillId="31" fontId="4" numFmtId="166" xfId="0" applyAlignment="1" applyFont="1" applyNumberFormat="1">
      <alignment horizontal="right" vertical="bottom"/>
    </xf>
    <xf borderId="0" fillId="31" fontId="11" numFmtId="165" xfId="0" applyAlignment="1" applyFont="1" applyNumberFormat="1">
      <alignment readingOrder="0"/>
    </xf>
    <xf borderId="0" fillId="18" fontId="12" numFmtId="0" xfId="0" applyAlignment="1" applyFont="1">
      <alignment vertical="bottom"/>
    </xf>
    <xf borderId="0" fillId="18" fontId="4" numFmtId="164" xfId="0" applyAlignment="1" applyFont="1" applyNumberFormat="1">
      <alignment horizontal="right" vertical="bottom"/>
    </xf>
    <xf borderId="0" fillId="18" fontId="11" numFmtId="165" xfId="0" applyAlignment="1" applyFont="1" applyNumberFormat="1">
      <alignment readingOrder="0"/>
    </xf>
    <xf borderId="0" fillId="18" fontId="6" numFmtId="0" xfId="0" applyAlignment="1" applyFont="1">
      <alignment vertical="bottom"/>
    </xf>
    <xf borderId="1" fillId="18" fontId="4" numFmtId="0" xfId="0" applyAlignment="1" applyBorder="1" applyFont="1">
      <alignment vertical="bottom"/>
    </xf>
    <xf borderId="0" fillId="18" fontId="35" numFmtId="0" xfId="0" applyAlignment="1" applyFont="1">
      <alignment readingOrder="0" vertical="bottom"/>
    </xf>
    <xf borderId="0" fillId="31" fontId="12" numFmtId="0" xfId="0" applyAlignment="1" applyFont="1">
      <alignment vertical="bottom"/>
    </xf>
    <xf borderId="0" fillId="18" fontId="4" numFmtId="0" xfId="0" applyAlignment="1" applyFont="1">
      <alignment horizontal="right" vertical="bottom"/>
    </xf>
    <xf borderId="0" fillId="18" fontId="4" numFmtId="0" xfId="0" applyAlignment="1" applyFont="1">
      <alignment horizontal="right" readingOrder="0" vertical="bottom"/>
    </xf>
    <xf borderId="0" fillId="18" fontId="125" numFmtId="0" xfId="0" applyAlignment="1" applyFont="1">
      <alignment vertical="bottom"/>
    </xf>
    <xf borderId="0" fillId="18" fontId="50" numFmtId="0" xfId="0" applyAlignment="1" applyFont="1">
      <alignment horizontal="right" vertical="bottom"/>
    </xf>
    <xf borderId="0" fillId="18" fontId="379" numFmtId="0" xfId="0" applyAlignment="1" applyFont="1">
      <alignment vertical="bottom"/>
    </xf>
    <xf borderId="0" fillId="18" fontId="380" numFmtId="0" xfId="0" applyAlignment="1" applyFont="1">
      <alignment horizontal="right" vertical="bottom"/>
    </xf>
    <xf borderId="0" fillId="18" fontId="381" numFmtId="0" xfId="0" applyAlignment="1" applyFont="1">
      <alignment vertical="bottom"/>
    </xf>
    <xf borderId="0" fillId="18" fontId="125" numFmtId="0" xfId="0" applyAlignment="1" applyFont="1">
      <alignment vertical="bottom"/>
    </xf>
    <xf borderId="0" fillId="22" fontId="4" numFmtId="165" xfId="0" applyAlignment="1" applyFont="1" applyNumberFormat="1">
      <alignment horizontal="right" readingOrder="0" vertical="bottom"/>
    </xf>
    <xf borderId="0" fillId="22" fontId="382" numFmtId="0" xfId="0" applyAlignment="1" applyFont="1">
      <alignment vertical="bottom"/>
    </xf>
    <xf borderId="0" fillId="0" fontId="382" numFmtId="0" xfId="0" applyAlignment="1" applyFont="1">
      <alignment vertical="bottom"/>
    </xf>
    <xf quotePrefix="1" borderId="0" fillId="0" fontId="11" numFmtId="0" xfId="0" applyAlignment="1" applyFont="1">
      <alignment readingOrder="0"/>
    </xf>
    <xf borderId="0" fillId="0" fontId="383" numFmtId="0" xfId="0" applyAlignment="1" applyFont="1">
      <alignment vertical="bottom"/>
    </xf>
    <xf borderId="0" fillId="0" fontId="383" numFmtId="0" xfId="0" applyAlignment="1" applyFont="1">
      <alignment horizontal="right" vertical="bottom"/>
    </xf>
    <xf borderId="0" fillId="22" fontId="384" numFmtId="0" xfId="0" applyAlignment="1" applyFont="1">
      <alignment horizontal="right" vertical="bottom"/>
    </xf>
    <xf borderId="0" fillId="22" fontId="30" numFmtId="0" xfId="0" applyAlignment="1" applyFont="1">
      <alignment horizontal="right" vertical="bottom"/>
    </xf>
    <xf borderId="0" fillId="0" fontId="12" numFmtId="0" xfId="0" applyAlignment="1" applyFont="1">
      <alignment horizontal="right" vertical="bottom"/>
    </xf>
    <xf borderId="0" fillId="22" fontId="4" numFmtId="172" xfId="0" applyAlignment="1" applyFont="1" applyNumberFormat="1">
      <alignment horizontal="right" vertical="bottom"/>
    </xf>
    <xf borderId="0" fillId="22" fontId="385" numFmtId="0" xfId="0" applyAlignment="1" applyFont="1">
      <alignment horizontal="right" vertical="bottom"/>
    </xf>
    <xf borderId="0" fillId="22" fontId="386" numFmtId="0" xfId="0" applyAlignment="1" applyFont="1">
      <alignment vertical="bottom"/>
    </xf>
    <xf borderId="0" fillId="0" fontId="387" numFmtId="0" xfId="0" applyAlignment="1" applyFont="1">
      <alignment vertical="bottom"/>
    </xf>
    <xf borderId="0" fillId="22" fontId="388" numFmtId="0" xfId="0" applyAlignment="1" applyFont="1">
      <alignment vertical="bottom"/>
    </xf>
    <xf borderId="0" fillId="22" fontId="389" numFmtId="0" xfId="0" applyAlignment="1" applyFont="1">
      <alignment horizontal="right" vertical="bottom"/>
    </xf>
    <xf borderId="0" fillId="0" fontId="4" numFmtId="166" xfId="0" applyAlignment="1" applyFont="1" applyNumberFormat="1">
      <alignment horizontal="right" vertical="bottom"/>
    </xf>
    <xf borderId="1" fillId="24" fontId="4" numFmtId="0" xfId="0" applyAlignment="1" applyBorder="1" applyFont="1">
      <alignment readingOrder="0" vertical="bottom"/>
    </xf>
    <xf borderId="0" fillId="24" fontId="83" numFmtId="0" xfId="0" applyAlignment="1" applyFont="1">
      <alignment readingOrder="0" vertical="bottom"/>
    </xf>
    <xf borderId="0" fillId="5" fontId="390" numFmtId="0" xfId="0" applyAlignment="1" applyFont="1">
      <alignment readingOrder="0" shrinkToFit="0" vertical="top" wrapText="1"/>
    </xf>
    <xf borderId="0" fillId="24" fontId="4" numFmtId="170" xfId="0" applyAlignment="1" applyFont="1" applyNumberFormat="1">
      <alignment readingOrder="0" vertical="bottom"/>
    </xf>
    <xf borderId="0" fillId="21" fontId="4" numFmtId="166" xfId="0" applyAlignment="1" applyFont="1" applyNumberFormat="1">
      <alignment horizontal="right" vertical="bottom"/>
    </xf>
    <xf borderId="0" fillId="21" fontId="391" numFmtId="0" xfId="0" applyAlignment="1" applyFont="1">
      <alignment shrinkToFit="0" vertical="bottom" wrapText="0"/>
    </xf>
    <xf borderId="0" fillId="21" fontId="4" numFmtId="0" xfId="0" applyAlignment="1" applyFont="1">
      <alignment horizontal="center" vertical="bottom"/>
    </xf>
    <xf borderId="0" fillId="21" fontId="4" numFmtId="0" xfId="0" applyAlignment="1" applyFont="1">
      <alignment horizontal="center" vertical="bottom"/>
    </xf>
    <xf borderId="0" fillId="21" fontId="6" numFmtId="0" xfId="0" applyAlignment="1" applyFont="1">
      <alignment shrinkToFit="0" vertical="bottom" wrapText="0"/>
    </xf>
    <xf borderId="0" fillId="21" fontId="6" numFmtId="0" xfId="0" applyAlignment="1" applyFont="1">
      <alignment readingOrder="0" vertical="bottom"/>
    </xf>
    <xf borderId="0" fillId="25" fontId="6" numFmtId="0" xfId="0" applyAlignment="1" applyFont="1">
      <alignment horizontal="right" vertical="bottom"/>
    </xf>
    <xf borderId="0" fillId="21" fontId="6" numFmtId="0" xfId="0" applyAlignment="1" applyFont="1">
      <alignment vertical="top"/>
    </xf>
    <xf borderId="0" fillId="25" fontId="392" numFmtId="0" xfId="0" applyAlignment="1" applyFont="1">
      <alignment horizontal="right" vertical="bottom"/>
    </xf>
    <xf borderId="0" fillId="25" fontId="6" numFmtId="165" xfId="0" applyAlignment="1" applyFont="1" applyNumberFormat="1">
      <alignment vertical="bottom"/>
    </xf>
    <xf borderId="0" fillId="25" fontId="388" numFmtId="0" xfId="0" applyAlignment="1" applyFont="1">
      <alignment horizontal="right" vertical="bottom"/>
    </xf>
    <xf borderId="0" fillId="0" fontId="393" numFmtId="0" xfId="0" applyAlignment="1" applyFont="1">
      <alignment vertical="bottom"/>
    </xf>
    <xf borderId="0" fillId="0" fontId="394" numFmtId="0" xfId="0" applyAlignment="1" applyFont="1">
      <alignment vertical="bottom"/>
    </xf>
    <xf borderId="0" fillId="0" fontId="6" numFmtId="11" xfId="0" applyAlignment="1" applyFont="1" applyNumberFormat="1">
      <alignment vertical="bottom"/>
    </xf>
    <xf borderId="0" fillId="0" fontId="84" numFmtId="0" xfId="0" applyAlignment="1" applyFont="1">
      <alignment horizontal="right" vertical="bottom"/>
    </xf>
    <xf borderId="0" fillId="5" fontId="54" numFmtId="0" xfId="0" applyAlignment="1" applyFont="1">
      <alignment vertical="bottom"/>
    </xf>
    <xf borderId="0" fillId="0" fontId="50" numFmtId="11" xfId="0" applyAlignment="1" applyFont="1" applyNumberFormat="1">
      <alignment horizontal="right" vertical="bottom"/>
    </xf>
    <xf borderId="0" fillId="42" fontId="6" numFmtId="0" xfId="0" applyAlignment="1" applyFill="1" applyFont="1">
      <alignment readingOrder="0" vertical="bottom"/>
    </xf>
    <xf borderId="0" fillId="42" fontId="11" numFmtId="0" xfId="0" applyAlignment="1" applyFont="1">
      <alignment readingOrder="0"/>
    </xf>
    <xf borderId="0" fillId="42" fontId="11" numFmtId="0" xfId="0" applyFont="1"/>
    <xf borderId="0" fillId="42" fontId="4" numFmtId="0" xfId="0" applyAlignment="1" applyFont="1">
      <alignment readingOrder="0" vertical="bottom"/>
    </xf>
    <xf borderId="0" fillId="42" fontId="4" numFmtId="165" xfId="0" applyAlignment="1" applyFont="1" applyNumberFormat="1">
      <alignment horizontal="right" readingOrder="0" vertical="bottom"/>
    </xf>
    <xf borderId="0" fillId="42" fontId="6" numFmtId="165" xfId="0" applyAlignment="1" applyFont="1" applyNumberFormat="1">
      <alignment readingOrder="0" vertical="bottom"/>
    </xf>
    <xf borderId="0" fillId="42" fontId="6" numFmtId="0" xfId="0" applyAlignment="1" applyFont="1">
      <alignment horizontal="right" readingOrder="0" vertical="bottom"/>
    </xf>
    <xf borderId="1" fillId="42" fontId="4" numFmtId="0" xfId="0" applyAlignment="1" applyBorder="1" applyFont="1">
      <alignment readingOrder="0" vertical="bottom"/>
    </xf>
    <xf borderId="0" fillId="42" fontId="83" numFmtId="0" xfId="0" applyAlignment="1" applyFont="1">
      <alignment readingOrder="0" vertical="bottom"/>
    </xf>
    <xf borderId="0" fillId="42" fontId="395" numFmtId="0" xfId="0" applyAlignment="1" applyFont="1">
      <alignment vertical="bottom"/>
    </xf>
    <xf borderId="0" fillId="42" fontId="6" numFmtId="0" xfId="0" applyAlignment="1" applyFont="1">
      <alignment horizontal="right" vertical="bottom"/>
    </xf>
    <xf borderId="0" fillId="42" fontId="4" numFmtId="0" xfId="0" applyAlignment="1" applyFont="1">
      <alignment vertical="bottom"/>
    </xf>
    <xf borderId="0" fillId="42" fontId="6" numFmtId="0" xfId="0" applyAlignment="1" applyFont="1">
      <alignment vertical="bottom"/>
    </xf>
    <xf borderId="0" fillId="42" fontId="4" numFmtId="0" xfId="0" applyAlignment="1" applyFont="1">
      <alignment horizontal="right" readingOrder="0" vertical="bottom"/>
    </xf>
    <xf borderId="0" fillId="41" fontId="4" numFmtId="0" xfId="0" applyAlignment="1" applyFont="1">
      <alignment horizontal="right" readingOrder="0" vertical="bottom"/>
    </xf>
    <xf borderId="0" fillId="5" fontId="396" numFmtId="0" xfId="0" applyAlignment="1" applyFont="1">
      <alignment readingOrder="0" vertical="bottom"/>
    </xf>
    <xf borderId="0" fillId="42" fontId="397" numFmtId="0" xfId="0" applyAlignment="1" applyFont="1">
      <alignment readingOrder="0" vertical="bottom"/>
    </xf>
    <xf borderId="0" fillId="21" fontId="398" numFmtId="0" xfId="0" applyAlignment="1" applyFont="1">
      <alignment vertical="bottom"/>
    </xf>
    <xf borderId="0" fillId="3" fontId="6" numFmtId="0" xfId="0" applyAlignment="1" applyFont="1">
      <alignment horizontal="right" readingOrder="0" vertical="bottom"/>
    </xf>
    <xf borderId="0" fillId="36" fontId="6" numFmtId="0" xfId="0" applyAlignment="1" applyFont="1">
      <alignment readingOrder="0" vertical="bottom"/>
    </xf>
    <xf borderId="0" fillId="36" fontId="4" numFmtId="165" xfId="0" applyAlignment="1" applyFont="1" applyNumberFormat="1">
      <alignment horizontal="right" readingOrder="0" vertical="bottom"/>
    </xf>
    <xf borderId="0" fillId="36" fontId="6" numFmtId="165" xfId="0" applyAlignment="1" applyFont="1" applyNumberFormat="1">
      <alignment readingOrder="0" vertical="bottom"/>
    </xf>
    <xf borderId="0" fillId="36" fontId="6" numFmtId="0" xfId="0" applyAlignment="1" applyFont="1">
      <alignment horizontal="right" readingOrder="0" vertical="bottom"/>
    </xf>
    <xf borderId="1" fillId="36" fontId="4" numFmtId="0" xfId="0" applyAlignment="1" applyBorder="1" applyFont="1">
      <alignment readingOrder="0" vertical="bottom"/>
    </xf>
    <xf borderId="0" fillId="36" fontId="83" numFmtId="0" xfId="0" applyAlignment="1" applyFont="1">
      <alignment readingOrder="0" vertical="bottom"/>
    </xf>
    <xf borderId="0" fillId="36" fontId="399" numFmtId="0" xfId="0" applyAlignment="1" applyFont="1">
      <alignment vertical="bottom"/>
    </xf>
    <xf borderId="0" fillId="36" fontId="4" numFmtId="0" xfId="0" applyAlignment="1" applyFont="1">
      <alignment horizontal="right" readingOrder="0" vertical="bottom"/>
    </xf>
    <xf borderId="0" fillId="36" fontId="400" numFmtId="0" xfId="0" applyAlignment="1" applyFont="1">
      <alignment readingOrder="0" vertical="bottom"/>
    </xf>
    <xf borderId="0" fillId="3" fontId="4" numFmtId="165" xfId="0" applyAlignment="1" applyFont="1" applyNumberFormat="1">
      <alignment horizontal="right" readingOrder="0" vertical="bottom"/>
    </xf>
    <xf borderId="1" fillId="3" fontId="4" numFmtId="0" xfId="0" applyAlignment="1" applyBorder="1" applyFont="1">
      <alignment readingOrder="0" vertical="bottom"/>
    </xf>
    <xf borderId="0" fillId="3" fontId="83" numFmtId="0" xfId="0" applyAlignment="1" applyFont="1">
      <alignment readingOrder="0" vertical="bottom"/>
    </xf>
    <xf borderId="0" fillId="3" fontId="401" numFmtId="0" xfId="0" applyAlignment="1" applyFont="1">
      <alignment vertical="bottom"/>
    </xf>
    <xf borderId="0" fillId="3" fontId="4" numFmtId="0" xfId="0" applyAlignment="1" applyFont="1">
      <alignment horizontal="right" readingOrder="0" vertical="bottom"/>
    </xf>
    <xf borderId="0" fillId="3" fontId="402" numFmtId="0" xfId="0" applyAlignment="1" applyFont="1">
      <alignment readingOrder="0" vertical="bottom"/>
    </xf>
    <xf borderId="0" fillId="0" fontId="403" numFmtId="0" xfId="0" applyAlignment="1" applyFont="1">
      <alignment readingOrder="0"/>
    </xf>
    <xf borderId="0" fillId="3" fontId="404" numFmtId="0" xfId="0" applyAlignment="1" applyFont="1">
      <alignment readingOrder="0" vertical="bottom"/>
    </xf>
    <xf borderId="0" fillId="3" fontId="405" numFmtId="0" xfId="0" applyAlignment="1" applyFont="1">
      <alignment vertical="bottom"/>
    </xf>
    <xf borderId="0" fillId="3" fontId="406" numFmtId="0" xfId="0" applyAlignment="1" applyFont="1">
      <alignment readingOrder="0" vertical="bottom"/>
    </xf>
    <xf borderId="0" fillId="5" fontId="4" numFmtId="165" xfId="0" applyAlignment="1" applyFont="1" applyNumberFormat="1">
      <alignment horizontal="right" readingOrder="0" vertical="bottom"/>
    </xf>
    <xf borderId="0" fillId="5" fontId="6" numFmtId="165" xfId="0" applyAlignment="1" applyFont="1" applyNumberFormat="1">
      <alignment readingOrder="0" vertical="bottom"/>
    </xf>
    <xf borderId="0" fillId="5" fontId="407" numFmtId="0" xfId="0" applyAlignment="1" applyFont="1">
      <alignment readingOrder="0" vertical="bottom"/>
    </xf>
    <xf borderId="0" fillId="5" fontId="83" numFmtId="0" xfId="0" applyAlignment="1" applyFont="1">
      <alignment readingOrder="0" vertical="bottom"/>
    </xf>
    <xf borderId="0" fillId="5" fontId="408" numFmtId="0" xfId="0" applyAlignment="1" applyFont="1">
      <alignment vertical="bottom"/>
    </xf>
    <xf borderId="0" fillId="5" fontId="409" numFmtId="0" xfId="0" applyAlignment="1" applyFont="1">
      <alignment vertical="bottom"/>
    </xf>
    <xf borderId="0" fillId="36" fontId="6" numFmtId="0" xfId="0" applyAlignment="1" applyFont="1">
      <alignment horizontal="right" vertical="bottom"/>
    </xf>
    <xf borderId="0" fillId="0" fontId="128" numFmtId="0" xfId="0" applyAlignment="1" applyFont="1">
      <alignment readingOrder="0" shrinkToFit="0" vertical="bottom" wrapText="0"/>
    </xf>
    <xf borderId="0" fillId="0" fontId="141" numFmtId="165" xfId="0" applyAlignment="1" applyFont="1" applyNumberFormat="1">
      <alignment readingOrder="0"/>
    </xf>
    <xf borderId="0" fillId="21" fontId="333" numFmtId="0" xfId="0" applyAlignment="1" applyFont="1">
      <alignment readingOrder="0" shrinkToFit="0" vertical="bottom" wrapText="0"/>
    </xf>
    <xf borderId="0" fillId="0" fontId="5" numFmtId="0" xfId="0" applyAlignment="1" applyFont="1">
      <alignment horizontal="right" readingOrder="0" shrinkToFit="0" vertical="bottom" wrapText="0"/>
    </xf>
    <xf borderId="1" fillId="23" fontId="5" numFmtId="0" xfId="0" applyAlignment="1" applyBorder="1" applyFont="1">
      <alignment readingOrder="0" shrinkToFit="0" vertical="bottom" wrapText="0"/>
    </xf>
    <xf borderId="0" fillId="0" fontId="410" numFmtId="0" xfId="0" applyAlignment="1" applyFont="1">
      <alignment readingOrder="0" shrinkToFit="0" vertical="bottom" wrapText="0"/>
    </xf>
    <xf borderId="0" fillId="0" fontId="411" numFmtId="0" xfId="0" applyAlignment="1" applyFont="1">
      <alignment readingOrder="0" shrinkToFit="0" vertical="bottom" wrapText="0"/>
    </xf>
    <xf borderId="0" fillId="0" fontId="52" numFmtId="0" xfId="0" applyAlignment="1" applyFont="1">
      <alignment readingOrder="0" shrinkToFit="0" vertical="bottom" wrapText="0"/>
    </xf>
    <xf borderId="0" fillId="0" fontId="12" numFmtId="0" xfId="0" applyAlignment="1" applyFont="1">
      <alignment readingOrder="0" shrinkToFit="0" vertical="bottom" wrapText="0"/>
    </xf>
    <xf borderId="0" fillId="0" fontId="128" numFmtId="0" xfId="0" applyAlignment="1" applyFont="1">
      <alignment horizontal="right" readingOrder="0" shrinkToFit="0" vertical="bottom" wrapText="0"/>
    </xf>
    <xf borderId="0" fillId="0" fontId="412" numFmtId="0" xfId="0" applyAlignment="1" applyFont="1">
      <alignment readingOrder="0" shrinkToFit="0" vertical="bottom" wrapText="0"/>
    </xf>
    <xf borderId="0" fillId="0" fontId="128" numFmtId="0" xfId="0" applyAlignment="1" applyFont="1">
      <alignment horizontal="right" readingOrder="0" shrinkToFit="0" vertical="bottom" wrapText="0"/>
    </xf>
    <xf borderId="0" fillId="0" fontId="54" numFmtId="0" xfId="0" applyAlignment="1" applyFont="1">
      <alignment readingOrder="0" shrinkToFit="0" vertical="bottom" wrapText="0"/>
    </xf>
    <xf borderId="0" fillId="0" fontId="5" numFmtId="0" xfId="0" applyAlignment="1" applyFont="1">
      <alignment shrinkToFit="0" vertical="bottom" wrapText="0"/>
    </xf>
    <xf borderId="0" fillId="0" fontId="333" numFmtId="0" xfId="0" applyAlignment="1" applyFont="1">
      <alignment readingOrder="0" shrinkToFit="0" vertical="bottom" wrapText="0"/>
    </xf>
    <xf borderId="1" fillId="0" fontId="5" numFmtId="0" xfId="0" applyAlignment="1" applyBorder="1" applyFont="1">
      <alignment readingOrder="0" shrinkToFit="0" vertical="bottom" wrapText="0"/>
    </xf>
    <xf borderId="0" fillId="0" fontId="84" numFmtId="0" xfId="0" applyAlignment="1" applyFont="1">
      <alignment horizontal="right" readingOrder="0" shrinkToFit="0" vertical="bottom" wrapText="0"/>
    </xf>
    <xf borderId="0" fillId="0" fontId="54" numFmtId="0" xfId="0" applyAlignment="1" applyFont="1">
      <alignment horizontal="right" readingOrder="0" shrinkToFit="0" vertical="bottom" wrapText="0"/>
    </xf>
    <xf borderId="0" fillId="0" fontId="52" numFmtId="0" xfId="0" applyAlignment="1" applyFont="1">
      <alignment horizontal="right" readingOrder="0" shrinkToFit="0" vertical="bottom" wrapText="0"/>
    </xf>
    <xf borderId="0" fillId="0" fontId="84" numFmtId="0" xfId="0" applyAlignment="1" applyFont="1">
      <alignment readingOrder="0" shrinkToFit="0" vertical="bottom" wrapText="0"/>
    </xf>
    <xf borderId="0" fillId="0" fontId="128" numFmtId="0" xfId="0" applyAlignment="1" applyFont="1">
      <alignment shrinkToFit="0" vertical="bottom" wrapText="0"/>
    </xf>
    <xf borderId="0" fillId="5" fontId="5" numFmtId="0" xfId="0" applyAlignment="1" applyFont="1">
      <alignment readingOrder="0" shrinkToFit="0" vertical="bottom" wrapText="0"/>
    </xf>
    <xf borderId="0" fillId="22" fontId="5" numFmtId="0" xfId="0" applyAlignment="1" applyFont="1">
      <alignment readingOrder="0" shrinkToFit="0" vertical="bottom" wrapText="0"/>
    </xf>
    <xf borderId="0" fillId="0" fontId="128" numFmtId="0" xfId="0" applyAlignment="1" applyFont="1">
      <alignment shrinkToFit="0" vertical="bottom" wrapText="0"/>
    </xf>
    <xf borderId="0" fillId="0" fontId="5" numFmtId="0" xfId="0" applyAlignment="1" applyFont="1">
      <alignment shrinkToFit="0" vertical="bottom" wrapText="0"/>
    </xf>
    <xf borderId="0" fillId="0" fontId="128" numFmtId="0" xfId="0" applyAlignment="1" applyFont="1">
      <alignment shrinkToFit="0" vertical="bottom" wrapText="0"/>
    </xf>
    <xf borderId="0" fillId="0" fontId="5" numFmtId="0" xfId="0" applyAlignment="1" applyFont="1">
      <alignment shrinkToFit="0" vertical="bottom" wrapText="0"/>
    </xf>
    <xf borderId="0" fillId="0" fontId="50" numFmtId="0" xfId="0" applyAlignment="1" applyFont="1">
      <alignment readingOrder="0" shrinkToFit="0" vertical="bottom" wrapText="0"/>
    </xf>
    <xf borderId="0" fillId="0" fontId="128" numFmtId="0" xfId="0" applyAlignment="1" applyFont="1">
      <alignment horizontal="right" shrinkToFit="0" vertical="bottom" wrapText="0"/>
    </xf>
    <xf borderId="0" fillId="0" fontId="35" numFmtId="0" xfId="0" applyAlignment="1" applyFont="1">
      <alignment readingOrder="0" shrinkToFit="0" vertical="bottom" wrapText="0"/>
    </xf>
    <xf borderId="0" fillId="28" fontId="5" numFmtId="0" xfId="0" applyAlignment="1" applyFont="1">
      <alignment readingOrder="0" shrinkToFit="0" vertical="bottom" wrapText="0"/>
    </xf>
    <xf borderId="0" fillId="14" fontId="5" numFmtId="0" xfId="0" applyAlignment="1" applyFont="1">
      <alignment readingOrder="0" shrinkToFit="0" vertical="bottom" wrapText="0"/>
    </xf>
    <xf borderId="5" fillId="0" fontId="5" numFmtId="0" xfId="0" applyAlignment="1" applyBorder="1" applyFont="1">
      <alignment readingOrder="0" shrinkToFit="0" vertical="bottom" wrapText="0"/>
    </xf>
    <xf borderId="5" fillId="0" fontId="128" numFmtId="0" xfId="0" applyAlignment="1" applyBorder="1" applyFont="1">
      <alignment readingOrder="0" shrinkToFit="0" vertical="bottom" wrapText="0"/>
    </xf>
    <xf borderId="5" fillId="0" fontId="128" numFmtId="0" xfId="0" applyAlignment="1" applyBorder="1" applyFont="1">
      <alignment shrinkToFit="0" vertical="bottom" wrapText="0"/>
    </xf>
    <xf borderId="6" fillId="0" fontId="333" numFmtId="0" xfId="0" applyAlignment="1" applyBorder="1" applyFont="1">
      <alignment readingOrder="0" shrinkToFit="0" vertical="bottom" wrapText="0"/>
    </xf>
    <xf borderId="6" fillId="0" fontId="5" numFmtId="0" xfId="0" applyAlignment="1" applyBorder="1" applyFont="1">
      <alignment readingOrder="0" shrinkToFit="0" vertical="bottom" wrapText="0"/>
    </xf>
    <xf borderId="6" fillId="0" fontId="128" numFmtId="0" xfId="0" applyAlignment="1" applyBorder="1" applyFont="1">
      <alignment horizontal="right" readingOrder="0" shrinkToFit="0" vertical="bottom" wrapText="0"/>
    </xf>
    <xf borderId="7" fillId="0" fontId="5" numFmtId="0" xfId="0" applyAlignment="1" applyBorder="1" applyFont="1">
      <alignment readingOrder="0" shrinkToFit="0" vertical="bottom" wrapText="0"/>
    </xf>
    <xf borderId="6" fillId="0" fontId="11" numFmtId="0" xfId="0" applyBorder="1" applyFont="1"/>
    <xf borderId="7" fillId="0" fontId="128" numFmtId="0" xfId="0" applyAlignment="1" applyBorder="1" applyFont="1">
      <alignment readingOrder="0" shrinkToFit="0" vertical="bottom" wrapText="0"/>
    </xf>
    <xf borderId="7" fillId="0" fontId="128" numFmtId="0" xfId="0" applyAlignment="1" applyBorder="1" applyFont="1">
      <alignment horizontal="right" readingOrder="0" shrinkToFit="0" vertical="bottom" wrapText="0"/>
    </xf>
    <xf borderId="8" fillId="0" fontId="128" numFmtId="0" xfId="0" applyAlignment="1" applyBorder="1" applyFont="1">
      <alignment readingOrder="0" shrinkToFit="0" vertical="bottom" wrapText="0"/>
    </xf>
    <xf borderId="8" fillId="0" fontId="413" numFmtId="0" xfId="0" applyAlignment="1" applyBorder="1" applyFont="1">
      <alignment readingOrder="0" shrinkToFit="0" vertical="bottom" wrapText="0"/>
    </xf>
    <xf borderId="5" fillId="0" fontId="5" numFmtId="0" xfId="0" applyAlignment="1" applyBorder="1" applyFont="1">
      <alignment shrinkToFit="0" vertical="bottom" wrapText="0"/>
    </xf>
    <xf borderId="8" fillId="0" fontId="5" numFmtId="0" xfId="0" applyAlignment="1" applyBorder="1" applyFont="1">
      <alignment readingOrder="0" shrinkToFit="0" vertical="bottom" wrapText="0"/>
    </xf>
    <xf borderId="5" fillId="0" fontId="128" numFmtId="0" xfId="0" applyAlignment="1" applyBorder="1" applyFont="1">
      <alignment horizontal="right" readingOrder="0" shrinkToFit="0" vertical="bottom" wrapText="0"/>
    </xf>
    <xf borderId="0" fillId="0" fontId="5" numFmtId="172" xfId="0" applyAlignment="1" applyFont="1" applyNumberFormat="1">
      <alignment horizontal="right" readingOrder="0" shrinkToFit="0" vertical="bottom" wrapText="0"/>
    </xf>
    <xf borderId="7" fillId="0" fontId="35" numFmtId="0" xfId="0" applyAlignment="1" applyBorder="1" applyFont="1">
      <alignment readingOrder="0" shrinkToFit="0" vertical="bottom" wrapText="0"/>
    </xf>
    <xf borderId="5" fillId="0" fontId="128" numFmtId="165" xfId="0" applyAlignment="1" applyBorder="1" applyFont="1" applyNumberFormat="1">
      <alignment horizontal="right" readingOrder="0" shrinkToFit="0" vertical="bottom" wrapText="0"/>
    </xf>
    <xf borderId="0" fillId="21" fontId="5" numFmtId="0" xfId="0" applyAlignment="1" applyFont="1">
      <alignment readingOrder="0" shrinkToFit="0" vertical="bottom" wrapText="0"/>
    </xf>
    <xf borderId="0" fillId="0" fontId="128" numFmtId="165" xfId="0" applyAlignment="1" applyFont="1" applyNumberFormat="1">
      <alignment horizontal="right" readingOrder="0" shrinkToFit="0" vertical="bottom" wrapText="0"/>
    </xf>
    <xf borderId="1" fillId="0" fontId="5" numFmtId="0" xfId="0" applyAlignment="1" applyBorder="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right" shrinkToFit="0" vertical="bottom" wrapText="0"/>
    </xf>
    <xf borderId="0" fillId="0" fontId="414" numFmtId="0" xfId="0" applyAlignment="1" applyFont="1">
      <alignment shrinkToFit="0" vertical="bottom" wrapText="0"/>
    </xf>
    <xf borderId="0" fillId="0" fontId="128" numFmtId="0" xfId="0" applyAlignment="1" applyFont="1">
      <alignment shrinkToFit="0" vertical="bottom" wrapText="0"/>
    </xf>
    <xf borderId="0" fillId="0" fontId="128" numFmtId="0" xfId="0" applyAlignment="1" applyFont="1">
      <alignment shrinkToFit="0" vertical="bottom" wrapText="0"/>
    </xf>
    <xf borderId="1" fillId="0" fontId="415" numFmtId="0" xfId="0" applyAlignment="1" applyBorder="1" applyFont="1">
      <alignment readingOrder="0" shrinkToFit="0" vertical="bottom" wrapText="0"/>
    </xf>
    <xf borderId="0" fillId="0" fontId="333" numFmtId="0" xfId="0" applyAlignment="1" applyFont="1">
      <alignment vertical="bottom"/>
    </xf>
    <xf borderId="0" fillId="0" fontId="35" numFmtId="0" xfId="0" applyAlignment="1" applyFont="1">
      <alignment horizontal="right" readingOrder="0" vertical="bottom"/>
    </xf>
    <xf borderId="0" fillId="0" fontId="35" numFmtId="0" xfId="0" applyAlignment="1" applyFont="1">
      <alignment vertical="bottom"/>
    </xf>
    <xf borderId="0" fillId="24" fontId="6" numFmtId="165" xfId="0" applyAlignment="1" applyFont="1" applyNumberFormat="1">
      <alignment vertical="bottom"/>
    </xf>
    <xf borderId="0" fillId="24" fontId="35" numFmtId="0" xfId="0" applyAlignment="1" applyFont="1">
      <alignment vertical="bottom"/>
    </xf>
    <xf borderId="0" fillId="24" fontId="333" numFmtId="0" xfId="0" applyAlignment="1" applyFont="1">
      <alignment vertical="bottom"/>
    </xf>
    <xf borderId="0" fillId="24" fontId="35" numFmtId="0" xfId="0" applyAlignment="1" applyFont="1">
      <alignment horizontal="right" vertical="bottom"/>
    </xf>
    <xf borderId="0" fillId="24" fontId="35" numFmtId="0" xfId="0" applyAlignment="1" applyFont="1">
      <alignment horizontal="right" readingOrder="0" vertical="bottom"/>
    </xf>
    <xf borderId="0" fillId="5" fontId="6" numFmtId="168" xfId="0" applyAlignment="1" applyFont="1" applyNumberFormat="1">
      <alignment horizontal="right" readingOrder="0" vertical="bottom"/>
    </xf>
    <xf borderId="0" fillId="0" fontId="128" numFmtId="0" xfId="0" applyAlignment="1" applyFont="1">
      <alignment horizontal="right" readingOrder="0" vertical="bottom"/>
    </xf>
    <xf borderId="1" fillId="0" fontId="6" numFmtId="165" xfId="0" applyAlignment="1" applyBorder="1" applyFont="1" applyNumberFormat="1">
      <alignment vertical="bottom"/>
    </xf>
    <xf borderId="1" fillId="0" fontId="6" numFmtId="165" xfId="0" applyAlignment="1" applyBorder="1" applyFont="1" applyNumberFormat="1">
      <alignment readingOrder="0" vertical="bottom"/>
    </xf>
    <xf borderId="1" fillId="0" fontId="333" numFmtId="0" xfId="0" applyAlignment="1" applyBorder="1" applyFont="1">
      <alignment vertical="bottom"/>
    </xf>
    <xf borderId="1" fillId="0" fontId="4" numFmtId="0" xfId="0" applyAlignment="1" applyBorder="1" applyFont="1">
      <alignment horizontal="right" vertical="bottom"/>
    </xf>
    <xf borderId="1" fillId="0" fontId="6" numFmtId="0" xfId="0" applyAlignment="1" applyBorder="1" applyFont="1">
      <alignment horizontal="right" vertical="bottom"/>
    </xf>
    <xf borderId="1" fillId="0" fontId="4" numFmtId="0" xfId="0" applyAlignment="1" applyBorder="1" applyFont="1">
      <alignment vertical="bottom"/>
    </xf>
    <xf borderId="1" fillId="0" fontId="54" numFmtId="0" xfId="0" applyAlignment="1" applyBorder="1" applyFont="1">
      <alignment vertical="bottom"/>
    </xf>
    <xf borderId="1" fillId="0" fontId="6" numFmtId="0" xfId="0" applyAlignment="1" applyBorder="1" applyFont="1">
      <alignment horizontal="right" readingOrder="0" vertical="bottom"/>
    </xf>
    <xf borderId="1" fillId="0" fontId="416" numFmtId="0" xfId="0" applyAlignment="1" applyBorder="1" applyFont="1">
      <alignment vertical="bottom"/>
    </xf>
    <xf borderId="14" fillId="0" fontId="4" numFmtId="0" xfId="0" applyAlignment="1" applyBorder="1" applyFont="1">
      <alignment vertical="bottom"/>
    </xf>
    <xf borderId="15" fillId="0" fontId="417" numFmtId="0" xfId="0" applyBorder="1" applyFont="1"/>
    <xf borderId="1" fillId="0" fontId="128" numFmtId="0" xfId="0" applyAlignment="1" applyBorder="1" applyFont="1">
      <alignment horizontal="right" readingOrder="0" vertical="bottom"/>
    </xf>
    <xf borderId="6" fillId="0" fontId="4" numFmtId="0" xfId="0" applyAlignment="1" applyBorder="1" applyFont="1">
      <alignment vertical="bottom"/>
    </xf>
    <xf borderId="7" fillId="0" fontId="4" numFmtId="0" xfId="0" applyAlignment="1" applyBorder="1" applyFont="1">
      <alignment vertical="bottom"/>
    </xf>
    <xf borderId="0" fillId="21" fontId="333" numFmtId="0" xfId="0" applyAlignment="1" applyFont="1">
      <alignment vertical="bottom"/>
    </xf>
    <xf borderId="0" fillId="0" fontId="418" numFmtId="0" xfId="0" applyAlignment="1" applyFont="1">
      <alignment vertical="bottom"/>
    </xf>
    <xf quotePrefix="1" borderId="0" fillId="0" fontId="6" numFmtId="0" xfId="0" applyAlignment="1" applyFont="1">
      <alignment vertical="bottom"/>
    </xf>
    <xf borderId="0" fillId="0" fontId="419" numFmtId="0" xfId="0" applyAlignment="1" applyFont="1">
      <alignment readingOrder="0" shrinkToFit="0" vertical="bottom" wrapText="0"/>
    </xf>
    <xf borderId="0" fillId="0" fontId="420" numFmtId="0" xfId="0" applyAlignment="1" applyFont="1">
      <alignment shrinkToFit="0" vertical="bottom" wrapText="0"/>
    </xf>
    <xf borderId="0" fillId="0" fontId="421" numFmtId="0" xfId="0" applyAlignment="1" applyFont="1">
      <alignment vertical="bottom"/>
    </xf>
    <xf borderId="0" fillId="43" fontId="6" numFmtId="0" xfId="0" applyAlignment="1" applyFill="1" applyFont="1">
      <alignment vertical="bottom"/>
    </xf>
    <xf borderId="0" fillId="0" fontId="422" numFmtId="0" xfId="0" applyAlignment="1" applyFont="1">
      <alignment vertical="bottom"/>
    </xf>
    <xf borderId="0" fillId="43" fontId="4" numFmtId="0" xfId="0" applyAlignment="1" applyFont="1">
      <alignment vertical="bottom"/>
    </xf>
    <xf borderId="0" fillId="43" fontId="4" numFmtId="0" xfId="0" applyAlignment="1" applyFont="1">
      <alignment horizontal="right" vertical="bottom"/>
    </xf>
    <xf borderId="0" fillId="0" fontId="422" numFmtId="172" xfId="0" applyAlignment="1" applyFont="1" applyNumberFormat="1">
      <alignment horizontal="right" vertical="bottom"/>
    </xf>
    <xf borderId="1" fillId="14" fontId="4" numFmtId="0" xfId="0" applyAlignment="1" applyBorder="1" applyFont="1">
      <alignment vertical="bottom"/>
    </xf>
    <xf borderId="1" fillId="0" fontId="6" numFmtId="165" xfId="0" applyAlignment="1" applyBorder="1" applyFont="1" applyNumberFormat="1">
      <alignment horizontal="right" readingOrder="0" vertical="bottom"/>
    </xf>
    <xf borderId="1" fillId="21" fontId="333" numFmtId="0" xfId="0" applyAlignment="1" applyBorder="1" applyFont="1">
      <alignment vertical="bottom"/>
    </xf>
    <xf borderId="1" fillId="0" fontId="6" numFmtId="0" xfId="0" applyAlignment="1" applyBorder="1" applyFont="1">
      <alignment horizontal="right" vertical="bottom"/>
    </xf>
    <xf borderId="1" fillId="0" fontId="423" numFmtId="0" xfId="0" applyAlignment="1" applyBorder="1" applyFont="1">
      <alignment readingOrder="0" vertical="bottom"/>
    </xf>
    <xf borderId="0" fillId="21" fontId="421" numFmtId="0" xfId="0" applyAlignment="1" applyFont="1">
      <alignment vertical="bottom"/>
    </xf>
    <xf borderId="0" fillId="0" fontId="422" numFmtId="0" xfId="0" applyAlignment="1" applyFont="1">
      <alignment horizontal="right" vertical="bottom"/>
    </xf>
    <xf borderId="0" fillId="0" fontId="424" numFmtId="0" xfId="0" applyAlignment="1" applyFont="1">
      <alignment vertical="bottom"/>
    </xf>
    <xf borderId="0" fillId="0" fontId="6" numFmtId="0" xfId="0" applyAlignment="1" applyFont="1">
      <alignment horizontal="right" readingOrder="0" vertical="bottom"/>
    </xf>
    <xf borderId="0" fillId="21" fontId="421" numFmtId="0" xfId="0" applyAlignment="1" applyFont="1">
      <alignment shrinkToFit="0" vertical="bottom" wrapText="0"/>
    </xf>
    <xf borderId="0" fillId="0" fontId="425" numFmtId="0" xfId="0" applyAlignment="1" applyFont="1">
      <alignment vertical="bottom"/>
    </xf>
    <xf borderId="0" fillId="5" fontId="6" numFmtId="0" xfId="0" applyAlignment="1" applyFont="1">
      <alignment horizontal="right" vertical="bottom"/>
    </xf>
    <xf borderId="0" fillId="21" fontId="418" numFmtId="0" xfId="0" applyAlignment="1" applyFont="1">
      <alignment vertical="bottom"/>
    </xf>
    <xf borderId="0" fillId="0" fontId="424" numFmtId="0" xfId="0" applyAlignment="1" applyFont="1">
      <alignment horizontal="right" vertical="bottom"/>
    </xf>
    <xf borderId="0" fillId="0" fontId="421" numFmtId="0" xfId="0" applyAlignment="1" applyFont="1">
      <alignment shrinkToFit="0" vertical="bottom" wrapText="0"/>
    </xf>
    <xf borderId="0" fillId="22" fontId="333" numFmtId="0" xfId="0" applyAlignment="1" applyFont="1">
      <alignment vertical="bottom"/>
    </xf>
    <xf borderId="0" fillId="20" fontId="35" numFmtId="0" xfId="0" applyAlignment="1" applyFont="1">
      <alignment horizontal="right" readingOrder="0" vertical="bottom"/>
    </xf>
    <xf borderId="0" fillId="20" fontId="6" numFmtId="0" xfId="0" applyAlignment="1" applyFont="1">
      <alignment horizontal="right" readingOrder="0" vertical="bottom"/>
    </xf>
    <xf borderId="0" fillId="24" fontId="421" numFmtId="0" xfId="0" applyAlignment="1" applyFont="1">
      <alignment vertical="bottom"/>
    </xf>
    <xf borderId="0" fillId="24" fontId="2" numFmtId="0" xfId="0" applyAlignment="1" applyFont="1">
      <alignment vertical="bottom"/>
    </xf>
    <xf borderId="0" fillId="0" fontId="35" numFmtId="0" xfId="0" applyAlignment="1" applyFont="1">
      <alignment horizontal="right" vertical="bottom"/>
    </xf>
    <xf borderId="0" fillId="44" fontId="4" numFmtId="0" xfId="0" applyAlignment="1" applyFill="1" applyFont="1">
      <alignment vertical="bottom"/>
    </xf>
    <xf borderId="0" fillId="22" fontId="4" numFmtId="0" xfId="0" applyAlignment="1" applyFont="1">
      <alignment horizontal="center" vertical="bottom"/>
    </xf>
    <xf borderId="0" fillId="22" fontId="4" numFmtId="0" xfId="0" applyAlignment="1" applyFont="1">
      <alignment horizontal="center" vertical="bottom"/>
    </xf>
    <xf borderId="0" fillId="22" fontId="6" numFmtId="0" xfId="0" applyAlignment="1" applyFont="1">
      <alignment horizontal="right" vertical="bottom"/>
    </xf>
    <xf borderId="0" fillId="22" fontId="426" numFmtId="0" xfId="0" applyAlignment="1" applyFont="1">
      <alignment vertical="bottom"/>
    </xf>
    <xf borderId="0" fillId="22" fontId="12" numFmtId="0" xfId="0" applyAlignment="1" applyFont="1">
      <alignment vertical="bottom"/>
    </xf>
    <xf borderId="0" fillId="31" fontId="427" numFmtId="0" xfId="0" applyAlignment="1" applyFont="1">
      <alignment readingOrder="0" vertical="bottom"/>
    </xf>
    <xf borderId="0" fillId="0" fontId="4" numFmtId="179" xfId="0" applyAlignment="1" applyFont="1" applyNumberFormat="1">
      <alignment horizontal="right" vertical="bottom"/>
    </xf>
    <xf borderId="0" fillId="0" fontId="52" numFmtId="0" xfId="0" applyAlignment="1" applyFont="1">
      <alignment horizontal="right" vertical="bottom"/>
    </xf>
    <xf borderId="0" fillId="0" fontId="6" numFmtId="172" xfId="0" applyAlignment="1" applyFont="1" applyNumberFormat="1">
      <alignment horizontal="right" vertical="bottom"/>
    </xf>
    <xf borderId="0" fillId="0" fontId="84" numFmtId="168" xfId="0" applyAlignment="1" applyFont="1" applyNumberFormat="1">
      <alignment horizontal="right" readingOrder="0" vertical="bottom"/>
    </xf>
    <xf borderId="0" fillId="0" fontId="52" numFmtId="168" xfId="0" applyAlignment="1" applyFont="1" applyNumberFormat="1">
      <alignment horizontal="right" vertical="bottom"/>
    </xf>
    <xf borderId="0" fillId="29" fontId="6" numFmtId="165" xfId="0" applyAlignment="1" applyFont="1" applyNumberFormat="1">
      <alignment readingOrder="0" vertical="bottom"/>
    </xf>
    <xf borderId="0" fillId="29" fontId="6" numFmtId="0" xfId="0" applyAlignment="1" applyFont="1">
      <alignment horizontal="right" readingOrder="0" vertical="bottom"/>
    </xf>
    <xf borderId="0" fillId="29" fontId="83" numFmtId="0" xfId="0" applyAlignment="1" applyFont="1">
      <alignment readingOrder="0" vertical="bottom"/>
    </xf>
    <xf borderId="0" fillId="29" fontId="428" numFmtId="0" xfId="0" applyAlignment="1" applyFont="1">
      <alignment readingOrder="0" vertical="bottom"/>
    </xf>
    <xf borderId="0" fillId="29" fontId="429" numFmtId="0" xfId="0" applyAlignment="1" applyFont="1">
      <alignment readingOrder="0" vertical="bottom"/>
    </xf>
    <xf borderId="0" fillId="21" fontId="4" numFmtId="179" xfId="0" applyAlignment="1" applyFont="1" applyNumberFormat="1">
      <alignment horizontal="right" vertical="bottom"/>
    </xf>
    <xf borderId="0" fillId="21" fontId="84" numFmtId="0" xfId="0" applyAlignment="1" applyFont="1">
      <alignment readingOrder="0" vertical="bottom"/>
    </xf>
    <xf borderId="0" fillId="21" fontId="84" numFmtId="0" xfId="0" applyAlignment="1" applyFont="1">
      <alignment horizontal="right" vertical="bottom"/>
    </xf>
    <xf borderId="0" fillId="0" fontId="430" numFmtId="0" xfId="0" applyAlignment="1" applyFont="1">
      <alignment readingOrder="0" vertical="bottom"/>
    </xf>
    <xf borderId="0" fillId="21" fontId="4" numFmtId="167" xfId="0" applyAlignment="1" applyFont="1" applyNumberFormat="1">
      <alignment horizontal="right" vertical="bottom"/>
    </xf>
    <xf borderId="0" fillId="21" fontId="4" numFmtId="172" xfId="0" applyAlignment="1" applyFont="1" applyNumberFormat="1">
      <alignment vertical="bottom"/>
    </xf>
    <xf borderId="0" fillId="21" fontId="4" numFmtId="168" xfId="0" applyAlignment="1" applyFont="1" applyNumberFormat="1">
      <alignment horizontal="right" readingOrder="0" vertical="bottom"/>
    </xf>
    <xf borderId="0" fillId="21" fontId="4" numFmtId="168" xfId="0" applyAlignment="1" applyFont="1" applyNumberFormat="1">
      <alignment readingOrder="0" vertical="bottom"/>
    </xf>
    <xf borderId="0" fillId="21" fontId="431" numFmtId="0" xfId="0" applyAlignment="1" applyFont="1">
      <alignment readingOrder="0" vertical="bottom"/>
    </xf>
    <xf borderId="0" fillId="24" fontId="432" numFmtId="0" xfId="0" applyAlignment="1" applyFont="1">
      <alignment vertical="bottom"/>
    </xf>
    <xf borderId="0" fillId="24" fontId="84" numFmtId="0" xfId="0" applyAlignment="1" applyFont="1">
      <alignment vertical="bottom"/>
    </xf>
    <xf borderId="0" fillId="16" fontId="433" numFmtId="0" xfId="0" applyAlignment="1" applyFont="1">
      <alignment readingOrder="0" vertical="bottom"/>
    </xf>
    <xf borderId="0" fillId="16" fontId="84" numFmtId="0" xfId="0" applyAlignment="1" applyFont="1">
      <alignment horizontal="right" readingOrder="0" vertical="bottom"/>
    </xf>
    <xf borderId="0" fillId="16" fontId="50" numFmtId="0" xfId="0" applyAlignment="1" applyFont="1">
      <alignment readingOrder="0" vertical="bottom"/>
    </xf>
    <xf borderId="0" fillId="16" fontId="50" numFmtId="0" xfId="0" applyAlignment="1" applyFont="1">
      <alignment horizontal="right" readingOrder="0" vertical="bottom"/>
    </xf>
    <xf borderId="0" fillId="16" fontId="434" numFmtId="0" xfId="0" applyAlignment="1" applyFont="1">
      <alignment readingOrder="0" vertical="bottom"/>
    </xf>
    <xf borderId="0" fillId="16" fontId="435" numFmtId="0" xfId="0" applyAlignment="1" applyFont="1">
      <alignment readingOrder="0" vertical="bottom"/>
    </xf>
    <xf borderId="0" fillId="16" fontId="5" numFmtId="0" xfId="0" applyAlignment="1" applyFont="1">
      <alignment horizontal="right" readingOrder="0" vertical="bottom"/>
    </xf>
    <xf borderId="0" fillId="16" fontId="436" numFmtId="0" xfId="0" applyAlignment="1" applyFont="1">
      <alignment readingOrder="0" vertical="bottom"/>
    </xf>
    <xf borderId="0" fillId="16" fontId="128" numFmtId="0" xfId="0" applyAlignment="1" applyFont="1">
      <alignment readingOrder="0" vertical="bottom"/>
    </xf>
    <xf borderId="0" fillId="16" fontId="334" numFmtId="0" xfId="0" applyAlignment="1" applyFont="1">
      <alignment readingOrder="0"/>
    </xf>
    <xf borderId="0" fillId="16" fontId="334" numFmtId="0" xfId="0" applyFont="1"/>
    <xf borderId="0" fillId="16" fontId="5" numFmtId="0" xfId="0" applyAlignment="1" applyFont="1">
      <alignment readingOrder="0" vertical="bottom"/>
    </xf>
    <xf borderId="0" fillId="16" fontId="128" numFmtId="165" xfId="0" applyAlignment="1" applyFont="1" applyNumberFormat="1">
      <alignment readingOrder="0" vertical="bottom"/>
    </xf>
    <xf borderId="0" fillId="16" fontId="128" numFmtId="0" xfId="0" applyAlignment="1" applyFont="1">
      <alignment horizontal="right" readingOrder="0" vertical="bottom"/>
    </xf>
    <xf borderId="0" fillId="16" fontId="437" numFmtId="0" xfId="0" applyAlignment="1" applyFont="1">
      <alignment readingOrder="0" vertical="bottom"/>
    </xf>
    <xf borderId="0" fillId="16" fontId="438" numFmtId="0" xfId="0" applyAlignment="1" applyFont="1">
      <alignment vertical="bottom"/>
    </xf>
    <xf borderId="0" fillId="16" fontId="5" numFmtId="0" xfId="0" applyAlignment="1" applyFont="1">
      <alignment vertical="bottom"/>
    </xf>
    <xf borderId="0" fillId="16" fontId="439" numFmtId="0" xfId="0" applyAlignment="1" applyFont="1">
      <alignment vertical="bottom"/>
    </xf>
    <xf borderId="0" fillId="16" fontId="128" numFmtId="0" xfId="0" applyAlignment="1" applyFont="1">
      <alignment vertical="bottom"/>
    </xf>
    <xf borderId="0" fillId="21" fontId="334" numFmtId="0" xfId="0" applyFont="1"/>
    <xf borderId="0" fillId="16" fontId="440" numFmtId="0" xfId="0" applyAlignment="1" applyFont="1">
      <alignment readingOrder="0" vertical="bottom"/>
    </xf>
    <xf borderId="0" fillId="19" fontId="4" numFmtId="0" xfId="0" applyAlignment="1" applyFont="1">
      <alignment horizontal="right" readingOrder="0" vertical="bottom"/>
    </xf>
    <xf borderId="0" fillId="19" fontId="6" numFmtId="0" xfId="0" applyAlignment="1" applyFont="1">
      <alignment horizontal="right" readingOrder="0" vertical="bottom"/>
    </xf>
    <xf borderId="0" fillId="19" fontId="83" numFmtId="0" xfId="0" applyAlignment="1" applyFont="1">
      <alignment readingOrder="0" vertical="bottom"/>
    </xf>
    <xf borderId="0" fillId="19" fontId="441" numFmtId="0" xfId="0" applyAlignment="1" applyFont="1">
      <alignment vertical="bottom"/>
    </xf>
    <xf borderId="0" fillId="19" fontId="84" numFmtId="0" xfId="0" applyAlignment="1" applyFont="1">
      <alignment horizontal="right" readingOrder="0" vertical="bottom"/>
    </xf>
    <xf borderId="0" fillId="19" fontId="442" numFmtId="0" xfId="0" applyAlignment="1" applyFont="1">
      <alignment readingOrder="0" vertical="bottom"/>
    </xf>
    <xf borderId="0" fillId="16" fontId="54" numFmtId="0" xfId="0" applyAlignment="1" applyFont="1">
      <alignment readingOrder="0" vertical="bottom"/>
    </xf>
    <xf borderId="0" fillId="16" fontId="6" numFmtId="0" xfId="0" applyAlignment="1" applyFont="1">
      <alignment horizontal="right" vertical="bottom"/>
    </xf>
    <xf borderId="0" fillId="16" fontId="443" numFmtId="0" xfId="0" applyAlignment="1" applyFont="1">
      <alignment readingOrder="0" vertical="bottom"/>
    </xf>
    <xf borderId="0" fillId="16" fontId="444" numFmtId="0" xfId="0" applyAlignment="1" applyFont="1">
      <alignment readingOrder="0" vertical="bottom"/>
    </xf>
    <xf borderId="0" fillId="16" fontId="84" numFmtId="0" xfId="0" applyAlignment="1" applyFont="1">
      <alignment readingOrder="0" vertical="bottom"/>
    </xf>
    <xf borderId="0" fillId="19" fontId="128" numFmtId="0" xfId="0" applyAlignment="1" applyFont="1">
      <alignment readingOrder="0" vertical="bottom"/>
    </xf>
    <xf borderId="0" fillId="19" fontId="445" numFmtId="0" xfId="0" applyAlignment="1" applyFont="1">
      <alignment readingOrder="0" vertical="bottom"/>
    </xf>
    <xf borderId="0" fillId="16" fontId="4" numFmtId="165" xfId="0" applyAlignment="1" applyFont="1" applyNumberFormat="1">
      <alignment vertical="bottom"/>
    </xf>
    <xf borderId="0" fillId="16" fontId="50" numFmtId="0" xfId="0" applyAlignment="1" applyFont="1">
      <alignment horizontal="right" vertical="bottom"/>
    </xf>
    <xf borderId="0" fillId="16" fontId="50" numFmtId="0" xfId="0" applyAlignment="1" applyFont="1">
      <alignment vertical="bottom"/>
    </xf>
    <xf borderId="0" fillId="21" fontId="446" numFmtId="0" xfId="0" applyAlignment="1" applyFont="1">
      <alignment readingOrder="0" vertical="bottom"/>
    </xf>
    <xf borderId="0" fillId="0" fontId="447" numFmtId="0" xfId="0" applyAlignment="1" applyFont="1">
      <alignment readingOrder="0" vertical="bottom"/>
    </xf>
    <xf borderId="0" fillId="45" fontId="6" numFmtId="0" xfId="0" applyAlignment="1" applyFill="1" applyFont="1">
      <alignment readingOrder="0" vertical="bottom"/>
    </xf>
    <xf borderId="0" fillId="45" fontId="11" numFmtId="0" xfId="0" applyAlignment="1" applyFont="1">
      <alignment readingOrder="0"/>
    </xf>
    <xf borderId="0" fillId="45" fontId="11" numFmtId="0" xfId="0" applyFont="1"/>
    <xf borderId="0" fillId="45" fontId="4" numFmtId="0" xfId="0" applyAlignment="1" applyFont="1">
      <alignment readingOrder="0" vertical="bottom"/>
    </xf>
    <xf borderId="0" fillId="45" fontId="4" numFmtId="0" xfId="0" applyAlignment="1" applyFont="1">
      <alignment horizontal="right" readingOrder="0" vertical="bottom"/>
    </xf>
    <xf borderId="0" fillId="45" fontId="6" numFmtId="0" xfId="0" applyAlignment="1" applyFont="1">
      <alignment vertical="bottom"/>
    </xf>
    <xf borderId="0" fillId="45" fontId="4" numFmtId="0" xfId="0" applyAlignment="1" applyFont="1">
      <alignment vertical="bottom"/>
    </xf>
    <xf borderId="0" fillId="45" fontId="6" numFmtId="0" xfId="0" applyAlignment="1" applyFont="1">
      <alignment horizontal="right" readingOrder="0" vertical="bottom"/>
    </xf>
    <xf borderId="0" fillId="45" fontId="448" numFmtId="0" xfId="0" applyAlignment="1" applyFont="1">
      <alignment readingOrder="0" vertical="bottom"/>
    </xf>
    <xf borderId="0" fillId="45" fontId="83" numFmtId="0" xfId="0" applyAlignment="1" applyFont="1">
      <alignment readingOrder="0" vertical="bottom"/>
    </xf>
    <xf borderId="0" fillId="45" fontId="449" numFmtId="0" xfId="0" applyAlignment="1" applyFont="1">
      <alignment vertical="bottom"/>
    </xf>
    <xf borderId="0" fillId="45" fontId="6" numFmtId="0" xfId="0" applyAlignment="1" applyFont="1">
      <alignment horizontal="right" vertical="bottom"/>
    </xf>
    <xf borderId="0" fillId="45" fontId="450" numFmtId="0" xfId="0" applyAlignment="1" applyFont="1">
      <alignment vertical="bottom"/>
    </xf>
    <xf borderId="0" fillId="45" fontId="4" numFmtId="0" xfId="0" applyAlignment="1" applyFont="1">
      <alignment horizontal="right" vertical="bottom"/>
    </xf>
    <xf borderId="0" fillId="45" fontId="451" numFmtId="0" xfId="0" applyAlignment="1" applyFont="1">
      <alignment vertical="bottom"/>
    </xf>
    <xf borderId="0" fillId="32" fontId="452" numFmtId="0" xfId="0" applyAlignment="1" applyFont="1">
      <alignment shrinkToFit="0" vertical="bottom" wrapText="0"/>
    </xf>
    <xf borderId="0" fillId="32" fontId="6" numFmtId="0" xfId="0" applyAlignment="1" applyFont="1">
      <alignment shrinkToFit="0" vertical="bottom" wrapText="0"/>
    </xf>
    <xf borderId="0" fillId="32" fontId="6" numFmtId="0" xfId="0" applyAlignment="1" applyFont="1">
      <alignment horizontal="right" vertical="bottom"/>
    </xf>
    <xf borderId="0" fillId="32" fontId="4" numFmtId="166" xfId="0" applyAlignment="1" applyFont="1" applyNumberFormat="1">
      <alignment horizontal="right" vertical="bottom"/>
    </xf>
    <xf borderId="0" fillId="0" fontId="30" numFmtId="0" xfId="0" applyAlignment="1" applyFont="1">
      <alignment vertical="bottom"/>
    </xf>
    <xf borderId="0" fillId="0" fontId="290" numFmtId="0" xfId="0" applyAlignment="1" applyFont="1">
      <alignment vertical="bottom"/>
    </xf>
    <xf borderId="0" fillId="0" fontId="282" numFmtId="0" xfId="0" applyAlignment="1" applyFont="1">
      <alignment vertical="bottom"/>
    </xf>
    <xf borderId="0" fillId="0" fontId="282" numFmtId="0" xfId="0" applyAlignment="1" applyFont="1">
      <alignment vertical="top"/>
    </xf>
    <xf borderId="0" fillId="0" fontId="453" numFmtId="0" xfId="0" applyAlignment="1" applyFont="1">
      <alignment vertical="bottom"/>
    </xf>
    <xf borderId="0" fillId="0" fontId="4" numFmtId="0" xfId="0" applyAlignment="1" applyFont="1">
      <alignment horizontal="right" shrinkToFit="0" vertical="bottom" wrapText="1"/>
    </xf>
    <xf borderId="0" fillId="0" fontId="454" numFmtId="0" xfId="0" applyAlignment="1" applyFont="1">
      <alignment readingOrder="0" vertical="bottom"/>
    </xf>
    <xf borderId="0" fillId="0" fontId="4" numFmtId="2" xfId="0" applyAlignment="1" applyFont="1" applyNumberFormat="1">
      <alignment vertical="bottom"/>
    </xf>
    <xf borderId="0" fillId="0" fontId="54" numFmtId="2" xfId="0" applyAlignment="1" applyFont="1" applyNumberFormat="1">
      <alignment vertical="bottom"/>
    </xf>
    <xf borderId="0" fillId="0" fontId="455" numFmtId="0" xfId="0" applyAlignment="1" applyFont="1">
      <alignment readingOrder="0" vertical="bottom"/>
    </xf>
    <xf borderId="0" fillId="0" fontId="50" numFmtId="2" xfId="0" applyAlignment="1" applyFont="1" applyNumberFormat="1">
      <alignment horizontal="right" vertical="bottom"/>
    </xf>
    <xf borderId="0" fillId="0" fontId="456" numFmtId="0" xfId="0" applyAlignment="1" applyFont="1">
      <alignment horizontal="right" readingOrder="0" vertical="bottom"/>
    </xf>
    <xf borderId="0" fillId="0" fontId="457" numFmtId="0" xfId="0" applyAlignment="1" applyFont="1">
      <alignment readingOrder="0" vertical="bottom"/>
    </xf>
    <xf borderId="0" fillId="0" fontId="458" numFmtId="0" xfId="0" applyAlignment="1" applyFont="1">
      <alignment vertical="bottom"/>
    </xf>
    <xf borderId="0" fillId="0" fontId="459" numFmtId="0" xfId="0" applyAlignment="1" applyFont="1">
      <alignment horizontal="right" vertical="bottom"/>
    </xf>
    <xf borderId="0" fillId="0" fontId="4" numFmtId="2" xfId="0" applyAlignment="1" applyFont="1" applyNumberFormat="1">
      <alignment horizontal="right" readingOrder="0" vertical="bottom"/>
    </xf>
    <xf borderId="0" fillId="0" fontId="30" numFmtId="0" xfId="0" applyAlignment="1" applyFont="1">
      <alignment horizontal="right" vertical="bottom"/>
    </xf>
    <xf borderId="0" fillId="0" fontId="5" numFmtId="0" xfId="0" applyAlignment="1" applyFont="1">
      <alignment readingOrder="0" vertical="bottom"/>
    </xf>
    <xf borderId="0" fillId="0" fontId="456" numFmtId="0" xfId="0" applyAlignment="1" applyFont="1">
      <alignment readingOrder="0" vertical="bottom"/>
    </xf>
    <xf borderId="0" fillId="0" fontId="6" numFmtId="2" xfId="0" applyAlignment="1" applyFont="1" applyNumberFormat="1">
      <alignment readingOrder="0" vertical="bottom"/>
    </xf>
    <xf borderId="0" fillId="0" fontId="12" numFmtId="0" xfId="0" applyAlignment="1" applyFont="1">
      <alignment readingOrder="0" vertical="bottom"/>
    </xf>
    <xf borderId="0" fillId="0" fontId="12" numFmtId="3" xfId="0" applyAlignment="1" applyFont="1" applyNumberFormat="1">
      <alignment vertical="bottom"/>
    </xf>
    <xf borderId="0" fillId="0" fontId="30" numFmtId="0" xfId="0" applyAlignment="1" applyFont="1">
      <alignment horizontal="right" readingOrder="0" vertical="bottom"/>
    </xf>
    <xf borderId="0" fillId="0" fontId="460" numFmtId="0" xfId="0" applyAlignment="1" applyFont="1">
      <alignment horizontal="right" vertical="bottom"/>
    </xf>
    <xf borderId="0" fillId="0" fontId="460" numFmtId="0" xfId="0" applyAlignment="1" applyFont="1">
      <alignment horizontal="right" readingOrder="0" vertical="bottom"/>
    </xf>
    <xf borderId="0" fillId="0" fontId="460" numFmtId="0" xfId="0" applyAlignment="1" applyFont="1">
      <alignment readingOrder="0" vertical="bottom"/>
    </xf>
    <xf borderId="0" fillId="0" fontId="6" numFmtId="2" xfId="0" applyAlignment="1" applyFont="1" applyNumberFormat="1">
      <alignment vertical="bottom"/>
    </xf>
    <xf borderId="0" fillId="0" fontId="461" numFmtId="0" xfId="0" applyAlignment="1" applyFont="1">
      <alignment vertical="bottom"/>
    </xf>
    <xf borderId="0" fillId="0" fontId="4" numFmtId="2" xfId="0" applyAlignment="1" applyFont="1" applyNumberFormat="1">
      <alignment readingOrder="0" vertical="bottom"/>
    </xf>
    <xf borderId="0" fillId="0" fontId="462" numFmtId="0" xfId="0" applyAlignment="1" applyFont="1">
      <alignment readingOrder="0" vertical="bottom"/>
    </xf>
    <xf borderId="0" fillId="0" fontId="459" numFmtId="0" xfId="0" applyAlignment="1" applyFont="1">
      <alignment readingOrder="0" vertical="bottom"/>
    </xf>
    <xf borderId="0" fillId="0" fontId="316" numFmtId="0" xfId="0" applyAlignment="1" applyFont="1">
      <alignment vertical="bottom"/>
    </xf>
    <xf borderId="0" fillId="0" fontId="459" numFmtId="0" xfId="0" applyAlignment="1" applyFont="1">
      <alignment vertical="bottom"/>
    </xf>
    <xf borderId="0" fillId="0" fontId="4" numFmtId="0" xfId="0" applyAlignment="1" applyFont="1">
      <alignment shrinkToFit="0" vertical="bottom" wrapText="1"/>
    </xf>
    <xf borderId="0" fillId="0" fontId="12" numFmtId="0" xfId="0" applyAlignment="1" applyFont="1">
      <alignment shrinkToFit="0" vertical="bottom" wrapText="1"/>
    </xf>
    <xf borderId="0" fillId="0" fontId="463" numFmtId="0" xfId="0" applyAlignment="1" applyFont="1">
      <alignment readingOrder="0" vertical="bottom"/>
    </xf>
    <xf borderId="0" fillId="0" fontId="464" numFmtId="0" xfId="0" applyAlignment="1" applyFont="1">
      <alignment readingOrder="0" vertical="bottom"/>
    </xf>
    <xf borderId="0" fillId="0" fontId="465" numFmtId="0" xfId="0" applyAlignment="1" applyFont="1">
      <alignment readingOrder="0" vertical="bottom"/>
    </xf>
    <xf borderId="0" fillId="0" fontId="466" numFmtId="0" xfId="0" applyAlignment="1" applyFont="1">
      <alignment readingOrder="0" vertical="bottom"/>
    </xf>
    <xf borderId="0" fillId="0" fontId="467" numFmtId="0" xfId="0" applyAlignment="1" applyFont="1">
      <alignment vertical="bottom"/>
    </xf>
    <xf borderId="0" fillId="0" fontId="466" numFmtId="0" xfId="0" applyAlignment="1" applyFont="1">
      <alignment vertical="bottom"/>
    </xf>
    <xf borderId="0" fillId="0" fontId="54" numFmtId="0" xfId="0" applyAlignment="1" applyFont="1">
      <alignment readingOrder="0" vertical="bottom"/>
    </xf>
    <xf borderId="0" fillId="0" fontId="293" numFmtId="0" xfId="0" applyAlignment="1" applyFont="1">
      <alignment readingOrder="0" vertical="bottom"/>
    </xf>
    <xf borderId="0" fillId="0" fontId="468" numFmtId="0" xfId="0" applyAlignment="1" applyFont="1">
      <alignment readingOrder="0" vertical="bottom"/>
    </xf>
    <xf borderId="0" fillId="0" fontId="467" numFmtId="0" xfId="0" applyAlignment="1" applyFont="1">
      <alignment vertical="bottom"/>
    </xf>
    <xf quotePrefix="1" borderId="0" fillId="0" fontId="4" numFmtId="16" xfId="0" applyAlignment="1" applyFont="1" applyNumberFormat="1">
      <alignment vertical="bottom"/>
    </xf>
    <xf borderId="0" fillId="0" fontId="469" numFmtId="0" xfId="0" applyAlignment="1" applyFont="1">
      <alignment readingOrder="0"/>
    </xf>
    <xf borderId="0" fillId="0" fontId="163" numFmtId="0" xfId="0" applyAlignment="1" applyFont="1">
      <alignment readingOrder="0"/>
    </xf>
    <xf borderId="0" fillId="0" fontId="460" numFmtId="0" xfId="0" applyAlignment="1" applyFont="1">
      <alignment vertical="bottom"/>
    </xf>
    <xf borderId="0" fillId="0" fontId="470" numFmtId="0" xfId="0" applyAlignment="1" applyFont="1">
      <alignment vertical="bottom"/>
    </xf>
    <xf borderId="0" fillId="0" fontId="299" numFmtId="0" xfId="0" applyAlignment="1" applyFont="1">
      <alignment vertical="bottom"/>
    </xf>
    <xf borderId="0" fillId="0" fontId="471" numFmtId="0" xfId="0" applyAlignment="1" applyFont="1">
      <alignment vertical="bottom"/>
    </xf>
    <xf borderId="0" fillId="0" fontId="54" numFmtId="0" xfId="0" applyAlignment="1" applyFont="1">
      <alignment horizontal="right" vertical="bottom"/>
    </xf>
    <xf borderId="0" fillId="0" fontId="54" numFmtId="0" xfId="0" applyAlignment="1" applyFont="1">
      <alignment vertical="bottom"/>
    </xf>
    <xf borderId="0" fillId="0" fontId="466" numFmtId="0" xfId="0" applyAlignment="1" applyFont="1">
      <alignment vertical="bottom"/>
    </xf>
    <xf borderId="0" fillId="0" fontId="472" numFmtId="0" xfId="0" applyAlignment="1" applyFont="1">
      <alignment readingOrder="0" vertical="bottom"/>
    </xf>
    <xf quotePrefix="1" borderId="0" fillId="0" fontId="4" numFmtId="0" xfId="0" applyAlignment="1" applyFont="1">
      <alignment vertical="bottom"/>
    </xf>
    <xf borderId="0" fillId="46" fontId="6" numFmtId="0" xfId="0" applyAlignment="1" applyFill="1" applyFont="1">
      <alignment readingOrder="0" vertical="bottom"/>
    </xf>
    <xf borderId="0" fillId="3" fontId="4" numFmtId="165" xfId="0" applyAlignment="1" applyFont="1" applyNumberFormat="1">
      <alignment vertical="bottom"/>
    </xf>
    <xf borderId="0" fillId="3" fontId="4" numFmtId="168" xfId="0" applyAlignment="1" applyFont="1" applyNumberFormat="1">
      <alignment horizontal="right" readingOrder="0" vertical="bottom"/>
    </xf>
    <xf borderId="0" fillId="3" fontId="4" numFmtId="2" xfId="0" applyAlignment="1" applyFont="1" applyNumberFormat="1">
      <alignment horizontal="right" vertical="bottom"/>
    </xf>
    <xf borderId="0" fillId="3" fontId="4" numFmtId="11" xfId="0" applyAlignment="1" applyFont="1" applyNumberFormat="1">
      <alignment horizontal="right" readingOrder="0" vertical="bottom"/>
    </xf>
    <xf borderId="0" fillId="42" fontId="4" numFmtId="0" xfId="0" applyAlignment="1" applyFont="1">
      <alignment horizontal="right" vertical="bottom"/>
    </xf>
    <xf borderId="0" fillId="5" fontId="4" numFmtId="2" xfId="0" applyAlignment="1" applyFont="1" applyNumberFormat="1">
      <alignment horizontal="right" vertical="bottom"/>
    </xf>
    <xf borderId="0" fillId="21" fontId="50" numFmtId="0" xfId="0" applyAlignment="1" applyFont="1">
      <alignment horizontal="right" vertical="bottom"/>
    </xf>
    <xf borderId="0" fillId="21" fontId="6" numFmtId="2" xfId="0" applyAlignment="1" applyFont="1" applyNumberFormat="1">
      <alignment horizontal="right" vertical="bottom"/>
    </xf>
    <xf borderId="0" fillId="21" fontId="4" numFmtId="2" xfId="0" applyAlignment="1" applyFont="1" applyNumberFormat="1">
      <alignment horizontal="right" vertical="bottom"/>
    </xf>
    <xf borderId="0" fillId="0" fontId="6" numFmtId="3" xfId="0" applyAlignment="1" applyFont="1" applyNumberFormat="1">
      <alignment horizontal="right" readingOrder="0" shrinkToFit="0" vertical="bottom" wrapText="0"/>
    </xf>
    <xf borderId="0" fillId="2" fontId="11" numFmtId="0" xfId="0" applyAlignment="1" applyFont="1">
      <alignment readingOrder="0"/>
    </xf>
    <xf borderId="0" fillId="2" fontId="11" numFmtId="0" xfId="0" applyFont="1"/>
    <xf borderId="0" fillId="2" fontId="6" numFmtId="0" xfId="0" applyAlignment="1" applyFont="1">
      <alignment vertical="bottom"/>
    </xf>
    <xf borderId="0" fillId="2" fontId="4" numFmtId="0" xfId="0" applyAlignment="1" applyFont="1">
      <alignment vertical="bottom"/>
    </xf>
    <xf borderId="0" fillId="2" fontId="4" numFmtId="165" xfId="0" applyAlignment="1" applyFont="1" applyNumberFormat="1">
      <alignment vertical="bottom"/>
    </xf>
    <xf borderId="0" fillId="2" fontId="473" numFmtId="0" xfId="0" applyAlignment="1" applyFont="1">
      <alignment readingOrder="0" vertical="bottom"/>
    </xf>
    <xf borderId="0" fillId="2" fontId="474" numFmtId="0" xfId="0" applyAlignment="1" applyFont="1">
      <alignment vertical="bottom"/>
    </xf>
    <xf borderId="0" fillId="2" fontId="4" numFmtId="0" xfId="0" applyAlignment="1" applyFont="1">
      <alignment horizontal="right" readingOrder="0" vertical="bottom"/>
    </xf>
    <xf borderId="0" fillId="2" fontId="4" numFmtId="0" xfId="0" applyAlignment="1" applyFont="1">
      <alignment horizontal="right" vertical="bottom"/>
    </xf>
    <xf borderId="0" fillId="2" fontId="6" numFmtId="0" xfId="0" applyAlignment="1" applyFont="1">
      <alignment horizontal="right" vertical="bottom"/>
    </xf>
    <xf borderId="0" fillId="2" fontId="4" numFmtId="11" xfId="0" applyAlignment="1" applyFont="1" applyNumberFormat="1">
      <alignment readingOrder="0" vertical="bottom"/>
    </xf>
    <xf borderId="0" fillId="2" fontId="475" numFmtId="0" xfId="0" applyAlignment="1" applyFont="1">
      <alignment vertical="bottom"/>
    </xf>
    <xf borderId="0" fillId="29" fontId="476" numFmtId="0" xfId="0" applyAlignment="1" applyFont="1">
      <alignment vertical="bottom"/>
    </xf>
    <xf borderId="0" fillId="0" fontId="4" numFmtId="11" xfId="0" applyAlignment="1" applyFont="1" applyNumberFormat="1">
      <alignment horizontal="right" readingOrder="0" vertical="bottom"/>
    </xf>
    <xf borderId="0" fillId="30" fontId="4" numFmtId="165" xfId="0" applyAlignment="1" applyFont="1" applyNumberFormat="1">
      <alignment vertical="bottom"/>
    </xf>
    <xf borderId="0" fillId="30" fontId="4" numFmtId="165" xfId="0" applyAlignment="1" applyFont="1" applyNumberFormat="1">
      <alignment horizontal="right" readingOrder="0" vertical="bottom"/>
    </xf>
    <xf borderId="0" fillId="0" fontId="128" numFmtId="3" xfId="0" applyAlignment="1" applyFont="1" applyNumberFormat="1">
      <alignment horizontal="right" readingOrder="0" shrinkToFit="0" vertical="bottom" wrapText="0"/>
    </xf>
    <xf borderId="0" fillId="30" fontId="4" numFmtId="2" xfId="0" applyAlignment="1" applyFont="1" applyNumberFormat="1">
      <alignment horizontal="right" vertical="bottom"/>
    </xf>
    <xf borderId="0" fillId="0" fontId="4" numFmtId="3" xfId="0" applyAlignment="1" applyFont="1" applyNumberFormat="1">
      <alignment readingOrder="0" vertical="bottom"/>
    </xf>
    <xf borderId="0" fillId="0" fontId="6" numFmtId="2" xfId="0" applyAlignment="1" applyFont="1" applyNumberFormat="1">
      <alignment horizontal="right" vertical="bottom"/>
    </xf>
    <xf quotePrefix="1" borderId="0" fillId="0" fontId="4" numFmtId="0" xfId="0" applyAlignment="1" applyFont="1">
      <alignment horizontal="right" readingOrder="0" vertical="bottom"/>
    </xf>
    <xf borderId="0" fillId="22" fontId="6" numFmtId="11" xfId="0" applyAlignment="1" applyFont="1" applyNumberFormat="1">
      <alignment horizontal="right" readingOrder="0" vertical="bottom"/>
    </xf>
    <xf borderId="0" fillId="42" fontId="6" numFmtId="11" xfId="0" applyAlignment="1" applyFont="1" applyNumberFormat="1">
      <alignment horizontal="right" readingOrder="0" vertical="bottom"/>
    </xf>
    <xf borderId="0" fillId="4" fontId="6" numFmtId="3" xfId="0" applyAlignment="1" applyFont="1" applyNumberFormat="1">
      <alignment horizontal="right" readingOrder="0" shrinkToFit="0" vertical="bottom" wrapText="0"/>
    </xf>
    <xf borderId="0" fillId="36" fontId="5" numFmtId="0" xfId="0" applyFont="1"/>
    <xf borderId="0" fillId="36" fontId="4" numFmtId="165" xfId="0" applyAlignment="1" applyFont="1" applyNumberFormat="1">
      <alignment horizontal="right" vertical="bottom"/>
    </xf>
    <xf borderId="0" fillId="36" fontId="477" numFmtId="0" xfId="0" applyAlignment="1" applyFont="1">
      <alignment readingOrder="0" vertical="bottom"/>
    </xf>
    <xf borderId="0" fillId="36" fontId="478" numFmtId="0" xfId="0" applyAlignment="1" applyFont="1">
      <alignment vertical="bottom"/>
    </xf>
    <xf borderId="0" fillId="36" fontId="479" numFmtId="0" xfId="0" applyAlignment="1" applyFont="1">
      <alignment vertical="bottom"/>
    </xf>
    <xf borderId="0" fillId="21" fontId="6" numFmtId="165" xfId="0" applyAlignment="1" applyFont="1" applyNumberFormat="1">
      <alignment horizontal="right" readingOrder="0" vertical="bottom"/>
    </xf>
    <xf quotePrefix="1" borderId="0" fillId="21" fontId="6" numFmtId="0" xfId="0" applyAlignment="1" applyFont="1">
      <alignment horizontal="right" readingOrder="0" vertical="bottom"/>
    </xf>
    <xf borderId="0" fillId="20" fontId="6" numFmtId="165" xfId="0" applyAlignment="1" applyFont="1" applyNumberFormat="1">
      <alignment horizontal="right" readingOrder="0" vertical="bottom"/>
    </xf>
    <xf borderId="0" fillId="36" fontId="6" numFmtId="165" xfId="0" applyAlignment="1" applyFont="1" applyNumberFormat="1">
      <alignment horizontal="right" readingOrder="0" vertical="bottom"/>
    </xf>
    <xf borderId="0" fillId="36" fontId="6" numFmtId="0" xfId="0" applyAlignment="1" applyFont="1">
      <alignment vertical="bottom"/>
    </xf>
    <xf quotePrefix="1" borderId="0" fillId="36" fontId="6" numFmtId="0" xfId="0" applyAlignment="1" applyFont="1">
      <alignment horizontal="right" readingOrder="0" vertical="bottom"/>
    </xf>
    <xf borderId="0" fillId="36" fontId="6" numFmtId="11" xfId="0" applyAlignment="1" applyFont="1" applyNumberFormat="1">
      <alignment horizontal="right" readingOrder="0" vertical="bottom"/>
    </xf>
    <xf borderId="0" fillId="21" fontId="6" numFmtId="11" xfId="0" applyAlignment="1" applyFont="1" applyNumberFormat="1">
      <alignment horizontal="right" readingOrder="0" vertical="bottom"/>
    </xf>
    <xf borderId="0" fillId="20" fontId="480" numFmtId="0" xfId="0" applyAlignment="1" applyFont="1">
      <alignment readingOrder="0" vertical="bottom"/>
    </xf>
    <xf borderId="0" fillId="20" fontId="481" numFmtId="0" xfId="0" applyAlignment="1" applyFont="1">
      <alignment vertical="bottom"/>
    </xf>
    <xf borderId="0" fillId="20" fontId="6" numFmtId="11" xfId="0" applyAlignment="1" applyFont="1" applyNumberFormat="1">
      <alignment horizontal="right" readingOrder="0" vertical="bottom"/>
    </xf>
    <xf borderId="0" fillId="20" fontId="482" numFmtId="0" xfId="0" applyAlignment="1" applyFont="1">
      <alignment vertical="bottom"/>
    </xf>
    <xf borderId="0" fillId="30" fontId="6" numFmtId="165" xfId="0" applyAlignment="1" applyFont="1" applyNumberFormat="1">
      <alignment horizontal="right" readingOrder="0" vertical="bottom"/>
    </xf>
    <xf borderId="0" fillId="30" fontId="6" numFmtId="170" xfId="0" applyAlignment="1" applyFont="1" applyNumberFormat="1">
      <alignment horizontal="right" vertical="bottom"/>
    </xf>
    <xf borderId="0" fillId="0" fontId="6" numFmtId="170" xfId="0" applyAlignment="1" applyFont="1" applyNumberFormat="1">
      <alignment horizontal="right" vertical="bottom"/>
    </xf>
    <xf borderId="0" fillId="36" fontId="4" numFmtId="164" xfId="0" applyAlignment="1" applyFont="1" applyNumberFormat="1">
      <alignment horizontal="right" vertical="bottom"/>
    </xf>
    <xf borderId="0" fillId="21" fontId="6" numFmtId="165" xfId="0" applyAlignment="1" applyFont="1" applyNumberFormat="1">
      <alignment horizontal="right" vertical="bottom"/>
    </xf>
    <xf borderId="0" fillId="21" fontId="3" numFmtId="0" xfId="0" applyFont="1"/>
    <xf borderId="0" fillId="21" fontId="483" numFmtId="0" xfId="0" applyAlignment="1" applyFont="1">
      <alignment readingOrder="0" vertical="bottom"/>
    </xf>
    <xf borderId="0" fillId="21" fontId="4" numFmtId="168" xfId="0" applyAlignment="1" applyFont="1" applyNumberFormat="1">
      <alignment horizontal="right" vertical="bottom"/>
    </xf>
    <xf borderId="0" fillId="20" fontId="484" numFmtId="0" xfId="0" applyAlignment="1" applyFont="1">
      <alignment vertical="bottom"/>
    </xf>
    <xf borderId="0" fillId="20" fontId="4" numFmtId="168" xfId="0" applyAlignment="1" applyFont="1" applyNumberFormat="1">
      <alignment horizontal="right" vertical="bottom"/>
    </xf>
    <xf borderId="0" fillId="3" fontId="4" numFmtId="165" xfId="0" applyAlignment="1" applyFont="1" applyNumberFormat="1">
      <alignment horizontal="right" vertical="bottom"/>
    </xf>
    <xf borderId="0" fillId="3" fontId="6" numFmtId="165" xfId="0" applyAlignment="1" applyFont="1" applyNumberFormat="1">
      <alignment vertical="bottom"/>
    </xf>
    <xf borderId="0" fillId="3" fontId="485" numFmtId="0" xfId="0" applyAlignment="1" applyFont="1">
      <alignment readingOrder="0" vertical="bottom"/>
    </xf>
    <xf borderId="0" fillId="3" fontId="486" numFmtId="0" xfId="0" applyAlignment="1" applyFont="1">
      <alignment vertical="bottom"/>
    </xf>
    <xf borderId="0" fillId="24" fontId="4" numFmtId="11" xfId="0" applyAlignment="1" applyFont="1" applyNumberFormat="1">
      <alignment horizontal="right" readingOrder="0" vertical="bottom"/>
    </xf>
    <xf borderId="0" fillId="22" fontId="487" numFmtId="0" xfId="0" applyAlignment="1" applyFont="1">
      <alignment readingOrder="0" vertical="bottom"/>
    </xf>
    <xf borderId="0" fillId="42" fontId="4" numFmtId="165" xfId="0" applyAlignment="1" applyFont="1" applyNumberFormat="1">
      <alignment horizontal="right" vertical="bottom"/>
    </xf>
    <xf borderId="0" fillId="0" fontId="488" numFmtId="0" xfId="0" applyAlignment="1" applyFont="1">
      <alignment readingOrder="0"/>
    </xf>
    <xf borderId="0" fillId="42" fontId="489" numFmtId="0" xfId="0" applyAlignment="1" applyFont="1">
      <alignment vertical="bottom"/>
    </xf>
    <xf borderId="0" fillId="4" fontId="4" numFmtId="0" xfId="0" applyAlignment="1" applyFont="1">
      <alignment readingOrder="0" vertical="bottom"/>
    </xf>
    <xf borderId="0" fillId="4" fontId="490" numFmtId="0" xfId="0" applyAlignment="1" applyFont="1">
      <alignment vertical="bottom"/>
    </xf>
    <xf borderId="0" fillId="5" fontId="488" numFmtId="0" xfId="0" applyAlignment="1" applyFont="1">
      <alignment readingOrder="0"/>
    </xf>
    <xf borderId="0" fillId="0" fontId="30" numFmtId="0" xfId="0" applyAlignment="1" applyFont="1">
      <alignment readingOrder="0"/>
    </xf>
    <xf borderId="0" fillId="35" fontId="6" numFmtId="165" xfId="0" applyAlignment="1" applyFont="1" applyNumberFormat="1">
      <alignment readingOrder="0" vertical="bottom"/>
    </xf>
    <xf borderId="0" fillId="35" fontId="491" numFmtId="0" xfId="0" applyAlignment="1" applyFont="1">
      <alignment vertical="bottom"/>
    </xf>
    <xf borderId="0" fillId="42" fontId="492" numFmtId="0" xfId="0" applyAlignment="1" applyFont="1">
      <alignment vertical="bottom"/>
    </xf>
    <xf quotePrefix="1" borderId="0" fillId="21" fontId="4" numFmtId="0" xfId="0" applyAlignment="1" applyFont="1">
      <alignment horizontal="right" readingOrder="0" vertical="bottom"/>
    </xf>
    <xf borderId="0" fillId="4" fontId="6" numFmtId="165" xfId="0" applyAlignment="1" applyFont="1" applyNumberFormat="1">
      <alignment readingOrder="0" vertical="bottom"/>
    </xf>
    <xf borderId="0" fillId="3" fontId="493" numFmtId="0" xfId="0" applyAlignment="1" applyFont="1">
      <alignment readingOrder="0" vertical="bottom"/>
    </xf>
    <xf borderId="0" fillId="36" fontId="494" numFmtId="0" xfId="0" applyAlignment="1" applyFont="1">
      <alignment readingOrder="0" vertical="bottom"/>
    </xf>
    <xf borderId="0" fillId="0" fontId="495" numFmtId="0" xfId="0" applyAlignment="1" applyFont="1">
      <alignment readingOrder="0"/>
    </xf>
    <xf borderId="0" fillId="3" fontId="30" numFmtId="0" xfId="0" applyAlignment="1" applyFont="1">
      <alignment readingOrder="0"/>
    </xf>
    <xf borderId="0" fillId="3" fontId="496" numFmtId="0" xfId="0" applyAlignment="1" applyFont="1">
      <alignment readingOrder="0"/>
    </xf>
    <xf borderId="0" fillId="42" fontId="497" numFmtId="0" xfId="0" applyAlignment="1" applyFont="1">
      <alignment readingOrder="0" vertical="bottom"/>
    </xf>
    <xf borderId="0" fillId="4" fontId="498" numFmtId="0" xfId="0" applyAlignment="1" applyFont="1">
      <alignment readingOrder="0" vertical="bottom"/>
    </xf>
    <xf borderId="6" fillId="0" fontId="4" numFmtId="0" xfId="0" applyAlignment="1" applyBorder="1" applyFont="1">
      <alignment shrinkToFit="0" vertical="top" wrapText="1"/>
    </xf>
    <xf borderId="7" fillId="0" fontId="499" numFmtId="0" xfId="0" applyAlignment="1" applyBorder="1" applyFont="1">
      <alignment shrinkToFit="0" vertical="top" wrapText="1"/>
    </xf>
    <xf borderId="6" fillId="0" fontId="500" numFmtId="0" xfId="0" applyAlignment="1" applyBorder="1" applyFont="1">
      <alignment shrinkToFit="0" vertical="top" wrapText="1"/>
    </xf>
    <xf borderId="6" fillId="0" fontId="501" numFmtId="0" xfId="0" applyAlignment="1" applyBorder="1" applyFont="1">
      <alignment shrinkToFit="0" vertical="top" wrapText="1"/>
    </xf>
    <xf borderId="7" fillId="0" fontId="4" numFmtId="0" xfId="0" applyAlignment="1" applyBorder="1" applyFont="1">
      <alignment shrinkToFit="0" vertical="top" wrapText="1"/>
    </xf>
    <xf borderId="6" fillId="20" fontId="502" numFmtId="0" xfId="0" applyAlignment="1" applyBorder="1" applyFont="1">
      <alignment shrinkToFit="0" vertical="top" wrapText="1"/>
    </xf>
    <xf borderId="7" fillId="20" fontId="4" numFmtId="0" xfId="0" applyAlignment="1" applyBorder="1" applyFont="1">
      <alignment shrinkToFit="0" vertical="top" wrapText="1"/>
    </xf>
    <xf borderId="0" fillId="20" fontId="6" numFmtId="168" xfId="0" applyAlignment="1" applyFont="1" applyNumberFormat="1">
      <alignment horizontal="right" vertical="bottom"/>
    </xf>
    <xf borderId="0" fillId="28" fontId="4" numFmtId="165" xfId="0" applyAlignment="1" applyFont="1" applyNumberFormat="1">
      <alignment readingOrder="0" vertical="bottom"/>
    </xf>
    <xf borderId="0" fillId="28" fontId="4" numFmtId="165" xfId="0" applyAlignment="1" applyFont="1" applyNumberFormat="1">
      <alignment horizontal="right" readingOrder="0" vertical="bottom"/>
    </xf>
    <xf borderId="0" fillId="28" fontId="503" numFmtId="0" xfId="0" applyAlignment="1" applyFont="1">
      <alignment readingOrder="0" shrinkToFit="0" vertical="top" wrapText="1"/>
    </xf>
    <xf borderId="0" fillId="28" fontId="6" numFmtId="0" xfId="0" applyAlignment="1" applyFont="1">
      <alignment horizontal="right" readingOrder="0" vertical="bottom"/>
    </xf>
    <xf borderId="0" fillId="28" fontId="504" numFmtId="0" xfId="0" applyAlignment="1" applyFont="1">
      <alignment readingOrder="0" vertical="bottom"/>
    </xf>
    <xf borderId="0" fillId="17" fontId="505" numFmtId="0" xfId="0" applyAlignment="1" applyFont="1">
      <alignment readingOrder="0" shrinkToFit="0" vertical="top" wrapText="1"/>
    </xf>
    <xf borderId="0" fillId="14" fontId="506" numFmtId="0" xfId="0" applyAlignment="1" applyFont="1">
      <alignment readingOrder="0" shrinkToFit="0" vertical="top" wrapText="1"/>
    </xf>
    <xf borderId="0" fillId="29" fontId="4" numFmtId="165" xfId="0" applyAlignment="1" applyFont="1" applyNumberFormat="1">
      <alignment readingOrder="0" vertical="bottom"/>
    </xf>
    <xf borderId="0" fillId="29" fontId="507" numFmtId="0" xfId="0" applyAlignment="1" applyFont="1">
      <alignment readingOrder="0" shrinkToFit="0" vertical="top" wrapText="1"/>
    </xf>
    <xf borderId="0" fillId="29" fontId="508" numFmtId="0" xfId="0" applyAlignment="1" applyFont="1">
      <alignment readingOrder="0" vertical="bottom"/>
    </xf>
    <xf borderId="0" fillId="3" fontId="4" numFmtId="165" xfId="0" applyAlignment="1" applyFont="1" applyNumberFormat="1">
      <alignment readingOrder="0" vertical="bottom"/>
    </xf>
    <xf borderId="0" fillId="3" fontId="509" numFmtId="0" xfId="0" applyAlignment="1" applyFont="1">
      <alignment readingOrder="0" shrinkToFit="0" vertical="top" wrapText="1"/>
    </xf>
    <xf borderId="6" fillId="17" fontId="510" numFmtId="0" xfId="0" applyAlignment="1" applyBorder="1" applyFont="1">
      <alignment shrinkToFit="0" vertical="top" wrapText="1"/>
    </xf>
    <xf borderId="7" fillId="14" fontId="4" numFmtId="0" xfId="0" applyAlignment="1" applyBorder="1" applyFont="1">
      <alignment shrinkToFit="0" vertical="top" wrapText="1"/>
    </xf>
    <xf borderId="0" fillId="0" fontId="6" numFmtId="0" xfId="0" applyFont="1"/>
    <xf borderId="0" fillId="0" fontId="4" numFmtId="0" xfId="0" applyFont="1"/>
    <xf borderId="0" fillId="0" fontId="4" numFmtId="165" xfId="0" applyAlignment="1" applyFont="1" applyNumberFormat="1">
      <alignment horizontal="right"/>
    </xf>
    <xf borderId="0" fillId="0" fontId="511" numFmtId="0" xfId="0" applyFont="1"/>
    <xf borderId="0" fillId="23" fontId="4" numFmtId="0" xfId="0" applyFont="1"/>
    <xf borderId="6" fillId="17" fontId="512" numFmtId="0" xfId="0" applyBorder="1" applyFont="1"/>
    <xf borderId="0" fillId="37" fontId="6" numFmtId="0" xfId="0" applyFont="1"/>
    <xf borderId="7" fillId="14" fontId="513" numFmtId="0" xfId="0" applyBorder="1" applyFont="1"/>
    <xf borderId="0" fillId="0" fontId="4" numFmtId="0" xfId="0" applyAlignment="1" applyFont="1">
      <alignment horizontal="right"/>
    </xf>
    <xf borderId="0" fillId="0" fontId="6" numFmtId="168" xfId="0" applyAlignment="1" applyFont="1" applyNumberFormat="1">
      <alignment horizontal="right"/>
    </xf>
    <xf borderId="0" fillId="0" fontId="6" numFmtId="0" xfId="0" applyAlignment="1" applyFont="1">
      <alignment horizontal="right"/>
    </xf>
    <xf borderId="0" fillId="0" fontId="6" numFmtId="168" xfId="0" applyFont="1" applyNumberFormat="1"/>
    <xf borderId="6" fillId="21" fontId="514" numFmtId="0" xfId="0" applyAlignment="1" applyBorder="1" applyFont="1">
      <alignment shrinkToFit="0" vertical="top" wrapText="1"/>
    </xf>
    <xf borderId="7" fillId="21" fontId="4" numFmtId="0" xfId="0" applyAlignment="1" applyBorder="1" applyFont="1">
      <alignment shrinkToFit="0" vertical="top" wrapText="1"/>
    </xf>
    <xf borderId="6" fillId="21" fontId="515" numFmtId="0" xfId="0" applyAlignment="1" applyBorder="1" applyFont="1">
      <alignment shrinkToFit="0" vertical="top" wrapText="1"/>
    </xf>
    <xf borderId="7" fillId="21" fontId="516" numFmtId="0" xfId="0" applyAlignment="1" applyBorder="1" applyFont="1">
      <alignment shrinkToFit="0" vertical="top" wrapText="1"/>
    </xf>
    <xf borderId="7" fillId="21" fontId="517" numFmtId="0" xfId="0" applyAlignment="1" applyBorder="1" applyFont="1">
      <alignment shrinkToFit="0" vertical="top" wrapText="1"/>
    </xf>
    <xf borderId="6" fillId="3" fontId="518" numFmtId="0" xfId="0" applyAlignment="1" applyBorder="1" applyFont="1">
      <alignment shrinkToFit="0" vertical="top" wrapText="1"/>
    </xf>
    <xf borderId="7" fillId="3" fontId="519" numFmtId="0" xfId="0" applyAlignment="1" applyBorder="1" applyFont="1">
      <alignment shrinkToFit="0" vertical="top" wrapText="1"/>
    </xf>
    <xf borderId="0" fillId="3" fontId="4" numFmtId="11" xfId="0" applyAlignment="1" applyFont="1" applyNumberFormat="1">
      <alignment readingOrder="0" vertical="bottom"/>
    </xf>
    <xf borderId="0" fillId="3" fontId="520" numFmtId="0" xfId="0" applyAlignment="1" applyFont="1">
      <alignment vertical="bottom"/>
    </xf>
    <xf borderId="0" fillId="0" fontId="5" numFmtId="11" xfId="0" applyAlignment="1" applyFont="1" applyNumberFormat="1">
      <alignment horizontal="right" readingOrder="0" shrinkToFit="0" vertical="bottom" wrapText="0"/>
    </xf>
    <xf borderId="0" fillId="0" fontId="128"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6" fillId="30" fontId="521" numFmtId="0" xfId="0" applyAlignment="1" applyBorder="1" applyFont="1">
      <alignment shrinkToFit="0" vertical="top" wrapText="1"/>
    </xf>
    <xf borderId="7" fillId="30" fontId="522" numFmtId="0" xfId="0" applyAlignment="1" applyBorder="1" applyFont="1">
      <alignment shrinkToFit="0" vertical="top" wrapText="1"/>
    </xf>
    <xf borderId="6" fillId="28" fontId="523" numFmtId="0" xfId="0" applyAlignment="1" applyBorder="1" applyFont="1">
      <alignment shrinkToFit="0" vertical="top" wrapText="1"/>
    </xf>
    <xf borderId="7" fillId="28" fontId="524" numFmtId="0" xfId="0" applyAlignment="1" applyBorder="1" applyFont="1">
      <alignment shrinkToFit="0" vertical="top" wrapText="1"/>
    </xf>
    <xf borderId="0" fillId="28" fontId="525" numFmtId="0" xfId="0" applyAlignment="1" applyFont="1">
      <alignment vertical="bottom"/>
    </xf>
    <xf borderId="0" fillId="2" fontId="4" numFmtId="165" xfId="0" applyAlignment="1" applyFont="1" applyNumberFormat="1">
      <alignment horizontal="right" vertical="bottom"/>
    </xf>
    <xf borderId="6" fillId="2" fontId="526" numFmtId="0" xfId="0" applyAlignment="1" applyBorder="1" applyFont="1">
      <alignment shrinkToFit="0" vertical="top" wrapText="1"/>
    </xf>
    <xf borderId="7" fillId="2" fontId="527" numFmtId="0" xfId="0" applyAlignment="1" applyBorder="1" applyFont="1">
      <alignment shrinkToFit="0" vertical="top" wrapText="1"/>
    </xf>
    <xf borderId="0" fillId="2" fontId="528" numFmtId="0" xfId="0" applyAlignment="1" applyFont="1">
      <alignment vertical="bottom"/>
    </xf>
    <xf borderId="7" fillId="15" fontId="529" numFmtId="0" xfId="0" applyAlignment="1" applyBorder="1" applyFont="1">
      <alignment shrinkToFit="0" vertical="top" wrapText="1"/>
    </xf>
    <xf borderId="0" fillId="42" fontId="4" numFmtId="11" xfId="0" applyAlignment="1" applyFont="1" applyNumberFormat="1">
      <alignment horizontal="right" readingOrder="0" vertical="bottom"/>
    </xf>
    <xf borderId="0" fillId="30" fontId="530" numFmtId="0" xfId="0" applyAlignment="1" applyFont="1">
      <alignment readingOrder="0" vertical="bottom"/>
    </xf>
    <xf borderId="0" fillId="40" fontId="6" numFmtId="165" xfId="0" applyAlignment="1" applyFont="1" applyNumberFormat="1">
      <alignment horizontal="right" shrinkToFit="0" vertical="bottom" wrapText="0"/>
    </xf>
    <xf borderId="0" fillId="40" fontId="6" numFmtId="165" xfId="0" applyAlignment="1" applyFont="1" applyNumberFormat="1">
      <alignment readingOrder="0" vertical="bottom"/>
    </xf>
    <xf borderId="0" fillId="40" fontId="531" numFmtId="0" xfId="0" applyAlignment="1" applyFont="1">
      <alignment readingOrder="0" vertical="bottom"/>
    </xf>
    <xf borderId="0" fillId="40" fontId="532" numFmtId="0" xfId="0" applyAlignment="1" applyFont="1">
      <alignment readingOrder="0" shrinkToFit="0" vertical="bottom" wrapText="0"/>
    </xf>
    <xf borderId="0" fillId="40" fontId="533" numFmtId="0" xfId="0" applyAlignment="1" applyFont="1">
      <alignment vertical="bottom"/>
    </xf>
    <xf borderId="0" fillId="40" fontId="6" numFmtId="168" xfId="0" applyAlignment="1" applyFont="1" applyNumberFormat="1">
      <alignment vertical="bottom"/>
    </xf>
    <xf borderId="0" fillId="40" fontId="4" numFmtId="165" xfId="0" applyAlignment="1" applyFont="1" applyNumberFormat="1">
      <alignment vertical="bottom"/>
    </xf>
    <xf borderId="0" fillId="40" fontId="6" numFmtId="165" xfId="0" applyAlignment="1" applyFont="1" applyNumberFormat="1">
      <alignment vertical="bottom"/>
    </xf>
    <xf borderId="0" fillId="40" fontId="52" numFmtId="0" xfId="0" applyAlignment="1" applyFont="1">
      <alignment shrinkToFit="0" vertical="bottom" wrapText="0"/>
    </xf>
    <xf borderId="0" fillId="40" fontId="4" numFmtId="165" xfId="0" applyAlignment="1" applyFont="1" applyNumberFormat="1">
      <alignment horizontal="right" readingOrder="0" vertical="bottom"/>
    </xf>
    <xf borderId="0" fillId="40" fontId="534" numFmtId="0" xfId="0" applyAlignment="1" applyFont="1">
      <alignment vertical="bottom"/>
    </xf>
    <xf borderId="0" fillId="40" fontId="535" numFmtId="0" xfId="0" applyAlignment="1" applyFont="1">
      <alignment horizontal="right" vertical="bottom"/>
    </xf>
    <xf borderId="0" fillId="40" fontId="4" numFmtId="168" xfId="0" applyAlignment="1" applyFont="1" applyNumberFormat="1">
      <alignment horizontal="right" vertical="bottom"/>
    </xf>
    <xf borderId="0" fillId="40" fontId="4" numFmtId="180" xfId="0" applyAlignment="1" applyFont="1" applyNumberFormat="1">
      <alignment horizontal="right" vertical="bottom"/>
    </xf>
    <xf borderId="0" fillId="40" fontId="4" numFmtId="0" xfId="0" applyAlignment="1" applyFont="1">
      <alignment shrinkToFit="0" vertical="bottom" wrapText="1"/>
    </xf>
    <xf borderId="0" fillId="40" fontId="536" numFmtId="0" xfId="0" applyAlignment="1" applyFont="1">
      <alignment readingOrder="0" shrinkToFit="0" vertical="bottom" wrapText="1"/>
    </xf>
    <xf quotePrefix="1" borderId="0" fillId="40" fontId="6" numFmtId="0" xfId="0" applyAlignment="1" applyFont="1">
      <alignment vertical="bottom"/>
    </xf>
    <xf borderId="0" fillId="0" fontId="52" numFmtId="0" xfId="0" applyAlignment="1" applyFont="1">
      <alignment shrinkToFit="0" vertical="bottom" wrapText="0"/>
    </xf>
    <xf borderId="0" fillId="0" fontId="50" numFmtId="0" xfId="0" applyAlignment="1" applyFont="1">
      <alignment shrinkToFit="0" vertical="bottom" wrapText="0"/>
    </xf>
    <xf borderId="0" fillId="0" fontId="52" numFmtId="165" xfId="0" applyAlignment="1" applyFont="1" applyNumberFormat="1">
      <alignment horizontal="right" shrinkToFit="0" vertical="bottom" wrapText="0"/>
    </xf>
    <xf borderId="0" fillId="21" fontId="50" numFmtId="0" xfId="0" applyAlignment="1" applyFont="1">
      <alignment shrinkToFit="0" vertical="bottom" wrapText="0"/>
    </xf>
    <xf borderId="0" fillId="21" fontId="537" numFmtId="0" xfId="0" applyAlignment="1" applyFont="1">
      <alignment readingOrder="0" vertical="bottom"/>
    </xf>
    <xf borderId="0" fillId="21" fontId="50" numFmtId="0" xfId="0" applyAlignment="1" applyFont="1">
      <alignment readingOrder="0" shrinkToFit="0" vertical="bottom" wrapText="0"/>
    </xf>
    <xf borderId="0" fillId="23" fontId="50" numFmtId="0" xfId="0" applyAlignment="1" applyFont="1">
      <alignment shrinkToFit="0" vertical="bottom" wrapText="0"/>
    </xf>
    <xf borderId="0" fillId="0" fontId="50" numFmtId="0" xfId="0" applyAlignment="1" applyFont="1">
      <alignment horizontal="right" shrinkToFit="0" vertical="bottom" wrapText="0"/>
    </xf>
    <xf borderId="0" fillId="0" fontId="52" numFmtId="0" xfId="0" applyAlignment="1" applyFont="1">
      <alignment horizontal="right" shrinkToFit="0" vertical="bottom" wrapText="0"/>
    </xf>
    <xf borderId="0" fillId="40" fontId="50" numFmtId="0" xfId="0" applyAlignment="1" applyFont="1">
      <alignment shrinkToFit="0" vertical="bottom" wrapText="0"/>
    </xf>
    <xf borderId="0" fillId="40" fontId="52" numFmtId="165" xfId="0" applyAlignment="1" applyFont="1" applyNumberFormat="1">
      <alignment horizontal="right" shrinkToFit="0" vertical="bottom" wrapText="0"/>
    </xf>
    <xf borderId="0" fillId="40" fontId="50" numFmtId="0" xfId="0" applyAlignment="1" applyFont="1">
      <alignment readingOrder="0" shrinkToFit="0" vertical="bottom" wrapText="0"/>
    </xf>
    <xf borderId="0" fillId="40" fontId="50" numFmtId="0" xfId="0" applyAlignment="1" applyFont="1">
      <alignment horizontal="right" shrinkToFit="0" vertical="bottom" wrapText="0"/>
    </xf>
    <xf borderId="0" fillId="40" fontId="52" numFmtId="0" xfId="0" applyAlignment="1" applyFont="1">
      <alignment horizontal="right" shrinkToFit="0" vertical="bottom" wrapText="0"/>
    </xf>
    <xf borderId="0" fillId="40" fontId="538" numFmtId="0" xfId="0" applyAlignment="1" applyFont="1">
      <alignment vertical="bottom"/>
    </xf>
    <xf borderId="0" fillId="40" fontId="52" numFmtId="0" xfId="0" applyAlignment="1" applyFont="1">
      <alignment vertical="bottom"/>
    </xf>
    <xf borderId="0" fillId="40" fontId="6" numFmtId="0" xfId="0" applyAlignment="1" applyFont="1">
      <alignment readingOrder="0" shrinkToFit="0" vertical="bottom" wrapText="0"/>
    </xf>
    <xf borderId="0" fillId="40" fontId="539" numFmtId="0" xfId="0" applyAlignment="1" applyFont="1">
      <alignment readingOrder="0" shrinkToFit="0" vertical="bottom" wrapText="0"/>
    </xf>
    <xf borderId="0" fillId="40" fontId="6" numFmtId="172" xfId="0" applyAlignment="1" applyFont="1" applyNumberFormat="1">
      <alignment horizontal="right" shrinkToFit="0" vertical="bottom" wrapText="0"/>
    </xf>
    <xf borderId="0" fillId="40" fontId="6" numFmtId="0" xfId="0" applyAlignment="1" applyFont="1">
      <alignment horizontal="right" shrinkToFit="0" vertical="bottom" wrapText="0"/>
    </xf>
    <xf borderId="0" fillId="40" fontId="6" numFmtId="164" xfId="0" applyAlignment="1" applyFont="1" applyNumberFormat="1">
      <alignment readingOrder="0" vertical="bottom"/>
    </xf>
    <xf borderId="0" fillId="40" fontId="4" numFmtId="169" xfId="0" applyAlignment="1" applyFont="1" applyNumberFormat="1">
      <alignment horizontal="right" vertical="bottom"/>
    </xf>
    <xf borderId="0" fillId="47" fontId="6" numFmtId="0" xfId="0" applyAlignment="1" applyFill="1" applyFont="1">
      <alignment readingOrder="0" vertical="bottom"/>
    </xf>
    <xf borderId="0" fillId="47" fontId="11" numFmtId="0" xfId="0" applyAlignment="1" applyFont="1">
      <alignment readingOrder="0"/>
    </xf>
    <xf borderId="0" fillId="47" fontId="11" numFmtId="0" xfId="0" applyFont="1"/>
    <xf borderId="0" fillId="47" fontId="4" numFmtId="0" xfId="0" applyAlignment="1" applyFont="1">
      <alignment vertical="bottom"/>
    </xf>
    <xf borderId="0" fillId="47" fontId="4" numFmtId="165" xfId="0" applyAlignment="1" applyFont="1" applyNumberFormat="1">
      <alignment vertical="bottom"/>
    </xf>
    <xf borderId="0" fillId="47" fontId="4" numFmtId="180" xfId="0" applyAlignment="1" applyFont="1" applyNumberFormat="1">
      <alignment horizontal="right" vertical="bottom"/>
    </xf>
    <xf borderId="0" fillId="47" fontId="6" numFmtId="0" xfId="0" applyAlignment="1" applyFont="1">
      <alignment vertical="bottom"/>
    </xf>
    <xf borderId="0" fillId="47" fontId="4" numFmtId="0" xfId="0" applyAlignment="1" applyFont="1">
      <alignment shrinkToFit="0" vertical="bottom" wrapText="1"/>
    </xf>
    <xf borderId="0" fillId="47" fontId="540" numFmtId="0" xfId="0" applyAlignment="1" applyFont="1">
      <alignment readingOrder="0" vertical="bottom"/>
    </xf>
    <xf borderId="0" fillId="47" fontId="541" numFmtId="0" xfId="0" applyAlignment="1" applyFont="1">
      <alignment vertical="bottom"/>
    </xf>
    <xf borderId="0" fillId="47" fontId="542" numFmtId="0" xfId="0" applyAlignment="1" applyFont="1">
      <alignment vertical="bottom"/>
    </xf>
    <xf borderId="0" fillId="47" fontId="6" numFmtId="0" xfId="0" applyAlignment="1" applyFont="1">
      <alignment horizontal="right" vertical="bottom"/>
    </xf>
    <xf quotePrefix="1" borderId="0" fillId="47" fontId="6" numFmtId="0" xfId="0" applyAlignment="1" applyFont="1">
      <alignment vertical="bottom"/>
    </xf>
    <xf borderId="0" fillId="47" fontId="6" numFmtId="0" xfId="0" applyAlignment="1" applyFont="1">
      <alignment vertical="bottom"/>
    </xf>
    <xf borderId="0" fillId="47" fontId="6" numFmtId="0" xfId="0" applyAlignment="1" applyFont="1">
      <alignment shrinkToFit="0" vertical="bottom" wrapText="0"/>
    </xf>
    <xf borderId="0" fillId="47" fontId="4" numFmtId="0" xfId="0" applyAlignment="1" applyFont="1">
      <alignment shrinkToFit="0" vertical="bottom" wrapText="0"/>
    </xf>
    <xf borderId="0" fillId="47" fontId="6" numFmtId="165" xfId="0" applyAlignment="1" applyFont="1" applyNumberFormat="1">
      <alignment horizontal="right" shrinkToFit="0" vertical="bottom" wrapText="0"/>
    </xf>
    <xf borderId="0" fillId="47" fontId="6" numFmtId="165" xfId="0" applyAlignment="1" applyFont="1" applyNumberFormat="1">
      <alignment vertical="bottom"/>
    </xf>
    <xf borderId="0" fillId="47" fontId="4" numFmtId="0" xfId="0" applyAlignment="1" applyFont="1">
      <alignment horizontal="right" shrinkToFit="0" vertical="bottom" wrapText="0"/>
    </xf>
    <xf borderId="0" fillId="47" fontId="6" numFmtId="0" xfId="0" applyAlignment="1" applyFont="1">
      <alignment horizontal="right" shrinkToFit="0" vertical="bottom" wrapText="0"/>
    </xf>
    <xf borderId="0" fillId="18" fontId="6" numFmtId="0" xfId="0" applyAlignment="1" applyFont="1">
      <alignment readingOrder="0" vertical="bottom"/>
    </xf>
    <xf borderId="0" fillId="18" fontId="4" numFmtId="165" xfId="0" applyAlignment="1" applyFont="1" applyNumberFormat="1">
      <alignment vertical="bottom"/>
    </xf>
    <xf borderId="0" fillId="18" fontId="54" numFmtId="165" xfId="0" applyAlignment="1" applyFont="1" applyNumberFormat="1">
      <alignment horizontal="right" vertical="bottom"/>
    </xf>
    <xf borderId="0" fillId="18" fontId="4" numFmtId="165" xfId="0" applyAlignment="1" applyFont="1" applyNumberFormat="1">
      <alignment horizontal="right" vertical="bottom"/>
    </xf>
    <xf borderId="0" fillId="18" fontId="543" numFmtId="0" xfId="0" applyAlignment="1" applyFont="1">
      <alignment readingOrder="0" vertical="bottom"/>
    </xf>
    <xf borderId="0" fillId="18" fontId="544" numFmtId="0" xfId="0" applyAlignment="1" applyFont="1">
      <alignment vertical="bottom"/>
    </xf>
    <xf borderId="0" fillId="18" fontId="4" numFmtId="168" xfId="0" applyAlignment="1" applyFont="1" applyNumberFormat="1">
      <alignment vertical="bottom"/>
    </xf>
    <xf borderId="0" fillId="6" fontId="54" numFmtId="165" xfId="0" applyAlignment="1" applyFont="1" applyNumberFormat="1">
      <alignment horizontal="right" vertical="bottom"/>
    </xf>
    <xf borderId="0" fillId="6" fontId="545" numFmtId="0" xfId="0" applyAlignment="1" applyFont="1">
      <alignment readingOrder="0" vertical="bottom"/>
    </xf>
    <xf borderId="0" fillId="6" fontId="6" numFmtId="0" xfId="0" applyAlignment="1" applyFont="1">
      <alignment vertical="bottom"/>
    </xf>
    <xf borderId="0" fillId="6" fontId="546" numFmtId="0" xfId="0" applyAlignment="1" applyFont="1">
      <alignment vertical="bottom"/>
    </xf>
    <xf borderId="0" fillId="4" fontId="4" numFmtId="165" xfId="0" applyAlignment="1" applyFont="1" applyNumberFormat="1">
      <alignment vertical="bottom"/>
    </xf>
    <xf borderId="0" fillId="4" fontId="54" numFmtId="165" xfId="0" applyAlignment="1" applyFont="1" applyNumberFormat="1">
      <alignment horizontal="right" vertical="bottom"/>
    </xf>
    <xf borderId="0" fillId="4" fontId="547" numFmtId="0" xfId="0" applyAlignment="1" applyFont="1">
      <alignment readingOrder="0" vertical="bottom"/>
    </xf>
    <xf borderId="0" fillId="4" fontId="548" numFmtId="0" xfId="0" applyAlignment="1" applyFont="1">
      <alignment vertical="bottom"/>
    </xf>
    <xf borderId="0" fillId="4" fontId="6" numFmtId="0" xfId="0" applyAlignment="1" applyFont="1">
      <alignment vertical="bottom"/>
    </xf>
    <xf borderId="0" fillId="45" fontId="6" numFmtId="0" xfId="0" applyAlignment="1" applyFont="1">
      <alignment shrinkToFit="0" vertical="bottom" wrapText="0"/>
    </xf>
    <xf borderId="0" fillId="45" fontId="4" numFmtId="0" xfId="0" applyAlignment="1" applyFont="1">
      <alignment shrinkToFit="0" vertical="bottom" wrapText="0"/>
    </xf>
    <xf borderId="0" fillId="45" fontId="6" numFmtId="165" xfId="0" applyAlignment="1" applyFont="1" applyNumberFormat="1">
      <alignment horizontal="right" shrinkToFit="0" vertical="bottom" wrapText="0"/>
    </xf>
    <xf borderId="0" fillId="45" fontId="6" numFmtId="165" xfId="0" applyAlignment="1" applyFont="1" applyNumberFormat="1">
      <alignment vertical="bottom"/>
    </xf>
    <xf borderId="0" fillId="45" fontId="549" numFmtId="0" xfId="0" applyAlignment="1" applyFont="1">
      <alignment readingOrder="0" vertical="bottom"/>
    </xf>
    <xf borderId="0" fillId="45" fontId="4" numFmtId="0" xfId="0" applyAlignment="1" applyFont="1">
      <alignment horizontal="right" shrinkToFit="0" vertical="bottom" wrapText="0"/>
    </xf>
    <xf borderId="0" fillId="45" fontId="6" numFmtId="0" xfId="0" applyAlignment="1" applyFont="1">
      <alignment horizontal="right" shrinkToFit="0" vertical="bottom" wrapText="0"/>
    </xf>
    <xf borderId="0" fillId="45" fontId="4" numFmtId="165" xfId="0" applyAlignment="1" applyFont="1" applyNumberFormat="1">
      <alignment vertical="bottom"/>
    </xf>
    <xf borderId="0" fillId="45" fontId="4" numFmtId="180" xfId="0" applyAlignment="1" applyFont="1" applyNumberFormat="1">
      <alignment horizontal="right" vertical="bottom"/>
    </xf>
    <xf borderId="0" fillId="45" fontId="4" numFmtId="0" xfId="0" applyAlignment="1" applyFont="1">
      <alignment shrinkToFit="0" vertical="bottom" wrapText="1"/>
    </xf>
    <xf borderId="0" fillId="45" fontId="550" numFmtId="0" xfId="0" applyAlignment="1" applyFont="1">
      <alignment shrinkToFit="0" vertical="bottom" wrapText="1"/>
    </xf>
    <xf borderId="0" fillId="45" fontId="551" numFmtId="0" xfId="0" applyAlignment="1" applyFont="1">
      <alignment vertical="bottom"/>
    </xf>
    <xf quotePrefix="1" borderId="0" fillId="45" fontId="6" numFmtId="0" xfId="0" applyAlignment="1" applyFont="1">
      <alignment vertical="bottom"/>
    </xf>
    <xf quotePrefix="1" borderId="0" fillId="40" fontId="4" numFmtId="0" xfId="0" applyAlignment="1" applyFont="1">
      <alignment vertical="bottom"/>
    </xf>
    <xf borderId="0" fillId="40" fontId="552" numFmtId="0" xfId="0" applyAlignment="1" applyFont="1">
      <alignment vertical="bottom"/>
    </xf>
    <xf borderId="0" fillId="35" fontId="6" numFmtId="0" xfId="0" applyAlignment="1" applyFont="1">
      <alignment shrinkToFit="0" vertical="bottom" wrapText="0"/>
    </xf>
    <xf borderId="0" fillId="35" fontId="4" numFmtId="0" xfId="0" applyAlignment="1" applyFont="1">
      <alignment shrinkToFit="0" vertical="bottom" wrapText="0"/>
    </xf>
    <xf borderId="0" fillId="35" fontId="6" numFmtId="165" xfId="0" applyAlignment="1" applyFont="1" applyNumberFormat="1">
      <alignment horizontal="right" shrinkToFit="0" vertical="bottom" wrapText="0"/>
    </xf>
    <xf borderId="0" fillId="35" fontId="6" numFmtId="165" xfId="0" applyAlignment="1" applyFont="1" applyNumberFormat="1">
      <alignment vertical="bottom"/>
    </xf>
    <xf borderId="0" fillId="35" fontId="553" numFmtId="0" xfId="0" applyAlignment="1" applyFont="1">
      <alignment readingOrder="0" vertical="bottom"/>
    </xf>
    <xf borderId="0" fillId="35" fontId="4" numFmtId="0" xfId="0" applyAlignment="1" applyFont="1">
      <alignment horizontal="right" shrinkToFit="0" vertical="bottom" wrapText="0"/>
    </xf>
    <xf borderId="0" fillId="35" fontId="6" numFmtId="0" xfId="0" applyAlignment="1" applyFont="1">
      <alignment horizontal="right" shrinkToFit="0" vertical="bottom" wrapText="0"/>
    </xf>
    <xf borderId="0" fillId="35" fontId="554" numFmtId="0" xfId="0" applyAlignment="1" applyFont="1">
      <alignment shrinkToFit="0" vertical="bottom" wrapText="0"/>
    </xf>
    <xf borderId="0" fillId="40" fontId="555" numFmtId="0" xfId="0" applyAlignment="1" applyFont="1">
      <alignment readingOrder="0" vertical="bottom"/>
    </xf>
    <xf borderId="0" fillId="40" fontId="556" numFmtId="0" xfId="0" applyAlignment="1" applyFont="1">
      <alignment readingOrder="0" vertical="bottom"/>
    </xf>
    <xf borderId="0" fillId="40" fontId="6" numFmtId="3" xfId="0" applyAlignment="1" applyFont="1" applyNumberFormat="1">
      <alignment horizontal="right" vertical="bottom"/>
    </xf>
    <xf borderId="0" fillId="40" fontId="557" numFmtId="0" xfId="0" applyAlignment="1" applyFont="1">
      <alignment readingOrder="0" vertical="bottom"/>
    </xf>
    <xf borderId="0" fillId="40" fontId="558" numFmtId="0" xfId="0" applyAlignment="1" applyFont="1">
      <alignment vertical="bottom"/>
    </xf>
    <xf borderId="0" fillId="40" fontId="5" numFmtId="0" xfId="0" applyAlignment="1" applyFont="1">
      <alignment horizontal="right" shrinkToFit="0" vertical="bottom" wrapText="0"/>
    </xf>
    <xf borderId="0" fillId="40" fontId="84" numFmtId="0" xfId="0" applyAlignment="1" applyFont="1">
      <alignment vertical="bottom"/>
    </xf>
    <xf borderId="0" fillId="40" fontId="128" numFmtId="0" xfId="0" applyAlignment="1" applyFont="1">
      <alignment horizontal="right" shrinkToFit="0" vertical="bottom" wrapText="0"/>
    </xf>
    <xf borderId="0" fillId="40" fontId="84" numFmtId="0" xfId="0" applyAlignment="1" applyFont="1">
      <alignment horizontal="right" readingOrder="0" shrinkToFit="0" vertical="bottom" wrapText="0"/>
    </xf>
    <xf borderId="0" fillId="40" fontId="6" numFmtId="181" xfId="0" applyAlignment="1" applyFont="1" applyNumberFormat="1">
      <alignment vertical="bottom"/>
    </xf>
    <xf borderId="0" fillId="40" fontId="54" numFmtId="0" xfId="0" applyAlignment="1" applyFont="1">
      <alignment shrinkToFit="0" vertical="bottom" wrapText="0"/>
    </xf>
    <xf borderId="6" fillId="40" fontId="559" numFmtId="0" xfId="0" applyAlignment="1" applyBorder="1" applyFont="1">
      <alignment shrinkToFit="0" vertical="top" wrapText="1"/>
    </xf>
    <xf borderId="0" fillId="40" fontId="560" numFmtId="0" xfId="0" applyAlignment="1" applyFont="1">
      <alignment shrinkToFit="0" vertical="bottom" wrapText="1"/>
    </xf>
    <xf borderId="6" fillId="40" fontId="561" numFmtId="0" xfId="0" applyAlignment="1" applyBorder="1" applyFont="1">
      <alignment shrinkToFit="0" vertical="top" wrapText="0"/>
    </xf>
    <xf borderId="0" fillId="40" fontId="4" numFmtId="0" xfId="0" applyAlignment="1" applyFont="1">
      <alignment readingOrder="0" shrinkToFit="0" vertical="bottom" wrapText="0"/>
    </xf>
    <xf borderId="0" fillId="40" fontId="4" numFmtId="1" xfId="0" applyAlignment="1" applyFont="1" applyNumberFormat="1">
      <alignment horizontal="right" shrinkToFit="0" vertical="bottom" wrapText="0"/>
    </xf>
    <xf borderId="0" fillId="40" fontId="54" numFmtId="0" xfId="0" applyAlignment="1" applyFont="1">
      <alignment readingOrder="0" shrinkToFit="0" vertical="bottom" wrapText="0"/>
    </xf>
    <xf borderId="0" fillId="21" fontId="562" numFmtId="0" xfId="0" applyFont="1"/>
    <xf borderId="0" fillId="40" fontId="5" numFmtId="0" xfId="0" applyAlignment="1" applyFont="1">
      <alignment shrinkToFit="0" vertical="bottom" wrapText="0"/>
    </xf>
    <xf borderId="0" fillId="40" fontId="128" numFmtId="0" xfId="0" applyAlignment="1" applyFont="1">
      <alignment readingOrder="0" vertical="bottom"/>
    </xf>
    <xf borderId="0" fillId="40" fontId="334" numFmtId="0" xfId="0" applyAlignment="1" applyFont="1">
      <alignment readingOrder="0"/>
    </xf>
    <xf borderId="0" fillId="40" fontId="334" numFmtId="0" xfId="0" applyFont="1"/>
    <xf borderId="0" fillId="40" fontId="128" numFmtId="0" xfId="0" applyAlignment="1" applyFont="1">
      <alignment shrinkToFit="0" vertical="bottom" wrapText="0"/>
    </xf>
    <xf borderId="0" fillId="40" fontId="128" numFmtId="165" xfId="0" applyAlignment="1" applyFont="1" applyNumberFormat="1">
      <alignment horizontal="right" shrinkToFit="0" vertical="bottom" wrapText="0"/>
    </xf>
    <xf borderId="0" fillId="40" fontId="128" numFmtId="165" xfId="0" applyAlignment="1" applyFont="1" applyNumberFormat="1">
      <alignment readingOrder="0" vertical="bottom"/>
    </xf>
    <xf borderId="0" fillId="40" fontId="128" numFmtId="0" xfId="0" applyAlignment="1" applyFont="1">
      <alignment vertical="bottom"/>
    </xf>
    <xf borderId="0" fillId="40" fontId="563" numFmtId="0" xfId="0" applyAlignment="1" applyFont="1">
      <alignment vertical="bottom"/>
    </xf>
    <xf borderId="0" fillId="40" fontId="564" numFmtId="0" xfId="0" applyAlignment="1" applyFont="1">
      <alignment vertical="bottom"/>
    </xf>
    <xf borderId="0" fillId="40" fontId="128" numFmtId="0" xfId="0" applyAlignment="1" applyFont="1">
      <alignment readingOrder="0" shrinkToFit="0" vertical="bottom" wrapText="0"/>
    </xf>
    <xf borderId="0" fillId="40" fontId="5" numFmtId="1" xfId="0" applyAlignment="1" applyFont="1" applyNumberFormat="1">
      <alignment horizontal="right" shrinkToFit="0" vertical="bottom" wrapText="0"/>
    </xf>
    <xf borderId="0" fillId="40" fontId="5" numFmtId="0" xfId="0" applyAlignment="1" applyFont="1">
      <alignment readingOrder="0" shrinkToFit="0" vertical="bottom" wrapText="0"/>
    </xf>
    <xf borderId="0" fillId="40" fontId="128" numFmtId="0" xfId="0" applyAlignment="1" applyFont="1">
      <alignment vertical="bottom"/>
    </xf>
    <xf borderId="0" fillId="40" fontId="50" numFmtId="0" xfId="0" applyAlignment="1" applyFont="1">
      <alignment vertical="bottom"/>
    </xf>
    <xf borderId="0" fillId="40" fontId="4" numFmtId="172" xfId="0" applyAlignment="1" applyFont="1" applyNumberFormat="1">
      <alignment horizontal="right" shrinkToFit="0" vertical="bottom" wrapText="0"/>
    </xf>
    <xf borderId="0" fillId="40" fontId="4" numFmtId="168" xfId="0" applyAlignment="1" applyFont="1" applyNumberFormat="1">
      <alignment horizontal="right" shrinkToFit="0" vertical="bottom" wrapText="0"/>
    </xf>
    <xf borderId="0" fillId="0" fontId="565" numFmtId="0" xfId="0" applyAlignment="1" applyFont="1">
      <alignment horizontal="right" vertical="bottom"/>
    </xf>
    <xf borderId="6" fillId="17" fontId="566" numFmtId="0" xfId="0" applyAlignment="1" applyBorder="1" applyFont="1">
      <alignment readingOrder="0" shrinkToFit="0" vertical="top" wrapText="1"/>
    </xf>
    <xf borderId="7" fillId="14" fontId="567" numFmtId="0" xfId="0" applyAlignment="1" applyBorder="1" applyFont="1">
      <alignment readingOrder="0" shrinkToFit="0" vertical="top" wrapText="1"/>
    </xf>
    <xf borderId="7" fillId="0" fontId="568" numFmtId="0" xfId="0" applyAlignment="1" applyBorder="1" applyFont="1">
      <alignment readingOrder="0" shrinkToFit="0" vertical="top" wrapText="1"/>
    </xf>
    <xf borderId="0" fillId="32" fontId="334" numFmtId="0" xfId="0" applyFont="1"/>
    <xf borderId="0" fillId="36" fontId="128" numFmtId="0" xfId="0" applyAlignment="1" applyFont="1">
      <alignment vertical="bottom"/>
    </xf>
    <xf borderId="0" fillId="36" fontId="5" numFmtId="0" xfId="0" applyAlignment="1" applyFont="1">
      <alignment vertical="bottom"/>
    </xf>
    <xf borderId="0" fillId="36" fontId="5" numFmtId="165" xfId="0" applyAlignment="1" applyFont="1" applyNumberFormat="1">
      <alignment horizontal="right" vertical="bottom"/>
    </xf>
    <xf borderId="0" fillId="36" fontId="128" numFmtId="165" xfId="0" applyAlignment="1" applyFont="1" applyNumberFormat="1">
      <alignment horizontal="right" readingOrder="0" vertical="bottom"/>
    </xf>
    <xf borderId="0" fillId="36" fontId="128" numFmtId="0" xfId="0" applyAlignment="1" applyFont="1">
      <alignment readingOrder="0" vertical="bottom"/>
    </xf>
    <xf borderId="0" fillId="36" fontId="128" numFmtId="0" xfId="0" applyAlignment="1" applyFont="1">
      <alignment horizontal="right" vertical="bottom"/>
    </xf>
    <xf borderId="6" fillId="36" fontId="569" numFmtId="0" xfId="0" applyAlignment="1" applyBorder="1" applyFont="1">
      <alignment shrinkToFit="0" vertical="top" wrapText="1"/>
    </xf>
    <xf borderId="7" fillId="36" fontId="570" numFmtId="0" xfId="0" applyAlignment="1" applyBorder="1" applyFont="1">
      <alignment shrinkToFit="0" vertical="top" wrapText="1"/>
    </xf>
    <xf borderId="6" fillId="17" fontId="571" numFmtId="0" xfId="0" applyAlignment="1" applyBorder="1" applyFont="1">
      <alignment shrinkToFit="0" vertical="top" wrapText="1"/>
    </xf>
    <xf borderId="7" fillId="14" fontId="572" numFmtId="0" xfId="0" applyAlignment="1" applyBorder="1" applyFont="1">
      <alignment shrinkToFit="0" vertical="top" wrapText="1"/>
    </xf>
    <xf borderId="0" fillId="36" fontId="6" numFmtId="165" xfId="0" applyAlignment="1" applyFont="1" applyNumberFormat="1">
      <alignment horizontal="right" vertical="bottom"/>
    </xf>
    <xf borderId="6" fillId="36" fontId="573" numFmtId="0" xfId="0" applyAlignment="1" applyBorder="1" applyFont="1">
      <alignment shrinkToFit="0" vertical="top" wrapText="1"/>
    </xf>
    <xf borderId="7" fillId="36" fontId="574" numFmtId="0" xfId="0" applyAlignment="1" applyBorder="1" applyFont="1">
      <alignment shrinkToFit="0" vertical="top" wrapText="1"/>
    </xf>
    <xf borderId="6" fillId="28" fontId="575" numFmtId="0" xfId="0" applyAlignment="1" applyBorder="1" applyFont="1">
      <alignment shrinkToFit="0" vertical="top" wrapText="1"/>
    </xf>
    <xf borderId="7" fillId="28" fontId="576" numFmtId="0" xfId="0" applyAlignment="1" applyBorder="1" applyFont="1">
      <alignment shrinkToFit="0" vertical="top" wrapText="1"/>
    </xf>
    <xf borderId="0" fillId="28" fontId="577" numFmtId="0" xfId="0" applyAlignment="1" applyFont="1">
      <alignment vertical="bottom"/>
    </xf>
    <xf borderId="0" fillId="16" fontId="6" numFmtId="165" xfId="0" applyAlignment="1" applyFont="1" applyNumberFormat="1">
      <alignment horizontal="right" vertical="bottom"/>
    </xf>
    <xf borderId="6" fillId="16" fontId="578" numFmtId="0" xfId="0" applyAlignment="1" applyBorder="1" applyFont="1">
      <alignment shrinkToFit="0" vertical="top" wrapText="1"/>
    </xf>
    <xf borderId="7" fillId="16" fontId="579" numFmtId="0" xfId="0" applyAlignment="1" applyBorder="1" applyFont="1">
      <alignment shrinkToFit="0" vertical="top" wrapText="1"/>
    </xf>
    <xf borderId="0" fillId="14" fontId="5" numFmtId="0" xfId="0" applyFont="1"/>
    <xf borderId="0" fillId="14" fontId="6" numFmtId="0" xfId="0" applyAlignment="1" applyFont="1">
      <alignment readingOrder="0" vertical="bottom"/>
    </xf>
    <xf borderId="0" fillId="14" fontId="11" numFmtId="0" xfId="0" applyAlignment="1" applyFont="1">
      <alignment readingOrder="0"/>
    </xf>
    <xf borderId="0" fillId="14" fontId="11" numFmtId="0" xfId="0" applyFont="1"/>
    <xf borderId="0" fillId="14" fontId="6" numFmtId="0" xfId="0" applyAlignment="1" applyFont="1">
      <alignment vertical="bottom"/>
    </xf>
    <xf borderId="0" fillId="14" fontId="6" numFmtId="165" xfId="0" applyAlignment="1" applyFont="1" applyNumberFormat="1">
      <alignment horizontal="right" vertical="bottom"/>
    </xf>
    <xf borderId="0" fillId="14" fontId="6" numFmtId="165" xfId="0" applyAlignment="1" applyFont="1" applyNumberFormat="1">
      <alignment vertical="bottom"/>
    </xf>
    <xf borderId="6" fillId="14" fontId="580" numFmtId="0" xfId="0" applyAlignment="1" applyBorder="1" applyFont="1">
      <alignment shrinkToFit="0" vertical="top" wrapText="1"/>
    </xf>
    <xf borderId="0" fillId="14" fontId="6" numFmtId="0" xfId="0" applyAlignment="1" applyFont="1">
      <alignment horizontal="right" vertical="bottom"/>
    </xf>
    <xf borderId="0" fillId="14" fontId="581" numFmtId="0" xfId="0" applyAlignment="1" applyFont="1">
      <alignment vertical="bottom"/>
    </xf>
    <xf borderId="0" fillId="14" fontId="6" numFmtId="0" xfId="0" applyAlignment="1" applyFont="1">
      <alignment vertical="bottom"/>
    </xf>
    <xf borderId="0" fillId="21" fontId="290" numFmtId="0" xfId="0" applyAlignment="1" applyFont="1">
      <alignment vertical="bottom"/>
    </xf>
    <xf borderId="6" fillId="17" fontId="4" numFmtId="0" xfId="0" applyAlignment="1" applyBorder="1" applyFont="1">
      <alignment shrinkToFit="0" vertical="top" wrapText="1"/>
    </xf>
    <xf borderId="0" fillId="28" fontId="6" numFmtId="165" xfId="0" applyAlignment="1" applyFont="1" applyNumberFormat="1">
      <alignment horizontal="right" readingOrder="0" vertical="bottom"/>
    </xf>
    <xf borderId="7" fillId="0" fontId="582" numFmtId="0" xfId="0" applyAlignment="1" applyBorder="1" applyFont="1">
      <alignment shrinkToFit="0" vertical="top" wrapText="1"/>
    </xf>
    <xf borderId="0" fillId="0" fontId="6" numFmtId="170" xfId="0" applyAlignment="1" applyFont="1" applyNumberFormat="1">
      <alignment horizontal="right" readingOrder="0" vertical="bottom"/>
    </xf>
    <xf borderId="0" fillId="35" fontId="128" numFmtId="0" xfId="0" applyAlignment="1" applyFont="1">
      <alignment vertical="bottom"/>
    </xf>
    <xf borderId="0" fillId="35" fontId="5" numFmtId="0" xfId="0" applyAlignment="1" applyFont="1">
      <alignment vertical="bottom"/>
    </xf>
    <xf borderId="0" fillId="35" fontId="5" numFmtId="165" xfId="0" applyAlignment="1" applyFont="1" applyNumberFormat="1">
      <alignment horizontal="right" vertical="bottom"/>
    </xf>
    <xf borderId="0" fillId="29" fontId="128" numFmtId="165" xfId="0" applyAlignment="1" applyFont="1" applyNumberFormat="1">
      <alignment horizontal="right" readingOrder="0" vertical="bottom"/>
    </xf>
    <xf borderId="0" fillId="35" fontId="5" numFmtId="0" xfId="0" applyAlignment="1" applyFont="1">
      <alignment readingOrder="0" vertical="bottom"/>
    </xf>
    <xf borderId="0" fillId="35" fontId="128" numFmtId="0" xfId="0" applyAlignment="1" applyFont="1">
      <alignment horizontal="right" vertical="bottom"/>
    </xf>
    <xf borderId="6" fillId="35" fontId="583" numFmtId="0" xfId="0" applyAlignment="1" applyBorder="1" applyFont="1">
      <alignment shrinkToFit="0" vertical="top" wrapText="1"/>
    </xf>
    <xf borderId="0" fillId="35" fontId="584" numFmtId="0" xfId="0" applyAlignment="1" applyFont="1">
      <alignment vertical="bottom"/>
    </xf>
    <xf borderId="0" fillId="35" fontId="6" numFmtId="0" xfId="0" applyAlignment="1" applyFont="1">
      <alignment horizontal="right" vertical="bottom"/>
    </xf>
    <xf borderId="7" fillId="35" fontId="585" numFmtId="0" xfId="0" applyAlignment="1" applyBorder="1" applyFont="1">
      <alignment shrinkToFit="0" vertical="top" wrapText="1"/>
    </xf>
    <xf borderId="0" fillId="35" fontId="586" numFmtId="0" xfId="0" applyAlignment="1" applyFont="1">
      <alignment vertical="bottom"/>
    </xf>
    <xf borderId="0" fillId="35" fontId="81" numFmtId="0" xfId="0" applyAlignment="1" applyFont="1">
      <alignment readingOrder="0" vertical="bottom"/>
    </xf>
    <xf borderId="0" fillId="35" fontId="81" numFmtId="0" xfId="0" applyAlignment="1" applyFont="1">
      <alignment horizontal="right" vertical="bottom"/>
    </xf>
    <xf borderId="0" fillId="35" fontId="81" numFmtId="0" xfId="0" applyAlignment="1" applyFont="1">
      <alignment vertical="bottom"/>
    </xf>
    <xf borderId="0" fillId="35" fontId="81" numFmtId="0" xfId="0" applyAlignment="1" applyFont="1">
      <alignment horizontal="right" readingOrder="0" vertical="bottom"/>
    </xf>
    <xf borderId="0" fillId="35" fontId="587" numFmtId="0" xfId="0" applyAlignment="1" applyFont="1">
      <alignment vertical="bottom"/>
    </xf>
    <xf borderId="0" fillId="17" fontId="588" numFmtId="0" xfId="0" applyAlignment="1" applyFont="1">
      <alignment shrinkToFit="0" vertical="top" wrapText="1"/>
    </xf>
    <xf borderId="0" fillId="14" fontId="589" numFmtId="0" xfId="0" applyAlignment="1" applyFont="1">
      <alignment shrinkToFit="0" vertical="top" wrapText="1"/>
    </xf>
    <xf borderId="0" fillId="17" fontId="590" numFmtId="0" xfId="0" applyAlignment="1" applyFont="1">
      <alignment shrinkToFit="0" vertical="top" wrapText="1"/>
    </xf>
    <xf borderId="0" fillId="21" fontId="591" numFmtId="0" xfId="0" applyAlignment="1" applyFont="1">
      <alignment vertical="bottom"/>
    </xf>
    <xf borderId="0" fillId="20" fontId="592" numFmtId="0" xfId="0" applyAlignment="1" applyFont="1">
      <alignment shrinkToFit="0" vertical="top" wrapText="1"/>
    </xf>
    <xf borderId="7" fillId="20" fontId="593" numFmtId="0" xfId="0" applyAlignment="1" applyBorder="1" applyFont="1">
      <alignment shrinkToFit="0" vertical="top" wrapText="1"/>
    </xf>
    <xf borderId="0" fillId="0" fontId="594" numFmtId="0" xfId="0" applyAlignment="1" applyFont="1">
      <alignment vertical="bottom"/>
    </xf>
    <xf borderId="0" fillId="0" fontId="128" numFmtId="0" xfId="0" applyAlignment="1" applyFont="1">
      <alignment vertical="bottom"/>
    </xf>
    <xf borderId="0" fillId="0" fontId="5" numFmtId="0" xfId="0" applyAlignment="1" applyFont="1">
      <alignment vertical="bottom"/>
    </xf>
    <xf borderId="0" fillId="0" fontId="5" numFmtId="165" xfId="0" applyAlignment="1" applyFont="1" applyNumberFormat="1">
      <alignment horizontal="right" vertical="bottom"/>
    </xf>
    <xf borderId="0" fillId="0" fontId="128" numFmtId="0" xfId="0" applyAlignment="1" applyFont="1">
      <alignment readingOrder="0" vertical="bottom"/>
    </xf>
    <xf borderId="7" fillId="14" fontId="595" numFmtId="0" xfId="0" applyAlignment="1" applyBorder="1" applyFont="1">
      <alignment shrinkToFit="0" vertical="top" wrapText="1"/>
    </xf>
    <xf borderId="6" fillId="17" fontId="596" numFmtId="0" xfId="0" applyAlignment="1" applyBorder="1" applyFont="1">
      <alignment shrinkToFit="0" vertical="top" wrapText="1"/>
    </xf>
    <xf borderId="0" fillId="0" fontId="128" numFmtId="0" xfId="0" applyAlignment="1" applyFont="1">
      <alignment horizontal="right" vertical="bottom"/>
    </xf>
    <xf borderId="0" fillId="0" fontId="597" numFmtId="0" xfId="0" applyAlignment="1" applyFont="1">
      <alignment readingOrder="0" vertical="bottom"/>
    </xf>
    <xf borderId="0" fillId="4" fontId="6" numFmtId="165" xfId="0" applyAlignment="1" applyFont="1" applyNumberFormat="1">
      <alignment horizontal="right" vertical="bottom"/>
    </xf>
    <xf borderId="0" fillId="4" fontId="6" numFmtId="165" xfId="0" applyAlignment="1" applyFont="1" applyNumberFormat="1">
      <alignment vertical="bottom"/>
    </xf>
    <xf borderId="6" fillId="4" fontId="598" numFmtId="0" xfId="0" applyAlignment="1" applyBorder="1" applyFont="1">
      <alignment shrinkToFit="0" vertical="top" wrapText="1"/>
    </xf>
    <xf borderId="7" fillId="4" fontId="599" numFmtId="0" xfId="0" applyAlignment="1" applyBorder="1" applyFont="1">
      <alignment shrinkToFit="0" vertical="top" wrapText="1"/>
    </xf>
    <xf borderId="0" fillId="4" fontId="6" numFmtId="0" xfId="0" applyAlignment="1" applyFont="1">
      <alignment horizontal="right" vertical="bottom"/>
    </xf>
    <xf borderId="0" fillId="4" fontId="6" numFmtId="0" xfId="0" applyAlignment="1" applyFont="1">
      <alignment horizontal="right" readingOrder="0" vertical="bottom"/>
    </xf>
    <xf borderId="0" fillId="4" fontId="6" numFmtId="165" xfId="0" applyAlignment="1" applyFont="1" applyNumberFormat="1">
      <alignment horizontal="right" readingOrder="0" vertical="bottom"/>
    </xf>
    <xf borderId="6" fillId="4" fontId="600" numFmtId="0" xfId="0" applyAlignment="1" applyBorder="1" applyFont="1">
      <alignment shrinkToFit="0" vertical="top" wrapText="1"/>
    </xf>
    <xf borderId="7" fillId="4" fontId="601" numFmtId="0" xfId="0" applyAlignment="1" applyBorder="1" applyFont="1">
      <alignment shrinkToFit="0" vertical="top" wrapText="1"/>
    </xf>
    <xf borderId="0" fillId="22" fontId="6" numFmtId="165" xfId="0" applyAlignment="1" applyFont="1" applyNumberFormat="1">
      <alignment readingOrder="0" vertical="bottom"/>
    </xf>
    <xf borderId="6" fillId="22" fontId="602" numFmtId="0" xfId="0" applyAlignment="1" applyBorder="1" applyFont="1">
      <alignment shrinkToFit="0" vertical="top" wrapText="1"/>
    </xf>
    <xf borderId="7" fillId="22" fontId="603" numFmtId="0" xfId="0" applyAlignment="1" applyBorder="1" applyFont="1">
      <alignment shrinkToFit="0" vertical="top" wrapText="1"/>
    </xf>
    <xf quotePrefix="1" borderId="0" fillId="22" fontId="6" numFmtId="0" xfId="0" applyAlignment="1" applyFont="1">
      <alignment horizontal="right" readingOrder="0" vertical="bottom"/>
    </xf>
    <xf borderId="0" fillId="36" fontId="6" numFmtId="3" xfId="0" applyAlignment="1" applyFont="1" applyNumberFormat="1">
      <alignment horizontal="right" vertical="bottom"/>
    </xf>
    <xf borderId="6" fillId="24" fontId="604" numFmtId="0" xfId="0" applyAlignment="1" applyBorder="1" applyFont="1">
      <alignment shrinkToFit="0" vertical="top" wrapText="1"/>
    </xf>
    <xf borderId="7" fillId="24" fontId="605" numFmtId="0" xfId="0" applyAlignment="1" applyBorder="1" applyFont="1">
      <alignment shrinkToFit="0" vertical="top" wrapText="1"/>
    </xf>
    <xf borderId="6" fillId="15" fontId="606" numFmtId="0" xfId="0" applyAlignment="1" applyBorder="1" applyFont="1">
      <alignment shrinkToFit="0" vertical="top" wrapText="1"/>
    </xf>
    <xf borderId="7" fillId="15" fontId="607" numFmtId="0" xfId="0" applyAlignment="1" applyBorder="1" applyFont="1">
      <alignment shrinkToFit="0" vertical="top" wrapText="1"/>
    </xf>
    <xf borderId="0" fillId="28" fontId="6" numFmtId="165" xfId="0" applyAlignment="1" applyFont="1" applyNumberFormat="1">
      <alignment horizontal="right" vertical="bottom"/>
    </xf>
    <xf borderId="6" fillId="28" fontId="608" numFmtId="0" xfId="0" applyAlignment="1" applyBorder="1" applyFont="1">
      <alignment shrinkToFit="0" vertical="top" wrapText="1"/>
    </xf>
    <xf borderId="7" fillId="28" fontId="609" numFmtId="0" xfId="0" applyAlignment="1" applyBorder="1" applyFont="1">
      <alignment shrinkToFit="0" vertical="top" wrapText="1"/>
    </xf>
    <xf borderId="0" fillId="36" fontId="6" numFmtId="165" xfId="0" applyAlignment="1" applyFont="1" applyNumberFormat="1">
      <alignment vertical="bottom"/>
    </xf>
    <xf borderId="0" fillId="8" fontId="6" numFmtId="0" xfId="0" applyAlignment="1" applyFont="1">
      <alignment vertical="bottom"/>
    </xf>
    <xf borderId="0" fillId="8" fontId="6" numFmtId="165" xfId="0" applyAlignment="1" applyFont="1" applyNumberFormat="1">
      <alignment horizontal="right" vertical="bottom"/>
    </xf>
    <xf borderId="6" fillId="8" fontId="610" numFmtId="0" xfId="0" applyAlignment="1" applyBorder="1" applyFont="1">
      <alignment shrinkToFit="0" vertical="top" wrapText="1"/>
    </xf>
    <xf borderId="0" fillId="8" fontId="6" numFmtId="0" xfId="0" applyAlignment="1" applyFont="1">
      <alignment horizontal="right" vertical="bottom"/>
    </xf>
    <xf borderId="7" fillId="8" fontId="611" numFmtId="0" xfId="0" applyAlignment="1" applyBorder="1" applyFont="1">
      <alignment shrinkToFit="0" vertical="top" wrapText="1"/>
    </xf>
    <xf borderId="0" fillId="8" fontId="612" numFmtId="0" xfId="0" applyAlignment="1" applyFont="1">
      <alignment vertical="bottom"/>
    </xf>
    <xf borderId="0" fillId="4" fontId="6" numFmtId="168" xfId="0" applyAlignment="1" applyFont="1" applyNumberFormat="1">
      <alignment vertical="bottom"/>
    </xf>
    <xf borderId="0" fillId="36" fontId="6" numFmtId="170" xfId="0" applyAlignment="1" applyFont="1" applyNumberFormat="1">
      <alignment horizontal="right" vertical="bottom"/>
    </xf>
    <xf borderId="0" fillId="36" fontId="6" numFmtId="4" xfId="0" applyAlignment="1" applyFont="1" applyNumberFormat="1">
      <alignment horizontal="right" vertical="bottom"/>
    </xf>
    <xf borderId="0" fillId="0" fontId="6" numFmtId="4" xfId="0" applyAlignment="1" applyFont="1" applyNumberFormat="1">
      <alignment horizontal="right" vertical="bottom"/>
    </xf>
    <xf borderId="0" fillId="30" fontId="6" numFmtId="165" xfId="0" applyAlignment="1" applyFont="1" applyNumberFormat="1">
      <alignment horizontal="right" vertical="bottom"/>
    </xf>
    <xf borderId="6" fillId="30" fontId="613" numFmtId="0" xfId="0" applyAlignment="1" applyBorder="1" applyFont="1">
      <alignment shrinkToFit="0" vertical="top" wrapText="1"/>
    </xf>
    <xf borderId="7" fillId="30" fontId="614" numFmtId="0" xfId="0" applyAlignment="1" applyBorder="1" applyFont="1">
      <alignment shrinkToFit="0" vertical="top" wrapText="1"/>
    </xf>
    <xf borderId="0" fillId="32" fontId="334" numFmtId="0" xfId="0" applyAlignment="1" applyFont="1">
      <alignment readingOrder="0"/>
    </xf>
    <xf borderId="0" fillId="6" fontId="6" numFmtId="165" xfId="0" applyAlignment="1" applyFont="1" applyNumberFormat="1">
      <alignment horizontal="right" vertical="bottom"/>
    </xf>
    <xf borderId="6" fillId="6" fontId="615" numFmtId="0" xfId="0" applyAlignment="1" applyBorder="1" applyFont="1">
      <alignment shrinkToFit="0" vertical="top" wrapText="1"/>
    </xf>
    <xf borderId="7" fillId="6" fontId="616" numFmtId="0" xfId="0" applyAlignment="1" applyBorder="1" applyFont="1">
      <alignment shrinkToFit="0" vertical="top" wrapText="1"/>
    </xf>
    <xf borderId="0" fillId="6" fontId="6" numFmtId="0" xfId="0" applyAlignment="1" applyFont="1">
      <alignment horizontal="right" readingOrder="0" vertical="bottom"/>
    </xf>
    <xf borderId="0" fillId="6" fontId="6" numFmtId="0" xfId="0" applyAlignment="1" applyFont="1">
      <alignment horizontal="right" vertical="bottom"/>
    </xf>
    <xf borderId="0" fillId="32" fontId="128" numFmtId="0" xfId="0" applyAlignment="1" applyFont="1">
      <alignment readingOrder="0" vertical="bottom"/>
    </xf>
    <xf borderId="0" fillId="32" fontId="128" numFmtId="0" xfId="0" applyAlignment="1" applyFont="1">
      <alignment vertical="bottom"/>
    </xf>
    <xf borderId="0" fillId="32" fontId="128" numFmtId="165" xfId="0" applyAlignment="1" applyFont="1" applyNumberFormat="1">
      <alignment horizontal="right" vertical="bottom"/>
    </xf>
    <xf borderId="6" fillId="32" fontId="617" numFmtId="0" xfId="0" applyAlignment="1" applyBorder="1" applyFont="1">
      <alignment shrinkToFit="0" vertical="top" wrapText="1"/>
    </xf>
    <xf borderId="7" fillId="32" fontId="618" numFmtId="0" xfId="0" applyAlignment="1" applyBorder="1" applyFont="1">
      <alignment shrinkToFit="0" vertical="top" wrapText="1"/>
    </xf>
    <xf borderId="0" fillId="32" fontId="128" numFmtId="0" xfId="0" applyAlignment="1" applyFont="1">
      <alignment horizontal="right" vertical="bottom"/>
    </xf>
    <xf borderId="0" fillId="32" fontId="619" numFmtId="0" xfId="0" applyAlignment="1" applyFont="1">
      <alignment vertical="bottom"/>
    </xf>
    <xf borderId="6" fillId="22" fontId="620" numFmtId="0" xfId="0" applyAlignment="1" applyBorder="1" applyFont="1">
      <alignment shrinkToFit="0" vertical="top" wrapText="1"/>
    </xf>
    <xf borderId="7" fillId="22" fontId="621" numFmtId="0" xfId="0" applyAlignment="1" applyBorder="1" applyFont="1">
      <alignment shrinkToFit="0" vertical="top" wrapText="1"/>
    </xf>
    <xf borderId="0" fillId="28" fontId="6" numFmtId="170" xfId="0" applyAlignment="1" applyFont="1" applyNumberFormat="1">
      <alignment horizontal="right" vertical="bottom"/>
    </xf>
    <xf borderId="0" fillId="28" fontId="6" numFmtId="165" xfId="0" applyAlignment="1" applyFont="1" applyNumberFormat="1">
      <alignment readingOrder="0" vertical="bottom"/>
    </xf>
    <xf borderId="0" fillId="19" fontId="6" numFmtId="0" xfId="0" applyAlignment="1" applyFont="1">
      <alignment horizontal="right" vertical="bottom"/>
    </xf>
    <xf borderId="0" fillId="19" fontId="6" numFmtId="165" xfId="0" applyAlignment="1" applyFont="1" applyNumberFormat="1">
      <alignment horizontal="right" vertical="bottom"/>
    </xf>
    <xf borderId="6" fillId="19" fontId="622" numFmtId="0" xfId="0" applyAlignment="1" applyBorder="1" applyFont="1">
      <alignment shrinkToFit="0" vertical="top" wrapText="1"/>
    </xf>
    <xf borderId="7" fillId="19" fontId="623" numFmtId="0" xfId="0" applyAlignment="1" applyBorder="1" applyFont="1">
      <alignment shrinkToFit="0" vertical="top" wrapText="1"/>
    </xf>
    <xf borderId="0" fillId="0" fontId="6" numFmtId="181" xfId="0" applyAlignment="1" applyFont="1" applyNumberFormat="1">
      <alignment vertical="bottom"/>
    </xf>
    <xf borderId="6" fillId="0" fontId="624" numFmtId="0" xfId="0" applyAlignment="1" applyBorder="1" applyFont="1">
      <alignment readingOrder="0" vertical="bottom"/>
    </xf>
    <xf borderId="7" fillId="21" fontId="625" numFmtId="0" xfId="0" applyAlignment="1" applyBorder="1" applyFont="1">
      <alignment vertical="bottom"/>
    </xf>
    <xf borderId="6" fillId="29" fontId="626" numFmtId="0" xfId="0" applyAlignment="1" applyBorder="1" applyFont="1">
      <alignment readingOrder="0" vertical="bottom"/>
    </xf>
    <xf borderId="7" fillId="29" fontId="627" numFmtId="0" xfId="0" applyAlignment="1" applyBorder="1" applyFont="1">
      <alignment vertical="bottom"/>
    </xf>
    <xf borderId="0" fillId="5" fontId="84" numFmtId="0" xfId="0" applyAlignment="1" applyFont="1">
      <alignment horizontal="right" readingOrder="0" vertical="bottom"/>
    </xf>
    <xf borderId="0" fillId="29" fontId="628" numFmtId="0" xfId="0" applyAlignment="1" applyFont="1">
      <alignment vertical="bottom"/>
    </xf>
    <xf borderId="0" fillId="29" fontId="54" numFmtId="0" xfId="0" applyAlignment="1" applyFont="1">
      <alignment horizontal="right" readingOrder="0" vertical="bottom"/>
    </xf>
    <xf borderId="0" fillId="24" fontId="4" numFmtId="3" xfId="0" applyAlignment="1" applyFont="1" applyNumberFormat="1">
      <alignment horizontal="right" shrinkToFit="0" vertical="bottom" wrapText="0"/>
    </xf>
    <xf borderId="0" fillId="24" fontId="359" numFmtId="0" xfId="0" applyAlignment="1" applyFont="1">
      <alignment vertical="bottom"/>
    </xf>
    <xf borderId="0" fillId="24" fontId="629" numFmtId="0" xfId="0" applyAlignment="1" applyFont="1">
      <alignment horizontal="right" readingOrder="0" vertical="bottom"/>
    </xf>
    <xf borderId="6" fillId="0" fontId="630" numFmtId="0" xfId="0" applyAlignment="1" applyBorder="1" applyFont="1">
      <alignment readingOrder="0" vertical="bottom"/>
    </xf>
    <xf borderId="7" fillId="21" fontId="6" numFmtId="0" xfId="0" applyAlignment="1" applyBorder="1" applyFont="1">
      <alignment vertical="bottom"/>
    </xf>
    <xf borderId="0" fillId="0" fontId="631" numFmtId="0" xfId="0" applyAlignment="1" applyFont="1">
      <alignment vertical="bottom"/>
    </xf>
    <xf borderId="0" fillId="20" fontId="6" numFmtId="165" xfId="0" applyAlignment="1" applyFont="1" applyNumberFormat="1">
      <alignment readingOrder="0" vertical="bottom"/>
    </xf>
    <xf borderId="0" fillId="20" fontId="632" numFmtId="0" xfId="0" applyAlignment="1" applyFont="1">
      <alignment readingOrder="0" vertical="bottom"/>
    </xf>
    <xf borderId="0" fillId="20" fontId="633" numFmtId="0" xfId="0" applyAlignment="1" applyFont="1">
      <alignment shrinkToFit="0" vertical="bottom" wrapText="1"/>
    </xf>
    <xf borderId="0" fillId="20" fontId="631" numFmtId="0" xfId="0" applyAlignment="1" applyFont="1">
      <alignment shrinkToFit="0" vertical="bottom" wrapText="1"/>
    </xf>
    <xf borderId="0" fillId="20" fontId="634" numFmtId="0" xfId="0" applyAlignment="1" applyFont="1">
      <alignment shrinkToFit="0" vertical="bottom" wrapText="1"/>
    </xf>
    <xf borderId="0" fillId="21" fontId="6" numFmtId="11" xfId="0" applyAlignment="1" applyFont="1" applyNumberFormat="1">
      <alignment horizontal="right" vertical="bottom"/>
    </xf>
    <xf borderId="0" fillId="0" fontId="4" numFmtId="4" xfId="0" applyAlignment="1" applyFont="1" applyNumberFormat="1">
      <alignment horizontal="right" vertical="bottom"/>
    </xf>
    <xf borderId="0" fillId="0" fontId="635" numFmtId="0" xfId="0" applyAlignment="1" applyFont="1">
      <alignment vertical="bottom"/>
    </xf>
    <xf borderId="0" fillId="4" fontId="6" numFmtId="0" xfId="0" applyAlignment="1" applyFont="1">
      <alignment shrinkToFit="0" vertical="bottom" wrapText="0"/>
    </xf>
    <xf borderId="0" fillId="0" fontId="635" numFmtId="0" xfId="0" applyAlignment="1" applyFont="1">
      <alignment shrinkToFit="0" vertical="bottom" wrapText="0"/>
    </xf>
    <xf quotePrefix="1" borderId="0" fillId="34" fontId="6" numFmtId="0" xfId="0" applyAlignment="1" applyFont="1">
      <alignment vertical="bottom"/>
    </xf>
    <xf borderId="0" fillId="0" fontId="636" numFmtId="0" xfId="0" applyAlignment="1" applyFont="1">
      <alignment shrinkToFit="0" vertical="top" wrapText="1"/>
    </xf>
    <xf borderId="0" fillId="0" fontId="637" numFmtId="0" xfId="0" applyAlignment="1" applyFont="1">
      <alignment shrinkToFit="0" vertical="bottom" wrapText="1"/>
    </xf>
    <xf borderId="0" fillId="0" fontId="635" numFmtId="0" xfId="0" applyAlignment="1" applyFont="1">
      <alignment shrinkToFit="0" vertical="bottom" wrapText="1"/>
    </xf>
    <xf borderId="0" fillId="0" fontId="637" numFmtId="0" xfId="0" applyAlignment="1" applyFont="1">
      <alignment vertical="bottom"/>
    </xf>
    <xf borderId="0" fillId="14" fontId="638" numFmtId="0" xfId="0" applyAlignment="1" applyFont="1">
      <alignment shrinkToFit="0" vertical="top" wrapText="1"/>
    </xf>
    <xf borderId="0" fillId="0" fontId="639" numFmtId="0" xfId="0" applyAlignment="1" applyFont="1">
      <alignment vertical="bottom"/>
    </xf>
    <xf borderId="0" fillId="0" fontId="633" numFmtId="0" xfId="0" applyAlignment="1" applyFont="1">
      <alignment vertical="bottom"/>
    </xf>
    <xf borderId="0" fillId="14" fontId="6" numFmtId="0" xfId="0" applyAlignment="1" applyFont="1">
      <alignment vertical="top"/>
    </xf>
    <xf borderId="0" fillId="21" fontId="640" numFmtId="0" xfId="0" applyAlignment="1" applyFont="1">
      <alignment vertical="bottom"/>
    </xf>
    <xf borderId="0" fillId="0" fontId="6" numFmtId="179" xfId="0" applyAlignment="1" applyFont="1" applyNumberFormat="1">
      <alignment vertical="bottom"/>
    </xf>
    <xf borderId="7" fillId="14" fontId="641" numFmtId="0" xfId="0" applyAlignment="1" applyBorder="1" applyFont="1">
      <alignment shrinkToFit="0" vertical="top" wrapText="1"/>
    </xf>
    <xf borderId="0" fillId="0" fontId="4" numFmtId="168" xfId="0" applyAlignment="1" applyFont="1" applyNumberFormat="1">
      <alignment vertical="bottom"/>
    </xf>
    <xf borderId="7" fillId="14" fontId="642" numFmtId="0" xfId="0" applyAlignment="1" applyBorder="1" applyFont="1">
      <alignment shrinkToFit="0" vertical="top" wrapText="1"/>
    </xf>
    <xf borderId="0" fillId="0" fontId="643" numFmtId="0" xfId="0" applyAlignment="1" applyFont="1">
      <alignment readingOrder="0"/>
    </xf>
    <xf borderId="0" fillId="0" fontId="644" numFmtId="0" xfId="0" applyAlignment="1" applyFont="1">
      <alignment readingOrder="0"/>
    </xf>
    <xf borderId="0" fillId="17" fontId="3" numFmtId="0" xfId="0" applyAlignment="1" applyFont="1">
      <alignment readingOrder="0"/>
    </xf>
    <xf borderId="0" fillId="34" fontId="11" numFmtId="0" xfId="0" applyFont="1"/>
    <xf borderId="0" fillId="34" fontId="11" numFmtId="169" xfId="0" applyFont="1" applyNumberFormat="1"/>
    <xf borderId="0" fillId="13" fontId="3" numFmtId="0" xfId="0" applyAlignment="1" applyFont="1">
      <alignment readingOrder="0"/>
    </xf>
    <xf borderId="0" fillId="0" fontId="645" numFmtId="0" xfId="0" applyAlignment="1" applyFont="1">
      <alignment readingOrder="0"/>
    </xf>
    <xf borderId="0" fillId="4" fontId="11" numFmtId="10" xfId="0" applyAlignment="1" applyFont="1" applyNumberFormat="1">
      <alignment readingOrder="0"/>
    </xf>
    <xf borderId="0" fillId="21" fontId="646"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3" numFmtId="0" xfId="0" applyFont="1"/>
    <xf borderId="0" fillId="0" fontId="647"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standalone="yes"?>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cacheSource type="worksheet"><worksheetSource ref="B2:BD2397" sheet="COS coding"/></cacheSource><cacheFields><cacheField name="status" numFmtId="0"><sharedItems><s v="- assigned: the entry has been assigned to a coder&#xA;- help needed: there is an unresolved conflict&#xA;- validated - chosen: the entry has been validated and marked as the one to remain in the final dataset&#xA;- validated - discarded: the entry has been used for "/><s v="validated - discarded"/><s v="validated - chosen"/><s v="assigned"/><s v="awaiting validation"/><s v="help needed"/><s v="validated - FReD but not COS"/><s v="validated - chosen (external)"/><s v="on hold - future validation"/></sharedItems></cacheField><cacheField name="approach" numFmtId="0"><sharedItems containsBlank="1"><m/><s v="double"/></sharedItems></cacheField><cacheField name="coder_1" numFmtId="0"><sharedItems containsBlank="1"><m/><s v="Maureen"/><s v="Nikita"/><s v="Husnain"/><s v="Jyoti"/><s v="Nikolay"/><s v="Hakile"/><s v="Sarah"/><s v="Alexsandr"/><s v="Daniel"/><s v="Fabienne"/><s v="Antony"/><s v="Vidhi"/><s v="Radoslaw"/><s v="Ray"/><s v="Roksana"/><s v="Mariem"/><s v="Thomas"/><s v="Raul"/><s v="Corinna"/><s v="Maria"/><s v="Diego"/><s v="Teshome"/><s v="Adira"/><s v="Alisa"/></sharedItems></cacheField><cacheField name="coder_2" numFmtId="0"><sharedItems containsBlank="1"><m/><s v="Aleksandr"/></sharedItems></cacheField><cacheField name="entry" numFmtId="0"><sharedItems containsBlank="1"><s v="for data matching. DO NOT EDIT - keep blank for new rows"/><s v="2zgf9_1"/><s v="39xuw_1"/><s v="7vgkq_1"/><s v="acykd_1"/><s v="additional_studies1_1"/><s v="additional_studies10"/><s v="additional_studies10_1"/><s v="additional_studies11_1"/><s v="additional_studies12_1"/><s v="additional_studies125_1"/><s v="additional_studies13_1"/><s v="additional_studies14_1"/><s v="additional_studies15_1"/><s v="additional_studies16"/><s v="additional_studies16_1"/><s v="additional_studies17"/><s v="additional_studies17_1"/><s v="additional_studies18_1"/><s v="additional_studies19_1"/><s v="additional_studies2_1"/><s v="additional_studies20_1"/><s v="additional_studies21_1"/><s v="additional_studies21_2"/><s v="additional_studies21_3"/><s v="additional_studies21_4"/><s v="additional_studies21_5"/><s v="additional_studies22_1"/><s v="additional_studies23_1"/><s v="additional_studies24_1"/><s v="additional_studies25_1"/><s v="additional_studies26_1"/><s v="additional_studies27_1"/><s v="additional_studies28_1"/><s v="additional_studies29_1"/><s v="additional_studies3_1"/><s v="additional_studies30_1"/><s v="additional_studies31_1"/><s v="additional_studies32_1"/><s v="additional_studies33_1"/><s v="additional_studies34_1"/><s v="additional_studies35_1"/><s v="additional_studies36"/><s v="additional_studies36_1"/><s v="additional_studies37_1"/><s v="additional_studies38_1"/><s v="additional_studies39_1"/><s v="additional_studies4_1"/><s v="additional_studies40_1"/><s v="additional_studies41_1"/><s v="additional_studies42_1"/><s v="additional_studies43_1"/><s v="additional_studies44_1"/><s v="additional_studies45_1"/><s v="additional_studies46_1"/><s v="additional_studies47_1"/><s v="additional_studies48_1"/><s v="additional_studies49_1"/><s v="additional_studies5_1"/><s v="additional_studies50_1"/><s v="additional_studies51_1"/><s v="additional_studies52_1"/><s v="additional_studies53_1"/><s v="additional_studies54_1"/><s v="additional_studies55_1"/><s v="additional_studies56_1"/><s v="additional_studies57_1"/><s v="additional_studies57_10"/><s v="additional_studies57_2"/><s v="additional_studies57_3"/><s v="additional_studies57_4"/><s v="additional_studies57_5"/><s v="additional_studies57_6"/><s v="additional_studies57_7"/><s v="additional_studies57_8"/><s v="additional_studies57_9"/><s v="additional_studies59_1"/><s v="additional_studies6_1"/><s v="additional_studies60_1"/><s v="additional_studies62_1"/><s v="additional_studies63_1"/><s v="additional_studies65_1"/><s v="additional_studies66_1"/><s v="additional_studies67_1"/><s v="additional_studies68_1"/><s v="additional_studies69_1"/><s v="additional_studies7_1"/><s v="additional_studies70_1"/><s v="additional_studies71_1"/><s v="additional_studies72_1"/><s v="additional_studies74_1"/><s v="additional_studies74_1_a"/><s v="additional_studies74_1_b"/><s v="additional_studies74_1_c"/><s v="additional_studies74_1_d"/><s v="additional_studies74_1_e"/><s v="additional_studies74_1_f"/><s v="additional_studies74_1_g"/><s v="additional_studies74_1_h"/><s v="additional_studies74_1_i"/><s v="additional_studies74_1_j"/><s v="additional_studies74_1_k"/><s v="additional_studies74_1_l"/><s v="additional_studies74_1_m"/><s v="additional_studies74_1_n"/><s v="additional_studies74_1_o"/><s v="additional_studies75_1"/><s v="additional_studies77_1"/><s v="additional_studies78_1"/><s v="additional_studies78_1_a"/><s v="additional_studies78_1_b"/><s v="additional_studies78_1_c"/><s v="additional_studies78_1_d"/><s v="additional_studies78_1_e"/><s v="additional_studies78_1_f"/><s v="additional_studies8_1"/><s v="additional_studies80_1"/><s v="additional_studies82_1"/><s v="additional_studies82_1_a"/><s v="additional_studies82_1_b"/><s v="additional_studies82_1_c"/><s v="additional_studies85"/><s v="additional_studies85_1"/><s v="additional_studies86_1"/><s v="additional_studies86_1_a"/><s v="additional_studies86_1_b"/><s v="additional_studies86_1_c"/><s v="additional_studies86_1_d"/><s v="additional_studies86_1_e"/><s v="additional_studies87_1"/><s v="additional_studies88_1"/><s v="additional_studies89_1"/><s v="additional_studies9_1"/><s v="additional_studies90_1"/><s v="additional_studies91_1"/><s v="additional_studies92_1"/><s v="additional_studies93_1"/><s v="additional_studies94_1"/><s v="Boyce_etal20231"/><s v="Boyce_etal20231_1"/><s v="Boyce_etal202310"/><s v="Boyce_etal202310_1"/><s v="Boyce_etal2023100"/><s v="Boyce_etal2023100_1"/><s v="Boyce_etal2023101"/><s v="Boyce_etal2023101_1"/><s v="Boyce_etal2023102"/><s v="Boyce_etal2023102_1"/><s v="Boyce_etal2023103"/><s v="Boyce_etal2023103_1"/><s v="Boyce_etal2023104"/><s v="Boyce_etal2023104_1"/><s v="Boyce_etal2023105"/><s v="Boyce_etal2023105_1"/><s v="Boyce_etal2023106"/><s v="Boyce_etal2023106_1"/><s v="Boyce_etal2023107"/><s v="Boyce_etal2023107_1"/><s v="Boyce_etal2023108"/><s v="Boyce_etal2023108_1"/><s v="Boyce_etal2023109"/><s v="Boyce_etal2023109_1"/><s v="Boyce_etal202311"/><s v="Boyce_etal202311_1"/><s v="Boyce_etal2023110_1"/><s v="Boyce_etal2023111"/><s v="Boyce_etal2023111_1"/><s v="Boyce_etal2023112"/><s v="Boyce_etal2023112_1"/><s v="Boyce_etal2023113"/><s v="Boyce_etal2023113_1"/><s v="Boyce_etal2023114"/><s v="Boyce_etal2023114_1"/><s v="Boyce_etal2023115"/><s v="Boyce_etal2023115_1"/><s v="Boyce_etal2023116"/><s v="Boyce_etal2023116_1"/><s v="Boyce_etal2023117_1"/><s v="Boyce_etal2023118_1"/><s v="Boyce_etal2023119_1"/><s v="Boyce_etal202312"/><s v="Boyce_etal202312_1"/><s v="Boyce_etal2023120_1"/><s v="Boyce_etal2023121"/><s v="Boyce_etal2023121_1"/><s v="Boyce_etal2023122"/><s v="Boyce_etal2023122_1"/><s v="Boyce_etal2023123"/><s v="Boyce_etal2023123_1"/><s v="Boyce_etal2023124"/><s v="Boyce_etal2023124_1"/><s v="Boyce_etal2023125"/><s v="Boyce_etal2023125_1"/><s v="Boyce_etal2023126"/><s v="Boyce_etal2023126_1"/><s v="Boyce_etal2023127"/><s v="Boyce_etal2023127_1"/><s v="Boyce_etal2023128"/><s v="Boyce_etal2023128_1"/><s v="Boyce_etal2023129"/><s v="Boyce_etal2023129_1"/><s v="Boyce_etal202313"/><s v="Boyce_etal202313_1"/><s v="Boyce_etal2023130"/><s v="Boyce_etal2023130_1"/><s v="Boyce_etal2023131"/><s v="Boyce_etal2023131_1"/><s v="Boyce_etal2023132"/><s v="Boyce_etal2023132_1"/><s v="Boyce_etal2023133"/><s v="Boyce_etal2023133_1"/><s v="Boyce_etal2023134"/><s v="Boyce_etal2023134_1"/><s v="Boyce_etal2023135"/><s v="Boyce_etal2023135_1"/><s v="Boyce_etal2023136_1"/><s v="Boyce_etal2023137"/><s v="Boyce_etal2023137_1"/><s v="Boyce_etal2023138_1"/><s v="Boyce_etal2023139"/><s v="Boyce_etal2023139_1"/><s v="Boyce_etal202314_1"/><s v="Boyce_etal2023140"/><s v="Boyce_etal2023140_1"/><s v="Boyce_etal2023141"/><s v="Boyce_etal2023141_1"/><s v="Boyce_etal2023142"/><s v="Boyce_etal2023142_1"/><s v="Boyce_etal2023143"/><s v="Boyce_etal2023143_1"/><s v="Boyce_etal2023144"/><s v="Boyce_etal2023144_1"/><s v="Boyce_etal2023145"/><s v="Boyce_etal2023145_1"/><s v="Boyce_etal2023146"/><s v="Boyce_etal2023146_1"/><s v="Boyce_etal2023147_1"/><s v="Boyce_etal2023148"/><s v="Boyce_etal2023148_1"/><s v="Boyce_etal2023149"/><s v="Boyce_etal2023149_1"/><s v="Boyce_etal202315"/><s v="Boyce_etal202315_1"/><s v="Boyce_etal2023150"/><s v="Boyce_etal2023150_1"/><s v="Boyce_etal2023151"/><s v="Boyce_etal2023151_1"/><s v="Boyce_etal2023152"/><s v="Boyce_etal2023152_1"/><s v="Boyce_etal2023153"/><s v="Boyce_etal2023153_1"/><s v="Boyce_etal2023154"/><s v="Boyce_etal2023154_1"/><s v="Boyce_etal2023155"/><s v="Boyce_etal2023155_1"/><s v="Boyce_etal2023156"/><s v="Boyce_etal2023156_1"/><s v="Boyce_etal2023157_1"/><s v="Boyce_etal2023158"/><s v="Boyce_etal2023158_1"/><s v="Boyce_etal2023159"/><s v="Boyce_etal2023159_1"/><s v="Boyce_etal202316"/><s v="Boyce_etal202316_1"/><s v="Boyce_etal2023160"/><s v="Boyce_etal2023160_1"/><s v="XPHI1_1"/><s v="XPHI11_1"/><s v="Boyce_etal2023161"/><s v="Boyce_etal2023161_1"/><s v="Boyce_etal2023162"/><s v="Boyce_etal2023162_1"/><s v="Boyce_etal2023163"/><s v="Boyce_etal2023163_1"/><s v="Boyce_etal2023164"/><s v="Boyce_etal2023164_1"/><s v="Boyce_etal2023165"/><s v="Boyce_etal2023165_1"/><s v="Boyce_etal2023166"/><s v="Boyce_etal2023166_1"/><s v="Boyce_etal2023167_1"/><s v="Boyce_etal2023168"/><s v="Boyce_etal2023168_1"/><s v="Boyce_etal2023169"/><s v="Boyce_etal2023169_1"/><s v="Boyce_etal202317_1"/><s v="Boyce_etal2023170"/><s v="Boyce_etal2023170_1"/><s v="Boyce_etal2023171"/><s v="Boyce_etal2023171_1"/><s v="Boyce_etal2023172"/><s v="Boyce_etal2023172_1"/><s v="Boyce_etal2023173"/><s v="Boyce_etal2023173_1"/><s v="Boyce_etal2023174"/><s v="Boyce_etal2023174_1"/><s v="Boyce_etal2023175"/><s v="Boyce_etal2023175_1"/><s v="Boyce_etal2023176_1"/><s v="Boyce_etal202318"/><s v="Boyce_etal202318_1"/><s v="Boyce_etal202319"/><s v="Boyce_etal202319_1"/><s v="Boyce_etal20232"/><s v="Boyce_etal20232_1"/><s v="Boyce_etal202320"/><s v="Boyce_etal202320_1"/><s v="Boyce_etal202321"/><s v="Boyce_etal202321_1"/><s v="Boyce_etal202322"/><s v="Boyce_etal202322_1"/><s v="Boyce_etal202323"/><s v="Boyce_etal202323_1"/><s v="Boyce_etal202324"/><s v="Boyce_etal202324_1"/><s v="Boyce_etal202325"/><s v="Boyce_etal202325_1"/><s v="Boyce_etal202326"/><s v="Boyce_etal202326_1"/><s v="Boyce_etal202327"/><s v="Boyce_etal202327_1"/><s v="Boyce_etal202328"/><s v="Boyce_etal202328_1"/><s v="Boyce_etal202329_1"/><s v="Boyce_etal20233_1"/><s v="Boyce_etal202330_1"/><s v="Boyce_etal202331_1"/><s v="Boyce_etal202332_1"/><s v="Boyce_etal202333_1"/><s v="Boyce_etal202334_1"/><s v="Boyce_etal202335_1"/><s v="Boyce_etal202336_1"/><s v="Boyce_etal202337_1"/><s v="Boyce_etal202338_1"/><s v="Boyce_etal202339_1"/><s v="Boyce_etal20234_1"/><s v="Boyce_etal202340_1"/><s v="Boyce_etal202341_1"/><s v="Boyce_etal202342_1"/><s v="Boyce_etal202343_1"/><s v="Boyce_etal202344_1"/><s v="Boyce_etal202345_1"/><s v="Boyce_etal202346_1"/><s v="Boyce_etal202347_1"/><s v="Boyce_etal202348_1"/><s v="Boyce_etal202349_1"/><s v="Boyce_etal20235_1"/><s v="Boyce_etal202350_1"/><s v="Boyce_etal202351_1"/><s v="Boyce_etal202352_1"/><s v="Boyce_etal202353_1"/><s v="Boyce_etal202354_1"/><s v="Boyce_etal202355_1"/><s v="Boyce_etal202356_1"/><s v="Boyce_etal202357_1"/><s v="Boyce_etal202358_1"/><s v="Boyce_etal202359_1"/><s v="Boyce_etal20236_1"/><s v="Boyce_etal202360_1"/><s v="Boyce_etal202361_1"/><s v="Boyce_etal202362_1"/><s v="Boyce_etal202363_1"/><s v="Boyce_etal202364_1"/><s v="Boyce_etal202365_1"/><s v="Boyce_etal202366_1"/><s v="Boyce_etal202367_1"/><s v="Boyce_etal202368_1"/><s v="Boyce_etal202369_1"/><s v="Boyce_etal20237_1"/><s v="Boyce_etal202370_1"/><s v="Boyce_etal202371_1"/><s v="Boyce_etal202372_1"/><s v="Boyce_etal202373_1"/><s v="Boyce_etal202374_1"/><s v="Boyce_etal202375_1"/><s v="Boyce_etal202376_1"/><s v="Boyce_etal202377_1"/><s v="Boyce_etal202378_1"/><s v="Boyce_etal202379_1"/><s v="Boyce_etal20238_1"/><s v="Boyce_etal202380_1"/><s v="Boyce_etal202381_1"/><s v="Boyce_etal202382_1"/><s v="Boyce_etal202383_1"/><s v="Boyce_etal202384_1"/><s v="Boyce_etal202385_1"/><s v="Boyce_etal202386_1"/><s v="Boyce_etal202387_1"/><s v="Boyce_etal202388_1"/><s v="Boyce_etal202389_1"/><s v="Boyce_etal20239_1"/><s v="Boyce_etal202390_1"/><s v="Boyce_etal202391_1"/><s v="Boyce_etal202392_1"/><s v="Boyce_etal202393_1"/><s v="Boyce_etal202394_1"/><s v="Boyce_etal202395_1"/><s v="Boyce_etal202396_1"/><s v="Boyce_etal202397_1"/><s v="Boyce_etal202398_1"/><s v="Boyce_etal202399_1"/><s v="bth36_1"/><s v="Camereretal2016_1"/><s v="Camereretal2016_10"/><s v="Camereretal2016_11"/><s v="Camereretal2016_12"/><s v="Camereretal2016_13"/><s v="Camereretal2016_14"/><s v="Camereretal2016_15"/><s v="Camereretal2016_16"/><s v="Camereretal2016_17"/><s v="Camereretal2016_18"/><s v="Camereretal2016_2"/><s v="Camereretal2016_3"/><s v="Camereretal2016_4"/><s v="Camereretal2016_5"/><s v="Camereretal2016_6"/><s v="Camereretal2016_7"/><s v="Camereretal2016_8"/><s v="Camereretal2016_9"/><s v="Camereretal2018_1"/><s v="Camereretal2018_10"/><s v="Camereretal2018_11"/><s v="Camereretal2018_12"/><s v="Camereretal2018_13"/><s v="Camereretal2018_14"/><s v="Camereretal2018_15"/><s v="Camereretal2018_16"/><s v="Camereretal2018_17"/><s v="Camereretal2018_18"/><s v="Camereretal2018_19"/><s v="Camereretal2018_2"/><s v="Camereretal2018_20"/><s v="Camereretal2018_21"/><s v="Camereretal2018_3"/><s v="Camereretal2018_4"/><s v="Camereretal2018_5"/><s v="Camereretal2018_6"/><s v="Camereretal2018_7"/><s v="Camereretal2018_8"/><s v="Camereretal2018_9"/><s v="curatescience10_1"/><s v="curatescience11_1"/><s v="curatescience12_1"/><s v="CORE_1_1"/><s v="curatescience13_1"/><s v="curatescience14_1"/><s v="curatescience15_1"/><s v="curatescience16_1"/><s v="curatescience17_1"/><s v="curatescience18_1"/><s v="curatescience19_1"/><s v="curatescience20_1"/><s v="curatescience204"/><s v="curatescience21_1"/><s v="curatescience22_1"/><s v="curatescience23_1"/><s v="curatescience24_1"/><s v="curatescience241"/><s v="curatescience244"/><s v="curatescience25_1"/><s v="curatescience26_1"/><s v="curatescience27_1"/><s v="curatescience28_1"/><s v="curatescience283"/><s v="curatescience29_1"/><s v="curatescience30_1"/><s v="curatescience31_1"/><s v="curatescience32_1"/><s v="curatescience320"/><s v="curatescience33_1"/><s v="curatescience34_1"/><s v="curatescience35_1"/><s v="curatescience36_1"/><s v="curatescience37_1"/><s v="curatescience38_1"/><s v="curatescience395"/><s v="curatescience40_1"/><s v="curatescience41_1"/><s v="curatescience42_1"/><s v="curatescience43_1"/><s v="curatescience44_1"/><s v="curatescience45_1"/><s v="curatescience46_1"/><s v="curatescience47_1"/><s v="curatescience48_1"/><s v="curatescience49_1"/><s v="curatescience50_1"/><s v="curatescience51_1"/><s v="curatescience52_1"/><s v="curatescience53_1"/><s v="curatescience533"/><s v="curatescience537"/><s v="curatescience54_1"/><s v="curatescience55_1"/><s v="curatescience558"/><s v="curatescience56_1"/><s v="curatescience57_1"/><s v="curatescience578"/><s v="curatescience58_1"/><s v="curatescience59_1"/><s v="curatescience599"/><s v="curatescience600"/><s v="curatescience620"/><s v="curatescience641"/><s v="curatescience7_1"/><s v="curatescience73"/><s v="curatescience75"/><s v="curatescience8_1"/><s v="curatescience86"/><s v="curatescience9_1"/><s v="datareplicada10a_1"/><s v="datareplicada10b_1"/><s v="datareplicada10d_1"/><s v="datareplicada2_1"/><s v="datareplicada3_1"/><s v="datareplicada3_2"/><s v="datareplicada4_1"/><s v="datareplicada7a_1"/><s v="datareplicada7b_1"/><s v="datareplicada7c_1"/><s v="dqv9y_1"/><s v="e9d3k_1"/><s v="fmd75_1"/><s v="gh52k_1"/><s v="Holzmeisteretal2024_1"/><s v="Holzmeisteretal2024_10"/><s v="Holzmeisteretal2024_11"/><s v="Holzmeisteretal2024_12"/><s v="Holzmeisteretal2024_13"/><s v="Holzmeisteretal2024_14"/><s v="Holzmeisteretal2024_15"/><s v="Holzmeisteretal2024_16"/><s v="Holzmeisteretal2024_17"/><s v="Holzmeisteretal2024_18"/><s v="Holzmeisteretal2024_19"/><s v="Holzmeisteretal2024_2"/><s v="Holzmeisteretal2024_20"/><s v="Holzmeisteretal2024_21"/><s v="Holzmeisteretal2024_22"/><s v="Holzmeisteretal2024_23"/><s v="Holzmeisteretal2024_24"/><s v="Holzmeisteretal2024_25"/><s v="Holzmeisteretal2024_26"/><s v="Holzmeisteretal2024_3"/><s v="Holzmeisteretal2024_4"/><s v="Holzmeisteretal2024_5"/><s v="Holzmeisteretal2024_6"/><s v="Holzmeisteretal2024_7"/><s v="Holzmeisteretal2024_8"/><s v="Holzmeisteretal2024_9"/><s v="is1_1"/><s v="is2_1"/><s v="is3_1"/><s v="j8a4p_1"/><s v="jcre_01_1"/><s v="jcre_02_1"/><s v="jcre_03_1"/><s v="jcre_04_1"/><s v="jcre_05_1"/><s v="jcre_06_1"/><s v="Manylabs2_01"/><s v="Manylabs2_02"/><s v="Manylabs2_03"/><s v="Manylabs2_04"/><s v="Manylabs2_05"/><s v="Manylabs2_06"/><s v="Manylabs2_07"/><s v="Manylabs2_10"/><s v="Manylabs2_11"/><s v="Manylabs2_12"/><s v="Manylabs2_13"/><s v="Manylabs2_14"/><s v="Manylabs2_15"/><s v="Manylabs2_16"/><s v="Manylabs2_17"/><s v="Manylabs2_18"/><s v="Manylabs2_19"/><s v="Manylabs2_20"/><s v="Manylabs2_21"/><s v="Manylabs2_22"/><s v="Manylabs2_23"/><s v="Manylabs2_24"/><s v="Manylabs2_25"/><s v="Manylabs2_26"/><s v="Manylabs2_27"/><s v="Manylabs2_28"/><s v="Manylabs2_8"/><s v="Manylabs2_9"/><s v="OpenMKT1_1"/><s v="OpenMKT1_10"/><s v="OpenMKT1_11"/><s v="OpenMKT1_12"/><s v="OpenMKT1_13"/><s v="OpenMKT1_2"/><s v="OpenMKT1_3"/><s v="OpenMKT1_4"/><s v="OpenMKT1_5"/><s v="OpenMKT1_6"/><s v="OpenMKT1_7"/><s v="OpenMKT1_8"/><s v="OpenMKT1_9"/><s v="OpenMKT10_1"/><s v="OpenMKT10_2"/><s v="OpenMKT11_1"/><s v="OpenMKT12_1"/><s v="OpenMKT13_1"/><s v="OpenMKT14_1"/><s v="OpenMKT15_1"/><s v="OpenMKT16_1"/><s v="OpenMKT2_1"/><s v="OpenMKT2_2"/><s v="OpenMKT2_3"/><s v="OpenMKT3_1"/><s v="OpenMKT3_2"/><s v="OpenMKT3_3"/><s v="OpenMKT4_1"/><s v="OpenMKT5_1"/><s v="OpenMKT5_2"/><s v="OpenMKT5_3"/><s v="OpenMKT5_4"/><s v="OpenMKT5_5"/><s v="OpenMKT5_6"/><s v="OpenMKT6_1"/><s v="OpenMKT6_2"/><s v="OpenMKT7_1"/><s v="OpenMKT7_2"/><s v="OpenMKT7_3"/><s v="OpenMKT8_1"/><s v="OpenMKT8_2"/><s v="OpenMKT8_3"/><s v="OpenMKT9_1"/><s v="OpenMKT9_2"/><s v="osc20151_1"/><s v="osc201510_1"/><s v="osc2015104_1"/><s v="osc2015106_1"/><s v="osc2015107_1"/><s v="osc2015109_1"/><s v="osc201511_1"/><s v="osc2015110_1"/><s v="osc2015111_1"/><s v="osc2015112_1"/><s v="osc2015113_1"/><s v="osc2015114_1"/><s v="osc2015115_1"/><s v="osc2015116_1"/><s v="osc2015117_1"/><s v="osc2015118_1"/><s v="osc201512_1"/><s v="osc2015120_1"/><s v="osc2015121_1"/><s v="osc2015122_1"/><s v="osc2015123_1"/><s v="osc2015124_1"/><s v="osc2015126_1"/><s v="osc2015127_1"/><s v="osc2015129_1"/><s v="osc201513_1"/><s v="osc2015132_1"/><s v="osc2015133_1"/><s v="osc2015134_1"/><s v="osc2015135_1"/><s v="osc2015136_1"/><s v="osc2015139_1"/><s v="osc2015140_1"/><s v="osc2015142_1"/><s v="osc2015143_1"/><s v="osc2015145_1"/><s v="osc2015146_1"/><s v="osc2015148_1"/><s v="osc201515_1"/><s v="osc2015150_1"/><s v="osc2015151_1"/><s v="osc2015153_1"/><s v="osc2015154_1"/><s v="osc2015155_1"/><s v="osc2015158_1"/><s v="osc2015161_1"/><s v="osc2015165_1"/><s v="osc2015167_1"/><s v="osc201517_1"/><s v="osc201519_1"/><s v="osc20152_1"/><s v="osc201520_1"/><s v="osc201522_1"/><s v="osc201524_1"/><s v="osc201525_1"/><s v="osc201526_1"/><s v="osc201527_1"/><s v="osc201528_1"/><s v="osc201529_1"/><s v="osc20153_1"/><s v="osc201532_1"/><s v="osc201533_1"/><s v="osc201536_1"/><s v="osc201537_1"/><s v="osc201539_1"/><s v="osc20154_1"/><s v="osc201543_1"/><s v="osc201544_1"/><s v="osc201546_1"/><s v="osc201548_1"/><s v="osc201549_1"/><s v="osc20155_1"/><s v="osc201550_1"/><s v="osc201552_1"/><s v="osc201553_1"/><s v="osc201555_1"/><s v="osc201556_1"/><s v="osc201558_1"/><s v="osc201559_1"/><s v="osc20156_1"/><s v="osc201561_1"/><s v="osc201563_1"/><s v="osc201564_1"/><s v="osc201565_1"/><s v="osc201568_1"/><s v="osc201569_1"/><s v="osc20157_1"/><s v="osc201571_1"/><s v="osc201572_1"/><s v="osc201573_1"/><s v="osc201577_1"/><s v="osc20158_1"/><s v="osc201580_1"/><s v="osc201581_1"/><s v="osc201582_1"/><s v="osc201584_1"/><s v="osc201586_1"/><s v="osc201587_1"/><s v="osc201589_1"/><s v="osc20159_1"/><s v="osc201593_1"/><s v="osc201594_1"/><s v="osc201597_1"/><s v="q6tv8_1"/><s v="resciencex_01_1"/><s v="rtn9s_1"/><s v="soscisubmission1_1"/><s v="soscisubmission10_1"/><s v="soscisubmission11_1"/><s v="soscisubmission13_1"/><s v="soscisubmission14a_1"/><s v="soscisubmission14b_1"/><s v="soscisubmission14c_1"/><s v="soscisubmission15_1"/><s v="soscisubmission18_1"/><s v="soscisubmission18_10"/><s v="soscisubmission18_11"/><s v="soscisubmission18_12"/><s v="soscisubmission18_2"/><s v="soscisubmission18_3"/><s v="soscisubmission18_4"/><s v="soscisubmission18_5"/><s v="soscisubmission18_6"/><s v="soscisubmission18_7"/><s v="soscisubmission18_8"/><s v="soscisubmission18_9"/><s v="soscisubmission2_1"/><s v="soscisubmission3_1"/><s v="soscisubmission34_1"/><s v="soscisubmission38_1"/><s v="soscisubmission39_1"/><s v="soscisubmission41_1"/><s v="soscisubmission41_2"/><s v="soscisubmission41_3"/><s v="soscisubmission45_1"/><s v="soscisubmission46_1"/><s v="soscisubmission47_1"/><s v="soscisubmission49_1"/><s v="soscisubmission6_1"/><s v="soscisubmission6_2"/><s v="soscisubmission7_1"/><s v="soscisubmission8_1"/><s v="soscisubmission9_1"/><s v="svodevelopment_1"/><s v="svodevelopment_10"/><s v="svodevelopment_11"/><s v="svodevelopment_12"/><s v="svodevelopment_13"/><s v="svodevelopment_14"/><s v="svodevelopment_15"/><s v="svodevelopment_16"/><s v="svodevelopment_17"/><s v="svodevelopment_18"/><s v="svodevelopment_19"/><s v="svodevelopment_2"/><s v="svodevelopment_20"/><s v="svodevelopment_21"/><s v="svodevelopment_22"/><s v="svodevelopment_23"/><s v="svodevelopment_24"/><s v="svodevelopment_25"/><s v="svodevelopment_26"/><s v="svodevelopment_3"/><s v="svodevelopment_4"/><s v="svodevelopment_5"/><s v="svodevelopment_6"/><s v="svodevelopment_7"/><s v="svodevelopment_8"/><s v="svodevelopment_9"/><s v="svodevelopment2_1"/><s v="svodevelopment2_10"/><s v="svodevelopment2_11"/><s v="svodevelopment2_12"/><s v="svodevelopment2_13"/><s v="svodevelopment2_14"/><s v="svodevelopment2_15"/><s v="svodevelopment2_16"/><s v="svodevelopment2_17"/><s v="svodevelopment2_18"/><s v="svodevelopment2_19"/><s v="svodevelopment2_2"/><s v="svodevelopment2_20"/><s v="svodevelopment2_21"/><s v="svodevelopment2_22"/><s v="svodevelopment2_23"/><s v="svodevelopment2_24"/><s v="svodevelopment2_25"/><s v="svodevelopment2_26"/><s v="svodevelopment2_3"/><s v="svodevelopment2_4"/><s v="svodevelopment2_5"/><s v="svodevelopment2_6"/><s v="svodevelopment2_7"/><s v="svodevelopment2_8"/><s v="svodevelopment2_9"/><s v="uxajg_1"/><s v="XPHI10_1"/><s v="XPHI12_1"/><s v="XPHI13_1"/><s v="XPHI14_1"/><s v="XPHI15_1"/><s v="XPHI16_1"/><s v="XPHI17_1"/><s v="XPHI18_1"/><s v="XPHI19_1"/><s v="XPHI2_1"/><s v="XPHI20_1"/><s v="XPHI21_1"/><s v="XPHI22_1"/><s v="XPHI23_1"/><s v="XPHI24_1"/><s v="XPHI25_1"/><s v="XPHI26_1"/><s v="XPHI27_1"/><s v="XPHI28_1"/><s v="XPHI29_1"/><s v="XPHI3_1"/><s v="XPHI30_1"/><s v="XPHI31_1"/><s v="XPHI32_1"/><s v="XPHI33_1"/><s v="XPHI34_1"/><s v="XPHI35_1"/><s v="XPHI36_1"/><s v="XPHI37_1"/><s v="XPHI38_1"/><s v="XPHI39_1"/><s v="XPHI4_1"/><s v="XPHI40_1"/><s v="XPHI5_1"/><s v="XPHI6_1"/><s v="XPHI7_1"/><s v="XPHI8_1"/><s v="XPHI9_1"/><m/><s v="Soto_1"/><s v="Soto_2"/></sharedItems></cacheField><cacheField name="id" numFmtId="0"><sharedItems><s v="Sample id. DO NOT CHANGE. If you add samples, copy and add _b, _c etc"/><s v="2zgf9"/><s v="39xuw"/><s v="7vgkq"/><s v="acykd"/><s v="additional_studies1_a"/><s v="additional_studies1_b"/><s v="additional_studies1_c"/><s v="additional_studies1_d"/><s v="additional_studies1_e"/><s v="additional_studies1_f"/><s v="additional_studies10_d"/><s v="additional_studies10_e"/><s v="additional_studies10_f"/><s v="additional_studies10_g"/><s v="additional_studies10_a"/><s v="additional_studies10_b"/><s v="additional_studies10_c"/><s v="additional_studies10"/><s v="additional_studies11"/><s v="additional_studies11_b"/><s v="additional_studies11_c"/><s v="additional_studies11_d"/><s v="additional_studies11_e"/><s v="additional_studies11_f"/><s v="additional_studies11_g"/><s v="additional_studies11_h"/><s v="additional_studies11_i"/><s v="additional_studies11_j"/><s v="additional_studies11_k"/><s v="additional_studies11_l"/><s v="additional_studies11_m"/><s v="additional_studies11_n"/><s v="additional_studies11_o"/><s v="additional_studies11_p"/><s v="additional_studies11_q"/><s v="additional_studies11_r"/><s v="additional_studies11_s"/><s v="additional_studies11_t"/><s v="additional_studies11_u"/><s v="additional_studies11_v"/><s v="additional_studies11_w"/><s v="additional_studies11_x"/><s v="additional_studies11_y"/><s v="additional_studies11_z"/><s v="additional_studies11_za"/><s v="additional_studies11_zb"/><s v="additional_studies11_zc"/><s v="additional_studies11_zd"/><s v="additional_studies11_ze"/><s v="additional_studies11_zf"/><s v="additional_studies11_a"/><s v="additional_studies12"/><s v="additional_studies12_b"/><s v="additional_studies12_c"/><s v="additional_studies125"/><s v="additional_studies125_an"/><s v="additional_studies125_b"/><s v="additional_studies125_c"/><s v="additional_studies125_d"/><s v="additional_studies125_e"/><s v="additional_studies125_f"/><s v="additional_studies125_g"/><s v="additional_studies125_h"/><s v="additional_studies125_i"/><s v="additional_studies125_pl"/><s v="additional_studies125_pm"/><s v="additional_studies13"/><s v="additional_studies14"/><s v="additional_studies15"/><s v="additional_studies15_b"/><s v="additional_studies15_c"/><s v="additional_studies15_d"/><s v="additional_studies15_e"/><s v="additional_studies15_f"/><s v="additional_studies16_b"/><s v="additional_studies16_c"/><s v="additional_studies16_a"/><s v="additional_studies16"/><s v="additional_studies17_b"/><s v="additional_studies17_c"/><s v="additional_studies17_d"/><s v="additional_studies17_e"/><s v="additional_studies17_a"/><s v="additional_studies17_f"/><s v="additional_studies17_g"/><s v="additional_studies17_h"/><s v="additional_studies17"/><s v="additional_studies18"/><s v="additional_studies19"/><s v="additional_studies19_b"/><s v="additional_studies19_c"/><s v="additional_studies2"/><s v="additional_studies2_b"/><s v="additional_studies2_c"/><s v="additional_studies2_d"/><s v="additional_studies2_a"/><s v="additional_studies20"/><s v="additional_studies20_b"/><s v="additional_studies20_c"/><s v="additional_studies20_d"/><s v="additional_studies20_e"/><s v="additional_studies21"/><s v="additional_studies22"/><s v="additional_studies23"/><s v="additional_studies24"/><s v="additional_studies25"/><s v="additional_studies22_b"/><s v="additional_studies26"/><s v="additional_studies26_a"/><s v="additional_studies26_b"/><s v="additional_studies27"/><s v="additional_studies28"/><s v="additional_studies28_a"/><s v="additional_studies28_b"/><s v="additional_studies28_c"/><s v="additional_studies28_d"/><s v="additional_studies28_e"/><s v="additional_studies28_f"/><s v="additional_studies29"/><s v="additional_studies3"/><s v="additional_studies3_b"/><s v="additional_studies3_c"/><s v="additional_studies3_d"/><s v="additional_studies3_a"/><s v="additional_studies30"/><s v="additional_studies30_b"/><s v="additional_studies30_c"/><s v="additional_studies30_d"/><s v="additional_studies30_e"/><s v="additional_studies30_f"/><s v="additional_studies30_g"/><s v="additional_studies30_h"/><s v="additional_studies31"/><s v="additional_studies31_a"/><s v="additional_studies31_b"/><s v="additional_studies32"/><s v="additional_studies32_b"/><s v="additional_studies32_c"/><s v="additional_studies32_d"/><s v="additional_studies32_e"/><s v="additional_studies32_f"/><s v="additional_studies32_g"/><s v="additional_studies33"/><s v="additional_studies34"/><s v="additional_studies35"/><s v="additional_studies36_b"/><s v="additional_studies36_c"/><s v="additional_studies36_d"/><s v="additional_studies36_e"/><s v="additional_studies36_f"/><s v="additional_studies36_g"/><s v="additional_studies36_h"/><s v="additional_studies36_i"/><s v="additional_studies36_j"/><s v="additional_studies36_k"/><s v="additional_studies36_l"/><s v="additional_studies36_m"/><s v="additional_studies36_n"/><s v="additional_studies36_o"/><s v="additional_studies36_p"/><s v="additional_studies36_q"/><s v="additional_studies36_r"/><s v="additional_studies36_s"/><s v="additional_studies36_t"/><s v="additional_studies36_w"/><s v="additional_studies36_x"/><s v="additional_studies36_y"/><s v="additional_studies36_z"/><s v="additional_studies36_aa"/><s v="additional_studies36_bb"/><s v="additional_studies36_cc"/><s v="additional_studies36"/><s v="additional_studies37"/><s v="additional_studies37_b"/><s v="additional_studies37_c"/><s v="additional_studies37_d"/><s v="additional_studies37_e"/><s v="additional_studies37_f"/><s v="additional_studies38"/><s v="additional_studies38_b"/><s v="additional_studies38_c"/><s v="additional_studies39"/><s v="additional_studies4_a"/><s v="additional_studies4_b"/><s v="additional_studies4_c"/><s v="additional_studies4_d"/><s v="additional_studies4"/><s v="additional_studies40"/><s v="additional_studies40_b"/><s v="additional_studies40_c"/><s v="additional_studies40_d"/><s v="additional_studies40_e"/><s v="additional_studies40_f"/><s v="additional_studies40_g"/><s v="additional_studies40_h"/><s v="additional_studies40_i"/><s v="additional_studies41"/><s v="additional_studies41_b"/><s v="additional_studies41_c"/><s v="additional_studies41_d"/><s v="additional_studies41_e"/><s v="additional_studies41_f"/><s v="additional_studies41_g"/><s v="additional_studies41_h"/><s v="additional_studies41_i"/><s v="additional_studies41_j"/><s v="additional_studies42"/><s v="additional_studies43"/><s v="additional_studies43 _b"/><s v="additional_studies43 _c"/><s v="additional_studies44"/><s v="additional_studies44_b"/><s v="additional_studies44_c"/><s v="additional_studies44_d"/><s v="additional_studies44_e"/><s v="additional_studies45"/><s v="additional_studies46"/><s v="additional_studies47"/><s v="additional_studies47_b"/><s v="additional_studies47_c"/><s v="additional_studies47_d"/><s v="additional_studies47_e"/><s v="additional_studies47_f"/><s v="additional_studies48"/><s v="additional_studies49"/><s v="additional_studies49_b"/><s v="additional_studies49_c"/><s v="additional_studies49_d"/><s v="additional_studies49_e"/><s v="additional_studies49_f"/><s v="additional_studies49_g"/><s v="additional_studies49_h"/><s v="additional_studies49_i"/><s v="additional_studies5"/><s v="additional_studies5_a"/><s v="additional_studies5_b"/><s v="additional_studies5_c"/><s v="additional_studies50"/><s v="additional_studies51"/><s v="additional_studies52"/><s v="additional_studies53"/><s v="additional_studies54"/><s v="additional_studies55"/><s v="additional_studies56"/><s v="additional_studies56_b"/><s v="additional_studies56_c"/><s v="additional_studies56_d"/><s v="additional_studies56_e"/><s v="additional_studies56_f"/><s v="additional_studies56_g"/><s v="additional_studies56_h"/><s v="additional_studies56_i"/><s v="additional_studies56_j"/><s v="additional_studies56_k"/><s v="additional_studies56_l"/><s v="additional_studies56_m"/><s v="additional_studies57"/><s v="additional_studies57_b"/><s v="additional_studies57_c"/><s v="additional_studies57_d"/><s v="additional_studies84"/><s v="additional_studies84_b"/><s v="additional_studies84_c"/><s v="additional_studies84_d"/><s v="additional_studies84_e"/><s v="additional_studies84_f"/><s v="additional_studies84_g"/><s v="additional_studies84_h"/><s v="additional_studies84_i"/><s v="additional_studies58"/><s v="additional_studies58_b"/><s v="additional_studies58_c"/><s v="additional_studies58_d"/><s v="additional_studies58_e"/><s v="additional_studies58_f"/><s v="additional_studies61"/><s v="additional_studies61_b"/><s v="additional_studies61_c"/><s v="additional_studies61_d"/><s v="additional_studies61_e"/><s v="additional_studies64"/><s v="additional_studies64_b"/><s v="additional_studies64_c"/><s v="additional_studies64_d"/><s v="additional_studies64_e"/><s v="additional_studies64_f"/><s v="additional_studies73"/><s v="additional_studies76"/><s v="additional_studies76_b"/><s v="additional_studies79"/><s v="additional_studies79_b"/><s v="additional_studies79_c"/><s v="additional_studies81"/><s v="additional_studies81_b"/><s v="additional_studies81_c"/><s v="additional_studies81_d"/><s v="additional_studies83"/><s v="additional_studies83_b"/><s v="additional_studies83_c"/><s v="additional_studies59"/><s v="additional_studies59_b"/><s v="additional_studies6"/><s v="additional_studies6_a"/><s v="additional_studies6_b"/><s v="additional_studies6_c"/><s v="additional_studies6_d"/><s v="additional_studies6_e"/><s v="additional_studies6_f"/><s v="additional_studies60"/><s v="additional_studies60_b"/><s v="additional_studies62"/><s v="additional_studies62_a"/><s v="additional_studies62_b"/><s v="additional_studies62_c"/><s v="additional_studies62_d"/><s v="additional_studies62_e"/><s v="additional_studies62_f"/><s v="additional_studies63"/><s v="additional_studies63_b"/><s v="additional_studies63_c"/><s v="additional_studies63_d"/><s v="additional_studies65"/><s v="additional_studies65_a"/><s v="additional_studies65_b"/><s v="additional_studies65_c"/><s v="additional_studies65_d"/><s v="additional_studies65_e"/><s v="additional_studies65_f"/><s v="additional_studies65_g"/><s v="additional_studies65_h"/><s v="additional_studies65_i"/><s v="additional_studies65_j"/><s v="additional_studies65_k"/><s v="additional_studies66"/><s v="additional_studies66_a"/><s v="additional_studies66_b"/><s v="additional_studies66_c"/><s v="additional_studies67"/><s v="additional_studies67_a"/><s v="additional_studies67_b"/><s v="additional_studies67_c"/><s v="additional_studies68"/><s v="additional_studies68_b"/><s v="additional_studies68_c"/><s v="additional_studies69"/><s v="additional_studies7_a"/><s v="additional_studies7_b"/><s v="additional_studies7_c"/><s v="additional_studies70"/><s v="additional_studies71"/><s v="additional_studies72"/><s v="additional_studies74_a"/><s v="additional_studies74_b"/><s v="additional_studies74_c"/><s v="additional_studies74"/><s v="additional_studies75"/><s v="additional_studies77"/><s v="additional_studies78"/><s v="additional_studies8"/><s v="additional_studies80"/><s v="additional_studies82"/><s v="additional_studies85_a"/><s v="additional_studies85_b"/><s v="additional_studies85_c"/><s v="additional_studies85_d"/><s v="additional_studies85_e"/><s v="additional_studies85_f"/><s v="additional_studies85_g"/><s v="additional_studies85_h"/><s v="additional_studies85_i"/><s v="additional_studies85_j"/><s v="additional_studies85_k"/><s v="additional_studies85_l"/><s v="additional_studies85_m"/><s v="additional_studies85_n"/><s v="additional_studies86_a"/><s v="additional_studies86_b"/><s v="additional_studies86_c"/><s v="additional_studies86_d"/><s v="additional_studies86_e"/><s v="additional_studies86_f"/><s v="additional_studies86"/><s v="additional_studies87"/><s v="additional_studies88_a"/><s v="additional_studies88_b"/><s v="additional_studies88_c"/><s v="additional_studies88_d"/><s v="additional_studies88_e"/><s v="additional_studies88_f"/><s v="additional_studies89"/><s v="additional_studies9_a"/><s v="additional_studies9_b"/><s v="additional_studies9_c"/><s v="additional_studies90_a"/><s v="additional_studies90_a1"/><s v="additional_studies90_b"/><s v="additional_studies90_b1"/><s v="additional_studies90_c"/><s v="additional_studies90_c1"/><s v="additional_studies90_d"/><s v="additional_studies90_d1"/><s v="additional_studies90_e"/><s v="additional_studies90_e1"/><s v="additional_studies90_f"/><s v="additional_studies90_f1"/><s v="additional_studies90_g"/><s v="additional_studies90_g1"/><s v="additional_studies90_h"/><s v="additional_studies90_i"/><s v="additional_studies90_j"/><s v="additional_studies90_k"/><s v="additional_studies90_l"/><s v="additional_studies90_m"/><s v="additional_studies90_n"/><s v="additional_studies90_o"/><s v="additional_studies90_p"/><s v="additional_studies90_q"/><s v="additional_studies90_r"/><s v="additional_studies90_s"/><s v="additional_studies90_t"/><s v="additional_studies90_u"/><s v="additional_studies90_v"/><s v="additional_studies90_x"/><s v="additional_studies90_y"/><s v="additional_studies90_z"/><s v="additional_studies90"/><s v="additional_studies91"/><s v="additional_studies92"/><s v="additional_studies93_a"/><s v="additional_studies93_b"/><s v="additional_studies93_c"/><s v="additional_studies93_d"/><s v="additional_studies93_e"/><s v="additional_studies93_f"/><s v="additional_studies93_g"/><s v="additional_studies93_h"/><s v="additional_studies93_i"/><s v="additional_studies94"/><s v="additional_studies94_1"/><s v="additional_studies94_1a"/><s v="additional_studies94_2a"/><s v="additional_studies94_2b"/><s v="additional_studies94_3"/><s v="additional_studies94_5a"/><s v="additional_studies94_5b"/><s v="additional_studies94_5c"/><s v="additional_studies94_5d"/><s v="additional_studies94_b"/><s v="additional_studies95_c"/><s v="additional_studies96_d"/><s v="additional_studies99_e"/><s v="additional_studies99_f"/><s v="additional_studies99_g"/><s v="Boyce_etal20231_1"/><s v="Boyce_etal20231"/><s v="Boyce_etal202310_1"/><s v="Boyce_etal202310"/><s v="Boyce_etal2023100_1"/><s v="Boyce_etal2023100"/><s v="Boyce_etal2023101_1"/><s v="Boyce_etal2023101"/><s v="Boyce_etal2023102_1"/><s v="Boyce_etal2023102"/><s v="Boyce_etal2023103_1"/><s v="Boyce_etal2023103_a"/><s v="Boyce_etal2023103_b"/><s v="Boyce_etal2023103_c"/><s v="Boyce_etal2023103_d"/><s v="Boyce_etal2023103_e"/><s v="Boyce_etal2023103_f"/><s v="Boyce_etal2023103_g"/><s v="Boyce_etal2023104_1"/><s v="Boyce_etal2023104_a"/><s v="Boyce_etal2023104_b"/><s v="Boyce_etal2023105_1"/><s v="Boyce_etal2023105"/><s v="Boyce_etal2023106_1"/><s v="Boyce_etal2023106_a"/><s v="Boyce_etal2023106_b"/><s v="Boyce_etal2023106_c"/><s v="Boyce_etal2023106_d"/><s v="Boyce_etal2023106_e"/><s v="Boyce_etal2023106_f"/><s v="Boyce_etal2023107_1"/><s v="Boyce_etal2023107"/><s v="Boyce_etal2023108_1"/><s v="Boyce_etal2023108"/><s v="Boyce_etal2023109_1"/><s v="Boyce_etal2023109_1_a"/><s v="Boyce_etal2023109_1_b"/><s v="Boyce_etal2023109_1_c"/><s v="Boyce_etal2023109_1_d"/><s v="Boyce_etal2023109_1_e"/><s v="Boyce_etal2023109_1_f"/><s v="Boyce_etal202311_1"/><s v="Boyce_etal202311"/><s v="Boyce_etal2023110_1_a"/><s v="Boyce_etal2023110_1_b"/><s v="Boyce_etal2023110_1_c"/><s v="Boyce_etal2023110_1_d"/><s v="Boyce_etal2023110_1_e"/><s v="Boyce_etal2023111_1"/><s v="Boyce_etal2023111_1_f"/><s v="Boyce_etal2023111_1_g"/><s v="Boyce_etal2023111_1_h"/><s v="Boyce_etal2023111_1_i"/><s v="Boyce_etal2023111_1_j"/><s v="Boyce_etal2023112_1"/><s v="Boyce_etal2023112"/><s v="Boyce_etal2023113_1"/><s v="Boyce_etal2023113_a"/><s v="Boyce_etal2023113_b"/><s v="Boyce_etal2023114_1"/><s v="Boyce_etal2023114"/><s v="Boyce_etal2023114_b"/><s v="Boyce_etal2023114_c"/><s v="Boyce_etal2023115_1"/><s v="Boyce_etal2023115"/><s v="Boyce_etal2023116_1_b"/><s v="Boyce_etal2023116_1_d"/><s v="Boyce_etal2023116_1_c"/><s v="Boyce_etal2023116_1"/><s v="Boyce_etal2023116"/><s v="Boyce_etal2023116_1_e"/><s v="Boyce_etal2023117_a"/><s v="Boyce_etal2023117_b"/><s v="Boyce_etal2023117_c"/><s v="Boyce_etal2023118"/><s v="Boyce_etal2023119"/><s v="Boyce_etal202312_1"/><s v="Boyce_etal202312"/><s v="Boyce_etal2023120"/><s v="Boyce_etal2023121_1"/><s v="Boyce_etal2023121_1_a"/><s v="Boyce_etal2023121_1_b"/><s v="Boyce_etal2023121_1_c"/><s v="Boyce_etal2023121_1_d"/><s v="Boyce_etal2023121_1_e"/><s v="Boyce_etal2023121_1_f"/><s v="Boyce_etal2023122_1"/><s v="Boyce_etal2023122"/><s v="Boyce_etal2023123_1"/><s v="Boyce_etal2023123_1_a"/><s v="Boyce_etal2023123_1_b"/><s v="Boyce_etal2023123_1_c"/><s v="Boyce_etal2023123_1_d"/><s v="Boyce_etal2023123_1_e"/><s v="Boyce_etal2023124_1"/><s v="Boyce_etal2023124"/><s v="Boyce_etal2023125_1"/><s v="Boyce_etal2023125_1_a"/><s v="Boyce_etal2023125_1_b"/><s v="Boyce_etal2023125_1_c"/><s v="Boyce_etal2023126_1"/><s v="Boyce_etal2023126"/><s v="Boyce_etal2023127_1"/><s v="Boyce_etal2023127_1_a"/><s v="Boyce_etal2023127_1_b"/><s v="Boyce_etal2023127_1_c"/><s v="Boyce_etal2023128_1"/><s v="Boyce_etal2023128_1_a"/><s v="Boyce_etal2023128_1_b"/><s v="Boyce_etal2023128_1_c"/><s v="Boyce_etal2023128_1_d"/><s v="Boyce_etal2023128_1_e"/><s v="Boyce_etal2023128_1_f"/><s v="Boyce_etal2023128_1_g"/><s v="Boyce_etal2023128_1_h"/><s v="Boyce_etal2023128_1_i"/><s v="Boyce_etal2023128_1_j"/><s v="Boyce_etal2023129_1"/><s v="Boyce_etal2023129_1_a"/><s v="Boyce_etal2023129_1_b"/><s v="Boyce_etal2023129_1_c"/><s v="Boyce_etal202313_1"/><s v="Boyce_etal202313"/><s v="Boyce_etal2023130_1"/><s v="Boyce_etal2023130"/><s v="Boyce_etal2023131_1"/><s v="Boyce_etal2023131"/><s v="Boyce_etal2023132_1"/><s v="Boyce_etal2023132"/><s v="Boyce_etal2023133_1"/><s v="Boyce_etal2023133"/><s v="Boyce_etal2023134_1"/><s v="Boyce_etal2023134"/><s v="Boyce_etal2023135_1"/><s v="Boyce_etal2023135"/><s v="Boyce_etal2023136"/><s v="Boyce_etal2023137_1"/><s v="Boyce_etal2023137_1_c"/><s v="Boyce_etal2023137"/><s v="Boyce_etal2023138_1_a"/><s v="Boyce_etal2023137_1_b"/><s v="Boyce_etal2023138_1_b"/><s v="Boyce_etal2023138_1_c"/><s v="Boyce_etal2023138_1_d"/><s v="Boyce_etal2023138_1_e"/><s v="Boyce_etal2023137_1_d"/><s v="Boyce_etal2023138_1_f"/><s v="Boyce_etal2023137_1_e"/><s v="Boyce_etal2023138_1_g"/><s v="Boyce_etal2023137_1_f"/><s v="Boyce_etal2023138_1_h"/><s v="Boyce_etal2023137_1_g"/><s v="Boyce_etal2023138_1_i"/><s v="Boyce_etal2023137_1_h"/><s v="Boyce_etal2023138_1_j"/><s v="Boyce_etal2023139_1"/><s v="Boyce_etal2023139_1_a"/><s v="Boyce_etal2023139_1_b"/><s v="Boyce_etal2023139_1_c"/><s v="Boyce_etal202314_1_a"/><s v="Boyce_etal202314_1_d"/><s v="Boyce_etal2023140_1"/><s v="Boyce_etal2023140_1_a"/><s v="Boyce_etal2023140_1_b"/><s v="Boyce_etal2023140_1_c"/><s v="Boyce_etal2023141_1"/><s v="Boyce_etal2023141"/><s v="Boyce_etal2023141_1_b"/><s v="Boyce_etal2023142_1"/><s v="Boyce_etal2023142"/><s v="Boyce_etal2023143_1"/><s v="Boyce_etal2023143_1_a"/><s v="Boyce_etal2023143_1_b"/><s v="Boyce_etal2023143_1_c"/><s v="Boyce_etal2023143_1_d"/><s v="Boyce_etal2023143_1_e"/><s v="Boyce_etal2023144_1"/><s v="Boyce_etal2023144"/><s v="Boyce_etal2023145_1"/><s v="Boyce_etal2023145"/><s v="Boyce_etal2023146_1"/><s v="Boyce_etal2023146_1_b"/><s v="Boyce_etal2023146_1_a"/><s v="Boyce_etal2023146_1_c"/><s v="Boyce_etal2023146_1_d"/><s v="Boyce_etal2023147"/><s v="Boyce_etal2023148_1"/><s v="Boyce_etal2023148_1_a"/><s v="Boyce_etal2023148_1_b"/><s v="Boyce_etal2023148_1_c"/><s v="Boyce_etal2023148_1_d"/><s v="Boyce_etal2023148_1_e"/><s v="Boyce_etal2023148_1_f"/><s v="Boyce_etal2023149_1"/><s v="Boyce_etal2023149"/><s v="Boyce_etal202315_1"/><s v="Boyce_etal202315"/><s v="Boyce_etal2023150_1"/><s v="Boyce_etal2023150_1_a"/><s v="Boyce_etal2023150_1_b"/><s v="Boyce_etal2023150_1_c"/><s v="Boyce_etal2023150_1_d"/><s v="Boyce_etal2023150_1_e"/><s v="Boyce_etal2023151_1"/><s v="Boyce_etal2023151"/><s v="Boyce_etal2023151_1_b"/><s v="Boyce_etal2023152_1"/><s v="Boyce_etal2023152"/><s v="Boyce_etal2023153_1"/><s v="Boyce_etal2023153"/><s v="Boyce_etal2023154_1"/><s v="Boyce_etal2023154"/><s v="Boyce_etal2023154_1_b"/><s v="Boyce_etal2023154_1_c"/><s v="Boyce_etal2023155_1"/><s v="Boyce_etal2023155"/><s v="Boyce_etal2023156_1"/><s v="Boyce_etal2023156"/><s v="Boyce_etal2023157"/><s v="Boyce_etal2023156_1_b"/><s v="Boyce_etal2023158_1"/><s v="Boyce_etal2023158"/><s v="Boyce_etal2023158_a"/><s v="Boyce_etal2023159_1"/><s v="Boyce_etal2023159"/><s v="Boyce_etal202316_1"/><s v="Boyce_etal202316_1_b"/><s v="Boyce_etal202316"/><s v="Boyce_etal2023160_1"/><s v="Boyce_etal2023160_1_a"/><s v="Boyce_etal2023160_1_b"/><s v="XPHI1"/><s v="Boyce_etal2023160_1_c"/><s v="XPHI11"/><s v="Boyce_etal2023161_1"/><s v="Boyce_etal2023161"/><s v="Boyce_etal2023162_1"/><s v="Boyce_etal2023162"/><s v="Boyce_etal2023163_1"/><s v="Boyce_etal2023163"/><s v="Boyce_etal2023164_1"/><s v="Boyce_etal2023164"/><s v="Boyce_etal2023164_b"/><s v="Boyce_etal2023165_1"/><s v="Boyce_etal2023165"/><s v="Boyce_etal2023166_1"/><s v="Boyce_etal2023166"/><s v="Boyce_etal2023166_b"/><s v="Boyce_etal2023166_c"/><s v="Boyce_etal2023167"/><s v="Boyce_etal2023168_1"/><s v="Boyce_etal2023168"/><s v="Boyce_etal2023169_1"/><s v="Boyce_etal2023169"/><s v="Boyce_etal2023169_a"/><s v="Boyce_etal202317"/><s v="Boyce_etal2023170_1"/><s v="Boyce_etal2023170"/><s v="Boyce_etal2023171_1"/><s v="Boyce_etal2023171"/><s v="Boyce_etal2023172_1"/><s v="Boyce_etal2023172_1_a"/><s v="Boyce_etal2023172_1_b"/><s v="Boyce_etal2023173_1"/><s v="Boyce_etal2023173_1_a"/><s v="Boyce_etal2023173_1_b"/><s v="Boyce_etal2023173_1_c"/><s v="Boyce_etal2023173_1_d"/><s v="Boyce_etal2023173_1_e"/><s v="Boyce_etal2023173_1_f"/><s v="Boyce_etal2023173_1_g"/><s v="Boyce_etal2023173_1_h"/><s v="Boyce_etal2023173_1_i"/><s v="Boyce_etal2023173_1_j"/><s v="Boyce_etal2023173_1_k"/><s v="Boyce_etal2023173_1_l"/><s v="Boyce_etal2023173_1_m"/><s v="Boyce_etal2023173_1_n"/><s v="Boyce_etal2023174_1"/><s v="Boyce_etal2023174_1_a"/><s v="Boyce_etal2023174_1_b"/><s v="Boyce_etal2023174_1_c"/><s v="Boyce_etal2023174_1_d"/><s v="Boyce_etal2023174_1_e"/><s v="Boyce_etal2023175_1"/><s v="Boyce_etal2023175_1_a"/><s v="Boyce_etal2023175_1_b"/><s v="Boyce_etal2023175_1_c"/><s v="Boyce_etal2023175_1_d"/><s v="Boyce_etal2023175_1_e"/><s v="Boyce_etal2023175_1_f"/><s v="Boyce_etal2023175_1_g"/><s v="Boyce_etal2023175_1_h"/><s v="Boyce_etal2023175_1_i"/><s v="Boyce_etal2023175_1_j"/><s v="Boyce_etal2023175_1_k"/><s v="Boyce_etal2023176"/><s v="Boyce_etal202318_1"/><s v="Boyce_etal202318"/><s v="Boyce_etal202318_b"/><s v="Boyce_etal202319_1"/><s v="Boyce_etal202319"/><s v="Boyce_etal202319_b"/><s v="Boyce_etal20232_1"/><s v="Boyce_etal20232"/><s v="Boyce_etal202320_1"/><s v="Boyce_etal202320"/><s v="Boyce_etal202321_1"/><s v="Boyce_etal202321_1_a"/><s v="Boyce_etal202321_1_b"/><s v="Boyce_etal202321_1_c"/><s v="Boyce_etal202321_1_d"/><s v="Boyce_etal202321_1_e"/><s v="Boyce_etal202321_1_f"/><s v="Boyce_etal202321_1_g"/><s v="Boyce_etal202322_1"/><s v="Boyce_etal202322"/><s v="Boyce_etal202323_1"/><s v="Boyce_etal202323"/><s v="Boyce_etal202324_1"/><s v="Boyce_etal202324"/><s v="Boyce_etal202325_1"/><s v="Boyce_etal202325"/><s v="Boyce_etal202325_b"/><s v="Boyce_etal202325_c"/><s v="Boyce_etal202326_1"/><s v="Boyce_etal202326"/><s v="Boyce_etal202327_1"/><s v="Boyce_etal202327"/><s v="Boyce_etal202328_1"/><s v="Boyce_etal202328"/><s v="Boyce_etal202329"/><s v="Boyce_etal202329_b"/><s v="Boyce_etal20233"/><s v="Boyce_etal20233_b"/><s v="Boyce_etal202330"/><s v="Boyce_etal202330_b"/><s v="Boyce_etal202330_c"/><s v="Boyce_etal202330_d"/><s v="Boyce_etal202331"/><s v="Boyce_etal202332"/><s v="Boyce_etal202333"/><s v="Boyce_etal202334"/><s v="Boyce_etal202335"/><s v="Boyce_etal202336"/><s v="Boyce_etal202337"/><s v="Boyce_etal202338"/><s v="Boyce_etal202338_b"/><s v="Boyce_etal202339"/><s v="Boyce_etal20234"/><s v="Boyce_etal202340"/><s v="Boyce_etal202340_b"/><s v="Boyce_etal202341"/><s v="Boyce_etal202341_b"/><s v="Boyce_etal202342"/><s v="Boyce_etal202343"/><s v="Boyce_etal202344"/><s v="Boyce_etal202345"/><s v="Boyce_etal202345_b"/><s v="Boyce_etal202346"/><s v="Boyce_etal202347"/><s v="Boyce_etal202348"/><s v="Boyce_etal202349"/><s v="Boyce_etal20235"/><s v="Boyce_etal202350"/><s v="Boyce_etal202351"/><s v="Boyce_etal202352"/><s v="Boyce_etal202353"/><s v="Boyce_etal202354"/><s v="Boyce_etal202355"/><s v="Boyce_etal202355_b"/><s v="Boyce_etal202356"/><s v="Boyce_etal202357"/><s v="Boyce_etal202358"/><s v="Boyce_etal202359"/><s v="Boyce_etal20236"/><s v="Boyce_etal202360"/><s v="Boyce_etal202361"/><s v="Boyce_etal202362"/><s v="Boyce_etal202363"/><s v="Boyce_etal202364"/><s v="Boyce_etal202365"/><s v="Boyce_etal202365_b"/><s v="Boyce_etal202365_c"/><s v="Boyce_etal202365_d"/><s v="Boyce_etal202366"/><s v="Boyce_etal202367"/><s v="Boyce_etal202368"/><s v="Boyce_etal202368_b"/><s v="Boyce_etal202369"/><s v="Boyce_etal20237"/><s v="Boyce_etal202370"/><s v="Boyce_etal202371"/><s v="Boyce_etal202372"/><s v="Boyce_etal202373"/><s v="Boyce_etal202374"/><s v="Boyce_etal202375"/><s v="Boyce_etal202375_b"/><s v="Boyce_etal202375_c"/><s v="Boyce_etal202376"/><s v="Boyce_etal202377"/><s v="Boyce_etal202378"/><s v="Boyce_etal202379"/><s v="Boyce_etal20238"/><s v="Boyce_etal20238_b"/><s v="Boyce_etal202380"/><s v="Boyce_etal202381"/><s v="Boyce_etal202382"/><s v="Boyce_etal202383"/><s v="Boyce_etal202384"/><s v="Boyce_etal202385"/><s v="Boyce_etal202386"/><s v="Boyce_etal202387"/><s v="Boyce_etal202388"/><s v="Boyce_etal202389"/><s v="Boyce_etal20239"/><s v="Boyce_etal202390"/><s v="Boyce_etal202391"/><s v="Boyce_etal202392"/><s v="Boyce_etal202393"/><s v="Boyce_etal202394"/><s v="Boyce_etal202395"/><s v="Boyce_etal202395_b"/><s v="Boyce_etal202395_c"/><s v="Boyce_etal202395_d"/><s v="Boyce_etal202395_e"/><s v="Boyce_etal202395_f"/><s v="Boyce_etal202396"/><s v="Boyce_etal202397"/><s v="Boyce_etal202398"/><s v="Boyce_etal202399"/><s v="bth36"/><s v="Camereretal2016_1"/><s v="Camereretal2016_10"/><s v="Camereretal2016_11"/><s v="Camereretal2016_12"/><s v="Camereretal2016_13"/><s v="Camereretal2016_14"/><s v="Camereretal2016_15"/><s v="Camereretal2016_16"/><s v="Camereretal2016_17"/><s v="Camereretal2016_18"/><s v="Camereretal2016_2"/><s v="Camereretal2016_3"/><s v="Camereretal2016_4"/><s v="Camereretal2016_5"/><s v="Camereretal2016_6"/><s v="Camereretal2016_7"/><s v="Camereretal2016_8"/><s v="Camereretal2016_9"/><s v="Camereretal2018_1_1"/><s v="Camereretal2018_10_1"/><s v="Camereretal2018_11_1"/><s v="Camereretal2018_12_1"/><s v="Camereretal2018_13_1"/><s v="Camereretal2018_14_1"/><s v="Camereretal2018_15_1"/><s v="Camereretal2018_16_1"/><s v="Camereretal2018_17_1"/><s v="Camereretal2018_18_1"/><s v="Camereretal2018_19_1"/><s v="Camereretal2018_2_1"/><s v="Camereretal2018_20_1"/><s v="Camereretal2018_21_1"/><s v="Camereretal2018_3_1"/><s v="Camereretal2018_4_1"/><s v="Camereretal2018_5_1"/><s v="Camereretal2018_6_1"/><s v="Camereretal2018_7_1"/><s v="Camereretal2018_8_1"/><s v="Camereretal2018_9_1"/><s v="curatescience10"/><s v="curatescience11"/><s v="curatescience12"/><s v="CORE_1"/><s v="CORE_1_b"/><s v="CORE_1_c"/><s v="CORE_1_d"/><s v="CORE_1_e"/><s v="CORE_1_f"/><s v="CORE_1_g"/><s v="CORE_1_h"/><s v="CORE_1_i"/><s v="CORE_1_j"/><s v="curatescience13"/><s v="curatescience14"/><s v="curatescience15"/><s v="curatescience15_b"/><s v="curatescience15_c"/><s v="curatescience16"/><s v="curatescience17"/><s v="curatescience18"/><s v="curatescience19"/><s v="curatescience20"/><s v="curatescience20_b"/><s v="curatescience20_c"/><s v="curatescience204_1"/><s v="curatescience204_2"/><s v="curatescience21"/><s v="curatescience22"/><s v="curatescience23"/><s v="curatescience24"/><s v="curatescience241_1"/><s v="curatescience241_2"/><s v="curatescience244_1"/><s v="curatescience244_2"/><s v="curatescience25"/><s v="curatescience25_b"/><s v="curatescience26"/><s v="curatescience27"/><s v="curatescience28"/><s v="curatescience283_1"/><s v="curatescience283_2"/><s v="curatescience29"/><s v="curatescience30"/><s v="curatescience31"/><s v="curatescience32"/><s v="curatescience32_b"/><s v="curatescience32_c"/><s v="curatescience320_1"/><s v="curatescience320_2"/><s v="curatescience33"/><s v="curatescience34"/><s v="curatescience35"/><s v="curatescience35_b"/><s v="curatescience36"/><s v="curatescience37"/><s v="curatescience38"/><s v="curatescience395_1"/><s v="curatescience395_1_b"/><s v="curatescience395_1_c"/><s v="curatescience395_1_d"/><s v="curatescience395_5"/><s v="curatescience40"/><s v="curatescience41"/><s v="curatescience42"/><s v="curatescience43"/><s v="curatescience44"/><s v="curatescience45"/><s v="curatescience46"/><s v="curatescience47"/><s v="curatescience48"/><s v="curatescience49"/><s v="curatescience50"/><s v="curatescience51"/><s v="curatescience52"/><s v="curatescience52_b"/><s v="curatescience53_b"/><s v="curatescience53_c"/><s v="curatescience53_d"/><s v="curatescience53_e"/><s v="curatescience53_f"/><s v="curatescience53_g"/><s v="curatescience53_h"/><s v="curatescience53_i"/><s v="curatescience53_j"/><s v="curatescience53_k"/><s v="curatescience53_l"/><s v="curatescience53_m"/><s v="curatescience53"/><s v="curatescience533_1"/><s v="curatescience533_2"/><s v="curatescience537_1"/><s v="curatescience537_2"/><s v="curatescience54"/><s v="curatescience54_b"/><s v="curatescience54_c"/><s v="curatescience55"/><s v="curatescience55_b"/><s v="curatescience55_c"/><s v="curatescience558_1"/><s v="curatescience558_2"/><s v="curatescience56"/><s v="curatescience56_b"/><s v="curatescience56_c"/><s v="curatescience57"/><s v="curatescience57_b"/><s v="curatescience578_1"/><s v="curatescience578_2"/><s v="curatescience58"/><s v="curatescience59"/><s v="curatescience599_1"/><s v="curatescience599_2"/><s v="curatescience600_1"/><s v="curatescience600_2"/><s v="curatescience620_1"/><s v="curatescience620_2"/><s v="curatescience641_1"/><s v="curatescience641_2"/><s v="curatescience7"/><s v="curatescience7_b"/><s v="curatescience7_c"/><s v="curatescience7_overall"/><s v="curatescience73_1"/><s v="curatescience73_2"/><s v="curatescience75_1"/><s v="curatescience75_2"/><s v="curatescience8"/><s v="curatescience8_b"/><s v="curatescience8_c"/><s v="curatescience86_1"/><s v="curatescience86_2"/><s v="curatescience9"/><s v="datareplicada10a"/><s v="datareplicada10"/><s v="datareplicada10_b"/><s v="datareplicada10_c"/><s v="datareplicada10_d"/><s v="datareplicada10b"/><s v="datareplicada10d"/><s v="datareplicada2"/><s v="datareplicada2_b"/><s v="datareplicada3"/><s v="datareplicada3_1_2_1"/><s v="datareplicada3_b"/><s v="datareplicada4"/><s v="datareplicada7"/><s v="datareplicada7a"/><s v="datareplicada7_b"/><s v="datareplicada7b"/><s v="datareplicada7_c"/><s v="datareplicada7c"/><s v="dqv9y"/><s v="dqv9y_b"/><s v="dqv9y_c"/><s v="e9d3k"/><s v="e9d3k_b"/><s v="e9d3k_c"/><s v="e9d3k_d"/><s v="e9d3k_e"/><s v="e9d3k_f"/><s v="e9d3k_g"/><s v="e9d3k_h"/><s v="e9d3k_i"/><s v="e9d3k_j"/><s v="e9d3k_k"/><s v="e9d3k_l"/><s v="e9d3k_m"/><s v="fmd75"/><s v="gh52k"/><s v="gh52k_b"/><s v="gh52k_c"/><s v="Holzmeisteretal2024_1"/><s v="Holzmeisteretal2024_10"/><s v="Holzmeisteretal2024_11"/><s v="Holzmeisteretal2024_12"/><s v="Holzmeisteretal2024_13"/><s v="Holzmeisteretal2024_14"/><s v="Holzmeisteretal2024_15"/><s v="Holzmeisteretal2024_16"/><s v="Holzmeisteretal2024_17"/><s v="Holzmeisteretal2024_18"/><s v="Holzmeisteretal2024_19"/><s v="Holzmeisteretal2024_2"/><s v="Holzmeisteretal2024_20"/><s v="Holzmeisteretal2024_21"/><s v="Holzmeisteretal2024_22"/><s v="Holzmeisteretal2024_23"/><s v="Holzmeisteretal2024_24"/><s v="Holzmeisteretal2024_25"/><s v="Holzmeisteretal2024_26"/><s v="Holzmeisteretal2024_3"/><s v="Holzmeisteretal2024_4"/><s v="Holzmeisteretal2024_5"/><s v="Holzmeisteretal2024_6"/><s v="Holzmeisteretal2024_7"/><s v="Holzmeisteretal2024_8"/><s v="Holzmeisteretal2024_9"/><s v="is1"/><s v="is2"/><s v="is3"/><s v="j8a4p"/><s v="j8a4p_composite"/><s v="j8a4p_dog"/><s v="j8a4p_kitten"/><s v="j8a4p_plane"/><s v="j8a4p_resume"/><s v="j8a4p_trolley"/><s v="j8a4p_wallet"/><s v="jcre_01"/><s v="jcre_01_a"/><s v="jcre_01_c2"/><s v="jcre_01_c2a"/><s v="jcre_01_c3"/><s v="jcre_01_c3a"/><s v="jcre_01_c6"/><s v="jcre_01_c6a"/><s v="jcre_01_d2"/><s v="jcre_01_d3"/><s v="jcre_01_d6"/><s v="jcre_01_g2"/><s v="jcre_01_g2a"/><s v="jcre_01_g3"/><s v="jcre_01_g3a"/><s v="jcre_01_g6"/><s v="jcre_01_g6a"/><s v="jcre_01_gt2"/><s v="jcre_01_gt2a"/><s v="jcre_01_gt3"/><s v="jcre_01_gt3a"/><s v="jcre_01_gt6"/><s v="jcre_01_gt6a"/><s v="jcre_01_h2"/><s v="jcre_01_h2a"/><s v="jcre_01_h3"/><s v="jcre_01_h3a"/><s v="jcre_01_h6"/><s v="jcre_01_h6a"/><s v="jcre_01_m2"/><s v="jcre_01_m2a"/><s v="jcre_01_m3"/><s v="jcre_01_m3a"/><s v="jcre_01_m6"/><s v="jcre_01_m6a"/><s v="jcre_01_mt2"/><s v="jcre_01_mt2a"/><s v="jcre_01_mt3"/><s v="jcre_01_mt3a"/><s v="jcre_01_mt6"/><s v="jcre_01_mt6a"/><s v="jcre_01_r2"/><s v="jcre_01_r3"/><s v="jcre_01_r6"/><s v="jcre_01_y2a"/><s v="jcre_01_y3a"/><s v="jcre_01_y6a"/><s v="jcre_01_yt2a"/><s v="jcre_01_yt3a"/><s v="jcre_01_yt6a"/><s v="jcre_02"/><s v="jcre_03"/><s v="jcre_04"/><s v="jcre_05"/><s v="jcre_06"/><s v="Manylabs2_01_1"/><s v="Manylabs2_01_1_b"/><s v="Manylabs2_01_1_c"/><s v="Manylabs2_02_1"/><s v="Manylabs2_02_b"/><s v="Manylabs2_02_c"/><s v="Manylabs2_03_1"/><s v="Manylabs2_03_1_b"/><s v="Manylabs2_04_1"/><s v="Manylabs2_05_1"/><s v="Manylabs2_06_1"/><s v="Manylabs2_06_1_b"/><s v="Manylabs2_07_1"/><s v="Manylabs2_07_1_b"/><s v="Manylabs2_07_1_c"/><s v="Manylabs2_10_1"/><s v="Manylabs2_10_1_b"/><s v="Manylabs2_10_1_c"/><s v="Manylabs2_11_1"/><s v="Manylabs2_12_1"/><s v="Manylabs2_12_1_b"/><s v="Manylabs2_13_1"/><s v="Manylabs2_14_1"/><s v="Manylabs2_15_1"/><s v="Manylabs2_15_1_b"/><s v="Manylabs2_15_1_c"/><s v="Manylabs2_15_1_d"/><s v="Manylabs2_15_1_e"/><s v="Manylabs2_16_1"/><s v="Manylabs2_17_1"/><s v="Manylabs2_18_1"/><s v="Manylabs2_18_1_b"/><s v="Manylabs2_19_1"/><s v="Manylabs2_20_1"/><s v="Manylabs2_21_1"/><s v="Manylabs2_22_1"/><s v="Manylabs2_22_1_b"/><s v="Manylabs2_23_1"/><s v="Manylabs2_24_1"/><s v="Manylabs2_25_1"/><s v="Manylabs2_26_1"/><s v="Manylabs2_27_1"/><s v="Manylabs2_27_1_b"/><s v="Manylabs2_27_1_c"/><s v="Manylabs2_28_1"/><s v="Manylabs2_8_1"/><s v="Manylabs2_8_1_b"/><s v="Manylabs2_9_1"/><s v="OpenMKT1"/><s v="OpenMKT1_b"/><s v="OpenMKT1_c"/><s v="OpenMKT1_d"/><s v="OpenMKT1_e"/><s v="OpenMKT1_f"/><s v="OpenMKT1_g"/><s v="OpenMKT1_h"/><s v="OpenMKT1_i"/><s v="OpenMKT1_j"/><s v="OpenMKT1_k"/><s v="OpenMKT1_l"/><s v="OpenMKT1_m"/><s v="OpenMKT10_1"/><s v="OpenMKT10_b"/><s v="OpenMKT10_c"/><s v="OpenMKT10"/><s v="OpenMKT11"/><s v="OpenMKT11_b"/><s v="OpenMKT11_c"/><s v="OpenMKT11_d"/><s v="OpenMKT11_e"/><s v="OpenMKT11_f"/><s v="OpenMKT11_g"/><s v="OpenMKT11_h"/><s v="OpenMKT11_i"/><s v="OpenMKT12"/><s v="OpenMKT12_b"/><s v="OpenMKT12_c"/><s v="OpenMKT12_d"/><s v="OpenMKT12_e"/><s v="OpenMKT12_f"/><s v="OpenMKT12_g"/><s v="OpenMKT12_h"/><s v="OpenMKT13"/><s v="OpenMKT13_b"/><s v="OpenMKT13_c"/><s v="OpenMKT14"/><s v="OpenMKT14_b"/><s v="OpenMKT14_c"/><s v="OpenMKT14_d"/><s v="OpenMKT14_e"/><s v="OpenMKT14_f"/><s v="OpenMKT14_g"/><s v="OpenMKT14_h"/><s v="OpenMKT15"/><s v="OpenMKT15_b"/><s v="OpenMKT15_c"/><s v="OpenMKT15_d"/><s v="OpenMKT15_e"/><s v="OpenMKT15_f"/><s v="OpenMKT15_g"/><s v="OpenMKT15_h"/><s v="OpenMKT16"/><s v="OpenMKT16_b"/><s v="OpenMKT16_c"/><s v="OpenMKT16_d"/><s v="OpenMKT16_e"/><s v="OpenMKT16_f"/><s v="OpenMKT16_g"/><s v="OpenMKT2_1"/><s v="OpenMKT2"/><s v="OpenMKT2_2"/><s v="OpenMKT2_b"/><s v="OpenMKT2_3"/><s v="OpenMKT2_c"/><s v="OpenMKT3_1"/><s v="OpenMKT3_b"/><s v="OpenMKT3_c"/><s v="OpenMKT3"/><s v="OpenMKT4"/><s v="OpenMKT5_1"/><s v="OpenMKT5_b"/><s v="OpenMKT5_c"/><s v="OpenMKT5_d"/><s v="OpenMKT5_e"/><s v="OpenMKT5_f"/><s v="OpenMKT5"/><s v="OpenMKT6_1"/><s v="OpenMKT6_b"/><s v="OpenMKT6"/><s v="OpenMKT7_1"/><s v="OpenMKT7_b"/><s v="OpenMKT7_c"/><s v="OpenMKT7_d"/><s v="OpenMKT7"/><s v="OpenMKT8_1"/><s v="OpenMKT8_b"/><s v="OpenMKT8_c"/><s v="OpenMKT8_d"/><s v="OpenMKT8_e"/><s v="OpenMKT8"/><s v="OpenMKT9_1"/><s v="OpenMKT9_b"/><s v="OpenMKT9"/><s v="osc20151"/><s v="osc201510"/><s v="osc2015104"/><s v="osc2015106"/><s v="osc2015107"/><s v="osc2015109"/><s v="osc201511"/><s v="osc2015110"/><s v="osc2015111"/><s v="osc2015112"/><s v="osc2015113"/><s v="osc2015114"/><s v="osc2015115"/><s v="osc2015116"/><s v="osc2015117"/><s v="osc2015118"/><s v="osc201512"/><s v="osc2015120"/><s v="osc2015121"/><s v="osc2015122"/><s v="osc2015123"/><s v="osc2015124"/><s v="osc2015126"/><s v="osc2015127"/><s v="osc2015129"/><s v="osc201513"/><s v="osc2015132"/><s v="osc2015133"/><s v="osc2015134"/><s v="osc2015135"/><s v="osc2015136"/><s v="osc2015139"/><s v="osc2015140"/><s v="osc2015142"/><s v="osc2015143"/><s v="osc2015145"/><s v="osc2015146"/><s v="osc2015148"/><s v="osc201515"/><s v="osc2015150"/><s v="osc2015151"/><s v="osc2015153"/><s v="osc2015154"/><s v="osc2015155"/><s v="osc2015158"/><s v="osc2015161"/><s v="osc2015165"/><s v="osc2015167"/><s v="osc201517"/><s v="osc201519"/><s v="osc20152"/><s v="osc201520"/><s v="osc201522"/><s v="osc201524"/><s v="osc201525"/><s v="osc201526"/><s v="osc201527"/><s v="osc201528"/><s v="osc201529"/><s v="osc20153"/><s v="osc201532"/><s v="osc201533"/><s v="osc201536"/><s v="osc201537"/><s v="osc201539"/><s v="osc20154"/><s v="osc201543"/><s v="osc201543_m"/><s v="osc201544"/><s v="osc201544_a"/><s v="osc201546"/><s v="osc201548"/><s v="osc201548_f"/><s v="osc201549"/><s v="osc20155"/><s v="osc201550"/><s v="osc201552"/><s v="osc201553"/><s v="osc201553_a"/><s v="osc201555"/><s v="osc201555_a"/><s v="osc201556"/><s v="osc201558"/><s v="osc201559"/><s v="osc20156"/><s v="osc201561"/><s v="osc201561_a"/><s v="osc201563"/><s v="osc201563_a"/><s v="osc201564"/><s v="osc201564_c"/><s v="osc201565"/><s v="osc201565_a"/><s v="osc201568"/><s v="osc201569"/><s v="osc201569_a"/><s v="osc20157"/><s v="osc201571"/><s v="osc201571_b"/><s v="osc201572"/><s v="osc201572_a"/><s v="osc201573"/><s v="osc201577"/><s v="osc201577_a"/><s v="osc20158"/><s v="osc201580"/><s v="osc201580_a"/><s v="osc201581"/><s v="osc201581_a"/><s v="osc201582"/><s v="osc201584"/><s v="osc201586"/><s v="osc201586_a"/><s v="osc201587"/><s v="osc201587_a"/><s v="osc201589"/><s v="osc201589_a"/><s v="osc20159"/><s v="osc201593"/><s v="osc201593_a"/><s v="osc201594"/><s v="osc201597"/><s v="osc201597_e"/><s v="q6tv8"/><s v="resciencex_01"/><s v="rtn9s"/><s v="soscisubmission1"/><s v="soscisubmission1_2"/><s v="soscisubmission10"/><s v="soscisubmission11"/><s v="soscisubmission13"/><s v="soscisubmission14a"/><s v="soscisubmission14b"/><s v="soscisubmission14c"/><s v="soscisubmission15"/><s v="soscisubmission15_b"/><s v="soscisubmission15_c"/><s v="soscisubmission18"/><s v="soscisubmission_b"/><s v="soscisubmission2_2"/><s v="soscisubmission_c"/><s v="soscisubmission3_1"/><s v="soscisubmission3_2"/><s v="soscisubmission3_3"/><s v="soscisubmission3_4"/><s v="soscisubmission34"/><s v="soscisubmission34_2_1"/><s v="soscisubmission34_2_2"/><s v="soscisubmission38"/><s v="soscisubmission38_1_1"/><s v="soscisubmission39"/><s v="soscisubmission41"/><s v="soscisubmission45"/><s v="soscisubmission46"/><s v="soscisubmission47"/><s v="soscisubmission47_b"/><s v="soscisubmission49"/><s v="soscisubmission47_c"/><s v="soscisubmission6"/><s v="soscisubmission6_1_2_1"/><s v="soscisubmission6_b"/><s v="soscisubmission7"/><s v="soscisubmission7_1_2_1"/><s v="soscisubmission7_1_2_2"/><s v="soscisubmission7_1_2_3"/><s v="soscisubmission7_1_2_4"/><s v="soscisubmission8"/><s v="soscisubmission8_1_1"/><s v="soscisubmission9"/><s v="svodevelopment"/><s v="svodevelopment2"/><s v="svodevelopment2_1i"/><s v="svodevelopment2_1j"/><s v="svodevelopment2_3"/><s v="svodevelopment2_3a"/><s v="svodevelopment2_3b"/><s v="svodevelopment2_3c"/><s v="svodevelopment2_3d"/><s v="svodevelopment2_3e"/><s v="svodevelopment2_3f"/><s v="svodevelopment2_3g"/><s v="svodevelopment2_1a"/><s v="svodevelopment2_3h"/><s v="svodevelopment2_3i"/><s v="svodevelopment2_4"/><s v="svodevelopment2_4a"/><s v="svodevelopment2_4b"/><s v="svodevelopment2_1b"/><s v="svodevelopment2_1c"/><s v="svodevelopment2_1d"/><s v="svodevelopment2_1e"/><s v="svodevelopment2_1f"/><s v="svodevelopment2_1g"/><s v="svodevelopment2_1h"/><s v="uxajg"/><s v="XPHI10"/><s v="XPHI11_b"/><s v="XPHI12"/><s v="XPHI13"/><s v="XPHI14"/><s v="XPHI15"/><s v="XPHI15_b"/><s v="XPHI15_c"/><s v="XPHI15_d"/><s v="XPHI15_e"/><s v="XPHI16"/><s v="XPHI17"/><s v="XPHI18"/><s v="XPHI19"/><s v="XPHI2"/><s v="XPHI20"/><s v="XPHI20_b"/><s v="XPHI21"/><s v="XPHI22"/><s v="XPHI23"/><s v="XPHI24"/><s v="XPHI25"/><s v="XPHI26"/><s v="XPHI26_b"/><s v="XPHI26_c"/><s v="XPHI26_d"/><s v="XPHI26_e"/><s v="XPHI26_f"/><s v="XPHI26_g"/><s v="XPHI27"/><s v="XPHI28"/><s v="XPHI29"/><s v="XPHI29_b"/><s v="XPHI3"/><s v="XPHI30"/><s v="XPHI31"/><s v="XPHI32"/><s v="XPHI32_b"/><s v="XPHI32_c"/><s v="XPHI32_d"/><s v="XPHI32_e"/><s v="XPHI32_f"/><s v="XPHI32_g"/><s v="XPHI33"/><s v="XPHI33_b"/><s v="XPHI33_c"/><s v="XPHI33_d"/><s v="XPHI33_e"/><s v="XPHI34"/><s v="XPHI35"/><s v="XPHI35_b"/><s v="XPHI35_c"/><s v="XPHI36"/><s v="XPHI37"/><s v="XPHI38"/><s v="XPHI38_b"/><s v="XPHI39"/><s v="XPHI39_b"/><s v="XPHI39_c"/><s v="XPHI4"/><s v="XPHI40"/><s v="XPHI40_b"/><s v="XPHI5"/><s v="XPHI5_b"/><s v="XPHI5_c"/><s v="XPHI5_d"/><s v="XPHI6"/><s v="XPHI7"/><s v="XPHI8"/><s v="XPHI9"/><s v="soscisubmission14c_b"/><s v="soscisubmission14c_c"/><s v="soscisubmission13_b"/><s v="soscisubmission41_b"/><s v="soscisubmission41_c"/><s v="soscisubmission11_b"/><s v="soscisubmission46_b"/><s v="curatescience46_b"/><s v="Soto"/></sharedItems></cacheField><cacheField name="contributors" numFmtId="0"><sharedItems containsBlank="1"><s v="*Add* your name when you edit the row"/><s v="Kateri McRae, Daniel Lumian, Mallory C. Kidwell, Johanna Cohoon, Lilian Hummer"/><s v="Kateri McRae, Daniel Lumian, Mallory C. Kidwell, Johanna Cohoon, Lilian Hummer, Jyoti Bhogal"/><s v="Nikita"/><s v="Husnain"/><s v="Kateri McRae, Mallory C. Kidwell, Johanna Cohoon, Daniel Lumian, Lilian Hummer, TESS-Experiments"/><s v="Kateri McRae, Mallory C. Kidwell, Johanna Cohoon, Daniel Lumian, Lilian Hummer, TESS-Experiments, Jyoti Bhogal"/><s v="Nikolay Petrov"/><s v="Hakile Resulbegoviq"/><s v="SAJ"/><s v="Aleksandr Pravednikov"/><s v="Daniel Manrique-Castano"/><s v="Julia Fabienne Sandkühler"/><s v="Hakile"/><s v="Antony Casula"/><s v="Vidhi"/><s v="LR"/><s v="LR, RB"/><s v="Daniel"/><s v="Roksana Sobolak"/><s v="Mariem_Younssi"/><s v="Mariem Younssi"/><s v="LR, Roksana Sobolak"/><s v="Daniel Manrique-Castano Manrique-Castano"/><m/><s v="LR, Thomas Miller"/><s v="LR, RS"/><s v="LR,  Corinna Gemmecke"/><s v="Maria Stogianni"/><s v="LR, DM-R"/><s v="LR, Corinna Gemmecke"/><s v="RS"/><s v="LR, Teshome"/><s v="LR, AD"/><s v="Merged"/><s v="Corinna Gemmecke"/><s v="Maureen Osano"/><s v="Sarah Ashcroft-Jones"/><s v="Lukas Röseler, Sarah Ashcroft-Jones"/><s v="RB"/><s v="RL"/><s v="Husnain Raza"/><s v="which study in replication is supposed to replicate the egodepletion effect? Jyoti Bhogal"/><s v="Jyoti Bhogal"/><s v="DM-R"/><s v="Maureen"/><s v="Diego Manriquez-Robles"/><s v="Teshome Kebede Deressa"/><s v="Roksana"/><s v="Becker, Ray"/><s v="Kaiser, Leonard, Roksana"/><s v="Kaiser, Leonard"/><s v="Nikita Otstavnov"/><s v="Kasia Banas"/><s v="Kasia Banas, Jyoti Bhogal"/><s v="Jarret Crawford"/><s v="Jarret Crawford, Jyoti Bhogal"/><s v="Lukas Röseler, Astrid Schütz, Evgenia Burlakovas, Marieluisa Dück, Sabine Fels, Sophie Janiczek , Jana Kupfer, Elena Prinz, Sarah Wieczorek, Christian Seida, Roksana Sobolak"/><s v="Lukas Röseler, Astrid Schütz, Evgenia Burlakovas, Marieluisa Dück, Sabine Fels, Sophie Janiczek , Jana Kupfer, Elena Prinz, Sarah Wieczorek, Christian Seida, Thomas Miller"/><s v="Wolf, Röseler, Leder, Schütz"/><s v="Kaiser, Leonard; Osano, Maureen"/><s v="van Rijn, Corinna Gemmecke"/><s v="Shaki, Corinna Gemmecke"/><s v="Foster, Corinna Gemmecke"/><s v="Fitneva, Corinna Gemmecke"/><s v="Prenoveau, Corinna Gemmecke"/><s v="Bosco, Corinna Gemmecke"/><s v="Bosco"/><s v="Munafo, Corinna Gemmecke"/><s v="Chandler, Corinna Gemmecke"/><s v="Saxe, Corinna Gemmecke"/><s v="Lassetter, Corinna Gemmecke"/><s v="Vasquez, Corinna Gemmecke"/><s v="Brown, Corinna Gemmecke"/><s v="Vanpaemel, Corinna Gemmecke"/><s v="Barnett Cowan, Corinna Gemmecke"/><s v="Osborne, Corinna Gemmecke"/><s v="Bell, Corinna Gemmecke"/><s v="Lewis, Corinna Gemmecke"/><s v="Beer, Corinna Gemmecke"/><s v="Schlegelmilch, Corinna Gemmecke"/><s v="Stieger, Corinna Gemmecke"/><s v="Levitan, Corinna Gemmecke"/><s v="Lai, Corinna Gemmecke"/><s v="Ricker, Corinna Gemmecke"/><s v="Jonas, Corinna Gemmeck"/><s v="Jonas"/><s v="Renkewitz, Corinna Gemmecke"/><s v="Seibel, Corinna Gemmecke"/><s v="Cohn, Corinna Gemmecke"/><s v="Giner-Sorolla"/><s v="Snyder, Corinna Gemmecke"/><s v="Snyder"/><s v="Joy Gaba, Corinna Gemmecke"/><s v="Masicampo, Corinna Gemmecke"/><s v="Masicampo"/><s v="Sandstrom, Corinna Gemmecke"/><s v="Thomae, Corinna Gemmecke"/><s v="Melinger, Corinna Gemmecke"/><s v="Frazier, Corinna Gemmecke"/><s v="Cloud, Corinna Gemmecke"/><s v="Dorrough, Roksana"/><s v="Cheung, Roksana"/><s v="Saxe, Roksana"/><s v="Saxe"/><s v="Lazarevic, Roksana"/><s v="Levitan, Roksana"/><s v="Perugini, Roksana"/><s v="Cramblet Alvarez, Roksana"/><s v="Fuchs, Roksana"/><s v="Renkewitz, Roksana"/><s v="Gloeckner, Roksana"/><s v="Neijenhuijs, Roksana"/><s v="Goodbourn, Roksana"/><s v="Fiedler, Roksana"/><s v="Kappes, Roksana"/><s v="Hung, Roksana"/><s v="Roebke, Roksana"/><s v="Lai, Reynolds, Roksana"/><s v="Chartier, Roksana"/><s v="Galak, Roksana"/><s v="Ostkamp, Roksana"/><s v="Plessow, Roksana"/><s v="Renkewitz"/><s v="Jahn, Roksana"/><s v="Moore, Roksana"/><s v="Moore"/><s v="Forsell, Roksana"/><s v="Callahan, Roksana"/><s v="Holubar, Roksana"/><s v="Vianello, Roksana"/><s v="Soderberg, Roksans"/><s v="Soderberg"/><s v="Wissink, Roksana"/><s v="Kim, Roksana"/><s v="Kim"/><s v="Lakens, Roksana"/><s v="Sonnleitner, Roksna"/><s v="Brown, Roksana"/><s v="Graham, Roksana"/><s v="Gable, Roksana"/><s v="Slowik, Roksana"/><s v="Slowik"/><s v="Baranski, Roksana"/><s v="Baranski"/><s v="Marigold, Roksana"/><s v="Meixner, Roksana"/><s v="Talhelm, Roksana"/><s v="LeBel, Roksana"/><s v="Reinhard, Roksana"/><s v="Lin, Roksana"/><s v="Mathur, Roksana"/><s v="Sullivan, Roksana"/><s v="Kleinberg, Roksana"/><s v="Lemm, Roksana"/><s v="Motyl, Roksana"/><s v="Kidwell, Roksana"/><s v="Calhoun Sauls, Roksana"/><s v="Lane, Roksana"/><s v="Gilbert, Roksana"/><s v="Eggleston, Roksana"/><s v="Ratliff, Roksana"/><s v="Ratliff"/><s v="Galliani, Roksana"/><s v="Kelso, Roksana "/><s v="Selterman, Roksana "/><s v="Miller, Roksana"/><s v="Sinclair, Roksana"/><s v="Schmidt, Roksana"/><s v="Sanja Djordjević, Hans IJzerman"/><s v="Sanja Djordjević, Hans IJzerman, Jyoti Bhogal"/><s v="Röseler, Lukas, Roksana"/><s v="Gnambs, Timo; Osano, Maureen"/><s v="Rausch, Manuel; Osano, Maureen"/><s v="Genschow, Oliver; Osano, Maureen "/><s v="Pypno Katarzyna; Paruzel-Czachura Mariola; Maureen Osano"/><s v="Pypno Katarzyna; Paruzel-Czachura Mariola: Maureen Osano"/><s v="Holgado, Darías, Roksana"/><s v="Tobias Dienlin"/><s v="Röseler, Lukas"/><s v="Ross, Robert M., Roksana"/><s v="Hussey, Ian, Roksana"/><s v="Cummins, Jamie"/><s v="Vaughn, Leigh Ann; Osano, Maureen "/><s v="Thürmer, Lukas; Osano, Maureen"/><s v="Papenmeier, Frank; Rebholz, Tobias R.; Osano, Maureen"/><s v="Stietz, Julia; Osano, Maureen "/><s v="Stietz, Julia; Osano, Maureen"/><s v="Mahmoud Elsherif, Roksana"/><s v="Kulke, Louisa, Roksana"/><s v="Lou, Nigel Mantou, Roksana"/><s v="Teshome K. Deressa"/><s v="Yi Liu"/><s v="Papenmeier, Frank; Rebholz, Tobias R.: Osano, Maureen"/><s v="Kaiser, Leonard; Manriquez Robles, Diego"/></sharedItems></cacheField><cacheField name="date_entered"><sharedItems containsDate="1" containsBlank="1" containsMixedTypes="1"><s v="(dd/mm/yyyy)"/><s v="1.1.2023"/><d v="2023-07-01T00:00:00Z"/><d v="2024-12-12T00:00:00Z"/><d v="2024-12-15T00:00:00Z"/><d v="2023-09-01T00:00:00Z"/><d v="2024-12-13T00:00:00Z"/><d v="2024-05-15T00:00:00Z"/><m/><d v="2024-11-29T00:00:00Z"/><d v="2025-01-26T00:00:00Z"/><d v="2024-12-11T00:00:00Z"/><d v="2025-01-29T00:00:00Z"/><d v="2024-12-10T00:00:00Z"/><n v="45636.0"/><d v="2024-11-30T00:00:00Z"/><d v="2024-12-08T00:00:00Z"/><d v="2025-01-27T00:00:00Z"/><d v="2024-05-16T00:00:00Z"/><d v="2024-05-17T00:00:00Z"/><d v="2024-05-18T00:00:00Z"/><d v="2024-05-19T00:00:00Z"/><d v="2024-12-09T00:00:00Z"/><d v="2024-12-18T00:00:00Z"/><d v="2024-12-07T00:00:00Z"/><d v="2024-05-21T00:00:00Z"/><d v="2025-01-28T00:00:00Z"/><d v="2025-01-13T00:00:00Z"/><d v="2024-12-14T00:00:00Z"/><d v="2024-05-24T00:00:00Z"/><d v="2024-05-28T00:00:00Z"/><d v="2024-12-16T00:00:00Z"/><d v="2024-06-17T00:00:00Z"/><d v="2024-12-17T00:00:00Z"/><d v="2024-07-16T00:00:00Z"/><d v="2025-01-05T00:00:00Z"/><d v="2024-06-18T00:00:00Z"/><d v="2025-01-15T00:00:00Z"/><d v="2024-06-29T00:00:00Z"/><d v="2025-01-04T00:00:00Z"/><d v="2024-07-05T00:00:00Z"/><d v="2024-12-28T00:00:00Z"/><d v="2024-06-30T00:00:00Z"/><d v="2025-01-03T00:00:00Z"/><d v="2025-01-06T00:00:00Z"/><d v="2025-01-30T00:00:00Z"/><d v="2025-01-12T00:00:00Z"/><d v="2025-03-06T00:00:00Z"/><d v="2025-01-14T00:00:00Z"/><d v="2025-01-07T00:00:00Z"/><d v="2025-01-10T00:00:00Z"/><d v="2024-02-09T00:00:00Z"/><d v="2025-01-16T00:00:00Z"/><d v="2025-01-31T00:00:00Z"/><d v="2025-01-08T00:00:00Z"/><d v="2025-01-09T00:00:00Z"/><d v="2025-02-02T00:00:00Z"/><d v="2025-02-03T00:00:00Z"/><d v="2025-02-04T00:00:00Z"/><d v="2025-02-05T00:00:00Z"/><d v="2025-01-25T00:00:00Z"/><s v="1.3.2025"/><d v="2025-06-05T00:00:00Z"/><d v="2023-03-01T00:00:00Z"/><d v="2025-05-06T00:00:00Z"/><d v="2023-01-01T00:00:00Z"/><d v="2023-02-01T00:00:00Z"/><d v="2024-12-20T00:00:00Z"/><d v="2025-01-18T00:00:00Z"/><d v="2025-09-01T00:00:00Z"/><d v="2025-05-05T00:00:00Z"/><d v="2025-01-19T00:00:00Z"/><s v="25.2.2025"/><s v="26.2.2025"/><s v="21.2.2025"/><s v="22.2.2025"/><s v="2/24/2025"/><d v="2025-02-26T00:00:00Z"/><d v="2025-02-27T00:00:00Z"/><d v="2024-01-01T00:00:00Z"/><d v="2024-12-27T00:00:00Z"/><s v="2.3.2025"/><s v="07.04.2023"/><s v="28.08.2023"/><d v="2023-11-01T00:00:00Z"/><s v="29.08.2023"/><s v="27.02.2025"/><d v="2023-06-01T00:00:00Z"/><d v="2025-01-11T00:00:00Z"/><d v="2024-12-25T00:00:00Z"/><d v="2025-01-01T00:00:00Z"/><d v="2025-04-07T00:00:00Z"/><d v="2025-04-11T00:00:00Z"/><d v="2025-04-09T00:00:00Z"/><d v="2025-04-14T00:00:00Z"/><d v="2025-04-10T00:00:00Z"/><d v="2025-04-08T00:00:00Z"/><s v="15.1.2025"/><s v="1/31/2025"/><s v="31.01.205"/><d v="2025-01-02T00:00:00Z"/><d v="2023-03-06T17:32:29Z"/><d v="2025-02-25T00:00:00Z"/><s v="06.04.2023"/><s v="13.04.2023"/><d v="2023-03-06T17:38:04Z"/><d v="2023-03-06T17:42:56Z"/><s v="11.04.2023"/><s v="23.05.2023"/><s v="30.03.2023"/><s v="31.03.2023"/><s v="26.03.2024"/><s v="16.03.2025"/><s v="20.03.2025"/><s v="21.03.2025"/><s v="22.03.2025"/><s v="17.03.2025"/><s v="03.05.2023"/><d v="2025-01-17T00:00:00Z"/><s v="2.24.2025"/><s v="14/11/2023; 04/08/2025"/></sharedItems></cacheField><cacheField name="date_updated"><sharedItems containsDate="1" containsBlank="1" containsMixedTypes="1"><s v="(dd/mm/yyyy)"/><d v="2024-12-15T00:00:00Z"/><d v="2024-12-18T00:00:00Z"/><d v="2025-01-23T00:00:00Z"/><m/><d v="2025-01-06T00:00:00Z"/><d v="2024-11-28T00:00:00Z"/><d v="2024-11-29T00:00:00Z"/><d v="2025-01-26T00:00:00Z"/><d v="2025-02-04T00:00:00Z"/><d v="2025-01-22T00:00:00Z"/><n v="45679.0"/><d v="2024-11-30T00:00:00Z"/><d v="2025-01-27T00:00:00Z"/><d v="2025-01-20T00:00:00Z"/><d v="2024-12-13T00:00:00Z"/><d v="2025-04-25T00:00:00Z"/><d v="2025-01-13T00:00:00Z"/><d v="2025-05-09T00:00:00Z"/><d v="2025-01-28T00:00:00Z"/><d v="2025-04-28T00:00:00Z"/><d v="2025-05-05T00:00:00Z"/><d v="2024-12-07T00:00:00Z"/><d v="2024-12-10T00:00:00Z"/><d v="2024-12-14T00:00:00Z"/><d v="2014-12-10T00:00:00Z"/><d v="2024-12-08T00:00:00Z"/><d v="2024-12-12T00:00:00Z"/><d v="2024-12-16T00:00:00Z"/><d v="2024-12-06T00:00:00Z"/><d v="2025-01-14T00:00:00Z"/><d v="2025-01-05T00:00:00Z"/><d v="2024-12-17T00:00:00Z"/><d v="2025-01-24T00:00:00Z"/><d v="2025-01-04T00:00:00Z"/><d v="2025-01-16T00:00:00Z"/><d v="2025-01-15T00:00:00Z"/><d v="2024-12-28T00:00:00Z"/><d v="2025-02-03T00:00:00Z"/><d v="2025-02-07T00:00:00Z"/><d v="2025-01-03T00:00:00Z"/><d v="2025-01-31T00:00:00Z"/><d v="2025-01-30T00:00:00Z"/><d v="2024-12-09T00:00:00Z"/><d v="2024-12-11T00:00:00Z"/><d v="2025-03-06T00:00:00Z"/><d v="2025-01-08T00:00:00Z"/><d v="2025-01-10T00:00:00Z"/><d v="2025-01-09T00:00:00Z"/><s v="25.2.2025"/><s v="20.06.2025"/><d v="2025-01-17T00:00:00Z"/><d v="2025-01-19T00:00:00Z"/><d v="2025-09-01T00:00:00Z"/><d v="2025-03-20T00:00:00Z"/><d v="2025-03-24T00:00:00Z"/><d v="2025-04-11T00:00:00Z"/><d v="2025-04-14T00:00:00Z"/><d v="2025-04-18T00:00:00Z"/><d v="2025-02-25T00:00:00Z"/><d v="2025-03-25T00:00:00Z"/><d v="2025-02-24T00:00:00Z"/><d v="2025-03-31T00:00:00Z"/><d v="2025-02-05T00:00:00Z"/><d v="2025-05-16T00:00:00Z"/><d v="2025-05-23T00:00:00Z"/><d v="2025-03-18T00:00:00Z"/><d v="2025-02-06T00:00:00Z"/><d v="2025-04-15T00:00:00Z"/><d v="2025-04-16T00:00:00Z"/><d v="2025-04-17T00:00:00Z"/><d v="2025-02-22T00:00:00Z"/><d v="2025-06-19T00:00:00Z"/><d v="2025-06-20T00:00:00Z"/><d v="2025-06-25T00:00:00Z"/><d v="2025-06-24T00:00:00Z"/><s v="25.03.2025"/><d v="2025-02-28T00:00:00Z"/><d v="2025-01-29T00:00:00Z"/><d v="2025-03-11T00:00:00Z"/><s v="2.24.2025"/><d v="2025-04-30T00:00:00Z"/><d v="2025-05-30T00:00:00Z"/></sharedItems></cacheField><cacheField name="notes_coder" numFmtId="0"><sharedItems containsBlank="1"><s v="general data entry notes, e.g., re access issues or study selection"/><s v="coding tasks 2zgf9_1, bth36_1, and 7vgkq_1 are similar; the partial-eta squared reported in the replication paper of 0.226 is different from the value in OSF registries of 0.313, hence requires validation; Psychological science has not been listed as one "/><m/><s v="1. Values for the REPLICATION statistical inferences were taken from Files uploaded to OSF by a link: https://osf.io/39xuw/files/osfstorage. I merged them in the corresponding PDF"/><s v="1. The tags are not given explicitly so I have inferred from the introduction of orignal paper. 2. The effect size is not reprted in the orignal study while replication has reported it's own and the effect size of replication study the infered effect size"/><s v="original sample size is 42, but 1 was excluded afterwards (p. 137)"/><s v="informative failure to replicate"/><s v="Claim text_r We observe that, in terms of means, there are no great differences in interest according to the type of problem. For students intramathematical problems were the most interesting (Mi = 2.77, SDi = 1.25), followed by word problems (Mw = 2.75, "/><s v="this effect was not explored in the original paper"/><s v="Claim text_r Table 2 shows the average situational interest of 80 pre-service teachers according to the connection to the reality of the problems. We observe that, for pre-service teachers, word problems were the most interesting (Mw = 3.28, SDw = 1.22), "/><s v="The coding of this study was extremely challenging for me and I could not complete it. I feel that the replication study is extremely unclear in describing what effects they are trying to replicate. Although the replication article provides the informatio"/><s v="Claim text_r. Table 8, p. 14 Retrieval–induced inhibition: 1.02 (0.23), [...] Results of the current replication for the partial correlation analyses did not indicate statistically significant relationships, and effect sizes were small with 95% CIs crossi"/><s v="Claim text_r. Table 8, p. 14 ABX error (vowels) 19.2 (13.2) [...] Results of the current replication for the partial correlation analyses did not indicate statistically significant relationships, and effect sizes were small with 95% CIs crossing through z"/><s v="Claim text_r. Table 8, p. 14  Vowel production z score: –2.27 (0.85)[...] Results of the current replication for the partial correlation analyses did not indicate statistically significant relationships, and effect sizes were small with 95% CIs crossing t"/><s v="Claim text_r. Table 8, p. 14 Consonant production (max. 8): 4.50 (2.31) [...] Results of the current replication for the partial correlation analyses did not indicate statistically significant relationships, and effect sizes were small with 95% CIs crossi"/><s v="replication N refers to number of couples"/><s v="Sample sizes extracted from df. "/><s v="Replication might be preregistered, unclear. They mention that data exclusion was not preregistered, so they did not do it. However, I don't find a link to their preregistration."/><s v="1. In the orignal study, I have used claims from the page 1 because they were well summarised. However, I have reported results seprately for effect size and P value"/><s v="1. The initial registration of the protocol is under the link: https://osf.io/kqdpm&#xA;2. Since one-way rmANOVA was used, the Nested option is &quot;Yes&quot;&#xA;3. Degree of freedon for original study was calculated based on number of time measurements (4) and participa"/><s v="This is not a replication:&#xA;&#xA; original study relied on testing and neuropsychological performance (Visual Reproductions immediate recall/ Visual Reproductions delayed recall/ Verbal Paired Associates I /Verbal Paired Associates II/ Simple Reaction Time eff"/><s v="The replication study is not a true replication of the original study. The replication study performs an analysis of APOE ε4 and ε2 genes (an Alzheimer’s disease polygenic risk score) in post-traumatic stress. The original study does not deal with this. I"/><s v="Claim text_r. Hypothesis testing. Table 5 and Fig. 4 show the Cramer’s V correlations between the covariates and the selected media collection. The variance stems from the 60 different parameter combinations tested. According to Cohen [41, 42], a correlat"/><s v="The replication article is related to the original article. However, I do not believe that we can report a quantitative replication attempt. Although the original research article reports some rounded percentages for the use of communication media, I beli"/><s v="Did not include followup, which is present in replication but not the original. "/><s v="Follow up (2 to 5 weeks after intervention) of preceding row's effect (compared to baseline-pre intervention)"/><s v="I think some of the p-values might actually be &lt; and not = .001 as reported. Did not include followup, which is present in replication but not the original. "/><s v="The replication and original articles were extremely clear in their reporting of evaluated effects and effect sizes."/><s v="For statistics I used Conceptual replication, reduced sample, because it's closer to the original study in terms of compliance&#xA;Claim text_r. Results of the original try-out study and the conceptual replication are compared in Table 6. Intervention estimat"/><s v="For statistics I used Conceptual replication, reduced sample, because it's closer to the original study in terms of complia&#xA;Claim text_r. Results of the original try-out study and the conceptual replication are compared in Table 6. Intervention estimates "/><s v="The replication is clear on what affects is trying to replicate from the original research article. I reported as sample size the number of publication analized. Preregistration link says &quot;https://osf.io/yhk47&quot; but page cannot be found."/><s v="Claim text_r.  Years to publication, 2 years or less: Odds Ratio: 0.65, 95% CI: [0.38, 1.11], χ²(1), p: 1.35, .25&#xA;[...] Table 3, p.8 "/><s v="Claim text_r.  Years to publication, More than 2 years: Odds Ratio: 1.88, 95% CI: [1.22, 2.92]&#xA;[...] Table 3, p.8 "/><s v="Claim text_r. Sample size, &lt;79: Odds Ratio: 1.46, 95% CI: [1.00, 2.46], χ²(1), p: 6.15, .01&#xA;[...] Table 3, p.8 "/><s v="Claim text_r. Sample size, ≥79: Odds Ratio: 1.57, 95% CI: [0.90, 2.36]&#xA; Table 3, p.8 "/><s v="Claim text_r. Number of statistical tests, &lt;23: Odds Ratio: 1.16, 95% CI: [0.69, 2.00], χ²(1), p: 2.48, .12&#xA; [...] Table 3, p.8 "/><s v="Claim text_r. Number of statistical tests, ≥23: Odds Ratio: 1.43, 95% CI: [0.92, 2.22]&#xA; Table 3, p.8 "/><s v="Claim text_r. Type of outcome, Academic achievement: Odds Ratio: 2.27, 95% CI: [1.58, 3.26], χ²(1), p: 8.70, p&lt;.01&#xA; Table 3, p.8 "/><s v="Claim text_r. Type of outcome, Social-emotional/behavioral: Odds Ratio: 0.55, 95% CI: [0.30, 1.00] [...] Table 3, p.8"/><s v="The replication is clear on what affects is trying to replicate from the original research article. I reported as sample size the number of publication analyzed. Preregistration link says &quot;https://osf.io/yhk47&quot; but page cannot be found."/><s v="Same results but there were contextual differences."/><s v="I have encountered some issues in fully understanding the papers, as they extend significantly beyond my field of expertise. Both experiments seem to involve simulations as their primary analyses, with results focusing on comparisons between different mod"/><s v="The same value in the replication paper seems to be used to replicate Table D1 and Figure D1A. There are three replication sections: replications 1, 2 and 3. I only looked closely at section 1 due to time constraints. I briefly read and thought about what"/><s v="There are three replication sections: replications 1, 2 and 3. I only looked closely at section 1 due to time constraints. I briefly read and thought about what I think are all the relevant parts of the original paper and the replication paper."/><s v="I entered adjusted ORs as reported in the paper in this table. The paper also reports unadjusted ORs. I calculated (unadjusted) ORs myself in the hope of providing more precise p-values. However, they were not exactly the same as in the paper, so I did no"/><s v="p-value was not explicitly provided, but since the CI includes 1, the p-value is greater than 0.05"/><s v="R_research question 2"/><s v="did not replicate successfully. There were four replicated claims. I briefly looked at all of them but only coded two due to time constraints. I should also double check the Ns but did not do this for the same reason. I think they are slightly wrong for s"/><s v="replicated successfully. There were four replicated claims. I briefly looked at all of them but only coded two due to time constraints. I should also double check the Ns but did not do this for the same reason. I think they are slightly wrong for some of "/><s v="R_research question 1"/><s v="R_research question 3"/><s v="The central features of the replicated study are highly similar with the original study. The differences in some of the results are due to contextual differences."/><s v="Both the experiments are not based on statistical analyses but on rough comparison between means. R_Paper obtained by the author through ResearchGate"/><s v="Null result in original, replicated successfully according to replication authors"/><s v="There were 2 studies in the replication study, but only the first study replicated the original study. The second study was an extension."/><s v="Study 2 was an extension in the replicated paper."/><s v="BF values are reported in the replication study."/><s v="&quot;Claim text&quot; column reports the single outcome item involved in the effect, since there is no individual claim for each item, but only a general claim and the table with single effects. Each effect is estimated putting as covariates age, gender, political"/><s v="There is no data since both the O_study and the replication are systematic review with no meta-analysis. Furthermore, the replication is a master thesis."/><s v="No specific claim. Interleukin 8 in males"/><s v="No specific claim. Interleukin10 in males"/><s v="No specific claim. C-reactive protein levels in males"/><s v="The replication attempt cites the original article but it is not a direct replication. It uses the same research paradigm but a direct comparison between the results is not suitable."/><s v="not sure if close or conceptual is more accurate"/><s v="Effect size was calculated."/><s v="I think study 30 is codable in principle, but it has a challenge. The original article reports comparisons as chi-squared tests (what we can call classic NHST), but the replication reports coefficients from regression modeling. This means that to compare "/><s v="The O_experiment seems a little complicated, they did not perform repeated measure analyses, but correlations between the conditions deltas and the misinformation availability in two different outcomes (which are deltas as well between 2 conditions of ano"/><s v="Effect reffered to Reaction times. The O_exp did not report p values, qhile the R_exp employed Z scores for the contrasts (not d as I selected)"/><s v="replication study file not in repository, cannot access the publication on publisher site, requires purchase"/><s v="Effect reffered to Error rates. The O_exp did not report p values, qhile the R_exp employed Z scores for the contrasts (not d as I selected)"/><s v="As the replication article states &quot;The primary objective of this paper is to contribute to the advancement of second language (L2) fluency research by outlining a specific proposal for future replication studies&quot;. Therefore, this is not a replication stud"/><s v="This is a replication study on the use of a conjugate preparation&#xA;for assessing preference. The original study administered a verbal multiple-stimulus-without-replacement&#xA;assessment (VMSWO). The replication study includes, in addition, auditive stimuli an"/><s v="The replication and the original articles are clearly reported. I was able to map each of the replication attempts."/><s v="this row and the one bellow are related to one specific effect, hypothesis requires test to be non-significant, the replication study was not preregistred but materials and scripts are available https://osf.io/t2vkp/ "/><s v="hypothesis requires test to be non-significant, the replication study was not preregistred but materials and scripts are available https://osf.io/t2vkp/ "/><s v="this row and the one bellow are related to one specific effect, hypothesis requires test to be non-significant, the replication study was not preregistred but materials and scripts are available https://osf.io/t2vkp/ , in the r_study n was calculated base"/><s v="hypothesis requires test to be non-significant, the replication study was not preregistred but materials and scripts are available https://osf.io/t2vkp/ , in the r_study n was calculated based on df; reported n was 211, the replication study has an extens"/><s v="I couldn't find the replication's pdf...not even on sci-hub...and I didn't have enough time to request the full text from the author on researchgate"/><s v="This refers to RQ3 of the replication study. It reports 'Participants attribute only 30.33% of the motivation for FRPs to internal motives, &#xA;leaving most of the motivation to external pressures (mean 69.67%; 95% bootstrap CI, 67.23–72.11%). The mean is s"/><s v="I have excluded this row since the original study and replication study in this row do not match."/><s v="the two papers are not related, study diffrent topics and belongs to diffrent fields"/><s v="Please note that original and replication studies are truncated in the columns. I exchanged them accordingly.  This is a replication study that reports effect sizes in terms of Cohen's d and associated p-values of nine variables for the construct validity"/><s v="the replication study extended the original claims to two Chinese contexts: Hong Kong and Shenzhen. This effect concerns the Hong Kong sample"/><s v="the replication study extended the original claims to two Chinese contexts: Hong Kong and Shenzhen. This effect concerns the Shenzhen sample."/><s v="This is a replication study that (apparently) reports the results of a logistic regression of six variables using the slope and corresponding p-values.  The replication study used a much larger dataset. HOWEVER, I DO NOT FULLY UNDERSTAND THE STRUCTURE OF "/><s v="At the moment, the replication document is not accessible. Sarah, made a request to a researcher."/><s v="The replication study is a stage 1 registered report so no results yet, cannot find stage 2 anywhere so only coded the original study"/><s v="the replication study is at stage 1 registred report so no results are available "/><s v="in original study n was calculated based on df, the replication study is at stage 1 registred report so no results are available "/><s v="this is an extension hyp but no results are reported yet"/><s v="Email response from LR: I think the &quot;replication&quot; part is actually a reproduction because both reports use the same sources (Current Population Surveys, CPS). We will discuss if the &quot;extension&quot; part meets our inclusion criteria and get back to you if it d"/><s v="test statistic = log points; sample sizes not reported: both studies use CPS data"/><s v="test statistic = log points"/><s v="Study excluded"/><s v="psychometric study - unclear how to handle"/><s v="The original study and replication aim to identify the main factors implicated in mattering among teachers. They use confirmatory factor analysis (CFA) and identify that eight factors with 40 items derived from a questionnaire are the most relevant. Given"/><s v="comapres target-like use (TLU) of beginners vs intermediates on 'ing' morpheme (not sure how to report this). Original not accessible so statistics are from replication's Table 4 (p. 31)"/><s v="This is an accurate replication study where 8 variables are replicated with the same metric (chi-squared and associated p-values). The replication adds additional results for &quot;3rd sing&quot;.  As this evaluates independently different morphemes, I report sever"/><s v="comapres target-like use (TLU) of beginners vs intermediates on the plural morpheme (not sure how to report this). Original not accessible so statistics are from replication's Table 4 (p. 31)"/><s v="comapres target-like use (TLU) of beginners vs intermediates on 'be'-cop morpheme (not sure how to report this). Original not accessible so statistics are from replication's Table 4 (p. 31)"/><s v="comapres target-like use (TLU) of beginners vs intermediates on 'be'-aux morpheme (not sure how to report this). Original not accessible so statistics are from replication's Table 4 (p. 31)"/><s v="comapres target-like use (TLU) of beginners vs intermediates on article morphemes (not sure how to report this). Original not accessible so statistics are from replication's Table 4 (p. 31)"/><s v="comapres target-like use (TLU) of beginners vs intermediates on past-irregular morphemes (not sure how to report this). Original not accessible so statistics are from replication's Table 4 (p. 31)"/><s v="comapres target-like use (TLU) of beginners vs intermediates on past-regular morphemes (not sure how to report this). Original not accessible so statistics are from replication's Table 4 (p. 31)"/><s v="comapres target-like use (TLU) of beginners vs intermediates on possessive morpheme (not sure how to report this). Original not accessible so statistics are from replication's Table 4 (p. 31)"/><s v="Claim text_r The regression analysis using the step-wise method showed that the input, processing, and output anxieties in combination contributed significantly to the general feeling of foreign language classroom anxiety (R2 adj = 0.62; F3,129 = 73.90, p"/><s v="network analysis - unclear how to handle"/><s v="This article does not perform hypothesis testing, comparisons, or report effect sizes but takes a network analytical&#xA;framework approach. Therefore, the results are shown as the centrality measurements of a Gaussian Graphical Model. I report the mean value"/><s v="model fitting analysis - recording of WAIC scores seems likely though that's not among the options"/><s v="replication in history - there are barely any numbers; maybe an exclusion, but not sure as there are non-social-science options in the &quot;discipline&quot; column"/><s v="No statistical data provided"/><s v="Duplicate entry? Both original and replication are the same as above"/><s v="This is a conceptual replication which explores the variables through different study designs and through mediators unlike the original , see further notes under exclusion. I struggled being able to work out where the results can be matched due to use of "/><s v="O study does not report effect sizes nor meaningful test statistics for the specific forms of empowerment, and replication only reports specific types of empowerment, not &quot;full&quot; empowerment. For the interaction with purchase intention and WOM, only chi-sq"/><s v="O study does not report effect sizes nor meaningful test statistics for the specific forms of empowerment. For their interaction with corporate (brand) attitudes, means and SD are reported, but these are not recorded in the test statistic due to the one-v"/><s v="The original study does not differentiate between grasp or push movements like the replicated one, suggesting they have pooled the data across different movement types rather than examining them separately."/><s v="Replication finding is written in words &quot;In the present sample, there were no statistically  significant associations with participants’ BMI&quot;"/><s v="Could not use F values because the number of conditions between studies was different. Cohen's d calculated for study O for specific comparisons instead. R only reports cohen's D for the meta-analytic results of their two studies, thus that is what is rep"/><s v="in the o_study n was calculated based on df; reported n was 206, in the r_study n was calculated based on df; reported n was 74 (+1)"/><s v="effects in figure 3, statistics not reported; these different rows are related to one specific effect"/><s v="R not pre-registered, but analysis and data open access: https://osf.io/864nx/"/><s v="claim in Table 2"/><s v="The replication study has not yet occured; exclude"/><s v="Extension study 1"/><s v="es_value_o calculated using the formula"/><s v="Extension study 2"/><s v="es_value_o calculated using the formula, exact p value not reported, ns"/><s v="Extension study 3"/><s v="O is strictly qualitative"/><s v="qualitative study, no effect sizes reported"/><s v="Due to a bug in the analysis code, the replication&#xA;paper is being revised "/><s v="due to a bug in the analysis code the paper is being revised, final results might be different, the replication paper coded is the pre-print version published in March 2024, in the replication CI are reported and no p values for the meta-analytic effect s"/><s v="in the o_study n was calculated based on df; reported n was 24, the analysis of this effect was mentioned in the r_study but the results were not reported, it was complicated to code this study as there were many conflicting claims between both papers so "/><s v="replication male subjects only, statistics for NA results in replication not reported"/><s v="replication mixed sample, statistics for NA results in replication not reported"/><s v="most of the effects in the o_study and the r_study are reported in plots, I only coded the effects that matched and had statistical results explicitly reported"/><s v="Figure 2 in R study "/><s v="ns correlation in original study"/><s v="effect size type not reported, I assumed it's etasq because of ANOVA"/><s v="the replication study is not available"/><s v="no p value reported only α"/><s v="only M available "/><s v="N is different from prior ES as it these effects were part of a mixed-effects model, which was ran after excluding outliers"/><s v="replication study notes the effects size as  ηp2 =0.13 in Table 1 (p. 3) - &quot; computed based on F-values and degrees of freedom using the easystats package in R&quot;"/><s v="Claim text_r support for the main effect of source certainty, F(1, 506) = 173.13, p &lt; .001, ηp2 = 0.25, 95% CI [0.19, 0.31]. [...] p.7"/><s v="Claim text_r.  [...] Post-hoc comparisons using t-tests with Bonferroni correction found that participants reported higher certainty in the high certainty condition (n = 257, M = 7.87, SD = 1.24) than in the low certainty condition (n = 253, M = 5.96, SD "/><s v="I assumed that there is pval_value_o &gt; 0.05 in the original study since there is no significant effect, but that's not clearly stated. Claim text_r  found support for a main effect of source certainty, F(1, 506) = 4.27, p = .039, ηp2 = 0.01, 95% CI [0.00,"/><s v="Claim text_r However, there was no main effect of expertise, F(1, 506) = 1.35, p =.247, ηp2 = 0.00, 95% CI [0.00, 0.02], nor an expertise   certainty interaction effect, F(1, 506) = 0.84, p = .361, ηp2 = 0.00, 95% CI [0.00, 0.02]. The main effect of certa"/><s v="I assumed that there is pval_value_o &gt; 0.05 in the original and replications study since there are no significant effects, but that's not clearly stated. Claim text_r  no main effects for source expertise or source certainty (Fs &lt; 1.18),  [...] p.8"/><s v="Claim text_r.  supported an expertise   certainty interaction effect, F(1, 506) = 4.74, p = .030, ηp2 = 0.01, 95% CI[0.00, 0.03]. [...] p.8"/><s v="conceptual replication of the same approach, testing response disequilibrium theory, but no numbers that can are easily comparable between studies (apart from one that apply to the specific equations) due to methodological differences"/><s v="No access to the PDF papers."/><s v="N was calculated. Effect size was calculated. "/><s v="I edited the links to the original paper because it was a link to another paper; multiple claims but tried to chose those that matched in both papers; in the o_paper and the r_paper a LCA was conducted to choose the best model and the 4-class solution was"/><s v="additional claim only for r_study: results of comparisons of the four classes along different outcomes. Significant class differences were observed for anxiety"/><s v="additional claim only for r_study: results of comparisons of the four classes along different outcomes. Significant class differences were observed for depression"/><s v="additional claim only for r_study: results of comparisons of the four classes along different outcomes. Significant class differences were observed for psychological flexibility"/><s v="additional claim only for r_study: results of comparisons of the four classes along different outcomes. Significant class differences were observed for  muscularity-oriented eating disorder symptomatology"/><s v="additional claim only for r_study: results of comparisons of the four classes along different outcomes. Significant class differences were observed for  psychosocial impairment"/><s v="additional claim only for r_study: results of comparisons of the four classes along different outcomes. Significant class differences were observed for  emotion regulation difficulties"/><s v="N after applying exclusion criteria, osf project: https://osf.io/yqxme"/><s v="Claim text_r. There were no significant main effects of APOE status on cognitive outcome variables using Pillai’s trace (V = 0.06, F(4,206) = 1.51, p = 0.20).  [...] p 7."/><s v="Claim text_r.  VBM analyses revealed no significant differences in GMV between ε4+ and controls and between ε2+ and controls (p&gt;0.05, corrected via TFCE). [...] p 7."/><s v="Claim text_r.   DTI analyses revealed no significant differences in FA or MD (p &gt;0.05, corrected via TFCE) between ε4+ and controls, similarly between ε2+ and controls. [...] p 7.&#xA;&#xA;es_repr_o cannot be calculated "/><s v="Conceptual replication, no inferential statistics, policing as a broad field"/><s v="The study focuses on the replication of descriptive reports. Mainly, tables and graphs are replicated. For this reason, I have not coded effect sizes or p-values, as no test statistics were reported in any of the studies. Overall, I am not sure how meanin"/><s v="Satisfaction effect"/><s v="Fairness effect"/><s v="Engagement effect"/><s v="I am not sure which  statistical test was conducted in the replication study. Therefore, I report all information from the table. The manuscripts states that it was a pre- post test.; The original study reports the results of a regression in a table and I"/><s v="I found it difficult which to code as various model specifications are fitted. Anyway, coefficient of physical game is considered in this row."/><s v="Coefficient of didactive activities is considered in this row."/><s v="Coefficient of socialization activities is considered in this row."/><s v="This is a randomized control trial study which reports data and results differently. Sample was measured as families and not number of individuals involved in the intervention. Effects reported in standard deviations for the Bloomfield paper and standard "/><s v="original sample size was visible on table 5, p. 18"/><s v="No formal statistical test is conducted to test the hypothesis formulated both in the original and replication study."/><s v="The original study has been replicated multiple time, Spricigo, 2023 before the Menegale, 2024 paper. No effect sizes available to report since both studies used qualiative analyses. Both these studies have 3 RQs that are the same but it is hard to code t"/><s v="Effect from original study: b = 0.54, 95% CI [0.15, 0.92]; Effect from replication study: ,b=0.410,95%CI[0.085,0.735]"/><s v="description of effect taken from table 2 in Metsakas paper because of clarity, p. 5"/><s v="description of effect taken from table 2 in Metsakas paper because of clarity, p. 5; "/><s v="description of effect taken from table 2 in Metsakas paper because of clarity, p. 6; original effect sizes were calculated by replication author"/><s v="description of effect taken from table 2 in Metsakas paper because of clarity, p. 6"/><s v="excluded"/><s v="Effect size was calculated. Authors state that all domains were significant but do not report exact p-values."/><s v="No formal statistical test is conducted to test the central hypothesis formulated both in the original and replication study. Their conclusion are simply based on the average mean."/><s v="The study used means to compare baseline and intervention step count. "/><s v="Honestly, it's very confusing which to code as different model specifications are fitted &amp; I need help from coordinators. For now, I coded the estimates reported in last column of Table 1."/><s v="model 3 of binary factor analysis"/><s v="model 4 of binary factor analysis"/><s v="model 5 of binary factor analysis"/><s v="Effect of L1 speakers on competence (main effect)"/><s v="Three-way interaction effect"/><s v="Effect of L1 speakers on treatment preference (main effect)"/><s v="Effect of L1 speakers on comprehensibility(main effect)"/><s v="replication reference is not in APA format; hyperlinks got removed during some formatting issues but the files are in the google drive for both te replication and the original paper"/><s v="I don't find hypotheses and effect sizes from replication study that match the original study. The central hypotheses of interest in the original study are answered using descriptive statistics. The replication paper is is contextual and extended replicat"/><s v="cannot access the replication article;  10.5465/AMPROC.2024.19578abstract point to study by Child et al."/><s v="no full paper available yet"/><s v="Closeness is questionable, Otiginal study sample consists of patients with medical diagnosis and their relatives, while Reproduc. sample is students, bascially general population. &#xA;Claim text_r. [...] one-way ANOVAs were conducted on each Group separately"/><s v="Closeness is questionable, Otiginal study sample consists of patients with/without medical diagnosis, while Reproduc. sample is students, bascially general population. &#xA;Claim text_r. [...] one-way ANOVAs were conducted on each Group separately for Valence"/><s v="Not explicitly reported, but neural activation effect sizes for frustration-related responses are generally in the range of r = 0.5 - 0.7. r (correlation coefficient between neural activation and frustration levels)"/><s v="H1 (extraversion). H2 is not replicated in the replication paper."/><s v="I don't think this study is a &quot;classical study&quot; and lend itslef to extract requested information. The study introduced a new framework to estimate the aggregate capital-labor elasticity of substitution by aggregating the actions of individual plants."/><s v="test statistic in orginal study greater than"/><s v="1. Values for REPLICATION statistical inferences were taken from supplementary files &quot;10.1073--pnas.2402315121 SAPP.pdf&quot;&#xA;2. Since one-way testing was used, the &quot;Nested&quot; option is put as &quot;No&quot;"/><s v="1. There are minor changes between orignal and replication I am not considering it and using table 1 for results. 2. The orignal studies have reported different effect sizes, while replication studies have reported similar kind, i.e. &quot;r&quot; of effect sizes. "/><s v="1. The orignal studies have reported different effect sizes, while replication studies have reported similar kind, i.e. &quot;r&quot; of effect sizes. I am not sure which one should I use so I am using the one's in the orignal study. Further, I am not sure if Φ or "/><s v="1. The orignal studies have reported different effect sizes, while replication studies have reported similar kind, i.e. &quot;r&quot; of effect sizes. I am not sure which one should I use so I am using the one's in the orignal study.Further, I am not sure if Φ or X"/><s v="1. The orignal studies have reported different effect sizes, while replication studies have reported similar kind, i.e. &quot;r&quot; of effect sizes. I am not sure which one should I use so I am using the one's in the orignal study."/><s v="1. The orignal studies have reported different effect sizes, while replication studies have reported similar kind, i.e. &quot;r&quot; of effect sizes. I am not sure which one should I use so I am using the one's in the orignal study.2. I think this study is concept"/><s v="No statistics in Boyce dataset"/><s v="1. Changed the Discipline from Psychology to &quot;Cognitive Psychology&quot;&#xA;2. The report is absent in github folder, and the data is missed in the outcome table&#xA;3. I was not able to find corresponding OSF link except: https://osf.io/xwn9m/ (general, not specific"/><s v="No individual report found"/><s v="No statistics in Boyce, report absent"/><s v="1. Changed the Discipline from Psychology to &quot;Cognitive Psychology&quot;&#xA;2. The original paper was added as &quot;10.1038nature03390.pdf&quot;"/><s v="1. Changed the Discipline from Psychology to &quot;Social Psychology&quot;&#xA;2. The detailed replication data is not provided anywhere. For example, there is M and SD, but for between-group design we do not have a clear description of how many students are in each gr"/><s v="1. Changed the Discipline from Psychology to &quot;Cognitive Psychology&quot;&#xA;2. There was a full report in the Replication folder. I used it to provide and varify the data: https://rstudio-pubs-static.s3.amazonaws.com/817655_c94c0f2142fc466fa36a6790ee3fcdde.html&#xA;3"/><s v="1. The data was absent in the database, but I found it here: https://rstudio-pubs-static.s3.amazonaws.com/694306_59178dc09b8648e598a3e535876c9246.html&#xA;2. Conceptual replication because authors reduced amount of trials&#xA;3. The original paper was added as 10"/><s v="1. The data for checking is taking from: https://osf.io/fd9kq&#xA;2. There were changes in experimental procedure -&gt; conceptual &#xA;3. The original paper was added as: 10.1037xge0000064.pdf"/><s v="No statstics for original study available in Boyce, so not really possible ti understand what exactly was replicated, except for that it was experiment 3(based on sample size)"/><s v="1. Changed the Discipline from Psychology to &quot;Cognitive Psychology&quot;&#xA;2. Since no test results are provided anywhere except the table, it is impossible to check the values. I marked them with the color. Since no statistical inferences are described, I put N"/><s v="1. Discipline - changed to cognitive&#xA;2. If printing the replication report to obtain PDF, the browser only gives one page (Chrome, Edge), thus there is no opporunity to indicate the page for replication results. &#xA;3. From the report: https://rstudio-pubs-s"/><s v="1. Discipline - changed to cognitive&#xA;2. If printing the replication report to obtain PDF, the browser only gives one page (Chrome, Edge), thus there is no opporunity to indicate the page for replication results. "/><s v="sampl O is 302, not 300 as syayed in Boyce dataset"/><s v="1. Replication data report was absent and there was no one for study 2, except the initial steps of the replication (no analysis/results)&#xA;2. Discipline is changed to &quot;Social psychology&quot;"/><s v="statistics is missing in the dataset, data for R identified and extracted from the report"/><s v="1. Keywords were taken from fingerprints at https://nyuscholars.nyu.edu/en/publications/cognitive-control-predicts-use-of-model-based-reinforcement-learn&#xA;2. In the replication report Otto reported the final sample to be 25 (p. 5)&#xA;3. In the replication rep"/><s v="1. Discipline - changed&#xA;2. There is no replication of study 5B open, only study 5A: https://osf.io/2gx4k/wiki/home/"/><s v="1. Conceptual replication - because laboratory study was replicated online&#xA;2. I am not sure what exactly should I indicate in the Effect"/><s v="d calculated based on provided statistics in the O"/><s v="1. There is a bit of dismatching data in the replication report. Some data (like attention and so on) are taken from study 1, while the overall metric is taken from the study 2: https://rstudio-pubs-static.s3.amazonaws.com/843645_4999687f04a2418cb522a69fb"/><s v="statistics is missing in Boyce, rawstats = bseb=0.3661(0.2423). Report is absent"/><s v="1. Discipline changed&#xA;2. Replication data from: https://rpubs.com/kl2018/432454"/><s v="no statistics for R provided, report is absent"/><s v="No report "/><s v="Read the report for the study, and since author wrote that &quot;As I have not yet been able to reproduce the Cohen’s-d values nor the 95% Credibility interval in the original paper, I am not using these statistics as a basis of comparison&quot; and the statistic i"/><s v="1. From the paper &quot;The design and analysis plans for the experiments were not preregistered&quot;&#xA;2. This study is difficult for me to understand due to not working with BFs. I am not sure that there are no more matching results&#xA;3.  BFinclusion = 607.57"/><s v="was replicated twice, by different students (this one and Boyce_etal2023116_1_d)"/><s v="was replicated twice, by different students (this one and Boyce_etal2023116_1_b)"/><s v=" "/><s v="1. The data for replication was taken from: https://www.rpubs.com/sansiropp/256552&#xA;2. Since the survey was not original, but recreated, I put &quot;conceptual replication&quot;"/><s v="1. There is OSF link, but it is not stated whether the paper was pre-registrated or registrated. &#xA;2. Replication data was taken from: https://rpubs.com/camillag/256522 "/><s v="1. The data was taken from: https://github.com/lrhasak/porter2016/blob/master/writeup/ReplicationReport.Rmd"/><s v="1. The study was replicated online, however author claimed that it should no affect the replication due to specific aspects of the experimental procedure"/><s v="1. The data for replication was taken from: https://www.rpubs.com/sansiropp/256552"/><s v="1. Replication data: https://rpubs.com/ShimaSalehi/155989&#xA;2. The trials were shown sequentially instead of parallel -&gt; conceptual replication&#xA;3. The tests are partially nested because the within-subjects factor (trait type) is nested within participants ("/><s v="statistics for R extracted from report"/><s v="1. I would say that changes in the procedure were really big -&gt; conceptual &#xA;2. The original paper was added as 10.1016j.neuropsychologia.2009.05.011.pdf"/><s v="1. The original paper was added as 10.1037a0028216.pdf"/><s v="1. The original paper was added as 10.1037a0028216.pdf&#xA;2. There are 2 corresponding results in replication study, I am not sure which one to use"/><s v="1. Minor changes to the procedure (like different attentional check) which should not affect the experiment&#xA;2. Confirmation of the row choice: &quot;I was able to reproduce the same means and test statistics as the original article. [Unresponsive: M = 10.5, SD"/><s v="1. Minor changes to the procedure (like different attentional check) which should not affect the experiment"/><s v="1. No replication report was found in the folder and internet "/><s v="R extracted from the report"/><s v="1. I would say that this is the extention of the original study for a new cohort -&gt; conceptual&#xA;2. The original paper was added as 10.10370022-3514.95.2.293.pdf&#xA;3. Effect can be either &quot;Cognitive load&quot; or &quot;Tempting fate&quot;. The first is broader"/><s v="1. I would say that this is the extention of the original study for a new cohort -&gt; conceptual&#xA;2. The original paper was added as 10.10370022-3514.95.2.293.pdf&#xA;3. Effect can be either &quot;Cognitive load&quot; or &quot;Tempting fate&quot;. The first is broader&#xA;4. For the se"/><s v="1. The 3rd study was not preregistrated (but the 4th was)&#xA;2. A delay was added to the procedure, but no more changes. I hope it was not a big change to call the study &quot;conceptual replication&quot;&#xA;3. The original paper was added as 10.1037pspi0000081.pdf"/><s v="d and p valuse for O extracted from Boyce"/><s v="1. Study 1 was not preregistrated in the original paper (only study 3: https://osf.io/bd9ea)&#xA;2. The data for replication was taken from: https://rpubs.com/cceballos-stanford/544019"/><s v="For second coder: I didn't find any place with n_o = 20"/><s v="PCA replicated, no statistics in Botce, report present"/><s v="1. I didn't find a replication report, thus I use the data from the table"/><s v="1. The replication data was taken from: https://osf.io/38en2"/><s v="No statistics in Boyce, report present. Report claims that the author succesfully reproduced the main statistical findings of interest, specifically - the interaction between valence and distance.  Unfortunately, I couldn't find results about that in the "/><s v="1. In the original paper there is no data in the table of the project. The comparison in the replication study is not matching (distance is not a frequency)"/><s v="1. P-rep is provided for this study"/><s v="Final N O is 555 (99 + 456), Boyce states 550"/><s v="1. I consider the Discipline - &quot;social psychology&quot;&#xA;2. The original study was not PREregistrated. Registrated data can be found in: https://osf.io/y65ze/"/><s v="Data for R extracted from the report. ES in the report is partial etasq, extracted F for consistency with the findings below"/><s v="1. The data for replication: https://github.com/psych251/Semrow2019/blob/master/writeup/Apaza_replication_Semrow.html&#xA;2. Replication authors stated that the samples differ between studies and it can have a significant effect because the study is sociologi"/><s v="1. Online replication -&gt; conceptual "/><s v="1. No PREregistration of the original study, only registration (https://osf.io/vyibm)"/><s v="statistics for R extracted from the report"/><s v="1. No PREregistration. Open-Ended registration: https://osf.io/fzm68"/><s v="1. I didn't find the replication report"/><s v="1. The data was taken from: https://rpubs.com/ennachen/psych251_finalproject&#xA;2. The original paper was added as 10.1093workarwaac024.pdf"/><s v="1. Several changes to methodology (online, no video and so on) -&gt; conceptual&#xA;2. This is called &quot;reproducibility report&quot; and it is not reproduction of the previous analysis with the same sample: &quot;Unlike in the original study that was performed in a sample "/><s v="report for R also states that ηp2 = .91"/><s v="sloman2016_1, p value for O in Boyce is different from one in original paper. P from original paper extracted"/><s v="sloman2016_2"/><s v="1. Data for replication: https://rpubs.com/hrlarry/YUIMU-final"/><s v="1. Data for replication: https://rpubs.com/kleibow/338461"/><s v="data for R extracted from the report"/><s v="1. Several procedural differences (setup, sample) -&gt; conceptual"/><s v="1. Since no report, the data was taken from the table&#xA;2. The original paper was added as 10.1037xge0000738.pdf"/><s v="1. Since no report, the data was taken from the table"/><s v="1. Replication data: https://rpubs.com/mkmartykeil/replicationfinal&#xA;2. Because the procedure slightly changed (especially the recall): conceptual replication"/><s v="1. Replication data: https://rpubs.com/mkmartykeil/replicationfinal&#xA;2. Because the procedure slightly changed (especially the recall): conceptual replication&#xA;3. The data from the report was used for ES"/><s v="1. Online study for attention -&gt; conceptually new design&#xA;2. The replication data: https://rpubs.com/mlee17/262394&#xA;3. Effect can be either &quot;Attentional cueing&quot; or &quot;attractiveness judgments&quot;. The first is broader"/><s v="1. Replication data: https://rpubs.com/chuqihu8/pilot&#xA;2. Replication was online -&gt; conceptual"/><s v="1. Replication data: https://rpubs.com/chuqihu8/pilot&#xA;2. Replication was online -&gt; conceptual&#xA;3. For second coder: The results are for Exp 3, while in the table it was Exp 1. This result can be also used"/><s v="Not found in Boyce, I would assume it's the one with the title &quot;the original doesn't give adults stats, the t test we're using is from the replication based on the raw data, for French adults only. Also, student screwed up and used original data for both "/><s v="1. Replication data: https://rpubs.com/masoud/tieu2016_replication&#xA;2. Different languages for comparison are used -&gt; conceptual replication&#xA;3. No corresponding results are indicated in the original data. For the project the original results were recalcula"/><s v="Todd2016_1"/><s v="1. Data for replication: https://rpubs.com/mateusmazza/project_report_pilotB"/><s v="1. Replication data: https://rpubs.com/klsanch/pilotAwriteup"/><s v="Todd2016_2, statistics from Boyce not found in the O, d and p values for O extracted from Boyce"/><s v="Coded as social psychology, because it's the closest discipline"/><s v="1. Online experiment&#xA;2. Data: https://github.com/StanfordPsych254/Tribushinina2011/blob/master/writeup/Replication-Report.html (replication)&#xA;3. The original paper was added as 10.1515ling.2011.016.pdf"/><s v="1. Replication data: https://rstudio-pubs-static.s3.amazonaws.com/426870_bb10c991135648a19be27ad27cb36a15.html (https://osf.io/3xcq7) is for EXPERIMENT 1, not 2"/><s v="brown-iannuzzi2017_1, statistics extracted from the report"/><s v="brown-iannuzzi2017_2"/><s v="Replication data: https://rpubs.com/ayl888/695975"/><s v="replication study states that the p-value in the original study was p &lt; .01, while the original states that it was p &lt; .001"/><s v="XPHI states ES for O  w = 0.59, mistake in the p value for O in XPHI (p &lt; .01, while it's actually  &lt; .001)"/><s v="XPHI states ES for O  w = 0.61"/><s v="Replication data is only for exp 3, not exp 1: &quot;https://rpubs.com/pgzhu/vasilyeva2018&quot; → I use the data from table"/><s v="Replication report: https://osf.io/wdp9b"/><s v="In Boyce it's Vohs2013"/><s v="1. Data for replication: https://rstudio-pubs-static.s3.amazonaws.com/955939_50cc1f13803a4ee1beb7841644071e54.html&#xA;2. The study is marked &quot;Reproducupility report&quot; but it is not the reproduction of the study with the same sample: &quot;To reproduce this study, "/><s v="Boyce states that N O is 321 and d is 0.55, I don't think it;s correct, because the sample is 556, so calculated d O myself"/><s v="1. The replication will be online&#xA;2. The original paper was added as 10.1038s41467-021-27323-3.pdf"/><s v="1. The replication data: https://github.com/psych251/wilkins2014"/><s v="1. Since no report, the data was taken from the table&#xA;2. Keywords from Pubmed Mesh"/><s v="No p and d in Boyce, raw statistics prop:11/19,9/17. Report is absent"/><s v="Data for replication: https://rstudio-pubs-static.s3.amazonaws.com/257540_6659667fe79e4d43936e8bb9d045f803.html&#xA;I would say that this study is more like extention (modification) with a new sample&#xA;The original paper was added as 10.1016j.obhdp.2010.10.001."/><s v="Replication data: https://rstudio-pubs-static.s3.amazonaws.com/155174_48b1633681bb4024b4098ed433d5a80a.html"/><s v="Boyce states that N O is 48, but in fact it 32 for the relevant part of the study"/><s v="Replication data: https://rstudio-pubs-static.s3.amazonaws.com/1159352_e9a668d9124f415e8831bab302f49b6b.html"/><s v="For the statistics in Boyce sample zise is not 240, but 96. Even though it's 240 for other parts of experiment 5"/><s v="Replication data: https://rpubs.com/ayodeledada/yousif2019"/><s v="P for R is not specified, report is absent.  Raw statistics bseb=1.037(.006)"/><s v="Replication data: https://rstudio-pubs-static.s3.amazonaws.com/960761_d9b8d67ca3454d3db5b0023e3b583df6.html&#xA;The original paper was added as 10.1016j.ecresq.2019.10.004.pdf"/><s v="Replication report: https://rpubs.com/rcatapano/Zaval_replication_report"/><s v="1. the official preregistration was not completed"/><s v="Online replication"/><s v="1. There is a registration but not preregistration"/><s v="Replication data: https://rstudio-pubs-static.s3.amazonaws.com/696061_39068ca5d4344e6894d818cbf8f2c60e.html"/><s v="Data for replication from: https://osf.io/yt5q8/"/><s v="d original extracted from the dataset"/><s v="Replication data: https://rstudio-pubs-static.s3.amazonaws.com/823553_849e56ccdba04f308d3dd2f4a03a249a.html&#xA;Original paper added as escholarship.orgucitem39d347bk.pdf"/><s v="report available"/><s v="1. Authors ensured that their minor changes to the procedure won't afffect the replication"/><s v="N original in the dataset is stated as 188, while in these specific quesiton the sample was divided in 2 parts, which results in N=94"/><s v="1. Replication data: https://rpubs.com/dmetaxak/correll2007&#xA;2. Online replication"/><s v="Replication data: https://rpubs.com/staciaking/craig2014"/><s v="Pattern of interaction in replication matches that in original study"/><s v="1. Online&#xA;2. There are a lost results, however replication operates with the term &quot;block&quot; while original study with the term &quot;task&quot;. According to replication description it should be different things (blocks - split sessions of the experiment)"/><s v="The proportion of this claim text was not reported but has been coded while coding the same proportion reported in the replication table"/><s v="Only the proportion of this claim text was reported in the replication table"/><s v="N (shape condition)=28; Only statistics for the shape condition have been reported in the replication table. The same statistics have been coded for the word condition."/><s v="N (shape condition)=24"/><s v="This task does not have sufficient data (test statistics) for coding in the original study and replication table. There is no report for the replication study as well"/><s v="No information about O in Boyce, impossible to understand which claiim was tested, report absent"/><s v="There is no clear information in the replication study and no sufficient information/ data (test statistics) on the replication table to code this task"/><s v="There is no sufficient data for the replication study in the replication table to fully code this task"/><s v="Based on the information in the dataset it's impossible to clearly compare the results and calculate statistics, extracted both claims matching the proportion numbers in the dataset"/><s v="There is no sufficient information (test statistics) or report for the original study and replication to code this task"/><s v="No information to extract statistics in the dataset"/><s v="The closeness has been categorized as far; hence coded as conceptual"/><s v="The closeness has been categorized as far; hence coded as conceptual; administrative science discipline categorized as management"/><s v="Effect size value for O copied from Boyce dataset, not sure that it's calculated correctly"/><s v="the dataset includes only proportions, report is absent, not possible to extract statistics"/><s v="There is no claim text. Data from the replication table has been used to code this row"/><s v="statistics extracted from Boyce dataset, original claim not identified, cause I didn;t find the matching statistics in the paper"/><s v="extracation and effect size based on the report, table states that N original is 25, while it's 29 (Experiment 4). Might be excluded based on the report &quot;The present study was not a straightforward replication of the original study. We failed to replicate"/><s v="the dataset doesn't include statistics, report is absent"/><s v="The discipline variable coded as &quot;social psychology&quot; instead of &quot;other-psych&quot; as indicated in the replication table"/><s v="No statistics and report for replication"/><s v="&quot;Effect size is not applicable to this study&quot; - replication report"/><s v="The test statistics for the original study reported in the replication table cannot be traced in the original study pdf and there is no report to help trace it. Therefore this trask requires validation."/><s v="Statistics for o and r copied from Boyce database, mentioned raw stats not found"/><s v="Boyce data set reports 57 participants in O, while 6 were excluded from the analysis. Calculated p for O myself"/><s v="The claim cannot be traced from the test statistic of the original study in the replication table. There is no sufficient data for the replication study in the replication table to fully code this task"/><s v="No statistics for R in Boyce data set, d for O calculated by me"/><s v="There is no sufficient data for the replication study in the replication table to code this task fully"/><s v="Sample zise in O after exclusion is 208, while in Boyce reported as 108, probably typo. No Size effect and P value reported in R"/><s v="Organizational science discipline categorized as management"/><s v="d for O copied from Boyce dataset, though I'm not sure that it's correct"/><s v="replication states pear:r=0.9380832,n=1024 for O, but no matching statistics in the paper, hence not possible to extract claim and check reliability. Available statistics extracted from Boyce"/><s v="d Orig extracted from Boyce"/><s v="There is no sufficient data for the replication study in the replication table to code this task fully. Also, the claim is not clear in the original study."/><s v="p for O extracted from Boyce"/><s v="The t-test statistics for the original study (study 4) presented in the replication table are hard to trace in the replication study to be able to come up with a claim being studied"/><s v="Matching statistics F(1,115)=7.497 not found in the original paper, values extracted from Boyce.  Report is absent"/><s v="Corruptibility was coded as central result"/><s v="N= 225 and not 73 as was pre-coded. This task is similar to a task with a rowid Boyce_etal20238_1; hence should be discarded"/><s v="d for R is NA, d for O extracted from Boyce dataset, original paper used another ES - Cohen's f 2 =0.03"/><s v="d for O extracted from Boyce, also Boyce states that N O = 30, while the paper states 240"/><s v="No d and p statistics in Boyce, report absent. raw statistics provided bseb=.06(.13). The N o is 400, whle in Boyce it is 327"/><s v="No d and p statistics in Boyce, report present"/><s v="Could not trace the overall or specific claim in the original study from the raw statistics presented in the replication table"/><s v="d and p for O extracted from Boyce, because I was unsure about the replication aim"/><s v="uncertain on the original effect size estimate"/><s v="Supplementary Table S1 of the replication article reports the following values: Original (p = 0.046, effect size 0.18, n = 120), Replication (p = 0.160, effect size = 0.08, N = 318). The OSF report (https://osf.io/yjpzs) indicates that the effect they tri"/><s v="Supplementary Table S1 of the replication article reports the following values: Original (p = 0.011, effect size 0.45, n =  60), Replication (p = 0.026, effect size = 0.31, N = 102). I matched the replication attempt with the results presented in p. 1347 "/><s v="Supplementary Table S1 of the replication article reports the following values: Original (p = &lt; 0.001, effect size 0.64, n =  78), Replication (p = 0.004, effect size = 0.44, N = 40). The information available in the replication article does not allow me "/><s v="Supplementary Table S1 of the replication article reports the following values: Original (p =  0.001, effect size 0.30, n =  124), Replication (p =  0.001, effect size = 0.33, N = 128).  Based on the p-value and the information reported in Table S2 of the"/><s v="vague details on the comparison test run - no actual test statistics reported"/><s v="Supplementary Table S1 of the replication article reports the following values: Original (p =  0.004, effect size 0.83, n =  120), Replication (p =  0.142, effect size = 0.37, N = 160). The OSF replication report stated that the replication effort is focu"/><s v="Supplementary Table S1 of the replication article reports the following values: Original (p = 0.031, effect size 0.28, n = 58), Replication (p = 0.933, effect size = -0.01, N = 131). Based on the replication report (https://osf.io/xga9p), I was able to tr"/><s v="Supplementary Table S1 of the replication article reports the following values: Original (p = &lt; 0.001, effect size 0.49, n = 288), Replication (p = 0.016, effect size = 0.34, N = 48). The OSF report (https://osf.io/7edwb) stated that the replication attem"/><s v="Z-values from a Mann-Whitney-U-Test "/><s v="Supplementary Table S1 of the replication article reports the following values: Original (p =  0.016, effect size 0.66, n = 120), Replication (p = 0.010, effect size = 0.53, N = 220).  The OSF report (https://osf.io/d89fx) stipulates that the replication "/><s v="Supplementary Table S1 of the replication article reports the following values: Original (p =  &lt; 0.001, effect size 0.32, n = 126), Replication (p = 0.001, effect size = 0.30, N = 90).  The OSF report (https://osf.io/h3yw6) specified that the replication "/><s v="Supplementary Table S1 of the replication article reports the following values: Original (p =  0.070, effect size 0.28, n = 42), Replication (p = 0.154, effect size = -0.12, N = 144). The replication OSF report (https://osf.io/nd2fk) stipulated that the r"/><s v="Supplementary Table S1 of the replication article reports the following values: Original (p = 0.057, effect size 0.31, n = 117), Replication (p = 0.160, effect size = 0.08, N = 318). The replication report (https://osf.io/a8c36) specifies that the replica"/><s v="Supplementary Table S1 of the replication article reports the following values: Original (p = 0.007, effect size 0.72, n = 216), Replication (p = 0.001, effect size = 0.66, N = 360). The associated replication report (https://osf.io/8esfd) specifies the r"/><s v="Supplementary Table S1 of the replication article reports the following values: Original (p = 0.010, effect size 0.38, n = 162), Replication (p = 0.003, effect size = 0.36, N = 264). The replication report (https://osf.io/rycnp) specifies the replication "/><s v="Supplementary Table S1 of the replication article reports the following values: Original (p = 0.033, effect size 0.84, n = 72), Replication (p = 0.57, effect size = 0.17, N = 168).  The OSF report (https://osf.io/pujg2) indicates that the replication atte"/><s v="Effect size for original study opaque, releavant details recorded - look to tables indicated to see values that were compared for those mean differences? Table 5a and Table 6a, should take difference value?"/><s v="Supplementary Table S1 of the replication article reports the following values: Original (p = 0.001, effect size 0.12, n = 158), Replication (p = 0.001, effect size = 0.27, N = 156).  Using the description provided in Table S2 of the replication article, "/><s v="Effect size for original : details found in session-level efficiency ratios over all rounds as reported in Table 7 for the money treatment sessions and in the last three columns of Table 12, but unclear if/how to calculate effectively from there. "/><s v="Supplementary Table S1 of the replication article reports the following values: Original (p = 0.010, effect size 0.76, n =  54), Replication (p = 0.67, effect size = -0.12, N = 96).  Using the information provided in Table S2 of the replication article, I"/><s v="Supplementary Table S1 of the replication article reports the following values: Original (p = &lt; 0.0001, effect size 0.72, n =  168), Replication (p = 0.001, effect size = 0.73, N = 128).  Using the information provided in Table S2 of the replication artic"/><s v="Effect size for original study opaque, releavant details recorded - difference between means as effect size? "/><s v="Supplementary Table S1 of the replication article reports the following values: Original (p = 0.030, effect size 0.21, n =  112), Replication (p = 0.055, effect size = 0.12, N = 262). The OSF report (https://osf.io/b8pwq) stipulates that the replication a"/><s v="Supplementary Materials - page 4 : post-hoc comparisons showed significant result, (F(1, 38) = 21.63, no exact p value stated. &#xA;https://www.science.org/doi/suppl/10.1126/science.1199327/suppl_file/karpicke_som.pdf &#xA;In the main text, the authors report bot"/><s v="p. 378, Table 1 of original study reports partial omega squared as 0.05"/><s v="PLEASE CHECK THIS: This replication draws upon a comparison of the 30-repetition treatment and the control treatment in experiment 1; independent samples t-test, t(30) = 2.78, p = 0.0092, provided by the original authors. This is not in the original paper"/><s v="PLEASE CHECK THIS: Effect size in original is unclear/hard to distringuish. Value taken from the manuscript based on it's correspondence to the Col 5 of the Table 2 in the Supplementary materials (as signposted by the Camerer table to be the OLS regressio"/><s v="This replication draws upon values direct from the orignal authors that are not published direct in the original manusciprt - t(34) = 2.37 and p-value = 0.02, t-value and p-value from authors. &#xA;Statistical values recorded here are these values in the absc"/><s v="PLEASE CHECK ME FOR MY ACCURACY OF EFFECT SIZE EXTRACTION/REPORTING: &#xA;P value and coef estimate drawn from col 1 of  Table S11 which describes the values of a Tobit regressions with robust standard errors "/><s v="Tails on original p-values assumed one-way as ANOVA analysis central to value. "/><s v="This replication draws upon values that appear to be direct from the orignal authors that are not published direct in the manuscript or the SMs- t(14) = 13.07, p &lt; 0.0001&#xA;Values recorded here  are these values in the abscence of other meaningful values in"/><s v="PLEASE CHECK ME FOR MY REASONING: &#xA;Compared to the supplements of the Camerer replications Table 1, in the original paper the df for the critical t test were 68 (not 45 as listed in Table 1 of Camerer Table 1) thus the N was estimated at 69 (which also al"/><s v="The key test statistics were described as belonging to a two-tailed test in the Camerer supplements but this is not evidenced directly in the original manuscript. "/><s v="The original N is found only in the Camerer Supplemental Table 3, printed as N = 178. However, assuming the total original N  of 449 is divided equally across 5 conditions - two of which are compared for the main claim of interest - the number 178 makes s"/><s v="Supplementary Materials - Table S3b&#xA;https://www.science.org/doi/suppl/10.1126/science.1183532/suppl_file/janssen.som.pdf"/><s v="replication study d calculated using ES calculation"/><s v="1. DOI is not available for the replication study. 2. Keywords are not given in both orignal or replication study. I have written keywords deriving from the abstract of the orignal study. 3. For orignal study p-rep is reported instead of p-values, therefo"/><s v="replication study d calculated using ES calculations"/><s v="1. DOI is not available for the replication study. 2. Keywords are not given in both orignal or replication study. I have written keywords deriving from the abstract of the orignal study. 3. For orignal study p-rep is reported instead of p-values. "/><s v="NA"/><s v="1. DOI is not available for the replication study. 2. Keywords are not given in the orignal study. I have used keywords from replication study.  3. For orignal study  p-rep is reported instead of p-values. 4. Conceptual closeness is because the replicatio"/><s v="After looking at the detaisl of the studies fromt he origianl paper and the reference paper, it is not very clear which origianl study is linked to which replication study."/><s v="The r_study is more of a conceptual replication so I tried to report the closest claim to the o_study"/><s v="Calculated p value for O myself "/><s v="df=2, N = 58 (56+2)"/><s v="There is not enough information on links to the replication study to complete the curation task"/><s v="Reference Study paper could not be found as the DOI is missing and also the complete paper title with author names is not provided"/><s v="pval_value_r is not given as I calculated Cohens d using the excel sheet &quot;ES calculations&quot; using M and SD"/><s v="extant effect size: interaction of effort and rinse (unsweeted rinse versus sucralose-sweted rinse)"/><s v="I copied the link to the pre-registration from the manuscript, but the link does not work.; Descriptive statistics indicate that the effect is reverse, therefore I coded d negatively."/><s v="The authors also investigated the task difficulty as a moderator: &quot;Unsurprisingly, task difficulty had a large effect, F(4, 796) = 762.82, p &lt; .001, ηp2 = .79, with increasing set sizes yielding performance decreases as indicated by a significant linear e"/><s v="I"/><s v="ES of the suppression group of the original paper was calculated using the provided mean and standard deviation in the ES calculation formula provided in Excel"/><s v="potential duplicate"/><s v="n_r was inferred from ANOVA F(1,27) = 2.47. The original sample size was N = 31 but &quot;participants who did not proceed directly down the walkway without stopping were excluded from the study.&quot; (p. 4)"/><s v="extension effect size of the interaction between self-consciousness x prime interaction (self-consciouness was not part of the original study and therefore no original effect size is coded); n_r was inferred from ANOVA F(1,27) = 4.44. The original sample "/><s v="Generated link (link_o) leads to a wrong study "/><s v="n_r was inferred from ANOVA F(1,36) = 2.95. The original sample size was N = 40 but &quot;participants who did not proceed directly down the walkway without stopping were excluded from the study.&quot; (p. 4)"/><s v="extension effect size of the interaction between self-consciousness x prime interaction (self-consciouness was not part of the original study and therefore no original effect size is coded); n_r was inferred from ANOVA F(1,36) = 6.77. The original sample "/><s v="note for n_r: The sample size was inferred as 80 participants took part in the experiment, while 5 had to be excluded and there were 3 experimental groups (eldery condition, youth condition &amp; control condition); pval_value_r: The authors only report a p-v"/><s v="The report does not contain an abstract and thus does not identify as a replication in the abstract. The report describes itself as &quot;Fairly Exact Replication&quot;"/><s v="pval_value_r can be calculated, based on the reported results &quot;The results show no significant difference between the Prime (M= 6.27, SD= 2.15) and the No-Prime group (M = 6.39, SD= 1.11) in the time necessary to walk along the hallway after the priming m"/><s v="extension effect size: The walking speed was measured using a stopwatch. The experimenters were manipulated regarding their expectation of the studies outcome (slow experimenter condition: The experimenter expacted that participants in the priming conditi"/><s v="extension effect size: The effect of the replication reflects an interaction between the experimenters expectation of the studies outcome and the condition (priming versus no priming). "/><s v="extension effect size: The walking speed was measured using a stopwatch. The experimenters were manipulated regarding their expectation of the studies outcome (fast experimenter condition: The experimenter expected that participants in the priming conditi"/><s v="extension effect size: The effect of the replication condition reflects the difference between participants in the priming and no-priming condition during the slow experimenter condition (experimenters were led to believe that participants in the priming "/><s v="extension effect size: The effect of the replication condition reflects the difference between participants in the priming and no-priming condition during the fast experimenter condition (experimenters were led to believe that participants in the priming "/><s v="(1) The replication paper is not fully accessible and makes it difficult to fill the other cells for Study 1. (2) For columns &quot;pval_type_r&quot; and &quot;closeness_r&quot;, I can't able to enter NA as the dropdown menus allow me. @roeseler.lukas@gmail.com"/><s v="(1) P-value for the replicated effect size is not reported (see Table 1), (2) Although the preregistration link is provided, it is a dead link, and (3) As one of the original paper author is consulted, I considered the closeness of the replication as &quot;int"/><s v="Although the 95% CI is reported, the associated p-value for the replicated effect size is not reported."/><s v="(1) Although the 95% CI is reported, the associated p-value for the replicated effect size is not reported. (2) For column &quot;pval_type_r&quot;, I can't able to enter NA as the dropdown menu allow me."/><s v="(1) The results presented about the effect size used to test the hypothesis in the original paper are not clear for Study 2 (at least to me). For this reason, I used the one indicated in the replication paper (Cobb et al., 2014). (2) The replication paper"/><s v="original study d calculated using ES calculations"/><s v="(1) The results presented about the effect size used to test the hypothesis in the original paper are not clear for Study 2 (at least to me). For this reason, I used the one indicated in the replication paper (Pecher et al., 2015). Actually, this value co"/><s v="I don't see in the report anything for significance testing. I&#xA;see by-site descriptive statistics in one of the SMs, but that's not&#xA;really satisfactory to calculate a t-test, pval, and effect size in my&#xA;opinion. I decided it was best to leave it blank for"/><s v="(1) I didn't find the main result of the study in the original paper. However, I used the result mentioned in the replication paper (page 16). Although the 95% CI is reported, associated p-value is not reported. (2) For column &quot;pval_type_o&quot;, I can't able "/><s v="(1) I didn't find the main result of the study in the original paper. However, I used the result mentioned in the replication paper (page 16). Although the 95% CI is reported, associated p-value is not reported. (2) For columns &quot;pval_type_o&quot; and &quot;pval_typ"/><s v="For the replication, I got the data from the supplementary data https://ars.els-cdn.com/content/image/1-s2.0-S0022103113001078-mmc1.pdf"/><s v="The O study had an error in reporting so the claim is on page 2, but the real percentages are on page 3"/><s v="there is no direct mention of the effect size in both papers so I included the test of the o_study(3) and the test of the r_study(1) "/><s v="The R study has phi reported for the effect size, but that option is not available in the cell,  &quot;In contrast with Zhong and Liljenquist (2006) results, Spanish participants who recalled an unethical deed were not more likely to take the antiseptic wipe ("/><s v="there is no direct mention of the effect size in the original paper so I reported the test of the o_study(3). In the r_study φ = .14 but I couldn't add it in the cell so I reported the statistical test."/><s v="there is no direct mention of the effect size in the original papers so I will included the test of the o_study(2) ; NOTE: I can not get access to the replication paper even when following the link provided. the github page give me an error message :("/><s v="I can't calculate the effect sizes because it's not clear how groups are split. I only know thee total sample size and the effect size needs to be weighted by group sizes, or?"/><s v="there is no direct mention of the effect size in the original papers so I reported the test of the o_study(2).  I reported the test of the r_study but note that the general effect size reported for r_study 1 is Cohen’s d = 0.5"/><s v="Also, Earp et al. have seemed to calculate the effect_size_o as 1.08, but I can't seem to calculate that for O's study 2, because they only used a figure and there are no means or SEs"/><s v="there is no direct mention of the effect size in the original papers so I reported the test of the o_study(2).  I reported the test of the r_study "/><s v="there is no direct mention of the effect size in the original papers so I will reported the test of the o_study(4). I also changed the value of the effect size for the r_study since in the paper they reported etasq (partial) not r."/><s v="the replication study in this row refers to study 4 not study 3 so I edited the cell;  there is no direct mention of the effect size so I included the test of the o_study(4) and the test of the r_study but note that for the replication test φ = .2"/><s v="I chose to use the omnibus test and not break down controls by OCD particpants"/><s v="there is no direct mention of the effect size in the original papers so I included here the test of the o_study(4). In  the r_sudy  η2 was reported not r so I edited the cell accordingly."/><s v="replication study states that the original effect was d = 0.59"/><s v="replication study states that the original effect was d = 0..59"/><s v="I  included here the test of the o_study but note that Φ =.30.  the test of the r_study reports d not OR so I edited the cell accordingly; all osf links reported in r_paper do not work"/><s v="I rejected this replication because I felt like it was very different from the original studay in terms of the DVs and categories of IVs"/><s v="I  included here the test of the o_study but note that Φ =.30.  "/><s v="while original paper's statistics are available, the replication study listed does not provide any details on exactly what statistics are used; attempts to locate the original data are proving to be dead-ends"/><s v="It is confirmatory replication attempt"/><s v="GENERAL NOTE: The o_paper have 5 studies and the r_paper is replicating all of them except study number 2. All principal claims are reported here. Note that in the o_paper exp 3 and 4 have the same claims so the r_paper had one study that replicated both "/><s v="Literary Fiction Versus Nonfiction (replication exp 1 - main effect ART)"/><s v="Literary Fiction Versus Nonfiction (replication exp 1 - interaction effect); effect size not reported for r_claim"/><s v="Literary Fiction Versus Popular Fiction (replication exp 3 - main effect condition)"/><s v="Literary Fiction Versus Popular Fiction (replication exp 3 - main effect ART)"/><s v="Literary Fiction Versus Popular Fiction (replication exp 3 - interaction effect)"/><s v="Literary Fiction Versus Popular Fiction (replication exp 4 - main effect condition)"/><s v="Literary Fiction Versus Popular Fiction (replication exp 4 - main effect ART)"/><s v="Literary Fiction Versus Popular Fiction (replication exp 4 - interaction effect)"/><s v="Literary Fiction Versus No Reading  (replication exp 5 - main effect condition)"/><s v="Literary Fiction Versus No Reading  (replication exp 5 - main effect ART)"/><s v="Literary Fiction Versus No Reading  (replication exp 5 - interaction effect)"/><s v="Reolication also calculated d for Experiment 1 in O &quot;The literary fiction versus nonfiction comparison (Kidd and Castano’sExperiment 1, N   86) has Cohen’s d   .51,&quot;"/><s v="Seems to be in German, can't extract the data"/><s v="N for R based on test statistic (F)"/><s v="N for R is stated to be 370, but I am not quite sure that it's true in all of the cases"/><s v="the o_paper had 3 studies and the r_paper had 2 replications of o_study number 3; the results I reported for the r_study are from the two replications (merged) and could be found in table 1 and 2 (p.3);"/><s v="I edited the links to the original paper because it was of the paper before, the o_paper have 4 studies and the r_paper replicated a claim from study 2"/><s v="1. I have used Social Psychology for discipline as most of the references used in this study are from social psychology and there was no specific result for the psychological science. 2. Keywords are not available in both orignal and replication study. 3."/><s v="1. Values for the OVERALL row are taken from both REPLICATION by simply summing up. Since they are new datasets, this can be considered as the Replication, but with bigger power. Both links to OSF are appropriate, thus I leave it empty (links can be found"/><s v="default es_value_r differs from my calculations"/><s v="1. Effect size for the orignal study is taken from the replication study. 2. The page number for replication study is not applicable as replicable study is presented on the webpage."/><s v="For the original study, the spreadsheet was already coded with cohens d found from the replication discussion. &quot;Although the original authors reported fairly strong support for this hypothesis (d = .58)&quot; but I coded partial etasq found originally in paper"/><s v="1) For the original study, the spreadsheet was already coded with cohens d found from the replication discussion. &quot;Nevertheless, the effect sizes we observed (ds = -.13 and -.15) are much smaller than what was reported in the original (d = -.34)&quot;  but I c"/><s v="For the original study, the spreadsheet was already coded with cohens d found from the replication discussion. &quot;Although the original authors reported fairly strong support for this hypothesis (d = .58)&quot;  but I coded partial etasq found originally in pape"/><s v="1.Test stastic for original study are consulted from the replication study and matched with the original study. 2. I am not sure type of &quot;b&quot; I selected for the effect size for replication is correct or not. 3. The page number for replication study is not "/><s v="1. The page number for replication study is not applicable as replicable study is presented on the webpage."/><s v="Ideally, I would have coded 3 rows for the replication: 1 total effect, 1 with original confounding variable and 1 without original confounding variable but I could not find this data on the replication and could only find the total effect: &quot;Specifically,"/><s v="1. Values for REPLICATION were taked from prepring 10.17605--osf.io--fmd75.pdf&#xA;2. In page 25 of the 10.17605--osf.io--fmd75.pdf there should by a typo, as the interaction was tested not with forewarning condition... "/><s v="1. Although Psychological Sciences is not present in the provided list, I have used cognitive psychology as a discipline as I found it more relevant relevant. 2. The value of effect size is negative, the excel is not allowing to inseert it correctly"/><s v="found doi for actual R article, used that as basis for reported information: 10.1016/j.jesp.2020.104066"/><s v="GENERAL NOTE: The results from the r_studies were sourced directly from the OSF file associated with each r_study (link_r), and I verified their consistency with the findings in the SM document. everything was consistent and accurate; the o_paper included"/><s v="As this is a close replication, I was not able to code the original authors' claims accurately as the replication did not make it clear which study (1-5) was being replicated. Instead, the replication created a composite score. Please see copied statement"/><s v="the o_paper included 7 studies but the r_paper only replicated  one claim from study number 1; the effect size reported for the orignial study in the o_paper and the SM doc are a bit diffrent"/><s v="the o_paper included 2 studies but the r_paper only replicated  one claim from study number 1; the effect size reported for the o_study comes from the SM not the o_paper https://www.pnas.org/action/downloadSupplement?doi=10.1073%2Fpnas.1601280113&amp;file=pna"/><s v="I could not find the actual coefficient so I copied it in from the one stated in the replication paper, please see copied in &quot;To evaluate this hypothesis, the authors perform a logistic regression (b = −0.486, p = 0.002); p. 8660.&quot; The authors claims have"/><s v="the o_paper included 7 studies but the r_paper only replicated  one claim from study number 2a; sample size of o_study was infered from the statistical test; I calculated the effect size of the o_claim using the ES calculations sheet based on the informat"/><s v="the o_paper included 9 studies but the r_paper only replicated  one claim from study number 2"/><s v="the o_paper included 2 studies but the r_paper only replicated  one claim from study number 1"/><s v="the o_paper included 6 studies but the r_paper only replicated  one claim from study number 6"/><s v="the test reported for the o_study in the SM doc and r_osf file doesn't match any of the tests mentioned in the o_study. I copied the closest claim fro the o_study in the claim_text_o but kept the other columns empty because I wasn't sure what should be re"/><s v="I could not find the original finding in sufficient detail  as reported in the replicated paper, as you can see from &quot;authors' claims&quot; . Therefore, I have coded the original finding reported by the replication paper, please see copied in here &quot;Partisan pr"/><s v="the o_paper included 6 studies but the r_paper only replicated  one claim from study number 4; as mentioned in the r_paper (osf link) and the SM doc the o_paper do not report the statistical results of the replicated claim. the p value is mentioned in the"/><s v="The test statistic is not in the original paper so I coded the original finding as reported in the replication paper, please see copied in &quot; To evaluate this hypothesis, the authors perform a mixed-effects regression as reported in the Table S16 in the SI"/><s v="the o_paper included 6 studies but the r_paper only replicated  one claim from study number 3b"/><s v="the o_paper included 2 studies but the r_paper only replicated  one claim from study number 2; the results of the claim from the o_study come from table 2 page 3"/><s v="Please note this from the replication &quot;High economic inequality (as compared to low economic inequality) reduces the generosity of high-income individuals (as compared to low-income individuals). The above hypothesis is tested using an OLS regression, int"/><s v="the o_paper included 3 studies but the r_paper only replicated one claim from study number 2b; sample size in the o_study was induced from the statistical test; I calculated the effect size of the o_claim using the ES calculations sheet based on the infor"/><s v="the o_paper included 6 studies but the r_paper only replicated  one claim from study number 5; the results of the o_claim were reported from the SI appendix p.4 https://www.pnas.org/action/downloadSupplement?doi=10.1073%2Fpnas.1606574113&amp;file=pnas.1606574"/><s v="Please note that, for the original study, I coded based on the original finding reported in the replication as the original statistics are found in the Supplementary Information linked in the original paper which does not load up. Please see copied in &quot;To"/><s v="the o_paper included 3 studies but the r_paper only replicated  one claim from study number 2; the test of the o_study was not reported in the o_paper but directly communicated to the author's r_paper so I only reported the information mentioned in the o_"/><s v="I was not able to source the orignal finding from the original paper as this information was provided directly by the authors, so I got it from the replication paper, please see copied in &quot;The paper only reports a 2 (SSES: low or high) × 2 (gender) ANOVA,"/><s v="the o_paper included 2 studies but the r_paper only replicated  one claim from study number 2; only p was reported in the o_study"/><s v="I could not find the reported original effect size in the original paper, please see the insufficient detail in what I coded in 'authors claims' so instead I coded the effect size that the replication paper reported in table 3 of the supplementary materia"/><s v="the o_paper included 6 studies but the r_paper only replicated  one claim from study number 4; the results of the o_claim were reported from the SI appendix p.12 https://ftp.ebi.ac.uk/biostudies/nfs/S-EPMC/472/S-EPMC6275472/Files/pnas.1717092115.sapp.pdf;"/><s v="the o_paper included 8 studies but the r_paper only replicated  one claim from study number 3; o_sample size was reported from the SI appendix https://www.pnas.org/doi/suppl/10.1073/pnas.1610834113 "/><s v="the o_paper included 8 studies but the r_paper only replicated  one claim from study number 8"/><s v="the o_paper included 2 studies but the r_paper only replicated  one claim from study number 1; o_sample size was not reported in o_paper"/><s v="the o_paper included 7 studies but the r_paper only replicated one claim from study number 7; for the r_study I did report d for effect size as mentioned in both the SM table and the paper (osf link) but the paper also report b=0.028 so I am adding it her"/><s v="the o_paper included 2 studies but the r_paper only replicated one claim from study number 2; for the r_study I did report d for effect size as mentioned in both the SM table and the paper (osf link) but the paper also report β=–0.051 so I am adding it he"/><s v="the o_paper included 5 studies but the r_paper only replicated one claim from study number 3; "/><s v="the likelihood ratio test of the o_study reported by the o_study doesn't match the one reported by the r_study"/><s v="There was a discrepency between the findings reported in the original paper and the 'original findings' reported by the replication paper in table 1 (&quot;In repeated games against rigid opponents, participants assigned to be thieves act relatively flexibly i"/><s v="the o_paper included 3 studies but the r_paper only replicated  one claim from study number 1; for the r_study I did report d for effect size as mentioned in both the SM table and the paper (osf link) but the paper also report β=0.156  so I am adding it h"/><s v="the o_paper included 4 studies but the r_paper only replicated  one claim from study number 4"/><s v="I coded the effect size found in original paper as instructed but please see replication notes about this, &quot;The authors test the above hypothesis using a paired t-test, t(201) = 17.51, p &lt; 0.001, dRM = 0.50; p. 10329. Note, however, the test could not be "/><s v="the o_paper included 9 studies but the r_paper only replicated  one claim from study number 7b"/><s v="this effect had 2 tests in the r_study t(220) = -3.22, p = .001, d = -0.43, 95% CI [-0.70, -0.17] and (additional results of a paired t test: t(110) = -4.59, p &lt; .001, dz = -0.44, 95% CI [-0.63, -0.24]), I reported the second one because the sample size w"/><s v="1. The abstract of the paper reflect that the study 1 is a replication study. The study 2a also replicates the actual study (study 2) conducted in the current papers. Leaving replication studies, I am just annotating the study 2 which is an online experim"/><s v="1. Values for REPLICATION statistical inferences were taken from Files uploaded to OSF (link: ) and saved in PDF titled &quot;10.17605--osf.io--j8a4p.pdf&quot;&#xA;2. Pre-registration OSF: https://osf.io/x9tq5&#xA;3. SInce in the main table of the original manuscript the r"/><s v="1. The paper has replicated with the same data and with the new data. So I am reporting both. 2.This part is related to the replication through the same data as of original study. 3.The sample size is not mentioned in the original study, but replication s"/><s v="1. The paper has replicated with the same data and with the new data. So I am reporting both. 2.This part is related to the replication through the new data as of original study. 3.The sample size is not mentioned in the original study, but replication st"/><s v="1. For the replication only results from the time period 1996-2016 were used.&#xA;2. In the original study the sample size should be the number of observations, which is 12 * 27 = 324&#xA;3. The file 10.18718--81781.23.pdf was uploaded&#xA;4. The papers applied Newey"/><s v="Outside my area of expertise - unable to code this entry further"/><s v="Framing effect"/><s v="Gender differences - Giving "/><s v="Gender differences - Taking "/><s v="As the recipients were passive and the behavior of the dictator was measures, I excluded recipients from the effective sample; Both studies also include some regression analyses to examine interaction effects. However, the effects that I coded seem to be "/><s v="Ireland 2005-2010; This replication study contains many tables. I have already written to Sarah and am happy to code all the other tables as well. If you let me know which specific values you need from the tables, I will code them accordingly."/><s v="Unable to code as economics papers differ from psychology/social science papers in structure, focus, and reporting. They emphasise calculations and procedures applied to different datasets/settings rather than replicating an effect."/><s v="The effect being replicated - namely that disgust sensitivity and perceived intentionality are more strongly related when people consider gay kissing than when they consider kissing in general - is not formally tested in the original paper, but justified "/><s v="The z score for the original difference in correlations analysis was recalculated as a q value in the replication study - stands at q = 0.48 in the  recalcuations as reported in the replication paper"/><s v="Contrasted US to WEIRD samples - all other comparisons are not general replications"/><s v="Contrasted Japan to non-weird samples"/><s v="There is a huge discrepancy between the results in the original paper and the replication study for study one and the claim texts are not clear"/><s v="There is a huge discrepancy between the results in the original paper and the replication study for study one, and the claim texts are not clear"/><s v="The paper existing in the replication is for Knobe (2003) which has no statistical values in Study 1 yet the paper for the row is published in 2006"/><s v="Dilemma 1 taken to be the comparison between scenario 1 and 2 for the  principle of double effect"/><s v="The replication paper appears to have a type in the reported F value for the supermarket scenarios.&#xA;F = 17.7 in the replication paper is F = 17.27 in the original paper. "/><s v="N = 180, total sample of both Hong Kong (N=100) and USA participants (N=80), combined samples"/><s v="N = USA sample of 80"/><s v="N = Hong Kong sample of 100"/><s v="The reported test statistics in the original study are a bit confusing; therefore needs to be validated"/><s v="NB: The replication paper states teh OR should be OR = 4.96, however, based on the percent success in both frames we calculate at 5.203 (see repro value)"/><s v="There are no test statistics values apart from the percentages reported in the original study; hence, effect sizes calculated in the replication study have been noted"/><s v="The statistics reported in the original study are confusing compared to those reported in the replication study; therefore needs validation"/><s v="N= 1207+2 = 1209"/><s v="The p-value of the original study has been recorded incorrectly in the replication study. Therefore, the p-value of the original study has been recorded"/><s v="Table 1 of the original study report d= 0.80, however the replication study reports d= 0.87 for the original study. Looking at the values in Table 1  of the original study our reproducible calculation gives a value of 0.87 which is therefore reported here"/><s v="NB: the replication manuscript suggests the the original n was 144, however, the original manuscript indicates that the n was made up of  two groups of 77 aka 154, (this is verified further by the df of the t-tests in both the original and replication man"/><s v="There is no PDF attached for this task, and the only search shows it is not freely accessible"/><s v="The number of participants for the effect of condition on belief in global warming and concern about it were different"/><s v="Focal comparison with English subsamples."/><s v="replication effect is in opposite direction"/><s v="No p-value reported on construe of choices in the replicated study"/><s v="Both original and replicated studies are indicated as nested"/><s v="This task is similar to the above task"/><s v="The original study reports results for different cultural groups separately to compare them against each other. The replication compared a general sample only - here two of the three subsamples from the original study are compared to the replication sampl"/><s v="This task requires validation because of the confusing statistics reported in the original study"/><s v=" There is no information on the &quot;Preferences for formal versus intuitive reasoning: Norenzayan, Smith, Kim, and Nisbett (2002, Study 3) to compare with the original study"/><s v="Link O leads to a wrong paper - &quot;Creating Global Brand Names: The Use of Sound Symbolism, 2013, Gerard A. Athaide a &amp; Richard R. Klink&quot; instead of &quot;Klink, R. R. (2000). Creating brand names with meaning: the use of sound symbolism.&quot; Original study doesn’t"/><s v="Link O leads to a wrong paper - &quot;Creating Global Brand Names: The Use of Sound Symbolism, 2013, Gerard A. Athaide a &amp; Richard R. Klink&quot; instead of &quot;Klink, R. R. (2000). Creating brand names with meaning: the use of sound symbolism.&quot;Original study doesn’t "/><s v="For some reason when present O results, R operates with word &quot;rich&quot; instead of &quot;thick&quot; used in O. After that R also uses &quot;thick&quot;, so it's probably just a mistake. No matter the fact, it didn't affect data extraction. Link O leads to a wrong paper - &quot;Creat"/><s v="1) The effect sizes (r) for the original study coded for this row and the subsequent 12 rows are the calculated effect sizes of the original study as reported in the replication study. Table 2 on Page 9 of the original study reports results as percentages"/><s v="P.10, Table 5 In R also states r = 0.407 for O and r = 0.026 for R."/><s v="P.10, Table 5 In R also states r = 0.348 for O and r = 0.054 for R."/><s v="It's basically the same as OpenMKT10, but R conducted other analysis (the Mann-Whitney U test) because of the outlier, hence statistics for O remain the same, but differ for R. This kind of test wasn't preregistered"/><s v="careless participant's aren't included in R"/><s v="MTK12 rows e-h include the same statistics for O, but different for R (in e-f &quot;careless participants&quot; included in the R analysis  (e.g., responses that were completely nonsensical or did not attempt to answer the prompt), hence larger sample"/><s v="MTK14 rows e-h include the same statistics for O, but different for R (in e-f &quot;careless participants&quot; included in the R analy (e.g., responses that were completely nonsensical or did not attempt to answer the prompt), hence larger sample"/><s v="a-d = careless participants not included in R statistics"/><s v="e-h = careless participants included in R statistics"/><s v="P.9, Table 5 In R also states r = 0.385 for O and r = 0.251 for R."/><s v="There is a discrepancy in the number of participants for Experiment 1a as recorded in the replication study, n=88, while the correct one in the original study is n=106. Therefore, the number of participants, N = 106 (1a) + 88 (1b) + 181 (1c) = 375 partici"/><s v="P.9, Table 5 In R also states r = 0.362 for O and r = 0.106 for R."/><s v="P.9, Table 5 In R also states r = 0.367 for O and r = 0.387 for R."/><s v="P.9, Table 5 In R also states r = 0.295 for O and r = 0.011 for R."/><s v="P.9, Table 5 In R also states r = 0.249 for O and r = 0.238 for R."/><s v="P.9, Table 5 In R also states r = 0.299 for O and r = 0.180 for R."/><s v="P.9, Table 5 In R also states r = 0.241 for O and r = -0.011 for R."/><s v="P.9, Table 5 In R also states r = 0.274 for O and r = 0.095 for R."/><s v="P.9, Table 5 In R also states r = 0.186 for O and r = 0.012 for R."/><s v="P.9, Table 5 In R also states r = 0.178 for O and r = 0.036 for R."/><s v="P.10, Table 5 In R also states r = 0.271 for O and r = 0.012 for R."/><s v="P.10, Table 5 In R also states r = 0.246 for O and r = 0.038 for R."/><s v="P.10, Table 5 In R also states r = 0.197 for O and r = 0.041 for R."/><s v="P.10, Table 5 In R also states r = 0.400 for O and r = 0.009 for R."/><s v="P.10, Table 5 In R also states r = 0.245 for O and r = 0.003 for R."/><s v="P.10, Table 5 In R also states r = 0.251 for O and r = 0.013 for R."/><s v="P.10, Table 5 In R also states r = 0.258 for O and r = -0.003 for R."/><s v="P.10, Table 5 In R also states r = 0.195 for O and r = 0.000 for R."/><s v="P.10, Table 5 In R also states r = 0.189 for O and r = 0.061 for R."/><s v="P.10, Table 5 In R also states r = 0.171 for O and r = −0.007 for R."/><s v="P.10, Table 5 In R also states r = 0.208 for O and r = −0.031 for R."/><s v="No. of participants = 194 - 15 (excluded- could not identify shopping goal) = 179 (Study 2)"/><s v="P.10, Table 5 In R also states r = 0.261 for O and r = 0.022 for R."/><s v="P.10, Table 5 In R also states r = 0.386 for O and r = 0.394 for R."/><s v="Unsure whether the F-test controlled for nesting, thus whether it was a repeated measures ANOVA"/><s v="1. Second OSF link: https://osf.io/r8wt9&#xA; 2. Minor technical changes were made for the replication"/><s v="1. The second OSF link: https://osf.io/z4yqw&#xA; 2. Since there was a minor change in the experimental design (exclusion of duration condition) I consider the study as close replication"/><s v="1. This was an online replication, thus -&gt; conceptual"/><s v="1. Changes were mostly connected with sample and statistical tools"/><s v="The table states that the p-value of the original effect size is two-tailed but the report does not include this information.; Authors reported p-rep instead of p-value"/><s v="1. Most changes of the task were connected with its adaptation to another language. Depending on language (here Eng -&gt; Hebrew) it is a big or small change. I would consider this to be a big change, along with authors description&#xA; 2. Authors reported p-rep"/><s v="Exclusion"/><s v="1. No replication study"/><s v="1. There were severa differences in experimental setup (common room), but authors of replication and original authors stated that it does not produce big differences -&gt; close replication"/><s v="1. Minor changes to the paradigm&#xA; 2. Authors reported p-replication (probability of replication) instead of p-value"/><s v="Authors reported p-rep instead of p-value"/><s v="1. Authors of replication stated about potential differences on the effect due to cultural differences. Since it is an important factor for the results -&gt; conceptual replication&#xA; 2. Authors reported p-replication (probability of replication) instead of p-"/><s v="The ANOVA of the replication report deviates from the one in the table (I chose the report). The table states that the test was two-tailed, but this information is not provided in the report.; Authors reported p-rep instead of p-value"/><s v="1. In RPP table the study is attributed to Social studies, but it is rather Neuroscience&#xA; 2. Authors reported p-replication (probability of replication) instead of p-value"/><s v="1. Authors reported p-replication (probability of replication) instead of p-value"/><s v="The table states that the p-value of the original study was two-sided, while I can not collect this information from the original report. The t-test refers to values of a pre-post test. I only coded the test statistics, as the effect size was dz (from rep"/><s v="1. Minor sample and language differences&#xA; 2. For replication Cohen's dz is used"/><s v="1. Minor changes to the paradigm&#xA; 2. Authors reported p-replication (probability of replication) instead of p-value&#xA; 3. I am not sure whether the analsis was nested or not."/><s v="1. The second OSF link: https://osf.io/pgvej&#xA; 2. Confidence rating was excluded from the replication. Given that it was collected in the original study after the recall, I consider this study to be a close replication"/><s v="The table states that the correlation was tested one-tailed (in the original), the report does not specify this."/><s v="1. Although in RPP table this paper was in Social science, I would rather put it in Cognitive because of the studied phenomenon and methods. However, I report along with the RPP table the final Code."/><s v="Authors reported p-rep instead of p-value, another effect size was available, too (z = 5.43)"/><s v="1. The final report of replication in under another link: https://osf.io/nxp9w&#xA; 2. Although the study in RPP table is in Social sciences, it is more about neuroscience due to target and methodology. However, I report along with RPP table. &#xA; 3. Updates wer"/><s v="The authors of the original report report r-square as an effect size, but I was not sure whether you can use that effect size for further codings. The authors of the replication report report Cohens dz and I was not sure whether you can work with this eff"/><s v="1. Authors of replication stated that they did minor changes to screen size, but adjusted all paramaters to the renewed screen. Since this can affect the visual perception directly, I put the replication to conceptual category&#xA; 2. R-square is used for ES "/><s v="No replication"/><s v="1. No replication"/><s v="I was not sure whether you could use omega as an effect size. Therefore, I report test statistics.; Only p-rep is reported"/><s v="1. Two more OSF links: https://osf.io/fymue, https://osf.io/2uh78&#xA; 2. There was no information about Discipline in the RPP table, thus I put my considerations into the cell"/><s v="1. There is no replication"/><s v="The authors of the original report report a value of p = .000, but as a p-value can not be zero, I changed the value. A two-tailed paired t-test was used, thus the test should control for nesting."/><s v="1. Changes in distance between viewer and screen could affect the results -&gt; conceptual replication"/><s v="Only p-rep was reported (original report); The OSF page of the replication project does not work."/><s v="1. Minor changes to the paradigm"/><s v="1. The second OSF link: https://osf.io/d2yqj&#xA; 2. I would say it is a close replication, since authors only changed the software and instructional presentation was not detailed in original study&#xA; 3. The Effect can be either &quot;Numeracy&quot; (object, phenomenon) "/><s v="There were two replication studies (one from Amsterdam and one from the U.S.). The combined analysis is also described in the paper. However, the table only describes the amsterdam study."/><s v="1. There were two studies, with one more conceptual replication and one - close replication. Since Amsterdam study was reported in RPP table, I put conceptual &#xA; 2. The data for replicatgion was taken from this link: https://osf.io/nkaw4"/><s v="1. Multiple changes were made in the replicational procedure / design -&gt; conceptual &#xA; 2. The results in the original study are coded as significant, however neither p value or alpha level is indicated. I assume it to be 0.05 and put &quot;p &lt; 0.05&quot;"/><s v="The table and the replication report do not align with each other. I chose the effect of the replication report."/><s v="1. The correlation is partial&#xA; 2. There can be cultural effect on the results -&gt; conceptual replication&#xA; 3. Authors reported p-replication (probability of replication) instead of p-value"/><s v="Three preregistrations of replication; The table states that the effect of the replication study was tested two-sided while the report does not indicate so.; Authors reported prep instead of p-value in the original study."/><s v="Three preregistrations of replication report; Table states that study 2 is replicated while the report states that it is study 1"/><s v="1. Another OSF links: https://osf.io/bx64z&#xA; 2. There is no explanation of how participants were devided to groups, thus it is difficult to calculate Cohen's d. I reported the calculted in ES calculations Cohen's d"/><s v="Two preregistrations of replication report: Original study reports only prep (.95)"/><s v="1. Important difference in how groups were seated (together or separately) -&gt; conceptual replication&#xA; 2. The effect can be either &quot;Intragroup / intergroup conflict&quot; or &quot;Cooperation&quot;. The second term is broader, thus I chose it"/><s v="1. The study was partially online, thus it required modification in design&#xA; 2. The study is called &quot;main study&quot; in the original manuscript, rather than &quot;2&quot;."/><s v="1. There were modification (index card, that provided a review of ink color and keyboard key matches) which may influence the results -&gt; conceptual replication&#xA; 2. The Effect can be either &quot;Contingency&quot; or &quot;Item-specific proportion congruent effect&quot;. I ch"/><s v="1. In original study, no p-value is reported. However, the prep = .99"/><s v="1. The second OSF link: https://osf.io/u8g3x&#xA;2. Since stimulus were recreated, rather than reused, I would suggest to mark the study as conceptual replication&#xA;3. I can't understand how the effect can be significant if p &gt; 0.99. I am not sure that I unders"/><s v="1) 'doi_r' differs from the link provided on page 35 table from OSC 2015 PDF and their effect sizes differ, I coded the one from the link provided in PDF. 2) I coded d= 005 as in the link found in OSC 2015 PDF but the RPPdataConverted.xlsx table contained"/><s v="1. Minor changes were made for the replication&#xA;2. Authors reported p-replication (probability of replication) instead of p-value"/><s v="Link provided in OSC 2015 PDF not valid, so I had to find information on this link: https://osf.io/27cmh"/><s v="1, The data for replication was taken from this link: https://osf.io/27cmh"/><s v="1. There were slight difference in methodology and quite important age difference in sample -&gt; conceptual&#xA;2. P values were not provided in both original and replication studies"/><s v="1. In original study, no p-value is reported. However, the prep = .927 2) Block design was different hence conceptual"/><s v="1. There were differences in the block design -&gt; conceptual replication"/><s v="1. The replication was conducted not in the lab&#xA;2. The Effect is either &quot;Visual detection&quot; or &quot;Fear-irrelevance&quot;. The effect/object is the second, the effect is the second. I chose Visual detection as it is broader. "/><s v="1. In original study, no p-value is reported. However, the prep = .97"/><s v="1. There is a difference in the sample - high-school students (&quot; in the last 2 years of high school&quot;) or 1st year university students. I assume this groups to be quite equal in WM abilities (https://doi.org/10.1038/s41598-020-80866-1), thus the replicatio"/><s v="1. The differences with original study are mostly technical, thus - close replication"/><s v="Conceptual as experimental design was different"/><s v="1. In my opinion, quite big valuable changes were made in the replication for the experimental design"/><s v="1. Also there is a second OSF link: https://osf.io/nra37"/><s v="1. The second OSF link: https://osf.io/mghvs"/><s v="1. The second OSF link: https://osf.io/397fh&#xA;2. The effect can be either &quot;Additive effect&quot; (stated in the paper) or &quot;Familiarity&quot; (object / phenomenon). I chose the 1st as it is stated explicitly in the paper"/><s v="I couldn't find the effect size in the replication paper, so coded from the OSC dataset table"/><s v="1. The second OSF link: https://osf.io/8qrtd"/><s v="1. Stimuli size was slightly larger, thus I would treat it as the conceptual replication, rather than a close, since the experimental stimulus were manipulated."/><s v="1. The second OSF link: https://osf.io/avy86"/><s v="1. I am not sure in the Description. Authors of the original paper says the statistical inferences of Experiment 3 supported Prediction 1, but it seems that it was more about Prediction 3:&#xA;&quot;higher judgments of Cause A when there are 12 A instances than wh"/><s v="1. The second OSF link: https://osf.io/pxr93&#xA;2. Minor technical differences"/><s v="I reported the effect size found in the original replication paper d=.142 instead of the etasq of .122 reported in OSC 2015 PDF table as cannot find that in replication paper"/><s v="1. The sacond OSF link: https://osf.io/9x765"/><s v="1) The link to the replication paper does not work, I found report through this link: https://osf.io/k7chx 2) The partial etasq reported in OSC 2015 table for the replication efefct size is 0.00003 but in the original paper it is .0. Coded from original r"/><s v="1. There is also a second OSF link: https://osf.io/7ufyv&#xA;2. Conceptual replication because minor changes were made for the analysis (exception of 1 condition) and sample filtering process (based on Eng fluency)&#xA;3. In the replication, the Interaction resul"/><s v="The replication paper didn't report p-value so I coded it from the OSC 2015 table"/><s v="1. Authors of replication noted &quot;ns&quot; for significance level, which I consider as more than the threshold = 0.05 (they wrote this when they described G*Power calculations)"/><s v="1. The main difference was in population - they were Italians, which can affect the attitude&#xA;2. I am not sure in the nested / non nested version for regression analysis. "/><s v="Please note exact p-value of replication finding is p=2.2 × 10⁻¹⁶ "/><s v="1. Authors of replication used different cut-off intervals, which could affect the result (aka filteting)&#xA;2. Leven's test is not nested 3) Please note exact p-value of replication finding is p=2.2 × 10⁻¹⁶ "/><s v="1. F-square is used to report ES of replication&#xA;2. I am not sure whether the analsis was nested or not."/><s v="1, The data from replication is taken from: https://osf.io/2pbaf&#xA;2. The study sample age was changed as well as online experimental design was used&#xA;3. In the original study the division on groups is not specified: was it equal or not. The design is betwee"/><s v="The replication report found https://osf.io/v7bjc 2) no p-value reported in original study"/><s v="1. The second OSF link: https://osf.io/a9vrq&#xA;2. Authors did modification in replication (counterbalancing in a Latin square fasion)&#xA;3. No p-value was reported in the original study"/><s v="Couldn't find the effect size in original replication paper that was reported in the OSC 2015 table, I coded from the replication paper directly"/><s v="1. There was no indication of interaction in the original study (since it was not significant), thus I am not sure whether exactly this values should be reported. Moreover, they are different from RPP table."/><s v="The link here to the original paper is wrong, I coded from https://www.uky.edu/AS/PoliSci/Peffley/pdf/Sniderman/Amodio_et_al_2008_JPSP_Individual%20Differences%20in%20the%20Regulation%20of%20Intergroup%20Bias.pdf"/><s v="1. Also for OSF there is a second link: https://osf.io/dqybc&#xA;2. In the original paper there is a misinformation, as authors firtly wrote about 59 participants, from which 1 was excluded, somehow resulted in 48. &#xA;3. An updated file was uploaded for origina"/><s v="1. &quot;The experiment materials provided by the original authors included only 7 experimental descriptions for participants to rate. &quot; - thus it can't be assessed as close replication, even considering such an opinion of the authors&#xA;2. The study is about neu"/><s v="I coded directly from the replication paper, there is some inconsistency as the OSC 2015 table states that the d=.082 and p-value of .796 "/><s v="1. There minor changes, but there were a lot of them as well as the argue about the sample -&gt; conceptual replication"/><s v="1. The mateirial to replication study was taken from the link: https://osf.io/efjn3&#xA;2. The second OSF link is available: https://osf.io/xy9mv/"/><s v="2. The Effect is about either &quot;Social perception&quot; or &quot;Communal responsiveness&quot; I used the second as it is stated in the paper&#xA;3. Authors stated the modification of the procedure, which they believe have small influence on the replication. However, from my"/><s v="1. There are also 2 additional OSF links: https://osf.io/cbwgj, https://osf.io/zhxuy"/><s v="I coded directly from the replication paper, there is some inconsistency as the OSC 2015 table states that the d=-.01"/><s v="1. Authors added appreciation to the list of emotions"/><s v="Conceptual as study to design from being measured individual to groups"/><s v="1. Tags were combined from RPP table and the paper &#xA;2. There is also the second OSF link: https://osf.io/v3hfb&#xA;3. The study was conducted in groups instead of individually&#xA;4. Exploratory analyses was conducted with the usage of original sample, thus it is"/><s v="1. The second link for OSF is: https://osf.io/e4vqu"/><s v="1. There was a second OSF link: https://osf.io/p5en6&#xA;2. In my opinion the Discipline is more about &quot;Differential Psychology&quot;, however, in RPP table it is &quot;Social&quot;, thus I leave it to be along with the RPP table. "/><s v="Link from OSC 2015 table to replication paper didn't work but I found it here: https://osf.io/b9jtc"/><s v="1. Also, there is a second link for OSF: https://osf.io/bfzn9&#xA;2. There were differences with original study in the survey administration and sampling frame"/><s v="1. There were 2 additional links to OSF: https://osf.io/6c5kp, https://osf.io/f2gru&#xA;2. The values for effect size are given in order to calculate Cohen's h for binomial test: observed and hypothesized proportion (h = 0.944 and 0.914)"/><s v="For original study, I coded directly from original study as could not find values reported in OSC 2015 table"/><s v="1. In the RPP table there is a statement about t-test, however, in the original paper authors report ANOVA. I put the value like in the original study. &#xA;2. In the RPP table the Cohen's d is reported. However, it is not stated in the replication report and"/><s v="1. The second OSF link: https://osf.io/dwr2m&#xA;2. In my opinion the Discipline is more about &quot;Differential Psychology&quot;, however, in RPP table it is &quot;Social&quot;, thus I leave it to be along with the RPP table. "/><s v="1. There is also the second OSF link: https://osf.io/2kryw"/><s v="In replication paper, X^2(1, N=120) = 4.80 was reported too but I coded phi as it is more suitable for effect size. However, not sure if I coded the type correctly."/><s v="1. The second OSF link: https://osf.io/hctz9&#xA;2. The Effect is also &quot;Social deviance&quot;&#xA;3. The effect size of replication is Phi&#xA;4. There are four different districts in the replication. Each of them can be considered as separete replication"/><s v="In the replication paper,  β hat  = 0.4695"/><s v="1. Authors stated that the response rate was very low (approximetly 0%), which means that these results are effectively un-interpretable. The replication fialed."/><s v="1. Two more OSF links: https://osf.io/49xea, https://osf.io/24d7b"/><s v="Link to original paper is wrong, I used : https://kops.uni-konstanz.de/server/api/core/bitstreams/f8cf3efc-7de6-49c4-8ff8-ce1e1a9b6892/content"/><s v="1. An updated file was uploaded for original study (in the e-mail there is  a link to the corresponding folder)"/><s v="1) I coded p-value from original paper, the OSC 2015 table says p&lt;.05 2) Conceptual as story line changed"/><s v="1. There is another OSF link with the same files in it: https://osf.io/tue9g, https://osf.io/9bsqn"/><s v="1. The replication was conducted online"/><s v="1) The link to original paper is wrong, I coded from http://www.communicationcache.com/uploads/1/0/8/8/10887248/self-regulation_and_selective_exposure-_the_impact_of_depleted_self-regulation_resources_on_confirmatory_information_processing.pdf 2) I coded "/><s v="1. There are differences in the values from the RPP table and from the replication report. I marched the results from original study and replication&#xA;2. An updated file was uploaded for original study (in the e-mail there is  a link to the corresponding fo"/><s v="Coneptual as mutliple experimental materials were changed"/><s v="1. in Effect it can be either Racial Distancing (the phenomenon of interest) or the stepeotype threat theory (a framework)&#xA;2, The experimental procedure was slightly changed (more distracting topics, the time of the manipulation instruction)"/><s v="For original, I coded directly from paper but OSC 2015 table states r = .04. For replication paper, I coded directly from OSC 2015 table as couldn't find values directly from paper"/><s v="1. Several minor changes were made to the procedure (analyzing warmth, Y/N answers to several questions and so on)&#xA;2. It seems that values in RPP table are not exactly the values reported in the perlication report. I would suggest checking one more time, "/><s v="1. https://osf.io/ne9dy/registrations - there is no completed registrations of the project&#xA;2. No data of replication is provided both in RPP table and https://osf.io/ne9dy/&#xA;3. No data about science area is in RPP table. I consider &quot;Cognitive psychology&quot; t"/><s v="1)  For replication paper, I coded directly from OSC 2015 table as couldn't find values directly from paper 2) The link did not work to the original link so I coded from here: https://d1wqtxts1xzle7.cloudfront.net/39910353/Balancing_Connectedness_and_Self"/><s v="1. There is a second link for OSF, but it is taged with &quot;withdraw&quot;: https://osf.io/wys6d&#xA;2. I am not sure in the reported results of replication study. There is a mismatch with RPP table. &#xA;3. The effect is either &quot;relationship connectedness&quot; or &quot;self-este"/><s v="Had to code from OSC 2015 table for the replication paper as unexpected server response message kept coming up for replication paper https://osf.io/mptb2"/><s v="1. Additional OSF link: https://osf.io/8nqsh&#xA;2. Several differences with the original study: online, not equal groups, another statistical analysis"/><s v="1. Although Psychological Sciences is not present in the provided list, I have used cognitive psychology as a discipline as I found it more relevant relevant."/><s v="I relied on the effects from the replication study, which were fully reported in the text. Unfortunately, no effect sizes or statistics were provided that you could directly use. Therefore, I extracted the statistics from the text and table, hoping that y"/><s v="1. The original study is from &quot;Journal of Consumer Research&quot; - however, now Consumer psychology is in the Discipline list 2. First part of tags is from original study, second - from the replication  3. One subject was removed from the original study (p. 7"/><s v="ES for O changed in accordance with O (etasq partial instead of d). Replicated studies were not preregistered"/><s v="This row has been coded as Experiment 2 replication study of Experiment 2 in the original study."/><s v="I skipped that row, because I couldn't fine a file clearly indicating replication procedure and results"/><s v=" I need help coding this row. The information in the original study is unclear, and the link to the replication study only contains raw data, with the .csv file with the information on the methods and the results on the replication study is in German, a l"/><s v="Nested_r determined on the use of chi square test. Test statistics extracted from the O and R instead of SE that was already in the table"/><s v="1) The p-value has been indicated as ns (not significant); hence, it is coded as p&gt;0.05. 2) I wanted to calculate the effect size 𝑤 (Cohen’s w) for a Chi-square test using the Chi-square result and the sample size, N, reported in the original and replica"/><s v="One paper described both studies with slightly different conditions (study 1 - answered to  if they would be willing to either flip a switch that diverts the trolley so that it kills one person instead of five (switch dilemma) or push the individual off a"/><s v="OR for R calculated using information from Table 1 and ES calculator"/><s v="The test statistics for the replication study should be validated."/><s v="ES type for R changed to etasq partial in accordance with the paper&#xA;"/><s v="1) The replication study reports the number of participants for each of the three treatment conditions out of the 329 participants recruited for the study. This is what has been used to code the n_r variable. 2) Table 2 in the replication study reports th"/><s v="I am leaving the es_value and es_value_type how I originally received this spreadsheet as not sure how to code these. Please see original author's claim coded in this row and the following replication claim &quot;The one-sided Bayes factor for the time-to-exha"/><s v="1. The discipline can be also &quot;cognitive psychology&quot;  2. For the replication: BF (01) = 9.762 3. For the replication the ES was calculated based on the provided M + SE. The conversion to SD was conducted by the formula: SD=SE×sqrt(N). The ES was calculate"/><s v="1. The discipline can be also &quot;cognitive psychology&quot;  2. For the replication: BF (01) = 4.04 3. For the replication the ES was calculated based on the provided M + SE. Since we had only upper and lower CI, in order to calculate SE I used the following for"/><s v="1. The discipline can be also &quot;cognitive psychology&quot;  2. For the replication: BF (01) = 2.587 3. For the replication the ES was calculated based on the provided M + SE. Since we had only upper and lower CI, in order to calculate SE I used the following fo"/><s v="No preregistration of the r_paper but only supplementary materials: https://osf.io/6k5rg/registrations"/><s v="the results of the effect in the r_sttudy are not reported &quot;Next, feelings of guilt were not significantly related to recovery experience and vitality.&quot; (p.19)"/><s v="the results of the effect in the r_sttudy are not reported &quot;When looking at the direct relation between binge-watching and well-being, we found that respondents who binge-watched more also experienced more enjoyment ...No relations with recovery experienc"/><s v="1. I would mark this replication as conceptual, since the analysis plan was different from the original study and the data was gathered online"/><s v="1. I would mark this study conceptual replication, because it was online"/><s v="No statsitics were reported in the original paper, please see notes_validation by previous coder- I agree."/><s v="1. For ES measurement I used OR from the &quot;ES calculations&quot; page. The values, which were used, are: 89% of correct answers (in the paper - 11% of incorrect) and 74% of correct answers (in the paper - 26% for incorrect) (page 6)"/><s v="1. For ES measurement I used OR from the &quot;ES calculations&quot; page. The values, which were used, are: 60% of correct answers (in the paper - 40% of incorrect) and 90% of correct answers (in the paper - 10% for incorrect) (page 7, Trump and Clinton voters)"/><s v="Coded closeness as 1 due to same author (Olson)"/><s v="1. Two links to preregistration were provided. The second: https://osf.io/uyng7"/><s v="The main effect is an ombnibus F-test and so I couldn't do  a couldn't calculate the paired t-test without a t-value on the pos- and neg-valenced means"/><s v="I edited the cell of the effect size of the r_paper since only the test was reported. Note from the authors of the r_study:&quot;A between-subjects Cohen’s d was also calculated for familiarity, although this should be inter-preted with caution as it does not "/><s v="Data for R copied from Footnote 4, it also seems like R replicate some results from another paper, specifically Vaughn, L. A. (2018). Contents of hopes and duties: A linguistic analysis. Frontiers in Psychology, 9, 1–13. DOI: https://doi.org/10.3389/fpsyg"/><s v="1) The correct preregistration link for the replication study has been coded 2) The number of participants has been coded as 457 (t(1,455) = −4.503), i.e., 455+2 = 457, for the classic ISE (Contrast 1). This can, however, be validated"/><s v="Values for R extracted from the OSF project page"/><s v="This row needs validation because I'm not sure of the coded information since the replication study has limited information to compare with the original study."/><s v="N for the replication study from test statistic F1,84 = 107.831= 84+2 (df) = 86; Unsure if the replication is nested or not."/><s v="n_r = 81+2 =83; The rowid should be resolved because this is same replication study as the above row."/><s v="n_r = 72+2 =74 (t72 = 7.087). However, it needs to be validated to pick the right one between the pre-coded 85 and 74. The rowid should also be resolved because this is the same replication study as soscisubmission47."/><s v="For original study, I am not sure if I am coding the F values correctly or whether these should be coded seperately as two different rows (aka one for subject-level and one for item-level)"/><s v="1. In the manuscript along all the results only one result is matching. I also checked the results with: https://osf.io/yh5js.It seems in the end when comparing the results there was an error, since the corresponding tasks are in experiments 1b and 3b, in"/><s v="1. I would rather say that the Discipline is more about Developmental psychology 2. In the replication the DLS metric is used.  The DLS is the difference between looking time to the correct side and looking time to the incorrect side divided by the sum of"/><s v="1. Conceptual - because if was a testing of the same effect but on another age cohort 2. Four students were removed from the analysis (study 2) 3. The results are attributed to the period from entry 1st year to the end of the 2nd year"/><s v="ES for O changed in accordance with O (etasq partial instead of d).  A typo in R results description (p &lt; .05) , while it's clear from the description that it's not true. &quot;However, an independent samples t-test (one-tailed) showed no significant (p &lt; .05)"/><s v="This row has been coded as Experiment 1 replication study of Experiment 2 in the original study."/><s v="The pval_value_o was estimated based on t(84) = 2.40 sarahashjones@gmail.com Hello. Please help me understand this. This t(84) = 2.40 does not exist in the original study, therefore, I have discarded the entry. I hope this is correct. Thank you."/><s v="(1) P-value was not reported. As a result, I can't able to enter NA in the column &quot;pval_type_o&quot; as NA is not in listed in the dropdown menu; (2) I considered the adjusted p-value for the replicated effect size. sarahashjones@gmail.com This coder considere"/><s v="Although the replication used the same AAS measure for attachment, SVO was measured using the SLM rather than TDM as in the original study. As one key construct was measured differently, this is coded as a conceptual replication (closeness = 3). Original "/><s v="(1) P-value was not reported. As a result, I can't able to enter NA in the column &quot;pval_type_o&quot; as NA is not in listed in the dropdown menu; (2) I considered the adjusted p-value for the replicated effect size; (3) The categories individualists and compet"/><s v="This replication used the same 4-item composite for secure attachment as the original but measured SVO using SLM instead of TDM. As one key construct was operationalized differently, this is considered a conceptual replication (closeness = 3). Original p-"/><s v="Both constructs were measured differently in this replication (SLM for SVO and ECR-R for attachment), though the theoretical hypothesis remained the same. Coded as a conceptual replication (closeness = 3). Original p-value computed from t(48) = 2.46. "/><s v="This effect compares the number of siblings between prosocials and individualists using the same TDM measure and operationalization of sibling count as in the original study. Original authors were not involved; coded as a close replication (closeness = 2)"/><s v="This replication used the same TDM measure and conceptualization of sibling count as in the original study to compare prosocials and competitors. Original p-value estimated from F(2, 135) = 3.22. Coded as a close replication (closeness = 2)."/><s v="This replication used the same operationalization of sibling gender count (number of sisters) and TDM measure as the original. Original p-value estimated from F(2, 135) = 3.84. Coded as a close replication (closeness = 2)."/><s v="This effect compares prosocials and competitors on number of sisters using the same TDM measure and operationalization as the original. Original p-value estimated from F(2, 135) = 3.84. Coded as a close replication (closeness = 2)."/><s v="This effect compares prosocials and individualists on number of older siblings using the same measurement and operationalization as the original study. Original p-value estimated from F(2, 135) = 3.46. Coded as a close replication (closeness = 2)."/><s v="This replication used the same measure of SVO (TDM) and identical operationalization of number of older siblings as the original. Original p-value estimated from F(2, 135) = 3.46. Coded as a close replication (closeness = 2)."/><s v="This replication used the SLM measure for SVO rather than TDM as in the original study. While sibling count was operationalized the same way, the change in SVO measurement leads to coding this as a conceptual replication (closeness = 3). Original p-value "/><s v="Although this effect uses the same secure attachment composite (AAS 4-item average) as in the original study, it was labeled &quot;original&quot; in the replication paper to distinguish it from the subscales and ECR-R measures. It was Coded separately to match the "/><s v="(1) P-value was not reported. As a result, I can't able to enter NA in the column &quot;pval_type_o&quot; as NA is not in listed in the dropdown menu; (2) I considered the adjusted p-value for the replicated effect size."/><s v="While sibling count was measured identically to the original study, this replication used the SLM instead of the TDM measure for SVO. As a result, the replication is coded as conceptual (closeness = 3). Original p-value estimated from F(2, 135) = 3.22."/><s v="Although the same operationalization of sibling gender (number of sisters) was used, the replication employed the SLM measure for SVO instead of TDM. Therefore, this is coded as a conceptual replication (closeness = 3). Original p-value estimated from F(2"/><s v="This replication used the same operationalization of sibling gender (number of sisters), but measured SVO using SLM instead of TDM. Thus, this is coded as a conceptual replication (closeness = 3). Original p-value estimated from F(2, 135) = 3.84."/><s v="This replication examined number of older siblings using the same operationalization as the original study, but measured SVO using the SLM rather than TDM. Coded as a conceptual replication (closeness = 3). Original p-value estimated from F(2, 135) = 3.46"/><s v="The replication used the same operationalization of older sibling count but measured SVO using SLM instead of TDM. Coded as a conceptual replication (closeness = 3). Original p-value estimated from F(2, 135) = 3.46."/><s v="The replication examined the relationship between age and SVO using the same TDM measure and categorization logic. Original p-value estimated from χ²(4) = 10.61. Coded as a close replication (closeness = 2)"/><s v="Please kindly check the way I calculated Cramers V."/><s v="This replication examined the age–SVO relationship using the SLM measure instead of TDM. Although the hypothesis was the same, the change in SVO measurement warrants coding this as a conceptual replication (closeness = 3). Original p-value estimated from "/><s v="This replication used a different measure of attachment (ECR-R) than the original (AAS), although the theoretical construct and hypothesis remain the same. Therefore, coded as a conceptual replication (closeness = 3)."/><s v="Exact p-value (≈ 0.018) was computed from t(48) = 2.46, since the original study only reported p &lt; .05."/><s v="This replication used the ECR-R scale to measure secure attachment, unlike the original AAS measure. Since the theoretical claim is the same but measurement differs, coded as conceptual replication (closeness = 3). The original p-value was computed from r"/><s v="This replication used the SLM measure for social value orientation instead of TDM, while keeping the same attachment measure (AAS). Because of the change in SVO measurement, coded as a conceptual replication (closeness = 3). Original p-value computed from"/><s v="This replication used different measures for both constructs (SLM for SVO and ECR-R for attachment). Although the theoretical hypothesis remains the same, both methodological differences justify coding it as a conceptual replication (closeness = 3). Origi"/><s v="1. Since no paper / report or notes in the OSF, the values for REPLICATION statistical inferences were taken the site: https://osf.io/uxajg &#xA;2. Initial OSF registration is under the link: https://osf.io/jqzsf"/><s v="1. The description only focused on the &quot;low response effort condition&quot; because replication study mentions that it only replicates the low response effort condition. This was implied from sample size of the original effect. 2. Results for rhe replication a"/><s v="No statistics in O, extracted from XPHI"/><s v="In the post-replication report, there are also some results listed that provide insufficient statistical reporting. Therefore, I have not included them in this table for now but can gladly do so if needed.: &quot;To analyze the answers regarding the degree of "/><s v="The p-value in the original paper is described as &quot;p &lt; .05&quot; while the table states that the original p-value was p = 0.03."/><s v="XPHI states ES for O  w = 0.75, The p-value in the original paper is described as &quot;p &lt; .05&quot; while the table states that the original p-value was p = 0.03."/><s v="ES for O copied from XPHI dataset"/><s v="The study states that &quot;All analyses were conducted on the remaining sample of 632 participants.&quot;, but the replication states that only 307 participants were analzed (which seems to be more logically when having a look on the analyses) "/><s v="XPHI dataset states: partial η2 = .109 as ES"/><s v="additional entry based on postreplication report"/><s v="Replication report reports Cohens d as d = 0.42, while the original report report d = 0.43"/><s v="They used the RMEL fitting method as their test statistic; There was no preregistration under &quot;registrations&quot;"/><s v="XPHI doesn't have SE, but has F value. N for R extracted from XPHI ReplicationN_Overall"/><s v="XPHI doesn't provide ES, claim from O extracted based on the sample size and p value in XPHI. N for R extracted from XPHI ReplicationN_Overall"/><s v="In the original paper, it is stated that 3,422 individuals participated. In the table of the replication report, however, an effective sample size of 3,413 is listed. I used this number because it seems more plausible with regard to the t-test. I applied "/><s v="There was no preregistration under &quot;registrations&quot;; The correlation was not significant, but test statistics were not specified further"/><s v="XPHI dataset doesn't provide statistics for O, so not possible to extract data. Based on the sample size I would assume, that p. 353 of O has some results provided."/><s v="I calculated the original effect size using the ES calculation excel sheet. The original paper only reports a comparison between the positive, negative and neutral scenario. The replication table reports a p-value of p &lt; .05."/><s v="Mathcing statistics for O not found, copied from XPHI"/><s v="There was no preregistration under &quot;registrations&quot;; While the table reports d = 0.66 and p &lt; .001 for the replication, the post-replication report states that it was d = 0.672, p &lt; .0005"/><s v="There was no preregistration under &quot;registrations&quot;; While the table reports d = 0.52 for the replication, the post-replication report states that it was d = 0.51; I calculated the original effect size using the ES calculation excel sheet."/><s v="XPHI states N O as 148, while for study 1 it's 601 after exclusion. Data for O extracted based on the ES stated in XPHI. ES for O extracted from XPHI"/><s v="The number of participants corresponds to the effective sample size listed in the table. This number also aligns with the ANOVA."/><s v="The number of participants corresponds to the total number of reported participants. No exclusions were mentioned, but the ANOVA might suggest that fewer participants were possibly involved."/><s v="There was no testing of participants. The study was about search hits.; No test statistics are reported in the original article, but the table includes a reconstructed Chi-squared test: X2(1, N = 15664) = 1512.4, p &lt; 0.001"/><s v="There was no testing of participants. The study was about search hits.; No test statistics are reported in the original article, but the table includes a reconstructed Chi-squared test: X2(1, N = 15664) = 1512.4, p &lt; 0.001.  Matching statistics not found "/><s v="XPHI also statest partial η2 = .16 as ES for O"/><s v="There is a second preregistration: https://doi.org/10.17605/OSF.IO/ERB5W"/><s v="t value extracted in compliance with O, XPHI also ststes ES d = 0.61 "/><s v="There was no preregistration under &quot;registrations&quot;"/><s v="XPHI also states ES for O - partial η2 = .035, and for R - partial η2 = 0.019, also N for R extracted from N R overall (N ES is missing), looks correct based on F"/><s v="The authors of the replication study used a GEE analysis and described their results as follows &quot; We found a significant difference in knowledge ascriptions between Standard True Belief cases and Gettier cases (X2= 58.23, df =1, N = 63, p &lt; .001, r= 0.96)"/><s v="ES for O and R in XPHI are absent, so I calculated those myself based on the statistics"/><s v="The replication report states that the influence of participants gender was also analyzed. If this is also relevant, I am happy to code it too: &quot;Third, following up on Starmans and Friedman’s results (2009), the authors investigated whether participants’ "/><s v="O also states that r = 0.28., XPHI also states partial η2 = .078 for O and partial η2 = 0.12 for R"/><s v="Test statistics: Structural Equation Modelling (Chi-square)"/><s v="ES for O and R are absent"/><s v="3 preregistrations: https://doi.org/10.17605/OSF.IO/RX9ZP https://doi.org/10.17605/OSF.IO/VYWMY; The used a Sobel test; The replication report states that pearson correlation coefficients between the MR/FWand Bypassing composite scores were computed for e"/><s v="Not sure what exactly was replicated, ES for O absent in XPHI. Extracted claim is my best quess based on the available info. XPHI states for R: R2 = 0.066"/><s v="Number of participants derived from t-test"/><s v="XPHI also states ES for O d = 0.41,  η2 is also available for O and R, which are 0.040 and 0.007 respectively"/><s v="The original study does not include any test statistics. I calculated the effect sizes using the excel sheet."/><s v="data for O copied from XPHI dataset, matching statistics not present in the paper (were recalculated in XPHI)"/><s v="The Post Replication Form states that the replication analysis were performed with 129 participants, while the table states that 127 were part of the analysis. "/><s v="XPHI also states ES for O d = 0.41"/><s v="The effect size of the original study can not be determined using the effect size calculator. The replication study describes the effect as follows: &quot;Whereas not a single one of the subjects in Case 1 judged that John intentionally upset Susan [...],64% o"/><s v="Matching statistics not found, extracted from XPHI"/><s v="XPHI also states ES w = 0.52"/><s v="The Post Replication Form states that 123 were included in the analysis, while the tables states 128.; The effect size of the original study can not be calculated using the effect size calculator, but the replication report states &quot;85 (69%) participants c"/><s v="No statistics in O, extracted from XPHI. "/><s v="extension effect size: Ireland 2011-2016"/><s v="extension effect size: Norway"/><s v="Ireland 2005-2010"/></sharedItems></cacheField><cacheField name="notes_validation" numFmtId="0"><sharedItems containsBlank="1"><s v="only used by core team"/><m/><s v="corrected N from 150 to 137 "/><s v="- Please type &quot;NA&quot; if you could not find &quot;regis&quot; in the manuscript.&#xA;- Good catch with the N = 41!&#xA;- This is the preregistration: https://osf.io/8urxv It is linked at the top of the entry"/><s v="updated reference_r to report instead of the OSF page"/><s v="discarded because this is an extension that cannot be paired up with an original finding"/><s v="coded as nested due to hierarchical regression; a fourth effect is reported for the replication but NA for the original study; p_val_tails_r coded as one because it says in the note &quot;as reported in DM&amp;D&quot;, where p-values are one-tailed. Note that in the ta"/><s v="many different effect sizes and models, I chose the first ones; also, R has dyads and also includes effects from one partner to the other"/><s v="- missed the study number&#xA;- make sure to review and correct text that is copied (special characters were missing)"/><s v="There is a reporting error in the paper: N = 85 but t(84) and df = N-2.&#xA;&#xA;Feedback for Fabienne&#xA;- make sure to review and correct text that is copied (special characters were missing)&#xA;- you entered N = 85 with t(84) and Ntotal = 85. I was about to correct "/><s v="Changed label_r to &quot;replication&quot; instead of &quot;Close Replication&quot;; added tags that are also found in paper, changed n to 39; changed nested_o to yes, changed p_val_tails; changed pval_value_o to 0.025"/><s v="changed pval_value_o to 0.0004&#xA;here it says not replicated, therefore other entry for this claim was chosen and this discarded"/><s v="I dont understand this claim, seems to be the same as above with a different p-value that I cannot find in the original paper. "/><s v="changed n to 39&#xA;"/><s v="the values from the replication study that were put in are from a different finding, not replicating reach distance but reach direction"/><s v="sample size unclear"/><s v="added 1 to study_r; added 429 to claim_page_o, added ref_o; added 1 to study_o; corrected test statistic (included only the value)"/><s v="added ref_o;  added 1 to study_o, added 429 to claim_page_o; corrected test statistic (included only the value)"/><s v="added ref_o, added 1 to study_o and study_r, added 429 to claim_page_o; corrected test statistic (included only the value)"/><s v="added ref_o, added 1 to study_o and study_r,  added 429 to claim_page_o; corrected test statistic (included only the value)"/><s v="added conceptual replication to label_r"/><s v="dded conceptual replication to label_r"/><s v="These need to be reassigned and coded, they are missing effects"/><s v="simulation study, no new data was collected but merely &quot;generated&quot;"/><s v="- Two more rows could be added (containing and antipsychotic use). However, in this case, they would not be validated - should I add the rows? &#xA;- I added the study number of the replication and of the original&#xA;- I changed all page numbers from the documen"/><s v="- I added the study number of the replication and of the original&#xA;- I changed all page numbers from the document pages to the pages of the PDFs&#xA;- I changed the number of participants of both studies. I have no idea how the coders calculated their N initia"/><s v="- I added the study number of the replication and of the original&#xA;- I changed the effect description&#xA;- The claim was not a quote. I changed it too. &#xA;- I changed all page numbers from the document pages to the pages of the PDFs&#xA;- I changed the number of pa"/><s v="- If there are multiple rows for one finding, please rename &quot;id&quot; to id_b, id_c, etc. for the newly created rows."/><s v="feedback: please review copied text and correct it (a &quot;=&quot; was missing)&#xA;&#xA;notes:&#xA;- format in es value column has changed to drop-down"/><s v="- format in es value column has changed to drop-down"/><s v="- corrected page number (2 instead of 3)&#xA;- format in es value column has changed to drop-down"/><s v="Claims need validation (I do not have access to the original paper)"/><s v="Feedback for Vidhi:&#xA;'- please change &quot;date_entered&quot; to the day that you worked on the entry&#xA;- Ref_replication was not in APA format and doi_r was missing&#xA;- label &quot;systematic replication&quot; was missing&#xA;- can you please explain why you did not extract any sta"/><s v="After validating this entry for 30 minutes, I could not find out why Aleksandr chose the 15-s delay effect for the original and the overall effect for the replication. I replaced it with the overall delay (15 + 30s).&#xA;&#xA;Feedback for Aleksandr:&#xA;- description"/><s v="- I added the study number of the replication and of the original &#xA;- I changed the page numbers to the ones of the PDFs&#xA;- I added the effect&#xA;- I added nesting = yes (replication and original)&#xA;- I switched the investigated effects of the replication "/><s v="- I added the study number of the replication and of the original &#xA;- I changed the page numbers to the ones of the PDFs&#xA;- I added the effect&#xA;- I added nesting = yes (replication and original)&#xA;- I switched the investigated effects of the replication&#xA;- I ch"/><s v="Delete this row"/><s v="- The coder coded the explained common variance of the replication study as effect size and classified it as etasquared. Moreover, the wrong semantically wrong effects were coded. I texted Lukas regarding this paper.&#xA;- I deleted all effects an coded them "/><s v="everything is empty??"/><s v="added claim_page_o; added study_o and study_r"/><s v=" added study_o and study_r"/><s v=" added study_o and study_r; es_original is coded reversed and was computed as 0.42^(-1) = 2.38095238095"/><s v="Feedback for Ray&#xA;- Why did you not code any of the test statistics?"/><s v="Feedback for Daniel&#xA;- please enter your name and the date that you are working on into the variables contributors and date_entered"/><s v="- I added the number of the experiment (in replication and original study) &#xA;- I specified the effect: I changed &quot;participants&quot; to adolescents with anorexia nervosa and adolscents with major depression (since those spefic samples were the target sample) &#xA;-"/><s v="- I added the number of the experiment (in replication and original study) &#xA;- I specified the effect: I changed &quot;&quot;participants&quot; to adolescents with anorexia nervosa and adolscents with major depression (since those spefic samples were the target sample) &#xA;"/><s v="- This row was not double coded&#xA;- I added the number of the experiment (in replication and original study) &#xA;- I specified the effect: I changed &quot;&quot;participants&quot; to adolescents with anorexia nervosa and adolscents with major depression (since those spefic s"/><s v="Only a half row"/><s v="- I added the number of the experiment (in replication and original study) &#xA;- I added the effect and the effect description&#xA;- I changed the number of participants (the coder reported only the number of participants suffering from anorexia nervosa, but the"/><s v="Feedback for Roskana&#xA;- please also fill out the variable with the page numbers"/><s v="discarded due to missing replication effect"/><s v="- I changed the text claim since multiple effects were reported &#xA;- I added the study number of the replication study&#xA;- I changed the page numbers to the ones of the PDFs&#xA;- I changed eta-squared to partial "/><s v="- I added the study number of the replication study&#xA;- I changed the page numbers to the ones of the PDFs"/><s v="- I added the study number of the replication and of the original &#xA;- I changed the page numbers to the ones of the PDFs&#xA;- I added nesting = 0&#xA;- I changed the p-value of the replication to NA, since the text stated that the effect was significant, but the "/><s v="- I added the study numbers of the original study and of the replication study &#xA;- The results of the original study 1b were described, but Study 1c was replicated; I changed the text claim&#xA;- I changed the p-values of the original study to NA &#xA;- I calculat"/><s v="- I added the study number of the replication and of the original &#xA;- I changed the page numbers to the ones of the PDFs&#xA;- I corrected the p-value of the replication&#xA;- The coder coded again an effect of study 1b, which was not replicated; Therefore I chang"/><s v="Feedback for Ray&#xA;- please review the instructions again and code these entries"/><s v="Feedback for Daniel:&#xA;- one small typo when copying the Cohen's d from the table (.0185 instead of .0187)&#xA;- Claim and test statistics/effect sizes must be about the same thing. Convergent validity and mean difference is not the same thing, so you should ha"/><s v="Preregistration link does not work; There are two results: Regression + Mediation Model. The coder focused on different things so all entries were retained"/><s v="stage 1 registered report"/><s v="Not a replication"/><s v="Feedback for Roskana:&#xA;- please add pagenumbers into the respective variables (es_repr_o) even if it is the same as the claim page number&#xA;- coding is generally very good (not just for this entry)! thank you!&#xA;- additional studies 47_e: p value replication w"/><s v="Feedback for Thomas:&#xA;- if an eta squared is available, please code it and not the test statistics"/><s v="Feedback for Daniel&#xA;- Choosing the chi square test for fit in the matter scale development paper was a good decision!"/><s v="Feedback for Nikolay&#xA;- values in _o variables should not come from the replication report but only the original study's report"/><s v="Feedback for Daniel&#xA;- description should be matched for multiple rows per entry to specify what effect this is"/><s v="changed replicationt ype to conceptual because &quot;3rd sing&quot; was not part of original study"/><s v="this still needs coding"/><s v="see entry resciencex_01_1"/><s v="The other coder did not seem to have difficulties and reported test statistics. I do not have access and the PDF-Link does not work. sarahashjones@gmail.com can you please check whether the 2010 or 2011 article is the target? You can send both articles to"/><s v="Feedback for Thomas: &#xA;I could not find most of the numbers on this page. Can you please send a screenshot for what you are referring to as &quot;test statistics&quot;?"/><s v="- Changed replication type to internal because conceptual requires that none of the original authors was present.&#xA;&#xA;Feedback for Roksana&#xA;- If there is no preregistration, please type &quot;NA&quot; into the variable.&#xA;- Please fill out all mandatory variables, for ex"/><s v="Feedback for Thomas&#xA;- Please always fill out the claim variable. Please review the instructions to see which variables are optional.&#xA;- You noted Ws = 152 when it was actually Ws &gt; 152.&#xA;- Please change id to _b, _c, ... when creating multiple rows.&#xA;- There"/><s v="P-value corrected from .13 (that was the f value) to .72"/><s v="Changed r to Ws because r might correspond to the within-subjects correlation of the repeated variables and not the effect."/><s v="Changed nesting to &quot;NA&quot; instead of 1. It does not say how many tails there were only that one group is significantly faster than the other (which could be a combination of two-tailed significant test and positive correlation)"/><s v="Numbers could not be checked due to inaccessible paper; chose these entries over the f-values because of study differences"/><s v="Corrected nesting for replication from yes to no."/><s v="Feedback for Maria&#xA;- When the title of a replication says &quot;conceptual&quot;, you can code it as conceptual (you coded &quot;close&quot;)."/><s v="Corrected citation&#xA;OSF Link (https://osf.io/uqsf6/) has no preregistration, which is why it was removed from the prereg_r variable"/><s v="Corrected citation&#xA;OSF Link (https://osf.io/uqsf6/) has no preregistration, which is why it was removed from the prereg_r variable&#xA;&#xA;Feedback for Thomas&#xA;- When duplicating rows, please change the id for the second one (_b, _c, ...)"/><s v="Feedback for Maria&#xA;- This is a stage 1 registered report and it says at the beginning (eg p. 5) that the results are based on a randomized pseudo-dataset. "/><s v="Discarded for missing data (no replication test was conducted)"/><s v="Feedback for Maria&#xA;- If there is no effect size type reported alongside the effect size, please write es type as NA. For example, in an ANOVA standardized effect sizes are f, eta squared, and R² (R² and eta are out because it is larger than 1 here) depend"/><s v="replication accessed via https://se.ifi.uni-heidelberg.de/fileadmin/pdf/publications/2016_The_Role_of_Method_Chains.pdf"/><s v="I could not find the effect size of d = .68 or any others for that matter.&#xA;&#xA;Feedback for Hakile&#xA;- Please include test statistics in the claim.&#xA;- I could not find the effect size of d = .68 on page 5 in the original report of additional_studies59"/><s v="Corrected N to 106 (it was 105) because df for correlation are 104 and N-2=df"/><s v="corrected studynumber&#xA;&#xA;Corinna:&#xA;- The coder coded more than one effect per row. The effects are all correct. Therefore, I used them to validate the other rows, but reject them since they are unusable for any statistics program&#xA;- I added the link to the pr"/><s v="- I added the link to the pre-registration of the replication (it was a registered report, therefore the first manuscript is linked)&#xA;- I added closeness_r and coded that it was a close replication, as the authors wrote that it is a direct replication&#xA;- I "/><s v="- The coder coded more than one effect per row. The effects are all correct. Therefore, I used them to validate the other rows, but reject them since they are unusable for any statistics program&#xA;- I added the link to the pre-registration of the replicatio"/><s v="I would exclude this row from the table since it remains unclear which effect was replicated (all cells regarding the original study were left blank)"/><s v="Corrected citation and DOI, added effect sizes and duplicated row for both original subjects&#xA;&#xA;Feedback for Nikolay&#xA;- You could have coded the R² for additional_studies60&#xA;- Please copy text for the claim from the paper"/><s v="Corrected citation and DOI, added effect sizes and duplicated row for both original subjects"/><s v="cannot validate calculated effects"/><s v="OSF project contains no registrations, I changed prereg_o to &quot;NA&quot; and copied the link into the notes. Another finding is available (3rd model in O study) but was not part of the replication and is thus not coded."/><s v="added es_repr_o, added NA to prereg_r"/><s v="added es_repr_o; added degrees of freedem to es_value_o, added NA to prereg_r"/><s v="added es_repr_o, added degrees of freedem to es_value_o, added NA to prereg_r"/><s v="added es_repr_o, added degrees of freedem to es_value_o, added NA to prereg_r, discarded since the effect in o was not replicated"/><s v="added es_repr_o, added degrees of freedem to es_value_o, added NA to prereg_r, added the degrees of freedom to es_value_r"/><s v="added es_repr_o, added NA to prereg_r, added the degrees of freedom to es_value_r"/><s v="test statistic is chi squared so I used the reported cramers V that was calculated in the replication (table 2 on page 13) "/><s v="test statistic is chi squared"/><s v="Feedback for Husnain&#xA;- You were unsure about this but you did right: Please always use what is reported in the original paper for the _o variables.&#xA;- F is not an effect size. Please report the entire F test as a test statistic instead, eg F(1, 236) = 4.41"/><s v="Should in case of exclusion we left the row empty (except &quot;Exclusion&quot; column? "/><s v="Boyce datatable suggests that effect went in opposite direction - but we only have F. Yet correlation is so small (and noisy) that it makes no difference where the point estimate is."/><s v="Page incorrect"/><s v="added prereg_o, added es_repr_r, changed closeness_r to close"/><s v="claim page and es_repr_o page corrected, added prereg_o, changed closeness_r to close"/><s v="added es_repr_r, changed claim_o, es_repr_o, changed closeness_r to close"/><s v="added prereg_o, changed closeness_r to close"/><s v="changed closeness_r to close, changed es_value_o from eta squared to d"/><s v="changed closeness_r to close"/><s v="I assume that the results indicated by Aleksandr are not matching"/><s v="Page corrected"/><s v="1. The test statistics is t(41) = -5.0574 from the replication report (not d reported, but taken from Boyce table) &#xA;2. Effect. tags, prereg_r and description corrected"/><s v="Difference in n_o"/><s v="Page and ES incorrect"/><s v="No second coder data"/><s v="Focused on two pairwise comparisons, and thus entered sample size for two pairs. In replication, only overall sample (with non-missing data quality) visible, so equal group sizes assumed to calculate sample size for pairwise comparisons."/><s v="I assume the beta is unstandardized, while second coder - standardized"/><s v="Removed prereg link because no preregistration exists: https://osf.io/sxw48/, added link to report (https://osf.io/rjxwe)"/><s v="coded as between-subjects due to &quot;50 per group&quot;; added link to dataset with data for _O"/><s v="added study_o, added es_repr_r, added effect, added description"/><s v="Added no to prereg_o, changed n_r to 78, added prereg_r, found values in linked file"/><s v="changed n_o to 133 , changed n_r to 126, changed es_value_r to 0.370016595170749, changed pval_value_r to 0.0506886504493445"/><s v="refers to the same effect as row 752, so I chose 752 since there were more columns filled in already"/><s v="changed n_o to 133"/><s v="Preregistration consists of data only and was thus removed: https://osf.io/w3h9y/files/osfstorage"/><s v="corrected results based on final report version"/><s v="no results in replication report"/><s v="changed n_o to 133 (number included in analisis)"/><s v="corrected sample size"/><s v="Chose the front end amount interaction, added link to report (url_r)"/><s v="Page incorrect&#xA;We report different results, I assume that both can exist (like 114)"/><s v="We report different results, I assume that both can exist"/><s v="Registration exists but not timestamped and frozen: https://osf.io/8k4t5/."/><s v="Differences in discipline between 2 coders -&gt; I assume Psychology to fit better&#xA;Corrected p value"/><s v="Coded the comparison between weak and no BATNA as key claim"/><s v="No 2nd coder data"/><s v="N_o incorrect"/><s v="N_o incorrect in Boyce report?"/><s v="ES incorrect"/><s v="Added link to report and repr_r values"/><s v="Page and p-value incorrect"/><s v="Effect, tag and description added"/><s v="Effect, tag and description and claim added"/><s v="The results are from another experiment (Exp 3, while in the table it was Exp 1)"/><s v="validated - FReD but not COS"/><s v="corrected test statistic"/><s v="Effect, tags and description added&#xA;The data in the replication report is different from the table. Maybe I mismatch the results "/><s v="I am not sure whether beta or OR is indicated in original paper and replication manuscript"/><s v="Preregistration is reported as https://osf.io/yt5q8/ but there is no entry in the registries: https://osf.io/yt5q8/registrations"/><s v="no data available"/><s v="Replication results corrected"/><s v="I am not sure that these are matching results`"/><s v=" study is possibly pregistered but links are not always included in the reports"/><s v="This row requires further validation study is possibly pregistered but links are not always included in the reports"/><s v="The study numbers are missing in all the rows; There is a need to resolve the replication type that the coder has categorized as close, very close, and exact; is closeness and replication type the same?  study is possibly pregistered but links are not alw"/><s v="This row needs to be validated further study is possibly pregistered but links are not always included in the reports"/><s v="Writing N/As in areas with no entries should be considered in all the rows. The discipline for this entry should be categorized as social psychology and not differential psychology (this can be validated, though) &#xA;study is possibly pregistered but links a"/><s v="This has been chosen but requires further validation study is possibly pregistered but links are not always included in the reports"/><s v="Chose central claim due to one replication finding, only&#xA;study is possibly pregistered but links are not always included in the reports"/><s v="This claim should be validated further study is possibly pregistered but links are not always included in the reports"/><s v="In agreement; There is no sufficient information to code this this task study is possibly pregistered but links are not always included in the reports"/><s v="Tags and description variables missing study is possibly pregistered but links are not always included in the reports"/><s v="Information on tags and description are missing study is possibly pregistered but links are not always included in the reports"/><s v="The test statistics reported in the original and replication studies are not clear and requires further validation; study is possibly pregistered but links are not always included in the reports"/><s v="The test statistics reported in the original and replication studies are not clear and requires further validation study is possibly pregistered but links are not always included in the reports"/><s v="There are few discrepancies that need further validation study is possibly pregistered but links are not always included in the reports"/><s v="There are a few discrepancies that need further validation study is possibly pregistered but links are not always included in the reports"/><s v="Help needed to validate the entries study is possibly pregistered but links are not always included in the reports -&gt; coded as conceptual R, took test statistic from claim"/><s v="Help needed to validate the calculated effect sizes study is possibly pregistered but links are not always included in the reports"/><s v=" study is possibly pregistered but links are not always included in the reports; took o es values from claim"/><s v="This requires further validation study is possibly pregistered but links are not always included in the reports"/><s v="Information on tags and description variables need to be added study is possibly pregistered but links are not always included in the reports"/><s v="Chosen but requires further validation; study is possibly pregistered but links are not always included in the reports"/><s v="Test statistics are not written in their complete form. This applies to all the test statistics highlighted in red. study is possibly pregistered but links are not always included in the reports"/><s v="Help needed to harmonize the entries study is possibly pregistered but links are not always included in the reports"/><s v="These are two separate entries treated the same; Hence requires further validation; study is possibly pregistered but links are not always included in the reports"/><s v=" study is possibly pregistered but links are not always included in the reports; coded as nested due to the experiments being repeated measures"/><s v="coded as nested (within-subjects = yes according to table), study is possibly pregistered but links are not always included in the reports"/><s v="Help is needed to harmonize the effect sizes of the original study study is possibly pregistered but links are not always included in the reports"/><s v="Coded as not nested (t test for 2 samples); study is possibly pregistered but links are not always included in the reports"/><s v="No sufficient information study is possibly pregistered but links are not always included in the reports"/><s v=" study is possibly pregistered but links are not always included in the reports; coded as nested (mixed-effects regression) and not reported tails (95% CI is two-tailed but no note on p-values is present for the table)"/><s v="The p value tails and nested variables values for the original and replication studies need to be validated further; study is possibly pregistered but links are not always included in the reports"/><s v="The number of participants for the memory test which was the main focus for this replication was 57. The three participants excluded were for the vocabulary test; therefore, the 51 participants is not correct. study is possibly pregistered but links are n"/><s v=" study is possibly pregistered but links are not always included in the reports; coded as within subjects (nested = yes)"/><s v="This needs to be validated further study is possibly pregistered but links are not always included in the reports"/><s v="There is a need to validate the calculated values for the original study study is possibly pregistered but links are not always included in the reports"/><s v="help needed to validate this entry study is possibly pregistered but links are not always included in the reports"/><s v=" study is possibly pregistered but links are not always included in the reports; replaced value from r report with test statistics from o report"/><s v="pairwise comparison was chosen over omnibus test"/><s v="The entries are both correct study is possibly pregistered but links are not always included in the reports"/><s v=" study is possibly pregistered but links are not always included in the reports; coded as conceptual (&quot;far&quot;), chose effect size as identified in R report"/><s v="The d is correct from the double coding study is possibly pregistered but links are not always included in the reports"/><s v="The double coding are similar; hence both are correct &quot;chosen&quot; study is possibly pregistered but links are not always included in the reports"/><s v=" study is possibly pregistered but links are not always included in the reports; original study coded as non-nested because oen DV was apparently chosen by condition and participants were in one of the two conditions; also main effect is coded"/><s v="No statistics for coding study is possibly pregistered but links are not always included in the reports"/><s v="help needed to validate the d chosen from the replication table study is possibly pregistered but links are not always included in the reports"/><s v="help needed to validate the entries study is possibly pregistered but links are not always included in the reports"/><s v="Claim is not clear, es_o was taken from replication report; study is possibly pregistered but links are not always included in the reports"/><s v="help needed to validate the claim; study is possibly pregistered but links are not always included in the reports -&gt; claim validated"/><s v=" study is possibly pregistered but links are not always included in the reports; coded as nested due to &quot;repeated-measures ANOVA&quot; being used (O p. 4)"/><s v="- Cohens f value chosen as original ES as reported on p. 5, &#xA;- Nestedness assumed to be not nested, mutiple regression but not explicitly hierarchical (maybe review - see prereg analysis paln here: https://aspredicted.org/yp5az.pdf and reported analysis o"/><s v="Needs further validation &#xA;study is possibly pregistered but links are not always included in the reports"/><s v="- The original effect size is chosen to be the np2 value from the original manuscript. This value requires a partial eta square label (currently just etasq on this sheet) --&gt; corrected&#xA;- Study is possibly pregistered but links are not always included in t"/><s v="- Claim from coder 2 was chosen as it was specific to the test statistic expressed in the replication spreadsheet. &#xA;- The test statistic for the original study was refined to present the effect size using the F value accurately. &#xA;- The pvalue was reported"/><s v="- The discrepancy between the N of the different coders was resolved as follows. Coder one suggested n = 30, coder 2 suggested n = 240, the replication project database suggests N = 30. On p. 101 of the original study the follow is reported: &quot;Two hundred "/><s v="The claim needs to be validated further study is possibly pregistered but links are not always included in the reports"/><s v="PLEASE CHECK ME!!! &#xA;- The replication project dataset does not contain any values for the replication in either the rep_calc_d or the rep_p_calc values (row 149 columns AM and AN), can we still include this study? &#xA;- The apparent discrepancy between the o"/><s v="- Replication datasheet contains no values for the replication p-value (cells all NA) and individual report does not report p-values either (https://rpubs.com/alv1nn/677256) &#xA;- Coder 2 notes that d value for replication not found in spreadsheet - this is "/><s v="- Primary claim established based on the original test values being defined in the replication spreadsheet as MSD2:m1=2.54(1.95),m2=.02(2.38), this allowed a direct comparison between groups 2 and 3 to be considered the key replication effect. (see Table "/><s v="- The replication ES was calculated in the OR format using values reported for reproducibility. (in favour of the F stat from the second coder). &#xA;- Coder one had recorded the ES from the replication report which was d = 2.0036922440074605, but this was di"/><s v="Corrected citation and doi to the one from the paper&#xA;&#xA;Feedback for Maureen:&#xA;- Please better indicate where the effect size comes from. I could not find the value in the paper.&#xA;- The original paper was published in psychological science, please thus code t"/><s v="- Estimated effect size not reproducible (runs on external R code) unless taking Cohen's D value, thus r value computed in R is discarded. The corresponding effect size value in the replication report was r = 0.27&#xA;- P-value tails original is selected as 1"/><s v="- Estimated effect size should not be r (this is a converted value from the replication study, not the orignnal paper which reports both cohens d and np2). The corresponding effect size value in the replication report was r = 0.602&#xA;- P-value tails origina"/><s v="- Changed effect_o to test stat as that can be converted, and matches repl report&#xA;- P-values tails replication is selected as 2 as post-completion replication report reports a two-sided approach. &#xA;- prereg_r - both links were assessed, one points to a pos"/><s v="- Estimated original effect size should not be r (this is a converted value from the replication study, not the original paper). The corresponding effect size value in the replication report was r = 0.45&#xA;- P-values tails replication is selected as 2 as po"/><s v="- Estimated original effect size should not be r (this is a converted value from the replication study, not the original paper). The corresponding effect size value in the replication report was r = 0.388.&#xA;- P-values tails replication is selected as 1 as "/><s v="- Estimated original effect size should not be r (this is a converted value from the replication study, not the original paper). The corresponding effect size value in the replication report was r = 0.453&#xA;- P-values tails replication is selected as 2 tail"/><s v="- Estimated original effect size should not be r (this is a converted value from the replication study, not the original paper). The corresponding effect size value in the replication report was r = 0.201.&#xA;- P-values tails replication is selected as 2 tai"/><s v="- Estimated original effect size should not be r (this is a converted value from the replication study, not the original paper). The corresponding effect size value in the replication report was r = 0.150.&#xA;- P-values tails replication is selected as 2 tai"/><s v="- Estimated original effect size should not be r (this is a converted value from the replication study, not the original paper). The corresponding effect size value in the replication report was r = 0.-0.098.&#xA;- It is unclear why coder 2 reported cohens d "/><s v="- Estimated original effect size should not be r (this is a converted value from the replication study, not the original paper). The corresponding effect size value in the replication report was r = 0.026.&#xA;- It is unclear why coder 2 reported cohens d for"/><s v="- Estimated original effect size should not be r (this is a converted value from the replication study, not the original paper). The corresponding effect size value in the replication report was r = -0.015&#xA;- It is unclear why coder 2 reported cohens d for"/><s v="- Estimated original effect size should not be r (this is a converted value from the replication study, not the original paper). The corresponding effect size value in the replication report was r = 0.961&#xA;- P-values tails replication is selected as 2 tail"/><s v="- Estimated original effect size should not be r (this is a converted value from the replication study, not the original paper). The corresponding effect size value in the replication report was r = 0.368&#xA;- Estimated replication effect sizes were reported"/><s v="- Estimated original effect size should not be r (this is a converted value from the replication study, not the original paper). The corresponding effect size value in the replication report was r = 0.674&#xA;- P-values tails replication is selected as 2 tail"/><s v="- The inter-coder discrepancy on the sample sizes arose due to an error in reporting in the pre-registration of the replication as clarified on p. 4 of the post-data collection report &quot; In the pre-replication version of this report, the standardized effec"/><s v="- The inter-coder discrepancy on the sample sizes arose due to misunderstanding of groups versus observations, as the core statistical test was a chi-squared test the total n based on total observations (not groups) was accepted. &#xA; - Estimated original ef"/><s v="- Study of original is 1b - double checked before selection over study 1 as reported by coder 2. &#xA; - Estimated original effect size should not be r (this is a converted value from the replication study, not the original paper). The corresponding effect si"/><s v="PLEASE CHECK ME: &#xA;- There is a discrepancy in the reported p-value (likely a rounding error but needs to be resolved) - in the Camerer replicaiton Table the p value for the replication is reported at 0.414, in the post-data collection report the value is "/><s v="PLEASE CHECK ME: &#xA;- The inter-coder discrepancy on the sample sizes for original study was explored as follows - coder 2 had reported total N, coder 1 reported N from the replication table (178) which was estimated to be accurate for the relevant 2 groups"/><s v=" - Estimated original effect size should not be r (this is a converted value from the replication study, not the original paper). The corresponding effect size value in the replication report was r = 0.816&#xA;-  Estimated effect size in replication was taken"/><s v="PLEASE CHECK ME: &#xA;- The inter-coder discrepancy on the sample sizes for original study was explored as follows - coder 2 had reported total N for individuals(105), coder 1 reported N of groups from the replication table (63) which was estimated to be accu"/><s v="Values were the same as in the Curatescience Database but not the same as in the papers (before: original effect d=0.59 - repl. effect d=0.47)"/><s v="Values are the same as in the Curatescience Database but not as in the original paper (before: original effect d = -.59, replication: d=-.10)"/><s v="Values are the same as in the Curatescience Database but not as in the original paper (before: original effect d = -.59, replication: d=-.20)"/><s v="- I added the study number&#xA;- I added the replication label&#xA;- I entered the effect name and copied the description of the effect (which was provided under „effect“) to the description&#xA;- I corrected n_original"/><s v="Values are the same as in the Curatescience Database but not the same as in original paper (before: original paper: d=-1.19) - which study in replication is supposed to replicate the egodepletion effect?"/><s v="Values are the same as in the Curatescience Database but have not been cross-checked with original papers"/><s v="corrected test statistics"/><s v="No values"/><s v="Insufficient values (personal communication in Lebel's github)"/><s v="Feedback for Diego&#xA;- please also copy the formula that resulted in the reported effect size"/><s v="Feedback for Corinna&#xA;- please also copy the formula that resulted in the reported effect size"/><s v="Changed replication closeness to conceptual because this is what the authers call it on p. 7"/><s v="Corrected: Study does not identify as a replication"/><s v="Corrected preregistration link (included a space)."/><s v="&quot;Prep&quot; is probably not a p-value.&#xA;Corrected n based on reported df."/><s v="duplicate to curatescience204_1 and _2"/><s v="added &quot;NA&quot; to prereg"/><s v="discarded because central effect is the priming effect"/><s v="it says &quot;6344 valid and complete sessions&quot; on p.2 and &quot;445 subjects failed to provide valid responses&quot; on p.7 resulting in 5899 estimates"/><s v="d original is for faces (names also has an effect), n is table 1 &quot;interpretable n&quot;. Removed p-value because it was not reported on p. 106 --&gt; Discarded because it is referring to wrong study (Nosek, Banaji and Greenwald published two papers in 2002"/><s v="Values are the same as in the Curatescience Database but not as in papers (before: original paper d=0.78,)"/><s v="Corrected preregistration link, added NA to column where it was not possible before; not coded as &quot;internal replication&quot; because none of the original authors is a replication author"/><s v="Values are the same as in the Curatescience Database but not as in papers (before: original paper d=0.78) but mentioned in the replication as d=0.78"/><s v="discarded because original effect is an interaction"/><s v="discarded because other coder found p-value"/><s v="Values are the same as in the Curatescience Database but not as in papers (before: original paper d=0.81,)"/><s v="Reproduction yielded phi = .05 (it said 0.03 before), see also https://osf.io/n7wsu"/><s v="Removed one digit as it was not reported"/><s v="Corrected sample size (r) based on df"/><s v="Values are the same as in the Curatescience Database but have not been cross-checked with original papers; Corinna: The replication study is indeed not available when using the link of the table, I found a meta-analysis via Google Scholar and the VPN of m"/><s v="Values are the same as in the Curatescience Database but have not been cross-checked with original papers&#xA;Corinna: &#xA;- It can only be inferred from the power analysis that the authors of the replication are conducting a two-tailed t-test, but it was not ex"/><s v="Values are the same as in the Curatescience Database but have not been cross-checked with original papers &#xA;Corinna: &#xA;- It can only be inferred from the power analysis that the authors of the replication are conducting a two-tailed t-test, but it was not e"/><s v="If the effect is based on eta = .01 it should say r = 0.1 instead of r = .01, see also https://osf.io/n7wsu; &#xA;Corinna: &#xA;- I added a description of the effect and added tags&#xA;- I changed the replication label&#xA;- I changed the statistics of the original study"/><s v="If the effect is based on eta = .01 it should say r = 0.1 instead of r = .01, see also https://osf.io/n7wsu&#xA;Corinna: &#xA;- I added a description of the effect&#xA;- I calculated the effect of the original study using the effect size calculation sheet, since the "/><s v="Values are the same as in the Curatescience Database but have not been cross-checked with original papers&#xA;Corinna:&#xA;- The coders coded two different studies (replication study 3 and 4) and both refer to differnt studies of the original study. However, I sa"/><s v="Values are the same as in the Curatescience Database but have not been cross-checked with original papers&#xA;Corinna: &#xA;- I added a more detailed description of the effect&#xA;- I added the reported effect size of the replication study (only test statistics were "/><s v="Values are the same as in the Curatescience Database but have not been cross-checked with original papers&#xA;Corinna:&#xA;- Originally it was coded that this entry refers to study 4 of the replication report. However, the replication includes only one study. The"/><s v="Values are the same as in the Curatescience Database but have not been cross-checked with original papers&#xA;Corinna: &#xA;- I added a more detailed effect description&#xA;- I changed the number of participants of the replication study (Originally 29 participants we"/><s v="Values are the same as in the Curatescience Database but have not been cross-checked with original papers&#xA;Corinna: &#xA;- I changed the replication label, since the coder just copied the replication studies title&#xA;- I added a more detailed description of the e"/><s v="Values are the same as in the Curatescience Database but have not been cross-checked with original papers&#xA;Corinna: &#xA;- I added a more detailed description of the effect&#xA;- I added the effect size of the original study&#xA;- The rows refer to different effects; "/><s v="OR replication: .67 but said .72&#xA;Corinna:&#xA;- I changed the replication label since the coder copied the studies title&#xA;- I added a more detailed description of the effect "/><s v="OR replication: .67 but said .72&#xA;Corinna: &#xA;- I added a more detailed description of the effect &#xA;- The authors performed a one way ANOVA in the original study. Therefore, the p-value should control for nesting&#xA;- It is not mentioned whether the p-value is o"/><s v="Online appendix link in the manuscript is broken, this is the current working version: https://www.ejwagenmakers.com/2012/Appendix_PoPS_WagenmakersEtAl.pdf"/><s v="Values are the same as in the Curatescience Database but have not been cross-checked with original papers&#xA;Corinna:&#xA;- Since the replication study does not include multiple substudies, I coded the study number with 1&#xA;- The reported result refers to study 1 "/><s v="Values are the same as in the Curatescience Database but have not been cross-checked with original papers&#xA;Corinna:&#xA;- she reports the number of participants (replication) that is reported, while Alexsandr inferrs the N from the test statistics "/><s v="Values are the same as in the Curatescience Database but have not been cross-checked with original papers&#xA;Corinna:&#xA;- ID needs to be changed&#xA;- I changed the experiment number (original) and the N &#xA;- the effect of the replication were explicitely nested"/><s v="Values are the same as in the Curatescience Database but have not been cross-checked with original papers&#xA;Corinna:&#xA;- ID needs to be changed&#xA;- I changed the experiment number (original) and the N&#xA;- the effect of the replication were explicitely nested "/><s v="Values are the same as in the Curatescience Database but have not been cross-checked with original papers&#xA;Corinna&#xA;- ID needs to be changed&#xA;- the effect of the replication were explicitely nested "/><s v="Values are the same as in the Curatescience Database but have not been cross-checked with original papersCorinna&#xA;- ID needs to be changed&#xA;- the effect of the replication were explicitely nested "/><s v="Values are the same as in the Curatescience Database but have not been cross-checked with original papers&#xA;Corinna: &#xA;- I changed the number of participant in the replication (I think the coder coded the group size of one group, but actually both groups wer"/><s v="&quot;Values are the same as in the Curatescience Database but have not been cross-checked with original papers&#xA;Corinna: &#xA;- I changed the number of participant in the replication (I think the coder coded the group size of one group, but actually both groups we"/><s v="Values are the same as in the Curatescience Database but have not been cross-checked with original papers&#xA;Corinna: &#xA;- I added the whole test statistics of the replication study (Only a F value was coded)&#xA;- I am not entirely sure that the p-value of the or"/><s v="Corrected replication effect based on values reported in the manuscript (no values could be find in the supplemental materials in the OSF project)"/><s v="Values are the same as in the Curatescience Database but have not been cross-checked with original papers&#xA;Corinna: &#xA;- I changed the effect from &quot;priming&quot; to &quot;priming theory of mind&quot;, since this seems to be more specific&#xA;- I added a description of the effe"/><s v="Values are the same as in the Curatescience Database but have not been cross-checked with original papers&#xA;- I changed the effect from &quot;priming&quot; to &quot;priming theory of mind&quot;, since this seems to be more specific&#xA;- I added a page number for the claim&#xA;- I cha"/><s v="Values are the same as in the Curatescience Database but have not been cross-checked with original papers&#xA;Corinna: &#xA;- I changed the effect from &quot;priming&quot; to &quot;priming theory of mind&quot;, since this seems to be more specific&#xA;- I added a page number for the cla"/><s v="Values are the same as in the Curatescience Database but have not been cross-checked with original papers&#xA;Corinna: &#xA;- I changed the effect from theory of mind to priming theory of mind&#xA;- I changed the effect of the original study "/><s v="Values are the same as in the Curatescience Database but have not been cross-checked with original papers&#xA;Corinna: &#xA;- I changed the effect from theory of mind to priming theory of mind &#xA;- I changed the claim&#xA;- I changed both effects (only partial effects "/><s v="Corinna:&#xA;- replication was explicitely labeled as close in abstract&#xA;- I changed the page numbers to those of the PDF&#xA;- The coder calculated alle effects himself. Although they are not necessarily  wrong, they are not the key results of the replication &#xA;- "/><s v="Values are the same as in the Curatescience Database but have not been cross-checked with original papers&#xA;Corinna:&#xA;- Everything was fine! I am unsure which kind of ANOVA the authors performed and was unsure regarding the nesting. However, I think it is no"/><s v="Corinna:&#xA;- As the authors report the combined effect, I would use the combined effect (as Meriem did above [ID 57]) "/><s v="Values are the same as in the Curatescience Database but have not been cross-checked with original papers&#xA;Corinna:&#xA;- As the authors report the combined effect, I would use the combined effect (as Meriem did above [ID 57]) "/><s v="Corinna:&#xA;- The replication study identifies as replication in the tital. However, in the introduction, methods, and discusssion section, it identifies as near-exact replication. Therefore, both codings are correct. &#xA;- this entry seems to be useless since "/><s v="Values are the same as in the Curatescience Database but have not been cross-checked with original papers&#xA;Corinna:&#xA;- The replication study identifies as replication in the tital. However, in the introduction, methods, and discusssion section, it identifie"/><s v="changed page to 659; changed n to 100; changed es_repr_o to page 651 and page 9 in pdf; changed n_r to 3,279; changed es_value_rep to 0.88; changed pval_tails_r to NA; I could not find the place where the input for es_repr_r came from"/><s v="Experiment 2 of the original study seems to be better fitting than study 1, since in study 1 the colour words are printed in black in the congruent condition"/><s v="n _othat was included in analysis is not 98 but 56 as indicated in the chi squared test statistic; n_r that is not correct; could not find place where values come from"/><s v="added the method of calculation for d of the original study, added ref_r; added doi_r, added study_r , added label_r, copied tags, copied description, added prereg_r, added es_repr_r"/><s v="added ref_r, added doi:r, copied description, copied tags, added study_r"/><s v="added ref_r, added doi_r, added effect, tags, description, added study_r, added label_r, added es_repr_r, es_repr_o, prereg_r, prereg_o"/><s v="Corrected osf-link, nesting type, and replaced reportings with study 2 (otherwise using study 1 + (study1 &amp; 2) would lead to an overlap)."/><s v="Values were the same as in the Curatescience Database but not the same as in the papers (before: original effect d=0.59 - repl. effect d=0.44)"/><s v="changed pval_value_o; added NA to prereg_o, changed es_value_r to  -0.098"/><s v="Retention condition"/><s v="Here only the results for the &quot;without confound&quot; condition are given because: &quot;It seems that curiosity does not tempt indulgence, at least not in a way that is detectable with 750 per cell. Rather, the authors’ original result was best explained by a conf"/><s v="changed claim_page_o to 15"/><s v="changed es_value_o to 0.045"/><s v="updated reference, used verion 9; effect sizes based on OSF post completion registration"/><s v="Corrected es_r (0 was missing)"/><s v="Data Curators were unsure about nesting. In all other reports it says &quot;mixed&quot; when nesting is present and here it does not, so I coded it as nested = no"/><s v="Original paper: p.52; Replication: p. 8,14&#xA;Added close replication to label_r&#xA;Changed claim_page_o to 4&#xA;Changed es_repr_o to p4 &#xA;"/><s v="Originalpaper: p.52; Replication: p.25"/><s v="Values are correct, but more detailled description of results between and over all vignettes was preffered; changed pval_value_r tp 0.667 (was mixed up with t value)"/><s v="Since replication claimed to wanting to replicate effect in the low effort group, n= 218, whereas n over both conditions is indeed 440. "/><s v="added prereg_o and copied es_repr_r from coder notes"/><s v="This row is chosen (could equally have been the row 02_c from coder 2) as it specifically looks at comparing the difference in correlations between the two studies (original versus replication)"/><s v="This is not the main replication effect"/><s v="This is the main replication effect (the difference in correlations) but the effect size is not extracted correctly - a test statistic instead of a q value is reported."/><s v="- Replication effect size was reported both as OR (coder 2) and as cohen's d (coder 1) - both are accurate, however cohen's d was chosen as it aligns with Tables of the replication study and with the difference in effect size calculations in the replicati"/><s v="This row was chosen over the other 07_1 row from coder 2 as it had a more accurate calculation of the p value represented for the replication effect"/><s v="This is a main replication effect of interest"/><s v="This is not the main replication result - should it be retained?"/><s v="Chosen for greater accuracy of reporting of pvalues, sample sizes, and test statistics - however, the values are hard to disentangle and could be worth examining in more detail."/><s v="PLEASE CHECK ME:&#xA;- Pvalue for replication calculated using spreadsheet formula function for accuracy. &#xA;- Pvalue for original study was calculated in the replication only (not present in the original paper) - coder 2 chose to report this value, this has be"/><s v="This is the main replication effect of interest, however the statistics in teh original paper (including the sample size) are opaque at best. Help is needed to validate the number, particualrly as they differ from coder 2. "/><s v="Secondary replication target - also needs validating on numbers because of the diffculty tracking from the original manuscript across to the replicaiton project. &#xA;NB - it is very unclear why there is a different aggregate sample size for this replication "/><s v="changed effect size to odds ratio so that it can be auto-converted"/><s v="This is not the main replication effect and it seems that the reported original effect sizes etc are reported only in the replication project - needs double checking before inclusion. Should it be a row we keep?"/><s v="This does not accurately record the effect size of interest for the main replication effect"/><s v="changed effect size to (calculated) d for auto-conversion"/><s v="Coder 2 could not access this paper, therefore it is not double coded. "/><s v="- Coder 1 recorded the relevant test statistic to be the interaction effect, coder 2 identified the main effect as the key test statistic for the replication. Neither is a direct one-to-one mapping with the replicaiton value (which is a correlation based "/><s v="Relevant original effect (pairwise comparison) not reported in original report - therefore, taken from replication"/><s v="Secondary replication - strange difference in N for this group compared with primary group, unexplained n = 8 difference?)"/><s v="This row codes for a whole sample result which was only used as a &quot;follow-up&quot; anlysis because of worries about linguistic and font differences in difficulties across languages in the replication sample. "/><s v="On review: the calculated OR is not valid in this row, the percentages are not comparable in this way, the test statistic from the other coder is accepted instead. "/><s v="calculated OR leads original effect size slightly different from ML - likely due to rounding"/><s v="The two rows are practically identical - however this row has a more accurate record of the replication p value due to it's use of the spreadsheet formula function. "/><s v="This is the best approximation of the US sample - I think"/><s v="It is unclear what this row is addressing and whether it should be kept"/><s v="This is the only approximation of the US sample but was not double coded by coder 2 - need reviews"/><s v="No values coded for Indian sample by coder 2"/><s v="The original study reports results for different cultural groups separately to compare them against each other. The replication compared a general sample only - here two of the three subsamples from the original study are compared to the replication sampl"/><s v="Coder 2 did not report any values for this &quot;study&quot; - therefore it has not been double coded "/><s v="P value reported using spreadsheet formula function for accuracy. "/><s v="- changed the link to the pre-registration of the replication study, since the link let to the OSF project. However, the study was preregisted at AsPredicted &#xA;- I added the effect&#xA;- I changed the claim to highlight which effect belongs to which &#xA;- I chang"/><s v="- I changed the es_repr_r since originally the table which includes the effect size was coded. However, to reproduce the effect, one needs the test statistics. &#xA;- As Leonard already mentioned, the original paper states that 171 participants took part in t"/><s v="- changed the link to the pre-registration of the replication study, since the link let to the OSF project. However, the study was preregisted at AsPredicted"/><s v="- Since it is indeed the same test (excluding one outlier) I would delete this row. "/><s v="- I added the effect"/><s v="- I corrected the sample size of the replication&#xA;- I added the effect&#xA;- I added the study number of the replication study&#xA;- I added label_r"/><s v="- I corrected the sample size of the replication&#xA;- I changed the effect of the original study and all corresponding cells&#xA;- I added the effect&#xA;- I added the study number of the replication study&#xA;- I added label_r"/><s v="- I changed the claim to clairify the target eff&#xA;- I added the effect&#xA;- I added the study number of the replication study&#xA;- I added label_r"/><s v="- I added the effect&#xA;- I added the study number of the replication study&#xA;- I added label_r&#xA;- I added the p-value of the original study"/><s v="- I corrected the sample size; since it can not be inferred from the test statistics (for sure) I coded the reported N&#xA;- I added the effect&#xA;- I added the study number of the replication study&#xA;- I added label_r"/><s v="- changed the omen of the test statistics in the original study&#xA;- I corrected the sample size; since it can not be inferred from the test statistics (for sure) I coded the reported N&#xA;- I added the effect&#xA;- I added the study number of the replication study"/><s v="- I added the effect&#xA;- I added the study number of the replication study&#xA;- I added label_r"/><s v="- I would exclude this row, as it targets the same effect and uses the same sample (despite of the additional careless responders)"/><s v="- I added the effect&#xA;- I added the study number of the replication study&#xA;- I added label_r&#xA;"/><s v="- I added the effect&#xA;- I added the study number of the replication study&#xA;- I added label_r&#xA;- I corrected the effect size, p-value and es_repr for the replicat"/><s v="Effects for a larger sample that includes careless responders are also reported in the article (see below)&#xA;- I added the effect size of the original study&#xA;- I added the study number of the replication study&#xA;- I added label_r&#xA;- I added the effect&#xA;- I am no"/><s v="Effects for a larger sample that includes careless responders are also reported in the article (see below)&#xA;- I added the study number of the replication study&#xA;- I added label_r&#xA;- I added the effect&#xA;- I am not sure whether the effect is reported in the rig"/><s v="I would exclude this row, as it targets the same effect and uses the same sample (despite of the additional careless responders)"/><s v="- I added the study number of the replication study&#xA;- I added label_r&#xA;- I added the effect"/><s v="- I corrected the effect size of the replication study&#xA;- I added the study number of the replication study&#xA;- I added label_r&#xA;- I added the effect"/><s v="- I coded the almost the whole row by myself (the coder only coded until the text claim)"/><s v="- I added the effect&#xA;- changed the link to the pre-registration of the replication study, since the link let to the OSF project. However, the study was preregisted at AsPredicted &#xA;- I changed the tails of the p-value (original) to NA&#xA;- the reported effect"/><s v="- I added the effect&#xA;- I changed the number of participants"/><s v="- I added the effect&#xA;- changed the link to the pre-registration of the replication study, since the link let to the OSF project. However, the study was preregisted at AsPredicted &#xA;- the reported effect size differs from the one coded by Maureen. However, "/><s v="- to be more specific, I changed the description from saturation to color saturation &#xA;- changed the link to the pre-registration of the replication study, since the link let to the OSF project. However, the study was preregisted at AsPredicte"/><s v="- to be more specific, I changed the description from saturation to color saturation &#xA;- I added the effect"/><s v="- to be more specific, I changed the description from saturation to color saturation &#xA;- I added a half sentence to the claim (interpretation)&#xA;- I added the effect"/><s v="- changed the link to the pre-registration of the replication study, since the link let to the OSF project. However, the study was preregisted at AsPredicte"/><s v="- changed the link to the pre-registration of the replication study, since the link let to the OSF project. However, the study was preregisted at AsPredicted&#xA;- There was no text claim. Therefore, I copied the ones of Maureen. "/><s v="- everything was correct"/><s v="- changed the link to the pre-registration of the replication study, since the link let to the OSF project. However, the study was preregisted at AsPredicted&#xA;- I changed nesting to &quot;no&quot;"/><s v="- changed the link to the pre-registration of the replication study, since the link let to the OSF project. However, the study was preregisted at AsPredicted&#xA;- I changed nesting to &quot;no&quot; (original), since the analysis contrasted two conditions&#xA;- I changed "/><s v="- changed the link to the pre-registration of the replication study, since the link let to the OSF project. However, the study was preregisted at AsPredicted&#xA;- I changed nesting to &quot;no&quot; (replication)"/><s v="- changed the link to the pre-registration of the replication study, since the link let to the OSF project. However, the study was preregisted at AsPredicted&#xA;- the t-value was negative&#xA;- I changed nesting to &quot;no&quot; (replication)"/><s v="The second coder coded etasqu as the effect size but it was partial etasqu, corrected;&#xA; coded as row as nested due to 160 trials per participant but no clear details about aggregation for the ANOVA, &#xA;updated url for replication report,&#xA;Updated and combine"/><s v="Differences regarding p-value of replication - report indicates it should be l&lt;, &#xA;updated links to replication report, &#xA;Updated and combined key words and description for best results. "/><s v="Main difference was that the second coder said that it is a conceptual replication. This is a rather subjective judgement call, both codings could be considered valid (validator CG)- (2-close chosen as seems most appropriate to me SAJ).&#xA;Updated links to r"/><s v="The codings largely align - only tags and effect size description differed, &#xA;Updated links to replication report, &#xA;Updated and combined keywords/tags and description for best results. &#xA;"/><s v="Difference is that the second coder said that it is a conceptual replication. I think this is a rather subjective judgement call and thus both codings should be valid (validator CG) - validator SAJ chose 2-close as most appropriate due to use of shared or"/><s v="Exclusion"/><s v="Difference between etasqu. and partial etasqu.; The report states that it is partial etasqu.; Difference in &quot;nested_r&quot; (yes versus no) but the report states that they used a repeated measure ANOVA; --&gt; coded as partial, nested_r = yes (Validator CG)&#xA;Updat"/><s v="Nesting in study resolved to be present"/><s v="Differences regarding the experiment, claim and effect. The authors report that the replicated Experiment 4a, which matches with the data in the table."/><s v="Both codings align"/><s v="All values align, except for the closeness. I think this would be again a jugdgement call."/><s v="Difference in &quot;nested_o&quot;: But the authors performed a repeated measures ANOVA"/><s v="The codings align."/><s v="The reported effect is for Cohens dz, thus for dependent samples. Therefore, the &quot;nested_r&quot; should be &quot;yes&quot; and Cohens d can not be used as an effect size (correct?). -&gt; yes, coded nested as yes and left the t statistic"/><s v="The codings largy align with each other. However, the second coder did not include the effect size for the replication of the table"/><s v="Difference in coding of nesting (both in replication and original). However, an 2 x 2 between subjects ANOVA was performed. -&gt; coded as nested"/><s v="Only difference: partial etasq versus regular etasq."/><s v="Only difference: coding whether the original effect size was tested one tailed or two-tailed --&gt; not reported in the manuscript on p. 3"/><s v="Difference in effect size of the replication study. The second coder did not code the effect size of the table."/><s v="Differences in coding of effect sizes --&gt; t tests were chosen over R²; reported replication test statistic is -9.59 but it says &quot;mean localization error for targets was higher than for distractors, p.4; which is why the sign was omitted here"/><s v="Difference in reporting of p-value. The second coder reports p-rep.; Difference in nesting: Both performed analysis were analysis of vaiance (no reporting of repeated measures). --&gt; p-rep is wrong, first coder's values were chosen"/><s v="Difference in p-value of original report and in &quot;pval_tails_r&quot;, but the replication report notes on p. 3 that a two-tailed paired t-test was used. Therefore, the test should also control for nesting (the test was also used in the original study). Correct?"/><s v="As this coding is not complete, I choose the second one."/><s v="Only difference in p-value of replication. The p-value was lower than .001."/><s v="The codings align to a large extant. However, coder 2 reported etasqu although it was partial etasqu. Moreover, my description of the effect is more general."/><s v="Replication and original study used a within-subjects analysis of variance and therefore controls for nesting. The original does not indicate any p-value or alpha level. Therefore, it should be NA."/><s v="The table and replication report do not align. Coder 2 seems to chose the table. Morover, the replication report states that the p-value is below .001."/><s v="SAJ:&#xA;-Coders were very similar. &#xA;-Fixed merged cell and scientific notation in cells on chosen row. &#xA;-Chosen row correctly identified the tails in the original report (not the replication project)"/><s v="SAJ: &#xA;- The codings align.&#xA;- Corrected typesetting errors, e.g. commas instead of decimel places&#xA;- Expanded tags by merging form 2 coders"/><s v="Corinna:&#xA;- A repeated measures ANOVA was performed, thus the nesting was selected in replication. &#xA;- Coder 2 used the table to code, which deviated at some points from the replication report.&#xA;SAJ:&#xA;-Discrepancies between coders reviewed, original replicati"/><s v="Corinna: &#xA;-It was a one-way ANOVA, thus the p-value is one-tailed.&#xA;SAJ:&#xA;- Validator 1s assertion of one-way equating to one tail is false, there is not information on tails in the replication report &#xA;- Original replicaiton report checked to understand dis"/><s v="Corinna: &#xA;- Codings align, but replication used partial etasqu.&#xA;SAJ:&#xA;- COders aligned&#xA;- Updated typesetting issues&#xA;- Combined tags to improve overall informational value"/><s v="Corinna: &#xA;- Codings align&#xA;SAJ:&#xA;- Coders aligned&#xA;-Fixed typsetting issues&#xA;-Agree with chosen row - has better tags/description"/><s v="Corinna:&#xA;- Codings largely align, but Coder 2 used the results of a table in the replication report (that summerizes the results). However, as the p-value can never be zero, I chose this row.&#xA;SAJ:&#xA;- Corrected typesetting issues in cells&#xA;- Combined coders "/><s v="Corinna: &#xA;- The conducted test was a within-subjects t-test&#xA;SAJ:&#xA;- Corrected typesetting issues&#xA;- Improved tags by combining values from both coders&#xA;- Nestedness in original clear - in replication it is a paired samples t-test (not nested)&#xA;- Tails indicat"/><s v="Corinna:&#xA;- Replication reports states that throughout the whole article all tests are two-tailed.&#xA;SAJ:&#xA;-Updated chosen row to correct typesetting - all values double checked against replicaiton report for accuracy when updating. "/><s v="Corinna:&#xA;- The ANOVA controlled for nesting and was one-way, but it is not clear whether the t-test was also tested one-tail&#xA;SAJ:&#xA;-Coder largely aligned&#xA;-Updated and corrected typesetting issues&#xA;-Checked replication report - no mention of tails on t-test "/><s v="Chosen as reported to 3.d.p"/><s v="I would argue that this is a close replication rather than conceptual as all central features are highly similar, the original materials had to be recreated but this was done in line with screenshots and description so doubt it differed that much"/><s v="Chosen as correct link for prereg used, otherwise all the same, I updated the description here from the other coder as mine were done already but updated one is more suitable"/><s v="Chosen due to more detailed notes explaining choice for conceptual"/><s v="Chosen due to more inclusion of links "/><s v="I would argue this is a close rather than conceptual replication"/><s v="I would argue chi-squared is better to report than those reported by coder 1"/><s v="Chosen as reported partial etasq for rep"/><s v="corrected reference"/><s v="Coded the wrong effect"/><s v="I would argue that this is a close instead of conceptual replication"/><s v="I would argue that this is a close replication"/><s v="I would argue that this is close replication"/><s v="I think this is a close instead of conceptual"/><s v="I would say this is a close replication"/><s v="Coder 2 noted I coded directly from the replication paper, there is some inconsistency as the OSC 2015 table states that the d=-.01"/><s v="I would argue this is a close replication "/><s v="I'm not sure which way is better to report the effects in this row [Luke: chose this row due to proportions reported as &quot;NA&quot; instead of test statistics]"/><s v="This effect size was not found directly in the replication paper"/><s v="The other coder correlates with RPP table too"/><s v="This one aligns more with RPP table"/><s v="I agree this is more close than conceptual"/><s v="Coded the overall sig. of interaction in Table 2"/><s v="Please see coder notes for reasons of help needed status"/><s v="Daten nachtragen aus https://docs.google.com/document/d/1zSjSPR1akPN8Hr4mWJ2fjx1UxbIINGzkeArliyzpTY4/edit"/><s v="Coded t = 1.51 from Table 1 in p.10 of the report because it corresponds most closely to the coded claim (DV = disregard, self-esteem * approach group)"/><s v="Replication report was accessible and reported results match what has been entered in both cases"/><s v="I agree that this is a conceptual"/><s v="replaced DOI with the one from the SSRN website"/><s v="SAJ:&#xA;- Coder 1 miscoded main effect from Study 4 not Study 3. Original values checked to confirm this.&#xA;- Coder 2 correct in sample size having 1 pp removed (i.e. 105-1 = 104).&#xA;-Updated tags to include informaiton form both coders. &#xA;- Added NA to empty cel"/><s v="- Coders were highly aligned on this row &#xA;- Small updates to description and tags to get most detail in the cell&#xA;- Coder 2 selected as slightly more detail in decription etc. "/><s v="- Both coders correctly indicated that there was not sufficient detail about the replication to code this entry. &#xA;- Entry excluded. "/><s v="LR: to reproduce w: srqt(chisq_value / N); see also https://www.oxfordreference.com/display/10.1093/oi/authority.20110803095743480&#xA;SAJ: &#xA;- Selected this row as it coded the main experiemtnal effect of the experiment 3 in the original study (the rejection-"/><s v="LR: to reproduce w: srqt(chisq_value / N); see also https://www.oxfordreference.com/display/10.1093/oi/authority.20110803095743480"/><s v="SAJ:&#xA;- This row is an internal conceptual replication of within a single paper (study 1 and study 2). It is not labelled as such however!&#xA;- I accept this as a replication (internal) , and reject the other coders suggestion to exclude this pair. &#xA;- I updat"/><s v="SAJ: &#xA;- Replication paper contains many extensions and expansions on the topic, relevant information on results pertain to page 10, table 1 on page 11, and figure 5 on page 12. &#xA;- Coders selected different comparisons between the papers. &#xA;- Validation has"/><s v="SAJ: &#xA;- Coders disagreed on which replication statistic to include, the replication paper was consulted. &#xA;- Coder 1 coded for the non-significant main effect of alcohol -  &quot;Critically, there was no significant main effect of Alcohol Group, F(2, 326) = 2.7"/><s v="The preregistration link was incorrect; it was the OSF link for the OSF folder."/><s v="changed label_r to replication, since it says that Study 3 is a close replication of Study 1 (of the replication studies) "/><s v="added NA to prereg_o and prereg_r"/><s v="Test statistics were not reported thoroughly in the original study. However, the p-value combined with the figure makes it clear what hypothesis was being tested and that the replication was successful."/><s v="Hedges’ g = 0.12, 95% CI [0.05, 0.20], z = 3.17, p = .002"/><s v="SAJ:&#xA;- Coder 1 coded study 2 instead of study 3 in the original study causing discrepancies, COder 2 original values were therefore retained. &#xA;- However, Coder 2 coded the main effect of primes not the interaction effect of prime by condition in the origi"/><s v="SAJ: &#xA;- Coders very similar in apprach&#xA;- Coder 2 row chosen as seems to code tails/nestedness more accurately (based on what is in the paper rather than intuition). &#xA;- Coder 2 row also properly identified no replicaiton prereg within the OSF environment"/><s v="t(426.01) = 7.70, p &lt; .001, mean difference = 0.86, 95% C.I. [0.64, 1.09], d = 0.728."/><s v="t(445) = 3.86, p &lt; .001, mean difference = 0.37, 95% C.I. [0.18, 0.55], d = 0.365."/><s v="t(455) = 4.33, p &lt; .001, mean difference = 0.49, 95% C.I. [0.27, 0.71], d = 0.409"/><s v="SAJ:&#xA;- The exact replicaiton value to be selected was reviewed and adjusted&#xA;- Instead of an omnibus t-test (df 1455) the within classic ISE effect on bonus payments was extracted from Table 5 (p. 7) to compare directly to the original study and effect &#xA;- "/><s v="SAJ:&#xA;-This coder chose the correct main effect to report (ANOVA based on RT not PC) so this row was selected.&#xA;-Additional information added to the original effect to align more closely with the description&#xA;- Nestedness updated for both papers (one-way ANO"/><s v="SAJ:&#xA;-Both coders coded very similiar rows&#xA;- Adjusted nestednes to yes due to mixed ANOVA for effect of interest. "/><s v="SAJ:&#xA;- Both coders coded very similiar rows&#xA;- Coder 2 row chosen as better description/tags&#xA;- Ongoing row_id discrepancy to be resolved. "/><s v="added 1 to study_o, added Experiment 1B to study_r"/><s v="added 1 to study_o, added Experiment 2B to study_r"/><s v="SAJ:&#xA;- Coders largely aligned&#xA;- Double checked sources for tails and nestedness. &#xA;- Neither indicates tails for effects of interest (original indicates tails for other analyses only). &#xA;- Nestedness assumed for original (repeated measures), but t-test for "/><s v="provided effect size is standardized beta and treated as a correlation. Preregistration Link was false. There is no preregistration"/><s v="SAJ:&#xA;- Coders coded very similar rows&#xA;- Coder 2 had stronger description/tags (updated to inlcude any extra terms from coder 1 for completeness). "/><s v="Removed &quot;Experiment 2&quot; after ref_o"/><s v="1. There are more effects in the original and the replication study that are not relevant to the main hypotheses. 2. The preregistration link was incorrect. It was the OSF link for the OSF folder. Added the correct preregistration link."/><s v="1. There are more effects in the original and the replication study which are not relevant to the main hypotheses. 2. The preregistration link was incorrect. It was the OSF link for the OSF folder. Added the correct preregistration link. 3. Corrected and "/><s v="1. There are more effects in the original and the replication study that are not relevant to the main hypotheses. 2. The preregistration link was incorrect. It was the OSF link for the OSF folder. Added the correct preregistration link. "/><s v="1. There are more effects in the original and the replication study that are not relevant to the main hypotheses. 2. The preregistration link was incorrect. It was the OSF link for the OSF folder. Added the correct preregistration link. 3. Corrected and u"/><s v="1. There are more effects in the original and the replication study which are not relevant to the main hypotheses. 2. The preregistration link was incorrect. It was the OSF link for the OSF folder. Added the correct preregistration link."/><s v="1. There are more effects in the original and the replication study which are not relevant to the main hypotheses. 2. The preregistration link was incorrect. It was the OSF link for the OSF folder. Added the correct preregistration link. 3. This row has b"/><s v="1. There are more effects in the original and the replication study which are not relevant to the main hypotheses. 2. The preregistration link was incorrect. It was the OSF link for the OSF folder. Added the correct preregistration link. "/><s v="1. There are more effects in the original and the replication study which are not relevant to the main hypotheses. 2. The preregistration link was incorrect. It was the OSF link for the OSF folder. Added the correct preregistration link. 3. Added claim_te"/><s v="1. There are more effects in the original and the replication study which are not relevant to the main hypotheses. 2. The preregistration link was incorrect. It was the OSF link for the OSF folder. Added the correct preregistration link. 3. sarahashjones@"/><s v="1. There are more effects in the original and the replication study that are not relevant to the main hypotheses. 2. The preregistration link was incorrect. It was the OSF link for the OSF folder. Added the correct preregistration link. 3. The coder provi"/><s v="1. There are more effects in the original and the replication study which are not relevant to the main hypotheses. 2. The preregistration link was incorrect. It was the OSF link for the OSF folder. Added the correct preregistration link. 3. There is no in"/><s v="1. There are more effects in the original and the replication study which are not relevant to the main hypotheses. 2. The preregistration link was incorrect. It was the OSF link for the OSF folder. Added the correct preregistration link. 3. The coder has "/><s v="1. The statistical results are not presented for the specific claim/finding. However, it is generally addressed. 2. The preregistration link was incorrect. It was the OSF link for the OSF folder. Added the correct preregistration link. 3. This row outlays"/><s v="1. The replication study conjoined the two of the SVOs i.e. individualists and competitors as proself. Therefore, finding out the comparisons of individual SVOs is not possible. 2. The preregistration link was incorrect. It was the OSF link for the OSF fo"/><s v="1. There are no statistical results for this specific claim in the orignal study 2. The preregistration link was incorrect. It was the OSF link for the OSF folder. Added the correct preregistration link."/><s v="1. There are no statistical results for this specific claim. 2. The preregistration link was incorrect. It was the OSF link for the OSF folder. Added the correct preregistration link."/><s v="1. I have used the p-value rather than the adjusted p-value for the replication study. 2. The preregistration link was incorrect. It was the OSF link for the OSF folder. Added the correct preregistration link."/><s v="1. I have used the p-value rather than the adjusted p-value. for the replication study. 2. The preregistration link was incorrect. It was the OSF link for the OSF folder. Added the correct preregistration link."/><s v="1. There are no statistical results for this specific claim in the orignal study. 2. The preregistration link was incorrect. It was the OSF link for the OSF folder. Added the correct preregistration link."/><s v="1. There are no exact claims in the replication study. 2.. The preregistration link was incorrect. It was the OSF link for the OSF folder. Added the correct preregistration link."/><s v="1. Main effect is not present in the replication study. 2. The preregistration link was incorrect. It was the OSF link for the OSF folder. Added the correct preregistration link."/><s v="1. There are no statistical results for this specific claim. 2. There are no such claim in the replication study.  3. The preregistration link was incorrect. It was the OSF link for the OSF folder. Added the correct preregistration link."/><s v="Entry from another coder not found"/><s v="additional entry with extra results - no second coder"/><s v="Mistake in p value of replication"/><s v="Tidied up row (especially links)  &#xA;Included description (missing from both rows)&#xA;Chose this row as it had the correct p value for the replication"/><s v="Tidied up links and changed F &quot;effect sizes&quot; to full F test statistics in results. &#xA;Think this row should be split in 5, one for each effect? "/><s v="extra result (not included in XPHI table)"/><s v="Added description&#xA;Updated file links&#xA;Correct pvalue replication to one tailed based on post replication report"/><s v="seems that statistics from O put in tn the wrong cells"/><s v="added row for machine-vignette"/><s v="seems that statistics from O put in tn the wrong cells, no statistics from R"/><s v="Emplty cells"/><s v="Corrected replication test statistic based on the single report at https://osf.io/6r74y"/><s v="correlations for original report are provided in footnote 3 on p 353 (pdf page = 3) but only significant correlations are reported, which is why none are coded"/><s v="Marked as help needed, cause both rows have correct info, but use different approach, Probably the best approach will be to combine them"/><s v="corrected N based on dfs; no Preregistration in osf project (osf.io/z2fj8) so changed prereg_r to NA"/><s v="extra result (not included in XPHI table), values for O wasn't filled, so I extracted it myself (Aleksandr P.)"/><s v="added study numbers in original ref"/><s v="Entry selected as it had most accurate reporitng of effect sizes (full test statistic), &#xA;Also added description (originally missing from both entries), &#xA;and investigated links - prereplication forms are not preregistrations (contain no information about p"/><s v="Entry selected as it had most accurate reporitng of effect sizes (full test statistic, not calculated values via R), &#xA;Also added description (originally missing from both entries), &#xA;and investigated links - prereplication forms are not preregistrations (c"/><s v="extra result (not included in XPHI table), basically the same, one coder extracted b (unstd), another one - test statistics X2. Otherwise  statistics checked, validated"/><s v="Entry selected as it had most accurate reporitng of effect sizes (full test statistic, not F value only), &#xA;Also added description (originally missing from both entries), &#xA;and investigated links - preregistration for replication added. "/><s v="Entry selected as it had most accurate reporting - reported sobel test as suggested by the XPHI data table and confirmed byt the original reports, &#xA;Also added description (originally missing from both entries), &#xA;and investigated links - preregistration fo"/><s v="extra result (not included in XPHI table) es_repr_r corrected"/><s v="Entry selected as it had most accurate reporting - replicated p value correct,&#xA;Also added description (originally missing from both entries), &#xA;and investigated links - preregistration for replication added. "/><s v="Entry selected as it had an accurate description,  &#xA;and investigated links - preregistration for replication added. "/><s v="Entry selected - though both are similar. &#xA;Original test statistics not reported but both coders correctly sourced them from the replication table. "/><s v="Entry selected as it had more accurate reported (full test statistics), &#xA;description added, &#xA;and investigated links. "/><s v="Entry selected though both rows were similar, &#xA;investigated the updated/corrected sample size - coders both agree and were correct, &#xA;description added, &#xA;and investigated links. "/><s v="corrected orignial sample size; cant find the statistic in column teststatistic_rep"/><s v="Entry selected though both rows were similar, &#xA;description added, &#xA;and investigated links. "/><s v="Both rows are chosen, differrent results extracted"/><s v="Entry selected as coded for the main effect as defined by the replication table, &#xA;test statistics updated (formatting in effect size columns), &#xA;and investigated links. "/><s v="Entry selected as managed to describe the original effect (qual) &#xA;test statistics updated (had to take estimated statstics from post-replication report nad XPHI table),&#xA;and investigated links. "/><s v="Entry selected although both coders were very similar,&#xA;test statistics updated (had to take estimated statistics from post-replication report and XPHI table combined for effect size reporting),&#xA;and investigated links. "/><s v="Entry selected as it had the correct sample size (123 not 128, 128 was before exclusions and was incorrectly reported on the main table - replicaiton report detailed the exclusions). &#xA;Test statistics updated - original statistics inferred in the prereplic"/><s v="Note from another coder = The Post Replication Form states that 123 were included in the analysis, while the tables states 128.; The effect size of the original study can not be calculated using the effect size calculator, but the replication report state"/><s v="- I changed the described effect from religious beliefs and behavior to only beliefs&#xA;- I added the study numbers&#xA;- I changed the page number of the original study&#xA;- I changed the p-value&#xA;- I changed the sides of the original p-value to NA&#xA;- I added the te"/><s v="- I changed the described effect from religious beliefs and behavior to only beliefs&#xA;- I added the study numbers&#xA;- I added the text claim&#xA;- I changed the page number of the original study&#xA;- I changed the p-value&#xA;- I changed the sides of the original p-val"/></sharedItems></cacheField><cacheField name="ref_o" numFmtId="0"><sharedItems containsBlank="1"><s v="Copy APA style from Google Scholar (or similar), without DOI"/><s v="Cunningham, W. A., Van Bavel, J. J., &amp; Johnsen, I. R. (2008). Affective flexibility: evaluative processing goals shape amygdala activity. Psychological Science, 19(2), 152-160."/><s v="Schaffer, J., &amp; Knobe, J. (2012). Contrastive knowledge surveyed. Noûs, 46(4), 675-708."/><s v="Mussweiler, T., &amp; Englich, B. (2005). Subliminal anchoring: Judgmental consequences and underlying mechanisms. Organizational Behavior and Human Decision Processes, 98(2), 133-143."/><s v="Rellensmann, J., &amp; Schukajlow, S. (2017). Does students’ interest in a mathematical problem depend on the problem’s connection to reality? An analysis of students’ interest and pre-service teachers’ judgments of students’ interest in problems with and wit"/><m/><s v="Darcy, I., Mora, J. C., &amp; Daidone, D. (2016). The role of inhibitory control in second language phonological processing. Language Learning, 66, 741–773. https://doi.org/10.1111/lang.12161"/><s v="Saxey, M. T., LeBaron-Black, A. B., &amp; Curran, M. A. (2022). The Sooner, the Better? Couples' First Financial Discussion, Relationship Quality, and Financial Conflict in Emerging Adulthood. Journal of Financial Therapy, 13 (1) 2. https://doi.org/10.4148/19"/><s v="Stellar, J. E., Gordon, A., Anderson, C. L., Piff, P. K., McNeil, G. D., &amp; Keltner, D. (2018). Awe and humility. Journal of Personality and Social Psychology, 114(2), 258–269. https://doi.org/10.1037/pspi0000109"/><s v="Johnston, W., Dolan, K., Reid, N., Coughlan, G. F., &amp; Caulfield, B. (2018). Investigating the effects of maximal anaerobic fatigue on dynamic postural control using the Y-Balance Test. Journal of science and medicine in sport, 21(1), 103-108. https://doi."/><s v="Vasterling, J. J., Aslan, M., Lee, L. O., Proctor, S. P., Ko, J., Jacob, S., &amp; Concato, J. (2018). Longitudinal Associations among Posttraumatic Stress Disorder Symptoms, Traumatic Brain Injury, and Neurocognitive Functioning in Army Soldiers Deployed to "/><s v="Watson-Manheim, M. B., &amp; Bélanger, F. (2007). Communication media repertoires: Dealing with the multiplicity of media choices. MIS quarterly, 267-293. https://doi.org/10.2307/25148791"/><s v="Gettinger, M., Kratochwill, T. R., Eubanks, A., Foy, A., &amp; Levin, J. R. (2021). Academic and behavior combined support: Evaluation of an integrated supplemental intervention for early elementary students. Journal of School Psychology, 89, 1-19. https://do"/><s v="Solheim, O. J., Frijters, J. C., Lundetræ, K., &amp; Uppstad, P. H. (2018). Effectiveness of an early reading intervention in a semi-transparent orthography: A group randomised control. Learning and Instruction, 58, 65–79. https://doi.org/10.1016/j.learninstr"/><s v="Pigott T. D., Valentine J. C., Polanin J. R., Williams R. T., Canada D. D. (2013). Outcome-reporting bias in education research. Educational Researcher, 42(8), 424–432. https://doi.org/10.3102/0013189X13507104"/><s v="Kanwit, M., &amp; Geeslin, K. L. (2014). The interpretation of Spanish subjunctive and indicative forms in adverbial clauses: A cross-sectional study. Studies in Second Language Acquisition, 36(3), 487-533. https:://doi.org/10.1017/S0272263114000126"/><s v="Dishop, C. R. (2022). Spurious inference in consensus emergence modeling due to the distinguishability problem. Psychological Methods. Advance online publication. https://doi.org/10.1037/met0000511"/><s v="Taipale, H., Solmi, M., Lähteenvuo, M., Tanskanen, A., Correll, C. U., &amp; Tiihonen, J. (2021). Antipsychotic use and risk of breast cancer in women with schizophrenia: a nationwide nested case-control study in Finland. The Lancet Psychiatry, 8(10), 883-891"/><s v="Gerlicher, A. M. V., Tüscher, O., &amp; Kalisch, R. (2018). Dopamine-dependent prefrontal reactivations explain long-term benefit of fear extinction. Nature communications, 9(1), 4294. https://doi.org/10.1038/s41467-018-06785-y"/><s v="Harper, L. M., &amp; Kim, Y. (2018). Attitudinal, normative, and resource factors affecting psychologists’ intentions to adopt an open data badge: An empirical analysis. International Journal of Information Management, 41(8), 23–32. https://doi.org/10.1016/j."/><s v="Cordeiro, M. C., Kodak, T., Reidy, J., Stoppleworth, A., Zelinski, K., &amp; Jainga, A. (2022). Comparison of mastery criteria applied to individual targets and stimulus sets on acquisition of tacts, intraverbals, and listener responses. Journal of Applied Be"/><s v="Valdesolo, P., &amp; DeSteno, D. (2007). Moral hypocrisy: Social groups and the flexibility of virtue. Psychological science, 18(8), 689-690. https://doi.org/10.1111/j.1467-9280.2007.01961.x"/><s v="Epley, N., Waytz, A., Akalis, S., &amp; Cacioppo, J. T. (2008). When we need a human: Motivational determinants of anthropomorphism. Social cognition, 26(2), 143-155. https://doi.org/10.1521/soco.2008.26.2.143"/><s v="Scott, M. (2013). Corollary discharge provides the sensory content of inner speech. Psychological science, 24(9), 1824-1830. https://doi.org/10.1177/0956797613478614"/><s v="Syropoulos, S., &amp; Markowitz, E. M. (2022). Perceived responsibility to address climate change consistently relates to increased pro-environmental attitudes, behaviors and policy support: Evidence across 23 countries. Journal of Environmental Psychology, 8"/><s v="Schenk, M., &amp; Miltenberger, R. (2019). A review of behavioral interventions to enhance sports performance. Behavioral Interventions, 34(2), 248–279. https://doi.org/10.1002/bin.1659"/><s v="May, A. C., Burrows, K., Figueroa-Hall, L. K., Kirlic, N., White, E. J., Smith, R., ... &amp; T1000 Investigators. (2021). Sex differences in circulating inflammatory mediators as a function of substance use disorder. Drug and alcohol dependence, 221, 108610."/><s v="Renda, C. R., Rung, J. M., Hinnenkamp, J. E., Lenzini, S. N., &amp; Madden, G. J. (2018). Impulsive choice and pre-exposure to delays: IV. Effects of delay-and immediacy-exposure training relative to maturational changes in impulsivity. Journal of the Experim"/><s v="Castro, A. A., Hur, J., &amp; Berenbaum, H. (2022). A bifactor approach to modeling the structure of repetitive thinking: Replication and extension. Personality and Individual Differences, 189, 111472. https://doi.org/10.1016/j.paid.2021.111472"/><s v="Pérez, A., Potocki, A., Stadtler, M., Macedo-Rouet, M., Paul, J., Salmerón, L., &amp; Rouet, J. F. (2018). Fostering teenagers' assessment of information reliability: Effects of a classroom intervention focused on critical source dimensions. Learning and Inst"/><s v="Blank, H., Panday, A., Edwards, R., Skopicz-Radkiewicz, E., Gibson, V., &amp;Reddy, V. (2022). Double misinformation: Effects on eyewitnessremembering.Journal of Applied Research in Memory and Cognition,11(1), 97–105.https://doi.org/10.1016/j.jarmac.2021.08.0"/><s v="Grainger, J., Snell, J., &amp; Beyersmann, E. (2021). Morphological processing in the flankers task. Language, Cognition and Neuroscience, 36(3), 288–295. https://doi.org/10.1080/23273798.2020.1810292"/><s v="Kormos, J., &amp; Dénes, M. (2004). Exploring measures and perceptions of fluency in the speech of second language learners. System, 32(2), 145–164. https://doi.org/10.1016/j.system.2004.01.001"/><s v="Rossiter, M. J. (2009). Perceptions of L2 fluency by native and non-native speakers of English. Canadian Modern Language Review, 65(3), 395–412. https://doi.org/10.3138/cmlr.65.3.395"/><s v="Davis, W. T., Rapp, J. T., Brogan, K. M., Pinkston, J. W., &amp; Chinnappan, B. (2021). Comparing stimulus preference and response force in a conjugate preparation. Journal of the Experimental Analysis of Behavior, 116(1), 96–113. https://doi.org/10.1002/jeab"/><s v="Sfärlea, A., Greimel, E., Platt, B., Dieler, A. C., &amp; Schulte‐Körne, G. (2018). Recognition of emotional facial expressions in adolescents with anorexia nervosa and adolescents with major depression. Psychiatry Research, 262, 586–594. https://doi.org/10.1"/><s v="Rothman, J. (2011). L3 syntactic transfer selectivity and typological determinacy: The typological primacy&#xA;model. Second Language Research, 27, 107–127. https://doi.org/10.1177/0267658310386439"/><s v="Bailey, C. N., Hasselback, J. R., &amp; Karcher, J. N. (2001). Research misconduct in accounting literature: A survey of the most prolific researchers’ actions and beliefs. Abacus, 37(1), 26-54. https://doi.org/10.1111/1467-6281.00073"/><s v="Bailey, C. N., Hasselback, J. R., &amp; Karcher, J. N. (2001). Research misconduct in accounting literature: A survey of the most prolific researchers’ actions and beliefs. Abacus, 37(1), 26-54. https://doi.org/10.1111/1467-6281.00074"/><s v="Bailey, C. N., Hasselback, J. R., &amp; Karcher, J. N. (2001). Research misconduct in accounting literature: A survey of the most prolific researchers’ actions and beliefs. Abacus, 37(1), 26-54. https://doi.org/10.1111/1467-6281.00075"/><s v="Zitek, E. M., &amp; Tiedens, L. Z. (2012). The fluency of social hierarchy: the ease with which hierarchical relationships are seen, remembered, learned, and liked. Journal of personality and social psychology, 102(1), 98."/><s v="Fath, S., &amp; Kay, A. C. (2018). “If hierarchical, then corrupt”: Exploring people’s tendency to associate hierarchy with corruption in organizations. Organizational Behavior and Human Decision Processes, 149, 145-164. https://doi.org/10.1016/j.obhdp.2018.1"/><s v="Burback, Shannon, &quot;Construct Validity of the Behavior Assessment System for Children-Third&#xA; Edition Teacher Rating Scales (BASC-3 TRS): Comparisons with the Adjustment Scales&#xA; for Children and Adolescents (ASCA)&quot; (2020). Masters Theses. 4783.&#xA; https://the"/><s v="Burback, Shannon, &quot;Construct Validity of the Behavior Assessment System for Children-Third&#xA;Edition Teacher Rating Scales (BASC-3 TRS): Comparisons with the Adjustment Scales&#xA;for Children and Adolescents (ASCA)&quot; (2020). Masters Theses. 4783.&#xA;https://thekee"/><s v="Van Ryzin, G. G. (2013). An experimental test of the expectancy‐disconfirmation theory of citizen satisfaction. Journal of Policy Analysis and Management, 32(3), 597-614. https://doi.org/10.1002/pam.21702"/><s v="Przepiórkowski, A., &amp; Woźniak, M. (2023, July). Conjunct Lengths in English, Dependency Length Minimization, and Dependency Structure of Coordination. In Proceedings of the 61st Annual Meeting of the Association for Computational Linguistics (Volume 1: Lo"/><s v="Shandler, R., Gross, M. L., &amp; Canetti, D. (2021). A fragile public preference for cyber strikes: Evidence from survey experiments in the United States, United Kingdom, and Israel. Contemporary Security Policy, 42(2), 135-162. https://doi.org/10.1080/13523"/><s v="Hazen, R.A., Vasey, M.W., &amp; Schmidt, N.B. (2009). Attentional retraining: A randomized clinical trial for pathological worry. Journal of psychiatric research, 43(6), 627-633. https://doi.org/10.1016/j.jpsychires.2008.07.004"/><s v="Hazen, R.A., Vasey, M.W., &amp; Schmidt, N.B. (2009). Attentional retraining: A randomized clinical trial for pathological worry. Journal of psychiatric research, 43(6), 627-633. https://doi.org/10.1016/j.jpsychires.2008.07.005"/><s v="Hazen, R.A., Vasey, M.W., &amp; Schmidt, N.B. (2009). Attentional retraining: A randomized clinical trial for pathological worry. Journal of psychiatric research, 43(6), 627-633. https://doi.org/10.1016/j.jpsychires.2008.07.006"/><s v="Hazen, R.A., Vasey, M.W., &amp; Schmidt, N.B. (2009). Attentional retraining: A randomized clinical trial for pathological worry. Journal of psychiatric research, 43(6), 627-633. https://doi.org/10.1016/j.jpsychires.2008.07.007"/><s v="Hazen, R.A., Vasey, M.W., &amp; Schmidt, N.B. (2009). Attentional retraining: A randomized clinical trial for pathological worry. Journal of psychiatric research, 43(6), 627-633. https://doi.org/10.1016/j.jpsychires.2008.07.008"/><s v="Autor, D. H., Katz, L. F., &amp; Kearney, M. S. (2008). Trends in US wage inequality: Revising the revisionists. The Review of economics and statistics, 90(2), 300-323. https://doi.org/10.1162/rest.90.2.300"/><s v="Larsson, T., Callies, M., Hasselgård, H., Laso, N. J., Van Vuuren, S., Verdaguer, I., &amp; Paquot, M. (2020). Adverb placement in EFL academic writing: Going beyond syntactic transfer. International Journal of Corpus Linguistics, 25(2), 156-185. https://doi."/><s v="Wiseheart, M., Viswanathan, M., &amp; Bialystok, E. (2016). Flexibility in task switching by monolinguals and bilinguals. Bilingualism: Language and Cognition, 19(1), 141–146. https://doi.org/10.1017/S1366728914000273"/><s v="Wilfong, R. (. (2021). The mattering model: The foundational elements of mattering for K-12 educators (Order No. 28319407). Available from ProQuest Dissertations &amp; Theses Global. (2537966312). Retrieved from https://www.proquest.com/dissertations-theses/m"/><s v="Lozano, C., &amp; Díaz-Negrillo, A. (2019). Using learner corpus methods in L2 acquisition research: The morpheme order studies revisited with Interlanguage Annotation. Revista Española de Lingüística Aplicada/Spanish Journal of Applied Linguistics, 32(1), 82"/><s v="Onwuegbuzie, A. J., Bailey, P., &amp; Daley, C. E. (2000). The validation of three scales measuring anxiety at different stages of the foreign language learning process: The input anxiety scale, the processing anxiety scale, and the output anxiety scale. Lang"/><s v="Tamm., G., Koster, E. H. W, &amp; Hoorelbeke, K. (2024). Multiple paths to rumination within a&#xA;network analytical framework. Scientific Reports, 14(1), 10874.&#xA; http://dx.doi.org/10.1038/s41598-024-61469-6"/><s v="Sastre, L. V., Defina, R., Garrett, P. M., Zacks, J. M., &amp; Dennis, S. (2024). Most daily events have no characteristic duration. Under review"/><s v="Brooke, J. H. (1991). Science and religion: Some historical perspectives. Cambridge University Press."/><s v="Croninger, R.G., Rice, J.K., Rathbun, A., &amp; Nishio, M.(2007).Teacher qualifications and early learning: Effects of certification, degree, and experience on first-grade student achievement.Economics of Education Review, 26(3), 312–324. http://doi.org/10.10"/><s v="Fuchs, C., &amp; Schreier, M. (2011). Customer empowerment in new product development. Journal of product innovation management, 28(1), 17-32. https://doi.org/10.1111/j.1540-5885.2010.00778.x"/><s v="Schroeder, P. A., Lohmann, J., Butz, M. V., &amp; Plewnia, C. (2016). Behavioral bias for food reflected in hand movements: a preliminary study with healthy subjects. Cyberpsychology, Behavior, and Social Networking, 19(2), 120-126. https://doi.org/10.1089/cy"/><s v="Simonson, I., &amp; Staw, B. M. (1992). Deescalation strategies: A comparison of techniques for reducing commitment to losing courses of action. Journal of Applied Psychology, 77, 419 – 426. http://dx.doi.org/10.1037/0021-9010.77.4.419"/><s v="Loibl, K., &amp; Rummel, N. (2014). Knowing what you don’t know makes failure productive. Learning and Instruction, 34, 74–85. https://doi.org/10.1016/j.learninstruc.2014.08.004"/><s v="Staw, B. M. (1976). Knee-deep in the big muddy: A study of escalating commitment to a chosen course of action. Organizational Behavior and Human Performance, 16, 27-44. https://doi.org/10.1016/0030-5073(76)90005-2"/><s v="Barrett, F. S., Grimm, K. J., Robins, R. W., Wildschut, T., Sedikides, C., &amp; Janata, P. (2010). Music-evoked nostalgia: affect, memory, and personality. Emotion (Washington, D.C.), 10(3), 390–403. https://doi.org/10.1037/a0019006"/><s v="Arkes, H. R., Joyner, C. A., Pezzo, M. V., Nash, J. G., Siegel-Jacobs, K., &amp; Stone, E. (1994). The psychology of windfall gains. Organizational behavior and human decision processes, 59(3), 331-347. https://doi.org/10.1006/obhd.1994.1063"/><s v="Hohensee, C. (2017). Preparing elementary prospective teachers to teach early algebra. Journal of Mathematics Teacher Education, 20, 231-257. https://doi.org/10.1007/s10857-015-9324-9"/><s v="Trafimow, D., &amp; Hughes, J. S. (2012). Testing the death thought suppression and rebound hypothesis: Death thought accessibility following mortality salience decreases during a delay. Social Psychological and Personality Science, 3(5), 622-629. https://doi"/><s v="Zhang, X., Bachmann, P., Schilling, T. M., Naumann, E., Schächinger, H., &amp; Larra, M. F. (2018). Emotional stress regulation: The role of relative frontal alpha asymmetry in shaping the stress&#xA;response. Biological psychology, 138, 231-239. https://doi.org/"/><s v="Edwards, S. H., Kandru, N., &amp; Rajagopal, M. B. (2017, August). Investigating static analysis errors in student Java programs. In Proceedings of the 2017 ACM Conference on International Computing Education Research (pp. 65-73). https://doi.org/10.1145/3105"/><s v="Börstler, J., &amp; Paech, B. (2016). The role of method chains and comments in software readability and comprehension—an experiment. IEEE Transactions on Software Engineering, 42(9), 886-898. https://doi.org/10.1109/TSE.2016.2527791"/><s v="Abend, R., Bajaj, M. A., Matsumoto, C., Yetter, M., Harrewijn, A., Cardinale, E. M., ... &amp; Pine, D. S. (2021). Converging multi-modal evidence for implicit threat-related bias in pediatric anxiety disorders. Research on child and adolescent psychopatholog"/><s v="Karmarkar, U. R., &amp; Tormala, Z. L. (2010). Believe me, I have no idea what I’m talking about: The effects of source certainty on consumer involvement and persuasion. Journal of Consumer Research, 36(6), 1033-1049. https://doi.org/10.1086/648381"/><s v="Falligant, J.M., Rooker, G.W. Further Analysis of the Response Deprivation Hypothesis: Application of the Disequilibrium Model to Novel Clinical Contexts. Psychol Rec 71, 307–311 (2021). https://doi.org/10.1007/s40732-020-00453-8"/><s v="He, J., Chen, G., Wu, S., Niu, R., &amp; Fan, X. (2020). Patterns of negative emotional eating among Chinese young adults: A latent class analysis. Appetite, 155, 104808. https://doi.org/10.1016/j.appet.2020.104808. Study 5"/><s v="He, J., Chen, G., Wu, S., Niu, R., &amp; Fan, X. (2020). Patterns of negative emotional eating among Chinese young adults: A latent class analysis. Appetite, 155, 104808. https://doi.org/10.1016/j.appet.2020.104808"/><s v="Krauss, S., Orth, U., &amp; Robins, R. W. (2020). Family environment and self-esteem development: A longitudinal study from age 10 to 16. Journal of Personality and Social Psychology, 119(2), 457–478. https://doi.org/10.1037/pspp0000263"/><s v="Reiff J. S., Hershfield H. E., Quoidbach J. (2020). Identity over time: Perceived similarity between selves predicts well-being 10 years later. Social Psychological and Personality Science, 11, 160–167. https://doi.org/10.1177/1948550619843931"/><s v="Gietzen, L. J., Lewis, H., &amp; Buchanan, J. A. (2023). Age-related microaggressions: A descriptive&#xA; study. The Gerontologist, 63(5), 820-830. https://doi.org/10.1093/geront/gnac158"/><s v="Gietzen, L. J., Lewis, H., &amp; Buchanan, J. A. (2023). Age-related microaggressions: A descriptive&#xA;study. The Gerontologist, 63(5), 820-830. https://doi.org/10.1093/geront/gnac158"/><s v="Akselevich, V., &amp; Gilaie-Dotan, S. (2022). Positive and negative facial valence perception are modulated differently by eccentricity in the parafovea. Scientific reports, 12(1), 21693. https://doi.org/10.1038/s41598-022-24919-7"/><s v="Akselevich, V., &amp; Gilaie-Dotan, S. (2022). Positive and negative facial valence perception are modulated differently by eccentricity in the parafovea. Scientific reports, 12(1), 21693. https://doi.org/10.1038/s41598-022-24919-8"/><s v="Akselevich, V., &amp; Gilaie-Dotan, S. (2022). Positive and negative facial valence perception are modulated differently by eccentricity in the parafovea. Scientific reports, 12(1), 21693. https://doi.org/10.1038/s41598-022-24919-9"/><s v="Zottoli, T. M., Helm, R. K., Edkins, V. A., &amp; Bixter, M. T. (2023). Developing a model of guilty plea decision-making: Fuzzy-trace theory, gist, and categorical boundaries. Law and Human Behavior, 47(3), 403–421. https://doi.org/10.1037/lhb0000532"/><s v="Honea, R. A., Vidoni, E., Harsha, A., &amp; Burns, J. M. (2009). Impact of APOE on the healthy aging brain: a voxel-based MRI and DTI study. Journal of Alzheimer's disease, 18(3), 553-564. 10.3233/JAD-2009-1163"/><s v="Ratcliffe, J. H. (2021). Policing and public health calls for service in Philadelphia. Crime Science, 10(1), 1–6. https://doi.org/10.1186/s40163-021-00141-0"/><s v="Lum, C., Koper, C. S., &amp; Wu, X. (2021). Can we really defund the police? A nine-agency study of police response to calls for service. Police Quarterly, July. https://doi.org/10.1177/2F10986111211035002"/><s v="Laniyonu, A. (2021). Phantom pains: The effect of police killings of black Americans on black British attitudes. British Journal of Political Science, 52(4), 1–17. https://doi.org/10.1017/S0007123421000557"/><s v="Bloomfield, J., Balsa, A., &amp; Cid, A. (2023). Using behavioral insights in early childhood interventions: The effects of Crianza Positiva e-messaging program on parental investment. Review of the Economics of the Household, 21, 95–130. https://doi.org/10.1"/><s v="Shelton-Strong, S., &amp; Mynard, J. (2018). Affective factors in self-access learning. Relay Journal, 1(2), 275–292. https://doi.org/10.37237/relay/010204"/><s v="Collins, H. K., Hagerty, S. F., Quoidbach, J., Norton, M. I., &amp; Brooks, A. W. (2022). Relational diversity in social portfolios predicts well-being. Proceedings of the National Academy of Sciences, 119(43), e2120668119. https://doi.org/10.1073/pnas.212066"/><s v="Shah, A.K., LaForest, M. Knowledge about others reduces one’s own sense of anonymity. Nature 603, 297–301 (2022). https://doi.org/10.1038/s41586-022-04452-3"/><s v="Saini, M., Pruett, M. K., Alschech, J., &amp; Sushchyk, A. R. (2019). A pilot study to assess coparenting across family structures (CoPAFS). Journal of Child and Family Studies, 28, 1392-1401. https://doi.org/10.1007/s10826-019-01370-3"/><s v="Seward, R., &amp; Redner, R. (2023). Step it UP! game increases steps of adults with disabilities. Journal of Applied Behavior Analysis, 56(1), 231–240. https://doi.org/10.1002/jaba.968"/><s v="Barceló, J. (2021). “The Long-term Effects of War Exposure on Civic Engagement.” Proceedings of the National Academy of Sciences, 118 (6) (February): e2015539118 https://doi.org/10.1073/pnas.2015539118"/><s v="Barceló, J. (2021). “The Long-term Effects of War Exposure on Civic Engagement.” Proceedings of the National Academy of Sciences, 118 (6) (February): e2015539118 https://doi.org/10.1073/pnas.2&#xA;015539118"/><s v="Longoni, A.M., Richardson, J.T.E. &amp; Aiello, A. Articulatory rehearsal and phonological storage in working memory. Memory &amp; Cognition 21, 11–22 (1993). https://doi.org/10.3758/BF03211160"/><s v="Teló, C., P.  Trofimovich, and M. G.  O’Brien.  2022. ‘Disentangling professional competence and foreign accent,’  Journal of Second Language Pronunciation  8/3: 413–43. https://doi.org/10.1075/jslp.22013.tel"/><s v="Teló, C., P. Trofimovich, and M. G. O’Brien. 2022. ‘Disentangling professional competence and foreign accent,’ Journal of Second Language Pronunciation 8/3: 413–43. https://doi.org/10.1075/jslp.22013.tel"/><s v="Segev, S., and J. Fernandes 2023. “The Anatomy of Viral Advertising: A Content Analysis of Viral Advertising from the Elaboration Likelihood Model Perspective.” Journal of Promotion Management 29 (1): 125–154. https://doi.org/10.1080/10496491.2022.2108189"/><s v="Meyer, A., Riesel, A., &amp; Hajcak Proudfit, G. (2013). Reliability of the ERN across multiple tasks&#xA;as a function of increasing errors. Psychophysiology, 50(12), 1220–1225.&#xA;https://doi.org/10.1111/psyp.12132"/><s v="King, A. A., &amp; Shaver, J. M. (2001). Are aliens green? Assessing foreign establishments' environmental conduct in the United States. Strategic Management Journal, 22(11), 1069-1085. https://doi.org/10.1002/smj.201"/><s v="Yiend, J., Mathews, A., Burns, T., Dutton, K., Fernández-Martín, A., Georgiou, G. A., ... &amp; Fox, E. (2015). Mechanisms of selective attention in generalized anxiety disorder. Clinical Psychological Science, 3(5), 758-771. https://doi.org/10.1177/216770261"/><s v="Yu, R., Mobbs, D., Seymour, B., Rowe, J. B., &amp; Calder, A. J. (2014). The neural signature of escalating frustration in humans. Cortex, 54, 165-178. https://doi.org/10.1016/j.cortex.2014.02.013"/><s v="Bunz, U. (2021). Investigating the Relationship Between Social Media Use, Big Five Personality, and Well-being. Journal of Communication Technology, 4(3), 25–52. https://doi.org/10.51548/joctec-2021-016"/><s v="Oberfield, E., &amp; Raval, D. (2021). Micro data and macro technology. Econometrica, 89(2), 703-732. https://doi.org/10.3982/ECTA12807"/><s v="McKenzie, C. R., Liersch, M. J., &amp; Finkelstein, S. R. (2006). Recommendations implicit in policy defaults. Psychological Science, 17(5), 414-420. https://doi.org/10.1111/j.1467-9280.2006.01721.x"/><s v="Karataş, M., &amp; Cutright, K. M. (2023). Thinking about God increases acceptance of artificial intelligence in decision-making. Proceedings of the National Academy of Sciences, 120(33), e2218961120. https://doi.org/10.1073/pnas.2218961120"/><s v="Alais, D., &amp; Burr, D. (2004). The ventriloquist effect results from near-optimal bimodal integration. Current biology, 14(3), 257-262."/><s v="Blair, K. S., Smith, B. W., Mitchell, D. G., Morton, J., Vythilingam, M., Pessoa, L., ... &amp; Blair, R. J. R. (2007). Modulation of emotion by cognition and cognition by emotion. Neuroimage, 35(1), 430-440."/><s v="Najemnik, J., &amp; Geisler, W. S. (2005). Optimal eye movement strategies in visual search. Nature, 434(7031), 387-391."/><s v="Nekmat, E., Gower, K. K., Zhou, S., &amp; Metzger, M. (2019). Connective-collective action on social media: Moderated mediation of cognitive elaboration and perceived source credibility on personalness of source. Communication Research, 46(1), 62-87."/><s v="Ngo, C. T., Horner, A. J., Newcombe, N. S., &amp; Olson, I. R. (2019). Development of holistic episodic recollection. Psychological science, 30(12), 1696-1706."/><s v="Nook, E. C., Schleider, J. L., &amp; Somerville, L. H. (2017). A linguistic signature of psychological distancing in emotion regulation. Journal of Experimental Psychology: General, 146(3), 337."/><s v="O'Brien, E. (2015). Mapping out past and future minds: The perceived trajectory of rationality versus emotionality over time. Journal of Experimental Psychology: General, 144(3), 624."/><s v="Oh, D., Buck, E. A., &amp; Todorov, A. (2019). Revealing hidden gender biases in competence impressions of faces. Psychological Science, 30(1), 65-79."/><s v="Okan, Y., Garcia-Retamero, R., Cokely, E. T., &amp; Maldonado, A. (2018). Biasing and debiasing health decisions with bar graphs: Costs and benefits of graph literacy. Quarterly Journal of Experimental Psychology, 71(12), 2506-2519."/><s v="O’Keefe, P. A., Dweck, C. S., &amp; Walton, G. M. (2018). Implicit theories of interest: Finding your passion or developing it?. Psychological science, 29(10), 1653-1664."/><s v="Okonofua, J. A., Paunesku, D., &amp; Walton, G. M. (2016). Brief intervention to encourage empathic discipline cuts suspension rates in half among adolescents. Proceedings of the National Academy of Sciences, 113(19), 5221-5226."/><s v="Otto, R. A., Skatova, A., Madlon-Kay, S., &amp; Daw, N. (2014). Cognitive Control Mode Predicts Behavioral Expression of Model-Based Reinforcement-Learning. In Proceedings of the Annual Meeting of the Cognitive Science Society (Vol. 36, No. 36)."/><s v="Blankenship, K. L., &amp; Wegener, D. T. (2008). Opening the mind to close it: considering a message in light of important values increases message processing and later resistance to change. Journal of Personality and Social Psychology, 94(2), 196."/><s v="Paxton, J. M., Ungar, L., &amp; Greene, J. D. (2012). Reflection and reasoning in moral judgment. Cognitive science, 36(1), 163-177."/><s v="Payne, J. D., Stickgold, R., Swanberg, K., &amp; Kensinger, E. A. (2008). Sleep preferentially enhances memory for emotional components of scenes. Psychological science, 19(8), 781-788."/><s v="Peer, E., Rothschild, D., Gordon, A., Evernden, Z., &amp; Damer, E. (2022). Data quality of platforms and panels for online behavioral research. Behavior Research Methods, 54(4), 1643-1662."/><s v="Petersen, M. B. (2017). Healthy out-group members are represented psychologically as infected in-group members. Psychological Science, 28(12), 1857-1863."/><s v="Piff, P. K., Stancato, D. M., Côté, S., Mendoza-Denton, R., &amp; Keltner, D. (2012). Higher social class predicts increased unethical behavior. Proceedings of the National Academy of Sciences, 109(11), 4086-4091."/><s v="Pilditch, T. D., Fenton, N., &amp; Lagnado, D. (2019). The zero-sum fallacy in evidence evaluation. Psychological science, 30(2), 250-260."/><s v="Porter, S. C., Rheinschmidt-Same, M., &amp; Richeson, J. A. (2016). Inferring identity from language: Linguistic intergroup bias informs social categorization. Psychological science, 27(1), 94-102."/><s v="Bourrat, P., Baumard, N., &amp; McKay, R. (2011). Surveillance cues enhance moral condemnation. Evolutionary Psychology, 9(2), 147470491100900206."/><s v="Proudfoot, D., Kay, A. C., &amp; Koval, C. Z. (2015). A gender bias in the attribution of creativity: Archival and experimental evidence for the perceived association between masculinity and creative thinking. Psychological science, 26(11), 1751-1761."/><s v="Ranzini, M., Dehaene, S., Piazza, M., &amp; Hubbard, E. M. (2009). Neural mechanisms of attentional shifts due to irrelevant spatial and numerical cues. Neuropsychologia, 47(12), 2615-2624."/><s v="Read, D., &amp; Scholten, M. (2012). Tradeoffs between sequences: Weighing accumulated outcomes against outcome-adjusted delays. Journal of Experimental Psychology: Learning, Memory, and Cognition, 38(6), 1675."/><s v="Reinecke, K., Yeh, T., Miratrix, L., Mardiko, R., Zhao, Y., Liu, J., &amp; Gajos, K. Z. (2013, April). Predicting users' first impressions of website aesthetics with a quantification of perceived visual complexity and colorfulness. In Proceedings of the SIGCH"/><s v="Reis, H. T., Lee, K. Y., O'Keefe, S. D., &amp; Clark, M. S. (2018). Perceived partner responsiveness promotes intellectual humility. Journal of Experimental Social Psychology, 79, 21-33."/><s v="Richter, F. R., &amp; Yeung, N. (2012). Memory and cognitive control in task switching. Psychological Science, 23(10), 1256-1263."/><s v="Risen, J. L., &amp; Gilovich, T. (2008). Why people are reluctant to tempt fate. Journal of personality and social psychology, 95(2), 293."/><s v="Rogers, T., Zeckhauser, R., Gino, F., Norton, M. I., &amp; Schweitzer, M. E. (2017). Artful paltering: The risks and rewards of using truthful statements to mislead others. Journal of personality and social psychology, 112(3), 456."/><s v="Rottman, J., &amp; Young, L. (2019). Specks of dirt and tons of pain: Dosage distinguishes impurity from harm. Psychological Science, 30(8), 1151-1160."/><s v="Brady, T. F., &amp; Alvarez, G. A. (2011). Hierarchical encoding in visual working memory: Ensemble statistics bias memory for individual items. Psychological science, 22(3), 384-392."/><s v="Rychlowska, M., Jack, R. E., Garrod, O. G., Schyns, P. G., Martin, J. D., &amp; Niedenthal, P. M. (2017). Functional smiles: Tools for love, sympathy, and war. Psychological science, 28(9), 1259-1270."/><s v="Santello, M., Flanders, M., &amp; Soechting, J. F. (1998). Postural hand synergies for tool use. Journal of neuroscience, 18(23), 10105-10115."/><s v="Savani, K., Markus, H. R., Naidu, N. V. R., Kumar, S., &amp; Berlia, N. (2010). What counts as a choice? US Americans are more likely than Indians to construe actions as choices. Psychological Science, 21(3), 391-398."/><s v="Savani, K., &amp; Rattan, A. (2012). A choice mind-set increases the acceptance and maintenance of wealth inequality. Psychological science, 23(7), 796-804."/><s v="Schaerer, M., Swaab, R. I., &amp; Galinsky, A. D. (2015). Anchors weigh more than power: Why absolute powerlessness liberates negotiators to achieve better outcomes. Psychological science, 26(2), 170-181."/><s v="Schechtman, E., Laufer, O., &amp; Paz, R. (2010). Negative valence widens generalization of learning. Journal of Neuroscience, 30(31), 10460-10464."/><s v="Schnall, S., Benton, J., &amp; Harvey, S. (2008). With a clean conscience: Cleanliness reduces the severity of moral judgments. Psychological science, 19(12), 1219-1222."/><s v="Scopelliti, I., Loewenstein, G., &amp; Vosgerau, J. (2015). You call it “Self-Exuberance”; I call it “Bragging” miscalibrated predictions of emotional responses to self-promotion. Psychological science, 26(6), 903-914."/><s v="Semrow, M., Zou, L. X., Liu, S., &amp; Cheryan, S. (2020). Gay Asian Americans are seen as more American than Asian Americans who are presumed straight. Social Psychological and Personality Science, 11(3), 336-344."/><s v="Brady, T. F., Konkle, T., Alvarez, G. A., &amp; Oliva, A. (2013). Real-world objects are not represented as bound units: independent forgetting of different object details from visual memory. Journal of Experimental Psychology: General, 142(3), 791."/><s v="Shah, A. K., Shafir, E., &amp; Mullainathan, S. (2015). Scarcity frames value. Psychological science, 26(4), 402-412."/><s v="Sharif, M. A., &amp; Oppenheimer, D. M. (2016). The effect of relative encoding on memory-based judgments. Psychological science, 27(8), 1136-1145."/><s v="Shariff, A. F., Greene, J. D., Karremans, J. C., Luguri, J. B., Clark, C. J., Schooler, J. W., ... &amp; Vohs, K. D. (2014). Free will and punishment: A mechanistic view of human nature reduces retribution. Psychological science, 25(8), 1563-1570."/><s v="Shavit, Y. Z., Chi, K., &amp; Carstensen, L. L. (2022). Age and Time Horizons Are Associated With Preferences for Helping Colleagues. Work, Aging and Retirement."/><s v="Sheppes, G., Scheibe, S., Suri, G., &amp; Gross, J. J. (2011). Emotion-regulation choice. Psychological science, 22(11), 1391-1396."/><s v="Sherman, G. D., Haidt, J., &amp; Clore, G. L. (2012). The faintest speck of dirt: Disgust enhances the detection of impurity. Psychological Science, 23(12), 1506-1514."/><s v="Sloman, S. A., &amp; Rabb, N. (2016). Your understanding is my understanding: Evidence for a community of knowledge. Psychological science, 27(11), 1451-1460."/><s v="Sofer, C., Dotsch, R., Wigboldus, D. H., &amp; Todorov, A. (2015). What is typical is good: The influence of face typicality on perceived trustworthiness. Psychological Science, 26(1), 39-47."/><s v="Stavrova, O., Ehlebracht, D., &amp; Vohs, K. D. (2020). Victims, perpetrators, or both? The vicious cycle of disrespect and cynical beliefs about human nature. Journal of Experimental Psychology: General, 149(9), 1736."/><s v="Brandone, A. C., Gelman, S. A., &amp; Hedglen, J. (2015). Children's developing intuitions about the truth conditions and implications of novel generics versus quantified statements. Cognitive science, 39(4), 711-738."/><s v="Storm, B. C., &amp; Stone, S. M. (2015). Saving-enhanced memory: The benefits of saving on the learning and remembering of new information. Psychological Science, 26(2), 182-188."/><s v="Störmer, V. S., &amp; Alvarez, G. A. (2016). Attention alters perceived attractiveness. Psychological Science, 27(4), 563-571."/><s v="Suppes, P., &amp; Schlag-Rey, M. (1965). Observable changes of hypotheses under positive reinforcement. Science, 148(3670), 661-662."/><s v="Tamir, D. I., &amp; Mitchell, J. P. (2012). Disclosing information about the self is intrinsically rewarding. Proceedings of the National Academy of Sciences, 109(21), 8038-8043."/><s v="Tarampi, M. R., Heydari, N., &amp; Hegarty, M. (2016). A tale of two types of perspective taking: Sex differences in spatial ability. Psychological Science, 27(11), 1507-1516."/><s v="Tieu, L., Yatsushiro, K., Cremers, A., Romoli, J., Sauerland, U., &amp; Chemla, E. (2017). On the role of alternatives in the acquisition of simple and complex disjunctions in French and Japanese. Journal of Semantics, 34(1), 127-152."/><s v="Todd, A. R., Thiem, K. C., &amp; Neel, R. (2016). Does seeing faces of young black boys facilitate the identification of threatening stimuli?. Psychological science, 27(3), 384-393."/><s v="Tribushinina, E. (2011). Once again on norms and comparison classes. Linguistics, 49(3), 525–553."/><s v="Tworek, C. M., &amp; Cimpian, A. (2016). Why do people tend to infer “ought” from “is”? The role of biases in explanation. Psychological Science, 27(8), 1109-1122."/><s v="Brown-Iannuzzi, J. L., Dotsch, R., Cooley, E., &amp; Payne, B. K. (2017). The relationship between mental representations of welfare recipients and attitudes toward welfare. Psychological science, 28(1), 92-103."/><s v="Van Koningsbruggen, G. M., Hartmann, T., Eden, A., &amp; Veling, H. (2017). Spontaneous hedonic reactions to social media cues. Cyberpsychology, Behavior, and Social Networking, 20(5), 334-340."/><s v="Knobe, J. (2003). Intentional Action and Side Effects in Ordinary Language. Analysis, 63, 190-193."/><s v="Knobe, J., &amp; Burra, A. (2006). The folk concepts of intention and intentional action: A cross-cultural study. Journal of Cognition and Culture, 6(1), 113-132."/><s v="Vasilyeva, N., Blanchard, T., &amp; Lombrozo, T. (2018). Stable causal relationships are better causal relationships. Cognitive Science, 42(4), 1265-1296."/><s v="Romero Verdugo, P., van Lieshout, L. L., de Lange, F. P., &amp; Cools, R. (2020). Choice boosts curiosity. Psychological Science, 09567976221082637."/><s v="Vohs, K. D., Mead, N. L., &amp; Goode, M. R. (2006). The psychological consequences of money. science, 314(5802), 1154-1156."/><s v="Vohs, K. D., Sengupta, J., &amp; Dahl, D. W. (2014). The price had better be right: Women’s reactions to sexual stimuli vary with market factors. Psychological science, 25(1), 278-283."/><s v="Ter Wal, M., Linde-Domingo, J., Lifanov, J., Roux, F., Kolibius, L. D., Gollwitzer, S., ... &amp; Wimber, M. (2021). Theta rhythmicity governs human behavior and hippocampal signals during memory-dependent tasks. Nature communications, 12(1), 1-15."/><s v="Wilkins, C. L., &amp; Kaiser, C. R. (2014). Racial progress as threat to the status hierarchy: Implications for perceptions of anti-White bias. Psychological science, 25(2), 439-446."/><s v="Wilson, T. D., Reinhard, D. A., Westgate, E. C., Gilbert, D. T., Ellerbeck, N., Hahn, C., ... &amp; Shaked, A. (2014). Just think: The challenges of the disengaged mind. Science, 345(6192), 75-77."/><s v="Wiltermuth, S. S. (2011). Cheating more when the spoils are split. Organizational Behavior and Human Decision Processes, 115(2), 157-168."/><s v="Xu, Y., &amp; Franconeri, S. L. (2015). Capacity for visual features in mental rotation. Psychological science, 26(8), 1241-1251."/><s v="Yang, F., Choi, Y. J., Misch, A., Yang, X., &amp; Dunham, Y. (2018). In defense of the commons: Young children negatively evaluate and sanction free riders. Psychological science, 29(10), 1598-1611."/><s v="Yeshurun, Y., &amp; Levy, L. (2003). Transient spatial attention degrades temporal resolution. Psychological Science, 14(3), 225-231."/><s v="Yousif, S. R., Aboody, R., &amp; Keil, F. C. (2019). The illusion of consensus: A failure to distinguish between true and false consensus. Psychological Science, 30(8), 1195-1204."/><s v="Zangger, C., &amp; Widmer, J. (2020). Choosing what is best for one’s children? Experimental evidence on parents’ responsiveness to childcare subsidies and their preferences for different childcare arrangements. Early childhood research quarterly, 51, 110-123"/><s v="Zaval, L., Markowitz, E. M., &amp; Weber, E. U. (2015). How will I be remembered? Conserving the environment for the sake of one’s legacy. Psychological science, 26(2), 231-236."/><s v="Zhao, M., Bülthoff, H. H., &amp; Bülthoff, I. (2016). Beyond faces and expertise: Facelike holistic processing of nonface objects in the absence of expertise. Psychological science, 27(2), 213-222."/><s v="Cao, J., Kleiman-Weiner, M., &amp; Banaji, M. R. (2019). People make the same Bayesian judgment they criticize in others. Psychological Science, 30(1), 20-31."/><s v="Catarino, A., Küpper, C. S., Werner-Seidler, A., Dalgleish, T., &amp; Anderson, M. C. (2015). Failing to forget: Inhibitory-control deficits compromise memory suppression in posttraumatic stress disorder. Psychological science, 26(5), 604-616."/><s v="Albarracín, D., Handley, I. M., Noguchi, K., McCulloch, K. C., Li, H., Leeper, J., ... &amp; Hart, W. P. (2008). Increasing and decreasing motor and cognitive output: a model of general action and inaction goals. Journal of Personality and Social Psychology, "/><s v="Charpentier, C. J., De Neve, J. E., Li, X., Roiser, J. P., &amp; Sharot, T. (2016). Models of affective decision making: how do feelings predict choice?. Psychological science, 27(6), 763-775."/><s v="Child, S., Oakhill, J., &amp; Garnham, A. (2018). You’re the emotional one: the role of perspective for emotion processing in reading comprehension. Language, cognition and neuroscience, 33(7), 878-889."/><s v="Chopra, S., Tessler, M. H., &amp; Goodman, N. D. (2019, July). The first crank of the cultural ratchet: Learning and transmitting concepts through language. In CogSci (pp. 226-232)."/><s v="Chou, E. Y., Parmar, B. L., &amp; Galinsky, A. D. (2016). Economic insecurity increases physical pain. Psychological Science, 27(4), 443-454."/><s v="Cohen, M. A., Alvarez, G. A., &amp; Nakayama, K. (2011). Natural-scene perception requires attention. Psychological science, 22(9), 1165-1172."/><s v="Correll, S. J., Benard, S., &amp; Paik, I. (2007). Getting a job: Is there a motherhood penalty?. American journal of sociology, 112(5), 1297-1338."/><s v="Craig, M. A., &amp; Richeson, J. A. (2014). On the precipice of a “majority-minority” America: Perceived status threat from the racial demographic shift affects White Americans’ political ideology. Psychological science, 25(6), 1189-1197."/><s v="Critcher, C. R., Inbar, Y., &amp; Pizarro, D. A. (2013). How quick decisions illuminate moral character. Social Psychological and Personality Science, 4(3), 308-315."/><s v="Daffner, K. R., Scinto, L. F., Calvo, V., Faust, R., Mesulam, M. M., West, W. C., &amp; Holcomb, P. J. (2000). The influence of stimulus deviance on electrophysiologic and behavioral responses to novel events. Journal of Cognitive Neuroscience, 12(3), 393-406"/><s v="Dai, X., Wertenbroch, K., &amp; Brendl, C. M. (2008). The value heuristic in judgments of relative frequency. Psychological Science, 19(1), 18."/><s v="Aryani, A., Isbilen, E. S., &amp; Christiansen, M. H. (2020). Affective arousal links sound to meaning. Psychological science, 31(8), 978-986."/><s v="Dale, R., &amp; Duran, N. D. (2011). The cognitive dynamics of negated sentence verification. Cognitive science, 35(5), 983-996."/><s v="Daw, N. D., Gershman, S. J., Seymour, B., Dayan, P., &amp; Dolan, R. J. (2011). Model-based influences on humans' choices and striatal prediction errors. Neuron, 69(6), 1204-1215."/><s v="Dehaene, S., Nakamura, K., Jobert, A., Kuroki, C., Ogawa, S., &amp; Cohen, L. (2010). Why do children make mirror errors in reading? Neural correlates of mirror invariance in the visual word form area. Neuroimage, 49(2), 1837-1848."/><s v="Djärv, K., Zehr, J., &amp; Schwarz, F. (2018). Cognitive vs. emotive factives: An experimental differentiation. In Proceedings of Sinn und Bedeutung (Vol. 21, No. 1, pp. 367-386)."/><s v="Dubey, R., &amp; Griffiths, T. L. (2020). Reconciling novelty and complexity through a rational analysis of curiosity. Psychological Review, 127(3), 455."/><s v="Durso, G. R., Briñol, P., &amp; Petty, R. E. (2016). From power to inaction: Ambivalence gives pause to the powerful. Psychological Science, 27(12), 1660-1666."/><s v="Endress, A. D., &amp; Hauser, M. D. (2009). Syntax-induced pattern deafness. Proceedings of the National Academy of Sciences, 106(49), 21001-21006."/><s v="Exline, J. J., Baumeister, R. F., Zell, A. L., Kraft, A. J., &amp; Witvliet, C. V. (2008). Not so innocent: Does seeing one's own capability for wrongdoing predict forgiveness?. Journal of Personality and Social Psychology, 94(3), 495."/><s v="Feinberg, M., &amp; Willer, R. (2013). The moral roots of environmental attitudes. Psychological science, 24(1), 56-62."/><s v="Fischer, P., Schulz-Hardt, S., &amp; Frey, D. (2008). Selective exposure and information quantity: how different information quantities moderate decision makers' preference for consistent and inconsistent information. Journal of personality and social psychol"/><s v="Atir, S., Rosenzweig, E., &amp; Dunning, D. (2015). When knowledge knows no bounds: Self-perceived expertise predicts claims of impossible knowledge. Psychological Science, 26(8), 1295-1303."/><s v="Forwood, S. E., Ahern, A., Hollands, G. J., Fletcher, P. C., &amp; Marteau, T. M. (2013). Underestimating calorie content when healthy foods are present: an averaging effect or a reference-dependent anchoring effect?. Plos one, 8(8), e71475."/><s v="Franke, M., &amp; Degen, J. (2016). Reasoning in reference games: Individual-vs. population-level probabilistic modeling. PloS one, 11(5), e0154854."/><s v="Freeman, J., &amp; Simoncelli, E. P. (2011). Metamers of the ventral stream. Nature neuroscience, 14(9), 1195-1201."/><s v="Fu, A. S., &amp; Markus, H. R. (2014). My mother and me: Why tiger mothers motivate Asian Americans but not European Americans. Personality and Social Psychology Bulletin, 40(6), 739-749."/><s v="Galperin, R. V., Hahl, O., Sterling, A. D., &amp; Guo, J. (2020). Too good to hire? Capability and inferences about commitment in labor markets. Administrative Science Quarterly, 65(2), 275-313."/><s v="García-Castro, J. D., Rodríguez-Bailón, R., &amp; Willis, G. B. (2020). Perceiving economic inequality in everyday life decreases tolerance to inequality. Journal of Experimental Social Psychology, 90, 104019."/><s v="Gibson, E., Bergen, L., &amp; Piantadosi, S. T. (2013). Rational integration of noisy evidence and prior semantic expectations in sentence interpretation. Proceedings of the National Academy of Sciences, 110(20), 8051-8056."/><s v="Gick, M. L., &amp; Holyoak, K. J. (1983). Schema induction and analogical transfer. Cognitive psychology, 15(1), 1-38."/><s v="Goff, P. A., Jackson, M. C., Di Leone, B. A. L., Culotta, C. M., &amp; DiTomasso, N. A. (2014). The essence of innocence: consequences of dehumanizing Black children. Journal of personality and social psychology, 106(4), 526."/><s v="Gong, X., Zhang, F., &amp; Fung, H. H. (2019). Are older adults more willing to donate? The roles of donation form and social relationship. The Journals of Gerontology: Series B, 74(3), 440-448."/><s v="Austerweil, J. L., &amp; Griffiths, T. L. (2011). Seeking confirmation is rational for deterministic hypotheses. Cognitive Science, 35(3), 499-526."/><s v="Gray, H. M., Gray, K., &amp; Wegner, D. M. (2007). Dimensions of mind perception. science, 315(5812), 619-619."/><s v="Gray, K., Ward, A. F., &amp; Norton, M. I. (2014). Paying it forward: generalized reciprocity and the limits of generosity. Journal of experimental psychology: General, 143(1), 247."/><s v="Greenberg, A. E., &amp; Spiller, S. A. (2016). Opportunity cost neglect attenuates the effect of choices on preferences. Psychological science, 27(1), 103-113."/><s v="Greene, J. D., Morelli, S. A., Lowenberg, K., Nystrom, L. E., &amp; Cohen, J. D. (2008). Cognitive load selectively interferes with utilitarian moral judgment. Cognition, 107(3), 1144-1154."/><s v="Griffiths, T. L., &amp; Tenenbaum, J. B. (2006). Optimal predictions in everyday cognition. Psychological science, 17(9), 767-773."/><s v="Haimovitz, K., &amp; Dweck, C. S. (2016). What predicts children’s fixed and growth intelligence mind-sets? Not their parents’ views of intelligence but their parents’ views of failure. Psychological science, 27(6), 859-869."/><s v="Hart, Y., Dillon, M. R., Marantan, A., Cardenas, A. L., Spelke, E., &amp; Mahadevan, L. (2018). The statistical shape of geometric reasoning. Scientific reports, 8(1), 1-12."/><s v="Heck, P. R., Chabris, C. F., Watts, D. J., &amp; Meyer, M. N. (2020). Objecting to experiments even while approving of the policies or treatments they compare. Proceedings of the National Academy of Sciences, 117(32), 18948-18950."/><s v="Henderson, M. D., De Liver, Y., &amp; Gollwitzer, P. M. (2008). The effects of an implemental mind-set on attitude strength. Journal of personality and social psychology, 94(3), 396."/><s v="Balas, B. J. (2006). Texture synthesis and perception: Using computational models to study texture representations in the human visual system. Vision research, 46(3), 299-309."/><s v="Hernandez, I. A., Silverman, D. M., &amp; Destin, M. (2021). From deficit to benefit: Highlighting lower-SES students' background-specific strengths reinforces their academic persistence. Journal of Experimental Social Psychology, 92, 104080."/><s v="Hopkins, E. J., Weisberg, D. S., &amp; Taylor, J. C. (2016). The seductive allure is a reductive allure: People prefer scientific explanations that contain logically irrelevant reductive information. Cognition, 155, 67-76."/><s v="Hughes, M. L., Geraci, L., &amp; De Forrest, R. L. (2013). Aging 5 years in 5 minutes: The effect of taking a memory test on older adults’ subjective age. Psychological Science, 24(12), 2481-2488."/><s v="Huh, Y. E., Vosgerau, J., &amp; Morewedge, C. K. (2016). More similar but less satisfying: Comparing preferences for and the efficacy of within-and cross-category substitutes for food. Psychological Science, 27(6), 894-903."/><s v="Huntington‐Klein, N. (2018). College choice as a collective decision. Economic Inquiry, 56(2), 1202-1219."/><s v="Jakesch, M., French, M., Ma, X., Hancock, J. T., &amp; Naaman, M. (2019, May). AI-mediated communication: How the perception that profile text was written by AI affects trustworthiness. In Proceedings of the 2019 CHI Conference on Human Factors in Computing S"/><s v="Jara-Ettinger, J., Levy, R., Sakel, J., Huanca, T., &amp; Gibson, E. (2022). The origins of the shape bias: Evidence from the Tsimane’. Journal of Experimental Psychology: General."/><s v="Jones, L. L., &amp; Estes, Z. (2006). Roosters, robins, and alarm clocks: Aptness and conventionality in metaphor comprehension. Journal of Memory and Language, 55(1), 18-32."/><s v="Jordan, J. J., Sommers, R., Bloom, P., &amp; Rand, D. G. (2017). Why do we hate hypocrites? Evidence for a theory of false signaling. Psychological science, 28(3), 356-368."/><s v="Belding, J. N., Naufel, K. Z., &amp; Fujita, K. (2015). Using high-level construal and perceptions of changeability to promote self-change over self-protection motives in response to negative feedback. Personality and Social Psychology Bulletin, 41(6), 822-83"/><s v="Kacperczyk, O., &amp; Younkin, P. (2022). A founding penalty: evidence from an audit study on gender, entrepreneurship, and future employment. Organization Science, 33(2), 716-745."/><s v="Keysar, B., Lin, S., &amp; Barr, D. J. (2003). Limits on theory of mind use in adults. Cognition, 89(1), 25-41."/><s v="Kim, H., &amp; Markus, H. R. (1999). Deviance or uniqueness, harmony or conformity? A cultural analysis. Journal of personality and social psychology, 77(4), 785."/><s v="Kiyonaga, A., &amp; Egner, T. (2014). The working memory Stroop effect: When internal representations clash with external stimuli. Psychological science, 25(8), 1619-1629."/><s v="Ko, S. J., Sadler, M. S., &amp; Galinsky, A. D. (2015). The sound of power: Conveying and detecting hierarchical rank through voice. Psychological Science, 26(1), 3-14."/><s v="Konkle, T., &amp; Oliva, A. (2011). Canonical visual size for real-world objects. Journal of Experimental Psychology: human perception and performance, 37(1), 23."/><s v="Korman, J., &amp; Khemlani, S. (2020). Teleological generics. Cognition, 200, 104157."/><s v="Kouchaki, M., Dobson, K. S., Waytz, A., &amp; Kteily, N. S. (2018). The link between self-dehumanization and immoral behavior. Psychological science, 29(8), 1234-1246."/><s v="Kovács, Á. M., Téglás, E., &amp; Endress, A. D. (2010). The social sense: Susceptibility to others’ beliefs in human infants and adults. Science, 330(6012), 1830-1834."/><s v="Krauss, S., &amp; Wang, X. T. (2003). The psychology of the Monty Hall problem: discovering psychological mechanisms for solving a tenacious brain teaser. Journal of Experimental Psychology: General, 132(1), 3."/><s v="Birch, S. A., &amp; Bloom, P. (2007). The curse of knowledge in reasoning about false beliefs. Psychological Science, 18(5), 382-386."/><s v="Kupor, D. M., Laurin, K., &amp; Levav, J. (2015). Anticipating divine protection? Reminders of god can increase nonmoral risk taking. Psychological science, 26(4), 374-384."/><s v="Lau, G. P., Kay, A. C., &amp; Spencer, S. J. (2008). Loving those who justify inequality: the effects of system threat on attraction to women who embody benevolent sexist ideals. Psychological Science."/><s v="Levine, S., Kleiman-Weiner, M., Schulz, L., Tenenbaum, J., &amp; Cushman, F. (2020). The logic of universalization guides moral judgment. Proceedings of the National Academy of Sciences, 117(42), 26158-26169."/><s v="Lewis Jr, N. A., &amp; Oyserman, D. (2015). When does the future begin? Time metrics matter, connecting present and future selves. Psychological science, 26(6), 816-825."/><s v="Li, Q., Joo, S. J., Yeatman, J. D., &amp; Reinecke, K. (2020). Controlling for participants’ viewing distance in large-scale, psychophysical online experiments using a virtual chinrest. Scientific reports, 10(1), 1-11."/><s v="Libby, L. K., Shaeffer, E. M., &amp; Eibach, R. P. (2009). Seeing meaning in action: a bidirectional link between visual perspective and action identification level. Journal of Experimental Psychology: General, 138(4), 503."/><s v="Lin, C., Adolphs, R., &amp; Alvarez, R. M. (2018). Inferring whether officials are corruptible from looking at their faces. Psychological science, 29(11), 1807-1823."/><s v="Liverence, B. M., &amp; Scholl, B. J. (2015). Object persistence enhances spatial navigation: A case study in smartphone vision science. Psychological Science, 26(7), 955-963."/><s v="Livingston, R. W., Rosette, A. S., &amp; Washington, E. F. (2012). Can an agentic Black woman get ahead? The impact of race and interpersonal dominance on perceptions of female leaders. Psychological science, 23(4), 354-358."/><s v="Lloyd, E. P., Hugenberg, K., McConnell, A. R., Kunstman, J. W., &amp; Deska, J. C. (2017). Black and White lies: Race-based biases in deception judgments. Psychological science, 28(8), 1125-1136."/><s v="Long, B., &amp; Konkle, T. (2017). A familiar-size Stroop effect in the absence of basic-level recognition. Cognition, 168, 234-242."/><s v="Luttrell, A., Philipp-Muller, A., &amp; Petty, R. E. (2019). Challenging moral attitudes with moral messages. Psychological Science, 30(8), 1136-1150."/><s v="Maddux, W. W., Galinsky, A. D., Cuddy, A. J., &amp; Polifroni, M. (2008). When being a model minority is good... and bad: Realistic threat explains negativity toward Asian Americans. Personality and Social Psychology Bulletin, 34(1), 74-89."/><s v="Mani, A., Mullainathan, S., Shafir, E., &amp; Zhao, J. (2013). Poverty impedes cognitive function. science, 341(6149), 976-980."/><s v="Markant, D. B., &amp; Gureckis, T. M. (2014). Is it better to select or to receive? Learning via active and passive hypothesis testing. Journal of Experimental Psychology: General, 143(1), 94."/><s v="Metaxa-Kakavouli, D., Wang, K., Landay, J. A., &amp; Hancock, J. (2018, April). Gender-inclusive design: Sense of belonging and bias in web interfaces. In Proceedings of the 2018 CHI Conference on human factors in computing systems (pp. 1-6)."/><s v="Minson, J. A., Chen, F. S., &amp; Tinsley, C. H. (2020). Why won’t you listen to me? Measuring receptiveness to opposing views. Management Science, 66(7), 3069-3094."/><s v="Mirault, J., Snell, J., &amp; Grainger, J. (2018). You that read wrong again! A transposed-word effect in grammaticality judgments. Psychological Science, 29(12), 1922-1929."/><s v="Monin, B., Sawyer, P. J., &amp; Marquez, M. J. (2008). The rejection of moral rebels: resenting those who do the right thing. Journal of personality and social psychology, 95(1), 76."/><s v="Morris, A. L., &amp; Still, M. L. (2008). Now you see it, now you don't: repetition blindness for nonwords. Journal of Experimental Psychology: Learning, Memory, and Cognition, 34(1), 146."/><s v="Abeler, J., Falk, A., Goette, L., &amp; Huffman, D. (2011). Reference points and effort provision. American Economic Review, 101(2), 470–492."/><s v="Fehr, E., Herz, H., &amp; Wilkening, T. (2013). The lure of authority: Motivation and incentive effects of power. American Economic Review, 103(4), 1325–1359."/><s v="Friedman, D., &amp; Oprea, R. (2012). A continuous dilemma. American Economic Review, 102(1), 337–363."/><s v="Fudenberg, D., Rand, D. G., &amp; Dreber, A. (2012). Slow to anger and fast to forgive: Cooperation in an uncertain world. American Economic Review, 102(2), 720–749."/><s v="Huck, S., Seltzer, A. J., &amp; Wallace, B. (2011). Deferred compensation in multiperiod labor contracts: An experimental test of Lazear’s model. American Economic Review, 101(2), 819–843."/><s v="Ifcher, J., &amp; Zarghamee, H. (2011). Happiness and time preference: The effect of positive affect in a random-assignment experiment. American Economic Review, 101(7), 3109–3129."/><s v="Kessler, J. B., &amp; Roth, A. E. (2012). Organ allocation policy and the decision to donate. American Economic Review, 102(5), 2018–2047."/><s v="Kirchler, M., Huber, J., &amp; Stöckl, T. (2012). Thar she bursts: Reducing confusion reduces bubbles. American Economic Review, 102(2), 865–883."/><s v="Kogan, S., Kwasnica, A. M., &amp; Weber, R. A. (2011). Coordination in the presence of asset markets. American Economic Review, 101(2), 927–947."/><s v="Kuziemko, I., Buell, R. W., Reich, T., &amp; Norton, M. I. (2014). “Last-place aversion”: Evidence and redistributive implications. Quarterly Journal of Economics, 129(1), 105–149."/><s v="Ambrus, A., &amp; Greiner, B. (2012). Imperfect public monitoring with costly punishment: An experimental study. American Economic Review, 102(7), 3317–3332."/><s v="Bartling, B., Fehr, E., &amp; Schmidt, K. M. (2012). Screening, competition, and job design: Economic origins of good jobs. American Economic Review, 102(2), 834–864."/><s v="Charness, G., &amp; Dufwenberg, M. (2011). Participation. American Economic Review, 101(4), 1211–1237."/><s v="Chen, R., &amp; Chen, Y. (2011). The potential of social identity for equilibrium selection. American Economic Review, 101(6), 2562–2589."/><s v="De Clippel, G., Eliaz, K., &amp; Knight, B. G. (2014). On the selection of arbitrators. American Economic Review, 104(11), 3434–3458."/><s v="Duffy, J., &amp; Puzzello, D. (2014). Gift exchange versus monetary exchange: Theory and evidence. American Economic Review, 104(6), 1735–1776."/><s v="Dulleck, U., Kerschbamer, R., &amp; Sutter, M. (2011). The economics of credence goods: An experiment on the role of liability, verifiability, reputation, and competition. American Economic Review, 101(2), 526–555."/><s v="Ericson, K. M. M., &amp; Fuster, A. (2011). Expectations as endowments: Evidence on reference-dependent preferences from exchange and valuation experiments. Quarterly Journal of Economics, 126(4), 1879–1907."/><s v="Ackerman, J. M., Nocera, C. C., &amp; Bargh, J. A. (2010). Incidental haptic sensations influence social judgments and decisions. Science, 328(5986), 1712-1715."/><s v="Karpicke, J. D., &amp; Blunt, J. R. (2011). Retrieval practice produces more learning than elaborative studying with concept mapping. Science, 331(6018), 772-775."/><s v="Kidd, D. C., &amp; Castano, E. (2013). Reading literary fiction improves theory of mind. Science, 342(6156), 377-380."/><s v="Lee, S. W., &amp; Schwarz, N. (2010). Washing away postdecisional dissonance. Science, 328(5979), 709-709."/><s v="Morewedge, C. K., Huh, Y. E., &amp; Vosgerau, J. (2010). Thought for food: Imagined consumption reduces actual consumption. Science, 330(6010), 1530-1533."/><s v="Nishi, A., Shirado, H., Rand, D. G., &amp; Christakis, N. A. (2015). Inequality and visibility of wealth in experimental social networks. Nature, 526(7573), 426-429."/><s v="Pyc, M. A., &amp; Rawson, K. A. (2010). Why testing improves memory: Mediator effectiveness hypothesis. Science, 330(6002), 335-335."/><s v="Ramirez, G., &amp; Beilock, S. L. (2011). Writing about testing worries boosts exam performance in the classroom. science, 331(6014), 211-213."/><s v="Rand, D. G., Greene, J. D., &amp; Nowak, M. A. (2012). Spontaneous giving and calculated greed. Nature, 489(7416), 427-430."/><s v="Shah, A. K., Mullainathan, S., &amp; Shafir, E. (2012). Some consequences of having too little. Science, 338(6107), 682-685."/><s v="Aviezer, H., Trope, Y., &amp; Todorov, A. (2012). Body cues, not facial expressions, discriminate between intense positive and negative emotions. Science, 338(6111), 1225-1229."/><s v="Sparrow, B., Liu, J., &amp; Wegner, D. M. (2011). Google effects on memory: Cognitive consequences of having information at our fingertips. science, 333(6043), 776-778."/><s v="Balafoutas, L., &amp; Sutter, M. (2012). Affirmative action policies promote women and do not harm efficiency in the laboratory. Science, 335(6068), 579-582."/><s v="Derex, M., Beugin, M. P., Godelle, B., &amp; Raymond, M. (2013). Experimental evidence for the influence of group size on cultural complexity. Nature, 503(7476), 389-391."/><s v="Duncan, K., Sadanand, A., &amp; Davachi, L. (2012). Memory’s penumbra: episodic memory decisions induce lingering mnemonic biases. Science, 337(6093), 485-487."/><s v="Gervais, W. M., &amp; Norenzayan, A. (2012). Analytic thinking promotes religious disbelief. Science, 336(6080), 493-496."/><s v="Gneezy, U., Keenan, E. A., &amp; Gneezy, A. (2014). Avoiding overhead aversion in charity. Science, 346(6209), 632-635."/><s v="Hauser, O. P., Rand, D. G., Peysakhovich, A., &amp; Nowak, M. A. (2014). Cooperating with the future. Nature, 511(7508), 220-223."/><s v="Janssen, M. A., Holahan, R., Lee, A., &amp; Ostrom, E. (2010). Lab experiments for the study of social-ecological systems. Science, 328(5978), 613-617."/><s v="Schnall, S., Benton, J., &amp; Harvey, S. (2008). With a clean conscience: Cleanliness reduces the severity of moral judgments. Psychological science, 19(12), 1219-1222. Study 1"/><s v="Kruger, J. (1999). Lake Wobegon be gone! The &quot;below-average effect&quot; and the egocentric nature of comparative ability judgments. Journal of Personality and Social Psychology, 77(2),  221–232. doi: 10.1037/0022-3514.77.2.221"/><s v="Gailliot, M. T., Baumeister, R. F., DeWall, C. N., Maner, J. K., Plant, E. A., Tice, D. M., Brewer, L. E., &amp; Schmeichel, B. J. (2007). Self-control relies on glucose as a limited energy source: Willpower is more than a metaphor. Journal of Personality and"/><s v="Wang, X. T., &amp; Dvorak, R. D. (2010). Sweet future: Fluctuating blood glucose levels affect future discounting. Psychological Science, 21(2), 183-188."/><s v="Muraven, M., Tice, D. M., &amp; Baumeister, R. F. (1998). Self-control as a limited resource: Regulatory depletion patterns. Journal of personality and social psychology, 74(3), 774."/><s v="Schmeichel, B. J., Vohs, K. D., &amp; Baumeister, R. F. (2003). Intellectual performance and ego depletion: role of the self in logical reasoning and other information processing. Journal of personality and social psychology, 85(1), 33."/><s v="Schmeichel, B. J. (2007). Attention control, memory updating, and emotion regulation temporarily reduce the capacity for executive control. Journal of experimental psychology: General, 136(2), 241."/><s v="Inzlicht, M., &amp; Gutsell, J. N. (2007). Running on empty: Neural signals for self-control failure. Psychological science, 18(11), 933-937."/><s v="Schwarz, N., Hippler, H. J., Deutsch, B., &amp; Strack, F. (1985).Response scales: Effects of category range on reportedbehavior  and  comparative  judgments.Public  OpinionQuarterly, 49, 388–395."/><s v="Bargh, J. A., Chen, M., &amp; Burrows, L. (1996). Automaticity of social behavior: Direct effects of trait construct and stereotype activation on action. Journal of Personality and Social Psychology, 71(2), 230–244. https://doi.org/10.1037/0022-3514.71.2.230."/><s v="Schwarz, N., Hippler, H. J., Deutsch, B., &amp; Strack, F. (1985).Response scales: Effects of category range on reportedbehavior  and  comparative  judgments. Public Opinion Quarterly, 49, 388–395."/><s v="Nosek, B. A., Banaji, M. R., &amp; Greenwald, A. G. (2002). Harvesting implicit group attitudes and beliefs from a demonstration web site. Group Dynamics: Theory, Research, and Practice, 6(1), 101."/><s v="Nosek, B. A., Banaji, M. R., &amp; Greenwald, A. G. (2002). Math = male, me = female, therefore math ≠ me. Journal of Personality and Social Psychology, 83(1), 44–59. https://doi.org/10.1037/0022-3514.83.1.44"/><s v="Slepian, M. L., Masicampo, E. J., Toosi, N. R., &amp; Ambady, N. (2012). The physical burdens of secrecy. Journal of Experimental Psychology: General, 141(4), 619. Study 1"/><s v="Tversky, A., &amp; Kahneman, D. (1981). The framing of decisions and the psychology of choice. science, 211(4481), 453-458."/><s v="Slepian, M. L., Masicampo, E. J., Toosi, N. R., &amp; Ambady, N. (2012). The physical burdens of secrecy. Journal of Experimental Psychology: General, 141(4), 619. Study 2"/><s v="Oppenheimer, D. M., &amp; Monin, B. (2009). The retrospective gambler’s fallacy: Unlikely events, constructing the past, and multiple universes. Judgment and Decision Making, 4(5), 326-334."/><s v="Rasinski, K. A., Visser, P. S., Zagatsky, M., &amp; Rickett, E. M. (2005). Using implicit goal priming to improve the quality of self-report data. Journal of Experimental Social Psychology, 41(3), 321-327."/><s v="Zhong, C. B., &amp; Liljenquist, K. (2006). Washing away your sins: Threatened morality and physical cleansing. Science, 313(5792), 1451-1452. "/><s v="Jacowitz, K. E., &amp; Kahneman, D. (1995). Measures of anchoring in estimation tasks. Personality and Social Psychology Bulletin, 21(11), 1161-1166."/><s v="Zhong, C. B., &amp; Liljenquist, K. (2006). Washing away your sins: Threatened morality and physical cleansing. Science, 313(5792), 1451-1452."/><s v="Correll, J. (2008). 1/f noise and effort on implicit measures of bias. Journal of personality and social psychology, 94(1), 48. Study 2"/><s v="Correll, J. (2008). 1/f noise and effort on implicit measures of bias. Journal of personality and social psychology, 94(1), 48."/><s v="Carney, D. R., Cuddy, A. J., &amp; Yap, A. J. (2010). Power posing: Brief nonverbal displays affect neuroendocrine levels and risk tolerance. Psychological science, 21(10), 1363-1368."/><s v="Bem, D. J. (2011). Feeling the future: experimental evidence for anomalous retroactive influences on cognition and affect. Journal of personality and social psychology, 100(3), 407."/><s v="Kidd, D. C., &amp; Castano, E. (2013). Reading literary fiction improves theory of mind. Science, 342(6156), 377-380. Study "/><s v="Kidd, D. C., &amp; Castano, E. (2013). Reading literary fiction improves theory of mind. Science, 342(6156), 377-380. Study 1"/><s v="Jostmann, N. B., Lakens, D., &amp; Schubert, T. W. (2009). Weight as an embodiment of importance. Psychological science, 20(9), 1169-1174."/><s v="Szymkow, A., Chandler, J., IJzerman, H., Parzuchowski, M., &amp; Wojciszke, B. (2013). Warmer hearts, warmer rooms. Social Psychology."/><s v="Kidd, D. C., &amp; Castano, E. (2013). Reading literary fiction improves theory of mind. Science, 342(6156), 377-380. Study 3"/><s v="Cacioppo, J. T., Petty, R. E., &amp; Morris, K. J. (1983). Effects of need for cognition on message evaluation, recall, and persuasion. Journal of personality and social psychology, 45(4), 805."/><s v="Kidd, D. C., &amp; Castano, E. (2013). Reading literary fiction improves theory of mind. Science, 342(6156), 377-380. Study 5"/><s v="DeVoe, S. E., &amp; House, J. (2012). Time, money, and happiness: How does putting a price on time affect our ability to smell the roses?. Journal of Experimental Social Psychology, 48(2), 466-474."/><s v="DeVoe, S. E., &amp; House, J. (2012). Time, money, and happiness: How does putting a price on time affect our ability to smell the roses?. Journal of Experimental Social Psychology, 48(2), 466-474. "/><s v="Ross, M., &amp; Wilson, A. E. (2002). It feels like yesterday: self-esteem, valence of personal past experiences, and judgments of subjective distance. Journal of personality and social psychology, 82(5), 792."/><s v="DeVoe, S. E., &amp; House, J. (2012). Time, money, and happiness: How does putting a price on time affect our ability to smell the roses?. Journal of Experimental Social Psychology, 48(2), 466-474. Study 3"/><s v="Bargh, J. A., &amp; Shalev, I. (2012). The substitutability of physical and social warmth in daily life. Emotion, 12(1), 154."/><s v="Bargh, J. A., &amp; Shalev, I. (2012). The substitutability of physical and social warmth in daily life. Emotion, 12(1), 154. "/><s v="Stroop, J. R. (1935). Studies of interference in serial verbal reactions. Journal of experimental psychology, 18(6), 643."/><s v="Boroditsky, L. (2000). Metaphoric structuring: Understanding time through spatial metaphors. Cognition, 75(1), 1-28."/><s v="Tversky, A., &amp; Kahneman, D. (1973). Availability: A heuristic for judging frequency and probability. Cognitive psychology, 5(2), 207-232."/><s v="Galinsky, A. D., Magee, J. C., Inesi, M. E., &amp; Gruenfeld, D. H. (2006). Power and perspectives not taken. Psychological science, 17(12), 1068-1074."/><s v="Vess, M. (2012). Warm thoughts: Attachment anxiety and sensitivity to temperature cues. Psychological science, 23(5), 472-474."/><s v="Caruso, E. M., Vohs, K. D., Baxter, B., &amp; Waytz, A. (2013). Mere exposure to money increases endorsement of free-market systems and social inequality. Journal of Experimental Psychology: General, 142(2), 301."/><s v="Husnu, S., &amp; Crisp, R. J. (2010). Elaboration enhances the imagined contact effect. Journal of Experimental Social Psychology, 46(6), 943-950."/><s v="Oppenheimer, D. M., Meyvis, T., &amp; Davidenko, N. (2009). Instructional manipulation checks: Detecting satisficing to increase statistical power. Journal of experimental social psychology, 45(4), 867-872."/><s v="Etkin, J. &amp; Memmi, S. (2021). Goal Conflict Encourages Work and Discourages Leisure. Journal of Consumer Research, 47(5), 716–736. https://doi.org/10.1093/jcr/ucaa019 Study 1a"/><s v="Wu, E.C., Moore, S.G., &amp; Fitzsimons, G.J. (2019). Wine for the Table: Self-Construal, Group Size, and Choice for Self and Others. Journal of Consumer Research. Study 3"/><s v="Savary, J., Dhar, R.K., JoharEditor, G.V., &amp; InmanEditor, J.J. (2020). The Uncertain Self: How Self-Concept Structure Affects Subscription Choice. Journal of Consumer Research. Study 4"/><s v="Wiggin, K., Reimann, M., &amp; Jain, S.P. (2018). Curiosity Tempts Indulgence. Journal of Consumer Research."/><s v="VanBergen, N., Irmak, C., &amp; Sevilla, J. (2020). Product Entitativity: How the Presence of Product Replicates Increases Perceived and Actual Product Efficacy. Journal of Consumer Research, 47, 192-214. Study 1"/><s v="Elliot, A. J., Niesta Kayser, D., Greitemeyer, T., Lichtenfeld, S., Gramzow, R. H., Maier, M. A., &amp; Lu, H. (2010). Red, rank, and romance in women viewing men. Journal of Experimental Psychology: General, 139(3), 399–417. DOI: https://doi.org/10.1037/ a00"/><s v="Cheung, B. Y., &amp; Heine, S. J. (2015). The double-edged sword of genetic accounts of criminality: Causal attributions from genetic ascriptions affect legal decision making. Personality and Social Psychology Bulletin, 41(12), 1723-1738."/><s v="Epley, N., &amp; Gilovich, T. (2006). The anchoring-and-adjustment heuristic: Why the adjustments are insufficient. Psychological science, 17(4), 311-318."/><s v="Reitsma-van Rooijen, M., &amp; Daamen, D. D. (2006). Subliminal anchoring: The effects of subliminally presented numbers on probability estimates. Journal of Experimental Social Psychology, 42(3), 380-387."/><s v="Williams, K. E. G., Sng, O., &amp; Neuberg, S. L. (2016). Ecology-driven stereotypes override race stereotypes. Proceedings of the National Academy of Sciences, 113(2), 310–315. https://doi.org/10/f76jnb"/><s v="Klein, N., &amp; O’Brien, E. (2018). People use less information than they think to make up their minds. Proceedings of the National Academy of Sciences, 115(52), 13222–13227. https://doi.org/10/gfs87p"/><s v="Jordan, J. J., Hoffman, M., Nowak, M. A., &amp; Rand, D. G. (2016). Uncalculating cooperation is used to signal trustworthiness. Proceedings of the National Academy of Sciences, 113(31), 8658–8663. https://doi.org/10/f8w9bk"/><s v="John, L. K., Barasz, K., &amp; Norton, M. I. (2016). Hiding personal information reveals the worst. Proceedings of the National Academy of Sciences, 113(4), 954–959. https://doi.org/10/f77w6d"/><s v="Hofstetter, R., Rüppell, R., &amp; John, L. K. (2017). Temporary sharing prompts unrestrained disclosures that leave lasting negative impressions. Proceedings of the National Academy of Sciences, 114(45), 11902–11907. https://doi.org/10/gckbgp"/><s v="Hoffman, K. M., Trawalter, S., Axt, J. R., &amp; Oliver, M. N. (2016). Racial bias in pain assessment and treatment recommendations, and false beliefs about biological differences between blacks and whites. Proceedings of the National Academy of Sciences, 113"/><s v="Halevy, N., &amp; Halali, E. (2015). Selfish third parties act as peacemakers by transforming conflicts and promoting cooperation. Proceedings of the National Academy of Sciences, 112(22), 6937–6942. https://doi.org/10/f7fzmv"/><s v="Guilbeault, D., Becker, J., &amp; Centola, D. (2018). Social learning and partisan bias in the interpretation of climate trends. Proceedings of the National Academy of Sciences, 115(39), 9714–9719. https://doi.org/10/gd4t95"/><s v="Gheorghiu, A. I., Callan, M. J., &amp; Skylark, W. J. (2017). Facial appearance affects science communication. Proceedings of the National Academy of Sciences, 114(23), 5970–5975. https://doi.org/10/b9dr"/><s v="Genschow, O., Rigoni, D., &amp; Brass, M. (2017). Belief in free will affects causal attributions when judging others’ behavior. Proceedings of the National Academy of Sciences, 114(38), 10071–10076. https://doi.org/10/gbxsnh"/><s v="Côté, S., House, J., &amp; Willer, R. (2015). High economic inequality leads higher-income individuals to be less generous. Proceedings of the National Academy of Sciences, 112(52), 15838–15843. https://doi.org/10/gfzkq8"/><s v="Vacharkulksemsuk, T., Reit, E., Khambatta, P., Eastwick, P. W., Finkel, E. J., &amp; Carney, D. R. (2016). Dominant, open nonverbal displays are attractive at zero-acquaintance. Proceedings of the National Academy of Sciences, 113(15), 4009–4014. https://doi."/><s v="Cooney, G., Gilbert, D. T., &amp; Wilson, T. D. (2016). When fairness matters less than we expect. Proceedings of the National Academy of Sciences, 113(40), 11168–11171. https://doi.org/10/f8646f"/><s v="Cheon, B. K., &amp; Hong, Y.-Y. (2017). Mere experience of low subjective socioeconomic status stimulates appetite and food intake. Proceedings of the National Academy of Sciences, 114(1), 72–77. https://doi.org/10/f9h49k"/><s v="Chao, M. (2017). Demotivating incentives and motivation crowding out in charitable giving. Proceedings of the National Academy of Sciences, 114(28), 7301–7306. https://doi.org/10/gbnk55"/><s v="Boswell, R. G., Sun, W., Suzuki, S., &amp; Kober, H. (2018). Training in cognitive strategies reduces eating and improves food choice. Proceedings of the National Academy of Sciences, 115(48), E11238–E11247. https://doi.org/10/gfqzv6"/><s v="Baldwin, M., &amp; Lammers, J. (2016). Past-focused environmental comparisons promote proenvironmental outcomes for conservatives. Proceedings of the National Academy of Sciences, 113(52), 14953–14957. https://doi.org/10/f9hmdp"/><s v="Atir, S., &amp; Ferguson, M. J. (2018). How gender determines the way we speak about professionals. Proceedings of the National Academy of Sciences, 115(28), 7278–7283. https://doi.org/10/crgh"/><s v="Ames, D. L., &amp; Fiske, S. T. (2015). Perceived intent motivates people to magnify observed harms. Proceedings of the National Academy of Sciences, 112(12), 3599–3605. https://doi.org/10/gsv6xm"/><s v="Stern, C., West, T. V., &amp; Rule, N. O. (2015). Conservatives negatively evaluate counterstereotypical people to maintain a sense of certainty. Proceedings of the National Academy of Sciences, 112(50), 15337–15342. https://doi.org/10/f74fb4"/><s v="Reeck, C., Wall, D., &amp; Johnson, E. J. (2017). Search predicts and changes patience in intertemporal choice. Proceedings of the National Academy of Sciences, 114(45), 11890–11895. https://doi.org/10/ggb75r"/><s v="Rai, T. S., Valdesolo, P., &amp; Graham, J. (2017). Dehumanization increases instrumental violence, but not moral violence. Proceedings of the National Academy of Sciences, 114(32), 8511–8516. https://doi.org/10/gg6grh"/><s v="Morris, A., MacGlashan, J., Littman, M. L., &amp; Cushman, F. (2017). Evolution of flexibility and rigidity in retaliatory punishment. Proceedings of the National Academy of Sciences, 114(39), 10396–10401. https://doi.org/10/gb4vmc"/><s v="McCall, L., Burk, D., Laperrière, M., &amp; Richeson, J. A. (2017). Exposure to rising inequality shapes Americans’ opportunity beliefs and policy support. Proceedings of the National Academy of Sciences, 114(36), 9593–9598. https://doi.org/10/gbwx4j"/><s v="Kraus, M. W., Rucker, J. M., &amp; Richeson, J. A. (2017). Americans misperceive racial economic equality. Proceedings of the National Academy of Sciences, 114(39), 10324–10331. https://doi.org/10/gb4sh4"/><s v="Kouchaki, M., &amp; Gino, F. (2016). Memories of unethical actions become obfuscated over time. Proceedings of the National Academy of Sciences, 113(22), 6166–6171. https://doi.org/10/f8qfrh"/><s v="Young, S. G., Thorstenson, C. A., &amp; Pazda, A. D. (2018). Facial redness, expression, and masculinity influence perceptions of anger and health. Cognition and Emotion, 32(1), 49–60. https://doi.org/10.1080/02699931.2016.1273201"/><s v="Huang, J. L. (2014). Does cleanliness influence moral judgments? Response effort moderates the effect of cleanliness priming on moral judgments. Frontiers in Psychology, 5, 1276."/><s v="Fiorito, R. &amp; Kollintzas, T. (2004). Public goods, merit goods, and the relation between private and government consumption. European Economic Review 48(6), 1367-1398. DOI:&#xA;10.1016/j.euroecorev.2004.01.004"/><s v="Svensson, L. E. O. (2015). The Possible Unemployment Cost of Average Inflation below a&#xA;Credible Target. American Economic Journal: Macroeconomics, 7 (1): 258-96. DOI: 10.1257/ma&#xA;c.20130176"/><s v="Chowdhury, S. M., Jeon, J. Y., Saha, B. (2017). Gender differences in the giving and&#xA;taking variants of the dictator game. Southern Economic Journal, 84(2), 474–83. DOI:&#xA;10.1002/soej.12223"/><s v="Fernández, R., &amp; Fogli, A. (2009). Culture: An Empirical Investigation of Beliefs, Work, and&#xA;Fertility. American Economic Journal: Macroeconomics, 1(1), 146–177. DOI: 10.1257/mac.1.1.&#xA;146"/><s v="Poole, J. P. (2013). Knowledge Transfers from Multinational to Domestic Firms: Evidence from Worker Mobility. The Review of Economics and Statistics, 95(2), 393–406. DOI:&#xA;10.1162/REST_a_00258"/><s v="Autor, D. H., Katz, L. F., &amp; Kearney, M. S. (2008). Trends in U.S. Wage Inequality: Revising&#xA;the Revisionists. Review of Economics and Statistics, 90 (2): 300–323. DOI: 10.1162/rest.90.&#xA;2.300"/><s v="Autor, D. H., Katz, L. F., &amp; Kearney, M. S. (2008). Trends in U.S. Wage Inequality: Revising the Revisionists. Review of Economics and Statistics, 90 (2): 300–323. DOI: 10.1162/rest.90.2.300"/><s v="Inbar, Y., Pizarro, D. A., Knobe, J., &amp; Bloom, P. (2009). Disgust sensitivity predicts intuitive disapproval of gays. Emotion, 9(3), 435–439. https://doi.org/10.1037/a0015960"/><s v="Schwarz, N., Strack, F., &amp; Mai, H. P. (1991). Assimilation and contrast effects in part-whole question sequences: A conversational logic analysis. Public Opinion Quarterly, 55, 3–23. doi:10.1086/269239 Study 1"/><s v="Miyamoto, Y., &amp; Kitayama, S. (2002). Cultural variation in correspondence bias: The critical role of attitude diagnosticity of socially constrained behavior. Journal of Personality and Social Psychology, 83, 1239–1248. doi:10.1037/0022-3514.83.5.1239 Stud"/><s v="Knobe, J. (2003). Intentional action and side effects in ordinary language. Analysis, 63(3), 190-194. Study 1"/><s v="Knobe, J. (2006). The concept of intentional action: A case study in the uses of folk psychology. Philosophical Studies, 130, 203–231. doi:10.1007/s11098-004-4510-0 Study 1"/><s v="Hauser, M. D., Cushman, F. A., Young, L., Jin, R., &amp; Mikhail, J. M. (2007). A dissociation between moral judgments and justifications. Mind &amp; Language, 22, 1–21. doi:10.1111/ j.1468-0017.2006.00297.x Scenarios 1 and 2"/><s v="Ross, L., Greene, D., &amp; House, P. (1977). The “false consensus effect”: An egocentric bias in social perception and attribution processes. Journal of Experimental Social Psychology, 13, 279–301. doi:10.1016/0022-1031(77)90049-X Study 1 - supermarket scena"/><s v="Ross, L., Greene, D., &amp; House, P. (1977). The “false consensus effect”: An egocentric bias in social perception and attribution processes. Journal of Experimental Social Psychology, 13, 279–301. doi:10.1016/0022-1031(77)90049-X Study 1 - traffic tickets"/><s v="Ross, L., Greene, D., &amp; House, P. (1977). The “false consensus effect”: An egocentric bias in social perception and attribution processes. Journal of Experimental Social Psychology, 13, 279–301. doi:10.1016/0022-1031(77)90049-X Study 1"/><s v="Gray, K., &amp; Wegner, D. M. (2009). Moral typecasting: Divergent perceptions of moral agents and moral patients. Journal of Personality and Social Psychology, 96, 505–520. doi:10.1037/a0013748 Study 1a"/><s v="Huang, Y., Tse, C. S., &amp; Cho, K. W. (2014). Living in the north is not necessarily favorable: Different metaphoric associations between cardinal direction and valence in Hong Kong and in the United States. European Journal of Social Psychology, 44, 360–36"/><s v="Tversky, A., &amp; Kahneman, D. (1981). The framing of decisions and the psychology of choice. Science, 211, 453–458. doi:10.1126/science.7455683 Study 10"/><s v="Graham, J., Haidt, J., &amp; Nosek, B. A. (2009). Liberals and conservatives rely on different sets of moral foundations Journal of Personality and Social Psychology, 96, 1029– 1046. doi:10.1037/a0015141 Study 1"/><s v="Graham, J., Haidt, J., &amp; Nosek, B. A. (2009). Liberals andconservatives rely on different sets of moral foundations Journal of Personality and Social Psychology, 96, 1029– 1046. doi:10.1037/a0015141 Study 1"/><s v="Hauser, M. D., Cushman, F. A., Young, L., Jin, R., &amp; Mikhail, J. M. (2007). A dissociation between moral judgments and justifications. Mind &amp; Language, 22, 1–21. doi:10.1111/j.1468-0017.2006.00297.x Study 1, Scenarios 3 and 4"/><s v="Risen, J. L., &amp; Gilovich, T. (2008). Why people are reluctant to  tempt fate. Journal of Personality and Social Psychology, 95, 293–307. doi:10.1037/0022-3514.95.2.293 Study 2"/><s v="Bauer, M. A., Wilkie, J. E., Kim, J. K., &amp; Bodenhausen, G. V. (2012). Cuing consumerism: Situational materialism undermines personal and social well-being. Psychological Science, 23, 517–523. doi:10.1177/0956797611429579 Study 4"/><s v="Critcher, C. R., &amp; Gilovich, T. (2008). Incidental environmental anchors. Journal of Behavioral Decision Making, 21, 241–251. doi:10.1002/bdm.586 Study 2"/><s v="Giessner, S. R., &amp; Schubert, T. W. (2007). High in the hierarchy: How vertical location and judgments of leaders’ power are interrelated. Organizational Behavior and Human Decision Processes, 104, 30–44. doi:10.1016/j .obhdp.2006.10.001 Study 1a"/><s v="Tversky, A., &amp; Gati, I. (1978). Studies of similarity. Cognition and Categorization, 1, 79–98. Study 2"/><s v="Zhong, C.-B., &amp; Liljenquist, K. (2006). Washing away your sins: Threatened morality and physical cleansing. Science, 313, 1451–1452. doi:10.1126/science.1130726 Study 2"/><s v="Kay, A. C., Laurin, K., Fitzsimons, G. M., &amp; Landau, M. J. (2014). A functional basis for structure-seeking: Exposure to structure promotes willingness to engage in motivated action. Journal of Experimental Psychology: General, 143, 486–491. doi:10.1037/a"/><s v="Van Lange, P. A. M., Otten, W., De Bruin, E. M. N., &amp; Joireman, J. A. (1997). Development of prosocial, individualistic, and competitive orientations: Theory and preliminary evidence. Journal of Personality and Social Psychology, 73, 733–746. doi:10.1037/"/><s v="Zaval, L., Keenan, E. A., Johnson, E. J., &amp; Weber, E. U. (2014). How warm days increase belief in global warming. Nature Climate Change, 4, 143–147. doi:10.1038/nclimate2093 Study 3a"/><s v="Alter, A. L., Oppenheimer, D. M., Epley, N., &amp; Eyre, R. N. (2007). Overcoming intuition: Metacognitive difficulty activates analytic reasoning. Journal of Experimental Psychology: General, 136, 569–576. doi:10.1037/0096- 3445.136.4.569 Study 4"/><s v="Anderson, C., Kraus, M. W., Galinsky, A. D., &amp; Keltner, D. (2012). The local-ladder effect: Social status and subjective well-being. Psychological Science, 23, 764–771. doi:10.1177/0956797611434537 Study 3"/><s v="Rottenstreich, Y., &amp; Hsee, C. K. (2001). Money, kisses, and electric shocks: On the affective psychology of risk. Psychological Science, 12, 185–190. doi:10.1111/1467- 9280.00334 Study 1"/><s v="Shafir, E. (1993). Choosing versus rejecting: Why some options are both better and worse than others. Memory &amp; Cognition, 21, 546–556. doi:10.3758/BF03197186 Study 1"/><s v="Savani, K., Markus, H. R., Naidu, N. V. R., Kumar, S., &amp; Berlia, N. (2010). What counts as a choice? U.S. Americans are more likely than Indians to construe actions as choices. Psychological Science, 21, 391–398. doi:10 .1177/0956797609359908 Study 5"/><s v="Norenzayan, A., Smith, E. E., Kim, B. J., &amp; Nisbett, R. E. (2002). Cultural preferences for formal versus intuitive reasoning. Cognitive Science, 26, 653–684. doi:10.1207/ s15516709cog2605_4 Study 2"/><s v="Norenzayan, A., Smith, E. E., Kim, B. J., &amp; Nisbett, R. E. (2002). Cultural preferences for formal versus intuitive reasoning. Cognitive Science, 26, 653–684. doi:10.1207/ s15516709cog2605_4 Study 3"/><s v="Hsee, C. K. (1998). Less is better: When low-value options are valued more highly than high-value options. Journal of Behavioral Decision Making, 11, 107–121. doi:10.1002/(SICI)1099-0771(199806)11:2&lt;107::AIDBDM292&gt;3.0.CO;2-Y Study 1"/><s v="Klink, R. R. (2000). Creating brand names with meaning: the use of sound symbolism. Market. Lett. 11, 5–20. doi: 10.1023/A:1008184423824 Study 1"/><s v="Madzharov, a V., and Block, L. G. (2010). Effects of product unit image on consumption of snack foods. J. Consum. Psychol. 20, 398–409. doi: 10.1016/j.jcps.2010.06.007 Study 1a"/><s v="Lee, S., Baumgartner, H., &amp; Winterich, K. P. (2018). Did they earn it? Observing unearned luxury consumption decreases brand attitude when observers value fairness. Journal of Consumer Psychology, 28(3), 412-436. Study 4"/><s v="S. M. Tully, H. E. Hershfield, T. Meyvis, Seeking lasting enjoyment with limited money: Financial constraints increase preference for material goods over experiences. J. Consum. Res. 42, 59–75 Study 5"/><s v="Monga, A., May, F., &amp; Bagchi, R. (2017). Eliciting time versus money: time scarcity underlies asymmetric wage rates. Journal of consumer research, 44(4), 833-852. Study 4"/><s v="Roux, C., Goldsmith, K., &amp; Bonezzi, A. (2015). On the psychology of scarcity: When reminders of resource scarcity promote selfish (and generous) behavior. Journal of consumer research, 42(4), 615-631. Study 4"/><s v="Mehta, R., &amp; Zhu, M. (2016). Creating when you have less: The impact of resource scarcity on product use creativity. Journal of Consumer Research, 42(5), 767-782. Study 2"/><s v="Kristofferson, K., McFerran, B., Morales, A. C., &amp; Dahl, D. W. (2017). The dark side of scarcity promotions: how exposure to limited-quantity promotions can induce aggression. Journal of Consumer Research, 43(5), 683-706. Study 5"/><s v="Shrum, L. J., Lowrey, T. M., Luna, D., Lerman, D. B., and Liu, M. (2012). Sound symbolism effects across languages: implications for global brand names. Int. J. Res. Market. 29, 275–279. doi: 10.1016/j.ijresmar.2012.03.002 Study 1a-c"/><s v="Shrum, L. J., Lowrey, T. M., Luna, D., Lerman, D. B., and Liu, M. (2012). Sound symbolism effects across languages: implications for global brand names. Int. J. Res. Market. 29, 275–279. doi: 10.1016/j.ijresmar.2012.03.002"/><s v="Hagtvedt, H., and Brasel, S. A. (2017). Color Saturation Increases Perceived Product Size. J. Consum. Res. 44, 396–413. doi: 10.1093/jcr/ucx039 Study 3"/><s v="Romero, M., and Biswas, D. (2016). Healthy-left, unhealthy-right: can displaying healthy. items to the left (vs. right) of unhealthy items nudge healthier choices? J. Consum. Res. 43, 103–112. doi: 10.1093/jcr/ucw008 Study 1b"/><s v="Yorkston, E., and Menon, G. (2004). A sound idea: phonetic effects of brand names on consumer judgments. J. Consum. Res. 31, 43–51. doi: 10.1086/383422 Study 1"/><s v="Elder, R. S., and Krishna, A. (2011). The “visual depiction effect” in advertising: facilitating. embodied mental simulation through product orientation. J. Consum. Res. 38, 988–1003. doi: 10.1086/661531 Study 4"/><s v="Elder, R. S., and Krishna, A. (2011). The “visual depiction effect” in advertising: facilitating embodied mental simulation through product orientation. J. Consum. Res. 38, 988–1003. doi: 10.1086/661531 Study 4"/><s v="Jiang, Y., Gorn, G. J., Galli, M., and Chattopadhyay, A. (2015). Does your company have the right logo? How and why circular- and angularlogo shapes influence brand attribute judgments. J. Consum. Res. 42, 709–726. doi: 10.1093/jcr/ucv049 Experiment 1"/><s v="Chae, B., and Hoegg, J. (2013). The future looks “right”: effects of the horizontal location. of advertising images on product attitude. J. Consum. Res. 40, 223–238. doi: 10.1086/669476 Study 2"/><s v="Cian, L., Krishna, A., and Elder, R. S. (2014). This logo moves me: dynamic imagery from static images. J. Market. Res. 51, 184–197. doi: 10.1509/jmr. 13.0023 Study 1"/><s v="Roelofs, A. (2008). Tracing attention and the activation flow in spoken word planning using eye movements. Journal of Experimental Psychology: Learning, Memory, and Cognition, 34(2), 353-368."/><s v="Ganor-Stern, D., &amp; Tzelgov, J. (2008). Across-notation automatic numerical processing. Journal of Experimental Psychology: Learning, Memory, and Cognition, 34(2), 430-437."/><s v="Alter, A.A., &amp; Oppenheimer, D.M. (2008). Effects of fluency on psychological distance and mental construal (or why New York is a large city, but New York is a civilized jungle). Psychological Science, 19, 161-167."/><s v="Dessalegn, B. &amp; Landau, B. (2008). More than meets the eye: The role of language in binding visual properties. Psychological Science, 19(2), 189-195."/><s v="Eitam, B., Hassin, R. R., &amp; Schul, Y. (2008). Nonconscious goal pursuit in novel environments: The case of implicit learning. Psychological Science, 19, 261-267."/><s v="Bannard, C., &amp; Matthews, D. (2008). Stored word sequences in language learning: The effect of familiarity on children's repetition of four-word combinations. Psychological science, 19(3), 241-248."/><s v="Mirman, D., &amp; Magnuson, J. S. (2008). Attractor dynamics and semantic neighborhood density: Processing is slowed by near neighbors and speeded by distant neighbors. Journal of Experimental Psychology: Learning, Memory, and Cognition, 34, 65-79."/><s v="Farris, C., Treat, T.A., Viken, R.J., &amp; McFall, R.M. (2008). Perceptual mechanisms that characterize gender differences in decoding women's sexual intent. Psychological Science, 19(4), 348-354."/><s v="Janiszewski, C., D. Uy. 2008. Anchor precision influences the amount of adjustment. Psychological Science, 19,121–127."/><s v="C McKinstry, R Dale, MJ Spivey (2008). Action dynamics reveal parallel competition in decision making. Psychological Science, 19.1: 22-24."/><s v="Armor, D.A., Massey, C., &amp; Sackett, A.M. 2008. Prescribed optimism: Is it right to be wrong about the future? Psychological Science, 19, 329-331."/><s v="Addis, D.R., Wong, A.T., &amp; Schacter, D.L. (2008). Age-related changes in the episodic simulation of future events. Psychological Science, 19(1), 33-41."/><s v="Nurmsoo, E., &amp; Bloom, P. (2008). Preschoolers' Perspective Taking in Word Learning Do They Blindly Follow Eye Gaze?. Psychological Science, 19(3), 211-215."/><s v="Vul, E., &amp; Pashler, H. (2008). Measuring the crowd within: Probabilistic representations within individuals. Psychological Science, 19, 645-647."/><s v="Vul, E., Nieuwenstein, M., &amp; Kanwisher, N. (2008). Temporal selection is suppressed, delayed, and diffused during the attentional blink. Psychological Science, 19(1), 55-61."/><s v="Masicampo, E.J., &amp; Baumeister, R.F. (2008). Toward a physiology of dual-process reasoning and judgment: Lemonade, willpower, and expensive rule-based analysis. Psychological Science, 19(3), 255-260."/><s v="Marsh, J.E., Vachon, F., &amp; Jones, D.M. (2008). When does between-sequence phonological similarity promote irrelevant sound disruption? Journal of Experimental Psychology: Learning, Memory, and Cognition, 34(1), 243-248."/><s v="Hajcak, G., &amp; Foti, D. (2008). Errors are aversive: Defensive motivation and the error-related negativity. Psychological science, 19(2), 103-108."/><s v="Tabibnia, G., Satpute, A.B., Lieberman, M.D. (2008). The sunny side of fairness: Preference for fairness activates reward circuitry (and disregarding unfairness activates self-control circuitry). Psychological Science, 19(4), 339-347."/><s v="Alvarez, G.A. &amp; Oliva, A. (2008). The representation of simple ensemble visual features outside the focus of attention. Psychological Science, 19(4), 392-398."/><s v="Woodman, G. F., Kang, M. S., Thompson, K., &amp; Schall, J. D. (2008). The effect of visual search efficiency on response preparation: neurophysiological evidence for discrete flow. Psychological science, 19(2), 128-136."/><s v="Lau, G.P., Kay, A.C., &amp; Spencer, S.J. (2008). Loving those who justify inequality: The effects of system threat on attraction to women who embody benevolent sexist ideals. Psychological Science, 19, 20-21."/><s v="Deary, I. J., Batty, G. D., &amp; Gale, C. R. (2008). Bright children become enlightened adults. Psychological science, 19(1), 1-6."/><s v="Winawer, Huk, and Boroditsky (2008). A Motion aftereffect from still photographs depicting motion. Psychological Science, 19, 276-283."/><s v="Richeson, J. A., &amp; Trawalter, S. (2008). The threat of appearing prejudiced and race-based attentional biases. Psychological Science, 19(2), 98-102."/><s v="Campbell, J.I., &amp; Robert, N.D. (2008). Bidirectional associations in multiplication memory: Conditions of negative and positive transfer. Journal of Experimental Psychology: Learning, Memory, and Cognition, 34(3), 546-555."/><s v="Crosby, J.R., Monin, B., &amp; Richardson, D. (2008). Where do we look during potentially offensive behavior? Psychological Science, 19(3), 226-228."/><s v="Nairne, J.S., Pandeirada, J.N.S., &amp; Thompson, S.R. (2008). Adaptive memory: The comparative value of survival processing. Psychological Science, 19(2), 176–180."/><s v="Larsen, J.T., &amp; McKibban, A.R. (2008). Is happiness having what you want, wanting what you have, or both? Psychological Science, 19, 371-377."/><s v="Ranganath, K. A., &amp; Nosek, B. A. (2008). Implicit attitude generalization occurs immediately; explicit attitude generalization takes time. Psychological Science, 19(3), 249-254."/><s v="KD Vohs, JW Schooler (2008). The value of believing in free will: encouraging a belief in determinism increases cheating. Psychological Science, 19.1: 49-54."/><s v="Demany, L., Trost, W., Serman, M., &amp; Semal, C. (2008). Auditory change detection: simple sounds are not memorized better than complex sounds. Psychological Science, 19(1), 85-91."/><s v="Williams, L. E. &amp; Bargh, J. A. (2008). Keeping one’s distance: The influence of spatial distance cues on affect and evaluation. Psychological Science, 19, 302 – 308."/><s v="Tamir, M., Mitchell, C., &amp; Gross, J.J. (2008). Hedonic and instrumental motives in anger regulation. Psychological Science, 19(4). 324-328."/><s v="Epley, N., Akalis, S., Waytz, A., &amp; Cacioppo, J.T. (2008). Creating social connection through inferential reproduction: Loneliness and perceived agency in gadgets, Gods and greyhounds. Psychological Science, 19(2), 114–120."/><s v="Halevy, N., Bornstein, G., &amp; Sagiv, L. (2008). “In-group love” and “out-group hate” as motives for individual participation in intergroup conflict: A new game paradigm. Psychological science, 19(4), 405-411."/><s v="Janssen, N., Alario, F.X., &amp; Caramazza, A. (2008). A word-order constraint on phonological activation. Psychological Science, 19(3), 216-220."/><s v="Bressan, P. &amp; Stranieri, D. (2008). The best men are (not always) already taken: Female preference for single versus attached males depends on conception risk. Psychological Science, 19, 145-151."/><s v="Schmidt, J. R., &amp; Besner, D. (2008). The Stroop effect: why proportion congruent has nothing to do with congruency and everything to do with contingency. Journal of Experimental Psychology: Learning, Memory, and Cognition, 34(3), 514."/><s v="Forti, S., &amp; Humphreys, G.W. (2008). Sensitivity to object viewpoint and action instructions during search for targets in the lower visual field. Psychological Science, 19(1), 42-48."/><s v="Schnall S., Benton J., &amp; Harvey S. (2008). With a clean conscience: Cleanliness reduces the severity of moral judgments. &lt;i&gt;Psychological Science&lt;/i&gt;, 19, 1219-1222."/><s v="SE Palmer, T Ghose (2008). Extremal edges: a powerful cue to depth perception and figure-ground organization. Psychological Science, 19.1: 77-84."/><s v="Heine, S.J., Buchtel, E.E., &amp; Norenzayan, A. (2008). What do cross‐national comparisons of personality traits tell us? The case of conscientiousness. Psychological Science, 19(4), 309-313."/><s v="Moeller, S.K., Robinson, M.D., Zabelina, D.L. (2008). Personality dominance and preferential use of the vertical dimension of space. Psychological Science, 19, 355-361."/><s v="Goschke, T., &amp; Dreisbach, G. (2008). Conflict-triggered goal shielding: response conflicts attenuate background monitoring for prospective memory cues. Psychological science, 19(1), 25–32."/><s v="LoBue,V., &amp; DeLoache, J.S. (2008). Detecting the snake in the grass: Attention to fear-relevant stimuli by adults and children. Psychological Science, 19, 284-289."/><s v="Dai, X., Wertenbroch, K., &amp; Brendl, C. M. (2008). The value heuristic in judgments of relative frequency. Psychological Science, 19, 18–19."/><s v="Estes, Z., Verges, M., &amp; Barsalou, L.W. (2008). Head up, foot down. Object words orient attention to the objects’ typical location. Psychological Science, 19(2), 93–97."/><s v="Fiedler, K. (2008). The ultimate sampling dilemma in experience-based decision making. Journal of Experimental Psychology: Learning, Memory, and Cognition, 34(1), 186."/><s v="Oberauer, Klaus. &quot;How to say no: Single-and dual-process theories of short-term recognition tested on negative probes.&quot; Journal of Experimental Psychology: Learning, Memory, and Cognition 34.3 (2008): 439"/><s v="Morris, A.L., Still, M.L. (2008). Now you see it, now you don't: Repetition blindness for nonwords. Journal of Experimental Psychology: Learning Memory and Cognition, 34(1), 146–166."/><s v="Sahakyan, L., Delaney, P. F., &amp; Waldum, E. R. (2008). Intentional forgetting is easier after two&quot; shots&quot; than one. Journal of Experimental Psychology: Learning, Memory, and Cognition, 34(2), 408."/><s v="Colzato, L. S., Bajo, M. T., Van den Wildenberg, W., Paolieri, D., Nieuwenhuis, S., La Heij, W., &amp; Hommel, B. (2008). How does bilingualism improve executive control? A comparison of active and reactive inhibition mechanisms. Journal of Experimental Psych"/><s v="Bassok, M., Pedigo, S.F., &amp; Oskarsson, A.T (2008). Priming Addition Facts with Semantic Relations. Journal of Experimental Psychology: Learning, Memory, and Cognition, 34, 343-352."/><s v="Couture, M., Lafond, D., &amp; Tremblay, S. (2008). Learning correct responses and errors in the hebb repetition effect: Two faces of the same coin. Journal of Experimental Psychology: Learning, Memory, and Cognition, 34(3), 524-532."/><s v="Reynolds, M., &amp; Besner, D. (2008). Contextual effects on reading aloud: Evidence for pathway control. Journal of Experimental Psychology: Learning, Memory, and Cognition, 34(1), 50."/><s v="MJ Yap, DA Balota, CS Tse, D Besner. (2008) On the additive effects of stimulus quality and word frequency in lexical decision: evidence for opposing interactive influences revealed by RT distributional analyses. Journal of Experimental Psychology: Learni"/><s v="N Janssen, W Schirm, BZ Mahon, A Caramazza (2008).“Semantic Interference in a Delayed Naming Task: Evidence for the Response Exclusion Hypothesis.” Journal of Experimental Psychology: Learning Memory and Cognition, 34(1), 249-256."/><s v="Turk-Browne, N. B., Isola, P. J., Scholl, B. J., &amp; Treat, T. A. (2008). Multidimensional Visual Statistical Learning. Journal of Experimental Psychology: Learning, Memory, and Cognition, 34(2), 399–407. doi:10.1037/0278-7393.34.2.399"/><s v="Liefooghe, B., Barrouillet, P., Vandierendonck, A., &amp; Camos, V. (2008). Working memory costs of task switching. Journal of Experimental Psychology: Learning, Memory, and Cognition, 34(3), 478-494. doi: 10.1037/0278-7393.34.3.478"/><s v="White, P.A. (2008). Accounting for Occurrences: A New View of the Use of Contingency Information in Causal Judgment. Journal of Experimental Psychology: Learning, Memory, and Cognition, 34(1), 204–218."/><s v="Farrell, S. (2008). Multiple roles for time in short-term memory: Evidence from serial recall of order and timing. Journal of Experimental Psychology: Learning, Memory, and Cognition, 34(1), 128."/><s v="Pacton, S., &amp; Perruchet, P. (2008). An attention-based associative account of adjacent and nonadjacent dependency learning. Journal of Experimental Psychology: Learning, Memory, and Cognition, 34, 80-96."/><s v="Makovski, Tal; Sussman, Rachel; Jiang, Yuhong V. (2008). Orienting attention in visual working memory reduces interference from memory probes. Journal of Experimental Psychology: Learning, Memory, and Cognition, 34.2: 369-380."/><s v="Decision making and learning while taking sequential risks. Journal of Experimental Psychology: Learning, Memory, and Cognition, 34(1), 167-185."/><s v="Storm, B.C., Bjork, E.L., &amp; Bjork, R.A. 2008. Accelerated relearning after retrieval-induced forgetting: The benefit of being forgotten. Journal of Experimental Psychology: Learning, Memory, and Cognition, 34, 230-236."/><s v="B Monin, PJ Sawyer, MJ Marquez (2008). The rejection of moral rebels: resenting those who do the right thing. Journal of Personality and Social Psychology, 95.1: 76-93."/><s v="Payne, B. K. Burkley, M. A. Stokes, M. B. (2008). Why Do Implicit and Explicit Attitude Tests Diverge? The Role of Structural Fit. Journal of Personality and Social Psychology, 94, 16–31."/><s v="Soto, C.J., John, O.P., Gosling, S.D., &amp; Potter, J. (2008). The developmental psychometrics of big five self-reports: Acquiescence, factor structure, coherence, and differentiation from ages 10 to 20. Journal of Personality and Social Psychology, 94(4), 7"/><s v="Cox, C.R., Arndt, J., Pyszczynski, T., Greenberg, J., Abdollahi, A., &amp; Solomon, S. (2008). Terror management and adults' attachment to their parents: The safe haven remains. Journal of Personality and Social Psychology, 94(4), 696-717."/><s v="D Albarracín, IM Handley, K Noguchi, KC McCulloch, H Li, J Leeper, RD Brown, A Earl, WP Hart (2008). Increasing and decreasing motor and cognitive output: a model of general action and inaction goals. Journal of Personality and Social Psychology, 95.3: 51"/><s v="C Mitchell, S Nash, G Hall (2008). The intermixed-blocked effect in human perceptual learning is not the consequence of trial spacing. Journal of Experimental Psychology: Learning, Memory, and Cognition, 34.1 (2008): 237-242."/><s v="Albarracín, D., Handley, I.M., Noguchi, K., McCulloch, K.C., Li, H., Leeper, J., Brown, R.D., Earl, A., &amp; Hart, W.P. (2008). Increasing and decreasing motor and cognitive output: A model of general action and inaction goals. Journal of Personality and Soc"/><s v="Centerbar, D.B., Schnall, S., Clore, G.L., &amp; Garvin, E.D. (2008). Affective incoherence: When affective concepts and embodied reactions clash. Journal of Personality and Social Psychology, 94(4), 560-578. doi: 10.1037/0022-3514.94.4.560"/><s v="Amodio, D. M., Devine, P. G., &amp; Harmon-Jones, E. (2008). Individual differences in the regulation of intergroup bias: The role of conflict monitoring and neural signals for control. Journal of Personality and Social Psychology, 94(1), 60-74."/><s v="Harmon-Jones, E., Harmon-Jones, C., Fearn, M., Sigelman, J.D., &amp; Johnson, P. (2008). Left frontal cortical activation and spreading of alternatives: Test of the action-based model of dissonance. Journal of Personality and Social Psychology, 94(1), 1-15."/><s v="van Dijk, E., van Kleef, G.A., Steinel, W., &amp; van Beest, I. (2008). A social functional approach to emotions in bargaining: When communicating anger pays and when it backfires. Journal of Personality and Social Psychology, 94(4), 600-614."/><s v="Lemay, E.P., &amp; Clark, M.S. Walking on eggshells: How expressing relationship insecurities perpetuates them. Journal of Personality and Social Psychology, 95(2), 420-441."/><s v="How the head liberates the heart: projection of communal responsiveness guides relationship promotion. Journal of Personality and Social Psychology, 95(4), 647-671."/><s v="Lemay, E.P., &amp; Clark, M.S. How the head liberates the heart: projection of communal responsiveness guides relationship promotion. Journal of Personality and Social Psychology, 95(4), 647-671."/><s v="Berry, C.J., Shanks, D.R., &amp; Henson, R.N. A single-system account of the relationship between priming, recognition, and fluency. Journal of Experimental Psychology: Learning, Memory, and Cognition, 34(1), 97-111."/><s v="Ersner-Hershfield, H. H., Mikels, J. A., Sullivan, S. J., &amp; Carstensen, L. L. (2008). Poignancy: mixed emotional experience in the face of meaningful endings. Journal of Personality and Social Psychology, 94(1), 158-167."/><s v="Correll, J. (2008). 1/f noise and effort on implicit measures of bias. Journal of Personality and Social Psychology, 94, 48-59."/><s v="Förster, J., Liberman, N., &amp; Kuschel, S. (2008). The effect of global versus local processing styles on assimilation versus contrast in social judgment. Journal of Personality and Social Psychology, 94, 579-599."/><s v="JJ Exline, RF Baumeister, AL Zell, AJ Kraft, CV Witvliet (2008). Not so innocent: does seeing one's own capacity for wrongdoing predict forgiveness? Journal of Personality and Social Psychology: 94.3: 495-515."/><s v="JL Risen, T Gilovich (2008). Why people are reluctant to tempt fate. Journal of Personality and Social Psychology, 95.2: 293-307."/><s v="Tracy, J.L., &amp; Robins, R.W. (2008). The nonverbal expression of pride: Evidence for cross-cultural recognition. Journal of Personality and Social Psychology, 94(3), 516-530."/><s v="Beaman, C.P., Neath, I., &amp; Suprenant, A.M. (2008). Modeling Distributions of Immediate Memory Effects: No Strategies Needed? Journal of Experimental Psychology: LMC, 34 (1), 219 - 239."/><s v="KE Stanovich, RF West (2008). On the relative independence of thinking biases and cognitive ability. Journal of Personality and Social Psychology, 94(4):672-95. doi: 10.1037/0022-3514.94.4.672."/><s v="Blankenship, K. L., &amp; Wegener, D. T. (2008). Opening the mind to close it: Considering a message in light of important values increases message processing and later resistance to change. Journal of Personality and Social Psychology, 94, 196-213."/><s v="Morrison, Kimberly Rios, and Dale T. Miller. &quot;Distinguishing between silent and vocal minorities: Not all deviants feel marginal.&quot; Journal of Personality and Social Psychology 94.5 (2008): 871"/><s v="Koo, M., &amp; Fishbach, A. (2008). Dynamics of self-regulation: How (un)accomplished goal actions affect motivation. Journal of Personality and Social Psychology, 94(2), 183-195."/><s v="Dodson, C.S., Darragh, J., &amp; Williams, A. (2008). Stereotypes and retrieval-provoked illusory source recollections. Journal of Experimental Psychology: Learning, Memory, and Cognition, 34(3), 460-477."/><s v="MD Henderson, Y de Liver, PM Gollwitzer (2008). The effects of an implemental mind-set on attitude strength. Journal of Personality and Social Psychology, 94.3: 396-411."/><s v="Shnabel, Nurit, and Arie Nadler. &quot;A needs-based model of reconciliation: satisfying the differential emotional needs of victim and perpetrator as a key to promoting reconciliation.&quot; Journal of personality and social psychology 94.1 (2008): 116."/><s v="Rule, N., &amp; Ambady, N. (2008). The face of success: Inferences from chief executive officers' appearance predict company profits. Psychological Science 19(2), 109-111."/><s v="P Fischer, S Schulz-Hardt, D Frey (2008). Selective exposure and information quantity: how different information quantities moderate decision makers' preference for consistent and inconsistent information. Journal of Personality and Social Psychology, 94."/><s v="Fischer, P., Greitemeyer, T., &amp; Frey, D. (2008). Self-regulation and selective exposure: The impact of depleted self-regulation resources on confirmatory information processing. Journal of Personality and Social Psychology, 94(3), 382-395."/><s v="P.A. Goff, C.M. Steele, &amp; P.G. Davies, 2008. The space between us: Stereotype threat and distance in interracial contexts. Journal of Personality and Social Psychology, 94, 91-107."/><s v="Eastwick, P. W., &amp; Finkel, E. J. (2008). Sex differences in mate preferences revisited: Do people know what they initially desire in a romantic partner?. Journal Of Personality And Social Psychology, 94(2), 245-264. doi:10.1037/0022-3514.94.2.245"/><s v="Weidemann, C.T., Huber, D.E., &amp; Shiffrin, R.M. (2008). Prime diagnosticity in short-term repetition priming: Is primed evidence discounted, even when it reliably indicates the correct answer? Journal of Experimental Psychology: Learning, Memory, and Cogni"/><s v="Murray, S.L., Derrick, J.L., Leder, S., &amp; Holmes, J.G. (2008). Balancing connectedness and self-protection goals in close relationships: A levels-of-processing perspective on risk regulation. Journal of Personality and Social Psychology, 94(3), 429-459."/><s v="McCrea, SM. (2008). Self-handicapping, excuse making, and counterfactual thinking: Consequences for self-esteem and future motivation. Journal of Personality and Social Psychology, 95(2), 274-292"/><s v="Purdie-Vaughns, V., Steele, C.M., Davies, P.G., Ditlmann, R., &amp; Crosby, J.R. (2008). Social identity contingencies: How diversity cues signal threat or safety for african americans in mainstream institutions. Journal of Personality and Social Psychology, "/><s v="Croninger, R.G., Rice, J.K., Rathbun, A., &amp; Nishio, M.(2007).Teacher qualifications and early learning: Effects of certification, degree, and experience on first-grade student achievement.Economics of Education Review, 26(3), 312–324.http://doi.org/10.101"/><s v="Redden, J. P., &amp; Hoch, S. J. (2009). The presence of variety reduces perceived quantity. Journal of Consumer Research, 36(3), 406-417., Study 3"/><s v="Lichtenfeld, S. ,Maier, M. A., Elliot, A. J., &amp; Pekrun, R. (2009 ).The semantic red effect: Processing the word red undermines intellectual performance . Journal of Experimental Social Psychology , 45 ,1273 –1276 . https://doi.org/10.1016/j.jesp.2009.06.0"/><s v="Hoogeveen, S., Sarafoglou, A., &amp; Wagenmakers, E.-J. (2020). Laypeople Can Predict Which Social-Science Studies Will Be Replicated Successfully. Advances in Methods and Practices in Psychological Science, 3(3), 267–285. https://doi.org/10.1177/251524592091"/><s v="Cialdini, R. B., Vincent, J. E., Lewis, S. K., Catalan, J., Wheeler, D., &amp; Darby, B. L. (1975). Reciprocal concessions procedure for inducing compliance: The door-in-the-face technique. Journal of Personality and Social Psychology, 31(2), 206–215. https:/"/><s v="Duke, A. A., &amp; Bègue, L. (2015). The drunk utilitarian: Blood alcohol concentration predicts utilitarian responses in moral dilemmas. Cognition, 134, 121–127."/><s v="Marcora, S. M., Staiano, W., &amp; Manning, V. (2009). Mental fatigue impairs physical performance in humans. Journal of applied physiology. https://doi.org/10.1152/japplphysiol.91324.2008."/><s v="Granow, V. C., Reinecke, L., &amp; Ziegele, M. (2018). Binge-Watching and Psychological Well-Being: Media Use Between Lack of Control and Perceived Autonomy. Communication Research Reports, 35(5), 392–401. https://doi.org/10.1080/08824096.2018.1525347"/><s v="Redden, J. P., &amp; Hoch, S. J. (2009). The presence of variety reduces perceived quantity. Journal of Consumer Research, 36(3), 406-417., Study 1"/><s v="Schaffner, B. F., &amp; Luks, S. (2018). Misinformation or expressive responding? What an inauguration crowd can tell us about the source of political misinformation in surveys. Public Opinion Quarterly, 82(1), 135–147. https://doi.org/10.1093/poq/nfx042"/><s v="Olson, M. A., &amp; Fazio, R. H. (2001). Implicit attitude formation through classical conditioning. Psychological Science, 12(5), 413-417, Study 2"/><s v="Payne BK, Brown-Iannuzzi J, Burkley M, Arbuckle NL, Cooley E, Cameron CD, Lundberg KB. Intention invention and the affect misattribution procedure: reply to Bar-Anan and Nosek (2012). Personality and Social Psychology Bulletin, 39(3), 375-86."/><s v="Vaughn, L. A. (2017b). Foundational tests of the need support model: A framework for bridging regulatory focus theory and self-determination theory. Personality and Social Psychology Bulletin, 43, 313–328. https://doi.org/10.1177/0146167216684132, Combine"/><s v="Thürmer, J. L., &amp; McCrea, S. M. (2018). Beyond motivated reasoning: Hostile reactions to critical comments from the outgroup. Motivation Science, 4(4), 333-346. https://doi.org/10.1037/mot0000097"/><s v="Ulrich, R., Prislan, L., &amp; Miller, J. (2020). A bimodal extension of the Eriksen flanker task. Attention, Perception, &amp; Psychophysics. https://doi.org/10.3758/s13414-020-02150-8, Experiment 2"/><s v="Reiter, A. M. F., Kanske, P., Eppinger, B., &amp; Li, S. C. (2017). The Aging of the Social Mind - Differential Effects on Components of Social Understanding. Scientific reports, 7(1), 11046. https://doi.org/10.1038/s41598-017-10669-4"/><s v="Reiter, A.M.F., Kanske, P., Eppinger, B. et al. The Aging of the Social Mind - Differential Effects on Components of Social Understanding. Sci Rep 7, 11046 (2017). https://doi.org/10.1038/s41598-017-10669-4"/><s v="Lambon Ralph, M.A., &amp; Ehsan, S. (2006). Age of acquisition effects depend on the mapping between representations and the frequency of occurrence: Empirical and computational evidence, Visual Cognition, 13:7-8, 928-948. https://doi.org/10.1080/135062805440"/><s v="Southgate, V., Senju, A., &amp; Csibra, G. (2007). Action anticipation through attribution of false belief by 2-year-olds. Psychological science, 18(7), 587-592."/><s v="Blackwell, L. S., Trzesniewski, K. H., &amp; Dweck, C. S. (2007). Implicit theories of intelligence predict achievement across an adolescent transition: A longitudinal study and an intervention. Child development, 78(1), 246-263. https://doi.org/10.1111/j.146"/><s v="Van Lange, P. A. M., De Bruin, E., Otten, W., &amp; Joireman, J. A. (1997). Development of prosocial, individualistic, and competitive orientations: Theory and preliminary evidence. Journal of Personality and Social Psychology, 73(4), 733–746. https://doi.org"/><s v="Nahmias, E., Morris, S. G., Nadelhoffer, T., &amp; Turner, J. (2006). Is incompatibilism intuitive? Philosophy and Phenomenological Research, 73(1), 28-53"/><s v="Knobe, J., &amp; Burra, A. (2006). The folk concepts of intention andintentional action: A cross-cultural study. Journal of Cognition and Culture, 6(1), 113-132."/><s v="Nichols, S. (2006). Folk intuitions on free will. Journal of Cognition and Culture, 6(1), 57-86."/><s v="Nadelhoffer, T. (2006). Bad acts, blameworthy agents, and intentional actions: Some problems for juror impartiality. Philosophical explorations, 9(2), 203-219."/><s v="Nichols, S., &amp; Knobe, J. (2007). Moral responsibility and determinism: The cognitive science of folk intuitions. Nous, 41(4), 663-685."/><s v="Nahmias, E., Coates, D. J., &amp; Kvaran, T. (2007). Free will, moral responsibility, and mechanism: Experiments on folk intuitions. Midwest studies in Philosophy, 31(1), 214-242."/><s v="Livengood, J., &amp; Machery, E. (2007). The folk probably don't think what you think they think: Experiments on causation by absence. Midwest Studies in Philosophy, 31(1), 107-127."/><s v="Gonnerman, C. (2008). Reading conflicted minds: An empirical follow-up to Knobe and Roedder. Philosophical Psychology, 21(2), 193-205."/><s v="Nadelhoffer, T., &amp; Feltz, A. (2008). The actor–observer bias and moral intuitions: Adding fuel to Sinnott-Armstrong’s fire. Neuroethics, 1, 133-144."/><s v="Knobe, J. (2003). Intentional action in folk psychology: An experimental investigation. Philosophical Psychology, 16(2), 309-324."/><s v="Hitchcock, C., &amp; Knobe, J. (2009). Cause and norm. The Journal of Philosophy, 106(11), 587-612."/><s v="Roxborough, C., &amp; Cumby, J. (2009). Folk psychological concepts: Causation. Philosophical Psychology, 22(2), 205-213."/><s v="Nadelhoffer, T., Kvaran, T., &amp; Nahmias, E. (2009). Temperament and intuition: A commentary on Feltz and Cokely. Consciousness and cognition, 18(1), 351-355."/><s v="De Brigard, F. (2010). If you like it, does it matter if it's real?. Philosophical Psychology, 23(1), 43-57."/><s v="Beebe, J. R., &amp; Buckwalter, W. (2010). The epistemic side‐effect effect. Mind &amp; Language, 25(4), 474-498."/><s v="Sytsma, J., &amp; Machery, E. (2010). Two conceptions of subjective experience. Philosophical studies, 151, 299-327."/><s v="Alicke, M. D., Rose, D., &amp; Bloom, D. (2011). Causation, norm violation, and culpable control. The Journal of Philosophy, 108(12), 670-696."/><s v="Reuter, K. (2011). Distinguishing the appearance from the reality of pain. Journal of Consciousness Studies, 18(9-10), 94-109."/><s v="Sarkissian, H., Park, J., Tien, D., Wright, J. C., &amp; Knobe, J. (2011). Folk moral relativism. Mind &amp; Language, 26(4), 482-505."/><s v="Machery, E., Mallon, R., Nichols, S., &amp; Stich, S. P. (2004). Semantics, cross-cultural style. Cognition, 92(3), B1-B12."/><s v="May, J., &amp; Holton, R. (2012). What in the world is weakness of will?. Philosophical Studies, 157, 341-360."/><s v="Nagel, J., San Juan, V., &amp; Mar, R. A. (2013). Lay denial of knowledge for justified true beliefs. Cognition, 129(3), 652-661."/><s v="Beebe, J. R., &amp; Shea, J. (2013). Gettierized Knobe effects. Episteme, 10(3), 219-240."/><s v="Rose, D., &amp; Nichols, S. (2013). The lesson of bypassing. Review of Philosophy and Psychology, 4, 599-619."/><s v="Murray, D., &amp; Nahmias, E. (2014). Explaining away incompatibilist intuitions. Philosophy and Phenomenological Research, 88(2), 434-467."/><s v="Grau, C., &amp; Pury, C. L. (2014). Attitudes towards reference and replaceability. Review of Philosophy and Psychology, 5(2), 155-168"/><s v="Liao, S. Y., Strohminger, N., &amp; Sripada, C. S. (2014). Empirically investigating imaginative resistance. British Journal of Aesthetics, 54(3), 339-355."/><s v="Björnsson, G., Eriksson, J., Strandberg, C., Olinder, R. F., &amp; Björklund, F. (2015). Motivational internalism and folk intuitions. Philosophical Psychology, 28(5), 715–734. "/><s v="Björnsson, G., Eriksson, J., Strandberg, C., Olinder, R. F., &amp; Björklund, F. (2015). Motivational internalism and folk intuitions. Philosophical Psychology, 28(5), 715–734."/><s v="Buckwalter, W., &amp; Schaffer, J. (2015). Knowledge, stakes, and mistakes. Noûs, 49(2), 201-234."/><s v="Knobe, J. (2004). Intention, intentional action and moral considerations. Analysis, 64(282), 181-187."/><s v="Kominsky, J. F., Phillips, J., Gerstenberg, T., Lagnado, D., &amp; Knobe, J. (2015). Causal superseding. Cognition, 137, 196-209."/><s v="Nichols, S. (2004). After objectivity: An empirical study of moral judgment. Philosophical Psychology, 17(1), 3-26. Chicago."/><s v="Nadelhoffer, T. (2004). Blame, badness, andintentional action: A reply to Knobe and Mendlow. Journal of Theoretical and Philosophical Psychology, 24, 259–269."/><s v="Nahmias, E., Morris, S., Nadelhoffer, T., and Turner, J. (2005). Surveying Freedom: Folk Intuitions About Free Will and Moral Responsibility. Philosophical Psychology, 18(5), 561-584."/><s v="McCann, H. J. (2005). Intentional action and intending: Recent empirical studies. Philosophical Psychology, 18(6), 737-748."/><s v="Nadelhoffer, T. (2005). Skill, luck, control, and intentional action. Philosophical Psychology, 18(3), 341-352."/><s v="MacDonald, D. A. (2000). Spirituality: Description, measurement, and relation to the five factor model of personality. Journal of Personality, 68, 153-197."/></sharedItems></cacheField><cacheField name="doi_o"><sharedItems containsBlank="1" containsMixedTypes="1" containsNumber="1" containsInteger="1"><s v="without URL prefix, so starting with 10.xx"/><s v="10.1111/j.1467-9280.2008.02061.x"/><s v="10.1111/j.1468-0068.2010.00795.x"/><s v="10.1016/j.obhdp.2004.12.002"/><s v="10.1007/s11858-016-0819-3"/><s v="10.1111/lang.12161"/><s v="10.4148/1944-9771.1299"/><s v="10.1037/pspi0000109"/><s v="10.1016/j.jsams.2017.06.007"/><s v="10.1017/S1355617717001059"/><s v="10.2307/25148791"/><s v="10.1016/j.jsp.2021.09.004"/><s v="10.1016/j.learninstruc.2018.05.004"/><s v="10.3102/0013189X13507104"/><s v="10.1017/S0272263114000126"/><s v="10.1037/met0000511"/><s v="10.1016/S2215-0366(21)00241-8"/><s v="10.1038/s41467-018-06785-y"/><s v="10.1016/j.ijinfomgt.2018.03.001"/><s v="10.1002/jaba.946"/><s v="10.1111/j.1467-9280.2007.01961.x"/><s v="10.1521/soco.2008.26.2.143"/><s v="10.1177/0956797613478614"/><s v="10.1016/j.jenvp.2022.101868"/><s v="10.1002/bin.1659"/><s v="10.1016/j.drugalcdep.2021.108610"/><s v="10.1002/jeab.432"/><s v="10.1016/j.paid.2021.111472"/><s v="10.1016/j.learninstruc.2018.04.006"/><s v="10.1016/j.jarmac.2021.08.001"/><s v="10.1080/23273798.2020.1810292"/><s v="10.1016/j.system.2004.01.001"/><s v="10.3138/cmlr.65.3.395"/><s v="10.1002/jeab.705"/><s v="10.1016/j.psychres.2017.09.048"/><s v="10.1177/0267658310386439"/><s v="10.1111/1467-6281.00073"/><s v="10.1037/a0025345"/><s v="10.1016/j.obhdp.2018.10.004"/><s v="thekeep.eiu.edu/theses/4783"/><m/><s v="10.1002/pam.21702"/><s v="10.18653/v1/2023.acl-long.864"/><s v="10.1080/13523260.2020.1868836"/><s v="10.18653/v1/2023.acl-long.865"/><s v="10.18653/v1/2023.acl-long.866"/><s v="10.1016/j.jpsychires.2008.07.004"/><s v="10.1162/rest.90.2.300"/><s v="10.1075/ijcl.19131.lar"/><s v="https://doi.org/10.1075/ijcl.19131.lar"/><s v="10.1017/S1366728914000273"/><s v="scholars.indianastate.eduetds--2136"/><s v="10.1075/resla.17019.loz"/><s v="10.1111/0023-8333.00112"/><s v="10.1038/s41598-024-61469-6"/><s v="https://escholarship.org/uc/item/0qf9t9pc"/><s v="10.1016/j.econedurev.2005.05.008"/><s v="10.1111/j.1540-5885.2010.00778.x"/><s v="10.1089/cyber.2015.0311"/><s v="10.1037/0021-9010.77.4.419"/><s v="10.1016/j.learninstruc.2014.08.004"/><s v="10.1016/0030-5073(76)90005-2"/><s v="10.1037/a0019006"/><s v="10.1006/obhd.1994.1063"/><s v="10.1007/s10857-015-9324-9"/><s v="10.1177/1948550611432938"/><s v="10.1016/j.biopsycho.2018.08.007"/><s v="10.1145/3105726.3106182"/><s v="10.1109/TSE.2016.2527791"/><s v="10.1007/s10802-020-00712-w"/><s v="10.1086/648381"/><s v="10.1007/s40732-020-00453-8"/><s v="10.1016/j.appet.2020.104808"/><s v="10.1037/pspp0000263"/><s v="10.1177/1948550619843931"/><s v="10.1093/geront/gnac158"/><s v="10.1038/s41598-022-24919-7"/><s v="10.1038/s41598-022-24919-8"/><s v="10.1038/s41598-022-24919-9"/><s v="10.1037/lhb0000532"/><s v="10.3233/JAD-2009-1163"/><s v="10.1186/s40163-021-00141-0"/><s v="10.1177/2F10986111211035002"/><s v="10.1017/S0007123421000557"/><s v="10.1007/s11150-021-09593-4"/><s v="10.1007/s11150-021-09593-5"/><s v="10.1007/s11150-021-09593-6"/><s v="10.1007/s11150-021-09593-7"/><s v="10.1007/s11150-021-09593-8"/><s v="10.1007/s11150-021-09593-9"/><s v="10.1007/s11150-021-09593-10"/><s v="10.1007/s11150-021-09593-11"/><s v="10.1007/s11150-021-09593-12"/><s v="10.1007/s11150-021-09593-13"/><s v="10.37237/relay/010204"/><s v="10.1073/pnas.2120668119"/><s v="10.1038/s41586-022-04452-3"/><s v="10.1007/s10826-019-01370-3"/><s v="10.1002/jaba.968"/><s v="10.1073/pnas.2 015539118"/><s v="10.3758/BF03211160"/><s v="10.1075/jslp.22013.tel"/><s v="10.1080/10496491.2022.2108189"/><s v="10.1111/psyp.12132"/><s v="10.1002/smj.201"/><s v="10.1177/2167702614545216"/><s v="10.1016/j.cortex.2014.02.013"/><s v="10.51548/joctec-2021-016"/><s v="10.3982/ECTA12807"/><s v="10.1111/j.1467-9280.2006.01721.x"/><s v="10.1073/pnas.2218961120"/><s v="10.1016/j.cub.2004.01.029"/><s v="10.1016/j.neuroimage.2006.11.048"/><s v="10.1038/nature03390"/><s v="10.1177/0093650215609676"/><s v="10.1177/0956797619879441"/><s v="10.1037/xge0000263"/><s v="10.1177/0956797618813092"/><s v="10.1177/1747021817744546"/><s v="10.1177/0956797618780643"/><s v="10.1073/pnas.1523698113"/><s v="10.1162/jocn_a_00709"/><s v="10.1037/0022-3514.94.2.94.2.196"/><s v="10.1111/j.1551-6709.2011.01210.x"/><s v="10.1111/j.1467-9280.2008.02157.x"/><s v="10.3758/s13428-021-01694-3"/><s v="10.1177/0956797617728270"/><s v="10.1073/pnas.1118373109"/><s v="10.1177/0956797618818484"/><s v="10.1177/0956797615612202"/><s v="10.1177/147470491100900206"/><s v="10.1177/0956797615598739"/><s v="10.1016/j.neuropsychologia.2009.05.011"/><s v="10.1037/a0028216"/><s v="10.1145/2470654.2481281"/><s v="10.1016/j.jesp.2018.05.006"/><s v="10.1177/0956797612444613"/><s v="10.1037/0022-3514.95.2.293"/><s v="10.1037/pspi0000081"/><s v="10.1177/0956797619855382"/><s v="10.1177/0956797610397956"/><s v="10.1177/0956797617706082"/><s v="10.1523/JNEUROSCI.18-23-10105.1998"/><s v="10.1177/0956797609359908"/><s v="10.1177/0956797611434540"/><s v="10.1177/0956797614558718"/><s v="10.1523/JNEUROSCI.2377-10.2010"/><s v="10.1111/j.1467-9280.2008.02227.x"/><s v="10.1177/0956797615573516"/><s v="10.1177/1948550619849426"/><s v="10.1037/a0029649"/><s v="10.1177/0956797614563958"/><s v="10.1177/0956797616651973"/><s v="10.1177/0956797614534693"/><s v="10.1093/workar/waac024"/><s v="10.1177/0956797611418350"/><s v="10.1177/0956797612445318"/><s v="10.1177/0956797616662271"/><s v="10.1177/0956797614554955"/><s v="10.1037xge0000738"/><s v="10.1111/cogs.12176"/><s v="10.1177/0956797614559285"/><s v="10.1177/0956797616630964"/><s v="10.1126/science.148.3670.661"/><s v="10.1073/pnas.1202129109"/><s v="10.1177/0956797616667459"/><s v="10.1093/jos/ffw010"/><s v="10.1177/0956797615624492"/><s v="10.1515/ling.2011.016"/><s v="10.1177/0956797616650875"/><s v="10.1177/0956797616674999"/><s v="10.1089/cyber.2016.0530"/><s v="10.1111/1467-8284.00419"/><s v="10.1163/156853706776931222"/><s v="10.1111/cogs.12605"/><s v="10.1177/09567976221082637"/><s v="10.1126/science.1132491"/><s v="10.1177/0956797613502732"/><s v="10.1038/s41467-021-27323-3"/><s v="10.1177/0956797613508412"/><s v="10.1126/science.1250830"/><s v="10.1016/j.obhdp.2010.10.001"/><s v="10.1177/0956797615585002"/><s v="10.1177/0956797618779061"/><s v="10.1111/1467-9280.02436"/><s v="10.1177/0956797619856844"/><s v="10.1016/j.ecresq.2019.10.004"/><s v="10.1177/0956797614561266"/><s v="10.1177/0956797615617779"/><s v="10.1177/0956797618805750"/><s v="10.1177/0956797615569889"/><s v="10.1037/a0012833"/><s v="10.1177/0956797616634654"/><s v="10.1080/23273798.2018.1431397"/><s v="escholarship.orgucitem39d347bk"/><s v="10.1177/0956797615625640"/><s v="10.1177/0956797611419168"/><s v="10.1086/511799"/><s v="10.1177/0956797614527113"/><s v="10.1177/1948550612457688"/><s v="10.1162/089892900562219"/><s v="10.1111/j.1467-9280.2008.02039.x"/><s v="10.1177/0956797620927967"/><s v="10.1111/j.1551-6709.2010.01164.x"/><s v="10.1016/j.neuron.2011.02.027"/><s v="10.1016/j.neuroimage.2009.09.024"/><s v="djärv_2018"/><s v="10.1037/rev0000175"/><s v="10.1177/0956797616669947"/><s v="10.1073/pnas.0908963106"/><s v="10.1037/0022-3514.94.3.495"/><s v="10.1177/0956797612449177"/><s v="10.1037/0022-3514.94.2.94.2.231"/><s v="10.1177/0956797615588195"/><s v="10.1371/journal.pone.0071475"/><s v="10.1371/journal.pone.0154854"/><s v="10.1038/nn.2889"/><s v="10.1177/0146167214524992"/><s v="10.1177/0001839219840022"/><s v="10.1016/j.jesp.2020.104019"/><s v="10.1073/pnas.1216438110"/><s v="10.1016/0010-0285(83)90002-6"/><s v="10.1037/a0035663"/><s v="10.1093/geronb/gbx099"/><s v="10.1111/j.1551-6709.2010.01161.x"/><s v="10.1126/science.1134475"/><s v="10.1037/a0031047"/><s v="10.1177/0956797615608267"/><s v="10.1016/j.cognition.2007.11.004"/><s v="10.1111/j.1467-9280.2006.01780.x"/><s v="10.1177/0956797616639727"/><s v="10.1038/s41598-018-30314-y"/><s v="10.1073/pnas.2009030117"/><s v="10.1037/0022-3514.94.3.396 (1)"/><s v="10.1037/0022-3514.94.3.396"/><s v="10.1016/j.visres.2005.04.013"/><s v="10.1016/j.jesp.2020.104080"/><s v="10.1016/j.cognition.2016.06.011"/><s v="10.1177/0956797613494853"/><s v="10.1177/0956797616640705"/><s v="10.1111/ecin.12470"/><s v="10.1145/3290605.3300469"/><s v="10.1037/xge0001195"/><s v="10.1016/j.jml.2006.02.004"/><s v="10.1177/0956797616685771"/><s v="10.1177/0146167215580776"/><s v="10.1287/orsc.2021.1456"/><s v="10.1016/s0010-0277(03)00064-7"/><s v="10.1037/0022-3514.77.4.785"/><s v="10.1177/0956797614536739"/><s v="10.1177/0956797614553009"/><s v="10.1037/a0020413"/><s v="10.1016/j.cognition.2019.104157"/><s v="10.1177/0956797618760784"/><s v="10.1126/science.1190792"/><s v="10.1037/0096-3445.132.1.3"/><s v="10.1111/j.1467-9280.2007.01909.x"/><s v="10.1177/0956797614563108"/><s v="10.1111/j.1467-9280.2008.02040.x"/><s v="10.1073/pnas.2014505117"/><s v="10.1177/0956797615572231"/><s v="10.1038/s41598-019-57204-1"/><s v="10.1037/a0016795"/><s v="10.1177/0956797618788882"/><s v="10.1177/0956797614547705"/><s v="10.1177/0956797611428079"/><s v="10.1177/0956797617705399"/><s v="10.1016/j.cognition.2017.06.025"/><s v="10.1177/0956797619854706"/><s v="10.1177/0146167207309195"/><s v="10.1126/science.1238041"/><s v="10.1037/a0032108"/><s v="10.1145/3173574.3174188"/><s v="10.1287/mnsc.2019.3362"/><s v="10.1177/0956797618806296"/><s v="10.1037/0022-3514.95.1.76"/><s v="10.1037/0278-7393.34.1.146"/><s v="10.1257/aer.101.2.470"/><s v="10.1257/aer.103.4.1325"/><s v="10.1257/aer.102.1.337"/><s v="10.1257/aer.102.2.720"/><s v="10.1257/aer.101.2.819"/><s v="10.1257/aer.101.7.3109"/><s v="10.1257/aer.102.5.2018"/><s v="10.1257/aer.102.2.865"/><s v="10.1257/aer.101.2.927"/><s v="10.1093/qje/qjt035"/><s v="10.1257/aer.102.7.3317"/><s v="10.1257/aer.102.2.834"/><s v="10.1257/aer.101.4.1211"/><s v="10.1257/aer.101.6.2562"/><s v="10.1257/aer.104.11.3434"/><s v="10.1257/aer.104.6.1735"/><s v="10.1257/aer.101.2.526"/><s v="10.1093/qje/qjr034"/><s v="10.1126/science.1189993"/><s v="10.1126/science.1199327"/><s v="10.1126/science.1239918"/><s v="10.1126/science.1186799"/><s v="10.1126/science.1195701"/><s v="10.1038/nature15392"/><s v="10.1126/science.1191465"/><s v="10.1126/science.1199427"/><s v="10.1038/nature11467"/><s v="10.1126/science.1222426"/><s v="10.1126/science.1224313"/><s v="10.1126/science.1207745"/><s v="10.1126/science.1211180"/><s v="10.1038/nature12774"/><s v="10.1126/science.1221936"/><s v="10.1126/science.1215647"/><s v="10.1126/science.1253932"/><s v="10.1038/nature13530"/><s v="10.1126/science.1183532"/><s v="10.1037/0022-3514.77.2.221"/><s v="10.1037/0022-3514.92.2.325"/><s v="10.1016/j.jtbi.2005.02.010"/><s v="10.1177/0956797609358096"/><s v="10.1037/0022-3514.74.3.774"/><s v="10.1037/0022-3514.85.1.33"/><s v="10.1037/0096-3445.136.2.241"/><s v="10.1111/j.1467-9280.2007.02004.x"/><s v="10.1086/268936"/><s v="10.1037/0022-3514.71.2.230"/><s v="10.1037/1089-2699.6.1.101"/><s v="10.1037/0022-3514.83.1.44"/><s v="10.1037/a0027598"/><s v="10.1126/science.7455683"/><s v="10.1017/s1930297500001170"/><s v="10.1016/j.jesp.2004.07.001"/><s v="10.1126/science.1130726"/><s v="10.1177/01461672952111004"/><s v="10.1037/0022-3514.94.1.48"/><s v="10.1177/0956797610383437"/><s v="10.1037/a0021524"/><s v="10.1111/j.1467-9280.2009.02426.x"/><s v="10.1027/1864-9335/a000147"/><s v="10.1037/0022-3514.45.4.805"/><s v="10.1016/j.jesp.2011.11.012"/><s v="10.1037/0022-3514.82.5.792"/><s v="10.1037/a0023527"/><s v="10.1037/h0054651"/><s v="10.1016/s0010-0277(99)00073-6"/><s v="10.1016/0010-0285(73)90033-9"/><s v="10.1111/j.1467-9280.2006.01824.x"/><s v="10.1177/0956797611435919"/><s v="10.1037/a0029288"/><s v="10.1016/j.jesp.2010.05.014"/><s v="10.1016/j.jesp.2009.03.009"/><s v="10.1093/jcr/ucaa019"/><s v="10.1093/jcr/ucy082"/><s v="10.1093/jcr/ucz022"/><s v="10.1093/jcr/ucy055"/><s v="10.1093/jcr/ucaa006"/><s v="10.1037/a0019689"/><s v="10.1177/0146167215610520"/><s v="10.1111/j.1467-9280.2006.01704.x"/><s v="10.1016/j.jesp.2005.05.001"/><s v="10.1073/pnas.1519401113"/><s v="10.1073/pnas.1805327115"/><s v="10.1073/pnas.1601280113"/><s v="10.1073/pnas.1516868113"/><s v="10.1073/pnas.1706913114"/><s v="10.1073/pnas.1516047113"/><s v="10.1073/pnas.1505067112"/><s v="10.1073/pnas.1722664115"/><s v="10.1073/pnas.1620542114"/><s v="10.1073/pnas.1701916114"/><s v="10.1073/pnas.1511536112"/><s v="10.1073/pnas.1508932113"/><s v="10.1073/pnas.1606574113"/><s v="10.1073/pnas.1607330114"/><s v="10.1073/pnas.1616921114"/><s v="10.1073/pnas.1717092115"/><s v="10.1073/pnas.1610834113"/><s v="10.1073/pnas.1805284115"/><s v="10.1073/pnas.1501592112"/><s v="10.1073/pnas.1517662112"/><s v="10.1073/pnas.1707040114"/><s v="10.1073/pnas.1705238114"/><s v="10.1073/pnas.1704032114"/><s v="10.1073/pnas.1706253114"/><s v="10.1073/pnas.1707719114"/><s v="10.1073/pnas.1523586113"/><s v="10.1080/02699931.2016.1273201"/><s v="10.3389/fpsyg.2014.01276"/><s v="10.1016/j.euroecorev.2004.01.004"/><s v="10.1257/mac.20130176"/><s v="10.1002/soej.12223"/><s v="10.1257/mac.1.1.146"/><s v="10.1162/REST_a_00258"/><s v="10.1037/a0015960"/><s v="10.1086/269239"/><s v="10.1037/0022-3514.83.5.1239"/><n v="3329308.0"/><s v="10.1007/s11098-004-4510-0"/><s v="10.1111/ j.1468-0017.2006.00297.x"/><s v="10.1016/0022-1031(77)90049-X"/><s v="10.1037/a0013748"/><s v="10.1002/ejsp.2013"/><s v="10.1037/a0015141"/><s v="10.1177/0956797611429579"/><s v="10.1002/bdm.586"/><s v="10.1016/j .obhdp.2006.10.001"/><n v="9.781032633275E12"/><s v="10.1037/a0034462"/><s v="10.1037/0022-3514.73.4.733"/><s v="10.1038/nclimate2093"/><s v="10.1037/0096- 3445.136.4.569"/><s v="10.1177/0956797611434537"/><s v="10.1111/1467- 9280.00334"/><s v="10.3758/BF03197186"/><s v="10.1207/ s15516709cog2605_4"/><s v="10.1002/(SICI)1099-0771(199806)11:2%3C107::AID-BDM292%3E3.0.CO;2-Y"/><s v="10.1080/08911762.2012.744123"/><s v="10.1016/j.jcps.2010.06.007"/><s v="10.1002/jcpy.1028"/><s v="10.1093/jcr/ucv007"/><s v="10.1093/jcr/ucx066"/><s v="10.1093/jcr/ucv048"/><s v="10.1093/jcr/ucv051"/><s v="10.1093/jcr/ucw056"/><s v="10.1016/j.ijresmar.2012.03.002"/><s v="10.1093/jcr/ucx039"/><s v="10.1093/jcr/ucw008"/><s v="10.1086/383422"/><s v="10.1086/661531"/><s v="10.1093/jcr/ucv049"/><s v="10.1086/669476"/><s v="10.1509/jmr.13.0023"/><s v="10.1037/0278-7393.34.2.353"/><s v="10.1037/0278-7393.34.2.430"/><s v="10.1111/j.1467-9280.2008.02062.x"/><s v="10.1111/j.1467-9280.2008.02066.x"/><s v="10.1111/j.1467-9280.2008.02078.x"/><s v="10.1111/j.1467-9280.2008.02075.x"/><s v="10.1037/0278-7393.34.1.65"/><s v="10.1111/j.1467-9280.2008.02092.x"/><s v="10.1111/j.1467-9280.2008.02057.x"/><s v="10.1111/j.1467-9280.2008.02041.x"/><s v="10.1111/j.1467-9280.2008.02089.x"/><s v="10.1111/j.1467-9280.2008.02043.x"/><s v="10.1111/j.1467-9280.2008.02069.x"/><s v="10.1111/j.1467-9280.2008.02136.x"/><s v="10.1111/j.1467-9280.2008.02046.x"/><s v="10.1111/j.1467-9280.2008.02077.x"/><s v="10.1037/0278-7393.34.1.243"/><s v="10.1111/j.1467-9280.2008.02053.x"/><s v="10.1111/j.1467-9280.2008.02091.x"/><s v="10.1111/j.1467-9280.2008.02098.x"/><s v="10.1111/j.1467-9280.2008.02058.x"/><s v="10.1111/j.1467-9280.2008.02036.x"/><s v="10.1111/j.1467-9280.2008.02080.x"/><s v="10.1111/j.1467-9280.2008.02052.x"/><s v="10.1037/0278-7393.34.3.546"/><s v="10.1111/j.1467-9280.2008.02072.x"/><s v="10.1111/j.1467-9280.2008.02064.x"/><s v="10.1111/j.1467-9280.2008.02095.x"/><s v="10.1111/j.1467-9280.2008.02076.x"/><s v="10.1111/j.1467-9280.2008.02045.x"/><s v="10.1111/j.1467-9280.2008.02050.x"/><s v="10.1111/j.1467-9280.2008.02084.x"/><s v="10.1111/j.1467-9280.2008.02088.x"/><s v="10.1111/j.1467-9280.2008.02056.x"/><s v="10.1111/j.1467-9280.2008.02100.x"/><s v="10.1111/j.1467-9280.2008.02070.x"/><s v="10.1111/j.1467-9280.2008.02060.x"/><s v="10.1037/0278-7393.34.3.514"/><s v="10.1111/j.1467-9280.2008.02044.x"/><s v="10.1111/j.1467-9280.2008.02049.x"/><s v="10.1111/j.1467-9280.2008.02085.x"/><s v="10.1111/j.1467-9280.2008.02093.x"/><s v="10.1111/j.1467-9280.2008.02042.x"/><s v="10.1111/j.1467-9280.2008.02081.x"/><s v="10.1111/j.1467-9280.2008.02051.x"/><s v="10.1037/0278-7393.34.1.186"/><s v="10.1037/0278-7393.34.3.439"/><s v="10.1037/0278-7393.34.2.408"/><s v="10.1037/0278-7393.34.2.302"/><s v="10.1037/0278-7393.34.2.343"/><s v="10.1037/0278-7393.34.3.524"/><s v="10.1037/0278-7393.34.1.50"/><s v="10.1037/0278-7393.34.3.495"/><s v="10.1037/0278-7393.34.1.249"/><s v="10.1037/0278-7393.34.2.399"/><s v="10.1037/0278-7393.34.3.478"/><s v="10.1037/0278-7393.34.1.204"/><s v="10.1037/0278-7393.34.1.128"/><s v="10.1037/0278-7393.34.1.80"/><s v="10.1037/0278-7393.34.2.369"/><s v="10.1037/0278-7393.34.1.167"/><s v="10.1037/0278-7393.34.1.230"/><s v="10.1037/0022-3514.94.1.16"/><s v="10.1037/0022-3514.94.4.718"/><s v="10.1037/0022-3514.94.4.696"/><s v="10.1037/0278-7393.34.1.237"/><s v="10.1037/0022-3514.94.4.560"/><s v="10.1037/0022-3514.94.3.545"/><s v="10.1037/0022-3514.94.1.1"/><s v="10.1037/0022-3514.94.4.600"/><s v="10.1037/0022-3514.95.2.420"/><s v="10.1037/0022-3514.94.4.647"/><s v="10.1037/0278-7393.34.1.97"/><s v="10.1037/0022-3514.94.1.158"/><s v="10.1037/0022-3514.94.4.579"/><s v="10.1037/0022-3514.94.3.516"/><s v="10.1037/0278-7393.34.1.219"/><s v="10.1037/0022-3514.94.4.672"/><s v="10.1037/0022-3514.94.5.871"/><s v="10.1037/0022-3514.94.2.183"/><s v="10.1037/0278-7393.34.3.460"/><s v="10.1037/0022-3514.94.1.116"/><s v="10.1111/j.1467-9280.2008.02054.x"/><s v="10.1037/0022-3514.94.3.382"/><s v="10.1037/0022-3514.94.1.91"/><s v="10.1037/0022-3514.94.2.245"/><s v="10.1037/0278-7393.34.2.257"/><s v="10.1037/0022-3514.94.3.429"/><s v="10.1037/0022-3514.95.2.274"/><s v="10.1037/0022-3514.94.4.615"/><s v="10.1086/598971"/><s v="10.1016/j.jesp.2009.06.003"/><s v="10.1177/2515245920919667"/><s v="10.1037/h0076284"/><s v="10.1016/j.cognition.2014.09.006"/><s v="10.1152/japplphysiol.91324.2008"/><s v="10.1080/08824096.2018.1525347"/><s v="10.1093/poq/nfx042"/><s v="10.1111/1467-9280.00376"/><s v="10.1177/0146167212475225"/><s v="10.1177/0146167216684132"/><s v="10.1037/mot0000097"/><s v="10.3758/s13414-020-02150-8"/><s v="10.1038/s41598-017-10669-4"/><s v="10.1080/13506280544000110"/><s v="10.1111/j.1467-9280.2007.01944.x"/><s v="10.1111/j.1467-8624.2007.00995.x"/><s v="10.1111/j.1933-1592.2006.tb00603.x"/><s v="10.1163/156853706776931385"/><s v="10.1080/13869790600641905"/><s v="10.1111/j.1468-0068.2007.00666.x"/><s v="10.1111/j.1475-4975.2007.00158.x"/><s v="10.1111/j.1475-4975.2007.00150.x"/><s v="10.1080/09515080801978777"/><s v="10.1007/s12152-008-9015-7"/><s v="10.1080/09515080307771"/><s v="10.5840/jphil20091061128"/><s v="10.1080/09515080902802769"/><s v="10.1016/j.concog.2008.11.006"/><s v="10.1080/09515080903532290"/><s v="10.1111/j.1468-0017.2010.01398.x"/><s v="10.1007/s11098-009-9439-x"/><s v="10.5840/jphil20111081238"/><s v="art00005"/><s v="10.1111/j.1468-0017.2011.01428.x"/><s v="10.1016/j.cognition.2003.10.003"/><s v="10.1007/s11098-010-9651-8"/><s v="10.1016/j.cognition.2013.02.008"/><s v="10.1017/epi.2013.23"/><s v="10.1007/s13164-013-0154-3"/><s v="10.1111/j.1933-1592.2012.00609.x"/><s v="10.1007/s13164-013-0162-3"/><s v="10.1093/aesthj/ayu027"/><s v="10.1080/09515089.2014.894431"/><s v="10.1111/nous.12017"/><s v="10.1111/j.1467-8284.2004.00481.x"/><s v="10.1016/j.cognition.2015.01.013"/><s v="10.1080/0951508042000202354"/><s v="10.1037/h0091247"/><s v="10.1080/09515080500264180"/><s v="10.1080/09515080500355236"/><s v="10.1080/09515080500177309"/><s v="10.1111/1467-6494.t01-1-00094"/></sharedItems></cacheField><cacheField name="study_o"><sharedItems containsBlank="1" containsMixedTypes="1" containsNumber="1" containsInteger="1"><s v="Number of study in paper, e.g., 1 or 2A"/><n v="1.0"/><m/><n v="2.0"/><n v="3.0"/><s v="1c"/><n v="6.0"/><s v="1, 2, 3"/><s v="n/a"/><s v="2A"/><n v="4.0"/><n v="5.0"/><s v="2b"/><s v="1 (younger adults only)"/><s v="5A"/><s v="5B"/><n v="7.0"/><s v="1a"/><s v="Supp. 4"/><s v="1b-1c"/><s v="supplement -- 3 with study 1 images"/><s v="1,5"/><n v="8.0"/><s v="replicating control condition only for 2 DVs: gist and details"/><s v="1b"/><s v="1 (laboratory experiment)"/><s v="3a"/><s v="1,3"/><s v="4b"/><n v="9.0"/><s v="Scenarios 1 &amp; 2"/><s v="1 &amp; 2"/><n v="10.0"/><s v="3 &amp; 4"/><s v="1 (3 &amp; 4)"/><s v="1a-c"/><s v="4a"/><s v="2c"/><s v="1a-1c (combined samples)"/><s v="1a-1c (combined sample)"/><s v="NA"/><s v="1+2"/></sharedItems></cacheField><cacheField name="file_o" numFmtId="0"><sharedItems><s v="file-name for O PDF - only edit if DOI is missing"/><s v="10.1111--j.1467-9280.2008.02061.x.pdf"/><s v="10.1111--j.1468-0068.2010.00795.x.pdf"/><s v="10.1016--j.obhdp.2004.12.002.pdf"/><s v="10.1007--s11858-016-0819-3.pdf"/><s v="10.1111--lang.12161.pdf"/><s v="10.4148--1944-9771.1299.pdf"/><s v="10.1037--pspi0000109.pdf"/><s v="10.1016--j.jsams.2017.06.007.pdf"/><s v="10.1017--s1355617717001059.pdf"/><s v="10.2307--25148791.pdf"/><s v="10.1016--j.jsp.2021.09.004.pdf"/><s v="10.1016--j.learninstruc.2018.05.004.pdf"/><s v="10.3102--0013189x13507104.pdf"/><s v="10.1017--s0272263114000126.pdf"/><s v="10.1037--met0000511.pdf"/><s v="10.1016--s2215-0366(21)00241-8.pdf"/><s v="10.1038--s41467-018-06785-y.pdf"/><s v="10.1016--j.ijinfomgt.2018.03.001.pdf"/><s v="10.1002--jaba.946.pdf"/><s v="10.1111--j.1467-9280.2007.01961.x.pdf"/><s v="10.1521--soco.2008.26.2.143.pdf"/><s v="10.1177--0956797613478614.pdf"/><s v="10.1016--j.jenvp.2022.101868.pdf"/><s v="10.1002--bin.1659.pdf"/><s v="10.1016--j.drugalcdep.2021.108610.pdf"/><s v="10.1002--jeab.432.pdf"/><s v="10.1016--j.paid.2021.111472.pdf"/><s v="10.1016--j.learninstruc.2018.04.006.pdf"/><s v="10.1016--j.jarmac.2021.08.001.pdf"/><s v="10.1080--23273798.2020.1810292.pdf"/><s v="10.1016--j.system.2004.01.001.pdf"/><s v="10.3138--cmlr.65.3.395.pdf"/><s v="10.1002--jeab.705.pdf"/><s v="10.1016--j.psychres.2017.09.048.pdf"/><s v="10.1177--0267658310386439.pdf"/><s v="10.1111--1467-6281.00073.pdf"/><s v="10.1037--a0025345.pdf"/><s v="10.1016--j.obhdp.2018.10.004.pdf"/><s v="thekeep.eiu.edu--theses--4783.pdf"/><s v="10.1002--pam.21702.pdf"/><s v="10.18653--v1--2023.acl-long.864.pdf"/><s v="10.1080--13523260.2020.1868836.pdf"/><s v="10.1016--j.jpsychires.2008.07.004.pdf"/><s v="10.1162--rest.90.2.300.pdf"/><s v="10.1075--ijcl.19131.lar.pdf"/><s v="10.1017--s1366728914000273.pdf"/><s v="scholars.indianastate.eduetds--2136.pdf"/><s v="10.1075--resla.17019.loz.pdf"/><s v="10.1111--0023-8333.00112.pdf"/><s v="10.1038--s41598-024-61469-6.pdf"/><s v="escholarship.org--uc--item--0qf9t9pc.pdf"/><s v="Brooke, J. H. (1991). Science and religion-Some historical perspectives.pdf"/><s v="10.1016--j.econedurev.2005.05.008.pdf"/><s v="10.1111--j.1540-5885.2010.00778.x.pdf"/><s v="10.1089--cyber.2015.0311.pdf"/><s v="10.1037--0021-9010.77.4.419.pdf"/><s v="10.1016--j.learninstruc.2014.08.004.pdf"/><s v="10.1016--0030-5073(76)90005-2.pdf"/><s v="10.1037--a0019006.pdf"/><s v="10.1006--obhd.1994.1063.pdf"/><s v="10.1007--s10857-015-9324-9.pdf"/><s v="10.1177--1948550611432938.pdf"/><s v="10.1016--j.biopsycho.2018.08.007.pdf"/><s v="10.1145--3105726.3106182.pdf"/><s v="10.1109--tse.2016.2527791.pdf"/><s v="10.1007--s10802-020-00712-w.pdf"/><s v="10.1086--648381.pdf"/><s v="10.1007--s40732-020-00432-8.pdf"/><s v="10.1016--j.appet.2020.104808.pdf"/><s v="10.1037--pspp0000263.pdf"/><s v="10.1177--1948550619843931.pdf"/><s v="10.1093--geront--gnac158.pdf"/><s v="10.1038--s41598-022-24919-7.pdf"/><s v="10.1037--lhb0000532.pdf"/><s v="10.3233--jad-2009-1163.pdf"/><s v="10.1186--s40163-021-00141-0.pdf"/><s v="10.1177--2f10986111211035002.pdf"/><s v="10.1017--s0007123421000557.pdf"/><s v="10.1007--s11150-021-09593-4.pdf"/><s v="10.37237--relay--010204.pdf"/><s v="10.1073--pnas.212066811.pdf"/><s v="10.1038--s41586-022-04452-3.pdf"/><s v="10.1007--s10826-019-01370-3.pdf"/><s v="10.1002--jaba.968.pdf"/><s v="10.1073--pnas.2 015539118.pdf"/><s v="10.3758--bf03211160.pdf"/><s v="10.1075--jslp.22013.tel.pdf"/><s v="10.1080--10496491.2022.2108189.pdf"/><s v="10.1111--psyp.12132.pdf"/><s v="10.1002--smj.201.pdf"/><s v="10.1177--2167702614545216.pdf"/><s v="10.1016--j.cortex.2014.02.013.pdf"/><s v="10.51548--joctec-2021-016.pdf"/><s v="10.3982--ecta12807.pdf"/><s v="10.1111--j.1467-9280.2006.01721.x.pdf"/><s v="10.1073--pnas.2218961120.pdf"/><s v="10.1016--j.cub.2004.01.029.pdf"/><s v="10.1016--j.neuroimage.2006.11.048.pdf"/><s v="10.1038--nature03390.pdf"/><s v="10.1177--0093650215609676.pdf"/><s v="10.1177--0956797619879441.pdf"/><s v="10.1037--xge0000263.pdf"/><s v="10.1177--0956797618813092.pdf"/><s v="10.1177--1747021817744546.pdf"/><s v="10.1177--0956797618780643.pdf"/><s v="10.1073--pnas.1523698113.pdf"/><s v="10.1162--jocn_a_00709.pdf"/><s v="10.1037--0022-3514.94.2.94.2.196.pdf"/><s v="10.1111--j.1551-6709.2011.01210.x.pdf"/><s v="10.1111--j.1467-9280.2008.02157.x.pdf"/><s v="10.3758--s13428-021-01694-3.pdf"/><s v="10.1177--0956797617728270.pdf"/><s v="10.1073--pnas.1118373109.pdf"/><s v="10.1177--0956797618818484.pdf"/><s v="10.1177--0956797615612202.pdf"/><s v="10.1177--147470491100900206.pdf"/><s v="10.1177--0956797615598739.pdf"/><s v="10.1016--j.neuropsychologia.2009.05.011.pdf"/><s v="10.1037--a0028216.pdf"/><s v="10.1145--2470654.2481281.pdf"/><s v="10.1016--j.jesp.2018.05.006.pdf"/><s v="10.1177--0956797612444613.pdf"/><s v="10.1037--0022-3514.95.2.293.pdf"/><s v="10.1037--pspi0000081.pdf"/><s v="10.1177--0956797619855382.pdf"/><s v="10.1177--0956797610397956.pdf"/><s v="10.1177--0956797617706082.pdf"/><s v="10.1523--jneurosci.18-23-10105.1998.pdf"/><s v="10.1177--0956797609359908.pdf"/><s v="10.1177--0956797611434540.pdf"/><s v="10.1177--0956797614558718.pdf"/><s v="10.1523--jneurosci.2377-10.2010.pdf"/><s v="10.1111--j.1467-9280.2008.02227.x.pdf"/><s v="10.1177--0956797615573516.pdf"/><s v="10.1177--1948550619849426.pdf"/><s v="10.1037--a0029649.pdf"/><s v="10.1177--0956797614563958.pdf"/><s v="10.1177--0956797616651973.pdf"/><s v="10.1177--0956797614534693.pdf"/><s v="10.1093--workar--waac024.pdf"/><s v="10.1177--0956797611418350.pdf"/><s v="10.1177--0956797612445318.pdf"/><s v="10.1177--0956797616662271.pdf"/><s v="10.1177--0956797614554955.pdf"/><s v="10.1037xge0000738.pdf"/><s v="10.1111--cogs.12176.pdf"/><s v="10.1177--0956797614559285.pdf"/><s v="10.1177--0956797616630964.pdf"/><s v="10.1126--science.148.3670.661.pdf"/><s v="10.1073--pnas.1202129109.pdf"/><s v="10.1177--0956797616667459.pdf"/><s v="10.1093--jos--ffw010.pdf"/><s v="10.1177--0956797615624492.pdf"/><s v="10.1515--ling.2011.016.pdf"/><s v="10.1177--0956797616650875.pdf"/><s v="10.1177--0956797616674999.pdf"/><s v="10.1089--cyber.2016.0530.pdf"/><s v="10.1111--1467-8284.00419.pdf"/><s v="10.1163--156853706776931222.pdf"/><s v="10.1111--cogs.12605.pdf"/><s v="10.1177--09567976221082637.pdf"/><s v="10.1126--science.1132491.pdf"/><s v="10.1177--0956797613502732.pdf"/><s v="10.1038--s41467-021-27323-3.pdf"/><s v="10.1177--0956797613508412.pdf"/><s v="10.1126--science.1250830.pdf"/><s v="10.1016--j.obhdp.2010.10.001.pdf"/><s v="10.1177--0956797615585002.pdf"/><s v="10.1177--0956797618779061.pdf"/><s v="10.1111--1467-9280.02436.pdf"/><s v="10.1177--0956797619856844.pdf"/><s v="10.1016--j.ecresq.2019.10.004.pdf"/><s v="10.1177--0956797614561266.pdf"/><s v="10.1177--0956797615617779.pdf"/><s v="10.1177--0956797618805750.pdf"/><s v="10.1177--0956797615569889.pdf"/><s v="10.1037--a0012833.pdf"/><s v="10.1177--0956797616634654.pdf"/><s v="10.1080--23273798.2018.1431397.pdf"/><s v="escholarship.orgucitem39d347bk.pdf"/><s v="10.1177--0956797615625640.pdf"/><s v="10.1177--0956797611419168.pdf"/><s v="10.1086--511799.pdf"/><s v="10.1177--0956797614527113.pdf"/><s v="10.1177--1948550612457688.pdf"/><s v="10.1162--089892900562219.pdf"/><s v="10.1111--j.1467-9280.2008.02039.x.pdf"/><s v="10.1177--0956797620927967.pdf"/><s v="10.1111--j.1551-6709.2010.01164.x.pdf"/><s v="10.1016--j.neuron.2011.02.027.pdf"/><s v="10.1016--j.neuroimage.2009.09.024.pdf"/><s v="djärv_2018.pdf"/><s v="10.1037--rev0000175.pdf"/><s v="10.1177--0956797616669947.pdf"/><s v="10.1073--pnas.0908963106.pdf"/><s v="10.1037--0022-3514.94.3.495.pdf"/><s v="10.1177--0956797612449177.pdf"/><s v="10.1037--0022-3514.94.2.94.2.231.pdf"/><s v="10.1177--0956797615588195.pdf"/><s v="10.1371--journal.pone.0071475.pdf"/><s v="10.1371--journal.pone.0154854.pdf"/><s v="10.1038--nn.2889.pdf"/><s v="10.1177--0146167214524992.pdf"/><s v="10.1177--0001839219840022.pdf"/><s v="10.1016--j.jesp.2020.104019.pdf"/><s v="10.1073--pnas.1216438110.pdf"/><s v="10.1016--0010-0285(83)90002-6.pdf"/><s v="10.1037--a0035663.pdf"/><s v="10.1093--geronb--gbx099.pdf"/><s v="10.1111--j.1551-6709.2010.01161.x.pdf"/><s v="10.1126--science.1134475.pdf"/><s v="10.1037--a0031047.pdf"/><s v="10.1177--0956797615608267.pdf"/><s v="10.1016--j.cognition.2007.11.004.pdf"/><s v="10.1111--j.1467-9280.2006.01780.x.pdf"/><s v="10.1177--0956797616639727.pdf"/><s v="10.1038--s41598-018-30314-y.pdf"/><s v="10.1073--pnas.2009030117.pdf"/><s v="10.1037--0022-3514.94.3.396 (1).pdf"/><s v="10.1037--0022-3514.94.3.396.pdf"/><s v="10.1016--j.visres.2005.04.013.pdf"/><s v="10.1016--j.jesp.2020.104080.pdf"/><s v="10.1016--j.cognition.2016.06.011.pdf"/><s v="10.1177--0956797613494853.pdf"/><s v="10.1177--0956797616640705.pdf"/><s v="10.1111--ecin.12470.pdf"/><s v="10.1145--3290605.3300469.pdf"/><s v="10.1037--xge0001195.pdf"/><s v="10.1016--j.jml.2006.02.004.pdf"/><s v="10.1177--0956797616685771.pdf"/><s v="10.1177--0146167215580776.pdf"/><s v="10.1287--orsc.2021.1456.pdf"/><s v="10.1016--s0010-0277(03)00064-7.pdf"/><s v="10.1037--0022-3514.77.4.785.pdf"/><s v="10.1177--0956797614536739.pdf"/><s v="10.1177--0956797614553009.pdf"/><s v="10.1037--a0020413.pdf"/><s v="10.1016--j.cognition.2019.104157.pdf"/><s v="10.1177--0956797618760784.pdf"/><s v="10.1126--science.1190792.pdf"/><s v="10.1037--0096-3445.132.1.3.pdf"/><s v="10.1111--j.1467-9280.2007.01909.x.pdf"/><s v="10.1177--0956797614563108.pdf"/><s v="10.1111--j.1467-9280.2008.02040.x.pdf"/><s v="10.1073--pnas.2014505117.pdf"/><s v="10.1177--0956797615572231.pdf"/><s v="10.1038--s41598-019-57204-1.pdf"/><s v="10.1037--a0016795.pdf"/><s v="10.1177--0956797618788882.pdf"/><s v="10.1177--0956797614547705.pdf"/><s v="10.1177--0956797611428079.pdf"/><s v="10.1177--0956797617705399.pdf"/><s v="10.1016--j.cognition.2017.06.025.pdf"/><s v="10.1177--0956797619854706.pdf"/><s v="10.1177--0146167207309195.pdf"/><s v="10.1126--science.1238041.pdf"/><s v="10.1037--a0032108.pdf"/><s v="10.1145--3173574.3174188.pdf"/><s v="10.1287--mnsc.2019.3362.pdf"/><s v="10.1177--0956797618806296.pdf"/><s v="10.1037--0022-3514.95.1.76.pdf"/><s v="10.1037--0278-7393.34.1.146.pdf"/><s v="10.1257--aer.101.2.470.pdf"/><s v="10.1257--aer.103.4.1325.pdf"/><s v="10.1257--aer.102.1.337.pdf"/><s v="10.1257--aer.102.2.720.pdf"/><s v="10.1257--aer.101.2.819.pdf"/><s v="10.1257--aer.101.7.3109.pdf"/><s v="10.1257--aer.102.5.2018.pdf"/><s v="10.1257--aer.102.2.865.pdf"/><s v="10.1257--aer.101.2.927.pdf"/><s v="10.1093--qje--qjt035.pdf"/><s v="10.1257--aer.102.7.3317.pdf"/><s v="10.1257--aer.102.2.834.pdf"/><s v="10.1257--aer.101.4.1211.pdf"/><s v="10.1257--aer.101.6.2562.pdf"/><s v="10.1257--aer.104.11.3434.pdf"/><s v="10.1257--aer.104.6.1735.pdf"/><s v="10.1257--aer.101.2.526.pdf"/><s v="10.1093--qje--qjr034.pdf"/><s v="10.1126--science.1189993.pdf"/><s v="10.1126--science.1199327.pdf"/><s v="10.1126--science.1239918.pdf"/><s v="10.1126--science.1186799.pdf"/><s v="10.1126--science.1195701.pdf"/><s v="10.1038--nature15392.pdf"/><s v="10.1126--science.1191465.pdf"/><s v="10.1126--science.1199427.pdf"/><s v="10.1038--nature11467.pdf"/><s v="10.1126--science.1222426.pdf"/><s v="10.1126--science.1224313.pdf"/><s v="10.1126--science.1207745.pdf"/><s v="10.1126--science.1211180.pdf"/><s v="10.1038--nature12774.pdf"/><s v="10.1126--science.1221936.pdf"/><s v="10.1126--science.1215647.pdf"/><s v="10.1126--science.1253932.pdf"/><s v="10.1038--nature13530.pdf"/><s v="10.1126--science.1183532.pdf"/><s v="10.1037--0022-3514.77.2.221.pdf"/><s v="10.1037--0022-3514.92.2.325.pdf"/><s v="10.1177--0956797609358096.pdf"/><s v="10.1037--0022-3514.74.3.774.pdf"/><s v="10.1037--0022-3514.85.1.33.pdf"/><s v="10.1037--0096-3445.136.2.241.pdf"/><s v="10.1111--j.1467-9280.2007.02004.x.pdf"/><s v="10.1086--268936.pdf"/><s v="10.1037--0022-3514.71.2.230.pdf"/><s v="10.1037--1089-2699.6.1.101.pdf"/><s v="10.1037--0022-3514.83.1.44.pdf"/><s v="10.1037--a0027598.pdf"/><s v="10.1126--science.7455683.pdf"/><s v="10.1017--s1930297500001170.pdf"/><s v="10.1016--j.jesp.2004.07.001.pdf"/><s v="10.1126--science.1130726.pdf"/><s v="10.1177--01461672952111004.pdf"/><s v="10.1037--0022-3514.94.1.48.pdf"/><s v="10.1177--0956797610383437.pdf"/><s v="10.1037--a0021524.pdf"/><s v="10.1111--j.1467-9280.2009.02426.x.pdf"/><s v="10.1027--1864-9335--a000147.pdf"/><s v="10.1037--0022-3514.45.4.805.pdf"/><s v="10.1016--j.jesp.2011.11.012.pdf"/><s v="10.1037--0022-3514.82.5.792.pdf"/><s v="10.1037--a0023527.pdf"/><s v="10.1037--h0054651.pdf"/><s v="10.1016--s0010-0277(99)00073-6.pdf"/><s v="10.1016--0010-0285(73)90033-9.pdf"/><s v="10.1111--j.1467-9280.2006.01824.x.pdf"/><s v="10.1177--0956797611435919.pdf"/><s v="10.1037--a0029288.pdf"/><s v="10.1016--j.jesp.2010.05.014.pdf"/><s v="10.1016--j.jesp.2009.03.009.pdf"/><s v="10.1093--jcr--ucaa019.pdf"/><s v="10.1093--jcr--ucy082.pdf"/><s v="10.1093--jcr--ucz022.pdf"/><s v="10.1093--jcr--ucy055.pdf"/><s v="10.1093--jcr--ucaa006.pdf"/><s v="10.1037--a0019689.pdf"/><s v="10.1177--0146167215610520.pdf"/><s v="10.1111--j.1467-9280.2006.01704.x.pdf"/><s v="10.1016--j.jesp.2005.05.001.pdf"/><s v="10.1073--pnas.1519401113.pdf"/><s v="10.1073--pnas.1805327115.pdf"/><s v="10.1073--pnas.1601280113.pdf"/><s v="10.1073--pnas.1516868113.pdf"/><s v="10.1073--pnas.1706913114.pdf"/><s v="10.1073--pnas.1516047113.pdf"/><s v="10.1073--pnas.1505067112.pdf"/><s v="10.1073--pnas.1722664115.pdf"/><s v="10.1073--pnas.1620542114.pdf"/><s v="10.1073--pnas.1701916114.pdf"/><s v="10.1073--pnas.1511536112.pdf"/><s v="10.1073--pnas.1508932113.pdf"/><s v="10.1073--pnas.1606574113.pdf"/><s v="10.1073--pnas.1607330114.pdf"/><s v="10.1073--pnas.1616921114.pdf"/><s v="10.1073--pnas.1717092115.pdf"/><s v="10.1073--pnas.1610834113.pdf"/><s v="10.1073--pnas.1805284115.pdf"/><s v="10.1073--pnas.1501592112.pdf"/><s v="10.1073--pnas.1517662112.pdf"/><s v="10.1073--pnas.1707040114.pdf"/><s v="10.1073--pnas.1705238114.pdf"/><s v="10.1073--pnas.1704032114.pdf"/><s v="10.1073--pnas.1706253114.pdf"/><s v="10.1073--pnas.1707719114.pdf"/><s v="10.1073--pnas.1523586113.pdf"/><s v="10.1080--02699931.2016.1273201.pdf"/><s v="10.3389--fpsyg.2014.01276.pdf"/><s v="10.1016--j.euroecorev.2004.01.004.pdf"/><s v="10.1257--mac.20130176.pdf"/><s v="10.1002--soej.12223.pdf"/><s v="10.1257--mac.1.1.146.pdf"/><s v="10.1162--rest_a_00258.pdf"/><s v="10.1037--a0015960.pdf"/><s v="10.1086--269239.pdf"/><s v="10.1037--0022-3514.83.5.1239.pdf"/><s v="3329308.pdf"/><s v="10.1007--s11098-004-4510-0.pdf"/><s v="10.1111-- j.1468-0017.2006.00297.x.pdf"/><s v="10.1016--0022-1031(77)90049-x.pdf"/><s v="10.1037--a0013748.pdf"/><s v="10.1002--ejsp.2013.pdf"/><s v="10.1037--a0015141.pdf"/><s v="10.1177--0956797611429579.pdf"/><s v="10.1002--bdm.586.pdf"/><s v="10.1016--j .obhdp.2006.10.001.pdf"/><s v="9781032633275.pdf"/><s v="10.1037--a0034462.pdf"/><s v="10.1037--0022-3514.73.4.733.pdf"/><s v="10.1038--nclimate2093.pdf"/><s v="10.1037--0096- 3445.136.4.569.pdf"/><s v="10.1177--0956797611434537.pdf"/><s v="10.1111--1467- 9280.00334.pdf"/><s v="10.3758--bf03197186.pdf"/><s v="10.1207-- s15516709cog2605_4.pdf"/><s v="10.1002--(sici)1099-0771(199806)11_2_3c107_aid-bdm292_3e3.0.co_2-y.pdf"/><s v="10.1002--(sici)1099-0771(199806)11:2%3c107::aid-bdm292%3e3.0.co;2-y.pdf"/><s v="10.1080--08911762.2012.744123.pdf"/><s v="10.1016--j.jcps.2010.06.007.pdf"/><s v="10.1002--jcpy.1028.pdf"/><s v="10.1093--jcr--ucv007.pdf"/><s v="10.1093--jcr--ucx066.pdf"/><s v="10.1093--jcr--ucv048.pdf"/><s v="10.1093--jcr--ucv051.pdf"/><s v="10.1093--jcr--ucw056.pdf"/><s v="10.1016--j.ijresmar.2012.03.002.pdf"/><s v="10.1093--jcr--ucx039.pdf"/><s v="10.1093--jcr--ucw008.pdf"/><s v="10.1086--383422.pdf"/><s v="10.1086--661531.pdf"/><s v="10.1093--jcr--ucv049.pdf"/><s v="10.1086--669476.pdf"/><s v="10.1509--jmr.13.0023.pdf"/><s v="10.1037--0278-7393.34.2.353.pdf"/><s v="10.1037--0278-7393.34.2.430.pdf"/><s v="10.1111--j.1467-9280.2008.02062.x.pdf"/><s v="10.1111--j.1467-9280.2008.02066.x.pdf"/><s v="10.1111--j.1467-9280.2008.02078.x.pdf"/><s v="10.1111--j.1467-9280.2008.02075.x.pdf"/><s v="10.1037--0278-7393.34.1.65.pdf"/><s v="10.1111--j.1467-9280.2008.02092.x.pdf"/><s v="10.1111--j.1467-9280.2008.02057.x.pdf"/><s v="10.1111--j.1467-9280.2008.02041.x.pdf"/><s v="10.1111--j.1467-9280.2008.02089.x.pdf"/><s v="10.1111--j.1467-9280.2008.02043.x.pdf"/><s v="10.1111--j.1467-9280.2008.02069.x.pdf"/><s v="10.1111--j.1467-9280.2008.02136.x.pdf"/><s v="10.1111--j.1467-9280.2008.02046.x.pdf"/><s v="10.1111--j.1467-9280.2008.02077.x.pdf"/><s v="10.1037--0278-7393.34.1.243.pdf"/><s v="10.1111--j.1467-9280.2008.02053.x.pdf"/><s v="10.1111--j.1467-9280.2008.02091.x.pdf"/><s v="10.1111--j.1467-9280.2008.02098.x.pdf"/><s v="10.1111--j.1467-9280.2008.02058.x.pdf"/><s v="10.1111--j.1467-9280.2008.02036.x.pdf"/><s v="10.1111--j.1467-9280.2008.02080.x.pdf"/><s v="10.1111--j.1467-9280.2008.02052.x.pdf"/><s v="10.1037--0278-7393.34.3.546.pdf"/><s v="10.1111--j.1467-9280.2008.02072.x.pdf"/><s v="10.1111--j.1467-9280.2008.02064.x.pdf"/><s v="10.1111--j.1467-9280.2008.02095.x.pdf"/><s v="10.1111--j.1467-9280.2008.02076.x.pdf"/><s v="10.1111--j.1467-9280.2008.02045.x.pdf"/><s v="10.1111--j.1467-9280.2008.02050.x.pdf"/><s v="10.1111--j.1467-9280.2008.02084.x.pdf"/><s v="10.1111--j.1467-9280.2008.02088.x.pdf"/><s v="10.1111--j.1467-9280.2008.02056.x.pdf"/><s v="10.1111--j.1467-9280.2008.02100.x.pdf"/><s v="10.1111--j.1467-9280.2008.02070.x.pdf"/><s v="10.1111--j.1467-9280.2008.02060.x.pdf"/><s v="10.1037--0278-7393.34.3.514.pdf"/><s v="10.1111--j.1467-9280.2008.02044.x.pdf"/><s v="10.1111--j.1467-9280.2008.02049.x.pdf"/><s v="10.1111--j.1467-9280.2008.02085.x.pdf"/><s v="10.1111--j.1467-9280.2008.02093.x.pdf"/><s v="10.1111--j.1467-9280.2008.02042.x.pdf"/><s v="10.1111--j.1467-9280.2008.02081.x.pdf"/><s v="10.1111--j.1467-9280.2008.02051.x.pdf"/><s v="10.1037--0278-7393.34.1.186.pdf"/><s v="10.1037--0278-7393.34.3.439.pdf"/><s v="10.1037--0278-7393.34.2.408.pdf"/><s v="10.1037--0278-7393.34.2.302.pdf"/><s v="10.1037--0278-7393.34.2.343.pdf"/><s v="10.1037--0278-7393.34.3.524.pdf"/><s v="10.1037--0278-7393.34.1.50.pdf"/><s v="10.1037--0278-7393.34.3.495.pdf"/><s v="10.1037--0278-7393.34.1.249.pdf"/><s v="10.1037--0278-7393.34.2.399.pdf"/><s v="10.1037--0278-7393.34.3.478.pdf"/><s v="10.1037--0278-7393.34.1.204.pdf"/><s v="10.1037--0278-7393.34.1.128.pdf"/><s v="10.1037--0278-7393.34.1.80.pdf"/><s v="10.1037--0278-7393.34.2.369.pdf"/><s v="10.1037--0278-7393.34.1.167.pdf"/><s v="10.1037--0278-7393.34.1.230.pdf"/><s v="10.1037--0022-3514.94.1.16.pdf"/><s v="10.1037--0022-3514.94.4.718.pdf"/><s v="10.1037--0022-3514.94.4.696.pdf"/><s v="10.1037--0278-7393.34.1.237.pdf"/><s v="10.1037--0022-3514.94.4.560.pdf"/><s v="10.1037--0022-3514.94.3.545.pdf"/><s v="10.1037--0022-3514.94.1.1.pdf"/><s v="10.1037--0022-3514.94.4.600.pdf"/><s v="10.1037--0022-3514.95.2.420.pdf"/><s v="10.1037--0022-3514.94.4.647.pdf"/><s v="10.1037--0278-7393.34.1.97.pdf"/><s v="10.1037--0022-3514.94.1.158.pdf"/><s v="10.1037--0022-3514.94.4.579.pdf"/><s v="10.1037--0022-3514.94.3.516.pdf"/><s v="10.1037--0278-7393.34.1.219.pdf"/><s v="10.1037--0022-3514.94.4.672.pdf"/><s v="10.1037--0022-3514.94.5.871.pdf"/><s v="10.1037--0022-3514.94.2.183.pdf"/><s v="10.1037--0278-7393.34.3.460.pdf"/><s v="10.1037--0022-3514.94.1.116.pdf"/><s v="10.1111--j.1467-9280.2008.02054.x.pdf"/><s v="10.1037--0022-3514.94.3.382.pdf"/><s v="10.1037--0022-3514.94.1.91.pdf"/><s v="10.1037--0022-3514.94.2.245.pdf"/><s v="10.1037--0278-7393.34.2.257.pdf"/><s v="10.1037--0022-3514.94.3.429.pdf"/><s v="10.1037--0022-3514.95.2.274.pdf"/><s v="10.1037--0022-3514.94.4.615.pdf"/><s v="10.1086--598971.pdf"/><s v="10.1016--j.jesp.2009.06.003.pdf"/><s v="10.1177--2515245920919667.pdf"/><s v="10.1037--h0076284.pdf"/><s v="10.1016--j.cognition.2014.09.006.pdf"/><s v="10.1152--japplphysiol.91324.2008.pdf"/><s v="10.1080--08824096.2018.1525347.pdf"/><s v="10.1093--poq--nfx042.pdf"/><s v="10.1111--1467-9280.00376.pdf"/><s v="10.1177--0146167212475225.pdf"/><s v="10.1177--0146167216684132.pdf"/><s v="10.1037--mot0000097.pdf"/><s v="10.3758--s13414-020-02150-8.pdf"/><s v="10.1038--s41598-017-10669-4.pdf"/><s v="10.1080--13506280544000110.pdf"/><s v="10.1111--j.1467-9280.2007.01944.x.pdf"/><s v="10.1111--j.1467-8624.2007.00995.x.pdf"/><s v="10.1111--j.1933-1592.2006.tb00603.x.pdf"/><s v="10.1163--156853706776931385.pdf"/><s v="10.1080--13869790600641905.pdf"/><s v="10.1111--j.1468-0068.2007.00666.x.pdf"/><s v="10.1111--j.1475-4975.2007.00158.x.pdf"/><s v="10.1111--j.1475-4975.2007.00150.x.pdf"/><s v="10.1080--09515080801978777.pdf"/><s v="10.1007--s12152-008-9015-7.pdf"/><s v="10.1080--09515080307771.pdf"/><s v="10.5840--jphil20091061128.pdf"/><s v="10.1080--09515080902802769.pdf"/><s v="10.1016--j.concog.2008.11.006.pdf"/><s v="10.1080--09515080903532290.pdf"/><s v="10.1111--j.1468-0017.2010.01398.x.pdf"/><s v="10.1007--s11098-009-9439-x.pdf"/><s v="10.5840--jphil20111081238.pdf"/><s v="art00005.pdf"/><s v="10.1111--j.1468-0017.2011.01428.x.pdf"/><s v="10.1016--j.cognition.2003.10.003.pdf"/><s v="10.1007--s11098-010-9651-8.pdf"/><s v="10.1016--j.cognition.2013.02.008.pdf"/><s v="10.1017--epi.2013.23.pdf"/><s v="10.1007--s13164-013-0154-3.pdf"/><s v="10.1111--j.1933-1592.2012.00609.x.pdf"/><s v="10.1007--s13164-013-0162-3.pdf"/><s v="10.1093--aesthj--ayu027.pdf"/><s v="10.1080--09515089.2014.894431.pdf"/><s v="10.1111--nous.12017.pdf"/><s v="10.1111--j.1467-8284.2004.00481.x.pdf"/><s v="10.1016--j.cognition.2015.01.013.pdf"/><s v="10.1080--0951508042000202354.pdf"/><s v="10.1037--h0091247.pdf"/><s v="10.1080--09515080500264180.pdf"/><s v="10.1080--09515080500355236.pdf"/><s v="10.1080--09515080500177309.pdf"/><s v="10.1111--1467-6494.t01-1-00094.pdf"/></sharedItems></cacheField><cacheField name="link_o" numFmtId="0"><sharedItems containsBlank="1"><m/><s v="https://drive.google.com/file/d/1HsW-lUSPFaIpISHQ1bNk6CKMtH3z9rau/view?usp=drivesdk"/><s v="https://drive.google.com/file/d/1O4mjB0-ZSujMTJYtaAoIsXTPuhxgEF-0/view?usp=drivesdk"/><s v="NA"/><s v="https://drive.google.com/file/d/1CZ8RmInPe2eqHwf-p8tl0IQxpn8_H_C5/view?usp=drivesdk"/><s v="https://drive.google.com/file/d/1A3A0XWewbvFp536VbiCjIAYxdIJwVP-9/view?usp=drivesdk"/><s v="https://drive.google.com/file/d/1W_KvsfbanYWBQG9nzoDuqDlzFW_jUYH2/view?usp=drivesdk"/><s v="https://drive.google.com/file/d/1OByNKNsjZqSFHFFyt-o1mPqDkVmgruBu/view?usp=drivesdk"/><s v="https://drive.google.com/file/d/1DO937F2xhbz54X6xu8qtsy63K6O9mEYa/view?usp=drivesdk"/><s v="https://drive.google.com/file/d/1bOamtHkDDCeR5rldqOBSgCXc_AFZb3yD/view?usp=drivesdk"/><s v="N/A"/><s v="https://drive.google.com/file/d/1R2VrRXYyejGfSg11kpe_vHbQr5DvYbiJ/view?usp=drivesdk"/><s v="https://drive.google.com/file/d/1RTiaFppoyqVSbs6ENCjo8xyaIVfjFhVI/view?usp=drivesdk"/><s v="https://drive.google.com/file/d/1GpQZNwn0thDz2IQRffeGzv6KDWQiKn_I/view?usp=drivesdk"/><s v="https://drive.google.com/file/d/1mMbXlq0wHwW3u94B3l_0KZ3_2GsCObmh/view?usp=drivesdk"/><s v="https://drive.google.com/file/d/1rAL0rmM0jbf9S7uX5DiL77r3bNeTGrOY/view?usp=drivesdk"/><s v="https://drive.google.com/file/d/1S1BDaMkHx3KW3osHCgZU9COckw9P0yzi/view?usp=drivesdk"/><s v="https://drive.google.com/file/d/1n-j6Aip_Ueqh39JoVXmnujoaVUR_DnRz/view?usp=drivesdk"/><s v="https://drive.google.com/file/d/15kKUsqyFArf82r6bAlXLuUVgHc1vD9sW/view?usp=drivesdk"/><s v="https://drive.google.com/file/d/1o9LFgnQOxOWMbLhy5xq59Vl4kwI6felM/view?usp=drivesdk"/><s v="https://drive.google.com/file/d/1bHfJ-3gEyIURBJhF8bZZGAbZGtPK135A/view?usp=drivesdk"/><s v="https://drive.google.com/file/d/145Pa13zh5Prx2VW-au4YJBMHc37TXuej/view?usp=drivesdk"/><s v="https://drive.google.com/file/d/1PO93PC_ps2XExqA6N_FX_WnXnQAPrB_Q/view?usp=drivesdk"/><s v="https://drive.google.com/file/d/1CxhrkeSaHBzp5T2m5mVKo0v0N9tNA96j/view?usp=drivesdk"/><s v="https://drive.google.com/file/d/1DrC4ktWX9HamK4DWq_tF1P_2alxXHAnN/view?usp=drivesdk"/><s v="https://drive.google.com/file/d/1oqwZUfEfzfjGZaYk1A2E8B-PU-AQ6SKz/view?usp=drivesdk"/><s v="https://drive.google.com/file/d/1GCYFeLrlGpCBF1GyjSAAd1YFst71bifH/view?usp=drivesdk"/><s v="https://drive.google.com/file/d/1woJDHccS6Df_7DkKmeLElCzqxpjoRtns/view?usp=drivesdk"/><s v="https://drive.google.com/file/d/11FrEIq8nBGRjHM8n6665RHudNtasAq_q/view?usp=drivesdk"/><s v="https://drive.google.com/file/d/1HfaoUy0n4jcmWWLSBXNhkyGIX4WbOU1n/view?usp=drivesdk"/><s v="https://drive.google.com/file/d/1c0WTQTFC6wVjO3perznTR_rfzhpTPGnJ/view?usp=drivesdk"/><s v="https://drive.google.com/file/d/19ZhWLN_zymp-mzX14YC7jEv-MHZn0Qb4/view?usp=drivesdk"/><s v="https://drive.google.com/file/d/1hiobo976wpKGT4ybTmzucLhLBTnypf_I/view?usp=drivesdk"/><s v="https://drive.google.com/file/d/1bB5zAUL5oQPM2ClvdBCDeAd5AlkWVp4P/view?usp=drivesdk"/><s v="https://drive.google.com/file/d/1c_xOizbgC83hFcsc5jmN-idvU1vfACNB/view?usp=drivesdk"/><s v="https://drive.google.com/file/d/1Dm7RxWVN3iiT5GipgY8Gq3dl65EkIYDu/view?usp=drivesdk"/><s v="https://drive.google.com/file/d/1_YiZ9ym1etIoqiYTErFO56HCfNn-rWNe/view?usp=drivesdk"/><s v="https://drive.google.com/file/d/13W9ZIRuUntMYZ1V5eqz7utx5OSyGY3y3/view?usp=drivesdk"/><s v="https://drive.google.com/file/d/1NxD4srcP8NGAkHA1AWvYHXJLyf_l73EF/view?usp=drivesdk"/><s v="https://drive.google.com/file/d/14Tmk9XIOQYVh24x1jFR4QedpIbTx_n_e/view?usp=drivesdk"/><s v="https://drive.google.com/file/d/1gOWd02cezb5MHlIvhprXv-TgaFt5Ij8f/view?usp=drivesdk"/><s v="https://drive.google.com/file/d/150VkxMJ6Qzq8PM52a6Vi7Y9e4ojtHPne/view?usp=drivesdk"/><s v="https://drive.google.com/file/d/1ntHR-2TST8Pa9kLmC5CL_wNP2lafijMc/view?usp=drivesdk"/><s v="https://drive.google.com/file/d/1Baedt_RF56dAcd90mHgk4WyAWq0rNUNl/view?usp=drivesdk"/><s v="https://drive.google.com/file/d/1jZb-p-3Rc26saHcNX9fyKAs8ayXvLp_G/view?usp=drivesdk"/><s v="https://drive.google.com/file/d/1h26KXyOgQpabChNDwArC5YlDBW4_cfve/view?usp=drivesdk"/><s v="https://drive.google.com/file/d/1TtkPI6YvV3JyoWKI8Z0FTVrehrNka7__/view?usp=drivesdk"/><s v="https://drive.google.com/file/d/1vzu_sqHQexZD23Pac-duPSmK-pGIptlf/view?usp=drivesdk"/><s v="https://drive.google.com/file/d/1BfaybP8V5w-BiT0TlcUAV03BKBkfzWla/view?usp=drivesdk"/><s v="https://drive.google.com/file/d/1jEnrVGc2PxWYnqqR5b5QggE9HgY-tjOC/view?usp=drivesdk"/><s v="https://drive.google.com/file/d/1UOcUsx-QUxFrulQIBnkUuR_13YgQP2Vd/view?usp=drivesdk"/><s v="https://drive.google.com/file/d/1XtfL3wumyr6mb9iCgCxuHmUHHvQhg4yN/view?usp=drivesdk"/><s v="https://drive.google.com/file/d/1dE7-AS0QPxKoPMyquy5WhD3ojjC80SWY/view?usp=drivesdk"/><s v="https://drive.google.com/file/d/1ks4sYhMyRxNwDVYxivPVczl4gI-dQ94P/view?usp=drivesdk"/><s v="https://drive.google.com/file/d/1PYhLwP6tdLfH-XKRuD0puhoFxy-sMmFS/view?usp=drivesdk"/><s v="https://drive.google.com/file/d/1S6Y_7EBTIU64tChcmNNePtGMO2jWzVGk/view?usp=drivesdk"/><s v="https://drive.google.com/file/d/1JnjkuBqFgDqAEzZj1VnXDDzpULzqwUY4/view?usp=drivesdk"/><s v="https://drive.google.com/file/d/1H6qRZ24gIkLnBRWVbjI2jgKRf4KnrPQh/view?usp=drivesdk"/><s v="https://drive.google.com/file/d/1V8lTfv6HJ8IMLiB5gYCuvj2XX1Nry6fh/view?usp=drivesdk"/><s v="https://drive.google.com/file/d/1wq7-2vqDvzteuPzlUspBQRdnaX3rmhA1/view?usp=drivesdk"/><s v="https://drive.google.com/file/d/1NP74FAQ4UheeZ68AMDXl3P1f72HLwpaT/view?usp=drivesdk"/><s v="https://drive.google.com/file/d/1-hACoGBMYzWfW-abiG6hh6iaoZvehEax/view?usp=drivesdk"/><s v="https://drive.google.com/file/d/14GutnAtB1f13xcVqwnhfc_-RMT6AP_5B/view?usp=drivesdk"/><s v="https://drive.google.com/file/d/1JkE16HX10SxkzianGctH-9nm-XFaoMsF/view?usp=drivesdk"/><s v="https://drive.google.com/file/d/1qyGORRGdQy-kyOSM_2vtKP7-BEAhuKWX/view?usp=drivesdk"/><s v="https://drive.google.com/file/d/1v5DJu4qjqzVUJEfoj2GHrhMbmyHZ-m6z/view?usp=drivesdk"/><s v="https://drive.google.com/file/d/1mJVZEGRuGEHvjJLpaIkoRcJuDNXnANgI/view?usp=drivesdk"/><s v="https://drive.google.com/file/d/1LJ0WrqBtVRCt68G-AduIa1fUKucFOQw4/view?usp=drivesdk"/><s v="https://drive.google.com/file/d/1U7jcEsjlgt0luv4Qd8Q7JmbBb7qRDTdD/view?usp=drivesdk"/><s v="https://drive.google.com/file/d/10IpKBTm-TxBYPtbdDzTDyVDz6z5jT5CF/view?usp=drivesdk"/><s v="https://drive.google.com/file/d/1jpKVfN7bQV2qYmB0hMMFd61i7NfLKBWv/view?usp=drivesdk"/><s v="https://drive.google.com/file/d/16pg9MWE7EmtXDgvjDW9mExWkGIxt2MYX/view?usp=drivesdk"/><s v="https://drive.google.com/file/d/1YQ1rwTK8fHHydlCOqvw62rr4BQnhJ7v4/view?usp=drivesdk"/><s v="https://drive.google.com/file/d/1IfVJze_D0VNVGP0qGB9jOH8T88AinA4X/view?usp=drivesdk"/><s v="https://drive.google.com/file/d/1bQdPG6N4D0o1pKlwFaURIS3ouXnJPLk2/view?usp=drivesdk"/><s v="https://drive.google.com/file/d/1EOobtRYPjKeO9_gYW4bu-_TIpK_PjuLA/view?usp=drivesdk"/><s v="https://drive.google.com/file/d/1Dle9tBaQJnicGTbi-WNIWZLHBhpRMBFu/view?usp=drivesdk"/><s v="https://drive.google.com/file/d/1NONRrVPLj3_SNxu7Ptx53k4VBPMr7tIo/view?usp=drivesdk"/><s v="https://drive.google.com/file/d/1_lgC5OmIfmdyPUatcoMBb50JoLNHFpBH/view?usp=drivesdk"/><s v="https://drive.google.com/file/d/1BtYypYyY-PzT4y8FLAgHXAyFQwMz4y2O/view?usp=drivesdk"/><s v="https://drive.google.com/file/d/1UoK9lGyVfG2aSVu9UX62d1KXmmkZeMsj/view?usp=drivesdk"/><s v="https://drive.google.com/file/d/19vVZNnZqbHViA7ik9IZlctpt3T8O8e-i/view?usp=drivesdk"/><s v="https://drive.google.com/file/d/1-cST4Xer2glOXMG5eTrJVkRfofzfqFTW/view?usp=drivesdk"/><s v="https://drive.google.com/file/d/1QkWM8jiVqpN5vc_zuD8HexJx-ED2mGF0/view?usp=drivesdk"/><s v="https://drive.google.com/file/d/13vglHZTPgv6z9W5xPGWG5OyE_h91M3UK/view?usp=drivesdk"/><s v="https://drive.google.com/file/d/11B6RDsDdpDnOGVv1Bafc4t3LGTugpLfW/view?usp=drivesdk"/><s v="https://drive.google.com/file/d/1MFrh4TN71i6T_XH6VvEuarZ-bkTQmkjp/view?usp=drivesdk"/><s v="https://drive.google.com/file/d/1y96i0hMyOppZ0ZOc68SfdS2QELKNre-8/view?usp=drivesdk"/><s v="https://drive.google.com/file/d/1oLyXVFY64dU4qE6_b-iVXYa7asikLA1e/view?usp=drivesdk"/><s v="https://drive.google.com/file/d/1M2npXIoOra27xHNDnCsNwFJwuHLFn-QY/view?usp=drivesdk"/><s v="https://drive.google.com/file/d/1SrRdwzLZMo2zK6deXcTRyDZ9oh1TesUR/view?usp=drivesdk"/><s v="https://drive.google.com/file/d/1XTFfWFGSOorXaSHUTepn_NywZP0WRrna/view?usp=drivesdk"/><s v="https://drive.google.com/file/d/1dyQ7iPpa5tauqQ87v1ICVpmTb96xwrHK/view?usp=drivesdk"/><s v="https://drive.google.com/file/d/1dqZfs8CV4bFuIXsJrOSHM-_BKTXKhfGR/view?usp=drivesdk"/><s v="https://drive.google.com/file/d/1Ql7nMbQXZeIyS5tduYv7gRTiVRXJB9Dk/view?usp=drivesdk"/><s v="https://drive.google.com/file/d/12tiBV9g0PDIUv5jLNU3H9ESLvqe3_su6/view?usp=drivesdk"/><s v="https://drive.google.com/file/d/13EC3dwbwBg7gIijxdeeANvWmpAfQ8_ke/view?usp=drivesdk"/><s v="https://drive.google.com/file/d/1zRO2wTJdLmK-BV5hxThrZO8prUdJXbH2/view?usp=drivesdk"/><s v="https://drive.google.com/file/d/1PBsIeDN2jr1Pq3CNrSLb1Xsyr21P2pXL/view?usp=drivesdk"/><s v="https://drive.google.com/file/d/1UKyZSyadeWWKlD03-UFjhlFvSy-jY0H-/view?usp=drivesdk"/><s v="https://drive.google.com/file/d/1peHj2qn55XShERDto7FmUKmKRW04vw25/view?usp=drivesdk"/><s v="https://drive.google.com/file/d/1VNZVfi392roXkffFia5wqQeCQjwEpyCc/view?usp=drivesdk"/><s v="https://drive.google.com/file/d/1pWRSPkrpkB4P8JrAypP4cdltGfovv0wT/view?usp=drivesdk"/><s v="https://drive.google.com/file/d/1Oz7Zj6fZnvvCizj-IHEQF-K0o27fi6QN/view?usp=drivesdk"/><s v="https://drive.google.com/file/d/1Q984rmQXqbwrrnMY-wB5jcpYKEpb-2Qg/view?usp=drivesdk"/><s v="https://drive.google.com/file/d/1-BRDJtnfY2i7YBG-IeupwHTxHic0hQnP/view?usp=drivesdk"/><s v="https://drive.google.com/file/d/1d70WNl03Y6R-FQ2zFUG_7JzLtb7KIhMn/view?usp=drivesdk"/><s v="https://drive.google.com/file/d/1VohCyZYrYeQ8wnGKTyDD2fOk8y16yZw3/view?usp=drivesdk"/><s v="https://drive.google.com/file/d/1pCInedMgb6ub4Ncim1wJ4bHJ2ouwc85m/view?usp=drivesdk"/><s v="https://drive.google.com/file/d/1Wo_ZWAFaujgNZeZ0tdEdLIIUT-PUrDAy/view?usp=drivesdk"/><s v="https://drive.google.com/file/d/1IK98kxqzXUKr6oiSy5Yh1iZIS2v8ZtnC/view?usp=drivesdk"/><s v="https://drive.google.com/file/d/1gQEP5IJLffmqgeBD8cJqZD1njhiICXaO/view?usp=drivesdk"/><s v="https://drive.google.com/file/d/1bbOr5sJJaSFgt-aKadq5yMvKA8ywD97U/view?usp=drivesdk"/><s v="https://drive.google.com/file/d/1YxSLKvJhCAZvjLwh2Dxi3CO9YKNSkWkP/view?usp=drivesdk"/><s v="https://drive.google.com/file/d/1Gkz07e_5xnoHy7zdKAHfWY6layqbA2lX/view?usp=drivesdk"/><s v="https://drive.google.com/file/d/1GTnjtSM79S6hEZLXrpWxGtZd34NCBmBN/view?usp=drivesdk"/><s v="https://drive.google.com/file/d/1ITD043otUXSzSXwJBI77ZEGc7YfO0lXl/view?usp=drivesdk"/><s v="https://drive.google.com/file/d/10j2TatiM7HXzQ8gGJAAToPEOpY8k8IgA/view?usp=drivesdk"/><s v="https://drive.google.com/file/d/104J0KhnQN8hx7uBldyQ1evQEW8N7petE/view?usp=drivesdk"/><s v="https://drive.google.com/file/d/1tMrBtPVk07Vt3IgjI_4ese_KDvqQCuKK/view?usp=drivesdk"/><s v="https://drive.google.com/file/d/1CX-X4yZPIliMfb05V-exrVifx5i5gyZu/view?usp=drivesdk"/><s v="https://drive.google.com/file/d/1e8g4jGrxeuAKV2niPFAdDVB88LKnVgdm/view?usp=drivesdk"/><s v="https://drive.google.com/file/d/1VCKoEhCkZgWeNPsAklTrHzvyEtDe0UpM/view?usp=drivesdk"/><s v="https://drive.google.com/file/d/1tNWBEIyqVAkKjP7KUoSu2t3rEj4DPo_A/view?usp=drivesdk"/><s v="https://drive.google.com/file/d/1WZ-wmp0ZBZO-MwxvYanAL8j3J4k47183/view?usp=drivesdk"/><s v="https://drive.google.com/file/d/1JoVItYnEA8vA70xzVLnQEC3dgxMW-0on/view?usp=drivesdk"/><s v="https://drive.google.com/file/d/14jCdpBA20GeEpZdlt1OEEDrVjc2kp6h7/view?usp=drivesdk"/><s v="https://drive.google.com/file/d/1HOf675tEXfG2bMnJOIiHzWGLlDbzEY3d/view?usp=drivesdk"/><s v="https://drive.google.com/file/d/1ATJxg7zUvA3Wg_XCJFG6phaq9LgMmPHW/view?usp=drivesdk"/><s v="https://drive.google.com/file/d/1jx9eMAYbx0cHukSi87PadaXFTzz1n_mq/view?usp=drivesdk"/><s v="https://drive.google.com/file/d/1dcM9NQdz9QH53PQ7hkiNVOhT5nBAY9Vn/view?usp=drivesdk"/><s v="https://drive.google.com/file/d/17KV68RT0MMeGKz0n7gj1Dsmt7YXSfvOC/view?usp=drivesdk"/><s v="https://drive.google.com/file/d/1R_WL0AExjMKiypoB7mKpQqeDlLTVOzbM/view?usp=drivesdk"/><s v="https://drive.google.com/file/d/1a3fJ6JRdrPHSo50DdCUrYLisEZcHfG31/view?usp=drivesdk"/><s v="https://drive.google.com/file/d/144ul3eCkiKHuL75LCKm6YabVN-pgBX8u/view?usp=drivesdk"/><s v="https://drive.google.com/file/d/1epyBwvNQIzhoIzncHzNCghI35bEcM7FS/view?usp=drivesdk"/><s v="https://drive.google.com/file/d/1vqDYyUya1hGxUO3xOXp-fS4z5QiC8jwH/view?usp=drivesdk"/><s v="https://drive.google.com/file/d/1noF0-gFXnE925nL0unfvsQ-ANlXov76A/view?usp=drivesdk"/><s v="https://drive.google.com/file/d/1hgaLy7Pk7l8_uT0qzsdgGRA4OH5u_0hL/view?usp=drivesdk"/><s v="https://drive.google.com/file/d/149vWpYz3xUBwjR-0Vi63Qa-y5jEghDmg/view?usp=drivesdk"/><s v="https://drive.google.com/file/d/1LtoTK2zHVIYGFfb_cXHLXLWkOHpGikA0/view?usp=drivesdk"/><s v="https://drive.google.com/file/d/11Av49SlCGKMhtLvS_jk4226riFKcyhNh/view?usp=drivesdk"/><s v="https://drive.google.com/file/d/1xo-D0d5xWZy_-HQc9CNuFVE8l1hYTkzr/view?usp=drivesdk"/><s v="https://drive.google.com/file/d/10gwwst21XMDLdZDUQ3-UJKa2tLRTlO7K/view?usp=drivesdk"/><s v="https://drive.google.com/file/d/1MpP2-43GqkWDRpuwJ-apCbzIk2GwSMn_/view?usp=drivesdk"/><s v="https://drive.google.com/file/d/1OhQWWe3jm8WtNRylZvAGE-c4xHX8dswr/view?usp=drivesdk"/><s v="https://drive.google.com/file/d/1OIEvCCJvM-_IxEbcHAL2vNkKmVoEHa3G/view?usp=drivesdk"/><s v="https://drive.google.com/file/d/1wVhOcOsRL9M-ypPdSaPRTLv-PLlAWOf1/view?usp=drivesdk"/><s v="https://drive.google.com/file/d/1Z0u77Ei4pPZsjR5reXLadM9xd0tgKrac/view?usp=drivesdk"/><s v="https://drive.google.com/file/d/10xyzPhQJ8BoXAmXBEBA_mIn8qqh_KbTE/view?usp=drivesdk"/><s v="https://drive.google.com/file/d/1_KweoGhNrt_00Umu1vsjHfibTm4z9cNE/view?usp=drivesdk"/><s v="https://drive.google.com/file/d/1fqDwT6f6uPiUgL_jMbCxBCBzksaDNMma/view?usp=drivesdk"/><s v="https://drive.google.com/file/d/1ETLxNzxxAx38Kbjl_2clUvwzL5DDrTd8/view?usp=drivesdk"/><s v="https://drive.google.com/file/d/1OWk3W7aLK7NhvpfeOXWbAeYjSBS6on3O/view?usp=drivesdk"/><s v="https://drive.google.com/file/d/1oYbk_RfphQEQTiM6p882mmwIrb7aGJDY/view?usp=drivesdk"/><s v="https://drive.google.com/file/d/1E9n7K_S1QjugzYn-rTEbb--ETbvudVse/view?usp=drivesdk"/><s v="https://drive.google.com/file/d/1VYqvNkQuJmP378cGj71lJ4JV-clMH0Yv/view?usp=drivesdk"/><s v="https://drive.google.com/file/d/164yvRbDzBp4QTOt60ne0zLFnKfzz6qWW/view?usp=drivesdk"/><s v="https://drive.google.com/file/d/1zCYZDaOwE-K33Jkam-tMneBjxjoNVHza/view?usp=drivesdk"/><s v="https://drive.google.com/file/d/1hlj_PiSmruASavYOS4OPpCrR4tKfol15/view?usp=drivesdk"/><s v="https://drive.google.com/file/d/1TVEae0arGcjXygxgVD8laFAM0LcnW7EM/view?usp=drivesdk"/><s v="https://drive.google.com/file/d/1KeSwecAaGUPly_0Khma5VYzCJyRIWBpt/view?usp=drivesdk"/><s v="https://drive.google.com/file/d/1QWFGg5y_FwCsYU4iJVkw7s0HZoH7av3y/view?usp=drivesdk"/><s v="https://drive.google.com/file/d/1w5TanXJyS5YVblHirQgJO5zKr4e7CFnK/view?usp=drivesdk"/><s v="https://drive.google.com/file/d/1J0gXacFjwTY8lqoRS7-Ly_0MayhAFMtY/view?usp=drivesdk"/><s v="https://drive.google.com/file/d/1X5Fe2As7h--ByO5qoa79Jna-iqMIag53/view?usp=drivesdk"/><s v="https://drive.google.com/file/d/1Z9cXGn_9cINuuX5drvoG0YLH4tFIjcZ7/view?usp=drivesdk"/><s v="https://drive.google.com/file/d/15btD8-1-iJ6kKY4YOnmEB99Ty5jn30uV/view?usp=drivesdk"/><s v="https://drive.google.com/file/d/1HpcHlK2DyzZieaRbX6Fr0ov7Mf_R671v/view?usp=drivesdk"/><s v="https://drive.google.com/file/d/16TKGD5uIhjmxtnz9GYQUl5frMKkhZ7vE/view?usp=drivesdk"/><s v="https://drive.google.com/file/d/1quS4MAYvEPtehwNPw-pIZVscM1NFoUOj/view?usp=drivesdk"/><s v="https://drive.google.com/file/d/1S2bnWMra5cT3jybiRMXQyyKgjUU5M3mP/view?usp=drivesdk"/><s v="https://drive.google.com/file/d/1ufFlEetCWZtYqMqTTptc07s2XdkD4E4c/view?usp=drivesdk"/><s v="https://drive.google.com/file/d/1nanNymgjGLBTTIftwQHD0CPkPgFLXjko/view?usp=drivesdk"/><s v="https://drive.google.com/file/d/1kVWNkPYWfpPoaNfzdmDoKO9zV0jbI67W/view?usp=drivesdk"/><s v="https://drive.google.com/file/d/1eY8ustezkGTBEFCvn47T4iFMNEc9SoCR/view?usp=drivesdk"/><s v="https://drive.google.com/file/d/1Mvv6lSbYDT3w1CNkuj_yKZJZyGVo8_wu/view?usp=drivesdk"/><s v="https://drive.google.com/file/d/1ExZ7juOSUgumoSt5vCuDEvgISB_mT9vX/view?usp=drivesdk"/><s v="https://drive.google.com/file/d/17yvRZkdBULPZU-hy9QprgZuJeonQfAel/view?usp=drivesdk"/><s v="https://drive.google.com/file/d/1dU1UjhKXuYwEUy9G1SAQvFWoiujBUM-l/view?usp=drivesdk"/><s v="https://drive.google.com/file/d/1F1gmEthZ6jBt549BBg-rdg_5OVDXWokk/view?usp=drivesdk"/><s v="https://drive.google.com/file/d/1VgMcBc_Zck2mNomOuS1CZVLBzdiV_nWC/view?usp=drivesdk"/><s v="https://drive.google.com/file/d/1X_Hzp8yt2P-QO2WO8iH4EPgoVRh7R4xM/view?usp=drivesdk"/><s v="https://drive.google.com/file/d/1G_aU3PGCjrrMgJwOfzq2w1nbmT82GsuJ/view?usp=drivesdk"/><s v="https://drive.google.com/file/d/1nonM8jExC1mVvcGqlH7dSp0-DAzLBLtm/view?usp=drivesdk"/><s v="https://drive.google.com/file/d/12p5OEsz_Kqdr2WrmlHbpY-_JFlSEkooC/view?usp=drivesdk"/><s v="https://drive.google.com/file/d/1rj178it8sQtHMyNzyb90GXfEk1Hk5YnN/view?usp=drivesdk"/><s v="https://drive.google.com/file/d/1sVDcE0S8Au1V2yPyjhNJC-dbCas3mbhd/view?usp=drivesdk"/><s v="https://drive.google.com/file/d/1v5J8Cnv26X6sTt4VLBH9e2mvCWSnQGm4/view?usp=drivesdk"/><s v="https://drive.google.com/file/d/15DQQpECVr9NdJZ7O7RNWRdNwXQ6KQeXe/view?usp=drivesdk"/><s v="https://drive.google.com/file/d/1tE6_KVQyfFVpIfIuz7dnWR1i8_me3TIT/view?usp=drivesdk"/><s v="https://drive.google.com/file/d/10y7q496AX6_0sM8VYpwXFE_CfW3qWVER/view?usp=drivesdk"/><s v="https://drive.google.com/file/d/1-nd1hGa7j_Vwr7C63vLyw8Doq1Jw9jdo/view?usp=drivesdk"/><s v="https://drive.google.com/file/d/1MkAewK7ChXvXFt_yHeQBeosTp7ozsocw/view?usp=drivesdk"/><s v="https://drive.google.com/file/d/1oAjR8vSHaozIl7e-9ozgY9hFTpEChKb7/view?usp=drivesdk"/><s v="https://drive.google.com/file/d/1gbKPV2rhuEZ5YY7sLWcOmdMsnKF1lOwO/view?usp=drivesdk"/><s v="https://drive.google.com/file/d/1HOPgbT8B7cSul5cTHeEI8GnCvj5F-kiw/view?usp=drivesdk"/><s v="https://drive.google.com/file/d/1UjvynnYEPZHicucFMnLs5zd6tciLP1ET/view?usp=drivesdk"/><s v="https://drive.google.com/file/d/1VK50exEXQ_rClong6zFoFteT2CKKkjmO/view?usp=drivesdk"/><s v="https://drive.google.com/file/d/1CjT1O6wWYuXyGwX2IDXgjfNdv5kWTW3m/view?usp=drivesdk"/><s v="https://drive.google.com/file/d/1Y64s8GHxNrRvDcvruC4sJnxL8xzdZcO-/view?usp=drivesdk"/><s v="https://drive.google.com/file/d/1mu475Zzy_-pzVxpT6L8wHxxpOPeohqGN/view?usp=drivesdk"/><s v="https://drive.google.com/file/d/1JcrIIJziv9H4c66sUbolfvMwbkPdlR44/view?usp=drivesdk"/><s v="https://drive.google.com/file/d/1zdQKRoaKTgqYFpQsFj5QvQQ6FD0ed3fh/view?usp=drivesdk"/><s v="https://drive.google.com/file/d/1ZJao6drmlp_5iFzVLwLBVxZ7mZzQpGwX/view?usp=drivesdk"/><s v="https://drive.google.com/file/d/15WVNsHu4qw18Mufo3UCjKv6cq2gXORb0/view?usp=drivesdk"/><s v="https://drive.google.com/file/d/1OF9OzNZ0RezTr91hWpWHMHWrXH9SCFAS/view?usp=drivesdk"/><s v="https://drive.google.com/file/d/1_UEC3DvYLPby3ewaxAHguC5Mm0ainire/view?usp=drivesdk"/><s v="https://drive.google.com/file/d/1RLxYB-xp9gCuylzG8fMEpa5rGt6OdoMh/view?usp=drivesdk"/><s v="https://drive.google.com/file/d/133wAd9ADUXthw033LGhcEhvxSj0cXryx/view?usp=drivesdk"/><s v="https://drive.google.com/file/d/1mWjj8mxrG8UD8YXr2nZ-cGzIZBtUwLal/view?usp=drivesdk"/><s v="https://drive.google.com/file/d/11YlCMyN4uuL8Bm15aAIWE8inJeqhHaiW/view?usp=drivesdk"/><s v="https://drive.google.com/file/d/1tL5SefgazspPrHDE7uspX1rbNInieF1Y/view?usp=drivesdk"/><s v="https://drive.google.com/file/d/18nULESXZN8TdVjSkyh5ultgqH2EvBSm0/view?usp=drivesdk"/><s v="https://drive.google.com/file/d/117IKlIHBXRWO7KM1helymQPvsGoEIXdX/view?usp=drivesdk"/><s v="https://drive.google.com/file/d/1W2aCwE3Z8jN-Xdqb3awaTWO-3SquFMRh/view?usp=drivesdk"/><s v="https://drive.google.com/file/d/1lHQosDuo6gaE1kApTnMYX-PdVa7g5c2f/view?usp=drivesdk"/><s v="https://drive.google.com/file/d/1_3kOREsSMo-zmS04srVes69SaYsErPmR/view?usp=drivesdk"/><s v="https://drive.google.com/file/d/1lOqUFhZvkowPd-Ne3aczCZ30vQ08jqm-/view?usp=drivesdk"/><s v="https://drive.google.com/file/d/1v6kgKeSqXz-kIHf5HXexB2cCnGBup8pu/view?usp=drivesdk"/><s v="https://drive.google.com/file/d/1e5Wm6ChazDKUJftaKFfLoaBKNbaofYfP/view?usp=drivesdk"/><s v="https://drive.google.com/file/d/14l2Iyllp2BRKK4GUgjOnaxtE-5V5_oxZ/view?usp=drivesdk"/><s v="https://drive.google.com/file/d/1sQ8SgRlBMbqW6PR-9YQps9sVh-rL9tXw/view?usp=drivesdk"/><s v="https://drive.google.com/file/d/1AFvmNMhSk-QV-2cVhQI1IIbAhqjPhXWN/view?usp=drivesdk"/><s v="https://drive.google.com/file/d/1eermV6x-0NkuxwsqnprduFouBUdTshGn/view?usp=drivesdk"/><s v="https://drive.google.com/file/d/19BYjzsMkYCiipD-HEqq4sHumZDCTO5SQ/view?usp=drivesdk"/><s v="https://drive.google.com/file/d/1c-T-gBsf13rctIADi3rUqpv_LDEac7l1/view?usp=drivesdk"/><s v="https://drive.google.com/file/d/1ZRJcq-rd4pEQb0DmJ1HQenA2-OH5dbEb/view?usp=drivesdk"/><s v="https://drive.google.com/file/d/1s3htODPJ-fx2SsrGMPuuPnrS-QkOjVmW/view?usp=drivesdk"/><s v="https://drive.google.com/file/d/1vD03nf0a0BC3Ui7dZPBwsHBn8uBFVmTS/view?usp=drivesdk"/><s v="https://drive.google.com/file/d/17x3I7jUwdIldQm5GP-fj0zgsKCgIUoRP/view?usp=drivesdk"/><s v="https://drive.google.com/file/d/1Chyql9h2DEg41XAYeRupg6Etz-OFp0us/view?usp=drivesdk"/><s v="https://drive.google.com/file/d/1uSaalqURvSDrwFTwn8d56akyZ5pLqmJn/view?usp=drivesdk"/><s v="https://drive.google.com/file/d/1vWGgcW4pZ3FoyQKsaRTBIF-qNoze2NOS/view?usp=drivesdk"/><s v="https://drive.google.com/file/d/1CNUuCil5aZVO_tdA1GgelrRiq8I7q6J4/view?usp=drivesdk"/><s v="https://drive.google.com/file/d/1cd2Q3usXoNSUYACYaL4eodYUxZsj-SOb/view?usp=drivesdk"/><s v="https://drive.google.com/file/d/1OSEYoq50TRvyqkjozHLp1CtvXHG-6rLL/view?usp=drivesdk"/><s v="https://drive.google.com/file/d/1nhF9YyHcpfCFAHZNSHYOdrHjNY6W4OdA/view?usp=drivesdk"/><s v="https://drive.google.com/file/d/1-ByeeNB55CftwPMrOwFmhKHJtA2Cargu/view?usp=drivesdk"/><s v="https://drive.google.com/file/d/10tpM-QAfI0H0NH6vAvH9VLJJki0FnCbu/view?usp=drivesdk"/><s v="https://drive.google.com/file/d/18ZlWgEtYOKx4ampRaantI27kYPgBvB4J/view?usp=drivesdk"/><s v="https://drive.google.com/file/d/1hMU234raFGJtbZQ16uhu9mUFuosskYBK/view?usp=drivesdk"/><s v="https://drive.google.com/file/d/18dLuHsJaHfEuFpmJ9coLBrlcbxYHVgpG/view?usp=drivesdk"/><s v="https://drive.google.com/file/d/1yCifhK2ZQwpUZAjclr5TAmGCQqTbBrUa/view?usp=drivesdk"/><s v="https://drive.google.com/file/d/13eFbDRsrT4E_alMlB_gHi3f-ptev6t5p/view?usp=drivesdk"/><s v="https://drive.google.com/file/d/1a_-X1vjB6N4-IwfcVsM4fHxFavXCK8pH/view?usp=drivesdk"/><s v="https://drive.google.com/file/d/1Pb_juPmIU_Q7VY9NrSeQKbDclKBuO2i4/view?usp=drivesdk"/><s v="https://drive.google.com/file/d/18geCDJ5bRB3bpM43MHvE6GJwLIjojiV3/view?usp=drivesdk"/><e v="#N/A"/><s v="https://drive.google.com/file/d/12yIYc8a3z4MzJ_-PiAeu39d1ppwYynMI/view?usp=drivesdk"/><s v="https://drive.google.com/file/d/1St2O5UfYoWXX1n7crfXuAdRXy1k6nYoo/view?usp=drivesdk"/><s v="https://drive.google.com/file/d/1KanaZYJkrnwi0ABQ2gUtWRMUjQnhMt0r/view?usp=drivesdk"/><s v="https://drive.google.com/file/d/14KU35or-OxTWODmUyKwRoB3qwuTQZobO/view?usp=drivesdk"/><s v="https://drive.google.com/file/d/1qNTfBnw7SpCi3blakzyKQFcGYOfOx3la/view?usp=drivesdk"/><s v="https://drive.google.com/file/d/1nZRWE8YtR8lD6JVTIYbN9Kn9F6IO3Tol/view?usp=drivesdk"/><s v="https://drive.google.com/file/d/11sSauXb0HoVRgYDG9CnOlMBheFEjk0NQ/view?usp=drivesdk"/><s v="https://drive.google.com/file/d/1hWfokltwBkoqHFEcC6Y6_dIRzbc3xn2Q/view?usp=drivesdk"/><s v="https://drive.google.com/file/d/1CGw2aFqdeWSzTPWBi4Jhk_HVOrooYuQO/view?usp=drivesdk"/><s v="https://drive.google.com/file/d/1gPKErZn0U75GIXRc3TyDKhjO1YYEA8-a/view?usp=drivesdk"/><s v="https://drive.google.com/file/d/19J7SxgV3TKuAhMt2JaFPTLscquaGkcBh/view?usp=drivesdk"/><s v="https://drive.google.com/file/d/17yYMWhyDAG179mIfO09X_DXEZMxaYLjP/view?usp=drivesdk"/><s v="https://drive.google.com/file/d/1b2FC_ZxV315l7N6zoTHVU2AgAr7SbyXB/view?usp=drivesdk"/><s v="https://drive.google.com/file/d/1BktRBxUCABNKOmBS08ZeWLX5NwbuQmVb/view?usp=drivesdk"/><s v="https://drive.google.com/file/d/1AEIAMNY49STOE6ElNt-b8Hq1Zx5-39DC/view?usp=drivesdk"/><s v="https://drive.google.com/file/d/1vGGh8iNvz5riiPFFfaYWDPoBsN1DieSC/view?usp=drivesdk"/><s v="https://drive.google.com/file/d/15obABizUe2mVP6tTA7xfzSOU9zsFeGRP/view?usp=drivesdk"/><s v="https://drive.google.com/file/d/1NxbR_bwAiYFpZjIg55CMPxWtvCoOVIAQ/view?usp=drivesdk"/><s v="https://drive.google.com/file/d/1CufoZHl_KItNfmOr5x_-4R-WsAKrS65V/view?usp=drivesdk"/><s v="https://drive.google.com/file/d/1_GSFYpdpPE9KlDDSJISHSbkxPaGiv90y/view?usp=drivesdk"/><s v="https://drive.google.com/file/d/1wDNXb0olz39__EV_LKeVH7NGHiDMCeB6/view?usp=drivesdk"/><s v="https://drive.google.com/file/d/1DOLllL6R7032IvCSzFDDyxUuY_nU2qkX/view?usp=drivesdk"/><s v="https://drive.google.com/file/d/1aDSm4Lq4K8IFN4JH8XXWURoEKbUjjmL3/view?usp=drivesdk"/><s v="https://drive.google.com/file/d/1AKsdj68dbJXeSGboPcfZ2uD3ua_fvFPP/view?usp=drivesdk"/><s v="https://drive.google.com/file/d/1nLprzUcZjsicDG7JT3icjAuAK7g2gLY1/view?usp=drivesdk"/><s v="https://drive.google.com/file/d/16w-mzwoY4czOLW1CWtNqG_1fcM557vJf/view?usp=drivesdk"/><s v="https://drive.google.com/file/d/1E31uybgDVJiRN0FEcJfVIX_of85BuGEz/view?usp=drivesdk"/><s v="https://drive.google.com/file/d/19X5spXSqhBiEOOUR62_YtANpegjkcJ1f/view?usp=drivesdk"/><s v="https://drive.google.com/file/d/1yPKBulDUT2sA_EL4XHrVvgND1nEVQNHI/view?usp=drivesdk"/><s v="https://drive.google.com/file/d/14xOP8LLETNXBDDadvwleV2pKnaxwaGBi/view?usp=drivesdk"/><s v="https://drive.google.com/file/d/1VlyFF2XH_n9dzHKe2EMaqBWsh-0cgYrJ/view?usp=drivesdk"/><s v="https://drive.google.com/file/d/1FElRRlWoVi2usxTFNme1Bwz9RgmJPLKp/view?usp=drivesdk"/><s v="https://drive.google.com/file/d/1wNBIYZ5dm9n9bSFCAgoMnPNgBJBMSCyH/view?usp=drivesdk"/><s v="https://drive.google.com/file/d/19EgT43RHjwkUo0_VH9RxY_gZl2qByBLZ/view?usp=drivesdk"/><s v="https://drive.google.com/file/d/1Ea_lj0SN0yiXoEUsbmTc67SPDOrQH-yU/view?usp=drivesdk"/><s v="https://drive.google.com/file/d/1SP5jHd3WRyyvYJcl4eFapcMBBizKeGUl/view?usp=drivesdk"/><s v="https://drive.google.com/file/d/1J8NYov-XHHaVlQCOR0yx9UGTvAN_EjiG/view?usp=drivesdk"/><s v="https://drive.google.com/file/d/1iB1iRJQEIss4hSoqw92nY3NXxa2obChZ/view?usp=drivesdk"/><s v="https://drive.google.com/file/d/1Vg-OUhY15FAok2mtyokmeZIHZaqgAHg5/view?usp=drivesdk"/><s v="https://drive.google.com/file/d/1u3UeZsgg-pu1ZHEEX1uaXHGyGnnbQIHr/view?usp=drivesdk"/><s v="https://drive.google.com/file/d/1-E1dAlVOdBXhL1-Ucgrt44k9SzyhPTJ-/view?usp=drivesdk"/><s v="https://drive.google.com/file/d/1evQDXWr9N4KV0RMwcCRfMKAkbspCGUUG/view?usp=drivesdk"/><s v="LINK"/><s v="https://drive.google.com/file/d/1gBF1OSh84_PEaQuwMpzqMOVewrJw3LKJ/view?usp=drivesdk"/><s v="https://drive.google.com/file/d/1u2KiampcOcT7G124TEOiIzae-KDknBmd/view?usp=drivesdk"/><s v="https://drive.google.com/file/d/1jvY3Sgds8iuvtsLXHlpUqcaSBliH2tJV/view?usp=drivesdk"/><s v="https://drive.google.com/file/d/1D8E42YuXrxlGwF61UWB4V8lYywAWr8dY/view?usp=drivesdk"/><s v="https://drive.google.com/file/d/15Wsn7yRLOjnPIu3oOYbA1lhbZIRp1-8K/view?usp=drivesdk"/><s v="https://drive.google.com/file/d/151z21j0N9goJiyhqVea_1u4UA83qXS6l/view?usp=drivesdk"/><s v="https://drive.google.com/file/d/1k_ITkShMoY3bps8YyiRV8_CnbYN3486s/view?usp=drivesdk"/><s v="https://drive.google.com/file/d/120bw0itAYyHMiW9T7e3mTuddlQMPW3x8/view?usp=drivesdk"/><s v="https://drive.google.com/file/d/1fhnK_MpUTUYrtfdIB-pGhbkxyiXV1Wjs/view?usp=drivesdk"/><s v="https://drive.google.com/file/d/1-8hoTcDzN7GjN92fqlhu7SLhxRSQTUrd/view?usp=drivesdk"/><s v="https://drive.google.com/file/d/1KdKryH9Qx-Olx2xYcWf9zZPlU9JsWLmq/view?usp=drivesdk"/><s v="https://drive.google.com/file/d/1htcfPlWHtz8E91jbq14ETkimhcWUSyMj/view?usp=drivesdk"/><s v="https://drive.google.com/file/d/13IdVrs_fFWj8hYxe5OVSE67tGuCcKPct/view?usp=drivesdk"/><s v="https://drive.google.com/file/d/1w2KBBoT3U7JrwQsTrJduC-AS9fihTDq0/view?usp=drivesdk"/><s v="https://drive.google.com/file/d/1DouZu51tYUlHCJt3ED5926-nk58IBtuY/view?usp=drivesdk"/><s v="https://drive.google.com/file/d/12hPE3_ROkrr-EwAg8DQR8e8OYrtwuoYT/view?usp=drivesdk"/><s v="https://drive.google.com/file/d/1qeprGIAy7AN_pByPqzOUMvJ-k5SpkEYf/view?usp=drivesdk"/><s v="https://drive.google.com/file/d/1Sg7pV5-MRMEfG7acPaIDjV0AQ3yqElU4/view?usp=drivesdk"/><s v="https://drive.google.com/file/d/1dqYztlMOBsUY1H2Tadvsh9mJOiZQ1nVh/view?usp=drivesdk"/><s v="https://drive.google.com/file/d/1Nb1xwSCq02ajI3h9-mZBwiuifn_7H1iR/view?usp=drivesdk"/><s v="https://drive.google.com/file/d/1VbP_Ewf88OEuvCt9ZwvGSNNhhGDSj19O/view?usp=drivesdk"/><s v="https://drive.google.com/file/d/1acuUVGe9a1FY0NzYPbpq8pAnbZKrjA2v/view?usp=drivesdk"/><s v="https://drive.google.com/file/d/1yhJ17uggr6j5uXr73Jms5KP35M6RDUxL/view?usp=drivesdk"/><s v="https://drive.google.com/file/d/1QDNRrzD1VCOwR4bsx3QJgYLm2e6VV-no/view?usp=drivesdk"/><s v="https://drive.google.com/file/d/16SOoUfTCSMe7mtchsl8axpkAxtRIR28i/view?usp=drivesdk"/><s v="https://drive.google.com/file/d/1-SOOgACp6dnzzYdlh2PFI-ANnAwmf5c6/view?usp=drivesdk"/><s v="https://drive.google.com/file/d/1p9X3tD24EWbnOA_5MSM9HTgujzLisIGn/view?usp=drivesdk"/><s v="https://drive.google.com/file/d/14h-UnLvc59XK91wSbRiIAUMtz5chtiz5/view?usp=drivesdk"/><s v="https://drive.google.com/file/d/1VcKqsyqYAl_exqLf4Zk_sKFNXaU3WlBH/view?usp=drivesdk"/><s v="https://drive.google.com/file/d/1vcCVkrjNwZHH8glmh9tGMygAb5DPf3dE/view?usp=drivesdk"/><s v="https://drive.google.com/file/d/1eGcl00TFvqtXToShjh3zwuqo-qNHAocO/view?usp=drivesdk"/><s v="https://drive.google.com/file/d/13E6exELEtdG2RSbqcPYafnphBAN0Qwtm/view?usp=drivesdk"/><s v="https://drive.google.com/file/d/1_IO4PdoMe7l8Q03W9hLBkKiHGidC5w-t/view?usp=drivesdk"/><s v="https://drive.google.com/file/d/1xUlRe3MC-gZV8Zhd6NQNLSAYxUKd-bXT/view?usp=drivesdk"/><s v="https://drive.google.com/file/d/1-8o-L3-LBDg-R5swBEF53YfzOD1dWuZJ/view?usp=drivesdk"/><s v="https://drive.google.com/file/d/1y_lQGjVlo6Fl18TxXjJCuEtRwnUYubwf/view?usp=drivesdk"/><s v="https://drive.google.com/file/d/105cRk7vC72JK1EA9WyGiYPQkLW7C53Ad/view?usp=drivesdk"/><s v="https://drive.google.com/file/d/1DQ-5qEEOtHAV_EO0dtcKuZKTfy6PHQQl/view?usp=drivesdk"/><s v="https://drive.google.com/file/d/1BbeoZ9CdBUXQMwPbOQkLBdsayafNFSX2/view?usp=drivesdk"/><s v="https://drive.google.com/file/d/1yHD_X4W7fLNjPrkn11Gu0-mHGcNqrpws/view?usp=drivesdk"/><s v="https://drive.google.com/file/d/1xfxst9Oa-ge7wewPL4HMH7DqgvOPP20b/view?usp=drivesdk"/><s v="https://drive.google.com/file/d/1E11EGVsEk8jXG4anLcX1DKLgm7aqhOmU/view?usp=drivesdk"/><s v="https://drive.google.com/file/d/1sCCY3KYGCCE3zAn1qtYymO7af6DAj-0M/view?usp=drivesdk"/><s v="https://drive.google.com/file/d/1eLY3wQhNqme2S7a_tXRX4gHwGifvXW1x/view?usp=drivesdk"/><s v="https://drive.google.com/file/d/1n72rgjSW6FtAclFquHlO8O2BBvlTnJas/view?usp=drivesdk"/><s v="https://drive.google.com/file/d/1AHAkX3IHAtNC1ywt3EKJgEjl7TvUilkM/view?usp=drivesdk"/><s v="https://drive.google.com/file/d/1wOKjiL59sTbYJAZUPb-UPMjoPu-4HWDV/view?usp=drivesdk"/><s v="https://drive.google.com/file/d/1GUMHnYj_hycM2gMFNTbvEGwdonZHVaEU/view?usp=drivesdk"/><s v="https://drive.google.com/file/d/1OmM2z06gBM63n800JtLoY_5328h0Kj-q/view?usp=drivesdk"/><s v="https://drive.google.com/file/d/1c91FKEwUnH0eT_Uzixr-mWli2LJ6mmul/view?usp=drivesdk"/><s v="https://drive.google.com/file/d/1n0koQ1yLwfPYdmBREVehxKIdhjOoUZSg/view?usp=drivesdk"/><s v="https://drive.google.com/file/d/1X_8gLoQL8UM8XESII7U1_3XXVMeR9N2z/view?usp=drivesdk"/><s v="https://drive.google.com/file/d/1VFtyqV5el7EJVeHaibxWMy34k9LMhbzJ/view?usp=drivesdk"/><s v="https://drive.google.com/file/d/1Z4TItg9VScF62xlkgC_PoPtT-7Vv0iWy/view?usp=drivesdk"/><s v="https://drive.google.com/file/d/1r8gz_OQgXRQyPABeOEgFy2rbZa10e60I/view?usp=drivesdk"/><s v="https://drive.google.com/file/d/1p1O3cA89Rortn-b4c3if2MEMXd31m4nv/view?usp=drivesdk"/><s v="https://drive.google.com/file/d/1egXsfHxw3enkl4JvCEY0lfs0BTX1O2u3/view?usp=drivesdk"/><s v="https://drive.google.com/file/d/1n2AFbrWCoSyUJoEu2sdAqSUYEEqLi3-i/view?usp=drivesdk"/><s v="https://drive.google.com/file/d/1j22rPSmrajVUMaZJ7ZQ_3oBwSfmIAktN/view?usp=drivesdk"/><s v="https://drive.google.com/file/d/1KgVy8pDNXw_rUPEflxR0eTSRI8bSGPLS/view?usp=drivesdk"/><s v="https://drive.google.com/file/d/1VjQnWh7tIM7zl21GEg_LipSiXaJr91Ht/view?usp=drivesdk"/><s v="https://drive.google.com/file/d/17CimGUvhLJDkg1bbuFUCRcNLQJR1151z/view?usp=drivesdk"/><s v="https://drive.google.com/file/d/1RNny0IG7SjWvCfMF8M1draCA9I3tK7lj/view?usp=drivesdk"/><s v="https://drive.google.com/file/d/1CSCUNAQZCt3s32RgzUwXe6pe5scvK0yY/view?usp=drivesdk"/><s v="https://drive.google.com/file/d/1EqvEPwgwndawziGmIPqgl3yNKOI51OAS/view?usp=drivesdk"/><s v="https://drive.google.com/file/d/1UuuzoS4yQn13IfYEyBMumYOQfdcrosni/view?usp=drivesdk"/><s v="https://drive.google.com/file/d/1MSm1yoidPn8M-5atsMIFyyg354c4jcsA/view?usp=drivesdk"/><s v="https://drive.google.com/file/d/18u8UZGmq2oMFWhXRxe2eL3wAp7RT1WdE/view?usp=drivesdk"/><s v="https://drive.google.com/file/d/11AH2LlIZsd9ZFfFjWFxFf5MBHzmbtt8i/view?usp=drivesdk"/><s v="https://drive.google.com/file/d/1hz1780nNZDOTtNpiczqkkXabV668BcRE/view?usp=drivesdk"/><s v="https://drive.google.com/file/d/1Wa36K9XT0urN9xsiAgUftQdgL9C9HECn/view?usp=drivesdk"/><s v="https://drive.google.com/file/d/1bUFd8EhwJ36bo-2xBlOdIPnQvw_apZ06/view?usp=drivesdk"/><s v="https://drive.google.com/file/d/1tin9nciEOGqNUz2Yx-ZnwQtqTwJGFR6v/view?usp=drivesdk"/><s v="https://drive.google.com/file/d/1O4qy3ZvKUUKMZck64Co6Vh7IIH6aPDik/view?usp=drivesdk"/><s v="https://drive.google.com/file/d/1H2OS8Rk6wh8PVpv13iom_WUpLu0fEeBU/view?usp=drivesdk"/><s v="https://drive.google.com/file/d/16b2RhNig_5iqWitXUKqz28-xsE4N6txd/view?usp=drivesdk"/><s v="https://drive.google.com/file/d/13LERMC05_TVKu6xv7g91wRtXxu0ET1Tj/view?usp=drivesdk"/><s v="https://drive.google.com/file/d/1KmyHkB13ZFEziyeMZJmfqm6YYEH53iJL/view?usp=drivesdk"/><s v="https://drive.google.com/file/d/1hVohJjrePDnbP3YuG-OoIFpV1SI20xvZ/view?usp=drivesdk"/><s v="https://drive.google.com/file/d/1qh6jn8CXzXmvxEifk6kq4pZRCYHNO1mu/view?usp=drivesdk"/><s v="https://drive.google.com/file/d/1j0mn959ZZSMHPHeyS9bW6vv9NzM9UaK_/view?usp=drivesdk"/><s v="https://drive.google.com/file/d/1APm26rD_UpSxwv_f7ANPXDv5utKWJ7q3/view?usp=drivesdk"/><s v="https://drive.google.com/file/d/1BpLhL82hbuMif1ihzgQr3rblWCHhGl8w/view?usp=drivesdk"/><s v="https://drive.google.com/file/d/1VIF6kuqnOCJkukqkxuMzonIlfG0vD2p3/view?usp=drivesdk"/><s v="https://drive.google.com/file/d/1FklynAHzflh7rbxQIU4qTxOz3VBhye8B/view?usp=drivesdk"/><s v="https://drive.google.com/file/d/17HYZXEqbs5qMTOba8cEHhBhSIrnkFKeu/view?usp=drivesdk"/><s v="https://drive.google.com/file/d/1HAhZicYSIRv7N-8s64Lp9_8_UnTnmDSR/view?usp=drivesdk"/><s v="https://drive.google.com/file/d/15LBKsey4dgrPQTiibNv2Qi9TOTbc3lk1/view?usp=drivesdk"/><s v="https://drive.google.com/file/d/124BmUuJPp02lcLBvH8AsEmEsbphUT5fW/view?usp=drivesdk"/><s v="https://drive.google.com/file/d/1mbPAy1TbNwV2XOfDjz6F7ail2VgA51o4/view?usp=drivesdk"/><s v="https://drive.google.com/file/d/1EqB8fMj26KyIHeW4JSKwYFh3F2LTTq5t/view?usp=drivesdk"/><s v="https://drive.google.com/file/d/1dD_RkFuxQxk3hkxXbqultnhFhN1opB9Y/view?usp=drivesdk"/><s v="https://drive.google.com/file/d/1hs6XpHWMiyMPANJzK7B4OuBvEZ7slY88/view?usp=drivesdk"/><s v="https://drive.google.com/file/d/1KTndRLnspP4bSM08LU5xlAb5egjHN1hx/view?usp=drivesdk"/><s v="https://drive.google.com/file/d/1MEpc9c6ksJJFPoeqztJd7l8g_1S5mA-8/view?usp=drivesdk"/><s v="https://drive.google.com/file/d/1k1zAeWl01m62ZgoBtOmSJCCoqfFGxddZ/view?usp=drivesdk"/><s v="https://drive.google.com/file/d/1SAkzHUXu2em_LOpzZzUsNAbEmhFQYt6z/view?usp=drivesdk"/><s v="https://drive.google.com/file/d/10N0LzNT1GTgGgvA6UUZUXzIdwFBBm26w/view?usp=drivesdk"/><s v="https://drive.google.com/file/d/1dnoOFsITQ-OlW3SSnEP3gasruwHVCneM/view?usp=drivesdk"/><s v="https://drive.google.com/file/d/1mWHWKkVq6BilZwniJ1YPf3kKFnahjts7/view?usp=drivesdk"/><s v="https://drive.google.com/file/d/18ezWy7djA945zL8CbFQlhWO8EZS4wwS1/view?usp=drivesdk"/><s v="https://drive.google.com/file/d/1ytNNieBfW6njVZa_pFpdio4LUZmKmvXl/view?usp=drivesdk"/><s v="https://drive.google.com/file/d/1GJ1TkFgZk1zziaW-LwEzlbPoGlAfjX81/view?usp=drivesdk"/><s v="https://drive.google.com/file/d/15z0y7asIfplDps5d3R71GhEJxQWqBU9w/view?usp=drivesdk"/><s v="https://drive.google.com/file/d/122eQrKxq-6WpHqYSHCbu_61qufpfQpP1/view?usp=drivesdk"/><s v="https://drive.google.com/file/d/1-SaG8WiDfkM6zwdVOonoQg1W2TXK8F2W/view?usp=drivesdk"/><s v="https://drive.google.com/file/d/19KQFSemeD8gmmrYhmcTweZW1cifRjRsN/view?usp=drivesdk"/><s v="https://drive.google.com/file/d/1UOMf-snqsk6_xm9569d5Yr7tIrEVriap/view?usp=drivesdk"/><s v="https://drive.google.com/file/d/1VxdhYWAzQnqcs07E_QIp8DFonsZrBpYe/view?usp=drivesdk"/><s v="https://drive.google.com/file/d/1-STrPNxtwFZUvuNyyXDlz1bTmYscRd6t/view?usp=drivesdk"/><s v="https://drive.google.com/file/d/15VbpcEsW9L5op3IMpHA4I2dI5ndZgOpe/view?usp=drivesdk"/><s v="https://drive.google.com/file/d/1WsASGCOfsob-mQCui8A8AumUCdwI1vZt/view?usp=drivesdk"/><s v="https://drive.google.com/file/d/1WwYYCOA_x1mX6TzeKfrhq1RdbnoCXoh0/view?usp=drivesdk"/><s v="https://drive.google.com/file/d/12tOopuzKbG82LEOynQuHYZ8im59EjTth/view?usp=drivesdk"/><s v="https://drive.google.com/file/d/1XfDlpkvCBdw9lQuqmsbfM7aoNwvrAoip/view?usp=drivesdk"/><s v="https://drive.google.com/file/d/1z9vM-OymRrqp1u2xxHltR_nTYkRN8Bhe/view?usp=drivesdk"/><s v="https://drive.google.com/file/d/1qgt58xRKt3k8Eix4-bV5OBupJ4bQXEgg/view?usp=drivesdk"/><s v="https://drive.google.com/file/d/1tLDYZKQb4z1ZUitzltLK7vgv1To8FFUF/view?usp=drivesdk"/><s v="https://drive.google.com/file/d/1vmwxHTrl9F3n9CjnCny5Gv7aZ_iSmn06/view?usp=drivesdk"/><s v="https://drive.google.com/file/d/1UsMzRx5dAyBC19d7_59BtDW0beEzge2i/view?usp=drivesdk"/><s v="https://drive.google.com/file/d/1DqdONyqsLP1eg0rgW71wKdPbcflRStOn/view?usp=drivesdk"/><s v="https://drive.google.com/file/d/1HyrNh-agatlqkBI_Y2cQxLTUdJmQoYlf/view?usp=drivesdk"/><s v="https://drive.google.com/file/d/1ZvAbdxhSZjsiTtoGCcl4wKGSEHyET-ky/view?usp=drivesdk"/><s v="https://drive.google.com/file/d/1hN-J6Uky5FuFHoIu7VleAWRSmSqB3wMb/view?usp=drivesdk"/><s v="https://drive.google.com/file/d/1SwGFI5Wz9iRzabOCXMcfTU90XgmL8lKJ/view?usp=drivesdk"/><s v="https://drive.google.com/file/d/1sINTPt9kd7F5Vgc5qW1iK2Ge6313RMjs/view?usp=drivesdk"/><s v="https://drive.google.com/file/d/1HvJhg-z__ZC4L2MVWwWJgR-8s9h67R34/view?usp=drivesdk"/><s v="https://drive.google.com/file/d/1pEsi_zCge4Xxz2XomVjcrFondU662vvE/view?usp=drivesdk"/><s v="https://drive.google.com/file/d/1WfPribPjrUnNwdjyMLceAC2yV6uOwcIj/view?usp=drivesdk"/><s v="https://drive.google.com/file/d/1kdZLBkUApDss7ySLJK034jl3rTKemhnJ/view?usp=drivesdk"/><s v="https://drive.google.com/file/d/1xSVM7VMKatYnl6XkKdkAikq6Hru3wdAI/view?usp=drivesdk"/><s v="https://drive.google.com/file/d/1uCFFMA_-qokNXypcjNJCz-kIkPjXgKuT/view?usp=drivesdk"/><s v="https://drive.google.com/file/d/1lRP53zTo3VPT-PsO3ntfyg-tGbdQtIIK/view?usp=drivesdk"/><s v="https://drive.google.com/file/d/19iYi-koeR6fi39K_iI9D0SdOP6whI2f7/view?usp=drivesdk"/><s v="https://drive.google.com/file/d/1OXOz_E9VpKDoMyophO2ymVaA6QjHkMCY/view?usp=drivesdk"/><s v="https://drive.google.com/file/d/1H1LGxInHGwZQlib48Sk8tAS3t5eXTLL_/view?usp=drivesdk"/><s v="https://drive.google.com/file/d/1-FUitYcnAKMu52rxwYLJUGd9TwUYmGfa/view?usp=drivesdk"/><s v="https://drive.google.com/file/d/1RWYs4BxngJFHCjARwIfsUfl_7-oYLebS/view?usp=drivesdk"/><s v="https://drive.google.com/file/d/1HlSsul-f2PZvtm7eAB3JNvLefgA9BMVI/view?usp=drivesdk"/><s v="https://drive.google.com/file/d/1xJDFi9AZRlHlZ8zxZ8pogfKFGSJiXpeB/view?usp=drivesdk"/><s v="https://drive.google.com/file/d/1XqhWmKG3ZvoLJmLnPSVfonhhVjkaOyOo/view?usp=drivesdk"/><s v="https://drive.google.com/file/d/1cOFI1sWmcyfR3tFVOvV90FUY4g-TwC4Z/view?usp=drivesdk"/><s v="https://drive.google.com/file/d/128D_xuWagaOC3zKfGWUi8CFf7zReyViC/view?usp=drivesdk"/><s v="https://drive.google.com/file/d/1jBszlwOALWIwLYvif4D3xVGXucPXKUwU/view?usp=drivesdk"/><s v="https://drive.google.com/file/d/13XRIYgF2yNC1qLHSQBITGa6oU0w9njVk/view?usp=drivesdk"/><s v="https://drive.google.com/file/d/1btjIxPMyuU5I6jNMm9c2DuyFxN8Pze7t/view?usp=drivesdk"/><s v="https://drive.google.com/file/d/1EbrmM7VFUrWNPY8NxA_ziNU_qOGIUYVa/view?usp=drivesdk"/><s v="https://drive.google.com/file/d/12OzFlZKms2M0ZvYy4yTBRvGof4FqM1Ud/view?usp=drivesdk"/><s v="https://drive.google.com/file/d/1ycY8rorKC9FDqVeTFdgVQQrTEuktcPox/view?usp=drivesdk"/><s v="https://drive.google.com/file/d/1G9_olsUh3tpfcqhh1KX72VpE0keeAnj7/view?usp=drivesdk"/><s v="https://drive.google.com/file/d/1y0oKhgHFMs_nXH4ufYi5ZaxDoesUnD71/view?usp=drivesdk"/><s v="https://drive.google.com/file/d/1NiPCpcI4sxnM3OTJQdqenG265Dkr8hRb/view?usp=drivesdk"/><s v="https://drive.google.com/file/d/1VkkAzt4eeAeZtV2ewwPlwMagejOBaOcs/view?usp=drivesdk"/><s v="https://drive.google.com/file/d/1Lf2mJhcl4k2IlhscpNWAcWIYn_DN1RLo/view?usp=drivesdk"/><s v="https://drive.google.com/file/d/16eIzUB6LjNl3GMULG3vB5p7EO1iC0SJ3/view?usp=drivesdk"/><s v="https://drive.google.com/file/d/15LyeMLPtv2yK2REXBqDLC63QQhUXXDVm/view?usp=drivesdk"/><s v="https://drive.google.com/file/d/1fP-Dr1DLCnPl-2Ya6EGtFK2aCF6SWr93/view?usp=drivesdk"/><s v="https://drive.google.com/file/d/1iTGkXjtQ0EE8-v45xZZ-Yv9zhQVAt2Pn/view?usp=drivesdk"/><s v="https://drive.google.com/file/d/1yQorPB990ECp--s5Y810aRf0XfraQ5Wv/view?usp=drivesdk"/><s v="https://drive.google.com/file/d/1_PDJ9HJdyc65HgAxy4hirK9FdTGjmJt6/view?usp=drivesdk"/><s v="https://drive.google.com/file/d/1uUa0wmROI0qE2xnTwxRVDmnwcW2lORPw/view?usp=drivesdk"/><s v="https://drive.google.com/file/d/1YjgU1oCfPf7_yAtASpZhwJS4TVj_g8CU/view?usp=drivesdk"/><s v="https://drive.google.com/file/d/17-wgGNPZwtL6rEYJQatdPfEg3Zj4LlVp/view?usp=drivesdk"/><s v="https://drive.google.com/file/d/16Fdz5Q4hZTnIAAvzSPJ1UmDOOND5AaDe/view?usp=drivesdk"/><s v="https://drive.google.com/file/d/1GCFNtGI_d_CgIPtrM02hpi0r-UNQaVqq/view?usp=drivesdk"/><s v="https://drive.google.com/file/d/1UTh20eT7TkvvPfQekHv-og8JNZ7R1WP8/view?usp=drivesdk"/><s v="https://drive.google.com/file/d/1EGlmFl81-d1oxiKpGgGytIRbyZhEQLuV/view?usp=drivesdk"/><s v="https://drive.google.com/file/d/1y8mrTT7_nUvHiOOj_Est9-y7QPFPn7bM/view?usp=drivesdk"/><s v="https://drive.google.com/file/d/16CJXCd6Rzqik5rD_iyUPgxYh8MalzPm4/view?usp=drivesdk"/><s v="https://drive.google.com/file/d/1FHV-u9hbFTbf5tQRw4AZBWXvlnvbsJuW/view?usp=drivesdk"/><s v="https://drive.google.com/file/d/1TnJyaUoRrpzVV53y8GXds5wdlyuM-9mX/view?usp=drivesdk"/><s v="https://drive.google.com/file/d/1IyaF2VJcgVfWLGGRX0Pw4RnInw7LvfCb/view?usp=drivesdk"/><s v="https://drive.google.com/file/d/11evBHOPkYEq9tia_AUJzn9cHtIQOUcWa/view?usp=drivesdk"/><s v="https://drive.google.com/file/d/1mE5XaAsbpzpaVByGMY_Y-yHafY0h2G_x/view?usp=drivesdk"/><s v="https://drive.google.com/file/d/1n-xkjkrGpKzc0Ew4FDfG-BXhbw4Koezu/view?usp=drivesdk"/><s v="https://drive.google.com/file/d/19DaZ3U3kDTGt8DNgyBPYTrh0pbrw_vwe/view?usp=drivesdk"/><s v="https://drive.google.com/file/d/12RwvQLmV6wPAqPP_X6JgA8Qo27g_8SJK/view?usp=drivesdk"/><s v="https://drive.google.com/file/d/1je9cw-vS4o0h7s6-W5SXMCb_uEat2QOt/view?usp=drivesdk"/><s v="https://drive.google.com/file/d/1TOZ9euIliRhkN1zDzYb6v8ankkIXs-ya/view?usp=drivesdk"/><s v="https://drive.google.com/file/d/1HdBN17kLB5Dti11EcyS-dTKrGQBVVhsc/view?usp=drivesdk"/><s v="https://drive.google.com/file/d/1Ic6aADz9FFftbyqRAxUFmh-o53coOang/view?usp=drivesdk"/><s v="https://drive.google.com/file/d/1eQcmhUZAM11qxH-mwM6jAouV_rCECXvM/view?usp=drivesdk"/><s v="https://drive.google.com/file/d/1ILNp7MaC4OusbPANu-7wOS3KK98RWdcz/view?usp=drivesdk"/><s v="https://drive.google.com/file/d/1oih40CT0uXiqw7e6vWDoDVi8-0MewGVn/view?usp=drivesdk"/><s v="https://drive.google.com/file/d/1a05JoYmLdyaqZqx1lMlnobPSBoVtshdG/view?usp=drivesdk"/><s v="https://drive.google.com/file/d/1VyZodnC88TkBiX9hwQqLISstx0--OlF9/view?usp=drivesdk"/><s v="https://drive.google.com/file/d/1gzyiuMNHruki0iqw9ZPuG1ROg8sPoSnR/view?usp=drivesdk"/><s v="https://drive.google.com/file/d/1qBoMlGJSxfD9Le6GQLq29-E2xuX5NtUI/view?usp=drivesdk"/><s v="https://drive.google.com/file/d/1LFgNyzLqTELlP9tfS2pwZ6Egg431WCHQ/view?usp=drivesdk"/><s v="https://drive.google.com/file/d/1kMj9bYJrk8644y4gPjpgYXSikwfmuYTS/view?usp=drivesdk"/><s v="https://drive.google.com/file/d/1jS6-wcsNs2BINT3z4pARWRtZLYGXCQno/view?usp=drivesdk"/><s v="https://drive.google.com/file/d/1bo9aASmCjIsAeU5__CNxEyKU60JbH_Oz/view?usp=drivesdk"/><s v="https://drive.google.com/file/d/1vaJaM70la8WjjudMF5sP3NGFuj_0wy9h/view?usp=drivesdk"/><s v="https://drive.google.com/file/d/11jqeGWUpUh79pKFzwZ3T_bBagRuPGFCi/view?usp=drivesdk"/><s v="https://drive.google.com/file/d/1xWbz_w1r9P1BGfJ_vctcFlsqK4cuVLq_/view?usp=drivesdk"/><s v="https://drive.google.com/file/d/1OxFDVNyZI1frRjeq-YzZQaUFqgYur5QQ/view?usp=drivesdk"/><s v="https://drive.google.com/file/d/13_FjItFP6GHekMwAss_IcUYD2Z-Q2DAK/view?usp=drivesdk"/><s v="https://drive.google.com/file/d/1EZllPY8-yvLte77cCpv9UnSzrQEaA1l4/view?usp=drivesdk"/><s v="https://drive.google.com/file/d/1F6e63Lvx_picFSFjsYovkHAFanA2uAHa/view?usp=drivesdk"/><s v="https://drive.google.com/file/d/156tAE8v5cFhpA2JE6GA1a7Ktomq0eLYG/view?usp=drivesdk"/><s v="https://drive.google.com/file/d/1tNde2WsKCKtTxCH7EfB-a1TjXERl50pJ/view?usp=drivesdk"/><s v="https://drive.google.com/file/d/1XAdHa8ntbQreOrtrubV-Qgfz8m_7szBt/view?usp=drivesdk"/><s v="https://drive.google.com/file/d/1Y8W4Pu0XmqnQ5lA-X7ANKZNlSBzl4UGP/view?usp=drivesdk"/><s v="https://drive.google.com/file/d/1KGwRGETP91kM9JQ1Lkln3MN4JSxyj4OW/view?usp=drivesdk"/><s v="https://drive.google.com/file/d/1Mbtg5W4r7YUV6SqGN7Y6QssV1kBq9eYn/view?usp=drivesdk"/><s v="https://drive.google.com/file/d/16qY0dLq9qys2p0JL-JepbP82uCNsmR0S/view?usp=drivesdk"/><s v="https://drive.google.com/file/d/1G4gv0ySakjef__T9l4MU6vM4mSqIKpQf/view?usp=drivesdk"/><s v="https://drive.google.com/file/d/1esh5oqCpj4F374ZeOWGrHgAoZG4Cbaxf/view?usp=drivesdk"/><s v="https://drive.google.com/file/d/1NZ8v6491Ny_LbUh8osKtj88hF7RAiobW/view?usp=drivesdk"/><s v="https://drive.google.com/file/d/1iPMC-k9xrxfHtNZFhdKSSGpPAPPmY3J4/view?usp=drivesdk"/><s v="https://drive.google.com/file/d/1FBVDq-txued5VjX89SxjAxiqVp_WzRYr/view?usp=drivesdk"/><s v="https://drive.google.com/file/d/1jf3ctwxwUpc5AYKxlkNN-odE2ElrZuqN/view?usp=drivesdk"/><s v="https://drive.google.com/file/d/1V4dif0GlZHpTSBPr0wrGGqKPzj36JjUm/view?usp=drivesdk"/><s v="https://drive.google.com/file/d/1Q-7NFLR9V_1Z9QaSQGnQmRUgw6UigOsQ/view?usp=drivesdk"/><s v="https://drive.google.com/file/d/1tY7SvX2n-lCVOB9eR5KtC31EmD0a4uX2/view?usp=drivesdk"/><s v="https://drive.google.com/file/d/1-XMlXEjoIspJ3kqVPF-O6pr1PklAU4DF/view?usp=drivesdk"/><s v="https://drive.google.com/file/d/1_mm78I7fP7y2ESrJlwaIrN7h22W30B5K/view?usp=drivesdk"/><s v="https://drive.google.com/file/d/1TdFZluOSkUInT8sXikux3vYR7IOX4RMk/view?usp=drivesdk"/><s v="https://drive.google.com/file/d/1iXbJmAfK9HnzZ8oDPYgQfHqZeVcgywaq/view?usp=drivesdk"/><s v="https://drive.google.com/file/d/1pcJJj-dcZ2YUNw-3w1ykB27KPj9Bj-By/view?usp=drivesdk"/><s v="https://drive.google.com/file/d/1kb4iozdFSFtKZKGvaK7sOkqlr4kI2jg5/view?usp=drivesdk"/><s v="https://drive.google.com/file/d/1xs7muWdyYdblxSMymp-O09c44czfutsh/view?usp=drivesdk"/><s v="https://drive.google.com/file/d/1sQtBrEeqN1XM_1Qv0mJvDeDfWVWHohWY/view?usp=drivesdk"/><s v="https://drive.google.com/file/d/1vevfUy0iTc6NQfF1T-jwqjcTM_yHdsf0/view?usp=drivesdk"/><s v="https://drive.google.com/file/d/1_iGxIOrj5vzUvhOaCiFYGOOkUVaaRx4p/view?usp=drivesdk"/><s v="https://drive.google.com/file/d/17zk5ntmJwRuglkdI2KDBsmDyHp9ZT9nk/view?usp=drivesdk"/><s v="https://drive.google.com/file/d/1zG4Fc_IEv6joOTyPj0JeBdLMNt-6vqsC/view?usp=drivesdk"/><s v="https://drive.google.com/file/d/1siDzTCg5TAqWvx1F7jfvqWF5y01jo9l6/view?usp=drivesdk"/><s v="https://drive.google.com/file/d/1KEBKYl19fq4HtJxW3DL6KczxjYJ94hp2/view?usp=drivesdk"/><s v="https://drive.google.com/file/d/15kuHQf8erGaSOBxt1lOz994u1DIsHk_v/view?usp=drivesdk"/><s v="https://drive.google.com/file/d/1kCe7dne_GNfNSHLYlAzOzBcQn9yFuOr2/view?usp=drivesdk"/><s v="https://drive.google.com/file/d/1awPCjIHvs8ahIhOincmP_HaNxC6Wg3ei/view?usp=drivesdk"/><s v="https://drive.google.com/file/d/1yWq9VA17bviusA1-gmEWYWL7w6FHKyMI/view?usp=drivesdk"/><s v="https://drive.google.com/file/d/1Dc0I6mdR5VNlZdfy9Q6SxLCujdERpq1s/view?usp=drivesdk"/><s v="https://drive.google.com/file/d/1wEFZG_VXnD2cJrOMtVKNCAqucbV5WQV9/view?usp=drivesdk"/><s v="https://drive.google.com/file/d/1yjVvr6RWduwEsSlj1T5hWk4kZsgSpX7e/view?usp=drivesdk"/></sharedItems></cacheField><cacheField name="ref_r" numFmtId="0"><sharedItems containsBlank="1"><s v="Copy APA style from Google Scholar (or similar), without DOI"/><s v="McRae, K., &amp; Lumian, D. S. (2023, September 28). Replication of WA Cunningham, JJ Van Bavel, IR Johnsen  (2008, PS 19 (2)). https://doi.org/10.17605/OSF.IO/2ZGF9"/><s v="Wilkenfeld, D. A., &amp; Hernández-Conde, J. V. (2017, September 12). Schaffer and Knobe Replication. https://doi.org/10.17605/OSF.IO/39XUW"/><s v="McRae, K., Lumian, D. S., &amp;  T. (2023, September 28). Materials. https://doi.org/10.17605/OSF.IO/7VGKQ"/><s v="Röseler, L., Schütz, A., Burlakovas, E., Dück, M., Fels, S., Janiczek, S., … Seida, C. (2022, September 15). Replication Mussweiler &amp; Englich, 2005, Study 2. https://doi.org/10.17605/OSF.IO/ACYKD"/><s v="Röseler, L., Schütz, A., Blank, P. A., Dück, M., Fels, S., Kupfer, J., ... &amp; Seida, C. (2021). Evidence against subliminal anchoring: Two close, highly powered, preregistered, and failed replication attempts. Journal of Experimental Social Psychology, 92,"/><s v="García-Cerdá, C., Segura, C., &amp; Ferrando, I. (2024). Influence of the Type of Mathematical Problems on Students’ and Pre-service Teachers’ Interest and Performance. A Replication and Elaboration Study. Implementation and Replication Studies in Mathematics"/><s v="Huensch, A. (2024). Clarifying the role of inhibitory control in L2 phonological processing: A preregistered, close replication of Darcy et al.(2016). Studies in Second Language Acquisition, 1-21. https://doi.org/10.1017/S0272263124000238"/><s v="Saxey, M. T., LeBaron‐Black, A. B., Inman, N. F., Yorgason, J. B., &amp; Holmes, E. K. (2024). The earlier couples first discussed finances, the better? A dyadic, longitudinal replication and extension. Family Relations. https://doi.org/10.1111/fare.13030"/><s v="Bertrand, A., Kimmel, J., Duhamel, S., Puel, H., Schifano, A., &amp; Wood, É. (2024). A Replication Study to Evaluate the Effects of Awe on Humility. McGill Science Undergraduate Research Journal, 19(1), 39-45. https://doi.org/10.26443/msurj.v19i1.231"/><s v="Byrne, C., Murphy, J., &amp; Warne, J. P. (2024). Replication Study: Investigating the effects of maximal anaerobic fatigue on dynamic postural control using the Y-Balance Test. Journal of Science and Medicine in Sport. https://doi.org/10.1016/j.jsams.2024.07"/><s v="Wolf, E. J., Miller, M. W., Zhang, R., Sherva, R., Harrington, K. M., Fonda, J. R., ... &amp; Logue, M. W. (2024). No replication of Alzheimer’s disease genetics as a moderator of the association between combat exposure and PTSD risk in 138,592 combat veteran"/><s v="Hüllmann, J. A., &amp; Krebber, S. (2021). Replication Study: Investigating Media Choice and Types of Media Collections of Distributed Workers Using Digital Traces. Available at SSRN 3816626. http://dx.doi.org/10.2139/ssrn.3816626"/><s v="Gettinger, M., Kratochwill, T. R., Levin, J. R., Eubanks, A., &amp; Foy, A. (2024). Academic and behavior combined support: A single-case practice-based replication study. Journal of School Psychology, 104, 101307. https://doi.org/10.1016/j.jsp.2024.101307"/><s v="Solheim, O. J., Foldnes, N., Walgermo, B. R., Bjerke, K. K., Birkedal, I. K., Uppstad, P. H., &amp; Lundetræ, K. (2024). Closing the Gap: A Conceptual Replication of an Early Reading Intervention. Journal of Research on Educational Effectiveness, 1-23. https:"/><s v="Talbott, E., Maggin, D. M., Chua, M., Ashley, L., Chen, X., Chin, P. A., &amp; Curry, M. K. (2024). Outcome-Reporting Bias in Special Education Intervention Research Using Experimental and Quasi-Experimental Group Designs: A Conceptual Replication. Remedial a"/><s v="Gudmestad, A., Edmonds, A., Henderson, C., &amp; Lindqvist, C. (2024). The interpretation of verbal moods in Spanish: A close replication of Kanwit and Geeslin (2014). Studies in Second Language Acquisition, 1–18. https://doi.org/10.1017/S027226312400010X"/><s v="Lang, J. W. B., &amp; Bliese, P. D. (2024). The plausibility of alternative data-generating mechanisms: Comment on and attempt at replication of Dishop (2022).Psychological Methods. Advance online publication. https://doi.org/10.1037/met0000650"/><s v="Solmi, M., Lähteenvuo, M., Tanskanen, A., Corbeil, O., Mittendorfer-Rutz, E., Correll, C. U., ... &amp; Taipale, H. (2024). Antipsychotic Use and Risk of Breast Cancer in Women With Severe Mental Illness: Replication of a Nationwide Nested Case–Control Databa"/><s v="Andres, E., Chuan-Peng, H., Gerlicher, A. M., Meyer, B., Tüscher, O., &amp; Kalisch, R. (2024). Replication study on the role of dopamine-dependent prefrontal reactivations in human extinction memory retrieval. Nature Communications, 15(1), 2699. https://doi."/><s v="Xu, J., &amp; Zhang, R. (2024). Attitudinal, Normative, and Resource Factors Affecting Communication Scholars’ Data Sharing: A Replication Study. Media and Communication, 12. https://doi.org/10.17645/mac.7666"/><s v="Xu, J., &amp; Zhang, R. (2024). Attitudinal, Normative, and Resource Factors Affecting Communication Scholars’ Data Sharing: A Replication Study. Media and Communication, 12. https://doi.org/10.17645/mac.7667"/><s v="Xu, J., &amp; Zhang, R. (2024). Attitudinal, Normative, and Resource Factors Affecting Communication Scholars’ Data Sharing: A Replication Study. Media and Communication, 12. https://doi.org/10.17645/mac.7668"/><s v="Xu, J., &amp; Zhang, R. (2024). Attitudinal, Normative, and Resource Factors Affecting Communication Scholars’ Data Sharing: A Replication Study. Media and Communication, 12. https://doi.org/10.17645/mac.7669"/><s v="Chang, H., Nainani, T., &amp; Kim, J. Y. (2024). Comparison of Acquisition Criteria Applied to Individual and Sets of Tacts: A Systematic Replication. Behavior Analysis in Practice, 1-6. https://doi.org/10.1007/s40617-024-00933-1"/><s v="Robertson, C. E., Akles, M., &amp; Van Bavel, J. J.(in press). Preregistered Replication and Extension of &quot;Moral Hypocrisy: Social Groups and the Flexibility of Virtue&quot;. Psychological Science. https://doi.org/10.31234/osf.io/453js"/><s v="Xiao, Q., Elsherif, M., Chu, H. Y., Tang, M. C., Wong, T. H. A., Wu, Y., ... &amp; Feldman, G. Revisiting the positive association between loneliness and anthropomorphism with an extension to belief in free will: A Registered Report replication and extension "/><s v="Delem, M., Stauffert, N., Nguyen, N., Debarnot, U., Guillot, A., &amp; Nalborczyk, L. (2024, March 27). Does the corollary discharge provide the sensory content of inner speech? A preregistered direct replication and extension of Scott  (2013). https://doi.or"/><s v="Tedaldi, E., Syropoulos, S., &amp; Markowitz, E. M. (2024). Re-examining feelings of responsibility as a predictor of climate belief and worry: A replication across 31 countries. Journal of Environmental Psychology, 102289. https://doi.org/10.1016/j.jenvp.202"/><s v="Macias Mendoza, S. (2024). A Replication of a Systematic Review of Behavioral Interventions in Sports. [Master's thesis, Youngstown State University]. OhioLINK Electronic Theses and Dissertations Center. http://rave.ohiolink.edu/etdc/view?acc_num=ysu17147"/><s v="Stewart, J. L., Burrows, K., May, A. C., McNaughton, B. A., Smith, R., Kuplicki, R., ... &amp; Figueroa-Hall, L. (2024). C-Reactive Protein Concentrations Diverge as a Function of Substance Use Disorder: A Pre-Registered Replication in a Clinical Sample. Drug"/><s v="Fox, A. E. (2024). Immediate Reinforcement Training Has Moderate Effect on Delay Discounting Behavior in Rats: A Systematic Replication. The Psychological Record, 1-6. https://doi.org/10.1007/s40732-024-00597-x"/><s v="Fox, A.E. Immediate Reinforcement Training Has Moderate Effect on Delay Discounting Behavior in Rats: A Systematic Replication. Psychol Rec (2024). https://doi.org/10.1007/s40732-024-00597-x"/><s v="Liu, K., Wright, M. E., Cole, L. A., &amp; Warren, S. L. (2024). Bi-factor model of repetitive thinking: Replication and extension. Personality and Individual Differences, 226, 112692. https://doi.org/10.1016/j.paid.2024.112692"/><s v="Martínez, M. A., Saux, G., Londra, F., &amp; Burin, D. I. (2024). Effects of a classroom intervention on college students’ sourcing skills: replication and extension study. Discourse Processes, 1–26. https://doi.org/10.1080/0163853X.2024.2339738"/><s v="Martínez, M. A., Saux, G., Londra, F., &amp; Burin, D. I. (2024). Effects of a classroom intervention on college students’ sourcing skills: replication and extension study. Discourse Processes, 1-26."/><s v="Smołka, E., &amp; Blank, H. (2024). Double misinformation and eyewitness performance: An experimental replication. Applied Cognitive Psychology, 38(3), e4202. https://doi.org/10.1002/acp.4202"/><s v="Beyersmann, E., &amp; Grainger, J. (2024). A replication of morphological flanker effects in French. Language, Cognition and Neuroscience, 1–6. https://doi.org/10.1080/23273798.2024.2337948"/><s v="Magne, V. (2024). Replication research in the domain of perceived L2 fluency: Approximate and close replications of Kormos and Dénes (2004) and Rossiter (2009). Language Teaching, 1–9. doi:10.1017/S0261444824000120"/><s v="Magne, V. (2024). Replication research in the domain of perceived L2 fluency: Approximate and close replications of Kormos and Dénes (2004) and Rossiter (2009). Language Teaching, 1-9."/><s v="Magne, V. (2024). Replication research in the domain of perceived L2 fluency: Approximate and close replications of Kormos and Dénes (2004) and Rossiter (2009). Language Teaching, 1–9. https://doi.org/10.1017/S0261444824000120"/><s v="Cook, J. L., Baruni, R. R., Pinkston, J. W., Rapp, J. T., Miltenberger, R. G., Deshmukh, S., Walker, E., &amp; Tai, S. (2024). Comparing stimulus preference and response force in a conjugate preparation: A replication with auditory stimulation. Journal of the"/><s v="Sfärlea, A., Buhl, C., Lukas, L., &amp; Schulte‐Körne, G. (2024). Superior facial emotion recognition in adolescents with anorexia nervosa–A replication study. European Eating Disorders Review. https://doi.org/10.1002/erv.3103"/><s v="Parrish, K. (2024). Statistical Insignificance is not wholesale transfer in L3 Acquisition: an approximate replication of Rothman (2011). Studies in Second Language Acquisition, 1-18. https://doi.org/10.1017/S0272263124000342"/><s v="Bailey, C.D. (2024), &quot;Fraudulent Research Practices in Accounting: A Replication and Extension of Bailey, Hasselback, and Karcher (2001)&quot;, Shawver, T.J. (Ed.) Research on Professional Responsibility and Ethics in Accounting (Research on Professional Respo"/><s v="Rode, J., Jonuschies, I., Matthiesen, S., &amp; Gericke, K. (2024). Replication studies in engineering design–a feasibility study. Proceedings of the Design Society, 4, 115-124. https://doi.org/10.1017/pds.2024.14"/><s v="Evans, T. R., Kviatkovskyte, R., O'Regan, S., Adolph, S. A.,  n., Chukwudi, F. O. N., … Krzan, M. (2024, February 5). Corruption and Hierarchy: A Replication of Studies 1c and 6 of Fath &amp; Kay 2018. https://doi.org/10.31234/osf.io/68jft"/><s v="Katla, J. (2024). Replication of Construct Validity of the Behavior Assessment System for Children-Teacher Rating Scales (BASC-3 TRS) and the Adjustment Scales for Children and Adolescents (ASCA). https://thekeep.eiu.edu/theses/5025?utm_source=thekeep.eiu"/><s v="Chen, W., Dong, B., Hsieh, C.-W., Lee, M. J., Liu, N., Walker, R. M., Wang, Y., Wen, B., Wen, W., Wu, P., Wu, X., &amp; Zhang, J. (2022). A replication of &quot;an experimental test of the expectancy-disconfirmation theory of citizen satisfaction&quot;. Public Administ"/><s v="Przepiórkowski, A., Borysiak, M., &amp; Głowacki, A. (2024, May). An Argument for Symmetric Coordination from Dependency Length Minimization: A Replication Study. In Proceedings of the 2024 Joint International Conference on Computational Linguistics, Language"/><s v="Tyvoll, A. (2024). Proportionality in Public Support for Terrorism Retaliation: A Replication and Extension Study. "/><s v="Tyvoll, A. (2024). Proportionality in Public Support for Terrorism Retaliation: A Replication and Extension Study."/><s v="Pond, N., Meeten, F., Dr, Clarke, P., Notebaert, L., &amp; Scott, R. B. (2023, September 15). The Efficacy of Attentional Bias Modification for Anxiety: A Registered Replication. https://doi.org/10.31234/osf.io/cf4xz"/><s v="Stephenson, Corinne (2024). Trends in U.S. Wage Inequality: Revising the Revisionists. A Replication Study of Autor, Katz, and Kearney (2008). Journal of Comments and Replications in Economics, Vol.3 (2024-4). https://doi.org/10.18718/81781.34"/><s v="Özkan Miller, V., &amp; Larsson, T. (2024). The effect of linguistic and extralinguistic features on EFL adverb placement: A partial replication study of Larsson et al.(2020). International Journal of Learner Corpus Research. https://doi.org/10.1075/ijlcr.000"/><s v="Ward, R., &amp; Awani, J. (2024). Bilingualism and flexibility in task switching: A close replication study. Studies in Second Language Acquisition, 1-17. https://doi.org/10.1017/S0272263124000378"/><s v="Thornton, K. B. (2024). PERCEPTIONS OF MATTERING AMONG GENERAL EDUCATION TEACHERS: REPLICATION, VALIDATION, AND EXTENSION OF THE FUNDAMENTAL ELEMENTS OF MATTERING SCALE FOR TEACHERS (FEMS-T)."/><s v="Kontkanen, J. (2024). Investigating the effect of proficiency level on the acquisition order of morphemes for L2 English learners: A replication of a corpus-based SLA study using Interlanguage Annotation."/><s v="Piniel, K. (2024). The Input, Process, and Output Anxiety Scales: An Approximate Replication Study. In: Investigating Foreign Language Anxiety. Second Language Learning and Teaching. Springer, Cham. https://doi.org/10.1007/978-3-031-55844-3_4"/><s v="Tamm, G., Koster, E. H., &amp; Hoorelbeke, K. Evaluating Theories of Repetitive Negative Thinking: Replication and Extension. http://dx.doi.org/10.31234/osf.io/kpcwv"/><s v="Sastre Gomez, V., Defina, R., Garrett, P. M., Zacks, J. M., &amp; Dennis, S. (2024). Event Distribution in Daily Life: A Replication Study. In Proceedings of the Annual Meeting of the Cognitive Science Society (Vol. 46)."/><s v="van den Brink, G., van Eyghen, H., &amp; Peels, R. (2024). Brooke on the Merton-thesis: A Direct Replication of John Hedley Brooke's Chapter on Scientific and Religious Reform. Zygon: Journal of Religion and Science, 59."/><s v="van den Brink, G., Pear, R., &amp; Peels, R. (2024). Jewish Responses to Copernican Thought: A Conceptual Replication of John Hedley Brooke's Chapter on Scientific and Religious Reform. Zygon: Journal of Religion and Science, 59."/><s v="Renbarger, R., Sulak, T., &amp; Morgan, G. (2022). The Importance of Teacher Credentials for Early Achievement: A Replication of Croninger et al. (2007) Econ. Edu. Rev. ReScience X, 1(1). Retrieved from http://rescience.org/x/article/view/8"/><s v="Bachouche, H., Hamdi-Kidar, L., &amp; Sabri, O. (2024). Empowerment strategies and their effects in digital contexts: corroboration, replication, and extension. International Journal of Advertising, 1-32. https://doi.org/10.1080/02650487.2024.2362015"/><s v="Schroeder, P. A., Collantoni, E., Lohmann, J., Butz, M. V., &amp; Plewnia, C. (2024). Virtual Reality Assessment of a High-Calorie Food Bias: Replication and Food-Specificity in Healthy Participants. Behavioural Brain Research, 115096. https://doi.org/10.1016"/><s v="Schulz-Hardt, S., Rollwage, J., Wanzel, S. K., Frisch, J. U., &amp; Häusser, J. A. (2021). Effects of process and outcome accountability on escalating commitment: A two-study replication. Journal of Experimental Psychology: Applied, 27(1), 112–124. https://do"/><s v="Loibl, K., Leuders, T. Can failure be made productive also in Bayesian reasoning? A conceptual replication study. Instr Sci (2024). https://doi.org/10.1007/s11251-024-09670-y"/><s v="Schultze, T., &amp; Schulz-Hardt, S. (2022). Does change of responsibility reduce escalating commitment? A replication and theoretical extension. Journal of Experimental Psychology: Applied, 28(1), 189–204. https://doi.org/10.1037/xap0000366"/><s v="Hennessy, S., Greer, T., Narayanan, S., &amp; Habibi, A. (2024). Unique affective profile of music-evoked nostalgia: An extension and conceptual replication of Barrett et al.’s (2010) study. Emotion, 24(8), 1803–1825. https://doi.org/10.1037/emo0001389"/><s v="Teng, X., Zhang, Y., Qi, R., Wu, Y., Mu, Z., Chow, K., &amp; Feldman, G. (2024, June 21). Revisiting the the psychology of windfall gains: Replication and extensions Registered Report of Arkes et al. (1994) Studies 1, 2, and 3. https://doi.org/10.17605/OSF.IO"/><s v="Hohensee, C., &amp; Borji, V. (2024). Preparing elementary pre-service teachers to teach early algebra: A conceptual replication study. The Journal of Mathematical Behavior, 75, 101174. https://doi.org/10.1016/j.jmathb.2024.101174"/><s v="Rife, S. C., Lambert, Q. S., Calin-Jageman, R., Adamkovic, M., Baník, G., Barberia, I., … Wiggins, B. J. (2024, July 3). Registered Replication Report: Study 3 from Trafimow and Hughes  (2012). https://doi.org/10.31234/osf.io/esu9z"/><s v="Bischoff, M. (2024). Evaluating the reliability of relative frontal alpha asymmetry as a state-dependent correlate of the stress response in a mixed-sex sample: A replication study (Master's thesis, University of Twente). Retrieved from https://purl.utwen"/><s v="Liu, D., Calver, J., &amp; Craig, M. (2024). Are a Static Analysis Tool Study's Findings Static? A Replication. In Proceedings of the 2024 on Innovation and Technology in Computer Science Education V. 1 (pp. 80-86). https://doi.org/10.1145/3649217.3653545"/><s v="Liu, D., Calver, J., &amp; Craig, M. (2024). Are a Static Analysis Tool Study's Findings Static? A Replication. In Proceedings of the 2024 on Innovation and Technology in Computer Science Education V. 1 (pp. 80-86). https://doi.org/10.1145/3649217.3653546"/><s v="Sampaio, I. B., &amp; Sampaio, A. (2024, June). Replication of a Study about the Impact of Method Chaining and Comments on Readability and Comprehension. In 2024 4th International Conference on Code Quality (ICCQ) (pp. 35-52). IEEE. https://doi.org/10.1109/IC"/><s v="Byrne, M. E., Kirschner, S., Harrewijn, A., Abend, R., Lazarov, A., Liuzzi, L., ... &amp; Pine, D. S. (2024). Eye-tracking measurement of attention bias to social threat among youth: A replication and extension study. Journal of Mood &amp; Anxiety Disorders, 1000"/><s v="Løhre, E., Chandrashekar, S. P., Mayiwar, L., &amp; Hærem, T. (2024). Uncertainty, expertise, and persuasion: A replication and extension of. Journal of Experimental Social Psychology, 113, 104619. https://doi.org/10.1016/j.jesp.2024.104619"/><s v="Ryan, M., King, H., Chesbrough, E. et al. Increasing Toy Engagement via Response Disequilibrium Theory: A Systematic Replication. Psychol Rec (2024). https://doi.org/10.1007/s40732-024-00601-4"/><s v="Dixit, U., He, J., Whited, M., Ellis, J. M., &amp; Zickgraf, H. F. (2023). Negative emotional eating patterns among American university students: A replication study. Appetite, 186, 106554."/><s v="Dixit, U., He, J., Whited, M., Ellis, J. M., &amp; Zickgraf, H. F. (2023). Negative emotional eating patterns among American university students : A replication study. Appetite, 186, 106554. "/><s v="Xu, Y., Song, J., Ren, Y., Barnhart, W. R., Dixit, U., Ji, F., Chen, C., &amp; He, J. (2024). Negative emotional eating patterns in general Chinese adults: A replication and expansion study examining group differences in eating disorder symptomatology, psycho"/><s v="Xu, Y., Song, J., Ren, Y., Barnhart, W. R., Dixit, U., Ji, F., Chen, C., &amp; He, J. (2024). Negative emotional eating patterns in general Chinese adults : A replication and expansion study examining group differences in eating disorder symptomatology, psych"/><s v="Krauss, S., &amp; Orth, U. (2024). Family environment and self-esteem development in adolescence: A replication and extension. Journal of Research in Personality, 104511. https://doi.org/10.1016/j.jrp.2024.104511"/><s v="Weidmann, R., Alabdullah, A., Warkentien, J., Vesikar, S., Denehy, M. E., Yang, H., Rakhshani, A., Brent Donnellan, M., &amp; Lucas, R. E. (2024). Does Perceived Similarity Between Present and Future Self Predict Well-Being? A Reanalysis and Replication of. S"/><s v="Patt, S. (2024). Age-Related Microaggressions: A Semi-Replication. https://cornerstone.lib.mnsu.edu/cgi/viewcontent.cgi?article=2424&amp;context=etds"/><s v="Akselevich, V., &amp; Gilaie-Dotan, S. (2024). Positive and negative facial valence perception are modulated differently by eccentricity in the parafovea: Replication from KDEF to NimStim. Scientific reports, 14(1), 13757. https://doi.org/10.1038/s41598-024-6"/><s v="Dolin, L., Stratton, J., &amp; Donatien, J. (2024). A Test of the Generalizability of a New Guilty Plea Decision-making Model Grounded in Fuzzy Trace Theory: A replication of Zottoli, Helm et al.(2023; Study 3). https://digitalcommons.montclair.edu/student-re"/><s v="Lacey, C., Paterson, T., Gawryluk, J. R., &amp; Alzheimer’s Disease Neuroimaging Initiative. (2024). Impact of APOE-ε alleles on brain structure and cognitive function in healthy older adults: A VBM and DTI replication study. Plos one, 19(4), e0292576. https:"/><s v="Langton, S., Ruiter, S., &amp; Verlaan, T. (2023). Describing the scale and composition of calls for police service: A replication and extension using open data. Police Practice and Research, 24(5), 523-538. https://doi.org/10.1080/15614263.2022.2102494"/><s v="Nivette, A., Nägel, C., &amp; Gilbert, E. (2023). Examining the effects of the killing of George Floyd by police in the United States on attitudes of Black Londoners: a replication. Police Practice and Research, 24(5), 575–596. https://doi.org/10.1080/1561426"/><s v="Balsa, A., Bloomfield, J. &amp; Cid, A. The Conceptual Replication of Crianza Positiva E-Messaging Program During the COVID-19 Pandemic: Too Much or Too Little Information?. J Fam Econ Iss (2024). https://doi.org/10.1007/s10834-024-09975-7"/><s v="Balsa, A., Bloomfield, J. &amp; Cid, A. The Conceptual Replication of Crianza Positiva E-Messaging Program During the COVID-19 Pandemic: Too Much or Too Little Information?. J Fam Econ Iss (2024). https://doi.org/10.1007/s10834-024-09975-8"/><s v="Balsa, A., Bloomfield, J. &amp; Cid, A. The Conceptual Replication of Crianza Positiva E-Messaging Program During the COVID-19 Pandemic: Too Much or Too Little Information?. J Fam Econ Iss (2024). https://doi.org/10.1007/s10834-024-09975-9"/><s v="Balsa, A., Bloomfield, J. &amp; Cid, A. The Conceptual Replication of Crianza Positiva E-Messaging Program During the COVID-19 Pandemic: Too Much or Too Little Information?. J Fam Econ Iss (2024). https://doi.org/10.1007/s10834-024-09975-10"/><s v="Balsa, A., Bloomfield, J. &amp; Cid, A. The Conceptual Replication of Crianza Positiva E-Messaging Program During the COVID-19 Pandemic: Too Much or Too Little Information?. J Fam Econ Iss (2024). https://doi.org/10.1007/s10834-024-09975-11"/><s v="Balsa, A., Bloomfield, J. &amp; Cid, A. The Conceptual Replication of Crianza Positiva E-Messaging Program During the COVID-19 Pandemic: Too Much or Too Little Information?. J Fam Econ Iss (2024). https://doi.org/10.1007/s10834-024-09975-12"/><s v="Balsa, A., Bloomfield, J. &amp; Cid, A. The Conceptual Replication of Crianza Positiva E-Messaging Program During the COVID-19 Pandemic: Too Much or Too Little Information?. J Fam Econ Iss (2024). https://doi.org/10.1007/s10834-024-09975-13"/><s v="Balsa, A., Bloomfield, J. &amp; Cid, A. The Conceptual Replication of Crianza Positiva E-Messaging Program During the COVID-19 Pandemic: Too Much or Too Little Information?. J Fam Econ Iss (2024). https://doi.org/10.1007/s10834-024-09975-14"/><s v="Balsa, A., Bloomfield, J. &amp; Cid, A. The Conceptual Replication of Crianza Positiva E-Messaging Program During the COVID-19 Pandemic: Too Much or Too Little Information?. J Fam Econ Iss (2024). https://doi.org/10.1007/s10834-024-09975-15"/><s v="Balsa, A., Bloomfield, J. &amp; Cid, A. The Conceptual Replication of Crianza Positiva E-Messaging Program During the COVID-19 Pandemic: Too Much or Too Little Information?. J Fam Econ Iss (2024). https://doi.org/10.1007/s10834-024-09975-16"/><s v="Menegale, M., &amp; Spricigo, L. (2024). Enhancing L2 confidence through learning diaries: A replication study on Italian lower-secondary school students. Studies in Self-Access Learning Journal, 15(2), 187–212. https://doi.org/10.37237/150205"/><s v="Metskas, A. K. (2024, June 26). Replication of a study from “Relational diversity in social portfolios predicts well-being”  (PNAS | Collins et al. 2022). https://doi.org/10.31234/osf.io/jfmsz"/><s v="Metskas, A. K. (2024, June 26). Replication of a study from “Knowledge about others reduces one’s own sense of anonymity”  (Nature | Shah &amp; LaForest 2022). https://doi.org/10.31234/osf.io/xjaty"/><s v="Pruett, M. K., Wang, X., Zhu, T., Alschech, J., &amp; Saini, M. (2024). The Co-Parenting Across Family Structures Scale: Replication for Mandarin parents. Family process, 10.1111/famp.12997. Advance online publication. https://doi.org/10.1111/famp.12997"/><s v="Seward, R., &amp; Redner, R. (2024). A replication of extended implementation and social interaction during the Step it UP! Game for adults with disabilities. Journal of Applied Behavior Analysis, 1–16. https://doi.org/10.1002/jaba.1098"/><s v="Malesky, E. J., &amp; Nguyen, T. A. (2024). Historical Communist Party Strength and Modern Party Loyalty. A Replication Study of Barceló (PNAS, 2021). Journal of Comments and Replications in Economics (JCRE), 3(2024-5), 1-27. https://doi.org/10.18718/81781.35"/><s v="Couture, C., Veilleux, C., Chinhama, S., de Boinod, O. J., Payment, B., Husereau, T., &amp; Ouellette, É. (2024). Articulatory rehearsal and phonological storage in working memory: A replication of Longoni et al. (1993). The Quantitative Methods for Psycholog"/><s v="Cesar Teló, Rosane Silveira, Ana Flávia Boeing Marcelino, Mary G O’Brien, Accent Bias in Professional Evaluations: A Conceptual Replication Study in Brazil, Applied Linguistics, 2024;, amae042, https://doi.org/10.1093/applin/amae042"/><s v="Cesar Teló, Rosane Silveira, Ana Flávia Boeing Marcelino, Mary G O’Brien, Accent Bias in Professional Evaluations: A Conceptual Replication Study in Brazil, Applied Linguistics, 2024;, amae042, https://doi.org/10.1093/applin/amae043"/><s v="Cesar Teló, Rosane Silveira, Ana Flávia Boeing Marcelino, Mary G O’Brien, Accent Bias in Professional Evaluations: A Conceptual Replication Study in Brazil, Applied Linguistics, 2024;, amae042, https://doi.org/10.1093/applin/amae044"/><s v="Fernandes, J., &amp; Segev, S. (2024). The persuasion cues that make video advertising go viral: a conceptual replication and extension comparing viral vs. Non-viral advertising. Journal of Marketing Communications, 1–27. https://doi.org/10.1080/13527266.2024"/><s v="Holbrook, A., Park, B., Baldwin, S., Riesel, A., Larson, M. J., &amp; Clayson, P. E. (2024, July 10). Psychometric Reliability of ERN and Pe Across Flanker, Stroop, and Go/No-Go Tasks: A Direct and Conceptual Replication. https://doi.org/10.31234/osf.io/xr6bn"/><s v="Lee, N., &amp; Hittmair, F. (2024). The Colors of Aliens: A Replication Study on Environmental Practices of Foreign-Owned Establishments. In Academy of Management Proceedings (Vol. 2024, No. 1, p. 19578). Valhalla, NY 10595: Academy of Management. https://doi"/><s v="MacDonald, J., Lee, S., &amp; Wilbiks, J. (2024). Generalized anxiety disorder and selective attention: An unsuccessful replication of Yiend et al.,(2015) in a student population. Visual Cognition, 1-9. https://doi.org/10.1080/13506285.2024.2343157"/><s v="Eben, C., Chen, Z., London, R. E., &amp; Verbruggen, F. (2024). Escalating frustration-A replication attempt and extension of Yu et al.(2014). Open Research Europe, 4(135), 135. https://doi.org/10.12688/openreseurope.17749.1"/><s v="Pruski, S. M. (2024). The impact of Screen Time, Social Media Use and Extraversion on Life Satisfaction among University Students: An extended replication study (Bachelor's thesis, University of Twente). Retrieved from https://purl.utwente.nl/essays/10045"/><s v="Yang, H., &amp; Zhang, W. Explaining the decline of China's labor share: A wide replication of Oberfield and Raval (2021). Journal of Applied Econometrics. https://doi.org/10.1002/jae.3082"/><s v="Teng, X., Lau, K. W., Ng, T. K., Chan, K. P., Yeung, W., Yeung, S. K., &amp; Feldman, G. Revisiting the mechanism underlying the default effect: Implicit recommendations, perceived trustworthiness, and preference uncertainty in a replication and extensions Re"/><s v="Moore, D. A., Schroeder, J., Bailey, E. R., Gershon, R., Moore, J. E., &amp; Simmons, J. P. (2024). Does thinking about God increase acceptance of artificial intelligence in decision-making? *Proceedings of the National Academy of Sciences of the United State"/><s v="Boyce, V., Mathur, M., &amp; Frank, M. C. (2023). Eleven years of student replication projects provide evidence on the correlates of replicability in psychology. Royal Society Open Science, 10(11), 231240. https://doi.org/10.1098/rsos.231240"/><s v="Boyce, V., Mathur, M., &amp; Frank, M. C. (2023). Eleven years of student replication projects provide evidence on the correlates of replicability in psychology. Royal Society Open Science, 10(11), 231240. https://doi.org/10.1098/rsos.231173"/><s v="Boyce, V., Mathur, M., &amp; Frank, M. C. (2023). Eleven years of student replication projects provide evidence on the correlates of replicability in psychology. Royal Society Open Science, 10(11), 231240. https://doi.org/10.1098/rsos.231076"/><s v="Cova, F., Strickland, B., Abatista, A., Allard, A., Andow, J., Attie, M., Beebe, J., Berniūnas, R., Boudesseul, J., Colombo, M., Cushman, F., Diaz, R., N'Djaye Nikolai van Dongen, N., Dranseika, V., Earp, B. D., Torres, A. G., Hannikainen, I., Hernández-C"/><s v="Boyce, V., Mathur, M., &amp; Frank, M. C. (2023). Eleven years of student replication projects provide evidence on the correlates of replicability in psychology. Royal Society Open Science, 10(11), 231240. https://doi.org/10.1098/rsos.231065"/><s v="Boyce, V., Mathur, M., &amp; Frank, M. C. (2023). Eleven years of student replication projects provide evidence on the correlates of replicability in psychology. Royal Society Open Science, 10(11), 231240. https://doi.org/10.1098/rsos.231091"/><s v="Boyce, V., Mathur, M., &amp; Frank, M. C. (2023). Eleven years of student replication projects provide evidence on the correlates of replicability in psychology. Royal Society Open Science, 10(11), 231240. https://doi.org/10.1098/rsos.231092"/><s v="Boyce, V., Mathur, M., &amp; Frank, M. C. (2023). Eleven years of student replication projects provide evidence on the correlates of replicability in psychology. Royal Society Open Science, 10(11), 231240. https://doi.org/10.1098/rsos.231093"/><s v="Boyce, V., Mathur, M., &amp; Frank, M. C. (2023). Eleven years of student replication projects provide evidence on the correlates of replicability in psychology. Royal Society Open Science, 10(11), 231240. https://doi.org/10.1098/rsos.231094"/><s v="Boyce, V., Mathur, M., &amp; Frank, M. C. (2023). Eleven years of student replication projects provide evidence on the correlates of replicability in psychology. Royal Society Open Science, 10(11), 231240. https://doi.org/10.1098/rsos.231095"/><s v="Boyce, V., Mathur, M., &amp; Frank, M. C. (2023). Eleven years of student replication projects provide evidence on the correlates of replicability in psychology. Royal Society Open Science, 10(11), 231240. https://doi.org/10.1098/rsos.231096"/><s v="Boyce, V., Mathur, M., &amp; Frank, M. C. (2023). Eleven years of student replication projects provide evidence on the correlates of replicability in psychology. Royal Society Open Science, 10(11), 231240. https://doi.org/10.1098/rsos.231097"/><s v="Boyce, V., Mathur, M., &amp; Frank, M. C. (2023). Eleven years of student replication projects provide evidence on the correlates of replicability in psychology. Royal Society Open Science, 10(11), 231240. https://doi.org/10.1098/rsos.231098"/><s v="Boyce, V., Mathur, M., &amp; Frank, M. C. (2023). Eleven years of student replication projects provide evidence on the correlates of replicability in psychology. Royal Society Open Science, 10(11), 231240. https://doi.org/10.1098/rsos.231099"/><s v="Boyce, V., Mathur, M., &amp; Frank, M. C. (2023). Eleven years of student replication projects provide evidence on the correlates of replicability in psychology. Royal Society Open Science, 10(11), 231240. https://doi.org/10.1098/rsos.231100"/><s v="Boyce, V., Mathur, M., &amp; Frank, M. C. (2023). Eleven years of student replication projects provide evidence on the correlates of replicability in psychology. Royal Society Open Science, 10(11), 231240. https://doi.org/10.1098/rsos.231066"/><s v="Boyce, V., Mathur, M., &amp; Frank, M. C. (2023). Eleven years of student replication projects provide evidence on the correlates of replicability in psychology. Royal Society Open Science, 10(11), 231240. https://doi.org/10.1098/rsos.231101"/><s v="Boyce, V., Mathur, M., &amp; Frank, M. C. (2023). Eleven years of student replication projects provide evidence on the correlates of replicability in psychology. Royal Society Open Science, 10(11), 231240. https://doi.org/10.1098/rsos.231102"/><s v="Boyce, V., Mathur, M., &amp; Frank, M. C. (2023). Eleven years of student replication projects provide evidence on the correlates of replicability in psychology. Royal Society Open Science, 10(11), 231240. https://doi.org/10.1098/rsos.231103"/><s v="Boyce, V., Mathur, M., &amp; Frank, M. C. (2023). Eleven years of student replication projects provide evidence on the correlates of replicability in psychology. Royal Society Open Science, 10(11), 231240. https://doi.org/10.1098/rsos.231104"/><s v="Boyce, V., Mathur, M., &amp; Frank, M. C. (2023). Eleven years of student replication projects provide evidence on the correlates of replicability in psychology. Royal Society Open Science, 10(11), 231240. https://doi.org/10.1098/rsos.231105"/><s v="Boyce, V., Mathur, M., &amp; Frank, M. C. (2023). Eleven years of student replication projects provide evidence on the correlates of replicability in psychology. Royal Society Open Science, 10(11), 231240. https://doi.org/10.1098/rsos.231106"/><s v="Boyce, V., Mathur, M., &amp; Frank, M. C. (2023). Eleven years of student replication projects provide evidence on the correlates of replicability in psychology. Royal Society Open Science, 10(11), 231240. https://doi.org/10.1098/rsos.231107"/><s v="Boyce, V., Mathur, M., &amp; Frank, M. C. (2023). Eleven years of student replication projects provide evidence on the correlates of replicability in psychology. Royal Society Open Science, 10(11), 231240. https://doi.org/10.1098/rsos.231108"/><s v="Boyce, V., Mathur, M., &amp; Frank, M. C. (2023). Eleven years of student replication projects provide evidence on the correlates of replicability in psychology. Royal Society Open Science, 10(11), 231240. https://doi.org/10.1098/rsos.231109"/><s v="Boyce, V., Mathur, M., &amp; Frank, M. C. (2023). Eleven years of student replication projects provide evidence on the correlates of replicability in psychology. Royal Society Open Science, 10(11), 231240. https://doi.org/10.1098/rsos.231110"/><s v="Boyce, V., Mathur, M., &amp; Frank, M. C. (2023). Eleven years of student replication projects provide evidence on the correlates of replicability in psychology. Royal Society Open Science, 10(11), 231240. https://doi.org/10.1098/rsos.231067"/><s v="Boyce, V., Mathur, M., &amp; Frank, M. C. (2023). Eleven years of student replication projects provide evidence on the correlates of replicability in psychology. Royal Society Open Science, 10(11), 231240. https://doi.org/10.1098/rsos.231111"/><s v="Boyce, V., Mathur, M., &amp; Frank, M. C. (2023). Eleven years of student replication projects provide evidence on the correlates of replicability in psychology. Royal Society Open Science, 10(11), 231240. https://doi.org/10.1098/rsos.231112"/><s v="Boyce, V., Mathur, M., &amp; Frank, M. C. (2023). Eleven years of student replication projects provide evidence on the correlates of replicability in psychology. Royal Society Open Science, 10(11), 231240. https://doi.org/10.1098/rsos.231113"/><s v="Boyce, V., Mathur, M., &amp; Frank, M. C. (2023). Eleven years of student replication projects provide evidence on the correlates of replicability in psychology. Royal Society Open Science, 10(11), 231240. https://doi.org/10.1098/rsos.231114"/><s v="Boyce, V., Mathur, M., &amp; Frank, M. C. (2023). Eleven years of student replication projects provide evidence on the correlates of replicability in psychology. Royal Society Open Science, 10(11), 231240. https://doi.org/10.1098/rsos.231115"/><s v="Boyce, V., Mathur, M., &amp; Frank, M. C. (2023). Eleven years of student replication projects provide evidence on the correlates of replicability in psychology. Royal Society Open Science, 10(11), 231240. https://doi.org/10.1098/rsos.231116"/><s v="Boyce, V., Mathur, M., &amp; Frank, M. C. (2023). Eleven years of student replication projects provide evidence on the correlates of replicability in psychology. Royal Society Open Science, 10(11), 231240. https://doi.org/10.1098/rsos.231117"/><s v="Boyce, V., Mathur, M., &amp; Frank, M. C. (2023). Eleven years of student replication projects provide evidence on the correlates of replicability in psychology. Royal Society Open Science, 10(11), 231240. https://doi.org/10.1098/rsos.231118"/><s v="Boyce, V., Mathur, M., &amp; Frank, M. C. (2023). Eleven years of student replication projects provide evidence on the correlates of replicability in psychology. Royal Society Open Science, 10(11), 231240. https://doi.org/10.1098/rsos.231119"/><s v="Boyce, V., Mathur, M., &amp; Frank, M. C. (2023). Eleven years of student replication projects provide evidence on the correlates of replicability in psychology. Royal Society Open Science, 10(11), 231240. https://doi.org/10.1098/rsos.231120"/><s v="Boyce, V., Mathur, M., &amp; Frank, M. C. (2023). Eleven years of student replication projects provide evidence on the correlates of replicability in psychology. Royal Society Open Science, 10(11), 231240. https://doi.org/10.1098/rsos.231068"/><s v="Boyce, V., Mathur, M., &amp; Frank, M. C. (2023). Eleven years of student replication projects provide evidence on the correlates of replicability in psychology. Royal Society Open Science, 10(11), 231240. https://doi.org/10.1098/rsos.231121"/><s v="Boyce, V., Mathur, M., &amp; Frank, M. C. (2023). Eleven years of student replication projects provide evidence on the correlates of replicability in psychology. Royal Society Open Science, 10(11), 231240. https://doi.org/10.1098/rsos.231122"/><s v="Boyce, V., Mathur, M., &amp; Frank, M. C. (2023). Eleven years of student replication projects provide evidence on the correlates of replicability in psychology. Royal Society Open Science, 10(11), 231240. https://doi.org/10.1098/rsos.231123"/><s v="Boyce, V., Mathur, M., &amp; Frank, M. C. (2023). Eleven years of student replication projects provide evidence on the correlates of replicability in psychology. Royal Society Open Science, 10(11), 231240. https://doi.org/10.1098/rsos.231124"/><s v="Boyce, V., Mathur, M., &amp; Frank, M. C. (2023). Eleven years of student replication projects provide evidence on the correlates of replicability in psychology. Royal Society Open Science, 10(11), 231240. https://doi.org/10.1098/rsos.231125"/><s v="Boyce, V., Mathur, M., &amp; Frank, M. C. (2023). Eleven years of student replication projects provide evidence on the correlates of replicability in psychology. Royal Society Open Science, 10(11), 231240. https://doi.org/10.1098/rsos.231126"/><s v="Boyce, V., Mathur, M., &amp; Frank, M. C. (2023). Eleven years of student replication projects provide evidence on the correlates of replicability in psychology. Royal Society Open Science, 10(11), 231240. https://doi.org/10.1098/rsos.231127"/><s v="Boyce, V., Mathur, M., &amp; Frank, M. C. (2023). Eleven years of student replication projects provide evidence on the correlates of replicability in psychology. Royal Society Open Science, 10(11), 231240. https://doi.org/10.1098/rsos.231128"/><s v="Boyce, V., Mathur, M., &amp; Frank, M. C. (2023). Eleven years of student replication projects provide evidence on the correlates of replicability in psychology. Royal Society Open Science, 10(11), 231240. https://doi.org/10.1098/rsos.231129"/><s v="Boyce, V., Mathur, M., &amp; Frank, M. C. (2023). Eleven years of student replication projects provide evidence on the correlates of replicability in psychology. Royal Society Open Science, 10(11), 231240. https://doi.org/10.1098/rsos.231130"/><s v="Boyce, V., Mathur, M., &amp; Frank, M. C. (2023). Eleven years of student replication projects provide evidence on the correlates of replicability in psychology. Royal Society Open Science, 10(11), 231240. https://doi.org/10.1098/rsos.231069"/><s v="Boyce, V., Mathur, M., &amp; Frank, M. C. (2023). Eleven years of student replication projects provide evidence on the correlates of replicability in psychology. Royal Society Open Science, 10(11), 231240. https://doi.org/10.1098/rsos.231131"/><s v="Boyce, V., Mathur, M., &amp; Frank, M. C. (2023). Eleven years of student replication projects provide evidence on the correlates of replicability in psychology. Royal Society Open Science, 10(11), 231240. https://doi.org/10.1098/rsos.231132"/><s v="Boyce, V., Mathur, M., &amp; Frank, M. C. (2023). Eleven years of student replication projects provide evidence on the correlates of replicability in psychology. Royal Society Open Science, 10(11), 231240. https://doi.org/10.1098/rsos.231133"/><s v="Boyce, V., Mathur, M., &amp; Frank, M. C. (2023). Eleven years of student replication projects provide evidence on the correlates of replicability in psychology. Royal Society Open Science, 10(11), 231240. https://doi.org/10.1098/rsos.231134"/><s v="Boyce, V., Mathur, M., &amp; Frank, M. C. (2023). Eleven years of student replication projects provide evidence on the correlates of replicability in psychology. Royal Society Open Science, 10(11), 231240. https://doi.org/10.1098/rsos.231135"/><s v="Boyce, V., Mathur, M., &amp; Frank, M. C. (2023). Eleven years of student replication projects provide evidence on the correlates of replicability in psychology. Royal Society Open Science, 10(11), 231240. https://doi.org/10.1098/rsos.231136"/><s v="Boyce, V., Mathur, M., &amp; Frank, M. C. (2023). Eleven years of student replication projects provide evidence on the correlates of replicability in psychology. Royal Society Open Science, 10(11), 231240. https://doi.org/10.1098/rsos.231137"/><s v="Boyce, V., Mathur, M., &amp; Frank, M. C. (2023). Eleven years of student replication projects provide evidence on the correlates of replicability in psychology. Royal Society Open Science, 10(11), 231240. https://doi.org/10.1098/rsos.231138"/><s v="Boyce, V., Mathur, M., &amp; Frank, M. C. (2023). Eleven years of student replication projects provide evidence on the correlates of replicability in psychology. Royal Society Open Science, 10(11), 231240. https://doi.org/10.1098/rsos.231139"/><s v="Boyce, V., Mathur, M., &amp; Frank, M. C. (2023). Eleven years of student replication projects provide evidence on the correlates of replicability in psychology. Royal Society Open Science, 10(11), 231240. https://doi.org/10.1098/rsos.231070"/><s v="Boyce, V., Mathur, M., &amp; Frank, M. C. (2023). Eleven years of student replication projects provide evidence on the correlates of replicability in psychology. Royal Society Open Science, 10(11), 231240. https://doi.org/10.1098/rsos.231140"/><s v="Boyce, V., Mathur, M., &amp; Frank, M. C. (2023). Eleven years of student replication projects provide evidence on the correlates of replicability in psychology. Royal Society Open Science, 10(11), 231240. https://doi.org/10.1098/rsos.231141"/><s v="Boyce, V., Mathur, M., &amp; Frank, M. C. (2023). Eleven years of student replication projects provide evidence on the correlates of replicability in psychology. Royal Society Open Science, 10(11), 231240. https://doi.org/10.1098/rsos.231142"/><s v="Boyce, V., Mathur, M., &amp; Frank, M. C. (2023). Eleven years of student replication projects provide evidence on the correlates of replicability in psychology. Royal Society Open Science, 10(11), 231240. https://doi.org/10.1098/rsos.231143"/><s v="Boyce, V., Mathur, M., &amp; Frank, M. C. (2023). Eleven years of student replication projects provide evidence on the correlates of replicability in psychology. Royal Society Open Science, 10(11), 231240. https://doi.org/10.1098/rsos.231144"/><s v="Boyce, V., Mathur, M., &amp; Frank, M. C. (2023). Eleven years of student replication projects provide evidence on the correlates of replicability in psychology. Royal Society Open Science, 10(11), 231240. https://doi.org/10.1098/rsos.231145"/><s v="Boyce, V., Mathur, M., &amp; Frank, M. C. (2023). Eleven years of student replication projects provide evidence on the correlates of replicability in psychology. Royal Society Open Science, 10(11), 231240. https://doi.org/10.1098/rsos.231146"/><s v="Boyce, V., Mathur, M., &amp; Frank, M. C. (2023). Eleven years of student replication projects provide evidence on the correlates of replicability in psychology. Royal Society Open Science, 10(11), 231240. https://doi.org/10.1098/rsos.231147"/><s v="Boyce, V., Mathur, M., &amp; Frank, M. C. (2023). Eleven years of student replication projects provide evidence on the correlates of replicability in psychology. Royal Society Open Science, 10(11), 231240. https://doi.org/10.1098/rsos.231148"/><s v="Boyce, V., Mathur, M., &amp; Frank, M. C. (2023). Eleven years of student replication projects provide evidence on the correlates of replicability in psychology. Royal Society Open Science, 10(11), 231240. https://doi.org/10.1098/rsos.231149"/><s v="Boyce, V., Mathur, M., &amp; Frank, M. C. (2023). Eleven years of student replication projects provide evidence on the correlates of replicability in psychology. Royal Society Open Science, 10(11), 231240. https://doi.org/10.1098/rsos.231150"/><s v="Boyce, V., Mathur, M., &amp; Frank, M. C. (2023). Eleven years of student replication projects provide evidence on the correlates of replicability in psychology. Royal Society Open Science, 10(11), 231240. https://doi.org/10.1098/rsos.231151"/><s v="Boyce, V., Mathur, M., &amp; Frank, M. C. (2023). Eleven years of student replication projects provide evidence on the correlates of replicability in psychology. Royal Society Open Science, 10(11), 231240. https://doi.org/10.1098/rsos.231152"/><s v="Boyce, V., Mathur, M., &amp; Frank, M. C. (2023). Eleven years of student replication projects provide evidence on the correlates of replicability in psychology. Royal Society Open Science, 10(11), 231240. https://doi.org/10.1098/rsos.231153"/><s v="Boyce, V., Mathur, M., &amp; Frank, M. C. (2023). Eleven years of student replication projects provide evidence on the correlates of replicability in psychology. Royal Society Open Science, 10(11), 231240. https://doi.org/10.1098/rsos.231154"/><s v="Boyce, V., Mathur, M., &amp; Frank, M. C. (2023). Eleven years of student replication projects provide evidence on the correlates of replicability in psychology. Royal Society Open Science, 10(11), 231240. https://doi.org/10.1098/rsos.231155"/><s v="Boyce, V., Mathur, M., &amp; Frank, M. C. (2023). Eleven years of student replication projects provide evidence on the correlates of replicability in psychology. Royal Society Open Science, 10(11), 231240. https://doi.org/10.1098/rsos.231156"/><s v="Boyce, V., Mathur, M., &amp; Frank, M. C. (2023). Eleven years of student replication projects provide evidence on the correlates of replicability in psychology. Royal Society Open Science, 10(11), 231240. https://doi.org/10.1098/rsos.231157"/><s v="Boyce, V., Mathur, M., &amp; Frank, M. C. (2023). Eleven years of student replication projects provide evidence on the correlates of replicability in psychology. Royal Society Open Science, 10(11), 231240. https://doi.org/10.1098/rsos.231158"/><s v="Boyce, V., Mathur, M., &amp; Frank, M. C. (2023). Eleven years of student replication projects provide evidence on the correlates of replicability in psychology. Royal Society Open Science, 10(11), 231240. https://doi.org/10.1098/rsos.231159"/><s v="Lumian, D. S., &amp; McRae, K. (2017). Preregistered Replication of “Affective Flexibility: Evaluative Processing Goals Shape Amygdala Activity”. Psychological Science, 28(9), 1193-1200. https://doi.org/10.1177/0956797617719730"/><s v="McRae, K., Lumian, D. S., &amp;  T. (2023, September 28). Data. https://doi.org/10.17605/OSF.IO/BTH36"/><s v="Camerer, C. F., Dreber, A., Forsell, E., Ho, T. H., Huber, J., Johannesson, M., ... &amp; Wu, H. (2016). Evaluating replicability of laboratory experiments in economics. Science, 351(6280), 1433-1436."/><s v="Camerer, C. F., Dreber, A., Holzmeister, F., Ho, T. H., Huber, J., Johannesson, M., ... &amp; Wu, H. (2018). Evaluating the replicability of social science experiments in Nature and Science between 2010 and 2015. Nature human behaviour, 2(9), 637-644."/><s v="Arbesfeld, J. Collins, T., Baldwin, D., &amp; Daubman, K. (2014, February 15). Clean thoughts lead to less severe moral judgment. Retrieved 16:26, February 18, 2014 from http://www.PsychFileDrawer.org/replicati on.php?attempt=MTc3"/><s v="Lee et al. (2013)   "/><s v="Huang JL (2014) Does cleanliness influence moral judgments? Response effort moderates the effect of cleanliness priming on moral judgments. Front. Psychol. 5:1276. doi: 10.3389/fpsyg.2014.01276 (Study 1)"/><s v="Korbmacher, M., Kwan, C. I., &amp; Feldman, G. (2022). Both better and worse than others depending on difficulty: Replication and extensions of Kruger’s (1999) above and below average effects. https://hdl.handle.net/11250/2990125"/><s v="Cesario, J., Corker, K. S., &amp; Jelinek, S. (2013). A self-regulatory framework for message framing. Journal of Experimental Social Psychology, 49(2), 238–249. https://doi.org/10.1016/j.jesp.2012.10.014"/><s v="Lange, F., &amp; Eggert, F. (2014). Sweet delusion. Glucose drinks fail to counteract ego depletion. Appetite, 75, 54–63. https://doi.org/10.1016/j.appet.2013.12.020"/><s v="Murtagh, A. M., &amp; Todd, S. A. (2004). Self-regulation: A challenge to the strength model. Journal of Articles in Support of the Null Hypothesis, 3(1), 19-51. (Study 2)"/><s v="Pond et al. (2011) Study 3  "/><s v="Healey, M. K., Hasher, L., &amp; Danilova, E. I. (2011). The stability of working memory: Do previous tasks influence complex span? Journal of Experimental Psychology: General, 140(4), 573–585. https://doi.org/10.1037/a0024587"/><s v="Carter, E. C., &amp; McCullough, M. E. (2013). After a pair of self-control-intensive tasks, sucrose swishing improves subsequent working memory performance. BMC Psychology, 1(1). https://doi.org/10.1186/2050-7283-1-22"/><s v="Lurquin JH, Michaelson LE, Barker JE, Gustavson DE, von Bastian CC, Carruth NP, et al. (2016) No Evidence of the Ego-Depletion Effect across Task Characteristics and Individual Differences: A Pre-Registered Study. PLoS ONE 11 (2): e0147770. doi:10.1371/jo"/><s v="Wang, Y., &amp; Yang, L. (2014). Suppression (but not reappraisal) impairs subsequent error detection: An ERP Study of Emotion Regulation’s Resource-Depleting Effect. PLOS ONE, 9(4), e96339. https://doi.org/10.1371/journal.pone.0096339"/><s v="Klein, R. A., Ratliff, K. A., Vianello, M., Adams, R. B., Bahník, Š., Bernstein, M. J., ... &amp; Nosek, B. A. (2014). Investigating variation in replicability: A &quot;Many Labs&quot; replication project. Social Psychology, 45(3), 142–152"/><s v="Hull, J. G., Slone, L. B., Meteyer, K., &amp; Matthews, A. R. (2002). The nonconsciousness of self-consciousness. Journal of Personality and Social Psychology, 83(2), 406–424. https://doi.org/10.1037/0022-3514.83.2.406 (Study 1a)"/><s v="Hull, J. G., Slone, L. B., Meteyer, K., &amp; Matthews, A. R. (2002). The nonconsciousness of self-consciousness. Journal of Personality and Social Psychology, 83(2), 406–424. https://doi.org/10.1037/0022-3514.83.2.407  (Study 1b)"/><s v="Cesario, J., Plaks, J. E., &amp; Higgins, E. T. (2006). Automatic social behavior as motivated preparation to interact. Journal of Personality and Social Psychology, 90(6), 893–910 (study 2)"/><s v="Pashler, H., Harris, C., &amp; Coburn, N.. Elderly-Related Words Prime Slow Walking . (2011, September 15). Retrieved 04:36, September 23, 2017 from http://www.PsychFileDrawer.org/replication.php?attempt=MTU%3D"/><m/><s v="Doyen, S., Klein, O., Pichon, C., &amp; Cleeremans, A. (2012). Behavioral priming: it’s all in the mind, but whose mind? PLOS ONE, 7(1), e29081. https://doi.org/10.1371/journal.pone.0029081"/><s v="Perfecto et al. (2012)  "/><s v="LeBel, E. P., &amp; Wilbur, C. J. (2013). Big secrets do not necessarily cause hills to appear steeper. Psychonomic Bulletin &amp; Review, 21(3), 696–700. https://doi.org/10.3758/s13423-013-0549-2 (Study 1)"/><s v="LeBel, E. P., &amp; Wilbur, C. J. (2013). Big secrets do not necessarily cause hills to appear steeper. Psychonomic Bulletin &amp; Review, 21(3), 696–700. https://doi.org/10.3758/s13423-013-0549-3 (Study 2)"/><s v="Pecher, D., Van Mierlo, H., Cañal‐Bruland, R., &amp; Zeelenberg, R. (2015). The burden of secrecy? No effect on hill slant estimation and beanbag throwing. Journal of Experimental Psychology: General, 144(4), e65–e72. https://doi.org/10.1037/xge0000090 (Study"/><s v="Pecher, D., Van Mierlo, H., Cañal‐Bruland, R., &amp; Zeelenberg, R. (2015). The burden of secrecy? No effect on hill slant estimation and beanbag throwing. Journal of Experimental Psychology: General, 144(4), e65–e72. https://doi.org/10.1037/xge0000091 (Study"/><s v="Cobb et al. (2014) "/><s v="Pashler, H., Rohrer, D., &amp; Harris, C. R. (2013). Can the goal of honesty be primed? Journal of Experimental Social Psychology, 49(6), 959–964. https://doi.org/10.1016/j.jesp.2013.05.011 (Study 1)"/><s v="Pashler, H., Rohrer, D., &amp; Harris, C. R. (2013). Can the goal of honesty be primed? Journal of Experimental Social Psychology, 49(6), 959–964. https://doi.org/10.1016/j.jesp.2013.05.012 (Study 2)"/><s v="Pashler, H., Rohrer, D., &amp; Harris, C. R. (2013). Can the goal of honesty be primed? Journal of Experimental Social Psychology, 49(6), 959–964. https://doi.org/10.1016/j.jesp.2013.05.013 (Study 3)"/><s v="Pashler, H., Rohrer, D., &amp; Harris, C. R. (2013). Can the goal of honesty be primed? Journal of Experimental Social Psychology, 49(6), 959–964. https://doi.org/10.1016/j.jesp.2013.05.014 (Study 4)"/><s v="Fayard, Jennifer &amp; Bassi, Aman &amp; Bernstein, Daniel &amp; Roberts, Brent. (2009). Is cleanliness next to godliness? Dispelling old wives' tales: Failure to replicate Zhong and Liljenquist (2006). J. Articles Support Null Hypothesis. 6. (Study 1)"/><s v="Gámez, E., Díaz, J. a. Á., &amp; Marrero, H. (2011). The Uncertain Universality of the Macbeth Effect with a Spanish Sample. The Spanish Journal of Psychology, 14(1), 156–162. https://doi.org/10.5209/rev_sjop.2011.v14.n1.13 (Study 3)"/><s v="Siev (2012) Study 1  "/><s v="Siev (2012) Study 2   "/><s v="Earp, B. D., Everett, J. a. C., Madva, E. N., &amp; Hamlin, J. K. (2014). Out, damned spot: Can the “Macbeth effect” be replicated? Basic and Applied Social Psychology, 36(1), 91–98. https://doi.org/10.1080/01973533.2013.856792"/><s v="Fayard, Jennifer &amp; Bassi, Aman &amp; Bernstein, Daniel &amp; Roberts, Brent. (2009). Is cleanliness next to godliness? Dispelling old wives' tales: Failure to replicate Zhong and Liljenquist (2006). J. Articles Support Null Hypothesis. 6. (Study 2)"/><s v="Reuven, O., Liberman, N., &amp; Dar, R. (2013). The effect of physical cleaning on Threatened morality in Individuals with Obsessive-Compulsive Disorder. Clinical Psychological Science, 2(2), 224–229. https://doi.org/10.1177/2167702613485565"/><s v="Madurski, C., &amp; LeBel, E. P. (2014). Making sense of the noise: Replication difficulties of Correll’s (2008) modulation of 1/f noise in a racial bias task. Psychonomic Bulletin &amp; Review, 22(4), 1135–1141. https://doi.org/10.3758/s13423-014-0757-4 (Study 1"/><s v="Madurski, C., &amp; LeBel, E. P. (2014). Making sense of the noise: Replication difficulties of Correll’s (2008) modulation of 1/f noise in a racial bias task. Psychonomic Bulletin &amp; Review, 22(4), 1135–1141. https://doi.org/10.3758/s13423-014-0757-4"/><s v="Madurski, C., &amp; LeBel, E. P. (2014). Making sense of the noise: Replication difficulties of Correll’s (2008) modulation of 1/f noise in a racial bias task. Psychonomic Bulletin &amp; Review, 22(4), 1135–1141. https://doi.org/10.3758/s13423-014-0757-4 (Study 2"/><s v="Ranehill, E., Dreber, A., Johannesson, M., Leiberg, S., Sul, S., &amp; Weber, R. A. (2015). Assessing the robustness of power posing. Psychological Science, 26(5), 653–656. https://doi.org/10.1177/0956797614553946"/><s v="Garrison, K., Tang, D., &amp; Schmeichel, B. J. (2016). Embodying power. Social Psychological and Personality Science, 7(7), 623–630. https://doi.org/10.1177/1948550616652209"/><s v="Wagenmakers, E., Wetzels, R., Borsboom, D., Van Der Maas, H. L. J., &amp; Kievit, R. A. (2012). An agenda for purely confirmatory research. Perspectives on Psychological Science, 7(6), 632–638. https://doi.org/10.1177/1745691612463078"/><s v="Panero, M. E., Weisberg, D. S., Black, J. E., Goldstein, T. R., Barnes, J. L., Brownell, H., &amp; Winner, E. (2016). Does reading a single passage of literary fiction really improve theory of mind? An attempt at replication. Journal of Personality and Social"/><s v="Ebersole, C. R., Atherton, O. E., Belanger, A. L., Skulborstad, H. M., Allen, J. M., Banks, J. B., ... &amp; Nosek, B. A. (2016). Many Labs 3: Evaluating participant pool quality across the academic semester via replication. Journal of Experimental Social Psy"/><s v="Dijkstra, K., Verkoeijen, P., van Kuijk, I., Yee Chow, S., Bakker, A., &amp; Zwaan, R. (2015). Leidt het lezen van literaire fictie tot meer empathie? : een replicatiestudie van Kidd en Castano (2013). De Psycholoog, 50(10), 10–21. Retrieved from http://hdl.h"/><s v="Connors, S., Khamitov, M., Moroz, S., Campbell, L., &amp; Henderson, C. (2016). Time, money, and happiness: Does putting a price on time affect our ability to smell the roses? Journal of Experimental Social Psychology, 67, 60–64. https://doi.org/10.1016/j.jes"/><s v="Wortman, J., Donnellan, M. B., &amp; Lucas, R. E. (2014). Can physical warmth (or coldness) predict trait loneliness? A replication of Bargh and Shalev (2012). Archives of Scientific Psychology, 2(1), 13–19. https://doi.org/10.1037/arc0000007"/><s v="LeBel, E. P., &amp; Campbell, L. (2013). Heightened sensitivity to temperature cues in individuals with high anxious attachment. Psychological Science, 24(10), 2128–2130. https://doi.org/10.1177/0956797613486983 (Study 1)"/><s v="LeBel, E. P., &amp; Campbell, L. (2013). Heightened sensitivity to temperature cues in individuals with high anxious attachment. Psychological Science, 24(10), 2128–2130. https://doi.org/10.1177/0956797613486983 (Study 2)"/><s v="Besman, M., Dubensky, C., Dunsmore, L., &amp; Daubman, K. (2013). Cleanliness primes less severe moral judgments. Retrieved from http://www.psychfiledrawer.org/replication.php?attempt=MTQ5"/><s v="Simmons, J. &amp;. Nelson, L.D. (2021, May 4). [97] Data Replicada #10: Does Goal Conflict Affect Time Spent on Work and Leisure? Data Colada. (Replication 1 Effect 1)"/><s v="Simmons, J. &amp;. Nelson, L.D. (2021, May 4). [97] Data Replicada #10: Does Goal Conflict Affect Time Spent on Work and Leisure? Data Colada. (Replication 1 Effect 2)"/><s v="Simmons, J. &amp;. Nelson, L.D. (2021, May 4). [97] Data Replicada #10: Does Goal Conflict Affect Time Spent on Work and Leisure? Data Colada. (Replication 2 Effect 1)"/><s v="Simmons, J. &amp;. Nelson, L.D. (2021, May 4). [97] Data Replicada #10: Does Goal Conflict Affect Time Spent on Work and Leisure? Data Colada. (Replication 2 Effect 2)"/><s v="Simmons, J. &amp;. Nelson, L.D. (2020). [83] Data Replicada #2: Do Self-Construal and Group Size Influence How People Make Choices on Behalf of a Group? Data Colada. (Replication 2)"/><s v="Simmons, J. &amp;. Nelson, L.D. (2020). [84] Data Replicada #3: Does Self-Concept Uncertainty Influence Magazine Subscription Choice?&#xA;Data Colada. https://datacolada.org/84  "/><s v="Simmons, J. &amp;. Nelson, L.D. (2020). [84] Data Replicada #3: Does Self-Concept Uncertainty Influence Magazine Subscription Choice? Data Colada. https://datacolada.org/84"/><s v="Simmons, J. &amp;. Nelson, L.D. (2020). [85] Data Replicada #4: The Problem of Hidden Confounds Data Colada. https://datacolada.org/85  Only Replication without Confounds"/><s v="Simmons, J. &amp;. Nelson, L.D. (2020). [90] Data Replicada #7: Does Displaying Multiple Copies of a Product Increase Its Perceived Effectiveness? Data Colada. (Replication 1)"/><s v="Simmons, J. &amp;. Nelson, L.D. (2020). [90] Data Replicada #7: Does Displaying Multiple Copies of a Product Increase Its Perceived Effectiveness? Data Colada. (Replication 2)"/><s v="Simmons, J. &amp;. Nelson, L.D. (2020). [90] Data Replicada #7: Does Displaying Multiple Copies of a Product Increase Its Perceived Effectiveness? Data Colada. (Replication 3)"/><s v="Wagge, J. R., Baciu, C., Banas, K., Nadler, J. T., Schwarz, S., Weisberg, Y. J., … Grahe, J. E. (2018, June 22). A Demonstration of the Collaborative Replication and Education Project: Replication Attempts of the Red-Romance Effect. https://doi.org/10.312"/><s v="Banas, K. (2014, June 17). Replication of Elliot et al.  (2010) for CREP at the University of Edinburgh. https://doi.org/10.17605/OSF.IO/DQV9Y"/><s v="Crawford, J. (2016, May 2). Syntax and output files for Cheung &amp; Heine 2015 study 3 replication. https://doi.org/10.17605/OSF.IO/E9D3K"/><s v="Röseler, L., Bögler, H. L., Koßmann, L., Krueger, S., Bickenbach, S., Bühler, R., … Ponader, S. (2023, July 11). Results Report: Replication of Epley and Gilovich  (2006, Study 2a). https://doi.org/10.17605/OSF.IO/FMD75"/><s v="Röseler, L., Schütz, A., Burlakovas, E., Dück, M., Fels, S., Janiczek, S., … Seida, C. (2022, September 15). Replication of Reitsma-van Rooijen and Daamen  (2006). https://doi.org/10.17605/OSF.IO/GH52K"/><s v="Holzmeister, F., Johannesson, M., Camerer, C. F., Chen, Y., Ho, T. H., Hoogeveen, S., ... &amp; Dreber, A. (2024). Examining the replicability of online experiments selected by a decision market. Nature Human Behaviour, 1-15."/><s v="Wolf, D., Röseler, L., Leder, J., &amp; Schütz, A. (2022, June 15). The Red-Anger Effect: Is it Nothing More Than Demand Characteristics?. https://doi.org/10.31234/osf.io/ntukz"/><s v="Mahlke, J., Weaver, A., Hall, M. M., Koenig, B., Poulter, L., Lee, A. A., … Gentry, A. (2018, April 27). Huang  (2014) Replication. https://doi.org/10.17605/OSF.IO/J8A4P"/><s v="Song, Z. (2022). The Relationship between Government and Private Consumption: A Replication Study of Fiorito and Kollintzas (2004). Journal of Comments and Replications in Economics, Vol 1(2022-1). DOI: 10.18718/81781.23"/><s v="Oraby, R. (2022). The Possible Unemployment Cost of Average Inflation Below a&#xA;Credible Target:A Replication Study of Svensson (2015). Journal of Comments and Replications in&#xA;Economics, Vol 1(2022-2). DOI: 10.18718/81781.24"/><s v="von Blanckenburg, K., Tebbe, E., Iseke, A. (2023). Giving and taking&#xA;in dictator games – differences by gender? A replication study of Chowdhury et al. (2017). Journal&#xA;of Comments and Replications in Economics, Vol 2(2023-1). DOI: 10.18718/81781.27"/><s v="Gay, V. (2023). Culture: An Empirical Investigation of Beliefs, Work, and Fertility: A Verification and Reproduction of Fernández and Fogli (2009). Journal of Comments and&#xA;Replications in Economics, Vol 2(2023-2). DOI: 10.18718/81781.28"/><s v="Haller, S. A., Flaherty, E. T., Balsvik, R. (2023). Knowledge Transfers&#xA;from Multinational to Domestic Firms: Evidence from Worker Mobility. A Replication Study of Poole (Review of Economics and Statistics, 2013). Journal of Comments and Replications in E"/><s v="Stephenson, C. (2024). Trends in U.S. Wage Inequality: Revising the Revisionists. A Replication Study of Autor, Katz, and Kearney (2008). Journal of Comments and Replications&#xA;in Economics, Vol.3 (2024-4). DOI: 10.18718/81781.34"/><s v="Klein, R. A., Vianello, M., Hasselman, F., Adams, B. G., Adams Jr, R. B., Alper, S., ... &amp; Sowden, W. (2018). Many Labs 2: Investigating variation in replicability across samples and settings. Advances in Methods and Practices in Psychological Science, 1("/><s v="Motoki, K., &amp; Iseki, S. (2022). Evaluating replicability of ten influential research on sensory marketing. Frontiers in Communication, 7, 1048896."/><s v="O’Donnell, M., Dev, A. S., Antonoplis, S., Baum, S. M., Benedetti, A. H., Brown, N. D., Carrillo, B., Choi, A. L., Connor, P., Donnelly, K., Ellwood-Lowe, M. E., Foushee, R., Jansen, R., Jarvis, S. N., Lundell-Creagh, R., Ocampo, J. M., Okafor, G. N., Aza"/><s v="Van Rijn, H., &amp; Scholz, S. (2023, September 28). Replication of A Roelofs (2008, JEPLMC 34(2), Exp 3). Retrieved from osf.io/qwkum"/><s v="Shaki, S. (2023, September 28). Replication of D Ganor-Stern, J Tzelgov (2008, JEPLMC 34(2), Exp. 2). Retrieved from osf.io/vmipw"/><s v="Foster, J. D. (2023, September 28). Replication of Alter &amp; Oppenheimmer (2008, PS, Study 2B). Retrieved from osf.io/kegmc"/><s v="Fitneva, S. A. (2023, September 28). Replication of Dessalegn &amp; Landau (2008, PS, Study 4). Retrieved from osf.io/iajp5"/><s v="Prenoveau, J. M., &amp; Kirkhart, M. W. (2023, September 28). Replication of Eitam, Hassin, &amp; Schul (2008, PS, Study 2). Retrieved from osf.io/edcr7"/><s v="Bosco, F., &amp; Field, J. G. (2016, August 19). Replication of Mirman &amp; Magnuson (2008, JEP:LMC, Study 2). Retrieved from osf.io/rvkc5"/><s v="Attwood, A. S., Andy, Easey, K., Penton-Voak, I., &amp; Munafo, M. R. (2016, August 19). Replication of C Farris, TA Treat, RJ Viken, and RM McFall (2008, PS 19(4)). Retrieved from osf.io/7dyp5"/><s v="Chandler, J. J. (2016, August 19). Replication of Janiszewski &amp; Uy (2008, PS, Study 4b). Retrieved from osf.io/aaudl"/><s v="Saxe, R., Vélez, N., &amp; Feather, J. (2016, August 19). Replication of McKinstry, Dale, &amp; Spivey (2008, PS). Retrieved from osf.io/d0n81"/><s v="Lassetter, B., Brandt, M. J., van ’t Veer, A. E., &amp; Mehta, P. (2023, September 28). Replication of Armor, Massey &amp; Sackett (2008, PS, Study 1). Retrieved from osf.io/qlzap"/><s v="Vásquez-Echeverría, A. (2023, September 28). Replication of DR Addis, AT Wong, DL Schacter (2008, PS 19(1)). Retrieved from osf.io/yaeu7"/><s v="Brown, B. T., Kleinberg, B., Hicks, G., Bentley, H., Attridge, P. R., Eboigbe, S., … Brown, K. (2023, September 28). Replication of Nurmsoo &amp; Bloom (2008, PS, Study 1). Retrieved from osf.io/aczvt"/><s v="steegen, sara, vanpaemel, wolf, tuerlinckx, francis, &amp; Dewitte, L. (2023, September 28). Replication of Vul &amp; Pashler (Psych Science, 2008). Retrieved from osf.io/ivfu6"/><s v="Barnett-Cowan, M. (2023, September 28). Replication of Vul et al (2008, PS, Study 1). Retrieved from osf.io/rzjvn"/><s v="Osborne, C., Vuu, G., &amp; Henninger, F. (2023, September 28). Replication of EJ Masicampo, RF Baumeister (2008, PS 19(3)). Retrieved from osf.io/3h29d"/><s v="Ricker, A. A., &amp; Saide, A. (2023, September 28). Replication of JI Campbell, ND Robert (2008, JEPLMC 34(3), Exp 3). Retrieved from osf.io/gxvd3"/><s v="Lewis, M., &amp; Pitts, M. (2023, September 28). Replication of Hajcak &amp; Foti (2008, PS, Study 1)."/><s v="Beer, J. S., Rigney, A. E., &amp; Flagan, T. (2016, August 19). Replication of G Tabibnia, AB Satpute, MD Lieberman (2008, PS 19(4)). Retrieved from osf.io/94j6h"/><s v="Schlegelmilch, R., &amp; van den Bergh, D. (2023, September 28). Replication of GA Alvarez, A Oliva (2008, PS 19(4), Exp. 3). Retrieved from osf.io/dnaxe"/><s v="Stieger, S., &amp; Kuhlmann, T. (2023, September 28). Replication of GP Lau, AC Kay, SJ Spencer (2008, PS 19(1)). Retrieved from osf.io/fxqsk"/><s v="Levitan, C., Errington, T. M., &amp; Gampa, A. (2023, September 28). Replication of Winawer, Huk, &amp; Boroditsky (Psychological Science, 2008). Retrieved from osf.io/mjasz"/><s v="Lai, C. K. (2023). Replication of Richeson &amp; Trawalter (2008, PS, Study 1). Retrieved from osf.io/c5fza"/><s v="Jonas, K., &amp; Skorinko, J. (2023, September 28). Replication of JR Crosby, B Monin, D Richardson (2008, PS 19(3)). Retrieved from osf.io/b98zw"/><s v="Renkewitz, F., &amp; Müller, S. M. (2023, September 28). Replication of Nairne, Pandeirada, &amp; Thompson (2008, PS, Study 2). Retrieved from osf.io/jhkpe"/><s v="Seibel, L., Vermue, M., van Dooren, R., Kolorz, F. M., Cillessen, L., &amp; Krause, R. W. (2023, September 28). Replication of Larsen &amp; McKibban (Psych Science, 2008, Exp. 2). Retrieved from osf.io/5dx4v"/><s v="Cohn, M. (2023, September 28). Replication of Ratliff (Ranganath) &amp; Nosek, 2008, Psych Science. Retrieved from osf.io/2gkjt"/><s v="Giner-Sorolla, R., Embley, J., &amp; Johnson, L. (2023, September 28). Replication of Vohs &amp; Schooler (2008, PS, Study 1). Retrieved from osf.io/i29mh"/><s v="Snyder, J. S., &amp; Irsik, V. C. (2023, September 28). Replication of L Demany, W Trost, M Serman, C Semal (2008, PS 19(1), Exp. 5). Retrieved from osf.io/ta3j8"/><s v="Joy-Gaba, J. A., Clay, R., &amp; Cleary, H. (2023, September 28). Replication of Williams &amp; Bargh (2008, PS, Study 4). Retrieved from osf.io/vnsqg"/><s v="Masicampo, E. J. (2016, August 19). Replication of M Tamir, C Mitchell, JJ Gross (2008, PS 19(4)). Retrieved from osf.io/k4y9i"/><s v="Dunn, E. W., &amp; Sandstrom, G. M. (2023, September 28). Replication of Epley, Akalis, Waytz &amp; Cacioppo (2008, PS, Study 3). Retrieved from osf.io/yuybh"/><s v="Thomae, M., Wood, M. J., &amp; Immelman, N. (2023, September 28). Replication of N Halevy, G Bornstein, L Sagiv (2008, PS 19(4)). Retrieved from osf.io/76qc5"/><s v="Melinger, A. (2023, September 28). Replication of N Janssen, FX Alario, A Caramazza (2008, PS 19(3), Exp. 2). Retrieved from osf.io/dncxa"/><s v="Frazier, R. S., &amp; Hasselman, F. (2023, September 28). Replication of Bressan &amp; Stranieri (2008, PS, Study 2). Retrieved from osf.io/blcj6"/><s v="Cloud, M. D., &amp; Kyc, M. (2023, September 28). Replication of Schmidt and Besner (2008, JEPLMC, Exp 2). Retrieved from osf.io/bscfe"/><s v="Dorrough, A. R., &amp; Fiedler, S. (2023, September 28). Replication of S Forti, GW Humphreys (2008, PS 19(1)). Retrieved from osf.io/tf8ky"/><s v="Cheung, F., Donnellan, B., &amp; Johnson, D. J. (2023, September 28). Replication of Schnall, Benton, &amp; Harvey (2008, PS). Retrieved from osf.io/apidb"/><s v="Saxe, R., Vélez, N., &amp; Johnston, W. (2023, September 28). Replication of Palmer &amp; Ghose (2008, PS). Retrieved from osf.io/0aifq"/><s v="Lazarevic, L. B., &amp; Knezevic, G. (2023, September 28). Replication of SJ Heine, EE Buchtel, A Norenzayan (2008, PS 19(4), exp 1). Retrieved from osf.io/siaqe"/><s v="Levitan, C., &amp; Fernández, B. (2023, September 28). Replication of SK Moeller, MD Robinson, DL Zabelina (2008, Psychological Science, Experiment 2). Retrieved from osf.io/tg2wd"/><s v="Costantini, G., &amp; Perugini, M. (2023, September 28). Replication of Goschke &amp; Dreisbach (2008, PS). Retrieved from osf.io/bk53t"/><s v="Cramblet Alvarez, L. D., Martinez, T., Zuni, K., Tapia, M., &amp; Pipitone, R. N. (2023, September 28). Replication of LoBue &amp; DeLoache (2008, PS, Study 3). Retrieved from osf.io/sd7kg"/><s v="Fuchs, H., Estel, V., &amp; Goellner, L. (2016, August 19). Replication of Dai, Wertenbroch, &amp; Brendl (2008, PS, Study 1). Retrieved from osf.io/q7f6w"/><s v="Renkewitz, F., &amp; Müller, S. M. (2023, September 28). Replication of Estes, Verges, &amp; Barsalou (2008, PS, Study 1). Retrieved from osf.io/vwnit"/><s v="Glöckner, A., &amp; Jekel, M. (2023, September 28). Replication of K Fiedler (2008, JEPLMC, Exp 2). Retrieved from osf.io/hp27x"/><s v="Neijenhuijs, K. I., Luteijn, I., Bosch, A., van der Hulst, M., Dorsthorst, A. t, van de Ven, M., &amp; Weerdmeester, J. W. (2023, September 28). Replication of K Oberauer (2008, JEPLMC 34(3), Exp 3). Retrieved from osf.io/gcj7x"/><s v="Goodbourn, P. T. (2023, September 28). Replication of Morris and Still (2008). Retrieved from osf.io/rmvk5"/><s v="Fiedler, S., &amp; May, M. (2023, September 28). Replication of Sahakyan et al. (2008, JEP:LMC, Study 3). Retrieved from osf.io/bzdr2"/><s v="Kappes, H. B. (2023, September 28). Replication of LS Colzato, MT Bajo, W van den Wildenberg, D Paolieri, S Nieuwenhuis, W La Heij, B Hommel (2008, JEPLMC 34(2), Exp. 3). Retrieved from osf.io/p9thw"/><s v="Hung, C. O., Lin, L., &amp; Tsang, S. (2023, September 28). Replication of M Bassok, SF Pedigo, AT Oskarsson (2008, JEPLMC, Study 1). Retrieved from osf.io/sqim7"/><s v="Roebke, M. A., &amp; Della Penna, N. (2023, September 28). Replication of Couture, Lafond, and Tremblay (2008, JEPLMC 34(3)). Retrieved from osf.io/k9gp6"/><s v="Lai, C. K., &amp; Simpson, W. B. (2023, September 28). Replication of Reynolds &amp; Besner (2008, JEP:LMC, Study 5). Retrieved from osf.io/hasfu"/><s v="Chartier, C. R., &amp; Nervi, T. (2023, September 28). Replication of MJ Yap, DA Balota, CS Tse, D Besner (2008, JEPLMC 34(3), Exp 4). Retrieved from osf.io/ahpik"/><s v="Galak, J. (2023, September 28). Replication of Janssen and colleagues (2008, JEP:LMC, Study 1). Retrieved from osf.io/uhpyr"/><s v="Ostkamp, L., &amp; Jäkel, F. (2023, September 28). Replication of Turk-Browne, Isola, Scholl, Treat (2008, JEP:LMC, Study 4b). Retrieved from osf.io/ujhlw"/><s v="Plessow, F., Möschl, M., &amp; Pavel, M. (2023, September 28). Replication of Liefooghe, Barrouillet, Vandierendonck, &amp; Camos (2008, JEPLMC, Experiment 4). Retrieved from osf.io/4dvzb"/><s v="Müller, S. M., &amp; Renkewitz, F. (2023, September 28). Replication of White (2008, JEP:LMC, Study 3). Retrieved from osf.io/rhbqj"/><s v="Olsson, C., &amp; Saxe, R. (2023, September 28). Replication of Farrell (2008, JEP:LMC, Study 2). Retrieved from osf.io/swrhy"/><s v="Jahn, G. (2023, September 28). Replication of Pacton &amp; Perruchet (2008, JEP:LMC, Study 4b). Retrieved from osf.io/vmz2e"/><s v="Moore, K. (2023, September 28). Replication of Makovski, Sussman, &amp; Jiang (2008, JEP:LMC). Retrieved from osf.io/0pxro"/><s v="Forsell, E., Heikensten, E. K., Dreber, A., &amp; Johannesson, M. (2023, September 28). Replication of TJ Pleskac (2008, JEPLMC 34(1)). Retrieved from osf.io/38ges"/><s v="Callahan, S. P. (2023, September 28). Replication of BC Storm, EL Bjork, RA Bjork (2008, JEPLMC 34(1), Exp 1). Retrieved from osf.io/8j9cg"/><s v="Frank, M. C., &amp; Holubar, T. (2023, September 28). Replication of Monin, Sawyer, &amp; Marquez (2008, JPSP 95(1), Exp. 4). Retrieved from osf.io/pz0my"/><s v="Vianello, M. (2023, September 28). Replication of Payne, Burkley &amp; Stokes (2008, JPSP, Study 4). Retrieved from osf.io/rc6mv"/><s v="Soderberg, C. K. (2023, September 28). Replication of CJ Soto, OP John, SD Gosling, J Potter (2008, JPSP 94(4)). Retrieved from osf.io/kez47"/><s v="Wissink, J., Hoogendoorn, G. E. A. M., Brohmer, H., Verschoor, M., Zeelenberg, M., &amp; Krijnen, J. M. T. (2016, August 19). Replication of CR Cox, J Arndt, T Pyszczynski, J Greenberg, A Abdollahi, S Solomon (2008, JPSP 94(4), Exp. 6). Retrieved from osf.io/"/><s v="Frank, M. C., Kim, S. K., &amp; Lee, K. J. (2023, September 28). Replication of Albarracín et al. (2008, JPSP). Retrieved from osf.io/vy1bc"/><s v="Lakens, D. (2023, September 28). Replication of Mitchell, Nash, &amp; Hall (2008, JEP:LMC). Retrieved from osf.io/4xdkk"/><s v="Voracek, M., &amp; Sonnleitner, C. (2016, August 19). Replication of D Albarracín, IM Handley, K Noguchi, KC McCulloch, H Li, J Leeper, RD Brown, A Earl, WP Hart (2008, JPSP 95(3), Exp. 7). Retrieved from osf.io/rgm6p"/><s v="Humphries, D., Brown, K., DeGaetano, M., Mainard, H., Attridge, P. R., Brown, B. T., &amp; Hicks, G. (2023, September 28). Replication of Centerbar, Schnall, Clore, &amp; Garvin (2008, JPSP, Study 5). Retrieved from osf.io/l8srm"/><s v="Johnson-Grey, K. M., Hayes, T. B., &amp; Graham, J. (2023, September 28). Replication of Amodio, Devine, &amp; Harmon-Jones (2008, JPSP, Study 2). Retrieved from osf.io/wkgpq"/><s v="Gable, P. A., &amp; Mechin, N. (2023, September 28). Replication of E Harmon-Jones, C Harmon-Jones, M Fearn, JD Sigelman, P Johnson (2008, JPSP 94(1), Exp. 2). Retrieved from osf.io/su6bm"/><s v="Voracek, M., &amp; Slowik, A. (2023, September 28). Replication of E van Dijk, GA van Kleef, W Steinel, I van Beest (2008, JPSP 94(4), Exp. 3). Retrieved from osf.io/xtsq6"/><s v="Baranski, E. (2023, September 28). Replication of Lemay and Clark (2008, JPSP 95(2), Exp 5). Retrieved from osf.io/ke43j"/><s v="Marigold, D. C., Forest, A. L., &amp; Anderson, J. (2023, September 28). Replication of Lemay and Clark (2008, JPSP 95(4), Exp 5). Retrieved from osf.io/h84qd"/><s v="Meixner, J. M., &amp; Brüning, J. (2023, September 28). Replication of CJ Berry, DR Shanks, RN Henson (2008, JEPLMC 34(1), Exp 1). Retrieved from osf.io/atgp5"/><s v="Talhelm, T., Eggleston, C., &amp; Lee, M. (2023, September 28). Replication of Ersner-Hershfield et al. (2008, JPSP, Study 2). Retrieved from osf.io/sq8k9"/><s v="LeBel, E. P. (2023, September 28). Replication of Correll (2008, JPSP, Study 2). Retrieved from osf.io/fejxb"/><s v="Reinhard, D. A. (2023, September 28). Replication of J Förster, N Liberman, &amp; S Kuschel (2008, JPSP, Study 1). Retrieved from osf.io/mxryb"/><s v="Lin, S. C., &amp; Frank, M. C. (2023, September 28). Replication of Exline et al. (2008, JPSP, Study 7). Retrieved from osf.io/imrx2"/><s v="Frank, M. C., &amp; Mathur, M. B. (2023, September 28). Replication of Risen &amp; Gilovich (2008, JPSP). Retrieved from osf.io/sg3su"/><s v="Sullivan, G. B. (2023, September 28). Replication of Tracy and Robins (2008, JPSP, Exp 4). Retrieved from osf.io/qthf2"/><s v="Kleinberg, B., &amp; Kunkels, Y. K. (2023, September 28). Replication of Beaman, Neath, &amp; Suprenant (2008, JEP:LMC, Experiment 2). Retrieved from osf.io/6n3bm"/><s v="Baranski, E. (2023, September 28). Replication of Stanovich and West (2008, JPSP 94(4), Exp. 8). Retrieved from osf.io/7ux8p"/><s v="Lemm, K. M. (2023, September 28). Replication of Blankenship &amp; Wegener (2008, JPSP, Study 5A). Retrieved from osf.io/2gx4k"/><s v="Motyl, M., &amp; Nosek, B. A. (2023, September 28). Replication of Morrison &amp; Miller (2008, JPSP, Study 3). Retrieved from osf.io/nhwv5"/><s v="Kidwell, M., &amp; Dodson, G. T. (2016, August 19). Replication of M Koo, A Fishbach (2008, JPSP 94(2), Exp. 4). Retrieved from osf.io/nr7d9"/><s v="Calhoun-Sauls, A. (2023, September 28). Replication of CS Dodson, J Darragh, A Williams (2008, JEPLMC 34(3), Exp. 3). Retrieved from osf.io/c5pbg"/><s v="Lane, K. A., &amp; Gazarian, D. (2016, August 19). Replication of Henderson, de Liver, &amp; Gollwitzer (2008, JPSP, Expt. 5). Retrieved from osf.io/79dey"/><s v="Gilbert, E. A. (2023, September 28). Replication of Shnabel &amp; Nadler (2008, JPSP, Study 4). Retrieved from osf.io/xse7q"/><s v="Talhelm, T., Eggleston, C., &amp; Lee, M. (2023, September 28). Replication of Rule &amp; Ambady (2008, PS, Study 1). Retrieved from osf.io/r5gpv"/><s v="Ratliff, K. A. (2023, September 28). Replication of Fischer et al. (2008, JPSP, Study 4). Retrieved from osf.io/v8vft"/><s v="Galliani, E. M. (2023, September 28). Replication of Fischer, Greitemeyer, &amp; Frey (2008, JPSP, Study 2). Retrieved from osf.io/j8bpa"/><s v="Kelso, K., Gampa, A., Wright, E. C., Spencer, N. B., &amp; Welsh, A. (2023, September 28). Replication of Goff, Steele, and Davies (JPSP, 2008, Study 4). Retrieved from osf.io/abxcj"/><s v="Selterman, D. F., Chagnon, E., &amp; Mackinnon, S. P. (2023, September 28). Replication of Eastwick &amp; Finkel (2008, JPSP). Retrieved from osf.io/ng6cc"/><s v="Miller, J. K., PhD. (2023, September 28). Replication of Weidemann, Huber, and Shiffrin (2008, JEPLMC, Exp 4). Retrieved from osf.io/ne9dy"/><s v="Sinclair, H. C., Goldberg, R. M., Wu, S., &amp; Smith, M. M. (2016, August 19). Replication of SL Murray, JL Derrick, S Leder, JG Holmes (2008, JPSP 94(3), Exp. 8). Retrieved from osf.io/cxmf6"/><s v="Chartier, C. R., &amp; Perna, O. K. (2023, September 28). Replication of SM McCrea (2008, JPSP 95(2), Exp. 5). Retrieved from osf.io/mua6d"/><s v="Schmidt, K. (2023, September 28). Secondary Replication of V Purdie-Vaughns, CM Steele, PG Davies, R Ditlmann, JR Crosby (2008, JPSP 94(4), Exp. 3)."/><s v="Röseler, L., Bögler, H. L., Koßmann, L., Krueger, S., Bickenbach, S., Bühler, R., … Ponader, S. (2023, July 11). Results Report: Replication of Epley and Gilovich  (2006, Study 2c). https://doi.org/10.17605/OSF.IO/Q6TV8"/><s v="Renbarger, R., Sulak, T., &amp; Morgan, G. (2022). The Importance of Teacher Credentials for Early Achievement: A Replication of Croninger et al. (2007) Econ. Edu. Rev. ReScience X, 1(1). https://doi.org/10.5281/zenodo.6426882"/><s v="Djordjević, S., &amp; IJzerman, H. (2015). Weight as an Embodiment of Importance: Replications and Extensions. https://dx.doi.org/10.2139/ssrn.2586261"/><s v="Djordjević, S., &amp; IJzerman, H. (2015, March 7). Weight as an Embodiment of Importance: Replications and Extensions. https://doi.org/10.17605/OSF.IO/RTN9S"/><s v="Röseler, L., Felser, G., Asberger, J., &amp; Schütz, A. (2020, October 23). No effect of variety on perceived quantity: Evidence from six studies. (Study 3)"/><s v="Gnambs, T., Kovacs, C., &amp; Stiglbauer, B. (2020). Processing the word red and Intellectual Performance: Four replication attempts. Collabra, 6(1). (Experiment 2)"/><s v="Rausch, M. (2023, April 13). Can Laypeople Predict which Social Science Studies Will be Replicated Successfully?."/><s v="Genschow, O., Westfal, M., Crusius, J., Bartosch, L., Feikes, K. I., Pallasch, N., &amp; Wozniak, M. (2021). Does social psychology persist over half a century? A direct replication of Cialdini et al.’s (1975) classic door-in-the-face technique. Journal of Pe"/><s v="Duke, A. A., &amp; Bègue, L. (2015). The drunk utilitarian: Blood alcohol concentration predicts utilitarian responses in moral dilemmas. Cognition, 134, 121–127."/><s v="Francis, K. B., Gummerum, M., Ganis, G., Howard, I. S., &amp; Terbeck, S. (2019). Alcohol, empathy, and morality: Acute effects of alcohol consumption on affective empathy and moral decision-making. Psychopharmacology, 236, 3477–3496."/><s v="Paruzel-Czachura, M., Pypno, K., Everett, J.A., Białek, M.J., &amp; Gawronski, B. (2023). The Drunk Utilitarian Revisited: Does Alcohol Really Increase Utilitarianism in Moral Judgment? Personality and Social Psychology Bulletin, 49, 20–31."/><s v="Holgado, D., Troya, E., Perales, J. C., Vadillo, M. A., &amp; Sanabria, D. (2019). Does mental fatigue impair physical performance? A replication study. European Journal of Sport Science, 2020."/><s v="Erdmann, E., &amp; Dienlin, T. (2022). Binge-watching, self-determination, and well-being: A partially successful direct replication and extension of Granow et al. (2018). Journal of Media Psychology, 1864-1105/a000334."/><s v="Röseler, L., Felser, G., Asberger, J., &amp; Schütz, A. (2020, October 23). No effect of variety on perceived quantity: Evidence from six studies. (Study 4)"/><s v="Röseler, L., Felser, G., Asberger, J., &amp; Schütz, A. (2020, October 23). No effect of variety on perceived quantity: Evidence from six studies. (Study 5)"/><s v="Ross, R. M., &amp; Levy, N. (2023). Expressive responding in support of Donald Trump: An Extended Replication of Schaffner and Luks (2018). Collabra, 9(1)."/><s v="Yorovich, T. M., Hughes, S., Hussey, I., Vadillo, M. A., Olson, M. A., Aust, F., Bading, K. C., Balas, R., Benedict, T., Corneille, O., Douglas, S. B., Ferguson, M. J., Fritzlen, K. A., Gast, A., Gawronski, B., Giménez‐Fernández, T., Hanusz, K., Heycke, T"/><s v="Hughes, S., Cummins, J., &amp; Hussey, I. (2022). Effects on the affect Misattribution procedure are strongly moderated by influence awareness. Behavior Research Methods, 55(4), 1558-1586."/><s v="Vaughn, L. A. (2019). Distinguishing Between Need Support and Regulatory Focus with LIWC. Collabra, 5(1). (Analyses of Study 2 reported in Footnote 4)"/><s v="Thürmer, J. L., &amp; McCrea, S. M. (2021). Disentangling the Intergroup Sensitivity Effect: Defending the ingroup or enforcing general norms? European Journal of Social Psychology, 51(7), 1061-1072."/><s v="Papenmeier, F., &amp; Rebholz, T. R. (2023, September). Bimodal Flanker: Audio vs. Visual. Retrieved from https://osf.io/8nzfm/"/><s v="Stietz, J., Pollerhoff, L., Kurtz, M., Li, S. C., Reiter, A. M. F., &amp; Kanske, P. (2021). The ageing of the social mind: replicating the preservation of socio-affective and the decline of socio-cognitive processes in old age. Royal Society open science, 8("/><s v="Catling, J., &amp; Elsherif, M. (2020). The hunt for the age of acquisition effect: It’s in the links! Acta Psychologica, 209, 103138. (Supplementary to compare Study 1 and Study 3)"/><s v="Kulke, L., Von Duhn, B., Schneider, D., &amp; Rakoczy, H. (2018). Is implicit theory of mind a real and robust phenomenon? results from a systematic replication study. Psychological Science, 29(6), 888–900."/><s v="Li, Y., &amp; Bates, T. C. (2020). Testing the association of growth mindset and grades across a challenging transition: Is growth mindset associated with grades? Intelligence, 81, 101471. (Study 2)"/><s v="Gnambs, T., Kovacs, C., &amp; Stiglbauer, B. (2020). Processing the word red and Intellectual Performance: Four replication attempts. Collabra, 6(1)."/><s v="Liu, Y., Wang, B., &amp; Van Lange, P. a. M. (2022). The development of social value orientation: Attachment styles, number of siblings, age, and a comparison of measures. European Journal of Personality, 37(4), 402–417."/><s v="Adams, D., Koenig, B., Sanders, C., Jackson, D., &amp; Davis, C. (2018, December 4). Response Effort on Cleanliness Priming for Moral Judgements. https://doi.org/10.17605/OSF.IO/UXAJG"/><s v="Soto, C. J. (2019). How Replicable Are Links Between Personality Traits and Consequential Life Outcomes? The Life Outcomes of Personality Replication Project. Psychological Science, 30(5), 711-727. https://doi.org/10.1177/0956797619831612"/></sharedItems></cacheField><cacheField name="doi_r" numFmtId="0"><sharedItems containsBlank="1"><s v="without URL prefix, so starting with 10.xx"/><s v="10.17605/OSF.IO/2ZGF9"/><s v="osf.io/wru8c"/><s v="osf.io/x4v53"/><s v="10.17605/OSF.IO/7VGKQ"/><s v="10.1016/j.jesp.2020.104066"/><s v="10.1163/26670127-bja10017"/><s v="10.1017/S0272263124000238"/><s v="10.1111/fare.13030"/><s v="10.26443/msurj.v19i1.231"/><s v="10.1016/j.jsams.2024.07.018"/><s v="10.1038/s44220-024-00225-1"/><m/><s v="10.2139/ssrn.3816626"/><s v="10.1016/j.jsp.2024.101307"/><s v="10.1080--19345747.2024.2333734"/><s v="10.1080/19345747.2024.2333734"/><s v="10.1177/07419325241240067"/><s v="10.1017/S027226312400010X"/><s v="10.1037/met0000650"/><s v="10.1093/schbul/sbae058"/><s v="10.1038/s41467-024-46936-y"/><s v="10.17645/mac.7666"/><s v="10.17645/mac.7667"/><s v="10.17645/mac.7668"/><s v="10.17645/mac.7669"/><s v="10.1007/s40617-024-00933-1"/><s v="10.1177/09567976241246552"/><s v="10.1037/cns0000401"/><s v="10.1177/0956797613478614"/><s v="10.1016/j.jenvp.2024.102289"/><s v="mendoza_2024"/><s v="10.1016/j.drugalcdep.2024.111323"/><s v="10.1007/s40732-024-00597-x"/><s v="10.1016/j.paid.2024.112692"/><s v="10.1080/0163853X.2024.2339738"/><s v="10.1002/acp.4202"/><s v="10.1080/23273798.2024.2337948"/><s v="10.1017/S0261444824000120"/><s v="10.1002/jeab.915"/><s v="10.1002/erv.3103"/><s v="10.1017/S0272263124000342"/><s v="10.1108/S1574-076520240000026005"/><s v="10.1017/pds.2024.14"/><s v="10.31234/osf.io/68jft"/><s v="thekeep.eiu.edu/theses/5025"/><s v="10.1111/padm.12860"/><s v="2024.lrec-main.91"/><s v="10.31234/osf.io/cf4xz"/><s v="10.18718/81781.34"/><s v="10.1075/ijlcr.00046.ozk"/><s v="10.1017/S0272263124000378"/><s v="digitalcommons.memphis.edu--etd--3538"/><s v="Kontkanen_Jaakko_thesis_2024"/><s v="10.1007/978-3-031-55844-3_4"/><s v="10.31234/osf.io/kpcwv"/><s v="qt8p5673qn"/><s v="10.16995/zygon.11497"/><s v="10.5281/zenodo.6426882"/><s v="10.1080/02650487.2024.2362015"/><s v="10.1016/j.bbr.2024.115096"/><s v="10.1037/xap0000321"/><s v="10.1007/s11251-024-09670-y"/><s v="10.1037/xap0000366"/><s v="10.1037/emo0001389"/><s v="10.17605/OSF.IO/B25TR"/><s v="10.1016/j.jmathb.2024.101174"/><s v="10.31234/osf.io/esu9z"/><s v="Bischoff_MA_BMS"/><s v="10.1145/3649217.3653545"/><s v="10.1109/ICCQ60895.2024.10576941"/><s v="10.1016/j.xjmad.2024.100075"/><s v="10.1016/j.jesp.2024.104619"/><s v="10.1007/s40732-024-00601-4"/><s v="10.1016/j.appet.2023.106554"/><s v="10.1016/j.eatbeh.2024.101899"/><s v="10.1016/j.jrp.2024.104511"/><s v="10.1177/19485506241257971"/><s v="patt_2024"/><s v="10.1038/s41598-024-63724-2"/><s v="NA"/><s v="10.1371/journal.pone.0292576"/><s v="10.1080/15614263.2022.2102494"/><s v="10.1080/15614263.2023.2185241"/><s v="10.1007/s10834-024-09975-7"/><s v="10.37237/150205"/><s v="10.31234/osf.io/jfmsz"/><s v="10.31234/osf.io/xjaty"/><s v="10.1111/famp.12997"/><s v="10.1002/jaba.1098"/><s v="10.18718/81781.35%0A"/><s v="10.20982/tqmp.20.1.r001"/><s v="10.1093/applin/amae042"/><s v="10.1080/13527266.2024.2376918"/><s v="10.31234/osf.io/xr6bn"/><s v="10.5465/AMPROC.2024.19578abstract"/><s v="10.1080/13506285.2024.2343157"/><s v="10.12688/openreseurope.17749.1"/><s v="vonpruski_2024"/><s v="10.1002/jae.3082"/><s v="10.17605/OSF.IO/E5K4J"/><s v="10.1073/pnas.2402315121"/><s v="10.1098/rsos.231240"/><s v="10.1098/rsos.231173"/><s v="10.1098/rsos.231076"/><s v="10.1007/s13164-018-0400-9"/><s v="10.1177/0956797617719730"/><s v="10.17605/OSF.IO/BTH36"/><s v="10.1126/science.aaf0918"/><s v="10.1038/s41562-018-0399-z"/><s v="lee_2013"/><s v="10.3389/fpsyg.2014.01276"/><s v="korbmacher_2022"/><s v="10.1016/j.jesp.2012.10.014"/><s v="10.1016/j.appet.2013.12.020"/><s v="murtagh_2004"/><s v="10.1037/a0024587"/><s v="10.1186/2050-7283-1-22"/><s v="10.1371/journal.pone.0147770"/><s v="10.1371/journal.pone.0096339"/><s v="10.1027/1864-9335/a000178"/><s v="10.1037/0022-3514.83.2.406"/><s v="10.1037/0022-3514.90.6.893"/><s v="pashler_2011"/><s v="10.1371/journal.pone.0029081"/><s v="10.3758/s13423-013-0549-2"/><s v="10.1037/xge0000090"/><s v="10.1016/j.jesp.2013.05.011"/><s v="fayard_2009"/><s v="10.5209/rev_sjop.2011.v14.n1.13"/><s v="10.1080/01973533.2013.856792"/><s v="10.1177/2167702613485565"/><s v="10.3758/s13423-014-0757-4"/><s v="10.1177/0956797614553946"/><s v="10.1177/1948550616652209"/><s v="10.1177/1745691612463078"/><s v="10.1037/pspa0000064"/><s v="10.1016/j.jesp.2015.10.012"/><s v="10.1016/j.jesp.2015.08.005"/><s v="10.1037/arc0000007"/><s v="10.1177/0956797613486983"/><s v="10.1525/collabra.177"/><s v="10.17605/OSF.IO/DQV9Y"/><s v="10.17605/OSF.IO/E9D3K"/><s v="10.17605/OSF.IO/FMD75"/><s v="10.1038--s41562-024-02062-9"/><s v="10.31234/osf.io/ntukz"/><s v="10.17605/OSF.IO/J8A4P"/><s v="10.18718/81781.23"/><s v="10.18718/81781.24"/><s v="10.18718/81781.27"/><s v="10.18718/81781.28"/><s v="10.18718/81781.29"/><s v="10.1177/2515245918810225"/><s v="10.3389/fcomm.2022.1048896"/><s v="10.1073/pnas.2103313118"/><s v="10.1126/science.aac4716"/><s v="10.17605/OSF.IO/ehjdm"/><s v="10.17605/osf.io/ictp5"/><s v="10.3389/fpsyg.2014.00786"/><s v="10.17605/osf.io/82bwv   "/><s v="10.17605/osf.io/nxp9w"/><s v="10.1027/1864-9335/a000186"/><s v="10.17605/OSF.IO/ETG7C"/><s v="10.31234/osf.io/bgp3m"/><s v="10.2139/ssrn.2586261"/><s v="10.31234/osf.io/v643q"/><s v="10.1525/collabra.277"/><s v="10.17605/OSF.IO/5Y7NE"/><s v="10.1037/pspa0000261"/><s v="10.1016/j.cognition.2014.09.006"/><s v="10.1007/s00213-019-05314-z"/><s v="10.1177/01461672211052120"/><s v="10.31236/osf.io/tzn6d"/><s v="10.1027/1864-1105/a000334"/><s v="10.1525/collabra.68054"/><s v="10.31234/osf.io/kavx4"/><s v="10.3758/s13428-022-01879-4"/><s v="10.1525/collabra.185"/><s v="10.1002/ejsp.2748"/><s v="10.1098/rsos.210641"/><s v="10.1016/j.actpsy.2020.103138"/><s v="10.1177/0956797617747090"/><s v="10.1016/j.intell.2020.101471"/><s v="10.1177/08902070221094216"/><s v="10.17605/OSF.IO/UXAJG"/><s v="10.1177/0956797619831612"/></sharedItems></cacheField><cacheField name="url_r" numFmtId="0"><sharedItems containsBlank="1"><s v="Link to R results - only when DOI missing or for aggregate report"/><m/><s v="http://rave.ohiolink.edu/etdc/view?acc_num=ysu1714739251583684"/><s v="Bailey, C.D. (2024), &quot;Fraudulent Research Practices in Accounting: A Replication and Extension of Bailey, Hasselback, and Karcher (2001)&quot;, Shawver, T.J. (Ed.) Research on Professional Responsibility and Ethics in Accounting (Research on Professional Respo"/><s v="https://thekeep.eiu.edu/theses/5025"/><s v="https://thekeep.eiu.edu/theses/5025/?utm_source=thekeep.eiu.edu%2Ftheses%2F5025&amp;utm_medium=PDF&amp;utm_campaign=PDFCoverPages"/><s v="https://aclanthology.org/2024.lrec-main.91"/><s v="https://keep-dev.lib.asu.edu/items/192630"/><s v="https://digitalcommons.memphis.edu/etd/3538/"/><s v="https://helda.helsinki.fi/bitstreams/b16ebd43-f83b-42c9-9996-adf6735845c1/download"/><s v="https://escholarship.org/uc/item/8p5673qn"/><s v="http://rescience.org/x/article/view/8"/><s v="https://purl.utwente.nl/essays/100571"/><s v="https://cornerstone.lib.mnsu.edu/etds/1424/"/><s v="https://digitalcommons.montclair.edu/student-research-symposium/2024/poster01/21/"/><s v="https://osf.io/gexhp"/><s v="https://rstudio-pubs-static.s3.amazonaws.com/817655_c94c0f2142fc466fa36a6790ee3fcdde.html"/><s v="https://osf.io/v3e2z"/><s v="https://osf.io/vewk7"/><s v="http://rpubs.com/kimiasaadatian/replicationreport"/><s v="https://rpubs.com/ShimaSalehi/155989"/><s v="https://github.com/vboyce/251-254-MA/blob/main/reports/read2012.pdf"/><s v="https://rpubs.com/cgarton/975073"/><s v="https://github.com/vboyce/251-254-MA/blob/main/reports/risen2008.docx"/><s v="https://rpubs.com/kagood/final-project-report, "/><s v="https://rpubs.com/cceballos-stanford/544019"/><s v="https://osf.io/p5hvr"/><s v="https://github.com/psych251/Semrow2019/blob/master/writeup/Apaza_replication_Semrow.html"/><s v="https://rpubs.com/wuphins/159194"/><s v="https://rpubs.com/ennachen/psych251_finalproject"/><s v="https://rpubs.com/hrlarry/YUIMU-final"/><s v="https://rpubs.com/mkmartykeil/replicationfinal"/><s v="https://rpubs.com/mlee17/262394"/><s v="https://rpubs.com/chuqihu8/pilot"/><s v="https://rpubs.com/mateusmazza/project_report_pilotB"/><s v="https://rpubs.com/klsanch/pilotAwriteup"/><s v="https://github.com/StanfordPsych254/Tribushinina2011/blob/master/writeup/Replication-Report.html"/><s v="https://rstudio-pubs-static.s3.amazonaws.com/426870_bb10c991135648a19be27ad27cb36a15.html"/><s v="https://osf.io/v6zk8 or http://rpubs.com/catherinecthomas/final_replication"/><s v="https://rpubs.com/ayl888/695975"/><s v="https://osf.io/4ewkh"/><s v="https://osf.io/wdp9b"/><s v="https://github.com/psych251/wilkins2014/blob/master/writeup/project_report.html"/><s v="https://rstudio-pubs-static.s3.amazonaws.com/155174_48b1633681bb4024b4098ed433d5a80a.html"/><s v="https://osf.io/v6zk8"/><s v="https://rstudio-pubs-static.s3.amazonaws.com/1159352_e9a668d9124f415e8831bab302f49b6b.html"/><s v="https://rpubs.com/rcatapano/Zaval_replication_report"/><s v="https://osf.io/z6rfa"/><s v="https://osf.io/ab9q3"/><s v="https://osf.io/yt5q8/"/><s v="https://osf.io/agxwv"/><s v="https://osf.io/jpwd3"/><s v="https://osf.io/wj3bm"/><s v="https://osf.io/7d3ha"/><s v="https://rpubs.com/dmetaxak/correll2007&#xA;"/><s v="https://rpubs.com/staciaking/craig2014"/><s v="N/A"/><s v="NA"/><s v="https://osf.io/d5e7b"/><s v="https://osf.io/9fcjx"/><s v="https://rpubs.com/lrborchers/450894"/><s v="https://osf.io/9hn4c"/><s v="https://osf.io/mgjxv"/><s v="https://osf.io/s73x6"/><s v="https://osf.io/jnq7e"/><s v="https://osf.io/jubxw"/><s v="https://osf.io/k2teb"/><s v="https://osf.io/67mzc"/><s v="https://osf.io/zj5n3"/><s v="https://osf.io/j8pbk"/><s v="https://osf.io/szcuk"/><s v="https://osf.io/5uw3j"/><s v="https://osf.io/367yu"/><s v="https://osf.io/84fyw"/><s v="https://osf.io/qwked"/><s v="https://osf.io/drvhe"/><s v="https://osf.io/kchf9 "/><s v="https://osf.io/s48ht  "/><s v="https://osf.io/r4dve "/><s v="https://osf.io/7ch92 "/><s v="https://osf.io/2mtr3 "/><s v="https://osf.io/knh6y "/><s v="https://web.archive.org/web/20191201181415/http://psychfiledrawer.org/replication.php?attempt=MTc3"/><s v="https://web.archive.org/web/20190426092919/http://psychfiledrawer.org/replication.php?attempt=MTc3"/><s v="https://drive.google.com/file/d/1DDCuEgQah24QordxkRGO0EIt6Q681jyL/view"/><s v="https://hdl.handle.net/11250/2990125"/><s v="https://web.archive.org/web/20220103002744/https://github.com/eplebel/science-commons/blob/master/curated/ego-depletion/Pond%20et%20al%20(2011%2C%20Study%203)%20unpublished%20dataset%20methodological%20details.pdf"/><s v="https://osf.io/y36m8"/><s v="https://web.archive.org/web/20220128104303mp_/https://curatescience.org/app/replications"/><s v="https://osf.io/ct89g/"/><s v="https://web.archive.org/web/20191117063540/http://www.psychfiledrawer.org/replication.php?attempt=MTQ5"/><s v="https://datacolada.org/97"/><s v="https://datacolada.org/83"/><s v="https://datacolada.org/84"/><s v="https://datacolada.org/85"/><s v="https://datacolada.org/90"/><s v="https://osf.io/sejyp "/><s v="https://osf.io/janu3"/><s v="https://osf.io/7mgwh"/><s v="https://osf.io/jym7h"/><s v="https://osf.io/83n4z"/><s v="https://osf.io/x75fq"/><s v="https://osf.io/r57hu"/><s v="https://osf.io/ertbg"/><s v="http://dx.doi.org/10.1027/1864-9335/a000186"/><s v="."/><s v="https://doi.org/10.31234/osf.io/bgp3m"/><s v="https://osf.io/5y7ne/?view_only="/><s v="https://osf.io/8nzfm/"/><s v="1b"/><s v="https://osf.io/4a7v6"/><s v="https://osf.io/dgc9w"/><s v="https://osf.io/fdjns"/><s v="https://osf.io/pvem4"/><s v="https://osf.io/skw9u"/><s v="https://osf.io/gme8f"/><s v="https://osf.io/qju6y"/><s v="https://osf.io/q267x"/><s v="https://osf.io/spwxg"/><s v="https://osf.io/9ahkt"/><s v="https://osf.io/2yuq3"/><s v="https://osf.io/pq7eb"/><s v="https://osf.io/juxpq"/><s v="https://osf.io/xv3uz"/><s v="https://osf.io/s8mrz"/><s v="https://osf.io/d478r"/><s v="https://osf.io/jge2k"/></sharedItems></cacheField><cacheField name="study_r"><sharedItems containsBlank="1" containsMixedTypes="1" containsNumber="1"><s v="Number of study in paper, e.g., 1 or 2A"/><n v="1.0"/><m/><n v="2.0"/><s v="1c"/><n v="6.0"/><s v="1 &amp; 2 (Meta)"/><s v="10.1016/j.eatbeh.2024.101899"/><n v="3.0"/><s v="n/a"/><n v="4.0"/><n v="5.0"/><s v="2a"/><s v="2b"/><s v="NA"/><n v="9.0"/><n v="10.0"/><n v="11.0"/><n v="12.0"/><n v="13.0"/><n v="14.0"/><n v="15.0"/><n v="16.0"/><n v="17.0"/><n v="7.0"/><n v="8.0"/><n v="18.0"/><n v="19.0"/><n v="20.0"/><n v="21.0"/><s v="05 (as labeled in the Many Labs supplement)."/><s v="1a"/><s v="1b"/><s v="12 (as labeled in the Many Labs supplement)."/><s v="02 (as labeled in the Many Labs supplement)."/><s v="04 (as labeled in the Many Labs supplement)."/><s v="03 (as labeled in the Many Labs supplement)."/><s v="4.6 (as labeled in Many Labs 3 supplement)."/><s v="4.7 (as labeled in Many Labs 3 supplement)."/><s v="4.8 (as labeled in Many Labs 3 supplement)."/><s v="4.9 (as labeled in Many Labs 3 supplement)."/><s v="4.1 (as labeled in Many Labs 3 supplement)."/><s v="4.2 (as labeled in Many Labs 3 supplement)."/><s v="4.3 (as labeled in Many Labs 3 supplement)."/><n v="4.3"/><s v="4.5 (as labeled in Many Labs 3 supplement)."/><s v="10 (as labeled in the Many Labs supplement)."/><s v="11 (as labeled in the Many Labs supplement)."/><s v="01 (as labeled in the Many Labs supplement)."/><s v="Replication 1 Effect 1"/><s v="1 (Effect 1)"/><s v="1 (Effect 2)"/><s v="2 (Effect 1)"/><s v="2 (Effect 2)"/><s v="Replication 1 Effect 2"/><s v="Replication 2 Effect 2"/><s v="Replication 2"/><s v="1 (with typo)"/><s v="2 (without typo)"/><s v="1 (retention condition)"/><s v="1 (acquisition condition)"/><s v="Only Replication without Confounds"/><s v="Replication 1"/><s v="Replication 3"/><s v="3b"/><s v="7b"/><n v="22.0"/><n v="23.0"/><n v="24.0"/><n v="25.0"/><n v="26.0"/><n v="27.0"/><n v="28.0"/><n v="29.0"/><n v="30.0"/><n v="31.0"/><n v="32.0"/><s v="Van Rijn, H., &amp; Scholz, S. (2023, September 28). Replication of A Roelofs (2008, JEPLMC 34(2), Exp 3). Retrieved from osf.io/qwkum"/><s v="Selterman, D. F., Chagnon, E., &amp; Mackinnon, S. P. (2023, September 28). Replication of Eastwick &amp; Finkel (2008, JPSP). Retrieved from osf.io/ng6cc"/><s v="Supplementary to compare Study 1 and Study 3 (Experiment 1B)"/><s v="Supplementary to compare Study 1 and Study 3 (Experiment 2B)"/><n v="33.0"/><n v="34.0"/><n v="35.0"/><n v="36.0"/><n v="37.0"/><n v="38.0"/><n v="39.0"/><n v="40.0"/><s v="Analyses of Study 2 reported in Footnote 4"/></sharedItems></cacheField><cacheField name="file_r" numFmtId="0"><sharedItems containsBlank="1"><s v="file-name for R PDF - only edit if DOI is missing"/><s v="10.17605--osf.io--2zgf9.pdf"/><s v="osf.io--wru8c.pdf"/><s v="osf.io--x4v53.pdf"/><s v="10.17605--osf.io--7vgkq.pdf"/><s v="10.1016--j.jesp.2020.104066.pdf"/><s v="10.1163--26670127-bja10017.pdf"/><s v="10.1017--s0272263124000238.pdf"/><s v="10.1111--fare.13030.pdf"/><s v="10.26443--msurj.v19i1.231.pdf"/><s v="10.1016--j.jsams.2024.07.018.pdf"/><s v="10.1038--s44220-024-00225-1.pdf"/><s v=".pdf"/><s v="10.2139--ssrn.3816626.pdf"/><s v="10.1016--j.jsp.2024.101307.pdf"/><s v="10.1080--19345747.2024.2333734.pdf"/><s v="10.1177--07419325241240067.pdf"/><s v="10.1017--s027226312400010x.pdf"/><s v="10.1037--met0000650.pdf"/><s v="10.1093--schbul--sbae058.pdf"/><s v="10.1038--s41467-024-46936-y.pdf"/><s v="10.17645--mac.7666.pdf"/><s v="10.17645--mac.7667.pdf"/><s v="10.17645--mac.7668.pdf"/><s v="10.17645--mac.7669.pdf"/><s v="10.1007--s40617-024-00933-1.pdf"/><s v="10.1177--09567976241246552.pdf"/><s v="10.1037--cns0000401.pdf"/><s v="10.1177--0956797613478614.pdf"/><s v="10.1016--j.jenvp.2024.102289.pdf"/><s v="mendoza_2024.pdf"/><s v="mendoza.2024.pdf"/><s v="10.1016--j.drugalcdep.2024.111323.pdf"/><s v="10.1007--s40732-024-00597-x.pdf"/><s v="10.1016--j.paid.2024.112692.pdf"/><s v="10.1080--0163853x.2024.2339738.pdf"/><s v="10.1002--acp.4202.pdf"/><s v="10.1080--23273798.2024.2337948.pdf"/><s v="10.1017--S0261444824000120.pdf"/><m/><s v="10.1002--jeab.915.pdf"/><s v="10.1002--erv.3103.pdf"/><s v="10.1017--s0272263124000342.pdf"/><s v="10.1108--s1574-076520240000026005.pdf"/><s v="10.1017--pds.2024.14.pdf"/><s v="10.31234--osf.io--68jft.pdf"/><s v="thekeep.eiu.edu--theses--5025.pdf"/><s v="10.1111--padm.12860.pdf"/><s v="2024.lrec-main.91.pdf"/><s v="10.31234--osf.io--cf4xz.pdf"/><s v="10.18718--81781.34.pdf"/><s v="10.1075--ijlcr.00046.ozk.pdf"/><s v="10.1017--s0272263124000378.pdf"/><s v="digitalcommons.memphis.edu--etd--3538.pdf"/><s v="kontkanen_jaakko_thesis_2024.pdf"/><s v="10.1007--978-3-031-55844-3_4.pdf"/><s v="10.31234--osf.io--kpcwv.pdf"/><s v="qt8p5673qn.pdf"/><s v="escholarship.org--uc--item--8p5673qn.pdf"/><s v="10.16995--zygon.11497.pdf"/><s v="10.5281--zenodo.6426882.pdf"/><s v="10.1080--02650487.2024.2362015.pdf"/><s v="10.1016--j.bbr.2024.115096.pdf"/><s v="10.1037--xap0000321.pdf"/><s v="10.1007--s11251-024-09670-y.pdf"/><s v="10.1037--xap0000366.pdf"/><s v="10.1037--emo0001389.pdf"/><s v="10.17605--osf.io--b25tr.pdf"/><s v="10.1016--j.jmathb.2024.101174.pdf"/><s v="10.31234--osf.io--esu9z.pdf"/><s v="bischoff_ma_bms.pdf"/><s v="10.1145--3649217.3653545.pdf"/><s v="10.1109--iccq60895.2024.10576941.pdf"/><s v="10.1016--j.xjmad.2024.100075.pdf"/><s v="10.1016--j.jesp.2024.104619.pdf"/><s v="10.1007--s40732-024-00601-4.pdf"/><s v="10.1016--j.appet.2023.106554.pdf"/><s v="10.1016--j.eatbeh.2024.101899.pdf"/><s v="10.1016--j.jrp.2024.104511.pdf"/><s v="10.1177--19485506241257971.pdf"/><s v="patt_2024.pdf"/><s v="10.1038--s41598-024-63724-2.pdf"/><s v="na.pdf"/><s v="10.1371--journal.pone.0292576.pdf"/><s v="10.1080--15614263.2022.2102494.pdf"/><s v="10.1080--15614263.2023.2185241.pdf"/><s v="10.1007--s10834-024-09975-7.pdf"/><s v="10.37237--150205.pdf"/><s v="10.31234--osf.io--jfmsz.pdf"/><s v="10.31234--osf.io--xjaty.pdf"/><s v="10.1111--famp.12997.pdf"/><s v="10.1002--jaba.1098.pdf"/><s v="10.18718--81781.35%0a.pdf"/><s v="10.20982--tqmp.20.1.r001.pdf"/><s v="10.1093--applin--amae042.pdf"/><s v="10.1080--13527266.2024.2376918.pdf"/><s v="10.31234--osf.io--xr6bn.pdf"/><s v="10.5465--amproc.2024.19578abstract.pdf"/><s v="10.1080--13506285.2024.2343157.pdf"/><s v="10.12688--openreseurope.17749.1.pdf"/><s v="vonpruski_2024.pdf"/><s v="10.1002--jae.3082.pdf"/><s v="10.17605--osf.io--e5k4j.pdf"/><s v="10.1073--pnas.2402315121.pdf"/><s v="10.1098--rsos.231240.pdf"/><s v="10.1007--s13164-018-0400-9.pdf"/><s v="10.1177--0956797617719730.pdf"/><s v="10.17605--osf.io--bth36.pdf"/><s v="10.1126--science.aaf0918.pdf"/><s v="10.1038--s41562-018-0399-z.pdf"/><s v="curatescience10.pdf"/><s v="lee_2013.pdf"/><s v="10.3389--fpsyg.2014.01276.pdf"/><s v="korbmacher_2022.pdf"/><s v="10.1016--j.jesp.2012.10.014.pdf"/><s v="10.1016--j.appet.2013.12.020.pdf"/><s v="murtagh_2004.pdf"/><s v="10.1037--a0024587.pdf"/><s v="10.1186--2050-7283-1-22.pdf"/><s v="10.1371--journal.pone.0147770.pdf"/><s v="10.1371--journal.pone.0096339.pdf"/><s v="10.1027--1864-9335--a000178.pdf"/><s v="10.1037--0022-3514.83.2.406.pdf"/><s v="10.1037--0022-3514.90.6.893.pdf"/><s v="pashler_2011.pdf"/><s v="10.1371--journal.pone.0029081.pdf"/><s v="10.3758--s13423-013-0549-2.pdf"/><s v="10.1037--xge0000090.pdf"/><s v="curatescience31_1.pdf"/><s v="10.1016--j.jesp.2013.05.011.pdf"/><s v="NA"/><s v="10.5209--rev_sjop.2011.v14.n1.13.pdf"/><s v="10.1080--01973533.2013.856792.pdf"/><s v="fayard_2009.pdf"/><s v="10.1177--2167702613485565.pdf"/><s v="10.3758--s13423-014-0757-4.pdf"/><s v="10.1177--0956797614553946.pdf"/><s v="10.1177--1948550616652209.pdf"/><s v="10.1177--1745691612463078.pdf"/><s v="10.1037--pspa0000064.pdf"/><s v="10.1016--j.jesp.2015.10.012.pdf"/><s v="10.1016--j.jesp.2015.08.005.pdf"/><s v="10.1037--arc0000007.pdf"/><s v="10.1177--0956797613486983.pdf"/><s v="curatescience9_1_Besman M.et_al.2013.pdf"/><s v="10.1525--collabra.177.pdf"/><s v="10.17605--osf.io--dqv9y.pdf"/><s v="10.17605--osf.io--e9d3k.pdf"/><s v="10.17605--osf.io--fmd75.pdf"/><s v="10.1038--s41562-024-02062-9.pdf"/><s v="10.31234--osf.io--ntukz.pdf"/><s v="10.17605--osf.io--j8a4p.pdf"/><s v="10.18718--81781.23.pdf"/><s v="10.18718--81781.24.pdf"/><s v="10.18718--81781.27.pdf"/><s v="10.18718--81781.28.pdf"/><s v="10.18718--81781.29.pdf"/><s v="10.1177--2515245918810225.pdf"/><s v="10.3389--fcomm.2022.1048896.pdf"/><s v="10.1073--pnas.2103313118.pdf"/><s v="https:----osf.io--janu3.pdf"/><s v="10.1126--science.aac4716.pdf"/><s v="10.17605--osf.io--ehjdm.pdf"/><s v="10.17605--osf.io--ictp5.pdf"/><s v="10.3389--fpsyg.2014.00786.pdf"/><s v="10.17605--osf.io--82bwv   .pdf"/><s v="10.17605--osf.io--nxp9w.pdf"/><s v="10.1027--1864-9335--a000186.pdf"/><s v="osf_68m2c.pdf"/><s v="10.17605--osf.io--etg7c.pdf"/><s v="10.31234--osf.io--bgp3m.pdf"/><s v="10.2139--ssrn.2586261.pdf"/><s v="10.31234--osf.io--v643q.pdf"/><s v="10.1525--collabra.277.pdf"/><s v="10.17605--osf.io--5y7ne.pdf"/><s v="10.1037--pspa0000261.pdf"/><s v="10.1016--j.cognition.2014.09.006.pdf"/><s v="10.1007--s00213-019-05314-z.pdf"/><s v="10.1177--01461672211052120.pdf"/><s v="10.31236--osf.io--tzn6d.pdf"/><s v="10.1027--1864-1105--a000334.pdf"/><s v="10.1525--collabra.68054.pdf"/><s v="10.31234--osf.io--kavx4.pdf"/><s v="10.3758--s13428-022-01879-4.pdf"/><s v="10.1525--collabra.185.pdf"/><s v="10.1002--ejsp.2748.pdf"/><s v="10.1098--rsos.210641.pdf"/><s v="10.1016--j.actpsy.2020.103138 .pdf"/><s v="10.1177--0956797617747090.pdf"/><s v="10.1016--j.intell.2020.101471.pdf"/><s v="10.1177--08902070221094216.pdf"/><s v="10.17605--osf.io--uxajg.pdf"/><s v="10.1177--0956797619831612.pdf"/></sharedItems></cacheField><cacheField name="label_r" numFmtId="0"><sharedItems containsBlank="1"><s v="How does R identify as replication in title or abstract? Usually &quot;replication&quot; but report different wording if used"/><s v="replication attempt"/><m/><s v="Replication"/><s v="Title - &quot;A replication and elaboration study&quot;&#xA;Abstract - &quot;... the process of conceptual replication of Rellensmann and Schukajlow’s (2017) research...&quot;"/><s v="A preregistered, close replication of Darcy et al. (2016)"/><s v="close replication"/><s v="dyadic, longitudinal replication and extension"/><s v="&quot;Replication&quot; in title"/><s v="Closing the Gap: A Conceptual Replication of an Early Reading Intervention"/><s v="Conceptual Replication"/><s v="A Conceptual Replication"/><s v="&quot;Comment on and Attempt at Replication&quot; in title"/><s v="The authors tested the robustness and validity of the original findings."/><s v="Systematic Replication"/><s v="The study identifies as a replication in the title."/><s v="A Systematic Replication"/><s v="Replication and extensions"/><s v="replication and extension"/><s v="Approximate and close replications of Kormos and Dénes (2004) and Rossiter (2009)"/><s v="A replication with auditory stimulation"/><s v="A replication study"/><s v="approximate replication"/><s v="&quot;Replication and extension&quot;"/><s v="As advised by Sarah, I have excluded this row since the original study and replication study in this row do not match."/><s v="A replication"/><s v="Replication of Construct Validity of the Behavior Assessment Replication of Construct Validity of the Behavior Assessment System for Children-Third Edition Teacher Rating Scales (BASC-3 System for Children-Third Edition Teacher Rating Scales (BASC-3 TRS) "/><s v="robust experimental&#xA;replications"/><s v="&quot;Replication&quot;"/><s v="&quot;Direct replication&quot;"/><s v="Registered Replication"/><s v="replication/extension"/><s v="A partial replication study of Larsson et al. (2020)"/><s v="Title - &quot;An Approximate Replication Study&quot;&#xA;Abstract - &quot;... conducting an approximate replication of Onwuegbuzie et al. in Language Learning, 50(1):87–117, 2000.&quot;"/><s v="A Direct Replication of John Hedley Brooke's Chapter on Scientific and Religious Reform"/><s v="&quot;Corrobation, replication and extension&quot;"/><s v="conceptual replication / extension"/><s v="direct replication"/><s v="replication "/><s v="two-study replication"/><s v="conceptual replication "/><s v="replication and theoretical extension"/><s v="Replication and extensions registered report"/><s v="A conceptual replication study"/><s v="Registered Replication Report"/><s v="replication study"/><s v="Replication and extension study"/><s v="Title - &quot;a replication and extension of Karmarkar and Tormala (2010)&quot;&#xA;Abstract - &quot;direct replication of Experiment 2 by Karmarkar and Tormala (2010)&quot;"/><s v="replication and expansion"/><s v="A replication and extension"/><s v="A semi-replication"/><s v="semi-replication"/><s v="Replication from KDEF to NimStim"/><s v="A replication of Zottoli, Helm et al.(2023; Study 3"/><s v="&quot;The contribution is made in replication and extension of analyses reported elsewhere in the United States.&quot;"/><s v="“A recent study [...] found that Eric Garner’s death in NYC lead to more negative attitudes towards the police in London among Black residents compared to White and Asian residents. The current study aimed to replicate this transnational effect by assessi"/><s v="title, &quot;conceptual replication&quot;"/><s v="title, &quot;replication&quot;"/><s v="A replication attempt"/><s v="close"/><s v="very close"/><s v="Very close replication"/><s v="far"/><s v="Far replication"/><s v="exact"/><s v="Exact replication"/><s v="Reproducibility Report"/><s v="Web-based replication"/><s v="Reproducibility Project"/><s v="N/A"/><s v="replicate"/><s v=" To contribute data about reproducibility in economics, we replicate 18 studies published in the American Economic Review and the Quarterly Journal of Economics in 2011-2014."/><s v="Fairly Direct Replication"/><s v="Online Replication"/><s v="Experiment 1 was designed to replicate the counteracting effect of sugar consumption on ego depletion (Gailliot et al., 2007; Hagger et al., 2010). Following the protocol of Wang and Dvorak (2010),"/><s v="experimental replication"/><s v="R does not identify as a replication in title or abstract but identifies as replication in the description of experiment 1"/><s v="R does not identify as a replication in title or abstract"/><s v="Identified as &quot;replication&quot; in the Many Labs documents."/><s v="R does not identify as a replication in title or abstract but the introduction of study 1 states that the authors &quot;attempt to replicate&quot; the effects observed by Bargh et al., (1996)"/><s v="NA"/><s v="R does not identify as a replication in title or abstract but the results section contains one headline named &quot;Analysis 1: Replication of Previous Automatic Social Behavior Effects&quot; P. 10"/><s v="Fairly Exact Replication"/><s v="replicating the original study"/><s v="independent direct replications"/><s v="curated replications"/><s v="An additional experiment which looked for an effect of &quot;Honesty Priming&quot; similar to the one reported by Rasinski, Visser, Zagatsky, and Rickett (2005)'"/><s v="Failure to replicate Zhong and Liljenquist (2006)"/><s v="conceptual replications"/><s v="In four studies we replicated the original Zhong &amp; Liljenquist’s experiments with Spanish samples. We were unsuccessful in replicating the Zhong &amp; Liljenquist´s results that supported cleansing as a psychological mechanism for compensating guilty: results"/><s v="Our aim is to replicate the Macbeth effect with Spanish participants."/><s v="The first attempt at replicating was an online study of Penn undergrads getting course credit."/><s v="direct replications"/><s v="replicating"/><s v="replicating Zhong and Liljenquist"/><s v="a conceptual replication and exten-sion"/><s v="confirmatory replication attempt"/><s v="close replications"/><s v="a near-exact replication"/><s v="identified as replication in title"/><s v="identified as &quot;replication&quot; in Title"/><s v="Identical replication"/><s v="Preregistered replication"/><s v="Replication of Williams et al., 2016 "/><s v="&quot;Close replication&quot;"/><s v="Replication of Klein and O’Brienet al. 2018"/><s v="Replication of Jordan et al. 2016"/><s v="Replication of John et al. 2016"/><s v="Replication of Hofstetter et al. 2017"/><s v="Replication of Hoffman et al 2016"/><s v="Replication of Halevy &amp; Halali2015"/><s v="Replication of Guilbeault et al. 2018"/><s v="Replication of Gheorghiu et al. 2017"/><s v="Replication of Genschow et al. 2017"/><s v="Replication of Côte et al., 2015"/><s v="Replication of Vacharkulksemsuk et al., 2016"/><s v="Replication ofCooneyet al2016"/><s v="Replication of Cheon and Hong,2017"/><s v="Replication of Chao201"/><s v="Replication ofBoswell et al2018"/><s v="Replication of Baldwin and Lammers,2016"/><s v="Replication of Atir and Ferguson, 2018"/><s v="Replication of AmesandFiske,2015"/><s v="Replication of Stern et al, 2015"/><s v="Replication of Reeck et al 2017"/><s v="Replication of Rai et al.2017"/><s v="Replication of Morris et al. 2017"/><s v="Replication of McCall et al. 2017"/><s v="Replication of Kraus et al 2017"/><s v="Replication of Kouchaki and Gino,201"/><s v="replication with same data"/><s v="replication with new data"/><s v="&quot;This paper replicates the main analysis of Svensson (2015) with some expansion to the original analysis, mainly for the United States.&quot;"/><s v="&quot;This study attempts to replicate experimental results from Chowdhury et al. published in Southern Economic Journal (2017)&quot;"/><s v="&quot;In this article, I perform a verification and a reproduction of the main results in Fernández and Fogli (2009) [...]&quot;"/><s v="&quot;This paper replicates Poole (2013) using comprehensive Norwegian and Irish register data.&quot;"/><s v="&quot;This paper successfully replicates Autor et al. (2008) and extends their analysis through 2022.&quot;"/><s v="aggregate replication"/><s v="direct"/><s v="Replication, 'exactly reproduced methodology'"/><s v="&quot;This study aimed to replicate a study prior to recent teacher education reforms [...]&quot;"/><s v=" replication"/><s v="Extended replication"/><s v="A Registered Replication Report"/><s v="Across eight preregistered studies (N = 1603) plus meta-analyses, we reexamined the ‘implicitness’ of AMP effects, and in particular, the idea that people are unaware of the prime’s influence on their evaluations"/><s v=" direct replication"/><s v="Partial replication"/><s v="Systematic Replication Study TC"/><s v="Near-replication"/></sharedItems></cacheField><cacheField name="link_r" numFmtId="0"><sharedItems containsBlank="1"><m/><s v="https://drive.google.com/file/d/15dLELTosbF1NWFYI0UOSPLIC70dnGG5S/view?usp=drivesdk"/><s v="https://drive.google.com/file/d/1Oux4UBwSd26986fxRHjyI5XNtU-07DOs/view?usp=drivesdk"/><s v="https://drive.google.com/file/d/101OwdNXwjKk-CSJMDDNBxSMU_jnE0JGh/view?usp=drivesdk"/><s v="N/A"/><s v="https://drive.google.com/file/d/1Q7xa-u3DEssueb6fBYD39BjDPub6xcHR/view?usp=drivesdk"/><s v="https://drive.google.com/file/d/1u_oSZ0fEx8q87XxieN1axHREEr_kiGBE/view?usp=drivesdk"/><s v="https://drive.google.com/file/d/1KQ2h_KjNuvgQPQ443vS97noydUJbOuPG/view?usp=drivesdk"/><s v="https://drive.google.com/file/d/1TGN_TAtoJI3jhMQTEG2wnN59FCyiXC2_/view?usp=drivesdk"/><s v="https://drive.google.com/file/d/12ZFslJnsSmpbIBYf9YKunwP3Ofv14HZ-/view?usp=drivesdk"/><s v="https://drive.google.com/file/d/1iWxdhqxc4T6twXLJR2WbGMzAHqB2cMPh/view?usp=drivesdk"/><s v="https://drive.google.com/file/d/15dFaGlw5PiU4FQdHXfm-MBl-bSuobzO2/view?usp=drivesdk"/><s v="https://drive.google.com/file/d/1VAdnhoiJmdHbv1LbvyIfcfg3rNALrpkj/view?usp=drivesdk"/><s v="https://drive.google.com/file/d/1Rle6yo3utupMLtWPIY-izoAHwsC7-l3z/view?usp=drivesdk"/><s v="https://drive.google.com/file/d/1gy34Rj2zubnsdFDxbY0YzwrhmT7eVu5B/view?usp=drivesdk"/><s v="https://drive.google.com/file/d/1gKS9Z0txNmobZApdh403VlFeWnSEs1mA/view?usp=drivesdk"/><s v="https://drive.google.com/file/d/1VSCtSsv8HPQ12k-JKTjSEPJB-QhdOcwt/view?usp=drivesdk"/><s v="https://drive.google.com/file/d/1WNCE1BHqI-1JTQSuMkdiS2Xt4dckCPmq/view?usp=drivesdk"/><s v="https://drive.google.com/file/d/1TJ6nnv7-YYGU9DUh1ApFGirYy6BbChHy/view?usp=drivesdk"/><s v="https://drive.google.com/file/d/1STHrs5t12prgYSc1TN8l_wPj0GlytkgS/view?usp=drivesdk"/><s v="https://drive.google.com/file/d/1LH5FS1-bb7IdYkCgO31BjONeTKWAtRQN/view?usp=drivesdk"/><s v="https://drive.google.com/file/d/145Pa13zh5Prx2VW-au4YJBMHc37TXuej/view?usp=drivesdk"/><s v="https://drive.google.com/file/d/1y9Sta1A62b6o1louE7uCjU6m-n4q0e5j/view?usp=drivesdk"/><s v="https://drive.google.com/file/d/1uqPYsQnG8eSYcKJ1Tcphemj3KvGd0mXp/view?usp=drivesdk"/><s v="https://drive.google.com/file/d/1vapTuoFWQvT1qaSJqcvZzdcKGuZPcOor/view?usp=drivesdk"/><s v="https://drive.google.com/file/d/1hw6VxSN8dF8WIp6LhbqOOmsEo0dTvdbu/view?usp=drivesdk"/><s v="https://drive.google.com/file/d/1BuhIf3isP0KQXBW8CveCqOhEBWMkWgvl/view?usp=drivesdk"/><s v="https://drive.google.com/file/d/1maMe58N1aLmqdBUtveOinCFDUWOh5rcE/view?usp=drivesdk"/><s v="https://drive.google.com/file/d/1qKtm6cJaGp1OYT52DZ-rdF0umAGshXgk/view?usp=drivesdk"/><s v="https://drive.google.com/file/d/1GpMdw7ZFDWpDIdg1IjCcxRYXmuDta-6_/view?usp=drivesdk"/><s v="https://drive.google.com/file/d/1mEhjjjRgKQdJJEyOqsKa3dnm5uZRy5EI/view?usp=drivesdk"/><s v="https://drive.google.com/file/d/1sSSGJnEV4E18FQJXK-1-tt9r58Mi889H/view?usp=drivesdk"/><s v="https://drive.google.com/file/d/1s7Xp1h565EAKnPa_0Zp3RnS0qmb4t53a/view?usp=drivesdk"/><s v="https://drive.google.com/file/d/1bJ0BC-Xy_bNt41DXHAjv1ms0mnz9Vq86/view?usp=drivesdk"/><s v="https://drive.google.com/file/d/1fNwzy4f6SEAeVccICF8BD0SDAIH7uPVr/view?usp=drivesdk"/><s v="https://drive.google.com/file/d/14Gn77igqT7z48cFv6fyuoc9vsjaDleJT/view?usp=drivesdk"/><s v="https://drive.google.com/file/d/1TqbYPD6TfJF6VjNMngYfnoD5Y8nHUi0O/view?usp=drivesdk"/><s v="https://drive.google.com/file/d/1Fg206MUtjoN9d31kEAQ7bIDHvbUqwyGY/view?usp=drivesdk"/><s v="https://drive.google.com/file/d/1Zty8FHdgF4Nqed1S2bjomumBBiyC8Mfz/view?usp=drivesdk"/><s v="https://drive.google.com/file/d/1NIjwBw1HSQxLQI9DGPXfoBeD-8Wnntz5/view?usp=drivesdk"/><s v="https://drive.google.com/file/d/1Tsg1BvUDYPZ40L5izJMMYH7m3hZ-Z2QJ/view?usp=drivesdk"/><s v="https://drive.google.com/file/d/1Y24HtovNy5BwKos6_FsV4A_pE93bEfUv/view?usp=drivesdk"/><s v="https://drive.google.com/file/d/1lyco4NN8QUadLrLaxT4tk2Kth7hjO4p_/view?usp=drivesdk"/><s v="https://drive.google.com/file/d/19bZUP_N4YxLTtw7Y4tZumU1mxVv8t29B/view?usp=drivesdk"/><s v="https://drive.google.com/file/d/1mh0lOHypF2E9Nk9sQ57YmqKyEOyrqka8/view?usp=drivesdk"/><s v="https://drive.google.com/file/d/1AUxxuZsTugos0bfw5gX9jMDqt7bWDrfc/view?usp=drivesdk"/><s v="https://drive.google.com/file/d/1Eufb0NfIAz03c6rDvfbVDbjGjjReVYgi/view?usp=drivesdk"/><s v="https://drive.google.com/file/d/1cCkHaNWOPS3ds7SCRQ2FwENlloP5Ay-l/view?usp=drivesdk"/><s v="https://drive.google.com/file/d/1lAHnrSuQxWM2CdT06_FM1GDBh9d6nNTe/view?usp=drivesdk"/><s v="https://drive.google.com/file/d/1xNa3snr_hhHjS7pnwFaA2tVxjB_0VvqW/view?usp=drivesdk"/><s v="https://drive.google.com/file/d/1jvhXrkXP500Hc10PhmlgwF_pIcWK0diq/view?usp=drivesdk"/><s v="https://drive.google.com/file/d/1mK6ddl6CbjItWRFtU_KkouJP0UM3gV-6/view?usp=drivesdk"/><s v="https://drive.google.com/file/d/13DjN87PTnd1gRVtF4FDN_PrjD6syLFtl/view?usp=drivesdk"/><s v="https://drive.google.com/file/d/1pi6g99iJYyhyD_0jGvDca_hbleDdekCp/view?usp=drivesdk"/><s v="https://drive.google.com/file/d/1SZWqK44IKYVvgeBO_YR6iREgVqKc9hl7/view?usp=drivesdk"/><s v="https://drive.google.com/file/d/1EK0iig6kRzrCroz49dDEP_mf3A-HoVQR/view?usp=drivesdk"/><s v="https://drive.google.com/file/d/1Z88YOxFUdjB_N8RWvlHzVruajODQTnic/view?usp=drivesdk"/><s v="https://drive.google.com/file/d/1BxRopi0OntYhPQcXKMEC5xqZoDEptVYd/view?usp=drivesdk"/><s v="https://drive.google.com/file/d/1dsS2Zz_SrKiR1Wr9BLFEXM-_iHqMxxPd/view?usp=drivesdk"/><s v="https://drive.google.com/file/d/11I9BYw-LgWPOfVM-roaK7IeDdor9cI5n/view?usp=drivesdk"/><s v="https://drive.google.com/file/d/1AeJCeDtR27X7LIlQj69LZhU8lw_irjTZ/view?usp=drivesdk"/><s v="https://drive.google.com/file/d/1ljVoDtYBz0iPIIVFLmoGyAGWDfVCncq9/view?usp=drivesdk"/><s v="https://drive.google.com/file/d/1VUyjspRteJ5gkjs-fbYxT0CLPJf7x2H-/view?usp=drivesdk"/><s v="https://drive.google.com/file/d/1CclKKmhEg4wBmEAHmGyg_rBfw2qqAy8s/view?usp=drivesdk"/><s v="https://drive.google.com/file/d/1AxhabG9V7_RjgC05iqRfwY_LBYsC-1Lv/view?usp=drivesdk"/><s v="https://drive.google.com/file/d/16j_GiBODVfACftG20Niq4aIRC_kU8qsZ/view?usp=drivesdk"/><s v="https://drive.google.com/file/d/1WGY3X69XpAQRsdLRgO8nrxWGp5CpwgZF/view?usp=drivesdk"/><s v="https://drive.google.com/file/d/1_wLROYuywRItyX2cFnsLf0N4QfaR5Z8L/view?usp=drivesdk"/><s v="https://drive.google.com/file/d/1xNvXepqsFVWYkeFXaOCdP5f6pkQO7e5j/view?usp=drivesdk"/><s v="https://drive.google.com/file/d/1ThlzA-VvGBDO4Se-yoayt4Mn-HEfjYUo/view?usp=drivesdk"/><s v="https://drive.google.com/file/d/10CU4FiXsOc216jLudNBinSLadjKnYzKg/view?usp=drivesdk"/><s v="https://drive.google.com/file/d/1ldrzAt88fRJBOsSbplqW2NG4M3-xxKlP/view?usp=drivesdk"/><s v="https://drive.google.com/file/d/1fq5OO2numDQgQa5kWKk3UimuJGG6cyLq/view?usp=drivesdk"/><s v="https://drive.google.com/file/d/15ZlJQ8dYoTyaoh7HgVjWxbumKbhPC9XU/view?usp=drivesdk"/><s v="https://drive.google.com/file/d/1kvzfXjBDZmFTCeJVlsPrywrDLzw17fXw/view?usp=drivesdk"/><s v="https://drive.google.com/file/d/1mAgtvtRNwI_LQ2ccnmAWuBfkaX8itu_d/view?usp=drivesdk"/><s v="https://drive.google.com/file/d/1VVeqTkEjSzuu9KSkYUb2Q1_BeFG8ZFes/view?usp=drivesdk"/><s v="https://drive.google.com/file/d/1DMMXxQwzUbOxshIWiT8AwdGZ588_WZ8b/view?usp=drivesdk"/><s v="https://drive.google.com/file/d/1ULfnDtv84kgeFXRyMCCLbY1RRcrTQDB8/view?usp=drivesdk"/><s v="https://drive.google.com/file/d/14qlQgDUVz3KRZQVXwZQMkCR0K1msJHmK/view?usp=drivesdk"/><s v="https://drive.google.com/file/d/1vDgLj9eoT-VnSILsFHRQ12VvtSFTsWUV/view?usp=drivesdk"/><s v="https://drive.google.com/file/d/1VIxHSn4IKzp_dw4xNX6RMxFlMFrB02Na/view?usp=drivesdk"/><s v="https://drive.google.com/file/d/1lBAeCGIckBPanOLBGZwhA7XjuahS_0Dx/view?usp=drivesdk"/><s v="https://drive.google.com/file/d/1JQppLKOXxrmIyxFhDZtY85ZoIv_TVdh_/view?usp=drivesdk"/><s v="https://drive.google.com/file/d/1H6X8VsyVixAViuUZ-S2dfj2OJm-VwYrl/view?usp=drivesdk"/><s v="https://drive.google.com/file/d/17sgB6ScmXf8Wli1_dKWf0wpvxkNJRZtC/view?usp=drivesdk"/><s v="https://drive.google.com/file/d/1QDSkRCnuunpKbwNck3pYI8NlktZFtjZd/view?usp=drivesdk"/><s v="https://drive.google.com/file/d/1LvmKgU-0Swex9jXhSh89rVHkVzeNMucB/view?usp=drivesdk"/><s v="https://drive.google.com/file/d/1Mxrn43qE4Nlk4SUVbyTVjT4uEEPF5pZu/view?usp=drivesdk"/><s v="https://drive.google.com/file/d/17gaf2Zy_ljFfcAEDk5L8GBnTl5i7RGJE/view?usp=drivesdk"/><s v="https://drive.google.com/file/d/1hjI3aqifdfXjWhQAlvKCKKtvjuncAn5M/view?usp=drivesdk"/><s v="https://drive.google.com/file/d/1_tN97pqKnfamGcztRzQHZ9UG0A8Hag_0/view?usp=drivesdk"/><s v="https://drive.google.com/file/d/1g2LUlGntoVWUQi433rats2xlfqkwajdf/view?usp=drivesdk"/><s v="https://drive.google.com/file/d/1XgVMa01TtKbRfWaCjSCwCg4zPwJV_vw6/view?usp=drivesdk"/><s v="https://drive.google.com/file/d/1DDCuEgQah24QordxkRGO0EIt6Q681jyL/view?usp=drivesdk"/><s v="https://drive.google.com/file/d/1CSCUNAQZCt3s32RgzUwXe6pe5scvK0yY/view?usp=drivesdk"/><s v="LINK"/><s v="https://drive.google.com/file/d/1_rFVHDaWBDKF-ni6stLki1Wt7mspwAb2/view?usp=drivesdk"/><s v="https://drive.google.com/file/d/1c8fXNnhmY13vK0FI3aMB_LAx3-JbSZd7/view?usp=drivesdk"/><s v="https://drive.google.com/file/d/1y0uavGuuD3FfKExlt9hI-j32m6j_RxXx/view?usp=drivesdk"/><s v="https://drive.google.com/file/d/1GYDJkUHLj_0GiFfIztass97sMyACxxL_/view?usp=drivesdk"/><s v="https://drive.google.com/file/d/177P2xO1D22ODvu0Zcz9Ls-wtsZM0ck_y/view?usp=drivesdk"/><s v="https://drive.google.com/file/d/1UXS2QTqJQUfE_Pyj2Qy0nOdEsfBcSrJD/view?usp=drivesdk"/><s v="https://drive.google.com/file/d/1gBBT6EBomzmICcRfzrG_6jxfvMnRuQIj/view?usp=drivesdk"/><s v="https://drive.google.com/file/d/1fIqa3RxgdnsQkWwGnLkF4XAbM2g_WN4q/view?usp=drivesdk"/><s v="https://drive.google.com/file/d/1OuxVCUkVnVBw7IH1mtlkV9HYUNX7kOe5/view?usp=drivesdk"/><s v="https://drive.google.com/file/d/1TGcGbqDcsz1Kyb3oCU4EoWJQ9dp-E7q6/view?usp=drivesdk"/><s v="https://drive.google.com/file/d/1i2aa1erQ9i9knP8Z5bgGiSt6DXX7U7Fa/view?usp=drivesdk"/><s v="https://drive.google.com/file/d/13yA5wer3pEP6DzO7ZMN-jDmSL2aYTKUo/view?usp=drivesdk"/><s v="https://drive.google.com/file/d/1x9sfN1Qyptlpks3NPyyD6PckLhoE6G6J/view?usp=drivesdk"/><s v="https://drive.google.com/file/d/1TOxKvkgLgldkEiOl4Cnst0AYk7w8IBCh/view?usp=drivesdk"/><s v="https://drive.google.com/file/d/1JdFF8pu65hv5yMW8kuJKZT-omhqW3568/view?usp=drivesdk"/><s v="https://drive.google.com/file/d/1G4tP3z0FT61HHKi1B51ImyPr28TywEAv/view?usp=drivesdk"/><s v="https://drive.google.com/file/d/1grC_-CjFVn77v-PGNS3-UDB1Sv0gUwum/view?usp=drivesdk"/><s v="https://drive.google.com/file/d/1TZ4v__dPOmI3xNzFpnJFIk9lq8TKq6BL/view?usp=drivesdk"/><s v="https://drive.google.com/file/d/1_Adjy9YHg45Gx42zRW_GMddJujIpRnLp/view?usp=drivesdk"/><s v="https://drive.google.com/file/d/1p5ydRsZ4brAO2FqzQtlUbRAhPkcmRVgm/view?usp=drivesdk"/><s v="https://drive.google.com/file/d/182GXuG3qegDOfzlWQwH4rNCoeEmBWZVE/view?usp=drivesdk"/><s v="https://drive.google.com/file/d/1Siah8cHN9e47_gL9zhIF1EGajvH1CyAB/view?usp=drivesdk"/><s v="https://drive.google.com/file/d/1SA7ZP2ow52I8kFKx4p2nJ0nUspPn6as_/view?usp=drivesdk"/><s v="https://drive.google.com/file/d/1RF-nEXDyW9UWyQIuqmtLdTtTuTs-52JT/view?usp=drivesdk"/><s v="https://drive.google.com/file/d/1xuc-fvipcLZQMaybgsFtBL29-3ClXZFF/view?usp=drivesdk"/><s v="https://drive.google.com/file/d/1-xurSGJuM3s6RBApJqwPJeMlgGlC3K_D/view?usp=drivesdk"/><s v="https://drive.google.com/file/d/1gyeq5B_qi3Jnlf4Z_IsX5vLD1Nya92z0/view?usp=drivesdk"/><s v="https://drive.google.com/file/d/1GB5oPjHVuDXBTZ2__Had-zRIf9ZK4G7S/view?usp=drivesdk"/><s v="https://drive.google.com/file/d/1SNviYFYkLPApLDE4sxFOX_wRepMI0nnI/view?usp=drivesdk"/><s v="https://drive.google.com/file/d/1VipPphabn-Kfe9AzHC0j5FX1Fqp3bd0q/view?usp=drivesdk"/><s v="https://drive.google.com/file/d/1ricWbnnQ27T1O2HoAIXHZb1YA8sK8_s2/view?usp=drivesdk"/><s v="https://drive.google.com/file/d/1w8pcOEpgkXG4574TMp8vmQlQVMYXLL8c/view?usp=drivesdk"/><s v="https://drive.google.com/file/d/1AetBiDxEiDABROgFar_KCyTHXjrAYAyC/view?usp=drivesdk"/><s v="https://drive.google.com/file/d/1Kwdqeb9S0RNT_hHV1vR81MPGAjymnUQq/view?usp=drivesdk"/><s v="https://drive.google.com/file/d/1UFSIBKXNmPXd3__1cxrsTy9PbNax45wB/view?usp=drivesdk"/><s v="https://drive.google.com/file/d/12vw9kcWfNgIH1QJC1wzCOEbjp_P3Df3W/view?usp=drivesdk"/><s v="https://drive.google.com/file/d/1B0bpIVPknZVh5AfVAO6FnFkgh37GF9dx/view?usp=drivesdk"/><s v="https://drive.google.com/file/d/10OfxM8Xr_vLp1xZdWVqasjH0oVNLXD6c/view?usp=drivesdk"/><s v="https://drive.google.com/file/d/1al8eDyU6ngpVrQ3pelC_b0wECY353CCu/view?usp=drivesdk"/><s v="https://drive.google.com/file/d/1rGqHLpg3OEGQnWLvlAEJr7JSMWJ2p-Ar/view?usp=drivesdk"/><s v="https://drive.google.com/file/d/1Irbmig3rfLDvz-G09jDAVwJvv1drYEqO/view?usp=drivesdk"/><s v="https://drive.google.com/file/d/1UMAh9VGta6ExS2-Lb6GkDF4fmnI2EMeM/view?usp=drivesdk"/><s v="https://drive.google.com/file/d/1GV4zWU9q5kR-RIu3cmHk_E669d6rWRsW/view?usp=drivesdk"/><s v="https://drive.google.com/file/d/1aZbByDdOVHRhBNFrVHpONghJoQFgQzen/view?usp=drivesdk"/><s v="https://drive.google.com/file/d/1X8xl-ktO34rqHxXEr72Dhva7VBCdkSZl/view?usp=drivesdk"/><s v="https://drive.google.com/file/d/1yS8koYLoBzTIOnY0Iveg0atwD_kYj-_v/view?usp=drivesdk"/><s v="https://drive.google.com/file/d/1tKM1PILFcJ_p1wV0Jul0zI6ZVlWSKpjf/view?usp=drivesdk"/><s v="https://drive.google.com/file/d/1fXdEI1kl0lQt_4qWiP91lWgenOEsMrKg/view?usp=drivesdk"/><s v="https://drive.google.com/file/d/1LNTqrRGiajQW8AmTfTYGS-EuhKSBbzXe/view?usp=drivesdk"/><s v="https://drive.google.com/file/d/1hVwbIyW3epWRQsMMft62XMBr_6n68gLn/view?usp=drivesdk"/><s v="https://drive.google.com/file/d/1H4h52o-2l4VeH6zifkEQWasrzj-Pi8k3/view?usp=drivesdk"/><s v="https://drive.google.com/file/d/1FM8L4aEO4RUDs49kJAJIdOCQaOMgYN0P/view?usp=drivesdk"/><s v="https://drive.google.com/file/d/1gqkCLQ8YLn27JACJIv51ycR1U6cUfNAJ/view?usp=drivesdk"/><s v="https://drive.google.com/file/d/1yu5hD1Fq1gaQ5iAk9Sy1oujO3qnlBxsm/view?usp=drivesdk"/><s v="https://drive.google.com/file/d/1kMj9bYJrk8644y4gPjpgYXSikwfmuYTS/view?usp=drivesdk"/><s v="https://drive.google.com/file/d/1gdDOOMTIigM-6Ed3enxRZxDW_ycizIYq/view?usp=drivesdk"/><s v="https://drive.google.com/file/d/1qykbPSroz40PGKkag9WEI54L9tC55d5r/view?usp=drivesdk"/><s v="https://drive.google.com/file/d/1M6Ltzqhoq6i38u_uKwWyzNhrrtQbazWq/view?usp=drivesdk"/><s v="https://drive.google.com/file/d/15PNrZmOOUmljg2u3ulDQT64Zk426YNiM/view?usp=drivesdk"/><s v="https://drive.google.com/file/d/1rBJAGWTtBimqdJkF-7AeLyVrGIG8EBnW/view?usp=drivesdk"/><s v="https://drive.google.com/file/d/1tBea1xcrmrgSGVymZfDDDZH7SLB5aF-6/view?usp=drivesdk"/><s v="https://drive.google.com/file/d/1yMYVS-DUlP_U3zcoWL7wKPwZrYzyiImV/view?usp=drivesdk"/><s v="https://drive.google.com/file/d/1Xoam7f13E5M2EddKf56QMnzGorZg_Rlu/view?usp=drivesdk"/><s v="https://drive.google.com/file/d/1d6qI-QqNlpjQgx9Vwa0NjPkDpYx45iMg/view?usp=drivesdk"/><s v="https://drive.google.com/file/d/1YzEqH7QTG95vm-E-CJt-CI-rq6sFA3bV/view?usp=drivesdk"/><s v="https://drive.google.com/file/d/1CVrT0V-MeqSfZShwoRY6MMjJJXISWk02/view?usp=drivesdk"/><s v="https://drive.google.com/file/d/12vr4IdpuKGHum4clozdFiyxIbQP3jx5f/view?usp=drivesdk"/><s v="https://drive.google.com/file/d/1hYNUJrx3yjyMoTgcG7Qz4pix-8ruWFMC/view?usp=drivesdk"/><s v="https://drive.google.com/file/d/17mZvRs3ue7pXwqu8bmIDvgNdc95PGEcV/view?usp=drivesdk"/></sharedItems></cacheField><cacheField name="exclusion" numFmtId="0"><sharedItems containsBlank="1"><s v="Reason for study exclusion (usually only if R is not a replication)"/><m/><s v="no replication report available but only a post completion registration"/><s v="Not replicated"/><s v="original study relied on testing and neuropsychological performance (Visual Reproductions immediate recall/ Visual Reproductions delayed recall/ Verbal Paired Associates I /Verbal Paired Associates II/ Simple Reaction Time efficiency / Continuous Performa"/><s v="Even though theoretically relevant aspects of the studies are the same, the original study relied on qualitative methodology, hence there is no quantitative data to compare the studies."/><s v="no new data was collected"/><s v="literature review"/><s v="yes, the row is double coded"/><s v="yes, this row mus be excluded"/><s v="Not a replication, just a proposal for potential replication"/><s v="Not a replication, just a proposal for potential reolication"/><s v="the two papers are not related, study diffrent topics and belongs to diffrent fields"/><s v="Email response from LR: I think the &quot;replication&quot; part is actually a reproduction because both reports use the same sources (Current Population Surveys, CPS). We will discuss if the &quot;extension&quot; part meets our inclusion criteria and get back to you if it d"/><s v="In both research articles, the authors want to investigate which linguistic variables are most important for distinguishing between adverb positions in the written data. In both cases, they report running a Random Forest classifier using R. However, no qu"/><s v="I do not consider this to be a direct replication study because the authors used a different method to overcome a methodological/conceptual limitation of the original study. Even if the phenomenon being studied is the same, the introduction of a method to"/><s v="This study and replication does not constitute a quantitative measurement of phenomena but a textual analysis where no quantitative data or effect sizes are available for meta-analysis purposes."/><s v="It is the same original and replication study as ID resciencex_01_1"/><s v="The replication study uses different outcome variables (o: customer orientation, r: psychological ownership) and also uses a different study design specifically mediators which the original does not "/><s v="The replication study has not yet occured"/><s v="Although R is a replication, no real quantitative analysis have done. Both of them are kind of overview and descriptive only."/><s v="There is no specified original study in the &quot;replication&quot;. The &quot;replication&quot; in this table investigates psychometric properties of the short form scale of CoPAFS, the &quot;original&quot; in this table investigates these properties in the full scale (in a different"/><s v="reproduction, not replication"/><s v="no full paper available yet"/><s v="Completely different samples (medical patients with students. Not sure about exclusion, but the closeness is questionable)"/><s v="No replication report / data"/><s v="No statistical outcome both in original study and replication data"/><s v="No replication. The OSF report was registered only in Dec 2024."/><s v="No replication"/><s v="The replication was not completed"/><s v="There is no matching results"/><s v="No replication results"/><s v="No replication data for experiment 2"/><s v="The results from the original and &quot;replication&quot; studies investigate the phenomenon using different dependent variables and analysis. The replication is not strictly speaking replication"/><s v="No replication data available"/><s v="No replication data available (the report does not contain information)"/><s v="There is no numerical data in the replication"/><s v="duplicate"/><s v="report not available anymore (was on psychfiledrawer), Materials (working link): https://web.archive.org/web/20220103002723/https://web.archive.org/web/20170107102034/http://www.psychfiledrawer.org/files/8531391990603Materials.pdf results (dead link): htt"/><s v="could not get access to the r_paper "/><s v="It's a very different experiment than the original"/><s v="I am not sure what exclusion criteria for studies the project has. This one seems to be in German, so I don't know if it's eligible."/><s v="I wonder if this should be an exclusion if we cannot get the full values from the replication"/><s v="NA"/><s v="The authors use the same dataset for Sweden and an updated dataset for the U.S. (thus the dataset is also partly the same) see p. 3 (p. 5 when respecting the whole document: https://www.econstor.eu/bitstream/10419/253653/1/JCRE-2022-2.pdf)"/><s v="It is a reproduction and not a replication"/><s v="Please check again: I think that the replication study uses at least to some extant the same data. The replication adds only more recently obtained data."/><s v="The replication paper state &quot;Given the low number of observations, the results of this replication are likely unreliable. &quot;"/><s v="Very small response rate (~0%)"/><s v="There is no replication for this row neither on the OSC 2015 table or p35 replication links"/><s v="There is no replication for this entry"/><s v="I skipped that row, because I couldn't fine a file clearly indicating replication procedure and results"/><s v="replication study not available"/><s v="This study should be excluded because the original study and the replication study are the same, authored by the same authors. The links for the original and replication studies lead me to the same paper"/><s v="the hypothesis for prosocicals vs. competitors was not conducted in the original study"/><s v="the hypothesis for social value orientation (SLM) vs. age were not conducted both in the original  and replication studies (for sample 1)"/></sharedItems></cacheField><cacheField name="discipline" numFmtId="0"><sharedItems containsBlank="1"><s v="Which broad field does the finding come from - e.g., Social Psychology or Labor Economics"/><s v="Political Science"/><s v="Cognitive Psychology"/><s v="Experimental Philosophy"/><s v="Judgment and Decision Making"/><s v="Social Psychology"/><s v="Education"/><s v="Educational Sciences"/><s v="Linguistics"/><s v="Science and Medicine in Sport "/><s v="Medicine"/><s v="Communication Science"/><s v="Education Science"/><m/><s v="Methods"/><s v="Neuroscience"/><s v="Psychology"/><s v="Sports Sciences"/><s v="Differential Psychology"/><s v="Education Sciences"/><s v="Organizational Psychology"/><s v="Developmental Psychology"/><s v="Management"/><s v="Medicine (Psychiatry)"/><s v="Economics"/><s v="Psychopathology"/><s v="Political Psychology"/><s v="Marketing"/><s v="Neuroscience (biological psychology)"/><s v="Education (computer science)"/><s v="Consumer Research"/><s v="Clinical Psychology"/><s v="Evolutionary Psychology"/><s v="Judgement and Decision Making "/><s v="Consumer Psychology"/><s v="Meta Science"/></sharedItems></cacheField><cacheField name="effect" numFmtId="0"><sharedItems containsBlank="1"><s v="x"/><m/><s v="Contrast sensitivity of knowledge ascription (contrastivism)"/><s v="contrastive knowledge"/><s v="subliminal anchoring"/><s v="interest in mathematics"/><s v="Production accuracy - /e/ format"/><s v="Production accuracy - /ei̯/ ~ /e/"/><s v="Production accuracy - /ei̯/ z score"/><s v="Production accuracy - Consonant accuracy"/><s v="Second Language Phonological Processing"/><s v="First Financial Discussion Effect"/><s v="maximal anaerobic fatigue"/><s v="Dynamic postural control"/><s v="Sentence reading / Reading comprehension"/><s v="Spelling"/><s v="Word reading"/><s v="Effect of time to publication (moderator variable) in outcome-reporting bias."/><s v="Effect of sample size (moderator variable) in outcome-reporting bias."/><s v="Effect of number of statistical tests (moderator variable) in outcome-reporting bias."/><s v="Effect of type of outcome measure (moderator variable) in outcome-reporting bias."/><s v="Odds ratio for publish findings"/><s v="Interpretation of sociolinguistic variation"/><s v="interpretation of verbal moods in second language learning"/><s v="Prolactin-increasing antipsychotics' effect on breast cancer&#xA;"/><s v="Prolactin-sparing antipsychotics' effect on breast cancer&#xA;"/><s v="Fear extintion"/><s v="&quot;Dopamine-dependent prefrontal reactivations explain long-term benefit of fear extinction&quot; "/><s v="Behavioral intentions"/><s v="The nature of hipocrisy"/><s v="Motivational determinants of anthropomorphism"/><s v="Sensory attenuation"/><s v="perceived responsibility"/><s v="biomarkes of substace use diorder"/><s v="Repetitve Negative Thinking (RNT)"/><s v="knowledge application task"/><s v="transfer task"/><s v="misinformation effect"/><s v="discrepancy detection"/><s v="morphological family&#xA;size effects"/><s v="Response force in a conjugate preparation (VMSWO Rank 1-5 by Mean&#xA;Force Rank 1-5)"/><s v="Percentage of correct answers: Effect of emotion"/><s v="Percentage of correct answers: Effect of Task X group interaction"/><s v="Percentage of correct answers: Effect of Task X emotion interaction"/><s v="Percentage of correct answers: Effect of Task X Emotion X Group interaction"/><s v="Emotion discrimination task: Effect of emotion"/><s v="Emotion discrimination task: Effect of group"/><s v="Emotion discrimination task: Effect of emotion X group interaction"/><s v="Emotion discrimination task: Effect of group on happy faces"/><s v="Emotion discrimination task: Effect of group on sad faces"/><s v="Emotion discrimination task: Effect of group for afraid faces"/><s v="Emotion discrimination task: Effect of group for neutral faces"/><s v="Emotion discrimination task: Effect of group for angry faces"/><s v="Gender discrimination: Effect of emotion"/><s v="Gender discrimination: Effect of group"/><s v="Mean reaction time for correct answers: Effect of Task X Emotion X Group interaction"/><s v="Mean reaction time for correct answers: Effect of emotion"/><s v="Mean reaction time for correct answers: Effect of task X emotion interaction"/><s v="Mean reaction time for correct answers: Effect of group"/><s v="Misclassification analysis: Effect of Error type X group for faces being misclassified as sad"/><s v="Misclassification analysis: Effect on group for afraid faces being misclassified as sad"/><s v="Misclassification analysis: Effect on group for faces being misclassified as angry"/><s v="Misclassification analysis: Effect on group for faces being misclassified as neutral"/><s v="Misclassification analysis: Effect on group for happy faces being misclassified as neutral"/><s v="Misclassification analysis: Effect on group for sad faces being misclassified as neutral"/><s v="Misclassification analysis: Effect on group for faces being misclassified as happy"/><s v="Misclassification analysis: Effect on group for faces being misclassified as afraid"/><s v="Percentage of correct answers: Effect of task"/><s v="Adolescents with anorexia nervosa and major depression identifying correct facial expressions: Effect of task"/><s v="Adolescents with anorexia nervosa and major depression identifying correct facial expressions: Effect of emot"/><s v="syntatic transfer/noun-raising"/><s v="Research misconduct"/><s v="&quot;If hierarchical, then corrupt&quot;"/><s v="Hierarchy-Corruption Association"/><s v="Attention deficit/problems"/><s v="Hyperactivity /Attention Deficit Hyperactive"/><s v="Withdrawal/Avoidant "/><s v="Conduct Problems /Delinquent "/><s v="Conduct Problems/Oppositional Defiant"/><s v="Aggression / Solitary Aggressive Provocative "/><s v="Aggression/  Solitary Aggressive Impulsive "/><s v="Externalizing/  Overactivity"/><s v=" Internalizing / Underactivity"/><s v="Expectancy-Disconfirmation Theory"/><s v="Expectancy-disconfirmation theory of citizen satisfaction"/><s v="Attention bias"/><s v="attentional bias"/><s v="wage inequality"/><s v="The transferability of language-switching skills to nonlinguistic task switching"/><s v="bilingual advantage (task switching)"/><s v="mattering scale"/><s v="Foundational factors of Mattering"/><s v="grammar acquisition"/><s v="Proficiency use of progressive (ing)"/><s v="Proficiency use of plural (plural)"/><s v="Proficiency use of copula be (be-cop)"/><s v="Proficiency use of auxiliary be (be-aux)"/><s v="Proficiency use of article (article)"/><s v="Proficiency use of irregular past (past-irreg)"/><s v="Proficiency use of regular past (past-reg)"/><s v="Proficiency use of possessive (poss)"/><s v="Proficiency use of 3rd person singular (3rd sing)"/><s v="foreign langauage learning anxiety"/><s v="effect of rumination in psychopathology"/><s v="Rumination"/><s v="Customer Empowerment"/><s v="Behavioural bias for food"/><s v="commitment escalation"/><s v="Effects of Process and Outcome Accountability on Escalating Commitment"/><s v="Problem-solving prior to instruction"/><s v="escalating commitment"/><s v="nostalgia proneness"/><s v="music-evoked nostalgia"/><s v="windfall gains"/><s v="early algebra"/><s v="Death Thought Suppression and Rebound Hypothesis:"/><s v="The role of relative frontal alpha asymmetry in shaping the stress response"/><s v="emotion stress regulation: the role of of relative frontal&#xA;alpha asymmetry"/><s v="static analysis"/><s v="static analysis errors in student programming"/><s v="Impact of Method Chains and Comment Variants on Code Readability and Comprehension "/><s v="implicit threat bias"/><s v="Attentional threat bias"/><s v="expertise persuasion incongruity effect"/><s v="Response disequilibrium"/><s v="Emotional Eating Patterns"/><s v="Negative emotional eating"/><s v="emotional eating"/><s v="Self-esteem development"/><s v="age-related microaggressions"/><s v="n/a"/><s v="attitude change after police killings"/><s v="positive parenting intervention on frequency of parental involvement in physical games"/><s v="positive parenting intervention on frequency of parental involvement in didactic activities"/><s v="positive parenting behaviors "/><s v="self-directed learning skills"/><s v="social porfolio diversity"/><s v="perception of self and others "/><s v="Co-Parenting Across Family Structures Effect"/><s v="NA"/><s v="physical activity, step count"/><s v="war exposure and civic engagement"/><s v="Articulatory rehearsal and phonological storage"/><s v="Articulatory rehearsal and phonological storage in working memory:"/><s v="Accent bias"/><s v="accent bias and competence perception "/><s v="Event-related potential"/><s v="Error-Related Negativity (ERN)"/><s v="Environmental Practices of Foreign-Owned Establishments"/><s v="effects of proximity and effort across [...] on escalating frustration"/><s v="Escalating frustration"/><s v="default effect"/><s v="God Salience"/><s v="Emotion modulation"/><s v="Personalness of source"/><s v="Holistic recollection"/><s v="Linguistic Distancing"/><s v="Mind perception"/><s v="Within-the-bar bias"/><s v="Implicit theories of interest"/><s v="Empathic mindset"/><s v="Cognitive control"/><s v="Persuasion"/><s v="Moral reflection"/><s v="Sleep effect on emotional memory"/><s v="Data quality on Prolific vs MTurk"/><s v="Data quality on CR vs MTurk"/><s v="Data quality"/><s v="Prejudice"/><s v="Priming"/><s v="Reasoning error"/><s v="Linguistic intergroup bias"/><s v="Stereotype"/><s v="Attentional orienting effect "/><s v="Intertemporal decisions"/><s v="Intellectual humility "/><s v="Task switching"/><s v="Cognitive load"/><s v="Negotiation "/><s v="Judgment"/><s v="Ensemble statistics and item memory"/><s v="Cultural Differences"/><s v="Choice Perception"/><s v="Anchoring"/><s v="Clean Conscience"/><s v="Self-promotion"/><s v="Stigmatization"/><s v="Feature dependency"/><s v="Scarcity"/><s v="Memory-based judgments"/><s v="Free-will"/><s v="Age differences"/><s v="Emotion regulation"/><s v="Emotions"/><s v="Community-of-knowledge hypothesis"/><s v="Face recognition"/><s v="Cynicism"/><s v="Generic language"/><s v="Saving-Enhanced Memory"/><s v="Attentional cuing"/><s v="Self-disclosure"/><s v="Sex difference"/><s v="Language acquisition"/><s v="Perception"/><s v="Hedonic Reaction"/><s v="Side effect"/><s v="intention and intentional action"/><s v="Causal relationship"/><s v="Curiosity"/><s v="Prime"/><s v="Memory"/><s v="Anti-White bias"/><s v="Loneliness"/><s v="Cheating"/><s v="Mental rotation"/><s v="Cheater detection"/><s v="Attention"/><s v="illusion of consensus"/><s v="Subsidizing"/><s v="Holistic processing"/><s v="Hierarchical social context "/><s v="Memory Suppression"/><s v="Word priming"/><s v="effect of perspective"/><s v="Emotion processing"/><s v="Learning"/><s v="Economic Insecurity"/><s v="Workplace discrimination"/><s v="Racial demographic shifts"/><s v="Moral judgement"/><s v="bouba-kiki"/><s v="negative calorie illusion."/><s v="A/B Effect"/><s v="seductive allure effect"/><s v="subjective-aging effect"/><s v="Contrast effect"/><s v="Marginal effecr"/><s v="Replicant effect"/><s v="Stroop effect"/><s v="Size-Stroop effect"/><s v="moral reproach"/><s v="repetition blindness"/><s v=" Average accumulated earnings "/><s v="Reluctance to delegate authority"/><s v="Cooperation in continuous prisoner's dilemma"/><s v="Cooperation in a continuous prisoner’s dilemma"/><s v="Leniency in Prisoner's Dilemma"/><s v="We see that there is markedly less cooperation when b/c = 1.5, both in the first round (1.5 versus 2, p = 0.016; 1.5 versus 2.5, p = 0.003; 1.5 versus 4, p = 0.004) and overall (1.5 versus 2, p = 0.001; 1.5 versus 2.5, p &lt; 0.001; 1.5 versus 4, p &lt; 0.001)"/><s v="Effect of deferred  compensation  in increasing  effort  and surplus."/><s v="Mood and time preference"/><s v="Effect  of  a  mood-inducing  film  clip  on  time  preference"/><s v="Registration of organ donors: giving waitlist priority"/><s v="Effects of different organ donation policies on the registration of organ donors"/><s v="Mispricing effect in  experimental  asset  markets  under  constant  fundamental value with declining fundamental value"/><s v="Effects of market communication in a “second-order statistic” coordination game."/><s v=" Effects of placement in the second-to-last place endowments in money redistribution. "/><s v="Effect of punishment depending on monitoring"/><s v="Effect of regular punishment and noise in net earnings."/><s v="Impact of screening treatment on the employers’ and employees’ average income"/><s v="Effect of communication"/><s v="Social identity and coordination"/><s v="Efficiency in coordination games"/><s v="Selection of arbitrators through shortlisting rather than veto-ranking"/><s v="Efficiency (average aggregate payoff) difference between veto-rank mechanism (VR) and shortlisting (SL) mechanisms."/><s v="Efficiency in the Lagos-Wright money model."/><s v="Efficience with credence goods"/><s v=" Efficiency between the B/LV treatment (liability/verifiability) and the B/V treatment (no liability/verifiability."/><s v="Willingness to accept (WTA) a mug (effect of expectations on subjects’ monetary valuation of an item)."/><s v="haptic priming"/><s v="memory retrieval"/><s v="Cognitive Dissonance"/><s v="Mediator Memory Effectiveness"/><s v="emotion discrimination"/><s v="transactive memory,"/><s v="affirmative action"/><s v="mneumonic biases"/><s v="analytic prime"/><s v="cooperation and public goods"/><s v="Cleanliness Priming"/><s v="above-average effects"/><s v="people tend to perceive themselves as above average when considering easy abilities"/><s v="future (delay) discounting"/><s v="ego depletion"/><s v="strength model (also known as ego-strength model or resource model)"/><s v="Use of race information in WIT"/><s v="limited resource model of executive control"/><s v="Response scale range affects reported behavior and judgments"/><s v="Low vs. high category scales"/><s v="stereotype priming"/><s v="Implicit attitudes measured via IAT demonstrate biases (e.g., race, age, gender) that may differ from explicit self-reports."/><s v="Gender-Math-Stereotype"/><s v="embodiment of secrets effect"/><s v="Framing effects influence risk preferences in decision-making."/><s v="Framing effect"/><s v="Retrospective gambler’s fallacy: unlikely events are perceived as more plausible in hindsight."/><s v="honesty priming"/><s v="Macbeth effect"/><s v="Modulation of 1/f noise in a racial bias task."/><s v="implicit bias measures"/><s v="Power Posing"/><s v="precognition"/><s v="Theory of Mind"/><s v="Embodiment of weight influences judgments of importance."/><s v="Weight priming"/><s v="Communal traits influence ambient temperature perception."/><s v="Warmth priming"/><s v="Priming theory of mind"/><s v="Need for cognition effect"/><s v="Time is money effect"/><s v="Happiness"/><s v="Impatience"/><s v="Subjective distancing of past experiences."/><s v="Warmth-Need Effect"/><s v="trait loneliness"/><s v="Stroop effect: Interference of conflicting stimuli in serial verbal reactions."/><s v="Spatial metaphors influence temporal reasoning."/><s v="Structure mapping"/><s v="Availability heuristic"/><s v="Availability effects"/><s v="Power reduces perspective-taking"/><s v="Attachment-warmth embodiment effect"/><s v="Anxiety and Sensitivity to Temperature"/><s v="Money priming and system justification"/><s v="meer exposure effect"/><s v="Imagined contact enhances future contact intentions"/><s v="imagined context effect"/><s v="Instructional manipulation checks improve data quality and increase statistical power"/><s v="Instructional manipulation checks"/><s v="goal conflict"/><s v="attention to others as mediator"/><s v="Unilateral decisions on behalf of the self and multiple others"/><s v="Self-concept uncertainty"/><s v="Self-concept clarity"/><s v="curiosity desires"/><s v="Curiosity in indulgence-related decisions"/><s v="Product efficacy"/><s v="Displayed quantity"/><s v="red-romance effect"/><s v="influence of color condition on perceived attractiveness"/><s v="influence of color condition on desired sexual behavior"/><s v="effect of color condition on perceived likability."/><s v="mediation model"/><s v="Anchoring-and-Adjustment Heuristic"/><s v="Anchoring and Adjustment "/><s v="Subliminial anchoring"/><s v="stereotypes"/><s v="Ecology-driven stereotypes overriding race stereotypes"/><s v="information processing"/><s v="Overestimation of decision-making time"/><s v="Uncalculating cooperation"/><s v="Uncalculating cooperation driven by reputation concerns"/><s v="disclosure"/><s v="Deliberate non-disclosure "/><s v="impression formation"/><s v="The impact of temporary vs. permanent sharing on digital disclosures "/><s v="racial bias"/><s v="Racial bias in pain assessment and treatment"/><s v="conflict resolution"/><s v="Conflict resolution and third-party intervention"/><s v="scientific communications"/><s v="Partisan Priming"/><s v="First impressions"/><s v="Competence-based bias in science communication"/><s v="free-will belief"/><s v="Free will and correspondance bias"/><s v="economic inequality"/><s v="Inequality-driven generosity gap"/><s v="romantic attraction,"/><s v="Dominance of open non-verbal displays"/><s v="fairness"/><s v="Affective forecasting error"/><s v="eating behavior"/><s v="The influence of subjective socioeconomic status (SSES) on implicit food preferences"/><s v="charitable giving"/><s v="Motivation crowding out"/><s v="craving"/><s v="Cognitive regulation of craving"/><s v="climate change"/><s v="Temporal framing on pro-environmental behavior"/><s v="gender bias"/><s v="Gender bias in professional recognition"/><s v="morality"/><s v="Intentionality bias, harm magnification"/><s v="stereotyping"/><s v="Conservatives' evaluations of counterstereotypical people"/><s v="intertemporal choice"/><s v="Search strategy and its impact on intertemporal choice"/><s v="Dehumanization"/><s v="Dehumanisation and instrumental harm"/><s v="retaliatory punishment"/><s v="Role-based flexibility in behaviour"/><s v="Impact of inequality exposure on opportunity beliefs and system justification"/><s v="racial economic equality"/><s v="Racial discrimination and racial economic equality perceptions"/><s v="unethical amnesia"/><s v="emotion perception"/><s v="cleanliness priming effect"/><s v="Moral priming (cleanliness)"/><s v="Government and Private Consumption"/><s v="Consumption"/><s v="non-vertical long run Phillips curve"/><s v="Assimilation and Contrast"/><s v="theoretical model"/><s v="Correspondence bias"/><s v="Perceived intentionality for side effects"/><s v="Trolley Dilemma"/><s v="False consensus"/><s v="False consensus effect"/><s v="Moral typecasting"/><s v="Framing"/><s v="moral foundations theory"/><s v="Trolley Dilemma: principle of double effect"/><s v="Heat priming"/><s v="Processing fluency depending on font"/><s v="local-ladder effect"/><s v="Less-is-better effect"/><s v="sensory marketing"/><s v="link between luxury consumption, brand attitude and perceived fairness"/><s v="link between scarcity and consumer preferences"/><s v="link between wages, eliction and future perspective"/><s v="link between social value orientation, scarcity and selfish behavior"/><s v="link between scarcity and creativity in product use"/><s v="link between scaricity promotion and aggressive tendencies in consumers"/><s v="visual depiction effect"/><s v="Picture–word asymmetry"/><s v="Comparative distance effect"/><s v="Conceptual priming fluency"/><s v="Effect of language on vision"/><s v="Language-vision interactions"/><s v="Nonconscious goal pursuit in novel environments"/><s v="Nonconscious Goal Pursuit"/><s v="semantic neighbohood effect"/><s v="Semantic nearness"/><s v="gender differences in perceptual mechanisms"/><s v="Perception of sexual intent"/><s v="Anchor heuristics"/><s v="Numerical judgments"/><s v="Decision making"/><s v="optimistic bias"/><s v="Episodic memory"/><s v="preschooler’s perspective taking in word learning"/><s v="Visual perspective"/><s v="Crowd effect"/><s v="Temporal selection of visual targets"/><s v="Temporal selection"/><s v="Attraction effect"/><s v="Phonological similarity"/><s v="Error-related negativity"/><s v="Fairness preferences"/><s v="Fairness acceptance"/><s v="Representation of ensemble visual features"/><s v="Ensemble perception"/><s v="Effects of System Threat on Attraction to Women Who Embody Benevolent Sexist Ideals"/><s v="Benevolent stereotyping"/><s v="Motion aftereffect"/><s v="Motion aftereffec"/><s v="Race-based attentional bias"/><s v="Bidirectional Associations in Multiplication Memory"/><s v="Numeracy"/><s v="Social referencing"/><s v="Survival processing"/><s v="Schachtel's maxim"/><s v="Implicit attitude generalization"/><s v="Belief in free will"/><s v="Free will"/><s v="Change detection"/><s v="Spatial priming"/><s v="Motives in anger regulation"/><s v="Compensating social connections"/><s v="Connection"/><s v="Individual Participation in Intergroup Conflict"/><s v="Cooperation"/><s v="Word-order constraints"/><s v="Word-order constraint"/><s v="Preference"/><s v="Item-specific proportion congruent (ISPC) effect"/><s v="Item-specific proportion congruent effect"/><s v="Visual search"/><s v="Moral judgment"/><s v="External edges"/><s v="Extremal edges"/><s v="Reference group effects"/><s v="Reference group effect"/><s v="Personality dominance"/><s v="Goal shielding"/><s v="Visual detection"/><s v="Value heuristics"/><s v="Value heuristic"/><s v="Object words orient attention"/><s v="Inhibition of return"/><s v="Inferences in probalistic world"/><s v="Inferences"/><s v="Short term recognition"/><s v="Recognition"/><s v="Directed forgetting "/><s v="Directed forgetting effect"/><s v="Inhibitory control"/><s v="Semantic relations"/><s v="Semantic alignment"/><s v="Hebb repetition effect"/><s v="Pathway control"/><s v="Phonological coding"/><s v="Additive effects"/><s v="Additive effect"/><s v="Semantic interference"/><s v="Multidimensional Visual Statistical Learning"/><s v="Visual statistical learning"/><s v="Memory in Task Switching"/><s v="Contingency information."/><s v="Short-term memory for time and"/><s v="order information,"/><s v="Attention in Adjacent and Nonadjacent Dependency Learning"/><s v="VWM updating and attention"/><s v="Retro-cue"/><s v="Risk-taking paradigm in decision making"/><s v="Retrieval-induced forgetting"/><s v="Rejection of moral rebels"/><s v="Rebel"/><s v="Implicit and explicit attitude"/><s v="Implicit attitude"/><s v="Personality self-reports and age"/><s v="Personality traits"/><s v="Mortality salience"/><s v="Increasing and Decreasing Motor and Cognitive Output"/><s v="The Intermixed- Block Effect"/><s v="Intermixed– blocked effect"/><s v="Affective coherence"/><s v="Regulation of Intergroup Bias"/><s v="Action-Based Model of Dissonance"/><s v="Bargaining in Emotional Regulation"/><s v="Relationship vulnerabilities"/><s v="Vulnerability"/><s v="Projected responsiveness bias"/><s v="Communal responsiveness"/><s v="Repetition priming"/><s v="Poignancy in mixed emotions"/><s v="1/f Noise"/><s v="Social Judgement Processing"/><s v="Categorization"/><s v="Self-perceived forgiveness"/><s v="Forgiveness"/><s v="Fate temptation"/><s v="Tempting fate"/><s v="The Nonverbal Expression of Pride:"/><s v="Modeling Distributions of Immediate Memory Effects"/><s v="Thinking bias"/><s v="Value- driven message processing"/><s v="Minority Deviance"/><s v="Social influence"/><s v="(Un)accomplished Goal Action Effects on Motivation"/><s v="Illusory Source Recollections"/><s v="Illusory recollections"/><s v="The Effects of an Implemental Mind-Set on Attitude Strengt"/><s v="Implemental Mind-Set"/><s v="A Needs-Based Model of Reconciliation"/><s v="Appearance inferences"/><s v="Selective Exposure to Information"/><s v="Selective information exposure"/><s v="Self-Regulation and Selective Exposure"/><s v="Self-Regulation"/><s v="Stereotype threat in racial distancing"/><s v="Racial Distancing"/><s v="Sex Differences in Mate Preferences"/><s v="Sex Differences"/><s v="Self-protection in romantic relationships"/><s v="Self-esteem"/><s v="Counterfactual Thinking:"/><s v="Affect"/><s v="Social identity contingencies"/><s v="Social identity"/><s v="Variety reduces perceived quantity"/><s v="Quantity Perceptions"/><s v="color priming, semantic red effect"/><s v="door-in-the-face technique"/><s v="drunk utilitarian"/><s v="Mental Fatigue"/><s v="binge-watching"/><s v="Expressive responding"/><s v="Implicit Attitude Formation"/><s v="Affective misattribution"/><s v="need-support model"/><s v="intergroup sensitivity effect"/><s v="bimodal flanker effect"/><s v="Age acquisition effect"/><s v="Age-of-Acquisition effect&#xA;"/><s v="Implicit theory of Mind"/><s v="Growth Mindset"/><s v="color priming"/><s v="semantic red effect"/><s v="Social value orientation"/><s v="experimental philosophy"/><s v="imaginative resistance "/><s v="Religious beliefs and behavior – Agreeableness"/><s v="Religious beliefs and behavior – Conscientiousness"/></sharedItems></cacheField><cacheField name="tags" numFmtId="0"><sharedItems containsBlank="1"><s v="tags to increase findability - e.g. keywords from abstract"/><s v="affective flexibility, amygdala, valence, stimulus"/><s v="affective flexibility, amygdala, positive names, negative names"/><s v="Contrastivism,  knowledge, knowledge ascription, &quot;rather than&quot; clause,  contrast, context"/><s v="contrastive model, invariantist models, contextualist models, knowlege acriptions, conversational context"/><s v="anchoring, subliminal priming, judgment bias, decision-making"/><s v="Anchoring; Heuristics; Comparison; Selective accessibility; Assimilation"/><s v="mathematics, interest, students, pre-service teachers, diagnostic competence, real-world problems, performance, problem-solving"/><s v="Students"/><s v="Pre-service teachers"/><s v="language processing, inhibitory control, second language, phonological processing"/><s v="emerging adulthood; financial communication; financial conflict; financial discussion, relationship quality"/><s v="awe, humilty, vastness, world views"/><s v="humility, awe, emotion, self-concept"/><s v="Dynamic postural control, Dynamic balance, Y-Balance Test, Fatigue, Replication, Balance, Anterior reach direction, Posterolateral reach direction, Posteromedial reach direction"/><s v="Dynamic postural control, Dynamic balance, Y-Balance Test, Fatigue"/><s v="Hypothesis 1, 2, 3"/><m/><s v="Academic and Behavior Combined Support, integrated supplemental intervention , Oral reading fluency outcomes, engaged behavior, disruptive behavior"/><s v="Supplemental support, Oral reading fluency, Engagement"/><s v="reading intervention; at-risk students; reading difficulties."/><s v="Intervention vs. Control, Word reading"/><s v="Intervention vs. Control, Reading comprehension"/><s v="Intervention vs. Control, Spelling"/><s v="quantitative research methodology, meta-analysis, special education, publication bias, scientific publications"/><s v="Outcome within 2 years"/><s v="More than 2 years"/><s v="Sample size less than 100 (79)"/><s v="Sample size equal or more 100 (79)"/><s v="Number of statistical significance tests &lt; 14 (21)"/><s v="Number of statistical significance tests more or eq 14 (21)"/><s v="Academic achievement"/><s v="Socioemotional-behavioral"/><s v="language learning, second language, subjunctive, adverbial clauses, verbal moods"/><s v="consensus emergence models, inference, type I error, monte carlo, groups"/><s v="prolactin/hyperprolactinemia/schizoaffective disorder/bipolar disorder/psychotic disorder/psychiatry"/><s v="Fear extintion, vmPFC, L-DOPA"/><s v="Communication scholars, open science, theory of planned behavior"/><s v="Comprehensive Application of Behavior Analysis to Schooling model, acquisition criteria, mastery criteria, Tact training, Response maintenance"/><s v="autism spectrum disorder, false positives, listener training, mastery criteria, tact, training"/><s v="Moral hipocrisy, intergroup bias, in-group, out-group"/><s v="Anthropomorphism, agents, motivation, traits"/><s v="Perception, motor processes, speech, motor simulation"/><s v="climate change responsibility, pro-environmental attitudes, meta-analysis "/><s v="Climate change, Perceived responsibility, Proenvironmental outcomes, European social survey, Sustainability, "/><s v="behavioral interventions, sports performance"/><s v="substance use disorder,  C-reactive protein,  interleukin 8 ,  body mass index , sex differences, Cytokines"/><s v="Substance use disorder, Depression, Inflammation, Cytokines, Chemokines, Interleukin-8, Interleukin-10, C-reactive protein, Tumor necrosis factor-alpha, "/><s v="LLR, IE, CONT"/><s v="bifactor/worry/rumination/structure/repetitive thinking"/><s v="Worry, Rumination, Reflection, Big Five, Depression, Anxiety, Emotion regulation, Emotional awareness"/><s v="knowledge application task, group"/><s v="knowledge application task, phase"/><s v="knowledge application task, condition"/><s v="knowledge application task, interaction"/><s v="Near ransfer task, group"/><s v="Near ransfer task, phase"/><s v="Near ransfer task, 2 factors interaction, post test 1"/><s v="Near ransfer task, 2 factors interaction, post test 2"/><s v="Double misinformation, eyewitness memory, discrepancy detection"/><s v="discrepancy detection, eyewitness memory, misinformation availability, misinformation effect"/><s v="flanker task, morphological family&#xA;size effects, suffixes"/><s v="conjugate reinforcement, MSWO, response force, stimulus preference"/><s v="adolescence, anorexia nervosa, eating disorders, emotion recognition, emotional faces"/><s v="Anorexia nervosa (AN), Task effect"/><s v="Anorexia nervosa (AN), Emotion effect"/><s v="Anorexia nervosa (AN),  TASK   EMOTION   GROUP interaction"/><s v="Anorexia nervosa (AN),  Discrimination task, Group effect"/><s v="Anorexia nervosa (AN), TASK   Discrimination task, Emotion effect"/><s v="Anorexia nervosa (AN),  Discrimination task, Group x Emotion interaction"/><s v="Anorexia nervosa (AN),  Discrimination task, AN/HC, afraid faces"/><s v="Anorexia nervosa (AN),  RT Task"/><s v="Anorexia nervosa (AN),  Gender discrimination, Group effect"/><s v="Anorexia nervosa (AN),  RT Emotion"/><s v="Anorexia nervosa (AN),  RT, Task Emotion Interaction"/><s v="L3 acquisition, language transfer, multilingualism, statistical significance, language learning, transfer effects, linguistic theory, applied linguistics, language acquisition research, cross-linguistic influence."/><s v="Codes of ethics, questionable research practices, randomized response, research ethics, research misconduct, sensitive surveys, accounting, ethics, fraud, research, scientific method."/><s v="Corruption/Hierarchy/Organisational Design/Organisational Structure"/><s v="Corruption; hierarchy;&#xA;organisational design;&#xA;organisational structure;&#xA;replication"/><s v="NA"/><s v="Behavior Assessment System for Children-Teacher Rating Scales (BASC-3 TRS), Adjustment Scales for Children and Adolescents (ASCA), inattention, distractibility, attention deficits, hyperactivity, impulsivity"/><s v="Behavior Assessment System for Children-Teacher Rating Scales (BASC-3 TRS), Adjustment Scales for Children and Adolescents (ASCA), motor activity, restlessness, hyperactive-impulsive, attention deficit"/><s v="Behavior Assessment System for Children-Teacher Rating Scales (BASC-3 TRS), Adjustment Scales for Children and Adolescents (ASCA), social detachment, emotional distancing, anxiety-driven avoidance"/><s v="Behavior Assessment System for Children-Teacher Rating Scales (BASC-3 TRS), Adjustment Scales for Children and Adolescents (ASCA), rule-breaking, norm violations, antisocial behavior"/><s v="Behavior Assessment System for Children-Teacher Rating Scales (BASC-3 TRS), Adjustment Scales for Children and Adolescents (ASCA), disobedience, argumentative behavior, persistent defiance, noncompliance."/><s v="Behavior Assessment System for Children-Teacher Rating Scales (BASC-3 TRS), Adjustment Scales for Children and Adolescents (ASCA), hostility, provoked aggression, threatening behaviors."/><s v="Behavior Assessment System for Children-Teacher Rating Scales (BASC-3 TRS), Adjustment Scales for Children and Adolescents (ASCA), anger outbursts, impulsivity-driven aggression, impulse control."/><s v="Behavior Assessment System for Children-Teacher Rating Scales (BASC-3 TRS), Adjustment Scales for Children and Adolescents (ASCA),  hyperactivity, restlessness, disruptive behavior."/><s v="Behavior Assessment System for Children-Teacher Rating Scales (BASC-3 TRS), Adjustment Scales for Children and Adolescents (ASCA), distress, anxiety, low engagement, reduced motivation."/><s v="Expectancy-Disconfirmation Theory...public services...citizen satisfaction"/><s v="Expectancy Disconfirmation Theory, Citizen Satisfaction, Public Administration, Experimental Research, Social Psychology, Satisfaction Theory, Expectations in Public Services, Disconfirmation, Citizen Perceptions, Government Performance, Public Opinion, E"/><s v="Coordination, Dependency Length Minimization, Syntax, Stanza, Universal Dependencies"/><s v="Attention, Treatment, Randomized clinical trial, Anxiety, Worry, Generalized anxiety disorder, Attention bias, Cognitive bias modification, Attentional bias modification"/><s v="Attention,Treatment, Randomized clinical trial, Anxiety, Worry"/><s v="Wage Structure, Inequality, Technological Change, Labor Market Institutions, Minimum Wage"/><s v="Bilingual advantage, bilingualism, executive control, executive functioning, task switching"/><s v="task switching, bilingualism, executive function"/><s v="Mattering, K–12 education, teachers, meaning, teaching"/><s v="Mattering, self-esteem, health, depression, marginalization, teachers, porpuse"/><s v="Second Language Acquisition, Learner Corpus Research, Interlanguage Annotation, COREFL, acquisition order, Morpheme Order Studies, UAM Corpus Tool"/><s v="Second Language Acquisition (SLA), Interlanguage Annotation, &#xA;Morpheme Order Studies (MOS), Grammatical Morphemes, &#xA;COREFL (Corpus of English as a Foreign Language)"/><s v="language learning, anxiety, validation, scale"/><s v="Input"/><s v="Process"/><s v="Output"/><s v="Rumination; Worry; Depression; Anxiety; Network analysis; Bayesian networks; Replication"/><s v="rumination, repetitive, negative thinking, metacognitive frameworks, self-regulation"/><s v="John Hedley Brooke, Reform, Conceptual replication, Judaism, Science"/><s v="Empowerment strategies, psychological ownership, corporate attitude"/><s v="empowerment strategies, customer perception, New Product Development (NPD), consumer empowerment"/><s v="Approach bias, Behavioural bias for food, Virtual reality, VR, Motion-tracking"/><s v="Approach bias; Behavioural bias for food; Virtual reality; VR; Motion-tracking"/><s v="escalation of commitment, process accountability, outcome accountability,"/><s v="escalation of commitment, process accountability, outcome accountability"/><s v="Problem-solving prior to instruction, Conceptual replication, Bayesian reasoning, Composite instructional design, Comparison, Delaying instruction, Knowledge gap, Learning from errors, Productive failure"/><s v="escalation of commitment, responsibility effect, decision-making"/><s v="escalation of commitment; responsibility effect; decision-making"/><s v="music, emotion, nostalgia, affect, personality"/><s v="Windfall gains, bias, judgment and decision making (JDM), registered replication, choice"/><s v="Early algebra, Pre-symbolic algebraic reasoning, Elementary pre-service teachers"/><s v="terror management theory, suppression, rebound, concept accessibility, death-thought accessibility"/><s v="stress; emotion; cold pressor test; feet; cortisol; EEG; cardiovascular&#xA;"/><s v="stress; emotion; cold pressor test; feet; cortisol; EEG; cardiovascular"/><s v="Java; Web-CAT; static analysis; Checkstyle; PMD; coding style; &#xA;formatting; documentation; coding standard"/><s v="Java; Web-CAT; static analysis; Checkstyle; PMD; coding style;  formatting; documentation; coding standard, replication, style checker, error messages"/><s v="Software readability, software comprehension, software measurement, comments, method chains, experiment"/><s v="anxiety, implicit bias, attention bias, pediatric psychopathology, eye-tracking, behavioral avoidance, threat response"/><s v="Attention bias, Eye-tracking, Youth Anxiety, Irritability, Negative affect, Social Threat"/><s v="persuasion, attitudes, uncertainty, confidence, expertise"/><s v="Anxiety, threat, bias,  attention, avoidance, contingent activity, disequilibrium theory, instrumental activity"/><s v="Anxiety, threat, bias,  attention, avoidance"/><s v="Emotional over-eating, Emotional under-eating, Latent class analysis, Eating disorder, Psychological distress"/><s v="Adult eating behavior questionnaire; Disordered eating; Emotional eating; Latent class analysis."/><s v="family environment, self-esteem, adolescence, longitudinal, replication"/><s v="family environment; parenting behavior; self-esteem; childhood and adolescence; longitudinal"/><s v="identity over time, future self, well-being, life span development"/><s v="age-related microaggression, ageism, everyday ageism, ambivalent ageism, benevolent ageism, microaggression, qualitative method, older adults"/><s v="Ageism, Qualitative method, Thematic analysis"/><s v="Emotional valence, Face expression, Periphery, Replication study, Emotion perception"/><s v="shadow of the trial, guilty pleas, plea bargaining, fuzzy-trace theory, guilty plea decision-making"/><s v="Cognitive score"/><s v="VBM"/><s v="DTI"/><s v="police, calls for service, 911, demand"/><s v="Philadelphia, Police, Public health, Medical, Calls for service, CAD"/><s v="Calls for service, police reform, police response, defund, George Floyd"/><s v="protest policing; attitudes towards police; George Floyd; ethnicity; replication"/><s v="Protest policing, attitudes towards police, George Floyd, ethnicity, replication"/><s v="parenting, child development, parenting, stimulation, evaluation studies"/><s v="Parenting, Early Childhood, Information and Communication Technology, Behavioural Economics, Child Development"/><s v="Self-directed Learning, Language Learning, Emotions, Affect, Positive Psychology Interventions"/><s v="well-being, relationships, diversity, conversation"/><s v="social, anonymity"/><s v="Social ties, Self-perception, Self-concept, Social interactions"/><s v="Coparenting"/><s v="co-parenting, cross-cultural, family structures, measurement,&#xA;parenting"/><s v="physical activity"/><s v="Good Behavior Game, Physical Activity, Public Health, Step it UP! Game"/><s v="Conflict, Civic Engagement, Vietnam War, Historical Legacies"/><s v="phonological loop replication, word length effect, phonemic similarity, working memory, replicability predicament."/><s v="second langauge, accent"/><s v="Accentism, Speech Assessment, Workplace Performance, Competence, Treatment Preference "/><s v="Anxiety, Individual differences, EEG/ERP, Psychometrics, Error-related negativity, Error processing"/><s v="Foreign-owned establishments, environmental practices, corporate social responsibility, sustainability, green practices, international business, environmental conduct, strategic management"/><s v="Experiment 1 GAD"/><s v="Experiment 1 Control/Healthy"/><s v="Experiment 1 High Trait anxiety"/><s v="frustration, reward, response force, facial EMG"/><s v="social media use, social media engagement, social media intensity, big five personality, positive well-being, negative well-being, positive affect, negative affect, subjective well-being"/><s v="elasticity"/><s v="default effect, judgment and decision making, registered report, replication, behavioral policy, choice architecture"/><s v="artificial intelligence, religion, algorithm aversion, decision-making"/><s v="fMRI, Emotion, Attention, Stroop interference, Emotional interference"/><s v="Social media, collective action, connective action, source effects, cognitive elaboration, source credibility"/><s v="holistic recollection, memory development, pattern completion, episodic memory, open data, open materials"/><s v="Linguistic Distancing, Reappraise Negative condition"/><s v="Emotion, emotion regulation, psychological distance, language"/><s v="Study 4"/><s v="Mind perception; change; mental time travel; emotions; rationality"/><s v="Experiment 3"/><s v="Graph comprehension; graph design; medical decision-making; graph literacy; risk communication"/><s v="Study 2"/><s v="Motivation, social cognition, interest, passion, implicit self-theories"/><s v="Teacher–student relationships, empathy,  respect, school suspensions, discipline"/><s v="experiment 1, Reward × Transition × Stroop (infrequent)"/><s v="Behavior, reinforcement learning, cognitive control, decision making, individual differences, neural substrate, sequential choice, control paradigm"/><s v="Values, information processing, resistance to persuasion"/><s v="Dual-process model; Moral decision making; Moral judgment; Moral psychology; Moral reasoning; Morality; Reflection; Social intuitionist model"/><s v="after sleep"/><s v="Arousal, Attention, Circadian Rhythm, Emotions, Humans, Pattern Recognition, Visual, Retention, Sleep, Wakefulness"/><s v="Data quality, Online research, Attention, Comprehension, Reliability, Honesty, Amazon mechanical turk, Prolific"/><s v="Out-group prejudice, pathogen avoidance, disgust sensitivity, social categories, open data, open materials"/><s v="Socioeconomic status, immoral action, ethical judgment, self-interest"/><s v="experiment 2"/><s v="Zero sum, intuitive judgment, cognitive bias, evidential reasoning, probabilistic reasoning, open data, open materials"/><s v="Social category inference."/><s v="Policy ratings"/><s v="Social cognition, social perception, attitudes, intergroup dynamics, language, open data"/><s v="Study 1"/><s v="Stereotyped attitudes, social perception, prejudice, sex-role attitudes"/><s v="Attention, Visuospatial attention, Number processing, ERPs, early directing attention negativity, anterior directing attention negativity"/><s v="relative magnitude effect,"/><s v="Intertemporal choice, discounting, tradeoffs, sequences"/><s v="Intellectual Humility, Self-Serving Bias, Perceived Partner Responsiveness,  Interpersonal Affirmation, global-local visual processing task, self-affirmation"/><s v="Task switching and memory"/><s v="Attention, long-term memory"/><s v="Tempt fate, magical thinking, accessibility, negativity"/><s v="Study 3"/><s v="Deception, lying, negotiation, paltering, risk"/><s v="Moral cognition, purity, harm, scope insensitivity, open data, open materials, preregistered"/><s v="Experiment 1"/><s v="Working memory, constructive memory, ensemble statistics, summary statistics"/><s v="Choice, construal, action identification, culture, India"/><s v="Participants who perceived more choice were less disturbed by wealth inequality compared to those in the control condition"/><s v="Experiment 1a"/><s v="Negotiation, power, alternatives, first offer, anchoring, negotiator focus"/><s v="Moral Judgment, Intuitive Processes, Physical Purity, Disgust and Cleanliness, Moral Intuition"/><s v="Social interaction, emotions, interpersonal relationships, judgment, social behavior, open data, open materials"/><s v="Experiment 2, emotion x condition"/><s v="Experiment 2, happy"/><s v="Experiment 2, proud"/><s v="Experiment 2, jealous"/><s v="Experiment 2, annoyed"/><s v="Experiment 2, upset"/><s v="Experiment 2, angry"/><s v="Experiment 2, inferior"/><s v="Race, sexual orientation, intersectionality, foreign stereotypes, acceptance"/><s v="Binding, visual working memory, visual long-term memory, object-based attention"/><s v="Context effects, judgment and decision making, scarcity, open data, open materials"/><s v="Memory, judgments, ordinal rank, encode, open data, open materials"/><s v="Punishment and blameworthiness."/><s v="Free will, punishment, morality, responsibility, blame, open materials"/><s v="Motivation, socioemotional selectivity theory, time horizons, work preferences, older workers"/><s v="Choice, emotion, emotion regulation, self-regulation, emotional control, self-control"/><s v="Emotions, perception, individual differences"/><s v="Cognitive processes, knowledge level, judgment, monitoring, open data, open materials"/><s v="Experiment 1, regression"/><s v="Social perception, face perception, face typicality, distinctiveness, trustworthiness, attractiveness, familiarity, open data, open materials"/><s v="Study 3, Cynicism"/><s v="Bidirectional effects, cynicism, disrespect, hostility"/><s v="Cognitive development; Concepts; Generic language; Language understanding; Language acquisition; Semantics"/><s v="Recall performance for File B"/><s v="Memory, human-computer interaction, cognition(s), forgetting"/><s v="Attention, perception, face perception, visual attention"/><s v="Self-reference, social cognition, reward, functional MRI"/><s v="Spatial ability, perspective taking, individual differences, stereotype threat, gender, open materials"/><s v="Child language acquisition, disjunction interpretation, scalar implicatures, cross-linguistic comparison, logical reasoning in children"/><s v="RTS"/><s v="Age, process dissociation, stereotyping, threat, weapon identification task"/><s v="Relative adjectives, reference points, norm-based interpretation, scale sensitivity, real-time processing"/><s v="Cognitive development, inherence heuristic, sociomoral judgments, explanation, open data, open materials, preregistered"/><s v="Stereotyped attitudes, socioeconomic status, social cognition, open data, open materials"/><s v="Social media, Facebook, self-control, temptation, craving"/><s v="intentional action, side effect"/><s v="experimental philosophy"/><s v="Theory of mind, moral cognition, intention, intentional action, cross-cultural evidence, experimental philosophy"/><s v="Stability, Robustness, Invariance, Sensitivity, Causality, Explanation, Background conditions, Moderating variables"/><s v="Choice and preference independently enhanced curiosity"/><s v="Curiosity, choice, uncertainty, expected value, information seeking, open data, open materials, preregistered"/><s v="Money, Motivation, Behavior, Self-sufficiency, Dependency, Priming, Money reminders, Causal behavior, Interpersonal relationships, Financial strain"/><s v="Sex, judgment, decision making, sex differences, sexual economics"/><s v="Cues, Electrocorticography, Hippocampus, Humans, Magnetic Resonance Imaging, Mental Recall, Pattern Recognition, Theta Rhythm"/><s v="Does SLB endorsement moderate perceptions of anti-White bias?"/><s v="Anti-White bias, discrimination, status-legitimizing beliefs, prejudice, racial-ethnic attitudes and relations, social perception"/><s v="Attention, Electroshock, Loneliness, Pleasure"/><s v="Ethics, Cheating, Decision making, Dishonesty, Rationalization, Justification"/><s v="Mental rotation, capacity, attention, selection, tracking, eye tracking, visual working memory"/><s v="Free riding, common good, norm enforcement, moral development, cooperation, open data, open materials, preregistered"/><s v="Temporal perception, Spatial perception, Transient spatial attention, Temporal resolution, Two-flash fusion threshold"/><s v="Consensus, conformity, social learning, reasoning, open data, open materials, preregistered"/><s v="Amount of subsidies (in Swiss Francs)"/><s v="Childcare, Preferences, Choice experiment, Subsidies, Families"/><s v="Decision making, judgment, environmental effects, climate change, open data, open material"/><s v="Holistic processing, composite-face effect, expertise, face perception, Gestalt"/><s v="Processing fluency, social hierarchy, liking, asymmetry, familiarity"/><s v="study 5"/><s v="Judgment, accuracy, fairness, social cognition, base rates, open data, open materials"/><s v="Memory suppression, forgetting, trauma, PTSD, inhibitory control, thought control"/><s v="Action goals, self-regulation, behavior"/><s v="Reading; comprehension; emotion; perspective; pronouns"/><s v="Concept Learning, Cultural Ratchet, Language Transmission, Generics and Quantifiers, Boolean Concepts"/><s v="Economic insecurity, pain, sense of control"/><s v="experiment 1 inattentional blindness"/><s v="Motherhood penalty, workplace discrimination, wage gap, competence bias, hiring bias"/><s v="Political conservatism, conservative shift, demographic changes"/><s v="Decision speed, motives, moral judgment, moral character, certainty"/><s v="heuristic, value, stimuli, judgment"/><s v="bouba-kiki effect, arousal, emotional mediation hypothesis, language evolution, affective iconicity, open data, open materials, preregistered"/><s v="negation, discrete and continuous processing, sentence verification, cognitive dynamics, action, pluralism"/><s v="model-based, model-free, prediction errors, choice"/><s v="mirror errors, mirror invariance, recognition, children"/><s v="semantics, experimental pragmatics, presupposition, factivity, entailment"/><s v="curiosity, exploration, rational analysis, computational model"/><s v="power, ambivalence, self-validation, action, decision time, open data"/><s v="illusions, language acquisition, modularity, perception, syntax"/><s v="forgiveness, vengefulness, humility, empathy, gender"/><s v="study 7"/><s v="morality, policymaking, personal values, scientific communication"/><s v="information seeking, selective exposure, information quantity, selection criterion, information direction"/><s v="knowledge level, judgment, inference, thinking, open data"/><s v="calorie content, negative calorie illusion, healthy, food"/><s v="probabilistic pragmatics, probabilistic model, reference games, reasoning"/><s v="metamers, ventral stream, population model, stimuli"/><s v="culture, motivation, interdependence, academic achievement"/><s v="hiring, signaling, organizational commitment, credentialing, labor markets"/><s v="economic inequality, everyday life, perceived inequality, tolerance to inequality, attitudes toward redistribution"/><s v="communication, psycholinguistics, rational inference"/><s v="analogical transfer, analogical thinking, schema induction"/><s v="dehumanization, racial discrimination, police bias, intergroup processes, juvenile justice"/><s v="aging, donation, kin selection, prosocial behavior, social discounting"/><s v="confirmation bias, rational analysis, hypothesis testing, decision making, bayesian inference, determinism"/><s v="dimension, mind perception"/><s v="morality, gratitude, evolution, victims, altruism"/><s v="opportunity costs, choices, preferences, open data, open materials"/><s v="moral judgment, morality, utilitarian, cognitive control, cognitive load"/><s v="cognitive judgements, optimal predictions, perception, memory"/><s v="academic achievement, childhood development, educational psychology, motivation, open materials"/><s v="haimovitz2016_1"/><s v="haimovitz2016_2"/><s v="geometric reasoning, Eclidean, statistics, shape, planar triangles"/><s v="field experiments, A/B tests, randomized controlled trials, research ethics, pragmatic trials"/><s v="extremity, ambivalence, accessibility, mind-set, attitude strength"/><s v="attitude ambivalence"/><s v="texture, perception, computational vision, natural images"/><s v="socioeconomic status, strengths-based, adversity, academic persistence, motivation"/><s v="explanations, seductive allure, decision making"/><s v="reductive explanations"/><s v="aging, memory, subjective age, context, stereotypes"/><s v="substitution, preferences, satiation, contrast effect, categorization, open data, open materials"/><s v="choice, college, decision, education"/><s v="AI-MC, artificial Intelligence, CMC, trust"/><s v="word learning, shape bias, cross-cultural studies"/><s v="metaphor comprehension, career of metaphor, conventionality, aptness"/><s v="ease of comprehension"/><s v="moral psychology, condemnation, vignettes, deception, social signaling, open data, open materials"/><s v="construal level theory, perceived changeability, defensive information processing, self-threat, self-change, health communication"/><s v="entrepreneurship, gender inequality, field study"/><s v="theory of mind, perspective taking, egocentrism"/><s v="deviance, uniqueness, harmony, conformity, cultural values"/><s v="working memory, short-term memory, visual attention, selective attention, open materials"/><s v="social cognition, social perception, open data, open materials"/><s v="canonical perspective, canonical viewpoint, visual size, physical size, object representation"/><s v="generics, teleology, concepts, principled connections, formal explanations"/><s v="morality, self-dehumanization, repeated dishonesty, open data, preregistered"/><s v="marginally lower"/><s v="social sense, beliefs, infants, adults"/><s v="monty hall problem, tenacious brain teaser, mental models, frequency"/><s v="curse of knowledge, false belief, social cognition, reasoning"/><s v="risk taking, God, religion, risk tolerance"/><s v="system threat, benevolent sexist ideals, attraction"/><s v="moral judgment, moral development, universalization"/><s v="motivation, future, judgment, time, situated cognition, open materials"/><s v="viewing distance, psychophysical, online experiments, virtual chinrest"/><s v="visual imagery, perspective-taking, action representation, social perception"/><s v="face perception, corruption, social attribution, stereotyping, political psychology, open data, pen materials, preregistered"/><s v="study 1, corruptibility"/><s v="object persistence, spatial navigation, spatiotemporal continuity, virtual interfaces"/><s v="prejudice, racial and ethnic attitudes and relations"/><s v="intergroup dynamics, social perception, prejudice, open data"/><s v="paired samples"/><s v="object recognition, semantic access, real-world size, stroop effect"/><s v="congruency"/><s v="persuasion, morality, attitudes, attitude strength, moral conviction, open data, open materials, preregistered"/><s v="Asian Americans, model minorities, prejudice, realistic threat, emotions, attitudes"/><s v="poor, poverty, cognitive function, cognitive control"/><s v="cognitive control"/><s v="hypothesis testing, self-directed learning, category learning, Bayesian modeling, hypothesis-dependent sampling bias        "/><s v="gender-inclusive interfaces, web interface psychology, inclusive design, ambient belonging"/><s v="masculine condition"/><s v="negotiations, individual differences, judgment biases, conflict"/><s v="transposed words, grammaticality judgments, sentence comprehension, parallel word processing, reading, open data, open materials"/><s v="moral rebels, whistleblowers, implicit moral reproach, resentment, self-affirmation"/><s v="repetition blindness, nonwords, lexical, sublexical, word recognition"/><s v="experiment 6"/><s v="reference points, effort provision"/><s v="effort provision,  average accumulated earnings, real-effort experiment, rational expectations."/><s v="authority, power, motivation"/><s v="prisoner dilemma, continuous dilemma, cooperation"/><s v="Prisoner's dilemma, mutual cooperation, decision-making."/><s v="prisoner's dilemma, cooperation, forgiveness"/><s v="Prisoner's dilemma, mutual cooperation, decision-making, cooperative equilibria, punishment."/><s v="defered compensation, lazears model, labor contracts"/><s v="Deferred Compensation, Lazear’s Model, multiperiod environment, dismissal avoidance,  monetary incentives, social preferences, reciprocity."/><s v="happiness, positive affect, time preference"/><s v="Positive affect,  Random-Assignment Experiment, time preference, effect of happiness on time preference, decision-making, emotions. "/><s v="organ donation, decision making, organ allocation"/><s v="Organ Allocation Policy, decision-making, organ donation, experimental game"/><s v="bubbles, cash–to–asset value ratio, asset market model, overvaluation"/><s v="stock market, Experimental asset market model, value process, cash–to–asset value ratio, overvaluation, fundamental value."/><s v="coordination, asset markets"/><s v="last place aversion, redistribution"/><s v="Money redistribution, last-place aversion, gambling"/><s v="punishment, public monitoring, public good contribution games, cooperation"/><s v="Imperfect Public Monitoring, punishment, cooperation, perfect monitoring, punishment technology"/><s v="Screening, Competition, Job design, High-performance work systems,"/><s v="High-performance work systems, effort productivity, work attitude screening, labor market competition"/><s v="communication, collaboration, participation"/><s v="Communication, Pareto-improving outcome, cost-of-lying, guilt-fromblame"/><s v="social identity, efficiency, coordination games, social preference model, minimum effort game,  high-effort equilibrium."/><s v="efficiency, coordination games, social preference model, minimum effort game,  high-effort equilibrium."/><s v="arbitration, selection, short-listing, veto ranking"/><s v="Arbitration, selection of the arbitrator, implementation theory, veto-rank, shortlisting, "/><s v="Lagos-Wright model, monetary exchange, monetary equilibrium, gift exchange"/><s v="Lagos-Wright model, monetary exchange, monetary equilibrium "/><s v="credence goods, liability, verifiability, reputation, competition"/><s v="endowment, expectation, valuation, exchange"/><s v="Expectations, reference-dependent preferences, exchange experiments, valuation experiments, reference points. "/><s v="Social Science Replication Project, Science, Nature, Human Behavior"/><s v="social networks, inequality, wealth generation"/><s v="priming, moral judgment, response effort, replication, cleanliness"/><s v="moral judgment, cleanliness, moral purity, physical purity"/><s v="CORE, Judgment, Decision Making, JDM, Heuristics, Biases"/><s v="self-regulation, glucose, attention, emotion regulation, prejudice"/><s v="intertemporal choice, future (delay) discounting, blood glucose"/><s v="intertemporal choice, future (delay) discounting, blood glucose, Ego depletion, Self-control, Oral glucose sensing"/><s v="self-regulation, self-control, regulatory, depletion"/><s v="self regulation, self-control, thoughts, strength model"/><s v="sef regulation, intellectual performance, ego depletion, logical reasoning, information processing, Regulatory resources, complex thinking, attention regulation, emotion regulation, depleted participants"/><s v="Emotion regulation, Executive control, Limited resources, Self-regulation, Working memory"/><s v="self-control, neural, stroop task, suppression"/><s v="self-control, neural signals, error related negativity (ERN), neuroscience"/><s v="response scales, behavior reporting, social comparison, many labs"/><s v="self-consciousness, automatic behaviors"/><s v="automaticity, automatic social behavior, preparatory interaction, perception– behavior link"/><s v="IAT, implicit attitudes, implicit bias, many labs, replication"/><s v="secrets, embodiment, metaphor, perception, action"/><s v="Embodied cognition. Secrecy. Concealment of secrets. Independent direct replication "/><s v="framing effect, decision-making, risk, many labs, replication"/><s v="conceptual metaphor, embodied cognition, secrets, perceptual judgment, replication"/><s v="retrospective gambler’s fallacy, decision-making, hindsight bias"/><s v="honesty, candor, social desireability, priming, social priming"/><s v="Implicit Goal Priming, Self-Report Accuracy, Honesty Priming, Social Desirability Bias, Psychological Research"/><s v="bodily purity, moral purity, Macbeth effect, unethical&#xA;behavior"/><s v="morality, social cognition, interpersonal sensibility, guilt, Macbeth effect."/><s v="bodily purity, moral purity, Macbeth effect, unethical behavior"/><s v="anchoring effect, numerical estimation, cognitive bias, many labs, replication"/><s v="bodily puity, moral purity, macbeth effect, cleansing, unethical behavior"/><s v="bodily purity, moral purity, Macbeth effect, unethical behavior, moral emotions"/><s v="cleaning, morality, obsessive-compulsive disorder, washers, embodiment"/><s v="1/f noise, racial bias, weapon identification task, implicit bias, replication study."/><s v="1/f noise, effort, stereotyping, prejudice, Implicit racial bias, Weapon identification task"/><s v="cortisol, embodiment, hormones, neuroendocrinology, nonverbal behavior, power, risk taking, testosterone"/><s v="dominance, embodiment, eye gaze, power pose, replication"/><s v="ESP, precognition, retrocausation, Bayesian analysis, confirmatory research, extrasensory perception, erotic stimuli"/><s v="psi, parapsychology, ESP, precognition, retrocausation"/><s v="Literary Fiction, Theory of Mind, Author Recognition Test, RMET"/><s v="Condition, Literary Fiction Versus Nonfiction"/><s v="ART (author recognition test), Literary Fiction Versus Nonfiction"/><s v="ART - Condition intercation, Literary Fiction Versus Nonfiction"/><s v="weight embodiment, importance judgments, many labs 3, replication"/><s v="communal traits, embodiment, temperature perception, social cognition"/><s v="Condition, literary fiction versus popular fiction condition."/><s v="ART (author recognition test), literary fiction versus popular fiction condition."/><s v="ART - Condition intercation, literary fiction versus popular fiction condition."/><s v="need for cognition, message processing, persuasion, argument quality, elaboration likelihood"/><s v="Condition, Literary Fiction Versus Popular fiction Versus No Reading"/><s v="ART (author recognition test) Literary Fiction Versus Popular fiction Versus No Reading"/><s v="ART - Condition intercation, Literary Fiction Versus Popular fiction Versus No Reading"/><s v="Time, Money, Impatience, Happiness, Replication, Reproducibility"/><s v="Time, Money, Impatience, Happiness"/><s v="subjective distance, self-esteem, valence, temporal self-appraisal, personal past experiences."/><s v="Unconscious, Self-regulation, Embodiment, Warmth"/><s v="stroop effect, cognitive interference, attention, color-word task, selective attention."/><s v="spatial metaphors, time perception, cognitive linguistics, temporal reasoning, embodied cognition"/><s v="availability heuristic, frequency judgment, probability estimation, cognitive bias, decision-making"/><s v="power, perspective-taking, social cognition, communication"/><s v="Social proximity, attachment anxiety, physical priming,  semantic priming, priming, regression, temperature"/><s v="money, system justification, many labs, replication"/><s v="imagined contact, future intentions, many labs, replication"/><s v="IMC, satisficing, many labs, replication"/><s v="goal conflict, time allocation, work/leisure, justification, scarcity, productivity"/><s v="self-construal, choice, group size, joint consumption"/><s v="Self-concept clarity, subscription services, self-signaling, retention choice, self-concept structure, identity signaling"/><s v="Self-concept clarity, subscription services, self-signaling, retention choice, self concept structure, identity signaling"/><s v="curiosity, desire for rewards, indulgent consumption, consumer neuroscience, fMRI, insula, multimethod mediation"/><s v="Curiosity, Desire for rewards, Indulgent consumption, Consumer neuroscience, fMRI, Insula, Multi-method mediation."/><s v="Entitativity, product quantity, perceived efficacy"/><s v="color, red, attractiveness, status, attraction"/><s v="genetic essentialism, attribution theory, legal decision making, psychological essentialism"/><s v="Anchoring effect, self-generated, replication, anchoring and adjustment, adjustment model"/><s v="anchoring-and- adjustment, heuristic, biases, self-generated"/><s v="Anchoring, Subliminal Anchoring, Subliminal Priming, Numeric Priming"/><s v="race stereotypes, life history theory, stereotype content, ecology, affordance management "/><s v="Race stereotypes, life history theory, stereotype content, ecology, affordance management"/><s v="tipping point,  change, self-insight,  judgment, information processing"/><s v="Tipping point, change, self-insight, judgment, information processing"/><s v="reputation, social evaluation, decision-making, experimental economics, moral psychology"/><s v="disclosure, transparency, trust, policy making, privacy"/><s v="disclosure, privacy, self-presentation, impression formation, social media"/><s v="racial bias, pain perception,  health care disparities, pain treatment"/><s v="Racial bias, pain perception, health care disparities, pain treatment"/><s v="conflict, dispute resolution, war and peace, incentives, social dilemma"/><s v="Conflict, dispute resolution, war and peace, incentives, social dilemma."/><s v="social networks, collective intelligence, motivated reasoning, polarization, science communication"/><s v="science communication, impression formation, social cognition"/><s v="free-will belief, interpersonal perception, correspondence bias"/><s v="inequality, income, generosity"/><s v="attraction, postural expansiveness, mate selection, nonverbal behavior, romantic relationships"/><s v="fairness, affective forecasting, decision-making"/><s v="Fairness, affective forecasting, decision-making."/><s v="subjective socioeconomic status, social class, appetite, eating behavior, food preferences"/><s v="motivation crowding out, charitable giving, multiattribute choice, attention, saliency"/><s v="cognitive strategies, craving, food, obesity, self control"/><s v="Cognitive strategies, craving, food, obesity, self-control"/><s v="climate change, temporal comparison, political ideology, attitudes, framing"/><s v="gender, gender bias, reference, judgment, evaluation"/><s v="intent, motivation, harm, blame, morality"/><s v="ideology, stereotyping, social evaluation"/><s v="temporal discounting, delay of gratification, decision making, process tracing, choice architecture"/><s v="moral, violence, dehumanization, instrumental, aggression"/><s v="punishment, evolution, reinforcement learning, game theory, commitment"/><s v="economic inequality, opportunity beliefs, policy preferences, redistribution, system justification"/><s v="economic inequality, racial disparities, socioeconomic status, racial stratification, motivated perception"/><s v="dishonesty, memory, unethical behavior, psychological dissonance, morality"/><s v="facial redness, demand characteristics, emotion perception, emotion recognition"/><s v="priming, moral judgment, response effort, cleanliness"/><s v="Public goods; Merit goods; Government consumption; Dynamic panel estimation"/><s v="Public goods, Merit goods, Government consumption, Consumption, Dynamic panel estimation, Crowding Out Effect "/><s v="dictator game, gender differences"/><s v="Multinational Firms, Wage Spillovers, Worker Mobility"/><s v="replication; ECLS-K; teacher certification; teacher qualifications"/><s v="disgust, disgust sensitivity, moral judgment, homosexuality"/><s v="assimilation effects, contrast effects, general question, specific question, judgement"/><s v="Many Labs 2"/><s v="attitude, behaviour, correspondence, bias"/><s v="intentional action, folk psychology, prediction, explanation, control, behaviour"/><s v="double effect, moral judgments, justifications, moral dilemma"/><s v="false consensus, egocentric bias, social perception, attribution processes, choices"/><s v="morality, perception, judgment, decision making, reasoning"/><s v="cardinal direction, valence, preference, cultural differences, metaphoric associations"/><s v="decision problems, preference, perception, rational choice"/><s v="morality, ideology, liberal, conservative"/><s v="consumerism, materialism, situationism, social engagement, well-being, personal values"/><s v="basic anchoring, numeric priming, incidental anchoring, accessibility"/><s v="leadership, power, person perception, embodiment, metaphor"/><s v="physical cleansing, effect, sins, physical purity, moral purity"/><s v="structure seeking, pattern perception, self-regulation, goal pursuit, compensatory control"/><s v="prosocial, individualistic, competitive orientations, social interaction"/><s v="climate change, global warming, judgements, belief, temperature"/><s v="fluency, disfluency, dual-system processing, reasoning, judgment"/><s v="social structure, socioeconomic status, well-being"/><s v="prospect theory, affective, s-shaped, affect-rich, affect-poor, outcome"/><s v="compatibility, choosing, rejecting, enriched option, impoverished option, preference"/><s v="cross-cultural analysis, epistemology, reasoning, concepts"/><s v="preference reversal, evaluability, dominance violation, joint and separate evaluation, willingness to pay"/><s v="Brand names, linguistics, sound symbolism"/><s v="brand name, sound symbolism, international marketing"/><s v="Anchoring; Packaging; Food consumption"/><s v="anchoring, packaging, food consumption"/><s v="Moral values, Fairness, Luxury consumption. Consumption resources, Brand attitude"/><s v="financial constraints, discretionary spending, experiences and material goods, longevity, myopia"/><s v="time, money, scarcity, time-money tradeoffs, wage rates, procedural invariance"/><s v="resource scarcity, competitive orientation, welfare advancement, selfish, generous"/><s v="creativity, innovativeness, product use, scarcity, abundance, resource constraints"/><s v="Advertising, Aggression, Consumer promotions, Scarcity, Violence"/><s v="Phonetic symbolism, Sound symbolism, Brand names, Psycholinguistics"/><s v="Sensory Marketing"/><s v="color, saturation, size, aesthetics, attention, arousal"/><s v="healthy, unhealthy, healthy item, unhealthy item, lateral display, lateral position, mental organization"/><s v="Brand Equity/Extension, Information Processing, Language, Sensory Marketing"/><s v="sound symbolism, phonemes, phonetic effects, brand name, brand evaluation, consumers, language"/><s v="mental simulation, embodied mental simulation, visual depiction effect, purchase intentions,"/><s v="visual marketing, brand logo design, shape, product visualization, mental imagery, working memory"/><s v="Sensory Marketing, Positioning"/><s v="consumers, cultures, horizontal position, product attitude, advertising images"/><s v="dynamic imagery, logo design, brand attitudes, engagement, perceived movement"/><s v="Association Learning, Attention, Color Perception, Computer Simulation, Eye Movements, Field Dependence-Independence, Humans, Pattern Recognition, Visual, Phonetics, Reaction Time, Reading, Semantics, Verbal Behavior,  cascade processing, word production"/><s v="Association Learning, Attention, Color Perception, Computer Simulation, Eye Movements, Field Dependence-Independence, Humans, Pattern Recognition, Visual, Phonetics, Reaction Time, Reading, Semantics, Verbal Behavior, cascade processing, word production"/><s v="Association Learning, Attention, Automatism [psychology], Comprehension, Discrimination (Psychology), Humans, Multilingualism, Paired-Associate Learning, Pattern Recognition, Visual, Problem Solving, Psychophysics, Reaction Time, Size Perception, numerica"/><s v="Adult, Distance Perception, Environment, Female, Humans, Male, Perception, Questionnaires, Visual Perception, Сonstrual level theory, distance perception, environment, questionnaires, fluency"/><s v="Child, Preschool, Cognition, Cues, Female, Humans, Language, Male, color-location conjunctions, language-vision interactions"/><s v="Achievement, Awareness, Cues, Goals, Humans, Mental Recall, Motivation, Orientation, Pattern Recognition, Visual, Problem Solving, Reaction Time, Serial Learning, Social Environment, Unconscious (Psychology), Verbal Learning"/><s v="Achievement, Awareness, Cues, Goals, Mental Recall, Motivation, Orientation, Pattern Recognition, Visual, Problem Solving, Reaction Time, Serial Learning, Social Environment, Unconscious, Verbal Learning"/><s v="Attention, Child, Preschool, Female, Generalization (Psychology), Humans, Language Development, Male, Mental Recall, Reaction Time, Retention (Psychology), Semantics, Serial Learning, Speech Perception"/><s v="Association Learning, Attention, Humans, Inhibition (Psychology), Orientation, Reaction Time, Reading, Semantics, neighborhood density, word recognition, attractor networks"/><s v="Adult, Decision Making, Female, Humans, Intention, Male, Models, Psychological, Pilot Projects, Sex Factors, Sexual Behavior, Social Perception"/><s v="Decision Making, Intention, Models, Psychological, Pilot Projects, Sex Factors, Sexual Behavior, Social Perception, perception bias, choice-prediction model, GLM"/><s v="Humans, Judgment, Mathematics"/><s v="Numerical anchor, numerical judgments, bias"/><s v="Adolescent, Adult, Attention, Choice Behavior, Conflict (Psychology), Decision Making, Female, Humans, Male, Psychomotor Performance, Reaction Time, Set (Psychology), Thinking"/><s v="Choice, conflict Decision making, Female, Humans, Male, psychomotor performance, multiple response alternatives"/><s v="Affect, Attitude, Coercion, Forecasting, Humans, Time Perception"/><s v="Affect, Attitude, Coercion, Forecasting, Humans, Time Perception, predictions"/><s v="Adult, Aged, Aging [psychology], Female, Humans, Imagination, Life Change Events, Male, Mental Recall, Middle Aged, Neuropsychological Tests, Word Association Tests"/><s v="Aged, Aging, Imagination, Life Change Events, Mental Recall, Middle Aged, Neuropsychological Tests, Word Association Tests"/><s v="Attention, Child, Preschool, Comprehension, Female, Humans, Language Development, Male, Personal Construct Theory, Semantics, Verbal Learning, Visual Perception"/><s v="Attention, Preschool, Comprehension, Language Development, Personal Construct Theory, Semantics, Verbal Learning, Visual Perception"/><s v="Crowding, Humans, Models, Statistical"/><s v="Crowd effect, wisdom of the crowd, Crowding, probability"/><s v="Adolescent, Adult, Attentional Blink, Cues, Female, Humans, Inhibition (Psychology), Male, Pattern Recognition, Visual, Probability, Reaction Time, Serial Learning, Time Perception"/><s v="Temporal selection, attentional blink, stimulus onset asynchronies, efficacy, latency, precision, selective attention"/><s v="Adult, Association, Attention [physiology], Beverages, Blood Glucose [metabolism], Brain [physiology], Female, Humans, Inhibition (Psychology), Interpersonal Relations, Intuition [physiology], Judgment [physiology], Logic, Male, Motivation, Physical Exert"/><s v="Association, Attention, Beverages, Blood Glucose, Brain, Inhibition, Interpersonal Relations, Judgment, Logic, Motivation, Physical Exertion, Problem Solving, Set, dual-process reasoning"/><s v="Attention, Humans, Mental Recall, Phonetics, Psychoacoustics, Semantics, Serial Learning, Speech Perception, Verbal Learning"/><s v="Auditory distraction, phonological similarity, selective attention, free recall, serial recall"/><s v="Affect, Defense Mechanisms, Female, Humans, Male, Motivation, Time Factors, Verbal Behavior, Vocabulary"/><s v="Error-related negativity, motivation, affect, defense mechanisms, verbal behavior, vocabulary"/><s v="Adolescent, Adult, Affect, Cerebral Cortex [physiology], Conflict (Psychology), Female, Happiness, Humans, Male, Prefrontal Cortex [physiology], Reward, Social Control, Informal, Social Justice"/><s v="Affect, Cerebral Cortex, Conflict, Happiness, Prefrontal Cortex, Reward, Social Control, Informal, Social Justice, fairness, acceptance, ultimatum game"/><s v="Adolescent, Adult, Attention, Humans, Visual Perception"/><s v="Attention, Visual Perception, object tracking task, local visual features, statistical summary features"/><s v="Animals, Macaca mulatta, Macaca radiata, Neurophysiology, Reaction Time, Saccades [physiology], Visual Fields [physiology], Visual Perception"/><s v="Adolescent, Adult, Canada, Cross-Cultural Comparison, Culture, Humans, Male, Politics, Prejudice, Rationalization, Social Change, Social Desirability, Socioeconomic Factors, Stereotyping"/><s v="Prejudice, rationalization, social change, social desirability, socioeconomic factors, stereotyping, system-justification theory, benevolent stereotyping, relationship"/><s v="Adolescent, Adult, Child, Child Development, Cohort Studies, Educational Status, Female, Great Britain, Humans, Individuality, Intelligence, Male, Models, Psychological, Politics, Prejudice, Social Class, Social Justice, Social Values"/><s v="Attention, Cues, Figural Aftereffect, Humans, Imagination, Motion Perception, Orientation, Pattern Recognition, Visual, Photography, Psychophysics, Transfer (Psychology)"/><s v="Attention, Cues, Figural Aftereffect, Humans, Imagination, Motion Perception, Orientation, Pattern Recognition, Visual, Photography, Psychophysics"/><s v="Adult, Anxiety [psychology], Arousal [physiology], Attention, Attitude, Bias (Epidemiology), Facial Expression, Female, Humans, Male, Prejudice"/><s v="Attentional bias, prejudice, anxiety, dot-probe detection paradigm, threatening cues, race, motivation"/><s v="Adolescent, Adult, Female, Humans, Male, Mathematics, Mental Recall, Practice (Psychology), Problem Solving, Retention (Psychology), Transfer (Psychology)"/><s v="Arithmetic, factoring, multiplication, transfer, identical elements"/><s v="African Continental Ancestry Group [psychology], Association, Attention, European Continental Ancestry Group [psychology], Eye Movements, Fixation, Ocular, Humans, Interpersonal Relations, Orientation, Prejudice, Social Identification"/><s v="African Continental Ancestry Group, Association, Attention, European Continental Ancestry Group, Eye Movements, Fixation, Ocular, Interpersonal Relations, Orientation, Prejudice, Social Identification, social referencing, association hypothesis, offensive"/><s v="Adaptation, Physiological, Adaptation, Psychological, Humans, Memory [physiology], Survival, Vocabulary"/><s v="Adaptation, memory, survival, survival-based processing"/><s v="Adult, Attitude, Female, Happiness, Humans, Male, Pilot Projects, Quality of Life [psychology], Questionnaires"/><s v="Attitude, Happiness, Quality of Life, Questionnaires, will, desire, probability theory"/><s v="Adult, Association, Attitude, Decision Making, Feedback, Psychological, Female, Generalization, Response, Humans, Individuality, Interpersonal Relations, Judgment, Male, Mental Recall, Middle Aged, Personality Inventory, Social Behavior, Social Identifica"/><s v="Association, Attitude, Decision Making, Feedback, Generalization, Response, Individuality, Interpersonal Relations, Judgment, Mental Recall, Personality Inventory, Social Behavior, Social Identification"/><s v="Culture, Deception, Female, Genetic Determinism, Humans, Internal-External Control, Male, Moral Development, Personal Autonomy, Persuasive Communication, Problem Solving, Social Environment"/><s v="Free will, determinism, mathematical task, cheating, anti-free-will, Culture, Deception, Female, Genetic Determinism, Humans, Internal-External Control, Male, Moral Development, Personal Autonomy, Persuasive Communication, Problem Solving, Social Environm"/><s v="Attention, Humans, Judgment, Mental Recall, Music, Pitch Perception, Psychoacoustics, Reaction Time, Sound Spectrography, change detection, change perception"/><s v="Attention, Judgment, Mental Recall, Music, Pitch Perception, Psychoacoustics, Reaction Time, Sound Spectrography, change detection, change perception"/><s v="Adult, Affect, Cues, Culture, Dangerous Behavior, Energy Intake, Female, Food Habits [psychology], Humans, Judgment, Male, Object Attachment, Personal Space, Reading, Self-Assessment, Social Facilitation, Social Perception, Violence [psychology]"/><s v="Priming, spatial priming, Affect, Cues, Culture, Dangerous Behavior, Energy Intake, Food Habits, Judgment, Object Attachment, Personal Space, Reading, Self-Assessment, Social Facilitation, Social Perception, Violence"/><s v="Adult, Affect, Anger, Humans, Leisure Activities, Male, Motivation, Music, Social Control, Informal, hedonic emotion regulation, instrumental emotion regulation"/><s v="Affect, Anger, Leisure Activities, Motivation, Music, Social Control, Informal, hedonic emotion regulation, instrumental emotion regulation"/><s v="Adult, Female, Humans, Interpersonal Relations, Loneliness, Male, Motivation, Object Attachment, Questionnaires, Religion and Psychology, Social Behavior"/><s v="Interpersonal relations, loneliness, motivation, object attachment, seclusion, human-like agents, anthropomorphism, fear, connection, disconnection"/><s v="Adult, Conflict (Psychology), Female, Hate, Humans, Interpersonal Relations, Love, Male, Motivation, intergroup prisoner’s dilemma-maximizing difference, intergroup prisoner’s dilemma"/><s v="Conflict, Hate, Interpersonal Relations, Love, Motivation, intergroup prisoner’s dilemma-maximizing difference, intergroup prisoner’s dilemma"/><s v="Color Perception, Humans, Language, Pattern Recognition, Visual, Phonetics, Psycholinguistics, Semantics, Verbal Behavior, cross-linguistic contrast, word-order constraints"/><s v="Color Perception, Language, Pattern Recognition, Visual, Phonetics, Semantics, Verbal Behavior, cross-linguistic contrast, word-order constraints"/><s v="Adult, Choice Behavior, Female, Humans, Male, Marriage [psychology], Reproductive Behavior [psychology], Sexual Behavior [psychology], Social Behavior, Social Desirability"/><s v="Choice behavior, marriage, reproductive behavior, sexual behavior, social behavior, social desirability, sexual preference"/><s v="Attention, Color Perception, Conflict (Psychology), Cues, Discrimination Learning, Humans, Mental Recall, Probability Learning, Reaction Time, Reading, Semantics"/><s v="Contingency learning, Stroop, proportion congruent, ISPC, attention"/><s v="Adolescent, Adult, Attention, Discrimination Learning, Eye Movements, Female, Fixation, Ocular, Humans, Male, Orientation, Probability, Psychomotor Performance, Reaction Time, Semantics, Visual Fields"/><s v="Attention, discrimination learning, eye movements, ocular, orientation, probability, semantics, visual search, dorsal stream, ventral stream"/><s v="Adult, Analysis of Variance, Communication, Conscience, Cues, Emotions [physiology], Female, Great Britain, Humans, Intuition [physiology], Judgment [physiology], Male, Morals, Social Behavior, Social Perception, Students [psychology], Young Adult"/><s v="Adult, Analysis of Variance, Communication, Conscience, Cues, Emotions, Female, Great Britain, Humans, Intuition, Judgment, Male, Morals, Social Behavior, Social Perception, Students, Young Adult, Replication, Embodiment, Cleanliness, Morality, Effect Siz"/><s v="Attention, Contrast Sensitivity, Depth Perception, Discrimination Learning, Field Dependence-Independence, Humans, Optical Illusions, Orientation, Pattern Recognition, Visual"/><s v="Attention, Contrast Sensitivity, Depth Perception, Discrimination Learning, Field Dependence-Independence,  Optical Illusions, Orientation, Pattern Recognition, Visual, Extremal edges"/><s v="Attitude, Cross-Cultural Comparison, Culture, Humans, Morals, Personality, Personality Inventory"/><s v="Attitude, Cross-Cultural Comparison, Culture, Morals, Personality, Personality Inventory, Reference group effect, perceptions of national character, Fragile State Index"/><s v="Adult, Attention, Choice Behavior, Female, Humans, Male, Metaphor, Personality, Social Dominance, Space Perception, Spatial Behavior"/><s v="Attention, Choice Behavior, Metaphor, Personality, Social Dominance, Space Perception, Spatial Behavior, verticality/power relationship,  spatial attention task"/><s v="Attention, Conflict (Psychology), Cues, Goals, Humans, Inhibition (Psychology), Intention, Memory, Short-Term, Orientation, Pattern Recognition, Visual, Psychomotor Performance, Reaction Time"/><s v="Goal shielding, attention, conflict, cues, inhibition, prespectice memory, pattern recognition"/><s v="Adult, Age Factors, Animals, Attention, Child, Preschool, Fear, Field Dependence-Independence, Humans, Pattern Recognition, Visual, Reaction Time, Snakes"/><s v="Age Factors, Animals, Attention, Preschool, Fear, Field Dependence-Independence, Pattern Recognition, Visual, Reaction Time, Snakes"/><s v="Adult, Attention, Concept Formation, Discrimination Learning, Female, Humans, Judgment, Male, Memory, Short-Term, Motivation, Pattern Recognition, Visual, Problem Solving"/><s v="Value heuristic, judgement, frequency, attention, concept formation, discrimination learning, short-term memory, pattern recognition, problem solving"/><s v="Attention, Cues, Head, Humans, Space Perception, Vocabulary"/><s v="Language and perception, mental imagery, perceptual simulation, reflexive orienting, spatial attention"/><s v="Adult, Bias (Epidemiology), Choice Behavior, Cognition, Computer Simulation, Decision Making, Decision Theory, Feedback, Psychological, Female, Humans, Judgment, Male"/><s v="Sampling, decision making, sampling bias, natural sampling, information search"/><s v="Adolescent, Adult, Association Learning, Attention, Color Perception, Cues, Discrimination Learning, Female, Humans, Male, Memory, Short-Term, Orientation, Reaction Time, Serial Learning"/><s v="Recognition, working memory, serial position curves, recollection, familiarity"/><s v="Attentional Blink, Humans, Judgment, Memory, Short-Term, Pattern Recognition, Visual, Reading, Semantics, Serial Learning, Verbal Learning"/><s v="Attention, Humans, Inhibition (Psychology), Intention, Mental Recall, Paired-Associate Learning, Psycholinguistics, Semantics, Verbal Learning"/><s v="Directed forgetting, context change, list-strength effect, spacing effect"/><s v="Adult, Attention, Color Perception, Cues, Female, Functional Laterality, Humans, Inhibition (Psychology), Male, Multilingualism, Orientation, Pattern Recognition, Visual, Psychomotor Performance, Reaction Time"/><s v="Bilingualism, inhibition, executive functions"/><s v="Adult, Attention, Female, Humans, Male, Mathematics, Mental Recall, Paired-Associate Learning, Problem Solving, Reaction Time, Semantics"/><s v="Analogy, relational priming, cognitive arithmetic, mathematical reasoning, conceptual integration"/><s v="Adult, Attention, Discrimination Learning, Humans, Memory, Short-Term, Pattern Recognition, Visual, Practice (Psychology), Probability Learning, Retention (Psychology), Serial Learning"/><s v="Hebb repetition effect, implicit memory, sequence learning, serial recall, error analysis"/><s v="Attention, Humans, Phonetics, Reaction Time, Reading, Semantics, Speech, Writing"/><s v="Pathway control hypothesis, reading aloud, exogenous control, executive control, phonology"/><s v="Adolescent, Adult, Attention, Decision Making, Discrimination Learning, Female, Humans, Male, Mental Recall, Phonetics, Reaction Time, Reading, Semantics"/><s v="Additive effects, distributional analysis, stimulus quality, word frequency, lexical decision"/><s v="Attention, Conflict (Psychology), Field Dependence-Independence, Humans, Inhibition (Psychology), Pattern Recognition, Visual, Reaction Time, Reading, Semantics"/><s v="Semantic interference effect, lexical selection by competition, picture–word interference, delayed naming, response exclusion hypothesis"/><s v="Association Learning, Color Perception, Discrimination Learning, Humans, Motion Perception, Orientation, Pattern Recognition, Visual, Perceptual Masking, Probability Learning, Problem Solving, Psychophysics"/><s v="Statistical learning, feature binding, objects, feature dimensions"/><s v="Attention, Color Perception, Decision Making, Discrimination Learning, Functional Laterality, Humans, Memory, Short-Term, Pattern Recognition, Visual, Perceptual Masking, Psychomotor Performance, Psychophysics, Reaction Time, Size Perception"/><s v="Task switching, working memory, resource sharing, complex span tasks"/><s v="Association Learning, Causality, Humans, Judgment, Likelihood Functions, Probability Learning, Problem Solving"/><s v="Cause prevalence effect"/><s v="Association Learning, Attention, Discrimination Learning, Humans, Memory, Short-Term, Pattern Recognition, Visual, Reading, Serial Learning, Speech Perception, Time Perception"/><s v="Serial recall, timing, short-term memory, recall latencies, grouping"/><s v="Association Learning, Attention, Field Dependence-Independence, Humans, Orientation, Pattern Recognition, Visual, Problem Solving, Reproducibility of Results"/><s v="Attention, statistical computation, sssociative learning, language"/><s v="Adolescent, Adult, Attention, Color Perception, Cues, Discrimination Learning, Female, Humans, Inhibition (Psychology), Male, Memory, Short-Term, Orientation, Pattern Recognition, Visual, Psychophysics, Reaction Time, Retention (Psychology)"/><s v="Visual working memory, visual attention, memory decay, memory interference, change detection, Simplified Comparison Hypothesis, Interim Interference, Probe Interference Hypothesis"/><s v="Adolescent, Adult, Association Learning, Bayes Theorem, Choice Behavior, Culture, Decision Making, Decision Theory, Female, Gambling [psychology], Health Behavior, Humans, Individuality, Male, Pattern Recognition, Visual, Psychomotor Performance, Risk-Tak"/><s v="Risk taking, learning, Bayesian, individual differences, cognitive psychometrics"/><s v="Attention, Cues, Humans, Memory, Short-Term, Mental Recall, Paired-Associate Learning, Practice (Psychology)"/><s v="Retrieval-induced forgetting, inhibition, learning, memory, forgetting"/><s v="Adult, Character, Culture, Defense Mechanisms, Female, Humans, Imagination, Judgment, Male, Morals, Prejudice, Rejection (Psychology), Self Concept, Social Conformity, Social Desirability, Social Perception, Social Responsibility"/><s v="Adolescent, Adult, Alcohol Drinking, Analysis of Variance, Attitude, Behavioral Research [methods], Cognition, Emotions, Factor Analysis, Statistical, Female, Humans, Male, Prejudice, Psychological Tests, Reproducibility of Results, Social Conformity, Soc"/><s v="Implicit, explicit, attitude, automatic, measurement, prejudice, social conformity, social perception, truth disclosure"/><s v="Adolescent, Adult, Child, Comprehension, Data Collection, Extraversion (Psychology), Female, Humans, Informed Consent, Internet, Language Development, Male, Patient Selection, Personality Development, Personality Inventory [statistics &amp; numerical data], P"/><s v="Five-factor model, personality structure, reliability, validity"/><s v="Adaptation, Psychological, Adolescent, Adult, Adult Children [psychology], Attitude to Death, Defense Mechanisms, Fear, Female, Humans, Male, Mental Recall, Middle Aged, Object Attachment, Parent-Child Relations, Self Efficacy, Social Support"/><s v="Terror management, mortality salience, adult attachment, close relationships, parents"/><s v="Attention, Awareness, Cues, Culture, Decision Making, Feeding Behavior, Female, Goals, Humans, Internal-External Control, Judgment, Male, Mental Recall, Persuasive Communication, Problem Solving, Psychomotor Performance, Semantics, Set (Psychology)"/><s v="Attention, Color Perception, Discrimination Learning, Field Dependence-Independence, Humans, Memory, Short-Term, Mental Recall, Pattern Recognition, Visual, Practice (Psychology), Psychophysics"/><s v="Perceptual learning, spaced practice, memory, discrimination"/><s v="Affect, Attention, Comprehension, Concept Formation, Conflict (Psychology), Cues, Culture, Female, Humans, Male, Memory, Short-Term, Mental Recall, Motivation, Reading, Retention (Psychology)"/><s v="Affective coherence, embodiment, affect, motor behavior, facial expression"/><s v="African Americans, Analysis of Variance, Cognition, Conflict (Psychology), European Continental Ancestry Group, Evoked Potentials, Female, Group Processes, Humans, Inhibition (Psychology), Models, Psychological, Motivation, Neuropsychology, Prejudice, Uni"/><s v="Prejudice, control, ERP, ERN, conflict monitoring"/><s v="Analysis of Variance, Attitude, Biofeedback, Psychology, Brain Mapping, Cognitive Dissonance, Decision Making, Female, Humans, Male, Models, Psychological, Prefrontal Cortex [physiology]"/><s v="Cognitive dissonance, action-based model, approach motivation, asymmetrical frontal cortical activity, neurofeedback"/><s v="Adult, Anger, Communication, Deception, Dominance-Subordination, Emotions, Fear, Female, Goals, Humans, Interpersonal Relations, Male, Motivation, Negotiating, Power (Psychology), Rejection (Psychology)"/><s v="Emotions, bargaining, deception, fairness, self-interest"/><s v="Adult, Affect, Analysis of Variance, Female, Humans, Interpersonal Relations, Male, Models, Psychological, Object Attachment, Questionnaires, Rejection (Psychology), Self Concept, Sexual Partners [psychology], Social Desirability, Social Perception, Spous"/><s v="Close relationships, egocentrism, relationship security, acceptance, emotion expression, expression-based authenticity doubts, vulnerability"/><s v="Adolescent, Adult, Communication, Data Collection, Female, Friends [psychology], Humans, Internet, Interpersonal Relations, Longitudinal Studies, Male, Marriage, Middle Aged, Projection, Questionnaires, Self Concept, Social Support, Spouses [psychology]"/><s v="Projection of responsiveness, assumed similarity, social support, communal relationships, self-disclosure"/><s v="Adult, Attention, Cues, Decision Making, Female, Humans, Judgment, Male, Memory, Short-Term, Models, Statistical, Psychomotor Performance, Reaction Time, Reading, Retention (Psychology), Serial Learning, Signal Detection, Psychological, Speech, Verbal Lea"/><s v="Fluency, repetition priming, recognition, computational model"/><s v="Adult, Age Factors, Aged, Aging [psychology], Analysis of Variance, Emotions, Female, Human Development, Humans, Imagination, Male, United States"/><s v="Aging, emotions, mixed emotions, human development, poignancy, endings, socioemotional selectivity theory, experience of ending"/><s v="African Americans, Behavioral Research [statistics &amp; numerical data], Bias (Epidemiology), European Continental Ancestry Group [psychology], Fourier Analysis, Humans, Prejudice, Reaction Time, Regression Analysis, Stereotyping"/><s v="1/f noise, effort, stereotyping, prejudice, bias, fourier analysis"/><s v="Association Learning, Attention, Concept Formation, Dominance, Cerebral, Female, Field Dependence-Independence, Generalization (Psychology), Gestalt Theory, Humans, Judgment, Male, Pattern Recognition, Visual, Psychomotor Performance, Self Concept, Social"/><s v="Assimilation and contrast; exclusion versus inclusion; processing styles"/><s v="Adolescent, Adult, Anger [physiology], Attitude, Empathy, Female, Group Processes, Guilt, Humans, Individuality, Interpersonal Relations, Male, Mental Recall [physiology], Motivation, Sex Factors, Social Behavior, Social Perception, Students [psychology]"/><s v="Culture, Female, Humans, Intuition, Judgment, Male, Motivation, Negativism, Probability, Social Environment"/><s v="Adult, Affect [physiology], Africa, Western, Aged, Anger [physiology], Cross-Cultural Comparison, Emotions [physiology], Ethnic Groups [psychology], Facial Expression, Fear [psychology], Female, Happiness, Humans, Italy, Male, Middle Aged, Nonverbal Commu"/><s v="Pride, self-conscious emotion, cross-cultural, universal, emotion recognition"/><s v="Attention, Humans, Individuality, Memory, Short-Term, Models, Statistical, Phonetics, Psychomotor Performance, Semantics, Serial Learning, Verbal Learning"/><s v="Word Length Effect"/><s v="Adolescent, Adult, Aptitude, Cognition, Culture, Decision Making, Female, Humans, Judgment, Male, Probability Learning, Problem Solving, Thinking"/><s v="Thinking biases, heuristics and biases, intelligence, cognitive ability"/><s v="Attitude, Cognition, Humans, Mental Processes, Persuasive Communication, Thinking"/><s v="Values, information processing, resistance to persuasion, message, communication, attitude"/><s v="Conflict (Psychology), Culture, Female, Group Processes, Humans, Individuality, Male, Motivation, Personal Satisfaction, Social Conformity, Social Dominance, Social Identification"/><s v="Minorities, deviance, social norms"/><s v="Adolescent, Adult, Aged, Attitude, Charities [economics], Female, Fund Raising [ethics], Goals, Humans, Male, Middle Aged, Motivation, Social Control, Informal"/><s v="Goals, self-regulation, motivation, commitment, progress, charities, fund raising, social control"/><s v="Association Learning, Attention, Awareness, Humans, Illusions [psychology], Lawyers [psychology], Mental Recall, Physicians [psychology], Reading, Set (Psychology), Social Perception, Stereotyping"/><s v="Source memory, stereotypes, remember, recollection, false memory"/><s v="Adult, Attitude, Behavior [physiology], Decision Making [physiology], Female, Goals, Humans, Self Concept, Set (Psychology), Students [psychology], Task Performance and Analysis"/><s v="Adaptation, Psychological, Adult, Analysis of Variance, Conflict (Psychology), Cooperative Behavior, Emotions, Female, Humans, Israel, Male, Models, Psychological, Negotiating, Power (Psychology), Role, Social Perception"/><s v="reconciliation, conflict resolution, emotional needs, victims, perpetrators, adaptation, conflict, cooperative behavior, emotions, negotiating, social acceptance"/><s v="Adolescent, Adult, Awareness, Cues, Face, Female, Hair, Heterosexuality [psychology], Homosexuality, Male [psychology], Humans, Judgment, Male, Nonverbal Communication, Sexual Behavior, Social Perception, Stereotyping, Young Adult"/><s v="Heuristic, inference, subjective predictor, objective performance, personality traits"/><s v="Adolescent, Adult, Choice Behavior, Decision Making, Female, Humans, Male, Mental Processes, Middle Aged"/><s v="Adolescent, Adult, Cognition [physiology], Decision Making [physiology], Ego, Female, Humans, Internal-External Control, Male, Middle Aged, Motivation, Self Concept, Students [psychology]"/><s v="Self-regulation, depletion of self-regulation resources, confirmatory information processing, selective exposure, decision making, ego, internal-external control, , motivation, self concept"/><s v="African Americans, Analysis of Variance, European Continental Ancestry Group [psychology], Humans, Male, Prejudice, Social Distance, Stereotyping, United States"/><s v="Stereotype threat, racial bias, racial discrimination, social distance, prejudice"/><s v="Adult, Choice Behavior, Empathy, Female, Humans, Love, Male, Marriage [psychology], Questionnaires, Sexual Behavior [psychology], Sex differences, mate preferences, speed dating, empathy gap, a priori theories, love, partner, sexual behavior, physical att"/><s v="Sex differences, mate preferences, speed dating, empathy gap, a priori theories, love, partner, sexual behavior, physical attractiveness"/><s v="Attention, Choice Behavior, Color Perception, Data Interpretation, Statistical, Humans, Memory, Short-Term, Paired-Associate Learning, Reaction Time, Semantics"/><s v="Adolescent, Adult, Conflict (Psychology), Courtship [psychology], Female, Goals, Humans, Intention, Interpersonal Relations, Male, Models, Psychological, Questionnaires, Rejection (Psychology), Risk Reduction Behavior, Self Concept, Students [psychology],"/><s v="Relationships, risk, connectedness, self-protection, interpersonal Relations, Rejection, Risk Reduction Behavior, Self Concept"/><s v="Affect, Decision Making, Defense Mechanisms, Female, Humans, Internal-External Control, Male, Motivation, Self Concept, Social Responsibility, Thinking"/><s v="Counterfactual thinking, self-handicapping, self-protection, motivation"/><s v="Adolescent, Adult, African Continental Ancestry Group [psychology], Cues, Cultural Diversity, Female, Hierarchy, Social, Humans, Judgment, Male, Organizational Culture, Prejudice, Rejection (Psychology), Social Identification, Social Values, Stereotyping,"/><s v="Identity threat, African Americans, diversity, stigma"/><s v="ECLS-L, teacher certification, teacher qualifications, teacher quality, input output analysis, productivity"/><s v="weight, importance, judgements, decision-making"/><s v="Gestalt, heterogeneity, homogeneity, quantity estimation, variety"/><s v="Cognitive Processes, Perceptual Processes, Judgment and Decision Making, Experimental Design and Analysis (ANOVA); File-drawer report, quantity estimation, variety, Gestalt, replication, heterogeneity, homogeneity"/><s v="color red, cognitive performance, intelligence, reasoning,"/><s v="color, performance, semantic red effect, avoidance, red color, cognitive performance, intelligence, general knowledge, reasoning"/><s v="replication success, laypeople, Intuitive plausibility"/><s v="replication success, laypeople, Intuitive plausibility, open science, meta-science, replication crisis, prediction survey, open data, open materials, preregistered"/><s v="Door in the face technique, Persuasion, Reciprocity, Social influence, replication, reciprocal concession, "/><s v="Door-in-the-face technique, social influence, replication, reciprocal concession, persuasion, reciprocity"/><s v="utilitarianism, alcohol, CNI Model, trolley dilemma, moral dilemma, moral judgment, alcohol intoxication, ethanol, dual-process model"/><s v="utilitarian, moral dilemma, moral judgment, alcohol intoxication, ethanol, dual-process model"/><s v="utilitarianism, alcohol, CNI Model, trolley dilemma, moral judgment, moral action, alcohol intoxication, alcohol, dual-process model, moral decision-making, empathy, virtual reality"/><s v="utilitarian, moral dilemma, moral judgment, moral action, alcohol intoxication, alcohol, dual-process model, moral decision-making, empathy, virtual reality"/><s v="utilitarianism, alcohol, CNI Model, trolley dilemma, moral dilemma, moral judgment, alcohol intoxication, alcohol, dual-process model"/><s v="utilitarianism, Utilitarian, moral dilemma, moral judgment, alcohol intoxication, alcohol, CNI model, dual-process model"/><s v="Exercise performance; endurance; perceived exertion; motivation"/><s v="binge-watching; self-determination theory; media psychology; well-being"/><s v="Cognitive Processes, Perceptual Processes, Judgment and Decision Making, Experimental Design and Analysis (ANOVA); File-drawer report, quantity estimation, variety, Gestalt, replication"/><s v="Expressive Responding, Partisan Bias, Political Misinformation, Political Psychology, Survey Research, Motivated Reasoning, Partisan Cheerleading, False Beliefs, Political Cognition, Crowd Size Controversy, Donald Trump, Barack Obama, Political Interest, "/><s v="Belief, dual process, expressive responding, identity fusion, partisan"/><s v="Attitude formation, Implicit learning, Classical conditioning, Covariation detection, Conditioning paradigm, Valenced stimuli, Unconditioned stimuli, Conditioned stimuli, Attitudinal conditioning, Explicit measures, Implicit measures, Evaluation task, Sur"/><s v="implicit attitude, Evaluative conditioning,  conditioned stimuli"/><s v="Affect Misattribution Procedure, implicit measures, Implicit Association Test, bias awareness, implicit social cognition"/><s v="affect misattribution procedure, implicit social cognition, implicit attitudes,  Implicit Association Test, bias awareness, "/><s v="Regulatory focus theory, Self-determination theory, Need satisfaction, Need support, Goals and motivation"/><s v="motivation, regulatory focus theory, self-determination theory, psychological needs, need support "/><s v="intergroup sensitivity effect, intergroup criticism, behavior, costly punishment,"/><s v="intergroup sensitivity effect, intergroup criticism, behavior,  motivation-goals, self-defensiveness, social identity, bystander effect, costly punishment, general norms"/><s v="Flanker task, congruency, bimodal, interference effect, facilitation effect, bimodal stimulation, conflict tasks, Eriksen flanker task, auditory flankers"/><s v="Flanker task, congruency, bimodal,  bimodal stimulation, interference effect, facilitation effect, conflict tasks, Eriksen flanker task, auditory flankers"/><s v="Differential Age Effects in ToM and Factual Reasoning"/><s v="social affect, empathy, compassion, social cognition, theory of mind, adult lifespan"/><s v="No Age Diferences in Empathy and Positive Age Diferences in Compassion."/><s v="Age of acquisition, Picture naming, word naming, Direct replication, lexical retrieval"/><s v="Age of acquisition, Word naming, Picture naming, Verification, Subtraction"/><s v="social value orientation (TDM); older siblings; sample 1"/><s v="False Beliefs, Mental State Attribution, Eye Tracking, Infant Development, Cognitive Psychology, Theory of Mind, 25-Month-Old Infants, Action Prediction, Child Psychology, Infant Behavior, Developmental Psychology, Mental State Understanding, Cognitive De"/><s v="Implicit theory of mind, False-Belief Task, Anticipatory Looking Reality Bias, Infants, Eyetracking, False Beliefs, Mental State Attribution, Infant Development, Cognitive Psychology, Theory of Mind, 25-Month-Old Infants, Action Prediction, Child Psycholo"/><s v="Implicit theory of mind, False-Belief Task, Anticipatory Looking Reality Bias, Infants, Eyetracking"/><s v="Implicit Theories of Intelligence, Achievement Motivation, Adolescent Development, Mathematics Achievement, Incremental Theory, Entity Theory, Longitudinal Study, Educational Psychology, Growth Mindset, Fixed Mindset, Intervention Study, Classroom Motivat"/><s v="Adolescent, Child, Cohort Studies, Educational Status, Helplessness, Learned Humans Intelligence, Internal-External Control, Longitudinal Studies, Teaching, incremental theory, entity theory"/><s v="red color, cognitive performance, reasoning, intelligence,"/><s v="color, performance, semantic red effect, avoidance, red color, cognitive performance, intelligence, general knowledge, reasoning "/><s v=" social value orientation (TDM); secure attachment (AAS); sample 1"/><s v="social value orientation (TDM), secure attachment (AAS), sample 1, social interaction, prosocials, individualists, competitors"/><s v="social value orientation (SLM); secure attachment (AAS); sample 1"/><s v="social value orientation (SLM), secure attachment (AAS), sample 1, social interaction, prosocials, individualists, competitors"/><s v="social value orientation (SLM); secure attachment (original); sample 1"/><s v="social value orientation (SLM), secure attachment (original), sample 1, social interaction, prosocials, individualists, competitors"/><s v="social value orientation (SLM); secure attachment (ECR-R); sample 1"/><s v="social value orientation (SLM), secure attachment (ECR-R), sample 1, social interaction, prosocials, individualists, competitors"/><s v="social value orientation (TDM); total siblings; sample 1"/><s v="social value orientation (TDM), total siblings, sample 1"/><s v="social value orientation (TDM); sister; sample 1"/><s v="social value orientation (TDM), sister, sample 1"/><s v="social value orientation (TDM), older siblings, sample 1"/><s v="social value orientation (SLM); total siblings; sample 1"/><s v="social value orientation (SLM), total siblings, sample 1"/><s v="social value orientation (TDM); secure attachment (original); sample 1"/><s v="social value orientation (TDM), secure attachment (original), sample 1"/><s v="social value orientation (SLM); sister; sample 1"/><s v="social value orientation (SLM), sister, sample 1"/><s v="social value orientation (SLM); older siblings; sample 1"/><s v="social value orientation (SLM), older siblings, sample 1"/><s v="social value orientation (TDM); age; sample 1"/><s v="social value orientation (TDM), age, sample 1"/><s v="social value orientation (SLM), age, sample 1"/><s v="social value orientation (TDM), secure attachment (ECR-R), sample 1"/><s v="social value orientation (TDM), secure attachment (AAS), sample 1"/><s v="social value orientation (SLM), secure attachment (AAS), sample 1"/><s v="social value orientation (SLM), secure attachment (original), sample 1"/><s v="social value orientation (SLM), secure attachment (ECR-R), sample 1"/><s v="social value orientation, secure attachment, adult attachment"/><s v="social value orientation, adult attachment, siblings, replication"/><s v="Theory of mind, moral cognition, intention, intentional action, cross-cultural evidence"/><s v="Free will, responsibility, folk intuitions, experimental philosophy, conceptual analysis"/><s v="Free will, moral responsibility, folk intuitions, experimental philosophy, conceptual analysis"/><s v="Experimental Evidence: First Phase"/><s v="free will, moral responsibility, folk intuitions"/><s v="moral responisbility"/><s v="blame"/><s v="praise"/><s v="causation by absence"/><s v="moral judgement, morality, utilitarian, cognitive control, cognitive load"/><s v="egocentric biases in mindreading, valuing"/><s v="3.1. Folk Attributions of Desires"/><s v="cause, norm"/><s v="atypicality, causality, folk psychology"/><s v="free will, moral responsibility, personality, extraversion, folk intuitions"/><s v="experience machine, Nozick, pleasure, reality, status quo bias"/><s v="epistemic side-effect"/><s v="phenomenal consciousness, folk concept of subjective experience, hard problem of consciousness"/><s v="causation, norm violation, culpable control"/><s v="reality of pain, appearance of pain"/><s v="Dual-process model, Moral decision making, Moral judgment, Moral psychology, Moral reasoning, Morality, Reflection, Social intuitionist model"/><s v="Semantic intuitions, Proper names, Reference, Cultural differences, Kripke, Descriptivism;,Causal historical theory"/><s v="Akrasia  Weakness of will,  Intention, Resolution, Prototype concepts, Knobe effect"/><s v="Justified true belief, Knowledge ascription, Gettier cases, Mental state inference, Individual differences, Lay beliefs"/><s v="Knowledge ascription scores"/><s v="Story type"/><s v="Standard True Belief versus Skeptical Pressure"/><s v="Standard True Belief vs False Belief"/><s v="Skeptical Pressure vs False Belief"/><s v="Gettier vs False belief"/><s v="Standard True Belief versus Gettier Cases"/><s v="knobe effects, experimental philosophy"/><s v="knobe effects"/><s v="incompatilism, bypassing, experimental philosophy"/><s v="incompatilism, bypassing"/><s v="replaceability, attitude towards refernce"/><s v="experimental philosophy, imaginative resistance "/><s v="Belief, Folk Intuitions, Moral Judgment, Motivational Internalism, Shaun Nichols, Understanding, experimental philosophy"/><s v="Belief, Folk Intuitions, Moral Judgment, Motivational Internalism, Shaun Nichols, Understanding"/><s v="knowledge, stakes, mistakes "/><s v="Typo low hope, Typo high short hope"/><s v="verb type"/><s v="interaction effect, verb type"/><s v="intention, intentional action, moral considerations, experimental philosophy"/><s v="Causal reasoning, Counterfactuals, Morality, Superseding"/><s v="moral judgement, canonical moral, moral objectivity, experimental philosophy"/><s v="moral judgement, canonical moral, moral objectivity"/><s v="blame, badness, intentional action, side effect, experimental philosophy"/><s v="Free Will, Moral Responsibility, Folk Psychology, experimental philosophy"/><s v="Free Will, Moral Responsibility, Folk Psychology,  experimental philosophy"/><s v="skill, luck, control, intentional action., experimental philosophy"/><s v="skill, luck, control, intentional action, experimental philosophy"/><s v="Big Five, life outcomes, metascience, personality traits, replication, open data, open materials, preregistered"/></sharedItems></cacheField><cacheField name="description" numFmtId="0"><sharedItems containsBlank="1"><s v="Description of the effect under investigation (e.g., x is associated with y, x leads to y), possibly a part of the original publication's title (abstract claim)"/><s v="interaction between scanning condition (positive or negative) and stimulus valence"/><m/><s v="The two conditions of the experiment involve ascribing knowledge of the very same proposition (&quot;rather than&quot; clause) and they differ only in that they pick out two different contrasts to that proposition: subject or object. "/><s v="Thief contrast codition tend to agree more compared to jewel contrast condition with knowledge ascription"/><s v="estimates for numeric judgments are assimilated toward anchor values, even when these anchors are presented subliminally and outside of conscious awareness"/><s v="Subliminally presented numerical anchors influence judgment, causing estimates to shift toward the anchor values without participants being consciously aware of the anchors."/><s v="Influence of the Type of Mathematical Problems on Students’ Interest"/><s v="Influence of the Type of Mathematical Problems on Students’ and Pre-service Teachers’ Interest and Performance"/><s v="Influence of the Type of Mathematical Problems on Pre-service Teachers’ Interest"/><s v="Influence of the Type of Mathematical Problems on Student Performance"/><s v="Influence of the Type of Mathematical Problems on Pre-service Teacher Performance"/><s v="Influence of the Type of Mathematical Problems on Student Interest*Performance relationship"/><s v="Influence of the Type of Mathematical Problems on Pre-service Teacher Interest*Performance relationship"/><s v="The study measured the production accuracy of  /e/ format using a delayed sentence repetition task."/><s v="The study measured the production accuracy of  /ei/ ~ /e/ format using a delayed sentence repetition task."/><s v="The study measured the production accuracy of  /ei/ ~ z score format using a delayed sentence repetition task."/><s v="The study measured the production accuracy for consonants using a delayed sentence repetition task."/><s v="Role of inhibitory control in L2 phonological processing (Retrieval–induced inhibition)"/><s v="Role of inhibitory control in L2 phonological processing (ABX error (vowels))"/><s v="Role of inhibitory control in L2 phonological processing (Vowel production z score)"/><s v="Role of inhibitory control in L2 phonological processing (Consonant production (max. 8))"/><s v="The study measured the perceptual processing of Spanish vowels using the speeded ABX categorization&#xA;task."/><s v="Indirect effect present for relationship quality (replication: cross-sectional, wives' answers, effect on themselves)"/><s v="Indirect effect present for relationship quality (replication: cross-sectional, wives' answers, effect on partner)"/><s v="Indirect effect present for relationship quality (replication: cross-sectional, husbands' answers, effect on themselves)"/><s v="Indirect effect present for relationship quality (replication: cross-sectional, husbands' answers, effect on partner)"/><s v="Indirect effect present for relationship quality (replication: longitudinal, wives' answers, effect on themselves)"/><s v="Indirect effect present for relationship quality (replication: longitudinal, wives' answers, effect on partner)"/><s v="Indirect effect present for relationship quality (replication: longitudinal, husbands' answers, effect on themselves)"/><s v="Indirect effect present for relationship quality (replication: longitudinal, husbands' answers, effect on partner)"/><s v="No direct effect present for relationship quality (replication: cross-sectional, wives' answers, effect on themselves)"/><s v="No direct effect present for relationship quality (replication: cross-sectional, wives' answers, effect on partner)"/><s v="No direct effect present for relationship quality (replication: cross-sectional, husbands' answers, effect on themselves)"/><s v="No direct effect present for relationship quality (replication: cross-sectional, husbands' answers, effect on partner)"/><s v="No direct effect present for relationship quality (replication: longitudinal, wives' answers, effect on themselves)"/><s v="No direct effect present for relationship quality (replication: longitudinal, wives' answers, effect on partner)"/><s v="No direct effect present for relationship quality (replication: longitudinal, husbands' answers, effect on themselves)"/><s v="No direct effect present for relationship quality (replication: longitudinal, husbands' answers, effect on partner)"/><s v="Indirect effect present for financial conflict (replication: cross-sectional, wives' answers, effect on themselves)"/><s v="Indirect effect present for financial conflict (replication: cross-sectional, wives' answers, effect on partner)"/><s v="Indirect effect present for financial conflict (replication: cross-sectional, husbands' answers, effect on themselves)"/><s v="Indirect effect present for financial conflict (replication: cross-sectional, husbands' answers, effect on partner)"/><s v="Indirect effect present for financial conflict (replication: longitudinal, wives' answers, effect on themselves)"/><s v="Indirect effect present for financial conflict (replication: longitudinal, wives' answers, effect on partner)"/><s v="Indirect effect present for financial conflict (replication: longitudinal husbands' answers, effect on themselves)"/><s v="Indirect effect present for financial conflict (replication: longitudinal husbands' answers, effect on partner)"/><s v="Direct effect present for financial conflict (replication: cross-sectional, wives' answers, effect on themselves)"/><s v="Direct effect present for financial conflict (replication: cross-sectional, wives' answers, effect on partner)"/><s v="Direct effect present for financial conflict (replication: cross-sectional, husbands' answers, effect on themselves)"/><s v="Direct effect present for financial conflict (replication: cross-sectional, husbands' answers, effect on partner)"/><s v="Direct effect present for financial conflict (replication: longitudinal, wives' answers, effect on themselves)"/><s v="Direct effect present for financial conflict (replication: longitudinal, wives' answers, effect on partner)"/><s v="Direct effect present for financial conflict (replication: longitudinal, husbands' answers, effect on themselves)"/><s v="Direct effect present for financial conflict (replication: longitudinal, husbands' answers, effect on partner)"/><s v="Effect of Financial Communication on Relationship Satisfaction"/><s v="Effect of Financial Communication on Reducing Financial Disagreements"/><s v="&quot;Inducing awe led participants to present a more balanced view of their strengths and&#xA;weaknesses to others (Study 3).&quot;"/><s v="Awe leads to humility"/><s v="Maximal anaerobic fatigue significantly reduces Y-Balance Test scores in ANT"/><s v="Investigating the effects of maximal anaerobic fatigue on dynamic postural control with Y Balance test by comparing pre-fatigue and post-fatigue (0, 10, 20 min) in anterior direction"/><s v="Maximal anaerobic fatigue significantly reduces Y-Balance Test scores in PM"/><s v="Maximal anaerobic fatigue significantly reduces Y-Balance Test scores in PL"/><s v="Dynamic postural control for ANT returned to pre-fatigue level with least significant"/><s v="Dynamic postural control for PM returned to pre-fatigue level with less"/><s v="Dynamic postural control for PL returned to pre-fatigue level with most"/><s v="Intraclass correlation coefficients for the Y-Balance Test indicate good intra-session reliability for ANT"/><s v="Intraclass correlation coefficients for the Y-Balance Test indicate best intra-session reliability for PM"/><s v="Intraclass correlation coefficients for the Y-Balance Test indicate least intra-session reliability PL"/><s v="Investigating the effects of maximal anaerobic fatigue on dynamic postural control with Y Balance test by comparing pre-fatigue and post-fatigue (0, 10, 20 min) in posteromedial direction"/><s v="Investigating the effects of maximal anaerobic fatigue on dynamic postural control with Y Balance test by comparing pre-fatigue and post-fatigue (0, 10, 20 min) in posterolateral direction"/><s v="Alzheimer’s disease genetics as a moderator of the association between combat exposure and PTSD risk"/><s v="Media Choice and Types of Media Collections"/><s v="&quot;..integrated supplemental intervention for early elementary students [...] (produces) significant improvement from baseline to intervention for both reading and behavior outcomes.&quot;"/><s v="Academic and Behavior Combined Support (ABC Support)"/><s v="Early Reading Intervention"/><s v="&quot;Word reading was measured with 8 words ranging from easy to difficult presented on the tablet, one at a time. The words represented a variety of letters and letter sequences (CV, VC, CVC, VCC, VCC, CVCV, CVCC, CVCVC). The students were asked to read the "/><s v="The authors investigated whether the time to publication had an effect on publication bias."/><s v="The authors investigated whether the sample size had an effect on publication bias."/><s v="The authors investigated whether number of statistical tests had an effect on publication bias."/><s v="The authors investigated whether the type of outcome measure had an effect on publication bias."/><s v="Outcome-Reporting Bias in Special Education Intervention Research"/><s v="Overall odds ratio that significant and nonsignificant findings reported in special education dissertations would also be reported in corresponding journal publications"/><s v="interpretation of verbal moods in Spanish"/><s v=" interpretation of verbal moods in Spanish"/><s v="Table D1"/><s v="Figure D1A"/><s v="Figure D1B"/><s v="&quot;Long-term exposure to prolactin-increasing, but not to prolactin sparing, antipsychotics is significantly associated with increased odds of breast cancer.&quot;"/><s v="≥5 years of exposure to prolactin-increasing antipsychotics and the association with breast cancer"/><s v="1–4 years of exposure to prolactin-increasing antipsychotics and the association with breast cancer"/><s v="&quot;number of postextinction reactivations of an extinction learning-related vmPFC pattern (day 2)&#xA;predicts extinction memory retrieval at test (day 3).&quot;"/><s v="&quot;spontaneous post-extinction vmPFC reactivations predict extinction memory retrieval&quot; (45 MINUTES after extinction) (replication paper p. 1)"/><s v="&quot;spontaneous post-extinction vmPFC reactivations predict extinction memory retrieval&quot; (90 MINUTES after extinction) (replication paper p. 1)"/><s v="&quot;L-DOPA administration significantly enhances retrieval&quot; (replication paper p. 1)"/><s v="&quot;L-DOPA administration significantly enhances retrieval and that this is MEDIATED by enhancement of the number of vmPFC reactivations&quot; (replication paper p. 1)"/><s v="&quot;.....pharmacologically enhancing dopaminergic activity during extinction consolidation [...] improves extinction memory retrieval at test.&quot;"/><s v="&quot;Critically, L-DOPA also increases the number of vmPFC pattern reactivations, and this effect mediates the effect of L-DOPA on extinction memory retrieval. &quot;"/><s v="factors affecting psychologists’ intentions to adopt an open data badge"/><s v="Results showed the target mastery criterion required fewer sessions of tact training for 3 of 5 participants and AVCD training for both participants. "/><s v="The Operant Analysis condition requires fewer instructional trials than the Set Analysis condition."/><s v="Maintenance is similar between Operant Analysis and Set Analysis conditions."/><s v="tendency for people to consider themselves morally good while behaving selfishly (moral hypocrisy)"/><s v="positive association between loneliness and anthropomorphism"/><s v="Corollary discharge provides the sensory content of inner speech"/><s v="&quot;we find that perceived responsibility to address climate change relates to 10 different pro-environmental outcomes.&quot;"/><s v="effect of perceived responsibility to address climate change (...) on worry about chlimate change"/><s v="effect of perceived responsibility to address climate change (...) on belief climate change is caused by humans"/><s v="&quot;Within females, SUD + exhibited higher IL-8 and IL-10 but lower CRP levels than SUD-. In contrast, SUD was not associated with biomarker levels in males.&quot;"/><s v="level of C-reactive protein in femals with substance use disorder"/><s v="level of interleukin 8 in females with substance use disorder"/><s v="level of interleukin 10 in females with substance use disorder"/><s v="Immediate Reinforcement Training and Delay Discounting Behavior in Rats"/><s v="bi-factor structure of repetitive thinking with both shared variance in repetitive thinking and unique variance specific to each form of repetitive thinking, specifically worry, rumination, and reflection"/><s v="Reflection-Specific Factor"/><s v="Effects of a classroom intervention on college students’ sourcing skills"/><s v="&quot;noticing contradictions between multiple pieces of misinformation undermines credibility and decreases the effect (all relative to the effect of a single piece of misinformation).&quot;"/><s v="misinformatio aviability correlates with misinformation endorsement "/><s v="misinformatio aviability correlates with accuracy operationalisations of the misinformation effect"/><s v="&quot;we expected to see a significant effect of flanker relatedness when flankers had a true morphological relation with targets, and these effects should be significantly greater than the effects of flanker relatedness seen in the pseudo-morphological and no"/><s v="Second language fluency"/><s v="Conjugate schedules are variations of continuous reinforcement schedules where the consequent events co-vary proportionally with a specific dimension of the response. The participants apply force to a dynamometer that adjusts the clarity of visual stimuli"/><s v="Researchers showed images to the adolescents with anorexia nervosa and adolescents with major depression to make decisions on the nature of the stimulus presented. They had to indicate which emotion (happy, sad, afraid, angry, or neutral) the face express"/><s v="Researchers showed images to the adolescents with anorexia nervosa and adolescents with major depression to make decisions on the nature of the stimulus presented. They had to decide if the person depicted was male or female. The effects of the factors in"/><s v="Researchers showed images to the participants (adolescents with anorexia nervosa and adolescents with major depression) to make decisions on the nature of the stimulus presented. They had to indicate which emotion (happy, sad, afraid, angry, or neutral) t"/><s v="Researchers showed images to the participants (adolescents with anorexia nervosa and adolescents with major depression)  to make decisions on the nature of the stimulus presented. They had to indicate which emotion (happy, sad, afraid, angry, or neutral) "/><s v="Researchers showed images to the participants (adolescents with anorexia nervosa and adolescents with major depression) to make decisions on the nature of the stimulus presented. They had to decide if the person depicted was male or female. The effects of"/><s v="Superior facial emotion recognition in adolescents with anorexia nervosa"/><s v="Interaction between item type and language group on performance (semantic interpretation task)"/><s v="Evidence is provided in support of the position that third language (L3) transfer is selective, whereby, at least under certain conditions, it is driven by the typological proximity of the target L3 measured against the other previously acquired linguisti"/><s v="Effect of item type (preposed vs. postposed) on performance (semantic interpretation task)"/><s v="Effect of language group on performance (semantic interpretation task)"/><s v="Interaction between item type and language group on performance. (collocation task)"/><s v="Effect of item type (preposed vs. postposed) on performance. (collocation task)"/><s v="Effect of language group on performance (collocation task)"/><s v="This effect measures the percentage of accounting authors who admit that a portion of their own published research articles is tainted by unethical practices"/><s v="This effect measures the percentage of published research articles that accounting authors believe, based on their own perceptions, to be tainted by unethical practices,"/><s v="The effect examines whether accounting researchers attribute research malfeasance to internal motivations or external pressures"/><s v="&quot;We find that people expect more corruption to manifest among the employees of relatively more hierarchical organizations&quot;"/><s v="indirect effect of hierarchy condition through corruption perceptions, on beliefs about whether the anti-corruption petition was justified"/><s v="indirect effect of hierarchy condition through corruption perceptions, on (...) desire to sign the anti-corruption petition"/><s v="people expect more corruption to manifest among the employees of relatively more hierarchical organizations"/><s v="BASC Attention Problems assess tendencies to be easily distracted, have difficulty focusing, and struggle to complete tasks that require sustained attention. ASCA Attention Deficit Hyperactive assesses behaviors commonly associated with Attention-Deficit/"/><s v="BASC Hyperactivity focuses on excessive motor activity, restlessness, impulsivity, and difficulty remaining still. ASCA Attention Deficit Hyperactive, as noted above, covers both inattentive and hyperactive-impulsive elements, reflecting a broader ADHD-re"/><s v="BASC Withdrawal measures a child’s tendency to pull back from social interaction, show limited involvement in activities, and appear emotionally distant or introverted. ASCA Avoidant focuses on avoidance driven by fear or anxiety, such as fear of social j"/><s v="BASC Conduct Problems identifies rule-breaking, oppositional, and potentially aggressive behaviors that violate expected social norms. ASCA Delinquent emphasizes more serious antisocial acts, potentially involving illegal activity or more severe violation"/><s v="BASC Conduct Problems is a broad measure of disruptive behaviors, which can include aggression, theft, and other norm-violating actions. ASCA Oppositional Defiant zeros in on persistent defiance, hostility, and argumentative behavior directed at authority"/><s v="BASC Aggression measures harmful or hostile actions such as fighting, threatening others, or acting violently. ASCA Solitary Aggressive Provocative highlights aggressive behaviors that seem proactively harmful and unprovoked, often initiated independently"/><s v="BASC Aggression focuses on a range of hostile or violent behaviors. ASCA Solitary Aggressive Impulsive captures impulsive, spur-of-the-moment aggressive actions that occur in isolation, reflecting poor impulse control and sudden anger outbursts."/><s v="BASC Externalizing encompasses various outwardly directed problem behaviors, including aggression, hyperactivity, and oppositionality. ASCA Overactivity focuses on excessive energy, restlessness, and an inability to settle down, highlighting the high-ener"/><s v="BASC Internalizing measures inwardly focused problems, such as anxiety, depression, somatic complaints, and social withdrawal due to emotional distress. ASCA Underactivity emphasizes low energy, low drive, and a lack of engagement in activities, reflectin"/><s v="citizens judge public services not only on experienced service quality but also on an implicit comparison&#xA;of service quality with prior expectations."/><s v="Higher expectations produce more negative disconfirmation, all else being equal (Hong Kong sample)"/><s v="Higher performance leads to more positive disconfirmation, all else being equal (Hong Kong sample)"/><s v="Positive disconfirmation (performance exceeding expectations) leads to higher satisfaction (Hong Kong sample)"/><s v="Performance directly and positively influences satisfaction, separate from its effect on disconfirmation. (Hong Kong sample)"/><s v="Expectations have a direct effect on satisfaction, separate from its effect on disformation (Hong Kong sample)"/><s v="Higher expectations produce more negative disconfirmation, all else being equal (Shenhzen sample)"/><s v="Higher performance leads to more positive disconfirmation, all else being equal. (Shenhzen sample)"/><s v="Positive disconfirmation (performance exceeding expectations) leads to higher satisfaction (Shenhzen sample)"/><s v="Performance directly and positively influences satisfaction, separate from its effect on disconfirmation. (Shenhzen sample)"/><s v="Expectations have a direct effect on satisfaction, separate from its effect on disformation (Shenhzen sample)"/><s v="When the governor is on the left the relationship between the proportion of shorter length conjuncts are positively related to the absolute difference in words and characters"/><s v="When the governor is absent the relationship between the proportion of shorter length conjuncts are positively related to the absolute difference in words and characters"/><s v="When the governor is on the right the relationship between the proportion of shorter length conjuncts are negatively related to the absolute difference in words and characters"/><s v="This effect investigates whether threat bias scores change over time across treatment conditions."/><s v="the present study tested the efficacy of such attentional training in a sample of severe&#xA;worriers over an extended period of time using psychometrically validated measures of anxiety and depression."/><s v="This effect explores whether the change in threat bias over time differs between the ARTS and Sham-ARTS groups."/><s v="This effect examines whether composite symptoms improve over time across treatment conditions."/><s v="This effect looks at whether the change in composite symptoms over time differs between the ARTS and Sham-ARTS groups."/><s v="This effect examines how block type (switch vs. non-switch) affects reaction times (global switch cost condition)"/><s v="relationship between bilingualism and improved task-switching flexibility, via  reduced global switch costs (GSC)"/><s v="This effect explores whether language status (bilingual vs. monolingual) has an impact on global switch costs (global switch cost condition)"/><s v="This interaction effect investigates how block type (switch vs. non-switch) and language status interact to affect global switch costs (global switch cost condition)"/><s v="This effect examines the difference in reaction times between switch and non-switch trials within the switch block (local switch cost)"/><s v="This effect tests whether language status (bilingual vs. monolingual) influences the local switch cost  (local switch cost condition)"/><s v="This interaction effect examines whether the relationship between switch status (switch vs. non-switch trials) and local switch costs is moderated by language status (local switch cost condition)"/><s v="Mattering is the feeling that one’s actions are significant, and that one would be missed if&#xA;one were gone"/><s v="The purpose of this study is to investigate the effect of proficiency level on the acquisition order of certain grammatical morphemes for L1 Spanish learners of L2 English"/><s v="Progressive -ing. The annotation covers OCs of the progressive verb form in&#xA;main lexical verbs occurring in finite verb phrases. Present"/><s v="Plural -s. The annotation covers OCs of the regular plural number form in nouns, while irregular nominal plurals or plural number forms with other lexical categories (adjectives) were not annotated, as done in previous MOS."/><s v="Copula be. The annotation covers OCs of copula be in finite verb phrases, so imperatives and other non-finite forms were not annotated. Copulas in the&#xA;negative form were tagged because, unlike lexical verbs, the negator does not force the verb be to appea"/><s v="Auxiliary be. The annotation covers OCs of auxiliary be, specifically in progressive and passive contexts."/><s v="Article. The annotation covers OCs of (in)definite articles (a(n)/the). Given&#xA;that the ‘zero article’ was disregarded in previous MOS, it was also disregarded here for comparative purposes. The non-suppliance of an article in an (in)definite OC was tagge"/><s v="Irregular past. The annotation covers OCs of the irregular past tense form of&#xA;lexical verbs only. Similarly to the rationale with irregular plural, cases of misformation (and also oversuppliance) are those where the learner applies the regular past -ed r"/><s v="Regular past. The annotation covers OCs of the simple past tense -(e)d form&#xA;of regular lexical verbs."/><s v="Possessive. The annotation covers OCs of the genitive structure [noun’s + NP]. Cases showing absence of the apostrophe have been marked as TLU, as we understand that the morpheme has been produced and the apostrophe represents a spelling issue."/><s v="3rd person singular. The annotation covers OCs of 3rd person singular -(e)s&#xA;forms of lexical verbs only."/><s v="Input, Process, and Output Anxiety Scales"/><s v="Input Anxiety Scales"/><s v="Process Anxiety Scales"/><s v="Output Anxiety Scales"/><s v="Rumination is a form of repetitive negative thinking with a focus on negative past experiences and feelings."/><s v="Jewish responses to Copernican thought provide evidence that social and cultural factors, in combination with theological considerations, shape the reception of scientific reform."/><s v="Customer empowerment -to-select leads to higher purchase intention (t-shirts)"/><s v="Customer empowerment -to-select leads to higher purchase intention (furniture)"/><s v="Customer empowerment -to-select leads to higher purchase intention (bicycles)"/><s v="Customer empowerment-to-select leads to higher WOM (t-shirts)"/><s v="Customer empowerment-to-select leads to higher WOM (furniture)"/><s v="Customer empowerment-to-select leads to higher WOM (bicycles)"/><s v="Customer empowerment-to-select leads to higher brand attitude (t-shirts)"/><s v="Customer empowerment-to-select leads to higher brand attitude (furniture)"/><s v="Customer empowerment-to-select leads to higher brand attitude (bicycles)"/><s v="Customer empowerment -to-create leads to higher purchase intention (t-shirts)"/><s v="Customer empowerment -to-create leads to higher purchase intention (furniture)"/><s v="Customer empowerment-to-create leads to higher WOM (t-shirts)"/><s v="Customer empowerment-to-create leads to higher WOM (furniture)"/><s v="Customer empowerment-to-create leads to higher WOM (bicycles)"/><s v="Customer empowerment-to-create leads to higher brand attitude (t-shirts)"/><s v="Customer empowerment-to-create leads to higher brand attitude (furniture)"/><s v="Customer empowerment-to-create leads to higher brand attitude (bicycles)"/><s v="The effect examines whether food objects elicit faster movement initiation compared to non-food objects (replicated condition: grasp)"/><s v="Behavioral bias for food in hand movements"/><s v="The effect examines whether food objects elicit faster movement initiation compared to non-food objects (replicated condition: push)"/><s v="This effect investigates the interaction between movement type (grasp vs. ward) and response time to objects."/><s v="This effect investigates how the type of object interacts with movement type in determining response time."/><s v="This effect examines whether grasp movements differ in execution time compared to ward movements."/><s v="This effect investigates whether the type of object (food vs. other objects) influences movement initiation or reaching times. (replication condition: grasp)"/><s v="This effect investigates whether the type of object (food vs. other objects) influences movement initiation or reaching times. (replication condition: push)"/><s v="This effect explores how the combination of object type and movement direction affects movement times."/><s v="This effect investigates whether the type of object (food vs. ball) influences collection times."/><s v="This effect examines whether there is a bias in how food objects are collected compared to other objects during different movement phases."/><s v="This effect investigates the relationship between BMI with collection time advantages for food."/><s v="The effect investigates whether objects' edibility influences their positive valence ratings compared to non-edible objects (replicated condition: high-calorie food)"/><s v="The effect investigates whether objects' edibility influences their positive valence ratings compared to non-edible objects. (replicated condition: low-calorie food)"/><s v="Whether holding decision makers accountable for the decision process decreases escalating commitment, while accountability for the decision outcomes increases it."/><s v="Effect of deescalation techniques on the allocation of resources"/><s v="Effect of deescalation techniques on the allocation of resources (outcome accountability)-planned contrasts with baseline"/><s v="Effect of deescalation techniques on the allocation of resources (process accountability vs outcome accountability) "/><s v="To progress from intuitive ideas to deep conceptual understanding, students need to become aware of&#xA;gaps in their ideas. Attempting to solve problems prior to instruction may lead to a global awareness of&#xA;knowledge gaps"/><s v="effect of type of instruction on conceptual knowledge"/><s v="effect of timing of instruction on conceptual knowledge"/><s v="effect of type of instruction on procedural skills"/><s v="effect of timing of instruction on procedural skills"/><s v="interaction of timing and type of instruction on procedural skills"/><s v="interaction of timing and type of instruction on conceptual knowledge"/><s v="Examined the role of personal responsibility and consequences of decisions in escalating commitment."/><s v="Effects of personal responsibility on escalating commitment"/><s v="Effects of decision consequences on escalating commitment"/><s v="Effects of Personal Responsibility and Decision Consequences on escalating commitment (interaction)"/><s v="Nostalgia proneness (trait-level nostalgia) is associated with stronger music-evoked nostalgia"/><s v="Effects of context-level measures on music-evoked nostalgia (arousal)"/><s v="Effects of context-level measures on music-evoked nostalgia (positive emotions)"/><s v="Effects of context-level measures on music-evoked nostalgia (mixed emotions)"/><s v="Effects of person level predictors on music-evoked nostalgia (Nostalgia proneness) "/><s v="Interaction of context-level and person-level predictors on music-evoked nostalgia (nostalgia proneness x arousal)"/><s v="windfall gains are spent more easily than other types of assets"/><s v="money earned while working hard are less likely to be spent than money earned while doing an easier job"/><s v="death thought accessibility would be greater in the Mortality Salience no delay condition than in the other three conditions (MS delay, Dental Pain delay, Dental Pain no delay)"/><s v="Frontal EEG asymmetry has been proposed as an index of emotional regulation, reflecting both state and trait components, and there is evidence that these factors influence the cortisol response to stress. Here, we asked whether cold pressor stress modulat"/><s v="2 way interaction condition x time on frontal alpha asymetry"/><s v="We examine the differences between the error rates of CS major and non-major beginners, and also examine how these patterns change over time as students progress through the CS major course sequence."/><s v="most frequent static analysis errors"/><s v="Impact of student experience levels on the most frequent errors"/><s v="relationship between overall grades and all static analysis errors"/><s v="relationship between overall grades and coding flaws"/><s v="impact of code variants on code perceived readability"/><s v="impact of code variants on code comprehension"/><s v="impact of method chains on code perceived readability"/><s v="pediatric anxiety disorders are associated with implicit threat bias, manifesting as heightened attention to negative-valence stimuli and behavioral avoidance of threatening stimuli"/><s v="The effect under investigation explores the relationship between attentional threat bias (x) and negative affectivity (y), including anxiety and irritability among youth. Specifically, the study examines how greater attention allocation to negative-valenc"/><s v="Success of persuasion depends on strategy and expertise (incongruity hypothesis)"/><s v="Experiment 2 Manipulation check Certainty Conditions"/><s v="Experiment 2 Attitudes Main effect"/><s v="Experiment 2 Attitudes Certainty Conditions"/><s v="Experiment 2 Involvement Main effect"/><s v="Experiment 2 Involvement Certainty Conditions"/><s v="Relationship between predicted and actual instrumental activity (original condition: Dave) "/><s v="Relationship between predicted and actual instrumental activity (original condition: Drew) "/><s v="The study investigates patterns of emotional eating (overeating and undereating) and their association with emotional distress and disordered eating behaviors"/><s v="(Non-emotional eating)The study identified four latent patterns of negative emotional eating among Chinese young adults using Latent Class Analysis. "/><s v="(Emotional over- and under-eating)The study identified four latent patterns of negative emotional eating among Chinese young adults using Latent Class Analysis. "/><s v="(Emotional over-eating)The study identified four latent patterns of negative emotional eating among Chinese young adults using Latent Class Analysis. "/><s v="(Emotional under-eating)The study identified four latent patterns of negative emotional eating among Chinese young adults using Latent Class Analysis. "/><s v="negative emotional eating is closely related to disordered eating behaviors...In this study, we used a person-oriented approach, latent class analysis (LCA), to examine the negative emotional eating patterns and to characterize these patterns in a sample "/><s v="Parental Warmth (Child Rates Mother): Family environment (x) is associated with self-esteem development (y) during adolescence."/><s v="Parental Warmth (Child Rates Father): Family environment (x) is associated with self-esteem development (y) during adolescence."/><s v="Parental Hostility (Child Rates Mother): Family environment (x) is associated with self-esteem development (y) during adolescence."/><s v="Parental Hostility (Child Rates Father): Family environment (x) is associated with self-esteem development (y) during adolescence."/><s v="Monitoring (Child Rates Mother): Family environment (x) is associated with self-esteem development (y) during adolescence."/><s v="Monitoring (Child Rates Father): Family environment (x) is associated with self-esteem development (y) during adolescence."/><s v="Involvement in Education (Child Rates Mother): Family environment (x) is associated with self-esteem development (y) during adolescence."/><s v="Parental Relationship (Mother's Rating): Family environment (x) is associated with self-esteem development (y) during adolescence."/><s v="Depression of Mother: Family environment (x) is associated with self-esteem development (y) during adolescence."/><s v="Depression of Father: Family environment (x) is associated with self-esteem development (y) during adolescence."/><s v="Economic Hardship (Father Rates Subscale A): Family environment (x) is associated with self-esteem development (y) during adolescence."/><s v="Perceived similarity over life-span is positively correlated with life satisfaction"/><s v="Perceived Similarity (Model 1): Perceived similarity between one’s present and future self is associated with greater well-being 10 years later."/><s v="Perceived Similarity (Model 2, controlling for demographics): Perceived similarity between one’s present and future self is associated with greater well-being 10 years later."/><s v="Perceived Similarity (Model 3, controlling for demographics and baseline life satisfaction): Perceived similarity between one’s present and future self is associated with greater well-being 10 years later."/><s v="The majority of older adults have experienced microagressions and find them bothersome."/><s v="microinsults: Age-related microaggressions are common and are associated with negative emotional and behavioral responses in older adults."/><s v="microassaults: Age-related microaggressions are common and are associated with negative emotional and behavioral responses in older adults."/><s v="microinvalidations: Age-related microaggressions are common and are associated with negative emotional and behavioral responses in older adults."/><s v="An effect of eccentricity and valence on accuracy and RTs, with positive valence showing highest performance across eccentricities, measures and studies"/><s v="Plea rates were similar within and different between groupings that comprised plea offers of similarly meaningful distance from the potential trial sentence (Study 3)."/><s v="Impact of APOE-ε alleles on brain structure and cognitive function in healthy older adults"/><s v="The scale and composition of emergency demand for police services "/><s v="The effect of police killings on attitudes towards the police - Satisfaction"/><s v="The effect of police killings on attitudes towards the police - Perceptions of fairness"/><s v="The effect of police killings on attitudes towards the police - Community engagement"/><s v="police killings in other contexts play a role in shaping attitudes towards local police "/><s v="Crianza Positiva e-messaging program has incremental effect on the physical games."/><s v="Crianza Positiva e-messaging program has incremental effect on the didactive activities."/><s v="Crianza Positiva e-messaging program has incremental effect on the social activities."/><s v="parental time invesment in physical games improves intention to treat"/><s v="parental time invesment in didactic activites improves intention to treat"/><s v="parental time invesment in social activites improves intention to treat"/><s v="higher scores on positive parenting scales is correlated with intention to treat"/><s v="parental stress index is correlated with intention to treat"/><s v="main effect, parental involvement in physical games and intention to treat"/><s v="interaction effect, parental involvement in physical games and intention to treat * negative shocks "/><s v="main effect, parental involvment in didactic activities and intention to treat"/><s v="interaction effect, parental involvement in didactic activities and intention to treat * negative shocks "/><s v="main effect, parental involvment in social activities and intention to treat"/><s v="interaction effect,  parental involvment in social activities and intention to treat*negative shocks"/><s v="main effect, parental knowledge and intention to treat"/><s v="interaction effect, parental knowledge and intention to treat*negative shock"/><s v="main effect parental stress index and intention to treat"/><s v="interaction effect, parental stress index and intention to treat*negative shock"/><s v="Keeping a diary improves' students motivation for learning "/><s v="Variety and amount of interpersonal interactions improves well-being"/><s v="Our sense of anonymity depends not only on what people know about us but also on what we know about them."/><s v="H1: Participants in the information&#xA;condition will report a significantly&#xA;higher percentage chance of lie&#xA;detection by their ‘partner’ than&#xA;participants in the no information&#xA;condition.(entire sample)"/><s v="H2: Participants in the information&#xA;condition will report significantly&#xA;higher responses to how well they&#xA;believe they know their ‘partner’.&#xA;(entire sample)"/><s v="Knowledge of the ‘partner’&#xA;mediates the relationship between&#xA;the condition participants were&#xA;assigned to and their assessment&#xA;of the percentage chance that their&#xA;‘partner’ will detect their lie. (entire&#xA;sample)"/><s v="Participants in the information&#xA;condition will report a significantly&#xA;higher percentage chance of lie&#xA;detection by their ‘partner’ than&#xA;participants in the no information&#xA;condition.(manipulation check&#xA;passed only)"/><s v="H5: Participants in the information&#xA;condition will report significantly&#xA;higher responses to how well they&#xA;believe they know their ‘partner’.&#xA;(manipulation check passed only)"/><s v="H6: Knowledge of the ‘partner’&#xA;mediates the relationship between&#xA;the condition participants were&#xA;assigned to and their assessment&#xA;of the percentage chance that their&#xA;‘partner’ will detect their lie.&#xA;(manipulation check passed only)"/><s v="Difference in co-parenting quality between groups"/><s v="Step it UP! Game increases steps of adults with disabilities"/><s v="Conflict affected individuals tend to engage more in social organization and hold greater expressive values, at least 26 year after the individual’s exposure to the war."/><s v="Greater exposure to bombing leads to greater civic engagement years after the exposure "/><s v="Word length effect reflects the contribution of the articulatory rehearsal process"/><s v="Phonemic similarity effect reflects the phonological storage capacity."/><s v="Articulatory suppression effect"/><s v="effects of articulatory suppression  [...] upon the number of sequences recalled"/><s v="phonemic similarity  [...] upon the number of sequences recalled"/><s v="word length  [...]  upon the number of sequences recalled"/><s v="effect of phonemic similarity [..] recall performance"/><s v="word length  [...]  upon the recall performance"/><s v="effect of blocks [...] on percentage of items correctly recalled"/><s v="effect of word length [...] on percentage of items correctly recalled"/><s v="effect of unattended speech [...] on percentage of items correctly recalled"/><s v="effects of presentation rate [...] on total number of [...] correctly recalled times"/><s v="effects of phonemic similarity [...] on total number of [...] correctly recalled times"/><s v="effects of articulatory suppression [...] on total number of [...] correctly recalled times"/><s v="effects of phonemic similarity [...] percentage of items that were correctly recalled"/><s v="effects of articulatory suppression [...] percentage of items that were correctly recalled"/><s v="effects of recall delay [...] percentage of items that were correctly recalled"/><s v="Compared to English speakers, Tagalog speakers were rated as less competent."/><s v="A significant three-way interaction was driven by the competence ratings in low-performance scenarios, where both English and Tagalog speakers received higher competence ratings in low- versus high-prestige jobs, but the magnitude of this difference was g"/><s v="Compared to English speakers, Tagalog speakers were rated as less treated."/><s v="A significant three-way interaction was driven by the treatment preference ratings given to Tagalog speakers (rather than English speakers) in low-performance scenarios, where Tagalog speakers received higher ratings in low- versus high-prestige jobs."/><s v="Compared to English speakers, Tagalog speakers were rated as less comprehensible."/><s v="A significant three-way interaction between speaker L1, prestige, and performance level was driven by the ratings in low-performance scenarios, where both English and Tagalog speakers were evaluated as sounding more comprehensible in low- versus high-pres"/><s v="directly comparing the ERN and its psychometric properties when derived from the flankers [...] tasks as a function of increasing trial numbers."/><s v="directly comparing the ERN and its psychometric properties when derived from the [...] Stroop [..] tasks as a function of increasing trial numbers."/><s v="directly comparing the ERN and its psychometric properties when derived from the [...] go/no-go tasks as a function of increasing trial numbers."/><s v="Flanker Task"/><s v="Go/No-Go Task"/><s v="Stroop Task"/><s v="Generalized anxiety disorder and selective attention"/><s v="confirm RT on Proximity effect 1/4, 1/3, 1/2, 1/1"/><s v="Motivation on Proximity effect 2/4, 2/3, 2/2"/><s v="confirm RT on Proximity effect 2/4, 2/3, 2/2"/><s v="Motivation on Proximity effect 3/4, 3/3"/><s v="confirm RT on Proximity effect 3/4, 3/3"/><s v="Motivation on Proximity effect combined effect"/><s v="confirm RT on Proximity effect combined effect"/><s v="Motivation on Effort effect 4/4, 3/3, 2/2, 1/1"/><s v="confirm RT on Effort effect 4/4, 3/3, 2/2, 1/1"/><s v="Motivation on Effort effect 3/4, 2/3, 1/2 3.88"/><s v="confirm RT on Effort effect 3/4, 2/3, 1/2 3.88"/><s v="Motivation on Effort effect 2/4, 1/3"/><s v="confirm RT on Effort effect 2/4, 1/3"/><s v="Motivation on Effort effect combined effect"/><s v="confirm RT on Effort effect combined effect"/><s v="Frustration on Proximity effect 1/4, 1/3, 1/2, 1/1"/><s v="Frustration on Proximity effect 2/4, 2/3, 2/2"/><s v="Frustration on Proximity effect 3/4, 3/3"/><s v="Frustration on Proximity effect combined effect"/><s v="Frustration on Effort effect 4/4, 3/3, 2/2, 1/1"/><s v="Frustration on Effort effect 3/4, 2/3, 1/2 3.88"/><s v="Frustration on Effort effect 2/4, 1/3"/><s v="Frustration on Effort effect combined effect"/><s v="Surprise on Proximity effect 1/4, 1/3, 1/2, 1/1"/><s v="Surprise on Proximity effect 2/4, 2/3, 2/2"/><s v="Surprise on Proximity effect 3/4, 3/3"/><s v="Surprise on Proximity effect combined effect"/><s v="Surprise on Effort effect 4/4, 3/3, 2/2, 1/1"/><s v="Surprise on Effort effect 3/4, 2/3, 1/2 3.88"/><s v="Surprise on Effort effect 2/4, 1/3"/><s v="Surprise on Effort effect combined effect"/><s v="Motivation on Proximity effect 1/4, 1/3, 1/2, 1/1"/><s v="The study investigates the neural signature of escalating frustration in humans, focusing on how proximity to a blocked goal and expended effort influence frustration levels and neural activation patterns."/><s v="Extraversion predicts social media use."/><s v="The aggregate elasticity for the U.S. manufacturing sector is in the range of 0.5–0.7."/><s v="relation between willingness to be a donor and the chosen default."/><s v="relation between opinion if people ought to be a donor and the chosen default."/><s v="relation between the policymakers’ chosen default and the resulting inferences about their personal preferences."/><s v="the relation between the policymakers’ chosen default and participants’ inferences regarding the policymakers’ beliefs about whether people ought to be donors."/><s v="enrollment condtion vs probably think that employees ought to enroll in a retirement plan&#xA;"/><s v="enrollment condtion vs probably think that employees want to be enrolled"/><s v="enrollment condtion vs are probably enrolled themselves"/><s v="effect of the chosen default vs greater enrolment"/><s v="effect of the chosen default vs more likely enrollment"/><s v="Experiment 1 - Willing to be a donor"/><s v="Experiment 1 - Think people ought to be donors"/><s v="Experiment 2 - Policymakers willing"/><s v="Experiment 2 - Policymakers think people ought to be donors"/><s v="Experiment 3 - Enrolled"/><s v="Experiment 3 - Not Enrolled"/><s v="Thinking about God reduces reliance on human recommendations in favor of AI recommendations across various contexts"/><s v="God salience influence the preference between human expert and AI recommendations across 24 different daily tasks"/><s v="God salience influence the preference between human expert and AI recommendations about mutual fund"/><s v="God salience influence the preference between human expert and AI recommendations of songs listened"/><s v="God salience influence the preference between human expert and AI recommendations in medical decision context"/><s v="Perception of AI as &quot;black box&quot; influences the choise of investment to the mutual fund recommended by human and AI because of the similarity in mysteriousness between God and AI "/><s v="Algorithm aversion was weaker among participants reminded of God when choosing mutual funds."/><s v="God salience increases preference for AI recommendations in music selection."/><s v="The impact of God salience on AI acceptance is mediated by feelings of smallness and belief in human imperfection."/><s v="God salience weakens algorithm aversion across mysterious and non-mysterious conditions."/><s v="Modulation of emotion by cognition and cognition by emotion"/><s v="Moderated mediation of cognitive elaboration and perceived source credibility on personalness of source"/><s v="Development of holistic episodic recollection"/><s v="Linguistic signature of psychological distancing in emotion regulation"/><s v="Reappraisal success is positively correlated with linguistic distance"/><s v="Reappraisal is not correlated with positive affect words"/><s v="Reappraisal is negatively correlated with negative affect words"/><s v="Participants reported feeling less negative when writing about images in the Reappraise Negative conditionm than in Look Negative"/><s v="Participants used fewer negative affect words in the Reappraise Negative condition than in the Look Negative condition"/><s v="Participants’ writing was more distanced in the Reappraise Negative condition than in the Look Negative condition"/><s v="Participants completed more “fun” tasks than “self-control” tasks"/><s v="For the fun version of the task, participants motivated by their past self completed more trials than did participants motivated by their future self, however this logic reversed in the self-control version of the task"/><s v="Within-the-bar condition resulted in a larger and significant bias in rating"/><s v="Within-the-dot condition resulted in a non-significant bias in rating"/><s v="The model explained moderate varience"/><s v="Dot plots reduced the bias"/><s v="Graph literacy was positively correlated with bias"/><s v="The relation between graph literacy and display type was not significantly different in bar and dot conditions"/><s v="The more students endorsed a fixed theory, the less interest they expressed in the article that mismatched their interest identity"/><s v="Brief intervention to encourage empathic discipline cuts suspension rates in half among adolescents"/><s v="Stroop interference predicts a decreased model-based choice contribution"/><s v="Predictive effect of susceptibility to response conflict was limited to model-based rather than model-free choice contribution in the infrequent condition"/><s v="Rewards significantly influence the repetition of the previous choice"/><s v="Rewards and transition interaction (rare / common) significantly influence the repetition of the previous choice"/><s v="Transition interaction (rare / common) did not influence the repetition of the previous choice"/><s v="Predictive effect of susceptibility to response conflict was not limited to model-based choice in the frequent condition"/><s v="Considering a message in light of important values increases message processing and later resistance to change"/><s v="The responses before and after in the test are equal, highlighling the reliability across dilemmas"/><s v="Subjects in the CRT-First condition (inducing more reflective attributions) judged the utilitarian actions to be more acceptable"/><s v="Higher CRT scores would correlate positively with utilitarian judgments"/><s v="The relationships between the variables are not equal since the correlation coefficients are different"/><s v="The reported effects of the CRT was not the effects of performing a task of some non-specific kind"/><s v="There is an emotional-memory trade-off: general recognition is significantly influenced by the interaction of condition (sleep, wake) and scene component (object, background)"/><s v="There is an emotional-memory trade-off: general recognition is significantly influenced by the interaction of condition (sleep, wake) and valence (negative, neutral)"/><s v="There is an emotional-memory trade-off: general recognition is significantly influenced by the interaction of factors"/><s v="Sleep selectively preserved memory for the scene’s negative emotional objects"/><s v="Sleep does not preserve memory for the scene’s background regardless their valence"/><s v="Healthy out-group members are represented psychologically as infected in-group members"/><s v="The decrease of correct recall was mostly due to the increase in the number of within-group errors"/><s v="Participants primed with positive features of greed expressed more favorable attitudes toward greed "/><s v="Higher social class predicts increased unethical behavior"/><s v="In the neutral-prime condition, upper-class participants reported significantly more unethical behavior, but when priming with positive aspects of greed, lower-class articipants exhibited high levels of unethical behavior"/><s v="Participants were more accurate or correct in their responses when they received a negative test result "/><s v="Participants in the favorable LIB condition were more likely to believe that the communicatior had the same political affiliation as the target compared to participants in the unfavorable LIB condition. "/><s v="Belief that communicator would support democratic leaning social policies was bigger in the favorable LIB condition than in the unfavorable condition"/><s v="Participants who received favorable information about Peter perceived him as more likely to act helpfully"/><s v="Participants in the favorable-LIB condition were significantly more likely to believe the communicator and target shared political-group membership"/><s v="There was no significant interaction between the LIB condition and the target’s political affiliation"/><s v="Favorable Linguistic intergroup bias lead to higher believs that Peter was more likely to be helpful in the future "/><s v="Favorable Linguistic intergroup bias lead to higher believs that Peter was less likely to be rude in the future"/><s v="Being in the favorable Favorable Linguistic intergroup lead to higher believe that the communicator was a Democrat"/><s v="Participants in the favorable-LIB condition believed that the communicator was less likely to support the policy"/><s v="Participants in the favorable-LIB condition were more likely excplicitly beliving that the communicator was more from Democratics"/><s v="The target’s political affiliation (Democrat vs. Republican) did not significantly influence participants’ judgments about shared group membership"/><s v="The interaction between the LIB condition and the participant’s political affiliation was not significant"/><s v="Participants rated different types of traits (masculine vs. feminine) differently, regardless of the condition"/><s v="The difference in how masculine and feminine traits were rated marginally depended on whether participants were in the divergent-thinking or convergent-thinking condition"/><s v="In the divergent-thinking condition, participants strongly associated creativity with masculine-agentic traits"/><s v="In the convergent-thinking condition, participants still associated creativity more with masculine-agentic traits"/><s v="Masculine traits were seen as more important for creativity in the divergent-thinking condition"/><s v="There was no significant difference in how feminine traits were perceived across the divergent-thinking and convergent-thinking conditions."/><s v="Mean reaction times were faster when the target location was congruent with that indicated by the numeric cue"/><s v="Interest rates decrease as A0:2 increases - tradeoff model"/><s v="Explicitly stating zero outcomes increases patience"/><s v="Increasing the smaller sooner reward reduces patience"/><s v="For larger later rewards, increasing the smaller sooner reward increases patience"/><s v="The effect of adding amounts to rewards depends on the specific reward structure"/><s v="Responsive conditions increase global focus"/><s v="Mood does not mediate global processing effects"/><s v="Responsive conditions increase global focus when the mood was considered as a factor"/><s v="Switching reverses memory effects for attended and unattended items"/><s v="Cognitive load amplifies perceived risk"/><s v="Tempting fate increases perceived risk"/><s v="Load amplifies the effect of tempting fate"/><s v="Participants perceive paltering as more unethical compared to honest responses"/><s v="Lying by commission and paltering are perceived as equally unethical"/><s v="Lying by commission is perceived as more unethical than honesty"/><s v="Paltering and lying by commission are perceived equivalently in terms of unethicality"/><s v="Participants trust the honest buyer more than the one who paltered"/><s v="Participants trust the honest buyer more than the one who lied by commission"/><s v="Lying by commission and paltering are perceived as equally untrustworthy"/><s v="Participants are less likely to negotiate again with a buyer who paltered compared to one who answered honestly."/><s v="Pparticipants are less likely to negotiate again with a buyer who lied by commission compared to one who answered honestly"/><s v="Participants perceive lying by commission and paltering as equally undesirable for future negotiation likelihood"/><s v="The difference in wrongness ratings between the high-dosage and low-dosage versions was substantially higher for the harm transgressions"/><s v="Participants had greater sensitivity to dosage for harm-based transgressions"/><s v="High-dosage transgressions were judged to be more wrong than low-dosage transgressions"/><s v="The harm and purity transgressions were well matched for severity"/><s v="Observers are biased by the ensemble statistics of a display when representing display items in visual working memory"/><s v="Participants identified significantly fewer actions in the construal-of-choice condition compared to the control condition"/><s v="A choice mind-set increases the acceptance and maintenance of wealth inequality"/><s v="Negotiators with a weak BATNA made significantly lower first offers than those with no alternative"/><s v="Cleanliness reduces the severity of moral judgments"/><s v="Condition does not independently affect emotional ratings"/><s v="Self-promoters misjudge recipients' emotions"/><s v="Emotions differ in intensity across conditions"/><s v="Self-promoters perceived greater happiness in recipients than recipients actually reported"/><s v="Self-promoters believed recipients felt prouder of them than recipients actually did"/><s v="Despite expectations, self-promoters thought recipients felt more jealous than they actually reported"/><s v="Self-promoters failed to recognize the extent of recipients' annoyance toward their self-promotion"/><s v="Self-promoters and recipients did not differ significantly in perceptions of recipients' upset emotions"/><s v="There was no notable discrepancy between self-promoters' and recipients' perceptions of anger"/><s v="Self-promoters slightly overestimated how inferior recipients felt in comparison to them, though not significantly"/><s v="Sexual orientation (gay vs. straight) influences perceptions of American identity"/><s v="Perceived acceptance of one's country of origin (equally accepting vs. less accepting) affects perceptions of American identity"/><s v="The relationship between sexual orientation and perceptions of American identity depends on the level of acceptance associated with one's country of origin"/><s v="Dependence of state on exemplar is reduced compared to short-delay conditions, though not significantly"/><s v="Dependence of exemplar on state is significantly reduced compared to short-delay conditions"/><s v="Higher-income participants showed greater willingness to pay "/><s v="Higher income predicting a stronger effect of context on WTP"/><s v="There is an interaction between income and context"/><s v="Higher income amplifying the influence of context (resort vs. grocery store) on WTP"/><s v="Participants' choices of the target singer are influenced by the quality of the comparison set "/><s v="Participants' evaluations of the target singer persist despite changes in the comparison set"/><s v="Participants who read the neuroscience articles recommended significantly shorter prison sentences "/><s v="Participants in the expanded time horizon condition are less likely to help others compared to the control condition"/><s v="The relationship between age and likelihood of helping others differs by time horizon condition"/><s v="Participants in the unspecified (limited) time horizon condition are less likely to help others compared to the expanded condition"/><s v="Age predicts likelihood of helping others in the expanded time horizon condition"/><s v="Older individuals are more likely to help others when faced with limited time horizons, compared to younger individuals"/><s v="Participants chose to employ reappraisal on 76.3% of the low-intensity trials, but chose to employ distraction on 70.7% of the high-intensity trials"/><s v="Spectrum and Trait interation was significant"/><s v="Participants demonstrated significantly higher understanding scores in the common knowledge (CK) condition"/><s v="Participants' ratings of understanding differ significantly across conditions"/><s v="Ratings of understanding are significantly higher in the public CK condition than in the public no-CK condition"/><s v="Ratings of understanding in the public CK condition are nearly significantly higher than in the secret CK condition"/><s v="There is no significant difference in ratings of understanding between the public no-CK and secret CK conditions"/><s v="face typicality and perceived trustworthiness"/><s v="Distance from the typical face (DFT) influences attractiveness judgments."/><s v="The relationship between DFT and attractiveness judgments follows a quadratic trend"/><s v="The influence of DFT on judgments differs between trustworthiness and attractiveness"/><s v="The more distant the face from the typical face, the less trustworthy it was judged"/><s v="Trustworthiness judgments are systematically lower than attractiveness judgments"/><s v="Participants exposed to a disrespect condition reported higher levels of cynicism"/><s v="Children's developing intuitions about the truth conditions and implications of novel generics versus quantified statementsThere is a significant difference between mean prevalence level for generic wording in adults between truth condition and implied pr"/><s v="Participants recalled significantly more words on save trials than no-save trials in the eight-word condition"/><s v="Better recall on save trials and lower recall on no-save trials "/><s v="Saving File A improved recall of words from File B in the eight-word condition, suggesting a cognitive offloading effect"/><s v="No significant difference in File B recall was found when File A contained only two words, implying the effect depends on task complexity"/><s v="The interaction between trial type (save vs. no-save) and condition (eight-word vs. two-word) confirms that the impact of saving varies by word count"/><s v="Participants chose the face with higher contrast around the eye region more often"/><s v="The attended (cued) face tended to be judged to have higher contrast than the same face that was unattended to some degree"/><s v="Disclosing information about the self is intrinsically rewarding"/><s v="Males and females differ significantly in performance on the spatial-orientation test"/><s v="Performance on the spatial-orientation test differs significantly between the social and spatial conditions"/><s v="The effect of condition on spatial-orientation test performance varies significantly by sex"/><s v="Role of alternatives in the acquisition of simple and complex disjunctions in French and Japanese"/><s v="Potential racial biases in threat perception"/><s v="Participants misidentified safe words as threatening more often after Black primes than after White primes"/><s v="Participants more frequently categorized stimuli into the &quot;klein&quot; range compared to the &quot;groot&quot; range"/><s v="The perceived acceptable size range (&quot;groot zone&quot;) differs based on the prototypical size category (PROTOTYPICALLY SMALL vs. PROTOTYPICALLY BIG) of an object"/><s v="The predicted interaction between the measure of inherence bias and behavior typicality was significant"/><s v="Framing the policy differently does not significantly affect support for basic income policies"/><s v="The cue type did not have a significant main effect on the outcome variable"/><s v="Facebook use did not have a significant main effect on the outcome variable"/><s v="Side effects of behavior aimed at a different target"/><s v="Intentional Action and Side Effects in Ordinary Language"/><s v="There was a significant interaction effect between cue type and Facebook use on the outcome variable, with a noticeable difference in their combined impact"/><s v="Participants were significantly less likely to agree with claims about causal and explanatory relationships when a relationship was moderated"/><s v="Choice boosts curiosity"/><s v="occurs when an individual's exposure to a certain stimulus influences their response to a subsequent prompt, without any awareness of the connection."/><s v="Money makes people self-sufficient (primed with money donated significantly less)"/><s v="Women reported more positive attitudes toward sexual imagery for expensive goods"/><s v="Interaction between gender and price in emotional response was marginally significant"/><s v="Behavioral responses are more theta-oscillatory in memory-dependent compared to memory-independent tasks"/><s v="Judgments of trustworthiness and attractiveness are strongly predicted by interactions, with an excellent model fit.&quot;"/><s v="Stronger SLB endorsement predicts greater perceptions of anti-White bias"/><s v="The racial progress condition did not independently influence perceptions of anti-White bias"/><s v="Participants enjoyed the external activities much more than justthinking"/><s v="Cheating more when the spoils are split"/><s v="Capacity for visual features in mental rotation was significantly lower"/><s v="Accuracy was significantly lower in the object-rotation condition compared to the no-rotation condition"/><s v="Young children negatively evaluate and sanction free riders"/><s v="Transient spatial attention degrades temporal resolution"/><s v="Participants in the false-consensus condition showed slightly higher confidence than those in the no-consensus condition"/><s v="Participants in the false-consensus condition reported significantly lower confidence compared to those in the true-consensus condition"/><s v="Parents’ responsiveness to childcare subsidies and their preferences for different childcare arrangements in model 1"/><s v="Parents’ responsiveness to childcare subsidies and their preferences for different childcare arrangements in model 2"/><s v="Parents’ responsiveness to childcare subsidies and their preferences for different childcare arrangements in model 3"/><s v="Parents’ responsiveness to childcare subsidies and their preferences for different childcare arrangements in model 4"/><s v="Parents’ responsiveness to childcare subsidies and their preferences for different childcare arrangements in model 5"/><s v="Subsidies and ISEI interaction in 3rd model"/><s v="Subsidies and migration background interaction in 4th model"/><s v="Subsidies and gender interaction in 5th model"/><s v="ISEI for professional caregiver in model 2"/><s v="ISEI for professional caregiver in model 4"/><s v="ISEI for professional caregiver in model 5"/><s v="ISEI for care by family members in model 5"/><s v="Participants exposed to a legacy prime reported greater behavioral intentions compared to those not primed"/><s v="Writing an essay enhanced participants' legacy motives"/><s v="Priming legacy motives increased participants' belief scores regarding climate-change behaviors"/><s v="The effect of the legacy prime on climate-change beliefs was partially mediated by increased legacy motives"/><s v="The legacy prime's influence on behavioral intentions was partially mediated by increased legacy motives"/><s v="Congruency (e.g., consistency between stimuli and responses) influences task performance across conditions"/><s v="The influence of congruency on task performance depends on alignment"/><s v="The combined effects of alignment, congruency, and task type significantly influence performance."/><s v="Congruency affects performance specifically in the face task"/><s v="The relationship between congruency and performance varies by alignment in the face task"/><s v="Congruency significantly impacts performance in the aligned condition"/><s v="Congruency consistently affects performance across both tasks"/><s v="The interaction between congruency and alignment is significant across line task"/><s v="Congruency significantly affects performance in the aligned condition across line task"/><s v="Congruency significantly affects performance in the misaligned condition across line task"/><s v="learning and remembering heirarchical relationships"/><s v="Participants judged the man as more likely to be the pilot than the woman,"/><s v="The very same participants who criticized person X’s morality and intellect had just made judgments that were conceptually identical to person X’s Bayesian judgment"/><s v="Condition significantly interacts with the group"/><s v="Inhibitory-control deficits compromise memory suppression in posttraumatic stress disorder"/><s v="Action and inaction primes produced, respectively, higher and lower levels of cognitive output"/><s v="reading about self or third person"/><s v="Reading times were faster for passages that were written from a personal perspective for positive emotions"/><s v="There was a positive effect of perspective on reading times"/><s v="There was no effect of valence on reading times"/><s v="There was a negative effect of valence and perspective interactionon reading times"/><s v="There was a marginal positive effect of perspective on emotional self-rating"/><s v="There was a negative effect of valence on emotional self-rating"/><s v="There was an effect of valence and perspective interaction on emotional self-rating"/><s v="Teacher confidence results in stronger alignment between students and teachers"/><s v="Lack of control is a proximal mechanism that produces physical pain"/><s v="Mothers were judged as significantly less competent"/><s v="Mothers, relative to other applicants, are believed to be less suitable for hiring"/><s v="Female participants, relative to other applicants, are believed to be less suitable for hiring"/><s v="Participants in the status-threat condition supported conservative positions more than did participants in the control condition"/><s v="Returning the wallet was an indicator of moral (vs. immoral) character"/><s v="The value heuristic in judgments of relative frequency (flowers endowed)"/><s v="The value heuristic in judgments of relative frequency (birds endowed)"/><s v="Affective arousal links sound to meaning (shape condition)"/><s v="Affective arousal links sound to meaning (word condition)"/><s v="cognitive dynamics of negated sentence verification (interaction between negation and x-flips)"/><s v="cognitive dynamics of negated sentence verification (negation and truth)"/><s v="cognitive dynamics of negated sentence verification (negation and acceleration ⁄ deceleration events)"/><s v="cognitive dynamics of negated sentence verification (negation and veracity)"/><s v="Model-based influences on humans' choices and striatal prediction errors"/><s v="Neural correlates of mirror invariance in the visual word form area"/><s v="Cognitive vs. emotive factives"/><s v="Reconciling novelty and complexity through a rational analysis of curiosity"/><s v="Ambivalence gives pause to the powerful"/><s v="Syntax-induced pattern deafness"/><s v="Seeing one's own capability for wrongdoing predicts forgiveness"/><s v="moral roots of environmental attitudes"/><s v="moral roots of environmental attitudes (neutral condition)"/><s v="information quantities moderate decision makers' preference for consistent and inconsistent information"/><s v="Self-perceived expertise predicts claims of impossible knowledge"/><s v="Underestimating calorie content when healthy foods are present: an averaging effect or a reference-dependent anchoring effect (reference food on calorie estimates)"/><s v="Underestimating calorie content when healthy foods are present: an averaging effect or a reference-dependent anchoring effect"/><s v="a cognitive bias that describes the common human tendency to rely too heavily on the first piece of information offered (the “anchor”) when making decisions."/><s v="Individual-vs. population-level probabilistic modeling of reasoning in reference games (simple versus complex implicature situations)"/><s v="Individual-vs. population-level probabilistic modeling of reasoning in reference games (in complex implicature situations versus on ambiguous filler trials)"/><s v="Metamers of the ventral stream"/><s v="tiger mothers motivate Asian Americans but not European Americans"/><s v="Capability and inferences about commitment in labor markets"/><s v="Perceiving economic inequality in everyday life decreases tolerance to inequality (PEIEL condition)"/><s v="Perceiving economic inequality in everyday life decreases tolerance to inequality(control condition)"/><s v="Rational integration of noisy evidence and prior semantic expectations in sentence interpretation"/><s v="Schema induction and analogical transfer"/><s v="consequences of dehumanizing Black children"/><s v="Are older adults more willing to donate?"/><s v="Seeking confirmation is rational for deterministic hypotheses"/><s v="Mind perception"/><s v="generalized reciprocity and the limits of generosity"/><s v="Opportunity cost neglect attenuates the effect of choices on preferences"/><s v="Cognitive load selectively interferes with utilitarian moral judgment"/><s v="Optimal predictions in everyday cognition"/><s v="children’s fixed and growth intelligence mind-sets and parents' view of failure"/><s v="statistical shape of geometric reasoning"/><s v="Objecting to experiments even while approving of the policies or treatments they compare"/><s v="effects of an implemental mind-set on attitude strength"/><s v="texture representations in the human visual system"/><s v="Highlighting lower-SES students' background-specific strengths reinforces their academic persistence"/><s v="People prefer scientific explanations that contain logically irrelevant reductive information"/><s v="effect of taking a memory test on older adults’ subjective age"/><s v="preferences for and the efficacy of within-and cross-category substitutes for food"/><s v="College choice as a collective decision"/><s v="How the perception that profile text was written by AI affects trustworthiness (Control)"/><s v="How the perception that profile text was written by AI affects trustworthiness (Unlabeled)"/><s v="How the perception that profile text was written by AI affects trustworthiness (Labeled)"/><s v="How the perception that profile text was written by AI affects trustworthiness (Primed)"/><s v="shape bias: Evidence from the Tsimane’"/><s v="Aptness and conventionality in metaphor comprehension"/><s v="Disliking hypocrites (theory of false signaling)"/><s v="Promoting self-change over self-protection motives in response to negative feedback using high-level construal and perceptions and changeability"/><s v="A founding penalty: evidence from an audit study on gender, entrepreneurship, and future employment"/><s v="Limits on theory of mind use in adults"/><s v="Deviance or uniqueness, harmony or conformity?"/><s v="working memory Stroop effect"/><s v="Conveying and detecting hierarchical rank through voice"/><s v="Canonical visual size for real-world objects (effect of the size rank of the object on the drawn size of the object)"/><s v="Canonical visual size for real-world objects (effect of paper size on drawn size)"/><s v="Canonical visual size for real-world objects (interaction between the paper size and the effect of the object size)"/><s v="Teleological generics"/><s v="link between self-dehumanization and immoral behavior"/><s v="Susceptibility to others’ beliefs in human infants and adults"/><s v="Monty Hall problem: discovering psychological mechanisms for solving a tenacious brain teaser"/><s v="curse of knowledge (red container versus ignorance condition)"/><s v="curse of knowledge (blue container versus ignorance condition)"/><s v="Reminders of god can increase nonmoral risk taking"/><s v="effects of system threat on attraction to women who embody benevolent sexist ideals"/><s v="The logic of universalization guides moral judgment"/><s v="Time metrics matter, connecting present and future selves"/><s v="Controlling for participants’ viewing distance in large-scale, psychophysical online experiments using a virtual chinrest"/><s v="bidirectional link between visual perspective and action identification level"/><s v="Inferring whether officials are corruptible from looking at their faces"/><s v="Object persistence enhances spatial navigation"/><s v="impact of race and interpersonal dominance on perceptions of female leaders"/><s v="Race-based biases in deception judgments"/><s v="curse of knowledge"/><s v="A familiar-size Stroop effect in the absence of basic-level recognition"/><s v="Challenging moral attitudes with moral messages"/><s v="Realistic threat explains negativity toward Asian Americans"/><s v="Poverty impedes cognitive function"/><s v="Learning via active and passive hypothesis testing"/><s v="Sense of belonging and bias in web interfaces (Enrollment Intentions)"/><s v="Sense of belonging and bias in web interfaces (Ambient Belonging)"/><s v="Sense of belonging and bias in web interfaces (Anticipated Success)"/><s v="Sense of belonging and bias in web interfaces (Self Confidence)"/><s v="Sense of belonging and bias in web interfaces (Future CS Study Intentions)"/><s v="Sense of belonging and bias in web interfaces (Gender-related Anxiety)"/><s v="Measuring receptiveness to opposing views"/><s v="transposed-word effect in grammaticality judgments"/><s v="resenting those who do the right thing"/><s v="repetition blindness for nonwords"/><s v="If expected earnings are high, subjects work longer and earn more money than if expectations are low"/><s v="The accumulated monetary earnings in an experimental card game."/><s v="Individuals often retain authority even when its delegation is in their material interest—suggesting that authority has nonpecuniary consequences for utility."/><s v="It is the tendency to avoid transferring decision-making power to others."/><s v="Capacity to respond rapidly stabilizes cooperation and destabilizes defection in the prisoner’s dilemma."/><s v="Level of cooperation in the prisoner's dilemma comparing the outcome of two treatment groups &quot;Continuous treatment&quot; and &quot;Grid-8 treatment&quot;. "/><s v="Subjects cooperate more when game has cooperative equilibria - and benefit from being lenient and forgiving to some extent"/><s v="The researchers investigate the cost-benefit ratio (b/c) on cooperation levels in repeated interactions."/><s v="If firms can ex ante commit to a wage schedule with deferred compensation, workers should respond by supplying sufficient effort to avoid dismissal."/><s v="Is the ability to pay future deferred compensation when commitment is enforced (fct) compared to non-enforcement (nct)."/><s v="mild positive affect significantly reduces time preference over money"/><s v="It investigates if a positive affect impacts time preference, where time preference denotes a preference for present over future utility."/><s v="An organ allocation policy giving priority on waiting lists to those who previously registered as donors has a significant positive impact on registration."/><s v="They investigated the decision to register as an organ donor and how changes in the management of organ waiting lists might impact donations (comparison of the fraction of donors choosing to be a donor between the priority condition treatment and the cont"/><s v="High mispricing occurs with a declining fundamental value, while overvaluation emerges when coupled with an increasing C/A ratio."/><s v="They investigated how the effect of a declining fundamental value (FV) increases mispricing in experimental asset markets (a com-parison of the mean relative absolute deviation (RAD) between treatment 1 (t1) and treatment 2(t2))."/><s v="Assess whether markets guide behavior towards more or less efficient equilibria"/><s v="Last-place aversion suggests that low-income individuals might oppose redistribution because it could differentially help the group just beneath them."/><s v="Investigation of how positioning in second-to-last place endowments affect the probability to allocate money to the person one rank below them in a choice of distributing $2."/><s v="The effects of a costly punishment option on cooperation and social welfare in long, finitely repeated public good contribution games depends on whether monitoring is perfect or imperfect"/><s v="Is the effect of regular punishment under conditions of imperfect public monitoring (noise) on net earnings in a sequential goods game."/><s v="Screening for work attitude and labor market competition are causal determinants of the viability of high-performance work systems"/><s v="This is how providing employers with information about employees’ past performance influences the wages employers offer, the efforts of employees, and the financial outcomes for both."/><s v="Whether communication achieves beneficial social outcomes in a hidden-information context depends crucially on whether low-talent agents can participate in a Pareto-improving outcome."/><s v="The experimenters introduced a group where communication between players in a game was allowed ."/><s v="Groups with a salient ingroup identity can develop ingroup coordination to reach the efficient high-effort equilibrium."/><s v="Assessing how much the combined effort under the Ingroup treatment differs from the combined effort under the Outgroup treatment"/><s v="Arbitrators are usually chosen with a veto-rank method, yet this paper shows that an alternative shortlisting mechanism yields superior outcomes"/><s v="&quot;In the veto-rank mechanism (VR), two parties receive a list of n (an odd number) potential arbitrators. Each party independently vetoes or removes (n-1)/2 names from the list, and ranks the remaining (n + 1)/2 candidates&quot;. shortlisting is proposed as a m"/><s v="avoidance of gift exchange equilibria in favor of the monetary equilibrium."/><s v="Is the ability of the economy to maximize welfare by facilitating trade and coordination among agents."/><s v="Liability enables efficiency for credence goods, while verifiability has little effect"/><s v="The objective is to evaluate the impact of liability on efficiency in a credence goods market when verifiability is present, comparing the efficiency outcomes between two scenarios: one where both liability and verifiability exist (B/LV treatment) and one"/><s v="reference points are influenced by expectations"/><s v="&quot;Our second experiment measures the effect of expectations on subjects’ monetary valuation of an item. Subjects are not initially endowed with any item but learn that they will receive a mug for free with either high (80%) or low(10%) probability. All sub"/><s v="Incidental Haptic Sensations Influence Social Judgments and Decisions"/><s v="Retrieval practice produces more learning than elaborative studying with concept mapping"/><s v="Reading literary fiction improves theory of mind"/><s v="postdecisional dissonance"/><s v="imagined consumption reduces actual consumption"/><s v="Inequality and visibility of wealth in experimental social networks"/><s v="testing improves memory"/><s v="Writing about testing worries boosts exam performance in the classroom"/><s v="Spontaneous giving and calculated greed"/><s v="scarcity changes how people allocate attention"/><s v="Body cues, not facial expressions, discriminate between intense positive and negative emotions"/><s v="Google effects on memory: cognitive consequences of having information at our fingertips"/><s v="participants typically do not enjoy spending 6 to 15 minutes in a room by themselves with nothing to do but think"/><s v="Affirmative action policies promote women and do not harm effciency"/><s v="infuence of group size on cultural complexity"/><s v="episodic memory decisions induce lingering mnemonic biases"/><s v="Analytic thinking promotes religious disbelief"/><s v="Avoiding overhead aversion in charity"/><s v="Intergenerational Goods Game"/><s v="costly punishment in ecological systems is used but lacks a gross positive effect on resource harvesting unless combined with communication"/><s v="cleanliness priming effect (scrambled…"/><s v="people tend to perceive themselves as above average when considering easy abilities; using a mouse"/><s v="driving"/><s v="riding a bicycle"/><s v="saving money"/><s v="telling jokes"/><s v="playing chess"/><s v="Juggling"/><s v="Programming"/><s v="self-control relies on glucose as a limited energy source"/><s v="This study explored metabolic mechanisms of future (delay) discounting, a choice phenomenon where people value present goods over future goods. Using fluctuating blood glucose as an index of body-energy budget, optimal discounting should regulate choice a"/><s v="Glucose drinks fail to counteract ego depletion"/><s v="Participants with no emotional control"/><s v="Participants with decrease emotional control"/><s v="Participants with increase emotional control"/><s v="Self regulation is associated with logical reasoning and other information processing"/><s v="This study investigates how performing tasks requiring executive control depletes the capacity for subsequent tasks that also require self-control."/><s v="Controlling the focus of visual attention undermines performance on subsequent tests of working memory span, reverse digit span, and response inhibition."/><s v="manipulation check to determine whether subjects in the control condition attempted to regulate their emotions"/><s v="Behavioral measures"/><s v="manipulation check to determine whether subjects in the suppression condition attempted to regulate their emotions"/><s v="Mediation of Stroop Interference"/><s v="Error-related negativity (ERN)"/><s v="The replication tested whether the range of response categories influences reported TV watching behavior and its perceived importance. Participants in the high-category range reported significantly higher TV consumption (M = 4.87, SD = 1.12) compared to t"/><s v="Whether the activation or priming of an elderly stereotype affects participants' walking speed."/><s v="The replication tested implicit biases using the IAT and compared them with explicit attitudes. It found robust effects consistent with the original: race bias (d = 0.71) and gender-science stereotypes (d = 0.72)."/><s v="gender stereotypes and attitudes and identification with mathematics"/><s v="the larger the secret, the steeper a hill seemed"/><s v="the larger the secret, the steeper a hill seemed (replication sample 1)"/><s v="embodiment of secrets effect"/><s v="the larger the secret, the steeper a hill seemed (replication sample 2)"/><s v="The replication tested framing effects on risk preferences. It confirmed the original finding: participants were risk-averse in the gain frame (e.g., Program A: 200 lives saved) and risk-seeking in the loss frame (e.g., Program B: 400 lives lost)."/><s v="the bigger the secret, distances to seem farther away"/><s v="Results showed no significant retrospective gambler’s fallacy effect, as the data violated the normality assumption. Effect size: d = 0.02, p = .27."/><s v="honesty priming"/><s v="Participants who were exposed to honesty-related words admitted to having engaged in more excessive alcohol consumption behaviors than did participants who were exposed to neutral words."/><s v="Participants who were exposed to honesty-related words are more honest in the BIDR than participants who were exposed to neutral words. (SDE subscale)"/><s v="Participants who were exposed to honesty-related words are more honest in the BIDR than participants who were exposed to neutral words. (IM subscale)"/><s v="Macbeth effect ([im]moral act…"/><s v="anchoring effect: high anchors led to significantly higher numerical estimates"/><s v="anchoring - mt. everest"/><s v="anchoring - chicago"/><s v="anchoring - distance to nyc"/><s v="anchoring - babies born"/><s v="threat to one’s moral purity induces the need to cleanse oneself."/><s v="Macbeth effect ([im]moral act text…"/><s v="Macbeth effect: Threat to one’s moral purity induces the need to cleanse oneself."/><s v="Macbeth effect: Recalling unethical behavior followed by actual physical cleansing leads to a reduction in moral emotion."/><s v="Macbeth effect: physical cleansing as a psychological machanism for compensating guilty"/><s v="Effort to avoid or use racial information in a weapon identification task was hypothesized to modulate the emission of 1/f noise, with less negative PSD slopes (indicating reduced 1/f noise) expected under increased effort conditions."/><s v="Effort causally affects the emission of 1/f noise."/><s v="Effort to use or avoid racial information in a weapon identification task is hypothesized to reduce the emission of 1/f noise, with less negative PSD slopes expected under increased effort conditions"/><s v="power posing effect: power posing (physical postures that express power and dominance) affects levels of hormones such as testosterone and cortisol, financial risk taking, and self-reported feelings of power"/><s v="Participants’ ability to correctly predict the location of erotic pictures"/><s v="Precognitive detection of erotic stimuli: Future events influence current cognition and affect (retroactive influence)."/><s v="Participants’ ability to correctly predict the location of non-erotic pictures"/><s v="Literary fiction leads to (temporarily) better performance on tests of affective ToM (Theory of Mind) and cognitive ToM compared with reading nonfiction, popular fiction nothing at all."/><s v="Reading literature can led to better performance on tests of affective theory of mind and and cognitive theory of mind"/><s v="Replicated the effect of clipboard weight on perceived importance. No significant differences were observed (p = .54)."/><s v="Replicated the original study testing if communal traits affect temperature perception. The replication failed to detect the effect."/><s v="Reading segments of literary fiction (but not popular fiction or nonfiction) immediately and significantly improves performance on reading the mind in the eyes test, which is an theory-of-mind test."/><s v="The replication tested the impact of need for cognition on message evaluation, showing that individuals high in need for cognition evaluate strong arguments more favorably and are less influenced by weak arguments compared to those low in need for cogniti"/><s v="Thinking about time as money reduces enjoyment and increases impatience during leisure activities; financial compensation moderates these effects."/><s v="we investigate how the impatience that results from placing a price on time impairs individuals' ability to derive happiness from pleasurable experiences."/><s v="The replication tested whether people feel closer to positive past experiences and farther from negative ones, with high self-esteem individuals showing stronger distancing effects for negative outcomes."/><s v="The study investigates how physical warmth (e.g., holding a warm object) increases the need for emotional warmth, such as seeking social connection."/><s v="feelings of social warmth or coldness can be induced by experiences of physical warmth or coldness, and vice versa. Here we show that people tend to self-regulate their feelings of social warmth through applications of physical warmth, apparently without "/><s v="The replication tested whether naming ink colors is slower when the ink spells incongruent color words, demonstrating the cognitive interference effect caused by automatic reading processes."/><s v="The replication tested whether using spatial metaphors to describe time affects reasoning about temporal sequences. For example, participants exposed to spatial frames of reference (e.g., “ahead,” “behind”) processed temporal questions differently, suppor"/><s v="The replication tested whether individuals overestimate the frequency or likelihood of events that are more easily retrievable from memory, demonstrating the availability heuristic. For example, participants judged more frequent exposure to names of famou"/><s v="The replication tested whether individuals primed with high power are less likely to consider others' perspectives during communication tasks compared to individuals primed with low power."/><s v="Attachment anxiety positively predicts sensitivity to temperature cues in first study"/><s v="warm-temperature desirability ratings  the Reflection Condition × Attachment Anxiety interaction was significant"/><s v="attachment anxiety and desirability ratings of warm-temperature refreshments were positively related in the romantic-breakup condition"/><s v="attachment anxiety and desirability ratings of warm-temperature refreshments were unrelated in the ordinary-event condition"/><s v="Attachment anxiety positively predicts sensitivity to temperature cues in second study"/><s v="The replication tested whether money priming increases system justification. It did not replicate: d = -0.02, p = .43, indicating differences from the original study."/><s v="The replication tested whether imagining positive contact with an outgroup increases intentions to engage in future intergroup contact. It found a small but statistically significant effect: d = .13, p &lt; .001​ML.web.Supplement (1)"/><s v="Attachment anxiety positively predicts sensitivity to temperature cues in corrected study"/><s v="The replication tested whether instructional manipulation checks (IMCs) reduce noise and improve data reliability. The effect was confirmed with key statistical results: e.g., F(1, 113) = 3.55, p = .06 for data reliability among participants passing the I"/><s v="cleanliness priming effect"/><s v="People who are faced with a goal conflict are (1) more likely to spend time on work and (2) less likely to spend time on leisure."/><s v="People who are faced with a goal conflict increase the time spent on the book-browsing task when it is framed as work"/><s v="People who are faced with a goal conflict goal decrease the time spent on the book-browsing task when it is framed as leisure"/><s v="Interdependent consumers consistently make choices that balance self and others’ preferences, regardless of group size. In contrast, the choices of independent consumers differ depending on group size: for smaller groups, independents make choices that ba"/><s v="Independent consumers who choose on behalf of large groups tend to choose more selfishly"/><s v="Consumers with “low self-concept clarity” should be more motivated to keep their identities stable by retaining products that are relevant to their identities"/><s v="Participants with low self-concept clarity were more likely to retain the identity-relevant subscription"/><s v="Consumers with “low self-concept clarity” should be more motivated to keep their identities stable by choosing not to acquire new products that are relevant to their identities"/><s v="In that study, participants were induced to feel curious or not and then were asked to (hypothetically) choose between two gym memberships, one for a “normal” gym and one for an “indulgent” gym (on a 9-point scale). The authors reported that those induced"/><s v="Participants who are induced to feel curious are more likely to choose the indulgent gym over the normal gym"/><s v="Presenting multiple product replicates as a group (vs. presenting a single item) increases product efficacy perceptions"/><s v="Multiple products influenced participants belief of Dettol effectivity"/><s v="effect of red on attractiveness perceptions"/><s v="color not only has aesthetic value but can carry meaning&#xA;and impact psychological functioning in subtle, important, and provocative ways"/><s v="effect of red on sexual attraction"/><s v="effect of red on overall likability judgements"/><s v="main effect of condition on the applicability of the insanity defense"/><s v="to test whether genetic ascriptions affect people’s judgments&#xA;because they expect perpetrators to have stronger impulses&#xA;toward violence or have less control of their impulses."/><s v="main effect of condition for the diminished capacity defense"/><s v="main effect of condition on the intoxication defense"/><s v="main effect of condition on the sentencing"/><s v="significant effect of condition on perceived conscious control"/><s v="effect of condition on perceived recidivism "/><s v="effect of condition on perceived intention to kill"/><s v="effect of condition on criminal responsibility"/><s v="effect of condition on causal locus"/><s v="effect of condition on causal stability"/><s v="effect of condition on causal specificity"/><s v="effect of condition on causal control"/><s v="effect of condition on causal malleability"/><s v="The magnitude of adjustment-based anchoring is moderated by the need for cognition with low NFC leading to less adjustment from self-generated anchors"/><s v="High Need for Cognition (NFC) individuals adjust more from self-generated anchors."/><s v="Subliminally presented anchor values influence probability estimates under time pressure"/><s v="In a series of studies, we demonstrate that (i) individuals possess ecology-driven stereotypes; (ii) these stereotypes are not derivative of race stereotypes; and (iii) the application of race stereotypes to targets is greatly diminished when more immedia"/><s v="This effect investigates how ecological conditions (e.g., harsh vs. resource-rich environments) shape behavior, leading to ecology-driven stereotypes, often linked to race."/><s v="People do not fully appreciate this immediacy of judgment, in-stead assuming that they and others will consider more infor- mation before forming conclusions than they and others actually do. This discrepancy in perceived versus actual information use rev"/><s v="The effect being investigated is the discrepancy between the expected and actual number of paintings participants believe they need to see in order to form a verdict on whether they like or dislike a painting style."/><s v="In both experiments, we find that participants are more likely to engage in uncalculating cooperation when their decision-making process is observable to others. Furthermore, we confirm that people who engage in un-calculating cooperation are perceived as"/><s v="The effect being investigated is how observability of decision-making influences uncalculating cooperation when reputation is at stake."/><s v="Seven experiments explore people’s decisions to withhold or disclose personal information—and the wisdom of such decisions. Declining a request to disclose often makes a worse impression even than divulging unsavory personal information. Moreover, those w"/><s v="The effect being invesigated is whether deliberate non-disclosure is judged more negatively than inadvertent non-disclosure, influencing interpersonal preferences (e.g., dating interest)."/><s v="Relative to traditional, offline forms of communication, there is an enhanced permanence to digital sharing. Digital disclosures can come back to haunt, making it challenging for people to manage the impressions they make upon others. Nine studies show th"/><s v="The effect being investigated is whether temporary sharing of selfies reduces privacy concerns, leading to increased disinhibition in disclosures"/><s v="The present work examines beliefs associated with racial bias in pain management, a critical health care domain with well-docu-mented racial disparities. Specifically, this work reveals that a substantial number of white laypeople and medical students and"/><s v="The effect being investigated is whether racial bias in pain perception among non-medically trained white individuals is influenced by false beliefs about biological differences between Black and White people."/><s v="These findings highlight the interdependence between disputants and third parties, thereby complementing existing models that solely focus on unidirectional influence of third parties on disputants. These findings underscore the role self-interest plays i"/><s v="The effect being investigated is whether recalling and describing a past experience of intervening in a conflict vs not intervening affects individuals' perceptions of the benefits of intervening in future conflicts."/><s v="belief exchange in structured bipartisan networks can significantly improve the ability of both conservatives and liberals to interpret climate data, eliminating belief polarization. We also find that social learning can be reduced, and polarization maint"/><s v="The effect of partisan priming on reducing trend accuracy in predicting climate trends within networks."/><s v="The dissemination of scientific findings to the wider public is increasingly important to public opinion and policy. We show that this process is influenced by the facial appearance of the scientist. We identify the traits that engender interest in a scie"/><s v="The effect being investigated is whether participants are more likely to select articles when they are paired with photographs of researchers perceived as highly competent."/><s v="In six studies, we tested whether believing in free will is related to the correspondence bias—that is, people’s automatic tendency to overestimate the influence of internal as compared to external factors when interpreting others’ behavior. Overall, we d"/><s v="The effect being investigated is the impact of reducing belief in free will on the correspondence bias."/><s v="We test a new, multilevel perspective on the relationship between income and generosity that in-corporates economic inequality. In a nationally representative survey study and an experiment, we find that higher-income individuals are only less generous if"/><s v="The effect being investigated is whether high economic inequality reduces the generosity of high-income individuals compared to low-income individuals."/><s v="Dominant, open nonverbal displays are attractive at zero-acquaintance"/><s v="Postural expansiveness is associated with increased romantic dominance"/><s v="in a series of experiments, we show that those to whom resources are allocated often care less about fairness than those who allocate the resources expect them to. This “allocator’s illusion” results from the fact that fairness seems more important before"/><s v="The effect being investigated is whether participants predict that they would feel less bad about not receiving the bonus under a fair procedure compared to an unfair procedure"/><s v="We demonstrate here that the mere subjective experience of being lower in SES relative to others is alone sufficient to causally elicit behaviors that may risk obesity (e.g., preference, selection, and intake of greater calories), independent of actual ec"/><s v="The effect being investigated is whether participants in the low SSES condition exhibit stronger implicit preferences for calorie-dense foods compared to fruits/vegetables relative to those in the high SSES condition."/><s v="This study tests for the effect of thank-you gifts during a nonprofit’s direct-mail fund-raising campaign and finds that gifts reduced donation rates in this campaign. A complementary online experiment confirms that thank-you gifts can reduce donation rat"/><s v="The effect examines how the visibility of a gift card (extrinsic incentive) shifts attention away from intrinsic motivation (e.g., altruism) and leads to reduced donation rates"/><s v="Across two studies, we demonstrate that cognitive strategies decrease craving for unhealthy foods, increase craving for healthy foods, and modulate subjective valuation. Importantly, across four additional studies we show that brief training in such cogni"/><s v="The effect evaluates whether the ROC-T training leads to an increase in healthy food choices despite the availability of unhealthy tempting options"/><s v="We found that conservatives’ proenvironmental attitudes and be-haviors improved consistently and drastically when we presented messages that compared the environment today with that of the past. This research shows how ideological differences can arise fr"/><s v="The effect examines how presenting climate change appeals as past-focused comparisons (rather than future-focused) can increase pro-environmental attitudes and behaviors among conservatives"/><s v="Across eight studies combining archival and experimental methods, we report evidence for a gender bias in how people speak about professionals. Men and women were, on average across studies, more than twice as likely to describe a male (vs. female) profes"/><s v="The effect being investigated here is the influence of gender bias in how professionals are referred to (surname vs. full name) on perceptions of status, eminence, and allocation of resources or rewards (e.g., award money)"/><s v="This paper examines how detecting harmful intent creates downstream consequences for assessing damage, magnifying its cost. If intentional harms seem worse, society may spend more money on them than on objectively more damaging unintentional harms or on n"/><s v="The effect examines whether participants who read about an intentional act (mixing up medications intentionally) are more likely to choose a task involving blame compared to those who read about an unintentional act (mixing up medications unintentionally)"/><s v="conservatives are not only more likely to use stereotypes than are liberals, but are especially likely to negatively evaluate counterstereotypical people to organize the social world with greater certainty."/><s v="Conservatives negatively evaluate counterstereotypical people to maintain a sense of certainty"/><s v="People often make decisions with consequences that unfold over time. When facing such intertemporal choices, people use differ-ent search strategies. We examine how these search strategies differ and how they relate to patience in intertemporal choice."/><s v="The effect under investigation is how comparative searchers make more patient choices (i.e., choose a larger monetary reward which is delivered later) than integrative searchers"/><s v="Across five experiments, we show that dehumanization—the act of perceiving victims as not completely human—increases instrumen-tal, but not moral, violence."/><s v="The effect being investigated is whether people are more willing to harm a stranger described in dehumanised terms rather than humanised terms when the motives are instrumental."/><s v="Two aims of behavioral science, often pursued separately, are to model the evolutionary dynamics and cognitive mechanisms governing behavior in social conflicts. Combining these approaches, we show that the dynamics of proximate mechanisms such as reward "/><s v="The effect being investigated is that in repeated games against rigid opponents, thieves exhibit flexible stealing behavior, while victims display rigid punishment behavior."/><s v="Exposure to rising inequality shapes Americans’ opportunity beliefs and policy support...perceptions of rising economic inequality spark skepticism about the existence of economic opportunity in society that, in turn, may motivate support for equity-enhan"/><s v="The effect being investigated is the effect of inequality exposure on attributing success to structural factors compared to individual factors"/><s v="The present research documents the widespread misperception of race-based economic equality in the United States. Across four studies (n = 1,377) sampling White and Black Americans from the top and bottom of the national income distribution, participants "/><s v="The effect being investigated is the impact of inducing consideration of the persistence of racial discrimination on the overestimation of racial economic equality"/><s v="as compared with people who en-gaged in ethical behavior and those who engaged in positive or negative actions, people who acted unethically are the least likely to remember the details of their actions. That is, people experi-ence unethical amnesia: unet"/><s v="The effect being investigated is how prior cheating in a die-throwing game influences increased dishonesty in a subsequent Boggle game, after a three-day delay"/><s v="Facial redness increases perceived anger"/><s v="the cleanliness and neutral conditions revealed non-significant difference"/><s v="Cleanliness condition in the low response effort group significantly influenced the moral judgements averaged across all vignettes"/><s v="Cleanliness condition in the low response effort group significantly influenced the moral judgements in the &quot;Dog&quot; vignettes"/><s v="Cleanliness condition in the low response effort group did not achienve significant influence on the moral judgements in the &quot;Kitten&quot; vignettes"/><s v="Cleanliness condition in the low response effort group did not achienve significant influence on the moral judgements in the &quot;Plane&quot; vignettes"/><s v="Cleanliness condition in the low response effort group did not achienve significant influence on the moral judgements in the &quot;Resume&quot; vignettes"/><s v="Cleanliness condition in the low response effort group did not achienve significant influence on the moral judgements in the &quot;Trolley&quot; vignettes"/><s v="Cleanliness condition in the low response effort group did not achienve significant influence on the moral judgements in the &quot;Walley&quot; vignettes"/><s v="public goods are substitutes and merit goods are complements to private goods consumption"/><s v="Per capita household consumption (private consumption) together with public and merit goods, aggregate consumption in this economy"/><s v="Justified per capita household consumption (private consumption) together with public and merit goods, aggregate consumption in this economy"/><s v="Working age population share influence the consumption"/><s v="Public goods substitute private consumption"/><s v="Public order and defence government (public goods) substitute private consumption"/><s v="Public goods substitute private consumption in the past periods"/><s v="Public order and defence government (public goods) substitute private consumption in past periods"/><s v="Hansen J-test supports the notion of plausible restrictions in GMM."/><s v="Merit goods complement private consumption"/><s v="Education and health government (merit goods) complement private consumption"/><s v="Merit goods complement private consumption in the past periods"/><s v="Education and health government (merit goods) complement private consumption in past periods"/><s v="After tax real interest rate influence the consumption"/><s v="After tax real interest rate  influence the consumption"/><s v="Disposable income captures some transient income eHect but is not sustained enough to provide a convincing alternative to the permanent income mode"/><s v="Disposable income captures some transient income eHect but is not sustained enough to provide a convincing alternative to the permanent income mode in past periods"/><s v="Estimating the unemployment cost of having the average inflation rate below the targeted level requires estimating the long run Philips curve. Following Svensson (2015), the long run Phillips curve is estimated by taking the unconditional mean of the shor"/><s v=" Dictator games have been used extensively to study social preferences and framing effects of giving vs. taking."/><s v="Gender differences in the giving and taking variants of the dictator game can occur"/><s v="Women from countries with traditionally higher rates of female labor force participation (FLFP) are more likely to be in the labor force and that those from countries with traditionally lower total fertility rates (TFR) have relatively less children."/><s v="When workers leave multinationals and are rehired at domestic establishments, the wages of their new coworkers who have already been present in the establishment increase"/><s v="Certain teacher qualifications [...]  positively   impacted reading and  math achievement  for first grade  students  in  the  United  States."/><s v="disgust sensitivity is associated with stronger judgments of intentionality"/><s v="Encouraging gay kissing than generally encouraging kissing"/><s v="disgust sensitivity not predicting intentionality judgments (control condition)"/><s v="Assimilation and contrast effects in question sequences"/><s v="Correlation between the responses to the two questions when the specific question is asked first"/><s v="Correlation between the responses to the two questions when the specific question is asked second"/><s v="The difference between the correlations"/><s v="Correspondence bias (WEIRD samples)"/><s v="Correspondence bias (less WEIRD samples)"/><s v="perceived attitudes of the writer who wrote in favor of capital punishment"/><s v="perceived attitudes of the writer who wrote against capital punishment"/><s v="Harmful side-effects are more likely to be judged as having been brought about intentionally than helpful side effects"/><s v="an act that harms other people is seen as more morally permissible if the act is a foreseen side effect rather than the means to the greater good"/><s v="The difference in proportions of permeability judgements"/><s v="False consensus: supermarket scenario"/><s v="False consensus: traffic-ticket scenario"/><s v="False consensus: supermarket scenario (Slate 1)"/><s v="False consensus: traffic-ticket scenario (Slate 2)"/><s v="Moral typecasting"/><s v="Degree to which the person who committed the act is responsible"/><s v=" how intentional the act is"/><s v=" how much pain is felt by the victim"/><s v="Cardinal direction and socioeconomic status (all participants)"/><s v="Cardinal direction and socioeconomic status (western participants)"/><s v="Cardinal direction and socioeconomic status (non-western participants)"/><s v="Interaction between SES (high vs. low) and population (United States vs. Hong Kong)"/><s v="Likelihood of living preference for high-SES and low-SES individuals (US participants)"/><s v="Likelihood of living preference for high-SES and low-SES individuals (Hong Kong participants)"/><s v="Effect of framing on decision making"/><s v="Moral foundations of liberals versus conservatives (binding foundations)"/><s v="Moral foundations of liberals versus conservatives (individualizing foundations)"/><s v="Items that emphasized concerns for the in-group, authority, or purity (binding foundations)"/><s v="Reluctance to tempt fate"/><s v="The likelihood that the protagonist (themselves or Jon) would be called on by the professor"/><s v="Consumerism undermines trust"/><s v="Effects of consumer cues on feelings of responsibility"/><s v="Effects of consumer cues on feelings of obligation"/><s v="Effects of consumer cues on trust in other people"/><s v="Effects of consumer cues on viewing other people as partners"/><s v="Effects of consumer cues on believing other people should use less water"/><s v="Influence of incidental anchors on judgment"/><s v="Vertical position and power"/><s v="Relating vertical position with power"/><s v="Directionality and similarity"/><s v="Moral violations and desire for cleansing"/><s v="Moral violations create a desire for cleansing (and thus here a higher valuing of cleaning products)"/><s v="Structure promotes goal pursuit"/><s v="Prosociality is associated with the number of siblings"/><s v="Investigating the correlation between prosocial orientation and the number of siblings"/><s v="Priming “heat” increases belief in global warming"/><s v="Effect of condition on concern about global warming"/><s v="Investigating whether a deliberate, analytic processing style can be activated by incidental disfluency cues that suggest task difficulty"/><s v="Sociometric status and well-being"/><s v="The relationships among the high- and low- sociometric status (SMS) conditions and well-being "/><s v="Affect and risk"/><s v=" Whether to prefer an affectively attractive option (a kiss from a favorite movie star) or a financially attractive option ($50) depends on certainty"/><s v="Effect of choosing versus rejecting on relative desirability"/><s v=" Effect of choosing versus rejecting on relative desirability"/><s v="Construing actions as choices (Americans)"/><s v="logistic HLM model with construal of choice as the dependent measure"/><s v="logistic HLM model with culture and condition as participant-level predictors"/><s v="logistic HLM model with importance of decision as a trial-level covariate"/><s v="Construing actions as choices (indians)"/><s v="Preferences for formal versus intuitive Reasoning (european americans)"/><s v="Preferences for formal versus intuitive Reasoning (east asians)"/><s v="classification whether the mean percentages for the two experimental (judgment condition (decide “which group the target object belongs to”) or “which group the target object is more similar to)”                                                            "/><s v="A less expensive gift can be perceived as more generous than a more expensive gift when the less expensive gift is a high-priced item compared with other items in its category, and the more expensive item is a low-priced item compared with other items in "/><s v="The less-is-better effect, wherein a less expensive gift can be perceived as more generous than a more expensive gift when the less expensive gift is a high-priced item compared with other items in its category, and the more expensive item is a low-priced"/><s v="Products with brand names containing front vowel sounds, as opposed to back vowel sounds, are perceived as: (a) smaller"/><s v="Products with brand names containing back vowel sounds, as opposed to front vowel sounds, are perceived as: (b) darker (relative to lighter)"/><s v="Products with brand names containing front vowel sounds, as opposed to back vowel sounds, are perceived as: (c) milder"/><s v="Products with brand names containing back vowel sounds, as opposed to front vowel sounds, are perceived as: (d) thicker"/><s v="Products with brand names containing front vowel sounds, as opposed to back vowel sounds, are perceived as:  (e) softer"/><s v="Products with brand names containing front vowel sounds, as opposed to back vowel sounds, are perceived as: (f) faster"/><s v="Products with brand names containing back vowel sounds, as opposed to front vowel sounds, are perceived as: (g) warmer"/><s v="Products with brand names containing front vowel sounds, as opposed to back vowel sounds, are perceived as: (h) more bitter"/><s v="Products with brand names containing back vowel sounds, as opposed to front vowel sounds, are perceived as: (i) more masculine"/><s v="Products with brand names containing front vowel sounds, as opposed to back vowel sounds, are perceived as: (j) friendlier"/><s v="Products with brand names containing back vowel sounds, as opposed to front vowel sounds, are perceived as: (k) stronger"/><s v="Products with brand names containing back vowel sounds, as opposed to front vowel sounds, are perceived as: (l) heavier"/><s v="Products with brand names containing front vowel sounds, as opposed to back vowel sounds, are perceived as: (m) prettier"/><s v="Products with brand names containing back vowel sounds, as opposed to front vowel sounds, are perceived as: (c) milder"/><s v="The effect of product units displayed on the package on perceived product quantity"/><s v="The effect of product units displayed on the package on the serving size"/><s v="Unearned luxury consumption will lead to lower brand attitude than earned luxury consumption when consumers' fairness concerns are salient, but less so when fairness concerns are not salient."/><s v="The consideration of financial constraints shifts consumers’ preferences toward material goods rather than experiences. (I.e. Inducing financial scarcity will lead individuals to prefer purchasing material goods over experiences."/><s v="By manipulating the timing of an activity, the Time-Elicit (TEL) procedure of stating the maximum amount of hours required for a task should be more sensitive to a change in time scarcity, because time of money required for a task). Analogously, the TEL p"/><s v="When scarcity is salient, pro-self individuals will engage in even more selfish behavior compared to prosocial individuals. The difference between proself individual’s behavior and prosocial individual’s behavior is attenuated when scarcity is not salient"/><s v="Participants who encounter scarcity salience in a prior unrelated context would be more likely to use the provided products in novel but appropriate ways to solve the given task."/><s v="This study predicts that there will be higher preferences for violent experiences after exposure to the limited-quantity scarcity promotion (vs. control) among participants who did not reduce the competitive threat via the affiliation task (perceived comp"/><s v="Particular words will be preferred as brand names when the phonetic connotations of the words are consistent with the product attributes. Vowel sound-product category interaction"/><s v="Particular words will be preferred as brand names when the phonetic connotations of the words are consistent with the product attributes (Vowel sound-product category interaction)"/><s v="Particular words will be preferred as brand names when the phonetic connotations of the words are consistent with the product attributes. Front vowel sound words will be preferred over back vowel sound words for 2-seater convertible and knife"/><s v="Particular words will be preferred as brand names when the phonetic connotations of the words are consistent with the product attributes (Front vowel sound words will be preferred over back vowel sound words for 2-seater convertible and knife)"/><s v="Particular words will be preferred as brand names when the phonetic connotations of the words are consistent with the product attributes. Back vowelsound words will be preferred over front vowel sound words for  4×4 vehicle and hammer."/><s v="Particular words will be preferred as brand names when the phonetic connotations of the words are consistent with the product attributes (Back vowel  sound words will be preferred over front vowel sound words for 4×4 vehicle and hammer&quot;"/><s v="High (vs. low) color  saturation increases product size estimates"/><s v="High (vs. low) saturation increases attention"/><s v="High (vs. low) saturation increases arousal"/><s v="High (vs. low) color saturation increases product size estimates"/><s v="High (vs. low) color saturation increases product size estimatesHigh (vs. low) color saturation increases product size estimates"/><s v="Participants tend to prefer the healthy item (broccoli salad) when it is on the left (vs. right) of the images"/><s v="Attribute Perception Index (Main effect of brand name)"/><s v="Attribute Perception Index (2-way interaction)"/><s v="Attribute Perception Index (3-way interaction)"/><s v="Brand Evaluation Index (Main effect of brand name)"/><s v="Brand Evaluation Index (2-way interaction)"/><s v="Brand Evaluation Index (3-way interaction)"/><s v="Visual product depictions within advertisements, such as the manipulation of orienting a product toward a participant’s dominant hand, facilitate purchase intention; Purchase intention"/><s v="Visual product depictions within advertisements, such as the manipulation of orienting a product toward a participant’s dominant hand, facilitate purchase intention; Mental simulation"/><s v="Logo shape-by-product-attribute interaction"/><s v="Comfortable: circular-logo (vs. angular-logo)"/><s v="Durable: angular-logo (vs. circular-logo)"/><s v="Attitude: logoshape vs control"/><s v="Interaction between position and desirable attribute on product attitude"/><s v="Antique conditions increase favorable responses to product image on the left than on the right"/><s v="Modern conditions increase favorable responses to product image on the right than on the left"/><s v="Main effect of the desirable attribute"/><s v="Main effect of the position"/><s v="The effect of logo dynamism (high and low) on brand attitudes."/><s v="The effect of logo dynamism (high and low) on perceived movement as a manipulation check"/><s v="The effect of logo dynamism (high and low) on brand attitudes"/><s v="Tracing attention and the activation flow in spoken word planning using eye movements."/><s v="Across-notation automatic numerical processing."/><s v="Effects of fluency on psychological distance and mental construal (or why New York is a large city, but New York is a civilized jungle), primed participants (conceptually fluent participants) preferred concrete descriptions of the prime later, moreso than"/><s v="More than meets the eye: the role of language in binding and maintaining feature conjunctions.; table: directional language (e.g., to the left) helps children bind color and shape information to a greater extent than relational language alone ( e.g., next"/><s v="Directional language (e.g., to the left) helps children bind color and shape information to a greater extent"/><s v="goal primed participants learned more than participants in the control group"/><s v="Goal priming leads to better learning"/><s v="Stored word sequences in language learning"/><s v="Words with many near neighbors (e.g., chicken) were associated with an increased level of processing (i.e., categorized more slowly) compared to words with few near neighbors"/><s v="male participants were less sensitive to the distinction between friendliness and sexual interest than women, suggesting that gender differences are due to perceptual insensitivity in men"/><s v="Male participants were less sensitive to the distinction between friendliness and sexual interest (perceptual insensitivity in men)"/><s v="increased anchor precision leads to decreased adjustment by participants"/><s v="Sample entropy was higher for middle-truth-value questions than for low- and high-truth-value questions"/><s v="among accurate, optimistic, or pessimistic predictions, participants are most likely to recommend optimisitic predictions"/><s v="Participants are most likely to recommend optimisitic predictions"/><s v="Age-related changes in the episodic simulation of future events"/><s v="Older adults produced fewer internal details, but more external details than young adults"/><s v="When learning an object name, young children often assume that the name refers to the object the speaker is looking at, even if the children themselves are looking at a different object when the word is used"/><s v="Older children were able to disregard these gaze cues and identify the correct referent, although the younger children were not"/><s v="Measuring the crowd within: Probabilistic representations within individuals."/><s v="Averaging two guesses within one person provides a more accurate answer than either guess alone"/><s v="Temporal selection is suppressed, delayed, and diffused during the attentional blink."/><s v="Selection is suppressed (efficacy), delayed (latency), and diffused (precision) in time during the attentional blink"/><s v="The attraction effect was larger in the depletion with placebo group than among participants in the other three groups (depletion with sugar, no depletion with sugar, no depletion with placebo)"/><s v="Free recall, but not serial recall, of lists of phonologically related to-be-remembered items are disrupted by an irrelevant sound stream (end rhymes) sharing similar phonological content"/><s v="Phonologically similar irrelevant items disrupted recall compared with phonologically dissimilar items in free recall"/><s v="The magnitude of the startle response following an error is correlated to the amplitude of the Error-Related Negativity (ERN)"/><s v="Accepting unfair offers increases right ventrolateral prefrontal cortex activation"/><s v="Reporting error on the location of missing distractors items was less when the targets were spatially distinct"/><s v="The effect of visual search efficiency on response preparation"/><s v="Male participants whose faith in the federal system was threatened showed greater romantic interest in women who embody benevolent sexist ideals than in women who do not embody these ideals"/><s v="Bright children become enlightened adults"/><s v="Motion aftereffects were present following the presentation of a still photograph depicting motion"/><s v="High External Motivation (EM) participants exhibit attentional biases for neutral Black faces, but not happy Black faces."/><s v="High External Motivation (EM) participants exhibit attentional biases for neutral Black faces, but not happy Black faces"/><s v="response times were faster when participants were given the same mathematical operation to practice and to test, relative to operational change or a new problem"/><s v="Practising the same mathematical operation which will occur in experimental part increased the response time in comparison to operational change)"/><s v="Seeking out the responses of potentially victimized group member to help assess the situation."/><s v="When a White man made a potentially offensive comment in the presence of a Black man, participants would look at the Black man for a longer period of time if he could hear the comment than if he could not"/><s v="Humans show a superior memory when words were rated for survival relevance"/><s v="Words rated for survival relevance were recalled more often"/><s v="People who have what they want are happier."/><s v="People who had what they wanted were happier than others, even after controlling for the degree to which they wanted what they had"/><s v="Associative links (e.g., shared group membership) are sufficient for implicit attitude generalization, but deliberative logic (e.g., individual group members are not necessarily the same) can reduce explicit generalization by association."/><s v="Participants were unable to prevent the information about the original individuals from influencing their implicit responses toward the new individuals"/><s v="Exposure to the deterministic message increased cheating on a task in which participants could passively allow a flawed computer program to reveal answers to mathematical problems that they had been instructed to solve themselves. Moreover, increased chea"/><s v="Participants cheated more frequently after reading the anti-free-will essay than after reading the control essay"/><s v="Mechanisms of change detection are dissimilar in vision and audition; specifically, auditory memory makes change detection easier in audition than in vision"/><s v="When people are primed with a sense of spatial distance, rather than closeness, they report weaker bonds to their siblings, parents, and hometown"/><s v="Individuals prefer activities that increase their level of anger when they are anticipating confrontational but not nonconfrontational tasks"/><s v="Preferences for anger-inducing activities were higher than preferences for exciting and neutral activities when participants anticipated playing confrontational games"/><s v="People are motivated to maintain social con- nection with others, and those who lack social connection with other humans may try to compensate by creating a sense of human connection with nonhuman agents. This may occur in at least two ways—by anthropomor"/><s v="People who were feeling socially disconnected attempted to restore feelings of belonging by demonstrating more beliefs in supernatural agents and events, and by attributing more social traits to pets"/><s v="Contributions in the intergroup prisoner's dilemma-maximizing difference game are made almost exclusively in the within-group pool."/><s v="The contribution rate to Between-group Pool was significantly lower in the IPD-MD game than the contribution rate to Between-group Pool in the IPD game (contributions were made almost exclusively to the cooperative, within-group pool)"/><s v="Word-order influences phronological representation in language production"/><s v="Object naming times in the congruent condition were faster than in the incongruent condition, althought not significantly"/><s v="The Best Men Are (Not Always) Already Taken: Female Preference for Single Versus Attached Males Depends on Conception Risk"/><s v="Stroop effect is larger for words that are presented mostly in congruent colours (e.g., BLUE presented 75% of the time in blue), and smaller for words that are presented mostly in a given incongruent colour (e.g., YELLOW presented 75% of the time in orang"/><s v="Low contingency trials produced significantly more errors than the medium contingency trials"/><s v="There was a significant interaction between viewpoint (prototypical or non-prototypical) and visual field (upper visual field or lower visual field) on the probability of the first fixation being on the target: The effect of visual field was enhanced for "/><s v="Hand-washing after experiencing disgust led participants to judge moral vignettes with less severity than participants who did not wash their hands"/><s v="Surfaces with a single EE along the shared contour were perceived as closer than surfaces with two EE's orthogonal to the shared contour"/><s v="What Do Cross_National Comparisons of Personality Traits Tell Us? The Case of Conscientiousness"/><s v="Conscientiousness measured by aggregated self-reports on the NEO-PI-R correlated with Postal workers’ speed, Clock accuracy, Walking speed, GDP, Longevity"/><s v="Participants who scored as more dominant in personality were more likely to have relatively faster response times to vertical stimuli than horizontal stimuli in predictable-location task"/><s v="Conflict-triggered goal shielding: Response conflicts attenuate background monitoring for prospective memory cues."/><s v="An interaction between Perspective Memory (PM) cue dimension and compatibility predicted the mean proportion of missed PM cues"/><s v="Detecting the snake in the grass: attention to fear-relevant stimuli by adults and young children."/><s v="Young children detect threat-relevant targets more quickly than threat-irrelevant ones"/><s v="Participants were more likely to underestimate the number of pictures in their value category than in the 'other' category."/><s v="Attentional effect of object words interfered with the visual perception of a target in the typical location of the object"/><s v="The tendency to underestimate the frequency of positive and to overestimate the frequency of negative observations increased from the provider with the smallest to the provider with the highest overall frequency due to differential regression effects"/><s v="Accuracy was significantly lower in long list as it is harder to reject such probes due to more memory matching episodes on the context dimension"/><s v="Significant repetition blindness (RB) effect was inducted in nonword condition"/><s v="Direct forgetting had bigger effect on spaced items, rather than on mass items"/><s v="The two language groups were comparable in most measures, but bilinguals showed a larger dip of T2 report — a bigger blink, that  is — at Lag 3, which can be attributed to more reactive inhibition in bilinguals"/><s v="Priming addition facts with semantic relations."/><s v="As predicted by the semantic alignment hypothesis, the sum effect occurred in the aligned-categorical but did not occur in the misaligned-unrelated condition"/><s v="Prior occurances of the erroneous remembered item lead to increase in error rates (error are more probable as they occured previously)"/><s v="There was no delay in response when switching between pronouncing regular words and nonwords"/><s v="On the additive effects of stimulus quality and word frequency in lexical decision: Evidence for opposing interactive influences revealed by RT distributional analyses."/><s v="Significant stimulus quality and word frequency interaction with larger frequency effects for the degraded words"/><s v="Semantically unrelated word-picture pairs significantly slower average reaction time"/><s v="Low covariance between feature dimensions allowed VSL to operate in parallel in each of these dimensions"/><s v="The average recall score was larger in low switch lists with normal digits than in low-switch lists with degraded digits"/><s v="The predicted values are higher for B and lower for A when the prevalence of B is high than when it is low"/><s v="Instructing participants to group items induces a temporal gap between the groups both  when trying to recall the timing of the items"/><s v="The type of dependency influence the  number of correct respones"/><s v="Orienting attention in visual working memory reduces interference from memory probes."/><s v="For both the shape and color conditions, there will be an effect of cue type (retro cue better than simultaneous cue) on recall at all set sizes except for set size 1"/><s v="Decision making and learning while taking sequential risks."/><s v="Only in well-defined versions of the ART that do not require a learning process do the adjusted ART scores identify the risky use of drugs"/><s v="Accelerated relearning after retrieval-induced forgetting: The benefit of being forgotten."/><s v="Effect of relearning was significantly larger for non-practiced items from practiced categories than non-practiced items from non-practiced categories"/><s v="Nonaffirmed actors liked the rebel significantly less than the obedient, self-affirmed participants showed no such rejection of the rebel"/><s v="Why do implicit and explicit attitude tests diverge? The role of structural fit."/><s v="Relationship between authors' direct and indirect procedures is moderated by percieved pressure to respond in a socially desirable manner"/><s v="The developmental psychometrics of big five self-reports: Acquiescence, factor structure, coherence, and differentiation from ages 10 to 20."/><s v="Younger respondents show greater individual differences (variance) in their acquiescent response tendencies than older respondents"/><s v="Participants who scored low on avoidance but high on anxiety demonstrated an increased relative preference for a parent after mortality salience as opposed to dental pain"/><s v="The action and inaction primes produced, respectively, higher and lower levels of cognitive output (higher or lower performance measured by number of solved problems"/><s v="Perceptual learning (better discrimination of AX and BX on test) was observed when AX and BX were intermixed in preexposure but not when AX was intermixed with BY."/><s v="Action goal led to a greated number of thoughts supporting goal-mediation interpretation"/><s v="Affective incoherence: When affective concepts and embodied reactions clash."/><s v="Affective coherence (as opposed to affective incoherence) produced a linear increase in cognitive complexity across three participant-generated narratives"/><s v="Low-prejudice participants whose non-prejudiced responses were motivated by internal (but not external) factors exhibited better control on a stereotype-inhibition task than did participants motivated by a combination of internal and external factors, and"/><s v="Action-oriented mindset resulted in attitude changes from pre- to post-decision to both chosen and rejected alternatives"/><s v="Participants offered significantly fewer chips to angry recipients than to happy recipients in low consequence situations"/><s v="Walking on eggshells: How expressing relationship insecurities perpetuates them."/><s v="Participants perceived the confederate’s expressions of happiness as less authentic when they were told, after the interaction, that the confederate had been informed beforehand that participants were especially vulnerable to rejection"/><s v="Participants own responsiveness was a significant predictor of their perception of their partners' responsiveness"/><s v="A single-system account of the relationship between priming, recognition, and fluency."/><s v="Response times to misses were significantly faster than those to correct rejections, indicating that memory sources for priming and recognition are independent."/><s v="Poignancy: Mixed emotional experience in the face of meaningful endings."/><s v="Participants in the limited-time condition (poignancy) experienced more sadness than participants in the control condition"/><s v="1/f noise and effort on implicit measures of bias."/><s v="Participants instructed to use race and avoid race exhibited less 1/f noise (as reflected in PSD slopes) than participants in the control condition"/><s v="Processing style (global and local) affected the impact of the prime: participants judged the target person to be more aggressive after aggression priming in global style compared to local style"/><s v="Not so innocent: Does seeing one's own capacity for wrongdoing predict forgiveness?"/><s v="When not primed with capability– empathy items, men reported more vengefulness than women, but when capability– empathy items preceded the TRIM, men’s vengefulness scores were significantly reduced"/><s v="When participants were not under load, those who imagined that they had not done the reading believed that it was more likely that they would be called on"/><s v="The nonverbal expression of pride: Evidence for cross-cultural recognition."/><s v="Participants recognized conveyed emotions as pride at an above chance level, no matter what culture the target represented"/><s v="Participants remembered the order of words better when the presented word lists contained only short words compared to lists that only contained long words."/><s v="Participants who answered correctly were more often of higher cognitive ability (measured via SAT scores)"/><s v="People who focus on important values in persuasive messages are more sensitive to argument quality compared to people who focus on unimportant values"/><s v="Distinguishing between silent and vocal minorities: Not all deviants feel marginal."/><s v="There were disproportionately more descriptive deviant (Republican) stickers than prescriptive deviant (Democratic) stickers in more Republician location (second attempt)"/><s v="Participants from the hot list (certain commitment) donated more money in the to-go condition than did participants in the to-date condition"/><s v="Correct source attributions creates no difference in the subjective state of remembering between schema-consistent or schema-inconsistent condition, whereas in case of incorrect source attribution participants are more often in a subjective state of remem"/><s v="Participants in the one-sided focus condition had less ambivalence than participants in the two-sided focus condition."/><s v="After condition a message of acceptance was more effective in promoting reconciliation among perpetrators, whereas a message of empowerment was more effective in promoting reconciliation among victims"/><s v="Composite ratings of both power and leadership correlated with company profits, even after controlling for CEO age, CEO attractiveness, and the affect CEOs were displaying in the pictures"/><s v="The amount of information influence the decision among consistent and inconsistent conditions"/><s v="Self-regulation and selective exposure: The impact of depleted self-regulation resources on confirmatory information processing."/><s v="Reduced self regulation resources are associated with increased biases in confirmatory information processing"/><s v="When learning goals were absent, participants sat closer to one another when they discussed love and relationships than when they discussed racial profiling"/><s v="Sex differences in mate preferences revisited: Do people know what they initially desire in a romantic partner?"/><s v="There are no significant sex differences correllation for relationship initiation variables with ratings of earning prospects"/><s v="Prime diagnosticity in short-term repetition priming: Is primed evidence discounted, even when it reliably indicates the correct answer?"/><s v="Priming approach intensified the hurt and pain of partner rejection for low self-esteem people"/><s v="Considering counterfactuals about a self-handicap reduces motivation to improve on subsequent tasks"/><s v="Social identity contingencies: How diversity cues signal threat or safety for African Americans in mainstream institutions."/><s v="For african american participants the fairness cue affected their racial identity, while for white participants it didn't"/><s v="The magnitude of adjustment-based anchoring is moderated by the cognitive load with high cognitive load leading to less adjustment from self-generated anchors&#xA;"/><s v="Cognitively busy participants adjusted less from self-generated anchors than those not cognitively busy."/><s v="Relationships between teacher  qualifications and elementary student achievement"/><s v="importance of weight on having a voice in a decision-making procedure"/><s v="Variety reduces perceived quantity"/><s v="Having variety leads people to pour more candy, presumably because variety lowers the perceived quantity."/><s v="Reading the word &quot;red&quot; before an achievement test reduces test performance as compared to reading the word of a control color"/><s v="Laypeople are able to predict the replication success of social science findings based on their intuitive plausibility"/><s v="Laypeople are able to predict the replication success of social science findings based on their intuitive plausibility (description-only condition)"/><s v="The Door-in-the-Face (DITF) technique suggests that people are more likely to agree to a target request after initially rejecting a larger request."/><s v="The Door-in-the-Face (DITF) technique suggests that people are more likely to agree to a target request after initially rejecting a larger request (statistical difference between the two control conditions (i.e., smaller request only condition vs. equival"/><s v="drunk utilitarian"/><s v="drunk utilitarian (alcohol condition)"/><s v="Mental fatigue impairs physical performance in humans"/><s v="Posttreatment fatigue was significantly higher compared with the control condition"/><s v="Mental fatigue resulted in higher average HR during AX-CPT"/><s v="binge-goal conflict"/><s v="guilt-enjoy"/><s v="autonomy-enjoy"/><s v="binge-enjoy"/><s v="binge-autonomy"/><s v="goal conflict-guilt"/><s v="guilt-recovery"/><s v="autonomy-recovery"/><s v="binge-recovery"/><s v="guilt-vitality"/><s v="autonomy-vitality"/><s v="binge-vitality"/><s v="The presence of variety lowers the perceived quantity"/><s v="People gave larger estimates as the percentage filled increased"/><s v="People gave larger estimates when the items consisted of colored dots rather than unfilled shapes"/><s v="People estimates depends on both the percentage filled and number of types"/><s v="Trump voters/Republicans select the incorrect inauguration crowd photo more often than non-Trump voters/non-Republicans"/><s v="Less educated Trump supporters (republicants) chose the wrong image less often"/><s v="Trump voters (republicants) identified correct picture more often than Clinton voter (democrats)"/><s v="Conditioned stimuli (CS) paired with positive stimuli are evaluated more positively than the CS paired with negative stimuli"/><s v="Participants assessed CS+ more positively than CS- in the explicit condition"/><s v="Effects in the Affect Misattribution Procedure are moderated by awareness of influence of the prime stimulus on evaluations of the target stimulus"/><s v="In three experiments, we tested the claim that reliable and valid measurement in the AMP depends on awareness and intentions to rate the primes rather than the targets. In short, it does not."/><s v="Participants reported higher need satisfaction in experiences of pursuing hopes than in experiences of pursuing duties (need for autonomy)"/><s v="Participants reported higher need satisfaction in experiences of pursuing hopes than in experiences of pursuing duties (need for competence)"/><s v="Participants reported higher need satisfaction in experiences of pursuing hopes than in experiences of pursuing duties (need for relatedness)"/><s v="We investigated the hypothesis that group members would reject outgroup criticism (as compared to the same criticism from the ingroup) using costly punishment"/><s v="For auditory flankers, correct responses are significantly faster in the perceptual-congruent condition than in the response-congruent and incongruent conditions, with no difference in response times between the latter two conditions."/><s v="For auditory flankers, correct responses are significantly faster in the perceptual-congruent condition than in the response-congruent and incongruent conditions, with no difference in response times between the latter two conditions (evidence for bimodal"/><s v="behavioral age group differences in Theory of Mind (ToM) in adulthood"/><s v="behavioral age group differences in empathy in adulthood"/><s v="behavioral age group differences in compassion in adulthood"/><s v="The magnitude of the age of acquisition effect I(i.e. early-acquired words are named more quickly than later-acquired words) in lexical retrieval is larger in picture naming than visual word naming."/><s v="Picture naming times were significantly faster for early than late acquired words"/><s v="Word naming times were insignificantly faster for late acquired words"/><s v="Implicit Theory of Mind can be measured through anticipatory looking patterns measured through eye-tracking."/><s v="Infants can differentiate the false-belief as they looked longer for the correct window, Implicit Theory of Mind can be measured through anticipatory looking patterns measured through eye-tracking."/><s v="The looking duration to the correct window doesn't depend on the interaction between window and condition"/><s v="Growth mindset is associated with the change of grades in a challenging educational transition."/><s v="Growth mindset led to higher math grades in the end of the 2nd year"/><s v="prosocials have a higher level of secure attachment than individualists"/><s v="prosocials have a higher level of secure attachment than competitors"/><s v="prosocials have more siblings than individualists"/><s v="prosocials have more siblings than competitors"/><s v="prosocials have more sisters than individualists"/><s v="prosocials have more sisters than competitors"/><s v="prosocials have more older siblings than individualists"/><s v="prosocials have more older siblings than competitors"/><s v="more prosocials in older age group"/><s v="social value orientation (TDM); secure attachment (AAS); sample 2 - prosocials have a higher level of secure attachment than individualists"/><s v="a multivariate main effect for social value orientation"/><s v="social value orientation (SLM); secure attachment (AAS); sample 2 - prosocials have a higher level of secure attachment than competitors"/><s v="Prosocials had significantly lower anxious-ambivalent attachment when compared with individualists and competitors"/><s v="social value orientation (SLM); secure attachment (original); sample 2 - prosocials have a higher level of secure attachment than competitors"/><s v="prosocial-security hypothesis contrast between individualists and competitors was not significant"/><s v="social value orientation (SLM); secure attachment (ECR-R); sample 2 - prosocials have a higher level of secure attachment than competitors"/><s v="The association between social value orientation and number of siblings"/><s v="social value orientation (TDM); total siblings; sample 2 - prosocials have more siblings than individualists"/><s v="Following sibling-prosocial hypothesis the number of siblings is greater for prosocials than for individualists and competitors"/><s v="social value orientation (TDM); total siblings; sample 2 - prosocials have more siblings than competitors"/><s v="Following sibling-prosocial hypothesis differences between individualists and competitors were not significant."/><s v="social value orientation (TDM); sister; sample 2 - prosocials have more sisters than individualists"/><s v="Social value orientation affects number of older siblings and number of sisters-mutivariate effect"/><s v="social value orientation (TDM); sister; sample 2 - prosocials have more sisters than competitors"/><s v="social value orientation for number of older siblings-univariate level"/><s v="social value orientation (TDM); older siblings; sample 2 - prosocials have more older siblings than individualists"/><s v="social value orientation for number of sisters-univariate level"/><s v="social value orientation (TDM); older siblings; sample 2 - prosocials have more older siblings than competitors"/><s v="the number of older siblings was greater for prosocials than for individualistsa reveled by a significant contrast between prosocials versus individualists and competitors."/><s v="social value orientation (SLM); total siblings; sample 2 - prosocials have more siblings than individualists"/><s v="siblings diffeences between individualists and competitors were not significant."/><s v="social value orientation (TDM); secure attachment (original); sample 2 - prosocials have a higher level of secure attachment than individualists"/><s v="relationship between social value orientation and level of secure attachment-univariate level"/><s v="social value orientation (SLM); total siblings; sample 2 - prosocials have more siblings than competitors"/><s v="the number of sisters was greater for prosocials than for individualists or competitors revealed by a significant contrast between prosocials versus individualists and competitors"/><s v="social value orientation (SLM); sister; sample 2 - prosocials have more sisters than individualists"/><s v="Differences between individualists and competitors were not significant"/><s v="social value orientation (SLM); sister; sample 2 - prosocials have more sisters than competitors"/><s v="The association of age, level of education, and gender with social value orientation-main effects"/><s v="social value orientation (SLM); older siblings; sample 2 - prosocials have more older siblings than individualists"/><s v="The association of age with Social value orienatation-main effect"/><s v="social value orientation (SLM); older siblings; sample 2 - prosocials have more older siblings than competitors"/><s v="Social Value Orientation and Age Interaction"/><s v="social value orientation (TDM); age; sample 2 - more prosocials in older age group"/><s v="social value orientation (SLM); age; sample 2 - more prosocials in older age group"/><s v="social value orientation (TDM); secure attachment (ECR-R); sample 2 - prosocials have a higher level of secure attachment than individualists"/><s v="relationship between social value orientation and level of avoidant attachment-univariate level"/><s v="social value orientation (TDM); secure attachment (AAS); sample 2 - prosocials have a higher level of secure attachment than competitors"/><s v="relationship between social value orientation and level of anxious-ambivalent attachment-univariate level"/><s v="social value orientation (TDM); secure attachment (original); sample 2 - prosocials have a higher level of secure attachment than competitors"/><s v="No main or Interaction effect of gender on attachmant styles"/><s v="social value orientation (TDM); secure attachment (ECR-R); sample 2 - prosocials have a higher level of secure attachment than competitors"/><s v="prosocial-security hypothesis comparisons revealed a significant contrast between prosocials versus individualists and competitors"/><s v="social value orientation (SLM); secure attachment (AAS); sample 2 - prosocials have a higher level of secure attachment than individualists"/><s v="prosocial-security hypothesis comparisons revealed a marginal difference between individualists and competitors"/><s v="social value orientation (SLM); secure attachment (original); sample 2 - prosocials have a higher level of secure attachment than individualists"/><s v="Prosocials had significantly lower avoidant attachment contrasted with individualists and competitors"/><s v="social value orientation (SLM); secure attachment (ECR-R); sample 2 - prosocials have a higher level of secure attachment than individualists"/><s v="The cleanliness condition had a lower mean composite rating than the neutral condition in the low response effort condition"/><s v="this paper explores the psychological underpinnings of folk intuitions about free will and responsibility"/><s v="exploring the intuition that “if our brain makes us do it, then we aren’t morally responsible.” people tend to see reductive mechanism as incompatible with Free will and Moral responsibility."/><s v="People do deny some sentences that assert that an absence caused an event. However, people sometimes agree significantly more with sentences asserting that an event e occurred because an absence a obtained than with sentences asserting that a caused the o"/><s v="cognitive load interferee with utilitarian moral judgments"/><s v="folk attributions of valuing tend to vary according to the perceived moral goodness of the object of value"/><s v="In the absence of skill, murder is judged intentional but achievement is not"/><s v="cusation and breaking norms (drug-vignette)"/><s v="cusation and breaking norms (machine-vignette)"/><s v="folk psychological concept, causation"/><s v="the personality trait extraversion predicts people’s intuitions about the relationship of determinism to free will and moral responsibility"/><s v="epistemic side-effect"/><s v="ascribing consciousness to machines"/><s v="CAUSATION, NORM VIOLATION, AND CULPABLE CONTROL"/><s v="causation, norm violation, culpable control"/><s v="distinguishing the appearance from the reality of pain"/><s v="Moral decision making"/><s v="individuals who reflected more on the CRT made more utilitarian judgments"/><s v="Westerners are more likely than East Asians to report intuitions that are consistent with the causal-historical view"/><s v="When looking at action valence, people are more inclined to agree with the attribution of weakness of will when the valence of the action the agent ends up succumbing to perform is bad as opposed to neutral."/><s v="Knowledge was ascribed standard cases versus in Gettier cases (where a belief can be both justified and true, yet not qualify as knowledge)"/><s v="Lay denial of knowledge for justified true beliefs"/><s v="People are more likely to attribute knowledge in familiar Gettier cases when the would-be knowers are performing actions that are negative in some way (e.g. harmful, blameworthy, norm-violating) than when they are performing positive or neutral actions"/><s v="the bypassing results suggest that incompatibilism runs even deeper than previously recognized"/><s v="When participants understand what determinism does mean, the vast majority take it to be compatible with free will. Further results indicate that most people’s concepts of choice and the ability to do otherwise do not commit them to incompatibilism, eithe"/><s v="Individuals with Kripkean intuitions were indeed more likely to value loved ones (and other persons and things) as irreplaceable"/><s v="&quot;Imaginative resistance refers to a phenomenon in which people resist engaging in particular prompted imaginative activities.&quot; (p.1)"/><s v="Motivational internalism postulates a necessary connection between moral judgments and motivation."/><s v="Folk stakes sensitivity: All else equal, people are less likely to ascribe knowledge to a&#xA;high stakes subject than to a low stakes subject."/><s v="To better understanding of people’s concept of intentional action, drawing on ordinary language as a key source of evidence."/><s v="norm violations also affect the causality attributed to other agents, a phenomenon we refer to as ‘‘causal superseding.’’"/><s v="participants who respond as nonobjectivists about canonical moral violations still treat such violations in typical ways"/><s v="moral judgement"/><s v="the moral blameworthiness of an agent can influence folk intuitions about intentional action."/><s v="agents in deterministic scenarios  were judged by participants as acting of their own free will and are morally responsible for their actions."/><s v="in order for an action to be performed intentionally it must be performed with a relevant amount of skill or control—i.e., an intentional actioncannot simply be the result of luck."/><s v="drunk utilitarian(placebo control condition)"/><s v="drunk utilitarian(alcohol condition (participants will drink 1.6 g of alcohol at 40% strength for each 1 kg of their body weight))"/><s v="The Door-in-the-Face (DITF) technique suggests that people are more likely to agree to a target request after initially rejecting a larger request (difference between the rejection-moderation condition and the combined control conditions (i.e., smaller re"/><s v="Laypeople are able to predict the replication success of social science findings based on their intuitive plausibility (description-plus-evidence condition.)"/><s v="For auditory flankers, correct responses are significantly faster in the perceptual-congruent condition than in the response-congruent and incongruent conditions, with no difference in response times between the latter two conditions (interaction of congr"/><s v="Macbeth effect (physical cleansing)"/><s v="Religious beliefs are positively correlated with agreeableness."/><s v="Religious beliefs are positively correlated with conscientiousness."/></sharedItems></cacheField><cacheField name="claim_text_o" numFmtId="0"><sharedItems containsBlank="1"><s v="The authors’ key statistical result and its interpretation"/><s v="&quot;results were consistent with the idea of affective flexibility. There was a significant interaction between scanning condition (positive or negative) and stimulus valence (postscan ratings of positivity or negativity), F(1, 11) = 9.67, p &lt; .01, prep = .9"/><m/><s v="&quot;Participants in the thief contrast condition tended to agree with the knowledge ascription they received (mean rating: 4.6), while participants in the jewel contrast condition tended to disagree with the knowledge ascription they received (mean rating: 3"/><s v="&quot;N = 100 people spending time in the Canberra Centre Mall in Canberra, Australia, t (98) = 3.4, p = .001.&quot;"/><s v="Participants who were presented with the high anchor value estimated the car price to be higher (M = 21,219 Euro) than those presented with the low anchor value (M = 17,150 Euro), t(39) = 2.02, p &lt; .05, r = .31."/><s v="A t-test for dependent samples indicated that the difference in students’ interest in the two problem types was statistically significant [t(99) = −2.96, p &lt; 0.01]."/><s v="Students reported a mean level of interest of Madj = 2.71 (SDadj = 0.90) in solving problems with a connection to reality and Madj = 2.91 (SDadj = 1.00) in solving problems without a connection to reality when the impact of task difficulty was controlled "/><s v="A t-test for dependent samples showed a significant difference in pre-service teachers’ judgments of students’ interest in solving the two types of problems [t(162) = 14.33, p &lt; 0.01]. Cohen’s d = 1.12"/><s v="Pre-service teachers predicted a mean of Madj = 3.18 (SDadj = 0.48) for students’ interest in problems with a connection to reality and Madj = 2.47 (SDadj = 0.60) for their interest in problems without a connection to reality (Table 2). Means and standard"/><s v="Instead, they produced both vowels as a monophthongal /e/, with very little formant movement (1.18 for diphthongs vs. 0.92 for monophthongs, SD = 0.36), t(18) = 1.92, p = .071, r = .17, but distinguished them through duration."/><s v="Table 7 summarizes the results of correlation analyses between inhibition&#xA;scores and the four phonological accuracy scores (controlling for proficiency).&#xA;These correlations show that error rate and z scores in ABX perception were&#xA;significantly negative"/><s v="The test subconditions consE and vowelE did not differ from each other (Merr = 4.6%, CI = 1.0–8.2; and Merr = 3.6%, CI = 0–7.2, respectively), but they triggered significantly fewer errors than the nonnative consS and vowelS subconditions (Merr = 24.0%, C"/><s v="Indirect effect present for relationship quality: “initiating financial discussion earlier in a romantic relationship may benefit relationship quality—through financial communication” (most emphasised claim in original)"/><s v="No direct effect present for relationship quality: “Nonetheless, couples’ first financial discussion was not directly associated with their relationship quality.” (however not emphasised in original)"/><s v="Indirect effect present for financial conflict: &quot;The pathway from the first financial discussion to financial conflict through financial communication was significant (β = -.06; p &lt; .001)&quot; (however not emphasised in original)"/><s v="Direct effect present for financial conflict: “However, having an earlier first financial discussion as a couple was also positively associated with financial conflict.” (p. 1, emphasised in original) (also p. 11: &quot;The pathway from the first financial dis"/><s v="couples’ first financial discussion was directly associated with their financial communication (β = .23; p &lt; .001)"/><s v="couples’ first financial discussion was directly associated with their ... financial conflict (β = .07; p &lt; .05)."/><s v="&quot;awe and neutral conditions had a different balance between disclosing their strengths and weaknesses, t(84) = 2.38, p = .02.&quot;"/><s v="&quot;More specific analyses revealed that participants in the awe condition discussed significantly fewer strengths (M=1.20, SD=.53) before choosing to write about their weaknesses than participants in the neutral condition (M =1.48, SD=.44), t(84)=2.64, p= ."/><s v="&quot;...there was no effect of condition on the number of weaknesses participants listed (awe: M= .82, SD =.58; neutral: M = .79, SD=.49), t(84)=.27, p =.79.&quot;"/><s v="&quot;Post-hoc paired sample t-tests demonstrated that all three reach directions demonstrated statistically significant differences between pre-fatigue and the first post-fatigue measurement (ANT: p = 0.019, PM: p = 0.004, PL: p = 0.003)&quot;"/><s v="&quot;A repeated measures ANOVA with a Greenhouse-Geisser correction determined that the mean reach distances for the anterior (F = 3.818, p = 0.025) reach directions were statistically significantly different between time points.&quot;"/><s v="&quot;The anterior reach direction returned to pre-fatigue levels within 10 min (p = 0.632). The posteromedial reach direction returned to pre-fatigue levels within 20 min (p = 0.236), while the posterolateral direction maintained a statistically significant d"/><s v="&quot;The posteromedial reach direction was approaching significance (F = 2.215, p = 0.059).&quot;"/><s v="&quot;A repeated measures ANOVA with a Greenhouse-Geisser correction determined that the mean reach distances for the posterolateral (F = 6.503, P = 0.0004) reach directions were statistically significantly different between time points.&quot;"/><s v="Results: Autoregressive analyses indicated that visual reproduction scores were inversely related to subsequent PTSD symptom severity at subsequent assessments. Conversely, increases in PTSD symptom severity over each measurement interval were associated "/><s v="&quot;A randomization test conducted on these data revealed a statistically significant change in level across students following the introduction of the intervention (p = .001), from a baseline mean of 60.0 WCPM to an intervention mean of 91.2.&quot;"/><s v="&quot;Visual and statistical analyses revealed significant improvement from baseline to intervention for both reading and (...) outcomes.&quot;, Reading outcome, STANDARD reading passages: &quot;The visual analysis was supported by a multiple-baseline randomization test"/><s v="&quot;Visual and statistical analyses revealed significant improvement from baseline to intervention for both reading and (...) outcomes.&quot;, Reading outcome, TRAINING reading passages: &quot;A randomization test conducted on these data revealed a statistically signi"/><s v="&quot;...there was a statistically significant increase in frequency of engaged behavior (p = .001), from an average of 63% engagement during baseline to 82% during intervention.&quot;"/><s v="&quot;Visual and statistical analyses revealed significant improvement from baseline to intervention for both (...) and behaviour outcomes.&quot; Behaviour outcome ENGAGED behaviour: &quot;analyses. Specifically, there was a statistically significant increase in frequen"/><s v="&quot;Visual and statistical analyses revealed significant improvement from baseline to intervention for both (...) and behaviour outcomes.&quot; Behaviour outcome DISRUPTIVE behaviour: &quot;There was a statistically significant decrease in students’ disruptive behavio"/><s v="&quot;There was a statistically significant decrease in students' disruptive behavior (p = .001), from an average of 18% occurrence during baseline to 7% during intervention. &quot;"/><s v="The sentence reading task consisted of 10 items in which a written sentence was followed by four pictures. The child was asked to choose the picture that best corresponded to the meaning of the sentence. The correct stimuli were presented in a random orde"/><s v="Spelling was measured by 14 items. For all items, the tester read a short sentence containing the target word, for example, “It was a difficult test. Write ‘test’”. The number of correctly spelled words was measured (maximum=14).	Significant ceiling effec"/><s v="Word Reading: Estimate: 3.29, SE: 1.08, pnorm: .002, 95% CI: [1.22, 5.66] Table 4 [...] Intervention effect sizes relative to control. Table 5."/><s v="Sentence Reading: Estimate: 2.64, SE: 0.98, pnorm: .007, 95% CI: [0.71, 4.56] Table 4 and Intervention effect sizes relative to control. Table 5."/><s v="Spelling: Estimate: 3.23, SE: 1.09, pnorm: &lt;.001, 95% CI: [1.20, 5.86] Table 4 and Intervention effect sizes relative to control. Table 5."/><s v="&quot;Significant ceiling effects were observed for the intervention children on all outcomes, with proportion of the sample censored from above as follows: word reading, 21.4%, sentence reading, 35.1%, spelling, 9.4%, and letter writing, 56.5%.&quot; See also tabl"/><s v="Not one of these moderator analyses was statistically significant (all p’s &gt; .20; see Table 3)"/><s v="Time to publication, Within 2 years: OR: 2.00, 95% CI: [1.34, 3.00], χ²(1), p: 1.62, .20 Table 3&#xA;"/><s v="Time to publication, More than 2 years: OR: 2.97, 95% CI: [1.89, 4.66] Table 3"/><s v="Sample size, &lt;100: OR: 2.35, 95% CI: [1.65, 3.36], χ²(1), p: 0.53, .47 Table 3&#xA;"/><s v="Sample size, ≥100: OR: 3.05, 95% CI: [1.66, 5.55] Table 3&#xA;"/><s v="Number of statistical significance tests, ≤14: OR: 2.68, 95% CI: [1.76, 4.08], χ²(1), p: 0.51, .48 Table 3&#xA;"/><s v="Number of statistical significance tests, &gt;14: OR: 2.16, 95% CI: [1.41, 3.30] Table 3&#xA;"/><s v="Type of outcome measure, Academic achievement: OR: 2.46, 95% CI: [1.71, 3.52], χ²(1), p: 0.37, .55 Table 3&#xA;"/><s v="Type of outcome measure, Socioemotional-behavioral: OR: 1.99, 95% CI: [1.13, 3.53] Table 3"/><s v="We next computed the Mantel–Haenszel odds ratio, which allowed us to weight studies by the number of statistical tests that were reported in the dissertation. The mean odds ratio was 2.41 (with a 95% confidence interval ranging from a low of 1.79 to a hig"/><s v="Non-native speakers' interpretation align with grammatical rules at higher proficiency."/><s v="Advanced learners interpret indicative forms similarly to non-native speakers."/><s v="Learners rely on linguistic factors to interpret languages."/><s v="Copied from replication paper (p. 7) because would have taken too long otherwise: &quot;In Figure 1, notice that our simulated data differ substantially from the graphs in Figure D1. Specifically, our data do not uniformly start around a single point and show "/><s v="1-4 years: &quot;When compared with less than 1 year of exposure to prolactin-increasing antipsychotics (all other antipsychotics), 1–4 years of exposure was not associated with an increased risk (...)"/><s v="5+ years: &quot;When compared with less than 1 year of exposure to prolactin-increasing antipsychotics (all other antipsychotics), (...) exposure for 5 or more years was associated with an increased risk (adjusted OR 1·56 [1·27–1·92], p&lt;0·001).&quot; (...) &quot;Long-te"/><s v="1-4 years: &quot;Compared with 5339 matched controls, 1–4 years cumulative exposure (adjusted odds ratio [OR] 0·95, 95% CI 0·73–1·25) (...) to prolactin-sparing antipsychotics (including clozapine, quetiapine, or aripiprazole) was not associated with an increa"/><s v="5+ years: &quot;Compared with 5339 matched controls, (...)5 or more years exposure (adjusted OR 1·19, 0·90–1·58) to prolactin-sparing antipsychotics (including clozapine, quetiapine, or aripiprazole) was not associated with an increased risk of breast cancer i"/><s v="&quot;Critically, the number of potential vmPFC pattern reactivations during the 45-min postextinction scan negatively predicted CRs at test on day 3&quot;"/><s v="45 minutes: &quot;Critically, the number of potential vmPFC pattern reactivations during the 45-min postextinction scan negatively predicted CRs at test on day 3 (multiple linear regression: β45 min = −0.13, SE = 0.03, T30 = −4.05, P = 0.0003; n = 35; Fig. 2b;"/><s v="90 minutes: &quot;Critically, the number of potential vmPFC pattern reactivations during the 45-min postextinction scan negatively predicted CRs at test on day 3 (multiple linear regression: β45 min = −0.13, SE = 0.03, T30 = −4.05, P = 0.0003; n = 35; Fig. 2b;"/><s v="&quot;L-DOPA administration significantly enhances retrieval&quot; (replication paper p. 1)"/><s v="&quot;L-DOPA administration significantly enhances retrieval and that this is MEDIATED by enhancement of the number of vmPFC reactivations&quot; (replication paper p. 1)"/><s v="&quot;Reactivations during the scans 10 [...] min after extinction did not significantly predict CRs &quot;"/><s v="&quot;Reactivations during the scans [...] 90 min after extinction did not significantly predict CRs &quot;"/><s v="&quot;As predicted, the postextinction administration of L-DOPA compared to placebo (see Fig. 1a) enhanced extinction memory retrieval and reduced the expression of fear at test on day 3 (stimulus: F1,33 = 44.61, P &lt; .001, partial η2 = 0.58, stimulus × group: "/><s v="&quot;postextinction L-DOPA administration significantly increased the number of potential CS+ offset-related vmPFC pattern reactivations (time × group: F(3,114) = 3.51, P = 0.02, partial η2 = 0.09; n = 40), particularly 45 min after extinction&quot;"/><s v="Attitude toward the adoption of open data badges was the strongest predictor of psychologists' behavioral intention to adopt the badge (β = 0.415, p &lt; 0.001). A positive attitude significantly increased psychologists' intentions to adopt an open science b"/><s v="Norm on data sharing significantly influenced behavioral intention (β = 0.201, p &lt; 0.001)."/><s v="Perceived effort had a negative influence on behavioral intention  (β = -0.226, p &lt; 0.001)."/><s v="Open science journal pressure did not have significant effects on behavioral intention  (β = 0.001, p &gt; 0.05)."/><s v="The availability of a data repository did not have significant effects on behavioral intention (β = 0.062, p &gt; 0.05)."/><s v="To acquire 10 operants, all four participants required fewer instructional trials in the Operant compared to the Set Analysis condition."/><s v="&quot;Josh required 30, Tim required 21, and Connor required eight additional sessions of instruction to reach mastery in the set condition in comparison to the target condition. Omar’s and Billy’s results showed minimal differences between conditions, and the"/><s v="&quot;Maintenance was similar across conditions and experiments&quot;"/><s v="Hipocrisy was evident at both in-group and out-group levels F(1, 72) = 11.75, p = .001, d = 1.11. Participants perceived their own transgressions and those of in-group members more favorably compared to others."/><s v="Loneliness was positively associated with attributing social connection to nonhuman gadgets (r = -.18, p = .02)"/><s v="Inner speech attenuates the sensory impact of matching external sounds, demonstrating that corollary discharge is a key mechanism in inner speech."/><s v="Greater attenuation in the matching condition suggests that sensory attenuation is specifically tied to the congruence between inner speech and external auditory inputs, reinforcing the role of motor-to-sensory prediction"/><s v="Inner speech attenuation mirrors overt speech mechanisms, supporting corollary discharge theory"/><s v="Table 2: &quot;Climate change worry&quot;"/><s v="Climate change worry ...b = .16, SE =.01"/><s v="Climate change caused by humans, ..., .b = 07 SE = 0.01"/><s v="Table 2: &quot;Climate change (is) caused by humans&quot;"/><s v="&quot;In females, higher interleukin 8 [..] levels were linked to presence of SUD.&quot; (substance use disorder)"/><s v="CRP. Predictors explained 45 % of the variance (Adjusted R2 =.45)"/><s v="IL-8. Predictors explained 15 % of the variance (Adjusted R2 =.15)"/><s v="IL-10. Predictors explained 9% of the variance (Adjusted R2&#xA;=.09)"/><s v="&quot;In females, higher interleukin [...] 10 levels were linked to presence of SUD.&quot; (substance use disorder)"/><s v="&quot;In females, higher C-reactive protein levels were linked to absence of SUD.&quot; (substance use disorder)"/><s v="DE training reduced impulsive choice relative to both IE and CONT rats. Replicating previous studies, DE rats showed signiﬁcantly greater percent LLR choice than IE rats at both the 15-s (59.76% vs. 8.43%;z = 4.57, p &lt; .0001) and 30-s delays (30.11% vs. 3"/><s v="&quot;The content-specific bifactor model was superior to the fit of the alternative models. Specifically, the content-specific model provided a statistically significant better fit to the data than a single-factor model, ΔX2 (3) = 35,419.8, p &lt; .001,&quot;"/><s v="&quot;The content-specific bifactor model was superior to the fit of the alternative models. Specifically, [...] the valence bifactor model in turn improved fit to the content-specific model, ΔX2 (26) = 1163.1, p &lt; .001&quot;"/><s v="&quot;the content-specific bifactor model in turn improved fit to the valence bifactor structure (model with the next best fit) ΔX2(11) = 2302.6, p &lt; .001.&quot;"/><s v="Content-specific bifactor model had a better fit than valence bifactor model"/><s v="It was also positively associated with attention to emotion, suggesting that this factor captures a tendency for contemplative self-analysis."/><s v="The three main effects were significant: group, X2 (1)=5.49, p &lt; .05, dv=0.09,"/><s v="Phase X2 (2)=9.17, p &lt; .05, dv=0.08"/><s v="condition, X2 (3)=62.69, p &lt; .001, dv=0.37,"/><s v="More importantly, the three-way interaction of group, phase and condition was significant, X2 (6)=12.64, p &lt; .05, dv=0.04"/><s v="The model demonstrated a significant main effect of group, X2 (1)=10.68, p &lt; .01, with more correct responses in the trained (M=0.72, SE=0.18) than in the control group (M=0.53, SE=0.15; OR=0.39, CI 0.23–0.64);"/><s v="The model demonstrated a significant main effect of ... phase, X2 (2)=8.13, p &lt; .05, with more correct responses in the posttest 1 (M=0.65, SE=0.20) and post-test 2 (M=0.71, SE=0.21) than in the pre-test (M=0.52, SE=0.19; OR=0.52, CI 0.27–0.99 and OR=0.42"/><s v="More importantly, the interaction between these two factors was also significant, X2 (2)=9.73, p &lt; .01 (see Fig. 4). Post-hoc comparisons showed no group differences in the pre-test phase, X2 (1)=0.0001, p ≃ 1.00 (OR=0.99, CI 0.34–2.95); whereas the train"/><s v="Figure 1: &quot;Net change in the misinformation effect (MIE; operationalised as either misinformation endorsement or accuracy with double misinformation compared to standard misinformation) as a function of misinformation availability. Positive (negative) cha"/><s v="misinformation availability and net changes in the misinformation effect while, controlling for original detail availability. We used simple correlations on the basis of the data, points in Figure 1 as a starting point (r = -.69 and r = -.70, both p &lt; .00"/><s v="&quot;A main effect of flanker relatedness was observed, with&#xA;faster responses in the presence of related flankers&quot;"/><s v="&quot;Crucially, interaction effects were observed between morphological structure and flanker relatedness: between the truly morphological and pseudo-morphological conditions...&quot;"/><s v="&quot;Crucially, interaction effects were observed between morphological structure and flanker relatedness: [...], and between the truly morphological and non-morphological conditions,&quot;"/><s v="&quot;On the other hand, the effect of flanker relatedness did not differ between the pseudo-morphological and non-morphological conditions...&quot;"/><s v="&quot;In the error rates we again established interactions between morphological and orthographic relatedness when isolating the truly morphological and non-morphological conditions ..&quot;"/><s v="&quot;In the error rates we again established interactions between [...] but not when isolating the truly morphological and pseudomorphological conditions&quot;"/><s v="&quot;In the error rates we again established interactions between [...] but not when isolating [...] or when isolating the pseudo-morphological and non-morphological conditions &quot;"/><s v="family values (i.e., importance and centrality of the family) of mother and father"/><s v="Table 2 shows the result for three omnibus Chi-squares tests of independence. All three tests yielded statistically significant findings at p &lt; .05, suggesting there were significant associations between participants’ (a) VMSWO rank and mean force rank, ("/><s v="The TASK × EMOTION × GROUP ANOVA on percentage of correct answers revealed a significant main effect of [...] EMOTION (F3.5,298.9 =107.8, p&lt;.001, ηp 2 = .556)."/><s v="In addition, a TASK × GROUP interaction (F2.9,123.2 = 3.1, p = .031, ηp 2 = .067) [...] emerged."/><s v="In addition, a [...] TASK × EMOTION interaction (F4.2,361.9 = 92.5, p&lt;.001, ηp 2 = .518) emerged."/><s v="were further qualified by a TASK × EMOTION × GROUP interaction (F8.4,361.9 =2.6, p = .009, ηp 2 = .056)."/><s v="For the emotion discrimination task (see Fig. 2), the follow-up ANOVA yielded a significant main effect of EMOTION (F3.3,281.8 = 114.5, p&lt;.001, ηp 2= .571) "/><s v="For the emotion discrimination task (see Fig. 2), the follow-up ANOVA yielded a significant main effect of [..]GROUP (F2,86 = 3.3, p = .040, ηp2 = .072)."/><s v="These main effects were qualified by a significant EMOTION × GROUP interaction (F6.6,281.8 = 2.7, p = .012, ηp 2 = .059)"/><s v="For happy faces, the ANOVA yielded a significant effect of GROUP (F2,86 =4.2, p = .018, ηp 2 = .089) indicating that the AN group performed better than the MD group (t35.2=2.6, p=.013, d=.73)."/><s v="For sad faces, a significant effect of GROUP (F2,86 = 3.6, p = .030, ηp 2 = .078) indicated a higher percentage of correct answers in the AN than the MD group (t50 = 2.7, p = .010, d = .74)."/><s v="For afraid faces, the significant effect of GROUP (F2,86 = 5.4, p = .006, ηp 2 = .112) indicated that the AN group performed better than both, MD (t50 = 2.7, p = .009, d = .75) and HC (t61.0 = 3.4, p = .001, d = .84) groups."/><s v="MD and the HC groups did not differ significantly in any of the post-hoc comparisons. For angry and neutral faces no significant GROUP effects emerged (Fs&lt;1)."/><s v="The follow-up ANOVA for the gender discrimination task yielded only a significant main effect of EMOTION (F4,344= 26.1, p&lt;.001, ηp2=.233) "/><s v="The follow-up ANOVA for the gender discrimination task yielded [...] no main effect or interaction involving GROUP (Fs&lt;1)"/><s v="The TASK × EMOTION × GROUP ANOVA on RTs yielded a significant main effect of TASK (F1.7,146.1 = 947.0, p&lt;.001, ηp2 = .917)"/><s v="The TASK × EMOTION × GROUP ANOVA on RTs yielded a significant main effect of [...] EMOTION (F3.6,311.2 = 93.0, p&lt;.001, ηp 2 = .519)."/><s v="The TASK × EMOTION × GROUP ANOVA on RTs yielded a [...] significant TASK × EMOTION interaction (F4.7,405.1 = 99.5, p&lt;.001, ηp 2 = .536)."/><s v="No main effect or interactions of GROUP were found (Fs ≤ 1.4, ps&gt;.05)."/><s v="For faces being misclassified as sad, the ANOVA yielded an ERRORTYPE × GROUP interaction (F4.7,203.5 = 2.6, p = .029, ηp 2 = .057)."/><s v="A significant effect of GROUP emerged only for afraid faces being misclassified as sad (F2,86 = 4.8, p = .011, ηp 2 = .100), indicating that the MD group misclassified less afraid faces as sad than the HC group (t61 = 2.6, p = .011, d = .71)."/><s v="For faces being misclassified as angry, a main effect of GROUP (F2,86 = 3.2, p = .046, ηp 2 = .069) was found."/><s v="For faces being misclassified as neutral, a main effect of GROUP (F2,86 = 3.2, p = .047, ηp2 = .069) emerged"/><s v="Follow-up ANOVAs revealed significant effects of GROUP for happy (F2,86 = 3.7, p = .030, ηp 2 = .078) as well as sad (F2,86 = 4.0, p = .023, ηp 2 = .084) faces being misclassified as neutral"/><s v="Follow-up ANOVAs revealed significant effects of GROUP for [...] sad (F2,86 = 4.0, p = .023, ηp 2 = .084) faces being misclassified as neutral"/><s v="For faces being misclassified as happy [...] the ANOVAs yielded no significant effects involving GROUP (Fs ≤ 1.4, ps&gt;.05)."/><s v="For faces being misclassified as [...] afraid, the ANOVAs yielded no significant effects involving GROUP (Fs ≤ 1.4, ps&gt;.05)."/><s v="The TASK × EMOTION × GROUP ANOVA on percentage of correct answers revealed a significant main effect of TASK (F1.4,123.2 = 395.8, p&lt;.001, ηp 2 = .822) "/><s v="The TASK   EMOTION   GROUP ANOVA on percentage of correct answers revealed a significant main effect of TASK (F1.4,123.2 = 395.8, p&lt;.001, ηp 2 = .822) "/><s v="The TASK   EMOTION   GROUP ANOVA on percentage of correct answers revealed ... a significant main effect of EMOTION (F3.5,298.9 = 107.8, p&lt;.001, ηp 2 = .556)."/><s v="were further qualified by a TASK   EMOTION   GROUP interaction (F8.4,361.9 = 2.6, p = .009, ηp 2 = .056)."/><s v="For the emotion discrimination task (see Fig. 2), the follow-up ANOVA yielded a significant main effect of EMOTION (F3.3,281.8 = 114.5, p&lt;.001, ηp 2= .571)"/><s v="For the emotion discrimination task (see Fig. 2) ...  a significant main effect of GROUP (F2,86 = 3.3, p = .040, ηp 2 = .072). "/><s v="For the emotion discrimination task ... a significant EMOTION x  GROUP interaction (F6.6,281.8 = 2.7, p = .012, ηp 2 = .059)"/><s v="AN group performed better than ...  HC (t61.0 = 3.4, p = .001, d = .84) groups"/><s v="The TASK   EMOTION   GROUP ANOVA on RTs yielded a significant main effect of TASK (F1.7,146.1 = 947.0, p&lt;.001, ηp 2 = .917)  "/><s v="The follow-up ANOVA for the gender discrimination task yielded only a significant main effect of EMOTION (F4,344= 26.1, p&lt;.001, ηp 2= .233) but no main effect or interaction involving GROUP (Fs&lt;1),"/><s v="The follow-up ANOVA for the gender discrimination ... but no main effect or interaction involving GROUP (Fs&lt;1),"/><s v="The TASK   EMOTION   GROUP ANOVA on RTs yielded a significant main effect of ... EMOTION (F3.6,311.2 = 93.0, p&lt;.001, ηp 2 = .519)"/><s v="RT ... a significant TASK   EMOTION interaction (F4.7,405.1 = 99.5, p&lt;.001, ηp 2 = .536)."/><s v="&quot;A statistical analysis showed that there were in fact no significant interactions between item type and group (F(2,57) = .105; p = .901).&quot;  &quot;The statistical analyses presented above demonstrate that both sets of L3 learners were successful on the experim"/><s v="Results of the first experiment, the Semantic Interpretation Task…All groups performed comparably on this experiment, deriving about the same number correct interpretations for both preposed and postposed adjectives. A statistical analysis showed that the"/><s v="&quot;Furthermore there was no significant effect for item type (preposed v. postposed: F(1,57) = 0.011; p = .917)&quot;  &quot;The statistical analyses presented above demonstrate that both sets of L3 learners were successful on the experiments without any statisticall"/><s v="Results of the first experiment, the Semantic Interpretation Task…All groups performed comparably on this experiment, deriving about the same number correct interpretations for both preposed and postposed adjectives...no significant effect for...language "/><s v="&quot;Furthermore there was no significant effect...for language group (F(2,57) = 0.404; p = 0.669)&quot;. &quot;The statistical analyses presented above demonstrate that both sets of L3 learners were successful on the experiments without any statistically significant d"/><s v="Results of the second experiment, the Collocation Task… All groups performed comparably, providing about the same number of correct adjective placements based on context for both preposed and postposed adjectives. A statistical analysis showed that there "/><s v="&quot;There were no significant interactions between item type and group (F(2,57) = .288; p = .751).&quot; &quot;The statistical analyses presented above demonstrate that both sets of L3 learners were successful on the experiments without any statistically significant d"/><s v="Results of the second experiment, the Collocation Task… All groups performed comparably, providing about the same number of correct adjective placements based on context for both preposed and postposed adjectives...Moreover, a statistical analysis showed "/><s v="&quot;There were no significant effects for item type (preposed v. postposed: F(1,57) = 2.526; p = .118)&quot;. &quot;The statistical analyses presented above demonstrate that both sets of L3 learners were successful on the experiments without any statistically signific"/><s v="&quot;There were no significant effects...for language group (F(2,57) = 0.272; p = 0.763).&quot; &quot;The statistical analyses presented above demonstrate that both sets of L3 learners were successful on the experiments without any statistically significant deviance fr"/><s v="&quot;The overall mean estimate for self-reported (actual) falsification is 3.68 per cent, which is significantly different from zero (t = 2.82, p = 0.0025, one-tailed).&quot; &quot;The estimated percentage of seriously tainted articles in the top thirty accounting jour"/><s v="&quot;The estimate for the overall percentage of articles affected (in respondents’ opinion) is 20.92 per cent, also significantly different from zero (t = 5.06, p &lt; 0.0001). Thus respondents estimate the extent of research falsification to be about six times "/><s v="&quot;The attributions to internal causes were almost identical for the two sequences, at 36 and 35 per cent.&quot;"/><s v="&quot;We conducted a 2 (workplace: social vs remote)×2 (hierarchy: high vs low) ANOVA with corruption beliefs as the dependent variable. This analysis yielded a main effect of hierarchy F(1, 401)=17.49, p &lt; .001, ηp 2=0.042, [...] These results indicated that "/><s v="&quot;Consistent with Hypothesis 1, participants in the high hierarchy condition expected there to be more corruption among the employees of the Finance Department than participants in the low hierarchy condition, t (95)=2.32, p=.023, Cohen’s d=0.48 (see Table"/><s v="&quot;Consistent with Hypothesis 3, mediation bootstrapping procedures (Model 4; 5000 bootstraps; Hayes, 2012) revealed an indirect effect of hierarchy condition (1=high hierarchy, 0=low hierarchy), through corruption perceptions, on beliefs about whether the "/><s v="&quot;Consistent with Hypothesis 3, mediation bootstrapping procedures (Model 4; 5000 bootstraps; Hayes, 2012) revealed an indirect effect of hierarchy condition (1=high hierarchy, 0=low hierarchy), through corruption perceptions, on (...) desire to sign the p"/><s v="&quot;That is, across both levels of workplace sociality, participants in the high hierarchy condition (M = 4.25, SD = 1.62) expected more corruption among the employees in the company than participants in the low hierarchy condition (M = 3.55, SD = 1.69).&quot;"/><s v="&quot;Consistent with Hypothesis 1, participants in the high hierarchy condition expected there to be more corruption among the employees of the Finance Department than participants in the low hierarchy condition, t(95) = 2.32, p = .023, Cohen’s d = 0.48 (see "/><s v="The BASC-3 TRS-C Externalizing Problems Composite&#xA;scale was significantly correlated with the ASCA Overactivity syndrome (r = .79, p &lt;&#xA;.01) and supported convergent validity, sharing 62% measurement variance"/><s v="&quot;Table 6 presents the descriptive statistics and t-test results for specific BASC-3 TRS-C&#xA;and ASCA comparisons.&quot; Comparison of &quot;BASC Attention Problems ASCA Attention Deficit Hyperactive&quot;"/><s v="&quot;Table 6 presents the descriptive statistics and t-test results for specific BASC-3 TRS-C&#xA;and ASCA comparisons.&quot; Comparison of &quot;BASC Hyperactivity ASCA Attention Deficit Hyperactive&quot;"/><s v="&quot;Table 6 presents the descriptive statistics and t-test results for specific BASC-3 TRS-C&#xA;and ASCA comparisons.&quot; Comparison of &quot;BASC Withdrawal ASCA Avoidant&quot;"/><s v="&quot;Table 6 presents the descriptive statistics and t-test results for specific BASC-3 TRS-C&#xA;and ASCA comparisons.&quot; Comparison of &quot;BASC Conduct Problems ASCA Delinquent&quot;"/><s v="&quot;Table 6 presents the descriptive statistics and t-test results for specific BASC-3 TRS-C&#xA;and ASCA comparisons.&quot; Comparison of &quot;BASC Conduct Problems ASCA Oppositional Defiant&quot;"/><s v="&quot;Table 6 presents the descriptive statistics and t-test results for specific BASC-3 TRS-C&#xA;and ASCA comparisons.&quot; Comparison of &quot;BASC Aggression ASCA Solitary Aggressive Provocative&quot;"/><s v="&quot;Table 6 presents the descriptive statistics and t-test results for specific BASC-3 TRS-C&#xA;and ASCA comparisons.&quot; Comparison of &quot;BASC Aggression ASCA Solitary Aggressive Impulsive&quot;"/><s v="&quot;Table 6 presents the descriptive statistics and t-test results for specific BASC-3 TRS-C&#xA;and ASCA comparisons.&quot; Comparison of &quot;BASC Externalizing ASCA Overactivity&quot;"/><s v="&quot;Table 6 presents the descriptive statistics and t-test results for specific BASC-3 TRS-C&#xA;and ASCA comparisons.&quot; Comparison of &quot;BASC Internalizing ASCA Underactivity&quot;"/><s v="performance had a large and statistically significant main effect on satisfaction… b = 0.55, p &lt; .01"/><s v="&quot;Figure 6&quot; &quot;Overall, the empirical model in Figure 6 explains 26 percent of variance in satisfaction. More importantly, all of the core relationships were in the expected direction and were both substantively strong and highly significant statistically (p"/><s v="The expectations factor had only a very small negative main effect, which was not at all significant statistically… b = -0.01, p = n.s"/><s v="The interaction effect was positive, meaning that high expectations seemed to amplify the effect of performance on satisfaction judgments… b = 0.08, p = n.s"/><s v="Not reported - only a figure"/><s v="the slopes are very significantly negative (p &lt; 0.01), especially when length is measured in words (p ≪ 0.001)."/><s v="&quot;Results revealed significant effects for Time, F(1,15) = 16.49, p = .001, partial g2 = .52&quot; &quot;Consistent with predictions, participants in the ARTS condition showed a significant reduction in threat bias whereas those in the Sham-ARTS condition did not.&quot;"/><s v="Effects of treatment on threat bias were tested through a repeated measures analysis of variance (ANOVA)…Results revealed significant effects for Time, F(1,15) = 16.49, p = .001, partial η² = .52"/><s v="&quot;Results revealed significant effects... for the Group X Time, interaction, F(1,15) = 6.64, p = .021, partial g2 = .31&quot; &quot;Consistent with predictions, participants in the ARTS condition showed a significant reduction in threat bias whereas those in the Sha"/><s v="Effects of treatment on threat bias were tested through a repeated measures analysis of variance (ANOVA)…Results revealed significant effects…for the Group X Time interaction, F(1,15) = 6.64, p = .021, partial η² = .31… participants in the ARTS condition "/><s v="&quot;Results revealed significant effects for Time, F(1,21) = 13.66, p= .001, partial g2 = .39&quot; &quot;Significantly greater improvement on such measures in the ARTS versus Sham-ARTS group would suggests that the emo- tional effects of attentional retraining extend"/><s v="Effects of treatment on composite symptoms were tested through a repeated measures analysis of variance (ANOVA)… Results revealed significant effects for Time, F(1,21) = 13.66, p = .001, partial η² = .39"/><s v="&quot;Results revealed significant effects….for the Group X Time interaction, F(1,15) = 13.24, p = .002, partial g2 = .39&quot; &quot;Significantly greater improvement on such measures in the ARTS versus Sham-ARTS group would suggests that the emo- tional effects of att"/><s v="Effects of treatment on composite symptoms were tested through a repeated measures analysis of variance (ANOVA)… Results revealed significant effects… d for the Group X Time interaction, F(1,15) = 13.24, p = .002, partial η² = .39… the emotional effects o"/><s v="higher PC scores will lead to greater reductions in the CSI in the ARTS vs. the Sham Arts condition. This &#xA;prediction is derived from the hypothesis that individuals with higher PC scores may &#xA;(consciously or unconsciously) utilise PC to experience the "/><s v="Panel A of table 4 shows that male 90/50 (upper-tail) residual wage inequality rose during both halves of the sample: by 4.4 log points from 1973 to 1989 and by 4.0 log points from 1989 to 2005. ... Male 50/10 residual inequal- ity rose by 5.7 log points "/><s v="&quot;There was a main effect of block type, with longer RTs for non- switch trials in the switch block, F(1,64) = 228.4, p &lt; .001, η2, p = .78&quot;"/><s v="There was a main effect of block type, with longer RTs for non-switch trials in the switch block, F(1,64) = 228.4, p &lt; .001, η²p = .78... and an interaction between block type and language status, F(1,64) = 4.9, p = .03, η²p = .07, in which the difference"/><s v="There was a main effect of switch status, with longer RTs for switch trials, F(1,64) = 53.2, p &lt; .001, η2p = .45"/><s v="&quot;No main effect of language status, F &lt; 1&quot;"/><s v="There was &quot;An interaction between block type and language status, F(1, 64) = 4.9, p = .03, η²_p = .07, in which the difference between RT in switch and non-switch blocks was smaller for bilinguals, consistent with smaller GSC&quot; &quot;our study found that young "/><s v="&quot;There was a main effect of switch status, with longer RTs for switch trials, F(1, 64) = 53.2, p &lt; .001, η²_p = .45&quot;"/><s v="&quot;Neither the language status main effect nor the interaction reached significance, Fs &lt; 1&quot; &quot;our study found that young adult bilinguals displayed a GSC advantage, but no LSC advantage.&quot;"/><s v="The final result identified eight factors with 40 total items. Table 12 shows the third and final rotated factor matrix, with the loading for each item. Factors six, seven, and eight are the least stable with only three items each. The researcher determin"/><s v="The key findings from the studies have suggested that accuracy scores of the morphemes reflect a somewhat fixed order of morpheme acquisition for L2 English learners irrespective of L1 background, age, or learning environment."/><s v="By conflating A1 and A2 together into ‘beginners’ and B1 and B2 into ‘intermediates’ (Figure 6B),7 beginners significantly differ from intermediates for each morpheme&#xA;(p &lt; 0.02 for all X2 contrasts),8 except for plural -s (TLU = 14/15 vs. 51/54, X2 = 0.02"/><s v="By conflating A1 and A2 together into ‘beginners’ and B1 and B2 into ‘intermediates’ (Figure 6B),7 beginners significantly differ from intermediates for each morpheme&#xA;(p &lt; 0.02 for all X2 contrasts),8 except for plural -s (TLU = 14/15 vs. 51/54, X2 = 0.0"/><s v="The regression analysis revealed that all three scales contributed significantly to the prediction of global foreign language anxiety, F(3, 254) = 191.15, p &lt; .0001. These three scales together explained 69.4% of the variance in global anxiety (adjusted R"/><s v="There are  multiple paths to rumination. Major theories of rumination that put different emphasis on metacognitive and self-regulatory aspects of rumination complement each other."/><s v="One of the author’s key conclusions is that the relationship between science and religion is dynamic, diverse, and highly dependent on historical and cultural contexts, challenging simplified narratives of inherent conflict or complete separation between "/><s v="When contrasting the different empowerment scenarios, patterns similar to those identified in corporate attitudes are found. First, full empowerment tends to receive the highest observed frequencies for furniture and bicycles (for T-shirts, full empowerme"/><s v="In support of H2a and H2b, respectively, it is first found (using repeated measures ANOVAs) that the ‘‘empowerment to create’’ scenario (mean = 4.49) as well as the ‘‘empowerment to select’’ scenario (mean = 4.57) produced significantly stronger corporate"/><s v="In a similar vein, the ‘‘empowerment to cocreate’’ (mean =4.76), ‘‘empowerment to select’’ (mean = 4.76), as well as the full-empowerment scenario (mean = 5.18) are clearly superior in terms of corporate attitudes compared with the zero-empowerment scenar"/><s v="Third, the same patterns are found for bicycles: ‘‘cocreate’’ (mean = 4.67), ‘‘select’’ (mean = 4.90), and full-empowerment (mean = 5.09) companies are associated with significantly higher corporate attitudes than zero-empowerment firms (mean 5 3.69; p &lt; "/><s v="&quot;There was a significant Objectball,food main effect, F(1, 19) = 4.32, p = 0.05, np2 = 0.19, reflecting earlier movement initiations toward Food objects (M = 1,361 milliseconds, SE = 112 milliseconds) compared to Ball objects (M = 1,417 milliseconds, SE ="/><s v="&quot;Neither the main effect Interactiongrasp,ward, F(1, 19) = 2.80, p = 0.11&quot;"/><s v="&quot;Neither….nor the two-way interaction was significant, F(1, 19) = 0.13, p = 0.72.&quot;"/><s v="&quot;Ward movements were executed faster than grasp move- ments (mean difference: 218.72 milliseconds, SE = 60.88 milliseconds), as reflected by a significant main effect of Interactiongrasp,ward, F(1, 19) = 12.90, p = 0.002, gp2 = 0.41."/><s v="&quot;Again, a timely advantage emerged for Food objects, F(1, 19) = 4.50, p = 0.05, gp2 = 0.19&quot; &quot;Complementing previous findings, food objects were grasped and collected significantly faster than nonfood objects. This result replicates an attentional bias for"/><s v="&quot;there was no sig- nificant two-way interaction effect, F(1, 19) = 1.19, p = 0.29&quot;"/><s v="&quot;we indeed found that Food objects were gathered faster than Ball objects, and the difference was significant, t(19) = 3.692, p = 0.002, d = 0.16&quot; &quot;Complementing previous findings, food objects were grasped and collected significantly faster than nonfood "/><s v="&quot;Compared with the initial bias observed in movement-onset times, the behavioral bias for food appar- ently increased by 39.5 percent (D = 44.33 milliseconds, SE = 24.81 milliseconds), and we noted a statistical trend for significance, t(19) = 1.79, p = 0"/><s v="&quot;With increasing BMI, the collection time advantage in collecting food was indeed larger, r = 0.428, p = 0.030.&quot; &quot;In contrast to neutral cues, both appetizing and unappetizing food cues elicited faster responses with increasing BMI in a dot-probe paradigm"/><s v="&quot;As expected, there was a trend for edible objects to be rated more positively than ball objects, although the biserial correlation of object type and valence ratings was rather small, r = 0.15, p = 0.059.&quot;"/><s v="The 1 X 7 analysis of variance yielded a significant effect of experimental condition, (6, 183) = 4.02, p &lt; .00 … holding subjects accountable for the decision process produced a significant decrease in resource allocation compared with the baseline condi"/><s v="&quot;a significant effect of experimental condition on resource allocation F(6, 183) = 4.02, p &lt; .001&quot;"/><s v="The 1 X 7 analysis of variance yielded a significant effect of experimental condition, (6, 183) = 4.02, p &lt; .001. (outcome accountability)"/><s v="&quot;holding subjects accountable for the decision process produced a significant decrease in resource allocation&#xA;compared with the baseline condition. F(l, 183) = 4.07, p &lt; .05&quot;"/><s v="As predicted, process accountability was associated with significantly lower alloca- tions to the initial choice than was outcome accountability, /-&quot;(I, 183)= 12.41, p&lt;.01."/><s v="&quot;An additional planned contrast was between process accountability and outcome accountability. As predicted, process accountability was associated with significantly lower allocations to the initial choice than was outcome accountability, /-&quot;(I, 183)= 12."/><s v="For conceptual knowledge, our analysis revealed a significant, large effect for the form of instruction (F[1,200] = 34.29, p &lt; .001, η² partial = .15) favoring instruction based on typical student solutions"/><s v="&quot;The ANCOVA for conceptual knowledge revealed significant differences between conditions (F[2,94] = 17.49, p &lt; .001&quot;."/><s v="The timing of instruction (F[1,200] = 1.65, p = .20) "/><s v="&quot;Second, we tested the effect of timing of instruction when the form of instruction is held constant. While PS-Icontrast outperformed Icontrast-PS (hypothesis 1b) in descriptive terms, this difference failed to reach statistical significance (F[1,94] 1= 2"/><s v="And the interaction (F[1,200] = 1.08, p = .30) were not significant "/><s v="&quot;The ANCOVA for procedural skills revealed significant differences between conditions (F[2,94] = 4.86, p = .01)&quot;."/><s v="For procedural skills, we found a significant, small effect for the timing of instruction (F[1,200] = 3.98, p = .047, η² partial = .02) favoring instruction prior to problem-solving"/><s v="&quot;The form of instruction in the instruction prior to problem-solving conditions (F[1,94] = .13, p = .72) had no significant effect on the acquisition of procedural skills&quot;."/><s v="but no significant effect for the form of instruction (F[1,200] = 0.39, p = .53), "/><s v="&quot;For conceptual knowledge, we found a significant effect with a large effect size for form of instruction (F[1,243] = 45.35, p &lt; .001, favoring instruction based on typical student solutions (i.e., supporting hypothesis 1a)&quot;"/><s v="or for the interaction (F[1,200] = 1.32, = .25)."/><s v="&quot;For conceptual knowledge, we found a significant effect with medium effect size for timing of instruction (F[1,234] = 21.30, p &lt; .001,&#xA; favoring problem-solving prior to instruction&quot;"/><s v="&quot;For procedural skills, neither the timing of instruction (F [1,234] = 1.35, p = .25; i.e., no support for hypothesis&quot;"/><s v="&quot;The interaction of the two factors (F[1,234] = 3.25, p = .07) was marginally significant&quot;."/><s v="&quot;For procedural skills form of instruction (F[1,234] = 0.002, p = .97) was significant&quot;"/><s v="&quot;We further found a significant interaction (F[1,234] = 4.68, p = .03, indicating that the form of instruction had a higher effect in the problem-solving prior to instruction conditions&quot;."/><s v="&quot;Under high personal responsibility conditions, subjects allocated an average of 11.08 million dollars to the corporate divisions they had earlier&#xA;chosen for extra R &amp; D funding. Under low personal responsibility conditions, subjects allocated an addition"/><s v="&quot;Under positive decision consequences, subjects allocated an average of 8.77&#xA;million to the previously chosen alternative, while 11.20 million was allocated under negative consequences&quot;"/><s v="&quot;the amount invested in the previously chosen alternative was greater in the high personal responsibility-negative consequences condition than in any of the other three experimental conditions."/><s v="When we included only the SNS, it significantly predicted the strength of music-evoked nostalgia in the expected direction, β=.1082,t(224)=2.81,p=.01\beta = .1082, t(224) = 2.81, p = .01β=.1082,t(224)=2.81,p=.01. …"/><s v="&quot;Participants reported more music-evoked nostalgia when listening to songs that they found arousing&quot;"/><s v="&quot;Participants reported more music-evoked nostalgia when listening to songs that evoked in them greater numbers of positive and negative emotions&quot;"/><s v="&quot;Participants reported more music-evoked nostalgia when listening to songs that gave rise to mixed emotions&quot;"/><s v="&quot;When estimating a model including the ANPS, PANAS, and SNS, the positive association of SNS with music-evoked&#xA;nostalgia remained significant, β = .1116, t(215)  2.62, p  .01, whereas the previously significant associations of Negative Affect&#xA;and Play wit"/><s v="Interaction of context-level and person-level predictors on music-evoked nostalgia (nostalgia proneness x arousal), Table 2"/><s v="&quot;Those who won the money on a radio contest were more likely to spend the money (M = 3.11) than those who earned it by working overtime (M = 4.25). This difference was statistically significant, t(91) = 2.97, p &lt; .01&quot;"/><s v="&quot;The tax rebate group was more likely to make the investment, whereas the savings group exhibited no marked preference between investing and not investing &quot;"/><s v="&quot;Despite obvious differences in job difficulty, the groups in the main experiment did not differ in their willingness to buy the television. The chi square analysis comparing questionnaires 3A and 3B did not approach significance&quot;."/><s v="&quot;developing informal representations for variables and unknowns and learning about the&#xA;two interpretations of the equal sign were meaningful new insights for the prospective&#xA;teachers.&quot;"/><s v="&quot;A planned contrast showed that the number of death words created in the MS no delay condition (M 1⁄4 0.94, SD 1⁄4 1.21) was&#xA;greater than the number of death words created in the other three conditions (MS delay: M 1⁄4 0.56, SD 1⁄4 0.67; DPS delay:&#xA;M 1⁄4 "/><s v="cold pressor stress induced a shift towards greater right frontal activation which, however, was limited to F7/F8... A CONDITION * &#xA;TIME * LOCATION within-subjects ANOVA resulted in...marginally significant three-way interaction of CONDITION*TIME*LOCATION"/><s v="&quot;A CONDITION *TIME * LOCATION within-subjects ANOVA resulted in a significant two-way interactions of CONDITION*TIME (F[1,20] = 5.38, p = .031, η² = .118)&quot;"/><s v="Frontal asymmetry during acute stress was unrelated to other stress response components…asymmetry at F3/F4 remained unchanged during stress...(r = . -.204, p = .375)"/><s v="Cortisol responses were best predicted by resting asymmetry at electrodes F3/F4…the correlation with cortisol only reached significance during baseline (r = . -.512, p = .018)"/><s v="Are static analysis errors related to student achievement, in terms of earning grades?...examining a scatterplot of the two variables...ndividual error rate on an assignment and the corresponding score...does not reveal a clear visible trend (correlation "/><s v="&quot;formatting errors occur most often 49%&quot; "/><s v="An analysis of variance including course, the presence of coding errors in the final product, and the presence of coding errors at any point during development of the solution indicated that coding flaws are significantly related to program grades earned "/><s v="&quot;A one-way analysis of variance shows that the overall error rates do differ significantly by course (F = 526, p &lt; 0.0001). Tukey’s HSD indicates that each course is different from the three others, with its own distinct overall error rate. Among CS major"/><s v="&quot;While an ANCOVA suggests a relationship between individual error rate on an assignment and the corresponding score (F = 5211, pp &lt; 0.0001), examining a scatterplot of the two variables does not reveal a clear visible trend (correlation R = -0.27)&quot;"/><s v="&quot;presence of coding flaws in the final submission itself was associated with dramatically lower scores (mean without flaws in final work = 91.4%, mean with flaws in final work = 48.2%, F = 7710, p &lt; 0.0001), with an effect size of 1.97&quot;"/><s v="&quot;Regarding RQ1, there are significant differences between the comment variants (X2 = 16.1; α = 0.003). Code snippets with good comments (GC) are perceived as the most readable and the variants without comments (NC) are perceived as the least readable&quot;."/><s v="&quot;For snippets S1–S5, our data shows significant differences in their mean answer accuracy (Acc) (ANOVA p = 0.0013 at α &lt; 0.01)&quot;."/><s v="&quot;Regarding RQ2, our data does not show any significant differences in the perceived readability (R1) for the MC variants&quot;."/><s v="Quantified in terms of bias (dwell time on negative faces minus non-negative faces), youth with anxiety demonstrated significantly greater bias relative to their healthy peers, t (31.25) = 2.14, p = 0.041, d = 0.65"/><s v="Patients displayed longer gaze duration on negative relative to non-negative valence faces than healthy peers."/><s v="Dimensionally, a similar pattern was noted, with a positive correlation between dwell time bias score and overall anxiety symptom severity, r (48) = 0.29, p = 0.043"/><s v="Main effect: There were no main effects, but we did find a significant interaction between source expertise and source certainty. (on attitude)&#xA;Simple effects:The nonexpert source was more persuasive, as indicated by more favorable attitudes, when he expr"/><s v="Analysis of the perceived expertise data revealed only a main effect for the expertise manipulation (F (1, 64) = 4.60, p &lt; .04). Participants rated the source as having more expertise in the high (M = 7.06) rather than low (M = 6.08) expertise condition."/><s v="Main effect: no main effects for source expertise or source certainty but a significant interaction between these variables. (on involvement)&#xA;Simple effects: with low expertise reported greater involvement with the high rather than low certainty review, u"/><s v="There was no main effect for source certainty (F(1, 64) = 2.36, p &gt; 0.12)"/><s v="There were no main effects (F's &lt; 1),"/><s v="we did find a significant interaction between source expertise and source certainty (F(1, 64) = 9.70, p &lt; .004). As illustrated in figure 2, this interaction assumed the predicted form. "/><s v="no main effects for source expertise or source certainty (F’s &lt; 1)"/><s v="a significant interaction between expertise and source certainty (F(1, 64) = 11.02, p &lt; .002). A"/><s v="As predicted, the I/C schedule produced a response deficit for leisure time for both Drew and Dave. For example, the initial Oi /Oc ratio for Drew was 0.025 (8.1 instances of compliance /313.1 s of leisure time).  "/><s v="Constraining access to a preferred activity increased engagement with a less-preferred activity to restore equilibrium."/><s v="Four distinct negative emotional eating patterns were identified: non-emotional eating, emotional overeating, emotional undereating, and mixed emotional eating. Key result: Wald χ²(12) = 234.76, p &lt; .001."/><s v="Associated with lower levels of stress-related eating and healthier eating behaviors overall."/><s v="Showed the highest scores on measures of depression and anxiety (statistically significant)."/><s v="Significantly correlated with increased caloric intake during negative emotional states (p &lt; 0.01)."/><s v="Associated with significant reductions in food consumption during periods of stress and sadness."/><s v="results of comparisons of the four patterns on other measures, and significant pattern differences were found in ARFID symptoms (X2 = 67.52, p &lt; .01)"/><s v="results of comparisons of the four patterns on other measures, and significant pattern differences were found ... in traditional eating disorder symptoms (X2 = 26.07, p &lt; .01)"/><s v="results of comparisons of the four patterns on other measures, and significant pattern differences were found... in psychological distress (X2 = 39.22, p &lt; .01)."/><s v="significant positive effects on children’s self-esteem emerged for warmth, monitoring, low maternal depression, economic security (vs. hardship), and presence (vs. absence) of father. With regard to the reciprocal effects, children’s self-esteem predicted"/><s v="Results from the CLPMs indicated that a number of family environment variables affected child self-esteem. Specifically, parental warmth, parental monitoring, and presence of father positively predicted subsequent child self-esteem, whereas maternal depre"/><s v="Perceived similarity predicted higher levels of concurrent life satisfaction."/><s v="Perceived similarity between one's present and future self is significantly associated with greater life satisfaction 10 years later."/><s v="The effect of perceived similarity remains significant when controlling for age, gender, education, and income."/><s v="The effect of perceived similarity is reduced but remains significant when controlling for demographic variables and baseline life satisfaction."/><s v="Microinsults involve subtle communications of rudeness or stereotypes, such as assumptions about older adults' abilities or experiences of &quot;elderspeak.&quot;"/><s v="These are more overt forms of discrimination, including verbal assaults like name-calling (&quot;Okay, Boomer!&quot;) or physical actions, such as being pushed or rushed."/><s v="Microinvalidations include dismissing or nullifying older adults’ experiences and feelings. "/><s v="monitoring, low maternal depression, economic security (vs. hardship), and presence (vs."/><s v="absence) of father. With regard to the reciprocal effects, children’s self-esteem predicted positive"/><s v="Subjects with an APOEε4 allele had significantly decreased global cognition (global index) compared to subjects with no ε4 allele, characterized by global cognition (p = 0.047, Table 1)."/><s v="ε4-carriers had a trend for lower gray matter regional volumes in the left lingual/parahippocampal gyrus,right inferior parietal cortex, left superior frontal cortex,left angular gyrus, left amygdala, and right precuneus (p &lt; 0.001, uncorrected, Table 2, "/><s v="There were no regions where FA was significantly higher or lower in healthy elderly ε4 carriers versus noncarriers at p &lt; 0.05 corrected level of significance. More in Table 1"/><s v="“In Philadelphia, public health calls concentrate in the Center City (A in Fig. 2) and Kensington (B) neighborhoods of the city. [...]  Health-related policing calls are up to four times more frequent in the afternoon and evening compared to the early hou"/><s v="&quot;For more detail, in Fig. 1 box size indicates the time spent on each CAD code type in 2019, based on initial classifcation assigned by the dispatcher and weighted for the number of ofcers in attendance. Te crime category dominates (54.7% of time committe"/><s v="“[...] the average time elapsed per call type varied from a low of 12 minutes (for alarms) to a high of 87 minutes (for medical calls). However, most call types averaged somewhere between 20 to 60 minutes. Here, the types of calls that appear to take long"/><s v="&quot;A large proportion of calls that police agencies are receiving from citizens do not seem to be for serious crimes or obvious emergencies. Rather, the most common types of calls to which officers were dispatched, on average, were traffic-related events (a"/><s v="&quot;Consistent with Hypothesis 1, the results suggest that black Londoners’ overall satisfaction of the Metropolitan Police did fall significantly follow- ing the killing of Eric Garner in New York. I estimate that overall satisfaction with the police fell b"/><s v="&quot; [...] overall perception of police fairness fell by 2.44 [...]&quot;"/><s v="&quot;[...] and perceptions of community engagement fell by 3.16.&quot;"/><s v="&quot;Table 2 presents estimates of the effect of Eric Garner’s killing on the attitudes of black Londoners toward the Metropolitan Police. Consistent with Hypothesis 1, the results suggest that black Londoners’ overall satisfaction of the Metropolitan Police "/><s v="We find that the messaging intervention increases the frequency of parental involvement in physical games with the child in a magnitude of 0.27 standard deviations (I considered values reported in Column (3) as it's prefered by authors)."/><s v="We also find that the intervention increases the average frequency of parental engagement in didactic activities with the child by 0.29 standard deviations."/><s v="The ITT effect on the frequency of parental involvement in social activities with the child has a magnitude of 0.27 standard deviations."/><s v="We find that the messaging intervention increases the&#xA;frequency of parental involvement in physical games with the child in a magnitude of&#xA;0.27 standard deviations. This estimate is significant at a level of 5% when considering&#xA;unadjusted p values, cluste"/><s v="The ITT effect on the fre-&#xA;quency of parental involvement in social activities with the child has a magnitude of&#xA;&#xA;0.27 standard deviations and is significant at the 5% level, but loses significance in the&#xA;absence of controls (Column (1))."/><s v="Regarding the quality of parental investment, we find a positive effect of 0.31 stan-&#xA;dard deviations on the index of positive parenting when considering unadjusted&#xA;&#xA;p values."/><s v="We find no evidence&#xA;of an effect of the intervention on parental stress, discount rate, or parental knowledge."/><s v="In particular,&#xA;families facing a larger number of negative shocks are more likely to implement&#xA;routines, are less likely to use violent discipline, and have a stronger sense of parental&#xA;competence at follow-up."/><s v="&quot;In this paper, we have considered ways in which to embed a focus on affect into a&#xA;self-directed learning course, and the implications this may have for language learners. We&#xA;&#xA;have given some examples of tools that could be used for awareness-raising and "/><s v="In support of our preregistered hypothesis, respondents’ in­person social portfolio diversity predicted higher well­being over and above this relationship (β = 0.13, b = 0.54, 95% CI [0.15, 0.92], P = 0.007, n = 576)."/><s v="Participants in the information condition believed that there was a higher likelihood that their partner would detect their lie (information: M = 41.06%, 95% CI = 37.76–44.35%; versus no information: M = 33.29%, 95% CI = 30.34–36.24%), independent samples"/><s v="1.91–5.99). In this paradigm, participants in the information&#xA;condition were more likely to believe that they were connected to another&#xA;person (58.3% (information condition) versus 40.6% (no information&#xA;condition), X2&#xA;= 14.53, P &lt; 0.001, Cramer’s V = 0.18"/><s v="Participants were not asked how well they knew&#xA;their partner or the suspicion question. Again, when participants had&#xA;information about their partners, they thought that their partners&#xA;would be better at detecting their lies (F(2, 549) = 4.98, P = 0.007,&#xA;η"/><s v="Moreover, participants in the information condition felt as if they&#xA;knew their partner better (information: M = 4.55, 95% CI = 4.39–4.72&#xA;versus no information: M = 3.89, 95% CI = 3.70–4.08), unequal variances&#xA;t-test t(979.85) = 5.23, P &lt; 0.001, d = 0.33)."/><s v="In addition, participants&#xA;&#xA;in the information condition felt as if their partner knew them bet-&#xA;ter (information: M = 4.32, 95% CI = 4.15–4.49 versus no information:&#xA;&#xA;M = 3.94, 95% CI = 3.76–4.13), unequal variances t-test t(994.87) = 2.96,&#xA;P = 0.003, d ="/><s v="Participants’ feelings of knowing their partner and&#xA;their feeling of their partner knowing them significantly mediated the&#xA;effect of information on (dis)honesty (knowing their partner: indirect&#xA;effect = −0.09, bias-corrected 95% CI = −0.15 to −0.04; their"/><s v="Mean step count increased from 24.35 steps per minute during baseline to 54.76 steps per minute during the intervention."/><s v="&quot;Overall, the results of the current study are consistent with previous research that used the Step it&#xA;UP! Game to increase step counts&quot;"/><s v="The impact of having experienced the Vietnam War is about three times—0.30 standardized effect in the OLS full model—and five times—0.56 standardized effect in the IV full model (see also Table 1)."/><s v="Indicates that longer words are harder to recall than shorter words, reflecting the role of the articulatory rehearsal process."/><s v="Indicates that phonemically similar words are harder to recall than phonemically distinct words, reflecting the phonological storage capacity."/><s v="Suggests that articulatory suppression abolishes the word length effect but does not diminish the phonemic similarity effect, supporting the distinction between the two processes."/><s v="effects of articulatory suppression [F(1,22) == 17.62, MSe == 14.95, P &lt; .001] [...] upon the number of sequences recalled"/><s v="phonemic similarity [F(1,22) == 121.10,MSe == 2.76,p &lt; .001] [...] upon the number of sequences recalled"/><s v="word length [F(1,22) == 35.41,MSe == 1.84,p &lt;.001] [...]  upon the number of sequences recalled"/><s v="effect of phonemic similarity [F(I,15) = 214.17, MSe = 3.10, p &lt; .001"/><s v="effect of word length [F(I, 15) = 34.34, MSe = 1.33, P &lt; .001],"/><s v="effect of blocks [F(I,22) = 11.09, MS. = 12.21, P &lt; .005]"/><s v="effect of word length [F(I,22) = 13.53, MS. = 14.66, P &lt; .001]"/><s v="effect of unattended speech [F(I,22) = 30.80, MS.e = 12.21, p &lt; .001]"/><s v="effects of presentation rate [F(l,20) = 31.04, MSe = 56.96,p &lt; .001]"/><s v="phonemic similarity [F(l,20) = 23.33, MSe = 14.79, P &lt; .001]"/><s v="articulatory suppression [F(I,20) = 33.24, MSe = 8.43,p &lt; .001]"/><s v="phonemic similarity [F(1,20) = 55.60, MSe = 15.86, P &lt; .001]"/><s v="articulatory suppression [F(1,20) = 41.96, MSe = 14.18, p &lt; .001]."/><s v="recall delay [...] [F(1,20) = 6.48, MSe = 70.20, P &lt; .02],"/><s v="Listeners rated English speakers as more competent than Tagalog speakers (in Table 1: beta=-3.22, p&lt;0.001)."/><s v="A significant three-way interaction was driven by the competence ratings in low-performance scenarios, where both English and Tagalog speakers received higher competence ratings in low- versus high-prestige jobs, but the magnitude of this difference was g"/><s v="Listeners gave higher preference ratings to English than Tagalog speakers (in Table 2: beta=-3.56, p&lt;0.001)."/><s v="A significant three-way interaction was driven by the treatment preference ratings given to Tagalog speakers (rather than English speakers) in low-performance scenarios, where Tagalog speakers received higher ratings in low- versus high-prestige jobs."/><s v="Listeners rated Tagalog speakers as less comprehensible than English speakers."/><s v="A significant three-way interaction between speaker L1, prestige, and performance level was driven by the ratings in low-performance scenarios, where both English and Tagalog speakers were evaluated as sounding more comprehensible in low- versus high-pres"/><s v="listeners rated English speakers as more competent than&#xA;Tagalog speakers."/><s v="The effect for speaker L1 was qualified by an interaction with accentedness rating,&#xA;where English speakers were rated as more competent than Tagalog speakers when the&#xA;speaker’s foreign accent was stronger,"/><s v="The effect for speaker L1 was qualified by an interaction with accentedness rating,&#xA;where English speakers were rated as more competent than Tagalog speakers when the&#xA;speaker’s foreign accent was stronger, but not when the accent was weaker "/><s v="The effect for job prestige was qualified by an interaction with speaker L1, whereby&#xA;English speakers were rated as more competent than Tagalog speakers in high-prestige&#xA;positions but not in low-prestige positions where the ratings for english and tagalog"/><s v="As can be seen in Figure 4, moderate internal reliability was achieved in both the flankers ,"/><s v="reliability of the Stroop task remained low even after 20 errors per subject were examined"/><s v="As can be seen in Figure 4, moderate internal reliability was achieved in both the [...] go/no-go,"/><s v="This suggests that the Flanker task provides adequate reliability for the ERN, even with a relatively small number of error trials."/><s v="The Go/No-Go task demonstrates acceptable reliability for the ERN but requires slightly more error trials compared to the Flanker task"/><s v="These results indicate that the Stroop task provides poor reliability for the ERN and may not be suitable for assessing individual differences in performance monitoring."/><s v="one-way ANOVAs were conducted [...]. GAD group, the main effect of Valence of Face was significant, F(2, 26) = 5.68, MSE = 1404.72, p &lt;.01. Table 2"/><s v="one-way ANOVAs were conducted [...]. The main effect of Valence of Face did not reach significance for the matched control group, F(2, 26) = 1.49, MSE = 1499.52, η2p = .10, p = .24, Table 2"/><s v="one-way ANOVAs were conducted [...]. The main effect of Valence of Face did not reach significancethe high trait anxious group, F(2, 26) = 1.72, MSE = 2582.33, η2p = .12, p = .20. Table 2"/><s v="Subjective emotion ratings completed after Experiment 1a&#xA;showed that participants’ motivation increased as a function&#xA;of increasing goal proximity (Stouffer’s combined p &lt; .001),&#xA;and as a function of increasing expended effort (Stouffer’s&#xA;combined p &lt; .00"/><s v="Frustration increased with proximity to the goal and with effort investment. Significant neural activation was observed in the amygdala, periaqueductal gray (PAG), anterior insula, and dorsal anterior cingulate cortex (dACC)."/><s v="A simple linear regression analysis shows that extraversion predicts SMEI, F(1,422) = 18.27, p&lt;.001 (R2 = .042, beta = .241)."/><s v="Our estimates indicated that the aggregate elasticity of substitution between capital and labor for the manufacturing sector has been between 05 and 07, with a slight decline from 1972 to 2007."/><s v="participants who were unwilling to be donors and 15% of the participants who were unsure selected that default, w2 (2, N 5 102) 5 8.0, p 5 .018."/><s v="42% of the participants who thought that people  generally ought to be donors selected ‘‘organ donor’’ as the default, but only 12% of the participants who did not think that  people generally ought to be donors and only 15% who were unsure chose this def"/><s v="to infer that the policymakers probably thought that people ought to be donors (86% vs. 10%), were less likely to infer that the policymakers probably did not think that people ought to be donors (0% vs. 31%), and were less likely to concludethat nothing "/><s v="‘‘not an organ donor’’ default, participants told that the policymakers had selected the ‘‘organ donor’’  default were more likely to infer that the policymakers probably thought that people ought to be donors (86% vs. 10%), were less likely to infer that"/><s v="A significant difference was found between those willing to be donors and those not willing. "/><s v="A significant difference was found between those who think others should be donors and those who don't. "/><s v=" A very significant difference was found between those who perceived policymakers as willing to be donors, depending on the default."/><s v="A very significant difference was found between those who perceived HR staff as supportive of automatic enrollment, depending on the default. T"/><s v="A significant but moderate difference was found between those who perceived HR staff as not enrolled, depending on the default."/><s v="the high salience condition reported thinking about God during the study more than the low salience condition [Mlow God salience = 1.32, SD = 0.79; Mhigh God salience = 2.24, SD = 1.53; F(1, 319) = 47.28, P &lt; 0.001], The attrition rates between the low sa"/><s v="&quot;a one-way ANOVA on an index score computed by averaging each person's responses across the 24 decisions resulted in a significant effect of God salience [F(1,319) = 12.91, P &lt; 0.001; effect size f = 0.20]&quot;, &quot;The effect of God salience remained significan"/><s v="&quot;a one-way ANOVA on an index score computed by averaging each person's responses across the 24 decisions resultsed in a significant effect of God salience [F(1,319) = 12.91, P &lt; 0.001; effect size f = 0.20]&quot;, &quot;The effect of God salience remained significa"/><s v="&quot;In study 2a, 35.7% of participants in the low God salience condition picked the mutual fund recommended by the robo-advisor compared to 50.5% of participants in the high God salience condition [X2 = (1) = 4.46, P = 0.035; Ф = 0.15]&quot;"/><s v="“In study 2b, while 31% of participants in the low God salience condition listened to the song recommended by AI, 44.6% of those in the high God salience condition listened to the song recommended by AI [X2 = (1) = 6.80, P = 0.009; Ф = 0.14]”"/><s v="“We replicated the expected effect: 33.5% of participants in the low God salience condition preferred the recommendation by the AI, while 44.3% of participants in the high God salience condition preferred the recommendation by the AI [X2(1) = 4.12, P = 0."/><s v="&quot;The main effect of God salience was significant [F(1,236) = 9.25, P = 0.003]&quot;"/><s v="&quot;A two-way ANOVA with God salience and AI type as predictors resulted in an insignificant main effect of the mysteriousness of the AI (F(1, 236) = .03, P &gt; .8) and an insignificant interaction term (F(1,236) = .006, P &gt; .9).&quot;"/><s v="&quot;35.7% of participants in the low God salience condition picked the mutual fund recommended by the robo-advisor compared to 50.5% of participants in the high God salience condition [X2(1) = 4.46, P = 0.035; Φ = 0.15]. In exploratory analyses, we found tha"/><s v="&quot;31% of participants in the low God salience condition listened to the song recommended by AI, 44.6% of those in the high God salience condition listened to the song recommended by AI [X2(1) = 6.80, P = 0.009; Φ = 0.14], an effect that remained significan"/><s v="&quot;33.5% of participants in the low God salience condition preferred the recommendation by the AI, while 44.3% of participants in the high God salience condition preferred the recommendation by the AI [X2(1) = 4.12, P = 0.042; Φ = 0.11]&quot;"/><s v="&quot;the main effect of God salience was significant [F(1, 236) = 9.25, P = 0.003]&quot;"/><s v="Comparison of the best unimodal performance with bimodal performance predicted by Equation 1,  in a one-tailed, matched samples t test produces a clearly significant result, with t5 =  3.69 and p&lt;0.01."/><s v="a significant main effect for task (F(1,21) = 25.75; p&lt; 0.001);"/><s v="&quot;There was also a significant main effect for task (F(1,21) = 25.75; p &lt; 0.001); subjects were significantly slower to respond to incongruent, relative to congruent trials (M(incongruent) = 746.31, S.E. = 25.83; M(congruent) = 706.98, S.E. = 25.83)&quot;"/><s v="NA"/><s v="when compared with messages passed by organizational sources, those passed by personally closer people (e.g., friends, family) would lead to greater willingness to participate in collective activities on social media. This was supported."/><s v="&quot;Results from hierarchical regression analysis blocking for control variables showed that personally closer sources were significantly more influential (M = 5.44, SD = 1.21) than organizational sources (M = 4.02, SD = 1.41), with ΔR2 = .194, F(5, 207) = 1"/><s v="whether holistic recollection is evident at the ages of 4 and 6 years, during a crucial developmental window of robust gains in episodic memory,"/><s v="&quot;We found that within-event retrieval accuracy was dependent in young adults: Dependency (M = .07, SE = .01, 95% CI = [.05, .08]) was significantly greater than zero, t(30) = 7.37, p &lt; .001, d = 1.32, 95% CI = [0.83, 1.80]&quot;"/><s v="Participants’ writing was more distanced in the Reappraise Negative condition (M = 0.10, SD = 0.24) than in the Look Negative condition (M = -0.11, SD = 0.32), t(106) = 7.71, p &lt; .001, 95% CI = [0.15, 0.26], d = 0.72."/><s v="&quot;Participants’ writing was more distanced in the Reappraise Negative condition (M = 0.10, SD = 0.24) than in the Look Negative condition (M = -0.11, SD = 0.32), t(106) = 7.71, p &lt; .001, 95% CI = [0.15, 0.26], d = 0.72&quot;"/><s v="&quot;We observed a significant correlation between reappraisal success and the extent to which participants increased their linguistic distance when regulating their emotions, r(105) = .28, p = .004, 95% CI = [.09, .44]&quot;"/><s v="&quot;Reappraisal success was not associated with changes in the use of positive affect words, r(105) = .06, p = .560&quot;"/><s v="&quot;Greater reappraisal success was also associated with reduced use of negative affect words when regulating as compared to when responding naturally, r(105) = -.32, p &lt; .001&quot;"/><s v="&quot;Self-reported negative affect ratings differed significantly across conditions, F(2,212) = 297.20, p &lt; .001, partial eta-square = .74, 90% CI = [.69, .77]&quot;"/><s v="&quot;The prevalence of negative affect terms differed significantly across conditions, F(2, 212) = 185.49, p &lt; .001, partial eta-square = .64, 90% CI = [.57, .68]&quot;"/><s v="&quot;The composite measure of linguistic distancing differed significantly across conditions, F(2, 212) = 35.97, p &lt; .001, partial eta-square = .25, 90% CI = [.17, .33]&quot;"/><s v="For the fun version of the task, participants motivated by their past self completed more trials (M  6.90, SD  3.57) than did participants motivated by their&#xA;future self (M  5.03, SD  3.43), F(1, 220)  9.95, p  .002, n2  .04."/><s v="&quot;There was [...] an incidental effect of task such that participants completed more “fun” tasks (M = 5.92) than “self-control” tasks (M = 4.06), F(1, 220) = 19.91, p &lt; .001, eta-square = .08&quot;"/><s v="&quot;Importantly, this effect was qualified by a predicted interaction with role model, F(1, 220) = 12.45, p &lt; .001, eta-square = .05&quot;"/><s v="&quot;Consistent with previous findings, participants presented with bars judged the value below the mean (M=5.26, SD=1.82) to be more likely than the value above the mean (M=2.62, SD=1.62), paired t(201)=14.06, p&lt;.001, d=1.40, 95% CI=[1.15, 1.62], revealing a"/><s v="&quot;A tendency in the same direction was also observed among those presented with [...] the dot plot (judgement below: M=4.41, SD=2.21; judgement above: M=2.72, SD=1.67)&quot;"/><s v="&quot;This model explained a moderate and significant amount of variance, R2=.05, F(5, 605)=6.57, p&lt;.001&quot;"/><s v="&quot;As expected, [...] dot plots significantly reduced the bias, β=−.17, t=3.66, p&lt;.001 (see Figure 5)&quot;"/><s v="&quot;[...] higher graph literacy related to stronger bias, β=.22, t=3.23, p=.001&quot;"/><s v="&quot;The interaction terms between graph literacy and display type were [...] marginally significant ([...] β=−.10, t=1.82, p=.07 for bars vs dot plot)&quot;"/><s v="The more students endorsed a fixed theory, the less interest they expressed in the article that mismatched their inter- est identity,"/><s v="A repeated measures analysis of covariance yielded the predicted interaction between theories of interest and article type, F(1, 137) = 7.46, p = .007, partial eta-square = .05. The more students endorsed a fixed theory, the less interest they expressed i"/><s v="As predicted, college students reported that, as middle-school students, they would respect the teacher far more in the empathic- mindset than in the punitive-discipline condition"/><s v="&quot;College students reported that, as middle-school students, they would respect the teacher far more in the empathic-mindset than in the punitive-discipline condition (M = 5.23, SD = 1.14 versus M = 2.47, SD = 1.09), t(300) = 20.98, P &lt; 0.001, d = 2.42&quot;"/><s v="interference effects in the Stroop color-naming task relate to the expression of model-based choice in sequential choice.. ... Table 2 - Reward × Transition × Stroop (infrequent)"/><s v="&quot;Statistically, in testing infrequent IE as a linear covariate modulating model-based choice, we found a significant three-way interaction between infrequent IE, reward, and transition type (p&lt;.05, Table 2), revealing that Stroop interference predicts a d"/><s v="&quot;There was no significant effect of infrequent IE upon previous reward (p = .307) suggesting that the predictive effect of susceptibility to response conflict was limited to model-based rather than model-free choice contribution&quot;"/><s v="&quot;A logistic regression revealed a significant main effect of reward (p&lt;.0001), indicating model-free learning [...] (the third through fifth coefficients in Table 2)&quot;"/><s v="&quot;A logistic regression revealed a significant [...] interaction between reward and transition type (p&lt;.01), the signature of model-based contributions (the third through fifth coefficients in Table 2)&quot;"/><s v="&quot;[...] the signature of model-based contributions (the third through fifth coefficients in Table 2)&quot;"/><s v="&quot;However, we found no significant (or even negatively trending) relationship between frequent IE and model-based choice (p=.143, Figure 2B) [...]&quot;"/><s v="participants reported greater involvement with the issue of whether more nuclear power plants should be built in Canada when they had previously considered values that were important (M  7.22, SD  1.48) rather than unimportant (M  6.49, SD  2.06)."/><s v="The predicted Value x Argument Quality interaction was significant for Study 5A, F(1, 257) = 11.58, p = .002 [...]. That is, the difference between the strong and weak argument conditions was greater when values were important rather than unimportant."/><s v="&quot;Similarly, participants reported greater involvement with the issue of whether more nuclear power plants should be built in Canada when they had previously considered values that were important (M = 7.22, SD = 1.48) rather than unimportant (M = 6.49, SD "/><s v="&quot;Critically, the proportion of subjects in each condition was statistically indistinguishable before and after exclusion (Pre-Exclusion CRT-First: 65 of 150 [43%], Post-Exclusion CRT-First: 41 of 92 [45%], chi-square = .003, p = .96)&quot;"/><s v="&quot;Subjects in the CRT-First condition judged the utilitarian actions to be more acceptable (CRT-First: M = 3.77; Dilemmas-First: M = 3.25; t(90) = 2.03, p = .05, d = 0.43)&quot;"/><s v="&quot;Again collapsing across all three dilemmas, we examined data from subjects in the CRT-First condition and observed a robust positive correlation between CRT scores and moral acceptability ratings, consistent with our second prediction (r = .39, p = .001;"/><s v="&quot;A Fischer r–z test confirmed that these correlations differed significantly (z = 2.6, p = .01)."/><s v="&quot;To test this hypothesis, we compared the CRT scores across the two conditions and found no significant effect (CRT-First: M = 1.32; Dilemmas-First: M = 1.16; t(148) = 0.83, p = .41)&quot;"/><s v="Negative, but not neutral, objects were better remembered after&#xA;sleep than after wake,"/><s v="&quot;A 2 (condition: sleep, wake) x 2 (valence: negative, neutral) x 2 (scene component: object, background) mixed ANOVA on general recognition revealed interaction [...] between condition and scene component, F(1, 46) = 7.6, p = .008, partial eta-square = .1"/><s v="&quot;A 2 (condition: sleep, wake) x 2 (valence: negative, neutral) x 2 (scene component: object, background) mixed ANOVA on general recognition revealed interactions between condition and valence, F(1, 46) = 13.1, p = .001, partial eta-square = .20&quot;"/><s v="&quot;A 2 (condition: sleep, wake) x 2 (valence: negative, neutral) x 2 (scene component: object, background) mixed ANOVA on general recognition revealed interaction [...] among the three factors, F(1, 46) = 4.7, p = .03, partial eta-square = .10 (see Figs. 3a"/><s v="&quot;Negative, but not neutral, objects were better remembered after sleep than after wake, F(1, 46) = 11.5, p = .001, partial eta-square = .20.&quot;"/><s v="&quot;In contrast, sleep offered no benefit for backgrounds, regardless of whether they were presented with negative or neutral objects (Valence x Condition interaction, p &gt; .10)&quot;"/><s v="Overall data quality score: [...] We found statistically significant differences between the sites on this measure, F(2, 1458) = 129.4, p &lt; .001, which showed higher scores for Prolific (M = 5.87, SD = 1.0) [...] compared to MTurk (M = 4.55, SD = 1.9)"/><s v="Overall data quality score: [...] We found statistically significant differences between the sites on this measure, F(2, 1458) = 129.4, p &lt; .001, which showed higher scores for [...] CR (M = 5.78, SD = 1.1) compared to MTurk (M = 4.55, SD = 1.9)"/><s v="&quot;We found statistically significant differences between the sites on this measure, F(2, 1458) = 129.4, p &lt; .001, which showed higher scores for Prolific (M = 5.87, SD = 1.0) and CR (M = 5.78, SD = 1.1) compared to MTurk (M = 4.55, SD = 1.9)&quot;"/><s v="the number of between-group errors increased in the treatment condition, b = 0.34, p = .007, 95% CI = [0.10, 0.61]."/><s v="&quot;As in the previous studies, [...] the number of between-group errors increased in the treatment condition, b = 0.34, p = .007, 95% CI = [0.10, 0.61]&quot;"/><s v="&quot;But, in contrast to Study 1 and Study 2, the decrease in correct recall was due to a very large increase in the number of within-group errors, b = 0.80, p &lt; .001, 95% CI = [0.56, 1.04]&quot;"/><s v="a significant effect for the greed manipulation ...  These effects were qualified by the predicted significant&#xA;interaction between social class and the greed manipulation, "/><s v="&quot;As expected, participants primed with positive features of greed expressed more favorable attitudes toward greed (M = 3.12) compared with participants in the neutral-prime condition (M = 2.42), t(87) = .72, P &lt; 0.01, d = 0.58&quot;"/><s v="&quot;Results yielded a significant effect for social class, such that upper-class participants reported more unethical behavior than lower-class participants, b = 0.13, SE b = 0.07, t(84) = 2.00, P &lt; 0.05&quot;"/><s v="&quot;These effects were qualified by the predicted significant interaction between social class and the greed manipulation, b =−0.24, SE b=0.18, t(84) = −2.34, P &lt; 0.03&quot;"/><s v="&quot;Correct responding was significantly higher in the negative- than the positive-test-result condition, BFinclusion = 607.57, [...] as can be seen in Table 1&quot;"/><s v="As predicted, participants in the favorable-LIB condition were significantly more likely to believe that the communicator was a Democrat, and thus shared a party affiliation with the target, than were participants in the unfavorable-LIB condition, t(86) ="/><s v="As predicted, participants in the favorable-LIB condition believed that the communicator was more likely to support these Democratic-leaning&#xA;social policies (M = 4.90, SD = 0.99), compared with participants in the unfavorable-LIB condition (M = 4.33, SD ="/><s v="&quot;As expected, participants in the favorable-LIB condition believed that Peter was more likely to be helpful in the future (M = 71.63%, SD = 18.68) compared with participants in the unfavorable-LIB condition (M = 60.39%, SD = 21.52), F(1, 129) = 10.14, p &lt;"/><s v="&quot;Results revealed the predicted main effect of LIB condition: Participants in the favorable-LIB condition, relative to those in the unfavorable-LIB condition, were significantly more likely to believe that the communicator and target shared political-grou"/><s v="Participants in the favorable-LIB condition, relative to those in the unfavorable-LIB condition, were significantly more likely to believe that the communicator and target shared political-group membership, F(1, 121) = 8.67, p &lt; .01, d = 0.51"/><s v="&quot;&quot;Further, there was no [...] interaction between the LIB condition and target’s political affiliation, F(1, 121) = 0.02&quot;"/><s v="“As expected, participants in the favorable-LIB condition believed that Peter was more likely to be helpful in the future (M = 70.29%, SD = 23.58) than did participants in the unfavorable-LIB condition (M = 57.83%, SD = 24.08), t(86) = 2.45, p = .016, d ="/><s v="&quot;Similarly, participants in the favorable-LIB condition indicated that Peter was less likely to be rude in the future (M = 33.67%, SD = 25.48) compared with participants in the unfavorable-LIB condition (M = 53.93%, SD = 25.22), t(86) = 3.73, p &lt; .001, d "/><s v="&quot;As predicted, participants in the favorable-LIB condition were significantly more likely to believe that the communicator was a Democrat, and thus shared a party affiliation with the target, than were participants in the unfavorable-LIB condition, t(86) "/><s v="&quot;Participants in the favorable-LIB condition believed that the communicator was less likely to support the policy (M = 3.83, SD = 1.44) than did participants in the unfavorable-LIB condition (M = 4.45, SD = 1.13), t(116) = 2.61, p = .01&quot;"/><s v="&quot;Participants in the favorable-LIB condition believed that the communicator was more likely to support these Democratic-leaning social policies (M = 4.90, SD = 0.99), compared with participants in the unfavorable-LIB condition (M = 4.33, SD = 0.90), t(116"/><s v="&quot;Likewise, participants in the unfavorable-LIB condition believed that Peter was more likely to be rude in the future (M = 53.82%, SD = 23.99) compared with participants in the favorable-LIB condition (M = 42.18%, SD = 19.73), F(1, 129) = 9.40, p &lt; .01, d"/><s v="&quot;Further, there was no main effect of target’s political affiliation, F(1, 121) = 0.87&quot;"/><s v="&quot; The LIB Condition × Participant’s Political Affiliation interaction was not reliable, F(2, 121) = 0.92&quot;"/><s v="whether the creative thought process tends to be masculinized."/><s v="&quot;A mixed-model ANOVA with condition as the between subjects factor and trait type as the within-subjects factor revealed a main effect of trait type, F(1, 78) = 75.02, p &lt; .001, partial eta-square = .49&quot;"/><s v="&quot;A mixed-model ANOVA with condition as the between subjects factor and trait type as the within-subjects factor revealed [...] a marginally significant interaction between trait type and condition, F(1, 78) = 3.05, p = .084, partial eta-square = .04 (see "/><s v="&quot;Follow-up tests revealed that participants associated creativity more with stereotypically masculine-agentic personality traits than with stereotypically feminine communal personality traits in both the divergent-thinking condition (M = 7.22, SD = 1.26, "/><s v="&quot;Follow-up tests revealed that participants associated creativity more with stereotypically masculine-agentic personality traits than with stereotypically feminine communal personality traits in [...] the convergent-thinking condition (M = 6.26, SD = 1.43"/><s v="&quot;The masculine traits were perceived as more central to creativity when divergence was emphasized, rather than convergence, F(1, 78) = 10.21, p = .002, d = 0.71&quot;"/><s v="&quot;There was no effect of condition on the perceived centrality of the feminine traits, F &lt; 1, p = .536&quot;"/><s v="The Cue Direction/Magnitude × Target Position interactions ...  approached significance for numbers (F(1,14) = 4.1,&#xA;P = 0.06)."/><s v="The Cue Direction/Magnitude × Target Position interactions [...] approached significance for numbers (F(1,14) = 4.1, P = 0.06). Although these results are not significant, mean reaction times were faster when the target location was congruent with that in"/><s v="First, preference for LL decreased as A0;2 increased, F(2, 550) =125.46, p &lt;.005, n2p  .31."/><s v="&quot;First, preference for LL decreased as A0.2 increased, F(2, 550) = 125.46, p &lt; .005, partial eta-square = .31&quot;"/><s v="&quot;Furthermore, preference for LL increased when zero outcomes were stated explicitly, F(1, 275) = 41.07,p &lt; .005, partial eta-square= .13&quot;"/><s v="&quot;For A0:2 = €0 (Cells A, B, and C), preference for LL decreased as AQ increased, F(2, 550) = 11.19, p &lt; .005, partial eta-square = .06&quot;"/><s v="&quot;For A0:2 = €500 (Cells D, E, and F) and €1,000 (Cells G, H, and I), however, preference for LL increased as AQ increased, F(2, 550) = 61.12, p &lt; .005, partial eta-square = .18&quot;"/><s v="&quot;A0:2 interacted with A0, F(4, 1100) = 48.76, p &lt; .005, partial eta-square = .15. For A0:2 = €0 (Cells A, B, and C)&quot;"/><s v="The main effect for condition was significant, F(2,483) = 5.99, p = .003, eta2 = 0.024,"/><s v="The main effect for condition was significant, F(2,483) = 5.99, p = .003, eta-square = 0.024. [...] Participants in the responsive condition showed a significantly more global focus than participants in the unresponsive condition (p = .001)"/><s v="&quot;Mood was not significantly related to global orientation scores, F(1,468) = 1.75, p = .187, eta-square = 0.004&quot;"/><s v="&quot;To ensure that these effects were not attributable to mood differences, we repeated the above one-way analysis of variance controlling for mood. [...] the condition main effect remained significant, F(2,468) = 7.11, p = .001, eta-square = 0.029&quot;"/><s v="memory for attended items was worse on switch trials than on repeat trials, t(17) = −2.60, p &lt; .05,"/><s v="&quot;&quot;Thus, a main effect of attention [...] was reliably modulated by switching [...]: Whereas memory for attended items was worse on switch trials than on repeat trials, t(17) = −2.60, p &lt; .05&quot;"/><s v="when participants were not under load, those who imagined that they had not done the reading believed that it was more likely that they would be called on  than participants who imagined that they had done the reading"/><s v="&quot;A 2 (behavior: had read vs. had not read) x 2 (load: yes vs. no) ANOVA revealed main effects for [...] load, F(1, 116) = 17.34, p &lt; .001&quot;"/><s v="&quot;A 2 (behavior: had read vs. had not read) x 2 (load: yes vs. no) ANOVA revealed main effects for reading, F(1, 116) = 22.88, p &lt; .001 [...]&quot;"/><s v="&quot;The main effects were qualified by the predicted interaction, however, F(1,116) = 4.15, p &lt; .05&quot;"/><s v="The buyer who paltered and the buyer who lied by commission were regarded as equally unethical"/><s v="&quot;Participants rated the behavior of the buyer who paltered as more unethical than the behavior of the buyer who answered honestly (B = 1.06, SE = .36, p = .002)&quot;"/><s v="&quot;Participants rated the behavior of the buyer who paltered no different from the buyer who lied by commission (B = −.31, SE = .34, p = .36)."/><s v="&quot;Participants rated the buyer who [...] lied by commission to be more unethical than the buyer who answered honestly, ([...] B=.87, SE=.33, p=.01, respectively)&quot;"/><s v="&quot;The buyer who paltered and the buyer who lied by commission were regarded as equally unethical (B=.04, SE=.34, p=.91 )&quot;"/><s v="&quot;Participants had more trust in the honest buyer than the one who paltered [...] (B = −1.0, SE = .32, p = .002&quot;"/><s v="&quot;Participants had more trust in the honest buyer than the one who lied by commission ([...] B = −1.36, SE = .32, p &lt; .001, respectively)&quot;"/><s v="&quot;The latter two were regarded as equally untrustworthy (B = .36, SE = .32, p = .26)&quot;"/><s v="&quot;Participants reported that they were more likely to negotiate again with the buyer who answered honestly than the buyer who paltered (B = −.78, SE = .33, p = .02)&quot;"/><s v="&quot;Participants reported that they were more likely to negotiate again with [...] the buyer who lied by commission (B = −.77, SE = .33, p = .02)&quot;"/><s v="&quot;The latter two had the same likelihood of securing another negotiation (B = −.01, SE = .33, p = .97)&quot;"/><s v="The difference in wrongness ratings between the high- dosage and low-dosage versions of the scenarios was substantially higher for the harm transgressions (mean difference = 14.605; SD = 20.395)"/><s v="&quot;Crucially, there was a significant interaction between domain and dosage, b = 9.599, SE = 1.821, p &lt; .001&quot;"/><s v="&quot;Rerunning this model without the interaction term (to ensure more interpretable main effects) indicated [...] there was a clear effect of dosage, b = 9.199, SE = 0.915, p &lt; .001&quot;"/><s v="“Rerunning this model without the interaction term (to ensure more interpretable main effects) indicated that there was no overall effect of domain, b = 3.400, SE = 6.803, p = .625&quot;"/><s v="On average, the reported size of the tested circle was 1.11 times greater (SEM = 0.03) on trials with the larger same- colored circles than on trials with the smaller same-colored circles (see Fig. 2b). This ratio was significantly greater than 1.0, t(20)"/><s v="On average, the reported size of the tested circle was 1.11 times greater (SEM = 0.03) on trials with the larger same colored circles than on trials with the smaller same-colored circles (see Fig. 2b). This ratio was significantly greater than 1.0, t(20) "/><s v="Indian participants identified substantially fewer actions in the construal-of-choice condition, t(32) = 4.25, p &lt; .001, prep &gt; .99, d = 1.03"/><s v="&quot;Simple-effects t-tests revealed that, while Indians and Americans identified a similar number of actions in the control condition (t &lt; 1), Indian participants identified substantially fewer actions in the construal-of-choice condition, t(32) = 4.25, p &lt; "/><s v="that participants in the choice condition were less disturbed by wealth inequality than participants in the control condition were, b = –0.97, SE = 0.43, t(42) = 2.29, p &lt; .03, Bayes factor = 12.76,3 d = 0.594 (see Fig. 1)."/><s v="&quot;Controlling for political orientation, gender, perceived social class, and task difficulty, participants in the choice condition reported significantly lower disturbance by wealth inequality (b = –0.97, SE = 0.43, t(42) = 2.29, p &lt; .03, d = 0.594, Bayes "/><s v="We also predicted that participants with a weak BATNA would make the lowest first offers, and we found that as well"/><s v="&quot;Negotiators with a weak BATNA (M = $4.57, SD = 1.74, 95% CI = [4.33, 4.92]) made lower offers than negotiators in both other conditions, ts(285) &gt; 6.18, ps &lt; .001, ds &gt; 0.76&quot;"/><s v="&quot;As predicted, participants gave lower ratings after the cleanliness priming (M = 4.98, SD = 1.26) than they did after the neutral priming (M = 5.81, SD = 1.47), F(1, 38) = 3.63, p-rep 5.90, partial eta-square = .09&quot;"/><s v="Whereas profile writers who tried to maximize interest in themselves believed that they would be liked more (M = 5.28, SD = 1.20) than did profile writers in the control condition (M = 4.85, SD = 1.36), b = 0.434, robust SE = 0.257, t(257) = 1.69, p = .09"/><s v="&quot;Also as predicted, self-promoters underestimated the extent to which recipients were annoyed (M = 3.54, SD = 1.94, vs. M = 4.82, SD = 2.15), F(1, 145) = 11.56, p = .001, eta-square = .07&quot;"/><s v="&quot;The interaction of condition and emotion was significant, F(6, 912) = 10.90, p &lt; .001, η2 = .07 (see Table 5)&quot;"/><s v="self-promoters will overestimate the extent to which their behavior elicits positive emotional reactions in others, and underestimate the extent to which their behavior elicits negative emotional reactions"/><s v="&quot;We conducted a two-way mixed analysis of variance on ratings of the seven emotional reactions, with condition (self-promotion vs. recipient) as a between-subjects factor, emotion as a within-subjects factor, and topic dummy variables as covariates (luck "/><s v="&quot;Self-promoters overestimated the extent to which recipients felt happy for them (M=4.88 vs. M=3.70), F(1,145)=10.85,p=.001,η2=.07&quot;"/><s v="&quot;Self-promoters overestimated the extent to which recipients felt proud of them (M=4.33 vs. M=3.08), F(1,145)=12.12,p&lt;.001,η2=.08&quot;"/><s v="&quot;Contrary to predictions, self-promoters overestimated the extent to which recipients felt jealous of them (M=3.60 vs. M=2.82), F(1,145)=3.76,p=.054,η2=.03&quot;"/><s v="&quot;As predicted, self-promoters underestimated the extent to which recipients were annoyed (M=3.54 vs. M=4.82), F(1,145)=11.56,p=.001,η2=.07&quot;"/><s v="&quot;No significant differences were observed in ratings of upset (M=2.58 vs. M=3.04), F(1,145)=1.15,p&gt;.250,η2=.01&quot;"/><s v="&quot;No significant differences were observed in ratings of anger (M=2.74 vs. M=2.97), F(1,145)=0.25,p&gt;.250,η2=.002&quot;"/><s v="&quot;Self-promoters marginally overestimated the extent to which recipients felt inferior to them (M=2.93 vs. M=2.43), F(1,145)=2.75,p=.10,η2=.02&quot;"/><s v="A 2 (sexual orientation: gay, straight; between)  2 (country of origin: equally accepting, less accepting; within) mixed-model ANOVA on American identity revealed  a significant interaction, F(1, 98) = 22.39, p &lt; .001"/><s v="&quot;A 2 (sexual orientation: gay, straight; between) x 2 (country of origin: equally accepting, less accepting; within) mixed-model ANOVA on American identity revealed main effects of sexual orientation,  F(1, 98) = 12.54, p = .001, d = .52 [...]&quot;"/><s v="&quot;A 2 (sexual orientation: gay, straight; between) x 2 (country of origin: equally accepting, less accepting; within) mixed-model ANOVA on American identity revealed main effects of [...] country of origin, F(1, 98) = 8.21, p = .005, d-av = .34, and a sign"/><s v="&quot;A 2 (sexual orientation: gay, straight; between) x 2 (country of origin: equally accepting, less accepting; within) mixed-model ANOVA on American identity revealed [...] a significant interaction, F(1, 98) = 22.39, p &lt; .001 (see Figure 3)&quot;"/><s v="&quot;In addition, these values of dependence were lower than those observed in the short-delay condition: state given exemplar, t(26) = 1.99, p = .057, d = 0.75; exemplar given state, t(26) = 2.06, p = .05, d = 0.78&quot;"/><s v="The interaction between income and context was significant,"/><s v="&quot;The interaction between income and context was significant, F(1, 145) = 11.18, p &lt; .01, partial eta-square = .07 (see Fig. 1b)&quot;"/><s v="&quot;The interaction was also significant when income was treated as a continuous variable, β = 2.27, t(145) = 2.17, p &lt; .05&quot;"/><s v="&quot;The interaction between income and context was significant, F(1, 574) = 5.68, p &lt; .05, partial eta-square = .01 (see Fig. 1c)&quot;"/><s v="&quot;The interaction was also significant when income was treated continuously, β = 1.65, t(574) = 3.27, p &lt; .01&quot;"/><s v="they were significantly more likely to choose the target singer than to choose one of the other average-quality singers"/><s v="&quot;They were significantly more likely to choose the target singer as the winner when the distribution included two bad singers (the T1-top condition; 40.8%) than when the distribution included two good singers (the T1-bottom condition; 2.0%), X2(2, N = 100"/><s v="&quot;[...] they were significantly more likely to choose the target singer than to choose one of the other average-quality singers (43% chose the target singer, chance = 33.33%), X2(2, N = 90) = 4.05, p = .044,  r = .212 &quot;"/><s v="As predicted, participants who read the neuroscience articles recommended significantly shorter prison sentences than did participants who read the other science articles (M = 3.10, SD = 1.48, vs. M = 3.83, SD = 1.77), t(86) = 2.09, p =.04, d = 0.45 (Fig."/><s v="&quot;As predicted, participants who read the neuroscience articles recommended significantly shorter prison sentences than did participants who read the other science articles (M = 3.10, SD = 1.48, vs. M = 3.83, SD = 1.77), t(86) = 2.09, p = .04, d = 0.45 (Fi"/><s v="Furthermore, the interaction term between age and expanded time horizons was negative, although it failed to reach the conventional threshold for statistical significance in the traditional two-tailed test (β = −0.42, 95% CI: −0.88 – 0.02, Z = −1.86, p = "/><s v="&quot;In support of the second hypothesis, we found a main effect of expanded time horizons on preferences, whereby the likelihood of helping others was reduced in the expanded horizons condition (β = −0.7, Z = −3.15, p = .002).&quot;"/><s v="&quot;The interaction term between age and expanded time horizons was negative, although it failed to reach conventional significance in a two-tailed test (β = −0.42, Z = −1.86, p = .07), but significant with a one-tailed test (p(one-tailed) = .035).&quot;"/><s v="&quot;Contrary to the third hypothesis, the main effect of limited time horizons was also negative (β = −0.45, Z = −2.01, p = .05).&quot;"/><s v="&quot;Age was not significantly associated with the likelihood of helping a colleague or a friend under expanded time horizons (β = 0.17, Z = 1.06, p = .29).&quot;"/><s v="&quot;However, under limited time horizons, the effect of age on increasing the likelihood of helping others fell just short of reaching the traditional threshold for statistical significance (β = 0.3, 95% CI: −0.01 – 0.61, Z = 1.9, p = .06).&quot;"/><s v="that participants chose to employ .... distraction on 70.7% of the high-intensity trials (95% CI: [60.7, 80.7]), F(1, 19) = 47.54, p &lt; .000001, ηp2 = .71."/><s v="&quot;Participants chose to employ reappraisal more frequently in low-intensity trials (76.3%, 95% CI: [66.3, 86.3]) compared to distraction in high-intensity trials (70.7%, 95% CI: [60.7, 80.7]), with a significant difference observed, F (1, 19) = 47.54, p &lt; "/><s v="&quot;Second, the predicted End of Spectrum × Trait Disgust interaction was significant, b = −0.04, SE = 0.02, t(17586) = −2.11, p = .04, OR = 0.96&quot;"/><s v="Planned comparisons showed that ratings in the public CK condition (M = 0.21, 95% CI = [0.16, 0.25]) were significantly higher than those in ... the secret CK condition (M = 0.18, 95% CI = [0.13, 0.22]), t(105) = −1.96, p = .052."/><s v="&quot;A paired-samples t-test on the log-transformed ratings of understanding showed that scores were significantly higher in the CK condition (M = 0.28, 95% CI [0.21, 0.35]) compared to the no-CK condition (M = 0.20, 95% CI [0.15, 0.25]), t(69) = −3.40, p = ."/><s v="&quot;A repeated measures analysis of variance (ANOVA) on the log-transformed ratings of understanding revealed a main effect of condition on understanding, F(2, 210) = 5.62, p = .004, partial eta-square = .051&quot;"/><s v="&quot;Planned comparisons showed that ratings in the public CK condition (M = 0.21, 95% CI = [0.16, 0.25]) were significantly higher than those in the public no-CK condition (M = 0.15, 95% CI = [0.11, 0.19]), t(105) = −3.20, p = .002.&quot;"/><s v="&quot;Planned comparisons showed that ratings in the public CK condition were nearly significantly higher than those in the secret CK condition (M = 0.18, 95% CI = [0.13, 0.22]), t(105) = −1.96, p = .052.&quot;"/><s v="&quot;The means for the public no-CK and secret CK conditions were not significantly different, t(105) = −1.51, p = .134&quot;"/><s v="These results were confirmed in a multiple regression analysis in which we predicted the judgments using DFT, DFT-squared, judgment type (trustworthiness = 1, attractiveness = 0), and their interactions (all predictors centered), F(5, 16) = 285.81, p &lt; .0"/><s v="&quot;These results were confirmed in a multiple regression analysis predicting judgments from DFT, DFT-squared, judgment type (trustworthiness = 1, attractiveness = 0), and their interactions (all predictors centered), F(5, 16) = 285.81, p &lt; .001, R² = .99.&quot;"/><s v="&quot;The significant effect of DFT, β = 2.27, p &lt; .001, revealed that DFT influenced attractiveness judgments, such that the more distant faces were from the typical face, the more attractive they were judged.&quot;"/><s v="&quot;A significant quadratic effect of DFT on attractiveness judgments, β = −1.09, p &lt; .001; the effect of DFT became weaker at higher values of DFT.&quot;"/><s v="&quot;The interactions between [...] DFT-squared and judgment type, β = 0.34, p &lt; .03, indicated that trustworthiness and attractiveness judgments followed different trends as a function of DFT.&quot;"/><s v="&quot;The interactions between DFT and judgment type, β = −1.54, p &lt; .001 [...], indicated that trustworthiness and attractiveness judgments followed different trends as a function of DFT.&quot;"/><s v="&quot;On average, trustworthiness judgments were lower than attractiveness judgments, as revealed by the significant effect of judgment type, β = −0.26, p &lt; .001.&quot;"/><s v="showed that participants in the disrespect condition reported a higher level of cynicism (M  3.90, SD  1.29) than participants in the control condition (M  3.40, SD  1.22), t(221)  2.95, p  .004, d .40."/><s v="&quot;Cynicism. An independent-samples t-test showed that participants in the disrespect condition reported a higher level of cynicism (M = 3.90, SD = 1.29) than those in the control condition (M = 3.40, SD = 1.22), t(221) = 2.95, p = .004, d = 0.40&quot;"/><s v="Results showed significant main effects of wording, F(3, 129) = 31.45, p &lt; .001,"/><s v="&quot;The average prevalence level that led to right responses for each wording condition at each age group is displayed in Table 1&quot;"/><s v="ANOVA revealed a significant interaction, F(1, 46) = 7.89, MSE = 0.01, p = .007, η2 = .15."/><s v="&quot;In the eight-word condition, the proportion of words recalled was significantly greater on save trials (M = .80, SE = .03) than on no-save trials (M = .29, SE = .03), t(23) = 14.24, p &lt; .001, d = 2.91, mean difference = .51 (95% CI = [.43, .58])&quot;"/><s v="&quot;A similar difference was observed in the two-word condition, with performance being perfect on save trials (M = 1.00, SE = .00) and significantly worse than perfect on no-save trials (M = .79, SE = .05), t(23) = 3.98, p = .001, d = 0.81, mean difference "/><s v="&quot; [...] participants in the eight-word condition recalled significantly more words from File B when they had saved File A than when they had not saved File A, t(23) = 4.56, p &lt; .001, d = 0.93, mean difference = .13 (95% CI = [.07, .18])&quot;"/><s v="&quot;When File A consisted of only two words, participants did not recall significantly more words from File B after they had saved File A than after they had not saved File A, t(23) = 0.40, p = .69, d = 0.08, mean difference = .01 (95% CI = [−.05, .07]).&quot;"/><s v="&quot;A 2 (trial type: save vs. no save) × 2 (condition: eight word vs. two word) mixed-design ANOVA revealed a significant interaction, F(1, 46) = 7.89, MSE = 0.01, p = .007, η2 = .15&quot;"/><s v="when the two faces were physically identical, participants tended to judge the face at the cued location to have higher con-&#xA;trast than the face at the uncued location (55.8% vs. 45.8%), t(15) = 2.51, p = .02, η2 = .30."/><s v="&quot;There was a main effect of actual contrast level on contrast judgments, F(4, 15) = 27.93, p = .0001, eta-square = .31&quot;"/><s v="&quot;As shown in Figure 4b, when the two faces were physically identical, participants tended to judge the face at the cued location to have higher contrast than the face at the uncued location (55.8% vs. 45.8%), t(15) = 2.51, p = .02, eta-square = .30&quot;"/><s v="Participants gave up an average of 0.63¢ per trial to perform the self task instead of judging another person [t(36) = 3.32, P = . 002, d = 1.11]"/><s v="&quot;Participants gave up an average of 0.63¢ per trial to perform the self-task instead of judging another person, t(36) = 3.32, p = .002, d = 1.11&quot;"/><s v="Consistent with our hypothesis, the analysis showed that females were more accurate in the social condition (M = 11.59, SD = 5.29, 95% CI = [9.80, 13.37]) than in the spatial condition (M = 7.69, SD = 3.80, 95% CI = [5.96, 9.43]),"/><s v="&quot;We first tested our predictions for the spatial-orientation test. A 2 (sex: male, female) × 2 (condition: social, spatial) between-subjects analysis of variance (ANOVA) found significant main effects of sex, F(1, 131) = 14.22, p &lt; .001, partial η² = .10,"/><s v="&quot;We first tested our predictions for the spatial-orientation test. A 2 (sex: male, female) × 2 (condition: social, spatial) between-subjects analysis of variance (ANOVA) found significant main effects of [...] condition, F(1, 131) = 16.84, p &lt; .001, parti"/><s v="&quot;As predicted, there was a statistically significant interaction between sex and condition, F(1, 131) = 14.18, p &lt; .001, partial η² = .10&quot;"/><s v="A 2 (race of prime: Black, White) × 2 (target object: gun, toy) repeated measures analysis of variance (ANOVA) revealed a significant interaction, F(1, 62) = 17.21, p &lt; .001, ηp2 = .22."/><s v="&quot;A 2 (race of prime: Black, White) × 2 (target object: gun, toy) repeated measures analysis of variance (ANOVA) revealed a significant interaction, F(1, 62) = 17.21, p &lt; .001, partial η² = .22&quot;"/><s v="&quot;Analyses of error-rate data revealed that, as with the RT data, there was a significant Race of Prime × Target Word interaction, F(1, 61) = 32.30, p &lt; .001, partial η² = .35&quot;"/><s v="Further, the ranges dubbed groot ‘big’ and klein ‘small’ were not equal. The zone labeled klein was significantly larger than the groot zone: Z = 3.1, p &lt; .005"/><s v="&quot;The zone labeled klein was significantly larger than the groot zone: Z = 3.1, p &lt; .005 (Wilcoxon Signed-ranks test)&quot;"/><s v="&quot;The &quot;groot zone&quot; (i.e., the range of sizes considered appropriate for an object) was significantly larger for objects from the PROTOTYPICALLY SMALL category compared to the PROTOTYPICALLY BIG category, as evidenced by a Friedman test: χ²(2) = 9.5, p &lt; .0"/><s v="The predicted interaction between the measure of inherence bias and behavior typicality was significant in this model, b = 2.44, 95% CI = [0.78, 4.10], p = .004 (for results for the full model, see Table 4)."/><s v="&quot;Additionally, participants were less supportive of giving cash assistance to the person depicted in the welfare image (M = 2.95, 95% CI [2.78, 3.13]) than the non-recipient image (M = 3.80, 95% CI [3.65, 3.96]), partial eta-square = .26. (supplementary m"/><s v="&quot;As predicted, the person depicted in the welfare-recipient image was rated as less responsible (generally), and less responsible with food stamps and cash assistance, than the person depicted in the non-welfare-recipient image&quot;"/><s v="&quot;The indirect effect was not significant when mediated by perceived race alone, b = −0.04, 95% CI = [−0.46, 0.36].&quot;"/><s v="a significant interaction effect between cue type and Facebook use, F(1, 126) = 8.91, p = 0.003, and g2 p = 0.066 (Fig. 2B)."/><s v="&quot;The main effects of cue type, F(1, 126) = 2.28, p = 0.134, partial η² = 0.018 [...]&quot;"/><s v="&quot;The main effects of [...] Facebook use, F(1, 126) = 0.26, p = 0.609, partial η² = 0.002, were not significant&quot;"/><s v="&quot;As predicted, the two conditions elicited two radically different patterns of responses. In the harm condition, most subjects (82%) said that the agent brought about the side effect intentionally, whereas in the help condition, most subjects (77%) said t"/><s v="As predicted, the two conditions elicited two radically different patterns of responses. In the harm condition, most subjects (82%) said that the agent brought about the side effect intentionally, whereas in the help condition, most subjects (77%) said th"/><s v="&quot;However, the results again revealed a significant interaction effect between cue type and Facebook use, F(1, 126) = 8.91, p = 0.003, partial η² = 0.066 (Fig. 2B)&quot;"/><s v="&quot;Overall, then, the results point to a surprising conclusion about the relationship between the words ‘intentionally’ and ‘jaan-bujhkar.’ It appears that, despite their radically different morphologies, these two words are expressing the same basic concep"/><s v="Subjects were significantly more likely to say that the chairman acted jaan-bujhkar in the harm condition than in the help condition,"/><s v="a main effect of moderator: as shown in Fig. 2a, participants were significantly less likely to agree with claims about causal and explanatory relationships when a relationship was moderated than non-moderated"/><s v="&quot;A 2 moderator (moderated relationship, non-moderated relationship) × 2 judgment (causal, explanatory) × 2 target (type, token) mixed ANOVA on causal and explanatory ratings revealed a main effect of moderator: as shown in Fig. 2a, participants were signi"/><s v="Choice enhanced curiosity; participants were more curious about lotteries that they had chosen themselves (curiosity ratings: M = 2.94, SD = 0.33; willingness to wait: M = 47.19%, SD = 19.81%) than about those that had been provided to them (matching thei"/><s v="&quot;Choice enhanced curiosity; participants were more curious about lotteries that they had chosen themselves (curiosity ratings: M = 2.94, SD = 0.33; willingness to wait: M = 47.19%, SD = 19.81%) than about those that had been provided to them (matching the"/><s v="Participants who were primed with money were less helpful than participants not primed with money [t(42) = 2.13, P &lt; 0.04; Cohen’s d = 0.63]."/><s v="&quot;We found that participants primed with money donated significantly less money to the student fund than participants not primed with money, t(38) = 2.13, p &lt; 0.05, Cohen’s d = 0.64 (Table 1).&quot;"/><s v="Women reported more positive attitudes toward sexual imagery that promoted an expensive watch than toward sexual imagery that promoted a cheap watch, F(1, 83) = 7.55, p &lt; .01, hp2 = .144."/><s v="&quot;Women reported more positive attitudes toward sexual imagery that promoted an expensive watch than toward sexual imagery that promoted a cheap watch, F(1, 83) = 7.55, p &lt; .01, partial η² = .144&quot;"/><s v="&quot;This hypothesis was supported, F(1, 82) = 3.68, p = .059, partial eta-square = .043&quot;"/><s v="We found strong support for an effect of memory dependency on O-score, with significantly higher Z-scores for memory- dependent than memory-independent task phases (Fig. 3A; coefficient = 0.28; 95% CI: 0.19–0.36; t(556) = 6.55; p &lt; 0.001)."/><s v="&quot;We found strong support for an effect of memory dependency on O-score, with significantly higher Z-scores for memory dependent than memory-independent task phases (Fig. 3A; coefficient = 0.28; 95% CI: 0.19–0.36; t(556) = 6.55; p&lt;0.001)&quot;"/><s v="a significant interaction between condition and SLB endorsement, F(3, 156) = 10.70, p &lt; .001; R2 change = .04; b = 0.49, SE = 0.18, t(156) = 2.66, p = .01."/><s v="&quot;Step 2 revealed a significant interaction between condition and SLB endorsement, F(3, 156) = 10.70, p &lt; .001; R2  change = .04; b = 0.49, SE = 0.18, t(156) = 2.66, p = .01&quot;"/><s v="&quot;Stronger SLB endorsement was associated with increased perceptions of anti-White bias (b = 0.45, SE = 0.09, t(157) = 4.90, p &lt; .001)&quot;"/><s v="&quot;There was no main effect of condition (b = 0.10, SE = 0.17, t(157) = 0.59, p = .56)&quot;"/><s v="&quot;As seen in Table 1, participants enjoyed the external activities much more than just thinking [t(28) = 4.83, p &lt; 0.001], found it easier to concentrate [t(28) = 4.16, p &lt; 0.001], and reported that their minds wandered less [t(28) = 3.61, p = 0.001].&quot;"/><s v="&quot;Specifically, participants in the self-and-other high benefit condition cheated significantly more often (37%) than did those in the other-alone benefits condition, 16%, χ²(1) = 5.59, p = .02.&quot;"/><s v="We found that they could keep only a single feature attached during mental rotation,"/><s v="&quot;But capacity in the object-rotation condition was dramatically lower: Only a single feature could remain attached to a moving part (M = 0.96, SE = 0.10, 95% CI = [0.74, 1.18]), F(1, 11) = 32.04, p &lt; .001, partial η² = .74 (Fig. 2b)&quot;"/><s v="&quot;An analysis of the results in terms of accuracy instead of capacity also revealed that performance was significantly lower in the object-rotation condition (M = 76%, SE = 2.1%, 95% CI = [71.3%, 80.7%]) than in the no-rotation condition (M = 87.5%, SE = 2"/><s v="preschoolers rated contributors (M = 3.74) more positively than the free riders (M = 2.24; d = 1.40)"/><s v="&quot;We carried out the same analysis as in Study 1 and observed effects for target (β = 1.72, 95% CI = [1.44, 2.00])&quot;"/><s v="performance was significantly less accurate in the cued than the neutral trials, F(1, 17)  8.01, p  .01."/><s v="&quot;As can be seen in Figure 2a, performance was significantly less accurate in the cued than the neutral trials, F(1, 17) = 8.01, p &lt;=  .01&quot;"/><s v="&quot;Bonferroni corrected confidence ratings in the false-consensus condition [...] were slightly higher than those in the no-consensus condition, t(94) = 2.77, p = .019, d = 0.50&quot;"/><s v="&quot;Although confidence ratings in the false-consensus condition were still significantly lower than those in the true-consensus condition, t(94) = 7.77, p &lt; .001, d = 1.72, [...]&quot;"/><s v="&quot;Although confidence ratings in the false-consensus condition were [...] slightly higher than those in the no-consensus condition, t(94) = 2.77, p = .019, d = 0.50, Bonferroni corrected&quot;"/><s v="Each unit increase in subsidies for the corresponding childcare alternative is associated with a 2.5% increase in the odds of pre- ferring that mode of childcare."/><s v="&quot;Model 1 in Table 4 reports the effects of the experimentally altered dimensions of the different alternatives and the situational context&quot;"/><s v="&quot;Finally, all the reported effects of the experimentally altered dimensions are persistent when including additional controls, namely, respondents’ gender and their social and migration background (models 2–5 in Table 4).&quot;"/><s v="&quot;Model 2 in Table 4 demonstrates that there is no effect of parental social status, measured by the ISEI, on the likelihood of recommending one particular childcare alternative to their friend&quot;"/><s v="&quot;To this end, models 3, 4, and 5 in Table 4 include alternative-specific interaction effects of the amount of subsidies with individual social status (ISEI), migration background, and gender&quot;"/><s v="We also found a significant effect of the legacy prime on behavioral intentions. Participants who were primed reported greater behavioral intentions (M = 3.05, SD = 0.86) than those who were not primed (M = 2.73, SD = 0.85), F(1, 309) = 10.07, p = .002, d"/><s v="“We also found a significant effect of the legacy prime on behavioral intentions. Participants who were primed reported greater behavioral intentions (M = 3.05, SD = 0.86) than those who were not primed (M=2.73,SD=0.85), F(1,309)=10.07, p=.002, d=0.36.”"/><s v="“As expected, the essay manipulation successfully enhanced overall legacy motives. Almost 10 min after being exposed to the manipulation, participants who wrote the essay reported higher legacy motives (M = 4.47, SD = 1.06), compared with those in the con"/><s v="“Moreover, as predicted, we found a significant effect of the legacy prime on willingness to engage in behaviors aimed at combating climate change. Participants who were primed with legacy motives had higher belief scores (M = 5.39, SD = 1.08) than those "/><s v="&quot;This analysis showed that the indirect effect of the legacy prime on climate-change beliefs through legacy motives was significant, with a 95% confidence interval (CI) that excluded zero (β = 0.041, 95% CI = [0.01, 0.09], p = .029)&quot;"/><s v="&quot;When we replaced climate-change attitudes with behavioral intentions as the outcome variable, behavioral intentions were also partially mediated by increases in legacy motives—direct effect of priming condition on intentions: [...] the indirect effect wa"/><s v="the interaction between congruency and alignment, F(1, 21) = 22.80, p &lt; .001, ηp2 = .52, .... was significant."/><s v="&quot;A 2 (alignment) × 2 (congruency) × 2 (task) repeated measures analysis of variance (ANOVA) revealed a main effect of congruency, F(1, 21) = 41.84, p &lt; .001, partial eta-square = .67&quot;"/><s v="&quot;The interaction between congruency and alignment was also significant, F(1, 21) = 25.81, p &lt; .001, partial eta-square = .55&quot;"/><s v="&quot;The three-way interaction of alignment, congruency, and task was not significant, F(1, 21) = 3.80, p = .065, partial eta-square = .15&quot;"/><s v="&quot;For the face task, the congruency effect, F(1, 21) = 26.35, p &lt; .001, partial eta-square = .56 [...], were both significant&quot;"/><s v="&quot;The interaction between congruency and alignment, F(1, 21) = 7.97, p = .010, partial eta-square = .28, were both significant&quot;"/><s v="&quot; Moreover, the congruency effect was significant only in the aligned condition, t(21) = 5.41, p &lt; .001, Cohen’s d = 1.15&quot;"/><s v="&quot; Moreover, the congruency effect was significant [...] not in the misaligned condition, t(21) = 0.00, p = .059, Cohen’s d = 0.43&quot;"/><s v="&quot;Both the congruency effect, F(1, 21) = 26.30, p &lt; .001, partial eta-square = .56, [...] were significant&quot;"/><s v="&quot;Both the congruency effect,  [...] and the interaction between congruency and alignment, F(1, 21) = 22.80, p &lt; .001, partial eta-square = .52, were significant&quot;"/><s v="&quot;Again, a significant congruency effect was observed in the aligned condition, t(21) = 5.95, p &lt; .001, Cohen’s d = 1.27&quot;"/><s v="&quot;Again, a significant congruency effect was observed [,,,] not in the misaligned condition, t(21) = 0.96, p = .348, Cohen’s d = 0.20.&quot;"/><s v="&quot;Paticipants responded the fastest (in milliseconds) to the pairs in the hierarchy condition (M = 459.32, SD = 63.06), and they were slower to respond in the equality (submissive) (M = 462.22, SD = 64.82), equality (dominant) (M = 469.42, SD = 68.35), and"/><s v="But as shown in Figure 4, participants judged that the man was more likely than the woman to be the pilot, regardless of their evaluation of person X, F(1, 344) = 84.58, p &lt; .0001, η2 = .19, 95% CI = [.13, .27]."/><s v="&quot;But as shown in Figure 4, participants judged that the man was more likely than the woman to be the pilot, regardless of their evaluation of person X, F(1,344) = 84.58,p &lt; .0001, eta-square = .19,95% CI = [.13,.27].&quot;"/><s v="&quot;[...] means below the midpoint of 4 on the scales, Cronbach’s α = .91, composite M = 3.29, SE = 0.08, one sample t(347) = −8.90, p &lt; .0001, Cohen’s d = 0.48, 95% CI = [0.37, 0.60]&quot;"/><s v="&quot;This interaction was driven once again by a significant suppression effect in the control group (M = 1.19), F(1, 15) = 33.548, p &lt; .001, partial eta-square = .691&quot;"/><s v="&quot;A significant group difference in suppression induced forgetting was observed, as indicated by a significant condition-by-group interaction, F(1, 30) = 4.573, p = .041, partial eta-square = .132&quot;"/><s v="&quot;As for the two previous measures, a significant group difference in suppression-induced forgetting was observed, established by a significant condition-by-group interaction, F(1, 30) = 14.231, p = .001, partial eta-square = .322&quot;"/><s v="participants primed with action performed better than participants primed with inaction did (M  12.83, SD  1.86 vs. M  10.78, SD  3.15, respectively)."/><s v="&quot;The analysis revealed a main effect of prime on number of solved problems, F(1, 34) = 5.68, p = .02, demonstrating that participants primed with action performed better than participants primed with inaction did (M = 12.83, SD = 1.86 vs. M = 10.78, SD = "/><s v="for positive emotions, reading times were faster for passages that were written from a personal perspective (M = 2201, SD = 1284) than from an onlooker perspective (M = 2350, SD = 1351; t(4408) = 3.73, p &lt; .001; see Figure 1)."/><s v="&quot;For positive emotions, reading times were faster for passages that were written from a personal perspective (M=2201,SD=1284) than from an onlooker perspective (M=2350,SD=1351; t(4408)=3.73,p&lt;.001; see Figure 1)&quot;"/><s v="&quot;The analysis revealed an effect of perspective on reading times (see Table 1)&quot;"/><s v="&quot;The analysis did not reveal a main effect of valence (see Table 1)&quot;"/><s v="&quot;An interaction of valence and perspective was found (see Table 1)&quot;"/><s v="&quot;Self-ratings were only marginally affected by perspective (see Table2)&quot;"/><s v="&quot;For the self-ratings of emotions, we found differences between negatively and positively valenced texts (see Table 2)&quot;"/><s v="&quot;The analysis revealed an interaction between perspective and valence for self-reported emotions (see Table 2).&quot;"/><s v="&quot;We find a strong relationship: language seems to yield stronger alignment between students and teachers when the teachers are (expected to be) confident in what they have learned (r =−0.75, p &lt; 001)&quot;"/><s v="Participants in the lack-of-control condition reported more than double the physical pain (M = 13.75, SD = 21.49) reported by participants in the complete-control condition (M = 6.57, SD = 11.62), t(98) = 2.04, p = .04, d = 0.41. "/><s v="&quot;Participants in the lack-of-control condition reported more than double the physical pain (M = 13.75, SD = 21.49) reported by participants in the complete-control condition (M = 6.57, SD = 11.62), t(98) = 2.04, p = .04, d = 0.41&quot;"/><s v="In Experiment 1a, 64% of participants experienced complete inattentional blindness on the critical trial (Fig. 1b). Only 18% of participants detected the scene immediately. However, in the post–inattentional blindness testing, in which participants were e"/><s v="As predicted, mothers were judged as significantly less competent and committed than women without children."/><s v="&quot;As predicted, mothers were judged as significantly less competent and committed than women without children.&quot;"/><s v="&quot;Mothers are also less likely than other types of applicants to be recommended for management (second column of table 4)&quot;"/><s v="Analyses of variance confirmed that participants in the status-threat condition expressed greater perceived group-status threat than did participants in the assuaged-threat or control conditions— Study 3a: F(2, 166) = 7.23, p &lt; .001, ηp2 = .08;"/><s v="&quot;Results revealed a main effect of experimental condition on overall policy attitudes, F(2, 161) = 4.92, p = .008, partial eta-square = .06&quot;"/><s v="Unsurprisingly, we found a main effect of moral decision on the moral character evaluation composite, F(1,117) = 127.07, p &lt; .001,"/><s v="The Decision Speed interaction was significant, F(1, 117) = 127.07, p &lt; .001. An analysis of the simple effects showed that, as predicted, quick (vs. slow) immoral decisions prompted more negative moral character evaluations, t(54) = 8.28, p &lt; .001, where"/><s v="&quot;participants were more likely to underestimate the number of flower pictures relative to bird pictures when they expected payment for flower pictures (15 of 31 participants, 48%) than when they expected payment for bird pictures (8 of 32 participants, 25"/><s v="&quot;they were more likely to underestimate the number of bird pictures relative to flower pictures when they expected payment for bird pictures (21 of 32 participants, 66%) than when they expected payment for flower pictures (12 of 31 participants, 39%), x^2"/><s v="In contrast, they were more likely to underestimate the number of bird pictures relative to flower pictures when they expected payment for bird pictures (21 of 32 participants, 66%) than when they expected payment for flower pictures (12 of 31 participant"/><s v="&quot;A comparison of the arousal ratings in the shape condition revealed significantly higher arousal for spiky shapes than rounded shapes (spiky: M = 3.45, SE = 0.039; rounded: M = 2.43, SE = 0.037; p &lt; .0001, d = 0.92) &quot;,&quot; the ratings for both shapes and wo"/><s v="&quot;In the word condition, we compared arousal ratings for bouba-like and kiki-like words; kiki-like words were rated significantly higher in arousal than bouba-like words (kiki: M = 3.16, SE = 0.033; bouba: M = 2.53, SE = 0.033; p &lt; .0001, d = 0.57) &quot;,&quot; the"/><s v="A comparison of the arousal ratings in the shape condition revealed significantly higher arousal for spiky shapes than rounded shapes (spiky: M = 3.45, SE = 0.039; rounded: M = 2.43, SE = 0.037; p &lt; .0001, d = 0.92)."/><s v="&quot;For x-flips, the model revealed a main effect of negation, showing that negation significantly increases x-flips by 0.35, F(1,655) = 14.5, p &lt; .0005 &quot;,&quot; These findings reveal the predicted patterns for simple sentence verification with negation. Negation"/><s v="the model revealed ... and a significant interaction between negation and truth, F(1,655) = 6.9, p &lt; .01."/><s v="&quot;a significant interaction between negation and truth, F(1,655) = 6.9, p &lt; .01.&quot;,&quot; These findings reveal the predicted patterns for simple sentence verification with negation. Negation overall produced more ‘‘discrete-like’’ trajectories as participants r"/><s v="&quot;Negation increases of the number of acceleration ⁄ deceleration events by approximately 0.70, F(1,655) = 19.1, p &lt; .0001 &quot;,&quot; These findings reveal the predicted patterns for simple sentence verification with negation. Negation overall produced more ‘‘dis"/><s v="&quot;its interaction with veracity is significant, F(1,655) = 13.3, p &lt; .0005. &quot;,&quot; These findings reveal the predicted patterns for simple sentence verification with negation. Negation overall produced more ‘‘discrete-like’’ trajectories as participants respo"/><s v="N/A"/><s v="&quot;There was also an interaction between predicate type and answer type (simple model: t = 4.083, b = 0.8605, SE = 0.2108; t &gt;= 2.61 and b &gt;= 0.67 otherwise) &quot;,&quot; the results from Experiment 2 are not in line with the predictions of such an alternative view:"/><s v="&quot;Only the predicted main effect of employee profile was found, F(1, 305) = 168.49, p &lt; .001, ηp2 = .356; participants who read the ambivalent information reported significantly more ambivalence toward Bob (M = 7.21) than did those who read the univalent i"/><s v="&quot;participants in Experiment 1 failed to learn the repetition patterns [percentage correct: M = 53.0%, SD = 10.7%), t (19) = 1.26, P &gt; 0.05] &quot;,&quot; The results presented so far suggest that participants have severe difficulties learning repetition patterns ov"/><s v="participants in Experiment 1 failed to learn the repetition patterns [percentage correct: M  53.0%, SD  10.7%), t (19)  1.26, P  0.05]. There was no difference n performance for AAB as opposed to ABB;"/><s v="&quot;When vengefulness came first, vengefulness also correlated negatively with personal capability, r(45) = .36, p &lt; .01, and empathic understanding, r(45) = .44, p &lt; .01 &quot;,&quot; For men, vengefulness was reduced simply by answering questions about their capabil"/><s v="we examined&#xA;whether a more subtle manipulation could be effective."/><s v="&quot;revealed a significant difference between the Purity/Sanctity Condition × Ideology interaction and both the Harm/Care Condition × Ideology, β = −0.29, p &lt; .001 &quot;,&quot; presenting conservatives with proenvironmental messages couched within a particularly cons"/><s v="&quot;and the Neutral Condition × Ideology interactions, β = −0.17, p &lt; .05 &quot;,&quot; presenting conservatives with proenvironmental messages couched within a particularly conservative moral domain led them to adopt more proenvironmental attitudes, comparable to tho"/><s v="our findings suggest that reframing environmental messages in terms of purity and&#xA;sanctity can reduce or even eliminate the differences in liberal and conservative environmental attitudes."/><s v="&quot;that participants in the 2-information condition selected more inconsistent (69%) than consistent pieces of information (31%), x2 (1, N = 26) = 3.85, p = .05, whereas participants in the 10-information condition selected significantly more consistent (81"/><s v="indicating that participants in the 2-information condition selected more inconsistent (69%) than&#xA;consistent pieces of information (31%), 2 (1, N  26)  3.85, p  .05, whereas participants in the 10-information condition selected significantly more consiste"/><s v="in Study 1b, self-perceived knowledge of personal finance (M = 4.43, SD = 1.17) positively pre- dicted overclaiming, b = 0.10, t(199) = 13.07, p &lt; .001."/><s v="&quot;a significant effect of healthy side in the reference food on calorie estimates (F(1,431) = 4.63, p = 0.03) &quot;,&quot; Looking at the data reveals that when the reference food was a main meal alone, the test food with a healthy side was estimated to have fewer "/><s v="&quot;a significant interaction between a healthy side in the reference and a healthy side in the test food on calorie estimates (F(1,431) = 5.24, p = 0.02)&quot;"/><s v="a significant effect of healthy side in the reference food on calorie estimates (F(1,431) = 4.63, p = 0.03),"/><s v="&quot;participants made more target choices in simple than in complex implicature situations (β = 1.28, SE = .12, p &lt; .0001) &quot;,&quot; what we are calling simple implicatures are indeed simpler than what we are calling complex implicatures.&quot;"/><s v="&quot;made more target choices in complex implicature situations than on ambiguous filler trials (β = .44, SE = .13, p &lt; .001) &quot;,&quot; while participants performed similarly on complex and ambiguous trials, they nevertheless performed significantly above chance on"/><s v="participants made more target choices in simple than in complex implicature situations (β = 1.28, SE = .12, p &lt; .0001),"/><s v="a significant interaction between culture and condition (mother vs. self) on motivation, F(1, 113) = 6.12, p = .01."/><s v="By contrast, in the high- commitment conditions, participants randomly assigned to the extremely high-capability condition (N = 53, mean = 6.04, S.D. = 1.18) were more likely to give the candidate an offer (t = − 3.34, d.f. = 105, p = .001, two-tailed tes"/><s v="Based on our preregistered hypotheses, participants assigned to the PEIEL condition showed higher intolerance of inequality (M = 5.50, 95% CI [5.31, 5.68]) compared to those assigned to the control group (M = 5.18, 95% CI [5.00, 5.37], t(370) = 2.303, p ="/><s v="the rate of literal interpretation was higher when the plausible alternative involved positing more string edits (major change) compared with fewer (minor change): experiment 1: 93.4% for major change alternations (1 and 2 in Table 1); 56.1% for minor cha"/><s v="&quot;62% of the subjects in the with-principle condition produced the convergence solution without a hint, as compared to only 40% of those in the without-principle condition, G2( 1) = 6.75, p &lt; .01. The frequency of noticing in the former condition is in fac"/><s v="&quot;a significant three-way interaction of age × donation form × kinship, F(1,134) = 4.03, p &lt; .05, ηp2 = .03 , suggesting that the age difference could be moderated by kinship and donation form.&quot;"/><s v="a significant three-way inter- action of age × donation form × kinship, F(1,134) = 4.03, p &lt; .05, ηp 2 = .03 , suggesting that the age difference could be moderated by kinship and donation form."/><s v="Fig. 5 shows the average numbers of tests of each type made by participants in Experiment 4. Replicating Experiment 3, participants adapt their tests appropriately to their environment. Participants in the sum last two condition test the sum last two rule"/><s v="&quot;the predicted interaction effect, F(1, 161) = 7.00, p &lt; .01, on the number of good tasks given &quot;,&quot; provide evidence that the tendency to symmetrically pay forward greed stems from negative affect&quot;"/><s v="&quot;The test of interest is the interaction. Controlling for prechoice spread, the degree to which postchoice spread varied with the proportion of options chosen depended on whether opportunity costs were explicit at the time of choice.&quot;"/><s v="test whether the effect of opportunity cost consideration on spread was driven by the salience of opportunity costs at the time of choice or at the time of evaluations,"/><s v="&quot;we observed the predicted interaction between load and judgment (F(1, 62.9) = 8.5, p = .005) &quot;,&quot; Cognitive load selectively increased RT for utilitarian judgment, yielding the predicted interaction between load and judgment type.&quot;"/><s v="we observed the predicted interaction between load and judgment (F(1, 62.9) = 8.5, p = .005)."/><s v="&quot;Parents who were induced to hold a failure-is-debilitating mind-set were more likely to react with concerns about their child’s performance and lack of ability, t(131) = 3.246, p &lt; .001, ηp2 = .075, &quot;,&quot; findings indeed show that parents who believe failu"/><s v="Participants also demonstrated the A/B Effect by rating each A/B test as less appropriate than their average rating of policies (Table 1)"/><s v="Specific comparisons revealed that the implemental mind-set group evidenced a significantly lower amount of ambivalence  ... compared with the deliberative (M   2.74, SD   0.67), t(80)   2.02, p   .05, d   0.45,"/><s v="&quot;These analyses showed a significant effect of C1, F(2,196) = 22.33, p &lt; .001, β = 0.32, 95% CI [0.19, 0.45] &quot;,&quot; college students from lower-SES backgrounds who reflected on their background specific-strengths were significantly more likely to: 1) endorse"/><s v="Participants randomly assigned to the BSS condition displayed significantly greater endorsement of background-specific strengths than participants in the control conditions"/><s v="&quot;The primary research questions were whether participants would prefer reductive explanations and whether this would differ by the science of the phenomenon. The regression revealed a significant main effect of explanation level&quot;"/><s v="whether participants would prefer reductive explanations and whether this would differ by the science of the phenomenon."/><s v="&quot;Participants felt older after taking a memory test (M = 54.79 years, SD = 16.79) than at baseline (M = 50.04 years, SD = 13.80), t(27) = 2.71, SE = 1.75; d = 0.76, 95% CI = [0.33, 1.18] &quot;,&quot; the subjective-aging effect observed in Studies 1 and 2 was repl"/><s v="Participants felt older after taking a memory test (M = 54.79 years, SD = 16.79) than at baseline (M = 50.04 years, SD = 13.80), t(27) = 2.71, SE = 1.75; d = 0.76, 95% CI = [0.33, 1.18]."/><s v="&quot;participants expected to enjoy eating the desired foods (M = 3.85, SD = 0.83) more than the cross-category substitutes (M = 3.48, SD = 0.81), and they expected to enjoy both more than the within-category substitutes (M = 2.86, SD = 0.90), all t(100)s &gt; 7"/><s v="On average, participants expected to enjoy eating the desired foods (M = 3.85, SD = 0.83) more than the cross-category substitutes (M = 3.48, SD = 0.81),"/><s v="Parents put more emphasis on the student’s opinion than the student puts on the parent’s opinion, at least for the higher two marginal effects. The difference is especially strong for the change from Dislike to Like."/><s v="&quot;None of the main effects were significant predictors; as expected, the treatment did not have a significant effect on the evaluation of “human” pro files. However, in the labeled and primed conditions hosts with AI-like profiles received significantly lo"/><s v="However, in ... primed condition hosts with Al-like profiles received significantly lower trust ratings. "/><s v="&quot;the majority of U.S. adults preferred to generalize the object label by shape (68.75% of choices) over material (28.48% of choices) and color (2.77% of choices) &quot;,&quot; that humans generalize object labels based on the features that they believe will be diag"/><s v="&quot;The main effect of Aptness was highly significant in the analyses of both comprehension times [Fp (1, 59) = 77.05, p &lt; .001 and Fi(1, 124) = 34.88, p &lt; .001] and ease-of-interpretation ratings [Fp (1, 59) = 121.14, p &lt; .001 and Fi(1, 124) = 57.69, p &lt; .0"/><s v="Aptness facilitated both the speed and the ease of comprehension. The main effect of Aptness was highly significant in the analyses of ... comprehension times [ F(1, 59) = 77.05, p &lt; .001"/><s v="&quot;a significant effect of condition, F(2, 448) = 26.48, p &lt; .001, ηp2 = .106 &quot;,&quot; This result confirmed our prediction that hypocrites would be seen as worse than liars. It also  demonstrates that people disapprove of false signalers (hypocrites and liars) "/><s v="We followed up with pairwise comparisons and found that hypocrites (M = 32.07, SD = 15.93) were evaluated as worse than liars (M = 36.15, SD = 15.37), mean difference = −4.08, 95% CI = [−7.63, −0.53], t(299) =&#xA;−2.26, p = .025, d = −0.26,"/><s v="Pairwise comparisons revealed that traditional hypocrites (M = 34.35, SD = 13.76) were evalu-&#xA;ated more negatively than both honest hypocrites (M = 46.62, SD = 14.01), mean difference = −12.28, 95% CI = [−15.41, −9.14], t(301) = −7.69, p &lt; .001, d = −0.8"/><s v="&quot;a significant effect of condition, F(2, 449) = 35.62, p &lt; .001, ηp2 = .137 &quot;,&quot; as predicted, our honest hypocrite manipulation fully eliminated disapproval of &#xA;hypocrisy; honest hypocrites received ratings that were no worse than the ratings of control "/><s v="&quot;when one’s risk was portrayed as changeable, high-level construal (M3A = 3.95, SD3A = 1.55) generally increased motivation to get supplementary information relative to low-level construal (M3A = 3.51, SD3A = 1.74), F3A(1, 160) = 7.81, p = .006, d = 0.44 "/><s v="when one’s risk was portrayed as changeable, high-level construal (M3A = 3.95, SD3A = 1.55) generally increased motivation to get supplementary information relative to low-level construal (M3A = 3.51, SD3A = 1.74), F3A(1, 160) = 7.81, p = .006, d = 0.44 ("/><s v="&quot;participants gave a significantly stronger (t = 2.05, p = 0.04) interview recommendation to confounders (mean  5.73) than to ex-founders (mean = 5.40), and female ex-founders received a significantly higher recommendation (t = 4.33, p = 0.01, mean = 5.89"/><s v="Consistent with the audit results, participants gave a significantly stronger (t  2.05, p  0.04) interview recommendation to nonfounders"/><s v="&quot;In contrast to the baseline condition when participants never attempted to move the bag, in almost a third of the cases participants attempted to move the bag in the experimental condition (30%). The great majority of participants (71%) attempted to move"/><s v="&quot; there was a strong cultural difference for both unique and plural minority subfigures. Planned comparisons showed that liking for the unique subfigures differed between European Americans (M = 5.88, SD = 2.11) and Koreans (M 3.81, SD = 1.91), t(74) = 4."/><s v="a strong cultural difference for both unique and plural minority subfigures. Planned comparisons showed that liking for the unique subfigures differed between European Americans (M = 5.88, SD = 2.11) and Koreans (M = 3.81, SD = 1.91), t (74) = 4.55, p &lt; 0"/><s v="&quot;participants were much slower to make the ink-color response in the incongruent condition than in the congruent condition, F(1, 33) = 74.14, p &lt; .001, ηp2 = .69 &quot;,&quot; internally maintaining a color word incongruent with an external color patch drastically "/><s v="For both tasks combined, participants were much slower to make the ink-color response in the incongruent condition than in the congruent condition, F(1, 33) = 74.14, p &lt; .001, ηp2 = .69."/><s v="&quot;a main effect of speaker’s condition, F(1, 55) = 83.67, p &lt; .001 (all other ps &gt; .22). Speakers who had been in the high-rank condition - regardless of their sex—were rated as more likely to engage in high-rank behaviors (M = 4.30, SD = 0.28) than were t"/><s v="We found only a main effect of speaker’s condition, F(1, 55) = 83.67, p &lt; .001"/><s v="&quot;There was a significant main effect of the size rank of the object on the drawn size of the object (F(7, 391) = 30.1, p &lt; .001, np2 = .35). That is, objects that are small in the world were drawn smaller on the page than objects that are large in the wor"/><s v="&quot;There was also a significant effect of paper size on drawn size (F(2, 41) = 70.9, p &lt; .001, np2 = .78), where the average drawn size of objects increased as the paper size increased &quot;,&quot; show a clear linear relationship between the drawn size and the size"/><s v="&quot;there was a significant interaction between the paper size and the effect of the object size (F(14, 391) = 4.3, p &lt; .001, np2 = .13). In other words, there was a smaller range of drawn object sizes on the small paper, with progressively greater ranges of"/><s v="&quot;A one-way analysis of variance on self-dehumanization scores revealed a significant difference among the three conditions, F(2, 153) = 3.50, p = .033, ηp2 = .04. Participants who recalled an unethical act self-reported marginally lower human capabilities"/><s v="Participants who recalled an unethical act self-reported marginally lower human capabilities (M = 5.82, SD = 1.11) ... and significantly lower human capabilities compared with those who recalled an ethical act (M = 6.23, SD = 0.65, p = .022)."/><s v="&quot;Our critical comparison involves the baseline condition and the condition where only the agent believed that the ball was behind the occluder. Results showed that participants were faster than in the baseline condition when only the agent believed the ba"/><s v="&quot;Subjects in the knowledge-plausible condition, who were told that the violin was moved to the red container, which was in a location where Vicki might plausibly look, assigned significantly higher probabilities to the red container than did subjects in t"/><s v="&quot;subjects in the knowledge-plausible condition assigned significantly lower probabilities to the blue container than did subjects in the ignorance condition, t(105) = 2.35, prep = .95, d = 0.459 &quot;,&quot; an adult’s own knowledge can compromise his or her abili"/><s v="Subjects in the knowledge-plausible condition, who were told that the violin was moved to the red container, which was in a location where Vicki might plausibly look, assigned significantly higher probabilities to the red container than did subjects in th"/><s v="&quot;participants in the God condition reported a higher willingness to take risks, b = 0.61, t(99) = 2.29, p = .024, and also perceived less danger associated with these risks, b = −0.44, t(99) = −2.97, p = .004, than did participants in the control conditio"/><s v="participants in the God condition reported a higher willingness to take risks, b = 0.61, t(99) = 2.29, p = .024,"/><s v="&quot;A 2 (system threat vs. no threat)  2 (benevolent-stereotypic vs. non-benevolent-stereotypic) analysis of variance conducted on the mean ratings of romantic interest revealed a significant two-&#xA;way interaction, F(1, 34) = 5.89, prep = .93, o2 = .02 &quot;,&quot; me"/><s v="A 2 (system threat vs. no threat)  2 (benevolent-stereotypic vs. non-benevolent-stereotypic) analysis of variance conducted on the mean ratings of romantic interest revealed a significant two-&#xA;way interaction"/><s v="&quot;subjects judged John’s action to be significantly more morally acceptable in the low-interest condition than in the high-interest condition (low interest: 76%; high interest: 44%; X2 (1) = 62.0,P &lt; 0.001, two-tailed, VCramer = 0.32, CI95%[0.25, 0.40], n "/><s v="&quot;The average visual crowding effects were significantly different between target eccentricity of 4° (mean=1.61°) and 6° (mean=2.66°) &quot;,&quot; that people who self-reported having been diagnosed with dyslexia (N=59, excluding 10 who reported having additional i"/><s v="Te average visual crowding efects were signifcantly diferent between target eccentricity of 4° (mean=1.61°) and 6° (mean=2.66°), and between participants with (e=4 : 1.90°; e=6°: 3.03 )"/><s v="&quot;The effect was in the predicted direction for 10 of the 11 actions (binomial p &lt; .05), and on average, the coefficient for action identification level was significantly different from zero in the predicted direction (M = 1.00, SD = 0.67), t(10) = 4.95, p"/><s v="on average, the coefficient for action identification level was significantly different from zero in the predicted direction (M  1.00, SD  0.67), t(10)  4.95, p  .001, d  1.49."/><s v="&quot;Our primary interest in the current study was the extent to which trait inferences from a face were associated with actual corruption records.&quot;"/><s v="showed that at an individual level, judgments of a face for traits with the same valence were positively correlated"/><s v="&quot;Across all trials, participants were on average 1.41 s faster per trial on slide transition blocks than on fade-transition blocks (9.27 s vs. 10.68 s, a difference of 15.2%), t(17) = 5.22, p &lt; .001, d = 1.23. This difference was also highly robust nonpar"/><s v="Across all trials, participants were on average 1.41 s faster per trial on slidetransition blocks than on fade-transition blocks (9.27 s vs. 0.68 s, a difference of 15.2%), t(17) = 5.22, p &lt; .001, d = 1.23."/><s v="&quot;This main effect was qualified by a significant three-way interaction, F(1, 76) = 11.53, p &lt; .001, η2 = .13 &quot;,&quot; This study illustrates the importance of considering both race and gender when examining the impact of agency, and specifically dominance, on "/><s v="This main effect was qualified by a significant three-way interaction, F(1, 76) = 11.53, p &lt; .001, η2 = .13.1"/><s v="&quot;Participants used the truth response more for Black targets (mean c = 0.48, SD = 0.61, 95% CI = [0.32, 0.64]) than for White targets (mean c = −0.03, SD = 0.60, 95% CI = [−0.19, 0.12]), paired-samples t(57) = 8.30, p &lt; .001, 95% CI for the difference bet"/><s v="Participants used the truth response more for Black targets (mean c = 0.48, SD = 0.61, 95% CI = [0.32, 0.64]) than for White targets (mean c = −0.03, SD = 0.60, 95% CI = [−0.19, 0.12]), paired-samples t(57) = 8.30, p &lt; .001, 95% CI for&#xA;the difference betw"/><s v="&quot;Overall, we found evidence for a Size-Stroop effect: on incongruent trials, participants were slower to make visual size judgments when the real-world size of original objects were incongruent with their sizes on the screen (Mdiff = 12.92 ms, SDdiff = 13"/><s v="Overall, we found evidence for a  ... , main effect of congruency, F(1,15) = 14.3, p = 0.002, g2 p = 0.489, Cohen’s d = 0.95,"/><s v="A significant interaction between message type and moral attitude basis, b = −0.27, 95% CI = [−0.42, −0.11], t(410) = −3.34, p &lt; .001, f2 = .03."/><s v="was a significant interaction between message type and moral attitude basis, b = −0.27, 95% CI = [−0.42, −0.11], t(410) = −3.34, p &lt; .001, f2 = .03 (Fig. 1)."/><s v="Global affect toward Asian Americans was significantly more negative in the realistic threat condition (partner: Jamal, M = 62.11, SD = 22.91) than in the no realistic threat condition (partner: Yoshi, M = 78.57, SD = 17.90), F(1, 39) = 6.48, p = .015, η2"/><s v="A two-way analysis of variance revealed a robust interaction between income and condition [cognitive control: F(1,97) = 7.86, P &lt; 0.01]."/><s v="A two-way analysis of variance revealed a robust interaction between income and ... cognitive control: F(1,97) = 7.86, P &lt; 0.01]."/><s v="In the RB task, the overall accuracy was marginally higher in the S condition than in the R condition, t(57) = 1.82, p = .07."/><s v="In the RB task, overall accuracy was marginally higher in the S condition than in the R condition, t(57)  1.82, p  .07,"/><s v="&quot;In contrast with members of all other groups, women in the masculine condition were less likely to want to enroll in the course, t(108) = 3.20, p = 0.001, d = 0.62 &quot;,&quot; Our manipulation check shows similar results to the main measures.&quot;"/><s v="&quot;were less likely to feel they would belong in that class, t(108) = 3.47, p &lt; 0.001, d = 0.67 &quot;,&quot; Our manipulation check shows similar results to the main measures.&quot;"/><s v="&quot;anticipated lesser success if they were to take the course, t(108) = 2.41, p = 0.01, d = 0.47 &quot;,&quot; Our manipulation check shows similar results to the main measures.&quot;"/><s v="&quot;reported lower levels of confidence in their technical abilities relative to others who might take the introductory course, t(108) = 3.18, p = 0.001, d = 0.61; &quot;,&quot; Our manipulation check shows similar results to the main measures.&quot;"/><s v="&quot;expressed less interest in learning computer science or programming in the long term, t(108) = 3.33, p &lt; 0.001, d = 0.64; &quot;,&quot; Our manipulation check shows similar results to the main measures.&quot;"/><s v="&quot;and were much more anxious about the way their gender would be perceived in the course, t(108) = −4.57, p &lt; 0.001, d = −0.88 &quot;,&quot; Our manipulation check shows similar results to the main measures.&quot;"/><s v="In contrast with members of all other groups, women in the masculine condition ... were less likely to feel they would belong in that class, t(108) = 3.47, p &lt; 0.001, d = 0.67;"/><s v="Observed a significant relationship between receptiveness and selective exposure (b = −0.27, SE = 0.08, z = −3.29, p &lt; 0.01). Thus increased receptiveness substantially decreased participants’ odds of choosing a same-party versus opposing-party senator."/><s v="We observed a significant relationship between receptiveness and selective exposure (b = −0.27, SE = 0.08, z = −3.29, p &lt; 0.01)."/><s v="Participants were significantly slower at classifying transposed-word sequences as being ungrammatical compared with the control sequences, b = 0.03, SE = 0.00, t = 8.57 this is the first demonstration of a transposed-word effect in grammaticality judgmen"/><s v="Participants were significantly slower at classifying transposed-word sequences as being ungrammatical compared with the control sequences, b = 0.03, SE = 0.00, t = 8.57,"/><s v="In terms of attraction: nonaffirmed (obedient) actors liked the rebel significantly less (M  .02) than self-affirmed (self affirm rebels) participants who showed no such rejection of the rebel (M =2.54)."/><s v="The placement of affect mea- sures in the rebel control condition did not have a significant impact on any of the variables analyzed below."/><s v="Repeated-measures ANOVAs with the factors condition, lexicality, and neighborhood size demonstrated that joint report of words was higher than that for nonwords (51.2% vs. 12.7%), F1(1, 23)  92.34, p &lt; .001 ."/><s v="Repeated-measures ANOVAs with the factors condition, lexicality, and neighborhood size demonstrated that joint report of words was higher than that for nonwords (51.2% vs. 12.7%), F1(1, 23)  92.34, ... both ps  .001;"/><s v="There was a significant interaction between scanning condition (positive or negative) and stimulus valence (postscan ratings of positivity or negativity), F(1, 11) 5 9.67, p &lt; .01, prep 5 .95 (see Fig. 3). More positively rated names were associated with "/><s v="Subjects in the HI treatment work significantly more than subjects in the LO treatment. The treatment difference of 1.85 euros is almost half as large as the amount of the treatment manipulation (7 − 3 = 4 euros). [In Table 1]: 1.850**, SE = 0.917, ** p &lt;"/><s v="&quot;The treatment difference of 1.85 euros is almost half as large as the amount of the treatment manipulation (7 − 3 = 4 euros). The marginal effect compared to effort provision in LO is 25.1 percent. The treatment difference in effort provision is signific"/><s v="Recall that the difference between the HIGH NOREC and the PHIGH25 treatment is that in the former the principals cannot be overruled. Therefore, if the principals derive disutility from being overruled they should be more willing to delegate in HIGH NOREC"/><s v="&quot;Recall that the difference between the HIGH NOREC and the PHIGH25 treatment is that in the former the principals cannot be overruled. Therefore, if the principals derive disutility from being overruled they should be more willing to delegate in HIGH NORE"/><s v="Cooperation prevails in the Continuous treatment, is less than half as common in Grid-8. [Table 2:] median cooperation rate of .893 for continuous and .250 for Grid-8, Mann-Whitney p &lt; .01"/><s v="&quot;Results are striking. For each parameter set, these rates are all zero in One-Shot, but in Continuous they range from 81 percent (in Hard) to over 93 percent (in Easy). The cooperation rates in Grid-8 are far more heterogeneous, ranging from zero (in Har"/><s v="We see that there is markedly less cooperation when b/c = 1.5 [...] overall (1.5 versus 2, p = 0.001; 1.5 versus 2.5, p &lt; 0.001; 1.5 versus 4, p &lt; 0.001). [...] Cooperation [is] more frequent in treatments where there are coop-&#xA;erative equilibria."/><s v="&quot;We see that there is markedly less cooperation when b/c = 1.5, both in the first round (1.5 versus 2, p = 0.016; 1.5 versus 2.5, p = 0.003; 1.5 versus 4, p = 0.004) and overall (1.5 versus 2, p = 0.001; 1.5 versus 2.5, p &lt; 0.001; 1.5 versus 4, p &lt; 0.001)"/><s v="If firms can ex ante commit to a wage schedule with deferred compensation, workers should respond by supplying sufficient effort to avoid dismissal. We contrast this full-commitment case to controls with no commitment. [...] Interestingly there is little "/><s v="&quot;The next two, rows show the mean wage offers. Wage offers declined over the session in each treatment. Interestingly there is little difference between stage 1 offers in the FCT and NCT, with both averaging about 20 overall and 15 in the last 10 rounds. "/><s v="The positive-affect inducement unambiguously reduces time preference. [...] With the restricted sample, the magnitude and the significance of the treatment effect increase (see columns 5 through 8 of Table 3). The positive-affect inducement now increases "/><s v="Averaging across the first 15 rounds of the game, the priority condition averaged a donation rate of 74.2 percent while control condition averaged a much lower donation rate of 35.9 percent."/><s v="&quot;Using estimates from regression 2, we find that Priority outperforms Discount and Rebate in the first 15 rounds of the experiment but the 3 are indistinguishable in the second half of the experiment&quot;."/><s v="We find high mispricing in treatments with declining FVs [fundamental values], z = −2.402 (T1 vs T2)"/><s v="&quot;While the results for overvaluation look similar on the aggregate level (with a significant difference of 17.1 percentage points), a closer inspection of Table 6 reveals that overvaluation is very strong in T1( \+) compared to T2(— +) and T3( \=)&quot;"/><s v="&quot;There is a market communication effect whereby the market also influences output by negatively affecting players’ beliefs. [...] The results show that output in the Market treatment is significantly lower than in the Control treatment in all specificatio"/><s v="&quot;Table 8 reports ordered probit regressions with group random effects, similar to those for Experiment 1. The results show that output in the Market treatment is significantly lower than in the Control treatment in all specifications, and for both Insider"/><s v="Players are the least likely to give to the last-place player when they are in second-to-last place and this difference is pairwise significant for the first-, third-, and last-place players, and marginally significant (p = .120) for the second-place play"/><s v="&quot;Column (1) shows that the second-to-last-place player is significantly less likely to give to the lower-ranked player relative to other players&quot;."/><s v="When there is noise in addition to punishment, net payoffs are significantly reduced. [...] Hypothesis F-tests confirm at the 5 percent level that the joint effect of Regular Punishment and Noise × Regular Punishment is negative."/><s v="&quot;Hypothesis F-tests confirm at the 5 percent level that the joint effect of Regular Punishment and Noise × Regular Punishment is negative, but cannot reject that the joint effect of Strong Punishment and Noise × Strong Punishment is different from zero (p"/><s v="The average per-period total surplus is 58 percent higher in the screening treatment [than the control]—a difference that is highly significant (rank-sum test on matching group averages, p = 0.007)."/><s v="&quot;Overall, the average per-period total surplus is 58 percent higher in the screening treatment—a difference that is highly significant (rank-sum test on matching group averages, p = 0.007). This increase in the total surplus has two main sources—the highe"/><s v="Whether and how communication can achieve beneficial social outcomes in a hidden-information context [...] depends crucially on whether low-talent agents can participate in an outcome that, compared to no contractual agreement, is a Pareto improvement for"/><s v="&quot;Summarizing the results, the only case in which communication led to a significant increase was for low-talent B’s in the (5, 7)-game, where the Don’t rate nearly doubles, to 78 percent.&quot;"/><s v="In the enhanced sessions, participants in the ingroup sessions choose significantly higher effort than those in the [...] outgroup sessions. A test that the sum of the coefficients on the ingroup dummy and ingroup-enhanced interaction term is equal to the"/><s v="&quot;A test that the sum of the coefficients on the in-group dummy and ingroup-enhanced interaction term is equal to 0 yields p  &lt;0.0001forcolumn 1 andp= 0.0005 for column 2, while a test that the previous sum is equal to the corresponding outgroup sum yields"/><s v="Finally, we provide evidence on payoffs under the two mechanisms. As shown in Table 7, when summed across the two agents, payoffs are higher under SL under all three preference profiles. Moreover, while the differences are not statistically significant fo"/><s v="&quot;Finally, we provide evidence on payoffs under the two mechanisms. As shown in Table 7, when summed across the two agents, payoffs are higher under SL under all three preference profiles. Moreover, while the differences are not statistically significant f"/><s v="A Wilcoxon Mann-Whitney test indicates that we can reject the null hypothesis of no difference in efficiency ratios between [...] the M6 and NM6 treatments [...] in favor of the alternative that efficiency ratios are higher in each of the two M treatments"/><s v="&quot;Nevertheless, using the session-level efficiency ratios over all rounds as reported in Table 7 for the money treatment sessions and in the last three columns of Table 12 for the no money treatment sessions, a Wilcoxon Mann-Whitney test indicates that we "/><s v="Efficiency is below 20 percent without liability, but significantly higher and above 80 percent with liability. [Table 3]: Mann-Whitney U-tests for pairwise differences between treatments (with matching groups of 8 subjects as one independent observation)"/><s v="&quot;Efficiency is below 20 percent without liability, but significantly higher and above 80 percent with liability.&quot;"/><s v="Subjects who have a high chance of leaving with the mug value the mug significantly higher than subjects who have a low chance of leaving with the mug. [...] The mean ln (WTAmug) is 1.30 in Treatment MH and 1.11 in Treatment ML; this difference is not qui"/><s v="&quot;However,when we consider the subject level difference between ln (WTAmug) and ln (WTApen), we find a mean of 0.33 for subjects in the MH treatment and 0.01 for subjects in the ML treatment. This difference is statistically significant (p = .03, t-test).&quot;"/><s v="Clipboard weight (heavy or light) nonconsciously influenced impressions and decisions formed about unrelated people - specifically for ratings of job candidates (scale = 1 to 7), where higher numbers indicate stronger&#xA;evaluations. F(1, 52) = 4.08, p = 0.0"/><s v="Participants using heavy clipboards rated the candidate as better overall"/><s v="On the final test 1 week later, collapsed across question type (verbatim and inference), the advantage of retrieval practice (M = 0.67) over elaborative studying with concept mapping (M = 0.45) represented about a 50% improvement in long-term retention sc"/><s v="the advantage of retrieval practice (M = 0.67) over elaborative studying with concept mapping (M = 0.45) represented about a 50% improvement in long-term retention scores"/><s v="Theory of Mind task scores were higher in the literary fiction than nonfiction condition [F1,82 = 6.40, p =0.01]"/><s v="Scores for the affective ToM task were higher in the literary fiction than nonfiction condition"/><s v="Participants computed the agent’s belief and that this belief influenced their behavior even though it was inconsistent with their own belief. This is shown when participants were faster than in the baseline condition when only the agent believed the ball"/><s v="participants were faster than in the baseline condition when only the agent believed the ball to be behind the occluder"/><s v="Hand washing significantly reduced the need to justify one’s choice by increasing the perceived difference between alternatives [F(1, 38) = 6.74, P = 0.01, for the interaction of time and hand-washing &#xA;manipulation]."/><s v="hand washing significantly reduced the need to justify one’s choice by increasing the perceived difference between alternatives"/><s v="Testing if repeatedly imagining the consumption of a food would increase or decrease the amount of that food that people would subsequently consume.&#xA;Planned comparisons revealed that participants in the 30-repetition condition ate significantly fewer M&amp;M’"/><s v="the amount of M&amp;M’s eaten by participants was influenced by the imagination induction"/><s v="In the high initial inequality condition, making neighbours’ wealth visible results in significantly higher levels of inequality compared to when neighbours’ wealth is invisible (difference in final round Gini = 0.104, P = 0.004)."/><s v="In the high initial inequality condition, making neighbours’ wealth visible results in significantly higher levels of inequality compared to when neighbours’ wealth is invisible "/><s v="Confirming the prediction of increased mediator retrieval, recall of mediators at final test in the CMR group was greater after test-restudy versus restudy practice (51% versus 34%)."/><s v="recall of mediators at final test in the CMR group was greater after test-restudy versus restudy practice (51% versus 34%)"/><s v="Control participants showed an accuracy drop from pretest to posttest, whereas students who expressed their thoughts before the high-pressure test (expressive writing group) showed a significant  math accuracy improvement from the pretest to posttest. &#xA;Fo"/><s v="in the posttest, the expressive writing group performed significantly better than the control group "/><s v="Priming intuition (or inhibiting reflection) increases cooperation relative to priming reflection (or inhibiting intuition).  Contributions are significantly higher when subjects are primed to promote intuition relative to reflection ( rank sum, P = 0.011"/><s v="contributions are significantly higher when subjects are primed to promote intuition relative to reflection"/><s v="Poor participants performedworse  than did rich participants  in the attention task (Dots-Mixed Task). &#xA;The poor engage more deeply and could be more fatigued despite spending less time on the WHeel of Fortune task. &#xA;[F(1, 54) = 4.16, P &lt; 0.05]"/><s v="We measured the total number of correct responses in the attention task. Four participants were removed from the analyses for having zero correct responses. Poor participants performed worse (mean T SD, 45.12 T 15.87) than did rich participants"/><s v="Affective valence was higher for winners than losers when ratings were based on the body alone (p&lt; 0.001)"/><s v="participants failed to rate the affective valence of winners as more positive than the affective valence of losers when seeing the face alone, they succeeded when seeing the body alone"/><s v="Computer words were more accessible [color-naming RT mean (M) = 712 ms, SD = 413 ms] than general words (M = 591 ms, SD = 204 ms) after participants had encountered a series of questions to which they did not know the answers, t(68) = 3.26, P &lt; 0.003, two"/><s v="Although the concept of knowledge in general seems to prime thoughts of computers, even when answers are known, not knowing the answer to general-knowledge questions primes the need to search for the answer, and subsequently computer interference is parti"/><s v="Participants enjoyed the external activities much more than just thinking [t(28) = 4.83, P &lt; 0.001]."/><s v="participants enjoyed the external activities much more than just thinking"/><s v="Comparisons to the control treatment CTR reveal that the frequency of competing women is significantly higher in PT1 [chi-squared(1) = 5.62, P = 0.018] &#xA;(where preferential treatment 1 (PT1) means each woman’s performance is automatically increased by one"/><s v="Bilateral comparisons with the control treatment CTR reveal that the frequency of competing women is significantly higher in PT1"/><s v="The probability of maintaining cultural diversity (that is, observing both tasks in the group) increased with group size (x2 = 16.3, d.f. = 1, p &lt; 0.0001)"/><s v="the probability of maintaining cultural diversity (that is, observing both tasks in the group) increased with group size"/><s v="Similar object trials were more accurately identified as being similar when they were preceded by new object trials than when they were preceded by old ones [ t(14) = 3.41, P &lt; 0.005]."/><s v="similar trials were more accurately identified as being similar when they were preceded by new trials than when they were preceded by old ones"/><s v="A novel visual prime that triggers analytic thinking (The Thinker) also encouraged disbelief in God, [t(55) = 2.24, P = 0.03]."/><s v="viewing The Thinker significantly promoted religious disbelief"/><s v="When 50% covered overhead, 71.43% of participants donated to charity: water, which  is significantly higher than when  there is a 50% uncovered&#xA;overhead, (z = 3.00, P &lt; 0.01). "/><s v="at 50% covered overhead, 71.43% of participants donated to charity: water, which is significantly higher than those in treatment three (50% uncovered overhead"/><s v="In 20 IGGs using d = 0.8 and T 5 50%, with an applied the voting rule, we found a dramatic increase in sustainability (Fig. 2b): all 20 common pools were sustained across all generations (unregulated versus voting: linear probability model (LPM) predictin"/><s v="the fraction of cooperators was 20% larger under voting than unregulated"/><s v="When participants started with three periods of  &quot;neither communicaiton nor punishment&quot; (NCP), the resource was consistently depleted within about 90 s,. &#xA;When participants started with &quot;communication&quot; (C) periods, the amount of earnings did not drop sign"/><s v="Periods with communication lead on average to a slower harvesting rate and more resource regeneration"/><s v="participants gave lower ratings after the cleanliness priming (M 5 4.98, SD 5 1.26) than they did after the neutral priming (M 5 5.81, SD 5 1.47), F(1, 38) 5 3.63, prep 5.90, Zp  2 1⁄4 :09. "/><s v="&quot;participants gave lower ratings after the cleanliness priming (M 5 4.98, SD 5 1.26) than they did after the neutral priming (M 5 5.81, SD 5 1.47), F(1, 38) 5 3.63, prep 5.90, np2=.09.&quot;"/><s v="As Table 2 indicates, the easier the ability, the higher participants' estimates of how they compare with their peers:  The ease or difficulty of the abilities also determined whether participants believed they were above or below average. On aver- age, p"/><s v="As Table 2 indicates, the easier the ability, the higher participants' estimates of how they compare with their peers:  : The correlation between domain difficulty and participants' compara- tive ability estimates across the eight abilities was —.96 (df ="/><s v="As Table 2 indicates, the easier the ability, the higher participants' estimates of how they compare with their peers:  :Similarly, the correlation between participants' ratings of their own absolute abilities and their comparative abilities was .95 (df ="/><s v="We conducted an ANCOVA, with condition as the between-sub-jects factor and the natural log of the discounting parameters at T1 and T2 as the within-subjects factor. Gender, T1 blood glu-cose, time of day, and pleasantness of the drink were added as covari"/><s v="As predicted, there was a significant interaction between condition and time (i.e., T1 future discount to T2 future discount), F(1, 59) = 15.61, prep &gt; .999, ηp2 = .21. ... Our results showed that human preferences for future versus current rewards fluctu"/><s v="&quot;found that on a 7-point scale the groups differed in how effortful they found the self-regulation instructions (i.e., how much effort did it take to watch the movie, decrease your emotional response as you watched the movie, or increase your emotional re"/><s v="&quot;participants in the decrease emotional response condition reported that they found the manipulation of regulatory exertions much more effortful (Af = 33) than participants in the no emotional control condition (M = 1.9), /(38) = 3.47, p &lt; .01&quot;"/><s v="&quot;participants in the increase emotional response condition indicated that the manipula-tion of regulatory exertion instructions was much more effortful (M = 3.0) than participants in the no emotional control condi-tion, r(37) = 3.59, p &lt; .001.2&quot;"/><s v="Engaging in demanding executive control tasks temporarily depletes resources for subsequent self-regulation. Key result: F(1, 95) = 5.38, p = .023, η² = 0.055."/><s v="&quot;Each of the recall measures offered strong support for the executive depletion hypothesis. Participants who had previously exercised attention control scored worse than participants who had not previously attempted attention control. Specifically, partic"/><s v="&quot;Participants in the attention control condition reported somewhat less positive mood (M = 8.49, SD = 11.05) than did participants in the no control condition (M = 12.19, SD = 10.90), F(1, 137) = 3.72, p = .06, d = 0.34.&quot;, &quot;Experiment 1 supported the hypo"/><s v="&quot;Ratings of the difficulty of the initial viewing task verified that the attention control instructions (M = 4.77, SD = 1.64) were more difficult to follow than the no control instructions (M = 2.78, SD = 1.63), F(1, 137) = 50.46, p &lt; .001. This pattern i"/><s v="&quot;a t test showed the expected main effect, t(31) = 3.05, prep = .97, d = 1.10...&quot;"/><s v="&quot;We examined responses to the manipulation check to determine whether subjects in the suppression condition attempted to regulate their emotions. A t test showed the expected main effect, t(31)5 3.05, prep5 .97, d5 1.10, with the emotion-sup-&#xA;pression gro"/><s v="&quot;...with the emotion-suppression group (M = 5.03, SD = 1.69) reporting more regulation than the control group (M = 3.11, SD = 1.89)&quot;"/><s v="Respondents provided higher frequency estimates for their TV watching behavior when the response scale included a high range (e.g., 4–6 times per week) compared to a low range (e.g., 0–2 times per week). The difference was statistically significant: F(1, "/><s v="only 16.2 percent of the respondents who were presented the low category range reported watching TV for more than two and a half hours, while 37.5 percent of the respondents presented the high category range did so"/><s v="&quot;Participants in the elderly priming condition (M = 8.28 s) had a slower walking speed compared to participants in the neutral priming condition (M= 7.30 s), t(2S) = 2.86,p&lt; .01, as predicted.&quot;,&quot;The results of the present experiments suggest that exposing"/><s v="Implicit attitudes toward social groups were significantly stronger than explicit attitudes. For example, implicit race bias showed d = 0.71 (p &lt; .001), compared to explicit race bias with d = 0.27."/><s v="Though both men and women negatively evaluated math (men: t[38] = -4.94, p = 10^-5, d = -0.80; women: t[39] = -12.88, p = 10^-15, d = -2.06), women’s attitudes were significantly more negative, t(77) = 4.42, p = 10^-5, d = 1.01."/><s v="A t test was computed to ascertain the effect of the priming manipulation on walking speed. Participants in the elderly priming condition (M = 8.28 s) had a slower walking speed compared to participants in the neutral priming condition (M= 7.30 s), t(2S) "/><s v="A 2 (condition: big secret, small secret) x 2 (measure type: hill slant, control estimates) ANOVA revealed no main effects of condition, F(1, 38) = 0.01, p = .94, or of measure type, F(1, 38) = 0.69, p = .41, but did reveal the predicted interaction, F(1,"/><s v="A 2 (condition: big secret, small secret)  2 (measure type: hill  slant, control estimates) ANOVA revealed no main effects of condition, F(1, 38) =0.01, p =.94, or of measure type, F(1, 38)= 0.69,  p= .41, but did reveal the predicted interaction, F(1, 38"/><s v="Choices involving gains are often risk-averse, while choices involving losses are often risk-seeking. For example, in Problem 1 (N = 152), 72% of participants chose the safe option (Program A: 200 lives saved, p &lt; .05), compared to 28% who chose the risky"/><s v="choices involving gains are often risk averse and choices involving losses are often risk taking"/><s v="Participants thinking of big secrets (M =17.03 cm, SD= 27.5) relative  to trivial secrets (M =1.32 cm, SD= 18.44) overthrew more  (Mann–Whitney U =90.5, p =.02). "/><s v="Participants thinking of big secrets (M = 17.03 cm, SD = 27.5) relative to trivial secrets (M = 1.32 cm, SD = 18.44) overthrew more (Mann–Whitney U = 90.5, p = .02). Thus, thinking of burdensome secrets led participants to overthrow a beanbag at a contain"/><s v="Hill steepness was estimated to be greater by those recalling big (M =  46.05°, SD = 16.40°) relative to small (M =  32.90°, SD=  17.98°) secrets, t(38) = 2.42, p =  .02, r = .37, "/><s v="Participants believed that a sequence of die rolls was more than three times as long when a set of three 6’s were observed (M = 34.2) than when there were only two 6’s (M = 10.6), which in turn was believed to be longer than the representatively random se"/><s v="However, given the very large effect size reported in their original study (d = 1.21 for the alcohol questions first group) and the confidence interval for the effect size found in our combined sample (−0.219 to +0.234), we suspect the difference between "/><s v="As expected, an analysis of variance (ANOVA) revealed a highly significant effect of the experimental manipulation on the composite index, F(1, 62) = 14.05, p &lt; .001. Participants who had been exposed to words related to honesty admitted having performed "/><s v="However, given the very large effect size reported in their original study (d = 1.21 for the alcohol questions first group) and the confidence interval for the effect size found in our combined sample (−0.219 to+0.234), we suspect the difference between t"/><s v="Those who recalled an unethical deed were more likely to take the antiseptic wipe (67%) than were those who recalled an ethical deed (33%) (c2 0 4.57, P 0 0.03)"/><s v="our next study examined the likelihood of taking an antiseptic cleansing wipe after recalling an ethical or unethical deed. Participants engaged in the same recall task as in Study 1 and were then offered a free gift and given a choice between an antisept"/><s v="Participants who recalled an unethical deed generated more cleansingrelated words than those who recalled an ethical deed F(1, 58) = 4.26, p = 0.04"/><s v="Participants exposed to high anchors provided significantly higher estimates (M = 45.2, SD = 12.3) compared to those exposed to low anchors (M = 18.4, SD = 10.6), t(78) = 8.34, p &lt; .001, Cohen’s d = 1.87."/><s v="There was a highly significant difference between individual averages of the transformed estimates made with high and low anchors, t(102) = 7.00, p &lt; .01. Thus high and low anchors were both very effective, but the effect of high anchors was significantly"/><s v="Participants who recalled an unethical deed generated more cleansingrelated words than those who recalled an ethical deed EF(1,58) 0 4.26, P 0 0.04^"/><s v="Study 2 investigated whether an implicit threat to moral purity produces a psychological desire for cleansing, through expressed preferences for cleansing products...As expected, copying the unethical story in-creased the desirability of cleansing product"/><s v="As expected, copying the unethical story increased the desirability of cleansing products as compared to copying the ethical story EF(1,25) 0 6.99, P 0 0.01^, with no differences between conditions for the noncleansing products EF(1,25) 0 0.02, P 0 0.89^ "/><s v="Presumably, participants who had cleansed their hands before being solicited for help would be less motivated to volunteer because the sanitation wipes had already washed away their moral stains and restored a suitable moral self. As predicted, physical c"/><s v="Explicit instructions to use or avoid racial information during a weapon identification task reduced the emission of 1/f noise, as evidenced by less negative PSD slopes in the experimental conditions (mean slope = -0.27) compared to the control condition "/><s v="&quot;As predicted, analysis revealed a significant difference between the control condition and the average of the two experimental conditions in terms of the magnitude of the PSD slopes, F(1, 68) = 5.52, p &lt; .02 (see Table 2 and Figure 4).&quot;, &quot;Those who were "/><s v="&quot;As predicted, analysis revealed a significant difference between the control condition and the average of the two experimental conditions in terms of the magnitude of the PSD slopes, F(1, 68) % 5.52, p &amp; .02 (see Table 2 and Figure 4).&quot;, &quot;Those who were "/><s v="As hypothesized, high-power poses caused an increase in testosterone compared with low-power poses, which caused a decrease in testosterone, F(1, 39) = 4.29, p &lt; .05; r = .34"/><s v="Also consistent with predictions, high-power posers were more likely than low-power posers to focus on rewards—86.36% took the gambling risk (only 13.63% were risk averse). In contrast, only 60% of the low-power posers took the risk (and 40% were risk ave"/><s v="Participants correctly identified the future position of the erotic pictures significantly more frequently than the 50% hit rate expected by chance: 53.1%, t(99) = 2.51, p = .01, d = 0.25."/><s v="As predicted, participants correctly identified the future position of the erotic pictures significantly more frequently than the 50% hit rate expected by chance."/><s v="hit rate on the nonerotic pictures did not differ significantly from chance: 49.8%, t(99)=-0.15, p = .56."/><s v="&quot;for the affective ToM task&quot; [...] &quot;Scores were higher in the literary fiction than nonfiction condition (Table 2)&quot;"/><s v="Higher Author Recognition Test scores (indicating more familiarity with fiction) predicted higher RMET scores."/><s v="Author Recognition Test x Condition"/><s v="RMET scores were higher in the literary fiction condition than in the popular fiction condition."/><s v="There were no effects involving the Author Recognition Test (for test, Table 1; for means, Table 2)."/><s v="RMET scores were higher in the literary fic-tion condition than in the popular fiction condi-tion (for tests, see Table 1; for means, see Table 2)."/><s v="Author Recognition Test scores predicted RMET scores."/><s v="Results on the RMET were analyzed as in the previous experiments. The effect of condi-tion was significant (see Table 1). Scores were significantly higher in the literary fiction condition than in the popular fiction and no-reading conditions (see Table 2"/><s v="A significant main effect of Author Recognition Test scores emerged (see Table 1)."/><s v="Scores for the affective ToM task ... were higher in the literary fiction than nonfiction condition (Table 2). "/><s v="No other covariates approached significance... (In this case no interaction effect - Aleksandr P.)"/><s v="Participants in the heavy-clipboard condition (M = 5.27, SD = 1.28) found it more important that the committee listen to students' opinions compared to participants in the light-clipboard condition (M = 4.21, SD = 2.10), F(1, 49) = 4.33, p &lt; .05, Cohen’s "/><s v="participants in the heavyclipboard condition (M 5 5.27, SD 5 1.28) found it more important that the committee listen to the students’ opinions than did participants in the light-clipboard condition (M 5 4.21, SD 5 2.10), F(1, 49) 5 4.33, p &lt; .05, prep 5 ."/><s v="Participants in the communion condition estimated the ambient room temperature as significantly warmer (M = 20.95, SD = 2.24) than participants in the agency condition (M = 18.95, SD = 2.41), t(78) = 3.85, p &lt; .001, Cohen's d = 0.86."/><s v="Participants in the communion condition perceived the target person as having a warmer personality (M = 5.65, SD = 0.80) than those in the agency condition (M = 4.65, SD = 0.97), t(78) = 5.01, p &lt; .001, d = 1.12"/><s v="Experiment 3 (N = 69) aimed to replicate the literary fiction versus popular fiction comparison. Using the same analytical strategy used in experiment 1, it was found that RMET scores were higher in the literary fiction condition than in the popular ficti"/><s v="There were no effects involving the Author Recognition Test"/><s v="Experiment 3 (N = 69) aimed to replicate the literary fiction versus popular fiction comparison. [...] Using the same analytical strategy used in experiment 1, it was found that RMET scores were higher in the literary fiction condition than in the popular"/><s v="The interaction between need for cognition and argument quality was significant, F(1, 110) = 22.45, p &lt; .001, showing that individuals high in need for cognition evaluated strong arguments more favorably (M = 5.86) compared to weak arguments (M = 2.26)."/><s v="people scrutinize a persuasive message more when they believe the recommendation is personally relevant than when they believe it is irrelevant"/><s v="Results on the RMET were analyzed as in the previous experiments. The effect of condition was significant (see Table 1). Scores were significantly higher in the literary fiction condition than in the popular fiction and no-reading conditions (see Table 2)"/><s v="A main effect of additional compensation emerged as significant where those paid to listen to the music derived greater enjoyment from the music...than did those who were not paid...The main effect of calculation was not significant...but this main effect"/><s v="Similar results were obtained on the impatience measure. A main effect of compensation emerged as significant whereby those explicitly paid to listen to the music reported feeling less impatient...than those who were not paid...The main effect of calculat"/><s v="Participants with high self-esteem felt subjectively closer to courses in which they received better grades (M = 3.91, SD = 1.05) than courses in which they received poorer grades (M = 6.30, SD = 1.22). The Grade Condition × Self-Esteem interaction was si"/><s v="HSEs (one standard deviation above the mean) felt more distant from courses in which they received their worst rather than their best grades"/><s v="Thinking about time as money reduces enjoyment and increases impatience during leisure activities. Financial compensation moderates these effects. Key results: F(1, 141) = 4.81, p = .03 for happiness, and F(1, 141) = 7.13, p = .008 for impatience."/><s v="Physical warmth increases the need for emotional warmth (affiliation). Key result: β = 0.28, t = 3.48, p = .001 (Experiment 2, Study 1)."/><s v="We expected that the cold temperature prime would increase participants’ scores on the loneliness scale, as experiences of physical coldness should increase feelings of social coldness (dis-connectedness)...Planned comparisons indicated that the cold-pack"/><s v="The interference of conflicting word stimuli upon the time for naming 100 colors increased the mean reaction time by 47.0 seconds, a 74.3% increase over the normal time for naming colors printed in squares."/><s v="it took an average of 2.3 seconds longer to read 100 color names printed in colors different from that named by the word than to read the same names printed in black"/><s v="Participants in the ego-moving condition interpreted the ambiguous temporal statement in a consistent manner 73% of the time, while participants in the time-moving condition chose a different consistent interpretation 69% of the time. A significant effect"/><s v="people used primed spatial information to think about time. Overall, 71.3% of the participants responded in a prime-consistent manner"/><s v="Participants judged English words beginning with certain letters (e.g., 'K') to be more frequent than words with those letters in the third position, despite statistical evidence to the contrary."/><s v="Among the 152 subjects, 105 judged the first position to be more likely for a majority of the letters, and 47 judged the third position to be more likely for a majority of the letters."/><s v="High-power participants thought the message would be perceived as more sarcastic by the naive recipient (M = 3.74, SD = 1.54) than did low-power participants (M = 4.84, SD = 1.30), t(40) = 2.47, p = .02, d = 0.77."/><s v="High-power participants thought the message would be perceived as more sarcastic by the naive recipient (M 5 3.74, SD 5 1.54) than did low-power participants (M 5 4.84, SD 5 1.30), t(40) 5 2.47, prep 5 .93, d 5 0.77."/><s v="&quot;For warm-temperature desirability ratings, however, the Reflection Condition × Attachment Anxiety interaction was significant, β = −0.42, t(49) = 2.26, p = .028 (other ps &gt; .316).&quot;"/><s v="warm-temperature desirability ratings, however, the Reflec- tion Condition × Attachment Anxiety interaction was signifi- cant, β = −0.42, t(49) = 2.26, p = .028 (other ps &gt; .316)"/><s v="ttachment anxiety and desirability ratings of warm-temperature refreshments were positively related in the romantic-breakup condition, β = 0.44, t(49) = 2.30, p = .025, but unrelated in the ordinary-event condition, β = −0.19, p = .350."/><s v="Subtle reminders of the concept of money, relative to nonmoney concepts, led participants to endorse more strongly the existing social system in the United States (Experiment 1) (Table 1: d = 0.80, p = .043)"/><s v="participants in the money condition more strongly endorsed system justification than did participants in the control condition, i(28) = 2.12, p = .043, d = 0.80"/><s v="Participants who imagined contact reported greater intentions to engage in future actual contact (M = 5.93, SD = 1.67) than did participants in the control condition (M = 4.69, SD = 1.26), t(31) = -2.39, p = .023, d = .86."/><s v="when individuals were instructed to imagine contact with a British Muslim stranger they subsequently reported greater intentions to engage in future social contact with British Muslims in general"/><s v="Participants who passed the IMC were more likely to show the expected price expectation effect: F(1, 113) = 7.72, p &lt; .01, η² = .06, compared to those who failed the IMC: F(1, 96) = 0.34, p &gt; .1."/><s v="Participants who clicked on the sports categories or the continue button rather than the title (as they were instructed to do), were coded as having failed the IMC. Overall, 46% of the sample failed the IMC."/><s v="&quot;When shopping for books was framed as work, perceiving greater goal conflict increased how much time people spent browsing the set of books (Mhigh conflict = 81.32 seconds, SD = 60.12 vs. Mlow conflict = 52.50 seconds, SD = 47.99; F(1, 206) = 5.66, p=0.1"/><s v="As predicted, goal conflict encouraged work and discouraged leisure. When shopping for books was framed as work, perceiving greater goal conflict increased how much time people spent browsing the set of books (Mhigh conflict = 81.32 seconds, SD = 60.12 vs"/><s v="When shopping for books was framed as leisure, however, the opposite occurred: Perceiving greater goal conflict decreased the time spent (Mhigh conflict = 70.53 seconds, SD = 77.51 vs. Mlow conflict = 83.88 seconds, SD = 75.12; F(1, 206) = 4.08, p = .045,"/><s v="&quot;When shopping for books was framed as leisure, however, the opposite occurred: Perceiving greater goal conflict decreased the time spent (Mhigh conflict = 70.53 seconds, SD = 77.51 vs. Mlow conflict = 83.88 seconds, SD = 75.12; F(1, 206) = 4.08, p = .045"/><s v="&quot;Results revealed a significant three-way interaction (β = 0.33, t(239) = 2.20, p = .03).&quot;"/><s v="Next, we regressed book deal choice (M = 4.06, SD = 0.89) on self-construal prime, group size, book preference, and their interactions, with frequency of reading each genre (Mnon-fiction = 5.25, SD = 1.69, β = -0.13, t(239) = -1.78, p = .08; Mfiction = 5."/><s v="&quot;Among participants who made a retention choice, those in the low SCC condition were more likely to retain the identity-relevant subscription than those in the high SCC condition, MlowSCC/RetainSubscription = 63.3, SD = 39.1 vs. MhighSCC/RetainSubscriptio"/><s v="Among participants who made a retention choice, those in the low SCC condition were more likely to retain the identity-relevant subscription than those in the high SCC condition, M (lowSCC/RetainSubscription) = 63.3, SD = 39.1 vs. M (highSCC/RetainSubscri"/><s v="&quot;However, we found the reverse effect for the acquisition choices. Specifically, participants in the low SCC condition were significantly less likely to acquire the identity-relevant subscription, MlowSCC/AcquireSubscription = 46.6, SD = 39.4 vs. MhighSCC"/><s v="&quot;Participants in the high curiosity condition were significantly more curious (MHigh = 3.11, SD = .53) than were participants in the control condition (MControl = 2.72, SD = .59), t(195) = 4.91, p &lt; .001, d = .70.&quot;"/><s v="Curiosity Increases Indulgence. Participants in the high curiosity condition were significantly more likely to choose the indulgent reward option (MHigh = 6.52, SD = 3.92) than were those in the control condition (MControl = 4.69, SD = 3.86), t(194) = 3.2"/><s v="&quot;An independent samples t-test on the efficacy composite revealed that participants believed Dettol would be significantly more effective when the ad featured multiple products (M = 7.02, SD = 1.55) than a single unit (M = 6.36, SD = 1.50; t(85) = 2.00, p"/><s v="An independent samples t-test on the efficacy composite revealed that participants believed Dettol would be significantly more effective when the ad featured multiple products (M = 7.02, SD = 1.55) than a single unit (M = 6.36, SD = 1.50; t(85) = 2.00, p "/><s v="&quot;an independent-samples t test exam-ining the influence of color condition on perceived attractiveness revealed a significant color effect, t(32)  2.44, p  .05, d  0.86. Participants in the red condition, compared with those in the gray condition, rated t"/><s v="&quot;an independent-samples t test examining the influ-ence of color condition on desired sexual behavior revealed a significant color effect, t(32)  2.43, p  .05, d  0.85. Partici-pants in the red condition, compared with those in the gray condition, wanted "/><s v="&quot;an independent-samples t test was used to examine the effect of color condition on perceived likability. The analysis yielded a null effect ( p  .63)&quot;"/><s v="&quot;Defense claims. There was a main effect of Condition on the applicability of the insanity defense, F(3, 290) = 4.53, p = .004, ηp2= 0.04, 95% CI = [0.00, 0.09]. It was endorsed less in the Environmental condition (M = 2.06, SE = 0.22) than in the Genetic"/><s v="&quot;there was a main effect of Condition for the diminished capacity defense, F(3, 289) = 12.82, p &lt; .001, ηp2= 0.12, 95% CI = [0.05, 0.18]. It was endorsed less in the Environmental condition (M = 2.96, SE = 0.22) than in the Genetic (M = 4.56, SE = 0.22), "/><s v="&quot;there was no main effect of Condition on the intoxica-&#xA;tion defense, F(3, 289) = 1.10, p = .349, ηp2= 0.01, 95% &#xA;CI = [0.00, 0.04]."/><s v="&quot;Sentencing. Unlike Studies 1 and 2, but replicating other research (e.g., Aspinwall et al., 2012; Dar-Nimrod et al.,&#xA;2011), there was a main effect of Condition, F(3, 291) =7.48, p &lt; .001, ηp2= 0.07, 95% CI = [0.02, 0.13]. It was sig-nificantly longer i"/><s v="&quot;perpetrator-relevant perceptions. Replicating previous studies, there was a significant effect of condition on perceived con-trol, F(3, 290) = 10.82, p &lt; .001, ηp2 = 0.10, 95% CI = [0.04, 0.16]. It was significantly higher in the Environmental con-dition"/><s v="&quot;condition did not affect perceived recidivism or intention to kill, Fs &lt; 2.00, ps &gt; .200, ηp2s = 0.01&quot;"/><s v="&quot;condition significantly affected criminal responsibility, F(3, 291) = 4.31, p = .005, ηp2 = 0.04, 95% CI = [0.00, 0.09]. It was significantly higher in the Environmental condition (M = 6.37, SE = 0.14) than in the Genetic (M = 5.83, SE = 0.14), p = .005,"/><s v="&quot;causal attributions. Condition significantly affected causal locus, F(3, 290) = 8.65, p &lt; .001, ηp2= 0.08, 95% CI = [0.03, 0.14]. It is significantly more external (lower) in the Environmental condition (M = 4.72, SE = 0.17) than in the Genetic condition"/><s v="&quot;condition did not affect causal stability, F(3, 291) = 0.67, p = .568, ηp2 = .01, 95% CI = [0.00, 0.03]&quot;"/><s v="&quot;condition significantly affected causal specificity, F(3, 289) = 11.50, p &lt; .001, ηp2 = 0.11, 95% CI = [0.04, 0.17]. Participants saw less causal specificity in the Environmental condition (M = 2.25, SE = 0.18) than in the Genetic (M = 3.08, SE = 0.18), "/><s v="&quot;condition did not affect causal control, F(3, 289) = 0.60, p = .613, ηp2 = 0.01, 95% CI = [0.00, 0.02]&quot;"/><s v="&quot;condition marginally affected causal malleability, F(3, 290) = 2.15, p = .095, ηp2 = 0.02, 95% CI = [0.00, 0.06]. Participants saw greater causal malleability in the Environmental condition (M = 4.68, SE = 0.17) than in the Gene-Impulse condition (M = 4."/><s v="&quot;In Study 2a, participants who scored high in NFC provided estimates further from their self-generated anchor values (mean z score 5 0.14) than participants who scored low (mean z score = 0.18),t(77) = 2.13, p &lt; .05, p_rep = .90, d = 0.49.&quot;"/><s v="&quot;participants who scored high in NFC provided estimates further from their self-generated anchor values (mean z score 5 0.14) than participants who scored low (mean z score 5 􏰀0.18), t(77) 5 2.13, p &lt; .05, prep 5 .90, d 5 0.49&quot;"/><s v="&quot;A 2 (Anchor: low, high) × 2 (Time Pressure: absent, present) ANOVA revealed a significant main effect of Time Pressure, F(1, 58) = 8.56, p &lt; .01.&quot; &quot;The results of our study indicate that there is a subliminal anchor eVect and that this eVect is short-liv"/><s v="A 2 (Anchor: low, high) × 2 (Time Pressure: absent, present) ANOVA revealed a significant interaction effect between Anchor and Time Pressure, F(1, 58) = 5.06, p &lt; .05. … The results of our study indicate that there is a sub- liminal anchor eVect and that"/><s v="&quot;There were no significant main effects, Fs(1, 58) &lt; 1, ns. Thus, the anchor effect critically depended on whether there was Time Pressure or not.&quot; &quot;The results of our study indicate that there is a subliminal anchor eVect and that this eVect is short-liv"/><s v="&quot;A 2 (Anchor: low, high) × 2 (Time Pressure: absent, present) ANOVA revealed a significant interaction effect between Anchor and Time Pressure, F(1, 58) = 5.06, p &lt; .05.&quot; &quot;The results of our study indicate that there is a subliminal anchor eVect and that "/><s v="We find that participants readily apply ecology stereotypes to persons even within levels of personal wealth: for each of the five life history strategy constructs, indi-viduals from desperate ecologies were stereotyped as possessing faster life history s"/><s v="&quot;…our findings provide strong evidence for the importance of ecology as a cue used by social perceivers in anticipating the affordances of others. Study 1 demonstrated that individuals hold ecology stereotypes, stereotyping individuals from desperate ecol"/><s v="yet, in the test trial, participants made up their minds sooner than they expected: Predictors expected they would need to see many more paintings to make up their minds (M = 16.29, SD =12.04) than experiencers actually needed to see to make up their mind"/><s v="&quot;In the test trial, participants made up their minds sooner than they expected: Predictors expected they would need to see many more paintings to make up their minds (M = 16.29, SD = 12.04) than experiencers actually needed to see to make up their minds ("/><s v="In Exp. 1, 70% of player As looked at the cost of helping in the process hidden condition compared with only 59% in the process observable condition (n = 735; P = 0.002)"/><s v="&quot;In Exp. 1, 70% of player As looked at the cost of helping in the process hidden condition compared with only 59% in the process observable condition (n = 735; P = 0.002) (Fig. 2A).&quot; , &quot;Thus, we confirm our key prediction: Across two experiments, subjects"/><s v="There were significant differences in dating interest between conditions...interest in the Inadvertent Nondiscloser (M = 6.8, SD = 1.5) was higher than that of the Hider [t(140) = 2.08, P = 0.04]"/><s v="&quot;Most importantly, interest in the Inadvertent Nondiscloser (M = 6.8, SD = 1.5) was higher than that of the Hider t(140) = 2.08, P = 0.04; it was also lower than that of the Revealer t(142) = 1.99, P = 0.05.&quot;"/><s v="Privacy concerns mediated the relationship between temporary sharing and selfie disinhibition:Temporariness decreased privacy concerns (βtemporary = −0.70, SE = 0.22, P &lt; 0.005), which in turn accounted for increased disinhibition"/><s v="&quot;Privacy concerns mediated the relationship between temporary sharing and selfie disinhibition: Temporariness decreased privacy concerns (βtemporary = −0.70, SE = 0.22, P &lt; 0.005)&quot;"/><s v="We regressed pain ratings on target race, false beliefs, and their in- teraction, controlling for age, gender, and self-ratings of pain...interaction between target race and false beliefs [β = −0.07, SE = 0.03, F(1,85) = 4.36, P = 0.040, η2p = 0.05; Fig. "/><s v="&quot;The effect was qualified by the predicted interaction between target race and false beliefs [β = −0.07, SE = 0.03, F(1, 85) = 4.36, P = 0.040, η²p = 0.05].&quot;"/><s v="compared with participants who described a situ-ation in which they chose not to intervene, participants who de-scribed a situation in which they chose to intervene perceived intervention to be...more beneficial [... t(196) = 6.34, P &lt; 0.001]."/><s v="&quot;As Fig. 4 shows, compared with participants who described a situation in which they chose not to intervene, participants who described a situation in which they chose to intervene perceived intervention to be less costly [independent samples t tests: exp"/><s v="by round 3, bipartisan networks without partisan cues showed significantly greater trend accuracy than liberal control groups (by 9.4 percentage points: n = 24; P &lt; 0.01, Wilcoxon rank sum test). More generally, by round 3, subjects in bipartisan networks"/><s v="&quot;In particular, at round 1, there were no significant differences between liberal control groups and bipartisan networks without partisan cues (n = 24; P = 0.32, Wilcoxon rank sum test); however, by round 3, bipartisan networks without partisan cues showe"/><s v="Study 4 built on the finding that competence and attractiveness were two key predictors of interest judgments in studies 1 and 2 by varying the attractiveness and competence of the scientists in a 2 × 2 within-subject design...interest was positively rela"/><s v="Please see Table S16 in the SI appendix - link copied in https://www.pnas.org/action/downloadSupplement?doi=10.1073%2Fpnas.1620542114&amp;file=pnas.1620542114.sapp.pdf "/><s v="anti–free-will participants showed a smaller correspondence bias (M = 1.02, SD = 1.10) than control participants (M = 1.24, SD = 1.20) (t = 2.10, P = 0.036, d = 0.19)"/><s v="&quot;Crucially, however, the interaction between belief manipulation and attribution was significant [F(1,502) = 4.41, P = 0.036, ηp2 = 0.01]. This indicates that anti–free-will participants showed a smaller correspondence bias (M = 1.02, SD = 1.10) than cont"/><s v="To test our hypothesis that income and generosity are only negatively related under unequal conditions, we used ordinary least-squares regression, regressing generosity on household income (centered at its grand mean across partici-pants), inequality cond"/><s v="Table 2"/><s v="Overall (across photographs of men and women), the expansive photographs were rated as more dominant (mean = 3.78, SD =0.63) than the contractive photographs (mean = 2.44, SD = 0.88), [t(424) = 18.02, P &lt; 0.0001, 95% CI (1.19, 1.48)]... in modern-day dati"/><s v="&quot;Overall (across photographs of men and women), the expansive photographs were rated as more dominant (mean = 3.78, SD = 0.63) than the contractive photographs (mean = 2.44, SD = 0.88), [t(424) = 18.02, P &lt; 0.0001, 95% CI (1.19, 1.48)].&quot;"/><s v="In study 5, we asked receivers before the allocation was made to predict how they would feel afterward...As the right side of Fig. 4 shows, receivers in study 5 expected that the fairness of the al-location procedure would matter to them. Indeed, their re"/><s v="Supplementary Information, however link for it found in original paper not working"/><s v="Participants in the low subjective status condition (M = 0.51, SD = 0.75) exhibited a trend for stronger implicit preferences for calorie-dense foods over fruits/vegetables compared with those in the high SSES condition (M = 0.27, SD = 0.70), suggesting t"/><s v="&quot;Study 3 examined whether the experience of low SSES stimulates actual food intake from snacks during a fixed time interval. Eighty-three nondieting participants (41 female, age M = 20.29, SD = 1.38) completed the SSES manipulation from studies 1 and 2, t"/><s v="Only 16% (41/255, five gifts requested) of subjects in the gift/image treatment donated, which is significantly different from both other treatments (difference-in-means: P = 0.001 and P = 0.021, respectively). Therefore, increasing the visual saliency of"/><s v="&quot;Only 16% (41/255, five gifts requested) of subjects in the gift/image treatment donated, which is significantly different from both other treatments (difference-in-means: P = 0.001 and P = 0.021, respectively). Therefore, increasing the visual saliency o"/><s v="both ROC-T conditions significantly increased healthy food choices and were signifi-cantly different from CONTROL"/><s v="&quot;The training conditions did not significantly differ (p = .28), but were each different than CONTROL (POSITIVE vs. CONTROL: t(193.22) = 4.43, p &lt; .001; NEGATIVE vs. CONTROL: t(173.36) = 5.37, p &lt; .001)."/><s v="As expected, conservatives expressed less favorable attitudes in the future-focused comparison...but this association was greatly attenuated in the past-focused comparison...interaction b = 0.008, P = 0.03)"/><s v="&quot;As expected, conservatives expressed less favorable attitudes in the future-focused comparison (b = −0.015, P &lt; 0.0001), but this association was greatly attenuated in the past-focused comparison (b = −0.007, P = 0.011; interaction b = 0.008, P = 0.03). "/><s v="Some professional outcomes, such as career awards, are partic-ularly tied to eminence. In study 8 (n = 554), we tested whether researchers referred to by surname (vs. full name) are judged as more deserving of a fictitious NSF career award and award-relat"/><s v="&quot;Researchers referred to by surname were also allocated a larger share of the award money by 6%: F(1,551) = 4.61, P = 0.032 (Fig. 3).&quot;"/><s v="However, in the intentional harm condition—that is, when the vignette was identical except that the medi-cations were switched intentionally—selection of the “blame” task more than doubled, X2(1) = 6.7, P = 0.009. Although other tasks could have been simi"/><s v="&quot;However, in the intentional harm condition—that is, when the vignette was identical except that the medications were switched intentionally—selection of the &quot;blame&quot; task more than doubled, X2(1) = 6.7, P = 0.009.&quot;"/><s v="Conservatives allocated less money to the counterstereotypical targets than to the stereotypical targets [B = 0.52, SE = 0.14, Z = 3.65, P &lt; 0.001]...These studies demonstrate that conservatives negatively eval-uate people who deviate from stereotypes mor"/><s v="&quot;Conservatives allocated less money to counterstereotypical targets than to stereotypical targets [B = 0.52, SE = 0.14, Z = 3.65, P &lt; 0.001], but liberals did not [B = −0.05, SE = 0.10, Z = −0.50, P = 0.62]. Conservatives therefore allocated fewer economi"/><s v="we experimentally manipulated search patterns in experiment 2 and examined their influence on intertemporal choice..There was a significant effect of search condition, β = −0.23, SE = 0.10, P = 0.027, with participants in the easy comparative condi-tion e"/><s v="&quot;A hierarchical logistic regression was conducted to examine whether the search condition influenced participants' decisions, with choices modeled as a function of framing (acceleration or delay) and search condition (easy comparative or easy integrative)"/><s v="Participants were significantly more likely to report that they would break the stranger’s thumb for money when he was described in dehumanized (M = 4.64, SD = 2.14) rather than humanized terms (M = 3.90, SD = 2.36; t = 2.26, P = 0.025)."/><s v="&quot;Participants were significantly more likely to report that they would break the stranger’s thumb for money when he was described in dehumanized (M = 4.64, SD = 2.14) rather than humanized terms (M = 3.90, SD = 2.36; t = 2.26, P = 0.025).&quot;"/><s v="We fit a mixed-effects model, regressing participant choices on their role, the round number, and the interaction between role and round. The interaction between role and round is significant likelihood ratio test, X2(1)=21. P &lt; 0.001; = 0.03, 95% CI = (0"/><s v="&quot;We fit a mixed-effects model, regressing participant choices on their role, the round number, and the interaction between role and round. The interaction between role and round is significant likelihood ratio test, X2(1)=21.7, P &lt; 0.001, = 0.03, 95% CI ="/><s v="Regres-sions revealed that participants in the inequality treatment con-dition rated structural factors as more important to getting ahead, and individual factors as less important, than did participants in the control condition [β = 0.353, SE = 0.076, P "/><s v="&quot;Regressions revealed that participants in the inequality treatment condition rated structural factors as more important to getting ahead, and individual factors as less important, than did participants in the control condition [β = 0.353, SE = 0.076, P &lt;"/><s v="inducing consideration of the persistence of racial discrimination in the United States resulted in estimates of racial income equality that were much closer to reality, t(201) = 17.51, P &lt; 0.001, dRM = 0.50... overestimates of Black–White economic equali"/><s v="&quot;As in study 3, experimentally inducing reflection on a similar Black family increased overestimates of Black–White income equality in this mostly White American sample [t(201) = 10.93, p &lt; 0.001, dRM = 0.31], whereas inducing consideration of the persist"/><s v="As predicted, participants in the likely-cheating condition...were more likely to cheat at time 2 [X2(n = 258) = 10.48, P = 0.001, Cramer’s V = 0.20]...than those in the no-cheating condition...providing further evidence for the consequences of unethical "/><s v="&quot;As predicted, participants in the likely-cheating condition recalled the die-throwing task less precisely (M = 2.59, SD = 1.08) than those in the no-cheating condition (M = 2.97, SD = 1.22) [t(256) = −2.66, P = 0.008, d = 0.33]. They also were more likel"/><s v="For anger ratings, the effect of red was significant, F(6, 234) = 4.91, p &lt; .001, η2p = .11...perceived anger was most affected by high levels of redness, whereby more redness was associ-ated with more anger."/><s v="&quot;the cleanliness and neutral conditions revealed non-significant difference, t(438) = −0.42, p = 0.68, d = −0.04.&quot;"/><s v="&quot;The cleanliness condition had a lower mean composite rating than the neutral condition, d = −0.29, p = 0.04 in the low response effort condition&quot;"/><s v="&quot;In particular, the cleanliness priming resulted in a significantly less extreme rating on the “dog” scenario than the neutral condition, d = −0.38, p = 0.005&quot;"/><s v="&quot;A further examination of the cleanliness hypothesis on individual vignettes in the low response effort condition revealed a pattern consistent with the expectation, with ds ranging from – 0.03 to −0.38 (see Table 2).&quot;"/><s v="&quot;public goods are substitutes and merit goods are complements to private goods consumption &quot;"/><s v="&quot;The main finding of Tables 5–7 is that in all cases they substantiate the fact that public goods are substitutes and merit goods are complements to private goods consumption&quot; [...] &quot;These results imply [...] an aggregate relation for private and governme"/><s v="&quot;Merit goods are mostly education and health expenditures and both should be inversely related to the working age population share."/><s v="&quot;The public goods variables tend to be insignificant the higher is their public good content, irrespective of the deflator choice&quot;"/><s v="&quot;Defence spending has a smaller elasticity than public order and in most cases its elasticity is null. We take this to be consistent with the very nature of these goods. That is, the purer the public goods category the less the expected interaction with p"/><s v="&quot;The main finding of our paper is in Table 5. [...] The J -tests support the plausibility of the instrument restrictions&quot;"/><s v="&quot;In the same table we find that education has a bigger effect on private consumption than health when the interest rate variable is omitted, while the effect is about the same when the latter enters the specification&quot;"/><s v="&quot;An important result of our estimates is that we found for aggregate NIPA data rather than for individual data units a significant and positive effect of the after tax real interest rate variable&quot;"/><s v="&quot;In Table 5(1), however, we estimated an analog to Eq. (9) by adding to each equation on Table 5 the current and the past value of the logged per capita disposable income changes. The relevant results still con1rm the complementarity of the merit goods va"/><s v="&quot;A Mann-Whitney test shows no&#xA;significant difference in final amount allocated to recipients between the two treatments (p-&#xA;value = 0.583)&quot;"/><s v="&quot;In the GG, the amounts given by males and females are not different (p-value = 0.594).&quot;"/><s v="&quot;The TG, however, shows gender differences. The average amount left by the male dictators is significantly lower than the amount left by the female dictators at 1%&#xA;level.&quot;"/><s v="&quot;Table 1 shows the average amount allocated (amount given in the GG, or (£10—amount taken) in the TG) for both the aggregated data and for males and females by treatment. In the GG, an average of £2.066 is given to the recipients. In the TG, the dictators"/><s v="&quot;In column 1, I estimate multinational wage spillovers by pooled ordinary least squares. The results are consistent with multinational spillovers, though without controls for individual and establishment heterogeneity, the result is difficult to interpret"/><s v="&quot;Students taught by teachers with an elementary education degree, however, gain more in reading (0.08 SD) than students taught by teachers with a different type of degree (e.g., early childhood education) [...]&quot;"/><s v="In the gay kissing condition, disgust sensitivity was associated with stronger judgments of intentionality, β =  .79, t(19) = 4.49, p &lt;  .001, while in the control condition, disgust sensitivity did not predict intentionality judgments,  β = .20, t(19) = "/><s v="&quot;participants viewed the director’s action as more intentional when he encouraged public gay kissing (M  4.36) than when he encouraged public straight kissing (M  2.91), β =  .41, t(39) = 3.39, p &lt; .01 &quot;,&quot; disgust sensitivity predicts implicit moral respo"/><s v="&quot;in the gay kissing condition, disgust sensitivity was associated with stronger judgments of intentionality, β =  .79, t(19) = 4.49, p &lt;  .001, &quot;,&quot; disgust sensitivity predicts implicit moral responses to male-male sexual contact—as measured through inten"/><s v="&quot;while in the control condition, disgust sensitivity did not predict intentionality judgments, β = .20, t(19) = .88, ns (see Figure 1) &quot;,&quot; disgust sensitivity predicts implicit moral responses to male-male sexual contact—as measured through intentionality"/><s v="As expected, the correlation between both measures increased from r = .32, in the general-specific condition, to r = .67, z = 2.32, p &lt; .01 for the difference in correlations, when the specific question preceded the life-satisfaction question. [...] indic"/><s v="&quot;the correlation between both measures increased from r = .32, in the general-specific condition, to r = .67 &quot;,&quot; when the specific question preceded the life-satisfaction question &quot;,&quot; indicating that respondents used the previously activated specific info"/><s v="&quot;the correlation between both measures increased from r = .32, in the general-specific condition &quot;,&quot; indicating that respondents used the previously activated specific information in answering the general question&quot;"/><s v="&quot;z = 2.32, p &lt; .01 for the difference in correlations, when the specific question preceded the life-satisfaction question &quot;,&quot; indicating that respondents used the previously activated specific information in answering the general question&quot;"/><s v="[Replication does not target an explicit claim, but a pairwise comparison in Table 1] Americans ascribe a more pro-capital-punishment attitude to the write of an essay in favour of capital punishment than against it, t(98) = 6.66, p &lt; .001. &quot;Americans sho"/><s v="In the harm condition, most subjects (82%) said that the agent brought about the side effect intentionally, whereas in the help condition, most subjects (77%) said that the agent did not bring about the side effect intentionally. This difference was highl"/><s v="&quot;Denise’s action was judged permissible by 89% of subjects (p[.87 &lt; μ &lt;. 91] = 0.05), while Frank’s action was judged permissible by 11% of subjects (p[.09 &lt; μ &lt;. 13] = 0.05). These proportions differ significantly ( 2 [1, N = 2646] = 1615.96, p &lt; 0.001),"/><s v="Subjects who claimed that they personally would follow a given behavioral alternative also tended to rate that alternative as relatively probable for “people in general”; those subjects who claimed that they would reject the alternative tended to rate it "/><s v="&quot;For two of the stories (Supermarket Story and Term Paper Story), the effect of Rater’s Own Choice upon the difference in ratings for the two behavioral alternatives was clearly significant, F(1,78) = 17.27, p &lt; .001  &quot;,&quot; like perceptions of behavioral co"/><s v="&quot;For one story (Traffic Ticket Story) the effect was marginally significant, F = 3.18, p &lt; .10, &quot;,&quot; like perceptions of behavioral consensus, trait inferences are systematically influenced by the rater’s own behavioral choices, although the effect is less"/><s v="People rated the child as less responsible than the adult, t(68) = 3.32, p &lt; .01."/><s v="&quot;People rated the child as less responsible than the adult, t(68)  3.32, p  .01 &quot;,&quot; age of harm-doer and age of victim have complementary effects on perceptions of moral agency and moral patiency the older victim is seen as more responsible, and the young"/><s v="&quot;People rated the child &quot;,&quot; as having less intentionality than the adult for the moral transgression, t(68)  2.20, p  .05 &quot;,&quot; age of harm-doer and age of victim have complementary effects on perceptions of moral agency and moral patiency the older victim "/><s v="&quot;Relative to the adult, children were rated as experiencing more pain, t(68)  3.49, p  .01. &quot;,&quot; age of harm-doer and age of victim have complementary effects on perceptions of moral agency and moral patiency the older victim is seen as more responsible, a"/><s v="For the south–north axis, the interaction between SES and population was significant, F(1, 176) = 20.39, MSE = 5.63, p &lt; .001, η2p = 0.10.&#xA;"/><s v="US participants considered that high-SES andlow-SES individuals were more likely to live in the northern(+0.98, SD = 1.85), t(39) = 3.34, p &lt; .01, d = 0.53, and southernareas (0.69, SD = 2.19), t(39) = 2.00, p = .05, d = 0.32, respectively. "/><s v="HK participants considered that high-SESand low-SES individuals were more likely to live in the southern area (0.92, SD = 2.47), t(49) = 2.62, p = .01, d = 0.37, and descriptively but not signiﬁcantly in the northern area (+0.63,SD = 2.75), t(49) = 1.61, "/><s v="&quot;the interaction between SES and population was significant, F(1, 176) = 20.39, MSE = 5.63, p &lt; .001, η2p 1= 0.10 &quot;,&quot; participants differing in demographic knowledge about the affluent population distribution have different cardinal direction–valence meta"/><s v="&quot;US participants considered that high-SES and low-SES individuals were more likely to live in the northern (+0.98, SD = 1.85), t(39) = 3.34, p &lt; .01, d = 0.53, and southern areas (0.69, SD = 2.19), t(39) = 2.00, p = .05, d = 0.32, respectively &quot;,&quot; partici"/><s v="&quot;HK participants considered that high-SES and low-SES individuals were more likely to live in the southern area (0.92, SD = 2.47), t(49) = 2.62, p = .01, d = 0.37, and descriptively but not significantly in the northern area (+0.63, SD = 2.75), t(49) = 1."/><s v="The response to the two versions of problem 10 were markedly different: 68 percent of the respondents were willing to make an extra trip to save $5 on a $15 calculator; only 29 percent were willing to exert the same effort when the price of the calculator"/><s v="&quot;The response to the two versions of problem 10 were markedly different: 68 percent of the respondents were willing to make an extra trip to save $5 on a $15 calculator; only 29 percent were willing to exert the same effort when the price of the calculato"/><s v="Including the covariates, political identity still predicted all five foundations in the predicted direction, all ps &lt; .001. Political identity was the key explanatory variable: It was the only consistent significant predictor (average beta =  .25; range "/><s v="&quot;the aggregated moral relevance ratings for individualizing foundations were higher than the aggregated ratings for the binding foundations, F(1, 1207) = 1,895.09, p &lt; .001, n2p =   .61 &quot;,&quot; The moral thinking of liberals and conservatives may not be a mat"/><s v="&quot;this effect was moderated by politics, F(1, 1207) = 224.34, p &lt;  .001, n2p =  .16, such that the more liberal participants showed a greater difference between the individualizing and binding moral foundations. &quot;,&quot; The moral thinking of liberals and conse"/><s v="In the intended harm case, 56% of subjects judged the action permissible (p[.53 &lt; μ &lt; .59] = 0.05), whereas in [...] the foreseen harm case, 72% of subjects judged the action permissible (p[.69 &lt; μ &lt; .74] = 0.05). These percentages differ significantly (c"/><s v="&quot;In Scenario 3, the intended harm case, 56% of subjects judged the action permissible (p[.53 &lt; μ &lt; .59] = 0.05), whereas in scenario 4, the foreseen harm case, 72% of subjects judged the action permissible (p[.69 &lt; μ &lt; .74] = 0.05). These percentages diff"/><s v="Participants believed that students were more likely to be called on if they had not done the reading (M = 3.43, SD = 2.34) than if they had (M = 2.53, SD = 2.24), F(1, 116) = 4.60, p  &lt; .05, d = 0.39. [This indicates that]  people believe that negative o"/><s v="&quot;students were more likely to be called on if they had not done the reading (M  3.43, SD  2.34) than if they had (M  2.53, SD 2.24), F(1, 116)  4.60, p &lt; .05, d = 0.39 &quot;,&quot; people believe that negative outcomes are more likely following behaviors that temp"/><s v="The consumer framing resulted in lower feelings of personal responsibility for dealing with the resource dilemma, markedly lower trust in the other parties, and a significantly lower tendency to view the others as partners in facing the dilemma. t(76) = –"/><s v="&quot;the consumer framing resulted in lower feelings of personal responsibility for dealing with the resource dilemma &quot;,&quot; in general, it is clear that the consumer identity did not unite—it divided. Thinking like a consumer again seemed to work against positi"/><s v="&quot;There were no significant effects on participants’ feelings of obligation &quot;,&quot; in general, it is clear that the consumer identity did not unite—it divided. Thinking like a consumer again seemed to work against positive, cooperative engagement with other p"/><s v="&quot;markedly lower trust in the other parties &quot;,&quot; in general, it is clear that the consumer identity did not unite—it divided. Thinking like a consumer again seemed to work against positive, cooperative engagement with other people&quot;"/><s v="&quot;a significantly lower tendency to view the others as partners in facing the dilemma &quot;,&quot; in general, it is clear that the consumer identity did not unite—it divided. Thinking like a consumer again seemed to work against positive, cooperative engagement wi"/><s v="&quot;There were no significant effects on &quot;,&quot; belief that the other parties should use less water than they themselves did. &quot;,&quot; in general, it is clear that the consumer identity did not unite—it divided. Thinking like a consumer again seemed to work against "/><s v="Participants making judgments about the P97 estimated that a higher percentage of smartphones (M = 58.1%, SD = 19.6%) would be sold in the United States than did those making estimates about the P17 (M = 51.9%, SD = 21.7%), t(197.5) = 2.12, p = .03, d = ."/><s v="&quot;participants making judgments about the P97 estimated that a higher percentage of smartphones (M = 58.1%, SD = 19.6%) would be sold in the United States than did those making estimates about the P17 (M 1= 51.9%, SD = 21.7%), t(197.5) = 2.12, p 1= .03, d "/><s v="The averaged leader power score was submitted to an independent-samples t-test. The analysis yielded the expected significant effect of vertical difference, t(62) = 2.20, p = .03, etasq = .07. &#xA;Participants in the large vertical difference condition perce"/><s v="&quot;The analysis yielded the expected significant effect of vertical difference, t(62) = 2.20, p = .03, g2 = .07. Participants in the large vertical difference condition perceived the leader as being more powerful (M = 5.01, SD = .60) than participants in th"/><s v="The average s(q, p) was significantly higher than the average s(p, q) across all subjects and pairs: t = 2.92, df= 20, and p &lt; .01.&#xA;The average difference (in similarity rating) (.42) was significantly positive : t = 2 .99, df= 153, p &lt; .01 . "/><s v="The foregoing study was repeated with judgments of difference instead of judgments of similarity: t = 2 .72, df = 20, p &lt; .01&#xA;The average difference between d(p, q) and d(q, p), computed as previously for each subject (.63), was significantly positive : t"/><s v="Copying the unethical story increased the desirability of cleansing products as compared to copying the ethical story F(1,25) = 6.99, P = 0.01"/><s v="Participants in the structure condition reported higher willingness to expend effort and make sacrifices to pursue their goal&#xA;compared to participants in the random condition, t(65) = 2.00, p = .05"/><s v="Participants in the structure condition reported higher willingness to expend effort and make sacrifices to pursue their goal compared to participants in the random condition (Mstructure =5.26, SDstructure = 0.88; Mrandom= 4.72, SDrandom= 1.32), t(65) = 2"/><s v="Analysis revealed a significant main effect for social value orientation, F(2, 535) = 4.82, p &lt; .01. Consistent with the sibling-prosocial hypothesis [...] the number of siblings is greater for prosocials (M = 2.03, SD = 1.56) than for individualists (M ="/><s v="&quot;analysis revealed a significant main effect for social value orientation, F(2, 535) = 4.82, p &lt; .01. Consistent with the sibling-prosocial hypothesis, Panel A &quot;,&quot; reveals that the number of siblings is greater for prosocials (A/ = 2.03, SD = 1.56) than f"/><s v="There was a significant main effect of condition on global warming concern, F(2,288) = 4.74, p = 0.01&#xA;Post hoc comparisons showed that those in the heat condition exhibited greater concern for global warming than those in the control condition (p = 0.02) "/><s v="&quot;priming individuals with heat-related cognitions increases levels of belief and concern in global warming. The priming manipulation had a direct effect on average ratings of reported belief in and concern about global warming  &quot;,&quot; There was a significant"/><s v="Priming individuals with heat-related cognitions increases levels of belief and concern in global warming. The priming manipulation had a direct effect on average ratings of reported belief in and concern about global warming. There was a significant main"/><s v="Participants in the disfluent condition answered a greater proportion of the questions correctly (M  = 64%) than did participants in the fluent condition (M = 43%), t(39) = 2.01, p  &lt; .05"/><s v="&quot;participants in the disfluent condition answered a greater proportion of the questions correctly (M  64%) than did participants in the fluent condition (M  43%), t(39) = 2.01, p &lt; .05, n2  .09 &quot;,&quot; People make different decisions depending on whether they"/><s v="Inserting SWB scores to a 2 (level: high, low) × 2 (type of status: sociometric, socioeconomic) between participants ANOVA. There was a main effect of level, F(1, 224) = 5.06, p = .03, but more important, there was also a significant interaction between l"/><s v="Individuals in the high-sociometric-status condition had higher SWB than those in the low-sociometric-status condition, t(115) = 3.05, p = .003, these findings provide evidence for a causal effect of sociometric status on SWB that is stronger than the eff"/><s v="In the certainty condition, 70% of participants preferred the cash over the kiss, but in the low-probability condition, 65% of participants preferred the kiss lottery over the cash lottery, x2 (1, N = 40) =4.91, p &lt;.05."/><s v="In the certainty condition, 70% of participants preferred the cash over the kiss, but in the low-probability condition, 65% of participants preferred the kiss lottery over the cash lottery, x2(1, N = 40) = 4.91, p &lt; .05, indicating that the weight of a 1%"/><s v="Parent B is the modal choice both for being awarded custody of the child and for being denied it. As predicted, the value of Πc + Πr, for Parent B (64+55 = 119) is significantly greater than the 100 that we would expect if choosing and rejecting were comp"/><s v="&quot;the value of Il, + II, for Parent B (64+55 = 119) is significantly greater than the 100 that we would expect if choosing and rejecting were complementary (z = 2.48, p &lt; .02)&quot;"/><s v="Among Americans, there was no difference between the proportion of personal actions construed as choices (M = .83, SD = .15) and the proportion of interpersonal actions construed as choices (M = .82, SD = .14), t(88) = 0.39, p = .65, d = 0.04"/><s v="&quot;Indians were less likely than Americans to construe actions as choices, β = –1.07, OR = 0.34, t(101) = 5.70, prep = .99, p &lt; .001 &quot;,&quot; Americans were more likely than Indians to construe all actions as choices, and were equally likely to construe personal"/><s v="&quot;We did not find a main effect of condition, β = –0.13, OR = 0.88, t(101) = 0.71, prep = .69, p = .48, &quot;,&quot; Americans were more likely than Indians to construe all actions as choices, and were equally likely to construe personal and interpersonal actions a"/><s v="&quot;but we found a significant Culture × Condition interaction, β = 0.53, OR = 1.70, t(101) = 1.98, prep = .92, p &lt; .05. &quot;,&quot; Americans were more likely than Indians to construe all actions as choices, and were equally likely to construe personal and interper"/><s v="Indians were less likely than Americans to construe actions as choices, β = –1.07, OR = 0.34, t(101) = 5.70, prep = .99, p &lt; .001. We did not find a main effect of condition, β = –0.13, OR = 0.88, t(101) = 0.71, prep = .69, p = .48, but we found a signifi"/><s v="When participants were asked to judge the similarity of the target object to the categories: European Americans gave many more responses based on the unidimensional rule than on family resemblance (M = 69% vs. M = 31%), t(17) = 3.68, p&lt;.005."/><s v="When participants were asked to judge the similarity of the target object to the categories: East Asians gave fewer rule-based responses than family resemblance responses (M =41%vs.M =59%), t(17) = 2.09,p = .05"/><s v="&quot;only a main effect of judgment condition emerged, indicating that participants overall were slower when classifying than when judging similarity (in ms: M = 7,516 and SD = 3,160 vs. M = 6,260 and SD = 4,379), F (1, 151) = 4.25, p&lt;.05. There were no main "/><s v="A less-is-better effect emerged from this study. Although the $55 coat is certainly more expensive than the $45 scarf, those receiving the scarf considered their gift giver to be signficantly more generous than those receiving the coat (M = 5.63 and 5.00,"/><s v="&quot;Although the $55 coat is certainly more expensive than the $45 scarf, those receiving the scarf considered their gift giver to be significantly more generous than those receiving the coat (M = 5.63 and 5.00, respectively, t = 3:13; p &lt; 0:01) &quot;,&quot; If gift "/><s v="No significant differences were found between front versus back vowels in brand names for conveying size, ,&quot; illustrates how sound symbolism can help create global brand names that convey consistent meaning across languages.&quot;"/><s v="products with brand names containing front vowels, as opposed to back vowels, are perceived as lighter (relative to darker),&quot; illustrates how sound symbolism can help create global brand names that convey consistent meaning across languages.&quot;"/><s v="No significant differences were found between front versus back vowels in brand names for [...], mildness,,&quot; illustrates how sound symbolism can help create global brand names that convey consistent meaning across languages.&quot;"/><s v="products with brand names containing front vowels, as opposed to back vowels, are perceived as  [...] thinner ,&quot; illustrates how sound symbolism can help create global brand names that convey consistent meaning across languages.&quot;"/><s v="products with brand names containing front vowels, as opposed to back vowels, are perceived as lighter [...] softer ,&quot; illustrates how sound symbolism can help create global brand names that convey consistent meaning across languages.&quot;"/><s v="products with brand names containing front vowels, as opposed to back vowels, are perceived as [...] faster, ,&quot; illustrates how sound symbolism can help create global brand names that convey consistent meaning across languages.&quot;"/><s v="products with brand names containing front vowels, as opposed to back vowels, are perceived as l[...] colder,  ,&quot; illustrates how sound symbolism can help create global brand names that convey consistent meaning across languages.&quot;"/><s v="products with brand names containing front vowels, as opposed to back vowels, are perceived as [...] more bitter ,&quot; illustrates how sound symbolism can help create global brand names that convey consistent meaning across languages.&quot;"/><s v="No significant differences were found between front versus back vowels in brand names for [...]masculinity ,&quot; illustrates how sound symbolism can help create global brand names that convey consistent meaning across languages.&quot;"/><s v="No significant differences were found between front versus back vowels in brand names for [...] friendliness, &quot; illustrates how sound symbolism can help create global brand names that convey consistent meaning across languages.&quot;"/><s v="No significant differences were found between front versus back vowels in brand names for [...] strength ,&quot; illustrates how sound symbolism can help create global brand names that convey consistent meaning across languages.&quot;"/><s v="products with brand names containing front vowels, as opposed to back vowels, are perceived as [...] lighter (relative to heavier)&quot; illustrates how sound symbolism can help create global brand names that convey consistent meaning across languages.&quot;"/><s v="products with brand names containing front vowels, as opposed to back vowels, are [...] prettier ,&quot; illustrates how sound symbolism can help create global brand names that convey consistent meaning across languages.&quot;"/><s v="The results suggest that products with brand names containing front vowels, as opposed to back vowels, are perceived more feminine/less masculine"/><s v="study participants thought that the package that displayed more product units contained more quantity than the package that displayed fewer product units. An ANOVA with number of cookies on the package as a between-subjects factor revealed a significant m"/><s v="Additionally, study participants thought there were more cookies in a serving from the package that displayed seven cookies compared to the package that displayed four cookies"/><s v="study participants thought there were more cookies in a serving from the package that displayed seven cookies compared to the package that displayed four cookies (M7= 6.60 vs. M4= 4.41; F(1, 35) = 4.83, p &lt; .05) ,&quot; provides initial evidence that the numbe"/><s v="An ANOVA was performed using consumption resources, fairness, and their interaction as independent variables and brand attitude as the dependent variable.  The effect of consumption resources was significant"/><s v="An ANOVA was performed using consumption resources, fairness, and their interaction as independent variables and brand attitude as the dependent variable. The effect of consumption resources was significant, which was qualified by its interaction with fai"/><s v="An ANOVA was performed using consumption resources, fairness, and their interaction as independent variables and brand attitude as the dependent variable. [...] the effect of fairness was NS (F(1, 245) =1.67, p &gt; .15, n2 = .006)."/><s v="When fairness was salient, unearned resources led to lower brand attitude compared to earned or unspecified resources [...]"/><s v="When fairness was salient, unearned resources led to lower brand attitude compared to earned or unspecified resources, but this effect did not occur when fairness was not salient"/><s v="In addition, prestige perceptions affected brand attitude"/><s v="The indirect effect of consumption resources on brand attitude via prestige perceptions was significant for participants whose fairness was salient"/><s v="but there was no support for an indirect effect when fairness was not salient"/><s v="the index of moderated mediation was significant, suggesting that a unit change in fairness values significantly changed the magnitude of the indirect effect"/><s v="participants who had written about their financial constraints reported thinking about their financial constraints more (Mfinancial = 5.61, SD = 1.62) than did participants in the control condition(Mcontrol= 4.19, SD = 2.09; F(1, 375) = 53.91, p &lt; .001)."/><s v="participants in the financial constraint condition reported feeling more financially constrained than those in the control condition"/><s v="A repeated-measures ANOVA with pair as a within-subjects factor and financial constraints as a between-subjects factor revealed a significant effect of financial constraints. As predicted, participants who were asked to consider their financial constraint"/><s v="This effect again did not differ across pairs (F(4, 1500) =1.24, NS)."/><s v="A main effect of procedure emerged, such that the desired wage rate was higher in the TEL (vs.MEL) condition"/><s v="Additionally, a main effect of timing emerged, such that the wage rate was lower in the distant (vs. near) future"/><s v="More importantly, as predicted, there was a significant two-way interaction between procedure and timing"/><s v="An analysis of variance testing for the effect of the scarcity manipulation on allocation behavior revealed that, after being exposed to reminders of resource scarcity, participants allocated less money to the other player (M = $2.86; SD = 1.25) than part"/><s v="Most importantly, there was a significant interaction between the scarcity manipulation and SVO on the allocation measure, as predicted."/><s v="The results showed a significant main effect of scarcity on the amount of money allocated to the other player"/><s v="Moreover, the results showed a significant effect of SVO on the amount of money allocated to the other player, which suggests that the more participants exhibited a prosocial orientation, the more money they allocated to the other player."/><s v="Overall, 35 of the 133 participants (i.e., 26.3%) correctly solved the problem. A chi-square test revealed a significant main effect of resource availability on the correctness of the solutions"/><s v="The results showed that a higher percentage of participants in the scarcity condition (M = 44.2%) correctly solved the candle problem as compared to those in the abundance condition"/><s v="The results showed that a higher percentage of participants in the scarcity condition (M = 44.2%) correctly solved the candle problem as compared to those in the control condition"/><s v="No difference was observed between the abundance and control conditions"/><s v="The manipulation check was successful. Participants perceived the iPhone promotional package quantity to be more scarce in the scarcity versus the control ad (1 = Very scarce to 7 = Very abundant;"/><s v="The manipulation check was successful. Participants perceived the iPhone promotional package quantity to be more scarce in the scarcity versus the control ad. No main effect (p &gt; .75)"/><s v="The manipulation check was successful. Participants perceived the iPhone promotional package quantity to be more scarce in the scarcity versus the control ad. No interactions with perceived threat emerged (p &gt; .13)."/><s v="The ANOVA revealed a main effect of perceived threat (higher threat led to more violent game choices;"/><s v="The ANOVA revealed .... no effect of scarcity promotion (p &gt; .20)."/><s v="However, the main effect was qualified by the expected interaction."/><s v="However, the main effect was qualified by the expected interaction. As predicted, participants in the scarcity-high threat condition expressed a significantly higher preference for violent games than participants in the control-high threat condition (PSca"/><s v="As predicted, the interaction between vowel sound and product category was significant (F(1, 367)=63.87, p &lt; 001)."/><s v="the interaction between vowel sound and product category was significant (F(1, 367)=63.87, p &lt;.001) ,&quot; Thus, the predicted crossover interaction was observed.&quot;"/><s v="front vowel sound words were preferred over back vowel sound words for convertible and knife"/><s v="front vowel sound words were preferred over back vowel sound words for convertible and knife (58% to 42%; t(188)=5.33, p &lt;.001, one-tailed). ,&quot; Thus, the predicted crossover interaction was observed.&quot;"/><s v="In contrast, for 4×4 vehicle and hammer, the predicted opposite pattern was observed: Back vowel sound words were preferred over front vowel sound words."/><s v="for 4×4 vehicle and hammer, the predicted opposite pattern was observed: Back vowel sound words were preferred over front vowel sound words (59% to 41%; t(185)=5.37, p &lt;.001, one-tailed) ,&quot; Thus, the predicted crossover interaction was observed.&quot;"/><s v="An ANOVA with color saturation as the independent variable and size estimate as the dependent variable revealed that the laptop with high (vs. low) saturation was perceived to be larger"/><s v="Attention. A similar ANOVA on the attention scale revealed that the laptop with high (vs. low) saturation captured more attention"/><s v="Arousal. A similar ANOVA on arousal revealed that the laptop with high (vs. low) saturation stimulated higher arousal"/><s v="&quot;An ANOVA with color saturation as the independent variable and size estimate as the dependent variable revealed that the laptop with high (vs. low) saturation was perceived to be larger (Mhigh = 15.28, SD = 1.26 vs. Mlow = 14.41, SD = 1.59, F(1, 75) = 7."/><s v="&quot;A similar ANOVA on the attention scale revealed that the laptop with high (vs. low) saturation captured more attention (Mhigh = 5.19, SD = 1.08 vs. Mlow = 4.66, SD = .98, F(1, 75) = 4.95, p &lt; .05, ηp2 = .06). This result supports hypothesis 2&quot;; &quot;They als"/><s v="&quot;A similar ANOVA on arousal revealed that the laptop with high (vs. low) saturation stimulated higher arousal (Mhigh = 6.05, SD = 1.34 vs. Mlow = 5.14, SD = 1.62, F(1, 75) = 7.35, p &lt; .01, ηp2 = .09)&quot; ,&quot; the results from Study 3 illustrated the role of ar"/><s v="Consistent with our hypothesis and the findings of study 1a, preference for the healthy item (broccoli salad) was relatively higher when it was on the left (vs. right) of the unhealthy item (41.30% vs. 19.14%; χ 2 = 5.42, p &lt; .05)."/><s v="preference for the healthy item (broccoli salad) was relatively higher when it was on the left (vs. right) of the unhealthy item (41.30% vs. 19.14%; X2 = 5.42, p &lt; .05). This replicates the finding of study 1a using a display pattern that featured only tw"/><s v="&quot;the main effect of brand name was significant (F(1, 117) = 9.51, p &lt; .01)&quot; ,&quot; The results of this study provide evidence that sound symbolism influences attribute perceptions&quot;"/><s v="&quot;ANCOVA revealed a significant two-way interaction (F(1, 121) = 4.34, p &lt; .05), accompanied by a significant main effect of brand name ((F(1, 121) = 10.07, p &lt; .01)&quot;, &quot; The results of this study provide evidence that sound symbolism influences attribute p"/><s v="&quot;We conducted a 2 x 2 x 2 ANCOVA on the Attribute Perception Index that revealed the predicted three-way interaction (F(1, 117) = 3.84, p &lt; .05)&quot;, &quot; The results of this study provide evidence that sound symbolism influences attribute perceptions&quot;"/><s v="&quot;the main effect of brand name was significant (F(1, 118) = 9.39, p &lt; .01); no other effect was significant&quot;, ,&quot; The results of this study provide evidence that sound symbolism influences attribute perceptions&quot;"/><s v="&quot;a significant interaction (F(1, 121) = 7.77, p &lt; .01), accompanied by a significant main effect of brand name ((F(1, 121) = 10.83, p &lt; .01)&quot;, &quot; The results of this study provide evidence that sound symbolism influences attribute perceptions&quot;"/><s v="&quot;A 2 x 2 x 2 ANCOVA on the Brand Evaluation Index revealed the predicted three-way interaction (F(1, 118) = 4.78, p &lt; .05)&quot;, &quot; The results of this study provide evidence that sound symbolism influences attribute perceptions&quot;"/><s v="An ANOVA with orientation as the independent variable and our purchase intentions scale as the dependent variable revealed significantly higher purchase intentions in the match versus mismatch conditions (Mmatch p 4.79, Mmismatch p 3.44; F(1, 76) p 14.47,"/><s v="Finally, we examined the impact of orientation on the amount and ease of mental simulation. Although directionally the mismatch condition led to greater ease of mental simulation, these differences were only marginally significant ("/><s v="&quot;An ANOVA with orientation as the independent variable and our purchase intentions scale as the dependent variable revealed significantly higher purchase intentions in the match versus mismatch conditions (Mmatch = 4.79, Mmismatch = 3.44; F(1, 76) = 14.47"/><s v="&quot;we examined the impact of orientation on the amount and ease of mental simulation. Although directionally the mismatch condition led to greater ease of mental simulation, these differences were only marginally significant (Mmatch = 6.26, Mmismatch = 5.53"/><s v="A 2 3 mixed-measures analysis of variance (ANOVA), with comfortableness and durability treated as a repeated factor, revealed only a significant logo- shape-by-product-attribute interaction (F(2, 106)=7.63, p &lt; .01; see Figure 1)."/><s v="Contrasts revealed that participants rated the shoe as more comfortable in the circular-logo condition (Mcir= 6.50, standard deviation [SD]= 1.66) than in either the angular- (Mang=5.35, SD=1.65; F(1, 106)=8.17, p &lt; .01; n2 p = .113)"/><s v="Participants rated the shoe as more durable in the angular-logo condition (Mang= 6.27, SD= 1.28) than in either the circular- (Mcir= 5.39, SD= 1.65; F(1, 106) = 4.36, p &lt; .05; n2p = .085)"/><s v="The effect of logo shape on overall attitude was not significant ("/><s v="A 2 x 3 mixed-measures analysis of variance (ANOVA), with comfortableness and durability treated as a repeated factor, revealed only a significant logo-shape-by-product-attribute interaction (F(2, 106) = 7.63, p &lt; .01) ,&quot; A circular logo enhanced percepti"/><s v="Contrasts revealed that participants rated the shoe as more comfortable in the circular-logo condition (Mcir = 6.50, standard deviation [SD] = 1.66) than in either the angular- (Mang = 5.35, SD = 1.65; F(1, 106) = 8.17, p &lt; .01; n2p = .113) ,&quot; Supporting "/><s v="Participants rated the shoe as more durable in the angular-logo condition (Mang = 6.27, SD = 1.28) than in either the circular- (Mcir = 5.39, SD = 1.65; F(1, 106) = 4.36, p &lt; .05; n2p = .085) ,&quot; Supporting hypothesis 1 &quot;,&quot; the angular logo led to more fav"/><s v="A 2 (position: left vs. right) # 3 (desirable attribute: antique vs. modern vs. control) ANOVA ... reveal an interaction between position and desirable attribute on product attitude"/><s v="participants in the antique conditions were more favorable to the product when the ad displayed the product image on the left than on the right"/><s v="participants right in the modern conditions were more favorable to the product when the ad displayed the product image on the right than on the left"/><s v="A 2 (position: left vs. right) x 3 (desirable attribute: antique vs. modern vs. control) ANOVA indicated no main effects (F values  &lt; 1)"/><s v="&quot;A 2 (position: left vs. right) x 3 (desirable attribute: antique vs. modern vs. control) ANOVA indicated no main effects (F values &lt;1) but did reveal an interaction between position and desirable attribute on product attitude (F(2, 173) = 6.62, p &lt; .01)&quot;"/><s v="&quot;participants in the antique conditions were more favorable to the product when the ad displayed the product image on the left than on the right (vs. Mleft vs. Mright = 5.69; t(173) = 2.28, p &lt; .05)&quot;, &quot; when participants were primed to desire an antique, "/><s v="&quot;participants in the modern conditions were more favorable to the product when the ad displayed the product image on the right than on the left (Mleft vs. Mright = 7.12; t(173) = -2.80, p &lt; .01)&quot;, &quot; We found that when participants were primed to desire a "/><s v="As we anticipated, there was a significant impact of logo dynamism on attitudes toward the brand (Mlower dynamism = 4.75, Mhigher dynamism = 5.58; F(1, 72) = 5.26, p &lt; .05), with higher logo dynamism leading to more favorable attitudes than the lower dyna"/><s v="the two logos differ in level of perceived movement (Mlower dynamism = 4.18, Mhigher dynamism = 5.47; F(1, 72) = 12.61, p &lt; .01), with higher logo dynamism leading to more perceived movement than lower logo dynamism."/><s v="&quot;there was a significant impact of logo dynamism on attitudes toward the brand (Mlower dynamism = 4.75, Mhigher dynamism = 5.58; F(1, 72) = 5.26, p &lt; .05), with higher logo dynamism leading to more favorable attitudes than the lower dynamism logo&quot;, &quot; show"/><s v="&quot;the two logos differ in level of perceived movement (Mlower dynamism = 4.18, Mhigher dynamism = 5.47; F(1, 72) = 12.61, p &lt; .01), with higher logo dynamism leading to more perceived movement than lower logo dynamism.&quot;,&quot; showing the consequential impact o"/><s v="&quot;Moreover, there were interactions of […] task and relation, F1(1, 13) = 7.11, MSE = 1,234, p = .02&quot;, &quot;latencies of picture naming […] were longer in the semantically related than unrelated condition&quot;"/><s v="There were interactions of task and type, [...] task and relation, F1(1, 13) = 7.11, MSE = 1,234, p = .02 [...]"/><s v="&quot;performance was enhanced in pairs with large compared with small intrapair numerical difference in both RT [reaction time], F(1, 28) 26.69, MSE 5,845, p .001, [...] a revealing a CDE&#xA; consistent with the one found in Experiment 1.&quot;"/><s v="Performance was enhanced in pairs with large compared with small intrapair numerical difference in [...] RT, F(1, 28) = 26.69, MSE = 5,845, p &lt; .001"/><s v="&quot;As expected, the percentage of concrete- preferring participants was higher when Los Angeles had been primed earlier in the study (53%) than when Los Angeles had not been primed (41%), X2(1, N = 236) = 3.83, p = .05, prep = .92, phi = .13.&quot;"/><s v="The percentage of concrete-preferring participants was higher when Los Angeles had been primed earlier in the study (53%) than when Los Angeles had not been primed (41%), X2(1,N=236) = 3.83, p = .05, p-rep = .92, V = .13"/><s v="&quot;A 2 (condition) x 3 (target type) mixed analysis of variance on percentage correct showed a main effect of condition, F(1, 34) = 5.8, p &lt; .05, prep &gt; .90, d = 0.82, but no effect of target type and no interaction. Children who heard directional terms cho"/><s v="A 2 (condition) × 3 (target type) mixed analysis of variance on percentage correct showed a main effect of condition, F(1,34) = 5.8, p &lt; .05, p-rep &gt; .90, d = 0.82, but no effect of target type and no interaction"/><s v="&quot;As hypothesized, primed participants learned more than participants in the control group, t(84) = 2.09, prep = .92, d = 0.45 (see Table 2).&quot;, &quot;Goal priming led to improved implicit learning without a concomitant increase in participants’ explicit motivat"/><s v="As hypothesized, primed participants learned more than participants in the control group, t(84) = 2.09, p-rep = .92, d = 0.45 (see Table 2)"/><s v="&quot;As predicted, words with many near neighbors were categorized more slowly than words with few near neighbors (24 ms), F1(1, 21) = 17.3, p &lt; .001, partial η2 = 0.45&quot;, &quot;Our results suggest that previous findings of facilitative SND effects were primarily d"/><s v="As predicted, words with many near neighbors were categorized more slowly than words with few near neighbors (24 ms), F1​(1,21) = 17.3, p &lt; .001, partial η2 = 0.45; F2(1,95) = 4.6, p &lt; .05, partial η2 = 0.05, and words with many distant neighbors were cat"/><s v="&quot;Compared with women (ln(a) 5 2.30), men (ln(a) 5 1.61) were significantly less sensitive to the dis- tinction between friendliness and sexual interest, F(1, 278) = 123.38, p &lt; .001, ηp2 = .326.&quot;"/><s v="Compared with women (ln(a) = 2.30), men (ln(a) = 1.61) were significantly less sensitive to the distinction between friendliness and sexual interest, F(1,278) = 123.38, p &lt; .001, partial η2​ = .326"/><s v="&quot;In Experiment 4a, there was a Motivation to Adjust X Scale Unit Width interaction, F(1, 55) = 6.88, prep = .947, w2 = .02.&quot;"/><s v="In Experiment 4b, there was also a Motivation to Adjust × Scale Unit Width interaction, F(1, 145) = 4.01, p-rep = .882, omega² = .02"/><s v="&quot;Sample entropy was higher for middle-truth-value questions than for low- and high-truth-value questions (see Fig. 1d), quadratic r = .70, F(1, 9) = 8.7, p &lt; .05, prep 5 .939.&quot;"/><s v="Sample entropy was higher for middle-truth-value questions than for low- and high-truth-value questions (see Fig. 1d), quadratic r = -.70, F(1,9) = 8.7, p &lt; .05, prep = .939"/><s v="&quot;Participants clearly prescribed optimism. Those asked to pro- vide prescriptions recommended predictions that were opti- mistic (M = 1.12), t(124) = 10.36, prep &gt; .99, d = 0.93.&quot;"/><s v="Those asked to provide prescriptions recommended predictions that were optimistic (M = 1.12), t(124) = 10.36, p-rep &gt; .99, d = 0.93"/><s v="&quot;Of most interest here, we found significant group differences, with older adults producing fewer internal details, F(1, 30) = 14.49, prep = .99, η2 = .326&quot;"/><s v="Of most interest here, we found significant group differences, with older adults producing fewer internal details, F(1,30) = 14.49, p-rep = .99, η2 = .326, but more external details, F(1,30) = 6.54, p-rep &gt; .94, η2 = .179, than young adults (see Fig. 1a)"/><s v="&quot;Only older children’s performance was consistently above chance level, t(31) = 3.23, p-rep = .97&quot;"/><s v="Only older children’s performance was consistently above chance level, t(31) = 3.23, p-rep = .97"/><s v="&quot;In the delayed condition, the error of the average was also smaller than the error of the first guess, t(172) = 3.94, p &lt; .01&quot;"/><s v="In the delayed condition, the error of the average was also smaller than the error of the first guess, t(172) = 3.94, p &lt; .01, and of the second guess, t(172) = 6.59, p &lt; .01"/><s v="&quot;All effects and interactions were significant at a p value of .0001; most important, the three-way interaction was highly significant, F(18, 660) = 16.31, p &lt; .00001&quot;"/><s v="All effects and interactions were significant at a p value of .0001; most important, the three-way interaction was highly significant, F(18, 660) = 16.31, p &lt; .00001"/><s v="&quot;We tested this prediction using a focused interaction contrast pitting the depletion-plus-placebo condi- tion against the combination of the other three conditions. This interaction was significant, F(1,111) = 5.311, p-rep = .92, partial η2 ​= .045&quot;"/><s v="This interaction was significant, F(1,111) = 5.311, p-rep = .92, partial η2 ​= .045"/><s v="&quot;Of particular importance for the purpose of the present study is the significant interaction between instruction type and sound condition, F(2, 92) = 3.13, p &lt; .05, d = 0.52.&quot;"/><s v="The purpose of the present study is the significant interaction between instruction type and sound condition, F(2, 92) = 3.13, p &lt; .05, d = 0.52"/><s v="&quot;The amplitude of the ERN predicted the degree to which errors potentiated the startle response (see Fig. 2; r = .38, p &lt; .05). Because the magnitude of the ERN is negative and startle potentiation following errors is positive, this negative correlation i"/><s v="The amplitude of the ERN predicted the degree to which errors potentiated the startle response (see Fig. 2; r = .38, p &lt; .05)"/><s v="&quot;However, a large cluster (k = 834) in right VLPFC was active in this comparison (x = 50, y = 44, z = 8), t(11) = 5.39, p-rep &gt; .99, d = 3.25, a finding consistent with the hypothesis that accepting unfair offers may involve emotion regulation&quot;"/><s v="However, a large cluster (k = 834) in right VLPFC was active in this comparison (x = 50, y = 44, z = 8), t(11) = 5.39, p-rep &gt; .99, d = 3.25, a finding consistent with the hypothesis that accepting unfair offers may involve emotion regulation"/><s v="&quot;As Figure 4b illustrates, localization error in the centroid condition was significantly lower for targets than for distractors,[..] but centroid localization was better than chance for both targets [...] and distractors, t(7) = 2.76, p = .028, r-square "/><s v="As Figure 4b illustrates, localization error in the centroid condition was significantly lower for targets than for distractors, t(7) = 3.17, p = .016, r-square = .59, but centroid localization was better than chance for both targets, t(7) = 8.32, p &lt; .00"/><s v="&quot;A 2 (system threat vs. no threat) × 2 (benevolent-stereotypic vs. non-benevolent-stereotypic) analysis of variance conducted on the mean ratings of romantic interest revealed a significant two-way interaction, F(1,34) = 55.89, p = .93, w-square = .02&quot;"/><s v="A 2 (system threat vs. no threat) × 2 (benevolent-stereotypic vs. non-benevolent-stereotypic) analysis of variance conducted on the mean ratings of romantic interest revealed a significant two-way interaction, F(1,34) = 55.89, p = .93, w-square = .02"/><s v="&quot;Subjects in the third experiment showed significant adapta- tion to inward and outward implied motion. The point of per- ceived null motion shifted by 0.17  0.04 units of normalized coherence, t(28) = 4.98, p = .000, prep = .99&quot;"/><s v="The point of perceived null motion shifted by 0.17 ± 0.04 units of normalized coherence, t(28) = 4.98, p &lt; .001, p-rep = .99, or 5.7 ± 1.0% of actual coherence, t(28) = 5.48, p &lt; .001, p-rep = .99"/><s v="&quot;The three-way interaction of group, presentation duration, and facial expression was reliable, F(1,26) = 4.17, p-rep = .92, d = 0.80&quot;"/><s v="The three-way interaction of group, presentation duration, and facial expression was reliable, F(1,26) = 4.17, p-rep = .92, d = 0.80"/><s v="&quot;There was a robust Group X Problem Type interaction, F(2,68) = 41.59, MSE = 4470.55, p &lt; .001&quot;"/><s v="There was a robust Group X Problem Type interaction, F(2,68) = 41.59, MSE = 4470.55, p &lt; .001"/><s v="&quot;We performed a 2 (headphones on vs. off) × 4 (discussant) analysis of variance on the total looking times to the discussants during the potentially offensive comments and found a significant interaction, F(3,69) = 5.15, p &lt; .005, p-rep = .997, partial η2"/><s v="&quot;Once again, survival processing produced a clear and significant recall advantage — this time against a contextually rich but non-survival-related control, F(1,23) = 5.70, MSE = 0.028, partial η2 ​= .20&quot;"/><s v="Once again, survival processing produced a clear and significant recall advantage — this time against a contextually rich but non-survival-related control, F(1,23) = 5.70, MSE = 0.028, partial η2 ​= .20"/><s v="&quot;Similarly, people who had what they wanted more than others did tended to be happier even after we controlled for the number of things they had and the extent to which they wanted what they had, pr = .21, p-rep = .92&quot;"/><s v="Similarly, people who had what they wanted more than others did tended to be happier even after we controlled for the number of things they had and the extent to which they wanted what they had, pr = .21, p-rep = .92"/><s v="&quot;There was no difference between the effectiveness of the induction on attitudes toward the original people (M = 0.07, SD = 0.42) and attitudes toward the new people (M = 0.08, SD = 0.45), t(562) = 0.11, p-rep = .18, d = -0.004, even though the new indivi"/><s v="There was no difference between the effectiveness of the induction on attitudes toward the original people (M = 0.07, SD = 0.42) and attitudes toward the new people (M = 0.08, SD = 0.45), t(562) = 0.11, p-rep = .18, d = -0.004, even though the new individ"/><s v="&quot;Analysis of the main dependent measure, degree of cheating, revealed that, as predicted, participants cheated more frequently after reading the anti-free-will essay (M = 14.00, SD = 4.17) than after reading the control essay (M = 9.67, SD = 5.58), t(28) "/><s v="Analysis of the main dependent measure, degree of cheating, revealed that, as predicted, participants cheated more frequently after reading the anti-free-will essay (M = 14.00, SD = 4.17) than after reading the control essay (M = 9.67, SD = 5.58), t(28) ="/><s v="&quot;In Experiment 5 (see Fig. 2d), ISI again had a significant main effect, F(3,9) = 8.5, p = .005, p-rep = .97, η2 = .74&quot;"/><s v="In Experiment 5 (see Fig. 2d), ISI again had a significant main effect, F(3,9) = 8.5, p = .005, p-rep = .97, η2 = .74"/><s v="&quot;An ANOVA revealed that the three spatial-prime groups differed significantly in the reported strength of their bonds to their family and hometown, F(2,81) = 4.97, p-rep = .95, η2 = .11&quot;"/><s v="An ANOVA revealed that the three spatial-prime groups differed significantly in the reported strength of their bonds to their family and hometown, F(2,81) = 4.97, p-rep = .95, η2 = .11"/><s v="&quot;As expected, we found a significant Game Type × Emotion interaction, F(2,162) = 192.89, p &lt; .001 (see Fig. 1). Preferences for anger-inducing activities were higher than preferences for exciting and neutral activities when participants anticipated playin"/><s v="As expected, we found a significant Game Type × Emotion interaction, F(2,162) = 192.89, p &lt; .001 (see Fig. 1)."/><s v="&quot;A 3 (condition: disconnected, fear, control) × 3 (measure: supernatural agents, social-connection traits, faces identified) mixed-model ANOVA using these standardized measures yielded only the predicted interaction presented in the results already discus"/><s v="A 3 (condition: disconnected, fear, control) × 3 (measure: supernatural agents, social-connection traits, faces identified) mixed-model ANOVA using these standardized measures yielded only the predicted interaction presented in the results already discuss"/><s v="&quot;In the no-communication condition, participants contributed an average of 47% of their en- dowment to pool W and less than 6% to pool B. The contribution rate to pool B in the IPD-MD game was significantly lower than the contribution rate to pool B (the "/><s v="The contribution rate to pool B in the IPD-MD game was significantly lower than the contribution rate to pool B (the only pool) in the IPD game, F(1,76) = 109.74, p = .001"/><s v="&quot;The RT analysis revealed an effect of congruency, t1​(14) = 3.20, p &lt; .007, p-rep = .960, d = 1.71&quot;"/><s v="The RT analysis revealed an effect of congruency, t1​(14) = 3.20, p &lt; .007, p-rep = .960, d = 1.71"/><s v="&quot;More interestingly, man’s availability and participant’s conception risk did not have significant main effects (both Fs&lt;1), but were involved in a significant triple interaction with participant’s partnership status, F(1,194) = 7.16, p = .008, p-rep = .9"/><s v="More interestingly, man’s availability and participant’s conception risk did not have significant main effects (both Fs&lt;1), but were involved in a significant triple interaction with participant’s partnership status, F(1,194) = 7.16, p = .008, p-rep = .96"/><s v="&quot;low contingency trials (31.4%) generated more errors than medium contingency trials, t(94) = 1.929, SEdiff = 0.7, p = .028 (one-tailed), partial eta-squared = .038&quot;"/><s v="Planned comparisons revealed that [...] low contingency trials (31.4%) [...] generated more errors than medium contingency trials, t(94) = 1.929, SEdiff = 0.7, p = .028 (one-tailed), partial eta-squared = .038"/><s v="&quot;These two factors interacted, F(1, 13) = 14.2, prep &gt; .99. The effect of visual field was enhanced for objects depicted in a prototypical orientation, though visual field was significant for both views.&quot;"/><s v="These two factors interacted, F(1,13) = 14.2, p-rep &gt; .99: The effect of visual field was enhanced for objects depicted in a prototypical orientation, though visual field was significant for both views"/><s v="&quot;We computed the mean composite of all six moral vignettes and predicted that participants who washed their hands following the disgusting film clip would make less severe judgments than would participants who did not wash their hands. Indeed, a one-way A"/><s v="We computed the mean composite of all six moral vignettes and predicted that participants who washed their hands following the disgusting film clip would make less severe judgments than would participants who did not wash their hands. Indeed, a one-way AN"/><s v="&quot;The quarter-cylinder EE regions (EE1) were also seen as closer than the rotated convex versions on 85% of the trials with half-cylinder non-EE regions (Convex2) and 90% of the trials with quarter-cylinder non-EE regions (Convex1), ts(7) = 4.45 and 6.13, "/><s v="The quarter-cylinder EE regions (EE1) were also seen as closer than the rotated convex versions on 85% of the trials with half-cylinder non-EE regions (Convex2) and 90% of the trials with quarter-cylinder non-EE regions (Convex1), ts(7) = 4.45 and 6.13, p"/><s v="&quot;The analyses revealed that the aggregate self-report data from the NEO-PI-R correlated negatively with all the validity criteria for both sets of countries (average r = .43).&quot;"/><s v="&quot;Both correlations were significant, r = .28, p &lt; .05, for the random-location task and r = .31, p &lt; .05, for the predictable-location task.&quot;"/><s v="Both correlations were significant, r = -.28, p &lt; .05, for the random-location task and r = -.31, p &lt; .05, for the predictable-location task."/><s v="&quot;Moreover, the interaction of these two variables was reliable, F(1, 38) = 6.21, prep = .927, etasq= .14, reflecting the fact that the detrimental effect of incompatibility on the detection of PM cues was markedly larger for PM cues referring to the task-"/><s v="&quot;The ANOVA revealed significant main effects of target stimulus, F(1, 44) = 13.42, p &lt; .01, prep = .96, and age, F(1, 44) = 29.05, p &lt; .01, prep = 1.0, as well as an age-by-target interaction, F(1, 44) = 5.12, p &lt; .05, prep = .91.&quot;"/><s v="The ANOVA revealed significant main effects of target stimulus, F(1,44) = 13.42, p &lt; .01, p-rep = .96, and age, [...] as well as an age-by-target interaction"/><s v="&quot;In contrast, they were more likely to underestimate the number of bird pictures relative to flower pictures when they expected payment for bird pictures (21 of 32 participants, 66%) than when they expected payment for flower pictures (12 of 31 participan"/><s v="They were more likely to underestimate the number of bird pictures relative to flower pictures when they expected payment for bird pictures (21 of 32 participants, 66%) than when they expected payment for flower pictures (12 of 31 participants, 39%), χ²(1"/><s v="&quot;In the error-rate data, this effect was also significant, F1(1, 17) = 9.33, prep = .97, and F2(1, 58) = 18.96, prep = 1.00, and robust (4.83%, η² = .35).&quot;"/><s v="In the error-rate data, this effect was also significant, F1​(1,17) = 9.33, p-rep= .97 [...]"/><s v="&quot;The tendency to underestimate positive and to overestimate negative observations increased from domain T to C, F(1, 38) = 9.73, p &lt; .01, and from P3 to P2 to P1, F(2, 76) = 8.67, p &lt; .001; and the inaccuracy difference between providers was more apparent"/><s v="The tendency to underestimate positive and to overestimate negative observations increased from domain T to C, F(1,38) = 9.73, p &lt; .01, and from P3 to P2 to P1, F(2,76) = 8.67, p &lt; .001"/><s v="&quot;Accuracies on new probes were significantly lower for long lists, F(1, 31) = 14.2, p &lt; .001, η²p = .31.&quot;"/><s v="Accuracies on new probes were significantly lower for long lists, F(1, 31) = 14.2, p &lt; .001, partial eta-square = 0.31"/><s v="&quot;Further analysis of the Condition × Lexicality interaction revealed that the RB effect was significant for words, F1(1, 23) = 40.54, F2(1, 46) = 33.41, both ps &lt; .001; and nonwords, F1(1, 23) = 13.71, F2(1, 46) = 9.69, both ps &lt; .005. As in Experiment 5,"/><s v="Further analysis of the Condition X Lexicality interaction revealed that the RB effect was significant for words, F1(1,23) = 40.54, F2(1, 46) = 33.41, both ps &lt; .001; and nonwords [...]"/><s v="&quot;In addition, the interaction was significant, F(1, 94) = 4.97, p &lt; .05, MSE = .029, η² = .05, showing that there was significant directed forgetting of spaced items, t(94) = 3.95, p &lt; .001, but not of massed items (t = 1; see Figure 3). The lack of forge"/><s v="In addition, the interaction was significant, F(1, 94) = 4.97, p &lt; .05, MSE = .029, eta-square = .05, showing that there was significant directed forgetting of spaced items, t(94) = 3.95, p &lt; .001, but not of massed items (t = 1; see Figure 3)"/><s v="&quot;An ANOVA of conditional T2 report revealed a significant effect of lag, F(3, 93) = 38.76, p &lt; .001, MSE = 0.009, that was involved in a two-way interaction with group, F(3, 93) = 5.23, p = .002, MSE = 0.009.&quot;"/><s v="An ANOVA of conditional T2 report revealed a significant effect of lag, F(3, 93) = 38.76, p = .001, MSE = 0.009, that was involved in a two-way interaction with group, F(3, 93) = 5.23, p = .002, MSE = 0.009."/><s v="&quot;More important, there was a highly significant Priming Words × Digit Target interaction that was consistent with our semantic alignment hypothesis, F(1, 152) = 23.176, MSE = 6,101, p &lt; .001.&quot;"/><s v="More important, there was a highly significant Priming Words × Digit Target interaction that was consistent with our semantic alignment hypothesis, F(1, 152) = 23.176, MSE = 6.101, p &lt; .001"/><s v="&quot;For the experimental data, a significant effect of prior occurrences was observed for both correct responses, F(3, 32) = 5.47, p &lt; .01, d = 1.43 (mean slope = 0.09), and errors, F(3, 48) = 9.14, p &lt; .001, d = 1.51 (mean slope = 0.08).&quot;"/><s v="A significant effect of prior occurrences was observed for both correct responses, [...] and errors, F(3, 48) = 9.14, p &lt; .001, d = 1.51 (mean slope = 0.08)"/><s v="&quot;There was no switch cost (F1 = 1, 2 = .001; F2 = 1, 2 = .001), nor was there an interaction between stimulus type and switch condition, F1(1, 15) = 1.2, p = .15, MSE = 23.7, η² = .077; F2(1, 94) = 2.5, p = .10, MSE = 45.9, η² = .026.&quot;"/><s v="More errors were made to nonwords than to words, F1(1, 15) = 16.9, p &lt; .001, MSE = 49.1, eta-square = .529; F2(1, 94) = 11.5, p &lt; .001, MSE = 200, eta-square = .111. There was no switch cost (F1 &lt; 1, eta-square &lt; .001; F2 &lt; 1, eta-square &lt; .001), nor was "/><s v="&quot;The stimulus quality × word frequency interaction was again significant, F(1, 31) = 5.17, p = .030, MSE = 2,641.78, η² = .14, with larger frequency effects for the degraded words.&quot;"/><s v="&quot;In the delayed naming condition, the RT analysis revealed a main effect of semantic relatedness, F1(1, 31) = 4.1, MSE = 1,504.6, p = .06; F2(1, 38) = 4.4, MSE = 1,137.2, p = .05, indicating slower RTs in the semantically related than the unrelated condit"/><s v="The RT analysis revealed a main effect of semantic relatedness, F1(1, 31) = 4.1, MSE = 1,504.6, p = .06; F2 (1, 38) = 4.4, MSE = 1,137.2, p = .05, indicating slower RTs in the semantically related than the unrelated condition"/><s v="&quot;As depicted in Figure 3d, observers expressed robust VSL for the two color triplets despite the removal of shape at test (72%), t(7) = 2.892, p = .023, d = 1.023, thus providing further evidence that VSL can operate in a feature-based manner if the covar"/><s v="As depicted in Figure 3d, observers expressed robust VSL for the two color triplets despite the removal of shape at test (72%), t(7) = 2.892, p = .023, d = 1.023, thus providing further evidence that VSL can operate in a feature-based manner if the covari"/><s v="&quot;As we expected, the average recall score was larger in low-switch lists with normal digits (53.84 out of 72) than in high-switch lists with normal digits (49.24), F(1, 24) = 5.77, p = .05, and than in low-switch lists with degraded digits (49.22), F(1, 2"/><s v="As we expected, the average recall score was larger in low-switch lists with normal digits (53.84 out of 72) than in high-switch lists with normal digits (49.24), F(1, 24) = 5.77, p &lt; .05, and than in low-switch lists with degraded digits (49.22), F(1, 24"/><s v="&quot;Judgments of B were analyzed in the same way. There was a significant effect of A, F(1, 36) = 22.88, MSE = 439.82, p &lt; .001, with a higher mean at A = 2 (54.12) than at A = 6 (40.66). This is a cause prevalence effect, supporting Prediction 1.&quot;"/><s v="Judgments of B were analyzed in the same way. There was a significant effect of A+, F(1,36) = 22.88, MSE = 439.82, p &lt; .001, with a higher mean at A+ = 2 (54.12) than at A+ = 6 (40.66)"/><s v="&quot;Paired samples t-tests comparing grouping deviations in the ungrouped and grouped conditions revealed significantly larger (more positive) differences for both the order task, t(39) = 3.64, p &lt; .001, Cohen’s d = 0.58, and the timing task, t(39) = 3.77, p"/><s v="Paired samples t tests comparing grouping deviations in the ungrouped and grouped conditions revealed larger (more positive) differences under grouping conditions for both the order task, t(39) = 5.52, p &lt; .001, d = 0.87, and the timing task, t(39) = 2.82"/><s v="&quot;The number of correct responses differed only as a function of the type of dependency, F(1, 20) = 20.79, p &lt; .01, MSE = 2.31, η² = .51, with better performance on items with nonadjacent dependencies (M = 74.48, SE = 2.86) than on items with adjacent depe"/><s v="&quot;The number of correct responses differed only as a function of the type of dependency, F(1, 20) = 20.79, p &lt; .01, MSE = 2.31, partial eta-square = .51, with better performance on items with nonadjacent&#xA;dependencies (M = 74.48, SE = 2.86) than on items wi"/><s v="&quot;When comparing the cue effect between Set Size 1 and Set Size 2, a significant interaction was found, F(1, 11) = 4.80, p &lt; .05, with an observed power of 0.61.&quot;"/><s v="When comparing the cue effect between Set Size 1 and Set Size 2, a significant interaction was found, F(1,11) = 4.80, p = .05, with an observed power of 0.61."/><s v="&quot;However, in support of the prediction that the learning process hinders the diagnosticity of the ART, the adjusted ART scores in the cloudy tournaments were not significantly correlated with the self-reported risky use of drugs. An a priori planned compa"/><s v="An a priori planned comparison showed that the correlations in the sunny conditions were significantly greater than in the cloudy, z = 3.10, p &lt; .05 (see Meng, Rosenthal, &amp; Rubin, 1992)"/><s v="&quot;More important, however, the effect of relearning was significantly larger for Rp– items than it was for Nrp items, F(1, 190) = 10.49, p &lt; .001, MSE = 0.15.&quot;"/><s v="More important, however, the effect of relearning was significantly larger for Rp– items than it was for Nrp– items, F(1, 190) = 10.49, p &lt; .001, MSE = 0.15. Whereas Nrp items were recalled at a rate of 0.36 (SE = 0.02) and 0.42 (SE = 0.02) before and aft"/><s v="&quot;Attraction (Table 1). The three groups differed significantly on an attraction composite of liking to work on a project, liking as a friend, and respect (α = .88). Replicating previous studies, nonaffirmed actors liked the rebel significantly less (M = 0"/><s v="Attraction (Table 1). The three groups differed significantly on an attraction composite of liking to work on a project, liking as a friend, and respect (α = .88). Replicating previous studies, nonaffirmed actors liked the rebel significantly less (M = −0"/><s v="&quot;Instead, the effect of social pressure to avoid prejudice depended on participants’ automatic biases, as shown by a significant Indirect Social Pressure interaction, β = .31, t(67) = 3.08, p &lt; .01.&quot;"/><s v="&quot;As expected, variance in acquiescence scores was substantially larger in younger age groups; for Levene’s test for equality of variance, F(21, 230025) = 118.15, p &lt; .001.&quot;"/><s v="As expected, variance in acquiescence scores was substantially larger in younger age groups; for Levene’s test for equality of variance, F(21,230025) = 118.15, p &lt; .001"/><s v="&quot;At high levels of attachment anxiety and low levels of attachment avoidance, MS participants allocated significantly more time to a parent than did their dental pain condition counterparts (b = –32.04, SE = 14.47, t = –2.22, p = .03).&quot;"/><s v="At high levels of attachment anxiety and low levels of attachment avoidance, MS participants allocated significantly more time to a parent than did their dental pain condition counterparts (β = −32.04, SE = 14.47, t = −2.22, p = .03)"/><s v="The number of correctly solved problems was submitted to an ANOVA with prime as the independent variable. The analysis revealed a main effect of prime on number of solved problems, F(1,34) = 5.68, p = .02, demonstrating that participants primed with actio"/><s v="&quot;A contrast comparing overall performance across the two types of test confirmed this observation, F(1, 31) = 8.38, MSE = 0.106.&quot;"/><s v="A contrast comparing overall performance across the two types of test confirmed this observation, F(1, 31) = 8.38, MSE = 0.106. There was no interaction between the training conditions (AX/BX and CX/DY) and the test trial type (same and different; F &lt; 1)"/><s v="&quot;This analysis revealed a significant two-way interaction between prime and task, F(2, 92) = 4.36, p = .02.&quot;"/><s v="This analysis revealed a significant two-way interaction between prime and task, F(2, 92) = 4.36, p = .02, and a significant effect of task"/><s v="&quot;Indeed, a repeated measures ANOVA with condition (coherent vs. incoherent) and story (1 vs. 2 vs. 3) produced a significant linear trend for the interaction of Condition × Story, F(1, 131) = 5.79, p = .02, η² = .04.&quot;"/><s v="&quot;The critical interaction was significant, F(1, 31) = 5.14, p = .03, providing more direct support for the hypothesis that these two groups of low-prejudice participants would differ in PD control on the weapons identification task but not on the flankers"/><s v="We conducted a more focused 2 (Group: high IMS/low EMS vs. high IMS/high EMS) X 2 (Task: weapons vs. flankers) ANOVA on PD-control estimates. The critical interaction was significant, F(1, 31) = 5.14, p = .03,"/><s v="&quot;To test the effects of mindset manipulation on attitudes, a 3 (mindset) between-participants 2 (predecision vs. postdecision) 2 (chosen vs. rejected alternative) within-participants ANOVA was performed. It produced the critical three-way interaction, F(2"/><s v="To test the effects of mindset manipulation on attitudes, a 3 (mindset) between-participants x 2 (predecision vs. postdecision)  x 2 (chosen vs. rejected alternative) within-participants ANOVA was performed. It produced the critical three-way interaction,"/><s v="&quot;Moreover, in the low-consequences conditions, participants offered fewer chips to an angry recipient than to a happy recipient, F(1, 99) = 16.62, p &lt; .0001.&quot;"/><s v="Moreover, in the low-consequences conditions, participants offered fewer chips to an angry recipient than to a happy recipient, F(1,99) = 16.62, p &lt; .0001"/><s v="&quot;A significant main effect for type of rating, F(1, 182) = 47.65, p &lt; .001, suggesting that, on average, participants viewed the confederate as expressing more happiness than was truly felt, was qualified by the Type of Rating × Condition interaction, F(1"/><s v="&quot;Suggesting projection of responsiveness, perceivers’ own responsiveness to targets was a significant predictor of perceived partner responsiveness while controlling for these accuracy effects (b = .68, p &lt; .001). The projection effect was notably stronge"/><s v="Suggesting projection of responsiveness, perceivers’ own responsiveness to targets was a significant predictor of perceived partner responsiveness while controlling for these accuracy effects (b = .68, p &lt; .001)"/><s v="&quot;Of primary interest for this experiment, RTs to misses were significantly faster than RTs to correct rejections, t(23) 3.55, p .002 (mean priming for items judged new 63 ms, SEM 18), replicating Stark and McClelland (2000).&quot;"/><s v="Of primary interest for this experiment, RTs to misses were significantly faster than RTs to correct rejections, t(23) = 3.55, p = .002 (mean priming for items judged new 63 ms, SEM = 18), replicating Stark and McClelland (2000)"/><s v="&quot;As hypothesized, making the ending of graduation day more salient caused participants in the limited-time condition to show higher mixed emotion scores than participants in the control condition, t(108) 2.34, p .05.&quot;"/><s v="&quot;As predicted, analysis revealed a significant difference between the control condition and the average of the two experimental conditions in terms of the magnitude of the PSD slopes, F(1, 68) 5.52, p .02 (see Table 2 and Figure 4).&quot;"/><s v="Analysis revealed a significant difference between the control condition and the average of the two experimental conditions in terms of the magnitude of the PSD slopes, F(1, 68) = 5.52, p &lt; .02"/><s v="&quot;Most important, these two main effects were qualified by the predicted interaction, F(2, 76) 21.57, p .0001, showing that processing style affected the impact of the prime.&quot;"/><s v="Most important, these two main effects were qualified by the predicted interaction, F(2, 76) = 21.57, p  &lt; .0001, showing that processing style affected the impact of the prime."/><s v="Table 3"/><s v="As Table 3 shows, results revealed a marginally significant interaction predicting TRIMs"/><s v="&quot;The main effects were qualified by the predicted interaction, however, F(1,116) 4.15, p &lt;.05.&quot;"/><s v="A 2 (behavior: had read vs. had not read) X 2 (load: yes vs. no) X ANOVA revealed main effects for reading, F(1, 116) = 22.88, p &lt; .001, and for load, F(1, 116) = 17.34, p &lt; .001"/><s v="&quot;On the basis of binomial tests, recognition rates for all six pride expressions (M 78%, range 70%–87%) were significantly greater than chance (p .05), with chance set at 33% (see Figure 6 for recognition rates by target).&quot;"/><s v="On the basis of binomial tests, recognition rates for all six pride expressions (M = 78%, range = 70%–87%) were significantly greater than chance (p &lt; .05), with chance set at 33% (see Figure 6 for recognition rates by target)"/><s v="&quot;Participants correctly recalled in order more short words (.48) than long words (.40), indicating that the word-length manipulation was successful, as confirmed by ANOVA, F(1, 99) 103.7, MSE 9.30, p .05.&quot;"/><s v="Participants correctly recalled in order more short words (.48) than long words (.40), indicating that the word-length manipulation was successful, as confirmed by ANOVA, F(1, 99) = 103.7, MSE = 9.30, p &lt; .05. The mean WLE was .16 (lower quartile = .060; "/><s v="&quot;Partitioning the sample somewhat differently, we found that the mean SAT score (1214, SD 96) of the group answering correctly was significantly higher than the mean SAT score (1163, SD 106) of those giving an incorrect answer, t(373) 4.40, p .001, Cohen’"/><s v="&quot;For both studies, the attitude measure was submitted to a 2 (value: important vs. unimportant) 2 (argument quality: strong vs. weak) ANOVA. The predicted Value Argument Quality interaction was significant for Study 5A, F(1, 257) 11.58, p .002, and Study "/><s v="The predicted Value X Argument Quality interaction was significant for Study 5A, F(1, 257) = 11.58, p = .002"/><s v="&quot;However, the Democratic-to-Republican sticker ratio was significantly lower than the Democratic-to-Republican registered voter ratio in San Diego County, χ²(1, N = 37) = 3.85, p = .05 (see Table 4). That is, there were disproportionately more descriptive"/><s v="However, the Democratic-to-Republican sticker ratio was significantly lower than the Democratic-to-Republican registered voter ratio in San Diego County, chi-squared(1, N = 37) = 3.85, p &lt; .05 (see Table 4)"/><s v="&quot;In support of the hypothesis, this ANOVA yielded the predicted Commitment Focus interaction, F(1, 242) =10.47, p &lt;.01&quot;"/><s v="In support of the hypothesis, this ANOVA yielded the predicted Commitment × Focus interaction, F(1,242) = 10.47, p &lt; .01"/><s v="&quot;There was also a three-way interaction, F(1, 37) = 17.03, MSE = .033, p &lt; .001, η² = .32, but no other significant effects (all Fs &lt; 1.13).&quot;"/><s v="There was also a three-way interaction, F(1, 37) = 17.03, MSE = .033, p &lt; .001, η² = .32, but no other significant effects (all Fs &lt; 1.13)"/><s v="&quot;As expected, the condition effect was significant, F(2, 43) = 3.36, p &lt; .05.&quot;"/><s v="Participants’ ambivalence score was entered into an ANOVA, with mind-set condition (implemental one-sided, implemental two-sided, and neutral) as a between-participant variable. As expected, the condition effect was significant, F(2, 43) = 3.36, p &lt; .05"/><s v="&quot;In line with our predictions, although the Message × Role interaction was nonsignificant in the before condition, F(1, 90) = .00, ns, η² = .00, it was significant in the after condition, F(1, 90) = 6.98, p &lt; .01, η² = .07.&quot;"/><s v="In line with our predictions, although the Message × Role interaction was nonsignificant in the before condition, F(1,90) = .00, ns, η2 = .00, it was significant in the after condition, F(1,90) = 6.98, p &lt; .01, η2 = .07"/><s v="&quot;Further, ratings of CEO leadership were also strongly related to company profits, r(41) = .30, p &lt; .05.&quot;"/><s v="Ratings of power-related traits from CEOs’ faces, after controlling for age, affect, and attractiveness, were significantly related to company profits, r(41) = .36, p &lt; .025."/><s v="&quot;Given no induction, the analysis revealed a significant interaction between the factors Information Quantity and Information Selection, χ²(1, N = 52) = 13.18, p &lt; .001, indicating that participants in the 2-information condition selected more inconsisten"/><s v="Given no induction, the analysis revealed a significant interaction between the factors Information Quantity and Information Selection, X2(1,N=52) = 13.18, p &lt; .001, indicating that participants in the 2-information condition selected more inconsistent (6"/><s v="&quot;A one-way ANOVA with the experimental condition (low depletion vs. high depletion vs. ego threat) as the independent variable and confirmatory information processing as the dependent variable revealed a significant overall effect, F(2, 82) = 4.05, p = .0"/><s v="&quot;However, as shown in Figure 4, this main effect was qualified by the predicted interaction, F(1, 51) = 9.46, p = .01, η² = .16.&quot;"/><s v="However, [...] this main effect was qualified by the predicted interaction, F(1, 51) = 9.46, p &lt; .01, eta-squared = .16"/><s v="&quot;Again, there were no significant sex differences in these overall associations; the difference between the male and female rs were again descriptively very small (r = -.04, p = .480, and r = .02, p = .825, for speed-dating partners/matches and write-ins,"/><s v="Again, there were no significant sex differences in these overall associations; the difference between the male and female rs were again descriptively very small (r= -.04, p = .480, and r = .02, p = .825, for speed-dating partners/matches and write-ins, r"/><s v="&quot;When primed with approach goals, lows in the partner criticism condition believed their partner regarded them significantly more negatively than did controls, B = .59, sr2 = .07, t(83) = 3.05, p &lt; .01.)&quot;"/><s v="When primed with approach goals, lows in the partner criticism condition believed their partner regarded them significantly more negatively than did controls, β = .59, sr-square =.07, t(83) = 3.05, p &lt; .01"/><s v="Table 6, &quot;Furthermore, as a proportion of items attempted, participants in the control condition outperformed those in the handicap-related counterfactual condition (see Table 6).&quot;"/><s v="A proportion of items attempted, participants in the control condition outperformed those in the handicap-related counterfactual condition (see Table 6)"/><s v="&quot;The 2 (participant race: African American or White) × 2 (fairness cue: high or low) ANOVA on trust and comfort yielded a significant main effect of race, F(1, 73) = 4.63, p = .03, and a significant main effect of fairness, F(1, 73) = 14.29, p &lt; .001, whi"/><s v="&quot;In Study 2c, participants who were not cognitively busy provided estimates further from their self-generated anchor values (mean z score 5 0.14) than those who were cognitively encumbered (mean z score =0.13), t(92) = 3.18, p &lt; .01, prep = .98, d = 0.66"/><s v="&quot;There was a significant interaction between our manipulations (NFC, alcohol consumption, or busyness) and question type (self-generated or experimenter-provided anchor) [...] and a marginally significant interaction in Study 2c, F(1, 90) = 3.22, p = .08,"/><s v="&quot;participants who were not cognitively busy provided estimates further from their self-generated anchor values (mean z score 5 0.14) than those who were cognitively encumbered (mean z score 5 􏰀0.13), t(92) 5 3.18, p &lt; .01, prep 5 .98, d 5 0.66.&quot;"/><s v="[reading achievement: teacher reading methods course] Reading course ratio, b06;  -0.001 [Table 3]"/><s v="&quot;revealed that participants in the heavy-clipboard ondition (M = 5.27, SD = 1.28) found it more im-portant that the committee listen to the students’ opinions than did participants in the light-clipboard condition (M = 4.21, SD 5 2.10), F(1, 49) = 4.33, p"/><s v="&quot;The analysis found a main effect of the number of colors poured (F(1, 63) = 6.45, p &lt; .02), indicating that people poured more when pouring multiple colors versus a single color. People presumably perceived that they had poured less onto the plate so far"/><s v="The results indicate that people poured more when using mixed colors (M = 59.2 grams) than a single color (M = 53.0 grams). The planned contrast was statistically significant (F(1,99) = 4.00 p &lt; .05)."/><s v="An ANOVA revealed a significant effect of experimental condition on performance, F(1, 42) = 5.95, P &lt; 0.05, g2 p = 0.12; participants in the red condition performed worse (M = 11.13, SD = 2.65) than those in the gray condition (M = 13.24, SD = 3.08). No p"/><s v="&quot;An ANOVA revealed a significant effect of experimental condition on performance, F(1, 42) = 5.95, P &lt; 0.05, n2p = 0.12; participants in the red condition performed worse (M = 11.13, SD = 2.65) than those in the gray condition (M = 13.24, SD = 3.08). No p"/><s v="the rejection-moderation condition against the combined controls; a marginally significant difference occurred, x 2 = 2.88, p = .091. ... Each experiment indicated that proposing an extreme request which is rejected and then moving to a smaller request in"/><s v="&quot;The first contrasted the two control conditions; no significant difference resulted, x2 = 0.0, ns. &quot;,&quot; the data from this experiment argue against the interpretation that a requester's persistence in making requests accounts for the superiority of the re"/><s v="blood alcohol concentration (BAC) was positively correlated to endorsement of the utilitarian response in the footbridge dilemma (r = .29, p = .023).... Both studies found significant correlations between BAC and willingness to push a man to his death in "/><s v="&quot;BAC was positively correlated to endorsement of the utilitarian response in the footbridge dilemma (r = .29, p = .023), but not in the switch dilemma (r = .17, p = .17) &quot;,&quot; significant correlations between BAC and willingness to push a man to his death i"/><s v="&quot;Time to exhaustion was significantly lower in the mental fatigue condition (640 ± 316 s) compared with control (754 ± 339 s) (P = 0.003) with no significant order effect (P = 0.901). Individual time to exhaustion was shorter in the mental fatigue conditi"/><s v="Time to exhaustion was significantly lower in the mental fatigue condition (640 +/- 316 s) compared with control (754 +/- 339 s) (P = 0.003)"/><s v="This state of mental fatigue was associated with a significant decline in the proportion of correct responses to the AX trials during the AX-CPT (first 15-min period 94.8 +/- 3.4%, last 15-min period 88.9 +/- 4.5%, P &lt; 0.001).	4, 5	16	1.479	d	p. 5	0.001	l"/><s v="Average HR was significantly higher during the AX-CPT (65 +/- 8 min) compared with control treatment (62 +/- 8 min) (P = 0.046)"/><s v="Binge-watching was associated with increased goal conflicts (β = .65, p &lt; .001),"/><s v="Guilt was a negative predictor of recovery experience ... and vitality ... but unrelated to enjoyment (β = –.04, p = .43)."/><s v="the data showed the expected positive correlation between binge-watching and perceived autonomy...The latter correlated significantly with recovery experience... and enjoyment (β = .29, p &lt; .001) but not with vitality"/><s v="The positive total effect of binge-watching on enjoyment was significant (β = .38, p = .001)."/><s v="Regarding potential positive effects of binge-watching, the data showed the expected positive correlation between binge-watching and perceived autonomy (β = .15, p &lt; .01)."/><s v="Binge-watching was associated with increased goal conflicts...which in turn strongly correlated with feelings of guilt (β = .47, p &lt; .001)."/><s v="Guilt was a negative predictor of recovery experience (β = –.11, p &lt; .05)"/><s v="the data showed the expected positive correlation between binge-watching and perceived autonomy... The latter correlated significantly with recovery experience (β = .27, p &lt; .001)"/><s v="The total effects of binge-watching on recovery experience (β = .08, p = .11)"/><s v="Guilt was a negative predictor of recovery experience... and vitality (β = –.15, p &lt; .01)"/><s v="Regarding potential positive effects of binge-watching, the data showed the expected positive correlation between binge-watching and perceived autonomy ... The latter correlated significantly with recovery experience ...and enjoyment ... but not with vita"/><s v="The total effects of binge-watching on recovery experience ... and Vitality (β = .04, p = .55) were not significant."/><s v="&quot;As predicted, people judged a pattern to have more items when it had only one color or shape versus multiple colors or shapes (M = 53.5 vs. M = 56.8, F(1, 79) = 110.19, p &lt; .0001).&quot;"/><s v="[...] people judged a pattern to have more items when it had only one color or shape versus multiple colors or shapes (M = 56.8 vs 53.5; F(1,79) = 110.19, p &lt; .0001)"/><s v="There were main effects for each of the three factors: percentage filled (F(4, 76) = 495.31, p &lt; .0001)"/><s v="There were main effects for each of the three factors: [...]  basis of variety (F(1, 79) = 5.02, p &lt; .03)"/><s v="The analysis also found evidence of a percentage filled by number of types interaction (F(16, 64) = 4.85, p &lt; .0001)"/><s v="&quot;The difference in selecting the incorrect photo based on one’s vote choice or approval of Trump is statistically significant (p &lt; .01).&quot;"/><s v="While only 11 percent of less educated Trump supporters chose the wrong image as having more people, 26 percent of Trump supporters with college degrees selected the incorrect photo (difference of proportions p = .054)"/><s v="About 40 percent of Trump voters misidentified which picture went with which president’s inauguration, compared to about 20 percent of nonvoters and less than 10 percent of Clinton voters"/><s v="&quot;The analysis revealed a significant conditioning effect, F(1, 46) = 6.45, p = .015, unmoderated by either task order or type of measure, both Fs &lt; 1.&quot;"/><s v="Subsequent t tests indicated that the CS was evaluated more positively than the CS on both the implicit measure (IAT), t(48) = 2.59, p = .007, and the explicit (paper-and-pencil) measure, t(48) = 1.92, p = .03"/><s v="Participants passed much less when the primes were pleasant (M = 0.14) or unpleasant (M = 0.17) than when the prime was neutral (M = 0.54), F(2, 70) = 28.23, p &lt; .001"/><s v="there was a strong main effect of priming, F(2, 134) = 91.37, p &lt; .001...Providing participants an option to pass offered them an opportunity to adjust their behavior based on subjective experience. Results indicated that they did not take advan-tage of t"/><s v="Table 1. Cronbach’s Alphas and Tests of Between-Condition Differences in Studies 1a to 1c."/><s v="&quot;There were significant differences between the three conditions on autonomy, competence, and relatedness support &quot;,&quot; These differences in need support could reflect motivated inflation versus deflation of need support in promotion-focused versus preventi"/><s v="Entering bonus decisions as outcome in the t-test revealed the predicted group differences in punishment: Individuals assigned smaller bonuses for the outgroup comment than for the ingroup comment, resulting in significantly reduced pay (see Table 3)."/><s v="&quot;Participants across conditions were equally likely to solve the trivia questions (ingroup M = .984, SD = 1.123; outgroup M = .932, SD = 1.018), t(133) = .284, p = .777, and the number of trivia questions solved did not interact with the comment-source co"/><s v="The three conditions produced different mean RTs, F(2, 70) = 47.05, p &lt; .01, η2 = 0.57; although RT was virtually identical in response-congruent (492.4±2.1ms) and incongruent trials. (491.3±1.4ms), there was a speed advantage in perceptual congruent tria"/><s v="&quot;no statistically significant difference between the three conditions, F(2, 70) = 1.45, p = .24, η2 = 0.04 &quot;,&quot; This result is consistent with the hypothesis that auditory flankers facilitate the processing of visual targets when their letter names are ide"/><s v="Tis analysis revealed a signifcant main efect of age group (F(1,105)=126.03 p&lt;0.001, ηpartial2=0.55) ... "/><s v="&quot;a significant main efect of age group (F(1,105)=126.03, p&lt;0.001, ηpartial2=0.55), with the elderly answering less accurately (t(105)=11.23, p&lt;0.001), and a signifcant efect of question type (F(1,105)=37.84, p&lt;0.001, ηpartial2=0.27; Fig. 1a), with a highe"/><s v="Howewer, we observed no signifcant main efect of age group (F(1,105)=2.45, p=0.12, ηpartial2=0.02)"/><s v="&quot;no signifcant main efect of age group (F(1,105)=2.45, p=0.12, ηpartial2=0.02) and no signifcant age group x emotionality interaction (F(1,105)=0.008, p=0.93, ηpartial2&lt;0.001). Tus, emotionally negative videos triggered empathic responding in both age gro"/><s v="an independent t-test showed signifcant age diferences (t(82.74)=5.20, p&lt;0.001, Cohen’s d=0.99); older adults indicated higher ratings of compassion than younger adults (Fig. 3b)."/><s v="&quot;an independent t-test showed signifcant age diferences (t(82.74)=5.20, p&lt;0.001, Cohen’s d=0.99); older adults indicated higher ratings of compassion than younger adults&quot;"/><s v="&quot;The AoA effect interacted strongly with task, F1(l, 42) = 168.4, F2(l, 76) = 48.1&quot;"/><s v="Post-hoc t-tests conducted on the by-items and by-subjects data confirmed that picture naming times were significantly faster for early than late acquired words, t1(21) = 13.5; t2(78) = 6.33"/><s v="Post hoc t-tests conducted on the by-items and by-subjects data confirmed [...] the small difference in mean reading times favouring late acquired items was not statistically reliable, t1(21) = 2.49, p = .02; t2(78) = 0.71, n.s."/><s v="&quot;A repeated measures analysis of variance with window (correct vs. incorrect) as a within-subjects factor and condition (FB1 vs. FB2) as a between-subjects factor confirmed that the infants looked significantly longer toward the correct window than toward"/><s v="A repeated measures analysis of variance with window (correct vs. incorrect) as a within-subjects factor and condition (FB1 vs. FB2) as a between subjects factor confirmed that the infants looked significantly longer toward the correct window than toward "/><s v="The interaction between window and condition was not significant"/><s v="&quot;However, there was a significant effect of theory of intelligence on change in grades (β = .53, t = 2.93, p &lt; 0.05). The significant effect of theory of intelligence at Level 2 represents an interaction between theory of intelligence and time.&quot;"/><s v="An incremental theory of intelligence at the beginning of junior high school predicted higher mathematics grades earned at the end of the second year of junior high school (b = .17, t = 3.40, p &lt; .05)"/><s v="An ANOVA revealed a significant effect of experimental condition on performance, F(1, 42) = 5.95, P &lt; 0.05, n2 p = 0.12; participants in the red condition performed worse (M = 11.13, SD = 2.65) than those in the gray condition (M = 13.24, SD = 3.08). No p"/><s v="consistent with the prosocial-security hypothesis, prosocials (M = 6.24, SD = 1.38) exhibited greater levels of secure attachment than did individualists (M = 5.92, SD = 1.35)."/><s v="consistent with the prosocial-security hypothesis, prosocials (M = 6.24, SD = 1.38) exhibited greater levels of secure attachment than did competitors (M = 5.51, SD = 1.59)."/><s v="consistent with the sibling-prosocial hypothesis, Panel A of Figure 3 reveals that the number of siblings is greater for prosocials (M = 2.03, SD = 1.56) than for individualists (M = 1.63, SD = 1.00)."/><s v="consistent with the sibling-prosocial hypothesis, Panel A of Figure 3 reveals that the number of siblings is greater for prosocials (M = 2.03, SD = 1.56) than for competitors (M = 1.71, SD = 1.35)."/><s v="Panel C of Figure 3 reveals that the number of sisters was greater for prosocials (M = 1.05, SD = 1.14) than for individualists (M = 0.74, SD = 0.75)."/><s v="Panel C of Figure 3 reveals that the number of sisters was greater for prosocials (M = 1.05, SD = 1.14) than for competitors (M = 0.76, SD = 0.88)."/><s v="Panel B of Figure 3 reveals that the number of older siblings was greater for prosocials (M = 0.96, SD = 1.25) than for individualists (M = 0.67, SD = 0.79)."/><s v="&quot;Panel B of Figure 3 reveals that the number of older siblings was greater for prosocials (M = 0.96, SD = 1.25) than for individualists (M = 0.67, SD = 0.79) &quot;,&quot; Although several specific explanations may account for these findings, they are congruent wit"/><s v="as can be seen in Figure 4, the percentages of prosocials systematically elevated with increasing age (varying from 55.9% to 67.3%, 77.5%, and 81.5%), whereas the percentages of individualists (varying from 30.7% to 24.9%, 16.3%. and 15.1%) and competitor"/><s v="prosocials (M = 5.25, SD = 1.90) exhibited greater levels of secure attachment than did individualists (M = 4.91, SD = 1.76) "/><s v="analysis revealed a multivariate main effect for social value orientation, F(6, 886) = 3.05, p &lt; .01"/><s v="prosocials (M = 5.25, SD = 1.90) exhibited greater levels of secure attachment than did (...) competitors (M = 3.68, SD - 2.14). "/><s v="ongruent with the prosocial-security hypothesis, contrasts relevant to the marginal relationship between social value orientation and avoidant attachment revealed that prosocials (M = 3.56, SD = 1.61) exhibited lower levels of avoidant attachment than did"/><s v="contrast between individualists and competitors was not significan"/><s v="This analysis revealed a significant main effect for social value orientation, F(2, 535) = 4.82, p &lt; .01"/><s v="number of siblings is greater for prosocials (A/ = 2.03, SD = 1.56) than for individualists (M = 1.63, SD = 1.00) and  competitors (M = 1.71, SD — 1.35). "/><s v="the number of siblings is greater for prosocials (A/ = 2.03, SD = 1.56) than for individualists (M = 1.63, SD = 1.00) and competitors (M = 1.71, SD — 1.35). ubsequent planned comparisons revealed a significant contrast between prosocials versus individual"/><s v="Differences between individualists and competitors were not significant."/><s v="number of sisters was greater for prosocials (M = 1.05, SD = 1.14) than for individualists (M = 0.74, SD = 0.75) or competitors (M = 0.76, SD = 0.88). "/><s v="a multivariate main effect for social value orientation, F(8, 1066) = 1.99, p &lt; .05"/><s v="a significant main effect for social value orientation for number of older siblings, F(2, 535) = 3.64, p &lt; .05"/><s v="number of older siblings was greater for prosocials (M ~ 0.96, SD = 1.25) than for individualists (M = 0.67, SD = 0.79). "/><s v="a significant main effect for social value orientation for number of older siblings, F(2, 535) = 3.64, p &lt; .05, and number of sisters, F(2, 535) = 6.16, p &lt; .005"/><s v="the number of older siblings was greater for prosocials (M ~ 0.96, SD = 1.25) than for individualists (M = 0.67, SD = 0.79). Subsequent comparisons revealed a significant contrast between prosocials versus individualists and competitors, F{1, 535) = 4.94,"/><s v="Differences between individualists and competitors (M = 0.90, SD = 1.02) were not significant"/><s v="At the univariate level, the main effect for social value orientation was significant for level of secure attach- ment, F(2, 444) = 7.07, p &lt; .001"/><s v="the number of sisters was greater for prosocials (M = 1.05, SD = 1.14) than for individualists (M = 0.74, SD = 0.75) or competitors (M = 0.76, SD = 0.88). Subsequent comparisons revealed a significant contrast between prosocials versus individualists and "/><s v="Differences between individualists and competitors were not significant"/><s v="This analysis revealed significant main effects for social value orientation, partial X2 (2, N = 1593) = 1061.72"/><s v="This analysis revealed significant main effects for social value orientation, partial X2 (2, N = 1593) = 1061.72; age, partial X2 (3, N = 1593) = 166.88; education, partial X2 (2, N = 1593) = 314.90; and gender, partial X2 (1, N = 1593) = 12.85, (all p s&lt;"/><s v="the analysis revealed a Social Value Orientation x Age interaction, partial X2 ( 6 , N = 1593) = 62.25, p &lt; .001"/><s v="Social Value Orientation x Age  interaction, partial x 2 (6,# = 1593) = 62.25,/? &lt; .001. "/><s v="marginal for level of avoidant attachment, F(2, 444) = 2.47, p &lt; .10"/><s v="Marginal for both level of avoidant attachment, F(2, 444) = 2.47, p &lt; .10 and evel of anxious-ambivalent attachment, F(2, 444) = 2.76, p &lt; .10."/><s v="The two-factor MANOVA did not reveal any effects involving gender, indicating that the association of social value orientation and secure attachment is independent of participant's gender."/><s v="planned comparisons revealed a significant contrast between prosocials versus individualists and competitors, F(1, 444) = 11.09, p &lt; .001"/><s v="comparisons revealed a significant contrast between prosocials versus individ- ualists and competitors, F(1, 444) = 11.09, p &lt; .001, and a maginal difference between individualists and competitors, F ( l , 444) = 3.04, p &lt; .10"/><s v="congruent with the prosocial-security hypothesis, contrasts relevant to the marginal relationship between social value orientation and avoidant attachment revealed that proso- cials (M = 3.56, SD = 1.61) exhibited lower levels of avoidant attachment than "/><s v="contrast between individualists and competitors was not significant"/><s v="&quot;Similarly, subjects were significantly more likely to say that the chairman did jaan that the environment would be helped than that he helped the environment jaan-bujhkar, x2 (1, N = 31) = 16.3, p &lt; .001.&quot; "/><s v="&quot;For Part I, 6 responded as determinists, and 2 responded as indeterminists.&quot;, &quot;The appeal to indeterminist choice was extremely rare when subjects were asked to predict the decision of psychological duplicates. This provides some rudimentary support for "/><s v="Thus, when we consider subjects who either initially abide by the conditions of the thought experiment or who are corrected, we find that 7 out of 8 gave a determinist response when asked to predict the decision of a psychological duplicate. As in experim"/><s v="the participants in C1 were more likely to say that the thief knowingly brought about the officer’s death (75 percent) than the participants in C2 were to say that the driver knowingly brought about the death of the car thief"/><s v="50% of subjects gave the compatibilist response, which is still significantly different from the very low number of compatibilist responses in the abstract condition.8"/><s v="free will: &quot;A 2 (mechanism: Psych, Neuro) X 2 (universe: Real, Erta) Analysis of Variance (ANOVA) was run on the mean responses to our five primary variables of interest (“up to,” FW, MR, blame, and praise; questions 1–5).12 For judgments of each of the f"/><s v="For judgments of each of the five variables, we found similar results that indicated highly significant differences (p &lt; .001) depending on whether agents’ decision-making in the scenario was described in psychological terms or neuroscientific (mechanisti"/><s v="moral responsibility: &quot;A 2 (mechanism: Psych, Neuro) X 2 (universe: Real, Erta) Analysis of Variance (ANOVA) was run on the mean responses to our five primary variables of interest (“up to,” FW, MR, blame, and praise; questions 1–5).12 For judgments of ea"/><s v="blame: &quot;A 2 (mechanism: Psych, Neuro) X 2 (universe: Real, Erta) Analysis of Variance (ANOVA) was run on the mean responses to our five primary variables of interest (“up to,” FW, MR, blame, and praise; questions 1–5).12 For judgments of each of the five "/><s v="praise: &quot;A 2 (mechanism: Psych, Neuro) X 2 (universe: Real, Erta) Analysis of Variance (ANOVA) was run on the mean responses to our five primary variables of interest (“up to,” FW, MR, blame, and praise; questions 1–5).12 For judgments of each of the five"/><s v="agents decisions were up to them: &quot;A 2 (mechanism: Psych, Neuro) X 2 (universe: Real, Erta) Analysis of Variance (ANOVA) was run on the mean responses to our five primary variables of interest (“up to,” FW, MR, blame, and praise; questions 1–5).12 For jud"/><s v="&quot;Subjects were also significantly more likely to agree with the target sentence in the explanation condition (“Susan reached the rafters because the rope did not break”) than with the target sentence in the causation condition (“The rope not breaking caus"/><s v="Subjects were also significantly more likely to agree with the target sentence in the explanation condition (“Susan reached the rafters because the rope did not break”) than with the target sentence in the causation condition (“The rope not breaking cause"/><s v="&quot;Critically, we observed the predicted interaction between load and judgment (F(1, 62.9) = 8.5, p = .005).&quot;, &quot;Cognitive load selectively increased RT for utilitarian judgment, yielding the predicted interaction between load and judgment type. In the full "/><s v="we predicted that increasing cognitive load by imposing another control-demanding task would interfere with utilitarian moral judgments, yielding increased RT and/or decreased frequency for utilitarian moral judgment. we observed the predicted interaction"/><s v="&quot;As predicted, in the analysis of the data, we found results similar to Knobe and Roedder’s. That is, we found a K&amp;R-pattern in attributions of desires. The mean rating in the first condition was 0.320 (N = 25), and in the second it was 1.05 (N = 19). A t"/><s v="we found a K&amp;R-pattern in attributions of desires... This suggests that in general, people are more willing to say that what racist George really wants is racial equality than they are willing to say that what liberal George really wants is racial equalit"/><s v="Sixty-five percent of the participants in the actor condition judged that it was morally permissible for them to hit the switch, 90% of the participants in the observer condition judged that it was morally permissible for John to hit the switch"/><s v="Notice in particular the results for vignettes in the no-skill conditions. Only 28% of subjects in the achievement condition said the behavior was intentional, but a full 76% of subjects in the immoral condition&#xA;thought the behavior was intentional."/><s v="&quot;Here the attending doctor is clearly violating a norm, but there is no sense at all in which he can be considered blameworthy for the patient's recovery. (Mter all, the patient's recovery is something good, and there can therefore be no question about wh"/><s v="Yet despite the lack of blame, people were more inclined to say that the doctor's decision caused the recovery than they were to say that the pharmacist's decision caused the recovery. This result indicates that people's causal intuitions can be affected "/><s v="&quot;Here again, wt' have a case of norm violation without blameworthiness. Specifically, it seems that the red wire is violating a certain kind of norm, but it also seems clear that no one could literally blame the red wire for the short circuit. Nonethelt's"/><s v="&quot;Prima facie, our hypothesis was not satisfied since a comparison of the means of agreement with the claim that the Administrative Assistant caused the problem, did not yield a statistically significant difference. This result was surprising, but perhaps "/><s v="&quot;We did not, however, find the widespread correlation between extraversion and compatibilism that Feltz and Cokely found.&quot;, &quot;This suggests to us that while extraversion may help predict how compatibilist-friendly an individual’s intuitions about desert-ba"/><s v="&quot;the personality trait extraversion predicts people’s intuitions about the relationship of determinism to free will and moral responsibility&quot;, &quot;We did not, however, find the widespread correlation between extraversion and compatibilism that Feltz and Coke"/><s v="&quot;The results were quite surprising (figure 1). For the Negative scenario, only 13% of the participants said to prefer reality; 87% of them would prefer to remain connected. In the Positive scenario, the distribution evened out: 50% of the participants sai"/><s v="&quot;Like the original side-effect effect results, our findings reveal an asymmetry in mean levels of participant responses between survey conditions. On the Gradient scoring method, participants’ mean level of agreement in the harm condition (M = 2.25, SD = "/><s v="&quot;Consistent with our hypothesis, philosophers [...] were unwilling to ascribe [...]  the perceptual experience of seeing red [...]  to the robot (the mean answers are significantly lower than 4). By contrast, philosophers were willing to ascribe [...]  st"/><s v="The difference between the average folk ascription of seeing red and of feeling pain is statistically significant..."/><s v="Significant interactions between the drug decision (that is, to violate the norm and administer the drug or to adhere to the norm and reftise the drug) and ... on ratings of his causal involvement, E{1, 213) = 13.05, p &lt; .001, supported culpable-control p"/><s v="Significant interactions between the drug decision (that is, to violate the norm and administer the drug or to adhere to the norm and reftise the drug) and ... on ratings of his causal involvement, F{1, 213) = 13.05, p &lt; .001, supported culpable-control p"/><s v="&quot;Significant interactions between the drug decision (that is, to violate the norm and administer the drug or to adhere to the norm and reftise the drug) and the outcome of the decision (that is, recovery, death, or no outcome) on evaluations (that is, bla"/><s v="&quot;When the physician followed hospital policy, evaluations of his decision were relatively favorable regardless of the outcome, although they were significantly reduced by the fact of the patient's death, F(1, 313) = 23.92, p &lt; .0001.&quot;, &quot;In general, theref"/><s v="&quot;These findings show that when the physician violated hospital policy, he was viewed more negatively when the patient died than when he lived, F(1, 313) = 48.59, p &lt; .0001&quot;, &quot;In general, therefore, the findings of this study are consistent with the culpab"/><s v="&quot;These findings show that when the physician violated hospital policy, he was viewed more […] causal in the former case [patient died] than in the latter [patient lived], F(1, 213) = 9.59, p &lt; .01.&quot;, &quot;In general, therefore, the findings of this study are "/><s v="&quot;First, the physician who violated the hospital's policy but had the fortuitous outcome of the patient recovering (as in Hitchcock and Knobe's scenario) was viewed far more negatively (that is, as relatively more blameworthy) than the physician who respec"/><s v="&quot;Comparisons between the no-outcome conditions were also revealing. As we assumed, the physician who violated hospital policy was viewed very negatively, whereas the physician who followed hospital policy was viewed very positively, F(1, 313) = 188.24, p "/><s v="&quot;On average, when pain is less intense, people use the ‘feeling pain’ expression slightly more often compared to the ‘having pain’ expression, but when the pain is intense, people choose to express themselves with the ‘having pain’ expression around three"/><s v="There was no main effect of transgression and no interaction effect. However, there was a significant main effect of condition,"/><s v="&quot;Results confirmed our first prediction: Subjects in the CRT-First condition judged the utilitarian actions to be more acceptable (CRT-First: M = 3.77; Dilemmas-First: M = 3.25; t(90) = 2.03, p = .05, d = 0.43).&quot;, &quot;overall results of Experiment 1 indicate"/><s v="Results confirmed our first prediction: Subjects in the CRT-First condition judged the utilitarian actions to be more&#xA;acceptable "/><s v="&quot;Again collapsing across all three dilemmas, we examined data from subjects in the CRT-First condition and observed a robust positive correlation between CRT scores and moral acceptability ratings, consistent with our second prediction (r = .39, p = .001&quot;"/><s v="&quot;An independent samples t-test yielded a significant difference between Chinese and Western participants on the Godel cases (t(70 = -2.55, P &lt; 0.05) (all tests two-tailed). The Westerners were more likely than the Chinese to give causal-historical respons"/><s v="Participants in the thief contrast condition tended to agree with the knowledge ascription they received (mean rating: 4.6), while participants in the jewel contrast condition tended to disagree with the knowledge ascription they received (mean rating: 3."/><s v="&quot;an analysis of the data revealed a significant effect of the Action-Valence variable such that subjects are more inclined to agree with the attribution of weakness of will when the valence of the action the agent ends up succumbing to perform is bad as o"/><s v="Moreover, an analysis of the data revealed a significant effect of the Action-Valence variable such that subjects are more inclined to agree with the attribution of weakness of will when the valence of the action the agent ends up succumbing to perform is"/><s v="&quot;There was a greater likelihood of ascribing knowledge in cases of: […] Standard True Belief versus Gettier Cases (X2 = 107.81, df = 1, N = 202, p &lt; .001, B = 1.62, Exp(B) = 5.07)&quot;, &quot;Although we have demonstrated that the rates of knowledge ascription for"/><s v="There was a greater likelihood of ascribing knowledge in cases of: ... (2) Standard True Belief versus Gettier Cases"/><s v="A significant effect of story type was observed (X2 = 247.97, df = 3, N = 207, p &lt; .001)"/><s v="&quot;A significant effect of story type was observed (X2 = 247.97, df = 3, N = 207, p &lt; .001)&quot;"/><s v="There was a greater likelihood of ascribing knowledge in cases of: (1) Standard True Belief versus Skeptical Pressure (X2 = 81.52, df = 1, N = 204, p &lt; .001, B = 1.35, Exp(B) = 3.87)"/><s v="&quot;There was a greater likelihood of ascribing knowledge in cases of: (1) Standard True Belief versus Skeptical Pressure (X2 = 81.52, df = 1, N = 204, p &lt; .001, B = 1.35, Exp(B) = 3.87)&quot;"/><s v="There was a greater likelihood of ascribing knowledge in cases of: Standard True Belief vs False Belief"/><s v="&quot;There was a greater likelihood of ascribing knowledge in cases of: Standard True Belief vs False Belief (X2 = 231.60, df = 1, N = 204, p &lt; .001, B = 2.71, Exp(B) = 14.99)&quot;"/><s v="There was a greater likelihood of ascribing knowledge in cases of: Skeptical Pressure vs False Belief"/><s v="&quot;There was a greater likelihood of ascribing knowledge in cases of: Skeptical Pressure vs False Belief (X2 = 59.48, df = 1, N = 197, p &lt; .001, B = 1.45, Exp(B) = 4.27)&quot;"/><s v="There was a greater likelihood of ascribing knowledge in cases of: Gettier vs False belief (X2 = 49.08, df = 1, N = 196, p &lt; .001, B = 1.13, Exp(B) = 3.09).&quot;"/><s v="&quot;There was a greater likelihood of ascribing knowledge in cases of: Gettier vs False belief (X2 = 49.08, df = 1, N = 196, p &lt; .001, B = 1.13, Exp(B) = 3.09).&quot;"/><s v="&quot;Nevertheless, treating Experiment 1 as having a 4 × 2 design and analyzing the results with a two-way ANOVA reveals a main effect for the ‘full/violate’ variable with a small to medium effect size.&quot; "/><s v="Nevertheless, treating Experiment 1 as having a 4 × 2 design and analyzing the results with a two-way ANOVA reveals a main effect for the ‘fulll/violate’ variable with a small to medium effect size"/><s v="&quot;However, only in WATER and NAZI was the difference between the means in the ‘fulll’ and ‘violate’ conditions statistically signicant; the effect sizes were small and medium, respectively.&quot;, &quot;Water: t(88) = −2.462, p &lt; 0.05, r = 0.25;&quot;"/><s v="&quot;However, only in WATER and NAZI was the difference between the means in the ‘full’ and ‘violate’ conditions statistically signicant; the effect sizes were small and medium, respectively.&quot;, &quot;Movies: t(92) = −1.804, p &gt; 0.05, r = 0.18;&quot;"/><s v="&quot;However, only in WATER and NAZI was the difference between the means in the ‘full’ and ‘violate’ conditions statistically signicant; the effect sizes were small and medium, respectively.&quot;, &quot;Sales: t(92) = −1.807, p &gt; 0.05, r = 0.19;&quot;"/><s v="&quot;However, only in WATER and NAZI was the difference between the means in the ‘full’ and ‘violate’ conditions statistically signicant; the effect sizes were small and medium, respectively.&quot;, &quot;Nazi: t(90) = −5.15, p &lt; 0.0001, r = 0.48.&quot;"/><s v="&quot;The model returned from GES [Greedy Equivalence Search] was the MR/FW [moral responsibility and free will] Incompatibilist Model. The model indicates that Determinism directly causes MR/FW and that MR/FW causes Bypassing. The model also tells us that onc"/><s v="The model returned from GES was the MR/FW Incompatibilist Model."/><s v="&quot;Mediation Analysis. Standardized regression coefficients for the relationships between Description of Determinism (N&amp;K vs.NMNT),  MR⁄FW  judgments,  and  Bypassing  judgments.  (Sobeltest = 2.286,p&lt; .022). *p= .022, **p&lt; .001.&quot;; &quot;Once we take into accoun"/><s v="Mediation analyses involve the speci- fication of a causal model between three variables and the strengths of the paths between them using multiple regression (see Figure 2). They are designed to determine whether the effect of one variable (in our case, "/><s v="&quot;The first regression equation useddescription of determinism (N&amp;K abstract, NMNT abstract) to predict MR⁄FW score and yielded a significant effect: t(132) = 2.973, p= .004, showing that N&amp;K abstract prompted participants to respond that agents donothave "/><s v="&quot;The second regression equation estimated changes in Bypassing score using description of determinism and also yielded a significant effect: t(132) = - 2.319, p = .022, showing that participants interpreted N&amp;K abstract to involve bypassing more than they"/><s v="&quot;As predicted by Hypothesis 1 and shown in the first row, Kripkeans rated having the same feelings toward a replaced Loved One as significantly both less likely and less appropriate than Descriptivists. t(160) = 2.58, p = 0.01, eta_squared = 0.04&quot;, &quot;What "/><s v="As predicted by Hypothesis 1 and shown in the first row, Kripkeans rated having the same feelings toward a replaced Loved One as significantly both less likely and less appropriate than Descriptivists."/><s v="&quot;The experimental manipulation produced a statistically significant large effect with respect to the Morality question (t (29) = 3.42, p = 0.002, effect size r = 0.54; Figure 3b). On the hypothesis we advanced, the reason that the same proposition can evo"/><s v="The experimental manipulation produced a statistically significant large effect with respect to the Morality question (t (29) = 3.42, p = 0.002, effect size r = 0.54; Figure 3b)."/><s v="&quot;The results for Psychopath were: Understands (N = 83): Yes 76% No 24%, Believes (N = 79): Yes 46% No 54%&quot;, &quot;Consider first the Understands question. The result we obtained is similar to Nichols’, but different from the result we obtained replicating his "/><s v="The results for Psychopath were: Understands (N = 83): Yes 76% No 24%, Believes (N = 79): Yes 46% No 54%&quot;, &quot;Consider first the Understands question. The result we obtained is similar to Nichols’, but different from the result we obtained replicating his s"/><s v="&quot;The results for Psychopath were: Understands (N = 83): Yes 76% No 24%, […] Herself Thinks (N = 86): Yes 49% No 51%&quot;, &quot;Consider first the Understands question. The result we obtained is similar to Nichols’, but different from the result we obtained replic"/><s v="&quot;Typo low hope (M = 2.50, SD = 1.04), Typo high short hope (M = 5.37, SD = 2.61). Combined from above, a 2 (stakes) x 3 (verb type) between-subjects analysis of variance reveals a main effect for the factor of stakes, F (1, 260) = 99.46, p &lt; 0.001.&quot;, &quot;As "/><s v="Typo low hope (M = 2.50, SD = 1.04), Typo high short hope (M = 5.37, SD = 2.61). Combined from above, a 2 (stakes) x 3 (verb type) between-subjects analysis of variance reveals a main effect for the factor of stakes, F (1, 260) = 99.46, p &lt; 0.001. ... [.."/><s v="However a main effect was not found for verb type F (2,260) = 1.45, p = 0.24, and no interaction effect was detected between these two factors, F (2,260) = 0.191, p = 0.83."/><s v="&quot;However a main effect was not found for verb type F (2,260) = 1.45, p = 0.24,&quot; , &quot;As we predicted, we found that Pinillos’s stakes effect persisted even with Typo probe hope. Stakes were shown to be statistically significant, but no significant effect of"/><s v="&quot;no interaction effect was detected between these two factors [stakes and verb type], F(2,260) = 0.191, p = 0.83. We also reconfirmed these findings using the Wilcoxon-Mann-Whitney test, which revealed significant stakes effects for all predicates, but no"/><s v="&quot;The average rating for subjects in the harm condition was +.6; the average for subjects in the help condition was -1. This difference is statistically significant, t (77) = 2.65, p = 0.01.&quot;, &quot;Adams and Steadman are right to point out that, if a person sa"/><s v="The average rating for subjects in the harm condition was +.6; the average for subjects in the help condition was -1."/><s v="&quot;For the fixed agent (Sue), we found a clear causal superseding effect. Agreement ratings for the fixed agent were lower when the varied agent violated a norm (M = 3.37, SD = 2.059) than when he did not (M = 4.40, SD = 1.522), t(58) = 2.210, p = .031, d ="/><s v="Agreement ratings for the fixed agent were lower when the varied agent violated a norm than when he did not"/><s v="&quot;Replicating many previous studies, agreement ratings for the varied agent (Bill) were higher when he violated a norm (M = 5.97, SD = 1.564) than when he did not (M = 4.80, SD = 1.495), t(58) = 2.953, p = .005, d = .764.&quot;, &quot;To sum up, we demonstrated the "/><s v="&quot;On permissibility, there was no significant difference (F(1,8) = 1, p  = 0.347, n.s.). This is not surprising, since a less permissible item (leaving class without permission) was explicitly sought and added.&quot;, &quot;Participants who give nonobjectivist respo"/><s v="However, there were clear main effects for ... authority contingence."/><s v="&quot;However, there were clear main effects for seriousness (F(1,9) = 30.519, p &lt; 0.001)&quot;, &quot;Participants who give nonobjectivist responses to moral cases still draw the moral/ conventional distinction.&quot;"/><s v="&quot;However, there were clear main effects for […] justification (F(1,8)  21.333, p &lt; 0.01)&quot;, &quot;Participants who give nonobjectivist responses to moral cases still draw the moral/ conventional distinction.&quot;&#xA;"/><s v="&quot;However, there were clear main effects for […] and authority contingence (F(1,8) = 18, p &lt; 0.01).&quot;, &quot;Participants who give nonobjectivist responses to moral cases still draw the moral/ conventional distinction.&quot;"/><s v="&quot;Whereas not a single one of the subjects in Case 1 judged that John intentionally upset Susan (with an average blame rating of 1.41), 64% of the subjects in Case 2 judged that he intentionally upset her (with an average blame rating of 3.76).&quot;, First, de"/><s v="&quot;The results indicate that a significant majority of participants (76%) judged that Jeremy robs the bank of his own free will.18&quot;, &quot;We offer two related interpretations of these interesting results. First, the results may suggest that some folk have Frank"/><s v="The results indicate that a significant majority of participants (76%) judged that Jeremy robs the bank of his own free will"/><s v="&quot;a surprising majority of them (viz., 73%) were willing to say that Fred intentionally prevented the explosion. Thus, the participants’ responses Q3 do not line up with Mele and Moser’s claim that it is implausible to think that Fred intentionally prevent"/><s v="&quot;Male dictators on average allocate £2.117 in the GG and £0.997 in the TG toward the recipients, and a Mann-Whitney test shows significant difference at 1% level.&quot;, &quot;Both nonparametric tests and regressions reaffirm the observations from existing studies "/><s v="&quot;However, the average allocation by female dictators is £2.014 in the GG and £3.263 in the TG, and the difference is significant at 5% level. The results also confirm within treatment gender differences.&quot;, &quot;Both nonparametric tests and regressions reaffir"/><s v="&quot;In the GG, the amounts given by males and females are not different (p-value = 0.594).&quot;, &quot;Both nonparametric tests and regressions reaffirm the observations from existing studies (Dreber et al. 2013; Grossman and Eckel 2015) that overall there is no fram"/><s v="&quot;The TG, however, shows gender differences. The average amount left by the male dictators is significantly lower than the amount left by the female dictators at 1% level.&quot;, &quot;Both nonparametric tests and regressions reaffirm the observations from existing "/><s v="&quot;In column 2, I allow for average wage trends across all workers. The large, positive effects in columns 1 and 2 resemble the early generations of work on knowledge spillovers from multinational enterprises (for example, Blomstrom &amp; Kokko, 1998, and the r"/><s v="&quot;I include establishment fixed effects (FE) in column 3, which control for any fixed factor that may affect an establishment’s decision to hire former multinational workers, such as management style or time-invariant productivity levels. As was found in t"/><s v="&quot;In column 4, I include individual FEs to control for time-invariant, unobservable worker characteristics, such as innate ability or motivation. With individual FEs, the coefficients of interest are more precisely estimated, and it becomes clear that dome"/><s v="[reading achievement: school with greater average SES] Ave. socioeconomic status, g008,  0.075*** [Table 3]"/><s v="[reading achievement: students previous achievement] Kindergarten achievement, p5, 0.686*** [Table 3]"/><s v="[reading achievement: time] Elapsed time between testing, p6,  0.061*** [Table 3]"/><s v="[reading achievement: student SES] Socioeconomic status, p4,  0.062*** [Table 3]"/><s v="[reading achievement: gender] Female student, p2, 0.046* [Table 3]"/><s v="[mathematics achievement: time between testing administration] Elapsed time between testing, p6, 0.050*** [Table 3]"/><s v="[mathematics achievement: student SES] "/><s v="mathematics achievement: gender] Female student p2, 0.025 [Table 3]"/><s v="&quot;The second tested the rejection-moderation condition against the combined controls; a marginally significant difference occurred, x2 = 2.88, p = .091 &quot;,&quot; the data from this experiment argue against the interpretation that a requester's persistence in mak"/><s v="&quot;the three conditions produced different mean RTs, F(2, 70) = 47.05, p &lt; .01, η2 = 0.57; although RT was virtually identical in response-congruent (492.4 ± 2.1 ms) and incongruent trials (491.3±1.4 ms), there was a speed advantage in perceptual-congruent "/><s v="As predicted, physical cleansing significantly reduced volunteerism: 74% of those in the not-cleansed condition offered help, whereas only 41% of participants who had a chance to cleanse their hands offered help (c2 0 5.02, P 0 0.025)."/><s v="&quot;ESI-Religiousness associates most clearly with NEO-PIR Agreeableness and Conscientiousness&quot;"/></sharedItems></cacheField><cacheField name="claim_page_o"><sharedItems containsDate="1" containsBlank="1" containsMixedTypes="1"><s v="Page number(s) for claim_text_o"/><s v="p. 7"/><m/><n v="16.0"/><s v="p. 16"/><n v="137.0"/><n v="7.0"/><s v="7(373)"/><s v="p. 17"/><n v="21.0"/><n v="33.0"/><n v="1.0"/><n v="11.0"/><n v="13.0"/><n v="263.0"/><s v="p. 1, 3"/><n v="3.0"/><s v="p. 1, 4"/><s v="1, 6, 7, 8, 9"/><n v="25.0"/><s v="1 and 12"/><s v="1 and 13"/><s v="25-26"/><s v="1 and 15"/><n v="26.0"/><s v="p. 70"/><s v="70,73"/><n v="429.0"/><s v="p. 428"/><s v="p. 1"/><n v="2.0"/><n v="5.0"/><n v="28.0"/><n v="8.0"/><n v="690.0"/><n v="148.0"/><n v="4.0"/><n v="59.0"/><n v="60.0"/><n v="30.0"/><n v="96.0"/><n v="107.0"/><s v="p. 4"/><s v="pp. 4-5"/><s v="p. 5"/><s v="pp. 5-6"/><s v="p. 6"/><n v="118.0"/><n v="12.0"/><s v="12-13"/><n v="119.0"/><n v="9.0"/><s v="p. 15"/><n v="52.0"/><n v="57.0"/><d v="2024-12-11T00:00:00Z"/><n v="10.0"/><n v="1026.0"/><d v="2024-05-04T00:00:00Z"/><d v="2024-06-05T00:00:00Z"/><s v="p. 314"/><n v="6.0"/><n v="77.0"/><n v="100.0"/><n v="99.0"/><s v="60–85"/><n v="27.0"/><s v="Abstract"/><n v="17.0"/><s v="2-17-20"/><s v="2-17"/><s v="p. 8"/><n v="18.0"/><n v="37.0"/><s v="p1"/><n v="623.0"/><n v="827.0"/><n v="21693.0"/><n v="403.0"/><n v="556.0"/><n v="557.0"/><s v="p.2"/><s v="p.267-269"/><s v="11-13"/><s v="p.1661"/><s v="p. 11, p. 12, p. 13"/><n v="23.0"/><n v="24.0"/><s v="15,16"/><n v="238.0"/><n v="19.0"/><n v="20.0"/><n v="15.0"/><n v="1223.0"/><n v="165.0"/><n v="415.0"/><n v="416.0"/><n v="417.0"/><s v="p. 2 &amp; 3"/><s v="p. 3"/><s v="p.3 "/><n v="261.0"/><n v="534.0"/><s v="NA"/><s v="12, 13"/><s v="632-633"/><d v="1900-11-20T00:00:00Z"/><d v="2025-09-08T00:00:00Z"/><n v="208.0"/><s v="p. 208"/><n v="785.0"/><s v="p. 1655"/><n v="4088.0"/><d v="2025-06-05T00:00:00Z"/><n v="2617.0"/><s v="p. 2617"/><n v="1680.0"/><n v="29.0"/><s v="p. 29"/><n v="1259.0"/><n v="302.0"/><n v="466.0"/><n v="386.0"/><n v="394.0"/><n v="798.0"/><n v="172.0"/><s v="p. 172"/><n v="285.0"/><n v="1391.0"/><n v="1742.0"/><n v="8039.0"/><n v="1511.0"/><n v="540.0"/><n v="14.0"/><n v="338.0"/><s v="3, 4"/><s v="p.3"/><s v="15, 18, 19"/><s v="p. 18"/><n v="1273.0"/><n v="105.0"/><n v="1155.0"/><n v="279.0"/><n v="442.0"/><n v="1272.0"/><n v="227.0"/><n v="116.0"/><n v="216.0"/><d v="2025-04-03T00:00:00Z"/><n v="517.0"/><s v="p. 449"/><n v="1168.0"/><n v="309.0"/><s v="1,2"/><s v="7,8"/><n v="989.0"/><s v="N/A"/><s v="4,5"/><s v="1,3"/><n v="21101.0"/><n v="510.0"/><s v="5,6"/><n v="62.0"/><n v="241.0"/><n v="744.0"/><n v="8054.0"/><n v="444.0"/><n v="519.0"/><n v="106.0"/><s v="6,8"/><n v="1149.0"/><s v="9,10"/><n v="401.0"/><n v="71.0"/><s v="3,8"/><n v="1210.0"/><s v="6,7"/><s v="26,27"/><s v="8,9"/><n v="829.0"/><s v="16,17,18"/><n v="730.0"/><n v="789.0"/><n v="1622.0"/><s v="3,4"/><n v="384.0"/><n v="122.0"/><n v="512.0"/><n v="959.0"/><n v="356.0"/><n v="237.0"/><s v="p. 83"/><n v="83.0"/><s v="p. 977"/><n v="977.0"/><s v="p. 105"/><n v="614.0"/><s v="p. 10 + 11"/><s v="p. 1927"/><n v="1927.0"/><s v="p. 87"/><n v="86.0"/><s v="p. 162"/><n v="162.0"/><s v="p. 478 &amp; 479"/><s v="p .478"/><s v="p. 1347"/><s v="p. 345"/><s v="p. 732-733"/><s v="pp. 732-733"/><s v="p. 819 + 838"/><s v="p. 838"/><s v="p. 3121"/><s v="p. 2027"/><s v="p. 2030"/><s v="p.  875"/><s v="p. 875"/><s v="p. 940-943"/><s v="p. 941"/><s v="p. 127-128"/><s v="p. 128"/><s v="p. 3325"/><s v="p. 854"/><s v="p. 1219 + 1231"/><s v="p. 1219"/><s v="p. 2577"/><s v="p. 3448"/><s v="p. 3449"/><s v="p. 1764"/><s v="p. 539"/><s v="p. 1896"/><s v="p.1712 - 1713"/><n v="1713.0"/><s v="p. 773"/><n v="773.0"/><s v="p. 378"/><n v="378.0"/><s v="p. 1832"/><n v="1832.0"/><s v="p. 709"/><n v="709.0"/><s v="p. 1531"/><n v="1531.0"/><s v="p. 2"/><s v="p. 335"/><n v="335.0"/><s v="p. 212"/><n v="212.0"/><n v="428.0"/><s v="p. 683"/><n v="683.0"/><s v="p. 1226"/><n v="1226.0"/><s v="p. 776"/><n v="776.0"/><s v="p. 76"/><n v="76.0"/><s v="p. 580"/><n v="580.0"/><s v="p. 389"/><n v="389.0"/><s v="p. 486"/><n v="486.0"/><s v="p. 495"/><n v="494.0"/><s v="p. 633"/><n v="633.0"/><s v="p. 615 (key claim) &#xA;p. S17 (key statistic)"/><n v="615.0"/><s v="p.4"/><s v="p. 4-5"/><s v="p. 245"/><s v="p. 4, 5"/><n v="245.0"/><s v="p.935"/><s v="Page 391"/><n v="390.0"/><s v="p.8"/><n v="391.0"/><s v="Page 106"/><n v="49.0"/><s v="Page 454"/><n v="453.0"/><s v="Page 328-329"/><n v="328.0"/><s v=" p. 16 of replication paper"/><s v="Page 1163"/><n v="1163.0"/><d v="2025-02-01T00:00:00Z"/><n v="55.0"/><d v="2024-10-09T00:00:00Z"/><n v="409.0"/><n v="411.0"/><s v="2,3"/><n v="1171.0"/><s v="Page 169-170"/><n v="170.0"/><s v="p. 2,3"/><n v="809.0"/><s v="Page 796"/><n v="796.0"/><n v="470.0"/><n v="1215.0"/><s v="Page 659"/><n v="649.0"/><s v="Page 9"/><s v="Page 214"/><s v="Page 1070-1071"/><n v="1071.0"/><s v="Page 301-302"/><s v="Page 945"/><n v="945.0"/><s v="Page 869"/><n v="868.0"/><s v="p.16"/><s v="p.26"/><s v="p.25"/><s v="p. 9"/><s v="p. 9-10"/><s v="p. 10"/><s v="Appendix"/><d v="2025-04-01T00:00:00Z"/><s v="Supplementary Information, however link for it found in original paper not working"/><s v="Supplementary Appendix, p12, linked here: https://www.pnas.org/doi/suppl/10.1073/pnas.1717092115"/><s v="p. 22"/><n v="22.0"/><s v="18, 19"/><s v="p. 477"/><s v="4, 7 &amp; 8"/><s v="p. 320"/><s v="p. 437"/><d v="2025-03-02T00:00:00Z"/><s v="p. 11"/><s v="p. 1242"/><s v="p. 192"/><s v="p. 508"/><s v="p. 44"/><s v="p. 457"/><s v="p. 1032"/><d v="2025-05-04T00:00:00Z"/><s v="p. 295"/><s v="p. 522 + p. 519 (Table 1)"/><s v="p. 246"/><s v="p. 33"/><s v="p.  1452"/><s v="p. 487"/><s v="p. 486-487"/><s v="p. 739"/><s v="p. 145"/><s v="p. 574"/><d v="2025-07-06T00:00:00Z"/><s v="p. 768"/><s v="p. 187"/><s v="p. 549"/><s v="p. 396"/><s v="p. 666"/><s v="p. 667"/><s v="p. 109"/><s v="p. 5,8"/><s v="5,8"/><s v="p.17"/><s v="p.11"/><s v="p.10"/><s v="p. 27"/><s v="p.28"/><s v="p.27"/><s v="p.6"/><s v="p. 35"/><s v="p. 35,36"/><s v="p.36"/><s v="p. 36"/><s v="15,17"/><s v="15, 17"/><s v="16, 17"/><s v="11,12"/><s v="p.7"/><s v="p.5"/><d v="1900-01-07T00:00:00Z"/><d v="1900-01-03T00:00:00Z"/><d v="1900-01-10T00:00:00Z"/><s v="13-14"/><s v="p.7 &amp; 8"/><s v="p.9"/><s v="p.4 &amp; 5"/><s v="p. 210"/><s v="p. 670"/><s v="15, 19"/><s v="10, 14, 15"/><s v="p. 116"/><s v="6, 8"/><s v="p 6,8"/><s v="7, 8"/><s v="p. 198"/><s v="pp. 140-141"/><s v="pp. 313-314"/><s v="p. 8, 10"/><s v="6, 7"/><s v="p. 476 / 3"/><s v="9, 10"/><s v="p 10,11"/><s v="10, 11"/><s v="p. 488"/><s v="4, 7"/><s v="p. 166"/><s v="p. 690"/><s v="15, 16"/><s v="p. 355"/><s v="6, 7, 8"/><s v="p.  6"/><s v="p. 226"/><s v="14, 15"/><s v="p. 352"/><s v="p 9,10"/><s v="31, 13, 14"/><s v="p. 31, 13"/><s v="p.31"/><s v="5, 6"/><s v="7, 9"/><s v="8, 10"/></sharedItems></cacheField><cacheField name="n_o"><sharedItems containsBlank="1" containsMixedTypes="1" containsNumber="1" containsInteger="1"><s v="O's sample size [used for the critical test, i.e., after exclusion criteria have been applied], must contain only one value and must not contain text"/><n v="12.0"/><n v="100.0"/><m/><n v="41.0"/><n v="163.0"/><n v="25.0"/><n v="18.0"/><s v="Linguistics"/><n v="1950.0"/><n v="86.0"/><n v="85.0"/><n v="20.0"/><n v="272.0"/><n v="6.0"/><n v="140.0"/><n v="744.0"/><n v="79.0"/><n v="97.0"/><n v="899.0"/><n v="4196.0"/><n v="455.0"/><n v="525.0"/><n v="35.0"/><n v="40.0"/><n v="341.0"/><n v="5.0"/><n v="76.0"/><n v="166.0"/><n v="24.0"/><n v="44387.0"/><n v="96.0"/><n v="93.0"/><n v="63.0"/><n v="34.0"/><n v="2428.0"/><n v="4711.0"/><n v="137.0"/><n v="198.0"/><n v="30.0"/><n v="54.0"/><n v="89.0"/><n v="60.0"/><n v="250.0"/><n v="405.0"/><n v="101.0"/><n v="908.0"/><s v="6506 total (not broken down by governor position/absense)"/><n v="17.0"/><n v="23.0"/><s v="NA"/><n v="68.0"/><n v="1110.0"/><n v="258.0"/><n v="498.0"/><n v="92.0"/><n v="158.0"/><n v="153.0"/><n v="156.0"/><n v="193.0"/><n v="202.0"/><n v="98.0"/><n v="240.0"/><n v="226.0"/><n v="217.0"/><n v="67.0"/><n v="13.0"/><n v="120.0"/><n v="22.0"/><n v="21.0"/><n v="3691.0"/><n v="104.0"/><n v="53.0"/><n v="185.0"/><n v="50.0"/><n v="2.0"/><n v="1068.0"/><n v="395.0"/><n v="149.0"/><n v="316.0"/><n v="674.0"/><n v="4963.0"/><n v="3578.0"/><n v="51.0"/><n v="126.0"/><n v="87.0"/><n v="19.0"/><n v="37.0"/><n v="1232.0"/><n v="1065444.0"/><n v="4300000.0"/><n v="47.0"/><n v="338.0"/><n v="358.0"/><n v="318.0"/><n v="346.0"/><n v="260.0"/><n v="332.0"/><n v="344.0"/><n v="314.0"/><n v="380.0"/><n v="259.0"/><n v="39.0"/><n v="576.0"/><n v="462.0"/><n v="228.0"/><n v="252.0"/><n v="10.0"/><n v="862.0"/><n v="1000.0"/><n v="16.0"/><n v="551.0"/><n v="556.0"/><n v="564.0"/><n v="43.0"/><n v="14.0"/><n v="27.0"/><n v="304.0"/><n v="102.0"/><n v="103.0"/><n v="70.0"/><n v="31.0"/><n v="71.0"/><n v="52.0"/><n v="321.0"/><n v="201.0"/><n v="349.0"/><n v="340.0"/><n v="208.0"/><n v="107.0"/><n v="224.0"/><n v="611.0"/><n v="141.0"/><n v="302.0"/><n v="300.0"/><n v="45.0"/><n v="124.0"/><n v="48.0"/><n v="972.0"/><n v="661.0"/><n v="500.0"/><n v="600.0"/><n v="80.0"/><n v="90.0"/><n v="88.0"/><n v="118.0"/><n v="145.0"/><n v="133.0"/><n v="91.0"/><n v="15.0"/><n v="277.0"/><n v="184.0"/><n v="350.0"/><n v="155.0"/><n v="177.0"/><n v="73.0"/><n v="128.0"/><n v="288.0"/><n v="555.0"/><n v="151.0"/><n v="28.0"/><n v="577.0"/><n v="122.0"/><n v="106.0"/><n v="223.0"/><n v="32.0"/><n v="139.0"/><n v="62.0"/><n v="112.0"/><n v="234.0"/><n v="229.0"/><n v="78.0"/><n v="182.0"/><n v="168.0"/><n v="127.0"/><n v="540.0"/><n v="312.0"/><n v="94.0"/><n v="348.0"/><n v="36.0"/><n v="56.0"/><n v="188.0"/><n v="170.0"/><n v="119.0"/><n v="26.0"/><n v="253.0"/><n v="308.0"/><n v="430.0"/><n v="117.0"/><n v="212.0"/><n v="372.0"/><n v="180.0"/><n v="143.0"/><n v="123.0"/><n v="29.0"/><n v="1800.0"/><n v="2399.0"/><n v="165.0"/><n v="82.0"/><n v="132.0"/><n v="301.0"/><n v="8.0"/><n v="199.0"/><n v="147.0"/><n v="57.0"/><n v="484.0"/><n v="108.0"/><n v="144.0"/><n v="451.0"/><n v="457.0"/><n v="327.0"/><n v="413.0"/><n v="38.0"/><n v="608.0"/><n v="793.0"/><n v="172.0"/><n v="84.0"/><n v="58.0"/><n v="415.0"/><n v="59.0"/><n v="110.0"/><n v="400.0"/><n v="42.0"/><n v="216.0"/><n v="162.0"/><n v="72.0"/><n v="200.0"/><n v="343.0"/><n v="46.0"/><n v="366.0"/><n v="178.0"/><n v="449.0"/><n v="105.0"/><n v="65.0"/><n v="33.0"/><n v="61.0"/><n v="160857.0"/><s v="152 (Problem 1), 155 (Problem 2)"/><n v="307.0"/><n v="64.0"/><n v="69.0"/><n v="356.0"/><n v="114.0"/><n v="115.0"/><n v="357.0"/><n v="77.0"/><n v="75.0"/><n v="152.0"/><n v="213.0"/><n v="210.0"/><n v="197.0"/><n v="298.0"/><n v="81.0"/><n v="207.0"/><n v="735.0"/><n v="142.0"/><n v="323.0"/><n v="408.0"/><n v="504.0"/><n v="704.0"/><n v="426.0"/><n v="167.0"/><n v="519.0"/><n v="370.0"/><n v="554.0"/><n v="273.0"/><n v="480.0"/><n v="440.0"/><n v="218.0"/><n v="324.0"/><n v="96560.0"/><n v="1342.0"/><n v="44.0"/><n v="49.0"/><n v="2646.0"/><n v="181.0"/><n v="1548.0"/><n v="1209.0"/><n v="2612.0"/><n v="154.0"/><n v="631.0"/><n v="157.0"/><n v="83.0"/><n v="171.0"/><n v="251.0"/><n v="377.0"/><n v="179.0"/><n v="160.0"/><n v="368.0"/><n v="189.0"/><n v="186.0"/><n v="109.0"/><n v="194.0"/><n v="74.0"/><n v="236.0"/><n v="280.0"/><n v="125.0"/><n v="173.0"/><n v="4.0"/><n v="3412.0"/><n v="95.0"/><n v="230047.0"/><n v="211.0"/><n v="375.0"/><n v="261.0"/><n v="246.0"/><n v="55.0"/><n v="5167.0"/><s v="Marcora, S. M., Staiano, W., &amp; Manning, V. (2009). Mental fatigue impairs physical performance in humans. Journal of applied physiology. https://doi.org/10.1152/japplphysiol.91324.2008."/><n v="499.0"/><n v="651.0"/><n v="601.0"/><n v="135.0"/><n v="373.0"/><n v="573.0"/><n v="1728.0"/><n v="458.0"/><n v="447.0"/><n v="544.0"/><n v="471.0"/><n v="384.0"/><n v="1593.0"/><n v="3413.0"/><n v="233.0"/><n v="749.0"/><n v="111.0"/><n v="15664.0"/><n v="204.0"/><n v="196.0"/><n v="376.0"/><n v="249.0"/><n v="134.0"/><n v="169.0"/><n v="264.0"/><n v="595.0"/></sharedItems></cacheField><cacheField name="es_value_o"><sharedItems containsBlank="1" containsMixedTypes="1" containsNumber="1"><s v="original effect size value, must contain only one value and must not contain text"/><s v="F(1, 11) = 9.67"/><m/><s v="t(98) = 3.4"/><s v="3.4"/><n v="9.67"/><n v="0.31"/><n v="0.3"/><n v="1.12"/><n v="0.17"/><n v="-0.42"/><n v="-0.04"/><n v="0.34"/><s v="Perceptual processing - Spanish Consonant"/><n v="0.13"/><n v="-0.06"/><n v="0.23"/><n v="0.07"/><s v="t(84) = 2.38"/><s v="t(84)=2.64"/><s v="t(84)=.27"/><s v="F(3, 57) = 3.818"/><n v="6503.0"/><s v="F(3, 57) = 2.215"/><s v="F(3, 57) = 6.503"/><n v="1.21"/><n v="1.33"/><n v="2.8"/><n v="1.03"/><n v="1.14"/><n v="-0.85"/><s v="−0.76"/><n v="0.66"/><n v="0.58"/><n v="0.75"/><n v="0.61"/><n v="0.57"/><s v="X2(1) = 1.62"/><s v="X2(1) = 0.53"/><s v="X2(1) = 0.51"/><s v="X2(1) = 0.37"/><n v="2.0"/><n v="2.97"/><n v="2.35"/><n v="3.05"/><n v="2.68"/><n v="2.16"/><n v="2.46"/><n v="1.99"/><n v="2.41"/><s v="needs to be calculted"/><n v="-0.48"/><n v="-0.82"/><n v="-0.52"/><n v="1.04"/><n v="1.56"/><n v="0.95"/><n v="1.19"/><n v="-0.13"/><n v="0.06"/><n v="-0.01"/><n v="0.09"/><n v="415.0"/><n v="201.0"/><n v="-226.0"/><n v="1.0"/><n v="62.0"/><n v="0.98"/><n v="1.11"/><n v="-0.18"/><s v="needs to be calculated"/><n v="0.16"/><n v="0.27"/><n v="10.87"/><n v="3.08"/><n v="2.11"/><n v="0.35"/><n v="-0.2"/><n v="0.22"/><n v="0.19"/><s v="−.03"/><s v=" z = 2.81, N = 34"/><s v="X2(3) = 35,419.8"/><s v="X2(26) = 1163.1"/><s v="X2(11) = 2302.6"/><n v="0.4"/><n v="0.08"/><n v="0.37"/><n v="0.04"/><n v="0.39"/><n v="2.38095238095"/><n v="-0.69"/><n v="-0.7"/><n v="-33.42"/><n v="29.71"/><n v="28.31"/><n v="-1.4"/><n v="-0.63"/><s v="−0.30"/><s v="−0.33"/><s v="X2(8) = 104.09"/><n v="0.556"/><n v="0.067"/><n v="0.518"/><n v="0.056"/><n v="0.571"/><n v="0.072"/><n v="0.059"/><n v="0.73"/><n v="0.74"/><n v="0.84"/><s v="F&lt;1"/><n v="0.233"/><n v="0.917"/><n v="0.519"/><n v="0.536"/><s v="F&lt; 1.4"/><n v="0.057"/><n v="0.1"/><n v="0.069"/><n v="0.078"/><n v="0.084"/><n v="0.822"/><s v="Fs&lt;1"/><s v="Fs &lt; 1.4"/><s v="F(2,57) = .105"/><s v="F(1,57) = 0.011"/><s v="F(2,57) = 0.404"/><s v="F(2,57) = .288"/><s v="F(2,57) = 0.272"/><s v="F(1,57) = 2.526"/><s v="t = 2.82"/><s v="t = 5.06"/><s v="N/A"/><n v="0.042"/><n v="0.48"/><n v="0.21"/><n v="0.423"/><n v="0.79"/><n v="0.18"/><n v="0.45"/><n v="0.24"/><n v="0.25"/><n v="0.14"/><n v="0.38"/><n v="0.55"/><n v="-0.903"/><n v="1.445"/><n v="0.354"/><n v="0.583"/><n v="0.314"/><n v="0.52"/><n v="4.4"/><n v="4.0"/><n v="5.7"/><n v="1.3"/><n v="0.78"/><n v="228.4"/><n v="4.9"/><n v="53.2"/><s v="NA"/><s v="X2(712) = 1991.413"/><s v="X2(1)=22.77"/><s v="X2(1)=0.03"/><s v="X2(1)=11.59"/><s v="X2(1)=24.44"/><s v="X2(1)=23.46"/><s v="X2(1)=37.43"/><s v="X2(1)=42.12"/><s v="X2(1)=1.4"/><s v="X2 =1.4"/><n v="0.32"/><n v="44.25"/><n v="7.0"/><n v="7.5"/><n v="4.5"/><n v="8.0"/><n v="-3.0"/><n v="-4.5"/><n v="-2.5"/><n v="-13.5"/><n v="4.32"/><n v="12.9"/><n v="3.692"/><n v="0.428"/><s v="F(1, 19) = 2.80"/><s v="F(1, 19) = 0.13"/><n v="0.41"/><s v="F(1, 19) = 1.19"/><n v="0.28"/><n v="0.15"/><n v="0.598"/><s v="F(6, 183) = 4.02"/><n v="-0.374"/><s v="F(1, 183) = 4.07, p &lt; .05"/><n v="0.9"/><s v="F (1, 183)= 12.41, p&lt;.01"/><s v="F(1,200) = 1.65"/><s v="F(1,94) = 2.16 "/><s v="F(1,200) = 1.08"/><n v="0.02"/><s v="F(1,94) = .13"/><s v="F(1,200) = 0.39"/><s v="F(1,200) = 1.32"/><s v="F(1,234)= 0.002"/><s v="F(1,234) = 3.25"/><s v="F(1,234) = 1.35"/><n v="14.4"/><n v="17.93"/><s v="F(1, 235) = 14.40"/><s v="F(1, 235) = 17.93"/><s v="F(1, 235) = 5.56"/><n v="0.1082"/><n v="0.1116"/><n v="0.1697"/><n v="0.1348"/><n v="0.0353"/><n v="0.0422"/><s v="t(91) = 2.97"/><n v="2.72"/><n v="1.195"/><s v="F(1,20) = 3.57"/><n v="0.118"/><n v="-0.204"/><n v="-0.512"/><n v="-0.27"/><s v="F = 2755"/><s v="F = 526"/><s v="F = 7710"/><s v="X2 = 16.1"/><n v="0.65"/><n v="0.68"/><n v="0.29"/><s v="Main: all F's &lt; 1&#xA;Interaction:  F(1,64) = 9.70&#xA;Simple: non expert - F(1,64) = 4.77, expert - F(1,64) = 4.94"/><s v="F(1, 64) = 4.60"/><s v="Main: all F's &lt; 1&#xA;Interaction:  F(1,64) = 11.02&#xA;Simple: non expert - F(1,64) = 7.43, expert - F(1,64) = 3.97"/><s v="F(1, 64) = 2.36"/><s v="F(1, 64) = 9.70"/><s v="F(1, 64) = 11.02"/><n v="0.96"/><n v="0.8"/><n v="0.33"/><n v="0.0"/><n v="-0.49"/><n v="-0.68"/><s v="X2 = 67.52"/><s v="X2 = 26.07"/><s v="X2 = 39.22"/><n v="-0.65"/><n v="-0.16"/><n v="-0.41"/><n v="-1.45"/><n v="-0.21"/><n v="-0.11"/><n v="0.204"/><n v="0.163"/><n v="0.066"/><n v="11.83"/><n v="9.41"/><n v="4.1"/><n v="0.853"/><n v="0.355"/><n v="0.201"/><n v="621.0"/><n v="3.23"/><s v="−3.54"/><s v="−2.44"/><s v="−3.16"/><s v="Regression discontinuity estimator = -3.54, robust SE = 1.44, robust CI (-6.37, -0.7)"/><n v="0.273"/><n v="0.292"/><n v="0.269"/><n v="0.309"/><n v="0.324"/><n v="-0.058"/><n v="0.26"/><n v="-0.005"/><n v="0.215"/><n v="-0.043"/><n v="-0.15"/><n v="0.029"/><n v="0.062"/><n v="0.72"/><n v="3.83"/><n v="0.36"/><n v="0.5"/><n v="4.18"/><n v="-0.5"/><n v="30.41"/><n v="2.84"/><n v="24.6"/><n v="683.5"/><n v="0.62"/><n v="0.85"/><n v="0.44"/><s v="F(1,22) = 17.62"/><s v="F(1,22) =121.10"/><s v="F(1,22) = 35.41"/><s v="F(I,15) = 214.17"/><s v="F(1,15) = 34.34"/><s v="F(I,22) = 11.09"/><s v="F(I,22) = 13.53"/><s v="F(I,22) = 30.8"/><s v="F(l,20) = 31.04"/><s v="F(l,20) = 23.33"/><s v="F(I,20) = 33.24"/><s v="F(1,20) = 55.60"/><s v="F(1,20) = 41.96"/><s v="F(1,20) = 6.48"/><n v="-3.22"/><n v="-0.99"/><n v="-3.56"/><n v="1.26"/><n v="1.53"/><n v="-0.84"/><n v="7.13"/><n v="1.59"/><n v="0.6"/><s v=" F(2, 26) = 5.68"/><s v="F(2, 26) = 1.49"/><s v="F(2, 26) = 1.72"/><n v="5.93"/><n v="6.12"/><n v="7.17"/><n v="5.16"/><n v="16.69"/><n v="2.34"/><n v="27.5"/><n v="9.26"/><n v="20.47"/><n v="3.97"/><n v="9.4"/><n v="24.91"/><n v="51.07"/><n v="9.2"/><n v="10.35"/><n v="3.85"/><n v="2.87"/><n v="0.811"/><n v="0.47"/><n v="10.76"/><n v="0.241"/><n v="0.71"/><n v="0.83"/><n v="0.87"/><n v="0.198"/><n v="0.217"/><n v="0.46"/><s v="0.20"/><n v="0.2"/><n v="0.11"/><s v="F(1,236) = 9.25"/><s v="F(1,236) = .0006"/><s v="X2(1)=4.46"/><s v="X2(1)=6.80"/><s v="X2(1)=4.12"/><s v="F(1,21) = 25.75"/><n v="1.523"/><n v="1.32"/><n v="-0.32"/><s v="F(2,212) = 297.20"/><s v="F(2, 212) = 185.49"/><n v="0.05"/><n v="1.4"/><n v="0.863"/><n v="-0.17"/><n v="-0.1"/><n v="7.46"/><s v="F(1, 137) = 7.46"/><n v="2.42"/><n v="-0.02"/><n v="5.12"/><s v="F(1, 257) = 11.58"/><n v="0.40700273690976"/><s v="χ²(1) = 0.003"/><n v="0.43"/><s v="z = 2.6"/><s v="t(148) = 0.83"/><n v="11.5"/><n v="0.869"/><n v="0.792"/><s v="F(2, 1458) = 129.4"/><n v="-0.24"/><n v="0.612803903785751"/><s v="0.6128039037857511"/><n v="0.56"/><n v="0.51"/><s v="F(1, 121) = 0.02"/><n v="0.53"/><s v="t(116) = 2.61"/><s v="F(1, 121) = 0.87"/><s v="F(2, 121) = 0.92"/><n v="75.02"/><n v="0.49"/><n v="1.25"/><n v="0.94"/><s v="F &lt; 1"/><s v="(F(1,14) = 4.1"/><s v="F(1, 14) = 4.1"/><s v="F(2, 550) =125.46"/><n v="0.024"/><n v="0.373"/><n v="0.004"/><s v="-0.61."/><n v="0.612825877028341"/><n v="4.15"/><s v="F(1,116) = 17.34"/><s v="F(1,116) = 22.88"/><s v="F(1,116) = 4.15"/><n v="1.06"/><n v="-0.31"/><n v="-1.0"/><n v="-1.36"/><n v="-0.78"/><n v="-0.77"/><n v="0.56766426264502"/><n v="9.599"/><n v="9.199"/><n v="3.4"/><n v="0.909968602284088"/><s v="t(20) = 4.17"/><n v="0.594"/><n v="0.76"/><n v="0.625"/><n v="0.7"/><s v="F(6, 912) = 21.92"/><s v="F(1, 145) = 2.10"/><n v="0.03"/><n v="0.01"/><n v="0.002"/><s v="F(1, 98) = 22.39"/><n v="5.68"/><n v="2.27"/><n v="1.65"/><n v="0.212"/><n v="0.477"/><n v="-0.45"/><s v="F(1, 19) = 47.54"/><n v="0.124354626824745"/><n v="0.051"/><s v="t(105) = -3.20"/><s v="t(105) = -1.96"/><s v="t(105) = -1.51"/><s v="F(5, 16) = 285.81"/><n v="0.99"/><n v="-1.09"/><n v="-1.54"/><n v="-0.26"/><s v="F(3, 129) = 31.45"/><n v="1.012734458295901"/><s v="F(1, 46) = 7.89"/><n v="2.91"/><n v="0.81"/><n v="0.93"/><n v="0.67"/><s v="F(1, 62) = 17.21"/><n v="0.548480826803157"/><s v="Z = 3.1, N = 10"/><s v="X2(2) = 9.5"/><n v="2.44"/><s v="F(1, 126) = 8.91"/><n v="0.018"/><s v="X2(1) = 27.2"/><s v="X2(1) = 15.3"/><n v="163.22"/><n v="0.478"/><n v="0.507361593764794"/><n v="0.63"/><n v="0.64"/><s v="F(1, 83) = 7.55"/><n v="0.144"/><n v="0.043"/><s v="t(556) = 6.55"/><s v="F(3, 156) = 10.70"/><s v="t(28) = 4.83"/><s v="X2(1) = 5.59"/><n v="32.04"/><n v="1.72"/><s v="F(1, 17)  8.01"/><s v="F(1, 17) = 8.01"/><n v="1.025"/><n v="1.026"/><n v="1.028"/><n v="1.027"/><n v="0.997"/><n v="0.999"/><n v="1.01"/><n v="1.009"/><n v="0.989"/><n v="0.034"/><s v="F(1, 21) = 22.80,"/><n v="1.15"/><n v="1.27"/><s v="0.022356441140367795"/><s v="F(1, 344) = 84.58"/><n v="0.691"/><n v="0.132"/><n v="0.322"/><s v="F(1, 34) = 5.68"/><n v="0.113056437869578"/><s v="t(4408) = 3.73"/><n v="-1.79"/><n v="-0.75"/><n v="0.849411594880563"/><s v="F(1,117) = 127.0"/><s v="F(1,117) = 127.07"/><s v="prop:15/31,8/32"/><n v="3.28"/><n v="0.92"/><s v=" F(1,655) = 14.5"/><s v=" F(1,655) = 6.9"/><s v="F(1,655) = 19.1"/><s v="F(1,655) = 13.3"/><n v="0.8605"/><n v="0.356"/><s v="t (19) = 1.26"/><s v="F(1,151)=9.40"/><n v="-0.29"/><s v="−0.17"/><s v="prop:8/26,21/26"/><n v="1.84377344"/><s v="t(199) = 13.07"/><s v="F(1,431) = 5.24"/><s v="(F(1,431) = 5.24"/><s v="F(1,431) = 4.63"/><n v="1.28"/><s v="F(1, 113) = 6.12"/><s v="t(105) = -3.34"/><n v="0.655414885369319"/><n v="3.37"/><s v="prop45/73,28/70"/><n v="0.727147426592434"/><s v="F(1,134)=4.03"/><s v="X2(2) = 8.14"/><n v="0.414462472492135"/><s v="F(1, 161) = 7.00"/><s v="t(96)=2.310"/><n v="1.011"/><s v="F(1,62.9)=8.5"/><s v="F(1, 62.9) = 8.5"/><s v="t(131) = 3.246"/><n v="0.075"/><s v="t(99)=-6.354"/><n v="0.6354"/><n v="0.724143923"/><n v="0.724143923024744"/><n v="0.618"/><s v="bseb=0.089(1.434)"/><s v="bseb=-3.096(1.981)"/><s v="bseb=-4.352(2.135)"/><s v="bseb=-4.976(2.028)"/><s v="proportion: 99/144"/><s v="F(1, 59) = 77.05"/><s v=" F(1, 59) = 77.05"/><n v="0.106"/><n v="-0.88"/><n v="0.137"/><n v="0.2017478108"/><n v="0.2017478108351"/><s v=" prop:27/38,0/38"/><n v="0.4365620244"/><n v="0.436562024402928"/><n v="0.69"/><n v="1.233398852"/><s v="F(1, 55) = 83.67"/><n v="5.41602791419206"/><n v="0.450767238816211"/><n v="0.4939804315"/><n v="0.472"/><n v="0.459"/><s v="t(99)=2.29"/><s v="F(1,34)=5.89"/><n v="0.5062683995"/><n v="0.506268399475705"/><n v="1.18059532"/><n v="60502.0"/><n v="1.49"/><n v="0.82"/><n v="1.23"/><s v=" F(1, 76) = 11.53"/><n v="1.09"/><s v=" t(105)=-2.42"/><n v="0.329099978906873"/><n v="0.146"/><s v="F(1, 39) = 6.48"/><s v=" F(1,97) = 7.86"/><s v="F(1,97) = 7.8"/><s v="t(57) = 1.82"/><n v="0.473887635970198"/><s v="−0.27"/><n v="-1.158"/><n v="1.15827489621123"/><n v="7.212"/><s v="F1(1, 23) =92.34"/><n v="0.3683339626988576"/><n v="2.899"/><n v="2.8987760989718647"/><n v="0.643"/><n v="0.27150462314373774"/><n v="1.9999999999999996"/><n v="33.43"/><n v="2.997"/><n v="2.217"/><n v="5.135086696465202"/><n v="9.34"/><n v="0.335"/><n v="0.035"/><n v="-2.739"/><n v="-4.2"/><n v="-0.116"/><n v="-0.181"/><n v="-2.914"/><n v="57.8"/><n v="5.92"/><n v="5.318181818181818"/><n v="23.8"/><n v="0.0517"/><n v="2.039636127355425"/><n v="0.5414312553775226"/><n v="1.5"/><n v="0.602"/><s v="F(1, 82) = 6.40"/><s v="t(23) = 2.42"/><n v="0.8705228793740944"/><n v="0.388"/><s v="F(1, 46) = 4.50"/><n v="0.453"/><n v="0.104"/><s v="t(34) = 2.37"/><n v="0.377"/><s v="F(1,18)=30.53"/><n v="0.793"/><n v="10.95"/><n v="0.141"/><n v="0.267"/><s v=", t(14) = 13.07"/><n v="0.961"/><n v="0.371"/><n v="0.437"/><n v="1.76767426631627"/><n v="0.674"/><n v="3.17"/><n v="0.197"/><s v="X2 = 16.3"/><n v="0.525"/><n v="1.301"/><n v="0.59"/><n v="0.289"/><n v="0.38892740882854915"/><n v="0.223"/><n v="0.816"/><s v="U=717 (48,15), z=5.761"/><n v="0.631"/><s v="F(1, 38)=3.63"/><n v="-0.96"/><s v="F(2, 56) = 7.58"/><s v="t(38) = 3.47"/><s v="t(37) = 3.50"/><n v="0.42"/><s v="F(1, 137) = 50.46"/><n v="1.1"/><n v="1.071"/><s v="t(28) = 2.86"/><s v="F(1, 127) = 8.8"/><s v="Not explicitly reported."/><n v="0.671"/><s v="F(1, 62) = 14.05"/><n v="0.77"/><s v="χ² = 4.57"/><s v="F(1, 58) = 4.26"/><n v="1.87"/><s v="t(102) = 7.99"/><s v="F(1,25) = 6.99"/><s v="χ² = 5.02"/><s v="X2 = 5.02"/><s v="F(1, 68) = 5.52"/><s v="0.30; X2 = 3.86"/><s v="t(99)=-0.15"/><n v="0.86"/><s v="F1,65 = 4.07"/><s v="F1,65 = 0.01"/><s v="F(1, 110) = 22.45"/><n v="0.767"/><n v="0.033"/><n v="0.048"/><s v="t(49) = 2.12"/><n v="4.35"/><n v="2.04"/><s v="Not reported"/><s v="t(49) = 2.26"/><s v="negative 0.42"/><s v="0.44"/><s v="negative 0.19"/><n v="-0.34"/><s v="t(239) = 2.20"/><n v="0.045"/><n v="2.43"/><s v="unavailable&#xA;"/><n v="0.12"/><s v="negative 0.49"/><s v="F(1, 58) = 8.56"/><s v=" F(1, 58) = 5.06"/><s v=" F(1, 58) &lt; 1"/><s v="F(1, 58) = 5.06"/><n v="0.951"/><s v="t(94) = 4.66"/><n v="1.45"/><s v=" t(205) = 10.60"/><n v="-0.486"/><n v="0.387"/><s v="t(140) = 2.08"/><s v="F(1,85) = 4.36"/><s v="t(196) = 6.34"/><s v="z = 3.207, N = 24"/><s v="z = 3.207"/><s v="t(404) = 2.151"/><s v="t(502) = 2.10"/><s v="t = –2.15"/><s v="t = -2.15"/><n v="1.751"/><s v="t(424) = 18.02"/><s v="F(1,119) = 54.23"/><n v="0.331"/><s v="t(165) = 2.07"/><s v=" t(173.36) = 5.37"/><s v="t(173.36) = 5.37"/><n v="0.008"/><s v="F(1,551) = 4.61"/><s v="X2(1) = 6.7"/><s v="(𝜒²(1) = 6.7"/><n v="-0.23"/><s v="t = 2.26"/><s v="X2(1)=21.7"/><s v="χ²(1) = 21.7"/><n v="0.353"/><s v="t(201) = 17.51"/><s v="t(201) = 10.93"/><s v="X2 = 10.48"/><s v="X2(n = 258)=10.48"/><s v="negative 0.04"/><n v="-0.38"/><n v="-0.03"/><n v="-0.14"/><s v="α = 0.773, (0.11)"/><s v="α = 0.530, (0.142)"/><s v="α = 0.464, (0.127)"/><s v="α = 0.633, (0.193)"/><s v="α = 0.543, (0.144)"/><s v="α = 0.513, (0.134)"/><s v="α = -0.375, (0.134)"/><s v="α = -0.239 , (0.156)"/><s v="α = 0.218 , (0.124)"/><s v="α = -0.179, (0.124)"/><s v="α = -0.203, (0.115)"/><s v="α = -0.215, (0.128)"/><s v="α = -0.067, (0.063)"/><s v="α = -0.123, (0.095)"/><s v="α = -0.062, (0.088)"/><s v="α = 0.012, (0.115)"/><s v="α = 0.011, (0.073)"/><s v="α = -0.029, (0.078)"/><s v="α = -0.093, (0.038)"/><s v="α = 0.057, (0.066)"/><s v="α = -0.248, (0.062)"/><s v="α = 0.063, (0.068)"/><s v="α = 0.055, (0.047)"/><s v="α = 0.101, (0.068)"/><s v="X2(15) = 15.3 "/><s v="X2(11) = 11.3 "/><s v="X2(13) = 11.4"/><s v="X2(13) = 9.4 "/><s v="X2(13) = 11.7"/><s v="X2(13) = 9.7 "/><s v="α = 0.498, (0.063)"/><s v="α = 0.534, (0.115)"/><s v="α = 0.504, (0.081)"/><s v="α = 0.554, (0.105)"/><s v="α = 0.610, (0.082)"/><s v="α = 0.661, (0.154)"/><s v="α = -0.277, (0.048)"/><s v="α = -0.239, (0.146)"/><s v="α = -0.010, (0.066)"/><s v="α = -0.311, (0.141)"/><s v="α = -0.359, (0.103)"/><s v="α = -0.365, (0.13)"/><s v="α = 0.082, (0.193)"/><s v="α = 0.054, (0.292)"/><s v="α = 0.139, (0.173)"/><s v="α = 0.374, (0.284)"/><s v="α = 0.428, (0.229)"/><s v="α = 0.199, (0.3)"/><s v="α = 0.453, (0.21)"/><s v="α = 0.309, (0.211)"/><s v="α = 0.22, (0.27)"/><s v="α = -0.340, (0.208)"/><s v="α = -0.403, (0.222)"/><s v="α = -0.252 , (0.226)"/><n v="-0.004"/><n v="1.097"/><n v="0.031"/><s v="F = 35.46"/><s v="t(39) = 3.39"/><s v="t(19) = 4.49"/><s v=" t(19) = .88"/><s v="z = 2.32, N = 100"/><n v="2.32"/><n v="2.446"/><n v="0.757"/><n v="15.251207729468597"/><n v="65.46280991735539"/><s v="F(1, 78) = 17.27"/><s v="F(1, 78) = 12.8"/><s v="F(1, 78) = 17.7"/><s v="t(68) =  3.32"/><s v="t(68) = 3.32"/><s v="t(68) = 2.20"/><s v="t(68)  = 3.49"/><n v="5.2025862068965525"/><n v="4.96"/><n v="2.02"/><n v="0.547"/><s v="t(153) = 2 .99, p &lt; .01 . "/><s v="t(45) = 2.24"/><s v="F(1, 25) = 6.99"/><s v="F(1, 535) = 9.14"/><s v="F(2, 535) = 4.82"/><s v="F(2,288) = 4.74"/><s v="F(2,288) = 3.88"/><s v=" t(39) = 2.01"/><s v="F(1, 224) = 4.73"/><s v="t(115) = 3.05"/><n v="1.2564102564102562"/><n v="4.333333333333333"/><s v="z = 2.48, N = 170"/><s v="z = 2.48"/><s v="t(101) = 5.70"/><s v="t(101) = 0.71"/><s v="t(101) = 1.98"/><s v="t(17) = 3.68"/><s v="t(17) = 2.09"/><s v="F (1, 151) = 4.25"/><s v="t(82) = 3.13"/><s v="t = 3.13"/><n v="0.623"/><n v="0.638"/><n v="0.283"/><n v="0.819"/><n v="0.411"/><n v="0.615"/><n v="0.245"/><n v="0.796"/><n v="0.336"/><s v="F(1, 35) = 6.93"/><s v="F(1, 35) =4.83"/><s v="F(1, 35) = 4.83"/><n v="0.006"/><n v="-0.51"/><s v="F(1, 375) = 53.91"/><s v="F(1, 375) = 6.48"/><s v="F(1, 375) = 10.02"/><s v="F(4, 1500) =1.24"/><s v="(F(1, 375) = 10.02"/><s v="(F(4, 1500) =1.24"/><n v="1.08"/><s v="F(1, 175) = 8.60"/><s v="B= 1.46, SE = .51, Wald = 8.07"/><s v="B = 1.15, SE = .48, Wald = 5.70"/><s v="B 1= .31, SE = .56, Wald = .30"/><s v="F(1, 156) = 209.4"/><s v="F(1, 156) = 4.14"/><s v="F(1, 156) = 3.96"/><s v="F(1, 156) = 4.42"/><s v="F(1, 367)=63.87"/><s v="t(188)=5.33"/><s v="t(185)=5.37"/><s v="F(1, 75) = 7.13"/><s v="F(1, 75) = 4.95"/><s v="F(1, 75)= 7.35"/><s v="χ 2 = 5.42"/><s v="X2 = 5.42"/><s v="F(1, 117) = 9.51"/><s v="F(1, 121) = 4.34"/><s v="(F(1, 117)  = 3.84,"/><s v="F(1, 118) =  9.39"/><s v="F(1, 121) =  7.77"/><s v="F(1, 118) = 4.78"/><s v="(F(1, 117) = 9.51"/><s v="F(1, 117) = 3.84"/><s v="F(1, 118) = 9.39"/><s v="F(1, 121) = 7.77"/><s v="(F(1, 118) = 4.78"/><s v="F(1, 76) = 14.47"/><s v="F(1, 76) = 3.20"/><s v="F(2, 106)=7.63"/><n v="0.113"/><n v="0.226"/><s v="F(2, 106) = 7.63"/><s v="F(1, 106) = 8.17"/><s v="F(1, 106) = 4.36"/><s v="(F(2, 173) = 6.62,"/><s v="t(173) = 2.28"/><s v="t(173) = -2.80"/><s v="F(2, 173) = 6.62"/><s v="F(1, 72) = 5.26"/><s v="F(1, 72) = 12.61"/><s v="F(1, 13) = 7.11"/><s v="F(1, 28) = 26.69"/><n v="0.326"/><s v="F(1, 55) = 6.88"/><s v="t(31) = 3.23"/><s v="t(172) = 3.94"/><s v="F(18, 660) = 16.31"/><n v="0.308"/><s v="r = -0.38"/><n v="3.25"/><s v="t(7) = 2.76"/><s v="F(1, 34) = 5.89"/><s v="t(28) = 4.98"/><s v="0.80; F(1, 26) = 4.17"/><s v="F(2, 68) = 41.59"/><n v="-4.0"/><s v="t(28) = 3.04"/><s v="F(2, 162) = 192.89"/><s v="F(1, 76) = 109.74"/><n v="1.71"/><s v="F(1, 194) = 7.16"/><s v="F(1,194) = 7.16"/><n v="0.038"/><s v="F(1, 13) = 14.2"/><s v="t(7) = 4.45"/><s v="ts(7) = 4.45"/><n v="-0.43"/><s v="F(1, 44) = 13.42"/><s v="X2(1, N=56) = 4.51"/><s v="F(1, 17) = 9.33"/><s v="F(2, 76) = 8.67"/><s v="F(1, 23) = 13.71"/><s v="F(3, 93) = 5.23"/><s v="F(1, 152) = 23.176"/><n v="1.51"/><n v="0.026"/><s v="F(1,31) = 4.1"/><s v="F(1, 31) = 4.1"/><n v="1.023"/><s v="F(1, 24) = 5.29"/><s v="F(1, 36) = 22.88"/><s v="F(1,11) = 4.8"/><s v="F(1, 11) = 4.80"/><s v="z = 3.1, N = 68"/><s v="z = 3.1"/><s v="F(1, 190) = 10.49"/><s v="F(1, 190) = 10.49,"/><s v="F(2, 64) = 10.17"/><s v="t(67) = 3.08"/><s v="F(21, 230025) = 118.15"/><n v="-32.04"/><s v="F(1,31) = 8.38"/><s v="F(1, 31) = 8.38"/><s v="F(2, 92) = 4.36"/><s v="F(1, 31) = 5.14"/><s v="F(1, 99) = 16.62"/><n v="0.1433"/><s v="t(23) = 3.55"/><s v="t(108) = -2.34"/><s v="F(2, 76) = 21.57"/><s v="F(1, 116) = 4.15"/><s v="Av. Proportion = 0.78"/><s v="Observed proportion = 78%, hypothesized proportion = 33%"/><s v="F(1,99) = 103.7"/><s v="F(1, 99) = 103.7"/><n v="0.493"/><s v="X^2(1, N=37) = 3.85"/><s v="X2(1, N = 37) = 3.85"/><s v="F(1, 242) = 10.47"/><s v="F(2, 43) = 3.36"/><s v="r = 0.30"/><s v="X2(1, N=52) = 13.18"/><s v="F(1, 73) = 12.19"/><s v="0.66"/><s v="beta = -0.001"/><s v="F(1, 63) = 6.45"/><s v="F(1,99) = 4.00"/><s v="X2 = 2.88"/><s v="X2 = 0.00"/><n v="0.348"/><s v="10.1152/japplphysiol.91324.2008"/><n v="0.375"/><s v="F(1, 79) = 110.19"/><s v="F(1,79) = 110.19"/><s v="F(4, 76) = 495.31"/><s v="F(1, 79) = 5.02"/><s v="F(16, 64) = 4.85"/><n v="0.352"/><n v="0.167"/><s v="F(1, 46) = 6.45"/><s v="t(48) = 1.92"/><s v="F(2, 134) = 0.60"/><s v="t(133)  = .284"/><s v="F1(1, 42) = 168.4, F2(1, 76) = 48.1"/><s v="t1(21) = 13.5"/><s v="t(78) = 0.71"/><n v="0.234"/><n v="0.305"/><n v="0.219"/><n v="0.321"/><n v="0.285"/><n v="0.277"/><n v="0.134"/><n v="0.183"/><s v="F(6, 886)=3.05"/><n v="0.803"/><s v="F(I, 444) = 4,88"/><n v="0.287"/><s v="F{1, 535) = 9.14"/><n v="0.303"/><s v="F(8, 1066) = 1.99"/><n v="0.265"/><s v="F(2, 535) = 3.64"/><s v="F(2, 535) = 6.16"/><s v="F{1, 535) = 4.94"/><s v="F(2, 444)=7.07"/><s v="F( 1, 535) = 12.27"/><s v="χ²(2, N = 1593) = 1061.72"/><s v="χ²(2, N = 1593) = 166.88,"/><s v="χ²(6, N = 1593) = 62.25"/><s v="X2(6,1593) = 62.25"/><s v="F(2, 444) = 2.47"/><s v="F(2, 444) = 2.76"/><s v="F(1, 444) = 11.09"/><s v="F ( l , 444) = 3.04"/><s v="F(I, 444) = 4,88,"/><s v="negative 0.29"/><s v="X2(1) = 16.3"/><s v="X2(1) = 4.500"/><s v="F(1, 298) = 36.375"/><s v="F(1, 295) = 52.81"/><s v="F(1, 294) = 44.973"/><s v="F(1, 297) = 18.84"/><s v="F(1, 301) = 36.45"/><s v="0.43"/><s v="t(3411) = 21.5"/><n v="0.6878307"/><s v="F(1, 213) = 13.05"/><s v=" F{1, 213) = 13.05"/><s v="F(2, 313) = 11.2"/><s v="F(1, 313) = 23.92"/><s v="F(1, 313) = 48.59"/><s v="F(1, 213) = 9.59"/><s v="F(1, 313) = 56.28"/><s v="F(1, 313) = 188.2"/><s v="F (2, 218) = 20.7"/><s v="0.39"/><s v="t(70) = -2.55"/><s v="F(1, 113) = 4.10"/><s v="X@(1) = 107.81"/><s v="X2(3) = 247.97"/><n v="1.35"/><s v="X2(1) = 81.52"/><n v="2.71"/><s v="X2(1) = 231.60"/><s v="X2(1) = 59.48"/><n v="1.13"/><s v="X2(1) = 49.08"/><n v="1.62"/><s v="0.28"/><s v="F(1, 368) = 31.127"/><s v="0.25"/><s v="0.18"/><s v="0.19"/><s v="0.48"/><s v="X2(1) = 0.9026"/><s v="sobel test = 2.286"/><s v="t(132) = 2.973"/><s v="t(132) = - 2.319"/><s v="t(160) = 2.58"/><n v="0.54"/><n v="3296.0"/><s v="F(1, 260) = 99.46"/><s v="F (1, 260) = 99.46"/><s v=" F (2,260) = 1.45"/><s v="F(2,260) = 1.45"/><s v=" F (2,260) = 0.191"/><s v="F(2,260) = 0.191"/><s v="t(77) = 2.65"/><s v="0.568"/><n v="0.568"/><s v="0.764"/><s v="F(1, 8) = 1"/><s v="F(1, 8) = 18"/><s v="F(1, 9) = 30.519"/><s v="F(1,8) = 21.333"/><s v="F(1,8) = 18"/><s v="X2(1) = 5.76"/><s v="Regression discontinuity estimator = -2.44, robust SE = 1.22, robust CI (-4.82, -0.05)"/><s v="Regression discontinuity estimator = -3.16, robust SE = 1.03, robust CI (-5.18, -1.14)"/><n v="0.718"/><n v="0.552"/><s v="-1.069"/><s v="F = 41.32"/><s v="F = 3.37"/><s v="F = 4.21"/><s v="gamma = 0.075"/><s v="pi = 0.686"/><s v="pi = 0.061"/><s v="pi = 0.062"/><s v="pi = 0.046"/><s v="pi = 0.050"/><s v="pi = 0.078"/><s v="pi = 0.025"/><n v="0.6814"/></sharedItems></cacheField><cacheField name="es_type_o" numFmtId="0"><sharedItems containsBlank="1"><s v="original effect size type (e.g., d, r, r², etasq)"/><s v="test statistic"/><m/><s v="r"/><s v="d"/><s v="partial r"/><s v="NA"/><s v="beta"/><s v="beta (std)"/><s v="hedges' g"/><s v="OR"/><s v="delta"/><s v="etasq (partial)"/><s v="etasq"/><s v="b (unstd)"/><s v="F"/><s v="dv"/><s v="descriptive "/><s v="Strength of centrality of the nodes"/><s v="r-squared"/><s v="cohen's h"/><s v="Cronbach's alpha"/><s v="cramer's V"/><s v="cohen's f"/><s v="proportion"/><s v="kendall's w"/><s v="median difference"/><s v="Mean difference"/><s v="Difference Between Means"/><s v="mean coefficient"/><s v="ordered probit regression coefficient"/><s v="probit beta (marginal change in odds)"/><s v="percentage difference"/><s v="Difference of average per-period total surplus between the two treatments."/><s v="Phi"/><s v="omega squared"/><s v="Standard deviation units"/><s v="q"/><s v="z"/><s v="omega"/><s v="partial r-square"/><s v="dz"/></sharedItems></cacheField><cacheField name="es_repr_o"><sharedItems containsBlank="1" containsMixedTypes="1" containsNumber="1"><s v="Reproducible origin/calculation method for es_value_o (&quot;p. xx&quot; when reported, link when available online - e.g., OSF, otherwise calculation process)"/><s v="p. 7"/><m/><s v="p.31"/><s v="p. 16, 31"/><s v="p. 137"/><s v="t(18) = 1.92"/><s v="p. 23"/><s v="The study measured the perceptual processing of Spanish consonants using the speeded ABX categorization task."/><s v="p. 11"/><s v="p. 13"/><s v="p. 263"/><s v="p. 3"/><s v="p.3"/><s v="p.24-25"/><s v="p. 12"/><s v="p.26"/><s v="p. 15"/><s v="p. 73"/><s v="X2(1) = 1.62"/><s v="X2(1) = 0.53"/><s v="X2(1) = 0.51"/><s v="X2(1) = 0.37"/><s v="p. 428"/><s v="r code"/><s v="p. 7 replication paper"/><s v="p. 5"/><s v="p. 2"/><n v="28.0"/><s v="p. 8, see my calculation here: https://docs.google.com/spreadsheets/d/1Da93yd8SPd-GwqOb8HCKeN1Hobk77X3_1anZLPku0G0/edit?usp=sharing"/><n v="690.0"/><n v="148.0"/><s v="p.4"/><n v="4.0"/><s v="p.5"/><n v="5.0"/><s v="p.6"/><s v="The article uses — z = 1.73, p = .08 — a. r needs to be calculated using z and both sample groups size (17 in both), so we have r = 1,73/ √34 =0,297&#xA;"/><s v="p. 6"/><s v="p. 59"/><s v="p. 60"/><s v="p.16"/><n v="16.0"/><s v="p. 105"/><s v="p. 4"/><s v="p. 159"/><s v="p. 16"/><s v="p. 53"/><s v="p. 58"/><s v="p. 10"/><s v="p. 313-314"/><s v="p. 165"/><s v="df inferred based on context; Table 4 in replication"/><s v="p. 101, df inferred based on description"/><s v="p.100"/><s v="p.108"/><s v="p.101"/><s v="p.27"/><n v="3.0"/><n v="0.5978393308265779"/><n v="-0.3738747636968581"/><n v="0.8998987670827345"/><s v="p.9"/><s v="p. 8 "/><s v="p. 9"/><s v="p. 9 "/><s v="p.37"/><s v="p.393-394"/><s v="=(p. 7/0.0305)/(/)"/><s v="=(/)/(p. 5/0.01)"/><s v="=(p. 5/0.01)/(p. 5/0.01)"/><n v="8.0"/><s v="p.17"/><s v="p. 21"/><s v="p.20"/><s v="p.8"/><s v="p. 8"/><s v="4, Figure 2"/><s v="Calculated based on means and SDs from p. 53"/><s v="p.42"/><s v="p.2"/><n v="827.0"/><s v="Calculated with SPSS"/><s v="Calculated based on the data provided in Table 1 - N1 = 39, Standardized Cognitive Score SD 0.08 (0.42) and N2 =14 Standardized Cognitive Score SD −0.20 (0.53)"/><s v="&#xA;Calculated based on the data provided in Table 2. Z-scores were used as proxies for Cohen's d. Z-scores for Decrease and Increase were averaged resulting in d 3.23."/><s v="Cannot be calculated"/><s v="n/a"/><s v="p. 12-14"/><s v="p. 1663"/><s v="p. 20"/><s v="Orindary least squares regression, p.17-18"/><s v="Orindary least squares regression, p.17-19"/><s v="Orindary least squares regression, p.17-20"/><s v="Orindary least squares regression, p.17-21"/><s v="Orindary least squares regression, p.17-22"/><s v="Orindary least squares regression, p.17-23"/><s v="Orindary least squares regression, p.17-24"/><s v="Orindary least squares regression, p.17-25"/><s v="Orindary least squares regression, p.17-26"/><s v="Orindary least squares regression, p.17-27"/><s v="Diary entries and semi-structured interviews, Qualitative content analysis"/><s v="Independent samples t-test, Welch's t-test, p. 3"/><s v="independent samples t-test, Student's t-test, p. 3"/><s v="mediation analysis, p.3"/><s v="NA"/><s v="Mean, p.6"/><s v="binary factor analysis, p. 5; ordinary least squares p.6"/><s v="p.13"/><s v="p. 14"/><s v="p. 17"/><s v="p. 19"/><s v="generalized linear mixed effects model, p. 13"/><s v="p.1223"/><s v="5 (Table 1)"/><s v="p.13 replication"/><s v="p. 415"/><s v="p. 416"/><s v="p. 417"/><s v="p. 2 &amp; 7"/><s v="p. 534"/><s v="p. 5: =(746.31-706.98)/SQRT((25.83^2+25.83^2)/2)"/><s v="p.12"/><n v="12.0"/><s v="p.633"/><s v="p.10"/><s v="p.325"/><s v="p. 25"/><s v="p. 208"/><s v="p.785"/><s v="p. 13: =(5.87-4.55)/SQRT((1^2+1.9^2)/2)"/><s v="p. 13: =(5.78-4.55)/SQRT((1.1^2+1.9^2)/2)"/><s v="p. 4088"/><s v="p.6 in O (probably), but used statistics from Boyce"/><s v="p.6 in O (probably), but used statistics from Boyce https://github.com/vboyce/251-254-MA/blob/main/data/processed_data.csv"/><s v="p.2617"/><s v="p. 2617"/><s v="p.1680"/><s v="p.29"/><s v="p. 29: =(12.27-10.51)/SQRT(((178-1)*4.38^2+(172-1)*5.04^2)/(178+172-2)))"/><s v="p. 1259"/><s v="p. 302"/><s v="p. 466"/><s v="p. 386"/><s v="p.394"/><s v="p.798"/><s v="p. 172"/><s v="p. 6: =(3.54-4.82)/SQRT((1.94^2+2.15^2)/2)"/><s v="p. 5 "/><s v="p. 285"/><s v="p. 1393"/><s v="d copied from Boyce data set"/><s v="p. 1742"/><s v="p. 8039"/><s v="calculated based on the data in the paper, p. 1511 -  Consistent with our hypothesis, the analysis showed that females were more accurate in the social condition (M = 11.59, SD = 5.29, 95% CI = [9.80, 13.37]) than in the spatial condition (M = 7.69, SD = "/><s v="calculated based on data from p. 540, including table"/><s v="p.7"/><s v="p. 338"/><s v="p. 3 X2(1, N = 78) = 27.2, p &lt; .001."/><s v="p. 18-19"/><s v="p. 18-19, X2(1, N = 41) = 15.3, p &lt;.001"/><s v="p. 1273"/><s v="calculated based on Chosen Lotteries:  (M = 2.94, SD = 0.33; willingness to wait: M = 47.19%, SD = 19.81%) tand provided to them (M = 2.78, SD = 0.3; willingness to wait: M = 40.19%, SD = 19.23%)."/><s v="p. 1155"/><s v="p. 279"/><s v="calculated based on statistics page 4 (Fig. 3A; coefficient = 0.28; 95% CI: 0.19–0.36; t(556) = 6.55; p &lt; 0.001)."/><s v="p.442"/><n v="1274.0"/><s v="p. 227"/><s v="p. 117, Table 4"/><s v="p. 216"/><s v="p. 348"/><s v="p. 517"/><s v="p. 449"/><s v="p. 26"/><s v="p. 309"/><s v="p. 1"/><s v="p. 1,2"/><n v="7.0"/><s v="p. 989"/><n v="14.0"/><s v="p.1 "/><s v="calculated based on the data in the paper - [percentage correct: M  53.0%,SD  10.7%), t (19) = 1.26, P  &gt; 0.05]. N = 20"/><s v="t. 3"/><s v="p. 506"/><s v="p. 61"/><s v="p.  190"/><s v="p. 9; bseb=1.28(.12)"/><s v="p. 9; bseb=.44(.13)"/><s v="p. 744"/><s v="p. 8054"/><s v="p. 444"/><s v="p. 519"/><s v="p.252"/><s v="t. 1/ p. 3"/><s v="p.105"/><s v="p.1149"/><s v="p. 401"/><s v="t. 2"/><s v="p.72"/><s v="p.1210, Table 2, row &quot;dislike to like&quot;, difference"/><s v="p.1210"/><s v="p.7, 8"/><s v="p. 829"/><s v="p.730"/><s v="p.789"/><s v="p. 1622"/><s v="p.3 "/><s v="p. 384"/><s v="p.21"/><s v="F(1,115)=7.497 (https://github.com/vboyce/251-254-MA/blob/main/data/processed_data.csv)"/><s v="taken from replication: https://github.com/vboyce/251-254-MA/blob/main/data/processed_data.csv"/><s v="p. 512"/><s v="t. 1"/><s v="p.959"/><s v="p.356"/><s v="p.237"/><s v="p. 83"/><s v="p. 977"/><s v="p. 614"/><s v="p. 1927"/><s v="=(0.02-2.54)/SQRT((2.38^2+1.95^2)/2)"/><s v="p.86"/><s v="=(0.512/(1-0.512))/(0.127/(1-0.127))"/><s v="p. 162"/><s v="p. 479, converted with 1.85/(.917 * sqrt(60*60/120)), as SE can be used to calculate SD from sample size in single predictor regression; matches report in Camerer"/><s v="SQRT((1.850/0.917)^2 / ((1.850/0.917)^2 + 118))"/><s v="=(0.671/(1-0.671))/(0.413/(1-0.413))"/><s v="(0.671/(1-0.671))/(0.413/(1-0.413))"/><s v="p. 345 - note that replication report calculates this as &quot;0.893−0.250 = 0.743&quot;, so same formula, different maths"/><s v="(0.893-0.25)/SQRT(((38-1)*0.009^2+(40-1)*0.105^2)/(38+40-2)))"/><s v="Table 4: =(0.57/(1-0.57))/(0.83/(1-0.83))"/><s v="=(0.29-0.17)/SQRT(((72-1)*0.06^2+(52-1)*0.06^2)/(72+52-2)))"/><s v="p. 839, 54.74  - 21.31"/><s v="54.74  - 21.31"/><s v="p. 3121"/><s v="2.997/1.352"/><s v="=(0.742/(1-0.742))/(0.359/(1-0.359))"/><s v="0.383 / 0.041"/><s v="p. 875 (.414 - .079)"/><s v="p. 943"/><s v="−2.739 / 0.651"/><s v="p. 129"/><s v="-0.116 / 0.064"/><s v="p. 3324 (.86-3.77)"/><s v="p. 854"/><s v="10.25 - 16.17"/><s v="=(0.78/(1-0.78))/(0.4/(1-0.4))"/><s v="(8.82 + 15.38) - (10.76 - 10.41) "/><s v=" Table 7"/><s v="Tables 7 and 12 (.43 - .27)"/><s v="=(0.43/(1-0.43))/(0.27/(1-0.27))"/><s v="p. 540, 0.81 - 0.16"/><s v="0.81 - 0.16"/><s v="=(0.33-0.01)/SQRT((^2+^2)/2)"/><s v="0.33 - 0.01        "/><s v="=(5.8-5.38)/SQRT(((26-1)*0.76^2+(28-1)*0.79^2)/(26+28-2)))"/><s v="R, compute.es pkg"/><s v="p. S4"/><s v="p. 378"/><s v="p. 1832"/><s v="(2.05-1)/SQRT(((20-1)*0.96^2+(20-1)*1.41^2)/(20+20-2)))"/><s v="p. 1531"/><s v="p. S18"/><s v="p. 50 (of Camerer SMs, Supplementary Table 1), and p.1 of post-data collection report"/><s v="p. S11"/><s v="p. S21"/><s v="p. 683"/><s v="p. 48 (of Camerer SMs, Supplementary Table 1), p. 1 of post-data collection report"/><s v="=(712-591)/SQRT((413^2+204^2)/2)"/><s v="MANUALLY REVERSED FROM =(3.2-6.87)/SQRT(((15-1)*2.23^2+(15-1)*1.91^2)/(15+15-2)))"/><s v="=1/((0.306/(1-0.306))/(0.583/(1-0.583))) (flipped to align with replication)"/><s v="p. 389"/><s v="=(0.677/(1-0.677))/(0.617/(1-0.617))"/><s v="p. 495"/><s v="=(0.493/(1-0.493))/(0.7143/(1-0.7143))"/><s v="p. S9"/><s v="p. S17"/><s v="p. 5 using a mouse        Mean percentile = 58.8        p &lt; .01&#xA;"/><s v="Driving        Mean percentile = 65.4        p &lt; .0001"/><s v="Riding a bicycle        Mean percentile = 64.0        p &lt; .0001"/><s v="Saving money        Mean percentile = 61.5        p &lt; .01"/><s v="Telling jokes        Mean percentile = 46.5        n.s."/><s v="Playing chess        Mean percentile = 27.8        p &lt; .0001"/><s v="Juggling        Mean percentile = 26.5        p &lt; .0001"/><s v="Programming        Mean percentile = 24.8        p &lt; .0001"/><s v="r—.96 (df = 6,p &lt; .001)."/><s v="r = 0.95 (df = 6, p &lt; .001)."/><s v="p.4, F(1, 59) = 15.61, prep &gt; .999, ηp2 = .21"/><s v="Calculated based on F(1, 95) = 5.38 and variance explained (η² = 0.055) reported on p. 245."/><s v="p.935"/><s v="Reported on page 391."/><s v="p.8 t(28) = 2.86,p&lt; .01, as predicted."/><s v="p. 391"/><s v="Reported on page 106."/><s v="p. 49"/><n v="2.0"/><s v="Reported in the text, Page 454, describing results from Problems 1 and 2."/><s v="p. 6 of replication paper"/><s v="Reported on page 329."/><s v="p. 16 of replication paper"/><s v="In R, cohens_h &lt;- 2 * (asin(sqrt(0.75)) - asin(sqrt(0.375)))"/><s v="Reported directly in the text on page 1163."/><s v="p. 3, n based on df"/><s v="Appendix of Correll (2008), p. 59"/><s v="p. 409; one-tailed is mentioned in footnote 1"/><n v="409.0"/><s v="p.2 (table 1)"/><s v="p.2, Table 2, F1,82 = 6.40 p = 0.01"/><s v="p.2, Table 2, b = 0.36, p = 0.0003"/><s v="p.2, Table 2, F1,82 = 1.06, p = 0.30"/><s v="Reported directly in the text, page 1171."/><s v="Reported directly in the text on page 169-170."/><s v="p.2, Table 2"/><s v="p.2, Table 2, b = –0.01 , p = 0.90"/><s v="p.2, Table 2, F1,65 = 4.07 p = 0.04"/><s v="p.2, Table 2, F1,65 = 0.01, p =0.90"/><n v="809.0"/><s v="p.2, Table 2, F2,352 =3.10, p = 0.04"/><s v="p.2, Table 2, b = 0.28, p &lt;0.001"/><s v="p.2, Table 2, F2,352 = 1.37, p = 0.25"/><s v="Calculated based on means and SDs from p. 470"/><s v="Reported in Table 2 on page 796."/><s v="Reported on p. 1215"/><s v="Reported directly in text on page 651, (page 9 in pdf)."/><s v="Reported in text on page 9."/><s v="calculated with N and chi squared"/><s v="Reported directly in the text, page 214."/><s v="reported in table "/><s v="Reported directly in the text, page 1070-1071."/><n v="1.0"/><s v="p.1"/><s v="Reported on page 302 and Table 1."/><n v="945.0"/><s v="Reported on page 869."/><s v="p.14, 15"/><s v="p.26, 27"/><s v="p. 28"/><s v="p. 29"/><s v="p.25"/><s v="p. 25- 26"/><s v="p.405"/><s v="p.406"/><s v="p.407"/><s v="p.384"/><s v="=(p.384-)/SQRT(((p. 5-1)*p. 5^2+(-1)*p.2^2)/(p. 5+-2)))"/><s v="p.4 SI"/><s v="=(-)/SQRT((p.3^2+^2)/2)"/><s v="p.12 SI"/><s v="p.19"/><s v="p. 478"/><s v="p. 320"/><s v="from replication report - diff in correlations was not formally tested"/><s v="p.  11"/><s v="Table 1: =(10.82-3.3)/SQRT((3.47^2+2.62^2)/2)"/><s v="=(9.27-7.02)/SQRT((2.88^2+3.06^2)/2)"/><s v="p. 192: =(0.82/(1-0.82))/(0.23/(1-0.23))"/><s v="p. 7, =(0.89/(1-0.89))/(0.11/(1-0.11))"/><s v="p. 283"/><s v="p. 508"/><s v="p. 44"/><s v="=(0.68/(1-0.68))/(0.29/(1-0.29))"/><s v="p. 18"/><s v="p. 1032 + 1033"/><s v="p. 8, =(0.72/(1-0.72))/(0.56/(1-0.56))"/><s v="p. 295"/><s v="Table 1: =(4.08-5.33)/SQRT((1.56^2+1.3^2)/2)"/><s v="p. 246"/><s v="p. 33"/><s v="p. 33: =(5.01-4.62)/SQRT(((200-1)*0.6^2+(200-1)*0.81^2)/(200+200-2)))"/><s v="p. 87"/><s v="p. 1452"/><s v="p. 487"/><s v="p. 740"/><s v="replication report"/><s v="p. 145"/><s v="p. 574: =(2.45-1.9)/SQRT(((20-1)*0.64^2+(20-1)*0.89^2)/(20+20-2)))"/><s v="p. 768"/><s v="=(0.7/(1-0.7))/(0.65/(1-0.65))"/><s v="p. 187: =(0.7/(1-0.7))/(0.35/(1-0.35))"/><s v="p. 549"/><s v="p. 396"/><s v="p. 666"/><s v="p. 667"/><s v="p. 109"/><s v="p. 9, Table 2"/><s v="p. 9/ t. 2"/><s v="p.3 M7= 71.55) (M4= 19.65"/><s v="p.3 (M7= 6.60 vs. M4= 4.41; ,"/><s v="p. 17 (F(2, 245) = 3.85, p &lt; .05, n2 = .029)"/><s v="p. 17 (F(2, 245) = 4.04, p &lt; .05, n2 = .031);"/><s v="p. 17 "/><s v="p. 17 (M = 5.53 vs. M = 6.50, t(247) = 2.81, p =.005, Cohen’s d = - 0.51)"/><s v="p. 17 (M = 6.65 vs. M = 6.38, t(247) = - 0.78, p &gt; .44, Cohen’s d = 0.16)."/><s v="p. 17 (b = 0.49, t(246) = 4.92, p &lt; .0001, n2 = .086)."/><s v="p. 17 (.09, 95% CI = 0.02–0.18),"/><s v="p.17 (-.02, 95% CI = -0.10 to 0.04)."/><s v="p.17  (.11, 95% CI = 0.02–0.24)."/><s v="p. 11 (Mfinancial = 5.61, SD = 1.62) (Mcontrol= 4.19, SD = 2.09; F(1, 375) = 53.91, p &lt; .001)."/><s v="p. 11 (Mfinancial = 5.43, SD =1.546; Mcontrol = 5.02, SD = 1.65; F(1, 375) = 6.48,p = .011)."/><s v="p. 11 ,(F(1, 375) 1⁄4 10.02, p 1⁄4 .002)."/><s v="p.11"/><s v="p. 10 (MTEL = $9.81, SD = $6.39; MMEL = $4.41, SD = $2.84; F(1, 175) = 53.72, p &lt; .01,Cohen’s d = 1.08)."/><s v="p.10 (Mnear future = $8.50, SD = $7.08; Mdstant future = $6.12, SD = $3.68; F(1, 175) = 6.92, p &lt; .01, Cohen’s d = .34)."/><s v="p.10 (F(1, 175) = 8.60, p &lt; .01),"/><s v="p. 26 (M = $2.86; SD = 1.25) (M = $3.24; SD = 1.01; F(1, 156) = 4.46; p = .04; np2= .03)."/><s v="p. 27  (β  = .01; SE = .005; t = 2.12; p = .04)"/><s v="p.27 β = -.38; SE = .14; t = 2.83; p = .005),"/><s v="p. 27 (β  (= .02; SE = .005; t = 4.07; p &lt; .001)"/><s v="p.6  (x2 (2,N = 133) =10.69, p = .005, Cohen’s d =.59)."/><s v="p.6  M = 44,2% , M =15.6%, B= 1.46, standard error [SE] = .51, Wald = 8.07, p = .005)"/><s v="p.6 M = 44,2%, (M = 20.0%, B = 1.15, SE = .48, Wald = 5.70, p = .017)"/><s v="p.6 (B 1= .31, SE = .56, Wald = .30, not significant)."/><s v="p. 35 MScarcity = 1.49 vs. MControl = 4.84; F(1, 156) = 209.4, p &lt;.001)."/><s v="p. 35 (p &gt; .75)"/><s v="p. 35 (p &gt; .13)."/><s v="p. 35 PHigh Threat = .37, SD = .23 vs. PLow Threat = .30, SD = .22, F(1, 156) = 4.14, p = .044),"/><s v="p. 35, p &gt; .20"/><s v="p.36 F(1, 156) = 3.96, p = .048)"/><s v="p. 36"/><s v="p. 3, (F(1, 367)=63.87, p &lt; 001)."/><s v="p.3 (58% to 42%; t(188)=5.33, p &lt;.001, one-tailed)."/><s v="p. 3, 59% to 41%; t(185)=5.37, pb.001, one-tailed)."/><s v="p. 5 (Mhigh = 15.28, SD = 1.26 vs. Mlow = 14.41, SD = 1.59, F(1, 75) = 7.13, p &lt;.01, ηp2 = .09)."/><s v="p. 5 ((Mhigh = 5.19, SD = 1.08 vs. Mlow = 4.66, SD = .98, F(1, 75) = 4.95, p &lt; .05, ηp 2 = .06)."/><s v="p. 6 (Mhigh = 6.05, SD = 1.34 vs. Mlow = 5.14, SD = 1.62, F(1, 75) = 7.35, p &lt; .01, ηp2 = .09)."/><s v="p. 8 41.30% vs. 19.14%; , p &lt; .05)."/><s v="p.11 Mmatch = 4.79, Mmismatch = 3.44; F(1, 76) = 14.47, )."/><s v="p. 11 Mmatch = 6.26, Mmismatch =  5.53; F(1, 76) = 3.20,p = .08)."/><s v="p.6. Mcir= 6.50,  [SD]= 1.66)  (Mang=5.35, SD=1.65; F(1, 106)=8.17, p &lt; .01;"/><s v="p.6, Mang= 6.27, SD= 1.28)  (Mcir= 5.39, SD= 1.65; F(1, 106) = 4.36, p &lt; .05;"/><s v="p.6 Mcir = 4.65, SD = 1.75 vs. Mang = 5.01, SD = 1.42 vs. Mno-logo = 5.06, SD = .96; F &lt; 1, NS)."/><s v="p. 7 (F(2, 173) = 6.62, p &lt; .01)."/><s v="p.7 (Mleft vs Mright = 5.69; t(173) = 2.28, p &lt;.05),"/><s v="p. 7 Mleft vs. Mright = 7.12 t(173) = 2.80, p&lt;01)."/><s v="p.5 (Mlower dynamism = 4.75, Mhigher dynamism = 5.58; , p &lt;.05),"/><s v="p.5 (Mlower dynamism = 4.18, Mhigher dynamism = 5.47; , p &lt; .01),"/><s v="p. 4; X^2 = 3.83"/><s v="p. 5; F(1, 34) = 5.8"/><s v="p. 5; t(84) = 2.09"/><s v="p. 12; F(1, 21) = 17.3"/><s v="p. 4; F(1, 278) = 123.38"/><s v="p. 3; F(1, 9) = 8.7"/><s v="p. 1; t(124) =10.36"/><s v="p. 4; F(1,30) = 14.49"/><s v="p. 4; F(1, 111) = 5.311"/><s v="p. 3; F(2, 92) = 3.13"/><s v="p. 5, 6; t(11) = 5.39"/><s v="p. 3; F(1, 26) = 4.17"/><s v="p.16 "/><s v="p. 24"/><s v="d=(754-640)/SQRT((339^2+316^2)/2)"/><s v="10.1152--japplphysiol.91324.2008.pdf"/><s v="p. 13-14"/><n v="6.0"/><n v="9.0"/><s v="X2(1, N = 82) = 8.2439, p = 0.004089)"/><s v="p. 210 X2(1, N = 126) = 7.62, p &lt; .01"/><s v="p. 682 X2(1, N = 41) = 6.034, p &lt; 0.05"/><s v="p. 116, t(93) = 2.07, p &lt; .05"/><s v="p. 6 F(1, 62.9) = 8.5, p = .005"/><s v="p. 140 X2(1, N = 85) = 7.873, p = .005"/><s v="p. 314 X2(1, N=37) = 7.7, df = 1, p &lt; .01"/><s v="p. 18 t(3411) = 21.5, p &lt; .001"/><s v="p. 10  t(117) = 7.47, p &lt; .001 "/><s v="X2(1, N = 48) = 6.2061, p &lt; .05"/><s v="p. 476 t = −10.126, df = 747, p&lt;.001"/><s v="p.325 t(109) = 7.12, p&lt;001] and the effect size (d = 0.87) i"/><s v="Interaction effect, F(1, 213) = 13.05, p &lt; .001, p. 10 second effect"/><s v="Interaction effect, F(1, 213) = 13.05, p &lt; .001"/><s v=" p. 10"/><s v="X2(1, N = 15664) = 1512.4, p &lt; 0.001 from replication dataset https://osf.io/4ewkh"/><s v="p. 488"/><s v="p. 166 CRT-First: M = 3.77; Dilemmas-First: M = 3.25; t(90) = 2.03, p = .05, d = 0.43)."/><s v="p, 7 t(70) = -2.55 p &lt; .05"/><s v="p. 705 t(98) = 3.4, p = .001"/><s v="p. 355"/><s v="X2 = 107.81, df = 1, N = 202, p &lt; .001, B = 1.62, Exp(B) = 5.07"/><s v="p. 226 "/><s v="X2(1, N = 60) =.9026, p=.3421"/><s v="p. 15, Figure 2. Sobel test = 2.286, p &lt; .022"/><s v="p. 10. Table 2 t(160)=2.58, p = .01, η2=0.040"/><s v="p. 352 t = 3.42, df = 29, p = .002"/><s v="p. 9 X2(1, N = 162) = 14.421, df = 1, p &lt; .001"/><s v="p. 31"/><s v="p. 4 t(75) = 2.65, p = 0.01"/><s v="p. 6 t(58) = -2.210, p = .031"/><s v="Post replication form page 2: X2(1, N = 44) = 20.53, p &lt;.001&#xA;https://osf.io/d478r"/><s v="X2(1, N = 44) = 20.53, p &lt;.001"/><s v="X2(1, N = 77) = 1.8348, p = 0.1756"/><s v="pg 1 - https://osf.io/ygv4e &#xA;“a surprising majority of [participants] (viz., 73%) were willing to say that Fredintentionally prevented the explosion”Inferring from reported sample size and reported percentages, there were 29 (out of 40) participants willi"/><s v="In R, cohens_h &lt;- 2 * (asin(sqrt(0.739)) - asin(sqrt(0.409)))"/><s v="p. 34, Table 6"/></sharedItems></cacheField><cacheField name="pval_value_o"><sharedItems containsBlank="1" containsMixedTypes="1" containsNumber="1"><s v="The reported p-value associated with the original finding, must contain only one value and must not contain text"/><n v="0.01"/><m/><n v="0.001"/><s v="0.001"/><n v="0.05"/><n v="0.71"/><n v="0.02"/><n v="0.79"/><n v="0.019"/><n v="0.025"/><n v="4.0E-4"/><s v="0.003"/><s v="0.632"/><s v="0.236"/><s v="0.023"/><n v="0.059"/><n v="0.006"/><n v="0.007"/><n v="0.07"/><n v="0.002"/><n v="0.2"/><n v="0.41"/><n v="0.48"/><n v="0.55"/><n v="0.47"/><n v="0.45"/><s v="NA"/><n v="1.0E-4"/><n v="3.0E-4"/><n v="0.1"/><n v="0.86"/><n v="0.09"/><n v="0.001155"/><n v="0.08"/><n v="0.00265"/><n v="0.4"/><n v="0.17"/><n v="0.26"/><n v="0.83"/><n v="0.005"/><n v="1.0E-5"/><n v="0.031"/><n v="0.009"/><n v="0.04"/><n v="0.012"/><n v="0.013"/><n v="0.029"/><n v="0.011"/><n v="0.46"/><n v="0.047"/><n v="0.03"/><n v="0.023"/><n v="0.5"/><n v="0.901"/><n v="0.917"/><n v="0.669"/><n v="0.751"/><n v="0.763"/><n v="0.118"/><n v="0.0025"/><s v="N/A"/><n v="0.0717"/><n v="0.3451"/><n v="0.0012"/><n v="0.0187"/><n v="0.0134"/><n v="0.0154"/><n v="0.1649"/><n v="2.0E-4"/><n v="0.21"/><n v="0.021"/><n v="0.0"/><n v="0.11"/><n v="0.72"/><n v="0.29"/><n v="0.15"/><n v="0.3"/><n v="0.53"/><n v="0.25"/><n v="0.97"/><n v="0.0364"/><n v="0.0305"/><s v="ns"/><n v="0.045"/><n v="0.073"/><n v="0.375"/><n v="0.018"/><n v="0.0013"/><n v="0.041"/><n v="0.043"/><s v="Main: p &gt; 0.05&#xA;Interaction: p&lt;0.004&#xA;Simple: non-expert p &lt; 0.04, expert p &lt; 0.03"/><s v="Main: p &gt; 0.05&#xA;Interaction: p&lt;0.002&#xA;Simple: non-expert p &lt; 0.01, expert p = 0.05"/><n v="0.12"/><n v="0.003"/><n v="0.67"/><n v="0.004"/><n v="0.026"/><n v="0.053"/><n v="0.037"/><n v="0.702"/><n v="0.008"/><n v="0.84"/><n v="0.24"/><n v="0.022"/><n v="0.056"/><n v="0.032"/><n v="0.139"/><n v="0.057"/><n v="0.223"/><n v="0.051"/><n v="0.592"/><n v="0.886"/><n v="0.455"/><n v="0.072"/><n v="0.421"/><n v="0.644"/><n v="0.227"/><n v="0.035"/><n v="0.042"/><n v="0.9"/><s v="0.035"/><s v="0.009"/><s v="0.042"/><n v="0.56"/><n v="0.307"/><n v="0.116"/><n v="0.143"/><n v="1.47769853598369E-5"/><n v="0.96"/><n v="0.58"/><n v="5.66347582420852E-15"/><n v="0.016"/><n v="0.536"/><n v="0.06"/><n v="0.187"/><n v="0.91"/><n v="0.36"/><n v="2.52625057832611E-12"/><n v="0.625"/><n v="0.093"/><n v="0.054"/><n v="0.044"/><n v="1.0E-6"/><n v="0.052"/><n v="0.134"/><n v="0.69"/><n v="9.21719900448522E-19"/><n v="6.62469529051993E-5"/><n v="0.609"/><s v="0.006352567590246201"/><n v="0.065"/><n v="0.348"/><n v="0.829773477380528"/><n v="0.547"/><n v="0.078"/><n v="7.83134738554709E-24"/><n v="5.0E-4"/><n v="1.37237492094605E-28"/><n v="0.00148066986056677"/><n v="0.23"/><n v="6.44373736390437E-9"/><n v="0.0409984059452884"/><n v="0.033"/><n v="0.017238199239407"/><n v="0.0206772695323613"/><n v="0.00716387110547914"/><n v="3.26311635515222E-152"/><n v="0.01723819924"/><n v="0.489"/><n v="0.015"/><n v="9.45528557450159E-14"/><n v="0.049"/><n v="3.9E-5"/><n v="0.0238"/><n v="0.0092"/><n v="0.0044"/><n v="0.0089"/><n v="0.046"/><n v="0.0021"/><n v="4.4E-5"/><n v="5.4E-5"/><n v="0.0042"/><n v="0.0027"/><n v="8.362E-9"/><n v="0.999"/><n v="0.22"/><n v="0.028"/><s v="0.028"/><s v="0.025"/><s v="0.350"/><n v="0.048"/><n v="0.63"/><n v="0.349"/><n v="0.568"/><n v="0.613"/><n v="0.095"/><s v="0.05"/><s v="1.0e−05 "/><n v="0.036"/><n v="0.027"/><s v="0.68"/><n v="0.34"/><n v="0.426"/><n v="0.418"/><n v="0.575"/><n v="0.581"/><n v="0.548"/><n v="0.553"/><n v="0.583"/><n v="0.594"/><n v="7.4E-7"/><s v="p. 396"/><n v="0.44"/><n v="0.017"/><n v="0.75"/><n v="0.13"/><n v="0.93"/><s v="0.01"/><n v="0.091"/><s v="LINK"/><n v="0.43"/><n v="0.777"/><n v="0.024"/><s v="0.04"/><n v="0.004089"/><n v="0.3421"/><n v="0.347"/><n v="0.1756"/><n v="0.039"/></sharedItems></cacheField><cacheField name="pval_type_o" numFmtId="0"><sharedItems containsBlank="1"><s v="How is p-val reported?&#xA;&quot;=&quot; (e) / &quot;&lt;&quot; (l) / &quot;&gt;&quot; (g) or combined (le, ge)?&#xA;&#xA;for example &quot;p &lt;= .05&quot; should be coded as &quot;le&quot;"/><s v="l (&lt;)"/><m/><s v="e (=)"/><s v="g (&gt;)"/><s v="NA"/><s v="N/A"/><s v="le (&lt;=)"/><s v="Holgado, D., Troya, E., Perales, J. C., Vadillo, M. A., &amp; Sanabria, D. (2019). Does mental fatigue impair physical performance? A replication study. European Journal of Sport Science, 2020."/></sharedItems></cacheField><cacheField name="pval_tails_o" numFmtId="0"><sharedItems containsBlank="1"><s v="How many tails associated with the p-value, taking on values of one, two, or unknown&#xA;&#xA;one: 1&#xA;two: 2&#xA;unknown / not specified: NA&#xA;missing: not coded"/><s v="2 (two)"/><m/><s v="NA (not reported)"/><s v="1 (one)"/><s v="Linguistics"/><s v="NA"/><s v="N/A"/><s v="10.31236/osf.io/tzn6d"/></sharedItems></cacheField><cacheField name="nested_o" numFmtId="0"><sharedItems containsBlank="1"><s v="Is pval based on a test that accounts for dependence between observations (e.g., multilevel, repeated measures)"/><s v="no"/><m/><s v="yes"/><s v="Production accuracy - /ei/ format"/><s v="NA"/><s v="N/A"/><s v="unsure"/></sharedItems></cacheField><cacheField name="prereg_o" numFmtId="0"><sharedItems containsBlank="1"><s v="Link to preregistration of O (only search for &quot;regist&quot;)"/><s v="NA"/><m/><s v="https://osf.io/jqpm8/?view_only=38a5b79a4f2a49b0a0b1a74c6afc8677"/><s v="https://osf.io/jqpm8/?view_only=38a5b79a4f2a49b0a0b1a74c6afc8679"/><s v="https://osf.io/yajmp"/><s v="https://osf.io/yqxme"/><s v="https://doi.org/10.1257/rct.3585-2.0"/><s v="https://aspredicted.org/blind.php?x=6w6gu4"/><s v="https://osf.io/fdh4m/"/><s v="https://osf.io/g6u9q"/><s v="https://osf.io/yxusb"/><s v="https://osf.io/x73nv"/><s v="https://osf.io/gwq48"/><s v="https://osf.io/r57d6"/><s v="https://osf.io/txe4d"/><s v="https://osf.io/8k4t5/."/><s v="https://osf.io/zxp9k/."/><s v="https://osf.io/xhz4q/"/><s v="https://osf.io/ajqzg"/><s v="https://aspredicted.org/ai7am.pdf"/><s v="https://aspredicted.org/public/205223581.pdf"/><s v="osf.io/gseqn"/><s v="https://aspredicted.org/uv6ha.pdf"/><s v="https://osf.io/g9yrc"/><s v="https://osf.io/9fdhb/"/><s v="https://aspredicted.org/mq97g.pdf"/><s v="https://osf.io/5ybej/."/><s v="https://osf.io/nsk8h/?view_only=b1e702d061484d1bb4150754892d9197"/><s v="https://osf.io/krx8m/?view_only=069f8366242e4dccb0309ccf89f88324."/><s v="https://osf.io/w6qub/"/><s v="https://osf.io/7dh3m"/><s v="https://osf.io/qg3m2/registrations"/><s v="https://osf.io/qg3m2/"/><s v="https://osf.io/egc9y/"/><s v="https://osf.io/egc9y/."/><s v="https://osf.io/92qp3/."/><s v="https://osf.io/vzmdj"/><s v="https://osf.io/ebhku/"/><s v="https://aspredicted.org/blind.php?x=fx3kz7"/><s v="Study 2a. Preregistration site is http://aspredicted.org/blind.php?x=fx3kz7.&#xA;Study 2b. Preregistration site is https://aspredicted.org/blind.php?x=hd589d.&#xA;Study 4a. Preregistration site is https://aspredicted.org/blind.php?x=c44jr2.&#xA;Study 4b. Preregistrat"/><s v="https://osf.io/mge8r/"/><s v="https://aspredicted.org/yp5az.pdf"/><s v="Study 1a: https://aspredicted.org/yp5az.pdf&#xA;Study 1b: https://aspredicted.org/n3pd9.pdf"/><s v="https://osf.io/xcg6e/?view_only=d0fcb2bb73fb4648ad6e3da300505f65"/><s v="Not mentioned"/><s v="https://osf.io/ev794"/><s v="https://aspredicted.org/w82be.pdf"/><s v="https://osf.io/qfhe4/"/><s v="https://aspredicted.org/ij46t.pdf"/><s v="N/A"/><s v="https://osf.io/xvqg2"/><s v="https://osf.io/wg9s3/."/><s v="no"/></sharedItems></cacheField><cacheField name="n_r"><sharedItems containsBlank="1" containsMixedTypes="1" containsNumber="1" containsInteger="1"><s v="R's sample size [used for the critical test, i.e., after exclusion criteria have been applied], must contain only one value and must not contain text"/><n v="39.0"/><m/><n v="137.0"/><n v="165.0"/><n v="80.0"/><n v="58.0"/><s v="The study measured the production accuracy of  /ei/ format using a delayed sentence repetition task."/><n v="1079.0"/><n v="71.0"/><n v="93.0"/><n v="84.0"/><n v="4.0"/><n v="486.0"/><n v="2421.0"/><n v="40.0"/><n v="119.0"/><n v="1684.0"/><n v="2072.0"/><n v="899.0"/><n v="574.0"/><n v="46.0"/><n v="70.0"/><n v="55.0"/><n v="351.0"/><n v="590.0"/><n v="885.0"/><n v="50.0"/><n v="40177.0"/><n v="40117.0"/><n v="123.0"/><n v="117.0"/><n v="61.0"/><n v="48.0"/><n v="3906.0"/><n v="229.0"/><n v="100.0"/><n v="81.0"/><n v="74.0"/><n v="211.0"/><n v="215.0"/><n v="198.0"/><n v="321.0"/><n v="103.0"/><n v="992.0"/><n v="1228.0"/><s v="Unsure. Only a range between around 1000 and over 310,000 obs is reported on p1025, but not broken down in simple cells"/><s v="NA"/><n v="78.0"/><n v="127.0"/><n v="134.0"/><n v="500.0"/><n v="5.0"/><n v="156.0"/><n v="151.0"/><n v="27.0"/><n v="404.0"/><n v="205.0"/><n v="199.0"/><n v="73.0"/><n v="75.0"/><n v="152.0"/><n v="161.0"/><n v="582.0"/><n v="754.0"/><n v="377.0"/><n v="1000.0"/><n v="15.0"/><n v="3415.0"/><n v="32.0"/><n v="68.0"/><n v="1270.0"/><n v="106.0"/><n v="109.0"/><n v="120.0"/><n v="1018.0"/><n v="1.0"/><n v="533.0"/><n v="190.0"/><n v="98.0"/><n v="97.0"/><n v="148.0"/><n v="600.0"/><n v="451.0"/><n v="4963.0"/><n v="1193.0"/><n v="1250.0"/><n v="303.0"/><n v="254.0"/><n v="51.0"/><n v="36.0"/><n v="37.0"/><n v="116.0"/><n v="258786.0"/><n v="132.0"/><n v="143.0"/><n v="571.0"/><n v="588.0"/><n v="42.0"/><n v="961.0"/><n v="475.0"/><n v="270.0"/><n v="729.0"/><n v="9.0"/><n v="862.0"/><n v="30.0"/><n v="18.0"/><n v="28.0"/><n v="24.0"/><n v="60.0"/><n v="182.0"/><n v="63.0"/><n v="41.0"/><n v="29.0"/><n v="149.0"/><n v="8.0"/><n v="10.0"/><n v="755.0"/><n v="297.0"/><n v="601.0"/><n v="1036.0"/><n v="881.0"/><n v="882.0"/><n v="879.0"/><n v="3.0"/><n v="2.0"/><n v="12.0"/><n v="56.0"/><n v="45.0"/><n v="25.0"/><n v="209.0"/><n v="82.0"/><n v="23.0"/><n v="108.0"/><n v="235.0"/><n v="224.0"/><n v="87.0"/><n v="168.0"/><n v="128.0"/><n v="126.0"/><n v="90.0"/><n v="64.0"/><n v="17.0"/><n v="292.0"/><n v="208.0"/><n v="226.0"/><n v="157.0"/><n v="19.0"/><n v="20.0"/><n v="124.0"/><n v="104.0"/><n v="6.0"/><n v="387.0"/><n v="150.0"/><n v="158.0"/><n v="95.0"/><n v="194.0"/><n v="26.0"/><n v="212.0"/><n v="14.0"/><n v="35.0"/><n v="136.0"/><n v="43.0"/><n v="13.0"/><n v="31.0"/><n v="86.0"/><n v="47.0"/><n v="52.0"/><n v="160.0"/><n v="250.0"/><n v="243.0"/><n v="11.0"/><n v="88.0"/><n v="114.0"/><n v="115.0"/><n v="221.0"/><n v="135.0"/><n v="53.0"/><n v="118.0"/><n v="179.0"/><n v="175.0"/><n v="54.0"/><n v="145.0"/><n v="349.0"/><n v="315.0"/><n v="102.0"/><n v="110.0"/><n v="147.0"/><n v="338.0"/><n v="300.0"/><n v="188.0"/><n v="22.0"/><n v="225.0"/><n v="131.0"/><n v="16.0"/><n v="77.0"/><n v="79.0"/><n v="318.0"/><n v="220.0"/><n v="144.0"/><n v="357.0"/><n v="360.0"/><n v="264.0"/><n v="96.0"/><n v="262.0"/><n v="599.0"/><n v="49.0"/><n v="714.0"/><n v="286.0"/><n v="89.0"/><n v="480.0"/><n v="306.0"/><n v="2136.0"/><n v="619.0"/><n v="234.0"/><n v="482.0"/><n v="92.0"/><n v="531.0"/><n v="407.0"/><n v="214.0"/><n v="240.0"/><n v="76.0"/><n v="72.0"/><n v="38.0"/><n v="228.0"/><n v="200.0"/><n v="6289.0"/><n v="5899.0"/><n v="66.0"/><n v="6120.0"/><n v="5842.0"/><n v="314.0"/><n v="1243.0"/><n v="6271.0"/><n v="5979.0"/><n v="5942.0"/><n v="153.0"/><n v="210.0"/><n v="6432.0"/><n v="5627.0"/><n v="5284.0"/><n v="5609.0"/><n v="335.0"/><n v="269.0"/><n v="57.0"/><n v="305.0"/><n v="369.0"/><n v="2374.0"/><n v="2285.0"/><n v="3119.0"/><n v="193.0"/><n v="290.0"/><n v="2365.0"/><n v="370.0"/><n v="520.0"/><n v="1200.0"/><n v="3136.0"/><n v="260.0"/><n v="3279.0"/><n v="3337.0"/><n v="1335.0"/><n v="1450.0"/><n v="3088.0"/><n v="2969.0"/><n v="105.0"/><n v="219.0"/><n v="233.0"/><n v="6340.0"/><n v="6333.0"/><n v="6335.0"/><n v="6336.0"/><n v="125.0"/><n v="1008.0"/><n v="1127.0"/><n v="1305.0"/><n v="1118.0"/><n v="1283.0"/><n v="1489.0"/><n v="3007.0"/><n v="636.0"/><n v="702.0"/><n v="743.0"/><n v="170.0"/><n v="112.0"/><n v="1826.0"/><n v="1224.0"/><n v="820.0"/><n v="503.0"/><n v="227.0"/><n v="2213.0"/><n v="2822.0"/><n v="3653.0"/><n v="450.0"/><n v="925.0"/><n v="2441.0"/><n v="291.0"/><n v="999.0"/><n v="2849.0"/><n v="723.0"/><n v="1044.0"/><n v="855.0"/><n v="679.0"/><n v="584.0"/><n v="111.0"/><n v="218.0"/><n v="232.0"/><n v="196.0"/><n v="185.0"/><n v="69.0"/><n v="1212558.0"/><n v="7117.0"/><n v="7460.0"/><n v="7197.0"/><n v="7982.0"/><n v="6842.0"/><n v="7205.0"/><n v="7827.0"/><n v="8002.0"/><n v="6591.0"/><n v="2200.0"/><n v="142.0"/><n v="7228.0"/><n v="6966.0"/><n v="6970.0"/><n v="7923.0"/><n v="8000.0"/><n v="6608.0"/><n v="6826.0"/><n v="7890.0"/><n v="3549.0"/><n v="3582.0"/><n v="7001.0"/><n v="6506.0"/><n v="6234.0"/><n v="4204.0"/><n v="4212.0"/><n v="2580.0"/><n v="6935.0"/><n v="6905.0"/><n v="7218.0"/><n v="7901.0"/><n v="3506.0"/><n v="5882.0"/><n v="122.0"/><n v="7396.0"/><n v="7646.0"/><n v="823.0"/><n v="604.0"/><n v="282.0"/><n v="688.0"/><n v="712.0"/><n v="467.0"/><n v="414.0"/><n v="422.0"/><n v="319.0"/><n v="327.0"/><n v="389.0"/><n v="738.0"/><n v="1146.0"/><n v="177.0"/><n v="140.0"/><n v="166.0"/><n v="238.0"/><n v="3597.0"/><n v="263.0"/><n v="242.0"/><n v="21.0"/><n v="91.0"/><n v="180.0"/><n v="455326.0"/><n v="113.0"/><n v="83.0"/><n v="280.0"/><n v="216.0"/><n v="222.0"/><n v="333.0"/><n v="251.0"/><n v="768703.0"/><n v="33.0"/><n v="141.0"/><n v="304.0"/><n v="1490.0"/><n v="2968.0"/><n v="698.0"/><n v="277.0"/><n v="391.0"/><n v="329.0"/><s v="10.31236--osf.io--tzn6d.pdf"/><n v="668.0"/><n v="954.0"/><n v="1340.0"/><n v="295.0"/><n v="446.0"/><n v="740.0"/><n v="457.0"/><n v="85.0"/><n v="1446.0"/><n v="3762.0"/><n v="2544.0"/><n v="4090.0"/><n v="2644.0"/><n v="3683.0"/><n v="259.0"/><n v="183.0"/><n v="272.0"/><n v="252.0"/><n v="3413.0"/><n v="206.0"/><n v="231.0"/><n v="749.0"/><n v="514.0"/><n v="217.0"/><n v="2211.0"/><n v="363.0"/><n v="298.0"/><n v="316.0"/><n v="181.0"/><n v="368.0"/><n v="418.0"/><n v="155.0"/><n v="99.0"/><n v="302.0"/><n v="442.0"/><n v="186.0"/><n v="67.0"/><n v="1396050.0"/><n v="1697752.0"/><n v="1550.0"/></sharedItems></cacheField><cacheField name="es_value_r"><sharedItems containsBlank="1" containsMixedTypes="1" containsNumber="1"><s v="replication effect size value, must contain only one value and must not contain text"/><n v="0.226"/><n v="0.313"/><n v="0.584"/><s v="0.584"/><n v="-0.148"/><s v="X2(2) = 9.99"/><m/><s v="X2(2) = 16.54"/><n v="0.27"/><n v="0.68"/><s v="intramathematical problem r = 0.25, word problem r = 0.29, modelling problem r = 0.31"/><s v="intramathematical problem r = 0.48, word problem r = 0.28, modelling problem r = 0.35"/><n v="3.31"/><n v="0.64"/><n v="-2.67"/><n v="1.94"/><n v="-0.13"/><n v="0.09"/><n v="0.07"/><s v="The two groups differed in the amount of formant movement during vowel production. The L2 Spanish learners were found to produce the Spanish diphthong /ei/ with much less formant movement (M = 1.18, SD = 0.55) than native controls (M = 3.19, SD = 0.71), a"/><n v="0.06"/><n v="0.02"/><n v="0.04"/><n v="-0.07"/><n v="-0.03"/><n v="-0.04"/><n v="-0.02"/><n v="0.16"/><n v="0.1"/><n v="-0.42"/><n v="-0.41"/><s v="t(69) = –0.34"/><s v="t(91) = 0.85,"/><s v="t(91) = 0.85"/><s v="t(82)=0.5"/><s v="0.159"/><n v="0.159"/><n v="0.052"/><n v="0.054"/><n v="2.06"/><n v="1.5"/><n v="3.59"/><n v="1.41"/><n v="1.25"/><n v="-0.91"/><n v="-1.07"/><n v="0.41"/><n v="0.46"/><n v="0.36"/><n v="0.58"/><n v="0.54"/><n v="0.9"/><s v="X2(1) = 1.35"/><s v="X2(1) = 6.15"/><s v="X2(1) = 2.48"/><s v="X2(1) = 8.70"/><n v="0.65"/><n v="1.88"/><n v="1.46"/><n v="1.57"/><n v="1.16"/><n v="1.43"/><n v="2.27"/><n v="0.55"/><n v="1.48"/><n v="0.74"/><n v="-0.37"/><n v="0.29"/><n v="-0.24"/><n v="0.12"/><n v="1.2"/><n v="1.47"/><n v="1.17"/><n v="0.99"/><n v="0.03"/><n v="-0.1"/><s v="−0.10"/><s v="F(1,53) = 0.02 "/><s v="F(1,44) = 0.48 "/><n v="565.0"/><n v="-159.0"/><n v="169.0"/><n v="197.0"/><n v="94.0"/><n v="3.0"/><n v="0.18"/><n v="0.19"/><n v="0.08"/><n v="8.02"/><n v="1.97"/><n v="1.51"/><n v="-0.01"/><n v="-0.33"/><s v="z = 2.08, p = .04"/><s v="X2(12) = 206.24"/><s v="X2(4) = 50.16"/><s v="X2(4) = 11.65"/><s v="X2 (4) = 11.65"/><s v="X2 (4) = 50.16"/><n v="-0.21"/><n v="3.38"/><n v="0.0588"/><n v="0.1601"/><n v="-0.385"/><n v="-0.57"/><s v="X2(1) = 140.71"/><n v="3.033"/><n v="-2.694"/><n v="0.329"/><n v="-2.23"/><n v="3.731"/><n v="1.923"/><n v="0.73"/><n v="0.547"/><n v="0.095"/><n v="0.369"/><n v="0.041"/><n v="0.501"/><n v="0.037"/><s v="t≤ 1.54"/><n v="0.51"/><n v="0.59"/><n v="0.363"/><s v="F&lt; 1"/><n v="0.849"/><n v="0.647"/><n v="0.595"/><n v="0.047"/><s v="t &lt; 1.83"/><s v="F≤ 3.50"/><n v="0.053"/><n v="0.243"/><s v="Fs &lt; 1"/><s v="F(1, 209) = 6.72"/><s v="F(1, 209) = 8.41"/><s v="F(1, 209) = 0.22"/><s v="F(1, 213) = 1.37"/><s v="F(1, 213) = 0.47"/><s v="F(1, 213) = 36.06"/><s v=" t(1) = 2.05"/><s v="t(45)=9.35"/><s v="N/A"/><n v="0.57"/><n v="0.76"/><n v="0.25"/><n v="0.45"/><n v="0.48"/><n v="0.26"/><n v="0.11"/><n v="0.0"/><n v="0.906"/><n v="-0.968"/><n v="0.031"/><n v="2.507"/><n v="-0.024"/><n v="0.274"/><n v="1.216"/><n v="1.121"/><n v="0.005"/><n v="0.33"/><n v="0.017"/><n v="-0.371"/><n v="3.051"/><n v="0.39"/><n v="1.243"/><n v="0.154"/><n v="3.9"/><n v="6.0"/><n v="6.2"/><n v="-2.7"/><n v="0.62"/><s v="F(1,76) = 125.97"/><s v="F(1, 76) =4.063,"/><s v="F(1, 76) = 54.66"/><n v="0.01"/><n v="0.051"/><n v="0.418"/><n v="0.029"/><n v="0.015"/><s v="X2(224) = 393.695"/><s v="X2(1)=2.34"/><s v="X2(1)=1.72"/><s v="X2(1)=1.96"/><s v="X2(1)=1.49"/><s v="X2(1)=19.09"/><s v="X2(1)=0.4"/><s v="X2(1)=1.02"/><s v="X2(1)=2.94"/><s v="x²(1)=11.91"/><n v="0.43"/><n v="0.31"/><n v="44.14"/><n v="-0.047"/><n v="-0.312"/><n v="-0.042"/><n v="-0.132"/><n v="-0.184"/><n v="-0.118"/><s v="W &gt; 152"/><s v="W =152"/><n v="7.05"/><n v="-0.19"/><s v="W&gt; 97"/><n v="0.012"/><s v="W&gt; 76"/><s v="W = 360"/><s v="W = 191"/><n v="0.21"/><s v="W &gt; 140"/><s v="NA"/><n v="0.47"/><n v="1.13"/><n v="0.003"/><n v="-0.08"/><n v="0.006"/><n v="0.002"/><n v="0.001"/><s v="F(1,71) = 0.01"/><s v="F(1,71) = 0.84"/><n v="4.4"/><n v="6.75"/><n v="174.49"/><n v="23.32"/><n v="0.05"/><n v="0.13"/><n v="3.89"/><n v="3.94"/><n v="0.49"/><n v="-0.05"/><n v="-0.14"/><n v="0.382"/><n v="0.173"/><n v="-0.53"/><s v="𝐹 = 688.7"/><n v="-0.54"/><s v="F(2,62) = 0.6243"/><s v="F(2,62) = 2.3742"/><s v="F(1,50) = 0.0184"/><s v="t(98.84)=-0.73"/><s v="Main effect source certainty:  ηp2 =0.01&#xA;Main effect expertise: ηp2 =0.00&#xA;Interaction effect certainty*expertise: ηp 2 =0.00&#xA;Simple effect - difference in attitude for high/low certainty : non-expert Cohen’s d =0.18, expert Cohen’s d = 0.28"/><s v="Main effect source certainty:  ηp2 =0.00&#xA;Main effect expertise: ηp2 =0.00&#xA;Interaction effect certainty*expertise: ηp2 =0.01&#xA;Simple effect - difference in attitude for high/low certainty :  nonexpert - Cohen’s d = 0.29, expert -Cohen’s d =-0.1"/><s v="Main effect source certainty:  ηp2 =0.01&#xA;Main effect expertise: ηp2 =0.00&#xA;Main effect reason: np2 = 0.00&#xA;Interaction effects: all np2 = 0.00"/><s v="NFC - non - standardized b = 0.11, p = 0.010, 95% CI[0.03–0.19]&#xA;Conducted a linear regression analysis including expertise, reason, certainty, NFC, and two interaction terms (expertise × certainty and certainty × NFC) as predictors of the attitude measure"/><s v="F&lt; 1.18"/><n v="0.85"/><n v="0.28"/><n v="53.19"/><n v="54.1"/><n v="32.76"/><n v="2.35"/><s v="X2 = 16.11"/><s v="X2 = 32.26"/><s v="X2 = 36.12"/><s v="X2 = 33.22"/><s v="X2 = 14.24"/><s v="X2 = 37.74"/><n v="0.35"/><s v="X2 = 47.78"/><s v="X2 = 50.40"/><s v="X2 = 115.88"/><s v="X2 = 128.12"/><n v="-0.16"/><n v="0.3"/><n v="0.302"/><n v="2.05"/><n v="0.79"/><n v="0.739"/><n v="0.284"/><n v="0.136"/><n v="-0.31"/><s v="Estimate = -0.31, robust CI = (-1.11, 0.49), robust SE = 0.41"/><n v="0.014"/><n v="0.076"/><n v="-0.254"/><n v="0.062"/><n v="0.124"/><n v="0.034"/><n v="-0.075"/><n v="-0.032"/><n v="-0.131"/><n v="-0.191"/><n v="-0.154"/><n v="0.334"/><n v="-0.003"/><n v="0.045"/><n v="0.009"/><n v="0.77"/><n v="2.83"/><n v="-0.008"/><n v="0.689"/><n v="3.25"/><n v="-0.32"/><n v="35.08"/><n v="0.23"/><n v="-0.11"/><n v="0.67"/><n v="0.98"/><s v="F (1, 20) = 1.048"/><s v="F (1, 20) =67.045"/><s v="F (1, 20) =0.378"/><s v="F (1, 20) = 124.61"/><s v="F (1, 20) = 0.83"/><s v="F (1, 20) = 0.68"/><n v="-0.15"/><n v="-1.01"/><n v="-0.66"/><n v="-0.43"/><n v="-9.91"/><n v="0.61"/><n v="0.32"/><n v="92.0"/><n v="1.78"/><n v="37.31"/><n v="1.12"/><n v="31.02"/><n v="1.04"/><n v="3.64"/><n v="4.35"/><n v="3.88"/><n v="7.29"/><n v="24.42"/><n v="49.99"/><n v="53.18"/><n v="9.46"/><n v="2.63"/><n v="0.42"/><n v="10.15"/><n v="14.69"/><n v="57.29"/><n v="5.39"/><n v="1.33"/><n v="27.62"/><n v="0.5"/><n v="0.71"/><n v="0.78"/><s v="0.03"/><n v="-0.031"/><n v="-0.016"/><s v="0.01"/><s v="0.002"/><s v="0.09"/><n v="3.49"/><s v="F(1, 3446) = 3.49"/><n v="0.135010281081558"/><n v="0.172292196901579"/><n v="0.15"/><n v="0.107320283791479"/><n v="-0.07617286"/><n v="-0.03345847"/><s v="t(1041) = -3.4396"/><s v="t(1116.5) = -0.27195"/><n v="-0.241428656113382"/><s v="F(1, 146) = 3.21"/><s v="F(1, 146) = 1.47"/><n v="1.23873102223789"/><n v="0.606295070252775"/><s v="t(41) = 5.06"/><s v="t(38) = -2.5608"/><n v="-0.22"/><n v="0.4"/><n v="-0.12"/><n v="0.187471902656676"/><s v="F(1, 70)=2.4602"/><n v="0.82579130976575"/><n v="-0.3"/><s v="Z = 1.992, N = 31"/><s v="Z = 2.28, N = 31"/><s v="Z = -2.75, N = 31"/><n v="0.0506346969034163"/><s v="F(1, 247) = .49"/><s v="0.05063469690341634"/><s v="X2(1) = 0.22801"/><s v="t(80) = -0.35568,"/><s v="t(48) = 1.0144"/><s v="z = 0.47"/><s v="t(139) = 1.3332"/><n v="0.637931439685434"/><n v="0.002712308"/><n v="0.008920207"/><n v="0.004606713"/><n v="0.025"/><n v="0.751"/><n v="-0.4249782071450829"/><s v="F(2, 159) = 13.63"/><n v="0.37"/><n v="0.24"/><s v="F(1, 92) = 0.20"/><s v="F(1, 92) = 3.20"/><s v="F(1,92) = 0.89"/><n v="0.92897291317576"/><s v="0.9289729131757601"/><n v="0.720525018664174"/><n v="0.141071199656719"/><n v="0.562417563503757"/><n v="0.2079"/><n v="0.370016595170749"/><n v="-9.25"/><n v="0.96"/><n v="0.72"/><n v="0.56"/><n v="24.0"/><n v="3.222"/><n v="1.91434434878218"/><s v="F(1,56) = 57.800"/><s v="F(1,56) = 0.022"/><n v="0.7293456"/><n v="0.9725716"/><n v="0.1427911"/><s v="F(1, 16) = 0.24"/><n v="203.397"/><n v="-0.38123103406236"/><n v="-0.193"/><n v="-0.3473"/><n v="0.494916379019953"/><n v="10.275"/><s v="F(1,222) = 10.275"/><s v="F(1,222) = 0.501"/><s v="F(1,222) = 0.002"/><n v="-0.9943"/><n v="0.04378"/><n v="0.9505"/><n v="-0.04378"/><n v="-2.0041"/><n v="-1.401"/><n v="-0.603"/><n v="-1.48"/><n v="-1.0783"/><n v="-0.4017"/><n v="0.398805704566971"/><n v="-6.8322"/><n v="7.356"/><n v="-3.523"/><n v="1.16543192806245"/><s v="t(18) = 5.08"/><n v="0.392151574194031"/><n v="0.00884651736929382"/><n v="0.927847827173882"/><n v="0.9655053"/><n v="0.0984246993206124"/><n v="-0.0580348785702567"/><n v="3.63"/><s v="F(6,294) = 21.83"/><s v="F(1,44) = 1.43"/><s v="F(1,44) = 3.43"/><n v="3.43"/><s v="F(1,44) = 3.44"/><n v="3.44"/><s v="F(1,44) = 3.31"/><s v="F(1,44) = 7.29"/><s v="F(1,44) = 0.18"/><s v="F(1,44) = 0.04"/><s v="F(1,44) = 0.28"/><n v="0.166673333200005"/><s v="F(1,100) = 2.205"/><s v="F(1,100) = 6.634"/><s v="F(1,100) = 2.778"/><n v="0.474"/><n v="-0.28"/><n v="0.312413728351264"/><n v="1.7102"/><n v="1.9297272"/><n v="-1.7295006"/><n v="0.395198"/><s v="X2(2) = 12.026"/><n v="0.125989102771126"/><n v="0.2664"/><n v="1.3587"/><n v="-1.3587"/><n v="0.4375"/><n v="-0.25933"/><n v="3.15158690186388"/><n v="0.91"/><n v="0.110133361942926"/><n v="0.199479675552594"/><n v="0.0588836"/><s v="t(157) = -4.25"/><s v="t(157) = -2.62"/><s v="t(157) = -1.91"/><n v="0.3754939"/><n v="91.11"/><n v="0.97"/><n v="0.02278"/><n v="-1.786E-4"/><n v="-0.0195"/><n v="9.845E-5"/><n v="-0.09845"/><n v="0.145882726528282"/><n v="0.0669198092463301"/><n v="2.23"/><n v="0.92"/><n v="0.280224269158902"/><n v="0.00917662935482247"/><s v="0.00917662935482247"/><n v="-0.0483174434709905"/><s v="F(1,4) = 0.015"/><s v="F(1,4) = 0.061"/><s v="F(1,4) = 1.527"/><s v="t(19) = 35.18"/><n v="-0.0204714248912809"/><s v="F(1,401 = 3.281"/><n v="0.0020787"/><n v="0.448958987300324"/><n v="0.902433572610701"/><n v="0.902"/><s v="X2(2) = 22.02"/><n v="3.737"/><n v="0.603040513083647"/><s v="F(1,56)=16.72"/><s v="t(41) = -0.39"/><n v="0.247796849633978"/><n v="-0.012222"/><n v="0.004395"/><n v="0.044627"/><n v="1.63866476810305"/><s v="1.63866476810305"/><n v="0.111879077901676"/><n v="0.124365054041184"/><s v="0.12436505404118418"/><n v="0.242790791466753"/><s v="F(1, 36) = 0.56"/><s v="F(1, 100) = 3.935"/><n v="0.389720527496613"/><n v="0.03912084"/><n v="0.139256851135717"/><n v="-0.1474"/><n v="0.8471"/><n v="0.1525"/><n v="1.68033610083361"/><s v="X2(1) = 0"/><n v="0.374440967926238"/><s v="F(1,26) = 3.645357"/><s v="F(1,26) = 3.1593304"/><n v="-0.478539444560215"/><n v="-0.4785394446"/><n v="0.202495955602966"/><n v="0.44"/><n v="1.037"/><n v="1.038"/><n v="1.041"/><n v="1.0"/><n v="0.995"/><n v="0.994"/><n v="0.999"/><n v="0.997"/><n v="0.998"/><n v="0.196909487739417"/><n v="0.1761949"/><n v="0.3183289"/><n v="-0.0425567"/><n v="0.0688052"/><n v="0.076633"/><n v="1.51479879344267"/><s v="F(1,13) = 21.804"/><s v="F(1,13) = 15.466"/><s v="F(1,13) = 14.957"/><s v="F(1,13) = 14.04"/><s v="F(1,13) = 0.014"/><s v="t(13) = 2.707"/><s v="t(13) = 3.577"/><s v="F(1,13) = 9.312"/><n v="0.7"/><s v="t(13) = 4.478"/><s v="t(13) = 1.438"/><n v="2.78502426771112E-4"/><n v="7.4"/><s v="t(35) = -3.89"/><n v="0.218240494886478"/><s v="F(4,6) = 6.636"/><s v="F(4,6) = 1.4195"/><n v="-0.062337452058199"/><s v="F(1,86) = 0.08"/><n v="1.74017489282979"/><s v="t(934) = -0.99"/><n v="3.45"/><n v="-0.5293166"/><n v="-0.19040863130135"/><n v="0.0709264758253591"/><n v="-0.07071"/><n v="-0.03677"/><n v="-0.1356"/><n v="0.270426749845588"/><n v="0.01074317"/><n v="2.25666163594155"/><s v="X2(1) = 374.43"/><s v="prop:5/15,2/11"/><s v="proportion: 5/15,2/11"/><n v="2.08342966938226"/><s v="bseb=.26(.25)"/><n v="0.8082"/><n v="-0.009090909091"/><n v="-0.00909090909090922"/><s v="F(1,131)=0.018"/><n v="-0.496477592646435"/><s v="prop:29/38,33/38"/><n v="1.711971789"/><n v="1.711971788604"/><n v="0.67703646753951"/><n v="0.53003"/><n v="-0.122474487139158"/><n v="-0.07914981074"/><n v="-0.0791498107444243"/><n v="0.0985426851581148"/><n v="-1.827"/><s v="prop:32/82,13/93"/><n v="-0.0689775913850995"/><s v="F(1,70)=.06"/><n v="-0.0869048189253481"/><n v="0.8933932"/><n v="-0.396027643904869"/><n v="0.359779005115277"/><n v="1.06038990801828"/><n v="0.0632160750004422"/><n v="-0.638230402761701"/><n v="0.457207"/><n v="0.14"/><n v="1.19038369164456"/><n v="0.889133895505657"/><s v="bse:b=.061"/><s v="bseb=-2.63845(1.747710)"/><s v="proportion: 91/147"/><n v="0.256674071435679"/><n v="0.0817102066054265"/><n v="0.909813508242608"/><n v="0.0550913677484325"/><n v="-0.12765697549428"/><s v="prop:13/14,2/14"/><n v="0.0281000730772987"/><n v="0.827178432058932"/><n v="1.24362373730964"/><s v="F(1,20)=30.932"/><n v="0.298469090943318"/><n v="1.23747033259459"/><n v="0.5941373454"/><n v="0.194935210038986"/><n v="0.20193923478476"/><s v="F(1,38)=1.51"/><s v="prop:19/26,14/25"/><n v="0.187279695136782"/><n v="0.485734799228491"/><n v="1.35099963"/><n v="1.35099962990372"/><n v="0.5914796451"/><n v="0.591479645065082"/><n v="0.220239104515739"/><n v="0.112161169751389"/><n v="0.72336"/><n v="0.19493521"/><n v="0.938139826109804"/><s v="t(41)=-0.029"/><n v="0.498565288609021"/><n v="0.343443573781914"/><n v="0.6884827599"/><n v="0.688482759870062"/><n v="0.743298262941807"/><n v="0.0548801"/><n v="-0.138751917564751"/><n v="0.850778190489016"/><n v="0.15782068640480743"/><n v="2.737"/><n v="0.504"/><n v="14.23"/><n v="-0.057"/><n v="0.34"/><n v="0.108"/><n v="0.53"/><n v="-2.534"/><n v="2.021"/><n v="80.28"/><n v="0.66"/><n v="5.1"/><n v="5.204"/><n v="0.17"/><n v="0.167"/><n v="0.22"/><n v="0.063"/><n v="0.0627"/><n v="0.384"/><n v="0.38"/><n v="-0.027"/><n v="0.08204666802424937"/><n v="0.586204"/><n v="-0.046"/><n v="0.09145300219901326"/><n v="0.355"/><n v="0.750614756155934"/><n v="0.116"/><n v="0.1160417"/><n v="0.1192779"/><n v="-0.098"/><n v="-0.06"/><n v="0.026"/><n v="0.04352736305001212"/><n v="-0.015"/><n v="-0.029893513429658274"/><n v="0.829"/><n v="0.04959059"/><n v="0.594"/><n v="0.146"/><n v="0.361"/><n v="0.436"/><n v="0.43646"/><n v="-0.035"/><n v="0.182"/><n v="0.3702"/><n v="0.832"/><n v="0.8320501"/><n v="0.344"/><n v="-0.07313434738422134"/><s v="F(1, 88) = 0.20"/><n v="-0.17"/><n v="-0.85"/><n v="0.2"/><s v="F(2, 73) = 0.274"/><n v="-0.019"/><n v="0.091"/><n v="1.35"/><n v="0.439"/><s v="F(2, 229) = 3.54"/><n v="0.007"/><n v="0.454"/><s v="F(1,27) = 2.47"/><s v="F(1,27) = 4.44"/><s v=" F(1, 27)  = 2.47"/><s v="F(1, 36) = 2.95"/><s v="F(1, 36) = 6.77"/><s v="F(1, 36)  = 6.77"/><n v="0.225"/><s v="t(64) = -.88"/><s v="X2(1) = 342.39"/><n v="0.339"/><n v="0.295"/><n v="0.228"/><n v="0.011"/><n v="-0.319"/><n v="0.184"/><n v="-0.136"/><n v="-0.144"/><n v="-0.127"/><n v="0.042"/><s v="X2= .23"/><s v=" X2 = .99"/><n v="2.2"/><n v="1.79"/><n v="2.4"/><n v="0.029299"/><n v="-0.18"/><s v="t (151) = 0.03"/><s v="t(146) = –0.79"/><s v="t(260) = –1.83"/><n v="-0.09"/><n v="-0.2"/><s v=" −0.176"/><s v="F(1, 266) = 0.24"/><s v="F(1, 288) = 0.67"/><s v=" F(1, 361) = 139.37"/><s v="F(1, 361) = 4.06"/><n v="5.0E-5"/><n v="0.88"/><n v="2.28E-4"/><s v="0.000228"/><s v="0.069"/><s v="0.099"/><n v="5.63E-4"/><s v="0.000563"/><s v="0.107"/><s v="0.154"/><s v="t(58)=-1.8"/><n v="-1.8"/><n v="0.096"/><n v="0.162"/><s v="F(1, 3004) = 281.42"/><s v="F(1, 3003) = 18.53"/><n v="-0.23"/><n v="-0.017"/><s v="0.017"/><n v="0.019"/><n v="0.079"/><n v="0.621"/><n v="1.386"/><n v="0.039"/><n v="0.332"/><n v="0.092"/><n v="0.599"/><n v="-0.068"/><n v="0.145"/><n v="0.138"/><n v="-0.013"/><n v="0.974"/><n v="0.244"/><n v="-0.054"/><n v="0.104"/><n v="0.049"/><n v="0.027"/><n v="0.0112"/><n v="0.067"/><n v="0.185"/><n v="0.414"/><n v="0.188"/><n v="0.259"/><n v="-0.038"/><n v="-0.44"/><s v="0.06"/><n v="0.058"/><n v="0.189"/><n v="-0.043"/><s v="α = 0.843, (0.154)"/><s v="α = 0.743, (0.289)"/><s v="α = 1.001, (0.257)"/><s v="α = 0.688, (0.248)"/><s v="α = 0.880, (0.19)"/><s v="α = 0.719, (0.205)"/><s v="α = -0.420, (0.41)"/><s v="α = -0.465, (0.421)"/><s v="α = -0.551, (0.435)"/><s v="α = -0.422, (0.417)"/><s v="α = -0.137, (0.476)"/><s v="α = -0.270, (0.543)"/><s v="α = -0.106, (0.097)"/><s v="α = 0.024, (0.143)"/><s v="α = -0.085, (0.093)"/><s v="α = -0.010, (0.158)"/><s v="α = -0.090, (0.115)"/><s v="α = 0.019, (0.15)"/><s v="α = -0.011, (0.075)"/><s v="α = -0.084, (0.072)"/><s v="α = -0.104, (0.121)"/><s v="α = -0.005, (0.036)"/><s v="α = -0.073, (0.164)"/><s v="α = -0.057, (0.087)"/><s v="X2(15) = 8.55"/><s v="X2(11) = 3.17"/><s v="X2(13) = 2.51"/><s v="X2(13) = 3.11"/><s v="X2(13) = 3.98"/><s v="X2(13) = 1.43"/><s v="α = 0.517, (0.09)"/><s v="α = 0.357, (0.141)"/><s v="α = 0.442, (0.14)"/><s v="α = 0.386, (0.143)"/><s v="α = 0.448, (0.17)"/><s v="α = 0.373, (0.106)"/><s v="α = -0.430, (0.117)"/><s v="α = -0.248, (0.052)"/><s v="α = -0.407, (0.064)"/><s v="α = -0.265, (0.077)"/><s v="α = -0.372, (0.194)"/><s v="α = -0.255, (0.122)"/><s v="α = -0.005, (0.006)"/><s v="α = -0.013, (0.006)"/><s v="α = -0.007, (0.007)"/><s v="α = -0.010, (0.006)"/><s v="α = -0.006, (0.006)"/><s v="α = 0.413, (0.207)"/><s v="α = 0.389, (0.154)"/><s v="α = 0.398, (0.13)"/><s v="α = -0.022, (0.052)"/><s v="α = 0.005, (0.031)"/><s v="α = 0.008, (0.057)"/><n v="0.319"/><n v="-3.03"/><n v="1.82"/><n v="1.84"/><n v="1.75"/><n v="11.54"/><n v="1.18"/><n v="0.95"/><n v="1.03"/><n v="-0.55"/><n v="-0.27"/><n v="1.58"/><n v="0.86"/><n v="0.298"/><n v="0.196"/><n v="0.222"/><n v="0.303"/><n v="0.166"/><n v="-0.327"/><n v="0.252"/><n v="0.434"/><s v="t(281) = 2.61,"/><s v="t(317) = 1.52,"/><s v="t(599) = 10.24"/><s v="t(686) = -9.89"/><s v="t(686) = -7.29"/><n v="0.018"/><n v="0.008"/><s v="t = -9.98"/><s v="t = -7.42"/><s v="0.012."/><n v="0.179"/><n v="0.028"/><s v="F(1, 463) = 0.139"/><s v="X2(2,N=319)=2.224"/><s v="B=−.02,[SE]=.06,Wald=.063"/><s v="B=−.09,[SE]=.06,Wald=1.90"/><s v="B=−.07,[SE]=.06,Wald=1.2"/><s v="X2(2,N=327)=2.742"/><s v="B=−.03,[SE]=.06,Wald=.165"/><s v="B=−.10,[SE]=.06,Wald=2.422"/><s v="(B=−.07,[SE]=.06,Wald=1.269"/><n v="0.392"/><n v="0.004"/><n v="0.251"/><n v="0.106"/><n v="0.149"/><n v="0.387"/><n v="0.057"/><n v="0.033"/><n v="0.238"/><s v="X2 = 0.091"/><n v="-0.011"/><n v="0.036"/><n v="0.038"/><n v="1.0E-4"/><n v="0.013"/><n v="0.021"/><n v="0.061"/><n v="-0.007"/><n v="0.087"/><n v="0.022"/><n v="0.294"/><s v="F(1, 29) = 45.27"/><n v="0.218"/><n v="-0.75"/><n v="0.426"/><n v="0.422"/><s v="0.286; t(7) = -1.426"/><s v="t(7) = -1.426"/><s v="t(139) = 4.02"/><n v="0.261"/><s v="F(18, 660) = 12.98"/><n v="-0.25"/><s v="r = -0.25"/><s v="Z = 4.92, N = 24"/><s v="z = 4.92"/><s v="t(16)= 9.59"/><n v="-2.33"/><n v="-0.62"/><s v="0.00; F(1, 64) = .02"/><s v="F(2, 68) = 41.603"/><s v="F(1.48, 41.458) = 1.401"/><n v="497.0"/><s v="t(56) = -0.77"/><s v="F(4, 150) = 0.58"/><n v="0.548"/><n v="0.255"/><n v="0.0065"/><s v="t(7) = 0.32"/><n v="0.032"/><s v="X2(1, N = 51) = 1.57"/><n v="0.065"/><n v="4.0E-4"/><s v="F(1, 48) = 4.22"/><n v="0.224"/><s v="F(1, 31) = 5.17"/><s v="F(1, 70) = 11.78"/><n v="0.957"/><n v="0.046"/><n v="0.102"/><s v="z = 1.25, N = 153"/><s v="z = 1.25"/><s v="F(2, 72) = 1.97"/><n v="0.016"/><s v="F(21, 455304) = 261.93"/><s v="F(1, 86) = .08"/><s v="F(1, 86) = 0.08"/><s v="F (2, 110) = .759"/><s v="F(2, 110) = 0.759"/><s v="t(31) = 2.40"/><n v="0.0259"/><s v="F(1, 222) = 0.002"/><s v="Av. Proportion = 0.77"/><s v="Observed proportion = 77%, hypothesized proportion = 33%"/><s v="t(14) = 0.496"/><n v="0.4695"/><s v="F(1, 31) = .384"/><s v="F(1, 31) = 0.384"/><s v="F (2, 67) = 1.70"/><s v="F(1, 137) = 1.43"/><s v="F (1, 139) = 5.28"/><s v="r = 0.27"/><s v="X2(1, N=150) = 7.10"/><s v="X2(1, N = 150) = 7.10"/><s v="F(1, 47)= .008"/><s v="F(1, 47) = 0.008"/><s v="X2(1) = 0.66"/><s v="t(68) = 1.51"/><s v="t(59)=2.325"/><s v="t(59) = 2.325"/><n v="0.215"/><s v="0.215"/><s v="gamma = -0.30, CI = -0.58, -0.01"/><n v="0.114"/><n v="0.82"/><s v="X2 = 10.82"/><s v="X2 = 2.11"/><n v="0.128"/><s v="Replication"/><n v="0.467"/><n v="-0.039"/><n v="0.084"/><n v="0.777"/><s v="X2(1) = 5.365"/><s v="X2(1) = 1.347"/><s v="X2(1) = 4.569"/><s v="t(294) = 9.36"/><n v="0.728"/><n v="0.365"/><n v="0.409"/><n v="0.342"/><n v="0.117"/><n v="0.562"/><n v="1.55"/><s v="X2 (4) = 7.39"/><s v="X2(1) = 47.46"/><s v="X2(2) = 0.52"/><s v="X2(1) = 0.42"/><n v="1.515"/><n v="1.14"/><n v="-0.45"/><n v="1.05"/><n v="1.22"/><n v="-0.88"/><n v="-0.35"/><n v="1.07"/><n v="2.73"/><n v="1.11"/><n v="1.91"/><n v="0.6"/><n v="-1.28"/><n v="0.93"/><n v="0.12375"/><s v="X2(1) = 10"/><s v="F(1, 172) = 20.08"/><s v="F(1, 173) = 11.04"/><s v="F(1, 173) = 8.72"/><s v="F(1, 175) = 18.14"/><s v="F(1, 175) = 20.94"/><s v="0.57"/><s v="F (1, 828.54) = 1.20"/><s v="0.67"/><s v="t(3411) = 21.5"/><n v="0.63"/><s v="t(3410) = 30.2"/><s v="t(117) = 21.05"/><s v="t(204) = -1.387"/><s v="#"/><n v="0.139"/><s v="0.149"/><s v=" t(747) = −10.126"/><s v="0.875"/><n v="0.52"/><s v="F(1, 213) = 13.05 "/><s v="F(1, 213) = 0.98"/><s v="F(2, 313) = 11.28"/><s v="F(1, 313) = 23.92"/><s v="F(1, 313) = 48.59"/><s v="F(1, 213) = 9.59"/><s v="F(1, 313) = 56.28"/><s v="F(1, 313) = 188.24"/><s v="0.27"/><s v="F(2,360) = 20.9"/><s v="0.13"/><s v="0.08"/><s v="t(179) = 0.004"/><s v="F(1, 364) = 7.06"/><s v="X2(1) = 58.23"/><s v="X2(3) = 103.77"/><n v="0.87"/><s v="X2(1) = 28.90"/><n v="2.3"/><s v="X2(1) = 100.33"/><n v="1.44"/><s v="X2(1) = 50.04"/><s v="X2(1) = 26.37"/><n v="1.32"/><s v="F(1, 410) = 55.8"/><s v="0.66"/><s v="1.2"/><s v="0.75"/><s v="0.41"/><s v="X2(1) = 0.198"/><s v="sobel test = 3.82"/><s v="0.30"/><s v="0.21"/><s v="X2(1) = 33.487"/><s v="F(1, 436) = 87.36"/><s v="F(1, 436) = 87.36, "/><s v="F(2, 436) = 0.45"/><s v="F(2,  436)  = 1.06"/><n v="1.27"/><s v="0.58"/><s v="t(198) = 1.3948"/><s v="F(1,8) = 12"/><n v="0.83"/><n v="0.602"/><s v="Estimate = 0.45, robust CI = (-0.64, 1.54), robust SE = 0.56"/><s v="Estimate = 0.05, robust CI = (-0.78, 0.88), robust SE = 0.42"/><n v="0.212"/><s v="-0.005"/><s v="-0.203"/><s v="gamma = 0.03, CI = 0.00, 0.07"/><s v="beta = 0.74, CI = 0.71, 0.77"/><s v="beta = 0.10, CI = 0.07, 0.13"/><s v="beta = 0.04, CI = 0.01, 0.07"/><s v="beta = 0.12, CI = 0.07, 0.17"/><s v="beta = 0.06, CI = 0.03, 0.09"/><s v="beta = 0.05, CI = 0.02, 0.08"/><s v="beta = -0.15, CI = -0.10, -0.20"/></sharedItems></cacheField><cacheField name="es_type_r" numFmtId="0"><sharedItems containsBlank="1"><s v="replication effect size type"/><s v="etasq"/><m/><s v="d"/><s v="test statistic"/><s v="kendall's w"/><s v="r"/><s v="partial r"/><s v="NA"/><s v="beta (std)"/><s v="hedges' g"/><s v="OR"/><s v="delta"/><s v="b (unstd)"/><s v="F"/><s v="cramer's V"/><s v="etasq (partial)"/><s v="descriptive"/><s v="Strength of centrality of the nodes"/><s v="beta"/><s v="cohen's w"/><s v="r-squared"/><s v="cohen's h"/><s v="z"/><s v="Cronbach's alpha"/><s v="dependability"/><s v="cohen's f partial"/><s v="proportion"/><s v="median difference"/><s v="Mean difference"/><s v="ordered probit regression coefficient"/><s v="probit beta (marginal change in odds)"/><s v="percentage difference"/><s v="phi"/><s v="Cohen's f^2"/><s v="Cohen's f"/><s v="q"/><s v="Cohen's dz"/><s v="omega"/><s v="f-square"/><s v="dz"/></sharedItems></cacheField><cacheField name="es_repr_r"><sharedItems containsDate="1" containsBlank="1" containsMixedTypes="1"><s v="Reproducible origin/calculation method for es_value_r (&quot;p. xx&quot; when reported, otherwise calculation process)"/><s v="p. 6"/><m/><s v="p.2 of https://osf.io/k2cna"/><s v="p. 1,2"/><s v="p. 3"/><s v="preprint p. 22&#xA;Kendells W = X2/N(K-1), X2 = 9.99, N = 80, K = 3&#xA;W = 9.99/ (80*(3-1)), W = 9.99/ (160), W ~ 0.06"/><s v="Kendells W = X2/N(K-1), X2 = 16.54, N = 80, K = 3&#xA;W = 16.54/ (80*(3-1)), W = 16.54/ (160), W ~ 0.1"/><s v="Kendells W = X2/N(K-1), X2 = 43.61, N = 80, K = 3&#xA;W = 43.61/ (80*(3-1)), W = 43.61/ (160), W ~ 0.27"/><s v="Kendells W = X2/N(K-1), X2 = 108.75, N = 80, K = 3&#xA;W = 108.75/ (80*(3-1)), W = 108.75/ (160), W ~ 0.68"/><s v="1.26 / 0.38"/><s v="p. 11"/><s v="2.27 / 0.85"/><s v="4.50 / 2.31"/><s v="p. 15, Table 10"/><n v="25.0"/><s v="p. 2538"/><s v="p. 2536"/><s v="p. 2537"/><s v="p. 2539"/><s v="pp. 10-11 wives"/><s v="pp. 10-11 husbands"/><s v="p.41"/><s v="p. 41: &quot;The analyses showed that participants in the awe and the neutral conditiondid not significantly differ in their balance between strengths and weak-nesses disclosed (i.e., their humility score,t(69) = –0.34,p= 0.438); see Ap-pendix D for more infor"/><s v="p.4"/><s v="p.8"/><s v="p. 8"/><s v="p.9"/><s v="p. 9"/><s v="p.10"/><s v="p. 10"/><s v="p. 17"/><s v="X2(1) = 1.35"/><s v="X2(1) = 6.15"/><s v="X2(1) = 2.48"/><s v="X2(1) = 8.70"/><s v="p. 7"/><n v="6.0"/><s v="p. 5"/><s v="p. 4"/><s v="p.5"/><n v="10.0"/><s v="p. 8, see my calculation here: https://docs.google.com/spreadsheets/d/1Da93yd8SPd-GwqOb8HCKeN1Hobk77X3_1anZLPku0G0/edit?usp=sharing"/><n v="22.0"/><n v="422.0"/><s v="p.3"/><n v="3.0"/><n v="5.0"/><s v="p.6"/><s v="The artcile uses z = 2.08, sample size of both groups 48. r = 2.08/√48 = 0.300"/><s v="p.266"/><s v="p.268"/><s v="p.267"/><s v="p.11"/><n v="11.0"/><s v="p. 20"/><s v="online supplement; p. 2"/><n v="63.0"/><s v="p.68"/><n v="9.0"/><s v="NA"/><s v="p.17"/><s v="p.27"/><s v="df inferred based on context; Table 4"/><s v="p.31"/><s v="p.13"/><n v="-0.04672126144670165"/><n v="-0.3121038032880354"/><n v="-0.04212924684138517"/><n v="-0.13183100894308278"/><n v="-0.18379404786172265"/><n v="-0.11836190117722928"/><s v="p.120"/><s v="p. 14"/><s v="p.195"/><s v="p.198"/><s v="p. 195"/><s v="p. 24"/><s v="p. 26"/><s v="p. 34"/><s v="pp.1806-1807"/><s v="p. 5-6"/><s v="p. 36"/><s v="p. 42"/><s v="p. 1"/><s v="p. 21"/><s v="p.19"/><s v="p. 12"/><s v="p. 8 "/><s v="5, Figure 2"/><s v="Calculated based on means and SDs from p. 10"/><s v="Calculated based on means and SDs from p. 14"/><s v="p.42"/><s v="p. 18"/><s v="Calculated with SPSS"/><s v="n/a"/><s v="p. 4 - Supplemental material"/><s v="Appendix B1"/><s v="Reduced form model regression, p.6 "/><s v="Diary entries, semi-structured interviews, qualitative content analysis, p. 192-194"/><s v="Independent samples/ Welch's t-test"/><s v="Independent samples/ Student's t-test "/><s v="mediation analysis"/><s v="mean, p. 3"/><s v="binary factor analysis, p.3"/><s v="p. 3-4"/><n v="4.0"/><n v="7.0"/><n v="8.0"/><s v="generalized linear mixed effects models, p.6"/><n v="19.0"/><n v="20.0"/><s v="p. 40 "/><s v="Calculated based on the data provided in Table 2. Group means and standard deviations for each group were used to calculate the total mean across all groups. The variance between groups and within groups was computed, followed by dividing the variances by"/><s v="p. 543"/><s v="p. 27"/><s v="p. 32 Table 8"/><s v="p.2"/><s v="p.20"/><s v="p.22"/><s v="p. 7 &amp; 8"/><s v="p. 11 &amp; 12"/><s v="p. 12 &amp; 13"/><s v="p. 14, 15 &amp; 16"/><s v="p. 17 &amp; 18"/><s v="https://osf.io/kspm6"/><s v="from Data sheet : https://docs.google.com/spreadsheets/d/1GZtAzaS9SynEVwyT-fs-bVPDZh374b78kaKIWves5pM/edit?gid=288814287#gid=288814287"/><s v="https://rstudio-pubs-static.s3.amazonaws.com/694306_59178dc09b8648e598a3e535876c9246.html#Results"/><s v="https://rstudio-pubs-static.s3.amazonaws.com/695666_50d31a83674d49bd8c1f5c55c3647f10.html"/><s v="Boyce dataset: https://osf.io/kspm6"/><s v="p. 9, https://github.com/vboyce/251-254-MA/blob/main/reports/otto2014.pdf "/><s v="p. 9,https://github.com/vboyce/251-254-MA/blob/main/reports/otto2014.pdf "/><s v="p. 6, https://github.com/vboyce/251-254-MA/blob/main/reports/otto2014.pdf "/><s v="p. 13"/><s v="p. 7, https://github.com/vboyce/251-254-MA/blob/main/reports/RPubs%20-%20PSYCH251%20replication%20report%20(Payne%20et%20al.%202008)_files/441449_2ab956b7171d461482fea234aafa8710.html"/><s v="p. 8, p. 7, https://github.com/vboyce/251-254-MA/blob/main/reports/RPubs%20-%20PSYCH251%20replication%20report%20(Payne%20et%20al.%202008)_files/441449_2ab956b7171d461482fea234aafa8710.html"/><s v="https://rpubs.com/kimiasaadatian/replicationreport: =(6.26-4.75)/SQRT((1.41^2+2.47^2)/2)"/><s v="https://rpubs.com/kimiasaadatian/replicationreport: =(3.75-4.75)/SQRT((2.23^2+2.47^2)/2)"/><s v="p. 40"/><s v="p. 2 of https://osf.io/rjxwe"/><s v="p. 16"/><s v="https://docs.google.com/spreadsheets/d/1GZtAzaS9SynEVwyT-fs-bVPDZh374b78kaKIWves5pM/edit?gid=288814287#gid=288814287"/><s v="https://www.rpubs.com/sansiropp/256552"/><s v="https://github.com/vboyce/251-254-MA/blob/main/data/processed_data.csv"/><s v=" https://www.rpubs.com/sansiropp/256552"/><s v="https://github.com/lrhasak/porter2016/blob/master/writeup/Porter2016_Study2_ReplicationReportFinal.html"/><s v="https://rpubs.com/ShimaSalehi/155989"/><s v="https://rpubs.com/cgarton/975073: =(9.45-10.34)/SQRT(((110-1)*4.58^2+(98-1)*4.65^2)/(110+98-2)))"/><s v="p. 6 https://github.com/vboyce/251-254-MA/blob/main/reports/risen2008.docx"/><s v="https://rpubs.com/kagood/final-project-report, p. 11"/><s v="https://rpubs.com/kagood/final-project-report, p. 10"/><s v="https://rpubs.com/kagood/final-project-report, p. 12"/><s v="https://rpubs.com/kagood/final-project-report, p. 16"/><s v="https://rpubs.com/kagood/final-project-report, p. 17"/><s v="https://rpubs.com/cceballos-stanford/544019"/><s v="https://rpubs.com/wuphins/159194, p. 11"/><s v="https://rpubs.com/wuphins/159194, p. 12"/><s v="https://rpubs.com/ennachen/psych251_finalproject"/><s v="https://rpubs.com/hrlarry/YUIMU-final"/><s v="https://github.com/vboyce/251-254-MA/blob/main/reports/sofer2015.html, p. 9"/><s v="p. 15"/><s v="p. 19"/><s v="https://rpubs.com/mlee17/262394"/><s v="https://rpubs.com/chuqihu8/pilot"/><s v="https://rpubs.com/mateusmazza/project_report_pilotB"/><s v="https://rpubs.com/klsanch/pilotAwriteup"/><s v="https://github.com/StanfordPsych254/Tribushinina2011/blob/master/writeup/Replication-Report.html"/><s v="https://rpubs.com/catherinecthomas/final_replication"/><s v="https://rpubs.com/ayl888/695975, p. 21"/><s v="https://osf.io/4ewkh"/><s v="X2(1, N = 48) = 17.85, p &lt; .001"/><s v="p. 28"/><s v="https://github.com/psych251/wilkins2014/blob/master/writeup/project_report.html"/><s v="https://rstudio-pubs-static.s3.amazonaws.com/155174_48b1633681bb4024b4098ed433d5a80a.html, p. 6"/><s v="https://rstudio-pubs-static.s3.amazonaws.com/155174_48b1633681bb4024b4098ed433d5a80a.html, p. 7"/><s v="https://rpubs.com/rcatapano/Zaval_replication_report, p. 14"/><s v="https://rpubs.com/rcatapano/Zaval_replication_report, p. 13"/><s v="https://rpubs.com/rcatapano/Zaval_replication_report, p. 15; p value based on Z = 2.210678"/><s v="https://rpubs.com/rcatapano/Zaval_replication_report, p. 18; p-value based on Z= .030526"/><s v="https://rstudio-pubs-static.s3.amazonaws.com/696061_39068ca5d4344e6894d818cbf8f2c60e.html"/><s v="https://rpubs.com/dmetaxak/correll2007"/><s v="https://github.com/vboyce/251-254-MA/blob/main/data/processed_data.csv column rep_d_calc"/><s v="https://github.com/vboyce/251-254-MA/blob/main/data/processed_data.csv column rep_d_calc (haimovitz2016_1)"/><s v="https://github.com/vboyce/251-254-MA/blob/main/data/processed_data.csv column rep_d_calc (haimovitz2016_2)"/><s v="https://rpubs.com/Lsantos/442792 - recoded to match direction of original"/><s v="p. 4, converted with .667/(.474 * sqrt(159*159/318)), as SE can be used to calculate SD from sample size in single predictor regression; matches report in Camerer"/><s v="p.3 - =(0.6747/(1-0.6747))/(0.4311/(1-0.4311))"/><s v="p. 19 Camerer et al. 2018 - flipped to be in line with negative original effect"/><s v="p. 19 Camerer et al. 2018 - we do not report results from the replication report as they do not match anything reported in original study"/><s v="p. 3, =(0.8056/(1-0.8056))/(0.4483/(1-0.4483))"/><s v="p. 55"/><s v="p. 54"/><s v="=(25.85-25.4)/SQRT(((365-1)*5.47^2+(349-1)*5.5^2)/(365+349-2)))"/><s v="In R, r &lt;- sqrt(7.0152^2 / (7.0152^2 + 94))"/><s v="=(1.67-1.48)/SQRT(((147-1)*2.4^2+(139-1)*1.67^2)/(147+139-2)))"/><s v="=(10.3-6.69)/SQRT(((44-1)*5.28^2+(45-1)*4.3^2)/(44+45-2)))"/><s v="In R, r &lt;- sqrt(2.5543^2 / (2.5543^2 + 478))"/><s v="in R, h &lt;- 2 * (asin(sqrt(0.5353) - asin(sqrt(0.4757)))"/><s v="=(23.61-22.87)/SQRT(((1058-1)*16.93^2+(1078-1)*17.07^2)/(1058+1078-2)))"/><s v="=(44.63-45.07)/SQRT(((321-1)*14.69^2+(298-1)*14.75^2)/(321+298-2)))"/><s v="In R, r &lt;- sqrt(0.7579^2 / (0.7579^2 + 233))"/><s v="In R, r &lt;- sqrt(4.6276^2 / (4.6276^2 + 91))"/><s v="in R, h &lt;- 2 * (asin(sqrt(0.7277)) - asin(sqrt(0.5512)))"/><s v="In R (based on two-tailed z statistic), r &lt;- sqrt(6.7082^2 / (6.7082^2 + 20))"/><s v="p.1"/><d v="2025-04-03T00:00:00Z"/><s v="p.16 Using a mouse        Mean percentile = 71.2        p &lt; .001&#xA;"/><s v="Driving        Mean percentile = 65.2        p &lt; .001"/><s v="Riding a bicycle        Mean percentile = 61.0        p &lt; .001"/><s v="Saving money        Mean percentile = 62.9        p &lt; .001"/><s v="Telling jokes        Mean percentile = 52.4        n.s."/><s v="Playing chess        Mean percentile = 41.0        p &lt; .001"/><s v="Juggling        Mean percentile = 32.0        p &lt; .001"/><s v="Programming        Mean percentile = 40.7        p &lt; .001"/><s v="p.17 (r(6) = –0.85, p = .0073, 95% CI [–0.97 -0.37])."/><s v="p.15 (r(6) = 0.99, p &lt; .001, 95% CI [0.96, .99])."/><s v="p.5, F(1,68) = 1.12, p = .29, n2p=09."/><s v="p. 32"/><s v="p. 33"/><s v="Calculated based on means and SDs from p. 578"/><s v="Calculated based on means and SDs from p. 5"/><s v="p. 4-5"/><s v="Calculated based on means and SDs from p. 6"/><s v="Reported in Many Labs supplementary materials, Section 5: Response scales and reported behavior​"/><s v="p.4 "/><s v="p. 9 F(2, 64)  = 2.93, p =  .06, partial  2  = .08."/><s v="p. 2"/><s v="t(64) = -.88, p=.38."/><s v="Reported in Many Labs supplementary materials, Section 5: Response scales and reported behavior​ p. 7 (https://osf.io/y36m8)"/><s v="Reported in Many Labs supplementary materials, Section 12: Implicit Association Test and Implicit Attitudes."/><s v="p. 9, N based on df"/><s v="p.3, (F (1, 119) &lt; 1, n2= .01)."/><s v="Calculated based on framing effect results from Many Labs replication, Section 2: Framing effects in decision-making."/><s v="Reported in Many Labs supplementary materials, Section 4: Retrospective Gambler’s Fallacy."/><s v="p.15"/><s v="I used the data reported in p. 3 of supplementary material of the published article to calculate d"/><s v="Microsoft Word - PRH Supplementary Experiment Report.doc"/><s v="In R, cohens_h &lt;- 2 * (asin(sqrt(0.356)) - asin(sqrt(0.311)))"/><s v="Reported in Many Labs supplementary materials, Section 3: Measures of anchoring in estimation tasks."/><s v="In R, cohens_h &lt;- 2 * (asin(sqrt(0.8765)) - asin(sqrt(0.8667))"/><s v="In R (using compute.es), tes(t=-.930, n.1=60, n.2=48, level=95, dig=2)"/><s v="p.7"/><s v="p.6 X2= 1.04"/><s v="Calculated using SAS syntax provided in Correll (2008)"/><s v="Calculated using SAS syntax from Correll (2008)"/><s v="p. 5, F(1, 167) = 0.08, p  =  .775, d =  0.07."/><s v="p. 5, F(1, 266)   44.22, p  &lt;  .001, b =  0.19"/><s v="p.5, F(1, 266) = 0.24, p =  .625"/><n v="73.0"/><s v="p.6, F(1, 191) = 0.83, p = .363, d = 0.05."/><s v="p.6, F(1, 288)  = 95.16, p &lt;  .001, b  = 0.37"/><s v="p.6,  F(1, 288) = 0.67, p = .412."/><s v="F(1, 53.6) = 0.08, p =  .775, d =  0.01."/><s v="p.6,  F(1, 361)  = 139.37, p &lt;  .001"/><s v="p.6,  F(1, 361)  = 4.06, p =  .045:"/><s v="Calculated based on means and SDs from p. 62"/><s v="p.3 (table1)"/><s v="p.3 (table2)"/><s v="Reported in Many Labs supplementary materials, Section 4.9: Self-esteem, valence, and subjective distance."/><s v="Calculated based on means and SDs from p. 63"/><s v="Calculated based on means and SDs from p. 22"/><s v="Calculated based on means and SDs from p. 23"/><s v="Calculated based on means and SDs from p. 24"/><s v="Reported in Many Labs supplementary materials, Section 4.1: Stroop Effect and Cognitive Interference."/><s v="Reported in supplementary materials of replication study, Section 4.2: spatial metaphors and temporal reasoning."/><s v="reported in Table 3 "/><s v="Reported in Many Labs supplementary materials, Section 4.3: Availability heuristic and frequency judgments."/><s v="reported in table"/><s v="Reported in Many Labs supplementary materials, Section 4.5: Power and Perspective-Taking replication."/><s v="reported in text on page 75"/><s v="Reported in Many Labs supplementary materials, Section 10: Currency priming and system justification"/><s v="Reported in Many Labs supplementary materials, Section 11: Imagined contact and future contact intentions"/><s v="Reported in Many Labs supplementary materials, Section 1: Instructional Manipulation Checks and Detecting Satisficing"/><s v="[97] Data Replicada #10: Does Goal Conflict Affect Time Spent on Work and Leisure? - Data Colada"/><s v="[83] Data Replicada #2: Do Self-Construal and Group Size Influence How People Make Choices on Behalf of a Group? - Data Colada"/><s v="[85] Data Replicada #4: The Problem of Hidden Confounds - Data Colada"/><s v="https://osf.io/dqv9y"/><s v="p.16"/><s v="https://osf.io/gh52k?mode=&amp;revisionId=&amp;view_only="/><s v="p.14"/><s v="p.25"/><s v="ES for replication study was calculated based on the test statistics (M, SD, N)"/><s v="p.12"/><s v="p. 9 "/><s v="p. 457"/><s v="p. 465"/><s v="p. 23"/><s v="p. 466"/><s v="p. 459"/><s v="p. 460"/><s v="p. 464"/><s v="p. 454"/><s v="p. 455"/><s v="p. 461"/><s v="p. 456"/><s v="p. 458"/><s v="p.  460"/><s v="p. 467"/><s v="p. 462"/><s v="p. 463"/><s v="p. 22"/><s v="p.6, Table 2: Front vowels chosen = 512, Back vowels chosen = 311 χ² = 49.09, p &lt; 0.001"/><s v="p.6, Table 2: Front vowels chosen = 289, Back vowels chosen = 534 χ² = 72.934, p &lt; 0.001"/><s v="p.6, Table 2: Front vowels chosen = 331, Back vowels chosen = 492 χ² = 31.496, p &lt; 0.001"/><s v="p.6, Table 2: Front vowels chosen = 320, Back vowels chosen = 503 χ² = 40.691, p &lt; 0.001"/><s v="p.6, Table 2: Front vowels chosen = 536, Back vowels chosen = 287 χ² = 75.335, p &lt; 0.001"/><s v="p.6, Table 2: Front vowels chosen = 539, Back vowels chosen = 284 χ² = 79.01, p &lt; 0.001"/><s v="p.6, Table 2: Front vowels chosen = 343, Back vowels chosen = 480 χ² = 22.806, p &lt; 0.001"/><s v="p.6, Table 2: Front vowels chosen = 456, Back vowels chosen = 367 χ² = 9.6245, p = 0.002"/><s v="p.6, Table 2: Front vowels chosen = 452, Back vowels chosen = 371 χ² = 7.9721, p = 0.005"/><s v="p.6, Table 2: Front vowels chosen = 515, Back vowels chosen = 308 χ² = 52.064, p &lt; 0.001"/><s v="p.6, Table 2: Front vowels chosen = 546, Back vowels chosen = 277 χ² = 87.923, p &lt; 0.001"/><s v="p.6, Table 2: Front vowels chosen = 233, Back vowels chosen = 590 χ² = 154.86, p &lt; 0.001"/><s v="p.6, Table 2: Front vowels chosen = 461, Back vowels chosen = 362 χ² = 11.909, p &lt; 0.001"/><s v="p.6, Table 2"/><s v="p. 7 (f our: M = 21.40, SD = 100.28; seven: M = 17. 71, SD = 9.14; F1,821 = 0.565, p = 0.452, η 2p = 0.001)."/><s v="p. 7 (f our: M = 4.45, SD = 3.00, vs. seven: M = 4.80, SD = 3.52; F1,821 = 2.380, p = 0.123, η2p = 0.003)."/><s v="p. 7 (U = 78,727, Z = 1.743,p = 0.081, r = 0.061)."/><s v="p. 10 / t. 5"/><s v="p. 17. F(2, 598) = 4.28, p = .014, ηp2 = .014, η2 = .014"/><s v="p. 17 F(2, 598) = 1.05, p = .351, ηp2 = .003, η2 = .003;"/><s v="p. 18 F(1, 598) = 1.01, p = .315, ηp2 = .002, η2 = .002."/><s v="p. 18  (M = 4.74, SD = 2.03), (M = 5.52, SD = 1.97), t(281) = 2.61, p = .029"/><s v="p. 18 t(317) = 1.52, p = .387"/><s v="p. 18 β = 0.62, t(599) = 10.24, p &lt; .001."/><s v="p. 18 (0.07, 95% CI = [-0.0012, 0.14])"/><s v="p. 18, (0.04, 95% CI = [-0.02, 0.11])."/><s v="p. 18 (0.02, 95% CI = [-0.07, 0.12]),"/><s v="p. 67; Mscarcity = 5.53, SE = 1.81, Mcontrol = 4.04, SE = 2.14, t = -9.89, p &lt; .001; added DFs from N"/><s v="p. 67; Mscarcity = 5.37, SE = 1.69, Mcontrol = 4.35,SE = 2.00, t = -7.29, p &lt; .001; added DFs from N"/><s v="p. 67; (F(1, 686) = 12.84, p = .0004, partial h2 = .018)"/><s v="p. 67; (F(4, 686) = 5.59, p &lt; .001, partial h2 = .008)"/><s v="Mscarcity = 5.53, SE = 1.78, Mcontrol = 4.07, SE = 2.12, t = -9.98, p &lt; .001,"/><s v="Mscarcity = 5.40, SE = 1.66, Mcontrol = 4.39,SE = 2.00, t = -7.42, p &lt; .001."/><s v="(F(1, 710) = 8.64, p = .0034, partial h2 = .012.)."/><s v="(F(4, 710) = 6.07, p &lt; .001, partial h2 = .008)."/><s v="A (MTEL = $15.06, SD = $9.54; MMEL = $8.71, SD = $8.21; F(1, 463) = 22.26, p &lt; .01, Cohen’s d = 0.179)."/><s v="p. 56"/><s v="(F(1, 463) = 0.139, p = 0.71; MTEL-Near Future = $15.71, SD = $10.68;MMEL-Near Future = $9.05, SD = $9.49; MTEL-Distant Future = 14.43, SD =8.27; MMEL-distant future = 8.38, SD = 6.80)"/><s v="(M  = $1.65, SD  = 1.18)  (M  = $1.48, SD  = 1.17; F (1, 412) = 0.56, p  = .45; ηp2= .001)."/><s v="β = .01, SE = .04, t(410) = 0.16, p = .88; ηp2= .00"/><s v="(β = 0.001, SE = .04, t(410) = -0.13, p = .90; ηp2= .00)."/><s v="(β = .43, SE = .04, t(410) = 9.73, p &lt; .001; ηp2= .19)"/><s v="(M  = $1.67, SD  = 1.19)  (M  = $1.78, SD  = 1.20; F (1, 420) = 0.89, p  = .34; ηp2= .00"/><s v="(β = .02, SE = .04, t(418) = 0.49, p = .62;ηp2= .00)"/><s v="(β = -.1, SE = .04, t(418) = -0.30, p = .76; ηp2= .00)"/><s v="(β = .41, SE =.04, t(418) = 9.04, p &lt; .001; ηp2= .16)"/><s v="(X2(2,N=319)=2.224,p=.329)."/><s v="(M=27%) (M=29%,B=−.02,[SE]=.06,Wald=.063,p=.802)"/><s v="(M=27%) (M=36%,B=−.09,[SE]=.06,Wald=1.90,p=.174)"/><s v="(B=−.07,[SE]=.06,Wald=1.2,p=.278)"/><s v="X2(2,N=327)=2.742,p=.254)."/><s v="(M=26%)  (M=29%,B=−.03,[SE]=.06,Wald=.165,p=.685),"/><s v="M = 26% (M=36%,B=−.10,[SE]=.06,Wald=2.422,p=.120.)"/><s v="(B=−.07,[SE]=.06,Wald=1.269,p=.260)"/><s v="MScarcity = 4.44 vs. MControl= 1.80; F(1, 385) = 249.20, p &lt; .001, partial eta-squared = .392"/><s v="(F(1, 385) = 2.31, p =.12, partial eta-squared = .004)"/><s v="(F(1, 385) = 1.31, p = .253, partial eta-squared = .003)"/><s v="PHigh Threat= .30, SD = .23 vs. PLow Threat= .34, SD = .25, F(1, 385) = 2.64, p = .105, partial eta-squared = .003"/><s v="PScarcity= .32, SD= .25 vs. PControl= .32, SD = .25, F(1, 385) = 0.03, p = .843, partial eta-squared = .000"/><s v="F(1, 385) = 0.005, p = .945, partial eta-squared = .000"/><s v="p.5 (F1,821 = 55.002, p &lt; 0.001, η2p = 0.063)."/><s v="p. 9 / t. 5"/><s v="p.5 (52.56–47.45%; F1,821 = 4.717, p = 0.030, η2p = 0.011)."/><s v="p.5 (59.59–40.41%; F1,821 = 70.981, p &lt; 0.001,η2p = 0.149)."/><s v="p. 5 (high saturation: M = 15.46, SD = 1.94, vs. low saturation: M = 15.42, SD = 1.84; F1,821 = 0.095, p = 0.758, η 2p = 0.000)."/><s v="p.5 (high saturation: M = 5.30, SD = 1.07; vs. low saturation: M = 4.75, SD = 1.14; F1,821 = 49.238, p &lt; 001,η2p = 0.057)"/><s v="p. 5 (high saturation: M = 5.83, SD = 1.10; vs. low saturation: M = 5.41, SD = 1.20; F1,821 = 27.539, p &lt;0.001, η2p = 0.033)."/><s v="p.5 on the left (24.44%) or the right (25.59%) of the unhealthy food (, p = 0.763)."/><s v="p. 5 (F1,821 = 7.492, p = 0.006, η2p = 0.009)"/><s v="p.5  (F1,821 = 0.118, p = 0.731, η2p = 0.000)."/><s v="p.5 (F1,821 = 1.053, p = 0.305, η2p = 0.001)"/><s v="p.5 (F1,821 = 0.114, p = 0.736, η2p = 0.000),"/><s v="p.6 (F1,821 = 1.174, p = 0.279, η2p = 0.001)."/><s v="p.6 (F1,821 = 1.400, p = 0.237, η2p = 0.002),"/><s v="p. 9,10 / t. 5"/><s v="p. 6 (match: M = 3.39, SD = 1.75; mismatch: M = 3.36, SD = 1.82; F1,821 = 0.068, p = 0.794, η2p = 0.0001)."/><s v="p.6 (match: M = 4.87, SD = 2.00 vs. mismatch: M = 4.86, SD = 2.03; F1,821 = 0.006, p = 0.941, η2p = 0.0000)."/><s v="p. 6 (F2,820 = 0.141, p = 0.868, η 2p = 0.000)."/><s v="p.6 (circular-logo: M = 5.33, SD = 1.35, vs. angular-logo: M = 5.34, SD = 1.30; F1,550 = 0.004, p = 0.949, η 2p = 0.000)"/><s v="p.6 (angular-logo: M = 5.37, SD = 1.31 vs. circular-logo: M = 5.37, SD = 1.32; F1,550 = 0.0001, p = 0.994, η2p = 0.000)."/><s v="p.6 (circular-logo: M = 5.08, SD = 1.23, vs. angular-logo: M = 5.13, SD = 1.20, vs. control: M = 5.18, SD = 1.21; F2,820 = 0.478, p = 0.620, n2p = 0.001)."/><s v="p. 7 (F2,732 = 2.758, p = 0.064, η2p = 0.008)."/><s v="p.7 (left: M = 5.95, SD = 1.47 vs. right: M = 5.98, SD = 1.53; F1,732 = 0.032, p = 0.859, η2p= 0.000)."/><s v="p.7 (right: M = 5.47, SD = 1.41 vs. left: M = 5.63, SD = 1.68; F1,732 = 0.695, p = 0.405, η2p = 0.001)."/><s v="p.7 (F2,732 = 7.952, p &lt; 0.001, η2p = 0.021)"/><s v="p.7 (F1,732 = 1.093, p = 0.296, η2p = 0.002)."/><s v="p. 7 M = 5.64, SD = 1.05; vs. low dynamism: M = 5.59, SD = 1.15; F1,821 = 0.393, p = 0.531, η2p = 0.001)."/><s v="p. 7 (high dynamism: M = 5.85, SD = 1.27, vs. low dynamism: M = 5.00, SD = 1.50; F1,821 = 77.863, p &lt; 0.001, η2p = 0.087)."/><s v="p. 5; X2(1) = .387"/><s v="p. 15; t(156) = 1.318"/><s v="p. 4; F (1, 29) = 8.064"/><s v="p. 4; F(1, 142) = 1.19"/><s v="p. 2; F(1,116) = 6.28"/><s v="p. 4; F(1, 9) = 11.6"/><s v="p. 6; t(175) = 15.64"/><s v="p. 5; F (1,30) = 21.92"/><s v="p. 6; F(18, 660) = 12.98"/><s v="p. 5; F(1, 158) = 0.379"/><s v="p. 7; F(2, 232) = 1.63"/><s v="p. 4; changed sign"/><s v="p. 3; F(1, 68) = 0.08"/><s v="p. 4; t(25)=-3.1029; changed sign"/><s v="p. 4; F(1, 64) = .02"/><s v="p. 25"/><s v="p.10,11, 12"/><s v="T. 2"/><s v="(765.5-705.4)/SQRT((504.178614183505^2+435.384660960857^2)/2)"/><s v="p.xx"/><s v="https://osf.io/8nzfm/wiki/home/"/><s v="p. 12 of supplementary material"/><s v="p. 14 of supplementary material"/><s v="p. 5 &amp; 6"/><s v="X2(1, N = 161) = 2.2422 df = 1, p = 0.1343"/><s v="https://osf.io/mr3nb"/><s v="X2(1, N = 50) = 9.68, p = 0.001863"/><s v="X2(1, N = 259) = 43.02, p &lt; 0.001"/><s v="X2 = 42.2, df = 1, p&lt;.001"/><s v="https://osf.io/n4573"/><s v="https://osf.io/fdjns , p. 2"/><s v="t(270) = 4.7265, p &lt; .001"/><s v="F (1, 828.54) = 1.20, p = .27"/><s v="X2(1, N = 150) = 0.33, p = 0.56"/><s v="X2(1, N = 145) = 52.5, p &lt; .001"/><s v="t(198) = 4.44, p &lt; 0.001; p. 2 in report at OSF: https://osf.io/c639t"/><s v="t(188.64) = 8.27, p &lt; 0.001; p. 2 in report at OSF: https://osf.io/c639t"/><s v="p. 10 from https://osf.io/6r74y"/><s v="t(204) = -1.387, p = 0.917 from p. 10 https://osf.io/6r74y"/><s v="r = 0.139, p = 0.002 from https://osf.io/4ewkh"/><s v="p. 6-7"/><s v="X2(1, 60) = 4.3015, p = 0.04"/><s v="t(512) = 7.4773, p &lt; .001 from https://osf.io/4ewkh"/><s v="t(86) = 2.420, p = .018 from https://osf.io/4ewkh"/><s v="p. 10 and https://osf.io/4ewkh"/><s v="X2(1, N = 2211) = 159.39, p &lt; 0.001 from &quot;Reuter&quot; row in https://osf.io/4ewkh"/><s v="t(296) = 1.16, p = 0.24"/><s v="https://osf.io/mjvsd"/><s v="t(179) = 0.004, p =.99"/><s v="p &lt;.001"/><s v="p. 2 X2(1, N = 63) = 58.23, p &lt; .001, B = 0.42, Exp(B) = 1.52"/><s v="p. 2 X2= 103.77, df =3, N = 63, p &lt; .001"/><s v="https://osf.io/exqch"/><s v="(X2= 28.90, df =1, N = 63, p &lt; .001, B= 0.87)"/><s v="p. 2 X2=100.33, df =1, N = 63, p &lt; .001, B= 2.30"/><s v="p. 2 X2=50.04, df =1, N = 63, p &lt; .001, B= 1.44"/><s v="p. 2 X2= 26.37, df =1, N = 63, p &lt; .001, B= 1.07)"/><s v="p. 2 X2= 58.23, df =1, N = 63, p &lt; .001, B= 1.32"/><s v="https://osf.io/4ydaf"/><s v="X2(1, N = 155) = .198, p = .656"/><s v="Sobel test = 3.82, p = 0.0001"/><s v="https://osf.io/spwxg"/><s v="t(385)=1.69, p=0.092, η2=0.007"/><s v="t(97) = 6.483, p &lt; .001"/><s v="X2(1, N = 302) = 19.945, p &lt; .001"/><s v="https://osf.io/682ga"/><s v="https://osf.io/j2m8u"/><s v="https://osf.io/juxpq"/><s v="t(125) = 7.15, p &lt; 0.001"/><s v="https://osf.io/xv3uz"/><s v="t(198) = 4.1119, p &lt; .001"/><s v="https://osf.io/m5q6z"/><s v="https://osf.io/s8mrz"/><s v="https://osf.io/mykq6"/><s v="https://osf.io/d478r, page 2"/><s v="X2(1, N = 47) = 32.36, p &lt;.001"/><s v="X2(1, N = 186) = 67.4, p &lt; .001, kendallsW at https://osf.io/4ewkh"/><s v="X2(1, N = 221) = 0.42374, p = 0.5151"/><s v="p. 1 https://osf.io/7s5vy&#xA;X2(1, N = 123) = 17.959, p = 0.000023, w = 0.38."/><s v="Table 1, p. 4"/></sharedItems></cacheField><cacheField name="pval_value_r"><sharedItems containsBlank="1" containsMixedTypes="1" containsNumber="1"><s v="The reported p-value associated with the replication finding, must contain only one value and must not contain text"/><n v="0.02"/><s v="unavailable"/><n v="0.001"/><m/><n v="0.83"/><n v="0.01"/><s v="p &lt; 0.05"/><s v="p &lt; 0.01"/><s v="intramathematical problem p &lt; 0.05, word problem p &lt; 0.01, modelling problem p &lt; 0.01"/><s v="intramathematical problem p &lt; 0.01, word problem p &lt; 0.01, modelling problem p &lt; 0.01"/><n v="0.379"/><n v="0.529"/><n v="0.61"/><n v="0.71"/><n v="0.05"/><n v="0.438"/><n v="0.397"/><n v="0.618"/><s v="0.002"/><n v="0.002"/><s v="0.632"/><n v="0.122"/><n v="0.11"/><n v="0.25"/><n v="0.042"/><n v="0.29"/><n v="0.33"/><n v="0.073"/><n v="0.0"/><n v="0.031"/><n v="0.015"/><n v="0.047"/><n v="0.12"/><n v="0.407"/><n v="0.003"/><n v="0.548"/><n v="0.887"/><n v="0.7"/><s v="p &lt; 0.001"/><n v="0.101"/><s v="p = 0.66"/><s v="p = .261"/><n v="0.47"/><n v="0.06"/><n v="0.16"/><n v="0.86"/><n v="0.56"/><n v="0.8"/><n v="0.41"/><n v="0.04"/><n v="0.686"/><n v="1.0E-4"/><n v="0.07"/><n v="0.007"/><n v="0.742"/><n v="0.023"/><n v="0.054"/><n v="1.0E-5"/><n v="0.008"/><n v="0.021"/><n v="0.036"/><n v="0.1"/><s v="NA"/><n v="0.035"/><n v="0.072"/><n v="0.065"/><n v="0.049"/><n v="0.64"/><n v="0.5"/><s v="N/A"/><n v="0.38"/><n v="0.45"/><n v="0.27"/><n v="0.97"/><n v="0.49"/><n v="0.384"/><n v="0.133"/><n v="0.282"/><n v="0.126"/><n v="0.19"/><n v="0.162"/><n v="0.222"/><n v="0.22"/><n v="0.528"/><n v="0.311"/><n v="0.087"/><n v="0.999"/><s v="n.s."/><n v="0.73"/><n v="0.572"/><n v="0.125"/><n v="0.77"/><n v="0.81"/><n v="0.55"/><n v="0.54"/><n v="0.82"/><n v="0.53"/><n v="0.36"/><n v="0.84"/><n v="0.94"/><n v="0.038"/><n v="0.546"/><n v="0.424"/><n v="0.058"/><n v="1.0"/><n v="0.027"/><n v="0.146"/><n v="0.381"/><n v="0.344"/><n v="0.53895"/><n v="0.101498"/><n v="0.8926"/><n v="0.74"/><s v="Main effect source certainty:  p = .039&#xA;Main effect expertise: p = .247&#xA;Interaction effect certainty*expertise:  p =.361&#xA;Simple effect: non-expert  p = .439, expert  p = .027"/><s v="Main effect source certainty:  p &gt; 0.05&#xA;Main effect expertise: p  &gt; 0.05&#xA;Interaction effect certainty*expertise:  p = 0.030&#xA;Simple effect: non-expert  p = .023, expert  p = .437"/><s v="Main effect source certainty:  p &lt; 0.001&#xA;Main effect expertise: p  &gt; 0.05&#xA;Main effect reason: p  &gt; 0.05&#xA;Interaction effects: all  p  &gt; 0.05"/><n v="0.39"/><s v="Main effect Need For Closure: p = 0.010"/><n v="0.247"/><n v="0.03"/><n v="0.004"/><n v="0.08"/><s v="p = 0.20"/><s v="p &gt;0.05"/><n v="0.444"/><n v="0.422"/><n v="0.908"/><s v="not reported"/><s v="ns"/><n v="0.014"/><n v="0.924"/><n v="0.95"/><s v="NOT REPORTED "/><n v="0.46"/><n v="0.79"/><n v="0.37"/><n v="0.42"/><n v="0.607"/><n v="0.151"/><n v="0.928"/><n v="0.156"/><n v="0.332"/><n v="0.315"/><n v="0.564"/><n v="0.017"/><n v="0.026"/><n v="0.011"/><n v="0.792"/><n v="0.287"/><n v="0.523"/><n v="0.272"/><n v="0.993"/><n v="0.658"/><n v="0.217"/><n v="0.995"/><n v="0.3"/><n v="0.455"/><n v="0.328"/><n v="0.861"/><n v="0.292"/><s v="0.38"/><n v="0.077"/><n v="0.547"/><n v="0.375"/><n v="0.96"/><n v="0.76"/><n v="0.009"/><n v="0.651"/><s v="0.077"/><s v="0.547"/><s v="0.375"/><s v="0.96"/><s v="0.76"/><s v="0.009"/><n v="0.0618253867610742"/><n v="0.312441601669666"/><n v="0.579197556876244"/><n v="0.303"/><n v="3.80739424115181E-4"/><n v="3.807E-4"/><n v="0.01077"/><n v="0.2632"/><n v="0.1238"/><n v="6.056E-4"/><n v="0.7857"/><n v="0.0039689311852333"/><n v="0.15"/><n v="0.00173447003936064"/><n v="6.21E-7"/><n v="9.321999999999998E-6"/><n v="0.01454"/><n v="0.87"/><n v="0.4"/><n v="0.121273607571615"/><n v="0.0208742712467195"/><n v="0.6"/><n v="0.466054495151454"/><s v="0.46605449515145414"/><n v="0.633"/><n v="0.723"/><n v="0.3155"/><n v="0.1847"/><n v="0.141014403121108"/><n v="0.640291853"/><n v="0.144231002"/><n v="0.371"/><n v="0.141"/><n v="0.761"/><n v="3.4399999999999997E-6"/><n v="0.13"/><n v="0.21"/><n v="0.66"/><n v="0.35"/><n v="3.28644168173073E-9"/><n v="3.2864416817307304E-9"/><n v="1.44241082036131E-4"/><n v="0.517488992438142"/><n v="4.61188901659452E-6"/><n v="0.159"/><n v="0.0506886504493445"/><n v="5.85E-4"/><n v="0.0126"/><n v="0.88295"/><n v="0.199011"/><n v="2.03963080148808E-13"/><n v="0.0169"/><n v="0.8952"/><n v="0.076"/><n v="0.144"/><n v="0.689"/><n v="0.52"/><n v="0.63"/><n v="0.169"/><n v="1.20468940918332E-7"/><n v="0.1663"/><n v="0.635"/><n v="0.191"/><n v="0.00181562866269216"/><n v="0.48"/><n v="0.961"/><n v="0.09"/><n v="0.00662"/><n v="0.90065"/><n v="0.00905"/><n v="4.42E-9"/><n v="2.2400000000000002E-5"/><n v="0.0549"/><n v="1.0600000000000002E-5"/><n v="0.00107"/><n v="0.20379"/><n v="1.66062956998421E-6"/><n v="7.8106E-5"/><n v="3.9E-5"/><n v="0.254372799634103"/><n v="0.976202719702489"/><n v="7.47984211800734E-21"/><n v="0.355669153365095"/><n v="0.521018327214011"/><n v="0.238"/><n v="0.071"/><n v="0.672"/><n v="0.847"/><n v="0.598"/><n v="0.0986966719237651"/><n v="0.1407"/><n v="0.0115"/><n v="0.0987"/><n v="0.00233092847095222"/><n v="0.00233"/><n v="6.746E-4"/><n v="0.0031099"/><n v="0.002447"/><n v="0.321193881265947"/><n v="2.0E-4"/><n v="0.4793"/><n v="0.492"/><n v="1.00409150080624E-9"/><n v="0.169558754526223"/><n v="0.127565381522381"/><n v="7.280000000000001E-5"/><n v="0.00382"/><n v="6.28E-13"/><n v="3.63E-4"/><n v="1.23E-9"/><n v="0.098598"/><n v="0.207203"/><n v="0.044079512790297"/><n v="0.652055010791243"/><n v="0.006"/><n v="0.048"/><n v="0.066"/><n v="0.0881902635199541"/><n v="0.968533455924623"/><s v="0.9685334559246237"/><n v="0.483548956401245"/><n v="0.817"/><n v="0.284"/><n v="0.919289815940389"/><n v="0.212"/><n v="0.4551992"/><n v="0.129496379178315"/><n v="7.8E-6"/><n v="2.2000000000000002E-16"/><n v="1.654E-5"/><n v="3.33E-4"/><n v="1.4E-4"/><n v="0.33715549846412"/><n v="0.306"/><n v="8.29167038817029E-4"/><n v="8.291670388170291E-4"/><n v="0.544634947869308"/><n v="0.563448936597826"/><n v="0.459121525224115"/><n v="0.459"/><n v="0.04869"/><n v="0.115563444416586"/><n v="0.116"/><n v="0.687444834440912"/><n v="0.6871"/><n v="0.0114"/><n v="0.7317"/><n v="2.3404303906210502E-7"/><n v="0.067319915476862"/><n v="0.0673199"/><n v="0.0871952"/><n v="3.2E-4"/><n v="3.25485366864697E-4"/><n v="0.184939813686217"/><n v="0.0185"/><n v="0.47425673913639"/><n v="0.1009"/><n v="0.98"/><n v="0.0791635471444569"/><n v="0.0791605"/><n v="0.0218658"/><n v="0.5663768"/><n v="0.027064"/><n v="0.030526"/><n v="1.09027208418848E-4"/><n v="0.348"/><s v="0.9965467603884997"/><n v="0.0104556436019021"/><n v="4.189E-4"/><n v="0.505808759221724"/><n v="0.0216"/><n v="0.3334461"/><n v="0.562461465954232"/><n v="2.3039353399823E-13"/><n v="0.323"/><n v="0.533"/><n v="0.361"/><n v="0.157"/><n v="5.306E-4"/><n v="0.0182407236142778"/><n v="0.31949202403835"/><n v="0.0593"/><n v="0.41435"/><n v="0.00205"/><n v="0.00484125243751612"/><n v="0.5491"/><n v="4.02218906166799E-22"/><n v="3.29154931197221E-10"/><n v="0.935803955360774"/><n v="0.8934787321"/><n v="0.893478732094815"/><n v="0.124705614184336"/><n v="1.56719549264669E-7"/><n v="0.0469833588964036"/><n v="0.810049856157626"/><n v="0.357634457118059"/><n v="0.288681420512208"/><n v="0.640831197761496"/><n v="0.807212595250987"/><n v="0.604146530304818"/><n v="0.0355327857460011"/><n v="0.0566541751146468"/><n v="0.0562263367816061"/><n v="1.74700225281248E-7"/><n v="0.520567835597779"/><n v="0.00692284686075806"/><n v="0.00292409499639768"/><n v="2.35092757182492E-8"/><n v="0.0281747341040883"/><n v="0.134553425569185"/><n v="5.12986065631356E-41"/><n v="0.348108250387705"/><n v="0.424197305150009"/><n v="0.878746428689911"/><n v="6.63139204670043E-5"/><n v="1.91723363847369E-5"/><n v="0.00539563199687963"/><n v="5.74940043546499E-4"/><n v="5.90006114667716E-5"/><s v="MA"/><n v="0.232036496781515"/><n v="0.212129833599919"/><n v="0.2"/><n v="0.226694821848151"/><n v="0.363766425742599"/><n v="0.00617483036055436"/><n v="0.0413395620626535"/><n v="0.0189471698469944"/><n v="0.349774194915251"/><n v="0.531821336454792"/><n v="0.00137873815724571"/><n v="0.2320364968"/><n v="0.00245187028514065"/><n v="0.977005295638734"/><n v="4.2900000000000006E-5"/><n v="4.28962951808074E-5"/><n v="0.266690424017411"/><n v="0.0226713058255987"/><n v="0.00994269298"/><n v="0.00994269297968994"/><n v="0.236503257258824"/><n v="1.93056826666521E-5"/><n v="0.142"/><n v="0.933"/><n v="0.016"/><n v="0.154"/><n v="0.012"/><n v="0.571"/><n v="0.674"/><n v="0.055"/><n v="0.468"/><n v="0.4681"/><n v="3.497E-10"/><n v="0.436"/><n v="0.4362"/><n v="6.0E-4"/><n v="0.0109"/><n v="0.0087"/><n v="0.394"/><n v="0.234"/><n v="0.2336"/><n v="0.7095"/><n v="1.338E-4"/><n v="0.449"/><n v="0.4493"/><n v="6.8E-5"/><n v="0.022"/><n v="0.0223"/><n v="1.222E-5"/><n v="0.415"/><n v="0.414"/><n v="2.1E-4"/><n v="1.58E-6"/><n v="0.025"/><n v="0.0252"/><n v="0.23"/><n v="0.0073"/><n v="0.929"/><n v="0.666"/><n v="0.17"/><n v="0.78"/><n v="0.851"/><n v="0.636"/><n v="0.68"/><n v="0.26"/><n v="0.406"/><n v="0.437"/><n v="0.789"/><n v="0.927"/><n v="0.43"/><n v="0.62"/><n v="0.215"/><n v="0.167"/><n v="0.775"/><n v="0.625"/><n v="0.363"/><n v="0.412"/><n v="0.045"/><n v="0.543"/><n v="0.827"/><n v="0.72"/><n v="0.079"/><n v="0.494"/><n v="0.826"/><s v="0.826"/><n v="0.44"/><s v="0.720"/><n v="0.088"/><n v="0.261"/><n v="0.108"/><n v="0.88"/><n v="0.432"/><n v="0.496"/><n v="0.443"/><n v="0.513"/><n v="0.489"/><n v="0.174"/><n v="0.349"/><n v="0.24"/><n v="0.32"/><n v="0.383"/><s v="0.383"/><n v="0.743"/><n v="0.31"/><n v="6.2E-20"/><n v="0.288"/><n v="2.4E-6"/><n v="0.605"/><n v="0.904"/><n v="0.799"/><n v="8.9E-12"/><n v="2.6E-4"/><n v="0.841"/><n v="1.4E-22"/><n v="0.408"/><n v="5.7E-11"/><n v="0.699"/><n v="0.639"/><n v="0.714"/><n v="0.801"/><n v="0.278"/><n v="0.019"/><n v="2.7E-4"/><n v="0.646"/><n v="0.145"/><s v="0.667"/><n v="0.667"/><n v="0.824"/><n v="0.184"/><n v="0.763"/><n v="0.964"/><n v="0.679"/><n v="0.918"/><n v="0.9"/><n v="0.988"/><n v="0.99"/><n v="0.997"/><n v="0.991"/><n v="0.665"/><n v="0.457"/><n v="1.2E-13"/><n v="2.48E-5"/><n v="2.2E-16"/><n v="3.32E-285"/><n v="8.300000000000001E-109"/><n v="1.5E-159"/><n v="2.1499999999999998E-57"/><n v="6.5300000000000005E-115"/><n v="2.15E-57"/><n v="6.53E-115"/><n v="1.01E-50"/><n v="6.5E-34"/><n v="2.54E-29"/><n v="6.05E-34"/><n v="4.66E-23"/><n v="7.7E-16"/><n v="8.619999999999999E-7"/><n v="8.62E-7"/><n v="0.91"/><n v="0.18"/><n v="1.1000000000000001E-9"/><n v="1.1E-9"/><n v="2.0E-16"/><n v="2.37E-5"/><n v="3.0399999999999996E-275"/><n v="3.04E-275"/><n v="5.5000000000000005E-236"/><n v="4.5E-236"/><n v="0.005"/><n v="0.452"/><n v="0.123"/><n v="0.081"/><n v="0.351"/><n v="0.029"/><n v="0.387"/><n v="0.034"/><n v="0.34"/><n v="0.329"/><n v="0.802"/><n v="0.254"/><n v="0.685"/><n v="0.253"/><n v="0.105"/><n v="0.843"/><n v="0.945"/><n v="0.862"/><n v="0.758"/><n v="0.731"/><n v="0.305"/><n v="0.736"/><n v="0.279"/><n v="0.237"/><n v="0.794"/><n v="0.941"/><n v="0.868"/><n v="0.949"/><n v="0.994"/><n v="0.064"/><n v="0.859"/><n v="0.405"/><n v="0.296"/><n v="0.531"/><n v="0.435"/><n v="0.132"/><n v="0.189"/><n v="0.28"/><n v="0.197"/><n v="0.539"/><n v="0.00471"/><n v="0.89"/><n v="3.0E-10"/><n v="0.628"/><n v="0.369"/><n v="3.5E-5"/><n v="3.0E-5"/><n v="0.0269"/><n v="0.269"/><n v="0.229"/><n v="0.044"/><n v="0.1469"/><n v="0.335"/><n v="0.085"/><n v="0.471"/><n v="0.426"/><n v="0.314"/><n v="0.028"/><n v="0.235"/><n v="0.086"/><n v="0.93"/><n v="0.01175"/><n v="0.925"/><n v="0.216"/><s v="0.925"/><n v="0.172"/><n v="0.872"/><n v="0.039"/><s v="=(0.146/e (=))/(0.039/e (=))"/><s v="Medicine"/><n v="0.024"/><n v="0.727"/><n v="0.419"/><n v="0.574"/><n v="0.256"/><n v="0.033"/><n v="0.51"/><n v="0.083"/><n v="0.592"/><n v="0.018"/><n v="0.182"/><n v="0.106"/><n v="0.075"/><n v="0.121"/><n v="0.173"/><n v="0.259"/><n v="0.219"/><n v="0.551"/><n v="0.241"/><n v="0.179"/><n v="0.201"/><n v="0.447"/><n v="0.131"/><n v="0.1343"/><n v="0.002863"/><n v="0.001863"/><n v="0.917"/><n v="5.0E-4"/><n v="0.032"/><n v="0.656"/><n v="0.092"/><n v="0.1647"/><n v="0.5151"/><n v="2.3E-5"/><n v="0.725"/><n v="0.655"/></sharedItems></cacheField><cacheField name="pval_type_r" numFmtId="0"><sharedItems containsBlank="1"><s v="How is p-val reported?&#xA;&quot;=&quot; (e) / &quot;&lt;&quot; (l) / &quot;&gt;&quot; (g) or combined (le, ge)?&#xA;&#xA;for example &quot;p &lt;= .05&quot; should be coded as &quot;le&quot;"/><s v="l (&lt;)"/><m/><s v="e (=)"/><s v="r"/><s v="g (&gt;)"/><s v="NA"/><s v="N/A"/><s v="gr (&gt;)"/><s v="l(&lt;)"/><s v="ge (&gt;)"/><s v="le (&lt;=)"/><s v="Mental fatigue"/></sharedItems></cacheField><cacheField name="pval_tails_r" numFmtId="0"><sharedItems containsBlank="1"><s v="How many tails associated with the p-value, taking on values of one, two, or unknown&#xA;&#xA;one: 1&#xA;two: 2&#xA;unknown: NA&#xA;missing: not coded"/><s v="2 (two)"/><m/><s v="1 (one)"/><s v="NA (not reported)"/><s v="p. 17"/><s v="NA"/><s v="N/A"/><s v="Exercise performance; endurance; perceived exertion; motivation"/></sharedItems></cacheField><cacheField name="nested_r"><sharedItems containsBlank="1" containsMixedTypes="1" containsNumber="1"><s v="Is pval based on a test that accounts for dependence between observations (e.g., multilevel, repeated measures)"/><s v="yes"/><m/><s v="no"/><n v="0.001"/><s v="NA"/><s v="N/A"/><s v="unsure"/><s v="Vigor significantly decreased in both conditions"/></sharedItems></cacheField><cacheField name="prereg_r" numFmtId="0"><sharedItems containsBlank="1"><s v="Link to preregistration of R (only search for &quot;regist&quot;)"/><s v="https://doi.org/10.17605/OSF.IO/2ZGF9"/><m/><s v="https://osf.io/39xuw"/><s v="https://doi.org/10.17605/OSF.IO/7VGKQ"/><s v="https://pdf.sciencedirectassets.com/272387/1-s2.0-S0022103120X00060/1-s2.0-S0022103120304066/main.pdf?X-Amz-Security-Token=IQoJb3JpZ2luX2VjEBgaCXVzLWVhc3QtMSJGMEQCICnHJqcNsP62IhJ5t%2BlQbccPwseA76qFfK6Rgkom8dtRAiB1LS%2BiM%2B0b%2BvwiyOom715iyNnHeXVQbXmSm95p"/><s v="https://osf.io/8urxv"/><s v="NA"/><s v="https://osf.io/w4gj2"/><s v="l (&lt;)"/><s v="https://osf.io/5beqa"/><s v="https://osf.io/x64cn/ "/><s v="osf.io/x64cn"/><s v="https://osf.io/x64cn/"/><s v="https://aspredicted.org/3KR_RSK"/><s v="https://aspredicted.org/"/><s v="https://osf.io/8ga4s?view_only=38d7630a8c6e4eb6aee200540eec175d"/><s v="(https://osf.io/8ga4s/"/><s v="https://osf.io/8kzgd"/><s v="https://www.prolific.co"/><s v="https://osf.io/zb5j2"/><s v="https://osf.io/zb5j2/"/><s v="https://aspredicted.org/~AhaPdyHcZf"/><s v="PsyArXiv Preprints | The Efficacy of Attentional Bias Modification for Anxiety: A Registered Replication"/><s v="https://osf.io/preprints/psyarxiv/cf4xz"/><s v="https://osf.io/8t9qj"/><s v="https://osf.io/j8n59"/><s v="https://osf.io/uqsf6/"/><s v="https://osf.io/g4xcb"/><s v="https://osf.io/preprints/psyarxiv/esu9z"/><s v="https://osf.io/8qub2"/><s v="https://osf.io/mptud"/><s v="https://osf.io/6m5tb)"/><s v="https://osf.io/6m5tb"/><s v="https://osf.io/ja3wc)"/><s v="https://osf.io/ja3wc"/><s v="https://osf.io/8hz3s)"/><s v="n/a"/><s v="https://osf.io/tjr7a/"/><s v="https://doi.org/10.17605/OSF.IO/DT24J"/><s v="https://researchbox.org/1499"/><s v="https://aspredicted.org/PHY_PZZ"/><s v="https://osf.io/p2hr3"/><s v="https://osf.io/8cbua/"/><s v="https://osf.io/e5k4j/"/><s v="https://aspredicted.org/XHN_76L"/><s v="https://aspredicted.org/Y47_RW5"/><s v="https://aspredicted.org/TBY_14V"/><s v="https://aspredicted.org/16C_RCH"/><s v="https://aspredicted.org/YZ9_THH"/><s v="https://aspredicted.org/G5N_YRH"/><s v="https://aspredicted.org/737_DYZ"/><s v="https://osf.io/t3rpq"/><s v="https://osf.io/92der"/><s v="https://osf.io/tyvbw"/><s v="https://osf.io/8e5cg"/><s v="https://osf.io/5fzqp/"/><s v="https://osf.io/4uj6v"/><s v="https://osf.io/mj7nd"/><s v="https://osf.io/e6cps"/><s v="https://osf.io/apgqj"/><s v="https://osf.io/xwn9m/"/><s v="https://osf.io/cxatn"/><s v="https://osf.io/9j2ym"/><s v="https://osf.io/86p4e/"/><s v="https://osf.io/dn6gz"/><s v="https://osf.io/x4m6w"/><s v="https://osf.io/3xcq7"/><s v="https://doi.org/10.17605/OSF.IO/N5ZSX"/><s v="osf.io/p48sa/"/><s v="https://osf.io/5ausj"/><s v="https://osf.io/p79wz"/><s v="https://osf.io/62jvk"/><s v="https://osf.io/kfmjr"/><s v="https://osf.io/vcmdp"/><s v="https://osf.io/h37qu"/><s v="https://osf.io/wsj2f"/><s v="https://osf.io/vk2cs"/><s v="https://osf.io/vmfue"/><s v="https://osf.io/uw36p"/><s v="https://doi.org/10.17605/OSF.IO/BTH36"/><s v="https://osf.io/v89qn"/><s v="https://osf.io/fsv82"/><s v="https://osf.io/qvc8s"/><s v="https://osf.io/nb4wk"/><s v="https://osf.io/t974m"/><s v="https://osf.io/wcvnu"/><s v="https://osf.io/hsrbu"/><s v="https://osf.io/d5t2b"/><s v="https://osf.io/kx5mj"/><s v="https://osf.io/9z5nv"/><s v="https://osf.io/tpmnq"/><s v="https://osf.io/r9xc6"/><s v="https://osf.io/s5qzk"/><s v="https://osf.io/2anqg"/><s v="https://osf.io/vdmz6"/><s v="https://osf.io/ypcz5"/><s v="https://osf.io/d3h4u"/><s v="https://osf.io/a3394"/><s v="https://osf.io/bstxp/"/><s v="https://osf.io/9hn4c"/><s v="https://osf.io/3cgxv"/><s v="https://osf.io/mgjxv"/><s v="https://osf.io/bmnca"/><s v="https://osf.io/s73x6"/><s v="https://osf.io/zpyj3"/><s v="https://osf.io/jnq7e"/><s v="https://osf.io/efzv3"/><s v="https://osf.io/jubxw"/><s v="https://osf.io/wh5gb"/><s v="https://osf.io/k2teb"/><s v="https://osf.io/r3dt9"/><s v="https://osf.io/67mzc"/><s v="https://osf.io/6h5af"/><s v="https://osf.io/zj5n3"/><s v="https://osf.io/jqaac"/><s v="https://osf.io/j8pbk"/><s v="https://osf.io/3kpjx"/><s v="https://osf.io/szcuk"/><s v="https://osf.io/qb4f4"/><s v="https://osf.io/5uw3j"/><s v="https://osf.io/69xfj"/><s v="https://osf.io/367yu"/><s v="https://osf.io/b4ga9"/><s v="https://osf.io/84fyw"/><s v="https://osf.io/27cuc"/><s v="https://osf.io/qwked"/><s v="https://osf.io/t64fw"/><s v="https://osf.io/drvhe"/><s v="https://osf.io/yrbq9"/><s v="https://osf.io/kchf9"/><s v="https://osf.io/kmqtq"/><s v="https://osf.io/s48ht"/><s v="https://osf.io/g4phs"/><s v="https://osf.io/r4dve"/><s v="https://osf.io/mwzdy"/><s v="https://osf.io/7ch92"/><s v="https://osf.io/kgwf6"/><s v="https://osf.io/srgg5"/><s v="https://osf.io/knh6y"/><s v="https://osf.io/7yfkc/files/osfstorage"/><s v="https://osf.io/cifn3"/><s v="Not mentioned"/><s v="no"/><s v="https://osf.io/scayl"/><s v="https://osf.io/tvszz"/><s v="http://bit.ly/16MSSx8"/><s v="https://osf.io/EUZwH/"/><s v="https://osf.io/hmfxt"/><s v="https://osf.io/qc3pz"/><s v="https://osf.io/v3hfb/"/><s v="https://osf.io/czbzg/"/><s v="https://osf.io/8tikd"/><s v="https://osf.io/ryfse/"/><s v="https://osf.io/u6ghv"/><s v="https://osf.io/ct89g/"/><s v="https://osf.io/wamcn"/><s v="https://osf.io/kizyn"/><s v="https://osf.io/5kyjt"/><s v="http://osf.io/Cju65/files/ReplicationProtocol_%20for_Vess2012_Replication_2_-_LeBel.doc"/><s v="Wave 1: https://aspredicted.org/ni9xq.pdf; Wave 2: https://aspredicted.org/zi4ue.pdf"/><s v="https://aspredicted.org/ni9xq.pdf"/><s v="https://aspredicted.org/zi4ue.pdf"/><s v="https://aspredicted.org/mi7km.pdf"/><s v="https://aspredicted.org/mz4h8.pdf"/><s v="aspredicted.org/mz4h8.pdf"/><s v="https://aspredicted.org/gi726.pdf"/><s v="https://aspredicted.org/pw4tv.pdf"/><s v="https://aspredicted.org/n5tu8.pdf"/><s v="https://doi.org/10.17605/OSF.IO/YCQN9"/><s v="https://doi.org/10.17605/OSF.IO/E9D3K"/><s v="https://osf.io/fmd75"/><s v="https://osf.io/8k9nt"/><s v="https://osf.io/qxwhv"/><s v="https://osf.io/ugnsq"/><s v="https://osf.io/tg9ny"/><s v="https://osf.io/sqxe8"/><s v="https://osf.io/r5mtg"/><s v="https://osf.io/wc4xm"/><s v="https://osf.io/6vnm5"/><s v="https://osf.io/xd947"/><s v="https://osf.io/e37nu"/><s v="https://osf.io/eknym"/><s v="https://osf.io/7qnv4"/><s v="https://osf.io/tg2xb"/><s v="https://osf.io/nuw8e"/><s v="https://osf.io/8z2tm"/><s v="https://osf.io/j7syt"/><s v="https://osf.io/e6pq5"/><s v="https://osf.io/gq2fr"/><s v="https://osf.io/cyg6v"/><s v="https://osf.io/kpvwg"/><s v="https://osf.io/4aqu7"/><s v="https://osf.io/3pu8d"/><s v="https://osf.io/szntm"/><s v="https://osf.io/9avrm"/><s v="https://osf.io/yd69c"/><s v="https://osf.io/cs82h"/><s v="https://osf.io/yt9vb"/><s v="https://osf.io/nc49e"/><s v="https://osf.io/7pw4c?view_only=ca3860721b4048f5a3ff7d27687d2e46"/><s v="https://osf.io/caf6h?view_only=f5bd34199dd447b8af03b6b207f9e5d6"/><s v="https://osf.io/3xcnm/"/><s v="https://osf.io/j8a4p"/><s v="https://osf.io/ejcfw"/><s v="https://aspredicted.org/ZW2_C76"/><s v="https://osf.io/j4ers"/><s v="https://osf.io/k6ytw"/><s v="https://osf.io/8z3qb"/><s v="https://osf.io/4a5ej"/><s v="https://osf.io/zmcsw"/><s v="https://osf.io/p7952"/><s v="https://osf.io/sptyb"/><s v="https://doi.org/10.17605/OSF.IO/693JY"/><s v="https://osf.io/693jy"/><s v="https://doi.org/10.17605/OSF.IO/8EW6S"/><s v="https://osf.io/8ew6s"/><s v="https://doi.org/10.17605/OSF.IO/4KR6E"/><s v="https://osf.io/4kr6e"/><s v="https://doi.org/10.17605/OSF.IO/NMRJG"/><s v="https://osf.io/nmrjg"/><s v="https://doi.org/10.17605/OSF.IO/PK952"/><s v="https://osf.io/pk952"/><s v="https://doi.org/10.17605/OSF.IO/WMBP2"/><s v="https://osf.io/wmbp2"/><s v="https://doi.org/10.17605/OSF.IO/HPK2M"/><s v="https://osf.io/hpk2m"/><s v="https://doi.org/10.17605/OSF.IO/WZXQ9"/><s v="https://osf.io/wzxq9"/><s v="https://osf.io/wbs96"/><s v="https://osf.io/e89gh"/><s v="https://doi.org/10.17605/OSF.IO/VK6D9"/><s v="https://osf.io/ictp5"/><s v="https://osf.io/2hk76"/><s v="https://osf.io/pyt4e"/><s v="https://osf.io/8ybk5"/><s v="https://osf.io/vj2xr"/><s v="https://osf.io/hsntd"/><s v="https://osf.io/vqzx9"/><s v="https://osf.io/fs3ut"/><s v="https://osf.io/tpzk9"/><s v="https://osf.io/m9suf"/><s v="https://osf.io/s2d6t"/><s v="https://osf.io/689xc"/><s v="https://doi.org/10.17605/OSF.IO/HB7KJ"/><s v="https://doi.org/10.17605/OSF.IO/ZC468"/><s v="https://osf.io/zc468"/><s v="https://doi.org/10.17605/OSF.IO/K5CWT"/><s v="https://osf.io/k5cwt"/><s v="https://doi.org/10.17605/OSF.IO/PX56H"/><s v="https://osf.io/px56h"/><s v="https://doi.org/10.17605/OSF.IO/PPPJG"/><s v="https://osf.io/pppjg"/><s v="https://doi.org/10.17605/OSF.IO/WM2A8"/><s v="https://osf.io/wm2a8"/><s v="https://doi.org/10.17605/OSF.IO/P87CN"/><s v="https://osf.io/p87cn"/><s v="https://doi.org/10.17605/OSF.IO/TR7FP"/><s v="https://osf.io/tr7fp"/><s v="https://doi.org/10.17605/OSF.IO/HT9DU"/><s v="https://osf.io/ht9du"/><s v="https://osf.io/k82yb"/><s v="https://osf.io/qmpky"/><s v="https://osf.io/j3cfm"/><s v="https://osf.io/x5b6d"/><s v="https://osf.io/9r7au"/><s v="https://osf.io/fj6e8"/><s v="https://osf.io/a8zvk"/><s v="https://osf.io/7xupr"/><s v="https://osf.io/jb2pw/"/><s v="https://osf.io/gknau"/><s v="https://osf.io/knc2b"/><s v="https://osf.io/pua6s"/><s v="https://osf.io/ywk2q"/><s v="https://osf.io/76j48"/><s v="https://osf.io/zjmkg/"/><s v="https://osf.io/rkqw2"/><s v="https://osf.io/csm3d"/><s v="https://osf.io/b2agf"/><s v="https://osf.io/p6jxm"/><s v="https://osf.io/2rnj5"/><s v="https://osf.io/z6qw2"/><s v="https://osf.io/ny7t5"/><s v="https://osf.io/3fjvt"/><s v="https://osf.io/9p2qr"/><s v="https://osf.io/s9m2k"/><s v="https://osf.io/6xjqm"/><s v="https://osf.io/bk79y"/><s v="https://osf.io/bxumv"/><s v="https://osf.io/x2gmb"/><s v="https://osf.io/g754e"/><s v="https://osf.io/3va2j"/><s v="https://osf.io/ca8t2"/><s v="https://osf.io/ca8t3"/><s v="https://osf.io/rc2kz"/><s v="https://osf.io/3ubv9"/><s v="https://osf.io/f59hn"/><s v="https://osf.io/chf7m"/><s v="https://osf.io/ep2an"/><s v="https://osf.io/psab8"/><s v="https://osf.io/y8njt"/><s v="https://osf.io/bvu63"/><s v="https://osf.io/bvu64"/><s v="https://osf.io/fsut3"/><s v="https://osf.io/fsut4"/><s v="https://osf.io/bhnkq"/><s v="https://osf.io/3amj3"/><s v="https://osf.io/3amj4"/><s v="https://osf.io/9mkae"/><s v="https://osf.io/9apd7"/><s v="https://osf.io/suyfc"/><s v="https://osf.io/tys7b"/><s v="https://osf.io/u3x7s"/><s v="https://osf.io/853ue"/><s v="https://osf.io/36dr4"/><s v="https://osf.io/36dr5"/><s v="https://osf.io/c8qhv"/><s v="https://osf.io/ctvej"/><s v="https://osf.io/ngxye"/><s v="https://osf.io/dqybc"/><s v="https://osf.io/rqtgz"/><s v="https://osf.io/4hqd5"/><s v="https://osf.io/4hqd6"/><s v="https://osf.io/cehgp"/><s v="https://osf.io/3rtvz"/><s v="https://osf.io/vdc5m"/><s v="https://osf.io/x5szy"/><s v="https://osf.io/8dzpj"/><s v="https://osf.io/ak3rj"/><s v="https://osf.io/nrjs5"/><s v="https://osf.io/6vsc3"/><s v="https://osf.io/6vsc4"/><s v="https://osf.io/ty9xh"/><s v="https://osf.io/q7hm3"/><s v="https://osf.io/q7hm4"/><s v="https://osf.io/7bnfp"/><s v="https://osf.io/kg2x4"/><s v="https://osf.io/kg2x5"/><s v="https://osf.io/jhn4g"/><s v="https://osf.io/7czwd"/><s v="https://osf.io/nx6dr"/><s v="https://osf.io/45vwm"/><s v="https://osf.io/3m7qw"/><s v="https://osf.io/3uw95"/><s v="https://osf.io/3uw96"/><s v="https://osf.io/cy9v3"/><s v="https://osf.io/cy9v4"/><s v="https://osf.io/e35y2"/><s v="https://osf.io/pktma"/><s v="https://osf.io/zdw87"/><s v="https://osf.io/t75e3"/><s v="https://osf.io/2kjgz"/><s v="https://osf.io/2r7nk"/><s v="https://osf.io/q6tv8"/><s v="https://osf.io/ktjc4/"/><s v="https://osf.io/rtn9s/"/><s v="https://osf.io/wg9s3"/><s v="https://aspredicted.org/jq5fe.pdf"/><s v="https://osf.io/avf49"/><s v="OSF"/><s v="https://osf.io/7hz3x"/><s v="The BRUMS questionnaire revealed a significant decrease in vigor (from 6.2 +/- 3.1 to 3.5 +/- 2.2) in both conditions (main effect of time, P &lt; 0.001)"/><s v="https://osf.io/gc6zh"/><s v="OSF Registries | Deviation from Sampling Strategy"/><s v="https://osf.io/xqv8b"/><s v="https://osf.io/gv7cm/"/><s v="https://osf.io/p6e3c/registrations"/><s v="https://osf.io/m2cyn/"/><s v="https://osf.io/49yza"/><s v="https://osf.io/2dqxv"/><s v="https://osf.io/9bf3s"/><s v="OSF Registries | Implicit Theory of Mind – myth or mindreading mechanism"/><s v="https://osf.io/dxb5n"/><s v="https://doi.org/10.17605/OSF.IO/U6ZW9"/><s v="https://osf.io/uxajg"/><s v="https://osf.io/658pq/ "/><s v="osf.io/m8t3k/"/><s v="https://doi.org/10.17605/OSF.IO/TFC6X"/><s v="https://osf.io/fxqpr"/><s v="osf.io/bv42c/"/><s v="osf.io/693bm/"/><s v="https://doi.org/10.17605/OSF.IO/69DQC"/><s v="https://osf.io/69dqc"/><s v="osf.io/pjdkg"/><s v="https://doi.org/10.17605/OSF.IO/N9HDV"/><s v="osf.io/7er6r/"/><s v="osf.io/yb38c"/><s v="https://doi.org/10.17605/OSF.IO/CKJTF"/><s v="osf.io/wy8ab"/><s v="osf.io/jb8yp/"/><s v="osf.io/78sqa/"/><s v="https://doi.org/10.17605/OSF.IO/JW84M"/><s v="https://doi.org/10.17605/OSF.IO/P56KE"/><s v="osf.io/txs86"/><s v="https://doi.org/10.17605/OSF.IO/ZWKMN"/><s v="osf.io/cvuwy/"/><s v="https://doi.org/10.17605/OSF.IO/QP8V3"/><s v="osf.io/4yuym"/><s v="osf.io/dbx75/"/><s v="https://doi.org/10.17605/OSF.IO/5NZ6W"/><s v="osf.io/ejmyw"/><s v="https://doi.org/10.17605/OSF.IO/SSDMT"/><s v="https://osf.io/ssdmt"/><s v="osf.io/pfng2"/><s v="osf.io/s37h6/"/><s v="osf.io/6yfxz"/><s v="https://doi.org/10.17605/OSF.IO/THM7D"/><s v="https://osf.io/ay2ye"/><s v="https://doi.org/10.17605/OSF.IO/AY2YE"/><s v="https://osf.io/7en89"/><s v="https://osf.io/3g3hv"/><s v="https://doi.org/10.17605/OSF.IO/3G3HV"/><s v="https://osf.io/y62dh"/><s v="https://osf.io/w62xy"/><s v="https://doi.org/10.17605/OSF.IO/R3KTH"/><s v="https://doi.org/10.17605/OSF.IO/M9VRK"/><s v="osf.io/2ukpq"/><s v="https://doi.org/10.17605/OSF.IO/9E3T5"/><s v="https://doi.org/10.17605/OSF.IO/DNQE7"/><s v="osf.io/f5svw"/><s v="https://doi.org/10.17605/OSF.IO/9VXSF"/><s v="https://doi.org/10.17605/OSF.IO/HBPXN"/><s v="osf.io/w9bza/"/><s v="https://doi.org/10.17605/OSF.IO/26YZU"/><s v="osf.io/jtsnn/"/><s v="https://doi.org/10.17605/OSF.IO/Q2E5K"/><s v="https://osf.io/d3xb7"/></sharedItems></cacheField><cacheField name="closeness_r"><sharedItems containsBlank="1" containsMixedTypes="1" containsNumber="1" containsInteger="1"><s v="NA: unknown&#xA;1: internal: all central features are highly similar AND conducted by at least one of the original researchers&#xA;2: close/direct: central features are highly similar AND none of the original authors is involved&#xA;3: conceptual/constructive/extensi"/><s v="2 - close"/><s v="3 - conceptual"/><m/><s v="extension"/><s v="close"/><s v="NA (not reported)"/><s v="1 - internal"/><s v="NA: unknown"/><s v="internal"/><s v="4 - conceptual"/><n v="4.0"/></sharedItems></cacheField><cacheField name="outcome" numFmtId="0"><sharedItems containsBlank="1"><s v="One of successful&#xA;failed&#xA;mixed&#xA;uninformative&#xA;statistically successful but flawed"/><e v="#N/A"/><s v="successful"/><s v="failed"/><s v="mixed"/><s v="uninformative"/><m/><s v="statistically successful but flawed"/></sharedItems></cacheField><cacheField name="outcome_quote" numFmtId="0"><sharedItems containsBlank="1"><s v="outcome statement by replication authors"/><e v="#N/A"/><s v="Success assessment:(Did you succeed in replicating the original result? If applicable, does the original teamagree with you?)Yes on both counts."/><s v="To sum up, due to the extremely high power, the anchoring effect&#xA;should have occurred if it indeed existed. We interpret the fact that&#xA;there was no sign of anchoring—even after we excluded outliers and&#xA;controlled for whether participants saw the flicke"/><s v="This result is consistent with the replicated study&#xA;(Rellensmann &amp; Schukajlow, 2017), although, in that study, the interest values were&#xA;adjusted to control the effect of task difficulty (in the present work that part corresponds&#xA;to the study of perform"/><s v="However, results of the partial correlation analyses in the current&#xA;replication did not indicate clear relationships between phonological variables and inhibi-&#xA;tory control."/><s v="Cross-sectionally, both husbands’ and wives’&#xA;reports of their first financial discussion predicted better marital satisfaction and fewer financial disagreements through their own report of healthy financial communication. Longitudinally, only husbands’ r"/><s v="In contradiction with the original study, participants in the awe condition and the neutral condition did not&#xA;significantly differ in their ratio of disclosed strengths to weaknesses, therefore no significant correlations were found between awe and humil"/><s v="Overall, we replicated the original study findings for the effect of maximal anaerobic fatigue on anterior reach distance in a Y-Balance Test."/><s v="As expected, we found that the odds of a statistically significant outcome in a dissertation appearing in the published version were significantly greater than the odds of a nonsignificant outcome appearing in the published version, replicating (to some e"/><s v="These findings are consistent with those of a similar nested case–control study previously conducted in Finland, in which the exposure to prolactin-increasing antipsychotics for ≥5 years was associated with a 56% overall increased odds of breast cancer, a"/><s v="We confirm that spontaneous post-extinction vmPFC reactivations predict&#xA;extinction memory retrieval. This predictive effect, however, was only&#xA;observed 90 min after extinction, and was not statistically significant at 45 min&#xA;as in the discovery study. "/><s v="These findings are consistent with previous work and have implications for understanding how experience-based interventions may affect clinically relevant impulsive choice."/><s v="The present study replicated this bi-factor structure of repetitive thinking in a younger sample from the Netherlands (N = 3906)."/><s v="Our results are in line with those from the&#xA;original study (Pérez et al., 2018). Overall, evidence shows that the intervention improved college&#xA;students’ sourcing skills in tasks where they explicitly had to use source information to make decisions&#xA;and"/><s v="This supports (at least partly, and in an item analysis) the main finding presented by Blank et al. (2022) that MA negatively correlates with misin-&#xA;formation effect change, that is, at high levels of MA, double misinformation results in a reduction of t"/><s v="The results of the present&#xA;study successfully replicate the findings of Grainger et al. [(2021)."/><s v="These findings are consistent with those from Davis&#xA;et al. (2021) and further support using conjugate preparations for measuring the&#xA;relative value of some stimulus events."/><s v="The results replicate those of a previous study and suggest that emotion&#xA;recognition impairments may arise with prolonged illness duration"/><s v="Two high-powered close replications of studies 1c and 6 by Fath and Kay provide further evidence for the claim that taller organizational structures are associated with greater perceived potential for cor-&#xA;ruption, and that these perceptions may compromis"/><s v="Results indicated that construct validity was evident. "/><s v="We found support for the findings reported in Van Ryzin (2013) and concluded that the expectancy-disconfirmation model holds promise in a variety of settings as a framework for measuring citizen satisfaction with public services."/><s v="This replication study supported previous findings indicating that some bilingual individuals possess advantages in terms of cognitive flexibility in task switching. "/><s v="The study confirmed the factor structure of a streamlined 24-&#xA;item FEMS-T, which exhibited better fit than the original 40 items identified by Wilfong (2021).&#xA;The FEMS-T also demonstrated internal reliability and convergent validity with the Workplace&#xA;"/><s v="The results of the study preliminarily&#xA;suggest that, unlike the reference study, L2 proficiency level does not have a considerable effect on the&#xA;acquisition order of morphemes."/><s v="The results confirm the presence&#xA;of bottom-up advantages in motor-cognitive behaviour for high-calorie food in a non-clinical population."/><s v="However, as we did&#xA;not replicate the original effects in a first experiment, in spite of the fact that our materials and our&#xA;procedure resembled the original study as closely as possible, we conducted a second experiment with&#xA;an even stronger accountab"/><s v="In contrast to Loibl and Rummel (2014a), we did&#xA;neither find a main effect for PS-I vs. I-PS, nor for building on typical student solutions."/><s v="We demonstrate affective and person-level&#xA;contributors to music-evoked nostalgia observed in Barrett et al.’s (2010) hold even when controlling for&#xA;familiarity and musical features."/><s v="Although the stress induction was&#xA;successful in both samples shown by increases of cortisol, heart rate, blood pressure and ratings of stress&#xA;and arousal absent in the control condition, no state-dependent shift of RFA during stress induction was&#xA;obser"/><s v="We confirm that almost a decade&#xA;later and even after being instructed to use the auto-formatting&#xA;options within their IDE, students still encounter mostly formatting errors when using a static analysis tool. We find that the second-&#xA;most common categor"/><s v="Concerning perceived readability, our study found no significant differences between method chaining variants and between comment variants. The original study did find a significant difference for comments variants. In the case of comprehension, we found "/><s v="While anxiety-related findings from the two previous studies were not replicated, the relationship between attention bias and facets of negative affect suggests a potential target for treatment."/><s v="The present replication failed to find support for the incongruity hypothesis, ηp 2 = 0.00 [0.00, 0.02]: expressing certainty had a positive but non-significant effect for non-experts, d = 0.10 [− 0.10, 0.34], and a positive effect for experts, d = 0.28 ["/><s v="Results of the current study align with prior research demonstrating the ability of the disequilibrium approach to quantify the magnitude and direction of predicted change in instrumental activities based on measures of free operant baseline responding"/><s v="We were able to reproduce and replicate the findings based on a difference-score approach. However, we did not find a similarity effect in either sample using more sophisticated approaches."/><m/><s v="We ran a replication of study 1 from this paper, which found that the variety in a person’s social interactions predicts greater well-being, even when&#xA;controlling for their amount of in-person social interaction. This finding was replicated in our study."/><s v="We ran a replication of study 2A from this paper, which tested whether knowing additional information about another person changed what participants&#xA;thought the other person would know about them. The primary result in the original study failed to replic"/><s v="Fig. 1 shows that our replications produced weaker results&#xA;than those reported in the original studies. In our replications,&#xA;the effect of God salience on AI reliance is not statistically&#xA;different from zero (Studies 1, 2a, 2b, 3, and 5 produced effect&#xA;si"/><s v="0 [In figure 2, authors quantified subjective success on a more nuanced scale from 0, 0.25, 0.5, 0.75 and 1. I am coding 0 as 'failed', 1 as 'success' and anything inbetween as 'mixed']"/><s v="0.75 [In figure 2, authors quantified subjective success on a more nuanced scale from 0, 0.25, 0.5, 0.75 and 1. I am coding 0 as 'failed', 1 as 'success' and anything inbetween as 'mixed']"/><s v=" The reduced sample size limits our statistical power, but all results trend towards a&#xA; successful replication of the main effects first reported by Otto et al."/><s v="The current study did not replicate Piff et al.’s findings, which may be a &#xA;reflection of the reliability of measures or the generalizability to other populations.  "/><s v="0.5 [In figure 2, authors quantified subjective success on a more nuanced scale from 0, 0.25, 0.5, 0.75 and 1. I am coding 0 as 'failed', 1 as 'success' and anything inbetween as 'mixed']"/><s v="1 [In figure 2, authors quantified subjective success on a more nuanced scale from 0, 0.25, 0.5, 0.75 and 1. I am coding 0 as 'failed', 1 as 'success' and anything inbetween as 'mixed']"/><s v="https://osf.io/4ewkh"/><s v="WefailedtoreplicateAusterweil&amp;Griffith’s(2011)keyresult—thatchangingthepriorprobabilityofunderlyingruleschangedhowlikelypeopleweretotestcertainhypotheses—usingachi-squaredtest."/><s v="0.25 [In figure 2, authors quantified subjective success on a more nuanced scale from 0, 0.25, 0.5, 0.75 and 1. I am coding 0 as 'failed', 1 as 'success' and anything inbetween as 'mixed']"/><s v="We observed an interaction between condition and rating type, identified as the effect of interest in Cunningham et al. (2008). Specifically, postscan positivity, but not negativity, ratings predicted left amygdala activation&#xA;when participants were asked"/><s v="[In table S1, there is a column for whether these replicated or not, so I am coding based off that]"/><s v="[In supplementary table 3, under 'replicated' column] https://osf.io/sva2k"/><s v="[In supplementary table 4, under 'replicated' column, as unsuccessful replications in stage 1, underwent more data collection in stage 2]"/><s v="Overall, we conclude strong empirical support for Kruger’s above-and-below-average effects, with boundary conditions laid out in the extensions expanding both generalizability and robustness of the phenomenon."/><s v="Self-regulatory depletion was not evident&#xA;in either study."/><s v="An even more favorable interpretation (albeit, one that&#xA;ignores the meta-analytic conclusions that we have re-&#xA;ported elsewhere; Carter &amp; McCullough 2013) might be&#xA;that the depletion effect is moderated by the type of ex-&#xA;perimental task used in the s"/><s v="Contrary to the ego-&#xA;depletion hypothesis, participants in the depletion condition did not perform worse than con-&#xA;trol participants on the subsequent self-control task, even after considering moderator vari-&#xA;ables. These findings add to a growing body of"/><s v="The results showed that emotion&#xA;suppression during a sad movie clip led to attenuated error&#xA;detection during a subsequent Stroop task, as indexed by ERNs.&#xA;However, reappraisal didn’t weaken subsequent error detection,&#xA;with ERN amplitude corresponding "/><s v="The prime main effect approached&#xA;significance in the predicted direction, F(1, 27)  2.47, p  .13,&#xA;whereas the self-consciousness main effect did not approach sig-&#xA;nificance, F(1, 27)  1.00, ns. More important for the present&#xA;hypotheses, the Self-Conscious"/><s v="A 2 (high vs. low private self-consciousness)  2 (elderly vs.&#xA;neutral prime) analysis of variance revealed a significant Self-&#xA;Consciousness  Prime interaction, F(1, 36)  6.77, p  .01, of&#xA;the same form observed in Study 1a: High self-conscious individ-"/><s v="NA"/><s v="Failure to Replicate"/><s v="[Figure 1, pg.6]"/><s v="First, in Experiment 1, despite the use of a larger sample and an&#xA;experimental procedure devoid of the limitations present in the&#xA;original experiment, we were not able to replicate Bargh et al’s [1]&#xA;automatic effect of priming on walking speed."/><s v="In both samples, we were&#xA;unsuccessful in replicating the target finding."/><s v="In 2 experiments, we tried to&#xA;replicate this finding, but, despite larger power, did not find a difference in slant estimates between&#xA;participants who recalled a big secret and those who recalled a small secret."/><s v="In 2 experiments, we tried to&#xA;replicate this finding, but, despite larger power, did not find a difference in slant estimates between&#xA;participants who recalled a big secret and those who recalled a small secret."/><s v="no signal - inconsistent"/><s v="In a third experiment, we also failed to&#xA;replicate the effect of recalling a secret on throwing a beanbag at a target (Slepian et al., 2012,&#xA;Experiment 2). Together, our findings question the robustness of the original empirical findings."/><s v="Despite larger samples and thus greater power to &#xA;detect effects, both studies failed to replicate the original work of Zhong and &#xA;Liljenquist (2006)"/><s v="We were unsuccessful in replicating the Zhong &amp; Liljenquist ́s results that supported cleansing as&#xA;a psychological mechanism for compensating guilty: results couldn’t confirm an increased mental&#xA;accessibility of cleansing-related concepts or even a grea"/><s v="In the aggregate, 10 effects&#xA;replicated consistently. One effect – imagined contact reducing prejudice – showed weak support for replicability. And two effects – flag&#xA;priming influencing conservatism and currency priming influencing system justification"/><s v="Despite multiple good-faith efforts, however, we were unable&#xA;to detect a “Macbeth Effect” in any of our experiments."/><s v="Replicating previous&#xA;findings, physical cleaning reduced the willingness to help and relieved moral emotions. As predicted, this effect was&#xA;particularly prominent among participants with OCD."/><s v="Despite considerable effort to closely&#xA;duplicate all procedural and methodological details of the original study (i.e., same cover story, experimental manipula-&#xA;tion, implicit measure task, original stimuli, task instructions, sampling frame, population"/><s v="Using a much&#xA;larger sample size but similar procedures as Carney et al.&#xA;did, we failed to confirm an effect of power posing on&#xA;testosterone, cortisol, and financial risk taking."/><s v="With the default prior, the data are 16.6&#xA;times more likely under H0 than under H1; with the “knowl-&#xA;edge-based prior” from Bem, Utts, and Johnson (2011), the&#xA;data are 6.2 times more likely under H0 than under H1."/><s v="In contrast to Kidd&#xA;and Castano (2013), we found no significant advantage in RMET scores for literary fiction compared to any&#xA;of the other conditions. However, as in Kidd and Castano and previous research, the Author Recognition Test,&#xA;a measure of life"/><s v="Across all in-lab replications (N = 2,285), participants in the heavy (M = 6.16, SD = 1.02) and light (M = 6.14, SD = 1.03) clipboard conditions believed that it was similarly important for the university committee to listen to the students' opinions, t(2"/><s v="The replications did not show evidence of the orig-&#xA;inal effect.8"/><s v="Across the in-lab replication studies (N =&#xA;2,365),9 participants found stronger arguments to be more compelling&#xA;than weaker arguments, F(1, 2361) = 79.925, p b .001, ηp&#xA;2 = 0.033, 95% CI = [.020, .048].10 However, unlike the original study, the interac-&#xA;t"/><s v="These independent replication at-&#xA;tempts, as well as the analyses on the combined sample, failed to replicate the original pattern of findings."/><s v="Using procedures that were very similar to those in the original&#xA;study and a sample size that was more than 5 times larger, we found that there was no difference between conditions, a&#xA;finding that failed to replicate the original study."/><s v="Across the replication studies (N = 3,279), participants took longer&#xA;to categorize incongruent words than congruent words (M = 0.27,&#xA;SD = 0.31), t(3,336) = 50.22, p b .001, d = .88, 95% CI = [.84, .92].&#xA;This replicated the basic effect from previous re"/><s v="The effect size was weaker, and the condition differences were shifted toward selecting Friday, compared to the original study, but the replications were nonetheless consistent with the key feature of the original demonstration: object-priming increased t"/><s v="Participants estimated that the letters appeared more frequently in the first compared to the third position on average (M = −0.79, SD = 1.59), t(2901) = −26.77, p &lt; .001, d = −.50, 95% CI = [−.54, −.46], and the effect size was much stronger than the ori"/><s v="In sum, the replications did not provide evidence&#xA;of an effect of power on perspective taking.5"/><s v="We did not replicate Vess’s finding in either sample (see Table 1).5&#xA;Inconsistent with what Vess reported, in&#xA;both of our samples, the nonsignificant positive relation&#xA;between anxious attachment and preferences for warm&#xA;refreshments was numerically larger"/><s v="In the aggregate, 10 effects replicated consistently. One effect – imagined contact reducing prejudice – showed weak support for replicability. And two effects – flag priming influencing conservatism and currency priming influencing system justification –"/><s v="Although the original authors reported fairly strong support for this hypothesis (d = .58), we found no evidence for it, despite having about five times more observations than in the original study. If this effect is real, it is very small, as we observed"/><s v="In the first replication attempt (with the typo), the three-way interaction among prime, group size, and preference for nonfiction was significant and in the same direction as in the original study: b = .162, SE = .070, p = .022. "/><s v="In sum, using three times the sample size as the original study, we find no evidence that people’s tendency to retain or acquire identity-relevant magazine subscriptions is affected by having them write about aspects of their lives that make them feel cer"/><s v="As you can see, the original finding did not replicate. Participants did not judge Dettol to be significantly more effective after seeing an add that displayed five (vs. one) bottles of it."/><s v="Results of this meta-analysis showed no effect of red on attractiveness ratings for either perceived attractiveness (mean ratings difference = –0.07, 95% CI [–0.31, 0.16]) or sexual&#xA;attractiveness (mean ratings difference = –0.06, 95% CI [–0.36, 0.24]); "/><s v="Thus, we deem the replication an informative failure: there is evidence against the hypothesis that forewarning moderates adjustment from self-generated anchors."/><s v="In our high-powered, preregistered, close replication of Reitsma-van Rooijen et al. (2006), we could not replicate the subliminal anchoring effect that they reported for participants who had to provide their estimates quickly. If anything, the pattern we "/><s v="[Figure 2] There is a statistically significant&#xA;effect (P &lt; 0.05) in the same direction as the original study for 14 out of&#xA;26 replications (53.8%; 95% CI (33.4%, 73.4%))."/><s v="In a preregistered close replication (Study 1, N = 40) conducted online, we observed the red-anger&#xA;effect but were able to show that approximately one fifth of the participants were suspicious&#xA;about the purpose of the study."/><s v="In a preregistered&#xA;conceptual replication (Study 2, N = 329), we found the red-anger effect in a within-subjects&#xA;design condition but not in a between-subjects design condition. We conclude that past&#xA;findings of the red-anger effect were (at least part"/><s v="These data are inconsistent with the original finding that disgust sensitivity and perceived intentionality are more strongly related when people consider gay kissing than when they consider kissing in general, and the effect size was much smaller than th"/><s v="The replication effect was in the direction opposite that of the original effect, and the replication effect size was much smaller than the original result (q = −0.07, 95% CI = [−0.12, −0.02], vs. q = 0.48)."/><s v="This finding is consistent&#xA;with the correspondence-bias hypothesis: Participants&#xA;inferred the essay writer’s attitude, in part, on the basis of&#xA;the writer’s observed behavior."/><s v="This is consistent with the original result, and&#xA;the effect was somewhat stronger in the replication (d =&#xA;1.75, 95% CI = [1.70, 1.80], vs. original d = 1.45)."/><s v="The replication results were consistent with&#xA;the double-effect hypothesis, and the effect was about&#xA;half the magnitude of the original (d = 1.35, 95% CI =&#xA;[1.28, 1.41], vs. original d = 2.50)."/><s v="This result&#xA;is consistent with the hypothesis that participants’&#xA;choices are positively correlated with their perception&#xA;of the percentage of other people who would make the&#xA;same choice."/><s v="This result is consistent with the hypothesis that an adult’s perceived responsibil-&#xA;ity for harming a baby is greater than a baby’s perceived&#xA;responsibility for harming an adult. The effect size in the&#xA;replication was slightly larger than the original re"/><s v="These results are consistent with&#xA;the principle of double effect, though the effect size was&#xA;somewhat smaller in the replication compared with the&#xA;original study (d = 0.25, 95% CI = [0.20, 0.30], vs. original&#xA;d = 0.34)."/><s v="This is consistent with the hypothesis that people believe&#xA;tempting fate increases the likelihood of a negative out-&#xA;come, though the effect size was less than half the effect&#xA;size in the original study (d = 0.18, 95% CI = [0.14, 0.22],&#xA;vs. original d"/><s v="This result is&#xA;consistent with the hypothesis that people have lower&#xA;trust in others when they think of those others as con-&#xA;sumers rather than as individuals. The overall effect size&#xA;was much smaller than in the original experiment (d =&#xA;0.12, 95% CI"/><s v="This result does not&#xA;support the hypothesis that sales estimates are influenced&#xA;by incidental anchors. The effect size was in the same&#xA;direction as the original effect size, but much smaller&#xA;(d = 0.04, 95% CI = [−0.01, 0.09], vs. original d = 0.30) an"/><s v="This result does not support the hypoth-&#xA;esis that perceived power is higher with greater vertical distance. The replication effect was in the same direc-&#xA;tion as, but much smaller than, the original (d = 0.03, 95% CI = [−0.01, 0.08], vs. original d = 0"/><s v="This result is not&#xA;consistent with the hypothesis that copying an account&#xA;of an unethical action increases the desirability of cleans-&#xA;ing products compared with copying an account of an ethical action."/><s v="This result does not support the hypoth-&#xA;esis that willingness to pursue goals is higher after expo-&#xA;sure to structured as opposed to random events."/><s v="This result does&#xA;not support the hypothesis that having more siblings&#xA;is positively related with prosocial orientation. Direct&#xA;comparison of effect sizes was not possible because of&#xA;the change in the SVO measure, but the replication&#xA;effect size was n"/><s v="This result is&#xA;not consistent with the hypothesis that temperature prim-&#xA;ing alters concern about global warming. The effect was small, much weaker than the original finding, and in the&#xA;opposite direction (d = −0.03, 95% CI = [−0.09, 0.03], vs. origina"/><s v="These results do not support&#xA;the hypothesis that syllogism performance is higher&#xA;when the font is harder to read; the difference between&#xA;conditions was slightly in the opposite direction and&#xA;not distinguishable from zero (d = −0.03, 95% CI =&#xA;[−0.08, "/><s v="This result did not support the hypothesis that subjective well-being is higher for participants exposed&#xA;to descriptions of higher SMS. The effect was small in&#xA;magnitude, much smaller than the original effect, and&#xA;in the opposite direction (d = −0.04, "/><s v="The difference was significant, p =&#xA;.002, odds ratio (OR) = 0.87, d = −0.08, 95% CI = [−0.13,&#xA;−0.03], but in the direction opposite the prediction of&#xA;the hypothesis (i.e., that affectively attractive choices&#xA;are more preferred when they are uncertain rath"/><s v="This result was small in magnitude and in the direction opposite that of the original finding,&#xA;and it is incompatible with the hypothesis that negative&#xA;features are weighted more strongly when people are&#xA;rejecting options and positive features are weig"/><s v="The difference was significant, p =&#xA;.002, odds ratio (OR) = 0.87, d = −0.08, 95% CI = [−0.13,&#xA;−0.03], but in the direction opposite the prediction of&#xA;the hypothesis (i.e., that affectively attractive choices&#xA;are more preferred when they are uncertain "/><s v="We successfully replicated previous findings except for H1i and H1k&#xA; (i.e., more masculine and stronger)"/><s v=" Our replication&#xA; attempts successfully replicated two findings (Klink, 2000;&#xA; Shrum et al., 2012) and partially replicated one of them&#xA; (Yorkston and Menon, 2004). &#xA;&#xA;The results reveal that only 20% (2/10) of the f indings could be successfully replic"/><s v="[Figure 1]"/><s v="Thus, we successfully replicated the previous findings (Table 3)."/><s v="Our replication attempts successfully replicated two findings (Klink, 2000; Shrum et al., 2012) and partially replicated one of them&#xA; (Yorkston and Menon, 2004). "/><s v="Although the effects are numerically in the same direction as the original study, we failedto replicate the main result of Experiment 3 in the Roelofs (2008) paper: the interaction between task and relation is not significant (with an F value smaller than"/><s v="In line with Ganor-Stern &amp; Tzelgov (2008), we found a CDE when the task required numerical matching. We were also able to replicate the value interference effect in the physical matching task, which &quot;suggest[s] that automatic numerical processing was taki"/><s v="In contrast to Alter and Oppenheimer (2008), I did not observe a statistically significant difference between the two experimental conditions in my replication attempt. "/><s v="The present study provides a partial replication of their findings. Specifically, while replicating the direction of the effect, we failed to replicate its size and significance even though the present study had greater power."/><s v="In fact, the direction of the non-significant effect found was opposite to that of the original study. &#xA;Thus, the present study failed to replicate the original result. "/><s v="The present findings indicate a successful replication attempt in terms of statistical significance. Specifically, a statistically “significant” (i.e., p &lt; .01) effect of nearnessin the predicted direction was found in our replication study, replicating w"/><s v="The central claim of their&#xA;paper – that anchor precision influences the degree of adjustment was supported. Additionally, these data&#xA;replicated the main effect of motivation observed in their study. There was no evidence of the reported&#xA;interaction."/><s v="Unlike in Nurmsoo and Bloom (2008), the confirmatory analysis for the current&#xA;replication attempt did not reveal above-chance performance by older children on “where” trials.&#xA;Thus, it is clear that we failed to replicate the original study’s finding."/><s v="We successfully replicated the crowd within effect, both when&#xA;the second guess was made immediately after the first guess, as well as when it was&#xA;made 3 weeks later."/><s v="The replication study replicated the pattern of behavioral results and the main neural findings&#xA;from the original study which are noted in the title of the original article (Planned"/><s v="The present replication successfully reproduced Winawer et al.’s key finding that “viewing a series of static photographs with implied motion in a particular direction produced motion after effects in the opposite direction” (Winawer et al, 2008, abstract"/><s v="We did not find evidence that physical cleanliness reduced the severity of moral judgments using samples sizes that provided over .99&#xA;power to detect the original effect sizes. Our estimates of the overall effect size were much smaller than estimates fro"/><s v="Confirmatory analyses did not replicate the original finding that fairness cues create more&#xA;trust for Black but not White participants in an environment with low-minority representation."/><s v="We found no evidence that either type of&#xA;anchoring is moderated by any of the moderators."/><s v="Our confirmatory analyses did not replicate Jostmann et al.’s (2009) study."/><s v="We conducted six studies with methods that&#xA;were similar to those used by Redden and Hoch and did not find this effect in any of them. A&#xA;meta-analysis of the four original studies and 6 replication studies (N = 1,383) revealed no&#xA;evidence for the phenom"/><s v="Experiments 1 and 2 (Ns = 69 and 104)&#xA;are direct replications of Lichtenfeld, Maier, Elliot, and Pekrun (2009). Both experiments&#xA;failed to uncover a red color effect on verbal reasoning scores among high school students&#xA;and undergraduates (Cohen’s d = "/><s v="Overall, compliance rates in our replication were similarly high as those Cialdini et al. (1975) found 45 years ago."/><s v="Despite the use of a&#xA;substantially larger sample and higher doses of alcohol compared with the ones in prior studies, alcohol had no significant&#xA;effect on moral judgments. The results pose a challenge to the idea that alcohol increases utilitarianism in m"/><s v="Our data seem to challenge the idea that mental fatigue&#xA;has a negative influence on exercise performance. Although we did succeed at manipulating subjective mental fatigue, this&#xA;did not impair physical performance. However, we cannot discard the possibi"/><s v="We conducted six studies with methods that&#xA;were similar to those used by Redden and Hoch and did not find this effect in any of them. A meta-analysis of the four original studies and 6 replication studies (N = 1,383) revealed no&#xA;evidence for the phenome"/><s v="We found that despite this delay the original result&#xA;replicated, albeit with a smaller magnitude."/><s v="We obtained evidence for a small EC effect when&#xA;‘aware’ participants were excluded using the original criterion – therefore replicating the original effect. However, no such effect emerged when three other awareness criteria were used."/><s v="Taken together, our results suggest that AMP effects are not implicit in the way that has been claimed,&#xA;a finding that has implications for the procedure, past findings, and theory. "/><s v="Study 2 replicated many of the findings in Vaughn’s&#xA;(2018) Study 1."/><s v="In summary, we found significant evidence for bimodal Flanker effects, F(2, 292) = 83.94, p &lt; .001, np2 = .37, and a significant interaction of congruency and flanker modality, F(2, 292) = 4.28, p = .015, np2 = .03."/><s v="We were able to replicate the previously&#xA;observed results of a preservation or even enhancement in socio-affective processes, but a decline in socio-cognitive processes for older adults."/><s v="Results showed that early-acquired items were responded &#xA;to more quickly than late-acquired ones for all experiments, except for Experiment 3B (spoken word &#xA;naming) where the AoA effect was shown for only low-frequency words. "/><s v="Results showed that only one of the four paradigms&#xA;was reliably replicated. A second set of studies revealed, further, that this one paradigm was no longer replicated once&#xA;confounds were removed, which calls its validity into question. There were also n"/><s v="With online samples (N = 1446 and 2644) from MTurk and Prolific, we replicated earlier findings that&#xA;prosociality was associated with a greater level of secure attachment and a lower level of avoidant attachment. Moreover,&#xA;prosociality was positively re"/></sharedItems></cacheField><cacheField name="out_quote_source" numFmtId="0"><sharedItems><s v="source of the quote"/><e v="#N/A"/><s v="pg.3 in https://osf.io/k2cna"/><s v="pg.3"/><s v="pg.26"/><s v="abstract"/><s v="pg.8"/><s v="pg.6"/><s v="pg. 9"/><s v="pg.13"/><s v="pg.14"/><s v="pg. 3 of supplementary materials https://rs.figshare.com/articles/journal_contribution/Supplemental_Information_from_Eleven_years_of_student_replication_projects_provide_evidence_on_the_correlates_of_replicability_in_psychology/24499288?backTo=%2Fcollecti"/><s v="pg. 11 of https://github.com/vboyce/251-254-MA/blob/main/reports/otto2014.pdf "/><s v="Abstract of https://osf.io/rjxwe"/><s v="https://osf.io/4ewkh"/><s v="Abstract of https://osf.io/9fcjx "/><s v="Table S1, pg.28"/><s v="Table S1, pg.29"/><s v="Table S1, pg.30"/><s v="Table S1, pg.31"/><s v="Table S1, pg.32"/><s v="Table S1, pg.33"/><s v="Table S1, pg.34"/><s v="Table S1, pg.35"/><s v="Table S1, pg.36"/><s v="Table S1, pg.37"/><s v="Table S1, pg.38"/><s v="Table S1, pg.39"/><s v="Table S1, pg.40"/><s v="Table S1, pg.41"/><s v="Table S1, pg.42"/><s v="Table S1, pg.43"/><s v="Table S1, pg.44"/><s v="Table S1, pg.45"/><s v="Table 3 in Supplementary Materials, pg. 53"/><s v="Table 4 in Supplementary Materials, pg. 54"/><s v="pg. 4"/><s v="Figure 1, pg. 6"/><s v="Figure 1, pg. 7"/><s v="pg. 6"/><s v="https://web.archive.org/web/20220128104303mp_/https://curatescience.org/app/replications"/><s v="pg.2"/><s v="pg.9"/><s v="pg.7"/><s v="pg.7 "/><s v="article"/><s v="pg. 39"/><s v="pg.15"/><s v="pg. 22"/><s v="pg. 14"/><s v="pg. 24"/><s v="pg. 17"/><s v="pg. 19"/><s v="pg. 16"/><s v="pg. 18"/><s v="pg. 13"/><s v="pg. 23"/><s v="pg. 5"/><s v="pg. 7-8"/><s v="pg. 2"/><s v="pg. 8"/><s v="pg. 3"/></sharedItems></cacheField><cacheField name="fred_id" numFmtId="0"><sharedItems containsBlank="1"><m/><s v="2zgf9"/><s v="39xuw"/><s v="7vgkq"/><s v="acykd"/><s v="additional_studies1"/><s v="additional_studies10"/><s v="additional_studies11"/><s v="additional_studies12"/><s v="additional_studies125"/><s v="additional_studies13"/><s v="additional_studies14"/><s v="additional_studies15"/><s v="additional_studies16"/><s v="additional_studies17"/><s v="additional_studies18"/><s v="additional_studies19"/><s v="additional_studies2"/><s v="additional_studies20"/><s v="additional_studies21"/><s v="additional_studies22"/><s v="additional_studies23"/><s v="additional_studies24"/><s v="additional_studies25"/><s v="additional_studies26"/><s v="additional_studies27"/><s v="additional_studies28"/><s v="additional_studies29"/><s v="additional_studies3"/><s v="additional_studies30"/><s v="additional_studies31"/><s v="additional_studies32"/><s v="additional_studies33"/><s v="additional_studies34"/><s v="additional_studies35"/><s v="additional_studies36"/><s v="additional_studies37"/><s v="additional_studies38"/><s v="additional_studies39"/><s v="additional_studies4"/><s v="additional_studies40"/><s v="additional_studies41"/><s v="additional_studies42"/><s v="additional_studies43"/><s v="additional_studies43 "/><s v="additional_studies44"/><s v="additional_studies45"/><s v="additional_studies46"/><s v="additional_studies47"/><s v="additional_studies48"/><s v="additional_studies49"/><s v="additional_studies5"/><s v="additional_studies50"/><s v="additional_studies51"/><s v="additional_studies52"/><s v="additional_studies53"/><s v="additional_studies54"/><s v="additional_studies55"/><s v="additional_studies56"/><s v="additional_studies57"/><s v="additional_studies84"/><s v="additional_studies58"/><s v="additional_studies61"/><s v="additional_studies64"/><s v="additional_studies73"/><s v="additional_studies76"/><s v="additional_studies79"/><s v="additional_studies81"/><s v="additional_studies83"/><s v="additional_studies59"/><s v="additional_studies6"/><s v="additional_studies60"/><s v="additional_studies62"/><s v="additional_studies63"/><s v="additional_studies65"/><s v="additional_studies66"/><s v="additional_studies67"/><s v="additional_studies68"/><s v="additional_studies69"/><s v="additional_studies7"/><s v="additional_studies70"/><s v="additional_studies71"/><s v="additional_studies72"/><s v="additional_studies74"/><s v="additional_studies75"/><s v="additional_studies77"/><s v="additional_studies78"/><s v="additional_studies8"/><s v="additional_studies80"/><s v="additional_studies82"/><s v="additional_studies85"/><s v="additional_studies86"/><s v="additional_studies87"/><s v="additional_studies88"/><s v="additional_studies89"/><s v="additional_studies9"/><s v="additional_studies90"/><s v="additional_studies90_a1"/><s v="additional_studies90_b1"/><s v="additional_studies90_c1"/><s v="additional_studies90_d1"/><s v="additional_studies90_e1"/><s v="additional_studies90_f1"/><s v="additional_studies90_g1"/><s v="additional_studies91"/><s v="additional_studies92"/><s v="additional_studies93"/><s v="additional_studies94"/><s v="additional_studies94_1"/><s v="additional_studies94_1a"/><s v="additional_studies94_2a"/><s v="additional_studies94_2b"/><s v="additional_studies94_3"/><s v="additional_studies94_5a"/><s v="additional_studies94_5b"/><s v="additional_studies94_5c"/><s v="additional_studies94_5d"/><s v="additional_studies95"/><s v="additional_studies96"/><s v="additional_studies99"/><s v="Boyce_etal20231_1"/><s v="Boyce_etal20231"/><s v="Boyce_etal202310_1"/><s v="Boyce_etal202310"/><s v="Boyce_etal2023100_1"/><s v="Boyce_etal2023100"/><s v="Boyce_etal2023101_1"/><s v="Boyce_etal2023101"/><s v="Boyce_etal2023102_1"/><s v="Boyce_etal2023102"/><s v="Boyce_etal2023103_1"/><s v="Boyce_etal2023103"/><s v="Boyce_etal2023104_1"/><s v="Boyce_etal2023104"/><s v="Boyce_etal2023105_1"/><s v="Boyce_etal2023105"/><s v="Boyce_etal2023106_1"/><s v="Boyce_etal2023106"/><s v="Boyce_etal2023107_1"/><s v="Boyce_etal2023107"/><s v="Boyce_etal2023108_1"/><s v="Boyce_etal2023108"/><s v="Boyce_etal2023109_1"/><s v="Boyce_etal202311_1"/><s v="Boyce_etal202311"/><s v="Boyce_etal2023110_1"/><s v="Boyce_etal2023111_1"/><s v="Boyce_etal2023112_1"/><s v="Boyce_etal2023112"/><s v="Boyce_etal2023113_1"/><s v="Boyce_etal2023113"/><s v="Boyce_etal2023114_1"/><s v="Boyce_etal2023114"/><s v="Boyce_etal2023115_1"/><s v="Boyce_etal2023115"/><s v="Boyce_etal2023116_1"/><s v="Boyce_etal2023116"/><s v="Boyce_etal2023117"/><s v="Boyce_etal2023118"/><s v="Boyce_etal2023119"/><s v="Boyce_etal202312_1"/><s v="Boyce_etal202312"/><s v="Boyce_etal2023120"/><s v="Boyce_etal2023121_1"/><s v="Boyce_etal2023122_1"/><s v="Boyce_etal2023122"/><s v="Boyce_etal2023123_1"/><s v="Boyce_etal2023124_1"/><s v="Boyce_etal2023124"/><s v="Boyce_etal2023125_1"/><s v="Boyce_etal2023126_1"/><s v="Boyce_etal2023126"/><s v="Boyce_etal2023127_1"/><s v="Boyce_etal2023128_1"/><s v="Boyce_etal2023129_1"/><s v="Boyce_etal202313_1"/><s v="Boyce_etal202313"/><s v="Boyce_etal2023130_1"/><s v="Boyce_etal2023130"/><s v="Boyce_etal2023131_1"/><s v="Boyce_etal2023131"/><s v="Boyce_etal2023132_1"/><s v="Boyce_etal2023132"/><s v="Boyce_etal2023133_1"/><s v="Boyce_etal2023133"/><s v="Boyce_etal2023134_1"/><s v="Boyce_etal2023134"/><s v="Boyce_etal2023135_1"/><s v="Boyce_etal2023135"/><s v="Boyce_etal2023136"/><s v="Boyce_etal2023137_1"/><s v="Boyce_etal2023137"/><s v="Boyce_etal2023138_1"/><s v="Boyce_etal2023139_1"/><s v="Boyce_etal202314_1"/><s v="Boyce_etal2023140_1"/><s v="Boyce_etal2023141_1"/><s v="Boyce_etal2023141"/><s v="Boyce_etal2023142_1"/><s v="Boyce_etal2023142"/><s v="Boyce_etal2023143_1"/><s v="Boyce_etal2023144_1"/><s v="Boyce_etal2023144"/><s v="Boyce_etal2023145_1"/><s v="Boyce_etal2023145"/><s v="Boyce_etal2023146_1"/><s v="Boyce_etal2023147"/><s v="Boyce_etal2023148_1"/><s v="Boyce_etal2023149_1"/><s v="Boyce_etal2023149"/><s v="Boyce_etal202315_1"/><s v="Boyce_etal202315"/><s v="Boyce_etal2023150_1"/><s v="Boyce_etal2023151_1"/><s v="Boyce_etal2023151"/><s v="Boyce_etal2023152_1"/><s v="Boyce_etal2023152"/><s v="Boyce_etal2023153_1"/><s v="Boyce_etal2023153"/><s v="Boyce_etal2023154_1"/><s v="Boyce_etal2023154"/><s v="Boyce_etal2023155_1"/><s v="Boyce_etal2023155"/><s v="Boyce_etal2023156_1"/><s v="Boyce_etal2023156"/><s v="Boyce_etal2023157"/><s v="Boyce_etal2023158_1"/><s v="Boyce_etal2023158"/><s v="Boyce_etal2023159_1"/><s v="Boyce_etal2023159"/><s v="Boyce_etal202316_1"/><s v="Boyce_etal202316"/><s v="Boyce_etal2023160_1"/><s v="XPHI1"/><s v="XPHI11"/><s v="Boyce_etal2023161_1"/><s v="Boyce_etal2023161"/><s v="Boyce_etal2023162_1"/><s v="Boyce_etal2023162"/><s v="Boyce_etal2023163_1"/><s v="Boyce_etal2023163"/><s v="Boyce_etal2023164_1"/><s v="Boyce_etal2023164"/><s v="Boyce_etal2023165_1"/><s v="Boyce_etal2023165"/><s v="Boyce_etal2023166_1"/><s v="Boyce_etal2023166"/><s v="Boyce_etal2023167"/><s v="Boyce_etal2023168_1"/><s v="Boyce_etal2023168"/><s v="Boyce_etal2023169_1"/><s v="Boyce_etal2023169"/><s v="Boyce_etal202317"/><s v="Boyce_etal2023170_1"/><s v="Boyce_etal2023170"/><s v="Boyce_etal2023171_1"/><s v="Boyce_etal2023171"/><s v="Boyce_etal2023172_1"/><s v="Boyce_etal2023173_1"/><s v="Boyce_etal2023174_1"/><s v="Boyce_etal2023175_1"/><s v="Boyce_etal2023176"/><s v="Boyce_etal202318_1"/><s v="Boyce_etal202318"/><s v="Boyce_etal202319_1"/><s v="Boyce_etal202319"/><s v="Boyce_etal20232_1"/><s v="Boyce_etal20232"/><s v="Boyce_etal202320_1"/><s v="Boyce_etal202320"/><s v="Boyce_etal202321_1"/><s v="Boyce_etal202322_1"/><s v="Boyce_etal202322"/><s v="Boyce_etal202323_1"/><s v="Boyce_etal202323"/><s v="Boyce_etal202324_1"/><s v="Boyce_etal202324"/><s v="Boyce_etal202325_1"/><s v="Boyce_etal202325"/><s v="Boyce_etal202326_1"/><s v="Boyce_etal202326"/><s v="Boyce_etal202327_1"/><s v="Boyce_etal202327"/><s v="Boyce_etal202328_1"/><s v="Boyce_etal202328"/><s v="Boyce_etal202329"/><s v="Boyce_etal20233"/><s v="Boyce_etal202330"/><s v="Boyce_etal202331"/><s v="Boyce_etal202332"/><s v="Boyce_etal202333"/><s v="Boyce_etal202334"/><s v="Boyce_etal202335"/><s v="Boyce_etal202336"/><s v="Boyce_etal202337"/><s v="Boyce_etal202338"/><s v="Boyce_etal202339"/><s v="Boyce_etal20234"/><s v="Boyce_etal202340"/><s v="Boyce_etal202341"/><s v="Boyce_etal202342"/><s v="Boyce_etal202343"/><s v="Boyce_etal202344"/><s v="Boyce_etal202345"/><s v="Boyce_etal202346"/><s v="Boyce_etal202347"/><s v="Boyce_etal202348"/><s v="Boyce_etal202349"/><s v="Boyce_etal20235"/><s v="Boyce_etal202350"/><s v="Boyce_etal202351"/><s v="Boyce_etal202352"/><s v="Boyce_etal202353"/><s v="Boyce_etal202354"/><s v="Boyce_etal202355"/><s v="Boyce_etal202356"/><s v="Boyce_etal202357"/><s v="Boyce_etal202358"/><s v="Boyce_etal202359"/><s v="Boyce_etal20236"/><s v="Boyce_etal202360"/><s v="Boyce_etal202361"/><s v="Boyce_etal202362"/><s v="Boyce_etal202363"/><s v="Boyce_etal202364"/><s v="Boyce_etal202365"/><s v="Boyce_etal202366"/><s v="Boyce_etal202367"/><s v="Boyce_etal202368"/><s v="Boyce_etal202369"/><s v="Boyce_etal20237"/><s v="Boyce_etal202370"/><s v="Boyce_etal202371"/><s v="Boyce_etal202372"/><s v="Boyce_etal202373"/><s v="Boyce_etal202374"/><s v="Boyce_etal202375"/><s v="Boyce_etal202376"/><s v="Boyce_etal202377"/><s v="Boyce_etal202378"/><s v="Boyce_etal202379"/><s v="Boyce_etal20238"/><s v="Boyce_etal202380"/><s v="Boyce_etal202381"/><s v="Boyce_etal202382"/><s v="Boyce_etal202383"/><s v="Boyce_etal202384"/><s v="Boyce_etal202385"/><s v="Boyce_etal202386"/><s v="Boyce_etal202387"/><s v="Boyce_etal202388"/><s v="Boyce_etal202389"/><s v="Boyce_etal20239"/><s v="Boyce_etal202390"/><s v="Boyce_etal202391"/><s v="Boyce_etal202392"/><s v="Boyce_etal202393"/><s v="Boyce_etal202394"/><s v="Boyce_etal202395"/><s v="Boyce_etal202396"/><s v="Boyce_etal202397"/><s v="Boyce_etal202398"/><s v="Boyce_etal202399"/><s v="bth36"/><s v="Camereretal2016_1"/><s v="Camereretal2016_10"/><s v="Camereretal2016_11"/><s v="Camereretal2016_12"/><s v="Camereretal2016_13"/><s v="Camereretal2016_14"/><s v="Camereretal2016_15"/><s v="Camereretal2016_16"/><s v="Camereretal2016_17"/><s v="Camereretal2016_18"/><s v="Camereretal2016_2"/><s v="Camereretal2016_3"/><s v="Camereretal2016_4"/><s v="Camereretal2016_5"/><s v="Camereretal2016_6"/><s v="Camereretal2016_7"/><s v="Camereretal2016_8"/><s v="Camereretal2016_9"/><s v="Camereretal2018_1_1"/><s v="Camereretal2018_10_1"/><s v="Camereretal2018_11_1"/><s v="Camereretal2018_12_1"/><s v="Camereretal2018_13_1"/><s v="Camereretal2018_14_1"/><s v="Camereretal2018_15_1"/><s v="Camereretal2018_16_1"/><s v="Camereretal2018_17_1"/><s v="Camereretal2018_18_1"/><s v="Camereretal2018_19_1"/><s v="Camereretal2018_2_1"/><s v="Camereretal2018_20_1"/><s v="Camereretal2018_21_1"/><s v="Camereretal2018_3_1"/><s v="Camereretal2018_4_1"/><s v="Camereretal2018_5_1"/><s v="Camereretal2018_6_1"/><s v="Camereretal2018_7_1"/><s v="Camereretal2018_8_1"/><s v="Camereretal2018_9_1"/><s v="curatescience10"/><s v="curatescience11"/><s v="curatescience12"/><s v="CORE_1"/><s v="curatescience13"/><s v="curatescience14"/><s v="curatescience15"/><s v="curatescience16"/><s v="curatescience17"/><s v="curatescience18"/><s v="curatescience19"/><s v="curatescience20"/><s v="curatescience204_1"/><s v="curatescience204_2"/><s v="curatescience21"/><s v="curatescience22"/><s v="curatescience23"/><s v="curatescience24"/><s v="curatescience241_1"/><s v="curatescience241_2"/><s v="curatescience244_1"/><s v="curatescience244_2"/><s v="curatescience25"/><s v="curatescience26"/><s v="curatescience27"/><s v="curatescience28"/><s v="curatescience283_1"/><s v="curatescience283_2"/><s v="curatescience29"/><s v="curatescience30"/><s v="curatescience31"/><s v="curatescience32"/><s v="curatescience320_1"/><s v="curatescience320_2"/><s v="curatescience33"/><s v="curatescience34"/><s v="curatescience35"/><s v="curatescience36"/><s v="curatescience37"/><s v="curatescience38"/><s v="curatescience395_1"/><s v="curatescience395_5"/><s v="curatescience40"/><s v="curatescience41"/><s v="curatescience42"/><s v="curatescience43"/><s v="curatescience44"/><s v="curatescience45"/><s v="curatescience46"/><s v="curatescience47"/><s v="curatescience48"/><s v="curatescience49"/><s v="curatescience50"/><s v="curatescience51"/><s v="curatescience52"/><s v="curatescience53"/><s v="curatescience533_1"/><s v="curatescience533_2"/><s v="curatescience537_1"/><s v="curatescience537_2"/><s v="curatescience54"/><s v="curatescience55"/><s v="curatescience558_1"/><s v="curatescience558_2"/><s v="curatescience56"/><s v="curatescience57"/><s v="curatescience578_1"/><s v="curatescience578_2"/><s v="curatescience58"/><s v="curatescience59"/><s v="curatescience599_1"/><s v="curatescience599_2"/><s v="curatescience600_1"/><s v="curatescience600_2"/><s v="curatescience620_1"/><s v="curatescience620_2"/><s v="curatescience641_1"/><s v="curatescience641_2"/><s v="curatescience7"/><s v="curatescience7_overall"/><s v="curatescience73_1"/><s v="curatescience73_2"/><s v="curatescience75_1"/><s v="curatescience75_2"/><s v="curatescience8"/><s v="curatescience86_1"/><s v="curatescience86_2"/><s v="curatescience9"/><s v="datareplicada10a"/><s v="datareplicada10"/><s v="datareplicada10b"/><s v="datareplicada10d"/><s v="datareplicada2"/><s v="datareplicada3"/><s v="datareplicada3_1_2_1"/><s v="datareplicada4"/><s v="datareplicada7"/><s v="datareplicada7a"/><s v="datareplicada7b"/><s v="datareplicada7c"/><s v="dqv9y"/><s v="e9d3k"/><s v="fmd75"/><s v="gh52k"/><s v="Holzmeisteretal2024_1"/><s v="Holzmeisteretal2024_10"/><s v="Holzmeisteretal2024_11"/><s v="Holzmeisteretal2024_12"/><s v="Holzmeisteretal2024_13"/><s v="Holzmeisteretal2024_14"/><s v="Holzmeisteretal2024_15"/><s v="Holzmeisteretal2024_16"/><s v="Holzmeisteretal2024_17"/><s v="Holzmeisteretal2024_18"/><s v="Holzmeisteretal2024_19"/><s v="Holzmeisteretal2024_2"/><s v="Holzmeisteretal2024_20"/><s v="Holzmeisteretal2024_21"/><s v="Holzmeisteretal2024_22"/><s v="Holzmeisteretal2024_23"/><s v="Holzmeisteretal2024_24"/><s v="Holzmeisteretal2024_25"/><s v="Holzmeisteretal2024_26"/><s v="Holzmeisteretal2024_3"/><s v="Holzmeisteretal2024_4"/><s v="Holzmeisteretal2024_5"/><s v="Holzmeisteretal2024_6"/><s v="Holzmeisteretal2024_7"/><s v="Holzmeisteretal2024_8"/><s v="Holzmeisteretal2024_9"/><s v="is1"/><s v="is2"/><s v="is3"/><s v="j8a4p"/><s v="j8a4p_composite"/><s v="j8a4p_dog"/><s v="j8a4p_kitten"/><s v="j8a4p_plane"/><s v="j8a4p_resume"/><s v="j8a4p_trolley"/><s v="j8a4p_wallet"/><s v="jcre_01"/><s v="jcre_01_c2"/><s v="jcre_01_c2a"/><s v="jcre_01_c3"/><s v="jcre_01_c3a"/><s v="jcre_01_c6"/><s v="jcre_01_c6a"/><s v="jcre_01_d2"/><s v="jcre_01_d3"/><s v="jcre_01_d6"/><s v="jcre_01_g2"/><s v="jcre_01_g2a"/><s v="jcre_01_g3"/><s v="jcre_01_g3a"/><s v="jcre_01_g6"/><s v="jcre_01_g6a"/><s v="jcre_01_gt2"/><s v="jcre_01_gt2a"/><s v="jcre_01_gt3"/><s v="jcre_01_gt3a"/><s v="jcre_01_gt6"/><s v="jcre_01_gt6a"/><s v="jcre_01_h2"/><s v="jcre_01_h2a"/><s v="jcre_01_h3"/><s v="jcre_01_h3a"/><s v="jcre_01_h6"/><s v="jcre_01_h6a"/><s v="jcre_01_m2"/><s v="jcre_01_m2a"/><s v="jcre_01_m3"/><s v="jcre_01_m3a"/><s v="jcre_01_m6"/><s v="jcre_01_m6a"/><s v="jcre_01_mt2"/><s v="jcre_01_mt2a"/><s v="jcre_01_mt3"/><s v="jcre_01_mt3a"/><s v="jcre_01_mt6"/><s v="jcre_01_mt6a"/><s v="jcre_01_r2"/><s v="jcre_01_r3"/><s v="jcre_01_r6"/><s v="jcre_01_y2a"/><s v="jcre_01_y3a"/><s v="jcre_01_y6a"/><s v="jcre_01_yt2a"/><s v="jcre_01_yt3a"/><s v="jcre_01_yt6a"/><s v="jcre_02"/><s v="jcre_03"/><s v="jcre_04"/><s v="jcre_05"/><s v="jcre_06"/><s v="Manylabs2_01_1"/><s v="Manylabs2_02_1"/><s v="Manylabs2_02"/><s v="Manylabs2_03_1"/><s v="Manylabs2_04_1"/><s v="Manylabs2_05_1"/><s v="Manylabs2_06_1"/><s v="Manylabs2_07_1"/><s v="Manylabs2_10_1"/><s v="Manylabs2_11_1"/><s v="Manylabs2_12_1"/><s v="Manylabs2_13_1"/><s v="Manylabs2_14_1"/><s v="Manylabs2_15_1"/><s v="Manylabs2_16_1"/><s v="Manylabs2_17_1"/><s v="Manylabs2_18_1"/><s v="Manylabs2_19_1"/><s v="Manylabs2_20_1"/><s v="Manylabs2_21_1"/><s v="Manylabs2_22_1"/><s v="Manylabs2_23_1"/><s v="Manylabs2_24_1"/><s v="Manylabs2_25_1"/><s v="Manylabs2_26_1"/><s v="Manylabs2_27_1"/><s v="Manylabs2_28_1"/><s v="Manylabs2_8_1"/><s v="Manylabs2_9_1"/><s v="OpenMKT1"/><s v="OpenMKT10_1"/><s v="OpenMKT10"/><s v="OpenMKT11"/><s v="OpenMKT12"/><s v="OpenMKT13"/><s v="OpenMKT14"/><s v="OpenMKT15"/><s v="OpenMKT16"/><s v="OpenMKT2_1"/><s v="OpenMKT2"/><s v="OpenMKT2_2"/><s v="OpenMKT2_3"/><s v="OpenMKT3_1"/><s v="OpenMKT3"/><s v="OpenMKT4"/><s v="OpenMKT5_1"/><s v="OpenMKT5"/><s v="OpenMKT6_1"/><s v="OpenMKT6"/><s v="OpenMKT7_1"/><s v="OpenMKT7"/><s v="OpenMKT8_1"/><s v="OpenMKT8"/><s v="OpenMKT9_1"/><s v="OpenMKT9"/><s v="osc20151"/><s v="osc201510"/><s v="osc2015104"/><s v="osc2015106"/><s v="osc2015107"/><s v="osc2015109"/><s v="osc201511"/><s v="osc2015110"/><s v="osc2015111"/><s v="osc2015112"/><s v="osc2015113"/><s v="osc2015114"/><s v="osc2015115"/><s v="osc2015116"/><s v="osc2015117"/><s v="osc2015118"/><s v="osc201512"/><s v="osc2015120"/><s v="osc2015121"/><s v="osc2015122"/><s v="osc2015123"/><s v="osc2015124"/><s v="osc2015126"/><s v="osc2015127"/><s v="osc2015129"/><s v="osc201513"/><s v="osc2015132"/><s v="osc2015133"/><s v="osc2015134"/><s v="osc2015135"/><s v="osc2015136"/><s v="osc2015139"/><s v="osc2015140"/><s v="osc2015142"/><s v="osc2015143"/><s v="osc2015145"/><s v="osc2015146"/><s v="osc2015148"/><s v="osc201515"/><s v="osc2015150"/><s v="osc2015151"/><s v="osc2015153"/><s v="osc2015154"/><s v="osc2015155"/><s v="osc2015158"/><s v="osc2015161"/><s v="osc2015165"/><s v="osc2015167"/><s v="osc201517"/><s v="osc201519"/><s v="osc20152"/><s v="osc201520"/><s v="osc201522"/><s v="osc201524"/><s v="osc201525"/><s v="osc201526"/><s v="osc201527"/><s v="osc201528"/><s v="osc201529"/><s v="osc20153"/><s v="osc201532"/><s v="osc201533"/><s v="osc201536"/><s v="osc201537"/><s v="osc201539"/><s v="osc20154"/><s v="osc201543"/><s v="osc201544"/><s v="osc201546"/><s v="osc201548"/><s v="osc201549"/><s v="osc20155"/><s v="osc201550"/><s v="osc201552"/><s v="osc201553"/><s v="osc201555"/><s v="osc201556"/><s v="osc201558"/><s v="osc201559"/><s v="osc20156"/><s v="osc201561"/><s v="osc201563"/><s v="osc201564"/><s v="osc201565"/><s v="osc201568"/><s v="osc201569"/><s v="osc20157"/><s v="osc201571"/><s v="osc201572"/><s v="osc201573"/><s v="osc201577"/><s v="osc20158"/><s v="osc201580"/><s v="osc201581"/><s v="osc201582"/><s v="osc201584"/><s v="osc201586"/><s v="osc201587"/><s v="osc201589"/><s v="osc20159"/><s v="osc201593"/><s v="osc201594"/><s v="osc201597"/><s v="q6tv8"/><s v="resciencex_01"/><s v="rtn9s"/><s v="soscisubmission1"/><s v="soscisubmission1_2"/><s v="soscisubmission10"/><s v="soscisubmission11"/><s v="soscisubmission13"/><s v="soscisubmission14a"/><s v="soscisubmission14b"/><s v="soscisubmission14c"/><s v="soscisubmission15"/><s v="soscisubmission18"/><s v="soscisubmission"/><s v="soscisubmission2_2"/><s v="soscisubmission3_1"/><s v="soscisubmission3_2"/><s v="soscisubmission3_3"/><s v="soscisubmission3_4"/><s v="soscisubmission34"/><s v="soscisubmission34_2_1"/><s v="soscisubmission34_2_2"/><s v="soscisubmission38"/><s v="soscisubmission38_1_1"/><s v="soscisubmission39"/><s v="soscisubmission41"/><s v="soscisubmission45"/><s v="soscisubmission46"/><s v="soscisubmission47"/><s v="soscisubmission49"/><s v="soscisubmission6"/><s v="soscisubmission6_1_2_1"/><s v="soscisubmission7"/><s v="soscisubmission7_1_2_1"/><s v="soscisubmission7_1_2_2"/><s v="soscisubmission7_1_2_3"/><s v="soscisubmission7_1_2_4"/><s v="soscisubmission8"/><s v="soscisubmission8_1_1"/><s v="soscisubmission9"/><s v="svodevelopment"/><s v="svodevelopment2"/><s v="svodevelopment2_1i"/><s v="svodevelopment2_1j"/><s v="svodevelopment2_3"/><s v="svodevelopment2_3a"/><s v="svodevelopment2_3b"/><s v="svodevelopment2_3c"/><s v="svodevelopment2_3d"/><s v="svodevelopment2_3e"/><s v="svodevelopment2_3f"/><s v="svodevelopment2_3g"/><s v="svodevelopment2_1a"/><s v="svodevelopment2_3h"/><s v="svodevelopment2_3i"/><s v="svodevelopment2_4"/><s v="svodevelopment2_4a"/><s v="svodevelopment2_4b"/><s v="svodevelopment2_1b"/><s v="svodevelopment2_1c"/><s v="svodevelopment2_1d"/><s v="svodevelopment2_1e"/><s v="svodevelopment2_1f"/><s v="svodevelopment2_1g"/><s v="svodevelopment2_1h"/><s v="uxajg"/><s v="XPHI10"/><s v="XPHI12"/><s v="XPHI13"/><s v="XPHI14"/><s v="XPHI15"/><s v="XPHI16"/><s v="XPHI17"/><s v="XPHI18"/><s v="XPHI19"/><s v="XPHI2"/><s v="XPHI20"/><s v="XPHI21"/><s v="XPHI22"/><s v="XPHI23"/><s v="XPHI24"/><s v="XPHI25"/><s v="XPHI26"/><s v="XPHI27"/><s v="XPHI28"/><s v="XPHI29"/><s v="XPHI3"/><s v="XPHI30"/><s v="XPHI31"/><s v="XPHI32"/><s v="XPHI33"/><s v="XPHI34"/><s v="XPHI35"/><s v="XPHI36"/><s v="XPHI37"/><s v="XPHI38"/><s v="XPHI39"/><s v="XPHI4"/><s v="XPHI40"/><s v="XPHI5"/><s v="XPHI6"/><s v="XPHI7"/><s v="XPHI8"/><s v="XPHI9"/><s v="Soto"/></sharedItems></cacheField><cacheField name="feedback_for_coder"><sharedItems containsBlank="1" containsMixedTypes="1" containsNumber="1" containsInteger="1"><m/><s v="- Please type &quot;NA&quot; if you could not find &quot;regis&quot; in the manuscript.&#xA;- Good catch with the N = 41!&#xA;- This is the preregistration: https://osf.io/8urxv It is linked at the top of the entry"/><s v="Feedback for Hakile:&#xA;- The degreees of freedom for the t test are 39, indicating that N = 41&#xA;- the number of tails was actually not reported (it does not say anywhere whether it is one-tailed or two-tailed but was coded as 2)&#xA;- I could not find the d = 0."/><s v="yes"/><s v="- missed the study number&#xA;- make sure to review and correct text that is copied (special characters were missing)"/><s v="Feedback for Fabienne&#xA;- make sure to review and correct text that is copied (special characters were missing)&#xA;- you entered N = 85 with t(84) and Ntotal = 85. I was about to correct it to N = 86 because N = t-2 for two sample t tests but there appears to "/><s v="- please report test statistics with all details: F(x, y) = value (and not just the value)"/><s v="- please choose &quot;NA&quot; for pval_tails, when the paper does not clearly state it. Even if an F-Test is used"/><s v="- please describe notes in more detail (e.g., what do you mean with &quot;not replicated&quot;&#xA;- please do not code values for claims for which no replication finding exists&#xA;- please look closely in the replication paper since here the finding was replicated"/><s v="- please watch out for the n that was included in analysis and not the n before exclusions were made"/><s v="- do not code tests as one-tailed unless it is explicitly said in the text (eg &quot;one-tailed)"/><s v="The claim does not fit to the reported d, d should be 2.8 for this case"/><s v="Please only provide a numer for N (you wrote 1 and 12) and if you cannot, write an explanation into the notes variable or explain where it comes from."/><s v="simulation study, no new data was collected but merely &quot;generated&quot;"/><s v="- If there are multiple rows for one finding, please rename &quot;id&quot; to id_b, id_c, etc. for the newly created rows."/><s v="feedback: please review copied text and correct it (a &quot;=&quot; was missing)"/><s v="nothing filled out, should code again"/><s v="Feedback for Vidhi:&#xA;'- please change &quot;date_entered&quot; to the day that you worked on the entry&#xA;- Ref_replication was not in APA format and doi_r was missing&#xA;- label &quot;systematic replication&quot; was missing&#xA;- can you please explain why you did not extract any sta"/><s v="Feedback for Aleksandr:&#xA;- description was missing&#xA;- please do not conduct effect size conversions but only copy what is in the paper. You may do calculations using the sheet in the table. If you do so, please save one sheet for each calculation&#xA;- if you d"/><s v="what is the purpose of this row, please fill in the columns"/><s v="please fill in the column &quot;effect&quot;"/><s v="Feedback for Ray&#xA;- Why did you not code any of the test statistics?"/><s v="Feedback for Daniel&#xA;- please enter your name and the date that you are working on into the variables contributors and date_entered"/><s v="The es_type_r says &quot;F&quot;. Is this an f Test or Cohen's f (this is a mistake on our side because we have it as a selectable option, sorry!)?"/><s v="Feedback for Roksana&#xA;- please also fill out the variable with the page numbers"/><s v="Feedback for Ray&#xA;- please review the instructions again and code these entries"/><s v="Feedback for Daniel:&#xA;- one small typo when copying the Cohen's d from the table (.0185 instead of .0187)&#xA;- Claim and test statistics/effect sizes must be about the same thing. Convergent validity and mean difference is not the same thing, so you should ha"/><s v="Feedback for Roskana:&#xA;- please add pagenumbers into the respective variables (es_repr_o) even if it is the same as the claim page number&#xA;- coding is generally very good (not just for this entry)! thank you!&#xA;- additional studies 47_e: p value replication w"/><s v="Feedback for Thomas:&#xA;- if an eta squared is available, please code it and not the test statistics"/><s v="Feedback for Daniel&#xA;- Choosing the chi square test for fit in the matter scale development paper was a good decision!"/><s v="Feedback for Nikolay&#xA;- values in _o variables should not come from the replication report but only the original study's report"/><s v="Feedback for Daniel&#xA;- description should be matched for multiple rows per entry to specify what effect this is"/><s v="changed replicationt ype to conceptual because &quot;3rd sing&quot; was not part of original study"/><s v="The other coder did not seem to have difficulties and reported test statistics. I do not have access and the PDF-Link does not work. sarahashjones@gmail.com can you please check whether the 2010 or 2011 article is the target? You can send both articles to"/><s v="Feedback for Thomas: &#xA;I could not find most of the numbers on this page. Can you please send a screenshot for what you are referring to as &quot;test statistics&quot;?"/><s v="Feedback for Roksana&#xA;- If there is no preregistration, please type &quot;NA&quot; into the variable.&#xA;- Please fill out all mandatory variables, for example you forgot to note the page for the replication finding (Ws &gt; 152).&#xA;- Please familiarize yourself with the re"/><s v="Feedback for Thomas&#xA;- Please always fill out the claim variable. Please review the instructions to see which variables are optional.&#xA;- You noted Ws = 152 when it was actually Ws &gt; 152.&#xA;- Please change id to _b, _c, ... when creating multiple rows.&#xA;- There"/><s v="P-value corrected from .13 (that was the f value) to .72"/><s v="Changed r to Ws because r might correspond to the within-subjects correlation of the repeated variables and not the effect."/><s v="Changed nesting to &quot;NA&quot; instead of 1. It does not say how many tails there were only that one group is significantly faster than the other (which could be a combination of two-tailed significant test and positive correlation)"/><s v="Feedback for Maria&#xA;- When the title of a replication says &quot;conceptual&quot;, you can code it as conceptual (you coded &quot;close&quot;)."/><s v="Feedback for Thomas&#xA;- When entering test statistics, please enter the entire test statistic and type &quot;test statistic&quot; into the effect type variable (eg not 7.2 but F(1, 243) = 7.2)"/><s v="Feedback for Thomas&#xA;- When duplicating rows, please change the id for the second one (_b, _c, ...)&#xA;- When entering multiple effects, please use the &quot;description&quot; variable to explain what the difference is"/><s v="Feedback for Maria&#xA;- This is a stage 1 registered report and it says at the beginning (eg p. 5) that the results are based on a randomized pseudo-dataset. "/><s v="Feedback for Maria&#xA;- If there is no effect size type reported alongside the effect size, please write es type as NA. For example, in an ANOVA standardized effect sizes are f, eta squared, and R² (R² and eta are out because it is larger than 1 here) depend"/><s v="There was a typo in one of the p-values. Please double check the entries and rather copy them than type them in."/><s v="I could not find the effect size of d = .68 or any others for that matter.&#xA;&#xA;Feedback for Hakile&#xA;- Please include test statistics in the claim.&#xA;- I could not find the effect size of d = .68 on page 5 in the original report of additional_studies59"/><s v="Corrected citation and DOI, added effect sizes and duplicated row for both original subjects&#xA;&#xA;Feedback for Nikolay&#xA;- You could have coded the R² for additional_studies60&#xA;- Please copy text for the claim from the paper"/><s v="Study 1 was a reproduction and should not have been coded (only replications with new data)."/><s v="The original study was not preregistered as the OSF-link does not contain a registration: please double-check under the tab &quot;registrations&quot;: https://osf.io/yqxme/registrations. Moreover, it didn't say in the report that it was registered but there was mer"/><s v="please put NA in &quot;prereg_r&quot; if no prereg is mentioned"/><s v="Well done! :-)"/><s v="es_repr_r codes the page, the es_value_r was found on"/><s v="This was an internal replication (same authors, same study) but you coded it as &quot;conceptual&quot;."/><s v="- You took the wrong model for the reproduction.&#xA;- This is a reproduction and not a replication, so you should not have coded it in the first place."/><s v="- I could not find the values that you reported for the original paper in the original paper but only in the replication paper. Please only put values from the original report into the _o variables.&#xA;- You reported an incorrect sample size. Each model has "/><s v="please be consistent and report the full test statistic"/><s v="please fill in the variable study_o and study_r"/><s v="please put NA for prereg_r, please add es_repr_o"/><s v="Feedback for Husnain&#xA;- You were unsure about this but you did right: Please always use what is reported in the original paper for the _o variables.&#xA;- F is not an effect size. Please report the entire F test as a test statistic instead, eg F(1, 236) = 4.41"/><s v="You wrote &quot;Should in case of exclusion we left the row empty (except &quot;Exclusion&quot; column? &quot; - I did not understand the question entirely, I think. You were right to leave the cells empty as this is an exclusion anyway."/><s v="- Es repr_r was missing and prereg (for the chosen row). Please make sure that all cells are filled out.&#xA;- When there is no reference to a preregistration, please code it as &quot;NA&quot; because nothing is reported. Use &quot;no&quot; only when it is explicitly stated, tha"/><s v="please add in which document you found the statistical values for the replication (dataset) "/><s v="please add the link you put into the notes for coder also to the variable es_repr_r"/><s v="Here - and in some other places - prereg_o contains the repl prereg. this must be for the original study"/><s v="please add the varibale es_repr_r and prereg_r, please add a description"/><s v=":  please add the link to the file where you found the data to the variable &quot;es_repr_r&quot;"/><s v="please put in the n that was included in the analysis for n_o "/><s v="please add the link to the file where you found the values for the replication in the column &quot;es_repr_r&quot;, please put the number of observations that were included in the analisis in the column for n_o"/><s v="Please specify to which document/ source you are referring in the column &quot;es_repr_r&quot;"/><s v="let's use journal page numbers, not PDF page numbers (where available)"/><s v="If you are validating an entry and there are two identical rows, please mark one as &quot;validated - chosen&quot; and one as &quot;validated - discarded&quot;"/><s v="Corrected citation and doi to the one from the paper&#xA;&#xA;Feedback for Maureen:&#xA;- Please better indicate where the effect size comes from. I could not find the value in the paper.&#xA;- The original paper was published in psychological science, please thus code t"/><s v="In multi-level models, R2 *can* include ICC - and this value seems far too high to be the experimental manipulation alone"/><s v="z-scores from Mann-Whitney cannot be converted (or are at least not comparable)"/><s v="Economics papers often use different stars, beware of that (*** = &lt; .01)"/><s v="Many p-values from wrong row - be careful w/ tables"/><s v="claim should be stats + interpretation (better slightly too long when coding?)"/><s v="please put NA if there is no prereg available; please put &quot;1&quot; in study, even if there is only one experiment&#xA;"/><s v="please put NA instead of &quot;no&quot; in prereg"/><s v="- Please enter test statistics (regardless if F, t, ...) in their entirety: eg &quot;F(2, 56) = 7.58&quot; as value and &quot;test statistic&quot; as type&#xA;- Fill out all variables and write &quot;NA&quot; if you cannot find a value (except for variable &quot;exclusion&quot;)"/><s v="Feedback for Diego&#xA;- please also copy the formula that resulted in the reported effect size"/><s v="Feedback for Corinna&#xA;- please also copy the formula that resulted in the reported effect size"/><s v="Feedback&#xA;- study by Carter &amp; McCullough did not actually self-identify as replication in title or abstract but only in text (=conceptual replication)."/><s v="Feedback&#xA;- You coded a study label as replication when it actually did not self-identify as a replication in the title or abstract. Please keep in mind the variable labels for future cases.&#xA;"/><s v="Feedback&#xA;- The link didn't work because it included a space. I removed the space and the ?view-only part and it now works.&#xA;"/><s v="Feedback&#xA;- Please remember to fill out the label for the replication type and indicate that none was used if that was the case.&#xA;- Review text copied from the manuscript and make sure it is readable (eg = is often mistaken as 1/4)"/><s v="Feedback&#xA;Every entry should have a claim and coded statistics"/><s v="I could not find the N anywhere and you reported an eta squared, which was not in the report nor on the page that you indicated. Please report exactly what is in the respective report and do not calculate any values without providing the exact formula.Als"/><s v="- You entered data from ref_o which did not match up with ref_r. ref_o was wrong and you should have noticed when checking if the replication is actually investigating the same claim. Apologies for matching up the wrong studies. Please try to understand t"/><s v="- Please review text copied from the manuscript and correct it (eg &quot;=&quot; is turned into &quot;5&quot;)&#xA;- The ref_o did not match the one that you used. Yours is correct but please check this next time."/><s v="please put &quot;NA&quot; for prereg_r if it is not mentioned in the text"/><s v="- The effect that you reported for the replication was a quotation of the original effect.&#xA;- There was a preregistration for the many labs project, which is also referred to in the report."/><s v="- I could not find out where the repliation effect sizes and sample sizes came from, so I used what is on p. 5 here (https://osf.io/y36m8). One sample size was wrong based on df+2. Two ds had 2 digits in the spreadsheet but only 1 digit in the report.&#xA;- G"/><s v="I could not find the passage of the text and had to replace it with what I could find."/><s v="Please fill out all variables. References and DOIs are missing in several cases."/><s v="You write that COhens d was reported in the text and quote SDs but neither could be found"/><s v="please put NA for pval_tails_r, if the source does not directly specify that a two tailed t test was used"/><s v="please look at the test statistic of the chi square test for the final n"/><s v="please specify how you calculated d from the chi squared test statistic as it makes it easier for the validator"/><s v="Please provide a link to the supplementary material, since I could not find it in the osf"/><s v="please specify where you found or how you attained the d values"/><s v="please fill out all fields, even if the original study information is the same as the rows above"/><s v="Please review closeness types. Authorship overlap is necessary for replications to be internal. There was no overlap in this study.&#xA;Please review nesting types. If there is repeated measurement on any of the involved factors, nesting is the case."/><s v="Please rather use test statistics than beta coefficients. This makes conversions easier for us."/><s v="- Please also add the page number for the effect sizes (eg es_rep_r)&#xA;- You could have added the individual pdf files for the reports in the file_r variable."/><s v="please add the information on how you attained the es_repr_r in the variable and not only in the notes for coders"/><s v="Where we can calculate d (or OR), let's do it - more useful than ES that are not convertible (omega, eta-sq)"/><s v="Make sure special characters are corrected after copy-pasting from old papers - here Π"/><s v="Overall your validation work was very good and transparent,. I could easily understand the comments and issues, thank you!&#xA;A few minor points:&#xA;- please remove merged cells (this can happen if you copy from MS Excel to Google Spreadsheets and when the text"/><s v="Please review text after copying it and correct it (eg &quot;=&quot; gets copied as &quot;5&quot;)"/><n v="16.0"/><s v="please add NA for prereg_o if there is no preregistration"/><s v="- Corinna, you mistook multiple original effects as replication effects. I think this is because you swa them listed in the prereg (eg https://osf.io/p56ke) but this is just the &quot;effect I am trying to replicate&quot; section."/></sharedItems></cacheField><cacheField name="validator"><sharedItems containsBlank="1" containsMixedTypes="1" containsNumber="1"><s v="name of the person who validated the entry"/><s v="LR"/><m/><s v="LR, Sophie"/><s v="SMS"/><s v="Corinna "/><s v="SMS, LR"/><s v="Corinna"/><s v="Sophie (to do)"/><s v="Nikita"/><s v="Nikita, LW"/><s v="Nikita, SMS, LR"/><s v="Nikita, LR"/><s v="Nikita, LW, LR"/><s v="Nikita, SMS"/><s v="Nikita, LR, SMS"/><s v="Aleksandr Pravednikov"/><s v="Maureen Osano, LR"/><s v="Maureen Osano, LR, SAJ"/><s v="Lukas Wallrich"/><s v="Sarah Ashcroft-Jones"/><s v="Sarah Ashcroft-Jones, LW"/><s v="Sarah Ashcroft-Jones, LR"/><s v="Corinna - to do"/><s v="Sophie, LR"/><s v="SMS (to do)"/><s v="SMS "/><s v="Corinna, SAJ"/><s v="Roksana"/><s v="Roksana, LR"/><n v="1.004"/><s v="Nikita (to do)"/><s v="Maureen "/><s v="Maureen"/><s v="Maureen - to do"/><s v="Aleksandr Pravednikov, SAJ"/><s v="Aleksandr Pravednikov, Sarah Ashcroft-Jones"/><s v="Aleksandr Pravednikov, LR"/></sharedItems></cacheField></cacheFields></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oi.org/10.1037/emo0001389" TargetMode="External"/><Relationship Id="rId391" Type="http://schemas.openxmlformats.org/officeDocument/2006/relationships/hyperlink" Target="https://doi.org/10.1037/emo0001389" TargetMode="External"/><Relationship Id="rId390" Type="http://schemas.openxmlformats.org/officeDocument/2006/relationships/hyperlink" Target="https://osf.io/864nx/" TargetMode="External"/><Relationship Id="rId2180" Type="http://schemas.openxmlformats.org/officeDocument/2006/relationships/hyperlink" Target="https://osf.io/jym7h" TargetMode="External"/><Relationship Id="rId2181" Type="http://schemas.openxmlformats.org/officeDocument/2006/relationships/hyperlink" Target="https://doi.org/10.17605/OSF.IO/8EW6S" TargetMode="External"/><Relationship Id="rId2182" Type="http://schemas.openxmlformats.org/officeDocument/2006/relationships/hyperlink" Target="https://osf.io/jym7h" TargetMode="External"/><Relationship Id="rId2183" Type="http://schemas.openxmlformats.org/officeDocument/2006/relationships/hyperlink" Target="https://osf.io/8ew6s" TargetMode="External"/><Relationship Id="rId385" Type="http://schemas.openxmlformats.org/officeDocument/2006/relationships/hyperlink" Target="https://osf.io/uqsf6/" TargetMode="External"/><Relationship Id="rId2184" Type="http://schemas.openxmlformats.org/officeDocument/2006/relationships/hyperlink" Target="http://osf.io/iajp5" TargetMode="External"/><Relationship Id="rId384" Type="http://schemas.openxmlformats.org/officeDocument/2006/relationships/hyperlink" Target="https://osf.io/uqsf6/" TargetMode="External"/><Relationship Id="rId2185" Type="http://schemas.openxmlformats.org/officeDocument/2006/relationships/hyperlink" Target="https://osf.io/83n4z" TargetMode="External"/><Relationship Id="rId383" Type="http://schemas.openxmlformats.org/officeDocument/2006/relationships/hyperlink" Target="https://osf.io/uqsf6/" TargetMode="External"/><Relationship Id="rId2186" Type="http://schemas.openxmlformats.org/officeDocument/2006/relationships/hyperlink" Target="https://doi.org/10.17605/OSF.IO/4KR6E" TargetMode="External"/><Relationship Id="rId382" Type="http://schemas.openxmlformats.org/officeDocument/2006/relationships/hyperlink" Target="https://osf.io/uqsf6/" TargetMode="External"/><Relationship Id="rId2187" Type="http://schemas.openxmlformats.org/officeDocument/2006/relationships/hyperlink" Target="https://osf.io/83n4z" TargetMode="External"/><Relationship Id="rId389" Type="http://schemas.openxmlformats.org/officeDocument/2006/relationships/hyperlink" Target="https://doi.org/10.1037/emo0001389" TargetMode="External"/><Relationship Id="rId2188" Type="http://schemas.openxmlformats.org/officeDocument/2006/relationships/hyperlink" Target="https://osf.io/4kr6e" TargetMode="External"/><Relationship Id="rId388" Type="http://schemas.openxmlformats.org/officeDocument/2006/relationships/hyperlink" Target="https://osf.io/864nx/" TargetMode="External"/><Relationship Id="rId2189" Type="http://schemas.openxmlformats.org/officeDocument/2006/relationships/hyperlink" Target="https://osf.io/x75fq" TargetMode="External"/><Relationship Id="rId387" Type="http://schemas.openxmlformats.org/officeDocument/2006/relationships/hyperlink" Target="https://osf.io/uqsf6/" TargetMode="External"/><Relationship Id="rId386" Type="http://schemas.openxmlformats.org/officeDocument/2006/relationships/hyperlink" Target="https://osf.io/uqsf6/" TargetMode="External"/><Relationship Id="rId381" Type="http://schemas.openxmlformats.org/officeDocument/2006/relationships/hyperlink" Target="https://osf.io/uqsf6/" TargetMode="External"/><Relationship Id="rId380" Type="http://schemas.openxmlformats.org/officeDocument/2006/relationships/hyperlink" Target="https://osf.io/uqsf6/" TargetMode="External"/><Relationship Id="rId379" Type="http://schemas.openxmlformats.org/officeDocument/2006/relationships/hyperlink" Target="https://osf.io/uqsf6/" TargetMode="External"/><Relationship Id="rId2170" Type="http://schemas.openxmlformats.org/officeDocument/2006/relationships/hyperlink" Target="https://aspredicted.org/ZW2_C76" TargetMode="External"/><Relationship Id="rId2171" Type="http://schemas.openxmlformats.org/officeDocument/2006/relationships/hyperlink" Target="http://osf.io/qwkum" TargetMode="External"/><Relationship Id="rId2172" Type="http://schemas.openxmlformats.org/officeDocument/2006/relationships/hyperlink" Target="https://osf.io/janu3" TargetMode="External"/><Relationship Id="rId374" Type="http://schemas.openxmlformats.org/officeDocument/2006/relationships/hyperlink" Target="https://doi.org/10.1037/xap0000321" TargetMode="External"/><Relationship Id="rId2173" Type="http://schemas.openxmlformats.org/officeDocument/2006/relationships/hyperlink" Target="https://osf.io/sptyb" TargetMode="External"/><Relationship Id="rId373" Type="http://schemas.openxmlformats.org/officeDocument/2006/relationships/hyperlink" Target="https://doi.org/10.1037/xap0000321" TargetMode="External"/><Relationship Id="rId2174" Type="http://schemas.openxmlformats.org/officeDocument/2006/relationships/hyperlink" Target="https://osf.io/janu3" TargetMode="External"/><Relationship Id="rId372" Type="http://schemas.openxmlformats.org/officeDocument/2006/relationships/hyperlink" Target="https://doi.org/10.1037/xap0000321" TargetMode="External"/><Relationship Id="rId2175" Type="http://schemas.openxmlformats.org/officeDocument/2006/relationships/hyperlink" Target="https://osf.io/sptyb" TargetMode="External"/><Relationship Id="rId371" Type="http://schemas.openxmlformats.org/officeDocument/2006/relationships/hyperlink" Target="https://doi.org/10.1037/xap0000321" TargetMode="External"/><Relationship Id="rId2176" Type="http://schemas.openxmlformats.org/officeDocument/2006/relationships/hyperlink" Target="https://osf.io/7mgwh" TargetMode="External"/><Relationship Id="rId378" Type="http://schemas.openxmlformats.org/officeDocument/2006/relationships/hyperlink" Target="https://osf.io/uqsf6/" TargetMode="External"/><Relationship Id="rId2177" Type="http://schemas.openxmlformats.org/officeDocument/2006/relationships/hyperlink" Target="https://doi.org/10.17605/OSF.IO/693JY" TargetMode="External"/><Relationship Id="rId377" Type="http://schemas.openxmlformats.org/officeDocument/2006/relationships/hyperlink" Target="https://osf.io/uqsf6/" TargetMode="External"/><Relationship Id="rId2178" Type="http://schemas.openxmlformats.org/officeDocument/2006/relationships/hyperlink" Target="https://osf.io/7mgwh" TargetMode="External"/><Relationship Id="rId376" Type="http://schemas.openxmlformats.org/officeDocument/2006/relationships/hyperlink" Target="https://osf.io/uqsf6/" TargetMode="External"/><Relationship Id="rId2179" Type="http://schemas.openxmlformats.org/officeDocument/2006/relationships/hyperlink" Target="https://osf.io/693jy" TargetMode="External"/><Relationship Id="rId375" Type="http://schemas.openxmlformats.org/officeDocument/2006/relationships/hyperlink" Target="https://doi.org/10.1037/xap0000321" TargetMode="External"/><Relationship Id="rId2190" Type="http://schemas.openxmlformats.org/officeDocument/2006/relationships/hyperlink" Target="https://doi.org/10.17605/OSF.IO/NMRJG" TargetMode="External"/><Relationship Id="rId2191" Type="http://schemas.openxmlformats.org/officeDocument/2006/relationships/hyperlink" Target="https://osf.io/x75fq" TargetMode="External"/><Relationship Id="rId2192" Type="http://schemas.openxmlformats.org/officeDocument/2006/relationships/hyperlink" Target="https://osf.io/nmrjg" TargetMode="External"/><Relationship Id="rId2193" Type="http://schemas.openxmlformats.org/officeDocument/2006/relationships/hyperlink" Target="https://osf.io/r57hu" TargetMode="External"/><Relationship Id="rId2194" Type="http://schemas.openxmlformats.org/officeDocument/2006/relationships/hyperlink" Target="https://doi.org/10.17605/OSF.IO/PK952" TargetMode="External"/><Relationship Id="rId396" Type="http://schemas.openxmlformats.org/officeDocument/2006/relationships/hyperlink" Target="https://osf.io/uqsf6/" TargetMode="External"/><Relationship Id="rId2195" Type="http://schemas.openxmlformats.org/officeDocument/2006/relationships/hyperlink" Target="https://osf.io/r57hu" TargetMode="External"/><Relationship Id="rId395" Type="http://schemas.openxmlformats.org/officeDocument/2006/relationships/hyperlink" Target="https://doi.org/10.1037/emo0001389" TargetMode="External"/><Relationship Id="rId2196" Type="http://schemas.openxmlformats.org/officeDocument/2006/relationships/hyperlink" Target="https://osf.io/pk952" TargetMode="External"/><Relationship Id="rId394" Type="http://schemas.openxmlformats.org/officeDocument/2006/relationships/hyperlink" Target="https://osf.io/uqsf6/" TargetMode="External"/><Relationship Id="rId2197" Type="http://schemas.openxmlformats.org/officeDocument/2006/relationships/hyperlink" Target="https://osf.io/r57hu" TargetMode="External"/><Relationship Id="rId393" Type="http://schemas.openxmlformats.org/officeDocument/2006/relationships/hyperlink" Target="https://osf.io/uqsf6/" TargetMode="External"/><Relationship Id="rId2198" Type="http://schemas.openxmlformats.org/officeDocument/2006/relationships/hyperlink" Target="https://doi.org/10.17605/OSF.IO/WMBP2" TargetMode="External"/><Relationship Id="rId2199" Type="http://schemas.openxmlformats.org/officeDocument/2006/relationships/hyperlink" Target="https://osf.io/r57hu" TargetMode="External"/><Relationship Id="rId399" Type="http://schemas.openxmlformats.org/officeDocument/2006/relationships/hyperlink" Target="https://osf.io/uqsf6/" TargetMode="External"/><Relationship Id="rId398" Type="http://schemas.openxmlformats.org/officeDocument/2006/relationships/hyperlink" Target="https://doi.org/10.1037/emo0001389" TargetMode="External"/><Relationship Id="rId397" Type="http://schemas.openxmlformats.org/officeDocument/2006/relationships/hyperlink" Target="https://osf.io/uqsf6/" TargetMode="External"/><Relationship Id="rId1730" Type="http://schemas.openxmlformats.org/officeDocument/2006/relationships/hyperlink" Target="https://aspredicted.org/n5tu8.pdf" TargetMode="External"/><Relationship Id="rId1731" Type="http://schemas.openxmlformats.org/officeDocument/2006/relationships/hyperlink" Target="https://datacolada.org/90" TargetMode="External"/><Relationship Id="rId1732" Type="http://schemas.openxmlformats.org/officeDocument/2006/relationships/hyperlink" Target="https://aspredicted.org/n5tu8.pdf" TargetMode="External"/><Relationship Id="rId1733" Type="http://schemas.openxmlformats.org/officeDocument/2006/relationships/hyperlink" Target="https://doi.org/10.31234/osf.io/chax8" TargetMode="External"/><Relationship Id="rId1734" Type="http://schemas.openxmlformats.org/officeDocument/2006/relationships/hyperlink" Target="https://osf.io/dqv9y" TargetMode="External"/><Relationship Id="rId1735" Type="http://schemas.openxmlformats.org/officeDocument/2006/relationships/hyperlink" Target="https://doi.org/10.17605/OSF.IO/YCQN9" TargetMode="External"/><Relationship Id="rId1736" Type="http://schemas.openxmlformats.org/officeDocument/2006/relationships/hyperlink" Target="https://doi.org/10.17605/OSF.IO/YCQN9" TargetMode="External"/><Relationship Id="rId1737" Type="http://schemas.openxmlformats.org/officeDocument/2006/relationships/hyperlink" Target="https://osf.io/dqv9y" TargetMode="External"/><Relationship Id="rId1738" Type="http://schemas.openxmlformats.org/officeDocument/2006/relationships/hyperlink" Target="https://doi.org/10.17605/OSF.IO/YCQN9" TargetMode="External"/><Relationship Id="rId1739" Type="http://schemas.openxmlformats.org/officeDocument/2006/relationships/hyperlink" Target="https://doi.org/10.17605/OSF.IO/YCQN9" TargetMode="External"/><Relationship Id="rId1720" Type="http://schemas.openxmlformats.org/officeDocument/2006/relationships/hyperlink" Target="http://aspredicted.org/mz4h8.pdf" TargetMode="External"/><Relationship Id="rId1721" Type="http://schemas.openxmlformats.org/officeDocument/2006/relationships/hyperlink" Target="https://datacolada.org/90" TargetMode="External"/><Relationship Id="rId1722" Type="http://schemas.openxmlformats.org/officeDocument/2006/relationships/hyperlink" Target="https://aspredicted.org/gi726.pdf" TargetMode="External"/><Relationship Id="rId1723" Type="http://schemas.openxmlformats.org/officeDocument/2006/relationships/hyperlink" Target="https://datacolada.org/90" TargetMode="External"/><Relationship Id="rId1724" Type="http://schemas.openxmlformats.org/officeDocument/2006/relationships/hyperlink" Target="https://aspredicted.org/gi726.pdf" TargetMode="External"/><Relationship Id="rId1725" Type="http://schemas.openxmlformats.org/officeDocument/2006/relationships/hyperlink" Target="https://datacolada.org/90" TargetMode="External"/><Relationship Id="rId1726" Type="http://schemas.openxmlformats.org/officeDocument/2006/relationships/hyperlink" Target="https://aspredicted.org/pw4tv.pdf" TargetMode="External"/><Relationship Id="rId1727" Type="http://schemas.openxmlformats.org/officeDocument/2006/relationships/hyperlink" Target="https://datacolada.org/90" TargetMode="External"/><Relationship Id="rId1728" Type="http://schemas.openxmlformats.org/officeDocument/2006/relationships/hyperlink" Target="https://aspredicted.org/pw4tv.pdf" TargetMode="External"/><Relationship Id="rId1729" Type="http://schemas.openxmlformats.org/officeDocument/2006/relationships/hyperlink" Target="https://datacolada.org/90" TargetMode="External"/><Relationship Id="rId1752" Type="http://schemas.openxmlformats.org/officeDocument/2006/relationships/hyperlink" Target="https://doi.org/10.17605/OSF.IO/E9D3K" TargetMode="External"/><Relationship Id="rId1753" Type="http://schemas.openxmlformats.org/officeDocument/2006/relationships/hyperlink" Target="https://doi.org/10.17605/OSF.IO/E9D3K" TargetMode="External"/><Relationship Id="rId1754" Type="http://schemas.openxmlformats.org/officeDocument/2006/relationships/hyperlink" Target="https://doi.org/10.17605/OSF.IO/E9D3K" TargetMode="External"/><Relationship Id="rId1755" Type="http://schemas.openxmlformats.org/officeDocument/2006/relationships/hyperlink" Target="https://doi.org/10.17605/OSF.IO/E9D3K" TargetMode="External"/><Relationship Id="rId1756" Type="http://schemas.openxmlformats.org/officeDocument/2006/relationships/hyperlink" Target="https://doi.org/10.17605/OSF.IO/E9D3K" TargetMode="External"/><Relationship Id="rId1757" Type="http://schemas.openxmlformats.org/officeDocument/2006/relationships/hyperlink" Target="https://doi.org/10.17605/OSF.IO/E9D3K" TargetMode="External"/><Relationship Id="rId1758" Type="http://schemas.openxmlformats.org/officeDocument/2006/relationships/hyperlink" Target="https://doi.org/10.17605/OSF.IO/E9D3K" TargetMode="External"/><Relationship Id="rId1759" Type="http://schemas.openxmlformats.org/officeDocument/2006/relationships/hyperlink" Target="https://doi.org/10.17605/OSF.IO/E9D3K" TargetMode="External"/><Relationship Id="rId1750" Type="http://schemas.openxmlformats.org/officeDocument/2006/relationships/hyperlink" Target="https://doi.org/10.17605/OSF.IO/E9D3K" TargetMode="External"/><Relationship Id="rId1751" Type="http://schemas.openxmlformats.org/officeDocument/2006/relationships/hyperlink" Target="https://doi.org/10.17605/OSF.IO/E9D3K" TargetMode="External"/><Relationship Id="rId1741" Type="http://schemas.openxmlformats.org/officeDocument/2006/relationships/hyperlink" Target="https://doi.org/10.17605/OSF.IO/YCQN9" TargetMode="External"/><Relationship Id="rId1742" Type="http://schemas.openxmlformats.org/officeDocument/2006/relationships/hyperlink" Target="https://doi.org/10.17605/OSF.IO/YCQN9" TargetMode="External"/><Relationship Id="rId1743" Type="http://schemas.openxmlformats.org/officeDocument/2006/relationships/hyperlink" Target="https://doi.org/10.17605/OSF.IO/E9D3K" TargetMode="External"/><Relationship Id="rId1744" Type="http://schemas.openxmlformats.org/officeDocument/2006/relationships/hyperlink" Target="https://doi.org/10.17605/OSF.IO/E9D3K" TargetMode="External"/><Relationship Id="rId1745" Type="http://schemas.openxmlformats.org/officeDocument/2006/relationships/hyperlink" Target="https://doi.org/10.17605/OSF.IO/E9D3K" TargetMode="External"/><Relationship Id="rId1746" Type="http://schemas.openxmlformats.org/officeDocument/2006/relationships/hyperlink" Target="https://doi.org/10.17605/OSF.IO/E9D3K" TargetMode="External"/><Relationship Id="rId1747" Type="http://schemas.openxmlformats.org/officeDocument/2006/relationships/hyperlink" Target="https://doi.org/10.17605/OSF.IO/E9D3K" TargetMode="External"/><Relationship Id="rId1748" Type="http://schemas.openxmlformats.org/officeDocument/2006/relationships/hyperlink" Target="https://doi.org/10.17605/OSF.IO/E9D3K" TargetMode="External"/><Relationship Id="rId1749" Type="http://schemas.openxmlformats.org/officeDocument/2006/relationships/hyperlink" Target="https://doi.org/10.17605/OSF.IO/E9D3K" TargetMode="External"/><Relationship Id="rId1740" Type="http://schemas.openxmlformats.org/officeDocument/2006/relationships/hyperlink" Target="https://osf.io/dqv9y" TargetMode="External"/><Relationship Id="rId1710" Type="http://schemas.openxmlformats.org/officeDocument/2006/relationships/hyperlink" Target="https://aspredicted.org/zi4ue.pdf" TargetMode="External"/><Relationship Id="rId1711" Type="http://schemas.openxmlformats.org/officeDocument/2006/relationships/hyperlink" Target="https://datacolada.org/84" TargetMode="External"/><Relationship Id="rId1712" Type="http://schemas.openxmlformats.org/officeDocument/2006/relationships/hyperlink" Target="https://aspredicted.org/mi7km.pdf" TargetMode="External"/><Relationship Id="rId1713" Type="http://schemas.openxmlformats.org/officeDocument/2006/relationships/hyperlink" Target="https://datacolada.org/84" TargetMode="External"/><Relationship Id="rId1714" Type="http://schemas.openxmlformats.org/officeDocument/2006/relationships/hyperlink" Target="https://aspredicted.org/mi7km.pdf" TargetMode="External"/><Relationship Id="rId1715" Type="http://schemas.openxmlformats.org/officeDocument/2006/relationships/hyperlink" Target="https://datacolada.org/84" TargetMode="External"/><Relationship Id="rId1716" Type="http://schemas.openxmlformats.org/officeDocument/2006/relationships/hyperlink" Target="https://aspredicted.org/mi7km.pdf" TargetMode="External"/><Relationship Id="rId1717" Type="http://schemas.openxmlformats.org/officeDocument/2006/relationships/hyperlink" Target="https://datacolada.org/85" TargetMode="External"/><Relationship Id="rId1718" Type="http://schemas.openxmlformats.org/officeDocument/2006/relationships/hyperlink" Target="https://aspredicted.org/mz4h8.pdf" TargetMode="External"/><Relationship Id="rId1719" Type="http://schemas.openxmlformats.org/officeDocument/2006/relationships/hyperlink" Target="https://datacolada.org/85" TargetMode="External"/><Relationship Id="rId1700" Type="http://schemas.openxmlformats.org/officeDocument/2006/relationships/hyperlink" Target="https://datacolada.org/97" TargetMode="External"/><Relationship Id="rId1701" Type="http://schemas.openxmlformats.org/officeDocument/2006/relationships/hyperlink" Target="https://datacolada.org/97" TargetMode="External"/><Relationship Id="rId1702" Type="http://schemas.openxmlformats.org/officeDocument/2006/relationships/hyperlink" Target="https://datacolada.org/97" TargetMode="External"/><Relationship Id="rId1703" Type="http://schemas.openxmlformats.org/officeDocument/2006/relationships/hyperlink" Target="https://datacolada.org/97" TargetMode="External"/><Relationship Id="rId1704" Type="http://schemas.openxmlformats.org/officeDocument/2006/relationships/hyperlink" Target="https://datacolada.org/97" TargetMode="External"/><Relationship Id="rId1705" Type="http://schemas.openxmlformats.org/officeDocument/2006/relationships/hyperlink" Target="https://datacolada.org/97" TargetMode="External"/><Relationship Id="rId1706" Type="http://schemas.openxmlformats.org/officeDocument/2006/relationships/hyperlink" Target="https://datacolada.org/83" TargetMode="External"/><Relationship Id="rId1707" Type="http://schemas.openxmlformats.org/officeDocument/2006/relationships/hyperlink" Target="https://datacolada.org/83" TargetMode="External"/><Relationship Id="rId1708" Type="http://schemas.openxmlformats.org/officeDocument/2006/relationships/hyperlink" Target="https://aspredicted.org/ni9xq.pdf" TargetMode="External"/><Relationship Id="rId1709" Type="http://schemas.openxmlformats.org/officeDocument/2006/relationships/hyperlink" Target="https://datacolada.org/83" TargetMode="External"/><Relationship Id="rId40" Type="http://schemas.openxmlformats.org/officeDocument/2006/relationships/hyperlink" Target="https://osf.io/5beqa" TargetMode="External"/><Relationship Id="rId3513" Type="http://schemas.openxmlformats.org/officeDocument/2006/relationships/hyperlink" Target="https://osf.io/xf76v" TargetMode="External"/><Relationship Id="rId3512" Type="http://schemas.openxmlformats.org/officeDocument/2006/relationships/hyperlink" Target="https://osf.io/u59ab" TargetMode="External"/><Relationship Id="rId42" Type="http://schemas.openxmlformats.org/officeDocument/2006/relationships/hyperlink" Target="https://doi.org/10.1016/j.jsp.2024.101307" TargetMode="External"/><Relationship Id="rId3515" Type="http://schemas.openxmlformats.org/officeDocument/2006/relationships/hyperlink" Target="https://drive.google.com/file/d/1-9Fcmt4OS-LDChgj2l27HGaNzy4UZ_SN/view?usp=drive_link" TargetMode="External"/><Relationship Id="rId41" Type="http://schemas.openxmlformats.org/officeDocument/2006/relationships/hyperlink" Target="https://osf.io/5beqa" TargetMode="External"/><Relationship Id="rId3514" Type="http://schemas.openxmlformats.org/officeDocument/2006/relationships/hyperlink" Target="https://osf.io/gcf3v/?view_only=" TargetMode="External"/><Relationship Id="rId44" Type="http://schemas.openxmlformats.org/officeDocument/2006/relationships/hyperlink" Target="https://doi.org/10.1016/j.jsp.2024.101307" TargetMode="External"/><Relationship Id="rId3517" Type="http://schemas.openxmlformats.org/officeDocument/2006/relationships/hyperlink" Target="https://osf.io/gcf3v/?view_only=" TargetMode="External"/><Relationship Id="rId43" Type="http://schemas.openxmlformats.org/officeDocument/2006/relationships/hyperlink" Target="https://doi.org/10.1016/j.jsp.2024.101307" TargetMode="External"/><Relationship Id="rId3516" Type="http://schemas.openxmlformats.org/officeDocument/2006/relationships/hyperlink" Target="https://docs.google.com/document/d/1WKb2HAoSmgUndzcI1DDYuGyUpLFwcmuSn5OAIlI32KI/edit?tab=t.0" TargetMode="External"/><Relationship Id="rId46" Type="http://schemas.openxmlformats.org/officeDocument/2006/relationships/hyperlink" Target="https://doi.org/10.1016/j.jsp.2024.101307" TargetMode="External"/><Relationship Id="rId3519" Type="http://schemas.openxmlformats.org/officeDocument/2006/relationships/hyperlink" Target="https://docs.google.com/document/d/1WKb2HAoSmgUndzcI1DDYuGyUpLFwcmuSn5OAIlI32KI/edit?tab=t.0" TargetMode="External"/><Relationship Id="rId45" Type="http://schemas.openxmlformats.org/officeDocument/2006/relationships/hyperlink" Target="https://doi.org/10.1016/j.jsp.2024.101307" TargetMode="External"/><Relationship Id="rId3518" Type="http://schemas.openxmlformats.org/officeDocument/2006/relationships/hyperlink" Target="https://drive.google.com/file/d/1-9Fcmt4OS-LDChgj2l27HGaNzy4UZ_SN/view?usp=drive_link" TargetMode="External"/><Relationship Id="rId48" Type="http://schemas.openxmlformats.org/officeDocument/2006/relationships/hyperlink" Target="https://osf.io/yhk47" TargetMode="External"/><Relationship Id="rId47" Type="http://schemas.openxmlformats.org/officeDocument/2006/relationships/hyperlink" Target="https://doi.org/10.1016/j.jsp.2024.101307" TargetMode="External"/><Relationship Id="rId49" Type="http://schemas.openxmlformats.org/officeDocument/2006/relationships/hyperlink" Target="https://doi.org/10.1037/met0000650" TargetMode="External"/><Relationship Id="rId3511" Type="http://schemas.openxmlformats.org/officeDocument/2006/relationships/hyperlink" Target="https://doi.org/10.17605/OSF.IO/QSWE3" TargetMode="External"/><Relationship Id="rId3510" Type="http://schemas.openxmlformats.org/officeDocument/2006/relationships/hyperlink" Target="https://osf.io/xf76v" TargetMode="External"/><Relationship Id="rId3502" Type="http://schemas.openxmlformats.org/officeDocument/2006/relationships/hyperlink" Target="https://doi.org/10.17605/OSF.IO/QSWE3" TargetMode="External"/><Relationship Id="rId3501" Type="http://schemas.openxmlformats.org/officeDocument/2006/relationships/hyperlink" Target="https://osf.io/8wd2b/" TargetMode="External"/><Relationship Id="rId31" Type="http://schemas.openxmlformats.org/officeDocument/2006/relationships/hyperlink" Target="https://doi.org/10.1016/j.jsams.2024.07.018" TargetMode="External"/><Relationship Id="rId3504" Type="http://schemas.openxmlformats.org/officeDocument/2006/relationships/hyperlink" Target="https://osf.io/xf76v" TargetMode="External"/><Relationship Id="rId30" Type="http://schemas.openxmlformats.org/officeDocument/2006/relationships/hyperlink" Target="https://osf.io/kqdpm" TargetMode="External"/><Relationship Id="rId3503" Type="http://schemas.openxmlformats.org/officeDocument/2006/relationships/hyperlink" Target="https://osf.io/u59ab" TargetMode="External"/><Relationship Id="rId33" Type="http://schemas.openxmlformats.org/officeDocument/2006/relationships/hyperlink" Target="https://osf.io/5beqa" TargetMode="External"/><Relationship Id="rId3506" Type="http://schemas.openxmlformats.org/officeDocument/2006/relationships/hyperlink" Target="https://osf.io/u59ab" TargetMode="External"/><Relationship Id="rId32" Type="http://schemas.openxmlformats.org/officeDocument/2006/relationships/hyperlink" Target="https://doi.org/10.1016/j.jsams.2024.07.018" TargetMode="External"/><Relationship Id="rId3505" Type="http://schemas.openxmlformats.org/officeDocument/2006/relationships/hyperlink" Target="https://doi.org/10.17605/OSF.IO/QSWE3" TargetMode="External"/><Relationship Id="rId35" Type="http://schemas.openxmlformats.org/officeDocument/2006/relationships/hyperlink" Target="https://osf.io/kqdpm" TargetMode="External"/><Relationship Id="rId3508" Type="http://schemas.openxmlformats.org/officeDocument/2006/relationships/hyperlink" Target="https://doi.org/10.17605/OSF.IO/QSWE3" TargetMode="External"/><Relationship Id="rId34" Type="http://schemas.openxmlformats.org/officeDocument/2006/relationships/hyperlink" Target="https://osf.io/5beqa" TargetMode="External"/><Relationship Id="rId3507" Type="http://schemas.openxmlformats.org/officeDocument/2006/relationships/hyperlink" Target="https://osf.io/xf76v" TargetMode="External"/><Relationship Id="rId3509" Type="http://schemas.openxmlformats.org/officeDocument/2006/relationships/hyperlink" Target="https://osf.io/u59ab" TargetMode="External"/><Relationship Id="rId37" Type="http://schemas.openxmlformats.org/officeDocument/2006/relationships/hyperlink" Target="https://osf.io/5beqa" TargetMode="External"/><Relationship Id="rId36" Type="http://schemas.openxmlformats.org/officeDocument/2006/relationships/hyperlink" Target="https://osf.io/5beqa" TargetMode="External"/><Relationship Id="rId39" Type="http://schemas.openxmlformats.org/officeDocument/2006/relationships/hyperlink" Target="https://doi.org/10.1016/j.jsams.2017.06.007" TargetMode="External"/><Relationship Id="rId38" Type="http://schemas.openxmlformats.org/officeDocument/2006/relationships/hyperlink" Target="https://osf.io/kqdpm" TargetMode="External"/><Relationship Id="rId3500" Type="http://schemas.openxmlformats.org/officeDocument/2006/relationships/hyperlink" Target="https://osf.io/pqt82" TargetMode="External"/><Relationship Id="rId2203" Type="http://schemas.openxmlformats.org/officeDocument/2006/relationships/hyperlink" Target="https://doi.org/10.17605/OSF.IO/WZXQ9" TargetMode="External"/><Relationship Id="rId3535" Type="http://schemas.openxmlformats.org/officeDocument/2006/relationships/hyperlink" Target="https://osf.io/gcf3v/?view_only=" TargetMode="External"/><Relationship Id="rId2204" Type="http://schemas.openxmlformats.org/officeDocument/2006/relationships/hyperlink" Target="https://osf.io/wzxq9" TargetMode="External"/><Relationship Id="rId3534" Type="http://schemas.openxmlformats.org/officeDocument/2006/relationships/hyperlink" Target="https://docs.google.com/document/d/1WKb2HAoSmgUndzcI1DDYuGyUpLFwcmuSn5OAIlI32KI/edit?tab=t.0" TargetMode="External"/><Relationship Id="rId20" Type="http://schemas.openxmlformats.org/officeDocument/2006/relationships/hyperlink" Target="https://osf.io/w4gj2" TargetMode="External"/><Relationship Id="rId2205" Type="http://schemas.openxmlformats.org/officeDocument/2006/relationships/hyperlink" Target="https://osf.io/wbs96" TargetMode="External"/><Relationship Id="rId3537" Type="http://schemas.openxmlformats.org/officeDocument/2006/relationships/hyperlink" Target="https://docs.google.com/document/d/1WKb2HAoSmgUndzcI1DDYuGyUpLFwcmuSn5OAIlI32KI/edit?tab=t.0" TargetMode="External"/><Relationship Id="rId2206" Type="http://schemas.openxmlformats.org/officeDocument/2006/relationships/hyperlink" Target="https://osf.io/wbs96" TargetMode="External"/><Relationship Id="rId3536" Type="http://schemas.openxmlformats.org/officeDocument/2006/relationships/hyperlink" Target="https://drive.google.com/file/d/1-9Fcmt4OS-LDChgj2l27HGaNzy4UZ_SN/view?usp=drive_link" TargetMode="External"/><Relationship Id="rId22" Type="http://schemas.openxmlformats.org/officeDocument/2006/relationships/hyperlink" Target="https://osf.io/w4gj2" TargetMode="External"/><Relationship Id="rId2207" Type="http://schemas.openxmlformats.org/officeDocument/2006/relationships/hyperlink" Target="https://osf.io/e89gh" TargetMode="External"/><Relationship Id="rId3539" Type="http://schemas.openxmlformats.org/officeDocument/2006/relationships/hyperlink" Target="https://drive.google.com/file/d/1-9Fcmt4OS-LDChgj2l27HGaNzy4UZ_SN/view?usp=drive_link" TargetMode="External"/><Relationship Id="rId21" Type="http://schemas.openxmlformats.org/officeDocument/2006/relationships/hyperlink" Target="https://osf.io/w4gj2" TargetMode="External"/><Relationship Id="rId2208" Type="http://schemas.openxmlformats.org/officeDocument/2006/relationships/hyperlink" Target="https://osf.io/e89gh" TargetMode="External"/><Relationship Id="rId3538" Type="http://schemas.openxmlformats.org/officeDocument/2006/relationships/hyperlink" Target="https://osf.io/gcf3v/?view_only=" TargetMode="External"/><Relationship Id="rId24" Type="http://schemas.openxmlformats.org/officeDocument/2006/relationships/hyperlink" Target="https://osf.io/w4gj2" TargetMode="External"/><Relationship Id="rId2209" Type="http://schemas.openxmlformats.org/officeDocument/2006/relationships/hyperlink" Target="https://doi.org/10.17605/OSF.IO/VK6D9" TargetMode="External"/><Relationship Id="rId23" Type="http://schemas.openxmlformats.org/officeDocument/2006/relationships/hyperlink" Target="https://osf.io/w4gj2" TargetMode="External"/><Relationship Id="rId26" Type="http://schemas.openxmlformats.org/officeDocument/2006/relationships/hyperlink" Target="https://doi.org/10.26443/msurj.v19i1.231" TargetMode="External"/><Relationship Id="rId25" Type="http://schemas.openxmlformats.org/officeDocument/2006/relationships/hyperlink" Target="https://doi.org/10.26443/msurj.v19i1.231" TargetMode="External"/><Relationship Id="rId28" Type="http://schemas.openxmlformats.org/officeDocument/2006/relationships/hyperlink" Target="https://doi.org/10.26443/msurj.v19i1.231" TargetMode="External"/><Relationship Id="rId27" Type="http://schemas.openxmlformats.org/officeDocument/2006/relationships/hyperlink" Target="https://doi.org/10.26443/msurj.v19i1.231" TargetMode="External"/><Relationship Id="rId3531" Type="http://schemas.openxmlformats.org/officeDocument/2006/relationships/hyperlink" Target="https://docs.google.com/document/d/1WKb2HAoSmgUndzcI1DDYuGyUpLFwcmuSn5OAIlI32KI/edit?tab=t.0" TargetMode="External"/><Relationship Id="rId29" Type="http://schemas.openxmlformats.org/officeDocument/2006/relationships/hyperlink" Target="https://doi.org/10.26443/msurj.v19i1.231" TargetMode="External"/><Relationship Id="rId2200" Type="http://schemas.openxmlformats.org/officeDocument/2006/relationships/hyperlink" Target="https://osf.io/wmbp2" TargetMode="External"/><Relationship Id="rId3530" Type="http://schemas.openxmlformats.org/officeDocument/2006/relationships/hyperlink" Target="https://drive.google.com/file/d/1-9Fcmt4OS-LDChgj2l27HGaNzy4UZ_SN/view?usp=drive_link" TargetMode="External"/><Relationship Id="rId2201" Type="http://schemas.openxmlformats.org/officeDocument/2006/relationships/hyperlink" Target="https://doi.org/10.17605/OSF.IO/HPK2M" TargetMode="External"/><Relationship Id="rId3533" Type="http://schemas.openxmlformats.org/officeDocument/2006/relationships/hyperlink" Target="https://drive.google.com/file/d/1-9Fcmt4OS-LDChgj2l27HGaNzy4UZ_SN/view?usp=drive_link" TargetMode="External"/><Relationship Id="rId2202" Type="http://schemas.openxmlformats.org/officeDocument/2006/relationships/hyperlink" Target="https://osf.io/hpk2m" TargetMode="External"/><Relationship Id="rId3532" Type="http://schemas.openxmlformats.org/officeDocument/2006/relationships/hyperlink" Target="https://osf.io/gcf3v/?view_only=" TargetMode="External"/><Relationship Id="rId3524" Type="http://schemas.openxmlformats.org/officeDocument/2006/relationships/hyperlink" Target="https://drive.google.com/file/d/1-9Fcmt4OS-LDChgj2l27HGaNzy4UZ_SN/view?usp=drive_link" TargetMode="External"/><Relationship Id="rId3523" Type="http://schemas.openxmlformats.org/officeDocument/2006/relationships/hyperlink" Target="https://osf.io/gcf3v/?view_only=" TargetMode="External"/><Relationship Id="rId3526" Type="http://schemas.openxmlformats.org/officeDocument/2006/relationships/hyperlink" Target="https://osf.io/gcf3v/?view_only=" TargetMode="External"/><Relationship Id="rId3525" Type="http://schemas.openxmlformats.org/officeDocument/2006/relationships/hyperlink" Target="https://docs.google.com/document/d/1WKb2HAoSmgUndzcI1DDYuGyUpLFwcmuSn5OAIlI32KI/edit?tab=t.0" TargetMode="External"/><Relationship Id="rId11" Type="http://schemas.openxmlformats.org/officeDocument/2006/relationships/hyperlink" Target="https://doi.org/10.17605/OSF.IO/7VGKQ" TargetMode="External"/><Relationship Id="rId3528" Type="http://schemas.openxmlformats.org/officeDocument/2006/relationships/hyperlink" Target="https://docs.google.com/document/d/1WKb2HAoSmgUndzcI1DDYuGyUpLFwcmuSn5OAIlI32KI/edit?tab=t.0" TargetMode="External"/><Relationship Id="rId10" Type="http://schemas.openxmlformats.org/officeDocument/2006/relationships/hyperlink" Target="http://osf.io/x4v53" TargetMode="External"/><Relationship Id="rId3527" Type="http://schemas.openxmlformats.org/officeDocument/2006/relationships/hyperlink" Target="https://drive.google.com/file/d/1-9Fcmt4OS-LDChgj2l27HGaNzy4UZ_SN/view?usp=drive_link" TargetMode="External"/><Relationship Id="rId13" Type="http://schemas.openxmlformats.org/officeDocument/2006/relationships/hyperlink" Target="https://osf.io/8urxv." TargetMode="External"/><Relationship Id="rId12" Type="http://schemas.openxmlformats.org/officeDocument/2006/relationships/hyperlink" Target="https://doi.org/10.17605/OSF.IO/7VGKQ" TargetMode="External"/><Relationship Id="rId3529" Type="http://schemas.openxmlformats.org/officeDocument/2006/relationships/hyperlink" Target="https://osf.io/gcf3v/?view_only=" TargetMode="External"/><Relationship Id="rId15" Type="http://schemas.openxmlformats.org/officeDocument/2006/relationships/hyperlink" Target="https://doi.org/10.1016/j.jesp.2020.104066" TargetMode="External"/><Relationship Id="rId14" Type="http://schemas.openxmlformats.org/officeDocument/2006/relationships/hyperlink" Target="https://osf.io/8urxv." TargetMode="External"/><Relationship Id="rId17" Type="http://schemas.openxmlformats.org/officeDocument/2006/relationships/hyperlink" Target="https://doi.org/10.1163/26670127-bja10017" TargetMode="External"/><Relationship Id="rId16" Type="http://schemas.openxmlformats.org/officeDocument/2006/relationships/hyperlink" Target="https://osf.io/acykd" TargetMode="External"/><Relationship Id="rId19" Type="http://schemas.openxmlformats.org/officeDocument/2006/relationships/hyperlink" Target="https://osf.io/w4gj2" TargetMode="External"/><Relationship Id="rId3520" Type="http://schemas.openxmlformats.org/officeDocument/2006/relationships/hyperlink" Target="https://osf.io/gcf3v/?view_only=" TargetMode="External"/><Relationship Id="rId18" Type="http://schemas.openxmlformats.org/officeDocument/2006/relationships/hyperlink" Target="https://osf.io/w4gj2" TargetMode="External"/><Relationship Id="rId3522" Type="http://schemas.openxmlformats.org/officeDocument/2006/relationships/hyperlink" Target="https://docs.google.com/document/d/1WKb2HAoSmgUndzcI1DDYuGyUpLFwcmuSn5OAIlI32KI/edit?tab=t.0" TargetMode="External"/><Relationship Id="rId3521" Type="http://schemas.openxmlformats.org/officeDocument/2006/relationships/hyperlink" Target="https://drive.google.com/file/d/1-9Fcmt4OS-LDChgj2l27HGaNzy4UZ_SN/view?usp=drive_link" TargetMode="External"/><Relationship Id="rId84" Type="http://schemas.openxmlformats.org/officeDocument/2006/relationships/hyperlink" Target="https://doi.org/10.1007/s40617-024-00933-1" TargetMode="External"/><Relationship Id="rId1774" Type="http://schemas.openxmlformats.org/officeDocument/2006/relationships/hyperlink" Target="https://osf.io/8k9nt" TargetMode="External"/><Relationship Id="rId83" Type="http://schemas.openxmlformats.org/officeDocument/2006/relationships/hyperlink" Target="http://dx.doi.org/10.1007/s40617-024-00933-1" TargetMode="External"/><Relationship Id="rId1775" Type="http://schemas.openxmlformats.org/officeDocument/2006/relationships/hyperlink" Target="https://osf.io/qxwhv" TargetMode="External"/><Relationship Id="rId86" Type="http://schemas.openxmlformats.org/officeDocument/2006/relationships/hyperlink" Target="https://docs.google.com/spreadsheets/d/1Da93yd8SPd-GwqOb8HCKeN1Hobk77X3_1anZLPku0G0/edit?usp=sharing" TargetMode="External"/><Relationship Id="rId1776" Type="http://schemas.openxmlformats.org/officeDocument/2006/relationships/hyperlink" Target="https://osf.io/qxwhv" TargetMode="External"/><Relationship Id="rId85" Type="http://schemas.openxmlformats.org/officeDocument/2006/relationships/hyperlink" Target="https://doi.org/10.1007/s40617-024-00933-1" TargetMode="External"/><Relationship Id="rId1777" Type="http://schemas.openxmlformats.org/officeDocument/2006/relationships/hyperlink" Target="https://osf.io/gh52k?mode=&amp;revisionId=&amp;view_only=" TargetMode="External"/><Relationship Id="rId88" Type="http://schemas.openxmlformats.org/officeDocument/2006/relationships/hyperlink" Target="https://docs.google.com/spreadsheets/d/1Da93yd8SPd-GwqOb8HCKeN1Hobk77X3_1anZLPku0G0/edit?usp=sharing" TargetMode="External"/><Relationship Id="rId1778" Type="http://schemas.openxmlformats.org/officeDocument/2006/relationships/hyperlink" Target="https://osf.io/gh52k?mode=&amp;revisionId=&amp;view_only=" TargetMode="External"/><Relationship Id="rId87" Type="http://schemas.openxmlformats.org/officeDocument/2006/relationships/hyperlink" Target="https://docs.google.com/spreadsheets/d/1Da93yd8SPd-GwqOb8HCKeN1Hobk77X3_1anZLPku0G0/edit?usp=sharing" TargetMode="External"/><Relationship Id="rId1779" Type="http://schemas.openxmlformats.org/officeDocument/2006/relationships/hyperlink" Target="https://osf.io/gh52k?mode=&amp;revisionId=&amp;view_only=" TargetMode="External"/><Relationship Id="rId89" Type="http://schemas.openxmlformats.org/officeDocument/2006/relationships/hyperlink" Target="https://docs.google.com/spreadsheets/d/1Da93yd8SPd-GwqOb8HCKeN1Hobk77X3_1anZLPku0G0/edit?usp=sharing" TargetMode="External"/><Relationship Id="rId80" Type="http://schemas.openxmlformats.org/officeDocument/2006/relationships/hyperlink" Target="https://osf.io/x64cn/" TargetMode="External"/><Relationship Id="rId82" Type="http://schemas.openxmlformats.org/officeDocument/2006/relationships/hyperlink" Target="https://osf.io/x64cn/" TargetMode="External"/><Relationship Id="rId81" Type="http://schemas.openxmlformats.org/officeDocument/2006/relationships/hyperlink" Target="https://osf.io/x64cn/" TargetMode="External"/><Relationship Id="rId1770" Type="http://schemas.openxmlformats.org/officeDocument/2006/relationships/hyperlink" Target="https://doi.org/10.17605/OSF.IO/FMD75" TargetMode="External"/><Relationship Id="rId1771" Type="http://schemas.openxmlformats.org/officeDocument/2006/relationships/hyperlink" Target="https://osf.io/fmd75" TargetMode="External"/><Relationship Id="rId1772" Type="http://schemas.openxmlformats.org/officeDocument/2006/relationships/hyperlink" Target="https://osf.io/fmd75" TargetMode="External"/><Relationship Id="rId1773" Type="http://schemas.openxmlformats.org/officeDocument/2006/relationships/hyperlink" Target="https://osf.io/8k9nt" TargetMode="External"/><Relationship Id="rId73" Type="http://schemas.openxmlformats.org/officeDocument/2006/relationships/hyperlink" Target="http://osf.io/x64cn" TargetMode="External"/><Relationship Id="rId1763" Type="http://schemas.openxmlformats.org/officeDocument/2006/relationships/hyperlink" Target="https://doi.org/10.17605/OSF.IO/E9D3K" TargetMode="External"/><Relationship Id="rId72" Type="http://schemas.openxmlformats.org/officeDocument/2006/relationships/hyperlink" Target="https://doi.org/10.1038/s41467-024-46936-y" TargetMode="External"/><Relationship Id="rId1764" Type="http://schemas.openxmlformats.org/officeDocument/2006/relationships/hyperlink" Target="https://doi.org/10.17605/OSF.IO/E9D3K" TargetMode="External"/><Relationship Id="rId75" Type="http://schemas.openxmlformats.org/officeDocument/2006/relationships/hyperlink" Target="https://osf.io/x64cn/" TargetMode="External"/><Relationship Id="rId1765" Type="http://schemas.openxmlformats.org/officeDocument/2006/relationships/hyperlink" Target="https://doi.org/10.17605/OSF.IO/E9D3K" TargetMode="External"/><Relationship Id="rId74" Type="http://schemas.openxmlformats.org/officeDocument/2006/relationships/hyperlink" Target="http://osf.io/x64cn" TargetMode="External"/><Relationship Id="rId1766" Type="http://schemas.openxmlformats.org/officeDocument/2006/relationships/hyperlink" Target="https://doi.org/10.17605/OSF.IO/E9D3K" TargetMode="External"/><Relationship Id="rId77" Type="http://schemas.openxmlformats.org/officeDocument/2006/relationships/hyperlink" Target="https://osf.io/x64cn/" TargetMode="External"/><Relationship Id="rId1767" Type="http://schemas.openxmlformats.org/officeDocument/2006/relationships/hyperlink" Target="https://doi.org/10.17605/OSF.IO/E9D3K" TargetMode="External"/><Relationship Id="rId76" Type="http://schemas.openxmlformats.org/officeDocument/2006/relationships/hyperlink" Target="https://osf.io/x64cn/" TargetMode="External"/><Relationship Id="rId1768" Type="http://schemas.openxmlformats.org/officeDocument/2006/relationships/hyperlink" Target="https://doi.org/10.17605/OSF.IO/E9D3K" TargetMode="External"/><Relationship Id="rId79" Type="http://schemas.openxmlformats.org/officeDocument/2006/relationships/hyperlink" Target="https://osf.io/x64cn/" TargetMode="External"/><Relationship Id="rId1769" Type="http://schemas.openxmlformats.org/officeDocument/2006/relationships/hyperlink" Target="https://doi.org/10.17605/OSF.IO/FMD75" TargetMode="External"/><Relationship Id="rId78" Type="http://schemas.openxmlformats.org/officeDocument/2006/relationships/hyperlink" Target="https://osf.io/x64cn/" TargetMode="External"/><Relationship Id="rId71" Type="http://schemas.openxmlformats.org/officeDocument/2006/relationships/hyperlink" Target="https://doi.org/10.1038/s41467-024-46936-y" TargetMode="External"/><Relationship Id="rId70" Type="http://schemas.openxmlformats.org/officeDocument/2006/relationships/hyperlink" Target="http://osf.io/x64cn" TargetMode="External"/><Relationship Id="rId1760" Type="http://schemas.openxmlformats.org/officeDocument/2006/relationships/hyperlink" Target="https://doi.org/10.17605/OSF.IO/E9D3K" TargetMode="External"/><Relationship Id="rId1761" Type="http://schemas.openxmlformats.org/officeDocument/2006/relationships/hyperlink" Target="https://doi.org/10.17605/OSF.IO/E9D3K" TargetMode="External"/><Relationship Id="rId1762" Type="http://schemas.openxmlformats.org/officeDocument/2006/relationships/hyperlink" Target="https://doi.org/10.17605/OSF.IO/E9D3K" TargetMode="External"/><Relationship Id="rId62" Type="http://schemas.openxmlformats.org/officeDocument/2006/relationships/hyperlink" Target="http://osf.io/x64cn" TargetMode="External"/><Relationship Id="rId1796" Type="http://schemas.openxmlformats.org/officeDocument/2006/relationships/hyperlink" Target="https://osf.io/sejyp" TargetMode="External"/><Relationship Id="rId61" Type="http://schemas.openxmlformats.org/officeDocument/2006/relationships/hyperlink" Target="http://osf.io/x64cn" TargetMode="External"/><Relationship Id="rId1797" Type="http://schemas.openxmlformats.org/officeDocument/2006/relationships/hyperlink" Target="https://www.pnas.org/action/downloadSupplement?doi=10.1073%2Fpnas.1601280113&amp;file=pnas.1601280113.sapp.pdf" TargetMode="External"/><Relationship Id="rId64" Type="http://schemas.openxmlformats.org/officeDocument/2006/relationships/hyperlink" Target="https://doi.org/10.1038/s41467-024-46936-y" TargetMode="External"/><Relationship Id="rId1798" Type="http://schemas.openxmlformats.org/officeDocument/2006/relationships/hyperlink" Target="https://doi.org/10/f8w9bk" TargetMode="External"/><Relationship Id="rId63" Type="http://schemas.openxmlformats.org/officeDocument/2006/relationships/hyperlink" Target="https://doi.org/10.1038/s41467-024-46936-y" TargetMode="External"/><Relationship Id="rId1799" Type="http://schemas.openxmlformats.org/officeDocument/2006/relationships/hyperlink" Target="https://osf.io/sejyp" TargetMode="External"/><Relationship Id="rId66" Type="http://schemas.openxmlformats.org/officeDocument/2006/relationships/hyperlink" Target="http://osf.io/x64cn" TargetMode="External"/><Relationship Id="rId65" Type="http://schemas.openxmlformats.org/officeDocument/2006/relationships/hyperlink" Target="http://osf.io/x64cn" TargetMode="External"/><Relationship Id="rId68" Type="http://schemas.openxmlformats.org/officeDocument/2006/relationships/hyperlink" Target="https://doi.org/10.1038/s41467-024-46936-y" TargetMode="External"/><Relationship Id="rId67" Type="http://schemas.openxmlformats.org/officeDocument/2006/relationships/hyperlink" Target="https://doi.org/10.1038/s41467-024-46936-y" TargetMode="External"/><Relationship Id="rId60" Type="http://schemas.openxmlformats.org/officeDocument/2006/relationships/hyperlink" Target="https://doi.org/10.1038/s41467-024-46936-y" TargetMode="External"/><Relationship Id="rId69" Type="http://schemas.openxmlformats.org/officeDocument/2006/relationships/hyperlink" Target="http://osf.io/x64cn" TargetMode="External"/><Relationship Id="rId1790" Type="http://schemas.openxmlformats.org/officeDocument/2006/relationships/hyperlink" Target="https://doi.org/10/f76jnb" TargetMode="External"/><Relationship Id="rId1791" Type="http://schemas.openxmlformats.org/officeDocument/2006/relationships/hyperlink" Target="https://osf.io/sejyp" TargetMode="External"/><Relationship Id="rId1792" Type="http://schemas.openxmlformats.org/officeDocument/2006/relationships/hyperlink" Target="https://doi.org/10/gfs87p" TargetMode="External"/><Relationship Id="rId1793" Type="http://schemas.openxmlformats.org/officeDocument/2006/relationships/hyperlink" Target="https://osf.io/sejyp" TargetMode="External"/><Relationship Id="rId1794" Type="http://schemas.openxmlformats.org/officeDocument/2006/relationships/hyperlink" Target="https://osf.io/tg9ny" TargetMode="External"/><Relationship Id="rId1795" Type="http://schemas.openxmlformats.org/officeDocument/2006/relationships/hyperlink" Target="https://doi.org/10/gfs87p" TargetMode="External"/><Relationship Id="rId51" Type="http://schemas.openxmlformats.org/officeDocument/2006/relationships/hyperlink" Target="https://doi.org/10.1037/met0000650" TargetMode="External"/><Relationship Id="rId1785" Type="http://schemas.openxmlformats.org/officeDocument/2006/relationships/hyperlink" Target="https://osf.io/qxwhv" TargetMode="External"/><Relationship Id="rId50" Type="http://schemas.openxmlformats.org/officeDocument/2006/relationships/hyperlink" Target="https://doi.org/10.1037/met0000650" TargetMode="External"/><Relationship Id="rId1786" Type="http://schemas.openxmlformats.org/officeDocument/2006/relationships/hyperlink" Target="https://www.pnas.org/action/downloadSupplement?doi=10.1073%2Fpnas.1519401113&amp;file=pnas.201519401SI.pdf" TargetMode="External"/><Relationship Id="rId53" Type="http://schemas.openxmlformats.org/officeDocument/2006/relationships/hyperlink" Target="https://doi.org/10.1037/met0000650" TargetMode="External"/><Relationship Id="rId1787" Type="http://schemas.openxmlformats.org/officeDocument/2006/relationships/hyperlink" Target="https://doi.org/10/f76jnb" TargetMode="External"/><Relationship Id="rId52" Type="http://schemas.openxmlformats.org/officeDocument/2006/relationships/hyperlink" Target="https://doi.org/10.1037/met0000650" TargetMode="External"/><Relationship Id="rId1788" Type="http://schemas.openxmlformats.org/officeDocument/2006/relationships/hyperlink" Target="https://osf.io/sejyp" TargetMode="External"/><Relationship Id="rId55" Type="http://schemas.openxmlformats.org/officeDocument/2006/relationships/hyperlink" Target="https://doi.org/10.1037/met0000650" TargetMode="External"/><Relationship Id="rId1789" Type="http://schemas.openxmlformats.org/officeDocument/2006/relationships/hyperlink" Target="https://osf.io/5zxvt" TargetMode="External"/><Relationship Id="rId54" Type="http://schemas.openxmlformats.org/officeDocument/2006/relationships/hyperlink" Target="https://doi.org/10.1037/met0000650" TargetMode="External"/><Relationship Id="rId57" Type="http://schemas.openxmlformats.org/officeDocument/2006/relationships/hyperlink" Target="https://osf.io/x64cn/" TargetMode="External"/><Relationship Id="rId56" Type="http://schemas.openxmlformats.org/officeDocument/2006/relationships/hyperlink" Target="https://doi.org/10.1037/met0000650" TargetMode="External"/><Relationship Id="rId59" Type="http://schemas.openxmlformats.org/officeDocument/2006/relationships/hyperlink" Target="https://doi.org/10.1038/s41467-024-46936-y" TargetMode="External"/><Relationship Id="rId58" Type="http://schemas.openxmlformats.org/officeDocument/2006/relationships/hyperlink" Target="https://osf.io/x64cn/" TargetMode="External"/><Relationship Id="rId1780" Type="http://schemas.openxmlformats.org/officeDocument/2006/relationships/hyperlink" Target="https://osf.io/qxwhv" TargetMode="External"/><Relationship Id="rId1781" Type="http://schemas.openxmlformats.org/officeDocument/2006/relationships/hyperlink" Target="https://osf.io/qxwhv" TargetMode="External"/><Relationship Id="rId1782" Type="http://schemas.openxmlformats.org/officeDocument/2006/relationships/hyperlink" Target="https://osf.io/qxwhv" TargetMode="External"/><Relationship Id="rId1783" Type="http://schemas.openxmlformats.org/officeDocument/2006/relationships/hyperlink" Target="https://osf.io/qxwhv" TargetMode="External"/><Relationship Id="rId1784" Type="http://schemas.openxmlformats.org/officeDocument/2006/relationships/hyperlink" Target="https://osf.io/qxwhv" TargetMode="External"/><Relationship Id="rId2269" Type="http://schemas.openxmlformats.org/officeDocument/2006/relationships/hyperlink" Target="https://osf.io/27cmh" TargetMode="External"/><Relationship Id="rId349" Type="http://schemas.openxmlformats.org/officeDocument/2006/relationships/hyperlink" Target="https://osf.io/j8n59" TargetMode="External"/><Relationship Id="rId348" Type="http://schemas.openxmlformats.org/officeDocument/2006/relationships/hyperlink" Target="https://osf.io/j8n59" TargetMode="External"/><Relationship Id="rId347" Type="http://schemas.openxmlformats.org/officeDocument/2006/relationships/hyperlink" Target="https://escholarship.org/uc/item/8p5673qn" TargetMode="External"/><Relationship Id="rId346" Type="http://schemas.openxmlformats.org/officeDocument/2006/relationships/hyperlink" Target="https://escholarship.org/uc/item/0qf9t9pc" TargetMode="External"/><Relationship Id="rId3591" Type="http://schemas.openxmlformats.org/officeDocument/2006/relationships/hyperlink" Target="https://osf.io/57mdc/files/osfstorage" TargetMode="External"/><Relationship Id="rId2260" Type="http://schemas.openxmlformats.org/officeDocument/2006/relationships/hyperlink" Target="https://osf.io/j3cfm" TargetMode="External"/><Relationship Id="rId3590" Type="http://schemas.openxmlformats.org/officeDocument/2006/relationships/hyperlink" Target="https://osf.io/57mdc/files/osfstorage" TargetMode="External"/><Relationship Id="rId341" Type="http://schemas.openxmlformats.org/officeDocument/2006/relationships/hyperlink" Target="https://doi.org/10.1075/resla.17019.loz" TargetMode="External"/><Relationship Id="rId2261" Type="http://schemas.openxmlformats.org/officeDocument/2006/relationships/hyperlink" Target="https://osf.io/x5b6d" TargetMode="External"/><Relationship Id="rId3593" Type="http://schemas.openxmlformats.org/officeDocument/2006/relationships/hyperlink" Target="https://osf.io/57mdc/files/osfstorage" TargetMode="External"/><Relationship Id="rId340" Type="http://schemas.openxmlformats.org/officeDocument/2006/relationships/hyperlink" Target="https://helda.helsinki.fi/bitstreams/b16ebd43-f83b-42c9-9996-adf6735845c1/download" TargetMode="External"/><Relationship Id="rId2262" Type="http://schemas.openxmlformats.org/officeDocument/2006/relationships/hyperlink" Target="https://osf.io/x5b6d" TargetMode="External"/><Relationship Id="rId3592" Type="http://schemas.openxmlformats.org/officeDocument/2006/relationships/hyperlink" Target="https://osf.io/57mdc/files/osfstorage" TargetMode="External"/><Relationship Id="rId2263" Type="http://schemas.openxmlformats.org/officeDocument/2006/relationships/hyperlink" Target="https://osf.io/9r7au" TargetMode="External"/><Relationship Id="rId3595" Type="http://schemas.openxmlformats.org/officeDocument/2006/relationships/hyperlink" Target="https://osf.io/57mdc/files/osfstorage" TargetMode="External"/><Relationship Id="rId2264" Type="http://schemas.openxmlformats.org/officeDocument/2006/relationships/hyperlink" Target="https://osf.io/fj6e8" TargetMode="External"/><Relationship Id="rId3594" Type="http://schemas.openxmlformats.org/officeDocument/2006/relationships/hyperlink" Target="https://osf.io/57mdc/files/osfstorage" TargetMode="External"/><Relationship Id="rId345" Type="http://schemas.openxmlformats.org/officeDocument/2006/relationships/hyperlink" Target="https://escholarship.org/uc/item/0qf9t9pc" TargetMode="External"/><Relationship Id="rId2265" Type="http://schemas.openxmlformats.org/officeDocument/2006/relationships/hyperlink" Target="http://dx.doi.org/10.1027/1864-9335/a000186" TargetMode="External"/><Relationship Id="rId3597" Type="http://schemas.openxmlformats.org/officeDocument/2006/relationships/hyperlink" Target="https://osf.io/mz7n5" TargetMode="External"/><Relationship Id="rId344" Type="http://schemas.openxmlformats.org/officeDocument/2006/relationships/hyperlink" Target="https://osf.io/8t9qj" TargetMode="External"/><Relationship Id="rId2266" Type="http://schemas.openxmlformats.org/officeDocument/2006/relationships/hyperlink" Target="https://osf.io/a8zvk" TargetMode="External"/><Relationship Id="rId3596" Type="http://schemas.openxmlformats.org/officeDocument/2006/relationships/hyperlink" Target="https://osf.io/2cg3e/files/osfstorage" TargetMode="External"/><Relationship Id="rId343" Type="http://schemas.openxmlformats.org/officeDocument/2006/relationships/hyperlink" Target="http://dx.doi.org/10.1038/s41598-024-61469-6" TargetMode="External"/><Relationship Id="rId2267" Type="http://schemas.openxmlformats.org/officeDocument/2006/relationships/hyperlink" Target="http://dx.doi.org/10.1027/1864-9335/a000186" TargetMode="External"/><Relationship Id="rId3599" Type="http://schemas.openxmlformats.org/officeDocument/2006/relationships/hyperlink" Target="https://osf.io/2cg3e/files/osfstorage" TargetMode="External"/><Relationship Id="rId342" Type="http://schemas.openxmlformats.org/officeDocument/2006/relationships/hyperlink" Target="https://helda.helsinki.fi/bitstreams/b16ebd43-f83b-42c9-9996-adf6735845c1/download" TargetMode="External"/><Relationship Id="rId2268" Type="http://schemas.openxmlformats.org/officeDocument/2006/relationships/hyperlink" Target="https://osf.io/7xupr" TargetMode="External"/><Relationship Id="rId3598" Type="http://schemas.openxmlformats.org/officeDocument/2006/relationships/hyperlink" Target="https://osf.io/2cg3e/files/osfstorage" TargetMode="External"/><Relationship Id="rId2258" Type="http://schemas.openxmlformats.org/officeDocument/2006/relationships/hyperlink" Target="https://osf.io/qmpky" TargetMode="External"/><Relationship Id="rId2259" Type="http://schemas.openxmlformats.org/officeDocument/2006/relationships/hyperlink" Target="https://osf.io/j3cfm" TargetMode="External"/><Relationship Id="rId3589" Type="http://schemas.openxmlformats.org/officeDocument/2006/relationships/hyperlink" Target="https://osf.io/57mdc/files/osfstorage" TargetMode="External"/><Relationship Id="rId338" Type="http://schemas.openxmlformats.org/officeDocument/2006/relationships/hyperlink" Target="https://helda.helsinki.fi/bitstreams/b16ebd43-f83b-42c9-9996-adf6735845c1/download" TargetMode="External"/><Relationship Id="rId337" Type="http://schemas.openxmlformats.org/officeDocument/2006/relationships/hyperlink" Target="https://helda.helsinki.fi/bitstreams/b16ebd43-f83b-42c9-9996-adf6735845c1/download" TargetMode="External"/><Relationship Id="rId336" Type="http://schemas.openxmlformats.org/officeDocument/2006/relationships/hyperlink" Target="https://doi.org/10.1075/resla.17019.loz" TargetMode="External"/><Relationship Id="rId335" Type="http://schemas.openxmlformats.org/officeDocument/2006/relationships/hyperlink" Target="https://helda.helsinki.fi/bitstreams/b16ebd43-f83b-42c9-9996-adf6735845c1/download" TargetMode="External"/><Relationship Id="rId3580" Type="http://schemas.openxmlformats.org/officeDocument/2006/relationships/hyperlink" Target="https://osf.io/gj5re/files/osfstorage" TargetMode="External"/><Relationship Id="rId339" Type="http://schemas.openxmlformats.org/officeDocument/2006/relationships/hyperlink" Target="https://doi.org/10.1075/resla.17019.loz" TargetMode="External"/><Relationship Id="rId330" Type="http://schemas.openxmlformats.org/officeDocument/2006/relationships/hyperlink" Target="https://doi.org/10.1075/resla.17019.loz" TargetMode="External"/><Relationship Id="rId2250" Type="http://schemas.openxmlformats.org/officeDocument/2006/relationships/hyperlink" Target="https://osf.io/p87cn" TargetMode="External"/><Relationship Id="rId3582" Type="http://schemas.openxmlformats.org/officeDocument/2006/relationships/hyperlink" Target="https://osf.io/gj5re/files/osfstorage" TargetMode="External"/><Relationship Id="rId2251" Type="http://schemas.openxmlformats.org/officeDocument/2006/relationships/hyperlink" Target="https://doi.org/10.17605/OSF.IO/TR7FP" TargetMode="External"/><Relationship Id="rId3581" Type="http://schemas.openxmlformats.org/officeDocument/2006/relationships/hyperlink" Target="https://osf.io/gj5re/files/osfstorage" TargetMode="External"/><Relationship Id="rId2252" Type="http://schemas.openxmlformats.org/officeDocument/2006/relationships/hyperlink" Target="https://osf.io/tr7fp" TargetMode="External"/><Relationship Id="rId3584" Type="http://schemas.openxmlformats.org/officeDocument/2006/relationships/hyperlink" Target="https://osf.io/gj5re/files/osfstorage" TargetMode="External"/><Relationship Id="rId2253" Type="http://schemas.openxmlformats.org/officeDocument/2006/relationships/hyperlink" Target="https://doi.org/10.17605/OSF.IO/HT9DU" TargetMode="External"/><Relationship Id="rId3583" Type="http://schemas.openxmlformats.org/officeDocument/2006/relationships/hyperlink" Target="https://osf.io/gj5re/files/osfstorage" TargetMode="External"/><Relationship Id="rId334" Type="http://schemas.openxmlformats.org/officeDocument/2006/relationships/hyperlink" Target="https://helda.helsinki.fi/bitstreams/b16ebd43-f83b-42c9-9996-adf6735845c1/download" TargetMode="External"/><Relationship Id="rId2254" Type="http://schemas.openxmlformats.org/officeDocument/2006/relationships/hyperlink" Target="https://osf.io/ht9du" TargetMode="External"/><Relationship Id="rId3586" Type="http://schemas.openxmlformats.org/officeDocument/2006/relationships/hyperlink" Target="https://osf.io/57mdc/files/osfstorage" TargetMode="External"/><Relationship Id="rId333" Type="http://schemas.openxmlformats.org/officeDocument/2006/relationships/hyperlink" Target="https://doi.org/10.1075/resla.17019.loz" TargetMode="External"/><Relationship Id="rId2255" Type="http://schemas.openxmlformats.org/officeDocument/2006/relationships/hyperlink" Target="https://osf.io/k82yb" TargetMode="External"/><Relationship Id="rId3585" Type="http://schemas.openxmlformats.org/officeDocument/2006/relationships/hyperlink" Target="https://osf.io/57mdc/files/osfstorage" TargetMode="External"/><Relationship Id="rId332" Type="http://schemas.openxmlformats.org/officeDocument/2006/relationships/hyperlink" Target="https://helda.helsinki.fi/bitstreams/b16ebd43-f83b-42c9-9996-adf6735845c1/download" TargetMode="External"/><Relationship Id="rId2256" Type="http://schemas.openxmlformats.org/officeDocument/2006/relationships/hyperlink" Target="https://osf.io/k82yb" TargetMode="External"/><Relationship Id="rId3588" Type="http://schemas.openxmlformats.org/officeDocument/2006/relationships/hyperlink" Target="https://osf.io/57mdc/files/osfstorage" TargetMode="External"/><Relationship Id="rId331" Type="http://schemas.openxmlformats.org/officeDocument/2006/relationships/hyperlink" Target="https://helda.helsinki.fi/bitstreams/b16ebd43-f83b-42c9-9996-adf6735845c1/download" TargetMode="External"/><Relationship Id="rId2257" Type="http://schemas.openxmlformats.org/officeDocument/2006/relationships/hyperlink" Target="https://osf.io/qmpky" TargetMode="External"/><Relationship Id="rId3587" Type="http://schemas.openxmlformats.org/officeDocument/2006/relationships/hyperlink" Target="https://osf.io/ht4sw" TargetMode="External"/><Relationship Id="rId370" Type="http://schemas.openxmlformats.org/officeDocument/2006/relationships/hyperlink" Target="https://doi.org/10.1037/xap0000321" TargetMode="External"/><Relationship Id="rId369" Type="http://schemas.openxmlformats.org/officeDocument/2006/relationships/hyperlink" Target="https://doi.org/10.1037/xap0000321" TargetMode="External"/><Relationship Id="rId368"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0" Type="http://schemas.openxmlformats.org/officeDocument/2006/relationships/hyperlink" Target="https://osf.io/csm3d" TargetMode="External"/><Relationship Id="rId2281" Type="http://schemas.openxmlformats.org/officeDocument/2006/relationships/hyperlink" Target="https://osf.io/b2agf" TargetMode="External"/><Relationship Id="rId2282" Type="http://schemas.openxmlformats.org/officeDocument/2006/relationships/hyperlink" Target="https://osf.io/p6jxm" TargetMode="External"/><Relationship Id="rId363"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3" Type="http://schemas.openxmlformats.org/officeDocument/2006/relationships/hyperlink" Target="https://osf.io/2rnj5" TargetMode="External"/><Relationship Id="rId362"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4" Type="http://schemas.openxmlformats.org/officeDocument/2006/relationships/hyperlink" Target="https://osf.io/z6qw2" TargetMode="External"/><Relationship Id="rId361"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5" Type="http://schemas.openxmlformats.org/officeDocument/2006/relationships/hyperlink" Target="https://osf.io/ny7t5" TargetMode="External"/><Relationship Id="rId360"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6" Type="http://schemas.openxmlformats.org/officeDocument/2006/relationships/hyperlink" Target="https://osf.io/3fjvt" TargetMode="External"/><Relationship Id="rId367"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7" Type="http://schemas.openxmlformats.org/officeDocument/2006/relationships/hyperlink" Target="https://osf.io/9p2qr" TargetMode="External"/><Relationship Id="rId366"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8" Type="http://schemas.openxmlformats.org/officeDocument/2006/relationships/hyperlink" Target="https://osf.io/9p2qr" TargetMode="External"/><Relationship Id="rId365"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89" Type="http://schemas.openxmlformats.org/officeDocument/2006/relationships/hyperlink" Target="https://osf.io/s9m2k" TargetMode="External"/><Relationship Id="rId364"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95" Type="http://schemas.openxmlformats.org/officeDocument/2006/relationships/hyperlink" Target="https://aspredicted.org/3KR_RSK" TargetMode="External"/><Relationship Id="rId94" Type="http://schemas.openxmlformats.org/officeDocument/2006/relationships/hyperlink" Target="https://aspredicted.org/3KR_RSK" TargetMode="External"/><Relationship Id="rId97" Type="http://schemas.openxmlformats.org/officeDocument/2006/relationships/hyperlink" Target="https://aspredicted.org/3KR_RSK" TargetMode="External"/><Relationship Id="rId96" Type="http://schemas.openxmlformats.org/officeDocument/2006/relationships/hyperlink" Target="https://aspredicted.org/3KR_RSK" TargetMode="External"/><Relationship Id="rId99" Type="http://schemas.openxmlformats.org/officeDocument/2006/relationships/hyperlink" Target="https://aspredicted.org/3KR_RSK" TargetMode="External"/><Relationship Id="rId98" Type="http://schemas.openxmlformats.org/officeDocument/2006/relationships/hyperlink" Target="https://aspredicted.org/3KR_RSK" TargetMode="External"/><Relationship Id="rId91" Type="http://schemas.openxmlformats.org/officeDocument/2006/relationships/hyperlink" Target="https://docs.google.com/spreadsheets/d/1Da93yd8SPd-GwqOb8HCKeN1Hobk77X3_1anZLPku0G0/edit?usp=sharing" TargetMode="External"/><Relationship Id="rId90" Type="http://schemas.openxmlformats.org/officeDocument/2006/relationships/hyperlink" Target="https://docs.google.com/spreadsheets/d/1Da93yd8SPd-GwqOb8HCKeN1Hobk77X3_1anZLPku0G0/edit?usp=sharing" TargetMode="External"/><Relationship Id="rId93" Type="http://schemas.openxmlformats.org/officeDocument/2006/relationships/hyperlink" Target="https://doi.org/10.1007/s40617-024-00933-1" TargetMode="External"/><Relationship Id="rId92" Type="http://schemas.openxmlformats.org/officeDocument/2006/relationships/hyperlink" Target="https://doi.org/10.1007/s40617-024-00933-1" TargetMode="External"/><Relationship Id="rId359"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58"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357"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70" Type="http://schemas.openxmlformats.org/officeDocument/2006/relationships/hyperlink" Target="http://osf.io/0aifq" TargetMode="External"/><Relationship Id="rId2271" Type="http://schemas.openxmlformats.org/officeDocument/2006/relationships/hyperlink" Target="https://osf.io/jb2pw/" TargetMode="External"/><Relationship Id="rId352" Type="http://schemas.openxmlformats.org/officeDocument/2006/relationships/hyperlink" Target="https://doi.org/10.1080/02650487.2024.2362015" TargetMode="External"/><Relationship Id="rId2272" Type="http://schemas.openxmlformats.org/officeDocument/2006/relationships/hyperlink" Target="https://osf.io/gknau" TargetMode="External"/><Relationship Id="rId351" Type="http://schemas.openxmlformats.org/officeDocument/2006/relationships/hyperlink" Target="mailto:sarahashjones@gmail.com" TargetMode="External"/><Relationship Id="rId2273" Type="http://schemas.openxmlformats.org/officeDocument/2006/relationships/hyperlink" Target="https://osf.io/knc2b" TargetMode="External"/><Relationship Id="rId350" Type="http://schemas.openxmlformats.org/officeDocument/2006/relationships/hyperlink" Target="http://rescience.org/x/article/view/8" TargetMode="External"/><Relationship Id="rId2274" Type="http://schemas.openxmlformats.org/officeDocument/2006/relationships/hyperlink" Target="https://osf.io/pua6s" TargetMode="External"/><Relationship Id="rId2275" Type="http://schemas.openxmlformats.org/officeDocument/2006/relationships/hyperlink" Target="https://osf.io/ywk2q" TargetMode="External"/><Relationship Id="rId356" Type="http://schemas.openxmlformats.org/officeDocument/2006/relationships/hyperlink" Target="https://pdf.sciencedirectassets.com/271031/1-s2.0-S0166432824X00108/1-s2.0-S0166432824002523/main.pdf?X-Amz-Security-Token=IQoJb3JpZ2luX2VjEAwaCXVzLWVhc3QtMSJHMEUCIQCmj%2BJ0OIIhCFvH13ZoI4clbIWsTPr0cbNy%2B1GzAVLAmwIgd4KWLoxJgaWuXsrHG15dp6H6mAwhJMbc%2FnL3ArVyDZoqvAUIxf%2F%2F%2F%2F%2F%2F%2F%2F%2F%2FARAFGgwwNTkwMDM1NDY4NjUiDC47BieuD%2BVtLvPMcSqQBQUXEVWJDS7G4q8F06PDQcu2ZefiHA6rcNpSZF82PYDkBIt7r72DsGoYhuLinyEQkTThh0d6HW09RgSGOu9OYD63NdXvZDNoJ4zzifDT%2FB6DH5n3uWc0F4bltLNOUn7unNJaNmztXn1w6re8JR8vfHsksPc%2BOTNQk9bv2tTwpG3FrSrTqjpEkrZ2xrfleirbni5vL5%2BRCta99YlAplViezalUayTFgTxLPNic6UOm%2FTPnXMZJJvQlghdt9eaiUdaSZNB5ioG7EDbF%2FAjdhO7TkFJIHWsaGfE9EM%2BKxT7Fn5N3XE19drrJd7%2BGm5ulwIZdBanvAJTz4tMHMOsLADJNrnFr9KsZQ8Zn47iYS2gG9q6Ozm4eNZPhVkNJOY84E%2FrFiu5iu0xvP1vg3spHROJbV8RWnvroWvEeNMhsGio9C7%2Fe%2BDLpbwbPByTiXHxQwSOZNmbD1r%2FNIIMgHgbaGBJDAslAKJeRts91cuggqhmTUxC6qiM%2BsIDORku%2BGQy6qhbiSFcaIXqggrQ%2FnEjYcU%2FrhFcKl6wWkgo6KCBmdNeiYEV4GnJvwiqBZPdDjA%2B5M7FW8Dm8774HQEJw%2F02tlGuxOPlvc3ZKHGuuzZ1s%2BWwGedu5apwXbOqrw84RCai8knX8%2Fi8PUJif2KiHH3K1njYYBBODikylgGLOBrv4RY8%2F21xFXslWlVl6d1giNN27PgZp5PHiGwrvefKjfpzhKW5z1JzIarNzlCiGYBigDTQD20DjZs5RkEHgV%2FjsMFDz4T6mYsrsnk%2Fq4V29ttIcOjpidrANdAe43vUIb%2FRmUk4zFQh9VwGiNNjDnHMjb%2FnnhnWJlvzKq6NjIMV3pCzmB5ZPdD75mPCTs1XtNLuUIuw%2F9tHMPn37LoGOrEBeMQlcVjoUx%2FW4gJg7sFk8vbU1gd9LSeFmSRfbndGBCpth19eiy808YMW8QNFyCx9MLwjjZMUUtE2E8F%2BOnPhz4je7ZKXy4UTZayQseIQAYsEyZCeT4TWQrhI90ynZXhz36e8pg%2BLQfvs7cRdLk%2FiWWvlVMHjtJU3DDuQy9M8m9quK0DZZ7%2F%2Fl3MeJebu7R8y%2Fp%2BIrZbLqIQ6dH62R%2Fs4JliZpAR5kVQcRcuengccLUV6&amp;X-Amz-Algorithm=AWS4-HMAC-SHA256&amp;X-Amz-Date=20241212T204107Z&amp;X-Amz-SignedHeaders=host&amp;X-Amz-Expires=300&amp;X-Amz-Credential=ASIAQ3PHCVTY63SZL4XY%2F20241212%2Fus-east-1%2Fs3%2Faws4_request&amp;X-Amz-Signature=5fa804bd9a7550259b474d82ab882889661ead73d68b9017dec1796655127557&amp;hash=8984ac132d2eaa7068397bce0cb13ba74bd8b782bf703672e6eb4b128044110a&amp;host=68042c943591013ac2b2430a89b270f6af2c76d8dfd086a07176afe7c76c2c61&amp;pii=S0166432824002523&amp;tid=spdf-e96f0903-b7ec-4136-96b4-6f555aab8b8c&amp;sid=3632a4605325134d991bcac50ebe1131144cgxrqb&amp;type=client&amp;tsoh=d3d3LnNjaWV" TargetMode="External"/><Relationship Id="rId2276" Type="http://schemas.openxmlformats.org/officeDocument/2006/relationships/hyperlink" Target="https://osf.io/76j48" TargetMode="External"/><Relationship Id="rId355" Type="http://schemas.openxmlformats.org/officeDocument/2006/relationships/hyperlink" Target="mailto:sarahashjones@gmail.com" TargetMode="External"/><Relationship Id="rId2277" Type="http://schemas.openxmlformats.org/officeDocument/2006/relationships/hyperlink" Target="https://osf.io/zjmkg/" TargetMode="External"/><Relationship Id="rId354" Type="http://schemas.openxmlformats.org/officeDocument/2006/relationships/hyperlink" Target="https://www.tandfonline.com/doi/epdf/10.1080/02650487.2024.2362015?needAccess=true" TargetMode="External"/><Relationship Id="rId2278" Type="http://schemas.openxmlformats.org/officeDocument/2006/relationships/hyperlink" Target="https://osf.io/rkqw2" TargetMode="External"/><Relationship Id="rId353" Type="http://schemas.openxmlformats.org/officeDocument/2006/relationships/hyperlink" Target="https://www.tandfonline.com/doi/epdf/10.1080/02650487.2024.2362015?needAccess=true" TargetMode="External"/><Relationship Id="rId2279" Type="http://schemas.openxmlformats.org/officeDocument/2006/relationships/hyperlink" Target="https://osf.io/csm3d" TargetMode="External"/><Relationship Id="rId2225" Type="http://schemas.openxmlformats.org/officeDocument/2006/relationships/hyperlink" Target="https://osf.io/tpzk9" TargetMode="External"/><Relationship Id="rId3557" Type="http://schemas.openxmlformats.org/officeDocument/2006/relationships/hyperlink" Target="https://osf.io/342td" TargetMode="External"/><Relationship Id="rId2226" Type="http://schemas.openxmlformats.org/officeDocument/2006/relationships/hyperlink" Target="https://osf.io/tpzk9" TargetMode="External"/><Relationship Id="rId3556" Type="http://schemas.openxmlformats.org/officeDocument/2006/relationships/hyperlink" Target="https://osf.io/8k9nt/" TargetMode="External"/><Relationship Id="rId2227" Type="http://schemas.openxmlformats.org/officeDocument/2006/relationships/hyperlink" Target="https://osf.io/ertbg" TargetMode="External"/><Relationship Id="rId3559" Type="http://schemas.openxmlformats.org/officeDocument/2006/relationships/hyperlink" Target="https://osf.io/342td" TargetMode="External"/><Relationship Id="rId2228" Type="http://schemas.openxmlformats.org/officeDocument/2006/relationships/hyperlink" Target="https://osf.io/ertbg" TargetMode="External"/><Relationship Id="rId3558" Type="http://schemas.openxmlformats.org/officeDocument/2006/relationships/hyperlink" Target="https://osf.io/342td" TargetMode="External"/><Relationship Id="rId2229" Type="http://schemas.openxmlformats.org/officeDocument/2006/relationships/hyperlink" Target="https://osf.io/m9suf" TargetMode="External"/><Relationship Id="rId305" Type="http://schemas.openxmlformats.org/officeDocument/2006/relationships/hyperlink" Target="https://doi.org/10.31234/osf.io/cf4xz" TargetMode="External"/><Relationship Id="rId304" Type="http://schemas.openxmlformats.org/officeDocument/2006/relationships/hyperlink" Target="https://osf.io/preprints/psyarxiv/cf4xz" TargetMode="External"/><Relationship Id="rId303" Type="http://schemas.openxmlformats.org/officeDocument/2006/relationships/hyperlink" Target="https://osf.io/preprints/psyarxiv/cf4xz" TargetMode="External"/><Relationship Id="rId302" Type="http://schemas.openxmlformats.org/officeDocument/2006/relationships/hyperlink" Target="https://doi.org/10.31234/osf.io/cf4xz" TargetMode="External"/><Relationship Id="rId309" Type="http://schemas.openxmlformats.org/officeDocument/2006/relationships/hyperlink" Target="https://www.econstor.eu/bitstream/10419/299993/1/JCRE-2024-4.pdf" TargetMode="External"/><Relationship Id="rId308" Type="http://schemas.openxmlformats.org/officeDocument/2006/relationships/hyperlink" Target="https://www.econstor.eu/bitstream/10419/299993/1/JCRE-2024-4.pdf" TargetMode="External"/><Relationship Id="rId307" Type="http://schemas.openxmlformats.org/officeDocument/2006/relationships/hyperlink" Target="https://osf.io/preprints/psyarxiv/cf4xz" TargetMode="External"/><Relationship Id="rId306" Type="http://schemas.openxmlformats.org/officeDocument/2006/relationships/hyperlink" Target="https://doi.org/10.31234/osf.io/cf4xz" TargetMode="External"/><Relationship Id="rId3551" Type="http://schemas.openxmlformats.org/officeDocument/2006/relationships/hyperlink" Target="https://doi.org/10.17605/OSF.IO/J9MFN" TargetMode="External"/><Relationship Id="rId2220" Type="http://schemas.openxmlformats.org/officeDocument/2006/relationships/hyperlink" Target="https://osf.io/hsntd" TargetMode="External"/><Relationship Id="rId3550" Type="http://schemas.openxmlformats.org/officeDocument/2006/relationships/hyperlink" Target="https://drive.google.com/file/d/1W0CUphORn0RFZC7vPbiY_o1c0-1VZraH/view" TargetMode="External"/><Relationship Id="rId301" Type="http://schemas.openxmlformats.org/officeDocument/2006/relationships/hyperlink" Target="https://doi.org/10.31234/osf.io/cf4xz" TargetMode="External"/><Relationship Id="rId2221" Type="http://schemas.openxmlformats.org/officeDocument/2006/relationships/hyperlink" Target="https://osf.io/vqzx9" TargetMode="External"/><Relationship Id="rId3553" Type="http://schemas.openxmlformats.org/officeDocument/2006/relationships/hyperlink" Target="https://osf.io/gcf3v/?view_only=" TargetMode="External"/><Relationship Id="rId300" Type="http://schemas.openxmlformats.org/officeDocument/2006/relationships/hyperlink" Target="https://osf.io/preprints/psyarxiv/cf4xz" TargetMode="External"/><Relationship Id="rId2222" Type="http://schemas.openxmlformats.org/officeDocument/2006/relationships/hyperlink" Target="https://osf.io/vqzx9" TargetMode="External"/><Relationship Id="rId3552" Type="http://schemas.openxmlformats.org/officeDocument/2006/relationships/hyperlink" Target="https://osf.io/8mqx5" TargetMode="External"/><Relationship Id="rId2223" Type="http://schemas.openxmlformats.org/officeDocument/2006/relationships/hyperlink" Target="https://osf.io/fs3ut" TargetMode="External"/><Relationship Id="rId3555" Type="http://schemas.openxmlformats.org/officeDocument/2006/relationships/hyperlink" Target="http://dx.doi.org/10.31234/osf.io/bgp3m" TargetMode="External"/><Relationship Id="rId2224" Type="http://schemas.openxmlformats.org/officeDocument/2006/relationships/hyperlink" Target="https://osf.io/fs3ut" TargetMode="External"/><Relationship Id="rId3554" Type="http://schemas.openxmlformats.org/officeDocument/2006/relationships/hyperlink" Target="https://doi.org/10.1111/j.1467-9280.2006.01704.x" TargetMode="External"/><Relationship Id="rId2214" Type="http://schemas.openxmlformats.org/officeDocument/2006/relationships/hyperlink" Target="https://osf.io/pyt4e" TargetMode="External"/><Relationship Id="rId3546" Type="http://schemas.openxmlformats.org/officeDocument/2006/relationships/hyperlink" Target="https://docs.google.com/document/d/1WKb2HAoSmgUndzcI1DDYuGyUpLFwcmuSn5OAIlI32KI/edit?tab=t.0" TargetMode="External"/><Relationship Id="rId2215" Type="http://schemas.openxmlformats.org/officeDocument/2006/relationships/hyperlink" Target="https://osf.io/8ybk5" TargetMode="External"/><Relationship Id="rId3545" Type="http://schemas.openxmlformats.org/officeDocument/2006/relationships/hyperlink" Target="https://drive.google.com/file/d/1-9Fcmt4OS-LDChgj2l27HGaNzy4UZ_SN/view?usp=drive_link" TargetMode="External"/><Relationship Id="rId2216" Type="http://schemas.openxmlformats.org/officeDocument/2006/relationships/hyperlink" Target="https://osf.io/8ybk5" TargetMode="External"/><Relationship Id="rId3548" Type="http://schemas.openxmlformats.org/officeDocument/2006/relationships/hyperlink" Target="https://drive.google.com/file/d/1-9Fcmt4OS-LDChgj2l27HGaNzy4UZ_SN/view?usp=drive_link" TargetMode="External"/><Relationship Id="rId2217" Type="http://schemas.openxmlformats.org/officeDocument/2006/relationships/hyperlink" Target="https://osf.io/vj2xr" TargetMode="External"/><Relationship Id="rId3547" Type="http://schemas.openxmlformats.org/officeDocument/2006/relationships/hyperlink" Target="https://osf.io/gcf3v/?view_only=" TargetMode="External"/><Relationship Id="rId2218" Type="http://schemas.openxmlformats.org/officeDocument/2006/relationships/hyperlink" Target="https://osf.io/vj2xr" TargetMode="External"/><Relationship Id="rId2219" Type="http://schemas.openxmlformats.org/officeDocument/2006/relationships/hyperlink" Target="https://osf.io/hsntd" TargetMode="External"/><Relationship Id="rId3549" Type="http://schemas.openxmlformats.org/officeDocument/2006/relationships/hyperlink" Target="https://docs.google.com/document/d/1WKb2HAoSmgUndzcI1DDYuGyUpLFwcmuSn5OAIlI32KI/edit?tab=t.0" TargetMode="External"/><Relationship Id="rId3540" Type="http://schemas.openxmlformats.org/officeDocument/2006/relationships/hyperlink" Target="https://docs.google.com/document/d/1WKb2HAoSmgUndzcI1DDYuGyUpLFwcmuSn5OAIlI32KI/edit?tab=t.0" TargetMode="External"/><Relationship Id="rId2210" Type="http://schemas.openxmlformats.org/officeDocument/2006/relationships/hyperlink" Target="https://osf.io/ictp5" TargetMode="External"/><Relationship Id="rId3542" Type="http://schemas.openxmlformats.org/officeDocument/2006/relationships/hyperlink" Target="https://drive.google.com/file/d/1-9Fcmt4OS-LDChgj2l27HGaNzy4UZ_SN/view?usp=drive_link" TargetMode="External"/><Relationship Id="rId2211" Type="http://schemas.openxmlformats.org/officeDocument/2006/relationships/hyperlink" Target="https://osf.io/2hk76" TargetMode="External"/><Relationship Id="rId3541" Type="http://schemas.openxmlformats.org/officeDocument/2006/relationships/hyperlink" Target="https://osf.io/gcf3v/?view_only=" TargetMode="External"/><Relationship Id="rId2212" Type="http://schemas.openxmlformats.org/officeDocument/2006/relationships/hyperlink" Target="https://osf.io/2hk76" TargetMode="External"/><Relationship Id="rId3544" Type="http://schemas.openxmlformats.org/officeDocument/2006/relationships/hyperlink" Target="https://osf.io/gcf3v/?view_only=" TargetMode="External"/><Relationship Id="rId2213" Type="http://schemas.openxmlformats.org/officeDocument/2006/relationships/hyperlink" Target="https://osf.io/pyt4e" TargetMode="External"/><Relationship Id="rId3543" Type="http://schemas.openxmlformats.org/officeDocument/2006/relationships/hyperlink" Target="https://docs.google.com/document/d/1WKb2HAoSmgUndzcI1DDYuGyUpLFwcmuSn5OAIlI32KI/edit?tab=t.0" TargetMode="External"/><Relationship Id="rId2247" Type="http://schemas.openxmlformats.org/officeDocument/2006/relationships/hyperlink" Target="https://doi.org/10.17605/OSF.IO/WM2A8" TargetMode="External"/><Relationship Id="rId3579" Type="http://schemas.openxmlformats.org/officeDocument/2006/relationships/hyperlink" Target="https://osf.io/gj5re/files/osfstorage" TargetMode="External"/><Relationship Id="rId2248" Type="http://schemas.openxmlformats.org/officeDocument/2006/relationships/hyperlink" Target="https://osf.io/wm2a8" TargetMode="External"/><Relationship Id="rId3578" Type="http://schemas.openxmlformats.org/officeDocument/2006/relationships/hyperlink" Target="https://osf.io/gj5re/files/osfstorage" TargetMode="External"/><Relationship Id="rId2249" Type="http://schemas.openxmlformats.org/officeDocument/2006/relationships/hyperlink" Target="https://doi.org/10.17605/OSF.IO/P87CN" TargetMode="External"/><Relationship Id="rId327" Type="http://schemas.openxmlformats.org/officeDocument/2006/relationships/hyperlink" Target="https://doi.org/10.1075/resla.17019.loz" TargetMode="External"/><Relationship Id="rId326" Type="http://schemas.openxmlformats.org/officeDocument/2006/relationships/hyperlink" Target="https://helda.helsinki.fi/bitstreams/b16ebd43-f83b-42c9-9996-adf6735845c1/download" TargetMode="External"/><Relationship Id="rId325" Type="http://schemas.openxmlformats.org/officeDocument/2006/relationships/hyperlink" Target="https://helda.helsinki.fi/bitstreams/b16ebd43-f83b-42c9-9996-adf6735845c1/download" TargetMode="External"/><Relationship Id="rId324" Type="http://schemas.openxmlformats.org/officeDocument/2006/relationships/hyperlink" Target="https://doi.org/10.1075/resla.17019.loz" TargetMode="External"/><Relationship Id="rId329" Type="http://schemas.openxmlformats.org/officeDocument/2006/relationships/hyperlink" Target="https://helda.helsinki.fi/bitstreams/b16ebd43-f83b-42c9-9996-adf6735845c1/download" TargetMode="External"/><Relationship Id="rId328" Type="http://schemas.openxmlformats.org/officeDocument/2006/relationships/hyperlink" Target="https://helda.helsinki.fi/bitstreams/b16ebd43-f83b-42c9-9996-adf6735845c1/download" TargetMode="External"/><Relationship Id="rId3571" Type="http://schemas.openxmlformats.org/officeDocument/2006/relationships/hyperlink" Target="https://osf.io/pg3ae/" TargetMode="External"/><Relationship Id="rId2240" Type="http://schemas.openxmlformats.org/officeDocument/2006/relationships/hyperlink" Target="https://osf.io/zc468" TargetMode="External"/><Relationship Id="rId3570" Type="http://schemas.openxmlformats.org/officeDocument/2006/relationships/hyperlink" Target="https://osf.io/pg3ae?view_only=6f8f5dc6ff524149a4ed5c6de9296ae8" TargetMode="External"/><Relationship Id="rId2241" Type="http://schemas.openxmlformats.org/officeDocument/2006/relationships/hyperlink" Target="https://doi.org/10.17605/OSF.IO/K5CWT" TargetMode="External"/><Relationship Id="rId3573" Type="http://schemas.openxmlformats.org/officeDocument/2006/relationships/hyperlink" Target="https://osf.io/gwchd" TargetMode="External"/><Relationship Id="rId2242" Type="http://schemas.openxmlformats.org/officeDocument/2006/relationships/hyperlink" Target="https://osf.io/k5cwt" TargetMode="External"/><Relationship Id="rId3572" Type="http://schemas.openxmlformats.org/officeDocument/2006/relationships/hyperlink" Target="https://osf.io/pg3ae?view_only=6f8f5dc6ff524149a4ed5c6de9296ae8" TargetMode="External"/><Relationship Id="rId323" Type="http://schemas.openxmlformats.org/officeDocument/2006/relationships/hyperlink" Target="https://helda.helsinki.fi/bitstreams/b16ebd43-f83b-42c9-9996-adf6735845c1/download" TargetMode="External"/><Relationship Id="rId2243" Type="http://schemas.openxmlformats.org/officeDocument/2006/relationships/hyperlink" Target="https://doi.org/10.17605/OSF.IO/PX56H" TargetMode="External"/><Relationship Id="rId3575" Type="http://schemas.openxmlformats.org/officeDocument/2006/relationships/hyperlink" Target="https://osf.io/hzdfk" TargetMode="External"/><Relationship Id="rId322" Type="http://schemas.openxmlformats.org/officeDocument/2006/relationships/hyperlink" Target="https://helda.helsinki.fi/bitstreams/b16ebd43-f83b-42c9-9996-adf6735845c1/download" TargetMode="External"/><Relationship Id="rId2244" Type="http://schemas.openxmlformats.org/officeDocument/2006/relationships/hyperlink" Target="https://osf.io/px56h" TargetMode="External"/><Relationship Id="rId3574" Type="http://schemas.openxmlformats.org/officeDocument/2006/relationships/hyperlink" Target="https://osf.io/kvcjz" TargetMode="External"/><Relationship Id="rId321" Type="http://schemas.openxmlformats.org/officeDocument/2006/relationships/hyperlink" Target="https://doi.org/10.1075/resla.17019.loz" TargetMode="External"/><Relationship Id="rId2245" Type="http://schemas.openxmlformats.org/officeDocument/2006/relationships/hyperlink" Target="https://doi.org/10.17605/OSF.IO/PPPJG" TargetMode="External"/><Relationship Id="rId3577" Type="http://schemas.openxmlformats.org/officeDocument/2006/relationships/hyperlink" Target="https://osf.io/gj5re/files/osfstorage" TargetMode="External"/><Relationship Id="rId320" Type="http://schemas.openxmlformats.org/officeDocument/2006/relationships/hyperlink" Target="https://helda.helsinki.fi/bitstreams/b16ebd43-f83b-42c9-9996-adf6735845c1/download" TargetMode="External"/><Relationship Id="rId2246" Type="http://schemas.openxmlformats.org/officeDocument/2006/relationships/hyperlink" Target="https://osf.io/pppjg" TargetMode="External"/><Relationship Id="rId3576" Type="http://schemas.openxmlformats.org/officeDocument/2006/relationships/hyperlink" Target="https://osf.io/kvcjz" TargetMode="External"/><Relationship Id="rId2236" Type="http://schemas.openxmlformats.org/officeDocument/2006/relationships/hyperlink" Target="https://osf.io/689xc" TargetMode="External"/><Relationship Id="rId3568" Type="http://schemas.openxmlformats.org/officeDocument/2006/relationships/hyperlink" Target="https://osf.io/gcerb" TargetMode="External"/><Relationship Id="rId2237" Type="http://schemas.openxmlformats.org/officeDocument/2006/relationships/hyperlink" Target="https://doi.org/10.17605/OSF.IO/HB7KJ" TargetMode="External"/><Relationship Id="rId3567" Type="http://schemas.openxmlformats.org/officeDocument/2006/relationships/hyperlink" Target="https://osf.io/gcerb" TargetMode="External"/><Relationship Id="rId2238" Type="http://schemas.openxmlformats.org/officeDocument/2006/relationships/hyperlink" Target="https://doi.org/10.17605/OSF.IO/HB7KJ" TargetMode="External"/><Relationship Id="rId2239" Type="http://schemas.openxmlformats.org/officeDocument/2006/relationships/hyperlink" Target="https://doi.org/10.17605/OSF.IO/ZC468" TargetMode="External"/><Relationship Id="rId3569" Type="http://schemas.openxmlformats.org/officeDocument/2006/relationships/hyperlink" Target="https://osf.io/gcerb" TargetMode="External"/><Relationship Id="rId316" Type="http://schemas.openxmlformats.org/officeDocument/2006/relationships/hyperlink" Target="https://digitalcommons.memphis.edu/etd/3538/" TargetMode="External"/><Relationship Id="rId315" Type="http://schemas.openxmlformats.org/officeDocument/2006/relationships/hyperlink" Target="https://www.proquest.com/dissertations-theses/mattering-model-foundational-elements-k-12/docview/2537966312/se-2" TargetMode="External"/><Relationship Id="rId314" Type="http://schemas.openxmlformats.org/officeDocument/2006/relationships/hyperlink" Target="https://digitalcommons.memphis.edu/etd/3538/" TargetMode="External"/><Relationship Id="rId313" Type="http://schemas.openxmlformats.org/officeDocument/2006/relationships/hyperlink" Target="https://doi.org/10.1075/ijlcr.00046.ozk" TargetMode="External"/><Relationship Id="rId319" Type="http://schemas.openxmlformats.org/officeDocument/2006/relationships/hyperlink" Target="https://helda.helsinki.fi/bitstreams/b16ebd43-f83b-42c9-9996-adf6735845c1/download" TargetMode="External"/><Relationship Id="rId318" Type="http://schemas.openxmlformats.org/officeDocument/2006/relationships/hyperlink" Target="https://doi.org/10.1075/resla.17019.loz" TargetMode="External"/><Relationship Id="rId317" Type="http://schemas.openxmlformats.org/officeDocument/2006/relationships/hyperlink" Target="https://helda.helsinki.fi/bitstreams/b16ebd43-f83b-42c9-9996-adf6735845c1/download" TargetMode="External"/><Relationship Id="rId3560" Type="http://schemas.openxmlformats.org/officeDocument/2006/relationships/hyperlink" Target="https://osf.io/342td" TargetMode="External"/><Relationship Id="rId2230" Type="http://schemas.openxmlformats.org/officeDocument/2006/relationships/hyperlink" Target="https://osf.io/m9suf" TargetMode="External"/><Relationship Id="rId3562" Type="http://schemas.openxmlformats.org/officeDocument/2006/relationships/hyperlink" Target="https://osf.io/gcerb" TargetMode="External"/><Relationship Id="rId2231" Type="http://schemas.openxmlformats.org/officeDocument/2006/relationships/hyperlink" Target="http://osf.io/c5fza" TargetMode="External"/><Relationship Id="rId3561" Type="http://schemas.openxmlformats.org/officeDocument/2006/relationships/hyperlink" Target="https://osf.io/fyzwd" TargetMode="External"/><Relationship Id="rId312" Type="http://schemas.openxmlformats.org/officeDocument/2006/relationships/hyperlink" Target="https://doi.org/10.1075/ijlcr.00046.ozk" TargetMode="External"/><Relationship Id="rId2232" Type="http://schemas.openxmlformats.org/officeDocument/2006/relationships/hyperlink" Target="https://osf.io/s2d6t" TargetMode="External"/><Relationship Id="rId3564" Type="http://schemas.openxmlformats.org/officeDocument/2006/relationships/hyperlink" Target="https://osf.io/gcerb" TargetMode="External"/><Relationship Id="rId311" Type="http://schemas.openxmlformats.org/officeDocument/2006/relationships/hyperlink" Target="https://doi.org/10.1075/ijcl.19131.lar" TargetMode="External"/><Relationship Id="rId2233" Type="http://schemas.openxmlformats.org/officeDocument/2006/relationships/hyperlink" Target="http://osf.io/c5fza" TargetMode="External"/><Relationship Id="rId3563" Type="http://schemas.openxmlformats.org/officeDocument/2006/relationships/hyperlink" Target="https://osf.io/9vsxt" TargetMode="External"/><Relationship Id="rId310" Type="http://schemas.openxmlformats.org/officeDocument/2006/relationships/hyperlink" Target="https://doi.org/10.1075/ijcl.19131.lar" TargetMode="External"/><Relationship Id="rId2234" Type="http://schemas.openxmlformats.org/officeDocument/2006/relationships/hyperlink" Target="https://osf.io/s2d6t" TargetMode="External"/><Relationship Id="rId3566" Type="http://schemas.openxmlformats.org/officeDocument/2006/relationships/hyperlink" Target="https://osf.io/gcerb" TargetMode="External"/><Relationship Id="rId2235" Type="http://schemas.openxmlformats.org/officeDocument/2006/relationships/hyperlink" Target="https://osf.io/689xc" TargetMode="External"/><Relationship Id="rId3565" Type="http://schemas.openxmlformats.org/officeDocument/2006/relationships/hyperlink" Target="https://osf.io/gcerb" TargetMode="External"/><Relationship Id="rId297" Type="http://schemas.openxmlformats.org/officeDocument/2006/relationships/hyperlink" Target="https://doi.org/10.31234/osf.io/cf4xz" TargetMode="External"/><Relationship Id="rId296" Type="http://schemas.openxmlformats.org/officeDocument/2006/relationships/hyperlink" Target="https://osf.io/preprints/psyarxiv/cf4xz" TargetMode="External"/><Relationship Id="rId295" Type="http://schemas.openxmlformats.org/officeDocument/2006/relationships/hyperlink" Target="https://osf.io/preprints/psyarxiv/cf4xz" TargetMode="External"/><Relationship Id="rId294" Type="http://schemas.openxmlformats.org/officeDocument/2006/relationships/hyperlink" Target="https://doi.org/10.31234/osf.io/cf4xz" TargetMode="External"/><Relationship Id="rId299" Type="http://schemas.openxmlformats.org/officeDocument/2006/relationships/hyperlink" Target="https://osf.io/preprints/psyarxiv/cf4xz" TargetMode="External"/><Relationship Id="rId298" Type="http://schemas.openxmlformats.org/officeDocument/2006/relationships/hyperlink" Target="https://doi.org/10.31234/osf.io/cf4xz" TargetMode="External"/><Relationship Id="rId271" Type="http://schemas.openxmlformats.org/officeDocument/2006/relationships/hyperlink" Target="https://aspredicted.org/slogin.php?s=AhaPdyHcZf" TargetMode="External"/><Relationship Id="rId270" Type="http://schemas.openxmlformats.org/officeDocument/2006/relationships/hyperlink" Target="https://onlinelibrary.wiley.com/doi/pdf/10.1111/padm.12860" TargetMode="External"/><Relationship Id="rId269" Type="http://schemas.openxmlformats.org/officeDocument/2006/relationships/hyperlink" Target="https://aspredicted.org/slogin.php?s=AhaPdyHcZf" TargetMode="External"/><Relationship Id="rId264" Type="http://schemas.openxmlformats.org/officeDocument/2006/relationships/hyperlink" Target="https://aspredicted.org/~AhaPdyHcZf" TargetMode="External"/><Relationship Id="rId263" Type="http://schemas.openxmlformats.org/officeDocument/2006/relationships/hyperlink" Target="https://doi.org/10.1002/pam.21702" TargetMode="External"/><Relationship Id="rId262" Type="http://schemas.openxmlformats.org/officeDocument/2006/relationships/hyperlink" Target="https://aspredicted.org/slogin.php?s=AhaPdyHcZf" TargetMode="External"/><Relationship Id="rId261" Type="http://schemas.openxmlformats.org/officeDocument/2006/relationships/hyperlink" Target="https://onlinelibrary.wiley.com/doi/pdf/10.1111/padm.12860" TargetMode="External"/><Relationship Id="rId268" Type="http://schemas.openxmlformats.org/officeDocument/2006/relationships/hyperlink" Target="https://onlinelibrary.wiley.com/doi/pdf/10.1111/padm.12860" TargetMode="External"/><Relationship Id="rId267" Type="http://schemas.openxmlformats.org/officeDocument/2006/relationships/hyperlink" Target="https://aspredicted.org/slogin.php?s=AhaPdyHcZf" TargetMode="External"/><Relationship Id="rId266" Type="http://schemas.openxmlformats.org/officeDocument/2006/relationships/hyperlink" Target="https://onlinelibrary.wiley.com/doi/pdf/10.1111/padm.12860" TargetMode="External"/><Relationship Id="rId265" Type="http://schemas.openxmlformats.org/officeDocument/2006/relationships/hyperlink" Target="https://aspredicted.org/~AhaPdyHcZf" TargetMode="External"/><Relationship Id="rId260" Type="http://schemas.openxmlformats.org/officeDocument/2006/relationships/hyperlink" Target="https://aspredicted.org/~AhaPdyHcZf" TargetMode="External"/><Relationship Id="rId259" Type="http://schemas.openxmlformats.org/officeDocument/2006/relationships/hyperlink" Target="https://aspredicted.org/~AhaPdyHcZf" TargetMode="External"/><Relationship Id="rId258" Type="http://schemas.openxmlformats.org/officeDocument/2006/relationships/hyperlink" Target="https://doi.org/10.1002/pam.21702" TargetMode="External"/><Relationship Id="rId2290" Type="http://schemas.openxmlformats.org/officeDocument/2006/relationships/hyperlink" Target="https://osf.io/6xjqm" TargetMode="External"/><Relationship Id="rId2291" Type="http://schemas.openxmlformats.org/officeDocument/2006/relationships/hyperlink" Target="https://osf.io/bk79y" TargetMode="External"/><Relationship Id="rId2292" Type="http://schemas.openxmlformats.org/officeDocument/2006/relationships/hyperlink" Target="https://osf.io/bk79y" TargetMode="External"/><Relationship Id="rId2293" Type="http://schemas.openxmlformats.org/officeDocument/2006/relationships/hyperlink" Target="https://osf.io/bxumv" TargetMode="External"/><Relationship Id="rId253" Type="http://schemas.openxmlformats.org/officeDocument/2006/relationships/hyperlink" Target="https://doi.org/10.1002/pam.21702" TargetMode="External"/><Relationship Id="rId2294" Type="http://schemas.openxmlformats.org/officeDocument/2006/relationships/hyperlink" Target="https://osf.io/x2gmb" TargetMode="External"/><Relationship Id="rId252" Type="http://schemas.openxmlformats.org/officeDocument/2006/relationships/hyperlink" Target="https://aspredicted.org/slogin.php?s=AhaPdyHcZf" TargetMode="External"/><Relationship Id="rId2295" Type="http://schemas.openxmlformats.org/officeDocument/2006/relationships/hyperlink" Target="https://osf.io/g754e" TargetMode="External"/><Relationship Id="rId251" Type="http://schemas.openxmlformats.org/officeDocument/2006/relationships/hyperlink" Target="https://onlinelibrary.wiley.com/doi/pdf/10.1111/padm.12860" TargetMode="External"/><Relationship Id="rId2296" Type="http://schemas.openxmlformats.org/officeDocument/2006/relationships/hyperlink" Target="https://osf.io/3va2j" TargetMode="External"/><Relationship Id="rId250" Type="http://schemas.openxmlformats.org/officeDocument/2006/relationships/hyperlink" Target="https://aspredicted.org/slogin.php?s=AhaPdyHcZf" TargetMode="External"/><Relationship Id="rId2297" Type="http://schemas.openxmlformats.org/officeDocument/2006/relationships/hyperlink" Target="https://osf.io/ca8t3" TargetMode="External"/><Relationship Id="rId257" Type="http://schemas.openxmlformats.org/officeDocument/2006/relationships/hyperlink" Target="https://aspredicted.org/slogin.php?s=AhaPdyHcZf" TargetMode="External"/><Relationship Id="rId2298" Type="http://schemas.openxmlformats.org/officeDocument/2006/relationships/hyperlink" Target="https://osf.io/rc2kz" TargetMode="External"/><Relationship Id="rId256" Type="http://schemas.openxmlformats.org/officeDocument/2006/relationships/hyperlink" Target="https://onlinelibrary.wiley.com/doi/pdf/10.1111/padm.12860" TargetMode="External"/><Relationship Id="rId2299" Type="http://schemas.openxmlformats.org/officeDocument/2006/relationships/hyperlink" Target="https://osf.io/rc2kz" TargetMode="External"/><Relationship Id="rId255" Type="http://schemas.openxmlformats.org/officeDocument/2006/relationships/hyperlink" Target="https://aspredicted.org/~AhaPdyHcZf" TargetMode="External"/><Relationship Id="rId254" Type="http://schemas.openxmlformats.org/officeDocument/2006/relationships/hyperlink" Target="https://aspredicted.org/~AhaPdyHcZf" TargetMode="External"/><Relationship Id="rId293" Type="http://schemas.openxmlformats.org/officeDocument/2006/relationships/hyperlink" Target="https://doi.org/10.31234/osf.io/cf4xz" TargetMode="External"/><Relationship Id="rId292" Type="http://schemas.openxmlformats.org/officeDocument/2006/relationships/hyperlink" Target="https://osf.io/preprints/psyarxiv/cf4xz" TargetMode="External"/><Relationship Id="rId291" Type="http://schemas.openxmlformats.org/officeDocument/2006/relationships/hyperlink" Target="https://osf.io/preprints/psyarxiv/cf4xz" TargetMode="External"/><Relationship Id="rId290" Type="http://schemas.openxmlformats.org/officeDocument/2006/relationships/hyperlink" Target="https://doi.org/10.31234/osf.io/cf4xz" TargetMode="External"/><Relationship Id="rId286" Type="http://schemas.openxmlformats.org/officeDocument/2006/relationships/hyperlink" Target="https://aclanthology.org/2024.lrec-main.91" TargetMode="External"/><Relationship Id="rId285" Type="http://schemas.openxmlformats.org/officeDocument/2006/relationships/hyperlink" Target="https://aclanthology.org/2024.lrec-main.91" TargetMode="External"/><Relationship Id="rId284" Type="http://schemas.openxmlformats.org/officeDocument/2006/relationships/hyperlink" Target="https://aclanthology.org/2024.lrec-main.91" TargetMode="External"/><Relationship Id="rId283" Type="http://schemas.openxmlformats.org/officeDocument/2006/relationships/hyperlink" Target="https://aclanthology.org/2024.lrec-main.91" TargetMode="External"/><Relationship Id="rId289" Type="http://schemas.openxmlformats.org/officeDocument/2006/relationships/hyperlink" Target="https://doi.org/10.31234/osf.io/cf4xz" TargetMode="External"/><Relationship Id="rId288" Type="http://schemas.openxmlformats.org/officeDocument/2006/relationships/hyperlink" Target="https://osf.io/preprints/psyarxiv/cf4xz" TargetMode="External"/><Relationship Id="rId287" Type="http://schemas.openxmlformats.org/officeDocument/2006/relationships/hyperlink" Target="https://osf.io/preprints/psyarxiv/cf4xz" TargetMode="External"/><Relationship Id="rId282" Type="http://schemas.openxmlformats.org/officeDocument/2006/relationships/hyperlink" Target="https://keep-dev.lib.asu.edu/items/192630" TargetMode="External"/><Relationship Id="rId281" Type="http://schemas.openxmlformats.org/officeDocument/2006/relationships/hyperlink" Target="https://doi.org/10.1080/13523260.2020.1868836" TargetMode="External"/><Relationship Id="rId280" Type="http://schemas.openxmlformats.org/officeDocument/2006/relationships/hyperlink" Target="https://keep-dev.lib.asu.edu/items/192630" TargetMode="External"/><Relationship Id="rId275" Type="http://schemas.openxmlformats.org/officeDocument/2006/relationships/hyperlink" Target="https://aspredicted.org/slogin.php?s=AhaPdyHcZf" TargetMode="External"/><Relationship Id="rId274" Type="http://schemas.openxmlformats.org/officeDocument/2006/relationships/hyperlink" Target="https://onlinelibrary.wiley.com/doi/pdf/10.1111/padm.12860" TargetMode="External"/><Relationship Id="rId273" Type="http://schemas.openxmlformats.org/officeDocument/2006/relationships/hyperlink" Target="https://aspredicted.org/slogin.php?s=AhaPdyHcZf" TargetMode="External"/><Relationship Id="rId272" Type="http://schemas.openxmlformats.org/officeDocument/2006/relationships/hyperlink" Target="https://onlinelibrary.wiley.com/doi/pdf/10.1111/padm.12860" TargetMode="External"/><Relationship Id="rId279" Type="http://schemas.openxmlformats.org/officeDocument/2006/relationships/hyperlink" Target="https://aclanthology.org/2024.lrec-main.91" TargetMode="External"/><Relationship Id="rId278" Type="http://schemas.openxmlformats.org/officeDocument/2006/relationships/hyperlink" Target="https://doi.org/10.18653/v1/2023.acl-long.864" TargetMode="External"/><Relationship Id="rId277" Type="http://schemas.openxmlformats.org/officeDocument/2006/relationships/hyperlink" Target="https://aclanthology.org/2024.lrec-main.91" TargetMode="External"/><Relationship Id="rId276" Type="http://schemas.openxmlformats.org/officeDocument/2006/relationships/hyperlink" Target="https://aclanthology.org/2024.lrec-main.91" TargetMode="External"/><Relationship Id="rId1851" Type="http://schemas.openxmlformats.org/officeDocument/2006/relationships/hyperlink" Target="https://www.pnas.org/action/downloadSupplement?doi=10.1073%2Fpnas.1606574113&amp;file=pnas.1606574113.sapp.pdf" TargetMode="External"/><Relationship Id="rId1852" Type="http://schemas.openxmlformats.org/officeDocument/2006/relationships/hyperlink" Target="https://doi.org/10/f8646f" TargetMode="External"/><Relationship Id="rId1853" Type="http://schemas.openxmlformats.org/officeDocument/2006/relationships/hyperlink" Target="https://doi.org/10/f8646f" TargetMode="External"/><Relationship Id="rId1854" Type="http://schemas.openxmlformats.org/officeDocument/2006/relationships/hyperlink" Target="https://osf.io/sejyp" TargetMode="External"/><Relationship Id="rId1855" Type="http://schemas.openxmlformats.org/officeDocument/2006/relationships/hyperlink" Target="https://osf.io/8z2tm" TargetMode="External"/><Relationship Id="rId1856" Type="http://schemas.openxmlformats.org/officeDocument/2006/relationships/hyperlink" Target="https://doi.org/10/f8646f" TargetMode="External"/><Relationship Id="rId1857" Type="http://schemas.openxmlformats.org/officeDocument/2006/relationships/hyperlink" Target="https://doi.org/10/f8646f" TargetMode="External"/><Relationship Id="rId1858" Type="http://schemas.openxmlformats.org/officeDocument/2006/relationships/hyperlink" Target="https://osf.io/sejyp" TargetMode="External"/><Relationship Id="rId1859" Type="http://schemas.openxmlformats.org/officeDocument/2006/relationships/hyperlink" Target="https://doi.org/10/f9h49k" TargetMode="External"/><Relationship Id="rId1850" Type="http://schemas.openxmlformats.org/officeDocument/2006/relationships/hyperlink" Target="https://osf.io/sejyp" TargetMode="External"/><Relationship Id="rId1840" Type="http://schemas.openxmlformats.org/officeDocument/2006/relationships/hyperlink" Target="https://doi.org/10/gfzkq8" TargetMode="External"/><Relationship Id="rId1841" Type="http://schemas.openxmlformats.org/officeDocument/2006/relationships/hyperlink" Target="https://osf.io/sejyp" TargetMode="External"/><Relationship Id="rId1842" Type="http://schemas.openxmlformats.org/officeDocument/2006/relationships/hyperlink" Target="https://osf.io/tg2xb" TargetMode="External"/><Relationship Id="rId1843" Type="http://schemas.openxmlformats.org/officeDocument/2006/relationships/hyperlink" Target="https://doi.org/10/gfzkq8" TargetMode="External"/><Relationship Id="rId1844" Type="http://schemas.openxmlformats.org/officeDocument/2006/relationships/hyperlink" Target="https://osf.io/sejyp" TargetMode="External"/><Relationship Id="rId1845" Type="http://schemas.openxmlformats.org/officeDocument/2006/relationships/hyperlink" Target="https://www.pnas.org/action/downloadSupplement?doi=10.1073%2Fpnas.1508932113&amp;file=pnas.201508932SI.pdf" TargetMode="External"/><Relationship Id="rId1846" Type="http://schemas.openxmlformats.org/officeDocument/2006/relationships/hyperlink" Target="https://doi.org/10/f8hms6" TargetMode="External"/><Relationship Id="rId1847" Type="http://schemas.openxmlformats.org/officeDocument/2006/relationships/hyperlink" Target="https://osf.io/sejyp" TargetMode="External"/><Relationship Id="rId1848" Type="http://schemas.openxmlformats.org/officeDocument/2006/relationships/hyperlink" Target="https://osf.io/nuw8e" TargetMode="External"/><Relationship Id="rId1849" Type="http://schemas.openxmlformats.org/officeDocument/2006/relationships/hyperlink" Target="https://doi.org/10/f8hms6" TargetMode="External"/><Relationship Id="rId1873" Type="http://schemas.openxmlformats.org/officeDocument/2006/relationships/hyperlink" Target="https://osf.io/gq2fr" TargetMode="External"/><Relationship Id="rId1874" Type="http://schemas.openxmlformats.org/officeDocument/2006/relationships/hyperlink" Target="https://doi.org/10/gfqzv6" TargetMode="External"/><Relationship Id="rId1875" Type="http://schemas.openxmlformats.org/officeDocument/2006/relationships/hyperlink" Target="https://osf.io/sejyp" TargetMode="External"/><Relationship Id="rId1876" Type="http://schemas.openxmlformats.org/officeDocument/2006/relationships/hyperlink" Target="https://www.pnas.org/doi/suppl/10.1073/pnas.1610834113" TargetMode="External"/><Relationship Id="rId1877" Type="http://schemas.openxmlformats.org/officeDocument/2006/relationships/hyperlink" Target="https://doi.org/10/f9hmdp" TargetMode="External"/><Relationship Id="rId1878" Type="http://schemas.openxmlformats.org/officeDocument/2006/relationships/hyperlink" Target="https://osf.io/sejyp" TargetMode="External"/><Relationship Id="rId1879" Type="http://schemas.openxmlformats.org/officeDocument/2006/relationships/hyperlink" Target="https://osf.io/cyg6v" TargetMode="External"/><Relationship Id="rId1870" Type="http://schemas.openxmlformats.org/officeDocument/2006/relationships/hyperlink" Target="https://doi.org/10/gfqzv6" TargetMode="External"/><Relationship Id="rId1871" Type="http://schemas.openxmlformats.org/officeDocument/2006/relationships/hyperlink" Target="https://osf.io/sejyp" TargetMode="External"/><Relationship Id="rId1872" Type="http://schemas.openxmlformats.org/officeDocument/2006/relationships/hyperlink" Target="https://osf.io/qfhe4/" TargetMode="External"/><Relationship Id="rId1862" Type="http://schemas.openxmlformats.org/officeDocument/2006/relationships/hyperlink" Target="https://doi.org/10/f9h49k" TargetMode="External"/><Relationship Id="rId1863" Type="http://schemas.openxmlformats.org/officeDocument/2006/relationships/hyperlink" Target="https://osf.io/sejyp" TargetMode="External"/><Relationship Id="rId1864" Type="http://schemas.openxmlformats.org/officeDocument/2006/relationships/hyperlink" Target="https://doi.org/10/gbnk55" TargetMode="External"/><Relationship Id="rId1865" Type="http://schemas.openxmlformats.org/officeDocument/2006/relationships/hyperlink" Target="https://osf.io/sejyp" TargetMode="External"/><Relationship Id="rId1866" Type="http://schemas.openxmlformats.org/officeDocument/2006/relationships/hyperlink" Target="https://osf.io/e6pq5" TargetMode="External"/><Relationship Id="rId1867" Type="http://schemas.openxmlformats.org/officeDocument/2006/relationships/hyperlink" Target="https://doi.org/10/gbnk55" TargetMode="External"/><Relationship Id="rId1868" Type="http://schemas.openxmlformats.org/officeDocument/2006/relationships/hyperlink" Target="https://osf.io/sejyp" TargetMode="External"/><Relationship Id="rId1869" Type="http://schemas.openxmlformats.org/officeDocument/2006/relationships/hyperlink" Target="https://ftp.ebi.ac.uk/biostudies/nfs/S-EPMC/472/S-EPMC6275472/Files/pnas.1717092115.sapp.pdf" TargetMode="External"/><Relationship Id="rId1860" Type="http://schemas.openxmlformats.org/officeDocument/2006/relationships/hyperlink" Target="https://osf.io/sejyp" TargetMode="External"/><Relationship Id="rId1861" Type="http://schemas.openxmlformats.org/officeDocument/2006/relationships/hyperlink" Target="https://osf.io/j7syt" TargetMode="External"/><Relationship Id="rId1810" Type="http://schemas.openxmlformats.org/officeDocument/2006/relationships/hyperlink" Target="https://osf.io/wc4xm" TargetMode="External"/><Relationship Id="rId1811" Type="http://schemas.openxmlformats.org/officeDocument/2006/relationships/hyperlink" Target="https://doi.org/10/gckbgp" TargetMode="External"/><Relationship Id="rId1812" Type="http://schemas.openxmlformats.org/officeDocument/2006/relationships/hyperlink" Target="https://osf.io/sejyp" TargetMode="External"/><Relationship Id="rId1813" Type="http://schemas.openxmlformats.org/officeDocument/2006/relationships/hyperlink" Target="https://doi.org/10/f8jpjp" TargetMode="External"/><Relationship Id="rId1814" Type="http://schemas.openxmlformats.org/officeDocument/2006/relationships/hyperlink" Target="https://osf.io/sejyp" TargetMode="External"/><Relationship Id="rId1815" Type="http://schemas.openxmlformats.org/officeDocument/2006/relationships/hyperlink" Target="https://osf.io/6vnm5" TargetMode="External"/><Relationship Id="rId1816" Type="http://schemas.openxmlformats.org/officeDocument/2006/relationships/hyperlink" Target="https://doi.org/10/f8jpjp" TargetMode="External"/><Relationship Id="rId1817" Type="http://schemas.openxmlformats.org/officeDocument/2006/relationships/hyperlink" Target="https://osf.io/sejyp" TargetMode="External"/><Relationship Id="rId1818" Type="http://schemas.openxmlformats.org/officeDocument/2006/relationships/hyperlink" Target="https://doi.org/10/f7fzmv" TargetMode="External"/><Relationship Id="rId1819" Type="http://schemas.openxmlformats.org/officeDocument/2006/relationships/hyperlink" Target="https://osf.io/sejyp" TargetMode="External"/><Relationship Id="rId1800" Type="http://schemas.openxmlformats.org/officeDocument/2006/relationships/hyperlink" Target="https://osf.io/sqxe8" TargetMode="External"/><Relationship Id="rId1801" Type="http://schemas.openxmlformats.org/officeDocument/2006/relationships/hyperlink" Target="https://doi.org/10/f8w9bk" TargetMode="External"/><Relationship Id="rId1802" Type="http://schemas.openxmlformats.org/officeDocument/2006/relationships/hyperlink" Target="https://osf.io/sejyp" TargetMode="External"/><Relationship Id="rId1803" Type="http://schemas.openxmlformats.org/officeDocument/2006/relationships/hyperlink" Target="https://doi.org/10/f77w6d" TargetMode="External"/><Relationship Id="rId1804" Type="http://schemas.openxmlformats.org/officeDocument/2006/relationships/hyperlink" Target="https://osf.io/sejyp" TargetMode="External"/><Relationship Id="rId1805" Type="http://schemas.openxmlformats.org/officeDocument/2006/relationships/hyperlink" Target="https://osf.io/r5mtg" TargetMode="External"/><Relationship Id="rId1806" Type="http://schemas.openxmlformats.org/officeDocument/2006/relationships/hyperlink" Target="https://doi.org/10/f77w6d" TargetMode="External"/><Relationship Id="rId1807" Type="http://schemas.openxmlformats.org/officeDocument/2006/relationships/hyperlink" Target="https://osf.io/sejyp" TargetMode="External"/><Relationship Id="rId1808" Type="http://schemas.openxmlformats.org/officeDocument/2006/relationships/hyperlink" Target="https://doi.org/10/gckbgp" TargetMode="External"/><Relationship Id="rId1809" Type="http://schemas.openxmlformats.org/officeDocument/2006/relationships/hyperlink" Target="https://osf.io/sejyp" TargetMode="External"/><Relationship Id="rId1830" Type="http://schemas.openxmlformats.org/officeDocument/2006/relationships/hyperlink" Target="https://osf.io/ev794" TargetMode="External"/><Relationship Id="rId1831" Type="http://schemas.openxmlformats.org/officeDocument/2006/relationships/hyperlink" Target="https://osf.io/eknym" TargetMode="External"/><Relationship Id="rId1832" Type="http://schemas.openxmlformats.org/officeDocument/2006/relationships/hyperlink" Target="https://doi.org/10/b9dr" TargetMode="External"/><Relationship Id="rId1833" Type="http://schemas.openxmlformats.org/officeDocument/2006/relationships/hyperlink" Target="https://osf.io/sejyp" TargetMode="External"/><Relationship Id="rId1834" Type="http://schemas.openxmlformats.org/officeDocument/2006/relationships/hyperlink" Target="https://doi.org/10/gbxsnh" TargetMode="External"/><Relationship Id="rId1835" Type="http://schemas.openxmlformats.org/officeDocument/2006/relationships/hyperlink" Target="https://osf.io/sejyp" TargetMode="External"/><Relationship Id="rId1836" Type="http://schemas.openxmlformats.org/officeDocument/2006/relationships/hyperlink" Target="https://aspredicted.org/w82be.pdf" TargetMode="External"/><Relationship Id="rId1837" Type="http://schemas.openxmlformats.org/officeDocument/2006/relationships/hyperlink" Target="https://osf.io/7qnv4" TargetMode="External"/><Relationship Id="rId1838" Type="http://schemas.openxmlformats.org/officeDocument/2006/relationships/hyperlink" Target="https://doi.org/10/gbxsnh" TargetMode="External"/><Relationship Id="rId1839" Type="http://schemas.openxmlformats.org/officeDocument/2006/relationships/hyperlink" Target="https://osf.io/sejyp" TargetMode="External"/><Relationship Id="rId1820" Type="http://schemas.openxmlformats.org/officeDocument/2006/relationships/hyperlink" Target="https://osf.io/xd947" TargetMode="External"/><Relationship Id="rId1821" Type="http://schemas.openxmlformats.org/officeDocument/2006/relationships/hyperlink" Target="https://doi.org/10/f7fzmv" TargetMode="External"/><Relationship Id="rId1822" Type="http://schemas.openxmlformats.org/officeDocument/2006/relationships/hyperlink" Target="https://osf.io/sejyp" TargetMode="External"/><Relationship Id="rId1823" Type="http://schemas.openxmlformats.org/officeDocument/2006/relationships/hyperlink" Target="https://doi.org/10/gd4t95" TargetMode="External"/><Relationship Id="rId1824" Type="http://schemas.openxmlformats.org/officeDocument/2006/relationships/hyperlink" Target="https://osf.io/sejyp" TargetMode="External"/><Relationship Id="rId1825" Type="http://schemas.openxmlformats.org/officeDocument/2006/relationships/hyperlink" Target="https://osf.io/e37nu" TargetMode="External"/><Relationship Id="rId1826" Type="http://schemas.openxmlformats.org/officeDocument/2006/relationships/hyperlink" Target="https://doi.org/10/gd4t95" TargetMode="External"/><Relationship Id="rId1827" Type="http://schemas.openxmlformats.org/officeDocument/2006/relationships/hyperlink" Target="https://osf.io/sejyp" TargetMode="External"/><Relationship Id="rId1828" Type="http://schemas.openxmlformats.org/officeDocument/2006/relationships/hyperlink" Target="https://doi.org/10/b9dr" TargetMode="External"/><Relationship Id="rId1829" Type="http://schemas.openxmlformats.org/officeDocument/2006/relationships/hyperlink" Target="https://osf.io/sejyp" TargetMode="External"/><Relationship Id="rId2302" Type="http://schemas.openxmlformats.org/officeDocument/2006/relationships/hyperlink" Target="https://osf.io/f59hn" TargetMode="External"/><Relationship Id="rId3634" Type="http://schemas.openxmlformats.org/officeDocument/2006/relationships/hyperlink" Target="https://osf.io/vcqwj" TargetMode="External"/><Relationship Id="rId2303" Type="http://schemas.openxmlformats.org/officeDocument/2006/relationships/hyperlink" Target="https://osf.io/chf7m" TargetMode="External"/><Relationship Id="rId3633" Type="http://schemas.openxmlformats.org/officeDocument/2006/relationships/hyperlink" Target="https://osf.io/vcqwj" TargetMode="External"/><Relationship Id="rId2304" Type="http://schemas.openxmlformats.org/officeDocument/2006/relationships/hyperlink" Target="https://osf.io/chf7m" TargetMode="External"/><Relationship Id="rId3636" Type="http://schemas.openxmlformats.org/officeDocument/2006/relationships/hyperlink" Target="https://osf.io/zpkqt" TargetMode="External"/><Relationship Id="rId2305" Type="http://schemas.openxmlformats.org/officeDocument/2006/relationships/hyperlink" Target="https://osf.io/ep2an" TargetMode="External"/><Relationship Id="rId3635" Type="http://schemas.openxmlformats.org/officeDocument/2006/relationships/hyperlink" Target="https://osf.io/vcqwj" TargetMode="External"/><Relationship Id="rId2306" Type="http://schemas.openxmlformats.org/officeDocument/2006/relationships/hyperlink" Target="https://osf.io/ep2an" TargetMode="External"/><Relationship Id="rId3638" Type="http://schemas.openxmlformats.org/officeDocument/2006/relationships/hyperlink" Target="https://osf.io/e859v" TargetMode="External"/><Relationship Id="rId2307" Type="http://schemas.openxmlformats.org/officeDocument/2006/relationships/hyperlink" Target="https://osf.io/psab8" TargetMode="External"/><Relationship Id="rId3637" Type="http://schemas.openxmlformats.org/officeDocument/2006/relationships/hyperlink" Target="https://osf.io/c3phs" TargetMode="External"/><Relationship Id="rId2308" Type="http://schemas.openxmlformats.org/officeDocument/2006/relationships/hyperlink" Target="https://osf.io/y8njt" TargetMode="External"/><Relationship Id="rId2309" Type="http://schemas.openxmlformats.org/officeDocument/2006/relationships/hyperlink" Target="https://osf.io/bvu64" TargetMode="External"/><Relationship Id="rId3639" Type="http://schemas.openxmlformats.org/officeDocument/2006/relationships/hyperlink" Target="https://osf.io/fve58" TargetMode="External"/><Relationship Id="rId3630" Type="http://schemas.openxmlformats.org/officeDocument/2006/relationships/hyperlink" Target="https://osf.io/kqatx/files/osfstorage" TargetMode="External"/><Relationship Id="rId2300" Type="http://schemas.openxmlformats.org/officeDocument/2006/relationships/hyperlink" Target="https://osf.io/3ubv9" TargetMode="External"/><Relationship Id="rId3632" Type="http://schemas.openxmlformats.org/officeDocument/2006/relationships/hyperlink" Target="https://osf.io/qdn2m" TargetMode="External"/><Relationship Id="rId2301" Type="http://schemas.openxmlformats.org/officeDocument/2006/relationships/hyperlink" Target="https://osf.io/f59hn" TargetMode="External"/><Relationship Id="rId3631" Type="http://schemas.openxmlformats.org/officeDocument/2006/relationships/hyperlink" Target="https://osf.io/vcqwj" TargetMode="External"/><Relationship Id="rId3623" Type="http://schemas.openxmlformats.org/officeDocument/2006/relationships/hyperlink" Target="https://osf.io/kqatx/files/osfstorage" TargetMode="External"/><Relationship Id="rId3622" Type="http://schemas.openxmlformats.org/officeDocument/2006/relationships/hyperlink" Target="https://osf.io/kqatx/files/osfstorage" TargetMode="External"/><Relationship Id="rId3625" Type="http://schemas.openxmlformats.org/officeDocument/2006/relationships/hyperlink" Target="https://osf.io/kqatx/files/osfstorage" TargetMode="External"/><Relationship Id="rId3624" Type="http://schemas.openxmlformats.org/officeDocument/2006/relationships/hyperlink" Target="https://osf.io/kqatx/files/osfstorage" TargetMode="External"/><Relationship Id="rId3627" Type="http://schemas.openxmlformats.org/officeDocument/2006/relationships/hyperlink" Target="https://osf.io/kqatx/files/osfstorage" TargetMode="External"/><Relationship Id="rId3626" Type="http://schemas.openxmlformats.org/officeDocument/2006/relationships/hyperlink" Target="https://osf.io/kqatx/files/osfstorage" TargetMode="External"/><Relationship Id="rId3629" Type="http://schemas.openxmlformats.org/officeDocument/2006/relationships/hyperlink" Target="https://osf.io/kqatx/files/osfstorage" TargetMode="External"/><Relationship Id="rId3628" Type="http://schemas.openxmlformats.org/officeDocument/2006/relationships/hyperlink" Target="https://osf.io/kqatx/files/osfstorage" TargetMode="External"/><Relationship Id="rId3621" Type="http://schemas.openxmlformats.org/officeDocument/2006/relationships/hyperlink" Target="https://osf.io/r73fb" TargetMode="External"/><Relationship Id="rId3620" Type="http://schemas.openxmlformats.org/officeDocument/2006/relationships/hyperlink" Target="https://osf.io/r73fb" TargetMode="External"/><Relationship Id="rId2324" Type="http://schemas.openxmlformats.org/officeDocument/2006/relationships/hyperlink" Target="https://osf.io/c8qhv" TargetMode="External"/><Relationship Id="rId3656" Type="http://schemas.openxmlformats.org/officeDocument/2006/relationships/hyperlink" Target="https://osf.io/6nn57" TargetMode="External"/><Relationship Id="rId2325" Type="http://schemas.openxmlformats.org/officeDocument/2006/relationships/hyperlink" Target="https://osf.io/c8qhv" TargetMode="External"/><Relationship Id="rId3655" Type="http://schemas.openxmlformats.org/officeDocument/2006/relationships/hyperlink" Target="https://osf.io/5vqzy" TargetMode="External"/><Relationship Id="rId2326" Type="http://schemas.openxmlformats.org/officeDocument/2006/relationships/hyperlink" Target="https://osf.io/ctvej" TargetMode="External"/><Relationship Id="rId3658" Type="http://schemas.openxmlformats.org/officeDocument/2006/relationships/hyperlink" Target="https://osf.io/y9p7u/" TargetMode="External"/><Relationship Id="rId2327" Type="http://schemas.openxmlformats.org/officeDocument/2006/relationships/hyperlink" Target="https://osf.io/ctvej" TargetMode="External"/><Relationship Id="rId3657" Type="http://schemas.openxmlformats.org/officeDocument/2006/relationships/hyperlink" Target="https://osf.io/5vqzy" TargetMode="External"/><Relationship Id="rId2328" Type="http://schemas.openxmlformats.org/officeDocument/2006/relationships/hyperlink" Target="https://osf.io/ngxye" TargetMode="External"/><Relationship Id="rId2329" Type="http://schemas.openxmlformats.org/officeDocument/2006/relationships/hyperlink" Target="https://osf.io/ngxye" TargetMode="External"/><Relationship Id="rId3659" Type="http://schemas.openxmlformats.org/officeDocument/2006/relationships/hyperlink" Target="https://osf.io/jky24" TargetMode="External"/><Relationship Id="rId3650" Type="http://schemas.openxmlformats.org/officeDocument/2006/relationships/hyperlink" Target="https://osf.io/xv4h3" TargetMode="External"/><Relationship Id="rId2320" Type="http://schemas.openxmlformats.org/officeDocument/2006/relationships/hyperlink" Target="https://osf.io/853ue" TargetMode="External"/><Relationship Id="rId3652" Type="http://schemas.openxmlformats.org/officeDocument/2006/relationships/hyperlink" Target="https://osf.io/xv4h3" TargetMode="External"/><Relationship Id="rId2321" Type="http://schemas.openxmlformats.org/officeDocument/2006/relationships/hyperlink" Target="https://osf.io/853ue" TargetMode="External"/><Relationship Id="rId3651" Type="http://schemas.openxmlformats.org/officeDocument/2006/relationships/hyperlink" Target="https://osf.io/75h98" TargetMode="External"/><Relationship Id="rId2322" Type="http://schemas.openxmlformats.org/officeDocument/2006/relationships/hyperlink" Target="https://osf.io/36dr5" TargetMode="External"/><Relationship Id="rId3654" Type="http://schemas.openxmlformats.org/officeDocument/2006/relationships/hyperlink" Target="https://osf.io/xv4h3" TargetMode="External"/><Relationship Id="rId2323" Type="http://schemas.openxmlformats.org/officeDocument/2006/relationships/hyperlink" Target="https://osf.io/v7bjc" TargetMode="External"/><Relationship Id="rId3653" Type="http://schemas.openxmlformats.org/officeDocument/2006/relationships/hyperlink" Target="https://osf.io/xv4h3" TargetMode="External"/><Relationship Id="rId2313" Type="http://schemas.openxmlformats.org/officeDocument/2006/relationships/hyperlink" Target="https://osf.io/3amj4" TargetMode="External"/><Relationship Id="rId3645" Type="http://schemas.openxmlformats.org/officeDocument/2006/relationships/hyperlink" Target="https://osf.io/e859v" TargetMode="External"/><Relationship Id="rId2314" Type="http://schemas.openxmlformats.org/officeDocument/2006/relationships/hyperlink" Target="https://osf.io/9mkae" TargetMode="External"/><Relationship Id="rId3644" Type="http://schemas.openxmlformats.org/officeDocument/2006/relationships/hyperlink" Target="https://osf.io/e859v" TargetMode="External"/><Relationship Id="rId2315" Type="http://schemas.openxmlformats.org/officeDocument/2006/relationships/hyperlink" Target="https://osf.io/9mkae" TargetMode="External"/><Relationship Id="rId3647" Type="http://schemas.openxmlformats.org/officeDocument/2006/relationships/hyperlink" Target="https://osf.io/e859v" TargetMode="External"/><Relationship Id="rId2316" Type="http://schemas.openxmlformats.org/officeDocument/2006/relationships/hyperlink" Target="https://osf.io/9apd7" TargetMode="External"/><Relationship Id="rId3646" Type="http://schemas.openxmlformats.org/officeDocument/2006/relationships/hyperlink" Target="https://osf.io/e859v" TargetMode="External"/><Relationship Id="rId2317" Type="http://schemas.openxmlformats.org/officeDocument/2006/relationships/hyperlink" Target="https://osf.io/suyfc" TargetMode="External"/><Relationship Id="rId3649" Type="http://schemas.openxmlformats.org/officeDocument/2006/relationships/hyperlink" Target="https://osf.io/e859v" TargetMode="External"/><Relationship Id="rId2318" Type="http://schemas.openxmlformats.org/officeDocument/2006/relationships/hyperlink" Target="https://osf.io/tys7b" TargetMode="External"/><Relationship Id="rId3648" Type="http://schemas.openxmlformats.org/officeDocument/2006/relationships/hyperlink" Target="https://osf.io/e859v" TargetMode="External"/><Relationship Id="rId2319" Type="http://schemas.openxmlformats.org/officeDocument/2006/relationships/hyperlink" Target="https://osf.io/u3x7s" TargetMode="External"/><Relationship Id="rId3641" Type="http://schemas.openxmlformats.org/officeDocument/2006/relationships/hyperlink" Target="https://osf.io/e859v" TargetMode="External"/><Relationship Id="rId2310" Type="http://schemas.openxmlformats.org/officeDocument/2006/relationships/hyperlink" Target="https://osf.io/fsut4" TargetMode="External"/><Relationship Id="rId3640" Type="http://schemas.openxmlformats.org/officeDocument/2006/relationships/hyperlink" Target="https://osf.io/e859v" TargetMode="External"/><Relationship Id="rId2311" Type="http://schemas.openxmlformats.org/officeDocument/2006/relationships/hyperlink" Target="https://osf.io/bhnkq" TargetMode="External"/><Relationship Id="rId3643" Type="http://schemas.openxmlformats.org/officeDocument/2006/relationships/hyperlink" Target="https://osf.io/e859v" TargetMode="External"/><Relationship Id="rId2312" Type="http://schemas.openxmlformats.org/officeDocument/2006/relationships/hyperlink" Target="https://osf.io/bhnkq" TargetMode="External"/><Relationship Id="rId3642" Type="http://schemas.openxmlformats.org/officeDocument/2006/relationships/hyperlink" Target="https://osf.io/e859v" TargetMode="External"/><Relationship Id="rId1895" Type="http://schemas.openxmlformats.org/officeDocument/2006/relationships/hyperlink" Target="https://osf.io/3pu8d" TargetMode="External"/><Relationship Id="rId1896" Type="http://schemas.openxmlformats.org/officeDocument/2006/relationships/hyperlink" Target="https://doi.org/10/f74fb4" TargetMode="External"/><Relationship Id="rId1897" Type="http://schemas.openxmlformats.org/officeDocument/2006/relationships/hyperlink" Target="https://osf.io/sejyp" TargetMode="External"/><Relationship Id="rId1898" Type="http://schemas.openxmlformats.org/officeDocument/2006/relationships/hyperlink" Target="https://doi.org/10/ggb75r" TargetMode="External"/><Relationship Id="rId1899" Type="http://schemas.openxmlformats.org/officeDocument/2006/relationships/hyperlink" Target="https://osf.io/sejyp" TargetMode="External"/><Relationship Id="rId1890" Type="http://schemas.openxmlformats.org/officeDocument/2006/relationships/hyperlink" Target="https://osf.io/4aqu7" TargetMode="External"/><Relationship Id="rId1891" Type="http://schemas.openxmlformats.org/officeDocument/2006/relationships/hyperlink" Target="https://doi.org/10/gsv6xm" TargetMode="External"/><Relationship Id="rId1892" Type="http://schemas.openxmlformats.org/officeDocument/2006/relationships/hyperlink" Target="https://osf.io/sejyp" TargetMode="External"/><Relationship Id="rId1893" Type="http://schemas.openxmlformats.org/officeDocument/2006/relationships/hyperlink" Target="https://doi.org/10/f74fb4" TargetMode="External"/><Relationship Id="rId1894" Type="http://schemas.openxmlformats.org/officeDocument/2006/relationships/hyperlink" Target="https://osf.io/sejyp" TargetMode="External"/><Relationship Id="rId1884" Type="http://schemas.openxmlformats.org/officeDocument/2006/relationships/hyperlink" Target="https://aspredicted.org/ij46t.pdf" TargetMode="External"/><Relationship Id="rId1885" Type="http://schemas.openxmlformats.org/officeDocument/2006/relationships/hyperlink" Target="https://osf.io/kpvwg" TargetMode="External"/><Relationship Id="rId1886" Type="http://schemas.openxmlformats.org/officeDocument/2006/relationships/hyperlink" Target="https://doi.org/10/crgh" TargetMode="External"/><Relationship Id="rId1887" Type="http://schemas.openxmlformats.org/officeDocument/2006/relationships/hyperlink" Target="https://osf.io/sejyp" TargetMode="External"/><Relationship Id="rId1888" Type="http://schemas.openxmlformats.org/officeDocument/2006/relationships/hyperlink" Target="https://doi.org/10/gsv6xm" TargetMode="External"/><Relationship Id="rId1889" Type="http://schemas.openxmlformats.org/officeDocument/2006/relationships/hyperlink" Target="https://osf.io/sejyp" TargetMode="External"/><Relationship Id="rId1880" Type="http://schemas.openxmlformats.org/officeDocument/2006/relationships/hyperlink" Target="https://doi.org/10/f9hmdp" TargetMode="External"/><Relationship Id="rId1881" Type="http://schemas.openxmlformats.org/officeDocument/2006/relationships/hyperlink" Target="https://osf.io/sejyp" TargetMode="External"/><Relationship Id="rId1882" Type="http://schemas.openxmlformats.org/officeDocument/2006/relationships/hyperlink" Target="https://doi.org/10/crgh" TargetMode="External"/><Relationship Id="rId1883" Type="http://schemas.openxmlformats.org/officeDocument/2006/relationships/hyperlink" Target="https://osf.io/sejyp" TargetMode="External"/><Relationship Id="rId3612" Type="http://schemas.openxmlformats.org/officeDocument/2006/relationships/hyperlink" Target="https://osf.io/4hjck/" TargetMode="External"/><Relationship Id="rId3611" Type="http://schemas.openxmlformats.org/officeDocument/2006/relationships/hyperlink" Target="https://osf.io/2cg3e/files/osfstorage" TargetMode="External"/><Relationship Id="rId3614" Type="http://schemas.openxmlformats.org/officeDocument/2006/relationships/hyperlink" Target="https://osf.io/r73fb" TargetMode="External"/><Relationship Id="rId3613" Type="http://schemas.openxmlformats.org/officeDocument/2006/relationships/hyperlink" Target="https://osf.io/r73fb" TargetMode="External"/><Relationship Id="rId3616" Type="http://schemas.openxmlformats.org/officeDocument/2006/relationships/hyperlink" Target="https://osf.io/r73fb" TargetMode="External"/><Relationship Id="rId3615" Type="http://schemas.openxmlformats.org/officeDocument/2006/relationships/hyperlink" Target="https://osf.io/r73fb" TargetMode="External"/><Relationship Id="rId3618" Type="http://schemas.openxmlformats.org/officeDocument/2006/relationships/hyperlink" Target="https://osf.io/r73fb" TargetMode="External"/><Relationship Id="rId3617" Type="http://schemas.openxmlformats.org/officeDocument/2006/relationships/hyperlink" Target="https://osf.io/r73fb" TargetMode="External"/><Relationship Id="rId3619" Type="http://schemas.openxmlformats.org/officeDocument/2006/relationships/hyperlink" Target="https://osf.io/r73fb" TargetMode="External"/><Relationship Id="rId3610" Type="http://schemas.openxmlformats.org/officeDocument/2006/relationships/hyperlink" Target="https://osf.io/2cg3e/files/osfstorage" TargetMode="External"/><Relationship Id="rId3601" Type="http://schemas.openxmlformats.org/officeDocument/2006/relationships/hyperlink" Target="https://osf.io/2cg3e/files/osfstorage" TargetMode="External"/><Relationship Id="rId3600" Type="http://schemas.openxmlformats.org/officeDocument/2006/relationships/hyperlink" Target="https://osf.io/mz7n5" TargetMode="External"/><Relationship Id="rId3603" Type="http://schemas.openxmlformats.org/officeDocument/2006/relationships/hyperlink" Target="https://osf.io/2cg3e/files/osfstorage" TargetMode="External"/><Relationship Id="rId3602" Type="http://schemas.openxmlformats.org/officeDocument/2006/relationships/hyperlink" Target="https://osf.io/2cg3e/files/osfstorage" TargetMode="External"/><Relationship Id="rId3605" Type="http://schemas.openxmlformats.org/officeDocument/2006/relationships/hyperlink" Target="https://osf.io/2cg3e/files/osfstorage" TargetMode="External"/><Relationship Id="rId3604" Type="http://schemas.openxmlformats.org/officeDocument/2006/relationships/hyperlink" Target="https://osf.io/2cg3e/files/osfstorage" TargetMode="External"/><Relationship Id="rId3607" Type="http://schemas.openxmlformats.org/officeDocument/2006/relationships/hyperlink" Target="https://osf.io/2cg3e/files/osfstorage" TargetMode="External"/><Relationship Id="rId3606" Type="http://schemas.openxmlformats.org/officeDocument/2006/relationships/hyperlink" Target="https://osf.io/mz7n5" TargetMode="External"/><Relationship Id="rId3609" Type="http://schemas.openxmlformats.org/officeDocument/2006/relationships/hyperlink" Target="https://osf.io/2cg3e/files/osfstorage" TargetMode="External"/><Relationship Id="rId3608" Type="http://schemas.openxmlformats.org/officeDocument/2006/relationships/hyperlink" Target="https://osf.io/2cg3e/files/osfstorage" TargetMode="External"/><Relationship Id="rId1059" Type="http://schemas.openxmlformats.org/officeDocument/2006/relationships/hyperlink" Target="https://osf.io/3xcq7" TargetMode="External"/><Relationship Id="rId228" Type="http://schemas.openxmlformats.org/officeDocument/2006/relationships/hyperlink" Target="https://thekeep.eiu.edu/theses/5025?utm_source=thekeep.eiu.edu%2Ftheses%2F5025&amp;utm_medium=PDF&amp;utm_campaign=PDFCoverPages" TargetMode="External"/><Relationship Id="rId227" Type="http://schemas.openxmlformats.org/officeDocument/2006/relationships/hyperlink" Target="https://thekeep.eiu.edu/theses/4783" TargetMode="External"/><Relationship Id="rId226" Type="http://schemas.openxmlformats.org/officeDocument/2006/relationships/hyperlink" Target="https://thekeep.eiu.edu/theses/5025/?utm_source=thekeep.eiu.edu%2Ftheses%2F5025&amp;utm_medium=PDF&amp;utm_campaign=PDFCoverPages" TargetMode="External"/><Relationship Id="rId225" Type="http://schemas.openxmlformats.org/officeDocument/2006/relationships/hyperlink" Target="http://thekeep.eiu.edu/theses/5025" TargetMode="External"/><Relationship Id="rId2380" Type="http://schemas.openxmlformats.org/officeDocument/2006/relationships/hyperlink" Target="https://doi.org/10.31234/osf.io/bgp3m" TargetMode="External"/><Relationship Id="rId229" Type="http://schemas.openxmlformats.org/officeDocument/2006/relationships/hyperlink" Target="http://thekeep.eiu.edu/theses/5025" TargetMode="External"/><Relationship Id="rId1050" Type="http://schemas.openxmlformats.org/officeDocument/2006/relationships/hyperlink" Target="https://rpubs.com/klsanch/pilotAwriteup" TargetMode="External"/><Relationship Id="rId2381" Type="http://schemas.openxmlformats.org/officeDocument/2006/relationships/hyperlink" Target="https://osf.io/q6tv8" TargetMode="External"/><Relationship Id="rId220" Type="http://schemas.openxmlformats.org/officeDocument/2006/relationships/hyperlink" Target="https://thekeep.eiu.edu/theses/5025?utm_source=thekeep.eiu.edu%2Ftheses%2F5025&amp;utm_medium=PDF&amp;utm_campaign=PDFCoverPages" TargetMode="External"/><Relationship Id="rId1051" Type="http://schemas.openxmlformats.org/officeDocument/2006/relationships/hyperlink" Target="https://github.com/StanfordPsych254/Tribushinina2011/blob/master/writeup/Replication-Report.html" TargetMode="External"/><Relationship Id="rId2382" Type="http://schemas.openxmlformats.org/officeDocument/2006/relationships/hyperlink" Target="https://osf.io/q6tv8" TargetMode="External"/><Relationship Id="rId1052" Type="http://schemas.openxmlformats.org/officeDocument/2006/relationships/hyperlink" Target="https://github.com/vboyce/251-254-MA/blob/main/data/processed_data.csv" TargetMode="External"/><Relationship Id="rId2383" Type="http://schemas.openxmlformats.org/officeDocument/2006/relationships/hyperlink" Target="https://doi.org/10.31234/osf.io/bgp3m" TargetMode="External"/><Relationship Id="rId1053" Type="http://schemas.openxmlformats.org/officeDocument/2006/relationships/hyperlink" Target="https://github.com/StanfordPsych254/Tribushinina2011/blob/master/writeup/Replication-Report.html" TargetMode="External"/><Relationship Id="rId2384" Type="http://schemas.openxmlformats.org/officeDocument/2006/relationships/hyperlink" Target="https://osf.io/ktjc4/" TargetMode="External"/><Relationship Id="rId1054" Type="http://schemas.openxmlformats.org/officeDocument/2006/relationships/hyperlink" Target="https://github.com/StanfordPsych254/Tribushinina2011/blob/master/writeup/Replication-Report.html" TargetMode="External"/><Relationship Id="rId2385" Type="http://schemas.openxmlformats.org/officeDocument/2006/relationships/hyperlink" Target="https://osf.io/ktjc4/" TargetMode="External"/><Relationship Id="rId224" Type="http://schemas.openxmlformats.org/officeDocument/2006/relationships/hyperlink" Target="https://thekeep.eiu.edu/theses/5025?utm_source=thekeep.eiu.edu%2Ftheses%2F5025&amp;utm_medium=PDF&amp;utm_campaign=PDFCoverPages" TargetMode="External"/><Relationship Id="rId1055" Type="http://schemas.openxmlformats.org/officeDocument/2006/relationships/hyperlink" Target="https://github.com/vboyce/251-254-MA/blob/main/data/processed_data.csv" TargetMode="External"/><Relationship Id="rId2386" Type="http://schemas.openxmlformats.org/officeDocument/2006/relationships/hyperlink" Target="https://dx.doi.org/10.2139/ssrn.2586261" TargetMode="External"/><Relationship Id="rId223" Type="http://schemas.openxmlformats.org/officeDocument/2006/relationships/hyperlink" Target="https://thekeep.eiu.edu/theses/4783" TargetMode="External"/><Relationship Id="rId1056" Type="http://schemas.openxmlformats.org/officeDocument/2006/relationships/hyperlink" Target="https://github.com/StanfordPsych254/Tribushinina2011/blob/master/writeup/Replication-Report.html" TargetMode="External"/><Relationship Id="rId2387" Type="http://schemas.openxmlformats.org/officeDocument/2006/relationships/hyperlink" Target="https://osf.io/rtn9s/" TargetMode="External"/><Relationship Id="rId222" Type="http://schemas.openxmlformats.org/officeDocument/2006/relationships/hyperlink" Target="https://thekeep.eiu.edu/theses/5025/?utm_source=thekeep.eiu.edu%2Ftheses%2F5025&amp;utm_medium=PDF&amp;utm_campaign=PDFCoverPages" TargetMode="External"/><Relationship Id="rId1057" Type="http://schemas.openxmlformats.org/officeDocument/2006/relationships/hyperlink" Target="https://github.com/StanfordPsych254/Tribushinina2011/blob/master/writeup/Replication-Report.html" TargetMode="External"/><Relationship Id="rId2388" Type="http://schemas.openxmlformats.org/officeDocument/2006/relationships/hyperlink" Target="https://osf.io/rtn9s/" TargetMode="External"/><Relationship Id="rId221" Type="http://schemas.openxmlformats.org/officeDocument/2006/relationships/hyperlink" Target="http://thekeep.eiu.edu/theses/5025" TargetMode="External"/><Relationship Id="rId1058" Type="http://schemas.openxmlformats.org/officeDocument/2006/relationships/hyperlink" Target="https://github.com/StanfordPsych254/Tribushinina2011/blob/master/writeup/Replication-Report.html" TargetMode="External"/><Relationship Id="rId2389" Type="http://schemas.openxmlformats.org/officeDocument/2006/relationships/hyperlink" Target="https://osf.io/5y7ne/?view_only=" TargetMode="External"/><Relationship Id="rId1048" Type="http://schemas.openxmlformats.org/officeDocument/2006/relationships/hyperlink" Target="https://rpubs.com/klsanch/pilotAwriteup" TargetMode="External"/><Relationship Id="rId2379" Type="http://schemas.openxmlformats.org/officeDocument/2006/relationships/hyperlink" Target="https://osf.io/q6tv8" TargetMode="External"/><Relationship Id="rId1049" Type="http://schemas.openxmlformats.org/officeDocument/2006/relationships/hyperlink" Target="https://rpubs.com/klsanch/pilotAwriteup" TargetMode="External"/><Relationship Id="rId217" Type="http://schemas.openxmlformats.org/officeDocument/2006/relationships/hyperlink" Target="http://thekeep.eiu.edu/theses/5025" TargetMode="External"/><Relationship Id="rId216" Type="http://schemas.openxmlformats.org/officeDocument/2006/relationships/hyperlink" Target="https://thekeep.eiu.edu/theses/5025?utm_source=thekeep.eiu.edu%2Ftheses%2F5025&amp;utm_medium=PDF&amp;utm_campaign=PDFCoverPages" TargetMode="External"/><Relationship Id="rId215" Type="http://schemas.openxmlformats.org/officeDocument/2006/relationships/hyperlink" Target="https://thekeep.eiu.edu/theses/4783" TargetMode="External"/><Relationship Id="rId214" Type="http://schemas.openxmlformats.org/officeDocument/2006/relationships/hyperlink" Target="https://thekeep.eiu.edu/theses/5025/?utm_source=thekeep.eiu.edu%2Ftheses%2F5025&amp;utm_medium=PDF&amp;utm_campaign=PDFCoverPages" TargetMode="External"/><Relationship Id="rId219" Type="http://schemas.openxmlformats.org/officeDocument/2006/relationships/hyperlink" Target="https://thekeep.eiu.edu/theses/4783" TargetMode="External"/><Relationship Id="rId218" Type="http://schemas.openxmlformats.org/officeDocument/2006/relationships/hyperlink" Target="https://thekeep.eiu.edu/theses/5025/?utm_source=thekeep.eiu.edu%2Ftheses%2F5025&amp;utm_medium=PDF&amp;utm_campaign=PDFCoverPages" TargetMode="External"/><Relationship Id="rId2370" Type="http://schemas.openxmlformats.org/officeDocument/2006/relationships/hyperlink" Target="https://osf.io/zdw87" TargetMode="External"/><Relationship Id="rId1040" Type="http://schemas.openxmlformats.org/officeDocument/2006/relationships/hyperlink" Target="https://rpubs.com/chuqihu8/pilot" TargetMode="External"/><Relationship Id="rId2371" Type="http://schemas.openxmlformats.org/officeDocument/2006/relationships/hyperlink" Target="https://osf.io/zdw87" TargetMode="External"/><Relationship Id="rId1041" Type="http://schemas.openxmlformats.org/officeDocument/2006/relationships/hyperlink" Target="https://rpubs.com/chuqihu8/pilot" TargetMode="External"/><Relationship Id="rId2372" Type="http://schemas.openxmlformats.org/officeDocument/2006/relationships/hyperlink" Target="https://osf.io/t75e3" TargetMode="External"/><Relationship Id="rId1042" Type="http://schemas.openxmlformats.org/officeDocument/2006/relationships/hyperlink" Target="https://rpubs.com/chuqihu8/pilot" TargetMode="External"/><Relationship Id="rId2373" Type="http://schemas.openxmlformats.org/officeDocument/2006/relationships/hyperlink" Target="https://osf.io/t75e3" TargetMode="External"/><Relationship Id="rId1043" Type="http://schemas.openxmlformats.org/officeDocument/2006/relationships/hyperlink" Target="https://rpubs.com/chuqihu8/pilot" TargetMode="External"/><Relationship Id="rId2374" Type="http://schemas.openxmlformats.org/officeDocument/2006/relationships/hyperlink" Target="https://osf.io/2kjgz" TargetMode="External"/><Relationship Id="rId213" Type="http://schemas.openxmlformats.org/officeDocument/2006/relationships/hyperlink" Target="http://thekeep.eiu.edu/theses/5025" TargetMode="External"/><Relationship Id="rId1044" Type="http://schemas.openxmlformats.org/officeDocument/2006/relationships/hyperlink" Target="https://rpubs.com/masoud/tieu2016_replication" TargetMode="External"/><Relationship Id="rId2375" Type="http://schemas.openxmlformats.org/officeDocument/2006/relationships/hyperlink" Target="https://osf.io/2kjgz" TargetMode="External"/><Relationship Id="rId212" Type="http://schemas.openxmlformats.org/officeDocument/2006/relationships/hyperlink" Target="https://thekeep.eiu.edu/theses/5025?utm_source=thekeep.eiu.edu%2Ftheses%2F5025&amp;utm_medium=PDF&amp;utm_campaign=PDFCoverPages" TargetMode="External"/><Relationship Id="rId1045" Type="http://schemas.openxmlformats.org/officeDocument/2006/relationships/hyperlink" Target="https://rpubs.com/mateusmazza/project_report_pilotB" TargetMode="External"/><Relationship Id="rId2376" Type="http://schemas.openxmlformats.org/officeDocument/2006/relationships/hyperlink" Target="https://osf.io/2r7nk" TargetMode="External"/><Relationship Id="rId211" Type="http://schemas.openxmlformats.org/officeDocument/2006/relationships/hyperlink" Target="https://thekeep.eiu.edu/theses/4783" TargetMode="External"/><Relationship Id="rId1046" Type="http://schemas.openxmlformats.org/officeDocument/2006/relationships/hyperlink" Target="https://rpubs.com/mateusmazza/project_report_pilotB" TargetMode="External"/><Relationship Id="rId2377" Type="http://schemas.openxmlformats.org/officeDocument/2006/relationships/hyperlink" Target="https://doi.org/10.31234/osf.io/bgp3m" TargetMode="External"/><Relationship Id="rId210" Type="http://schemas.openxmlformats.org/officeDocument/2006/relationships/hyperlink" Target="https://thekeep.eiu.edu/theses/5025/?utm_source=thekeep.eiu.edu%2Ftheses%2F5025&amp;utm_medium=PDF&amp;utm_campaign=PDFCoverPages" TargetMode="External"/><Relationship Id="rId1047" Type="http://schemas.openxmlformats.org/officeDocument/2006/relationships/hyperlink" Target="https://rpubs.com/mateusmazza/project_report_pilotB" TargetMode="External"/><Relationship Id="rId2378" Type="http://schemas.openxmlformats.org/officeDocument/2006/relationships/hyperlink" Target="https://osf.io/q6tv8" TargetMode="External"/><Relationship Id="rId249" Type="http://schemas.openxmlformats.org/officeDocument/2006/relationships/hyperlink" Target="https://doi.org/10.1002/pam.21702" TargetMode="External"/><Relationship Id="rId248" Type="http://schemas.openxmlformats.org/officeDocument/2006/relationships/hyperlink" Target="https://aspredicted.org/slogin.php?s=AhaPdyHcZf" TargetMode="External"/><Relationship Id="rId247" Type="http://schemas.openxmlformats.org/officeDocument/2006/relationships/hyperlink" Target="https://onlinelibrary.wiley.com/doi/pdf/10.1111/padm.12860" TargetMode="External"/><Relationship Id="rId1070" Type="http://schemas.openxmlformats.org/officeDocument/2006/relationships/hyperlink" Target="https://osf.io/v6zk8" TargetMode="External"/><Relationship Id="rId1071" Type="http://schemas.openxmlformats.org/officeDocument/2006/relationships/hyperlink" Target="https://rpubs.com/catherinecthomas/final_replication" TargetMode="External"/><Relationship Id="rId1072" Type="http://schemas.openxmlformats.org/officeDocument/2006/relationships/hyperlink" Target="https://rstudio-pubs-static.s3.amazonaws.com/692885_b2ccf160054344dd86468e0fc9cc6e68.html" TargetMode="External"/><Relationship Id="rId242" Type="http://schemas.openxmlformats.org/officeDocument/2006/relationships/hyperlink" Target="https://onlinelibrary.wiley.com/doi/pdf/10.1111/padm.12860" TargetMode="External"/><Relationship Id="rId1073" Type="http://schemas.openxmlformats.org/officeDocument/2006/relationships/hyperlink" Target="https://rpubs.com/ayl888/695975" TargetMode="External"/><Relationship Id="rId241" Type="http://schemas.openxmlformats.org/officeDocument/2006/relationships/hyperlink" Target="https://aspredicted.org/slogin.php?s=AhaPdyHcZf" TargetMode="External"/><Relationship Id="rId1074" Type="http://schemas.openxmlformats.org/officeDocument/2006/relationships/hyperlink" Target="https://rpubs.com/ayl888/695975" TargetMode="External"/><Relationship Id="rId240" Type="http://schemas.openxmlformats.org/officeDocument/2006/relationships/hyperlink" Target="https://doi.org/10.1111/padm.12860" TargetMode="External"/><Relationship Id="rId1075" Type="http://schemas.openxmlformats.org/officeDocument/2006/relationships/hyperlink" Target="https://rstudio-pubs-static.s3.amazonaws.com/692885_b2ccf160054344dd86468e0fc9cc6e68.html" TargetMode="External"/><Relationship Id="rId1076" Type="http://schemas.openxmlformats.org/officeDocument/2006/relationships/hyperlink" Target="https://rpubs.com/ayl888/695975" TargetMode="External"/><Relationship Id="rId246" Type="http://schemas.openxmlformats.org/officeDocument/2006/relationships/hyperlink" Target="https://aspredicted.org/slogin.php?s=AhaPdyHcZf" TargetMode="External"/><Relationship Id="rId1077" Type="http://schemas.openxmlformats.org/officeDocument/2006/relationships/hyperlink" Target="https://rpubs.com/ayl888/695975" TargetMode="External"/><Relationship Id="rId245" Type="http://schemas.openxmlformats.org/officeDocument/2006/relationships/hyperlink" Target="https://doi.org/10.1111/padm.12860" TargetMode="External"/><Relationship Id="rId1078" Type="http://schemas.openxmlformats.org/officeDocument/2006/relationships/hyperlink" Target="http://doi.org/10.1007/s13164-018-0400-9" TargetMode="External"/><Relationship Id="rId244" Type="http://schemas.openxmlformats.org/officeDocument/2006/relationships/hyperlink" Target="https://aspredicted.org/slogin.php?s=AhaPdyHcZf" TargetMode="External"/><Relationship Id="rId1079" Type="http://schemas.openxmlformats.org/officeDocument/2006/relationships/hyperlink" Target="https://osf.io/4ewkh" TargetMode="External"/><Relationship Id="rId243" Type="http://schemas.openxmlformats.org/officeDocument/2006/relationships/hyperlink" Target="https://aspredicted.org/slogin.php?s=AhaPdyHcZf" TargetMode="External"/><Relationship Id="rId239" Type="http://schemas.openxmlformats.org/officeDocument/2006/relationships/hyperlink" Target="https://doi.org/10.1002/pam.21702" TargetMode="External"/><Relationship Id="rId238" Type="http://schemas.openxmlformats.org/officeDocument/2006/relationships/hyperlink" Target="https://thekeep.eiu.edu/theses/5025/?utm_source=thekeep.eiu.edu%2Ftheses%2F5025&amp;utm_medium=PDF&amp;utm_campaign=PDFCoverPages" TargetMode="External"/><Relationship Id="rId237" Type="http://schemas.openxmlformats.org/officeDocument/2006/relationships/hyperlink" Target="http://thekeep.eiu.edu/theses/5025" TargetMode="External"/><Relationship Id="rId236" Type="http://schemas.openxmlformats.org/officeDocument/2006/relationships/hyperlink" Target="https://thekeep.eiu.edu/theses/5025?utm_source=thekeep.eiu.edu%2Ftheses%2F5025&amp;utm_medium=PDF&amp;utm_campaign=PDFCoverPages" TargetMode="External"/><Relationship Id="rId2390" Type="http://schemas.openxmlformats.org/officeDocument/2006/relationships/hyperlink" Target="https://osf.io/xvqg2" TargetMode="External"/><Relationship Id="rId1060" Type="http://schemas.openxmlformats.org/officeDocument/2006/relationships/hyperlink" Target="https://rstudio-pubs-static.s3.amazonaws.com/426870_bb10c991135648a19be27ad27cb36a15.html" TargetMode="External"/><Relationship Id="rId2391" Type="http://schemas.openxmlformats.org/officeDocument/2006/relationships/hyperlink" Target="https://osf.io/wg9s3" TargetMode="External"/><Relationship Id="rId1061" Type="http://schemas.openxmlformats.org/officeDocument/2006/relationships/hyperlink" Target="https://rstudio-pubs-static.s3.amazonaws.com/426870_bb10c991135648a19be27ad27cb36a15.html" TargetMode="External"/><Relationship Id="rId2392" Type="http://schemas.openxmlformats.org/officeDocument/2006/relationships/hyperlink" Target="https://doi.org/10.1177/2515245920919667" TargetMode="External"/><Relationship Id="rId231" Type="http://schemas.openxmlformats.org/officeDocument/2006/relationships/hyperlink" Target="https://thekeep.eiu.edu/theses/4783" TargetMode="External"/><Relationship Id="rId1062" Type="http://schemas.openxmlformats.org/officeDocument/2006/relationships/hyperlink" Target="https://aspredicted.org/public/205223581.pdf" TargetMode="External"/><Relationship Id="rId2393" Type="http://schemas.openxmlformats.org/officeDocument/2006/relationships/hyperlink" Target="https://osf.io/5y7ne/?view_only=" TargetMode="External"/><Relationship Id="rId230" Type="http://schemas.openxmlformats.org/officeDocument/2006/relationships/hyperlink" Target="https://thekeep.eiu.edu/theses/5025/?utm_source=thekeep.eiu.edu%2Ftheses%2F5025&amp;utm_medium=PDF&amp;utm_campaign=PDFCoverPages" TargetMode="External"/><Relationship Id="rId1063" Type="http://schemas.openxmlformats.org/officeDocument/2006/relationships/hyperlink" Target="https://osf.io/3xcq7" TargetMode="External"/><Relationship Id="rId2394" Type="http://schemas.openxmlformats.org/officeDocument/2006/relationships/hyperlink" Target="https://osf.io/wg9s3/." TargetMode="External"/><Relationship Id="rId1064" Type="http://schemas.openxmlformats.org/officeDocument/2006/relationships/hyperlink" Target="https://rstudio-pubs-static.s3.amazonaws.com/426870_bb10c991135648a19be27ad27cb36a15.html" TargetMode="External"/><Relationship Id="rId2395" Type="http://schemas.openxmlformats.org/officeDocument/2006/relationships/hyperlink" Target="https://aspredicted.org/jq5fe.pdf" TargetMode="External"/><Relationship Id="rId1065" Type="http://schemas.openxmlformats.org/officeDocument/2006/relationships/hyperlink" Target="https://rstudio-pubs-static.s3.amazonaws.com/426870_bb10c991135648a19be27ad27cb36a15.html" TargetMode="External"/><Relationship Id="rId2396" Type="http://schemas.openxmlformats.org/officeDocument/2006/relationships/hyperlink" Target="https://www.oxfordreference.com/display/10.1093/oi/authority.20110803095743480" TargetMode="External"/><Relationship Id="rId235" Type="http://schemas.openxmlformats.org/officeDocument/2006/relationships/hyperlink" Target="https://thekeep.eiu.edu/theses/4783" TargetMode="External"/><Relationship Id="rId1066" Type="http://schemas.openxmlformats.org/officeDocument/2006/relationships/hyperlink" Target="https://osf.io/v6zk8" TargetMode="External"/><Relationship Id="rId2397" Type="http://schemas.openxmlformats.org/officeDocument/2006/relationships/hyperlink" Target="https://doi.org/10.1037/h0076284" TargetMode="External"/><Relationship Id="rId234" Type="http://schemas.openxmlformats.org/officeDocument/2006/relationships/hyperlink" Target="https://thekeep.eiu.edu/theses/5025/?utm_source=thekeep.eiu.edu%2Ftheses%2F5025&amp;utm_medium=PDF&amp;utm_campaign=PDFCoverPages" TargetMode="External"/><Relationship Id="rId1067" Type="http://schemas.openxmlformats.org/officeDocument/2006/relationships/hyperlink" Target="https://github.com/vboyce/251-254-MA/blob/main/data/processed_data.csv" TargetMode="External"/><Relationship Id="rId2398" Type="http://schemas.openxmlformats.org/officeDocument/2006/relationships/hyperlink" Target="https://aspredicted.org/jq5fe.pdf" TargetMode="External"/><Relationship Id="rId233" Type="http://schemas.openxmlformats.org/officeDocument/2006/relationships/hyperlink" Target="http://thekeep.eiu.edu/theses/5025" TargetMode="External"/><Relationship Id="rId1068" Type="http://schemas.openxmlformats.org/officeDocument/2006/relationships/hyperlink" Target="https://osf.io/v6zk8" TargetMode="External"/><Relationship Id="rId2399" Type="http://schemas.openxmlformats.org/officeDocument/2006/relationships/hyperlink" Target="https://osf.io/avf49" TargetMode="External"/><Relationship Id="rId232" Type="http://schemas.openxmlformats.org/officeDocument/2006/relationships/hyperlink" Target="https://thekeep.eiu.edu/theses/5025?utm_source=thekeep.eiu.edu%2Ftheses%2F5025&amp;utm_medium=PDF&amp;utm_campaign=PDFCoverPages" TargetMode="External"/><Relationship Id="rId1069" Type="http://schemas.openxmlformats.org/officeDocument/2006/relationships/hyperlink" Target="https://github.com/vboyce/251-254-MA/blob/main/data/processed_data.csv" TargetMode="External"/><Relationship Id="rId1015" Type="http://schemas.openxmlformats.org/officeDocument/2006/relationships/hyperlink" Target="https://github.com/vboyce/251-254-MA/blob/main/data/processed_data.csv" TargetMode="External"/><Relationship Id="rId2346" Type="http://schemas.openxmlformats.org/officeDocument/2006/relationships/hyperlink" Target="https://osf.io/b9jtc" TargetMode="External"/><Relationship Id="rId3678" Type="http://schemas.openxmlformats.org/officeDocument/2006/relationships/hyperlink" Target="https://osf.io/y36m8" TargetMode="External"/><Relationship Id="rId1016" Type="http://schemas.openxmlformats.org/officeDocument/2006/relationships/hyperlink" Target="https://rpubs.com/mkmartykeil/replicationfinal" TargetMode="External"/><Relationship Id="rId2347" Type="http://schemas.openxmlformats.org/officeDocument/2006/relationships/hyperlink" Target="https://osf.io/6vsc4" TargetMode="External"/><Relationship Id="rId3677" Type="http://schemas.openxmlformats.org/officeDocument/2006/relationships/hyperlink" Target="https://osf.io/y36m8" TargetMode="External"/><Relationship Id="rId1017" Type="http://schemas.openxmlformats.org/officeDocument/2006/relationships/hyperlink" Target="https://rpubs.com/mkmartykeil/replicationfinal" TargetMode="External"/><Relationship Id="rId2348" Type="http://schemas.openxmlformats.org/officeDocument/2006/relationships/hyperlink" Target="https://osf.io/ty9xh" TargetMode="External"/><Relationship Id="rId1018" Type="http://schemas.openxmlformats.org/officeDocument/2006/relationships/hyperlink" Target="https://rpubs.com/mkmartykeil/replicationfinal" TargetMode="External"/><Relationship Id="rId2349" Type="http://schemas.openxmlformats.org/officeDocument/2006/relationships/hyperlink" Target="https://osf.io/ty9xh" TargetMode="External"/><Relationship Id="rId3679" Type="http://schemas.openxmlformats.org/officeDocument/2006/relationships/hyperlink" Target="https://osf.io/scayl" TargetMode="External"/><Relationship Id="rId1019" Type="http://schemas.openxmlformats.org/officeDocument/2006/relationships/hyperlink" Target="https://rpubs.com/mkmartykeil/replicationfinal" TargetMode="External"/><Relationship Id="rId3670" Type="http://schemas.openxmlformats.org/officeDocument/2006/relationships/hyperlink" Target="https://osf.io/c89kq" TargetMode="External"/><Relationship Id="rId2340" Type="http://schemas.openxmlformats.org/officeDocument/2006/relationships/hyperlink" Target="https://osf.io/vdc5m" TargetMode="External"/><Relationship Id="rId3672" Type="http://schemas.openxmlformats.org/officeDocument/2006/relationships/hyperlink" Target="https://osf.io/c89kq" TargetMode="External"/><Relationship Id="rId1010" Type="http://schemas.openxmlformats.org/officeDocument/2006/relationships/hyperlink" Target="https://github.com/vboyce/251-254-MA/blob/main/reports/sofer2015.html" TargetMode="External"/><Relationship Id="rId2341" Type="http://schemas.openxmlformats.org/officeDocument/2006/relationships/hyperlink" Target="https://osf.io/x5szy" TargetMode="External"/><Relationship Id="rId3671" Type="http://schemas.openxmlformats.org/officeDocument/2006/relationships/hyperlink" Target="https://osf.io/c89kq" TargetMode="External"/><Relationship Id="rId1011" Type="http://schemas.openxmlformats.org/officeDocument/2006/relationships/hyperlink" Target="https://github.com/vboyce/251-254-MA/blob/main/reports/sofer2015.html" TargetMode="External"/><Relationship Id="rId2342" Type="http://schemas.openxmlformats.org/officeDocument/2006/relationships/hyperlink" Target="https://osf.io/8dzpj" TargetMode="External"/><Relationship Id="rId3674" Type="http://schemas.openxmlformats.org/officeDocument/2006/relationships/hyperlink" Target="https://osf.io/c89kq" TargetMode="External"/><Relationship Id="rId1012" Type="http://schemas.openxmlformats.org/officeDocument/2006/relationships/hyperlink" Target="https://aspredicted.org/ai7am.pdf" TargetMode="External"/><Relationship Id="rId2343" Type="http://schemas.openxmlformats.org/officeDocument/2006/relationships/hyperlink" Target="https://osf.io/ak3rj" TargetMode="External"/><Relationship Id="rId3673" Type="http://schemas.openxmlformats.org/officeDocument/2006/relationships/hyperlink" Target="https://osf.io/c89kq" TargetMode="External"/><Relationship Id="rId1013" Type="http://schemas.openxmlformats.org/officeDocument/2006/relationships/hyperlink" Target="https://github.com/vboyce/251-254-MA/blob/main/data/processed_data.csv" TargetMode="External"/><Relationship Id="rId2344" Type="http://schemas.openxmlformats.org/officeDocument/2006/relationships/hyperlink" Target="https://osf.io/ak3rj" TargetMode="External"/><Relationship Id="rId3676" Type="http://schemas.openxmlformats.org/officeDocument/2006/relationships/hyperlink" Target="http://bit.ly/11ngkZK" TargetMode="External"/><Relationship Id="rId1014" Type="http://schemas.openxmlformats.org/officeDocument/2006/relationships/hyperlink" Target="https://github.com/vboyce/251-254-MA/blob/main/data/processed_data.csv" TargetMode="External"/><Relationship Id="rId2345" Type="http://schemas.openxmlformats.org/officeDocument/2006/relationships/hyperlink" Target="https://osf.io/nrjs5" TargetMode="External"/><Relationship Id="rId3675" Type="http://schemas.openxmlformats.org/officeDocument/2006/relationships/hyperlink" Target="https://osf.io/tvszz" TargetMode="External"/><Relationship Id="rId1004" Type="http://schemas.openxmlformats.org/officeDocument/2006/relationships/hyperlink" Target="https://rpubs.com/kleibow/338461" TargetMode="External"/><Relationship Id="rId2335" Type="http://schemas.openxmlformats.org/officeDocument/2006/relationships/hyperlink" Target="https://osf.io/4hqd6" TargetMode="External"/><Relationship Id="rId3667" Type="http://schemas.openxmlformats.org/officeDocument/2006/relationships/hyperlink" Target="https://osf.io/c89kq" TargetMode="External"/><Relationship Id="rId1005" Type="http://schemas.openxmlformats.org/officeDocument/2006/relationships/hyperlink" Target="https://osf.io/x4m6w" TargetMode="External"/><Relationship Id="rId2336" Type="http://schemas.openxmlformats.org/officeDocument/2006/relationships/hyperlink" Target="https://osf.io/cehgp" TargetMode="External"/><Relationship Id="rId3666" Type="http://schemas.openxmlformats.org/officeDocument/2006/relationships/hyperlink" Target="https://osf.io/c89kq" TargetMode="External"/><Relationship Id="rId1006" Type="http://schemas.openxmlformats.org/officeDocument/2006/relationships/hyperlink" Target="https://github.com/vboyce/251-254-MA/blob/main/reports/sofer2015.html" TargetMode="External"/><Relationship Id="rId2337" Type="http://schemas.openxmlformats.org/officeDocument/2006/relationships/hyperlink" Target="https://osf.io/3rtvz" TargetMode="External"/><Relationship Id="rId3669" Type="http://schemas.openxmlformats.org/officeDocument/2006/relationships/hyperlink" Target="https://osf.io/c89kq" TargetMode="External"/><Relationship Id="rId1007" Type="http://schemas.openxmlformats.org/officeDocument/2006/relationships/hyperlink" Target="https://github.com/vboyce/251-254-MA/blob/main/reports/sofer2015.html" TargetMode="External"/><Relationship Id="rId2338" Type="http://schemas.openxmlformats.org/officeDocument/2006/relationships/hyperlink" Target="https://osf.io/3rtvz" TargetMode="External"/><Relationship Id="rId3668" Type="http://schemas.openxmlformats.org/officeDocument/2006/relationships/hyperlink" Target="https://osf.io/c89kq" TargetMode="External"/><Relationship Id="rId1008" Type="http://schemas.openxmlformats.org/officeDocument/2006/relationships/hyperlink" Target="https://github.com/vboyce/251-254-MA/blob/main/reports/sofer2015.html" TargetMode="External"/><Relationship Id="rId2339" Type="http://schemas.openxmlformats.org/officeDocument/2006/relationships/hyperlink" Target="https://osf.io/vdc5m" TargetMode="External"/><Relationship Id="rId1009" Type="http://schemas.openxmlformats.org/officeDocument/2006/relationships/hyperlink" Target="https://github.com/vboyce/251-254-MA/blob/main/reports/sofer2015.html" TargetMode="External"/><Relationship Id="rId3661" Type="http://schemas.openxmlformats.org/officeDocument/2006/relationships/hyperlink" Target="https://osf.io/jky24" TargetMode="External"/><Relationship Id="rId2330" Type="http://schemas.openxmlformats.org/officeDocument/2006/relationships/hyperlink" Target="https://www.uky.edu/AS/PoliSci/Peffley/pdf/Sniderman/Amodio_et_al_2008_JPSP_Individual%20Differences%20in%20the%20Regulation%20of%20Intergroup%20Bias.pdf" TargetMode="External"/><Relationship Id="rId3660" Type="http://schemas.openxmlformats.org/officeDocument/2006/relationships/hyperlink" Target="https://osf.io/jky24" TargetMode="External"/><Relationship Id="rId1000" Type="http://schemas.openxmlformats.org/officeDocument/2006/relationships/hyperlink" Target="https://rpubs.com/hrlarry/YUIMU-final" TargetMode="External"/><Relationship Id="rId2331" Type="http://schemas.openxmlformats.org/officeDocument/2006/relationships/hyperlink" Target="https://osf.io/dqybc" TargetMode="External"/><Relationship Id="rId3663" Type="http://schemas.openxmlformats.org/officeDocument/2006/relationships/hyperlink" Target="https://osf.io/c89kq" TargetMode="External"/><Relationship Id="rId1001" Type="http://schemas.openxmlformats.org/officeDocument/2006/relationships/hyperlink" Target="https://rpubs.com/hrlarry/YUIMU-final" TargetMode="External"/><Relationship Id="rId2332" Type="http://schemas.openxmlformats.org/officeDocument/2006/relationships/hyperlink" Target="https://osf.io/dqybc" TargetMode="External"/><Relationship Id="rId3662" Type="http://schemas.openxmlformats.org/officeDocument/2006/relationships/hyperlink" Target="https://osf.io/c89kq" TargetMode="External"/><Relationship Id="rId1002" Type="http://schemas.openxmlformats.org/officeDocument/2006/relationships/hyperlink" Target="https://rpubs.com/hrlarry/YUIMU-final" TargetMode="External"/><Relationship Id="rId2333" Type="http://schemas.openxmlformats.org/officeDocument/2006/relationships/hyperlink" Target="https://osf.io/rqtgz" TargetMode="External"/><Relationship Id="rId3665" Type="http://schemas.openxmlformats.org/officeDocument/2006/relationships/hyperlink" Target="https://osf.io/c89kq" TargetMode="External"/><Relationship Id="rId1003" Type="http://schemas.openxmlformats.org/officeDocument/2006/relationships/hyperlink" Target="https://osf.io/x4m6w" TargetMode="External"/><Relationship Id="rId2334" Type="http://schemas.openxmlformats.org/officeDocument/2006/relationships/hyperlink" Target="https://osf.io/rqtgz" TargetMode="External"/><Relationship Id="rId3664" Type="http://schemas.openxmlformats.org/officeDocument/2006/relationships/hyperlink" Target="https://osf.io/c89kq" TargetMode="External"/><Relationship Id="rId1037" Type="http://schemas.openxmlformats.org/officeDocument/2006/relationships/hyperlink" Target="https://rpubs.com/chuqihu8/pilot" TargetMode="External"/><Relationship Id="rId2368" Type="http://schemas.openxmlformats.org/officeDocument/2006/relationships/hyperlink" Target="https://osf.io/pktma" TargetMode="External"/><Relationship Id="rId1038" Type="http://schemas.openxmlformats.org/officeDocument/2006/relationships/hyperlink" Target="https://rpubs.com/chuqihu8/pilot" TargetMode="External"/><Relationship Id="rId2369" Type="http://schemas.openxmlformats.org/officeDocument/2006/relationships/hyperlink" Target="https://osf.io/pktma" TargetMode="External"/><Relationship Id="rId3699" Type="http://schemas.openxmlformats.org/officeDocument/2006/relationships/hyperlink" Target="https://osf.io/cm67f" TargetMode="External"/><Relationship Id="rId1039" Type="http://schemas.openxmlformats.org/officeDocument/2006/relationships/hyperlink" Target="https://rpubs.com/chuqihu8/pilot" TargetMode="External"/><Relationship Id="rId206" Type="http://schemas.openxmlformats.org/officeDocument/2006/relationships/hyperlink" Target="https://thekeep.eiu.edu/theses/5025/?utm_source=thekeep.eiu.edu%2Ftheses%2F5025&amp;utm_medium=PDF&amp;utm_campaign=PDFCoverPages" TargetMode="External"/><Relationship Id="rId205" Type="http://schemas.openxmlformats.org/officeDocument/2006/relationships/hyperlink" Target="http://thekeep.eiu.edu/theses/5025" TargetMode="External"/><Relationship Id="rId204" Type="http://schemas.openxmlformats.org/officeDocument/2006/relationships/hyperlink" Target="https://thekeep.eiu.edu/theses/5025?utm_source=thekeep.eiu.edu%2Ftheses%2F5025&amp;utm_medium=PDF&amp;utm_campaign=PDFCoverPages" TargetMode="External"/><Relationship Id="rId203" Type="http://schemas.openxmlformats.org/officeDocument/2006/relationships/hyperlink" Target="https://thekeep.eiu.edu/theses/4783" TargetMode="External"/><Relationship Id="rId209" Type="http://schemas.openxmlformats.org/officeDocument/2006/relationships/hyperlink" Target="http://thekeep.eiu.edu/theses/5025" TargetMode="External"/><Relationship Id="rId208" Type="http://schemas.openxmlformats.org/officeDocument/2006/relationships/hyperlink" Target="https://thekeep.eiu.edu/theses/5025?utm_source=thekeep.eiu.edu%2Ftheses%2F5025&amp;utm_medium=PDF&amp;utm_campaign=PDFCoverPages" TargetMode="External"/><Relationship Id="rId3690" Type="http://schemas.openxmlformats.org/officeDocument/2006/relationships/hyperlink" Target="https://datacolada.org/92" TargetMode="External"/><Relationship Id="rId207" Type="http://schemas.openxmlformats.org/officeDocument/2006/relationships/hyperlink" Target="https://thekeep.eiu.edu/theses/4783" TargetMode="External"/><Relationship Id="rId2360" Type="http://schemas.openxmlformats.org/officeDocument/2006/relationships/hyperlink" Target="https://osf.io/45vwm" TargetMode="External"/><Relationship Id="rId3692" Type="http://schemas.openxmlformats.org/officeDocument/2006/relationships/hyperlink" Target="https://osf.io/gea2s" TargetMode="External"/><Relationship Id="rId1030" Type="http://schemas.openxmlformats.org/officeDocument/2006/relationships/hyperlink" Target="https://rpubs.com/mlee17/262394" TargetMode="External"/><Relationship Id="rId2361" Type="http://schemas.openxmlformats.org/officeDocument/2006/relationships/hyperlink" Target="https://osf.io/45vwm" TargetMode="External"/><Relationship Id="rId3691" Type="http://schemas.openxmlformats.org/officeDocument/2006/relationships/hyperlink" Target="https://osf.io/gea2s" TargetMode="External"/><Relationship Id="rId1031" Type="http://schemas.openxmlformats.org/officeDocument/2006/relationships/hyperlink" Target="https://rpubs.com/mlee17/262394" TargetMode="External"/><Relationship Id="rId2362" Type="http://schemas.openxmlformats.org/officeDocument/2006/relationships/hyperlink" Target="https://osf.io/3m7qw" TargetMode="External"/><Relationship Id="rId3694" Type="http://schemas.openxmlformats.org/officeDocument/2006/relationships/hyperlink" Target="https://osf.io/fdrn6/" TargetMode="External"/><Relationship Id="rId1032" Type="http://schemas.openxmlformats.org/officeDocument/2006/relationships/hyperlink" Target="https://rpubs.com/mlee17/262394" TargetMode="External"/><Relationship Id="rId2363" Type="http://schemas.openxmlformats.org/officeDocument/2006/relationships/hyperlink" Target="https://osf.io/3m7qw" TargetMode="External"/><Relationship Id="rId3693" Type="http://schemas.openxmlformats.org/officeDocument/2006/relationships/hyperlink" Target="https://osf.io/n6k84/" TargetMode="External"/><Relationship Id="rId202" Type="http://schemas.openxmlformats.org/officeDocument/2006/relationships/hyperlink" Target="https://thekeep.eiu.edu/theses/5025/?utm_source=thekeep.eiu.edu%2Ftheses%2F5025&amp;utm_medium=PDF&amp;utm_campaign=PDFCoverPages" TargetMode="External"/><Relationship Id="rId1033" Type="http://schemas.openxmlformats.org/officeDocument/2006/relationships/hyperlink" Target="https://github.com/vboyce/251-254-MA/blob/main/data/processed_data.csv" TargetMode="External"/><Relationship Id="rId2364" Type="http://schemas.openxmlformats.org/officeDocument/2006/relationships/hyperlink" Target="https://osf.io/3uw96" TargetMode="External"/><Relationship Id="rId3696" Type="http://schemas.openxmlformats.org/officeDocument/2006/relationships/hyperlink" Target="https://osf.io/ed5mv" TargetMode="External"/><Relationship Id="rId201" Type="http://schemas.openxmlformats.org/officeDocument/2006/relationships/hyperlink" Target="http://thekeep.eiu.edu/theses/5025" TargetMode="External"/><Relationship Id="rId1034" Type="http://schemas.openxmlformats.org/officeDocument/2006/relationships/hyperlink" Target="https://github.com/vboyce/251-254-MA/blob/main/data/processed_data.csv" TargetMode="External"/><Relationship Id="rId2365" Type="http://schemas.openxmlformats.org/officeDocument/2006/relationships/hyperlink" Target="https://osf.io/cy9v4" TargetMode="External"/><Relationship Id="rId3695" Type="http://schemas.openxmlformats.org/officeDocument/2006/relationships/hyperlink" Target="https://osf.io/meqrz" TargetMode="External"/><Relationship Id="rId200" Type="http://schemas.openxmlformats.org/officeDocument/2006/relationships/hyperlink" Target="https://thekeep.eiu.edu/theses/5025?utm_source=thekeep.eiu.edu%2Ftheses%2F5025&amp;utm_medium=PDF&amp;utm_campaign=PDFCoverPages" TargetMode="External"/><Relationship Id="rId1035" Type="http://schemas.openxmlformats.org/officeDocument/2006/relationships/hyperlink" Target="https://rpubs.com/chuqihu8/pilot" TargetMode="External"/><Relationship Id="rId2366" Type="http://schemas.openxmlformats.org/officeDocument/2006/relationships/hyperlink" Target="http://www.communicationcache.com/uploads/1/0/8/8/10887248/self-regulation_and_selective_exposure-_the_impact_of_depleted_self-regulation_resources_on_confirmatory_information_processing.pdf" TargetMode="External"/><Relationship Id="rId3698" Type="http://schemas.openxmlformats.org/officeDocument/2006/relationships/hyperlink" Target="https://osf.io/ed5mv" TargetMode="External"/><Relationship Id="rId1036" Type="http://schemas.openxmlformats.org/officeDocument/2006/relationships/hyperlink" Target="https://rpubs.com/chuqihu8/pilot" TargetMode="External"/><Relationship Id="rId2367" Type="http://schemas.openxmlformats.org/officeDocument/2006/relationships/hyperlink" Target="https://osf.io/e35y2" TargetMode="External"/><Relationship Id="rId3697" Type="http://schemas.openxmlformats.org/officeDocument/2006/relationships/hyperlink" Target="https://osf.io/cm67f" TargetMode="External"/><Relationship Id="rId1026" Type="http://schemas.openxmlformats.org/officeDocument/2006/relationships/hyperlink" Target="https://github.com/vboyce/251-254-MA/blob/main/data/processed_data.csv" TargetMode="External"/><Relationship Id="rId2357" Type="http://schemas.openxmlformats.org/officeDocument/2006/relationships/hyperlink" Target="https://osf.io/nx6dr" TargetMode="External"/><Relationship Id="rId3689" Type="http://schemas.openxmlformats.org/officeDocument/2006/relationships/hyperlink" Target="https://datacolada.org/92" TargetMode="External"/><Relationship Id="rId1027" Type="http://schemas.openxmlformats.org/officeDocument/2006/relationships/hyperlink" Target="https://rpubs.com/mlee17/262394" TargetMode="External"/><Relationship Id="rId2358" Type="http://schemas.openxmlformats.org/officeDocument/2006/relationships/hyperlink" Target="https://osf.io/nx6dr" TargetMode="External"/><Relationship Id="rId3688" Type="http://schemas.openxmlformats.org/officeDocument/2006/relationships/hyperlink" Target="https://datacolada.org/92" TargetMode="External"/><Relationship Id="rId1028" Type="http://schemas.openxmlformats.org/officeDocument/2006/relationships/hyperlink" Target="https://rpubs.com/mlee17/262394" TargetMode="External"/><Relationship Id="rId2359" Type="http://schemas.openxmlformats.org/officeDocument/2006/relationships/hyperlink" Target="https://kops.uni-konstanz.de/server/api/core/bitstreams/f8cf3efc-7de6-49c4-8ff8-ce1e1a9b6892/content" TargetMode="External"/><Relationship Id="rId1029" Type="http://schemas.openxmlformats.org/officeDocument/2006/relationships/hyperlink" Target="https://rpubs.com/mlee17/262394" TargetMode="External"/><Relationship Id="rId3681" Type="http://schemas.openxmlformats.org/officeDocument/2006/relationships/hyperlink" Target="https://osf.io/624wf" TargetMode="External"/><Relationship Id="rId2350" Type="http://schemas.openxmlformats.org/officeDocument/2006/relationships/hyperlink" Target="https://osf.io/q7hm4" TargetMode="External"/><Relationship Id="rId3680" Type="http://schemas.openxmlformats.org/officeDocument/2006/relationships/hyperlink" Target="https://web.archive.org/web/20220128104303mp_/https://curatescience.org/app/replications" TargetMode="External"/><Relationship Id="rId1020" Type="http://schemas.openxmlformats.org/officeDocument/2006/relationships/hyperlink" Target="https://rpubs.com/mkmartykeil/replicationfinal" TargetMode="External"/><Relationship Id="rId2351" Type="http://schemas.openxmlformats.org/officeDocument/2006/relationships/hyperlink" Target="https://osf.io/7bnfp" TargetMode="External"/><Relationship Id="rId3683" Type="http://schemas.openxmlformats.org/officeDocument/2006/relationships/hyperlink" Target="https://datacolada.org/82" TargetMode="External"/><Relationship Id="rId1021" Type="http://schemas.openxmlformats.org/officeDocument/2006/relationships/hyperlink" Target="https://rpubs.com/mkmartykeil/replicationfinal" TargetMode="External"/><Relationship Id="rId2352" Type="http://schemas.openxmlformats.org/officeDocument/2006/relationships/hyperlink" Target="https://osf.io/7bnfp" TargetMode="External"/><Relationship Id="rId3682" Type="http://schemas.openxmlformats.org/officeDocument/2006/relationships/hyperlink" Target="https://osf.io/624wf" TargetMode="External"/><Relationship Id="rId1022" Type="http://schemas.openxmlformats.org/officeDocument/2006/relationships/hyperlink" Target="https://rpubs.com/mkmartykeil/replicationfinal" TargetMode="External"/><Relationship Id="rId2353" Type="http://schemas.openxmlformats.org/officeDocument/2006/relationships/hyperlink" Target="https://osf.io/kg2x5" TargetMode="External"/><Relationship Id="rId3685" Type="http://schemas.openxmlformats.org/officeDocument/2006/relationships/hyperlink" Target="https://aspredicted.org/9zw6i.pdf" TargetMode="External"/><Relationship Id="rId1023" Type="http://schemas.openxmlformats.org/officeDocument/2006/relationships/hyperlink" Target="https://rpubs.com/mkmartykeil/replicationfinal" TargetMode="External"/><Relationship Id="rId2354" Type="http://schemas.openxmlformats.org/officeDocument/2006/relationships/hyperlink" Target="https://osf.io/jhn4g" TargetMode="External"/><Relationship Id="rId3684" Type="http://schemas.openxmlformats.org/officeDocument/2006/relationships/hyperlink" Target="https://datacolada.org/82" TargetMode="External"/><Relationship Id="rId1024" Type="http://schemas.openxmlformats.org/officeDocument/2006/relationships/hyperlink" Target="https://rpubs.com/mkmartykeil/replicationfinal" TargetMode="External"/><Relationship Id="rId2355" Type="http://schemas.openxmlformats.org/officeDocument/2006/relationships/hyperlink" Target="https://osf.io/7czwd" TargetMode="External"/><Relationship Id="rId3687" Type="http://schemas.openxmlformats.org/officeDocument/2006/relationships/hyperlink" Target="https://datacolada.org/92" TargetMode="External"/><Relationship Id="rId1025" Type="http://schemas.openxmlformats.org/officeDocument/2006/relationships/hyperlink" Target="https://rpubs.com/mkmartykeil/replicationfinal" TargetMode="External"/><Relationship Id="rId2356" Type="http://schemas.openxmlformats.org/officeDocument/2006/relationships/hyperlink" Target="https://osf.io/7czwd" TargetMode="External"/><Relationship Id="rId3686" Type="http://schemas.openxmlformats.org/officeDocument/2006/relationships/hyperlink" Target="https://datacolada.org/97" TargetMode="External"/><Relationship Id="rId1910" Type="http://schemas.openxmlformats.org/officeDocument/2006/relationships/hyperlink" Target="https://osf.io/yd69c" TargetMode="External"/><Relationship Id="rId1911" Type="http://schemas.openxmlformats.org/officeDocument/2006/relationships/hyperlink" Target="https://doi.org/10/gb4vmc" TargetMode="External"/><Relationship Id="rId1912" Type="http://schemas.openxmlformats.org/officeDocument/2006/relationships/hyperlink" Target="https://osf.io/sejyp" TargetMode="External"/><Relationship Id="rId1913" Type="http://schemas.openxmlformats.org/officeDocument/2006/relationships/hyperlink" Target="https://doi.org/10/gbwx4j" TargetMode="External"/><Relationship Id="rId1914" Type="http://schemas.openxmlformats.org/officeDocument/2006/relationships/hyperlink" Target="https://osf.io/sejyp" TargetMode="External"/><Relationship Id="rId1915" Type="http://schemas.openxmlformats.org/officeDocument/2006/relationships/hyperlink" Target="https://osf.io/cs82h" TargetMode="External"/><Relationship Id="rId1916" Type="http://schemas.openxmlformats.org/officeDocument/2006/relationships/hyperlink" Target="https://doi.org/10/gbwx4j" TargetMode="External"/><Relationship Id="rId1917" Type="http://schemas.openxmlformats.org/officeDocument/2006/relationships/hyperlink" Target="https://doi.org/10/gb4sh4" TargetMode="External"/><Relationship Id="rId1918" Type="http://schemas.openxmlformats.org/officeDocument/2006/relationships/hyperlink" Target="https://osf.io/yt9vb" TargetMode="External"/><Relationship Id="rId1919" Type="http://schemas.openxmlformats.org/officeDocument/2006/relationships/hyperlink" Target="https://doi.org/10/gb4sh4" TargetMode="External"/><Relationship Id="rId1900" Type="http://schemas.openxmlformats.org/officeDocument/2006/relationships/hyperlink" Target="https://osf.io/szntm" TargetMode="External"/><Relationship Id="rId1901" Type="http://schemas.openxmlformats.org/officeDocument/2006/relationships/hyperlink" Target="https://doi.org/10/ggb75r" TargetMode="External"/><Relationship Id="rId1902" Type="http://schemas.openxmlformats.org/officeDocument/2006/relationships/hyperlink" Target="https://osf.io/sejyp" TargetMode="External"/><Relationship Id="rId1903" Type="http://schemas.openxmlformats.org/officeDocument/2006/relationships/hyperlink" Target="https://doi.org/10/gg6grh" TargetMode="External"/><Relationship Id="rId1904" Type="http://schemas.openxmlformats.org/officeDocument/2006/relationships/hyperlink" Target="https://osf.io/sejyp" TargetMode="External"/><Relationship Id="rId1905" Type="http://schemas.openxmlformats.org/officeDocument/2006/relationships/hyperlink" Target="https://osf.io/9avrm" TargetMode="External"/><Relationship Id="rId1906" Type="http://schemas.openxmlformats.org/officeDocument/2006/relationships/hyperlink" Target="https://doi.org/10/gg6grh" TargetMode="External"/><Relationship Id="rId1907" Type="http://schemas.openxmlformats.org/officeDocument/2006/relationships/hyperlink" Target="https://osf.io/sejyp" TargetMode="External"/><Relationship Id="rId1908" Type="http://schemas.openxmlformats.org/officeDocument/2006/relationships/hyperlink" Target="https://doi.org/10/gb4vmc" TargetMode="External"/><Relationship Id="rId1909" Type="http://schemas.openxmlformats.org/officeDocument/2006/relationships/hyperlink" Target="https://osf.io/sejyp" TargetMode="External"/><Relationship Id="rId1090" Type="http://schemas.openxmlformats.org/officeDocument/2006/relationships/hyperlink" Target="https://rpubs.com/pgzhu/vasilyeva2018" TargetMode="External"/><Relationship Id="rId1091" Type="http://schemas.openxmlformats.org/officeDocument/2006/relationships/hyperlink" Target="https://github.com/vboyce/251-254-MA/blob/main/data/processed_data.csv" TargetMode="External"/><Relationship Id="rId1092" Type="http://schemas.openxmlformats.org/officeDocument/2006/relationships/hyperlink" Target="http://osf.io/gseqn" TargetMode="External"/><Relationship Id="rId1093" Type="http://schemas.openxmlformats.org/officeDocument/2006/relationships/hyperlink" Target="https://osf.io/wdp9b" TargetMode="External"/><Relationship Id="rId1094" Type="http://schemas.openxmlformats.org/officeDocument/2006/relationships/hyperlink" Target="https://osf.io/wdp9b" TargetMode="External"/><Relationship Id="rId1095" Type="http://schemas.openxmlformats.org/officeDocument/2006/relationships/hyperlink" Target="http://osf.io/gseqn" TargetMode="External"/><Relationship Id="rId1096" Type="http://schemas.openxmlformats.org/officeDocument/2006/relationships/hyperlink" Target="https://github.com/vboyce/251-254-MA/blob/main/data/processed_data.csv" TargetMode="External"/><Relationship Id="rId1097" Type="http://schemas.openxmlformats.org/officeDocument/2006/relationships/hyperlink" Target="https://osf.io/5ausj" TargetMode="External"/><Relationship Id="rId1098" Type="http://schemas.openxmlformats.org/officeDocument/2006/relationships/hyperlink" Target="https://rstudio-pubs-static.s3.amazonaws.com/955939_50cc1f13803a4ee1beb7841644071e54.html" TargetMode="External"/><Relationship Id="rId1099" Type="http://schemas.openxmlformats.org/officeDocument/2006/relationships/hyperlink" Target="https://rstudio-pubs-static.s3.amazonaws.com/955939_50cc1f13803a4ee1beb7841644071e54.html" TargetMode="External"/><Relationship Id="rId1080" Type="http://schemas.openxmlformats.org/officeDocument/2006/relationships/hyperlink" Target="https://rpubs.com/ayl888/695975" TargetMode="External"/><Relationship Id="rId1081" Type="http://schemas.openxmlformats.org/officeDocument/2006/relationships/hyperlink" Target="https://rpubs.com/ayl888/695975" TargetMode="External"/><Relationship Id="rId1082" Type="http://schemas.openxmlformats.org/officeDocument/2006/relationships/hyperlink" Target="https://rstudio-pubs-static.s3.amazonaws.com/692885_b2ccf160054344dd86468e0fc9cc6e68.html" TargetMode="External"/><Relationship Id="rId1083" Type="http://schemas.openxmlformats.org/officeDocument/2006/relationships/hyperlink" Target="https://rpubs.com/ayl888/695975" TargetMode="External"/><Relationship Id="rId1084" Type="http://schemas.openxmlformats.org/officeDocument/2006/relationships/hyperlink" Target="https://rpubs.com/ayl888/695975" TargetMode="External"/><Relationship Id="rId1085" Type="http://schemas.openxmlformats.org/officeDocument/2006/relationships/hyperlink" Target="http://doi.org/10.1007/s13164-018-0400-9" TargetMode="External"/><Relationship Id="rId1086" Type="http://schemas.openxmlformats.org/officeDocument/2006/relationships/hyperlink" Target="https://osf.io/4ewkh" TargetMode="External"/><Relationship Id="rId1087" Type="http://schemas.openxmlformats.org/officeDocument/2006/relationships/hyperlink" Target="https://doi.org/10.17605/OSF.IO/N5ZSX" TargetMode="External"/><Relationship Id="rId1088" Type="http://schemas.openxmlformats.org/officeDocument/2006/relationships/hyperlink" Target="http://osf.io/p48sa/" TargetMode="External"/><Relationship Id="rId1089" Type="http://schemas.openxmlformats.org/officeDocument/2006/relationships/hyperlink" Target="https://github.com/vboyce/251-254-MA/blob/main/data/processed_data.csv" TargetMode="External"/><Relationship Id="rId1972" Type="http://schemas.openxmlformats.org/officeDocument/2006/relationships/hyperlink" Target="https://osf.io/ejcfw" TargetMode="External"/><Relationship Id="rId1973" Type="http://schemas.openxmlformats.org/officeDocument/2006/relationships/hyperlink" Target="https://osf.io/ejcfw" TargetMode="External"/><Relationship Id="rId1974" Type="http://schemas.openxmlformats.org/officeDocument/2006/relationships/hyperlink" Target="https://osf.io/ejcfw" TargetMode="External"/><Relationship Id="rId1975" Type="http://schemas.openxmlformats.org/officeDocument/2006/relationships/hyperlink" Target="https://osf.io/ejcfw" TargetMode="External"/><Relationship Id="rId1976" Type="http://schemas.openxmlformats.org/officeDocument/2006/relationships/hyperlink" Target="https://osf.io/ejcfw" TargetMode="External"/><Relationship Id="rId1977" Type="http://schemas.openxmlformats.org/officeDocument/2006/relationships/hyperlink" Target="https://osf.io/ejcfw" TargetMode="External"/><Relationship Id="rId1978" Type="http://schemas.openxmlformats.org/officeDocument/2006/relationships/hyperlink" Target="https://osf.io/ejcfw" TargetMode="External"/><Relationship Id="rId1979" Type="http://schemas.openxmlformats.org/officeDocument/2006/relationships/hyperlink" Target="https://osf.io/ejcfw" TargetMode="External"/><Relationship Id="rId1970" Type="http://schemas.openxmlformats.org/officeDocument/2006/relationships/hyperlink" Target="https://osf.io/ejcfw" TargetMode="External"/><Relationship Id="rId1971" Type="http://schemas.openxmlformats.org/officeDocument/2006/relationships/hyperlink" Target="https://osf.io/ejcfw" TargetMode="External"/><Relationship Id="rId1961" Type="http://schemas.openxmlformats.org/officeDocument/2006/relationships/hyperlink" Target="https://osf.io/j8a4p" TargetMode="External"/><Relationship Id="rId1962" Type="http://schemas.openxmlformats.org/officeDocument/2006/relationships/hyperlink" Target="https://osf.io/j8a4p" TargetMode="External"/><Relationship Id="rId1963" Type="http://schemas.openxmlformats.org/officeDocument/2006/relationships/hyperlink" Target="https://www.econstor.eu/bitstream/10419/253653/1/JCRE-2022-2.pdf)" TargetMode="External"/><Relationship Id="rId1964" Type="http://schemas.openxmlformats.org/officeDocument/2006/relationships/hyperlink" Target="https://osf.io/ejcfw" TargetMode="External"/><Relationship Id="rId1965" Type="http://schemas.openxmlformats.org/officeDocument/2006/relationships/hyperlink" Target="https://doi.org/10.1037/a0015960" TargetMode="External"/><Relationship Id="rId1966" Type="http://schemas.openxmlformats.org/officeDocument/2006/relationships/hyperlink" Target="https://osf.io/ejcfw" TargetMode="External"/><Relationship Id="rId1967" Type="http://schemas.openxmlformats.org/officeDocument/2006/relationships/hyperlink" Target="https://doi.org/10.1037/a0015960" TargetMode="External"/><Relationship Id="rId1968" Type="http://schemas.openxmlformats.org/officeDocument/2006/relationships/hyperlink" Target="https://osf.io/ejcfw" TargetMode="External"/><Relationship Id="rId1969" Type="http://schemas.openxmlformats.org/officeDocument/2006/relationships/hyperlink" Target="https://doi.org/10.1037/a0015960" TargetMode="External"/><Relationship Id="rId1960" Type="http://schemas.openxmlformats.org/officeDocument/2006/relationships/hyperlink" Target="https://doi.org/10.17605/OSF.IO/J8A4P" TargetMode="External"/><Relationship Id="rId1994" Type="http://schemas.openxmlformats.org/officeDocument/2006/relationships/hyperlink" Target="https://osf.io/ejcfw" TargetMode="External"/><Relationship Id="rId1995" Type="http://schemas.openxmlformats.org/officeDocument/2006/relationships/hyperlink" Target="https://osf.io/ejcfw" TargetMode="External"/><Relationship Id="rId1996" Type="http://schemas.openxmlformats.org/officeDocument/2006/relationships/hyperlink" Target="https://osf.io/ejcfw" TargetMode="External"/><Relationship Id="rId1997" Type="http://schemas.openxmlformats.org/officeDocument/2006/relationships/hyperlink" Target="https://osf.io/ejcfw" TargetMode="External"/><Relationship Id="rId1998" Type="http://schemas.openxmlformats.org/officeDocument/2006/relationships/hyperlink" Target="https://osf.io/ejcfw" TargetMode="External"/><Relationship Id="rId1999" Type="http://schemas.openxmlformats.org/officeDocument/2006/relationships/hyperlink" Target="https://osf.io/ejcfw" TargetMode="External"/><Relationship Id="rId1990" Type="http://schemas.openxmlformats.org/officeDocument/2006/relationships/hyperlink" Target="https://osf.io/ejcfw" TargetMode="External"/><Relationship Id="rId1991" Type="http://schemas.openxmlformats.org/officeDocument/2006/relationships/hyperlink" Target="https://osf.io/ejcfw" TargetMode="External"/><Relationship Id="rId1992" Type="http://schemas.openxmlformats.org/officeDocument/2006/relationships/hyperlink" Target="https://osf.io/ejcfw" TargetMode="External"/><Relationship Id="rId1993" Type="http://schemas.openxmlformats.org/officeDocument/2006/relationships/hyperlink" Target="https://osf.io/ejcfw" TargetMode="External"/><Relationship Id="rId1983" Type="http://schemas.openxmlformats.org/officeDocument/2006/relationships/hyperlink" Target="https://osf.io/ejcfw" TargetMode="External"/><Relationship Id="rId1984" Type="http://schemas.openxmlformats.org/officeDocument/2006/relationships/hyperlink" Target="https://osf.io/ejcfw" TargetMode="External"/><Relationship Id="rId1985" Type="http://schemas.openxmlformats.org/officeDocument/2006/relationships/hyperlink" Target="https://osf.io/ejcfw" TargetMode="External"/><Relationship Id="rId1986" Type="http://schemas.openxmlformats.org/officeDocument/2006/relationships/hyperlink" Target="https://osf.io/ejcfw" TargetMode="External"/><Relationship Id="rId1987" Type="http://schemas.openxmlformats.org/officeDocument/2006/relationships/hyperlink" Target="https://osf.io/ejcfw" TargetMode="External"/><Relationship Id="rId1988" Type="http://schemas.openxmlformats.org/officeDocument/2006/relationships/hyperlink" Target="https://osf.io/ejcfw" TargetMode="External"/><Relationship Id="rId1989" Type="http://schemas.openxmlformats.org/officeDocument/2006/relationships/hyperlink" Target="https://osf.io/ejcfw" TargetMode="External"/><Relationship Id="rId1980" Type="http://schemas.openxmlformats.org/officeDocument/2006/relationships/hyperlink" Target="https://osf.io/ejcfw" TargetMode="External"/><Relationship Id="rId1981" Type="http://schemas.openxmlformats.org/officeDocument/2006/relationships/hyperlink" Target="https://osf.io/ejcfw" TargetMode="External"/><Relationship Id="rId1982" Type="http://schemas.openxmlformats.org/officeDocument/2006/relationships/hyperlink" Target="https://osf.io/ejcfw" TargetMode="External"/><Relationship Id="rId1930" Type="http://schemas.openxmlformats.org/officeDocument/2006/relationships/hyperlink" Target="https://doi.org/10.17605/OSF.IO/J8A4P" TargetMode="External"/><Relationship Id="rId1931" Type="http://schemas.openxmlformats.org/officeDocument/2006/relationships/hyperlink" Target="https://osf.io/j8a4p" TargetMode="External"/><Relationship Id="rId1932" Type="http://schemas.openxmlformats.org/officeDocument/2006/relationships/hyperlink" Target="https://osf.io/j8a4p" TargetMode="External"/><Relationship Id="rId1933" Type="http://schemas.openxmlformats.org/officeDocument/2006/relationships/hyperlink" Target="https://osf.io/x9tq5" TargetMode="External"/><Relationship Id="rId1934" Type="http://schemas.openxmlformats.org/officeDocument/2006/relationships/hyperlink" Target="https://doi.org/10.17605/OSF.IO/J8A4P" TargetMode="External"/><Relationship Id="rId1935" Type="http://schemas.openxmlformats.org/officeDocument/2006/relationships/hyperlink" Target="https://doi.org/10.17605/OSF.IO/J8A4P" TargetMode="External"/><Relationship Id="rId1936" Type="http://schemas.openxmlformats.org/officeDocument/2006/relationships/hyperlink" Target="https://osf.io/j8a4p" TargetMode="External"/><Relationship Id="rId1937" Type="http://schemas.openxmlformats.org/officeDocument/2006/relationships/hyperlink" Target="https://osf.io/j8a4p" TargetMode="External"/><Relationship Id="rId1938" Type="http://schemas.openxmlformats.org/officeDocument/2006/relationships/hyperlink" Target="https://osf.io/x9tq5" TargetMode="External"/><Relationship Id="rId1939" Type="http://schemas.openxmlformats.org/officeDocument/2006/relationships/hyperlink" Target="https://doi.org/10.17605/OSF.IO/J8A4P" TargetMode="External"/><Relationship Id="rId1920" Type="http://schemas.openxmlformats.org/officeDocument/2006/relationships/hyperlink" Target="https://doi.org/10/f8qfrh" TargetMode="External"/><Relationship Id="rId1921" Type="http://schemas.openxmlformats.org/officeDocument/2006/relationships/hyperlink" Target="https://osf.io/nc49e" TargetMode="External"/><Relationship Id="rId1922" Type="http://schemas.openxmlformats.org/officeDocument/2006/relationships/hyperlink" Target="https://doi.org/10/f8qfrh" TargetMode="External"/><Relationship Id="rId1923" Type="http://schemas.openxmlformats.org/officeDocument/2006/relationships/hyperlink" Target="https://osf.io/7pw4c?view_only=ca3860721b4048f5a3ff7d27687d2e46" TargetMode="External"/><Relationship Id="rId1924" Type="http://schemas.openxmlformats.org/officeDocument/2006/relationships/hyperlink" Target="https://osf.io/caf6h?view_only=f5bd34199dd447b8af03b6b207f9e5d6" TargetMode="External"/><Relationship Id="rId1925" Type="http://schemas.openxmlformats.org/officeDocument/2006/relationships/hyperlink" Target="https://osf.io/caf6h?view_only=f5bd34199dd447b8af03b6b207f9e5d6" TargetMode="External"/><Relationship Id="rId1926" Type="http://schemas.openxmlformats.org/officeDocument/2006/relationships/hyperlink" Target="https://osf.io/3xcnm/" TargetMode="External"/><Relationship Id="rId1927" Type="http://schemas.openxmlformats.org/officeDocument/2006/relationships/hyperlink" Target="https://osf.io/3xcnm/" TargetMode="External"/><Relationship Id="rId1928" Type="http://schemas.openxmlformats.org/officeDocument/2006/relationships/hyperlink" Target="https://osf.io/x9tq5" TargetMode="External"/><Relationship Id="rId1929" Type="http://schemas.openxmlformats.org/officeDocument/2006/relationships/hyperlink" Target="https://doi.org/10.17605/OSF.IO/J8A4P" TargetMode="External"/><Relationship Id="rId1950" Type="http://schemas.openxmlformats.org/officeDocument/2006/relationships/hyperlink" Target="https://doi.org/10.17605/OSF.IO/J8A4P" TargetMode="External"/><Relationship Id="rId1951" Type="http://schemas.openxmlformats.org/officeDocument/2006/relationships/hyperlink" Target="https://osf.io/j8a4p" TargetMode="External"/><Relationship Id="rId1952" Type="http://schemas.openxmlformats.org/officeDocument/2006/relationships/hyperlink" Target="https://osf.io/j8a4p" TargetMode="External"/><Relationship Id="rId1953" Type="http://schemas.openxmlformats.org/officeDocument/2006/relationships/hyperlink" Target="https://osf.io/x9tq5" TargetMode="External"/><Relationship Id="rId1954" Type="http://schemas.openxmlformats.org/officeDocument/2006/relationships/hyperlink" Target="https://doi.org/10.17605/OSF.IO/J8A4P" TargetMode="External"/><Relationship Id="rId1955" Type="http://schemas.openxmlformats.org/officeDocument/2006/relationships/hyperlink" Target="https://doi.org/10.17605/OSF.IO/J8A4P" TargetMode="External"/><Relationship Id="rId1956" Type="http://schemas.openxmlformats.org/officeDocument/2006/relationships/hyperlink" Target="https://osf.io/j8a4p" TargetMode="External"/><Relationship Id="rId1957" Type="http://schemas.openxmlformats.org/officeDocument/2006/relationships/hyperlink" Target="https://osf.io/j8a4p" TargetMode="External"/><Relationship Id="rId1958" Type="http://schemas.openxmlformats.org/officeDocument/2006/relationships/hyperlink" Target="https://osf.io/x9tq5" TargetMode="External"/><Relationship Id="rId1959" Type="http://schemas.openxmlformats.org/officeDocument/2006/relationships/hyperlink" Target="https://doi.org/10.17605/OSF.IO/J8A4P" TargetMode="External"/><Relationship Id="rId1940" Type="http://schemas.openxmlformats.org/officeDocument/2006/relationships/hyperlink" Target="https://doi.org/10.17605/OSF.IO/J8A4P" TargetMode="External"/><Relationship Id="rId1941" Type="http://schemas.openxmlformats.org/officeDocument/2006/relationships/hyperlink" Target="https://osf.io/j8a4p" TargetMode="External"/><Relationship Id="rId1942" Type="http://schemas.openxmlformats.org/officeDocument/2006/relationships/hyperlink" Target="https://osf.io/j8a4p" TargetMode="External"/><Relationship Id="rId1943" Type="http://schemas.openxmlformats.org/officeDocument/2006/relationships/hyperlink" Target="https://osf.io/x9tq5" TargetMode="External"/><Relationship Id="rId1944" Type="http://schemas.openxmlformats.org/officeDocument/2006/relationships/hyperlink" Target="https://doi.org/10.17605/OSF.IO/J8A4P" TargetMode="External"/><Relationship Id="rId1945" Type="http://schemas.openxmlformats.org/officeDocument/2006/relationships/hyperlink" Target="https://doi.org/10.17605/OSF.IO/J8A4P" TargetMode="External"/><Relationship Id="rId1946" Type="http://schemas.openxmlformats.org/officeDocument/2006/relationships/hyperlink" Target="https://osf.io/j8a4p" TargetMode="External"/><Relationship Id="rId1947" Type="http://schemas.openxmlformats.org/officeDocument/2006/relationships/hyperlink" Target="https://osf.io/j8a4p" TargetMode="External"/><Relationship Id="rId1948" Type="http://schemas.openxmlformats.org/officeDocument/2006/relationships/hyperlink" Target="https://osf.io/x9tq5" TargetMode="External"/><Relationship Id="rId1949" Type="http://schemas.openxmlformats.org/officeDocument/2006/relationships/hyperlink" Target="https://doi.org/10.17605/OSF.IO/J8A4P" TargetMode="External"/><Relationship Id="rId2423" Type="http://schemas.openxmlformats.org/officeDocument/2006/relationships/hyperlink" Target="https://osf.io/9bf3s" TargetMode="External"/><Relationship Id="rId3755" Type="http://schemas.openxmlformats.org/officeDocument/2006/relationships/hyperlink" Target="https://doi.org/10.17605/OSF.IO/RGE23" TargetMode="External"/><Relationship Id="rId2424" Type="http://schemas.openxmlformats.org/officeDocument/2006/relationships/hyperlink" Target="https://doi.org/10.1038/s41598-017-10669-4" TargetMode="External"/><Relationship Id="rId3754" Type="http://schemas.openxmlformats.org/officeDocument/2006/relationships/hyperlink" Target="https://osf.io/rge23" TargetMode="External"/><Relationship Id="rId2425" Type="http://schemas.openxmlformats.org/officeDocument/2006/relationships/hyperlink" Target="https://doi.org/10.1098/rsos.210641" TargetMode="External"/><Relationship Id="rId3757" Type="http://schemas.openxmlformats.org/officeDocument/2006/relationships/hyperlink" Target="https://doi.org/10.17605/OSF.IO/RGE23" TargetMode="External"/><Relationship Id="rId2426" Type="http://schemas.openxmlformats.org/officeDocument/2006/relationships/hyperlink" Target="https://osf.io/9bf3s" TargetMode="External"/><Relationship Id="rId3756" Type="http://schemas.openxmlformats.org/officeDocument/2006/relationships/hyperlink" Target="https://osf.io/rge23" TargetMode="External"/><Relationship Id="rId2427" Type="http://schemas.openxmlformats.org/officeDocument/2006/relationships/hyperlink" Target="https://osf.io/9bf3s" TargetMode="External"/><Relationship Id="rId3759" Type="http://schemas.openxmlformats.org/officeDocument/2006/relationships/hyperlink" Target="https://doi.org/10.17605/OSF.IO/RGE23" TargetMode="External"/><Relationship Id="rId2428" Type="http://schemas.openxmlformats.org/officeDocument/2006/relationships/hyperlink" Target="https://doi.org/10.1038/s41598-017-10669-4" TargetMode="External"/><Relationship Id="rId3758" Type="http://schemas.openxmlformats.org/officeDocument/2006/relationships/hyperlink" Target="https://osf.io/rge23" TargetMode="External"/><Relationship Id="rId2429" Type="http://schemas.openxmlformats.org/officeDocument/2006/relationships/hyperlink" Target="https://doi.org/10.1098/rsos.210641" TargetMode="External"/><Relationship Id="rId509" Type="http://schemas.openxmlformats.org/officeDocument/2006/relationships/hyperlink" Target="https://osf.io/yajmp" TargetMode="External"/><Relationship Id="rId508" Type="http://schemas.openxmlformats.org/officeDocument/2006/relationships/hyperlink" Target="https://osf.io/yajmp" TargetMode="External"/><Relationship Id="rId503" Type="http://schemas.openxmlformats.org/officeDocument/2006/relationships/hyperlink" Target="https://osf.io/yajmp" TargetMode="External"/><Relationship Id="rId502" Type="http://schemas.openxmlformats.org/officeDocument/2006/relationships/hyperlink" Target="https://osf.io/yajmp" TargetMode="External"/><Relationship Id="rId501" Type="http://schemas.openxmlformats.org/officeDocument/2006/relationships/hyperlink" Target="https://osf.io/yajmp" TargetMode="External"/><Relationship Id="rId500" Type="http://schemas.openxmlformats.org/officeDocument/2006/relationships/hyperlink" Target="https://doi.org/10.1037/pspp0000263" TargetMode="External"/><Relationship Id="rId507" Type="http://schemas.openxmlformats.org/officeDocument/2006/relationships/hyperlink" Target="https://osf.io/yajmp" TargetMode="External"/><Relationship Id="rId506" Type="http://schemas.openxmlformats.org/officeDocument/2006/relationships/hyperlink" Target="https://doi.org/10.1037/pspp0000263" TargetMode="External"/><Relationship Id="rId505" Type="http://schemas.openxmlformats.org/officeDocument/2006/relationships/hyperlink" Target="https://osf.io/6m5tb" TargetMode="External"/><Relationship Id="rId504" Type="http://schemas.openxmlformats.org/officeDocument/2006/relationships/hyperlink" Target="https://osf.io/6m5tb" TargetMode="External"/><Relationship Id="rId3751" Type="http://schemas.openxmlformats.org/officeDocument/2006/relationships/hyperlink" Target="https://doi.org/10.17605/OSF.IO/RGE23" TargetMode="External"/><Relationship Id="rId2420" Type="http://schemas.openxmlformats.org/officeDocument/2006/relationships/hyperlink" Target="https://osf.io/8nzfm/" TargetMode="External"/><Relationship Id="rId3750" Type="http://schemas.openxmlformats.org/officeDocument/2006/relationships/hyperlink" Target="https://osf.io/6ua4s" TargetMode="External"/><Relationship Id="rId2421" Type="http://schemas.openxmlformats.org/officeDocument/2006/relationships/hyperlink" Target="https://osf.io/8nzfm/wiki/home/" TargetMode="External"/><Relationship Id="rId3753" Type="http://schemas.openxmlformats.org/officeDocument/2006/relationships/hyperlink" Target="https://doi.org/10.17605/OSF.IO/RGE23" TargetMode="External"/><Relationship Id="rId2422" Type="http://schemas.openxmlformats.org/officeDocument/2006/relationships/hyperlink" Target="https://osf.io/2dqxv" TargetMode="External"/><Relationship Id="rId3752" Type="http://schemas.openxmlformats.org/officeDocument/2006/relationships/hyperlink" Target="https://osf.io/rge23" TargetMode="External"/><Relationship Id="rId2412" Type="http://schemas.openxmlformats.org/officeDocument/2006/relationships/hyperlink" Target="https://osf.io/m2cyn/" TargetMode="External"/><Relationship Id="rId3744" Type="http://schemas.openxmlformats.org/officeDocument/2006/relationships/hyperlink" Target="https://osf.io/52wpj" TargetMode="External"/><Relationship Id="rId2413" Type="http://schemas.openxmlformats.org/officeDocument/2006/relationships/hyperlink" Target="https://osf.io/m2cyn/" TargetMode="External"/><Relationship Id="rId3743" Type="http://schemas.openxmlformats.org/officeDocument/2006/relationships/hyperlink" Target="https://osf.io/fdrn6/" TargetMode="External"/><Relationship Id="rId2414" Type="http://schemas.openxmlformats.org/officeDocument/2006/relationships/hyperlink" Target="https://osf.io/49yza" TargetMode="External"/><Relationship Id="rId3746" Type="http://schemas.openxmlformats.org/officeDocument/2006/relationships/hyperlink" Target="https://osf.io/akfzh" TargetMode="External"/><Relationship Id="rId2415" Type="http://schemas.openxmlformats.org/officeDocument/2006/relationships/hyperlink" Target="https://doi.org/10.1037/mot0000097" TargetMode="External"/><Relationship Id="rId3745" Type="http://schemas.openxmlformats.org/officeDocument/2006/relationships/hyperlink" Target="https://doi.org/10.17605/OSF.IO/RGE23" TargetMode="External"/><Relationship Id="rId2416" Type="http://schemas.openxmlformats.org/officeDocument/2006/relationships/hyperlink" Target="https://osf.io/49yza" TargetMode="External"/><Relationship Id="rId3748" Type="http://schemas.openxmlformats.org/officeDocument/2006/relationships/hyperlink" Target="https://osf.io/6ua4s" TargetMode="External"/><Relationship Id="rId2417" Type="http://schemas.openxmlformats.org/officeDocument/2006/relationships/hyperlink" Target="https://osf.io/8nzfm/" TargetMode="External"/><Relationship Id="rId3747" Type="http://schemas.openxmlformats.org/officeDocument/2006/relationships/hyperlink" Target="https://doi.org/10.17605/OSF.IO/RGE23" TargetMode="External"/><Relationship Id="rId2418" Type="http://schemas.openxmlformats.org/officeDocument/2006/relationships/hyperlink" Target="https://osf.io/8nzfm/wiki/home/" TargetMode="External"/><Relationship Id="rId2419" Type="http://schemas.openxmlformats.org/officeDocument/2006/relationships/hyperlink" Target="https://osf.io/2dqxv" TargetMode="External"/><Relationship Id="rId3749" Type="http://schemas.openxmlformats.org/officeDocument/2006/relationships/hyperlink" Target="https://doi.org/10.17605/OSF.IO/RGE23" TargetMode="External"/><Relationship Id="rId3740" Type="http://schemas.openxmlformats.org/officeDocument/2006/relationships/hyperlink" Target="https://osf.io/fdrn6/" TargetMode="External"/><Relationship Id="rId2410" Type="http://schemas.openxmlformats.org/officeDocument/2006/relationships/hyperlink" Target="https://osf.io/p6e3c/registrations" TargetMode="External"/><Relationship Id="rId3742" Type="http://schemas.openxmlformats.org/officeDocument/2006/relationships/hyperlink" Target="https://osf.io/fdrn6/" TargetMode="External"/><Relationship Id="rId2411" Type="http://schemas.openxmlformats.org/officeDocument/2006/relationships/hyperlink" Target="https://osf.io/m2cyn/" TargetMode="External"/><Relationship Id="rId3741" Type="http://schemas.openxmlformats.org/officeDocument/2006/relationships/hyperlink" Target="https://osf.io/fdrn6/" TargetMode="External"/><Relationship Id="rId1114" Type="http://schemas.openxmlformats.org/officeDocument/2006/relationships/hyperlink" Target="https://rstudio-pubs-static.s3.amazonaws.com/155174_48b1633681bb4024b4098ed433d5a80a.html" TargetMode="External"/><Relationship Id="rId2445" Type="http://schemas.openxmlformats.org/officeDocument/2006/relationships/hyperlink" Target="https://doi.org/10.17605/OSF.IO/U6ZW9" TargetMode="External"/><Relationship Id="rId3777" Type="http://schemas.openxmlformats.org/officeDocument/2006/relationships/hyperlink" Target="https://osf.io/tp4zg" TargetMode="External"/><Relationship Id="rId1115" Type="http://schemas.openxmlformats.org/officeDocument/2006/relationships/hyperlink" Target="https://rstudio-pubs-static.s3.amazonaws.com/155174_48b1633681bb4024b4098ed433d5a80a.html" TargetMode="External"/><Relationship Id="rId2446" Type="http://schemas.openxmlformats.org/officeDocument/2006/relationships/hyperlink" Target="https://doi.org/10.17605/OSF.IO/U6ZW9" TargetMode="External"/><Relationship Id="rId3776" Type="http://schemas.openxmlformats.org/officeDocument/2006/relationships/hyperlink" Target="https://osf.io/tp4zg" TargetMode="External"/><Relationship Id="rId1116" Type="http://schemas.openxmlformats.org/officeDocument/2006/relationships/hyperlink" Target="https://osf.io/62jvk" TargetMode="External"/><Relationship Id="rId2447" Type="http://schemas.openxmlformats.org/officeDocument/2006/relationships/hyperlink" Target="https://doi.org/10.17605/OSF.IO/U6ZW9" TargetMode="External"/><Relationship Id="rId3779" Type="http://schemas.openxmlformats.org/officeDocument/2006/relationships/hyperlink" Target="https://osf.io/tp4zg" TargetMode="External"/><Relationship Id="rId1117" Type="http://schemas.openxmlformats.org/officeDocument/2006/relationships/hyperlink" Target="https://rstudio-pubs-static.s3.amazonaws.com/155174_48b1633681bb4024b4098ed433d5a80a.html" TargetMode="External"/><Relationship Id="rId2448" Type="http://schemas.openxmlformats.org/officeDocument/2006/relationships/hyperlink" Target="https://doi.org/10.17605/OSF.IO/U6ZW9" TargetMode="External"/><Relationship Id="rId3778" Type="http://schemas.openxmlformats.org/officeDocument/2006/relationships/hyperlink" Target="https://osf.io/tp4zg" TargetMode="External"/><Relationship Id="rId1118" Type="http://schemas.openxmlformats.org/officeDocument/2006/relationships/hyperlink" Target="https://rstudio-pubs-static.s3.amazonaws.com/155174_48b1633681bb4024b4098ed433d5a80a.html" TargetMode="External"/><Relationship Id="rId2449" Type="http://schemas.openxmlformats.org/officeDocument/2006/relationships/hyperlink" Target="mailto:sarahashjones@gmail.com" TargetMode="External"/><Relationship Id="rId1119" Type="http://schemas.openxmlformats.org/officeDocument/2006/relationships/hyperlink" Target="https://rstudio-pubs-static.s3.amazonaws.com/155174_48b1633681bb4024b4098ed433d5a80a.html" TargetMode="External"/><Relationship Id="rId525" Type="http://schemas.openxmlformats.org/officeDocument/2006/relationships/hyperlink" Target="https://osf.io/yqxme" TargetMode="External"/><Relationship Id="rId524" Type="http://schemas.openxmlformats.org/officeDocument/2006/relationships/hyperlink" Target="https://osf.io/ja3wc)" TargetMode="External"/><Relationship Id="rId523" Type="http://schemas.openxmlformats.org/officeDocument/2006/relationships/hyperlink" Target="https://osf.io/6m5tb" TargetMode="External"/><Relationship Id="rId522" Type="http://schemas.openxmlformats.org/officeDocument/2006/relationships/hyperlink" Target="https://osf.io/6m5tb" TargetMode="External"/><Relationship Id="rId529" Type="http://schemas.openxmlformats.org/officeDocument/2006/relationships/hyperlink" Target="https://osf.io/yqxme" TargetMode="External"/><Relationship Id="rId528" Type="http://schemas.openxmlformats.org/officeDocument/2006/relationships/hyperlink" Target="https://osf.io/yqxme" TargetMode="External"/><Relationship Id="rId527" Type="http://schemas.openxmlformats.org/officeDocument/2006/relationships/hyperlink" Target="https://osf.io/yqxme" TargetMode="External"/><Relationship Id="rId526" Type="http://schemas.openxmlformats.org/officeDocument/2006/relationships/hyperlink" Target="https://doi.org/10.1177/1948550619843931" TargetMode="External"/><Relationship Id="rId3771" Type="http://schemas.openxmlformats.org/officeDocument/2006/relationships/hyperlink" Target="https://osf.io/q5mvd" TargetMode="External"/><Relationship Id="rId2440" Type="http://schemas.openxmlformats.org/officeDocument/2006/relationships/hyperlink" Target="mailto:sarahashjones@gmail.com" TargetMode="External"/><Relationship Id="rId3770" Type="http://schemas.openxmlformats.org/officeDocument/2006/relationships/hyperlink" Target="https://osf.io/q5mvd" TargetMode="External"/><Relationship Id="rId521" Type="http://schemas.openxmlformats.org/officeDocument/2006/relationships/hyperlink" Target="https://osf.io/yajmp" TargetMode="External"/><Relationship Id="rId1110" Type="http://schemas.openxmlformats.org/officeDocument/2006/relationships/hyperlink" Target="https://github.com/psych251/wilkins2014/blob/master/writeup/project_report.html" TargetMode="External"/><Relationship Id="rId2441" Type="http://schemas.openxmlformats.org/officeDocument/2006/relationships/hyperlink" Target="https://doi.org/10.17605/OSF.IO/U6ZW9" TargetMode="External"/><Relationship Id="rId3773" Type="http://schemas.openxmlformats.org/officeDocument/2006/relationships/hyperlink" Target="https://osf.io/n7yc4" TargetMode="External"/><Relationship Id="rId520" Type="http://schemas.openxmlformats.org/officeDocument/2006/relationships/hyperlink" Target="https://osf.io/yajmp" TargetMode="External"/><Relationship Id="rId1111" Type="http://schemas.openxmlformats.org/officeDocument/2006/relationships/hyperlink" Target="https://osf.io/p79wz" TargetMode="External"/><Relationship Id="rId2442" Type="http://schemas.openxmlformats.org/officeDocument/2006/relationships/hyperlink" Target="mailto:sarahashjones@gmail.com" TargetMode="External"/><Relationship Id="rId3772" Type="http://schemas.openxmlformats.org/officeDocument/2006/relationships/hyperlink" Target="https://osf.io/q5mvd" TargetMode="External"/><Relationship Id="rId1112" Type="http://schemas.openxmlformats.org/officeDocument/2006/relationships/hyperlink" Target="https://rstudio-pubs-static.s3.amazonaws.com/257540_6659667fe79e4d43936e8bb9d045f803.html" TargetMode="External"/><Relationship Id="rId2443" Type="http://schemas.openxmlformats.org/officeDocument/2006/relationships/hyperlink" Target="https://doi.org/10.17605/OSF.IO/U6ZW9" TargetMode="External"/><Relationship Id="rId3775" Type="http://schemas.openxmlformats.org/officeDocument/2006/relationships/hyperlink" Target="https://osf.io/tp4zg" TargetMode="External"/><Relationship Id="rId1113" Type="http://schemas.openxmlformats.org/officeDocument/2006/relationships/hyperlink" Target="https://rstudio-pubs-static.s3.amazonaws.com/155174_48b1633681bb4024b4098ed433d5a80a.html" TargetMode="External"/><Relationship Id="rId2444" Type="http://schemas.openxmlformats.org/officeDocument/2006/relationships/hyperlink" Target="https://doi.org/10.17605/OSF.IO/U6ZW9" TargetMode="External"/><Relationship Id="rId3774" Type="http://schemas.openxmlformats.org/officeDocument/2006/relationships/hyperlink" Target="https://osf.io/n7yc4" TargetMode="External"/><Relationship Id="rId1103" Type="http://schemas.openxmlformats.org/officeDocument/2006/relationships/hyperlink" Target="https://osf.io/p79wz" TargetMode="External"/><Relationship Id="rId2434" Type="http://schemas.openxmlformats.org/officeDocument/2006/relationships/hyperlink" Target="https://osf.io/9bf3s" TargetMode="External"/><Relationship Id="rId3766" Type="http://schemas.openxmlformats.org/officeDocument/2006/relationships/hyperlink" Target="https://osf.io/y2emk" TargetMode="External"/><Relationship Id="rId1104" Type="http://schemas.openxmlformats.org/officeDocument/2006/relationships/hyperlink" Target="https://github.com/psych251/wilkins2014" TargetMode="External"/><Relationship Id="rId2435" Type="http://schemas.openxmlformats.org/officeDocument/2006/relationships/hyperlink" Target="https://osf.io/dxb5n" TargetMode="External"/><Relationship Id="rId3765" Type="http://schemas.openxmlformats.org/officeDocument/2006/relationships/hyperlink" Target="https://osf.io/y2emk/" TargetMode="External"/><Relationship Id="rId1105" Type="http://schemas.openxmlformats.org/officeDocument/2006/relationships/hyperlink" Target="https://github.com/psych251/wilkins2014/blob/master/writeup/project_report.html" TargetMode="External"/><Relationship Id="rId2436" Type="http://schemas.openxmlformats.org/officeDocument/2006/relationships/hyperlink" Target="https://osf.io/dxb5n" TargetMode="External"/><Relationship Id="rId3768" Type="http://schemas.openxmlformats.org/officeDocument/2006/relationships/hyperlink" Target="https://doi.org/10.1037/xge0001503" TargetMode="External"/><Relationship Id="rId1106" Type="http://schemas.openxmlformats.org/officeDocument/2006/relationships/hyperlink" Target="https://github.com/psych251/wilkins2014/blob/master/writeup/project_report.html" TargetMode="External"/><Relationship Id="rId2437" Type="http://schemas.openxmlformats.org/officeDocument/2006/relationships/hyperlink" Target="https://osf.io/dxb5n" TargetMode="External"/><Relationship Id="rId3767" Type="http://schemas.openxmlformats.org/officeDocument/2006/relationships/hyperlink" Target="https://doi.org/10.1038/oby.2005.12" TargetMode="External"/><Relationship Id="rId1107" Type="http://schemas.openxmlformats.org/officeDocument/2006/relationships/hyperlink" Target="https://osf.io/p79wz" TargetMode="External"/><Relationship Id="rId2438" Type="http://schemas.openxmlformats.org/officeDocument/2006/relationships/hyperlink" Target="https://osf.io/dxb5n" TargetMode="External"/><Relationship Id="rId1108" Type="http://schemas.openxmlformats.org/officeDocument/2006/relationships/hyperlink" Target="https://github.com/psych251/wilkins2014" TargetMode="External"/><Relationship Id="rId2439" Type="http://schemas.openxmlformats.org/officeDocument/2006/relationships/hyperlink" Target="https://osf.io/dxb5n" TargetMode="External"/><Relationship Id="rId3769" Type="http://schemas.openxmlformats.org/officeDocument/2006/relationships/hyperlink" Target="http://osf.io/ux42g" TargetMode="External"/><Relationship Id="rId1109" Type="http://schemas.openxmlformats.org/officeDocument/2006/relationships/hyperlink" Target="https://github.com/psych251/wilkins2014/blob/master/writeup/project_report.html" TargetMode="External"/><Relationship Id="rId519" Type="http://schemas.openxmlformats.org/officeDocument/2006/relationships/hyperlink" Target="https://osf.io/yajmp" TargetMode="External"/><Relationship Id="rId514" Type="http://schemas.openxmlformats.org/officeDocument/2006/relationships/hyperlink" Target="https://osf.io/yajmp" TargetMode="External"/><Relationship Id="rId513" Type="http://schemas.openxmlformats.org/officeDocument/2006/relationships/hyperlink" Target="https://osf.io/yajmp" TargetMode="External"/><Relationship Id="rId512" Type="http://schemas.openxmlformats.org/officeDocument/2006/relationships/hyperlink" Target="https://doi.org/10.1037/pspp0000263" TargetMode="External"/><Relationship Id="rId511" Type="http://schemas.openxmlformats.org/officeDocument/2006/relationships/hyperlink" Target="https://osf.io/6m5tb" TargetMode="External"/><Relationship Id="rId518" Type="http://schemas.openxmlformats.org/officeDocument/2006/relationships/hyperlink" Target="https://doi.org/10.1037/pspp0000263" TargetMode="External"/><Relationship Id="rId517" Type="http://schemas.openxmlformats.org/officeDocument/2006/relationships/hyperlink" Target="https://osf.io/6m5tb" TargetMode="External"/><Relationship Id="rId516" Type="http://schemas.openxmlformats.org/officeDocument/2006/relationships/hyperlink" Target="https://osf.io/6m5tb" TargetMode="External"/><Relationship Id="rId515" Type="http://schemas.openxmlformats.org/officeDocument/2006/relationships/hyperlink" Target="https://osf.io/yajmp" TargetMode="External"/><Relationship Id="rId3760" Type="http://schemas.openxmlformats.org/officeDocument/2006/relationships/hyperlink" Target="https://osf.io/rge23" TargetMode="External"/><Relationship Id="rId510" Type="http://schemas.openxmlformats.org/officeDocument/2006/relationships/hyperlink" Target="https://osf.io/6m5tb" TargetMode="External"/><Relationship Id="rId2430" Type="http://schemas.openxmlformats.org/officeDocument/2006/relationships/hyperlink" Target="https://osf.io/9bf3s" TargetMode="External"/><Relationship Id="rId3762" Type="http://schemas.openxmlformats.org/officeDocument/2006/relationships/hyperlink" Target="https://osf.io/y2emk/" TargetMode="External"/><Relationship Id="rId1100" Type="http://schemas.openxmlformats.org/officeDocument/2006/relationships/hyperlink" Target="https://github.com/psych251/wilkins2014" TargetMode="External"/><Relationship Id="rId2431" Type="http://schemas.openxmlformats.org/officeDocument/2006/relationships/hyperlink" Target="https://osf.io/9bf3s" TargetMode="External"/><Relationship Id="rId3761" Type="http://schemas.openxmlformats.org/officeDocument/2006/relationships/hyperlink" Target="http://osf.io/y2emk" TargetMode="External"/><Relationship Id="rId1101" Type="http://schemas.openxmlformats.org/officeDocument/2006/relationships/hyperlink" Target="https://github.com/psych251/wilkins2014/blob/master/writeup/project_report.html" TargetMode="External"/><Relationship Id="rId2432" Type="http://schemas.openxmlformats.org/officeDocument/2006/relationships/hyperlink" Target="https://doi.org/10.1038/s41598-017-10669-4" TargetMode="External"/><Relationship Id="rId3764" Type="http://schemas.openxmlformats.org/officeDocument/2006/relationships/hyperlink" Target="http://osf.io/y2emk" TargetMode="External"/><Relationship Id="rId1102" Type="http://schemas.openxmlformats.org/officeDocument/2006/relationships/hyperlink" Target="https://github.com/psych251/wilkins2014/blob/master/writeup/project_report.html" TargetMode="External"/><Relationship Id="rId2433" Type="http://schemas.openxmlformats.org/officeDocument/2006/relationships/hyperlink" Target="https://doi.org/10.1098/rsos.210641" TargetMode="External"/><Relationship Id="rId3763" Type="http://schemas.openxmlformats.org/officeDocument/2006/relationships/hyperlink" Target="https://osf.io/y2emk/" TargetMode="External"/><Relationship Id="rId3711" Type="http://schemas.openxmlformats.org/officeDocument/2006/relationships/hyperlink" Target="https://osf.io/ed5mv" TargetMode="External"/><Relationship Id="rId3710" Type="http://schemas.openxmlformats.org/officeDocument/2006/relationships/hyperlink" Target="https://osf.io/fh2mg" TargetMode="External"/><Relationship Id="rId3713" Type="http://schemas.openxmlformats.org/officeDocument/2006/relationships/hyperlink" Target="https://osf.io/ed5mv" TargetMode="External"/><Relationship Id="rId3712" Type="http://schemas.openxmlformats.org/officeDocument/2006/relationships/hyperlink" Target="https://osf.io/cm67f" TargetMode="External"/><Relationship Id="rId3715" Type="http://schemas.openxmlformats.org/officeDocument/2006/relationships/hyperlink" Target="https://osf.io/meqrz" TargetMode="External"/><Relationship Id="rId3714" Type="http://schemas.openxmlformats.org/officeDocument/2006/relationships/hyperlink" Target="https://osf.io/cm67f" TargetMode="External"/><Relationship Id="rId3717" Type="http://schemas.openxmlformats.org/officeDocument/2006/relationships/hyperlink" Target="https://osf.io/cm67f" TargetMode="External"/><Relationship Id="rId3716" Type="http://schemas.openxmlformats.org/officeDocument/2006/relationships/hyperlink" Target="https://osf.io/ed5mv" TargetMode="External"/><Relationship Id="rId3719" Type="http://schemas.openxmlformats.org/officeDocument/2006/relationships/hyperlink" Target="https://osf.io/cm67f" TargetMode="External"/><Relationship Id="rId3718" Type="http://schemas.openxmlformats.org/officeDocument/2006/relationships/hyperlink" Target="https://osf.io/ed5mv" TargetMode="External"/><Relationship Id="rId3700" Type="http://schemas.openxmlformats.org/officeDocument/2006/relationships/hyperlink" Target="https://osf.io/cm67f" TargetMode="External"/><Relationship Id="rId3702" Type="http://schemas.openxmlformats.org/officeDocument/2006/relationships/hyperlink" Target="https://osf.io/ed5mv" TargetMode="External"/><Relationship Id="rId3701" Type="http://schemas.openxmlformats.org/officeDocument/2006/relationships/hyperlink" Target="https://osf.io/fh2mg" TargetMode="External"/><Relationship Id="rId3704" Type="http://schemas.openxmlformats.org/officeDocument/2006/relationships/hyperlink" Target="https://osf.io/cm67f" TargetMode="External"/><Relationship Id="rId3703" Type="http://schemas.openxmlformats.org/officeDocument/2006/relationships/hyperlink" Target="https://osf.io/cm67f" TargetMode="External"/><Relationship Id="rId3706" Type="http://schemas.openxmlformats.org/officeDocument/2006/relationships/hyperlink" Target="https://osf.io/fh2mg" TargetMode="External"/><Relationship Id="rId3705" Type="http://schemas.openxmlformats.org/officeDocument/2006/relationships/hyperlink" Target="https://osf.io/cm67f" TargetMode="External"/><Relationship Id="rId3708" Type="http://schemas.openxmlformats.org/officeDocument/2006/relationships/hyperlink" Target="https://osf.io/cm67f" TargetMode="External"/><Relationship Id="rId3707" Type="http://schemas.openxmlformats.org/officeDocument/2006/relationships/hyperlink" Target="https://osf.io/ed5mv" TargetMode="External"/><Relationship Id="rId3709" Type="http://schemas.openxmlformats.org/officeDocument/2006/relationships/hyperlink" Target="https://osf.io/cm67f" TargetMode="External"/><Relationship Id="rId2401" Type="http://schemas.openxmlformats.org/officeDocument/2006/relationships/hyperlink" Target="https://osf.io/mv3kt" TargetMode="External"/><Relationship Id="rId3733" Type="http://schemas.openxmlformats.org/officeDocument/2006/relationships/hyperlink" Target="https://osf.io/fdrn6/" TargetMode="External"/><Relationship Id="rId2402" Type="http://schemas.openxmlformats.org/officeDocument/2006/relationships/hyperlink" Target="https://osf.io/7hz3x" TargetMode="External"/><Relationship Id="rId3732" Type="http://schemas.openxmlformats.org/officeDocument/2006/relationships/hyperlink" Target="https://osf.io/fdrn6/" TargetMode="External"/><Relationship Id="rId2403" Type="http://schemas.openxmlformats.org/officeDocument/2006/relationships/hyperlink" Target="https://osf.io/7hz3x" TargetMode="External"/><Relationship Id="rId3735" Type="http://schemas.openxmlformats.org/officeDocument/2006/relationships/hyperlink" Target="https://osf.io/fdrn6/" TargetMode="External"/><Relationship Id="rId2404" Type="http://schemas.openxmlformats.org/officeDocument/2006/relationships/hyperlink" Target="https://osf.io/gc6zh" TargetMode="External"/><Relationship Id="rId3734" Type="http://schemas.openxmlformats.org/officeDocument/2006/relationships/hyperlink" Target="https://osf.io/fdrn6/" TargetMode="External"/><Relationship Id="rId2405" Type="http://schemas.openxmlformats.org/officeDocument/2006/relationships/hyperlink" Target="https://osf.io/gc6zh" TargetMode="External"/><Relationship Id="rId3737" Type="http://schemas.openxmlformats.org/officeDocument/2006/relationships/hyperlink" Target="https://osf.io/fdrn6/" TargetMode="External"/><Relationship Id="rId2406" Type="http://schemas.openxmlformats.org/officeDocument/2006/relationships/hyperlink" Target="https://osf.io/gc6zh" TargetMode="External"/><Relationship Id="rId3736" Type="http://schemas.openxmlformats.org/officeDocument/2006/relationships/hyperlink" Target="https://osf.io/fdrn6/" TargetMode="External"/><Relationship Id="rId2407" Type="http://schemas.openxmlformats.org/officeDocument/2006/relationships/hyperlink" Target="https://osf.io/uyng7" TargetMode="External"/><Relationship Id="rId3739" Type="http://schemas.openxmlformats.org/officeDocument/2006/relationships/hyperlink" Target="https://osf.io/fdrn6/" TargetMode="External"/><Relationship Id="rId2408" Type="http://schemas.openxmlformats.org/officeDocument/2006/relationships/hyperlink" Target="https://osf.io/xqv8b" TargetMode="External"/><Relationship Id="rId3738" Type="http://schemas.openxmlformats.org/officeDocument/2006/relationships/hyperlink" Target="https://osf.io/fdrn6/" TargetMode="External"/><Relationship Id="rId2409" Type="http://schemas.openxmlformats.org/officeDocument/2006/relationships/hyperlink" Target="https://osf.io/gv7cm/" TargetMode="External"/><Relationship Id="rId3731" Type="http://schemas.openxmlformats.org/officeDocument/2006/relationships/hyperlink" Target="https://osf.io/fdrn6/" TargetMode="External"/><Relationship Id="rId2400" Type="http://schemas.openxmlformats.org/officeDocument/2006/relationships/hyperlink" Target="https://osf.io/avf49" TargetMode="External"/><Relationship Id="rId3730" Type="http://schemas.openxmlformats.org/officeDocument/2006/relationships/hyperlink" Target="https://osf.io/fdrn6/" TargetMode="External"/><Relationship Id="rId3722" Type="http://schemas.openxmlformats.org/officeDocument/2006/relationships/hyperlink" Target="https://osf.io/meqrz" TargetMode="External"/><Relationship Id="rId3721" Type="http://schemas.openxmlformats.org/officeDocument/2006/relationships/hyperlink" Target="https://osf.io/cm67f" TargetMode="External"/><Relationship Id="rId3724" Type="http://schemas.openxmlformats.org/officeDocument/2006/relationships/hyperlink" Target="https://osf.io/cm67f" TargetMode="External"/><Relationship Id="rId3723" Type="http://schemas.openxmlformats.org/officeDocument/2006/relationships/hyperlink" Target="https://osf.io/ed5mv" TargetMode="External"/><Relationship Id="rId3726" Type="http://schemas.openxmlformats.org/officeDocument/2006/relationships/hyperlink" Target="https://osf.io/cm67f" TargetMode="External"/><Relationship Id="rId3725" Type="http://schemas.openxmlformats.org/officeDocument/2006/relationships/hyperlink" Target="https://osf.io/ed5mv" TargetMode="External"/><Relationship Id="rId3728" Type="http://schemas.openxmlformats.org/officeDocument/2006/relationships/hyperlink" Target="https://osf.io/cm67f" TargetMode="External"/><Relationship Id="rId3727" Type="http://schemas.openxmlformats.org/officeDocument/2006/relationships/hyperlink" Target="https://osf.io/ed5mv" TargetMode="External"/><Relationship Id="rId3729" Type="http://schemas.openxmlformats.org/officeDocument/2006/relationships/hyperlink" Target="https://osf.io/fdrn6/" TargetMode="External"/><Relationship Id="rId3720" Type="http://schemas.openxmlformats.org/officeDocument/2006/relationships/hyperlink" Target="https://osf.io/ed5mv" TargetMode="External"/><Relationship Id="rId590" Type="http://schemas.openxmlformats.org/officeDocument/2006/relationships/hyperlink" Target="https://osf.io/8cbua/" TargetMode="External"/><Relationship Id="rId589" Type="http://schemas.openxmlformats.org/officeDocument/2006/relationships/hyperlink" Target="https://osf.io/8cbua/" TargetMode="External"/><Relationship Id="rId588" Type="http://schemas.openxmlformats.org/officeDocument/2006/relationships/hyperlink" Target="https://osf.io/8cbua/" TargetMode="External"/><Relationship Id="rId1170" Type="http://schemas.openxmlformats.org/officeDocument/2006/relationships/hyperlink" Target="https://osf.io/9fdhb/" TargetMode="External"/><Relationship Id="rId1171" Type="http://schemas.openxmlformats.org/officeDocument/2006/relationships/hyperlink" Target="https://osf.io/h37qu" TargetMode="External"/><Relationship Id="rId583" Type="http://schemas.openxmlformats.org/officeDocument/2006/relationships/hyperlink" Target="https://osf.io/p2hr3" TargetMode="External"/><Relationship Id="rId1172" Type="http://schemas.openxmlformats.org/officeDocument/2006/relationships/hyperlink" Target="https://rstudio-pubs-static.s3.amazonaws.com/696061_39068ca5d4344e6894d818cbf8f2c60e.html" TargetMode="External"/><Relationship Id="rId582" Type="http://schemas.openxmlformats.org/officeDocument/2006/relationships/hyperlink" Target="https://osf.io/p2hr3" TargetMode="External"/><Relationship Id="rId1173" Type="http://schemas.openxmlformats.org/officeDocument/2006/relationships/hyperlink" Target="https://osf.io/ab9q3" TargetMode="External"/><Relationship Id="rId581" Type="http://schemas.openxmlformats.org/officeDocument/2006/relationships/hyperlink" Target="https://osf.io/p2hr3" TargetMode="External"/><Relationship Id="rId1174" Type="http://schemas.openxmlformats.org/officeDocument/2006/relationships/hyperlink" Target="https://github.com/vboyce/251-254-MA/blob/main/data/processed_data.csv" TargetMode="External"/><Relationship Id="rId580" Type="http://schemas.openxmlformats.org/officeDocument/2006/relationships/hyperlink" Target="https://osf.io/p2hr3" TargetMode="External"/><Relationship Id="rId1175" Type="http://schemas.openxmlformats.org/officeDocument/2006/relationships/hyperlink" Target="https://osf.io/wsj2f" TargetMode="External"/><Relationship Id="rId587" Type="http://schemas.openxmlformats.org/officeDocument/2006/relationships/hyperlink" Target="https://osf.io/8cbua/" TargetMode="External"/><Relationship Id="rId1176" Type="http://schemas.openxmlformats.org/officeDocument/2006/relationships/hyperlink" Target="https://rstudio-pubs-static.s3.amazonaws.com/696061_39068ca5d4344e6894d818cbf8f2c60e.html" TargetMode="External"/><Relationship Id="rId586" Type="http://schemas.openxmlformats.org/officeDocument/2006/relationships/hyperlink" Target="https://osf.io/p2hr3" TargetMode="External"/><Relationship Id="rId1177" Type="http://schemas.openxmlformats.org/officeDocument/2006/relationships/hyperlink" Target="https://osf.io/ab9q3" TargetMode="External"/><Relationship Id="rId585" Type="http://schemas.openxmlformats.org/officeDocument/2006/relationships/hyperlink" Target="https://osf.io/p2hr3" TargetMode="External"/><Relationship Id="rId1178" Type="http://schemas.openxmlformats.org/officeDocument/2006/relationships/hyperlink" Target="https://rstudio-pubs-static.s3.amazonaws.com/696061_39068ca5d4344e6894d818cbf8f2c60e.html" TargetMode="External"/><Relationship Id="rId584" Type="http://schemas.openxmlformats.org/officeDocument/2006/relationships/hyperlink" Target="https://osf.io/p2hr3" TargetMode="External"/><Relationship Id="rId1179" Type="http://schemas.openxmlformats.org/officeDocument/2006/relationships/hyperlink" Target="https://osf.io/wsj2f" TargetMode="External"/><Relationship Id="rId1169" Type="http://schemas.openxmlformats.org/officeDocument/2006/relationships/hyperlink" Target="https://osf.io/z6rfa" TargetMode="External"/><Relationship Id="rId579" Type="http://schemas.openxmlformats.org/officeDocument/2006/relationships/hyperlink" Target="https://osf.io/p2hr3" TargetMode="External"/><Relationship Id="rId578" Type="http://schemas.openxmlformats.org/officeDocument/2006/relationships/hyperlink" Target="https://osf.io/p2hr3" TargetMode="External"/><Relationship Id="rId577" Type="http://schemas.openxmlformats.org/officeDocument/2006/relationships/hyperlink" Target="https://osf.io/p2hr3" TargetMode="External"/><Relationship Id="rId2490" Type="http://schemas.openxmlformats.org/officeDocument/2006/relationships/hyperlink" Target="https://osf.io/4a7v6" TargetMode="External"/><Relationship Id="rId1160" Type="http://schemas.openxmlformats.org/officeDocument/2006/relationships/hyperlink" Target="https://rpubs.com/rcatapano/Zaval_replication_report" TargetMode="External"/><Relationship Id="rId2491" Type="http://schemas.openxmlformats.org/officeDocument/2006/relationships/hyperlink" Target="https://osf.io/fxqpr" TargetMode="External"/><Relationship Id="rId572" Type="http://schemas.openxmlformats.org/officeDocument/2006/relationships/hyperlink" Target="https://researchbox.org/1499" TargetMode="External"/><Relationship Id="rId1161" Type="http://schemas.openxmlformats.org/officeDocument/2006/relationships/hyperlink" Target="https://rpubs.com/rcatapano/Zaval_replication_report" TargetMode="External"/><Relationship Id="rId2492" Type="http://schemas.openxmlformats.org/officeDocument/2006/relationships/hyperlink" Target="http://osf.io/bv42c/" TargetMode="External"/><Relationship Id="rId571" Type="http://schemas.openxmlformats.org/officeDocument/2006/relationships/hyperlink" Target="https://aspredicted.org/blind.php?x=6w6gu4" TargetMode="External"/><Relationship Id="rId1162" Type="http://schemas.openxmlformats.org/officeDocument/2006/relationships/hyperlink" Target="https://rpubs.com/rcatapano/Zaval_replication_report" TargetMode="External"/><Relationship Id="rId2493" Type="http://schemas.openxmlformats.org/officeDocument/2006/relationships/hyperlink" Target="http://osf.io/693bm/" TargetMode="External"/><Relationship Id="rId570" Type="http://schemas.openxmlformats.org/officeDocument/2006/relationships/hyperlink" Target="https://doi.org/10.1073/pnas.2120668119" TargetMode="External"/><Relationship Id="rId1163" Type="http://schemas.openxmlformats.org/officeDocument/2006/relationships/hyperlink" Target="https://rpubs.com/rcatapano/Zaval_replication_report" TargetMode="External"/><Relationship Id="rId2494" Type="http://schemas.openxmlformats.org/officeDocument/2006/relationships/hyperlink" Target="http://doi.org/10.1007/s13164-018-0400-9" TargetMode="External"/><Relationship Id="rId1164" Type="http://schemas.openxmlformats.org/officeDocument/2006/relationships/hyperlink" Target="https://rpubs.com/rcatapano/Zaval_replication_report" TargetMode="External"/><Relationship Id="rId2495" Type="http://schemas.openxmlformats.org/officeDocument/2006/relationships/hyperlink" Target="https://osf.io/4ewkh" TargetMode="External"/><Relationship Id="rId576" Type="http://schemas.openxmlformats.org/officeDocument/2006/relationships/hyperlink" Target="https://osf.io/p2hr3" TargetMode="External"/><Relationship Id="rId1165" Type="http://schemas.openxmlformats.org/officeDocument/2006/relationships/hyperlink" Target="https://osf.io/z6rfa" TargetMode="External"/><Relationship Id="rId2496" Type="http://schemas.openxmlformats.org/officeDocument/2006/relationships/hyperlink" Target="https://doi.org/10.17605/OSF.IO/69DQC" TargetMode="External"/><Relationship Id="rId575" Type="http://schemas.openxmlformats.org/officeDocument/2006/relationships/hyperlink" Target="https://osf.io/p2hr3" TargetMode="External"/><Relationship Id="rId1166" Type="http://schemas.openxmlformats.org/officeDocument/2006/relationships/hyperlink" Target="https://osf.io/z6rfa" TargetMode="External"/><Relationship Id="rId2497" Type="http://schemas.openxmlformats.org/officeDocument/2006/relationships/hyperlink" Target="https://osf.io/dgc9w" TargetMode="External"/><Relationship Id="rId574" Type="http://schemas.openxmlformats.org/officeDocument/2006/relationships/hyperlink" Target="https://aspredicted.org/PHY_PZZ" TargetMode="External"/><Relationship Id="rId1167" Type="http://schemas.openxmlformats.org/officeDocument/2006/relationships/hyperlink" Target="https://osf.io/9fdhb/" TargetMode="External"/><Relationship Id="rId2498" Type="http://schemas.openxmlformats.org/officeDocument/2006/relationships/hyperlink" Target="https://osf.io/69dqc" TargetMode="External"/><Relationship Id="rId573" Type="http://schemas.openxmlformats.org/officeDocument/2006/relationships/hyperlink" Target="https://aspredicted.org/PHY_PZZ" TargetMode="External"/><Relationship Id="rId1168" Type="http://schemas.openxmlformats.org/officeDocument/2006/relationships/hyperlink" Target="https://osf.io/h37qu" TargetMode="External"/><Relationship Id="rId2499" Type="http://schemas.openxmlformats.org/officeDocument/2006/relationships/hyperlink" Target="http://doi.org/10.1007/s13164-018-0400-9" TargetMode="External"/><Relationship Id="rId1190" Type="http://schemas.openxmlformats.org/officeDocument/2006/relationships/hyperlink" Target="https://osf.io/agxwv" TargetMode="External"/><Relationship Id="rId1191" Type="http://schemas.openxmlformats.org/officeDocument/2006/relationships/hyperlink" Target="https://osf.io/vk2cs" TargetMode="External"/><Relationship Id="rId1192" Type="http://schemas.openxmlformats.org/officeDocument/2006/relationships/hyperlink" Target="https://osf.io/agxwv" TargetMode="External"/><Relationship Id="rId1193" Type="http://schemas.openxmlformats.org/officeDocument/2006/relationships/hyperlink" Target="https://osf.io/vk2cs" TargetMode="External"/><Relationship Id="rId1194" Type="http://schemas.openxmlformats.org/officeDocument/2006/relationships/hyperlink" Target="https://osf.io/agxwv" TargetMode="External"/><Relationship Id="rId1195" Type="http://schemas.openxmlformats.org/officeDocument/2006/relationships/hyperlink" Target="https://osf.io/vk2cs" TargetMode="External"/><Relationship Id="rId1196" Type="http://schemas.openxmlformats.org/officeDocument/2006/relationships/hyperlink" Target="https://osf.io/agxwv" TargetMode="External"/><Relationship Id="rId1197" Type="http://schemas.openxmlformats.org/officeDocument/2006/relationships/hyperlink" Target="https://osf.io/vk2cs" TargetMode="External"/><Relationship Id="rId1198" Type="http://schemas.openxmlformats.org/officeDocument/2006/relationships/hyperlink" Target="https://osf.io/agxwv" TargetMode="External"/><Relationship Id="rId1199" Type="http://schemas.openxmlformats.org/officeDocument/2006/relationships/hyperlink" Target="https://osf.io/vk2cs" TargetMode="External"/><Relationship Id="rId599" Type="http://schemas.openxmlformats.org/officeDocument/2006/relationships/hyperlink" Target="https://osf.io/e5k4j/" TargetMode="External"/><Relationship Id="rId1180" Type="http://schemas.openxmlformats.org/officeDocument/2006/relationships/hyperlink" Target="https://rstudio-pubs-static.s3.amazonaws.com/696061_39068ca5d4344e6894d818cbf8f2c60e.html" TargetMode="External"/><Relationship Id="rId1181" Type="http://schemas.openxmlformats.org/officeDocument/2006/relationships/hyperlink" Target="https://osf.io/ab9q3" TargetMode="External"/><Relationship Id="rId1182" Type="http://schemas.openxmlformats.org/officeDocument/2006/relationships/hyperlink" Target="https://rstudio-pubs-static.s3.amazonaws.com/696061_39068ca5d4344e6894d818cbf8f2c60e.html" TargetMode="External"/><Relationship Id="rId594" Type="http://schemas.openxmlformats.org/officeDocument/2006/relationships/hyperlink" Target="https://osf.io/gexhp" TargetMode="External"/><Relationship Id="rId1183" Type="http://schemas.openxmlformats.org/officeDocument/2006/relationships/hyperlink" Target="https://osf.io/wsj2f" TargetMode="External"/><Relationship Id="rId593" Type="http://schemas.openxmlformats.org/officeDocument/2006/relationships/hyperlink" Target="https://doi.org/10.5465/AMPROC.2024.19578abstract" TargetMode="External"/><Relationship Id="rId1184" Type="http://schemas.openxmlformats.org/officeDocument/2006/relationships/hyperlink" Target="https://osf.io/yt5q8/" TargetMode="External"/><Relationship Id="rId592" Type="http://schemas.openxmlformats.org/officeDocument/2006/relationships/hyperlink" Target="https://osf.io/8cbua/" TargetMode="External"/><Relationship Id="rId1185" Type="http://schemas.openxmlformats.org/officeDocument/2006/relationships/hyperlink" Target="https://osf.io/yt5q8/" TargetMode="External"/><Relationship Id="rId591" Type="http://schemas.openxmlformats.org/officeDocument/2006/relationships/hyperlink" Target="https://osf.io/8cbua/" TargetMode="External"/><Relationship Id="rId1186" Type="http://schemas.openxmlformats.org/officeDocument/2006/relationships/hyperlink" Target="https://osf.io/yt5q8/" TargetMode="External"/><Relationship Id="rId598" Type="http://schemas.openxmlformats.org/officeDocument/2006/relationships/hyperlink" Target="https://osf.io/gexhp" TargetMode="External"/><Relationship Id="rId1187" Type="http://schemas.openxmlformats.org/officeDocument/2006/relationships/hyperlink" Target="https://osf.io/agxwv" TargetMode="External"/><Relationship Id="rId597" Type="http://schemas.openxmlformats.org/officeDocument/2006/relationships/hyperlink" Target="http://dx.doi.org/10.17605/OSF.IO/E5K4J" TargetMode="External"/><Relationship Id="rId1188" Type="http://schemas.openxmlformats.org/officeDocument/2006/relationships/hyperlink" Target="https://osf.io/agxwv" TargetMode="External"/><Relationship Id="rId596" Type="http://schemas.openxmlformats.org/officeDocument/2006/relationships/hyperlink" Target="https://osf.io/e5k4j/" TargetMode="External"/><Relationship Id="rId1189" Type="http://schemas.openxmlformats.org/officeDocument/2006/relationships/hyperlink" Target="https://osf.io/vk2cs" TargetMode="External"/><Relationship Id="rId595" Type="http://schemas.openxmlformats.org/officeDocument/2006/relationships/hyperlink" Target="https://osf.io/gexhp" TargetMode="External"/><Relationship Id="rId1136" Type="http://schemas.openxmlformats.org/officeDocument/2006/relationships/hyperlink" Target="https://rstudio-pubs-static.s3.amazonaws.com/960761_d9b8d67ca3454d3db5b0023e3b583df6.html" TargetMode="External"/><Relationship Id="rId2467" Type="http://schemas.openxmlformats.org/officeDocument/2006/relationships/hyperlink" Target="https://doi.org/10.17605/OSF.IO/U6ZW9" TargetMode="External"/><Relationship Id="rId3799" Type="http://schemas.openxmlformats.org/officeDocument/2006/relationships/hyperlink" Target="https://doi.org/10.1037/0096-3445.135.4.641" TargetMode="External"/><Relationship Id="rId1137" Type="http://schemas.openxmlformats.org/officeDocument/2006/relationships/hyperlink" Target="https://rstudio-pubs-static.s3.amazonaws.com/960761_d9b8d67ca3454d3db5b0023e3b583df6.html" TargetMode="External"/><Relationship Id="rId2468" Type="http://schemas.openxmlformats.org/officeDocument/2006/relationships/hyperlink" Target="https://doi.org/10.17605/OSF.IO/U6ZW9" TargetMode="External"/><Relationship Id="rId3798" Type="http://schemas.openxmlformats.org/officeDocument/2006/relationships/hyperlink" Target="https://osf.io/uxe4h" TargetMode="External"/><Relationship Id="rId1138" Type="http://schemas.openxmlformats.org/officeDocument/2006/relationships/hyperlink" Target="https://rstudio-pubs-static.s3.amazonaws.com/960761_d9b8d67ca3454d3db5b0023e3b583df6.html" TargetMode="External"/><Relationship Id="rId2469" Type="http://schemas.openxmlformats.org/officeDocument/2006/relationships/hyperlink" Target="https://doi.org/10.17605/OSF.IO/U6ZW9" TargetMode="External"/><Relationship Id="rId1139" Type="http://schemas.openxmlformats.org/officeDocument/2006/relationships/hyperlink" Target="https://rstudio-pubs-static.s3.amazonaws.com/960761_d9b8d67ca3454d3db5b0023e3b583df6.html" TargetMode="External"/><Relationship Id="rId547" Type="http://schemas.openxmlformats.org/officeDocument/2006/relationships/hyperlink" Target="https://cornerstone.lib.mnsu.edu/etds/1424/" TargetMode="External"/><Relationship Id="rId546" Type="http://schemas.openxmlformats.org/officeDocument/2006/relationships/hyperlink" Target="https://osf.io/ja3wc" TargetMode="External"/><Relationship Id="rId545" Type="http://schemas.openxmlformats.org/officeDocument/2006/relationships/hyperlink" Target="https://osf.io/ja3wc" TargetMode="External"/><Relationship Id="rId544" Type="http://schemas.openxmlformats.org/officeDocument/2006/relationships/hyperlink" Target="https://osf.io/yqxme" TargetMode="External"/><Relationship Id="rId549" Type="http://schemas.openxmlformats.org/officeDocument/2006/relationships/hyperlink" Target="https://cornerstone.lib.mnsu.edu/etds/1424/" TargetMode="External"/><Relationship Id="rId548" Type="http://schemas.openxmlformats.org/officeDocument/2006/relationships/hyperlink" Target="https://cornerstone.lib.mnsu.edu/etds/1424/" TargetMode="External"/><Relationship Id="rId3791" Type="http://schemas.openxmlformats.org/officeDocument/2006/relationships/hyperlink" Target="https://www.sciencedirect.com/science/article/pii/S0001691822000129" TargetMode="External"/><Relationship Id="rId2460" Type="http://schemas.openxmlformats.org/officeDocument/2006/relationships/hyperlink" Target="https://doi.org/10.17605/OSF.IO/U6ZW9" TargetMode="External"/><Relationship Id="rId3790" Type="http://schemas.openxmlformats.org/officeDocument/2006/relationships/hyperlink" Target="https://osf.io/uwzsb/" TargetMode="External"/><Relationship Id="rId1130" Type="http://schemas.openxmlformats.org/officeDocument/2006/relationships/hyperlink" Target="https://rpubs.com/ayodeledada/yousif2019" TargetMode="External"/><Relationship Id="rId2461" Type="http://schemas.openxmlformats.org/officeDocument/2006/relationships/hyperlink" Target="https://doi.org/10.17605/OSF.IO/U6ZW9" TargetMode="External"/><Relationship Id="rId3793" Type="http://schemas.openxmlformats.org/officeDocument/2006/relationships/hyperlink" Target="https://osf.io/fb8fj/" TargetMode="External"/><Relationship Id="rId1131" Type="http://schemas.openxmlformats.org/officeDocument/2006/relationships/hyperlink" Target="https://osf.io/g9yrc" TargetMode="External"/><Relationship Id="rId2462" Type="http://schemas.openxmlformats.org/officeDocument/2006/relationships/hyperlink" Target="https://doi.org/10.17605/OSF.IO/U6ZW9" TargetMode="External"/><Relationship Id="rId3792" Type="http://schemas.openxmlformats.org/officeDocument/2006/relationships/hyperlink" Target="https://osf.io/c8wek/" TargetMode="External"/><Relationship Id="rId543" Type="http://schemas.openxmlformats.org/officeDocument/2006/relationships/hyperlink" Target="https://osf.io/yqxme" TargetMode="External"/><Relationship Id="rId1132" Type="http://schemas.openxmlformats.org/officeDocument/2006/relationships/hyperlink" Target="https://osf.io/vcmdp" TargetMode="External"/><Relationship Id="rId2463" Type="http://schemas.openxmlformats.org/officeDocument/2006/relationships/hyperlink" Target="https://doi.org/10.17605/OSF.IO/U6ZW9" TargetMode="External"/><Relationship Id="rId3795" Type="http://schemas.openxmlformats.org/officeDocument/2006/relationships/hyperlink" Target="https://doi.org/10.1016/j.cognition.2009.02.001" TargetMode="External"/><Relationship Id="rId542" Type="http://schemas.openxmlformats.org/officeDocument/2006/relationships/hyperlink" Target="https://doi.org/10.1177/1948550619843931" TargetMode="External"/><Relationship Id="rId1133" Type="http://schemas.openxmlformats.org/officeDocument/2006/relationships/hyperlink" Target="https://rpubs.com/ayodeledada/yousif2019" TargetMode="External"/><Relationship Id="rId2464" Type="http://schemas.openxmlformats.org/officeDocument/2006/relationships/hyperlink" Target="https://doi.org/10.17605/OSF.IO/U6ZW9" TargetMode="External"/><Relationship Id="rId3794" Type="http://schemas.openxmlformats.org/officeDocument/2006/relationships/hyperlink" Target="https://osf.io/fb8fj/" TargetMode="External"/><Relationship Id="rId541" Type="http://schemas.openxmlformats.org/officeDocument/2006/relationships/hyperlink" Target="https://osf.io/yqxme" TargetMode="External"/><Relationship Id="rId1134" Type="http://schemas.openxmlformats.org/officeDocument/2006/relationships/hyperlink" Target="https://osf.io/g9yrc" TargetMode="External"/><Relationship Id="rId2465" Type="http://schemas.openxmlformats.org/officeDocument/2006/relationships/hyperlink" Target="https://doi.org/10.17605/OSF.IO/U6ZW9" TargetMode="External"/><Relationship Id="rId3797" Type="http://schemas.openxmlformats.org/officeDocument/2006/relationships/hyperlink" Target="https://doi.org/10.1016/j.cognition.2009.02.001" TargetMode="External"/><Relationship Id="rId540" Type="http://schemas.openxmlformats.org/officeDocument/2006/relationships/hyperlink" Target="https://osf.io/8hz3s)" TargetMode="External"/><Relationship Id="rId1135" Type="http://schemas.openxmlformats.org/officeDocument/2006/relationships/hyperlink" Target="https://osf.io/vcmdp" TargetMode="External"/><Relationship Id="rId2466" Type="http://schemas.openxmlformats.org/officeDocument/2006/relationships/hyperlink" Target="https://doi.org/10.17605/OSF.IO/U6ZW9" TargetMode="External"/><Relationship Id="rId3796" Type="http://schemas.openxmlformats.org/officeDocument/2006/relationships/hyperlink" Target="https://osf.io/uxe4h" TargetMode="External"/><Relationship Id="rId1125" Type="http://schemas.openxmlformats.org/officeDocument/2006/relationships/hyperlink" Target="https://rstudio-pubs-static.s3.amazonaws.com/1159352_e9a668d9124f415e8831bab302f49b6b.html" TargetMode="External"/><Relationship Id="rId2456" Type="http://schemas.openxmlformats.org/officeDocument/2006/relationships/hyperlink" Target="https://doi.org/10.17605/OSF.IO/U6ZW9" TargetMode="External"/><Relationship Id="rId3788" Type="http://schemas.openxmlformats.org/officeDocument/2006/relationships/hyperlink" Target="https://osf.io/qtr9z/" TargetMode="External"/><Relationship Id="rId1126" Type="http://schemas.openxmlformats.org/officeDocument/2006/relationships/hyperlink" Target="https://rstudio-pubs-static.s3.amazonaws.com/1159352_e9a668d9124f415e8831bab302f49b6b.html" TargetMode="External"/><Relationship Id="rId2457" Type="http://schemas.openxmlformats.org/officeDocument/2006/relationships/hyperlink" Target="https://doi.org/10.17605/OSF.IO/U6ZW9" TargetMode="External"/><Relationship Id="rId3787" Type="http://schemas.openxmlformats.org/officeDocument/2006/relationships/hyperlink" Target="https://osf.io/uwzsb/" TargetMode="External"/><Relationship Id="rId1127" Type="http://schemas.openxmlformats.org/officeDocument/2006/relationships/hyperlink" Target="https://github.com/vboyce/251-254-MA/blob/main/data/processed_data.csv" TargetMode="External"/><Relationship Id="rId2458" Type="http://schemas.openxmlformats.org/officeDocument/2006/relationships/hyperlink" Target="https://doi.org/10.17605/OSF.IO/U6ZW9" TargetMode="External"/><Relationship Id="rId1128" Type="http://schemas.openxmlformats.org/officeDocument/2006/relationships/hyperlink" Target="https://osf.io/kfmjr" TargetMode="External"/><Relationship Id="rId2459" Type="http://schemas.openxmlformats.org/officeDocument/2006/relationships/hyperlink" Target="https://doi.org/10.17605/OSF.IO/U6ZW9" TargetMode="External"/><Relationship Id="rId3789" Type="http://schemas.openxmlformats.org/officeDocument/2006/relationships/hyperlink" Target="https://osf.io/uwzsb/" TargetMode="External"/><Relationship Id="rId1129" Type="http://schemas.openxmlformats.org/officeDocument/2006/relationships/hyperlink" Target="https://osf.io/g9yrc" TargetMode="External"/><Relationship Id="rId536" Type="http://schemas.openxmlformats.org/officeDocument/2006/relationships/hyperlink" Target="https://osf.io/yqxme" TargetMode="External"/><Relationship Id="rId535" Type="http://schemas.openxmlformats.org/officeDocument/2006/relationships/hyperlink" Target="https://osf.io/yqxme" TargetMode="External"/><Relationship Id="rId534" Type="http://schemas.openxmlformats.org/officeDocument/2006/relationships/hyperlink" Target="https://doi.org/10.1177/1948550619843931" TargetMode="External"/><Relationship Id="rId533" Type="http://schemas.openxmlformats.org/officeDocument/2006/relationships/hyperlink" Target="https://osf.io/yqxme" TargetMode="External"/><Relationship Id="rId539" Type="http://schemas.openxmlformats.org/officeDocument/2006/relationships/hyperlink" Target="https://osf.io/ja3wc" TargetMode="External"/><Relationship Id="rId538" Type="http://schemas.openxmlformats.org/officeDocument/2006/relationships/hyperlink" Target="https://osf.io/ja3wc" TargetMode="External"/><Relationship Id="rId537" Type="http://schemas.openxmlformats.org/officeDocument/2006/relationships/hyperlink" Target="https://osf.io/yqxme" TargetMode="External"/><Relationship Id="rId3780" Type="http://schemas.openxmlformats.org/officeDocument/2006/relationships/hyperlink" Target="https://osf.io/xqc35" TargetMode="External"/><Relationship Id="rId2450" Type="http://schemas.openxmlformats.org/officeDocument/2006/relationships/hyperlink" Target="https://doi.org/10.17605/OSF.IO/U6ZW9" TargetMode="External"/><Relationship Id="rId3782" Type="http://schemas.openxmlformats.org/officeDocument/2006/relationships/hyperlink" Target="https://osf.io/uwzsb" TargetMode="External"/><Relationship Id="rId1120" Type="http://schemas.openxmlformats.org/officeDocument/2006/relationships/hyperlink" Target="https://osf.io/62jvk" TargetMode="External"/><Relationship Id="rId2451" Type="http://schemas.openxmlformats.org/officeDocument/2006/relationships/hyperlink" Target="https://doi.org/10.17605/OSF.IO/U6ZW9" TargetMode="External"/><Relationship Id="rId3781" Type="http://schemas.openxmlformats.org/officeDocument/2006/relationships/hyperlink" Target="https://osf.io/nxrg7" TargetMode="External"/><Relationship Id="rId532" Type="http://schemas.openxmlformats.org/officeDocument/2006/relationships/hyperlink" Target="https://osf.io/yqxme/registrations." TargetMode="External"/><Relationship Id="rId1121" Type="http://schemas.openxmlformats.org/officeDocument/2006/relationships/hyperlink" Target="https://osf.io/v6zk8" TargetMode="External"/><Relationship Id="rId2452" Type="http://schemas.openxmlformats.org/officeDocument/2006/relationships/hyperlink" Target="https://doi.org/10.17605/OSF.IO/U6ZW9" TargetMode="External"/><Relationship Id="rId3784" Type="http://schemas.openxmlformats.org/officeDocument/2006/relationships/hyperlink" Target="https://osf.io/uwzsb/" TargetMode="External"/><Relationship Id="rId531" Type="http://schemas.openxmlformats.org/officeDocument/2006/relationships/hyperlink" Target="https://osf.io/ja3wc" TargetMode="External"/><Relationship Id="rId1122" Type="http://schemas.openxmlformats.org/officeDocument/2006/relationships/hyperlink" Target="https://aspredicted.org/uv6ha.pdf" TargetMode="External"/><Relationship Id="rId2453" Type="http://schemas.openxmlformats.org/officeDocument/2006/relationships/hyperlink" Target="https://doi.org/10.17605/OSF.IO/U6ZW9" TargetMode="External"/><Relationship Id="rId3783" Type="http://schemas.openxmlformats.org/officeDocument/2006/relationships/hyperlink" Target="https://osf.io/7kj84" TargetMode="External"/><Relationship Id="rId530" Type="http://schemas.openxmlformats.org/officeDocument/2006/relationships/hyperlink" Target="https://osf.io/ja3wc" TargetMode="External"/><Relationship Id="rId1123" Type="http://schemas.openxmlformats.org/officeDocument/2006/relationships/hyperlink" Target="https://github.com/vboyce/251-254-MA/blob/main/data/processed_data.csv" TargetMode="External"/><Relationship Id="rId2454" Type="http://schemas.openxmlformats.org/officeDocument/2006/relationships/hyperlink" Target="https://doi.org/10.17605/OSF.IO/U6ZW9" TargetMode="External"/><Relationship Id="rId3786" Type="http://schemas.openxmlformats.org/officeDocument/2006/relationships/hyperlink" Target="https://osf.io/9p34m/" TargetMode="External"/><Relationship Id="rId1124" Type="http://schemas.openxmlformats.org/officeDocument/2006/relationships/hyperlink" Target="https://aspredicted.org/uv6ha.pdf" TargetMode="External"/><Relationship Id="rId2455" Type="http://schemas.openxmlformats.org/officeDocument/2006/relationships/hyperlink" Target="https://doi.org/10.17605/OSF.IO/U6ZW9" TargetMode="External"/><Relationship Id="rId3785" Type="http://schemas.openxmlformats.org/officeDocument/2006/relationships/hyperlink" Target="https://osf.io/9v5rd/" TargetMode="External"/><Relationship Id="rId1158" Type="http://schemas.openxmlformats.org/officeDocument/2006/relationships/hyperlink" Target="https://rpubs.com/rcatapano/Zaval_replication_report" TargetMode="External"/><Relationship Id="rId2489" Type="http://schemas.openxmlformats.org/officeDocument/2006/relationships/hyperlink" Target="https://doi.org/10.17605/OSF.IO/TFC6X" TargetMode="External"/><Relationship Id="rId1159" Type="http://schemas.openxmlformats.org/officeDocument/2006/relationships/hyperlink" Target="https://rpubs.com/rcatapano/Zaval_replication_report" TargetMode="External"/><Relationship Id="rId569" Type="http://schemas.openxmlformats.org/officeDocument/2006/relationships/hyperlink" Target="https://researchbox.org/1499" TargetMode="External"/><Relationship Id="rId568" Type="http://schemas.openxmlformats.org/officeDocument/2006/relationships/hyperlink" Target="https://aspredicted.org/blind.php?x=6w6gu4" TargetMode="External"/><Relationship Id="rId567" Type="http://schemas.openxmlformats.org/officeDocument/2006/relationships/hyperlink" Target="https://doi.org/10.1073/pnas.2120668119" TargetMode="External"/><Relationship Id="rId566" Type="http://schemas.openxmlformats.org/officeDocument/2006/relationships/hyperlink" Target="https://doi.org/10.1007/s10834-024-09975-9" TargetMode="External"/><Relationship Id="rId2480" Type="http://schemas.openxmlformats.org/officeDocument/2006/relationships/hyperlink" Target="https://osf.io/uxajg" TargetMode="External"/><Relationship Id="rId561" Type="http://schemas.openxmlformats.org/officeDocument/2006/relationships/hyperlink" Target="https://doi.org/10.17605/OSF.IO/DT24J" TargetMode="External"/><Relationship Id="rId1150" Type="http://schemas.openxmlformats.org/officeDocument/2006/relationships/hyperlink" Target="https://rpubs.com/rcatapano/Zaval_replication_report" TargetMode="External"/><Relationship Id="rId2481" Type="http://schemas.openxmlformats.org/officeDocument/2006/relationships/hyperlink" Target="https://osf.io/uxajg" TargetMode="External"/><Relationship Id="rId560" Type="http://schemas.openxmlformats.org/officeDocument/2006/relationships/hyperlink" Target="https://osf.io/tjr7a/" TargetMode="External"/><Relationship Id="rId1151" Type="http://schemas.openxmlformats.org/officeDocument/2006/relationships/hyperlink" Target="https://rpubs.com/rcatapano/Zaval_replication_report" TargetMode="External"/><Relationship Id="rId2482" Type="http://schemas.openxmlformats.org/officeDocument/2006/relationships/hyperlink" Target="https://osf.io/658pq/" TargetMode="External"/><Relationship Id="rId1152" Type="http://schemas.openxmlformats.org/officeDocument/2006/relationships/hyperlink" Target="https://rpubs.com/rcatapano/Zaval_replication_report" TargetMode="External"/><Relationship Id="rId2483" Type="http://schemas.openxmlformats.org/officeDocument/2006/relationships/hyperlink" Target="http://osf.io/m8t3k/" TargetMode="External"/><Relationship Id="rId1153" Type="http://schemas.openxmlformats.org/officeDocument/2006/relationships/hyperlink" Target="https://rpubs.com/rcatapano/Zaval_replication_report" TargetMode="External"/><Relationship Id="rId2484" Type="http://schemas.openxmlformats.org/officeDocument/2006/relationships/hyperlink" Target="http://doi.org/10.1007/s13164-018-0400-9" TargetMode="External"/><Relationship Id="rId565" Type="http://schemas.openxmlformats.org/officeDocument/2006/relationships/hyperlink" Target="https://doi.org/10.1007/s11150-021-09593-6" TargetMode="External"/><Relationship Id="rId1154" Type="http://schemas.openxmlformats.org/officeDocument/2006/relationships/hyperlink" Target="https://rpubs.com/rcatapano/Zaval_replication_report" TargetMode="External"/><Relationship Id="rId2485" Type="http://schemas.openxmlformats.org/officeDocument/2006/relationships/hyperlink" Target="https://osf.io/4ewkh" TargetMode="External"/><Relationship Id="rId564" Type="http://schemas.openxmlformats.org/officeDocument/2006/relationships/hyperlink" Target="https://doi.org/10.1257/rct.3585-2.0" TargetMode="External"/><Relationship Id="rId1155" Type="http://schemas.openxmlformats.org/officeDocument/2006/relationships/hyperlink" Target="https://rpubs.com/rcatapano/Zaval_replication_report" TargetMode="External"/><Relationship Id="rId2486" Type="http://schemas.openxmlformats.org/officeDocument/2006/relationships/hyperlink" Target="https://doi.org/10.17605/OSF.IO/N5ZSX" TargetMode="External"/><Relationship Id="rId563" Type="http://schemas.openxmlformats.org/officeDocument/2006/relationships/hyperlink" Target="https://doi.org/10.1257/rct.3585-2.0" TargetMode="External"/><Relationship Id="rId1156" Type="http://schemas.openxmlformats.org/officeDocument/2006/relationships/hyperlink" Target="https://rpubs.com/rcatapano/Zaval_replication_report" TargetMode="External"/><Relationship Id="rId2487" Type="http://schemas.openxmlformats.org/officeDocument/2006/relationships/hyperlink" Target="http://doi.org/10.1007/s13164-018-0400-9" TargetMode="External"/><Relationship Id="rId562" Type="http://schemas.openxmlformats.org/officeDocument/2006/relationships/hyperlink" Target="https://doi.org/10.1257/rct.3585-2.0" TargetMode="External"/><Relationship Id="rId1157" Type="http://schemas.openxmlformats.org/officeDocument/2006/relationships/hyperlink" Target="https://rpubs.com/rcatapano/Zaval_replication_report" TargetMode="External"/><Relationship Id="rId2488" Type="http://schemas.openxmlformats.org/officeDocument/2006/relationships/hyperlink" Target="https://osf.io/4ewkh" TargetMode="External"/><Relationship Id="rId1147" Type="http://schemas.openxmlformats.org/officeDocument/2006/relationships/hyperlink" Target="https://rstudio-pubs-static.s3.amazonaws.com/960761_d9b8d67ca3454d3db5b0023e3b583df6.html" TargetMode="External"/><Relationship Id="rId2478" Type="http://schemas.openxmlformats.org/officeDocument/2006/relationships/hyperlink" Target="https://doi.org/10.17605/OSF.IO/U6ZW9" TargetMode="External"/><Relationship Id="rId1148" Type="http://schemas.openxmlformats.org/officeDocument/2006/relationships/hyperlink" Target="https://rstudio-pubs-static.s3.amazonaws.com/960761_d9b8d67ca3454d3db5b0023e3b583df6.html" TargetMode="External"/><Relationship Id="rId2479" Type="http://schemas.openxmlformats.org/officeDocument/2006/relationships/hyperlink" Target="https://osf.io/uxajg" TargetMode="External"/><Relationship Id="rId1149" Type="http://schemas.openxmlformats.org/officeDocument/2006/relationships/hyperlink" Target="https://rstudio-pubs-static.s3.amazonaws.com/960761_d9b8d67ca3454d3db5b0023e3b583df6.html" TargetMode="External"/><Relationship Id="rId558" Type="http://schemas.openxmlformats.org/officeDocument/2006/relationships/hyperlink" Target="https://osf.io/tjr7a/" TargetMode="External"/><Relationship Id="rId557" Type="http://schemas.openxmlformats.org/officeDocument/2006/relationships/hyperlink" Target="https://osf.io/tjr7a/" TargetMode="External"/><Relationship Id="rId556" Type="http://schemas.openxmlformats.org/officeDocument/2006/relationships/hyperlink" Target="https://osf.io/tjr7a/" TargetMode="External"/><Relationship Id="rId555" Type="http://schemas.openxmlformats.org/officeDocument/2006/relationships/hyperlink" Target="https://osf.io/tjr7a/" TargetMode="External"/><Relationship Id="rId559" Type="http://schemas.openxmlformats.org/officeDocument/2006/relationships/hyperlink" Target="https://osf.io/tjr7a/" TargetMode="External"/><Relationship Id="rId550" Type="http://schemas.openxmlformats.org/officeDocument/2006/relationships/hyperlink" Target="https://cornerstone.lib.mnsu.edu/etds/1424/" TargetMode="External"/><Relationship Id="rId2470" Type="http://schemas.openxmlformats.org/officeDocument/2006/relationships/hyperlink" Target="https://doi.org/10.17605/OSF.IO/U6ZW9" TargetMode="External"/><Relationship Id="rId1140" Type="http://schemas.openxmlformats.org/officeDocument/2006/relationships/hyperlink" Target="https://rstudio-pubs-static.s3.amazonaws.com/960761_d9b8d67ca3454d3db5b0023e3b583df6.html" TargetMode="External"/><Relationship Id="rId2471" Type="http://schemas.openxmlformats.org/officeDocument/2006/relationships/hyperlink" Target="https://doi.org/10.17605/OSF.IO/U6ZW9" TargetMode="External"/><Relationship Id="rId1141" Type="http://schemas.openxmlformats.org/officeDocument/2006/relationships/hyperlink" Target="https://rstudio-pubs-static.s3.amazonaws.com/960761_d9b8d67ca3454d3db5b0023e3b583df6.html" TargetMode="External"/><Relationship Id="rId2472" Type="http://schemas.openxmlformats.org/officeDocument/2006/relationships/hyperlink" Target="https://doi.org/10.17605/OSF.IO/U6ZW9" TargetMode="External"/><Relationship Id="rId1142" Type="http://schemas.openxmlformats.org/officeDocument/2006/relationships/hyperlink" Target="https://rstudio-pubs-static.s3.amazonaws.com/960761_d9b8d67ca3454d3db5b0023e3b583df6.html" TargetMode="External"/><Relationship Id="rId2473" Type="http://schemas.openxmlformats.org/officeDocument/2006/relationships/hyperlink" Target="https://doi.org/10.17605/OSF.IO/U6ZW9" TargetMode="External"/><Relationship Id="rId554" Type="http://schemas.openxmlformats.org/officeDocument/2006/relationships/hyperlink" Target="https://doi.org/10.1186/s40163-021-00141-0" TargetMode="External"/><Relationship Id="rId1143" Type="http://schemas.openxmlformats.org/officeDocument/2006/relationships/hyperlink" Target="https://rstudio-pubs-static.s3.amazonaws.com/960761_d9b8d67ca3454d3db5b0023e3b583df6.html" TargetMode="External"/><Relationship Id="rId2474" Type="http://schemas.openxmlformats.org/officeDocument/2006/relationships/hyperlink" Target="https://doi.org/10.17605/OSF.IO/U6ZW9" TargetMode="External"/><Relationship Id="rId553" Type="http://schemas.openxmlformats.org/officeDocument/2006/relationships/hyperlink" Target="https://digitalcommons.montclair.edu/student-research-symposium/2024/poster01/21/" TargetMode="External"/><Relationship Id="rId1144" Type="http://schemas.openxmlformats.org/officeDocument/2006/relationships/hyperlink" Target="https://rstudio-pubs-static.s3.amazonaws.com/960761_d9b8d67ca3454d3db5b0023e3b583df6.html" TargetMode="External"/><Relationship Id="rId2475" Type="http://schemas.openxmlformats.org/officeDocument/2006/relationships/hyperlink" Target="https://doi.org/10.17605/OSF.IO/U6ZW9" TargetMode="External"/><Relationship Id="rId552" Type="http://schemas.openxmlformats.org/officeDocument/2006/relationships/hyperlink" Target="https://digitalcommons.montclair.edu/student-research-symposium/2024/poster01/21/" TargetMode="External"/><Relationship Id="rId1145" Type="http://schemas.openxmlformats.org/officeDocument/2006/relationships/hyperlink" Target="https://rstudio-pubs-static.s3.amazonaws.com/960761_d9b8d67ca3454d3db5b0023e3b583df6.html" TargetMode="External"/><Relationship Id="rId2476" Type="http://schemas.openxmlformats.org/officeDocument/2006/relationships/hyperlink" Target="https://doi.org/10.17605/OSF.IO/U6ZW9" TargetMode="External"/><Relationship Id="rId551" Type="http://schemas.openxmlformats.org/officeDocument/2006/relationships/hyperlink" Target="https://cornerstone.lib.mnsu.edu/etds/1424/" TargetMode="External"/><Relationship Id="rId1146" Type="http://schemas.openxmlformats.org/officeDocument/2006/relationships/hyperlink" Target="https://rstudio-pubs-static.s3.amazonaws.com/960761_d9b8d67ca3454d3db5b0023e3b583df6.html" TargetMode="External"/><Relationship Id="rId2477" Type="http://schemas.openxmlformats.org/officeDocument/2006/relationships/hyperlink" Target="https://doi.org/10.17605/OSF.IO/U6ZW9" TargetMode="External"/><Relationship Id="rId495" Type="http://schemas.openxmlformats.org/officeDocument/2006/relationships/hyperlink" Target="https://osf.io/yajmp" TargetMode="External"/><Relationship Id="rId494" Type="http://schemas.openxmlformats.org/officeDocument/2006/relationships/hyperlink" Target="https://doi.org/10.1037/pspp0000263" TargetMode="External"/><Relationship Id="rId493" Type="http://schemas.openxmlformats.org/officeDocument/2006/relationships/hyperlink" Target="https://osf.io/6m5tb" TargetMode="External"/><Relationship Id="rId492" Type="http://schemas.openxmlformats.org/officeDocument/2006/relationships/hyperlink" Target="https://osf.io/6m5tb" TargetMode="External"/><Relationship Id="rId499" Type="http://schemas.openxmlformats.org/officeDocument/2006/relationships/hyperlink" Target="https://osf.io/6m5tb" TargetMode="External"/><Relationship Id="rId498" Type="http://schemas.openxmlformats.org/officeDocument/2006/relationships/hyperlink" Target="https://osf.io/6m5tb" TargetMode="External"/><Relationship Id="rId497" Type="http://schemas.openxmlformats.org/officeDocument/2006/relationships/hyperlink" Target="https://osf.io/yajmp" TargetMode="External"/><Relationship Id="rId496" Type="http://schemas.openxmlformats.org/officeDocument/2006/relationships/hyperlink" Target="https://osf.io/yajmp" TargetMode="External"/><Relationship Id="rId3810" Type="http://schemas.openxmlformats.org/officeDocument/2006/relationships/hyperlink" Target="http://dx.doi.org/10.1177/0956797611434748." TargetMode="External"/><Relationship Id="rId3812" Type="http://schemas.openxmlformats.org/officeDocument/2006/relationships/hyperlink" Target="https://aspredicted.org/u5z76.pdf" TargetMode="External"/><Relationship Id="rId3811" Type="http://schemas.openxmlformats.org/officeDocument/2006/relationships/hyperlink" Target="https://static-content.springer.com/esm/art%3A10.1038%2Fnn.3973/MediaObjects/41593_2015_BFnn3973_MOESM56_ESM.pdf" TargetMode="External"/><Relationship Id="rId3814" Type="http://schemas.openxmlformats.org/officeDocument/2006/relationships/hyperlink" Target="https://doi.org/10.1017/bec.2013.16." TargetMode="External"/><Relationship Id="rId3813" Type="http://schemas.openxmlformats.org/officeDocument/2006/relationships/hyperlink" Target="https://osf.io/xsdk8" TargetMode="External"/><Relationship Id="rId3816" Type="http://schemas.openxmlformats.org/officeDocument/2006/relationships/hyperlink" Target="https://osf.io/8q9xh" TargetMode="External"/><Relationship Id="rId3815" Type="http://schemas.openxmlformats.org/officeDocument/2006/relationships/hyperlink" Target="https://doi.org/10.1016/j.tourman.2016.01.013." TargetMode="External"/><Relationship Id="rId3818" Type="http://schemas.openxmlformats.org/officeDocument/2006/relationships/hyperlink" Target="https://osf.io/8q9xh" TargetMode="External"/><Relationship Id="rId3817" Type="http://schemas.openxmlformats.org/officeDocument/2006/relationships/hyperlink" Target="https://doi.org/10.1016/j.tourman.2016.01.013." TargetMode="External"/><Relationship Id="rId3819" Type="http://schemas.openxmlformats.org/officeDocument/2006/relationships/hyperlink" Target="https://docs.google.com/document/d/1zMtrIra83OJI6CStymOFkw2Dn21ttokQEJjs6FWryos/edit?usp=sharing" TargetMode="External"/><Relationship Id="rId3801" Type="http://schemas.openxmlformats.org/officeDocument/2006/relationships/hyperlink" Target="https://doi.org/10.1037/0096-3445.135.4.641" TargetMode="External"/><Relationship Id="rId3800" Type="http://schemas.openxmlformats.org/officeDocument/2006/relationships/hyperlink" Target="https://osf.io/x4va5" TargetMode="External"/><Relationship Id="rId3803" Type="http://schemas.openxmlformats.org/officeDocument/2006/relationships/hyperlink" Target="https://doi.org/10.1093/humrep/13.11.3000" TargetMode="External"/><Relationship Id="rId3802" Type="http://schemas.openxmlformats.org/officeDocument/2006/relationships/hyperlink" Target="https://osf.io/xumwa" TargetMode="External"/><Relationship Id="rId3805" Type="http://schemas.openxmlformats.org/officeDocument/2006/relationships/hyperlink" Target="https://osf.io/zqwa2/" TargetMode="External"/><Relationship Id="rId3804" Type="http://schemas.openxmlformats.org/officeDocument/2006/relationships/hyperlink" Target="https://doi.org/10.1038/s41598-020-66915-9" TargetMode="External"/><Relationship Id="rId3807" Type="http://schemas.openxmlformats.org/officeDocument/2006/relationships/hyperlink" Target="https://osf.io/zqwa2/" TargetMode="External"/><Relationship Id="rId3806" Type="http://schemas.openxmlformats.org/officeDocument/2006/relationships/hyperlink" Target="https://osf.io/zqwa2/" TargetMode="External"/><Relationship Id="rId3809" Type="http://schemas.openxmlformats.org/officeDocument/2006/relationships/hyperlink" Target="http://dx.doi.org/10.1177/0956797611434748." TargetMode="External"/><Relationship Id="rId3808" Type="http://schemas.openxmlformats.org/officeDocument/2006/relationships/hyperlink" Target="https://osf.io/zqwa2/" TargetMode="External"/><Relationship Id="rId1213" Type="http://schemas.openxmlformats.org/officeDocument/2006/relationships/hyperlink" Target="https://rpubs.com/dmetaxak/correll2007" TargetMode="External"/><Relationship Id="rId2544" Type="http://schemas.openxmlformats.org/officeDocument/2006/relationships/hyperlink" Target="https://osf.io/4ewkh" TargetMode="External"/><Relationship Id="rId3876" Type="http://schemas.openxmlformats.org/officeDocument/2006/relationships/hyperlink" Target="https://osf.io/jw9zf" TargetMode="External"/><Relationship Id="rId1214" Type="http://schemas.openxmlformats.org/officeDocument/2006/relationships/hyperlink" Target="https://rpubs.com/dmetaxak/correll2007" TargetMode="External"/><Relationship Id="rId2545" Type="http://schemas.openxmlformats.org/officeDocument/2006/relationships/hyperlink" Target="https://osf.io/c639t" TargetMode="External"/><Relationship Id="rId3875" Type="http://schemas.openxmlformats.org/officeDocument/2006/relationships/hyperlink" Target="https://docs.google.com/document/d/1ZzvVmgxDAIPMvYnVrf_XgI9Gayt1hweFIX4Zmxdvoic/edit?usp=sharing" TargetMode="External"/><Relationship Id="rId1215" Type="http://schemas.openxmlformats.org/officeDocument/2006/relationships/hyperlink" Target="https://rpubs.com/dmetaxak/correll2007" TargetMode="External"/><Relationship Id="rId2546" Type="http://schemas.openxmlformats.org/officeDocument/2006/relationships/hyperlink" Target="https://doi.org/10.17605/OSF.IO/JW84M" TargetMode="External"/><Relationship Id="rId3878" Type="http://schemas.openxmlformats.org/officeDocument/2006/relationships/hyperlink" Target="https://docs.google.com/document/d/1q1mSMmFArVVmPQ62Ecxo6QVkJMViNmoTVZToY3j9ar8/edit?usp=sharing" TargetMode="External"/><Relationship Id="rId1216" Type="http://schemas.openxmlformats.org/officeDocument/2006/relationships/hyperlink" Target="https://rpubs.com/dmetaxak/correll2007" TargetMode="External"/><Relationship Id="rId2547" Type="http://schemas.openxmlformats.org/officeDocument/2006/relationships/hyperlink" Target="http://doi.org/10.1007/s13164-018-0400-9" TargetMode="External"/><Relationship Id="rId3877" Type="http://schemas.openxmlformats.org/officeDocument/2006/relationships/hyperlink" Target="http://doi.org/10.1037/0022-3514.91.5.857" TargetMode="External"/><Relationship Id="rId1217" Type="http://schemas.openxmlformats.org/officeDocument/2006/relationships/hyperlink" Target="https://rpubs.com/dmetaxak/correll2007" TargetMode="External"/><Relationship Id="rId2548" Type="http://schemas.openxmlformats.org/officeDocument/2006/relationships/hyperlink" Target="https://osf.io/4ewkh" TargetMode="External"/><Relationship Id="rId1218" Type="http://schemas.openxmlformats.org/officeDocument/2006/relationships/hyperlink" Target="https://rpubs.com/dmetaxak/correll2007" TargetMode="External"/><Relationship Id="rId2549" Type="http://schemas.openxmlformats.org/officeDocument/2006/relationships/hyperlink" Target="https://doi.org/10.17605/OSF.IO/JW84M" TargetMode="External"/><Relationship Id="rId3879" Type="http://schemas.openxmlformats.org/officeDocument/2006/relationships/hyperlink" Target="https://docs.google.com/document/d/1ZzvVmgxDAIPMvYnVrf_XgI9Gayt1hweFIX4Zmxdvoic/edit?usp=sharing" TargetMode="External"/><Relationship Id="rId1219" Type="http://schemas.openxmlformats.org/officeDocument/2006/relationships/hyperlink" Target="https://rpubs.com/dmetaxak/correll2007" TargetMode="External"/><Relationship Id="rId3870" Type="http://schemas.openxmlformats.org/officeDocument/2006/relationships/hyperlink" Target="https://docs.google.com/document/d/1LOURR69tYaAHP8VPtLRp1W11M4d7HDjnLyLsNXA71FA/edit?usp=sharing" TargetMode="External"/><Relationship Id="rId2540" Type="http://schemas.openxmlformats.org/officeDocument/2006/relationships/hyperlink" Target="https://osf.io/4ewkh" TargetMode="External"/><Relationship Id="rId3872" Type="http://schemas.openxmlformats.org/officeDocument/2006/relationships/hyperlink" Target="https://osf.io/jw9zf" TargetMode="External"/><Relationship Id="rId1210" Type="http://schemas.openxmlformats.org/officeDocument/2006/relationships/hyperlink" Target="https://rpubs.com/dmetaxak/correll2007" TargetMode="External"/><Relationship Id="rId2541" Type="http://schemas.openxmlformats.org/officeDocument/2006/relationships/hyperlink" Target="https://osf.io/c639t" TargetMode="External"/><Relationship Id="rId3871" Type="http://schemas.openxmlformats.org/officeDocument/2006/relationships/hyperlink" Target="https://docs.google.com/document/d/1mg6-WDW-Xu9emeWt65gj6jsaARopBVKZnSIi0mtEOAg/edit?usp=sharing" TargetMode="External"/><Relationship Id="rId1211" Type="http://schemas.openxmlformats.org/officeDocument/2006/relationships/hyperlink" Target="https://rpubs.com/dmetaxak/correll2007" TargetMode="External"/><Relationship Id="rId2542" Type="http://schemas.openxmlformats.org/officeDocument/2006/relationships/hyperlink" Target="https://doi.org/10.17605/OSF.IO/JW84M" TargetMode="External"/><Relationship Id="rId3874" Type="http://schemas.openxmlformats.org/officeDocument/2006/relationships/hyperlink" Target="https://docs.google.com/document/d/1q1mSMmFArVVmPQ62Ecxo6QVkJMViNmoTVZToY3j9ar8/edit?usp=sharing" TargetMode="External"/><Relationship Id="rId1212" Type="http://schemas.openxmlformats.org/officeDocument/2006/relationships/hyperlink" Target="https://rpubs.com/dmetaxak/correll2007" TargetMode="External"/><Relationship Id="rId2543" Type="http://schemas.openxmlformats.org/officeDocument/2006/relationships/hyperlink" Target="https://doi.org/10.1037/a0015960" TargetMode="External"/><Relationship Id="rId3873" Type="http://schemas.openxmlformats.org/officeDocument/2006/relationships/hyperlink" Target="http://doi.org/10.1037/0022-3514.91.5.857" TargetMode="External"/><Relationship Id="rId1202" Type="http://schemas.openxmlformats.org/officeDocument/2006/relationships/hyperlink" Target="https://osf.io/jpwd3" TargetMode="External"/><Relationship Id="rId2533" Type="http://schemas.openxmlformats.org/officeDocument/2006/relationships/hyperlink" Target="http://osf.io/jb8yp/" TargetMode="External"/><Relationship Id="rId3865" Type="http://schemas.openxmlformats.org/officeDocument/2006/relationships/hyperlink" Target="https://docs.google.com/document/d/1zMtrIra83OJI6CStymOFkw2Dn21ttokQEJjs6FWryos/edit?usp=sharing" TargetMode="External"/><Relationship Id="rId1203" Type="http://schemas.openxmlformats.org/officeDocument/2006/relationships/hyperlink" Target="https://osf.io/jpwd3" TargetMode="External"/><Relationship Id="rId2534" Type="http://schemas.openxmlformats.org/officeDocument/2006/relationships/hyperlink" Target="http://osf.io/78sqa/" TargetMode="External"/><Relationship Id="rId3864" Type="http://schemas.openxmlformats.org/officeDocument/2006/relationships/hyperlink" Target="https://docs.google.com/document/d/1mg6-WDW-Xu9emeWt65gj6jsaARopBVKZnSIi0mtEOAg/edit?usp=sharing" TargetMode="External"/><Relationship Id="rId1204" Type="http://schemas.openxmlformats.org/officeDocument/2006/relationships/hyperlink" Target="https://osf.io/wj3bm" TargetMode="External"/><Relationship Id="rId2535" Type="http://schemas.openxmlformats.org/officeDocument/2006/relationships/hyperlink" Target="https://doi.org/10.1037/a0015960" TargetMode="External"/><Relationship Id="rId3867" Type="http://schemas.openxmlformats.org/officeDocument/2006/relationships/hyperlink" Target="https://docs.google.com/document/d/1LOURR69tYaAHP8VPtLRp1W11M4d7HDjnLyLsNXA71FA/edit?usp=sharing" TargetMode="External"/><Relationship Id="rId1205" Type="http://schemas.openxmlformats.org/officeDocument/2006/relationships/hyperlink" Target="https://osf.io/wj3bm" TargetMode="External"/><Relationship Id="rId2536" Type="http://schemas.openxmlformats.org/officeDocument/2006/relationships/hyperlink" Target="http://doi.org/10.1007/s13164-018-0400-9" TargetMode="External"/><Relationship Id="rId3866" Type="http://schemas.openxmlformats.org/officeDocument/2006/relationships/hyperlink" Target="https://docs.google.com/document/d/1mg6-WDW-Xu9emeWt65gj6jsaARopBVKZnSIi0mtEOAg/edit?usp=sharing" TargetMode="External"/><Relationship Id="rId1206" Type="http://schemas.openxmlformats.org/officeDocument/2006/relationships/hyperlink" Target="https://osf.io/vmfue" TargetMode="External"/><Relationship Id="rId2537" Type="http://schemas.openxmlformats.org/officeDocument/2006/relationships/hyperlink" Target="https://osf.io/4ewkh" TargetMode="External"/><Relationship Id="rId3869" Type="http://schemas.openxmlformats.org/officeDocument/2006/relationships/hyperlink" Target="https://osf.io/jw9zf" TargetMode="External"/><Relationship Id="rId1207" Type="http://schemas.openxmlformats.org/officeDocument/2006/relationships/hyperlink" Target="https://osf.io/7d3ha" TargetMode="External"/><Relationship Id="rId2538" Type="http://schemas.openxmlformats.org/officeDocument/2006/relationships/hyperlink" Target="https://doi.org/10.17605/OSF.IO/JW84M" TargetMode="External"/><Relationship Id="rId3868" Type="http://schemas.openxmlformats.org/officeDocument/2006/relationships/hyperlink" Target="https://docs.google.com/document/d/1mg6-WDW-Xu9emeWt65gj6jsaARopBVKZnSIi0mtEOAg/edit?usp=sharing" TargetMode="External"/><Relationship Id="rId1208" Type="http://schemas.openxmlformats.org/officeDocument/2006/relationships/hyperlink" Target="https://osf.io/7d3ha" TargetMode="External"/><Relationship Id="rId2539" Type="http://schemas.openxmlformats.org/officeDocument/2006/relationships/hyperlink" Target="https://doi.org/10.1037/a0015960" TargetMode="External"/><Relationship Id="rId1209" Type="http://schemas.openxmlformats.org/officeDocument/2006/relationships/hyperlink" Target="https://rpubs.com/dmetaxak/correll2007" TargetMode="External"/><Relationship Id="rId3861" Type="http://schemas.openxmlformats.org/officeDocument/2006/relationships/hyperlink" Target="https://docs.google.com/document/d/1zMtrIra83OJI6CStymOFkw2Dn21ttokQEJjs6FWryos/edit?usp=sharing" TargetMode="External"/><Relationship Id="rId2530" Type="http://schemas.openxmlformats.org/officeDocument/2006/relationships/hyperlink" Target="https://osf.io/4ewkh" TargetMode="External"/><Relationship Id="rId3860" Type="http://schemas.openxmlformats.org/officeDocument/2006/relationships/hyperlink" Target="https://docs.google.com/document/d/1mg6-WDW-Xu9emeWt65gj6jsaARopBVKZnSIi0mtEOAg/edit?usp=sharing" TargetMode="External"/><Relationship Id="rId1200" Type="http://schemas.openxmlformats.org/officeDocument/2006/relationships/hyperlink" Target="https://osf.io/agxwv" TargetMode="External"/><Relationship Id="rId2531" Type="http://schemas.openxmlformats.org/officeDocument/2006/relationships/hyperlink" Target="https://doi.org/10.17605/OSF.IO/CKJTF" TargetMode="External"/><Relationship Id="rId3863" Type="http://schemas.openxmlformats.org/officeDocument/2006/relationships/hyperlink" Target="https://docs.google.com/document/d/1zMtrIra83OJI6CStymOFkw2Dn21ttokQEJjs6FWryos/edit?usp=sharing" TargetMode="External"/><Relationship Id="rId1201" Type="http://schemas.openxmlformats.org/officeDocument/2006/relationships/hyperlink" Target="https://osf.io/vk2cs" TargetMode="External"/><Relationship Id="rId2532" Type="http://schemas.openxmlformats.org/officeDocument/2006/relationships/hyperlink" Target="http://osf.io/wy8ab" TargetMode="External"/><Relationship Id="rId3862" Type="http://schemas.openxmlformats.org/officeDocument/2006/relationships/hyperlink" Target="https://docs.google.com/document/d/1mg6-WDW-Xu9emeWt65gj6jsaARopBVKZnSIi0mtEOAg/edit?usp=sharing" TargetMode="External"/><Relationship Id="rId1235" Type="http://schemas.openxmlformats.org/officeDocument/2006/relationships/hyperlink" Target="https://osf.io/d5e7b" TargetMode="External"/><Relationship Id="rId2566" Type="http://schemas.openxmlformats.org/officeDocument/2006/relationships/hyperlink" Target="http://osf.io/cvuwy/" TargetMode="External"/><Relationship Id="rId3898" Type="http://schemas.openxmlformats.org/officeDocument/2006/relationships/hyperlink" Target="https://osf.io/jw9zf" TargetMode="External"/><Relationship Id="rId1236" Type="http://schemas.openxmlformats.org/officeDocument/2006/relationships/hyperlink" Target="https://osf.io/d5e7b" TargetMode="External"/><Relationship Id="rId2567" Type="http://schemas.openxmlformats.org/officeDocument/2006/relationships/hyperlink" Target="http://doi.org/10.1007/s13164-018-0400-9" TargetMode="External"/><Relationship Id="rId3897" Type="http://schemas.openxmlformats.org/officeDocument/2006/relationships/hyperlink" Target="https://docs.google.com/document/d/1ZzvVmgxDAIPMvYnVrf_XgI9Gayt1hweFIX4Zmxdvoic/edit?usp=sharing" TargetMode="External"/><Relationship Id="rId1237" Type="http://schemas.openxmlformats.org/officeDocument/2006/relationships/hyperlink" Target="https://osf.io/dwr2m" TargetMode="External"/><Relationship Id="rId2568" Type="http://schemas.openxmlformats.org/officeDocument/2006/relationships/hyperlink" Target="https://osf.io/4ewkh" TargetMode="External"/><Relationship Id="rId1238" Type="http://schemas.openxmlformats.org/officeDocument/2006/relationships/hyperlink" Target="https://osf.io/2kryw" TargetMode="External"/><Relationship Id="rId2569" Type="http://schemas.openxmlformats.org/officeDocument/2006/relationships/hyperlink" Target="https://osf.io/4ewkh" TargetMode="External"/><Relationship Id="rId3899" Type="http://schemas.openxmlformats.org/officeDocument/2006/relationships/hyperlink" Target="https://docs.google.com/document/d/1PJiCAJ0Qn6A9OcFJrFoO0onrlwj-s7zBhuEiFmZNevQ/edit?usp=sharing" TargetMode="External"/><Relationship Id="rId1239" Type="http://schemas.openxmlformats.org/officeDocument/2006/relationships/hyperlink" Target="https://osf.io/49xea" TargetMode="External"/><Relationship Id="rId409" Type="http://schemas.openxmlformats.org/officeDocument/2006/relationships/hyperlink" Target="https://osf.io/g4xcb" TargetMode="External"/><Relationship Id="rId404" Type="http://schemas.openxmlformats.org/officeDocument/2006/relationships/hyperlink" Target="https://doi.org/10.1037/emo0001389" TargetMode="External"/><Relationship Id="rId403" Type="http://schemas.openxmlformats.org/officeDocument/2006/relationships/hyperlink" Target="https://osf.io/uqsf6/" TargetMode="External"/><Relationship Id="rId402" Type="http://schemas.openxmlformats.org/officeDocument/2006/relationships/hyperlink" Target="https://osf.io/uqsf6/" TargetMode="External"/><Relationship Id="rId401" Type="http://schemas.openxmlformats.org/officeDocument/2006/relationships/hyperlink" Target="https://doi.org/10.1037/emo0001389" TargetMode="External"/><Relationship Id="rId408" Type="http://schemas.openxmlformats.org/officeDocument/2006/relationships/hyperlink" Target="https://osf.io/g4xcb" TargetMode="External"/><Relationship Id="rId407" Type="http://schemas.openxmlformats.org/officeDocument/2006/relationships/hyperlink" Target="https://osf.io/g4xcb" TargetMode="External"/><Relationship Id="rId406" Type="http://schemas.openxmlformats.org/officeDocument/2006/relationships/hyperlink" Target="https://osf.io/uqsf6/" TargetMode="External"/><Relationship Id="rId405" Type="http://schemas.openxmlformats.org/officeDocument/2006/relationships/hyperlink" Target="https://osf.io/uqsf6/" TargetMode="External"/><Relationship Id="rId3890" Type="http://schemas.openxmlformats.org/officeDocument/2006/relationships/hyperlink" Target="https://docs.google.com/document/d/1ehetAJ_M8sv8BkNoXbmDYoZDOhSP4Af36uqNtKhq7IE/edit?usp=sharing" TargetMode="External"/><Relationship Id="rId2560" Type="http://schemas.openxmlformats.org/officeDocument/2006/relationships/hyperlink" Target="https://osf.io/4ewkh" TargetMode="External"/><Relationship Id="rId3892" Type="http://schemas.openxmlformats.org/officeDocument/2006/relationships/hyperlink" Target="https://osf.io/jw9zf" TargetMode="External"/><Relationship Id="rId1230" Type="http://schemas.openxmlformats.org/officeDocument/2006/relationships/hyperlink" Target="https://osf.io/pxr93" TargetMode="External"/><Relationship Id="rId2561" Type="http://schemas.openxmlformats.org/officeDocument/2006/relationships/hyperlink" Target="https://osf.io/4ewkh" TargetMode="External"/><Relationship Id="rId3891" Type="http://schemas.openxmlformats.org/officeDocument/2006/relationships/hyperlink" Target="https://docs.google.com/document/d/1ZzvVmgxDAIPMvYnVrf_XgI9Gayt1hweFIX4Zmxdvoic/edit?usp=sharing" TargetMode="External"/><Relationship Id="rId400" Type="http://schemas.openxmlformats.org/officeDocument/2006/relationships/hyperlink" Target="https://osf.io/uqsf6/" TargetMode="External"/><Relationship Id="rId1231" Type="http://schemas.openxmlformats.org/officeDocument/2006/relationships/hyperlink" Target="https://osf.io/9x765" TargetMode="External"/><Relationship Id="rId2562" Type="http://schemas.openxmlformats.org/officeDocument/2006/relationships/hyperlink" Target="http://osf.io/txs86" TargetMode="External"/><Relationship Id="rId3894" Type="http://schemas.openxmlformats.org/officeDocument/2006/relationships/hyperlink" Target="https://docs.google.com/document/d/1ZzvVmgxDAIPMvYnVrf_XgI9Gayt1hweFIX4Zmxdvoic/edit?usp=sharing" TargetMode="External"/><Relationship Id="rId1232" Type="http://schemas.openxmlformats.org/officeDocument/2006/relationships/hyperlink" Target="https://osf.io/7ufyv" TargetMode="External"/><Relationship Id="rId2563" Type="http://schemas.openxmlformats.org/officeDocument/2006/relationships/hyperlink" Target="http://doi.org/10.1007/s13164-018-0400-9" TargetMode="External"/><Relationship Id="rId3893" Type="http://schemas.openxmlformats.org/officeDocument/2006/relationships/hyperlink" Target="https://docs.google.com/document/d/17zN7YUWfQlcOSuSWRIOr_DLR7QLwq-Jqd1Rsib1bO-g/edit?usp=sharing" TargetMode="External"/><Relationship Id="rId1233" Type="http://schemas.openxmlformats.org/officeDocument/2006/relationships/hyperlink" Target="https://osf.io/5ybej/." TargetMode="External"/><Relationship Id="rId2564" Type="http://schemas.openxmlformats.org/officeDocument/2006/relationships/hyperlink" Target="https://osf.io/4ewkh" TargetMode="External"/><Relationship Id="rId3896" Type="http://schemas.openxmlformats.org/officeDocument/2006/relationships/hyperlink" Target="https://docs.google.com/document/d/17zN7YUWfQlcOSuSWRIOr_DLR7QLwq-Jqd1Rsib1bO-g/edit?usp=sharing" TargetMode="External"/><Relationship Id="rId1234" Type="http://schemas.openxmlformats.org/officeDocument/2006/relationships/hyperlink" Target="https://osf.io/efjn3" TargetMode="External"/><Relationship Id="rId2565" Type="http://schemas.openxmlformats.org/officeDocument/2006/relationships/hyperlink" Target="https://doi.org/10.17605/OSF.IO/ZWKMN" TargetMode="External"/><Relationship Id="rId3895" Type="http://schemas.openxmlformats.org/officeDocument/2006/relationships/hyperlink" Target="https://osf.io/jw9zf" TargetMode="External"/><Relationship Id="rId1224" Type="http://schemas.openxmlformats.org/officeDocument/2006/relationships/hyperlink" Target="https://aspredicted.org/mq97g.pdf" TargetMode="External"/><Relationship Id="rId2555" Type="http://schemas.openxmlformats.org/officeDocument/2006/relationships/hyperlink" Target="https://osf.io/4ewkh" TargetMode="External"/><Relationship Id="rId3887" Type="http://schemas.openxmlformats.org/officeDocument/2006/relationships/hyperlink" Target="https://docs.google.com/document/d/1ehetAJ_M8sv8BkNoXbmDYoZDOhSP4Af36uqNtKhq7IE/edit?usp=sharing" TargetMode="External"/><Relationship Id="rId1225" Type="http://schemas.openxmlformats.org/officeDocument/2006/relationships/hyperlink" Target="https://osf.io/nra37" TargetMode="External"/><Relationship Id="rId2556" Type="http://schemas.openxmlformats.org/officeDocument/2006/relationships/hyperlink" Target="https://osf.io/6r74y" TargetMode="External"/><Relationship Id="rId3886" Type="http://schemas.openxmlformats.org/officeDocument/2006/relationships/hyperlink" Target="https://osf.io/jw9zf" TargetMode="External"/><Relationship Id="rId1226" Type="http://schemas.openxmlformats.org/officeDocument/2006/relationships/hyperlink" Target="https://aspredicted.org/mq97g.pdf" TargetMode="External"/><Relationship Id="rId2557" Type="http://schemas.openxmlformats.org/officeDocument/2006/relationships/hyperlink" Target="https://doi.org/10.17605/OSF.IO/P56KE" TargetMode="External"/><Relationship Id="rId3889" Type="http://schemas.openxmlformats.org/officeDocument/2006/relationships/hyperlink" Target="https://osf.io/jw9zf" TargetMode="External"/><Relationship Id="rId1227" Type="http://schemas.openxmlformats.org/officeDocument/2006/relationships/hyperlink" Target="https://github.com/vboyce/251-254-MA/blob/main/data/processed_data.csv" TargetMode="External"/><Relationship Id="rId2558" Type="http://schemas.openxmlformats.org/officeDocument/2006/relationships/hyperlink" Target="http://doi.org/10.1007/s13164-018-0400-9" TargetMode="External"/><Relationship Id="rId3888" Type="http://schemas.openxmlformats.org/officeDocument/2006/relationships/hyperlink" Target="https://docs.google.com/document/d/1ZzvVmgxDAIPMvYnVrf_XgI9Gayt1hweFIX4Zmxdvoic/edit?usp=sharing" TargetMode="External"/><Relationship Id="rId1228" Type="http://schemas.openxmlformats.org/officeDocument/2006/relationships/hyperlink" Target="https://aspredicted.org/mq97g.pdf" TargetMode="External"/><Relationship Id="rId2559" Type="http://schemas.openxmlformats.org/officeDocument/2006/relationships/hyperlink" Target="https://osf.io/4ewkh" TargetMode="External"/><Relationship Id="rId1229" Type="http://schemas.openxmlformats.org/officeDocument/2006/relationships/hyperlink" Target="https://osf.io/avy86" TargetMode="External"/><Relationship Id="rId3881" Type="http://schemas.openxmlformats.org/officeDocument/2006/relationships/hyperlink" Target="https://docs.google.com/document/d/1lq09efqUpQOWwAZf9NvJnDBfJK9vzje04D5DE32JzIU/edit?usp=sharing" TargetMode="External"/><Relationship Id="rId2550" Type="http://schemas.openxmlformats.org/officeDocument/2006/relationships/hyperlink" Target="https://doi.org/10.1037/a0015960" TargetMode="External"/><Relationship Id="rId3880" Type="http://schemas.openxmlformats.org/officeDocument/2006/relationships/hyperlink" Target="https://osf.io/jw9zf" TargetMode="External"/><Relationship Id="rId1220" Type="http://schemas.openxmlformats.org/officeDocument/2006/relationships/hyperlink" Target="https://rpubs.com/staciaking/craig2014" TargetMode="External"/><Relationship Id="rId2551" Type="http://schemas.openxmlformats.org/officeDocument/2006/relationships/hyperlink" Target="http://doi.org/10.1007/s13164-018-0400-9" TargetMode="External"/><Relationship Id="rId3883" Type="http://schemas.openxmlformats.org/officeDocument/2006/relationships/hyperlink" Target="https://osf.io/jw9zf" TargetMode="External"/><Relationship Id="rId1221" Type="http://schemas.openxmlformats.org/officeDocument/2006/relationships/hyperlink" Target="https://github.com/vboyce/251-254-MA/blob/main/data/processed_data.csv" TargetMode="External"/><Relationship Id="rId2552" Type="http://schemas.openxmlformats.org/officeDocument/2006/relationships/hyperlink" Target="https://osf.io/4ewkh" TargetMode="External"/><Relationship Id="rId3882" Type="http://schemas.openxmlformats.org/officeDocument/2006/relationships/hyperlink" Target="https://docs.google.com/document/d/1ZzvVmgxDAIPMvYnVrf_XgI9Gayt1hweFIX4Zmxdvoic/edit?usp=sharing" TargetMode="External"/><Relationship Id="rId1222" Type="http://schemas.openxmlformats.org/officeDocument/2006/relationships/hyperlink" Target="https://rpubs.com/staciaking/craig2014" TargetMode="External"/><Relationship Id="rId2553" Type="http://schemas.openxmlformats.org/officeDocument/2006/relationships/hyperlink" Target="https://doi.org/10.17605/OSF.IO/P56KE" TargetMode="External"/><Relationship Id="rId3885" Type="http://schemas.openxmlformats.org/officeDocument/2006/relationships/hyperlink" Target="https://docs.google.com/document/d/1ZzvVmgxDAIPMvYnVrf_XgI9Gayt1hweFIX4Zmxdvoic/edit?usp=sharing" TargetMode="External"/><Relationship Id="rId1223" Type="http://schemas.openxmlformats.org/officeDocument/2006/relationships/hyperlink" Target="https://doi.org/10.1098/rsos.231090" TargetMode="External"/><Relationship Id="rId2554" Type="http://schemas.openxmlformats.org/officeDocument/2006/relationships/hyperlink" Target="https://osf.io/p56ke)" TargetMode="External"/><Relationship Id="rId3884" Type="http://schemas.openxmlformats.org/officeDocument/2006/relationships/hyperlink" Target="https://docs.google.com/document/d/1lq09efqUpQOWwAZf9NvJnDBfJK9vzje04D5DE32JzIU/edit?usp=sharing" TargetMode="External"/><Relationship Id="rId2500" Type="http://schemas.openxmlformats.org/officeDocument/2006/relationships/hyperlink" Target="https://osf.io/4ewkh" TargetMode="External"/><Relationship Id="rId3832" Type="http://schemas.openxmlformats.org/officeDocument/2006/relationships/hyperlink" Target="https://docs.google.com/document/d/1mg6-WDW-Xu9emeWt65gj6jsaARopBVKZnSIi0mtEOAg/edit?usp=sharing" TargetMode="External"/><Relationship Id="rId2501" Type="http://schemas.openxmlformats.org/officeDocument/2006/relationships/hyperlink" Target="http://osf.io/pjdkg" TargetMode="External"/><Relationship Id="rId3831" Type="http://schemas.openxmlformats.org/officeDocument/2006/relationships/hyperlink" Target="https://docs.google.com/document/d/1zMtrIra83OJI6CStymOFkw2Dn21ttokQEJjs6FWryos/edit?usp=sharing" TargetMode="External"/><Relationship Id="rId2502" Type="http://schemas.openxmlformats.org/officeDocument/2006/relationships/hyperlink" Target="http://doi.org/10.1007/s13164-018-0400-9" TargetMode="External"/><Relationship Id="rId3834" Type="http://schemas.openxmlformats.org/officeDocument/2006/relationships/hyperlink" Target="https://docs.google.com/document/d/1mg6-WDW-Xu9emeWt65gj6jsaARopBVKZnSIi0mtEOAg/edit?usp=sharing" TargetMode="External"/><Relationship Id="rId2503" Type="http://schemas.openxmlformats.org/officeDocument/2006/relationships/hyperlink" Target="https://osf.io/4ewkh" TargetMode="External"/><Relationship Id="rId3833" Type="http://schemas.openxmlformats.org/officeDocument/2006/relationships/hyperlink" Target="https://docs.google.com/document/d/1zMtrIra83OJI6CStymOFkw2Dn21ttokQEJjs6FWryos/edit?usp=sharing" TargetMode="External"/><Relationship Id="rId2504" Type="http://schemas.openxmlformats.org/officeDocument/2006/relationships/hyperlink" Target="https://doi.org/10.17605/OSF.IO/69DQC" TargetMode="External"/><Relationship Id="rId3836" Type="http://schemas.openxmlformats.org/officeDocument/2006/relationships/hyperlink" Target="https://docs.google.com/document/d/1mg6-WDW-Xu9emeWt65gj6jsaARopBVKZnSIi0mtEOAg/edit?usp=sharing" TargetMode="External"/><Relationship Id="rId2505" Type="http://schemas.openxmlformats.org/officeDocument/2006/relationships/hyperlink" Target="http://doi.org/10.1007/s13164-018-0400-9" TargetMode="External"/><Relationship Id="rId3835" Type="http://schemas.openxmlformats.org/officeDocument/2006/relationships/hyperlink" Target="https://docs.google.com/document/d/1zMtrIra83OJI6CStymOFkw2Dn21ttokQEJjs6FWryos/edit?usp=sharing" TargetMode="External"/><Relationship Id="rId2506" Type="http://schemas.openxmlformats.org/officeDocument/2006/relationships/hyperlink" Target="https://osf.io/4ewkh" TargetMode="External"/><Relationship Id="rId3838" Type="http://schemas.openxmlformats.org/officeDocument/2006/relationships/hyperlink" Target="https://docs.google.com/document/d/1mg6-WDW-Xu9emeWt65gj6jsaARopBVKZnSIi0mtEOAg/edit?usp=sharing" TargetMode="External"/><Relationship Id="rId2507" Type="http://schemas.openxmlformats.org/officeDocument/2006/relationships/hyperlink" Target="http://osf.io/pjdkg" TargetMode="External"/><Relationship Id="rId3837" Type="http://schemas.openxmlformats.org/officeDocument/2006/relationships/hyperlink" Target="https://docs.google.com/document/d/1zMtrIra83OJI6CStymOFkw2Dn21ttokQEJjs6FWryos/edit?usp=sharing" TargetMode="External"/><Relationship Id="rId2508" Type="http://schemas.openxmlformats.org/officeDocument/2006/relationships/hyperlink" Target="http://doi.org/10.1007/s13164-018-0400-9" TargetMode="External"/><Relationship Id="rId2509" Type="http://schemas.openxmlformats.org/officeDocument/2006/relationships/hyperlink" Target="https://osf.io/4ewkh" TargetMode="External"/><Relationship Id="rId3839" Type="http://schemas.openxmlformats.org/officeDocument/2006/relationships/hyperlink" Target="https://docs.google.com/document/d/1zMtrIra83OJI6CStymOFkw2Dn21ttokQEJjs6FWryos/edit?usp=sharing" TargetMode="External"/><Relationship Id="rId3830" Type="http://schemas.openxmlformats.org/officeDocument/2006/relationships/hyperlink" Target="https://docs.google.com/document/d/1mg6-WDW-Xu9emeWt65gj6jsaARopBVKZnSIi0mtEOAg/edit?usp=sharing" TargetMode="External"/><Relationship Id="rId3821" Type="http://schemas.openxmlformats.org/officeDocument/2006/relationships/hyperlink" Target="https://docs.google.com/document/d/1zMtrIra83OJI6CStymOFkw2Dn21ttokQEJjs6FWryos/edit?usp=sharing" TargetMode="External"/><Relationship Id="rId3820" Type="http://schemas.openxmlformats.org/officeDocument/2006/relationships/hyperlink" Target="https://docs.google.com/document/d/1mg6-WDW-Xu9emeWt65gj6jsaARopBVKZnSIi0mtEOAg/edit?usp=sharing" TargetMode="External"/><Relationship Id="rId3823" Type="http://schemas.openxmlformats.org/officeDocument/2006/relationships/hyperlink" Target="https://docs.google.com/document/d/1zMtrIra83OJI6CStymOFkw2Dn21ttokQEJjs6FWryos/edit?usp=sharing" TargetMode="External"/><Relationship Id="rId3822" Type="http://schemas.openxmlformats.org/officeDocument/2006/relationships/hyperlink" Target="https://docs.google.com/document/d/1mg6-WDW-Xu9emeWt65gj6jsaARopBVKZnSIi0mtEOAg/edit?usp=sharing" TargetMode="External"/><Relationship Id="rId3825" Type="http://schemas.openxmlformats.org/officeDocument/2006/relationships/hyperlink" Target="https://docs.google.com/document/d/1zMtrIra83OJI6CStymOFkw2Dn21ttokQEJjs6FWryos/edit?usp=sharing" TargetMode="External"/><Relationship Id="rId3824" Type="http://schemas.openxmlformats.org/officeDocument/2006/relationships/hyperlink" Target="https://docs.google.com/document/d/1mg6-WDW-Xu9emeWt65gj6jsaARopBVKZnSIi0mtEOAg/edit?usp=sharing" TargetMode="External"/><Relationship Id="rId3827" Type="http://schemas.openxmlformats.org/officeDocument/2006/relationships/hyperlink" Target="https://docs.google.com/document/d/1zMtrIra83OJI6CStymOFkw2Dn21ttokQEJjs6FWryos/edit?usp=sharing" TargetMode="External"/><Relationship Id="rId3826" Type="http://schemas.openxmlformats.org/officeDocument/2006/relationships/hyperlink" Target="https://docs.google.com/document/d/1mg6-WDW-Xu9emeWt65gj6jsaARopBVKZnSIi0mtEOAg/edit?usp=sharing" TargetMode="External"/><Relationship Id="rId3829" Type="http://schemas.openxmlformats.org/officeDocument/2006/relationships/hyperlink" Target="https://docs.google.com/document/d/1zMtrIra83OJI6CStymOFkw2Dn21ttokQEJjs6FWryos/edit?usp=sharing" TargetMode="External"/><Relationship Id="rId3828" Type="http://schemas.openxmlformats.org/officeDocument/2006/relationships/hyperlink" Target="https://docs.google.com/document/d/1mg6-WDW-Xu9emeWt65gj6jsaARopBVKZnSIi0mtEOAg/edit?usp=sharing" TargetMode="External"/><Relationship Id="rId2522" Type="http://schemas.openxmlformats.org/officeDocument/2006/relationships/hyperlink" Target="https://osf.io/fdjns" TargetMode="External"/><Relationship Id="rId3854" Type="http://schemas.openxmlformats.org/officeDocument/2006/relationships/hyperlink" Target="https://docs.google.com/document/d/1mg6-WDW-Xu9emeWt65gj6jsaARopBVKZnSIi0mtEOAg/edit?usp=sharing" TargetMode="External"/><Relationship Id="rId2523" Type="http://schemas.openxmlformats.org/officeDocument/2006/relationships/hyperlink" Target="https://doi.org/10.17605/OSF.IO/N9HDV" TargetMode="External"/><Relationship Id="rId3853" Type="http://schemas.openxmlformats.org/officeDocument/2006/relationships/hyperlink" Target="https://docs.google.com/document/d/1zMtrIra83OJI6CStymOFkw2Dn21ttokQEJjs6FWryos/edit?usp=sharing" TargetMode="External"/><Relationship Id="rId2524" Type="http://schemas.openxmlformats.org/officeDocument/2006/relationships/hyperlink" Target="http://osf.io/7er6r/" TargetMode="External"/><Relationship Id="rId3856" Type="http://schemas.openxmlformats.org/officeDocument/2006/relationships/hyperlink" Target="https://docs.google.com/document/d/1mg6-WDW-Xu9emeWt65gj6jsaARopBVKZnSIi0mtEOAg/edit?usp=sharing" TargetMode="External"/><Relationship Id="rId2525" Type="http://schemas.openxmlformats.org/officeDocument/2006/relationships/hyperlink" Target="http://doi.org/10.1007/s13164-018-0400-9" TargetMode="External"/><Relationship Id="rId3855" Type="http://schemas.openxmlformats.org/officeDocument/2006/relationships/hyperlink" Target="https://docs.google.com/document/d/1zMtrIra83OJI6CStymOFkw2Dn21ttokQEJjs6FWryos/edit?usp=sharing" TargetMode="External"/><Relationship Id="rId2526" Type="http://schemas.openxmlformats.org/officeDocument/2006/relationships/hyperlink" Target="https://osf.io/4ewkh" TargetMode="External"/><Relationship Id="rId3858" Type="http://schemas.openxmlformats.org/officeDocument/2006/relationships/hyperlink" Target="https://docs.google.com/document/d/1mg6-WDW-Xu9emeWt65gj6jsaARopBVKZnSIi0mtEOAg/edit?usp=sharing" TargetMode="External"/><Relationship Id="rId2527" Type="http://schemas.openxmlformats.org/officeDocument/2006/relationships/hyperlink" Target="https://osf.io/4ewkh" TargetMode="External"/><Relationship Id="rId3857" Type="http://schemas.openxmlformats.org/officeDocument/2006/relationships/hyperlink" Target="https://docs.google.com/document/d/1zMtrIra83OJI6CStymOFkw2Dn21ttokQEJjs6FWryos/edit?usp=sharing" TargetMode="External"/><Relationship Id="rId2528" Type="http://schemas.openxmlformats.org/officeDocument/2006/relationships/hyperlink" Target="http://osf.io/yb38c" TargetMode="External"/><Relationship Id="rId2529" Type="http://schemas.openxmlformats.org/officeDocument/2006/relationships/hyperlink" Target="http://doi.org/10.1007/s13164-018-0400-9" TargetMode="External"/><Relationship Id="rId3859" Type="http://schemas.openxmlformats.org/officeDocument/2006/relationships/hyperlink" Target="https://docs.google.com/document/d/1zMtrIra83OJI6CStymOFkw2Dn21ttokQEJjs6FWryos/edit?usp=sharing" TargetMode="External"/><Relationship Id="rId3850" Type="http://schemas.openxmlformats.org/officeDocument/2006/relationships/hyperlink" Target="https://docs.google.com/document/d/1mg6-WDW-Xu9emeWt65gj6jsaARopBVKZnSIi0mtEOAg/edit?usp=sharing" TargetMode="External"/><Relationship Id="rId2520" Type="http://schemas.openxmlformats.org/officeDocument/2006/relationships/hyperlink" Target="http://doi.org/10.1007/s13164-018-0400-9" TargetMode="External"/><Relationship Id="rId3852" Type="http://schemas.openxmlformats.org/officeDocument/2006/relationships/hyperlink" Target="https://docs.google.com/document/d/1mg6-WDW-Xu9emeWt65gj6jsaARopBVKZnSIi0mtEOAg/edit?usp=sharing" TargetMode="External"/><Relationship Id="rId2521" Type="http://schemas.openxmlformats.org/officeDocument/2006/relationships/hyperlink" Target="https://osf.io/fdjns" TargetMode="External"/><Relationship Id="rId3851" Type="http://schemas.openxmlformats.org/officeDocument/2006/relationships/hyperlink" Target="https://docs.google.com/document/d/1zMtrIra83OJI6CStymOFkw2Dn21ttokQEJjs6FWryos/edit?usp=sharing" TargetMode="External"/><Relationship Id="rId2511" Type="http://schemas.openxmlformats.org/officeDocument/2006/relationships/hyperlink" Target="http://doi.org/10.1007/s13164-018-0400-9" TargetMode="External"/><Relationship Id="rId3843" Type="http://schemas.openxmlformats.org/officeDocument/2006/relationships/hyperlink" Target="https://docs.google.com/document/d/1zMtrIra83OJI6CStymOFkw2Dn21ttokQEJjs6FWryos/edit?usp=sharing" TargetMode="External"/><Relationship Id="rId2512" Type="http://schemas.openxmlformats.org/officeDocument/2006/relationships/hyperlink" Target="https://osf.io/4ewkh" TargetMode="External"/><Relationship Id="rId3842" Type="http://schemas.openxmlformats.org/officeDocument/2006/relationships/hyperlink" Target="https://docs.google.com/document/d/1mg6-WDW-Xu9emeWt65gj6jsaARopBVKZnSIi0mtEOAg/edit?usp=sharing" TargetMode="External"/><Relationship Id="rId2513" Type="http://schemas.openxmlformats.org/officeDocument/2006/relationships/hyperlink" Target="http://osf.io/pjdkg" TargetMode="External"/><Relationship Id="rId3845" Type="http://schemas.openxmlformats.org/officeDocument/2006/relationships/hyperlink" Target="https://docs.google.com/document/d/1zMtrIra83OJI6CStymOFkw2Dn21ttokQEJjs6FWryos/edit?usp=sharing" TargetMode="External"/><Relationship Id="rId2514" Type="http://schemas.openxmlformats.org/officeDocument/2006/relationships/hyperlink" Target="http://doi.org/10.1007/s13164-018-0400-9" TargetMode="External"/><Relationship Id="rId3844" Type="http://schemas.openxmlformats.org/officeDocument/2006/relationships/hyperlink" Target="https://docs.google.com/document/d/1mg6-WDW-Xu9emeWt65gj6jsaARopBVKZnSIi0mtEOAg/edit?usp=sharing" TargetMode="External"/><Relationship Id="rId2515" Type="http://schemas.openxmlformats.org/officeDocument/2006/relationships/hyperlink" Target="https://osf.io/4ewkh" TargetMode="External"/><Relationship Id="rId3847" Type="http://schemas.openxmlformats.org/officeDocument/2006/relationships/hyperlink" Target="https://docs.google.com/document/d/1zMtrIra83OJI6CStymOFkw2Dn21ttokQEJjs6FWryos/edit?usp=sharing" TargetMode="External"/><Relationship Id="rId2516" Type="http://schemas.openxmlformats.org/officeDocument/2006/relationships/hyperlink" Target="https://doi.org/10.17605/OSF.IO/69DQC" TargetMode="External"/><Relationship Id="rId3846" Type="http://schemas.openxmlformats.org/officeDocument/2006/relationships/hyperlink" Target="https://docs.google.com/document/d/1mg6-WDW-Xu9emeWt65gj6jsaARopBVKZnSIi0mtEOAg/edit?usp=sharing" TargetMode="External"/><Relationship Id="rId2517" Type="http://schemas.openxmlformats.org/officeDocument/2006/relationships/hyperlink" Target="http://doi.org/10.1007/s13164-018-0400-9" TargetMode="External"/><Relationship Id="rId3849" Type="http://schemas.openxmlformats.org/officeDocument/2006/relationships/hyperlink" Target="https://docs.google.com/document/d/1zMtrIra83OJI6CStymOFkw2Dn21ttokQEJjs6FWryos/edit?usp=sharing" TargetMode="External"/><Relationship Id="rId2518" Type="http://schemas.openxmlformats.org/officeDocument/2006/relationships/hyperlink" Target="https://osf.io/4ewkh" TargetMode="External"/><Relationship Id="rId3848" Type="http://schemas.openxmlformats.org/officeDocument/2006/relationships/hyperlink" Target="https://docs.google.com/document/d/1mg6-WDW-Xu9emeWt65gj6jsaARopBVKZnSIi0mtEOAg/edit?usp=sharing" TargetMode="External"/><Relationship Id="rId2519" Type="http://schemas.openxmlformats.org/officeDocument/2006/relationships/hyperlink" Target="https://doi.org/10.17605/OSF.IO/69DQC" TargetMode="External"/><Relationship Id="rId3841" Type="http://schemas.openxmlformats.org/officeDocument/2006/relationships/hyperlink" Target="https://docs.google.com/document/d/1zMtrIra83OJI6CStymOFkw2Dn21ttokQEJjs6FWryos/edit?usp=sharing" TargetMode="External"/><Relationship Id="rId2510" Type="http://schemas.openxmlformats.org/officeDocument/2006/relationships/hyperlink" Target="https://doi.org/10.17605/OSF.IO/69DQC" TargetMode="External"/><Relationship Id="rId3840" Type="http://schemas.openxmlformats.org/officeDocument/2006/relationships/hyperlink" Target="https://docs.google.com/document/d/1mg6-WDW-Xu9emeWt65gj6jsaARopBVKZnSIi0mtEOAg/edit?usp=sharing" TargetMode="External"/><Relationship Id="rId469" Type="http://schemas.openxmlformats.org/officeDocument/2006/relationships/hyperlink" Target="https://osf.io/6m5tb" TargetMode="External"/><Relationship Id="rId468" Type="http://schemas.openxmlformats.org/officeDocument/2006/relationships/hyperlink" Target="https://osf.io/6m5tb" TargetMode="External"/><Relationship Id="rId467" Type="http://schemas.openxmlformats.org/officeDocument/2006/relationships/hyperlink" Target="https://osf.io/yajmp" TargetMode="External"/><Relationship Id="rId1290" Type="http://schemas.openxmlformats.org/officeDocument/2006/relationships/hyperlink" Target="http://osf.io/z2fj8" TargetMode="External"/><Relationship Id="rId1291" Type="http://schemas.openxmlformats.org/officeDocument/2006/relationships/hyperlink" Target="https://osf.io/egc9y/" TargetMode="External"/><Relationship Id="rId1292" Type="http://schemas.openxmlformats.org/officeDocument/2006/relationships/hyperlink" Target="https://doi.org/10.17605/OSF.IO/QP8V3" TargetMode="External"/><Relationship Id="rId462" Type="http://schemas.openxmlformats.org/officeDocument/2006/relationships/hyperlink" Target="https://osf.io/6m5tb" TargetMode="External"/><Relationship Id="rId1293" Type="http://schemas.openxmlformats.org/officeDocument/2006/relationships/hyperlink" Target="https://osf.io/egc9y/." TargetMode="External"/><Relationship Id="rId461" Type="http://schemas.openxmlformats.org/officeDocument/2006/relationships/hyperlink" Target="https://osf.io/yajmp" TargetMode="External"/><Relationship Id="rId1294" Type="http://schemas.openxmlformats.org/officeDocument/2006/relationships/hyperlink" Target="http://osf.io/4yuym" TargetMode="External"/><Relationship Id="rId460" Type="http://schemas.openxmlformats.org/officeDocument/2006/relationships/hyperlink" Target="https://osf.io/yajmp" TargetMode="External"/><Relationship Id="rId1295" Type="http://schemas.openxmlformats.org/officeDocument/2006/relationships/hyperlink" Target="https://doi.org/10.17605/OSF.IO/QP8V3" TargetMode="External"/><Relationship Id="rId1296" Type="http://schemas.openxmlformats.org/officeDocument/2006/relationships/hyperlink" Target="http://osf.io/3sn6j" TargetMode="External"/><Relationship Id="rId466" Type="http://schemas.openxmlformats.org/officeDocument/2006/relationships/hyperlink" Target="https://osf.io/yajmp" TargetMode="External"/><Relationship Id="rId1297" Type="http://schemas.openxmlformats.org/officeDocument/2006/relationships/hyperlink" Target="http://osf.io/dbx75/" TargetMode="External"/><Relationship Id="rId465" Type="http://schemas.openxmlformats.org/officeDocument/2006/relationships/hyperlink" Target="https://osf.io/yajmp" TargetMode="External"/><Relationship Id="rId1298" Type="http://schemas.openxmlformats.org/officeDocument/2006/relationships/hyperlink" Target="https://doi.org/10.17605/OSF.IO/5NZ6W" TargetMode="External"/><Relationship Id="rId464" Type="http://schemas.openxmlformats.org/officeDocument/2006/relationships/hyperlink" Target="https://doi.org/10.1037/pspp0000263" TargetMode="External"/><Relationship Id="rId1299" Type="http://schemas.openxmlformats.org/officeDocument/2006/relationships/hyperlink" Target="http://osf.io/ejmyw" TargetMode="External"/><Relationship Id="rId463" Type="http://schemas.openxmlformats.org/officeDocument/2006/relationships/hyperlink" Target="https://osf.io/6m5tb" TargetMode="External"/><Relationship Id="rId459" Type="http://schemas.openxmlformats.org/officeDocument/2006/relationships/hyperlink" Target="https://osf.io/yajmp" TargetMode="External"/><Relationship Id="rId458" Type="http://schemas.openxmlformats.org/officeDocument/2006/relationships/hyperlink" Target="https://doi.org/10.1037/pspp0000263" TargetMode="External"/><Relationship Id="rId457" Type="http://schemas.openxmlformats.org/officeDocument/2006/relationships/hyperlink" Target="https://osf.io/6m5tb)" TargetMode="External"/><Relationship Id="rId456" Type="http://schemas.openxmlformats.org/officeDocument/2006/relationships/hyperlink" Target="https://osf.io/yajmp" TargetMode="External"/><Relationship Id="rId1280" Type="http://schemas.openxmlformats.org/officeDocument/2006/relationships/hyperlink" Target="http://osf.io/5eanz/" TargetMode="External"/><Relationship Id="rId1281" Type="http://schemas.openxmlformats.org/officeDocument/2006/relationships/hyperlink" Target="http://osf.io/txs86" TargetMode="External"/><Relationship Id="rId451" Type="http://schemas.openxmlformats.org/officeDocument/2006/relationships/hyperlink" Target="https://doi.org/10.1007/s40732-020-00453-8" TargetMode="External"/><Relationship Id="rId1282" Type="http://schemas.openxmlformats.org/officeDocument/2006/relationships/hyperlink" Target="https://doi.org/10.17605/OSF.IO/ZWKMN" TargetMode="External"/><Relationship Id="rId450" Type="http://schemas.openxmlformats.org/officeDocument/2006/relationships/hyperlink" Target="https://osf.io/mptud" TargetMode="External"/><Relationship Id="rId1283" Type="http://schemas.openxmlformats.org/officeDocument/2006/relationships/hyperlink" Target="https://osf.io/qg3m2/registrations" TargetMode="External"/><Relationship Id="rId1284" Type="http://schemas.openxmlformats.org/officeDocument/2006/relationships/hyperlink" Target="http://osf.io/cvuwy/" TargetMode="External"/><Relationship Id="rId1285" Type="http://schemas.openxmlformats.org/officeDocument/2006/relationships/hyperlink" Target="https://osf.io/qg3m2/registrations" TargetMode="External"/><Relationship Id="rId455" Type="http://schemas.openxmlformats.org/officeDocument/2006/relationships/hyperlink" Target="https://osf.io/yajmp" TargetMode="External"/><Relationship Id="rId1286" Type="http://schemas.openxmlformats.org/officeDocument/2006/relationships/hyperlink" Target="https://osf.io/qg3m2/registrations" TargetMode="External"/><Relationship Id="rId454" Type="http://schemas.openxmlformats.org/officeDocument/2006/relationships/hyperlink" Target="https://doi.org/10.1016/j.appet.2020.104808" TargetMode="External"/><Relationship Id="rId1287" Type="http://schemas.openxmlformats.org/officeDocument/2006/relationships/hyperlink" Target="http://osf.io/n6r3b/" TargetMode="External"/><Relationship Id="rId453" Type="http://schemas.openxmlformats.org/officeDocument/2006/relationships/hyperlink" Target="https://doi.org/10.1007/s40732-020-00453-8" TargetMode="External"/><Relationship Id="rId1288" Type="http://schemas.openxmlformats.org/officeDocument/2006/relationships/hyperlink" Target="https://osf.io/qg3m2/registrations" TargetMode="External"/><Relationship Id="rId452" Type="http://schemas.openxmlformats.org/officeDocument/2006/relationships/hyperlink" Target="https://doi.org/10.1007/s40732-020-00453-8" TargetMode="External"/><Relationship Id="rId1289" Type="http://schemas.openxmlformats.org/officeDocument/2006/relationships/hyperlink" Target="https://osf.io/qg3m2/" TargetMode="External"/><Relationship Id="rId3018" Type="http://schemas.openxmlformats.org/officeDocument/2006/relationships/hyperlink" Target="https://osf.io/zmcsw" TargetMode="External"/><Relationship Id="rId3017" Type="http://schemas.openxmlformats.org/officeDocument/2006/relationships/hyperlink" Target="https://drive.google.com/file/d/1Oyf6phoxDUGiryzACmCI2gdTcVIQO0rE/view?usp=drive_link" TargetMode="External"/><Relationship Id="rId3019" Type="http://schemas.openxmlformats.org/officeDocument/2006/relationships/hyperlink" Target="https://drive.google.com/file/d/1Oyf6phoxDUGiryzACmCI2gdTcVIQO0rE/view?usp=drive_link" TargetMode="External"/><Relationship Id="rId491" Type="http://schemas.openxmlformats.org/officeDocument/2006/relationships/hyperlink" Target="https://osf.io/yajmp" TargetMode="External"/><Relationship Id="rId490" Type="http://schemas.openxmlformats.org/officeDocument/2006/relationships/hyperlink" Target="https://osf.io/yajmp" TargetMode="External"/><Relationship Id="rId489" Type="http://schemas.openxmlformats.org/officeDocument/2006/relationships/hyperlink" Target="https://osf.io/yajmp" TargetMode="External"/><Relationship Id="rId484" Type="http://schemas.openxmlformats.org/officeDocument/2006/relationships/hyperlink" Target="https://osf.io/yajmp" TargetMode="External"/><Relationship Id="rId3010" Type="http://schemas.openxmlformats.org/officeDocument/2006/relationships/hyperlink" Target="https://osf.io/4a5ej" TargetMode="External"/><Relationship Id="rId483" Type="http://schemas.openxmlformats.org/officeDocument/2006/relationships/hyperlink" Target="https://osf.io/yajmp" TargetMode="External"/><Relationship Id="rId482" Type="http://schemas.openxmlformats.org/officeDocument/2006/relationships/hyperlink" Target="https://doi.org/10.1037/pspp0000263" TargetMode="External"/><Relationship Id="rId3012" Type="http://schemas.openxmlformats.org/officeDocument/2006/relationships/hyperlink" Target="https://osf.io/4a5ej" TargetMode="External"/><Relationship Id="rId481" Type="http://schemas.openxmlformats.org/officeDocument/2006/relationships/hyperlink" Target="https://osf.io/6m5tb" TargetMode="External"/><Relationship Id="rId3011" Type="http://schemas.openxmlformats.org/officeDocument/2006/relationships/hyperlink" Target="https://drive.google.com/file/d/1Oyf6phoxDUGiryzACmCI2gdTcVIQO0rE/view?usp=drive_link" TargetMode="External"/><Relationship Id="rId488" Type="http://schemas.openxmlformats.org/officeDocument/2006/relationships/hyperlink" Target="https://doi.org/10.1037/pspp0000263" TargetMode="External"/><Relationship Id="rId3014" Type="http://schemas.openxmlformats.org/officeDocument/2006/relationships/hyperlink" Target="https://osf.io/zmcsw" TargetMode="External"/><Relationship Id="rId487" Type="http://schemas.openxmlformats.org/officeDocument/2006/relationships/hyperlink" Target="https://osf.io/6m5tb" TargetMode="External"/><Relationship Id="rId3013" Type="http://schemas.openxmlformats.org/officeDocument/2006/relationships/hyperlink" Target="https://drive.google.com/file/d/1Oyf6phoxDUGiryzACmCI2gdTcVIQO0rE/view?usp=drive_link" TargetMode="External"/><Relationship Id="rId486" Type="http://schemas.openxmlformats.org/officeDocument/2006/relationships/hyperlink" Target="https://osf.io/6m5tb" TargetMode="External"/><Relationship Id="rId3016" Type="http://schemas.openxmlformats.org/officeDocument/2006/relationships/hyperlink" Target="https://osf.io/zmcsw" TargetMode="External"/><Relationship Id="rId485" Type="http://schemas.openxmlformats.org/officeDocument/2006/relationships/hyperlink" Target="https://osf.io/yajmp" TargetMode="External"/><Relationship Id="rId3015" Type="http://schemas.openxmlformats.org/officeDocument/2006/relationships/hyperlink" Target="https://drive.google.com/file/d/1Oyf6phoxDUGiryzACmCI2gdTcVIQO0rE/view?usp=drive_link" TargetMode="External"/><Relationship Id="rId3007" Type="http://schemas.openxmlformats.org/officeDocument/2006/relationships/hyperlink" Target="https://drive.google.com/file/d/1Oyf6phoxDUGiryzACmCI2gdTcVIQO0rE/view?usp=drive_link" TargetMode="External"/><Relationship Id="rId3006" Type="http://schemas.openxmlformats.org/officeDocument/2006/relationships/hyperlink" Target="https://osf.io/4a5ej" TargetMode="External"/><Relationship Id="rId3009" Type="http://schemas.openxmlformats.org/officeDocument/2006/relationships/hyperlink" Target="https://drive.google.com/file/d/1Oyf6phoxDUGiryzACmCI2gdTcVIQO0rE/view?usp=drive_link" TargetMode="External"/><Relationship Id="rId3008" Type="http://schemas.openxmlformats.org/officeDocument/2006/relationships/hyperlink" Target="https://osf.io/4a5ej" TargetMode="External"/><Relationship Id="rId480" Type="http://schemas.openxmlformats.org/officeDocument/2006/relationships/hyperlink" Target="https://osf.io/6m5tb" TargetMode="External"/><Relationship Id="rId479" Type="http://schemas.openxmlformats.org/officeDocument/2006/relationships/hyperlink" Target="https://osf.io/yajmp" TargetMode="External"/><Relationship Id="rId478" Type="http://schemas.openxmlformats.org/officeDocument/2006/relationships/hyperlink" Target="https://osf.io/yajmp" TargetMode="External"/><Relationship Id="rId473" Type="http://schemas.openxmlformats.org/officeDocument/2006/relationships/hyperlink" Target="https://osf.io/yajmp" TargetMode="External"/><Relationship Id="rId472" Type="http://schemas.openxmlformats.org/officeDocument/2006/relationships/hyperlink" Target="https://osf.io/yajmp" TargetMode="External"/><Relationship Id="rId471" Type="http://schemas.openxmlformats.org/officeDocument/2006/relationships/hyperlink" Target="https://osf.io/yajmp" TargetMode="External"/><Relationship Id="rId3001" Type="http://schemas.openxmlformats.org/officeDocument/2006/relationships/hyperlink" Target="https://drive.google.com/file/d/1Oyf6phoxDUGiryzACmCI2gdTcVIQO0rE/view?usp=drive_link" TargetMode="External"/><Relationship Id="rId470" Type="http://schemas.openxmlformats.org/officeDocument/2006/relationships/hyperlink" Target="https://doi.org/10.1037/pspp0000263" TargetMode="External"/><Relationship Id="rId3000" Type="http://schemas.openxmlformats.org/officeDocument/2006/relationships/hyperlink" Target="https://osf.io/k6ytw" TargetMode="External"/><Relationship Id="rId477" Type="http://schemas.openxmlformats.org/officeDocument/2006/relationships/hyperlink" Target="https://osf.io/yajmp" TargetMode="External"/><Relationship Id="rId3003" Type="http://schemas.openxmlformats.org/officeDocument/2006/relationships/hyperlink" Target="https://drive.google.com/file/d/1Oyf6phoxDUGiryzACmCI2gdTcVIQO0rE/view?usp=drive_link" TargetMode="External"/><Relationship Id="rId476" Type="http://schemas.openxmlformats.org/officeDocument/2006/relationships/hyperlink" Target="https://doi.org/10.1037/pspp0000263" TargetMode="External"/><Relationship Id="rId3002" Type="http://schemas.openxmlformats.org/officeDocument/2006/relationships/hyperlink" Target="https://osf.io/k6ytw" TargetMode="External"/><Relationship Id="rId475" Type="http://schemas.openxmlformats.org/officeDocument/2006/relationships/hyperlink" Target="https://osf.io/6m5tb" TargetMode="External"/><Relationship Id="rId3005" Type="http://schemas.openxmlformats.org/officeDocument/2006/relationships/hyperlink" Target="https://drive.google.com/file/d/1Oyf6phoxDUGiryzACmCI2gdTcVIQO0rE/view?usp=drive_link" TargetMode="External"/><Relationship Id="rId474" Type="http://schemas.openxmlformats.org/officeDocument/2006/relationships/hyperlink" Target="https://osf.io/6m5tb" TargetMode="External"/><Relationship Id="rId3004" Type="http://schemas.openxmlformats.org/officeDocument/2006/relationships/hyperlink" Target="https://osf.io/k6ytw" TargetMode="External"/><Relationship Id="rId1257" Type="http://schemas.openxmlformats.org/officeDocument/2006/relationships/hyperlink" Target="https://doi.org/10.17605/OSF.IO/N5ZSX" TargetMode="External"/><Relationship Id="rId2588" Type="http://schemas.openxmlformats.org/officeDocument/2006/relationships/hyperlink" Target="http://doi.org/10.1007/s13164-018-0400-9" TargetMode="External"/><Relationship Id="rId1258" Type="http://schemas.openxmlformats.org/officeDocument/2006/relationships/hyperlink" Target="http://osf.io/p48sa/" TargetMode="External"/><Relationship Id="rId2589" Type="http://schemas.openxmlformats.org/officeDocument/2006/relationships/hyperlink" Target="https://osf.io/4ewkh" TargetMode="External"/><Relationship Id="rId1259" Type="http://schemas.openxmlformats.org/officeDocument/2006/relationships/hyperlink" Target="https://doi.org/10.17605/OSF.IO/TFC6X" TargetMode="External"/><Relationship Id="rId426" Type="http://schemas.openxmlformats.org/officeDocument/2006/relationships/hyperlink" Target="https://purl.utwente.nl/essays/100571" TargetMode="External"/><Relationship Id="rId425" Type="http://schemas.openxmlformats.org/officeDocument/2006/relationships/hyperlink" Target="https://purl.utwente.nl/essays/100571" TargetMode="External"/><Relationship Id="rId424" Type="http://schemas.openxmlformats.org/officeDocument/2006/relationships/hyperlink" Target="https://osf.io/preprints/psyarxiv/esu9z" TargetMode="External"/><Relationship Id="rId423" Type="http://schemas.openxmlformats.org/officeDocument/2006/relationships/hyperlink" Target="https://osf.io/preprints/psyarxiv/esu9z" TargetMode="External"/><Relationship Id="rId429" Type="http://schemas.openxmlformats.org/officeDocument/2006/relationships/hyperlink" Target="https://purl.utwente.nl/essays/100571" TargetMode="External"/><Relationship Id="rId428" Type="http://schemas.openxmlformats.org/officeDocument/2006/relationships/hyperlink" Target="https://purl.utwente.nl/essays/100571" TargetMode="External"/><Relationship Id="rId427" Type="http://schemas.openxmlformats.org/officeDocument/2006/relationships/hyperlink" Target="https://purl.utwente.nl/essays/100571" TargetMode="External"/><Relationship Id="rId2580" Type="http://schemas.openxmlformats.org/officeDocument/2006/relationships/hyperlink" Target="http://osf.io/4yuym" TargetMode="External"/><Relationship Id="rId1250" Type="http://schemas.openxmlformats.org/officeDocument/2006/relationships/hyperlink" Target="https://dx.doi.org/10.2139/ssrn.2586261" TargetMode="External"/><Relationship Id="rId2581" Type="http://schemas.openxmlformats.org/officeDocument/2006/relationships/hyperlink" Target="http://doi.org/10.1007/s13164-018-0400-9" TargetMode="External"/><Relationship Id="rId1251" Type="http://schemas.openxmlformats.org/officeDocument/2006/relationships/hyperlink" Target="https://osf.io/rtn9s/" TargetMode="External"/><Relationship Id="rId2582" Type="http://schemas.openxmlformats.org/officeDocument/2006/relationships/hyperlink" Target="https://osf.io/4ewkh" TargetMode="External"/><Relationship Id="rId1252" Type="http://schemas.openxmlformats.org/officeDocument/2006/relationships/hyperlink" Target="https://osf.io/uxajg" TargetMode="External"/><Relationship Id="rId2583" Type="http://schemas.openxmlformats.org/officeDocument/2006/relationships/hyperlink" Target="https://doi.org/10.17605/OSF.IO/QP8V3" TargetMode="External"/><Relationship Id="rId422" Type="http://schemas.openxmlformats.org/officeDocument/2006/relationships/hyperlink" Target="https://osf.io/preprints/psyarxiv/esu9z" TargetMode="External"/><Relationship Id="rId1253" Type="http://schemas.openxmlformats.org/officeDocument/2006/relationships/hyperlink" Target="https://osf.io/uxajg" TargetMode="External"/><Relationship Id="rId2584" Type="http://schemas.openxmlformats.org/officeDocument/2006/relationships/hyperlink" Target="https://osf.io/pgvej" TargetMode="External"/><Relationship Id="rId421" Type="http://schemas.openxmlformats.org/officeDocument/2006/relationships/hyperlink" Target="https://osf.io/preprints/psyarxiv/esu9z" TargetMode="External"/><Relationship Id="rId1254" Type="http://schemas.openxmlformats.org/officeDocument/2006/relationships/hyperlink" Target="https://doi.org/10.17605/OSF.IO/GZRMV" TargetMode="External"/><Relationship Id="rId2585" Type="http://schemas.openxmlformats.org/officeDocument/2006/relationships/hyperlink" Target="http://doi.org/10.1007/s13164-018-0400-9" TargetMode="External"/><Relationship Id="rId420" Type="http://schemas.openxmlformats.org/officeDocument/2006/relationships/hyperlink" Target="https://doi.org/10.1177/1948550611432938" TargetMode="External"/><Relationship Id="rId1255" Type="http://schemas.openxmlformats.org/officeDocument/2006/relationships/hyperlink" Target="http://osf.io/hdz5x" TargetMode="External"/><Relationship Id="rId2586" Type="http://schemas.openxmlformats.org/officeDocument/2006/relationships/hyperlink" Target="https://osf.io/4ewkh" TargetMode="External"/><Relationship Id="rId1256" Type="http://schemas.openxmlformats.org/officeDocument/2006/relationships/hyperlink" Target="http://osf.io/m8t3k/" TargetMode="External"/><Relationship Id="rId2587" Type="http://schemas.openxmlformats.org/officeDocument/2006/relationships/hyperlink" Target="https://doi.org/10.17605/OSF.IO/QP8V3" TargetMode="External"/><Relationship Id="rId1246" Type="http://schemas.openxmlformats.org/officeDocument/2006/relationships/hyperlink" Target="https://osf.io/q6tv8" TargetMode="External"/><Relationship Id="rId2577" Type="http://schemas.openxmlformats.org/officeDocument/2006/relationships/hyperlink" Target="https://osf.io/4ewkh" TargetMode="External"/><Relationship Id="rId1247" Type="http://schemas.openxmlformats.org/officeDocument/2006/relationships/hyperlink" Target="https://osf.io/9fcjx" TargetMode="External"/><Relationship Id="rId2578" Type="http://schemas.openxmlformats.org/officeDocument/2006/relationships/hyperlink" Target="https://doi.org/10.17605/OSF.IO/QP8V3" TargetMode="External"/><Relationship Id="rId1248" Type="http://schemas.openxmlformats.org/officeDocument/2006/relationships/hyperlink" Target="https://osf.io/q6tv8" TargetMode="External"/><Relationship Id="rId2579" Type="http://schemas.openxmlformats.org/officeDocument/2006/relationships/hyperlink" Target="https://osf.io/4ewkh" TargetMode="External"/><Relationship Id="rId1249" Type="http://schemas.openxmlformats.org/officeDocument/2006/relationships/hyperlink" Target="https://osf.io/ktjc4/" TargetMode="External"/><Relationship Id="rId415" Type="http://schemas.openxmlformats.org/officeDocument/2006/relationships/hyperlink" Target="https://osf.io/g4xcb" TargetMode="External"/><Relationship Id="rId414" Type="http://schemas.openxmlformats.org/officeDocument/2006/relationships/hyperlink" Target="https://osf.io/g4xcb" TargetMode="External"/><Relationship Id="rId413" Type="http://schemas.openxmlformats.org/officeDocument/2006/relationships/hyperlink" Target="https://osf.io/g4xcb" TargetMode="External"/><Relationship Id="rId412" Type="http://schemas.openxmlformats.org/officeDocument/2006/relationships/hyperlink" Target="https://osf.io/g4xcb" TargetMode="External"/><Relationship Id="rId419" Type="http://schemas.openxmlformats.org/officeDocument/2006/relationships/hyperlink" Target="https://doi.org/10.1007/s10857-015-9324-9" TargetMode="External"/><Relationship Id="rId418" Type="http://schemas.openxmlformats.org/officeDocument/2006/relationships/hyperlink" Target="https://osf.io/g4xcb" TargetMode="External"/><Relationship Id="rId417" Type="http://schemas.openxmlformats.org/officeDocument/2006/relationships/hyperlink" Target="https://osf.io/g4xcb" TargetMode="External"/><Relationship Id="rId416" Type="http://schemas.openxmlformats.org/officeDocument/2006/relationships/hyperlink" Target="https://osf.io/g4xcb" TargetMode="External"/><Relationship Id="rId2570" Type="http://schemas.openxmlformats.org/officeDocument/2006/relationships/hyperlink" Target="https://osf.io/4ewkh" TargetMode="External"/><Relationship Id="rId1240" Type="http://schemas.openxmlformats.org/officeDocument/2006/relationships/hyperlink" Target="https://osf.io/nsk8h/?view_only=b1e702d061484d1bb4150754892d9197" TargetMode="External"/><Relationship Id="rId2571" Type="http://schemas.openxmlformats.org/officeDocument/2006/relationships/hyperlink" Target="http://doi.org/10.1007/s13164-018-0400-9" TargetMode="External"/><Relationship Id="rId1241" Type="http://schemas.openxmlformats.org/officeDocument/2006/relationships/hyperlink" Target="https://osf.io/nsk8h/?view_only=b1e702d061484d1bb4150754892d9197" TargetMode="External"/><Relationship Id="rId2572" Type="http://schemas.openxmlformats.org/officeDocument/2006/relationships/hyperlink" Target="https://osf.io/4ewkh" TargetMode="External"/><Relationship Id="rId411" Type="http://schemas.openxmlformats.org/officeDocument/2006/relationships/hyperlink" Target="https://osf.io/g4xcb" TargetMode="External"/><Relationship Id="rId1242" Type="http://schemas.openxmlformats.org/officeDocument/2006/relationships/hyperlink" Target="https://osf.io/krx8m/?view_only=069f8366242e4dccb0309ccf89f88324." TargetMode="External"/><Relationship Id="rId2573" Type="http://schemas.openxmlformats.org/officeDocument/2006/relationships/hyperlink" Target="https://osf.io/4ewkh" TargetMode="External"/><Relationship Id="rId410" Type="http://schemas.openxmlformats.org/officeDocument/2006/relationships/hyperlink" Target="https://osf.io/g4xcb" TargetMode="External"/><Relationship Id="rId1243" Type="http://schemas.openxmlformats.org/officeDocument/2006/relationships/hyperlink" Target="https://osf.io/ne9dy/registrations" TargetMode="External"/><Relationship Id="rId2574" Type="http://schemas.openxmlformats.org/officeDocument/2006/relationships/hyperlink" Target="https://osf.io/4ewkh" TargetMode="External"/><Relationship Id="rId1244" Type="http://schemas.openxmlformats.org/officeDocument/2006/relationships/hyperlink" Target="https://osf.io/wys6d" TargetMode="External"/><Relationship Id="rId2575" Type="http://schemas.openxmlformats.org/officeDocument/2006/relationships/hyperlink" Target="http://doi.org/10.1007/s13164-018-0400-9" TargetMode="External"/><Relationship Id="rId1245" Type="http://schemas.openxmlformats.org/officeDocument/2006/relationships/hyperlink" Target="https://osf.io/9fcjx" TargetMode="External"/><Relationship Id="rId2576" Type="http://schemas.openxmlformats.org/officeDocument/2006/relationships/hyperlink" Target="https://osf.io/4ewkh" TargetMode="External"/><Relationship Id="rId1279" Type="http://schemas.openxmlformats.org/officeDocument/2006/relationships/hyperlink" Target="https://doi.org/10.17605/OSF.IO/P56KE" TargetMode="External"/><Relationship Id="rId448" Type="http://schemas.openxmlformats.org/officeDocument/2006/relationships/hyperlink" Target="https://osf.io/mptud" TargetMode="External"/><Relationship Id="rId447" Type="http://schemas.openxmlformats.org/officeDocument/2006/relationships/hyperlink" Target="https://osf.io/mptud" TargetMode="External"/><Relationship Id="rId446" Type="http://schemas.openxmlformats.org/officeDocument/2006/relationships/hyperlink" Target="https://osf.io/mptud" TargetMode="External"/><Relationship Id="rId445" Type="http://schemas.openxmlformats.org/officeDocument/2006/relationships/hyperlink" Target="https://osf.io/mptud" TargetMode="External"/><Relationship Id="rId449" Type="http://schemas.openxmlformats.org/officeDocument/2006/relationships/hyperlink" Target="https://osf.io/mptud" TargetMode="External"/><Relationship Id="rId1270" Type="http://schemas.openxmlformats.org/officeDocument/2006/relationships/hyperlink" Target="http://osf.io/yb38c" TargetMode="External"/><Relationship Id="rId440" Type="http://schemas.openxmlformats.org/officeDocument/2006/relationships/hyperlink" Target="https://osf.io/8qub2" TargetMode="External"/><Relationship Id="rId1271" Type="http://schemas.openxmlformats.org/officeDocument/2006/relationships/hyperlink" Target="https://doi.org/10.17605/OSF.IO/CKJTF" TargetMode="External"/><Relationship Id="rId1272" Type="http://schemas.openxmlformats.org/officeDocument/2006/relationships/hyperlink" Target="https://osf.io/7dh3m" TargetMode="External"/><Relationship Id="rId1273" Type="http://schemas.openxmlformats.org/officeDocument/2006/relationships/hyperlink" Target="http://osf.io/wy8ab" TargetMode="External"/><Relationship Id="rId1274" Type="http://schemas.openxmlformats.org/officeDocument/2006/relationships/hyperlink" Target="https://osf.io/7dh3m" TargetMode="External"/><Relationship Id="rId444" Type="http://schemas.openxmlformats.org/officeDocument/2006/relationships/hyperlink" Target="https://osf.io/mptud" TargetMode="External"/><Relationship Id="rId1275" Type="http://schemas.openxmlformats.org/officeDocument/2006/relationships/hyperlink" Target="http://osf.io/jb8yp/" TargetMode="External"/><Relationship Id="rId443" Type="http://schemas.openxmlformats.org/officeDocument/2006/relationships/hyperlink" Target="https://osf.io/mptud" TargetMode="External"/><Relationship Id="rId1276" Type="http://schemas.openxmlformats.org/officeDocument/2006/relationships/hyperlink" Target="http://osf.io/78sqa/" TargetMode="External"/><Relationship Id="rId442" Type="http://schemas.openxmlformats.org/officeDocument/2006/relationships/hyperlink" Target="https://osf.io/mptud" TargetMode="External"/><Relationship Id="rId1277" Type="http://schemas.openxmlformats.org/officeDocument/2006/relationships/hyperlink" Target="https://doi.org/10.17605/OSF.IO/JW84M" TargetMode="External"/><Relationship Id="rId441" Type="http://schemas.openxmlformats.org/officeDocument/2006/relationships/hyperlink" Target="https://osf.io/mptud" TargetMode="External"/><Relationship Id="rId1278" Type="http://schemas.openxmlformats.org/officeDocument/2006/relationships/hyperlink" Target="http://osf.io/ykt7z" TargetMode="External"/><Relationship Id="rId1268" Type="http://schemas.openxmlformats.org/officeDocument/2006/relationships/hyperlink" Target="https://doi.org/10.17605/OSF.IO/N9HDV" TargetMode="External"/><Relationship Id="rId2599" Type="http://schemas.openxmlformats.org/officeDocument/2006/relationships/hyperlink" Target="https://osf.io/4ewkh" TargetMode="External"/><Relationship Id="rId1269" Type="http://schemas.openxmlformats.org/officeDocument/2006/relationships/hyperlink" Target="http://osf.io/7er6r/" TargetMode="External"/><Relationship Id="rId437" Type="http://schemas.openxmlformats.org/officeDocument/2006/relationships/hyperlink" Target="https://doi.org/10.1016/j.xjmad.2024.100075" TargetMode="External"/><Relationship Id="rId436" Type="http://schemas.openxmlformats.org/officeDocument/2006/relationships/hyperlink" Target="https://doi.org/10.1007/s10802-020-00712-w" TargetMode="External"/><Relationship Id="rId435" Type="http://schemas.openxmlformats.org/officeDocument/2006/relationships/hyperlink" Target="https://se.ifi.uni-heidelberg.de/fileadmin/pdf/publications/2016_The_Role_of_Method_Chains.pdf" TargetMode="External"/><Relationship Id="rId434" Type="http://schemas.openxmlformats.org/officeDocument/2006/relationships/hyperlink" Target="https://doi.org/10.1109/ICCQ60895.2024.10576941" TargetMode="External"/><Relationship Id="rId439" Type="http://schemas.openxmlformats.org/officeDocument/2006/relationships/hyperlink" Target="https://osf.io/8qub2" TargetMode="External"/><Relationship Id="rId438" Type="http://schemas.openxmlformats.org/officeDocument/2006/relationships/hyperlink" Target="https://doi.org/10.1016/j.xjmad.2024.100075" TargetMode="External"/><Relationship Id="rId2590" Type="http://schemas.openxmlformats.org/officeDocument/2006/relationships/hyperlink" Target="https://doi.org/10.17605/OSF.IO/QP8V3" TargetMode="External"/><Relationship Id="rId1260" Type="http://schemas.openxmlformats.org/officeDocument/2006/relationships/hyperlink" Target="http://osf.io/8kf3p/" TargetMode="External"/><Relationship Id="rId2591" Type="http://schemas.openxmlformats.org/officeDocument/2006/relationships/hyperlink" Target="https://osf.io/nxp9w" TargetMode="External"/><Relationship Id="rId1261" Type="http://schemas.openxmlformats.org/officeDocument/2006/relationships/hyperlink" Target="http://osf.io/bv42c/" TargetMode="External"/><Relationship Id="rId2592" Type="http://schemas.openxmlformats.org/officeDocument/2006/relationships/hyperlink" Target="http://doi.org/10.1007/s13164-018-0400-9" TargetMode="External"/><Relationship Id="rId1262" Type="http://schemas.openxmlformats.org/officeDocument/2006/relationships/hyperlink" Target="http://osf.io/693bm/" TargetMode="External"/><Relationship Id="rId2593" Type="http://schemas.openxmlformats.org/officeDocument/2006/relationships/hyperlink" Target="https://osf.io/4ewkh" TargetMode="External"/><Relationship Id="rId1263" Type="http://schemas.openxmlformats.org/officeDocument/2006/relationships/hyperlink" Target="https://doi.org/10.17605/OSF.IO/69DQC" TargetMode="External"/><Relationship Id="rId2594" Type="http://schemas.openxmlformats.org/officeDocument/2006/relationships/hyperlink" Target="https://doi.org/10.17605/OSF.IO/QP8V3" TargetMode="External"/><Relationship Id="rId433" Type="http://schemas.openxmlformats.org/officeDocument/2006/relationships/hyperlink" Target="https://doi.org/10.1145/3649217.3653545" TargetMode="External"/><Relationship Id="rId1264" Type="http://schemas.openxmlformats.org/officeDocument/2006/relationships/hyperlink" Target="https://osf.io/w6qub/" TargetMode="External"/><Relationship Id="rId2595" Type="http://schemas.openxmlformats.org/officeDocument/2006/relationships/hyperlink" Target="http://doi.org/10.1007/s13164-018-0400-9" TargetMode="External"/><Relationship Id="rId432" Type="http://schemas.openxmlformats.org/officeDocument/2006/relationships/hyperlink" Target="https://doi.org/10.1145/3649217.3653545" TargetMode="External"/><Relationship Id="rId1265" Type="http://schemas.openxmlformats.org/officeDocument/2006/relationships/hyperlink" Target="http://osf.io/pjdkg" TargetMode="External"/><Relationship Id="rId2596" Type="http://schemas.openxmlformats.org/officeDocument/2006/relationships/hyperlink" Target="https://osf.io/4ewkh" TargetMode="External"/><Relationship Id="rId431" Type="http://schemas.openxmlformats.org/officeDocument/2006/relationships/hyperlink" Target="https://purl.utwente.nl/essays/100571" TargetMode="External"/><Relationship Id="rId1266" Type="http://schemas.openxmlformats.org/officeDocument/2006/relationships/hyperlink" Target="https://osf.io/w6qub/" TargetMode="External"/><Relationship Id="rId2597" Type="http://schemas.openxmlformats.org/officeDocument/2006/relationships/hyperlink" Target="https://doi.org/10.17605/OSF.IO/QP8V3" TargetMode="External"/><Relationship Id="rId430" Type="http://schemas.openxmlformats.org/officeDocument/2006/relationships/hyperlink" Target="https://purl.utwente.nl/essays/100571" TargetMode="External"/><Relationship Id="rId1267" Type="http://schemas.openxmlformats.org/officeDocument/2006/relationships/hyperlink" Target="https://osf.io/4ewkh" TargetMode="External"/><Relationship Id="rId2598" Type="http://schemas.openxmlformats.org/officeDocument/2006/relationships/hyperlink" Target="http://doi.org/10.1007/s13164-018-0400-9" TargetMode="External"/><Relationship Id="rId3070" Type="http://schemas.openxmlformats.org/officeDocument/2006/relationships/hyperlink" Target="https://osf.io/c2xur" TargetMode="External"/><Relationship Id="rId3072" Type="http://schemas.openxmlformats.org/officeDocument/2006/relationships/hyperlink" Target="https://osf.io/gf7vh" TargetMode="External"/><Relationship Id="rId3071" Type="http://schemas.openxmlformats.org/officeDocument/2006/relationships/hyperlink" Target="https://doi.org/10.1126/science.283.5398.77" TargetMode="External"/><Relationship Id="rId3074" Type="http://schemas.openxmlformats.org/officeDocument/2006/relationships/hyperlink" Target="https://osf.io/yb4j3" TargetMode="External"/><Relationship Id="rId3073" Type="http://schemas.openxmlformats.org/officeDocument/2006/relationships/hyperlink" Target="https://osf.io/yb4j3" TargetMode="External"/><Relationship Id="rId3076" Type="http://schemas.openxmlformats.org/officeDocument/2006/relationships/hyperlink" Target="https://datacolada.org/94" TargetMode="External"/><Relationship Id="rId3075" Type="http://schemas.openxmlformats.org/officeDocument/2006/relationships/hyperlink" Target="https://osf.io/ux42g" TargetMode="External"/><Relationship Id="rId3078" Type="http://schemas.openxmlformats.org/officeDocument/2006/relationships/hyperlink" Target="https://datacolada.org/94" TargetMode="External"/><Relationship Id="rId3077" Type="http://schemas.openxmlformats.org/officeDocument/2006/relationships/hyperlink" Target="https://researchbox.org/58" TargetMode="External"/><Relationship Id="rId3079" Type="http://schemas.openxmlformats.org/officeDocument/2006/relationships/hyperlink" Target="https://researchbox.org/58" TargetMode="External"/><Relationship Id="rId3061" Type="http://schemas.openxmlformats.org/officeDocument/2006/relationships/hyperlink" Target="https://drive.google.com/file/d/1Oyf6phoxDUGiryzACmCI2gdTcVIQO0rE/view?usp=drive_link" TargetMode="External"/><Relationship Id="rId3060" Type="http://schemas.openxmlformats.org/officeDocument/2006/relationships/hyperlink" Target="https://osf.io/qbxp7" TargetMode="External"/><Relationship Id="rId3063" Type="http://schemas.openxmlformats.org/officeDocument/2006/relationships/hyperlink" Target="https://drive.google.com/file/d/1Oyf6phoxDUGiryzACmCI2gdTcVIQO0rE/view?usp=drive_link" TargetMode="External"/><Relationship Id="rId3062" Type="http://schemas.openxmlformats.org/officeDocument/2006/relationships/hyperlink" Target="https://osf.io/jdfbm" TargetMode="External"/><Relationship Id="rId3065" Type="http://schemas.openxmlformats.org/officeDocument/2006/relationships/hyperlink" Target="https://osf.io/5fq4r" TargetMode="External"/><Relationship Id="rId3064" Type="http://schemas.openxmlformats.org/officeDocument/2006/relationships/hyperlink" Target="https://osf.io/g6kx3" TargetMode="External"/><Relationship Id="rId3067" Type="http://schemas.openxmlformats.org/officeDocument/2006/relationships/hyperlink" Target="https://osf.io/fzscv" TargetMode="External"/><Relationship Id="rId3066" Type="http://schemas.openxmlformats.org/officeDocument/2006/relationships/hyperlink" Target="https://osf.io/fzscv" TargetMode="External"/><Relationship Id="rId3069" Type="http://schemas.openxmlformats.org/officeDocument/2006/relationships/hyperlink" Target="https://doi.org/10.1037/ebs0000028" TargetMode="External"/><Relationship Id="rId3068" Type="http://schemas.openxmlformats.org/officeDocument/2006/relationships/hyperlink" Target="https://osf.io/fzscv" TargetMode="External"/><Relationship Id="rId3090" Type="http://schemas.openxmlformats.org/officeDocument/2006/relationships/hyperlink" Target="https://osf.io/pqt82" TargetMode="External"/><Relationship Id="rId3092" Type="http://schemas.openxmlformats.org/officeDocument/2006/relationships/hyperlink" Target="https://osf.io/qrbs8" TargetMode="External"/><Relationship Id="rId3091" Type="http://schemas.openxmlformats.org/officeDocument/2006/relationships/hyperlink" Target="https://osf.io/8qrbv" TargetMode="External"/><Relationship Id="rId3094" Type="http://schemas.openxmlformats.org/officeDocument/2006/relationships/hyperlink" Target="https://osf.io/qrbs8" TargetMode="External"/><Relationship Id="rId3093" Type="http://schemas.openxmlformats.org/officeDocument/2006/relationships/hyperlink" Target="https://osf.io/qrbs8" TargetMode="External"/><Relationship Id="rId3096" Type="http://schemas.openxmlformats.org/officeDocument/2006/relationships/hyperlink" Target="https://osf.io/jfhkd" TargetMode="External"/><Relationship Id="rId3095" Type="http://schemas.openxmlformats.org/officeDocument/2006/relationships/hyperlink" Target="https://osf.io/qrbs8" TargetMode="External"/><Relationship Id="rId3098" Type="http://schemas.openxmlformats.org/officeDocument/2006/relationships/hyperlink" Target="https://osf.io/jfhkd" TargetMode="External"/><Relationship Id="rId3097" Type="http://schemas.openxmlformats.org/officeDocument/2006/relationships/hyperlink" Target="https://osf.io/jfhkd" TargetMode="External"/><Relationship Id="rId3099" Type="http://schemas.openxmlformats.org/officeDocument/2006/relationships/hyperlink" Target="https://datacolada.org/87" TargetMode="External"/><Relationship Id="rId3081" Type="http://schemas.openxmlformats.org/officeDocument/2006/relationships/hyperlink" Target="https://osf.io/97eqm" TargetMode="External"/><Relationship Id="rId3080" Type="http://schemas.openxmlformats.org/officeDocument/2006/relationships/hyperlink" Target="https://osf.io/97eqm" TargetMode="External"/><Relationship Id="rId3083" Type="http://schemas.openxmlformats.org/officeDocument/2006/relationships/hyperlink" Target="https://osf.io/97eqm" TargetMode="External"/><Relationship Id="rId3082" Type="http://schemas.openxmlformats.org/officeDocument/2006/relationships/hyperlink" Target="https://osf.io/97eqm" TargetMode="External"/><Relationship Id="rId3085" Type="http://schemas.openxmlformats.org/officeDocument/2006/relationships/hyperlink" Target="https://osf.io/adwmg" TargetMode="External"/><Relationship Id="rId3084" Type="http://schemas.openxmlformats.org/officeDocument/2006/relationships/hyperlink" Target="https://osf.io/adwmg" TargetMode="External"/><Relationship Id="rId3087" Type="http://schemas.openxmlformats.org/officeDocument/2006/relationships/hyperlink" Target="https://osf.io/adwmg" TargetMode="External"/><Relationship Id="rId3086" Type="http://schemas.openxmlformats.org/officeDocument/2006/relationships/hyperlink" Target="https://osf.io/adwmg" TargetMode="External"/><Relationship Id="rId3089" Type="http://schemas.openxmlformats.org/officeDocument/2006/relationships/hyperlink" Target="https://osf.io/8qrbv" TargetMode="External"/><Relationship Id="rId3088" Type="http://schemas.openxmlformats.org/officeDocument/2006/relationships/hyperlink" Target="https://osf.io/pqt82" TargetMode="External"/><Relationship Id="rId3039" Type="http://schemas.openxmlformats.org/officeDocument/2006/relationships/hyperlink" Target="https://drive.google.com/file/d/1Oyf6phoxDUGiryzACmCI2gdTcVIQO0rE/view?usp=drive_link" TargetMode="External"/><Relationship Id="rId1" Type="http://schemas.openxmlformats.org/officeDocument/2006/relationships/comments" Target="../comments1.xml"/><Relationship Id="rId2" Type="http://schemas.openxmlformats.org/officeDocument/2006/relationships/hyperlink" Target="https://doi.org/10.17605/OSF.IO/2ZGF9" TargetMode="External"/><Relationship Id="rId3" Type="http://schemas.openxmlformats.org/officeDocument/2006/relationships/hyperlink" Target="https://doi.org/10.17605/OSF.IO/2ZGF9" TargetMode="External"/><Relationship Id="rId4" Type="http://schemas.openxmlformats.org/officeDocument/2006/relationships/hyperlink" Target="https://osf.io/k2cna" TargetMode="External"/><Relationship Id="rId3030" Type="http://schemas.openxmlformats.org/officeDocument/2006/relationships/hyperlink" Target="https://osf.io/p7952" TargetMode="External"/><Relationship Id="rId9" Type="http://schemas.openxmlformats.org/officeDocument/2006/relationships/hyperlink" Target="https://osf.io/39xuw" TargetMode="External"/><Relationship Id="rId3032" Type="http://schemas.openxmlformats.org/officeDocument/2006/relationships/hyperlink" Target="https://osf.io/p7952" TargetMode="External"/><Relationship Id="rId3031" Type="http://schemas.openxmlformats.org/officeDocument/2006/relationships/hyperlink" Target="https://drive.google.com/file/d/1Oyf6phoxDUGiryzACmCI2gdTcVIQO0rE/view?usp=drive_link" TargetMode="External"/><Relationship Id="rId3034" Type="http://schemas.openxmlformats.org/officeDocument/2006/relationships/hyperlink" Target="https://osf.io/p7952" TargetMode="External"/><Relationship Id="rId3033" Type="http://schemas.openxmlformats.org/officeDocument/2006/relationships/hyperlink" Target="https://drive.google.com/file/d/1Oyf6phoxDUGiryzACmCI2gdTcVIQO0rE/view?usp=drive_link" TargetMode="External"/><Relationship Id="rId5" Type="http://schemas.openxmlformats.org/officeDocument/2006/relationships/hyperlink" Target="https://osf.io/39xuw" TargetMode="External"/><Relationship Id="rId3036" Type="http://schemas.openxmlformats.org/officeDocument/2006/relationships/hyperlink" Target="https://osf.io/p7952" TargetMode="External"/><Relationship Id="rId6" Type="http://schemas.openxmlformats.org/officeDocument/2006/relationships/hyperlink" Target="https://osf.io/39xuw" TargetMode="External"/><Relationship Id="rId3035" Type="http://schemas.openxmlformats.org/officeDocument/2006/relationships/hyperlink" Target="https://drive.google.com/file/d/1Oyf6phoxDUGiryzACmCI2gdTcVIQO0rE/view?usp=drive_link" TargetMode="External"/><Relationship Id="rId7" Type="http://schemas.openxmlformats.org/officeDocument/2006/relationships/hyperlink" Target="http://osf.io/wru8c" TargetMode="External"/><Relationship Id="rId3038" Type="http://schemas.openxmlformats.org/officeDocument/2006/relationships/hyperlink" Target="https://osf.io/p7952" TargetMode="External"/><Relationship Id="rId8" Type="http://schemas.openxmlformats.org/officeDocument/2006/relationships/hyperlink" Target="https://osf.io/39xuw" TargetMode="External"/><Relationship Id="rId3037" Type="http://schemas.openxmlformats.org/officeDocument/2006/relationships/hyperlink" Target="https://drive.google.com/file/d/1Oyf6phoxDUGiryzACmCI2gdTcVIQO0rE/view?usp=drive_link" TargetMode="External"/><Relationship Id="rId3029" Type="http://schemas.openxmlformats.org/officeDocument/2006/relationships/hyperlink" Target="https://drive.google.com/file/d/1Oyf6phoxDUGiryzACmCI2gdTcVIQO0rE/view?usp=drive_link" TargetMode="External"/><Relationship Id="rId3028" Type="http://schemas.openxmlformats.org/officeDocument/2006/relationships/hyperlink" Target="https://osf.io/p7952" TargetMode="External"/><Relationship Id="rId3021" Type="http://schemas.openxmlformats.org/officeDocument/2006/relationships/hyperlink" Target="https://drive.google.com/file/d/1Oyf6phoxDUGiryzACmCI2gdTcVIQO0rE/view?usp=drive_link" TargetMode="External"/><Relationship Id="rId3020" Type="http://schemas.openxmlformats.org/officeDocument/2006/relationships/hyperlink" Target="https://osf.io/zmcsw" TargetMode="External"/><Relationship Id="rId3023" Type="http://schemas.openxmlformats.org/officeDocument/2006/relationships/hyperlink" Target="https://drive.google.com/file/d/1Oyf6phoxDUGiryzACmCI2gdTcVIQO0rE/view?usp=drive_link" TargetMode="External"/><Relationship Id="rId3022" Type="http://schemas.openxmlformats.org/officeDocument/2006/relationships/hyperlink" Target="https://osf.io/p7952" TargetMode="External"/><Relationship Id="rId3025" Type="http://schemas.openxmlformats.org/officeDocument/2006/relationships/hyperlink" Target="https://drive.google.com/file/d/1Oyf6phoxDUGiryzACmCI2gdTcVIQO0rE/view?usp=drive_link" TargetMode="External"/><Relationship Id="rId3024" Type="http://schemas.openxmlformats.org/officeDocument/2006/relationships/hyperlink" Target="https://osf.io/p7952" TargetMode="External"/><Relationship Id="rId3027" Type="http://schemas.openxmlformats.org/officeDocument/2006/relationships/hyperlink" Target="https://drive.google.com/file/d/1Oyf6phoxDUGiryzACmCI2gdTcVIQO0rE/view?usp=drive_link" TargetMode="External"/><Relationship Id="rId3026" Type="http://schemas.openxmlformats.org/officeDocument/2006/relationships/hyperlink" Target="https://osf.io/p7952" TargetMode="External"/><Relationship Id="rId3050" Type="http://schemas.openxmlformats.org/officeDocument/2006/relationships/hyperlink" Target="https://osf.io/43nfd" TargetMode="External"/><Relationship Id="rId3052" Type="http://schemas.openxmlformats.org/officeDocument/2006/relationships/hyperlink" Target="https://osf.io/43nfd" TargetMode="External"/><Relationship Id="rId3051" Type="http://schemas.openxmlformats.org/officeDocument/2006/relationships/hyperlink" Target="https://drive.google.com/file/d/1Oyf6phoxDUGiryzACmCI2gdTcVIQO0rE/view?usp=drive_link" TargetMode="External"/><Relationship Id="rId3054" Type="http://schemas.openxmlformats.org/officeDocument/2006/relationships/hyperlink" Target="https://osf.io/43nfd" TargetMode="External"/><Relationship Id="rId3053" Type="http://schemas.openxmlformats.org/officeDocument/2006/relationships/hyperlink" Target="https://drive.google.com/file/d/1Oyf6phoxDUGiryzACmCI2gdTcVIQO0rE/view?usp=drive_link" TargetMode="External"/><Relationship Id="rId3056" Type="http://schemas.openxmlformats.org/officeDocument/2006/relationships/hyperlink" Target="https://osf.io/qbxp7" TargetMode="External"/><Relationship Id="rId3055" Type="http://schemas.openxmlformats.org/officeDocument/2006/relationships/hyperlink" Target="https://drive.google.com/file/d/1Oyf6phoxDUGiryzACmCI2gdTcVIQO0rE/view?usp=drive_link" TargetMode="External"/><Relationship Id="rId3058" Type="http://schemas.openxmlformats.org/officeDocument/2006/relationships/hyperlink" Target="https://osf.io/qbxp7" TargetMode="External"/><Relationship Id="rId3057" Type="http://schemas.openxmlformats.org/officeDocument/2006/relationships/hyperlink" Target="https://drive.google.com/file/d/1Oyf6phoxDUGiryzACmCI2gdTcVIQO0rE/view?usp=drive_link" TargetMode="External"/><Relationship Id="rId3059" Type="http://schemas.openxmlformats.org/officeDocument/2006/relationships/hyperlink" Target="https://drive.google.com/file/d/1Oyf6phoxDUGiryzACmCI2gdTcVIQO0rE/view?usp=drive_link" TargetMode="External"/><Relationship Id="rId3041" Type="http://schemas.openxmlformats.org/officeDocument/2006/relationships/hyperlink" Target="https://drive.google.com/file/d/1Oyf6phoxDUGiryzACmCI2gdTcVIQO0rE/view?usp=drive_link" TargetMode="External"/><Relationship Id="rId3040" Type="http://schemas.openxmlformats.org/officeDocument/2006/relationships/hyperlink" Target="https://osf.io/p7952" TargetMode="External"/><Relationship Id="rId3043" Type="http://schemas.openxmlformats.org/officeDocument/2006/relationships/hyperlink" Target="https://drive.google.com/file/d/1Oyf6phoxDUGiryzACmCI2gdTcVIQO0rE/view?usp=drive_link" TargetMode="External"/><Relationship Id="rId3042" Type="http://schemas.openxmlformats.org/officeDocument/2006/relationships/hyperlink" Target="https://osf.io/p7952" TargetMode="External"/><Relationship Id="rId3045" Type="http://schemas.openxmlformats.org/officeDocument/2006/relationships/hyperlink" Target="https://drive.google.com/file/d/1Oyf6phoxDUGiryzACmCI2gdTcVIQO0rE/view?usp=drive_link" TargetMode="External"/><Relationship Id="rId3044" Type="http://schemas.openxmlformats.org/officeDocument/2006/relationships/hyperlink" Target="https://osf.io/p7952" TargetMode="External"/><Relationship Id="rId3047" Type="http://schemas.openxmlformats.org/officeDocument/2006/relationships/hyperlink" Target="https://drive.google.com/file/d/1Oyf6phoxDUGiryzACmCI2gdTcVIQO0rE/view?usp=drive_link" TargetMode="External"/><Relationship Id="rId3046" Type="http://schemas.openxmlformats.org/officeDocument/2006/relationships/hyperlink" Target="https://osf.io/p7952" TargetMode="External"/><Relationship Id="rId3049" Type="http://schemas.openxmlformats.org/officeDocument/2006/relationships/hyperlink" Target="https://drive.google.com/file/d/1Oyf6phoxDUGiryzACmCI2gdTcVIQO0rE/view?usp=drive_link" TargetMode="External"/><Relationship Id="rId3048" Type="http://schemas.openxmlformats.org/officeDocument/2006/relationships/hyperlink" Target="https://osf.io/43nfd" TargetMode="External"/><Relationship Id="rId3911" Type="http://schemas.openxmlformats.org/officeDocument/2006/relationships/hyperlink" Target="https://docs.google.com/document/d/1nH8jkHDCOjngPXNkIaS6dDmKQyMeDHyRtWy2TN_HbDw/edit?usp=sharing" TargetMode="External"/><Relationship Id="rId3910" Type="http://schemas.openxmlformats.org/officeDocument/2006/relationships/hyperlink" Target="https://osf.io/jw9zf" TargetMode="External"/><Relationship Id="rId3913" Type="http://schemas.openxmlformats.org/officeDocument/2006/relationships/hyperlink" Target="https://osf.io/jw9zf" TargetMode="External"/><Relationship Id="rId3912" Type="http://schemas.openxmlformats.org/officeDocument/2006/relationships/hyperlink" Target="https://docs.google.com/document/d/1ZzvVmgxDAIPMvYnVrf_XgI9Gayt1hweFIX4Zmxdvoic/edit?usp=sharing" TargetMode="External"/><Relationship Id="rId3915" Type="http://schemas.openxmlformats.org/officeDocument/2006/relationships/hyperlink" Target="https://docs.google.com/document/d/1ZzvVmgxDAIPMvYnVrf_XgI9Gayt1hweFIX4Zmxdvoic/edit?usp=sharing" TargetMode="External"/><Relationship Id="rId3914" Type="http://schemas.openxmlformats.org/officeDocument/2006/relationships/hyperlink" Target="https://docs.google.com/document/d/1nH8jkHDCOjngPXNkIaS6dDmKQyMeDHyRtWy2TN_HbDw/edit?usp=sharing" TargetMode="External"/><Relationship Id="rId3917" Type="http://schemas.openxmlformats.org/officeDocument/2006/relationships/hyperlink" Target="https://docs.google.com/document/d/1nH8jkHDCOjngPXNkIaS6dDmKQyMeDHyRtWy2TN_HbDw/edit?usp=sharing" TargetMode="External"/><Relationship Id="rId3916" Type="http://schemas.openxmlformats.org/officeDocument/2006/relationships/hyperlink" Target="https://osf.io/jw9zf" TargetMode="External"/><Relationship Id="rId3919" Type="http://schemas.openxmlformats.org/officeDocument/2006/relationships/hyperlink" Target="https://osf.io/jw9zf" TargetMode="External"/><Relationship Id="rId3918" Type="http://schemas.openxmlformats.org/officeDocument/2006/relationships/hyperlink" Target="https://docs.google.com/document/d/1ZzvVmgxDAIPMvYnVrf_XgI9Gayt1hweFIX4Zmxdvoic/edit?usp=sharing" TargetMode="External"/><Relationship Id="rId3900" Type="http://schemas.openxmlformats.org/officeDocument/2006/relationships/hyperlink" Target="https://docs.google.com/document/d/1ZzvVmgxDAIPMvYnVrf_XgI9Gayt1hweFIX4Zmxdvoic/edit?usp=sharing" TargetMode="External"/><Relationship Id="rId3902" Type="http://schemas.openxmlformats.org/officeDocument/2006/relationships/hyperlink" Target="https://docs.google.com/document/d/1PJiCAJ0Qn6A9OcFJrFoO0onrlwj-s7zBhuEiFmZNevQ/edit?usp=sharing" TargetMode="External"/><Relationship Id="rId3901" Type="http://schemas.openxmlformats.org/officeDocument/2006/relationships/hyperlink" Target="https://osf.io/jw9zf" TargetMode="External"/><Relationship Id="rId3904" Type="http://schemas.openxmlformats.org/officeDocument/2006/relationships/hyperlink" Target="https://osf.io/jw9zf" TargetMode="External"/><Relationship Id="rId3903" Type="http://schemas.openxmlformats.org/officeDocument/2006/relationships/hyperlink" Target="https://docs.google.com/document/d/1ZzvVmgxDAIPMvYnVrf_XgI9Gayt1hweFIX4Zmxdvoic/edit?usp=sharing" TargetMode="External"/><Relationship Id="rId3906" Type="http://schemas.openxmlformats.org/officeDocument/2006/relationships/hyperlink" Target="https://docs.google.com/document/d/1ZzvVmgxDAIPMvYnVrf_XgI9Gayt1hweFIX4Zmxdvoic/edit?usp=sharing" TargetMode="External"/><Relationship Id="rId3905" Type="http://schemas.openxmlformats.org/officeDocument/2006/relationships/hyperlink" Target="https://docs.google.com/document/d/1Kr-ehXst8FeW1S_je-fLc5seWgpCK1V8E6spqpEBVB4/edit?usp=sharing" TargetMode="External"/><Relationship Id="rId3908" Type="http://schemas.openxmlformats.org/officeDocument/2006/relationships/hyperlink" Target="https://docs.google.com/document/d/1Kr-ehXst8FeW1S_je-fLc5seWgpCK1V8E6spqpEBVB4/edit?usp=sharing" TargetMode="External"/><Relationship Id="rId3907" Type="http://schemas.openxmlformats.org/officeDocument/2006/relationships/hyperlink" Target="https://osf.io/jw9zf" TargetMode="External"/><Relationship Id="rId3909" Type="http://schemas.openxmlformats.org/officeDocument/2006/relationships/hyperlink" Target="https://docs.google.com/document/d/1ZzvVmgxDAIPMvYnVrf_XgI9Gayt1hweFIX4Zmxdvoic/edit?usp=sharing" TargetMode="External"/><Relationship Id="rId2600" Type="http://schemas.openxmlformats.org/officeDocument/2006/relationships/hyperlink" Target="https://doi.org/10.17605/OSF.IO/QP8V3" TargetMode="External"/><Relationship Id="rId3930" Type="http://schemas.openxmlformats.org/officeDocument/2006/relationships/vmlDrawing" Target="../drawings/vmlDrawing1.vml"/><Relationship Id="rId2601" Type="http://schemas.openxmlformats.org/officeDocument/2006/relationships/hyperlink" Target="http://doi.org/10.1007/s13164-018-0400-9" TargetMode="External"/><Relationship Id="rId2602" Type="http://schemas.openxmlformats.org/officeDocument/2006/relationships/hyperlink" Target="https://osf.io/4ewkh" TargetMode="External"/><Relationship Id="rId2603" Type="http://schemas.openxmlformats.org/officeDocument/2006/relationships/hyperlink" Target="https://doi.org/10.17605/OSF.IO/QP8V3" TargetMode="External"/><Relationship Id="rId2604" Type="http://schemas.openxmlformats.org/officeDocument/2006/relationships/hyperlink" Target="https://osf.io/4ewkh" TargetMode="External"/><Relationship Id="rId2605" Type="http://schemas.openxmlformats.org/officeDocument/2006/relationships/hyperlink" Target="https://osf.io/4ewkh" TargetMode="External"/><Relationship Id="rId2606" Type="http://schemas.openxmlformats.org/officeDocument/2006/relationships/hyperlink" Target="https://osf.io/4ewkh" TargetMode="External"/><Relationship Id="rId808" Type="http://schemas.openxmlformats.org/officeDocument/2006/relationships/hyperlink" Target="https://osf.io/sxw48/" TargetMode="External"/><Relationship Id="rId2607" Type="http://schemas.openxmlformats.org/officeDocument/2006/relationships/hyperlink" Target="http://osf.io/dbx75/" TargetMode="External"/><Relationship Id="rId807" Type="http://schemas.openxmlformats.org/officeDocument/2006/relationships/hyperlink" Target="https://osf.io/apgqj" TargetMode="External"/><Relationship Id="rId2608" Type="http://schemas.openxmlformats.org/officeDocument/2006/relationships/hyperlink" Target="http://doi.org/10.1007/s13164-018-0400-9" TargetMode="External"/><Relationship Id="rId806" Type="http://schemas.openxmlformats.org/officeDocument/2006/relationships/hyperlink" Target="https://rpubs.com/kl2018/432454" TargetMode="External"/><Relationship Id="rId2609" Type="http://schemas.openxmlformats.org/officeDocument/2006/relationships/hyperlink" Target="https://osf.io/4ewkh" TargetMode="External"/><Relationship Id="rId805" Type="http://schemas.openxmlformats.org/officeDocument/2006/relationships/hyperlink" Target="https://osf.io/apgqj" TargetMode="External"/><Relationship Id="rId809" Type="http://schemas.openxmlformats.org/officeDocument/2006/relationships/hyperlink" Target="https://osf.io/rjxwe" TargetMode="External"/><Relationship Id="rId800" Type="http://schemas.openxmlformats.org/officeDocument/2006/relationships/hyperlink" Target="https://osf.io/e6cps" TargetMode="External"/><Relationship Id="rId804" Type="http://schemas.openxmlformats.org/officeDocument/2006/relationships/hyperlink" Target="https://rpubs.com/kl2018/432454" TargetMode="External"/><Relationship Id="rId803" Type="http://schemas.openxmlformats.org/officeDocument/2006/relationships/hyperlink" Target="https://osf.io/e6cps" TargetMode="External"/><Relationship Id="rId802" Type="http://schemas.openxmlformats.org/officeDocument/2006/relationships/hyperlink" Target="https://aspredicted.org/sk5up.pdf" TargetMode="External"/><Relationship Id="rId801" Type="http://schemas.openxmlformats.org/officeDocument/2006/relationships/hyperlink" Target="https://rstudio-pubs-static.s3.amazonaws.com/843645_4999687f04a2418cb522a69fb65ceeb8.html" TargetMode="External"/><Relationship Id="rId3920" Type="http://schemas.openxmlformats.org/officeDocument/2006/relationships/hyperlink" Target="https://docs.google.com/document/d/1nH8jkHDCOjngPXNkIaS6dDmKQyMeDHyRtWy2TN_HbDw/edit?usp=sharing" TargetMode="External"/><Relationship Id="rId3922" Type="http://schemas.openxmlformats.org/officeDocument/2006/relationships/hyperlink" Target="https://osf.io/jw9zf" TargetMode="External"/><Relationship Id="rId3921" Type="http://schemas.openxmlformats.org/officeDocument/2006/relationships/hyperlink" Target="https://docs.google.com/document/d/1ZzvVmgxDAIPMvYnVrf_XgI9Gayt1hweFIX4Zmxdvoic/edit?usp=sharing" TargetMode="External"/><Relationship Id="rId3924" Type="http://schemas.openxmlformats.org/officeDocument/2006/relationships/hyperlink" Target="https://docs.google.com/document/d/1ZzvVmgxDAIPMvYnVrf_XgI9Gayt1hweFIX4Zmxdvoic/edit?usp=sharing" TargetMode="External"/><Relationship Id="rId3923" Type="http://schemas.openxmlformats.org/officeDocument/2006/relationships/hyperlink" Target="https://docs.google.com/document/d/1nH8jkHDCOjngPXNkIaS6dDmKQyMeDHyRtWy2TN_HbDw/edit?usp=sharing" TargetMode="External"/><Relationship Id="rId3926" Type="http://schemas.openxmlformats.org/officeDocument/2006/relationships/hyperlink" Target="https://docs.google.com/document/d/1nH8jkHDCOjngPXNkIaS6dDmKQyMeDHyRtWy2TN_HbDw/edit?usp=sharing" TargetMode="External"/><Relationship Id="rId3925" Type="http://schemas.openxmlformats.org/officeDocument/2006/relationships/hyperlink" Target="https://osf.io/jw9zf" TargetMode="External"/><Relationship Id="rId3928" Type="http://schemas.openxmlformats.org/officeDocument/2006/relationships/hyperlink" Target="https://osf.io/jw9zf" TargetMode="External"/><Relationship Id="rId3927" Type="http://schemas.openxmlformats.org/officeDocument/2006/relationships/hyperlink" Target="https://docs.google.com/document/d/1ZzvVmgxDAIPMvYnVrf_XgI9Gayt1hweFIX4Zmxdvoic/edit?usp=sharing" TargetMode="External"/><Relationship Id="rId3929" Type="http://schemas.openxmlformats.org/officeDocument/2006/relationships/drawing" Target="../drawings/drawing1.xml"/><Relationship Id="rId1334" Type="http://schemas.openxmlformats.org/officeDocument/2006/relationships/hyperlink" Target="https://osf.io/4ewkh" TargetMode="External"/><Relationship Id="rId2665" Type="http://schemas.openxmlformats.org/officeDocument/2006/relationships/hyperlink" Target="https://osf.io/ay2ye" TargetMode="External"/><Relationship Id="rId1335" Type="http://schemas.openxmlformats.org/officeDocument/2006/relationships/hyperlink" Target="https://doi.org/10.17605/OSF.IO/HBPXN" TargetMode="External"/><Relationship Id="rId2666" Type="http://schemas.openxmlformats.org/officeDocument/2006/relationships/hyperlink" Target="https://osf.io/gme8f" TargetMode="External"/><Relationship Id="rId1336" Type="http://schemas.openxmlformats.org/officeDocument/2006/relationships/hyperlink" Target="https://osf.io/4ewkh" TargetMode="External"/><Relationship Id="rId2667" Type="http://schemas.openxmlformats.org/officeDocument/2006/relationships/hyperlink" Target="https://osf.io/ay2ye" TargetMode="External"/><Relationship Id="rId1337" Type="http://schemas.openxmlformats.org/officeDocument/2006/relationships/hyperlink" Target="http://osf.io/w9bza/" TargetMode="External"/><Relationship Id="rId2668" Type="http://schemas.openxmlformats.org/officeDocument/2006/relationships/hyperlink" Target="http://doi.org/10.1007/s13164-018-0400-9" TargetMode="External"/><Relationship Id="rId1338" Type="http://schemas.openxmlformats.org/officeDocument/2006/relationships/hyperlink" Target="https://osf.io/4ewkh" TargetMode="External"/><Relationship Id="rId2669" Type="http://schemas.openxmlformats.org/officeDocument/2006/relationships/hyperlink" Target="https://osf.io/4ewkh" TargetMode="External"/><Relationship Id="rId1339" Type="http://schemas.openxmlformats.org/officeDocument/2006/relationships/hyperlink" Target="https://doi.org/10.17605/OSF.IO/26YZU" TargetMode="External"/><Relationship Id="rId745" Type="http://schemas.openxmlformats.org/officeDocument/2006/relationships/hyperlink" Target="https://osf.io/fd9kq" TargetMode="External"/><Relationship Id="rId744" Type="http://schemas.openxmlformats.org/officeDocument/2006/relationships/hyperlink" Target="https://osf.io/92der" TargetMode="External"/><Relationship Id="rId743" Type="http://schemas.openxmlformats.org/officeDocument/2006/relationships/hyperlink" Target="https://rstudio-pubs-static.s3.amazonaws.com/694306_59178dc09b8648e598a3e535876c9246.html" TargetMode="External"/><Relationship Id="rId742" Type="http://schemas.openxmlformats.org/officeDocument/2006/relationships/hyperlink" Target="https://doi.org/10.1098/rsos.231240" TargetMode="External"/><Relationship Id="rId749" Type="http://schemas.openxmlformats.org/officeDocument/2006/relationships/hyperlink" Target="https://osf.io/8e5cg" TargetMode="External"/><Relationship Id="rId748" Type="http://schemas.openxmlformats.org/officeDocument/2006/relationships/hyperlink" Target="https://osf.io/tyvbw" TargetMode="External"/><Relationship Id="rId747" Type="http://schemas.openxmlformats.org/officeDocument/2006/relationships/hyperlink" Target="https://osf.io/fd9kq" TargetMode="External"/><Relationship Id="rId746" Type="http://schemas.openxmlformats.org/officeDocument/2006/relationships/hyperlink" Target="https://osf.io/tyvbw" TargetMode="External"/><Relationship Id="rId2660" Type="http://schemas.openxmlformats.org/officeDocument/2006/relationships/hyperlink" Target="http://doi.org/10.1007/s13164-018-0400-9" TargetMode="External"/><Relationship Id="rId741" Type="http://schemas.openxmlformats.org/officeDocument/2006/relationships/hyperlink" Target="https://rstudio-pubs-static.s3.amazonaws.com/694306_59178dc09b8648e598a3e535876c9246.html" TargetMode="External"/><Relationship Id="rId1330" Type="http://schemas.openxmlformats.org/officeDocument/2006/relationships/hyperlink" Target="https://rpubs.com/lrborchers/450894" TargetMode="External"/><Relationship Id="rId2661" Type="http://schemas.openxmlformats.org/officeDocument/2006/relationships/hyperlink" Target="https://osf.io/4ewkh" TargetMode="External"/><Relationship Id="rId740" Type="http://schemas.openxmlformats.org/officeDocument/2006/relationships/hyperlink" Target="https://osf.io/92der" TargetMode="External"/><Relationship Id="rId1331" Type="http://schemas.openxmlformats.org/officeDocument/2006/relationships/hyperlink" Target="https://doi.org/10.17605/OSF.IO/9VXSF" TargetMode="External"/><Relationship Id="rId2662" Type="http://schemas.openxmlformats.org/officeDocument/2006/relationships/hyperlink" Target="http://osf.io/6yfxz" TargetMode="External"/><Relationship Id="rId1332" Type="http://schemas.openxmlformats.org/officeDocument/2006/relationships/hyperlink" Target="https://rpubs.com/lrborchers/450894" TargetMode="External"/><Relationship Id="rId2663" Type="http://schemas.openxmlformats.org/officeDocument/2006/relationships/hyperlink" Target="http://doi.org/10.1007/s13164-018-0400-9" TargetMode="External"/><Relationship Id="rId1333" Type="http://schemas.openxmlformats.org/officeDocument/2006/relationships/hyperlink" Target="http://osf.io/bv4ep" TargetMode="External"/><Relationship Id="rId2664" Type="http://schemas.openxmlformats.org/officeDocument/2006/relationships/hyperlink" Target="https://osf.io/gme8f" TargetMode="External"/><Relationship Id="rId1323" Type="http://schemas.openxmlformats.org/officeDocument/2006/relationships/hyperlink" Target="https://osf.io/ebhku/" TargetMode="External"/><Relationship Id="rId2654" Type="http://schemas.openxmlformats.org/officeDocument/2006/relationships/hyperlink" Target="http://doi.org/10.1007/s13164-018-0400-9" TargetMode="External"/><Relationship Id="rId1324" Type="http://schemas.openxmlformats.org/officeDocument/2006/relationships/hyperlink" Target="http://osf.io/2ukpq" TargetMode="External"/><Relationship Id="rId2655" Type="http://schemas.openxmlformats.org/officeDocument/2006/relationships/hyperlink" Target="https://osf.io/4ewkh" TargetMode="External"/><Relationship Id="rId1325" Type="http://schemas.openxmlformats.org/officeDocument/2006/relationships/hyperlink" Target="https://doi.org/10.17605/OSF.IO/9E3T5" TargetMode="External"/><Relationship Id="rId2656" Type="http://schemas.openxmlformats.org/officeDocument/2006/relationships/hyperlink" Target="http://osf.io/6yfxz" TargetMode="External"/><Relationship Id="rId1326" Type="http://schemas.openxmlformats.org/officeDocument/2006/relationships/hyperlink" Target="http://osf.io/ka5wv/" TargetMode="External"/><Relationship Id="rId2657" Type="http://schemas.openxmlformats.org/officeDocument/2006/relationships/hyperlink" Target="http://doi.org/10.1007/s13164-018-0400-9" TargetMode="External"/><Relationship Id="rId1327" Type="http://schemas.openxmlformats.org/officeDocument/2006/relationships/hyperlink" Target="https://doi.org/10.17605/OSF.IO/DNQE7" TargetMode="External"/><Relationship Id="rId2658" Type="http://schemas.openxmlformats.org/officeDocument/2006/relationships/hyperlink" Target="https://osf.io/4ewkh" TargetMode="External"/><Relationship Id="rId1328" Type="http://schemas.openxmlformats.org/officeDocument/2006/relationships/hyperlink" Target="https://rpubs.com/lrborchers/450894" TargetMode="External"/><Relationship Id="rId2659" Type="http://schemas.openxmlformats.org/officeDocument/2006/relationships/hyperlink" Target="https://doi.org/10.17605/OSF.IO/THM7D" TargetMode="External"/><Relationship Id="rId1329" Type="http://schemas.openxmlformats.org/officeDocument/2006/relationships/hyperlink" Target="http://osf.io/f5svw" TargetMode="External"/><Relationship Id="rId739" Type="http://schemas.openxmlformats.org/officeDocument/2006/relationships/hyperlink" Target="https://rstudio-pubs-static.s3.amazonaws.com/694306_59178dc09b8648e598a3e535876c9246.html" TargetMode="External"/><Relationship Id="rId734" Type="http://schemas.openxmlformats.org/officeDocument/2006/relationships/hyperlink" Target="https://doi.org/10.1098/rsos.231240" TargetMode="External"/><Relationship Id="rId733" Type="http://schemas.openxmlformats.org/officeDocument/2006/relationships/hyperlink" Target="https://rstudio-pubs-static.s3.amazonaws.com/694306_59178dc09b8648e598a3e535876c9246.html" TargetMode="External"/><Relationship Id="rId732" Type="http://schemas.openxmlformats.org/officeDocument/2006/relationships/hyperlink" Target="https://osf.io/92der" TargetMode="External"/><Relationship Id="rId731" Type="http://schemas.openxmlformats.org/officeDocument/2006/relationships/hyperlink" Target="https://rstudio-pubs-static.s3.amazonaws.com/694306_59178dc09b8648e598a3e535876c9246.html" TargetMode="External"/><Relationship Id="rId738" Type="http://schemas.openxmlformats.org/officeDocument/2006/relationships/hyperlink" Target="https://doi.org/10.1098/rsos.231240" TargetMode="External"/><Relationship Id="rId737" Type="http://schemas.openxmlformats.org/officeDocument/2006/relationships/hyperlink" Target="https://rstudio-pubs-static.s3.amazonaws.com/694306_59178dc09b8648e598a3e535876c9246.html" TargetMode="External"/><Relationship Id="rId736" Type="http://schemas.openxmlformats.org/officeDocument/2006/relationships/hyperlink" Target="https://osf.io/92der" TargetMode="External"/><Relationship Id="rId735" Type="http://schemas.openxmlformats.org/officeDocument/2006/relationships/hyperlink" Target="https://rstudio-pubs-static.s3.amazonaws.com/694306_59178dc09b8648e598a3e535876c9246.html" TargetMode="External"/><Relationship Id="rId730" Type="http://schemas.openxmlformats.org/officeDocument/2006/relationships/hyperlink" Target="https://doi.org/10.1098/rsos.231240" TargetMode="External"/><Relationship Id="rId2650" Type="http://schemas.openxmlformats.org/officeDocument/2006/relationships/hyperlink" Target="http://osf.io/6yfxz" TargetMode="External"/><Relationship Id="rId1320" Type="http://schemas.openxmlformats.org/officeDocument/2006/relationships/hyperlink" Target="https://osf.io/vzmdj" TargetMode="External"/><Relationship Id="rId2651" Type="http://schemas.openxmlformats.org/officeDocument/2006/relationships/hyperlink" Target="http://doi.org/10.1007/s13164-018-0400-9" TargetMode="External"/><Relationship Id="rId1321" Type="http://schemas.openxmlformats.org/officeDocument/2006/relationships/hyperlink" Target="http://osf.io/d8uvg/" TargetMode="External"/><Relationship Id="rId2652" Type="http://schemas.openxmlformats.org/officeDocument/2006/relationships/hyperlink" Target="https://osf.io/4ewkh" TargetMode="External"/><Relationship Id="rId1322" Type="http://schemas.openxmlformats.org/officeDocument/2006/relationships/hyperlink" Target="https://doi.org/10.17605/OSF.IO/M9VRK" TargetMode="External"/><Relationship Id="rId2653" Type="http://schemas.openxmlformats.org/officeDocument/2006/relationships/hyperlink" Target="https://doi.org/10.17605/OSF.IO/THM7D" TargetMode="External"/><Relationship Id="rId1356" Type="http://schemas.openxmlformats.org/officeDocument/2006/relationships/hyperlink" Target="https://osf.io/4ewkh" TargetMode="External"/><Relationship Id="rId2687" Type="http://schemas.openxmlformats.org/officeDocument/2006/relationships/hyperlink" Target="https://osf.io/q267x" TargetMode="External"/><Relationship Id="rId1357" Type="http://schemas.openxmlformats.org/officeDocument/2006/relationships/hyperlink" Target="https://osf.io/mge8r/" TargetMode="External"/><Relationship Id="rId2688" Type="http://schemas.openxmlformats.org/officeDocument/2006/relationships/hyperlink" Target="https://osf.io/4ewkh" TargetMode="External"/><Relationship Id="rId1358" Type="http://schemas.openxmlformats.org/officeDocument/2006/relationships/hyperlink" Target="http://osf.io/pjdkg" TargetMode="External"/><Relationship Id="rId2689" Type="http://schemas.openxmlformats.org/officeDocument/2006/relationships/hyperlink" Target="https://osf.io/3g3hv" TargetMode="External"/><Relationship Id="rId1359" Type="http://schemas.openxmlformats.org/officeDocument/2006/relationships/hyperlink" Target="https://osf.io/4ewkh" TargetMode="External"/><Relationship Id="rId767" Type="http://schemas.openxmlformats.org/officeDocument/2006/relationships/hyperlink" Target="https://osf.io/5fzqp/" TargetMode="External"/><Relationship Id="rId766" Type="http://schemas.openxmlformats.org/officeDocument/2006/relationships/hyperlink" Target="https://osf.io/8e5cg" TargetMode="External"/><Relationship Id="rId765" Type="http://schemas.openxmlformats.org/officeDocument/2006/relationships/hyperlink" Target="https://rstudio-pubs-static.s3.amazonaws.com/695666_50d31a83674d49bd8c1f5c55c3647f10.html" TargetMode="External"/><Relationship Id="rId764" Type="http://schemas.openxmlformats.org/officeDocument/2006/relationships/hyperlink" Target="https://rstudio-pubs-static.s3.amazonaws.com/695666_50d31a83674d49bd8c1f5c55c3647f10.html" TargetMode="External"/><Relationship Id="rId769" Type="http://schemas.openxmlformats.org/officeDocument/2006/relationships/hyperlink" Target="https://osf.io/4uj6v" TargetMode="External"/><Relationship Id="rId768" Type="http://schemas.openxmlformats.org/officeDocument/2006/relationships/hyperlink" Target="https://osf.io/kspm6" TargetMode="External"/><Relationship Id="rId2680" Type="http://schemas.openxmlformats.org/officeDocument/2006/relationships/hyperlink" Target="http://doi.org/10.1007/s13164-018-0400-9" TargetMode="External"/><Relationship Id="rId1350" Type="http://schemas.openxmlformats.org/officeDocument/2006/relationships/hyperlink" Target="https://osf.io/4ewkh" TargetMode="External"/><Relationship Id="rId2681" Type="http://schemas.openxmlformats.org/officeDocument/2006/relationships/hyperlink" Target="https://osf.io/qju6y" TargetMode="External"/><Relationship Id="rId1351" Type="http://schemas.openxmlformats.org/officeDocument/2006/relationships/hyperlink" Target="https://doi.org/10.17605/OSF.IO/69DQC" TargetMode="External"/><Relationship Id="rId2682" Type="http://schemas.openxmlformats.org/officeDocument/2006/relationships/hyperlink" Target="https://osf.io/4ewkh" TargetMode="External"/><Relationship Id="rId763" Type="http://schemas.openxmlformats.org/officeDocument/2006/relationships/hyperlink" Target="https://osf.io/8e5cg" TargetMode="External"/><Relationship Id="rId1352" Type="http://schemas.openxmlformats.org/officeDocument/2006/relationships/hyperlink" Target="https://osf.io/4ewkh" TargetMode="External"/><Relationship Id="rId2683" Type="http://schemas.openxmlformats.org/officeDocument/2006/relationships/hyperlink" Target="https://osf.io/7en89" TargetMode="External"/><Relationship Id="rId762" Type="http://schemas.openxmlformats.org/officeDocument/2006/relationships/hyperlink" Target="https://rstudio-pubs-static.s3.amazonaws.com/695666_50d31a83674d49bd8c1f5c55c3647f10.html" TargetMode="External"/><Relationship Id="rId1353" Type="http://schemas.openxmlformats.org/officeDocument/2006/relationships/hyperlink" Target="http://osf.io/pjdkg" TargetMode="External"/><Relationship Id="rId2684" Type="http://schemas.openxmlformats.org/officeDocument/2006/relationships/hyperlink" Target="https://osf.io/qju6y" TargetMode="External"/><Relationship Id="rId761" Type="http://schemas.openxmlformats.org/officeDocument/2006/relationships/hyperlink" Target="https://rstudio-pubs-static.s3.amazonaws.com/695666_50d31a83674d49bd8c1f5c55c3647f10.html" TargetMode="External"/><Relationship Id="rId1354" Type="http://schemas.openxmlformats.org/officeDocument/2006/relationships/hyperlink" Target="https://osf.io/4ewkh" TargetMode="External"/><Relationship Id="rId2685" Type="http://schemas.openxmlformats.org/officeDocument/2006/relationships/hyperlink" Target="https://osf.io/7en89" TargetMode="External"/><Relationship Id="rId760" Type="http://schemas.openxmlformats.org/officeDocument/2006/relationships/hyperlink" Target="https://osf.io/8e5cg" TargetMode="External"/><Relationship Id="rId1355" Type="http://schemas.openxmlformats.org/officeDocument/2006/relationships/hyperlink" Target="https://doi.org/10.17605/OSF.IO/69DQC" TargetMode="External"/><Relationship Id="rId2686" Type="http://schemas.openxmlformats.org/officeDocument/2006/relationships/hyperlink" Target="http://doi.org/10.1007/s13164-018-0400-9" TargetMode="External"/><Relationship Id="rId1345" Type="http://schemas.openxmlformats.org/officeDocument/2006/relationships/hyperlink" Target="https://osf.io/4ewkh" TargetMode="External"/><Relationship Id="rId2676" Type="http://schemas.openxmlformats.org/officeDocument/2006/relationships/hyperlink" Target="https://doi.org/10.17605/OSF.IO/AY2YE" TargetMode="External"/><Relationship Id="rId1346" Type="http://schemas.openxmlformats.org/officeDocument/2006/relationships/hyperlink" Target="https://osf.io/4ewkh" TargetMode="External"/><Relationship Id="rId2677" Type="http://schemas.openxmlformats.org/officeDocument/2006/relationships/hyperlink" Target="http://doi.org/10.1007/s13164-018-0400-9" TargetMode="External"/><Relationship Id="rId1347" Type="http://schemas.openxmlformats.org/officeDocument/2006/relationships/hyperlink" Target="https://doi.org/10.17605/OSF.IO/N5ZSX" TargetMode="External"/><Relationship Id="rId2678" Type="http://schemas.openxmlformats.org/officeDocument/2006/relationships/hyperlink" Target="https://osf.io/4ewkh" TargetMode="External"/><Relationship Id="rId1348" Type="http://schemas.openxmlformats.org/officeDocument/2006/relationships/hyperlink" Target="https://osf.io/4ewkh" TargetMode="External"/><Relationship Id="rId2679" Type="http://schemas.openxmlformats.org/officeDocument/2006/relationships/hyperlink" Target="https://doi.org/10.17605/OSF.IO/AY2YE" TargetMode="External"/><Relationship Id="rId1349" Type="http://schemas.openxmlformats.org/officeDocument/2006/relationships/hyperlink" Target="http://osf.io/pjdkg" TargetMode="External"/><Relationship Id="rId756" Type="http://schemas.openxmlformats.org/officeDocument/2006/relationships/hyperlink" Target="https://rstudio-pubs-static.s3.amazonaws.com/695666_50d31a83674d49bd8c1f5c55c3647f10.html" TargetMode="External"/><Relationship Id="rId755" Type="http://schemas.openxmlformats.org/officeDocument/2006/relationships/hyperlink" Target="https://osf.io/8e5cg" TargetMode="External"/><Relationship Id="rId754" Type="http://schemas.openxmlformats.org/officeDocument/2006/relationships/hyperlink" Target="https://rstudio-pubs-static.s3.amazonaws.com/695666_50d31a83674d49bd8c1f5c55c3647f10.html" TargetMode="External"/><Relationship Id="rId753" Type="http://schemas.openxmlformats.org/officeDocument/2006/relationships/hyperlink" Target="https://rstudio-pubs-static.s3.amazonaws.com/695666_50d31a83674d49bd8c1f5c55c3647f10.html" TargetMode="External"/><Relationship Id="rId759" Type="http://schemas.openxmlformats.org/officeDocument/2006/relationships/hyperlink" Target="https://rstudio-pubs-static.s3.amazonaws.com/695666_50d31a83674d49bd8c1f5c55c3647f10.html" TargetMode="External"/><Relationship Id="rId758" Type="http://schemas.openxmlformats.org/officeDocument/2006/relationships/hyperlink" Target="https://osf.io/8e5cg" TargetMode="External"/><Relationship Id="rId757" Type="http://schemas.openxmlformats.org/officeDocument/2006/relationships/hyperlink" Target="https://rstudio-pubs-static.s3.amazonaws.com/695666_50d31a83674d49bd8c1f5c55c3647f10.html" TargetMode="External"/><Relationship Id="rId2670" Type="http://schemas.openxmlformats.org/officeDocument/2006/relationships/hyperlink" Target="https://doi.org/10.17605/OSF.IO/AY2YE" TargetMode="External"/><Relationship Id="rId1340" Type="http://schemas.openxmlformats.org/officeDocument/2006/relationships/hyperlink" Target="https://osf.io/4ewkh" TargetMode="External"/><Relationship Id="rId2671" Type="http://schemas.openxmlformats.org/officeDocument/2006/relationships/hyperlink" Target="http://doi.org/10.1007/s13164-018-0400-9" TargetMode="External"/><Relationship Id="rId752" Type="http://schemas.openxmlformats.org/officeDocument/2006/relationships/hyperlink" Target="https://osf.io/8e5cg" TargetMode="External"/><Relationship Id="rId1341" Type="http://schemas.openxmlformats.org/officeDocument/2006/relationships/hyperlink" Target="https://osf.io/4ewkh" TargetMode="External"/><Relationship Id="rId2672" Type="http://schemas.openxmlformats.org/officeDocument/2006/relationships/hyperlink" Target="https://osf.io/4ewkh" TargetMode="External"/><Relationship Id="rId751" Type="http://schemas.openxmlformats.org/officeDocument/2006/relationships/hyperlink" Target="https://rstudio-pubs-static.s3.amazonaws.com/695666_50d31a83674d49bd8c1f5c55c3647f10.html" TargetMode="External"/><Relationship Id="rId1342" Type="http://schemas.openxmlformats.org/officeDocument/2006/relationships/hyperlink" Target="https://aspredicted.org/blind.php?x=fx3kz7" TargetMode="External"/><Relationship Id="rId2673" Type="http://schemas.openxmlformats.org/officeDocument/2006/relationships/hyperlink" Target="https://doi.org/10.17605/OSF.IO/AY2YE" TargetMode="External"/><Relationship Id="rId750" Type="http://schemas.openxmlformats.org/officeDocument/2006/relationships/hyperlink" Target="https://rstudio-pubs-static.s3.amazonaws.com/695666_50d31a83674d49bd8c1f5c55c3647f10.html" TargetMode="External"/><Relationship Id="rId1343" Type="http://schemas.openxmlformats.org/officeDocument/2006/relationships/hyperlink" Target="https://osf.io/4ewkh" TargetMode="External"/><Relationship Id="rId2674" Type="http://schemas.openxmlformats.org/officeDocument/2006/relationships/hyperlink" Target="http://doi.org/10.1007/s13164-018-0400-9" TargetMode="External"/><Relationship Id="rId1344" Type="http://schemas.openxmlformats.org/officeDocument/2006/relationships/hyperlink" Target="https://doi.org/10.17605/OSF.IO/Q2E5K" TargetMode="External"/><Relationship Id="rId2675" Type="http://schemas.openxmlformats.org/officeDocument/2006/relationships/hyperlink" Target="https://osf.io/4ewkh" TargetMode="External"/><Relationship Id="rId2621" Type="http://schemas.openxmlformats.org/officeDocument/2006/relationships/hyperlink" Target="http://doi.org/10.1007/s13164-018-0400-9" TargetMode="External"/><Relationship Id="rId2622" Type="http://schemas.openxmlformats.org/officeDocument/2006/relationships/hyperlink" Target="https://osf.io/pvem4" TargetMode="External"/><Relationship Id="rId2623" Type="http://schemas.openxmlformats.org/officeDocument/2006/relationships/hyperlink" Target="https://osf.io/pvem4" TargetMode="External"/><Relationship Id="rId2624" Type="http://schemas.openxmlformats.org/officeDocument/2006/relationships/hyperlink" Target="http://osf.io/s37h6/" TargetMode="External"/><Relationship Id="rId2625" Type="http://schemas.openxmlformats.org/officeDocument/2006/relationships/hyperlink" Target="http://doi.org/10.1007/s13164-018-0400-9" TargetMode="External"/><Relationship Id="rId2626" Type="http://schemas.openxmlformats.org/officeDocument/2006/relationships/hyperlink" Target="https://osf.io/skw9u" TargetMode="External"/><Relationship Id="rId2627" Type="http://schemas.openxmlformats.org/officeDocument/2006/relationships/hyperlink" Target="https://osf.io/skw9u" TargetMode="External"/><Relationship Id="rId2628" Type="http://schemas.openxmlformats.org/officeDocument/2006/relationships/hyperlink" Target="http://osf.io/6yfxz" TargetMode="External"/><Relationship Id="rId709" Type="http://schemas.openxmlformats.org/officeDocument/2006/relationships/hyperlink" Target="https://osf.io/fdh4m/" TargetMode="External"/><Relationship Id="rId2629" Type="http://schemas.openxmlformats.org/officeDocument/2006/relationships/hyperlink" Target="http://doi.org/10.1007/s13164-018-0400-9" TargetMode="External"/><Relationship Id="rId708" Type="http://schemas.openxmlformats.org/officeDocument/2006/relationships/hyperlink" Target="https://osf.io/fdh4m/" TargetMode="External"/><Relationship Id="rId707" Type="http://schemas.openxmlformats.org/officeDocument/2006/relationships/hyperlink" Target="https://osf.io/fdh4m/" TargetMode="External"/><Relationship Id="rId706" Type="http://schemas.openxmlformats.org/officeDocument/2006/relationships/hyperlink" Target="https://aspredicted.org/G5N_YRH" TargetMode="External"/><Relationship Id="rId701" Type="http://schemas.openxmlformats.org/officeDocument/2006/relationships/hyperlink" Target="https://aspredicted.org/YZ9_THH" TargetMode="External"/><Relationship Id="rId700" Type="http://schemas.openxmlformats.org/officeDocument/2006/relationships/hyperlink" Target="https://aspredicted.org/YZ9_THH" TargetMode="External"/><Relationship Id="rId705" Type="http://schemas.openxmlformats.org/officeDocument/2006/relationships/hyperlink" Target="https://aspredicted.org/G5N_YRH" TargetMode="External"/><Relationship Id="rId704" Type="http://schemas.openxmlformats.org/officeDocument/2006/relationships/hyperlink" Target="https://osf.io/fdh4m/" TargetMode="External"/><Relationship Id="rId703" Type="http://schemas.openxmlformats.org/officeDocument/2006/relationships/hyperlink" Target="https://osf.io/fdh4m/" TargetMode="External"/><Relationship Id="rId702" Type="http://schemas.openxmlformats.org/officeDocument/2006/relationships/hyperlink" Target="https://osf.io/fdh4m/" TargetMode="External"/><Relationship Id="rId2620" Type="http://schemas.openxmlformats.org/officeDocument/2006/relationships/hyperlink" Target="http://osf.io/pfng2" TargetMode="External"/><Relationship Id="rId2610" Type="http://schemas.openxmlformats.org/officeDocument/2006/relationships/hyperlink" Target="https://doi.org/10.17605/OSF.IO/5NZ6W" TargetMode="External"/><Relationship Id="rId2611" Type="http://schemas.openxmlformats.org/officeDocument/2006/relationships/hyperlink" Target="http://osf.io/ejmyw" TargetMode="External"/><Relationship Id="rId2612" Type="http://schemas.openxmlformats.org/officeDocument/2006/relationships/hyperlink" Target="https://osf.io/fymue" TargetMode="External"/><Relationship Id="rId2613" Type="http://schemas.openxmlformats.org/officeDocument/2006/relationships/hyperlink" Target="http://doi.org/10.1007/s13164-018-0400-9" TargetMode="External"/><Relationship Id="rId2614" Type="http://schemas.openxmlformats.org/officeDocument/2006/relationships/hyperlink" Target="https://osf.io/4ewkh" TargetMode="External"/><Relationship Id="rId2615" Type="http://schemas.openxmlformats.org/officeDocument/2006/relationships/hyperlink" Target="https://doi.org/10.17605/OSF.IO/5NZ6W" TargetMode="External"/><Relationship Id="rId2616" Type="http://schemas.openxmlformats.org/officeDocument/2006/relationships/hyperlink" Target="http://doi.org/10.1007/s13164-018-0400-9" TargetMode="External"/><Relationship Id="rId2617" Type="http://schemas.openxmlformats.org/officeDocument/2006/relationships/hyperlink" Target="https://osf.io/4ewkh" TargetMode="External"/><Relationship Id="rId2618" Type="http://schemas.openxmlformats.org/officeDocument/2006/relationships/hyperlink" Target="https://doi.org/10.17605/OSF.IO/SSDMT" TargetMode="External"/><Relationship Id="rId2619" Type="http://schemas.openxmlformats.org/officeDocument/2006/relationships/hyperlink" Target="http://osf.io/qdekc/" TargetMode="External"/><Relationship Id="rId1312" Type="http://schemas.openxmlformats.org/officeDocument/2006/relationships/hyperlink" Target="https://doi.org/10.17605/OSF.IO/3G3HV" TargetMode="External"/><Relationship Id="rId2643" Type="http://schemas.openxmlformats.org/officeDocument/2006/relationships/hyperlink" Target="https://osf.io/4ewkh" TargetMode="External"/><Relationship Id="rId1313" Type="http://schemas.openxmlformats.org/officeDocument/2006/relationships/hyperlink" Target="http://osf.io/rpkjk/" TargetMode="External"/><Relationship Id="rId2644" Type="http://schemas.openxmlformats.org/officeDocument/2006/relationships/hyperlink" Target="http://osf.io/6yfxz" TargetMode="External"/><Relationship Id="rId1314" Type="http://schemas.openxmlformats.org/officeDocument/2006/relationships/hyperlink" Target="https://doi.org/10.17605/OSF.IO/Y62DH" TargetMode="External"/><Relationship Id="rId2645" Type="http://schemas.openxmlformats.org/officeDocument/2006/relationships/hyperlink" Target="http://doi.org/10.1007/s13164-018-0400-9" TargetMode="External"/><Relationship Id="rId1315" Type="http://schemas.openxmlformats.org/officeDocument/2006/relationships/hyperlink" Target="http://osf.io/xrhqe/" TargetMode="External"/><Relationship Id="rId2646" Type="http://schemas.openxmlformats.org/officeDocument/2006/relationships/hyperlink" Target="https://osf.io/4ewkh" TargetMode="External"/><Relationship Id="rId1316" Type="http://schemas.openxmlformats.org/officeDocument/2006/relationships/hyperlink" Target="https://doi.org/10.17605/OSF.IO/W62XY" TargetMode="External"/><Relationship Id="rId2647" Type="http://schemas.openxmlformats.org/officeDocument/2006/relationships/hyperlink" Target="https://doi.org/10.17605/OSF.IO/THM7D" TargetMode="External"/><Relationship Id="rId1317" Type="http://schemas.openxmlformats.org/officeDocument/2006/relationships/hyperlink" Target="http://osf.io/7e8hz" TargetMode="External"/><Relationship Id="rId2648" Type="http://schemas.openxmlformats.org/officeDocument/2006/relationships/hyperlink" Target="http://doi.org/10.1007/s13164-018-0400-9" TargetMode="External"/><Relationship Id="rId1318" Type="http://schemas.openxmlformats.org/officeDocument/2006/relationships/hyperlink" Target="https://osf.io/92qp3/." TargetMode="External"/><Relationship Id="rId2649" Type="http://schemas.openxmlformats.org/officeDocument/2006/relationships/hyperlink" Target="https://osf.io/4ewkh" TargetMode="External"/><Relationship Id="rId1319" Type="http://schemas.openxmlformats.org/officeDocument/2006/relationships/hyperlink" Target="https://doi.org/10.17605/OSF.IO/R3KTH" TargetMode="External"/><Relationship Id="rId729" Type="http://schemas.openxmlformats.org/officeDocument/2006/relationships/hyperlink" Target="https://rstudio-pubs-static.s3.amazonaws.com/694306_59178dc09b8648e598a3e535876c9246.html" TargetMode="External"/><Relationship Id="rId728" Type="http://schemas.openxmlformats.org/officeDocument/2006/relationships/hyperlink" Target="https://osf.io/92der" TargetMode="External"/><Relationship Id="rId723" Type="http://schemas.openxmlformats.org/officeDocument/2006/relationships/hyperlink" Target="https://rstudio-pubs-static.s3.amazonaws.com/694306_59178dc09b8648e598a3e535876c9246.html" TargetMode="External"/><Relationship Id="rId722" Type="http://schemas.openxmlformats.org/officeDocument/2006/relationships/hyperlink" Target="https://doi.org/10.1098/rsos.231240" TargetMode="External"/><Relationship Id="rId721" Type="http://schemas.openxmlformats.org/officeDocument/2006/relationships/hyperlink" Target="https://rstudio-pubs-static.s3.amazonaws.com/694306_59178dc09b8648e598a3e535876c9246.html" TargetMode="External"/><Relationship Id="rId720" Type="http://schemas.openxmlformats.org/officeDocument/2006/relationships/hyperlink" Target="https://osf.io/92der" TargetMode="External"/><Relationship Id="rId727" Type="http://schemas.openxmlformats.org/officeDocument/2006/relationships/hyperlink" Target="https://rstudio-pubs-static.s3.amazonaws.com/694306_59178dc09b8648e598a3e535876c9246.html" TargetMode="External"/><Relationship Id="rId726" Type="http://schemas.openxmlformats.org/officeDocument/2006/relationships/hyperlink" Target="https://doi.org/10.1098/rsos.231240" TargetMode="External"/><Relationship Id="rId725" Type="http://schemas.openxmlformats.org/officeDocument/2006/relationships/hyperlink" Target="https://rstudio-pubs-static.s3.amazonaws.com/694306_59178dc09b8648e598a3e535876c9246.html" TargetMode="External"/><Relationship Id="rId724" Type="http://schemas.openxmlformats.org/officeDocument/2006/relationships/hyperlink" Target="https://osf.io/92der" TargetMode="External"/><Relationship Id="rId2640" Type="http://schemas.openxmlformats.org/officeDocument/2006/relationships/hyperlink" Target="https://osf.io/exqch" TargetMode="External"/><Relationship Id="rId1310" Type="http://schemas.openxmlformats.org/officeDocument/2006/relationships/hyperlink" Target="https://doi.org/10.17605/OSF.IO/7EN89" TargetMode="External"/><Relationship Id="rId2641" Type="http://schemas.openxmlformats.org/officeDocument/2006/relationships/hyperlink" Target="https://doi.org/10.17605/OSF.IO/THM7D" TargetMode="External"/><Relationship Id="rId1311" Type="http://schemas.openxmlformats.org/officeDocument/2006/relationships/hyperlink" Target="http://osf.io/ggw7c/" TargetMode="External"/><Relationship Id="rId2642" Type="http://schemas.openxmlformats.org/officeDocument/2006/relationships/hyperlink" Target="http://doi.org/10.1007/s13164-018-0400-9" TargetMode="External"/><Relationship Id="rId1301" Type="http://schemas.openxmlformats.org/officeDocument/2006/relationships/hyperlink" Target="http://osf.io/qdekc/" TargetMode="External"/><Relationship Id="rId2632" Type="http://schemas.openxmlformats.org/officeDocument/2006/relationships/hyperlink" Target="http://doi.org/10.1007/s13164-018-0400-9" TargetMode="External"/><Relationship Id="rId1302" Type="http://schemas.openxmlformats.org/officeDocument/2006/relationships/hyperlink" Target="https://doi.org/10.1177/0146167215580776" TargetMode="External"/><Relationship Id="rId2633" Type="http://schemas.openxmlformats.org/officeDocument/2006/relationships/hyperlink" Target="https://osf.io/4ewkh" TargetMode="External"/><Relationship Id="rId1303" Type="http://schemas.openxmlformats.org/officeDocument/2006/relationships/hyperlink" Target="http://osf.io/pfng2" TargetMode="External"/><Relationship Id="rId2634" Type="http://schemas.openxmlformats.org/officeDocument/2006/relationships/hyperlink" Target="https://doi.org/10.17605/OSF.IO/THM7D" TargetMode="External"/><Relationship Id="rId1304" Type="http://schemas.openxmlformats.org/officeDocument/2006/relationships/hyperlink" Target="http://osf.io/s37h6/" TargetMode="External"/><Relationship Id="rId2635" Type="http://schemas.openxmlformats.org/officeDocument/2006/relationships/hyperlink" Target="http://doi.org/10.1007/s13164-018-0400-9" TargetMode="External"/><Relationship Id="rId1305" Type="http://schemas.openxmlformats.org/officeDocument/2006/relationships/hyperlink" Target="http://osf.io/s37h6/" TargetMode="External"/><Relationship Id="rId2636" Type="http://schemas.openxmlformats.org/officeDocument/2006/relationships/hyperlink" Target="https://osf.io/4ewkh" TargetMode="External"/><Relationship Id="rId1306" Type="http://schemas.openxmlformats.org/officeDocument/2006/relationships/hyperlink" Target="https://doi.org/10.17605/OSF.IO/THM7D" TargetMode="External"/><Relationship Id="rId2637" Type="http://schemas.openxmlformats.org/officeDocument/2006/relationships/hyperlink" Target="http://osf.io/6yfxz" TargetMode="External"/><Relationship Id="rId1307" Type="http://schemas.openxmlformats.org/officeDocument/2006/relationships/hyperlink" Target="http://osf.io/6yfxz" TargetMode="External"/><Relationship Id="rId2638" Type="http://schemas.openxmlformats.org/officeDocument/2006/relationships/hyperlink" Target="http://doi.org/10.1007/s13164-018-0400-9" TargetMode="External"/><Relationship Id="rId1308" Type="http://schemas.openxmlformats.org/officeDocument/2006/relationships/hyperlink" Target="https://doi.org/10.17605/OSF.IO/AY2YE" TargetMode="External"/><Relationship Id="rId2639" Type="http://schemas.openxmlformats.org/officeDocument/2006/relationships/hyperlink" Target="https://osf.io/4ewkh" TargetMode="External"/><Relationship Id="rId1309" Type="http://schemas.openxmlformats.org/officeDocument/2006/relationships/hyperlink" Target="http://osf.io/k89fc" TargetMode="External"/><Relationship Id="rId719" Type="http://schemas.openxmlformats.org/officeDocument/2006/relationships/hyperlink" Target="https://docs.google.com/spreadsheets/d/1GZtAzaS9SynEVwyT-fs-bVPDZh374b78kaKIWves5pM/edit?gid=288814287" TargetMode="External"/><Relationship Id="rId718" Type="http://schemas.openxmlformats.org/officeDocument/2006/relationships/hyperlink" Target="https://doi.org/10.1098/rsos.231240" TargetMode="External"/><Relationship Id="rId717" Type="http://schemas.openxmlformats.org/officeDocument/2006/relationships/hyperlink" Target="https://rstudio-pubs-static.s3.amazonaws.com/694306_59178dc09b8648e598a3e535876c9246.html" TargetMode="External"/><Relationship Id="rId712" Type="http://schemas.openxmlformats.org/officeDocument/2006/relationships/hyperlink" Target="https://osf.io/xwn9m/" TargetMode="External"/><Relationship Id="rId711" Type="http://schemas.openxmlformats.org/officeDocument/2006/relationships/hyperlink" Target="https://aspredicted.org/737_DYZ" TargetMode="External"/><Relationship Id="rId710" Type="http://schemas.openxmlformats.org/officeDocument/2006/relationships/hyperlink" Target="https://aspredicted.org/737_DYZ" TargetMode="External"/><Relationship Id="rId716" Type="http://schemas.openxmlformats.org/officeDocument/2006/relationships/hyperlink" Target="https://osf.io/t3rpq" TargetMode="External"/><Relationship Id="rId715" Type="http://schemas.openxmlformats.org/officeDocument/2006/relationships/hyperlink" Target="https://rstudio-pubs-static.s3.amazonaws.com/817655_c94c0f2142fc466fa36a6790ee3fcdde.html" TargetMode="External"/><Relationship Id="rId714" Type="http://schemas.openxmlformats.org/officeDocument/2006/relationships/hyperlink" Target="https://rstudio-pubs-static.s3.amazonaws.com/817655_c94c0f2142fc466fa36a6790ee3fcdde.html" TargetMode="External"/><Relationship Id="rId713" Type="http://schemas.openxmlformats.org/officeDocument/2006/relationships/hyperlink" Target="https://osf.io/kspm6" TargetMode="External"/><Relationship Id="rId2630" Type="http://schemas.openxmlformats.org/officeDocument/2006/relationships/hyperlink" Target="https://osf.io/4ewkh" TargetMode="External"/><Relationship Id="rId1300" Type="http://schemas.openxmlformats.org/officeDocument/2006/relationships/hyperlink" Target="https://doi.org/10.17605/OSF.IO/SSDMT" TargetMode="External"/><Relationship Id="rId2631" Type="http://schemas.openxmlformats.org/officeDocument/2006/relationships/hyperlink" Target="http://osf.io/6yfxz" TargetMode="External"/><Relationship Id="rId3117" Type="http://schemas.openxmlformats.org/officeDocument/2006/relationships/hyperlink" Target="https://osf.io/d3xb7/registrations" TargetMode="External"/><Relationship Id="rId3116" Type="http://schemas.openxmlformats.org/officeDocument/2006/relationships/hyperlink" Target="https://drive.google.com/file/d/17mZvRs3ue7pXwqu8bmIDvgNdc95PGEcV/view" TargetMode="External"/><Relationship Id="rId3119" Type="http://schemas.openxmlformats.org/officeDocument/2006/relationships/hyperlink" Target="https://osf.io/d3xb7/registrations" TargetMode="External"/><Relationship Id="rId3118" Type="http://schemas.openxmlformats.org/officeDocument/2006/relationships/hyperlink" Target="https://drive.google.com/file/d/17mZvRs3ue7pXwqu8bmIDvgNdc95PGEcV/view" TargetMode="External"/><Relationship Id="rId3111" Type="http://schemas.openxmlformats.org/officeDocument/2006/relationships/hyperlink" Target="https://osf.io/gea2s" TargetMode="External"/><Relationship Id="rId3110" Type="http://schemas.openxmlformats.org/officeDocument/2006/relationships/hyperlink" Target="https://osf.io/gea2s" TargetMode="External"/><Relationship Id="rId3113" Type="http://schemas.openxmlformats.org/officeDocument/2006/relationships/hyperlink" Target="https://osf.io/gea2s" TargetMode="External"/><Relationship Id="rId3112" Type="http://schemas.openxmlformats.org/officeDocument/2006/relationships/hyperlink" Target="https://osf.io/gea2s" TargetMode="External"/><Relationship Id="rId3115" Type="http://schemas.openxmlformats.org/officeDocument/2006/relationships/hyperlink" Target="https://osf.io/fb8fj" TargetMode="External"/><Relationship Id="rId3114" Type="http://schemas.openxmlformats.org/officeDocument/2006/relationships/hyperlink" Target="https://osf.io/fb8fj" TargetMode="External"/><Relationship Id="rId3106" Type="http://schemas.openxmlformats.org/officeDocument/2006/relationships/hyperlink" Target="https://pubmed.ncbi.nlm.nih.gov/37917442/" TargetMode="External"/><Relationship Id="rId3105" Type="http://schemas.openxmlformats.org/officeDocument/2006/relationships/hyperlink" Target="https://pubmed.ncbi.nlm.nih.gov/37917442/" TargetMode="External"/><Relationship Id="rId3108" Type="http://schemas.openxmlformats.org/officeDocument/2006/relationships/hyperlink" Target="https://osf.io/y3bqa/" TargetMode="External"/><Relationship Id="rId3107" Type="http://schemas.openxmlformats.org/officeDocument/2006/relationships/hyperlink" Target="https://osf.io/y3bqa/" TargetMode="External"/><Relationship Id="rId3109" Type="http://schemas.openxmlformats.org/officeDocument/2006/relationships/hyperlink" Target="https://osf.io/y3bqa/" TargetMode="External"/><Relationship Id="rId3100" Type="http://schemas.openxmlformats.org/officeDocument/2006/relationships/hyperlink" Target="https://aspredicted.org/d92dd.pdf" TargetMode="External"/><Relationship Id="rId3102" Type="http://schemas.openxmlformats.org/officeDocument/2006/relationships/hyperlink" Target="https://aspredicted.org/md5q8.pdf" TargetMode="External"/><Relationship Id="rId3101" Type="http://schemas.openxmlformats.org/officeDocument/2006/relationships/hyperlink" Target="https://datacolada.org/89" TargetMode="External"/><Relationship Id="rId3104" Type="http://schemas.openxmlformats.org/officeDocument/2006/relationships/hyperlink" Target="https://pubmed.ncbi.nlm.nih.gov/37917442/" TargetMode="External"/><Relationship Id="rId3103" Type="http://schemas.openxmlformats.org/officeDocument/2006/relationships/hyperlink" Target="https://pubmed.ncbi.nlm.nih.gov/37917442/" TargetMode="External"/><Relationship Id="rId3139" Type="http://schemas.openxmlformats.org/officeDocument/2006/relationships/hyperlink" Target="https://osf.io/d3xb7/registrations" TargetMode="External"/><Relationship Id="rId3138" Type="http://schemas.openxmlformats.org/officeDocument/2006/relationships/hyperlink" Target="https://drive.google.com/file/d/17mZvRs3ue7pXwqu8bmIDvgNdc95PGEcV/view" TargetMode="External"/><Relationship Id="rId3131" Type="http://schemas.openxmlformats.org/officeDocument/2006/relationships/hyperlink" Target="https://osf.io/d3xb7/registrations" TargetMode="External"/><Relationship Id="rId3130" Type="http://schemas.openxmlformats.org/officeDocument/2006/relationships/hyperlink" Target="https://drive.google.com/file/d/17mZvRs3ue7pXwqu8bmIDvgNdc95PGEcV/view" TargetMode="External"/><Relationship Id="rId3133" Type="http://schemas.openxmlformats.org/officeDocument/2006/relationships/hyperlink" Target="https://osf.io/d3xb7/registrations" TargetMode="External"/><Relationship Id="rId3132" Type="http://schemas.openxmlformats.org/officeDocument/2006/relationships/hyperlink" Target="https://drive.google.com/file/d/17mZvRs3ue7pXwqu8bmIDvgNdc95PGEcV/view" TargetMode="External"/><Relationship Id="rId3135" Type="http://schemas.openxmlformats.org/officeDocument/2006/relationships/hyperlink" Target="https://osf.io/d3xb7/registrations" TargetMode="External"/><Relationship Id="rId3134" Type="http://schemas.openxmlformats.org/officeDocument/2006/relationships/hyperlink" Target="https://drive.google.com/file/d/17mZvRs3ue7pXwqu8bmIDvgNdc95PGEcV/view" TargetMode="External"/><Relationship Id="rId3137" Type="http://schemas.openxmlformats.org/officeDocument/2006/relationships/hyperlink" Target="https://osf.io/d3xb7/registrations" TargetMode="External"/><Relationship Id="rId3136" Type="http://schemas.openxmlformats.org/officeDocument/2006/relationships/hyperlink" Target="https://drive.google.com/file/d/17mZvRs3ue7pXwqu8bmIDvgNdc95PGEcV/view" TargetMode="External"/><Relationship Id="rId3128" Type="http://schemas.openxmlformats.org/officeDocument/2006/relationships/hyperlink" Target="https://drive.google.com/file/d/17mZvRs3ue7pXwqu8bmIDvgNdc95PGEcV/view" TargetMode="External"/><Relationship Id="rId3127" Type="http://schemas.openxmlformats.org/officeDocument/2006/relationships/hyperlink" Target="https://osf.io/d3xb7/registrations" TargetMode="External"/><Relationship Id="rId3129" Type="http://schemas.openxmlformats.org/officeDocument/2006/relationships/hyperlink" Target="https://osf.io/d3xb7/registrations" TargetMode="External"/><Relationship Id="rId3120" Type="http://schemas.openxmlformats.org/officeDocument/2006/relationships/hyperlink" Target="https://drive.google.com/file/d/17mZvRs3ue7pXwqu8bmIDvgNdc95PGEcV/view" TargetMode="External"/><Relationship Id="rId3122" Type="http://schemas.openxmlformats.org/officeDocument/2006/relationships/hyperlink" Target="https://drive.google.com/file/d/17mZvRs3ue7pXwqu8bmIDvgNdc95PGEcV/view" TargetMode="External"/><Relationship Id="rId3121" Type="http://schemas.openxmlformats.org/officeDocument/2006/relationships/hyperlink" Target="https://osf.io/d3xb7/registrations" TargetMode="External"/><Relationship Id="rId3124" Type="http://schemas.openxmlformats.org/officeDocument/2006/relationships/hyperlink" Target="https://drive.google.com/file/d/17mZvRs3ue7pXwqu8bmIDvgNdc95PGEcV/view" TargetMode="External"/><Relationship Id="rId3123" Type="http://schemas.openxmlformats.org/officeDocument/2006/relationships/hyperlink" Target="https://osf.io/d3xb7/registrations" TargetMode="External"/><Relationship Id="rId3126" Type="http://schemas.openxmlformats.org/officeDocument/2006/relationships/hyperlink" Target="https://drive.google.com/file/d/17mZvRs3ue7pXwqu8bmIDvgNdc95PGEcV/view" TargetMode="External"/><Relationship Id="rId3125" Type="http://schemas.openxmlformats.org/officeDocument/2006/relationships/hyperlink" Target="https://osf.io/d3xb7/registrations" TargetMode="External"/><Relationship Id="rId1378" Type="http://schemas.openxmlformats.org/officeDocument/2006/relationships/hyperlink" Target="https://doi.org/10.17605/OSF.IO/5NZ6W" TargetMode="External"/><Relationship Id="rId1379" Type="http://schemas.openxmlformats.org/officeDocument/2006/relationships/hyperlink" Target="https://osf.io/4ewkh" TargetMode="External"/><Relationship Id="rId789" Type="http://schemas.openxmlformats.org/officeDocument/2006/relationships/hyperlink" Target="https://osf.io/vewk7" TargetMode="External"/><Relationship Id="rId788" Type="http://schemas.openxmlformats.org/officeDocument/2006/relationships/hyperlink" Target="https://osf.io/mj7nd" TargetMode="External"/><Relationship Id="rId787" Type="http://schemas.openxmlformats.org/officeDocument/2006/relationships/hyperlink" Target="https://github.com/vboyce/251-254-MA/blob/main/reports/RPubs%20-%20PSYCH251%20replication%20report%20(Payne%20et%20al.%202008)_files/441449_2ab956b7171d461482fea234aafa8710.html" TargetMode="External"/><Relationship Id="rId786" Type="http://schemas.openxmlformats.org/officeDocument/2006/relationships/hyperlink" Target="https://osf.io/vewk7" TargetMode="External"/><Relationship Id="rId781" Type="http://schemas.openxmlformats.org/officeDocument/2006/relationships/hyperlink" Target="https://github.com/vboyce/251-254-MA/blob/main/reports/RPubs%20-%20PSYCH251%20replication%20report%20(Payne%20et%20al.%202008)_files/441449_2ab956b7171d461482fea234aafa8710.html" TargetMode="External"/><Relationship Id="rId1370" Type="http://schemas.openxmlformats.org/officeDocument/2006/relationships/hyperlink" Target="https://doi.org/10.17605/OSF.IO/QP8V3" TargetMode="External"/><Relationship Id="rId780" Type="http://schemas.openxmlformats.org/officeDocument/2006/relationships/hyperlink" Target="https://osf.io/vewk7" TargetMode="External"/><Relationship Id="rId1371" Type="http://schemas.openxmlformats.org/officeDocument/2006/relationships/hyperlink" Target="https://osf.io/4ewkh" TargetMode="External"/><Relationship Id="rId1372" Type="http://schemas.openxmlformats.org/officeDocument/2006/relationships/hyperlink" Target="https://doi.org/10.17605/OSF.IO/QP8V3" TargetMode="External"/><Relationship Id="rId1373" Type="http://schemas.openxmlformats.org/officeDocument/2006/relationships/hyperlink" Target="https://osf.io/4ewkh" TargetMode="External"/><Relationship Id="rId785" Type="http://schemas.openxmlformats.org/officeDocument/2006/relationships/hyperlink" Target="https://osf.io/mj7nd" TargetMode="External"/><Relationship Id="rId1374" Type="http://schemas.openxmlformats.org/officeDocument/2006/relationships/hyperlink" Target="https://doi.org/10.17605/OSF.IO/QP8V3" TargetMode="External"/><Relationship Id="rId784" Type="http://schemas.openxmlformats.org/officeDocument/2006/relationships/hyperlink" Target="https://github.com/vboyce/251-254-MA/blob/main/reports/RPubs%20-%20PSYCH251%20replication%20report%20(Payne%20et%20al.%202008)_files/441449_2ab956b7171d461482fea234aafa8710.html" TargetMode="External"/><Relationship Id="rId1375" Type="http://schemas.openxmlformats.org/officeDocument/2006/relationships/hyperlink" Target="https://osf.io/4ewkh" TargetMode="External"/><Relationship Id="rId783" Type="http://schemas.openxmlformats.org/officeDocument/2006/relationships/hyperlink" Target="https://osf.io/vewk7" TargetMode="External"/><Relationship Id="rId1376" Type="http://schemas.openxmlformats.org/officeDocument/2006/relationships/hyperlink" Target="https://doi.org/10.17605/OSF.IO/QP8V3" TargetMode="External"/><Relationship Id="rId782" Type="http://schemas.openxmlformats.org/officeDocument/2006/relationships/hyperlink" Target="https://osf.io/mj7nd" TargetMode="External"/><Relationship Id="rId1377" Type="http://schemas.openxmlformats.org/officeDocument/2006/relationships/hyperlink" Target="https://osf.io/4ewkh" TargetMode="External"/><Relationship Id="rId1367" Type="http://schemas.openxmlformats.org/officeDocument/2006/relationships/hyperlink" Target="https://osf.io/4ewkh" TargetMode="External"/><Relationship Id="rId2698" Type="http://schemas.openxmlformats.org/officeDocument/2006/relationships/hyperlink" Target="http://doi.org/10.1007/s13164-018-0400-9" TargetMode="External"/><Relationship Id="rId1368" Type="http://schemas.openxmlformats.org/officeDocument/2006/relationships/hyperlink" Target="https://doi.org/10.17605/OSF.IO/QP8V3" TargetMode="External"/><Relationship Id="rId2699" Type="http://schemas.openxmlformats.org/officeDocument/2006/relationships/hyperlink" Target="https://osf.io/spwxg" TargetMode="External"/><Relationship Id="rId1369" Type="http://schemas.openxmlformats.org/officeDocument/2006/relationships/hyperlink" Target="https://osf.io/4ewkh" TargetMode="External"/><Relationship Id="rId778" Type="http://schemas.openxmlformats.org/officeDocument/2006/relationships/hyperlink" Target="https://osf.io/vewk7" TargetMode="External"/><Relationship Id="rId777" Type="http://schemas.openxmlformats.org/officeDocument/2006/relationships/hyperlink" Target="https://osf.io/2gx4k/wiki/home/" TargetMode="External"/><Relationship Id="rId776" Type="http://schemas.openxmlformats.org/officeDocument/2006/relationships/hyperlink" Target="https://osf.io/v3e2z" TargetMode="External"/><Relationship Id="rId775" Type="http://schemas.openxmlformats.org/officeDocument/2006/relationships/hyperlink" Target="https://nyuscholars.nyu.edu/en/publications/cognitive-control-predicts-use-of-model-based-reinforcement-learn" TargetMode="External"/><Relationship Id="rId779" Type="http://schemas.openxmlformats.org/officeDocument/2006/relationships/hyperlink" Target="https://osf.io/kspm6" TargetMode="External"/><Relationship Id="rId770" Type="http://schemas.openxmlformats.org/officeDocument/2006/relationships/hyperlink" Target="https://nyuscholars.nyu.edu/en/publications/cognitive-control-predicts-use-of-model-based-reinforcement-learn" TargetMode="External"/><Relationship Id="rId2690" Type="http://schemas.openxmlformats.org/officeDocument/2006/relationships/hyperlink" Target="https://osf.io/q267x" TargetMode="External"/><Relationship Id="rId1360" Type="http://schemas.openxmlformats.org/officeDocument/2006/relationships/hyperlink" Target="https://osf.io/mge8r/" TargetMode="External"/><Relationship Id="rId2691" Type="http://schemas.openxmlformats.org/officeDocument/2006/relationships/hyperlink" Target="https://osf.io/3g3hv" TargetMode="External"/><Relationship Id="rId1361" Type="http://schemas.openxmlformats.org/officeDocument/2006/relationships/hyperlink" Target="https://doi.org/10.17605/OSF.IO/69DQC" TargetMode="External"/><Relationship Id="rId2692" Type="http://schemas.openxmlformats.org/officeDocument/2006/relationships/hyperlink" Target="http://doi.org/10.1007/s13164-018-0400-9" TargetMode="External"/><Relationship Id="rId1362" Type="http://schemas.openxmlformats.org/officeDocument/2006/relationships/hyperlink" Target="https://osf.io/4ewkh" TargetMode="External"/><Relationship Id="rId2693" Type="http://schemas.openxmlformats.org/officeDocument/2006/relationships/hyperlink" Target="https://osf.io/4ewkh" TargetMode="External"/><Relationship Id="rId774" Type="http://schemas.openxmlformats.org/officeDocument/2006/relationships/hyperlink" Target="https://nyuscholars.nyu.edu/en/publications/cognitive-control-predicts-use-of-model-based-reinforcement-learn" TargetMode="External"/><Relationship Id="rId1363" Type="http://schemas.openxmlformats.org/officeDocument/2006/relationships/hyperlink" Target="https://doi.org/10.17605/OSF.IO/69DQC" TargetMode="External"/><Relationship Id="rId2694" Type="http://schemas.openxmlformats.org/officeDocument/2006/relationships/hyperlink" Target="https://doi.org/10.17605/OSF.IO/3G3HV" TargetMode="External"/><Relationship Id="rId773" Type="http://schemas.openxmlformats.org/officeDocument/2006/relationships/hyperlink" Target="https://nyuscholars.nyu.edu/en/publications/cognitive-control-predicts-use-of-model-based-reinforcement-learn" TargetMode="External"/><Relationship Id="rId1364" Type="http://schemas.openxmlformats.org/officeDocument/2006/relationships/hyperlink" Target="https://osf.io/4ewkh" TargetMode="External"/><Relationship Id="rId2695" Type="http://schemas.openxmlformats.org/officeDocument/2006/relationships/hyperlink" Target="http://doi.org/10.1007/s13164-018-0400-9" TargetMode="External"/><Relationship Id="rId772" Type="http://schemas.openxmlformats.org/officeDocument/2006/relationships/hyperlink" Target="https://nyuscholars.nyu.edu/en/publications/cognitive-control-predicts-use-of-model-based-reinforcement-learn" TargetMode="External"/><Relationship Id="rId1365" Type="http://schemas.openxmlformats.org/officeDocument/2006/relationships/hyperlink" Target="https://doi.org/10.17605/OSF.IO/JW84M" TargetMode="External"/><Relationship Id="rId2696" Type="http://schemas.openxmlformats.org/officeDocument/2006/relationships/hyperlink" Target="https://osf.io/4ewkh" TargetMode="External"/><Relationship Id="rId771" Type="http://schemas.openxmlformats.org/officeDocument/2006/relationships/hyperlink" Target="https://nyuscholars.nyu.edu/en/publications/cognitive-control-predicts-use-of-model-based-reinforcement-learn" TargetMode="External"/><Relationship Id="rId1366" Type="http://schemas.openxmlformats.org/officeDocument/2006/relationships/hyperlink" Target="https://osf.io/4ewkh" TargetMode="External"/><Relationship Id="rId2697" Type="http://schemas.openxmlformats.org/officeDocument/2006/relationships/hyperlink" Target="https://doi.org/10.17605/OSF.IO/3G3HV" TargetMode="External"/><Relationship Id="rId1390" Type="http://schemas.openxmlformats.org/officeDocument/2006/relationships/hyperlink" Target="https://osf.io/4ewkh" TargetMode="External"/><Relationship Id="rId1391" Type="http://schemas.openxmlformats.org/officeDocument/2006/relationships/hyperlink" Target="http://osf.io/6yfxz" TargetMode="External"/><Relationship Id="rId1392" Type="http://schemas.openxmlformats.org/officeDocument/2006/relationships/hyperlink" Target="https://osf.io/4ewkh" TargetMode="External"/><Relationship Id="rId1393" Type="http://schemas.openxmlformats.org/officeDocument/2006/relationships/hyperlink" Target="https://doi.org/10.17605/OSF.IO/THM7D" TargetMode="External"/><Relationship Id="rId1394" Type="http://schemas.openxmlformats.org/officeDocument/2006/relationships/hyperlink" Target="https://osf.io/4ewkh" TargetMode="External"/><Relationship Id="rId1395" Type="http://schemas.openxmlformats.org/officeDocument/2006/relationships/hyperlink" Target="http://osf.io/6yfxz" TargetMode="External"/><Relationship Id="rId1396" Type="http://schemas.openxmlformats.org/officeDocument/2006/relationships/hyperlink" Target="https://osf.io/4ewkh" TargetMode="External"/><Relationship Id="rId1397" Type="http://schemas.openxmlformats.org/officeDocument/2006/relationships/hyperlink" Target="https://doi.org/10.17605/OSF.IO/THM7D" TargetMode="External"/><Relationship Id="rId1398" Type="http://schemas.openxmlformats.org/officeDocument/2006/relationships/hyperlink" Target="https://osf.io/4ewkh" TargetMode="External"/><Relationship Id="rId1399" Type="http://schemas.openxmlformats.org/officeDocument/2006/relationships/hyperlink" Target="http://osf.io/6yfxz" TargetMode="External"/><Relationship Id="rId1389" Type="http://schemas.openxmlformats.org/officeDocument/2006/relationships/hyperlink" Target="https://doi.org/10.17605/OSF.IO/THM7D" TargetMode="External"/><Relationship Id="rId799" Type="http://schemas.openxmlformats.org/officeDocument/2006/relationships/hyperlink" Target="https://aspredicted.org/sk5up.pdf" TargetMode="External"/><Relationship Id="rId798" Type="http://schemas.openxmlformats.org/officeDocument/2006/relationships/hyperlink" Target="http://rpubs.com/kimiasaadatian/replicationreport" TargetMode="External"/><Relationship Id="rId797" Type="http://schemas.openxmlformats.org/officeDocument/2006/relationships/hyperlink" Target="https://osf.io/e6cps" TargetMode="External"/><Relationship Id="rId1380" Type="http://schemas.openxmlformats.org/officeDocument/2006/relationships/hyperlink" Target="https://aspredicted.org/yp5az.pdf" TargetMode="External"/><Relationship Id="rId792" Type="http://schemas.openxmlformats.org/officeDocument/2006/relationships/hyperlink" Target="https://osf.io/vewk7" TargetMode="External"/><Relationship Id="rId1381" Type="http://schemas.openxmlformats.org/officeDocument/2006/relationships/hyperlink" Target="http://osf.io/6yfxz" TargetMode="External"/><Relationship Id="rId791" Type="http://schemas.openxmlformats.org/officeDocument/2006/relationships/hyperlink" Target="https://osf.io/mj7nd" TargetMode="External"/><Relationship Id="rId1382" Type="http://schemas.openxmlformats.org/officeDocument/2006/relationships/hyperlink" Target="https://osf.io/4ewkh" TargetMode="External"/><Relationship Id="rId790" Type="http://schemas.openxmlformats.org/officeDocument/2006/relationships/hyperlink" Target="https://github.com/vboyce/251-254-MA/blob/main/reports/RPubs%20-%20PSYCH251%20replication%20report%20(Payne%20et%20al.%202008)_files/441449_2ab956b7171d461482fea234aafa8710.html" TargetMode="External"/><Relationship Id="rId1383" Type="http://schemas.openxmlformats.org/officeDocument/2006/relationships/hyperlink" Target="https://aspredicted.org/n3pd9.pdf" TargetMode="External"/><Relationship Id="rId1384" Type="http://schemas.openxmlformats.org/officeDocument/2006/relationships/hyperlink" Target="https://doi.org/10.17605/OSF.IO/THM7D" TargetMode="External"/><Relationship Id="rId796" Type="http://schemas.openxmlformats.org/officeDocument/2006/relationships/hyperlink" Target="https://aspredicted.org/sk5up.pdf" TargetMode="External"/><Relationship Id="rId1385" Type="http://schemas.openxmlformats.org/officeDocument/2006/relationships/hyperlink" Target="https://osf.io/4ewkh" TargetMode="External"/><Relationship Id="rId795" Type="http://schemas.openxmlformats.org/officeDocument/2006/relationships/hyperlink" Target="http://rpubs.com/kimiasaadatian/replicationreport" TargetMode="External"/><Relationship Id="rId1386" Type="http://schemas.openxmlformats.org/officeDocument/2006/relationships/hyperlink" Target="http://osf.io/6yfxz" TargetMode="External"/><Relationship Id="rId794" Type="http://schemas.openxmlformats.org/officeDocument/2006/relationships/hyperlink" Target="https://osf.io/mj7nd" TargetMode="External"/><Relationship Id="rId1387" Type="http://schemas.openxmlformats.org/officeDocument/2006/relationships/hyperlink" Target="https://osf.io/4ewkh" TargetMode="External"/><Relationship Id="rId793" Type="http://schemas.openxmlformats.org/officeDocument/2006/relationships/hyperlink" Target="https://github.com/vboyce/251-254-MA/blob/main/reports/RPubs%20-%20PSYCH251%20replication%20report%20(Payne%20et%20al.%202008)_files/441449_2ab956b7171d461482fea234aafa8710.html" TargetMode="External"/><Relationship Id="rId1388" Type="http://schemas.openxmlformats.org/officeDocument/2006/relationships/hyperlink" Target="https://osf.io/exqch" TargetMode="External"/><Relationship Id="rId3191" Type="http://schemas.openxmlformats.org/officeDocument/2006/relationships/hyperlink" Target="https://doi.org/10.1016/j.jneuroling.2010.05.001" TargetMode="External"/><Relationship Id="rId3190" Type="http://schemas.openxmlformats.org/officeDocument/2006/relationships/hyperlink" Target="https://clinicaltrials.gov/study/NCT03449979" TargetMode="External"/><Relationship Id="rId3193" Type="http://schemas.openxmlformats.org/officeDocument/2006/relationships/hyperlink" Target="https://doi.org/10.1016/j.jneuroling.2010.05.001" TargetMode="External"/><Relationship Id="rId3192" Type="http://schemas.openxmlformats.org/officeDocument/2006/relationships/hyperlink" Target="https://doi.org/10.1016/j.jneuroling.2010.05.001" TargetMode="External"/><Relationship Id="rId3195" Type="http://schemas.openxmlformats.org/officeDocument/2006/relationships/hyperlink" Target="https://doi.org/10.1016/j.appet.2021.105619" TargetMode="External"/><Relationship Id="rId3194" Type="http://schemas.openxmlformats.org/officeDocument/2006/relationships/hyperlink" Target="https://doi.org/10.1016/j.jneuroling.2010.05.001" TargetMode="External"/><Relationship Id="rId3197" Type="http://schemas.openxmlformats.org/officeDocument/2006/relationships/hyperlink" Target="https://aspredicted.org/bg2fh.pdf" TargetMode="External"/><Relationship Id="rId3196" Type="http://schemas.openxmlformats.org/officeDocument/2006/relationships/hyperlink" Target="https://aspredicted.org/bg2fh.pdf" TargetMode="External"/><Relationship Id="rId3199" Type="http://schemas.openxmlformats.org/officeDocument/2006/relationships/hyperlink" Target="https://aspredicted.org/bg2fh.pdf" TargetMode="External"/><Relationship Id="rId3198" Type="http://schemas.openxmlformats.org/officeDocument/2006/relationships/hyperlink" Target="https://doi.org/10.1016/j.appet.2021.105619" TargetMode="External"/><Relationship Id="rId3180" Type="http://schemas.openxmlformats.org/officeDocument/2006/relationships/hyperlink" Target="https://osf.io/d3xb7/registrations" TargetMode="External"/><Relationship Id="rId3182" Type="http://schemas.openxmlformats.org/officeDocument/2006/relationships/hyperlink" Target="https://osf.io/d3xb7/registrations" TargetMode="External"/><Relationship Id="rId3181" Type="http://schemas.openxmlformats.org/officeDocument/2006/relationships/hyperlink" Target="https://drive.google.com/file/d/17mZvRs3ue7pXwqu8bmIDvgNdc95PGEcV/view" TargetMode="External"/><Relationship Id="rId3184" Type="http://schemas.openxmlformats.org/officeDocument/2006/relationships/hyperlink" Target="https://drive.google.com/file/d/17mZvRs3ue7pXwqu8bmIDvgNdc95PGEcV/view" TargetMode="External"/><Relationship Id="rId3183" Type="http://schemas.openxmlformats.org/officeDocument/2006/relationships/hyperlink" Target="https://osf.io/d3xb7/registrations" TargetMode="External"/><Relationship Id="rId3186" Type="http://schemas.openxmlformats.org/officeDocument/2006/relationships/hyperlink" Target="https://doi.org/10.5018/economics-ejournal.ja.2018-3" TargetMode="External"/><Relationship Id="rId3185" Type="http://schemas.openxmlformats.org/officeDocument/2006/relationships/hyperlink" Target="https://osf.io/d3xb7/registrations" TargetMode="External"/><Relationship Id="rId3188" Type="http://schemas.openxmlformats.org/officeDocument/2006/relationships/hyperlink" Target="https://clinicaltrials.gov/study/NCT02339285?term=NCT02339285&amp;rank=1" TargetMode="External"/><Relationship Id="rId3187" Type="http://schemas.openxmlformats.org/officeDocument/2006/relationships/hyperlink" Target="https://clinicaltrials.gov/study/NCT02339285?term=NCT02339285&amp;rank=1" TargetMode="External"/><Relationship Id="rId3189" Type="http://schemas.openxmlformats.org/officeDocument/2006/relationships/hyperlink" Target="https://clinicaltrials.gov/study/NCT03449979" TargetMode="External"/><Relationship Id="rId3151" Type="http://schemas.openxmlformats.org/officeDocument/2006/relationships/hyperlink" Target="https://osf.io/d3xb7/registrations" TargetMode="External"/><Relationship Id="rId3150" Type="http://schemas.openxmlformats.org/officeDocument/2006/relationships/hyperlink" Target="https://drive.google.com/file/d/17mZvRs3ue7pXwqu8bmIDvgNdc95PGEcV/view" TargetMode="External"/><Relationship Id="rId3153" Type="http://schemas.openxmlformats.org/officeDocument/2006/relationships/hyperlink" Target="https://osf.io/d3xb7/registrations" TargetMode="External"/><Relationship Id="rId3152" Type="http://schemas.openxmlformats.org/officeDocument/2006/relationships/hyperlink" Target="https://drive.google.com/file/d/17mZvRs3ue7pXwqu8bmIDvgNdc95PGEcV/view" TargetMode="External"/><Relationship Id="rId3155" Type="http://schemas.openxmlformats.org/officeDocument/2006/relationships/hyperlink" Target="https://osf.io/d3xb7/registrations" TargetMode="External"/><Relationship Id="rId3154" Type="http://schemas.openxmlformats.org/officeDocument/2006/relationships/hyperlink" Target="https://drive.google.com/file/d/17mZvRs3ue7pXwqu8bmIDvgNdc95PGEcV/view" TargetMode="External"/><Relationship Id="rId3157" Type="http://schemas.openxmlformats.org/officeDocument/2006/relationships/hyperlink" Target="https://drive.google.com/file/d/17mZvRs3ue7pXwqu8bmIDvgNdc95PGEcV/view" TargetMode="External"/><Relationship Id="rId3156" Type="http://schemas.openxmlformats.org/officeDocument/2006/relationships/hyperlink" Target="https://osf.io/d3xb7/registrations" TargetMode="External"/><Relationship Id="rId3159" Type="http://schemas.openxmlformats.org/officeDocument/2006/relationships/hyperlink" Target="https://drive.google.com/file/d/17mZvRs3ue7pXwqu8bmIDvgNdc95PGEcV/view" TargetMode="External"/><Relationship Id="rId3158" Type="http://schemas.openxmlformats.org/officeDocument/2006/relationships/hyperlink" Target="https://osf.io/d3xb7/registrations" TargetMode="External"/><Relationship Id="rId3149" Type="http://schemas.openxmlformats.org/officeDocument/2006/relationships/hyperlink" Target="https://osf.io/d3xb7/registrations" TargetMode="External"/><Relationship Id="rId3140" Type="http://schemas.openxmlformats.org/officeDocument/2006/relationships/hyperlink" Target="https://drive.google.com/file/d/17mZvRs3ue7pXwqu8bmIDvgNdc95PGEcV/view" TargetMode="External"/><Relationship Id="rId3142" Type="http://schemas.openxmlformats.org/officeDocument/2006/relationships/hyperlink" Target="https://drive.google.com/file/d/17mZvRs3ue7pXwqu8bmIDvgNdc95PGEcV/view" TargetMode="External"/><Relationship Id="rId3141" Type="http://schemas.openxmlformats.org/officeDocument/2006/relationships/hyperlink" Target="https://osf.io/d3xb7/registrations" TargetMode="External"/><Relationship Id="rId3144" Type="http://schemas.openxmlformats.org/officeDocument/2006/relationships/hyperlink" Target="https://drive.google.com/file/d/17mZvRs3ue7pXwqu8bmIDvgNdc95PGEcV/view" TargetMode="External"/><Relationship Id="rId3143" Type="http://schemas.openxmlformats.org/officeDocument/2006/relationships/hyperlink" Target="https://osf.io/d3xb7/registrations" TargetMode="External"/><Relationship Id="rId3146" Type="http://schemas.openxmlformats.org/officeDocument/2006/relationships/hyperlink" Target="https://drive.google.com/file/d/17mZvRs3ue7pXwqu8bmIDvgNdc95PGEcV/view" TargetMode="External"/><Relationship Id="rId3145" Type="http://schemas.openxmlformats.org/officeDocument/2006/relationships/hyperlink" Target="https://osf.io/d3xb7/registrations" TargetMode="External"/><Relationship Id="rId3148" Type="http://schemas.openxmlformats.org/officeDocument/2006/relationships/hyperlink" Target="https://drive.google.com/file/d/17mZvRs3ue7pXwqu8bmIDvgNdc95PGEcV/view" TargetMode="External"/><Relationship Id="rId3147" Type="http://schemas.openxmlformats.org/officeDocument/2006/relationships/hyperlink" Target="https://osf.io/d3xb7/registrations" TargetMode="External"/><Relationship Id="rId3171" Type="http://schemas.openxmlformats.org/officeDocument/2006/relationships/hyperlink" Target="https://drive.google.com/file/d/17mZvRs3ue7pXwqu8bmIDvgNdc95PGEcV/view" TargetMode="External"/><Relationship Id="rId3170" Type="http://schemas.openxmlformats.org/officeDocument/2006/relationships/hyperlink" Target="https://osf.io/d3xb7/registrations" TargetMode="External"/><Relationship Id="rId3173" Type="http://schemas.openxmlformats.org/officeDocument/2006/relationships/hyperlink" Target="https://drive.google.com/file/d/17mZvRs3ue7pXwqu8bmIDvgNdc95PGEcV/view" TargetMode="External"/><Relationship Id="rId3172" Type="http://schemas.openxmlformats.org/officeDocument/2006/relationships/hyperlink" Target="https://osf.io/d3xb7/registrations" TargetMode="External"/><Relationship Id="rId3175" Type="http://schemas.openxmlformats.org/officeDocument/2006/relationships/hyperlink" Target="https://drive.google.com/file/d/17mZvRs3ue7pXwqu8bmIDvgNdc95PGEcV/view" TargetMode="External"/><Relationship Id="rId3174" Type="http://schemas.openxmlformats.org/officeDocument/2006/relationships/hyperlink" Target="https://osf.io/d3xb7/registrations" TargetMode="External"/><Relationship Id="rId3177" Type="http://schemas.openxmlformats.org/officeDocument/2006/relationships/hyperlink" Target="https://drive.google.com/file/d/17mZvRs3ue7pXwqu8bmIDvgNdc95PGEcV/view" TargetMode="External"/><Relationship Id="rId3176" Type="http://schemas.openxmlformats.org/officeDocument/2006/relationships/hyperlink" Target="https://osf.io/d3xb7/registrations" TargetMode="External"/><Relationship Id="rId3179" Type="http://schemas.openxmlformats.org/officeDocument/2006/relationships/hyperlink" Target="https://drive.google.com/file/d/17mZvRs3ue7pXwqu8bmIDvgNdc95PGEcV/view" TargetMode="External"/><Relationship Id="rId3178" Type="http://schemas.openxmlformats.org/officeDocument/2006/relationships/hyperlink" Target="https://osf.io/d3xb7/registrations" TargetMode="External"/><Relationship Id="rId3160" Type="http://schemas.openxmlformats.org/officeDocument/2006/relationships/hyperlink" Target="https://osf.io/d3xb7/registrations" TargetMode="External"/><Relationship Id="rId3162" Type="http://schemas.openxmlformats.org/officeDocument/2006/relationships/hyperlink" Target="https://osf.io/d3xb7/registrations" TargetMode="External"/><Relationship Id="rId3161" Type="http://schemas.openxmlformats.org/officeDocument/2006/relationships/hyperlink" Target="https://drive.google.com/file/d/17mZvRs3ue7pXwqu8bmIDvgNdc95PGEcV/view" TargetMode="External"/><Relationship Id="rId3164" Type="http://schemas.openxmlformats.org/officeDocument/2006/relationships/hyperlink" Target="https://osf.io/d3xb7/registrations" TargetMode="External"/><Relationship Id="rId3163" Type="http://schemas.openxmlformats.org/officeDocument/2006/relationships/hyperlink" Target="https://drive.google.com/file/d/17mZvRs3ue7pXwqu8bmIDvgNdc95PGEcV/view" TargetMode="External"/><Relationship Id="rId3166" Type="http://schemas.openxmlformats.org/officeDocument/2006/relationships/hyperlink" Target="https://osf.io/d3xb7/registrations" TargetMode="External"/><Relationship Id="rId3165" Type="http://schemas.openxmlformats.org/officeDocument/2006/relationships/hyperlink" Target="https://drive.google.com/file/d/17mZvRs3ue7pXwqu8bmIDvgNdc95PGEcV/view" TargetMode="External"/><Relationship Id="rId3168" Type="http://schemas.openxmlformats.org/officeDocument/2006/relationships/hyperlink" Target="https://osf.io/d3xb7/registrations" TargetMode="External"/><Relationship Id="rId3167" Type="http://schemas.openxmlformats.org/officeDocument/2006/relationships/hyperlink" Target="https://drive.google.com/file/d/17mZvRs3ue7pXwqu8bmIDvgNdc95PGEcV/view" TargetMode="External"/><Relationship Id="rId3169" Type="http://schemas.openxmlformats.org/officeDocument/2006/relationships/hyperlink" Target="https://drive.google.com/file/d/17mZvRs3ue7pXwqu8bmIDvgNdc95PGEcV/view" TargetMode="External"/><Relationship Id="rId2700" Type="http://schemas.openxmlformats.org/officeDocument/2006/relationships/hyperlink" Target="https://osf.io/spwxg" TargetMode="External"/><Relationship Id="rId2701" Type="http://schemas.openxmlformats.org/officeDocument/2006/relationships/hyperlink" Target="https://osf.io/y62dh" TargetMode="External"/><Relationship Id="rId2702" Type="http://schemas.openxmlformats.org/officeDocument/2006/relationships/hyperlink" Target="https://osf.io/spwxg" TargetMode="External"/><Relationship Id="rId2703" Type="http://schemas.openxmlformats.org/officeDocument/2006/relationships/hyperlink" Target="https://osf.io/y62dh" TargetMode="External"/><Relationship Id="rId2704" Type="http://schemas.openxmlformats.org/officeDocument/2006/relationships/hyperlink" Target="http://doi.org/10.1007/s13164-018-0400-9" TargetMode="External"/><Relationship Id="rId2705" Type="http://schemas.openxmlformats.org/officeDocument/2006/relationships/hyperlink" Target="https://osf.io/9ahkt" TargetMode="External"/><Relationship Id="rId2706" Type="http://schemas.openxmlformats.org/officeDocument/2006/relationships/hyperlink" Target="https://osf.io/w62xy" TargetMode="External"/><Relationship Id="rId2707" Type="http://schemas.openxmlformats.org/officeDocument/2006/relationships/hyperlink" Target="https://osf.io/9ahkt" TargetMode="External"/><Relationship Id="rId2708" Type="http://schemas.openxmlformats.org/officeDocument/2006/relationships/hyperlink" Target="https://osf.io/w62xy" TargetMode="External"/><Relationship Id="rId2709" Type="http://schemas.openxmlformats.org/officeDocument/2006/relationships/hyperlink" Target="http://doi.org/10.1007/s13164-018-0400-9" TargetMode="External"/><Relationship Id="rId2720" Type="http://schemas.openxmlformats.org/officeDocument/2006/relationships/hyperlink" Target="https://doi.org/10.17605/OSF.IO/M9VRK" TargetMode="External"/><Relationship Id="rId2721" Type="http://schemas.openxmlformats.org/officeDocument/2006/relationships/hyperlink" Target="https://osf.io/pq7eb" TargetMode="External"/><Relationship Id="rId2722" Type="http://schemas.openxmlformats.org/officeDocument/2006/relationships/hyperlink" Target="https://doi.org/10.17605/OSF.IO/M9VRK" TargetMode="External"/><Relationship Id="rId2723" Type="http://schemas.openxmlformats.org/officeDocument/2006/relationships/hyperlink" Target="http://dx.doi.org/10.1027/1864-9335/a000186" TargetMode="External"/><Relationship Id="rId2724" Type="http://schemas.openxmlformats.org/officeDocument/2006/relationships/hyperlink" Target="http://osf.io/2ukpq" TargetMode="External"/><Relationship Id="rId2725" Type="http://schemas.openxmlformats.org/officeDocument/2006/relationships/hyperlink" Target="https://doi.org/10.17605/OSF.IO/M9VRK" TargetMode="External"/><Relationship Id="rId2726" Type="http://schemas.openxmlformats.org/officeDocument/2006/relationships/hyperlink" Target="http://osf.io/2ukpq" TargetMode="External"/><Relationship Id="rId2727" Type="http://schemas.openxmlformats.org/officeDocument/2006/relationships/hyperlink" Target="https://doi.org/10.17605/OSF.IO/M9VRK" TargetMode="External"/><Relationship Id="rId2728" Type="http://schemas.openxmlformats.org/officeDocument/2006/relationships/hyperlink" Target="http://doi.org/10.1007/s13164-018-0400-9" TargetMode="External"/><Relationship Id="rId2729" Type="http://schemas.openxmlformats.org/officeDocument/2006/relationships/hyperlink" Target="https://osf.io/juxpq" TargetMode="External"/><Relationship Id="rId2710" Type="http://schemas.openxmlformats.org/officeDocument/2006/relationships/hyperlink" Target="https://osf.io/2yuq3" TargetMode="External"/><Relationship Id="rId2711" Type="http://schemas.openxmlformats.org/officeDocument/2006/relationships/hyperlink" Target="https://doi.org/10.17605/OSF.IO/R3KTH" TargetMode="External"/><Relationship Id="rId2712" Type="http://schemas.openxmlformats.org/officeDocument/2006/relationships/hyperlink" Target="https://osf.io/2yuq3" TargetMode="External"/><Relationship Id="rId2713" Type="http://schemas.openxmlformats.org/officeDocument/2006/relationships/hyperlink" Target="https://doi.org/10.17605/OSF.IO/R3KTH" TargetMode="External"/><Relationship Id="rId2714" Type="http://schemas.openxmlformats.org/officeDocument/2006/relationships/hyperlink" Target="https://osf.io/u8g3x" TargetMode="External"/><Relationship Id="rId2715" Type="http://schemas.openxmlformats.org/officeDocument/2006/relationships/hyperlink" Target="http://doi.org/10.1007/s13164-018-0400-9" TargetMode="External"/><Relationship Id="rId2716" Type="http://schemas.openxmlformats.org/officeDocument/2006/relationships/hyperlink" Target="https://osf.io/4ewkh" TargetMode="External"/><Relationship Id="rId2717" Type="http://schemas.openxmlformats.org/officeDocument/2006/relationships/hyperlink" Target="https://doi.org/10.17605/OSF.IO/R3KTH" TargetMode="External"/><Relationship Id="rId2718" Type="http://schemas.openxmlformats.org/officeDocument/2006/relationships/hyperlink" Target="http://doi.org/10.1007/s13164-018-0400-9" TargetMode="External"/><Relationship Id="rId2719" Type="http://schemas.openxmlformats.org/officeDocument/2006/relationships/hyperlink" Target="https://osf.io/pq7eb" TargetMode="External"/><Relationship Id="rId1455" Type="http://schemas.openxmlformats.org/officeDocument/2006/relationships/hyperlink" Target="https://doi.org/10.1126/science.aaf0918" TargetMode="External"/><Relationship Id="rId2786" Type="http://schemas.openxmlformats.org/officeDocument/2006/relationships/hyperlink" Target="https://osf.io/8nzfm/" TargetMode="External"/><Relationship Id="rId1456" Type="http://schemas.openxmlformats.org/officeDocument/2006/relationships/hyperlink" Target="https://doi.org/10.1126/science.aaf0918" TargetMode="External"/><Relationship Id="rId2787" Type="http://schemas.openxmlformats.org/officeDocument/2006/relationships/hyperlink" Target="https://osf.io/8nzfm/wiki/home/" TargetMode="External"/><Relationship Id="rId1457" Type="http://schemas.openxmlformats.org/officeDocument/2006/relationships/hyperlink" Target="https://osf.io/d5t2b" TargetMode="External"/><Relationship Id="rId2788" Type="http://schemas.openxmlformats.org/officeDocument/2006/relationships/hyperlink" Target="https://osf.io/2dqxv" TargetMode="External"/><Relationship Id="rId1458" Type="http://schemas.openxmlformats.org/officeDocument/2006/relationships/hyperlink" Target="https://doi.org/10.1126/science.aaf0918" TargetMode="External"/><Relationship Id="rId2789" Type="http://schemas.openxmlformats.org/officeDocument/2006/relationships/hyperlink" Target="https://osf.io/d3xb7" TargetMode="External"/><Relationship Id="rId1459" Type="http://schemas.openxmlformats.org/officeDocument/2006/relationships/hyperlink" Target="https://doi.org/10.1126/science.aaf0918" TargetMode="External"/><Relationship Id="rId629" Type="http://schemas.openxmlformats.org/officeDocument/2006/relationships/hyperlink" Target="https://osf.io/gexhp" TargetMode="External"/><Relationship Id="rId624" Type="http://schemas.openxmlformats.org/officeDocument/2006/relationships/hyperlink" Target="https://osf.io/e5k4j/" TargetMode="External"/><Relationship Id="rId623" Type="http://schemas.openxmlformats.org/officeDocument/2006/relationships/hyperlink" Target="https://osf.io/gexhp" TargetMode="External"/><Relationship Id="rId622" Type="http://schemas.openxmlformats.org/officeDocument/2006/relationships/hyperlink" Target="https://osf.io/e5k4j/" TargetMode="External"/><Relationship Id="rId621" Type="http://schemas.openxmlformats.org/officeDocument/2006/relationships/hyperlink" Target="https://osf.io/e5k4j/" TargetMode="External"/><Relationship Id="rId628" Type="http://schemas.openxmlformats.org/officeDocument/2006/relationships/hyperlink" Target="https://osf.io/e5k4j/" TargetMode="External"/><Relationship Id="rId627" Type="http://schemas.openxmlformats.org/officeDocument/2006/relationships/hyperlink" Target="https://osf.io/e5k4j/" TargetMode="External"/><Relationship Id="rId626" Type="http://schemas.openxmlformats.org/officeDocument/2006/relationships/hyperlink" Target="https://osf.io/gexhp" TargetMode="External"/><Relationship Id="rId625" Type="http://schemas.openxmlformats.org/officeDocument/2006/relationships/hyperlink" Target="https://osf.io/e5k4j/" TargetMode="External"/><Relationship Id="rId2780" Type="http://schemas.openxmlformats.org/officeDocument/2006/relationships/hyperlink" Target="https://www.oxfordreference.com/display/10.1093/oi/authority.20110803095743480" TargetMode="External"/><Relationship Id="rId1450" Type="http://schemas.openxmlformats.org/officeDocument/2006/relationships/hyperlink" Target="https://doi.org/10.1126/science.aaf0918" TargetMode="External"/><Relationship Id="rId2781" Type="http://schemas.openxmlformats.org/officeDocument/2006/relationships/hyperlink" Target="https://doi.org/10.1037/h0076284" TargetMode="External"/><Relationship Id="rId620" Type="http://schemas.openxmlformats.org/officeDocument/2006/relationships/hyperlink" Target="https://osf.io/gexhp" TargetMode="External"/><Relationship Id="rId1451" Type="http://schemas.openxmlformats.org/officeDocument/2006/relationships/hyperlink" Target="https://osf.io/wcvnu" TargetMode="External"/><Relationship Id="rId2782" Type="http://schemas.openxmlformats.org/officeDocument/2006/relationships/hyperlink" Target="https://aspredicted.org/jq5fe.pdf" TargetMode="External"/><Relationship Id="rId1452" Type="http://schemas.openxmlformats.org/officeDocument/2006/relationships/hyperlink" Target="https://doi.org/10.1126/science.aaf0918" TargetMode="External"/><Relationship Id="rId2783" Type="http://schemas.openxmlformats.org/officeDocument/2006/relationships/hyperlink" Target="https://doi.org/10.1177/2515245920919667" TargetMode="External"/><Relationship Id="rId1453" Type="http://schemas.openxmlformats.org/officeDocument/2006/relationships/hyperlink" Target="https://doi.org/10.1126/science.aaf0918" TargetMode="External"/><Relationship Id="rId2784" Type="http://schemas.openxmlformats.org/officeDocument/2006/relationships/hyperlink" Target="https://osf.io/5y7ne/?view_only=" TargetMode="External"/><Relationship Id="rId1454" Type="http://schemas.openxmlformats.org/officeDocument/2006/relationships/hyperlink" Target="https://osf.io/hsrbu" TargetMode="External"/><Relationship Id="rId2785" Type="http://schemas.openxmlformats.org/officeDocument/2006/relationships/hyperlink" Target="https://osf.io/wg9s3/." TargetMode="External"/><Relationship Id="rId1444" Type="http://schemas.openxmlformats.org/officeDocument/2006/relationships/hyperlink" Target="https://doi.org/10.1126/science.aaf0918" TargetMode="External"/><Relationship Id="rId2775" Type="http://schemas.openxmlformats.org/officeDocument/2006/relationships/hyperlink" Target="https://doi.org/10.17605/OSF.IO/Q2E5K" TargetMode="External"/><Relationship Id="rId1445" Type="http://schemas.openxmlformats.org/officeDocument/2006/relationships/hyperlink" Target="https://osf.io/nb4wk" TargetMode="External"/><Relationship Id="rId2776" Type="http://schemas.openxmlformats.org/officeDocument/2006/relationships/hyperlink" Target="https://doi.org/10.17605/OSF.IO/DT24J" TargetMode="External"/><Relationship Id="rId1446" Type="http://schemas.openxmlformats.org/officeDocument/2006/relationships/hyperlink" Target="https://doi.org/10.1126/science.aaf0918" TargetMode="External"/><Relationship Id="rId2777" Type="http://schemas.openxmlformats.org/officeDocument/2006/relationships/hyperlink" Target="https://doi.org/10.17605/OSF.IO/DT24J" TargetMode="External"/><Relationship Id="rId1447" Type="http://schemas.openxmlformats.org/officeDocument/2006/relationships/hyperlink" Target="https://doi.org/10.1126/science.aaf0918" TargetMode="External"/><Relationship Id="rId2778" Type="http://schemas.openxmlformats.org/officeDocument/2006/relationships/hyperlink" Target="https://osf.io/avf49" TargetMode="External"/><Relationship Id="rId1448" Type="http://schemas.openxmlformats.org/officeDocument/2006/relationships/hyperlink" Target="https://osf.io/t974m" TargetMode="External"/><Relationship Id="rId2779" Type="http://schemas.openxmlformats.org/officeDocument/2006/relationships/hyperlink" Target="https://osf.io/avf49" TargetMode="External"/><Relationship Id="rId1449" Type="http://schemas.openxmlformats.org/officeDocument/2006/relationships/hyperlink" Target="https://doi.org/10.1126/science.aaf0918" TargetMode="External"/><Relationship Id="rId619" Type="http://schemas.openxmlformats.org/officeDocument/2006/relationships/hyperlink" Target="https://osf.io/e5k4j/" TargetMode="External"/><Relationship Id="rId618" Type="http://schemas.openxmlformats.org/officeDocument/2006/relationships/hyperlink" Target="https://osf.io/e5k4j/" TargetMode="External"/><Relationship Id="rId613" Type="http://schemas.openxmlformats.org/officeDocument/2006/relationships/hyperlink" Target="https://osf.io/e5k4j/" TargetMode="External"/><Relationship Id="rId612" Type="http://schemas.openxmlformats.org/officeDocument/2006/relationships/hyperlink" Target="https://osf.io/gexhp" TargetMode="External"/><Relationship Id="rId611" Type="http://schemas.openxmlformats.org/officeDocument/2006/relationships/hyperlink" Target="https://osf.io/e5k4j/" TargetMode="External"/><Relationship Id="rId610" Type="http://schemas.openxmlformats.org/officeDocument/2006/relationships/hyperlink" Target="https://osf.io/gexhp" TargetMode="External"/><Relationship Id="rId617" Type="http://schemas.openxmlformats.org/officeDocument/2006/relationships/hyperlink" Target="https://osf.io/gexhp" TargetMode="External"/><Relationship Id="rId616" Type="http://schemas.openxmlformats.org/officeDocument/2006/relationships/hyperlink" Target="https://osf.io/e5k4j/" TargetMode="External"/><Relationship Id="rId615" Type="http://schemas.openxmlformats.org/officeDocument/2006/relationships/hyperlink" Target="https://osf.io/e5k4j/" TargetMode="External"/><Relationship Id="rId614" Type="http://schemas.openxmlformats.org/officeDocument/2006/relationships/hyperlink" Target="https://osf.io/gexhp" TargetMode="External"/><Relationship Id="rId2770" Type="http://schemas.openxmlformats.org/officeDocument/2006/relationships/hyperlink" Target="http://osf.io/jtsnn/" TargetMode="External"/><Relationship Id="rId1440" Type="http://schemas.openxmlformats.org/officeDocument/2006/relationships/hyperlink" Target="https://doi.org/10.1126/science.aaf0918" TargetMode="External"/><Relationship Id="rId2771" Type="http://schemas.openxmlformats.org/officeDocument/2006/relationships/hyperlink" Target="http://doi.org/10.1007/s13164-018-0400-9" TargetMode="External"/><Relationship Id="rId1441" Type="http://schemas.openxmlformats.org/officeDocument/2006/relationships/hyperlink" Target="https://doi.org/10.1126/science.aaf0918" TargetMode="External"/><Relationship Id="rId2772" Type="http://schemas.openxmlformats.org/officeDocument/2006/relationships/hyperlink" Target="https://osf.io/4ewkh" TargetMode="External"/><Relationship Id="rId1442" Type="http://schemas.openxmlformats.org/officeDocument/2006/relationships/hyperlink" Target="https://osf.io/qvc8s" TargetMode="External"/><Relationship Id="rId2773" Type="http://schemas.openxmlformats.org/officeDocument/2006/relationships/hyperlink" Target="https://doi.org/10.17605/OSF.IO/Q2E5K" TargetMode="External"/><Relationship Id="rId1443" Type="http://schemas.openxmlformats.org/officeDocument/2006/relationships/hyperlink" Target="https://doi.org/10.1126/science.aaf0918" TargetMode="External"/><Relationship Id="rId2774" Type="http://schemas.openxmlformats.org/officeDocument/2006/relationships/hyperlink" Target="https://osf.io/7s5vy" TargetMode="External"/><Relationship Id="rId1477" Type="http://schemas.openxmlformats.org/officeDocument/2006/relationships/hyperlink" Target="https://doi.org/10.1126/science.aaf0918" TargetMode="External"/><Relationship Id="rId1478" Type="http://schemas.openxmlformats.org/officeDocument/2006/relationships/hyperlink" Target="https://osf.io/vdmz6" TargetMode="External"/><Relationship Id="rId1479" Type="http://schemas.openxmlformats.org/officeDocument/2006/relationships/hyperlink" Target="https://doi.org/10.1126/science.aaf0918" TargetMode="External"/><Relationship Id="rId646" Type="http://schemas.openxmlformats.org/officeDocument/2006/relationships/hyperlink" Target="https://aspredicted.org/XHN_76L" TargetMode="External"/><Relationship Id="rId645" Type="http://schemas.openxmlformats.org/officeDocument/2006/relationships/hyperlink" Target="https://aspredicted.org/XHN_76L" TargetMode="External"/><Relationship Id="rId644" Type="http://schemas.openxmlformats.org/officeDocument/2006/relationships/hyperlink" Target="https://osf.io/g6u9q" TargetMode="External"/><Relationship Id="rId643" Type="http://schemas.openxmlformats.org/officeDocument/2006/relationships/hyperlink" Target="https://osf.io/g6u9q" TargetMode="External"/><Relationship Id="rId649" Type="http://schemas.openxmlformats.org/officeDocument/2006/relationships/hyperlink" Target="https://osf.io/yxusb" TargetMode="External"/><Relationship Id="rId648" Type="http://schemas.openxmlformats.org/officeDocument/2006/relationships/hyperlink" Target="https://osf.io/yxusb" TargetMode="External"/><Relationship Id="rId647" Type="http://schemas.openxmlformats.org/officeDocument/2006/relationships/hyperlink" Target="https://osf.io/yxusb" TargetMode="External"/><Relationship Id="rId1470" Type="http://schemas.openxmlformats.org/officeDocument/2006/relationships/hyperlink" Target="https://doi.org/10.1126/science.aaf0918" TargetMode="External"/><Relationship Id="rId1471" Type="http://schemas.openxmlformats.org/officeDocument/2006/relationships/hyperlink" Target="https://doi.org/10.1126/science.aaf0918" TargetMode="External"/><Relationship Id="rId1472" Type="http://schemas.openxmlformats.org/officeDocument/2006/relationships/hyperlink" Target="https://osf.io/s5qzk" TargetMode="External"/><Relationship Id="rId642" Type="http://schemas.openxmlformats.org/officeDocument/2006/relationships/hyperlink" Target="https://osf.io/g6u9q" TargetMode="External"/><Relationship Id="rId1473" Type="http://schemas.openxmlformats.org/officeDocument/2006/relationships/hyperlink" Target="https://doi.org/10.1126/science.aaf0918" TargetMode="External"/><Relationship Id="rId641" Type="http://schemas.openxmlformats.org/officeDocument/2006/relationships/hyperlink" Target="https://aspredicted.org/XHN_76L" TargetMode="External"/><Relationship Id="rId1474" Type="http://schemas.openxmlformats.org/officeDocument/2006/relationships/hyperlink" Target="https://doi.org/10.1126/science.aaf0918" TargetMode="External"/><Relationship Id="rId640" Type="http://schemas.openxmlformats.org/officeDocument/2006/relationships/hyperlink" Target="https://aspredicted.org/XHN_76L" TargetMode="External"/><Relationship Id="rId1475" Type="http://schemas.openxmlformats.org/officeDocument/2006/relationships/hyperlink" Target="https://osf.io/2anqg" TargetMode="External"/><Relationship Id="rId1476" Type="http://schemas.openxmlformats.org/officeDocument/2006/relationships/hyperlink" Target="https://doi.org/10.1126/science.aaf0918" TargetMode="External"/><Relationship Id="rId1466" Type="http://schemas.openxmlformats.org/officeDocument/2006/relationships/hyperlink" Target="https://osf.io/tpmnq" TargetMode="External"/><Relationship Id="rId2797" Type="http://schemas.openxmlformats.org/officeDocument/2006/relationships/hyperlink" Target="https://osf.io/d3xb7" TargetMode="External"/><Relationship Id="rId1467" Type="http://schemas.openxmlformats.org/officeDocument/2006/relationships/hyperlink" Target="https://doi.org/10.1126/science.aaf0918" TargetMode="External"/><Relationship Id="rId2798" Type="http://schemas.openxmlformats.org/officeDocument/2006/relationships/hyperlink" Target="https://osf.io/d3xb7" TargetMode="External"/><Relationship Id="rId1468" Type="http://schemas.openxmlformats.org/officeDocument/2006/relationships/hyperlink" Target="https://doi.org/10.1126/science.aaf0918" TargetMode="External"/><Relationship Id="rId2799" Type="http://schemas.openxmlformats.org/officeDocument/2006/relationships/hyperlink" Target="https://osf.io/d3xb7" TargetMode="External"/><Relationship Id="rId1469" Type="http://schemas.openxmlformats.org/officeDocument/2006/relationships/hyperlink" Target="https://osf.io/r9xc6" TargetMode="External"/><Relationship Id="rId635" Type="http://schemas.openxmlformats.org/officeDocument/2006/relationships/hyperlink" Target="https://aspredicted.org/XHN_76L" TargetMode="External"/><Relationship Id="rId634" Type="http://schemas.openxmlformats.org/officeDocument/2006/relationships/hyperlink" Target="https://osf.io/fdh4m/" TargetMode="External"/><Relationship Id="rId633" Type="http://schemas.openxmlformats.org/officeDocument/2006/relationships/hyperlink" Target="https://osf.io/fdh4m/" TargetMode="External"/><Relationship Id="rId632" Type="http://schemas.openxmlformats.org/officeDocument/2006/relationships/hyperlink" Target="https://osf.io/fdh4m/" TargetMode="External"/><Relationship Id="rId639" Type="http://schemas.openxmlformats.org/officeDocument/2006/relationships/hyperlink" Target="https://osf.io/g6u9q" TargetMode="External"/><Relationship Id="rId638" Type="http://schemas.openxmlformats.org/officeDocument/2006/relationships/hyperlink" Target="https://osf.io/g6u9q" TargetMode="External"/><Relationship Id="rId637" Type="http://schemas.openxmlformats.org/officeDocument/2006/relationships/hyperlink" Target="https://osf.io/g6u9q" TargetMode="External"/><Relationship Id="rId636" Type="http://schemas.openxmlformats.org/officeDocument/2006/relationships/hyperlink" Target="https://aspredicted.org/XHN_76L" TargetMode="External"/><Relationship Id="rId2790" Type="http://schemas.openxmlformats.org/officeDocument/2006/relationships/hyperlink" Target="https://osf.io/d3xb7" TargetMode="External"/><Relationship Id="rId1460" Type="http://schemas.openxmlformats.org/officeDocument/2006/relationships/hyperlink" Target="https://osf.io/kx5mj" TargetMode="External"/><Relationship Id="rId2791" Type="http://schemas.openxmlformats.org/officeDocument/2006/relationships/hyperlink" Target="https://osf.io/d3xb7" TargetMode="External"/><Relationship Id="rId1461" Type="http://schemas.openxmlformats.org/officeDocument/2006/relationships/hyperlink" Target="https://doi.org/10.1126/science.aaf0918" TargetMode="External"/><Relationship Id="rId2792" Type="http://schemas.openxmlformats.org/officeDocument/2006/relationships/hyperlink" Target="https://osf.io/d3xb7" TargetMode="External"/><Relationship Id="rId631" Type="http://schemas.openxmlformats.org/officeDocument/2006/relationships/hyperlink" Target="https://osf.io/e5k4j/" TargetMode="External"/><Relationship Id="rId1462" Type="http://schemas.openxmlformats.org/officeDocument/2006/relationships/hyperlink" Target="https://doi.org/10.1126/science.aaf0918" TargetMode="External"/><Relationship Id="rId2793" Type="http://schemas.openxmlformats.org/officeDocument/2006/relationships/hyperlink" Target="https://osf.io/d3xb7" TargetMode="External"/><Relationship Id="rId630" Type="http://schemas.openxmlformats.org/officeDocument/2006/relationships/hyperlink" Target="https://osf.io/e5k4j/" TargetMode="External"/><Relationship Id="rId1463" Type="http://schemas.openxmlformats.org/officeDocument/2006/relationships/hyperlink" Target="https://osf.io/9z5nv" TargetMode="External"/><Relationship Id="rId2794" Type="http://schemas.openxmlformats.org/officeDocument/2006/relationships/hyperlink" Target="https://osf.io/d3xb7" TargetMode="External"/><Relationship Id="rId1464" Type="http://schemas.openxmlformats.org/officeDocument/2006/relationships/hyperlink" Target="https://doi.org/10.1126/science.aaf0918" TargetMode="External"/><Relationship Id="rId2795" Type="http://schemas.openxmlformats.org/officeDocument/2006/relationships/hyperlink" Target="https://osf.io/d3xb7" TargetMode="External"/><Relationship Id="rId1465" Type="http://schemas.openxmlformats.org/officeDocument/2006/relationships/hyperlink" Target="https://doi.org/10.1126/science.aaf0918" TargetMode="External"/><Relationship Id="rId2796" Type="http://schemas.openxmlformats.org/officeDocument/2006/relationships/hyperlink" Target="https://osf.io/d3xb7" TargetMode="External"/><Relationship Id="rId1411" Type="http://schemas.openxmlformats.org/officeDocument/2006/relationships/hyperlink" Target="https://doi.org/10.17605/OSF.IO/AY2YE" TargetMode="External"/><Relationship Id="rId2742" Type="http://schemas.openxmlformats.org/officeDocument/2006/relationships/hyperlink" Target="http://doi.org/10.1007/s13164-018-0400-9" TargetMode="External"/><Relationship Id="rId1412" Type="http://schemas.openxmlformats.org/officeDocument/2006/relationships/hyperlink" Target="https://osf.io/v5xg3view_only=d0fcb2bb73fb4648ad6e3da300505f65)" TargetMode="External"/><Relationship Id="rId2743" Type="http://schemas.openxmlformats.org/officeDocument/2006/relationships/hyperlink" Target="https://osf.io/s8mrz" TargetMode="External"/><Relationship Id="rId1413" Type="http://schemas.openxmlformats.org/officeDocument/2006/relationships/hyperlink" Target="https://osf.io/4ewkh" TargetMode="External"/><Relationship Id="rId2744" Type="http://schemas.openxmlformats.org/officeDocument/2006/relationships/hyperlink" Target="https://osf.io/s8mrz" TargetMode="External"/><Relationship Id="rId1414" Type="http://schemas.openxmlformats.org/officeDocument/2006/relationships/hyperlink" Target="https://doi.org/10.17605/OSF.IO/3G3HV" TargetMode="External"/><Relationship Id="rId2745" Type="http://schemas.openxmlformats.org/officeDocument/2006/relationships/hyperlink" Target="https://doi.org/10.17605/OSF.IO/9VXSF" TargetMode="External"/><Relationship Id="rId1415" Type="http://schemas.openxmlformats.org/officeDocument/2006/relationships/hyperlink" Target="https://osf.io/4ewkh" TargetMode="External"/><Relationship Id="rId2746" Type="http://schemas.openxmlformats.org/officeDocument/2006/relationships/hyperlink" Target="https://osf.io/s8mrz" TargetMode="External"/><Relationship Id="rId1416" Type="http://schemas.openxmlformats.org/officeDocument/2006/relationships/hyperlink" Target="https://osf.io/xcg6e/?view_only=d0fcb2bb73fb4648ad6e3da300505f65" TargetMode="External"/><Relationship Id="rId2747" Type="http://schemas.openxmlformats.org/officeDocument/2006/relationships/hyperlink" Target="https://osf.io/s8mrz" TargetMode="External"/><Relationship Id="rId1417" Type="http://schemas.openxmlformats.org/officeDocument/2006/relationships/hyperlink" Target="https://doi.org/10.17605/OSF.IO/3G3HV" TargetMode="External"/><Relationship Id="rId2748" Type="http://schemas.openxmlformats.org/officeDocument/2006/relationships/hyperlink" Target="https://doi.org/10.17605/OSF.IO/9VXSF" TargetMode="External"/><Relationship Id="rId1418" Type="http://schemas.openxmlformats.org/officeDocument/2006/relationships/hyperlink" Target="https://osf.io/4ewkh" TargetMode="External"/><Relationship Id="rId2749" Type="http://schemas.openxmlformats.org/officeDocument/2006/relationships/hyperlink" Target="http://doi.org/10.1007/s13164-018-0400-9" TargetMode="External"/><Relationship Id="rId1419" Type="http://schemas.openxmlformats.org/officeDocument/2006/relationships/hyperlink" Target="https://osf.io/uw36p" TargetMode="External"/><Relationship Id="rId2740" Type="http://schemas.openxmlformats.org/officeDocument/2006/relationships/hyperlink" Target="https://osf.io/4ewkh" TargetMode="External"/><Relationship Id="rId1410" Type="http://schemas.openxmlformats.org/officeDocument/2006/relationships/hyperlink" Target="https://osf.io/4ewkh" TargetMode="External"/><Relationship Id="rId2741" Type="http://schemas.openxmlformats.org/officeDocument/2006/relationships/hyperlink" Target="https://doi.org/10.17605/OSF.IO/DNQE7" TargetMode="External"/><Relationship Id="rId1400" Type="http://schemas.openxmlformats.org/officeDocument/2006/relationships/hyperlink" Target="https://osf.io/4ewkh" TargetMode="External"/><Relationship Id="rId2731" Type="http://schemas.openxmlformats.org/officeDocument/2006/relationships/hyperlink" Target="https://doi.org/10.17605/OSF.IO/9E3T5" TargetMode="External"/><Relationship Id="rId1401" Type="http://schemas.openxmlformats.org/officeDocument/2006/relationships/hyperlink" Target="https://doi.org/10.17605/OSF.IO/THM7D" TargetMode="External"/><Relationship Id="rId2732" Type="http://schemas.openxmlformats.org/officeDocument/2006/relationships/hyperlink" Target="https://osf.io/juxpq" TargetMode="External"/><Relationship Id="rId1402" Type="http://schemas.openxmlformats.org/officeDocument/2006/relationships/hyperlink" Target="https://osf.io/4ewkh" TargetMode="External"/><Relationship Id="rId2733" Type="http://schemas.openxmlformats.org/officeDocument/2006/relationships/hyperlink" Target="https://doi.org/10.17605/OSF.IO/9E3T5" TargetMode="External"/><Relationship Id="rId1403" Type="http://schemas.openxmlformats.org/officeDocument/2006/relationships/hyperlink" Target="http://osf.io/6yfxz" TargetMode="External"/><Relationship Id="rId2734" Type="http://schemas.openxmlformats.org/officeDocument/2006/relationships/hyperlink" Target="http://doi.org/10.1007/s13164-018-0400-9" TargetMode="External"/><Relationship Id="rId1404" Type="http://schemas.openxmlformats.org/officeDocument/2006/relationships/hyperlink" Target="https://osf.io/4ewkh" TargetMode="External"/><Relationship Id="rId2735" Type="http://schemas.openxmlformats.org/officeDocument/2006/relationships/hyperlink" Target="https://osf.io/xv3uz" TargetMode="External"/><Relationship Id="rId1405" Type="http://schemas.openxmlformats.org/officeDocument/2006/relationships/hyperlink" Target="https://doi.org/10.17605/OSF.IO/AY2YE" TargetMode="External"/><Relationship Id="rId2736" Type="http://schemas.openxmlformats.org/officeDocument/2006/relationships/hyperlink" Target="https://osf.io/xv3uz" TargetMode="External"/><Relationship Id="rId1406" Type="http://schemas.openxmlformats.org/officeDocument/2006/relationships/hyperlink" Target="https://osf.io/4ewkh" TargetMode="External"/><Relationship Id="rId2737" Type="http://schemas.openxmlformats.org/officeDocument/2006/relationships/hyperlink" Target="https://doi.org/10.17605/OSF.IO/DNQE7" TargetMode="External"/><Relationship Id="rId1407" Type="http://schemas.openxmlformats.org/officeDocument/2006/relationships/hyperlink" Target="https://doi.org/10.17605/OSF.IO/AY2YE" TargetMode="External"/><Relationship Id="rId2738" Type="http://schemas.openxmlformats.org/officeDocument/2006/relationships/hyperlink" Target="http://osf.io/f5svw" TargetMode="External"/><Relationship Id="rId1408" Type="http://schemas.openxmlformats.org/officeDocument/2006/relationships/hyperlink" Target="https://osf.io/4ewkh" TargetMode="External"/><Relationship Id="rId2739" Type="http://schemas.openxmlformats.org/officeDocument/2006/relationships/hyperlink" Target="http://doi.org/10.1007/s13164-018-0400-9" TargetMode="External"/><Relationship Id="rId1409" Type="http://schemas.openxmlformats.org/officeDocument/2006/relationships/hyperlink" Target="https://doi.org/10.17605/OSF.IO/AY2YE" TargetMode="External"/><Relationship Id="rId2730" Type="http://schemas.openxmlformats.org/officeDocument/2006/relationships/hyperlink" Target="https://osf.io/juxpq" TargetMode="External"/><Relationship Id="rId1433" Type="http://schemas.openxmlformats.org/officeDocument/2006/relationships/hyperlink" Target="https://doi.org/10.17605/OSF.IO/BTH36" TargetMode="External"/><Relationship Id="rId2764" Type="http://schemas.openxmlformats.org/officeDocument/2006/relationships/hyperlink" Target="http://osf.io/w9bza/" TargetMode="External"/><Relationship Id="rId1434" Type="http://schemas.openxmlformats.org/officeDocument/2006/relationships/hyperlink" Target="https://doi.org/10.17605/OSF.IO/BTH36" TargetMode="External"/><Relationship Id="rId2765" Type="http://schemas.openxmlformats.org/officeDocument/2006/relationships/hyperlink" Target="http://doi.org/10.1007/s13164-018-0400-9" TargetMode="External"/><Relationship Id="rId1435" Type="http://schemas.openxmlformats.org/officeDocument/2006/relationships/hyperlink" Target="https://doi.org/10.1126/science.aaf0918" TargetMode="External"/><Relationship Id="rId2766" Type="http://schemas.openxmlformats.org/officeDocument/2006/relationships/hyperlink" Target="https://osf.io/jge2k" TargetMode="External"/><Relationship Id="rId1436" Type="http://schemas.openxmlformats.org/officeDocument/2006/relationships/hyperlink" Target="https://osf.io/v89qn" TargetMode="External"/><Relationship Id="rId2767" Type="http://schemas.openxmlformats.org/officeDocument/2006/relationships/hyperlink" Target="https://doi.org/10.17605/OSF.IO/26YZU" TargetMode="External"/><Relationship Id="rId1437" Type="http://schemas.openxmlformats.org/officeDocument/2006/relationships/hyperlink" Target="https://doi.org/10.1126/science.aaf0918" TargetMode="External"/><Relationship Id="rId2768" Type="http://schemas.openxmlformats.org/officeDocument/2006/relationships/hyperlink" Target="https://osf.io/jge2k" TargetMode="External"/><Relationship Id="rId1438" Type="http://schemas.openxmlformats.org/officeDocument/2006/relationships/hyperlink" Target="https://doi.org/10.1126/science.aaf0918" TargetMode="External"/><Relationship Id="rId2769" Type="http://schemas.openxmlformats.org/officeDocument/2006/relationships/hyperlink" Target="https://doi.org/10.17605/OSF.IO/26YZU" TargetMode="External"/><Relationship Id="rId1439" Type="http://schemas.openxmlformats.org/officeDocument/2006/relationships/hyperlink" Target="https://osf.io/fsv82" TargetMode="External"/><Relationship Id="rId609" Type="http://schemas.openxmlformats.org/officeDocument/2006/relationships/hyperlink" Target="https://osf.io/e5k4j/" TargetMode="External"/><Relationship Id="rId608" Type="http://schemas.openxmlformats.org/officeDocument/2006/relationships/hyperlink" Target="https://osf.io/gexhp" TargetMode="External"/><Relationship Id="rId607" Type="http://schemas.openxmlformats.org/officeDocument/2006/relationships/hyperlink" Target="https://osf.io/e5k4j/" TargetMode="External"/><Relationship Id="rId602" Type="http://schemas.openxmlformats.org/officeDocument/2006/relationships/hyperlink" Target="https://osf.io/gexhp" TargetMode="External"/><Relationship Id="rId601" Type="http://schemas.openxmlformats.org/officeDocument/2006/relationships/hyperlink" Target="https://osf.io/e5k4j/" TargetMode="External"/><Relationship Id="rId600" Type="http://schemas.openxmlformats.org/officeDocument/2006/relationships/hyperlink" Target="https://osf.io/gexhp" TargetMode="External"/><Relationship Id="rId606" Type="http://schemas.openxmlformats.org/officeDocument/2006/relationships/hyperlink" Target="https://osf.io/gexhp" TargetMode="External"/><Relationship Id="rId605" Type="http://schemas.openxmlformats.org/officeDocument/2006/relationships/hyperlink" Target="https://osf.io/e5k4j/" TargetMode="External"/><Relationship Id="rId604" Type="http://schemas.openxmlformats.org/officeDocument/2006/relationships/hyperlink" Target="https://osf.io/gexhp" TargetMode="External"/><Relationship Id="rId603" Type="http://schemas.openxmlformats.org/officeDocument/2006/relationships/hyperlink" Target="https://osf.io/e5k4j/" TargetMode="External"/><Relationship Id="rId2760" Type="http://schemas.openxmlformats.org/officeDocument/2006/relationships/hyperlink" Target="https://osf.io/d478r" TargetMode="External"/><Relationship Id="rId1430" Type="http://schemas.openxmlformats.org/officeDocument/2006/relationships/hyperlink" Target="https://osf.io/4ewkh" TargetMode="External"/><Relationship Id="rId2761" Type="http://schemas.openxmlformats.org/officeDocument/2006/relationships/hyperlink" Target="https://osf.io/d478r" TargetMode="External"/><Relationship Id="rId1431" Type="http://schemas.openxmlformats.org/officeDocument/2006/relationships/hyperlink" Target="https://doi.org/10.17605/OSF.IO/DNQE7" TargetMode="External"/><Relationship Id="rId2762" Type="http://schemas.openxmlformats.org/officeDocument/2006/relationships/hyperlink" Target="https://doi.org/10.17605/OSF.IO/HBPXN" TargetMode="External"/><Relationship Id="rId1432" Type="http://schemas.openxmlformats.org/officeDocument/2006/relationships/hyperlink" Target="https://doi.org/10.1177/0956797617719730" TargetMode="External"/><Relationship Id="rId2763" Type="http://schemas.openxmlformats.org/officeDocument/2006/relationships/hyperlink" Target="https://osf.io/d478r" TargetMode="External"/><Relationship Id="rId1422" Type="http://schemas.openxmlformats.org/officeDocument/2006/relationships/hyperlink" Target="http://osf.io/2ukpq" TargetMode="External"/><Relationship Id="rId2753" Type="http://schemas.openxmlformats.org/officeDocument/2006/relationships/hyperlink" Target="https://osf.io/4ewkh" TargetMode="External"/><Relationship Id="rId1423" Type="http://schemas.openxmlformats.org/officeDocument/2006/relationships/hyperlink" Target="https://osf.io/4ewkh" TargetMode="External"/><Relationship Id="rId2754" Type="http://schemas.openxmlformats.org/officeDocument/2006/relationships/hyperlink" Target="https://doi.org/10.17605/OSF.IO/9VXSF" TargetMode="External"/><Relationship Id="rId1424" Type="http://schemas.openxmlformats.org/officeDocument/2006/relationships/hyperlink" Target="https://doi.org/10.17605/OSF.IO/M9VRK" TargetMode="External"/><Relationship Id="rId2755" Type="http://schemas.openxmlformats.org/officeDocument/2006/relationships/hyperlink" Target="http://doi.org/10.1007/s13164-018-0400-9" TargetMode="External"/><Relationship Id="rId1425" Type="http://schemas.openxmlformats.org/officeDocument/2006/relationships/hyperlink" Target="https://osf.io/4ewkh" TargetMode="External"/><Relationship Id="rId2756" Type="http://schemas.openxmlformats.org/officeDocument/2006/relationships/hyperlink" Target="https://osf.io/4ewkh" TargetMode="External"/><Relationship Id="rId1426" Type="http://schemas.openxmlformats.org/officeDocument/2006/relationships/hyperlink" Target="http://osf.io/2ukpq" TargetMode="External"/><Relationship Id="rId2757" Type="http://schemas.openxmlformats.org/officeDocument/2006/relationships/hyperlink" Target="https://osf.io/mykq6" TargetMode="External"/><Relationship Id="rId1427" Type="http://schemas.openxmlformats.org/officeDocument/2006/relationships/hyperlink" Target="https://osf.io/w4gj2" TargetMode="External"/><Relationship Id="rId2758" Type="http://schemas.openxmlformats.org/officeDocument/2006/relationships/hyperlink" Target="https://doi.org/10.17605/OSF.IO/9VXSF" TargetMode="External"/><Relationship Id="rId1428" Type="http://schemas.openxmlformats.org/officeDocument/2006/relationships/hyperlink" Target="https://osf.io/4ewkh" TargetMode="External"/><Relationship Id="rId2759" Type="http://schemas.openxmlformats.org/officeDocument/2006/relationships/hyperlink" Target="http://doi.org/10.1007/s13164-018-0400-9" TargetMode="External"/><Relationship Id="rId1429" Type="http://schemas.openxmlformats.org/officeDocument/2006/relationships/hyperlink" Target="https://doi.org/10.17605/OSF.IO/M9VRK" TargetMode="External"/><Relationship Id="rId2750" Type="http://schemas.openxmlformats.org/officeDocument/2006/relationships/hyperlink" Target="https://osf.io/4ewkh" TargetMode="External"/><Relationship Id="rId1420" Type="http://schemas.openxmlformats.org/officeDocument/2006/relationships/hyperlink" Target="https://doi.org/10.17605/OSF.IO/R3KTH" TargetMode="External"/><Relationship Id="rId2751" Type="http://schemas.openxmlformats.org/officeDocument/2006/relationships/hyperlink" Target="https://doi.org/10.17605/OSF.IO/9VXSF" TargetMode="External"/><Relationship Id="rId1421" Type="http://schemas.openxmlformats.org/officeDocument/2006/relationships/hyperlink" Target="https://osf.io/4ewkh" TargetMode="External"/><Relationship Id="rId2752" Type="http://schemas.openxmlformats.org/officeDocument/2006/relationships/hyperlink" Target="http://doi.org/10.1007/s13164-018-0400-9" TargetMode="External"/><Relationship Id="rId3238" Type="http://schemas.openxmlformats.org/officeDocument/2006/relationships/hyperlink" Target="https://drive.google.com/file/d/1PchnSZs-XbYmB-ZYLgQBFosMAZs-ybjf/view?usp=drivesdk" TargetMode="External"/><Relationship Id="rId3237" Type="http://schemas.openxmlformats.org/officeDocument/2006/relationships/hyperlink" Target="https://drive.google.com/file/d/1niJ4qqlQ3w06lrmI_sfZvqDMPlcLvX7Z/view?usp=drivesdk" TargetMode="External"/><Relationship Id="rId3239" Type="http://schemas.openxmlformats.org/officeDocument/2006/relationships/hyperlink" Target="https://drive.google.com/file/d/1niJ4qqlQ3w06lrmI_sfZvqDMPlcLvX7Z/view?usp=drivesdk" TargetMode="External"/><Relationship Id="rId3230" Type="http://schemas.openxmlformats.org/officeDocument/2006/relationships/hyperlink" Target="https://drive.google.com/file/d/1niJ4qqlQ3w06lrmI_sfZvqDMPlcLvX7Z/view?usp=drivesdk" TargetMode="External"/><Relationship Id="rId3232" Type="http://schemas.openxmlformats.org/officeDocument/2006/relationships/hyperlink" Target="https://drive.google.com/file/d/1niJ4qqlQ3w06lrmI_sfZvqDMPlcLvX7Z/view?usp=drivesdk" TargetMode="External"/><Relationship Id="rId3231" Type="http://schemas.openxmlformats.org/officeDocument/2006/relationships/hyperlink" Target="https://drive.google.com/file/d/1PchnSZs-XbYmB-ZYLgQBFosMAZs-ybjf/view?usp=drivesdk" TargetMode="External"/><Relationship Id="rId3234" Type="http://schemas.openxmlformats.org/officeDocument/2006/relationships/hyperlink" Target="https://drive.google.com/file/d/1niJ4qqlQ3w06lrmI_sfZvqDMPlcLvX7Z/view?usp=drivesdk" TargetMode="External"/><Relationship Id="rId3233" Type="http://schemas.openxmlformats.org/officeDocument/2006/relationships/hyperlink" Target="https://drive.google.com/file/d/1PchnSZs-XbYmB-ZYLgQBFosMAZs-ybjf/view?usp=drivesdk" TargetMode="External"/><Relationship Id="rId3236" Type="http://schemas.openxmlformats.org/officeDocument/2006/relationships/hyperlink" Target="mailto:sarahashjones@gmail.com" TargetMode="External"/><Relationship Id="rId3235" Type="http://schemas.openxmlformats.org/officeDocument/2006/relationships/hyperlink" Target="https://drive.google.com/file/d/1PchnSZs-XbYmB-ZYLgQBFosMAZs-ybjf/view?usp=drivesdk" TargetMode="External"/><Relationship Id="rId3227" Type="http://schemas.openxmlformats.org/officeDocument/2006/relationships/hyperlink" Target="https://doi.org/10.31234/osf.io/mtsx8" TargetMode="External"/><Relationship Id="rId3226" Type="http://schemas.openxmlformats.org/officeDocument/2006/relationships/hyperlink" Target="https://drive.google.com/file/d/1niJ4qqlQ3w06lrmI_sfZvqDMPlcLvX7Z/view?usp=drivesdk" TargetMode="External"/><Relationship Id="rId3229" Type="http://schemas.openxmlformats.org/officeDocument/2006/relationships/hyperlink" Target="mailto:sarahashjones@gmail.com" TargetMode="External"/><Relationship Id="rId3228" Type="http://schemas.openxmlformats.org/officeDocument/2006/relationships/hyperlink" Target="https://drive.google.com/file/d/1PchnSZs-XbYmB-ZYLgQBFosMAZs-ybjf/view?usp=drivesdk" TargetMode="External"/><Relationship Id="rId699" Type="http://schemas.openxmlformats.org/officeDocument/2006/relationships/hyperlink" Target="https://osf.io/fdh4m/" TargetMode="External"/><Relationship Id="rId698" Type="http://schemas.openxmlformats.org/officeDocument/2006/relationships/hyperlink" Target="https://osf.io/fdh4m/" TargetMode="External"/><Relationship Id="rId693" Type="http://schemas.openxmlformats.org/officeDocument/2006/relationships/hyperlink" Target="https://osf.io/fdh4m/" TargetMode="External"/><Relationship Id="rId692" Type="http://schemas.openxmlformats.org/officeDocument/2006/relationships/hyperlink" Target="https://osf.io/fdh4m/" TargetMode="External"/><Relationship Id="rId691" Type="http://schemas.openxmlformats.org/officeDocument/2006/relationships/hyperlink" Target="https://aspredicted.org/TBY_14V" TargetMode="External"/><Relationship Id="rId3221" Type="http://schemas.openxmlformats.org/officeDocument/2006/relationships/hyperlink" Target="https://aspredicted.org/jq5fe.pdf" TargetMode="External"/><Relationship Id="rId690" Type="http://schemas.openxmlformats.org/officeDocument/2006/relationships/hyperlink" Target="https://aspredicted.org/TBY_14V" TargetMode="External"/><Relationship Id="rId3220" Type="http://schemas.openxmlformats.org/officeDocument/2006/relationships/hyperlink" Target="https://aspredicted.org/jq5fe.pdf" TargetMode="External"/><Relationship Id="rId697" Type="http://schemas.openxmlformats.org/officeDocument/2006/relationships/hyperlink" Target="https://osf.io/fdh4m/" TargetMode="External"/><Relationship Id="rId3223" Type="http://schemas.openxmlformats.org/officeDocument/2006/relationships/hyperlink" Target="https://aspredicted.org/jq5fe.pdf" TargetMode="External"/><Relationship Id="rId696" Type="http://schemas.openxmlformats.org/officeDocument/2006/relationships/hyperlink" Target="https://aspredicted.org/16C_RCH" TargetMode="External"/><Relationship Id="rId3222" Type="http://schemas.openxmlformats.org/officeDocument/2006/relationships/hyperlink" Target="https://aspredicted.org/jq5fe.pdf" TargetMode="External"/><Relationship Id="rId695" Type="http://schemas.openxmlformats.org/officeDocument/2006/relationships/hyperlink" Target="https://aspredicted.org/16C_RCH" TargetMode="External"/><Relationship Id="rId3225" Type="http://schemas.openxmlformats.org/officeDocument/2006/relationships/hyperlink" Target="https://aspredicted.org/jq5fe.pdf" TargetMode="External"/><Relationship Id="rId694" Type="http://schemas.openxmlformats.org/officeDocument/2006/relationships/hyperlink" Target="https://osf.io/fdh4m/" TargetMode="External"/><Relationship Id="rId3224" Type="http://schemas.openxmlformats.org/officeDocument/2006/relationships/hyperlink" Target="https://aspredicted.org/jq5fe.pdf" TargetMode="External"/><Relationship Id="rId3259" Type="http://schemas.openxmlformats.org/officeDocument/2006/relationships/hyperlink" Target="https://drive.google.com/file/d/1niJ4qqlQ3w06lrmI_sfZvqDMPlcLvX7Z/view?usp=drivesdk" TargetMode="External"/><Relationship Id="rId3250" Type="http://schemas.openxmlformats.org/officeDocument/2006/relationships/hyperlink" Target="https://drive.google.com/file/d/1PchnSZs-XbYmB-ZYLgQBFosMAZs-ybjf/view?usp=drivesdk" TargetMode="External"/><Relationship Id="rId3252" Type="http://schemas.openxmlformats.org/officeDocument/2006/relationships/hyperlink" Target="https://drive.google.com/file/d/1PchnSZs-XbYmB-ZYLgQBFosMAZs-ybjf/view?usp=drivesdk" TargetMode="External"/><Relationship Id="rId3251" Type="http://schemas.openxmlformats.org/officeDocument/2006/relationships/hyperlink" Target="https://drive.google.com/file/d/1niJ4qqlQ3w06lrmI_sfZvqDMPlcLvX7Z/view?usp=drivesdk" TargetMode="External"/><Relationship Id="rId3254" Type="http://schemas.openxmlformats.org/officeDocument/2006/relationships/hyperlink" Target="https://drive.google.com/file/d/1PchnSZs-XbYmB-ZYLgQBFosMAZs-ybjf/view?usp=drivesdk" TargetMode="External"/><Relationship Id="rId3253" Type="http://schemas.openxmlformats.org/officeDocument/2006/relationships/hyperlink" Target="https://drive.google.com/file/d/1niJ4qqlQ3w06lrmI_sfZvqDMPlcLvX7Z/view?usp=drivesdk" TargetMode="External"/><Relationship Id="rId3256" Type="http://schemas.openxmlformats.org/officeDocument/2006/relationships/hyperlink" Target="https://drive.google.com/file/d/1PchnSZs-XbYmB-ZYLgQBFosMAZs-ybjf/view?usp=drivesdk" TargetMode="External"/><Relationship Id="rId3255" Type="http://schemas.openxmlformats.org/officeDocument/2006/relationships/hyperlink" Target="https://drive.google.com/file/d/1niJ4qqlQ3w06lrmI_sfZvqDMPlcLvX7Z/view?usp=drivesdk" TargetMode="External"/><Relationship Id="rId3258" Type="http://schemas.openxmlformats.org/officeDocument/2006/relationships/hyperlink" Target="https://drive.google.com/file/d/1PchnSZs-XbYmB-ZYLgQBFosMAZs-ybjf/view?usp=drivesdk" TargetMode="External"/><Relationship Id="rId3257" Type="http://schemas.openxmlformats.org/officeDocument/2006/relationships/hyperlink" Target="https://drive.google.com/file/d/1niJ4qqlQ3w06lrmI_sfZvqDMPlcLvX7Z/view?usp=drivesdk" TargetMode="External"/><Relationship Id="rId3249" Type="http://schemas.openxmlformats.org/officeDocument/2006/relationships/hyperlink" Target="https://drive.google.com/file/d/1niJ4qqlQ3w06lrmI_sfZvqDMPlcLvX7Z/view?usp=drivesdk" TargetMode="External"/><Relationship Id="rId3248" Type="http://schemas.openxmlformats.org/officeDocument/2006/relationships/hyperlink" Target="https://drive.google.com/file/d/1PchnSZs-XbYmB-ZYLgQBFosMAZs-ybjf/view?usp=drivesdk" TargetMode="External"/><Relationship Id="rId3241" Type="http://schemas.openxmlformats.org/officeDocument/2006/relationships/hyperlink" Target="https://drive.google.com/file/d/1niJ4qqlQ3w06lrmI_sfZvqDMPlcLvX7Z/view?usp=drivesdk" TargetMode="External"/><Relationship Id="rId3240" Type="http://schemas.openxmlformats.org/officeDocument/2006/relationships/hyperlink" Target="https://drive.google.com/file/d/1PchnSZs-XbYmB-ZYLgQBFosMAZs-ybjf/view?usp=drivesdk" TargetMode="External"/><Relationship Id="rId3243" Type="http://schemas.openxmlformats.org/officeDocument/2006/relationships/hyperlink" Target="https://drive.google.com/file/d/1niJ4qqlQ3w06lrmI_sfZvqDMPlcLvX7Z/view?usp=drivesdk" TargetMode="External"/><Relationship Id="rId3242" Type="http://schemas.openxmlformats.org/officeDocument/2006/relationships/hyperlink" Target="https://drive.google.com/file/d/1PchnSZs-XbYmB-ZYLgQBFosMAZs-ybjf/view?usp=drivesdk" TargetMode="External"/><Relationship Id="rId3245" Type="http://schemas.openxmlformats.org/officeDocument/2006/relationships/hyperlink" Target="https://drive.google.com/file/d/1niJ4qqlQ3w06lrmI_sfZvqDMPlcLvX7Z/view?usp=drivesdk" TargetMode="External"/><Relationship Id="rId3244" Type="http://schemas.openxmlformats.org/officeDocument/2006/relationships/hyperlink" Target="https://drive.google.com/file/d/1PchnSZs-XbYmB-ZYLgQBFosMAZs-ybjf/view?usp=drivesdk" TargetMode="External"/><Relationship Id="rId3247" Type="http://schemas.openxmlformats.org/officeDocument/2006/relationships/hyperlink" Target="https://drive.google.com/file/d/1niJ4qqlQ3w06lrmI_sfZvqDMPlcLvX7Z/view?usp=drivesdk" TargetMode="External"/><Relationship Id="rId3246" Type="http://schemas.openxmlformats.org/officeDocument/2006/relationships/hyperlink" Target="https://drive.google.com/file/d/1PchnSZs-XbYmB-ZYLgQBFosMAZs-ybjf/view?usp=drivesdk" TargetMode="External"/><Relationship Id="rId1499" Type="http://schemas.openxmlformats.org/officeDocument/2006/relationships/hyperlink" Target="https://osf.io/k2teb" TargetMode="External"/><Relationship Id="rId668" Type="http://schemas.openxmlformats.org/officeDocument/2006/relationships/hyperlink" Target="https://osf.io/r57d6" TargetMode="External"/><Relationship Id="rId667" Type="http://schemas.openxmlformats.org/officeDocument/2006/relationships/hyperlink" Target="https://osf.io/r57d6" TargetMode="External"/><Relationship Id="rId666" Type="http://schemas.openxmlformats.org/officeDocument/2006/relationships/hyperlink" Target="https://aspredicted.org/G5N_YRH" TargetMode="External"/><Relationship Id="rId665" Type="http://schemas.openxmlformats.org/officeDocument/2006/relationships/hyperlink" Target="https://aspredicted.org/G5N_YRH" TargetMode="External"/><Relationship Id="rId669" Type="http://schemas.openxmlformats.org/officeDocument/2006/relationships/hyperlink" Target="https://osf.io/r57d6" TargetMode="External"/><Relationship Id="rId1490" Type="http://schemas.openxmlformats.org/officeDocument/2006/relationships/hyperlink" Target="https://osf.io/9hn4c" TargetMode="External"/><Relationship Id="rId660" Type="http://schemas.openxmlformats.org/officeDocument/2006/relationships/hyperlink" Target="https://aspredicted.org/YZ9_THH" TargetMode="External"/><Relationship Id="rId1491" Type="http://schemas.openxmlformats.org/officeDocument/2006/relationships/hyperlink" Target="https://osf.io/3cgxv" TargetMode="External"/><Relationship Id="rId1492" Type="http://schemas.openxmlformats.org/officeDocument/2006/relationships/hyperlink" Target="https://osf.io/mgjxv" TargetMode="External"/><Relationship Id="rId1493" Type="http://schemas.openxmlformats.org/officeDocument/2006/relationships/hyperlink" Target="https://osf.io/bmnca" TargetMode="External"/><Relationship Id="rId1494" Type="http://schemas.openxmlformats.org/officeDocument/2006/relationships/hyperlink" Target="https://osf.io/s73x6" TargetMode="External"/><Relationship Id="rId664" Type="http://schemas.openxmlformats.org/officeDocument/2006/relationships/hyperlink" Target="https://osf.io/r57d6" TargetMode="External"/><Relationship Id="rId1495" Type="http://schemas.openxmlformats.org/officeDocument/2006/relationships/hyperlink" Target="https://osf.io/zpyj3" TargetMode="External"/><Relationship Id="rId663" Type="http://schemas.openxmlformats.org/officeDocument/2006/relationships/hyperlink" Target="https://osf.io/r57d6" TargetMode="External"/><Relationship Id="rId1496" Type="http://schemas.openxmlformats.org/officeDocument/2006/relationships/hyperlink" Target="https://osf.io/jnq7e" TargetMode="External"/><Relationship Id="rId662" Type="http://schemas.openxmlformats.org/officeDocument/2006/relationships/hyperlink" Target="https://osf.io/r57d6" TargetMode="External"/><Relationship Id="rId1497" Type="http://schemas.openxmlformats.org/officeDocument/2006/relationships/hyperlink" Target="https://osf.io/efzv3" TargetMode="External"/><Relationship Id="rId661" Type="http://schemas.openxmlformats.org/officeDocument/2006/relationships/hyperlink" Target="https://aspredicted.org/YZ9_THH" TargetMode="External"/><Relationship Id="rId1498" Type="http://schemas.openxmlformats.org/officeDocument/2006/relationships/hyperlink" Target="https://osf.io/jubxw" TargetMode="External"/><Relationship Id="rId1488" Type="http://schemas.openxmlformats.org/officeDocument/2006/relationships/hyperlink" Target="https://doi.org/10.1126/science.aaf0918" TargetMode="External"/><Relationship Id="rId1489" Type="http://schemas.openxmlformats.org/officeDocument/2006/relationships/hyperlink" Target="https://osf.io/bstxp/" TargetMode="External"/><Relationship Id="rId657" Type="http://schemas.openxmlformats.org/officeDocument/2006/relationships/hyperlink" Target="https://osf.io/gwq48" TargetMode="External"/><Relationship Id="rId656" Type="http://schemas.openxmlformats.org/officeDocument/2006/relationships/hyperlink" Target="https://aspredicted.org/16C_RCH" TargetMode="External"/><Relationship Id="rId655" Type="http://schemas.openxmlformats.org/officeDocument/2006/relationships/hyperlink" Target="https://aspredicted.org/16C_RCH" TargetMode="External"/><Relationship Id="rId654" Type="http://schemas.openxmlformats.org/officeDocument/2006/relationships/hyperlink" Target="https://osf.io/x73nv" TargetMode="External"/><Relationship Id="rId659" Type="http://schemas.openxmlformats.org/officeDocument/2006/relationships/hyperlink" Target="https://osf.io/gwq48" TargetMode="External"/><Relationship Id="rId658" Type="http://schemas.openxmlformats.org/officeDocument/2006/relationships/hyperlink" Target="https://osf.io/gwq48" TargetMode="External"/><Relationship Id="rId1480" Type="http://schemas.openxmlformats.org/officeDocument/2006/relationships/hyperlink" Target="https://doi.org/10.1126/science.aaf0918" TargetMode="External"/><Relationship Id="rId1481" Type="http://schemas.openxmlformats.org/officeDocument/2006/relationships/hyperlink" Target="https://osf.io/ypcz5" TargetMode="External"/><Relationship Id="rId1482" Type="http://schemas.openxmlformats.org/officeDocument/2006/relationships/hyperlink" Target="https://doi.org/10.1126/science.aaf0918" TargetMode="External"/><Relationship Id="rId1483" Type="http://schemas.openxmlformats.org/officeDocument/2006/relationships/hyperlink" Target="https://doi.org/10.1126/science.aaf0918" TargetMode="External"/><Relationship Id="rId653" Type="http://schemas.openxmlformats.org/officeDocument/2006/relationships/hyperlink" Target="https://osf.io/x73nv" TargetMode="External"/><Relationship Id="rId1484" Type="http://schemas.openxmlformats.org/officeDocument/2006/relationships/hyperlink" Target="https://osf.io/d3h4u" TargetMode="External"/><Relationship Id="rId652" Type="http://schemas.openxmlformats.org/officeDocument/2006/relationships/hyperlink" Target="https://osf.io/x73nv" TargetMode="External"/><Relationship Id="rId1485" Type="http://schemas.openxmlformats.org/officeDocument/2006/relationships/hyperlink" Target="https://doi.org/10.1126/science.aaf0918" TargetMode="External"/><Relationship Id="rId651" Type="http://schemas.openxmlformats.org/officeDocument/2006/relationships/hyperlink" Target="https://aspredicted.org/TBY_14V" TargetMode="External"/><Relationship Id="rId1486" Type="http://schemas.openxmlformats.org/officeDocument/2006/relationships/hyperlink" Target="https://doi.org/10.1126/science.aaf0918" TargetMode="External"/><Relationship Id="rId650" Type="http://schemas.openxmlformats.org/officeDocument/2006/relationships/hyperlink" Target="https://aspredicted.org/TBY_14V" TargetMode="External"/><Relationship Id="rId1487" Type="http://schemas.openxmlformats.org/officeDocument/2006/relationships/hyperlink" Target="https://osf.io/a3394" TargetMode="External"/><Relationship Id="rId3216" Type="http://schemas.openxmlformats.org/officeDocument/2006/relationships/hyperlink" Target="https://aspredicted.org/jq5fe.pdf" TargetMode="External"/><Relationship Id="rId3215" Type="http://schemas.openxmlformats.org/officeDocument/2006/relationships/hyperlink" Target="https://aspredicted.org/jq5fe.pdf" TargetMode="External"/><Relationship Id="rId3218" Type="http://schemas.openxmlformats.org/officeDocument/2006/relationships/hyperlink" Target="https://aspredicted.org/jq5fe.pdf" TargetMode="External"/><Relationship Id="rId3217" Type="http://schemas.openxmlformats.org/officeDocument/2006/relationships/hyperlink" Target="https://aspredicted.org/jq5fe.pdf" TargetMode="External"/><Relationship Id="rId3219" Type="http://schemas.openxmlformats.org/officeDocument/2006/relationships/hyperlink" Target="https://aspredicted.org/jq5fe.pdf" TargetMode="External"/><Relationship Id="rId689" Type="http://schemas.openxmlformats.org/officeDocument/2006/relationships/hyperlink" Target="https://osf.io/fdh4m/" TargetMode="External"/><Relationship Id="rId688" Type="http://schemas.openxmlformats.org/officeDocument/2006/relationships/hyperlink" Target="https://osf.io/fdh4m/" TargetMode="External"/><Relationship Id="rId687" Type="http://schemas.openxmlformats.org/officeDocument/2006/relationships/hyperlink" Target="https://osf.io/fdh4m/" TargetMode="External"/><Relationship Id="rId682" Type="http://schemas.openxmlformats.org/officeDocument/2006/relationships/hyperlink" Target="https://osf.io/fdh4m/" TargetMode="External"/><Relationship Id="rId681" Type="http://schemas.openxmlformats.org/officeDocument/2006/relationships/hyperlink" Target="https://aspredicted.org/G5N_YRH" TargetMode="External"/><Relationship Id="rId680" Type="http://schemas.openxmlformats.org/officeDocument/2006/relationships/hyperlink" Target="https://aspredicted.org/G5N_YRH" TargetMode="External"/><Relationship Id="rId3210" Type="http://schemas.openxmlformats.org/officeDocument/2006/relationships/hyperlink" Target="https://doi.org/10.32714/ricl.10.01.08" TargetMode="External"/><Relationship Id="rId686" Type="http://schemas.openxmlformats.org/officeDocument/2006/relationships/hyperlink" Target="https://aspredicted.org/Y47_RW5" TargetMode="External"/><Relationship Id="rId3212" Type="http://schemas.openxmlformats.org/officeDocument/2006/relationships/hyperlink" Target="https://doi.org/10.32714/ricl.10.01.08" TargetMode="External"/><Relationship Id="rId685" Type="http://schemas.openxmlformats.org/officeDocument/2006/relationships/hyperlink" Target="https://aspredicted.org/Y47_RW5" TargetMode="External"/><Relationship Id="rId3211" Type="http://schemas.openxmlformats.org/officeDocument/2006/relationships/hyperlink" Target="https://doi.org/10.32714/ricl.10.01.08" TargetMode="External"/><Relationship Id="rId684" Type="http://schemas.openxmlformats.org/officeDocument/2006/relationships/hyperlink" Target="https://osf.io/fdh4m/" TargetMode="External"/><Relationship Id="rId3214" Type="http://schemas.openxmlformats.org/officeDocument/2006/relationships/hyperlink" Target="https://aspredicted.org/jq5fe.pdf" TargetMode="External"/><Relationship Id="rId683" Type="http://schemas.openxmlformats.org/officeDocument/2006/relationships/hyperlink" Target="https://osf.io/fdh4m/" TargetMode="External"/><Relationship Id="rId3213" Type="http://schemas.openxmlformats.org/officeDocument/2006/relationships/hyperlink" Target="https://doi.org/10.32714/ricl.10.01.08" TargetMode="External"/><Relationship Id="rId3205" Type="http://schemas.openxmlformats.org/officeDocument/2006/relationships/hyperlink" Target="https://osf.io/m4cyz" TargetMode="External"/><Relationship Id="rId3204" Type="http://schemas.openxmlformats.org/officeDocument/2006/relationships/hyperlink" Target="https://aspredicted.org/bg2fh.pdf" TargetMode="External"/><Relationship Id="rId3207" Type="http://schemas.openxmlformats.org/officeDocument/2006/relationships/hyperlink" Target="https://osf.io/m4cyz" TargetMode="External"/><Relationship Id="rId3206" Type="http://schemas.openxmlformats.org/officeDocument/2006/relationships/hyperlink" Target="https://osf.io/m4cyz" TargetMode="External"/><Relationship Id="rId3209" Type="http://schemas.openxmlformats.org/officeDocument/2006/relationships/hyperlink" Target="https://drive.google.com/drive/folders/1ivB0CEmA0lPZW9FgIfklih849Awe0AHn?fbclid=IwAR1-au-XQdaRXsJBnw-w6esGES_qKYWeKBV0SnS-r6XGLb52A6RG0duPjXg" TargetMode="External"/><Relationship Id="rId3208" Type="http://schemas.openxmlformats.org/officeDocument/2006/relationships/hyperlink" Target="https://osf.io/m4cyz" TargetMode="External"/><Relationship Id="rId679" Type="http://schemas.openxmlformats.org/officeDocument/2006/relationships/hyperlink" Target="https://osf.io/r57d6" TargetMode="External"/><Relationship Id="rId678" Type="http://schemas.openxmlformats.org/officeDocument/2006/relationships/hyperlink" Target="https://osf.io/r57d6" TargetMode="External"/><Relationship Id="rId677" Type="http://schemas.openxmlformats.org/officeDocument/2006/relationships/hyperlink" Target="https://osf.io/r57d6" TargetMode="External"/><Relationship Id="rId676" Type="http://schemas.openxmlformats.org/officeDocument/2006/relationships/hyperlink" Target="https://aspredicted.org/G5N_YRH" TargetMode="External"/><Relationship Id="rId671" Type="http://schemas.openxmlformats.org/officeDocument/2006/relationships/hyperlink" Target="https://aspredicted.org/G5N_YRH" TargetMode="External"/><Relationship Id="rId670" Type="http://schemas.openxmlformats.org/officeDocument/2006/relationships/hyperlink" Target="https://aspredicted.org/G5N_YRH" TargetMode="External"/><Relationship Id="rId675" Type="http://schemas.openxmlformats.org/officeDocument/2006/relationships/hyperlink" Target="https://aspredicted.org/G5N_YRH" TargetMode="External"/><Relationship Id="rId3201" Type="http://schemas.openxmlformats.org/officeDocument/2006/relationships/hyperlink" Target="https://doi.org/10.1016/j.appet.2021.105619" TargetMode="External"/><Relationship Id="rId674" Type="http://schemas.openxmlformats.org/officeDocument/2006/relationships/hyperlink" Target="https://osf.io/r57d6" TargetMode="External"/><Relationship Id="rId3200" Type="http://schemas.openxmlformats.org/officeDocument/2006/relationships/hyperlink" Target="https://aspredicted.org/bg2fh.pdf" TargetMode="External"/><Relationship Id="rId673" Type="http://schemas.openxmlformats.org/officeDocument/2006/relationships/hyperlink" Target="https://osf.io/r57d6" TargetMode="External"/><Relationship Id="rId3203" Type="http://schemas.openxmlformats.org/officeDocument/2006/relationships/hyperlink" Target="https://aspredicted.org/bg2fh.pdf" TargetMode="External"/><Relationship Id="rId672" Type="http://schemas.openxmlformats.org/officeDocument/2006/relationships/hyperlink" Target="https://osf.io/r57d6" TargetMode="External"/><Relationship Id="rId3202" Type="http://schemas.openxmlformats.org/officeDocument/2006/relationships/hyperlink" Target="https://aspredicted.org/bg2fh.pdf" TargetMode="External"/><Relationship Id="rId190" Type="http://schemas.openxmlformats.org/officeDocument/2006/relationships/hyperlink" Target="https://osf.io/zb5j2/" TargetMode="External"/><Relationship Id="rId194" Type="http://schemas.openxmlformats.org/officeDocument/2006/relationships/hyperlink" Target="https://osf.io/zb5j2/" TargetMode="External"/><Relationship Id="rId193" Type="http://schemas.openxmlformats.org/officeDocument/2006/relationships/hyperlink" Target="https://osf.io/zb5j2/" TargetMode="External"/><Relationship Id="rId192" Type="http://schemas.openxmlformats.org/officeDocument/2006/relationships/hyperlink" Target="https://doi.org/10.1016/j.obhdp.2018.10.004" TargetMode="External"/><Relationship Id="rId191" Type="http://schemas.openxmlformats.org/officeDocument/2006/relationships/hyperlink" Target="https://osf.io/zb5j2/" TargetMode="External"/><Relationship Id="rId187" Type="http://schemas.openxmlformats.org/officeDocument/2006/relationships/hyperlink" Target="https://osf.io/zb5j2" TargetMode="External"/><Relationship Id="rId186" Type="http://schemas.openxmlformats.org/officeDocument/2006/relationships/hyperlink" Target="https://osf.io/zb5j2" TargetMode="External"/><Relationship Id="rId185" Type="http://schemas.openxmlformats.org/officeDocument/2006/relationships/hyperlink" Target="https://osf.io/zb5j2" TargetMode="External"/><Relationship Id="rId184" Type="http://schemas.openxmlformats.org/officeDocument/2006/relationships/hyperlink" Target="https://osf.io/zb5j2" TargetMode="External"/><Relationship Id="rId189" Type="http://schemas.openxmlformats.org/officeDocument/2006/relationships/hyperlink" Target="https://osf.io/zb5j2" TargetMode="External"/><Relationship Id="rId188" Type="http://schemas.openxmlformats.org/officeDocument/2006/relationships/hyperlink" Target="https://osf.io/zb5j2" TargetMode="External"/><Relationship Id="rId183" Type="http://schemas.openxmlformats.org/officeDocument/2006/relationships/hyperlink" Target="https://osf.io/zb5j2" TargetMode="External"/><Relationship Id="rId182" Type="http://schemas.openxmlformats.org/officeDocument/2006/relationships/hyperlink" Target="https://osf.io/zb5j2" TargetMode="External"/><Relationship Id="rId181" Type="http://schemas.openxmlformats.org/officeDocument/2006/relationships/hyperlink" Target="https://doi.org/10.1017/pds.2024.14" TargetMode="External"/><Relationship Id="rId180" Type="http://schemas.openxmlformats.org/officeDocument/2006/relationships/hyperlink" Target="https://doi.org/10.1017/pds.2024.14" TargetMode="External"/><Relationship Id="rId176" Type="http://schemas.openxmlformats.org/officeDocument/2006/relationships/hyperlink" Target="https://doi.org/10.1108/S1574-076520240000026005" TargetMode="External"/><Relationship Id="rId175" Type="http://schemas.openxmlformats.org/officeDocument/2006/relationships/hyperlink" Target="https://doi.org/10.1108/S1574-076520240000026005" TargetMode="External"/><Relationship Id="rId174" Type="http://schemas.openxmlformats.org/officeDocument/2006/relationships/hyperlink" Target="https://www.emerald.com/insight/content/doi/10.1108/s1574-076520240000026005/full/pdf?title=fraudulent-research-practices-in-accounting-a-replication-and-extension-of-bailey-hasselback-and-karcher-2001" TargetMode="External"/><Relationship Id="rId173" Type="http://schemas.openxmlformats.org/officeDocument/2006/relationships/hyperlink" Target="https://doi.org/10.1108/S1574-076520240000026005" TargetMode="External"/><Relationship Id="rId179" Type="http://schemas.openxmlformats.org/officeDocument/2006/relationships/hyperlink" Target="https://www.cambridge.org/core/services/aop-cambridge-core/content/view/F3A32DC9C940254CAFE6529A7C7C80A1/S2732527X24000142a.pdf/replication-studies-in-engineering-design-a-feasibility-study.pdf" TargetMode="External"/><Relationship Id="rId178" Type="http://schemas.openxmlformats.org/officeDocument/2006/relationships/hyperlink" Target="https://doi.org/10.1108/S1574-076520240000026005" TargetMode="External"/><Relationship Id="rId177" Type="http://schemas.openxmlformats.org/officeDocument/2006/relationships/hyperlink" Target="https://doi.org/10.1108/S1574-076520240000026005" TargetMode="External"/><Relationship Id="rId198" Type="http://schemas.openxmlformats.org/officeDocument/2006/relationships/hyperlink" Target="https://thekeep.eiu.edu/theses/5025" TargetMode="External"/><Relationship Id="rId197" Type="http://schemas.openxmlformats.org/officeDocument/2006/relationships/hyperlink" Target="https://thekeep.eiu.edu/theses/5025" TargetMode="External"/><Relationship Id="rId196" Type="http://schemas.openxmlformats.org/officeDocument/2006/relationships/hyperlink" Target="http://thekeep.eiu.edu/theses/5025" TargetMode="External"/><Relationship Id="rId195" Type="http://schemas.openxmlformats.org/officeDocument/2006/relationships/hyperlink" Target="http://thekeep.eiu.edu/theses/4783" TargetMode="External"/><Relationship Id="rId199" Type="http://schemas.openxmlformats.org/officeDocument/2006/relationships/hyperlink" Target="https://thekeep.eiu.edu/theses/4783" TargetMode="External"/><Relationship Id="rId150" Type="http://schemas.openxmlformats.org/officeDocument/2006/relationships/hyperlink" Target="https://www.prolific.co" TargetMode="External"/><Relationship Id="rId149" Type="http://schemas.openxmlformats.org/officeDocument/2006/relationships/hyperlink" Target="https://www.prolific.co" TargetMode="External"/><Relationship Id="rId148" Type="http://schemas.openxmlformats.org/officeDocument/2006/relationships/hyperlink" Target="https://www.prolific.co" TargetMode="External"/><Relationship Id="rId3270" Type="http://schemas.openxmlformats.org/officeDocument/2006/relationships/hyperlink" Target="https://drive.google.com/file/d/1PchnSZs-XbYmB-ZYLgQBFosMAZs-ybjf/view?usp=drivesdk" TargetMode="External"/><Relationship Id="rId3272" Type="http://schemas.openxmlformats.org/officeDocument/2006/relationships/hyperlink" Target="https://drive.google.com/file/d/1PchnSZs-XbYmB-ZYLgQBFosMAZs-ybjf/view?usp=drivesdk" TargetMode="External"/><Relationship Id="rId3271" Type="http://schemas.openxmlformats.org/officeDocument/2006/relationships/hyperlink" Target="https://drive.google.com/file/d/1niJ4qqlQ3w06lrmI_sfZvqDMPlcLvX7Z/view?usp=drivesdk" TargetMode="External"/><Relationship Id="rId143" Type="http://schemas.openxmlformats.org/officeDocument/2006/relationships/hyperlink" Target="https://osf.io/8kzgd" TargetMode="External"/><Relationship Id="rId3274" Type="http://schemas.openxmlformats.org/officeDocument/2006/relationships/hyperlink" Target="https://drive.google.com/file/d/1PchnSZs-XbYmB-ZYLgQBFosMAZs-ybjf/view?usp=drivesdk" TargetMode="External"/><Relationship Id="rId142" Type="http://schemas.openxmlformats.org/officeDocument/2006/relationships/hyperlink" Target="https://osf.io/8kzgd" TargetMode="External"/><Relationship Id="rId3273" Type="http://schemas.openxmlformats.org/officeDocument/2006/relationships/hyperlink" Target="https://drive.google.com/file/d/1niJ4qqlQ3w06lrmI_sfZvqDMPlcLvX7Z/view?usp=drivesdk" TargetMode="External"/><Relationship Id="rId141" Type="http://schemas.openxmlformats.org/officeDocument/2006/relationships/hyperlink" Target="https://osf.io/8kzgd" TargetMode="External"/><Relationship Id="rId3276" Type="http://schemas.openxmlformats.org/officeDocument/2006/relationships/hyperlink" Target="https://drive.google.com/file/d/1PchnSZs-XbYmB-ZYLgQBFosMAZs-ybjf/view?usp=drivesdk" TargetMode="External"/><Relationship Id="rId140" Type="http://schemas.openxmlformats.org/officeDocument/2006/relationships/hyperlink" Target="https://osf.io/8kzgd" TargetMode="External"/><Relationship Id="rId3275" Type="http://schemas.openxmlformats.org/officeDocument/2006/relationships/hyperlink" Target="https://drive.google.com/file/d/1niJ4qqlQ3w06lrmI_sfZvqDMPlcLvX7Z/view?usp=drivesdk" TargetMode="External"/><Relationship Id="rId147" Type="http://schemas.openxmlformats.org/officeDocument/2006/relationships/hyperlink" Target="https://www.prolific.co" TargetMode="External"/><Relationship Id="rId3278" Type="http://schemas.openxmlformats.org/officeDocument/2006/relationships/hyperlink" Target="https://drive.google.com/file/d/1PchnSZs-XbYmB-ZYLgQBFosMAZs-ybjf/view?usp=drivesdk" TargetMode="External"/><Relationship Id="rId146" Type="http://schemas.openxmlformats.org/officeDocument/2006/relationships/hyperlink" Target="https://www.prolific.co" TargetMode="External"/><Relationship Id="rId3277" Type="http://schemas.openxmlformats.org/officeDocument/2006/relationships/hyperlink" Target="https://drive.google.com/file/d/1niJ4qqlQ3w06lrmI_sfZvqDMPlcLvX7Z/view?usp=drivesdk" TargetMode="External"/><Relationship Id="rId145" Type="http://schemas.openxmlformats.org/officeDocument/2006/relationships/hyperlink" Target="https://www.prolific.co" TargetMode="External"/><Relationship Id="rId144" Type="http://schemas.openxmlformats.org/officeDocument/2006/relationships/hyperlink" Target="https://www.prolific.co" TargetMode="External"/><Relationship Id="rId3279" Type="http://schemas.openxmlformats.org/officeDocument/2006/relationships/hyperlink" Target="https://drive.google.com/file/d/1niJ4qqlQ3w06lrmI_sfZvqDMPlcLvX7Z/view?usp=drivesdk" TargetMode="External"/><Relationship Id="rId139" Type="http://schemas.openxmlformats.org/officeDocument/2006/relationships/hyperlink" Target="https://osf.io/8kzgd" TargetMode="External"/><Relationship Id="rId138" Type="http://schemas.openxmlformats.org/officeDocument/2006/relationships/hyperlink" Target="https://osf.io/8kzgd" TargetMode="External"/><Relationship Id="rId137" Type="http://schemas.openxmlformats.org/officeDocument/2006/relationships/hyperlink" Target="https://osf.io/8ga4s?view_only=38d7630a8c6e4eb6aee200540eec175d" TargetMode="External"/><Relationship Id="rId3261" Type="http://schemas.openxmlformats.org/officeDocument/2006/relationships/hyperlink" Target="https://drive.google.com/file/d/1niJ4qqlQ3w06lrmI_sfZvqDMPlcLvX7Z/view?usp=drivesdk" TargetMode="External"/><Relationship Id="rId3260" Type="http://schemas.openxmlformats.org/officeDocument/2006/relationships/hyperlink" Target="https://drive.google.com/file/d/1PchnSZs-XbYmB-ZYLgQBFosMAZs-ybjf/view?usp=drivesdk" TargetMode="External"/><Relationship Id="rId132" Type="http://schemas.openxmlformats.org/officeDocument/2006/relationships/hyperlink" Target="https://osf.io/8ga4s?view_only=38d7630a8c6e4eb6aee200540eec175d" TargetMode="External"/><Relationship Id="rId3263" Type="http://schemas.openxmlformats.org/officeDocument/2006/relationships/hyperlink" Target="https://drive.google.com/file/d/1niJ4qqlQ3w06lrmI_sfZvqDMPlcLvX7Z/view?usp=drivesdk" TargetMode="External"/><Relationship Id="rId131" Type="http://schemas.openxmlformats.org/officeDocument/2006/relationships/hyperlink" Target="https://osf.io/8ga4s?view_only=38d7630a8c6e4eb6aee200540eec175d" TargetMode="External"/><Relationship Id="rId3262" Type="http://schemas.openxmlformats.org/officeDocument/2006/relationships/hyperlink" Target="https://drive.google.com/file/d/1PchnSZs-XbYmB-ZYLgQBFosMAZs-ybjf/view?usp=drivesdk" TargetMode="External"/><Relationship Id="rId130" Type="http://schemas.openxmlformats.org/officeDocument/2006/relationships/hyperlink" Target="https://osf.io/8ga4s?view_only=38d7630a8c6e4eb6aee200540eec175d" TargetMode="External"/><Relationship Id="rId3265" Type="http://schemas.openxmlformats.org/officeDocument/2006/relationships/hyperlink" Target="https://drive.google.com/file/d/1niJ4qqlQ3w06lrmI_sfZvqDMPlcLvX7Z/view?usp=drivesdk" TargetMode="External"/><Relationship Id="rId3264" Type="http://schemas.openxmlformats.org/officeDocument/2006/relationships/hyperlink" Target="https://drive.google.com/file/d/1PchnSZs-XbYmB-ZYLgQBFosMAZs-ybjf/view?usp=drivesdk" TargetMode="External"/><Relationship Id="rId136" Type="http://schemas.openxmlformats.org/officeDocument/2006/relationships/hyperlink" Target="https://osf.io/8ga4s?view_only=38d7630a8c6e4eb6aee200540eec175d" TargetMode="External"/><Relationship Id="rId3267" Type="http://schemas.openxmlformats.org/officeDocument/2006/relationships/hyperlink" Target="https://drive.google.com/file/d/1niJ4qqlQ3w06lrmI_sfZvqDMPlcLvX7Z/view?usp=drivesdk" TargetMode="External"/><Relationship Id="rId135" Type="http://schemas.openxmlformats.org/officeDocument/2006/relationships/hyperlink" Target="https://osf.io/8ga4s?view_only=38d7630a8c6e4eb6aee200540eec175d" TargetMode="External"/><Relationship Id="rId3266" Type="http://schemas.openxmlformats.org/officeDocument/2006/relationships/hyperlink" Target="https://drive.google.com/file/d/1PchnSZs-XbYmB-ZYLgQBFosMAZs-ybjf/view?usp=drivesdk" TargetMode="External"/><Relationship Id="rId134" Type="http://schemas.openxmlformats.org/officeDocument/2006/relationships/hyperlink" Target="https://osf.io/8ga4s?view_only=38d7630a8c6e4eb6aee200540eec175d" TargetMode="External"/><Relationship Id="rId3269" Type="http://schemas.openxmlformats.org/officeDocument/2006/relationships/hyperlink" Target="https://drive.google.com/file/d/1niJ4qqlQ3w06lrmI_sfZvqDMPlcLvX7Z/view?usp=drivesdk" TargetMode="External"/><Relationship Id="rId133" Type="http://schemas.openxmlformats.org/officeDocument/2006/relationships/hyperlink" Target="https://osf.io/8ga4s?view_only=38d7630a8c6e4eb6aee200540eec175d" TargetMode="External"/><Relationship Id="rId3268" Type="http://schemas.openxmlformats.org/officeDocument/2006/relationships/hyperlink" Target="https://drive.google.com/file/d/1PchnSZs-XbYmB-ZYLgQBFosMAZs-ybjf/view?usp=drivesdk" TargetMode="External"/><Relationship Id="rId172" Type="http://schemas.openxmlformats.org/officeDocument/2006/relationships/hyperlink" Target="https://doi.org/10.1017/S0272263124000342" TargetMode="External"/><Relationship Id="rId171" Type="http://schemas.openxmlformats.org/officeDocument/2006/relationships/hyperlink" Target="https://doi.org/10.1017/S0272263124000342" TargetMode="External"/><Relationship Id="rId170" Type="http://schemas.openxmlformats.org/officeDocument/2006/relationships/hyperlink" Target="https://doi.org/10.1177/0267658310386439" TargetMode="External"/><Relationship Id="rId3290" Type="http://schemas.openxmlformats.org/officeDocument/2006/relationships/hyperlink" Target="https://doi.org/10.1037/h0101833" TargetMode="External"/><Relationship Id="rId3292" Type="http://schemas.openxmlformats.org/officeDocument/2006/relationships/hyperlink" Target="https://doi.org/10.1037/h0101833" TargetMode="External"/><Relationship Id="rId3291" Type="http://schemas.openxmlformats.org/officeDocument/2006/relationships/hyperlink" Target="https://doi.org/10.1037/h0101833" TargetMode="External"/><Relationship Id="rId3294" Type="http://schemas.openxmlformats.org/officeDocument/2006/relationships/hyperlink" Target="https://doi.org/10.1037/h0101833" TargetMode="External"/><Relationship Id="rId3293" Type="http://schemas.openxmlformats.org/officeDocument/2006/relationships/hyperlink" Target="https://doi.org/10.1037/h0101833" TargetMode="External"/><Relationship Id="rId165" Type="http://schemas.openxmlformats.org/officeDocument/2006/relationships/hyperlink" Target="https://doi.org/10.1017/S0272263124000342" TargetMode="External"/><Relationship Id="rId3296" Type="http://schemas.openxmlformats.org/officeDocument/2006/relationships/hyperlink" Target="https://doi.org/10.1037/h0101833" TargetMode="External"/><Relationship Id="rId164" Type="http://schemas.openxmlformats.org/officeDocument/2006/relationships/hyperlink" Target="https://doi.org/10.1177/0267658310386439" TargetMode="External"/><Relationship Id="rId3295" Type="http://schemas.openxmlformats.org/officeDocument/2006/relationships/hyperlink" Target="https://doi.org/10.1037/h0101833" TargetMode="External"/><Relationship Id="rId163" Type="http://schemas.openxmlformats.org/officeDocument/2006/relationships/hyperlink" Target="https://doi.org/10.1017/S0272263124000342" TargetMode="External"/><Relationship Id="rId3298" Type="http://schemas.openxmlformats.org/officeDocument/2006/relationships/hyperlink" Target="https://doi.org/10.1037/h0101833" TargetMode="External"/><Relationship Id="rId162" Type="http://schemas.openxmlformats.org/officeDocument/2006/relationships/hyperlink" Target="https://doi.org/10.1017/S0272263124000342" TargetMode="External"/><Relationship Id="rId3297" Type="http://schemas.openxmlformats.org/officeDocument/2006/relationships/hyperlink" Target="https://doi.org/10.1037/h0101833" TargetMode="External"/><Relationship Id="rId169" Type="http://schemas.openxmlformats.org/officeDocument/2006/relationships/hyperlink" Target="https://doi.org/10.1017/S0272263124000342" TargetMode="External"/><Relationship Id="rId168" Type="http://schemas.openxmlformats.org/officeDocument/2006/relationships/hyperlink" Target="https://doi.org/10.1017/S0272263124000342" TargetMode="External"/><Relationship Id="rId3299" Type="http://schemas.openxmlformats.org/officeDocument/2006/relationships/hyperlink" Target="https://doi.org/10.1037/h0101833" TargetMode="External"/><Relationship Id="rId167" Type="http://schemas.openxmlformats.org/officeDocument/2006/relationships/hyperlink" Target="https://doi.org/10.1177/0267658310386439" TargetMode="External"/><Relationship Id="rId166" Type="http://schemas.openxmlformats.org/officeDocument/2006/relationships/hyperlink" Target="https://doi.org/10.1017/S0272263124000342" TargetMode="External"/><Relationship Id="rId161" Type="http://schemas.openxmlformats.org/officeDocument/2006/relationships/hyperlink" Target="https://doi.org/10.1177/0267658310386439" TargetMode="External"/><Relationship Id="rId160" Type="http://schemas.openxmlformats.org/officeDocument/2006/relationships/hyperlink" Target="https://osf.io/t2vkp/" TargetMode="External"/><Relationship Id="rId159" Type="http://schemas.openxmlformats.org/officeDocument/2006/relationships/hyperlink" Target="https://doi.org/10.1002/jeab.915" TargetMode="External"/><Relationship Id="rId3281" Type="http://schemas.openxmlformats.org/officeDocument/2006/relationships/hyperlink" Target="https://drive.google.com/file/d/1niJ4qqlQ3w06lrmI_sfZvqDMPlcLvX7Z/view?usp=drivesdk" TargetMode="External"/><Relationship Id="rId3280" Type="http://schemas.openxmlformats.org/officeDocument/2006/relationships/hyperlink" Target="https://drive.google.com/file/d/1PchnSZs-XbYmB-ZYLgQBFosMAZs-ybjf/view?usp=drivesdk" TargetMode="External"/><Relationship Id="rId3283" Type="http://schemas.openxmlformats.org/officeDocument/2006/relationships/hyperlink" Target="https://doi.org/10.1037/h0101833" TargetMode="External"/><Relationship Id="rId3282" Type="http://schemas.openxmlformats.org/officeDocument/2006/relationships/hyperlink" Target="https://drive.google.com/file/d/1PchnSZs-XbYmB-ZYLgQBFosMAZs-ybjf/view?usp=drivesdk" TargetMode="External"/><Relationship Id="rId154" Type="http://schemas.openxmlformats.org/officeDocument/2006/relationships/hyperlink" Target="https://www.prolific.co" TargetMode="External"/><Relationship Id="rId3285" Type="http://schemas.openxmlformats.org/officeDocument/2006/relationships/hyperlink" Target="https://doi.org/10.1037/h0101833" TargetMode="External"/><Relationship Id="rId153" Type="http://schemas.openxmlformats.org/officeDocument/2006/relationships/hyperlink" Target="https://www.prolific.co" TargetMode="External"/><Relationship Id="rId3284" Type="http://schemas.openxmlformats.org/officeDocument/2006/relationships/hyperlink" Target="https://doi.org/10.1037/h0101833" TargetMode="External"/><Relationship Id="rId152" Type="http://schemas.openxmlformats.org/officeDocument/2006/relationships/hyperlink" Target="https://www.prolific.co" TargetMode="External"/><Relationship Id="rId3287" Type="http://schemas.openxmlformats.org/officeDocument/2006/relationships/hyperlink" Target="https://osf.io/gtwrc" TargetMode="External"/><Relationship Id="rId151" Type="http://schemas.openxmlformats.org/officeDocument/2006/relationships/hyperlink" Target="https://www.prolific.co" TargetMode="External"/><Relationship Id="rId3286" Type="http://schemas.openxmlformats.org/officeDocument/2006/relationships/hyperlink" Target="https://osf.io/gtwrc" TargetMode="External"/><Relationship Id="rId158" Type="http://schemas.openxmlformats.org/officeDocument/2006/relationships/hyperlink" Target="https://doi.org/10.1002/jeab.705" TargetMode="External"/><Relationship Id="rId3289" Type="http://schemas.openxmlformats.org/officeDocument/2006/relationships/hyperlink" Target="https://doi.org/10.1037/h0101833" TargetMode="External"/><Relationship Id="rId157" Type="http://schemas.openxmlformats.org/officeDocument/2006/relationships/hyperlink" Target="https://www.prolific.co" TargetMode="External"/><Relationship Id="rId3288" Type="http://schemas.openxmlformats.org/officeDocument/2006/relationships/hyperlink" Target="https://doi.org/10.1037/h0101833" TargetMode="External"/><Relationship Id="rId156" Type="http://schemas.openxmlformats.org/officeDocument/2006/relationships/hyperlink" Target="https://www.prolific.co" TargetMode="External"/><Relationship Id="rId155" Type="http://schemas.openxmlformats.org/officeDocument/2006/relationships/hyperlink" Target="https://www.prolific.co" TargetMode="External"/><Relationship Id="rId2820" Type="http://schemas.openxmlformats.org/officeDocument/2006/relationships/hyperlink" Target="https://osf.io/d3xb7" TargetMode="External"/><Relationship Id="rId2821" Type="http://schemas.openxmlformats.org/officeDocument/2006/relationships/hyperlink" Target="https://osf.io/d3xb7" TargetMode="External"/><Relationship Id="rId2822" Type="http://schemas.openxmlformats.org/officeDocument/2006/relationships/hyperlink" Target="https://osf.io/d3xb7" TargetMode="External"/><Relationship Id="rId2823" Type="http://schemas.openxmlformats.org/officeDocument/2006/relationships/hyperlink" Target="https://osf.io/d3xb7" TargetMode="External"/><Relationship Id="rId2824" Type="http://schemas.openxmlformats.org/officeDocument/2006/relationships/hyperlink" Target="https://osf.io/d3xb7" TargetMode="External"/><Relationship Id="rId2825" Type="http://schemas.openxmlformats.org/officeDocument/2006/relationships/hyperlink" Target="https://osf.io/d3xb7" TargetMode="External"/><Relationship Id="rId2826" Type="http://schemas.openxmlformats.org/officeDocument/2006/relationships/hyperlink" Target="https://osf.io/d3xb7" TargetMode="External"/><Relationship Id="rId2827" Type="http://schemas.openxmlformats.org/officeDocument/2006/relationships/hyperlink" Target="https://osf.io/d3xb7" TargetMode="External"/><Relationship Id="rId2828" Type="http://schemas.openxmlformats.org/officeDocument/2006/relationships/hyperlink" Target="https://osf.io/d3xb7" TargetMode="External"/><Relationship Id="rId2829" Type="http://schemas.openxmlformats.org/officeDocument/2006/relationships/hyperlink" Target="https://osf.io/d3xb7" TargetMode="External"/><Relationship Id="rId2810" Type="http://schemas.openxmlformats.org/officeDocument/2006/relationships/hyperlink" Target="https://osf.io/mc3z7" TargetMode="External"/><Relationship Id="rId2811" Type="http://schemas.openxmlformats.org/officeDocument/2006/relationships/hyperlink" Target="https://osf.io/mc3z7" TargetMode="External"/><Relationship Id="rId2812" Type="http://schemas.openxmlformats.org/officeDocument/2006/relationships/hyperlink" Target="https://osf.io/d3xb7" TargetMode="External"/><Relationship Id="rId2813" Type="http://schemas.openxmlformats.org/officeDocument/2006/relationships/hyperlink" Target="https://osf.io/d3xb7" TargetMode="External"/><Relationship Id="rId2814" Type="http://schemas.openxmlformats.org/officeDocument/2006/relationships/hyperlink" Target="https://osf.io/d3xb7" TargetMode="External"/><Relationship Id="rId2815" Type="http://schemas.openxmlformats.org/officeDocument/2006/relationships/hyperlink" Target="https://osf.io/d3xb7" TargetMode="External"/><Relationship Id="rId2816" Type="http://schemas.openxmlformats.org/officeDocument/2006/relationships/hyperlink" Target="https://osf.io/d3xb7" TargetMode="External"/><Relationship Id="rId2817" Type="http://schemas.openxmlformats.org/officeDocument/2006/relationships/hyperlink" Target="https://osf.io/d3xb7" TargetMode="External"/><Relationship Id="rId2818" Type="http://schemas.openxmlformats.org/officeDocument/2006/relationships/hyperlink" Target="https://osf.io/d3xb7" TargetMode="External"/><Relationship Id="rId2819" Type="http://schemas.openxmlformats.org/officeDocument/2006/relationships/hyperlink" Target="https://osf.io/d3xb7" TargetMode="External"/><Relationship Id="rId1510" Type="http://schemas.openxmlformats.org/officeDocument/2006/relationships/hyperlink" Target="https://osf.io/j8pbk" TargetMode="External"/><Relationship Id="rId2841" Type="http://schemas.openxmlformats.org/officeDocument/2006/relationships/hyperlink" Target="https://osf.io/d3xb7" TargetMode="External"/><Relationship Id="rId1511" Type="http://schemas.openxmlformats.org/officeDocument/2006/relationships/hyperlink" Target="https://osf.io/szcuk" TargetMode="External"/><Relationship Id="rId2842" Type="http://schemas.openxmlformats.org/officeDocument/2006/relationships/hyperlink" Target="https://osf.io/d3xb7" TargetMode="External"/><Relationship Id="rId1512" Type="http://schemas.openxmlformats.org/officeDocument/2006/relationships/hyperlink" Target="https://osf.io/3kpjx" TargetMode="External"/><Relationship Id="rId2843" Type="http://schemas.openxmlformats.org/officeDocument/2006/relationships/hyperlink" Target="https://osf.io/d3xb7" TargetMode="External"/><Relationship Id="rId1513" Type="http://schemas.openxmlformats.org/officeDocument/2006/relationships/hyperlink" Target="https://osf.io/szcuk" TargetMode="External"/><Relationship Id="rId2844" Type="http://schemas.openxmlformats.org/officeDocument/2006/relationships/hyperlink" Target="https://osf.io/d3xb7" TargetMode="External"/><Relationship Id="rId1514" Type="http://schemas.openxmlformats.org/officeDocument/2006/relationships/hyperlink" Target="https://osf.io/5uw3j" TargetMode="External"/><Relationship Id="rId2845" Type="http://schemas.openxmlformats.org/officeDocument/2006/relationships/hyperlink" Target="https://osf.io/d3xb7" TargetMode="External"/><Relationship Id="rId1515" Type="http://schemas.openxmlformats.org/officeDocument/2006/relationships/hyperlink" Target="https://osf.io/qb4f4" TargetMode="External"/><Relationship Id="rId2846" Type="http://schemas.openxmlformats.org/officeDocument/2006/relationships/hyperlink" Target="https://osf.io/d3xb7" TargetMode="External"/><Relationship Id="rId1516" Type="http://schemas.openxmlformats.org/officeDocument/2006/relationships/hyperlink" Target="https://osf.io/5uw3j" TargetMode="External"/><Relationship Id="rId2847" Type="http://schemas.openxmlformats.org/officeDocument/2006/relationships/hyperlink" Target="https://osf.io/d3xb7" TargetMode="External"/><Relationship Id="rId1517" Type="http://schemas.openxmlformats.org/officeDocument/2006/relationships/hyperlink" Target="https://osf.io/367yu" TargetMode="External"/><Relationship Id="rId2848" Type="http://schemas.openxmlformats.org/officeDocument/2006/relationships/hyperlink" Target="https://osf.io/d3xb7" TargetMode="External"/><Relationship Id="rId1518" Type="http://schemas.openxmlformats.org/officeDocument/2006/relationships/hyperlink" Target="https://osf.io/69xfj" TargetMode="External"/><Relationship Id="rId2849" Type="http://schemas.openxmlformats.org/officeDocument/2006/relationships/hyperlink" Target="https://osf.io/d3xb7" TargetMode="External"/><Relationship Id="rId1519" Type="http://schemas.openxmlformats.org/officeDocument/2006/relationships/hyperlink" Target="https://osf.io/367yu" TargetMode="External"/><Relationship Id="rId2840" Type="http://schemas.openxmlformats.org/officeDocument/2006/relationships/hyperlink" Target="https://osf.io/d3xb7" TargetMode="External"/><Relationship Id="rId2830" Type="http://schemas.openxmlformats.org/officeDocument/2006/relationships/hyperlink" Target="https://osf.io/d3xb7" TargetMode="External"/><Relationship Id="rId1500" Type="http://schemas.openxmlformats.org/officeDocument/2006/relationships/hyperlink" Target="https://osf.io/wh5gb" TargetMode="External"/><Relationship Id="rId2831" Type="http://schemas.openxmlformats.org/officeDocument/2006/relationships/hyperlink" Target="https://osf.io/d3xb7" TargetMode="External"/><Relationship Id="rId1501" Type="http://schemas.openxmlformats.org/officeDocument/2006/relationships/hyperlink" Target="https://osf.io/k2teb" TargetMode="External"/><Relationship Id="rId2832" Type="http://schemas.openxmlformats.org/officeDocument/2006/relationships/hyperlink" Target="https://osf.io/d3xb7" TargetMode="External"/><Relationship Id="rId1502" Type="http://schemas.openxmlformats.org/officeDocument/2006/relationships/hyperlink" Target="https://osf.io/67mzc" TargetMode="External"/><Relationship Id="rId2833" Type="http://schemas.openxmlformats.org/officeDocument/2006/relationships/hyperlink" Target="https://osf.io/d3xb7" TargetMode="External"/><Relationship Id="rId1503" Type="http://schemas.openxmlformats.org/officeDocument/2006/relationships/hyperlink" Target="https://osf.io/r3dt9" TargetMode="External"/><Relationship Id="rId2834" Type="http://schemas.openxmlformats.org/officeDocument/2006/relationships/hyperlink" Target="https://drive.google.com/file/d/1-on_azF3SOQnkcXmO04jj2zt4-H3FlcG/view" TargetMode="External"/><Relationship Id="rId1504" Type="http://schemas.openxmlformats.org/officeDocument/2006/relationships/hyperlink" Target="https://osf.io/67mzc" TargetMode="External"/><Relationship Id="rId2835" Type="http://schemas.openxmlformats.org/officeDocument/2006/relationships/hyperlink" Target="https://osf.io/d3xb7" TargetMode="External"/><Relationship Id="rId1505" Type="http://schemas.openxmlformats.org/officeDocument/2006/relationships/hyperlink" Target="https://osf.io/zj5n3" TargetMode="External"/><Relationship Id="rId2836" Type="http://schemas.openxmlformats.org/officeDocument/2006/relationships/hyperlink" Target="https://drive.google.com/file/d/1-on_azF3SOQnkcXmO04jj2zt4-H3FlcG/view" TargetMode="External"/><Relationship Id="rId1506" Type="http://schemas.openxmlformats.org/officeDocument/2006/relationships/hyperlink" Target="https://osf.io/6h5af" TargetMode="External"/><Relationship Id="rId2837" Type="http://schemas.openxmlformats.org/officeDocument/2006/relationships/hyperlink" Target="https://osf.io/d3xb7" TargetMode="External"/><Relationship Id="rId1507" Type="http://schemas.openxmlformats.org/officeDocument/2006/relationships/hyperlink" Target="https://osf.io/zj5n3" TargetMode="External"/><Relationship Id="rId2838" Type="http://schemas.openxmlformats.org/officeDocument/2006/relationships/hyperlink" Target="https://osf.io/d3xb7" TargetMode="External"/><Relationship Id="rId1508" Type="http://schemas.openxmlformats.org/officeDocument/2006/relationships/hyperlink" Target="https://osf.io/j8pbk" TargetMode="External"/><Relationship Id="rId2839" Type="http://schemas.openxmlformats.org/officeDocument/2006/relationships/hyperlink" Target="https://osf.io/d3xb7" TargetMode="External"/><Relationship Id="rId1509" Type="http://schemas.openxmlformats.org/officeDocument/2006/relationships/hyperlink" Target="https://osf.io/jqaac" TargetMode="External"/><Relationship Id="rId2800" Type="http://schemas.openxmlformats.org/officeDocument/2006/relationships/hyperlink" Target="https://osf.io/d3xb7" TargetMode="External"/><Relationship Id="rId2801" Type="http://schemas.openxmlformats.org/officeDocument/2006/relationships/hyperlink" Target="https://osf.io/d3xb7" TargetMode="External"/><Relationship Id="rId2802" Type="http://schemas.openxmlformats.org/officeDocument/2006/relationships/hyperlink" Target="https://osf.io/d3xb7" TargetMode="External"/><Relationship Id="rId2803" Type="http://schemas.openxmlformats.org/officeDocument/2006/relationships/hyperlink" Target="https://osf.io/d3xb7" TargetMode="External"/><Relationship Id="rId2804" Type="http://schemas.openxmlformats.org/officeDocument/2006/relationships/hyperlink" Target="https://osf.io/d3xb7" TargetMode="External"/><Relationship Id="rId2805" Type="http://schemas.openxmlformats.org/officeDocument/2006/relationships/hyperlink" Target="https://osf.io/d3xb7" TargetMode="External"/><Relationship Id="rId2806" Type="http://schemas.openxmlformats.org/officeDocument/2006/relationships/hyperlink" Target="https://osf.io/d3xb7" TargetMode="External"/><Relationship Id="rId2807" Type="http://schemas.openxmlformats.org/officeDocument/2006/relationships/hyperlink" Target="https://osf.io/d3xb7" TargetMode="External"/><Relationship Id="rId2808" Type="http://schemas.openxmlformats.org/officeDocument/2006/relationships/hyperlink" Target="https://osf.io/d3xb7" TargetMode="External"/><Relationship Id="rId2809" Type="http://schemas.openxmlformats.org/officeDocument/2006/relationships/hyperlink" Target="https://osf.io/d3xb7" TargetMode="External"/><Relationship Id="rId1576" Type="http://schemas.openxmlformats.org/officeDocument/2006/relationships/hyperlink" Target="https://doi.org/10.1371/journal.pone.0096339" TargetMode="External"/><Relationship Id="rId1577" Type="http://schemas.openxmlformats.org/officeDocument/2006/relationships/hyperlink" Target="https://doi.org/10.1371/journal.pone.0096339" TargetMode="External"/><Relationship Id="rId1578" Type="http://schemas.openxmlformats.org/officeDocument/2006/relationships/hyperlink" Target="https://osf.io/y36m8" TargetMode="External"/><Relationship Id="rId1579" Type="http://schemas.openxmlformats.org/officeDocument/2006/relationships/hyperlink" Target="https://osf.io/y36m8" TargetMode="External"/><Relationship Id="rId987" Type="http://schemas.openxmlformats.org/officeDocument/2006/relationships/hyperlink" Target="https://osf.io/x4m6w" TargetMode="External"/><Relationship Id="rId986" Type="http://schemas.openxmlformats.org/officeDocument/2006/relationships/hyperlink" Target="https://github.com/vboyce/251-254-MA/blob/main/data/processed_data.csv" TargetMode="External"/><Relationship Id="rId985" Type="http://schemas.openxmlformats.org/officeDocument/2006/relationships/hyperlink" Target="https://rpubs.com/hrlarry/YUIMU-final" TargetMode="External"/><Relationship Id="rId984" Type="http://schemas.openxmlformats.org/officeDocument/2006/relationships/hyperlink" Target="https://github.com/vboyce/251-254-MA/blob/main/data/processed_data.csv" TargetMode="External"/><Relationship Id="rId989" Type="http://schemas.openxmlformats.org/officeDocument/2006/relationships/hyperlink" Target="https://rpubs.com/hrlarry/YUIMU-final" TargetMode="External"/><Relationship Id="rId988" Type="http://schemas.openxmlformats.org/officeDocument/2006/relationships/hyperlink" Target="https://rpubs.com/hrlarry/YUIMU-final" TargetMode="External"/><Relationship Id="rId1570" Type="http://schemas.openxmlformats.org/officeDocument/2006/relationships/hyperlink" Target="https://doi.org/10.1016/j.appet.2013.12.020" TargetMode="External"/><Relationship Id="rId1571" Type="http://schemas.openxmlformats.org/officeDocument/2006/relationships/hyperlink" Target="https://web.archive.org/web/20220103002744/https://github.com/eplebel/science-commons/blob/master/curated/ego-depletion/Pond%20et%20al%20(2011%2C%20Study%203)%20unpublished%20dataset%20methodological%20details.pdf" TargetMode="External"/><Relationship Id="rId983" Type="http://schemas.openxmlformats.org/officeDocument/2006/relationships/hyperlink" Target="https://osf.io/dn6gz" TargetMode="External"/><Relationship Id="rId1572" Type="http://schemas.openxmlformats.org/officeDocument/2006/relationships/hyperlink" Target="https://osf.io/cifn3" TargetMode="External"/><Relationship Id="rId982" Type="http://schemas.openxmlformats.org/officeDocument/2006/relationships/hyperlink" Target="https://osf.io/86p4e/" TargetMode="External"/><Relationship Id="rId1573" Type="http://schemas.openxmlformats.org/officeDocument/2006/relationships/hyperlink" Target="https://osf.io/cifn3" TargetMode="External"/><Relationship Id="rId981" Type="http://schemas.openxmlformats.org/officeDocument/2006/relationships/hyperlink" Target="https://rpubs.com/ennachen/psych251_finalproject" TargetMode="External"/><Relationship Id="rId1574" Type="http://schemas.openxmlformats.org/officeDocument/2006/relationships/hyperlink" Target="https://doi.org/10.1371/journal.pone.0096339" TargetMode="External"/><Relationship Id="rId980" Type="http://schemas.openxmlformats.org/officeDocument/2006/relationships/hyperlink" Target="https://rpubs.com/ennachen/psych251_finalproject" TargetMode="External"/><Relationship Id="rId1575" Type="http://schemas.openxmlformats.org/officeDocument/2006/relationships/hyperlink" Target="https://doi.org/10.1371/journal.pone.0096339" TargetMode="External"/><Relationship Id="rId1565" Type="http://schemas.openxmlformats.org/officeDocument/2006/relationships/hyperlink" Target="https://osf.io/7yfkc/files/osfstorage" TargetMode="External"/><Relationship Id="rId2896" Type="http://schemas.openxmlformats.org/officeDocument/2006/relationships/hyperlink" Target="https://osf.io/dg9m4" TargetMode="External"/><Relationship Id="rId1566" Type="http://schemas.openxmlformats.org/officeDocument/2006/relationships/hyperlink" Target="https://hdl.handle.net/11250/2990125" TargetMode="External"/><Relationship Id="rId2897" Type="http://schemas.openxmlformats.org/officeDocument/2006/relationships/hyperlink" Target="https://osf.io/dg9m4" TargetMode="External"/><Relationship Id="rId1567" Type="http://schemas.openxmlformats.org/officeDocument/2006/relationships/hyperlink" Target="https://osf.io/7yfkc/files/osfstorage" TargetMode="External"/><Relationship Id="rId2898" Type="http://schemas.openxmlformats.org/officeDocument/2006/relationships/hyperlink" Target="https://osf.io/dg9m4" TargetMode="External"/><Relationship Id="rId1568" Type="http://schemas.openxmlformats.org/officeDocument/2006/relationships/hyperlink" Target="https://hdl.handle.net/11250/2990125" TargetMode="External"/><Relationship Id="rId2899" Type="http://schemas.openxmlformats.org/officeDocument/2006/relationships/hyperlink" Target="https://osf.io/dg9m4" TargetMode="External"/><Relationship Id="rId1569" Type="http://schemas.openxmlformats.org/officeDocument/2006/relationships/hyperlink" Target="https://osf.io/7yfkc/files/osfstorage" TargetMode="External"/><Relationship Id="rId976" Type="http://schemas.openxmlformats.org/officeDocument/2006/relationships/hyperlink" Target="https://osf.io/86p4e/" TargetMode="External"/><Relationship Id="rId975" Type="http://schemas.openxmlformats.org/officeDocument/2006/relationships/hyperlink" Target="https://rpubs.com/ennachen/psych251_finalproject" TargetMode="External"/><Relationship Id="rId974" Type="http://schemas.openxmlformats.org/officeDocument/2006/relationships/hyperlink" Target="https://rpubs.com/ennachen/psych251_finalproject" TargetMode="External"/><Relationship Id="rId973" Type="http://schemas.openxmlformats.org/officeDocument/2006/relationships/hyperlink" Target="https://osf.io/86p4e/" TargetMode="External"/><Relationship Id="rId979" Type="http://schemas.openxmlformats.org/officeDocument/2006/relationships/hyperlink" Target="https://osf.io/86p4e/" TargetMode="External"/><Relationship Id="rId978" Type="http://schemas.openxmlformats.org/officeDocument/2006/relationships/hyperlink" Target="https://rpubs.com/ennachen/psych251_finalproject" TargetMode="External"/><Relationship Id="rId977" Type="http://schemas.openxmlformats.org/officeDocument/2006/relationships/hyperlink" Target="https://rpubs.com/ennachen/psych251_finalproject" TargetMode="External"/><Relationship Id="rId2890" Type="http://schemas.openxmlformats.org/officeDocument/2006/relationships/hyperlink" Target="https://osf.io/dg9m4" TargetMode="External"/><Relationship Id="rId1560" Type="http://schemas.openxmlformats.org/officeDocument/2006/relationships/hyperlink" Target="https://hdl.handle.net/11250/2990125" TargetMode="External"/><Relationship Id="rId2891" Type="http://schemas.openxmlformats.org/officeDocument/2006/relationships/hyperlink" Target="https://osf.io/dg9m4" TargetMode="External"/><Relationship Id="rId972" Type="http://schemas.openxmlformats.org/officeDocument/2006/relationships/hyperlink" Target="https://rpubs.com/ennachen/psych251_finalproject" TargetMode="External"/><Relationship Id="rId1561" Type="http://schemas.openxmlformats.org/officeDocument/2006/relationships/hyperlink" Target="https://osf.io/7yfkc/files/osfstorage" TargetMode="External"/><Relationship Id="rId2892" Type="http://schemas.openxmlformats.org/officeDocument/2006/relationships/hyperlink" Target="https://osf.io/dg9m4" TargetMode="External"/><Relationship Id="rId971" Type="http://schemas.openxmlformats.org/officeDocument/2006/relationships/hyperlink" Target="https://rpubs.com/ennachen/psych251_finalproject" TargetMode="External"/><Relationship Id="rId1562" Type="http://schemas.openxmlformats.org/officeDocument/2006/relationships/hyperlink" Target="https://hdl.handle.net/11250/2990125" TargetMode="External"/><Relationship Id="rId2893" Type="http://schemas.openxmlformats.org/officeDocument/2006/relationships/hyperlink" Target="https://osf.io/dg9m4" TargetMode="External"/><Relationship Id="rId970" Type="http://schemas.openxmlformats.org/officeDocument/2006/relationships/hyperlink" Target="https://osf.io/86p4e/" TargetMode="External"/><Relationship Id="rId1563" Type="http://schemas.openxmlformats.org/officeDocument/2006/relationships/hyperlink" Target="https://osf.io/7yfkc/files/osfstorage" TargetMode="External"/><Relationship Id="rId2894" Type="http://schemas.openxmlformats.org/officeDocument/2006/relationships/hyperlink" Target="https://osf.io/dg9m4" TargetMode="External"/><Relationship Id="rId1564" Type="http://schemas.openxmlformats.org/officeDocument/2006/relationships/hyperlink" Target="https://hdl.handle.net/11250/2990125" TargetMode="External"/><Relationship Id="rId2895" Type="http://schemas.openxmlformats.org/officeDocument/2006/relationships/hyperlink" Target="https://osf.io/d3xb7" TargetMode="External"/><Relationship Id="rId1598" Type="http://schemas.openxmlformats.org/officeDocument/2006/relationships/hyperlink" Target="https://web.archive.org/web/20220103002614/https://web.archive.org/web/20170923095521/http://psychfiledrawer.org/replication.php?attempt=MTc2" TargetMode="External"/><Relationship Id="rId1599" Type="http://schemas.openxmlformats.org/officeDocument/2006/relationships/hyperlink" Target="https://web.archive.org/web/20220128104303mp_/https://curatescience.org/app/replications" TargetMode="External"/><Relationship Id="rId1590" Type="http://schemas.openxmlformats.org/officeDocument/2006/relationships/hyperlink" Target="https://osf.io/scayl" TargetMode="External"/><Relationship Id="rId1591" Type="http://schemas.openxmlformats.org/officeDocument/2006/relationships/hyperlink" Target="https://doi.org/10.1037/0022-3514.71.2.230." TargetMode="External"/><Relationship Id="rId1592" Type="http://schemas.openxmlformats.org/officeDocument/2006/relationships/hyperlink" Target="https://doi.org/10.1037/0022-3514.71.2.230." TargetMode="External"/><Relationship Id="rId1593" Type="http://schemas.openxmlformats.org/officeDocument/2006/relationships/hyperlink" Target="https://doi.org/10.1037/0022-3514.71.2.230." TargetMode="External"/><Relationship Id="rId1594" Type="http://schemas.openxmlformats.org/officeDocument/2006/relationships/hyperlink" Target="https://doi.org/10.1037/0022-3514.71.2.230." TargetMode="External"/><Relationship Id="rId1595" Type="http://schemas.openxmlformats.org/officeDocument/2006/relationships/hyperlink" Target="https://doi.org/10.1037/0022-3514.71.2.230." TargetMode="External"/><Relationship Id="rId1596" Type="http://schemas.openxmlformats.org/officeDocument/2006/relationships/hyperlink" Target="https://doi.org/10.1037/0022-3514.71.2.230." TargetMode="External"/><Relationship Id="rId1597" Type="http://schemas.openxmlformats.org/officeDocument/2006/relationships/hyperlink" Target="https://web.archive.org/web/20220128104303mp_/https://curatescience.org/app/replications" TargetMode="External"/><Relationship Id="rId1587" Type="http://schemas.openxmlformats.org/officeDocument/2006/relationships/hyperlink" Target="https://osf.io/y36m8" TargetMode="External"/><Relationship Id="rId1588" Type="http://schemas.openxmlformats.org/officeDocument/2006/relationships/hyperlink" Target="https://doi.org/10.1037/0022-3514.83.1.44" TargetMode="External"/><Relationship Id="rId1589" Type="http://schemas.openxmlformats.org/officeDocument/2006/relationships/hyperlink" Target="https://osf.io/y36m8" TargetMode="External"/><Relationship Id="rId998" Type="http://schemas.openxmlformats.org/officeDocument/2006/relationships/hyperlink" Target="https://rpubs.com/hrlarry/YUIMU-final" TargetMode="External"/><Relationship Id="rId997" Type="http://schemas.openxmlformats.org/officeDocument/2006/relationships/hyperlink" Target="https://rpubs.com/hrlarry/YUIMU-final" TargetMode="External"/><Relationship Id="rId996" Type="http://schemas.openxmlformats.org/officeDocument/2006/relationships/hyperlink" Target="https://rpubs.com/hrlarry/YUIMU-final" TargetMode="External"/><Relationship Id="rId995" Type="http://schemas.openxmlformats.org/officeDocument/2006/relationships/hyperlink" Target="https://osf.io/x4m6w" TargetMode="External"/><Relationship Id="rId999" Type="http://schemas.openxmlformats.org/officeDocument/2006/relationships/hyperlink" Target="https://osf.io/x4m6w" TargetMode="External"/><Relationship Id="rId990" Type="http://schemas.openxmlformats.org/officeDocument/2006/relationships/hyperlink" Target="https://rpubs.com/hrlarry/YUIMU-final" TargetMode="External"/><Relationship Id="rId1580" Type="http://schemas.openxmlformats.org/officeDocument/2006/relationships/hyperlink" Target="https://doi.org/10.1037/0022-3514.71.2.230." TargetMode="External"/><Relationship Id="rId1581" Type="http://schemas.openxmlformats.org/officeDocument/2006/relationships/hyperlink" Target="https://doi.org/10.1037/0022-3514.71.2.230." TargetMode="External"/><Relationship Id="rId1582" Type="http://schemas.openxmlformats.org/officeDocument/2006/relationships/hyperlink" Target="https://doi.org/10.1037/0022-3514.71.2.230." TargetMode="External"/><Relationship Id="rId994" Type="http://schemas.openxmlformats.org/officeDocument/2006/relationships/hyperlink" Target="https://rpubs.com/hrlarry/YUIMU-final" TargetMode="External"/><Relationship Id="rId1583" Type="http://schemas.openxmlformats.org/officeDocument/2006/relationships/hyperlink" Target="https://doi.org/10.1037/0022-3514.71.2.230." TargetMode="External"/><Relationship Id="rId993" Type="http://schemas.openxmlformats.org/officeDocument/2006/relationships/hyperlink" Target="https://rpubs.com/hrlarry/YUIMU-final" TargetMode="External"/><Relationship Id="rId1584" Type="http://schemas.openxmlformats.org/officeDocument/2006/relationships/hyperlink" Target="https://doi.org/10.1037/0022-3514.71.2.230." TargetMode="External"/><Relationship Id="rId992" Type="http://schemas.openxmlformats.org/officeDocument/2006/relationships/hyperlink" Target="https://rpubs.com/hrlarry/YUIMU-final" TargetMode="External"/><Relationship Id="rId1585" Type="http://schemas.openxmlformats.org/officeDocument/2006/relationships/hyperlink" Target="https://doi.org/10.1037/0022-3514.71.2.230." TargetMode="External"/><Relationship Id="rId991" Type="http://schemas.openxmlformats.org/officeDocument/2006/relationships/hyperlink" Target="https://osf.io/x4m6w" TargetMode="External"/><Relationship Id="rId1586" Type="http://schemas.openxmlformats.org/officeDocument/2006/relationships/hyperlink" Target="https://osf.io/y36m8" TargetMode="External"/><Relationship Id="rId1532" Type="http://schemas.openxmlformats.org/officeDocument/2006/relationships/hyperlink" Target="https://osf.io/kmqtq" TargetMode="External"/><Relationship Id="rId2863" Type="http://schemas.openxmlformats.org/officeDocument/2006/relationships/hyperlink" Target="https://osf.io/d3xb7" TargetMode="External"/><Relationship Id="rId1533" Type="http://schemas.openxmlformats.org/officeDocument/2006/relationships/hyperlink" Target="https://osf.io/s48ht" TargetMode="External"/><Relationship Id="rId2864" Type="http://schemas.openxmlformats.org/officeDocument/2006/relationships/hyperlink" Target="https://osf.io/d3xb7" TargetMode="External"/><Relationship Id="rId1534" Type="http://schemas.openxmlformats.org/officeDocument/2006/relationships/hyperlink" Target="https://osf.io/r4dve" TargetMode="External"/><Relationship Id="rId2865" Type="http://schemas.openxmlformats.org/officeDocument/2006/relationships/hyperlink" Target="https://osf.io/d3xb7" TargetMode="External"/><Relationship Id="rId1535" Type="http://schemas.openxmlformats.org/officeDocument/2006/relationships/hyperlink" Target="https://osf.io/g4phs" TargetMode="External"/><Relationship Id="rId2866" Type="http://schemas.openxmlformats.org/officeDocument/2006/relationships/hyperlink" Target="https://osf.io/d3xb7" TargetMode="External"/><Relationship Id="rId1536" Type="http://schemas.openxmlformats.org/officeDocument/2006/relationships/hyperlink" Target="https://osf.io/r4dve" TargetMode="External"/><Relationship Id="rId2867" Type="http://schemas.openxmlformats.org/officeDocument/2006/relationships/hyperlink" Target="https://osf.io/dg9m4" TargetMode="External"/><Relationship Id="rId1537" Type="http://schemas.openxmlformats.org/officeDocument/2006/relationships/hyperlink" Target="https://osf.io/7ch92" TargetMode="External"/><Relationship Id="rId2868" Type="http://schemas.openxmlformats.org/officeDocument/2006/relationships/hyperlink" Target="https://osf.io/dg9m4" TargetMode="External"/><Relationship Id="rId1538" Type="http://schemas.openxmlformats.org/officeDocument/2006/relationships/hyperlink" Target="https://osf.io/mwzdy" TargetMode="External"/><Relationship Id="rId2869" Type="http://schemas.openxmlformats.org/officeDocument/2006/relationships/hyperlink" Target="https://osf.io/dg9m4" TargetMode="External"/><Relationship Id="rId1539" Type="http://schemas.openxmlformats.org/officeDocument/2006/relationships/hyperlink" Target="https://osf.io/7ch92" TargetMode="External"/><Relationship Id="rId949" Type="http://schemas.openxmlformats.org/officeDocument/2006/relationships/hyperlink" Target="https://osf.io/3ay42" TargetMode="External"/><Relationship Id="rId948" Type="http://schemas.openxmlformats.org/officeDocument/2006/relationships/hyperlink" Target="https://github.com/psych251/Semrow2019/blob/master/writeup/Apaza_replication_Semrow.html" TargetMode="External"/><Relationship Id="rId943" Type="http://schemas.openxmlformats.org/officeDocument/2006/relationships/hyperlink" Target="https://osf.io/xhz4q/" TargetMode="External"/><Relationship Id="rId942" Type="http://schemas.openxmlformats.org/officeDocument/2006/relationships/hyperlink" Target="https://osf.io/y65ze/" TargetMode="External"/><Relationship Id="rId941" Type="http://schemas.openxmlformats.org/officeDocument/2006/relationships/hyperlink" Target="https://osf.io/y65ze/" TargetMode="External"/><Relationship Id="rId940" Type="http://schemas.openxmlformats.org/officeDocument/2006/relationships/hyperlink" Target="https://osf.io/y65ze/" TargetMode="External"/><Relationship Id="rId947" Type="http://schemas.openxmlformats.org/officeDocument/2006/relationships/hyperlink" Target="https://github.com/psych251/Semrow2019/blob/master/writeup/Apaza_replication_Semrow.html" TargetMode="External"/><Relationship Id="rId946" Type="http://schemas.openxmlformats.org/officeDocument/2006/relationships/hyperlink" Target="https://osf.io/3ay42" TargetMode="External"/><Relationship Id="rId945" Type="http://schemas.openxmlformats.org/officeDocument/2006/relationships/hyperlink" Target="https://github.com/psych251/Semrow2019/blob/master/writeup/Apaza_replication_Semrow.html" TargetMode="External"/><Relationship Id="rId944" Type="http://schemas.openxmlformats.org/officeDocument/2006/relationships/hyperlink" Target="https://github.com/psych251/Semrow2019/blob/master/writeup/Apaza_replication_Semrow.html" TargetMode="External"/><Relationship Id="rId2860" Type="http://schemas.openxmlformats.org/officeDocument/2006/relationships/hyperlink" Target="https://osf.io/d3xb7" TargetMode="External"/><Relationship Id="rId1530" Type="http://schemas.openxmlformats.org/officeDocument/2006/relationships/hyperlink" Target="https://osf.io/kchf9" TargetMode="External"/><Relationship Id="rId2861" Type="http://schemas.openxmlformats.org/officeDocument/2006/relationships/hyperlink" Target="https://osf.io/d3xb7" TargetMode="External"/><Relationship Id="rId1531" Type="http://schemas.openxmlformats.org/officeDocument/2006/relationships/hyperlink" Target="https://osf.io/s48ht" TargetMode="External"/><Relationship Id="rId2862" Type="http://schemas.openxmlformats.org/officeDocument/2006/relationships/hyperlink" Target="https://osf.io/d3xb7" TargetMode="External"/><Relationship Id="rId1521" Type="http://schemas.openxmlformats.org/officeDocument/2006/relationships/hyperlink" Target="https://osf.io/b4ga9" TargetMode="External"/><Relationship Id="rId2852" Type="http://schemas.openxmlformats.org/officeDocument/2006/relationships/hyperlink" Target="https://osf.io/d3xb7" TargetMode="External"/><Relationship Id="rId1522" Type="http://schemas.openxmlformats.org/officeDocument/2006/relationships/hyperlink" Target="https://osf.io/84fyw" TargetMode="External"/><Relationship Id="rId2853" Type="http://schemas.openxmlformats.org/officeDocument/2006/relationships/hyperlink" Target="https://osf.io/d3xb7" TargetMode="External"/><Relationship Id="rId1523" Type="http://schemas.openxmlformats.org/officeDocument/2006/relationships/hyperlink" Target="https://osf.io/qwked" TargetMode="External"/><Relationship Id="rId2854" Type="http://schemas.openxmlformats.org/officeDocument/2006/relationships/hyperlink" Target="https://osf.io/d3xb7" TargetMode="External"/><Relationship Id="rId1524" Type="http://schemas.openxmlformats.org/officeDocument/2006/relationships/hyperlink" Target="https://osf.io/27cuc" TargetMode="External"/><Relationship Id="rId2855" Type="http://schemas.openxmlformats.org/officeDocument/2006/relationships/hyperlink" Target="https://osf.io/d3xb7" TargetMode="External"/><Relationship Id="rId1525" Type="http://schemas.openxmlformats.org/officeDocument/2006/relationships/hyperlink" Target="https://osf.io/qwked" TargetMode="External"/><Relationship Id="rId2856" Type="http://schemas.openxmlformats.org/officeDocument/2006/relationships/hyperlink" Target="https://osf.io/d3xb7" TargetMode="External"/><Relationship Id="rId1526" Type="http://schemas.openxmlformats.org/officeDocument/2006/relationships/hyperlink" Target="https://osf.io/t64fw" TargetMode="External"/><Relationship Id="rId2857" Type="http://schemas.openxmlformats.org/officeDocument/2006/relationships/hyperlink" Target="https://osf.io/d3xb7" TargetMode="External"/><Relationship Id="rId1527" Type="http://schemas.openxmlformats.org/officeDocument/2006/relationships/hyperlink" Target="https://osf.io/drvhe" TargetMode="External"/><Relationship Id="rId2858" Type="http://schemas.openxmlformats.org/officeDocument/2006/relationships/hyperlink" Target="https://osf.io/d3xb7" TargetMode="External"/><Relationship Id="rId1528" Type="http://schemas.openxmlformats.org/officeDocument/2006/relationships/hyperlink" Target="https://osf.io/kchf9" TargetMode="External"/><Relationship Id="rId2859" Type="http://schemas.openxmlformats.org/officeDocument/2006/relationships/hyperlink" Target="https://osf.io/d3xb7" TargetMode="External"/><Relationship Id="rId1529" Type="http://schemas.openxmlformats.org/officeDocument/2006/relationships/hyperlink" Target="https://osf.io/yrbq9" TargetMode="External"/><Relationship Id="rId939" Type="http://schemas.openxmlformats.org/officeDocument/2006/relationships/hyperlink" Target="https://osf.io/y65ze/" TargetMode="External"/><Relationship Id="rId938" Type="http://schemas.openxmlformats.org/officeDocument/2006/relationships/hyperlink" Target="https://osf.io/y65ze/" TargetMode="External"/><Relationship Id="rId937" Type="http://schemas.openxmlformats.org/officeDocument/2006/relationships/hyperlink" Target="https://osf.io/y65ze/" TargetMode="External"/><Relationship Id="rId932" Type="http://schemas.openxmlformats.org/officeDocument/2006/relationships/hyperlink" Target="https://github.com/vboyce/251-254-MA/blob/main/data/processed_data.csv" TargetMode="External"/><Relationship Id="rId931" Type="http://schemas.openxmlformats.org/officeDocument/2006/relationships/hyperlink" Target="https://osf.io/y65ze/" TargetMode="External"/><Relationship Id="rId930" Type="http://schemas.openxmlformats.org/officeDocument/2006/relationships/hyperlink" Target="https://github.com/vboyce/251-254-MA/blob/main/data/processed_data.csv" TargetMode="External"/><Relationship Id="rId936" Type="http://schemas.openxmlformats.org/officeDocument/2006/relationships/hyperlink" Target="https://osf.io/y65ze/" TargetMode="External"/><Relationship Id="rId935" Type="http://schemas.openxmlformats.org/officeDocument/2006/relationships/hyperlink" Target="https://osf.io/y65ze/" TargetMode="External"/><Relationship Id="rId934" Type="http://schemas.openxmlformats.org/officeDocument/2006/relationships/hyperlink" Target="https://osf.io/y65ze/" TargetMode="External"/><Relationship Id="rId933" Type="http://schemas.openxmlformats.org/officeDocument/2006/relationships/hyperlink" Target="https://osf.io/y65ze/" TargetMode="External"/><Relationship Id="rId2850" Type="http://schemas.openxmlformats.org/officeDocument/2006/relationships/hyperlink" Target="https://osf.io/d3xb7" TargetMode="External"/><Relationship Id="rId1520" Type="http://schemas.openxmlformats.org/officeDocument/2006/relationships/hyperlink" Target="https://osf.io/84fyw" TargetMode="External"/><Relationship Id="rId2851" Type="http://schemas.openxmlformats.org/officeDocument/2006/relationships/hyperlink" Target="https://osf.io/d3xb7" TargetMode="External"/><Relationship Id="rId1554" Type="http://schemas.openxmlformats.org/officeDocument/2006/relationships/hyperlink" Target="https://hdl.handle.net/11250/2990125" TargetMode="External"/><Relationship Id="rId2885" Type="http://schemas.openxmlformats.org/officeDocument/2006/relationships/hyperlink" Target="https://osf.io/dg9m4" TargetMode="External"/><Relationship Id="rId1555" Type="http://schemas.openxmlformats.org/officeDocument/2006/relationships/hyperlink" Target="https://osf.io/7yfkc/files/osfstorage" TargetMode="External"/><Relationship Id="rId2886" Type="http://schemas.openxmlformats.org/officeDocument/2006/relationships/hyperlink" Target="https://osf.io/dg9m4" TargetMode="External"/><Relationship Id="rId1556" Type="http://schemas.openxmlformats.org/officeDocument/2006/relationships/hyperlink" Target="https://hdl.handle.net/11250/2990125" TargetMode="External"/><Relationship Id="rId2887" Type="http://schemas.openxmlformats.org/officeDocument/2006/relationships/hyperlink" Target="https://osf.io/dg9m4" TargetMode="External"/><Relationship Id="rId1557" Type="http://schemas.openxmlformats.org/officeDocument/2006/relationships/hyperlink" Target="https://osf.io/7yfkc/files/osfstorage" TargetMode="External"/><Relationship Id="rId2888" Type="http://schemas.openxmlformats.org/officeDocument/2006/relationships/hyperlink" Target="https://osf.io/dg9m4" TargetMode="External"/><Relationship Id="rId1558" Type="http://schemas.openxmlformats.org/officeDocument/2006/relationships/hyperlink" Target="https://hdl.handle.net/11250/2990125" TargetMode="External"/><Relationship Id="rId2889" Type="http://schemas.openxmlformats.org/officeDocument/2006/relationships/hyperlink" Target="https://osf.io/dg9m4" TargetMode="External"/><Relationship Id="rId1559" Type="http://schemas.openxmlformats.org/officeDocument/2006/relationships/hyperlink" Target="https://osf.io/7yfkc/files/osfstorage" TargetMode="External"/><Relationship Id="rId965" Type="http://schemas.openxmlformats.org/officeDocument/2006/relationships/hyperlink" Target="https://osf.io/fzm68" TargetMode="External"/><Relationship Id="rId964" Type="http://schemas.openxmlformats.org/officeDocument/2006/relationships/hyperlink" Target="https://osf.io/fzm68" TargetMode="External"/><Relationship Id="rId963" Type="http://schemas.openxmlformats.org/officeDocument/2006/relationships/hyperlink" Target="https://rpubs.com/wuphins/159194." TargetMode="External"/><Relationship Id="rId962" Type="http://schemas.openxmlformats.org/officeDocument/2006/relationships/hyperlink" Target="https://rpubs.com/wuphins/159194" TargetMode="External"/><Relationship Id="rId969" Type="http://schemas.openxmlformats.org/officeDocument/2006/relationships/hyperlink" Target="https://rpubs.com/ennachen/psych251_finalproject" TargetMode="External"/><Relationship Id="rId968" Type="http://schemas.openxmlformats.org/officeDocument/2006/relationships/hyperlink" Target="https://rpubs.com/ennachen/psych251_finalproject" TargetMode="External"/><Relationship Id="rId967" Type="http://schemas.openxmlformats.org/officeDocument/2006/relationships/hyperlink" Target="https://github.com/vboyce/251-254-MA/blob/main/data/processed_data.csv" TargetMode="External"/><Relationship Id="rId966" Type="http://schemas.openxmlformats.org/officeDocument/2006/relationships/hyperlink" Target="https://github.com/vboyce/251-254-MA/blob/main/data/processed_data.csv" TargetMode="External"/><Relationship Id="rId2880" Type="http://schemas.openxmlformats.org/officeDocument/2006/relationships/hyperlink" Target="https://osf.io/dg9m4" TargetMode="External"/><Relationship Id="rId961" Type="http://schemas.openxmlformats.org/officeDocument/2006/relationships/hyperlink" Target="https://github.com/vboyce/251-254-MA/blob/main/data/processed_data.csv" TargetMode="External"/><Relationship Id="rId1550" Type="http://schemas.openxmlformats.org/officeDocument/2006/relationships/hyperlink" Target="https://hdl.handle.net/11250/2990125" TargetMode="External"/><Relationship Id="rId2881" Type="http://schemas.openxmlformats.org/officeDocument/2006/relationships/hyperlink" Target="https://osf.io/dg9m4" TargetMode="External"/><Relationship Id="rId960" Type="http://schemas.openxmlformats.org/officeDocument/2006/relationships/hyperlink" Target="https://rpubs.com/wuphins/159194" TargetMode="External"/><Relationship Id="rId1551" Type="http://schemas.openxmlformats.org/officeDocument/2006/relationships/hyperlink" Target="https://osf.io/7yfkc/files/osfstorage" TargetMode="External"/><Relationship Id="rId2882" Type="http://schemas.openxmlformats.org/officeDocument/2006/relationships/hyperlink" Target="https://osf.io/dg9m4" TargetMode="External"/><Relationship Id="rId1552" Type="http://schemas.openxmlformats.org/officeDocument/2006/relationships/hyperlink" Target="https://hdl.handle.net/11250/2990125" TargetMode="External"/><Relationship Id="rId2883" Type="http://schemas.openxmlformats.org/officeDocument/2006/relationships/hyperlink" Target="https://osf.io/dg9m4" TargetMode="External"/><Relationship Id="rId1553" Type="http://schemas.openxmlformats.org/officeDocument/2006/relationships/hyperlink" Target="https://osf.io/7yfkc/files/osfstorage" TargetMode="External"/><Relationship Id="rId2884" Type="http://schemas.openxmlformats.org/officeDocument/2006/relationships/hyperlink" Target="https://osf.io/dg9m4" TargetMode="External"/><Relationship Id="rId1543" Type="http://schemas.openxmlformats.org/officeDocument/2006/relationships/hyperlink" Target="https://osf.io/knh6y" TargetMode="External"/><Relationship Id="rId2874" Type="http://schemas.openxmlformats.org/officeDocument/2006/relationships/hyperlink" Target="https://drive.google.com/file/d/1-on_azF3SOQnkcXmO04jj2zt4-H3FlcG/view" TargetMode="External"/><Relationship Id="rId1544" Type="http://schemas.openxmlformats.org/officeDocument/2006/relationships/hyperlink" Target="https://osf.io/srgg5" TargetMode="External"/><Relationship Id="rId2875" Type="http://schemas.openxmlformats.org/officeDocument/2006/relationships/hyperlink" Target="https://osf.io/dg9m4" TargetMode="External"/><Relationship Id="rId1545" Type="http://schemas.openxmlformats.org/officeDocument/2006/relationships/hyperlink" Target="https://osf.io/knh6y" TargetMode="External"/><Relationship Id="rId2876" Type="http://schemas.openxmlformats.org/officeDocument/2006/relationships/hyperlink" Target="https://drive.google.com/file/d/1-on_azF3SOQnkcXmO04jj2zt4-H3FlcG/view" TargetMode="External"/><Relationship Id="rId1546" Type="http://schemas.openxmlformats.org/officeDocument/2006/relationships/hyperlink" Target="https://web.archive.org/web/20191201181415/http://psychfiledrawer.org/replication.php?attempt=MTc3" TargetMode="External"/><Relationship Id="rId2877" Type="http://schemas.openxmlformats.org/officeDocument/2006/relationships/hyperlink" Target="https://osf.io/dg9m4" TargetMode="External"/><Relationship Id="rId1547" Type="http://schemas.openxmlformats.org/officeDocument/2006/relationships/hyperlink" Target="https://web.archive.org/web/20190426092919/http://psychfiledrawer.org/replication.php?attempt=MTc3" TargetMode="External"/><Relationship Id="rId2878" Type="http://schemas.openxmlformats.org/officeDocument/2006/relationships/hyperlink" Target="https://osf.io/dg9m4" TargetMode="External"/><Relationship Id="rId1548" Type="http://schemas.openxmlformats.org/officeDocument/2006/relationships/hyperlink" Target="https://drive.google.com/file/d/1DDCuEgQah24QordxkRGO0EIt6Q681jyL/view" TargetMode="External"/><Relationship Id="rId2879" Type="http://schemas.openxmlformats.org/officeDocument/2006/relationships/hyperlink" Target="https://osf.io/dg9m4" TargetMode="External"/><Relationship Id="rId1549" Type="http://schemas.openxmlformats.org/officeDocument/2006/relationships/hyperlink" Target="https://drive.google.com/file/d/1DDCuEgQah24QordxkRGO0EIt6Q681jyL/view" TargetMode="External"/><Relationship Id="rId959" Type="http://schemas.openxmlformats.org/officeDocument/2006/relationships/hyperlink" Target="https://rpubs.com/wuphins/159194" TargetMode="External"/><Relationship Id="rId954" Type="http://schemas.openxmlformats.org/officeDocument/2006/relationships/hyperlink" Target="https://osf.io/p5hvr" TargetMode="External"/><Relationship Id="rId953" Type="http://schemas.openxmlformats.org/officeDocument/2006/relationships/hyperlink" Target="https://osf.io/p5hvr" TargetMode="External"/><Relationship Id="rId952" Type="http://schemas.openxmlformats.org/officeDocument/2006/relationships/hyperlink" Target="https://osf.io/3ay42" TargetMode="External"/><Relationship Id="rId951" Type="http://schemas.openxmlformats.org/officeDocument/2006/relationships/hyperlink" Target="https://github.com/psych251/Semrow2019/blob/master/writeup/Apaza_replication_Semrow.html" TargetMode="External"/><Relationship Id="rId958" Type="http://schemas.openxmlformats.org/officeDocument/2006/relationships/hyperlink" Target="https://rpubs.com/wuphins/159194" TargetMode="External"/><Relationship Id="rId957" Type="http://schemas.openxmlformats.org/officeDocument/2006/relationships/hyperlink" Target="https://rpubs.com/wuphins/159194" TargetMode="External"/><Relationship Id="rId956" Type="http://schemas.openxmlformats.org/officeDocument/2006/relationships/hyperlink" Target="https://github.com/vboyce/251-254-MA/blob/main/data/processed_data.csv" TargetMode="External"/><Relationship Id="rId955" Type="http://schemas.openxmlformats.org/officeDocument/2006/relationships/hyperlink" Target="https://rpubs.com/wuphins/159194" TargetMode="External"/><Relationship Id="rId950" Type="http://schemas.openxmlformats.org/officeDocument/2006/relationships/hyperlink" Target="https://github.com/psych251/Semrow2019/blob/master/writeup/Apaza_replication_Semrow.html" TargetMode="External"/><Relationship Id="rId2870" Type="http://schemas.openxmlformats.org/officeDocument/2006/relationships/hyperlink" Target="https://osf.io/dg9m4" TargetMode="External"/><Relationship Id="rId1540" Type="http://schemas.openxmlformats.org/officeDocument/2006/relationships/hyperlink" Target="https://osf.io/2mtr3" TargetMode="External"/><Relationship Id="rId2871" Type="http://schemas.openxmlformats.org/officeDocument/2006/relationships/hyperlink" Target="https://osf.io/dg9m4" TargetMode="External"/><Relationship Id="rId1541" Type="http://schemas.openxmlformats.org/officeDocument/2006/relationships/hyperlink" Target="https://osf.io/kgwf6" TargetMode="External"/><Relationship Id="rId2872" Type="http://schemas.openxmlformats.org/officeDocument/2006/relationships/hyperlink" Target="https://osf.io/dg9m4" TargetMode="External"/><Relationship Id="rId1542" Type="http://schemas.openxmlformats.org/officeDocument/2006/relationships/hyperlink" Target="https://osf.io/mgjxv" TargetMode="External"/><Relationship Id="rId2873" Type="http://schemas.openxmlformats.org/officeDocument/2006/relationships/hyperlink" Target="https://osf.io/dg9m4" TargetMode="External"/><Relationship Id="rId2027" Type="http://schemas.openxmlformats.org/officeDocument/2006/relationships/hyperlink" Target="https://osf.io/ejcfw" TargetMode="External"/><Relationship Id="rId3359" Type="http://schemas.openxmlformats.org/officeDocument/2006/relationships/hyperlink" Target="https://drive.google.com/file/d/1D5xW9DsPph5s0bUKFKsmaGST3y2HupAr/view?usp=drivesdk" TargetMode="External"/><Relationship Id="rId2028" Type="http://schemas.openxmlformats.org/officeDocument/2006/relationships/hyperlink" Target="https://osf.io/ejcfw" TargetMode="External"/><Relationship Id="rId3358" Type="http://schemas.openxmlformats.org/officeDocument/2006/relationships/hyperlink" Target="https://drive.google.com/file/d/1D5xW9DsPph5s0bUKFKsmaGST3y2HupAr/view?usp=drivesdk" TargetMode="External"/><Relationship Id="rId2029" Type="http://schemas.openxmlformats.org/officeDocument/2006/relationships/hyperlink" Target="https://osf.io/ejcfw" TargetMode="External"/><Relationship Id="rId107" Type="http://schemas.openxmlformats.org/officeDocument/2006/relationships/hyperlink" Target="https://aspredicted.org/" TargetMode="External"/><Relationship Id="rId106" Type="http://schemas.openxmlformats.org/officeDocument/2006/relationships/hyperlink" Target="https://aspredicted.org/" TargetMode="External"/><Relationship Id="rId105" Type="http://schemas.openxmlformats.org/officeDocument/2006/relationships/hyperlink" Target="https://doi.org/10.1016/j.drugalcdep.2024.111323" TargetMode="External"/><Relationship Id="rId104" Type="http://schemas.openxmlformats.org/officeDocument/2006/relationships/hyperlink" Target="https://doi.org/10.1016/j.drugalcdep.2024.111323" TargetMode="External"/><Relationship Id="rId109" Type="http://schemas.openxmlformats.org/officeDocument/2006/relationships/hyperlink" Target="https://aspredicted.org/" TargetMode="External"/><Relationship Id="rId108" Type="http://schemas.openxmlformats.org/officeDocument/2006/relationships/hyperlink" Target="https://doi.org/10.1016/j.drugalcdep.2024.111323" TargetMode="External"/><Relationship Id="rId3351" Type="http://schemas.openxmlformats.org/officeDocument/2006/relationships/hyperlink" Target="https://drive.google.com/file/d/1D5xW9DsPph5s0bUKFKsmaGST3y2HupAr/view?usp=drivesdk" TargetMode="External"/><Relationship Id="rId2020" Type="http://schemas.openxmlformats.org/officeDocument/2006/relationships/hyperlink" Target="https://osf.io/ejcfw" TargetMode="External"/><Relationship Id="rId3350" Type="http://schemas.openxmlformats.org/officeDocument/2006/relationships/hyperlink" Target="https://drive.google.com/file/d/1D5xW9DsPph5s0bUKFKsmaGST3y2HupAr/view?usp=drivesdk" TargetMode="External"/><Relationship Id="rId2021" Type="http://schemas.openxmlformats.org/officeDocument/2006/relationships/hyperlink" Target="https://osf.io/ejcfw" TargetMode="External"/><Relationship Id="rId3353" Type="http://schemas.openxmlformats.org/officeDocument/2006/relationships/hyperlink" Target="https://drive.google.com/file/d/1D5xW9DsPph5s0bUKFKsmaGST3y2HupAr/view?usp=drivesdk" TargetMode="External"/><Relationship Id="rId2022" Type="http://schemas.openxmlformats.org/officeDocument/2006/relationships/hyperlink" Target="https://osf.io/ejcfw" TargetMode="External"/><Relationship Id="rId3352" Type="http://schemas.openxmlformats.org/officeDocument/2006/relationships/hyperlink" Target="https://drive.google.com/file/d/1D5xW9DsPph5s0bUKFKsmaGST3y2HupAr/view?usp=drivesdk" TargetMode="External"/><Relationship Id="rId103" Type="http://schemas.openxmlformats.org/officeDocument/2006/relationships/hyperlink" Target="https://aspredicted.org/" TargetMode="External"/><Relationship Id="rId2023" Type="http://schemas.openxmlformats.org/officeDocument/2006/relationships/hyperlink" Target="https://osf.io/ejcfw" TargetMode="External"/><Relationship Id="rId3355" Type="http://schemas.openxmlformats.org/officeDocument/2006/relationships/hyperlink" Target="https://drive.google.com/file/d/1D5xW9DsPph5s0bUKFKsmaGST3y2HupAr/view?usp=drivesdk" TargetMode="External"/><Relationship Id="rId102" Type="http://schemas.openxmlformats.org/officeDocument/2006/relationships/hyperlink" Target="https://aspredicted.org/" TargetMode="External"/><Relationship Id="rId2024" Type="http://schemas.openxmlformats.org/officeDocument/2006/relationships/hyperlink" Target="https://osf.io/ejcfw" TargetMode="External"/><Relationship Id="rId3354" Type="http://schemas.openxmlformats.org/officeDocument/2006/relationships/hyperlink" Target="https://drive.google.com/file/d/1D5xW9DsPph5s0bUKFKsmaGST3y2HupAr/view?usp=drivesdk" TargetMode="External"/><Relationship Id="rId101" Type="http://schemas.openxmlformats.org/officeDocument/2006/relationships/hyperlink" Target="https://doi.org/10.1016/j.drugalcdep.2024.111323" TargetMode="External"/><Relationship Id="rId2025" Type="http://schemas.openxmlformats.org/officeDocument/2006/relationships/hyperlink" Target="https://osf.io/ejcfw" TargetMode="External"/><Relationship Id="rId3357" Type="http://schemas.openxmlformats.org/officeDocument/2006/relationships/hyperlink" Target="https://drive.google.com/file/d/1D5xW9DsPph5s0bUKFKsmaGST3y2HupAr/view?usp=drivesdk" TargetMode="External"/><Relationship Id="rId100" Type="http://schemas.openxmlformats.org/officeDocument/2006/relationships/hyperlink" Target="http://rave.ohiolink.edu/etdc/view?acc_num=ysu1714739251583684" TargetMode="External"/><Relationship Id="rId2026" Type="http://schemas.openxmlformats.org/officeDocument/2006/relationships/hyperlink" Target="https://osf.io/ejcfw" TargetMode="External"/><Relationship Id="rId3356" Type="http://schemas.openxmlformats.org/officeDocument/2006/relationships/hyperlink" Target="https://drive.google.com/file/d/1D5xW9DsPph5s0bUKFKsmaGST3y2HupAr/view?usp=drivesdk" TargetMode="External"/><Relationship Id="rId2016" Type="http://schemas.openxmlformats.org/officeDocument/2006/relationships/hyperlink" Target="https://osf.io/ejcfw" TargetMode="External"/><Relationship Id="rId3348" Type="http://schemas.openxmlformats.org/officeDocument/2006/relationships/hyperlink" Target="https://drive.google.com/file/d/1D5xW9DsPph5s0bUKFKsmaGST3y2HupAr/view?usp=drivesdk" TargetMode="External"/><Relationship Id="rId2017" Type="http://schemas.openxmlformats.org/officeDocument/2006/relationships/hyperlink" Target="https://osf.io/ejcfw" TargetMode="External"/><Relationship Id="rId3347" Type="http://schemas.openxmlformats.org/officeDocument/2006/relationships/hyperlink" Target="https://drive.google.com/file/d/1D5xW9DsPph5s0bUKFKsmaGST3y2HupAr/view?usp=drivesdk" TargetMode="External"/><Relationship Id="rId2018" Type="http://schemas.openxmlformats.org/officeDocument/2006/relationships/hyperlink" Target="https://osf.io/ejcfw" TargetMode="External"/><Relationship Id="rId2019" Type="http://schemas.openxmlformats.org/officeDocument/2006/relationships/hyperlink" Target="https://osf.io/ejcfw" TargetMode="External"/><Relationship Id="rId3349" Type="http://schemas.openxmlformats.org/officeDocument/2006/relationships/hyperlink" Target="https://drive.google.com/file/d/1D5xW9DsPph5s0bUKFKsmaGST3y2HupAr/view?usp=drivesdk" TargetMode="External"/><Relationship Id="rId3340" Type="http://schemas.openxmlformats.org/officeDocument/2006/relationships/hyperlink" Target="https://drive.google.com/file/d/1D5xW9DsPph5s0bUKFKsmaGST3y2HupAr/view?usp=drivesdk" TargetMode="External"/><Relationship Id="rId2010" Type="http://schemas.openxmlformats.org/officeDocument/2006/relationships/hyperlink" Target="https://osf.io/ejcfw" TargetMode="External"/><Relationship Id="rId3342" Type="http://schemas.openxmlformats.org/officeDocument/2006/relationships/hyperlink" Target="https://drive.google.com/file/d/1D5xW9DsPph5s0bUKFKsmaGST3y2HupAr/view?usp=drivesdk" TargetMode="External"/><Relationship Id="rId2011" Type="http://schemas.openxmlformats.org/officeDocument/2006/relationships/hyperlink" Target="https://osf.io/ejcfw" TargetMode="External"/><Relationship Id="rId3341" Type="http://schemas.openxmlformats.org/officeDocument/2006/relationships/hyperlink" Target="https://drive.google.com/file/d/1D5xW9DsPph5s0bUKFKsmaGST3y2HupAr/view?usp=drivesdk" TargetMode="External"/><Relationship Id="rId2012" Type="http://schemas.openxmlformats.org/officeDocument/2006/relationships/hyperlink" Target="https://osf.io/ejcfw" TargetMode="External"/><Relationship Id="rId3344" Type="http://schemas.openxmlformats.org/officeDocument/2006/relationships/hyperlink" Target="https://drive.google.com/file/d/1D5xW9DsPph5s0bUKFKsmaGST3y2HupAr/view?usp=drivesdk" TargetMode="External"/><Relationship Id="rId2013" Type="http://schemas.openxmlformats.org/officeDocument/2006/relationships/hyperlink" Target="https://osf.io/ejcfw" TargetMode="External"/><Relationship Id="rId3343" Type="http://schemas.openxmlformats.org/officeDocument/2006/relationships/hyperlink" Target="https://drive.google.com/file/d/1D5xW9DsPph5s0bUKFKsmaGST3y2HupAr/view?usp=drivesdk" TargetMode="External"/><Relationship Id="rId2014" Type="http://schemas.openxmlformats.org/officeDocument/2006/relationships/hyperlink" Target="https://osf.io/ejcfw" TargetMode="External"/><Relationship Id="rId3346" Type="http://schemas.openxmlformats.org/officeDocument/2006/relationships/hyperlink" Target="https://drive.google.com/file/d/1D5xW9DsPph5s0bUKFKsmaGST3y2HupAr/view?usp=drivesdk" TargetMode="External"/><Relationship Id="rId2015" Type="http://schemas.openxmlformats.org/officeDocument/2006/relationships/hyperlink" Target="https://osf.io/ejcfw" TargetMode="External"/><Relationship Id="rId3345" Type="http://schemas.openxmlformats.org/officeDocument/2006/relationships/hyperlink" Target="https://drive.google.com/file/d/1D5xW9DsPph5s0bUKFKsmaGST3y2HupAr/view?usp=drivesdk" TargetMode="External"/><Relationship Id="rId2049" Type="http://schemas.openxmlformats.org/officeDocument/2006/relationships/hyperlink" Target="https://aspredicted.org/ZW2_C76" TargetMode="External"/><Relationship Id="rId129" Type="http://schemas.openxmlformats.org/officeDocument/2006/relationships/hyperlink" Target="https://osf.io/8ga4s?view_only=38d7630a8c6e4eb6aee200540eec175d" TargetMode="External"/><Relationship Id="rId128" Type="http://schemas.openxmlformats.org/officeDocument/2006/relationships/hyperlink" Target="https://osf.io/8ga4s?view_only=38d7630a8c6e4eb6aee200540eec175d" TargetMode="External"/><Relationship Id="rId127" Type="http://schemas.openxmlformats.org/officeDocument/2006/relationships/hyperlink" Target="https://osf.io/8ga4s?view_only=38d7630a8c6e4eb6aee200540eec175d" TargetMode="External"/><Relationship Id="rId126" Type="http://schemas.openxmlformats.org/officeDocument/2006/relationships/hyperlink" Target="https://osf.io/8ga4s?view_only=38d7630a8c6e4eb6aee200540eec175d" TargetMode="External"/><Relationship Id="rId3371" Type="http://schemas.openxmlformats.org/officeDocument/2006/relationships/hyperlink" Target="https://drive.google.com/file/d/1D5xW9DsPph5s0bUKFKsmaGST3y2HupAr/view?usp=drivesdk" TargetMode="External"/><Relationship Id="rId2040" Type="http://schemas.openxmlformats.org/officeDocument/2006/relationships/hyperlink" Target="https://osf.io/ejcfw" TargetMode="External"/><Relationship Id="rId3370" Type="http://schemas.openxmlformats.org/officeDocument/2006/relationships/hyperlink" Target="https://drive.google.com/file/d/1D5xW9DsPph5s0bUKFKsmaGST3y2HupAr/view?usp=drivesdk" TargetMode="External"/><Relationship Id="rId121" Type="http://schemas.openxmlformats.org/officeDocument/2006/relationships/hyperlink" Target="https://doi.org/10.1007/s40732-024-00597-x" TargetMode="External"/><Relationship Id="rId2041" Type="http://schemas.openxmlformats.org/officeDocument/2006/relationships/hyperlink" Target="https://doi.org/10.1126/science.aaf0918" TargetMode="External"/><Relationship Id="rId3373" Type="http://schemas.openxmlformats.org/officeDocument/2006/relationships/hyperlink" Target="https://drive.google.com/file/d/1D5xW9DsPph5s0bUKFKsmaGST3y2HupAr/view?usp=drivesdk" TargetMode="External"/><Relationship Id="rId120" Type="http://schemas.openxmlformats.org/officeDocument/2006/relationships/hyperlink" Target="https://doi.org/10.1007/s40732-024-00597-x" TargetMode="External"/><Relationship Id="rId2042" Type="http://schemas.openxmlformats.org/officeDocument/2006/relationships/hyperlink" Target="https://osf.io/ejcfw" TargetMode="External"/><Relationship Id="rId3372" Type="http://schemas.openxmlformats.org/officeDocument/2006/relationships/hyperlink" Target="https://drive.google.com/file/d/1D5xW9DsPph5s0bUKFKsmaGST3y2HupAr/view?usp=drivesdk" TargetMode="External"/><Relationship Id="rId2043" Type="http://schemas.openxmlformats.org/officeDocument/2006/relationships/hyperlink" Target="https://osf.io/ejcfw" TargetMode="External"/><Relationship Id="rId3375" Type="http://schemas.openxmlformats.org/officeDocument/2006/relationships/hyperlink" Target="https://drive.google.com/file/d/1D5xW9DsPph5s0bUKFKsmaGST3y2HupAr/view?usp=drivesdk" TargetMode="External"/><Relationship Id="rId2044" Type="http://schemas.openxmlformats.org/officeDocument/2006/relationships/hyperlink" Target="https://osf.io/ejcfw" TargetMode="External"/><Relationship Id="rId3374" Type="http://schemas.openxmlformats.org/officeDocument/2006/relationships/hyperlink" Target="https://drive.google.com/file/d/1D5xW9DsPph5s0bUKFKsmaGST3y2HupAr/view?usp=drivesdk" TargetMode="External"/><Relationship Id="rId125" Type="http://schemas.openxmlformats.org/officeDocument/2006/relationships/hyperlink" Target="https://osf.io/8ga4s?view_only=38d7630a8c6e4eb6aee200540eec175d" TargetMode="External"/><Relationship Id="rId2045" Type="http://schemas.openxmlformats.org/officeDocument/2006/relationships/hyperlink" Target="https://osf.io/ejcfw" TargetMode="External"/><Relationship Id="rId3377" Type="http://schemas.openxmlformats.org/officeDocument/2006/relationships/hyperlink" Target="https://drive.google.com/file/d/1D5xW9DsPph5s0bUKFKsmaGST3y2HupAr/view?usp=drivesdk" TargetMode="External"/><Relationship Id="rId124" Type="http://schemas.openxmlformats.org/officeDocument/2006/relationships/hyperlink" Target="https://osf.io/8ga4s?view_only=38d7630a8c6e4eb6aee200540eec175d" TargetMode="External"/><Relationship Id="rId2046" Type="http://schemas.openxmlformats.org/officeDocument/2006/relationships/hyperlink" Target="https://osf.io/ejcfw" TargetMode="External"/><Relationship Id="rId3376" Type="http://schemas.openxmlformats.org/officeDocument/2006/relationships/hyperlink" Target="https://drive.google.com/file/d/1D5xW9DsPph5s0bUKFKsmaGST3y2HupAr/view?usp=drivesdk" TargetMode="External"/><Relationship Id="rId123" Type="http://schemas.openxmlformats.org/officeDocument/2006/relationships/hyperlink" Target="https://osf.io/8ga4s?view_only=38d7630a8c6e4eb6aee200540eec175d" TargetMode="External"/><Relationship Id="rId2047" Type="http://schemas.openxmlformats.org/officeDocument/2006/relationships/hyperlink" Target="https://osf.io/ejcfw" TargetMode="External"/><Relationship Id="rId3379" Type="http://schemas.openxmlformats.org/officeDocument/2006/relationships/hyperlink" Target="https://drive.google.com/file/d/1D5xW9DsPph5s0bUKFKsmaGST3y2HupAr/view?usp=drivesdk" TargetMode="External"/><Relationship Id="rId122" Type="http://schemas.openxmlformats.org/officeDocument/2006/relationships/hyperlink" Target="https://osf.io/8ga4s?view_only=38d7630a8c6e4eb6aee200540eec175d" TargetMode="External"/><Relationship Id="rId2048" Type="http://schemas.openxmlformats.org/officeDocument/2006/relationships/hyperlink" Target="https://osf.io/ejcfw" TargetMode="External"/><Relationship Id="rId3378" Type="http://schemas.openxmlformats.org/officeDocument/2006/relationships/hyperlink" Target="https://drive.google.com/file/d/1D5xW9DsPph5s0bUKFKsmaGST3y2HupAr/view?usp=drivesdk" TargetMode="External"/><Relationship Id="rId2038" Type="http://schemas.openxmlformats.org/officeDocument/2006/relationships/hyperlink" Target="https://osf.io/ejcfw" TargetMode="External"/><Relationship Id="rId2039" Type="http://schemas.openxmlformats.org/officeDocument/2006/relationships/hyperlink" Target="https://osf.io/ejcfw" TargetMode="External"/><Relationship Id="rId3369" Type="http://schemas.openxmlformats.org/officeDocument/2006/relationships/hyperlink" Target="https://drive.google.com/file/d/1D5xW9DsPph5s0bUKFKsmaGST3y2HupAr/view?usp=drivesdk" TargetMode="External"/><Relationship Id="rId118" Type="http://schemas.openxmlformats.org/officeDocument/2006/relationships/hyperlink" Target="https://aspredicted.org/" TargetMode="External"/><Relationship Id="rId117" Type="http://schemas.openxmlformats.org/officeDocument/2006/relationships/hyperlink" Target="https://doi.org/10.1016/j.drugalcdep.2024.111323" TargetMode="External"/><Relationship Id="rId116" Type="http://schemas.openxmlformats.org/officeDocument/2006/relationships/hyperlink" Target="https://aspredicted.org/" TargetMode="External"/><Relationship Id="rId115" Type="http://schemas.openxmlformats.org/officeDocument/2006/relationships/hyperlink" Target="https://aspredicted.org/" TargetMode="External"/><Relationship Id="rId3360" Type="http://schemas.openxmlformats.org/officeDocument/2006/relationships/hyperlink" Target="https://drive.google.com/file/d/1D5xW9DsPph5s0bUKFKsmaGST3y2HupAr/view?usp=drivesdk" TargetMode="External"/><Relationship Id="rId119" Type="http://schemas.openxmlformats.org/officeDocument/2006/relationships/hyperlink" Target="https://aspredicted.org/" TargetMode="External"/><Relationship Id="rId110" Type="http://schemas.openxmlformats.org/officeDocument/2006/relationships/hyperlink" Target="https://aspredicted.org/" TargetMode="External"/><Relationship Id="rId2030" Type="http://schemas.openxmlformats.org/officeDocument/2006/relationships/hyperlink" Target="https://osf.io/ejcfw" TargetMode="External"/><Relationship Id="rId3362" Type="http://schemas.openxmlformats.org/officeDocument/2006/relationships/hyperlink" Target="https://drive.google.com/file/d/1D5xW9DsPph5s0bUKFKsmaGST3y2HupAr/view?usp=drivesdk" TargetMode="External"/><Relationship Id="rId2031" Type="http://schemas.openxmlformats.org/officeDocument/2006/relationships/hyperlink" Target="https://osf.io/ejcfw" TargetMode="External"/><Relationship Id="rId3361" Type="http://schemas.openxmlformats.org/officeDocument/2006/relationships/hyperlink" Target="https://drive.google.com/file/d/1D5xW9DsPph5s0bUKFKsmaGST3y2HupAr/view?usp=drivesdk" TargetMode="External"/><Relationship Id="rId2032" Type="http://schemas.openxmlformats.org/officeDocument/2006/relationships/hyperlink" Target="https://osf.io/ejcfw" TargetMode="External"/><Relationship Id="rId3364" Type="http://schemas.openxmlformats.org/officeDocument/2006/relationships/hyperlink" Target="https://drive.google.com/file/d/1D5xW9DsPph5s0bUKFKsmaGST3y2HupAr/view?usp=drivesdk" TargetMode="External"/><Relationship Id="rId2033" Type="http://schemas.openxmlformats.org/officeDocument/2006/relationships/hyperlink" Target="https://osf.io/ejcfw" TargetMode="External"/><Relationship Id="rId3363" Type="http://schemas.openxmlformats.org/officeDocument/2006/relationships/hyperlink" Target="https://drive.google.com/file/d/1D5xW9DsPph5s0bUKFKsmaGST3y2HupAr/view?usp=drivesdk" TargetMode="External"/><Relationship Id="rId114" Type="http://schemas.openxmlformats.org/officeDocument/2006/relationships/hyperlink" Target="https://doi.org/10.1016/j.drugalcdep.2024.111323" TargetMode="External"/><Relationship Id="rId2034" Type="http://schemas.openxmlformats.org/officeDocument/2006/relationships/hyperlink" Target="https://osf.io/ejcfw" TargetMode="External"/><Relationship Id="rId3366" Type="http://schemas.openxmlformats.org/officeDocument/2006/relationships/hyperlink" Target="https://drive.google.com/file/d/1D5xW9DsPph5s0bUKFKsmaGST3y2HupAr/view?usp=drivesdk" TargetMode="External"/><Relationship Id="rId113" Type="http://schemas.openxmlformats.org/officeDocument/2006/relationships/hyperlink" Target="https://aspredicted.org/" TargetMode="External"/><Relationship Id="rId2035" Type="http://schemas.openxmlformats.org/officeDocument/2006/relationships/hyperlink" Target="https://osf.io/ejcfw" TargetMode="External"/><Relationship Id="rId3365" Type="http://schemas.openxmlformats.org/officeDocument/2006/relationships/hyperlink" Target="https://drive.google.com/file/d/1D5xW9DsPph5s0bUKFKsmaGST3y2HupAr/view?usp=drivesdk" TargetMode="External"/><Relationship Id="rId112" Type="http://schemas.openxmlformats.org/officeDocument/2006/relationships/hyperlink" Target="https://aspredicted.org/" TargetMode="External"/><Relationship Id="rId2036" Type="http://schemas.openxmlformats.org/officeDocument/2006/relationships/hyperlink" Target="https://osf.io/ejcfw" TargetMode="External"/><Relationship Id="rId3368" Type="http://schemas.openxmlformats.org/officeDocument/2006/relationships/hyperlink" Target="https://drive.google.com/file/d/1D5xW9DsPph5s0bUKFKsmaGST3y2HupAr/view?usp=drivesdk" TargetMode="External"/><Relationship Id="rId111" Type="http://schemas.openxmlformats.org/officeDocument/2006/relationships/hyperlink" Target="https://doi.org/10.1016/j.drugalcdep.2024.111323" TargetMode="External"/><Relationship Id="rId2037" Type="http://schemas.openxmlformats.org/officeDocument/2006/relationships/hyperlink" Target="https://osf.io/ejcfw" TargetMode="External"/><Relationship Id="rId3367" Type="http://schemas.openxmlformats.org/officeDocument/2006/relationships/hyperlink" Target="https://drive.google.com/file/d/1D5xW9DsPph5s0bUKFKsmaGST3y2HupAr/view?usp=drivesdk" TargetMode="External"/><Relationship Id="rId3315" Type="http://schemas.openxmlformats.org/officeDocument/2006/relationships/hyperlink" Target="https://drive.google.com/file/d/1D5xW9DsPph5s0bUKFKsmaGST3y2HupAr/view?usp=drivesdk" TargetMode="External"/><Relationship Id="rId3314" Type="http://schemas.openxmlformats.org/officeDocument/2006/relationships/hyperlink" Target="https://doi.org/10.1016/j.jom.2005.11.004" TargetMode="External"/><Relationship Id="rId3317" Type="http://schemas.openxmlformats.org/officeDocument/2006/relationships/hyperlink" Target="https://drive.google.com/file/d/1D5xW9DsPph5s0bUKFKsmaGST3y2HupAr/view?usp=drivesdk" TargetMode="External"/><Relationship Id="rId3316" Type="http://schemas.openxmlformats.org/officeDocument/2006/relationships/hyperlink" Target="https://drive.google.com/file/d/1D5xW9DsPph5s0bUKFKsmaGST3y2HupAr/view?usp=drivesdk" TargetMode="External"/><Relationship Id="rId3319" Type="http://schemas.openxmlformats.org/officeDocument/2006/relationships/hyperlink" Target="https://drive.google.com/file/d/1D5xW9DsPph5s0bUKFKsmaGST3y2HupAr/view?usp=drivesdk" TargetMode="External"/><Relationship Id="rId3318" Type="http://schemas.openxmlformats.org/officeDocument/2006/relationships/hyperlink" Target="https://drive.google.com/file/d/1D5xW9DsPph5s0bUKFKsmaGST3y2HupAr/view?usp=drivesdk" TargetMode="External"/><Relationship Id="rId3311" Type="http://schemas.openxmlformats.org/officeDocument/2006/relationships/hyperlink" Target="https://drive.google.com/file/d/1D5xW9DsPph5s0bUKFKsmaGST3y2HupAr/view?usp=drivesdk" TargetMode="External"/><Relationship Id="rId3310" Type="http://schemas.openxmlformats.org/officeDocument/2006/relationships/hyperlink" Target="https://doi.org/10.1016/j.jom.2005.11.004" TargetMode="External"/><Relationship Id="rId3313" Type="http://schemas.openxmlformats.org/officeDocument/2006/relationships/hyperlink" Target="https://drive.google.com/file/d/1D5xW9DsPph5s0bUKFKsmaGST3y2HupAr/view?usp=drivesdk" TargetMode="External"/><Relationship Id="rId3312" Type="http://schemas.openxmlformats.org/officeDocument/2006/relationships/hyperlink" Target="https://doi.org/10.1016/j.jom.2005.11.004" TargetMode="External"/><Relationship Id="rId3304" Type="http://schemas.openxmlformats.org/officeDocument/2006/relationships/hyperlink" Target="https://doi.org/10.1037/h0101833" TargetMode="External"/><Relationship Id="rId3303" Type="http://schemas.openxmlformats.org/officeDocument/2006/relationships/hyperlink" Target="https://doi.org/10.1037/h0101833" TargetMode="External"/><Relationship Id="rId3306" Type="http://schemas.openxmlformats.org/officeDocument/2006/relationships/hyperlink" Target="https://drive.google.com/file/d/1D5xW9DsPph5s0bUKFKsmaGST3y2HupAr/view?usp=drivesdk" TargetMode="External"/><Relationship Id="rId3305" Type="http://schemas.openxmlformats.org/officeDocument/2006/relationships/hyperlink" Target="https://doi.org/10.1037/h0101833" TargetMode="External"/><Relationship Id="rId3308" Type="http://schemas.openxmlformats.org/officeDocument/2006/relationships/hyperlink" Target="https://doi.org/10.1016/j.jom.2005.11.004" TargetMode="External"/><Relationship Id="rId3307" Type="http://schemas.openxmlformats.org/officeDocument/2006/relationships/hyperlink" Target="https://doi.org/10.1016/j.jom.2005.11.004" TargetMode="External"/><Relationship Id="rId3309" Type="http://schemas.openxmlformats.org/officeDocument/2006/relationships/hyperlink" Target="https://drive.google.com/file/d/1D5xW9DsPph5s0bUKFKsmaGST3y2HupAr/view?usp=drivesdk" TargetMode="External"/><Relationship Id="rId3300" Type="http://schemas.openxmlformats.org/officeDocument/2006/relationships/hyperlink" Target="https://doi.org/10.1037/h0101833" TargetMode="External"/><Relationship Id="rId3302" Type="http://schemas.openxmlformats.org/officeDocument/2006/relationships/hyperlink" Target="https://doi.org/10.1037/h0101833" TargetMode="External"/><Relationship Id="rId3301" Type="http://schemas.openxmlformats.org/officeDocument/2006/relationships/hyperlink" Target="https://doi.org/10.1037/h0101833" TargetMode="External"/><Relationship Id="rId2005" Type="http://schemas.openxmlformats.org/officeDocument/2006/relationships/hyperlink" Target="https://osf.io/ejcfw" TargetMode="External"/><Relationship Id="rId3337" Type="http://schemas.openxmlformats.org/officeDocument/2006/relationships/hyperlink" Target="https://drive.google.com/file/d/1D5xW9DsPph5s0bUKFKsmaGST3y2HupAr/view?usp=drivesdk" TargetMode="External"/><Relationship Id="rId2006" Type="http://schemas.openxmlformats.org/officeDocument/2006/relationships/hyperlink" Target="https://osf.io/ejcfw" TargetMode="External"/><Relationship Id="rId3336" Type="http://schemas.openxmlformats.org/officeDocument/2006/relationships/hyperlink" Target="https://drive.google.com/file/d/1D5xW9DsPph5s0bUKFKsmaGST3y2HupAr/view?usp=drivesdk" TargetMode="External"/><Relationship Id="rId2007" Type="http://schemas.openxmlformats.org/officeDocument/2006/relationships/hyperlink" Target="https://osf.io/ejcfw" TargetMode="External"/><Relationship Id="rId3339" Type="http://schemas.openxmlformats.org/officeDocument/2006/relationships/hyperlink" Target="https://drive.google.com/file/d/1D5xW9DsPph5s0bUKFKsmaGST3y2HupAr/view?usp=drivesdk" TargetMode="External"/><Relationship Id="rId2008" Type="http://schemas.openxmlformats.org/officeDocument/2006/relationships/hyperlink" Target="https://osf.io/ejcfw" TargetMode="External"/><Relationship Id="rId3338" Type="http://schemas.openxmlformats.org/officeDocument/2006/relationships/hyperlink" Target="https://drive.google.com/file/d/1D5xW9DsPph5s0bUKFKsmaGST3y2HupAr/view?usp=drivesdk" TargetMode="External"/><Relationship Id="rId2009" Type="http://schemas.openxmlformats.org/officeDocument/2006/relationships/hyperlink" Target="https://osf.io/ejcfw" TargetMode="External"/><Relationship Id="rId3331" Type="http://schemas.openxmlformats.org/officeDocument/2006/relationships/hyperlink" Target="https://drive.google.com/file/d/1D5xW9DsPph5s0bUKFKsmaGST3y2HupAr/view?usp=drivesdk" TargetMode="External"/><Relationship Id="rId2000" Type="http://schemas.openxmlformats.org/officeDocument/2006/relationships/hyperlink" Target="https://osf.io/ejcfw" TargetMode="External"/><Relationship Id="rId3330" Type="http://schemas.openxmlformats.org/officeDocument/2006/relationships/hyperlink" Target="https://drive.google.com/file/d/1D5xW9DsPph5s0bUKFKsmaGST3y2HupAr/view?usp=drivesdk" TargetMode="External"/><Relationship Id="rId2001" Type="http://schemas.openxmlformats.org/officeDocument/2006/relationships/hyperlink" Target="https://osf.io/ejcfw" TargetMode="External"/><Relationship Id="rId3333" Type="http://schemas.openxmlformats.org/officeDocument/2006/relationships/hyperlink" Target="https://drive.google.com/file/d/1D5xW9DsPph5s0bUKFKsmaGST3y2HupAr/view?usp=drivesdk" TargetMode="External"/><Relationship Id="rId2002" Type="http://schemas.openxmlformats.org/officeDocument/2006/relationships/hyperlink" Target="https://osf.io/ejcfw" TargetMode="External"/><Relationship Id="rId3332" Type="http://schemas.openxmlformats.org/officeDocument/2006/relationships/hyperlink" Target="https://drive.google.com/file/d/1D5xW9DsPph5s0bUKFKsmaGST3y2HupAr/view?usp=drivesdk" TargetMode="External"/><Relationship Id="rId2003" Type="http://schemas.openxmlformats.org/officeDocument/2006/relationships/hyperlink" Target="https://osf.io/ejcfw" TargetMode="External"/><Relationship Id="rId3335" Type="http://schemas.openxmlformats.org/officeDocument/2006/relationships/hyperlink" Target="https://drive.google.com/file/d/1D5xW9DsPph5s0bUKFKsmaGST3y2HupAr/view?usp=drivesdk" TargetMode="External"/><Relationship Id="rId2004" Type="http://schemas.openxmlformats.org/officeDocument/2006/relationships/hyperlink" Target="https://osf.io/ejcfw" TargetMode="External"/><Relationship Id="rId3334" Type="http://schemas.openxmlformats.org/officeDocument/2006/relationships/hyperlink" Target="https://drive.google.com/file/d/1D5xW9DsPph5s0bUKFKsmaGST3y2HupAr/view?usp=drivesdk" TargetMode="External"/><Relationship Id="rId3326" Type="http://schemas.openxmlformats.org/officeDocument/2006/relationships/hyperlink" Target="https://drive.google.com/file/d/1D5xW9DsPph5s0bUKFKsmaGST3y2HupAr/view?usp=drivesdk" TargetMode="External"/><Relationship Id="rId3325" Type="http://schemas.openxmlformats.org/officeDocument/2006/relationships/hyperlink" Target="https://drive.google.com/file/d/1D5xW9DsPph5s0bUKFKsmaGST3y2HupAr/view?usp=drivesdk" TargetMode="External"/><Relationship Id="rId3328" Type="http://schemas.openxmlformats.org/officeDocument/2006/relationships/hyperlink" Target="https://drive.google.com/file/d/1D5xW9DsPph5s0bUKFKsmaGST3y2HupAr/view?usp=drivesdk" TargetMode="External"/><Relationship Id="rId3327" Type="http://schemas.openxmlformats.org/officeDocument/2006/relationships/hyperlink" Target="https://drive.google.com/file/d/1D5xW9DsPph5s0bUKFKsmaGST3y2HupAr/view?usp=drivesdk" TargetMode="External"/><Relationship Id="rId3329" Type="http://schemas.openxmlformats.org/officeDocument/2006/relationships/hyperlink" Target="https://drive.google.com/file/d/1D5xW9DsPph5s0bUKFKsmaGST3y2HupAr/view?usp=drivesdk" TargetMode="External"/><Relationship Id="rId3320" Type="http://schemas.openxmlformats.org/officeDocument/2006/relationships/hyperlink" Target="https://drive.google.com/file/d/1D5xW9DsPph5s0bUKFKsmaGST3y2HupAr/view?usp=drivesdk" TargetMode="External"/><Relationship Id="rId3322" Type="http://schemas.openxmlformats.org/officeDocument/2006/relationships/hyperlink" Target="https://drive.google.com/file/d/1D5xW9DsPph5s0bUKFKsmaGST3y2HupAr/view?usp=drivesdk" TargetMode="External"/><Relationship Id="rId3321" Type="http://schemas.openxmlformats.org/officeDocument/2006/relationships/hyperlink" Target="https://drive.google.com/file/d/1D5xW9DsPph5s0bUKFKsmaGST3y2HupAr/view?usp=drivesdk" TargetMode="External"/><Relationship Id="rId3324" Type="http://schemas.openxmlformats.org/officeDocument/2006/relationships/hyperlink" Target="https://drive.google.com/file/d/1D5xW9DsPph5s0bUKFKsmaGST3y2HupAr/view?usp=drivesdk" TargetMode="External"/><Relationship Id="rId3323" Type="http://schemas.openxmlformats.org/officeDocument/2006/relationships/hyperlink" Target="https://drive.google.com/file/d/1D5xW9DsPph5s0bUKFKsmaGST3y2HupAr/view?usp=drivesdk" TargetMode="External"/><Relationship Id="rId2090" Type="http://schemas.openxmlformats.org/officeDocument/2006/relationships/hyperlink" Target="https://osf.io/k6ytw" TargetMode="External"/><Relationship Id="rId2091" Type="http://schemas.openxmlformats.org/officeDocument/2006/relationships/hyperlink" Target="https://osf.io/k6ytw" TargetMode="External"/><Relationship Id="rId2092" Type="http://schemas.openxmlformats.org/officeDocument/2006/relationships/hyperlink" Target="https://osf.io/k6ytw" TargetMode="External"/><Relationship Id="rId2093" Type="http://schemas.openxmlformats.org/officeDocument/2006/relationships/hyperlink" Target="https://osf.io/k6ytw" TargetMode="External"/><Relationship Id="rId2094" Type="http://schemas.openxmlformats.org/officeDocument/2006/relationships/hyperlink" Target="https://osf.io/k6ytw" TargetMode="External"/><Relationship Id="rId2095" Type="http://schemas.openxmlformats.org/officeDocument/2006/relationships/hyperlink" Target="https://osf.io/k6ytw" TargetMode="External"/><Relationship Id="rId2096" Type="http://schemas.openxmlformats.org/officeDocument/2006/relationships/hyperlink" Target="https://osf.io/8z3qb" TargetMode="External"/><Relationship Id="rId2097" Type="http://schemas.openxmlformats.org/officeDocument/2006/relationships/hyperlink" Target="https://osf.io/8z3qb" TargetMode="External"/><Relationship Id="rId2098" Type="http://schemas.openxmlformats.org/officeDocument/2006/relationships/hyperlink" Target="https://osf.io/8z3qb" TargetMode="External"/><Relationship Id="rId2099" Type="http://schemas.openxmlformats.org/officeDocument/2006/relationships/hyperlink" Target="https://osf.io/4a5ej" TargetMode="External"/><Relationship Id="rId3391" Type="http://schemas.openxmlformats.org/officeDocument/2006/relationships/hyperlink" Target="https://osf.io/evdp5?mode=&amp;revisionId=&amp;view_only=" TargetMode="External"/><Relationship Id="rId2060" Type="http://schemas.openxmlformats.org/officeDocument/2006/relationships/hyperlink" Target="https://aspredicted.org/ZW2_C76" TargetMode="External"/><Relationship Id="rId3390" Type="http://schemas.openxmlformats.org/officeDocument/2006/relationships/hyperlink" Target="https://doi.org/10.17605/OSF.IO/EVDP5" TargetMode="External"/><Relationship Id="rId2061" Type="http://schemas.openxmlformats.org/officeDocument/2006/relationships/hyperlink" Target="https://aspredicted.org/ZW2_C76" TargetMode="External"/><Relationship Id="rId3393" Type="http://schemas.openxmlformats.org/officeDocument/2006/relationships/hyperlink" Target="https://aspredicted.org/jy6bb.pdf" TargetMode="External"/><Relationship Id="rId2062" Type="http://schemas.openxmlformats.org/officeDocument/2006/relationships/hyperlink" Target="https://aspredicted.org/ZW2_C76" TargetMode="External"/><Relationship Id="rId3392" Type="http://schemas.openxmlformats.org/officeDocument/2006/relationships/hyperlink" Target="https://aspredicted.org/jy6bb.pdf" TargetMode="External"/><Relationship Id="rId2063" Type="http://schemas.openxmlformats.org/officeDocument/2006/relationships/hyperlink" Target="https://aspredicted.org/ZW2_C76" TargetMode="External"/><Relationship Id="rId3395" Type="http://schemas.openxmlformats.org/officeDocument/2006/relationships/hyperlink" Target="https://osf.io/evdp5" TargetMode="External"/><Relationship Id="rId2064" Type="http://schemas.openxmlformats.org/officeDocument/2006/relationships/hyperlink" Target="https://aspredicted.org/ZW2_C76" TargetMode="External"/><Relationship Id="rId3394" Type="http://schemas.openxmlformats.org/officeDocument/2006/relationships/hyperlink" Target="https://osf.io/evdp5" TargetMode="External"/><Relationship Id="rId2065" Type="http://schemas.openxmlformats.org/officeDocument/2006/relationships/hyperlink" Target="https://aspredicted.org/ZW2_C76" TargetMode="External"/><Relationship Id="rId3397" Type="http://schemas.openxmlformats.org/officeDocument/2006/relationships/hyperlink" Target="https://doi.org/10.1016/j.psychsport.2024.102761" TargetMode="External"/><Relationship Id="rId2066" Type="http://schemas.openxmlformats.org/officeDocument/2006/relationships/hyperlink" Target="https://aspredicted.org/ZW2_C76" TargetMode="External"/><Relationship Id="rId3396" Type="http://schemas.openxmlformats.org/officeDocument/2006/relationships/hyperlink" Target="https://doi.org/10.1016/j.psychsport.2021.102099" TargetMode="External"/><Relationship Id="rId2067" Type="http://schemas.openxmlformats.org/officeDocument/2006/relationships/hyperlink" Target="https://aspredicted.org/ZW2_C76" TargetMode="External"/><Relationship Id="rId3399" Type="http://schemas.openxmlformats.org/officeDocument/2006/relationships/hyperlink" Target="https://doi.org/10.1111/pops.12446" TargetMode="External"/><Relationship Id="rId2068" Type="http://schemas.openxmlformats.org/officeDocument/2006/relationships/hyperlink" Target="https://aspredicted.org/ZW2_C76" TargetMode="External"/><Relationship Id="rId3398" Type="http://schemas.openxmlformats.org/officeDocument/2006/relationships/hyperlink" Target="https://doi.org/10.1073/pnas.1103343108" TargetMode="External"/><Relationship Id="rId2069" Type="http://schemas.openxmlformats.org/officeDocument/2006/relationships/hyperlink" Target="https://aspredicted.org/ZW2_C76" TargetMode="External"/><Relationship Id="rId3380" Type="http://schemas.openxmlformats.org/officeDocument/2006/relationships/hyperlink" Target="https://drive.google.com/file/d/1D5xW9DsPph5s0bUKFKsmaGST3y2HupAr/view?usp=drivesdk" TargetMode="External"/><Relationship Id="rId2050" Type="http://schemas.openxmlformats.org/officeDocument/2006/relationships/hyperlink" Target="https://aspredicted.org/ZW2_C76" TargetMode="External"/><Relationship Id="rId3382" Type="http://schemas.openxmlformats.org/officeDocument/2006/relationships/hyperlink" Target="https://drive.google.com/file/d/1D5xW9DsPph5s0bUKFKsmaGST3y2HupAr/view?usp=drivesdk" TargetMode="External"/><Relationship Id="rId2051" Type="http://schemas.openxmlformats.org/officeDocument/2006/relationships/hyperlink" Target="https://aspredicted.org/ZW2_C76" TargetMode="External"/><Relationship Id="rId3381" Type="http://schemas.openxmlformats.org/officeDocument/2006/relationships/hyperlink" Target="https://drive.google.com/file/d/1D5xW9DsPph5s0bUKFKsmaGST3y2HupAr/view?usp=drivesdk" TargetMode="External"/><Relationship Id="rId2052" Type="http://schemas.openxmlformats.org/officeDocument/2006/relationships/hyperlink" Target="https://aspredicted.org/ZW2_C76" TargetMode="External"/><Relationship Id="rId3384" Type="http://schemas.openxmlformats.org/officeDocument/2006/relationships/hyperlink" Target="https://drive.google.com/file/d/1D5xW9DsPph5s0bUKFKsmaGST3y2HupAr/view?usp=drivesdk" TargetMode="External"/><Relationship Id="rId2053" Type="http://schemas.openxmlformats.org/officeDocument/2006/relationships/hyperlink" Target="https://aspredicted.org/ZW2_C76" TargetMode="External"/><Relationship Id="rId3383" Type="http://schemas.openxmlformats.org/officeDocument/2006/relationships/hyperlink" Target="https://drive.google.com/file/d/1D5xW9DsPph5s0bUKFKsmaGST3y2HupAr/view?usp=drivesdk" TargetMode="External"/><Relationship Id="rId2054" Type="http://schemas.openxmlformats.org/officeDocument/2006/relationships/hyperlink" Target="https://aspredicted.org/ZW2_C76" TargetMode="External"/><Relationship Id="rId3386" Type="http://schemas.openxmlformats.org/officeDocument/2006/relationships/hyperlink" Target="https://drive.google.com/file/d/1D5xW9DsPph5s0bUKFKsmaGST3y2HupAr/view?usp=drivesdk" TargetMode="External"/><Relationship Id="rId2055" Type="http://schemas.openxmlformats.org/officeDocument/2006/relationships/hyperlink" Target="https://aspredicted.org/ZW2_C76" TargetMode="External"/><Relationship Id="rId3385" Type="http://schemas.openxmlformats.org/officeDocument/2006/relationships/hyperlink" Target="https://drive.google.com/file/d/1D5xW9DsPph5s0bUKFKsmaGST3y2HupAr/view?usp=drivesdk" TargetMode="External"/><Relationship Id="rId2056" Type="http://schemas.openxmlformats.org/officeDocument/2006/relationships/hyperlink" Target="https://aspredicted.org/ZW2_C76" TargetMode="External"/><Relationship Id="rId3388" Type="http://schemas.openxmlformats.org/officeDocument/2006/relationships/hyperlink" Target="https://drive.google.com/file/d/1D5xW9DsPph5s0bUKFKsmaGST3y2HupAr/view?usp=drivesdk" TargetMode="External"/><Relationship Id="rId2057" Type="http://schemas.openxmlformats.org/officeDocument/2006/relationships/hyperlink" Target="https://aspredicted.org/ZW2_C76" TargetMode="External"/><Relationship Id="rId3387" Type="http://schemas.openxmlformats.org/officeDocument/2006/relationships/hyperlink" Target="https://drive.google.com/file/d/1D5xW9DsPph5s0bUKFKsmaGST3y2HupAr/view?usp=drivesdk" TargetMode="External"/><Relationship Id="rId2058" Type="http://schemas.openxmlformats.org/officeDocument/2006/relationships/hyperlink" Target="https://aspredicted.org/ZW2_C76" TargetMode="External"/><Relationship Id="rId2059" Type="http://schemas.openxmlformats.org/officeDocument/2006/relationships/hyperlink" Target="https://aspredicted.org/ZW2_C76" TargetMode="External"/><Relationship Id="rId3389" Type="http://schemas.openxmlformats.org/officeDocument/2006/relationships/hyperlink" Target="https://doi.org/10.1098/rspb.2022.0128" TargetMode="External"/><Relationship Id="rId2080" Type="http://schemas.openxmlformats.org/officeDocument/2006/relationships/hyperlink" Target="https://osf.io/j4ers" TargetMode="External"/><Relationship Id="rId2081" Type="http://schemas.openxmlformats.org/officeDocument/2006/relationships/hyperlink" Target="https://osf.io/j4ers" TargetMode="External"/><Relationship Id="rId2082" Type="http://schemas.openxmlformats.org/officeDocument/2006/relationships/hyperlink" Target="https://osf.io/j4ers" TargetMode="External"/><Relationship Id="rId2083" Type="http://schemas.openxmlformats.org/officeDocument/2006/relationships/hyperlink" Target="https://osf.io/j4ers" TargetMode="External"/><Relationship Id="rId2084" Type="http://schemas.openxmlformats.org/officeDocument/2006/relationships/hyperlink" Target="https://osf.io/j4ers" TargetMode="External"/><Relationship Id="rId2085" Type="http://schemas.openxmlformats.org/officeDocument/2006/relationships/hyperlink" Target="https://osf.io/j4ers" TargetMode="External"/><Relationship Id="rId2086" Type="http://schemas.openxmlformats.org/officeDocument/2006/relationships/hyperlink" Target="https://osf.io/j4ers" TargetMode="External"/><Relationship Id="rId2087" Type="http://schemas.openxmlformats.org/officeDocument/2006/relationships/hyperlink" Target="https://osf.io/j4ers" TargetMode="External"/><Relationship Id="rId2088" Type="http://schemas.openxmlformats.org/officeDocument/2006/relationships/hyperlink" Target="https://osf.io/k6ytw" TargetMode="External"/><Relationship Id="rId2089" Type="http://schemas.openxmlformats.org/officeDocument/2006/relationships/hyperlink" Target="https://osf.io/k6ytw" TargetMode="External"/><Relationship Id="rId2070" Type="http://schemas.openxmlformats.org/officeDocument/2006/relationships/hyperlink" Target="https://aspredicted.org/ZW2_C76" TargetMode="External"/><Relationship Id="rId2071" Type="http://schemas.openxmlformats.org/officeDocument/2006/relationships/hyperlink" Target="https://aspredicted.org/ZW2_C76" TargetMode="External"/><Relationship Id="rId2072" Type="http://schemas.openxmlformats.org/officeDocument/2006/relationships/hyperlink" Target="https://aspredicted.org/ZW2_C76" TargetMode="External"/><Relationship Id="rId2073" Type="http://schemas.openxmlformats.org/officeDocument/2006/relationships/hyperlink" Target="https://aspredicted.org/ZW2_C76" TargetMode="External"/><Relationship Id="rId2074" Type="http://schemas.openxmlformats.org/officeDocument/2006/relationships/hyperlink" Target="https://aspredicted.org/ZW2_C76" TargetMode="External"/><Relationship Id="rId2075" Type="http://schemas.openxmlformats.org/officeDocument/2006/relationships/hyperlink" Target="https://aspredicted.org/ZW2_C76" TargetMode="External"/><Relationship Id="rId2076" Type="http://schemas.openxmlformats.org/officeDocument/2006/relationships/hyperlink" Target="https://aspredicted.org/ZW2_C76" TargetMode="External"/><Relationship Id="rId2077" Type="http://schemas.openxmlformats.org/officeDocument/2006/relationships/hyperlink" Target="https://aspredicted.org/ZW2_C76" TargetMode="External"/><Relationship Id="rId2078" Type="http://schemas.openxmlformats.org/officeDocument/2006/relationships/hyperlink" Target="https://aspredicted.org/ZW2_C76" TargetMode="External"/><Relationship Id="rId2079" Type="http://schemas.openxmlformats.org/officeDocument/2006/relationships/hyperlink" Target="https://osf.io/j4ers" TargetMode="External"/><Relationship Id="rId2940" Type="http://schemas.openxmlformats.org/officeDocument/2006/relationships/hyperlink" Target="https://osf.io/g6kx3" TargetMode="External"/><Relationship Id="rId1610" Type="http://schemas.openxmlformats.org/officeDocument/2006/relationships/hyperlink" Target="https://web.archive.org/web/20220128104303mp_/https://curatescience.org/app/replications" TargetMode="External"/><Relationship Id="rId2941" Type="http://schemas.openxmlformats.org/officeDocument/2006/relationships/hyperlink" Target="https://osf.io/g6kx3" TargetMode="External"/><Relationship Id="rId1611" Type="http://schemas.openxmlformats.org/officeDocument/2006/relationships/hyperlink" Target="https://web.archive.org/web/20220128104303mp_/https://curatescience.org/app/replications" TargetMode="External"/><Relationship Id="rId2942" Type="http://schemas.openxmlformats.org/officeDocument/2006/relationships/hyperlink" Target="https://osf.io/g6kx3" TargetMode="External"/><Relationship Id="rId1612" Type="http://schemas.openxmlformats.org/officeDocument/2006/relationships/hyperlink" Target="https://web.archive.org/web/20220128104303mp_/https://curatescience.org/app/replications" TargetMode="External"/><Relationship Id="rId2943" Type="http://schemas.openxmlformats.org/officeDocument/2006/relationships/hyperlink" Target="https://osf.io/g6kx3" TargetMode="External"/><Relationship Id="rId1613" Type="http://schemas.openxmlformats.org/officeDocument/2006/relationships/hyperlink" Target="https://osf.io/hmfxt" TargetMode="External"/><Relationship Id="rId2944" Type="http://schemas.openxmlformats.org/officeDocument/2006/relationships/hyperlink" Target="https://osf.io/ubys7/metadata/osf" TargetMode="External"/><Relationship Id="rId1614" Type="http://schemas.openxmlformats.org/officeDocument/2006/relationships/hyperlink" Target="https://osf.io/hmfxt" TargetMode="External"/><Relationship Id="rId2945" Type="http://schemas.openxmlformats.org/officeDocument/2006/relationships/hyperlink" Target="https://osf.io/ubys7/metadata/osf" TargetMode="External"/><Relationship Id="rId1615" Type="http://schemas.openxmlformats.org/officeDocument/2006/relationships/hyperlink" Target="https://osf.io/hmfxt" TargetMode="External"/><Relationship Id="rId2946" Type="http://schemas.openxmlformats.org/officeDocument/2006/relationships/hyperlink" Target="https://osf.io/ubys7/metadata/osf" TargetMode="External"/><Relationship Id="rId1616" Type="http://schemas.openxmlformats.org/officeDocument/2006/relationships/hyperlink" Target="https://osf.io/qc3pz" TargetMode="External"/><Relationship Id="rId2947" Type="http://schemas.openxmlformats.org/officeDocument/2006/relationships/hyperlink" Target="https://drive.google.com/file/d/1Oyf6phoxDUGiryzACmCI2gdTcVIQO0rE/view?usp=drive_link" TargetMode="External"/><Relationship Id="rId907" Type="http://schemas.openxmlformats.org/officeDocument/2006/relationships/hyperlink" Target="https://osf.io/cxatn" TargetMode="External"/><Relationship Id="rId1617" Type="http://schemas.openxmlformats.org/officeDocument/2006/relationships/hyperlink" Target="https://osf.io/qc3pz" TargetMode="External"/><Relationship Id="rId2948" Type="http://schemas.openxmlformats.org/officeDocument/2006/relationships/hyperlink" Target="https://osf.io/8z3qb" TargetMode="External"/><Relationship Id="rId906" Type="http://schemas.openxmlformats.org/officeDocument/2006/relationships/hyperlink" Target="https://rpubs.com/cceballos-stanford/544019" TargetMode="External"/><Relationship Id="rId1618" Type="http://schemas.openxmlformats.org/officeDocument/2006/relationships/hyperlink" Target="https://osf.io/y36m8" TargetMode="External"/><Relationship Id="rId2949" Type="http://schemas.openxmlformats.org/officeDocument/2006/relationships/hyperlink" Target="https://drive.google.com/file/d/1Oyf6phoxDUGiryzACmCI2gdTcVIQO0rE/view?usp=drive_link" TargetMode="External"/><Relationship Id="rId905" Type="http://schemas.openxmlformats.org/officeDocument/2006/relationships/hyperlink" Target="https://rpubs.com/cceballos-stanford/544019" TargetMode="External"/><Relationship Id="rId1619" Type="http://schemas.openxmlformats.org/officeDocument/2006/relationships/hyperlink" Target="https://osf.io/y36m8" TargetMode="External"/><Relationship Id="rId904" Type="http://schemas.openxmlformats.org/officeDocument/2006/relationships/hyperlink" Target="https://osf.io/bd9ea)" TargetMode="External"/><Relationship Id="rId909" Type="http://schemas.openxmlformats.org/officeDocument/2006/relationships/hyperlink" Target="https://rpubs.com/cceballos-stanford/544019" TargetMode="External"/><Relationship Id="rId908" Type="http://schemas.openxmlformats.org/officeDocument/2006/relationships/hyperlink" Target="https://osf.io/bd9ea)" TargetMode="External"/><Relationship Id="rId903" Type="http://schemas.openxmlformats.org/officeDocument/2006/relationships/hyperlink" Target="https://osf.io/cxatn" TargetMode="External"/><Relationship Id="rId902" Type="http://schemas.openxmlformats.org/officeDocument/2006/relationships/hyperlink" Target="https://rpubs.com/cceballos-stanford/544019" TargetMode="External"/><Relationship Id="rId901" Type="http://schemas.openxmlformats.org/officeDocument/2006/relationships/hyperlink" Target="https://rpubs.com/cceballos-stanford/544019" TargetMode="External"/><Relationship Id="rId900" Type="http://schemas.openxmlformats.org/officeDocument/2006/relationships/hyperlink" Target="https://osf.io/bd9ea)" TargetMode="External"/><Relationship Id="rId2930" Type="http://schemas.openxmlformats.org/officeDocument/2006/relationships/hyperlink" Target="https://osf.io/43nfd" TargetMode="External"/><Relationship Id="rId1600" Type="http://schemas.openxmlformats.org/officeDocument/2006/relationships/hyperlink" Target="https://web.archive.org/web/20220103002614/https://web.archive.org/web/20170923095521/http://psychfiledrawer.org/replication.php?attempt=MTc2" TargetMode="External"/><Relationship Id="rId2931" Type="http://schemas.openxmlformats.org/officeDocument/2006/relationships/hyperlink" Target="https://osf.io/43nfd" TargetMode="External"/><Relationship Id="rId1601" Type="http://schemas.openxmlformats.org/officeDocument/2006/relationships/hyperlink" Target="https://osf.io/tvszz" TargetMode="External"/><Relationship Id="rId2932" Type="http://schemas.openxmlformats.org/officeDocument/2006/relationships/hyperlink" Target="https://osf.io/43nfd" TargetMode="External"/><Relationship Id="rId1602" Type="http://schemas.openxmlformats.org/officeDocument/2006/relationships/hyperlink" Target="http://bit.ly/16MSSx8" TargetMode="External"/><Relationship Id="rId2933" Type="http://schemas.openxmlformats.org/officeDocument/2006/relationships/hyperlink" Target="https://osf.io/43nfd" TargetMode="External"/><Relationship Id="rId1603" Type="http://schemas.openxmlformats.org/officeDocument/2006/relationships/hyperlink" Target="https://osf.io/EUZwH/" TargetMode="External"/><Relationship Id="rId2934" Type="http://schemas.openxmlformats.org/officeDocument/2006/relationships/hyperlink" Target="https://osf.io/43nfd" TargetMode="External"/><Relationship Id="rId1604" Type="http://schemas.openxmlformats.org/officeDocument/2006/relationships/hyperlink" Target="https://osf.io/tvszz" TargetMode="External"/><Relationship Id="rId2935" Type="http://schemas.openxmlformats.org/officeDocument/2006/relationships/hyperlink" Target="https://osf.io/43nfd" TargetMode="External"/><Relationship Id="rId1605" Type="http://schemas.openxmlformats.org/officeDocument/2006/relationships/hyperlink" Target="https://osf.io/y36m8" TargetMode="External"/><Relationship Id="rId2936" Type="http://schemas.openxmlformats.org/officeDocument/2006/relationships/hyperlink" Target="https://osf.io/at38s" TargetMode="External"/><Relationship Id="rId1606" Type="http://schemas.openxmlformats.org/officeDocument/2006/relationships/hyperlink" Target="https://osf.io/y36m8" TargetMode="External"/><Relationship Id="rId2937" Type="http://schemas.openxmlformats.org/officeDocument/2006/relationships/hyperlink" Target="https://osf.io/at38s" TargetMode="External"/><Relationship Id="rId1607" Type="http://schemas.openxmlformats.org/officeDocument/2006/relationships/hyperlink" Target="https://osf.io/hmfxt" TargetMode="External"/><Relationship Id="rId2938" Type="http://schemas.openxmlformats.org/officeDocument/2006/relationships/hyperlink" Target="https://osf.io/at38s" TargetMode="External"/><Relationship Id="rId1608" Type="http://schemas.openxmlformats.org/officeDocument/2006/relationships/hyperlink" Target="https://osf.io/hmfxt" TargetMode="External"/><Relationship Id="rId2939" Type="http://schemas.openxmlformats.org/officeDocument/2006/relationships/hyperlink" Target="https://osf.io/jdfbm" TargetMode="External"/><Relationship Id="rId1609" Type="http://schemas.openxmlformats.org/officeDocument/2006/relationships/hyperlink" Target="https://osf.io/hmfxt" TargetMode="External"/><Relationship Id="rId1631" Type="http://schemas.openxmlformats.org/officeDocument/2006/relationships/hyperlink" Target="https://web.archive.org/web/20220128104303mp_/https://curatescience.org/app/replications" TargetMode="External"/><Relationship Id="rId2962" Type="http://schemas.openxmlformats.org/officeDocument/2006/relationships/hyperlink" Target="https://osf.io/j4ers" TargetMode="External"/><Relationship Id="rId1632" Type="http://schemas.openxmlformats.org/officeDocument/2006/relationships/hyperlink" Target="https://osf.io/v3hfb/" TargetMode="External"/><Relationship Id="rId2963" Type="http://schemas.openxmlformats.org/officeDocument/2006/relationships/hyperlink" Target="https://drive.google.com/file/d/1Oyf6phoxDUGiryzACmCI2gdTcVIQO0rE/view?usp=drive_link" TargetMode="External"/><Relationship Id="rId1633" Type="http://schemas.openxmlformats.org/officeDocument/2006/relationships/hyperlink" Target="https://osf.io/v3hfb/" TargetMode="External"/><Relationship Id="rId2964" Type="http://schemas.openxmlformats.org/officeDocument/2006/relationships/hyperlink" Target="https://osf.io/j4ers" TargetMode="External"/><Relationship Id="rId1634" Type="http://schemas.openxmlformats.org/officeDocument/2006/relationships/hyperlink" Target="https://osf.io/v3hfb/" TargetMode="External"/><Relationship Id="rId2965" Type="http://schemas.openxmlformats.org/officeDocument/2006/relationships/hyperlink" Target="https://drive.google.com/file/d/1Oyf6phoxDUGiryzACmCI2gdTcVIQO0rE/view?usp=drive_link" TargetMode="External"/><Relationship Id="rId1635" Type="http://schemas.openxmlformats.org/officeDocument/2006/relationships/hyperlink" Target="https://osf.io/czbzg/" TargetMode="External"/><Relationship Id="rId2966" Type="http://schemas.openxmlformats.org/officeDocument/2006/relationships/hyperlink" Target="https://osf.io/j4ers" TargetMode="External"/><Relationship Id="rId1636" Type="http://schemas.openxmlformats.org/officeDocument/2006/relationships/hyperlink" Target="https://osf.io/czbzg/" TargetMode="External"/><Relationship Id="rId2967" Type="http://schemas.openxmlformats.org/officeDocument/2006/relationships/hyperlink" Target="https://drive.google.com/file/d/1Oyf6phoxDUGiryzACmCI2gdTcVIQO0rE/view?usp=drive_link" TargetMode="External"/><Relationship Id="rId1637" Type="http://schemas.openxmlformats.org/officeDocument/2006/relationships/hyperlink" Target="https://osf.io/czbzg/" TargetMode="External"/><Relationship Id="rId2968" Type="http://schemas.openxmlformats.org/officeDocument/2006/relationships/hyperlink" Target="https://osf.io/j4ers" TargetMode="External"/><Relationship Id="rId1638" Type="http://schemas.openxmlformats.org/officeDocument/2006/relationships/hyperlink" Target="https://osf.io/8tikd" TargetMode="External"/><Relationship Id="rId2969" Type="http://schemas.openxmlformats.org/officeDocument/2006/relationships/hyperlink" Target="https://drive.google.com/file/d/1Oyf6phoxDUGiryzACmCI2gdTcVIQO0rE/view?usp=drive_link" TargetMode="External"/><Relationship Id="rId929" Type="http://schemas.openxmlformats.org/officeDocument/2006/relationships/hyperlink" Target="https://github.com/vboyce/251-254-MA/blob/main/data/processed_data.csv" TargetMode="External"/><Relationship Id="rId1639" Type="http://schemas.openxmlformats.org/officeDocument/2006/relationships/hyperlink" Target="https://www.ejwagenmakers.com/2012/Appendix_PoPS_WagenmakersEtAl.pdf" TargetMode="External"/><Relationship Id="rId928" Type="http://schemas.openxmlformats.org/officeDocument/2006/relationships/hyperlink" Target="https://github.com/vboyce/251-254-MA/blob/main/data/processed_data.csv" TargetMode="External"/><Relationship Id="rId927" Type="http://schemas.openxmlformats.org/officeDocument/2006/relationships/hyperlink" Target="https://github.com/vboyce/251-254-MA/blob/main/data/processed_data.csv" TargetMode="External"/><Relationship Id="rId926" Type="http://schemas.openxmlformats.org/officeDocument/2006/relationships/hyperlink" Target="https://github.com/vboyce/251-254-MA/blob/main/data/processed_data.csv" TargetMode="External"/><Relationship Id="rId921" Type="http://schemas.openxmlformats.org/officeDocument/2006/relationships/hyperlink" Target="https://github.com/vboyce/251-254-MA/blob/main/data/processed_data.csv" TargetMode="External"/><Relationship Id="rId920" Type="http://schemas.openxmlformats.org/officeDocument/2006/relationships/hyperlink" Target="https://github.com/vboyce/251-254-MA/blob/main/data/processed_data.csv" TargetMode="External"/><Relationship Id="rId925" Type="http://schemas.openxmlformats.org/officeDocument/2006/relationships/hyperlink" Target="https://osf.io/9j2ym" TargetMode="External"/><Relationship Id="rId924" Type="http://schemas.openxmlformats.org/officeDocument/2006/relationships/hyperlink" Target="https://github.com/vboyce/251-254-MA/blob/main/data/processed_data.csv" TargetMode="External"/><Relationship Id="rId923" Type="http://schemas.openxmlformats.org/officeDocument/2006/relationships/hyperlink" Target="https://osf.io/38en2" TargetMode="External"/><Relationship Id="rId922" Type="http://schemas.openxmlformats.org/officeDocument/2006/relationships/hyperlink" Target="https://github.com/vboyce/251-254-MA/blob/main/data/processed_data.csv" TargetMode="External"/><Relationship Id="rId2960" Type="http://schemas.openxmlformats.org/officeDocument/2006/relationships/hyperlink" Target="https://osf.io/j4ers" TargetMode="External"/><Relationship Id="rId1630" Type="http://schemas.openxmlformats.org/officeDocument/2006/relationships/hyperlink" Target="https://web.archive.org/web/20220128104303mp_/https://curatescience.org/app/replications" TargetMode="External"/><Relationship Id="rId2961" Type="http://schemas.openxmlformats.org/officeDocument/2006/relationships/hyperlink" Target="https://drive.google.com/file/d/1Oyf6phoxDUGiryzACmCI2gdTcVIQO0rE/view?usp=drive_link" TargetMode="External"/><Relationship Id="rId1620" Type="http://schemas.openxmlformats.org/officeDocument/2006/relationships/hyperlink" Target="https://osf.io/scayl" TargetMode="External"/><Relationship Id="rId2951" Type="http://schemas.openxmlformats.org/officeDocument/2006/relationships/hyperlink" Target="https://drive.google.com/file/d/1Oyf6phoxDUGiryzACmCI2gdTcVIQO0rE/view?usp=drive_link" TargetMode="External"/><Relationship Id="rId1621" Type="http://schemas.openxmlformats.org/officeDocument/2006/relationships/hyperlink" Target="https://osf.io/y36m8" TargetMode="External"/><Relationship Id="rId2952" Type="http://schemas.openxmlformats.org/officeDocument/2006/relationships/hyperlink" Target="https://osf.io/8z3qb" TargetMode="External"/><Relationship Id="rId1622" Type="http://schemas.openxmlformats.org/officeDocument/2006/relationships/hyperlink" Target="https://osf.io/scayl" TargetMode="External"/><Relationship Id="rId2953" Type="http://schemas.openxmlformats.org/officeDocument/2006/relationships/hyperlink" Target="https://drive.google.com/file/d/1Oyf6phoxDUGiryzACmCI2gdTcVIQO0rE/view?usp=drive_link" TargetMode="External"/><Relationship Id="rId1623" Type="http://schemas.openxmlformats.org/officeDocument/2006/relationships/hyperlink" Target="https://osf.io/y36m8" TargetMode="External"/><Relationship Id="rId2954" Type="http://schemas.openxmlformats.org/officeDocument/2006/relationships/hyperlink" Target="https://osf.io/j4ers" TargetMode="External"/><Relationship Id="rId1624" Type="http://schemas.openxmlformats.org/officeDocument/2006/relationships/hyperlink" Target="https://osf.io/scayl" TargetMode="External"/><Relationship Id="rId2955" Type="http://schemas.openxmlformats.org/officeDocument/2006/relationships/hyperlink" Target="https://drive.google.com/file/d/1Oyf6phoxDUGiryzACmCI2gdTcVIQO0rE/view?usp=drive_link" TargetMode="External"/><Relationship Id="rId1625" Type="http://schemas.openxmlformats.org/officeDocument/2006/relationships/hyperlink" Target="https://osf.io/y36m8" TargetMode="External"/><Relationship Id="rId2956" Type="http://schemas.openxmlformats.org/officeDocument/2006/relationships/hyperlink" Target="https://osf.io/j4ers" TargetMode="External"/><Relationship Id="rId1626" Type="http://schemas.openxmlformats.org/officeDocument/2006/relationships/hyperlink" Target="https://osf.io/scayl" TargetMode="External"/><Relationship Id="rId2957" Type="http://schemas.openxmlformats.org/officeDocument/2006/relationships/hyperlink" Target="https://drive.google.com/file/d/1Oyf6phoxDUGiryzACmCI2gdTcVIQO0rE/view?usp=drive_link" TargetMode="External"/><Relationship Id="rId1627" Type="http://schemas.openxmlformats.org/officeDocument/2006/relationships/hyperlink" Target="https://osf.io/y36m8" TargetMode="External"/><Relationship Id="rId2958" Type="http://schemas.openxmlformats.org/officeDocument/2006/relationships/hyperlink" Target="https://osf.io/j4ers" TargetMode="External"/><Relationship Id="rId918" Type="http://schemas.openxmlformats.org/officeDocument/2006/relationships/hyperlink" Target="https://github.com/vboyce/251-254-MA/blob/main/data/processed_data.csv" TargetMode="External"/><Relationship Id="rId1628" Type="http://schemas.openxmlformats.org/officeDocument/2006/relationships/hyperlink" Target="https://osf.io/scayl" TargetMode="External"/><Relationship Id="rId2959" Type="http://schemas.openxmlformats.org/officeDocument/2006/relationships/hyperlink" Target="https://drive.google.com/file/d/1Oyf6phoxDUGiryzACmCI2gdTcVIQO0rE/view?usp=drive_link" TargetMode="External"/><Relationship Id="rId917" Type="http://schemas.openxmlformats.org/officeDocument/2006/relationships/hyperlink" Target="https://github.com/vboyce/251-254-MA/blob/main/data/processed_data.csv" TargetMode="External"/><Relationship Id="rId1629" Type="http://schemas.openxmlformats.org/officeDocument/2006/relationships/hyperlink" Target="https://web.archive.org/web/20220128104303mp_/https://curatescience.org/app/replications" TargetMode="External"/><Relationship Id="rId916" Type="http://schemas.openxmlformats.org/officeDocument/2006/relationships/hyperlink" Target="https://github.com/vboyce/251-254-MA/blob/main/data/processed_data.csv" TargetMode="External"/><Relationship Id="rId915" Type="http://schemas.openxmlformats.org/officeDocument/2006/relationships/hyperlink" Target="https://github.com/vboyce/251-254-MA/blob/main/data/processed_data.csv" TargetMode="External"/><Relationship Id="rId919" Type="http://schemas.openxmlformats.org/officeDocument/2006/relationships/hyperlink" Target="https://github.com/vboyce/251-254-MA/blob/main/data/processed_data.csv" TargetMode="External"/><Relationship Id="rId910" Type="http://schemas.openxmlformats.org/officeDocument/2006/relationships/hyperlink" Target="https://rpubs.com/cceballos-stanford/544019" TargetMode="External"/><Relationship Id="rId914" Type="http://schemas.openxmlformats.org/officeDocument/2006/relationships/hyperlink" Target="https://github.com/vboyce/251-254-MA/blob/main/data/processed_data.csv" TargetMode="External"/><Relationship Id="rId913" Type="http://schemas.openxmlformats.org/officeDocument/2006/relationships/hyperlink" Target="https://osf.io/p5hvr" TargetMode="External"/><Relationship Id="rId912" Type="http://schemas.openxmlformats.org/officeDocument/2006/relationships/hyperlink" Target="https://osf.io/p5hvr" TargetMode="External"/><Relationship Id="rId911" Type="http://schemas.openxmlformats.org/officeDocument/2006/relationships/hyperlink" Target="https://osf.io/cxatn" TargetMode="External"/><Relationship Id="rId2950" Type="http://schemas.openxmlformats.org/officeDocument/2006/relationships/hyperlink" Target="https://osf.io/8z3qb" TargetMode="External"/><Relationship Id="rId2900" Type="http://schemas.openxmlformats.org/officeDocument/2006/relationships/hyperlink" Target="https://osf.io/dg9m4" TargetMode="External"/><Relationship Id="rId2901" Type="http://schemas.openxmlformats.org/officeDocument/2006/relationships/hyperlink" Target="https://osf.io/dg9m4" TargetMode="External"/><Relationship Id="rId2902" Type="http://schemas.openxmlformats.org/officeDocument/2006/relationships/hyperlink" Target="https://osf.io/dg9m4" TargetMode="External"/><Relationship Id="rId2903" Type="http://schemas.openxmlformats.org/officeDocument/2006/relationships/hyperlink" Target="https://osf.io/dg9m4" TargetMode="External"/><Relationship Id="rId2904" Type="http://schemas.openxmlformats.org/officeDocument/2006/relationships/hyperlink" Target="https://osf.io/dg9m4" TargetMode="External"/><Relationship Id="rId2905" Type="http://schemas.openxmlformats.org/officeDocument/2006/relationships/hyperlink" Target="https://osf.io/dg9m4" TargetMode="External"/><Relationship Id="rId2906" Type="http://schemas.openxmlformats.org/officeDocument/2006/relationships/hyperlink" Target="https://osf.io/dg9m4" TargetMode="External"/><Relationship Id="rId2907" Type="http://schemas.openxmlformats.org/officeDocument/2006/relationships/hyperlink" Target="https://datacolada.org/82" TargetMode="External"/><Relationship Id="rId2908" Type="http://schemas.openxmlformats.org/officeDocument/2006/relationships/hyperlink" Target="https://aspredicted.org/9zw6i.pdf" TargetMode="External"/><Relationship Id="rId2909" Type="http://schemas.openxmlformats.org/officeDocument/2006/relationships/hyperlink" Target="https://datacolada.org/94" TargetMode="External"/><Relationship Id="rId2920" Type="http://schemas.openxmlformats.org/officeDocument/2006/relationships/hyperlink" Target="https://osf.io/c8wek/" TargetMode="External"/><Relationship Id="rId2921" Type="http://schemas.openxmlformats.org/officeDocument/2006/relationships/hyperlink" Target="https://doi.org/10.1037/ebs0000028" TargetMode="External"/><Relationship Id="rId2922" Type="http://schemas.openxmlformats.org/officeDocument/2006/relationships/hyperlink" Target="https://drive.google.com/file/d/1MePdKFMiRQbJwq7mHac7S1uIO-yQgOJl/view?usp=drive_link" TargetMode="External"/><Relationship Id="rId2923" Type="http://schemas.openxmlformats.org/officeDocument/2006/relationships/hyperlink" Target="https://osf.io/xudya/" TargetMode="External"/><Relationship Id="rId2924" Type="http://schemas.openxmlformats.org/officeDocument/2006/relationships/hyperlink" Target="https://doi.org/10.1126/science.283.5398.77" TargetMode="External"/><Relationship Id="rId2925" Type="http://schemas.openxmlformats.org/officeDocument/2006/relationships/hyperlink" Target="http://osf.io/9rqzx/" TargetMode="External"/><Relationship Id="rId2926" Type="http://schemas.openxmlformats.org/officeDocument/2006/relationships/hyperlink" Target="https://osf.io/yb4j3" TargetMode="External"/><Relationship Id="rId2927" Type="http://schemas.openxmlformats.org/officeDocument/2006/relationships/hyperlink" Target="https://osf.io/yb4j3" TargetMode="External"/><Relationship Id="rId2928" Type="http://schemas.openxmlformats.org/officeDocument/2006/relationships/hyperlink" Target="https://osf.io/43nfd" TargetMode="External"/><Relationship Id="rId2929" Type="http://schemas.openxmlformats.org/officeDocument/2006/relationships/hyperlink" Target="https://osf.io/43nfd" TargetMode="External"/><Relationship Id="rId2910" Type="http://schemas.openxmlformats.org/officeDocument/2006/relationships/hyperlink" Target="https://researchbox.org/58" TargetMode="External"/><Relationship Id="rId2911" Type="http://schemas.openxmlformats.org/officeDocument/2006/relationships/hyperlink" Target="https://datacolada.org/94" TargetMode="External"/><Relationship Id="rId2912" Type="http://schemas.openxmlformats.org/officeDocument/2006/relationships/hyperlink" Target="https://researchbox.org/58" TargetMode="External"/><Relationship Id="rId2913" Type="http://schemas.openxmlformats.org/officeDocument/2006/relationships/hyperlink" Target="https://datacolada.org/92" TargetMode="External"/><Relationship Id="rId2914" Type="http://schemas.openxmlformats.org/officeDocument/2006/relationships/hyperlink" Target="https://researchbox.org/37" TargetMode="External"/><Relationship Id="rId2915" Type="http://schemas.openxmlformats.org/officeDocument/2006/relationships/hyperlink" Target="https://datacolada.org/92" TargetMode="External"/><Relationship Id="rId2916" Type="http://schemas.openxmlformats.org/officeDocument/2006/relationships/hyperlink" Target="https://researchbox.org/37" TargetMode="External"/><Relationship Id="rId2917" Type="http://schemas.openxmlformats.org/officeDocument/2006/relationships/hyperlink" Target="https://osf.io/fzscv" TargetMode="External"/><Relationship Id="rId2918" Type="http://schemas.openxmlformats.org/officeDocument/2006/relationships/hyperlink" Target="https://osf.io/fzscv" TargetMode="External"/><Relationship Id="rId2919" Type="http://schemas.openxmlformats.org/officeDocument/2006/relationships/hyperlink" Target="https://osf.io/fzscv" TargetMode="External"/><Relationship Id="rId1697" Type="http://schemas.openxmlformats.org/officeDocument/2006/relationships/hyperlink" Target="https://web.archive.org/web/20191117063540/http://www.psychfiledrawer.org/replication.php?attempt=MTQ5" TargetMode="External"/><Relationship Id="rId1698" Type="http://schemas.openxmlformats.org/officeDocument/2006/relationships/hyperlink" Target="https://web.archive.org/web/20191117063540/http://www.psychfiledrawer.org/replication.php?attempt=MTQ5" TargetMode="External"/><Relationship Id="rId1699" Type="http://schemas.openxmlformats.org/officeDocument/2006/relationships/hyperlink" Target="https://datacolada.org/97" TargetMode="External"/><Relationship Id="rId866" Type="http://schemas.openxmlformats.org/officeDocument/2006/relationships/hyperlink" Target="https://github.com/vboyce/251-254-MA/blob/main/reports/read2012.pdf" TargetMode="External"/><Relationship Id="rId865" Type="http://schemas.openxmlformats.org/officeDocument/2006/relationships/hyperlink" Target="https://github.com/vboyce/251-254-MA/blob/main/reports/read2012.pdf" TargetMode="External"/><Relationship Id="rId864" Type="http://schemas.openxmlformats.org/officeDocument/2006/relationships/hyperlink" Target="https://github.com/vboyce/251-254-MA/blob/main/reports/read2012.pdf" TargetMode="External"/><Relationship Id="rId863" Type="http://schemas.openxmlformats.org/officeDocument/2006/relationships/hyperlink" Target="https://github.com/vboyce/251-254-MA/blob/main/reports/read2012.pdf" TargetMode="External"/><Relationship Id="rId869" Type="http://schemas.openxmlformats.org/officeDocument/2006/relationships/hyperlink" Target="https://github.com/vboyce/251-254-MA/blob/main/reports/risen2008.docx" TargetMode="External"/><Relationship Id="rId868" Type="http://schemas.openxmlformats.org/officeDocument/2006/relationships/hyperlink" Target="https://github.com/vboyce/251-254-MA/blob/main/reports/risen2008.docx" TargetMode="External"/><Relationship Id="rId867" Type="http://schemas.openxmlformats.org/officeDocument/2006/relationships/hyperlink" Target="https://rpubs.com/cgarton/975073" TargetMode="External"/><Relationship Id="rId1690" Type="http://schemas.openxmlformats.org/officeDocument/2006/relationships/hyperlink" Target="http://osf.io/Cju65/files/ReplicationProtocol_%20for_Vess2012_Replication_2_-_LeBel.doc" TargetMode="External"/><Relationship Id="rId1691" Type="http://schemas.openxmlformats.org/officeDocument/2006/relationships/hyperlink" Target="http://osf.io/Cju65/files/ReplicationProtocol_%20for_Vess2012_Replication_2_-_LeBel.doc" TargetMode="External"/><Relationship Id="rId1692" Type="http://schemas.openxmlformats.org/officeDocument/2006/relationships/hyperlink" Target="http://osf.io/Cju65/files/ReplicationProtocol_%20for_Vess2012_Replication_2_-_LeBel.doc" TargetMode="External"/><Relationship Id="rId862" Type="http://schemas.openxmlformats.org/officeDocument/2006/relationships/hyperlink" Target="https://github.com/vboyce/251-254-MA/blob/main/reports/read2012.pdf" TargetMode="External"/><Relationship Id="rId1693" Type="http://schemas.openxmlformats.org/officeDocument/2006/relationships/hyperlink" Target="http://osf.io/Cju65/files/ReplicationProtocol_%20for_Vess2012_Replication_2_-_LeBel.doc" TargetMode="External"/><Relationship Id="rId861" Type="http://schemas.openxmlformats.org/officeDocument/2006/relationships/hyperlink" Target="https://github.com/vboyce/251-254-MA/blob/main/reports/read2012.pdf" TargetMode="External"/><Relationship Id="rId1694" Type="http://schemas.openxmlformats.org/officeDocument/2006/relationships/hyperlink" Target="http://osf.io/Cju65/files/ReplicationProtocol_%20for_Vess2012_Replication_2_-_LeBel.doc" TargetMode="External"/><Relationship Id="rId860" Type="http://schemas.openxmlformats.org/officeDocument/2006/relationships/hyperlink" Target="https://rpubs.com/ShimaSalehi/155989" TargetMode="External"/><Relationship Id="rId1695" Type="http://schemas.openxmlformats.org/officeDocument/2006/relationships/hyperlink" Target="https://osf.io/y36m8" TargetMode="External"/><Relationship Id="rId1696" Type="http://schemas.openxmlformats.org/officeDocument/2006/relationships/hyperlink" Target="https://osf.io/y36m8" TargetMode="External"/><Relationship Id="rId1686" Type="http://schemas.openxmlformats.org/officeDocument/2006/relationships/hyperlink" Target="https://osf.io/y36m8" TargetMode="External"/><Relationship Id="rId1687" Type="http://schemas.openxmlformats.org/officeDocument/2006/relationships/hyperlink" Target="https://osf.io/5kyjt" TargetMode="External"/><Relationship Id="rId1688" Type="http://schemas.openxmlformats.org/officeDocument/2006/relationships/hyperlink" Target="https://osf.io/5kyjt" TargetMode="External"/><Relationship Id="rId1689" Type="http://schemas.openxmlformats.org/officeDocument/2006/relationships/hyperlink" Target="http://osf.io/Cju65/files/ReplicationProtocol_%20for_Vess2012_Replication_2_-_LeBel.doc" TargetMode="External"/><Relationship Id="rId855" Type="http://schemas.openxmlformats.org/officeDocument/2006/relationships/hyperlink" Target="https://rpubs.com/ShimaSalehi/155989" TargetMode="External"/><Relationship Id="rId854" Type="http://schemas.openxmlformats.org/officeDocument/2006/relationships/hyperlink" Target="https://rpubs.com/ShimaSalehi/155989" TargetMode="External"/><Relationship Id="rId853" Type="http://schemas.openxmlformats.org/officeDocument/2006/relationships/hyperlink" Target="https://rpubs.com/ShimaSalehi/155989" TargetMode="External"/><Relationship Id="rId852" Type="http://schemas.openxmlformats.org/officeDocument/2006/relationships/hyperlink" Target="https://rpubs.com/ShimaSalehi/155989" TargetMode="External"/><Relationship Id="rId859" Type="http://schemas.openxmlformats.org/officeDocument/2006/relationships/hyperlink" Target="https://rpubs.com/ShimaSalehi/155989" TargetMode="External"/><Relationship Id="rId858" Type="http://schemas.openxmlformats.org/officeDocument/2006/relationships/hyperlink" Target="https://rpubs.com/ShimaSalehi/155989" TargetMode="External"/><Relationship Id="rId857" Type="http://schemas.openxmlformats.org/officeDocument/2006/relationships/hyperlink" Target="https://rpubs.com/ShimaSalehi/155989" TargetMode="External"/><Relationship Id="rId856" Type="http://schemas.openxmlformats.org/officeDocument/2006/relationships/hyperlink" Target="https://rpubs.com/ShimaSalehi/155989" TargetMode="External"/><Relationship Id="rId1680" Type="http://schemas.openxmlformats.org/officeDocument/2006/relationships/hyperlink" Target="https://osf.io/kizyn" TargetMode="External"/><Relationship Id="rId1681" Type="http://schemas.openxmlformats.org/officeDocument/2006/relationships/hyperlink" Target="http://openscienceframework.org/project/nydrb/files/%20ReplicationProtocol_for_Vess2012_-_LeBel.doc" TargetMode="External"/><Relationship Id="rId851" Type="http://schemas.openxmlformats.org/officeDocument/2006/relationships/hyperlink" Target="https://rpubs.com/ShimaSalehi/155989" TargetMode="External"/><Relationship Id="rId1682" Type="http://schemas.openxmlformats.org/officeDocument/2006/relationships/hyperlink" Target="https://osf.io/kizyn" TargetMode="External"/><Relationship Id="rId850" Type="http://schemas.openxmlformats.org/officeDocument/2006/relationships/hyperlink" Target="https://rpubs.com/ShimaSalehi/155989" TargetMode="External"/><Relationship Id="rId1683" Type="http://schemas.openxmlformats.org/officeDocument/2006/relationships/hyperlink" Target="https://osf.io/y36m8" TargetMode="External"/><Relationship Id="rId1684" Type="http://schemas.openxmlformats.org/officeDocument/2006/relationships/hyperlink" Target="https://osf.io/y36m8" TargetMode="External"/><Relationship Id="rId1685" Type="http://schemas.openxmlformats.org/officeDocument/2006/relationships/hyperlink" Target="https://osf.io/y36m8" TargetMode="External"/><Relationship Id="rId3414" Type="http://schemas.openxmlformats.org/officeDocument/2006/relationships/hyperlink" Target="https://doi.org/10.3389/fpsyg.2024.1495812" TargetMode="External"/><Relationship Id="rId3413" Type="http://schemas.openxmlformats.org/officeDocument/2006/relationships/hyperlink" Target="https://osf.io/nhsyv/" TargetMode="External"/><Relationship Id="rId3416" Type="http://schemas.openxmlformats.org/officeDocument/2006/relationships/hyperlink" Target="https://doi.org/10.3758/BF03194043" TargetMode="External"/><Relationship Id="rId3415" Type="http://schemas.openxmlformats.org/officeDocument/2006/relationships/hyperlink" Target="https://doi.org/10.3389/fpsyg.2024.1495812" TargetMode="External"/><Relationship Id="rId3418" Type="http://schemas.openxmlformats.org/officeDocument/2006/relationships/hyperlink" Target="https://doi.org/10.1073/pnas.1908369116" TargetMode="External"/><Relationship Id="rId3417" Type="http://schemas.openxmlformats.org/officeDocument/2006/relationships/hyperlink" Target="https://doi.org/10.3758/s13423-024-02602-4" TargetMode="External"/><Relationship Id="rId3419" Type="http://schemas.openxmlformats.org/officeDocument/2006/relationships/hyperlink" Target="https://doi.org/10.17645/mac.7807" TargetMode="External"/><Relationship Id="rId888" Type="http://schemas.openxmlformats.org/officeDocument/2006/relationships/hyperlink" Target="https://rpubs.com/kagood/final-project-report," TargetMode="External"/><Relationship Id="rId887" Type="http://schemas.openxmlformats.org/officeDocument/2006/relationships/hyperlink" Target="https://osf.io/8k4t5/" TargetMode="External"/><Relationship Id="rId886" Type="http://schemas.openxmlformats.org/officeDocument/2006/relationships/hyperlink" Target="https://rpubs.com/kagood/final-project-report," TargetMode="External"/><Relationship Id="rId885" Type="http://schemas.openxmlformats.org/officeDocument/2006/relationships/hyperlink" Target="https://osf.io/8k4t5/" TargetMode="External"/><Relationship Id="rId889" Type="http://schemas.openxmlformats.org/officeDocument/2006/relationships/hyperlink" Target="https://osf.io/8k4t5/" TargetMode="External"/><Relationship Id="rId880" Type="http://schemas.openxmlformats.org/officeDocument/2006/relationships/hyperlink" Target="https://rpubs.com/kagood/final-project-report," TargetMode="External"/><Relationship Id="rId884" Type="http://schemas.openxmlformats.org/officeDocument/2006/relationships/hyperlink" Target="https://rpubs.com/kagood/final-project-report," TargetMode="External"/><Relationship Id="rId3410" Type="http://schemas.openxmlformats.org/officeDocument/2006/relationships/hyperlink" Target="https://doi.org/10.1111/bjhp.12185" TargetMode="External"/><Relationship Id="rId883" Type="http://schemas.openxmlformats.org/officeDocument/2006/relationships/hyperlink" Target="https://osf.io/8k4t5/" TargetMode="External"/><Relationship Id="rId882" Type="http://schemas.openxmlformats.org/officeDocument/2006/relationships/hyperlink" Target="https://rpubs.com/kagood/final-project-report," TargetMode="External"/><Relationship Id="rId3412" Type="http://schemas.openxmlformats.org/officeDocument/2006/relationships/hyperlink" Target="https://osf.io/nhsyv/" TargetMode="External"/><Relationship Id="rId881" Type="http://schemas.openxmlformats.org/officeDocument/2006/relationships/hyperlink" Target="https://osf.io/8k4t5/" TargetMode="External"/><Relationship Id="rId3411" Type="http://schemas.openxmlformats.org/officeDocument/2006/relationships/hyperlink" Target="https://doi.org/10.1371/journal.pone.0313619" TargetMode="External"/><Relationship Id="rId3403" Type="http://schemas.openxmlformats.org/officeDocument/2006/relationships/hyperlink" Target="https://osf.io/d9gz7/" TargetMode="External"/><Relationship Id="rId3402" Type="http://schemas.openxmlformats.org/officeDocument/2006/relationships/hyperlink" Target="https://osf.io/d9gz7/" TargetMode="External"/><Relationship Id="rId3405" Type="http://schemas.openxmlformats.org/officeDocument/2006/relationships/hyperlink" Target="https://doi.org/10.1007/s10899-024-10363-x" TargetMode="External"/><Relationship Id="rId3404" Type="http://schemas.openxmlformats.org/officeDocument/2006/relationships/hyperlink" Target="https://doi.org/10.1007/s11469-023-01060-8" TargetMode="External"/><Relationship Id="rId3407" Type="http://schemas.openxmlformats.org/officeDocument/2006/relationships/hyperlink" Target="https://replications.clearerthinking.org/replication-2022psci33-8" TargetMode="External"/><Relationship Id="rId3406" Type="http://schemas.openxmlformats.org/officeDocument/2006/relationships/hyperlink" Target="https://doi.org/10.1177/09567976221082941" TargetMode="External"/><Relationship Id="rId3409" Type="http://schemas.openxmlformats.org/officeDocument/2006/relationships/hyperlink" Target="https://osf.io/e28nd/" TargetMode="External"/><Relationship Id="rId3408" Type="http://schemas.openxmlformats.org/officeDocument/2006/relationships/hyperlink" Target="https://osf.io/e28nd/" TargetMode="External"/><Relationship Id="rId877" Type="http://schemas.openxmlformats.org/officeDocument/2006/relationships/hyperlink" Target="https://rpubs.com/kagood/final-project-report," TargetMode="External"/><Relationship Id="rId876" Type="http://schemas.openxmlformats.org/officeDocument/2006/relationships/hyperlink" Target="https://osf.io/8k4t5/" TargetMode="External"/><Relationship Id="rId875" Type="http://schemas.openxmlformats.org/officeDocument/2006/relationships/hyperlink" Target="https://osf.io/8k4t5/." TargetMode="External"/><Relationship Id="rId874" Type="http://schemas.openxmlformats.org/officeDocument/2006/relationships/hyperlink" Target="https://rpubs.com/kagood/final-project-report," TargetMode="External"/><Relationship Id="rId879" Type="http://schemas.openxmlformats.org/officeDocument/2006/relationships/hyperlink" Target="https://osf.io/8k4t5/" TargetMode="External"/><Relationship Id="rId878" Type="http://schemas.openxmlformats.org/officeDocument/2006/relationships/hyperlink" Target="https://rpubs.com/kagood/final-project-report" TargetMode="External"/><Relationship Id="rId873" Type="http://schemas.openxmlformats.org/officeDocument/2006/relationships/hyperlink" Target="https://github.com/vboyce/251-254-MA/blob/main/reports/risen2008.docx" TargetMode="External"/><Relationship Id="rId872" Type="http://schemas.openxmlformats.org/officeDocument/2006/relationships/hyperlink" Target="https://github.com/vboyce/251-254-MA/blob/main/reports/risen2008.docx" TargetMode="External"/><Relationship Id="rId871" Type="http://schemas.openxmlformats.org/officeDocument/2006/relationships/hyperlink" Target="https://github.com/vboyce/251-254-MA/blob/main/reports/risen2008.docx" TargetMode="External"/><Relationship Id="rId3401" Type="http://schemas.openxmlformats.org/officeDocument/2006/relationships/hyperlink" Target="https://doi.org/10.1177/19485506241298340" TargetMode="External"/><Relationship Id="rId870" Type="http://schemas.openxmlformats.org/officeDocument/2006/relationships/hyperlink" Target="https://github.com/vboyce/251-254-MA/blob/main/reports/risen2008.docx" TargetMode="External"/><Relationship Id="rId3400" Type="http://schemas.openxmlformats.org/officeDocument/2006/relationships/hyperlink" Target="https://doi.org/10.1177/1948550609360261" TargetMode="External"/><Relationship Id="rId1653" Type="http://schemas.openxmlformats.org/officeDocument/2006/relationships/hyperlink" Target="https://osf.io/ct89g/" TargetMode="External"/><Relationship Id="rId2984" Type="http://schemas.openxmlformats.org/officeDocument/2006/relationships/hyperlink" Target="https://osf.io/j4ers" TargetMode="External"/><Relationship Id="rId1654" Type="http://schemas.openxmlformats.org/officeDocument/2006/relationships/hyperlink" Target="https://osf.io/ryfse/" TargetMode="External"/><Relationship Id="rId2985" Type="http://schemas.openxmlformats.org/officeDocument/2006/relationships/hyperlink" Target="https://drive.google.com/file/d/1Oyf6phoxDUGiryzACmCI2gdTcVIQO0rE/view?usp=drive_link" TargetMode="External"/><Relationship Id="rId1655" Type="http://schemas.openxmlformats.org/officeDocument/2006/relationships/hyperlink" Target="https://osf.io/ryfse/" TargetMode="External"/><Relationship Id="rId2986" Type="http://schemas.openxmlformats.org/officeDocument/2006/relationships/hyperlink" Target="https://osf.io/j4ers" TargetMode="External"/><Relationship Id="rId1656" Type="http://schemas.openxmlformats.org/officeDocument/2006/relationships/hyperlink" Target="https://doi.org/10.1037/arc0000007" TargetMode="External"/><Relationship Id="rId2987" Type="http://schemas.openxmlformats.org/officeDocument/2006/relationships/hyperlink" Target="https://drive.google.com/file/d/1Oyf6phoxDUGiryzACmCI2gdTcVIQO0rE/view?usp=drive_link" TargetMode="External"/><Relationship Id="rId1657" Type="http://schemas.openxmlformats.org/officeDocument/2006/relationships/hyperlink" Target="https://doi.org/10.1037/arc0000007" TargetMode="External"/><Relationship Id="rId2988" Type="http://schemas.openxmlformats.org/officeDocument/2006/relationships/hyperlink" Target="https://osf.io/j4ers" TargetMode="External"/><Relationship Id="rId1658" Type="http://schemas.openxmlformats.org/officeDocument/2006/relationships/hyperlink" Target="https://doi.org/10.1037/arc0000007" TargetMode="External"/><Relationship Id="rId2989" Type="http://schemas.openxmlformats.org/officeDocument/2006/relationships/hyperlink" Target="https://drive.google.com/file/d/1Oyf6phoxDUGiryzACmCI2gdTcVIQO0rE/view?usp=drive_link" TargetMode="External"/><Relationship Id="rId1659" Type="http://schemas.openxmlformats.org/officeDocument/2006/relationships/hyperlink" Target="https://doi.org/10.1037/arc0000007" TargetMode="External"/><Relationship Id="rId829" Type="http://schemas.openxmlformats.org/officeDocument/2006/relationships/hyperlink" Target="https://www.rpubs.com/sansiropp/256552" TargetMode="External"/><Relationship Id="rId828" Type="http://schemas.openxmlformats.org/officeDocument/2006/relationships/hyperlink" Target="https://www.rpubs.com/sansiropp/256552" TargetMode="External"/><Relationship Id="rId827" Type="http://schemas.openxmlformats.org/officeDocument/2006/relationships/hyperlink" Target="https://osf.io/xwn9m/" TargetMode="External"/><Relationship Id="rId822" Type="http://schemas.openxmlformats.org/officeDocument/2006/relationships/hyperlink" Target="https://osf.io/xwn9m/" TargetMode="External"/><Relationship Id="rId821" Type="http://schemas.openxmlformats.org/officeDocument/2006/relationships/hyperlink" Target="https://www.rpubs.com/sansiropp/256552" TargetMode="External"/><Relationship Id="rId820" Type="http://schemas.openxmlformats.org/officeDocument/2006/relationships/hyperlink" Target="https://www.rpubs.com/sansiropp/256552" TargetMode="External"/><Relationship Id="rId826" Type="http://schemas.openxmlformats.org/officeDocument/2006/relationships/hyperlink" Target="https://github.com/vboyce/251-254-MA/blob/main/data/processed_data.csv" TargetMode="External"/><Relationship Id="rId825" Type="http://schemas.openxmlformats.org/officeDocument/2006/relationships/hyperlink" Target="https://osf.io/xwn9m/" TargetMode="External"/><Relationship Id="rId824" Type="http://schemas.openxmlformats.org/officeDocument/2006/relationships/hyperlink" Target="https://github.com/vboyce/251-254-MA/blob/main/data/processed_data.csv" TargetMode="External"/><Relationship Id="rId823" Type="http://schemas.openxmlformats.org/officeDocument/2006/relationships/hyperlink" Target="https://www.rpubs.com/sansiropp/256552" TargetMode="External"/><Relationship Id="rId2980" Type="http://schemas.openxmlformats.org/officeDocument/2006/relationships/hyperlink" Target="https://osf.io/j4ers" TargetMode="External"/><Relationship Id="rId1650" Type="http://schemas.openxmlformats.org/officeDocument/2006/relationships/hyperlink" Target="https://osf.io/u6ghv" TargetMode="External"/><Relationship Id="rId2981" Type="http://schemas.openxmlformats.org/officeDocument/2006/relationships/hyperlink" Target="https://drive.google.com/file/d/1Oyf6phoxDUGiryzACmCI2gdTcVIQO0rE/view?usp=drive_link" TargetMode="External"/><Relationship Id="rId1651" Type="http://schemas.openxmlformats.org/officeDocument/2006/relationships/hyperlink" Target="https://osf.io/u6ghv" TargetMode="External"/><Relationship Id="rId2982" Type="http://schemas.openxmlformats.org/officeDocument/2006/relationships/hyperlink" Target="https://osf.io/j4ers" TargetMode="External"/><Relationship Id="rId1652" Type="http://schemas.openxmlformats.org/officeDocument/2006/relationships/hyperlink" Target="https://osf.io/ct89g/" TargetMode="External"/><Relationship Id="rId2983" Type="http://schemas.openxmlformats.org/officeDocument/2006/relationships/hyperlink" Target="https://drive.google.com/file/d/1Oyf6phoxDUGiryzACmCI2gdTcVIQO0rE/view?usp=drive_link" TargetMode="External"/><Relationship Id="rId1642" Type="http://schemas.openxmlformats.org/officeDocument/2006/relationships/hyperlink" Target="https://osf.io/ct89g/" TargetMode="External"/><Relationship Id="rId2973" Type="http://schemas.openxmlformats.org/officeDocument/2006/relationships/hyperlink" Target="https://drive.google.com/file/d/1Oyf6phoxDUGiryzACmCI2gdTcVIQO0rE/view?usp=drive_link" TargetMode="External"/><Relationship Id="rId1643" Type="http://schemas.openxmlformats.org/officeDocument/2006/relationships/hyperlink" Target="https://osf.io/ct89g/" TargetMode="External"/><Relationship Id="rId2974" Type="http://schemas.openxmlformats.org/officeDocument/2006/relationships/hyperlink" Target="https://osf.io/j4ers" TargetMode="External"/><Relationship Id="rId1644" Type="http://schemas.openxmlformats.org/officeDocument/2006/relationships/hyperlink" Target="https://osf.io/ct89g/" TargetMode="External"/><Relationship Id="rId2975" Type="http://schemas.openxmlformats.org/officeDocument/2006/relationships/hyperlink" Target="https://drive.google.com/file/d/1Oyf6phoxDUGiryzACmCI2gdTcVIQO0rE/view?usp=drive_link" TargetMode="External"/><Relationship Id="rId1645" Type="http://schemas.openxmlformats.org/officeDocument/2006/relationships/hyperlink" Target="http://hdl.handle.net/1765/98670" TargetMode="External"/><Relationship Id="rId2976" Type="http://schemas.openxmlformats.org/officeDocument/2006/relationships/hyperlink" Target="https://osf.io/j4ers" TargetMode="External"/><Relationship Id="rId1646" Type="http://schemas.openxmlformats.org/officeDocument/2006/relationships/hyperlink" Target="https://osf.io/ct89g/" TargetMode="External"/><Relationship Id="rId2977" Type="http://schemas.openxmlformats.org/officeDocument/2006/relationships/hyperlink" Target="https://drive.google.com/file/d/1Oyf6phoxDUGiryzACmCI2gdTcVIQO0rE/view?usp=drive_link" TargetMode="External"/><Relationship Id="rId1647" Type="http://schemas.openxmlformats.org/officeDocument/2006/relationships/hyperlink" Target="https://osf.io/ct89g/" TargetMode="External"/><Relationship Id="rId2978" Type="http://schemas.openxmlformats.org/officeDocument/2006/relationships/hyperlink" Target="https://osf.io/j4ers" TargetMode="External"/><Relationship Id="rId1648" Type="http://schemas.openxmlformats.org/officeDocument/2006/relationships/hyperlink" Target="https://osf.io/ryfse/" TargetMode="External"/><Relationship Id="rId2979" Type="http://schemas.openxmlformats.org/officeDocument/2006/relationships/hyperlink" Target="https://drive.google.com/file/d/1Oyf6phoxDUGiryzACmCI2gdTcVIQO0rE/view?usp=drive_link" TargetMode="External"/><Relationship Id="rId1649" Type="http://schemas.openxmlformats.org/officeDocument/2006/relationships/hyperlink" Target="https://osf.io/ryfse/" TargetMode="External"/><Relationship Id="rId819" Type="http://schemas.openxmlformats.org/officeDocument/2006/relationships/hyperlink" Target="https://osf.io/xwn9m/" TargetMode="External"/><Relationship Id="rId818" Type="http://schemas.openxmlformats.org/officeDocument/2006/relationships/hyperlink" Target="https://docs.google.com/spreadsheets/d/1GZtAzaS9SynEVwyT-fs-bVPDZh374b78kaKIWves5pM/edit?gid=288814287" TargetMode="External"/><Relationship Id="rId817" Type="http://schemas.openxmlformats.org/officeDocument/2006/relationships/hyperlink" Target="https://osf.io/xwn9m/" TargetMode="External"/><Relationship Id="rId816" Type="http://schemas.openxmlformats.org/officeDocument/2006/relationships/hyperlink" Target="https://docs.google.com/spreadsheets/d/1GZtAzaS9SynEVwyT-fs-bVPDZh374b78kaKIWves5pM/edit?gid=288814287" TargetMode="External"/><Relationship Id="rId811" Type="http://schemas.openxmlformats.org/officeDocument/2006/relationships/hyperlink" Target="https://osf.io/rjxwe" TargetMode="External"/><Relationship Id="rId810" Type="http://schemas.openxmlformats.org/officeDocument/2006/relationships/hyperlink" Target="https://osf.io/sxw48/" TargetMode="External"/><Relationship Id="rId815" Type="http://schemas.openxmlformats.org/officeDocument/2006/relationships/hyperlink" Target="https://docs.google.com/spreadsheets/d/1GZtAzaS9SynEVwyT-fs-bVPDZh374b78kaKIWves5pM/edit?gid=288814287" TargetMode="External"/><Relationship Id="rId814" Type="http://schemas.openxmlformats.org/officeDocument/2006/relationships/hyperlink" Target="https://github.com/vboyce/251-254-MA/blob/main/data/processed_data.csv" TargetMode="External"/><Relationship Id="rId813" Type="http://schemas.openxmlformats.org/officeDocument/2006/relationships/hyperlink" Target="https://osf.io/rjxwe" TargetMode="External"/><Relationship Id="rId812" Type="http://schemas.openxmlformats.org/officeDocument/2006/relationships/hyperlink" Target="https://osf.io/sxw48/" TargetMode="External"/><Relationship Id="rId2970" Type="http://schemas.openxmlformats.org/officeDocument/2006/relationships/hyperlink" Target="https://osf.io/j4ers" TargetMode="External"/><Relationship Id="rId1640" Type="http://schemas.openxmlformats.org/officeDocument/2006/relationships/hyperlink" Target="https://www.ejwagenmakers.com/2012/Appendix_PoPS_WagenmakersEtAl.pdf" TargetMode="External"/><Relationship Id="rId2971" Type="http://schemas.openxmlformats.org/officeDocument/2006/relationships/hyperlink" Target="https://drive.google.com/file/d/1Oyf6phoxDUGiryzACmCI2gdTcVIQO0rE/view?usp=drive_link" TargetMode="External"/><Relationship Id="rId1641" Type="http://schemas.openxmlformats.org/officeDocument/2006/relationships/hyperlink" Target="https://osf.io/ct89g/" TargetMode="External"/><Relationship Id="rId2972" Type="http://schemas.openxmlformats.org/officeDocument/2006/relationships/hyperlink" Target="https://osf.io/j4ers" TargetMode="External"/><Relationship Id="rId1675" Type="http://schemas.openxmlformats.org/officeDocument/2006/relationships/hyperlink" Target="https://osf.io/kizyn" TargetMode="External"/><Relationship Id="rId1676" Type="http://schemas.openxmlformats.org/officeDocument/2006/relationships/hyperlink" Target="https://osf.io/kizyn" TargetMode="External"/><Relationship Id="rId1677" Type="http://schemas.openxmlformats.org/officeDocument/2006/relationships/hyperlink" Target="http://openscienceframework.org/project/nydrb/files/%20ReplicationProtocol_for_Vess2012_-_LeBel.doc" TargetMode="External"/><Relationship Id="rId1678" Type="http://schemas.openxmlformats.org/officeDocument/2006/relationships/hyperlink" Target="https://osf.io/kizyn" TargetMode="External"/><Relationship Id="rId1679" Type="http://schemas.openxmlformats.org/officeDocument/2006/relationships/hyperlink" Target="http://openscienceframework.org/project/nydrb/files/%20ReplicationProtocol_for_Vess2012_-_LeBel.doc" TargetMode="External"/><Relationship Id="rId849" Type="http://schemas.openxmlformats.org/officeDocument/2006/relationships/hyperlink" Target="https://rpubs.com/ShimaSalehi/155989" TargetMode="External"/><Relationship Id="rId844" Type="http://schemas.openxmlformats.org/officeDocument/2006/relationships/hyperlink" Target="https://rpubs.com/ShimaSalehi/155989" TargetMode="External"/><Relationship Id="rId843" Type="http://schemas.openxmlformats.org/officeDocument/2006/relationships/hyperlink" Target="https://rpubs.com/ShimaSalehi/155989" TargetMode="External"/><Relationship Id="rId842" Type="http://schemas.openxmlformats.org/officeDocument/2006/relationships/hyperlink" Target="https://www.rpubs.com/sansiropp/256552" TargetMode="External"/><Relationship Id="rId841" Type="http://schemas.openxmlformats.org/officeDocument/2006/relationships/hyperlink" Target="https://www.rpubs.com/sansiropp/256552" TargetMode="External"/><Relationship Id="rId848" Type="http://schemas.openxmlformats.org/officeDocument/2006/relationships/hyperlink" Target="https://rpubs.com/ShimaSalehi/155989" TargetMode="External"/><Relationship Id="rId847" Type="http://schemas.openxmlformats.org/officeDocument/2006/relationships/hyperlink" Target="https://rpubs.com/ShimaSalehi/155989" TargetMode="External"/><Relationship Id="rId846" Type="http://schemas.openxmlformats.org/officeDocument/2006/relationships/hyperlink" Target="https://rpubs.com/ShimaSalehi/155989" TargetMode="External"/><Relationship Id="rId845" Type="http://schemas.openxmlformats.org/officeDocument/2006/relationships/hyperlink" Target="https://rpubs.com/ShimaSalehi/155989" TargetMode="External"/><Relationship Id="rId1670" Type="http://schemas.openxmlformats.org/officeDocument/2006/relationships/hyperlink" Target="https://osf.io/ct89g/" TargetMode="External"/><Relationship Id="rId840" Type="http://schemas.openxmlformats.org/officeDocument/2006/relationships/hyperlink" Target="https://www.rpubs.com/sansiropp/256552" TargetMode="External"/><Relationship Id="rId1671" Type="http://schemas.openxmlformats.org/officeDocument/2006/relationships/hyperlink" Target="https://osf.io/ct89g/" TargetMode="External"/><Relationship Id="rId1672" Type="http://schemas.openxmlformats.org/officeDocument/2006/relationships/hyperlink" Target="https://osf.io/ct89g/" TargetMode="External"/><Relationship Id="rId1673" Type="http://schemas.openxmlformats.org/officeDocument/2006/relationships/hyperlink" Target="https://osf.io/wamcn" TargetMode="External"/><Relationship Id="rId1674" Type="http://schemas.openxmlformats.org/officeDocument/2006/relationships/hyperlink" Target="https://osf.io/kizyn" TargetMode="External"/><Relationship Id="rId1664" Type="http://schemas.openxmlformats.org/officeDocument/2006/relationships/hyperlink" Target="https://osf.io/ct89g/" TargetMode="External"/><Relationship Id="rId2995" Type="http://schemas.openxmlformats.org/officeDocument/2006/relationships/hyperlink" Target="https://drive.google.com/file/d/1Oyf6phoxDUGiryzACmCI2gdTcVIQO0rE/view?usp=drive_link" TargetMode="External"/><Relationship Id="rId1665" Type="http://schemas.openxmlformats.org/officeDocument/2006/relationships/hyperlink" Target="https://osf.io/ct89g/" TargetMode="External"/><Relationship Id="rId2996" Type="http://schemas.openxmlformats.org/officeDocument/2006/relationships/hyperlink" Target="https://osf.io/j4ers" TargetMode="External"/><Relationship Id="rId1666" Type="http://schemas.openxmlformats.org/officeDocument/2006/relationships/hyperlink" Target="https://osf.io/ct89g/" TargetMode="External"/><Relationship Id="rId2997" Type="http://schemas.openxmlformats.org/officeDocument/2006/relationships/hyperlink" Target="https://drive.google.com/file/d/1Oyf6phoxDUGiryzACmCI2gdTcVIQO0rE/view?usp=drive_link" TargetMode="External"/><Relationship Id="rId1667" Type="http://schemas.openxmlformats.org/officeDocument/2006/relationships/hyperlink" Target="https://osf.io/ct89g/" TargetMode="External"/><Relationship Id="rId2998" Type="http://schemas.openxmlformats.org/officeDocument/2006/relationships/hyperlink" Target="https://osf.io/k6ytw" TargetMode="External"/><Relationship Id="rId1668" Type="http://schemas.openxmlformats.org/officeDocument/2006/relationships/hyperlink" Target="https://osf.io/ct89g/" TargetMode="External"/><Relationship Id="rId2999" Type="http://schemas.openxmlformats.org/officeDocument/2006/relationships/hyperlink" Target="https://drive.google.com/file/d/1Oyf6phoxDUGiryzACmCI2gdTcVIQO0rE/view?usp=drive_link" TargetMode="External"/><Relationship Id="rId1669" Type="http://schemas.openxmlformats.org/officeDocument/2006/relationships/hyperlink" Target="https://osf.io/ct89g/" TargetMode="External"/><Relationship Id="rId839" Type="http://schemas.openxmlformats.org/officeDocument/2006/relationships/hyperlink" Target="https://github.com/lrhasak/porter2016/blob/master/writeup/ReplicationReport.Rmd" TargetMode="External"/><Relationship Id="rId838" Type="http://schemas.openxmlformats.org/officeDocument/2006/relationships/hyperlink" Target="https://github.com/lrhasak/porter2016/blob/master/writeup/Porter2016_Study2_ReplicationReportFinal.html" TargetMode="External"/><Relationship Id="rId833" Type="http://schemas.openxmlformats.org/officeDocument/2006/relationships/hyperlink" Target="https://rpubs.com/camillag/256522" TargetMode="External"/><Relationship Id="rId832" Type="http://schemas.openxmlformats.org/officeDocument/2006/relationships/hyperlink" Target="https://osf.io/w3h9y/files/osfstorage" TargetMode="External"/><Relationship Id="rId831" Type="http://schemas.openxmlformats.org/officeDocument/2006/relationships/hyperlink" Target="https://rpubs.com/camillag/256522" TargetMode="External"/><Relationship Id="rId830" Type="http://schemas.openxmlformats.org/officeDocument/2006/relationships/hyperlink" Target="https://osf.io/xwn9m/" TargetMode="External"/><Relationship Id="rId837" Type="http://schemas.openxmlformats.org/officeDocument/2006/relationships/hyperlink" Target="https://github.com/lrhasak/porter2016/blob/master/writeup/ReplicationReport.Rmd" TargetMode="External"/><Relationship Id="rId836" Type="http://schemas.openxmlformats.org/officeDocument/2006/relationships/hyperlink" Target="https://osf.io/w3h9y/files/osfstorage" TargetMode="External"/><Relationship Id="rId835" Type="http://schemas.openxmlformats.org/officeDocument/2006/relationships/hyperlink" Target="https://rpubs.com/camillag/256522" TargetMode="External"/><Relationship Id="rId834" Type="http://schemas.openxmlformats.org/officeDocument/2006/relationships/hyperlink" Target="https://osf.io/w3h9y/files/osfstorage" TargetMode="External"/><Relationship Id="rId2990" Type="http://schemas.openxmlformats.org/officeDocument/2006/relationships/hyperlink" Target="https://osf.io/j4ers" TargetMode="External"/><Relationship Id="rId1660" Type="http://schemas.openxmlformats.org/officeDocument/2006/relationships/hyperlink" Target="https://doi.org/10.1037/arc0000007" TargetMode="External"/><Relationship Id="rId2991" Type="http://schemas.openxmlformats.org/officeDocument/2006/relationships/hyperlink" Target="https://drive.google.com/file/d/1Oyf6phoxDUGiryzACmCI2gdTcVIQO0rE/view?usp=drive_link" TargetMode="External"/><Relationship Id="rId1661" Type="http://schemas.openxmlformats.org/officeDocument/2006/relationships/hyperlink" Target="https://doi.org/10.1037/arc0000007" TargetMode="External"/><Relationship Id="rId2992" Type="http://schemas.openxmlformats.org/officeDocument/2006/relationships/hyperlink" Target="https://osf.io/j4ers" TargetMode="External"/><Relationship Id="rId1662" Type="http://schemas.openxmlformats.org/officeDocument/2006/relationships/hyperlink" Target="https://doi.org/10.1037/arc0000007" TargetMode="External"/><Relationship Id="rId2993" Type="http://schemas.openxmlformats.org/officeDocument/2006/relationships/hyperlink" Target="https://drive.google.com/file/d/1Oyf6phoxDUGiryzACmCI2gdTcVIQO0rE/view?usp=drive_link" TargetMode="External"/><Relationship Id="rId1663" Type="http://schemas.openxmlformats.org/officeDocument/2006/relationships/hyperlink" Target="https://osf.io/ct89g/" TargetMode="External"/><Relationship Id="rId2994" Type="http://schemas.openxmlformats.org/officeDocument/2006/relationships/hyperlink" Target="https://osf.io/j4ers" TargetMode="External"/><Relationship Id="rId2148" Type="http://schemas.openxmlformats.org/officeDocument/2006/relationships/hyperlink" Target="https://aspredicted.org/ZW2_C76" TargetMode="External"/><Relationship Id="rId2149" Type="http://schemas.openxmlformats.org/officeDocument/2006/relationships/hyperlink" Target="https://aspredicted.org/ZW2_C76" TargetMode="External"/><Relationship Id="rId3479" Type="http://schemas.openxmlformats.org/officeDocument/2006/relationships/hyperlink" Target="https://osf.io/b936n" TargetMode="External"/><Relationship Id="rId3470" Type="http://schemas.openxmlformats.org/officeDocument/2006/relationships/hyperlink" Target="https://osf.io/cmrbh" TargetMode="External"/><Relationship Id="rId2140" Type="http://schemas.openxmlformats.org/officeDocument/2006/relationships/hyperlink" Target="https://aspredicted.org/ZW2_C76" TargetMode="External"/><Relationship Id="rId3472" Type="http://schemas.openxmlformats.org/officeDocument/2006/relationships/hyperlink" Target="https://osf.io/cmrbh" TargetMode="External"/><Relationship Id="rId2141" Type="http://schemas.openxmlformats.org/officeDocument/2006/relationships/hyperlink" Target="https://aspredicted.org/ZW2_C76" TargetMode="External"/><Relationship Id="rId3471" Type="http://schemas.openxmlformats.org/officeDocument/2006/relationships/hyperlink" Target="https://osf.io/cmrbh" TargetMode="External"/><Relationship Id="rId2142" Type="http://schemas.openxmlformats.org/officeDocument/2006/relationships/hyperlink" Target="https://aspredicted.org/ZW2_C76" TargetMode="External"/><Relationship Id="rId3474" Type="http://schemas.openxmlformats.org/officeDocument/2006/relationships/hyperlink" Target="https://osf.io/gb7pk" TargetMode="External"/><Relationship Id="rId2143" Type="http://schemas.openxmlformats.org/officeDocument/2006/relationships/hyperlink" Target="https://aspredicted.org/ZW2_C76" TargetMode="External"/><Relationship Id="rId3473" Type="http://schemas.openxmlformats.org/officeDocument/2006/relationships/hyperlink" Target="https://osf.io/mhwbe" TargetMode="External"/><Relationship Id="rId2144" Type="http://schemas.openxmlformats.org/officeDocument/2006/relationships/hyperlink" Target="https://aspredicted.org/ZW2_C76" TargetMode="External"/><Relationship Id="rId3476" Type="http://schemas.openxmlformats.org/officeDocument/2006/relationships/hyperlink" Target="https://osf.io/kbnjw;" TargetMode="External"/><Relationship Id="rId2145" Type="http://schemas.openxmlformats.org/officeDocument/2006/relationships/hyperlink" Target="https://aspredicted.org/ZW2_C76" TargetMode="External"/><Relationship Id="rId3475" Type="http://schemas.openxmlformats.org/officeDocument/2006/relationships/hyperlink" Target="https://osf.io/fzchj" TargetMode="External"/><Relationship Id="rId2146" Type="http://schemas.openxmlformats.org/officeDocument/2006/relationships/hyperlink" Target="https://aspredicted.org/ZW2_C76" TargetMode="External"/><Relationship Id="rId3478" Type="http://schemas.openxmlformats.org/officeDocument/2006/relationships/hyperlink" Target="https://osf.io/b936n" TargetMode="External"/><Relationship Id="rId2147" Type="http://schemas.openxmlformats.org/officeDocument/2006/relationships/hyperlink" Target="https://aspredicted.org/ZW2_C76" TargetMode="External"/><Relationship Id="rId3477" Type="http://schemas.openxmlformats.org/officeDocument/2006/relationships/hyperlink" Target="https://osf.io/yrvuq" TargetMode="External"/><Relationship Id="rId2137" Type="http://schemas.openxmlformats.org/officeDocument/2006/relationships/hyperlink" Target="https://aspredicted.org/ZW2_C76" TargetMode="External"/><Relationship Id="rId3469" Type="http://schemas.openxmlformats.org/officeDocument/2006/relationships/hyperlink" Target="https://osf.io/cmrbh" TargetMode="External"/><Relationship Id="rId2138" Type="http://schemas.openxmlformats.org/officeDocument/2006/relationships/hyperlink" Target="https://aspredicted.org/ZW2_C76" TargetMode="External"/><Relationship Id="rId3468" Type="http://schemas.openxmlformats.org/officeDocument/2006/relationships/hyperlink" Target="https://osf.io/cmrbh" TargetMode="External"/><Relationship Id="rId2139" Type="http://schemas.openxmlformats.org/officeDocument/2006/relationships/hyperlink" Target="https://aspredicted.org/ZW2_C76" TargetMode="External"/><Relationship Id="rId3461" Type="http://schemas.openxmlformats.org/officeDocument/2006/relationships/hyperlink" Target="https://osf.io/bgzay" TargetMode="External"/><Relationship Id="rId2130" Type="http://schemas.openxmlformats.org/officeDocument/2006/relationships/hyperlink" Target="https://aspredicted.org/ZW2_C76" TargetMode="External"/><Relationship Id="rId3460" Type="http://schemas.openxmlformats.org/officeDocument/2006/relationships/hyperlink" Target="https://osf.io/wpzg7" TargetMode="External"/><Relationship Id="rId2131" Type="http://schemas.openxmlformats.org/officeDocument/2006/relationships/hyperlink" Target="https://aspredicted.org/ZW2_C76" TargetMode="External"/><Relationship Id="rId3463" Type="http://schemas.openxmlformats.org/officeDocument/2006/relationships/hyperlink" Target="https://osf.io/nrfth" TargetMode="External"/><Relationship Id="rId2132" Type="http://schemas.openxmlformats.org/officeDocument/2006/relationships/hyperlink" Target="https://aspredicted.org/ZW2_C76" TargetMode="External"/><Relationship Id="rId3462" Type="http://schemas.openxmlformats.org/officeDocument/2006/relationships/hyperlink" Target="https://osf.io/bgzay" TargetMode="External"/><Relationship Id="rId2133" Type="http://schemas.openxmlformats.org/officeDocument/2006/relationships/hyperlink" Target="https://aspredicted.org/ZW2_C76" TargetMode="External"/><Relationship Id="rId3465" Type="http://schemas.openxmlformats.org/officeDocument/2006/relationships/hyperlink" Target="https://osf.io/ju2fe/;" TargetMode="External"/><Relationship Id="rId2134" Type="http://schemas.openxmlformats.org/officeDocument/2006/relationships/hyperlink" Target="https://aspredicted.org/ZW2_C76" TargetMode="External"/><Relationship Id="rId3464" Type="http://schemas.openxmlformats.org/officeDocument/2006/relationships/hyperlink" Target="https://osf.io/nrfth" TargetMode="External"/><Relationship Id="rId2135" Type="http://schemas.openxmlformats.org/officeDocument/2006/relationships/hyperlink" Target="https://aspredicted.org/ZW2_C76" TargetMode="External"/><Relationship Id="rId3467" Type="http://schemas.openxmlformats.org/officeDocument/2006/relationships/hyperlink" Target="https://osf.io/cmrbh" TargetMode="External"/><Relationship Id="rId2136" Type="http://schemas.openxmlformats.org/officeDocument/2006/relationships/hyperlink" Target="https://aspredicted.org/ZW2_C76" TargetMode="External"/><Relationship Id="rId3466" Type="http://schemas.openxmlformats.org/officeDocument/2006/relationships/hyperlink" Target="https://osf.io/ju2fe/;" TargetMode="External"/><Relationship Id="rId3490" Type="http://schemas.openxmlformats.org/officeDocument/2006/relationships/hyperlink" Target="https://osf.io/c3bt2" TargetMode="External"/><Relationship Id="rId2160" Type="http://schemas.openxmlformats.org/officeDocument/2006/relationships/hyperlink" Target="https://aspredicted.org/ZW2_C76" TargetMode="External"/><Relationship Id="rId3492" Type="http://schemas.openxmlformats.org/officeDocument/2006/relationships/hyperlink" Target="https://doi.org/10.17605/OSF.IO/W34FB" TargetMode="External"/><Relationship Id="rId2161" Type="http://schemas.openxmlformats.org/officeDocument/2006/relationships/hyperlink" Target="https://aspredicted.org/ZW2_C76" TargetMode="External"/><Relationship Id="rId3491" Type="http://schemas.openxmlformats.org/officeDocument/2006/relationships/hyperlink" Target="https://osf.io/2cs6z/" TargetMode="External"/><Relationship Id="rId2162" Type="http://schemas.openxmlformats.org/officeDocument/2006/relationships/hyperlink" Target="https://aspredicted.org/ZW2_C76" TargetMode="External"/><Relationship Id="rId3494" Type="http://schemas.openxmlformats.org/officeDocument/2006/relationships/hyperlink" Target="https://osf.io/pqt82" TargetMode="External"/><Relationship Id="rId2163" Type="http://schemas.openxmlformats.org/officeDocument/2006/relationships/hyperlink" Target="https://aspredicted.org/ZW2_C76" TargetMode="External"/><Relationship Id="rId3493" Type="http://schemas.openxmlformats.org/officeDocument/2006/relationships/hyperlink" Target="https://osf.io/8hdu3/" TargetMode="External"/><Relationship Id="rId2164" Type="http://schemas.openxmlformats.org/officeDocument/2006/relationships/hyperlink" Target="https://aspredicted.org/ZW2_C76" TargetMode="External"/><Relationship Id="rId3496" Type="http://schemas.openxmlformats.org/officeDocument/2006/relationships/hyperlink" Target="https://osf.io/8wd2b/" TargetMode="External"/><Relationship Id="rId2165" Type="http://schemas.openxmlformats.org/officeDocument/2006/relationships/hyperlink" Target="https://aspredicted.org/ZW2_C76" TargetMode="External"/><Relationship Id="rId3495" Type="http://schemas.openxmlformats.org/officeDocument/2006/relationships/hyperlink" Target="https://osf.io/pqt82" TargetMode="External"/><Relationship Id="rId2166" Type="http://schemas.openxmlformats.org/officeDocument/2006/relationships/hyperlink" Target="https://aspredicted.org/ZW2_C76" TargetMode="External"/><Relationship Id="rId3498" Type="http://schemas.openxmlformats.org/officeDocument/2006/relationships/hyperlink" Target="https://osf.io/7xf4q" TargetMode="External"/><Relationship Id="rId2167" Type="http://schemas.openxmlformats.org/officeDocument/2006/relationships/hyperlink" Target="https://aspredicted.org/ZW2_C76" TargetMode="External"/><Relationship Id="rId3497" Type="http://schemas.openxmlformats.org/officeDocument/2006/relationships/hyperlink" Target="https://docs.google.com/document/d/1hW5moEcdB-U0Ud-MNOB5iYSkeQL60SqVekufodODxDQ/edit?tab=t.0" TargetMode="External"/><Relationship Id="rId2168" Type="http://schemas.openxmlformats.org/officeDocument/2006/relationships/hyperlink" Target="https://aspredicted.org/ZW2_C76" TargetMode="External"/><Relationship Id="rId2169" Type="http://schemas.openxmlformats.org/officeDocument/2006/relationships/hyperlink" Target="https://aspredicted.org/ZW2_C76" TargetMode="External"/><Relationship Id="rId3499" Type="http://schemas.openxmlformats.org/officeDocument/2006/relationships/hyperlink" Target="https://osf.io/pqt82" TargetMode="External"/><Relationship Id="rId2159" Type="http://schemas.openxmlformats.org/officeDocument/2006/relationships/hyperlink" Target="https://aspredicted.org/ZW2_C76" TargetMode="External"/><Relationship Id="rId3481" Type="http://schemas.openxmlformats.org/officeDocument/2006/relationships/hyperlink" Target="https://osf.io/js5db" TargetMode="External"/><Relationship Id="rId2150" Type="http://schemas.openxmlformats.org/officeDocument/2006/relationships/hyperlink" Target="https://aspredicted.org/ZW2_C76" TargetMode="External"/><Relationship Id="rId3480" Type="http://schemas.openxmlformats.org/officeDocument/2006/relationships/hyperlink" Target="https://osf.io/r4aku" TargetMode="External"/><Relationship Id="rId2151" Type="http://schemas.openxmlformats.org/officeDocument/2006/relationships/hyperlink" Target="https://aspredicted.org/ZW2_C76" TargetMode="External"/><Relationship Id="rId3483" Type="http://schemas.openxmlformats.org/officeDocument/2006/relationships/hyperlink" Target="https://osf.io/6z32c" TargetMode="External"/><Relationship Id="rId2152" Type="http://schemas.openxmlformats.org/officeDocument/2006/relationships/hyperlink" Target="https://aspredicted.org/ZW2_C76" TargetMode="External"/><Relationship Id="rId3482" Type="http://schemas.openxmlformats.org/officeDocument/2006/relationships/hyperlink" Target="https://osf.io/czha8" TargetMode="External"/><Relationship Id="rId2153" Type="http://schemas.openxmlformats.org/officeDocument/2006/relationships/hyperlink" Target="https://aspredicted.org/ZW2_C76" TargetMode="External"/><Relationship Id="rId3485" Type="http://schemas.openxmlformats.org/officeDocument/2006/relationships/hyperlink" Target="https://osf.io/cga6h" TargetMode="External"/><Relationship Id="rId2154" Type="http://schemas.openxmlformats.org/officeDocument/2006/relationships/hyperlink" Target="https://aspredicted.org/ZW2_C76" TargetMode="External"/><Relationship Id="rId3484" Type="http://schemas.openxmlformats.org/officeDocument/2006/relationships/hyperlink" Target="https://doi.org/10.1525/collabra.87489" TargetMode="External"/><Relationship Id="rId2155" Type="http://schemas.openxmlformats.org/officeDocument/2006/relationships/hyperlink" Target="https://aspredicted.org/ZW2_C76" TargetMode="External"/><Relationship Id="rId3487" Type="http://schemas.openxmlformats.org/officeDocument/2006/relationships/hyperlink" Target="https://doi.org/10.1525/collabra.90203" TargetMode="External"/><Relationship Id="rId2156" Type="http://schemas.openxmlformats.org/officeDocument/2006/relationships/hyperlink" Target="https://aspredicted.org/ZW2_C76" TargetMode="External"/><Relationship Id="rId3486" Type="http://schemas.openxmlformats.org/officeDocument/2006/relationships/hyperlink" Target="https://osf.io/bjafe/" TargetMode="External"/><Relationship Id="rId2157" Type="http://schemas.openxmlformats.org/officeDocument/2006/relationships/hyperlink" Target="https://aspredicted.org/ZW2_C76" TargetMode="External"/><Relationship Id="rId3489" Type="http://schemas.openxmlformats.org/officeDocument/2006/relationships/hyperlink" Target="https://osf.io/wmqtb/" TargetMode="External"/><Relationship Id="rId2158" Type="http://schemas.openxmlformats.org/officeDocument/2006/relationships/hyperlink" Target="https://aspredicted.org/ZW2_C76" TargetMode="External"/><Relationship Id="rId3488" Type="http://schemas.openxmlformats.org/officeDocument/2006/relationships/hyperlink" Target="https://osf.io/dc9kb/" TargetMode="External"/><Relationship Id="rId2104" Type="http://schemas.openxmlformats.org/officeDocument/2006/relationships/hyperlink" Target="https://osf.io/4a5ej" TargetMode="External"/><Relationship Id="rId3436" Type="http://schemas.openxmlformats.org/officeDocument/2006/relationships/hyperlink" Target="https://doi.org/10.1177/27550311251323281" TargetMode="External"/><Relationship Id="rId2105" Type="http://schemas.openxmlformats.org/officeDocument/2006/relationships/hyperlink" Target="https://osf.io/4a5ej" TargetMode="External"/><Relationship Id="rId3435" Type="http://schemas.openxmlformats.org/officeDocument/2006/relationships/hyperlink" Target="https://osf.io/quy4w" TargetMode="External"/><Relationship Id="rId2106" Type="http://schemas.openxmlformats.org/officeDocument/2006/relationships/hyperlink" Target="https://osf.io/4a5ej" TargetMode="External"/><Relationship Id="rId3438" Type="http://schemas.openxmlformats.org/officeDocument/2006/relationships/hyperlink" Target="https://doi.org/10.1007/s11002-025-09771-9" TargetMode="External"/><Relationship Id="rId2107" Type="http://schemas.openxmlformats.org/officeDocument/2006/relationships/hyperlink" Target="https://osf.io/zmcsw" TargetMode="External"/><Relationship Id="rId3437" Type="http://schemas.openxmlformats.org/officeDocument/2006/relationships/hyperlink" Target="https://drive.google.com/drive/folders/1XdNtTYLrRDSL61grYK8dJXZB1kkiupM7?fbclid=IwAR1-au-XQdaRXsJBnw-w6esGES_qKYWeKBV0SnS-r6XGLb52A6RG0duPjXg" TargetMode="External"/><Relationship Id="rId2108" Type="http://schemas.openxmlformats.org/officeDocument/2006/relationships/hyperlink" Target="https://osf.io/zmcsw" TargetMode="External"/><Relationship Id="rId2109" Type="http://schemas.openxmlformats.org/officeDocument/2006/relationships/hyperlink" Target="https://osf.io/zmcsw" TargetMode="External"/><Relationship Id="rId3439" Type="http://schemas.openxmlformats.org/officeDocument/2006/relationships/hyperlink" Target="https://osf.io/my6wv" TargetMode="External"/><Relationship Id="rId3430" Type="http://schemas.openxmlformats.org/officeDocument/2006/relationships/hyperlink" Target="https://doi.org/10.1016/S0005-7967(98)00158-2" TargetMode="External"/><Relationship Id="rId2100" Type="http://schemas.openxmlformats.org/officeDocument/2006/relationships/hyperlink" Target="https://osf.io/4a5ej" TargetMode="External"/><Relationship Id="rId3432" Type="http://schemas.openxmlformats.org/officeDocument/2006/relationships/hyperlink" Target="https://doi.org/10.1037/pspa0000444" TargetMode="External"/><Relationship Id="rId2101" Type="http://schemas.openxmlformats.org/officeDocument/2006/relationships/hyperlink" Target="https://osf.io/4a5ej" TargetMode="External"/><Relationship Id="rId3431" Type="http://schemas.openxmlformats.org/officeDocument/2006/relationships/hyperlink" Target="https://doi.org/10.1002/cpp.70057" TargetMode="External"/><Relationship Id="rId2102" Type="http://schemas.openxmlformats.org/officeDocument/2006/relationships/hyperlink" Target="https://osf.io/4a5ej" TargetMode="External"/><Relationship Id="rId3434" Type="http://schemas.openxmlformats.org/officeDocument/2006/relationships/hyperlink" Target="https://doi.org/10.1037/lhb0000596" TargetMode="External"/><Relationship Id="rId2103" Type="http://schemas.openxmlformats.org/officeDocument/2006/relationships/hyperlink" Target="https://osf.io/4a5ej" TargetMode="External"/><Relationship Id="rId3433" Type="http://schemas.openxmlformats.org/officeDocument/2006/relationships/hyperlink" Target="https://osf.io/6m2hx/registrations" TargetMode="External"/><Relationship Id="rId3425" Type="http://schemas.openxmlformats.org/officeDocument/2006/relationships/hyperlink" Target="https://doi.org/10.70252/NKKY8370" TargetMode="External"/><Relationship Id="rId3424" Type="http://schemas.openxmlformats.org/officeDocument/2006/relationships/hyperlink" Target="https://doi.org/10.1249/MSS.0000000000000818" TargetMode="External"/><Relationship Id="rId3427" Type="http://schemas.openxmlformats.org/officeDocument/2006/relationships/hyperlink" Target="https://doi.org/10.1016/j.jesp.2012.11.012" TargetMode="External"/><Relationship Id="rId3426" Type="http://schemas.openxmlformats.org/officeDocument/2006/relationships/hyperlink" Target="https://osf.io/56bkg/registrations" TargetMode="External"/><Relationship Id="rId3429" Type="http://schemas.openxmlformats.org/officeDocument/2006/relationships/hyperlink" Target="https://doi.org/10.1080/026999398379411" TargetMode="External"/><Relationship Id="rId3428" Type="http://schemas.openxmlformats.org/officeDocument/2006/relationships/hyperlink" Target="https://doi.org/10.1016/j.jesp.2024.104712" TargetMode="External"/><Relationship Id="rId899" Type="http://schemas.openxmlformats.org/officeDocument/2006/relationships/hyperlink" Target="https://rpubs.com/cceballos-stanford/544019" TargetMode="External"/><Relationship Id="rId898" Type="http://schemas.openxmlformats.org/officeDocument/2006/relationships/hyperlink" Target="https://osf.io/zxp9k/." TargetMode="External"/><Relationship Id="rId897" Type="http://schemas.openxmlformats.org/officeDocument/2006/relationships/hyperlink" Target="https://rpubs.com/cceballos-stanford/544019" TargetMode="External"/><Relationship Id="rId896" Type="http://schemas.openxmlformats.org/officeDocument/2006/relationships/hyperlink" Target="https://rpubs.com/kagood/final-project-report," TargetMode="External"/><Relationship Id="rId891" Type="http://schemas.openxmlformats.org/officeDocument/2006/relationships/hyperlink" Target="https://osf.io/8k4t5/" TargetMode="External"/><Relationship Id="rId890" Type="http://schemas.openxmlformats.org/officeDocument/2006/relationships/hyperlink" Target="https://rpubs.com/kagood/final-project-report," TargetMode="External"/><Relationship Id="rId895" Type="http://schemas.openxmlformats.org/officeDocument/2006/relationships/hyperlink" Target="https://osf.io/8k4t5/" TargetMode="External"/><Relationship Id="rId3421" Type="http://schemas.openxmlformats.org/officeDocument/2006/relationships/hyperlink" Target="https://doi.org/10.1017/XPS.2017.8" TargetMode="External"/><Relationship Id="rId894" Type="http://schemas.openxmlformats.org/officeDocument/2006/relationships/hyperlink" Target="https://rpubs.com/kagood/final-project-report," TargetMode="External"/><Relationship Id="rId3420" Type="http://schemas.openxmlformats.org/officeDocument/2006/relationships/hyperlink" Target="https://doi.org/10.1037/0022-3514.46.4.778" TargetMode="External"/><Relationship Id="rId893" Type="http://schemas.openxmlformats.org/officeDocument/2006/relationships/hyperlink" Target="https://osf.io/8k4t5/" TargetMode="External"/><Relationship Id="rId3423" Type="http://schemas.openxmlformats.org/officeDocument/2006/relationships/hyperlink" Target="https://osf.io/bgk29/" TargetMode="External"/><Relationship Id="rId892" Type="http://schemas.openxmlformats.org/officeDocument/2006/relationships/hyperlink" Target="https://rpubs.com/kagood/final-project-report," TargetMode="External"/><Relationship Id="rId3422" Type="http://schemas.openxmlformats.org/officeDocument/2006/relationships/hyperlink" Target="https://osf.io/bgk29/" TargetMode="External"/><Relationship Id="rId2126" Type="http://schemas.openxmlformats.org/officeDocument/2006/relationships/hyperlink" Target="https://aspredicted.org/ZW2_C76" TargetMode="External"/><Relationship Id="rId3458" Type="http://schemas.openxmlformats.org/officeDocument/2006/relationships/hyperlink" Target="https://osf.io/wpzg7" TargetMode="External"/><Relationship Id="rId2127" Type="http://schemas.openxmlformats.org/officeDocument/2006/relationships/hyperlink" Target="https://aspredicted.org/ZW2_C76" TargetMode="External"/><Relationship Id="rId3457" Type="http://schemas.openxmlformats.org/officeDocument/2006/relationships/hyperlink" Target="https://osf.io/zea87" TargetMode="External"/><Relationship Id="rId2128" Type="http://schemas.openxmlformats.org/officeDocument/2006/relationships/hyperlink" Target="https://aspredicted.org/ZW2_C76" TargetMode="External"/><Relationship Id="rId2129" Type="http://schemas.openxmlformats.org/officeDocument/2006/relationships/hyperlink" Target="https://aspredicted.org/ZW2_C76" TargetMode="External"/><Relationship Id="rId3459" Type="http://schemas.openxmlformats.org/officeDocument/2006/relationships/hyperlink" Target="https://osf.io/wpzg7" TargetMode="External"/><Relationship Id="rId3450" Type="http://schemas.openxmlformats.org/officeDocument/2006/relationships/hyperlink" Target="https://osf.io/4q5ce/wiki/home/" TargetMode="External"/><Relationship Id="rId2120" Type="http://schemas.openxmlformats.org/officeDocument/2006/relationships/hyperlink" Target="https://osf.io/p7952" TargetMode="External"/><Relationship Id="rId3452" Type="http://schemas.openxmlformats.org/officeDocument/2006/relationships/hyperlink" Target="https://osf.io/4q5ce/wiki/home/" TargetMode="External"/><Relationship Id="rId2121" Type="http://schemas.openxmlformats.org/officeDocument/2006/relationships/hyperlink" Target="https://osf.io/p7952" TargetMode="External"/><Relationship Id="rId3451" Type="http://schemas.openxmlformats.org/officeDocument/2006/relationships/hyperlink" Target="https://osf.io/4q5ce/wiki/home/" TargetMode="External"/><Relationship Id="rId2122" Type="http://schemas.openxmlformats.org/officeDocument/2006/relationships/hyperlink" Target="https://aspredicted.org/ZW2_C76" TargetMode="External"/><Relationship Id="rId3454" Type="http://schemas.openxmlformats.org/officeDocument/2006/relationships/hyperlink" Target="https://osf.io/4q5ce/wiki/home/" TargetMode="External"/><Relationship Id="rId2123" Type="http://schemas.openxmlformats.org/officeDocument/2006/relationships/hyperlink" Target="https://aspredicted.org/ZW2_C76" TargetMode="External"/><Relationship Id="rId3453" Type="http://schemas.openxmlformats.org/officeDocument/2006/relationships/hyperlink" Target="https://osf.io/4q5ce/wiki/home/" TargetMode="External"/><Relationship Id="rId2124" Type="http://schemas.openxmlformats.org/officeDocument/2006/relationships/hyperlink" Target="https://aspredicted.org/ZW2_C76" TargetMode="External"/><Relationship Id="rId3456" Type="http://schemas.openxmlformats.org/officeDocument/2006/relationships/hyperlink" Target="https://osf.io/wpzg7" TargetMode="External"/><Relationship Id="rId2125" Type="http://schemas.openxmlformats.org/officeDocument/2006/relationships/hyperlink" Target="https://aspredicted.org/ZW2_C76" TargetMode="External"/><Relationship Id="rId3455" Type="http://schemas.openxmlformats.org/officeDocument/2006/relationships/hyperlink" Target="https://osf.io/4q5ce/wiki/home/" TargetMode="External"/><Relationship Id="rId2115" Type="http://schemas.openxmlformats.org/officeDocument/2006/relationships/hyperlink" Target="https://osf.io/p7952" TargetMode="External"/><Relationship Id="rId3447" Type="http://schemas.openxmlformats.org/officeDocument/2006/relationships/hyperlink" Target="https://osf.io/4q5ce/wiki/home/" TargetMode="External"/><Relationship Id="rId2116" Type="http://schemas.openxmlformats.org/officeDocument/2006/relationships/hyperlink" Target="https://osf.io/p7952" TargetMode="External"/><Relationship Id="rId3446" Type="http://schemas.openxmlformats.org/officeDocument/2006/relationships/hyperlink" Target="https://osf.io/nm568" TargetMode="External"/><Relationship Id="rId2117" Type="http://schemas.openxmlformats.org/officeDocument/2006/relationships/hyperlink" Target="https://osf.io/p7952" TargetMode="External"/><Relationship Id="rId3449" Type="http://schemas.openxmlformats.org/officeDocument/2006/relationships/hyperlink" Target="https://osf.io/4q5ce/wiki/home/" TargetMode="External"/><Relationship Id="rId2118" Type="http://schemas.openxmlformats.org/officeDocument/2006/relationships/hyperlink" Target="https://osf.io/p7952" TargetMode="External"/><Relationship Id="rId3448" Type="http://schemas.openxmlformats.org/officeDocument/2006/relationships/hyperlink" Target="https://osf.io/wtpsr" TargetMode="External"/><Relationship Id="rId2119" Type="http://schemas.openxmlformats.org/officeDocument/2006/relationships/hyperlink" Target="https://osf.io/p7952" TargetMode="External"/><Relationship Id="rId3441" Type="http://schemas.openxmlformats.org/officeDocument/2006/relationships/hyperlink" Target="https://osf.io/my6wv" TargetMode="External"/><Relationship Id="rId2110" Type="http://schemas.openxmlformats.org/officeDocument/2006/relationships/hyperlink" Target="https://osf.io/zmcsw" TargetMode="External"/><Relationship Id="rId3440" Type="http://schemas.openxmlformats.org/officeDocument/2006/relationships/hyperlink" Target="https://osf.io/my6wv" TargetMode="External"/><Relationship Id="rId2111" Type="http://schemas.openxmlformats.org/officeDocument/2006/relationships/hyperlink" Target="https://osf.io/zmcsw" TargetMode="External"/><Relationship Id="rId3443" Type="http://schemas.openxmlformats.org/officeDocument/2006/relationships/hyperlink" Target="https://osf.io/ynr2q/files/osfstorage?view_only=" TargetMode="External"/><Relationship Id="rId2112" Type="http://schemas.openxmlformats.org/officeDocument/2006/relationships/hyperlink" Target="https://osf.io/zmcsw" TargetMode="External"/><Relationship Id="rId3442" Type="http://schemas.openxmlformats.org/officeDocument/2006/relationships/hyperlink" Target="https://osf.io/ynr2q/files/osfstorage?view_only=" TargetMode="External"/><Relationship Id="rId2113" Type="http://schemas.openxmlformats.org/officeDocument/2006/relationships/hyperlink" Target="https://osf.io/zmcsw" TargetMode="External"/><Relationship Id="rId3445" Type="http://schemas.openxmlformats.org/officeDocument/2006/relationships/hyperlink" Target="https://hdl.handle.net/11250/2990125" TargetMode="External"/><Relationship Id="rId2114" Type="http://schemas.openxmlformats.org/officeDocument/2006/relationships/hyperlink" Target="https://osf.io/zmcsw" TargetMode="External"/><Relationship Id="rId3444" Type="http://schemas.openxmlformats.org/officeDocument/2006/relationships/hyperlink" Target="https://hdl.handle.net/11250/299012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drive.google.com/file/d/17lKJd0XgXJUPLVAz1c4Ug8sjxVde__kN/view?usp=drivesdk" TargetMode="External"/><Relationship Id="rId391" Type="http://schemas.openxmlformats.org/officeDocument/2006/relationships/hyperlink" Target="https://drive.google.com/file/d/1wITfbFPTbRTzHFkX871k1T9s08S1avdD/view?usp=drivesdk" TargetMode="External"/><Relationship Id="rId390" Type="http://schemas.openxmlformats.org/officeDocument/2006/relationships/hyperlink" Target="https://drive.google.com/file/d/1yl0jhBdumRyzmMIzcloa9sKFHPhKF8OK/view?usp=drivesdk" TargetMode="External"/><Relationship Id="rId2180" Type="http://schemas.openxmlformats.org/officeDocument/2006/relationships/hyperlink" Target="https://drive.google.com/file/d/11QvRQEvz5Ns1Xj1UCdimwt1e6wyII5cd/view?usp=drivesdk" TargetMode="External"/><Relationship Id="rId2181" Type="http://schemas.openxmlformats.org/officeDocument/2006/relationships/hyperlink" Target="https://drive.google.com/file/d/1POfGb-02lpla3OAzJNCAQBlCPox099RI/view?usp=drivesdk" TargetMode="External"/><Relationship Id="rId2182" Type="http://schemas.openxmlformats.org/officeDocument/2006/relationships/hyperlink" Target="https://drive.google.com/file/d/1GTSpxZmUQNl7xFyuBJKYxy6EvUX5oiQN/view?usp=drivesdk" TargetMode="External"/><Relationship Id="rId2183" Type="http://schemas.openxmlformats.org/officeDocument/2006/relationships/hyperlink" Target="https://drive.google.com/file/d/12_ssoTgKCRSwPp56VgQV0Eu0DD6umUVP/view?usp=drivesdk" TargetMode="External"/><Relationship Id="rId385" Type="http://schemas.openxmlformats.org/officeDocument/2006/relationships/hyperlink" Target="https://drive.google.com/file/d/1i-jn6ySTfcPpur-eEzNLl9eDUu63SbrF/view?usp=drivesdk" TargetMode="External"/><Relationship Id="rId2184" Type="http://schemas.openxmlformats.org/officeDocument/2006/relationships/hyperlink" Target="https://drive.google.com/file/d/1eEVHF0MbgmfXxnHFsigWacLc9zXFPqD-/view?usp=drivesdk" TargetMode="External"/><Relationship Id="rId384" Type="http://schemas.openxmlformats.org/officeDocument/2006/relationships/hyperlink" Target="https://drive.google.com/file/d/1WRSouUQ1esEyS3H9QQHF6VP3pyZTYfbe/view?usp=drivesdk" TargetMode="External"/><Relationship Id="rId2185" Type="http://schemas.openxmlformats.org/officeDocument/2006/relationships/hyperlink" Target="https://drive.google.com/file/d/1jHFMH7kFGC0px3IpBnI1CrqPkVp9LVmb/view?usp=drivesdk" TargetMode="External"/><Relationship Id="rId383" Type="http://schemas.openxmlformats.org/officeDocument/2006/relationships/hyperlink" Target="https://drive.google.com/file/d/1Xg0YhEf3_C2G1OdCppRlgLW9ZMxNhTFk/view?usp=drivesdk" TargetMode="External"/><Relationship Id="rId2186" Type="http://schemas.openxmlformats.org/officeDocument/2006/relationships/hyperlink" Target="https://drive.google.com/file/d/1nHZZUyQQ7oIiU3i-UXsaWE_r0fYrfiS3/view?usp=drivesdk" TargetMode="External"/><Relationship Id="rId382" Type="http://schemas.openxmlformats.org/officeDocument/2006/relationships/hyperlink" Target="https://drive.google.com/file/d/1VWVBxo0R_uSQmNqltg1Izp_wQqjadDat/view?usp=drivesdk" TargetMode="External"/><Relationship Id="rId2187" Type="http://schemas.openxmlformats.org/officeDocument/2006/relationships/hyperlink" Target="https://drive.google.com/file/d/1H7zPg14rvgbrna3ifhQj_TWemnCGPZly/view?usp=drivesdk" TargetMode="External"/><Relationship Id="rId389" Type="http://schemas.openxmlformats.org/officeDocument/2006/relationships/hyperlink" Target="https://drive.google.com/file/d/1SOPs2GJBcgw_G0bKtPC4Th7eG_ManoJd/view?usp=drivesdk" TargetMode="External"/><Relationship Id="rId2188" Type="http://schemas.openxmlformats.org/officeDocument/2006/relationships/hyperlink" Target="https://drive.google.com/file/d/1p1B1qdpg970VZ83ou2sGpvyTI03ZIhi9/view?usp=drivesdk" TargetMode="External"/><Relationship Id="rId388" Type="http://schemas.openxmlformats.org/officeDocument/2006/relationships/hyperlink" Target="https://drive.google.com/file/d/19YmABhdDCIpdhfD7204UorAKJcVFmGyB/view?usp=drivesdk" TargetMode="External"/><Relationship Id="rId2189" Type="http://schemas.openxmlformats.org/officeDocument/2006/relationships/hyperlink" Target="https://drive.google.com/file/d/173fkDD-W6UdkuvhpeNByBmtxeTw4Z_wK/view?usp=drivesdk" TargetMode="External"/><Relationship Id="rId387" Type="http://schemas.openxmlformats.org/officeDocument/2006/relationships/hyperlink" Target="https://drive.google.com/file/d/1XMQIhbvCTxrEJDpxqZBfVzAvcKmPsrBZ/view?usp=drivesdk" TargetMode="External"/><Relationship Id="rId386" Type="http://schemas.openxmlformats.org/officeDocument/2006/relationships/hyperlink" Target="https://drive.google.com/file/d/1HEFgf5WprkOtnlg5CuC2TbyvztdSsHXA/view?usp=drivesdk" TargetMode="External"/><Relationship Id="rId381" Type="http://schemas.openxmlformats.org/officeDocument/2006/relationships/hyperlink" Target="https://drive.google.com/file/d/1NCYWY28mySlW6r1Ce1EmPIxlxJnXKEeA/view?usp=drivesdk" TargetMode="External"/><Relationship Id="rId380" Type="http://schemas.openxmlformats.org/officeDocument/2006/relationships/hyperlink" Target="https://drive.google.com/file/d/1Go4wBGbJgkNpz4Gzrp-0kVVsoMRrHmrZ/view?usp=drivesdk" TargetMode="External"/><Relationship Id="rId379" Type="http://schemas.openxmlformats.org/officeDocument/2006/relationships/hyperlink" Target="https://drive.google.com/file/d/1DPC7kTGAKWOdHVuSDS9Kti6H9UiJyVdE/view?usp=drivesdk" TargetMode="External"/><Relationship Id="rId2170" Type="http://schemas.openxmlformats.org/officeDocument/2006/relationships/hyperlink" Target="https://drive.google.com/file/d/1qGLg9x70NBJmtWHEo9VL0BQ3bhmLEW4u/view?usp=drivesdk" TargetMode="External"/><Relationship Id="rId2171" Type="http://schemas.openxmlformats.org/officeDocument/2006/relationships/hyperlink" Target="https://drive.google.com/file/d/1iYrVTffpOwEYVdc_R8x7R48IOknFPGII/view?usp=drivesdk" TargetMode="External"/><Relationship Id="rId2172" Type="http://schemas.openxmlformats.org/officeDocument/2006/relationships/hyperlink" Target="https://drive.google.com/file/d/1Tbc-6U14FAowy_tbbn23yQYCuYKOnK__/view?usp=drivesdk" TargetMode="External"/><Relationship Id="rId374" Type="http://schemas.openxmlformats.org/officeDocument/2006/relationships/hyperlink" Target="https://drive.google.com/file/d/1FjE8oIOE36cyAL422NDi-LLlJCe5NrRU/view?usp=drivesdk" TargetMode="External"/><Relationship Id="rId2173" Type="http://schemas.openxmlformats.org/officeDocument/2006/relationships/hyperlink" Target="https://drive.google.com/file/d/1XpoHLIFPByKVACocvJ5YoFhf9uIA2q64/view?usp=drivesdk" TargetMode="External"/><Relationship Id="rId373" Type="http://schemas.openxmlformats.org/officeDocument/2006/relationships/hyperlink" Target="https://drive.google.com/file/d/1xSVM7VMKatYnl6XkKdkAikq6Hru3wdAI/view?usp=drivesdk" TargetMode="External"/><Relationship Id="rId2174" Type="http://schemas.openxmlformats.org/officeDocument/2006/relationships/hyperlink" Target="https://drive.google.com/file/d/1Aey1pYLXIu5MxmVVkhJFKWZH205p2S8r/view?usp=drivesdk" TargetMode="External"/><Relationship Id="rId372" Type="http://schemas.openxmlformats.org/officeDocument/2006/relationships/hyperlink" Target="https://drive.google.com/file/d/1IsAxrHbWXTYQA-yUQNXr1hgjkCfnrOnZ/view?usp=drivesdk" TargetMode="External"/><Relationship Id="rId2175" Type="http://schemas.openxmlformats.org/officeDocument/2006/relationships/hyperlink" Target="https://drive.google.com/file/d/10W0tSH0HQQFcBMuEUN5agngIbIIbyHX9/view?usp=drivesdk" TargetMode="External"/><Relationship Id="rId371" Type="http://schemas.openxmlformats.org/officeDocument/2006/relationships/hyperlink" Target="https://drive.google.com/file/d/19OvezacVtq5E6qdJTGr77RwUV8By58ds/view?usp=drivesdk" TargetMode="External"/><Relationship Id="rId2176" Type="http://schemas.openxmlformats.org/officeDocument/2006/relationships/hyperlink" Target="https://drive.google.com/file/d/1MmRpDEBSX5A_XtK98PGGG25Fj8W30RM_/view?usp=drivesdk" TargetMode="External"/><Relationship Id="rId378" Type="http://schemas.openxmlformats.org/officeDocument/2006/relationships/hyperlink" Target="https://drive.google.com/file/d/1jEiCM4amu7q5InbrvHMBqZ8T4x_jz3D3/view?usp=drivesdk" TargetMode="External"/><Relationship Id="rId2177" Type="http://schemas.openxmlformats.org/officeDocument/2006/relationships/hyperlink" Target="https://drive.google.com/file/d/1bZo9sK3oQZIn6_x7FGe4vmyadV7Ugf53/view?usp=drivesdk" TargetMode="External"/><Relationship Id="rId377" Type="http://schemas.openxmlformats.org/officeDocument/2006/relationships/hyperlink" Target="https://drive.google.com/file/d/1xQVLBf9H_-09jP0kpgMWEGuyFupTFBor/view?usp=drivesdk" TargetMode="External"/><Relationship Id="rId2178" Type="http://schemas.openxmlformats.org/officeDocument/2006/relationships/hyperlink" Target="https://drive.google.com/file/d/1nnmgia3uJKc7mfbdkQNU6C-nw2g3lEAL/view?usp=drivesdk" TargetMode="External"/><Relationship Id="rId376" Type="http://schemas.openxmlformats.org/officeDocument/2006/relationships/hyperlink" Target="https://drive.google.com/file/d/1vRtCivn2QapXmNi8PUTnUFWZoQNn1ghS/view?usp=drivesdk" TargetMode="External"/><Relationship Id="rId2179" Type="http://schemas.openxmlformats.org/officeDocument/2006/relationships/hyperlink" Target="https://drive.google.com/file/d/1APlORHjSwb-bhoXwhpdGctd6Hy0cBtQl/view?usp=drivesdk" TargetMode="External"/><Relationship Id="rId375" Type="http://schemas.openxmlformats.org/officeDocument/2006/relationships/hyperlink" Target="https://drive.google.com/file/d/15BF8OmP5jtaEWWYkqexESPGYmO6G2k5L/view?usp=drivesdk" TargetMode="External"/><Relationship Id="rId2190" Type="http://schemas.openxmlformats.org/officeDocument/2006/relationships/hyperlink" Target="https://drive.google.com/file/d/14nYmC7FjK_8nc1vRJW0Zz61S13ZtNZZD/view?usp=drivesdk" TargetMode="External"/><Relationship Id="rId2191" Type="http://schemas.openxmlformats.org/officeDocument/2006/relationships/hyperlink" Target="https://drive.google.com/file/d/1SH8bEWkApCXuWDb-OQ37ytGhPIgVUVKv/view?usp=drivesdk" TargetMode="External"/><Relationship Id="rId2192" Type="http://schemas.openxmlformats.org/officeDocument/2006/relationships/hyperlink" Target="https://drive.google.com/file/d/1sBNrDZpWPCVxuOMHZk6G4ve2uMzdW0GR/view?usp=drivesdk" TargetMode="External"/><Relationship Id="rId2193" Type="http://schemas.openxmlformats.org/officeDocument/2006/relationships/hyperlink" Target="https://drive.google.com/file/d/1qjBC8rrE7PwCov9BjhlcqTser32l4tZA/view?usp=drivesdk" TargetMode="External"/><Relationship Id="rId2194" Type="http://schemas.openxmlformats.org/officeDocument/2006/relationships/hyperlink" Target="https://drive.google.com/file/d/1mXZlzeA7ImaWHW-1-dp8XLcO6q1dPoDC/view?usp=drivesdk" TargetMode="External"/><Relationship Id="rId396" Type="http://schemas.openxmlformats.org/officeDocument/2006/relationships/hyperlink" Target="https://drive.google.com/file/d/1duH290lp3KCv-GVIL7wrS-wGm3yvm8TY/view?usp=drivesdk" TargetMode="External"/><Relationship Id="rId2195" Type="http://schemas.openxmlformats.org/officeDocument/2006/relationships/hyperlink" Target="https://drive.google.com/file/d/1ZaI86uPaa7baLDKCDC8aFHiq1TG_6U8e/view?usp=drivesdk" TargetMode="External"/><Relationship Id="rId395" Type="http://schemas.openxmlformats.org/officeDocument/2006/relationships/hyperlink" Target="https://drive.google.com/file/d/1E-fPFWPp1C038ilr4G4ya5W89cdrxAfI/view?usp=drivesdk" TargetMode="External"/><Relationship Id="rId2196" Type="http://schemas.openxmlformats.org/officeDocument/2006/relationships/hyperlink" Target="https://drive.google.com/file/d/1Drm8TiIplc2xWctkqkp7RXI61YfnBmqO/view?usp=drivesdk" TargetMode="External"/><Relationship Id="rId394" Type="http://schemas.openxmlformats.org/officeDocument/2006/relationships/hyperlink" Target="https://drive.google.com/file/d/12h1le2Y9eBk96sBXvHfC4rsFg5-PRvQx/view?usp=drivesdk" TargetMode="External"/><Relationship Id="rId2197" Type="http://schemas.openxmlformats.org/officeDocument/2006/relationships/hyperlink" Target="https://drive.google.com/file/d/17h6af7wzwkF4QRsTz2RzBpcXSmTayY4g/view?usp=drivesdk" TargetMode="External"/><Relationship Id="rId393" Type="http://schemas.openxmlformats.org/officeDocument/2006/relationships/hyperlink" Target="https://drive.google.com/file/d/1Ci1l1ZfhUyKds6-dhiSxuDdsEG2c0oM9/view?usp=drivesdk" TargetMode="External"/><Relationship Id="rId2198" Type="http://schemas.openxmlformats.org/officeDocument/2006/relationships/hyperlink" Target="https://drive.google.com/file/d/1jA-l6wf88uMNXff3Yy2B20CKvW2xN9el/view?usp=drivesdk" TargetMode="External"/><Relationship Id="rId2199" Type="http://schemas.openxmlformats.org/officeDocument/2006/relationships/hyperlink" Target="https://drive.google.com/file/d/11Hg2Sukzbg5o6HDk3g_yQxPDnJtw-nua/view?usp=drivesdk" TargetMode="External"/><Relationship Id="rId399" Type="http://schemas.openxmlformats.org/officeDocument/2006/relationships/hyperlink" Target="https://drive.google.com/file/d/1WAAoKU7l6ISaEuZiAYojm6hGOTCMW_ta/view?usp=drivesdk" TargetMode="External"/><Relationship Id="rId398" Type="http://schemas.openxmlformats.org/officeDocument/2006/relationships/hyperlink" Target="https://drive.google.com/file/d/1A5EiY3xMwex4UfMe36TeR6tsb1_VlWR4/view?usp=drivesdk" TargetMode="External"/><Relationship Id="rId397" Type="http://schemas.openxmlformats.org/officeDocument/2006/relationships/hyperlink" Target="https://drive.google.com/file/d/1ORC0US37c_A2_wb21UzdXbTV2d_G8xmB/view?usp=drivesdk" TargetMode="External"/><Relationship Id="rId1730" Type="http://schemas.openxmlformats.org/officeDocument/2006/relationships/hyperlink" Target="https://drive.google.com/file/d/1hrjq49iHuQoSRGioesy0jSqroL6cW18U/view?usp=drivesdk" TargetMode="External"/><Relationship Id="rId1731" Type="http://schemas.openxmlformats.org/officeDocument/2006/relationships/hyperlink" Target="https://drive.google.com/file/d/1y3sRTJwFZvZWkaak_jBiIRn-heMkKgGW/view?usp=drivesdk" TargetMode="External"/><Relationship Id="rId1732" Type="http://schemas.openxmlformats.org/officeDocument/2006/relationships/hyperlink" Target="https://drive.google.com/file/d/1zi55xKNg0XlQ-gw-ZWTYe-f5qZhyuGbp/view?usp=drivesdk" TargetMode="External"/><Relationship Id="rId1733" Type="http://schemas.openxmlformats.org/officeDocument/2006/relationships/hyperlink" Target="https://drive.google.com/file/d/1wPwOH5E4CwdZoDiN5YiWFKr2SNldtQuX/view?usp=drivesdk" TargetMode="External"/><Relationship Id="rId1734" Type="http://schemas.openxmlformats.org/officeDocument/2006/relationships/hyperlink" Target="https://drive.google.com/file/d/173wjPB-w4227Qt_2AeTSJnpxH3XOJnPD/view?usp=drivesdk" TargetMode="External"/><Relationship Id="rId1735" Type="http://schemas.openxmlformats.org/officeDocument/2006/relationships/hyperlink" Target="https://drive.google.com/file/d/1iv9JTpntlFhMXwLYV4LTNwMx0MZlg-K-/view?usp=drivesdk" TargetMode="External"/><Relationship Id="rId1736" Type="http://schemas.openxmlformats.org/officeDocument/2006/relationships/hyperlink" Target="https://drive.google.com/file/d/19o32dUXbxyEodcifYHl2eff55yANpVbY/view?usp=drivesdk" TargetMode="External"/><Relationship Id="rId1737" Type="http://schemas.openxmlformats.org/officeDocument/2006/relationships/hyperlink" Target="https://drive.google.com/file/d/1xI2-EVnvclddhMWBb87TC_aCajttiAtt/view?usp=drivesdk" TargetMode="External"/><Relationship Id="rId1738" Type="http://schemas.openxmlformats.org/officeDocument/2006/relationships/hyperlink" Target="https://drive.google.com/file/d/12GrUmwafEd6wwtYBQ9gYZoQAsg3wZO61/view?usp=drivesdk" TargetMode="External"/><Relationship Id="rId1739" Type="http://schemas.openxmlformats.org/officeDocument/2006/relationships/hyperlink" Target="https://drive.google.com/file/d/1LpMZFwLmgIKPjzXBB9rbhzfaZHzARaIZ/view?usp=drivesdk" TargetMode="External"/><Relationship Id="rId1720" Type="http://schemas.openxmlformats.org/officeDocument/2006/relationships/hyperlink" Target="https://drive.google.com/file/d/1Zjhue6jnv9AcXUeh5Bc9kyN2vkQgKrJc/view?usp=drivesdk" TargetMode="External"/><Relationship Id="rId1721" Type="http://schemas.openxmlformats.org/officeDocument/2006/relationships/hyperlink" Target="https://drive.google.com/file/d/1pFOJCDoWrTB-5q797AzVWEzqi74zu3D3/view?usp=drivesdk" TargetMode="External"/><Relationship Id="rId1722" Type="http://schemas.openxmlformats.org/officeDocument/2006/relationships/hyperlink" Target="https://drive.google.com/file/d/1D5xW9DsPph5s0bUKFKsmaGST3y2HupAr/view?usp=drivesdk" TargetMode="External"/><Relationship Id="rId1723" Type="http://schemas.openxmlformats.org/officeDocument/2006/relationships/hyperlink" Target="https://drive.google.com/file/d/16V6fX6zed8MKZ53zcmG18UMG8cS5fmS4/view?usp=drivesdk" TargetMode="External"/><Relationship Id="rId1724" Type="http://schemas.openxmlformats.org/officeDocument/2006/relationships/hyperlink" Target="https://drive.google.com/file/d/1-bzS3A3Wvshqbm27njuWbUnWVqIcT4vo/view?usp=drivesdk" TargetMode="External"/><Relationship Id="rId1725" Type="http://schemas.openxmlformats.org/officeDocument/2006/relationships/hyperlink" Target="https://drive.google.com/file/d/1JzqYi6MxeM0TgQlkA79oih2m5mtsG3-G/view?usp=drivesdk" TargetMode="External"/><Relationship Id="rId1726" Type="http://schemas.openxmlformats.org/officeDocument/2006/relationships/hyperlink" Target="https://drive.google.com/file/d/1AM6rF8DA6dQf729yJdMNKRcFrXOf_ZKe/view?usp=drivesdk" TargetMode="External"/><Relationship Id="rId1727" Type="http://schemas.openxmlformats.org/officeDocument/2006/relationships/hyperlink" Target="https://drive.google.com/file/d/1niJ4qqlQ3w06lrmI_sfZvqDMPlcLvX7Z/view?usp=drivesdk" TargetMode="External"/><Relationship Id="rId1728" Type="http://schemas.openxmlformats.org/officeDocument/2006/relationships/hyperlink" Target="https://drive.google.com/file/d/1PchnSZs-XbYmB-ZYLgQBFosMAZs-ybjf/view?usp=drivesdk" TargetMode="External"/><Relationship Id="rId1729" Type="http://schemas.openxmlformats.org/officeDocument/2006/relationships/hyperlink" Target="https://drive.google.com/file/d/1OR84YuEVQQKBxF8zP9UhRWoOxsPHzhts/view?usp=drivesdk" TargetMode="External"/><Relationship Id="rId1752" Type="http://schemas.openxmlformats.org/officeDocument/2006/relationships/hyperlink" Target="https://drive.google.com/file/d/1guI1nGSynzf6fvHwOnJ5YyyE5CaX1-QJ/view?usp=drivesdk" TargetMode="External"/><Relationship Id="rId1753" Type="http://schemas.openxmlformats.org/officeDocument/2006/relationships/hyperlink" Target="https://drive.google.com/file/d/1zJ3IIX26CyEcHOzgjGdLzzyONBKjM3Eo/view?usp=drivesdk" TargetMode="External"/><Relationship Id="rId1754" Type="http://schemas.openxmlformats.org/officeDocument/2006/relationships/hyperlink" Target="https://drive.google.com/file/d/1MU_8Il0xQzGs1_f54NK-Zrd4eZW93ir0/view?usp=drivesdk" TargetMode="External"/><Relationship Id="rId1755" Type="http://schemas.openxmlformats.org/officeDocument/2006/relationships/hyperlink" Target="https://drive.google.com/file/d/1yocFVBuv9XJU51vARnUZQsxKqupCbK_0/view?usp=drivesdk" TargetMode="External"/><Relationship Id="rId1756" Type="http://schemas.openxmlformats.org/officeDocument/2006/relationships/hyperlink" Target="https://drive.google.com/file/d/1E8ftV9CM3P94L7a22AIu7lnoeVPVf27T/view?usp=drivesdk" TargetMode="External"/><Relationship Id="rId1757" Type="http://schemas.openxmlformats.org/officeDocument/2006/relationships/hyperlink" Target="https://drive.google.com/file/d/1kuZMXucDUjsuAZIHhRprBpqylwerd6Dn/view?usp=drivesdk" TargetMode="External"/><Relationship Id="rId1758" Type="http://schemas.openxmlformats.org/officeDocument/2006/relationships/hyperlink" Target="https://drive.google.com/file/d/1W0CUphORn0RFZC7vPbiY_o1c0-1VZraH/view?usp=drivesdk" TargetMode="External"/><Relationship Id="rId1759" Type="http://schemas.openxmlformats.org/officeDocument/2006/relationships/hyperlink" Target="https://drive.google.com/file/d/1PDKoHtQZCcgd680LTG8t4vrEuAzIz9ad/view?usp=drivesdk" TargetMode="External"/><Relationship Id="rId1750" Type="http://schemas.openxmlformats.org/officeDocument/2006/relationships/hyperlink" Target="http://osf.io/y2emk" TargetMode="External"/><Relationship Id="rId1751" Type="http://schemas.openxmlformats.org/officeDocument/2006/relationships/hyperlink" Target="https://drive.google.com/file/d/1ggKrnyXVCp5QeHOFppoj-cawSQrJMuJs/view?usp=drivesdk" TargetMode="External"/><Relationship Id="rId1741" Type="http://schemas.openxmlformats.org/officeDocument/2006/relationships/hyperlink" Target="https://drive.google.com/file/d/1Lphf3yMdKIgV1G03njMPNoyG5IJB3ZQh/view?usp=drivesdk" TargetMode="External"/><Relationship Id="rId1742" Type="http://schemas.openxmlformats.org/officeDocument/2006/relationships/hyperlink" Target="https://drive.google.com/file/d/1kTdMAIDouy5eX5cjgmnRrB_DLoFqX8oi/view?usp=drivesdk" TargetMode="External"/><Relationship Id="rId1743" Type="http://schemas.openxmlformats.org/officeDocument/2006/relationships/hyperlink" Target="https://drive.google.com/file/d/1u6ITjVATW7S3W5qai6dW9q7YsocMoslx/view?usp=drivesdk" TargetMode="External"/><Relationship Id="rId1744" Type="http://schemas.openxmlformats.org/officeDocument/2006/relationships/hyperlink" Target="https://drive.google.com/file/d/1W31uQMsYv39t68R2qlHA_FBX2eKbxkOT/view?usp=drivesdk" TargetMode="External"/><Relationship Id="rId1745" Type="http://schemas.openxmlformats.org/officeDocument/2006/relationships/hyperlink" Target="https://drive.google.com/file/d/1eOml-H55hYUmJk_WTJLwIVaqRIQkFf_6/view?usp=drivesdk" TargetMode="External"/><Relationship Id="rId1746" Type="http://schemas.openxmlformats.org/officeDocument/2006/relationships/hyperlink" Target="https://drive.google.com/file/d/15eRaF6X8vIsGsZANrGMmTDs12Kx317Dc/view?usp=drivesdk" TargetMode="External"/><Relationship Id="rId1747" Type="http://schemas.openxmlformats.org/officeDocument/2006/relationships/hyperlink" Target="https://drive.google.com/file/d/103Ebj97IuzP1L3cFe7YF23EbpkhBwg6u/view?usp=drivesdk" TargetMode="External"/><Relationship Id="rId1748" Type="http://schemas.openxmlformats.org/officeDocument/2006/relationships/hyperlink" Target="https://drive.google.com/file/d/19fS2Dkdga2C_6zZIZ_MIxbIljMEp9Wpb/view?usp=drivesdk" TargetMode="External"/><Relationship Id="rId1749" Type="http://schemas.openxmlformats.org/officeDocument/2006/relationships/hyperlink" Target="https://drive.google.com/file/d/1hxKVhFtGlkiCZFx-llt9toTLKUbVbC68/view?usp=drivesdk" TargetMode="External"/><Relationship Id="rId1740" Type="http://schemas.openxmlformats.org/officeDocument/2006/relationships/hyperlink" Target="https://drive.google.com/file/d/13k-6W5oZ6U3WQkZoEKezu_MnW0QMPGsr/view?usp=drivesdk" TargetMode="External"/><Relationship Id="rId1710" Type="http://schemas.openxmlformats.org/officeDocument/2006/relationships/hyperlink" Target="https://drive.google.com/file/d/1wrEmYZaqStPGpYgSENfI25UV-wyT1sPl/view?usp=drivesdk" TargetMode="External"/><Relationship Id="rId1711" Type="http://schemas.openxmlformats.org/officeDocument/2006/relationships/hyperlink" Target="https://drive.google.com/file/d/1M4kBsm7y5eUYTZpUDZukkrP6yNa3FWcp/view?usp=drivesdk" TargetMode="External"/><Relationship Id="rId1712" Type="http://schemas.openxmlformats.org/officeDocument/2006/relationships/hyperlink" Target="https://drive.google.com/file/d/10t17ZEAtd-zDNdQX5y51ZVTWQVio_2jm/view?usp=drivesdk" TargetMode="External"/><Relationship Id="rId1713" Type="http://schemas.openxmlformats.org/officeDocument/2006/relationships/hyperlink" Target="https://drive.google.com/file/d/1e1y2Zdu1rYp8QdgqQjIYZ3tiUSS2QgHC/view?usp=drivesdk" TargetMode="External"/><Relationship Id="rId1714" Type="http://schemas.openxmlformats.org/officeDocument/2006/relationships/hyperlink" Target="https://drive.google.com/file/d/1dl6-fcdsrwDM2d8QvGFrwa2hm4krVEGw/view?usp=drivesdk" TargetMode="External"/><Relationship Id="rId1715" Type="http://schemas.openxmlformats.org/officeDocument/2006/relationships/hyperlink" Target="https://drive.google.com/file/d/1oDi7iTkefS7MUDs-XYNELGeEjEdDTZ2D/view?usp=drivesdk" TargetMode="External"/><Relationship Id="rId1716" Type="http://schemas.openxmlformats.org/officeDocument/2006/relationships/hyperlink" Target="https://drive.google.com/file/d/1zzJqjPseaj8tYnvrCjrC4mDOV4pF9weU/view?usp=drivesdk" TargetMode="External"/><Relationship Id="rId1717" Type="http://schemas.openxmlformats.org/officeDocument/2006/relationships/hyperlink" Target="https://drive.google.com/file/d/18gCsN5cIPX_p4rJjf07ttFNg3GFzg3si/view?usp=drivesdk" TargetMode="External"/><Relationship Id="rId1718" Type="http://schemas.openxmlformats.org/officeDocument/2006/relationships/hyperlink" Target="https://drive.google.com/file/d/148eU9rgHx5hpUFzLyqGIu0aBpg_7SlmF/view?usp=drivesdk" TargetMode="External"/><Relationship Id="rId1719" Type="http://schemas.openxmlformats.org/officeDocument/2006/relationships/hyperlink" Target="https://drive.google.com/file/d/1xJCzKuNB61D_lYyvo5qgmiVu8_S4jB2t/view?usp=drivesdk" TargetMode="External"/><Relationship Id="rId1700" Type="http://schemas.openxmlformats.org/officeDocument/2006/relationships/hyperlink" Target="https://drive.google.com/file/d/1ReLnNKT3otxTw6D_oW90adnGpa23jIV9/view?usp=drivesdk" TargetMode="External"/><Relationship Id="rId1701" Type="http://schemas.openxmlformats.org/officeDocument/2006/relationships/hyperlink" Target="https://drive.google.com/file/d/1Bv6xeD7qLRzi3rNU4XCCAm1NSWSbY4N0/view?usp=drivesdk" TargetMode="External"/><Relationship Id="rId1702" Type="http://schemas.openxmlformats.org/officeDocument/2006/relationships/hyperlink" Target="https://drive.google.com/file/d/1yzF06dubSFNksXYnjJCAAAsJgcxyj8hy/view?usp=drivesdk" TargetMode="External"/><Relationship Id="rId1703" Type="http://schemas.openxmlformats.org/officeDocument/2006/relationships/hyperlink" Target="https://drive.google.com/file/d/1-_IAeJQGEiQsYhiQm3h1Ynd7akOOHNRt/view?usp=drivesdk" TargetMode="External"/><Relationship Id="rId1704" Type="http://schemas.openxmlformats.org/officeDocument/2006/relationships/hyperlink" Target="https://drive.google.com/file/d/1erhmlFnLisnNRgExZrpha1VooGxYyHWc/view?usp=drivesdk" TargetMode="External"/><Relationship Id="rId1705" Type="http://schemas.openxmlformats.org/officeDocument/2006/relationships/hyperlink" Target="https://drive.google.com/file/d/1IkSssIeTLHWxSvtmGBCCJ6S6SCxaue_O/view?usp=drivesdk" TargetMode="External"/><Relationship Id="rId1706" Type="http://schemas.openxmlformats.org/officeDocument/2006/relationships/hyperlink" Target="https://drive.google.com/file/d/1n0nfZdzHQc5t0L5s6hRVF-VIJODBR9NQ/view?usp=drivesdk" TargetMode="External"/><Relationship Id="rId1707" Type="http://schemas.openxmlformats.org/officeDocument/2006/relationships/hyperlink" Target="https://drive.google.com/file/d/10N2GphtISECImbmZiH9vnFKAukkBYpHi/view?usp=drivesdk" TargetMode="External"/><Relationship Id="rId1708" Type="http://schemas.openxmlformats.org/officeDocument/2006/relationships/hyperlink" Target="https://drive.google.com/file/d/1qkgRpPqM04QWFjfsZxtrxnh_hJEoAetY/view?usp=drivesdk" TargetMode="External"/><Relationship Id="rId1709" Type="http://schemas.openxmlformats.org/officeDocument/2006/relationships/hyperlink" Target="https://drive.google.com/file/d/1niuyVn35u_z6REkObYjKmy6938AMNnYV/view?usp=drivesdk" TargetMode="External"/><Relationship Id="rId40" Type="http://schemas.openxmlformats.org/officeDocument/2006/relationships/hyperlink" Target="https://drive.google.com/file/d/1Fn7-5HR2RH8paYnre_DX1s5JT9VjGe8M/view?usp=drivesdk" TargetMode="External"/><Relationship Id="rId42" Type="http://schemas.openxmlformats.org/officeDocument/2006/relationships/hyperlink" Target="https://drive.google.com/file/d/12mls6DO3rGQ2Rd--RckJhjjzuxvjZXsJ/view?usp=drivesdk" TargetMode="External"/><Relationship Id="rId41" Type="http://schemas.openxmlformats.org/officeDocument/2006/relationships/hyperlink" Target="https://drive.google.com/file/d/1qIE0NYLJmmw9NC3wTyO6drepp686_B0m/view?usp=drivesdk" TargetMode="External"/><Relationship Id="rId44" Type="http://schemas.openxmlformats.org/officeDocument/2006/relationships/hyperlink" Target="https://drive.google.com/file/d/1e7lJ5drneMaOZEui8pmLk1629DBHoYPU/view?usp=drivesdk" TargetMode="External"/><Relationship Id="rId43" Type="http://schemas.openxmlformats.org/officeDocument/2006/relationships/hyperlink" Target="https://drive.google.com/file/d/1HeJXotlxwqF0JV-ZjZPl8OznoC91x1Nm/view?usp=drivesdk" TargetMode="External"/><Relationship Id="rId46" Type="http://schemas.openxmlformats.org/officeDocument/2006/relationships/hyperlink" Target="https://drive.google.com/file/d/1aIdm4LNQ6nlxeZj2qyCbsCNGuv0p0uNW/view?usp=drivesdk" TargetMode="External"/><Relationship Id="rId45" Type="http://schemas.openxmlformats.org/officeDocument/2006/relationships/hyperlink" Target="https://drive.google.com/file/d/1uYsDaLhcuVoYS0vCi_YlckyJa78VHhRx/view?usp=drivesdk" TargetMode="External"/><Relationship Id="rId48" Type="http://schemas.openxmlformats.org/officeDocument/2006/relationships/hyperlink" Target="https://drive.google.com/file/d/14uvmejsaRFGgeDqX_TJV7QbXaT5c4UIp/view?usp=drivesdk" TargetMode="External"/><Relationship Id="rId47" Type="http://schemas.openxmlformats.org/officeDocument/2006/relationships/hyperlink" Target="https://drive.google.com/file/d/1mCGFZbTMPLkyhAg-AoVu3eRQRBjVvYVS/view?usp=drivesdk" TargetMode="External"/><Relationship Id="rId49" Type="http://schemas.openxmlformats.org/officeDocument/2006/relationships/hyperlink" Target="https://drive.google.com/file/d/12ATwlInsiBncfGSglmaguWQJEos0jONE/view?usp=drivesdk" TargetMode="External"/><Relationship Id="rId31" Type="http://schemas.openxmlformats.org/officeDocument/2006/relationships/hyperlink" Target="https://drive.google.com/file/d/1zw3bBnhk0sofxaXpBuSpsKvPI_JbETr5/view?usp=drivesdk" TargetMode="External"/><Relationship Id="rId30" Type="http://schemas.openxmlformats.org/officeDocument/2006/relationships/hyperlink" Target="https://drive.google.com/file/d/1tmE_4-Qz2nJagPA7ZiZlVQRV90RFDeBh/view?usp=drivesdk" TargetMode="External"/><Relationship Id="rId33" Type="http://schemas.openxmlformats.org/officeDocument/2006/relationships/hyperlink" Target="https://drive.google.com/file/d/1i_mz_HIrehLUjQbTmcPPrnc-n6oK-zNg/view?usp=drivesdk" TargetMode="External"/><Relationship Id="rId32" Type="http://schemas.openxmlformats.org/officeDocument/2006/relationships/hyperlink" Target="https://drive.google.com/file/d/1pFoaEPfR-8EvIuMLqq1UWIBec0TegyPC/view?usp=drivesdk" TargetMode="External"/><Relationship Id="rId35" Type="http://schemas.openxmlformats.org/officeDocument/2006/relationships/hyperlink" Target="https://drive.google.com/file/d/1cyMShe-10BUUgq4F1QBHgP3awCDxjGVL/view?usp=drivesdk" TargetMode="External"/><Relationship Id="rId34" Type="http://schemas.openxmlformats.org/officeDocument/2006/relationships/hyperlink" Target="https://drive.google.com/file/d/1E7NVvgOz1yyUJWhHKYsEzUqvJYW7aa0N/view?usp=drivesdk" TargetMode="External"/><Relationship Id="rId37" Type="http://schemas.openxmlformats.org/officeDocument/2006/relationships/hyperlink" Target="https://drive.google.com/file/d/13JuBp0ai53mtyx_lpA0A1XHwQ8C11A36/view?usp=drivesdk" TargetMode="External"/><Relationship Id="rId36" Type="http://schemas.openxmlformats.org/officeDocument/2006/relationships/hyperlink" Target="https://drive.google.com/file/d/1h2aDld1fNLHZNW0zO4aOW-bA6viRvxB9/view?usp=drivesdk" TargetMode="External"/><Relationship Id="rId39" Type="http://schemas.openxmlformats.org/officeDocument/2006/relationships/hyperlink" Target="https://drive.google.com/file/d/1-qhL00OEoMgy52-uFuS6GKtg8_fcaTOY/view?usp=drivesdk" TargetMode="External"/><Relationship Id="rId38" Type="http://schemas.openxmlformats.org/officeDocument/2006/relationships/hyperlink" Target="https://drive.google.com/file/d/1t2OSTgxAHzg3ycbf3Y7nUyccXL2t1L6l/view?usp=drivesdk" TargetMode="External"/><Relationship Id="rId2203" Type="http://schemas.openxmlformats.org/officeDocument/2006/relationships/hyperlink" Target="https://drive.google.com/file/d/1LfQ73kQWPV7KpOSIJxFvAF1LaP-iQAW_/view?usp=drivesdk" TargetMode="External"/><Relationship Id="rId2204" Type="http://schemas.openxmlformats.org/officeDocument/2006/relationships/hyperlink" Target="https://drive.google.com/file/d/1wHAtjOgCu-cvH6R6z6Dncg0MyDPv9DBr/view?usp=drivesdk" TargetMode="External"/><Relationship Id="rId20" Type="http://schemas.openxmlformats.org/officeDocument/2006/relationships/hyperlink" Target="https://drive.google.com/file/d/1KE4f8ZwW3FIlRc8-K1GiJCt1-5yAZWEr/view?usp=drivesdk" TargetMode="External"/><Relationship Id="rId2205" Type="http://schemas.openxmlformats.org/officeDocument/2006/relationships/hyperlink" Target="https://drive.google.com/file/d/1-k-r-v5_nRx62ESkr8l1LXmJ__KwJw-E/view?usp=drivesdk" TargetMode="External"/><Relationship Id="rId2206" Type="http://schemas.openxmlformats.org/officeDocument/2006/relationships/hyperlink" Target="https://drive.google.com/file/d/18lTtr2PaagFl9Dx2Fj1CQX4Y5tFnS3-G/view?usp=drivesdk" TargetMode="External"/><Relationship Id="rId22" Type="http://schemas.openxmlformats.org/officeDocument/2006/relationships/hyperlink" Target="https://drive.google.com/file/d/1EysERg3jP3ih98hhtrsrQilqPwvtZGUl/view?usp=drivesdk" TargetMode="External"/><Relationship Id="rId2207" Type="http://schemas.openxmlformats.org/officeDocument/2006/relationships/hyperlink" Target="https://drive.google.com/file/d/1e7uwhmg4WfBHboBpLfEjOvwaRDuWE6yP/view?usp=drivesdk" TargetMode="External"/><Relationship Id="rId21" Type="http://schemas.openxmlformats.org/officeDocument/2006/relationships/hyperlink" Target="https://drive.google.com/file/d/132P_EDPNTVdaL2oRlgZvkP_toV8h3AEk/view?usp=drivesdk" TargetMode="External"/><Relationship Id="rId2208" Type="http://schemas.openxmlformats.org/officeDocument/2006/relationships/hyperlink" Target="https://drive.google.com/file/d/1Hbaj4soNoRer2LexyrCcG27zgcEO-WRP/view?usp=drivesdk" TargetMode="External"/><Relationship Id="rId24" Type="http://schemas.openxmlformats.org/officeDocument/2006/relationships/hyperlink" Target="https://drive.google.com/file/d/1DRVDxDLMfA3WtmM1-jURrqQ6Wqww82Dj/view?usp=drivesdk" TargetMode="External"/><Relationship Id="rId2209" Type="http://schemas.openxmlformats.org/officeDocument/2006/relationships/hyperlink" Target="https://drive.google.com/file/d/1QKNLq74KH1Q68hjyhxCeyjSmCHkUJXwb/view?usp=drivesdk" TargetMode="External"/><Relationship Id="rId23" Type="http://schemas.openxmlformats.org/officeDocument/2006/relationships/hyperlink" Target="https://drive.google.com/file/d/19Pf_8TFD2WRfVT5Vjeersc6hKaYvTZw8/view?usp=drivesdk" TargetMode="External"/><Relationship Id="rId26" Type="http://schemas.openxmlformats.org/officeDocument/2006/relationships/hyperlink" Target="https://drive.google.com/file/d/17wkmykAUDUondflx6KRczBU-WC1CgaKB/view?usp=drivesdk" TargetMode="External"/><Relationship Id="rId25" Type="http://schemas.openxmlformats.org/officeDocument/2006/relationships/hyperlink" Target="https://drive.google.com/file/d/1359sHy5rm2Ak1THJIPP7wGH5TYmXcJQ0/view?usp=drivesdk" TargetMode="External"/><Relationship Id="rId28" Type="http://schemas.openxmlformats.org/officeDocument/2006/relationships/hyperlink" Target="https://drive.google.com/file/d/17ZJAXbyq3LHrIDU1bc2ddjKQh2dWyD5-/view?usp=drivesdk" TargetMode="External"/><Relationship Id="rId27" Type="http://schemas.openxmlformats.org/officeDocument/2006/relationships/hyperlink" Target="https://drive.google.com/file/d/1C313QaPKHFzPuSrSHvkVrBpGAJf3X4E5/view?usp=drivesdk" TargetMode="External"/><Relationship Id="rId29" Type="http://schemas.openxmlformats.org/officeDocument/2006/relationships/hyperlink" Target="https://drive.google.com/file/d/1RG7dDuy1zmv0DdZqwg_Le47MKGnojeqd/view?usp=drivesdk" TargetMode="External"/><Relationship Id="rId2200" Type="http://schemas.openxmlformats.org/officeDocument/2006/relationships/hyperlink" Target="https://drive.google.com/file/d/1uBYDPVKKupHGmpRbPGmpO5zE11kyQ26l/view?usp=drivesdk" TargetMode="External"/><Relationship Id="rId2201" Type="http://schemas.openxmlformats.org/officeDocument/2006/relationships/hyperlink" Target="https://drive.google.com/file/d/1X2kQvhIhMfV3I9kfQvqMKBJg7CY7B8IR/view?usp=drivesdk" TargetMode="External"/><Relationship Id="rId2202" Type="http://schemas.openxmlformats.org/officeDocument/2006/relationships/hyperlink" Target="https://drive.google.com/file/d/1p0fL8mIok72waO4C-1fbLD8yHvBp2mr3/view?usp=drivesdk" TargetMode="External"/><Relationship Id="rId11" Type="http://schemas.openxmlformats.org/officeDocument/2006/relationships/hyperlink" Target="https://drive.google.com/file/d/1fT8DH5NqZeqqRIbkVqaGmoBU0CPMdbqc/view?usp=drivesdk" TargetMode="External"/><Relationship Id="rId10" Type="http://schemas.openxmlformats.org/officeDocument/2006/relationships/hyperlink" Target="https://drive.google.com/file/d/1SOy5zzLXLgv2mHZkwRySVltPKzINhcpl/view?usp=drivesdk" TargetMode="External"/><Relationship Id="rId13" Type="http://schemas.openxmlformats.org/officeDocument/2006/relationships/hyperlink" Target="https://drive.google.com/file/d/1XQkK-fTHLVfjP9JSU2sRi5Ccqhof5fkf/view?usp=drivesdk" TargetMode="External"/><Relationship Id="rId12" Type="http://schemas.openxmlformats.org/officeDocument/2006/relationships/hyperlink" Target="https://drive.google.com/file/d/1F91knnvCGhhYFJs7Hyq0duWqlwp06o1G/view?usp=drivesdk" TargetMode="External"/><Relationship Id="rId15" Type="http://schemas.openxmlformats.org/officeDocument/2006/relationships/hyperlink" Target="https://drive.google.com/file/d/1hBijp98Wmegj9rry3OfgtUWx2UZSxd3v/view?usp=drivesdk" TargetMode="External"/><Relationship Id="rId14" Type="http://schemas.openxmlformats.org/officeDocument/2006/relationships/hyperlink" Target="https://drive.google.com/file/d/1cDRvVc4n07vgN69yG-BazdNhZjBEt_01/view?usp=drivesdk" TargetMode="External"/><Relationship Id="rId17" Type="http://schemas.openxmlformats.org/officeDocument/2006/relationships/hyperlink" Target="https://drive.google.com/file/d/1rgiT8MQco1ykapAZfxksPRtIzySveYLk/view?usp=drivesdk" TargetMode="External"/><Relationship Id="rId16" Type="http://schemas.openxmlformats.org/officeDocument/2006/relationships/hyperlink" Target="https://drive.google.com/file/d/1y8y1xFxPFev2vlHE_s5m4owO6kLRaWza/view?usp=drivesdk" TargetMode="External"/><Relationship Id="rId19" Type="http://schemas.openxmlformats.org/officeDocument/2006/relationships/hyperlink" Target="https://drive.google.com/file/d/1hAbQP9KZcmXqnOGAyiTqHbpMOG3_NYRs/view?usp=drivesdk" TargetMode="External"/><Relationship Id="rId18" Type="http://schemas.openxmlformats.org/officeDocument/2006/relationships/hyperlink" Target="https://drive.google.com/file/d/1oyHXJePnDrEGTSt4fFz73X-DD9Wa_fNT/view?usp=drivesdk" TargetMode="External"/><Relationship Id="rId84" Type="http://schemas.openxmlformats.org/officeDocument/2006/relationships/hyperlink" Target="https://drive.google.com/file/d/1INYDSfju9H3UirX1uPe5o13a2vxF0qcm/view?usp=drivesdk" TargetMode="External"/><Relationship Id="rId1774" Type="http://schemas.openxmlformats.org/officeDocument/2006/relationships/hyperlink" Target="https://drive.google.com/file/d/1fUwh6tES6nWfjFhphXedkoplbyeu2PNp/view?usp=drivesdk" TargetMode="External"/><Relationship Id="rId83" Type="http://schemas.openxmlformats.org/officeDocument/2006/relationships/hyperlink" Target="https://drive.google.com/file/d/1kR4Vcl-K89zZGLhGKNrkckYAIInS60BI/view?usp=drivesdk" TargetMode="External"/><Relationship Id="rId1775" Type="http://schemas.openxmlformats.org/officeDocument/2006/relationships/hyperlink" Target="https://drive.google.com/file/d/1Xx6QgIva8p6mSGTBtG0DO_L1XUGiEdOy/view?usp=drivesdk" TargetMode="External"/><Relationship Id="rId86" Type="http://schemas.openxmlformats.org/officeDocument/2006/relationships/hyperlink" Target="https://drive.google.com/file/d/15dne_zeuxRC24gTBDS0dzs74bGq9Jyi1/view?usp=drivesdk" TargetMode="External"/><Relationship Id="rId1776" Type="http://schemas.openxmlformats.org/officeDocument/2006/relationships/hyperlink" Target="https://drive.google.com/file/d/1vaRFC32s5FmX83iCFD1S-NraPnbz5YKp/view?usp=drivesdk" TargetMode="External"/><Relationship Id="rId85" Type="http://schemas.openxmlformats.org/officeDocument/2006/relationships/hyperlink" Target="https://drive.google.com/file/d/15jawnDIuQbJRfRjUra-JhupHpT8p4Ay6/view?usp=drivesdk" TargetMode="External"/><Relationship Id="rId1777" Type="http://schemas.openxmlformats.org/officeDocument/2006/relationships/hyperlink" Target="https://drive.google.com/file/d/1sWZqmEkkeXGatLwg-tGBCoL6noJqcIMJ/view?usp=drivesdk" TargetMode="External"/><Relationship Id="rId88" Type="http://schemas.openxmlformats.org/officeDocument/2006/relationships/hyperlink" Target="https://drive.google.com/file/d/1KbAFyTjsCCZS3Duo_BriCKc2SWsIus7S/view?usp=drivesdk" TargetMode="External"/><Relationship Id="rId1778" Type="http://schemas.openxmlformats.org/officeDocument/2006/relationships/hyperlink" Target="https://drive.google.com/file/d/1zWO3Te4TYOczF9AdKeKNNPy_EgmrEhFQ/view?usp=drivesdk" TargetMode="External"/><Relationship Id="rId87" Type="http://schemas.openxmlformats.org/officeDocument/2006/relationships/hyperlink" Target="https://drive.google.com/file/d/1rYCNq0Z3O_0PakFZJ7p6Y0JXIl3ohuS-/view?usp=drivesdk" TargetMode="External"/><Relationship Id="rId1779" Type="http://schemas.openxmlformats.org/officeDocument/2006/relationships/hyperlink" Target="https://drive.google.com/file/d/17YCUYLdK2bmKj2dFytg-3Hcav7hORmjF/view?usp=drivesdk" TargetMode="External"/><Relationship Id="rId89" Type="http://schemas.openxmlformats.org/officeDocument/2006/relationships/hyperlink" Target="https://drive.google.com/file/d/1CKalc3ILUiR9bk6hdRpkqUXmtADzFZ3H/view?usp=drivesdk" TargetMode="External"/><Relationship Id="rId80" Type="http://schemas.openxmlformats.org/officeDocument/2006/relationships/hyperlink" Target="https://drive.google.com/file/d/1sY3KpRB8AEOYFQQtM6vCAB38zbr-xysw/view?usp=drivesdk" TargetMode="External"/><Relationship Id="rId82" Type="http://schemas.openxmlformats.org/officeDocument/2006/relationships/hyperlink" Target="https://drive.google.com/file/d/1VWVLf_j-Bai4sTwCmA9uuhdhhqd744Lz/view?usp=drivesdk" TargetMode="External"/><Relationship Id="rId81" Type="http://schemas.openxmlformats.org/officeDocument/2006/relationships/hyperlink" Target="https://drive.google.com/file/d/1NV-4BIAIu2tMdeLn1TJbYHOc39_ZDEe2/view?usp=drivesdk" TargetMode="External"/><Relationship Id="rId1770" Type="http://schemas.openxmlformats.org/officeDocument/2006/relationships/hyperlink" Target="https://drive.google.com/file/d/1M3Kcp-hJiTCZoge7BWs2lQExUWb9tCTn/view?usp=drivesdk" TargetMode="External"/><Relationship Id="rId1771" Type="http://schemas.openxmlformats.org/officeDocument/2006/relationships/hyperlink" Target="https://drive.google.com/file/d/1XPocD-WcJY0ehPEGHc6H2GH8HD_rE_5b/view?usp=drivesdk" TargetMode="External"/><Relationship Id="rId1772" Type="http://schemas.openxmlformats.org/officeDocument/2006/relationships/hyperlink" Target="https://drive.google.com/file/d/1r29pQfWkFgN2tABwJBE-wIp01T7N_7Qd/view?usp=drivesdk" TargetMode="External"/><Relationship Id="rId1773" Type="http://schemas.openxmlformats.org/officeDocument/2006/relationships/hyperlink" Target="https://drive.google.com/file/d/1IbnFcdqYKa94CoZ4waDe9EtSGfDeu_ZI/view?usp=drivesdk" TargetMode="External"/><Relationship Id="rId73" Type="http://schemas.openxmlformats.org/officeDocument/2006/relationships/hyperlink" Target="https://drive.google.com/file/d/1gbRA8WIZ33S3atwVRbeyHhIqayQO2Iko/view?usp=drivesdk" TargetMode="External"/><Relationship Id="rId1763" Type="http://schemas.openxmlformats.org/officeDocument/2006/relationships/hyperlink" Target="https://drive.google.com/file/d/1QCtMPgPaK1vRobFSTRf0XLLASYR6qVht/view?usp=drivesdk" TargetMode="External"/><Relationship Id="rId72" Type="http://schemas.openxmlformats.org/officeDocument/2006/relationships/hyperlink" Target="https://drive.google.com/file/d/1YVxhFH5G1YYcByCk3hjuop_rxVF_Lz2S/view?usp=drivesdk" TargetMode="External"/><Relationship Id="rId1764" Type="http://schemas.openxmlformats.org/officeDocument/2006/relationships/hyperlink" Target="https://drive.google.com/file/d/1JoIbJ4bMgr0MnpZG6ldfkjP1GD2XKao-/view?usp=drivesdk" TargetMode="External"/><Relationship Id="rId75" Type="http://schemas.openxmlformats.org/officeDocument/2006/relationships/hyperlink" Target="https://drive.google.com/file/d/1ISFi67bGJGra-77tvOm75yxWA8iKJDC-/view?usp=drivesdk" TargetMode="External"/><Relationship Id="rId1765" Type="http://schemas.openxmlformats.org/officeDocument/2006/relationships/hyperlink" Target="https://drive.google.com/file/d/1WXWZjoJuCokLmlH9bIcycOTiPT_Yg1j7/view?usp=drivesdk" TargetMode="External"/><Relationship Id="rId74" Type="http://schemas.openxmlformats.org/officeDocument/2006/relationships/hyperlink" Target="https://drive.google.com/file/d/1KgzcPvrsWADx5PwvUW8nXgd4ZFisumDT/view?usp=drivesdk" TargetMode="External"/><Relationship Id="rId1766" Type="http://schemas.openxmlformats.org/officeDocument/2006/relationships/hyperlink" Target="https://drive.google.com/file/d/1wu43s4B3jFXzDqV2LFAy4XLqlQEsmSc4/view?usp=drivesdk" TargetMode="External"/><Relationship Id="rId77" Type="http://schemas.openxmlformats.org/officeDocument/2006/relationships/hyperlink" Target="https://drive.google.com/file/d/14uaprvi5tTeWCMg4Avc8xCySQ8BikWYu/view?usp=drivesdk" TargetMode="External"/><Relationship Id="rId1767" Type="http://schemas.openxmlformats.org/officeDocument/2006/relationships/hyperlink" Target="https://drive.google.com/file/d/1hVwbIyW3epWRQsMMft62XMBr_6n68gLn/view?usp=drivesdk" TargetMode="External"/><Relationship Id="rId76" Type="http://schemas.openxmlformats.org/officeDocument/2006/relationships/hyperlink" Target="https://drive.google.com/file/d/1pdFzOwRp0NKjwC9I7eWZG75DV5pL0WrX/view?usp=drivesdk" TargetMode="External"/><Relationship Id="rId1768" Type="http://schemas.openxmlformats.org/officeDocument/2006/relationships/hyperlink" Target="https://drive.google.com/file/d/1LiwZlG2IZrVOJUW6jAvbA4ha8g_h2NIZ/view?usp=drivesdk" TargetMode="External"/><Relationship Id="rId79" Type="http://schemas.openxmlformats.org/officeDocument/2006/relationships/hyperlink" Target="https://drive.google.com/file/d/1tC0GgXlqra7W6FG2v3RV0MSMunTghSmR/view?usp=drivesdk" TargetMode="External"/><Relationship Id="rId1769" Type="http://schemas.openxmlformats.org/officeDocument/2006/relationships/hyperlink" Target="https://drive.google.com/file/d/1rJA29LnGvbhxw8zfcr7Wgg8rIAjK2KiH/view?usp=drivesdk" TargetMode="External"/><Relationship Id="rId78" Type="http://schemas.openxmlformats.org/officeDocument/2006/relationships/hyperlink" Target="https://drive.google.com/file/d/1ZQcn80r7JFxDz_vfp14_N5lHDeOP3rGb/view?usp=drivesdk" TargetMode="External"/><Relationship Id="rId71" Type="http://schemas.openxmlformats.org/officeDocument/2006/relationships/hyperlink" Target="https://drive.google.com/file/d/15ohetGf9ivzhFMz2G-lCrYsTqA6LdpZK/view?usp=drivesdk" TargetMode="External"/><Relationship Id="rId70" Type="http://schemas.openxmlformats.org/officeDocument/2006/relationships/hyperlink" Target="https://drive.google.com/file/d/1-yf5vikxEQOrktorz9QW2UrCMhNjKdwM/view?usp=drivesdk" TargetMode="External"/><Relationship Id="rId1760" Type="http://schemas.openxmlformats.org/officeDocument/2006/relationships/hyperlink" Target="https://drive.google.com/file/d/11RiWnq8pFq46fCmi2IyjWnAfJQKfNnhw/view?usp=drivesdk" TargetMode="External"/><Relationship Id="rId1761" Type="http://schemas.openxmlformats.org/officeDocument/2006/relationships/hyperlink" Target="https://drive.google.com/file/d/1bDJ3pwRi1ppkk2s4X1b8y4ek_Sslv5NN/view?usp=drivesdk" TargetMode="External"/><Relationship Id="rId1762" Type="http://schemas.openxmlformats.org/officeDocument/2006/relationships/hyperlink" Target="https://drive.google.com/file/d/1NPlZP4bn4bZ8vzkLAPzQSx9k0p8LfsrH/view?usp=drivesdk" TargetMode="External"/><Relationship Id="rId62" Type="http://schemas.openxmlformats.org/officeDocument/2006/relationships/hyperlink" Target="https://drive.google.com/file/d/1qL5FTQ-_83n1_RXK5idklb9t_NuOgNPy/view?usp=drivesdk" TargetMode="External"/><Relationship Id="rId1796" Type="http://schemas.openxmlformats.org/officeDocument/2006/relationships/hyperlink" Target="https://drive.google.com/file/d/1tMb1Ea-HC-XRIGcZuk29Ws50CLwlqwRX/view?usp=drivesdk" TargetMode="External"/><Relationship Id="rId61" Type="http://schemas.openxmlformats.org/officeDocument/2006/relationships/hyperlink" Target="https://drive.google.com/file/d/19p3ryOcpAjTx3MMNG5NnT9-x-yLB1-T_/view?usp=drivesdk" TargetMode="External"/><Relationship Id="rId1797" Type="http://schemas.openxmlformats.org/officeDocument/2006/relationships/hyperlink" Target="https://drive.google.com/file/d/1rlRS2BG3uBAxtBduyMTZfa_qtnK6Z2-J/view?usp=drivesdk" TargetMode="External"/><Relationship Id="rId64" Type="http://schemas.openxmlformats.org/officeDocument/2006/relationships/hyperlink" Target="https://drive.google.com/file/d/1nc4FYftzB4s0konP3bLnArlkl_FAo1s1/view?usp=drivesdk" TargetMode="External"/><Relationship Id="rId1798" Type="http://schemas.openxmlformats.org/officeDocument/2006/relationships/hyperlink" Target="https://drive.google.com/file/d/1oIvSNrGQWhA_jLE1RRPe9hevRCdjKoPZ/view?usp=drivesdk" TargetMode="External"/><Relationship Id="rId63" Type="http://schemas.openxmlformats.org/officeDocument/2006/relationships/hyperlink" Target="https://drive.google.com/file/d/1WFnNBnyMISqWhN3Ws_e4RC7z_GE3tHi2/view?usp=drivesdk" TargetMode="External"/><Relationship Id="rId1799" Type="http://schemas.openxmlformats.org/officeDocument/2006/relationships/hyperlink" Target="https://drive.google.com/file/d/1plD-vyel8Zy5rqv3uNVNICZNG4gkKTwk/view?usp=drivesdk" TargetMode="External"/><Relationship Id="rId66" Type="http://schemas.openxmlformats.org/officeDocument/2006/relationships/hyperlink" Target="https://drive.google.com/file/d/1Li61Ps9PtRxVo73Jgh9OcULOvL_uEl0P/view?usp=drivesdk" TargetMode="External"/><Relationship Id="rId65" Type="http://schemas.openxmlformats.org/officeDocument/2006/relationships/hyperlink" Target="https://drive.google.com/file/d/1yGBNrEbFpUaGvUbjGiXc8S-V5MjUguFC/view?usp=drivesdk" TargetMode="External"/><Relationship Id="rId68" Type="http://schemas.openxmlformats.org/officeDocument/2006/relationships/hyperlink" Target="https://drive.google.com/file/d/168Z8f-kmEZ54X38bBjQNEU2HR241tttv/view?usp=drivesdk" TargetMode="External"/><Relationship Id="rId67" Type="http://schemas.openxmlformats.org/officeDocument/2006/relationships/hyperlink" Target="https://drive.google.com/file/d/1j7wFa_VLYDzKB_woKjYNl0yxmJ8NsLtu/view?usp=drivesdk" TargetMode="External"/><Relationship Id="rId60" Type="http://schemas.openxmlformats.org/officeDocument/2006/relationships/hyperlink" Target="https://drive.google.com/file/d/1RFrixM64aBF56JeLoChbNDHlgIVzlJuK/view?usp=drivesdk" TargetMode="External"/><Relationship Id="rId69" Type="http://schemas.openxmlformats.org/officeDocument/2006/relationships/hyperlink" Target="https://drive.google.com/file/d/1-TNSFH2N70ksSSRqYC7SFXcthaEIJ4R0/view?usp=drivesdk" TargetMode="External"/><Relationship Id="rId1790" Type="http://schemas.openxmlformats.org/officeDocument/2006/relationships/hyperlink" Target="https://drive.google.com/file/d/1EpEjTLrdBVZGDIrD2HvyE-VeuCqCQJDX/view?usp=drivesdk" TargetMode="External"/><Relationship Id="rId1791" Type="http://schemas.openxmlformats.org/officeDocument/2006/relationships/hyperlink" Target="https://drive.google.com/file/d/1MTa7xK-r7d1ef7k6raOd4y1vTp0LnH4q/view?usp=drivesdk" TargetMode="External"/><Relationship Id="rId1792" Type="http://schemas.openxmlformats.org/officeDocument/2006/relationships/hyperlink" Target="https://drive.google.com/file/d/1be9ymxv-Fkrrvnq4Mm-DqTXhMqG48Ril/view?usp=drivesdk" TargetMode="External"/><Relationship Id="rId1793" Type="http://schemas.openxmlformats.org/officeDocument/2006/relationships/hyperlink" Target="https://drive.google.com/file/d/1atCBbn-6dORvI420ON2DmFYVVq7sNgy0/view?usp=drivesdk" TargetMode="External"/><Relationship Id="rId1794" Type="http://schemas.openxmlformats.org/officeDocument/2006/relationships/hyperlink" Target="https://drive.google.com/file/d/1zrk21d0vxwQo53XJ4YWlG4yVtiIB_MOn/view?usp=drivesdk" TargetMode="External"/><Relationship Id="rId1795" Type="http://schemas.openxmlformats.org/officeDocument/2006/relationships/hyperlink" Target="https://drive.google.com/file/d/1eStHrGzruiZ8ryNoUKYA8v_Tc8cC-DTi/view?usp=drivesdk" TargetMode="External"/><Relationship Id="rId51" Type="http://schemas.openxmlformats.org/officeDocument/2006/relationships/hyperlink" Target="https://drive.google.com/file/d/1m0lNRTsurEc_uTg9wbfHOpCRE9-SJZfR/view?usp=drivesdk" TargetMode="External"/><Relationship Id="rId1785" Type="http://schemas.openxmlformats.org/officeDocument/2006/relationships/hyperlink" Target="https://drive.google.com/file/d/1d2fLvnplh_NO2a1uAGhqpM65R0uTLv82/view?usp=drivesdk" TargetMode="External"/><Relationship Id="rId50" Type="http://schemas.openxmlformats.org/officeDocument/2006/relationships/hyperlink" Target="https://drive.google.com/file/d/1IJ9yRYu9wEqgzaN-MIikGu9k6z76G1q5/view?usp=drivesdk" TargetMode="External"/><Relationship Id="rId1786" Type="http://schemas.openxmlformats.org/officeDocument/2006/relationships/hyperlink" Target="https://drive.google.com/file/d/1MxLG3K_pacLhCrOW7msCJcgwusz4dOsU/view?usp=drivesdk" TargetMode="External"/><Relationship Id="rId53" Type="http://schemas.openxmlformats.org/officeDocument/2006/relationships/hyperlink" Target="https://drive.google.com/file/d/1SohRZFfz0lPRTY74r6ulEzC2dWj7WZxO/view?usp=drivesdk" TargetMode="External"/><Relationship Id="rId1787" Type="http://schemas.openxmlformats.org/officeDocument/2006/relationships/hyperlink" Target="https://drive.google.com/file/d/1to80T71Y9i6WJ0JPLv5eu4jV5Hm38qQ7/view?usp=drivesdk" TargetMode="External"/><Relationship Id="rId52" Type="http://schemas.openxmlformats.org/officeDocument/2006/relationships/hyperlink" Target="https://drive.google.com/file/d/1QFAInyaQX4-OfBtMah43vSVKuQE7jk7b/view?usp=drivesdk" TargetMode="External"/><Relationship Id="rId1788" Type="http://schemas.openxmlformats.org/officeDocument/2006/relationships/hyperlink" Target="https://drive.google.com/file/d/1HRPyXT_yPMMj7S90no28KiC05Fv8dG4x/view?usp=drivesdk" TargetMode="External"/><Relationship Id="rId55" Type="http://schemas.openxmlformats.org/officeDocument/2006/relationships/hyperlink" Target="https://drive.google.com/file/d/1Xd1qqfKrLKHgdFkM4iKpvO6uQZKvNiSO/view?usp=drivesdk" TargetMode="External"/><Relationship Id="rId1789" Type="http://schemas.openxmlformats.org/officeDocument/2006/relationships/hyperlink" Target="https://drive.google.com/file/d/13utbybgNxGWl4f76AOUTFpqbbUPXSuno/view?usp=drivesdk" TargetMode="External"/><Relationship Id="rId54" Type="http://schemas.openxmlformats.org/officeDocument/2006/relationships/hyperlink" Target="https://drive.google.com/file/d/1A324I7-DcYwSAG_1QVLgz_zOZQrsgJ3v/view?usp=drivesdk" TargetMode="External"/><Relationship Id="rId57" Type="http://schemas.openxmlformats.org/officeDocument/2006/relationships/hyperlink" Target="https://drive.google.com/file/d/1mEhjjjRgKQdJJEyOqsKa3dnm5uZRy5EI/view?usp=drivesdk" TargetMode="External"/><Relationship Id="rId56" Type="http://schemas.openxmlformats.org/officeDocument/2006/relationships/hyperlink" Target="https://drive.google.com/file/d/1HfaoUy0n4jcmWWLSBXNhkyGIX4WbOU1n/view?usp=drivesdk" TargetMode="External"/><Relationship Id="rId59" Type="http://schemas.openxmlformats.org/officeDocument/2006/relationships/hyperlink" Target="https://drive.google.com/file/d/1tDNQJFDpVv8BEileYpWLw9ob8Bw1GlCz/view?usp=drivesdk" TargetMode="External"/><Relationship Id="rId58" Type="http://schemas.openxmlformats.org/officeDocument/2006/relationships/hyperlink" Target="https://drive.google.com/file/d/1O3vaUoowBWY0dYMIPISMKgj08ixYVCjs/view?usp=drivesdk" TargetMode="External"/><Relationship Id="rId1780" Type="http://schemas.openxmlformats.org/officeDocument/2006/relationships/hyperlink" Target="https://drive.google.com/file/d/1QvUfdkDMI3SPlbbwVXLbTp8M6pfamBMY/view?usp=drivesdk" TargetMode="External"/><Relationship Id="rId1781" Type="http://schemas.openxmlformats.org/officeDocument/2006/relationships/hyperlink" Target="https://drive.google.com/file/d/1m-p97HFQo5qMQ15DhKUlIxthzr2Db59Q/view?usp=drivesdk" TargetMode="External"/><Relationship Id="rId1782" Type="http://schemas.openxmlformats.org/officeDocument/2006/relationships/hyperlink" Target="https://drive.google.com/file/d/1dUxvMZjgQ7MdwLSzjaV-9rtrhizY73Qq/view?usp=drivesdk" TargetMode="External"/><Relationship Id="rId1783" Type="http://schemas.openxmlformats.org/officeDocument/2006/relationships/hyperlink" Target="https://drive.google.com/file/d/1JLlKlCuSQlmgo2DzVVO1nOLTtvV40xkm/view?usp=drivesdk" TargetMode="External"/><Relationship Id="rId1784" Type="http://schemas.openxmlformats.org/officeDocument/2006/relationships/hyperlink" Target="https://drive.google.com/file/d/1_pOqDTU5epsX-idKhrkkAxlKE653TmOR/view?usp=drivesdk" TargetMode="External"/><Relationship Id="rId2269" Type="http://schemas.openxmlformats.org/officeDocument/2006/relationships/hyperlink" Target="https://drive.google.com/file/d/1VTr0wR67oXPqTspZFD2WLtwQCj0zXKrh/view?usp=drivesdk" TargetMode="External"/><Relationship Id="rId349" Type="http://schemas.openxmlformats.org/officeDocument/2006/relationships/hyperlink" Target="https://drive.google.com/file/d/1hKYtkZTFS6ejHGge_CicBXFbFBHtKLN-/view?usp=drivesdk" TargetMode="External"/><Relationship Id="rId348" Type="http://schemas.openxmlformats.org/officeDocument/2006/relationships/hyperlink" Target="https://drive.google.com/file/d/1UUZjDwVEPT6GPty04X-usSnU-_GgAnkf/view?usp=drivesdk" TargetMode="External"/><Relationship Id="rId347" Type="http://schemas.openxmlformats.org/officeDocument/2006/relationships/hyperlink" Target="https://drive.google.com/file/d/1zjKGdaaf8d8wuXyMPq-0MCrcct8kkMJL/view?usp=drivesdk" TargetMode="External"/><Relationship Id="rId346" Type="http://schemas.openxmlformats.org/officeDocument/2006/relationships/hyperlink" Target="https://drive.google.com/file/d/1HwA3b0bsyps3GpuX_XbdwBv2GdUgHBrJ/view?usp=drivesdk" TargetMode="External"/><Relationship Id="rId2260" Type="http://schemas.openxmlformats.org/officeDocument/2006/relationships/hyperlink" Target="https://drive.google.com/file/d/1J2_ZhxXyuShXk0HW6vzzg72qC_6CkPl-/view?usp=drivesdk" TargetMode="External"/><Relationship Id="rId341" Type="http://schemas.openxmlformats.org/officeDocument/2006/relationships/hyperlink" Target="https://drive.google.com/file/d/1hJt-iAs-B8L2mxJFzyIClb5QVDbl09N3/view?usp=drivesdk" TargetMode="External"/><Relationship Id="rId2261" Type="http://schemas.openxmlformats.org/officeDocument/2006/relationships/hyperlink" Target="https://drive.google.com/file/d/1RG0izqQ_rBjPSpVhcEmKfUfrbnfpE1M0/view?usp=drivesdk" TargetMode="External"/><Relationship Id="rId340" Type="http://schemas.openxmlformats.org/officeDocument/2006/relationships/hyperlink" Target="https://drive.google.com/file/d/1BKLfC6O4Qrz2tDbC1EObdB8jCi72MwzB/view?usp=drivesdk" TargetMode="External"/><Relationship Id="rId2262" Type="http://schemas.openxmlformats.org/officeDocument/2006/relationships/hyperlink" Target="https://drive.google.com/file/d/1Xy_OOVFiRB0BOhg1wsYFC7rkj3Kf1u1I/view?usp=drivesdk" TargetMode="External"/><Relationship Id="rId2263" Type="http://schemas.openxmlformats.org/officeDocument/2006/relationships/hyperlink" Target="https://drive.google.com/file/d/1Agrc5GFq5Frv7sOGcovaD1BKY9sfO17p/view?usp=drivesdk" TargetMode="External"/><Relationship Id="rId2264" Type="http://schemas.openxmlformats.org/officeDocument/2006/relationships/hyperlink" Target="https://drive.google.com/file/d/1OpqaLRgNI4syrTw7eBdR8v4hNLVg06U9/view?usp=drivesdk" TargetMode="External"/><Relationship Id="rId345" Type="http://schemas.openxmlformats.org/officeDocument/2006/relationships/hyperlink" Target="https://drive.google.com/file/d/1vHoyzd8vXID9JyGhMb7dl1wJ2hE1Ml_T/view?usp=drivesdk" TargetMode="External"/><Relationship Id="rId2265" Type="http://schemas.openxmlformats.org/officeDocument/2006/relationships/hyperlink" Target="https://drive.google.com/file/d/1IPzqwdPEx_NXOVDavQ9NYYflBq4WLkLt/view?usp=drivesdk" TargetMode="External"/><Relationship Id="rId344" Type="http://schemas.openxmlformats.org/officeDocument/2006/relationships/hyperlink" Target="https://drive.google.com/file/d/1O-mP41-orGXLl4HEnujHTkXhVVxuIbPl/view?usp=drivesdk" TargetMode="External"/><Relationship Id="rId2266" Type="http://schemas.openxmlformats.org/officeDocument/2006/relationships/hyperlink" Target="https://drive.google.com/file/d/1MznUx20djDv833Gh3uafwFKxnaaVrj43/view?usp=drivesdk" TargetMode="External"/><Relationship Id="rId343" Type="http://schemas.openxmlformats.org/officeDocument/2006/relationships/hyperlink" Target="https://drive.google.com/file/d/1CQhgZF6tLO5EfEzE-bG1U79FopNMLC1Z/view?usp=drivesdk" TargetMode="External"/><Relationship Id="rId2267" Type="http://schemas.openxmlformats.org/officeDocument/2006/relationships/hyperlink" Target="https://drive.google.com/file/d/1Ub9aMSbMLpr7_xY9a6tFgBHIjkS6cEEc/view?usp=drivesdk" TargetMode="External"/><Relationship Id="rId342" Type="http://schemas.openxmlformats.org/officeDocument/2006/relationships/hyperlink" Target="https://drive.google.com/file/d/1APy3BxuFdeYrw-5mHIvrlEMcFxM7BwdA/view?usp=drivesdk" TargetMode="External"/><Relationship Id="rId2268" Type="http://schemas.openxmlformats.org/officeDocument/2006/relationships/hyperlink" Target="https://drive.google.com/file/d/1-on_azF3SOQnkcXmO04jj2zt4-H3FlcG/view?usp=drivesdk" TargetMode="External"/><Relationship Id="rId2258" Type="http://schemas.openxmlformats.org/officeDocument/2006/relationships/hyperlink" Target="https://drive.google.com/file/d/1KYY0LWmtoBuOHihcQ-uor2XUsRtL-7UW/view?usp=drivesdk" TargetMode="External"/><Relationship Id="rId2259" Type="http://schemas.openxmlformats.org/officeDocument/2006/relationships/hyperlink" Target="https://drive.google.com/file/d/1AFhk7r5ezmKOOZ_K8ckMu-sHI3HVYvci/view?usp=drivesdk" TargetMode="External"/><Relationship Id="rId338" Type="http://schemas.openxmlformats.org/officeDocument/2006/relationships/hyperlink" Target="https://drive.google.com/file/d/1xo5qkUPzPDhmJQZCQm-x6pEUGJZwu5B5/view?usp=drivesdk" TargetMode="External"/><Relationship Id="rId337" Type="http://schemas.openxmlformats.org/officeDocument/2006/relationships/hyperlink" Target="https://drive.google.com/file/d/1x1KHoZCAM_FUz-0I_pkq3P8xca0b-PAH/view?usp=drivesdk" TargetMode="External"/><Relationship Id="rId336" Type="http://schemas.openxmlformats.org/officeDocument/2006/relationships/hyperlink" Target="https://drive.google.com/file/d/1v3pUcbTfmdlTlTMUfrL-k3REqiJZ96wb/view?usp=drivesdk" TargetMode="External"/><Relationship Id="rId335" Type="http://schemas.openxmlformats.org/officeDocument/2006/relationships/hyperlink" Target="https://drive.google.com/file/d/1pOj8QfMi2iR0NkH3tNUbv7w6LGyxo7HV/view?usp=drivesdk" TargetMode="External"/><Relationship Id="rId339" Type="http://schemas.openxmlformats.org/officeDocument/2006/relationships/hyperlink" Target="https://drive.google.com/file/d/15dyT6Qw5Dj4UMIS1jxHbL57NNJTrxQGF/view?usp=drivesdk" TargetMode="External"/><Relationship Id="rId330" Type="http://schemas.openxmlformats.org/officeDocument/2006/relationships/hyperlink" Target="https://drive.google.com/file/d/1-YJr9W1vGj3TdrXvgTFj-MqzyQM7iAHQ/view?usp=drivesdk" TargetMode="External"/><Relationship Id="rId2250" Type="http://schemas.openxmlformats.org/officeDocument/2006/relationships/hyperlink" Target="https://drive.google.com/file/d/1yr8whNCRN-BXlZgIIxkjY0g8z8-0guwq/view?usp=drivesdk" TargetMode="External"/><Relationship Id="rId2251" Type="http://schemas.openxmlformats.org/officeDocument/2006/relationships/hyperlink" Target="https://drive.google.com/file/d/17WfzyrTctbh-ycFCu5dg5IR87_upn8zm/view?usp=drivesdk" TargetMode="External"/><Relationship Id="rId2252" Type="http://schemas.openxmlformats.org/officeDocument/2006/relationships/hyperlink" Target="https://drive.google.com/file/d/1Lj-NalOkiEcybZZT_dNLosMFyuAbdUs8/view?usp=drivesdk" TargetMode="External"/><Relationship Id="rId2253" Type="http://schemas.openxmlformats.org/officeDocument/2006/relationships/hyperlink" Target="https://drive.google.com/file/d/1Yf0-4mxcVfhdYlLjMdsf8en6RDWsDJbw/view?usp=drivesdk" TargetMode="External"/><Relationship Id="rId334" Type="http://schemas.openxmlformats.org/officeDocument/2006/relationships/hyperlink" Target="https://drive.google.com/file/d/1QgXFMb0RJN0xkUEKbSFQrDSurIjtE2nU/view?usp=drivesdk" TargetMode="External"/><Relationship Id="rId2254" Type="http://schemas.openxmlformats.org/officeDocument/2006/relationships/hyperlink" Target="https://drive.google.com/file/d/1z2ENYgIkcshVHZYpVX_jkl4FG23ycA6Z/view?usp=drivesdk" TargetMode="External"/><Relationship Id="rId333" Type="http://schemas.openxmlformats.org/officeDocument/2006/relationships/hyperlink" Target="https://drive.google.com/file/d/1Hu6zVkA4Jk-7dnWz-YrXhGa_yW76KXEd/view?usp=drivesdk" TargetMode="External"/><Relationship Id="rId2255" Type="http://schemas.openxmlformats.org/officeDocument/2006/relationships/hyperlink" Target="https://drive.google.com/file/d/1_hV0LxKWPhSNb8BX52EFM1hcOzItqUhi/view?usp=drivesdk" TargetMode="External"/><Relationship Id="rId332" Type="http://schemas.openxmlformats.org/officeDocument/2006/relationships/hyperlink" Target="https://drive.google.com/file/d/1oUXoMFA7Z0d1k1WTE8xUleRiJSWNMphz/view?usp=drivesdk" TargetMode="External"/><Relationship Id="rId2256" Type="http://schemas.openxmlformats.org/officeDocument/2006/relationships/hyperlink" Target="https://drive.google.com/file/d/1nSvfohPIJk9khnM75MLzzGbK-7utfVvb/view?usp=drivesdk" TargetMode="External"/><Relationship Id="rId331" Type="http://schemas.openxmlformats.org/officeDocument/2006/relationships/hyperlink" Target="https://drive.google.com/file/d/1HndIb7GS0vWb1FyBJwx7dU6hrShjoKp-/view?usp=drivesdk" TargetMode="External"/><Relationship Id="rId2257" Type="http://schemas.openxmlformats.org/officeDocument/2006/relationships/hyperlink" Target="https://drive.google.com/file/d/1d_BnfBpp2VSsPvBJAIR3GZDS5fF9o5w9/view?usp=drivesdk" TargetMode="External"/><Relationship Id="rId370" Type="http://schemas.openxmlformats.org/officeDocument/2006/relationships/hyperlink" Target="https://drive.google.com/file/d/1pLcsY8nK1FeQHu1LdzUR0lJkukmwZ3Vb/view?usp=drivesdk" TargetMode="External"/><Relationship Id="rId369" Type="http://schemas.openxmlformats.org/officeDocument/2006/relationships/hyperlink" Target="https://drive.google.com/file/d/1BZtRJ02shFZjYSEcLvnyj0pKcfmvcWZd/view?usp=drivesdk" TargetMode="External"/><Relationship Id="rId368" Type="http://schemas.openxmlformats.org/officeDocument/2006/relationships/hyperlink" Target="https://drive.google.com/file/d/1A7IQYIfVS1sTYZUl5_NoD4Q6b1T3hSOE/view?usp=drivesdk" TargetMode="External"/><Relationship Id="rId2280" Type="http://schemas.openxmlformats.org/officeDocument/2006/relationships/hyperlink" Target="https://drive.google.com/file/d/1GaGHXmjuMiaNOB0JUnyXvqe5lRWj5tg1/view?usp=drivesdk" TargetMode="External"/><Relationship Id="rId2281" Type="http://schemas.openxmlformats.org/officeDocument/2006/relationships/hyperlink" Target="https://drive.google.com/file/d/1D9dO_DC6ePh-Csant4DlT-9TnvAmfuAB/view?usp=drivesdk" TargetMode="External"/><Relationship Id="rId2282" Type="http://schemas.openxmlformats.org/officeDocument/2006/relationships/hyperlink" Target="https://drive.google.com/file/d/15bGGIIEKFkDlvesZF2WINiYBiRVVRi7R/view?usp=drivesdk" TargetMode="External"/><Relationship Id="rId363" Type="http://schemas.openxmlformats.org/officeDocument/2006/relationships/hyperlink" Target="https://drive.google.com/file/d/1x4i7V7n-ZjHsJByLAIX9V_H3jBk3HQmn/view?usp=drivesdk" TargetMode="External"/><Relationship Id="rId2283" Type="http://schemas.openxmlformats.org/officeDocument/2006/relationships/hyperlink" Target="https://drive.google.com/file/d/13_FjItFP6GHekMwAss_IcUYD2Z-Q2DAK/view?usp=drivesdk" TargetMode="External"/><Relationship Id="rId362" Type="http://schemas.openxmlformats.org/officeDocument/2006/relationships/hyperlink" Target="https://drive.google.com/file/d/1XgVMa01TtKbRfWaCjSCwCg4zPwJV_vw6/view?usp=drivesdk" TargetMode="External"/><Relationship Id="rId2284" Type="http://schemas.openxmlformats.org/officeDocument/2006/relationships/hyperlink" Target="https://drive.google.com/file/d/11jqeGWUpUh79pKFzwZ3T_bBagRuPGFCi/view?usp=drivesdk" TargetMode="External"/><Relationship Id="rId361" Type="http://schemas.openxmlformats.org/officeDocument/2006/relationships/hyperlink" Target="https://drive.google.com/file/d/1T-Y81hQH-m3mJREYNJJ-_fvxA37rN1Vr/view?usp=drivesdk" TargetMode="External"/><Relationship Id="rId2285" Type="http://schemas.openxmlformats.org/officeDocument/2006/relationships/hyperlink" Target="https://drive.google.com/file/d/1vaJaM70la8WjjudMF5sP3NGFuj_0wy9h/view?usp=drivesdk" TargetMode="External"/><Relationship Id="rId360" Type="http://schemas.openxmlformats.org/officeDocument/2006/relationships/hyperlink" Target="https://drive.google.com/file/d/19Jzef7FtFsZ5qvkil90arulbere6rm5-/view?usp=drivesdk" TargetMode="External"/><Relationship Id="rId2286" Type="http://schemas.openxmlformats.org/officeDocument/2006/relationships/hyperlink" Target="https://drive.google.com/file/d/156tAE8v5cFhpA2JE6GA1a7Ktomq0eLYG/view?usp=drivesdk" TargetMode="External"/><Relationship Id="rId367" Type="http://schemas.openxmlformats.org/officeDocument/2006/relationships/hyperlink" Target="https://drive.google.com/file/d/1FQJpaH7J3eF5IWX4mQZvn4hmYURhxGaG/view?usp=drivesdk" TargetMode="External"/><Relationship Id="rId2287" Type="http://schemas.openxmlformats.org/officeDocument/2006/relationships/hyperlink" Target="https://drive.google.com/file/d/1F6e63Lvx_picFSFjsYovkHAFanA2uAHa/view?usp=drivesdk" TargetMode="External"/><Relationship Id="rId366" Type="http://schemas.openxmlformats.org/officeDocument/2006/relationships/hyperlink" Target="https://drive.google.com/file/d/146Xj8BuUAzVZ0xXkDju2ghykIW_qNzwU/view?usp=drivesdk" TargetMode="External"/><Relationship Id="rId2288" Type="http://schemas.openxmlformats.org/officeDocument/2006/relationships/hyperlink" Target="https://drive.google.com/file/d/1gzyiuMNHruki0iqw9ZPuG1ROg8sPoSnR/view?usp=drivesdk" TargetMode="External"/><Relationship Id="rId365" Type="http://schemas.openxmlformats.org/officeDocument/2006/relationships/hyperlink" Target="https://drive.google.com/file/d/1UuBKR_hoIV-X-Lut9dWZvIAQeo5Sp8nG/view?usp=drivesdk" TargetMode="External"/><Relationship Id="rId2289" Type="http://schemas.openxmlformats.org/officeDocument/2006/relationships/hyperlink" Target="https://drive.google.com/file/d/1VVNd9Scvve3V-VZXAhoIMrIQk51djdwQ/view?usp=drivesdk" TargetMode="External"/><Relationship Id="rId364" Type="http://schemas.openxmlformats.org/officeDocument/2006/relationships/hyperlink" Target="https://drive.google.com/file/d/1drMd6Ym4rk46wtDjrzcBsbtJ2Da2ww61/view?usp=drivesdk" TargetMode="External"/><Relationship Id="rId95" Type="http://schemas.openxmlformats.org/officeDocument/2006/relationships/hyperlink" Target="https://drive.google.com/file/d/1Cl_bhQK8v54MXWA0asHAVTOQsGBmVgeF/view?usp=drivesdk" TargetMode="External"/><Relationship Id="rId94" Type="http://schemas.openxmlformats.org/officeDocument/2006/relationships/hyperlink" Target="https://drive.google.com/file/d/1ULj0xEYYt4PnGRhFh3tldi3OJj5NB26k/view?usp=drivesdk" TargetMode="External"/><Relationship Id="rId97" Type="http://schemas.openxmlformats.org/officeDocument/2006/relationships/hyperlink" Target="https://drive.google.com/file/d/1axaXT4rtzHBGD4wDXJRqh6moKKGzrQpk/view?usp=drivesdk" TargetMode="External"/><Relationship Id="rId96" Type="http://schemas.openxmlformats.org/officeDocument/2006/relationships/hyperlink" Target="https://drive.google.com/file/d/1WZWw_PikGWpe0UjzA-0YzGcUU1gaANlf/view?usp=drivesdk" TargetMode="External"/><Relationship Id="rId99" Type="http://schemas.openxmlformats.org/officeDocument/2006/relationships/hyperlink" Target="https://drive.google.com/file/d/1ayz59rYJXmoCKSgC2DibFJVBoRC4uLXE/view?usp=drivesdk" TargetMode="External"/><Relationship Id="rId98" Type="http://schemas.openxmlformats.org/officeDocument/2006/relationships/hyperlink" Target="https://drive.google.com/file/d/1VXyFU5WFfC1FO2psakTulc0z1izW81lJ/view?usp=drivesdk" TargetMode="External"/><Relationship Id="rId91" Type="http://schemas.openxmlformats.org/officeDocument/2006/relationships/hyperlink" Target="https://drive.google.com/file/d/1ij951sZhsgSs6ankP3VocD-1lau-pNul/view?usp=drivesdk" TargetMode="External"/><Relationship Id="rId90" Type="http://schemas.openxmlformats.org/officeDocument/2006/relationships/hyperlink" Target="https://drive.google.com/file/d/1m6154TwHSCHHUuLh7iQBk9c8MNGidb-w/view?usp=drivesdk" TargetMode="External"/><Relationship Id="rId93" Type="http://schemas.openxmlformats.org/officeDocument/2006/relationships/hyperlink" Target="https://drive.google.com/file/d/1s-7Kfc3_txsFeG6Sz7mwLSkl2YlnYLi8/view?usp=drivesdk" TargetMode="External"/><Relationship Id="rId92" Type="http://schemas.openxmlformats.org/officeDocument/2006/relationships/hyperlink" Target="https://drive.google.com/file/d/10IiVhKXZbrbhdx5I7Y0mIDfHXvviDZIu/view?usp=drivesdk" TargetMode="External"/><Relationship Id="rId359" Type="http://schemas.openxmlformats.org/officeDocument/2006/relationships/hyperlink" Target="https://drive.google.com/file/d/1O8o7T-BmbnPQktmuo44d2s9j2GASarTH/view?usp=drivesdk" TargetMode="External"/><Relationship Id="rId358" Type="http://schemas.openxmlformats.org/officeDocument/2006/relationships/hyperlink" Target="https://drive.google.com/file/d/1Xws2-V0QfxIbH7J4q-3RZAnk1dsbh0d2/view?usp=drivesdk" TargetMode="External"/><Relationship Id="rId357" Type="http://schemas.openxmlformats.org/officeDocument/2006/relationships/hyperlink" Target="https://drive.google.com/file/d/1HMBJR2Ai0Lw9Cby0omAkdxIpUaBYGZsx/view?usp=drivesdk" TargetMode="External"/><Relationship Id="rId2270" Type="http://schemas.openxmlformats.org/officeDocument/2006/relationships/hyperlink" Target="https://drive.google.com/file/d/1OQXfdOsmBPcEjb_PF9uWD_g_s1g9BKLK/view?usp=drivesdk" TargetMode="External"/><Relationship Id="rId2271" Type="http://schemas.openxmlformats.org/officeDocument/2006/relationships/hyperlink" Target="https://drive.google.com/file/d/1LZncKWBlcPAXx3IU4UaMX86KjCorRHG5/view?usp=drivesdk" TargetMode="External"/><Relationship Id="rId352" Type="http://schemas.openxmlformats.org/officeDocument/2006/relationships/hyperlink" Target="https://drive.google.com/file/d/12r0mfRoffoTmcGWn-9xzBAWhPAtLh6Rt/view?usp=drivesdk" TargetMode="External"/><Relationship Id="rId2272" Type="http://schemas.openxmlformats.org/officeDocument/2006/relationships/hyperlink" Target="https://drive.google.com/file/d/18vVvJw5Qn9GaYfqwRHjMPOAAO8-20yq0/view?usp=drivesdk" TargetMode="External"/><Relationship Id="rId351" Type="http://schemas.openxmlformats.org/officeDocument/2006/relationships/hyperlink" Target="https://drive.google.com/file/d/1PceCYp-sM9NhOiXonYzbSJPmjCIKd7j2/view?usp=drivesdk" TargetMode="External"/><Relationship Id="rId2273" Type="http://schemas.openxmlformats.org/officeDocument/2006/relationships/hyperlink" Target="https://drive.google.com/file/d/1yjVvr6RWduwEsSlj1T5hWk4kZsgSpX7e/view?usp=drivesdk" TargetMode="External"/><Relationship Id="rId350" Type="http://schemas.openxmlformats.org/officeDocument/2006/relationships/hyperlink" Target="https://drive.google.com/file/d/1w1eiIobDOC89Fm8cwJ7OhDkvo14PYI9T/view?usp=drivesdk" TargetMode="External"/><Relationship Id="rId2274" Type="http://schemas.openxmlformats.org/officeDocument/2006/relationships/hyperlink" Target="https://drive.google.com/file/d/12mfKmwr4qxdkiF-WSAj7I2jNt6iWVgg3/view?usp=drivesdk" TargetMode="External"/><Relationship Id="rId2275" Type="http://schemas.openxmlformats.org/officeDocument/2006/relationships/hyperlink" Target="https://drive.google.com/file/d/1pONPJh9x5VCZuuA8xFZJ8EwpUqV7ZKOz/view?usp=drivesdk" TargetMode="External"/><Relationship Id="rId356" Type="http://schemas.openxmlformats.org/officeDocument/2006/relationships/hyperlink" Target="https://drive.google.com/file/d/14Otbmb1wGLmU3wU4vWPnWaNg4k75Bmia/view?usp=drivesdk" TargetMode="External"/><Relationship Id="rId2276" Type="http://schemas.openxmlformats.org/officeDocument/2006/relationships/hyperlink" Target="https://drive.google.com/file/d/1APCg4OnSFJ_UXQ0QzbeWPcRZtJsXvuz1/view?usp=drivesdk" TargetMode="External"/><Relationship Id="rId355" Type="http://schemas.openxmlformats.org/officeDocument/2006/relationships/hyperlink" Target="https://drive.google.com/file/d/1qgCS-H292u8TdBcfhpf8jVi9L5mfmGkX/view?usp=drivesdk" TargetMode="External"/><Relationship Id="rId2277" Type="http://schemas.openxmlformats.org/officeDocument/2006/relationships/hyperlink" Target="https://drive.google.com/file/d/1pNYePg3eNKxHVFnrHDZ4sLAX_CCQrhwE/view?usp=drivesdk" TargetMode="External"/><Relationship Id="rId354" Type="http://schemas.openxmlformats.org/officeDocument/2006/relationships/hyperlink" Target="https://drive.google.com/file/d/1fK-46BUCgCuHLrWfRWxp3uNVkuTf84xt/view?usp=drivesdk" TargetMode="External"/><Relationship Id="rId2278" Type="http://schemas.openxmlformats.org/officeDocument/2006/relationships/hyperlink" Target="https://drive.google.com/file/d/1H17uMt3lEFj60TgPCBKsbQYCGkxU4ctv/view?usp=drivesdk" TargetMode="External"/><Relationship Id="rId353" Type="http://schemas.openxmlformats.org/officeDocument/2006/relationships/hyperlink" Target="https://drive.google.com/file/d/1mqjQER9Wmov7Avk75ADRCMcRQifYe_jK/view?usp=drivesdk" TargetMode="External"/><Relationship Id="rId2279" Type="http://schemas.openxmlformats.org/officeDocument/2006/relationships/hyperlink" Target="https://drive.google.com/file/d/1LRXuztEEXdMxXVtMCq3mJl48JAq-UR0n/view?usp=drivesdk" TargetMode="External"/><Relationship Id="rId2225" Type="http://schemas.openxmlformats.org/officeDocument/2006/relationships/hyperlink" Target="https://drive.google.com/file/d/1BqL8Nw6PSYuS16ysmE6vXi0eI09OG5ne/view?usp=drivesdk" TargetMode="External"/><Relationship Id="rId2226" Type="http://schemas.openxmlformats.org/officeDocument/2006/relationships/hyperlink" Target="https://drive.google.com/file/d/1Wz8QT5hG7UNmKNIGagdQfvGJIGaLqvL7/view?usp=drivesdk" TargetMode="External"/><Relationship Id="rId2227" Type="http://schemas.openxmlformats.org/officeDocument/2006/relationships/hyperlink" Target="https://drive.google.com/file/d/1K2zHMlHPam78S5DkPpEMV2Ne6_sMuV0c/view?usp=drivesdk" TargetMode="External"/><Relationship Id="rId2228" Type="http://schemas.openxmlformats.org/officeDocument/2006/relationships/hyperlink" Target="https://drive.google.com/file/d/1YuPgvt-CwvvxVNuYav3yg8PfIXNdgR1B/view?usp=drivesdk" TargetMode="External"/><Relationship Id="rId2229" Type="http://schemas.openxmlformats.org/officeDocument/2006/relationships/hyperlink" Target="https://drive.google.com/file/d/1_aQd2fiFR2BFUHay2TJmZ6uXOfDFwlyI/view?usp=drivesdk" TargetMode="External"/><Relationship Id="rId305" Type="http://schemas.openxmlformats.org/officeDocument/2006/relationships/hyperlink" Target="https://drive.google.com/file/d/1UlWpselIojHVnKEQbFB1JVmM667SwCBA/view?usp=drivesdk" TargetMode="External"/><Relationship Id="rId304" Type="http://schemas.openxmlformats.org/officeDocument/2006/relationships/hyperlink" Target="https://drive.google.com/file/d/1JUNkh415YMup4UFC-ED21uW281XOEBm_/view?usp=drivesdk" TargetMode="External"/><Relationship Id="rId303" Type="http://schemas.openxmlformats.org/officeDocument/2006/relationships/hyperlink" Target="https://drive.google.com/file/d/15Vl2k3Plm90uZele1YyO0oikS7bl4XLu/view?usp=drivesdk" TargetMode="External"/><Relationship Id="rId302" Type="http://schemas.openxmlformats.org/officeDocument/2006/relationships/hyperlink" Target="https://drive.google.com/file/d/1Yde_2lcZXwihBlYoshcMU5UnySmXaQzv/view?usp=drivesdk" TargetMode="External"/><Relationship Id="rId309" Type="http://schemas.openxmlformats.org/officeDocument/2006/relationships/hyperlink" Target="https://drive.google.com/file/d/16mg6FaF_Qqd-YXCVP4LWpVjFKlALx2Of/view?usp=drivesdk" TargetMode="External"/><Relationship Id="rId308" Type="http://schemas.openxmlformats.org/officeDocument/2006/relationships/hyperlink" Target="https://drive.google.com/file/d/1tAzlD3X_Z4MFuJcs3V9FJpzilJw2yDek/view?usp=drivesdk" TargetMode="External"/><Relationship Id="rId307" Type="http://schemas.openxmlformats.org/officeDocument/2006/relationships/hyperlink" Target="https://drive.google.com/file/d/1ZNF3a_iSxLpJJnydUQWRItlPGCV48I1L/view?usp=drivesdk" TargetMode="External"/><Relationship Id="rId306" Type="http://schemas.openxmlformats.org/officeDocument/2006/relationships/hyperlink" Target="https://drive.google.com/file/d/1cPJBqJcddPd4uj5K1coZ1KN-APwo68zj/view?usp=drivesdk" TargetMode="External"/><Relationship Id="rId2220" Type="http://schemas.openxmlformats.org/officeDocument/2006/relationships/hyperlink" Target="https://drive.google.com/file/d/10wZFu_n_OFKyepb7qeNIdy0suTAbVMCP/view?usp=drivesdk" TargetMode="External"/><Relationship Id="rId301" Type="http://schemas.openxmlformats.org/officeDocument/2006/relationships/hyperlink" Target="https://drive.google.com/file/d/1p4NVrvX_ueWLkOyGQR0ymT3SxUzh3dKj/view?usp=drivesdk" TargetMode="External"/><Relationship Id="rId2221" Type="http://schemas.openxmlformats.org/officeDocument/2006/relationships/hyperlink" Target="https://drive.google.com/file/d/18oqZDGEq6caeP-NGNtFHInOSTwPiA0Ie/view?usp=drivesdk" TargetMode="External"/><Relationship Id="rId300" Type="http://schemas.openxmlformats.org/officeDocument/2006/relationships/hyperlink" Target="https://drive.google.com/file/d/12ZOeKoS3A5tVa9xMPCYmtFMhEUS-4WPY/view?usp=drivesdk" TargetMode="External"/><Relationship Id="rId2222" Type="http://schemas.openxmlformats.org/officeDocument/2006/relationships/hyperlink" Target="https://drive.google.com/file/d/17z_2upjofelI2OBtJbJp1UqmJ0j-f13C/view?usp=drivesdk" TargetMode="External"/><Relationship Id="rId2223" Type="http://schemas.openxmlformats.org/officeDocument/2006/relationships/hyperlink" Target="https://drive.google.com/file/d/1MhWCR6IKjGFJF9T8GMSxBcbSJPBNMYrA/view?usp=drivesdk" TargetMode="External"/><Relationship Id="rId2224" Type="http://schemas.openxmlformats.org/officeDocument/2006/relationships/hyperlink" Target="https://drive.google.com/file/d/1xUH4wxkipPc8Kas_WlJgtBKgVF5A6I4J/view?usp=drivesdk" TargetMode="External"/><Relationship Id="rId2214" Type="http://schemas.openxmlformats.org/officeDocument/2006/relationships/hyperlink" Target="https://drive.google.com/file/d/1CScbuvTVZqO_yy9IG-SnLk08RYpIGsAI/view?usp=drivesdk" TargetMode="External"/><Relationship Id="rId2215" Type="http://schemas.openxmlformats.org/officeDocument/2006/relationships/hyperlink" Target="https://drive.google.com/file/d/10CsTyC4ydL8U4rO51qz2YrX7o2g2Kqnr/view?usp=drivesdk" TargetMode="External"/><Relationship Id="rId2216" Type="http://schemas.openxmlformats.org/officeDocument/2006/relationships/hyperlink" Target="https://drive.google.com/file/d/16d2ldquzreLFuakSzFz58RVXbtteI_5K/view?usp=drivesdk" TargetMode="External"/><Relationship Id="rId2217" Type="http://schemas.openxmlformats.org/officeDocument/2006/relationships/hyperlink" Target="https://drive.google.com/file/d/1ro_fyV-wZWsB4ZKhbZrotX3oDn-r2-xT/view?usp=drivesdk" TargetMode="External"/><Relationship Id="rId2218" Type="http://schemas.openxmlformats.org/officeDocument/2006/relationships/hyperlink" Target="https://drive.google.com/file/d/1P7wlov__UmjWQsVtemyTGgOjNFpWrGLT/view?usp=drivesdk" TargetMode="External"/><Relationship Id="rId2219" Type="http://schemas.openxmlformats.org/officeDocument/2006/relationships/hyperlink" Target="https://drive.google.com/file/d/1YtaLiYfK1m9H_UEhXEMBosj1mg_EXC73/view?usp=drivesdk" TargetMode="External"/><Relationship Id="rId2210" Type="http://schemas.openxmlformats.org/officeDocument/2006/relationships/hyperlink" Target="https://drive.google.com/file/d/1SJEY-x4wa_wDRqvN70ZyfGEV1oV8EsNy/view?usp=drivesdk" TargetMode="External"/><Relationship Id="rId2211" Type="http://schemas.openxmlformats.org/officeDocument/2006/relationships/hyperlink" Target="https://drive.google.com/file/d/1OYdLeDrhGvfEQhgtmuKBjOHZCr1fXMHM/view?usp=drivesdk" TargetMode="External"/><Relationship Id="rId2212" Type="http://schemas.openxmlformats.org/officeDocument/2006/relationships/hyperlink" Target="https://drive.google.com/file/d/1K0udcraFcCX8OApcH6A6jlQOyYBta1Y0/view?usp=drivesdk" TargetMode="External"/><Relationship Id="rId2213" Type="http://schemas.openxmlformats.org/officeDocument/2006/relationships/hyperlink" Target="https://drive.google.com/file/d/1mE8qdVgu7-5CuiGl4hkR4oOcSO_6ViAH/view?usp=drivesdk" TargetMode="External"/><Relationship Id="rId2247" Type="http://schemas.openxmlformats.org/officeDocument/2006/relationships/hyperlink" Target="https://drive.google.com/file/d/1OByNKNsjZqSFHFFyt-o1mPqDkVmgruBu/view?usp=drivesdk" TargetMode="External"/><Relationship Id="rId2248" Type="http://schemas.openxmlformats.org/officeDocument/2006/relationships/hyperlink" Target="https://drive.google.com/file/d/1GCYFeLrlGpCBF1GyjSAAd1YFst71bifH/view?usp=drivesdk" TargetMode="External"/><Relationship Id="rId2249" Type="http://schemas.openxmlformats.org/officeDocument/2006/relationships/hyperlink" Target="https://drive.google.com/file/d/1nEvKlRA8uAXj2efuq1DkKpPMx5D0e87_/view?usp=drivesdk" TargetMode="External"/><Relationship Id="rId327" Type="http://schemas.openxmlformats.org/officeDocument/2006/relationships/hyperlink" Target="https://drive.google.com/file/d/1QEFCwBkuzp2PmoAwm_k9USeHh_ToT-MP/view?usp=drivesdk" TargetMode="External"/><Relationship Id="rId326" Type="http://schemas.openxmlformats.org/officeDocument/2006/relationships/hyperlink" Target="https://drive.google.com/file/d/1cCXaHYjuZXiL6iaMx9kIxN1dJZc9xHfX/view?usp=drivesdk" TargetMode="External"/><Relationship Id="rId325" Type="http://schemas.openxmlformats.org/officeDocument/2006/relationships/hyperlink" Target="https://drive.google.com/file/d/1iw2Vmyap3WOVxDORbLKUwTaJcmzUuG4L/view?usp=drivesdk" TargetMode="External"/><Relationship Id="rId324" Type="http://schemas.openxmlformats.org/officeDocument/2006/relationships/hyperlink" Target="https://drive.google.com/file/d/1J22UyIYf-p3Wv9OMEsvQ6lDRH3kcsVka/view?usp=drivesdk" TargetMode="External"/><Relationship Id="rId329" Type="http://schemas.openxmlformats.org/officeDocument/2006/relationships/hyperlink" Target="https://drive.google.com/file/d/1U1DU0p6cvGBjO3D7a4pmLBrWXzsnISMz/view?usp=drivesdk" TargetMode="External"/><Relationship Id="rId328" Type="http://schemas.openxmlformats.org/officeDocument/2006/relationships/hyperlink" Target="https://drive.google.com/file/d/1DOOvTXZ9DHMbvE1VlImzeboVfIYwHlIx/view?usp=drivesdk" TargetMode="External"/><Relationship Id="rId2240" Type="http://schemas.openxmlformats.org/officeDocument/2006/relationships/hyperlink" Target="https://drive.google.com/file/d/1v5DJu4qjqzVUJEfoj2GHrhMbmyHZ-m6z/view?usp=drivesdk" TargetMode="External"/><Relationship Id="rId2241" Type="http://schemas.openxmlformats.org/officeDocument/2006/relationships/hyperlink" Target="https://drive.google.com/file/d/1JkE16HX10SxkzianGctH-9nm-XFaoMsF/view?usp=drivesdk" TargetMode="External"/><Relationship Id="rId2242" Type="http://schemas.openxmlformats.org/officeDocument/2006/relationships/hyperlink" Target="https://drive.google.com/file/d/1DeRESzfXOza_ac4bortetS44iBQlEB1l/view?usp=drivesdk" TargetMode="External"/><Relationship Id="rId323" Type="http://schemas.openxmlformats.org/officeDocument/2006/relationships/hyperlink" Target="https://drive.google.com/file/d/1ZCTBXfYhvZZ3YCVVqCrk6tK-onHNaUGv/view?usp=drivesdk" TargetMode="External"/><Relationship Id="rId2243" Type="http://schemas.openxmlformats.org/officeDocument/2006/relationships/hyperlink" Target="https://drive.google.com/file/d/1tJfvC20ctLZQdLkZolhGX4DXfr-JFdEB/view?usp=drivesdk" TargetMode="External"/><Relationship Id="rId322" Type="http://schemas.openxmlformats.org/officeDocument/2006/relationships/hyperlink" Target="https://drive.google.com/file/d/1kyEDcDhnjZUZROP9wa0a5m6VDKQB0pNn/view?usp=drivesdk" TargetMode="External"/><Relationship Id="rId2244" Type="http://schemas.openxmlformats.org/officeDocument/2006/relationships/hyperlink" Target="https://drive.google.com/file/d/1ntHR-2TST8Pa9kLmC5CL_wNP2lafijMc/view?usp=drivesdk" TargetMode="External"/><Relationship Id="rId321" Type="http://schemas.openxmlformats.org/officeDocument/2006/relationships/hyperlink" Target="https://drive.google.com/file/d/1FzT7eC1ga1LxageIR_mQ07LPFCqv6F97/view?usp=drivesdk" TargetMode="External"/><Relationship Id="rId2245" Type="http://schemas.openxmlformats.org/officeDocument/2006/relationships/hyperlink" Target="https://drive.google.com/file/d/1jQ2ZVxsJgOGK369mgFlFLMIcvvyGyvkY/view?usp=drivesdk" TargetMode="External"/><Relationship Id="rId320" Type="http://schemas.openxmlformats.org/officeDocument/2006/relationships/hyperlink" Target="https://drive.google.com/file/d/10vpVJ29B43Uf8OSVTQNH_Y4rZ-DCySS2/view?usp=drivesdk" TargetMode="External"/><Relationship Id="rId2246" Type="http://schemas.openxmlformats.org/officeDocument/2006/relationships/hyperlink" Target="https://drive.google.com/file/d/1hN0G4Myov8ckz4pAMJyK0-chR-uaImCE/view?usp=drivesdk" TargetMode="External"/><Relationship Id="rId2236" Type="http://schemas.openxmlformats.org/officeDocument/2006/relationships/hyperlink" Target="https://drive.google.com/file/d/16pg9MWE7EmtXDgvjDW9mExWkGIxt2MYX/view?usp=drivesdk" TargetMode="External"/><Relationship Id="rId2237" Type="http://schemas.openxmlformats.org/officeDocument/2006/relationships/hyperlink" Target="https://drive.google.com/file/d/1pRBsytrBmWb0piV5bun6Rad2j51JyzSC/view?usp=drivesdk" TargetMode="External"/><Relationship Id="rId2238" Type="http://schemas.openxmlformats.org/officeDocument/2006/relationships/hyperlink" Target="https://drive.google.com/file/d/1U7jcEsjlgt0luv4Qd8Q7JmbBb7qRDTdD/view?usp=drivesdk" TargetMode="External"/><Relationship Id="rId2239" Type="http://schemas.openxmlformats.org/officeDocument/2006/relationships/hyperlink" Target="https://drive.google.com/file/d/1LJ0WrqBtVRCt68G-AduIa1fUKucFOQw4/view?usp=drivesdk" TargetMode="External"/><Relationship Id="rId316" Type="http://schemas.openxmlformats.org/officeDocument/2006/relationships/hyperlink" Target="https://drive.google.com/file/d/1dCQRLW9juYTKsUOeLTlL--iq9jH1ZeAX/view?usp=drivesdk" TargetMode="External"/><Relationship Id="rId315" Type="http://schemas.openxmlformats.org/officeDocument/2006/relationships/hyperlink" Target="https://drive.google.com/file/d/1CTnjwqDUJ_hRI5yvkeP0DyrbEPsE3deE/view?usp=drivesdk" TargetMode="External"/><Relationship Id="rId314" Type="http://schemas.openxmlformats.org/officeDocument/2006/relationships/hyperlink" Target="https://drive.google.com/file/d/1IIYtO3sq07uilN67qTRKAM4KxmY_NrbZ/view?usp=drivesdk" TargetMode="External"/><Relationship Id="rId313" Type="http://schemas.openxmlformats.org/officeDocument/2006/relationships/hyperlink" Target="https://drive.google.com/file/d/1xRfmOYmS03ozE3McXTbE8J9_WE9Lwz2z/view?usp=drivesdk" TargetMode="External"/><Relationship Id="rId319" Type="http://schemas.openxmlformats.org/officeDocument/2006/relationships/hyperlink" Target="https://drive.google.com/file/d/1i452DQK3QfgLvHNrfrHtPXM7el2F_i5Q/view?usp=drivesdk" TargetMode="External"/><Relationship Id="rId318" Type="http://schemas.openxmlformats.org/officeDocument/2006/relationships/hyperlink" Target="https://drive.google.com/file/d/1dZhTtzgZg4exJQnxk3QA2Sc5TFfktEbw/view?usp=drivesdk" TargetMode="External"/><Relationship Id="rId317" Type="http://schemas.openxmlformats.org/officeDocument/2006/relationships/hyperlink" Target="https://drive.google.com/file/d/1P8NAbO2dtYuEYTTi0z4TbVjRr_3pLcWG/view?usp=drivesdk" TargetMode="External"/><Relationship Id="rId2230" Type="http://schemas.openxmlformats.org/officeDocument/2006/relationships/hyperlink" Target="https://drive.google.com/file/d/1d65j0saCEIanzMI-38I3fhweWKRYSiw2/view?usp=drivesdk" TargetMode="External"/><Relationship Id="rId2231" Type="http://schemas.openxmlformats.org/officeDocument/2006/relationships/hyperlink" Target="https://drive.google.com/file/d/1EOobtRYPjKeO9_gYW4bu-_TIpK_PjuLA/view?usp=drivesdk" TargetMode="External"/><Relationship Id="rId312" Type="http://schemas.openxmlformats.org/officeDocument/2006/relationships/hyperlink" Target="https://drive.google.com/file/d/13upJ-VnIuVVrHiHUtqmhY0Kz5kRgeoiU/view?usp=drivesdk" TargetMode="External"/><Relationship Id="rId2232" Type="http://schemas.openxmlformats.org/officeDocument/2006/relationships/hyperlink" Target="https://drive.google.com/file/d/1UjbeLcg8Ef9iNN6OCfcfSjsOW-S8xlbA/view?usp=drivesdk" TargetMode="External"/><Relationship Id="rId311" Type="http://schemas.openxmlformats.org/officeDocument/2006/relationships/hyperlink" Target="https://drive.google.com/file/d/1xLzfAUnK0H-QLCDKzrWQhxt1Oeb7ypTx/view?usp=drivesdk" TargetMode="External"/><Relationship Id="rId2233" Type="http://schemas.openxmlformats.org/officeDocument/2006/relationships/hyperlink" Target="https://drive.google.com/file/d/1D4Mi_2OBXIENWNgS-WkOzAsIz9d6XBcv/view?usp=drivesdk" TargetMode="External"/><Relationship Id="rId310" Type="http://schemas.openxmlformats.org/officeDocument/2006/relationships/hyperlink" Target="https://drive.google.com/file/d/1t066xZvB2Qjc2cwxGzO2QJVZEluviFfB/view?usp=drivesdk" TargetMode="External"/><Relationship Id="rId2234" Type="http://schemas.openxmlformats.org/officeDocument/2006/relationships/hyperlink" Target="https://drive.google.com/file/d/1E1qWlBKhonhY_3BaxJAyBmY0k-t23HiD/view?usp=drivesdk" TargetMode="External"/><Relationship Id="rId2235" Type="http://schemas.openxmlformats.org/officeDocument/2006/relationships/hyperlink" Target="https://drive.google.com/file/d/1YQ1rwTK8fHHydlCOqvw62rr4BQnhJ7v4/view?usp=drivesdk" TargetMode="External"/><Relationship Id="rId297" Type="http://schemas.openxmlformats.org/officeDocument/2006/relationships/hyperlink" Target="https://drive.google.com/file/d/1qO9u1Z418oURj7_u77RtGkk0v7ppM32w/view?usp=drivesdk" TargetMode="External"/><Relationship Id="rId296" Type="http://schemas.openxmlformats.org/officeDocument/2006/relationships/hyperlink" Target="https://drive.google.com/file/d/1JfRWrhBudpyah1NiRGhiEMvtEwqGceL6/view?usp=drivesdk" TargetMode="External"/><Relationship Id="rId295" Type="http://schemas.openxmlformats.org/officeDocument/2006/relationships/hyperlink" Target="https://drive.google.com/file/d/1CQeDu-iAsUZDLoxdQim6K7uF-XxVhQ9A/view?usp=drivesdk" TargetMode="External"/><Relationship Id="rId294" Type="http://schemas.openxmlformats.org/officeDocument/2006/relationships/hyperlink" Target="https://drive.google.com/file/d/11a3GulMnL9I5DwtS8zZbYAPIsvTobEa9/view?usp=drivesdk" TargetMode="External"/><Relationship Id="rId299" Type="http://schemas.openxmlformats.org/officeDocument/2006/relationships/hyperlink" Target="https://drive.google.com/file/d/1WI0kcGG2eDnjm6XRvzEYFd6GSnFvhsoh/view?usp=drivesdk" TargetMode="External"/><Relationship Id="rId298" Type="http://schemas.openxmlformats.org/officeDocument/2006/relationships/hyperlink" Target="https://drive.google.com/file/d/1t4QeGWPkQs6o8249RZz74mnEBs-VICHK/view?usp=drivesdk" TargetMode="External"/><Relationship Id="rId271" Type="http://schemas.openxmlformats.org/officeDocument/2006/relationships/hyperlink" Target="https://drive.google.com/file/d/1bt2sxnloXub_4dCp8ySCfMSk87PSKSGR/view?usp=drivesdk" TargetMode="External"/><Relationship Id="rId270" Type="http://schemas.openxmlformats.org/officeDocument/2006/relationships/hyperlink" Target="https://drive.google.com/file/d/1c-3v_5fQZZav-toITpIWnrCKACtClmLM/view?usp=drivesdk" TargetMode="External"/><Relationship Id="rId269" Type="http://schemas.openxmlformats.org/officeDocument/2006/relationships/hyperlink" Target="https://drive.google.com/file/d/1OJWgpK8N5khvg6csE4BjxQKlUwqJRoig/view?usp=drivesdk" TargetMode="External"/><Relationship Id="rId264" Type="http://schemas.openxmlformats.org/officeDocument/2006/relationships/hyperlink" Target="https://drive.google.com/file/d/180QB6T6E8AomkzG_Et8jvS_s7FB-J01s/view?usp=drivesdk" TargetMode="External"/><Relationship Id="rId263" Type="http://schemas.openxmlformats.org/officeDocument/2006/relationships/hyperlink" Target="https://drive.google.com/file/d/1nTnzddYTwxxy0iyhnksJQNz8SimJnchv/view?usp=drivesdk" TargetMode="External"/><Relationship Id="rId262" Type="http://schemas.openxmlformats.org/officeDocument/2006/relationships/hyperlink" Target="https://drive.google.com/file/d/16HEvSk60ES-i1kvKDnwAGvkzVfGYfT-S/view?usp=drivesdk" TargetMode="External"/><Relationship Id="rId261" Type="http://schemas.openxmlformats.org/officeDocument/2006/relationships/hyperlink" Target="https://drive.google.com/file/d/1739jbksBFcYjKBdmZoaC7IXQS965DJ3J/view?usp=drivesdk" TargetMode="External"/><Relationship Id="rId268" Type="http://schemas.openxmlformats.org/officeDocument/2006/relationships/hyperlink" Target="https://drive.google.com/file/d/1Dtnm-IfcnVdYh2VDYnB8KTfjN5XbfR6U/view?usp=drivesdk" TargetMode="External"/><Relationship Id="rId267" Type="http://schemas.openxmlformats.org/officeDocument/2006/relationships/hyperlink" Target="https://drive.google.com/file/d/1DV_bvC2F5r5Q7NYNgqE5RD615FWWumua/view?usp=drivesdk" TargetMode="External"/><Relationship Id="rId266" Type="http://schemas.openxmlformats.org/officeDocument/2006/relationships/hyperlink" Target="https://drive.google.com/file/d/1GOfCc2jEzxfcB5NWPoKxmn-R6splM-mt/view?usp=drivesdk" TargetMode="External"/><Relationship Id="rId265" Type="http://schemas.openxmlformats.org/officeDocument/2006/relationships/hyperlink" Target="https://drive.google.com/file/d/186z10d8mVaYGccEPrM1n7UChuShJcEwS/view?usp=drivesdk" TargetMode="External"/><Relationship Id="rId260" Type="http://schemas.openxmlformats.org/officeDocument/2006/relationships/hyperlink" Target="https://drive.google.com/file/d/1vrK0UJ_8hyDpbgm2_MkPAqowaajwo8Pm/view?usp=drivesdk" TargetMode="External"/><Relationship Id="rId259" Type="http://schemas.openxmlformats.org/officeDocument/2006/relationships/hyperlink" Target="https://drive.google.com/file/d/1uabCd7tRzuYbMgMYfngWf8jyCb968QZU/view?usp=drivesdk" TargetMode="External"/><Relationship Id="rId258" Type="http://schemas.openxmlformats.org/officeDocument/2006/relationships/hyperlink" Target="https://drive.google.com/file/d/1SHt-8pn9bvsma7o8SjTFplcg2pFFbPAz/view?usp=drivesdk" TargetMode="External"/><Relationship Id="rId2290" Type="http://schemas.openxmlformats.org/officeDocument/2006/relationships/hyperlink" Target="https://drive.google.com/file/d/1VVLl-AvJbxAOqcDsjssAt5hEyFgPdx8z/view?usp=drivesdk" TargetMode="External"/><Relationship Id="rId2291" Type="http://schemas.openxmlformats.org/officeDocument/2006/relationships/hyperlink" Target="https://drive.google.com/file/d/1r8gz_OQgXRQyPABeOEgFy2rbZa10e60I/view?usp=drivesdk" TargetMode="External"/><Relationship Id="rId2292" Type="http://schemas.openxmlformats.org/officeDocument/2006/relationships/hyperlink" Target="https://drive.google.com/file/d/1Z4TItg9VScF62xlkgC_PoPtT-7Vv0iWy/view?usp=drivesdk" TargetMode="External"/><Relationship Id="rId2293" Type="http://schemas.openxmlformats.org/officeDocument/2006/relationships/hyperlink" Target="https://drive.google.com/file/d/1VFtyqV5el7EJVeHaibxWMy34k9LMhbzJ/view?usp=drivesdk" TargetMode="External"/><Relationship Id="rId253" Type="http://schemas.openxmlformats.org/officeDocument/2006/relationships/hyperlink" Target="https://drive.google.com/file/d/12nsEg-XCgHkt5qqhUPjUiPb-0cgLFkuB/view?usp=drivesdk" TargetMode="External"/><Relationship Id="rId2294" Type="http://schemas.openxmlformats.org/officeDocument/2006/relationships/hyperlink" Target="https://drive.google.com/file/d/1X_8gLoQL8UM8XESII7U1_3XXVMeR9N2z/view?usp=drivesdk" TargetMode="External"/><Relationship Id="rId252" Type="http://schemas.openxmlformats.org/officeDocument/2006/relationships/hyperlink" Target="https://drive.google.com/file/d/1LlyFdxum4y8lQ-J8ULEq4iY--wT0XEnX/view?usp=drivesdk" TargetMode="External"/><Relationship Id="rId2295" Type="http://schemas.openxmlformats.org/officeDocument/2006/relationships/hyperlink" Target="https://drive.google.com/file/d/1n0koQ1yLwfPYdmBREVehxKIdhjOoUZSg/view?usp=drivesdk" TargetMode="External"/><Relationship Id="rId251" Type="http://schemas.openxmlformats.org/officeDocument/2006/relationships/hyperlink" Target="https://drive.google.com/file/d/1dLdBc3oYaUpmAkv8ifMPAnoUfM2wXSEc/view?usp=drivesdk" TargetMode="External"/><Relationship Id="rId2296" Type="http://schemas.openxmlformats.org/officeDocument/2006/relationships/hyperlink" Target="https://drive.google.com/file/d/1c91FKEwUnH0eT_Uzixr-mWli2LJ6mmul/view?usp=drivesdk" TargetMode="External"/><Relationship Id="rId250" Type="http://schemas.openxmlformats.org/officeDocument/2006/relationships/hyperlink" Target="https://drive.google.com/file/d/1BLm9m9zQbKmIQvYYdQuYw0qUzxfkwOrr/view?usp=drivesdk" TargetMode="External"/><Relationship Id="rId2297" Type="http://schemas.openxmlformats.org/officeDocument/2006/relationships/hyperlink" Target="https://drive.google.com/file/d/1OmM2z06gBM63n800JtLoY_5328h0Kj-q/view?usp=drivesdk" TargetMode="External"/><Relationship Id="rId257" Type="http://schemas.openxmlformats.org/officeDocument/2006/relationships/hyperlink" Target="https://drive.google.com/file/d/1SB5hLHPsOGngwfGReki2o4frfyK_qamd/view?usp=drivesdk" TargetMode="External"/><Relationship Id="rId2298" Type="http://schemas.openxmlformats.org/officeDocument/2006/relationships/hyperlink" Target="https://drive.google.com/file/d/1wOKjiL59sTbYJAZUPb-UPMjoPu-4HWDV/view?usp=drivesdk" TargetMode="External"/><Relationship Id="rId256" Type="http://schemas.openxmlformats.org/officeDocument/2006/relationships/hyperlink" Target="https://drive.google.com/file/d/17k5CukbPIp4AD2KEcHMwWy7Nop_vLLeM/view?usp=drivesdk" TargetMode="External"/><Relationship Id="rId2299" Type="http://schemas.openxmlformats.org/officeDocument/2006/relationships/hyperlink" Target="https://drive.google.com/file/d/1AHAkX3IHAtNC1ywt3EKJgEjl7TvUilkM/view?usp=drivesdk" TargetMode="External"/><Relationship Id="rId255" Type="http://schemas.openxmlformats.org/officeDocument/2006/relationships/hyperlink" Target="https://drive.google.com/file/d/1Ry6FucHklLIQeRbNX3Cjdl8al-P4HIWM/view?usp=drivesdk" TargetMode="External"/><Relationship Id="rId254" Type="http://schemas.openxmlformats.org/officeDocument/2006/relationships/hyperlink" Target="https://drive.google.com/file/d/1saWLjS-kipdtKgZWmmOraj_vYJ5_c585/view?usp=drivesdk" TargetMode="External"/><Relationship Id="rId293" Type="http://schemas.openxmlformats.org/officeDocument/2006/relationships/hyperlink" Target="https://drive.google.com/file/d/14FSb3AIU3cGTavwwkCPb8QidbfttMzsP/view?usp=drivesdk" TargetMode="External"/><Relationship Id="rId292" Type="http://schemas.openxmlformats.org/officeDocument/2006/relationships/hyperlink" Target="https://drive.google.com/file/d/1qk8K77Qln6jTx3ut6st0gBWY8ObgWRP6/view?usp=drivesdk" TargetMode="External"/><Relationship Id="rId291" Type="http://schemas.openxmlformats.org/officeDocument/2006/relationships/hyperlink" Target="https://drive.google.com/file/d/1TnNIP3TZx0NUU_F75sA5aDaktZ8v02Sf/view?usp=drivesdk" TargetMode="External"/><Relationship Id="rId290" Type="http://schemas.openxmlformats.org/officeDocument/2006/relationships/hyperlink" Target="https://drive.google.com/file/d/1KP7iJRuMH1WkQTxnGVfp46w7pZ0zAUB6/view?usp=drivesdk" TargetMode="External"/><Relationship Id="rId286" Type="http://schemas.openxmlformats.org/officeDocument/2006/relationships/hyperlink" Target="https://drive.google.com/file/d/1pa7OIGAnni8wvDqtvDLum5kXPTJ3EccS/view?usp=drivesdk" TargetMode="External"/><Relationship Id="rId285" Type="http://schemas.openxmlformats.org/officeDocument/2006/relationships/hyperlink" Target="https://drive.google.com/file/d/1K09Trws35P0i80XfXLe6KkyHS-8QUwOv/view?usp=drivesdk" TargetMode="External"/><Relationship Id="rId284" Type="http://schemas.openxmlformats.org/officeDocument/2006/relationships/hyperlink" Target="https://drive.google.com/file/d/1Z8FCtSwd6TH0atAqEEHGH_VkvXSv5cQY/view?usp=drivesdk" TargetMode="External"/><Relationship Id="rId283" Type="http://schemas.openxmlformats.org/officeDocument/2006/relationships/hyperlink" Target="https://drive.google.com/file/d/1egIEEiIdjS8kDL0yM8QwXuS6BzuaRLeY/view?usp=drivesdk" TargetMode="External"/><Relationship Id="rId289" Type="http://schemas.openxmlformats.org/officeDocument/2006/relationships/hyperlink" Target="https://drive.google.com/file/d/1dFxqbNSk0O-WBun3U91vRmKRgjypSwCE/view?usp=drivesdk" TargetMode="External"/><Relationship Id="rId288" Type="http://schemas.openxmlformats.org/officeDocument/2006/relationships/hyperlink" Target="https://drive.google.com/file/d/1WpzQSPvsM80juq05xrb1MqwX4AFwOczb/view?usp=drivesdk" TargetMode="External"/><Relationship Id="rId287" Type="http://schemas.openxmlformats.org/officeDocument/2006/relationships/hyperlink" Target="https://drive.google.com/file/d/1Z88MYogkcmEVsNB4CrfQdGlwVeD7Ny1J/view?usp=drivesdk" TargetMode="External"/><Relationship Id="rId282" Type="http://schemas.openxmlformats.org/officeDocument/2006/relationships/hyperlink" Target="https://drive.google.com/file/d/11j2QxbVRnbbhNcSTU_8Ukz0mC3zKVxEJ/view?usp=drivesdk" TargetMode="External"/><Relationship Id="rId281" Type="http://schemas.openxmlformats.org/officeDocument/2006/relationships/hyperlink" Target="https://drive.google.com/file/d/1PZBT-dqRlU8nCFE8nyUseu3Af82Uuvp1/view?usp=drivesdk" TargetMode="External"/><Relationship Id="rId280" Type="http://schemas.openxmlformats.org/officeDocument/2006/relationships/hyperlink" Target="https://drive.google.com/file/d/1sD3uQkK-TKSGRiSUZDunjeSw6zpZz3u7/view?usp=drivesdk" TargetMode="External"/><Relationship Id="rId275" Type="http://schemas.openxmlformats.org/officeDocument/2006/relationships/hyperlink" Target="https://drive.google.com/file/d/1gclbS5ZAeFa_DfD6U3yiF5_e7_Yg90s0/view?usp=drivesdk" TargetMode="External"/><Relationship Id="rId274" Type="http://schemas.openxmlformats.org/officeDocument/2006/relationships/hyperlink" Target="https://drive.google.com/file/d/1JsE2aYLgg05Jy0CmD9Vn1upSh36fWFT4/view?usp=drivesdk" TargetMode="External"/><Relationship Id="rId273" Type="http://schemas.openxmlformats.org/officeDocument/2006/relationships/hyperlink" Target="https://drive.google.com/file/d/1VU-u6hVIDmi3ktFEqPfK3I_RwWihJd_N/view?usp=drivesdk" TargetMode="External"/><Relationship Id="rId272" Type="http://schemas.openxmlformats.org/officeDocument/2006/relationships/hyperlink" Target="https://drive.google.com/file/d/1DAF-1ME0Ox9xapd6Koii547l1xCiSYo6/view?usp=drivesdk" TargetMode="External"/><Relationship Id="rId279" Type="http://schemas.openxmlformats.org/officeDocument/2006/relationships/hyperlink" Target="https://drive.google.com/file/d/1R6KUBcw1ilPMVdLvxEU4Hzj-XHCab7Us/view?usp=drivesdk" TargetMode="External"/><Relationship Id="rId278" Type="http://schemas.openxmlformats.org/officeDocument/2006/relationships/hyperlink" Target="https://drive.google.com/file/d/1FT_3JQrDmmG7e28_Q0VIhPg40rboKPBB/view?usp=drivesdk" TargetMode="External"/><Relationship Id="rId277" Type="http://schemas.openxmlformats.org/officeDocument/2006/relationships/hyperlink" Target="https://drive.google.com/file/d/1UP0BKDOHVV0mapnMroVTpnc5dVmnLsYP/view?usp=drivesdk" TargetMode="External"/><Relationship Id="rId276" Type="http://schemas.openxmlformats.org/officeDocument/2006/relationships/hyperlink" Target="https://drive.google.com/file/d/1ow140BOKO4jJKVAsaAC8hxqWGYkeuS6N/view?usp=drivesdk" TargetMode="External"/><Relationship Id="rId1851" Type="http://schemas.openxmlformats.org/officeDocument/2006/relationships/hyperlink" Target="https://drive.google.com/file/d/1qDn01UYSY7IzWnRuxG_gHrcvE620ctpS/view?usp=drivesdk" TargetMode="External"/><Relationship Id="rId1852" Type="http://schemas.openxmlformats.org/officeDocument/2006/relationships/hyperlink" Target="https://drive.google.com/file/d/11weNHLGnxj4KDY_B4C5ruXp3HlO5mWfo/view?usp=drivesdk" TargetMode="External"/><Relationship Id="rId1853" Type="http://schemas.openxmlformats.org/officeDocument/2006/relationships/hyperlink" Target="https://drive.google.com/file/d/1_iZrTUyZXaycbPsVfM-74FyaJ3MB4oLV/view?usp=drivesdk" TargetMode="External"/><Relationship Id="rId1854" Type="http://schemas.openxmlformats.org/officeDocument/2006/relationships/hyperlink" Target="https://drive.google.com/file/d/148xaPdnZbWevywVmo1SOyFW7IsxxfEnq/view?usp=drivesdk" TargetMode="External"/><Relationship Id="rId1855" Type="http://schemas.openxmlformats.org/officeDocument/2006/relationships/hyperlink" Target="https://drive.google.com/file/d/1N4P_NBhEekeEeel35srG3dNXuEVg7MVW/view?usp=drivesdk" TargetMode="External"/><Relationship Id="rId1856" Type="http://schemas.openxmlformats.org/officeDocument/2006/relationships/hyperlink" Target="https://drive.google.com/file/d/1r7_BjSj4NLXFSWuoZF1QDn_Pt_2F0sIX/view?usp=drivesdk" TargetMode="External"/><Relationship Id="rId1857" Type="http://schemas.openxmlformats.org/officeDocument/2006/relationships/hyperlink" Target="https://drive.google.com/file/d/1yvH2WRaGuCEiDaRRoX5rvYKm_W_kFR7a/view?usp=drivesdk" TargetMode="External"/><Relationship Id="rId1858" Type="http://schemas.openxmlformats.org/officeDocument/2006/relationships/hyperlink" Target="https://drive.google.com/file/d/1MOJGhbdJjCgBlRPFc3R0unH7ZXYqk_S2/view?usp=drivesdk" TargetMode="External"/><Relationship Id="rId1859" Type="http://schemas.openxmlformats.org/officeDocument/2006/relationships/hyperlink" Target="https://drive.google.com/file/d/1h5w_3Nl7GIiq_vm_TbDZdgHnl_-wIl_M/view?usp=drivesdk" TargetMode="External"/><Relationship Id="rId1850" Type="http://schemas.openxmlformats.org/officeDocument/2006/relationships/hyperlink" Target="https://drive.google.com/file/d/13-aZvvhwSjgBjdZB9gIwxJT4-D-JgM4Y/view?usp=drivesdk" TargetMode="External"/><Relationship Id="rId1840" Type="http://schemas.openxmlformats.org/officeDocument/2006/relationships/hyperlink" Target="https://drive.google.com/file/d/1eC9LWTi7YGd4cLPQx-GgSHAWh6LWXcw0/view?usp=drivesdk" TargetMode="External"/><Relationship Id="rId1841" Type="http://schemas.openxmlformats.org/officeDocument/2006/relationships/hyperlink" Target="https://drive.google.com/file/d/1MXWB81Rob2UjJLFBo2t7YyrxJqF6xc7k/view?usp=drivesdk" TargetMode="External"/><Relationship Id="rId1842" Type="http://schemas.openxmlformats.org/officeDocument/2006/relationships/hyperlink" Target="https://drive.google.com/file/d/1k662Z55nvL6fVuQppJtmXmZEAg6B8OlN/view?usp=drivesdk" TargetMode="External"/><Relationship Id="rId1843" Type="http://schemas.openxmlformats.org/officeDocument/2006/relationships/hyperlink" Target="https://drive.google.com/file/d/1JY6wiPwPcUGEqQWiVBUp46lcizQn8Xp6/view?usp=drivesdk" TargetMode="External"/><Relationship Id="rId1844" Type="http://schemas.openxmlformats.org/officeDocument/2006/relationships/hyperlink" Target="https://drive.google.com/file/d/1l4Fyzl8ODP-J6QNdf6BMZKEzjr7T1jrc/view?usp=drivesdk" TargetMode="External"/><Relationship Id="rId1845" Type="http://schemas.openxmlformats.org/officeDocument/2006/relationships/hyperlink" Target="https://drive.google.com/file/d/1sRIqgi7llJfc0bXcAYeY1xU6h8cjQM7L/view?usp=drivesdk" TargetMode="External"/><Relationship Id="rId1846" Type="http://schemas.openxmlformats.org/officeDocument/2006/relationships/hyperlink" Target="https://drive.google.com/file/d/10-gsNwK6KvqX9tOCflNeUW-zWnKtl0JV/view?usp=drivesdk" TargetMode="External"/><Relationship Id="rId1847" Type="http://schemas.openxmlformats.org/officeDocument/2006/relationships/hyperlink" Target="https://drive.google.com/file/d/1zwo0Z9c95_nMMyR8_YF91_12LgVySkVG/view?usp=drivesdk" TargetMode="External"/><Relationship Id="rId1848" Type="http://schemas.openxmlformats.org/officeDocument/2006/relationships/hyperlink" Target="https://drive.google.com/file/d/1QuBW1YTzJmF7ZZ5KLsu8m14qTEgfOrf4/view?usp=drivesdk" TargetMode="External"/><Relationship Id="rId1849" Type="http://schemas.openxmlformats.org/officeDocument/2006/relationships/hyperlink" Target="https://drive.google.com/file/d/1jLPe3BMjMoGusQT0KkiegKkiGsIIVazO/view?usp=drivesdk" TargetMode="External"/><Relationship Id="rId1873" Type="http://schemas.openxmlformats.org/officeDocument/2006/relationships/hyperlink" Target="https://drive.google.com/file/d/1Lep74aOGY2HTUfjOH1sRJGskkNnhcT9R/view?usp=drivesdk" TargetMode="External"/><Relationship Id="rId1874" Type="http://schemas.openxmlformats.org/officeDocument/2006/relationships/hyperlink" Target="https://drive.google.com/file/d/1mopdcftXz_M_O--Fgwij9iA3MHwAEogr/view?usp=drivesdk" TargetMode="External"/><Relationship Id="rId1875" Type="http://schemas.openxmlformats.org/officeDocument/2006/relationships/hyperlink" Target="https://drive.google.com/file/d/1RdD1ka1AcuuAkIp42PaRdSSjjGkIdVnj/view?usp=drivesdk" TargetMode="External"/><Relationship Id="rId1876" Type="http://schemas.openxmlformats.org/officeDocument/2006/relationships/hyperlink" Target="https://drive.google.com/file/d/1elqGGq82WZNQe0OBkz3QxE7uAO28LFy7/view?usp=drivesdk" TargetMode="External"/><Relationship Id="rId1877" Type="http://schemas.openxmlformats.org/officeDocument/2006/relationships/hyperlink" Target="https://drive.google.com/file/d/1gfXx0u2lXDnbw7niG14VKCEGM1cPJ8ga/view?usp=drivesdk" TargetMode="External"/><Relationship Id="rId1878" Type="http://schemas.openxmlformats.org/officeDocument/2006/relationships/hyperlink" Target="https://drive.google.com/file/d/1CG--V-pTBF9sRiuxA8a5ueI8v8h5jmPV/view?usp=drivesdk" TargetMode="External"/><Relationship Id="rId1879" Type="http://schemas.openxmlformats.org/officeDocument/2006/relationships/hyperlink" Target="https://drive.google.com/file/d/1_jB99hESUavCRb8jKze8JwQ0Zoh-pbj4/view?usp=drivesdk" TargetMode="External"/><Relationship Id="rId1870" Type="http://schemas.openxmlformats.org/officeDocument/2006/relationships/hyperlink" Target="https://drive.google.com/file/d/1qMJM9_CEzjXsRTVa3qE0XoThl6ByL8_R/view?usp=drivesdk" TargetMode="External"/><Relationship Id="rId1871" Type="http://schemas.openxmlformats.org/officeDocument/2006/relationships/hyperlink" Target="https://drive.google.com/file/d/1vvezkz5zWeT6u6dIfF269SD9kYogBCP9/view?usp=drivesdk" TargetMode="External"/><Relationship Id="rId1872" Type="http://schemas.openxmlformats.org/officeDocument/2006/relationships/hyperlink" Target="https://drive.google.com/file/d/1jQjSRx3kSj2ilW3KmwxAru8D96j3i8Y7/view?usp=drivesdk" TargetMode="External"/><Relationship Id="rId1862" Type="http://schemas.openxmlformats.org/officeDocument/2006/relationships/hyperlink" Target="https://drive.google.com/file/d/1DsODP8YLjFDZ-RPgM2IJvC2B0oBq4PLX/view?usp=drivesdk" TargetMode="External"/><Relationship Id="rId1863" Type="http://schemas.openxmlformats.org/officeDocument/2006/relationships/hyperlink" Target="https://drive.google.com/file/d/17ZEzUuXHixyudMb6cJV15e7wnM4cCqCh/view?usp=drivesdk" TargetMode="External"/><Relationship Id="rId1864" Type="http://schemas.openxmlformats.org/officeDocument/2006/relationships/hyperlink" Target="https://drive.google.com/file/d/1lsnR2vyytLKoStGhel4Zy_F4FB1RdvbN/view?usp=drivesdk" TargetMode="External"/><Relationship Id="rId1865" Type="http://schemas.openxmlformats.org/officeDocument/2006/relationships/hyperlink" Target="https://drive.google.com/file/d/1nVu17ycBo3lJ5PEXQ4Yf8Y0H6__hEqHF/view?usp=drivesdk" TargetMode="External"/><Relationship Id="rId1866" Type="http://schemas.openxmlformats.org/officeDocument/2006/relationships/hyperlink" Target="https://drive.google.com/file/d/1GhKZHeRd47v5xBxhTavq5L9gXUNYt8aA/view?usp=drivesdk" TargetMode="External"/><Relationship Id="rId1867" Type="http://schemas.openxmlformats.org/officeDocument/2006/relationships/hyperlink" Target="https://drive.google.com/file/d/1qD4WA9U-UCZHa3o07wjyZ9l8fP7hm9lA/view?usp=drivesdk" TargetMode="External"/><Relationship Id="rId1868" Type="http://schemas.openxmlformats.org/officeDocument/2006/relationships/hyperlink" Target="https://drive.google.com/file/d/1aRrIEYkTBN8n1Sgn3O-yporbXSHz9WO9/view?usp=drivesdk" TargetMode="External"/><Relationship Id="rId1869" Type="http://schemas.openxmlformats.org/officeDocument/2006/relationships/hyperlink" Target="https://drive.google.com/file/d/1KP8GrgUwNPDp8IB_LkFZY49Vt1IvtVdu/view?usp=drivesdk" TargetMode="External"/><Relationship Id="rId1860" Type="http://schemas.openxmlformats.org/officeDocument/2006/relationships/hyperlink" Target="https://drive.google.com/file/d/1fg9zcwScO67WBgZXvC6XlR_kL7yzXpXy/view?usp=drivesdk" TargetMode="External"/><Relationship Id="rId1861" Type="http://schemas.openxmlformats.org/officeDocument/2006/relationships/hyperlink" Target="https://drive.google.com/file/d/1q2gVwa1rOQ8WWfdq3nW3rbh2NM0UA3nR/view?usp=drivesdk" TargetMode="External"/><Relationship Id="rId1810" Type="http://schemas.openxmlformats.org/officeDocument/2006/relationships/hyperlink" Target="https://drive.google.com/file/d/1eoWS9jdc53wyHszo4c8Ge2gzlwq30DvI/view?usp=drivesdk" TargetMode="External"/><Relationship Id="rId1811" Type="http://schemas.openxmlformats.org/officeDocument/2006/relationships/hyperlink" Target="https://drive.google.com/file/d/1e5JPVizcHOsgKK4xXV265ST-ZX_9ks9e/view?usp=drivesdk" TargetMode="External"/><Relationship Id="rId1812" Type="http://schemas.openxmlformats.org/officeDocument/2006/relationships/hyperlink" Target="https://drive.google.com/file/d/1fRrMg1hubhuUHffJB3cZMOiGJueeEHu7/view?usp=drivesdk" TargetMode="External"/><Relationship Id="rId1813" Type="http://schemas.openxmlformats.org/officeDocument/2006/relationships/hyperlink" Target="https://drive.google.com/file/d/1Pvsc-C-C29zmoFMIKpIOITEdpRvM4BqL/view?usp=drivesdk" TargetMode="External"/><Relationship Id="rId1814" Type="http://schemas.openxmlformats.org/officeDocument/2006/relationships/hyperlink" Target="https://drive.google.com/file/d/1P0pW0DggWoKIyN9DhYHRvTg9fHcRwN7v/view?usp=drivesdk" TargetMode="External"/><Relationship Id="rId1815" Type="http://schemas.openxmlformats.org/officeDocument/2006/relationships/hyperlink" Target="https://drive.google.com/file/d/1ma6-dAi4-ueCPgAnsDzm7mGt7sF_HJXB/view?usp=drivesdk" TargetMode="External"/><Relationship Id="rId1816" Type="http://schemas.openxmlformats.org/officeDocument/2006/relationships/hyperlink" Target="https://drive.google.com/file/d/1i0bCNvCfo6OSjU80G4ILg4LMaQt55loT/view?usp=drivesdk" TargetMode="External"/><Relationship Id="rId1817" Type="http://schemas.openxmlformats.org/officeDocument/2006/relationships/hyperlink" Target="https://drive.google.com/file/d/1fpZJLgIaE1sc6D3Ao9WYY-2RnjQ24Ey8/view?usp=drivesdk" TargetMode="External"/><Relationship Id="rId1818" Type="http://schemas.openxmlformats.org/officeDocument/2006/relationships/hyperlink" Target="https://drive.google.com/file/d/1AMpF3dCTaGRtKAW4uDl20NZ94oGS-IrJ/view?usp=drivesdk" TargetMode="External"/><Relationship Id="rId1819" Type="http://schemas.openxmlformats.org/officeDocument/2006/relationships/hyperlink" Target="https://drive.google.com/file/d/1vaP6T4GI5EG6QfiY7faW4sxmJhrkKcVJ/view?usp=drivesdk" TargetMode="External"/><Relationship Id="rId1800" Type="http://schemas.openxmlformats.org/officeDocument/2006/relationships/hyperlink" Target="https://drive.google.com/file/d/1uNRS_PKR04NJqpfF8RT8TGjnZf5pWTW7/view?usp=drivesdk" TargetMode="External"/><Relationship Id="rId1801" Type="http://schemas.openxmlformats.org/officeDocument/2006/relationships/hyperlink" Target="https://drive.google.com/file/d/16qXucG-y6NLesFNLtXKxNxVb-p-zDAcP/view?usp=drivesdk" TargetMode="External"/><Relationship Id="rId1802" Type="http://schemas.openxmlformats.org/officeDocument/2006/relationships/hyperlink" Target="https://drive.google.com/file/d/1jwPO5hG912h_deQ_mA5qrEO6Un7ly-w5/view?usp=drivesdk" TargetMode="External"/><Relationship Id="rId1803" Type="http://schemas.openxmlformats.org/officeDocument/2006/relationships/hyperlink" Target="https://drive.google.com/file/d/17_e2y6T62ZS1d75D_vEqe2Fq-GHz40dH/view?usp=drivesdk" TargetMode="External"/><Relationship Id="rId1804" Type="http://schemas.openxmlformats.org/officeDocument/2006/relationships/hyperlink" Target="https://drive.google.com/file/d/1QJfPmltqzudUVKXbh3e1i3gjjwbZ261D/view?usp=drivesdk" TargetMode="External"/><Relationship Id="rId1805" Type="http://schemas.openxmlformats.org/officeDocument/2006/relationships/hyperlink" Target="https://drive.google.com/file/d/142q6igd0Z6bO3OY9f37fbyB7dbT7gFpM/view?usp=drivesdk" TargetMode="External"/><Relationship Id="rId1806" Type="http://schemas.openxmlformats.org/officeDocument/2006/relationships/hyperlink" Target="https://drive.google.com/file/d/19mE8tBv4yX9W0ZxzhRHab0Uc2JHfphPO/view?usp=drivesdk" TargetMode="External"/><Relationship Id="rId1807" Type="http://schemas.openxmlformats.org/officeDocument/2006/relationships/hyperlink" Target="https://drive.google.com/file/d/1ltrjhhYhuy7c2jXEz5hZpsmM93ZHoyBQ/view?usp=drivesdk" TargetMode="External"/><Relationship Id="rId1808" Type="http://schemas.openxmlformats.org/officeDocument/2006/relationships/hyperlink" Target="https://drive.google.com/file/d/1Pa04ha1QPdwzQRxkAmjcqeTTakxa_4-A/view?usp=drivesdk" TargetMode="External"/><Relationship Id="rId1809" Type="http://schemas.openxmlformats.org/officeDocument/2006/relationships/hyperlink" Target="https://drive.google.com/file/d/1f4b7CUsFcwOX-Klgh9LjeLzeZWCh9wRO/view?usp=drivesdk" TargetMode="External"/><Relationship Id="rId1830" Type="http://schemas.openxmlformats.org/officeDocument/2006/relationships/hyperlink" Target="https://drive.google.com/file/d/1VfmM9m7HvpDn73F1hw9uJNQ084gQeprY/view?usp=drivesdk" TargetMode="External"/><Relationship Id="rId1831" Type="http://schemas.openxmlformats.org/officeDocument/2006/relationships/hyperlink" Target="https://drive.google.com/file/d/1OOgKX982Ng8tydvQqqxiG0UsYnabnRTG/view?usp=drivesdk" TargetMode="External"/><Relationship Id="rId1832" Type="http://schemas.openxmlformats.org/officeDocument/2006/relationships/hyperlink" Target="https://drive.google.com/file/d/1v1ps4ZXyeuA6oh-dBBHP40l4Xpza5N7a/view?usp=drivesdk" TargetMode="External"/><Relationship Id="rId1833" Type="http://schemas.openxmlformats.org/officeDocument/2006/relationships/hyperlink" Target="https://drive.google.com/file/d/1nYfwtg7LOkwbDyblaFjUtaNGyJeVa2t6/view?usp=drivesdk" TargetMode="External"/><Relationship Id="rId1834" Type="http://schemas.openxmlformats.org/officeDocument/2006/relationships/hyperlink" Target="https://drive.google.com/file/d/14DoZhXh5CpIYiGXFur--kAAsi_gMfaSY/view?usp=drivesdk" TargetMode="External"/><Relationship Id="rId1835" Type="http://schemas.openxmlformats.org/officeDocument/2006/relationships/hyperlink" Target="https://drive.google.com/file/d/1jK0NLsKWV8FX2gaf2LEa7FXjL-RPXOAT/view?usp=drivesdk" TargetMode="External"/><Relationship Id="rId1836" Type="http://schemas.openxmlformats.org/officeDocument/2006/relationships/hyperlink" Target="https://drive.google.com/file/d/1Dqew43Y8v38P1r4gR5u_w-Qmg53Bl1k5/view?usp=drivesdk" TargetMode="External"/><Relationship Id="rId1837" Type="http://schemas.openxmlformats.org/officeDocument/2006/relationships/hyperlink" Target="https://drive.google.com/file/d/1E7eIQbprHd2AUw9X5A-g5L9xxHpTZ0P1/view?usp=drivesdk" TargetMode="External"/><Relationship Id="rId1838" Type="http://schemas.openxmlformats.org/officeDocument/2006/relationships/hyperlink" Target="https://drive.google.com/file/d/1UAZP-7EFUjtBAC0eRgBKAvSYCJnbPMpz/view?usp=drivesdk" TargetMode="External"/><Relationship Id="rId1839" Type="http://schemas.openxmlformats.org/officeDocument/2006/relationships/hyperlink" Target="https://drive.google.com/file/d/16uoJ6bzNUexR0mdpdovXBeytBzvN_136/view?usp=drivesdk" TargetMode="External"/><Relationship Id="rId1820" Type="http://schemas.openxmlformats.org/officeDocument/2006/relationships/hyperlink" Target="https://drive.google.com/file/d/1xzLvdgc-M6xgRxS1XPmZCMV1KJ6e91RS/view?usp=drivesdk" TargetMode="External"/><Relationship Id="rId1821" Type="http://schemas.openxmlformats.org/officeDocument/2006/relationships/hyperlink" Target="https://drive.google.com/file/d/1P2HkNQwXMDHx-bxDaQ0QetAgbUaJlYq7/view?usp=drivesdk" TargetMode="External"/><Relationship Id="rId1822" Type="http://schemas.openxmlformats.org/officeDocument/2006/relationships/hyperlink" Target="https://drive.google.com/file/d/1D5KouvqlIJwsDCgn3ccM349xsg2h_lLc/view?usp=drivesdk" TargetMode="External"/><Relationship Id="rId1823" Type="http://schemas.openxmlformats.org/officeDocument/2006/relationships/hyperlink" Target="https://drive.google.com/file/d/1Ocpr95kOyFZwuINmIl1HrSazLpP5IR0A/view?usp=drivesdk" TargetMode="External"/><Relationship Id="rId1824" Type="http://schemas.openxmlformats.org/officeDocument/2006/relationships/hyperlink" Target="https://drive.google.com/file/d/1SNZ1mkDnR8DG5EiPz1pP9wPEbPOfROdO/view?usp=drivesdk" TargetMode="External"/><Relationship Id="rId1825" Type="http://schemas.openxmlformats.org/officeDocument/2006/relationships/hyperlink" Target="https://drive.google.com/file/d/1eqYtN1LhEz2cMkVEZbYZlrYaNb2z-MuF/view?usp=drivesdk" TargetMode="External"/><Relationship Id="rId1826" Type="http://schemas.openxmlformats.org/officeDocument/2006/relationships/hyperlink" Target="https://drive.google.com/file/d/1Jg63xHFND2S5MVMDJVIMN8NaVkKscrMO/view?usp=drivesdk" TargetMode="External"/><Relationship Id="rId1827" Type="http://schemas.openxmlformats.org/officeDocument/2006/relationships/hyperlink" Target="https://drive.google.com/file/d/1xvzkyQny0zJdjHfNvm5NYahO_NxplmbJ/view?usp=drivesdk" TargetMode="External"/><Relationship Id="rId1828" Type="http://schemas.openxmlformats.org/officeDocument/2006/relationships/hyperlink" Target="https://drive.google.com/file/d/1LJBcuUB-1LSu2INXB7EcSdI9cC8lr-qR/view?usp=drivesdk" TargetMode="External"/><Relationship Id="rId1829" Type="http://schemas.openxmlformats.org/officeDocument/2006/relationships/hyperlink" Target="https://drive.google.com/file/d/1eOwIQbIkrHsQvdXq-eYfL5pNKC_uHX0V/view?usp=drivesdk" TargetMode="External"/><Relationship Id="rId2302" Type="http://schemas.openxmlformats.org/officeDocument/2006/relationships/hyperlink" Target="https://drive.google.com/file/d/1sCCY3KYGCCE3zAn1qtYymO7af6DAj-0M/view?usp=drivesdk" TargetMode="External"/><Relationship Id="rId2303" Type="http://schemas.openxmlformats.org/officeDocument/2006/relationships/hyperlink" Target="https://drive.google.com/file/d/1E11EGVsEk8jXG4anLcX1DKLgm7aqhOmU/view?usp=drivesdk" TargetMode="External"/><Relationship Id="rId2304" Type="http://schemas.openxmlformats.org/officeDocument/2006/relationships/hyperlink" Target="https://drive.google.com/file/d/1xfxst9Oa-ge7wewPL4HMH7DqgvOPP20b/view?usp=drivesdk" TargetMode="External"/><Relationship Id="rId2305" Type="http://schemas.openxmlformats.org/officeDocument/2006/relationships/hyperlink" Target="https://drive.google.com/file/d/1yHD_X4W7fLNjPrkn11Gu0-mHGcNqrpws/view?usp=drivesdk" TargetMode="External"/><Relationship Id="rId2306" Type="http://schemas.openxmlformats.org/officeDocument/2006/relationships/hyperlink" Target="https://drive.google.com/file/d/1BbeoZ9CdBUXQMwPbOQkLBdsayafNFSX2/view?usp=drivesdk" TargetMode="External"/><Relationship Id="rId2307" Type="http://schemas.openxmlformats.org/officeDocument/2006/relationships/hyperlink" Target="https://drive.google.com/file/d/1DQ-5qEEOtHAV_EO0dtcKuZKTfy6PHQQl/view?usp=drivesdk" TargetMode="External"/><Relationship Id="rId2308" Type="http://schemas.openxmlformats.org/officeDocument/2006/relationships/hyperlink" Target="https://drive.google.com/file/d/1VjQnWh7tIM7zl21GEg_LipSiXaJr91Ht/view?usp=drivesdk" TargetMode="External"/><Relationship Id="rId2309" Type="http://schemas.openxmlformats.org/officeDocument/2006/relationships/hyperlink" Target="https://drive.google.com/file/d/1KgVy8pDNXw_rUPEflxR0eTSRI8bSGPLS/view?usp=drivesdk" TargetMode="External"/><Relationship Id="rId2300" Type="http://schemas.openxmlformats.org/officeDocument/2006/relationships/hyperlink" Target="https://drive.google.com/file/d/1n72rgjSW6FtAclFquHlO8O2BBvlTnJas/view?usp=drivesdk" TargetMode="External"/><Relationship Id="rId2301" Type="http://schemas.openxmlformats.org/officeDocument/2006/relationships/hyperlink" Target="https://drive.google.com/file/d/1eLY3wQhNqme2S7a_tXRX4gHwGifvXW1x/view?usp=drivesdk" TargetMode="External"/><Relationship Id="rId2324" Type="http://schemas.openxmlformats.org/officeDocument/2006/relationships/hyperlink" Target="https://drive.google.com/file/d/11sSauXb0HoVRgYDG9CnOlMBheFEjk0NQ/view?usp=drivesdk" TargetMode="External"/><Relationship Id="rId2325" Type="http://schemas.openxmlformats.org/officeDocument/2006/relationships/hyperlink" Target="https://drive.google.com/file/d/1aDSm4Lq4K8IFN4JH8XXWURoEKbUjjmL3/view?usp=drivesdk" TargetMode="External"/><Relationship Id="rId2326" Type="http://schemas.openxmlformats.org/officeDocument/2006/relationships/hyperlink" Target="https://drive.google.com/file/d/1DOLllL6R7032IvCSzFDDyxUuY_nU2qkX/view?usp=drivesdk" TargetMode="External"/><Relationship Id="rId2327" Type="http://schemas.openxmlformats.org/officeDocument/2006/relationships/hyperlink" Target="https://drive.google.com/file/d/1wDNXb0olz39__EV_LKeVH7NGHiDMCeB6/view?usp=drivesdk" TargetMode="External"/><Relationship Id="rId2328" Type="http://schemas.openxmlformats.org/officeDocument/2006/relationships/hyperlink" Target="https://drive.google.com/file/d/1_GSFYpdpPE9KlDDSJISHSbkxPaGiv90y/view?usp=drivesdk" TargetMode="External"/><Relationship Id="rId2329" Type="http://schemas.openxmlformats.org/officeDocument/2006/relationships/hyperlink" Target="https://drive.google.com/file/d/1CufoZHl_KItNfmOr5x_-4R-WsAKrS65V/view?usp=drivesdk" TargetMode="External"/><Relationship Id="rId2320" Type="http://schemas.openxmlformats.org/officeDocument/2006/relationships/hyperlink" Target="https://drive.google.com/file/d/1AnxK02a5BeBo9dA5i4f_u2An2ZuJqRrr/view?usp=drivesdk" TargetMode="External"/><Relationship Id="rId2321" Type="http://schemas.openxmlformats.org/officeDocument/2006/relationships/hyperlink" Target="https://drive.google.com/file/d/1gPKErZn0U75GIXRc3TyDKhjO1YYEA8-a/view?usp=drivesdk" TargetMode="External"/><Relationship Id="rId2322" Type="http://schemas.openxmlformats.org/officeDocument/2006/relationships/hyperlink" Target="https://drive.google.com/file/d/1T3Rn1Ki7p7o8u_ViHHHYvafHFmjnylcx/view?usp=drivesdk" TargetMode="External"/><Relationship Id="rId2323" Type="http://schemas.openxmlformats.org/officeDocument/2006/relationships/hyperlink" Target="https://drive.google.com/file/d/1hWfokltwBkoqHFEcC6Y6_dIRzbc3xn2Q/view?usp=drivesdk" TargetMode="External"/><Relationship Id="rId2313" Type="http://schemas.openxmlformats.org/officeDocument/2006/relationships/hyperlink" Target="https://drive.google.com/file/d/1p1O3cA89Rortn-b4c3if2MEMXd31m4nv/view?usp=drivesdk" TargetMode="External"/><Relationship Id="rId2314" Type="http://schemas.openxmlformats.org/officeDocument/2006/relationships/hyperlink" Target="https://drive.google.com/file/d/1GUMHnYj_hycM2gMFNTbvEGwdonZHVaEU/view?usp=drivesdk" TargetMode="External"/><Relationship Id="rId2315" Type="http://schemas.openxmlformats.org/officeDocument/2006/relationships/hyperlink" Target="https://drive.google.com/file/d/105cRk7vC72JK1EA9WyGiYPQkLW7C53Ad/view?usp=drivesdk" TargetMode="External"/><Relationship Id="rId2316" Type="http://schemas.openxmlformats.org/officeDocument/2006/relationships/hyperlink" Target="https://drive.google.com/file/d/1AEIAMNY49STOE6ElNt-b8Hq1Zx5-39DC/view?usp=drivesdk" TargetMode="External"/><Relationship Id="rId2317" Type="http://schemas.openxmlformats.org/officeDocument/2006/relationships/hyperlink" Target="https://drive.google.com/file/d/1BktRBxUCABNKOmBS08ZeWLX5NwbuQmVb/view?usp=drivesdk" TargetMode="External"/><Relationship Id="rId2318" Type="http://schemas.openxmlformats.org/officeDocument/2006/relationships/hyperlink" Target="https://drive.google.com/file/d/1b2FC_ZxV315l7N6zoTHVU2AgAr7SbyXB/view?usp=drivesdk" TargetMode="External"/><Relationship Id="rId2319" Type="http://schemas.openxmlformats.org/officeDocument/2006/relationships/hyperlink" Target="https://drive.google.com/file/d/17yYMWhyDAG179mIfO09X_DXEZMxaYLjP/view?usp=drivesdk" TargetMode="External"/><Relationship Id="rId2310" Type="http://schemas.openxmlformats.org/officeDocument/2006/relationships/hyperlink" Target="https://drive.google.com/file/d/1j22rPSmrajVUMaZJ7ZQ_3oBwSfmIAktN/view?usp=drivesdk" TargetMode="External"/><Relationship Id="rId2311" Type="http://schemas.openxmlformats.org/officeDocument/2006/relationships/hyperlink" Target="https://drive.google.com/file/d/1n2AFbrWCoSyUJoEu2sdAqSUYEEqLi3-i/view?usp=drivesdk" TargetMode="External"/><Relationship Id="rId2312" Type="http://schemas.openxmlformats.org/officeDocument/2006/relationships/hyperlink" Target="https://drive.google.com/file/d/1egXsfHxw3enkl4JvCEY0lfs0BTX1O2u3/view?usp=drivesdk" TargetMode="External"/><Relationship Id="rId1895" Type="http://schemas.openxmlformats.org/officeDocument/2006/relationships/hyperlink" Target="https://drive.google.com/file/d/10Ld1Nivm3OIC43nW0JIiWZhrLO6OXhBr/view?usp=drivesdk" TargetMode="External"/><Relationship Id="rId1896" Type="http://schemas.openxmlformats.org/officeDocument/2006/relationships/hyperlink" Target="https://drive.google.com/file/d/1enJo63drmDH3LiCKXFS8g3-psbOxwDuR/view?usp=drivesdk" TargetMode="External"/><Relationship Id="rId1897" Type="http://schemas.openxmlformats.org/officeDocument/2006/relationships/hyperlink" Target="https://drive.google.com/file/d/14s_w3a6gZTtw0E26e1AJ654qkObMia4e/view?usp=drivesdk" TargetMode="External"/><Relationship Id="rId1898" Type="http://schemas.openxmlformats.org/officeDocument/2006/relationships/hyperlink" Target="https://drive.google.com/file/d/1kVH_VKOGojuQbivdjZ7Is2SblWIFs0M7/view?usp=drivesdk" TargetMode="External"/><Relationship Id="rId1899" Type="http://schemas.openxmlformats.org/officeDocument/2006/relationships/hyperlink" Target="https://drive.google.com/file/d/1p6gI2cN5UJ165JXGw5A-NDRQ1yEvL2O-/view?usp=drivesdk" TargetMode="External"/><Relationship Id="rId1890" Type="http://schemas.openxmlformats.org/officeDocument/2006/relationships/hyperlink" Target="https://drive.google.com/file/d/1gp-1MicqKg7Iri7W_3LdqykLKrrOTgI4/view?usp=drivesdk" TargetMode="External"/><Relationship Id="rId1891" Type="http://schemas.openxmlformats.org/officeDocument/2006/relationships/hyperlink" Target="https://drive.google.com/file/d/17kiDPObhzV5Il1PydikjPEZC1kqKaML2/view?usp=drivesdk" TargetMode="External"/><Relationship Id="rId1892" Type="http://schemas.openxmlformats.org/officeDocument/2006/relationships/hyperlink" Target="https://drive.google.com/file/d/131RKu4fsqV-7PMeG8SQAM6g-0HeDYvmM/view?usp=drivesdk" TargetMode="External"/><Relationship Id="rId1893" Type="http://schemas.openxmlformats.org/officeDocument/2006/relationships/hyperlink" Target="https://drive.google.com/file/d/1bP7XuC-i8pHafhrjZL7LqwnyOo_nYb1Z/view?usp=drivesdk" TargetMode="External"/><Relationship Id="rId1894" Type="http://schemas.openxmlformats.org/officeDocument/2006/relationships/hyperlink" Target="https://drive.google.com/file/d/1Ls7enSwQEn27qHRCH_5Coj2XrGQZjobj/view?usp=drivesdk" TargetMode="External"/><Relationship Id="rId1884" Type="http://schemas.openxmlformats.org/officeDocument/2006/relationships/hyperlink" Target="https://drive.google.com/file/d/1BC-oHAJXZR8gA58TQ6CMLhGk49j_kbel/view?usp=drivesdk" TargetMode="External"/><Relationship Id="rId1885" Type="http://schemas.openxmlformats.org/officeDocument/2006/relationships/hyperlink" Target="https://drive.google.com/file/d/1dmnYF_LdumtlLrWnSIsUGU1iL2iYWytg/view?usp=drivesdk" TargetMode="External"/><Relationship Id="rId1886" Type="http://schemas.openxmlformats.org/officeDocument/2006/relationships/hyperlink" Target="https://drive.google.com/file/d/1RXr4niDiphL73XxS0Bwi1s8J9FebE3vQ/view?usp=drivesdk" TargetMode="External"/><Relationship Id="rId1887" Type="http://schemas.openxmlformats.org/officeDocument/2006/relationships/hyperlink" Target="https://drive.google.com/file/d/1vjTPB2e8eFUfMpUaaQIq0i5OQfJ_VGgE/view?usp=drivesdk" TargetMode="External"/><Relationship Id="rId1888" Type="http://schemas.openxmlformats.org/officeDocument/2006/relationships/hyperlink" Target="https://drive.google.com/file/d/1P2zn4PcN0aqLYF2XBELOAc2yrRgjp1ds/view?usp=drivesdk" TargetMode="External"/><Relationship Id="rId1889" Type="http://schemas.openxmlformats.org/officeDocument/2006/relationships/hyperlink" Target="https://drive.google.com/file/d/14awjn7KavtlsGCWS_CDu13NW9TkedTNM/view?usp=drivesdk" TargetMode="External"/><Relationship Id="rId1880" Type="http://schemas.openxmlformats.org/officeDocument/2006/relationships/hyperlink" Target="https://drive.google.com/file/d/1T6hsnIKF27lKap8NPnTMuBaw-W9pLzdm/view?usp=drivesdk" TargetMode="External"/><Relationship Id="rId1881" Type="http://schemas.openxmlformats.org/officeDocument/2006/relationships/hyperlink" Target="https://drive.google.com/file/d/1ew0OSVU876rPzVsDvpN47BF_OOdkLKHm/view?usp=drivesdk" TargetMode="External"/><Relationship Id="rId1882" Type="http://schemas.openxmlformats.org/officeDocument/2006/relationships/hyperlink" Target="https://drive.google.com/file/d/1vWIai5r3XTGViLrUpJz9c7jALgaW6Fv0/view?usp=drivesdk" TargetMode="External"/><Relationship Id="rId1883" Type="http://schemas.openxmlformats.org/officeDocument/2006/relationships/hyperlink" Target="https://drive.google.com/file/d/1LFgNyzLqTELlP9tfS2pwZ6Egg431WCHQ/view?usp=drivesdk" TargetMode="External"/><Relationship Id="rId1059" Type="http://schemas.openxmlformats.org/officeDocument/2006/relationships/hyperlink" Target="https://drive.google.com/file/d/1au2hR22GOvMeETjwJ3lTlqjcWaBvzEum/view?usp=drivesdk" TargetMode="External"/><Relationship Id="rId228" Type="http://schemas.openxmlformats.org/officeDocument/2006/relationships/hyperlink" Target="https://drive.google.com/file/d/1A1NrbydZbzUgqByAukhw8E42FsMwmfff/view?usp=drivesdk" TargetMode="External"/><Relationship Id="rId227" Type="http://schemas.openxmlformats.org/officeDocument/2006/relationships/hyperlink" Target="https://drive.google.com/file/d/1h54hpfovSs66l_4lJ3Vlod4fbIpwRZQ8/view?usp=drivesdk" TargetMode="External"/><Relationship Id="rId226" Type="http://schemas.openxmlformats.org/officeDocument/2006/relationships/hyperlink" Target="https://drive.google.com/file/d/1Y1H6PG4OrpSbuYF3C1qofQDrfY3s9t9C/view?usp=drivesdk" TargetMode="External"/><Relationship Id="rId225" Type="http://schemas.openxmlformats.org/officeDocument/2006/relationships/hyperlink" Target="https://drive.google.com/file/d/1qlPCe9ADeBK915qP8g94FUQ_qmxSj9zL/view?usp=drivesdk" TargetMode="External"/><Relationship Id="rId2380" Type="http://schemas.openxmlformats.org/officeDocument/2006/relationships/hyperlink" Target="https://drive.google.com/file/d/1VK50exEXQ_rClong6zFoFteT2CKKkjmO/view?usp=drivesdk" TargetMode="External"/><Relationship Id="rId229" Type="http://schemas.openxmlformats.org/officeDocument/2006/relationships/hyperlink" Target="https://drive.google.com/file/d/1gdo6q4oLqJayMG9KvZM-Ra6q2gh75YI7/view?usp=drivesdk" TargetMode="External"/><Relationship Id="rId1050" Type="http://schemas.openxmlformats.org/officeDocument/2006/relationships/hyperlink" Target="https://drive.google.com/file/d/1u1b7WcdpQ093xj3P4kbtxkfZbNQToggr/view?usp=drivesdk" TargetMode="External"/><Relationship Id="rId2381" Type="http://schemas.openxmlformats.org/officeDocument/2006/relationships/hyperlink" Target="https://drive.google.com/file/d/1HOPgbT8B7cSul5cTHeEI8GnCvj5F-kiw/view?usp=drivesdk" TargetMode="External"/><Relationship Id="rId220" Type="http://schemas.openxmlformats.org/officeDocument/2006/relationships/hyperlink" Target="https://drive.google.com/file/d/18DvKoJKsn2gXDw6nuOtq9etZ2s75TH_F/view?usp=drivesdk" TargetMode="External"/><Relationship Id="rId1051" Type="http://schemas.openxmlformats.org/officeDocument/2006/relationships/hyperlink" Target="https://drive.google.com/file/d/1PpT_-ZbMQ_UCSJ9H796om0Jjm1kvQ4Ai/view?usp=drivesdk" TargetMode="External"/><Relationship Id="rId2382" Type="http://schemas.openxmlformats.org/officeDocument/2006/relationships/hyperlink" Target="https://drive.google.com/file/d/1MkAewK7ChXvXFt_yHeQBeosTp7ozsocw/view?usp=drivesdk" TargetMode="External"/><Relationship Id="rId1052" Type="http://schemas.openxmlformats.org/officeDocument/2006/relationships/hyperlink" Target="https://drive.google.com/file/d/1CbG1VOBApKmxZL6eX8yUgVdTUMTfuwuS/view?usp=drivesdk" TargetMode="External"/><Relationship Id="rId2383" Type="http://schemas.openxmlformats.org/officeDocument/2006/relationships/hyperlink" Target="https://drive.google.com/file/d/1-nd1hGa7j_Vwr7C63vLyw8Doq1Jw9jdo/view?usp=drivesdk" TargetMode="External"/><Relationship Id="rId1053" Type="http://schemas.openxmlformats.org/officeDocument/2006/relationships/hyperlink" Target="https://drive.google.com/file/d/1yKVtmrrokbnG8vYzIP64Hzag1IRdVdz4/view?usp=drivesdk" TargetMode="External"/><Relationship Id="rId2384" Type="http://schemas.openxmlformats.org/officeDocument/2006/relationships/hyperlink" Target="https://drive.google.com/file/d/10y7q496AX6_0sM8VYpwXFE_CfW3qWVER/view?usp=drivesdk" TargetMode="External"/><Relationship Id="rId1054" Type="http://schemas.openxmlformats.org/officeDocument/2006/relationships/hyperlink" Target="https://drive.google.com/file/d/1lxCGafMDrYAsyUwujfL4sNxOpaj27_ZL/view?usp=drivesdk" TargetMode="External"/><Relationship Id="rId2385" Type="http://schemas.openxmlformats.org/officeDocument/2006/relationships/hyperlink" Target="https://drive.google.com/file/d/1WGpgshHGpD4awyCYpmOwaF0Lo9g6Tii3/view?usp=drivesdk" TargetMode="External"/><Relationship Id="rId224" Type="http://schemas.openxmlformats.org/officeDocument/2006/relationships/hyperlink" Target="https://drive.google.com/file/d/18ygOQ-rY83IljPfQwW92IIDLchJxkCH5/view?usp=drivesdk" TargetMode="External"/><Relationship Id="rId1055" Type="http://schemas.openxmlformats.org/officeDocument/2006/relationships/hyperlink" Target="https://drive.google.com/file/d/13MA74eS7DrujLk_XxKEwnhT26DlnYs97/view?usp=drivesdk" TargetMode="External"/><Relationship Id="rId2386" Type="http://schemas.openxmlformats.org/officeDocument/2006/relationships/hyperlink" Target="https://drive.google.com/file/d/1uk4nyW4cAjESveKk9dlxcAUonbl9IHNU/view?usp=drivesdk" TargetMode="External"/><Relationship Id="rId223" Type="http://schemas.openxmlformats.org/officeDocument/2006/relationships/hyperlink" Target="https://drive.google.com/file/d/1ALQ4n7baIshmeSLYutAM0bEOCABcKazK/view?usp=drivesdk" TargetMode="External"/><Relationship Id="rId1056" Type="http://schemas.openxmlformats.org/officeDocument/2006/relationships/hyperlink" Target="https://drive.google.com/file/d/1r8elKgOPwwO_4J-4uUv7we9zsgWV58SW/view?usp=drivesdk" TargetMode="External"/><Relationship Id="rId2387" Type="http://schemas.openxmlformats.org/officeDocument/2006/relationships/hyperlink" Target="https://drive.google.com/file/d/1nonM8jExC1mVvcGqlH7dSp0-DAzLBLtm/view?usp=drivesdk" TargetMode="External"/><Relationship Id="rId222" Type="http://schemas.openxmlformats.org/officeDocument/2006/relationships/hyperlink" Target="https://drive.google.com/file/d/1HsW-lUSPFaIpISHQ1bNk6CKMtH3z9rau/view?usp=drivesdk" TargetMode="External"/><Relationship Id="rId1057" Type="http://schemas.openxmlformats.org/officeDocument/2006/relationships/hyperlink" Target="https://drive.google.com/file/d/1r5DhKWjYUvxIKeRhA9vdGXw0vBkuFsPC/view?usp=drivesdk" TargetMode="External"/><Relationship Id="rId2388" Type="http://schemas.openxmlformats.org/officeDocument/2006/relationships/hyperlink" Target="https://drive.google.com/file/d/1G_aU3PGCjrrMgJwOfzq2w1nbmT82GsuJ/view?usp=drivesdk" TargetMode="External"/><Relationship Id="rId221" Type="http://schemas.openxmlformats.org/officeDocument/2006/relationships/hyperlink" Target="https://drive.google.com/file/d/1v7Vj2MNAMK5uPNGRV1KZ3tXFh60hjd1R/view?usp=drivesdk" TargetMode="External"/><Relationship Id="rId1058" Type="http://schemas.openxmlformats.org/officeDocument/2006/relationships/hyperlink" Target="https://drive.google.com/file/d/1wsPvmROGursS4XKsLxJycBv3ribXTR4w/view?usp=drivesdk" TargetMode="External"/><Relationship Id="rId2389" Type="http://schemas.openxmlformats.org/officeDocument/2006/relationships/hyperlink" Target="https://drive.google.com/file/d/1X_Hzp8yt2P-QO2WO8iH4EPgoVRh7R4xM/view?usp=drivesdk" TargetMode="External"/><Relationship Id="rId1048" Type="http://schemas.openxmlformats.org/officeDocument/2006/relationships/hyperlink" Target="https://drive.google.com/file/d/17ketAgQS20_F9LvYc05suSn063Yk2r0z/view?usp=drivesdk" TargetMode="External"/><Relationship Id="rId2379" Type="http://schemas.openxmlformats.org/officeDocument/2006/relationships/hyperlink" Target="https://drive.google.com/file/d/1CjT1O6wWYuXyGwX2IDXgjfNdv5kWTW3m/view?usp=drivesdk" TargetMode="External"/><Relationship Id="rId1049" Type="http://schemas.openxmlformats.org/officeDocument/2006/relationships/hyperlink" Target="https://drive.google.com/file/d/1_KL9OSscMIfIh3Xklw7COJgoijUC206n/view?usp=drivesdk" TargetMode="External"/><Relationship Id="rId217" Type="http://schemas.openxmlformats.org/officeDocument/2006/relationships/hyperlink" Target="https://drive.google.com/file/d/1vlPejVKXrBFAGx-P8yY0Ztp9l9WkOdhq/view?usp=drivesdk" TargetMode="External"/><Relationship Id="rId216" Type="http://schemas.openxmlformats.org/officeDocument/2006/relationships/hyperlink" Target="https://drive.google.com/file/d/1Wx9nnOshJmZiU0ZAc_mK-LDQ0fTaXZ4-/view?usp=drivesdk" TargetMode="External"/><Relationship Id="rId215" Type="http://schemas.openxmlformats.org/officeDocument/2006/relationships/hyperlink" Target="https://drive.google.com/file/d/1mqfieRzIaSrJwZCB_oYuduPCumYC7ZJA/view?usp=drivesdk" TargetMode="External"/><Relationship Id="rId214" Type="http://schemas.openxmlformats.org/officeDocument/2006/relationships/hyperlink" Target="https://drive.google.com/file/d/1cCsdcuDqEK1RM4UOHJ35AM9kuQBd8FGC/view?usp=drivesdk" TargetMode="External"/><Relationship Id="rId219" Type="http://schemas.openxmlformats.org/officeDocument/2006/relationships/hyperlink" Target="https://drive.google.com/file/d/1ArvcjWYbmdELkNm71z6v-ldNfaTGXoPi/view?usp=drivesdk" TargetMode="External"/><Relationship Id="rId218" Type="http://schemas.openxmlformats.org/officeDocument/2006/relationships/hyperlink" Target="https://drive.google.com/file/d/1BspUNR43VwLEIl3kKLzg-Hg4FUYnhJM5/view?usp=drivesdk" TargetMode="External"/><Relationship Id="rId2370" Type="http://schemas.openxmlformats.org/officeDocument/2006/relationships/hyperlink" Target="https://drive.google.com/file/d/117IKlIHBXRWO7KM1helymQPvsGoEIXdX/view?usp=drivesdk" TargetMode="External"/><Relationship Id="rId1040" Type="http://schemas.openxmlformats.org/officeDocument/2006/relationships/hyperlink" Target="https://drive.google.com/file/d/1ChnTp3WwnI7GsVilMB_0xUxJVRcijITh/view?usp=drivesdk" TargetMode="External"/><Relationship Id="rId2371" Type="http://schemas.openxmlformats.org/officeDocument/2006/relationships/hyperlink" Target="https://drive.google.com/file/d/18nULESXZN8TdVjSkyh5ultgqH2EvBSm0/view?usp=drivesdk" TargetMode="External"/><Relationship Id="rId1041" Type="http://schemas.openxmlformats.org/officeDocument/2006/relationships/hyperlink" Target="https://drive.google.com/file/d/1xFzDm4S7_QQw1esjWmqi7nhg48Yqym3N/view?usp=drivesdk" TargetMode="External"/><Relationship Id="rId2372" Type="http://schemas.openxmlformats.org/officeDocument/2006/relationships/hyperlink" Target="https://drive.google.com/file/d/1mWjj8mxrG8UD8YXr2nZ-cGzIZBtUwLal/view?usp=drivesdk" TargetMode="External"/><Relationship Id="rId1042" Type="http://schemas.openxmlformats.org/officeDocument/2006/relationships/hyperlink" Target="https://drive.google.com/file/d/1wwnFr3pqPX_LothYiI13vAF9BHLBTgr5/view?usp=drivesdk" TargetMode="External"/><Relationship Id="rId2373" Type="http://schemas.openxmlformats.org/officeDocument/2006/relationships/hyperlink" Target="https://drive.google.com/file/d/1RLxYB-xp9gCuylzG8fMEpa5rGt6OdoMh/view?usp=drivesdk" TargetMode="External"/><Relationship Id="rId1043" Type="http://schemas.openxmlformats.org/officeDocument/2006/relationships/hyperlink" Target="https://drive.google.com/file/d/1AqmI6Zq6KP_U_Vn6pbBLW6XQLM1e2E2G/view?usp=drivesdk" TargetMode="External"/><Relationship Id="rId2374" Type="http://schemas.openxmlformats.org/officeDocument/2006/relationships/hyperlink" Target="https://drive.google.com/file/d/1_UEC3DvYLPby3ewaxAHguC5Mm0ainire/view?usp=drivesdk" TargetMode="External"/><Relationship Id="rId213" Type="http://schemas.openxmlformats.org/officeDocument/2006/relationships/hyperlink" Target="https://drive.google.com/file/d/1xZTi8qLAjOhZ0qUqMdKPFnSablZk1L8L/view?usp=drivesdk" TargetMode="External"/><Relationship Id="rId1044" Type="http://schemas.openxmlformats.org/officeDocument/2006/relationships/hyperlink" Target="https://drive.google.com/file/d/1Ugkth0to_cNGmZpi0M4S3HNxgArz_XtF/view?usp=drivesdk" TargetMode="External"/><Relationship Id="rId2375" Type="http://schemas.openxmlformats.org/officeDocument/2006/relationships/hyperlink" Target="https://drive.google.com/file/d/1OF9OzNZ0RezTr91hWpWHMHWrXH9SCFAS/view?usp=drivesdk" TargetMode="External"/><Relationship Id="rId212" Type="http://schemas.openxmlformats.org/officeDocument/2006/relationships/hyperlink" Target="https://drive.google.com/file/d/1dO_kjC_SMDFNOSMuYGv4k7gRLUnP3Z7x/view?usp=drivesdk" TargetMode="External"/><Relationship Id="rId1045" Type="http://schemas.openxmlformats.org/officeDocument/2006/relationships/hyperlink" Target="https://drive.google.com/file/d/1P_5NDbaodkN-AqumONn0hzTVzSTSM4y7/view?usp=drivesdk" TargetMode="External"/><Relationship Id="rId2376" Type="http://schemas.openxmlformats.org/officeDocument/2006/relationships/hyperlink" Target="https://drive.google.com/file/d/1PBwDmwqcYcLTkNyF1ED4xCFTmb4mHrLr/view?usp=drivesdk" TargetMode="External"/><Relationship Id="rId211" Type="http://schemas.openxmlformats.org/officeDocument/2006/relationships/hyperlink" Target="https://drive.google.com/file/d/1rVvBc3Fu9sdVEhvzeI8eUh0ER3yAEr9i/view?usp=drivesdk" TargetMode="External"/><Relationship Id="rId1046" Type="http://schemas.openxmlformats.org/officeDocument/2006/relationships/hyperlink" Target="https://drive.google.com/file/d/1z_BdgeDAlPoyJc0uEwv-1ASySLTcgiv-/view?usp=drivesdk" TargetMode="External"/><Relationship Id="rId2377" Type="http://schemas.openxmlformats.org/officeDocument/2006/relationships/hyperlink" Target="https://drive.google.com/file/d/1zdQKRoaKTgqYFpQsFj5QvQQ6FD0ed3fh/view?usp=drivesdk" TargetMode="External"/><Relationship Id="rId210" Type="http://schemas.openxmlformats.org/officeDocument/2006/relationships/hyperlink" Target="https://drive.google.com/file/d/1AjUMsnBEXRNvQzM0StOqaOiz8_oZbRcI/view?usp=drivesdk" TargetMode="External"/><Relationship Id="rId1047" Type="http://schemas.openxmlformats.org/officeDocument/2006/relationships/hyperlink" Target="https://drive.google.com/file/d/1pfk6NhLqZUxSC72HE5zA09nmkXL8bh3f/view?usp=drivesdk" TargetMode="External"/><Relationship Id="rId2378" Type="http://schemas.openxmlformats.org/officeDocument/2006/relationships/hyperlink" Target="https://drive.google.com/file/d/1Y64s8GHxNrRvDcvruC4sJnxL8xzdZcO-/view?usp=drivesdk" TargetMode="External"/><Relationship Id="rId249" Type="http://schemas.openxmlformats.org/officeDocument/2006/relationships/hyperlink" Target="https://drive.google.com/file/d/1P6__eckbdkv4HtK-z5a0UTlnCMY2vp5O/view?usp=drivesdk" TargetMode="External"/><Relationship Id="rId248" Type="http://schemas.openxmlformats.org/officeDocument/2006/relationships/hyperlink" Target="https://drive.google.com/file/d/1-sPLPEF4sp3j_E7-v4v7o18jBkSnNWAQ/view?usp=drivesdk" TargetMode="External"/><Relationship Id="rId247" Type="http://schemas.openxmlformats.org/officeDocument/2006/relationships/hyperlink" Target="https://drive.google.com/file/d/1LUKsOQ0PBWeX-dWwj0M26kBRPbnX3UdU/view?usp=drivesdk" TargetMode="External"/><Relationship Id="rId1070" Type="http://schemas.openxmlformats.org/officeDocument/2006/relationships/hyperlink" Target="https://drive.google.com/file/d/1bp_2nclYAxMrWWnYQbE2xcFn9tbXNZYk/view?usp=drivesdk" TargetMode="External"/><Relationship Id="rId1071" Type="http://schemas.openxmlformats.org/officeDocument/2006/relationships/hyperlink" Target="https://drive.google.com/file/d/1G50bi0M3DPOF0ssclFtSLrS2Iko73KC5/view?usp=drivesdk" TargetMode="External"/><Relationship Id="rId1072" Type="http://schemas.openxmlformats.org/officeDocument/2006/relationships/hyperlink" Target="https://drive.google.com/file/d/1Zg2miz5ZfGSxRDRdlvEB-3_GocuUdLig/view?usp=drivesdk" TargetMode="External"/><Relationship Id="rId242" Type="http://schemas.openxmlformats.org/officeDocument/2006/relationships/hyperlink" Target="https://drive.google.com/file/d/1nYYa0gLLgCvS_g2hsEjrlxwNp7S-dCCR/view?usp=drivesdk" TargetMode="External"/><Relationship Id="rId1073" Type="http://schemas.openxmlformats.org/officeDocument/2006/relationships/hyperlink" Target="https://drive.google.com/file/d/1_XYq2gzNMtOz4EDVMTniazopvckfGzjJ/view?usp=drivesdk" TargetMode="External"/><Relationship Id="rId241" Type="http://schemas.openxmlformats.org/officeDocument/2006/relationships/hyperlink" Target="https://drive.google.com/file/d/1fcLB4lAMMhIYG5_xSfIxQZGpuZJ18Sdr/view?usp=drivesdk" TargetMode="External"/><Relationship Id="rId1074" Type="http://schemas.openxmlformats.org/officeDocument/2006/relationships/hyperlink" Target="https://drive.google.com/file/d/1j_qr6psHEYuHUR2RWKIYTovcBcRUsxnq/view?usp=drivesdk" TargetMode="External"/><Relationship Id="rId240" Type="http://schemas.openxmlformats.org/officeDocument/2006/relationships/hyperlink" Target="https://drive.google.com/file/d/17CimGUvhLJDkg1bbuFUCRcNLQJR1151z/view?usp=drivesdk" TargetMode="External"/><Relationship Id="rId1075" Type="http://schemas.openxmlformats.org/officeDocument/2006/relationships/hyperlink" Target="https://drive.google.com/file/d/1vH3DP8zfMG4shuiJCF_9y7Cw0ICOezrn/view?usp=drivesdk" TargetMode="External"/><Relationship Id="rId1076" Type="http://schemas.openxmlformats.org/officeDocument/2006/relationships/hyperlink" Target="https://drive.google.com/file/d/1BF0dJSO5c8knpLNfVVuu_sfiQjFXxYT3/view?usp=drivesdk" TargetMode="External"/><Relationship Id="rId246" Type="http://schemas.openxmlformats.org/officeDocument/2006/relationships/hyperlink" Target="https://drive.google.com/file/d/15ZZ9b0Pz3TA5Fk8pU9NM9W5STlvE7q_w/view?usp=drivesdk" TargetMode="External"/><Relationship Id="rId1077" Type="http://schemas.openxmlformats.org/officeDocument/2006/relationships/hyperlink" Target="https://drive.google.com/file/d/1CjM559EbUiNEptGp6Glgoplx3X8RjSlS/view?usp=drivesdk" TargetMode="External"/><Relationship Id="rId245" Type="http://schemas.openxmlformats.org/officeDocument/2006/relationships/hyperlink" Target="https://drive.google.com/file/d/1Jd9MsnQd6R5R3K3dP58TuRQ5p0v1jFBb/view?usp=drivesdk" TargetMode="External"/><Relationship Id="rId1078" Type="http://schemas.openxmlformats.org/officeDocument/2006/relationships/hyperlink" Target="https://drive.google.com/file/d/1YtT623psftHels9o6FSH2YcTpXR8wPzc/view?usp=drivesdk" TargetMode="External"/><Relationship Id="rId244" Type="http://schemas.openxmlformats.org/officeDocument/2006/relationships/hyperlink" Target="https://drive.google.com/file/d/1IrVsmf4IOT-xeJS2Ek22hrWc6J-o834t/view?usp=drivesdk" TargetMode="External"/><Relationship Id="rId1079" Type="http://schemas.openxmlformats.org/officeDocument/2006/relationships/hyperlink" Target="https://drive.google.com/file/d/1H1yNOpX5qYdyxL3EO7YnKSYdsCP5nedi/view?usp=drivesdk" TargetMode="External"/><Relationship Id="rId243" Type="http://schemas.openxmlformats.org/officeDocument/2006/relationships/hyperlink" Target="https://drive.google.com/file/d/1a2ZFACxecXhPcNg3kD_X6MTEHKfKYaHV/view?usp=drivesdk" TargetMode="External"/><Relationship Id="rId239" Type="http://schemas.openxmlformats.org/officeDocument/2006/relationships/hyperlink" Target="https://drive.google.com/file/d/19BYjzsMkYCiipD-HEqq4sHumZDCTO5SQ/view?usp=drivesdk" TargetMode="External"/><Relationship Id="rId238" Type="http://schemas.openxmlformats.org/officeDocument/2006/relationships/hyperlink" Target="https://drive.google.com/file/d/1l85VaWZmljVEoRZjoA3SnYrWdAKQ3t_g/view?usp=drivesdk" TargetMode="External"/><Relationship Id="rId237" Type="http://schemas.openxmlformats.org/officeDocument/2006/relationships/hyperlink" Target="https://drive.google.com/file/d/10YYe6LmJleDzaZbhagpTh80kuVCUjdAb/view?usp=drivesdk" TargetMode="External"/><Relationship Id="rId236" Type="http://schemas.openxmlformats.org/officeDocument/2006/relationships/hyperlink" Target="https://drive.google.com/file/d/1np5ztwi6l5929YXEH-UXqEmF-_fHmQKk/view?usp=drivesdk" TargetMode="External"/><Relationship Id="rId2390" Type="http://schemas.openxmlformats.org/officeDocument/2006/relationships/hyperlink" Target="https://drive.google.com/file/d/1VgMcBc_Zck2mNomOuS1CZVLBzdiV_nWC/view?usp=drivesdk" TargetMode="External"/><Relationship Id="rId1060" Type="http://schemas.openxmlformats.org/officeDocument/2006/relationships/hyperlink" Target="https://drive.google.com/file/d/1flry8FBKDxDv0ajq7hLaS4b12HuDR4Wh/view?usp=drivesdk" TargetMode="External"/><Relationship Id="rId2391" Type="http://schemas.openxmlformats.org/officeDocument/2006/relationships/hyperlink" Target="https://drive.google.com/file/d/1kVWNkPYWfpPoaNfzdmDoKO9zV0jbI67W/view?usp=drivesdk" TargetMode="External"/><Relationship Id="rId1061" Type="http://schemas.openxmlformats.org/officeDocument/2006/relationships/hyperlink" Target="https://drive.google.com/file/d/1kxPXoPxh1B_dQ6wBIvAGOLqJkpzkqj_N/view?usp=drivesdk" TargetMode="External"/><Relationship Id="rId2392" Type="http://schemas.openxmlformats.org/officeDocument/2006/relationships/hyperlink" Target="https://drive.google.com/file/d/1O7HDXxuStHcKBDqiToq3TS5-_eHNMncg/view?usp=drivesdk" TargetMode="External"/><Relationship Id="rId231" Type="http://schemas.openxmlformats.org/officeDocument/2006/relationships/hyperlink" Target="https://drive.google.com/file/d/1IarGUyhe26rloCsHHJ6hi0st2zvT2W-O/view?usp=drivesdk" TargetMode="External"/><Relationship Id="rId1062" Type="http://schemas.openxmlformats.org/officeDocument/2006/relationships/hyperlink" Target="https://drive.google.com/file/d/10gteTCzwgF2BcALs53_sWbQIe6tWd8-O/view?usp=drivesdk" TargetMode="External"/><Relationship Id="rId2393" Type="http://schemas.openxmlformats.org/officeDocument/2006/relationships/hyperlink" Target="https://drive.google.com/file/d/1noF0-gFXnE925nL0unfvsQ-ANlXov76A/view?usp=drivesdk" TargetMode="External"/><Relationship Id="rId230" Type="http://schemas.openxmlformats.org/officeDocument/2006/relationships/hyperlink" Target="https://drive.google.com/file/d/12flLqLGd4MgrfZp57eQ4JzXnpfR1XeUk/view?usp=drivesdk" TargetMode="External"/><Relationship Id="rId1063" Type="http://schemas.openxmlformats.org/officeDocument/2006/relationships/hyperlink" Target="https://drive.google.com/file/d/1qpBiKLV2mnRoKRlWX9cFNYnviuEXxigI/view?usp=drivesdk" TargetMode="External"/><Relationship Id="rId2394" Type="http://schemas.openxmlformats.org/officeDocument/2006/relationships/hyperlink" Target="https://drive.google.com/file/d/1vWGgcW4pZ3FoyQKsaRTBIF-qNoze2NOS/view?usp=drivesdk" TargetMode="External"/><Relationship Id="rId1064" Type="http://schemas.openxmlformats.org/officeDocument/2006/relationships/hyperlink" Target="https://drive.google.com/file/d/1lTLmVi8ZhvcuffGz2MuWL8Db2NqCAEPn/view?usp=drivesdk" TargetMode="External"/><Relationship Id="rId2395" Type="http://schemas.openxmlformats.org/officeDocument/2006/relationships/hyperlink" Target="https://drive.google.com/file/d/1nawDDcezi9BHAhC1PTTKlP-I0li92yxh/view?usp=drivesdk" TargetMode="External"/><Relationship Id="rId1065" Type="http://schemas.openxmlformats.org/officeDocument/2006/relationships/hyperlink" Target="https://drive.google.com/file/d/1nB-Z2mpxjqhJEcov3ZXKmYq-qUKUV3HO/view?usp=drivesdk" TargetMode="External"/><Relationship Id="rId2396" Type="http://schemas.openxmlformats.org/officeDocument/2006/relationships/hyperlink" Target="https://drive.google.com/file/d/1-XMlXEjoIspJ3kqVPF-O6pr1PklAU4DF/view?usp=drivesdk" TargetMode="External"/><Relationship Id="rId235" Type="http://schemas.openxmlformats.org/officeDocument/2006/relationships/hyperlink" Target="https://drive.google.com/file/d/1SEWwRrJP6-utCbKzbaL1rvBsgZwsbQOA/view?usp=drivesdk" TargetMode="External"/><Relationship Id="rId1066" Type="http://schemas.openxmlformats.org/officeDocument/2006/relationships/hyperlink" Target="https://drive.google.com/file/d/1vok2QQdbGU6HD1pVNR7T1Kro746lt03X/view?usp=drivesdk" TargetMode="External"/><Relationship Id="rId2397" Type="http://schemas.openxmlformats.org/officeDocument/2006/relationships/hyperlink" Target="https://drive.google.com/file/d/1iPMC-k9xrxfHtNZFhdKSSGpPAPPmY3J4/view?usp=drivesdk" TargetMode="External"/><Relationship Id="rId234" Type="http://schemas.openxmlformats.org/officeDocument/2006/relationships/hyperlink" Target="https://drive.google.com/file/d/1pmtZO6fryY1ys1wSrzl-XXT3AbyzViZx/view?usp=drivesdk" TargetMode="External"/><Relationship Id="rId1067" Type="http://schemas.openxmlformats.org/officeDocument/2006/relationships/hyperlink" Target="https://drive.google.com/file/d/1i5P9CYU3PwRpo0jr51XfLdPcCDi36gaV/view?usp=drivesdk" TargetMode="External"/><Relationship Id="rId2398" Type="http://schemas.openxmlformats.org/officeDocument/2006/relationships/hyperlink" Target="https://drive.google.com/file/d/1KEBKYl19fq4HtJxW3DL6KczxjYJ94hp2/view?usp=drivesdk" TargetMode="External"/><Relationship Id="rId233" Type="http://schemas.openxmlformats.org/officeDocument/2006/relationships/hyperlink" Target="https://drive.google.com/file/d/15JdcgriZxS3q0ijJlGm5-aEN1XxmveSb/view?usp=drivesdk" TargetMode="External"/><Relationship Id="rId1068" Type="http://schemas.openxmlformats.org/officeDocument/2006/relationships/hyperlink" Target="https://drive.google.com/file/d/1jYOkQfP3TGYDwEwf1sTOwhRaEOQGrkMp/view?usp=drivesdk" TargetMode="External"/><Relationship Id="rId2399" Type="http://schemas.openxmlformats.org/officeDocument/2006/relationships/hyperlink" Target="https://drive.google.com/file/d/10xyzPhQJ8BoXAmXBEBA_mIn8qqh_KbTE/view?usp=drivesdk" TargetMode="External"/><Relationship Id="rId232" Type="http://schemas.openxmlformats.org/officeDocument/2006/relationships/hyperlink" Target="https://drive.google.com/file/d/1ztYdIKI_8jjP6NRCt3lG0WtH48DjHqDH/view?usp=drivesdk" TargetMode="External"/><Relationship Id="rId1069" Type="http://schemas.openxmlformats.org/officeDocument/2006/relationships/hyperlink" Target="https://drive.google.com/file/d/1S96rD1HxVDruOI5KJ_oKUBtEE9eHwU22/view?usp=drivesdk" TargetMode="External"/><Relationship Id="rId1015" Type="http://schemas.openxmlformats.org/officeDocument/2006/relationships/hyperlink" Target="https://drive.google.com/file/d/18l1u9WldKybMsycKcX5hDqGJIpRCJcJg/view?usp=drivesdk" TargetMode="External"/><Relationship Id="rId2346" Type="http://schemas.openxmlformats.org/officeDocument/2006/relationships/hyperlink" Target="https://drive.google.com/file/d/1tMrBtPVk07Vt3IgjI_4ese_KDvqQCuKK/view?usp=drivesdk" TargetMode="External"/><Relationship Id="rId1016" Type="http://schemas.openxmlformats.org/officeDocument/2006/relationships/hyperlink" Target="https://drive.google.com/file/d/18A-XkqCG4rLDKbmUuabq3z5jBo-_eF76/view?usp=drivesdk" TargetMode="External"/><Relationship Id="rId2347" Type="http://schemas.openxmlformats.org/officeDocument/2006/relationships/hyperlink" Target="https://drive.google.com/file/d/1GTnjtSM79S6hEZLXrpWxGtZd34NCBmBN/view?usp=drivesdk" TargetMode="External"/><Relationship Id="rId1017" Type="http://schemas.openxmlformats.org/officeDocument/2006/relationships/hyperlink" Target="https://drive.google.com/file/d/1oK-_u713Q6fX6dkgvkAlMIXsdLA243yv/view?usp=drivesdk" TargetMode="External"/><Relationship Id="rId2348" Type="http://schemas.openxmlformats.org/officeDocument/2006/relationships/hyperlink" Target="https://drive.google.com/file/d/1liYat5J_yw4yTHidCRQkdAQyTzcftC6D/view?usp=drivesdk" TargetMode="External"/><Relationship Id="rId1018" Type="http://schemas.openxmlformats.org/officeDocument/2006/relationships/hyperlink" Target="https://drive.google.com/file/d/17wiSKvjYrvXNe8RjsNZ_QkmrEGxMPxq_/view?usp=drivesdk" TargetMode="External"/><Relationship Id="rId2349" Type="http://schemas.openxmlformats.org/officeDocument/2006/relationships/hyperlink" Target="https://drive.google.com/file/d/1bbOr5sJJaSFgt-aKadq5yMvKA8ywD97U/view?usp=drivesdk" TargetMode="External"/><Relationship Id="rId1019" Type="http://schemas.openxmlformats.org/officeDocument/2006/relationships/hyperlink" Target="https://drive.google.com/file/d/1Z1rpz2vQ1UnJBGhW3MRBqbnI3-9YIE7P/view?usp=drivesdk" TargetMode="External"/><Relationship Id="rId2340" Type="http://schemas.openxmlformats.org/officeDocument/2006/relationships/hyperlink" Target="https://drive.google.com/file/d/1Z0u77Ei4pPZsjR5reXLadM9xd0tgKrac/view?usp=drivesdk" TargetMode="External"/><Relationship Id="rId1010" Type="http://schemas.openxmlformats.org/officeDocument/2006/relationships/hyperlink" Target="https://drive.google.com/file/d/1n-aH1cl_KhJ5tAKkZfGd3huJb6qDvH71/view?usp=drivesdk" TargetMode="External"/><Relationship Id="rId2341" Type="http://schemas.openxmlformats.org/officeDocument/2006/relationships/hyperlink" Target="https://drive.google.com/file/d/1OhQWWe3jm8WtNRylZvAGE-c4xHX8dswr/view?usp=drivesdk" TargetMode="External"/><Relationship Id="rId1011" Type="http://schemas.openxmlformats.org/officeDocument/2006/relationships/hyperlink" Target="https://drive.google.com/file/d/1kQS-kx1jV-RoRamFPKT5qlhq7hXEXmwX/view?usp=drivesdk" TargetMode="External"/><Relationship Id="rId2342" Type="http://schemas.openxmlformats.org/officeDocument/2006/relationships/hyperlink" Target="https://drive.google.com/file/d/10gwwst21XMDLdZDUQ3-UJKa2tLRTlO7K/view?usp=drivesdk" TargetMode="External"/><Relationship Id="rId1012" Type="http://schemas.openxmlformats.org/officeDocument/2006/relationships/hyperlink" Target="https://drive.google.com/file/d/1xUncwZ0DyBC_gphDS3a8q-bzLEZylXdj/view?usp=drivesdk" TargetMode="External"/><Relationship Id="rId2343" Type="http://schemas.openxmlformats.org/officeDocument/2006/relationships/hyperlink" Target="https://drive.google.com/file/d/18gORVnI1F3fjlDcwB6OsrshMJDerCS2r/view?usp=drivesdk" TargetMode="External"/><Relationship Id="rId1013" Type="http://schemas.openxmlformats.org/officeDocument/2006/relationships/hyperlink" Target="https://drive.google.com/file/d/12BNoLabno_WqWzR-kvInVbBatCRAfrPZ/view?usp=drivesdk" TargetMode="External"/><Relationship Id="rId2344" Type="http://schemas.openxmlformats.org/officeDocument/2006/relationships/hyperlink" Target="https://drive.google.com/file/d/17KV68RT0MMeGKz0n7gj1Dsmt7YXSfvOC/view?usp=drivesdk" TargetMode="External"/><Relationship Id="rId1014" Type="http://schemas.openxmlformats.org/officeDocument/2006/relationships/hyperlink" Target="https://drive.google.com/file/d/1MyRiEtlfJYAUVeQO0NToJp0ZjN8uffrl/view?usp=drivesdk" TargetMode="External"/><Relationship Id="rId2345" Type="http://schemas.openxmlformats.org/officeDocument/2006/relationships/hyperlink" Target="https://drive.google.com/file/d/1tNWBEIyqVAkKjP7KUoSu2t3rEj4DPo_A/view?usp=drivesdk" TargetMode="External"/><Relationship Id="rId1004" Type="http://schemas.openxmlformats.org/officeDocument/2006/relationships/hyperlink" Target="https://drive.google.com/file/d/1Q9oL16iBjr8m6fB26vJ4sk61IKjHHCIo/view?usp=drivesdk" TargetMode="External"/><Relationship Id="rId2335" Type="http://schemas.openxmlformats.org/officeDocument/2006/relationships/hyperlink" Target="https://drive.google.com/file/d/1KeSwecAaGUPly_0Khma5VYzCJyRIWBpt/view?usp=drivesdk" TargetMode="External"/><Relationship Id="rId1005" Type="http://schemas.openxmlformats.org/officeDocument/2006/relationships/hyperlink" Target="https://drive.google.com/file/d/1L9WmKWrJmdY3WhFd6IJ3w3z20Yu8p5PM/view?usp=drivesdk" TargetMode="External"/><Relationship Id="rId2336" Type="http://schemas.openxmlformats.org/officeDocument/2006/relationships/hyperlink" Target="https://drive.google.com/file/d/1zCYZDaOwE-K33Jkam-tMneBjxjoNVHza/view?usp=drivesdk" TargetMode="External"/><Relationship Id="rId1006" Type="http://schemas.openxmlformats.org/officeDocument/2006/relationships/hyperlink" Target="https://drive.google.com/file/d/1jU4WVLVIMVjLbndmd1oIglQw1NjeWuN8/view?usp=drivesdk" TargetMode="External"/><Relationship Id="rId2337" Type="http://schemas.openxmlformats.org/officeDocument/2006/relationships/hyperlink" Target="https://drive.google.com/file/d/1E9n7K_S1QjugzYn-rTEbb--ETbvudVse/view?usp=drivesdk" TargetMode="External"/><Relationship Id="rId1007" Type="http://schemas.openxmlformats.org/officeDocument/2006/relationships/hyperlink" Target="https://drive.google.com/file/d/1prx_SpmUyRZ5cDfirHGKUdutRkrszFZA/view?usp=drivesdk" TargetMode="External"/><Relationship Id="rId2338" Type="http://schemas.openxmlformats.org/officeDocument/2006/relationships/hyperlink" Target="https://drive.google.com/file/d/1ETLxNzxxAx38Kbjl_2clUvwzL5DDrTd8/view?usp=drivesdk" TargetMode="External"/><Relationship Id="rId1008" Type="http://schemas.openxmlformats.org/officeDocument/2006/relationships/hyperlink" Target="https://drive.google.com/file/d/11rfoLU9N-33GZVUpkuSdLbsksE9UUrtg/view?usp=drivesdk" TargetMode="External"/><Relationship Id="rId2339" Type="http://schemas.openxmlformats.org/officeDocument/2006/relationships/hyperlink" Target="https://drive.google.com/file/d/1fqDwT6f6uPiUgL_jMbCxBCBzksaDNMma/view?usp=drivesdk" TargetMode="External"/><Relationship Id="rId1009" Type="http://schemas.openxmlformats.org/officeDocument/2006/relationships/hyperlink" Target="https://drive.google.com/file/d/1VFDrVPJ16syKmJZ9a-IOJ8lIGkiblhZN/view?usp=drivesdk" TargetMode="External"/><Relationship Id="rId2330" Type="http://schemas.openxmlformats.org/officeDocument/2006/relationships/hyperlink" Target="https://drive.google.com/file/d/1NxbR_bwAiYFpZjIg55CMPxWtvCoOVIAQ/view?usp=drivesdk" TargetMode="External"/><Relationship Id="rId1000" Type="http://schemas.openxmlformats.org/officeDocument/2006/relationships/hyperlink" Target="https://drive.google.com/file/d/1RSHItVa-oZV7AbCQ0eh9-ehBv58e4eDc/view?usp=drivesdk" TargetMode="External"/><Relationship Id="rId2331" Type="http://schemas.openxmlformats.org/officeDocument/2006/relationships/hyperlink" Target="https://drive.google.com/file/d/15obABizUe2mVP6tTA7xfzSOU9zsFeGRP/view?usp=drivesdk" TargetMode="External"/><Relationship Id="rId1001" Type="http://schemas.openxmlformats.org/officeDocument/2006/relationships/hyperlink" Target="https://drive.google.com/file/d/1nlya6kQZ-aeXOdWln6eOPTSENrc8Tux5/view?usp=drivesdk" TargetMode="External"/><Relationship Id="rId2332" Type="http://schemas.openxmlformats.org/officeDocument/2006/relationships/hyperlink" Target="https://drive.google.com/file/d/1vGGh8iNvz5riiPFFfaYWDPoBsN1DieSC/view?usp=drivesdk" TargetMode="External"/><Relationship Id="rId1002" Type="http://schemas.openxmlformats.org/officeDocument/2006/relationships/hyperlink" Target="https://drive.google.com/file/d/1zmRYTfOS6kDGIcUEEFyIw6hwkmLbLd2C/view?usp=drivesdk" TargetMode="External"/><Relationship Id="rId2333" Type="http://schemas.openxmlformats.org/officeDocument/2006/relationships/hyperlink" Target="https://drive.google.com/file/d/1nZRWE8YtR8lD6JVTIYbN9Kn9F6IO3Tol/view?usp=drivesdk" TargetMode="External"/><Relationship Id="rId1003" Type="http://schemas.openxmlformats.org/officeDocument/2006/relationships/hyperlink" Target="https://drive.google.com/file/d/1CE9z8pHdkOjBn6Ba6fM2Ik4nyVZdmm26/view?usp=drivesdk" TargetMode="External"/><Relationship Id="rId2334" Type="http://schemas.openxmlformats.org/officeDocument/2006/relationships/hyperlink" Target="https://drive.google.com/file/d/1w5TanXJyS5YVblHirQgJO5zKr4e7CFnK/view?usp=drivesdk" TargetMode="External"/><Relationship Id="rId1037" Type="http://schemas.openxmlformats.org/officeDocument/2006/relationships/hyperlink" Target="https://drive.google.com/file/d/1EK70voCEjQThFwJv8w0XAfJnswIJGsgT/view?usp=drivesdk" TargetMode="External"/><Relationship Id="rId2368" Type="http://schemas.openxmlformats.org/officeDocument/2006/relationships/hyperlink" Target="https://drive.google.com/file/d/1v6kgKeSqXz-kIHf5HXexB2cCnGBup8pu/view?usp=drivesdk" TargetMode="External"/><Relationship Id="rId1038" Type="http://schemas.openxmlformats.org/officeDocument/2006/relationships/hyperlink" Target="https://drive.google.com/file/d/1E9vjsTCQu9mBa51YODe8l3tjx7J7jUs5/view?usp=drivesdk" TargetMode="External"/><Relationship Id="rId2369" Type="http://schemas.openxmlformats.org/officeDocument/2006/relationships/hyperlink" Target="https://drive.google.com/file/d/1_3kOREsSMo-zmS04srVes69SaYsErPmR/view?usp=drivesdk" TargetMode="External"/><Relationship Id="rId1039" Type="http://schemas.openxmlformats.org/officeDocument/2006/relationships/hyperlink" Target="https://drive.google.com/file/d/1lekgV_7d1Wb3Sleyh_r5jBNlDgkh0Qle/view?usp=drivesdk" TargetMode="External"/><Relationship Id="rId206" Type="http://schemas.openxmlformats.org/officeDocument/2006/relationships/hyperlink" Target="https://drive.google.com/file/d/1kYHTKSUebgSmnIBLn2QI_S-JmT4TCPhA/view?usp=drivesdk" TargetMode="External"/><Relationship Id="rId205" Type="http://schemas.openxmlformats.org/officeDocument/2006/relationships/hyperlink" Target="https://drive.google.com/file/d/1NJ_vZ5hNB1gJlcMx4lFyN2KWMRWqSbcN/view?usp=drivesdk" TargetMode="External"/><Relationship Id="rId204" Type="http://schemas.openxmlformats.org/officeDocument/2006/relationships/hyperlink" Target="https://drive.google.com/file/d/1aN7cgbPtNQjnedGqbDsK6hWsJMmMIOsY/view?usp=drivesdk" TargetMode="External"/><Relationship Id="rId203" Type="http://schemas.openxmlformats.org/officeDocument/2006/relationships/hyperlink" Target="https://drive.google.com/file/d/13d6QW-Q0c3SBtHbjAdWFvqP77F3ORvq2/view?usp=drivesdk" TargetMode="External"/><Relationship Id="rId209" Type="http://schemas.openxmlformats.org/officeDocument/2006/relationships/hyperlink" Target="https://drive.google.com/file/d/1oLFo0nqsBa90HAF0wK5aIjrKuY-7lJbd/view?usp=drivesdk" TargetMode="External"/><Relationship Id="rId208" Type="http://schemas.openxmlformats.org/officeDocument/2006/relationships/hyperlink" Target="https://drive.google.com/file/d/1Wxjr93hMzub3Xb8oW9GwJeHXpH01vUAi/view?usp=drivesdk" TargetMode="External"/><Relationship Id="rId207" Type="http://schemas.openxmlformats.org/officeDocument/2006/relationships/hyperlink" Target="https://drive.google.com/file/d/1q91E_uID94ULf4e5uom-N4OFOzINSqS_/view?usp=drivesdk" TargetMode="External"/><Relationship Id="rId2360" Type="http://schemas.openxmlformats.org/officeDocument/2006/relationships/hyperlink" Target="https://drive.google.com/file/d/13eFbDRsrT4E_alMlB_gHi3f-ptev6t5p/view?usp=drivesdk" TargetMode="External"/><Relationship Id="rId1030" Type="http://schemas.openxmlformats.org/officeDocument/2006/relationships/hyperlink" Target="https://drive.google.com/file/d/1sdsQjWafNvJsqiOokdecPrifBQu9p9Px/view?usp=drivesdk" TargetMode="External"/><Relationship Id="rId2361" Type="http://schemas.openxmlformats.org/officeDocument/2006/relationships/hyperlink" Target="https://drive.google.com/file/d/10tpM-QAfI0H0NH6vAvH9VLJJki0FnCbu/view?usp=drivesdk" TargetMode="External"/><Relationship Id="rId1031" Type="http://schemas.openxmlformats.org/officeDocument/2006/relationships/hyperlink" Target="https://drive.google.com/file/d/1JIio9dD942E8dACgVVdAKxTirhGvnXYU/view?usp=drivesdk" TargetMode="External"/><Relationship Id="rId2362" Type="http://schemas.openxmlformats.org/officeDocument/2006/relationships/hyperlink" Target="https://drive.google.com/file/d/1-ByeeNB55CftwPMrOwFmhKHJtA2Cargu/view?usp=drivesdk" TargetMode="External"/><Relationship Id="rId1032" Type="http://schemas.openxmlformats.org/officeDocument/2006/relationships/hyperlink" Target="https://drive.google.com/file/d/1UP7ZYzMzV0FosoKq3xKtP3jqY-RWWp6q/view?usp=drivesdk" TargetMode="External"/><Relationship Id="rId2363" Type="http://schemas.openxmlformats.org/officeDocument/2006/relationships/hyperlink" Target="https://drive.google.com/file/d/1uSaalqURvSDrwFTwn8d56akyZ5pLqmJn/view?usp=drivesdk" TargetMode="External"/><Relationship Id="rId202" Type="http://schemas.openxmlformats.org/officeDocument/2006/relationships/hyperlink" Target="https://drive.google.com/file/d/11fOoeCaKvAgreOvn5ew8iMGSOf8nkof-/view?usp=drivesdk" TargetMode="External"/><Relationship Id="rId1033" Type="http://schemas.openxmlformats.org/officeDocument/2006/relationships/hyperlink" Target="https://drive.google.com/file/d/1oxrBEjfF17yXVvaokTD0u5RL_sgkSMgx/view?usp=drivesdk" TargetMode="External"/><Relationship Id="rId2364" Type="http://schemas.openxmlformats.org/officeDocument/2006/relationships/hyperlink" Target="https://drive.google.com/file/d/1vD03nf0a0BC3Ui7dZPBwsHBn8uBFVmTS/view?usp=drivesdk" TargetMode="External"/><Relationship Id="rId201" Type="http://schemas.openxmlformats.org/officeDocument/2006/relationships/hyperlink" Target="https://drive.google.com/file/d/1MR2uCAC98sQbMJfKpqvUbaxHYZ6ewQsP/view?usp=drivesdk" TargetMode="External"/><Relationship Id="rId1034" Type="http://schemas.openxmlformats.org/officeDocument/2006/relationships/hyperlink" Target="https://drive.google.com/file/d/1palPBkJHCvYlPBUeKlt_R0vV70lzSnDX/view?usp=drivesdk" TargetMode="External"/><Relationship Id="rId2365" Type="http://schemas.openxmlformats.org/officeDocument/2006/relationships/hyperlink" Target="https://drive.google.com/file/d/1s3htODPJ-fx2SsrGMPuuPnrS-QkOjVmW/view?usp=drivesdk" TargetMode="External"/><Relationship Id="rId200" Type="http://schemas.openxmlformats.org/officeDocument/2006/relationships/hyperlink" Target="https://drive.google.com/file/d/1-0CwmS25EyNm_XQ2PD2z2_yvNRtLZ9p8/view?usp=drivesdk" TargetMode="External"/><Relationship Id="rId1035" Type="http://schemas.openxmlformats.org/officeDocument/2006/relationships/hyperlink" Target="https://drive.google.com/file/d/1nPKtIVln8V26-2TlelyxSIDrW9DB2IY4/view?usp=drivesdk" TargetMode="External"/><Relationship Id="rId2366" Type="http://schemas.openxmlformats.org/officeDocument/2006/relationships/hyperlink" Target="https://drive.google.com/file/d/1AFvmNMhSk-QV-2cVhQI1IIbAhqjPhXWN/view?usp=drivesdk" TargetMode="External"/><Relationship Id="rId1036" Type="http://schemas.openxmlformats.org/officeDocument/2006/relationships/hyperlink" Target="https://drive.google.com/file/d/1q-aYNt3MoOQkBO6zo6Y4QjY5op6bsWLz/view?usp=drivesdk" TargetMode="External"/><Relationship Id="rId2367" Type="http://schemas.openxmlformats.org/officeDocument/2006/relationships/hyperlink" Target="https://drive.google.com/file/d/1e5Wm6ChazDKUJftaKFfLoaBKNbaofYfP/view?usp=drivesdk" TargetMode="External"/><Relationship Id="rId1026" Type="http://schemas.openxmlformats.org/officeDocument/2006/relationships/hyperlink" Target="https://drive.google.com/file/d/1Qtqc8Y9nO0A_exYgizsLO37Iiop8gtyI/view?usp=drivesdk" TargetMode="External"/><Relationship Id="rId2357" Type="http://schemas.openxmlformats.org/officeDocument/2006/relationships/hyperlink" Target="https://drive.google.com/file/d/1_jNr1q-vJc4TjV8gK7ip_XHRAMrGaQqA/view?usp=drivesdk" TargetMode="External"/><Relationship Id="rId1027" Type="http://schemas.openxmlformats.org/officeDocument/2006/relationships/hyperlink" Target="https://drive.google.com/file/d/1PrXhDjMftmVVXPIzlR26bEkV-SjGoPKc/view?usp=drivesdk" TargetMode="External"/><Relationship Id="rId2358" Type="http://schemas.openxmlformats.org/officeDocument/2006/relationships/hyperlink" Target="https://drive.google.com/file/d/1cl2H57dfOOpFzEqSME3liLRb8RrZrEbY/view?usp=drivesdk" TargetMode="External"/><Relationship Id="rId1028" Type="http://schemas.openxmlformats.org/officeDocument/2006/relationships/hyperlink" Target="https://drive.google.com/file/d/1o6O-7mzih7pLbXI0LvgHAGTHdrcsdwPO/view?usp=drivesdk" TargetMode="External"/><Relationship Id="rId2359" Type="http://schemas.openxmlformats.org/officeDocument/2006/relationships/hyperlink" Target="https://drive.google.com/file/d/1S_1bC54b_CF_KpBDtwLxeDYcQEWMTRW_/view?usp=drivesdk" TargetMode="External"/><Relationship Id="rId1029" Type="http://schemas.openxmlformats.org/officeDocument/2006/relationships/hyperlink" Target="https://drive.google.com/file/d/1usYtsHIoTKO8531DjDrxK0BeT1l_LPz6/view?usp=drivesdk" TargetMode="External"/><Relationship Id="rId2350" Type="http://schemas.openxmlformats.org/officeDocument/2006/relationships/hyperlink" Target="https://drive.google.com/file/d/1IK98kxqzXUKr6oiSy5Yh1iZIS2v8ZtnC/view?usp=drivesdk" TargetMode="External"/><Relationship Id="rId1020" Type="http://schemas.openxmlformats.org/officeDocument/2006/relationships/hyperlink" Target="https://drive.google.com/file/d/1SPPwXl3EN9zetSmA-e3Z644z35ulTeZ3/view?usp=drivesdk" TargetMode="External"/><Relationship Id="rId2351" Type="http://schemas.openxmlformats.org/officeDocument/2006/relationships/hyperlink" Target="https://drive.google.com/file/d/1Wo_ZWAFaujgNZeZ0tdEdLIIUT-PUrDAy/view?usp=drivesdk" TargetMode="External"/><Relationship Id="rId1021" Type="http://schemas.openxmlformats.org/officeDocument/2006/relationships/hyperlink" Target="https://drive.google.com/file/d/1TOJYdFZuCFZ6A-6WUNAnOwXUFPx1LKjL/view?usp=drivesdk" TargetMode="External"/><Relationship Id="rId2352" Type="http://schemas.openxmlformats.org/officeDocument/2006/relationships/hyperlink" Target="https://drive.google.com/file/d/1pWRSPkrpkB4P8JrAypP4cdltGfovv0wT/view?usp=drivesdk" TargetMode="External"/><Relationship Id="rId1022" Type="http://schemas.openxmlformats.org/officeDocument/2006/relationships/hyperlink" Target="https://drive.google.com/file/d/13hQx91DnpYAhqX2PDuFS8C7yUaeYoSMB/view?usp=drivesdk" TargetMode="External"/><Relationship Id="rId2353" Type="http://schemas.openxmlformats.org/officeDocument/2006/relationships/hyperlink" Target="https://drive.google.com/file/d/1PBsIeDN2jr1Pq3CNrSLb1Xsyr21P2pXL/view?usp=drivesdk" TargetMode="External"/><Relationship Id="rId1023" Type="http://schemas.openxmlformats.org/officeDocument/2006/relationships/hyperlink" Target="https://drive.google.com/file/d/1QA7YAwgg5b8YsqnwWC4ZDvDqVn4dmSLL/view?usp=drivesdk" TargetMode="External"/><Relationship Id="rId2354" Type="http://schemas.openxmlformats.org/officeDocument/2006/relationships/hyperlink" Target="https://drive.google.com/file/d/1tRDHk6OnUXVNfn6Ll53VYpaT5vuJ4llq/view?usp=drivesdk" TargetMode="External"/><Relationship Id="rId1024" Type="http://schemas.openxmlformats.org/officeDocument/2006/relationships/hyperlink" Target="https://drive.google.com/file/d/1qecxJdtawJYZmBtkcoMEpwDPo65HDsq2/view?usp=drivesdk" TargetMode="External"/><Relationship Id="rId2355" Type="http://schemas.openxmlformats.org/officeDocument/2006/relationships/hyperlink" Target="https://drive.google.com/file/d/1dqZfs8CV4bFuIXsJrOSHM-_BKTXKhfGR/view?usp=drivesdk" TargetMode="External"/><Relationship Id="rId1025" Type="http://schemas.openxmlformats.org/officeDocument/2006/relationships/hyperlink" Target="https://drive.google.com/file/d/1K7P5oYfEmH71kcaOfP7Dmjql5yh28Dm7/view?usp=drivesdk" TargetMode="External"/><Relationship Id="rId2356" Type="http://schemas.openxmlformats.org/officeDocument/2006/relationships/hyperlink" Target="https://drive.google.com/file/d/1SrRdwzLZMo2zK6deXcTRyDZ9oh1TesUR/view?usp=drivesdk" TargetMode="External"/><Relationship Id="rId1910" Type="http://schemas.openxmlformats.org/officeDocument/2006/relationships/hyperlink" Target="https://drive.google.com/file/d/1UmxI7FadSp2BSEkh5BER_Spt-84l_EZ4/view?usp=drivesdk" TargetMode="External"/><Relationship Id="rId1911" Type="http://schemas.openxmlformats.org/officeDocument/2006/relationships/hyperlink" Target="https://drive.google.com/file/d/1RNny0IG7SjWvCfMF8M1draCA9I3tK7lj/view?usp=drivesdk" TargetMode="External"/><Relationship Id="rId1912" Type="http://schemas.openxmlformats.org/officeDocument/2006/relationships/hyperlink" Target="https://drive.google.com/file/d/1AetBiDxEiDABROgFar_KCyTHXjrAYAyC/view?usp=drivesdk" TargetMode="External"/><Relationship Id="rId1913" Type="http://schemas.openxmlformats.org/officeDocument/2006/relationships/hyperlink" Target="https://drive.google.com/file/d/15PNrZmOOUmljg2u3ulDQT64Zk426YNiM/view?usp=drivesdk" TargetMode="External"/><Relationship Id="rId1914" Type="http://schemas.openxmlformats.org/officeDocument/2006/relationships/hyperlink" Target="https://drive.google.com/file/d/1hYNUJrx3yjyMoTgcG7Qz4pix-8ruWFMC/view?usp=drivesdk" TargetMode="External"/><Relationship Id="rId1915" Type="http://schemas.openxmlformats.org/officeDocument/2006/relationships/hyperlink" Target="https://docs.google.com/document/d/1w93qsRx1KanCQtLtIAvcmPUp0OswXZJrVd4ghqfN_Xo/edit?usp=drivesdk" TargetMode="External"/><Relationship Id="rId1916" Type="http://schemas.openxmlformats.org/officeDocument/2006/relationships/hyperlink" Target="https://drive.google.com/file/d/1DDCuEgQah24QordxkRGO0EIt6Q681jyL/view?usp=drivesdk" TargetMode="External"/><Relationship Id="rId1917" Type="http://schemas.openxmlformats.org/officeDocument/2006/relationships/hyperlink" Target="https://drive.google.com/file/d/13IdVrs_fFWj8hYxe5OVSE67tGuCcKPct/view?usp=drivesdk" TargetMode="External"/><Relationship Id="rId1918" Type="http://schemas.openxmlformats.org/officeDocument/2006/relationships/hyperlink" Target="https://drive.google.com/file/d/1yMYVS-DUlP_U3zcoWL7wKPwZrYzyiImV/view?usp=drivesdk" TargetMode="External"/><Relationship Id="rId1919" Type="http://schemas.openxmlformats.org/officeDocument/2006/relationships/hyperlink" Target="https://drive.google.com/file/d/1_Adjy9YHg45Gx42zRW_GMddJujIpRnLp/view?usp=drivesdk" TargetMode="External"/><Relationship Id="rId1900" Type="http://schemas.openxmlformats.org/officeDocument/2006/relationships/hyperlink" Target="https://drive.google.com/file/d/1wcNLyGRa4gXByWTxj5jatSzrFvsBvEOa/view?usp=drivesdk" TargetMode="External"/><Relationship Id="rId1901" Type="http://schemas.openxmlformats.org/officeDocument/2006/relationships/hyperlink" Target="https://drive.google.com/file/d/16jKwdpMjv9iC7Mu_8eP1ZQM-NCwIIMLR/view?usp=drivesdk" TargetMode="External"/><Relationship Id="rId1902" Type="http://schemas.openxmlformats.org/officeDocument/2006/relationships/hyperlink" Target="https://drive.google.com/file/d/1M_QRPQwfBMR3RZaCJW-QHGxqNlm5L1OL/view?usp=drivesdk" TargetMode="External"/><Relationship Id="rId1903" Type="http://schemas.openxmlformats.org/officeDocument/2006/relationships/hyperlink" Target="https://drive.google.com/file/d/1xaH1AdTN7K_tpV_fPvFUmkfl3Wi38a_0/view?usp=drivesdk" TargetMode="External"/><Relationship Id="rId1904" Type="http://schemas.openxmlformats.org/officeDocument/2006/relationships/hyperlink" Target="https://drive.google.com/file/d/1eTjP2xjPMHt_psL0IRiVE0uqN0eKYr25/view?usp=drivesdk" TargetMode="External"/><Relationship Id="rId1905" Type="http://schemas.openxmlformats.org/officeDocument/2006/relationships/hyperlink" Target="https://drive.google.com/file/d/1Irbmig3rfLDvz-G09jDAVwJvv1drYEqO/view?usp=drivesdk" TargetMode="External"/><Relationship Id="rId1906" Type="http://schemas.openxmlformats.org/officeDocument/2006/relationships/hyperlink" Target="https://drive.google.com/file/d/1Oyf6phoxDUGiryzACmCI2gdTcVIQO0rE/view?usp=drivesdk" TargetMode="External"/><Relationship Id="rId1907" Type="http://schemas.openxmlformats.org/officeDocument/2006/relationships/hyperlink" Target="https://drive.google.com/file/d/1JU5kJv0kHYoKBDth2j7wQsjJ1BK_HiIh/view?usp=drivesdk" TargetMode="External"/><Relationship Id="rId1908" Type="http://schemas.openxmlformats.org/officeDocument/2006/relationships/hyperlink" Target="https://drive.google.com/file/d/1dhF34wzocQXuQuO5C6a-2Ah86pPkgSjw/view?usp=drivesdk" TargetMode="External"/><Relationship Id="rId1909" Type="http://schemas.openxmlformats.org/officeDocument/2006/relationships/hyperlink" Target="https://drive.google.com/file/d/1JqR213ecE6dYmcQzX1WidGxm2UimuKxl/view?usp=drivesdk" TargetMode="External"/><Relationship Id="rId1090" Type="http://schemas.openxmlformats.org/officeDocument/2006/relationships/hyperlink" Target="https://drive.google.com/file/d/1DV7EYoG14q6yEKU-j4L4Yr58W5W37NJa/view?usp=drivesdk" TargetMode="External"/><Relationship Id="rId1091" Type="http://schemas.openxmlformats.org/officeDocument/2006/relationships/hyperlink" Target="https://drive.google.com/file/d/1TRcOw82zINnVGPZODLYBn7wB0bohVPCn/view?usp=drivesdk" TargetMode="External"/><Relationship Id="rId1092" Type="http://schemas.openxmlformats.org/officeDocument/2006/relationships/hyperlink" Target="https://drive.google.com/file/d/1qZR_Iebw6hcHhVN17GWzDkr-XMum0Mo6/view?usp=drivesdk" TargetMode="External"/><Relationship Id="rId1093" Type="http://schemas.openxmlformats.org/officeDocument/2006/relationships/hyperlink" Target="https://drive.google.com/file/d/1z_35AIPiXek3PFjOOuDmdkQoF2wUxda5/view?usp=drivesdk" TargetMode="External"/><Relationship Id="rId1094" Type="http://schemas.openxmlformats.org/officeDocument/2006/relationships/hyperlink" Target="https://drive.google.com/file/d/1xp50Bkg-yRDZycvgmgYrHpJtXj7H2YJ-/view?usp=drivesdk" TargetMode="External"/><Relationship Id="rId1095" Type="http://schemas.openxmlformats.org/officeDocument/2006/relationships/hyperlink" Target="https://drive.google.com/file/d/1AVV6-Q7D8JA_P53Os1-NpbSAM12e2oGQ/view?usp=drivesdk" TargetMode="External"/><Relationship Id="rId1096" Type="http://schemas.openxmlformats.org/officeDocument/2006/relationships/hyperlink" Target="https://drive.google.com/file/d/1PUIy03yto_1SPuGImDvq6xf2WbqVDRPJ/view?usp=drivesdk" TargetMode="External"/><Relationship Id="rId1097" Type="http://schemas.openxmlformats.org/officeDocument/2006/relationships/hyperlink" Target="https://drive.google.com/file/d/1ay9nixEy-e_JZrGaJ0O0utLjDBfwCO1N/view?usp=drivesdk" TargetMode="External"/><Relationship Id="rId1098" Type="http://schemas.openxmlformats.org/officeDocument/2006/relationships/hyperlink" Target="https://drive.google.com/file/d/1RySpFPc0eRHzms6sd6jkNeYgRvNmnjf9/view?usp=drivesdk" TargetMode="External"/><Relationship Id="rId1099" Type="http://schemas.openxmlformats.org/officeDocument/2006/relationships/hyperlink" Target="https://drive.google.com/file/d/1vZfwwsrrwxCWk1DVduqI02M5iRoBi-bW/view?usp=drivesdk" TargetMode="External"/><Relationship Id="rId1080" Type="http://schemas.openxmlformats.org/officeDocument/2006/relationships/hyperlink" Target="https://drive.google.com/file/d/1tQOX31Z0STAmSL7mq-TBOSYXoTyXP6U2/view?usp=drivesdk" TargetMode="External"/><Relationship Id="rId1081" Type="http://schemas.openxmlformats.org/officeDocument/2006/relationships/hyperlink" Target="https://drive.google.com/file/d/1pc4nc1BCgN81Y8IDVcxe7maUCWkOXmja/view?usp=drivesdk" TargetMode="External"/><Relationship Id="rId1082" Type="http://schemas.openxmlformats.org/officeDocument/2006/relationships/hyperlink" Target="https://drive.google.com/file/d/1svdZaj_7y9fS8pedH0ijhA_SznLz_9zc/view?usp=drivesdk" TargetMode="External"/><Relationship Id="rId1083" Type="http://schemas.openxmlformats.org/officeDocument/2006/relationships/hyperlink" Target="https://drive.google.com/file/d/1K14nL3svQS6xWcpuI0cuQ6ubJYuuzAt0/view?usp=drivesdk" TargetMode="External"/><Relationship Id="rId1084" Type="http://schemas.openxmlformats.org/officeDocument/2006/relationships/hyperlink" Target="https://drive.google.com/file/d/1tXqiMH5JE4gum5NypylhS1eR4ERQrsUW/view?usp=drivesdk" TargetMode="External"/><Relationship Id="rId1085" Type="http://schemas.openxmlformats.org/officeDocument/2006/relationships/hyperlink" Target="https://drive.google.com/file/d/1RK2oKtV1Gyr7SWeCPNX-eKlkzav9LMrY/view?usp=drivesdk" TargetMode="External"/><Relationship Id="rId1086" Type="http://schemas.openxmlformats.org/officeDocument/2006/relationships/hyperlink" Target="https://drive.google.com/file/d/1tIAGg_xu-FbshgCqRYXbob9d6h9xwTbE/view?usp=drivesdk" TargetMode="External"/><Relationship Id="rId1087" Type="http://schemas.openxmlformats.org/officeDocument/2006/relationships/hyperlink" Target="https://drive.google.com/file/d/1GUi9PGmMS7Gtbf_FkIRgFe9od0B98yHT/view?usp=drivesdk" TargetMode="External"/><Relationship Id="rId1088" Type="http://schemas.openxmlformats.org/officeDocument/2006/relationships/hyperlink" Target="https://drive.google.com/file/d/1CYD24jISw8ep7FvRbGYJvaUNG9PIp-9g/view?usp=drivesdk" TargetMode="External"/><Relationship Id="rId1089" Type="http://schemas.openxmlformats.org/officeDocument/2006/relationships/hyperlink" Target="https://drive.google.com/file/d/19wmJxGTBjUjFYD3wWH-3wyZBpZdWuDFa/view?usp=drivesdk" TargetMode="External"/><Relationship Id="rId1972" Type="http://schemas.openxmlformats.org/officeDocument/2006/relationships/hyperlink" Target="https://drive.google.com/file/d/1ThlzA-VvGBDO4Se-yoayt4Mn-HEfjYUo/view?usp=drivesdk" TargetMode="External"/><Relationship Id="rId1973" Type="http://schemas.openxmlformats.org/officeDocument/2006/relationships/hyperlink" Target="https://drive.google.com/file/d/1xNvXepqsFVWYkeFXaOCdP5f6pkQO7e5j/view?usp=drivesdk" TargetMode="External"/><Relationship Id="rId1974" Type="http://schemas.openxmlformats.org/officeDocument/2006/relationships/hyperlink" Target="https://drive.google.com/file/d/1WGY3X69XpAQRsdLRgO8nrxWGp5CpwgZF/view?usp=drivesdk" TargetMode="External"/><Relationship Id="rId1975" Type="http://schemas.openxmlformats.org/officeDocument/2006/relationships/hyperlink" Target="https://drive.google.com/file/d/1_wLROYuywRItyX2cFnsLf0N4QfaR5Z8L/view?usp=drivesdk" TargetMode="External"/><Relationship Id="rId1976" Type="http://schemas.openxmlformats.org/officeDocument/2006/relationships/hyperlink" Target="https://drive.google.com/file/d/16j_GiBODVfACftG20Niq4aIRC_kU8qsZ/view?usp=drivesdk" TargetMode="External"/><Relationship Id="rId1977" Type="http://schemas.openxmlformats.org/officeDocument/2006/relationships/hyperlink" Target="https://drive.google.com/file/d/1AxhabG9V7_RjgC05iqRfwY_LBYsC-1Lv/view?usp=drivesdk" TargetMode="External"/><Relationship Id="rId1978" Type="http://schemas.openxmlformats.org/officeDocument/2006/relationships/hyperlink" Target="https://drive.google.com/file/d/1BuhIf3isP0KQXBW8CveCqOhEBWMkWgvl/view?usp=drivesdk" TargetMode="External"/><Relationship Id="rId1979" Type="http://schemas.openxmlformats.org/officeDocument/2006/relationships/hyperlink" Target="https://drive.google.com/file/d/1CclKKmhEg4wBmEAHmGyg_rBfw2qqAy8s/view?usp=drivesdk" TargetMode="External"/><Relationship Id="rId1970" Type="http://schemas.openxmlformats.org/officeDocument/2006/relationships/hyperlink" Target="https://drive.google.com/file/d/1ldrzAt88fRJBOsSbplqW2NG4M3-xxKlP/view?usp=drivesdk" TargetMode="External"/><Relationship Id="rId1971" Type="http://schemas.openxmlformats.org/officeDocument/2006/relationships/hyperlink" Target="https://drive.google.com/file/d/10CU4FiXsOc216jLudNBinSLadjKnYzKg/view?usp=drivesdk" TargetMode="External"/><Relationship Id="rId1961" Type="http://schemas.openxmlformats.org/officeDocument/2006/relationships/hyperlink" Target="https://drive.google.com/file/d/1w8pcOEpgkXG4574TMp8vmQlQVMYXLL8c/view?usp=drivesdk" TargetMode="External"/><Relationship Id="rId1962" Type="http://schemas.openxmlformats.org/officeDocument/2006/relationships/hyperlink" Target="https://drive.google.com/file/d/1SNviYFYkLPApLDE4sxFOX_wRepMI0nnI/view?usp=drivesdk" TargetMode="External"/><Relationship Id="rId1963" Type="http://schemas.openxmlformats.org/officeDocument/2006/relationships/hyperlink" Target="https://drive.google.com/file/d/15ZlJQ8dYoTyaoh7HgVjWxbumKbhPC9XU/view?usp=drivesdk" TargetMode="External"/><Relationship Id="rId1964" Type="http://schemas.openxmlformats.org/officeDocument/2006/relationships/hyperlink" Target="https://drive.google.com/file/d/1i2aa1erQ9i9knP8Z5bgGiSt6DXX7U7Fa/view?usp=drivesdk" TargetMode="External"/><Relationship Id="rId1965" Type="http://schemas.openxmlformats.org/officeDocument/2006/relationships/hyperlink" Target="https://drive.google.com/file/d/1TGcGbqDcsz1Kyb3oCU4EoWJQ9dp-E7q6/view?usp=drivesdk" TargetMode="External"/><Relationship Id="rId1966" Type="http://schemas.openxmlformats.org/officeDocument/2006/relationships/hyperlink" Target="https://drive.google.com/file/d/1y0uavGuuD3FfKExlt9hI-j32m6j_RxXx/view?usp=drivesdk" TargetMode="External"/><Relationship Id="rId1967" Type="http://schemas.openxmlformats.org/officeDocument/2006/relationships/hyperlink" Target="https://drive.google.com/file/d/1_tN97pqKnfamGcztRzQHZ9UG0A8Hag_0/view?usp=drivesdk" TargetMode="External"/><Relationship Id="rId1968" Type="http://schemas.openxmlformats.org/officeDocument/2006/relationships/hyperlink" Target="https://drive.google.com/file/d/1QDSkRCnuunpKbwNck3pYI8NlktZFtjZd/view?usp=drivesdk" TargetMode="External"/><Relationship Id="rId1969" Type="http://schemas.openxmlformats.org/officeDocument/2006/relationships/hyperlink" Target="https://drive.google.com/file/d/1fq5OO2numDQgQa5kWKk3UimuJGG6cyLq/view?usp=drivesdk" TargetMode="External"/><Relationship Id="rId1960" Type="http://schemas.openxmlformats.org/officeDocument/2006/relationships/hyperlink" Target="https://drive.google.com/file/d/12vw9kcWfNgIH1QJC1wzCOEbjp_P3Df3W/view?usp=drivesdk" TargetMode="External"/><Relationship Id="rId1994" Type="http://schemas.openxmlformats.org/officeDocument/2006/relationships/hyperlink" Target="https://drive.google.com/file/d/1NIjwBw1HSQxLQI9DGPXfoBeD-8Wnntz5/view?usp=drivesdk" TargetMode="External"/><Relationship Id="rId1995" Type="http://schemas.openxmlformats.org/officeDocument/2006/relationships/hyperlink" Target="https://drive.google.com/file/d/1TqbYPD6TfJF6VjNMngYfnoD5Y8nHUi0O/view?usp=drivesdk" TargetMode="External"/><Relationship Id="rId1996" Type="http://schemas.openxmlformats.org/officeDocument/2006/relationships/hyperlink" Target="https://drive.google.com/file/d/1bJ0BC-Xy_bNt41DXHAjv1ms0mnz9Vq86/view?usp=drivesdk" TargetMode="External"/><Relationship Id="rId1997" Type="http://schemas.openxmlformats.org/officeDocument/2006/relationships/hyperlink" Target="https://drive.google.com/file/d/1sSSGJnEV4E18FQJXK-1-tt9r58Mi889H/view?usp=drivesdk" TargetMode="External"/><Relationship Id="rId1998" Type="http://schemas.openxmlformats.org/officeDocument/2006/relationships/hyperlink" Target="https://drive.google.com/file/d/1qKtm6cJaGp1OYT52DZ-rdF0umAGshXgk/view?usp=drivesdk" TargetMode="External"/><Relationship Id="rId1999" Type="http://schemas.openxmlformats.org/officeDocument/2006/relationships/hyperlink" Target="https://drive.google.com/file/d/1hw6VxSN8dF8WIp6LhbqOOmsEo0dTvdbu/view?usp=drivesdk" TargetMode="External"/><Relationship Id="rId1990" Type="http://schemas.openxmlformats.org/officeDocument/2006/relationships/hyperlink" Target="https://drive.google.com/file/d/1AUxxuZsTugos0bfw5gX9jMDqt7bWDrfc/view?usp=drivesdk" TargetMode="External"/><Relationship Id="rId1991" Type="http://schemas.openxmlformats.org/officeDocument/2006/relationships/hyperlink" Target="https://drive.google.com/file/d/19bZUP_N4YxLTtw7Y4tZumU1mxVv8t29B/view?usp=drivesdk" TargetMode="External"/><Relationship Id="rId1992" Type="http://schemas.openxmlformats.org/officeDocument/2006/relationships/hyperlink" Target="https://drive.google.com/file/d/1Y24HtovNy5BwKos6_FsV4A_pE93bEfUv/view?usp=drivesdk" TargetMode="External"/><Relationship Id="rId1993" Type="http://schemas.openxmlformats.org/officeDocument/2006/relationships/hyperlink" Target="https://drive.google.com/file/d/1Tsg1BvUDYPZ40L5izJMMYH7m3hZ-Z2QJ/view?usp=drivesdk" TargetMode="External"/><Relationship Id="rId1983" Type="http://schemas.openxmlformats.org/officeDocument/2006/relationships/hyperlink" Target="https://drive.google.com/file/d/1BxRopi0OntYhPQcXKMEC5xqZoDEptVYd/view?usp=drivesdk" TargetMode="External"/><Relationship Id="rId1984" Type="http://schemas.openxmlformats.org/officeDocument/2006/relationships/hyperlink" Target="https://drive.google.com/file/d/1Z88YOxFUdjB_N8RWvlHzVruajODQTnic/view?usp=drivesdk" TargetMode="External"/><Relationship Id="rId1985" Type="http://schemas.openxmlformats.org/officeDocument/2006/relationships/hyperlink" Target="https://drive.google.com/file/d/1SZWqK44IKYVvgeBO_YR6iREgVqKc9hl7/view?usp=drivesdk" TargetMode="External"/><Relationship Id="rId1986" Type="http://schemas.openxmlformats.org/officeDocument/2006/relationships/hyperlink" Target="https://drive.google.com/file/d/13DjN87PTnd1gRVtF4FDN_PrjD6syLFtl/view?usp=drivesdk" TargetMode="External"/><Relationship Id="rId1987" Type="http://schemas.openxmlformats.org/officeDocument/2006/relationships/hyperlink" Target="https://drive.google.com/file/d/1mK6ddl6CbjItWRFtU_KkouJP0UM3gV-6/view?usp=drivesdk" TargetMode="External"/><Relationship Id="rId1988" Type="http://schemas.openxmlformats.org/officeDocument/2006/relationships/hyperlink" Target="https://drive.google.com/file/d/1jvhXrkXP500Hc10PhmlgwF_pIcWK0diq/view?usp=drivesdk" TargetMode="External"/><Relationship Id="rId1989" Type="http://schemas.openxmlformats.org/officeDocument/2006/relationships/hyperlink" Target="https://drive.google.com/file/d/1cCkHaNWOPS3ds7SCRQ2FwENlloP5Ay-l/view?usp=drivesdk" TargetMode="External"/><Relationship Id="rId1980" Type="http://schemas.openxmlformats.org/officeDocument/2006/relationships/hyperlink" Target="https://drive.google.com/file/d/1VUyjspRteJ5gkjs-fbYxT0CLPJf7x2H-/view?usp=drivesdk" TargetMode="External"/><Relationship Id="rId1981" Type="http://schemas.openxmlformats.org/officeDocument/2006/relationships/hyperlink" Target="https://drive.google.com/file/d/11I9BYw-LgWPOfVM-roaK7IeDdor9cI5n/view?usp=drivesdk" TargetMode="External"/><Relationship Id="rId1982" Type="http://schemas.openxmlformats.org/officeDocument/2006/relationships/hyperlink" Target="https://drive.google.com/file/d/1dsS2Zz_SrKiR1Wr9BLFEXM-_iHqMxxPd/view?usp=drivesdk" TargetMode="External"/><Relationship Id="rId1930" Type="http://schemas.openxmlformats.org/officeDocument/2006/relationships/hyperlink" Target="https://drive.google.com/file/d/1hmrY9lsX4LBR0hPx0EBCXocgeL7ArKp6/view?usp=drivesdk" TargetMode="External"/><Relationship Id="rId1931" Type="http://schemas.openxmlformats.org/officeDocument/2006/relationships/hyperlink" Target="https://drive.google.com/file/d/1QDNRrzD1VCOwR4bsx3QJgYLm2e6VV-no/view?usp=drivesdk" TargetMode="External"/><Relationship Id="rId1932" Type="http://schemas.openxmlformats.org/officeDocument/2006/relationships/hyperlink" Target="https://drive.google.com/file/d/1-8hoTcDzN7GjN92fqlhu7SLhxRSQTUrd/view?usp=drivesdk" TargetMode="External"/><Relationship Id="rId1933" Type="http://schemas.openxmlformats.org/officeDocument/2006/relationships/hyperlink" Target="https://drive.google.com/file/d/1XsfKzqBh-rbhyVubt-56zgPU_Ak2yFU6/view?usp=drivesdk" TargetMode="External"/><Relationship Id="rId1934" Type="http://schemas.openxmlformats.org/officeDocument/2006/relationships/hyperlink" Target="https://drive.google.com/file/d/1qciw5bAxDFe8UHI_osvmJAtB2c2Hc5Mv/view?usp=drivesdk" TargetMode="External"/><Relationship Id="rId1935" Type="http://schemas.openxmlformats.org/officeDocument/2006/relationships/hyperlink" Target="https://drive.google.com/file/d/1qBoMlGJSxfD9Le6GQLq29-E2xuX5NtUI/view?usp=drivesdk" TargetMode="External"/><Relationship Id="rId1936" Type="http://schemas.openxmlformats.org/officeDocument/2006/relationships/hyperlink" Target="https://drive.google.com/file/d/1kMj9bYJrk8644y4gPjpgYXSikwfmuYTS/view?usp=drivesdk" TargetMode="External"/><Relationship Id="rId1937" Type="http://schemas.openxmlformats.org/officeDocument/2006/relationships/hyperlink" Target="https://drive.google.com/file/d/1Xoam7f13E5M2EddKf56QMnzGorZg_Rlu/view?usp=drivesdk" TargetMode="External"/><Relationship Id="rId1938" Type="http://schemas.openxmlformats.org/officeDocument/2006/relationships/hyperlink" Target="https://drive.google.com/file/d/1YzEqH7QTG95vm-E-CJt-CI-rq6sFA3bV/view?usp=drivesdk" TargetMode="External"/><Relationship Id="rId1939" Type="http://schemas.openxmlformats.org/officeDocument/2006/relationships/hyperlink" Target="https://drive.google.com/file/d/1yu5hD1Fq1gaQ5iAk9Sy1oujO3qnlBxsm/view?usp=drivesdk" TargetMode="External"/><Relationship Id="rId1920" Type="http://schemas.openxmlformats.org/officeDocument/2006/relationships/hyperlink" Target="https://drive.google.com/file/d/1grC_-CjFVn77v-PGNS3-UDB1Sv0gUwum/view?usp=drivesdk" TargetMode="External"/><Relationship Id="rId1921" Type="http://schemas.openxmlformats.org/officeDocument/2006/relationships/hyperlink" Target="https://drive.google.com/file/d/1G4tP3z0FT61HHKi1B51ImyPr28TywEAv/view?usp=drivesdk" TargetMode="External"/><Relationship Id="rId1922" Type="http://schemas.openxmlformats.org/officeDocument/2006/relationships/hyperlink" Target="https://drive.google.com/file/d/1TZ4v__dPOmI3xNzFpnJFIk9lq8TKq6BL/view?usp=drivesdk" TargetMode="External"/><Relationship Id="rId1923" Type="http://schemas.openxmlformats.org/officeDocument/2006/relationships/hyperlink" Target="https://drive.google.com/file/d/1M6Ltzqhoq6i38u_uKwWyzNhrrtQbazWq/view?usp=drivesdk" TargetMode="External"/><Relationship Id="rId1924" Type="http://schemas.openxmlformats.org/officeDocument/2006/relationships/hyperlink" Target="https://drive.google.com/file/d/1CVrT0V-MeqSfZShwoRY6MMjJJXISWk02/view?usp=drivesdk" TargetMode="External"/><Relationship Id="rId1925" Type="http://schemas.openxmlformats.org/officeDocument/2006/relationships/hyperlink" Target="https://drive.google.com/file/d/12vr4IdpuKGHum4clozdFiyxIbQP3jx5f/view?usp=drivesdk" TargetMode="External"/><Relationship Id="rId1926" Type="http://schemas.openxmlformats.org/officeDocument/2006/relationships/hyperlink" Target="https://drive.google.com/file/d/1tBea1xcrmrgSGVymZfDDDZH7SLB5aF-6/view?usp=drivesdk" TargetMode="External"/><Relationship Id="rId1927" Type="http://schemas.openxmlformats.org/officeDocument/2006/relationships/hyperlink" Target="https://drive.google.com/file/d/1rBJAGWTtBimqdJkF-7AeLyVrGIG8EBnW/view?usp=drivesdk" TargetMode="External"/><Relationship Id="rId1928" Type="http://schemas.openxmlformats.org/officeDocument/2006/relationships/hyperlink" Target="https://drive.google.com/file/d/1FM8L4aEO4RUDs49kJAJIdOCQaOMgYN0P/view?usp=drivesdk" TargetMode="External"/><Relationship Id="rId1929" Type="http://schemas.openxmlformats.org/officeDocument/2006/relationships/hyperlink" Target="https://drive.google.com/file/d/1OyJsePQ8uL-fdEQollfx14Y7XOGBJ7YL/view?usp=drivesdk" TargetMode="External"/><Relationship Id="rId1950" Type="http://schemas.openxmlformats.org/officeDocument/2006/relationships/hyperlink" Target="https://drive.google.com/file/d/1tKM1PILFcJ_p1wV0Jul0zI6ZVlWSKpjf/view?usp=drivesdk" TargetMode="External"/><Relationship Id="rId1951" Type="http://schemas.openxmlformats.org/officeDocument/2006/relationships/hyperlink" Target="https://drive.google.com/file/d/1GV4zWU9q5kR-RIu3cmHk_E669d6rWRsW/view?usp=drivesdk" TargetMode="External"/><Relationship Id="rId1952" Type="http://schemas.openxmlformats.org/officeDocument/2006/relationships/hyperlink" Target="https://drive.google.com/file/d/1RF-nEXDyW9UWyQIuqmtLdTtTuTs-52JT/view?usp=drivesdk" TargetMode="External"/><Relationship Id="rId1953" Type="http://schemas.openxmlformats.org/officeDocument/2006/relationships/hyperlink" Target="https://drive.google.com/file/d/1LNTqrRGiajQW8AmTfTYGS-EuhKSBbzXe/view?usp=drivesdk" TargetMode="External"/><Relationship Id="rId1954" Type="http://schemas.openxmlformats.org/officeDocument/2006/relationships/hyperlink" Target="https://drive.google.com/file/d/1oih40CT0uXiqw7e6vWDoDVi8-0MewGVn/view?usp=drivesdk" TargetMode="External"/><Relationship Id="rId1955" Type="http://schemas.openxmlformats.org/officeDocument/2006/relationships/hyperlink" Target="https://drive.google.com/file/d/17gaf2Zy_ljFfcAEDk5L8GBnTl5i7RGJE/view?usp=drivesdk" TargetMode="External"/><Relationship Id="rId1956" Type="http://schemas.openxmlformats.org/officeDocument/2006/relationships/hyperlink" Target="https://drive.google.com/file/d/1ZPxYmeo-qbLmZwPazFQAlwgbjV6F3CIv/view?usp=drivesdk" TargetMode="External"/><Relationship Id="rId1957" Type="http://schemas.openxmlformats.org/officeDocument/2006/relationships/hyperlink" Target="https://drive.google.com/file/d/1al8eDyU6ngpVrQ3pelC_b0wECY353CCu/view?usp=drivesdk" TargetMode="External"/><Relationship Id="rId1958" Type="http://schemas.openxmlformats.org/officeDocument/2006/relationships/hyperlink" Target="https://drive.google.com/file/d/10OfxM8Xr_vLp1xZdWVqasjH0oVNLXD6c/view?usp=drivesdk" TargetMode="External"/><Relationship Id="rId1959" Type="http://schemas.openxmlformats.org/officeDocument/2006/relationships/hyperlink" Target="https://drive.google.com/file/d/1B0bpIVPknZVh5AfVAO6FnFkgh37GF9dx/view?usp=drivesdk" TargetMode="External"/><Relationship Id="rId1940" Type="http://schemas.openxmlformats.org/officeDocument/2006/relationships/hyperlink" Target="https://drive.google.com/file/d/1gqkCLQ8YLn27JACJIv51ycR1U6cUfNAJ/view?usp=drivesdk" TargetMode="External"/><Relationship Id="rId1941" Type="http://schemas.openxmlformats.org/officeDocument/2006/relationships/hyperlink" Target="https://drive.google.com/file/d/1qykbPSroz40PGKkag9WEI54L9tC55d5r/view?usp=drivesdk" TargetMode="External"/><Relationship Id="rId1942" Type="http://schemas.openxmlformats.org/officeDocument/2006/relationships/hyperlink" Target="https://drive.google.com/file/d/1ZIjUGgM0ZNJMwX1YUqhWIb-i5jgS1Cmy/view?usp=drivesdk" TargetMode="External"/><Relationship Id="rId1943" Type="http://schemas.openxmlformats.org/officeDocument/2006/relationships/hyperlink" Target="https://drive.google.com/file/d/1fXdEI1kl0lQt_4qWiP91lWgenOEsMrKg/view?usp=drivesdk" TargetMode="External"/><Relationship Id="rId1944" Type="http://schemas.openxmlformats.org/officeDocument/2006/relationships/hyperlink" Target="https://drive.google.com/file/d/10DQLGJZonXtZosc0iBs5LKbP4uoONS18/view?usp=drivesdk" TargetMode="External"/><Relationship Id="rId1945" Type="http://schemas.openxmlformats.org/officeDocument/2006/relationships/hyperlink" Target="https://drive.google.com/file/d/1I8FOJusplVycfM59FMbxsbyzq7e1ojke/view?usp=drivesdk" TargetMode="External"/><Relationship Id="rId1946" Type="http://schemas.openxmlformats.org/officeDocument/2006/relationships/hyperlink" Target="https://drive.google.com/file/d/1yS8koYLoBzTIOnY0Iveg0atwD_kYj-_v/view?usp=drivesdk" TargetMode="External"/><Relationship Id="rId1947" Type="http://schemas.openxmlformats.org/officeDocument/2006/relationships/hyperlink" Target="https://drive.google.com/file/d/1NW_w2zDU8T7DWf98R3BXNjHeH_EWmdiE/view?usp=drivesdk" TargetMode="External"/><Relationship Id="rId1948" Type="http://schemas.openxmlformats.org/officeDocument/2006/relationships/hyperlink" Target="https://drive.google.com/file/d/1X8xl-ktO34rqHxXEr72Dhva7VBCdkSZl/view?usp=drivesdk" TargetMode="External"/><Relationship Id="rId1949" Type="http://schemas.openxmlformats.org/officeDocument/2006/relationships/hyperlink" Target="https://drive.google.com/file/d/1aZbByDdOVHRhBNFrVHpONghJoQFgQzen/view?usp=drivesdk" TargetMode="External"/><Relationship Id="rId2423" Type="http://schemas.openxmlformats.org/officeDocument/2006/relationships/hyperlink" Target="https://drive.google.com/file/d/1H1LGxInHGwZQlib48Sk8tAS3t5eXTLL_/view?usp=drivesdk" TargetMode="External"/><Relationship Id="rId2424" Type="http://schemas.openxmlformats.org/officeDocument/2006/relationships/hyperlink" Target="https://drive.google.com/file/d/1biYeTzhPqrassKU32rFpIQXkmaCzUR_H/view?usp=drivesdk" TargetMode="External"/><Relationship Id="rId2425" Type="http://schemas.openxmlformats.org/officeDocument/2006/relationships/hyperlink" Target="https://drive.google.com/file/d/1OXOz_E9VpKDoMyophO2ymVaA6QjHkMCY/view?usp=drivesdk" TargetMode="External"/><Relationship Id="rId2426" Type="http://schemas.openxmlformats.org/officeDocument/2006/relationships/hyperlink" Target="https://drive.google.com/file/d/1lRP53zTo3VPT-PsO3ntfyg-tGbdQtIIK/view?usp=drivesdk" TargetMode="External"/><Relationship Id="rId2427" Type="http://schemas.openxmlformats.org/officeDocument/2006/relationships/hyperlink" Target="https://drive.google.com/file/d/1-AugkAi762Vn2PNN5xd7FoQQ9st-F4p9/view?usp=drivesdk" TargetMode="External"/><Relationship Id="rId2428" Type="http://schemas.openxmlformats.org/officeDocument/2006/relationships/hyperlink" Target="https://drive.google.com/file/d/1uCFFMA_-qokNXypcjNJCz-kIkPjXgKuT/view?usp=drivesdk" TargetMode="External"/><Relationship Id="rId2429" Type="http://schemas.openxmlformats.org/officeDocument/2006/relationships/hyperlink" Target="https://drive.google.com/file/d/1kdZLBkUApDss7ySLJK034jl3rTKemhnJ/view?usp=drivesdk" TargetMode="External"/><Relationship Id="rId509" Type="http://schemas.openxmlformats.org/officeDocument/2006/relationships/hyperlink" Target="https://drive.google.com/file/d/12kl7B_gN5NAhDlyqunW2AObCMtswBLHg/view?usp=drivesdk" TargetMode="External"/><Relationship Id="rId508" Type="http://schemas.openxmlformats.org/officeDocument/2006/relationships/hyperlink" Target="https://drive.google.com/file/d/16T75K2ElhxvGzIP1ipvvQWXWcnxAXrX5/view?usp=drivesdk" TargetMode="External"/><Relationship Id="rId503" Type="http://schemas.openxmlformats.org/officeDocument/2006/relationships/hyperlink" Target="https://drive.google.com/file/d/1_MG2hCFLSC3hK9JN_Vd97ScYOFkmCeNB/view?usp=drivesdk" TargetMode="External"/><Relationship Id="rId502" Type="http://schemas.openxmlformats.org/officeDocument/2006/relationships/hyperlink" Target="https://drive.google.com/file/d/1mCjJEa0zEdrLp7xaVHvS-ueqh5_YiyPt/view?usp=drivesdk" TargetMode="External"/><Relationship Id="rId501" Type="http://schemas.openxmlformats.org/officeDocument/2006/relationships/hyperlink" Target="https://drive.google.com/file/d/1_EzHR9pcK0ngqgMik_fV8GDpObIK8wd2/view?usp=drivesdk" TargetMode="External"/><Relationship Id="rId500" Type="http://schemas.openxmlformats.org/officeDocument/2006/relationships/hyperlink" Target="https://drive.google.com/file/d/1V6v17XrOALAlZel_ce1TcDO3tA9wxzSO/view?usp=drivesdk" TargetMode="External"/><Relationship Id="rId507" Type="http://schemas.openxmlformats.org/officeDocument/2006/relationships/hyperlink" Target="https://drive.google.com/file/d/1Vy08NiNuTh9JYWcF1W2Vf2axFtKh4drW/view?usp=drivesdk" TargetMode="External"/><Relationship Id="rId506" Type="http://schemas.openxmlformats.org/officeDocument/2006/relationships/hyperlink" Target="https://drive.google.com/file/d/1IpWFLyUE9G-tAeYRc1SQmc72yXV_hf4B/view?usp=drivesdk" TargetMode="External"/><Relationship Id="rId505" Type="http://schemas.openxmlformats.org/officeDocument/2006/relationships/hyperlink" Target="https://drive.google.com/file/d/15reetxk-u0hOy-vfR2jI4B4Tpns5w20E/view?usp=drivesdk" TargetMode="External"/><Relationship Id="rId504" Type="http://schemas.openxmlformats.org/officeDocument/2006/relationships/hyperlink" Target="https://drive.google.com/file/d/1nLVCcdv_66nYF2sRvhid60_rUR9xBJTg/view?usp=drivesdk" TargetMode="External"/><Relationship Id="rId2420" Type="http://schemas.openxmlformats.org/officeDocument/2006/relationships/hyperlink" Target="https://drive.google.com/file/d/1HlSsul-f2PZvtm7eAB3JNvLefgA9BMVI/view?usp=drivesdk" TargetMode="External"/><Relationship Id="rId2421" Type="http://schemas.openxmlformats.org/officeDocument/2006/relationships/hyperlink" Target="https://drive.google.com/file/d/1tYHVLCainLtOj9rVkmXJWVeSI6ydEAvX/view?usp=drivesdk" TargetMode="External"/><Relationship Id="rId2422" Type="http://schemas.openxmlformats.org/officeDocument/2006/relationships/hyperlink" Target="https://drive.google.com/file/d/1-FUitYcnAKMu52rxwYLJUGd9TwUYmGfa/view?usp=drivesdk" TargetMode="External"/><Relationship Id="rId2412" Type="http://schemas.openxmlformats.org/officeDocument/2006/relationships/hyperlink" Target="https://drive.google.com/file/d/1XqhWmKG3ZvoLJmLnPSVfonhhVjkaOyOo/view?usp=drivesdk" TargetMode="External"/><Relationship Id="rId2413" Type="http://schemas.openxmlformats.org/officeDocument/2006/relationships/hyperlink" Target="https://drive.google.com/file/d/1MGnCE7goqJ_cEkFuDi-kMu34wrO-f2Oo/view?usp=drivesdk" TargetMode="External"/><Relationship Id="rId2414" Type="http://schemas.openxmlformats.org/officeDocument/2006/relationships/hyperlink" Target="https://drive.google.com/file/d/17yvRZkdBULPZU-hy9QprgZuJeonQfAel/view?usp=drivesdk" TargetMode="External"/><Relationship Id="rId2415" Type="http://schemas.openxmlformats.org/officeDocument/2006/relationships/hyperlink" Target="https://drive.google.com/file/d/1QF3uA9_pwrWOzXdkZ1UyE6QcFceppW3C/view?usp=drivesdk" TargetMode="External"/><Relationship Id="rId2416" Type="http://schemas.openxmlformats.org/officeDocument/2006/relationships/hyperlink" Target="https://drive.google.com/file/d/1L6r7Is4dN-Wh4wY-_mmmCPEDR_wsVjkO/view?usp=drivesdk" TargetMode="External"/><Relationship Id="rId2417" Type="http://schemas.openxmlformats.org/officeDocument/2006/relationships/hyperlink" Target="https://drive.google.com/file/d/1xJDFi9AZRlHlZ8zxZ8pogfKFGSJiXpeB/view?usp=drivesdk" TargetMode="External"/><Relationship Id="rId2418" Type="http://schemas.openxmlformats.org/officeDocument/2006/relationships/hyperlink" Target="https://drive.google.com/file/d/1L4wamJsRPsyXxKeW3GaFCUieXSvb00LA/view?usp=drivesdk" TargetMode="External"/><Relationship Id="rId2419" Type="http://schemas.openxmlformats.org/officeDocument/2006/relationships/hyperlink" Target="https://drive.google.com/file/d/11dnTmqa4ngMJOr32H46bjdjydQPpSfqT/view?usp=drivesdk" TargetMode="External"/><Relationship Id="rId2410" Type="http://schemas.openxmlformats.org/officeDocument/2006/relationships/hyperlink" Target="https://drive.google.com/file/d/1htcfPlWHtz8E91jbq14ETkimhcWUSyMj/view?usp=drivesdk" TargetMode="External"/><Relationship Id="rId2411" Type="http://schemas.openxmlformats.org/officeDocument/2006/relationships/hyperlink" Target="https://drive.google.com/file/d/151z21j0N9goJiyhqVea_1u4UA83qXS6l/view?usp=drivesdk" TargetMode="External"/><Relationship Id="rId1114" Type="http://schemas.openxmlformats.org/officeDocument/2006/relationships/hyperlink" Target="https://drive.google.com/file/d/1JWjkln9CJu8dWWG13eCkUEPE81p-_bbI/view?usp=drivesdk" TargetMode="External"/><Relationship Id="rId2445" Type="http://schemas.openxmlformats.org/officeDocument/2006/relationships/hyperlink" Target="https://drive.google.com/file/d/1XfDlpkvCBdw9lQuqmsbfM7aoNwvrAoip/view?usp=drivesdk" TargetMode="External"/><Relationship Id="rId1115" Type="http://schemas.openxmlformats.org/officeDocument/2006/relationships/hyperlink" Target="https://drive.google.com/file/d/1BaJrMUMQAZQcIwW-WrR9NXs9CM0N1SkX/view?usp=drivesdk" TargetMode="External"/><Relationship Id="rId2446" Type="http://schemas.openxmlformats.org/officeDocument/2006/relationships/hyperlink" Target="https://drive.google.com/file/d/15X7saP8VbSJHXa2xOtcgFcOKjQJFaUYh/view?usp=drivesdk" TargetMode="External"/><Relationship Id="rId1116" Type="http://schemas.openxmlformats.org/officeDocument/2006/relationships/hyperlink" Target="https://drive.google.com/file/d/1_b8mOSAsOMzbJVPB86zc3Ev432ugw-N0/view?usp=drivesdk" TargetMode="External"/><Relationship Id="rId2447" Type="http://schemas.openxmlformats.org/officeDocument/2006/relationships/hyperlink" Target="https://drive.google.com/file/d/1hzFq7DQ4QBCZolqR2nSfUrSqTtmPYs3_/view?usp=drivesdk" TargetMode="External"/><Relationship Id="rId1117" Type="http://schemas.openxmlformats.org/officeDocument/2006/relationships/hyperlink" Target="https://drive.google.com/file/d/1ZyLeWcONfT3Lmf9dHHJqtgrU-MZcF3Ph/view?usp=drivesdk" TargetMode="External"/><Relationship Id="rId2448" Type="http://schemas.openxmlformats.org/officeDocument/2006/relationships/hyperlink" Target="https://drive.google.com/file/d/1WwYYCOA_x1mX6TzeKfrhq1RdbnoCXoh0/view?usp=drivesdk" TargetMode="External"/><Relationship Id="rId1118" Type="http://schemas.openxmlformats.org/officeDocument/2006/relationships/hyperlink" Target="https://drive.google.com/file/d/1-U4mWEm3vaiLvomX0Ch-4HKs8d-LVX5-/view?usp=drivesdk" TargetMode="External"/><Relationship Id="rId2449" Type="http://schemas.openxmlformats.org/officeDocument/2006/relationships/hyperlink" Target="https://drive.google.com/file/d/1WsASGCOfsob-mQCui8A8AumUCdwI1vZt/view?usp=drivesdk" TargetMode="External"/><Relationship Id="rId1119" Type="http://schemas.openxmlformats.org/officeDocument/2006/relationships/hyperlink" Target="https://drive.google.com/file/d/1mruXmvH2Pouq7XcDsaReJoumHS3Ak_BK/view?usp=drivesdk" TargetMode="External"/><Relationship Id="rId525" Type="http://schemas.openxmlformats.org/officeDocument/2006/relationships/hyperlink" Target="https://drive.google.com/file/d/1PDKERSaijFk0sW1VC1p_BF25zrFUsBWF/view?usp=drivesdk" TargetMode="External"/><Relationship Id="rId524" Type="http://schemas.openxmlformats.org/officeDocument/2006/relationships/hyperlink" Target="https://drive.google.com/file/d/1A2IBAnIa5QedmGrWZzWEWoKhNdX0jk22/view?usp=drivesdk" TargetMode="External"/><Relationship Id="rId523" Type="http://schemas.openxmlformats.org/officeDocument/2006/relationships/hyperlink" Target="https://drive.google.com/file/d/1wyG44SWGaM29EN9VtmyTx0MPhfE3nuk9/view?usp=drivesdk" TargetMode="External"/><Relationship Id="rId522" Type="http://schemas.openxmlformats.org/officeDocument/2006/relationships/hyperlink" Target="https://drive.google.com/file/d/10g95i5zYVr4kpjtg6Swyx9SzRRGKLhF3/view?usp=drivesdk" TargetMode="External"/><Relationship Id="rId529" Type="http://schemas.openxmlformats.org/officeDocument/2006/relationships/hyperlink" Target="https://drive.google.com/file/d/10zjtQMXw_mVBTcksrWYO3-WHZDh5PhtU/view?usp=drivesdk" TargetMode="External"/><Relationship Id="rId528" Type="http://schemas.openxmlformats.org/officeDocument/2006/relationships/hyperlink" Target="https://drive.google.com/file/d/1casmF63d6UCd8ePLuQsDUJR03xbf_vj-/view?usp=drivesdk" TargetMode="External"/><Relationship Id="rId527" Type="http://schemas.openxmlformats.org/officeDocument/2006/relationships/hyperlink" Target="https://drive.google.com/file/d/1hIHtLmoN85-zIunFoLkucLiUMrcrZ4kO/view?usp=drivesdk" TargetMode="External"/><Relationship Id="rId526" Type="http://schemas.openxmlformats.org/officeDocument/2006/relationships/hyperlink" Target="https://drive.google.com/file/d/1ctYTXs6Tw9u4JAPLAampTUTytHBWIcQE/view?usp=drivesdk" TargetMode="External"/><Relationship Id="rId2440" Type="http://schemas.openxmlformats.org/officeDocument/2006/relationships/hyperlink" Target="https://drive.google.com/file/d/1UsMzRx5dAyBC19d7_59BtDW0beEzge2i/view?usp=drivesdk" TargetMode="External"/><Relationship Id="rId521" Type="http://schemas.openxmlformats.org/officeDocument/2006/relationships/hyperlink" Target="https://drive.google.com/file/d/1OwZhS2fmqyYYe-YhCkxVALPGlvTcbg5D/view?usp=drivesdk" TargetMode="External"/><Relationship Id="rId1110" Type="http://schemas.openxmlformats.org/officeDocument/2006/relationships/hyperlink" Target="https://drive.google.com/file/d/1KweztB2AqdouHTLTx3ynCIVvh2Xd1bRn/view?usp=drivesdk" TargetMode="External"/><Relationship Id="rId2441" Type="http://schemas.openxmlformats.org/officeDocument/2006/relationships/hyperlink" Target="https://drive.google.com/file/d/1vmwxHTrl9F3n9CjnCny5Gv7aZ_iSmn06/view?usp=drivesdk" TargetMode="External"/><Relationship Id="rId520" Type="http://schemas.openxmlformats.org/officeDocument/2006/relationships/hyperlink" Target="https://drive.google.com/file/d/18wJfMB-nV9D257bRuTcXr-nnlem7sCQF/view?usp=drivesdk" TargetMode="External"/><Relationship Id="rId1111" Type="http://schemas.openxmlformats.org/officeDocument/2006/relationships/hyperlink" Target="https://drive.google.com/file/d/1NTKp4-GsdbGfJAQ5HINv60Kli5U7BPFK/view?usp=drivesdk" TargetMode="External"/><Relationship Id="rId2442" Type="http://schemas.openxmlformats.org/officeDocument/2006/relationships/hyperlink" Target="https://drive.google.com/file/d/1tLDYZKQb4z1ZUitzltLK7vgv1To8FFUF/view?usp=drivesdk" TargetMode="External"/><Relationship Id="rId1112" Type="http://schemas.openxmlformats.org/officeDocument/2006/relationships/hyperlink" Target="https://drive.google.com/file/d/16N0plOadQAJX7YbKVm1wHb5IuJ9Cf9kY/view?usp=drivesdk" TargetMode="External"/><Relationship Id="rId2443" Type="http://schemas.openxmlformats.org/officeDocument/2006/relationships/hyperlink" Target="https://drive.google.com/file/d/1cd2Q3usXoNSUYACYaL4eodYUxZsj-SOb/view?usp=drivesdk" TargetMode="External"/><Relationship Id="rId1113" Type="http://schemas.openxmlformats.org/officeDocument/2006/relationships/hyperlink" Target="https://drive.google.com/file/d/1Dr_J3dtP3MtuYZdf99UULUa0JK3uFgeC/view?usp=drivesdk" TargetMode="External"/><Relationship Id="rId2444" Type="http://schemas.openxmlformats.org/officeDocument/2006/relationships/hyperlink" Target="https://drive.google.com/file/d/1qgt58xRKt3k8Eix4-bV5OBupJ4bQXEgg/view?usp=drivesdk" TargetMode="External"/><Relationship Id="rId1103" Type="http://schemas.openxmlformats.org/officeDocument/2006/relationships/hyperlink" Target="https://drive.google.com/file/d/1_-jYWchTjICQBAa7ThgQUUY17j_-OYjh/view?usp=drivesdk" TargetMode="External"/><Relationship Id="rId2434" Type="http://schemas.openxmlformats.org/officeDocument/2006/relationships/hyperlink" Target="https://drive.google.com/file/d/116ux1lFNh85JTfA7rlcWpbV1sgxGhwMh/view?usp=drivesdk" TargetMode="External"/><Relationship Id="rId1104" Type="http://schemas.openxmlformats.org/officeDocument/2006/relationships/hyperlink" Target="https://drive.google.com/file/d/1GTXEdJUuJb21E7LHdMQXoipETCucGvJb/view?usp=drivesdk" TargetMode="External"/><Relationship Id="rId2435" Type="http://schemas.openxmlformats.org/officeDocument/2006/relationships/hyperlink" Target="https://drive.google.com/file/d/1sINTPt9kd7F5Vgc5qW1iK2Ge6313RMjs/view?usp=drivesdk" TargetMode="External"/><Relationship Id="rId1105" Type="http://schemas.openxmlformats.org/officeDocument/2006/relationships/hyperlink" Target="https://drive.google.com/file/d/1ocNZeMn9M_WZa1vXf02DG5U03OQ_aZtw/view?usp=drivesdk" TargetMode="External"/><Relationship Id="rId2436" Type="http://schemas.openxmlformats.org/officeDocument/2006/relationships/hyperlink" Target="https://drive.google.com/file/d/1SwGFI5Wz9iRzabOCXMcfTU90XgmL8lKJ/view?usp=drivesdk" TargetMode="External"/><Relationship Id="rId1106" Type="http://schemas.openxmlformats.org/officeDocument/2006/relationships/hyperlink" Target="https://drive.google.com/file/d/1d9hveUFzxbKToR4lm23SLZP00kGrsbaz/view?usp=drivesdk" TargetMode="External"/><Relationship Id="rId2437" Type="http://schemas.openxmlformats.org/officeDocument/2006/relationships/hyperlink" Target="https://drive.google.com/file/d/1ZvAbdxhSZjsiTtoGCcl4wKGSEHyET-ky/view?usp=drivesdk" TargetMode="External"/><Relationship Id="rId1107" Type="http://schemas.openxmlformats.org/officeDocument/2006/relationships/hyperlink" Target="https://drive.google.com/file/d/1Ij9uqCjnLFPAxCNOIiEjRrqXsGdqUerY/view?usp=drivesdk" TargetMode="External"/><Relationship Id="rId2438" Type="http://schemas.openxmlformats.org/officeDocument/2006/relationships/hyperlink" Target="https://drive.google.com/file/d/1HyrNh-agatlqkBI_Y2cQxLTUdJmQoYlf/view?usp=drivesdk" TargetMode="External"/><Relationship Id="rId1108" Type="http://schemas.openxmlformats.org/officeDocument/2006/relationships/hyperlink" Target="https://drive.google.com/file/d/1U5T2MAj5_QQykM-pybdbnGHkCMfgC2Ip/view?usp=drivesdk" TargetMode="External"/><Relationship Id="rId2439" Type="http://schemas.openxmlformats.org/officeDocument/2006/relationships/hyperlink" Target="https://drive.google.com/file/d/1upE7yZOzvH5eWhjo60W2SL_Z4iTthBuJ/view?usp=drivesdk" TargetMode="External"/><Relationship Id="rId1109" Type="http://schemas.openxmlformats.org/officeDocument/2006/relationships/hyperlink" Target="https://drive.google.com/file/d/1m7NCe1rITz2NaoxpTRj7yj9gwrw-G2Cg/view?usp=drivesdk" TargetMode="External"/><Relationship Id="rId519" Type="http://schemas.openxmlformats.org/officeDocument/2006/relationships/hyperlink" Target="https://drive.google.com/file/d/1slyzIANWOU2lMl4r2vJg06ZJ4rYtveRp/view?usp=drivesdk" TargetMode="External"/><Relationship Id="rId514" Type="http://schemas.openxmlformats.org/officeDocument/2006/relationships/hyperlink" Target="https://drive.google.com/file/d/1oHwAEcQrTCmOHPcPPh29idBejLo5Zg6Y/view?usp=drivesdk" TargetMode="External"/><Relationship Id="rId513" Type="http://schemas.openxmlformats.org/officeDocument/2006/relationships/hyperlink" Target="https://drive.google.com/file/d/1A-wGvCZNEQ7az_ALsu-ACa_3AsMfQT49/view?usp=drivesdk" TargetMode="External"/><Relationship Id="rId512" Type="http://schemas.openxmlformats.org/officeDocument/2006/relationships/hyperlink" Target="https://drive.google.com/file/d/1EG5ZqNiwCNQczFoJvA0qgtnaMaJN7DjJ/view?usp=drivesdk" TargetMode="External"/><Relationship Id="rId511" Type="http://schemas.openxmlformats.org/officeDocument/2006/relationships/hyperlink" Target="https://drive.google.com/file/d/1ao4tQCyXI8ZxraKax0MLjjmpUVIrrFTd/view?usp=drivesdk" TargetMode="External"/><Relationship Id="rId518" Type="http://schemas.openxmlformats.org/officeDocument/2006/relationships/hyperlink" Target="https://drive.google.com/file/d/1fI6e235X1MrHdE453S_n5OyxOGIe0pC7/view?usp=drivesdk" TargetMode="External"/><Relationship Id="rId517" Type="http://schemas.openxmlformats.org/officeDocument/2006/relationships/hyperlink" Target="https://drive.google.com/file/d/1eP-M3h6_zyo74P4oZEhe0Pekzs-jOTaD/view?usp=drivesdk" TargetMode="External"/><Relationship Id="rId516" Type="http://schemas.openxmlformats.org/officeDocument/2006/relationships/hyperlink" Target="https://drive.google.com/file/d/1iOArfd24jMuY_j52dasZjZYJSXGlA86T/view?usp=drivesdk" TargetMode="External"/><Relationship Id="rId515" Type="http://schemas.openxmlformats.org/officeDocument/2006/relationships/hyperlink" Target="https://drive.google.com/file/d/1LTsn9mOcJwq9UJlCnngwgrmXQJ2qTkCy/view?usp=drivesdk" TargetMode="External"/><Relationship Id="rId510" Type="http://schemas.openxmlformats.org/officeDocument/2006/relationships/hyperlink" Target="https://drive.google.com/file/d/1y6WGFS3SYXDWhx4DUfRNBiJJJw0zcU9I/view?usp=drivesdk" TargetMode="External"/><Relationship Id="rId2430" Type="http://schemas.openxmlformats.org/officeDocument/2006/relationships/hyperlink" Target="https://drive.google.com/file/d/1WfPribPjrUnNwdjyMLceAC2yV6uOwcIj/view?usp=drivesdk" TargetMode="External"/><Relationship Id="rId1100" Type="http://schemas.openxmlformats.org/officeDocument/2006/relationships/hyperlink" Target="https://drive.google.com/file/d/1CvM7xnkkkbeaE-fXoQSrG0lcN_3ZfOWP/view?usp=drivesdk" TargetMode="External"/><Relationship Id="rId2431" Type="http://schemas.openxmlformats.org/officeDocument/2006/relationships/hyperlink" Target="https://drive.google.com/file/d/1gRhKC7-YLt04IbuMzSP47N5GlLulLnyP/view?usp=drivesdk" TargetMode="External"/><Relationship Id="rId1101" Type="http://schemas.openxmlformats.org/officeDocument/2006/relationships/hyperlink" Target="https://drive.google.com/file/d/10cy62BuKk3ZsJEI6KY-SKtbl8hBswkhC/view?usp=drivesdk" TargetMode="External"/><Relationship Id="rId2432" Type="http://schemas.openxmlformats.org/officeDocument/2006/relationships/hyperlink" Target="https://drive.google.com/file/d/1pEsi_zCge4Xxz2XomVjcrFondU662vvE/view?usp=drivesdk" TargetMode="External"/><Relationship Id="rId1102" Type="http://schemas.openxmlformats.org/officeDocument/2006/relationships/hyperlink" Target="https://drive.google.com/file/d/1KPkGhJ36SscDhiJY_xrs9MK5rlZ-LdFN/view?usp=drivesdk" TargetMode="External"/><Relationship Id="rId2433" Type="http://schemas.openxmlformats.org/officeDocument/2006/relationships/hyperlink" Target="https://drive.google.com/file/d/1HvJhg-z__ZC4L2MVWwWJgR-8s9h67R34/view?usp=drivesdk" TargetMode="External"/><Relationship Id="rId2401" Type="http://schemas.openxmlformats.org/officeDocument/2006/relationships/hyperlink" Target="https://drive.google.com/file/d/124BmUuJPp02lcLBvH8AsEmEsbphUT5fW/view?usp=drivesdk" TargetMode="External"/><Relationship Id="rId2402" Type="http://schemas.openxmlformats.org/officeDocument/2006/relationships/hyperlink" Target="https://drive.google.com/file/d/1HAhZicYSIRv7N-8s64Lp9_8_UnTnmDSR/view?usp=drivesdk" TargetMode="External"/><Relationship Id="rId2403" Type="http://schemas.openxmlformats.org/officeDocument/2006/relationships/hyperlink" Target="https://drive.google.com/file/d/1KQ3HceHXpPMAET83TvUhFe9qSsDbMT1k/view?usp=drivesdk" TargetMode="External"/><Relationship Id="rId2404" Type="http://schemas.openxmlformats.org/officeDocument/2006/relationships/hyperlink" Target="https://drive.google.com/file/d/1APm26rD_UpSxwv_f7ANPXDv5utKWJ7q3/view?usp=drivesdk" TargetMode="External"/><Relationship Id="rId2405" Type="http://schemas.openxmlformats.org/officeDocument/2006/relationships/hyperlink" Target="https://drive.google.com/file/d/1EqB8fMj26KyIHeW4JSKwYFh3F2LTTq5t/view?usp=drivesdk" TargetMode="External"/><Relationship Id="rId2406" Type="http://schemas.openxmlformats.org/officeDocument/2006/relationships/hyperlink" Target="https://drive.google.com/file/d/1H2OS8Rk6wh8PVpv13iom_WUpLu0fEeBU/view?usp=drivesdk" TargetMode="External"/><Relationship Id="rId2407" Type="http://schemas.openxmlformats.org/officeDocument/2006/relationships/hyperlink" Target="https://drive.google.com/file/d/1Wa36K9XT0urN9xsiAgUftQdgL9C9HECn/view?usp=drivesdk" TargetMode="External"/><Relationship Id="rId2408" Type="http://schemas.openxmlformats.org/officeDocument/2006/relationships/hyperlink" Target="https://drive.google.com/file/d/14h-UnLvc59XK91wSbRiIAUMtz5chtiz5/view?usp=drivesdk" TargetMode="External"/><Relationship Id="rId2409" Type="http://schemas.openxmlformats.org/officeDocument/2006/relationships/hyperlink" Target="https://drive.google.com/file/d/1Nb1xwSCq02ajI3h9-mZBwiuifn_7H1iR/view?usp=drivesdk" TargetMode="External"/><Relationship Id="rId2400" Type="http://schemas.openxmlformats.org/officeDocument/2006/relationships/hyperlink" Target="https://drive.google.com/file/d/1S2villzYudFC9-TeVhxXKsxBqLRSgA1s/view?usp=drivesdk" TargetMode="External"/><Relationship Id="rId590" Type="http://schemas.openxmlformats.org/officeDocument/2006/relationships/hyperlink" Target="https://drive.google.com/file/d/125oW-Yy66IiXYKhOycj3l8EvyroOpztd/view?usp=drivesdk" TargetMode="External"/><Relationship Id="rId589" Type="http://schemas.openxmlformats.org/officeDocument/2006/relationships/hyperlink" Target="https://drive.google.com/file/d/16QRcoc2qYP1rPo-RZHr3IXE1JFR_nCwl/view?usp=drivesdk" TargetMode="External"/><Relationship Id="rId588" Type="http://schemas.openxmlformats.org/officeDocument/2006/relationships/hyperlink" Target="https://drive.google.com/file/d/1FK8U1l_sec0nw2maZFzrfgyfc_jssV4R/view?usp=drivesdk" TargetMode="External"/><Relationship Id="rId1170" Type="http://schemas.openxmlformats.org/officeDocument/2006/relationships/hyperlink" Target="https://drive.google.com/file/d/1K0eJKcnQRt66lAmIESx0PMwKg8V3iAfG/view?usp=drivesdk" TargetMode="External"/><Relationship Id="rId1171" Type="http://schemas.openxmlformats.org/officeDocument/2006/relationships/hyperlink" Target="https://drive.google.com/file/d/1n6o1Qp7PKqqbb7iGxwiWf9eTzY31KZxU/view?usp=drivesdk" TargetMode="External"/><Relationship Id="rId583" Type="http://schemas.openxmlformats.org/officeDocument/2006/relationships/hyperlink" Target="https://drive.google.com/file/d/15TBBAgRRQJjXyZotluDbDiTdoC7yIa7z/view?usp=drivesdk" TargetMode="External"/><Relationship Id="rId1172" Type="http://schemas.openxmlformats.org/officeDocument/2006/relationships/hyperlink" Target="https://drive.google.com/file/d/18ac5266QZEasrJychSNi7jb-OpL3x40W/view?usp=drivesdk" TargetMode="External"/><Relationship Id="rId582" Type="http://schemas.openxmlformats.org/officeDocument/2006/relationships/hyperlink" Target="https://drive.google.com/file/d/1_xduvacj438WLVUcuNu4qKwuAkTb-F9l/view?usp=drivesdk" TargetMode="External"/><Relationship Id="rId1173" Type="http://schemas.openxmlformats.org/officeDocument/2006/relationships/hyperlink" Target="https://drive.google.com/file/d/1Sefz-Q7mz41kQmRmnDvSwg5gqIK0WBnG/view?usp=drivesdk" TargetMode="External"/><Relationship Id="rId581" Type="http://schemas.openxmlformats.org/officeDocument/2006/relationships/hyperlink" Target="https://drive.google.com/file/d/1ECkWjwYiI0lv6dn19X2mEO2nCPJ9mlE6/view?usp=drivesdk" TargetMode="External"/><Relationship Id="rId1174" Type="http://schemas.openxmlformats.org/officeDocument/2006/relationships/hyperlink" Target="https://drive.google.com/file/d/1jbq11eIFm8vAYC4_yXfmwl9MB3vGb54_/view?usp=drivesdk" TargetMode="External"/><Relationship Id="rId580" Type="http://schemas.openxmlformats.org/officeDocument/2006/relationships/hyperlink" Target="https://drive.google.com/file/d/12BclVbSEH8zh6pi7DamlMGRa-usp4H1t/view?usp=drivesdk" TargetMode="External"/><Relationship Id="rId1175" Type="http://schemas.openxmlformats.org/officeDocument/2006/relationships/hyperlink" Target="https://drive.google.com/file/d/19jcT2kBbSLBsA8f-ZU3m1rUwFWGPTEWO/view?usp=drivesdk" TargetMode="External"/><Relationship Id="rId587" Type="http://schemas.openxmlformats.org/officeDocument/2006/relationships/hyperlink" Target="https://drive.google.com/file/d/1Vx6-t5JTOQEvSnRpBNp2R_O-Zebg0dSZ/view?usp=drivesdk" TargetMode="External"/><Relationship Id="rId1176" Type="http://schemas.openxmlformats.org/officeDocument/2006/relationships/hyperlink" Target="https://drive.google.com/file/d/1qpys0s9nBCJzlrBNa7f6gyySvyXL7MXJ/view?usp=drivesdk" TargetMode="External"/><Relationship Id="rId586" Type="http://schemas.openxmlformats.org/officeDocument/2006/relationships/hyperlink" Target="https://drive.google.com/file/d/1FSedrQvB_-Rc2v4sl8L6pi6TxGR6LfrB/view?usp=drivesdk" TargetMode="External"/><Relationship Id="rId1177" Type="http://schemas.openxmlformats.org/officeDocument/2006/relationships/hyperlink" Target="https://drive.google.com/file/d/1MvZu5qo0pPQcoL6SAizgSBHhn4-T6jfM/view?usp=drivesdk" TargetMode="External"/><Relationship Id="rId585" Type="http://schemas.openxmlformats.org/officeDocument/2006/relationships/hyperlink" Target="https://drive.google.com/file/d/1wgnG6Soqh9ROCizK12VPMpOolrnD6nej/view?usp=drivesdk" TargetMode="External"/><Relationship Id="rId1178" Type="http://schemas.openxmlformats.org/officeDocument/2006/relationships/hyperlink" Target="https://drive.google.com/file/d/1c1k1gKJ0KBPYv5VRXYOoGS_3bgJfnTwd/view?usp=drivesdk" TargetMode="External"/><Relationship Id="rId584" Type="http://schemas.openxmlformats.org/officeDocument/2006/relationships/hyperlink" Target="https://drive.google.com/file/d/1sPCaP_tZ0rEs6A2e34Hp1ZNmLEvenXSK/view?usp=drivesdk" TargetMode="External"/><Relationship Id="rId1179" Type="http://schemas.openxmlformats.org/officeDocument/2006/relationships/hyperlink" Target="https://drive.google.com/file/d/10TV0T46B7cqSe0DuBNj6RYiSrqG-eO8l/view?usp=drivesdk" TargetMode="External"/><Relationship Id="rId1169" Type="http://schemas.openxmlformats.org/officeDocument/2006/relationships/hyperlink" Target="https://drive.google.com/file/d/11pMvJ_CVfDeFL9ZeNZJUUEduMVPAFsyi/view?usp=drivesdk" TargetMode="External"/><Relationship Id="rId579" Type="http://schemas.openxmlformats.org/officeDocument/2006/relationships/hyperlink" Target="https://drive.google.com/file/d/1rIXV-wnGDKvubdUQQxmdU_Wv0qPz-V-F/view?usp=drivesdk" TargetMode="External"/><Relationship Id="rId578" Type="http://schemas.openxmlformats.org/officeDocument/2006/relationships/hyperlink" Target="https://drive.google.com/file/d/1QJ6DIHVjj7eu454NMl7cg_hqGVXGr2SH/view?usp=drivesdk" TargetMode="External"/><Relationship Id="rId577" Type="http://schemas.openxmlformats.org/officeDocument/2006/relationships/hyperlink" Target="https://drive.google.com/file/d/1Af3oU7fMCAkPCXAmt2AH4pAZ2pYtymoW/view?usp=drivesdk" TargetMode="External"/><Relationship Id="rId2490" Type="http://schemas.openxmlformats.org/officeDocument/2006/relationships/hyperlink" Target="https://drive.google.com/file/d/15kKUsqyFArf82r6bAlXLuUVgHc1vD9sW/view?usp=drivesdk" TargetMode="External"/><Relationship Id="rId1160" Type="http://schemas.openxmlformats.org/officeDocument/2006/relationships/hyperlink" Target="https://drive.google.com/file/d/1DqQftbza8azYmIDM9NPZMklghUGJscys/view?usp=drivesdk" TargetMode="External"/><Relationship Id="rId2491" Type="http://schemas.openxmlformats.org/officeDocument/2006/relationships/hyperlink" Target="https://drive.google.com/file/d/12ZFslJnsSmpbIBYf9YKunwP3Ofv14HZ-/view?usp=drivesdk" TargetMode="External"/><Relationship Id="rId572" Type="http://schemas.openxmlformats.org/officeDocument/2006/relationships/hyperlink" Target="https://drive.google.com/file/d/1pG-Y5xMIaPafDnkZr7vDsn-8REMTA2Kx/view?usp=drivesdk" TargetMode="External"/><Relationship Id="rId1161" Type="http://schemas.openxmlformats.org/officeDocument/2006/relationships/hyperlink" Target="https://drive.google.com/file/d/1by0UW5BJHCUfVKRFiok9qpkQTl_xBS3X/view?usp=drivesdk" TargetMode="External"/><Relationship Id="rId2492" Type="http://schemas.openxmlformats.org/officeDocument/2006/relationships/hyperlink" Target="https://drive.google.com/file/d/1IPv_LwpOrSwgWFLNt3ih6B9kYGRsDgyd/view?usp=drivesdk" TargetMode="External"/><Relationship Id="rId571" Type="http://schemas.openxmlformats.org/officeDocument/2006/relationships/hyperlink" Target="https://drive.google.com/file/d/1E_6b4zZ-omtmOjjj8-XeF45BcnWI7vyy/view?usp=drivesdk" TargetMode="External"/><Relationship Id="rId1162" Type="http://schemas.openxmlformats.org/officeDocument/2006/relationships/hyperlink" Target="https://drive.google.com/file/d/10nt7oOcfXcuML9cN0iVRkjJVV6jijpFw/view?usp=drivesdk" TargetMode="External"/><Relationship Id="rId2493" Type="http://schemas.openxmlformats.org/officeDocument/2006/relationships/hyperlink" Target="https://drive.google.com/file/d/1unAIIiGopeKWxFHgWm5TahygDGPlH1Lj/view?usp=drivesdk" TargetMode="External"/><Relationship Id="rId570" Type="http://schemas.openxmlformats.org/officeDocument/2006/relationships/hyperlink" Target="https://drive.google.com/file/d/1uBgGQtZ5oK8SqKSUBr3hMygngs0gWnpa/view?usp=drivesdk" TargetMode="External"/><Relationship Id="rId1163" Type="http://schemas.openxmlformats.org/officeDocument/2006/relationships/hyperlink" Target="https://drive.google.com/file/d/1I22saxpbc1EHGecBqpT-fXSJhkjweNTY/view?usp=drivesdk" TargetMode="External"/><Relationship Id="rId2494" Type="http://schemas.openxmlformats.org/officeDocument/2006/relationships/hyperlink" Target="https://drive.google.com/file/d/1TGN_TAtoJI3jhMQTEG2wnN59FCyiXC2_/view?usp=drivesdk" TargetMode="External"/><Relationship Id="rId1164" Type="http://schemas.openxmlformats.org/officeDocument/2006/relationships/hyperlink" Target="https://drive.google.com/file/d/1OXTMiHbkgJLp_KK1zFuYZ0jHT5c4tMmJ/view?usp=drivesdk" TargetMode="External"/><Relationship Id="rId2495" Type="http://schemas.openxmlformats.org/officeDocument/2006/relationships/hyperlink" Target="https://drive.google.com/file/d/1mgxHY5rSLZY_EieaSS4LRUonj0GvrfQE/view?usp=drivesdk" TargetMode="External"/><Relationship Id="rId576" Type="http://schemas.openxmlformats.org/officeDocument/2006/relationships/hyperlink" Target="https://drive.google.com/file/d/1GruSYQTYj27hi7nYv76yP2TA5pAQWpdz/view?usp=drivesdk" TargetMode="External"/><Relationship Id="rId1165" Type="http://schemas.openxmlformats.org/officeDocument/2006/relationships/hyperlink" Target="https://drive.google.com/file/d/1_TP0Wa0yXbq86Xa2Y4btjURi-Y9mFjR_/view?usp=drivesdk" TargetMode="External"/><Relationship Id="rId2496" Type="http://schemas.openxmlformats.org/officeDocument/2006/relationships/hyperlink" Target="https://drive.google.com/file/d/1ULfnDtv84kgeFXRyMCCLbY1RRcrTQDB8/view?usp=drivesdk" TargetMode="External"/><Relationship Id="rId575" Type="http://schemas.openxmlformats.org/officeDocument/2006/relationships/hyperlink" Target="https://drive.google.com/file/d/1afj3FrBsNoCIkF325jw9kpZNtSxdsFWv/view?usp=drivesdk" TargetMode="External"/><Relationship Id="rId1166" Type="http://schemas.openxmlformats.org/officeDocument/2006/relationships/hyperlink" Target="https://drive.google.com/file/d/1uEj_Q_UT0YXivXf3SOQHbic6SSKOP5Wo/view?usp=drivesdk" TargetMode="External"/><Relationship Id="rId2497" Type="http://schemas.openxmlformats.org/officeDocument/2006/relationships/hyperlink" Target="https://drive.google.com/file/d/1RgKGmtfOeP7KPA-8BVD5JSSAaub2by_V/view?usp=drivesdk" TargetMode="External"/><Relationship Id="rId574" Type="http://schemas.openxmlformats.org/officeDocument/2006/relationships/hyperlink" Target="https://drive.google.com/file/d/10anZGhjlOvO7aQbMT3QNUTGFyzMK1wgg/view?usp=drivesdk" TargetMode="External"/><Relationship Id="rId1167" Type="http://schemas.openxmlformats.org/officeDocument/2006/relationships/hyperlink" Target="https://drive.google.com/file/d/1dm4HHoXNo8_SdBZJx-lq8iR_0SiURHVb/view?usp=drivesdk" TargetMode="External"/><Relationship Id="rId2498" Type="http://schemas.openxmlformats.org/officeDocument/2006/relationships/hyperlink" Target="https://drive.google.com/file/d/1maMe58N1aLmqdBUtveOinCFDUWOh5rcE/view?usp=drivesdk" TargetMode="External"/><Relationship Id="rId573" Type="http://schemas.openxmlformats.org/officeDocument/2006/relationships/hyperlink" Target="https://drive.google.com/file/d/1F3QGAzryYQVpOPZCE3yB3UL0B50sD5Qh/view?usp=drivesdk" TargetMode="External"/><Relationship Id="rId1168" Type="http://schemas.openxmlformats.org/officeDocument/2006/relationships/hyperlink" Target="https://drive.google.com/file/d/1hmdhIHSa7EL6Z9nObEoIfsJkwqlb-ff4/view?usp=drivesdk" TargetMode="External"/><Relationship Id="rId2499" Type="http://schemas.openxmlformats.org/officeDocument/2006/relationships/hyperlink" Target="https://drive.google.com/file/d/1VAdnhoiJmdHbv1LbvyIfcfg3rNALrpkj/view?usp=drivesdk" TargetMode="External"/><Relationship Id="rId1190" Type="http://schemas.openxmlformats.org/officeDocument/2006/relationships/hyperlink" Target="https://drive.google.com/file/d/1J_cS1D8HkOdqvBmQsXHjL1FZDmJs7lqQ/view?usp=drivesdk" TargetMode="External"/><Relationship Id="rId1191" Type="http://schemas.openxmlformats.org/officeDocument/2006/relationships/hyperlink" Target="https://drive.google.com/file/d/1u_OXA8JrcF5gJWXF7Ba95PFAVzQEQmQK/view?usp=drivesdk" TargetMode="External"/><Relationship Id="rId1192" Type="http://schemas.openxmlformats.org/officeDocument/2006/relationships/hyperlink" Target="https://drive.google.com/file/d/1Hg5VDszXlRVdNjTivLuNrhGtcNgJY6YO/view?usp=drivesdk" TargetMode="External"/><Relationship Id="rId1193" Type="http://schemas.openxmlformats.org/officeDocument/2006/relationships/hyperlink" Target="https://drive.google.com/file/d/1njR1v7uD-9OdwkjARV_BDFPe9y6XzZrq/view?usp=drivesdk" TargetMode="External"/><Relationship Id="rId1194" Type="http://schemas.openxmlformats.org/officeDocument/2006/relationships/hyperlink" Target="https://drive.google.com/file/d/1PNJ6Sq6xUR5S96FFpdedDGYdBuw5Vlgi/view?usp=drivesdk" TargetMode="External"/><Relationship Id="rId1195" Type="http://schemas.openxmlformats.org/officeDocument/2006/relationships/hyperlink" Target="https://drive.google.com/file/d/1eDsfpS9ncg_hzBoWlvGMZS-Hf0PsqpOE/view?usp=drivesdk" TargetMode="External"/><Relationship Id="rId1196" Type="http://schemas.openxmlformats.org/officeDocument/2006/relationships/hyperlink" Target="https://drive.google.com/file/d/1bJIGLwb4bdVh3NCmJ_LifUgUpf-LPNMA/view?usp=drivesdk" TargetMode="External"/><Relationship Id="rId1197" Type="http://schemas.openxmlformats.org/officeDocument/2006/relationships/hyperlink" Target="https://drive.google.com/file/d/1_D7dDcYpEcjt0TABN_n3mvFBdupCvcz-/view?usp=drivesdk" TargetMode="External"/><Relationship Id="rId1198" Type="http://schemas.openxmlformats.org/officeDocument/2006/relationships/hyperlink" Target="https://drive.google.com/file/d/1auGVLZR0n037iFBsRbne3R0KY424YsRI/view?usp=drivesdk" TargetMode="External"/><Relationship Id="rId1199" Type="http://schemas.openxmlformats.org/officeDocument/2006/relationships/hyperlink" Target="https://drive.google.com/file/d/1PGEaJgHDsHhADyJeYzYrF31UgvXK8IfG/view?usp=drivesdk" TargetMode="External"/><Relationship Id="rId599" Type="http://schemas.openxmlformats.org/officeDocument/2006/relationships/hyperlink" Target="https://drive.google.com/file/d/1gXPYlXRF5WvLBhevKmNpXKayL_LwNiy7/view?usp=drivesdk" TargetMode="External"/><Relationship Id="rId1180" Type="http://schemas.openxmlformats.org/officeDocument/2006/relationships/hyperlink" Target="https://drive.google.com/file/d/17RrMQtMr27FGUV7R-pVdPn87s05UNWWl/view?usp=drivesdk" TargetMode="External"/><Relationship Id="rId1181" Type="http://schemas.openxmlformats.org/officeDocument/2006/relationships/hyperlink" Target="https://drive.google.com/file/d/1EJi1y_1ouX9AqIRv0DPgc0QP6Rskbwgf/view?usp=drivesdk" TargetMode="External"/><Relationship Id="rId1182" Type="http://schemas.openxmlformats.org/officeDocument/2006/relationships/hyperlink" Target="https://drive.google.com/file/d/1KN1EWniqjNl4OnLIFMrGRR63JlQklVIO/view?usp=drivesdk" TargetMode="External"/><Relationship Id="rId594" Type="http://schemas.openxmlformats.org/officeDocument/2006/relationships/hyperlink" Target="https://drive.google.com/file/d/1EbDqteZKjOCKGj59-S4EWDLxkuXjzhaL/view?usp=drivesdk" TargetMode="External"/><Relationship Id="rId1183" Type="http://schemas.openxmlformats.org/officeDocument/2006/relationships/hyperlink" Target="https://drive.google.com/file/d/11TkjjlIy0l1_VcddPFY6PZdNPWLNgYgp/view?usp=drivesdk" TargetMode="External"/><Relationship Id="rId593" Type="http://schemas.openxmlformats.org/officeDocument/2006/relationships/hyperlink" Target="https://drive.google.com/file/d/1BtiJ11K5eqpsqlj5PQJbG7xfO8pM9oMv/view?usp=drivesdk" TargetMode="External"/><Relationship Id="rId1184" Type="http://schemas.openxmlformats.org/officeDocument/2006/relationships/hyperlink" Target="https://drive.google.com/file/d/1MA-4Wk9ULU29KzmGixLnWU7Vpj89d19H/view?usp=drivesdk" TargetMode="External"/><Relationship Id="rId592" Type="http://schemas.openxmlformats.org/officeDocument/2006/relationships/hyperlink" Target="https://drive.google.com/file/d/1CrPXnG4uuv89aHq13TGsUNP-O4delOv5/view?usp=drivesdk" TargetMode="External"/><Relationship Id="rId1185" Type="http://schemas.openxmlformats.org/officeDocument/2006/relationships/hyperlink" Target="https://drive.google.com/file/d/11i_Elby3e5vg0K4oxYHAqkgbsyXT0wuh/view?usp=drivesdk" TargetMode="External"/><Relationship Id="rId591" Type="http://schemas.openxmlformats.org/officeDocument/2006/relationships/hyperlink" Target="https://drive.google.com/file/d/1eVE-lCxbUlNH7-YGgiUbyQXMysi4YxYm/view?usp=drivesdk" TargetMode="External"/><Relationship Id="rId1186" Type="http://schemas.openxmlformats.org/officeDocument/2006/relationships/hyperlink" Target="https://drive.google.com/file/d/1oCYIZ3A3h_Atk2WmT9epdXO3AdLdzZn6/view?usp=drivesdk" TargetMode="External"/><Relationship Id="rId598" Type="http://schemas.openxmlformats.org/officeDocument/2006/relationships/hyperlink" Target="https://drive.google.com/file/d/1b5id8Z2_uP76pWjVUJRT44mCTshhg-_7/view?usp=drivesdk" TargetMode="External"/><Relationship Id="rId1187" Type="http://schemas.openxmlformats.org/officeDocument/2006/relationships/hyperlink" Target="https://drive.google.com/file/d/11sWex7jKveQZeyuHutPSEfoLLG3wPuUJ/view?usp=drivesdk" TargetMode="External"/><Relationship Id="rId597" Type="http://schemas.openxmlformats.org/officeDocument/2006/relationships/hyperlink" Target="https://drive.google.com/file/d/1kC_R-_InTxLi72opkKV_tpg8fncE4hcZ/view?usp=drivesdk" TargetMode="External"/><Relationship Id="rId1188" Type="http://schemas.openxmlformats.org/officeDocument/2006/relationships/hyperlink" Target="https://drive.google.com/file/d/15-fNv-w_EYbUj3hP_RrWjmQtKmIxjNcl/view?usp=drivesdk" TargetMode="External"/><Relationship Id="rId596" Type="http://schemas.openxmlformats.org/officeDocument/2006/relationships/hyperlink" Target="https://drive.google.com/file/d/1Wu37bIilIEhyFAd60cmUu4U-LvXfjohq/view?usp=drivesdk" TargetMode="External"/><Relationship Id="rId1189" Type="http://schemas.openxmlformats.org/officeDocument/2006/relationships/hyperlink" Target="https://drive.google.com/file/d/1WRp-XKYuoC--ZzptdZHr_Zl2Y1f41l8M/view?usp=drivesdk" TargetMode="External"/><Relationship Id="rId595" Type="http://schemas.openxmlformats.org/officeDocument/2006/relationships/hyperlink" Target="https://drive.google.com/file/d/1t_1Ta5v64ZRnXNjpz_IhVas3VlhZn4fQ/view?usp=drivesdk" TargetMode="External"/><Relationship Id="rId1136" Type="http://schemas.openxmlformats.org/officeDocument/2006/relationships/hyperlink" Target="https://drive.google.com/file/d/1Xd95UC9a8EypRwXNiA8-mQL16juPYOUX/view?usp=drivesdk" TargetMode="External"/><Relationship Id="rId2467" Type="http://schemas.openxmlformats.org/officeDocument/2006/relationships/hyperlink" Target="https://drive.google.com/file/d/17-wgGNPZwtL6rEYJQatdPfEg3Zj4LlVp/view?usp=drivesdk" TargetMode="External"/><Relationship Id="rId1137" Type="http://schemas.openxmlformats.org/officeDocument/2006/relationships/hyperlink" Target="https://drive.google.com/file/d/1JJZqD0s4reGHNz-ea1R4J-gV8vE42oJu/view?usp=drivesdk" TargetMode="External"/><Relationship Id="rId2468" Type="http://schemas.openxmlformats.org/officeDocument/2006/relationships/hyperlink" Target="https://drive.google.com/file/d/1Jiqe2wOvjNTwwh15yI5l8MIejzUR62bQ/view?usp=drivesdk" TargetMode="External"/><Relationship Id="rId1138" Type="http://schemas.openxmlformats.org/officeDocument/2006/relationships/hyperlink" Target="https://drive.google.com/file/d/16jeWCrE7AO_UDEe7e7alW4QHOsuvFwnV/view?usp=drivesdk" TargetMode="External"/><Relationship Id="rId2469" Type="http://schemas.openxmlformats.org/officeDocument/2006/relationships/hyperlink" Target="https://drive.google.com/file/d/1O9o-IM6QAwdSD3z77TMTSt_bwseJOoxk/view?usp=drivesdk" TargetMode="External"/><Relationship Id="rId1139" Type="http://schemas.openxmlformats.org/officeDocument/2006/relationships/hyperlink" Target="https://drive.google.com/file/d/17KOW6DnkEyn_l_a8fa5ND--4kSpBVYsG/view?usp=drivesdk" TargetMode="External"/><Relationship Id="rId547" Type="http://schemas.openxmlformats.org/officeDocument/2006/relationships/hyperlink" Target="https://drive.google.com/file/d/1A13UMziu1Wx1cewaRi5PBRW15UovHrui/view?usp=drivesdk" TargetMode="External"/><Relationship Id="rId546" Type="http://schemas.openxmlformats.org/officeDocument/2006/relationships/hyperlink" Target="https://drive.google.com/file/d/1dXG8OJ-s5Uzs24mWLcN6FVS3RtfNb9p2/view?usp=drivesdk" TargetMode="External"/><Relationship Id="rId545" Type="http://schemas.openxmlformats.org/officeDocument/2006/relationships/hyperlink" Target="https://drive.google.com/file/d/1tO6CTx_0r41JlP8AINGS6eNVMLtJKTue/view?usp=drivesdk" TargetMode="External"/><Relationship Id="rId544" Type="http://schemas.openxmlformats.org/officeDocument/2006/relationships/hyperlink" Target="https://drive.google.com/file/d/1MLqE41WBXXBhu7YLW0Zv0oPbdd9eeBce/view?usp=drivesdk" TargetMode="External"/><Relationship Id="rId549" Type="http://schemas.openxmlformats.org/officeDocument/2006/relationships/hyperlink" Target="https://drive.google.com/file/d/1bOhNXQijxEgh4Kj7dhi6wRucTS5G6xbO/view?usp=drivesdk" TargetMode="External"/><Relationship Id="rId548" Type="http://schemas.openxmlformats.org/officeDocument/2006/relationships/hyperlink" Target="https://drive.google.com/file/d/1yEdX6zFFS9G5xecy3Zj5_9wVwftMV2UE/view?usp=drivesdk" TargetMode="External"/><Relationship Id="rId2460" Type="http://schemas.openxmlformats.org/officeDocument/2006/relationships/hyperlink" Target="https://drive.google.com/file/d/19LNgQY4aAE8NOtLkCHGRPgEmv-PwUDkf/view?usp=drivesdk" TargetMode="External"/><Relationship Id="rId1130" Type="http://schemas.openxmlformats.org/officeDocument/2006/relationships/hyperlink" Target="https://drive.google.com/file/d/11HHY1DhMIw5Jt3ifNiw2FSzGZAlHaTWc/view?usp=drivesdk" TargetMode="External"/><Relationship Id="rId2461" Type="http://schemas.openxmlformats.org/officeDocument/2006/relationships/hyperlink" Target="https://drive.google.com/file/d/1mWHWKkVq6BilZwniJ1YPf3kKFnahjts7/view?usp=drivesdk" TargetMode="External"/><Relationship Id="rId1131" Type="http://schemas.openxmlformats.org/officeDocument/2006/relationships/hyperlink" Target="https://drive.google.com/file/d/1i22pNvJdOKil2YjUFRJsbzihIjBDwr0D/view?usp=drivesdk" TargetMode="External"/><Relationship Id="rId2462" Type="http://schemas.openxmlformats.org/officeDocument/2006/relationships/hyperlink" Target="https://drive.google.com/file/d/1tPKLdTFqIGFW4cqhMZC7Yr25fvDeEOP4/view?usp=drivesdk" TargetMode="External"/><Relationship Id="rId543" Type="http://schemas.openxmlformats.org/officeDocument/2006/relationships/hyperlink" Target="https://drive.google.com/file/d/1Ma4Ik60HmA5Wd8aZgjVgbueJGW8edvaX/view?usp=drivesdk" TargetMode="External"/><Relationship Id="rId1132" Type="http://schemas.openxmlformats.org/officeDocument/2006/relationships/hyperlink" Target="https://drive.google.com/file/d/16jE_US35YKNPq7V9h_dnE4HPYPThP32o/view?usp=drivesdk" TargetMode="External"/><Relationship Id="rId2463" Type="http://schemas.openxmlformats.org/officeDocument/2006/relationships/hyperlink" Target="https://drive.google.com/file/d/1vyO_YNL5gLoz0OBEYZ9kLrmMmH2YlP79/view?usp=drivesdk" TargetMode="External"/><Relationship Id="rId542" Type="http://schemas.openxmlformats.org/officeDocument/2006/relationships/hyperlink" Target="https://drive.google.com/file/d/1V7UFaNoVrI2M_g0YAfROloNHMwkg59IN/view?usp=drivesdk" TargetMode="External"/><Relationship Id="rId1133" Type="http://schemas.openxmlformats.org/officeDocument/2006/relationships/hyperlink" Target="https://drive.google.com/file/d/1S2RFw6xaGsXFBbQ_5G_loaBiDBP_KRy9/view?usp=drivesdk" TargetMode="External"/><Relationship Id="rId2464" Type="http://schemas.openxmlformats.org/officeDocument/2006/relationships/hyperlink" Target="https://drive.google.com/file/d/1L7jIX4b7NUY2KcEEPpbjKM2uA4LiKxQQ/view?usp=drivesdk" TargetMode="External"/><Relationship Id="rId541" Type="http://schemas.openxmlformats.org/officeDocument/2006/relationships/hyperlink" Target="https://drive.google.com/file/d/1-_nqeFaAjH1Om4M9pTrpOXbibw2HMm81/view?usp=drivesdk" TargetMode="External"/><Relationship Id="rId1134" Type="http://schemas.openxmlformats.org/officeDocument/2006/relationships/hyperlink" Target="https://drive.google.com/file/d/10Lx18Hb5C_MI7gzdQ3xa-7WyCAueO4Vw/view?usp=drivesdk" TargetMode="External"/><Relationship Id="rId2465" Type="http://schemas.openxmlformats.org/officeDocument/2006/relationships/hyperlink" Target="https://drive.google.com/file/d/1TOZ9euIliRhkN1zDzYb6v8ankkIXs-ya/view?usp=drivesdk" TargetMode="External"/><Relationship Id="rId540" Type="http://schemas.openxmlformats.org/officeDocument/2006/relationships/hyperlink" Target="https://drive.google.com/file/d/1JiCpM3GBMboleEO7mO1cyDcLD7k6QP8D/view?usp=drivesdk" TargetMode="External"/><Relationship Id="rId1135" Type="http://schemas.openxmlformats.org/officeDocument/2006/relationships/hyperlink" Target="https://drive.google.com/file/d/1aCDmZZ8H9clPp2gVRNCCngQDTDo1R9s5/view?usp=drivesdk" TargetMode="External"/><Relationship Id="rId2466" Type="http://schemas.openxmlformats.org/officeDocument/2006/relationships/hyperlink" Target="https://drive.google.com/file/d/1vwoFAupWbe8Bgv7842QySg1LaEqoDDe_/view?usp=drivesdk" TargetMode="External"/><Relationship Id="rId1125" Type="http://schemas.openxmlformats.org/officeDocument/2006/relationships/hyperlink" Target="https://drive.google.com/file/d/1-h4AeCKF0tncBY8p2kgJjJ4CQezmJNtx/view?usp=drivesdk" TargetMode="External"/><Relationship Id="rId2456" Type="http://schemas.openxmlformats.org/officeDocument/2006/relationships/hyperlink" Target="https://drive.google.com/file/d/1GJ1TkFgZk1zziaW-LwEzlbPoGlAfjX81/view?usp=drivesdk" TargetMode="External"/><Relationship Id="rId1126" Type="http://schemas.openxmlformats.org/officeDocument/2006/relationships/hyperlink" Target="https://drive.google.com/file/d/1PTd-ayx-9XGJUc0TnmfMMQzyVDrmLsrS/view?usp=drivesdk" TargetMode="External"/><Relationship Id="rId2457" Type="http://schemas.openxmlformats.org/officeDocument/2006/relationships/hyperlink" Target="https://drive.google.com/file/d/101cmDqz2Qax5SOrZCpFnyKsko_tw1UW3/view?usp=drivesdk" TargetMode="External"/><Relationship Id="rId1127" Type="http://schemas.openxmlformats.org/officeDocument/2006/relationships/hyperlink" Target="https://drive.google.com/file/d/14g9vEqBZ-E5DAr0zFvoj5a0l_QKf7HEo/view?usp=drivesdk" TargetMode="External"/><Relationship Id="rId2458" Type="http://schemas.openxmlformats.org/officeDocument/2006/relationships/hyperlink" Target="https://drive.google.com/file/d/1ytNNieBfW6njVZa_pFpdio4LUZmKmvXl/view?usp=drivesdk" TargetMode="External"/><Relationship Id="rId1128" Type="http://schemas.openxmlformats.org/officeDocument/2006/relationships/hyperlink" Target="https://drive.google.com/file/d/1MNI9F_b-INeCuIQLWmRv_4mFyoF1dA8l/view?usp=drivesdk" TargetMode="External"/><Relationship Id="rId2459" Type="http://schemas.openxmlformats.org/officeDocument/2006/relationships/hyperlink" Target="https://drive.google.com/file/d/18ezWy7djA945zL8CbFQlhWO8EZS4wwS1/view?usp=drivesdk" TargetMode="External"/><Relationship Id="rId1129" Type="http://schemas.openxmlformats.org/officeDocument/2006/relationships/hyperlink" Target="https://drive.google.com/file/d/1ELJ2rVWHlx9zJRsE_POcYvkhc00dGKdv/view?usp=drivesdk" TargetMode="External"/><Relationship Id="rId536" Type="http://schemas.openxmlformats.org/officeDocument/2006/relationships/hyperlink" Target="https://drive.google.com/file/d/1rgxOiziQddWT9NZ68KsqMwaKsYAxGwY5/view?usp=drivesdk" TargetMode="External"/><Relationship Id="rId535" Type="http://schemas.openxmlformats.org/officeDocument/2006/relationships/hyperlink" Target="https://drive.google.com/file/d/1_-oK1kgN0rqGzgqKOEopXZA_aycerClh/view?usp=drivesdk" TargetMode="External"/><Relationship Id="rId534" Type="http://schemas.openxmlformats.org/officeDocument/2006/relationships/hyperlink" Target="https://drive.google.com/file/d/1JwbbTtqp1CeQGjjwKLHnx5YCvp0y-b2Y/view?usp=drivesdk" TargetMode="External"/><Relationship Id="rId533" Type="http://schemas.openxmlformats.org/officeDocument/2006/relationships/hyperlink" Target="https://drive.google.com/file/d/1-s9bMvlhmlKFsiRLDFI3bl4L2X7mIKeh/view?usp=drivesdk" TargetMode="External"/><Relationship Id="rId539" Type="http://schemas.openxmlformats.org/officeDocument/2006/relationships/hyperlink" Target="https://drive.google.com/file/d/12Grha0IblEDRDsru1sBT-e5WAtsgYAtY/view?usp=drivesdk" TargetMode="External"/><Relationship Id="rId538" Type="http://schemas.openxmlformats.org/officeDocument/2006/relationships/hyperlink" Target="https://drive.google.com/file/d/1kRAZv8AQgJWtv6psSuoq4TlL6AlstG91/view?usp=drivesdk" TargetMode="External"/><Relationship Id="rId537" Type="http://schemas.openxmlformats.org/officeDocument/2006/relationships/hyperlink" Target="https://drive.google.com/file/d/1pIIG0ZQBb46cqDdsTz5tB3FytjK5h1Hi/view?usp=drivesdk" TargetMode="External"/><Relationship Id="rId2450" Type="http://schemas.openxmlformats.org/officeDocument/2006/relationships/hyperlink" Target="https://drive.google.com/file/d/1-STrPNxtwFZUvuNyyXDlz1bTmYscRd6t/view?usp=drivesdk" TargetMode="External"/><Relationship Id="rId1120" Type="http://schemas.openxmlformats.org/officeDocument/2006/relationships/hyperlink" Target="https://drive.google.com/file/d/145d_CA8T5qtTk-xcEGngNcczxZO4b9ij/view?usp=drivesdk" TargetMode="External"/><Relationship Id="rId2451" Type="http://schemas.openxmlformats.org/officeDocument/2006/relationships/hyperlink" Target="https://drive.google.com/file/d/1VxdhYWAzQnqcs07E_QIp8DFonsZrBpYe/view?usp=drivesdk" TargetMode="External"/><Relationship Id="rId532" Type="http://schemas.openxmlformats.org/officeDocument/2006/relationships/hyperlink" Target="https://drive.google.com/file/d/1rFt4mm_xpIAlONL-Q0W7ajrXVkxbYYyz/view?usp=drivesdk" TargetMode="External"/><Relationship Id="rId1121" Type="http://schemas.openxmlformats.org/officeDocument/2006/relationships/hyperlink" Target="https://drive.google.com/file/d/16fIu9vCQlb-Liuv0d6QNpzUH_0j6Wszs/view?usp=drivesdk" TargetMode="External"/><Relationship Id="rId2452" Type="http://schemas.openxmlformats.org/officeDocument/2006/relationships/hyperlink" Target="https://drive.google.com/file/d/1UOMf-snqsk6_xm9569d5Yr7tIrEVriap/view?usp=drivesdk" TargetMode="External"/><Relationship Id="rId531" Type="http://schemas.openxmlformats.org/officeDocument/2006/relationships/hyperlink" Target="https://drive.google.com/file/d/1_8LuLjeXmn9z8_he_OHlfUHjZJ7pyxJk/view?usp=drivesdk" TargetMode="External"/><Relationship Id="rId1122" Type="http://schemas.openxmlformats.org/officeDocument/2006/relationships/hyperlink" Target="https://drive.google.com/file/d/1sG4y8zj0eD26U_-ccB6XYJYyLcy9IIAU/view?usp=drivesdk" TargetMode="External"/><Relationship Id="rId2453" Type="http://schemas.openxmlformats.org/officeDocument/2006/relationships/hyperlink" Target="https://drive.google.com/file/d/19KQFSemeD8gmmrYhmcTweZW1cifRjRsN/view?usp=drivesdk" TargetMode="External"/><Relationship Id="rId530" Type="http://schemas.openxmlformats.org/officeDocument/2006/relationships/hyperlink" Target="https://drive.google.com/file/d/1INrYgOm8wfcMzqBNbAQZt3Ri3ZSuSpJ1/view?usp=drivesdk" TargetMode="External"/><Relationship Id="rId1123" Type="http://schemas.openxmlformats.org/officeDocument/2006/relationships/hyperlink" Target="https://drive.google.com/file/d/1IvnhnRqpaQxDIW6jkeFJ2j-TXawb-FQX/view?usp=drivesdk" TargetMode="External"/><Relationship Id="rId2454" Type="http://schemas.openxmlformats.org/officeDocument/2006/relationships/hyperlink" Target="https://drive.google.com/file/d/1-SaG8WiDfkM6zwdVOonoQg1W2TXK8F2W/view?usp=drivesdk" TargetMode="External"/><Relationship Id="rId1124" Type="http://schemas.openxmlformats.org/officeDocument/2006/relationships/hyperlink" Target="https://drive.google.com/file/d/1oUiWiRTeF5NO9j1I0dU-MesXSg3OdZcD/view?usp=drivesdk" TargetMode="External"/><Relationship Id="rId2455" Type="http://schemas.openxmlformats.org/officeDocument/2006/relationships/hyperlink" Target="https://drive.google.com/file/d/122eQrKxq-6WpHqYSHCbu_61qufpfQpP1/view?usp=drivesdk" TargetMode="External"/><Relationship Id="rId1158" Type="http://schemas.openxmlformats.org/officeDocument/2006/relationships/hyperlink" Target="https://drive.google.com/file/d/1K1WaixSpclO_JCGx4Upc_1N4qwCDS3ZM/view?usp=drivesdk" TargetMode="External"/><Relationship Id="rId2489" Type="http://schemas.openxmlformats.org/officeDocument/2006/relationships/hyperlink" Target="https://drive.google.com/file/d/1bHfJ-3gEyIURBJhF8bZZGAbZGtPK135A/view?usp=drivesdk" TargetMode="External"/><Relationship Id="rId1159" Type="http://schemas.openxmlformats.org/officeDocument/2006/relationships/hyperlink" Target="https://drive.google.com/file/d/1qkc9JQ29jHCDBeBixkt3JV0SvVijPHtf/view?usp=drivesdk" TargetMode="External"/><Relationship Id="rId569" Type="http://schemas.openxmlformats.org/officeDocument/2006/relationships/hyperlink" Target="https://drive.google.com/file/d/1hWi3x-TCNfd-F1_H_mFJPH6IWPCclXrx/view?usp=drivesdk" TargetMode="External"/><Relationship Id="rId568" Type="http://schemas.openxmlformats.org/officeDocument/2006/relationships/hyperlink" Target="https://drive.google.com/file/d/1xG0iV_PsqzgoLeqw0r757PVu76I-ewez/view?usp=drivesdk" TargetMode="External"/><Relationship Id="rId567" Type="http://schemas.openxmlformats.org/officeDocument/2006/relationships/hyperlink" Target="https://drive.google.com/file/d/1OVX2qQByWg6mFZduAzvtJmyFYI6v1OI-/view?usp=drivesdk" TargetMode="External"/><Relationship Id="rId566" Type="http://schemas.openxmlformats.org/officeDocument/2006/relationships/hyperlink" Target="https://drive.google.com/file/d/15Lqbo2RhHIDgeHQ67dSIbTmFtVTyHit4/view?usp=drivesdk" TargetMode="External"/><Relationship Id="rId2480" Type="http://schemas.openxmlformats.org/officeDocument/2006/relationships/hyperlink" Target="https://drive.google.com/file/d/1JQppLKOXxrmIyxFhDZtY85ZoIv_TVdh_/view?usp=drivesdk" TargetMode="External"/><Relationship Id="rId561" Type="http://schemas.openxmlformats.org/officeDocument/2006/relationships/hyperlink" Target="https://drive.google.com/file/d/1_KRn5c6ILT1V6OnrHEFHw_R_vd9Ymlbc/view?usp=drivesdk" TargetMode="External"/><Relationship Id="rId1150" Type="http://schemas.openxmlformats.org/officeDocument/2006/relationships/hyperlink" Target="https://drive.google.com/file/d/1w0IU_kNe8U18EzEhF64mMZHAkk4IC1X5/view?usp=drivesdk" TargetMode="External"/><Relationship Id="rId2481" Type="http://schemas.openxmlformats.org/officeDocument/2006/relationships/hyperlink" Target="https://drive.google.com/file/d/1vDgLj9eoT-VnSILsFHRQ12VvtSFTsWUV/view?usp=drivesdk" TargetMode="External"/><Relationship Id="rId560" Type="http://schemas.openxmlformats.org/officeDocument/2006/relationships/hyperlink" Target="https://drive.google.com/file/d/1tYc1ZJj5RRIeL4CGwDnRflS6fcpKfnpZ/view?usp=drivesdk" TargetMode="External"/><Relationship Id="rId1151" Type="http://schemas.openxmlformats.org/officeDocument/2006/relationships/hyperlink" Target="https://drive.google.com/file/d/1_T2Mj56V6qmxm9CR0TYRyRQDmxxgQQ6o/view?usp=drivesdk" TargetMode="External"/><Relationship Id="rId2482" Type="http://schemas.openxmlformats.org/officeDocument/2006/relationships/hyperlink" Target="https://drive.google.com/file/d/1vapTuoFWQvT1qaSJqcvZzdcKGuZPcOor/view?usp=drivesdk" TargetMode="External"/><Relationship Id="rId1152" Type="http://schemas.openxmlformats.org/officeDocument/2006/relationships/hyperlink" Target="https://drive.google.com/file/d/13M2wvNnqLsmGIaIfTlBUWKDzXDBZoOym/view?usp=drivesdk" TargetMode="External"/><Relationship Id="rId2483" Type="http://schemas.openxmlformats.org/officeDocument/2006/relationships/hyperlink" Target="https://drive.google.com/file/d/1_YiZ9ym1etIoqiYTErFO56HCfNn-rWNe/view?usp=drivesdk" TargetMode="External"/><Relationship Id="rId1153" Type="http://schemas.openxmlformats.org/officeDocument/2006/relationships/hyperlink" Target="https://drive.google.com/file/d/1WHTsvI8cXTsHTMzEARtyQibIRkXP6qPR/view?usp=drivesdk" TargetMode="External"/><Relationship Id="rId2484" Type="http://schemas.openxmlformats.org/officeDocument/2006/relationships/hyperlink" Target="https://drive.google.com/file/d/1TJ6nnv7-YYGU9DUh1ApFGirYy6BbChHy/view?usp=drivesdk" TargetMode="External"/><Relationship Id="rId565" Type="http://schemas.openxmlformats.org/officeDocument/2006/relationships/hyperlink" Target="https://drive.google.com/file/d/1MTGbOPuWU5Zdtv0IQhwqEFpK1vBJ2LLn/view?usp=drivesdk" TargetMode="External"/><Relationship Id="rId1154" Type="http://schemas.openxmlformats.org/officeDocument/2006/relationships/hyperlink" Target="https://drive.google.com/file/d/1n1-6IIrMR1Ro9OHDYaG2T252mQaAxD4l/view?usp=drivesdk" TargetMode="External"/><Relationship Id="rId2485" Type="http://schemas.openxmlformats.org/officeDocument/2006/relationships/hyperlink" Target="https://drive.google.com/file/d/1VSCtSsv8HPQ12k-JKTjSEPJB-QhdOcwt/view?usp=drivesdk" TargetMode="External"/><Relationship Id="rId564" Type="http://schemas.openxmlformats.org/officeDocument/2006/relationships/hyperlink" Target="https://drive.google.com/file/d/1aUnL3AC6Lag2YL3jIv0MCpVVEJexlUqN/view?usp=drivesdk" TargetMode="External"/><Relationship Id="rId1155" Type="http://schemas.openxmlformats.org/officeDocument/2006/relationships/hyperlink" Target="https://drive.google.com/file/d/1SO2NgOMKNAEqNm3qpHy0seNyhM-OCyRn/view?usp=drivesdk" TargetMode="External"/><Relationship Id="rId2486" Type="http://schemas.openxmlformats.org/officeDocument/2006/relationships/hyperlink" Target="https://drive.google.com/file/d/1NONRrVPLj3_SNxu7Ptx53k4VBPMr7tIo/view?usp=drivesdk" TargetMode="External"/><Relationship Id="rId563" Type="http://schemas.openxmlformats.org/officeDocument/2006/relationships/hyperlink" Target="https://drive.google.com/file/d/12iphP7b9Dy_cRnYWgcnh0NSggqkB0b_Q/view?usp=drivesdk" TargetMode="External"/><Relationship Id="rId1156" Type="http://schemas.openxmlformats.org/officeDocument/2006/relationships/hyperlink" Target="https://drive.google.com/file/d/1nkNVboN9bTFC6MiGQ5olQygyRQ-tqNPO/view?usp=drivesdk" TargetMode="External"/><Relationship Id="rId2487" Type="http://schemas.openxmlformats.org/officeDocument/2006/relationships/hyperlink" Target="https://drive.google.com/file/d/1LH5FS1-bb7IdYkCgO31BjONeTKWAtRQN/view?usp=drivesdk" TargetMode="External"/><Relationship Id="rId562" Type="http://schemas.openxmlformats.org/officeDocument/2006/relationships/hyperlink" Target="https://drive.google.com/file/d/1w73SBsRo3_tt8THmjDfToeYcZ00h7otm/view?usp=drivesdk" TargetMode="External"/><Relationship Id="rId1157" Type="http://schemas.openxmlformats.org/officeDocument/2006/relationships/hyperlink" Target="https://drive.google.com/file/d/1sigMeAZiOAXFjIsNrKvpBxuAh_CbDGu3/view?usp=drivesdk" TargetMode="External"/><Relationship Id="rId2488" Type="http://schemas.openxmlformats.org/officeDocument/2006/relationships/hyperlink" Target="https://drive.google.com/file/d/1n-j6Aip_Ueqh39JoVXmnujoaVUR_DnRz/view?usp=drivesdk" TargetMode="External"/><Relationship Id="rId1147" Type="http://schemas.openxmlformats.org/officeDocument/2006/relationships/hyperlink" Target="https://drive.google.com/file/d/1mOzkLmNERiEw01oa1MU1cWAnNNyStAiJ/view?usp=drivesdk" TargetMode="External"/><Relationship Id="rId2478" Type="http://schemas.openxmlformats.org/officeDocument/2006/relationships/hyperlink" Target="https://drive.google.com/file/d/1pi6g99iJYyhyD_0jGvDca_hbleDdekCp/view?usp=drivesdk" TargetMode="External"/><Relationship Id="rId1148" Type="http://schemas.openxmlformats.org/officeDocument/2006/relationships/hyperlink" Target="https://drive.google.com/file/d/1qnQiM7kFMXwYbP2TJAp3_kCcCqvEjKr-/view?usp=drivesdk" TargetMode="External"/><Relationship Id="rId2479" Type="http://schemas.openxmlformats.org/officeDocument/2006/relationships/hyperlink" Target="https://drive.google.com/file/d/17sgB6ScmXf8Wli1_dKWf0wpvxkNJRZtC/view?usp=drivesdk" TargetMode="External"/><Relationship Id="rId1149" Type="http://schemas.openxmlformats.org/officeDocument/2006/relationships/hyperlink" Target="https://drive.google.com/file/d/1UEXi-T2t0RdRKECqQyaRCiaq-UXwCJiC/view?usp=drivesdk" TargetMode="External"/><Relationship Id="rId558" Type="http://schemas.openxmlformats.org/officeDocument/2006/relationships/hyperlink" Target="https://drive.google.com/file/d/11N_qm1jefvRJTpRoz1H_fDC9T9Uo_MYM/view?usp=drivesdk" TargetMode="External"/><Relationship Id="rId557" Type="http://schemas.openxmlformats.org/officeDocument/2006/relationships/hyperlink" Target="https://drive.google.com/file/d/1p1qfqsqSynrvTPerVD4NgQH8Y6mqaXU6/view?usp=drivesdk" TargetMode="External"/><Relationship Id="rId556" Type="http://schemas.openxmlformats.org/officeDocument/2006/relationships/hyperlink" Target="https://drive.google.com/file/d/1Rxggnxz-MwIiSQIguFknoJI7JLzCagao/view?usp=drivesdk" TargetMode="External"/><Relationship Id="rId555" Type="http://schemas.openxmlformats.org/officeDocument/2006/relationships/hyperlink" Target="https://drive.google.com/file/d/1iM0MJgBUo18pVKWRJM13y7ZbOSMAZKhn/view?usp=drivesdk" TargetMode="External"/><Relationship Id="rId559" Type="http://schemas.openxmlformats.org/officeDocument/2006/relationships/hyperlink" Target="https://drive.google.com/file/d/1MBbG4NwhRszoEhvA9UqTK9LCJGAbEDxB/view?usp=drivesdk" TargetMode="External"/><Relationship Id="rId550" Type="http://schemas.openxmlformats.org/officeDocument/2006/relationships/hyperlink" Target="https://drive.google.com/file/d/14sTTUHHxEAS5sWrJSedLBys_hOOx7kwl/view?usp=drivesdk" TargetMode="External"/><Relationship Id="rId2470" Type="http://schemas.openxmlformats.org/officeDocument/2006/relationships/hyperlink" Target="https://drive.google.com/file/d/1jEva3KZqbW-ONMklgs2Rg6dqi_PQzPiT/view?usp=drivesdk" TargetMode="External"/><Relationship Id="rId1140" Type="http://schemas.openxmlformats.org/officeDocument/2006/relationships/hyperlink" Target="https://drive.google.com/file/d/1crXppj_Se6wfgmCYxKpUqaTE6iVzytcy/view?usp=drivesdk" TargetMode="External"/><Relationship Id="rId2471" Type="http://schemas.openxmlformats.org/officeDocument/2006/relationships/hyperlink" Target="https://drive.google.com/file/d/1regWIorXDhOmWYb_teCbaUslSpKLmqk8/view?usp=drivesdk" TargetMode="External"/><Relationship Id="rId1141" Type="http://schemas.openxmlformats.org/officeDocument/2006/relationships/hyperlink" Target="https://drive.google.com/file/d/1XjGCxNCS_Qrfviw5gVJTm9-fhlfhnMNp/view?usp=drivesdk" TargetMode="External"/><Relationship Id="rId2472" Type="http://schemas.openxmlformats.org/officeDocument/2006/relationships/hyperlink" Target="https://drive.google.com/file/d/14Gn77igqT7z48cFv6fyuoc9vsjaDleJT/view?usp=drivesdk" TargetMode="External"/><Relationship Id="rId1142" Type="http://schemas.openxmlformats.org/officeDocument/2006/relationships/hyperlink" Target="https://drive.google.com/file/d/1cQQSFE193cNSHxz7lNvmOP6Ik5q6z_D6/view?usp=drivesdk" TargetMode="External"/><Relationship Id="rId2473" Type="http://schemas.openxmlformats.org/officeDocument/2006/relationships/hyperlink" Target="https://drive.google.com/file/d/1AeJCeDtR27X7LIlQj69LZhU8lw_irjTZ/view?usp=drivesdk" TargetMode="External"/><Relationship Id="rId554" Type="http://schemas.openxmlformats.org/officeDocument/2006/relationships/hyperlink" Target="https://drive.google.com/file/d/13kMd5gdnNjeV3i4RLjgrwxu2N97r8sr9/view?usp=drivesdk" TargetMode="External"/><Relationship Id="rId1143" Type="http://schemas.openxmlformats.org/officeDocument/2006/relationships/hyperlink" Target="https://drive.google.com/file/d/1qGttIW2KGjC3SBLZXz-N2CqkyCqCDBVw/view?usp=drivesdk" TargetMode="External"/><Relationship Id="rId2474" Type="http://schemas.openxmlformats.org/officeDocument/2006/relationships/hyperlink" Target="https://drive.google.com/file/d/1GrUOAhTHghIcwyEiFpklKuM_OleLXBcC/view?usp=drivesdk" TargetMode="External"/><Relationship Id="rId553" Type="http://schemas.openxmlformats.org/officeDocument/2006/relationships/hyperlink" Target="https://drive.google.com/file/d/1lMYMyTdUxng9kA4vr7ZafvBPZQntsVeE/view?usp=drivesdk" TargetMode="External"/><Relationship Id="rId1144" Type="http://schemas.openxmlformats.org/officeDocument/2006/relationships/hyperlink" Target="https://drive.google.com/file/d/1ruVWfjrff_H_DfXOgpfSBRkjv8wk0WMg/view?usp=drivesdk" TargetMode="External"/><Relationship Id="rId2475" Type="http://schemas.openxmlformats.org/officeDocument/2006/relationships/hyperlink" Target="https://drive.google.com/file/d/1W3AEU5DVdupmSq7M9uQdZobAM5ZqFYM0/view?usp=drivesdk" TargetMode="External"/><Relationship Id="rId552" Type="http://schemas.openxmlformats.org/officeDocument/2006/relationships/hyperlink" Target="https://drive.google.com/file/d/1rRa5Ov_4KH959CW4vVY3vtN9KAqvjbYg/view?usp=drivesdk" TargetMode="External"/><Relationship Id="rId1145" Type="http://schemas.openxmlformats.org/officeDocument/2006/relationships/hyperlink" Target="https://drive.google.com/file/d/1dGYOB34NEJuNyBs1vIB2Uku-65g4BkQt/view?usp=drivesdk" TargetMode="External"/><Relationship Id="rId2476" Type="http://schemas.openxmlformats.org/officeDocument/2006/relationships/hyperlink" Target="https://drive.google.com/file/d/1Zty8FHdgF4Nqed1S2bjomumBBiyC8Mfz/view?usp=drivesdk" TargetMode="External"/><Relationship Id="rId551" Type="http://schemas.openxmlformats.org/officeDocument/2006/relationships/hyperlink" Target="https://drive.google.com/file/d/19VutC3kb75QkZ31e54mWSOZVCDxwToZf/view?usp=drivesdk" TargetMode="External"/><Relationship Id="rId1146" Type="http://schemas.openxmlformats.org/officeDocument/2006/relationships/hyperlink" Target="https://drive.google.com/file/d/1vadNfsWrki4ArFW08K47TxkquoK64dJU/view?usp=drivesdk" TargetMode="External"/><Relationship Id="rId2477" Type="http://schemas.openxmlformats.org/officeDocument/2006/relationships/hyperlink" Target="https://drive.google.com/file/d/1fNwzy4f6SEAeVccICF8BD0SDAIH7uPVr/view?usp=drivesdk" TargetMode="External"/><Relationship Id="rId495" Type="http://schemas.openxmlformats.org/officeDocument/2006/relationships/hyperlink" Target="https://drive.google.com/file/d/1Tek4QKDewflsXjmUSyzDZRI8EeKeRVM6/view?usp=drivesdk" TargetMode="External"/><Relationship Id="rId494" Type="http://schemas.openxmlformats.org/officeDocument/2006/relationships/hyperlink" Target="https://drive.google.com/file/d/1AvzMsyrLDlXR5sYqv4e7W5gNCldzc4Az/view?usp=drivesdk" TargetMode="External"/><Relationship Id="rId493" Type="http://schemas.openxmlformats.org/officeDocument/2006/relationships/hyperlink" Target="https://drive.google.com/file/d/1JIS73Lg2BDMm6c52zcPRO3mJzXbelLUy/view?usp=drivesdk" TargetMode="External"/><Relationship Id="rId492" Type="http://schemas.openxmlformats.org/officeDocument/2006/relationships/hyperlink" Target="https://drive.google.com/file/d/1n_Kdh3QRrMvpN-x2XFBVnDzGh9xRcqNM/view?usp=drivesdk" TargetMode="External"/><Relationship Id="rId499" Type="http://schemas.openxmlformats.org/officeDocument/2006/relationships/hyperlink" Target="https://drive.google.com/file/d/1i1CbRERxyKW1FFbhZ8l_KsOGenombCL-/view?usp=drivesdk" TargetMode="External"/><Relationship Id="rId498" Type="http://schemas.openxmlformats.org/officeDocument/2006/relationships/hyperlink" Target="https://drive.google.com/file/d/1bsa9ewTKv6aoDFvv5XO6HEaALNY6zd6o/view?usp=drivesdk" TargetMode="External"/><Relationship Id="rId497" Type="http://schemas.openxmlformats.org/officeDocument/2006/relationships/hyperlink" Target="https://drive.google.com/file/d/1LTLAR0sx1VhEPiuPBd4cXSmF9Om2NCRO/view?usp=drivesdk" TargetMode="External"/><Relationship Id="rId496" Type="http://schemas.openxmlformats.org/officeDocument/2006/relationships/hyperlink" Target="https://drive.google.com/file/d/15xe_V5k9RTQpZVqg1qKFhmJ1oawQecuS/view?usp=drivesdk" TargetMode="External"/><Relationship Id="rId1213" Type="http://schemas.openxmlformats.org/officeDocument/2006/relationships/hyperlink" Target="https://drive.google.com/file/d/1e7jNnjKp7t9RRU85sdreGlwdO9-zUoov/view?usp=drivesdk" TargetMode="External"/><Relationship Id="rId2544" Type="http://schemas.openxmlformats.org/officeDocument/2006/relationships/hyperlink" Target="https://drive.google.com/file/d/1-8o-L3-LBDg-R5swBEF53YfzOD1dWuZJ/view?usp=drivesdk" TargetMode="External"/><Relationship Id="rId1214" Type="http://schemas.openxmlformats.org/officeDocument/2006/relationships/hyperlink" Target="https://drive.google.com/file/d/1vK9eteQJx_WNipJLXtsRzQgB6bupyk0J/view?usp=drivesdk" TargetMode="External"/><Relationship Id="rId2545" Type="http://schemas.openxmlformats.org/officeDocument/2006/relationships/hyperlink" Target="https://drive.google.com/file/d/1UFSIBKXNmPXd3__1cxrsTy9PbNax45wB/view?usp=drivesdk" TargetMode="External"/><Relationship Id="rId1215" Type="http://schemas.openxmlformats.org/officeDocument/2006/relationships/hyperlink" Target="https://drive.google.com/file/d/1vUT8wamDg9jdRv_NNs2V8z425TC6e-LD/view?usp=drivesdk" TargetMode="External"/><Relationship Id="rId2546" Type="http://schemas.openxmlformats.org/officeDocument/2006/relationships/hyperlink" Target="https://drive.google.com/file/d/1Kwdqeb9S0RNT_hHV1vR81MPGAjymnUQq/view?usp=drivesdk" TargetMode="External"/><Relationship Id="rId1216" Type="http://schemas.openxmlformats.org/officeDocument/2006/relationships/hyperlink" Target="https://drive.google.com/file/d/1z15pAQPZrPjJXCgao8gc5kzh4LXy8why/view?usp=drivesdk" TargetMode="External"/><Relationship Id="rId2547" Type="http://schemas.openxmlformats.org/officeDocument/2006/relationships/hyperlink" Target="https://drive.google.com/file/d/1ricWbnnQ27T1O2HoAIXHZb1YA8sK8_s2/view?usp=drivesdk" TargetMode="External"/><Relationship Id="rId1217" Type="http://schemas.openxmlformats.org/officeDocument/2006/relationships/hyperlink" Target="https://drive.google.com/file/d/1bFKx0A_XY92I_DOhIBXS1E-EV1cvW5VJ/view?usp=drivesdk" TargetMode="External"/><Relationship Id="rId2548" Type="http://schemas.openxmlformats.org/officeDocument/2006/relationships/hyperlink" Target="https://drive.google.com/file/d/1hiobo976wpKGT4ybTmzucLhLBTnypf_I/view?usp=drivesdk" TargetMode="External"/><Relationship Id="rId1218" Type="http://schemas.openxmlformats.org/officeDocument/2006/relationships/hyperlink" Target="https://drive.google.com/file/d/18U713TF3KVj5t2d2p2OvTOWGGbdjF50i/view?usp=drivesdk" TargetMode="External"/><Relationship Id="rId2549" Type="http://schemas.openxmlformats.org/officeDocument/2006/relationships/hyperlink" Target="https://drive.google.com/file/d/1jZb-p-3Rc26saHcNX9fyKAs8ayXvLp_G/view?usp=drivesdk" TargetMode="External"/><Relationship Id="rId1219" Type="http://schemas.openxmlformats.org/officeDocument/2006/relationships/hyperlink" Target="https://drive.google.com/file/d/1sNUaYKnm_4_Uy2ItWaxo-M-4_PKtcb3f/view?usp=drivesdk" TargetMode="External"/><Relationship Id="rId2540" Type="http://schemas.openxmlformats.org/officeDocument/2006/relationships/hyperlink" Target="https://drive.google.com/file/d/1Mxrn43qE4Nlk4SUVbyTVjT4uEEPF5pZu/view?usp=drivesdk" TargetMode="External"/><Relationship Id="rId1210" Type="http://schemas.openxmlformats.org/officeDocument/2006/relationships/hyperlink" Target="https://drive.google.com/file/d/1tjQTVO3JUK2yQQiLpX4DGhu7m8VZy5c2/view?usp=drivesdk" TargetMode="External"/><Relationship Id="rId2541" Type="http://schemas.openxmlformats.org/officeDocument/2006/relationships/hyperlink" Target="https://drive.google.com/file/d/1FFPuywkjnJ2hCvl_bCDbo0AuVlwdfYGa/view?usp=drivesdk" TargetMode="External"/><Relationship Id="rId1211" Type="http://schemas.openxmlformats.org/officeDocument/2006/relationships/hyperlink" Target="https://drive.google.com/file/d/1fVXjEJ1Pit3On7l531q_ubSf6_c1HT_w/view?usp=drivesdk" TargetMode="External"/><Relationship Id="rId2542" Type="http://schemas.openxmlformats.org/officeDocument/2006/relationships/hyperlink" Target="https://drive.google.com/file/d/12TiI13PmR3BQm4y9CSAIab7_hjQIonUH/view?usp=drivesdk" TargetMode="External"/><Relationship Id="rId1212" Type="http://schemas.openxmlformats.org/officeDocument/2006/relationships/hyperlink" Target="https://drive.google.com/file/d/1IHcTncSGzrFn9EPWQvoacI731tq-FbM-/view?usp=drivesdk" TargetMode="External"/><Relationship Id="rId2543" Type="http://schemas.openxmlformats.org/officeDocument/2006/relationships/hyperlink" Target="https://drive.google.com/file/d/1iWxdhqxc4T6twXLJR2WbGMzAHqB2cMPh/view?usp=drivesdk" TargetMode="External"/><Relationship Id="rId1202" Type="http://schemas.openxmlformats.org/officeDocument/2006/relationships/hyperlink" Target="https://drive.google.com/file/d/1WmGYm8bmezybTYwOXDheDPWCgdUPI7lg/view?usp=drivesdk" TargetMode="External"/><Relationship Id="rId2533" Type="http://schemas.openxmlformats.org/officeDocument/2006/relationships/hyperlink" Target="https://drive.google.com/file/d/1VVeqTkEjSzuu9KSkYUb2Q1_BeFG8ZFes/view?usp=drivesdk" TargetMode="External"/><Relationship Id="rId1203" Type="http://schemas.openxmlformats.org/officeDocument/2006/relationships/hyperlink" Target="https://drive.google.com/file/d/1ag8IXyFczoKJ7ihPxLKU-kUP8cnoRylc/view?usp=drivesdk" TargetMode="External"/><Relationship Id="rId2534" Type="http://schemas.openxmlformats.org/officeDocument/2006/relationships/hyperlink" Target="https://drive.google.com/file/d/1ANwIdy7vvKbUuPS6VZrKvVbqw28M1etr/view?usp=drivesdk" TargetMode="External"/><Relationship Id="rId1204" Type="http://schemas.openxmlformats.org/officeDocument/2006/relationships/hyperlink" Target="https://drive.google.com/file/d/1lA4UI28Jqzqe_ZSGG4TgwJ328VP7e947/view?usp=drivesdk" TargetMode="External"/><Relationship Id="rId2535" Type="http://schemas.openxmlformats.org/officeDocument/2006/relationships/hyperlink" Target="https://drive.google.com/file/d/1mAgtvtRNwI_LQ2ccnmAWuBfkaX8itu_d/view?usp=drivesdk" TargetMode="External"/><Relationship Id="rId1205" Type="http://schemas.openxmlformats.org/officeDocument/2006/relationships/hyperlink" Target="https://drive.google.com/file/d/1FRbv1v1I0OUeGQkPuarDhIH9taHMOH3h/view?usp=drivesdk" TargetMode="External"/><Relationship Id="rId2536" Type="http://schemas.openxmlformats.org/officeDocument/2006/relationships/hyperlink" Target="https://drive.google.com/file/d/1bQdPG6N4D0o1pKlwFaURIS3ouXnJPLk2/view?usp=drivesdk" TargetMode="External"/><Relationship Id="rId1206" Type="http://schemas.openxmlformats.org/officeDocument/2006/relationships/hyperlink" Target="https://drive.google.com/file/d/1R4-3MnXpBFLnaFfopGZaKgR1uruR-dxQ/view?usp=drivesdk" TargetMode="External"/><Relationship Id="rId2537" Type="http://schemas.openxmlformats.org/officeDocument/2006/relationships/hyperlink" Target="https://drive.google.com/file/d/1kvzfXjBDZmFTCeJVlsPrywrDLzw17fXw/view?usp=drivesdk" TargetMode="External"/><Relationship Id="rId1207" Type="http://schemas.openxmlformats.org/officeDocument/2006/relationships/hyperlink" Target="https://drive.google.com/file/d/1Sy1ihAE89SYtgBZr56ysR28e1nhYxpdQ/view?usp=drivesdk" TargetMode="External"/><Relationship Id="rId2538" Type="http://schemas.openxmlformats.org/officeDocument/2006/relationships/hyperlink" Target="https://drive.google.com/file/d/1IfVJze_D0VNVGP0qGB9jOH8T88AinA4X/view?usp=drivesdk" TargetMode="External"/><Relationship Id="rId1208" Type="http://schemas.openxmlformats.org/officeDocument/2006/relationships/hyperlink" Target="https://drive.google.com/file/d/1mfFx-ra7fJxqzzmU05XGz2J0H-6If5Hq/view?usp=drivesdk" TargetMode="External"/><Relationship Id="rId2539" Type="http://schemas.openxmlformats.org/officeDocument/2006/relationships/hyperlink" Target="https://drive.google.com/file/d/1y96i0hMyOppZ0ZOc68SfdS2QELKNre-8/view?usp=drivesdk" TargetMode="External"/><Relationship Id="rId1209" Type="http://schemas.openxmlformats.org/officeDocument/2006/relationships/hyperlink" Target="https://drive.google.com/file/d/1rppP1YUM-HanqbmmsqsQ-GJCI5kHEX4N/view?usp=drivesdk" TargetMode="External"/><Relationship Id="rId2530" Type="http://schemas.openxmlformats.org/officeDocument/2006/relationships/hyperlink" Target="https://drive.google.com/file/d/1_lgC5OmIfmdyPUatcoMBb50JoLNHFpBH/view?usp=drivesdk" TargetMode="External"/><Relationship Id="rId1200" Type="http://schemas.openxmlformats.org/officeDocument/2006/relationships/hyperlink" Target="https://drive.google.com/file/d/1bcy2yLZUiBLB8eUlwWkUTcGjCG9MFNcL/view?usp=drivesdk" TargetMode="External"/><Relationship Id="rId2531" Type="http://schemas.openxmlformats.org/officeDocument/2006/relationships/hyperlink" Target="https://drive.google.com/file/d/1DMMXxQwzUbOxshIWiT8AwdGZ588_WZ8b/view?usp=drivesdk" TargetMode="External"/><Relationship Id="rId1201" Type="http://schemas.openxmlformats.org/officeDocument/2006/relationships/hyperlink" Target="https://drive.google.com/file/d/1qw37pozIjd4mLcy-zn6fU2Q9jLVW_qRq/view?usp=drivesdk" TargetMode="External"/><Relationship Id="rId2532" Type="http://schemas.openxmlformats.org/officeDocument/2006/relationships/hyperlink" Target="https://drive.google.com/file/d/1Dle9tBaQJnicGTbi-WNIWZLHBhpRMBFu/view?usp=drivesdk" TargetMode="External"/><Relationship Id="rId1235" Type="http://schemas.openxmlformats.org/officeDocument/2006/relationships/hyperlink" Target="https://drive.google.com/file/d/1PK9zW01oolAe1aObtWLuxmXRodjxTP7R/view?usp=drivesdk" TargetMode="External"/><Relationship Id="rId2566" Type="http://schemas.openxmlformats.org/officeDocument/2006/relationships/hyperlink" Target="https://drive.google.com/file/d/1lAHnrSuQxWM2CdT06_FM1GDBh9d6nNTe/view?usp=drivesdk" TargetMode="External"/><Relationship Id="rId1236" Type="http://schemas.openxmlformats.org/officeDocument/2006/relationships/hyperlink" Target="https://drive.google.com/file/d/1Up5KpUA2Nhbb7B9TOjXSX1dkhH3dHx60/view?usp=drivesdk" TargetMode="External"/><Relationship Id="rId2567" Type="http://schemas.openxmlformats.org/officeDocument/2006/relationships/hyperlink" Target="http://escholarship.org/uc/item/0qf9t9pc" TargetMode="External"/><Relationship Id="rId1237" Type="http://schemas.openxmlformats.org/officeDocument/2006/relationships/hyperlink" Target="https://drive.google.com/file/d/1gGqQ1FNoFCMCQmeYkORa95CE47KJX9DX/view?usp=drivesdk" TargetMode="External"/><Relationship Id="rId2568" Type="http://schemas.openxmlformats.org/officeDocument/2006/relationships/hyperlink" Target="https://drive.google.com/file/d/1vzu_sqHQexZD23Pac-duPSmK-pGIptlf/view?usp=drivesdk" TargetMode="External"/><Relationship Id="rId1238" Type="http://schemas.openxmlformats.org/officeDocument/2006/relationships/hyperlink" Target="https://drive.google.com/file/d/1Kk8JGlLS_VipK-XcBlqpiX-P55HO2JmV/view?usp=drivesdk" TargetMode="External"/><Relationship Id="rId2569" Type="http://schemas.openxmlformats.org/officeDocument/2006/relationships/hyperlink" Target="https://drive.google.com/file/d/1xNa3snr_hhHjS7pnwFaA2tVxjB_0VvqW/view?usp=drivesdk" TargetMode="External"/><Relationship Id="rId1239" Type="http://schemas.openxmlformats.org/officeDocument/2006/relationships/hyperlink" Target="https://drive.google.com/file/d/1kdPR5vcnadM910rDTrcuMSi5ztRwehDP/view?usp=drivesdk" TargetMode="External"/><Relationship Id="rId409" Type="http://schemas.openxmlformats.org/officeDocument/2006/relationships/hyperlink" Target="https://drive.google.com/file/d/1SE0TNwpM6-HI7JzrDTDOkYIl4sErchjT/view?usp=drivesdk" TargetMode="External"/><Relationship Id="rId404" Type="http://schemas.openxmlformats.org/officeDocument/2006/relationships/hyperlink" Target="https://drive.google.com/file/d/1DfU2qHueh31FWQpUAUJbZkj08BtlZoUK/view?usp=drivesdk" TargetMode="External"/><Relationship Id="rId403" Type="http://schemas.openxmlformats.org/officeDocument/2006/relationships/hyperlink" Target="https://drive.google.com/file/d/1QbPb2pmfgJ310jccLQD6cqh_NodgL_h8/view?usp=drivesdk" TargetMode="External"/><Relationship Id="rId402" Type="http://schemas.openxmlformats.org/officeDocument/2006/relationships/hyperlink" Target="https://drive.google.com/file/d/1fG1ncjsV1px0tnbUjyRBo0It8MeOI82A/view?usp=drivesdk" TargetMode="External"/><Relationship Id="rId401" Type="http://schemas.openxmlformats.org/officeDocument/2006/relationships/hyperlink" Target="https://drive.google.com/file/d/1PNXWRn-6YufsfaeWut-YLt5JbOJt6Y0d/view?usp=drivesdk" TargetMode="External"/><Relationship Id="rId408" Type="http://schemas.openxmlformats.org/officeDocument/2006/relationships/hyperlink" Target="https://drive.google.com/file/d/1UT4zxLmJwbAjt-orpizuQy3TwK0eLkoS/view?usp=drivesdk" TargetMode="External"/><Relationship Id="rId407" Type="http://schemas.openxmlformats.org/officeDocument/2006/relationships/hyperlink" Target="https://drive.google.com/file/d/1x_52_q4I3k6XKAIHJLO_lhx1tO4X95fc/view?usp=drivesdk" TargetMode="External"/><Relationship Id="rId406" Type="http://schemas.openxmlformats.org/officeDocument/2006/relationships/hyperlink" Target="https://drive.google.com/file/d/140FDYd2SazD891O8bBGXcNk0O9RfITEW/view?usp=drivesdk" TargetMode="External"/><Relationship Id="rId405" Type="http://schemas.openxmlformats.org/officeDocument/2006/relationships/hyperlink" Target="https://drive.google.com/file/d/1xUS51fi-3QepL6mmKb2e4JuF0C1GN8J5/view?usp=drivesdk" TargetMode="External"/><Relationship Id="rId2560" Type="http://schemas.openxmlformats.org/officeDocument/2006/relationships/hyperlink" Target="http://digitalcommons.memphis.edu/etd/3538" TargetMode="External"/><Relationship Id="rId1230" Type="http://schemas.openxmlformats.org/officeDocument/2006/relationships/hyperlink" Target="https://drive.google.com/file/d/1DpRthxOkoc5ttT6b0_Ddsnml6y-xfOZB/view?usp=drivesdk" TargetMode="External"/><Relationship Id="rId2561" Type="http://schemas.openxmlformats.org/officeDocument/2006/relationships/hyperlink" Target="https://drive.google.com/file/d/1mh0lOHypF2E9Nk9sQ57YmqKyEOyrqka8/view?usp=drivesdk" TargetMode="External"/><Relationship Id="rId400" Type="http://schemas.openxmlformats.org/officeDocument/2006/relationships/hyperlink" Target="https://drive.google.com/file/d/1GSMvbF9yde0jPLoOSU-nggLf1RFSScR3/view?usp=drivesdk" TargetMode="External"/><Relationship Id="rId1231" Type="http://schemas.openxmlformats.org/officeDocument/2006/relationships/hyperlink" Target="https://drive.google.com/file/d/1fcQEFr_21wbt3K30-PTO-trKe-ZhF58q/view?usp=drivesdk" TargetMode="External"/><Relationship Id="rId2562" Type="http://schemas.openxmlformats.org/officeDocument/2006/relationships/hyperlink" Target="https://drive.google.com/file/d/1hH6qE7kthoMhFZY570jnJq1nWfRd0uo-/view?usp=drivesdk" TargetMode="External"/><Relationship Id="rId1232" Type="http://schemas.openxmlformats.org/officeDocument/2006/relationships/hyperlink" Target="https://drive.google.com/file/d/1X-YLxJ1nryt6k9oHzCfNCJla4hIrRiYy/view?usp=drivesdk" TargetMode="External"/><Relationship Id="rId2563" Type="http://schemas.openxmlformats.org/officeDocument/2006/relationships/hyperlink" Target="https://drive.google.com/file/d/1h26KXyOgQpabChNDwArC5YlDBW4_cfve/view?usp=drivesdk" TargetMode="External"/><Relationship Id="rId1233" Type="http://schemas.openxmlformats.org/officeDocument/2006/relationships/hyperlink" Target="https://drive.google.com/file/d/1XZOrXuHICMrlamIW-ybqQ_ICjkxfdP95/view?usp=drivesdk" TargetMode="External"/><Relationship Id="rId2564" Type="http://schemas.openxmlformats.org/officeDocument/2006/relationships/hyperlink" Target="https://drive.google.com/file/d/1BfaybP8V5w-BiT0TlcUAV03BKBkfzWla/view?usp=drivesdk" TargetMode="External"/><Relationship Id="rId1234" Type="http://schemas.openxmlformats.org/officeDocument/2006/relationships/hyperlink" Target="https://drive.google.com/file/d/1rIcc23FDkVwYNZ5qQqM8pMLBJWDlN_-3/view?usp=drivesdk" TargetMode="External"/><Relationship Id="rId2565" Type="http://schemas.openxmlformats.org/officeDocument/2006/relationships/hyperlink" Target="http://escholarship.org/uc/item/8p5673qn" TargetMode="External"/><Relationship Id="rId1224" Type="http://schemas.openxmlformats.org/officeDocument/2006/relationships/hyperlink" Target="https://drive.google.com/file/d/1GeKflgXvTcXB8oJi0TP1vpLg2kS38zZW/view?usp=drivesdk" TargetMode="External"/><Relationship Id="rId2555" Type="http://schemas.openxmlformats.org/officeDocument/2006/relationships/hyperlink" Target="https://drive.google.com/file/d/1Fg206MUtjoN9d31kEAQ7bIDHvbUqwyGY/view?usp=drivesdk" TargetMode="External"/><Relationship Id="rId1225" Type="http://schemas.openxmlformats.org/officeDocument/2006/relationships/hyperlink" Target="https://drive.google.com/file/d/1HSSSUVFslr73XKkLRACiudLPlv5TVsma/view?usp=drivesdk" TargetMode="External"/><Relationship Id="rId2556" Type="http://schemas.openxmlformats.org/officeDocument/2006/relationships/hyperlink" Target="http://aclanthology.org/2024.lrec-main.91" TargetMode="External"/><Relationship Id="rId1226" Type="http://schemas.openxmlformats.org/officeDocument/2006/relationships/hyperlink" Target="https://drive.google.com/file/d/1BMP7byNCGSWS7fgxNcx79SHM-IdVZaKn/view?usp=drivesdk" TargetMode="External"/><Relationship Id="rId2557" Type="http://schemas.openxmlformats.org/officeDocument/2006/relationships/hyperlink" Target="https://drive.google.com/file/d/1tRSJ7nCc-S4z9k7Go2ucp_tmetdfTvik/view?usp=drivesdk" TargetMode="External"/><Relationship Id="rId1227" Type="http://schemas.openxmlformats.org/officeDocument/2006/relationships/hyperlink" Target="https://drive.google.com/file/d/1MDnUULp2n6-FnmJqg7yO4qcONfENz0ZN/view?usp=drivesdk" TargetMode="External"/><Relationship Id="rId2558" Type="http://schemas.openxmlformats.org/officeDocument/2006/relationships/hyperlink" Target="https://drive.google.com/file/d/14Tmk9XIOQYVh24x1jFR4QedpIbTx_n_e/view?usp=drivesdk" TargetMode="External"/><Relationship Id="rId1228" Type="http://schemas.openxmlformats.org/officeDocument/2006/relationships/hyperlink" Target="https://drive.google.com/file/d/1QRZutMF67vAfgCZi_E5eATJgn-QCO4IK/view?usp=drivesdk" TargetMode="External"/><Relationship Id="rId2559" Type="http://schemas.openxmlformats.org/officeDocument/2006/relationships/hyperlink" Target="https://drive.google.com/file/d/1L3C99-yf2u_ns_5h3EBhsSGtflOl3HOc/view?usp=drivesdk" TargetMode="External"/><Relationship Id="rId1229" Type="http://schemas.openxmlformats.org/officeDocument/2006/relationships/hyperlink" Target="https://drive.google.com/file/d/13HXL6bBHEeobJ0atlXPiiTYTAvwneQ8X/view?usp=drivesdk" TargetMode="External"/><Relationship Id="rId2550" Type="http://schemas.openxmlformats.org/officeDocument/2006/relationships/hyperlink" Target="https://drive.google.com/file/d/1lyco4NN8QUadLrLaxT4tk2Kth7hjO4p_/view?usp=drivesdk" TargetMode="External"/><Relationship Id="rId1220" Type="http://schemas.openxmlformats.org/officeDocument/2006/relationships/hyperlink" Target="https://drive.google.com/file/d/1LCbNLaBznR2swTcM5D8nA5onvypAos0Z/view?usp=drivesdk" TargetMode="External"/><Relationship Id="rId2551" Type="http://schemas.openxmlformats.org/officeDocument/2006/relationships/hyperlink" Target="https://drive.google.com/file/d/1s7Xp1h565EAKnPa_0Zp3RnS0qmb4t53a/view?usp=drivesdk" TargetMode="External"/><Relationship Id="rId1221" Type="http://schemas.openxmlformats.org/officeDocument/2006/relationships/hyperlink" Target="https://drive.google.com/file/d/1NndaOqVABMnFoYLlx_pdrEkIl1hF8ZDe/view?usp=drivesdk" TargetMode="External"/><Relationship Id="rId2552" Type="http://schemas.openxmlformats.org/officeDocument/2006/relationships/hyperlink" Target="http://thekeep.eiu.edu/theses/4783" TargetMode="External"/><Relationship Id="rId1222" Type="http://schemas.openxmlformats.org/officeDocument/2006/relationships/hyperlink" Target="https://drive.google.com/file/d/1eSg_S7Z1YJQbEy2b5xr8uPr_WGL8tpTK/view?usp=drivesdk" TargetMode="External"/><Relationship Id="rId2553" Type="http://schemas.openxmlformats.org/officeDocument/2006/relationships/hyperlink" Target="https://drive.google.com/file/d/13W9ZIRuUntMYZ1V5eqz7utx5OSyGY3y3/view?usp=drivesdk" TargetMode="External"/><Relationship Id="rId1223" Type="http://schemas.openxmlformats.org/officeDocument/2006/relationships/hyperlink" Target="https://drive.google.com/file/d/1gAQlWfkloh0ve11dgicg_ouScuddDWVx/view?usp=drivesdk" TargetMode="External"/><Relationship Id="rId2554" Type="http://schemas.openxmlformats.org/officeDocument/2006/relationships/hyperlink" Target="http://thekeep.eiu.edu/theses/5025" TargetMode="External"/><Relationship Id="rId2500" Type="http://schemas.openxmlformats.org/officeDocument/2006/relationships/hyperlink" Target="https://drive.google.com/file/d/15dLELTosbF1NWFYI0UOSPLIC70dnGG5S/view?usp=drivesdk" TargetMode="External"/><Relationship Id="rId2501" Type="http://schemas.openxmlformats.org/officeDocument/2006/relationships/hyperlink" Target="https://drive.google.com/file/d/1VipPphabn-Kfe9AzHC0j5FX1Fqp3bd0q/view?usp=drivesdk" TargetMode="External"/><Relationship Id="rId2502" Type="http://schemas.openxmlformats.org/officeDocument/2006/relationships/hyperlink" Target="https://drive.google.com/file/d/15Wsn7yRLOjnPIu3oOYbA1lhbZIRp1-8K/view?usp=drivesdk" TargetMode="External"/><Relationship Id="rId2503" Type="http://schemas.openxmlformats.org/officeDocument/2006/relationships/hyperlink" Target="https://drive.google.com/file/d/1H4h52o-2l4VeH6zifkEQWasrzj-Pi8k3/view?usp=drivesdk" TargetMode="External"/><Relationship Id="rId2504" Type="http://schemas.openxmlformats.org/officeDocument/2006/relationships/hyperlink" Target="https://drive.google.com/file/d/140WKvPe6h8fNM79ffoPo5RX6uP0flGT4/view?usp=drivesdk" TargetMode="External"/><Relationship Id="rId2505" Type="http://schemas.openxmlformats.org/officeDocument/2006/relationships/hyperlink" Target="https://drive.google.com/file/d/1gBBT6EBomzmICcRfzrG_6jxfvMnRuQIj/view?usp=drivesdk" TargetMode="External"/><Relationship Id="rId2506" Type="http://schemas.openxmlformats.org/officeDocument/2006/relationships/hyperlink" Target="https://drive.google.com/file/d/1CxhrkeSaHBzp5T2m5mVKo0v0N9tNA96j/view?usp=drivesdk" TargetMode="External"/><Relationship Id="rId2507" Type="http://schemas.openxmlformats.org/officeDocument/2006/relationships/hyperlink" Target="https://drive.google.com/file/d/11NrpozUj6QEvSuPcqdy2reV2ZmG62r_Z/view?usp=drivesdk" TargetMode="External"/><Relationship Id="rId2508" Type="http://schemas.openxmlformats.org/officeDocument/2006/relationships/hyperlink" Target="https://drive.google.com/file/d/1Aes0K1gD14f_6QAHkD9IPsvD4OgnIJ9K/view?usp=drivesdk" TargetMode="External"/><Relationship Id="rId2509" Type="http://schemas.openxmlformats.org/officeDocument/2006/relationships/hyperlink" Target="https://drive.google.com/file/d/1S1BDaMkHx3KW3osHCgZU9COckw9P0yzi/view?usp=drivesdk" TargetMode="External"/><Relationship Id="rId2522" Type="http://schemas.openxmlformats.org/officeDocument/2006/relationships/hyperlink" Target="https://drive.google.com/file/d/11B6RDsDdpDnOGVv1Bafc4t3LGTugpLfW/view?usp=drivesdk" TargetMode="External"/><Relationship Id="rId2523" Type="http://schemas.openxmlformats.org/officeDocument/2006/relationships/hyperlink" Target="https://drive.google.com/file/d/1lBAeCGIckBPanOLBGZwhA7XjuahS_0Dx/view?usp=drivesdk" TargetMode="External"/><Relationship Id="rId2524" Type="http://schemas.openxmlformats.org/officeDocument/2006/relationships/hyperlink" Target="https://drive.google.com/file/d/19vVZNnZqbHViA7ik9IZlctpt3T8O8e-i/view?usp=drivesdk" TargetMode="External"/><Relationship Id="rId2525" Type="http://schemas.openxmlformats.org/officeDocument/2006/relationships/hyperlink" Target="https://drive.google.com/file/d/1VIxHSn4IKzp_dw4xNX6RMxFlMFrB02Na/view?usp=drivesdk" TargetMode="External"/><Relationship Id="rId2526" Type="http://schemas.openxmlformats.org/officeDocument/2006/relationships/hyperlink" Target="https://drive.google.com/file/d/1UoK9lGyVfG2aSVu9UX62d1KXmmkZeMsj/view?usp=drivesdk" TargetMode="External"/><Relationship Id="rId2527" Type="http://schemas.openxmlformats.org/officeDocument/2006/relationships/hyperlink" Target="https://drive.google.com/file/d/1hacB1-iy_tRTIgneV_Ee01qxYKx_hi62/view?usp=drivesdk" TargetMode="External"/><Relationship Id="rId2528" Type="http://schemas.openxmlformats.org/officeDocument/2006/relationships/hyperlink" Target="https://drive.google.com/file/d/1AkVoo6DTN5LfJVPCR5Qb6og7b_WTwQNJ/view?usp=drivesdk" TargetMode="External"/><Relationship Id="rId2529" Type="http://schemas.openxmlformats.org/officeDocument/2006/relationships/hyperlink" Target="https://drive.google.com/file/d/14qlQgDUVz3KRZQVXwZQMkCR0K1msJHmK/view?usp=drivesdk" TargetMode="External"/><Relationship Id="rId2520" Type="http://schemas.openxmlformats.org/officeDocument/2006/relationships/hyperlink" Target="https://drive.google.com/file/d/1MFrh4TN71i6T_XH6VvEuarZ-bkTQmkjp/view?usp=drivesdk" TargetMode="External"/><Relationship Id="rId2521" Type="http://schemas.openxmlformats.org/officeDocument/2006/relationships/hyperlink" Target="https://drive.google.com/file/d/1hPhF8KaBqw1LsUQzpj31fTYVbHPo1XfL/view?usp=drivesdk" TargetMode="External"/><Relationship Id="rId2511" Type="http://schemas.openxmlformats.org/officeDocument/2006/relationships/hyperlink" Target="https://drive.google.com/file/d/1DO937F2xhbz54X6xu8qtsy63K6O9mEYa/view?usp=drivesdk" TargetMode="External"/><Relationship Id="rId2512" Type="http://schemas.openxmlformats.org/officeDocument/2006/relationships/hyperlink" Target="https://drive.google.com/file/d/1GpMdw7ZFDWpDIdg1IjCcxRYXmuDta-6_/view?usp=drivesdk" TargetMode="External"/><Relationship Id="rId2513" Type="http://schemas.openxmlformats.org/officeDocument/2006/relationships/hyperlink" Target="https://drive.google.com/file/d/1OeY-k8G9PoOVwBC3kScmLaiAEl_Sb-3y/view?usp=drivesdk" TargetMode="External"/><Relationship Id="rId2514" Type="http://schemas.openxmlformats.org/officeDocument/2006/relationships/hyperlink" Target="https://drive.google.com/file/d/1PO93PC_ps2XExqA6N_FX_WnXnQAPrB_Q/view?usp=drivesdk" TargetMode="External"/><Relationship Id="rId2515" Type="http://schemas.openxmlformats.org/officeDocument/2006/relationships/hyperlink" Target="https://drive.google.com/file/d/1RTiaFppoyqVSbs6ENCjo8xyaIVfjFhVI/view?usp=drivesdk" TargetMode="External"/><Relationship Id="rId2516" Type="http://schemas.openxmlformats.org/officeDocument/2006/relationships/hyperlink" Target="https://drive.google.com/file/d/1joizDIhyA_6v5iIxaJb92CDtUAqisiiG/view?usp=drivesdk" TargetMode="External"/><Relationship Id="rId2517" Type="http://schemas.openxmlformats.org/officeDocument/2006/relationships/hyperlink" Target="https://drive.google.com/file/d/1y9Sta1A62b6o1louE7uCjU6m-n4q0e5j/view?usp=drivesdk" TargetMode="External"/><Relationship Id="rId2518" Type="http://schemas.openxmlformats.org/officeDocument/2006/relationships/hyperlink" Target="https://drive.google.com/file/d/1O4mjB0-ZSujMTJYtaAoIsXTPuhxgEF-0/view?usp=drivesdk" TargetMode="External"/><Relationship Id="rId2519" Type="http://schemas.openxmlformats.org/officeDocument/2006/relationships/hyperlink" Target="https://drive.google.com/file/d/1LvmKgU-0Swex9jXhSh89rVHkVzeNMucB/view?usp=drivesdk" TargetMode="External"/><Relationship Id="rId2510" Type="http://schemas.openxmlformats.org/officeDocument/2006/relationships/hyperlink" Target="https://drive.google.com/file/d/11FrEIq8nBGRjHM8n6665RHudNtasAq_q/view?usp=drivesdk" TargetMode="External"/><Relationship Id="rId469" Type="http://schemas.openxmlformats.org/officeDocument/2006/relationships/hyperlink" Target="https://drive.google.com/file/d/1_C8YFj82OxTlfEGn6_JqVOrerb3Wk9JZ/view?usp=drivesdk" TargetMode="External"/><Relationship Id="rId468" Type="http://schemas.openxmlformats.org/officeDocument/2006/relationships/hyperlink" Target="https://drive.google.com/file/d/15TviLeO9381ETQsop9lJxKkt_zGJpXCM/view?usp=drivesdk" TargetMode="External"/><Relationship Id="rId467" Type="http://schemas.openxmlformats.org/officeDocument/2006/relationships/hyperlink" Target="https://drive.google.com/file/d/1-MKPgE5eeH2iuqZqvWkLfwVBo0d0nk8p/view?usp=drivesdk" TargetMode="External"/><Relationship Id="rId1290" Type="http://schemas.openxmlformats.org/officeDocument/2006/relationships/hyperlink" Target="https://drive.google.com/file/d/1CKtIRM2vM0l1uwrMgW1JIiKEZTioliGI/view?usp=drivesdk" TargetMode="External"/><Relationship Id="rId1291" Type="http://schemas.openxmlformats.org/officeDocument/2006/relationships/hyperlink" Target="https://drive.google.com/file/d/1mbtq5jswQXIL9vt6RisTXxGtG4hKwT7c/view?usp=drivesdk" TargetMode="External"/><Relationship Id="rId1292" Type="http://schemas.openxmlformats.org/officeDocument/2006/relationships/hyperlink" Target="https://drive.google.com/file/d/1Iv6a3AM_rRVR-LhQjuquoIiq60oy5s_L/view?usp=drivesdk" TargetMode="External"/><Relationship Id="rId462" Type="http://schemas.openxmlformats.org/officeDocument/2006/relationships/hyperlink" Target="https://drive.google.com/file/d/1wEhASX6cLcnXw48U7_dF8rsyCNBIxSx1/view?usp=drivesdk" TargetMode="External"/><Relationship Id="rId1293" Type="http://schemas.openxmlformats.org/officeDocument/2006/relationships/hyperlink" Target="https://drive.google.com/file/d/1PVMFqgHdvbnVpvU4ToBmZGB1bJ783Vq7/view?usp=drivesdk" TargetMode="External"/><Relationship Id="rId461" Type="http://schemas.openxmlformats.org/officeDocument/2006/relationships/hyperlink" Target="https://drive.google.com/file/d/1nF1FuGmRSfPkOfvJoFANBQd2NY3iysUg/view?usp=drivesdk" TargetMode="External"/><Relationship Id="rId1294" Type="http://schemas.openxmlformats.org/officeDocument/2006/relationships/hyperlink" Target="https://drive.google.com/file/d/1adcFTPRAtl3gR0yo5WZxxabcpq1tSugV/view?usp=drivesdk" TargetMode="External"/><Relationship Id="rId460" Type="http://schemas.openxmlformats.org/officeDocument/2006/relationships/hyperlink" Target="https://drive.google.com/file/d/1d3GHtXA-PyNAhFEfmESdyl6NNfjeEBF-/view?usp=drivesdk" TargetMode="External"/><Relationship Id="rId1295" Type="http://schemas.openxmlformats.org/officeDocument/2006/relationships/hyperlink" Target="https://drive.google.com/file/d/1l5rAN3nynply4uG3__V0nrbpU47BulsE/view?usp=drivesdk" TargetMode="External"/><Relationship Id="rId1296" Type="http://schemas.openxmlformats.org/officeDocument/2006/relationships/hyperlink" Target="https://drive.google.com/file/d/1ScCst8dIY0rvEyMcggQS1g5luMuFO5EM/view?usp=drivesdk" TargetMode="External"/><Relationship Id="rId466" Type="http://schemas.openxmlformats.org/officeDocument/2006/relationships/hyperlink" Target="https://drive.google.com/file/d/17x4KDwm1lZHkbqNrhLMwggDyslBkX0rc/view?usp=drivesdk" TargetMode="External"/><Relationship Id="rId1297" Type="http://schemas.openxmlformats.org/officeDocument/2006/relationships/hyperlink" Target="https://drive.google.com/file/d/1zu3s4vzu5KvXwkxCk3_Jbtg6fuw8-MNg/view?usp=drivesdk" TargetMode="External"/><Relationship Id="rId465" Type="http://schemas.openxmlformats.org/officeDocument/2006/relationships/hyperlink" Target="https://drive.google.com/file/d/1S5OEsfFrjvDWZg2UxXrLf8CsebFririY/view?usp=drivesdk" TargetMode="External"/><Relationship Id="rId1298" Type="http://schemas.openxmlformats.org/officeDocument/2006/relationships/hyperlink" Target="https://drive.google.com/file/d/1byufMCO_vLIF-bt7e5aZN3xGXC1vRs_C/view?usp=drivesdk" TargetMode="External"/><Relationship Id="rId464" Type="http://schemas.openxmlformats.org/officeDocument/2006/relationships/hyperlink" Target="https://drive.google.com/file/d/1NGwiQE7OCeLgst8X2rXUXP21dq9Q518c/view?usp=drivesdk" TargetMode="External"/><Relationship Id="rId1299" Type="http://schemas.openxmlformats.org/officeDocument/2006/relationships/hyperlink" Target="https://drive.google.com/file/d/1NI0OwWuG3iBxN7UXcgaBi6OYUsoeeB6I/view?usp=drivesdk" TargetMode="External"/><Relationship Id="rId463" Type="http://schemas.openxmlformats.org/officeDocument/2006/relationships/hyperlink" Target="https://drive.google.com/file/d/16t_ug3CaNusaKCLWcRAMt3OWtKvwyRks/view?usp=drivesdk" TargetMode="External"/><Relationship Id="rId459" Type="http://schemas.openxmlformats.org/officeDocument/2006/relationships/hyperlink" Target="https://drive.google.com/file/d/1SkBPvLptzBp6Le-HNxUcOPq3JDLbAV8C/view?usp=drivesdk" TargetMode="External"/><Relationship Id="rId458" Type="http://schemas.openxmlformats.org/officeDocument/2006/relationships/hyperlink" Target="https://drive.google.com/file/d/13zteTAPC4nEPrpKHGXyU7SOLm8BHT4pt/view?usp=drivesdk" TargetMode="External"/><Relationship Id="rId457" Type="http://schemas.openxmlformats.org/officeDocument/2006/relationships/hyperlink" Target="https://drive.google.com/file/d/1K9zfhpj64C1Ct8oqomjeuIl8Jvddu8mU/view?usp=drivesdk" TargetMode="External"/><Relationship Id="rId456" Type="http://schemas.openxmlformats.org/officeDocument/2006/relationships/hyperlink" Target="https://drive.google.com/file/d/1fSoLHhIRisJI9mDZEG0MomhXlWLFD1WK/view?usp=drivesdk" TargetMode="External"/><Relationship Id="rId1280" Type="http://schemas.openxmlformats.org/officeDocument/2006/relationships/hyperlink" Target="https://drive.google.com/file/d/1hCaE5JTe5zb3Azp1p-BLkxmyCaGmRUTw/view?usp=drivesdk" TargetMode="External"/><Relationship Id="rId1281" Type="http://schemas.openxmlformats.org/officeDocument/2006/relationships/hyperlink" Target="https://drive.google.com/file/d/1E4GYmrZP9ttvAZgUfCjWrv4HnB_ubBtZ/view?usp=drivesdk" TargetMode="External"/><Relationship Id="rId451" Type="http://schemas.openxmlformats.org/officeDocument/2006/relationships/hyperlink" Target="https://drive.google.com/file/d/1UV1_g6L3rog7I0tTFqXL0l-1RDbnPRHY/view?usp=drivesdk" TargetMode="External"/><Relationship Id="rId1282" Type="http://schemas.openxmlformats.org/officeDocument/2006/relationships/hyperlink" Target="https://drive.google.com/file/d/1EZLGfH9-TfGs0npz4zo9Q8hBGxNmL9_8/view?usp=drivesdk" TargetMode="External"/><Relationship Id="rId450" Type="http://schemas.openxmlformats.org/officeDocument/2006/relationships/hyperlink" Target="https://drive.google.com/file/d/1DfO2lyfbdPCjlRMrEXIYJK5gJAswYfO0/view?usp=drivesdk" TargetMode="External"/><Relationship Id="rId1283" Type="http://schemas.openxmlformats.org/officeDocument/2006/relationships/hyperlink" Target="https://drive.google.com/file/d/1nSKHlLdgFXIRA0ZzkBVYTEpX7vbXXpwZ/view?usp=drivesdk" TargetMode="External"/><Relationship Id="rId1284" Type="http://schemas.openxmlformats.org/officeDocument/2006/relationships/hyperlink" Target="https://drive.google.com/file/d/1JzBltD15-8CXBJMqzgsU1K6RxPQwnZ6D/view?usp=drivesdk" TargetMode="External"/><Relationship Id="rId1285" Type="http://schemas.openxmlformats.org/officeDocument/2006/relationships/hyperlink" Target="https://drive.google.com/file/d/1RYL3tt6tRTFoJjHQdtA0A71DrNxC3K6m/view?usp=drivesdk" TargetMode="External"/><Relationship Id="rId455" Type="http://schemas.openxmlformats.org/officeDocument/2006/relationships/hyperlink" Target="https://drive.google.com/file/d/1ZkY7DMQQzu1g1IUTURnCgY3CZCEc0cdK/view?usp=drivesdk" TargetMode="External"/><Relationship Id="rId1286" Type="http://schemas.openxmlformats.org/officeDocument/2006/relationships/hyperlink" Target="https://drive.google.com/file/d/1sZNK9FJ-_p2fges4mG2KcuNFkHZlE95D/view?usp=drivesdk" TargetMode="External"/><Relationship Id="rId454" Type="http://schemas.openxmlformats.org/officeDocument/2006/relationships/hyperlink" Target="https://drive.google.com/file/d/1sOq0Q6Aa8an8MKQ0o3Ciqtm1cl3BE9Lh/view?usp=drivesdk" TargetMode="External"/><Relationship Id="rId1287" Type="http://schemas.openxmlformats.org/officeDocument/2006/relationships/hyperlink" Target="https://drive.google.com/file/d/1bDss24jXOe7FhkSOopEj0WqUmGKKXsLR/view?usp=drivesdk" TargetMode="External"/><Relationship Id="rId453" Type="http://schemas.openxmlformats.org/officeDocument/2006/relationships/hyperlink" Target="https://drive.google.com/file/d/1Tzj9Sha3iMsDcqkoXxX7sF0Tuc0VnEe4/view?usp=drivesdk" TargetMode="External"/><Relationship Id="rId1288" Type="http://schemas.openxmlformats.org/officeDocument/2006/relationships/hyperlink" Target="https://drive.google.com/file/d/13zB4VPjcUf-Y5ulxFk_nrnahv0Fgi9UN/view?usp=drivesdk" TargetMode="External"/><Relationship Id="rId452" Type="http://schemas.openxmlformats.org/officeDocument/2006/relationships/hyperlink" Target="https://drive.google.com/file/d/1GZc38L64kTG8nJmMzERvJXrILaTjP0DW/view?usp=drivesdk" TargetMode="External"/><Relationship Id="rId1289" Type="http://schemas.openxmlformats.org/officeDocument/2006/relationships/hyperlink" Target="https://drive.google.com/file/d/1AZm79o6Tomre8O9xToATZHdk1A7nxAC9/view?usp=drivesdk" TargetMode="External"/><Relationship Id="rId3018" Type="http://schemas.openxmlformats.org/officeDocument/2006/relationships/hyperlink" Target="https://drive.google.com/file/d/1d70WNl03Y6R-FQ2zFUG_7JzLtb7KIhMn/view?usp=drivesdk" TargetMode="External"/><Relationship Id="rId3017" Type="http://schemas.openxmlformats.org/officeDocument/2006/relationships/hyperlink" Target="https://drive.google.com/file/d/1X5Fe2As7h--ByO5qoa79Jna-iqMIag53/view?usp=drivesdk" TargetMode="External"/><Relationship Id="rId3019" Type="http://schemas.openxmlformats.org/officeDocument/2006/relationships/hyperlink" Target="https://drive.google.com/file/d/1ZJao6drmlp_5iFzVLwLBVxZ7mZzQpGwX/view?usp=drivesdk" TargetMode="External"/><Relationship Id="rId491" Type="http://schemas.openxmlformats.org/officeDocument/2006/relationships/hyperlink" Target="https://drive.google.com/file/d/1AxDN1lO8aGVYVkqwStoqiIBEcLZ3tBjh/view?usp=drivesdk" TargetMode="External"/><Relationship Id="rId490" Type="http://schemas.openxmlformats.org/officeDocument/2006/relationships/hyperlink" Target="https://drive.google.com/file/d/1VxSs8rlsmqSHxoyDH3TrPm0jSxVW1uzL/view?usp=drivesdk" TargetMode="External"/><Relationship Id="rId489" Type="http://schemas.openxmlformats.org/officeDocument/2006/relationships/hyperlink" Target="https://drive.google.com/file/d/1FqeY0JUGHc4A6lgyu2gPAMkhgeaGNaW-/view?usp=drivesdk" TargetMode="External"/><Relationship Id="rId484" Type="http://schemas.openxmlformats.org/officeDocument/2006/relationships/hyperlink" Target="https://drive.google.com/file/d/1A48Wp2HllRYF2gNX5IVcNWg7jEVHx9gz/view?usp=drivesdk" TargetMode="External"/><Relationship Id="rId3010" Type="http://schemas.openxmlformats.org/officeDocument/2006/relationships/hyperlink" Target="https://drive.google.com/file/d/1jx9eMAYbx0cHukSi87PadaXFTzz1n_mq/view?usp=drivesdk" TargetMode="External"/><Relationship Id="rId483" Type="http://schemas.openxmlformats.org/officeDocument/2006/relationships/hyperlink" Target="https://drive.google.com/file/d/1gm7Xp1zy8mbzruAdJsZv3pgRXwVS7RdV/view?usp=drivesdk" TargetMode="External"/><Relationship Id="rId482" Type="http://schemas.openxmlformats.org/officeDocument/2006/relationships/hyperlink" Target="https://drive.google.com/file/d/1dsxU30DbINO2amgF3uqgjlh8wnopIaai/view?usp=drivesdk" TargetMode="External"/><Relationship Id="rId3012" Type="http://schemas.openxmlformats.org/officeDocument/2006/relationships/hyperlink" Target="https://drive.google.com/file/d/16TKGD5uIhjmxtnz9GYQUl5frMKkhZ7vE/view?usp=drivesdk" TargetMode="External"/><Relationship Id="rId481" Type="http://schemas.openxmlformats.org/officeDocument/2006/relationships/hyperlink" Target="https://drive.google.com/file/d/16ziL8jSZBvjfI3zCy6I2ljsBrbIOrEm_/view?usp=drivesdk" TargetMode="External"/><Relationship Id="rId3011" Type="http://schemas.openxmlformats.org/officeDocument/2006/relationships/hyperlink" Target="https://drive.google.com/file/d/1OIEvCCJvM-_IxEbcHAL2vNkKmVoEHa3G/view?usp=drivesdk" TargetMode="External"/><Relationship Id="rId488" Type="http://schemas.openxmlformats.org/officeDocument/2006/relationships/hyperlink" Target="https://drive.google.com/file/d/1hNuT-TdVM50Dh3IHVqyLCjDHgLL97kGq/view?usp=drivesdk" TargetMode="External"/><Relationship Id="rId3014" Type="http://schemas.openxmlformats.org/officeDocument/2006/relationships/hyperlink" Target="https://drive.google.com/file/d/149vWpYz3xUBwjR-0Vi63Qa-y5jEghDmg/view?usp=drivesdk" TargetMode="External"/><Relationship Id="rId487" Type="http://schemas.openxmlformats.org/officeDocument/2006/relationships/hyperlink" Target="https://drive.google.com/file/d/1ENHPOfgO3OSx5WytuJbD2wsrjBNmb2gB/view?usp=drivesdk" TargetMode="External"/><Relationship Id="rId3013" Type="http://schemas.openxmlformats.org/officeDocument/2006/relationships/hyperlink" Target="https://drive.google.com/file/d/1lHQosDuo6gaE1kApTnMYX-PdVa7g5c2f/view?usp=drivesdk" TargetMode="External"/><Relationship Id="rId486" Type="http://schemas.openxmlformats.org/officeDocument/2006/relationships/hyperlink" Target="https://drive.google.com/file/d/18AFmwQ0RlXza0cLo2LTlHuC2iCQHOPVC/view?usp=drivesdk" TargetMode="External"/><Relationship Id="rId3016" Type="http://schemas.openxmlformats.org/officeDocument/2006/relationships/hyperlink" Target="https://drive.google.com/file/d/1MpP2-43GqkWDRpuwJ-apCbzIk2GwSMn_/view?usp=drivesdk" TargetMode="External"/><Relationship Id="rId485" Type="http://schemas.openxmlformats.org/officeDocument/2006/relationships/hyperlink" Target="https://drive.google.com/file/d/1yzOy5RyHtPTqW9q46XTc1TaSrjr4Yyrq/view?usp=drivesdk" TargetMode="External"/><Relationship Id="rId3015" Type="http://schemas.openxmlformats.org/officeDocument/2006/relationships/hyperlink" Target="https://drive.google.com/file/d/1ufFlEetCWZtYqMqTTptc07s2XdkD4E4c/view?usp=drivesdk" TargetMode="External"/><Relationship Id="rId3007" Type="http://schemas.openxmlformats.org/officeDocument/2006/relationships/hyperlink" Target="https://drive.google.com/file/d/12p5OEsz_Kqdr2WrmlHbpY-_JFlSEkooC/view?usp=drivesdk" TargetMode="External"/><Relationship Id="rId3006" Type="http://schemas.openxmlformats.org/officeDocument/2006/relationships/hyperlink" Target="https://drive.google.com/file/d/1wVhOcOsRL9M-ypPdSaPRTLv-PLlAWOf1/view?usp=drivesdk" TargetMode="External"/><Relationship Id="rId3009" Type="http://schemas.openxmlformats.org/officeDocument/2006/relationships/hyperlink" Target="https://drive.google.com/file/d/144ul3eCkiKHuL75LCKm6YabVN-pgBX8u/view?usp=drivesdk" TargetMode="External"/><Relationship Id="rId3008" Type="http://schemas.openxmlformats.org/officeDocument/2006/relationships/hyperlink" Target="https://drive.google.com/file/d/1xo-D0d5xWZy_-HQc9CNuFVE8l1hYTkzr/view?usp=drivesdk" TargetMode="External"/><Relationship Id="rId480" Type="http://schemas.openxmlformats.org/officeDocument/2006/relationships/hyperlink" Target="https://drive.google.com/file/d/1IeQmY-CX4cnN_NDX35YWzh3kUQPqF8vm/view?usp=drivesdk" TargetMode="External"/><Relationship Id="rId479" Type="http://schemas.openxmlformats.org/officeDocument/2006/relationships/hyperlink" Target="https://drive.google.com/file/d/1y5xcHYwlqQSG-RdbIPIaV7xSFJKHxpCy/view?usp=drivesdk" TargetMode="External"/><Relationship Id="rId478" Type="http://schemas.openxmlformats.org/officeDocument/2006/relationships/hyperlink" Target="https://drive.google.com/file/d/1XFLe1Hj1cy4ps0wY68AyaWppg9yQzf_h/view?usp=drivesdk" TargetMode="External"/><Relationship Id="rId473" Type="http://schemas.openxmlformats.org/officeDocument/2006/relationships/hyperlink" Target="https://drive.google.com/file/d/1NEjz6HMIxfkz_ig2cAptyyww2c-9xxH2/view?usp=drivesdk" TargetMode="External"/><Relationship Id="rId472" Type="http://schemas.openxmlformats.org/officeDocument/2006/relationships/hyperlink" Target="https://drive.google.com/file/d/12ayHKrk8dWjTGdvI_EykU4V7gASAwsSF/view?usp=drivesdk" TargetMode="External"/><Relationship Id="rId471" Type="http://schemas.openxmlformats.org/officeDocument/2006/relationships/hyperlink" Target="https://drive.google.com/file/d/1tGQy62qBemNRdv1CCoRwhShVTPgdpX17/view?usp=drivesdk" TargetMode="External"/><Relationship Id="rId3001" Type="http://schemas.openxmlformats.org/officeDocument/2006/relationships/hyperlink" Target="https://drive.google.com/file/d/1Oz7Zj6fZnvvCizj-IHEQF-K0o27fi6QN/view?usp=drivesdk" TargetMode="External"/><Relationship Id="rId470" Type="http://schemas.openxmlformats.org/officeDocument/2006/relationships/hyperlink" Target="https://drive.google.com/file/d/1FJAN3eyWVY5MdaWnh5B4QdBTAYbOGwHg/view?usp=drivesdk" TargetMode="External"/><Relationship Id="rId3000" Type="http://schemas.openxmlformats.org/officeDocument/2006/relationships/hyperlink" Target="https://drive.google.com/file/d/17x3I7jUwdIldQm5GP-fj0zgsKCgIUoRP/view?usp=drivesdk" TargetMode="External"/><Relationship Id="rId477" Type="http://schemas.openxmlformats.org/officeDocument/2006/relationships/hyperlink" Target="https://drive.google.com/file/d/1sr1ugEfrG06nBhUzhH_Gqa1HJpQlSeVs/view?usp=drivesdk" TargetMode="External"/><Relationship Id="rId3003" Type="http://schemas.openxmlformats.org/officeDocument/2006/relationships/hyperlink" Target="https://drive.google.com/file/d/104J0KhnQN8hx7uBldyQ1evQEW8N7petE/view?usp=drivesdk" TargetMode="External"/><Relationship Id="rId476" Type="http://schemas.openxmlformats.org/officeDocument/2006/relationships/hyperlink" Target="https://drive.google.com/file/d/1JPn1_M8M9Ak5XFqjxy1ZwUFV1I8DEUXs/view?usp=drivesdk" TargetMode="External"/><Relationship Id="rId3002" Type="http://schemas.openxmlformats.org/officeDocument/2006/relationships/hyperlink" Target="https://drive.google.com/file/d/1Utyoxyv9ECefgrAbgSyFcs6rDsU9y5Il/view?usp=drivesdk" TargetMode="External"/><Relationship Id="rId475" Type="http://schemas.openxmlformats.org/officeDocument/2006/relationships/hyperlink" Target="https://drive.google.com/file/d/1qcpZmyQfWGKyAKm6cAOG429DdPFkwXR1/view?usp=drivesdk" TargetMode="External"/><Relationship Id="rId3005" Type="http://schemas.openxmlformats.org/officeDocument/2006/relationships/hyperlink" Target="https://drive.google.com/file/d/14l2Iyllp2BRKK4GUgjOnaxtE-5V5_oxZ/view?usp=drivesdk" TargetMode="External"/><Relationship Id="rId474" Type="http://schemas.openxmlformats.org/officeDocument/2006/relationships/hyperlink" Target="https://drive.google.com/file/d/17xRisFaEdb8sQ_Jnp07PmJvPm3L2ogKT/view?usp=drivesdk" TargetMode="External"/><Relationship Id="rId3004" Type="http://schemas.openxmlformats.org/officeDocument/2006/relationships/hyperlink" Target="https://drive.google.com/file/d/1yCifhK2ZQwpUZAjclr5TAmGCQqTbBrUa/view?usp=drivesdk" TargetMode="External"/><Relationship Id="rId1257" Type="http://schemas.openxmlformats.org/officeDocument/2006/relationships/hyperlink" Target="https://drive.google.com/file/d/1qQUY8YHaLjS8I9L_7uxGtCjZZSiaFSNM/view?usp=drivesdk" TargetMode="External"/><Relationship Id="rId2588" Type="http://schemas.openxmlformats.org/officeDocument/2006/relationships/hyperlink" Target="https://drive.google.com/file/d/19ZhWLN_zymp-mzX14YC7jEv-MHZn0Qb4/view?usp=drivesdk" TargetMode="External"/><Relationship Id="rId1258" Type="http://schemas.openxmlformats.org/officeDocument/2006/relationships/hyperlink" Target="https://drive.google.com/file/d/1g_kGujRhG4yuqeSHWQzK9DVDR5v8g2iz/view?usp=drivesdk" TargetMode="External"/><Relationship Id="rId2589" Type="http://schemas.openxmlformats.org/officeDocument/2006/relationships/hyperlink" Target="https://drive.google.com/file/d/1bkTnTMpWLlh3SgTVNkQvjTSRhQmvFwtP/view?usp=drivesdk" TargetMode="External"/><Relationship Id="rId1259" Type="http://schemas.openxmlformats.org/officeDocument/2006/relationships/hyperlink" Target="https://drive.google.com/file/d/1WpZdktvJ6RxBIomnQHJ1hEl8lM_CnZ7M/view?usp=drivesdk" TargetMode="External"/><Relationship Id="rId426" Type="http://schemas.openxmlformats.org/officeDocument/2006/relationships/hyperlink" Target="https://drive.google.com/file/d/1lxNyrut30LtG_T4vh_0nc19pFOLnkqB_/view?usp=drivesdk" TargetMode="External"/><Relationship Id="rId425" Type="http://schemas.openxmlformats.org/officeDocument/2006/relationships/hyperlink" Target="https://drive.google.com/file/d/1gJaw8VmCsIpql6YNiaEbtlS9i9ZvnI4j/view?usp=drivesdk" TargetMode="External"/><Relationship Id="rId424" Type="http://schemas.openxmlformats.org/officeDocument/2006/relationships/hyperlink" Target="https://drive.google.com/file/d/14hGv6YTpkiL88RVOElEz602di2Omzr7f/view?usp=drivesdk" TargetMode="External"/><Relationship Id="rId423" Type="http://schemas.openxmlformats.org/officeDocument/2006/relationships/hyperlink" Target="https://drive.google.com/file/d/1NY_Mp13alUyeeU19O4R8tHyA3dZA_RqB/view?usp=drivesdk" TargetMode="External"/><Relationship Id="rId429" Type="http://schemas.openxmlformats.org/officeDocument/2006/relationships/hyperlink" Target="https://drive.google.com/file/d/1zfUf9igyV4JLZQHMfABoA7bxu_wA8Z6Z/view?usp=drivesdk" TargetMode="External"/><Relationship Id="rId428" Type="http://schemas.openxmlformats.org/officeDocument/2006/relationships/hyperlink" Target="https://drive.google.com/file/d/1CTMitGghA7LzumLb0G1bazQ0Tn14Zqw7/view?usp=drivesdk" TargetMode="External"/><Relationship Id="rId427" Type="http://schemas.openxmlformats.org/officeDocument/2006/relationships/hyperlink" Target="https://drive.google.com/file/d/1IT9oNkAZ6FDjr30hAo06liqM6KgbzmZ4/view?usp=drivesdk" TargetMode="External"/><Relationship Id="rId2580" Type="http://schemas.openxmlformats.org/officeDocument/2006/relationships/hyperlink" Target="https://drive.google.com/file/d/1Dm7RxWVN3iiT5GipgY8Gq3dl65EkIYDu/view?usp=drivesdk" TargetMode="External"/><Relationship Id="rId1250" Type="http://schemas.openxmlformats.org/officeDocument/2006/relationships/hyperlink" Target="https://drive.google.com/file/d/1YPPJtv3xDHwJ3jEdQAjDOFSRUnuq15hb/view?usp=drivesdk" TargetMode="External"/><Relationship Id="rId2581" Type="http://schemas.openxmlformats.org/officeDocument/2006/relationships/hyperlink" Target="https://drive.google.com/file/d/1R2VrRXYyejGfSg11kpe_vHbQr5DvYbiJ/view?usp=drivesdk" TargetMode="External"/><Relationship Id="rId1251" Type="http://schemas.openxmlformats.org/officeDocument/2006/relationships/hyperlink" Target="https://drive.google.com/file/d/1bLrBDqjkPMmEx6FX59L8orwnDLu8WIXb/view?usp=drivesdk" TargetMode="External"/><Relationship Id="rId2582" Type="http://schemas.openxmlformats.org/officeDocument/2006/relationships/hyperlink" Target="https://drive.google.com/file/d/1hFEIf9480JaK6TvFzb55CWH_AxeInkTB/view?usp=drivesdk" TargetMode="External"/><Relationship Id="rId1252" Type="http://schemas.openxmlformats.org/officeDocument/2006/relationships/hyperlink" Target="https://drive.google.com/file/d/1EKIaHTuti7XKw2mQk08MnnJylEMMAcKd/view?usp=drivesdk" TargetMode="External"/><Relationship Id="rId2583" Type="http://schemas.openxmlformats.org/officeDocument/2006/relationships/hyperlink" Target="https://drive.google.com/file/d/1XHPKfkBsPhF-1p8BH_npxrU-1vPB8MEe/view?usp=drivesdk" TargetMode="External"/><Relationship Id="rId422" Type="http://schemas.openxmlformats.org/officeDocument/2006/relationships/hyperlink" Target="https://drive.google.com/file/d/1xO1eFcN3Fyao_5pjlwQOOuiTfEBVgOfl/view?usp=drivesdk" TargetMode="External"/><Relationship Id="rId1253" Type="http://schemas.openxmlformats.org/officeDocument/2006/relationships/hyperlink" Target="https://drive.google.com/file/d/1UfgwGKxa_5AvpC76256uuBjZknlA8ib3/view?usp=drivesdk" TargetMode="External"/><Relationship Id="rId2584" Type="http://schemas.openxmlformats.org/officeDocument/2006/relationships/hyperlink" Target="https://drive.google.com/file/d/14JiPB9PULLRpSMDZtQ3_0LhPcWDH6OCz/view?usp=drivesdk" TargetMode="External"/><Relationship Id="rId421" Type="http://schemas.openxmlformats.org/officeDocument/2006/relationships/hyperlink" Target="https://drive.google.com/file/d/1btZJeLpOgMwnUvkiVPW8mNcBNS33N-Jp/view?usp=drivesdk" TargetMode="External"/><Relationship Id="rId1254" Type="http://schemas.openxmlformats.org/officeDocument/2006/relationships/hyperlink" Target="https://drive.google.com/file/d/1AB61jwhOBItiyDw3TIyUHNiUPtTkAH3o/view?usp=drivesdk" TargetMode="External"/><Relationship Id="rId2585" Type="http://schemas.openxmlformats.org/officeDocument/2006/relationships/hyperlink" Target="https://drive.google.com/file/d/10fOdFQUiEeA-wgKC0-KooJXci0dSR4z2/view?usp=drivesdk" TargetMode="External"/><Relationship Id="rId420" Type="http://schemas.openxmlformats.org/officeDocument/2006/relationships/hyperlink" Target="https://drive.google.com/file/d/1fC5A-rrpNu2GlFxzohOA6Pqyg4sPbju4/view?usp=drivesdk" TargetMode="External"/><Relationship Id="rId1255" Type="http://schemas.openxmlformats.org/officeDocument/2006/relationships/hyperlink" Target="https://drive.google.com/file/d/1aCMImaLjby_90bueWUVFldrnuxIgw5Vu/view?usp=drivesdk" TargetMode="External"/><Relationship Id="rId2586" Type="http://schemas.openxmlformats.org/officeDocument/2006/relationships/hyperlink" Target="https://drive.google.com/file/d/1NhDoKUWqFTe51Dk7ZjfZTxJFNUFzigwr/view?usp=drivesdk" TargetMode="External"/><Relationship Id="rId1256" Type="http://schemas.openxmlformats.org/officeDocument/2006/relationships/hyperlink" Target="https://drive.google.com/file/d/1biGY06VhgNDEMTqCeocAd-YrLIfNNqce/view?usp=drivesdk" TargetMode="External"/><Relationship Id="rId2587" Type="http://schemas.openxmlformats.org/officeDocument/2006/relationships/hyperlink" Target="https://drive.google.com/file/d/1L-LARd7ZRX1JGh3UR9K0BHsrkgo2wADv/view?usp=drivesdk" TargetMode="External"/><Relationship Id="rId1246" Type="http://schemas.openxmlformats.org/officeDocument/2006/relationships/hyperlink" Target="https://drive.google.com/file/d/1Iq2exajG-TDJLBR_-7xMUUfWxSTwJWDV/view?usp=drivesdk" TargetMode="External"/><Relationship Id="rId2577" Type="http://schemas.openxmlformats.org/officeDocument/2006/relationships/hyperlink" Target="https://drive.google.com/file/d/1tExO9xgJVhPwCnVdP8xlqn7faKujVADN/view?usp=drivesdk" TargetMode="External"/><Relationship Id="rId1247" Type="http://schemas.openxmlformats.org/officeDocument/2006/relationships/hyperlink" Target="https://drive.google.com/file/d/1QohAMMPIG9bNDxF5TO_ctDY-bzJUlb_y/view?usp=drivesdk" TargetMode="External"/><Relationship Id="rId2578" Type="http://schemas.openxmlformats.org/officeDocument/2006/relationships/hyperlink" Target="https://drive.google.com/file/d/1BtYypYyY-PzT4y8FLAgHXAyFQwMz4y2O/view?usp=drivesdk" TargetMode="External"/><Relationship Id="rId1248" Type="http://schemas.openxmlformats.org/officeDocument/2006/relationships/hyperlink" Target="https://drive.google.com/file/d/1UM8vlzbWtWJPbRgufyRQ5udR9qVzuZSK/view?usp=drivesdk" TargetMode="External"/><Relationship Id="rId2579" Type="http://schemas.openxmlformats.org/officeDocument/2006/relationships/hyperlink" Target="https://drive.google.com/file/d/1KdKryH9Qx-Olx2xYcWf9zZPlU9JsWLmq/view?usp=drivesdk" TargetMode="External"/><Relationship Id="rId1249" Type="http://schemas.openxmlformats.org/officeDocument/2006/relationships/hyperlink" Target="https://drive.google.com/file/d/14dpPfnnGxxoMpSv9KbJv_DGRBbGGNcej/view?usp=drivesdk" TargetMode="External"/><Relationship Id="rId415" Type="http://schemas.openxmlformats.org/officeDocument/2006/relationships/hyperlink" Target="https://drive.google.com/file/d/1CebArmOyvhk6TS7GUk7KioJhsZEYW5MG/view?usp=drivesdk" TargetMode="External"/><Relationship Id="rId414" Type="http://schemas.openxmlformats.org/officeDocument/2006/relationships/hyperlink" Target="https://drive.google.com/file/d/1Ejtm_QBqdgPmIq91-p0tkBvSKLlu6s1b/view?usp=drivesdk" TargetMode="External"/><Relationship Id="rId413" Type="http://schemas.openxmlformats.org/officeDocument/2006/relationships/hyperlink" Target="https://drive.google.com/file/d/1guPuG4Yot2C3n3INqBLJT2SUuL7OEVqb/view?usp=drivesdk" TargetMode="External"/><Relationship Id="rId412" Type="http://schemas.openxmlformats.org/officeDocument/2006/relationships/hyperlink" Target="https://drive.google.com/file/d/1398bbdesLVQD_blh-JVEzern2utYk9f5/view?usp=drivesdk" TargetMode="External"/><Relationship Id="rId419" Type="http://schemas.openxmlformats.org/officeDocument/2006/relationships/hyperlink" Target="https://drive.google.com/file/d/1hqMzD5PLs2nBo4O4BRt_pfkmBBPQxY8A/view?usp=drivesdk" TargetMode="External"/><Relationship Id="rId418" Type="http://schemas.openxmlformats.org/officeDocument/2006/relationships/hyperlink" Target="https://drive.google.com/file/d/1OqNP32KOc_YSqFHpjz4nNvLXQ6zte2pY/view?usp=drivesdk" TargetMode="External"/><Relationship Id="rId417" Type="http://schemas.openxmlformats.org/officeDocument/2006/relationships/hyperlink" Target="https://drive.google.com/file/d/19hXfxJd8AsSuQIlFNb6NcdzuO6Ix_aVZ/view?usp=drivesdk" TargetMode="External"/><Relationship Id="rId416" Type="http://schemas.openxmlformats.org/officeDocument/2006/relationships/hyperlink" Target="https://drive.google.com/file/d/1figCFS9-689vIdjMd__cksJc4UwyJJDs/view?usp=drivesdk" TargetMode="External"/><Relationship Id="rId2570" Type="http://schemas.openxmlformats.org/officeDocument/2006/relationships/hyperlink" Target="https://drive.google.com/file/d/1TtkPI6YvV3JyoWKI8Z0FTVrehrNka7__/view?usp=drivesdk" TargetMode="External"/><Relationship Id="rId1240" Type="http://schemas.openxmlformats.org/officeDocument/2006/relationships/hyperlink" Target="https://drive.google.com/file/d/1alfL4rXzwhSOjwVbljRPqMEDJD1p_bH_/view?usp=drivesdk" TargetMode="External"/><Relationship Id="rId2571" Type="http://schemas.openxmlformats.org/officeDocument/2006/relationships/hyperlink" Target="https://drive.google.com/file/d/1Eufb0NfIAz03c6rDvfbVDbjGjjReVYgi/view?usp=drivesdk" TargetMode="External"/><Relationship Id="rId1241" Type="http://schemas.openxmlformats.org/officeDocument/2006/relationships/hyperlink" Target="https://drive.google.com/file/d/1tDcOxq4h_QB7r--zun0YfiYhBgzXidMZ/view?usp=drivesdk" TargetMode="External"/><Relationship Id="rId2572" Type="http://schemas.openxmlformats.org/officeDocument/2006/relationships/hyperlink" Target="https://drive.google.com/file/d/10IpKBTm-TxBYPtbdDzTDyVDz6z5jT5CF/view?usp=drivesdk" TargetMode="External"/><Relationship Id="rId411" Type="http://schemas.openxmlformats.org/officeDocument/2006/relationships/hyperlink" Target="https://drive.google.com/file/d/11D_JV9fY9JfgqmmGrdHfkgmiKcZmNkPF/view?usp=drivesdk" TargetMode="External"/><Relationship Id="rId1242" Type="http://schemas.openxmlformats.org/officeDocument/2006/relationships/hyperlink" Target="https://drive.google.com/file/d/1aas7piVJyfMlXDfZVcy2BNATmn7OrUT5/view?usp=drivesdk" TargetMode="External"/><Relationship Id="rId2573" Type="http://schemas.openxmlformats.org/officeDocument/2006/relationships/hyperlink" Target="https://drive.google.com/file/d/1H6X8VsyVixAViuUZ-S2dfj2OJm-VwYrl/view?usp=drivesdk" TargetMode="External"/><Relationship Id="rId410" Type="http://schemas.openxmlformats.org/officeDocument/2006/relationships/hyperlink" Target="https://drive.google.com/file/d/1PtFqSEFuwzm0sqzJJDRFBCrgYx0VU7QF/view?usp=drivesdk" TargetMode="External"/><Relationship Id="rId1243" Type="http://schemas.openxmlformats.org/officeDocument/2006/relationships/hyperlink" Target="https://drive.google.com/file/d/1gG02tv3PWyQz_Ib3EeWspGFEQD7yZJ4S/view?usp=drivesdk" TargetMode="External"/><Relationship Id="rId2574" Type="http://schemas.openxmlformats.org/officeDocument/2006/relationships/hyperlink" Target="https://drive.google.com/file/d/1-zejzHs_827BE5ay0BYTDFjpuHdy5VLk/view?usp=drivesdk" TargetMode="External"/><Relationship Id="rId1244" Type="http://schemas.openxmlformats.org/officeDocument/2006/relationships/hyperlink" Target="https://drive.google.com/file/d/1tZqiX4yaCWNZp0VBksEuDisPC0QorBFC/view?usp=drivesdk" TargetMode="External"/><Relationship Id="rId2575" Type="http://schemas.openxmlformats.org/officeDocument/2006/relationships/hyperlink" Target="https://drive.google.com/file/d/1woJDHccS6Df_7DkKmeLElCzqxpjoRtns/view?usp=drivesdk" TargetMode="External"/><Relationship Id="rId1245" Type="http://schemas.openxmlformats.org/officeDocument/2006/relationships/hyperlink" Target="https://drive.google.com/file/d/1A0ji2boMvIVfZW9YqaNx_sESaCqIAN8o/view?usp=drivesdk" TargetMode="External"/><Relationship Id="rId2576" Type="http://schemas.openxmlformats.org/officeDocument/2006/relationships/hyperlink" Target="https://drive.google.com/file/d/13vglHZTPgv6z9W5xPGWG5OyE_h91M3UK/view?usp=drivesdk" TargetMode="External"/><Relationship Id="rId1279" Type="http://schemas.openxmlformats.org/officeDocument/2006/relationships/hyperlink" Target="https://drive.google.com/file/d/18Wf2cvLd4DRCjLzwtJ_krjgE7W5bfG-W/view?usp=drivesdk" TargetMode="External"/><Relationship Id="rId448" Type="http://schemas.openxmlformats.org/officeDocument/2006/relationships/hyperlink" Target="https://drive.google.com/file/d/1nUo9WjTZnbERPPJGJ92wTHHh-N_Go9gv/view?usp=drivesdk" TargetMode="External"/><Relationship Id="rId447" Type="http://schemas.openxmlformats.org/officeDocument/2006/relationships/hyperlink" Target="https://drive.google.com/file/d/1XHwantHHXjvqUA4h_kjIvPYd2kD5Jyx3/view?usp=drivesdk" TargetMode="External"/><Relationship Id="rId446" Type="http://schemas.openxmlformats.org/officeDocument/2006/relationships/hyperlink" Target="https://drive.google.com/file/d/1mNMSYELyVuOU6TMtfY3_SU3eElANuRCq/view?usp=drivesdk" TargetMode="External"/><Relationship Id="rId445" Type="http://schemas.openxmlformats.org/officeDocument/2006/relationships/hyperlink" Target="https://drive.google.com/file/d/1yJlrubd5xqo8Y46IKMA08QC9JgFEarjo/view?usp=drivesdk" TargetMode="External"/><Relationship Id="rId449" Type="http://schemas.openxmlformats.org/officeDocument/2006/relationships/hyperlink" Target="https://drive.google.com/file/d/1RmoCMP8is9P9i3jndJQRRTlgReQ98ZSI/view?usp=drivesdk" TargetMode="External"/><Relationship Id="rId1270" Type="http://schemas.openxmlformats.org/officeDocument/2006/relationships/hyperlink" Target="https://drive.google.com/file/d/1CgP_knty2ctHaRtfuvVOqytvHjIpQv1H/view?usp=drivesdk" TargetMode="External"/><Relationship Id="rId440" Type="http://schemas.openxmlformats.org/officeDocument/2006/relationships/hyperlink" Target="https://drive.google.com/file/d/1k1X3bQV9TzCCD4IlqxqPYfdo83h0OHmP/view?usp=drivesdk" TargetMode="External"/><Relationship Id="rId1271" Type="http://schemas.openxmlformats.org/officeDocument/2006/relationships/hyperlink" Target="https://drive.google.com/file/d/1xYH64jm6q1s8GQfgVLcJXhZd0QMbRWZK/view?usp=drivesdk" TargetMode="External"/><Relationship Id="rId1272" Type="http://schemas.openxmlformats.org/officeDocument/2006/relationships/hyperlink" Target="https://drive.google.com/file/d/1G_91tbuPrGF6wAXnKCh07PH4ssjgu5OS/view?usp=drivesdk" TargetMode="External"/><Relationship Id="rId1273" Type="http://schemas.openxmlformats.org/officeDocument/2006/relationships/hyperlink" Target="https://drive.google.com/file/d/1k_KYfMXhB7VMJVA3nBm3aPdzDsf07QY7/view?usp=drivesdk" TargetMode="External"/><Relationship Id="rId1274" Type="http://schemas.openxmlformats.org/officeDocument/2006/relationships/hyperlink" Target="https://drive.google.com/file/d/1dVFvxccujpVUcOAcGaYwPVguwxu90UA0/view?usp=drivesdk" TargetMode="External"/><Relationship Id="rId444" Type="http://schemas.openxmlformats.org/officeDocument/2006/relationships/hyperlink" Target="https://drive.google.com/file/d/1FU29SOZM23s_7QTSoXduUnSJvebTWVgd/view?usp=drivesdk" TargetMode="External"/><Relationship Id="rId1275" Type="http://schemas.openxmlformats.org/officeDocument/2006/relationships/hyperlink" Target="https://drive.google.com/file/d/1tl6HDgdz9ZeSjaCrgT1tClKQYDgLfJX2/view?usp=drivesdk" TargetMode="External"/><Relationship Id="rId443" Type="http://schemas.openxmlformats.org/officeDocument/2006/relationships/hyperlink" Target="https://drive.google.com/file/d/1Wl-Ma8TYbbwvnivHK1k9fScESSLzvo7E/view?usp=drivesdk" TargetMode="External"/><Relationship Id="rId1276" Type="http://schemas.openxmlformats.org/officeDocument/2006/relationships/hyperlink" Target="https://drive.google.com/file/d/1AtO9UFTooj8jsZ-bMrbVdlKA178_-UWZ/view?usp=drivesdk" TargetMode="External"/><Relationship Id="rId442" Type="http://schemas.openxmlformats.org/officeDocument/2006/relationships/hyperlink" Target="https://drive.google.com/file/d/1QJ1QA_hGVAO4cg0FHDazvy-0h4f5kcZH/view?usp=drivesdk" TargetMode="External"/><Relationship Id="rId1277" Type="http://schemas.openxmlformats.org/officeDocument/2006/relationships/hyperlink" Target="https://drive.google.com/file/d/1TWmS4cxX6FXLDRZDqttHr1wWONTb1Wwn/view?usp=drivesdk" TargetMode="External"/><Relationship Id="rId441" Type="http://schemas.openxmlformats.org/officeDocument/2006/relationships/hyperlink" Target="https://drive.google.com/file/d/17rBKvr-zjXs3WfrE37F92ZbymbliUh4A/view?usp=drivesdk" TargetMode="External"/><Relationship Id="rId1278" Type="http://schemas.openxmlformats.org/officeDocument/2006/relationships/hyperlink" Target="https://drive.google.com/file/d/1b7oFtJnFWCU-6PsinPO-TRX8uEQLgYae/view?usp=drivesdk" TargetMode="External"/><Relationship Id="rId1268" Type="http://schemas.openxmlformats.org/officeDocument/2006/relationships/hyperlink" Target="https://drive.google.com/file/d/19sCJoMNpomOzWNKZEVij6_AZEcmdnoQm/view?usp=drivesdk" TargetMode="External"/><Relationship Id="rId2599" Type="http://schemas.openxmlformats.org/officeDocument/2006/relationships/hyperlink" Target="https://drive.google.com/file/d/1NV42SOubbZFwoBVl2IhhGw3jTa6CF1Ns/view?usp=drivesdk" TargetMode="External"/><Relationship Id="rId1269" Type="http://schemas.openxmlformats.org/officeDocument/2006/relationships/hyperlink" Target="https://drive.google.com/file/d/1tZwdX18X7iGLQ9AGbLtmDExPZqA-qkSh/view?usp=drivesdk" TargetMode="External"/><Relationship Id="rId437" Type="http://schemas.openxmlformats.org/officeDocument/2006/relationships/hyperlink" Target="https://drive.google.com/file/d/10fDogv4EY5jJW4yYJcCgApBtNRd_p5Zs/view?usp=drivesdk" TargetMode="External"/><Relationship Id="rId436" Type="http://schemas.openxmlformats.org/officeDocument/2006/relationships/hyperlink" Target="https://drive.google.com/file/d/1HKJhYQRUf6q_nkNYE6sPv-RURWvjZEbc/view?usp=drivesdk" TargetMode="External"/><Relationship Id="rId435" Type="http://schemas.openxmlformats.org/officeDocument/2006/relationships/hyperlink" Target="https://drive.google.com/file/d/194Jg8h9cA9uB0VBCFjZon7jCcE4l0eye/view?usp=drivesdk" TargetMode="External"/><Relationship Id="rId434" Type="http://schemas.openxmlformats.org/officeDocument/2006/relationships/hyperlink" Target="https://drive.google.com/file/d/1HgWfF6B0qOcSs0NXi6mXulVTd8c1tH-1/view?usp=drivesdk" TargetMode="External"/><Relationship Id="rId439" Type="http://schemas.openxmlformats.org/officeDocument/2006/relationships/hyperlink" Target="https://drive.google.com/file/d/12V5ucoeNi9G0bo4IptMdfSpBs3hOz0nf/view?usp=drivesdk" TargetMode="External"/><Relationship Id="rId438" Type="http://schemas.openxmlformats.org/officeDocument/2006/relationships/hyperlink" Target="https://drive.google.com/file/d/1L0JEBu9wmTn9ipTdZ9As779WByZN23cS/view?usp=drivesdk" TargetMode="External"/><Relationship Id="rId2590" Type="http://schemas.openxmlformats.org/officeDocument/2006/relationships/hyperlink" Target="https://drive.google.com/file/d/1MSm1yoidPn8M-5atsMIFyyg354c4jcsA/view?usp=drivesdk" TargetMode="External"/><Relationship Id="rId1260" Type="http://schemas.openxmlformats.org/officeDocument/2006/relationships/hyperlink" Target="https://drive.google.com/file/d/1CxG-Cb4wELF92f_ys9jzDE8EZiCJEIZ8/view?usp=drivesdk" TargetMode="External"/><Relationship Id="rId2591" Type="http://schemas.openxmlformats.org/officeDocument/2006/relationships/hyperlink" Target="https://drive.google.com/file/d/11AH2LlIZsd9ZFfFjWFxFf5MBHzmbtt8i/view?usp=drivesdk" TargetMode="External"/><Relationship Id="rId1261" Type="http://schemas.openxmlformats.org/officeDocument/2006/relationships/hyperlink" Target="https://drive.google.com/file/d/1KRlikjkVG75-FF5ffUuGXNlDAUsJr6wo/view?usp=drivesdk" TargetMode="External"/><Relationship Id="rId2592" Type="http://schemas.openxmlformats.org/officeDocument/2006/relationships/hyperlink" Target="https://drive.google.com/file/d/1nf6pGq8hq9bbyslYCmBnDq_ApL1IsSNI/view?usp=drivesdk" TargetMode="External"/><Relationship Id="rId1262" Type="http://schemas.openxmlformats.org/officeDocument/2006/relationships/hyperlink" Target="https://drive.google.com/file/d/1Be_qME2koKxgagVI5BC_oPnTbMgtgsZN/view?usp=drivesdk" TargetMode="External"/><Relationship Id="rId2593" Type="http://schemas.openxmlformats.org/officeDocument/2006/relationships/hyperlink" Target="https://drive.google.com/file/d/1s-fD3MM9Vafr2eJtS0aNAfCBK-RY3Yo-/view?usp=drivesdk" TargetMode="External"/><Relationship Id="rId1263" Type="http://schemas.openxmlformats.org/officeDocument/2006/relationships/hyperlink" Target="https://drive.google.com/file/d/1xDn5W5pV2itl-dOXJa19g7AL0c3gYynB/view?usp=drivesdk" TargetMode="External"/><Relationship Id="rId2594" Type="http://schemas.openxmlformats.org/officeDocument/2006/relationships/hyperlink" Target="https://drive.google.com/file/d/1QkWM8jiVqpN5vc_zuD8HexJx-ED2mGF0/view?usp=drivesdk" TargetMode="External"/><Relationship Id="rId433" Type="http://schemas.openxmlformats.org/officeDocument/2006/relationships/hyperlink" Target="https://drive.google.com/file/d/19zetYy8nodSdbgFCvhMoDdfh_hhFri5m/view?usp=drivesdk" TargetMode="External"/><Relationship Id="rId1264" Type="http://schemas.openxmlformats.org/officeDocument/2006/relationships/hyperlink" Target="https://drive.google.com/file/d/1GJ-rXBCF8E0-A44JYRsWY-O-OBQ3Ccc_/view?usp=drivesdk" TargetMode="External"/><Relationship Id="rId2595" Type="http://schemas.openxmlformats.org/officeDocument/2006/relationships/hyperlink" Target="https://drive.google.com/file/d/1H6qRZ24gIkLnBRWVbjI2jgKRf4KnrPQh/view?usp=drivesdk" TargetMode="External"/><Relationship Id="rId432" Type="http://schemas.openxmlformats.org/officeDocument/2006/relationships/hyperlink" Target="https://drive.google.com/file/d/1YOnZXeIyBoFQpqvd6yBrqbMmDNtPl_I7/view?usp=drivesdk" TargetMode="External"/><Relationship Id="rId1265" Type="http://schemas.openxmlformats.org/officeDocument/2006/relationships/hyperlink" Target="https://drive.google.com/file/d/1yetzCKztWccCP2nPhPWW57xnsq5SQ9ks/view?usp=drivesdk" TargetMode="External"/><Relationship Id="rId2596" Type="http://schemas.openxmlformats.org/officeDocument/2006/relationships/hyperlink" Target="https://drive.google.com/file/d/1EKnIsw-dolmmk1-6Kle0hKb5-wtcqfmw/view?usp=drivesdk" TargetMode="External"/><Relationship Id="rId431" Type="http://schemas.openxmlformats.org/officeDocument/2006/relationships/hyperlink" Target="https://drive.google.com/file/d/1ThSCbcm9NT9u5rjmqEXoygC-NEFFbBy2/view?usp=drivesdk" TargetMode="External"/><Relationship Id="rId1266" Type="http://schemas.openxmlformats.org/officeDocument/2006/relationships/hyperlink" Target="https://drive.google.com/file/d/1FNKK4q4VtFH1B7xBgyBkKpv3rI_nfsxd/view?usp=drivesdk" TargetMode="External"/><Relationship Id="rId2597" Type="http://schemas.openxmlformats.org/officeDocument/2006/relationships/hyperlink" Target="https://drive.google.com/file/d/1gOWd02cezb5MHlIvhprXv-TgaFt5Ij8f/view?usp=drivesdk" TargetMode="External"/><Relationship Id="rId430" Type="http://schemas.openxmlformats.org/officeDocument/2006/relationships/hyperlink" Target="https://drive.google.com/file/d/1SdwnFHhjN0wtZdJb1CsMjDk96JOA-3qX/view?usp=drivesdk" TargetMode="External"/><Relationship Id="rId1267" Type="http://schemas.openxmlformats.org/officeDocument/2006/relationships/hyperlink" Target="https://drive.google.com/file/d/1SbyHKBwQDmPXmv9TAEH0QrAg5CJR3YqL/view?usp=drivesdk" TargetMode="External"/><Relationship Id="rId2598" Type="http://schemas.openxmlformats.org/officeDocument/2006/relationships/hyperlink" Target="https://drive.google.com/file/d/1rAL0rmM0jbf9S7uX5DiL77r3bNeTGrOY/view?usp=drivesdk" TargetMode="External"/><Relationship Id="rId3070" Type="http://schemas.openxmlformats.org/officeDocument/2006/relationships/hyperlink" Target="https://drive.google.com/file/d/1xWbz_w1r9P1BGfJ_vctcFlsqK4cuVLq_/view?usp=drivesdk" TargetMode="External"/><Relationship Id="rId3072" Type="http://schemas.openxmlformats.org/officeDocument/2006/relationships/hyperlink" Target="https://drive.google.com/file/d/1Pb_juPmIU_Q7VY9NrSeQKbDclKBuO2i4/view?usp=drivesdk" TargetMode="External"/><Relationship Id="rId3071" Type="http://schemas.openxmlformats.org/officeDocument/2006/relationships/hyperlink" Target="https://drive.google.com/file/d/1Np9c8r6_VQUD2BcEZk8o5Cy0BoXVy2Li/view?usp=drivesdk" TargetMode="External"/><Relationship Id="rId3074" Type="http://schemas.openxmlformats.org/officeDocument/2006/relationships/hyperlink" Target="https://drive.google.com/file/d/10yaA-7vTch8W8oJSHYpgVkbEg8z8BPSk/view?usp=drivesdk" TargetMode="External"/><Relationship Id="rId3073" Type="http://schemas.openxmlformats.org/officeDocument/2006/relationships/hyperlink" Target="https://drive.google.com/file/d/1QqlfpnVgorDgEGsd9xjg9VdSz9ecCVY2/view?usp=drivesdk" TargetMode="External"/><Relationship Id="rId3076" Type="http://schemas.openxmlformats.org/officeDocument/2006/relationships/hyperlink" Target="https://drive.google.com/file/d/1quS4MAYvEPtehwNPw-pIZVscM1NFoUOj/view?usp=drivesdk" TargetMode="External"/><Relationship Id="rId3075" Type="http://schemas.openxmlformats.org/officeDocument/2006/relationships/hyperlink" Target="https://drive.google.com/file/d/1fMzA4P_bUgXzmkzRN_fCqo-PtYtnqv2j/view?usp=drivesdk" TargetMode="External"/><Relationship Id="rId3078" Type="http://schemas.openxmlformats.org/officeDocument/2006/relationships/hyperlink" Target="https://drive.google.com/file/d/1OhDDQNwvw1HPW_6EQklkNmTPpV2B15Ud/view?usp=drivesdk" TargetMode="External"/><Relationship Id="rId3077" Type="http://schemas.openxmlformats.org/officeDocument/2006/relationships/hyperlink" Target="https://drive.google.com/file/d/1-2z3-hJuh_EWL-Ayget2LVe3OiM0cWJb/view?usp=drivesdk" TargetMode="External"/><Relationship Id="rId3079" Type="http://schemas.openxmlformats.org/officeDocument/2006/relationships/hyperlink" Target="https://drive.google.com/file/d/1WyB_fPDsqRLw_BnSdCM6uoyFG1SH2iMA/view?usp=drivesdk" TargetMode="External"/><Relationship Id="rId3061" Type="http://schemas.openxmlformats.org/officeDocument/2006/relationships/hyperlink" Target="https://drive.google.com/file/d/1u2KiampcOcT7G124TEOiIzae-KDknBmd/view?usp=drivesdk" TargetMode="External"/><Relationship Id="rId3060" Type="http://schemas.openxmlformats.org/officeDocument/2006/relationships/hyperlink" Target="https://drive.google.com/file/d/1fTRsNjUSigNQXhqc1pXcjQ_2Nx-X6BFV/view?usp=drivesdk" TargetMode="External"/><Relationship Id="rId3063" Type="http://schemas.openxmlformats.org/officeDocument/2006/relationships/hyperlink" Target="https://drive.google.com/file/d/1sjdW_JBf7Xvavc-j0ZYGAQkqF_EQI8iP/view?usp=drivesdk" TargetMode="External"/><Relationship Id="rId3062" Type="http://schemas.openxmlformats.org/officeDocument/2006/relationships/hyperlink" Target="https://drive.google.com/file/d/1XZ_zxm3xyVj2TD9ZkpEejEYcPp9nIzht/view?usp=drivesdk" TargetMode="External"/><Relationship Id="rId3065" Type="http://schemas.openxmlformats.org/officeDocument/2006/relationships/hyperlink" Target="https://drive.google.com/file/d/1OxFDVNyZI1frRjeq-YzZQaUFqgYur5QQ/view?usp=drivesdk" TargetMode="External"/><Relationship Id="rId3064" Type="http://schemas.openxmlformats.org/officeDocument/2006/relationships/hyperlink" Target="https://drive.google.com/file/d/1DouZu51tYUlHCJt3ED5926-nk58IBtuY/view?usp=drivesdk" TargetMode="External"/><Relationship Id="rId3067" Type="http://schemas.openxmlformats.org/officeDocument/2006/relationships/hyperlink" Target="https://drive.google.com/file/d/1sQ8SgRlBMbqW6PR-9YQps9sVh-rL9tXw/view?usp=drivesdk" TargetMode="External"/><Relationship Id="rId3066" Type="http://schemas.openxmlformats.org/officeDocument/2006/relationships/hyperlink" Target="https://drive.google.com/file/d/1xUlRe3MC-gZV8Zhd6NQNLSAYxUKd-bXT/view?usp=drivesdk" TargetMode="External"/><Relationship Id="rId3069" Type="http://schemas.openxmlformats.org/officeDocument/2006/relationships/hyperlink" Target="https://drive.google.com/file/d/1oAjR8vSHaozIl7e-9ozgY9hFTpEChKb7/view?usp=drivesdk" TargetMode="External"/><Relationship Id="rId3068" Type="http://schemas.openxmlformats.org/officeDocument/2006/relationships/hyperlink" Target="https://drive.google.com/file/d/1vagLpfu0yJBLs-8Gatz7OEVqAcsptNyV/view?usp=drivesdk" TargetMode="External"/><Relationship Id="rId3090" Type="http://schemas.openxmlformats.org/officeDocument/2006/relationships/hyperlink" Target="https://drive.google.com/file/d/1yWq9VA17bviusA1-gmEWYWL7w6FHKyMI/view?usp=drivesdk" TargetMode="External"/><Relationship Id="rId3092" Type="http://schemas.openxmlformats.org/officeDocument/2006/relationships/hyperlink" Target="https://drive.google.com/file/d/1wEFZG_VXnD2cJrOMtVKNCAqucbV5WQV9/view?usp=drivesdk" TargetMode="External"/><Relationship Id="rId3091" Type="http://schemas.openxmlformats.org/officeDocument/2006/relationships/hyperlink" Target="https://drive.google.com/file/d/1kCe7dne_GNfNSHLYlAzOzBcQn9yFuOr2/view?usp=drivesdk" TargetMode="External"/><Relationship Id="rId3094" Type="http://schemas.openxmlformats.org/officeDocument/2006/relationships/hyperlink" Target="https://drive.google.com/file/d/1bo9aASmCjIsAeU5__CNxEyKU60JbH_Oz/view?usp=drivesdk" TargetMode="External"/><Relationship Id="rId3093" Type="http://schemas.openxmlformats.org/officeDocument/2006/relationships/hyperlink" Target="https://drive.google.com/file/d/1NZ8v6491Ny_LbUh8osKtj88hF7RAiobW/view?usp=drivesdk" TargetMode="External"/><Relationship Id="rId3096" Type="http://schemas.openxmlformats.org/officeDocument/2006/relationships/hyperlink" Target="https://drive.google.com/file/d/1UZf-WWxr567_733TRlppgx3RgvA55ffu/view?usp=drivesdk" TargetMode="External"/><Relationship Id="rId3095" Type="http://schemas.openxmlformats.org/officeDocument/2006/relationships/hyperlink" Target="https://drive.google.com/file/d/1l_wx_FSiuvPt3DtbfXQuVLlkNpKxxEUQ/view?usp=drivesdk" TargetMode="External"/><Relationship Id="rId3098" Type="http://schemas.openxmlformats.org/officeDocument/2006/relationships/hyperlink" Target="https://drive.google.com/file/d/1fUG2ettSKcRAWZvEYcWP5AQXnj7UBOUs/view?usp=drivesdk" TargetMode="External"/><Relationship Id="rId3097" Type="http://schemas.openxmlformats.org/officeDocument/2006/relationships/hyperlink" Target="https://drive.google.com/file/d/1kSBFgzp6OROkewjCtlxP2vg6PFLhL9xO/view?usp=drivesdk" TargetMode="External"/><Relationship Id="rId3099" Type="http://schemas.openxmlformats.org/officeDocument/2006/relationships/hyperlink" Target="https://drive.google.com/file/d/14_zGf2VGJvPhKygjEvbM1ARE5XCCkEub/view?usp=drivesdk" TargetMode="External"/><Relationship Id="rId3081" Type="http://schemas.openxmlformats.org/officeDocument/2006/relationships/hyperlink" Target="https://drive.google.com/file/d/1fLF2Mzhldev10C0y_NhzgQRy11WYOzxV/view?usp=drivesdk" TargetMode="External"/><Relationship Id="rId3080" Type="http://schemas.openxmlformats.org/officeDocument/2006/relationships/hyperlink" Target="https://drive.google.com/file/d/1Y8W4Pu0XmqnQ5lA-X7ANKZNlSBzl4UGP/view?usp=drivesdk" TargetMode="External"/><Relationship Id="rId3083" Type="http://schemas.openxmlformats.org/officeDocument/2006/relationships/hyperlink" Target="https://drive.google.com/file/d/1KC4plXYkIWysGPnao4Tklulvzel2Da4l/view?usp=drivesdk" TargetMode="External"/><Relationship Id="rId3082" Type="http://schemas.openxmlformats.org/officeDocument/2006/relationships/hyperlink" Target="https://drive.google.com/file/d/16TMWmx3oUBzr8RckTX2nq_oNoNlOcVY5/view?usp=drivesdk" TargetMode="External"/><Relationship Id="rId3085" Type="http://schemas.openxmlformats.org/officeDocument/2006/relationships/hyperlink" Target="https://drive.google.com/file/d/1zG4Fc_IEv6joOTyPj0JeBdLMNt-6vqsC/view?usp=drivesdk" TargetMode="External"/><Relationship Id="rId3084" Type="http://schemas.openxmlformats.org/officeDocument/2006/relationships/hyperlink" Target="https://drive.google.com/file/d/18x2vGr9C5TmbBPxVJPLb9glWPl6R3fRW/view?usp=drivesdk" TargetMode="External"/><Relationship Id="rId3087" Type="http://schemas.openxmlformats.org/officeDocument/2006/relationships/hyperlink" Target="https://drive.google.com/file/d/1FBVDq-txued5VjX89SxjAxiqVp_WzRYr/view?usp=drivesdk" TargetMode="External"/><Relationship Id="rId3086" Type="http://schemas.openxmlformats.org/officeDocument/2006/relationships/hyperlink" Target="https://drive.google.com/file/d/1V4dif0GlZHpTSBPr0wrGGqKPzj36JjUm/view?usp=drivesdk" TargetMode="External"/><Relationship Id="rId3089" Type="http://schemas.openxmlformats.org/officeDocument/2006/relationships/hyperlink" Target="https://drive.google.com/file/d/1Dc0I6mdR5VNlZdfy9Q6SxLCujdERpq1s/view?usp=drivesdk" TargetMode="External"/><Relationship Id="rId3088" Type="http://schemas.openxmlformats.org/officeDocument/2006/relationships/hyperlink" Target="https://drive.google.com/file/d/1G4gv0ySakjef__T9l4MU6vM4mSqIKpQf/view?usp=drivesdk" TargetMode="External"/><Relationship Id="rId3039" Type="http://schemas.openxmlformats.org/officeDocument/2006/relationships/hyperlink" Target="https://drive.google.com/file/d/1VYqvNkQuJmP378cGj71lJ4JV-clMH0Yv/view?usp=drivesdk" TargetMode="External"/><Relationship Id="rId1" Type="http://schemas.openxmlformats.org/officeDocument/2006/relationships/hyperlink" Target="https://drive.google.com/file/d/15aPWJNls-PSqDezX-O4kJuFoYadqJdyq/view?usp=drivesdk" TargetMode="External"/><Relationship Id="rId2" Type="http://schemas.openxmlformats.org/officeDocument/2006/relationships/hyperlink" Target="https://drive.google.com/file/d/1DVe4EhHHMVXLTyDgNEKNgeTMnzvaimdn/view?usp=drivesdk" TargetMode="External"/><Relationship Id="rId3" Type="http://schemas.openxmlformats.org/officeDocument/2006/relationships/hyperlink" Target="https://drive.google.com/file/d/1COUtyUT4UINH1auhByUj5eI8Sqc0Z2kl/view?usp=drivesdk" TargetMode="External"/><Relationship Id="rId4" Type="http://schemas.openxmlformats.org/officeDocument/2006/relationships/hyperlink" Target="https://drive.google.com/file/d/1HX1ARtKHkRzsnXTLOmCA3x7Ybj-EQpwG/view?usp=drivesdk" TargetMode="External"/><Relationship Id="rId3030" Type="http://schemas.openxmlformats.org/officeDocument/2006/relationships/hyperlink" Target="https://drive.google.com/file/d/1VCKoEhCkZgWeNPsAklTrHzvyEtDe0UpM/view?usp=drivesdk" TargetMode="External"/><Relationship Id="rId9" Type="http://schemas.openxmlformats.org/officeDocument/2006/relationships/hyperlink" Target="https://drive.google.com/file/d/13c2OXnbUHMlIGLoOEx_WdCtbRM7Xeaky/view?usp=drivesdk" TargetMode="External"/><Relationship Id="rId3032" Type="http://schemas.openxmlformats.org/officeDocument/2006/relationships/hyperlink" Target="https://drive.google.com/file/d/1P9xYCgkA2aZzeFeWwFu2vsHTC7Pzw-Oa/view?usp=drivesdk" TargetMode="External"/><Relationship Id="rId3031" Type="http://schemas.openxmlformats.org/officeDocument/2006/relationships/hyperlink" Target="https://drive.google.com/file/d/1epyBwvNQIzhoIzncHzNCghI35bEcM7FS/view?usp=drivesdk" TargetMode="External"/><Relationship Id="rId3034" Type="http://schemas.openxmlformats.org/officeDocument/2006/relationships/hyperlink" Target="https://drive.google.com/file/d/1c-T-gBsf13rctIADi3rUqpv_LDEac7l1/view?usp=drivesdk" TargetMode="External"/><Relationship Id="rId3033" Type="http://schemas.openxmlformats.org/officeDocument/2006/relationships/hyperlink" Target="https://drive.google.com/file/d/1ZRJcq-rd4pEQb0DmJ1HQenA2-OH5dbEb/view?usp=drivesdk" TargetMode="External"/><Relationship Id="rId5" Type="http://schemas.openxmlformats.org/officeDocument/2006/relationships/hyperlink" Target="https://drive.google.com/file/d/1vuMTmk7la_BCoO2sa_r9EC9nRkth7cbJ/view?usp=drivesdk" TargetMode="External"/><Relationship Id="rId3036" Type="http://schemas.openxmlformats.org/officeDocument/2006/relationships/hyperlink" Target="https://drive.google.com/file/d/1dcM9NQdz9QH53PQ7hkiNVOhT5nBAY9Vn/view?usp=drivesdk" TargetMode="External"/><Relationship Id="rId6" Type="http://schemas.openxmlformats.org/officeDocument/2006/relationships/hyperlink" Target="https://drive.google.com/file/d/1T2DXm4LPyXvDbG4j5B789cST_yVY0Zex/view?usp=drivesdk" TargetMode="External"/><Relationship Id="rId3035" Type="http://schemas.openxmlformats.org/officeDocument/2006/relationships/hyperlink" Target="https://drive.google.com/file/d/1hMU234raFGJtbZQ16uhu9mUFuosskYBK/view?usp=drivesdk" TargetMode="External"/><Relationship Id="rId7" Type="http://schemas.openxmlformats.org/officeDocument/2006/relationships/hyperlink" Target="https://drive.google.com/file/d/1Ex6MOkxF8hNSbQe5EinrWsAJh4FAoOf4/view?usp=drivesdk" TargetMode="External"/><Relationship Id="rId3038" Type="http://schemas.openxmlformats.org/officeDocument/2006/relationships/hyperlink" Target="https://drive.google.com/file/d/16mzj15ffaodG7p7OkXeRFIl06zUe0OUG/view?usp=drivesdk" TargetMode="External"/><Relationship Id="rId8" Type="http://schemas.openxmlformats.org/officeDocument/2006/relationships/hyperlink" Target="https://drive.google.com/file/d/1FcARvzJmX0GjB75oWM-5l4BD7Zqxycyk/view?usp=drivesdk" TargetMode="External"/><Relationship Id="rId3037" Type="http://schemas.openxmlformats.org/officeDocument/2006/relationships/hyperlink" Target="https://drive.google.com/file/d/1eY8ustezkGTBEFCvn47T4iFMNEc9SoCR/view?usp=drivesdk" TargetMode="External"/><Relationship Id="rId3029" Type="http://schemas.openxmlformats.org/officeDocument/2006/relationships/hyperlink" Target="https://drive.google.com/file/d/1hgaLy7Pk7l8_uT0qzsdgGRA4OH5u_0hL/view?usp=drivesdk" TargetMode="External"/><Relationship Id="rId3028" Type="http://schemas.openxmlformats.org/officeDocument/2006/relationships/hyperlink" Target="https://drive.google.com/file/d/1J0gXacFjwTY8lqoRS7-Ly_0MayhAFMtY/view?usp=drivesdk" TargetMode="External"/><Relationship Id="rId3021" Type="http://schemas.openxmlformats.org/officeDocument/2006/relationships/hyperlink" Target="https://drive.google.com/file/d/1tE6_KVQyfFVpIfIuz7dnWR1i8_me3TIT/view?usp=drivesdk" TargetMode="External"/><Relationship Id="rId3020" Type="http://schemas.openxmlformats.org/officeDocument/2006/relationships/hyperlink" Target="https://drive.google.com/file/d/1pCInedMgb6ub4Ncim1wJ4bHJ2ouwc85m/view?usp=drivesdk" TargetMode="External"/><Relationship Id="rId3023" Type="http://schemas.openxmlformats.org/officeDocument/2006/relationships/hyperlink" Target="https://drive.google.com/file/d/1JoVItYnEA8vA70xzVLnQEC3dgxMW-0on/view?usp=drivesdk" TargetMode="External"/><Relationship Id="rId3022" Type="http://schemas.openxmlformats.org/officeDocument/2006/relationships/hyperlink" Target="https://drive.google.com/file/d/1hlj_PiSmruASavYOS4OPpCrR4tKfol15/view?usp=drivesdk" TargetMode="External"/><Relationship Id="rId3025" Type="http://schemas.openxmlformats.org/officeDocument/2006/relationships/hyperlink" Target="https://drive.google.com/file/d/1nhF9YyHcpfCFAHZNSHYOdrHjNY6W4OdA/view?usp=drivesdk" TargetMode="External"/><Relationship Id="rId3024" Type="http://schemas.openxmlformats.org/officeDocument/2006/relationships/hyperlink" Target="https://drive.google.com/file/d/15btD8-1-iJ6kKY4YOnmEB99Ty5jn30uV/view?usp=drivesdk" TargetMode="External"/><Relationship Id="rId3027" Type="http://schemas.openxmlformats.org/officeDocument/2006/relationships/hyperlink" Target="https://drive.google.com/file/d/1CNUuCil5aZVO_tdA1GgelrRiq8I7q6J4/view?usp=drivesdk" TargetMode="External"/><Relationship Id="rId3026" Type="http://schemas.openxmlformats.org/officeDocument/2006/relationships/hyperlink" Target="https://drive.google.com/file/d/1ATJxg7zUvA3Wg_XCJFG6phaq9LgMmPHW/view?usp=drivesdk" TargetMode="External"/><Relationship Id="rId3050" Type="http://schemas.openxmlformats.org/officeDocument/2006/relationships/hyperlink" Target="https://drive.google.com/file/d/18dLuHsJaHfEuFpmJ9coLBrlcbxYHVgpG/view?usp=drivesdk" TargetMode="External"/><Relationship Id="rId3052" Type="http://schemas.openxmlformats.org/officeDocument/2006/relationships/hyperlink" Target="https://drive.google.com/file/d/1b6PUvKuNu674etG4K94ZBLDQXEuYuOgp/view?usp=drivesdk" TargetMode="External"/><Relationship Id="rId3051" Type="http://schemas.openxmlformats.org/officeDocument/2006/relationships/hyperlink" Target="https://drive.google.com/file/d/1nanNymgjGLBTTIftwQHD0CPkPgFLXjko/view?usp=drivesdk" TargetMode="External"/><Relationship Id="rId3054" Type="http://schemas.openxmlformats.org/officeDocument/2006/relationships/hyperlink" Target="https://drive.google.com/file/d/1Q4Hoav-REKO6sqw8lr1uJnRm7Q_FXUIN/view?usp=drivesdk" TargetMode="External"/><Relationship Id="rId3053" Type="http://schemas.openxmlformats.org/officeDocument/2006/relationships/hyperlink" Target="https://drive.google.com/file/d/1M2bQUYW3MLXQBgi-vbBlJhTa0bUosI7r/view?usp=drivesdk" TargetMode="External"/><Relationship Id="rId3056" Type="http://schemas.openxmlformats.org/officeDocument/2006/relationships/hyperlink" Target="https://drive.google.com/file/d/114EidPR7T0rdM2v9diqArcO-SjszUvCV/view?usp=drivesdk" TargetMode="External"/><Relationship Id="rId3055" Type="http://schemas.openxmlformats.org/officeDocument/2006/relationships/hyperlink" Target="https://drive.google.com/file/d/10j2TatiM7HXzQ8gGJAAToPEOpY8k8IgA/view?usp=drivesdk" TargetMode="External"/><Relationship Id="rId3058" Type="http://schemas.openxmlformats.org/officeDocument/2006/relationships/hyperlink" Target="https://drive.google.com/file/d/1qeprGIAy7AN_pByPqzOUMvJ-k5SpkEYf/view?usp=drivesdk" TargetMode="External"/><Relationship Id="rId3057" Type="http://schemas.openxmlformats.org/officeDocument/2006/relationships/hyperlink" Target="https://drive.google.com/file/d/1QvCfNwfC2L6h4poQe8Nd8CTgttfsWFTm/view?usp=drivesdk" TargetMode="External"/><Relationship Id="rId3059" Type="http://schemas.openxmlformats.org/officeDocument/2006/relationships/hyperlink" Target="https://drive.google.com/file/d/1EwNygj4VffnCLPK-P7EFlmo0-tV2NKRN/view?usp=drivesdk" TargetMode="External"/><Relationship Id="rId3041" Type="http://schemas.openxmlformats.org/officeDocument/2006/relationships/hyperlink" Target="https://drive.google.com/file/d/1GB5oPjHVuDXBTZ2__Had-zRIf9ZK4G7S/view?usp=drivesdk" TargetMode="External"/><Relationship Id="rId3040" Type="http://schemas.openxmlformats.org/officeDocument/2006/relationships/hyperlink" Target="https://drive.google.com/file/d/1oYbk_RfphQEQTiM6p882mmwIrb7aGJDY/view?usp=drivesdk" TargetMode="External"/><Relationship Id="rId3043" Type="http://schemas.openxmlformats.org/officeDocument/2006/relationships/hyperlink" Target="https://drive.google.com/file/d/1v5J8Cnv26X6sTt4VLBH9e2mvCWSnQGm4/view?usp=drivesdk" TargetMode="External"/><Relationship Id="rId3042" Type="http://schemas.openxmlformats.org/officeDocument/2006/relationships/hyperlink" Target="https://drive.google.com/file/d/1W2aCwE3Z8jN-Xdqb3awaTWO-3SquFMRh/view?usp=drivesdk" TargetMode="External"/><Relationship Id="rId3045" Type="http://schemas.openxmlformats.org/officeDocument/2006/relationships/hyperlink" Target="https://drive.google.com/file/d/1YxSLKvJhCAZvjLwh2Dxi3CO9YKNSkWkP/view?usp=drivesdk" TargetMode="External"/><Relationship Id="rId3044" Type="http://schemas.openxmlformats.org/officeDocument/2006/relationships/hyperlink" Target="https://drive.google.com/file/d/1a3fJ6JRdrPHSo50DdCUrYLisEZcHfG31/view?usp=drivesdk" TargetMode="External"/><Relationship Id="rId3047" Type="http://schemas.openxmlformats.org/officeDocument/2006/relationships/hyperlink" Target="https://drive.google.com/file/d/1e8g4jGrxeuAKV2niPFAdDVB88LKnVgdm/view?usp=drivesdk" TargetMode="External"/><Relationship Id="rId3046" Type="http://schemas.openxmlformats.org/officeDocument/2006/relationships/hyperlink" Target="https://drive.google.com/file/d/13GWPRI4Xmytw-ass-yZ5q0c9b-PXmtD4/view?usp=drivesdk" TargetMode="External"/><Relationship Id="rId3049" Type="http://schemas.openxmlformats.org/officeDocument/2006/relationships/hyperlink" Target="https://drive.google.com/file/d/1qh6jn8CXzXmvxEifk6kq4pZRCYHNO1mu/view?usp=drivesdk" TargetMode="External"/><Relationship Id="rId3048" Type="http://schemas.openxmlformats.org/officeDocument/2006/relationships/hyperlink" Target="https://drive.google.com/file/d/15LBKsey4dgrPQTiibNv2Qi9TOTbc3lk1/view?usp=drivesdk" TargetMode="External"/><Relationship Id="rId2600" Type="http://schemas.openxmlformats.org/officeDocument/2006/relationships/hyperlink" Target="https://drive.google.com/file/d/1Oai9bOqOxT4qWyEsbh965271cRgAplwZ/view?usp=drivesdk" TargetMode="External"/><Relationship Id="rId2601" Type="http://schemas.openxmlformats.org/officeDocument/2006/relationships/hyperlink" Target="https://drive.google.com/file/d/1jEnrVGc2PxWYnqqR5b5QggE9HgY-tjOC/view?usp=drivesdk" TargetMode="External"/><Relationship Id="rId2602" Type="http://schemas.openxmlformats.org/officeDocument/2006/relationships/hyperlink" Target="https://drive.google.com/file/d/1UOcUsx-QUxFrulQIBnkUuR_13YgQP2Vd/view?usp=drivesdk" TargetMode="External"/><Relationship Id="rId2603" Type="http://schemas.openxmlformats.org/officeDocument/2006/relationships/hyperlink" Target="https://drive.google.com/file/d/1Bqp5tbqcsNPKH_QuWEI9mWZ1-DAWptGv/view?usp=drivesdk" TargetMode="External"/><Relationship Id="rId2604" Type="http://schemas.openxmlformats.org/officeDocument/2006/relationships/hyperlink" Target="https://drive.google.com/file/d/1c0WTQTFC6wVjO3perznTR_rfzhpTPGnJ/view?usp=drivesdk" TargetMode="External"/><Relationship Id="rId2605" Type="http://schemas.openxmlformats.org/officeDocument/2006/relationships/hyperlink" Target="https://drive.google.com/file/d/1F5qGa541IZsvA8V-NJg1vkR_g716Ph_8/view?usp=drivesdk" TargetMode="External"/><Relationship Id="rId2606" Type="http://schemas.openxmlformats.org/officeDocument/2006/relationships/hyperlink" Target="https://drive.google.com/file/d/1ChpFRMejJzL2Sh9so-302icQ-YIJSCTh/view?usp=drivesdk" TargetMode="External"/><Relationship Id="rId808" Type="http://schemas.openxmlformats.org/officeDocument/2006/relationships/hyperlink" Target="https://drive.google.com/file/d/1CaxkyK-Tso63dZIngc3kC3aS7PPxTe9j/view?usp=drivesdk" TargetMode="External"/><Relationship Id="rId2607" Type="http://schemas.openxmlformats.org/officeDocument/2006/relationships/hyperlink" Target="https://drive.google.com/file/d/1IpGgGfnAQY5wd1rLKDy5RnBFHMi3I5x4/view?usp=drivesdk" TargetMode="External"/><Relationship Id="rId807" Type="http://schemas.openxmlformats.org/officeDocument/2006/relationships/hyperlink" Target="https://drive.google.com/file/d/1TdZCuKlnyQMdvVEQilVLFtG0dCtKm22E/view?usp=drivesdk" TargetMode="External"/><Relationship Id="rId2608" Type="http://schemas.openxmlformats.org/officeDocument/2006/relationships/hyperlink" Target="https://drive.google.com/file/d/1wq7-2vqDvzteuPzlUspBQRdnaX3rmhA1/view?usp=drivesdk" TargetMode="External"/><Relationship Id="rId806" Type="http://schemas.openxmlformats.org/officeDocument/2006/relationships/hyperlink" Target="https://drive.google.com/file/d/1tnrtY2AGZh3sxH7hAyNkGXrh3VXkllfn/view?usp=drivesdk" TargetMode="External"/><Relationship Id="rId2609" Type="http://schemas.openxmlformats.org/officeDocument/2006/relationships/hyperlink" Target="https://drive.google.com/file/d/1Ce-dl4nRjbQONXIAPX6wZN3ilxDwxEty/view?usp=drivesdk" TargetMode="External"/><Relationship Id="rId805" Type="http://schemas.openxmlformats.org/officeDocument/2006/relationships/hyperlink" Target="https://drive.google.com/file/d/1SpxlykDLCl7RMd3XR0sk2MzBTckndlaS/view?usp=drivesdk" TargetMode="External"/><Relationship Id="rId809" Type="http://schemas.openxmlformats.org/officeDocument/2006/relationships/hyperlink" Target="https://drive.google.com/file/d/1pjJ_mexej_HCDWJOoBg_-5Xnqe2I7BQP/view?usp=drivesdk" TargetMode="External"/><Relationship Id="rId800" Type="http://schemas.openxmlformats.org/officeDocument/2006/relationships/hyperlink" Target="https://drive.google.com/file/d/1iNlAXnWfTRozYu1XlZqHS-gDutQkaC9V/view?usp=drivesdk" TargetMode="External"/><Relationship Id="rId804" Type="http://schemas.openxmlformats.org/officeDocument/2006/relationships/hyperlink" Target="https://drive.google.com/file/d/1vBjyyS7jNQVYoeGReboKa5xH42VPt2sw/view?usp=drivesdk" TargetMode="External"/><Relationship Id="rId803" Type="http://schemas.openxmlformats.org/officeDocument/2006/relationships/hyperlink" Target="https://drive.google.com/file/d/11hl35AxJdih8-lFEGgzscJ_yujZE6nkt/view?usp=drivesdk" TargetMode="External"/><Relationship Id="rId802" Type="http://schemas.openxmlformats.org/officeDocument/2006/relationships/hyperlink" Target="https://drive.google.com/file/d/1NI7K1hH--xMpo2uHfi_Wrqoa2SB84m9Z/view?usp=drivesdk" TargetMode="External"/><Relationship Id="rId801" Type="http://schemas.openxmlformats.org/officeDocument/2006/relationships/hyperlink" Target="https://drive.google.com/file/d/1JgZNoOa9FybjOpshO0wGXBOF8pwPjwiz/view?usp=drivesdk" TargetMode="External"/><Relationship Id="rId1334" Type="http://schemas.openxmlformats.org/officeDocument/2006/relationships/hyperlink" Target="https://drive.google.com/file/d/1czFxhkGZqxRX0MtMQtZJvfgMQ_qNtop2/view?usp=drivesdk" TargetMode="External"/><Relationship Id="rId2665" Type="http://schemas.openxmlformats.org/officeDocument/2006/relationships/hyperlink" Target="https://drive.google.com/file/d/1EjCNuZSYsmVVK-bREacL8yoeRui-q6Cq/view?usp=drivesdk" TargetMode="External"/><Relationship Id="rId1335" Type="http://schemas.openxmlformats.org/officeDocument/2006/relationships/hyperlink" Target="https://drive.google.com/file/d/1GiZd3FwasIasQYuvAsopka0SfQWJSsXL/view?usp=drivesdk" TargetMode="External"/><Relationship Id="rId2666" Type="http://schemas.openxmlformats.org/officeDocument/2006/relationships/hyperlink" Target="https://drive.google.com/file/d/1TgiLVlc8ULkeaLD2kyjupb27kaiuM0VA/view?usp=drivesdk" TargetMode="External"/><Relationship Id="rId1336" Type="http://schemas.openxmlformats.org/officeDocument/2006/relationships/hyperlink" Target="https://drive.google.com/file/d/1z5U43MH5KGR-z62VJDWjyZpP3MFy5qgA/view?usp=drivesdk" TargetMode="External"/><Relationship Id="rId2667" Type="http://schemas.openxmlformats.org/officeDocument/2006/relationships/hyperlink" Target="https://drive.google.com/file/d/1XBkGEx2U8_zKL8MPXGgQNr9pKxuQ1VoK/view?usp=drivesdk" TargetMode="External"/><Relationship Id="rId1337" Type="http://schemas.openxmlformats.org/officeDocument/2006/relationships/hyperlink" Target="https://drive.google.com/file/d/1o4o_52CV60Q4sbc7ekwEZ4dhaV3DkMS1/view?usp=drivesdk" TargetMode="External"/><Relationship Id="rId2668" Type="http://schemas.openxmlformats.org/officeDocument/2006/relationships/hyperlink" Target="https://drive.google.com/file/d/1zYfPpTsPbmgnUB83pI_Pq1lJ7bNE547G/view?usp=drivesdk" TargetMode="External"/><Relationship Id="rId1338" Type="http://schemas.openxmlformats.org/officeDocument/2006/relationships/hyperlink" Target="https://drive.google.com/file/d/1HdgXTuDD1zfYfbijauGrXF0G29cOLyIQ/view?usp=drivesdk" TargetMode="External"/><Relationship Id="rId2669" Type="http://schemas.openxmlformats.org/officeDocument/2006/relationships/hyperlink" Target="https://drive.google.com/file/d/1ZcPXNfUiEbN_HwtCd891QdMzTZSYx1fw/view?usp=drivesdk" TargetMode="External"/><Relationship Id="rId1339" Type="http://schemas.openxmlformats.org/officeDocument/2006/relationships/hyperlink" Target="https://drive.google.com/file/d/1GD5XljdxR2ykwWKm1MPAKrJoabHxm8Lt/view?usp=drivesdk" TargetMode="External"/><Relationship Id="rId745" Type="http://schemas.openxmlformats.org/officeDocument/2006/relationships/hyperlink" Target="https://drive.google.com/file/d/1Br8t8IiiC_exSZq1ZnqPalLUyH8BPsld/view?usp=drivesdk" TargetMode="External"/><Relationship Id="rId744" Type="http://schemas.openxmlformats.org/officeDocument/2006/relationships/hyperlink" Target="https://drive.google.com/file/d/1XUqYDvRfVyGRhvXM6kcpOzp7DX3UJ0Is/view?usp=drivesdk" TargetMode="External"/><Relationship Id="rId743" Type="http://schemas.openxmlformats.org/officeDocument/2006/relationships/hyperlink" Target="https://drive.google.com/file/d/1_nUCNz7ppfweUNUw1lew4XekOyVhvToR/view?usp=drivesdk" TargetMode="External"/><Relationship Id="rId742" Type="http://schemas.openxmlformats.org/officeDocument/2006/relationships/hyperlink" Target="https://drive.google.com/file/d/1Jas-alh7WgK3Ar1zirKWgeqjudJ2dlCs/view?usp=drivesdk" TargetMode="External"/><Relationship Id="rId749" Type="http://schemas.openxmlformats.org/officeDocument/2006/relationships/hyperlink" Target="https://drive.google.com/file/d/1PEf9rED297kwhsS0ya9FjTDJGhP2QID8/view?usp=drivesdk" TargetMode="External"/><Relationship Id="rId748" Type="http://schemas.openxmlformats.org/officeDocument/2006/relationships/hyperlink" Target="https://drive.google.com/file/d/1XwKhsZb5ScuKKX0YhptYMvxsBVJ_4owE/view?usp=drivesdk" TargetMode="External"/><Relationship Id="rId747" Type="http://schemas.openxmlformats.org/officeDocument/2006/relationships/hyperlink" Target="https://drive.google.com/file/d/1ztojVCVNJN7SCFW388op8xlaeK_Vw1xf/view?usp=drivesdk" TargetMode="External"/><Relationship Id="rId746" Type="http://schemas.openxmlformats.org/officeDocument/2006/relationships/hyperlink" Target="https://drive.google.com/file/d/16EhPJV1HvGMKnVDFJVva89oMexd28xVE/view?usp=drivesdk" TargetMode="External"/><Relationship Id="rId2660" Type="http://schemas.openxmlformats.org/officeDocument/2006/relationships/hyperlink" Target="https://drive.google.com/file/d/1PWOOc6h89xT_u8Q2-oYAuMVRWZGeQNop/view?usp=drivesdk" TargetMode="External"/><Relationship Id="rId741" Type="http://schemas.openxmlformats.org/officeDocument/2006/relationships/hyperlink" Target="https://drive.google.com/file/d/1rXfUsq0xVvORWF5g0tFbfUqqoi3e3Sg8/view?usp=drivesdk" TargetMode="External"/><Relationship Id="rId1330" Type="http://schemas.openxmlformats.org/officeDocument/2006/relationships/hyperlink" Target="https://drive.google.com/file/d/1oK0OIZ6pDqbMWCKw0QCU7amZiJYcSkjE/view?usp=drivesdk" TargetMode="External"/><Relationship Id="rId2661" Type="http://schemas.openxmlformats.org/officeDocument/2006/relationships/hyperlink" Target="https://drive.google.com/file/d/17mS9A7BjFB1lWFAmvcSxyq7-jK-oNL_B/view?usp=drivesdk" TargetMode="External"/><Relationship Id="rId740" Type="http://schemas.openxmlformats.org/officeDocument/2006/relationships/hyperlink" Target="https://drive.google.com/file/d/1YbpWhweIEsKiS7GFHm3nLJg56Zl96x9a/view?usp=drivesdk" TargetMode="External"/><Relationship Id="rId1331" Type="http://schemas.openxmlformats.org/officeDocument/2006/relationships/hyperlink" Target="https://drive.google.com/file/d/1qgk9QP8u0zEOwOidroqBExUrLqjknIW0/view?usp=drivesdk" TargetMode="External"/><Relationship Id="rId2662" Type="http://schemas.openxmlformats.org/officeDocument/2006/relationships/hyperlink" Target="https://drive.google.com/file/d/16tv4QbR_xvFXB4FBrbVNqZqo-wgW9woH/view?usp=drivesdk" TargetMode="External"/><Relationship Id="rId1332" Type="http://schemas.openxmlformats.org/officeDocument/2006/relationships/hyperlink" Target="https://drive.google.com/file/d/1T_JmUnBnQ1o3wORwxwD5PFiQeWIMcIDV/view?usp=drivesdk" TargetMode="External"/><Relationship Id="rId2663" Type="http://schemas.openxmlformats.org/officeDocument/2006/relationships/hyperlink" Target="https://drive.google.com/file/d/1yxqqtaJ_tKrHMAyqOaSeXTtf-KefDu_f/view?usp=drivesdk" TargetMode="External"/><Relationship Id="rId1333" Type="http://schemas.openxmlformats.org/officeDocument/2006/relationships/hyperlink" Target="https://drive.google.com/file/d/1yGGU6rCymS599BooTVh3w1yf7oyictn2/view?usp=drivesdk" TargetMode="External"/><Relationship Id="rId2664" Type="http://schemas.openxmlformats.org/officeDocument/2006/relationships/hyperlink" Target="https://drive.google.com/file/d/1ZE866GzkUK_NuRwPIYtPoDAMsRZYzg8o/view?usp=drivesdk" TargetMode="External"/><Relationship Id="rId1323" Type="http://schemas.openxmlformats.org/officeDocument/2006/relationships/hyperlink" Target="https://drive.google.com/file/d/1Kwvnn-NajKuwsJ_Pj-OVT9cMWkVJPQtN/view?usp=drivesdk" TargetMode="External"/><Relationship Id="rId2654" Type="http://schemas.openxmlformats.org/officeDocument/2006/relationships/hyperlink" Target="https://drive.google.com/file/d/1L6uVunRTkHlU_O--S4vWF9IFtI4y-nt9/view?usp=drivesdk" TargetMode="External"/><Relationship Id="rId1324" Type="http://schemas.openxmlformats.org/officeDocument/2006/relationships/hyperlink" Target="https://drive.google.com/file/d/1VIUw3gsv5o9NRh-GJTzV3NZWNknBAmD8/view?usp=drivesdk" TargetMode="External"/><Relationship Id="rId2655" Type="http://schemas.openxmlformats.org/officeDocument/2006/relationships/hyperlink" Target="https://drive.google.com/file/d/1eABS-vu3YGOP5Z8U-mNYSNElEVFsaeTY/view?usp=drivesdk" TargetMode="External"/><Relationship Id="rId1325" Type="http://schemas.openxmlformats.org/officeDocument/2006/relationships/hyperlink" Target="https://drive.google.com/file/d/1ZqZyWmZbvn_DnisBW2mKp-yT2_-M8xNu/view?usp=drivesdk" TargetMode="External"/><Relationship Id="rId2656" Type="http://schemas.openxmlformats.org/officeDocument/2006/relationships/hyperlink" Target="https://drive.google.com/file/d/1fyRt26qYLHlfICkWkeRvjDxkKPAGMOGH/view?usp=drivesdk" TargetMode="External"/><Relationship Id="rId1326" Type="http://schemas.openxmlformats.org/officeDocument/2006/relationships/hyperlink" Target="https://drive.google.com/file/d/1_u8aYwvuyDtBconPL_MaiUxPk1Lq8pVF/view?usp=drivesdk" TargetMode="External"/><Relationship Id="rId2657" Type="http://schemas.openxmlformats.org/officeDocument/2006/relationships/hyperlink" Target="https://drive.google.com/file/d/1Xegg6zoy4h7DJi5a9pRBsglATfS55faB/view?usp=drivesdk" TargetMode="External"/><Relationship Id="rId1327" Type="http://schemas.openxmlformats.org/officeDocument/2006/relationships/hyperlink" Target="https://drive.google.com/file/d/14nctpJxv51A70mGgKF8E78PDRnn05iry/view?usp=drivesdk" TargetMode="External"/><Relationship Id="rId2658" Type="http://schemas.openxmlformats.org/officeDocument/2006/relationships/hyperlink" Target="https://drive.google.com/file/d/175dambBNVF0dqo5ScTkVgg0LGuj940kT/view?usp=drivesdk" TargetMode="External"/><Relationship Id="rId1328" Type="http://schemas.openxmlformats.org/officeDocument/2006/relationships/hyperlink" Target="https://drive.google.com/file/d/1WIrQsClyf_Gdbj9O7cEdMR-dTqqRFJak/view?usp=drivesdk" TargetMode="External"/><Relationship Id="rId2659" Type="http://schemas.openxmlformats.org/officeDocument/2006/relationships/hyperlink" Target="https://drive.google.com/file/d/1fC_xdHYtuVSGdyipCTYwInpTLU1nLVOT/view?usp=drivesdk" TargetMode="External"/><Relationship Id="rId1329" Type="http://schemas.openxmlformats.org/officeDocument/2006/relationships/hyperlink" Target="https://drive.google.com/file/d/1_1pDXdnb6Bds0sMaiO2wxybulx5xbtV-/view?usp=drivesdk" TargetMode="External"/><Relationship Id="rId739" Type="http://schemas.openxmlformats.org/officeDocument/2006/relationships/hyperlink" Target="https://drive.google.com/file/d/1PF-ONVan29qVkvxeDu57WWyCBOMY5gc6/view?usp=drivesdk" TargetMode="External"/><Relationship Id="rId734" Type="http://schemas.openxmlformats.org/officeDocument/2006/relationships/hyperlink" Target="https://drive.google.com/file/d/16LQMkyLPu_oL8Ui5radejqve_0DUtVlQ/view?usp=drivesdk" TargetMode="External"/><Relationship Id="rId733" Type="http://schemas.openxmlformats.org/officeDocument/2006/relationships/hyperlink" Target="https://drive.google.com/file/d/1f9C_c2sCZCZd7IhO62zi-zNVnBS790ZT/view?usp=drivesdk" TargetMode="External"/><Relationship Id="rId732" Type="http://schemas.openxmlformats.org/officeDocument/2006/relationships/hyperlink" Target="https://drive.google.com/file/d/146vQI6PoR6JlkbKc0wZxo-vTLeoXdBuy/view?usp=drivesdk" TargetMode="External"/><Relationship Id="rId731" Type="http://schemas.openxmlformats.org/officeDocument/2006/relationships/hyperlink" Target="https://drive.google.com/file/d/1MJqXbTH4bS9C4HfJZRVQDmRqUd8H5lNe/view?usp=drivesdk" TargetMode="External"/><Relationship Id="rId738" Type="http://schemas.openxmlformats.org/officeDocument/2006/relationships/hyperlink" Target="https://drive.google.com/file/d/1qTL6PKBSthtYdj48L7Dk62yERqPqKBnq/view?usp=drivesdk" TargetMode="External"/><Relationship Id="rId737" Type="http://schemas.openxmlformats.org/officeDocument/2006/relationships/hyperlink" Target="https://drive.google.com/file/d/1sGHSm7nnh9zV9Qod3V-PuSGgCKbMNeR5/view?usp=drivesdk" TargetMode="External"/><Relationship Id="rId736" Type="http://schemas.openxmlformats.org/officeDocument/2006/relationships/hyperlink" Target="https://drive.google.com/file/d/1lqzf678nINDmNV9ncRFVe0fWUy5LAiwL/view?usp=drivesdk" TargetMode="External"/><Relationship Id="rId735" Type="http://schemas.openxmlformats.org/officeDocument/2006/relationships/hyperlink" Target="https://drive.google.com/file/d/11pACMmHjE0HDAbYn6PC_v4_Yw-SX2yZh/view?usp=drivesdk" TargetMode="External"/><Relationship Id="rId730" Type="http://schemas.openxmlformats.org/officeDocument/2006/relationships/hyperlink" Target="https://drive.google.com/file/d/16qbYRwBZRWoP9nuFmEGk94iJ8VHsg3Le/view?usp=drivesdk" TargetMode="External"/><Relationship Id="rId2650" Type="http://schemas.openxmlformats.org/officeDocument/2006/relationships/hyperlink" Target="https://drive.google.com/file/d/1cnM2XgZQxYQfpwgE4BmFxY_VVTpXHKKM/view?usp=drivesdk" TargetMode="External"/><Relationship Id="rId1320" Type="http://schemas.openxmlformats.org/officeDocument/2006/relationships/hyperlink" Target="https://drive.google.com/file/d/1tchwxQTTre_0NysY7Uqn1J1fTAm0FTaN/view?usp=drivesdk" TargetMode="External"/><Relationship Id="rId2651" Type="http://schemas.openxmlformats.org/officeDocument/2006/relationships/hyperlink" Target="https://drive.google.com/file/d/1pomwSjb3JhWNAcPkuV9rFVeM8shH8WIX/view?usp=drivesdk" TargetMode="External"/><Relationship Id="rId1321" Type="http://schemas.openxmlformats.org/officeDocument/2006/relationships/hyperlink" Target="https://drive.google.com/file/d/1yIa2ATsvmJ39BhPndLcWZzUGLYLgDDgY/view?usp=drivesdk" TargetMode="External"/><Relationship Id="rId2652" Type="http://schemas.openxmlformats.org/officeDocument/2006/relationships/hyperlink" Target="https://drive.google.com/file/d/1givOcPpd1ntLsGdIXQxqAtb-vKGTpGuD/view?usp=drivesdk" TargetMode="External"/><Relationship Id="rId1322" Type="http://schemas.openxmlformats.org/officeDocument/2006/relationships/hyperlink" Target="https://drive.google.com/file/d/1CMXFeghrtXa1dbj5j7fAh8HA1u4J3t99/view?usp=drivesdk" TargetMode="External"/><Relationship Id="rId2653" Type="http://schemas.openxmlformats.org/officeDocument/2006/relationships/hyperlink" Target="https://drive.google.com/file/d/1KL5SoJAHWjHA_I9YQBeFRVy3NF-MVymD/view?usp=drivesdk" TargetMode="External"/><Relationship Id="rId1356" Type="http://schemas.openxmlformats.org/officeDocument/2006/relationships/hyperlink" Target="https://drive.google.com/file/d/1lJVrOaRZiyfxA803nV3ux-TzNSeeMurV/view?usp=drivesdk" TargetMode="External"/><Relationship Id="rId2687" Type="http://schemas.openxmlformats.org/officeDocument/2006/relationships/hyperlink" Target="https://drive.google.com/file/d/1oIyrc3DheYw0taiflzQv_d41jqNrRjmb/view?usp=drivesdk" TargetMode="External"/><Relationship Id="rId1357" Type="http://schemas.openxmlformats.org/officeDocument/2006/relationships/hyperlink" Target="https://drive.google.com/file/d/1VPB0ZWiVsJ01n-Tfay2g-vWX9tReIPew/view?usp=drivesdk" TargetMode="External"/><Relationship Id="rId2688" Type="http://schemas.openxmlformats.org/officeDocument/2006/relationships/hyperlink" Target="https://drive.google.com/file/d/1rGqHLpg3OEGQnWLvlAEJr7JSMWJ2p-Ar/view?usp=drivesdk" TargetMode="External"/><Relationship Id="rId1358" Type="http://schemas.openxmlformats.org/officeDocument/2006/relationships/hyperlink" Target="https://drive.google.com/file/d/1ATHUtBOTxTCxt8N_eQSAezVDleH5UyRj/view?usp=drivesdk" TargetMode="External"/><Relationship Id="rId2689" Type="http://schemas.openxmlformats.org/officeDocument/2006/relationships/hyperlink" Target="https://drive.google.com/file/d/14jCdpBA20GeEpZdlt1OEEDrVjc2kp6h7/view?usp=drivesdk" TargetMode="External"/><Relationship Id="rId1359" Type="http://schemas.openxmlformats.org/officeDocument/2006/relationships/hyperlink" Target="https://drive.google.com/file/d/1Pit1tJn2cHakV8BX43PIdKZnSVoZQcmn/view?usp=drivesdk" TargetMode="External"/><Relationship Id="rId767" Type="http://schemas.openxmlformats.org/officeDocument/2006/relationships/hyperlink" Target="https://drive.google.com/file/d/1o7gUPIWlsZsKfDZUwMPrcvteUhl63aT7/view?usp=drivesdk" TargetMode="External"/><Relationship Id="rId766" Type="http://schemas.openxmlformats.org/officeDocument/2006/relationships/hyperlink" Target="https://drive.google.com/file/d/1vcCVkrjNwZHH8glmh9tGMygAb5DPf3dE/view?usp=drivesdk" TargetMode="External"/><Relationship Id="rId765" Type="http://schemas.openxmlformats.org/officeDocument/2006/relationships/hyperlink" Target="https://drive.google.com/file/d/1zlIibgTl_xuo-gJvDI1iuFuL7MwgpJud/view?usp=drivesdk" TargetMode="External"/><Relationship Id="rId764" Type="http://schemas.openxmlformats.org/officeDocument/2006/relationships/hyperlink" Target="https://drive.google.com/file/d/1zTMlOFWNTfGXuxYg38c1Rclwf7vMtQVs/view?usp=drivesdk" TargetMode="External"/><Relationship Id="rId769" Type="http://schemas.openxmlformats.org/officeDocument/2006/relationships/hyperlink" Target="https://drive.google.com/file/d/1r4PVlL83grqiq4UZ0to7L57VLrbdB9hi/view?usp=drivesdk" TargetMode="External"/><Relationship Id="rId768" Type="http://schemas.openxmlformats.org/officeDocument/2006/relationships/hyperlink" Target="https://drive.google.com/file/d/1p5ydRsZ4brAO2FqzQtlUbRAhPkcmRVgm/view?usp=drivesdk" TargetMode="External"/><Relationship Id="rId2680" Type="http://schemas.openxmlformats.org/officeDocument/2006/relationships/hyperlink" Target="https://drive.google.com/file/d/1a1lUlk42gIQYcLhUt5t0G_RLi9u-460d/view?usp=drivesdk" TargetMode="External"/><Relationship Id="rId1350" Type="http://schemas.openxmlformats.org/officeDocument/2006/relationships/hyperlink" Target="https://drive.google.com/file/d/12WUpqRA8vllClBxv1BdZOa5-ANNs2qW7/view?usp=drivesdk" TargetMode="External"/><Relationship Id="rId2681" Type="http://schemas.openxmlformats.org/officeDocument/2006/relationships/hyperlink" Target="https://drive.google.com/file/d/1xrut3UwaTqtTgH6ZPERdwikqTF1K9Y3S/view?usp=drivesdk" TargetMode="External"/><Relationship Id="rId1351" Type="http://schemas.openxmlformats.org/officeDocument/2006/relationships/hyperlink" Target="https://drive.google.com/file/d/1K3uDJAZAlGYyqTk5JqOt7qojCJpOj7Xg/view?usp=drivesdk" TargetMode="External"/><Relationship Id="rId2682" Type="http://schemas.openxmlformats.org/officeDocument/2006/relationships/hyperlink" Target="https://drive.google.com/file/d/1CSCUNAQZCt3s32RgzUwXe6pe5scvK0yY/view?usp=drivesdk" TargetMode="External"/><Relationship Id="rId763" Type="http://schemas.openxmlformats.org/officeDocument/2006/relationships/hyperlink" Target="https://drive.google.com/file/d/1C0bLndU2B9h0aoL452LPrhkcRop4BAHV/view?usp=drivesdk" TargetMode="External"/><Relationship Id="rId1352" Type="http://schemas.openxmlformats.org/officeDocument/2006/relationships/hyperlink" Target="https://drive.google.com/file/d/1fwgPBv2sUceSWub7L1rc7wljbmLYbdBI/view?usp=drivesdk" TargetMode="External"/><Relationship Id="rId2683" Type="http://schemas.openxmlformats.org/officeDocument/2006/relationships/hyperlink" Target="https://drive.google.com/file/d/1cflioA5Qw5Sj6UkXFjuzZ2STJ0e1v6Gz/view?usp=drivesdk" TargetMode="External"/><Relationship Id="rId762" Type="http://schemas.openxmlformats.org/officeDocument/2006/relationships/hyperlink" Target="https://drive.google.com/file/d/1EeW99WGRe7l9yyIocyrku0wXNCMoCNIE/view?usp=drivesdk" TargetMode="External"/><Relationship Id="rId1353" Type="http://schemas.openxmlformats.org/officeDocument/2006/relationships/hyperlink" Target="https://drive.google.com/file/d/1GVBqgyuDLoRWYiX__KiiE9-6b7stT8IT/view?usp=drivesdk" TargetMode="External"/><Relationship Id="rId2684" Type="http://schemas.openxmlformats.org/officeDocument/2006/relationships/hyperlink" Target="https://drive.google.com/file/d/1UEfsbEURhIs10uMTifQAssGeEJtFUKKx/view?usp=drivesdk" TargetMode="External"/><Relationship Id="rId761" Type="http://schemas.openxmlformats.org/officeDocument/2006/relationships/hyperlink" Target="https://drive.google.com/file/d/1zQMuON3k0VJxo26pOuz9c7JIB74DnNZS/view?usp=drivesdk" TargetMode="External"/><Relationship Id="rId1354" Type="http://schemas.openxmlformats.org/officeDocument/2006/relationships/hyperlink" Target="https://drive.google.com/file/d/1SVjF8ubObSqPDALimt0IDBXcn12XB-8i/view?usp=drivesdk" TargetMode="External"/><Relationship Id="rId2685" Type="http://schemas.openxmlformats.org/officeDocument/2006/relationships/hyperlink" Target="https://drive.google.com/file/d/1St2O5UfYoWXX1n7crfXuAdRXy1k6nYoo/view?usp=drivesdk" TargetMode="External"/><Relationship Id="rId760" Type="http://schemas.openxmlformats.org/officeDocument/2006/relationships/hyperlink" Target="https://drive.google.com/file/d/1dZhEjyHuknv6NWnTUKDEMrzO8qMhIMze/view?usp=drivesdk" TargetMode="External"/><Relationship Id="rId1355" Type="http://schemas.openxmlformats.org/officeDocument/2006/relationships/hyperlink" Target="https://drive.google.com/file/d/1IM4CBGtk-uBexLOjWnTivV4WzNvwBH8E/view?usp=drivesdk" TargetMode="External"/><Relationship Id="rId2686" Type="http://schemas.openxmlformats.org/officeDocument/2006/relationships/hyperlink" Target="https://drive.google.com/file/d/1jpKVfN7bQV2qYmB0hMMFd61i7NfLKBWv/view?usp=drivesdk" TargetMode="External"/><Relationship Id="rId1345" Type="http://schemas.openxmlformats.org/officeDocument/2006/relationships/hyperlink" Target="https://drive.google.com/file/d/1jOA-TNreTdA7I34dlR5bhFsbZkyPsAgE/view?usp=drivesdk" TargetMode="External"/><Relationship Id="rId2676" Type="http://schemas.openxmlformats.org/officeDocument/2006/relationships/hyperlink" Target="https://drive.google.com/file/d/1tdE0c4oVWthHVrM1fRU9Hx8d8vQz1-mn/view?usp=drivesdk" TargetMode="External"/><Relationship Id="rId1346" Type="http://schemas.openxmlformats.org/officeDocument/2006/relationships/hyperlink" Target="https://drive.google.com/file/d/1NuXVN8mp-l_4aoe9k29tUEXCtbKB5nvC/view?usp=drivesdk" TargetMode="External"/><Relationship Id="rId2677" Type="http://schemas.openxmlformats.org/officeDocument/2006/relationships/hyperlink" Target="https://drive.google.com/file/d/1lGZVI4TT62Hxc9KRIEpXgT3z3fk0_z2T/view?usp=drivesdk" TargetMode="External"/><Relationship Id="rId1347" Type="http://schemas.openxmlformats.org/officeDocument/2006/relationships/hyperlink" Target="https://drive.google.com/file/d/18eCD4c0IMT6bc_VAnZ8weNQfQtYz5Cjw/view?usp=drivesdk" TargetMode="External"/><Relationship Id="rId2678" Type="http://schemas.openxmlformats.org/officeDocument/2006/relationships/hyperlink" Target="https://drive.google.com/file/d/1VKbr5pxUdj683_XHIlCKoFwz-29rSMXQ/view?usp=drivesdk" TargetMode="External"/><Relationship Id="rId1348" Type="http://schemas.openxmlformats.org/officeDocument/2006/relationships/hyperlink" Target="https://drive.google.com/file/d/1WhiWzn4A8rwXlB59hzCghMQ610mT93CT/view?usp=drivesdk" TargetMode="External"/><Relationship Id="rId2679" Type="http://schemas.openxmlformats.org/officeDocument/2006/relationships/hyperlink" Target="https://drive.google.com/file/d/1zxOGnn13MnFttT3gypM4oZgoIrIXa8ts/view?usp=drivesdk" TargetMode="External"/><Relationship Id="rId1349" Type="http://schemas.openxmlformats.org/officeDocument/2006/relationships/hyperlink" Target="https://drive.google.com/file/d/1GH0-GTw97RlHFA5olTAMgkF2LDuBWtkB/view?usp=drivesdk" TargetMode="External"/><Relationship Id="rId756" Type="http://schemas.openxmlformats.org/officeDocument/2006/relationships/hyperlink" Target="https://drive.google.com/file/d/1C_PHeUEBxhjEcrC_bofPF8Wy8gbyhXOB/view?usp=drivesdk" TargetMode="External"/><Relationship Id="rId755" Type="http://schemas.openxmlformats.org/officeDocument/2006/relationships/hyperlink" Target="https://drive.google.com/file/d/1aRNibxPyaRyPULkgOum_utWMo8VCcjCB/view?usp=drivesdk" TargetMode="External"/><Relationship Id="rId754" Type="http://schemas.openxmlformats.org/officeDocument/2006/relationships/hyperlink" Target="https://drive.google.com/file/d/1OkKAXxMTnSD63Wk4j6M8g0DqomeLvy1x/view?usp=drivesdk" TargetMode="External"/><Relationship Id="rId753" Type="http://schemas.openxmlformats.org/officeDocument/2006/relationships/hyperlink" Target="https://drive.google.com/file/d/1a_5wbVJI9A_Uy_SxC8Lbt63VzCpm_2D8/view?usp=drivesdk" TargetMode="External"/><Relationship Id="rId759" Type="http://schemas.openxmlformats.org/officeDocument/2006/relationships/hyperlink" Target="https://drive.google.com/file/d/1hImNSN8BKFhUur1k5a3KAz4xCJWGtJvT/view?usp=drivesdk" TargetMode="External"/><Relationship Id="rId758" Type="http://schemas.openxmlformats.org/officeDocument/2006/relationships/hyperlink" Target="https://drive.google.com/file/d/1pxuIkPZ1Y7e_AzOVBWHrD-8ahl37Dr4i/view?usp=drivesdk" TargetMode="External"/><Relationship Id="rId757" Type="http://schemas.openxmlformats.org/officeDocument/2006/relationships/hyperlink" Target="https://drive.google.com/file/d/1FtwQqmXKpesmwkpmvPFJZFvf7tUVJ0bh/view?usp=drivesdk" TargetMode="External"/><Relationship Id="rId2670" Type="http://schemas.openxmlformats.org/officeDocument/2006/relationships/hyperlink" Target="https://drive.google.com/file/d/1RFajdOS3PTs3gG6PijaWUMfbdlg9wH4x/view?usp=drivesdk" TargetMode="External"/><Relationship Id="rId1340" Type="http://schemas.openxmlformats.org/officeDocument/2006/relationships/hyperlink" Target="https://drive.google.com/file/d/1_5YNK50PekihPYdiUNy1aTprQx2d1h3l/view?usp=drivesdk" TargetMode="External"/><Relationship Id="rId2671" Type="http://schemas.openxmlformats.org/officeDocument/2006/relationships/hyperlink" Target="https://drive.google.com/file/d/1JS_DWZKuNPHbZwKfirj8h4113PQ9podm/view?usp=drivesdk" TargetMode="External"/><Relationship Id="rId752" Type="http://schemas.openxmlformats.org/officeDocument/2006/relationships/hyperlink" Target="https://drive.google.com/file/d/1pMHd4_lQly3t85Dyvg53ympM8yF1sqGQ/view?usp=drivesdk" TargetMode="External"/><Relationship Id="rId1341" Type="http://schemas.openxmlformats.org/officeDocument/2006/relationships/hyperlink" Target="https://drive.google.com/file/d/10lKB5hdGwD2rdpXoeGEzTshwHM2ol5Fp/view?usp=drivesdk" TargetMode="External"/><Relationship Id="rId2672" Type="http://schemas.openxmlformats.org/officeDocument/2006/relationships/hyperlink" Target="https://drive.google.com/file/d/1wc8zyG6iIdoZ-JSrDJQh1zhZ8rbFVywC/view?usp=drivesdk" TargetMode="External"/><Relationship Id="rId751" Type="http://schemas.openxmlformats.org/officeDocument/2006/relationships/hyperlink" Target="https://drive.google.com/file/d/1-1olBFiltjIpsFSPUQ1V-CD1CKd8YLSA/view?usp=drivesdk" TargetMode="External"/><Relationship Id="rId1342" Type="http://schemas.openxmlformats.org/officeDocument/2006/relationships/hyperlink" Target="https://drive.google.com/file/d/1otZ4upwg6OdS4INAxYmEHVP1Lz52NmvV/view?usp=drivesdk" TargetMode="External"/><Relationship Id="rId2673" Type="http://schemas.openxmlformats.org/officeDocument/2006/relationships/hyperlink" Target="https://drive.google.com/file/d/1CgFDbt9DLjtIE39QSYTceBsTH8HynkV2/view?usp=drivesdk" TargetMode="External"/><Relationship Id="rId750" Type="http://schemas.openxmlformats.org/officeDocument/2006/relationships/hyperlink" Target="https://drive.google.com/file/d/1eT9mW-qU416CviL_IYrjtqKQfZPk282G/view?usp=drivesdk" TargetMode="External"/><Relationship Id="rId1343" Type="http://schemas.openxmlformats.org/officeDocument/2006/relationships/hyperlink" Target="https://drive.google.com/file/d/1-e44GPxL5eJw3oSDX6Z78jijaovnBQeQ/view?usp=drivesdk" TargetMode="External"/><Relationship Id="rId2674" Type="http://schemas.openxmlformats.org/officeDocument/2006/relationships/hyperlink" Target="https://drive.google.com/file/d/18ZfYG32M-GTcG_ryoJ1HvEC9C-_ti4fk/view?usp=drivesdk" TargetMode="External"/><Relationship Id="rId1344" Type="http://schemas.openxmlformats.org/officeDocument/2006/relationships/hyperlink" Target="https://drive.google.com/file/d/1GuHxJScwgTchcLiTjR0FvznWHBZZzfTw/view?usp=drivesdk" TargetMode="External"/><Relationship Id="rId2675" Type="http://schemas.openxmlformats.org/officeDocument/2006/relationships/hyperlink" Target="https://drive.google.com/file/d/1JLBmwX7nNKGn-P26gO4q3MKf3Xxhf5mp/view?usp=drivesdk" TargetMode="External"/><Relationship Id="rId2621" Type="http://schemas.openxmlformats.org/officeDocument/2006/relationships/hyperlink" Target="https://drive.google.com/file/d/1-cST4Xer2glOXMG5eTrJVkRfofzfqFTW/view?usp=drivesdk" TargetMode="External"/><Relationship Id="rId2622" Type="http://schemas.openxmlformats.org/officeDocument/2006/relationships/hyperlink" Target="https://drive.google.com/file/d/1YGUF0pymdL9VWFyddXUkyUtTNzhUn4kL/view?usp=drivesdk" TargetMode="External"/><Relationship Id="rId2623" Type="http://schemas.openxmlformats.org/officeDocument/2006/relationships/hyperlink" Target="https://drive.google.com/file/d/1W_KvsfbanYWBQG9nzoDuqDlzFW_jUYH2/view?usp=drivesdk" TargetMode="External"/><Relationship Id="rId2624" Type="http://schemas.openxmlformats.org/officeDocument/2006/relationships/hyperlink" Target="https://drive.google.com/file/d/1qjg3dUl7eHUol7x5vvlFumz5qKGMMo-n/view?usp=drivesdk" TargetMode="External"/><Relationship Id="rId2625" Type="http://schemas.openxmlformats.org/officeDocument/2006/relationships/hyperlink" Target="https://drive.google.com/file/d/1c_xOizbgC83hFcsc5jmN-idvU1vfACNB/view?usp=drivesdk" TargetMode="External"/><Relationship Id="rId2626" Type="http://schemas.openxmlformats.org/officeDocument/2006/relationships/hyperlink" Target="https://drive.google.com/file/d/1lp6r_eHvrdDz_Jcksbt_MrMZQFC3hwy0/view?usp=drivesdk" TargetMode="External"/><Relationship Id="rId2627" Type="http://schemas.openxmlformats.org/officeDocument/2006/relationships/hyperlink" Target="https://drive.google.com/file/d/1NxD4srcP8NGAkHA1AWvYHXJLyf_l73EF/view?usp=drivesdk" TargetMode="External"/><Relationship Id="rId2628" Type="http://schemas.openxmlformats.org/officeDocument/2006/relationships/hyperlink" Target="https://drive.google.com/file/d/1dE7-AS0QPxKoPMyquy5WhD3ojjC80SWY/view?usp=drivesdk" TargetMode="External"/><Relationship Id="rId709" Type="http://schemas.openxmlformats.org/officeDocument/2006/relationships/hyperlink" Target="https://drive.google.com/file/d/1Pml0NZRsfOysQAMn6JrlwAgAx1237UbE/view?usp=drivesdk" TargetMode="External"/><Relationship Id="rId2629" Type="http://schemas.openxmlformats.org/officeDocument/2006/relationships/hyperlink" Target="https://drive.google.com/file/d/150VkxMJ6Qzq8PM52a6Vi7Y9e4ojtHPne/view?usp=drivesdk" TargetMode="External"/><Relationship Id="rId708" Type="http://schemas.openxmlformats.org/officeDocument/2006/relationships/hyperlink" Target="https://drive.google.com/file/d/1SiUbejtLMZIlgDDNSY37EhfU5KVeOIOp/view?usp=drivesdk" TargetMode="External"/><Relationship Id="rId707" Type="http://schemas.openxmlformats.org/officeDocument/2006/relationships/hyperlink" Target="https://drive.google.com/file/d/1Xb6r5Sg08ie-70ZRarJLJ0HXZhA8pR-k/view?usp=drivesdk" TargetMode="External"/><Relationship Id="rId706" Type="http://schemas.openxmlformats.org/officeDocument/2006/relationships/hyperlink" Target="https://drive.google.com/file/d/1Znz2cysuzqGLY68gM36qcVMDtzSrRBhU/view?usp=drivesdk" TargetMode="External"/><Relationship Id="rId701" Type="http://schemas.openxmlformats.org/officeDocument/2006/relationships/hyperlink" Target="https://drive.google.com/file/d/1vArcbKAgEmEWejRnakWUfomGnsH5tn4W/view?usp=drivesdk" TargetMode="External"/><Relationship Id="rId700" Type="http://schemas.openxmlformats.org/officeDocument/2006/relationships/hyperlink" Target="https://drive.google.com/file/d/1gI81Kj1u0dCWvY9mBZIdcFeqtg9ldYF2/view?usp=drivesdk" TargetMode="External"/><Relationship Id="rId705" Type="http://schemas.openxmlformats.org/officeDocument/2006/relationships/hyperlink" Target="https://drive.google.com/file/d/1_IBV79wnvdxg0ewozQfTeEifd97WXkBt/view?usp=drivesdk" TargetMode="External"/><Relationship Id="rId704" Type="http://schemas.openxmlformats.org/officeDocument/2006/relationships/hyperlink" Target="https://drive.google.com/file/d/1G4fER-msQOprc8Y6XVSOHNwysw1dsz_M/view?usp=drivesdk" TargetMode="External"/><Relationship Id="rId703" Type="http://schemas.openxmlformats.org/officeDocument/2006/relationships/hyperlink" Target="https://drive.google.com/file/d/1S69otxyEHHYfHasqVFCFLrpq9qfre1cG/view?usp=drivesdk" TargetMode="External"/><Relationship Id="rId702" Type="http://schemas.openxmlformats.org/officeDocument/2006/relationships/hyperlink" Target="https://drive.google.com/file/d/1UHWACn9Nb4VelPRgXSIGlDkAUk_C2XrY/view?usp=drivesdk" TargetMode="External"/><Relationship Id="rId2620" Type="http://schemas.openxmlformats.org/officeDocument/2006/relationships/hyperlink" Target="https://drive.google.com/file/d/1YAtWuID9zn-v4RS7EAtlJ13NrBFRKnTI/view?usp=drivesdk" TargetMode="External"/><Relationship Id="rId2610" Type="http://schemas.openxmlformats.org/officeDocument/2006/relationships/hyperlink" Target="https://drive.google.com/file/d/1oqwZUfEfzfjGZaYk1A2E8B-PU-AQ6SKz/view?usp=drivesdk" TargetMode="External"/><Relationship Id="rId2611" Type="http://schemas.openxmlformats.org/officeDocument/2006/relationships/hyperlink" Target="https://drive.google.com/file/d/1mMbXlq0wHwW3u94B3l_0KZ3_2GsCObmh/view?usp=drivesdk" TargetMode="External"/><Relationship Id="rId2612" Type="http://schemas.openxmlformats.org/officeDocument/2006/relationships/hyperlink" Target="https://drive.google.com/file/d/1EqvEPwgwndawziGmIPqgl3yNKOI51OAS/view?usp=drivesdk" TargetMode="External"/><Relationship Id="rId2613" Type="http://schemas.openxmlformats.org/officeDocument/2006/relationships/hyperlink" Target="https://drive.google.com/file/d/1Baedt_RF56dAcd90mHgk4WyAWq0rNUNl/view?usp=drivesdk" TargetMode="External"/><Relationship Id="rId2614" Type="http://schemas.openxmlformats.org/officeDocument/2006/relationships/hyperlink" Target="https://drive.google.com/file/d/14GutnAtB1f13xcVqwnhfc_-RMT6AP_5B/view?usp=drivesdk" TargetMode="External"/><Relationship Id="rId2615" Type="http://schemas.openxmlformats.org/officeDocument/2006/relationships/hyperlink" Target="https://drive.google.com/file/d/1HPzVmIEplGhQvmWHdVz2IsB9vdc6FFNn/view?usp=drivesdk" TargetMode="External"/><Relationship Id="rId2616" Type="http://schemas.openxmlformats.org/officeDocument/2006/relationships/hyperlink" Target="https://drive.google.com/file/d/148Py_oykj0pRS0KX5Nz43ePS1GIo-Y5B/view?usp=drivesdk" TargetMode="External"/><Relationship Id="rId2617" Type="http://schemas.openxmlformats.org/officeDocument/2006/relationships/hyperlink" Target="https://drive.google.com/file/d/1jZTNlQnL0TIaQEtiJ7d2O9yOJIbibVXq/view?usp=drivesdk" TargetMode="External"/><Relationship Id="rId2618" Type="http://schemas.openxmlformats.org/officeDocument/2006/relationships/hyperlink" Target="https://drive.google.com/file/d/1qAWfV1gULW7jC5kaiPJ66v9N_6ujk9G3/view?usp=drivesdk" TargetMode="External"/><Relationship Id="rId2619" Type="http://schemas.openxmlformats.org/officeDocument/2006/relationships/hyperlink" Target="https://drive.google.com/file/d/1bB5zAUL5oQPM2ClvdBCDeAd5AlkWVp4P/view?usp=drivesdk" TargetMode="External"/><Relationship Id="rId1312" Type="http://schemas.openxmlformats.org/officeDocument/2006/relationships/hyperlink" Target="https://drive.google.com/file/d/1QceQIPpudwHNts6ozVsewpPDcHxsEEG6/view?usp=drivesdk" TargetMode="External"/><Relationship Id="rId2643" Type="http://schemas.openxmlformats.org/officeDocument/2006/relationships/hyperlink" Target="https://drive.google.com/file/d/1ks4sYhMyRxNwDVYxivPVczl4gI-dQ94P/view?usp=drivesdk" TargetMode="External"/><Relationship Id="rId1313" Type="http://schemas.openxmlformats.org/officeDocument/2006/relationships/hyperlink" Target="https://drive.google.com/file/d/1CxCoM86qacNNUYpFhAyF1rtXgYBs-9mH/view?usp=drivesdk" TargetMode="External"/><Relationship Id="rId2644" Type="http://schemas.openxmlformats.org/officeDocument/2006/relationships/hyperlink" Target="https://drive.google.com/file/d/1cJsRXmvKPQ7GPC_cm_Airo5Y-ih6oB2j/view?usp=drivesdk" TargetMode="External"/><Relationship Id="rId1314" Type="http://schemas.openxmlformats.org/officeDocument/2006/relationships/hyperlink" Target="https://drive.google.com/file/d/18asQxQidaLeAiNYj7n-uzRk_sjGDMuCH/view?usp=drivesdk" TargetMode="External"/><Relationship Id="rId2645" Type="http://schemas.openxmlformats.org/officeDocument/2006/relationships/hyperlink" Target="https://drive.google.com/file/d/1k_T4Rme4laOqj4FFVCtLFL6sVGJsx86a/view?usp=drivesdk" TargetMode="External"/><Relationship Id="rId1315" Type="http://schemas.openxmlformats.org/officeDocument/2006/relationships/hyperlink" Target="https://drive.google.com/file/d/12WWB5hrjAYMH03HeqtvEyVUcJGk2Newf/view?usp=drivesdk" TargetMode="External"/><Relationship Id="rId2646" Type="http://schemas.openxmlformats.org/officeDocument/2006/relationships/hyperlink" Target="https://drive.google.com/file/d/1oiaWpVjzIMfjLRO9E_LEl1ivIhgYJxRz/view?usp=drivesdk" TargetMode="External"/><Relationship Id="rId1316" Type="http://schemas.openxmlformats.org/officeDocument/2006/relationships/hyperlink" Target="https://drive.google.com/file/d/12ib7HG9oP33Ws90XAlqI-QpneflUF2fh/view?usp=drivesdk" TargetMode="External"/><Relationship Id="rId2647" Type="http://schemas.openxmlformats.org/officeDocument/2006/relationships/hyperlink" Target="https://drive.google.com/file/d/1WbrVaSPfdqLt24QFCNSjDPwq7kVE4TDC/view?usp=drivesdk" TargetMode="External"/><Relationship Id="rId1317" Type="http://schemas.openxmlformats.org/officeDocument/2006/relationships/hyperlink" Target="https://drive.google.com/file/d/1j-kE2YVtXl2exB2ak9yvvebl17hGXDPf/view?usp=drivesdk" TargetMode="External"/><Relationship Id="rId2648" Type="http://schemas.openxmlformats.org/officeDocument/2006/relationships/hyperlink" Target="https://drive.google.com/file/d/1ANlIZ7j6kBtYmK7zjvKHJDP4NHDfNeu0/view?usp=drivesdk" TargetMode="External"/><Relationship Id="rId1318" Type="http://schemas.openxmlformats.org/officeDocument/2006/relationships/hyperlink" Target="https://drive.google.com/file/d/1ogcd8fxbNQ1z_SWg8tZ0FtFNsrzg8BnZ/view?usp=drivesdk" TargetMode="External"/><Relationship Id="rId2649" Type="http://schemas.openxmlformats.org/officeDocument/2006/relationships/hyperlink" Target="https://drive.google.com/file/d/12pcrWT7rv8KHcTckp1mVzESreAZAMuLd/view?usp=drivesdk" TargetMode="External"/><Relationship Id="rId1319" Type="http://schemas.openxmlformats.org/officeDocument/2006/relationships/hyperlink" Target="https://drive.google.com/file/d/1VIyaKTrHkcnvx6X2Vzbcsabqr1_r_F9C/view?usp=drivesdk" TargetMode="External"/><Relationship Id="rId729" Type="http://schemas.openxmlformats.org/officeDocument/2006/relationships/hyperlink" Target="https://drive.google.com/file/d/1OZ9MnwnUuWekhkQB2WKkdOcf8LDn0YBs/view?usp=drivesdk" TargetMode="External"/><Relationship Id="rId728" Type="http://schemas.openxmlformats.org/officeDocument/2006/relationships/hyperlink" Target="https://drive.google.com/file/d/14SkGd-WcSFt9ITiBBhXxR_j-ctYySuv3/view?usp=drivesdk" TargetMode="External"/><Relationship Id="rId723" Type="http://schemas.openxmlformats.org/officeDocument/2006/relationships/hyperlink" Target="https://drive.google.com/file/d/1WK3WM5pGKaiswbdg2yZvRvtRHwa01GsY/view?usp=drivesdk" TargetMode="External"/><Relationship Id="rId722" Type="http://schemas.openxmlformats.org/officeDocument/2006/relationships/hyperlink" Target="https://drive.google.com/file/d/1ajxvIZjaHlczZK9kLas3Htg_Gnc-BrFU/view?usp=drivesdk" TargetMode="External"/><Relationship Id="rId721" Type="http://schemas.openxmlformats.org/officeDocument/2006/relationships/hyperlink" Target="https://drive.google.com/file/d/1WGzOmcgtGFQYRA6wT5mHhQdNCmOSx2CQ/view?usp=drivesdk" TargetMode="External"/><Relationship Id="rId720" Type="http://schemas.openxmlformats.org/officeDocument/2006/relationships/hyperlink" Target="https://drive.google.com/file/d/1_MeAdzsFfNvLrCQ3sSFDdCr8HpTmq2IU/view?usp=drivesdk" TargetMode="External"/><Relationship Id="rId727" Type="http://schemas.openxmlformats.org/officeDocument/2006/relationships/hyperlink" Target="https://drive.google.com/file/d/1U3Nz5it4F6r6cJWegYctppAbeltRi0AZ/view?usp=drivesdk" TargetMode="External"/><Relationship Id="rId726" Type="http://schemas.openxmlformats.org/officeDocument/2006/relationships/hyperlink" Target="https://drive.google.com/file/d/12qf1qrJScepeuumFFj5t9dzpLohKg-Ip/view?usp=drivesdk" TargetMode="External"/><Relationship Id="rId725" Type="http://schemas.openxmlformats.org/officeDocument/2006/relationships/hyperlink" Target="https://drive.google.com/file/d/1u46I-xh_B-isC9Tx3RbD1ZJVW6wbiq8H/view?usp=drivesdk" TargetMode="External"/><Relationship Id="rId724" Type="http://schemas.openxmlformats.org/officeDocument/2006/relationships/hyperlink" Target="https://drive.google.com/file/d/1BmwJYklXp9TW8kIsj_AjHhg4J8Xscsn6/view?usp=drivesdk" TargetMode="External"/><Relationship Id="rId2640" Type="http://schemas.openxmlformats.org/officeDocument/2006/relationships/hyperlink" Target="https://drive.google.com/file/d/19H8UbfRLvZEql0tCt59611gSkSLUCmKs/view?usp=drivesdk" TargetMode="External"/><Relationship Id="rId1310" Type="http://schemas.openxmlformats.org/officeDocument/2006/relationships/hyperlink" Target="https://drive.google.com/file/d/1c51xoclCygYjc2PSAWNPbFAZMhbv3-6j/view?usp=drivesdk" TargetMode="External"/><Relationship Id="rId2641" Type="http://schemas.openxmlformats.org/officeDocument/2006/relationships/hyperlink" Target="https://drive.google.com/file/d/1V8lTfv6HJ8IMLiB5gYCuvj2XX1Nry6fh/view?usp=drivesdk" TargetMode="External"/><Relationship Id="rId1311" Type="http://schemas.openxmlformats.org/officeDocument/2006/relationships/hyperlink" Target="https://drive.google.com/file/d/1kNAE-ye78RDsNealbMDlJ6VM6UzOgd-b/view?usp=drivesdk" TargetMode="External"/><Relationship Id="rId2642" Type="http://schemas.openxmlformats.org/officeDocument/2006/relationships/hyperlink" Target="https://drive.google.com/file/d/1NP74FAQ4UheeZ68AMDXl3P1f72HLwpaT/view?usp=drivesdk" TargetMode="External"/><Relationship Id="rId1301" Type="http://schemas.openxmlformats.org/officeDocument/2006/relationships/hyperlink" Target="https://drive.google.com/file/d/1P-Sqvp0mCqZvJz4lzBzfJpU7sLsIcHpG/view?usp=drivesdk" TargetMode="External"/><Relationship Id="rId2632" Type="http://schemas.openxmlformats.org/officeDocument/2006/relationships/hyperlink" Target="https://drive.google.com/file/d/145Pa13zh5Prx2VW-au4YJBMHc37TXuej/view?usp=drivesdk" TargetMode="External"/><Relationship Id="rId1302" Type="http://schemas.openxmlformats.org/officeDocument/2006/relationships/hyperlink" Target="https://drive.google.com/file/d/1EHwdKOPywXiHT8ufx2T99v8YRbHGnFwU/view?usp=drivesdk" TargetMode="External"/><Relationship Id="rId2633" Type="http://schemas.openxmlformats.org/officeDocument/2006/relationships/hyperlink" Target="https://drive.google.com/file/d/1JnjkuBqFgDqAEzZj1VnXDDzpULzqwUY4/view?usp=drivesdk" TargetMode="External"/><Relationship Id="rId1303" Type="http://schemas.openxmlformats.org/officeDocument/2006/relationships/hyperlink" Target="https://drive.google.com/file/d/1Ogf-uOfDl9Mk4NYZqw4y5cD5TJuVREfw/view?usp=drivesdk" TargetMode="External"/><Relationship Id="rId2634" Type="http://schemas.openxmlformats.org/officeDocument/2006/relationships/hyperlink" Target="https://drive.google.com/file/d/1bOamtHkDDCeR5rldqOBSgCXc_AFZb3yD/view?usp=drivesdk" TargetMode="External"/><Relationship Id="rId1304" Type="http://schemas.openxmlformats.org/officeDocument/2006/relationships/hyperlink" Target="https://drive.google.com/file/d/1v3GntFT3_pm4ajRzH6JPM18Chi14Z430/view?usp=drivesdk" TargetMode="External"/><Relationship Id="rId2635" Type="http://schemas.openxmlformats.org/officeDocument/2006/relationships/hyperlink" Target="https://drive.google.com/file/d/1XtfL3wumyr6mb9iCgCxuHmUHHvQhg4yN/view?usp=drivesdk" TargetMode="External"/><Relationship Id="rId1305" Type="http://schemas.openxmlformats.org/officeDocument/2006/relationships/hyperlink" Target="https://drive.google.com/file/d/17bs3vl2FzsWhzVlfBOdauYWC7F9KyJMy/view?usp=drivesdk" TargetMode="External"/><Relationship Id="rId2636" Type="http://schemas.openxmlformats.org/officeDocument/2006/relationships/hyperlink" Target="https://drive.google.com/file/d/1S6Y_7EBTIU64tChcmNNePtGMO2jWzVGk/view?usp=drivesdk" TargetMode="External"/><Relationship Id="rId1306" Type="http://schemas.openxmlformats.org/officeDocument/2006/relationships/hyperlink" Target="https://drive.google.com/file/d/1Ngt6UrsD91-8z3o5nPQYSC1uXd0ekwYw/view?usp=drivesdk" TargetMode="External"/><Relationship Id="rId2637" Type="http://schemas.openxmlformats.org/officeDocument/2006/relationships/hyperlink" Target="https://drive.google.com/file/d/1GpQZNwn0thDz2IQRffeGzv6KDWQiKn_I/view?usp=drivesdk" TargetMode="External"/><Relationship Id="rId1307" Type="http://schemas.openxmlformats.org/officeDocument/2006/relationships/hyperlink" Target="https://drive.google.com/file/d/1gKjvQmfx19e3auGXpZdGBxQqVuGU6AX7/view?usp=drivesdk" TargetMode="External"/><Relationship Id="rId2638" Type="http://schemas.openxmlformats.org/officeDocument/2006/relationships/hyperlink" Target="https://drive.google.com/file/d/181zSSJL0lk7t_7R7qFXHj6EpNju7NEyy/view?usp=drivesdk" TargetMode="External"/><Relationship Id="rId1308" Type="http://schemas.openxmlformats.org/officeDocument/2006/relationships/hyperlink" Target="https://drive.google.com/file/d/1U5Ogm827ucDFdocOpwNAGccaapijRR4J/view?usp=drivesdk" TargetMode="External"/><Relationship Id="rId2639" Type="http://schemas.openxmlformats.org/officeDocument/2006/relationships/hyperlink" Target="https://drive.google.com/file/d/1PYhLwP6tdLfH-XKRuD0puhoFxy-sMmFS/view?usp=drivesdk" TargetMode="External"/><Relationship Id="rId1309" Type="http://schemas.openxmlformats.org/officeDocument/2006/relationships/hyperlink" Target="https://drive.google.com/file/d/1QBVpAdQi9cHTv94j8sfKY45av11XBK9u/view?usp=drivesdk" TargetMode="External"/><Relationship Id="rId719" Type="http://schemas.openxmlformats.org/officeDocument/2006/relationships/hyperlink" Target="https://drive.google.com/file/d/1qzoJ5NDPk8c3zhlYn9hfymGZcTrf4iJO/view?usp=drivesdk" TargetMode="External"/><Relationship Id="rId718" Type="http://schemas.openxmlformats.org/officeDocument/2006/relationships/hyperlink" Target="https://drive.google.com/file/d/1gHx96vgOr6oOtWOX-PMyHSBX1iz_spTQ/view?usp=drivesdk" TargetMode="External"/><Relationship Id="rId717" Type="http://schemas.openxmlformats.org/officeDocument/2006/relationships/hyperlink" Target="https://drive.google.com/file/d/13JuK8F5cAr0NcgdQMexknkEUN1Pt55HM/view?usp=drivesdk" TargetMode="External"/><Relationship Id="rId712" Type="http://schemas.openxmlformats.org/officeDocument/2006/relationships/hyperlink" Target="https://drive.google.com/file/d/1y-ClKplSDZbSDj9JICuN8NS0Mjk6NunL/view?usp=drivesdk" TargetMode="External"/><Relationship Id="rId711" Type="http://schemas.openxmlformats.org/officeDocument/2006/relationships/hyperlink" Target="https://drive.google.com/file/d/1ev72IDNl2mCWJhTasc1EYGJO6GTUrmqa/view?usp=drivesdk" TargetMode="External"/><Relationship Id="rId710" Type="http://schemas.openxmlformats.org/officeDocument/2006/relationships/hyperlink" Target="https://drive.google.com/file/d/1RPAwEFx8I1R74xrEoSoTRg1lJQG9P5CL/view?usp=drivesdk" TargetMode="External"/><Relationship Id="rId716" Type="http://schemas.openxmlformats.org/officeDocument/2006/relationships/hyperlink" Target="https://drive.google.com/file/d/1-mRX6-K14MRBPbv70jcqjI6pFDDlkp6f/view?usp=drivesdk" TargetMode="External"/><Relationship Id="rId715" Type="http://schemas.openxmlformats.org/officeDocument/2006/relationships/hyperlink" Target="https://drive.google.com/file/d/1F49REiDAYzMubDAe3MtDbOAzdlry6s6_/view?usp=drivesdk" TargetMode="External"/><Relationship Id="rId714" Type="http://schemas.openxmlformats.org/officeDocument/2006/relationships/hyperlink" Target="https://drive.google.com/file/d/1-HbB1R9rUkZyBA6k76KWaAbDsT1gjxYO/view?usp=drivesdk" TargetMode="External"/><Relationship Id="rId713" Type="http://schemas.openxmlformats.org/officeDocument/2006/relationships/hyperlink" Target="https://drive.google.com/file/d/19Fl-39IlzoCfmIEOsnY6JKwu2bUiX3MO/view?usp=drivesdk" TargetMode="External"/><Relationship Id="rId2630" Type="http://schemas.openxmlformats.org/officeDocument/2006/relationships/hyperlink" Target="https://drive.google.com/file/d/1A3A0XWewbvFp536VbiCjIAYxdIJwVP-9/view?usp=drivesdk" TargetMode="External"/><Relationship Id="rId1300" Type="http://schemas.openxmlformats.org/officeDocument/2006/relationships/hyperlink" Target="https://drive.google.com/file/d/1uOLIg5UkHYJcCaWaznedB-kkD-6Ojsoj/view?usp=drivesdk" TargetMode="External"/><Relationship Id="rId2631" Type="http://schemas.openxmlformats.org/officeDocument/2006/relationships/hyperlink" Target="https://drive.google.com/file/d/1Om0VtTokwrnUfKI5dbrEDRogkdHBeMRA/view?usp=drivesdk" TargetMode="External"/><Relationship Id="rId3117" Type="http://schemas.openxmlformats.org/officeDocument/2006/relationships/hyperlink" Target="https://drive.google.com/file/d/17HYZXEqbs5qMTOba8cEHhBhSIrnkFKeu/view?usp=drivesdk" TargetMode="External"/><Relationship Id="rId3116" Type="http://schemas.openxmlformats.org/officeDocument/2006/relationships/hyperlink" Target="https://drive.google.com/file/d/1aYbxZ4QpjA2HcnqHYKr1JxrRo6gAK21q/view?usp=drivesdk" TargetMode="External"/><Relationship Id="rId3119" Type="http://schemas.openxmlformats.org/officeDocument/2006/relationships/hyperlink" Target="https://drive.google.com/file/d/1-E1dAlVOdBXhL1-Ucgrt44k9SzyhPTJ-/view?usp=drivesdk" TargetMode="External"/><Relationship Id="rId3118" Type="http://schemas.openxmlformats.org/officeDocument/2006/relationships/hyperlink" Target="https://drive.google.com/file/d/1yPKBulDUT2sA_EL4XHrVvgND1nEVQNHI/view?usp=drivesdk" TargetMode="External"/><Relationship Id="rId3111" Type="http://schemas.openxmlformats.org/officeDocument/2006/relationships/hyperlink" Target="https://drive.google.com/file/d/1rj178it8sQtHMyNzyb90GXfEk1Hk5YnN/view?usp=drivesdk" TargetMode="External"/><Relationship Id="rId3110" Type="http://schemas.openxmlformats.org/officeDocument/2006/relationships/hyperlink" Target="https://drive.google.com/file/d/1J8w4F7K8nMU3UgmMPI03K3U93q1EwCEJ/view?usp=drivesdk" TargetMode="External"/><Relationship Id="rId3113" Type="http://schemas.openxmlformats.org/officeDocument/2006/relationships/hyperlink" Target="https://drive.google.com/file/d/1EZllPY8-yvLte77cCpv9UnSzrQEaA1l4/view?usp=drivesdk" TargetMode="External"/><Relationship Id="rId3112" Type="http://schemas.openxmlformats.org/officeDocument/2006/relationships/hyperlink" Target="https://drive.google.com/file/d/1m8vBfiQkH8P0FaPXXK5PHkJH8yYhq1Sh/view?usp=drivesdk" TargetMode="External"/><Relationship Id="rId3115" Type="http://schemas.openxmlformats.org/officeDocument/2006/relationships/hyperlink" Target="https://drive.google.com/file/d/127v43WE4PklOsQFV7vglYwM9pxelKmVE/view?usp=drivesdk" TargetMode="External"/><Relationship Id="rId3114" Type="http://schemas.openxmlformats.org/officeDocument/2006/relationships/hyperlink" Target="https://drive.google.com/file/d/1alE-Lyhg2bHvUxXiUtoX7uwWzuZe9O2i/view?usp=drivesdk" TargetMode="External"/><Relationship Id="rId3106" Type="http://schemas.openxmlformats.org/officeDocument/2006/relationships/hyperlink" Target="https://drive.google.com/file/d/1UjvynnYEPZHicucFMnLs5zd6tciLP1ET/view?usp=drivesdk" TargetMode="External"/><Relationship Id="rId3105" Type="http://schemas.openxmlformats.org/officeDocument/2006/relationships/hyperlink" Target="https://drive.google.com/file/d/10OETr0_zUz7Gqw39YL9lnq--3C3qavy8/view?usp=drivesdk" TargetMode="External"/><Relationship Id="rId3108" Type="http://schemas.openxmlformats.org/officeDocument/2006/relationships/hyperlink" Target="https://drive.google.com/file/d/1ME3HHgt9JawJ4TVDM4mgrdiRZZn5ZkQD/view?usp=drivesdk" TargetMode="External"/><Relationship Id="rId3107" Type="http://schemas.openxmlformats.org/officeDocument/2006/relationships/hyperlink" Target="https://drive.google.com/file/d/11Av49SlCGKMhtLvS_jk4226riFKcyhNh/view?usp=drivesdk" TargetMode="External"/><Relationship Id="rId3109" Type="http://schemas.openxmlformats.org/officeDocument/2006/relationships/hyperlink" Target="https://drive.google.com/file/d/1Q984rmQXqbwrrnMY-wB5jcpYKEpb-2Qg/view?usp=drivesdk" TargetMode="External"/><Relationship Id="rId3100" Type="http://schemas.openxmlformats.org/officeDocument/2006/relationships/hyperlink" Target="https://drive.google.com/file/d/1OSEYoq50TRvyqkjozHLp1CtvXHG-6rLL/view?usp=drivesdk" TargetMode="External"/><Relationship Id="rId3102" Type="http://schemas.openxmlformats.org/officeDocument/2006/relationships/hyperlink" Target="https://drive.google.com/file/d/1wMURwXZnZSgj-yjJ9sraJzrfcHDhvQ8j/view?usp=drivesdk" TargetMode="External"/><Relationship Id="rId3101" Type="http://schemas.openxmlformats.org/officeDocument/2006/relationships/hyperlink" Target="https://drive.google.com/file/d/133wAd9ADUXthw033LGhcEhvxSj0cXryx/view?usp=drivesdk" TargetMode="External"/><Relationship Id="rId3104" Type="http://schemas.openxmlformats.org/officeDocument/2006/relationships/hyperlink" Target="https://drive.google.com/file/d/1zRO2wTJdLmK-BV5hxThrZO8prUdJXbH2/view?usp=drivesdk" TargetMode="External"/><Relationship Id="rId3103" Type="http://schemas.openxmlformats.org/officeDocument/2006/relationships/hyperlink" Target="https://drive.google.com/file/d/1IgwbpOWDDLlv9t0P-r2yZY_l_ViqGTuz/view?usp=drivesdk" TargetMode="External"/><Relationship Id="rId3139" Type="http://schemas.openxmlformats.org/officeDocument/2006/relationships/hyperlink" Target="https://drive.google.com/file/d/1bRLs3S0AT2q1kxpgqs8O2vQssNN1LQOi/view?usp=drivesdk" TargetMode="External"/><Relationship Id="rId3138" Type="http://schemas.openxmlformats.org/officeDocument/2006/relationships/hyperlink" Target="https://drive.google.com/file/d/1DS4JtkHMjs9zr71-ezWtK-niMJQwvASc/view?usp=drivesdk" TargetMode="External"/><Relationship Id="rId3131" Type="http://schemas.openxmlformats.org/officeDocument/2006/relationships/hyperlink" Target="https://drive.google.com/file/d/1PPc0RGpI6FyC2CFU35uCyQf2KFIp33Mf/view?usp=drivesdk" TargetMode="External"/><Relationship Id="rId3130" Type="http://schemas.openxmlformats.org/officeDocument/2006/relationships/hyperlink" Target="https://drive.google.com/file/d/1wDSdOj_hBlu6qxccU3OnehZB5-gYnYts/view?usp=drivesdk" TargetMode="External"/><Relationship Id="rId3133" Type="http://schemas.openxmlformats.org/officeDocument/2006/relationships/hyperlink" Target="https://drive.google.com/file/d/1BkIrUKawTYC3ZJd8Gdg3L-qgFqtjoWcy/view?usp=drivesdk" TargetMode="External"/><Relationship Id="rId3132" Type="http://schemas.openxmlformats.org/officeDocument/2006/relationships/hyperlink" Target="https://drive.google.com/file/d/1d3YiqgyBpR1vBwJxhNgYZttfp2h97WzB/view?usp=drivesdk" TargetMode="External"/><Relationship Id="rId3135" Type="http://schemas.openxmlformats.org/officeDocument/2006/relationships/hyperlink" Target="https://drive.google.com/file/d/1V3ckTOj3ZkkNHIEaAqeL1uAXi4vMNsml/view?usp=drivesdk" TargetMode="External"/><Relationship Id="rId3134" Type="http://schemas.openxmlformats.org/officeDocument/2006/relationships/hyperlink" Target="https://drive.google.com/file/d/1KepKPpAIiCTU53-R7iv3bibeeDT2e4uc/view?usp=drivesdk" TargetMode="External"/><Relationship Id="rId3137" Type="http://schemas.openxmlformats.org/officeDocument/2006/relationships/hyperlink" Target="https://drive.google.com/file/d/1HOf675tEXfG2bMnJOIiHzWGLlDbzEY3d/view?usp=drivesdk" TargetMode="External"/><Relationship Id="rId3136" Type="http://schemas.openxmlformats.org/officeDocument/2006/relationships/hyperlink" Target="https://drive.google.com/file/d/1VIF6kuqnOCJkukqkxuMzonIlfG0vD2p3/view?usp=drivesdk" TargetMode="External"/><Relationship Id="rId3128" Type="http://schemas.openxmlformats.org/officeDocument/2006/relationships/hyperlink" Target="https://drive.google.com/file/d/1RL5VVGCl7-geMqjebtJXb9Jl5WDZ_RPf/view?usp=drivesdk" TargetMode="External"/><Relationship Id="rId3127" Type="http://schemas.openxmlformats.org/officeDocument/2006/relationships/hyperlink" Target="https://drive.google.com/file/d/16SOoUfTCSMe7mtchsl8axpkAxtRIR28i/view?usp=drivesdk" TargetMode="External"/><Relationship Id="rId3129" Type="http://schemas.openxmlformats.org/officeDocument/2006/relationships/hyperlink" Target="https://drive.google.com/file/d/1uYsHOUBngS-ZXgqB8qnnVPTbdmiJOAye/view?usp=drivesdk" TargetMode="External"/><Relationship Id="rId3120" Type="http://schemas.openxmlformats.org/officeDocument/2006/relationships/hyperlink" Target="https://drive.google.com/file/d/1FElRRlWoVi2usxTFNme1Bwz9RgmJPLKp/view?usp=drivesdk" TargetMode="External"/><Relationship Id="rId3122" Type="http://schemas.openxmlformats.org/officeDocument/2006/relationships/hyperlink" Target="https://drive.google.com/file/d/1URDsP-yMIFXhkBo8wS57RwLmccsk4Lvy/view?usp=drivesdk" TargetMode="External"/><Relationship Id="rId3121" Type="http://schemas.openxmlformats.org/officeDocument/2006/relationships/hyperlink" Target="https://drive.google.com/file/d/1J8NYov-XHHaVlQCOR0yx9UGTvAN_EjiG/view?usp=drivesdk" TargetMode="External"/><Relationship Id="rId3124" Type="http://schemas.openxmlformats.org/officeDocument/2006/relationships/hyperlink" Target="https://drive.google.com/file/d/198F72VlE367b6ZajKTHUUDOA3GEGqCqo/view?usp=drivesdk" TargetMode="External"/><Relationship Id="rId3123" Type="http://schemas.openxmlformats.org/officeDocument/2006/relationships/hyperlink" Target="https://drive.google.com/file/d/1awPCjIHvs8ahIhOincmP_HaNxC6Wg3ei/view?usp=drivesdk" TargetMode="External"/><Relationship Id="rId3126" Type="http://schemas.openxmlformats.org/officeDocument/2006/relationships/hyperlink" Target="https://drive.google.com/file/d/1GD-j6BWPkB_b2ijNsy35CR0wHNMjHGjd/view?usp=drivesdk" TargetMode="External"/><Relationship Id="rId3125" Type="http://schemas.openxmlformats.org/officeDocument/2006/relationships/hyperlink" Target="https://drive.google.com/file/d/1em7ODa60WMQRn6m4evBrT4Y8ooQ_qlB3/view?usp=drivesdk" TargetMode="External"/><Relationship Id="rId1378" Type="http://schemas.openxmlformats.org/officeDocument/2006/relationships/hyperlink" Target="https://drive.google.com/file/d/1C8zZ6TuGxCbTpecEm81GhxukgWVAQhWN/view?usp=drivesdk" TargetMode="External"/><Relationship Id="rId1379" Type="http://schemas.openxmlformats.org/officeDocument/2006/relationships/hyperlink" Target="https://drive.google.com/file/d/1LHcEpq_EhwnoPUoqWbj3eqbIn5Z7TG1E/view?usp=drivesdk" TargetMode="External"/><Relationship Id="rId789" Type="http://schemas.openxmlformats.org/officeDocument/2006/relationships/hyperlink" Target="https://drive.google.com/file/d/1NJ-8RgiOIK0KrPabafmBQ8LbMZ8hxtzJ/view?usp=drivesdk" TargetMode="External"/><Relationship Id="rId788" Type="http://schemas.openxmlformats.org/officeDocument/2006/relationships/hyperlink" Target="https://drive.google.com/file/d/1hfQPaevumxJWY4X3_PpHaWP-ePxFpP8K/view?usp=drivesdk" TargetMode="External"/><Relationship Id="rId787" Type="http://schemas.openxmlformats.org/officeDocument/2006/relationships/hyperlink" Target="https://drive.google.com/file/d/10hurbl9nS6fmXkrg4GlKo2phFHobMFbe/view?usp=drivesdk" TargetMode="External"/><Relationship Id="rId786" Type="http://schemas.openxmlformats.org/officeDocument/2006/relationships/hyperlink" Target="https://drive.google.com/file/d/189Sb48CFms1NmdjM2wTIeW9XVaeVeMls/view?usp=drivesdk" TargetMode="External"/><Relationship Id="rId781" Type="http://schemas.openxmlformats.org/officeDocument/2006/relationships/hyperlink" Target="https://drive.google.com/file/d/1YinBEFlPWlfEH_bG8z4XkTlvx0nzgfXp/view?usp=drivesdk" TargetMode="External"/><Relationship Id="rId1370" Type="http://schemas.openxmlformats.org/officeDocument/2006/relationships/hyperlink" Target="https://drive.google.com/file/d/1Amq0DbPEbXg_ROiaz5QdIHPuE1kVAXKd/view?usp=drivesdk" TargetMode="External"/><Relationship Id="rId780" Type="http://schemas.openxmlformats.org/officeDocument/2006/relationships/hyperlink" Target="https://drive.google.com/file/d/1bSv72xFyxGw7YEFRKwAnEoZvhaoLs3rS/view?usp=drivesdk" TargetMode="External"/><Relationship Id="rId1371" Type="http://schemas.openxmlformats.org/officeDocument/2006/relationships/hyperlink" Target="https://drive.google.com/file/d/1KgiYpauF6pahonPzLyqq8JP29NqyrdWK/view?usp=drivesdk" TargetMode="External"/><Relationship Id="rId1372" Type="http://schemas.openxmlformats.org/officeDocument/2006/relationships/hyperlink" Target="https://drive.google.com/file/d/1RT5r2kB5DzfZk3U5OHnmlhZai4CIg7Pz/view?usp=drivesdk" TargetMode="External"/><Relationship Id="rId1373" Type="http://schemas.openxmlformats.org/officeDocument/2006/relationships/hyperlink" Target="https://drive.google.com/file/d/1rYNCRo-ZwvSOd5UEu0Krnh8FkNJXcQuF/view?usp=drivesdk" TargetMode="External"/><Relationship Id="rId785" Type="http://schemas.openxmlformats.org/officeDocument/2006/relationships/hyperlink" Target="https://drive.google.com/file/d/1Q_AQkWrzJPOWXXQGTT-RjNguCxhF1jt2/view?usp=drivesdk" TargetMode="External"/><Relationship Id="rId1374" Type="http://schemas.openxmlformats.org/officeDocument/2006/relationships/hyperlink" Target="https://drive.google.com/file/d/1M8UVsxR3jq5AzuD_vn-lzNb4Kp0RdPVc/view?usp=drivesdk" TargetMode="External"/><Relationship Id="rId784" Type="http://schemas.openxmlformats.org/officeDocument/2006/relationships/hyperlink" Target="https://drive.google.com/file/d/1ztV4sm_g7GaGIn0FBAq6FBAAcURkmtLU/view?usp=drivesdk" TargetMode="External"/><Relationship Id="rId1375" Type="http://schemas.openxmlformats.org/officeDocument/2006/relationships/hyperlink" Target="https://drive.google.com/file/d/1RwkWgjf-DoSD-HZoZyd12J4vV3hARTsD/view?usp=drivesdk" TargetMode="External"/><Relationship Id="rId783" Type="http://schemas.openxmlformats.org/officeDocument/2006/relationships/hyperlink" Target="https://drive.google.com/file/d/1dHBucRJRw0IVd0McFp9a2a53k2pQgcVy/view?usp=drivesdk" TargetMode="External"/><Relationship Id="rId1376" Type="http://schemas.openxmlformats.org/officeDocument/2006/relationships/hyperlink" Target="https://drive.google.com/file/d/1Xd_wBIaQgTe2oxUzCPl6o84zZP50xJKX/view?usp=drivesdk" TargetMode="External"/><Relationship Id="rId782" Type="http://schemas.openxmlformats.org/officeDocument/2006/relationships/hyperlink" Target="https://drive.google.com/file/d/1MQ3w3WfQxZ6ToVmZ173hLxaon51AX3aW/view?usp=drivesdk" TargetMode="External"/><Relationship Id="rId1377" Type="http://schemas.openxmlformats.org/officeDocument/2006/relationships/hyperlink" Target="https://drive.google.com/file/d/14kya-Z4L7YEIKEeaP4BLyVpWecgfa2AH/view?usp=drivesdk" TargetMode="External"/><Relationship Id="rId1367" Type="http://schemas.openxmlformats.org/officeDocument/2006/relationships/hyperlink" Target="https://drive.google.com/file/d/1jYrtjqdTXxiTSvmuqNs5CLYjl3bDx57e/view?usp=drivesdk" TargetMode="External"/><Relationship Id="rId2698" Type="http://schemas.openxmlformats.org/officeDocument/2006/relationships/hyperlink" Target="https://drive.google.com/file/d/1dAqnDNRhaQ6sjRhO40O2fp3yaLbqJIli/view?usp=drivesdk" TargetMode="External"/><Relationship Id="rId1368" Type="http://schemas.openxmlformats.org/officeDocument/2006/relationships/hyperlink" Target="https://drive.google.com/file/d/10wvPjUj2j-bwDFwvB9-zbS4M8yI4QzKU/view?usp=drivesdk" TargetMode="External"/><Relationship Id="rId2699" Type="http://schemas.openxmlformats.org/officeDocument/2006/relationships/hyperlink" Target="https://drive.google.com/file/d/13a9vBHGI6SG76QMpDyvnIcBH20qNsto2/view?usp=drivesdk" TargetMode="External"/><Relationship Id="rId1369" Type="http://schemas.openxmlformats.org/officeDocument/2006/relationships/hyperlink" Target="https://drive.google.com/file/d/1VF2iIIdXF6qLbjeKewCq5bYS5NAFXwix/view?usp=drivesdk" TargetMode="External"/><Relationship Id="rId778" Type="http://schemas.openxmlformats.org/officeDocument/2006/relationships/hyperlink" Target="https://drive.google.com/file/d/1Q1ahJAjmoMnVd-4_yOjQiQ_6STDFGEiQ/view?usp=drivesdk" TargetMode="External"/><Relationship Id="rId777" Type="http://schemas.openxmlformats.org/officeDocument/2006/relationships/hyperlink" Target="https://drive.google.com/file/d/1C1_WdM4KBfxxYh8OlSnsd2WhUKw-IYkW/view?usp=drivesdk" TargetMode="External"/><Relationship Id="rId776" Type="http://schemas.openxmlformats.org/officeDocument/2006/relationships/hyperlink" Target="https://drive.google.com/file/d/1oLyXVFY64dU4qE6_b-iVXYa7asikLA1e/view?usp=drivesdk" TargetMode="External"/><Relationship Id="rId775" Type="http://schemas.openxmlformats.org/officeDocument/2006/relationships/hyperlink" Target="https://drive.google.com/file/d/1ZkYyI9Xh0T6WySPVfqp6p62lMTtr4-4Z/view?usp=drivesdk" TargetMode="External"/><Relationship Id="rId779" Type="http://schemas.openxmlformats.org/officeDocument/2006/relationships/hyperlink" Target="https://drive.google.com/file/d/1n43nCIdzroDCA5ShXF2in5DWlH9WAzYn/view?usp=drivesdk" TargetMode="External"/><Relationship Id="rId770" Type="http://schemas.openxmlformats.org/officeDocument/2006/relationships/hyperlink" Target="https://drive.google.com/file/d/1twhY2w0ctG7Af9H6UOJm8wdSXyXO8TAo/view?usp=drivesdk" TargetMode="External"/><Relationship Id="rId2690" Type="http://schemas.openxmlformats.org/officeDocument/2006/relationships/hyperlink" Target="https://drive.google.com/file/d/1mJVZEGRuGEHvjJLpaIkoRcJuDNXnANgI/view?usp=drivesdk" TargetMode="External"/><Relationship Id="rId1360" Type="http://schemas.openxmlformats.org/officeDocument/2006/relationships/hyperlink" Target="https://drive.google.com/file/d/1Jf6EV88Oh74edX72FBD60dqKXlMdn6Mc/view?usp=drivesdk" TargetMode="External"/><Relationship Id="rId2691" Type="http://schemas.openxmlformats.org/officeDocument/2006/relationships/hyperlink" Target="https://drive.google.com/file/d/1Z9cXGn_9cINuuX5drvoG0YLH4tFIjcZ7/view?usp=drivesdk" TargetMode="External"/><Relationship Id="rId1361" Type="http://schemas.openxmlformats.org/officeDocument/2006/relationships/hyperlink" Target="https://drive.google.com/file/d/1K9Z2QoAfUp3wZZ9r-TdCgcxRW8O4g__4/view?usp=drivesdk" TargetMode="External"/><Relationship Id="rId2692" Type="http://schemas.openxmlformats.org/officeDocument/2006/relationships/hyperlink" Target="https://drive.google.com/file/d/1TVEae0arGcjXygxgVD8laFAM0LcnW7EM/view?usp=drivesdk" TargetMode="External"/><Relationship Id="rId1362" Type="http://schemas.openxmlformats.org/officeDocument/2006/relationships/hyperlink" Target="https://drive.google.com/file/d/1Lg9AAKPrBnclSilQCr3AJ9Utx61yJZ10/view?usp=drivesdk" TargetMode="External"/><Relationship Id="rId2693" Type="http://schemas.openxmlformats.org/officeDocument/2006/relationships/hyperlink" Target="https://drive.google.com/file/d/1VcKqsyqYAl_exqLf4Zk_sKFNXaU3WlBH/view?usp=drivesdk" TargetMode="External"/><Relationship Id="rId774" Type="http://schemas.openxmlformats.org/officeDocument/2006/relationships/hyperlink" Target="https://drive.google.com/file/d/12hPE3_ROkrr-EwAg8DQR8e8OYrtwuoYT/view?usp=drivesdk" TargetMode="External"/><Relationship Id="rId1363" Type="http://schemas.openxmlformats.org/officeDocument/2006/relationships/hyperlink" Target="https://drive.google.com/file/d/14v_JHQxzI9HtJDJs6iZ8fRNus_f5UAGe/view?usp=drivesdk" TargetMode="External"/><Relationship Id="rId2694" Type="http://schemas.openxmlformats.org/officeDocument/2006/relationships/hyperlink" Target="https://drive.google.com/file/d/1_Q49N573VFAV_0WagG-Wq7CeefQWtosH/view?usp=drivesdk" TargetMode="External"/><Relationship Id="rId773" Type="http://schemas.openxmlformats.org/officeDocument/2006/relationships/hyperlink" Target="https://drive.google.com/file/d/1je9cw-vS4o0h7s6-W5SXMCb_uEat2QOt/view?usp=drivesdk" TargetMode="External"/><Relationship Id="rId1364" Type="http://schemas.openxmlformats.org/officeDocument/2006/relationships/hyperlink" Target="https://drive.google.com/file/d/19RQ-PRp6aFWHVejOVQdpZjrTQXf65Kmd/view?usp=drivesdk" TargetMode="External"/><Relationship Id="rId2695" Type="http://schemas.openxmlformats.org/officeDocument/2006/relationships/hyperlink" Target="https://drive.google.com/file/d/1Z8QqX6BeYJ31sKxIZKBNg1LwDY6t3snO/view?usp=drivesdk" TargetMode="External"/><Relationship Id="rId772" Type="http://schemas.openxmlformats.org/officeDocument/2006/relationships/hyperlink" Target="https://drive.google.com/file/d/1UTh20eT7TkvvPfQekHv-og8JNZ7R1WP8/view?usp=drivesdk" TargetMode="External"/><Relationship Id="rId1365" Type="http://schemas.openxmlformats.org/officeDocument/2006/relationships/hyperlink" Target="https://drive.google.com/file/d/1aIlL0O9aFXrMnRdJ-XsZw8Bw0-HaZzOp/view?usp=drivesdk" TargetMode="External"/><Relationship Id="rId2696" Type="http://schemas.openxmlformats.org/officeDocument/2006/relationships/hyperlink" Target="https://drive.google.com/file/d/1XTFfWFGSOorXaSHUTepn_NywZP0WRrna/view?usp=drivesdk" TargetMode="External"/><Relationship Id="rId771" Type="http://schemas.openxmlformats.org/officeDocument/2006/relationships/hyperlink" Target="https://drive.google.com/file/d/1wNBIYZ5dm9n9bSFCAgoMnPNgBJBMSCyH/view?usp=drivesdk" TargetMode="External"/><Relationship Id="rId1366" Type="http://schemas.openxmlformats.org/officeDocument/2006/relationships/hyperlink" Target="https://drive.google.com/file/d/154Qx30hu0D7Aoa9Ey8wHl-TtywNQTU8I/view?usp=drivesdk" TargetMode="External"/><Relationship Id="rId2697" Type="http://schemas.openxmlformats.org/officeDocument/2006/relationships/hyperlink" Target="https://drive.google.com/file/d/1MOD_LiszrqtrS8ADK6fAq6j9ju8s4Owd/view?usp=drivesdk" TargetMode="External"/><Relationship Id="rId1390" Type="http://schemas.openxmlformats.org/officeDocument/2006/relationships/hyperlink" Target="https://drive.google.com/file/d/1QqsZUjbe7ojmX7FiAvHh1tFZVzadHEr4/view?usp=drivesdk" TargetMode="External"/><Relationship Id="rId1391" Type="http://schemas.openxmlformats.org/officeDocument/2006/relationships/hyperlink" Target="https://drive.google.com/file/d/1c-gDl6O5ZW0j0e9UJ-3VaFyQslJA20R2/view?usp=drivesdk" TargetMode="External"/><Relationship Id="rId1392" Type="http://schemas.openxmlformats.org/officeDocument/2006/relationships/hyperlink" Target="https://drive.google.com/file/d/1xdTxmJEwjz5ttfDJoCwjvWfHsl5g3jP6/view?usp=drivesdk" TargetMode="External"/><Relationship Id="rId1393" Type="http://schemas.openxmlformats.org/officeDocument/2006/relationships/hyperlink" Target="https://drive.google.com/file/d/1JZdybc90Q7eGpP_Mc7E1LX2-th3aGKSW/view?usp=drivesdk" TargetMode="External"/><Relationship Id="rId1394" Type="http://schemas.openxmlformats.org/officeDocument/2006/relationships/hyperlink" Target="https://drive.google.com/file/d/1jtVZv1IA3xs7rfJ1gJSADkOpH1Na53Sg/view?usp=drivesdk" TargetMode="External"/><Relationship Id="rId1395" Type="http://schemas.openxmlformats.org/officeDocument/2006/relationships/hyperlink" Target="https://drive.google.com/file/d/19g6pZT9kaxiPgPiLGlrOivbLQ9y5uZY9/view?usp=drivesdk" TargetMode="External"/><Relationship Id="rId1396" Type="http://schemas.openxmlformats.org/officeDocument/2006/relationships/hyperlink" Target="https://drive.google.com/file/d/1xMbKbQfdPqU0iS2wFaLptwiJCUUVT4xB/view?usp=drivesdk" TargetMode="External"/><Relationship Id="rId1397" Type="http://schemas.openxmlformats.org/officeDocument/2006/relationships/hyperlink" Target="https://drive.google.com/file/d/12weF0EhaOitLk2jX9Wqhq2KT8gkO8Ino/view?usp=drivesdk" TargetMode="External"/><Relationship Id="rId1398" Type="http://schemas.openxmlformats.org/officeDocument/2006/relationships/hyperlink" Target="https://drive.google.com/file/d/1AzlV-ZL-HIiPhvSDQhHgQ1szgl83AKcE/view?usp=drivesdk" TargetMode="External"/><Relationship Id="rId1399" Type="http://schemas.openxmlformats.org/officeDocument/2006/relationships/hyperlink" Target="https://drive.google.com/file/d/1Fgr9JqHP_7TUbdWUGqER3XZBhzoV3lME/view?usp=drivesdk" TargetMode="External"/><Relationship Id="rId1389" Type="http://schemas.openxmlformats.org/officeDocument/2006/relationships/hyperlink" Target="https://drive.google.com/file/d/1ukcMhpTVncdvnh_xTzyAm8kLCEeBcdPq/view?usp=drivesdk" TargetMode="External"/><Relationship Id="rId799" Type="http://schemas.openxmlformats.org/officeDocument/2006/relationships/hyperlink" Target="https://drive.google.com/file/d/19nCVIQ6VnGPLHlanb3AKs-nW87NY5F3-/view?usp=drivesdk" TargetMode="External"/><Relationship Id="rId798" Type="http://schemas.openxmlformats.org/officeDocument/2006/relationships/hyperlink" Target="https://drive.google.com/file/d/1s0WlRsrZ01TxBU3MnX3vrQ0wV9s2gaGo/view?usp=drivesdk" TargetMode="External"/><Relationship Id="rId797" Type="http://schemas.openxmlformats.org/officeDocument/2006/relationships/hyperlink" Target="https://drive.google.com/file/d/1zS_Iy8h521FYFiLZIvUKu37nU4BTMQ5h/view?usp=drivesdk" TargetMode="External"/><Relationship Id="rId1380" Type="http://schemas.openxmlformats.org/officeDocument/2006/relationships/hyperlink" Target="https://drive.google.com/file/d/13cernki-w4HxOqbSrQnezFigASKGjmjf/view?usp=drivesdk" TargetMode="External"/><Relationship Id="rId792" Type="http://schemas.openxmlformats.org/officeDocument/2006/relationships/hyperlink" Target="https://drive.google.com/file/d/1jPfVZ0dMwxbbwFVj65Khoc7JUkP-pmhI/view?usp=drivesdk" TargetMode="External"/><Relationship Id="rId1381" Type="http://schemas.openxmlformats.org/officeDocument/2006/relationships/hyperlink" Target="https://drive.google.com/file/d/1OUQAxojwX1c54i8Xf-JG5e-R-UwagkwQ/view?usp=drivesdk" TargetMode="External"/><Relationship Id="rId791" Type="http://schemas.openxmlformats.org/officeDocument/2006/relationships/hyperlink" Target="https://drive.google.com/file/d/1e_cR2GlFgY2aeZapqCHrM2KPmJZfyRw7/view?usp=drivesdk" TargetMode="External"/><Relationship Id="rId1382" Type="http://schemas.openxmlformats.org/officeDocument/2006/relationships/hyperlink" Target="https://drive.google.com/file/d/1uryryHboJTj07Vv5ZtkqCjbX7CKzuq8s/view?usp=drivesdk" TargetMode="External"/><Relationship Id="rId790" Type="http://schemas.openxmlformats.org/officeDocument/2006/relationships/hyperlink" Target="https://drive.google.com/file/d/1EL43ztfF_feMGsgKOFTG1SJrxpDl4-af/view?usp=drivesdk" TargetMode="External"/><Relationship Id="rId1383" Type="http://schemas.openxmlformats.org/officeDocument/2006/relationships/hyperlink" Target="https://drive.google.com/file/d/1yNtIFE6LZsvr0HS6BJvescbVrw2Cqi6l/view?usp=drivesdk" TargetMode="External"/><Relationship Id="rId1384" Type="http://schemas.openxmlformats.org/officeDocument/2006/relationships/hyperlink" Target="https://drive.google.com/file/d/1CMk60qvEA6Ld_Nc7whNmqy7G48xeDJsh/view?usp=drivesdk" TargetMode="External"/><Relationship Id="rId796" Type="http://schemas.openxmlformats.org/officeDocument/2006/relationships/hyperlink" Target="https://drive.google.com/file/d/1z_volmrfjJgRJnliCY1m7ue3JMQRWwlm/view?usp=drivesdk" TargetMode="External"/><Relationship Id="rId1385" Type="http://schemas.openxmlformats.org/officeDocument/2006/relationships/hyperlink" Target="https://drive.google.com/file/d/1F3qjPt2BJqhonx8CV54hT5CGCc6OKwjP/view?usp=drivesdk" TargetMode="External"/><Relationship Id="rId795" Type="http://schemas.openxmlformats.org/officeDocument/2006/relationships/hyperlink" Target="https://drive.google.com/file/d/16m76DC9Npc0jCnGwsQ8nKrupD4QgliOl/view?usp=drivesdk" TargetMode="External"/><Relationship Id="rId1386" Type="http://schemas.openxmlformats.org/officeDocument/2006/relationships/hyperlink" Target="https://drive.google.com/file/d/1T7RX4ua13jzIUjcNdvPnw9g1mk0x1-0w/view?usp=drivesdk" TargetMode="External"/><Relationship Id="rId794" Type="http://schemas.openxmlformats.org/officeDocument/2006/relationships/hyperlink" Target="https://drive.google.com/file/d/10DDGp2B8Yn0wieAlLCpE3O3FmPIwTkH0/view?usp=drivesdk" TargetMode="External"/><Relationship Id="rId1387" Type="http://schemas.openxmlformats.org/officeDocument/2006/relationships/hyperlink" Target="https://drive.google.com/file/d/16dqLrRlTUnMDOhUpWnK1bJtZoMd-smSS/view?usp=drivesdk" TargetMode="External"/><Relationship Id="rId793" Type="http://schemas.openxmlformats.org/officeDocument/2006/relationships/hyperlink" Target="https://drive.google.com/file/d/1U9dS52LdC9ZgN6m7GNmer6EnAXMNkLSU/view?usp=drivesdk" TargetMode="External"/><Relationship Id="rId1388" Type="http://schemas.openxmlformats.org/officeDocument/2006/relationships/hyperlink" Target="https://drive.google.com/file/d/1NYMFiONwB8KS4xkqHLur5HoiQ_OK2Nnx/view?usp=drivesdk" TargetMode="External"/><Relationship Id="rId3191" Type="http://schemas.openxmlformats.org/officeDocument/2006/relationships/hyperlink" Target="https://drive.google.com/file/d/1D8E42YuXrxlGwF61UWB4V8lYywAWr8dY/view?usp=drivesdk" TargetMode="External"/><Relationship Id="rId3190" Type="http://schemas.openxmlformats.org/officeDocument/2006/relationships/hyperlink" Target="https://drive.google.com/file/d/1amMXrWCKMyX4hTevBnA1bXdVDqOZKFxe/view?usp=drivesdk" TargetMode="External"/><Relationship Id="rId3193" Type="http://schemas.openxmlformats.org/officeDocument/2006/relationships/hyperlink" Target="https://drive.google.com/file/d/1WsTuZGTgbwDDjKv_3fgqvOMon49y_wo7/view?usp=drivesdk" TargetMode="External"/><Relationship Id="rId3192" Type="http://schemas.openxmlformats.org/officeDocument/2006/relationships/hyperlink" Target="https://drive.google.com/file/d/1d5i_2GjvV2L2wbB2j58EhA4WqJKFf7M5/view?usp=drivesdk" TargetMode="External"/><Relationship Id="rId3195" Type="http://schemas.openxmlformats.org/officeDocument/2006/relationships/hyperlink" Target="https://drive.google.com/file/d/1lNurRPy7VDlN9Sa8Dza_04lJKflObxsi/view?usp=drivesdk" TargetMode="External"/><Relationship Id="rId3194" Type="http://schemas.openxmlformats.org/officeDocument/2006/relationships/hyperlink" Target="https://drive.google.com/file/d/1mEkTi7StSY-Stsrgu0o_Zv7DZUHAFPDt/view?usp=drivesdk" TargetMode="External"/><Relationship Id="rId3197" Type="http://schemas.openxmlformats.org/officeDocument/2006/relationships/hyperlink" Target="https://drive.google.com/file/d/1NpcEXBblmTwzkVAKGsTiPalZEKryDjOF/view?usp=drivesdk" TargetMode="External"/><Relationship Id="rId3196" Type="http://schemas.openxmlformats.org/officeDocument/2006/relationships/hyperlink" Target="https://drive.google.com/file/d/1m_v1JAQWlkuqNotYqQVJ-P2XePYibDPD/view?usp=drivesdk" TargetMode="External"/><Relationship Id="rId3199" Type="http://schemas.openxmlformats.org/officeDocument/2006/relationships/hyperlink" Target="https://drive.google.com/file/d/1Wzsg5t70C5nm9ICa1m7pvYuf0xZ022FB/view?usp=drivesdk" TargetMode="External"/><Relationship Id="rId3198" Type="http://schemas.openxmlformats.org/officeDocument/2006/relationships/hyperlink" Target="https://drive.google.com/file/d/1Ey8YE267IkJvJPhLMe73j6CWvGwENA3f/view?usp=drivesdk" TargetMode="External"/><Relationship Id="rId3180" Type="http://schemas.openxmlformats.org/officeDocument/2006/relationships/hyperlink" Target="https://drive.google.com/file/d/1iTGkXjtQ0EE8-v45xZZ-Yv9zhQVAt2Pn/view?usp=drivesdk" TargetMode="External"/><Relationship Id="rId3182" Type="http://schemas.openxmlformats.org/officeDocument/2006/relationships/hyperlink" Target="https://drive.google.com/file/d/1VkkAzt4eeAeZtV2ewwPlwMagejOBaOcs/view?usp=drivesdk" TargetMode="External"/><Relationship Id="rId3181" Type="http://schemas.openxmlformats.org/officeDocument/2006/relationships/hyperlink" Target="https://drive.google.com/file/d/11evBHOPkYEq9tia_AUJzn9cHtIQOUcWa/view?usp=drivesdk" TargetMode="External"/><Relationship Id="rId3184" Type="http://schemas.openxmlformats.org/officeDocument/2006/relationships/hyperlink" Target="https://drive.google.com/file/d/1fP-Dr1DLCnPl-2Ya6EGtFK2aCF6SWr93/view?usp=drivesdk" TargetMode="External"/><Relationship Id="rId3183" Type="http://schemas.openxmlformats.org/officeDocument/2006/relationships/hyperlink" Target="https://drive.google.com/file/d/1cOFI1sWmcyfR3tFVOvV90FUY4g-TwC4Z/view?usp=drivesdk" TargetMode="External"/><Relationship Id="rId3186" Type="http://schemas.openxmlformats.org/officeDocument/2006/relationships/hyperlink" Target="https://drive.google.com/file/d/1qNTfBnw7SpCi3blakzyKQFcGYOfOx3la/view?usp=drivesdk" TargetMode="External"/><Relationship Id="rId3185" Type="http://schemas.openxmlformats.org/officeDocument/2006/relationships/hyperlink" Target="https://drive.google.com/file/d/1Lf2mJhcl4k2IlhscpNWAcWIYn_DN1RLo/view?usp=drivesdk" TargetMode="External"/><Relationship Id="rId3188" Type="http://schemas.openxmlformats.org/officeDocument/2006/relationships/hyperlink" Target="https://drive.google.com/file/d/1GA6K1X3KAFArsjYWATJH54boYgR6VA-P/view?usp=drivesdk" TargetMode="External"/><Relationship Id="rId3187" Type="http://schemas.openxmlformats.org/officeDocument/2006/relationships/hyperlink" Target="https://drive.google.com/file/d/17v8g1wcUyLHNKL7MUfmkzczqLvXbAEct/view?usp=drivesdk" TargetMode="External"/><Relationship Id="rId3189" Type="http://schemas.openxmlformats.org/officeDocument/2006/relationships/hyperlink" Target="https://drive.google.com/file/d/1lYrGMauz-wnZsd5nVrZcVjopHb7ZXL_b/view?usp=drivesdk" TargetMode="External"/><Relationship Id="rId3151" Type="http://schemas.openxmlformats.org/officeDocument/2006/relationships/hyperlink" Target="https://drive.google.com/file/d/1xLqo3pcQbvof4dFTirs6WvJ7tevRvXKz/view?usp=drivesdk" TargetMode="External"/><Relationship Id="rId3150" Type="http://schemas.openxmlformats.org/officeDocument/2006/relationships/hyperlink" Target="https://drive.google.com/file/d/1DqdONyqsLP1eg0rgW71wKdPbcflRStOn/view?usp=drivesdk" TargetMode="External"/><Relationship Id="rId3153" Type="http://schemas.openxmlformats.org/officeDocument/2006/relationships/hyperlink" Target="https://drive.google.com/file/d/1EbrmM7VFUrWNPY8NxA_ziNU_qOGIUYVa/view?usp=drivesdk" TargetMode="External"/><Relationship Id="rId3152" Type="http://schemas.openxmlformats.org/officeDocument/2006/relationships/hyperlink" Target="https://drive.google.com/file/d/19iYi-koeR6fi39K_iI9D0SdOP6whI2f7/view?usp=drivesdk" TargetMode="External"/><Relationship Id="rId3155" Type="http://schemas.openxmlformats.org/officeDocument/2006/relationships/hyperlink" Target="https://drive.google.com/file/d/1NiPCpcI4sxnM3OTJQdqenG265Dkr8hRb/view?usp=drivesdk" TargetMode="External"/><Relationship Id="rId3154" Type="http://schemas.openxmlformats.org/officeDocument/2006/relationships/hyperlink" Target="https://drive.google.com/file/d/1ycY8rorKC9FDqVeTFdgVQQrTEuktcPox/view?usp=drivesdk" TargetMode="External"/><Relationship Id="rId3157" Type="http://schemas.openxmlformats.org/officeDocument/2006/relationships/hyperlink" Target="https://drive.google.com/file/d/12RwvQLmV6wPAqPP_X6JgA8Qo27g_8SJK/view?usp=drivesdk" TargetMode="External"/><Relationship Id="rId3156" Type="http://schemas.openxmlformats.org/officeDocument/2006/relationships/hyperlink" Target="https://drive.google.com/file/d/128D_xuWagaOC3zKfGWUi8CFf7zReyViC/view?usp=drivesdk" TargetMode="External"/><Relationship Id="rId3159" Type="http://schemas.openxmlformats.org/officeDocument/2006/relationships/hyperlink" Target="https://drive.google.com/file/d/1dnoOFsITQ-OlW3SSnEP3gasruwHVCneM/view?usp=drivesdk" TargetMode="External"/><Relationship Id="rId3158" Type="http://schemas.openxmlformats.org/officeDocument/2006/relationships/hyperlink" Target="https://drive.google.com/file/d/1P8Hm5KaZpuFw07NdNh7BSk7XVf85qUvU/view?usp=drivesdk" TargetMode="External"/><Relationship Id="rId3149" Type="http://schemas.openxmlformats.org/officeDocument/2006/relationships/hyperlink" Target="https://drive.google.com/file/d/15-xZoziBIfRM1RNSkhWBwkJIkhndLjdq/view?usp=drivesdk" TargetMode="External"/><Relationship Id="rId3140" Type="http://schemas.openxmlformats.org/officeDocument/2006/relationships/hyperlink" Target="https://drive.google.com/file/d/1Sg7pV5-MRMEfG7acPaIDjV0AQ3yqElU4/view?usp=drivesdk" TargetMode="External"/><Relationship Id="rId3142" Type="http://schemas.openxmlformats.org/officeDocument/2006/relationships/hyperlink" Target="https://drive.google.com/file/d/1_IO4PdoMe7l8Q03W9hLBkKiHGidC5w-t/view?usp=drivesdk" TargetMode="External"/><Relationship Id="rId3141" Type="http://schemas.openxmlformats.org/officeDocument/2006/relationships/hyperlink" Target="https://drive.google.com/file/d/1bVACFlgExLyf1CCoBeLzElMk1QbAZYSW/view?usp=drivesdk" TargetMode="External"/><Relationship Id="rId3144" Type="http://schemas.openxmlformats.org/officeDocument/2006/relationships/hyperlink" Target="https://drive.google.com/file/d/1hz1780nNZDOTtNpiczqkkXabV668BcRE/view?usp=drivesdk" TargetMode="External"/><Relationship Id="rId3143" Type="http://schemas.openxmlformats.org/officeDocument/2006/relationships/hyperlink" Target="https://drive.google.com/file/d/1hVohJjrePDnbP3YuG-OoIFpV1SI20xvZ/view?usp=drivesdk" TargetMode="External"/><Relationship Id="rId3146" Type="http://schemas.openxmlformats.org/officeDocument/2006/relationships/hyperlink" Target="https://drive.google.com/file/d/1HpcHlK2DyzZieaRbX6Fr0ov7Mf_R671v/view?usp=drivesdk" TargetMode="External"/><Relationship Id="rId3145" Type="http://schemas.openxmlformats.org/officeDocument/2006/relationships/hyperlink" Target="https://drive.google.com/file/d/13LERMC05_TVKu6xv7g91wRtXxu0ET1Tj/view?usp=drivesdk" TargetMode="External"/><Relationship Id="rId3148" Type="http://schemas.openxmlformats.org/officeDocument/2006/relationships/hyperlink" Target="https://drive.google.com/file/d/120bw0itAYyHMiW9T7e3mTuddlQMPW3x8/view?usp=drivesdk" TargetMode="External"/><Relationship Id="rId3147" Type="http://schemas.openxmlformats.org/officeDocument/2006/relationships/hyperlink" Target="https://drive.google.com/file/d/1EyYPChGeuUzTKHlHU2xIK7B3AxTGwtfO/view?usp=drivesdk" TargetMode="External"/><Relationship Id="rId3171" Type="http://schemas.openxmlformats.org/officeDocument/2006/relationships/hyperlink" Target="https://drive.google.com/file/d/1gGhVdcAfMLypZb8lB75H44xX4er1HFm3/view?usp=drivesdk" TargetMode="External"/><Relationship Id="rId3170" Type="http://schemas.openxmlformats.org/officeDocument/2006/relationships/hyperlink" Target="https://drive.google.com/file/d/1ILNp7MaC4OusbPANu-7wOS3KK98RWdcz/view?usp=drivesdk" TargetMode="External"/><Relationship Id="rId3173" Type="http://schemas.openxmlformats.org/officeDocument/2006/relationships/hyperlink" Target="https://drive.google.com/file/d/16eIzUB6LjNl3GMULG3vB5p7EO1iC0SJ3/view?usp=drivesdk" TargetMode="External"/><Relationship Id="rId3172" Type="http://schemas.openxmlformats.org/officeDocument/2006/relationships/hyperlink" Target="https://drive.google.com/file/d/16CJXCd6Rzqik5rD_iyUPgxYh8MalzPm4/view?usp=drivesdk" TargetMode="External"/><Relationship Id="rId3175" Type="http://schemas.openxmlformats.org/officeDocument/2006/relationships/hyperlink" Target="https://drive.google.com/file/d/12OzFlZKms2M0ZvYy4yTBRvGof4FqM1Ud/view?usp=drivesdk" TargetMode="External"/><Relationship Id="rId3174" Type="http://schemas.openxmlformats.org/officeDocument/2006/relationships/hyperlink" Target="https://drive.google.com/file/d/15z0y7asIfplDps5d3R71GhEJxQWqBU9w/view?usp=drivesdk" TargetMode="External"/><Relationship Id="rId3177" Type="http://schemas.openxmlformats.org/officeDocument/2006/relationships/hyperlink" Target="https://drive.google.com/file/d/1G9_olsUh3tpfcqhh1KX72VpE0keeAnj7/view?usp=drivesdk" TargetMode="External"/><Relationship Id="rId3176" Type="http://schemas.openxmlformats.org/officeDocument/2006/relationships/hyperlink" Target="https://drive.google.com/file/d/1NhDFPwAmpyjx9HSRtLTUixh6ZZLCECKn/view?usp=drivesdk" TargetMode="External"/><Relationship Id="rId3179" Type="http://schemas.openxmlformats.org/officeDocument/2006/relationships/hyperlink" Target="https://drive.google.com/file/d/1YjgU1oCfPf7_yAtASpZhwJS4TVj_g8CU/view?usp=drivesdk" TargetMode="External"/><Relationship Id="rId3178" Type="http://schemas.openxmlformats.org/officeDocument/2006/relationships/hyperlink" Target="https://drive.google.com/file/d/12tOopuzKbG82LEOynQuHYZ8im59EjTth/view?usp=drivesdk" TargetMode="External"/><Relationship Id="rId3160" Type="http://schemas.openxmlformats.org/officeDocument/2006/relationships/hyperlink" Target="https://drive.google.com/file/d/1jZMmibrF0qP1C-7eRJEcXJL4O_ztSG2B/view?usp=drivesdk" TargetMode="External"/><Relationship Id="rId3162" Type="http://schemas.openxmlformats.org/officeDocument/2006/relationships/hyperlink" Target="https://drive.google.com/file/d/1lWEjtXsosG3uPn1h67AzaUXydMvmlJWW/view?usp=drivesdk" TargetMode="External"/><Relationship Id="rId3161" Type="http://schemas.openxmlformats.org/officeDocument/2006/relationships/hyperlink" Target="https://drive.google.com/file/d/1jBszlwOALWIwLYvif4D3xVGXucPXKUwU/view?usp=drivesdk" TargetMode="External"/><Relationship Id="rId3164" Type="http://schemas.openxmlformats.org/officeDocument/2006/relationships/hyperlink" Target="https://drive.google.com/file/d/15LyeMLPtv2yK2REXBqDLC63QQhUXXDVm/view?usp=drivesdk" TargetMode="External"/><Relationship Id="rId3163" Type="http://schemas.openxmlformats.org/officeDocument/2006/relationships/hyperlink" Target="https://drive.google.com/file/d/1y0oKhgHFMs_nXH4ufYi5ZaxDoesUnD71/view?usp=drivesdk" TargetMode="External"/><Relationship Id="rId3166" Type="http://schemas.openxmlformats.org/officeDocument/2006/relationships/hyperlink" Target="https://drive.google.com/file/d/1btjIxPMyuU5I6jNMm9c2DuyFxN8Pze7t/view?usp=drivesdk" TargetMode="External"/><Relationship Id="rId3165" Type="http://schemas.openxmlformats.org/officeDocument/2006/relationships/hyperlink" Target="https://drive.google.com/file/d/10N0LzNT1GTgGgvA6UUZUXzIdwFBBm26w/view?usp=drivesdk" TargetMode="External"/><Relationship Id="rId3168" Type="http://schemas.openxmlformats.org/officeDocument/2006/relationships/hyperlink" Target="https://drive.google.com/file/d/14Sp-rGYXqQVyuRmTeLQtmwZJYE3030vb/view?usp=drivesdk" TargetMode="External"/><Relationship Id="rId3167" Type="http://schemas.openxmlformats.org/officeDocument/2006/relationships/hyperlink" Target="https://drive.google.com/file/d/1xWBya8BVfE1sTB6yhxybNTqOYxEnPWZU/view?usp=drivesdk" TargetMode="External"/><Relationship Id="rId3169" Type="http://schemas.openxmlformats.org/officeDocument/2006/relationships/hyperlink" Target="https://drive.google.com/file/d/13XRIYgF2yNC1qLHSQBITGa6oU0w9njVk/view?usp=drivesdk" TargetMode="External"/><Relationship Id="rId2700" Type="http://schemas.openxmlformats.org/officeDocument/2006/relationships/hyperlink" Target="https://drive.google.com/file/d/1MlLDH_QC-oyJlNsYjSNEwCrfC2Y9mK6Y/view?usp=drivesdk" TargetMode="External"/><Relationship Id="rId2701" Type="http://schemas.openxmlformats.org/officeDocument/2006/relationships/hyperlink" Target="https://drive.google.com/file/d/1AJ_9VVIBkWOhrIbyTF4e9U5GJriLhVYy/view?usp=drivesdk" TargetMode="External"/><Relationship Id="rId2702" Type="http://schemas.openxmlformats.org/officeDocument/2006/relationships/hyperlink" Target="https://drive.google.com/file/d/1gbKPV2rhuEZ5YY7sLWcOmdMsnKF1lOwO/view?usp=drivesdk" TargetMode="External"/><Relationship Id="rId2703" Type="http://schemas.openxmlformats.org/officeDocument/2006/relationships/hyperlink" Target="https://drive.google.com/file/d/1XAdHa8ntbQreOrtrubV-Qgfz8m_7szBt/view?usp=drivesdk" TargetMode="External"/><Relationship Id="rId2704" Type="http://schemas.openxmlformats.org/officeDocument/2006/relationships/hyperlink" Target="https://drive.google.com/file/d/1_KweoGhNrt_00Umu1vsjHfibTm4z9cNE/view?usp=drivesdk" TargetMode="External"/><Relationship Id="rId2705" Type="http://schemas.openxmlformats.org/officeDocument/2006/relationships/hyperlink" Target="https://drive.google.com/file/d/1QlUnrKvG2byRPDlFFsCbdysV_7ZkCkzf/view?usp=drivesdk" TargetMode="External"/><Relationship Id="rId2706" Type="http://schemas.openxmlformats.org/officeDocument/2006/relationships/hyperlink" Target="https://drive.google.com/file/d/1ExZ7juOSUgumoSt5vCuDEvgISB_mT9vX/view?usp=drivesdk" TargetMode="External"/><Relationship Id="rId2707" Type="http://schemas.openxmlformats.org/officeDocument/2006/relationships/hyperlink" Target="https://drive.google.com/file/d/1jS6-wcsNs2BINT3z4pARWRtZLYGXCQno/view?usp=drivesdk" TargetMode="External"/><Relationship Id="rId2708" Type="http://schemas.openxmlformats.org/officeDocument/2006/relationships/hyperlink" Target="https://drive.google.com/file/d/1lOqUFhZvkowPd-Ne3aczCZ30vQ08jqm-/view?usp=drivesdk" TargetMode="External"/><Relationship Id="rId2709" Type="http://schemas.openxmlformats.org/officeDocument/2006/relationships/hyperlink" Target="https://drive.google.com/file/d/12yIYc8a3z4MzJ_-PiAeu39d1ppwYynMI/view?usp=drivesdk" TargetMode="External"/><Relationship Id="rId2720" Type="http://schemas.openxmlformats.org/officeDocument/2006/relationships/hyperlink" Target="https://drive.google.com/file/d/1Vg-OUhY15FAok2mtyokmeZIHZaqgAHg5/view?usp=drivesdk" TargetMode="External"/><Relationship Id="rId2721" Type="http://schemas.openxmlformats.org/officeDocument/2006/relationships/hyperlink" Target="https://drive.google.com/file/d/1Ea_lj0SN0yiXoEUsbmTc67SPDOrQH-yU/view?usp=drivesdk" TargetMode="External"/><Relationship Id="rId2722" Type="http://schemas.openxmlformats.org/officeDocument/2006/relationships/hyperlink" Target="https://drive.google.com/file/d/1VlyFF2XH_n9dzHKe2EMaqBWsh-0cgYrJ/view?usp=drivesdk" TargetMode="External"/><Relationship Id="rId2723" Type="http://schemas.openxmlformats.org/officeDocument/2006/relationships/hyperlink" Target="https://drive.google.com/file/d/1nLprzUcZjsicDG7JT3icjAuAK7g2gLY1/view?usp=drivesdk" TargetMode="External"/><Relationship Id="rId2724" Type="http://schemas.openxmlformats.org/officeDocument/2006/relationships/hyperlink" Target="https://drive.google.com/file/d/19X5spXSqhBiEOOUR62_YtANpegjkcJ1f/view?usp=drivesdk" TargetMode="External"/><Relationship Id="rId2725" Type="http://schemas.openxmlformats.org/officeDocument/2006/relationships/hyperlink" Target="https://drive.google.com/file/d/14xOP8LLETNXBDDadvwleV2pKnaxwaGBi/view?usp=drivesdk" TargetMode="External"/><Relationship Id="rId2726" Type="http://schemas.openxmlformats.org/officeDocument/2006/relationships/hyperlink" Target="https://drive.google.com/file/d/1Chyql9h2DEg41XAYeRupg6Etz-OFp0us/view?usp=drivesdk" TargetMode="External"/><Relationship Id="rId2727" Type="http://schemas.openxmlformats.org/officeDocument/2006/relationships/hyperlink" Target="https://drive.google.com/file/d/1AKsdj68dbJXeSGboPcfZ2uD3ua_fvFPP/view?usp=drivesdk" TargetMode="External"/><Relationship Id="rId2728" Type="http://schemas.openxmlformats.org/officeDocument/2006/relationships/hyperlink" Target="https://drive.google.com/file/d/1E31uybgDVJiRN0FEcJfVIX_of85BuGEz/view?usp=drivesdk" TargetMode="External"/><Relationship Id="rId2729" Type="http://schemas.openxmlformats.org/officeDocument/2006/relationships/hyperlink" Target="https://drive.google.com/file/d/1evQDXWr9N4KV0RMwcCRfMKAkbspCGUUG/view?usp=drivesdk" TargetMode="External"/><Relationship Id="rId2710" Type="http://schemas.openxmlformats.org/officeDocument/2006/relationships/hyperlink" Target="https://drive.google.com/file/d/1gQEP5IJLffmqgeBD8cJqZD1njhiICXaO/view?usp=drivesdk" TargetMode="External"/><Relationship Id="rId2711" Type="http://schemas.openxmlformats.org/officeDocument/2006/relationships/hyperlink" Target="https://drive.google.com/file/d/1aw1deRdv2_brwSW2ZZ7DG8T0vbU0PYNX/view?usp=drivesdk" TargetMode="External"/><Relationship Id="rId2712" Type="http://schemas.openxmlformats.org/officeDocument/2006/relationships/hyperlink" Target="https://drive.google.com/file/d/1kwCznuTuMe4F8uergcBMCOeb45jEuXTr/view?usp=drivesdk" TargetMode="External"/><Relationship Id="rId2713" Type="http://schemas.openxmlformats.org/officeDocument/2006/relationships/hyperlink" Target="https://drive.google.com/file/d/1LtoTK2zHVIYGFfb_cXHLXLWkOHpGikA0/view?usp=drivesdk" TargetMode="External"/><Relationship Id="rId2714" Type="http://schemas.openxmlformats.org/officeDocument/2006/relationships/hyperlink" Target="https://drive.google.com/file/d/1u3UeZsgg-pu1ZHEEX1uaXHGyGnnbQIHr/view?usp=drivesdk" TargetMode="External"/><Relationship Id="rId2715" Type="http://schemas.openxmlformats.org/officeDocument/2006/relationships/hyperlink" Target="https://drive.google.com/file/d/164yvRbDzBp4QTOt60ne0zLFnKfzz6qWW/view?usp=drivesdk" TargetMode="External"/><Relationship Id="rId2716" Type="http://schemas.openxmlformats.org/officeDocument/2006/relationships/hyperlink" Target="https://drive.google.com/file/d/18geCDJ5bRB3bpM43MHvE6GJwLIjojiV3/view?usp=drivesdk" TargetMode="External"/><Relationship Id="rId2717" Type="http://schemas.openxmlformats.org/officeDocument/2006/relationships/hyperlink" Target="https://drive.google.com/file/d/19EgT43RHjwkUo0_VH9RxY_gZl2qByBLZ/view?usp=drivesdk" TargetMode="External"/><Relationship Id="rId2718" Type="http://schemas.openxmlformats.org/officeDocument/2006/relationships/hyperlink" Target="https://drive.google.com/file/d/1iB1iRJQEIss4hSoqw92nY3NXxa2obChZ/view?usp=drivesdk" TargetMode="External"/><Relationship Id="rId2719" Type="http://schemas.openxmlformats.org/officeDocument/2006/relationships/hyperlink" Target="https://drive.google.com/file/d/1SP5jHd3WRyyvYJcl4eFapcMBBizKeGUl/view?usp=drivesdk" TargetMode="External"/><Relationship Id="rId1455" Type="http://schemas.openxmlformats.org/officeDocument/2006/relationships/hyperlink" Target="https://drive.google.com/file/d/1Cvp7ioBETJteuOeY7B9lMkDoA8rj9suJ/view?usp=drivesdk" TargetMode="External"/><Relationship Id="rId2786" Type="http://schemas.openxmlformats.org/officeDocument/2006/relationships/hyperlink" Target="https://drive.google.com/file/d/1uvNnSbKbMCM86OxWRFAhGKTZTJ6XCJE-/view?usp=drivesdk" TargetMode="External"/><Relationship Id="rId1456" Type="http://schemas.openxmlformats.org/officeDocument/2006/relationships/hyperlink" Target="https://drive.google.com/file/d/1rNf-Y1TmjvC1M6QAQKYo0RIiESN71ZT1/view?usp=drivesdk" TargetMode="External"/><Relationship Id="rId2787" Type="http://schemas.openxmlformats.org/officeDocument/2006/relationships/hyperlink" Target="https://drive.google.com/file/d/1Rd9xGPWDV88bQCLvGyH8PPp-DhHO-_DW/view?usp=drivesdk" TargetMode="External"/><Relationship Id="rId1457" Type="http://schemas.openxmlformats.org/officeDocument/2006/relationships/hyperlink" Target="https://drive.google.com/file/d/1bTh3Gg3u9nZZv3JaUOuI6n6wpv6cdUn4/view?usp=drivesdk" TargetMode="External"/><Relationship Id="rId2788" Type="http://schemas.openxmlformats.org/officeDocument/2006/relationships/hyperlink" Target="https://drive.google.com/file/d/1v82xrF9c9ehLJpxzdx2U84oHz4YW6M1g/view?usp=drivesdk" TargetMode="External"/><Relationship Id="rId1458" Type="http://schemas.openxmlformats.org/officeDocument/2006/relationships/hyperlink" Target="https://drive.google.com/file/d/1mcR3bDSjhT8S9pNuhAv3nsNzNUHQHcrK/view?usp=drivesdk" TargetMode="External"/><Relationship Id="rId2789" Type="http://schemas.openxmlformats.org/officeDocument/2006/relationships/hyperlink" Target="https://drive.google.com/file/d/1qE6c5eqWeEKM9st3yOraYsnw5N9yJH7l/view?usp=drivesdk" TargetMode="External"/><Relationship Id="rId1459" Type="http://schemas.openxmlformats.org/officeDocument/2006/relationships/hyperlink" Target="https://drive.google.com/file/d/1QP9zRqd-iZRXOX1VCHtMb7McvyxRnSgl/view?usp=drivesdk" TargetMode="External"/><Relationship Id="rId629" Type="http://schemas.openxmlformats.org/officeDocument/2006/relationships/hyperlink" Target="https://drive.google.com/file/d/1-AYmO0YcwlXM4iwg187p4Ut7JCPIAcHu/view?usp=drivesdk" TargetMode="External"/><Relationship Id="rId624" Type="http://schemas.openxmlformats.org/officeDocument/2006/relationships/hyperlink" Target="https://drive.google.com/file/d/1EYj-AJ9FNNmlYCeK1jXlxcdlU8yoEf8U/view?usp=drivesdk" TargetMode="External"/><Relationship Id="rId623" Type="http://schemas.openxmlformats.org/officeDocument/2006/relationships/hyperlink" Target="https://drive.google.com/file/d/19N8pwZMy0LVwDbLIUF-zXafkfJMueuzz/view?usp=drivesdk" TargetMode="External"/><Relationship Id="rId622" Type="http://schemas.openxmlformats.org/officeDocument/2006/relationships/hyperlink" Target="https://drive.google.com/file/d/15E2a1NUuWmWK9ru9qEUqy-mh-BWvSM-V/view?usp=drivesdk" TargetMode="External"/><Relationship Id="rId621" Type="http://schemas.openxmlformats.org/officeDocument/2006/relationships/hyperlink" Target="https://drive.google.com/file/d/1_QxdHmD6p0LMdFFkPDlXNxwaCVmyY8Ws/view?usp=drivesdk" TargetMode="External"/><Relationship Id="rId628" Type="http://schemas.openxmlformats.org/officeDocument/2006/relationships/hyperlink" Target="https://drive.google.com/file/d/17U9RMLqGCEBrogjDtefhjwPoPQI0EHQS/view?usp=drivesdk" TargetMode="External"/><Relationship Id="rId627" Type="http://schemas.openxmlformats.org/officeDocument/2006/relationships/hyperlink" Target="https://drive.google.com/file/d/1eC3ImDX6vCsruBUdhf-InV8MxKa86ca9/view?usp=drivesdk" TargetMode="External"/><Relationship Id="rId626" Type="http://schemas.openxmlformats.org/officeDocument/2006/relationships/hyperlink" Target="https://drive.google.com/file/d/1TYOhaEz5YA4ymkP4vRgmQmI2Gpkyh7kI/view?usp=drivesdk" TargetMode="External"/><Relationship Id="rId625" Type="http://schemas.openxmlformats.org/officeDocument/2006/relationships/hyperlink" Target="https://drive.google.com/file/d/1H5kmXn2jT9V_CTV9u2e0PVKO4jeKLaHx/view?usp=drivesdk" TargetMode="External"/><Relationship Id="rId2780" Type="http://schemas.openxmlformats.org/officeDocument/2006/relationships/hyperlink" Target="https://drive.google.com/file/d/1hs6XpHWMiyMPANJzK7B4OuBvEZ7slY88/view?usp=drivesdk" TargetMode="External"/><Relationship Id="rId1450" Type="http://schemas.openxmlformats.org/officeDocument/2006/relationships/hyperlink" Target="https://drive.google.com/file/d/1jsNmpUGc3SFKNCTcPasDCerwyIwsLECm/view?usp=drivesdk" TargetMode="External"/><Relationship Id="rId2781" Type="http://schemas.openxmlformats.org/officeDocument/2006/relationships/hyperlink" Target="https://drive.google.com/file/d/1F9_n_UhEAcWuePr4oCoaRdVdWXw-1HnA/view?usp=drivesdk" TargetMode="External"/><Relationship Id="rId620" Type="http://schemas.openxmlformats.org/officeDocument/2006/relationships/hyperlink" Target="https://drive.google.com/file/d/1Oyx0pc8ZVlTprGgUt7_fOBA87xjOPHOd/view?usp=drivesdk" TargetMode="External"/><Relationship Id="rId1451" Type="http://schemas.openxmlformats.org/officeDocument/2006/relationships/hyperlink" Target="https://drive.google.com/file/d/1f01MLy6zbw6-VJPmNKRVLrtvILHtu0My/view?usp=drivesdk" TargetMode="External"/><Relationship Id="rId2782" Type="http://schemas.openxmlformats.org/officeDocument/2006/relationships/hyperlink" Target="https://drive.google.com/file/d/1gRgJHSBe6N9GFTwpidg5erf-GYFKEsJL/view?usp=drivesdk" TargetMode="External"/><Relationship Id="rId1452" Type="http://schemas.openxmlformats.org/officeDocument/2006/relationships/hyperlink" Target="https://drive.google.com/file/d/1COGouC-xqEw_GUeUnwirdjR0F1KHHUjx/view?usp=drivesdk" TargetMode="External"/><Relationship Id="rId2783" Type="http://schemas.openxmlformats.org/officeDocument/2006/relationships/hyperlink" Target="https://drive.google.com/file/d/1pZNlp1XdYUtsNz_D8YxxUj7KaLbFmfHk/view?usp=drivesdk" TargetMode="External"/><Relationship Id="rId1453" Type="http://schemas.openxmlformats.org/officeDocument/2006/relationships/hyperlink" Target="https://drive.google.com/file/d/1jjOa79SSxJXVxFQ6Ptpl2jGWWNFrmVW1/view?usp=drivesdk" TargetMode="External"/><Relationship Id="rId2784" Type="http://schemas.openxmlformats.org/officeDocument/2006/relationships/hyperlink" Target="https://drive.google.com/file/d/17zk5ntmJwRuglkdI2KDBsmDyHp9ZT9nk/view?usp=drivesdk" TargetMode="External"/><Relationship Id="rId1454" Type="http://schemas.openxmlformats.org/officeDocument/2006/relationships/hyperlink" Target="https://drive.google.com/file/d/1wWVXJt8OgHsvJo5EXNr8Zg0-7n0JZLrI/view?usp=drivesdk" TargetMode="External"/><Relationship Id="rId2785" Type="http://schemas.openxmlformats.org/officeDocument/2006/relationships/hyperlink" Target="https://drive.google.com/file/d/15DQQpECVr9NdJZ7O7RNWRdNwXQ6KQeXe/view?usp=drivesdk" TargetMode="External"/><Relationship Id="rId1444" Type="http://schemas.openxmlformats.org/officeDocument/2006/relationships/hyperlink" Target="https://drive.google.com/file/d/10DvzKx5_AtQgdNCp-OqcVn-oYv8mv5n4/view?usp=drivesdk" TargetMode="External"/><Relationship Id="rId2775" Type="http://schemas.openxmlformats.org/officeDocument/2006/relationships/hyperlink" Target="https://drive.google.com/file/d/1SAkzHUXu2em_LOpzZzUsNAbEmhFQYt6z/view?usp=drivesdk" TargetMode="External"/><Relationship Id="rId1445" Type="http://schemas.openxmlformats.org/officeDocument/2006/relationships/hyperlink" Target="https://drive.google.com/file/d/1NywfARb9tLnl3LTq3K32BFOrLVIlJrvM/view?usp=drivesdk" TargetMode="External"/><Relationship Id="rId2776" Type="http://schemas.openxmlformats.org/officeDocument/2006/relationships/hyperlink" Target="https://drive.google.com/file/d/1-T6lXw_9tDN2t-Z39SM1dhIPR_IhO8fF/view?usp=drivesdk" TargetMode="External"/><Relationship Id="rId1446" Type="http://schemas.openxmlformats.org/officeDocument/2006/relationships/hyperlink" Target="https://drive.google.com/file/d/1gGEwJhSZgMAeSg61dFEDgR4qLjpQpTyL/view?usp=drivesdk" TargetMode="External"/><Relationship Id="rId2777" Type="http://schemas.openxmlformats.org/officeDocument/2006/relationships/hyperlink" Target="https://drive.google.com/file/d/1k1zAeWl01m62ZgoBtOmSJCCoqfFGxddZ/view?usp=drivesdk" TargetMode="External"/><Relationship Id="rId1447" Type="http://schemas.openxmlformats.org/officeDocument/2006/relationships/hyperlink" Target="https://drive.google.com/file/d/1sa-B2GFNTR89a5vrIAS6MvsPmdEGmbM1/view?usp=drivesdk" TargetMode="External"/><Relationship Id="rId2778" Type="http://schemas.openxmlformats.org/officeDocument/2006/relationships/hyperlink" Target="https://drive.google.com/file/d/13HKE_rn4Mbnjq9uqiyo3J7J3BkR53UfI/view?usp=drivesdk" TargetMode="External"/><Relationship Id="rId1448" Type="http://schemas.openxmlformats.org/officeDocument/2006/relationships/hyperlink" Target="https://drive.google.com/file/d/1IErZ2j0jhcuIPlatjs9z8pCjgSl2S3h6/view?usp=drivesdk" TargetMode="External"/><Relationship Id="rId2779" Type="http://schemas.openxmlformats.org/officeDocument/2006/relationships/hyperlink" Target="https://drive.google.com/file/d/1MEpc9c6ksJJFPoeqztJd7l8g_1S5mA-8/view?usp=drivesdk" TargetMode="External"/><Relationship Id="rId1449" Type="http://schemas.openxmlformats.org/officeDocument/2006/relationships/hyperlink" Target="https://drive.google.com/file/d/1G6JZEmMMLRIrURxc_dyXrBDTAScOMjVZ/view?usp=drivesdk" TargetMode="External"/><Relationship Id="rId619" Type="http://schemas.openxmlformats.org/officeDocument/2006/relationships/hyperlink" Target="https://drive.google.com/file/d/1DkbIC4OUAbkUdfr8DLk4gtUOeZoou4Qx/view?usp=drivesdk" TargetMode="External"/><Relationship Id="rId618" Type="http://schemas.openxmlformats.org/officeDocument/2006/relationships/hyperlink" Target="https://drive.google.com/file/d/1wfPA0fmENt-tXV4XaCTB_AwPr9RmUvNH/view?usp=drivesdk" TargetMode="External"/><Relationship Id="rId613" Type="http://schemas.openxmlformats.org/officeDocument/2006/relationships/hyperlink" Target="https://drive.google.com/file/d/1FXttfmbPjL67WUzdvG7g0eM_rqlHCtLg/view?usp=drivesdk" TargetMode="External"/><Relationship Id="rId612" Type="http://schemas.openxmlformats.org/officeDocument/2006/relationships/hyperlink" Target="https://drive.google.com/file/d/1By_gwM-tIIz6Ru3DTPnNc_dIysGLSSGp/view?usp=drivesdk" TargetMode="External"/><Relationship Id="rId611" Type="http://schemas.openxmlformats.org/officeDocument/2006/relationships/hyperlink" Target="https://drive.google.com/file/d/1VLvHZtMfM11_FVSV9-MtpVicGoGnQHpg/view?usp=drivesdk" TargetMode="External"/><Relationship Id="rId610" Type="http://schemas.openxmlformats.org/officeDocument/2006/relationships/hyperlink" Target="https://drive.google.com/file/d/1IYnrX5aD6i8wchcuh0awE3qvnuaVBJbF/view?usp=drivesdk" TargetMode="External"/><Relationship Id="rId617" Type="http://schemas.openxmlformats.org/officeDocument/2006/relationships/hyperlink" Target="https://drive.google.com/file/d/1wgTGpXIh5XlRUTxUzQRZuRuv1CTMeUIB/view?usp=drivesdk" TargetMode="External"/><Relationship Id="rId616" Type="http://schemas.openxmlformats.org/officeDocument/2006/relationships/hyperlink" Target="https://drive.google.com/file/d/1n6_hQ20znAbm4NDSyc3vZJdM4JMIuTMi/view?usp=drivesdk" TargetMode="External"/><Relationship Id="rId615" Type="http://schemas.openxmlformats.org/officeDocument/2006/relationships/hyperlink" Target="https://drive.google.com/file/d/1IljoOGZ-HUpTLTwH3iIX3f8RbbZMpIsD/view?usp=drivesdk" TargetMode="External"/><Relationship Id="rId614" Type="http://schemas.openxmlformats.org/officeDocument/2006/relationships/hyperlink" Target="https://drive.google.com/file/d/1nBZAexBcFDwwKyytvOGDx82XpIytW9lp/view?usp=drivesdk" TargetMode="External"/><Relationship Id="rId2770" Type="http://schemas.openxmlformats.org/officeDocument/2006/relationships/hyperlink" Target="https://drive.google.com/file/d/1rk2IUs1sRK-aqHnQzlQBCIve807-cy1l/view?usp=drivesdk" TargetMode="External"/><Relationship Id="rId1440" Type="http://schemas.openxmlformats.org/officeDocument/2006/relationships/hyperlink" Target="https://drive.google.com/file/d/1Jb35JMuBKlW_Crt2jnY84fYUKJOvW-Xt/view?usp=drivesdk" TargetMode="External"/><Relationship Id="rId2771" Type="http://schemas.openxmlformats.org/officeDocument/2006/relationships/hyperlink" Target="https://drive.google.com/file/d/1JBL7ACa1LCauL8Ee0-semKwkjovJ9Pgw/view?usp=drivesdk" TargetMode="External"/><Relationship Id="rId1441" Type="http://schemas.openxmlformats.org/officeDocument/2006/relationships/hyperlink" Target="https://drive.google.com/file/d/1OaJmWFXauHybaSnK3xBih8ufOu_tMwAw/view?usp=drivesdk" TargetMode="External"/><Relationship Id="rId2772" Type="http://schemas.openxmlformats.org/officeDocument/2006/relationships/hyperlink" Target="https://drive.google.com/file/d/14_Y2sJYhrMVCOOYkvc8B2OnD9Oj96po_/view?usp=drivesdk" TargetMode="External"/><Relationship Id="rId1442" Type="http://schemas.openxmlformats.org/officeDocument/2006/relationships/hyperlink" Target="https://drive.google.com/file/d/1Z7Mw90AXLBMdNZVe8RaBy_TczXxKhAUs/view?usp=drivesdk" TargetMode="External"/><Relationship Id="rId2773" Type="http://schemas.openxmlformats.org/officeDocument/2006/relationships/hyperlink" Target="https://drive.google.com/file/d/18XcHnZBS-SDEbuBnehiRFyGRPzzYWeeF/view?usp=drivesdk" TargetMode="External"/><Relationship Id="rId1443" Type="http://schemas.openxmlformats.org/officeDocument/2006/relationships/hyperlink" Target="https://drive.google.com/file/d/1sy0BYf3Kt-bi9Lq7noXFBWEXaByZqdU-/view?usp=drivesdk" TargetMode="External"/><Relationship Id="rId2774" Type="http://schemas.openxmlformats.org/officeDocument/2006/relationships/hyperlink" Target="https://drive.google.com/file/d/1K1a6m1aYmLn1_vwhiSohmNLDtZ1Y4Ux_/view?usp=drivesdk" TargetMode="External"/><Relationship Id="rId1477" Type="http://schemas.openxmlformats.org/officeDocument/2006/relationships/hyperlink" Target="https://drive.google.com/file/d/1Y3HKCtakqT83piJTpjdATW96pYoS4_Hc/view?usp=drivesdk" TargetMode="External"/><Relationship Id="rId1478" Type="http://schemas.openxmlformats.org/officeDocument/2006/relationships/hyperlink" Target="https://drive.google.com/file/d/14Q3iNW3UaaSIH4rDe6uxO8qOw5GqbCuG/view?usp=drivesdk" TargetMode="External"/><Relationship Id="rId1479" Type="http://schemas.openxmlformats.org/officeDocument/2006/relationships/hyperlink" Target="https://drive.google.com/file/d/1d7arudtV6IA6iBGNc5b_f_0k8-S4iohv/view?usp=drivesdk" TargetMode="External"/><Relationship Id="rId646" Type="http://schemas.openxmlformats.org/officeDocument/2006/relationships/hyperlink" Target="https://drive.google.com/file/d/1Q4HqMQUdO5fVqviBWpcKBVsk1Q0ud_BJ/view?usp=drivesdk" TargetMode="External"/><Relationship Id="rId645" Type="http://schemas.openxmlformats.org/officeDocument/2006/relationships/hyperlink" Target="https://drive.google.com/file/d/1hWitN9UHyWx3G-z2BBqNPGwMWtgm8Fkb/view?usp=drivesdk" TargetMode="External"/><Relationship Id="rId644" Type="http://schemas.openxmlformats.org/officeDocument/2006/relationships/hyperlink" Target="https://drive.google.com/file/d/1VqbgfPvzolVGqgwodZvMt3H9Gv5veDzP/view?usp=drivesdk" TargetMode="External"/><Relationship Id="rId643" Type="http://schemas.openxmlformats.org/officeDocument/2006/relationships/hyperlink" Target="https://drive.google.com/file/d/1eLjPcdaaph61B69dnjf7n3TPsp3pQImO/view?usp=drivesdk" TargetMode="External"/><Relationship Id="rId649" Type="http://schemas.openxmlformats.org/officeDocument/2006/relationships/hyperlink" Target="https://drive.google.com/file/d/1o_gi-Pat05RlZE8GgtC5-4xu1505dF8Y/view?usp=drivesdk" TargetMode="External"/><Relationship Id="rId648" Type="http://schemas.openxmlformats.org/officeDocument/2006/relationships/hyperlink" Target="https://drive.google.com/file/d/1aWYLmux0U20GhHvoLidD-4y0F8MW8Bjc/view?usp=drivesdk" TargetMode="External"/><Relationship Id="rId647" Type="http://schemas.openxmlformats.org/officeDocument/2006/relationships/hyperlink" Target="https://drive.google.com/file/d/1WsxDtrRFRkWrCQttfA5OLOTbWi_mcyNb/view?usp=drivesdk" TargetMode="External"/><Relationship Id="rId1470" Type="http://schemas.openxmlformats.org/officeDocument/2006/relationships/hyperlink" Target="https://drive.google.com/file/d/1NB8SEOcrW-fS2BNAMsaZGN0LtaNhCCFx/view?usp=drivesdk" TargetMode="External"/><Relationship Id="rId1471" Type="http://schemas.openxmlformats.org/officeDocument/2006/relationships/hyperlink" Target="https://drive.google.com/file/d/1y1clH06IEou9voxiR9wEEPTzz-xfRC_Z/view?usp=drivesdk" TargetMode="External"/><Relationship Id="rId1472" Type="http://schemas.openxmlformats.org/officeDocument/2006/relationships/hyperlink" Target="https://drive.google.com/file/d/1FXLFT6SJ9aw3QI_USojxQDvz_YOkzfG9/view?usp=drivesdk" TargetMode="External"/><Relationship Id="rId642" Type="http://schemas.openxmlformats.org/officeDocument/2006/relationships/hyperlink" Target="https://drive.google.com/file/d/1lFSpRq1xHgoM0q1hb9HwfhqHZUWDBJI2/view?usp=drivesdk" TargetMode="External"/><Relationship Id="rId1473" Type="http://schemas.openxmlformats.org/officeDocument/2006/relationships/hyperlink" Target="https://drive.google.com/file/d/16DVt8Y5GxXdggRvwtpyp_jimvdwf4XxL/view?usp=drivesdk" TargetMode="External"/><Relationship Id="rId641" Type="http://schemas.openxmlformats.org/officeDocument/2006/relationships/hyperlink" Target="https://drive.google.com/file/d/1A5kY0NZUcTDsUX0GIYmEQu9DloCIrtOV/view?usp=drivesdk" TargetMode="External"/><Relationship Id="rId1474" Type="http://schemas.openxmlformats.org/officeDocument/2006/relationships/hyperlink" Target="https://drive.google.com/file/d/1tvai3n1EOGKH_K0iyRzl5y4TKqtAjF9e/view?usp=drivesdk" TargetMode="External"/><Relationship Id="rId640" Type="http://schemas.openxmlformats.org/officeDocument/2006/relationships/hyperlink" Target="https://drive.google.com/file/d/1K58B4V5Ou9RiaXJ1Ce9vgK1rUcyszuQm/view?usp=drivesdk" TargetMode="External"/><Relationship Id="rId1475" Type="http://schemas.openxmlformats.org/officeDocument/2006/relationships/hyperlink" Target="https://drive.google.com/file/d/1yW0ZszGrPKRFuLx0-9iwjn42FP-08DtF/view?usp=drivesdk" TargetMode="External"/><Relationship Id="rId1476" Type="http://schemas.openxmlformats.org/officeDocument/2006/relationships/hyperlink" Target="https://drive.google.com/file/d/1jPGVtz84rIUK_7ToCPnFIOYXNK7RCyc4/view?usp=drivesdk" TargetMode="External"/><Relationship Id="rId1466" Type="http://schemas.openxmlformats.org/officeDocument/2006/relationships/hyperlink" Target="https://drive.google.com/file/d/16ccVSTaeQPPqQrA-zYek-rcbKck3H0BF/view?usp=drivesdk" TargetMode="External"/><Relationship Id="rId2797" Type="http://schemas.openxmlformats.org/officeDocument/2006/relationships/hyperlink" Target="https://drive.google.com/file/d/1Qtwddk-XDlbwPPGy3W-QXhpffZJZhBKc/view?usp=drivesdk" TargetMode="External"/><Relationship Id="rId1467" Type="http://schemas.openxmlformats.org/officeDocument/2006/relationships/hyperlink" Target="https://drive.google.com/file/d/1CT7UMmOhKw6gVwYN6XhwmdPQcPAWSYp3/view?usp=drivesdk" TargetMode="External"/><Relationship Id="rId2798" Type="http://schemas.openxmlformats.org/officeDocument/2006/relationships/hyperlink" Target="https://drive.google.com/file/d/1mL9Ab5TM5BMWagobH7NKQFy8VurCd2et/view?usp=drivesdk" TargetMode="External"/><Relationship Id="rId1468" Type="http://schemas.openxmlformats.org/officeDocument/2006/relationships/hyperlink" Target="https://drive.google.com/file/d/1B4cQ6yQJFzSTTEHV87JLjqxhrQfVniB0/view?usp=drivesdk" TargetMode="External"/><Relationship Id="rId2799" Type="http://schemas.openxmlformats.org/officeDocument/2006/relationships/hyperlink" Target="https://drive.google.com/file/d/1Ss_WUKD-G7G3jlVK_OnYeM1slXhgl9ui/view?usp=drivesdk" TargetMode="External"/><Relationship Id="rId1469" Type="http://schemas.openxmlformats.org/officeDocument/2006/relationships/hyperlink" Target="https://drive.google.com/file/d/1k4Mw7yZRNlIOk3AktnNVBniMD_Ppf_ce/view?usp=drivesdk" TargetMode="External"/><Relationship Id="rId635" Type="http://schemas.openxmlformats.org/officeDocument/2006/relationships/hyperlink" Target="https://drive.google.com/file/d/1NhqsWF1BsSsBVIu4_fRaegF1rny4CPsS/view?usp=drivesdk" TargetMode="External"/><Relationship Id="rId634" Type="http://schemas.openxmlformats.org/officeDocument/2006/relationships/hyperlink" Target="https://drive.google.com/file/d/1zM8dzZzToiGYepDqSVoRfRTAj0xB2uoz/view?usp=drivesdk" TargetMode="External"/><Relationship Id="rId633" Type="http://schemas.openxmlformats.org/officeDocument/2006/relationships/hyperlink" Target="https://drive.google.com/file/d/1v1Ke66IwX2Opi8e30nt9-JKJg55ehgW6/view?usp=drivesdk" TargetMode="External"/><Relationship Id="rId632" Type="http://schemas.openxmlformats.org/officeDocument/2006/relationships/hyperlink" Target="https://drive.google.com/file/d/1nzuwT8bxt2R4p9dSgyGk2nA_IyFvM8mx/view?usp=drivesdk" TargetMode="External"/><Relationship Id="rId639" Type="http://schemas.openxmlformats.org/officeDocument/2006/relationships/hyperlink" Target="https://drive.google.com/file/d/1vpqXtXD2DmRq57y0qe-bZumNIuktnNc8/view?usp=drivesdk" TargetMode="External"/><Relationship Id="rId638" Type="http://schemas.openxmlformats.org/officeDocument/2006/relationships/hyperlink" Target="https://drive.google.com/file/d/1Sf8fr80rdM2vDylr3ynXaY7lG38m55Lb/view?usp=drivesdk" TargetMode="External"/><Relationship Id="rId637" Type="http://schemas.openxmlformats.org/officeDocument/2006/relationships/hyperlink" Target="https://drive.google.com/file/d/1Iri-BlPzXpppvedBgL332wuNWoKl3GBi/view?usp=drivesdk" TargetMode="External"/><Relationship Id="rId636" Type="http://schemas.openxmlformats.org/officeDocument/2006/relationships/hyperlink" Target="https://drive.google.com/file/d/1NXncVzKi4au9cliVWtR6PiThfUO3JXlu/view?usp=drivesdk" TargetMode="External"/><Relationship Id="rId2790" Type="http://schemas.openxmlformats.org/officeDocument/2006/relationships/hyperlink" Target="https://drive.google.com/file/d/1yicevDL8q3uBlrq8FME7wO35hhINlm9i/view?usp=drivesdk" TargetMode="External"/><Relationship Id="rId1460" Type="http://schemas.openxmlformats.org/officeDocument/2006/relationships/hyperlink" Target="https://drive.google.com/file/d/17BaGkIzz2E5EF12yCt13C1W4UgPygVCx/view?usp=drivesdk" TargetMode="External"/><Relationship Id="rId2791" Type="http://schemas.openxmlformats.org/officeDocument/2006/relationships/hyperlink" Target="https://drive.google.com/file/d/1QGwFQzaQRDG3tlEKooHy4FGNPwX6h1w1/view?usp=drivesdk" TargetMode="External"/><Relationship Id="rId1461" Type="http://schemas.openxmlformats.org/officeDocument/2006/relationships/hyperlink" Target="https://drive.google.com/file/d/17KBWbm37kzMHZZItLrkVI0TTy58Aihyg/view?usp=drivesdk" TargetMode="External"/><Relationship Id="rId2792" Type="http://schemas.openxmlformats.org/officeDocument/2006/relationships/hyperlink" Target="https://drive.google.com/file/d/1612cVHt8YAoCVAa9x6CR0LsF-S_e-dzF/view?usp=drivesdk" TargetMode="External"/><Relationship Id="rId631" Type="http://schemas.openxmlformats.org/officeDocument/2006/relationships/hyperlink" Target="https://drive.google.com/file/d/1U4En_0sRIgGMtR_aeXkIGVEdeF7aDoTt/view?usp=drivesdk" TargetMode="External"/><Relationship Id="rId1462" Type="http://schemas.openxmlformats.org/officeDocument/2006/relationships/hyperlink" Target="https://drive.google.com/file/d/1sAjkDhpCHb3BXcACv1kU8MHq-ItQvoJ3/view?usp=drivesdk" TargetMode="External"/><Relationship Id="rId2793" Type="http://schemas.openxmlformats.org/officeDocument/2006/relationships/hyperlink" Target="https://drive.google.com/file/d/13scdctuunPsPA7VN0U_MwGGRn8XVKTbE/view?usp=drivesdk" TargetMode="External"/><Relationship Id="rId630" Type="http://schemas.openxmlformats.org/officeDocument/2006/relationships/hyperlink" Target="https://drive.google.com/file/d/1lPIN90Oxm68BObKRk2JvLMusl4eYjWaV/view?usp=drivesdk" TargetMode="External"/><Relationship Id="rId1463" Type="http://schemas.openxmlformats.org/officeDocument/2006/relationships/hyperlink" Target="https://drive.google.com/file/d/1yhIngauefSEKl73_p7xAergh0ApQKu_P/view?usp=drivesdk" TargetMode="External"/><Relationship Id="rId2794" Type="http://schemas.openxmlformats.org/officeDocument/2006/relationships/hyperlink" Target="https://drive.google.com/file/d/17rssfXeSwSyxfwOWnaBs0wPihBQAhZp-/view?usp=drivesdk" TargetMode="External"/><Relationship Id="rId1464" Type="http://schemas.openxmlformats.org/officeDocument/2006/relationships/hyperlink" Target="https://drive.google.com/file/d/1Zs7RaoW7B0k_7gqWV_THzhYMxPihBvFg/view?usp=drivesdk" TargetMode="External"/><Relationship Id="rId2795" Type="http://schemas.openxmlformats.org/officeDocument/2006/relationships/hyperlink" Target="https://drive.google.com/file/d/1jd9ycYWZkLbbUrtvuNJeNEiLp_k9LMoe/view?usp=drivesdk" TargetMode="External"/><Relationship Id="rId1465" Type="http://schemas.openxmlformats.org/officeDocument/2006/relationships/hyperlink" Target="https://drive.google.com/file/d/1iKkC-jZ2W_bEnOs7KtsQibqPEML7w-Cy/view?usp=drivesdk" TargetMode="External"/><Relationship Id="rId2796" Type="http://schemas.openxmlformats.org/officeDocument/2006/relationships/hyperlink" Target="https://drive.google.com/file/d/1PHdeD8DCOHYtYlSowdL4RnjXdXP9WvnF/view?usp=drivesdk" TargetMode="External"/><Relationship Id="rId1411" Type="http://schemas.openxmlformats.org/officeDocument/2006/relationships/hyperlink" Target="https://drive.google.com/file/d/15F-RfkvkqMn0E0c709IKN80dAN2fRqHx/view?usp=drivesdk" TargetMode="External"/><Relationship Id="rId2742" Type="http://schemas.openxmlformats.org/officeDocument/2006/relationships/hyperlink" Target="https://drive.google.com/file/d/18lSrzJb6hlq2LTXVDLpK1cxy7NDtFwlx/view?usp=drivesdk" TargetMode="External"/><Relationship Id="rId1412" Type="http://schemas.openxmlformats.org/officeDocument/2006/relationships/hyperlink" Target="https://drive.google.com/file/d/1jgj9lJ14X0DKbqnH68IADwQDBHmsItVZ/view?usp=drivesdk" TargetMode="External"/><Relationship Id="rId2743" Type="http://schemas.openxmlformats.org/officeDocument/2006/relationships/hyperlink" Target="https://drive.google.com/file/d/1cbRs7pAG_HHsYWLTtiX-MwQvS4vQmSB6/view?usp=drivesdk" TargetMode="External"/><Relationship Id="rId1413" Type="http://schemas.openxmlformats.org/officeDocument/2006/relationships/hyperlink" Target="https://drive.google.com/file/d/1zsR3h_cf78A7_eV_EOfnTXPskd55yEGk/view?usp=drivesdk" TargetMode="External"/><Relationship Id="rId2744" Type="http://schemas.openxmlformats.org/officeDocument/2006/relationships/hyperlink" Target="https://drive.google.com/file/d/1kDsi06We11UwXurjeSQ26k_Oq21xYFhx/view?usp=drivesdk" TargetMode="External"/><Relationship Id="rId1414" Type="http://schemas.openxmlformats.org/officeDocument/2006/relationships/hyperlink" Target="https://drive.google.com/file/d/1zk8XV0oqsBL-XM_2SsNIQXgO5SAexD5u/view?usp=drivesdk" TargetMode="External"/><Relationship Id="rId2745" Type="http://schemas.openxmlformats.org/officeDocument/2006/relationships/hyperlink" Target="https://drive.google.com/file/d/1vevfUy0iTc6NQfF1T-jwqjcTM_yHdsf0/view?usp=drivesdk" TargetMode="External"/><Relationship Id="rId1415" Type="http://schemas.openxmlformats.org/officeDocument/2006/relationships/hyperlink" Target="https://drive.google.com/file/d/1RhsHrHnzN8KzykhbZDPEKUxMAHgo0iQl/view?usp=drivesdk" TargetMode="External"/><Relationship Id="rId2746" Type="http://schemas.openxmlformats.org/officeDocument/2006/relationships/hyperlink" Target="https://drive.google.com/file/d/1tNde2WsKCKtTxCH7EfB-a1TjXERl50pJ/view?usp=drivesdk" TargetMode="External"/><Relationship Id="rId1416" Type="http://schemas.openxmlformats.org/officeDocument/2006/relationships/hyperlink" Target="https://drive.google.com/file/d/1s-o92xrjY8qNFs578jYHlwgg3sJ-NP6W/view?usp=drivesdk" TargetMode="External"/><Relationship Id="rId2747" Type="http://schemas.openxmlformats.org/officeDocument/2006/relationships/hyperlink" Target="https://drive.google.com/file/d/1JjrD9NOW8xliYqnpBZzkTwq4qgfO4wNJ/view?usp=drivesdk" TargetMode="External"/><Relationship Id="rId1417" Type="http://schemas.openxmlformats.org/officeDocument/2006/relationships/hyperlink" Target="https://drive.google.com/file/d/1cYILhdMj6twb1okZTG4CcNmFRUz8TsRN/view?usp=drivesdk" TargetMode="External"/><Relationship Id="rId2748" Type="http://schemas.openxmlformats.org/officeDocument/2006/relationships/hyperlink" Target="https://drive.google.com/file/d/1F1gmEthZ6jBt549BBg-rdg_5OVDXWokk/view?usp=drivesdk" TargetMode="External"/><Relationship Id="rId1418" Type="http://schemas.openxmlformats.org/officeDocument/2006/relationships/hyperlink" Target="https://drive.google.com/file/d/1SlXcrYTi_ohTzOExmYweSBSZDmujKUAK/view?usp=drivesdk" TargetMode="External"/><Relationship Id="rId2749" Type="http://schemas.openxmlformats.org/officeDocument/2006/relationships/hyperlink" Target="https://drive.google.com/file/d/1peHj2qn55XShERDto7FmUKmKRW04vw25/view?usp=drivesdk" TargetMode="External"/><Relationship Id="rId1419" Type="http://schemas.openxmlformats.org/officeDocument/2006/relationships/hyperlink" Target="https://drive.google.com/file/d/1r8LaHO1oagj-xznnyFGoL1fDY_X8-HJK/view?usp=drivesdk" TargetMode="External"/><Relationship Id="rId2740" Type="http://schemas.openxmlformats.org/officeDocument/2006/relationships/hyperlink" Target="https://drive.google.com/file/d/1siDzTCg5TAqWvx1F7jfvqWF5y01jo9l6/view?usp=drivesdk" TargetMode="External"/><Relationship Id="rId1410" Type="http://schemas.openxmlformats.org/officeDocument/2006/relationships/hyperlink" Target="https://drive.google.com/file/d/1z6ELpIML_iAO-oWGJcwZv48NcaICpQG4/view?usp=drivesdk" TargetMode="External"/><Relationship Id="rId2741" Type="http://schemas.openxmlformats.org/officeDocument/2006/relationships/hyperlink" Target="https://drive.google.com/file/d/1iHwvqbzkE5E6QaDEkGEEiffgzbsf9lQG/view?usp=drivesdk" TargetMode="External"/><Relationship Id="rId1400" Type="http://schemas.openxmlformats.org/officeDocument/2006/relationships/hyperlink" Target="https://drive.google.com/file/d/1y8T5zhW_IOSBMzN9nvYSYbgcIcn96YYZ/view?usp=drivesdk" TargetMode="External"/><Relationship Id="rId2731" Type="http://schemas.openxmlformats.org/officeDocument/2006/relationships/hyperlink" Target="https://drive.google.com/file/d/1p-5Yi30wwPB5qbrkCQnV04nlGIUAqW1j/view?usp=drivesdk" TargetMode="External"/><Relationship Id="rId1401" Type="http://schemas.openxmlformats.org/officeDocument/2006/relationships/hyperlink" Target="https://drive.google.com/file/d/1Qaij8kztnVCohlJltt2zu7U-21ZW-Ec8/view?usp=drivesdk" TargetMode="External"/><Relationship Id="rId2732" Type="http://schemas.openxmlformats.org/officeDocument/2006/relationships/hyperlink" Target="https://drive.google.com/file/d/1EK9QiU9xsqLxXgH_myrXEDvCAwAm--TL/view?usp=drivesdk" TargetMode="External"/><Relationship Id="rId1402" Type="http://schemas.openxmlformats.org/officeDocument/2006/relationships/hyperlink" Target="https://drive.google.com/file/d/1MwQ4HjBKMAsmoWQyYi-2t5QAgR1vcgEw/view?usp=drivesdk" TargetMode="External"/><Relationship Id="rId2733" Type="http://schemas.openxmlformats.org/officeDocument/2006/relationships/hyperlink" Target="https://drive.google.com/file/d/1W95pBxdYQtvPqjqDP0LAubJz1aG6pbkC/view?usp=drivesdk" TargetMode="External"/><Relationship Id="rId1403" Type="http://schemas.openxmlformats.org/officeDocument/2006/relationships/hyperlink" Target="https://drive.google.com/file/d/1SmGCndifwHBNTg0xWJD6VgLZPsUl5-GC/view?usp=drivesdk" TargetMode="External"/><Relationship Id="rId2734" Type="http://schemas.openxmlformats.org/officeDocument/2006/relationships/hyperlink" Target="https://drive.google.com/file/d/10YsdVEp76YRuLQNPspg-TkAG5mYL74RG/view?usp=drivesdk" TargetMode="External"/><Relationship Id="rId1404" Type="http://schemas.openxmlformats.org/officeDocument/2006/relationships/hyperlink" Target="https://drive.google.com/file/d/1ZKZyLn5uW6CoYELDHd11gKh5Sn3YZYr4/view?usp=drivesdk" TargetMode="External"/><Relationship Id="rId2735" Type="http://schemas.openxmlformats.org/officeDocument/2006/relationships/hyperlink" Target="https://drive.google.com/file/d/1JcrIIJziv9H4c66sUbolfvMwbkPdlR44/view?usp=drivesdk" TargetMode="External"/><Relationship Id="rId1405" Type="http://schemas.openxmlformats.org/officeDocument/2006/relationships/hyperlink" Target="https://drive.google.com/file/d/1ar2F98iBLtf-JFVJPBm4fuWn29s_pcVP/view?usp=drivesdk" TargetMode="External"/><Relationship Id="rId2736" Type="http://schemas.openxmlformats.org/officeDocument/2006/relationships/hyperlink" Target="https://drive.google.com/file/d/1OWk3W7aLK7NhvpfeOXWbAeYjSBS6on3O/view?usp=drivesdk" TargetMode="External"/><Relationship Id="rId1406" Type="http://schemas.openxmlformats.org/officeDocument/2006/relationships/hyperlink" Target="https://drive.google.com/file/d/1RzS1OyKSTfThCBgJp5wJu8rDLSNxvAtP/view?usp=drivesdk" TargetMode="External"/><Relationship Id="rId2737" Type="http://schemas.openxmlformats.org/officeDocument/2006/relationships/hyperlink" Target="https://drive.google.com/file/d/1w2KBBoT3U7JrwQsTrJduC-AS9fihTDq0/view?usp=drivesdk" TargetMode="External"/><Relationship Id="rId1407" Type="http://schemas.openxmlformats.org/officeDocument/2006/relationships/hyperlink" Target="https://drive.google.com/file/d/1qardjgWNIfATo9TExx6z8Cl-6w1MJ0zV/view?usp=drivesdk" TargetMode="External"/><Relationship Id="rId2738" Type="http://schemas.openxmlformats.org/officeDocument/2006/relationships/hyperlink" Target="https://drive.google.com/file/d/1eSIhQoNaIQOjrthga8k1fEWUQ1wNc0I3/view?usp=drivesdk" TargetMode="External"/><Relationship Id="rId1408" Type="http://schemas.openxmlformats.org/officeDocument/2006/relationships/hyperlink" Target="https://drive.google.com/file/d/1eX88tgHDS5GmezfJFVpJbNeHaK94JCdm/view?usp=drivesdk" TargetMode="External"/><Relationship Id="rId2739" Type="http://schemas.openxmlformats.org/officeDocument/2006/relationships/hyperlink" Target="https://drive.google.com/file/d/1exWLXuK48MQ2ATmSKbzKWBwM5DY_aMcK/view?usp=drivesdk" TargetMode="External"/><Relationship Id="rId1409" Type="http://schemas.openxmlformats.org/officeDocument/2006/relationships/hyperlink" Target="https://drive.google.com/file/d/1pD7SRPlQIEKp35ByImnjxuZ0eZpx_nWr/view?usp=drivesdk" TargetMode="External"/><Relationship Id="rId2730" Type="http://schemas.openxmlformats.org/officeDocument/2006/relationships/hyperlink" Target="https://drive.google.com/file/d/1Fno1IJz68iXs7JWnmc01NK1s0TMRMxHi/view?usp=drivesdk" TargetMode="External"/><Relationship Id="rId1433" Type="http://schemas.openxmlformats.org/officeDocument/2006/relationships/hyperlink" Target="https://drive.google.com/file/d/1T3kdw0-wjlu0E53OdEHLTRxSL1WV4GD2/view?usp=drivesdk" TargetMode="External"/><Relationship Id="rId2764" Type="http://schemas.openxmlformats.org/officeDocument/2006/relationships/hyperlink" Target="https://drive.google.com/file/d/12-QJoC50RBrzSEp9gb50Wj-q2rFwe_UQ/view?usp=drivesdk" TargetMode="External"/><Relationship Id="rId1434" Type="http://schemas.openxmlformats.org/officeDocument/2006/relationships/hyperlink" Target="https://drive.google.com/file/d/1g6q8nISpnYmmIa0tHGFco-Q0-mH9P8P_/view?usp=drivesdk" TargetMode="External"/><Relationship Id="rId2765" Type="http://schemas.openxmlformats.org/officeDocument/2006/relationships/hyperlink" Target="https://drive.google.com/file/d/1u1KUYNIvVhIV8JolkU3hmE9IAKO7Zwnq/view?usp=drivesdk" TargetMode="External"/><Relationship Id="rId1435" Type="http://schemas.openxmlformats.org/officeDocument/2006/relationships/hyperlink" Target="https://drive.google.com/file/d/1YQ-aufbsCC9hO3yxbHG5yT1hC8gC2Zwm/view?usp=drivesdk" TargetMode="External"/><Relationship Id="rId2766" Type="http://schemas.openxmlformats.org/officeDocument/2006/relationships/hyperlink" Target="https://drive.google.com/file/d/1hN-J6Uky5FuFHoIu7VleAWRSmSqB3wMb/view?usp=drivesdk" TargetMode="External"/><Relationship Id="rId1436" Type="http://schemas.openxmlformats.org/officeDocument/2006/relationships/hyperlink" Target="https://drive.google.com/file/d/1zSkXvd_SQ8Y3SFR5dbVcX3nOQXjwNUgz/view?usp=drivesdk" TargetMode="External"/><Relationship Id="rId2767" Type="http://schemas.openxmlformats.org/officeDocument/2006/relationships/hyperlink" Target="https://drive.google.com/file/d/1y1GzGYijv2hKxQybrnUBP_imhXHPoSF1/view?usp=drivesdk" TargetMode="External"/><Relationship Id="rId1437" Type="http://schemas.openxmlformats.org/officeDocument/2006/relationships/hyperlink" Target="https://drive.google.com/file/d/1cYa6N0WKe6Bh2MCHkEqipe4p1Bb3ENLu/view?usp=drivesdk" TargetMode="External"/><Relationship Id="rId2768" Type="http://schemas.openxmlformats.org/officeDocument/2006/relationships/hyperlink" Target="https://drive.google.com/file/d/1RWYs4BxngJFHCjARwIfsUfl_7-oYLebS/view?usp=drivesdk" TargetMode="External"/><Relationship Id="rId1438" Type="http://schemas.openxmlformats.org/officeDocument/2006/relationships/hyperlink" Target="https://drive.google.com/file/d/1U_OpKcnH3vqA_sZl7r6oivPzFbw81e8Y/view?usp=drivesdk" TargetMode="External"/><Relationship Id="rId2769" Type="http://schemas.openxmlformats.org/officeDocument/2006/relationships/hyperlink" Target="https://drive.google.com/file/d/1AXw8qY84rt7zhu4JXQNDv8qAI41V_l3t/view?usp=drivesdk" TargetMode="External"/><Relationship Id="rId1439" Type="http://schemas.openxmlformats.org/officeDocument/2006/relationships/hyperlink" Target="https://drive.google.com/file/d/1KFt0oWL0PlCdDAF8vfAu0PFIKhDUEvZv/view?usp=drivesdk" TargetMode="External"/><Relationship Id="rId609" Type="http://schemas.openxmlformats.org/officeDocument/2006/relationships/hyperlink" Target="https://drive.google.com/file/d/1MUeEaq8UQodJfzv8dgpiDvz5tgiTMCld/view?usp=drivesdk" TargetMode="External"/><Relationship Id="rId608" Type="http://schemas.openxmlformats.org/officeDocument/2006/relationships/hyperlink" Target="https://drive.google.com/file/d/1jwIV77IGytt0vdCVn85l2Ck7J0Xxuzty/view?usp=drivesdk" TargetMode="External"/><Relationship Id="rId607" Type="http://schemas.openxmlformats.org/officeDocument/2006/relationships/hyperlink" Target="https://drive.google.com/file/d/1Okch4CdpQseHg6V3zCFb8EZ13ZiRjRip/view?usp=drivesdk" TargetMode="External"/><Relationship Id="rId602" Type="http://schemas.openxmlformats.org/officeDocument/2006/relationships/hyperlink" Target="https://drive.google.com/file/d/1D-gx9_DJR6Y8nE3CXK_4SkpcjTBkkore/view?usp=drivesdk" TargetMode="External"/><Relationship Id="rId601" Type="http://schemas.openxmlformats.org/officeDocument/2006/relationships/hyperlink" Target="https://drive.google.com/file/d/1iIxek-inhm9WSs05oxEzZikjb_99YErj/view?usp=drivesdk" TargetMode="External"/><Relationship Id="rId600" Type="http://schemas.openxmlformats.org/officeDocument/2006/relationships/hyperlink" Target="https://drive.google.com/file/d/1SFKJngNaXEig3hdDO4p6wklI3cupf_yz/view?usp=drivesdk" TargetMode="External"/><Relationship Id="rId606" Type="http://schemas.openxmlformats.org/officeDocument/2006/relationships/hyperlink" Target="https://drive.google.com/file/d/1FH6CpgRwWdADxlzZhDP6QyZlgA6XX3S1/view?usp=drivesdk" TargetMode="External"/><Relationship Id="rId605" Type="http://schemas.openxmlformats.org/officeDocument/2006/relationships/hyperlink" Target="https://drive.google.com/file/d/1BDNupSttqVO-yRP9PRoNI-IgtI8b71aQ/view?usp=drivesdk" TargetMode="External"/><Relationship Id="rId604" Type="http://schemas.openxmlformats.org/officeDocument/2006/relationships/hyperlink" Target="https://drive.google.com/file/d/1k1DJhy2X3Nv4xlnIcIJYFR0kSmaMcgXD/view?usp=drivesdk" TargetMode="External"/><Relationship Id="rId603" Type="http://schemas.openxmlformats.org/officeDocument/2006/relationships/hyperlink" Target="https://drive.google.com/file/d/1TkKAz9ljo3bjXZxQT4NYRm51bs1H53VS/view?usp=drivesdk" TargetMode="External"/><Relationship Id="rId2760" Type="http://schemas.openxmlformats.org/officeDocument/2006/relationships/hyperlink" Target="https://drive.google.com/file/d/1VNZVfi392roXkffFia5wqQeCQjwEpyCc/view?usp=drivesdk" TargetMode="External"/><Relationship Id="rId1430" Type="http://schemas.openxmlformats.org/officeDocument/2006/relationships/hyperlink" Target="https://drive.google.com/file/d/1lCXOxpLZfHui3z9Y08bqmYzBZmcr5eG0/view?usp=drivesdk" TargetMode="External"/><Relationship Id="rId2761" Type="http://schemas.openxmlformats.org/officeDocument/2006/relationships/hyperlink" Target="https://drive.google.com/file/d/15VbpcEsW9L5op3IMpHA4I2dI5ndZgOpe/view?usp=drivesdk" TargetMode="External"/><Relationship Id="rId1431" Type="http://schemas.openxmlformats.org/officeDocument/2006/relationships/hyperlink" Target="https://drive.google.com/file/d/1rRD-Bh8mPPRN_LewNcfZj4uMszp6KoK9/view?usp=drivesdk" TargetMode="External"/><Relationship Id="rId2762" Type="http://schemas.openxmlformats.org/officeDocument/2006/relationships/hyperlink" Target="https://drive.google.com/file/d/1eFWX5LIk2qUBEWJ46yJyou3O_bXjmNLe/view?usp=drivesdk" TargetMode="External"/><Relationship Id="rId1432" Type="http://schemas.openxmlformats.org/officeDocument/2006/relationships/hyperlink" Target="https://drive.google.com/file/d/1v_yatdIaf9ah85hvTiT_i87-ZZKgyw8z/view?usp=drivesdk" TargetMode="External"/><Relationship Id="rId2763" Type="http://schemas.openxmlformats.org/officeDocument/2006/relationships/hyperlink" Target="https://drive.google.com/file/d/1z9vM-OymRrqp1u2xxHltR_nTYkRN8Bhe/view?usp=drivesdk" TargetMode="External"/><Relationship Id="rId1422" Type="http://schemas.openxmlformats.org/officeDocument/2006/relationships/hyperlink" Target="https://drive.google.com/file/d/1Fz4gwoFVZ61QsVuQAy1Miyk_5TnN811X/view?usp=drivesdk" TargetMode="External"/><Relationship Id="rId2753" Type="http://schemas.openxmlformats.org/officeDocument/2006/relationships/hyperlink" Target="https://drive.google.com/file/d/1KGwRGETP91kM9JQ1Lkln3MN4JSxyj4OW/view?usp=drivesdk" TargetMode="External"/><Relationship Id="rId1423" Type="http://schemas.openxmlformats.org/officeDocument/2006/relationships/hyperlink" Target="https://drive.google.com/file/d/18k1ykE5KGu6_zuNz9VCrn4DkEVOO1LJH/view?usp=drivesdk" TargetMode="External"/><Relationship Id="rId2754" Type="http://schemas.openxmlformats.org/officeDocument/2006/relationships/hyperlink" Target="https://drive.google.com/file/d/1TdFZluOSkUInT8sXikux3vYR7IOX4RMk/view?usp=drivesdk" TargetMode="External"/><Relationship Id="rId1424" Type="http://schemas.openxmlformats.org/officeDocument/2006/relationships/hyperlink" Target="https://drive.google.com/file/d/1km2L9DNVunqU05rc4Kd_J4czp3x6Xkk1/view?usp=drivesdk" TargetMode="External"/><Relationship Id="rId2755" Type="http://schemas.openxmlformats.org/officeDocument/2006/relationships/hyperlink" Target="https://drive.google.com/file/d/1Q-7NFLR9V_1Z9QaSQGnQmRUgw6UigOsQ/view?usp=drivesdk" TargetMode="External"/><Relationship Id="rId1425" Type="http://schemas.openxmlformats.org/officeDocument/2006/relationships/hyperlink" Target="https://drive.google.com/file/d/1pIS8rz3Zhsg-K0XmlUgVtJjkBAX-gomL/view?usp=drivesdk" TargetMode="External"/><Relationship Id="rId2756" Type="http://schemas.openxmlformats.org/officeDocument/2006/relationships/hyperlink" Target="https://drive.google.com/file/d/1dqYztlMOBsUY1H2Tadvsh9mJOiZQ1nVh/view?usp=drivesdk" TargetMode="External"/><Relationship Id="rId1426" Type="http://schemas.openxmlformats.org/officeDocument/2006/relationships/hyperlink" Target="https://drive.google.com/file/d/1j7kIz9DbHMuhgAFVzylwX6Yt8UYxbKVm/view?usp=drivesdk" TargetMode="External"/><Relationship Id="rId2757" Type="http://schemas.openxmlformats.org/officeDocument/2006/relationships/hyperlink" Target="https://drive.google.com/file/d/1neMVHM3ME1ns4lZlT0zcHFK0hjaH4cLF/view?usp=drivesdk" TargetMode="External"/><Relationship Id="rId1427" Type="http://schemas.openxmlformats.org/officeDocument/2006/relationships/hyperlink" Target="https://drive.google.com/file/d/1aV3ccn2w0Qw9IRbsqbByGUHxTunteFgK/view?usp=drivesdk" TargetMode="External"/><Relationship Id="rId2758" Type="http://schemas.openxmlformats.org/officeDocument/2006/relationships/hyperlink" Target="https://drive.google.com/file/d/1WZ-wmp0ZBZO-MwxvYanAL8j3J4k47183/view?usp=drivesdk" TargetMode="External"/><Relationship Id="rId1428" Type="http://schemas.openxmlformats.org/officeDocument/2006/relationships/hyperlink" Target="https://drive.google.com/file/d/1vN437k1uq3kRGPmKBi6jr-KfvJ0C_JhT/view?usp=drivesdk" TargetMode="External"/><Relationship Id="rId2759" Type="http://schemas.openxmlformats.org/officeDocument/2006/relationships/hyperlink" Target="https://drive.google.com/file/d/1E2mHJvDw_0w0e8vIm0HpIS0Ju6aQpYhO/view?usp=drivesdk" TargetMode="External"/><Relationship Id="rId1429" Type="http://schemas.openxmlformats.org/officeDocument/2006/relationships/hyperlink" Target="https://drive.google.com/file/d/1BP4_zT4-cr6_-LVpCLyDKXo4tlduP3B2/view?usp=drivesdk" TargetMode="External"/><Relationship Id="rId2750" Type="http://schemas.openxmlformats.org/officeDocument/2006/relationships/hyperlink" Target="https://drive.google.com/file/d/1mu475Zzy_-pzVxpT6L8wHxxpOPeohqGN/view?usp=drivesdk" TargetMode="External"/><Relationship Id="rId1420" Type="http://schemas.openxmlformats.org/officeDocument/2006/relationships/hyperlink" Target="https://drive.google.com/file/d/1VZGylbI98WjytpbwdjhMo7z2hjuGU4hN/view?usp=drivesdk" TargetMode="External"/><Relationship Id="rId2751" Type="http://schemas.openxmlformats.org/officeDocument/2006/relationships/hyperlink" Target="https://drive.google.com/file/d/1Mbtg5W4r7YUV6SqGN7Y6QssV1kBq9eYn/view?usp=drivesdk" TargetMode="External"/><Relationship Id="rId1421" Type="http://schemas.openxmlformats.org/officeDocument/2006/relationships/hyperlink" Target="https://drive.google.com/file/d/1GjhhZbbb8mAaVRt9zKR7GVU3Igrbxt67/view?usp=drivesdk" TargetMode="External"/><Relationship Id="rId2752" Type="http://schemas.openxmlformats.org/officeDocument/2006/relationships/hyperlink" Target="https://drive.google.com/file/d/16qY0dLq9qys2p0JL-JepbP82uCNsmR0S/view?usp=drivesdk" TargetMode="External"/><Relationship Id="rId3238" Type="http://schemas.openxmlformats.org/officeDocument/2006/relationships/hyperlink" Target="https://drive.google.com/file/d/1Ic6aADz9FFftbyqRAxUFmh-o53coOang/view?usp=drivesdk" TargetMode="External"/><Relationship Id="rId3237" Type="http://schemas.openxmlformats.org/officeDocument/2006/relationships/hyperlink" Target="https://drive.google.com/file/d/19DaZ3U3kDTGt8DNgyBPYTrh0pbrw_vwe/view?usp=drivesdk" TargetMode="External"/><Relationship Id="rId3239" Type="http://schemas.openxmlformats.org/officeDocument/2006/relationships/hyperlink" Target="https://drive.google.com/file/d/1xLFc8vMa_e-vbBQWCNykjr3P59Pc0jMD/view?usp=drivesdk" TargetMode="External"/><Relationship Id="rId3230" Type="http://schemas.openxmlformats.org/officeDocument/2006/relationships/hyperlink" Target="https://drive.google.com/file/d/1UKyZSyadeWWKlD03-UFjhlFvSy-jY0H-/view?usp=drivesdk" TargetMode="External"/><Relationship Id="rId3232" Type="http://schemas.openxmlformats.org/officeDocument/2006/relationships/hyperlink" Target="https://drive.google.com/file/d/1zAeAQJ4eRCYPaLwYl_cQdaBV-sgsCH1E/view?usp=drivesdk" TargetMode="External"/><Relationship Id="rId3231" Type="http://schemas.openxmlformats.org/officeDocument/2006/relationships/hyperlink" Target="https://drive.google.com/file/d/1vurpc_i_PD2QcCV7pFaYNDEu3OYapdxB/view?usp=drivesdk" TargetMode="External"/><Relationship Id="rId3234" Type="http://schemas.openxmlformats.org/officeDocument/2006/relationships/hyperlink" Target="https://drive.google.com/file/d/1DNgz6zvVyJc9CChGs4IXCI5an4Rzk7nB/view?usp=drivesdk" TargetMode="External"/><Relationship Id="rId3233" Type="http://schemas.openxmlformats.org/officeDocument/2006/relationships/hyperlink" Target="https://drive.google.com/file/d/1AyZRwIvNXJpAjxVsANAKksDd3obuF0oL/view?usp=drivesdk" TargetMode="External"/><Relationship Id="rId3236" Type="http://schemas.openxmlformats.org/officeDocument/2006/relationships/hyperlink" Target="https://drive.google.com/file/d/1eQcmhUZAM11qxH-mwM6jAouV_rCECXvM/view?usp=drivesdk" TargetMode="External"/><Relationship Id="rId3235" Type="http://schemas.openxmlformats.org/officeDocument/2006/relationships/hyperlink" Target="https://drive.google.com/file/d/1BsnS4DPT2KmhjBeBNNcE4-t0vz9t8bBu/view?usp=drivesdk" TargetMode="External"/><Relationship Id="rId3227" Type="http://schemas.openxmlformats.org/officeDocument/2006/relationships/hyperlink" Target="https://drive.google.com/file/d/1IvXyE1rwA3XbGaIs71lV94KBAOASxOSW/view?usp=drivesdk" TargetMode="External"/><Relationship Id="rId3226" Type="http://schemas.openxmlformats.org/officeDocument/2006/relationships/hyperlink" Target="https://drive.google.com/file/d/1HdBN17kLB5Dti11EcyS-dTKrGQBVVhsc/view?usp=drivesdk" TargetMode="External"/><Relationship Id="rId3229" Type="http://schemas.openxmlformats.org/officeDocument/2006/relationships/hyperlink" Target="https://drive.google.com/file/d/19vdYAZkCypP9hiOcyAcKHxjhTelRkEZ4/view?usp=drivesdk" TargetMode="External"/><Relationship Id="rId3228" Type="http://schemas.openxmlformats.org/officeDocument/2006/relationships/hyperlink" Target="https://drive.google.com/file/d/1bYGZGwWWVS-Gyd9EvxGZHfGkrlvQ7SVP/view?usp=drivesdk" TargetMode="External"/><Relationship Id="rId699" Type="http://schemas.openxmlformats.org/officeDocument/2006/relationships/hyperlink" Target="https://drive.google.com/file/d/1Q4utWCMJXBj1rVJAIVm1NjQYRp_ZZD7Y/view?usp=drivesdk" TargetMode="External"/><Relationship Id="rId698" Type="http://schemas.openxmlformats.org/officeDocument/2006/relationships/hyperlink" Target="https://drive.google.com/file/d/1lAJWl23b0fzfqClyvqCvmz4aSdKIgGIL/view?usp=drivesdk" TargetMode="External"/><Relationship Id="rId693" Type="http://schemas.openxmlformats.org/officeDocument/2006/relationships/hyperlink" Target="https://drive.google.com/file/d/1EkBM9C5Mvo2bILgH28D18nu6tfMH-AQM/view?usp=drivesdk" TargetMode="External"/><Relationship Id="rId692" Type="http://schemas.openxmlformats.org/officeDocument/2006/relationships/hyperlink" Target="https://drive.google.com/file/d/1wD5K7vGl237GSVx_g7ZuNDVuTVXH6WuK/view?usp=drivesdk" TargetMode="External"/><Relationship Id="rId691" Type="http://schemas.openxmlformats.org/officeDocument/2006/relationships/hyperlink" Target="https://drive.google.com/file/d/12BgAmyTUM9zXROL8EJBSKj47rzdgie8X/view?usp=drivesdk" TargetMode="External"/><Relationship Id="rId3221" Type="http://schemas.openxmlformats.org/officeDocument/2006/relationships/hyperlink" Target="https://drive.google.com/file/d/1sVDcE0S8Au1V2yPyjhNJC-dbCas3mbhd/view?usp=drivesdk" TargetMode="External"/><Relationship Id="rId690" Type="http://schemas.openxmlformats.org/officeDocument/2006/relationships/hyperlink" Target="https://drive.google.com/file/d/1WwOkola1OT6nmGNnVySUNIkgQCDn8G1O/view?usp=drivesdk" TargetMode="External"/><Relationship Id="rId3220" Type="http://schemas.openxmlformats.org/officeDocument/2006/relationships/hyperlink" Target="https://drive.google.com/file/d/1IyaF2VJcgVfWLGGRX0Pw4RnInw7LvfCb/view?usp=drivesdk" TargetMode="External"/><Relationship Id="rId697" Type="http://schemas.openxmlformats.org/officeDocument/2006/relationships/hyperlink" Target="https://drive.google.com/file/d/1bYfm5MH4oAijzOFnIThP8bgDImV713jA/view?usp=drivesdk" TargetMode="External"/><Relationship Id="rId3223" Type="http://schemas.openxmlformats.org/officeDocument/2006/relationships/hyperlink" Target="https://drive.google.com/file/d/1C7ZFix0i5PE-sELkqelxpzSVqoZT0uXD/view?usp=drivesdk" TargetMode="External"/><Relationship Id="rId696" Type="http://schemas.openxmlformats.org/officeDocument/2006/relationships/hyperlink" Target="https://drive.google.com/file/d/1qLQqiOwiE_r8bWR1z8K85zTLukbEGBUS/view?usp=drivesdk" TargetMode="External"/><Relationship Id="rId3222" Type="http://schemas.openxmlformats.org/officeDocument/2006/relationships/hyperlink" Target="https://drive.google.com/file/d/1miw0gE80AMT9hLj9igjJSpALmK9RwWFq/view?usp=drivesdk" TargetMode="External"/><Relationship Id="rId695" Type="http://schemas.openxmlformats.org/officeDocument/2006/relationships/hyperlink" Target="https://drive.google.com/file/d/1_8pCZB3pw8U1_io8whrbB1Gwpr26Wcew/view?usp=drivesdk" TargetMode="External"/><Relationship Id="rId3225" Type="http://schemas.openxmlformats.org/officeDocument/2006/relationships/hyperlink" Target="https://drive.google.com/file/d/11YlCMyN4uuL8Bm15aAIWE8inJeqhHaiW/view?usp=drivesdk" TargetMode="External"/><Relationship Id="rId694" Type="http://schemas.openxmlformats.org/officeDocument/2006/relationships/hyperlink" Target="https://drive.google.com/file/d/1tWXH9wN-LAm3w7fnnjQxnR4HsGwal6Kx/view?usp=drivesdk" TargetMode="External"/><Relationship Id="rId3224" Type="http://schemas.openxmlformats.org/officeDocument/2006/relationships/hyperlink" Target="https://drive.google.com/file/d/1GqlmaUqsUO52N0r1Ib1RrmaOS2VDOtqx/view?usp=drivesdk" TargetMode="External"/><Relationship Id="rId3259" Type="http://schemas.openxmlformats.org/officeDocument/2006/relationships/hyperlink" Target="https://drive.google.com/file/d/1lgP6sNtXAaekI_R1yb941Bj3yTw4imeR/view?usp=drivesdk" TargetMode="External"/><Relationship Id="rId3250" Type="http://schemas.openxmlformats.org/officeDocument/2006/relationships/hyperlink" Target="https://drive.google.com/file/d/1U3iYKdJmayaWRmdIBpM8EqJ5dcQwXvZG/view?usp=drivesdk" TargetMode="External"/><Relationship Id="rId3252" Type="http://schemas.openxmlformats.org/officeDocument/2006/relationships/hyperlink" Target="https://drive.google.com/file/d/1Q7xyjTHCXVBDAcscenEerggpt0mO62P6/view?usp=drivesdk" TargetMode="External"/><Relationship Id="rId3251" Type="http://schemas.openxmlformats.org/officeDocument/2006/relationships/hyperlink" Target="https://drive.google.com/file/d/1D49d4qgdPtpEFR4u5CPHZteLh9QKmMcv/view?usp=drivesdk" TargetMode="External"/><Relationship Id="rId3254" Type="http://schemas.openxmlformats.org/officeDocument/2006/relationships/hyperlink" Target="https://drive.google.com/file/d/1NUoPD3eW0MR4HJ1BQoG7-ngWy5-ADbSy/view?usp=drivesdk" TargetMode="External"/><Relationship Id="rId3253" Type="http://schemas.openxmlformats.org/officeDocument/2006/relationships/hyperlink" Target="https://drive.google.com/file/d/1bdWCubONzotNyzQtyNAEPIstDQkJSEwL/view?usp=drivesdk" TargetMode="External"/><Relationship Id="rId3256" Type="http://schemas.openxmlformats.org/officeDocument/2006/relationships/hyperlink" Target="https://drive.google.com/file/d/1-T4sznIFSDMlo5E8C7pS0UQqY9mrcCsK/view?usp=drivesdk" TargetMode="External"/><Relationship Id="rId3255" Type="http://schemas.openxmlformats.org/officeDocument/2006/relationships/hyperlink" Target="https://drive.google.com/file/d/1xuFoPe4NoIX58JM0wx-8_dEId51aZij5/view?usp=drivesdk" TargetMode="External"/><Relationship Id="rId3258" Type="http://schemas.openxmlformats.org/officeDocument/2006/relationships/hyperlink" Target="https://drive.google.com/file/d/1fhnK_MpUTUYrtfdIB-pGhbkxyiXV1Wjs/view?usp=drivesdk" TargetMode="External"/><Relationship Id="rId3257" Type="http://schemas.openxmlformats.org/officeDocument/2006/relationships/hyperlink" Target="https://drive.google.com/file/d/1bUFd8EhwJ36bo-2xBlOdIPnQvw_apZ06/view?usp=drivesdk" TargetMode="External"/><Relationship Id="rId3249" Type="http://schemas.openxmlformats.org/officeDocument/2006/relationships/hyperlink" Target="https://drive.google.com/file/d/1phqaJhapFhd9zISsdxBpoS9hsiQRiWsp/view?usp=drivesdk" TargetMode="External"/><Relationship Id="rId3248" Type="http://schemas.openxmlformats.org/officeDocument/2006/relationships/hyperlink" Target="https://drive.google.com/file/d/1gBF1OSh84_PEaQuwMpzqMOVewrJw3LKJ/view?usp=drivesdk" TargetMode="External"/><Relationship Id="rId3241" Type="http://schemas.openxmlformats.org/officeDocument/2006/relationships/hyperlink" Target="https://drive.google.com/file/d/1FHV-u9hbFTbf5tQRw4AZBWXvlnvbsJuW/view?usp=drivesdk" TargetMode="External"/><Relationship Id="rId3240" Type="http://schemas.openxmlformats.org/officeDocument/2006/relationships/hyperlink" Target="https://drive.google.com/file/d/1ncVTI_fg7cD5uuZLiCCdO3WT5ewLkA-V/view?usp=drivesdk" TargetMode="External"/><Relationship Id="rId3243" Type="http://schemas.openxmlformats.org/officeDocument/2006/relationships/hyperlink" Target="https://drive.google.com/file/d/1yQorPB990ECp--s5Y810aRf0XfraQ5Wv/view?usp=drivesdk" TargetMode="External"/><Relationship Id="rId3242" Type="http://schemas.openxmlformats.org/officeDocument/2006/relationships/hyperlink" Target="https://drive.google.com/file/d/1nm54o08eR4eFyMACR3wylzblVad7ZF5C/view?usp=drivesdk" TargetMode="External"/><Relationship Id="rId3245" Type="http://schemas.openxmlformats.org/officeDocument/2006/relationships/hyperlink" Target="https://drive.google.com/file/d/16pozz0lmJju_YmH6O5UipsG8QfWJ1JK7/view?usp=drivesdk" TargetMode="External"/><Relationship Id="rId3244" Type="http://schemas.openxmlformats.org/officeDocument/2006/relationships/hyperlink" Target="https://drive.google.com/file/d/1PVqGipSN12augdNc_SE5KUYf7kJ8pMxh/view?usp=drivesdk" TargetMode="External"/><Relationship Id="rId3247" Type="http://schemas.openxmlformats.org/officeDocument/2006/relationships/hyperlink" Target="https://drive.google.com/file/d/15sRpGf5hZHB_mBs0FOiW6Zm0N2TupmUX/view?usp=drivesdk" TargetMode="External"/><Relationship Id="rId3246" Type="http://schemas.openxmlformats.org/officeDocument/2006/relationships/hyperlink" Target="https://drive.google.com/file/d/1GCFNtGI_d_CgIPtrM02hpi0r-UNQaVqq/view?usp=drivesdk" TargetMode="External"/><Relationship Id="rId1499" Type="http://schemas.openxmlformats.org/officeDocument/2006/relationships/hyperlink" Target="https://drive.google.com/file/d/1BC-A-X_Dj4qTKMb-Rv02mFYzq5i21bEC/view?usp=drivesdk" TargetMode="External"/><Relationship Id="rId668" Type="http://schemas.openxmlformats.org/officeDocument/2006/relationships/hyperlink" Target="https://drive.google.com/file/d/1QtfRoYfCEgN8kW9kfpa9E4HE5zVA3kwh/view?usp=drivesdk" TargetMode="External"/><Relationship Id="rId667" Type="http://schemas.openxmlformats.org/officeDocument/2006/relationships/hyperlink" Target="https://drive.google.com/file/d/17e6qF1_VMvgfLa4Xv9IPbs5MFwrhjmSP/view?usp=drivesdk" TargetMode="External"/><Relationship Id="rId666" Type="http://schemas.openxmlformats.org/officeDocument/2006/relationships/hyperlink" Target="https://drive.google.com/file/d/1W0xu5YzAKPDJ2AuD8Ik22civDGZ0Q6VX/view?usp=drivesdk" TargetMode="External"/><Relationship Id="rId665" Type="http://schemas.openxmlformats.org/officeDocument/2006/relationships/hyperlink" Target="https://drive.google.com/file/d/1xTXT5XPhZrilG-fLyyYegJ8wHBpiban_/view?usp=drivesdk" TargetMode="External"/><Relationship Id="rId669" Type="http://schemas.openxmlformats.org/officeDocument/2006/relationships/hyperlink" Target="https://drive.google.com/file/d/1518u5815iOo80zbyuz9-kHkquWxNxpad/view?usp=drivesdk" TargetMode="External"/><Relationship Id="rId1490" Type="http://schemas.openxmlformats.org/officeDocument/2006/relationships/hyperlink" Target="https://drive.google.com/file/d/1hcj-x2XoWUnUV1obCIB65yNgQ3kylZiW/view?usp=drivesdk" TargetMode="External"/><Relationship Id="rId660" Type="http://schemas.openxmlformats.org/officeDocument/2006/relationships/hyperlink" Target="https://drive.google.com/file/d/1IT7jjcf9J3PwVo0SiLbD1-_kgao0Lls3/view?usp=drivesdk" TargetMode="External"/><Relationship Id="rId1491" Type="http://schemas.openxmlformats.org/officeDocument/2006/relationships/hyperlink" Target="https://drive.google.com/file/d/1O2CZV1333YM3N87LfUtFqqnihWJQmnIF/view?usp=drivesdk" TargetMode="External"/><Relationship Id="rId1492" Type="http://schemas.openxmlformats.org/officeDocument/2006/relationships/hyperlink" Target="https://drive.google.com/file/d/1vyd20DgcGhqoD6cc-h0G2LzFi4lvuJMz/view?usp=drivesdk" TargetMode="External"/><Relationship Id="rId1493" Type="http://schemas.openxmlformats.org/officeDocument/2006/relationships/hyperlink" Target="https://drive.google.com/file/d/13GwyX_AqHkr5pGpIGCX8AgfUHB7-jG-M/view?usp=drivesdk" TargetMode="External"/><Relationship Id="rId1494" Type="http://schemas.openxmlformats.org/officeDocument/2006/relationships/hyperlink" Target="https://drive.google.com/file/d/1R_WL0AExjMKiypoB7mKpQqeDlLTVOzbM/view?usp=drivesdk" TargetMode="External"/><Relationship Id="rId664" Type="http://schemas.openxmlformats.org/officeDocument/2006/relationships/hyperlink" Target="https://drive.google.com/file/d/1RPVjb6dAsE-e8x9z9QTHxbx-zkpvNcIg/view?usp=drivesdk" TargetMode="External"/><Relationship Id="rId1495" Type="http://schemas.openxmlformats.org/officeDocument/2006/relationships/hyperlink" Target="https://drive.google.com/file/d/1a0KZN3faHzg9F-zfanMvaOOqzIUfYSps/view?usp=drivesdk" TargetMode="External"/><Relationship Id="rId663" Type="http://schemas.openxmlformats.org/officeDocument/2006/relationships/hyperlink" Target="https://drive.google.com/file/d/1kFuZ0XixFtPIX9hTbUTTCzKnnWeeZYDf/view?usp=drivesdk" TargetMode="External"/><Relationship Id="rId1496" Type="http://schemas.openxmlformats.org/officeDocument/2006/relationships/hyperlink" Target="https://drive.google.com/file/d/1s0Gca9Qvx7ijKzxmbQcSgzYCW4yidQrc/view?usp=drivesdk" TargetMode="External"/><Relationship Id="rId662" Type="http://schemas.openxmlformats.org/officeDocument/2006/relationships/hyperlink" Target="https://drive.google.com/file/d/1wWXyXYtJ4DQfvQnS8MOu18ThLCF7elMp/view?usp=drivesdk" TargetMode="External"/><Relationship Id="rId1497" Type="http://schemas.openxmlformats.org/officeDocument/2006/relationships/hyperlink" Target="https://drive.google.com/file/d/1WQwMc7WBq3XYp2r6wGttPcunx25B42e4/view?usp=drivesdk" TargetMode="External"/><Relationship Id="rId661" Type="http://schemas.openxmlformats.org/officeDocument/2006/relationships/hyperlink" Target="https://drive.google.com/file/d/1OEKtffSTFiXq5s3wLrvuxat7FMfx2aB4/view?usp=drivesdk" TargetMode="External"/><Relationship Id="rId1498" Type="http://schemas.openxmlformats.org/officeDocument/2006/relationships/hyperlink" Target="https://drive.google.com/file/d/1vGibcuDl4SNlCVY66zeSA19ohCEYy9kK/view?usp=drivesdk" TargetMode="External"/><Relationship Id="rId1488" Type="http://schemas.openxmlformats.org/officeDocument/2006/relationships/hyperlink" Target="https://drive.google.com/file/d/1Jok6c7VCZtMN99P6fMSmmpu_xIq7tlFM/view?usp=drivesdk" TargetMode="External"/><Relationship Id="rId1489" Type="http://schemas.openxmlformats.org/officeDocument/2006/relationships/hyperlink" Target="https://drive.google.com/file/d/1fKBpFNzmzvS091UTRO9kCoAM5okQyhs0/view?usp=drivesdk" TargetMode="External"/><Relationship Id="rId657" Type="http://schemas.openxmlformats.org/officeDocument/2006/relationships/hyperlink" Target="https://drive.google.com/file/d/1lE_G5W7x7KUXTWGKisDTd3tKAHM9mZYV/view?usp=drivesdk" TargetMode="External"/><Relationship Id="rId656" Type="http://schemas.openxmlformats.org/officeDocument/2006/relationships/hyperlink" Target="https://drive.google.com/file/d/1xDh1FZEI5wPBK7K_THUMUiu2sVx9jg-D/view?usp=drivesdk" TargetMode="External"/><Relationship Id="rId655" Type="http://schemas.openxmlformats.org/officeDocument/2006/relationships/hyperlink" Target="https://drive.google.com/file/d/1XTk0Dj79cVp0cUkpk-g11B8k5bVu1aRp/view?usp=drivesdk" TargetMode="External"/><Relationship Id="rId654" Type="http://schemas.openxmlformats.org/officeDocument/2006/relationships/hyperlink" Target="https://drive.google.com/file/d/1X-6b6C2jqCLlB69Z0urRtA1EhjNXHCzQ/view?usp=drivesdk" TargetMode="External"/><Relationship Id="rId659" Type="http://schemas.openxmlformats.org/officeDocument/2006/relationships/hyperlink" Target="https://drive.google.com/file/d/1s26m-98VmwIJwxMC-Tm7qt1TA0dRKbhZ/view?usp=drivesdk" TargetMode="External"/><Relationship Id="rId658" Type="http://schemas.openxmlformats.org/officeDocument/2006/relationships/hyperlink" Target="https://drive.google.com/file/d/12qCiKv6J4SgfX_pd5fuvCVNxmM3skl1d/view?usp=drivesdk" TargetMode="External"/><Relationship Id="rId1480" Type="http://schemas.openxmlformats.org/officeDocument/2006/relationships/hyperlink" Target="https://drive.google.com/file/d/1zEEzJorm4NMOaAzqz9h9s5GOlIb1YVQo/view?usp=drivesdk" TargetMode="External"/><Relationship Id="rId1481" Type="http://schemas.openxmlformats.org/officeDocument/2006/relationships/hyperlink" Target="https://drive.google.com/file/d/1imAx6dmQtWiS5VnDT7LM1Pv-7Fmv4q0t/view?usp=drivesdk" TargetMode="External"/><Relationship Id="rId1482" Type="http://schemas.openxmlformats.org/officeDocument/2006/relationships/hyperlink" Target="https://drive.google.com/file/d/1byz7AyfteF1u_a68HEvom3Mwh6rXoXi0/view?usp=drivesdk" TargetMode="External"/><Relationship Id="rId1483" Type="http://schemas.openxmlformats.org/officeDocument/2006/relationships/hyperlink" Target="https://drive.google.com/file/d/1cB5xfmf3D3sljVZf__EYR64QA5_6sxKl/view?usp=drivesdk" TargetMode="External"/><Relationship Id="rId653" Type="http://schemas.openxmlformats.org/officeDocument/2006/relationships/hyperlink" Target="https://drive.google.com/file/d/1oGYeh9V0nFH0wwp11viZxGidPq5oejO2/view?usp=drivesdk" TargetMode="External"/><Relationship Id="rId1484" Type="http://schemas.openxmlformats.org/officeDocument/2006/relationships/hyperlink" Target="https://drive.google.com/file/d/1IPiiPzd-m44_afOzCS7QvMES8_oBEhvq/view?usp=drivesdk" TargetMode="External"/><Relationship Id="rId652" Type="http://schemas.openxmlformats.org/officeDocument/2006/relationships/hyperlink" Target="https://drive.google.com/file/d/1lJX_uLqQTFzl3Dr9EVAYC6OFLvyy8w5u/view?usp=drivesdk" TargetMode="External"/><Relationship Id="rId1485" Type="http://schemas.openxmlformats.org/officeDocument/2006/relationships/hyperlink" Target="https://drive.google.com/file/d/1-mh2DYKKpcAoRtp_P-ryesrulkz7jlbu/view?usp=drivesdk" TargetMode="External"/><Relationship Id="rId651" Type="http://schemas.openxmlformats.org/officeDocument/2006/relationships/hyperlink" Target="https://drive.google.com/file/d/1-Lhzzq9KjrRv22Rr_HTvtYU2IyQQela2/view?usp=drivesdk" TargetMode="External"/><Relationship Id="rId1486" Type="http://schemas.openxmlformats.org/officeDocument/2006/relationships/hyperlink" Target="https://drive.google.com/file/d/1ymOhc8W3MaYfXbeHuX_6UGKrtqUQmHlD/view?usp=drivesdk" TargetMode="External"/><Relationship Id="rId650" Type="http://schemas.openxmlformats.org/officeDocument/2006/relationships/hyperlink" Target="https://drive.google.com/file/d/1F0sZGq5X_UbY_KQwRgvQwUT6SLIMLzZK/view?usp=drivesdk" TargetMode="External"/><Relationship Id="rId1487" Type="http://schemas.openxmlformats.org/officeDocument/2006/relationships/hyperlink" Target="https://drive.google.com/file/d/1-9Fcmt4OS-LDChgj2l27HGaNzy4UZ_SN/view?usp=drivesdk" TargetMode="External"/><Relationship Id="rId3216" Type="http://schemas.openxmlformats.org/officeDocument/2006/relationships/hyperlink" Target="https://drive.google.com/file/d/1m4aJwxOLHaW6W9BHJ4qrcFGnuaciz1IC/view?usp=drivesdk" TargetMode="External"/><Relationship Id="rId3215" Type="http://schemas.openxmlformats.org/officeDocument/2006/relationships/hyperlink" Target="https://drive.google.com/file/d/1VyZodnC88TkBiX9hwQqLISstx0--OlF9/view?usp=drivesdk" TargetMode="External"/><Relationship Id="rId3218" Type="http://schemas.openxmlformats.org/officeDocument/2006/relationships/hyperlink" Target="https://drive.google.com/file/d/16Fdz5Q4hZTnIAAvzSPJ1UmDOOND5AaDe/view?usp=drivesdk" TargetMode="External"/><Relationship Id="rId3217" Type="http://schemas.openxmlformats.org/officeDocument/2006/relationships/hyperlink" Target="https://drive.google.com/file/d/1TnJyaUoRrpzVV53y8GXds5wdlyuM-9mX/view?usp=drivesdk" TargetMode="External"/><Relationship Id="rId3219" Type="http://schemas.openxmlformats.org/officeDocument/2006/relationships/hyperlink" Target="https://drive.google.com/file/d/14LrYEERHFe3i5aIlqqcm_uO0CiKkW1y2/view?usp=drivesdk" TargetMode="External"/><Relationship Id="rId689" Type="http://schemas.openxmlformats.org/officeDocument/2006/relationships/hyperlink" Target="https://drive.google.com/file/d/1DYmdntblIulNRsPyyrm5x22gnHhoY8pq/view?usp=drivesdk" TargetMode="External"/><Relationship Id="rId688" Type="http://schemas.openxmlformats.org/officeDocument/2006/relationships/hyperlink" Target="https://drive.google.com/file/d/1Chh6vBl85oVtpr9-puQubPDNnbZkh7KZ/view?usp=drivesdk" TargetMode="External"/><Relationship Id="rId687" Type="http://schemas.openxmlformats.org/officeDocument/2006/relationships/hyperlink" Target="https://drive.google.com/file/d/1dRy6uzp7aqKlyDxCgKtUe6SdqAcqJcFb/view?usp=drivesdk" TargetMode="External"/><Relationship Id="rId682" Type="http://schemas.openxmlformats.org/officeDocument/2006/relationships/hyperlink" Target="https://drive.google.com/file/d/1kxkyKkDKE_f6tUlJtBg2iiCz8l4PaTXq/view?usp=drivesdk" TargetMode="External"/><Relationship Id="rId681" Type="http://schemas.openxmlformats.org/officeDocument/2006/relationships/hyperlink" Target="https://drive.google.com/file/d/1gmNjtyz5pPZ4yXAlGbkikOo202Q8OE2f/view?usp=drivesdk" TargetMode="External"/><Relationship Id="rId680" Type="http://schemas.openxmlformats.org/officeDocument/2006/relationships/hyperlink" Target="https://drive.google.com/file/d/1r5ovnhAzHBaCUudZn50hc3NoyL8jZAmC/view?usp=drivesdk" TargetMode="External"/><Relationship Id="rId3210" Type="http://schemas.openxmlformats.org/officeDocument/2006/relationships/hyperlink" Target="https://drive.google.com/file/d/1-F7GLgEY4EHaws_BqDjoz-2HKv4q25Jx/view?usp=drivesdk" TargetMode="External"/><Relationship Id="rId686" Type="http://schemas.openxmlformats.org/officeDocument/2006/relationships/hyperlink" Target="https://drive.google.com/file/d/17_tDs0eYV7L5-i0jFrbeoHaRBrcSQ9-9/view?usp=drivesdk" TargetMode="External"/><Relationship Id="rId3212" Type="http://schemas.openxmlformats.org/officeDocument/2006/relationships/hyperlink" Target="https://drive.google.com/file/d/1uUa0wmROI0qE2xnTwxRVDmnwcW2lORPw/view?usp=drivesdk" TargetMode="External"/><Relationship Id="rId685" Type="http://schemas.openxmlformats.org/officeDocument/2006/relationships/hyperlink" Target="https://drive.google.com/file/d/1bEaoql3JPo9kr-cVBMicceFggwTMTsuH/view?usp=drivesdk" TargetMode="External"/><Relationship Id="rId3211" Type="http://schemas.openxmlformats.org/officeDocument/2006/relationships/hyperlink" Target="https://drive.google.com/file/d/1_PDJ9HJdyc65HgAxy4hirK9FdTGjmJt6/view?usp=drivesdk" TargetMode="External"/><Relationship Id="rId684" Type="http://schemas.openxmlformats.org/officeDocument/2006/relationships/hyperlink" Target="https://drive.google.com/file/d/1S6q42zMajW3e56q4dEzSxwGeaOEtme7A/view?usp=drivesdk" TargetMode="External"/><Relationship Id="rId3214" Type="http://schemas.openxmlformats.org/officeDocument/2006/relationships/hyperlink" Target="https://drive.google.com/file/d/1y8mrTT7_nUvHiOOj_Est9-y7QPFPn7bM/view?usp=drivesdk" TargetMode="External"/><Relationship Id="rId683" Type="http://schemas.openxmlformats.org/officeDocument/2006/relationships/hyperlink" Target="https://drive.google.com/file/d/191wNcdlu6WSjOiLz6ynsrrPs-OvHpvBb/view?usp=drivesdk" TargetMode="External"/><Relationship Id="rId3213" Type="http://schemas.openxmlformats.org/officeDocument/2006/relationships/hyperlink" Target="https://drive.google.com/file/d/1mE5XaAsbpzpaVByGMY_Y-yHafY0h2G_x/view?usp=drivesdk" TargetMode="External"/><Relationship Id="rId3205" Type="http://schemas.openxmlformats.org/officeDocument/2006/relationships/hyperlink" Target="https://drive.google.com/file/d/1Gkz07e_5xnoHy7zdKAHfWY6layqbA2lX/view?usp=drivesdk" TargetMode="External"/><Relationship Id="rId3204" Type="http://schemas.openxmlformats.org/officeDocument/2006/relationships/hyperlink" Target="https://drive.google.com/file/d/1azpl3Wmo9R6ywyk7lG4WR5Xnl3l99eut/view?usp=drivesdk" TargetMode="External"/><Relationship Id="rId3207" Type="http://schemas.openxmlformats.org/officeDocument/2006/relationships/hyperlink" Target="https://drive.google.com/file/d/14KU35or-OxTWODmUyKwRoB3qwuTQZobO/view?usp=drivesdk" TargetMode="External"/><Relationship Id="rId3206" Type="http://schemas.openxmlformats.org/officeDocument/2006/relationships/hyperlink" Target="https://drive.google.com/file/d/1a05JoYmLdyaqZqx1lMlnobPSBoVtshdG/view?usp=drivesdk" TargetMode="External"/><Relationship Id="rId3209" Type="http://schemas.openxmlformats.org/officeDocument/2006/relationships/hyperlink" Target="https://drive.google.com/file/d/1n-xkjkrGpKzc0Ew4FDfG-BXhbw4Koezu/view?usp=drivesdk" TargetMode="External"/><Relationship Id="rId3208" Type="http://schemas.openxmlformats.org/officeDocument/2006/relationships/hyperlink" Target="https://drive.google.com/file/d/17_Ll2w4V8oHKFKapa6lsAJcfuwPXIghG/view?usp=drivesdk" TargetMode="External"/><Relationship Id="rId679" Type="http://schemas.openxmlformats.org/officeDocument/2006/relationships/hyperlink" Target="https://drive.google.com/file/d/1CXMF_prLulQt9TmDj8jXynwOKdLqsKcv/view?usp=drivesdk" TargetMode="External"/><Relationship Id="rId678" Type="http://schemas.openxmlformats.org/officeDocument/2006/relationships/hyperlink" Target="https://drive.google.com/file/d/1QKSVrVs3ToVlnjO6iEoxwGCX6epTjmVZ/view?usp=drivesdk" TargetMode="External"/><Relationship Id="rId677" Type="http://schemas.openxmlformats.org/officeDocument/2006/relationships/hyperlink" Target="https://drive.google.com/file/d/1T6MI-QrvVvuxvpPRZQnRn0ZOT5mfcASs/view?usp=drivesdk" TargetMode="External"/><Relationship Id="rId676" Type="http://schemas.openxmlformats.org/officeDocument/2006/relationships/hyperlink" Target="https://drive.google.com/file/d/1zVTWq7I8TIS6eGJya2U5gMvyWW0Wq_nK/view?usp=drivesdk" TargetMode="External"/><Relationship Id="rId671" Type="http://schemas.openxmlformats.org/officeDocument/2006/relationships/hyperlink" Target="https://drive.google.com/file/d/1v7zu6XbXRHoXs-7JSP25VGVnsNP6A_jX/view?usp=drivesdk" TargetMode="External"/><Relationship Id="rId670" Type="http://schemas.openxmlformats.org/officeDocument/2006/relationships/hyperlink" Target="https://drive.google.com/file/d/1P_pRgTFBMoidfvsn5tY3n7SBVWvENXXn/view?usp=drivesdk" TargetMode="External"/><Relationship Id="rId675" Type="http://schemas.openxmlformats.org/officeDocument/2006/relationships/hyperlink" Target="https://drive.google.com/file/d/1chHae6x11SjPt64gW5U6i3iq8hgn5ATd/view?usp=drivesdk" TargetMode="External"/><Relationship Id="rId3201" Type="http://schemas.openxmlformats.org/officeDocument/2006/relationships/hyperlink" Target="https://drive.google.com/file/d/1L_UrUn7iF547GceUM9sV402LJMhvz5p-/view?usp=drivesdk" TargetMode="External"/><Relationship Id="rId674" Type="http://schemas.openxmlformats.org/officeDocument/2006/relationships/hyperlink" Target="https://drive.google.com/file/d/15mQBh3vsD8URQi3Ev_kwyXaqmnl0cao8/view?usp=drivesdk" TargetMode="External"/><Relationship Id="rId3200" Type="http://schemas.openxmlformats.org/officeDocument/2006/relationships/hyperlink" Target="https://drive.google.com/file/d/1MRe3AF5QHB9EAYy2OvHfuDzmNbF-vcva/view?usp=drivesdk" TargetMode="External"/><Relationship Id="rId673" Type="http://schemas.openxmlformats.org/officeDocument/2006/relationships/hyperlink" Target="https://drive.google.com/file/d/1s69aQI-0IM0vLTu3bML2mU_QbATlOmhu/view?usp=drivesdk" TargetMode="External"/><Relationship Id="rId3203" Type="http://schemas.openxmlformats.org/officeDocument/2006/relationships/hyperlink" Target="https://drive.google.com/file/d/1EGlmFl81-d1oxiKpGgGytIRbyZhEQLuV/view?usp=drivesdk" TargetMode="External"/><Relationship Id="rId672" Type="http://schemas.openxmlformats.org/officeDocument/2006/relationships/hyperlink" Target="https://drive.google.com/file/d/1mBzFBCsE1vm3CKMKVrFptlCXm7WZIBky/view?usp=drivesdk" TargetMode="External"/><Relationship Id="rId3202" Type="http://schemas.openxmlformats.org/officeDocument/2006/relationships/hyperlink" Target="https://drive.google.com/file/d/1ndD8z0H-I5x-TfBCqMqu0rgkodHkfNEf/view?usp=drivesdk" TargetMode="External"/><Relationship Id="rId190" Type="http://schemas.openxmlformats.org/officeDocument/2006/relationships/hyperlink" Target="https://drive.google.com/file/d/1YpnBYUq5-lyumtsW2UEAfVGd5idVcNk5/view?usp=drivesdk" TargetMode="External"/><Relationship Id="rId194" Type="http://schemas.openxmlformats.org/officeDocument/2006/relationships/hyperlink" Target="https://drive.google.com/file/d/1o9LFgnQOxOWMbLhy5xq59Vl4kwI6felM/view?usp=drivesdk" TargetMode="External"/><Relationship Id="rId193" Type="http://schemas.openxmlformats.org/officeDocument/2006/relationships/hyperlink" Target="https://drive.google.com/file/d/1iPBwaXn12azH6_c4xao-GstJS4IDhzaA/view?usp=drivesdk" TargetMode="External"/><Relationship Id="rId192" Type="http://schemas.openxmlformats.org/officeDocument/2006/relationships/hyperlink" Target="https://drive.google.com/file/d/1ttGyqEjjV-98eagMAZ7fs7ApCqu23b27/view?usp=drivesdk" TargetMode="External"/><Relationship Id="rId191" Type="http://schemas.openxmlformats.org/officeDocument/2006/relationships/hyperlink" Target="https://drive.google.com/file/d/1x0OrUY3f_uZA4N9WIGAtCGXXO_zE8J6X/view?usp=drivesdk" TargetMode="External"/><Relationship Id="rId187" Type="http://schemas.openxmlformats.org/officeDocument/2006/relationships/hyperlink" Target="https://drive.google.com/file/d/1k7D8BLKI6VEvmKKukcnZMTcBQ7Iy77Z4/view?usp=drivesdk" TargetMode="External"/><Relationship Id="rId186" Type="http://schemas.openxmlformats.org/officeDocument/2006/relationships/hyperlink" Target="https://drive.google.com/file/d/16vhAmKH7thiuelIE17pyY7D0wJtus73D/view?usp=drivesdk" TargetMode="External"/><Relationship Id="rId185" Type="http://schemas.openxmlformats.org/officeDocument/2006/relationships/hyperlink" Target="https://drive.google.com/file/d/1Wai537Bdksgo7NiPUQov2mJRlSxNs7CG/view?usp=drivesdk" TargetMode="External"/><Relationship Id="rId184" Type="http://schemas.openxmlformats.org/officeDocument/2006/relationships/hyperlink" Target="https://drive.google.com/file/d/1uFyHyfiGT8ls6_L0Nrg8kUJVkGZFVZN5/view?usp=drivesdk" TargetMode="External"/><Relationship Id="rId189" Type="http://schemas.openxmlformats.org/officeDocument/2006/relationships/hyperlink" Target="https://drive.google.com/file/d/1Qb6McwDZN1wvN2Xoee8F5MxcP6nr6orE/view?usp=drivesdk" TargetMode="External"/><Relationship Id="rId188" Type="http://schemas.openxmlformats.org/officeDocument/2006/relationships/hyperlink" Target="https://drive.google.com/file/d/1GT-qaxeEb9JVoczdh_-dcnBUidPQi00r/view?usp=drivesdk" TargetMode="External"/><Relationship Id="rId183" Type="http://schemas.openxmlformats.org/officeDocument/2006/relationships/hyperlink" Target="https://drive.google.com/file/d/1FG0oxVhiNWf1vOR1ldTnpWN_SByDykhC/view?usp=drivesdk" TargetMode="External"/><Relationship Id="rId182" Type="http://schemas.openxmlformats.org/officeDocument/2006/relationships/hyperlink" Target="https://drive.google.com/file/d/1D8MihRcGlFWexT1BoPcp1T6ccb_CjvIl/view?usp=drivesdk" TargetMode="External"/><Relationship Id="rId181" Type="http://schemas.openxmlformats.org/officeDocument/2006/relationships/hyperlink" Target="https://drive.google.com/file/d/1oQzG4SaGIoD7htUFgJpVkC642YWa4pE4/view?usp=drivesdk" TargetMode="External"/><Relationship Id="rId180" Type="http://schemas.openxmlformats.org/officeDocument/2006/relationships/hyperlink" Target="https://drive.google.com/file/d/1Dx0yGF6buJNzWueuaVBB00p-6vLQu8gj/view?usp=drivesdk" TargetMode="External"/><Relationship Id="rId176" Type="http://schemas.openxmlformats.org/officeDocument/2006/relationships/hyperlink" Target="https://drive.google.com/file/d/1SBAkEfUm_9PqmRtSg_dfYofaRzumUYlD/view?usp=drivesdk" TargetMode="External"/><Relationship Id="rId175" Type="http://schemas.openxmlformats.org/officeDocument/2006/relationships/hyperlink" Target="https://drive.google.com/file/d/108escJpqVIKi4ZLOsuLoYxiocGHOspZF/view?usp=drivesdk" TargetMode="External"/><Relationship Id="rId174" Type="http://schemas.openxmlformats.org/officeDocument/2006/relationships/hyperlink" Target="https://drive.google.com/file/d/1MTo3ZY508K7Ad12ooGdShsuDz1BAve48/view?usp=drivesdk" TargetMode="External"/><Relationship Id="rId173" Type="http://schemas.openxmlformats.org/officeDocument/2006/relationships/hyperlink" Target="https://drive.google.com/file/d/1XnFT588PLi3BJSo7A3uZPv5olVqpt_GM/view?usp=drivesdk" TargetMode="External"/><Relationship Id="rId179" Type="http://schemas.openxmlformats.org/officeDocument/2006/relationships/hyperlink" Target="https://drive.google.com/file/d/1WdLepbA4QHmWf69wCgB9VJghkl3BMpEK/view?usp=drivesdk" TargetMode="External"/><Relationship Id="rId178" Type="http://schemas.openxmlformats.org/officeDocument/2006/relationships/hyperlink" Target="https://drive.google.com/file/d/1mkXu7ycTGr6znhD-OYTyHsVbrfYDErli/view?usp=drivesdk" TargetMode="External"/><Relationship Id="rId177" Type="http://schemas.openxmlformats.org/officeDocument/2006/relationships/hyperlink" Target="https://drive.google.com/file/d/1HikX9WdmLUfa-Ywn6hUppY9ll5oRKuuB/view?usp=drivesdk" TargetMode="External"/><Relationship Id="rId198" Type="http://schemas.openxmlformats.org/officeDocument/2006/relationships/hyperlink" Target="https://drive.google.com/file/d/1l9mTkQDsziGfclWaiCq6pN22Nt3gjck9/view?usp=drivesdk" TargetMode="External"/><Relationship Id="rId197" Type="http://schemas.openxmlformats.org/officeDocument/2006/relationships/hyperlink" Target="https://drive.google.com/file/d/17GZaYn-mP0DGYa0RIQ5uI-vh1vAD0hZc/view?usp=drivesdk" TargetMode="External"/><Relationship Id="rId196" Type="http://schemas.openxmlformats.org/officeDocument/2006/relationships/hyperlink" Target="https://drive.google.com/file/d/1eqDmH-dclTWnNxnAK_2qulmpcYeOnLRM/view?usp=drivesdk" TargetMode="External"/><Relationship Id="rId195" Type="http://schemas.openxmlformats.org/officeDocument/2006/relationships/hyperlink" Target="https://drive.google.com/file/d/1STHrs5t12prgYSc1TN8l_wPj0GlytkgS/view?usp=drivesdk" TargetMode="External"/><Relationship Id="rId199" Type="http://schemas.openxmlformats.org/officeDocument/2006/relationships/hyperlink" Target="https://drive.google.com/file/d/1yiI0H2PpQpuOaLxjCkizKAnUX6WozMsa/view?usp=drivesdk" TargetMode="External"/><Relationship Id="rId150" Type="http://schemas.openxmlformats.org/officeDocument/2006/relationships/hyperlink" Target="https://drive.google.com/file/d/1Hk3ZIq6ws4oxMyfnuAZo0PwJMZLJvESM/view?usp=drivesdk" TargetMode="External"/><Relationship Id="rId149" Type="http://schemas.openxmlformats.org/officeDocument/2006/relationships/hyperlink" Target="https://drive.google.com/file/d/1rKuBUEScIJ7rXUSapIlRHQUtL1xTiyM9/view?usp=drivesdk" TargetMode="External"/><Relationship Id="rId148" Type="http://schemas.openxmlformats.org/officeDocument/2006/relationships/hyperlink" Target="https://drive.google.com/file/d/16w-mzwoY4czOLW1CWtNqG_1fcM557vJf/view?usp=drivesdk" TargetMode="External"/><Relationship Id="rId3270" Type="http://schemas.openxmlformats.org/officeDocument/2006/relationships/hyperlink" Target="https://drive.google.com/file/d/1FklynAHzflh7rbxQIU4qTxOz3VBhye8B/view?usp=drivesdk" TargetMode="External"/><Relationship Id="rId3272" Type="http://schemas.openxmlformats.org/officeDocument/2006/relationships/hyperlink" Target="https://drive.google.com/file/d/1D8BYqxNpLQsaWrEi9zrvQojkOgzP4Ps2/view?usp=drivesdk" TargetMode="External"/><Relationship Id="rId3271" Type="http://schemas.openxmlformats.org/officeDocument/2006/relationships/hyperlink" Target="https://drive.google.com/file/d/1k_ITkShMoY3bps8YyiRV8_CnbYN3486s/view?usp=drivesdk" TargetMode="External"/><Relationship Id="rId143" Type="http://schemas.openxmlformats.org/officeDocument/2006/relationships/hyperlink" Target="https://drive.google.com/file/d/1epsE3F38SKv3ikP0rrbj-olcBdYkgsd2/view?usp=drivesdk" TargetMode="External"/><Relationship Id="rId3274" Type="http://schemas.openxmlformats.org/officeDocument/2006/relationships/hyperlink" Target="https://drive.google.com/file/d/1OZLlA7rWPjzQ0aOsWuoK0fm_EoxUug0J/view?usp=drivesdk" TargetMode="External"/><Relationship Id="rId142" Type="http://schemas.openxmlformats.org/officeDocument/2006/relationships/hyperlink" Target="https://drive.google.com/file/d/1j0051ydbJxXGyxm_I4AtSLXtv_eqVt4R/view?usp=drivesdk" TargetMode="External"/><Relationship Id="rId3273" Type="http://schemas.openxmlformats.org/officeDocument/2006/relationships/hyperlink" Target="https://drive.google.com/file/d/1Gz8Y3sXt39nYqKigFe7GDA_0vlPzT9eo/view?usp=drivesdk" TargetMode="External"/><Relationship Id="rId141" Type="http://schemas.openxmlformats.org/officeDocument/2006/relationships/hyperlink" Target="https://drive.google.com/file/d/1Wl5_YotezrRI9wtNdcR-qx0VHpzcxVxB/view?usp=drivesdk" TargetMode="External"/><Relationship Id="rId3276" Type="http://schemas.openxmlformats.org/officeDocument/2006/relationships/hyperlink" Target="https://drive.google.com/file/d/1Qb4Psh8SW__HsspPDPz8L_LN-PJY1dF6/view?usp=drivesdk" TargetMode="External"/><Relationship Id="rId140" Type="http://schemas.openxmlformats.org/officeDocument/2006/relationships/hyperlink" Target="https://drive.google.com/file/d/1pis5HDyutK6buUux_j_a4w1U3bntxqmQ/view?usp=drivesdk" TargetMode="External"/><Relationship Id="rId3275" Type="http://schemas.openxmlformats.org/officeDocument/2006/relationships/hyperlink" Target="https://drive.google.com/file/d/1gqSNC7SSmFXr_f_6y6GPvT5XVE36ywaR/view?usp=drivesdk" TargetMode="External"/><Relationship Id="rId147" Type="http://schemas.openxmlformats.org/officeDocument/2006/relationships/hyperlink" Target="https://drive.google.com/file/d/1E7MZdZwf8AtTUPtQ8Jcbj6b63opuTF2K/view?usp=drivesdk" TargetMode="External"/><Relationship Id="rId3278" Type="http://schemas.openxmlformats.org/officeDocument/2006/relationships/hyperlink" Target="https://drive.google.com/file/d/1tLBPGqjmg-IWU2ByA0kjcl4d_-dSFQRP/view?usp=drivesdk" TargetMode="External"/><Relationship Id="rId146" Type="http://schemas.openxmlformats.org/officeDocument/2006/relationships/hyperlink" Target="https://drive.google.com/file/d/1NCgcv6bDMg5zpF-XCONliJ0kSaYfcaG-/view?usp=drivesdk" TargetMode="External"/><Relationship Id="rId3277" Type="http://schemas.openxmlformats.org/officeDocument/2006/relationships/hyperlink" Target="https://drive.google.com/file/d/10AhKxkQ_dxZHOYRrPgNEOVokMpRacTqj/view?usp=drivesdk" TargetMode="External"/><Relationship Id="rId145" Type="http://schemas.openxmlformats.org/officeDocument/2006/relationships/hyperlink" Target="https://drive.google.com/file/d/1YvWTGpU69yjrijigm4Tg7uB-g8S99RQr/view?usp=drivesdk" TargetMode="External"/><Relationship Id="rId144" Type="http://schemas.openxmlformats.org/officeDocument/2006/relationships/hyperlink" Target="https://drive.google.com/file/d/1Blx-vWWG1WcN67wYpSMF2Z-LJqLFMQKP/view?usp=drivesdk" TargetMode="External"/><Relationship Id="rId3279" Type="http://schemas.openxmlformats.org/officeDocument/2006/relationships/hyperlink" Target="https://drive.google.com/file/d/1ylm1-TrpeefNpirZWLXBaHDELNhcAqK1/view?usp=drivesdk" TargetMode="External"/><Relationship Id="rId139" Type="http://schemas.openxmlformats.org/officeDocument/2006/relationships/hyperlink" Target="https://drive.google.com/file/d/1MXikMVt_qnEBoOkPPlKfeE-pEGIz-8Ps/view?usp=drivesdk" TargetMode="External"/><Relationship Id="rId138" Type="http://schemas.openxmlformats.org/officeDocument/2006/relationships/hyperlink" Target="https://drive.google.com/file/d/1TcYkwMS63A27yw5XV4K3HW1QwQUCFArI/view?usp=drivesdk" TargetMode="External"/><Relationship Id="rId137" Type="http://schemas.openxmlformats.org/officeDocument/2006/relationships/hyperlink" Target="https://drive.google.com/file/d/1CYwgHNXPOtEkrV6hlVdBzNXsI9UjjZck/view?usp=drivesdk" TargetMode="External"/><Relationship Id="rId3261" Type="http://schemas.openxmlformats.org/officeDocument/2006/relationships/hyperlink" Target="https://drive.google.com/file/d/1KF3EmUMvFgpP_JffHNBHYjTtKalpvzRE/view?usp=drivesdk" TargetMode="External"/><Relationship Id="rId3260" Type="http://schemas.openxmlformats.org/officeDocument/2006/relationships/hyperlink" Target="https://drive.google.com/file/d/1yhJ17uggr6j5uXr73Jms5KP35M6RDUxL/view?usp=drivesdk" TargetMode="External"/><Relationship Id="rId132" Type="http://schemas.openxmlformats.org/officeDocument/2006/relationships/hyperlink" Target="https://drive.google.com/file/d/1yePqHvx_jdGaYv3agooyXALjn-i3ACuL/view?usp=drivesdk" TargetMode="External"/><Relationship Id="rId3263" Type="http://schemas.openxmlformats.org/officeDocument/2006/relationships/hyperlink" Target="https://drive.google.com/file/d/1_T47980LRcVvkPpcoUhfImG7kOlwUqEM/view?usp=drivesdk" TargetMode="External"/><Relationship Id="rId131" Type="http://schemas.openxmlformats.org/officeDocument/2006/relationships/hyperlink" Target="https://drive.google.com/file/d/1ZqZf1JWlUQIf5N74UTGwsFNqf_PH62V5/view?usp=drivesdk" TargetMode="External"/><Relationship Id="rId3262" Type="http://schemas.openxmlformats.org/officeDocument/2006/relationships/hyperlink" Target="https://drive.google.com/file/d/1UCGp2b9xQT5HVAnF4dD7JeFMbGrhzpex/view?usp=drivesdk" TargetMode="External"/><Relationship Id="rId130" Type="http://schemas.openxmlformats.org/officeDocument/2006/relationships/hyperlink" Target="https://drive.google.com/file/d/1r8wMO9hiyPE2sslwAH9hghvTFnujEcg1/view?usp=drivesdk" TargetMode="External"/><Relationship Id="rId3265" Type="http://schemas.openxmlformats.org/officeDocument/2006/relationships/hyperlink" Target="https://drive.google.com/file/d/14sXJIUd6d9cI9KiIQjSDYIstLw99rX6Z/view?usp=drivesdk" TargetMode="External"/><Relationship Id="rId3264" Type="http://schemas.openxmlformats.org/officeDocument/2006/relationships/hyperlink" Target="https://drive.google.com/file/d/1-pDt7XIQ8gHle_zOW9q4-7M5_5yCo3db/view?usp=drivesdk" TargetMode="External"/><Relationship Id="rId136" Type="http://schemas.openxmlformats.org/officeDocument/2006/relationships/hyperlink" Target="https://drive.google.com/file/d/1hnnNGSKPjqAKc1DctPTLlnORNcOSTjyk/view?usp=drivesdk" TargetMode="External"/><Relationship Id="rId3267" Type="http://schemas.openxmlformats.org/officeDocument/2006/relationships/hyperlink" Target="https://drive.google.com/file/d/1MyvsQotXbWyaILWmhISzDQWsI0r_I8bs/view?usp=drivesdk" TargetMode="External"/><Relationship Id="rId135" Type="http://schemas.openxmlformats.org/officeDocument/2006/relationships/hyperlink" Target="https://drive.google.com/file/d/10hNsDQfNQQHgcBiecBmwg1Tftn1ooNPb/view?usp=drivesdk" TargetMode="External"/><Relationship Id="rId3266" Type="http://schemas.openxmlformats.org/officeDocument/2006/relationships/hyperlink" Target="https://drive.google.com/file/d/12oauQ37y0mcMDFqJ7bqVhBYq58KEsGVx/view?usp=drivesdk" TargetMode="External"/><Relationship Id="rId134" Type="http://schemas.openxmlformats.org/officeDocument/2006/relationships/hyperlink" Target="https://drive.google.com/file/d/1G5Qviw8XtO41GX7dL24PkOvMmL8tph03/view?usp=drivesdk" TargetMode="External"/><Relationship Id="rId3269" Type="http://schemas.openxmlformats.org/officeDocument/2006/relationships/hyperlink" Target="https://drive.google.com/file/d/1jvY3Sgds8iuvtsLXHlpUqcaSBliH2tJV/view?usp=drivesdk" TargetMode="External"/><Relationship Id="rId133" Type="http://schemas.openxmlformats.org/officeDocument/2006/relationships/hyperlink" Target="https://drive.google.com/file/d/1V_mEqyjyoaZRBUu9sHeeco-5r2wW4KVl/view?usp=drivesdk" TargetMode="External"/><Relationship Id="rId3268" Type="http://schemas.openxmlformats.org/officeDocument/2006/relationships/hyperlink" Target="https://drive.google.com/file/d/13sjd1O1OzYrSOURmApaPxDr_dnNuQRdk/view?usp=drivesdk" TargetMode="External"/><Relationship Id="rId172" Type="http://schemas.openxmlformats.org/officeDocument/2006/relationships/hyperlink" Target="https://drive.google.com/file/d/1KEXUiIYvvznwoIQwVZ2426vrZy8om463/view?usp=drivesdk" TargetMode="External"/><Relationship Id="rId171" Type="http://schemas.openxmlformats.org/officeDocument/2006/relationships/hyperlink" Target="https://drive.google.com/file/d/1-AJEREsLEF5QsmLoFPB74T0mFzRMKxPy/view?usp=drivesdk" TargetMode="External"/><Relationship Id="rId170" Type="http://schemas.openxmlformats.org/officeDocument/2006/relationships/hyperlink" Target="https://drive.google.com/file/d/1ZdopqgK30uj2mX3BKIOp3BiuBSk4DNvw/view?usp=drivesdk" TargetMode="External"/><Relationship Id="rId3290" Type="http://schemas.openxmlformats.org/officeDocument/2006/relationships/hyperlink" Target="https://drive.google.com/file/d/1OUD6knA8aPg9qTSfvRhBCXYuFwJTOzS8/view?usp=drivesdk" TargetMode="External"/><Relationship Id="rId3292" Type="http://schemas.openxmlformats.org/officeDocument/2006/relationships/hyperlink" Target="https://drive.google.com/file/d/1Okxe-KGvhvVzBCoNlkxv4sqCXcBKv2mg/view?usp=drivesdk" TargetMode="External"/><Relationship Id="rId3291" Type="http://schemas.openxmlformats.org/officeDocument/2006/relationships/hyperlink" Target="https://drive.google.com/file/d/1LgctUTqq1qHQq3xvejQZ1bpldXd2lEXd/view?usp=drivesdk" TargetMode="External"/><Relationship Id="rId3294" Type="http://schemas.openxmlformats.org/officeDocument/2006/relationships/hyperlink" Target="https://drive.google.com/file/d/1PY5jtq5K0dIYw5O_olHRDGUfn11WN3AQ/view?usp=drivesdk" TargetMode="External"/><Relationship Id="rId3293" Type="http://schemas.openxmlformats.org/officeDocument/2006/relationships/hyperlink" Target="https://drive.google.com/file/d/1Jd-vxSthONF63SEDbsY6lw8r6uODUAX8/view?usp=drivesdk" TargetMode="External"/><Relationship Id="rId165" Type="http://schemas.openxmlformats.org/officeDocument/2006/relationships/hyperlink" Target="https://drive.google.com/file/d/1KfJWPGlenqI54sPbs5sq_AqblEnHdSY3/view?usp=drivesdk" TargetMode="External"/><Relationship Id="rId3296" Type="http://schemas.openxmlformats.org/officeDocument/2006/relationships/hyperlink" Target="https://drive.google.com/file/d/11cUsFlwo9goZsKmyqcZULLURsoogutHZ/view?usp=drivesdk" TargetMode="External"/><Relationship Id="rId164" Type="http://schemas.openxmlformats.org/officeDocument/2006/relationships/hyperlink" Target="https://drive.google.com/file/d/1TWOle5jZwF4mOpnWootwxqe8tRTjdKQq/view?usp=drivesdk" TargetMode="External"/><Relationship Id="rId3295" Type="http://schemas.openxmlformats.org/officeDocument/2006/relationships/hyperlink" Target="https://drive.google.com/file/d/1xs7muWdyYdblxSMymp-O09c44czfutsh/view?usp=drivesdk" TargetMode="External"/><Relationship Id="rId163" Type="http://schemas.openxmlformats.org/officeDocument/2006/relationships/hyperlink" Target="https://drive.google.com/file/d/11QjW5oKOXf8m7xflls94J-rfsOhzHuVk/view?usp=drivesdk" TargetMode="External"/><Relationship Id="rId3298" Type="http://schemas.openxmlformats.org/officeDocument/2006/relationships/hyperlink" Target="https://drive.google.com/file/d/12w45h6wJ8IUMgRm5zyOxy7Tin7V_CCLy/view?usp=drivesdk" TargetMode="External"/><Relationship Id="rId162" Type="http://schemas.openxmlformats.org/officeDocument/2006/relationships/hyperlink" Target="https://drive.google.com/file/d/1avg5-7PhyPhRniShuf-ZoCyE-OnHjfrd/view?usp=drivesdk" TargetMode="External"/><Relationship Id="rId3297" Type="http://schemas.openxmlformats.org/officeDocument/2006/relationships/hyperlink" Target="https://drive.google.com/file/d/1eCdADofR0Ulm7MkJ79uZdjuwR09NEDnI/view?usp=drivesdk" TargetMode="External"/><Relationship Id="rId169" Type="http://schemas.openxmlformats.org/officeDocument/2006/relationships/hyperlink" Target="https://drive.google.com/file/d/1p2HVlW2MEPPRrDc6rba1Kcdv596SEGrz/view?usp=drivesdk" TargetMode="External"/><Relationship Id="rId168" Type="http://schemas.openxmlformats.org/officeDocument/2006/relationships/hyperlink" Target="https://drive.google.com/file/d/1QDwDxsBJX-4rWq9wiC5mRD5NSx0i1967/view?usp=drivesdk" TargetMode="External"/><Relationship Id="rId3299" Type="http://schemas.openxmlformats.org/officeDocument/2006/relationships/hyperlink" Target="https://drive.google.com/file/d/1-SOOgACp6dnzzYdlh2PFI-ANnAwmf5c6/view?usp=drivesdk" TargetMode="External"/><Relationship Id="rId167" Type="http://schemas.openxmlformats.org/officeDocument/2006/relationships/hyperlink" Target="https://drive.google.com/file/d/1lHNTBQp12A45NMQfjKSi2RMvdNgLrNds/view?usp=drivesdk" TargetMode="External"/><Relationship Id="rId166" Type="http://schemas.openxmlformats.org/officeDocument/2006/relationships/hyperlink" Target="https://drive.google.com/file/d/1UuBz2hxXUgsxBm2HBKh9q3O3b4sD1Fcg/view?usp=drivesdk" TargetMode="External"/><Relationship Id="rId161" Type="http://schemas.openxmlformats.org/officeDocument/2006/relationships/hyperlink" Target="https://drive.google.com/file/d/1rqZZyyinJiaurCrPOaRT6RAn0ShPuKge/view?usp=drivesdk" TargetMode="External"/><Relationship Id="rId160" Type="http://schemas.openxmlformats.org/officeDocument/2006/relationships/hyperlink" Target="https://drive.google.com/file/d/1Kx3HQWov5dqhoXoKcnW11Y8VDGMgvha1/view?usp=drivesdk" TargetMode="External"/><Relationship Id="rId159" Type="http://schemas.openxmlformats.org/officeDocument/2006/relationships/hyperlink" Target="https://drive.google.com/file/d/1Q4tWNYAEmSd5oUv_H8sbaIDyNh6nvCOi/view?usp=drivesdk" TargetMode="External"/><Relationship Id="rId3281" Type="http://schemas.openxmlformats.org/officeDocument/2006/relationships/hyperlink" Target="https://drive.google.com/file/d/1mjYJdtrFbuNUuiClqSMdmti90aj-6cbK/view?usp=drivesdk" TargetMode="External"/><Relationship Id="rId3280" Type="http://schemas.openxmlformats.org/officeDocument/2006/relationships/hyperlink" Target="https://drive.google.com/file/d/1VbP_Ewf88OEuvCt9ZwvGSNNhhGDSj19O/view?usp=drivesdk" TargetMode="External"/><Relationship Id="rId3283" Type="http://schemas.openxmlformats.org/officeDocument/2006/relationships/hyperlink" Target="https://drive.google.com/file/d/1aykdUrdNDQMd7IVvqNy3V_z8BwKq0YuV/view?usp=drivesdk" TargetMode="External"/><Relationship Id="rId3282" Type="http://schemas.openxmlformats.org/officeDocument/2006/relationships/hyperlink" Target="https://drive.google.com/file/d/15zJCvari-TFQv9pzANnsu-4EYcYNYVrW/view?usp=drivesdk" TargetMode="External"/><Relationship Id="rId154" Type="http://schemas.openxmlformats.org/officeDocument/2006/relationships/hyperlink" Target="https://drive.google.com/file/d/1kJ-E0Ox6RWOTIqmyX5aoD_9UfhIzgxu_/view?usp=drivesdk" TargetMode="External"/><Relationship Id="rId3285" Type="http://schemas.openxmlformats.org/officeDocument/2006/relationships/hyperlink" Target="https://drive.google.com/file/d/1pZrmtVQlW4Pm144U62OnQaKTslWUIqbt/view?usp=drivesdk" TargetMode="External"/><Relationship Id="rId153" Type="http://schemas.openxmlformats.org/officeDocument/2006/relationships/hyperlink" Target="https://drive.google.com/file/d/1L3K6cyxwdoM_ElhMNZkpITUKreDDRz2J/view?usp=drivesdk" TargetMode="External"/><Relationship Id="rId3284" Type="http://schemas.openxmlformats.org/officeDocument/2006/relationships/hyperlink" Target="https://drive.google.com/file/d/1fmLie5fT08gQ-FPdfNY7VkK-cl_TbiCC/view?usp=drivesdk" TargetMode="External"/><Relationship Id="rId152" Type="http://schemas.openxmlformats.org/officeDocument/2006/relationships/hyperlink" Target="https://drive.google.com/file/d/1Vc_D3k0PQUa8FKQ8tMUhY46UtrqFrXFd/view?usp=drivesdk" TargetMode="External"/><Relationship Id="rId3287" Type="http://schemas.openxmlformats.org/officeDocument/2006/relationships/hyperlink" Target="https://drive.google.com/file/d/12dihw_oF9yYrqSWQ8I8B4AJUed_ZzRRh/view?usp=drivesdk" TargetMode="External"/><Relationship Id="rId151" Type="http://schemas.openxmlformats.org/officeDocument/2006/relationships/hyperlink" Target="https://drive.google.com/file/d/19oxBMKNS9qCof9fd9KIMOAZbYSM-xeI6/view?usp=drivesdk" TargetMode="External"/><Relationship Id="rId3286" Type="http://schemas.openxmlformats.org/officeDocument/2006/relationships/hyperlink" Target="https://drive.google.com/file/d/1yjPQh3Y3JQTvZt9KASbvE7xGnpHw0Txm/view?usp=drivesdk" TargetMode="External"/><Relationship Id="rId158" Type="http://schemas.openxmlformats.org/officeDocument/2006/relationships/hyperlink" Target="https://drive.google.com/file/d/1iORUGWJ6uN1MPn4Te8nymn89Wwv8IC4X/view?usp=drivesdk" TargetMode="External"/><Relationship Id="rId3289" Type="http://schemas.openxmlformats.org/officeDocument/2006/relationships/hyperlink" Target="https://drive.google.com/file/d/1n4Jo0WdyMm3V1SkI1hby710CoJe-zbeV/view?usp=drivesdk" TargetMode="External"/><Relationship Id="rId157" Type="http://schemas.openxmlformats.org/officeDocument/2006/relationships/hyperlink" Target="https://drive.google.com/file/d/1LLDMvfGDIHASGSzr2BgwNUBJ2q7JSt_z/view?usp=drivesdk" TargetMode="External"/><Relationship Id="rId3288" Type="http://schemas.openxmlformats.org/officeDocument/2006/relationships/hyperlink" Target="https://drive.google.com/file/d/1cdxhLXtssEMbvuMMHfeGthoMD_6qK6dF/view?usp=drivesdk" TargetMode="External"/><Relationship Id="rId156" Type="http://schemas.openxmlformats.org/officeDocument/2006/relationships/hyperlink" Target="https://drive.google.com/file/d/1N7nDgaBzk42hti9URRWIZ8mTZQWQuxwr/view?usp=drivesdk" TargetMode="External"/><Relationship Id="rId155" Type="http://schemas.openxmlformats.org/officeDocument/2006/relationships/hyperlink" Target="https://drive.google.com/file/d/1MQQg7eQGUW4ZH3CDYGhL5RWF3F4xeVWo/view?usp=drivesdk" TargetMode="External"/><Relationship Id="rId2820" Type="http://schemas.openxmlformats.org/officeDocument/2006/relationships/hyperlink" Target="https://drive.google.com/file/d/15DG09z-Q1avKwoLeUifY-dU1v9ht0kXY/view?usp=drivesdk" TargetMode="External"/><Relationship Id="rId2821" Type="http://schemas.openxmlformats.org/officeDocument/2006/relationships/hyperlink" Target="https://drive.google.com/file/d/1aNCopp6L-iHhMqKziEr--S-rJPm203hR/view?usp=drivesdk" TargetMode="External"/><Relationship Id="rId2822" Type="http://schemas.openxmlformats.org/officeDocument/2006/relationships/hyperlink" Target="https://drive.google.com/file/d/1dsvOBmBs1wP88rR3tXOp4XVBBUmmNcsQ/view?usp=drivesdk" TargetMode="External"/><Relationship Id="rId2823" Type="http://schemas.openxmlformats.org/officeDocument/2006/relationships/hyperlink" Target="https://drive.google.com/file/d/1FA-zcvOHTA7xvok7vsBsqo32SwSG_W0T/view?usp=drivesdk" TargetMode="External"/><Relationship Id="rId2824" Type="http://schemas.openxmlformats.org/officeDocument/2006/relationships/hyperlink" Target="https://drive.google.com/file/d/1fG33_gUttrbjxOWCW-_NMak-KhKBrija/view?usp=drivesdk" TargetMode="External"/><Relationship Id="rId2825" Type="http://schemas.openxmlformats.org/officeDocument/2006/relationships/hyperlink" Target="https://drive.google.com/file/d/1R36UqBtXAtA4BMYOQZDdBTMQHYPhyClu/view?usp=drivesdk" TargetMode="External"/><Relationship Id="rId2826" Type="http://schemas.openxmlformats.org/officeDocument/2006/relationships/hyperlink" Target="https://drive.google.com/file/d/1QViH4ajHq8X5kkbFfEdjYYy64Zu212y8/view?usp=drivesdk" TargetMode="External"/><Relationship Id="rId2827" Type="http://schemas.openxmlformats.org/officeDocument/2006/relationships/hyperlink" Target="https://drive.google.com/file/d/1p9EfrEPmDrshSQQyoPV1qK7eirjasytX/view?usp=drivesdk" TargetMode="External"/><Relationship Id="rId2828" Type="http://schemas.openxmlformats.org/officeDocument/2006/relationships/hyperlink" Target="https://drive.google.com/file/d/10-cf4o0AuxlLhrP13LowyOyLXJEcfPon/view?usp=drivesdk" TargetMode="External"/><Relationship Id="rId2829" Type="http://schemas.openxmlformats.org/officeDocument/2006/relationships/hyperlink" Target="https://drive.google.com/file/d/1zi3DLqOGO7Btyv2lzS3_iuu2oIfHSvhn/view?usp=drivesdk" TargetMode="External"/><Relationship Id="rId2810" Type="http://schemas.openxmlformats.org/officeDocument/2006/relationships/hyperlink" Target="https://drive.google.com/file/d/1m5ZlxWxxW6mIJMc4yPo8-xk7pqhPlOsf/view?usp=drivesdk" TargetMode="External"/><Relationship Id="rId2811" Type="http://schemas.openxmlformats.org/officeDocument/2006/relationships/hyperlink" Target="https://drive.google.com/file/d/1PTnkzr8QEo22di-UQWPHzD8_NqzRwLZZ/view?usp=drivesdk" TargetMode="External"/><Relationship Id="rId2812" Type="http://schemas.openxmlformats.org/officeDocument/2006/relationships/hyperlink" Target="https://drive.google.com/file/d/1a_TAmQXjhkfvt4i4JzzGhoFGBmtYk_1Z/view?usp=drivesdk" TargetMode="External"/><Relationship Id="rId2813" Type="http://schemas.openxmlformats.org/officeDocument/2006/relationships/hyperlink" Target="https://drive.google.com/file/d/1nVUA1RBik6M2hcwtK79Vsh6Pw_dxLn8h/view?usp=drivesdk" TargetMode="External"/><Relationship Id="rId2814" Type="http://schemas.openxmlformats.org/officeDocument/2006/relationships/hyperlink" Target="https://drive.google.com/file/d/1Mg33u9waVV2mObboAz-o1lX_7OGD4KRf/view?usp=drivesdk" TargetMode="External"/><Relationship Id="rId2815" Type="http://schemas.openxmlformats.org/officeDocument/2006/relationships/hyperlink" Target="https://drive.google.com/file/d/137jHE2eBwiXadYLyoWCwy8P9cobbLSgR/view?usp=drivesdk" TargetMode="External"/><Relationship Id="rId2816" Type="http://schemas.openxmlformats.org/officeDocument/2006/relationships/hyperlink" Target="https://drive.google.com/file/d/1JV5E_tSPkgvvTRPEu2rgklQPb_8Yb_7M/view?usp=drivesdk" TargetMode="External"/><Relationship Id="rId2817" Type="http://schemas.openxmlformats.org/officeDocument/2006/relationships/hyperlink" Target="https://drive.google.com/file/d/1KPX3cJhfnpW31dGY6ra4LvHIpzivafj3/view?usp=drivesdk" TargetMode="External"/><Relationship Id="rId2818" Type="http://schemas.openxmlformats.org/officeDocument/2006/relationships/hyperlink" Target="https://drive.google.com/file/d/1mgtXjUjGQ4kYpZsW972EgP1jUJi2bdlT/view?usp=drivesdk" TargetMode="External"/><Relationship Id="rId2819" Type="http://schemas.openxmlformats.org/officeDocument/2006/relationships/hyperlink" Target="https://drive.google.com/file/d/1Y8g9Mt2NlD4L3SEcN0KuE57CVvxX5ojn/view?usp=drivesdk" TargetMode="External"/><Relationship Id="rId1510" Type="http://schemas.openxmlformats.org/officeDocument/2006/relationships/hyperlink" Target="https://drive.google.com/file/d/1v5JUQLEDmWy4BdiCGTg1cMx4-nEilCjE/view?usp=drivesdk" TargetMode="External"/><Relationship Id="rId2841" Type="http://schemas.openxmlformats.org/officeDocument/2006/relationships/hyperlink" Target="https://drive.google.com/file/d/1wo2PsM8GTYQx74frM70uNiJKYAsBFUYB/view?usp=drivesdk" TargetMode="External"/><Relationship Id="rId1511" Type="http://schemas.openxmlformats.org/officeDocument/2006/relationships/hyperlink" Target="https://drive.google.com/file/d/1Ftq3K9ryKeeo3poWka8yOXvqE2XTCKB_/view?usp=drivesdk" TargetMode="External"/><Relationship Id="rId2842" Type="http://schemas.openxmlformats.org/officeDocument/2006/relationships/hyperlink" Target="https://drive.google.com/file/d/18k5lmuAt7G5fW0h7Ox4zm9sp87t0pl9o/view?usp=drivesdk" TargetMode="External"/><Relationship Id="rId1512" Type="http://schemas.openxmlformats.org/officeDocument/2006/relationships/hyperlink" Target="https://drive.google.com/file/d/1DzpPz0VTbBR6ciyjMeI7eqZ0yS3hk5bu/view?usp=drivesdk" TargetMode="External"/><Relationship Id="rId2843" Type="http://schemas.openxmlformats.org/officeDocument/2006/relationships/hyperlink" Target="https://drive.google.com/file/d/1MPCWsbzcBe5ePjP0UljBAK8ZnOW2vQy1/view?usp=drivesdk" TargetMode="External"/><Relationship Id="rId1513" Type="http://schemas.openxmlformats.org/officeDocument/2006/relationships/hyperlink" Target="https://drive.google.com/file/d/1_WInKYRHCFua0SJw_otCPeSD2KEBum9p/view?usp=drivesdk" TargetMode="External"/><Relationship Id="rId2844" Type="http://schemas.openxmlformats.org/officeDocument/2006/relationships/hyperlink" Target="https://drive.google.com/file/d/1bqv0JC0jxBSnGUXudYVy287HrZYkg7f8/view?usp=drivesdk" TargetMode="External"/><Relationship Id="rId1514" Type="http://schemas.openxmlformats.org/officeDocument/2006/relationships/hyperlink" Target="https://drive.google.com/file/d/1hcOdaZqhnPhIbm6y2zTf_4JpMlceNmBd/view?usp=drivesdk" TargetMode="External"/><Relationship Id="rId2845" Type="http://schemas.openxmlformats.org/officeDocument/2006/relationships/hyperlink" Target="https://drive.google.com/file/d/13QpH12y8u_3LYQfpUlZPXruZ9ITxBj7L/view?usp=drivesdk" TargetMode="External"/><Relationship Id="rId1515" Type="http://schemas.openxmlformats.org/officeDocument/2006/relationships/hyperlink" Target="https://drive.google.com/file/d/1zB-JAzOaSbXc8xv_rWJjiogI9Aqa60CC/view?usp=drivesdk" TargetMode="External"/><Relationship Id="rId2846" Type="http://schemas.openxmlformats.org/officeDocument/2006/relationships/hyperlink" Target="https://drive.google.com/file/d/1vSUoURXNkSjOH5b-EJ3fbPhxlP2R6Cmd/view?usp=drivesdk" TargetMode="External"/><Relationship Id="rId1516" Type="http://schemas.openxmlformats.org/officeDocument/2006/relationships/hyperlink" Target="https://drive.google.com/file/d/1u1Lunf38THaLvC3OTlx1zJcTXblCNVYp/view?usp=drivesdk" TargetMode="External"/><Relationship Id="rId2847" Type="http://schemas.openxmlformats.org/officeDocument/2006/relationships/hyperlink" Target="https://drive.google.com/file/d/1BV6WsC6qCPXZsjA8vsWO-pA40hx0KbaP/view?usp=drivesdk" TargetMode="External"/><Relationship Id="rId1517" Type="http://schemas.openxmlformats.org/officeDocument/2006/relationships/hyperlink" Target="https://drive.google.com/file/d/1vJcSl8FvTRpCyphX747o_pJ8vHdzIDvP/view?usp=drivesdk" TargetMode="External"/><Relationship Id="rId2848" Type="http://schemas.openxmlformats.org/officeDocument/2006/relationships/hyperlink" Target="https://drive.google.com/file/d/1YKtEfMrOGZwhGnqG8EYyHuWgZ1XN5GQT/view?usp=drivesdk" TargetMode="External"/><Relationship Id="rId1518" Type="http://schemas.openxmlformats.org/officeDocument/2006/relationships/hyperlink" Target="https://drive.google.com/file/d/10gGt0-aSqjq4jYX1nu6vmRkvCpUmbXwz/view?usp=drivesdk" TargetMode="External"/><Relationship Id="rId2849" Type="http://schemas.openxmlformats.org/officeDocument/2006/relationships/hyperlink" Target="https://drive.google.com/file/d/1mFs9muymaEK-hSfyAYbiFpraUy2r_S5J/view?usp=drivesdk" TargetMode="External"/><Relationship Id="rId1519" Type="http://schemas.openxmlformats.org/officeDocument/2006/relationships/hyperlink" Target="https://drive.google.com/file/d/1iXYQpBRSEHRY-r3zNDfO5tYBmsg2f4E2/view?usp=drivesdk" TargetMode="External"/><Relationship Id="rId2840" Type="http://schemas.openxmlformats.org/officeDocument/2006/relationships/hyperlink" Target="https://drive.google.com/file/d/10IIx36WTqPVUiEaE8gV365XVujuS4Gfu/view?usp=drivesdk" TargetMode="External"/><Relationship Id="rId2830" Type="http://schemas.openxmlformats.org/officeDocument/2006/relationships/hyperlink" Target="https://drive.google.com/file/d/1NKuXy2eEACsWL03AhiZ1c6s6CeqztW4P/view?usp=drivesdk" TargetMode="External"/><Relationship Id="rId1500" Type="http://schemas.openxmlformats.org/officeDocument/2006/relationships/hyperlink" Target="https://drive.google.com/file/d/1ch_-inlYyV8qkExj_s9xuSTF3o4bZ-_k/view?usp=drivesdk" TargetMode="External"/><Relationship Id="rId2831" Type="http://schemas.openxmlformats.org/officeDocument/2006/relationships/hyperlink" Target="https://drive.google.com/file/d/1-FYT0QOVIGaA4PgfHyCIHis4MjqOeFiY/view?usp=drivesdk" TargetMode="External"/><Relationship Id="rId1501" Type="http://schemas.openxmlformats.org/officeDocument/2006/relationships/hyperlink" Target="https://drive.google.com/file/d/1pn3UbyMIcAB5k7byyloKQcf2-culw8iu/view?usp=drivesdk" TargetMode="External"/><Relationship Id="rId2832" Type="http://schemas.openxmlformats.org/officeDocument/2006/relationships/hyperlink" Target="https://drive.google.com/file/d/1-wsXELxSOwXrENqGKeAN6dmdsJy5xqtf/view?usp=drivesdk" TargetMode="External"/><Relationship Id="rId1502" Type="http://schemas.openxmlformats.org/officeDocument/2006/relationships/hyperlink" Target="https://drive.google.com/file/d/1T_aCuxqIsWfrq6BUxxMV69tTtmduc0u1/view?usp=drivesdk" TargetMode="External"/><Relationship Id="rId2833" Type="http://schemas.openxmlformats.org/officeDocument/2006/relationships/hyperlink" Target="https://drive.google.com/file/d/14DNZRM40L2rRaRLath5YsJWIG0aixqy-/view?usp=drivesdk" TargetMode="External"/><Relationship Id="rId1503" Type="http://schemas.openxmlformats.org/officeDocument/2006/relationships/hyperlink" Target="https://drive.google.com/file/d/12uQ6_WgmEPiyYX3TMGDt7C9BzPvwbJ5C/view?usp=drivesdk" TargetMode="External"/><Relationship Id="rId2834" Type="http://schemas.openxmlformats.org/officeDocument/2006/relationships/hyperlink" Target="https://drive.google.com/file/d/14I4i-H3Y7sJWjSiL3kd591Tq0IYRx-nO/view?usp=drivesdk" TargetMode="External"/><Relationship Id="rId1504" Type="http://schemas.openxmlformats.org/officeDocument/2006/relationships/hyperlink" Target="https://drive.google.com/file/d/1lwLXNWTUAH-QYdJcqD66ciRQ-w3_fMd4/view?usp=drivesdk" TargetMode="External"/><Relationship Id="rId2835" Type="http://schemas.openxmlformats.org/officeDocument/2006/relationships/hyperlink" Target="https://drive.google.com/file/d/1nPeNQuXq6UAyW8Ux_E5ua7um4qsFLJ_o/view?usp=drivesdk" TargetMode="External"/><Relationship Id="rId1505" Type="http://schemas.openxmlformats.org/officeDocument/2006/relationships/hyperlink" Target="https://drive.google.com/file/d/1lnXuJn8swk68UJVUN3KV08Xy3-G0mGc8/view?usp=drivesdk" TargetMode="External"/><Relationship Id="rId2836" Type="http://schemas.openxmlformats.org/officeDocument/2006/relationships/hyperlink" Target="https://drive.google.com/file/d/1kEKQ8OZ8hWV7vjvUgePWcgbmTxOS3OkH/view?usp=drivesdk" TargetMode="External"/><Relationship Id="rId1506" Type="http://schemas.openxmlformats.org/officeDocument/2006/relationships/hyperlink" Target="https://drive.google.com/file/d/1BY4RzaOsItn5ZWxN-vc7Zjy--T2GR2Nf/view?usp=drivesdk" TargetMode="External"/><Relationship Id="rId2837" Type="http://schemas.openxmlformats.org/officeDocument/2006/relationships/hyperlink" Target="https://drive.google.com/file/d/139fwfSuHaC3wTChDe3wxF-d919Mz_jKy/view?usp=drivesdk" TargetMode="External"/><Relationship Id="rId1507" Type="http://schemas.openxmlformats.org/officeDocument/2006/relationships/hyperlink" Target="https://drive.google.com/file/d/1HOI_egpn44HA2sgfmv698tGFQhjwJS_7/view?usp=drivesdk" TargetMode="External"/><Relationship Id="rId2838" Type="http://schemas.openxmlformats.org/officeDocument/2006/relationships/hyperlink" Target="https://drive.google.com/file/d/1Igh1OYrpvOLJ8WDgqCuHskXzEU7ZoW_6/view?usp=drivesdk" TargetMode="External"/><Relationship Id="rId1508" Type="http://schemas.openxmlformats.org/officeDocument/2006/relationships/hyperlink" Target="https://drive.google.com/file/d/1HpZ6JyWpnnIhnQjSRBMxyxGlBPe_mb_f/view?usp=drivesdk" TargetMode="External"/><Relationship Id="rId2839" Type="http://schemas.openxmlformats.org/officeDocument/2006/relationships/hyperlink" Target="https://drive.google.com/file/d/1ZdStIAryiMG9Yjyb-epjFMXsQ4Y0oqnn/view?usp=drivesdk" TargetMode="External"/><Relationship Id="rId1509" Type="http://schemas.openxmlformats.org/officeDocument/2006/relationships/hyperlink" Target="https://drive.google.com/file/d/1aYkSUCZu-Fv9FMbWWLVvWlRm1TkYjpep/view?usp=drivesdk" TargetMode="External"/><Relationship Id="rId2800" Type="http://schemas.openxmlformats.org/officeDocument/2006/relationships/hyperlink" Target="https://drive.google.com/file/d/1o2k7vj4lCbLr-sUckUJPC5evZ3l6CFw_/view?usp=drivesdk" TargetMode="External"/><Relationship Id="rId2801" Type="http://schemas.openxmlformats.org/officeDocument/2006/relationships/hyperlink" Target="https://drive.google.com/file/d/1xWtzIalTyDfQmth-6vNfg7v6DUlLfVxw/view?usp=drivesdk" TargetMode="External"/><Relationship Id="rId2802" Type="http://schemas.openxmlformats.org/officeDocument/2006/relationships/hyperlink" Target="https://drive.google.com/file/d/1r2agxTQW4eF6F77aYqt_qAMgbq4h6vhA/view?usp=drivesdk" TargetMode="External"/><Relationship Id="rId2803" Type="http://schemas.openxmlformats.org/officeDocument/2006/relationships/hyperlink" Target="https://drive.google.com/file/d/111nuS5F8JlaSOcxh61VDyUCY_DCdOKGM/view?usp=drivesdk" TargetMode="External"/><Relationship Id="rId2804" Type="http://schemas.openxmlformats.org/officeDocument/2006/relationships/hyperlink" Target="https://drive.google.com/file/d/12AI5DRJwy5EUDc4Bff1lMMigRu387odK/view?usp=drivesdk" TargetMode="External"/><Relationship Id="rId2805" Type="http://schemas.openxmlformats.org/officeDocument/2006/relationships/hyperlink" Target="https://drive.google.com/file/d/1q3zDBCAa9Iik9Z4vigCtXmanj8_d5bWb/view?usp=drivesdk" TargetMode="External"/><Relationship Id="rId2806" Type="http://schemas.openxmlformats.org/officeDocument/2006/relationships/hyperlink" Target="https://drive.google.com/file/d/1rPq3gMHnm7Y6lLJHL8-tANQFNLPqfbYm/view?usp=drivesdk" TargetMode="External"/><Relationship Id="rId2807" Type="http://schemas.openxmlformats.org/officeDocument/2006/relationships/hyperlink" Target="https://drive.google.com/file/d/1ArbZggjGoMVmiSY_xH3hTtR4y6VtR9YL/view?usp=drivesdk" TargetMode="External"/><Relationship Id="rId2808" Type="http://schemas.openxmlformats.org/officeDocument/2006/relationships/hyperlink" Target="https://drive.google.com/file/d/1bCQvFNYbFfqWVOhzqt4obegEPIxfYXMT/view?usp=drivesdk" TargetMode="External"/><Relationship Id="rId2809" Type="http://schemas.openxmlformats.org/officeDocument/2006/relationships/hyperlink" Target="https://drive.google.com/file/d/1-Jvwx8R_dcvBtVji-UAeDOhCZFiAAn9H/view?usp=drivesdk" TargetMode="External"/><Relationship Id="rId1576" Type="http://schemas.openxmlformats.org/officeDocument/2006/relationships/hyperlink" Target="https://drive.google.com/file/d/1RBdZw8NUJuyFGKbvpLvb0CcLQ27eBZ41/view?usp=drivesdk" TargetMode="External"/><Relationship Id="rId1577" Type="http://schemas.openxmlformats.org/officeDocument/2006/relationships/hyperlink" Target="https://drive.google.com/file/d/1xCKi2jIhgFLNFXIh1tqbsVNy4b1X0ORl/view?usp=drivesdk" TargetMode="External"/><Relationship Id="rId1578" Type="http://schemas.openxmlformats.org/officeDocument/2006/relationships/hyperlink" Target="https://drive.google.com/file/d/1zweuCuQGTBFymJYP-C9po7Nx2FC79uLU/view?usp=drivesdk" TargetMode="External"/><Relationship Id="rId1579" Type="http://schemas.openxmlformats.org/officeDocument/2006/relationships/hyperlink" Target="https://drive.google.com/file/d/14pB7xxjJA7lmLI2wB8pu1YBdMJzEzfVa/view?usp=drivesdk" TargetMode="External"/><Relationship Id="rId987" Type="http://schemas.openxmlformats.org/officeDocument/2006/relationships/hyperlink" Target="https://drive.google.com/file/d/1BpZpFkqq5-xNfg3lGkVTJj3m72zefLqx/view?usp=drivesdk" TargetMode="External"/><Relationship Id="rId986" Type="http://schemas.openxmlformats.org/officeDocument/2006/relationships/hyperlink" Target="https://drive.google.com/file/d/1F04B6dgvTIlH1n-nzOIG6l50zrdV35YY/view?usp=drivesdk" TargetMode="External"/><Relationship Id="rId985" Type="http://schemas.openxmlformats.org/officeDocument/2006/relationships/hyperlink" Target="https://drive.google.com/file/d/1jYBd2YRtSaav13uk6GeH-7S7mA1J-0Z3/view?usp=drivesdk" TargetMode="External"/><Relationship Id="rId984" Type="http://schemas.openxmlformats.org/officeDocument/2006/relationships/hyperlink" Target="https://drive.google.com/file/d/1jHST9MnMjr0HQlGDLp_Lm9-snMiFjuTq/view?usp=drivesdk" TargetMode="External"/><Relationship Id="rId989" Type="http://schemas.openxmlformats.org/officeDocument/2006/relationships/hyperlink" Target="https://drive.google.com/file/d/1zVdSJYf5rSapO3wb9lv8752WOX3UCAWR/view?usp=drivesdk" TargetMode="External"/><Relationship Id="rId988" Type="http://schemas.openxmlformats.org/officeDocument/2006/relationships/hyperlink" Target="https://drive.google.com/file/d/1--7A_PcHgPiq9QMwhQCk-n6c_Az0uhy8/view?usp=drivesdk" TargetMode="External"/><Relationship Id="rId1570" Type="http://schemas.openxmlformats.org/officeDocument/2006/relationships/hyperlink" Target="https://drive.google.com/file/d/1PABk6dOEUIskaUeYUtB5qxBLd9hsWSnQ/view?usp=drivesdk" TargetMode="External"/><Relationship Id="rId1571" Type="http://schemas.openxmlformats.org/officeDocument/2006/relationships/hyperlink" Target="https://drive.google.com/file/d/1VT0yrBLuaT1_Tc0_YQd_-3K6v5mi_TBf/view?usp=drivesdk" TargetMode="External"/><Relationship Id="rId983" Type="http://schemas.openxmlformats.org/officeDocument/2006/relationships/hyperlink" Target="https://drive.google.com/file/d/1GDEwZJBqf8FRNMdXoAoZM_BXmdXfHvpU/view?usp=drivesdk" TargetMode="External"/><Relationship Id="rId1572" Type="http://schemas.openxmlformats.org/officeDocument/2006/relationships/hyperlink" Target="https://drive.google.com/file/d/1mjL3xHfsn80mQGGB8usjdzsZqlLh5eOl/view?usp=drivesdk" TargetMode="External"/><Relationship Id="rId982" Type="http://schemas.openxmlformats.org/officeDocument/2006/relationships/hyperlink" Target="https://drive.google.com/file/d/1apyZdvi_KdCBzEGB6R0bH0S0reFtNw19/view?usp=drivesdk" TargetMode="External"/><Relationship Id="rId1573" Type="http://schemas.openxmlformats.org/officeDocument/2006/relationships/hyperlink" Target="https://drive.google.com/file/d/11ZOehRycTTYUoqzxcsdNL9YzFiz9bT7C/view?usp=drivesdk" TargetMode="External"/><Relationship Id="rId981" Type="http://schemas.openxmlformats.org/officeDocument/2006/relationships/hyperlink" Target="https://drive.google.com/file/d/1RQaA1WkzztLmftYsu4yTXc3vSvbUktPY/view?usp=drivesdk" TargetMode="External"/><Relationship Id="rId1574" Type="http://schemas.openxmlformats.org/officeDocument/2006/relationships/hyperlink" Target="https://drive.google.com/file/d/1QYv-gK2Dttqrba8EgqIPZqUog3R00vXd/view?usp=drivesdk" TargetMode="External"/><Relationship Id="rId980" Type="http://schemas.openxmlformats.org/officeDocument/2006/relationships/hyperlink" Target="https://drive.google.com/file/d/1AKrYbOAGpqmfFKElJaUfo2joQDe9OqAk/view?usp=drivesdk" TargetMode="External"/><Relationship Id="rId1575" Type="http://schemas.openxmlformats.org/officeDocument/2006/relationships/hyperlink" Target="https://drive.google.com/file/d/1twEJKFkmqDVg7ydyvzzUrZCrJ2Kg2igY/view?usp=drivesdk" TargetMode="External"/><Relationship Id="rId1565" Type="http://schemas.openxmlformats.org/officeDocument/2006/relationships/hyperlink" Target="https://drive.google.com/file/d/1lVnHCyiXYvGRYGX-V0ZvvK_VLIwJw3nd/view?usp=drivesdk" TargetMode="External"/><Relationship Id="rId2896" Type="http://schemas.openxmlformats.org/officeDocument/2006/relationships/hyperlink" Target="https://drive.google.com/file/d/1F_JGx_lWmWBMWGZrthYhmK7TvjE2Cywn/view?usp=drivesdk" TargetMode="External"/><Relationship Id="rId1566" Type="http://schemas.openxmlformats.org/officeDocument/2006/relationships/hyperlink" Target="https://drive.google.com/file/d/1sVLQXjpjnzfZ-SS6nD2F4MG703YHZCWx/view?usp=drivesdk" TargetMode="External"/><Relationship Id="rId2897" Type="http://schemas.openxmlformats.org/officeDocument/2006/relationships/hyperlink" Target="https://drive.google.com/file/d/1Jq5At328FQy3ULsz05SxK1SrS_XRIVBv/view?usp=drivesdk" TargetMode="External"/><Relationship Id="rId1567" Type="http://schemas.openxmlformats.org/officeDocument/2006/relationships/hyperlink" Target="https://drive.google.com/file/d/11F4P0w9ysNZf8bkwYNu5LRdP2868Y4Mz/view?usp=drivesdk" TargetMode="External"/><Relationship Id="rId2898" Type="http://schemas.openxmlformats.org/officeDocument/2006/relationships/hyperlink" Target="https://drive.google.com/file/d/1yg-L6F0I6F1fgxX2H53kNgHST9iZhuFT/view?usp=drivesdk" TargetMode="External"/><Relationship Id="rId1568" Type="http://schemas.openxmlformats.org/officeDocument/2006/relationships/hyperlink" Target="https://drive.google.com/file/d/10-QBr8uK18i-lu6Jhs2ZJePBrvjOnQ4R/view?usp=drivesdk" TargetMode="External"/><Relationship Id="rId2899" Type="http://schemas.openxmlformats.org/officeDocument/2006/relationships/hyperlink" Target="https://drive.google.com/file/d/1_DJ98pFWCppO7kDmfNAIB717B-QdRU2a/view?usp=drivesdk" TargetMode="External"/><Relationship Id="rId1569" Type="http://schemas.openxmlformats.org/officeDocument/2006/relationships/hyperlink" Target="https://drive.google.com/file/d/1zExMmFv5R6hJUYAtHUdMag1uYCROM6Q3/view?usp=drivesdk" TargetMode="External"/><Relationship Id="rId976" Type="http://schemas.openxmlformats.org/officeDocument/2006/relationships/hyperlink" Target="https://drive.google.com/file/d/1Q0nfazCXWUWVxmiel0DDbVNdHI60PGO5/view?usp=drivesdk" TargetMode="External"/><Relationship Id="rId975" Type="http://schemas.openxmlformats.org/officeDocument/2006/relationships/hyperlink" Target="https://drive.google.com/file/d/12_eolJBnsG2YR9WEI-mbEdpO0V6IV8kg/view?usp=drivesdk" TargetMode="External"/><Relationship Id="rId974" Type="http://schemas.openxmlformats.org/officeDocument/2006/relationships/hyperlink" Target="https://drive.google.com/file/d/1pnU3f55XAHee41gNCwU5Ym5cdfkRRfQB/view?usp=drivesdk" TargetMode="External"/><Relationship Id="rId973" Type="http://schemas.openxmlformats.org/officeDocument/2006/relationships/hyperlink" Target="https://drive.google.com/file/d/1CLr5l61PoH31HwCXvlDRMJaZxMs3bl4x/view?usp=drivesdk" TargetMode="External"/><Relationship Id="rId979" Type="http://schemas.openxmlformats.org/officeDocument/2006/relationships/hyperlink" Target="https://drive.google.com/file/d/1AtlOizVLsTw3FbzyWGHaHArqEWm3mte2/view?usp=drivesdk" TargetMode="External"/><Relationship Id="rId978" Type="http://schemas.openxmlformats.org/officeDocument/2006/relationships/hyperlink" Target="https://drive.google.com/file/d/12StMxdPEO6VdXacH_ArIrFUGxvJIXW5L/view?usp=drivesdk" TargetMode="External"/><Relationship Id="rId977" Type="http://schemas.openxmlformats.org/officeDocument/2006/relationships/hyperlink" Target="https://drive.google.com/file/d/1UDemnLRW6k-u9Q9FNFrVZu-v1MeMsHKy/view?usp=drivesdk" TargetMode="External"/><Relationship Id="rId2890" Type="http://schemas.openxmlformats.org/officeDocument/2006/relationships/hyperlink" Target="https://drive.google.com/file/d/13zl87LaDmgA5FAdpU1dA3yzTbFcw_L54/view?usp=drivesdk" TargetMode="External"/><Relationship Id="rId1560" Type="http://schemas.openxmlformats.org/officeDocument/2006/relationships/hyperlink" Target="https://drive.google.com/file/d/1tGE1AQT1ou7SNYSwWTfHtvNY1XvQNIq2/view?usp=drivesdk" TargetMode="External"/><Relationship Id="rId2891" Type="http://schemas.openxmlformats.org/officeDocument/2006/relationships/hyperlink" Target="https://drive.google.com/file/d/1aCpN9FQY-edL0KHCQ_dOeoW0p5GyALqJ/view?usp=drivesdk" TargetMode="External"/><Relationship Id="rId972" Type="http://schemas.openxmlformats.org/officeDocument/2006/relationships/hyperlink" Target="https://drive.google.com/file/d/10Eo0J82R8-lNLugaP3ioLGuZiHR_YMqz/view?usp=drivesdk" TargetMode="External"/><Relationship Id="rId1561" Type="http://schemas.openxmlformats.org/officeDocument/2006/relationships/hyperlink" Target="https://drive.google.com/file/d/1BSYDsRVsOlhve2jx0_E7IbMF1CuUMPa_/view?usp=drivesdk" TargetMode="External"/><Relationship Id="rId2892" Type="http://schemas.openxmlformats.org/officeDocument/2006/relationships/hyperlink" Target="https://drive.google.com/file/d/1bHBfOwE2j2qM6DS2iVTktr5tscbohYq8/view?usp=drivesdk" TargetMode="External"/><Relationship Id="rId971" Type="http://schemas.openxmlformats.org/officeDocument/2006/relationships/hyperlink" Target="https://drive.google.com/file/d/1DeclU8bo_EajHy62KBulDJsICNIpaU6S/view?usp=drivesdk" TargetMode="External"/><Relationship Id="rId1562" Type="http://schemas.openxmlformats.org/officeDocument/2006/relationships/hyperlink" Target="https://drive.google.com/file/d/19v9FT5hEYrEw3mMDMtE-ea3-0Gvk3PE8/view?usp=drivesdk" TargetMode="External"/><Relationship Id="rId2893" Type="http://schemas.openxmlformats.org/officeDocument/2006/relationships/hyperlink" Target="https://drive.google.com/file/d/1jFrC1A_yeQPtrQ7firqJ7njA_VTcGSS6/view?usp=drivesdk" TargetMode="External"/><Relationship Id="rId970" Type="http://schemas.openxmlformats.org/officeDocument/2006/relationships/hyperlink" Target="https://drive.google.com/file/d/1wqk0p6y8yDLhB-aQWBS8U3ZdkGM0zp91/view?usp=drivesdk" TargetMode="External"/><Relationship Id="rId1563" Type="http://schemas.openxmlformats.org/officeDocument/2006/relationships/hyperlink" Target="https://drive.google.com/file/d/1jEP71nTne5bOCeZqCjtYTROX9jL1HJcs/view?usp=drivesdk" TargetMode="External"/><Relationship Id="rId2894" Type="http://schemas.openxmlformats.org/officeDocument/2006/relationships/hyperlink" Target="https://drive.google.com/file/d/1pUn5JuuBayLiPcfWrAzZVia5_iDKgrFE/view?usp=drivesdk" TargetMode="External"/><Relationship Id="rId1564" Type="http://schemas.openxmlformats.org/officeDocument/2006/relationships/hyperlink" Target="https://drive.google.com/file/d/1wWqFpWow0CoOu7fTSdUXCGJ9UigZpMEn/view?usp=drivesdk" TargetMode="External"/><Relationship Id="rId2895" Type="http://schemas.openxmlformats.org/officeDocument/2006/relationships/hyperlink" Target="https://drive.google.com/file/d/1Ki3S9vl6CBRB-iEHfPJFbBeBXS5c4yze/view?usp=drivesdk" TargetMode="External"/><Relationship Id="rId1598" Type="http://schemas.openxmlformats.org/officeDocument/2006/relationships/hyperlink" Target="https://drive.google.com/file/d/1B3NfSMdVcBJCqudkJmRWgjNxwcpwkhUF/view?usp=drivesdk" TargetMode="External"/><Relationship Id="rId1599" Type="http://schemas.openxmlformats.org/officeDocument/2006/relationships/hyperlink" Target="https://drive.google.com/file/d/1HAJ1ns2XbdVKQaQ3XuUzmgPWg7aVeMSd/view?usp=drivesdk" TargetMode="External"/><Relationship Id="rId1590" Type="http://schemas.openxmlformats.org/officeDocument/2006/relationships/hyperlink" Target="https://drive.google.com/file/d/1etb_ZFpybANJqZz2MCBhjrlqErHm_Xss/view?usp=drivesdk" TargetMode="External"/><Relationship Id="rId1591" Type="http://schemas.openxmlformats.org/officeDocument/2006/relationships/hyperlink" Target="https://drive.google.com/file/d/1fcT-_41UBP0nPM79dXTm3kIIFXZ-CwU_/view?usp=drivesdk" TargetMode="External"/><Relationship Id="rId1592" Type="http://schemas.openxmlformats.org/officeDocument/2006/relationships/hyperlink" Target="https://drive.google.com/file/d/1ux9Vk8iRdCh3nUw1THQcPgKIWYpD9xmZ/view?usp=drivesdk" TargetMode="External"/><Relationship Id="rId1593" Type="http://schemas.openxmlformats.org/officeDocument/2006/relationships/hyperlink" Target="https://drive.google.com/file/d/1OcQULkxzM7RO5zkJ2Cvo5E25LQm4ZJnc/view?usp=drivesdk" TargetMode="External"/><Relationship Id="rId1594" Type="http://schemas.openxmlformats.org/officeDocument/2006/relationships/hyperlink" Target="https://drive.google.com/file/d/1I4I0m_pHjR5-S87Awq5L-P8ViNsdN0P2/view?usp=drivesdk" TargetMode="External"/><Relationship Id="rId1595" Type="http://schemas.openxmlformats.org/officeDocument/2006/relationships/hyperlink" Target="https://drive.google.com/file/d/113T5iFthusQwAPJ1Sc6kGoz9Q2tKz_Fz/view?usp=drivesdk" TargetMode="External"/><Relationship Id="rId1596" Type="http://schemas.openxmlformats.org/officeDocument/2006/relationships/hyperlink" Target="https://drive.google.com/file/d/1x7tu9K23ldFYkVgD6uS9kCTbWp7l185U/view?usp=drivesdk" TargetMode="External"/><Relationship Id="rId1597" Type="http://schemas.openxmlformats.org/officeDocument/2006/relationships/hyperlink" Target="https://drive.google.com/file/d/1VQnkProdvpIkmlBgJxAJkdrXgfio2KWT/view?usp=drivesdk" TargetMode="External"/><Relationship Id="rId1587" Type="http://schemas.openxmlformats.org/officeDocument/2006/relationships/hyperlink" Target="https://drive.google.com/file/d/1fgshuTAp5EYASvbjyVwjxvaYJqATcoxX/view?usp=drivesdk" TargetMode="External"/><Relationship Id="rId1588" Type="http://schemas.openxmlformats.org/officeDocument/2006/relationships/hyperlink" Target="https://drive.google.com/file/d/1VKVh8oYZVMF7ogxMCYAq5TkZD-YIXRTo/view?usp=drivesdk" TargetMode="External"/><Relationship Id="rId1589" Type="http://schemas.openxmlformats.org/officeDocument/2006/relationships/hyperlink" Target="https://drive.google.com/file/d/1Fqtra9klmDMHU-cOQUvjhrkdy3xHwuuz/view?usp=drivesdk" TargetMode="External"/><Relationship Id="rId998" Type="http://schemas.openxmlformats.org/officeDocument/2006/relationships/hyperlink" Target="https://drive.google.com/file/d/10gCAiRaTpYw50HfVvJb2qrR3LIeoZoNW/view?usp=drivesdk" TargetMode="External"/><Relationship Id="rId997" Type="http://schemas.openxmlformats.org/officeDocument/2006/relationships/hyperlink" Target="https://drive.google.com/file/d/1oPfRpEBTF84OycOBd7uRQMJivVB-m2oP/view?usp=drivesdk" TargetMode="External"/><Relationship Id="rId996" Type="http://schemas.openxmlformats.org/officeDocument/2006/relationships/hyperlink" Target="https://drive.google.com/file/d/1ksnyAQYIZqyXMBwht0zZREnRY54-JevG/view?usp=drivesdk" TargetMode="External"/><Relationship Id="rId995" Type="http://schemas.openxmlformats.org/officeDocument/2006/relationships/hyperlink" Target="https://drive.google.com/file/d/180UnCIEpRW3MLMjfsHZjeOnlogXsbneH/view?usp=drivesdk" TargetMode="External"/><Relationship Id="rId999" Type="http://schemas.openxmlformats.org/officeDocument/2006/relationships/hyperlink" Target="https://drive.google.com/file/d/13pqSs0UYFvLdiEJKx3meLSOT91LeUSuh/view?usp=drivesdk" TargetMode="External"/><Relationship Id="rId990" Type="http://schemas.openxmlformats.org/officeDocument/2006/relationships/hyperlink" Target="https://drive.google.com/file/d/110c7IPGGRfsNZhl6BVp-RH7A1oIVMpv2/view?usp=drivesdk" TargetMode="External"/><Relationship Id="rId1580" Type="http://schemas.openxmlformats.org/officeDocument/2006/relationships/hyperlink" Target="https://drive.google.com/file/d/1UBmpFvlacrp-ogNwAoQBLnhl3X2ya4tY/view?usp=drivesdk" TargetMode="External"/><Relationship Id="rId1581" Type="http://schemas.openxmlformats.org/officeDocument/2006/relationships/hyperlink" Target="https://drive.google.com/file/d/1ztaNCTNMcic9832FkFVbWcikX6ViaRc1/view?usp=drivesdk" TargetMode="External"/><Relationship Id="rId1582" Type="http://schemas.openxmlformats.org/officeDocument/2006/relationships/hyperlink" Target="https://drive.google.com/file/d/1lVsU-JQQjMJpRQ_W-tX5W1KVGylC124L/view?usp=drivesdk" TargetMode="External"/><Relationship Id="rId994" Type="http://schemas.openxmlformats.org/officeDocument/2006/relationships/hyperlink" Target="https://drive.google.com/file/d/155fnpYfibKoGlcB0MBwGNw4p5XMAHKcd/view?usp=drivesdk" TargetMode="External"/><Relationship Id="rId1583" Type="http://schemas.openxmlformats.org/officeDocument/2006/relationships/hyperlink" Target="https://drive.google.com/file/d/1fxEvxEPUqtzx_KQxVKAZ8Vc1YLWKHPNw/view?usp=drivesdk" TargetMode="External"/><Relationship Id="rId993" Type="http://schemas.openxmlformats.org/officeDocument/2006/relationships/hyperlink" Target="https://drive.google.com/file/d/13EH3_geUqJVoe24H_0LbuQcBynxcBzsz/view?usp=drivesdk" TargetMode="External"/><Relationship Id="rId1584" Type="http://schemas.openxmlformats.org/officeDocument/2006/relationships/hyperlink" Target="https://drive.google.com/file/d/1YeRAiUUoJn7JCWOFxz_uEtiLNujMVQoD/view?usp=drivesdk" TargetMode="External"/><Relationship Id="rId992" Type="http://schemas.openxmlformats.org/officeDocument/2006/relationships/hyperlink" Target="https://drive.google.com/file/d/1QbV55BXTdXq861LSw4L_QCApvMmN5RXS/view?usp=drivesdk" TargetMode="External"/><Relationship Id="rId1585" Type="http://schemas.openxmlformats.org/officeDocument/2006/relationships/hyperlink" Target="https://drive.google.com/file/d/1x4O6JIJfcmXJ5BRF71cUgtg-OkebBvlf/view?usp=drivesdk" TargetMode="External"/><Relationship Id="rId991" Type="http://schemas.openxmlformats.org/officeDocument/2006/relationships/hyperlink" Target="https://drive.google.com/file/d/1HNurG-H_ZjwqqrmpEKeY-5mlDAUZ_pFB/view?usp=drivesdk" TargetMode="External"/><Relationship Id="rId1586" Type="http://schemas.openxmlformats.org/officeDocument/2006/relationships/hyperlink" Target="https://drive.google.com/file/d/1KmQPl69kUJYhxJK5n4XPahjqicia4PJt/view?usp=drivesdk" TargetMode="External"/><Relationship Id="rId1532" Type="http://schemas.openxmlformats.org/officeDocument/2006/relationships/hyperlink" Target="https://drive.google.com/file/d/1ZSTAWCIDWO7co9SVs7lJJVsY-pOksJXk/view?usp=drivesdk" TargetMode="External"/><Relationship Id="rId2863" Type="http://schemas.openxmlformats.org/officeDocument/2006/relationships/hyperlink" Target="https://drive.google.com/file/d/1QoCLP7bUct1n8A_-MZCF8wm8Kz2BUX1d/view?usp=drivesdk" TargetMode="External"/><Relationship Id="rId1533" Type="http://schemas.openxmlformats.org/officeDocument/2006/relationships/hyperlink" Target="https://drive.google.com/file/d/1Rf8IlGencUyLrG0EADQrh4qiOhgDPDm0/view?usp=drivesdk" TargetMode="External"/><Relationship Id="rId2864" Type="http://schemas.openxmlformats.org/officeDocument/2006/relationships/hyperlink" Target="https://drive.google.com/file/d/1WZ3vLKAiyXVJ8Y7P_HaRQAjUO19rFtGj/view?usp=drivesdk" TargetMode="External"/><Relationship Id="rId1534" Type="http://schemas.openxmlformats.org/officeDocument/2006/relationships/hyperlink" Target="https://drive.google.com/file/d/1f7wM6Wv-5IZdMlvVixTX9XQGKehRmSbd/view?usp=drivesdk" TargetMode="External"/><Relationship Id="rId2865" Type="http://schemas.openxmlformats.org/officeDocument/2006/relationships/hyperlink" Target="https://drive.google.com/file/d/1F_nuyD_n047nlKR4UNCi4EOBqH27odbQ/view?usp=drivesdk" TargetMode="External"/><Relationship Id="rId1535" Type="http://schemas.openxmlformats.org/officeDocument/2006/relationships/hyperlink" Target="https://drive.google.com/file/d/13LS9QB_9LznWzEPtxRzswFa02VspDfHm/view?usp=drivesdk" TargetMode="External"/><Relationship Id="rId2866" Type="http://schemas.openxmlformats.org/officeDocument/2006/relationships/hyperlink" Target="https://drive.google.com/file/d/1Siah8cHN9e47_gL9zhIF1EGajvH1CyAB/view?usp=drivesdk" TargetMode="External"/><Relationship Id="rId1536" Type="http://schemas.openxmlformats.org/officeDocument/2006/relationships/hyperlink" Target="https://drive.google.com/file/d/1xmVQIT1E4bEl3FVGwzITeNrPYKzhpkUX/view?usp=drivesdk" TargetMode="External"/><Relationship Id="rId2867" Type="http://schemas.openxmlformats.org/officeDocument/2006/relationships/hyperlink" Target="https://drive.google.com/file/d/182GXuG3qegDOfzlWQwH4rNCoeEmBWZVE/view?usp=drivesdk" TargetMode="External"/><Relationship Id="rId1537" Type="http://schemas.openxmlformats.org/officeDocument/2006/relationships/hyperlink" Target="https://drive.google.com/file/d/127InPI2FO18-CVjeYWAw45OeGlbJsLgS/view?usp=drivesdk" TargetMode="External"/><Relationship Id="rId2868" Type="http://schemas.openxmlformats.org/officeDocument/2006/relationships/hyperlink" Target="https://drive.google.com/file/d/1JkzKHLpwRKawpwzVmuWAxuS42YRz05mT/view?usp=drivesdk" TargetMode="External"/><Relationship Id="rId1538" Type="http://schemas.openxmlformats.org/officeDocument/2006/relationships/hyperlink" Target="https://drive.google.com/file/d/1n7eSOCdAOIxngYQmTmTBMScbN48i49el/view?usp=drivesdk" TargetMode="External"/><Relationship Id="rId2869" Type="http://schemas.openxmlformats.org/officeDocument/2006/relationships/hyperlink" Target="https://drive.google.com/file/d/18NQOUQh8MW-PbnLNWU49bwK7tgWLtRuO/view?usp=drivesdk" TargetMode="External"/><Relationship Id="rId1539" Type="http://schemas.openxmlformats.org/officeDocument/2006/relationships/hyperlink" Target="https://drive.google.com/file/d/1lVtzVUT1NgdL2Q4oDjvyy4DdPuRWzM6h/view?usp=drivesdk" TargetMode="External"/><Relationship Id="rId949" Type="http://schemas.openxmlformats.org/officeDocument/2006/relationships/hyperlink" Target="https://drive.google.com/file/d/1iaViZsT5wDy5G8zBeOeH6DEs-CR3Ac5P/view?usp=drivesdk" TargetMode="External"/><Relationship Id="rId948" Type="http://schemas.openxmlformats.org/officeDocument/2006/relationships/hyperlink" Target="https://drive.google.com/file/d/1-wdncb2cO0VeOs6J7tH6tKqbYdC4tKJa/view?usp=drivesdk" TargetMode="External"/><Relationship Id="rId943" Type="http://schemas.openxmlformats.org/officeDocument/2006/relationships/hyperlink" Target="https://drive.google.com/file/d/1AuNAf7lnOvo7QrZ-J4vwc9f1vUg542gd/view?usp=drivesdk" TargetMode="External"/><Relationship Id="rId942" Type="http://schemas.openxmlformats.org/officeDocument/2006/relationships/hyperlink" Target="https://drive.google.com/file/d/1uqKCBjjsBLLP9R1cY7CSscLngEMlvgsZ/view?usp=drivesdk" TargetMode="External"/><Relationship Id="rId941" Type="http://schemas.openxmlformats.org/officeDocument/2006/relationships/hyperlink" Target="https://drive.google.com/file/d/1hscDuQECm52P5exUVaXPVs51ZzXtuRaT/view?usp=drivesdk" TargetMode="External"/><Relationship Id="rId940" Type="http://schemas.openxmlformats.org/officeDocument/2006/relationships/hyperlink" Target="https://drive.google.com/file/d/1O4Z3E8WDBEBZlyUl5ki0754W75nCVFl9/view?usp=drivesdk" TargetMode="External"/><Relationship Id="rId947" Type="http://schemas.openxmlformats.org/officeDocument/2006/relationships/hyperlink" Target="https://drive.google.com/file/d/1xZ5HwISaypm-rAliUK4bTLRksYd6Ggmp/view?usp=drivesdk" TargetMode="External"/><Relationship Id="rId946" Type="http://schemas.openxmlformats.org/officeDocument/2006/relationships/hyperlink" Target="https://drive.google.com/file/d/1tER524eY1Pm4waC522tn1TKATaBAcIdy/view?usp=drivesdk" TargetMode="External"/><Relationship Id="rId945" Type="http://schemas.openxmlformats.org/officeDocument/2006/relationships/hyperlink" Target="https://drive.google.com/file/d/18TggGlWkXeSu5bk_69IJ9x2PmMxVkhua/view?usp=drivesdk" TargetMode="External"/><Relationship Id="rId944" Type="http://schemas.openxmlformats.org/officeDocument/2006/relationships/hyperlink" Target="https://drive.google.com/file/d/1Onjhzt6DwoZrjGjz6X61baw4m0bp-7E_/view?usp=drivesdk" TargetMode="External"/><Relationship Id="rId2860" Type="http://schemas.openxmlformats.org/officeDocument/2006/relationships/hyperlink" Target="https://drive.google.com/file/d/1FHadUuNmTdW0LnkNTp5zQlyfn5GZ28bX/view?usp=drivesdk" TargetMode="External"/><Relationship Id="rId1530" Type="http://schemas.openxmlformats.org/officeDocument/2006/relationships/hyperlink" Target="https://drive.google.com/file/d/1xADYefUAkI7XpKlC5V0i1nuEkVY4aW87/view?usp=drivesdk" TargetMode="External"/><Relationship Id="rId2861" Type="http://schemas.openxmlformats.org/officeDocument/2006/relationships/hyperlink" Target="https://drive.google.com/file/d/19FbyW9fNY6UwGhgLEzSQ05MwRyCTC3YQ/view?usp=drivesdk" TargetMode="External"/><Relationship Id="rId1531" Type="http://schemas.openxmlformats.org/officeDocument/2006/relationships/hyperlink" Target="https://drive.google.com/file/d/1TdsTQ9pKfGi_mZLZzpTZMOXBOf7ok9Ej/view?usp=drivesdk" TargetMode="External"/><Relationship Id="rId2862" Type="http://schemas.openxmlformats.org/officeDocument/2006/relationships/hyperlink" Target="https://drive.google.com/file/d/12jZzJF_5fcsQJhqPJb44akoOqNQsLihi/view?usp=drivesdk" TargetMode="External"/><Relationship Id="rId1521" Type="http://schemas.openxmlformats.org/officeDocument/2006/relationships/hyperlink" Target="https://drive.google.com/file/d/1bIwtlq8mBoQuM6xpr7xegbYJrV9gU1Xp/view?usp=drivesdk" TargetMode="External"/><Relationship Id="rId2852" Type="http://schemas.openxmlformats.org/officeDocument/2006/relationships/hyperlink" Target="https://drive.google.com/file/d/14aPtuimCBHuACTR6Ysm7rhuUdNnhNt3M/view?usp=drivesdk" TargetMode="External"/><Relationship Id="rId1522" Type="http://schemas.openxmlformats.org/officeDocument/2006/relationships/hyperlink" Target="https://drive.google.com/file/d/1Y4hFjfpXFMzsnkTcryqZ2EUSudhD7zLZ/view?usp=drivesdk" TargetMode="External"/><Relationship Id="rId2853" Type="http://schemas.openxmlformats.org/officeDocument/2006/relationships/hyperlink" Target="https://drive.google.com/file/d/1FOQ7FQtPiTG4rTwMmNxW_mEod9sHnt_d/view?usp=drivesdk" TargetMode="External"/><Relationship Id="rId1523" Type="http://schemas.openxmlformats.org/officeDocument/2006/relationships/hyperlink" Target="https://drive.google.com/file/d/1rlhoetdj8sPMSkHl3ZjKyPKCBUb-_ZwS/view?usp=drivesdk" TargetMode="External"/><Relationship Id="rId2854" Type="http://schemas.openxmlformats.org/officeDocument/2006/relationships/hyperlink" Target="https://drive.google.com/file/d/1JFP7-KuZoBHwOtFwTX7dQBbZLZsnnzO1/view?usp=drivesdk" TargetMode="External"/><Relationship Id="rId1524" Type="http://schemas.openxmlformats.org/officeDocument/2006/relationships/hyperlink" Target="https://drive.google.com/file/d/1LLJqJSc4g9NLRQRocuZFA38o3pb6mK4w/view?usp=drivesdk" TargetMode="External"/><Relationship Id="rId2855" Type="http://schemas.openxmlformats.org/officeDocument/2006/relationships/hyperlink" Target="https://drive.google.com/file/d/1nh5VP9Rb5MKotf2eusMhTvkZWvd4bgdF/view?usp=drivesdk" TargetMode="External"/><Relationship Id="rId1525" Type="http://schemas.openxmlformats.org/officeDocument/2006/relationships/hyperlink" Target="https://drive.google.com/file/d/1t3WxAixub032pJVF7rHWs_Z44vQ546Mx/view?usp=drivesdk" TargetMode="External"/><Relationship Id="rId2856" Type="http://schemas.openxmlformats.org/officeDocument/2006/relationships/hyperlink" Target="https://drive.google.com/file/d/1jOuc6HwGGOjFEh2R_gS67iWnf5Ql-TJX/view?usp=drivesdk" TargetMode="External"/><Relationship Id="rId1526" Type="http://schemas.openxmlformats.org/officeDocument/2006/relationships/hyperlink" Target="https://drive.google.com/file/d/11YG8AmJIcAGerqioI6ykXoclMzdx8P4U/view?usp=drivesdk" TargetMode="External"/><Relationship Id="rId2857" Type="http://schemas.openxmlformats.org/officeDocument/2006/relationships/hyperlink" Target="https://drive.google.com/file/d/1K3OKZrTIktD_b-8XBnmOYsspWQGFGk0Q/view?usp=drivesdk" TargetMode="External"/><Relationship Id="rId1527" Type="http://schemas.openxmlformats.org/officeDocument/2006/relationships/hyperlink" Target="https://drive.google.com/file/d/1w0Ukt6Jz-vwjr4Mtzh-G9ShRuIn3gBML/view?usp=drivesdk" TargetMode="External"/><Relationship Id="rId2858" Type="http://schemas.openxmlformats.org/officeDocument/2006/relationships/hyperlink" Target="https://drive.google.com/file/d/1bqNCgQVoUhLOppqc8fkMKPTkt16YU69C/view?usp=drivesdk" TargetMode="External"/><Relationship Id="rId1528" Type="http://schemas.openxmlformats.org/officeDocument/2006/relationships/hyperlink" Target="https://drive.google.com/file/d/1JNPw9ZAp9-DaK2z09F0Dsco7If3AAr0U/view?usp=drivesdk" TargetMode="External"/><Relationship Id="rId2859" Type="http://schemas.openxmlformats.org/officeDocument/2006/relationships/hyperlink" Target="https://drive.google.com/file/d/1z3GCMlnj8CXi5EAWeC90iwE1ueOD17a1/view?usp=drivesdk" TargetMode="External"/><Relationship Id="rId1529" Type="http://schemas.openxmlformats.org/officeDocument/2006/relationships/hyperlink" Target="https://drive.google.com/file/d/1NeEyeAJ5u7ccp3SYCz4IfycEw7Ir67DB/view?usp=drivesdk" TargetMode="External"/><Relationship Id="rId939" Type="http://schemas.openxmlformats.org/officeDocument/2006/relationships/hyperlink" Target="https://drive.google.com/file/d/1RyN83mHGTApKt6B6S4Jlo5fQbPQSk-_h/view?usp=drivesdk" TargetMode="External"/><Relationship Id="rId938" Type="http://schemas.openxmlformats.org/officeDocument/2006/relationships/hyperlink" Target="https://drive.google.com/file/d/1INr3r-uiHA_8jbfY-cR2T050CvniVkN7/view?usp=drivesdk" TargetMode="External"/><Relationship Id="rId937" Type="http://schemas.openxmlformats.org/officeDocument/2006/relationships/hyperlink" Target="https://drive.google.com/file/d/1Czc5aZ-JQl9Ze5sayp-QbkKeN2bHe1gk/view?usp=drivesdk" TargetMode="External"/><Relationship Id="rId932" Type="http://schemas.openxmlformats.org/officeDocument/2006/relationships/hyperlink" Target="https://drive.google.com/file/d/1fG17Xjgz4obfXcnkblykNgpNL9XPrpo0/view?usp=drivesdk" TargetMode="External"/><Relationship Id="rId931" Type="http://schemas.openxmlformats.org/officeDocument/2006/relationships/hyperlink" Target="https://drive.google.com/file/d/1f3VX1OLfQmn8JftTcrO7GsaKuGD3i0sF/view?usp=drivesdk" TargetMode="External"/><Relationship Id="rId930" Type="http://schemas.openxmlformats.org/officeDocument/2006/relationships/hyperlink" Target="https://drive.google.com/file/d/1ut_39xjWXzZfdC-mooi3K8eOOTVCtLi4/view?usp=drivesdk" TargetMode="External"/><Relationship Id="rId936" Type="http://schemas.openxmlformats.org/officeDocument/2006/relationships/hyperlink" Target="https://drive.google.com/file/d/16JQNoO8JQulQ1kvBIF9ooglN6nvnOKwR/view?usp=drivesdk" TargetMode="External"/><Relationship Id="rId935" Type="http://schemas.openxmlformats.org/officeDocument/2006/relationships/hyperlink" Target="https://drive.google.com/file/d/1wyBTkcn_GE4mfO1uGUr7qem3oLNBUJa_/view?usp=drivesdk" TargetMode="External"/><Relationship Id="rId934" Type="http://schemas.openxmlformats.org/officeDocument/2006/relationships/hyperlink" Target="https://drive.google.com/file/d/1U_ShHWq38K7Bj_BiFcoNDh9B-h-W_OJr/view?usp=drivesdk" TargetMode="External"/><Relationship Id="rId933" Type="http://schemas.openxmlformats.org/officeDocument/2006/relationships/hyperlink" Target="https://drive.google.com/file/d/1gPGnEbDjqg2vBIKsJCJcHa5KsIEH-XUh/view?usp=drivesdk" TargetMode="External"/><Relationship Id="rId2850" Type="http://schemas.openxmlformats.org/officeDocument/2006/relationships/hyperlink" Target="https://drive.google.com/file/d/10TU4DldvRAGQQB8ko09DTR5kZTiT8DWd/view?usp=drivesdk" TargetMode="External"/><Relationship Id="rId1520" Type="http://schemas.openxmlformats.org/officeDocument/2006/relationships/hyperlink" Target="https://drive.google.com/file/d/1oBLT6yfoROZ3xtUrP9tAg8S02Aam9WQa/view?usp=drivesdk" TargetMode="External"/><Relationship Id="rId2851" Type="http://schemas.openxmlformats.org/officeDocument/2006/relationships/hyperlink" Target="https://drive.google.com/file/d/1ZJwJnhrQqNemZlVg810zY4UqBiSQXKPx/view?usp=drivesdk" TargetMode="External"/><Relationship Id="rId1554" Type="http://schemas.openxmlformats.org/officeDocument/2006/relationships/hyperlink" Target="https://drive.google.com/file/d/17QZRE3en3oQzW03F7fCg49SKarFoDr3Z/view?usp=drivesdk" TargetMode="External"/><Relationship Id="rId2885" Type="http://schemas.openxmlformats.org/officeDocument/2006/relationships/hyperlink" Target="https://drive.google.com/file/d/1wtALe5oh1RdoY1mXdjr4WvMritJP2N4w/view?usp=drivesdk" TargetMode="External"/><Relationship Id="rId1555" Type="http://schemas.openxmlformats.org/officeDocument/2006/relationships/hyperlink" Target="https://drive.google.com/file/d/1REXZFn51VG-EsropX7lsEKyqCXA3Plag/view?usp=drivesdk" TargetMode="External"/><Relationship Id="rId2886" Type="http://schemas.openxmlformats.org/officeDocument/2006/relationships/hyperlink" Target="https://drive.google.com/file/d/1DGULVXUsTEU_9EPzOnZqFH3SYWy7WfkA/view?usp=drivesdk" TargetMode="External"/><Relationship Id="rId1556" Type="http://schemas.openxmlformats.org/officeDocument/2006/relationships/hyperlink" Target="https://drive.google.com/file/d/1T8o2VZGWgfsl2q6cDK0pbAregJ89zOX1/view?usp=drivesdk" TargetMode="External"/><Relationship Id="rId2887" Type="http://schemas.openxmlformats.org/officeDocument/2006/relationships/hyperlink" Target="https://drive.google.com/file/d/1angB6Ei-2ZlIhgs0AbXlGha3kvj3fUY0/view?usp=drivesdk" TargetMode="External"/><Relationship Id="rId1557" Type="http://schemas.openxmlformats.org/officeDocument/2006/relationships/hyperlink" Target="https://drive.google.com/file/d/1lkR9fjBAKPGcxcX9cfbb_YQLNac74Jrz/view?usp=drivesdk" TargetMode="External"/><Relationship Id="rId2888" Type="http://schemas.openxmlformats.org/officeDocument/2006/relationships/hyperlink" Target="https://drive.google.com/file/d/1kS1z1V6AFLbZ9rpo8sFM3d0djf13VYDI/view?usp=drivesdk" TargetMode="External"/><Relationship Id="rId1558" Type="http://schemas.openxmlformats.org/officeDocument/2006/relationships/hyperlink" Target="https://drive.google.com/file/d/1JAQlffWyxBpm9pp-c3OwivUz-5jJ5QTR/view?usp=drivesdk" TargetMode="External"/><Relationship Id="rId2889" Type="http://schemas.openxmlformats.org/officeDocument/2006/relationships/hyperlink" Target="https://drive.google.com/file/d/1wCmr4BBIDn9AuSRCj2rGSlI0GuQ47RVa/view?usp=drivesdk" TargetMode="External"/><Relationship Id="rId1559" Type="http://schemas.openxmlformats.org/officeDocument/2006/relationships/hyperlink" Target="https://drive.google.com/file/d/1u1RiBM_bgytH8CRFrls8sW7aPirtAKhG/view?usp=drivesdk" TargetMode="External"/><Relationship Id="rId965" Type="http://schemas.openxmlformats.org/officeDocument/2006/relationships/hyperlink" Target="https://drive.google.com/file/d/1yZJyIjffRAiS9fHpR-tpr5bBSGvnCr5y/view?usp=drivesdk" TargetMode="External"/><Relationship Id="rId964" Type="http://schemas.openxmlformats.org/officeDocument/2006/relationships/hyperlink" Target="https://drive.google.com/file/d/1es5MVutCL3UqvrvKc9-kSyBmXThLwaQq/view?usp=drivesdk" TargetMode="External"/><Relationship Id="rId963" Type="http://schemas.openxmlformats.org/officeDocument/2006/relationships/hyperlink" Target="https://drive.google.com/file/d/1zRyA0n0mfr52RrXmAL0tnAw25PS4iHLF/view?usp=drivesdk" TargetMode="External"/><Relationship Id="rId962" Type="http://schemas.openxmlformats.org/officeDocument/2006/relationships/hyperlink" Target="https://drive.google.com/file/d/1RIoU1EHXXToXQVufwn8hsLnT0Ption0D/view?usp=drivesdk" TargetMode="External"/><Relationship Id="rId969" Type="http://schemas.openxmlformats.org/officeDocument/2006/relationships/hyperlink" Target="https://drive.google.com/file/d/19v1x1uCamcKrhdrugNTwZ3pF4Tf5RH7Q/view?usp=drivesdk" TargetMode="External"/><Relationship Id="rId968" Type="http://schemas.openxmlformats.org/officeDocument/2006/relationships/hyperlink" Target="https://drive.google.com/file/d/1SIjm2JssM2EZ_NwGent9c3diUYGEo_3c/view?usp=drivesdk" TargetMode="External"/><Relationship Id="rId967" Type="http://schemas.openxmlformats.org/officeDocument/2006/relationships/hyperlink" Target="https://drive.google.com/file/d/1usJJGqcL3p5ZN10txY2RkWXs6pnx6Fj8/view?usp=drivesdk" TargetMode="External"/><Relationship Id="rId966" Type="http://schemas.openxmlformats.org/officeDocument/2006/relationships/hyperlink" Target="https://drive.google.com/file/d/12kQse8I8kXtJaKBNg-Gmo9WbpuHi6FYd/view?usp=drivesdk" TargetMode="External"/><Relationship Id="rId2880" Type="http://schemas.openxmlformats.org/officeDocument/2006/relationships/hyperlink" Target="https://drive.google.com/file/d/19dKp0Bt_y9wu5nwD0ND7qjkbddLPOjCy/view?usp=drivesdk" TargetMode="External"/><Relationship Id="rId961" Type="http://schemas.openxmlformats.org/officeDocument/2006/relationships/hyperlink" Target="https://drive.google.com/file/d/1uT-eWn5IJIikqJUZyuqDaofuNttOkErM/view?usp=drivesdk" TargetMode="External"/><Relationship Id="rId1550" Type="http://schemas.openxmlformats.org/officeDocument/2006/relationships/hyperlink" Target="https://drive.google.com/file/d/1ISBwKbDzt_JupXKVHE0LvgeL2jQzxAJl/view?usp=drivesdk" TargetMode="External"/><Relationship Id="rId2881" Type="http://schemas.openxmlformats.org/officeDocument/2006/relationships/hyperlink" Target="https://drive.google.com/file/d/1qJE0K3gDNeo5WCbf6KkP1a0pxT3faRns/view?usp=drivesdk" TargetMode="External"/><Relationship Id="rId960" Type="http://schemas.openxmlformats.org/officeDocument/2006/relationships/hyperlink" Target="https://drive.google.com/file/d/1OKGSbjtkK7WMQzhNE_1dy7jpQ8WERmvS/view?usp=drivesdk" TargetMode="External"/><Relationship Id="rId1551" Type="http://schemas.openxmlformats.org/officeDocument/2006/relationships/hyperlink" Target="https://drive.google.com/file/d/1ZW6D4hcOBZ21zKN0viyVwEOCQXfooh0m/view?usp=drivesdk" TargetMode="External"/><Relationship Id="rId2882" Type="http://schemas.openxmlformats.org/officeDocument/2006/relationships/hyperlink" Target="https://drive.google.com/file/d/1FFUJeJxHvYXNMK7wqAJYiQFmmbe1ofI3/view?usp=drivesdk" TargetMode="External"/><Relationship Id="rId1552" Type="http://schemas.openxmlformats.org/officeDocument/2006/relationships/hyperlink" Target="https://drive.google.com/file/d/1y6P3-l4hPuf5Hc-Q9WIYE0ei6sMbc_k6/view?usp=drivesdk" TargetMode="External"/><Relationship Id="rId2883" Type="http://schemas.openxmlformats.org/officeDocument/2006/relationships/hyperlink" Target="https://drive.google.com/file/d/1JX_-a4N28fXIO7zfjPklo9WsE9pe3QjW/view?usp=drivesdk" TargetMode="External"/><Relationship Id="rId1553" Type="http://schemas.openxmlformats.org/officeDocument/2006/relationships/hyperlink" Target="https://drive.google.com/file/d/1hqjsgFT2CMKMncMNyt68bWb6G_tv_dSC/view?usp=drivesdk" TargetMode="External"/><Relationship Id="rId2884" Type="http://schemas.openxmlformats.org/officeDocument/2006/relationships/hyperlink" Target="https://drive.google.com/file/d/1d6qI-QqNlpjQgx9Vwa0NjPkDpYx45iMg/view?usp=drivesdk" TargetMode="External"/><Relationship Id="rId1543" Type="http://schemas.openxmlformats.org/officeDocument/2006/relationships/hyperlink" Target="https://drive.google.com/file/d/1KgQgttNPdkMmm7CB8nzJBBWwUWhh9abf/view?usp=drivesdk" TargetMode="External"/><Relationship Id="rId2874" Type="http://schemas.openxmlformats.org/officeDocument/2006/relationships/hyperlink" Target="https://drive.google.com/file/d/1pWzqx5i9lfrh-IwhoBg1HHZbNkomyc43/view?usp=drivesdk" TargetMode="External"/><Relationship Id="rId1544" Type="http://schemas.openxmlformats.org/officeDocument/2006/relationships/hyperlink" Target="https://drive.google.com/file/d/1_B0etuOtVovqkPUYLfjA74_Cx0mBNpF1/view?usp=drivesdk" TargetMode="External"/><Relationship Id="rId2875" Type="http://schemas.openxmlformats.org/officeDocument/2006/relationships/hyperlink" Target="https://drive.google.com/file/d/1Cv2pkcb9Dgfe7JtHwek1MCnDz3x3Kw7w/view?usp=drivesdk" TargetMode="External"/><Relationship Id="rId1545" Type="http://schemas.openxmlformats.org/officeDocument/2006/relationships/hyperlink" Target="https://drive.google.com/file/d/1gKRv7R4O1mKjubsU8VA40ifjwbzvLBdc/view?usp=drivesdk" TargetMode="External"/><Relationship Id="rId2876" Type="http://schemas.openxmlformats.org/officeDocument/2006/relationships/hyperlink" Target="https://drive.google.com/file/d/1wdYvk7Rmo2EyJOhM_u_52bnzKuwozJai/view?usp=drivesdk" TargetMode="External"/><Relationship Id="rId1546" Type="http://schemas.openxmlformats.org/officeDocument/2006/relationships/hyperlink" Target="https://drive.google.com/file/d/1PP03RMQJJgJl0Az3_taHYEhfZuSAqQdA/view?usp=drivesdk" TargetMode="External"/><Relationship Id="rId2877" Type="http://schemas.openxmlformats.org/officeDocument/2006/relationships/hyperlink" Target="https://drive.google.com/file/d/13ErdM89UVNJLjA0F4YjMOg_9Z3MZKgKQ/view?usp=drivesdk" TargetMode="External"/><Relationship Id="rId1547" Type="http://schemas.openxmlformats.org/officeDocument/2006/relationships/hyperlink" Target="https://drive.google.com/file/d/12EZIhWdIWfim4jNO5E-Nh5Y5cyCThZdj/view?usp=drivesdk" TargetMode="External"/><Relationship Id="rId2878" Type="http://schemas.openxmlformats.org/officeDocument/2006/relationships/hyperlink" Target="https://drive.google.com/file/d/12NOTFTy9kTGJZ9GCQplncqds0pQoFd46/view?usp=drivesdk" TargetMode="External"/><Relationship Id="rId1548" Type="http://schemas.openxmlformats.org/officeDocument/2006/relationships/hyperlink" Target="https://drive.google.com/file/d/1Me69vYYHR9myCXb7EG0PfACQs-mbZZsT/view?usp=drivesdk" TargetMode="External"/><Relationship Id="rId2879" Type="http://schemas.openxmlformats.org/officeDocument/2006/relationships/hyperlink" Target="https://drive.google.com/file/d/1jWFV5HeX7zEMIqNr5jd2-PLoveTyWBCo/view?usp=drivesdk" TargetMode="External"/><Relationship Id="rId1549" Type="http://schemas.openxmlformats.org/officeDocument/2006/relationships/hyperlink" Target="https://drive.google.com/file/d/1E_Y-eSL7cOIC2Pl2Q5-JmDYPBxV3Yuqm/view?usp=drivesdk" TargetMode="External"/><Relationship Id="rId959" Type="http://schemas.openxmlformats.org/officeDocument/2006/relationships/hyperlink" Target="https://drive.google.com/file/d/1JPaP_f2HLFWbr6dF63wyeT5vTMKoOwU9/view?usp=drivesdk" TargetMode="External"/><Relationship Id="rId954" Type="http://schemas.openxmlformats.org/officeDocument/2006/relationships/hyperlink" Target="https://drive.google.com/file/d/1gjjSTXPvy0oA6FE6LBYps63-uCAoPuvQ/view?usp=drivesdk" TargetMode="External"/><Relationship Id="rId953" Type="http://schemas.openxmlformats.org/officeDocument/2006/relationships/hyperlink" Target="https://drive.google.com/file/d/1LxeevgLjyT8AkjlH4E6MYnCp9eeL2d8B/view?usp=drivesdk" TargetMode="External"/><Relationship Id="rId952" Type="http://schemas.openxmlformats.org/officeDocument/2006/relationships/hyperlink" Target="https://drive.google.com/file/d/16J07lShWNnRCs5jdoy3kElpIS8XbsQTz/view?usp=drivesdk" TargetMode="External"/><Relationship Id="rId951" Type="http://schemas.openxmlformats.org/officeDocument/2006/relationships/hyperlink" Target="https://drive.google.com/file/d/1xrLs1VeE6z1N0rhUYb4xMyLvV1mRyn-h/view?usp=drivesdk" TargetMode="External"/><Relationship Id="rId958" Type="http://schemas.openxmlformats.org/officeDocument/2006/relationships/hyperlink" Target="https://drive.google.com/file/d/1ULXsAIovWTEPQuG4O21N-Lh-v1ny-4DE/view?usp=drivesdk" TargetMode="External"/><Relationship Id="rId957" Type="http://schemas.openxmlformats.org/officeDocument/2006/relationships/hyperlink" Target="https://drive.google.com/file/d/1StamO0swYfk-wAy_lOvSoSp4ZqzBiRbh/view?usp=drivesdk" TargetMode="External"/><Relationship Id="rId956" Type="http://schemas.openxmlformats.org/officeDocument/2006/relationships/hyperlink" Target="https://drive.google.com/file/d/1E0ejpct5a7_vB178iahBwAL_i2oxz72N/view?usp=drivesdk" TargetMode="External"/><Relationship Id="rId955" Type="http://schemas.openxmlformats.org/officeDocument/2006/relationships/hyperlink" Target="https://drive.google.com/file/d/1uH-moXpKZkoW06G-uMIqMrMsOgICxhxK/view?usp=drivesdk" TargetMode="External"/><Relationship Id="rId950" Type="http://schemas.openxmlformats.org/officeDocument/2006/relationships/hyperlink" Target="https://drive.google.com/file/d/1aNzKHnUJIxhkPSrHpYsD3L4dSNXQ-vB-/view?usp=drivesdk" TargetMode="External"/><Relationship Id="rId2870" Type="http://schemas.openxmlformats.org/officeDocument/2006/relationships/hyperlink" Target="https://drive.google.com/file/d/1tOYv5tephBInK45nXBgMdZTCvXDOaxS-/view?usp=drivesdk" TargetMode="External"/><Relationship Id="rId1540" Type="http://schemas.openxmlformats.org/officeDocument/2006/relationships/hyperlink" Target="https://drive.google.com/file/d/1lzTDbGlZufj5mi3D2aXxSbSojMv0kS-e/view?usp=drivesdk" TargetMode="External"/><Relationship Id="rId2871" Type="http://schemas.openxmlformats.org/officeDocument/2006/relationships/hyperlink" Target="https://drive.google.com/file/d/1as3AUf7PRMswz__MVvHdjHvWtN6M-Jme/view?usp=drivesdk" TargetMode="External"/><Relationship Id="rId1541" Type="http://schemas.openxmlformats.org/officeDocument/2006/relationships/hyperlink" Target="https://drive.google.com/file/d/1Xp-Wx90hQiFZ-ft_BG9vLWpCriMyIKdO/view?usp=drivesdk" TargetMode="External"/><Relationship Id="rId2872" Type="http://schemas.openxmlformats.org/officeDocument/2006/relationships/hyperlink" Target="https://drive.google.com/file/d/1Ls_1G30LlE9ynAfY1xfCDSGYTI9JG2pC/view?usp=drivesdk" TargetMode="External"/><Relationship Id="rId1542" Type="http://schemas.openxmlformats.org/officeDocument/2006/relationships/hyperlink" Target="https://drive.google.com/file/d/1qxU3cdSdxUfw23Y0g2e9OIRMToTmzwEA/view?usp=drivesdk" TargetMode="External"/><Relationship Id="rId2873" Type="http://schemas.openxmlformats.org/officeDocument/2006/relationships/hyperlink" Target="https://drive.google.com/file/d/1qIFGf5ktWSXh7rQfL1KhTAj0tN-Q92hY/view?usp=drivesdk" TargetMode="External"/><Relationship Id="rId2027" Type="http://schemas.openxmlformats.org/officeDocument/2006/relationships/hyperlink" Target="https://drive.google.com/file/d/1I59CACDclrDvPqzUHhjKPAd6ARoVU1ob/view?usp=drivesdk" TargetMode="External"/><Relationship Id="rId3359" Type="http://schemas.openxmlformats.org/officeDocument/2006/relationships/hyperlink" Target="https://drive.google.com/file/d/1ydN4sTIr0QTGdMhZmDJ_GxX6RiO5cK_p/view?usp=drivesdk" TargetMode="External"/><Relationship Id="rId2028" Type="http://schemas.openxmlformats.org/officeDocument/2006/relationships/hyperlink" Target="https://drive.google.com/file/d/1QfiTBSa2fyJng0crQ9A2ZypwYEiEyu5j/view?usp=drivesdk" TargetMode="External"/><Relationship Id="rId3358" Type="http://schemas.openxmlformats.org/officeDocument/2006/relationships/hyperlink" Target="https://drive.google.com/file/d/11lIs3bWSV7G1bde5YZqgb9uJGpymjf2k/view?usp=drivesdk" TargetMode="External"/><Relationship Id="rId2029" Type="http://schemas.openxmlformats.org/officeDocument/2006/relationships/hyperlink" Target="https://drive.google.com/file/d/1TyCdC_5-8LwmulldzelJwvSIe6zRLTv3/view?usp=drivesdk" TargetMode="External"/><Relationship Id="rId107" Type="http://schemas.openxmlformats.org/officeDocument/2006/relationships/hyperlink" Target="https://drive.google.com/file/d/1_r8Dl--P-nyGuFsvY6deTH575O8TxUd2/view?usp=drivesdk" TargetMode="External"/><Relationship Id="rId106" Type="http://schemas.openxmlformats.org/officeDocument/2006/relationships/hyperlink" Target="https://drive.google.com/file/d/15JDWmhNvYl1CI_UINodvQ0hVISaOdPI1/view?usp=drivesdk" TargetMode="External"/><Relationship Id="rId105" Type="http://schemas.openxmlformats.org/officeDocument/2006/relationships/hyperlink" Target="https://drive.google.com/file/d/1bmWrFqxL_O6PsEVGbUgJuu0COV-P_Bcb/view?usp=drivesdk" TargetMode="External"/><Relationship Id="rId104" Type="http://schemas.openxmlformats.org/officeDocument/2006/relationships/hyperlink" Target="https://drive.google.com/file/d/1oAqpBrrYQjA6vc2tae5AgAHj0e5j46KU/view?usp=drivesdk" TargetMode="External"/><Relationship Id="rId109" Type="http://schemas.openxmlformats.org/officeDocument/2006/relationships/hyperlink" Target="https://drive.google.com/file/d/12z0CbwHw-GDSZ5uK0gL2UnGz05VtNJoS/view?usp=drivesdk" TargetMode="External"/><Relationship Id="rId108" Type="http://schemas.openxmlformats.org/officeDocument/2006/relationships/hyperlink" Target="https://drive.google.com/file/d/10uXckZVKbmBi2KfICIORMpixLvSDSaAu/view?usp=drivesdk" TargetMode="External"/><Relationship Id="rId3351" Type="http://schemas.openxmlformats.org/officeDocument/2006/relationships/hyperlink" Target="https://drive.google.com/file/d/1sQtBrEeqN1XM_1Qv0mJvDeDfWVWHohWY/view?usp=drivesdk" TargetMode="External"/><Relationship Id="rId2020" Type="http://schemas.openxmlformats.org/officeDocument/2006/relationships/hyperlink" Target="https://drive.google.com/file/d/1Y86fP_KKYPZSw0MLyhclNzE54yAOJHFx/view?usp=drivesdk" TargetMode="External"/><Relationship Id="rId3350" Type="http://schemas.openxmlformats.org/officeDocument/2006/relationships/hyperlink" Target="https://drive.google.com/file/d/1eolW8jXTH5JysX-KEzNra0wdcfMzRMQ7/view?usp=drivesdk" TargetMode="External"/><Relationship Id="rId2021" Type="http://schemas.openxmlformats.org/officeDocument/2006/relationships/hyperlink" Target="https://drive.google.com/file/d/1jkeeRtUcRwjVBTQ0tt7a6BWEC7M63p3O/view?usp=drivesdk" TargetMode="External"/><Relationship Id="rId3353" Type="http://schemas.openxmlformats.org/officeDocument/2006/relationships/hyperlink" Target="https://drive.google.com/file/d/1fYU6m89P7a9_kPBInjEs0n_wRBj5O5zZ/view?usp=drivesdk" TargetMode="External"/><Relationship Id="rId2022" Type="http://schemas.openxmlformats.org/officeDocument/2006/relationships/hyperlink" Target="https://drive.google.com/file/d/1vqDYyUya1hGxUO3xOXp-fS4z5QiC8jwH/view?usp=drivesdk" TargetMode="External"/><Relationship Id="rId3352" Type="http://schemas.openxmlformats.org/officeDocument/2006/relationships/hyperlink" Target="https://drive.google.com/file/d/1esh5oqCpj4F374ZeOWGrHgAoZG4Cbaxf/view?usp=drivesdk" TargetMode="External"/><Relationship Id="rId103" Type="http://schemas.openxmlformats.org/officeDocument/2006/relationships/hyperlink" Target="https://drive.google.com/file/d/1ytAmCn1ivvRleP1IxskSCrIaBjtXD88I/view?usp=drivesdk" TargetMode="External"/><Relationship Id="rId2023" Type="http://schemas.openxmlformats.org/officeDocument/2006/relationships/hyperlink" Target="https://drive.google.com/file/d/1wLLLetzLeWlO9t4gOOpQ_OFAsZ2KduSR/view?usp=drivesdk" TargetMode="External"/><Relationship Id="rId3355" Type="http://schemas.openxmlformats.org/officeDocument/2006/relationships/hyperlink" Target="https://drive.google.com/file/d/1tY7SvX2n-lCVOB9eR5KtC31EmD0a4uX2/view?usp=drivesdk" TargetMode="External"/><Relationship Id="rId102" Type="http://schemas.openxmlformats.org/officeDocument/2006/relationships/hyperlink" Target="https://drive.google.com/file/d/1-UOlW5XqV6MD2C_IhA-YCvzY1uowlniC/view?usp=drivesdk" TargetMode="External"/><Relationship Id="rId2024" Type="http://schemas.openxmlformats.org/officeDocument/2006/relationships/hyperlink" Target="https://drive.google.com/file/d/11QqLgmbtbwaBdxksMvgSN9fgjgPLwWKg/view?usp=drivesdk" TargetMode="External"/><Relationship Id="rId3354" Type="http://schemas.openxmlformats.org/officeDocument/2006/relationships/hyperlink" Target="https://drive.google.com/file/d/1pcJJj-dcZ2YUNw-3w1ykB27KPj9Bj-By/view?usp=drivesdk" TargetMode="External"/><Relationship Id="rId101" Type="http://schemas.openxmlformats.org/officeDocument/2006/relationships/hyperlink" Target="https://drive.google.com/file/d/1t79F8JODLXX8zjN4u-pVuQxyC30Co3C2/view?usp=drivesdk" TargetMode="External"/><Relationship Id="rId2025" Type="http://schemas.openxmlformats.org/officeDocument/2006/relationships/hyperlink" Target="https://drive.google.com/file/d/17twQHZSbQZuzxu21pY3l2ZnhkEsj_cpp/view?usp=drivesdk" TargetMode="External"/><Relationship Id="rId3357" Type="http://schemas.openxmlformats.org/officeDocument/2006/relationships/hyperlink" Target="https://drive.google.com/file/d/1-hACoGBMYzWfW-abiG6hh6iaoZvehEax/view?usp=drivesdk" TargetMode="External"/><Relationship Id="rId100" Type="http://schemas.openxmlformats.org/officeDocument/2006/relationships/hyperlink" Target="https://drive.google.com/file/d/1r1YIMMGetvjFPWmRhqMbhCLgcuhpRowu/view?usp=drivesdk" TargetMode="External"/><Relationship Id="rId2026" Type="http://schemas.openxmlformats.org/officeDocument/2006/relationships/hyperlink" Target="https://drive.google.com/file/d/1BG48fszSoz7SPJL3VTBFDjPh5xPhn4Tw/view?usp=drivesdk" TargetMode="External"/><Relationship Id="rId3356" Type="http://schemas.openxmlformats.org/officeDocument/2006/relationships/hyperlink" Target="https://drive.google.com/file/d/1O4qy3ZvKUUKMZck64Co6Vh7IIH6aPDik/view?usp=drivesdk" TargetMode="External"/><Relationship Id="rId2016" Type="http://schemas.openxmlformats.org/officeDocument/2006/relationships/hyperlink" Target="https://drive.google.com/file/d/1zL5lM_V9MRmmO1m3jB_xWJI2GGBttwNy/view?usp=drivesdk" TargetMode="External"/><Relationship Id="rId3348" Type="http://schemas.openxmlformats.org/officeDocument/2006/relationships/hyperlink" Target="https://drive.google.com/file/d/1sbpmVib3DRD00b_W6U6tFq_cgTbXsBXK/view?usp=drivesdk" TargetMode="External"/><Relationship Id="rId2017" Type="http://schemas.openxmlformats.org/officeDocument/2006/relationships/hyperlink" Target="https://drive.google.com/file/d/17l2cYRmcEAZZdreqrkMvPBM2wIaTNLJ5/view?usp=drivesdk" TargetMode="External"/><Relationship Id="rId3347" Type="http://schemas.openxmlformats.org/officeDocument/2006/relationships/hyperlink" Target="https://drive.google.com/file/d/1XrLjSPpAxn5KMB8LOBiyjOkXRag4jGSC/view?usp=drivesdk" TargetMode="External"/><Relationship Id="rId2018" Type="http://schemas.openxmlformats.org/officeDocument/2006/relationships/hyperlink" Target="https://drive.google.com/file/d/1C-qoEDIS5dt9gmEbHdXyUHBQ2cKsSFFl/view?usp=drivesdk" TargetMode="External"/><Relationship Id="rId2019" Type="http://schemas.openxmlformats.org/officeDocument/2006/relationships/hyperlink" Target="https://drive.google.com/file/d/1S2bnWMra5cT3jybiRMXQyyKgjUU5M3mP/view?usp=drivesdk" TargetMode="External"/><Relationship Id="rId3349" Type="http://schemas.openxmlformats.org/officeDocument/2006/relationships/hyperlink" Target="https://drive.google.com/file/d/1_iGxIOrj5vzUvhOaCiFYGOOkUVaaRx4p/view?usp=drivesdk" TargetMode="External"/><Relationship Id="rId3340" Type="http://schemas.openxmlformats.org/officeDocument/2006/relationships/hyperlink" Target="https://drive.google.com/file/d/119yIqQfYVVKN0GW9NpqUkpEkA8m1xmUD/view?usp=drivesdk" TargetMode="External"/><Relationship Id="rId2010" Type="http://schemas.openxmlformats.org/officeDocument/2006/relationships/hyperlink" Target="https://drive.google.com/file/d/101OwdNXwjKk-CSJMDDNBxSMU_jnE0JGh/view?usp=drivesdk" TargetMode="External"/><Relationship Id="rId3342" Type="http://schemas.openxmlformats.org/officeDocument/2006/relationships/hyperlink" Target="https://drive.google.com/file/d/1od2a-ouaTJO4fTukPdaEiu377d_BcufB/view?usp=drivesdk" TargetMode="External"/><Relationship Id="rId2011" Type="http://schemas.openxmlformats.org/officeDocument/2006/relationships/hyperlink" Target="http://osf.io/wru8c" TargetMode="External"/><Relationship Id="rId3341" Type="http://schemas.openxmlformats.org/officeDocument/2006/relationships/hyperlink" Target="https://drive.google.com/file/d/15-Qaf3mc5XQEsuoEm8ghrVO5S8iGirFd/view?usp=drivesdk" TargetMode="External"/><Relationship Id="rId2012" Type="http://schemas.openxmlformats.org/officeDocument/2006/relationships/hyperlink" Target="https://drive.google.com/file/d/1Oux4UBwSd26986fxRHjyI5XNtU-07DOs/view?usp=drivesdk" TargetMode="External"/><Relationship Id="rId3344" Type="http://schemas.openxmlformats.org/officeDocument/2006/relationships/hyperlink" Target="https://drive.google.com/file/d/1p9X3tD24EWbnOA_5MSM9HTgujzLisIGn/view?usp=drivesdk" TargetMode="External"/><Relationship Id="rId2013" Type="http://schemas.openxmlformats.org/officeDocument/2006/relationships/hyperlink" Target="https://drive.google.com/file/d/1fIqa3RxgdnsQkWwGnLkF4XAbM2g_WN4q/view?usp=drivesdk" TargetMode="External"/><Relationship Id="rId3343" Type="http://schemas.openxmlformats.org/officeDocument/2006/relationships/hyperlink" Target="https://drive.google.com/file/d/1Th-_BL7lfGgtgvuj6_C-xLWQLks88DXP/view?usp=drivesdk" TargetMode="External"/><Relationship Id="rId2014" Type="http://schemas.openxmlformats.org/officeDocument/2006/relationships/hyperlink" Target="https://drive.google.com/file/d/18u8UZGmq2oMFWhXRxe2eL3wAp7RT1WdE/view?usp=drivesdk" TargetMode="External"/><Relationship Id="rId3346" Type="http://schemas.openxmlformats.org/officeDocument/2006/relationships/hyperlink" Target="https://drive.google.com/file/d/1M25zQAcBVGOJlUmqXGI2IsFDOOQqBMhb/view?usp=drivesdk" TargetMode="External"/><Relationship Id="rId2015" Type="http://schemas.openxmlformats.org/officeDocument/2006/relationships/hyperlink" Target="https://drive.google.com/file/d/1BpLhL82hbuMif1ihzgQr3rblWCHhGl8w/view?usp=drivesdk" TargetMode="External"/><Relationship Id="rId3345" Type="http://schemas.openxmlformats.org/officeDocument/2006/relationships/hyperlink" Target="https://drive.google.com/file/d/1zZsKWNkjPZ_9g4uOGvy2Ov6tWL-rEee5/view?usp=drivesdk" TargetMode="External"/><Relationship Id="rId2049" Type="http://schemas.openxmlformats.org/officeDocument/2006/relationships/hyperlink" Target="https://drive.google.com/file/d/1kHUPZx3h_B6XPvWiwIKYjyxxXAvuCZky/view?usp=drivesdk" TargetMode="External"/><Relationship Id="rId129" Type="http://schemas.openxmlformats.org/officeDocument/2006/relationships/hyperlink" Target="https://drive.google.com/file/d/1YNGGWPlq3EOw7KY9iIzlKEt9e2jVuJpr/view?usp=drivesdk" TargetMode="External"/><Relationship Id="rId128" Type="http://schemas.openxmlformats.org/officeDocument/2006/relationships/hyperlink" Target="https://drive.google.com/file/d/18ptYPoQXno9UferVISGOVHiyQPQM3BZ4/view?usp=drivesdk" TargetMode="External"/><Relationship Id="rId127" Type="http://schemas.openxmlformats.org/officeDocument/2006/relationships/hyperlink" Target="https://drive.google.com/file/d/1FO3sRWo8Zhkkp6rCrtESD2TC559uACed/view?usp=drivesdk" TargetMode="External"/><Relationship Id="rId126" Type="http://schemas.openxmlformats.org/officeDocument/2006/relationships/hyperlink" Target="https://drive.google.com/file/d/1tgWKJAiaqv_pD1JRdil6_s2keZY974Ww/view?usp=drivesdk" TargetMode="External"/><Relationship Id="rId3371" Type="http://schemas.openxmlformats.org/officeDocument/2006/relationships/hyperlink" Target="https://drive.google.com/file/d/1stw59aWDD5tZ8snsZY-9UQqeP9WMpzts/view?usp=drivesdk" TargetMode="External"/><Relationship Id="rId2040" Type="http://schemas.openxmlformats.org/officeDocument/2006/relationships/hyperlink" Target="https://drive.google.com/file/d/14dOJ5ND4VtF3gZcZWTmHDAh5mU0QkdYy/view?usp=drivesdk" TargetMode="External"/><Relationship Id="rId3370" Type="http://schemas.openxmlformats.org/officeDocument/2006/relationships/hyperlink" Target="https://drive.google.com/file/d/10tQQDvi74p0uwz_rfj_t6rPzAp-QJohQ/view?usp=drivesdk" TargetMode="External"/><Relationship Id="rId121" Type="http://schemas.openxmlformats.org/officeDocument/2006/relationships/hyperlink" Target="https://drive.google.com/file/d/1V2TV4amTynK9eVlBS23vd4B2tZ_G4yZc/view?usp=drivesdk" TargetMode="External"/><Relationship Id="rId2041" Type="http://schemas.openxmlformats.org/officeDocument/2006/relationships/hyperlink" Target="https://drive.google.com/file/d/1VZDnfEGeyJj49a66gDRh43UDo7SaB9Cn/view?usp=drivesdk" TargetMode="External"/><Relationship Id="rId3373" Type="http://schemas.openxmlformats.org/officeDocument/2006/relationships/hyperlink" Target="https://drive.google.com/file/d/1pnD_JivZ_nDbGc8tbAkf6ZYd42gKIm_w/view?usp=drivesdk" TargetMode="External"/><Relationship Id="rId120" Type="http://schemas.openxmlformats.org/officeDocument/2006/relationships/hyperlink" Target="https://drive.google.com/file/d/19nCdM9QKqKLXeT-RA3DcgdxgtlYB-Ve7/view?usp=drivesdk" TargetMode="External"/><Relationship Id="rId2042" Type="http://schemas.openxmlformats.org/officeDocument/2006/relationships/hyperlink" Target="https://drive.google.com/file/d/1pN298dROLwX3oulVt9Wn2-PIOt25aqoR/view?usp=drivesdk" TargetMode="External"/><Relationship Id="rId3372" Type="http://schemas.openxmlformats.org/officeDocument/2006/relationships/hyperlink" Target="https://drive.google.com/file/d/1YO1uT-ewP-5qv0jr683Nj5KCqmIRFxTa/view?usp=drivesdk" TargetMode="External"/><Relationship Id="rId2043" Type="http://schemas.openxmlformats.org/officeDocument/2006/relationships/hyperlink" Target="https://drive.google.com/file/d/19a3lbO9orvIn9kSVhTa4wHPIOE8aXVyn/view?usp=drivesdk" TargetMode="External"/><Relationship Id="rId3375" Type="http://schemas.openxmlformats.org/officeDocument/2006/relationships/hyperlink" Target="https://drive.google.com/file/d/1CX-X4yZPIliMfb05V-exrVifx5i5gyZu/view?usp=drivesdk" TargetMode="External"/><Relationship Id="rId2044" Type="http://schemas.openxmlformats.org/officeDocument/2006/relationships/hyperlink" Target="https://drive.google.com/file/d/1Vzq0za2tbbXf0MOd29FuWvFP-2e12RCg/view?usp=drivesdk" TargetMode="External"/><Relationship Id="rId3374" Type="http://schemas.openxmlformats.org/officeDocument/2006/relationships/hyperlink" Target="https://drive.google.com/file/d/13uCKRkvqvsNdCzb2_BuUibZNm7bSygxU/view?usp=drivesdk" TargetMode="External"/><Relationship Id="rId125" Type="http://schemas.openxmlformats.org/officeDocument/2006/relationships/hyperlink" Target="https://drive.google.com/file/d/1XASQSkL-FQgNTzpu5eGhvOEE1zmYwGK-/view?usp=drivesdk" TargetMode="External"/><Relationship Id="rId2045" Type="http://schemas.openxmlformats.org/officeDocument/2006/relationships/hyperlink" Target="https://drive.google.com/file/d/1gH5vScUQpI_fyA6bvJhOrh1BXm6M7wuu/view?usp=drivesdk" TargetMode="External"/><Relationship Id="rId3377" Type="http://schemas.openxmlformats.org/officeDocument/2006/relationships/hyperlink" Target="https://drive.google.com/file/d/1GlWBowF1UBaZOdmpxK6j_6xz1lhczVu3/view?usp=drivesdk" TargetMode="External"/><Relationship Id="rId124" Type="http://schemas.openxmlformats.org/officeDocument/2006/relationships/hyperlink" Target="https://drive.google.com/file/d/1Fa2tqyEQLnhy-bD4IF5qqvsIIMz57VT_/view?usp=drivesdk" TargetMode="External"/><Relationship Id="rId2046" Type="http://schemas.openxmlformats.org/officeDocument/2006/relationships/hyperlink" Target="https://drive.google.com/file/d/1tZIfJB058zdF5aUmxzNo3WGNtaIxEYBi/view?usp=drivesdk" TargetMode="External"/><Relationship Id="rId3376" Type="http://schemas.openxmlformats.org/officeDocument/2006/relationships/hyperlink" Target="https://drive.google.com/file/d/19HR11okzts2iI1bdWqGn2PnsBGvEbSxC/view?usp=drivesdk" TargetMode="External"/><Relationship Id="rId123" Type="http://schemas.openxmlformats.org/officeDocument/2006/relationships/hyperlink" Target="https://drive.google.com/file/d/1akTINvgw3VjFnf-4gJ3tqOBVu8bbjUdS/view?usp=drivesdk" TargetMode="External"/><Relationship Id="rId2047" Type="http://schemas.openxmlformats.org/officeDocument/2006/relationships/hyperlink" Target="https://drive.google.com/file/d/1zwhQmNxjp14soK3-40ryikikjujtIUBo/view?usp=drivesdk" TargetMode="External"/><Relationship Id="rId3379" Type="http://schemas.openxmlformats.org/officeDocument/2006/relationships/hyperlink" Target="https://drive.google.com/file/d/1KTndRLnspP4bSM08LU5xlAb5egjHN1hx/view?usp=drivesdk" TargetMode="External"/><Relationship Id="rId122" Type="http://schemas.openxmlformats.org/officeDocument/2006/relationships/hyperlink" Target="https://drive.google.com/file/d/1m1-DpE_hThUjNmZ1zW35jURfmNfFfBTc/view?usp=drivesdk" TargetMode="External"/><Relationship Id="rId2048" Type="http://schemas.openxmlformats.org/officeDocument/2006/relationships/hyperlink" Target="https://drive.google.com/file/d/1OFquFaz47F3N7YxYEZs3N0lm43AFUxqH/view?usp=drivesdk" TargetMode="External"/><Relationship Id="rId3378" Type="http://schemas.openxmlformats.org/officeDocument/2006/relationships/hyperlink" Target="https://drive.google.com/file/d/18O3cqWIfono-CDPIVLFNJVkA-2VNOHsv/view?usp=drivesdk" TargetMode="External"/><Relationship Id="rId2038" Type="http://schemas.openxmlformats.org/officeDocument/2006/relationships/hyperlink" Target="https://drive.google.com/file/d/1EK0iig6kRzrCroz49dDEP_mf3A-HoVQR/view?usp=drivesdk" TargetMode="External"/><Relationship Id="rId2039" Type="http://schemas.openxmlformats.org/officeDocument/2006/relationships/hyperlink" Target="https://drive.google.com/file/d/1zwRoxz5Sn0X6IsPbbi0ZGnyNqMlsqV_i/view?usp=drivesdk" TargetMode="External"/><Relationship Id="rId3369" Type="http://schemas.openxmlformats.org/officeDocument/2006/relationships/hyperlink" Target="https://drive.google.com/file/d/1j0mn959ZZSMHPHeyS9bW6vv9NzM9UaK_/view?usp=drivesdk" TargetMode="External"/><Relationship Id="rId118" Type="http://schemas.openxmlformats.org/officeDocument/2006/relationships/hyperlink" Target="https://drive.google.com/file/d/1xBMrGD1muxDf8zko05ptOV5VzgybNtZC/view?usp=drivesdk" TargetMode="External"/><Relationship Id="rId117" Type="http://schemas.openxmlformats.org/officeDocument/2006/relationships/hyperlink" Target="https://drive.google.com/file/d/1ntT2EAi57UdDMlC-AIndSlSXJYQCMY0i/view?usp=drivesdk" TargetMode="External"/><Relationship Id="rId116" Type="http://schemas.openxmlformats.org/officeDocument/2006/relationships/hyperlink" Target="https://drive.google.com/file/d/1xf-9W0t0IsYSmu1MJKhOE28red9OCaEH/view?usp=drivesdk" TargetMode="External"/><Relationship Id="rId115" Type="http://schemas.openxmlformats.org/officeDocument/2006/relationships/hyperlink" Target="https://drive.google.com/file/d/1HV7Gy6rRVSXj6uNuUxSOsxU7bGb-tKkw/view?usp=drivesdk" TargetMode="External"/><Relationship Id="rId3360" Type="http://schemas.openxmlformats.org/officeDocument/2006/relationships/hyperlink" Target="https://drive.google.com/file/d/1GTQ8DttYpXbULplpRAwajCjBQJZrFpwH/view?usp=drivesdk" TargetMode="External"/><Relationship Id="rId119" Type="http://schemas.openxmlformats.org/officeDocument/2006/relationships/hyperlink" Target="https://drive.google.com/file/d/193h763uT3URDbsrsWAZ3L9UwXrWs0l6Q/view?usp=drivesdk" TargetMode="External"/><Relationship Id="rId110" Type="http://schemas.openxmlformats.org/officeDocument/2006/relationships/hyperlink" Target="https://drive.google.com/file/d/1h4tj6gs3cwdA7EmUn5eG6haLPzVx23z1/view?usp=drivesdk" TargetMode="External"/><Relationship Id="rId2030" Type="http://schemas.openxmlformats.org/officeDocument/2006/relationships/hyperlink" Target="https://drive.google.com/file/d/1bgDqkxennRmohAykLaeVfBKHnwj2hy4X/view?usp=drivesdk" TargetMode="External"/><Relationship Id="rId3362" Type="http://schemas.openxmlformats.org/officeDocument/2006/relationships/hyperlink" Target="https://drive.google.com/file/d/1ctmfPUj9wwC3h5aO2V0hXfG37U2nCE3e/view?usp=drivesdk" TargetMode="External"/><Relationship Id="rId2031" Type="http://schemas.openxmlformats.org/officeDocument/2006/relationships/hyperlink" Target="https://drive.google.com/file/d/1jPiuYDESv0ZoX3sIwP44HDgH0VG3hswL/view?usp=drivesdk" TargetMode="External"/><Relationship Id="rId3361" Type="http://schemas.openxmlformats.org/officeDocument/2006/relationships/hyperlink" Target="https://drive.google.com/file/d/18wDNGwEtS0NcrA2dAvx1zgK-ByZks7mw/view?usp=drivesdk" TargetMode="External"/><Relationship Id="rId2032" Type="http://schemas.openxmlformats.org/officeDocument/2006/relationships/hyperlink" Target="https://drive.google.com/file/d/1_mm78I7fP7y2ESrJlwaIrN7h22W30B5K/view?usp=drivesdk" TargetMode="External"/><Relationship Id="rId3364" Type="http://schemas.openxmlformats.org/officeDocument/2006/relationships/hyperlink" Target="https://drive.google.com/file/d/1Wq0sSamnAgMWLJLZEAdHMNTgHVF3F_wg/view?usp=drivesdk" TargetMode="External"/><Relationship Id="rId2033" Type="http://schemas.openxmlformats.org/officeDocument/2006/relationships/hyperlink" Target="https://drive.google.com/file/d/1g2LUlGntoVWUQi433rats2xlfqkwajdf/view?usp=drivesdk" TargetMode="External"/><Relationship Id="rId3363" Type="http://schemas.openxmlformats.org/officeDocument/2006/relationships/hyperlink" Target="https://drive.google.com/file/d/1BNCsWCKj_ArnGXZwaeQIcZ03z9s391QO/view?usp=drivesdk" TargetMode="External"/><Relationship Id="rId114" Type="http://schemas.openxmlformats.org/officeDocument/2006/relationships/hyperlink" Target="https://drive.google.com/file/d/1aZZ0pO-8npqLlPjKBcAkFoT0g0Cpa256/view?usp=drivesdk" TargetMode="External"/><Relationship Id="rId2034" Type="http://schemas.openxmlformats.org/officeDocument/2006/relationships/hyperlink" Target="https://drive.google.com/file/d/16b2RhNig_5iqWitXUKqz28-xsE4N6txd/view?usp=drivesdk" TargetMode="External"/><Relationship Id="rId3366" Type="http://schemas.openxmlformats.org/officeDocument/2006/relationships/hyperlink" Target="https://drive.google.com/file/d/1V03D6SadgRB81BNo3fV5NxWC_bZKMZSm/view?usp=drivesdk" TargetMode="External"/><Relationship Id="rId113" Type="http://schemas.openxmlformats.org/officeDocument/2006/relationships/hyperlink" Target="https://drive.google.com/file/d/1yl5sjfN0hm-cPqTcUhw0GllLsKcpyuEU/view?usp=drivesdk" TargetMode="External"/><Relationship Id="rId2035" Type="http://schemas.openxmlformats.org/officeDocument/2006/relationships/hyperlink" Target="https://drive.google.com/file/d/1tin9nciEOGqNUz2Yx-ZnwQtqTwJGFR6v/view?usp=drivesdk" TargetMode="External"/><Relationship Id="rId3365" Type="http://schemas.openxmlformats.org/officeDocument/2006/relationships/hyperlink" Target="https://drive.google.com/file/d/1dD_RkFuxQxk3hkxXbqultnhFhN1opB9Y/view?usp=drivesdk" TargetMode="External"/><Relationship Id="rId112" Type="http://schemas.openxmlformats.org/officeDocument/2006/relationships/hyperlink" Target="https://drive.google.com/file/d/1UPTTtWzAtBP_-U-btm70m7_N0NftfSLH/view?usp=drivesdk" TargetMode="External"/><Relationship Id="rId2036" Type="http://schemas.openxmlformats.org/officeDocument/2006/relationships/hyperlink" Target="https://docs.google.com/document/d/15ukjAVIprceHouxCDvFr3DO3hAQxWGyoAXtWMm3JZas/edit?usp=drivesdk" TargetMode="External"/><Relationship Id="rId3368" Type="http://schemas.openxmlformats.org/officeDocument/2006/relationships/hyperlink" Target="https://drive.google.com/file/d/1KmyHkB13ZFEziyeMZJmfqm6YYEH53iJL/view?usp=drivesdk" TargetMode="External"/><Relationship Id="rId111" Type="http://schemas.openxmlformats.org/officeDocument/2006/relationships/hyperlink" Target="https://drive.google.com/file/d/1C5DkQ_r6mZDLeszv5zdshv1kswT2ZX3E/view?usp=drivesdk" TargetMode="External"/><Relationship Id="rId2037" Type="http://schemas.openxmlformats.org/officeDocument/2006/relationships/hyperlink" Target="https://drive.google.com/file/d/1ljVoDtYBz0iPIIVFLmoGyAGWDfVCncq9/view?usp=drivesdk" TargetMode="External"/><Relationship Id="rId3367" Type="http://schemas.openxmlformats.org/officeDocument/2006/relationships/hyperlink" Target="https://drive.google.com/file/d/1wNYmBBQACZKlJDlgIxup_p9zVgPtzSpC/view?usp=drivesdk" TargetMode="External"/><Relationship Id="rId3315" Type="http://schemas.openxmlformats.org/officeDocument/2006/relationships/hyperlink" Target="https://drive.google.com/file/d/1y_lQGjVlo6Fl18TxXjJCuEtRwnUYubwf/view?usp=drivesdk" TargetMode="External"/><Relationship Id="rId3314" Type="http://schemas.openxmlformats.org/officeDocument/2006/relationships/hyperlink" Target="https://drive.google.com/file/d/13E6exELEtdG2RSbqcPYafnphBAN0Qwtm/view?usp=drivesdk" TargetMode="External"/><Relationship Id="rId3317" Type="http://schemas.openxmlformats.org/officeDocument/2006/relationships/hyperlink" Target="https://drive.google.com/file/d/1QgM5ih3blPKfggX8boZpRVE5q-Rpsxzc/view?usp=drivesdk" TargetMode="External"/><Relationship Id="rId3316" Type="http://schemas.openxmlformats.org/officeDocument/2006/relationships/hyperlink" Target="https://drive.google.com/file/d/1ulcmn23SslnIFjXNPMwqbzhRfT5lhEO8/view?usp=drivesdk" TargetMode="External"/><Relationship Id="rId3319" Type="http://schemas.openxmlformats.org/officeDocument/2006/relationships/hyperlink" Target="https://drive.google.com/file/d/1pdhS0-ZGyjQIREpiT3_N1ld6izfKXSFK/view?usp=drivesdk" TargetMode="External"/><Relationship Id="rId3318" Type="http://schemas.openxmlformats.org/officeDocument/2006/relationships/hyperlink" Target="https://drive.google.com/file/d/1CSEUe6gYLUw8yuCZAwajh6IlhECLeioY/view?usp=drivesdk" TargetMode="External"/><Relationship Id="rId3311" Type="http://schemas.openxmlformats.org/officeDocument/2006/relationships/hyperlink" Target="https://drive.google.com/file/d/1eGcl00TFvqtXToShjh3zwuqo-qNHAocO/view?usp=drivesdk" TargetMode="External"/><Relationship Id="rId3310" Type="http://schemas.openxmlformats.org/officeDocument/2006/relationships/hyperlink" Target="https://drive.google.com/file/d/1acuUVGe9a1FY0NzYPbpq8pAnbZKrjA2v/view?usp=drivesdk" TargetMode="External"/><Relationship Id="rId3313" Type="http://schemas.openxmlformats.org/officeDocument/2006/relationships/hyperlink" Target="https://drive.google.com/file/d/1kV7PFFLYbgc-Kw-sxuSqcN9skQ8U3QBY/view?usp=drivesdk" TargetMode="External"/><Relationship Id="rId3312" Type="http://schemas.openxmlformats.org/officeDocument/2006/relationships/hyperlink" Target="https://drive.google.com/file/d/1G4iua1K6eT5Xv5xxUKULlTZ0My66xR2X/view?usp=drivesdk" TargetMode="External"/><Relationship Id="rId3304" Type="http://schemas.openxmlformats.org/officeDocument/2006/relationships/hyperlink" Target="https://drive.google.com/file/d/1J_0Y3dKunmzcdm9LjbKZTpby7Qd4ipkA/view?usp=drivesdk" TargetMode="External"/><Relationship Id="rId3303" Type="http://schemas.openxmlformats.org/officeDocument/2006/relationships/hyperlink" Target="https://drive.google.com/file/d/14KNxp9Akgen5F3LcGWOsHT4Qbqu4HTYy/view?usp=drivesdk" TargetMode="External"/><Relationship Id="rId3306" Type="http://schemas.openxmlformats.org/officeDocument/2006/relationships/hyperlink" Target="https://drive.google.com/file/d/14ZQ9EzNr9F8ACt32VRfITF656jMezTnV/view?usp=drivesdk" TargetMode="External"/><Relationship Id="rId3305" Type="http://schemas.openxmlformats.org/officeDocument/2006/relationships/hyperlink" Target="https://drive.google.com/file/d/1DqSsvMQMMGnVP3lP6Am1mBq90t1XZMxt/view?usp=drivesdk" TargetMode="External"/><Relationship Id="rId3308" Type="http://schemas.openxmlformats.org/officeDocument/2006/relationships/hyperlink" Target="https://drive.google.com/file/d/1M2npXIoOra27xHNDnCsNwFJwuHLFn-QY/view?usp=drivesdk" TargetMode="External"/><Relationship Id="rId3307" Type="http://schemas.openxmlformats.org/officeDocument/2006/relationships/hyperlink" Target="https://drive.google.com/file/d/1CZ8RmInPe2eqHwf-p8tl0IQxpn8_H_C5/view?usp=drivesdk" TargetMode="External"/><Relationship Id="rId3309" Type="http://schemas.openxmlformats.org/officeDocument/2006/relationships/hyperlink" Target="https://drive.google.com/file/d/17frihgo9iXD4WAxNIp0IHozpEUt6sj7r/view?usp=drivesdk" TargetMode="External"/><Relationship Id="rId3300" Type="http://schemas.openxmlformats.org/officeDocument/2006/relationships/hyperlink" Target="https://drive.google.com/file/d/1eermV6x-0NkuxwsqnprduFouBUdTshGn/view?usp=drivesdk" TargetMode="External"/><Relationship Id="rId3302" Type="http://schemas.openxmlformats.org/officeDocument/2006/relationships/hyperlink" Target="https://drive.google.com/file/d/1tL5SefgazspPrHDE7uspX1rbNInieF1Y/view?usp=drivesdk" TargetMode="External"/><Relationship Id="rId3301" Type="http://schemas.openxmlformats.org/officeDocument/2006/relationships/hyperlink" Target="https://drive.google.com/file/d/1zRyXsoSPgsnT73Tx99gTHCq3vOgCSARP/view?usp=drivesdk" TargetMode="External"/><Relationship Id="rId2005" Type="http://schemas.openxmlformats.org/officeDocument/2006/relationships/hyperlink" Target="https://drive.google.com/file/d/15dFaGlw5PiU4FQdHXfm-MBl-bSuobzO2/view?usp=drivesdk" TargetMode="External"/><Relationship Id="rId3337" Type="http://schemas.openxmlformats.org/officeDocument/2006/relationships/hyperlink" Target="https://drive.google.com/file/d/1FWRQbooJB3yBxAT3Bu0VtKlQVOCCrmTE/view?usp=drivesdk" TargetMode="External"/><Relationship Id="rId2006" Type="http://schemas.openxmlformats.org/officeDocument/2006/relationships/hyperlink" Target="https://drive.google.com/file/d/1KQ2h_KjNuvgQPQ443vS97noydUJbOuPG/view?usp=drivesdk" TargetMode="External"/><Relationship Id="rId3336" Type="http://schemas.openxmlformats.org/officeDocument/2006/relationships/hyperlink" Target="https://drive.google.com/file/d/1qyGORRGdQy-kyOSM_2vtKP7-BEAhuKWX/view?usp=drivesdk" TargetMode="External"/><Relationship Id="rId2007" Type="http://schemas.openxmlformats.org/officeDocument/2006/relationships/hyperlink" Target="https://drive.google.com/file/d/1u_oSZ0fEx8q87XxieN1axHREEr_kiGBE/view?usp=drivesdk" TargetMode="External"/><Relationship Id="rId3339" Type="http://schemas.openxmlformats.org/officeDocument/2006/relationships/hyperlink" Target="https://drive.google.com/file/d/1DzRA3qe8CQXBgcDoOXxyAWU63P40Fwio/view?usp=drivesdk" TargetMode="External"/><Relationship Id="rId2008" Type="http://schemas.openxmlformats.org/officeDocument/2006/relationships/hyperlink" Target="https://drive.google.com/file/d/1SlGQ-MMWoaYjG2PzJ2FZTEPcMTkqTVn9/view?usp=drivesdk" TargetMode="External"/><Relationship Id="rId3338" Type="http://schemas.openxmlformats.org/officeDocument/2006/relationships/hyperlink" Target="https://drive.google.com/file/d/13YTFwHRFNpBSnxofMWEZYB4DFgqick6w/view?usp=drivesdk" TargetMode="External"/><Relationship Id="rId2009" Type="http://schemas.openxmlformats.org/officeDocument/2006/relationships/hyperlink" Target="http://osf.io/x4v53" TargetMode="External"/><Relationship Id="rId3331" Type="http://schemas.openxmlformats.org/officeDocument/2006/relationships/hyperlink" Target="https://drive.google.com/file/d/15WVNsHu4qw18Mufo3UCjKv6cq2gXORb0/view?usp=drivesdk" TargetMode="External"/><Relationship Id="rId2000" Type="http://schemas.openxmlformats.org/officeDocument/2006/relationships/hyperlink" Target="https://drive.google.com/file/d/1uqPYsQnG8eSYcKJ1Tcphemj3KvGd0mXp/view?usp=drivesdk" TargetMode="External"/><Relationship Id="rId3330" Type="http://schemas.openxmlformats.org/officeDocument/2006/relationships/hyperlink" Target="https://drive.google.com/file/d/1rYKmBnC6-cppCzt4DERsstyRR5gk2db1/view?usp=drivesdk" TargetMode="External"/><Relationship Id="rId2001" Type="http://schemas.openxmlformats.org/officeDocument/2006/relationships/hyperlink" Target="https://drive.google.com/file/d/1WNCE1BHqI-1JTQSuMkdiS2Xt4dckCPmq/view?usp=drivesdk" TargetMode="External"/><Relationship Id="rId3333" Type="http://schemas.openxmlformats.org/officeDocument/2006/relationships/hyperlink" Target="https://drive.google.com/file/d/1iXbJmAfK9HnzZ8oDPYgQfHqZeVcgywaq/view?usp=drivesdk" TargetMode="External"/><Relationship Id="rId2002" Type="http://schemas.openxmlformats.org/officeDocument/2006/relationships/hyperlink" Target="https://drive.google.com/file/d/1gKS9Z0txNmobZApdh403VlFeWnSEs1mA/view?usp=drivesdk" TargetMode="External"/><Relationship Id="rId3332" Type="http://schemas.openxmlformats.org/officeDocument/2006/relationships/hyperlink" Target="https://drive.google.com/file/d/1rfhy0H3N2i18Q2nk5882hihBrKt6EiZo/view?usp=drivesdk" TargetMode="External"/><Relationship Id="rId2003" Type="http://schemas.openxmlformats.org/officeDocument/2006/relationships/hyperlink" Target="https://drive.google.com/file/d/1gy34Rj2zubnsdFDxbY0YzwrhmT7eVu5B/view?usp=drivesdk" TargetMode="External"/><Relationship Id="rId3335" Type="http://schemas.openxmlformats.org/officeDocument/2006/relationships/hyperlink" Target="https://drive.google.com/file/d/1ey3svgzi5RXI2O-RNCBTZkx8IlV-kKzo/view?usp=drivesdk" TargetMode="External"/><Relationship Id="rId2004" Type="http://schemas.openxmlformats.org/officeDocument/2006/relationships/hyperlink" Target="https://drive.google.com/file/d/1Rle6yo3utupMLtWPIY-izoAHwsC7-l3z/view?usp=drivesdk" TargetMode="External"/><Relationship Id="rId3334" Type="http://schemas.openxmlformats.org/officeDocument/2006/relationships/hyperlink" Target="https://drive.google.com/file/d/1M0Xd_T8fusHFgXmv-HDFJpVyg0Ga7w1w/view?usp=drivesdk" TargetMode="External"/><Relationship Id="rId3326" Type="http://schemas.openxmlformats.org/officeDocument/2006/relationships/hyperlink" Target="https://drive.google.com/file/d/1jf3ctwxwUpc5AYKxlkNN-odE2ElrZuqN/view?usp=drivesdk" TargetMode="External"/><Relationship Id="rId3325" Type="http://schemas.openxmlformats.org/officeDocument/2006/relationships/hyperlink" Target="https://drive.google.com/file/d/1EDHHFOSKkOQc-1kI7O0JVmaKcw9YK3p2/view?usp=drivesdk" TargetMode="External"/><Relationship Id="rId3328" Type="http://schemas.openxmlformats.org/officeDocument/2006/relationships/hyperlink" Target="https://drive.google.com/file/d/1m4pILp8FV7YtyobDHxoq8pojV_SH9CV7/view?usp=drivesdk" TargetMode="External"/><Relationship Id="rId3327" Type="http://schemas.openxmlformats.org/officeDocument/2006/relationships/hyperlink" Target="https://drive.google.com/file/d/1vQ1lUQP7E0bfjNjtCdLNAaUqgcbJ9PLU/view?usp=drivesdk" TargetMode="External"/><Relationship Id="rId3329" Type="http://schemas.openxmlformats.org/officeDocument/2006/relationships/hyperlink" Target="https://drive.google.com/file/d/1kb4iozdFSFtKZKGvaK7sOkqlr4kI2jg5/view?usp=drivesdk" TargetMode="External"/><Relationship Id="rId3320" Type="http://schemas.openxmlformats.org/officeDocument/2006/relationships/hyperlink" Target="https://drive.google.com/file/d/1DrC4ktWX9HamK4DWq_tF1P_2alxXHAnN/view?usp=drivesdk" TargetMode="External"/><Relationship Id="rId3322" Type="http://schemas.openxmlformats.org/officeDocument/2006/relationships/hyperlink" Target="https://drive.google.com/file/d/1PuD-vIYdn5C4vHU0YiqSuL7OPCmx9ttp/view?usp=drivesdk" TargetMode="External"/><Relationship Id="rId3321" Type="http://schemas.openxmlformats.org/officeDocument/2006/relationships/hyperlink" Target="https://drive.google.com/file/d/1IgOEeoYh65YudspFokk-VaTPbrQd0gtD/view?usp=drivesdk" TargetMode="External"/><Relationship Id="rId3324" Type="http://schemas.openxmlformats.org/officeDocument/2006/relationships/hyperlink" Target="https://drive.google.com/file/d/15kuHQf8erGaSOBxt1lOz994u1DIsHk_v/view?usp=drivesdk" TargetMode="External"/><Relationship Id="rId3323" Type="http://schemas.openxmlformats.org/officeDocument/2006/relationships/hyperlink" Target="https://drive.google.com/file/d/1kGdnrYJFp9Fedk9QHQtyDcczJB_LGP5s/view?usp=drivesdk" TargetMode="External"/><Relationship Id="rId2090" Type="http://schemas.openxmlformats.org/officeDocument/2006/relationships/hyperlink" Target="https://drive.google.com/file/d/1OnBHam5HlT_FnxkfI5nOiF6JDIO6aQXF/view?usp=drivesdk" TargetMode="External"/><Relationship Id="rId2091" Type="http://schemas.openxmlformats.org/officeDocument/2006/relationships/hyperlink" Target="https://drive.google.com/file/d/1az1SIxKd6EbPuSgzjStXVmZywnrfnuZb/view?usp=drivesdk" TargetMode="External"/><Relationship Id="rId2092" Type="http://schemas.openxmlformats.org/officeDocument/2006/relationships/hyperlink" Target="https://drive.google.com/file/d/1YrBv468_VhWbgyfniJQXLhxQR5XPZdgI/view?usp=drivesdk" TargetMode="External"/><Relationship Id="rId2093" Type="http://schemas.openxmlformats.org/officeDocument/2006/relationships/hyperlink" Target="https://drive.google.com/file/d/1zUHTcsJfnfyEPxnBbRwIfFnohsp_DvEU/view?usp=drivesdk" TargetMode="External"/><Relationship Id="rId2094" Type="http://schemas.openxmlformats.org/officeDocument/2006/relationships/hyperlink" Target="https://drive.google.com/file/d/1Ewwg-aAU3bSbKUqgbQkHYQDVkyW7wEnt/view?usp=drivesdk" TargetMode="External"/><Relationship Id="rId2095" Type="http://schemas.openxmlformats.org/officeDocument/2006/relationships/hyperlink" Target="https://drive.google.com/file/d/1Izigs9eTp-It0b_EXppmcwByOjpaCAHX/view?usp=drivesdk" TargetMode="External"/><Relationship Id="rId2096" Type="http://schemas.openxmlformats.org/officeDocument/2006/relationships/hyperlink" Target="https://drive.google.com/file/d/1urBFg5QSiZNH_xxtiNvzvgi_nlR1Fw29/view?usp=drivesdk" TargetMode="External"/><Relationship Id="rId2097" Type="http://schemas.openxmlformats.org/officeDocument/2006/relationships/hyperlink" Target="https://drive.google.com/file/d/1DV0ExUa1GWwSvnPH_2dsITBde4wJ5TzH/view?usp=drivesdk" TargetMode="External"/><Relationship Id="rId2098" Type="http://schemas.openxmlformats.org/officeDocument/2006/relationships/hyperlink" Target="https://drive.google.com/file/d/1qyWk94p5kvk6ipMv3ggRvCu0WIGqrVcB/view?usp=drivesdk" TargetMode="External"/><Relationship Id="rId2099" Type="http://schemas.openxmlformats.org/officeDocument/2006/relationships/hyperlink" Target="https://drive.google.com/file/d/16X4-MpEdpgJoIThaDqEh7piY761SFlEh/view?usp=drivesdk" TargetMode="External"/><Relationship Id="rId2060" Type="http://schemas.openxmlformats.org/officeDocument/2006/relationships/hyperlink" Target="https://drive.google.com/file/d/1cC7F5Emgvx8u0Dfs1MQ2f29zE6TMWOU8/view?usp=drivesdk" TargetMode="External"/><Relationship Id="rId2061" Type="http://schemas.openxmlformats.org/officeDocument/2006/relationships/hyperlink" Target="https://drive.google.com/file/d/1Yi0-osiDCwvqr4jJfxit-NVW7RQ1SF29/view?usp=drivesdk" TargetMode="External"/><Relationship Id="rId2062" Type="http://schemas.openxmlformats.org/officeDocument/2006/relationships/hyperlink" Target="https://drive.google.com/file/d/1GqJOi3_wzA-P33ijSTbAmoPX6C_MOsTC/view?usp=drivesdk" TargetMode="External"/><Relationship Id="rId2063" Type="http://schemas.openxmlformats.org/officeDocument/2006/relationships/hyperlink" Target="https://drive.google.com/file/d/1B5OEhsR85ozE9snbNlRjA9--q4dxVbDt/view?usp=drivesdk" TargetMode="External"/><Relationship Id="rId2064" Type="http://schemas.openxmlformats.org/officeDocument/2006/relationships/hyperlink" Target="https://drive.google.com/file/d/1lJHfVkGHOcLEsOsMmffxCq25FloygVUf/view?usp=drivesdk" TargetMode="External"/><Relationship Id="rId2065" Type="http://schemas.openxmlformats.org/officeDocument/2006/relationships/hyperlink" Target="https://drive.google.com/file/d/1ig1riLJkwYA9QD_LRKQNT-2fw-KmcoZV/view?usp=drivesdk" TargetMode="External"/><Relationship Id="rId2066" Type="http://schemas.openxmlformats.org/officeDocument/2006/relationships/hyperlink" Target="https://drive.google.com/file/d/1TyonuU8faoL3qvV0nV5rWJKfa6ikeq22/view?usp=drivesdk" TargetMode="External"/><Relationship Id="rId2067" Type="http://schemas.openxmlformats.org/officeDocument/2006/relationships/hyperlink" Target="https://drive.google.com/file/d/1lCXRjhgmnokQwUX121NSqljMp58vt7m8/view?usp=drivesdk" TargetMode="External"/><Relationship Id="rId2068" Type="http://schemas.openxmlformats.org/officeDocument/2006/relationships/hyperlink" Target="https://drive.google.com/file/d/1veAXPhnoaw_fYNAIAN16U6nUGzUSP79f/view?usp=drivesdk" TargetMode="External"/><Relationship Id="rId2069" Type="http://schemas.openxmlformats.org/officeDocument/2006/relationships/hyperlink" Target="https://drive.google.com/file/d/1i0NZPeE_Sgjxpph9OhoD2_wsnFtzErII/view?usp=drivesdk" TargetMode="External"/><Relationship Id="rId3380" Type="http://schemas.openxmlformats.org/officeDocument/2006/relationships/hyperlink" Target="https://drive.google.com/file/d/1qQJNn7ZvoufwBSS_pp5Ek1nTMCXq-Gfn/view?usp=drivesdk" TargetMode="External"/><Relationship Id="rId2050" Type="http://schemas.openxmlformats.org/officeDocument/2006/relationships/hyperlink" Target="https://drive.google.com/file/d/1wLaBoP1xnyM5YvhTbp0wBKftvxK6iXtN/view?usp=drivesdk" TargetMode="External"/><Relationship Id="rId3382" Type="http://schemas.openxmlformats.org/officeDocument/2006/relationships/hyperlink" Target="https://drive.google.com/file/d/17EeLBgk-VXx8QhSm2-TUhXwWwk17IVL_/view?usp=drivesdk" TargetMode="External"/><Relationship Id="rId2051" Type="http://schemas.openxmlformats.org/officeDocument/2006/relationships/hyperlink" Target="https://drive.google.com/file/d/1k4G770E5hE0owoWvblXVTUu0uvORD8Qa/view?usp=drivesdk" TargetMode="External"/><Relationship Id="rId3381" Type="http://schemas.openxmlformats.org/officeDocument/2006/relationships/hyperlink" Target="https://drive.google.com/file/d/1kbXA2yjqn9_HAA7piV4GBkF0Jd0kjvnI/view?usp=drivesdk" TargetMode="External"/><Relationship Id="rId2052" Type="http://schemas.openxmlformats.org/officeDocument/2006/relationships/hyperlink" Target="https://drive.google.com/file/d/1tJdhVk4Vn-qFJw4c7_lMMTliT5FjiQyV/view?usp=drivesdk" TargetMode="External"/><Relationship Id="rId3384" Type="http://schemas.openxmlformats.org/officeDocument/2006/relationships/hyperlink" Target="https://drive.google.com/file/d/1vTYDdyFZxBfZ2xccMFQlAXInz9JM0Wim/view?usp=drivesdk" TargetMode="External"/><Relationship Id="rId2053" Type="http://schemas.openxmlformats.org/officeDocument/2006/relationships/hyperlink" Target="https://drive.google.com/file/d/1RsHwxVTBzUNFBPZhCDdGTcSVgCrwTTK7/view?usp=drivesdk" TargetMode="External"/><Relationship Id="rId3383" Type="http://schemas.openxmlformats.org/officeDocument/2006/relationships/hyperlink" Target="https://drive.google.com/file/d/1ZdWoUy_MV_YcU7BTnK25M2XBBF0k5ovP/view?usp=drivesdk" TargetMode="External"/><Relationship Id="rId2054" Type="http://schemas.openxmlformats.org/officeDocument/2006/relationships/hyperlink" Target="https://drive.google.com/file/d/1OGQs1lmQWehhi8Ls7qZW8us---Htsb3Q/view?usp=drivesdk" TargetMode="External"/><Relationship Id="rId2055" Type="http://schemas.openxmlformats.org/officeDocument/2006/relationships/hyperlink" Target="https://drive.google.com/file/d/1RfTng7c7i7RaxBtl4QtmPb5tv1Ufc5Bc/view?usp=drivesdk" TargetMode="External"/><Relationship Id="rId3385" Type="http://schemas.openxmlformats.org/officeDocument/2006/relationships/drawing" Target="../drawings/drawing5.xml"/><Relationship Id="rId2056" Type="http://schemas.openxmlformats.org/officeDocument/2006/relationships/hyperlink" Target="https://drive.google.com/file/d/1v0sDX0MqlrUpKGVTRWm4hWA1ClaDB-o4/view?usp=drivesdk" TargetMode="External"/><Relationship Id="rId2057" Type="http://schemas.openxmlformats.org/officeDocument/2006/relationships/hyperlink" Target="https://drive.google.com/file/d/1ZD3-K7xghBRrVzzov8pEkGyv61Pn34My/view?usp=drivesdk" TargetMode="External"/><Relationship Id="rId2058" Type="http://schemas.openxmlformats.org/officeDocument/2006/relationships/hyperlink" Target="https://drive.google.com/file/d/1R4A7I9qCrUqFgaOi5jWAadFyXRp-Hhlv/view?usp=drivesdk" TargetMode="External"/><Relationship Id="rId2059" Type="http://schemas.openxmlformats.org/officeDocument/2006/relationships/hyperlink" Target="https://drive.google.com/file/d/1Gz4uZ-S5sDQDTjnZX5WWbthnPV2eYmNm/view?usp=drivesdk" TargetMode="External"/><Relationship Id="rId2080" Type="http://schemas.openxmlformats.org/officeDocument/2006/relationships/hyperlink" Target="https://drive.google.com/file/d/1_x8Pea-6YZcNah0kzL9Jhi4q0yFlhG9m/view?usp=drivesdk" TargetMode="External"/><Relationship Id="rId2081" Type="http://schemas.openxmlformats.org/officeDocument/2006/relationships/hyperlink" Target="https://drive.google.com/file/d/1NM8fVRUFqllAFs2jkXsuJUHn5OZ7-07h/view?usp=drivesdk" TargetMode="External"/><Relationship Id="rId2082" Type="http://schemas.openxmlformats.org/officeDocument/2006/relationships/hyperlink" Target="https://drive.google.com/file/d/1eL46ZgTlbkM-V6C5GLb6fSBGmd5mFG-O/view?usp=drivesdk" TargetMode="External"/><Relationship Id="rId2083" Type="http://schemas.openxmlformats.org/officeDocument/2006/relationships/hyperlink" Target="https://drive.google.com/file/d/16XGsRRaOY6a1Mk3y6g9J6FzJY2pGnhBs/view?usp=drivesdk" TargetMode="External"/><Relationship Id="rId2084" Type="http://schemas.openxmlformats.org/officeDocument/2006/relationships/hyperlink" Target="https://drive.google.com/file/d/1xDwq6e1W40cryvVksnOj9YOdtDiYfNUl/view?usp=drivesdk" TargetMode="External"/><Relationship Id="rId2085" Type="http://schemas.openxmlformats.org/officeDocument/2006/relationships/hyperlink" Target="https://drive.google.com/file/d/1nIC6Z_3z3x4YS6vI01Z64i76WUI6VCPu/view?usp=drivesdk" TargetMode="External"/><Relationship Id="rId2086" Type="http://schemas.openxmlformats.org/officeDocument/2006/relationships/hyperlink" Target="https://drive.google.com/file/d/19uM8KLUHuN3ImTzkMD9s5mEkWQAAr8Qo/view?usp=drivesdk" TargetMode="External"/><Relationship Id="rId2087" Type="http://schemas.openxmlformats.org/officeDocument/2006/relationships/hyperlink" Target="https://drive.google.com/file/d/1l3u37j1hQl3zZ6JXRcm733rn2k3J2Olq/view?usp=drivesdk" TargetMode="External"/><Relationship Id="rId2088" Type="http://schemas.openxmlformats.org/officeDocument/2006/relationships/hyperlink" Target="https://drive.google.com/file/d/1uo0zBVDSXeBCSp_RypwEPAySzhuWt5D8/view?usp=drivesdk" TargetMode="External"/><Relationship Id="rId2089" Type="http://schemas.openxmlformats.org/officeDocument/2006/relationships/hyperlink" Target="https://drive.google.com/file/d/1MbebBCnt66GSnxcnYXI8_aT9v4VscltA/view?usp=drivesdk" TargetMode="External"/><Relationship Id="rId2070" Type="http://schemas.openxmlformats.org/officeDocument/2006/relationships/hyperlink" Target="https://drive.google.com/file/d/1CGZJrQ0m_0WpdGbyy3zDWnj-cRg8cw5-/view?usp=drivesdk" TargetMode="External"/><Relationship Id="rId2071" Type="http://schemas.openxmlformats.org/officeDocument/2006/relationships/hyperlink" Target="https://drive.google.com/file/d/1crVTyBjSvkn5rjPdGKBZFEg4w7JSp2cs/view?usp=drivesdk" TargetMode="External"/><Relationship Id="rId2072" Type="http://schemas.openxmlformats.org/officeDocument/2006/relationships/hyperlink" Target="https://drive.google.com/file/d/1WIh1UwE7jPJA8hU3NXbY-M3lcnegUXKu/view?usp=drivesdk" TargetMode="External"/><Relationship Id="rId2073" Type="http://schemas.openxmlformats.org/officeDocument/2006/relationships/hyperlink" Target="https://drive.google.com/file/d/1FayKMGLmSMT_bov4BfYaWoMBrnwpsyI1/view?usp=drivesdk" TargetMode="External"/><Relationship Id="rId2074" Type="http://schemas.openxmlformats.org/officeDocument/2006/relationships/hyperlink" Target="https://drive.google.com/file/d/1Wv1dUN1Cp7tFFGj4YbQreO65Epbbn6Xh/view?usp=drivesdk" TargetMode="External"/><Relationship Id="rId2075" Type="http://schemas.openxmlformats.org/officeDocument/2006/relationships/hyperlink" Target="https://drive.google.com/file/d/19LbincT2TjTg9YTUoJUivukthVOOv92o/view?usp=drivesdk" TargetMode="External"/><Relationship Id="rId2076" Type="http://schemas.openxmlformats.org/officeDocument/2006/relationships/hyperlink" Target="https://drive.google.com/file/d/1MYeoX2rRI6k_FOWsa46_QtPoTkdN8RPf/view?usp=drivesdk" TargetMode="External"/><Relationship Id="rId2077" Type="http://schemas.openxmlformats.org/officeDocument/2006/relationships/hyperlink" Target="https://drive.google.com/file/d/1FHRJe-nZTJOpXWgxMLs63Q6F4QlKXCpU/view?usp=drivesdk" TargetMode="External"/><Relationship Id="rId2078" Type="http://schemas.openxmlformats.org/officeDocument/2006/relationships/hyperlink" Target="https://drive.google.com/file/d/1W_xP7aHQH5brzpdDHQgXX_slF9aWIndn/view?usp=drivesdk" TargetMode="External"/><Relationship Id="rId2079" Type="http://schemas.openxmlformats.org/officeDocument/2006/relationships/hyperlink" Target="https://drive.google.com/file/d/13xJm6Rz0F0wAVzBVJcJbK0OtdZmHiXHE/view?usp=drivesdk" TargetMode="External"/><Relationship Id="rId2940" Type="http://schemas.openxmlformats.org/officeDocument/2006/relationships/hyperlink" Target="https://drive.google.com/file/d/1AXc9ELjFb-hXVUWMzlJZYPXvvlEhIDm6/view?usp=drivesdk" TargetMode="External"/><Relationship Id="rId1610" Type="http://schemas.openxmlformats.org/officeDocument/2006/relationships/hyperlink" Target="https://drive.google.com/file/d/1kUkgnAiPA_CTZPxGTEMJYgoAThjAiJUc/view?usp=drivesdk" TargetMode="External"/><Relationship Id="rId2941" Type="http://schemas.openxmlformats.org/officeDocument/2006/relationships/hyperlink" Target="https://drive.google.com/file/d/1Q7xa-u3DEssueb6fBYD39BjDPub6xcHR/view?usp=drivesdk" TargetMode="External"/><Relationship Id="rId1611" Type="http://schemas.openxmlformats.org/officeDocument/2006/relationships/hyperlink" Target="https://drive.google.com/file/d/14KPB8AgtcbBvaWLCb-_Yq8xJg0lt0AUZ/view?usp=drivesdk" TargetMode="External"/><Relationship Id="rId2942" Type="http://schemas.openxmlformats.org/officeDocument/2006/relationships/hyperlink" Target="https://drive.google.com/file/d/1JdFF8pu65hv5yMW8kuJKZT-omhqW3568/view?usp=drivesdk" TargetMode="External"/><Relationship Id="rId1612" Type="http://schemas.openxmlformats.org/officeDocument/2006/relationships/hyperlink" Target="https://drive.google.com/file/d/1MY_dSeo7VLaXc9MOczDS807AopQO4R3o/view?usp=drivesdk" TargetMode="External"/><Relationship Id="rId2943" Type="http://schemas.openxmlformats.org/officeDocument/2006/relationships/hyperlink" Target="https://drive.google.com/file/d/1aj8B0Xo2PNkknIhUbiwxlXmmWvp7ECaH/view?usp=drivesdk" TargetMode="External"/><Relationship Id="rId1613" Type="http://schemas.openxmlformats.org/officeDocument/2006/relationships/hyperlink" Target="https://drive.google.com/file/d/1t1HQxtIATv0J1laVCwZjp1toOO9JWLzJ/view?usp=drivesdk" TargetMode="External"/><Relationship Id="rId2944" Type="http://schemas.openxmlformats.org/officeDocument/2006/relationships/hyperlink" Target="https://drive.google.com/file/d/1gdDOOMTIigM-6Ed3enxRZxDW_ycizIYq/view?usp=drivesdk" TargetMode="External"/><Relationship Id="rId1614" Type="http://schemas.openxmlformats.org/officeDocument/2006/relationships/hyperlink" Target="https://drive.google.com/file/d/19cpcq3ezvypZIsaAin8XO8Aa1VSsx2HR/view?usp=drivesdk" TargetMode="External"/><Relationship Id="rId2945" Type="http://schemas.openxmlformats.org/officeDocument/2006/relationships/hyperlink" Target="https://drive.google.com/file/d/1gsOTvu8o9_agf4ZMRaXeuVc3OE2nLzap/view?usp=drivesdk" TargetMode="External"/><Relationship Id="rId1615" Type="http://schemas.openxmlformats.org/officeDocument/2006/relationships/hyperlink" Target="https://drive.google.com/file/d/1KSmDzoCH8UOb5PPH4HVVWk0R_iEqvXiq/view?usp=drivesdk" TargetMode="External"/><Relationship Id="rId2946" Type="http://schemas.openxmlformats.org/officeDocument/2006/relationships/hyperlink" Target="https://drive.google.com/file/d/14XksUpjrQJUMaz7MdAdSkyoKt9b8ulAg/view?usp=drivesdk" TargetMode="External"/><Relationship Id="rId1616" Type="http://schemas.openxmlformats.org/officeDocument/2006/relationships/hyperlink" Target="https://drive.google.com/file/d/1EiZgMw2qP3p2Nl8KNZdPlnqAh-NzSUGq/view?usp=drivesdk" TargetMode="External"/><Relationship Id="rId2947" Type="http://schemas.openxmlformats.org/officeDocument/2006/relationships/hyperlink" Target="https://drive.google.com/file/d/1IW0qjwuuON-KUlB9j-eiO4xg57xZsaBi/view?usp=drivesdk" TargetMode="External"/><Relationship Id="rId907" Type="http://schemas.openxmlformats.org/officeDocument/2006/relationships/hyperlink" Target="https://drive.google.com/file/d/1TH7LBpo-Ac8cTpIy_dacnVAx8ZxTtUDX/view?usp=drivesdk" TargetMode="External"/><Relationship Id="rId1617" Type="http://schemas.openxmlformats.org/officeDocument/2006/relationships/hyperlink" Target="https://drive.google.com/file/d/1pF30Q42RIER3XJUtsQhHQ9S4ZW72pLMZ/view?usp=drivesdk" TargetMode="External"/><Relationship Id="rId2948" Type="http://schemas.openxmlformats.org/officeDocument/2006/relationships/hyperlink" Target="https://drive.google.com/file/d/1GlDT0ELzxcEvkjSSuOTPVqUBCygnsWCw/view?usp=drivesdk" TargetMode="External"/><Relationship Id="rId906" Type="http://schemas.openxmlformats.org/officeDocument/2006/relationships/hyperlink" Target="https://drive.google.com/file/d/1kusUe8iFNhGsEDBWV6t4bCbXbSVs7CFx/view?usp=drivesdk" TargetMode="External"/><Relationship Id="rId1618" Type="http://schemas.openxmlformats.org/officeDocument/2006/relationships/hyperlink" Target="https://drive.google.com/file/d/1NgKwMpaMntmxKioBNsVEEMKCvR7DC-5T/view?usp=drivesdk" TargetMode="External"/><Relationship Id="rId2949" Type="http://schemas.openxmlformats.org/officeDocument/2006/relationships/hyperlink" Target="https://drive.google.com/file/d/1fI9AvKCFXUbNqvCnE7F2C_aze9MnObud/view?usp=drivesdk" TargetMode="External"/><Relationship Id="rId905" Type="http://schemas.openxmlformats.org/officeDocument/2006/relationships/hyperlink" Target="https://drive.google.com/file/d/1dXPNsLLzR8QFXaAf9TTMn-6H4Ab51Cr8/view?usp=drivesdk" TargetMode="External"/><Relationship Id="rId1619" Type="http://schemas.openxmlformats.org/officeDocument/2006/relationships/hyperlink" Target="https://drive.google.com/file/d/1wX8xyOPCKq3gKvrftl23eb3vJeRwT0Q4/view?usp=drivesdk" TargetMode="External"/><Relationship Id="rId904" Type="http://schemas.openxmlformats.org/officeDocument/2006/relationships/hyperlink" Target="https://drive.google.com/file/d/1Y1VIRvIVjTRFsw_vfCRlae-RuBBKW-9z/view?usp=drivesdk" TargetMode="External"/><Relationship Id="rId909" Type="http://schemas.openxmlformats.org/officeDocument/2006/relationships/hyperlink" Target="https://drive.google.com/file/d/1Rcz8eIa2iwIWWS_Mb8fhOtD6LJW1eld-/view?usp=drivesdk" TargetMode="External"/><Relationship Id="rId908" Type="http://schemas.openxmlformats.org/officeDocument/2006/relationships/hyperlink" Target="https://drive.google.com/file/d/14XkXU9N9T4t6rk1hW0sFQDIe_r8yOUU3/view?usp=drivesdk" TargetMode="External"/><Relationship Id="rId903" Type="http://schemas.openxmlformats.org/officeDocument/2006/relationships/hyperlink" Target="https://drive.google.com/file/d/1D0Fsvp14jMjK3rw8vwMmZaVNx40ve7Hq/view?usp=drivesdk" TargetMode="External"/><Relationship Id="rId902" Type="http://schemas.openxmlformats.org/officeDocument/2006/relationships/hyperlink" Target="https://drive.google.com/file/d/1ZZkjNeDnTCzxLDzikYrUDBxDsz5cDS5n/view?usp=drivesdk" TargetMode="External"/><Relationship Id="rId901" Type="http://schemas.openxmlformats.org/officeDocument/2006/relationships/hyperlink" Target="https://drive.google.com/file/d/1-pDeEfPAf_mQH8ArTtwNV5-DRSSLbAeW/view?usp=drivesdk" TargetMode="External"/><Relationship Id="rId900" Type="http://schemas.openxmlformats.org/officeDocument/2006/relationships/hyperlink" Target="https://drive.google.com/file/d/1HIgqnSklfRU_KSuAKqwCjemBDMJZRLug/view?usp=drivesdk" TargetMode="External"/><Relationship Id="rId2930" Type="http://schemas.openxmlformats.org/officeDocument/2006/relationships/hyperlink" Target="https://drive.google.com/file/d/1NKb0rKO1p03jltWPge7_eMofoR99zCY4/view?usp=drivesdk" TargetMode="External"/><Relationship Id="rId1600" Type="http://schemas.openxmlformats.org/officeDocument/2006/relationships/hyperlink" Target="https://drive.google.com/file/d/14jH9052Y-B39txmZqE_UcOwE4vP5gfEU/view?usp=drivesdk" TargetMode="External"/><Relationship Id="rId2931" Type="http://schemas.openxmlformats.org/officeDocument/2006/relationships/hyperlink" Target="https://drive.google.com/file/d/1_mASUuJkGSmG2GgCCSiVIjrljmT37fKD/view?usp=drivesdk" TargetMode="External"/><Relationship Id="rId1601" Type="http://schemas.openxmlformats.org/officeDocument/2006/relationships/hyperlink" Target="https://drive.google.com/file/d/1KOj1T7OWEN93jSsxymEmGAuwZA2RLwG9/view?usp=drivesdk" TargetMode="External"/><Relationship Id="rId2932" Type="http://schemas.openxmlformats.org/officeDocument/2006/relationships/hyperlink" Target="https://drive.google.com/file/d/1tYqyeoNprzV_qtrZGEB-4reEpABdkPw3/view?usp=drivesdk" TargetMode="External"/><Relationship Id="rId1602" Type="http://schemas.openxmlformats.org/officeDocument/2006/relationships/hyperlink" Target="https://drive.google.com/file/d/1IUaUpHapf3YDvm4IAsn2GR3rwIWKk8-u/view?usp=drivesdk" TargetMode="External"/><Relationship Id="rId2933" Type="http://schemas.openxmlformats.org/officeDocument/2006/relationships/hyperlink" Target="https://drive.google.com/file/d/1N3Kdpl81yca1EtoDyekVJjSEXoEPFlfj/view?usp=drivesdk" TargetMode="External"/><Relationship Id="rId1603" Type="http://schemas.openxmlformats.org/officeDocument/2006/relationships/hyperlink" Target="https://drive.google.com/file/d/1aq_GhJDsarVdykJeXwEQt85WtSoOjtt-/view?usp=drivesdk" TargetMode="External"/><Relationship Id="rId2934" Type="http://schemas.openxmlformats.org/officeDocument/2006/relationships/hyperlink" Target="https://drive.google.com/file/d/1Y9TjJAW8ZKfogaBp1kGoi63qt-8wZ3_p/view?usp=drivesdk" TargetMode="External"/><Relationship Id="rId1604" Type="http://schemas.openxmlformats.org/officeDocument/2006/relationships/hyperlink" Target="https://drive.google.com/file/d/1nwwSpxsRv8h1nEfNq5dP5jW5w7hGyB76/view?usp=drivesdk" TargetMode="External"/><Relationship Id="rId2935" Type="http://schemas.openxmlformats.org/officeDocument/2006/relationships/hyperlink" Target="https://drive.google.com/file/d/1O-k-Z5CgdBCl2iip47xIs6T7RVcmAbcf/view?usp=drivesdk" TargetMode="External"/><Relationship Id="rId1605" Type="http://schemas.openxmlformats.org/officeDocument/2006/relationships/hyperlink" Target="https://drive.google.com/file/d/1hgBL2V_rjvQryQv61QIxzGsOEn1dgFih/view?usp=drivesdk" TargetMode="External"/><Relationship Id="rId2936" Type="http://schemas.openxmlformats.org/officeDocument/2006/relationships/hyperlink" Target="https://drive.google.com/file/d/1_a617egHPNmdr95a_vU1ME_nNXbxT2YN/view?usp=drivesdk" TargetMode="External"/><Relationship Id="rId1606" Type="http://schemas.openxmlformats.org/officeDocument/2006/relationships/hyperlink" Target="https://drive.google.com/file/d/1O-sKBfMGvOeBhLDMh6guDnAcUYeLkWMN/view?usp=drivesdk" TargetMode="External"/><Relationship Id="rId2937" Type="http://schemas.openxmlformats.org/officeDocument/2006/relationships/hyperlink" Target="https://drive.google.com/file/d/1XcuAMCb4SJKIgmPLDvhXazapejs_aDdJ/view?usp=drivesdk" TargetMode="External"/><Relationship Id="rId1607" Type="http://schemas.openxmlformats.org/officeDocument/2006/relationships/hyperlink" Target="https://drive.google.com/file/d/1SW6QIWVb63IrcrZA_J0ZrV_2sVVIW3fd/view?usp=drivesdk" TargetMode="External"/><Relationship Id="rId2938" Type="http://schemas.openxmlformats.org/officeDocument/2006/relationships/hyperlink" Target="https://drive.google.com/file/d/1gyeq5B_qi3Jnlf4Z_IsX5vLD1Nya92z0/view?usp=drivesdk" TargetMode="External"/><Relationship Id="rId1608" Type="http://schemas.openxmlformats.org/officeDocument/2006/relationships/hyperlink" Target="https://drive.google.com/file/d/15s7XZ2w8McXrD_Mrsb3xv87PaPPdWjHp/view?usp=drivesdk" TargetMode="External"/><Relationship Id="rId2939" Type="http://schemas.openxmlformats.org/officeDocument/2006/relationships/hyperlink" Target="https://drive.google.com/file/d/1-xurSGJuM3s6RBApJqwPJeMlgGlC3K_D/view?usp=drivesdk" TargetMode="External"/><Relationship Id="rId1609" Type="http://schemas.openxmlformats.org/officeDocument/2006/relationships/hyperlink" Target="https://drive.google.com/file/d/1L1CY2uNEtVAZ2M1wtnkW5opNKE3od0dD/view?usp=drivesdk" TargetMode="External"/><Relationship Id="rId1631" Type="http://schemas.openxmlformats.org/officeDocument/2006/relationships/hyperlink" Target="https://drive.google.com/file/d/1oyKo7fk7IQxnatWBvNKZUfexHFe3WDWY/view?usp=drivesdk" TargetMode="External"/><Relationship Id="rId2962" Type="http://schemas.openxmlformats.org/officeDocument/2006/relationships/hyperlink" Target="https://drive.google.com/file/d/16IM1TCo-RpeTMo2h0xGj8HEklUBvQyVO/view?usp=drivesdk" TargetMode="External"/><Relationship Id="rId1632" Type="http://schemas.openxmlformats.org/officeDocument/2006/relationships/hyperlink" Target="https://drive.google.com/file/d/1v-1mbmpmXerAQ72WA9aOa0J6MKURP5N4/view?usp=drivesdk" TargetMode="External"/><Relationship Id="rId2963" Type="http://schemas.openxmlformats.org/officeDocument/2006/relationships/hyperlink" Target="https://drive.google.com/file/d/1RGF4nHfyd4Xw2vvzyfXfINcrZH6ZBDNt/view?usp=drivesdk" TargetMode="External"/><Relationship Id="rId1633" Type="http://schemas.openxmlformats.org/officeDocument/2006/relationships/hyperlink" Target="https://drive.google.com/file/d/1RC7tGdIwh2BFShkeaxfPHee8yPx3SLjQ/view?usp=drivesdk" TargetMode="External"/><Relationship Id="rId2964" Type="http://schemas.openxmlformats.org/officeDocument/2006/relationships/hyperlink" Target="https://drive.google.com/file/d/13sVesCYGhtMJC02MFdowUs5znyM1Rpjm/view?usp=drivesdk" TargetMode="External"/><Relationship Id="rId1634" Type="http://schemas.openxmlformats.org/officeDocument/2006/relationships/hyperlink" Target="https://drive.google.com/file/d/14CVfItoN94gmZTMwThSWgBWR6Gr6zqpB/view?usp=drivesdk" TargetMode="External"/><Relationship Id="rId2965" Type="http://schemas.openxmlformats.org/officeDocument/2006/relationships/hyperlink" Target="https://drive.google.com/file/d/136J03Q_tpmziraTV-EDTDJeDVz5VTXQO/view?usp=drivesdk" TargetMode="External"/><Relationship Id="rId1635" Type="http://schemas.openxmlformats.org/officeDocument/2006/relationships/hyperlink" Target="https://drive.google.com/file/d/1rss63Au_wnRAvMu2v1IeFB6Z9miyPwmY/view?usp=drivesdk" TargetMode="External"/><Relationship Id="rId2966" Type="http://schemas.openxmlformats.org/officeDocument/2006/relationships/hyperlink" Target="https://drive.google.com/file/d/1kVMhKSS5Wgzpq87XRYWG7AQGAB8MDFtr/view?usp=drivesdk" TargetMode="External"/><Relationship Id="rId1636" Type="http://schemas.openxmlformats.org/officeDocument/2006/relationships/hyperlink" Target="https://drive.google.com/file/d/15g-43jhmRb2fMGoTNN1fePPXwt6aobWO/view?usp=drivesdk" TargetMode="External"/><Relationship Id="rId2967" Type="http://schemas.openxmlformats.org/officeDocument/2006/relationships/hyperlink" Target="https://drive.google.com/file/d/1Je8H1JlAsEozkTzxRNGwP-qfN9yYkb-V/view?usp=drivesdk" TargetMode="External"/><Relationship Id="rId1637" Type="http://schemas.openxmlformats.org/officeDocument/2006/relationships/hyperlink" Target="https://drive.google.com/file/d/1iC0QvQsH5ABb1VH0D8FRGRv5X_RvXW6B/view?usp=drivesdk" TargetMode="External"/><Relationship Id="rId2968" Type="http://schemas.openxmlformats.org/officeDocument/2006/relationships/hyperlink" Target="https://drive.google.com/file/d/151uG_JsRHEeT8ijTsmwLHuA1kOWhIBXJ/view?usp=drivesdk" TargetMode="External"/><Relationship Id="rId1638" Type="http://schemas.openxmlformats.org/officeDocument/2006/relationships/hyperlink" Target="https://drive.google.com/file/d/1xmgRxYDzYjkZ9p1HDxC88dxSzWbazkwh/view?usp=drivesdk" TargetMode="External"/><Relationship Id="rId2969" Type="http://schemas.openxmlformats.org/officeDocument/2006/relationships/hyperlink" Target="https://drive.google.com/file/d/1T0finp-fLieAKLfLKKpQcVjKvVkUOmid/view?usp=drivesdk" TargetMode="External"/><Relationship Id="rId929" Type="http://schemas.openxmlformats.org/officeDocument/2006/relationships/hyperlink" Target="https://drive.google.com/file/d/1M19iPSon4hZri_TBOGH_WpyLcx3HcCL1/view?usp=drivesdk" TargetMode="External"/><Relationship Id="rId1639" Type="http://schemas.openxmlformats.org/officeDocument/2006/relationships/hyperlink" Target="https://drive.google.com/file/d/1WysEW9NFRsU0pIPUIftUwQOxnpalzzvY/view?usp=drivesdk" TargetMode="External"/><Relationship Id="rId928" Type="http://schemas.openxmlformats.org/officeDocument/2006/relationships/hyperlink" Target="https://drive.google.com/file/d/1UtoGZpomIGzea_7hOnR-61jrm2F9PfBb/view?usp=drivesdk" TargetMode="External"/><Relationship Id="rId927" Type="http://schemas.openxmlformats.org/officeDocument/2006/relationships/hyperlink" Target="https://drive.google.com/file/d/1YLHlRVO4zMTD5FBk42S7nbccUGUSdMfC/view?usp=drivesdk" TargetMode="External"/><Relationship Id="rId926" Type="http://schemas.openxmlformats.org/officeDocument/2006/relationships/hyperlink" Target="https://drive.google.com/file/d/1CYyKHdz5t84W1sLTpB2JiwKkJfGqmCNm/view?usp=drivesdk" TargetMode="External"/><Relationship Id="rId921" Type="http://schemas.openxmlformats.org/officeDocument/2006/relationships/hyperlink" Target="https://drive.google.com/file/d/1Y_EpmCGK_8GrQO61cfo7567_OUWQW7vY/view?usp=drivesdk" TargetMode="External"/><Relationship Id="rId920" Type="http://schemas.openxmlformats.org/officeDocument/2006/relationships/hyperlink" Target="https://drive.google.com/file/d/1EwsF0pnLu0pGACJr3ju1dbwNB6CV2Y9L/view?usp=drivesdk" TargetMode="External"/><Relationship Id="rId925" Type="http://schemas.openxmlformats.org/officeDocument/2006/relationships/hyperlink" Target="https://drive.google.com/file/d/1CIbkQesjQVKAtLNB3N7o4aZKLXHDZRky/view?usp=drivesdk" TargetMode="External"/><Relationship Id="rId924" Type="http://schemas.openxmlformats.org/officeDocument/2006/relationships/hyperlink" Target="https://drive.google.com/file/d/1nsz8SSPJ4Z_KpxpqXeVCe6NFPGxdyDUu/view?usp=drivesdk" TargetMode="External"/><Relationship Id="rId923" Type="http://schemas.openxmlformats.org/officeDocument/2006/relationships/hyperlink" Target="https://drive.google.com/file/d/1kAx4QgQTtcia-MvI5rRWYKB2z3n665tZ/view?usp=drivesdk" TargetMode="External"/><Relationship Id="rId922" Type="http://schemas.openxmlformats.org/officeDocument/2006/relationships/hyperlink" Target="https://drive.google.com/file/d/1nDrRbUYA46OyT_UiAcU2qmsoDAB6UA-A/view?usp=drivesdk" TargetMode="External"/><Relationship Id="rId2960" Type="http://schemas.openxmlformats.org/officeDocument/2006/relationships/hyperlink" Target="https://drive.google.com/file/d/1FSya0JU7NICgjPEONeTDvBXhzmz9u2rJ/view?usp=drivesdk" TargetMode="External"/><Relationship Id="rId1630" Type="http://schemas.openxmlformats.org/officeDocument/2006/relationships/hyperlink" Target="https://drive.google.com/file/d/1kZO7TU5APcSmUh1Ll3JPWfymN4IssyWZ/view?usp=drivesdk" TargetMode="External"/><Relationship Id="rId2961" Type="http://schemas.openxmlformats.org/officeDocument/2006/relationships/hyperlink" Target="https://drive.google.com/file/d/10cUPWzTrCYTVc1-DC9yUAuuAoC88IrXM/view?usp=drivesdk" TargetMode="External"/><Relationship Id="rId1620" Type="http://schemas.openxmlformats.org/officeDocument/2006/relationships/hyperlink" Target="https://drive.google.com/file/d/18Bq0KEHC9Y1vBB5CDqiFz9LxFIcSMxoo/view?usp=drivesdk" TargetMode="External"/><Relationship Id="rId2951" Type="http://schemas.openxmlformats.org/officeDocument/2006/relationships/hyperlink" Target="https://drive.google.com/file/d/17mZvRs3ue7pXwqu8bmIDvgNdc95PGEcV/view?usp=drivesdk" TargetMode="External"/><Relationship Id="rId1621" Type="http://schemas.openxmlformats.org/officeDocument/2006/relationships/hyperlink" Target="https://drive.google.com/file/d/1nKP77qNWzLLcSfMWCbgvBvetnXaYWfOt/view?usp=drivesdk" TargetMode="External"/><Relationship Id="rId2952" Type="http://schemas.openxmlformats.org/officeDocument/2006/relationships/hyperlink" Target="https://drive.google.com/file/d/1bUdOeN6otviUN-kBvT0eGX5V_WZjjau0/view?usp=drivesdk" TargetMode="External"/><Relationship Id="rId1622" Type="http://schemas.openxmlformats.org/officeDocument/2006/relationships/hyperlink" Target="https://drive.google.com/file/d/1c56waWyqn3utU8jZ3Vc-2lXssN3Xmndc/view?usp=drivesdk" TargetMode="External"/><Relationship Id="rId2953" Type="http://schemas.openxmlformats.org/officeDocument/2006/relationships/hyperlink" Target="https://drive.google.com/file/d/1xuc-fvipcLZQMaybgsFtBL29-3ClXZFF/view?usp=drivesdk" TargetMode="External"/><Relationship Id="rId1623" Type="http://schemas.openxmlformats.org/officeDocument/2006/relationships/hyperlink" Target="https://drive.google.com/file/d/1hWFZB-IBEX7EnBpEtUZPw_HkLkFh5UM1/view?usp=drivesdk" TargetMode="External"/><Relationship Id="rId2954" Type="http://schemas.openxmlformats.org/officeDocument/2006/relationships/hyperlink" Target="https://drive.google.com/file/d/1SW8YbHdY9LZLPUYEaeltGXqctWN3G72a/view?usp=drivesdk" TargetMode="External"/><Relationship Id="rId1624" Type="http://schemas.openxmlformats.org/officeDocument/2006/relationships/hyperlink" Target="https://drive.google.com/file/d/1sq3AXQm0IUoBTPjf2sPdUikF4Q9P0v9W/view?usp=drivesdk" TargetMode="External"/><Relationship Id="rId2955" Type="http://schemas.openxmlformats.org/officeDocument/2006/relationships/hyperlink" Target="https://drive.google.com/file/d/1oOmUlehVvRaM19jZUP5-KPUM6GoqwMcj/view?usp=drivesdk" TargetMode="External"/><Relationship Id="rId1625" Type="http://schemas.openxmlformats.org/officeDocument/2006/relationships/hyperlink" Target="https://drive.google.com/file/d/1TQqvGi0Elauw4pgiZ2IBN_WbEzMQJvXs/view?usp=drivesdk" TargetMode="External"/><Relationship Id="rId2956" Type="http://schemas.openxmlformats.org/officeDocument/2006/relationships/hyperlink" Target="https://drive.google.com/file/d/1ClvVjze3jeh0pirugXpxbUyLaBbpCVR3/view?usp=drivesdk" TargetMode="External"/><Relationship Id="rId1626" Type="http://schemas.openxmlformats.org/officeDocument/2006/relationships/hyperlink" Target="https://drive.google.com/file/d/1b1y9mVBQpd37FvUqW3preqGjlvo-D3gp/view?usp=drivesdk" TargetMode="External"/><Relationship Id="rId2957" Type="http://schemas.openxmlformats.org/officeDocument/2006/relationships/hyperlink" Target="https://drive.google.com/file/d/1XWxdKOQYQMtFuvL7EsEQn7RuH4ypMVP0/view?usp=drivesdk" TargetMode="External"/><Relationship Id="rId1627" Type="http://schemas.openxmlformats.org/officeDocument/2006/relationships/hyperlink" Target="https://drive.google.com/file/d/1y-k5khutAUOv7A8Kt3hM3pM50MmiJ3Se/view?usp=drivesdk" TargetMode="External"/><Relationship Id="rId2958" Type="http://schemas.openxmlformats.org/officeDocument/2006/relationships/hyperlink" Target="https://drive.google.com/file/d/1hjI3aqifdfXjWhQAlvKCKKtvjuncAn5M/view?usp=drivesdk" TargetMode="External"/><Relationship Id="rId918" Type="http://schemas.openxmlformats.org/officeDocument/2006/relationships/hyperlink" Target="https://drive.google.com/file/d/1ysVp3Vk_Bm-kgrT2l1h9mJDlMwC7toGK/view?usp=drivesdk" TargetMode="External"/><Relationship Id="rId1628" Type="http://schemas.openxmlformats.org/officeDocument/2006/relationships/hyperlink" Target="https://drive.google.com/file/d/1Rm2TUPOokBMS57pKkqeRCvykqAT6FxIC/view?usp=drivesdk" TargetMode="External"/><Relationship Id="rId2959" Type="http://schemas.openxmlformats.org/officeDocument/2006/relationships/hyperlink" Target="https://drive.google.com/file/d/1UJeeNtcoE5K0xHfMfq_HMptmh6jzKexE/view?usp=drivesdk" TargetMode="External"/><Relationship Id="rId917" Type="http://schemas.openxmlformats.org/officeDocument/2006/relationships/hyperlink" Target="https://drive.google.com/file/d/1vqZS6YvnVP7WM3ColgxpdhNh_-LNaWT0/view?usp=drivesdk" TargetMode="External"/><Relationship Id="rId1629" Type="http://schemas.openxmlformats.org/officeDocument/2006/relationships/hyperlink" Target="https://drive.google.com/file/d/1g7sa4vkIN9PD4Rv9C-NvKrjWXKE2Sszt/view?usp=drivesdk" TargetMode="External"/><Relationship Id="rId916" Type="http://schemas.openxmlformats.org/officeDocument/2006/relationships/hyperlink" Target="https://drive.google.com/file/d/1eTT-z3W59HCeZCSxkMv9ObSn8ZxR7bgl/view?usp=drivesdk" TargetMode="External"/><Relationship Id="rId915" Type="http://schemas.openxmlformats.org/officeDocument/2006/relationships/hyperlink" Target="https://drive.google.com/file/d/1cTS_L14IMe69spwJnjmmtddzn9eVdb4W/view?usp=drivesdk" TargetMode="External"/><Relationship Id="rId919" Type="http://schemas.openxmlformats.org/officeDocument/2006/relationships/hyperlink" Target="https://drive.google.com/file/d/1rehvP0kDldNOg4rLY0VGFiwvPM2zft3H/view?usp=drivesdk" TargetMode="External"/><Relationship Id="rId910" Type="http://schemas.openxmlformats.org/officeDocument/2006/relationships/hyperlink" Target="https://drive.google.com/file/d/1iHQUXLdlV_DEJMQ_aq_cC-SvgIHVAaqI/view?usp=drivesdk" TargetMode="External"/><Relationship Id="rId914" Type="http://schemas.openxmlformats.org/officeDocument/2006/relationships/hyperlink" Target="https://drive.google.com/file/d/1ZVhYZp01PzxL_VPWUZGFJTNT6bK258ax/view?usp=drivesdk" TargetMode="External"/><Relationship Id="rId913" Type="http://schemas.openxmlformats.org/officeDocument/2006/relationships/hyperlink" Target="https://drive.google.com/file/d/11LA3heiN90GGDiax7QtguujQjiwyu9kD/view?usp=drivesdk" TargetMode="External"/><Relationship Id="rId912" Type="http://schemas.openxmlformats.org/officeDocument/2006/relationships/hyperlink" Target="https://drive.google.com/file/d/14GeTuuDcvGnyFN0009dd6R1-OtK24ZAP/view?usp=drivesdk" TargetMode="External"/><Relationship Id="rId911" Type="http://schemas.openxmlformats.org/officeDocument/2006/relationships/hyperlink" Target="https://drive.google.com/file/d/1eM7v8ojRHGwFe8FJpWvWsC2hDfCEau6K/view?usp=drivesdk" TargetMode="External"/><Relationship Id="rId2950" Type="http://schemas.openxmlformats.org/officeDocument/2006/relationships/hyperlink" Target="https://drive.google.com/file/d/1nyuFXPtZ3yl4xeiu7MA9Tx40lpG1Oe7D/view?usp=drivesdk" TargetMode="External"/><Relationship Id="rId2900" Type="http://schemas.openxmlformats.org/officeDocument/2006/relationships/hyperlink" Target="https://drive.google.com/file/d/1r4ZL_EEBhFH6RF5JDxP8TDFqXke3Dqcf/view?usp=drivesdk" TargetMode="External"/><Relationship Id="rId2901" Type="http://schemas.openxmlformats.org/officeDocument/2006/relationships/hyperlink" Target="https://drive.google.com/file/d/1gjwCxHVp1efxTgO9FpYCyl7tkrrSp2_Q/view?usp=drivesdk" TargetMode="External"/><Relationship Id="rId2902" Type="http://schemas.openxmlformats.org/officeDocument/2006/relationships/hyperlink" Target="https://drive.google.com/file/d/1TOxKvkgLgldkEiOl4Cnst0AYk7w8IBCh/view?usp=drivesdk" TargetMode="External"/><Relationship Id="rId2903" Type="http://schemas.openxmlformats.org/officeDocument/2006/relationships/hyperlink" Target="https://drive.google.com/file/d/1x9sfN1Qyptlpks3NPyyD6PckLhoE6G6J/view?usp=drivesdk" TargetMode="External"/><Relationship Id="rId2904" Type="http://schemas.openxmlformats.org/officeDocument/2006/relationships/hyperlink" Target="https://drive.google.com/file/d/1LPPcCkJMWMgAog-5XWwMTP5x4S9LFsG4/view?usp=drivesdk" TargetMode="External"/><Relationship Id="rId2905" Type="http://schemas.openxmlformats.org/officeDocument/2006/relationships/hyperlink" Target="https://drive.google.com/file/d/1SA7ZP2ow52I8kFKx4p2nJ0nUspPn6as_/view?usp=drivesdk" TargetMode="External"/><Relationship Id="rId2906" Type="http://schemas.openxmlformats.org/officeDocument/2006/relationships/hyperlink" Target="https://drive.google.com/file/d/1WeBvmsASCT0Q2UPyJgrKX-SIIa5DtOUQ/view?usp=drivesdk" TargetMode="External"/><Relationship Id="rId2907" Type="http://schemas.openxmlformats.org/officeDocument/2006/relationships/hyperlink" Target="https://drive.google.com/file/d/1UXS2QTqJQUfE_Pyj2Qy0nOdEsfBcSrJD/view?usp=drivesdk" TargetMode="External"/><Relationship Id="rId2908" Type="http://schemas.openxmlformats.org/officeDocument/2006/relationships/hyperlink" Target="https://drive.google.com/file/d/177P2xO1D22ODvu0Zcz9Ls-wtsZM0ck_y/view?usp=drivesdk" TargetMode="External"/><Relationship Id="rId2909" Type="http://schemas.openxmlformats.org/officeDocument/2006/relationships/hyperlink" Target="https://drive.google.com/file/d/1GYDJkUHLj_0GiFfIztass97sMyACxxL_/view?usp=drivesdk" TargetMode="External"/><Relationship Id="rId2920" Type="http://schemas.openxmlformats.org/officeDocument/2006/relationships/hyperlink" Target="https://drive.google.com/file/d/13yA5wer3pEP6DzO7ZMN-jDmSL2aYTKUo/view?usp=drivesdk" TargetMode="External"/><Relationship Id="rId2921" Type="http://schemas.openxmlformats.org/officeDocument/2006/relationships/hyperlink" Target="https://drive.google.com/file/d/1OuxVCUkVnVBw7IH1mtlkV9HYUNX7kOe5/view?usp=drivesdk" TargetMode="External"/><Relationship Id="rId2922" Type="http://schemas.openxmlformats.org/officeDocument/2006/relationships/hyperlink" Target="https://drive.google.com/file/d/14-ZL5A4czmJoVm6VnVZoXDjPvxpu_fIM/view?usp=drivesdk" TargetMode="External"/><Relationship Id="rId2923" Type="http://schemas.openxmlformats.org/officeDocument/2006/relationships/hyperlink" Target="https://drive.google.com/file/d/1-Y0tXk4wvWq7Lp_s5SZ5Mf957-oNEeur/view?usp=drivesdk" TargetMode="External"/><Relationship Id="rId2924" Type="http://schemas.openxmlformats.org/officeDocument/2006/relationships/hyperlink" Target="https://drive.google.com/file/d/13Nio-8dO7qZ49R3mjE9DmfkECTBbx1fU/view?usp=drivesdk" TargetMode="External"/><Relationship Id="rId2925" Type="http://schemas.openxmlformats.org/officeDocument/2006/relationships/hyperlink" Target="https://drive.google.com/file/d/1RIdyQYV9nsqx6EZiSwAZ6zO42GlvWP1u/view?usp=drivesdk" TargetMode="External"/><Relationship Id="rId2926" Type="http://schemas.openxmlformats.org/officeDocument/2006/relationships/hyperlink" Target="https://drive.google.com/file/d/1hlAefOA0L_mUhbFAEpVR-i1xbXqI-EKV/view?usp=drivesdk" TargetMode="External"/><Relationship Id="rId2927" Type="http://schemas.openxmlformats.org/officeDocument/2006/relationships/hyperlink" Target="https://drive.google.com/file/d/1pEYSpiW7cwndWEcUtM2w1XP85JNmvB9Y/view?usp=drivesdk" TargetMode="External"/><Relationship Id="rId2928" Type="http://schemas.openxmlformats.org/officeDocument/2006/relationships/hyperlink" Target="https://drive.google.com/file/d/1sJy0VbAO2JUZeEyRrrbhw8VkO2cWWHfk/view?usp=drivesdk" TargetMode="External"/><Relationship Id="rId2929" Type="http://schemas.openxmlformats.org/officeDocument/2006/relationships/hyperlink" Target="https://drive.google.com/file/d/1eZUHCweVxeMdVb4zYCf9_w4tvePwSTns/view?usp=drivesdk" TargetMode="External"/><Relationship Id="rId2910" Type="http://schemas.openxmlformats.org/officeDocument/2006/relationships/hyperlink" Target="https://drive.google.com/file/d/1su7Vb49cFI1HG8-kYcPPfFRtLhMmz3nx/view?usp=drivesdk" TargetMode="External"/><Relationship Id="rId2911" Type="http://schemas.openxmlformats.org/officeDocument/2006/relationships/hyperlink" Target="https://drive.google.com/file/d/1UMAh9VGta6ExS2-Lb6GkDF4fmnI2EMeM/view?usp=drivesdk" TargetMode="External"/><Relationship Id="rId2912" Type="http://schemas.openxmlformats.org/officeDocument/2006/relationships/hyperlink" Target="https://drive.google.com/file/d/1c8fXNnhmY13vK0FI3aMB_LAx3-JbSZd7/view?usp=drivesdk" TargetMode="External"/><Relationship Id="rId2913" Type="http://schemas.openxmlformats.org/officeDocument/2006/relationships/hyperlink" Target="https://drive.google.com/file/d/12SWYH_3yaJdBAJKrKFzEeTvzXOf_RPCI/view?usp=drivesdk" TargetMode="External"/><Relationship Id="rId2914" Type="http://schemas.openxmlformats.org/officeDocument/2006/relationships/hyperlink" Target="https://drive.google.com/file/d/1_rFVHDaWBDKF-ni6stLki1Wt7mspwAb2/view?usp=drivesdk" TargetMode="External"/><Relationship Id="rId2915" Type="http://schemas.openxmlformats.org/officeDocument/2006/relationships/hyperlink" Target="https://drive.google.com/file/d/1W8pBtYP2f9U_-uIX5gCuIjH_0yXV7kTV/view?usp=drivesdk" TargetMode="External"/><Relationship Id="rId2916" Type="http://schemas.openxmlformats.org/officeDocument/2006/relationships/hyperlink" Target="https://drive.google.com/file/d/1x5dReumzPkBHOlVCvRV6PIR2YzCKFDLg/view?usp=drivesdk" TargetMode="External"/><Relationship Id="rId2917" Type="http://schemas.openxmlformats.org/officeDocument/2006/relationships/hyperlink" Target="https://drive.google.com/file/d/1sdcg8NT60W6Q1CUK8HlHIK6x_dR0WhCC/view?usp=drivesdk" TargetMode="External"/><Relationship Id="rId2918" Type="http://schemas.openxmlformats.org/officeDocument/2006/relationships/hyperlink" Target="https://drive.google.com/file/d/1NxE1Ga7BUZXY3Xjkehb6oetRcD7yCVFb/view?usp=drivesdk" TargetMode="External"/><Relationship Id="rId2919" Type="http://schemas.openxmlformats.org/officeDocument/2006/relationships/hyperlink" Target="https://drive.google.com/file/d/1C2Jup6rdXsZPGLRA0Q5G0yMD3cEEnxWq/view?usp=drivesdk" TargetMode="External"/><Relationship Id="rId1697" Type="http://schemas.openxmlformats.org/officeDocument/2006/relationships/hyperlink" Target="https://drive.google.com/file/d/11ogde26aroINSig4eTT9lBULIn1KJP76/view?usp=drivesdk" TargetMode="External"/><Relationship Id="rId1698" Type="http://schemas.openxmlformats.org/officeDocument/2006/relationships/hyperlink" Target="https://drive.google.com/file/d/1w2s1nlT6t57-GqT3Tqhw810u0jmjYutX/view?usp=drivesdk" TargetMode="External"/><Relationship Id="rId1699" Type="http://schemas.openxmlformats.org/officeDocument/2006/relationships/hyperlink" Target="https://drive.google.com/file/d/1NUBAl6Yl2Ll3r0YlezoDr1DQkJrRA7AB/view?usp=drivesdk" TargetMode="External"/><Relationship Id="rId866" Type="http://schemas.openxmlformats.org/officeDocument/2006/relationships/hyperlink" Target="https://drive.google.com/file/d/1qimrxh5RX2KBUiWE73XYLKpOASqxDvje/view?usp=drivesdk" TargetMode="External"/><Relationship Id="rId865" Type="http://schemas.openxmlformats.org/officeDocument/2006/relationships/hyperlink" Target="https://drive.google.com/file/d/1m41Y5bRbRKdsEa0ih_pOIVBMGSOx1a50/view?usp=drivesdk" TargetMode="External"/><Relationship Id="rId864" Type="http://schemas.openxmlformats.org/officeDocument/2006/relationships/hyperlink" Target="https://drive.google.com/file/d/1YtEOvcyALNN7Ic8BmqCXlWtWsWTo9fEx/view?usp=drivesdk" TargetMode="External"/><Relationship Id="rId863" Type="http://schemas.openxmlformats.org/officeDocument/2006/relationships/hyperlink" Target="https://drive.google.com/file/d/169Td0Bt44wDGjDK_tDhgAEVPDzq0e4Q0/view?usp=drivesdk" TargetMode="External"/><Relationship Id="rId869" Type="http://schemas.openxmlformats.org/officeDocument/2006/relationships/hyperlink" Target="https://drive.google.com/file/d/1nyrPYEAEmOV0l8BBZ-TwjZscIO47pCqu/view?usp=drivesdk" TargetMode="External"/><Relationship Id="rId868" Type="http://schemas.openxmlformats.org/officeDocument/2006/relationships/hyperlink" Target="https://drive.google.com/file/d/1K38objbDYZJKUFI_vcMUgt0u-BJM-8lV/view?usp=drivesdk" TargetMode="External"/><Relationship Id="rId867" Type="http://schemas.openxmlformats.org/officeDocument/2006/relationships/hyperlink" Target="https://drive.google.com/file/d/1HAngOCE4WSvbqx5DD0Lqg7L3PnH2Gb09/view?usp=drivesdk" TargetMode="External"/><Relationship Id="rId1690" Type="http://schemas.openxmlformats.org/officeDocument/2006/relationships/hyperlink" Target="https://drive.google.com/file/d/1OHrkMTqW-CDqr555bgbohaOi5pda3ONA/view?usp=drivesdk" TargetMode="External"/><Relationship Id="rId1691" Type="http://schemas.openxmlformats.org/officeDocument/2006/relationships/hyperlink" Target="https://drive.google.com/file/d/1Sa8c1fB3Y2JY9ckKOsg1YCH2Mp5uSOKG/view?usp=drivesdk" TargetMode="External"/><Relationship Id="rId1692" Type="http://schemas.openxmlformats.org/officeDocument/2006/relationships/hyperlink" Target="https://drive.google.com/file/d/1-DrIsl5xE-ma7IF983DqJ9ziYsMByA9u/view?usp=drivesdk" TargetMode="External"/><Relationship Id="rId862" Type="http://schemas.openxmlformats.org/officeDocument/2006/relationships/hyperlink" Target="https://drive.google.com/file/d/1b_OxExSYYVolsLS5Yqo5u_ej_T6vY1eh/view?usp=drivesdk" TargetMode="External"/><Relationship Id="rId1693" Type="http://schemas.openxmlformats.org/officeDocument/2006/relationships/hyperlink" Target="https://drive.google.com/file/d/1jrq_rB-Oin-Vjz0-Heyq3RdGFIwfdpVX/view?usp=drivesdk" TargetMode="External"/><Relationship Id="rId861" Type="http://schemas.openxmlformats.org/officeDocument/2006/relationships/hyperlink" Target="https://drive.google.com/file/d/1GRTqbCWAEBCV2QfRHU13UrkkwGZPmzAG/view?usp=drivesdk" TargetMode="External"/><Relationship Id="rId1694" Type="http://schemas.openxmlformats.org/officeDocument/2006/relationships/hyperlink" Target="https://drive.google.com/file/d/1YPe33ofHhAUwjKqWyKcx7n5n-dL3gHG4/view?usp=drivesdk" TargetMode="External"/><Relationship Id="rId860" Type="http://schemas.openxmlformats.org/officeDocument/2006/relationships/hyperlink" Target="https://drive.google.com/file/d/1pjbdT8T05B8fcfdSmmw3QKOoALt3a8U3/view?usp=drivesdk" TargetMode="External"/><Relationship Id="rId1695" Type="http://schemas.openxmlformats.org/officeDocument/2006/relationships/hyperlink" Target="https://drive.google.com/file/d/10bfFtsRpVGs1UGeHloAJRS0Qkl9gb2u5/view?usp=drivesdk" TargetMode="External"/><Relationship Id="rId1696" Type="http://schemas.openxmlformats.org/officeDocument/2006/relationships/hyperlink" Target="https://drive.google.com/file/d/1jwFLKdF0byi7hon5GCbVvBleRSu-vK6j/view?usp=drivesdk" TargetMode="External"/><Relationship Id="rId1686" Type="http://schemas.openxmlformats.org/officeDocument/2006/relationships/hyperlink" Target="https://drive.google.com/file/d/1A5tjQy7ttMX3sBzRYaD1uCZ6TKDCsqUH/view?usp=drivesdk" TargetMode="External"/><Relationship Id="rId1687" Type="http://schemas.openxmlformats.org/officeDocument/2006/relationships/hyperlink" Target="https://drive.google.com/file/d/1fmq7pBZR5fn4yvsXd6FhDdYn8kchkDm4/view?usp=drivesdk" TargetMode="External"/><Relationship Id="rId1688" Type="http://schemas.openxmlformats.org/officeDocument/2006/relationships/hyperlink" Target="https://drive.google.com/file/d/1x8ChbGRnQosFWpLO6ivg0Gru6QydF7SG/view?usp=drivesdk" TargetMode="External"/><Relationship Id="rId1689" Type="http://schemas.openxmlformats.org/officeDocument/2006/relationships/hyperlink" Target="https://drive.google.com/file/d/17sVwjrDS913Gts1JisHt0r2QxjDzr5lB/view?usp=drivesdk" TargetMode="External"/><Relationship Id="rId855" Type="http://schemas.openxmlformats.org/officeDocument/2006/relationships/hyperlink" Target="https://drive.google.com/file/d/1Z3j-GYmYTaTznFvifGqn7i6RJJ1lfSuV/view?usp=drivesdk" TargetMode="External"/><Relationship Id="rId854" Type="http://schemas.openxmlformats.org/officeDocument/2006/relationships/hyperlink" Target="https://drive.google.com/file/d/1omR1E_287y0ccIGES_pkcPdSBWMVOwau/view?usp=drivesdk" TargetMode="External"/><Relationship Id="rId853" Type="http://schemas.openxmlformats.org/officeDocument/2006/relationships/hyperlink" Target="https://drive.google.com/file/d/1aTwCR34zsNrEqVnS5Rpcc2VFXM5ds4FM/view?usp=drivesdk" TargetMode="External"/><Relationship Id="rId852" Type="http://schemas.openxmlformats.org/officeDocument/2006/relationships/hyperlink" Target="https://drive.google.com/file/d/1IgKtD8jabQllXituIofroEOo9fB9Orqh/view?usp=drivesdk" TargetMode="External"/><Relationship Id="rId859" Type="http://schemas.openxmlformats.org/officeDocument/2006/relationships/hyperlink" Target="https://drive.google.com/file/d/1hMvLSTpx8nWLZWeysIdJuwN0X9hkRuiz/view?usp=drivesdk" TargetMode="External"/><Relationship Id="rId858" Type="http://schemas.openxmlformats.org/officeDocument/2006/relationships/hyperlink" Target="https://drive.google.com/file/d/1UGC3b7krG3oJ8u8s822kpJoBygN9UGhC/view?usp=drivesdk" TargetMode="External"/><Relationship Id="rId857" Type="http://schemas.openxmlformats.org/officeDocument/2006/relationships/hyperlink" Target="https://drive.google.com/file/d/1jqQLxaW0DJnb5Ilyxo3zqAwagggjh2pL/view?usp=drivesdk" TargetMode="External"/><Relationship Id="rId856" Type="http://schemas.openxmlformats.org/officeDocument/2006/relationships/hyperlink" Target="https://drive.google.com/file/d/1fCISpYasktPoFRN0Myss5J4MijpvlwTW/view?usp=drivesdk" TargetMode="External"/><Relationship Id="rId1680" Type="http://schemas.openxmlformats.org/officeDocument/2006/relationships/hyperlink" Target="https://drive.google.com/file/d/1izPHhUHB0NYR95DM9dudqdToqve9cScm/view?usp=drivesdk" TargetMode="External"/><Relationship Id="rId1681" Type="http://schemas.openxmlformats.org/officeDocument/2006/relationships/hyperlink" Target="https://drive.google.com/file/d/1cV_YaRdgiWnpFXbjHG5VY2xsHhOD81BN/view?usp=drivesdk" TargetMode="External"/><Relationship Id="rId851" Type="http://schemas.openxmlformats.org/officeDocument/2006/relationships/hyperlink" Target="https://drive.google.com/file/d/14u7Em6PY2XtQDFetT5115-mZHxqTv21F/view?usp=drivesdk" TargetMode="External"/><Relationship Id="rId1682" Type="http://schemas.openxmlformats.org/officeDocument/2006/relationships/hyperlink" Target="https://drive.google.com/file/d/1odsdUkdbYWGK_Y3-6GwgXk3fruzb8K5B/view?usp=drivesdk" TargetMode="External"/><Relationship Id="rId850" Type="http://schemas.openxmlformats.org/officeDocument/2006/relationships/hyperlink" Target="https://drive.google.com/file/d/1kZIid5fynCnPwgUntQz2bOZyjP3neLUq/view?usp=drivesdk" TargetMode="External"/><Relationship Id="rId1683" Type="http://schemas.openxmlformats.org/officeDocument/2006/relationships/hyperlink" Target="https://drive.google.com/file/d/1-LOs6iJWqH6J7LkZbxx9IKK68sIQYm15/view?usp=drivesdk" TargetMode="External"/><Relationship Id="rId1684" Type="http://schemas.openxmlformats.org/officeDocument/2006/relationships/hyperlink" Target="https://drive.google.com/file/d/1HQQqaXQ2aDOZT_SNuEKfrgklxfV96f2p/view?usp=drivesdk" TargetMode="External"/><Relationship Id="rId1685" Type="http://schemas.openxmlformats.org/officeDocument/2006/relationships/hyperlink" Target="https://drive.google.com/file/d/1prOSvEeiUcrPtWVtWvPaBacGuq5Uw8Qi/view?usp=drivesdk" TargetMode="External"/><Relationship Id="rId888" Type="http://schemas.openxmlformats.org/officeDocument/2006/relationships/hyperlink" Target="https://drive.google.com/file/d/1ZWX5KE0H0RPR24ghjhKYXvWGtyhSD23_/view?usp=drivesdk" TargetMode="External"/><Relationship Id="rId887" Type="http://schemas.openxmlformats.org/officeDocument/2006/relationships/hyperlink" Target="https://drive.google.com/file/d/1FctWG5fFtd9swb7nf5clhW4ybriZAiax/view?usp=drivesdk" TargetMode="External"/><Relationship Id="rId886" Type="http://schemas.openxmlformats.org/officeDocument/2006/relationships/hyperlink" Target="https://drive.google.com/file/d/1_FGRZjXjzcqQ7WnfRV3bnK84pUSZVMOj/view?usp=drivesdk" TargetMode="External"/><Relationship Id="rId885" Type="http://schemas.openxmlformats.org/officeDocument/2006/relationships/hyperlink" Target="https://drive.google.com/file/d/1yR9cZml3hQ6T4MOjIUa34kloKZbkx3-C/view?usp=drivesdk" TargetMode="External"/><Relationship Id="rId889" Type="http://schemas.openxmlformats.org/officeDocument/2006/relationships/hyperlink" Target="https://drive.google.com/file/d/1n-YFdWO33LCJLrsGwdf6SUcNCcJ53BpW/view?usp=drivesdk" TargetMode="External"/><Relationship Id="rId880" Type="http://schemas.openxmlformats.org/officeDocument/2006/relationships/hyperlink" Target="https://drive.google.com/file/d/1pYSMRfkiWxfvT3vwpJ2NpW6jjkIHGvcA/view?usp=drivesdk" TargetMode="External"/><Relationship Id="rId884" Type="http://schemas.openxmlformats.org/officeDocument/2006/relationships/hyperlink" Target="https://drive.google.com/file/d/1czfjL33TgYf4q2u9VCi5Xq7X99EOUVWb/view?usp=drivesdk" TargetMode="External"/><Relationship Id="rId883" Type="http://schemas.openxmlformats.org/officeDocument/2006/relationships/hyperlink" Target="https://drive.google.com/file/d/1B8hhxVlq7cnNDBLJ9shwPam-B15NJmeg/view?usp=drivesdk" TargetMode="External"/><Relationship Id="rId882" Type="http://schemas.openxmlformats.org/officeDocument/2006/relationships/hyperlink" Target="https://drive.google.com/file/d/1rDpeTmFeblvvCYONCJJEj-DVK7SMA0iz/view?usp=drivesdk" TargetMode="External"/><Relationship Id="rId881" Type="http://schemas.openxmlformats.org/officeDocument/2006/relationships/hyperlink" Target="https://drive.google.com/file/d/1N0YzCVxYTyKgh2PiwI2otcSjy-8S615o/view?usp=drivesdk" TargetMode="External"/><Relationship Id="rId877" Type="http://schemas.openxmlformats.org/officeDocument/2006/relationships/hyperlink" Target="https://drive.google.com/file/d/1TCvzGX_QjTDawYGcwuyL1guQ97gyDqDK/view?usp=drivesdk" TargetMode="External"/><Relationship Id="rId876" Type="http://schemas.openxmlformats.org/officeDocument/2006/relationships/hyperlink" Target="https://drive.google.com/file/d/1tZsSYNtItNyVWS0GzUOR8pz9_K6HDsaE/view?usp=drivesdk" TargetMode="External"/><Relationship Id="rId875" Type="http://schemas.openxmlformats.org/officeDocument/2006/relationships/hyperlink" Target="https://drive.google.com/file/d/1u9U_3wFQZTo72O0qCGz8MT2oRO7HpyxX/view?usp=drivesdk" TargetMode="External"/><Relationship Id="rId874" Type="http://schemas.openxmlformats.org/officeDocument/2006/relationships/hyperlink" Target="https://drive.google.com/file/d/1sZVg5bDmS-U_sBg8ykLltDjaMY4kIFwz/view?usp=drivesdk" TargetMode="External"/><Relationship Id="rId879" Type="http://schemas.openxmlformats.org/officeDocument/2006/relationships/hyperlink" Target="https://drive.google.com/file/d/1DGNX57WrXHNmnuB7Kj7_IVzs3mhivTqV/view?usp=drivesdk" TargetMode="External"/><Relationship Id="rId878" Type="http://schemas.openxmlformats.org/officeDocument/2006/relationships/hyperlink" Target="https://drive.google.com/file/d/1kYtmHv99YL8-QMGH8Bs0TfxUkoSjE305/view?usp=drivesdk" TargetMode="External"/><Relationship Id="rId873" Type="http://schemas.openxmlformats.org/officeDocument/2006/relationships/hyperlink" Target="https://drive.google.com/file/d/1H_h0BB3KtaOPeHAYT11_e1uwW5wNfgZ8/view?usp=drivesdk" TargetMode="External"/><Relationship Id="rId872" Type="http://schemas.openxmlformats.org/officeDocument/2006/relationships/hyperlink" Target="https://drive.google.com/file/d/1nchNDy-IQ-ZK5BBUQFkc8o7NlheQuY9g/view?usp=drivesdk" TargetMode="External"/><Relationship Id="rId871" Type="http://schemas.openxmlformats.org/officeDocument/2006/relationships/hyperlink" Target="https://drive.google.com/file/d/1RypXVnQqW3pRLSNY4ebD5lNE_Zztv4Qi/view?usp=drivesdk" TargetMode="External"/><Relationship Id="rId870" Type="http://schemas.openxmlformats.org/officeDocument/2006/relationships/hyperlink" Target="https://drive.google.com/file/d/17gn-vcqDbhUFsbNZTF0tOFBHOJmDDGJv/view?usp=drivesdk" TargetMode="External"/><Relationship Id="rId1653" Type="http://schemas.openxmlformats.org/officeDocument/2006/relationships/hyperlink" Target="https://drive.google.com/file/d/1nGEFRfqInF5qm86vl7__3-8qIzREYfZk/view?usp=drivesdk" TargetMode="External"/><Relationship Id="rId2984" Type="http://schemas.openxmlformats.org/officeDocument/2006/relationships/hyperlink" Target="https://drive.google.com/file/d/1r7kvTijUR6GbKZNulHgJsuNUmZB01Vqr/view?usp=drivesdk" TargetMode="External"/><Relationship Id="rId1654" Type="http://schemas.openxmlformats.org/officeDocument/2006/relationships/hyperlink" Target="https://drive.google.com/file/d/1Amt9PFHVd7cb69huGnFbxyKWsIQSjV3D/view?usp=drivesdk" TargetMode="External"/><Relationship Id="rId2985" Type="http://schemas.openxmlformats.org/officeDocument/2006/relationships/hyperlink" Target="https://drive.google.com/file/d/1PSXxW5sDbq6DJDPgRuB0cHCWPVCyAVyA/view?usp=drivesdk" TargetMode="External"/><Relationship Id="rId1655" Type="http://schemas.openxmlformats.org/officeDocument/2006/relationships/hyperlink" Target="https://drive.google.com/file/d/18NuOr2zv-DPSWE76ik20X1RWQCrIu5_W/view?usp=drivesdk" TargetMode="External"/><Relationship Id="rId2986" Type="http://schemas.openxmlformats.org/officeDocument/2006/relationships/hyperlink" Target="https://drive.google.com/file/d/1VohCyZYrYeQ8wnGKTyDD2fOk8y16yZw3/view?usp=drivesdk" TargetMode="External"/><Relationship Id="rId1656" Type="http://schemas.openxmlformats.org/officeDocument/2006/relationships/hyperlink" Target="https://drive.google.com/file/d/1WBDqA_BZehc7Sz5HnIH2Bt-pPoD-QiMO/view?usp=drivesdk" TargetMode="External"/><Relationship Id="rId2987" Type="http://schemas.openxmlformats.org/officeDocument/2006/relationships/hyperlink" Target="https://drive.google.com/file/d/1JsZgwHseixf6_MIunQS7nOHW4DEUBedH/view?usp=drivesdk" TargetMode="External"/><Relationship Id="rId1657" Type="http://schemas.openxmlformats.org/officeDocument/2006/relationships/hyperlink" Target="https://drive.google.com/file/d/1BFIvapTqlHpbHQvqjZnWZ-7ae5fZLhkO/view?usp=drivesdk" TargetMode="External"/><Relationship Id="rId2988" Type="http://schemas.openxmlformats.org/officeDocument/2006/relationships/hyperlink" Target="https://drive.google.com/file/d/1P2ZRc1H4au4w3w2QAJxu34pqjtWGLDpL/view?usp=drivesdk" TargetMode="External"/><Relationship Id="rId1658" Type="http://schemas.openxmlformats.org/officeDocument/2006/relationships/hyperlink" Target="https://drive.google.com/file/d/1MDQ6M58EZ8oNCvRr11RaJsivppSQNH47/view?usp=drivesdk" TargetMode="External"/><Relationship Id="rId2989" Type="http://schemas.openxmlformats.org/officeDocument/2006/relationships/hyperlink" Target="https://drive.google.com/file/d/1XS5wfGWzlv2PPriV2BVgHK4SFmjGbX42/view?usp=drivesdk" TargetMode="External"/><Relationship Id="rId1659" Type="http://schemas.openxmlformats.org/officeDocument/2006/relationships/hyperlink" Target="https://drive.google.com/file/d/19w9ic82B3o6eQIl3FyT2OT-5QM9FXLnu/view?usp=drivesdk" TargetMode="External"/><Relationship Id="rId829" Type="http://schemas.openxmlformats.org/officeDocument/2006/relationships/hyperlink" Target="https://drive.google.com/file/d/14M7-IkyWVfj3eY4hw0qFelu5WsEpipeb/view?usp=drivesdk" TargetMode="External"/><Relationship Id="rId828" Type="http://schemas.openxmlformats.org/officeDocument/2006/relationships/hyperlink" Target="https://drive.google.com/file/d/1qERJwV5I4kjdIq5NbjsYgn1oZuQ5u6py/view?usp=drivesdk" TargetMode="External"/><Relationship Id="rId827" Type="http://schemas.openxmlformats.org/officeDocument/2006/relationships/hyperlink" Target="https://drive.google.com/file/d/1nD3-iZ1nWk84gxQauX1rwDy2vl4lzHy1/view?usp=drivesdk" TargetMode="External"/><Relationship Id="rId822" Type="http://schemas.openxmlformats.org/officeDocument/2006/relationships/hyperlink" Target="https://drive.google.com/file/d/1SHo9uaRoUt61BTr0U3JEHdYkT0-VW3By/view?usp=drivesdk" TargetMode="External"/><Relationship Id="rId821" Type="http://schemas.openxmlformats.org/officeDocument/2006/relationships/hyperlink" Target="https://drive.google.com/file/d/1pU-ErY9_5d1luT5mq4sd3ClC-Qp4_FmB/view?usp=drivesdk" TargetMode="External"/><Relationship Id="rId820" Type="http://schemas.openxmlformats.org/officeDocument/2006/relationships/hyperlink" Target="https://drive.google.com/file/d/1lEv0bZRjokbgXTUNzSA0h6exnegNkQSO/view?usp=drivesdk" TargetMode="External"/><Relationship Id="rId826" Type="http://schemas.openxmlformats.org/officeDocument/2006/relationships/hyperlink" Target="https://drive.google.com/file/d/1GrzwoPy_KXCYzere0iGBOB5QpMo0QXHW/view?usp=drivesdk" TargetMode="External"/><Relationship Id="rId825" Type="http://schemas.openxmlformats.org/officeDocument/2006/relationships/hyperlink" Target="https://drive.google.com/file/d/1i97cxJsLqvPvidMfhm1pdXUQaUG58YLH/view?usp=drivesdk" TargetMode="External"/><Relationship Id="rId824" Type="http://schemas.openxmlformats.org/officeDocument/2006/relationships/hyperlink" Target="https://drive.google.com/file/d/1DqbmCE0koXHnNxn-CiJlr6S89vFA1rei/view?usp=drivesdk" TargetMode="External"/><Relationship Id="rId823" Type="http://schemas.openxmlformats.org/officeDocument/2006/relationships/hyperlink" Target="https://drive.google.com/file/d/1qzW5JqJRzeu9m6gesSUyqoAmlStjA43I/view?usp=drivesdk" TargetMode="External"/><Relationship Id="rId2980" Type="http://schemas.openxmlformats.org/officeDocument/2006/relationships/hyperlink" Target="https://drive.google.com/file/d/1a7fL1ZC2nNN1XTUlfjR6WqqGjTag798y/view?usp=drivesdk" TargetMode="External"/><Relationship Id="rId1650" Type="http://schemas.openxmlformats.org/officeDocument/2006/relationships/hyperlink" Target="https://drive.google.com/file/d/1H7SW_j1HalYgx4MPG5ZDEcVEO0Zr4meZ/view?usp=drivesdk" TargetMode="External"/><Relationship Id="rId2981" Type="http://schemas.openxmlformats.org/officeDocument/2006/relationships/hyperlink" Target="https://drive.google.com/file/d/1W1dK0xmhy-qDUDWQ2DKJ9Gvb-j4yqqlf/view?usp=drivesdk" TargetMode="External"/><Relationship Id="rId1651" Type="http://schemas.openxmlformats.org/officeDocument/2006/relationships/hyperlink" Target="https://drive.google.com/file/d/1zjgdQzaE1FGs582TKYCM8QK1jHSasa0D/view?usp=drivesdk" TargetMode="External"/><Relationship Id="rId2982" Type="http://schemas.openxmlformats.org/officeDocument/2006/relationships/hyperlink" Target="https://drive.google.com/file/d/1Mvv6lSbYDT3w1CNkuj_yKZJZyGVo8_wu/view?usp=drivesdk" TargetMode="External"/><Relationship Id="rId1652" Type="http://schemas.openxmlformats.org/officeDocument/2006/relationships/hyperlink" Target="https://drive.google.com/file/d/1pPUIG-tV6QPEOgVX-N5xoUwijszpxV-q/view?usp=drivesdk" TargetMode="External"/><Relationship Id="rId2983" Type="http://schemas.openxmlformats.org/officeDocument/2006/relationships/hyperlink" Target="https://drive.google.com/file/d/12tiBV9g0PDIUv5jLNU3H9ESLvqe3_su6/view?usp=drivesdk" TargetMode="External"/><Relationship Id="rId1642" Type="http://schemas.openxmlformats.org/officeDocument/2006/relationships/hyperlink" Target="https://drive.google.com/file/d/1tidiEHmGyDuh1g8MpeILLnnbxbHz8_7f/view?usp=drivesdk" TargetMode="External"/><Relationship Id="rId2973" Type="http://schemas.openxmlformats.org/officeDocument/2006/relationships/hyperlink" Target="https://drive.google.com/file/d/1DsscXTH-yRBwPVKxy3s7M6YtXCPoBPFC/view?usp=drivesdk" TargetMode="External"/><Relationship Id="rId1643" Type="http://schemas.openxmlformats.org/officeDocument/2006/relationships/hyperlink" Target="https://drive.google.com/file/d/1zDpJdnNNWQy5ej-KqssO307FI0_rG3xJ/view?usp=drivesdk" TargetMode="External"/><Relationship Id="rId2974" Type="http://schemas.openxmlformats.org/officeDocument/2006/relationships/hyperlink" Target="https://drive.google.com/file/d/1UuuzoS4yQn13IfYEyBMumYOQfdcrosni/view?usp=drivesdk" TargetMode="External"/><Relationship Id="rId1644" Type="http://schemas.openxmlformats.org/officeDocument/2006/relationships/hyperlink" Target="https://drive.google.com/file/d/1x1HIxasPYVDWiMoijsVEmEFkL-ma4-ZN/view?usp=drivesdk" TargetMode="External"/><Relationship Id="rId2975" Type="http://schemas.openxmlformats.org/officeDocument/2006/relationships/hyperlink" Target="https://drive.google.com/file/d/1CGw2aFqdeWSzTPWBi4Jhk_HVOrooYuQO/view?usp=drivesdk" TargetMode="External"/><Relationship Id="rId1645" Type="http://schemas.openxmlformats.org/officeDocument/2006/relationships/hyperlink" Target="https://drive.google.com/file/d/1W0LT1j0LwNvex6d3_G8PdYjfd_nBMGCI/view?usp=drivesdk" TargetMode="External"/><Relationship Id="rId2976" Type="http://schemas.openxmlformats.org/officeDocument/2006/relationships/hyperlink" Target="https://drive.google.com/file/d/19J7SxgV3TKuAhMt2JaFPTLscquaGkcBh/view?usp=drivesdk" TargetMode="External"/><Relationship Id="rId1646" Type="http://schemas.openxmlformats.org/officeDocument/2006/relationships/hyperlink" Target="https://drive.google.com/file/d/1KadZVSRQiGIfK4lhfu1eJLxSHlP8YPtH/view?usp=drivesdk" TargetMode="External"/><Relationship Id="rId2977" Type="http://schemas.openxmlformats.org/officeDocument/2006/relationships/hyperlink" Target="https://drive.google.com/file/d/1th0_H913x7dEbLmmzeTjrSGGbUC8A42e/view?usp=drivesdk" TargetMode="External"/><Relationship Id="rId1647" Type="http://schemas.openxmlformats.org/officeDocument/2006/relationships/hyperlink" Target="https://drive.google.com/file/d/1gPGZG8c7TkvCBQ6b9AKYA-7EGKuWyNbk/view?usp=drivesdk" TargetMode="External"/><Relationship Id="rId2978" Type="http://schemas.openxmlformats.org/officeDocument/2006/relationships/hyperlink" Target="https://drive.google.com/file/d/1V139ov37mLWb-5UKv49efitjO3JB718i/view?usp=drivesdk" TargetMode="External"/><Relationship Id="rId1648" Type="http://schemas.openxmlformats.org/officeDocument/2006/relationships/hyperlink" Target="https://drive.google.com/file/d/1eWeGnbOVxeeWnGYntSt6RQpPsGVPNsM_/view?usp=drivesdk" TargetMode="External"/><Relationship Id="rId2979" Type="http://schemas.openxmlformats.org/officeDocument/2006/relationships/hyperlink" Target="https://drive.google.com/file/d/1FheroBSk3eQOvE0506M6iwY63EZBRzLS/view?usp=drivesdk" TargetMode="External"/><Relationship Id="rId1649" Type="http://schemas.openxmlformats.org/officeDocument/2006/relationships/hyperlink" Target="https://drive.google.com/file/d/1g4htArQlRMN73gPPvVW4eUSVBYivRP3l/view?usp=drivesdk" TargetMode="External"/><Relationship Id="rId819" Type="http://schemas.openxmlformats.org/officeDocument/2006/relationships/hyperlink" Target="https://drive.google.com/file/d/1Jj1O8c_9L34nAOJtKso9nfPa4g3Mfysr/view?usp=drivesdk" TargetMode="External"/><Relationship Id="rId818" Type="http://schemas.openxmlformats.org/officeDocument/2006/relationships/hyperlink" Target="https://drive.google.com/file/d/1Cu-1t8OJNGvBi0AOJZIW6H8v58ySmuGI/view?usp=drivesdk" TargetMode="External"/><Relationship Id="rId817" Type="http://schemas.openxmlformats.org/officeDocument/2006/relationships/hyperlink" Target="https://drive.google.com/file/d/1vR06FdNyEytssJNLngm20V8kUMiVw3DY/view?usp=drivesdk" TargetMode="External"/><Relationship Id="rId816" Type="http://schemas.openxmlformats.org/officeDocument/2006/relationships/hyperlink" Target="https://drive.google.com/file/d/1x4NI56w21VapyXcuGgFNdGv8DmkbYyIm/view?usp=drivesdk" TargetMode="External"/><Relationship Id="rId811" Type="http://schemas.openxmlformats.org/officeDocument/2006/relationships/hyperlink" Target="https://drive.google.com/file/d/1uU-gCjIDWi8WD9XqUkSZVmwfEbyUznW8/view?usp=drivesdk" TargetMode="External"/><Relationship Id="rId810" Type="http://schemas.openxmlformats.org/officeDocument/2006/relationships/hyperlink" Target="https://drive.google.com/file/d/1gIFaH8XjdZA95I3TztAnPRHTUvE4NZf9/view?usp=drivesdk" TargetMode="External"/><Relationship Id="rId815" Type="http://schemas.openxmlformats.org/officeDocument/2006/relationships/hyperlink" Target="https://drive.google.com/file/d/1GqaKToOKvlz6zi858wJ3zfKrsajcb-35/view?usp=drivesdk" TargetMode="External"/><Relationship Id="rId814" Type="http://schemas.openxmlformats.org/officeDocument/2006/relationships/hyperlink" Target="https://drive.google.com/file/d/1DQavlL_rW2Y3VYQP1kVKsj2ntiUNQWxZ/view?usp=drivesdk" TargetMode="External"/><Relationship Id="rId813" Type="http://schemas.openxmlformats.org/officeDocument/2006/relationships/hyperlink" Target="https://drive.google.com/file/d/1GXFYL_KXrCpINA-p_KVupwToPo9ENZoH/view?usp=drivesdk" TargetMode="External"/><Relationship Id="rId812" Type="http://schemas.openxmlformats.org/officeDocument/2006/relationships/hyperlink" Target="https://drive.google.com/file/d/1RpVITN8ah7IwxTNwb99QdNd3R25KYLqZ/view?usp=drivesdk" TargetMode="External"/><Relationship Id="rId2970" Type="http://schemas.openxmlformats.org/officeDocument/2006/relationships/hyperlink" Target="https://drive.google.com/file/d/1NEDv5DiVuDvFdSlKyMM6fNkxcdxMbR8R/view?usp=drivesdk" TargetMode="External"/><Relationship Id="rId1640" Type="http://schemas.openxmlformats.org/officeDocument/2006/relationships/hyperlink" Target="https://drive.google.com/file/d/1RMH1QHCfwceThZBhNxJzWriOscH_9Moa/view?usp=drivesdk" TargetMode="External"/><Relationship Id="rId2971" Type="http://schemas.openxmlformats.org/officeDocument/2006/relationships/hyperlink" Target="https://drive.google.com/file/d/1Q0Sk01j5joMct9DIvSVMZHeqrGAM99wa/view?usp=drivesdk" TargetMode="External"/><Relationship Id="rId1641" Type="http://schemas.openxmlformats.org/officeDocument/2006/relationships/hyperlink" Target="https://drive.google.com/file/d/11A-iuIS4Kk_EIgYI14egGNJG6Dn7Rmzc/view?usp=drivesdk" TargetMode="External"/><Relationship Id="rId2972" Type="http://schemas.openxmlformats.org/officeDocument/2006/relationships/hyperlink" Target="https://drive.google.com/file/d/1ex2b0drlj-55MtfmUfDq7yBbLLjSesxF/view?usp=drivesdk" TargetMode="External"/><Relationship Id="rId1675" Type="http://schemas.openxmlformats.org/officeDocument/2006/relationships/hyperlink" Target="https://drive.google.com/file/d/14xPFZ4HHJvQfdaqlQgpTJvulMISesY6F/view?usp=drivesdk" TargetMode="External"/><Relationship Id="rId1676" Type="http://schemas.openxmlformats.org/officeDocument/2006/relationships/hyperlink" Target="https://drive.google.com/file/d/1j4hujUpxDdiZOOz_iIcSNsQxGnF8LS3U/view?usp=drivesdk" TargetMode="External"/><Relationship Id="rId1677" Type="http://schemas.openxmlformats.org/officeDocument/2006/relationships/hyperlink" Target="https://drive.google.com/file/d/1HQul4SsDY7kfhjNRo0e8g6nXnnrbKsyY/view?usp=drivesdk" TargetMode="External"/><Relationship Id="rId1678" Type="http://schemas.openxmlformats.org/officeDocument/2006/relationships/hyperlink" Target="https://drive.google.com/file/d/1oVe6PPMxKaflBLEv7M_Old2XSyuAAwUe/view?usp=drivesdk" TargetMode="External"/><Relationship Id="rId1679" Type="http://schemas.openxmlformats.org/officeDocument/2006/relationships/hyperlink" Target="https://drive.google.com/file/d/1XxblkueQgl6YsWD8BaUFT6_Y-LKwY6AV/view?usp=drivesdk" TargetMode="External"/><Relationship Id="rId849" Type="http://schemas.openxmlformats.org/officeDocument/2006/relationships/hyperlink" Target="https://drive.google.com/file/d/1BJJnDqtGCA2RwvFM6nYRkjOjGvKuVPie/view?usp=drivesdk" TargetMode="External"/><Relationship Id="rId844" Type="http://schemas.openxmlformats.org/officeDocument/2006/relationships/hyperlink" Target="https://drive.google.com/file/d/1ZoZ7bFy8e_oROY1OPQFaJYZF56-kK6IF/view?usp=drivesdk" TargetMode="External"/><Relationship Id="rId843" Type="http://schemas.openxmlformats.org/officeDocument/2006/relationships/hyperlink" Target="https://drive.google.com/file/d/11vXVXqTk1ZS0xTI6dzcKs2EolcAACvMR/view?usp=drivesdk" TargetMode="External"/><Relationship Id="rId842" Type="http://schemas.openxmlformats.org/officeDocument/2006/relationships/hyperlink" Target="https://drive.google.com/file/d/1WUtQQHrljf7PtfBYdUBTJMxRn8sxQk7E/view?usp=drivesdk" TargetMode="External"/><Relationship Id="rId841" Type="http://schemas.openxmlformats.org/officeDocument/2006/relationships/hyperlink" Target="https://drive.google.com/file/d/1VdIdLWVxUUUtmOmE-vgm5rpR4GCXm-ok/view?usp=drivesdk" TargetMode="External"/><Relationship Id="rId848" Type="http://schemas.openxmlformats.org/officeDocument/2006/relationships/hyperlink" Target="https://drive.google.com/file/d/1B-klQ6VcjFDo5YSJOyapoB7mniiHyJM-/view?usp=drivesdk" TargetMode="External"/><Relationship Id="rId847" Type="http://schemas.openxmlformats.org/officeDocument/2006/relationships/hyperlink" Target="https://drive.google.com/file/d/1gDoDULeuVLOPrKx75VM5XT6J6o-QuO9x/view?usp=drivesdk" TargetMode="External"/><Relationship Id="rId846" Type="http://schemas.openxmlformats.org/officeDocument/2006/relationships/hyperlink" Target="https://drive.google.com/file/d/1d0J439HUZYCCa5KilnSLacdTm3lD93Si/view?usp=drivesdk" TargetMode="External"/><Relationship Id="rId845" Type="http://schemas.openxmlformats.org/officeDocument/2006/relationships/hyperlink" Target="https://drive.google.com/file/d/1dn1a4gLg5PLdy712BbJGJhezT0TYMsrc/view?usp=drivesdk" TargetMode="External"/><Relationship Id="rId1670" Type="http://schemas.openxmlformats.org/officeDocument/2006/relationships/hyperlink" Target="https://drive.google.com/file/d/1qUbMPC11wkQ35T92TpesLnKKmlSMPwLj/view?usp=drivesdk" TargetMode="External"/><Relationship Id="rId840" Type="http://schemas.openxmlformats.org/officeDocument/2006/relationships/hyperlink" Target="https://drive.google.com/file/d/1hFr4-jgHTEmYr7YSzBifQ5IOHWa7Pl9E/view?usp=drivesdk" TargetMode="External"/><Relationship Id="rId1671" Type="http://schemas.openxmlformats.org/officeDocument/2006/relationships/hyperlink" Target="https://drive.google.com/file/d/1h6u2VQ0LR0hPmmdn04oQT-pK3GBBNrdW/view?usp=drivesdk" TargetMode="External"/><Relationship Id="rId1672" Type="http://schemas.openxmlformats.org/officeDocument/2006/relationships/hyperlink" Target="https://drive.google.com/file/d/1dBJyDWqgZiLyD6LwmisNe4nXwuBfOhpL/view?usp=drivesdk" TargetMode="External"/><Relationship Id="rId1673" Type="http://schemas.openxmlformats.org/officeDocument/2006/relationships/hyperlink" Target="https://drive.google.com/file/d/1lmPuhIbcH-1rcIDjqkw34HcSU2O6c2ue/view?usp=drivesdk" TargetMode="External"/><Relationship Id="rId1674" Type="http://schemas.openxmlformats.org/officeDocument/2006/relationships/hyperlink" Target="https://drive.google.com/file/d/1uqjSAQTztfrE6WhTBJq5beR6Eq5T80AH/view?usp=drivesdk" TargetMode="External"/><Relationship Id="rId1664" Type="http://schemas.openxmlformats.org/officeDocument/2006/relationships/hyperlink" Target="https://drive.google.com/file/d/1-mfV1-1-7LtD_ymHa4L9A8meO_iq-9CV/view?usp=drivesdk" TargetMode="External"/><Relationship Id="rId2995" Type="http://schemas.openxmlformats.org/officeDocument/2006/relationships/hyperlink" Target="https://drive.google.com/file/d/1-BRDJtnfY2i7YBG-IeupwHTxHic0hQnP/view?usp=drivesdk" TargetMode="External"/><Relationship Id="rId1665" Type="http://schemas.openxmlformats.org/officeDocument/2006/relationships/hyperlink" Target="https://drive.google.com/file/d/1qD19JwWxOgtJrbj888hdQtvkc50WxKik/view?usp=drivesdk" TargetMode="External"/><Relationship Id="rId2996" Type="http://schemas.openxmlformats.org/officeDocument/2006/relationships/hyperlink" Target="https://drive.google.com/file/d/1Ql7nMbQXZeIyS5tduYv7gRTiVRXJB9Dk/view?usp=drivesdk" TargetMode="External"/><Relationship Id="rId1666" Type="http://schemas.openxmlformats.org/officeDocument/2006/relationships/hyperlink" Target="https://drive.google.com/file/d/1VstYRkLs_vHWMyJ0_FYFPw0TXdeyt03z/view?usp=drivesdk" TargetMode="External"/><Relationship Id="rId2997" Type="http://schemas.openxmlformats.org/officeDocument/2006/relationships/hyperlink" Target="https://drive.google.com/file/d/1KanaZYJkrnwi0ABQ2gUtWRMUjQnhMt0r/view?usp=drivesdk" TargetMode="External"/><Relationship Id="rId1667" Type="http://schemas.openxmlformats.org/officeDocument/2006/relationships/hyperlink" Target="https://drive.google.com/file/d/1wEmOt7x5Pv9MsatTAfDanNliY0qJ3UXp/view?usp=drivesdk" TargetMode="External"/><Relationship Id="rId2998" Type="http://schemas.openxmlformats.org/officeDocument/2006/relationships/hyperlink" Target="https://drive.google.com/file/d/18ZlWgEtYOKx4ampRaantI27kYPgBvB4J/view?usp=drivesdk" TargetMode="External"/><Relationship Id="rId1668" Type="http://schemas.openxmlformats.org/officeDocument/2006/relationships/hyperlink" Target="https://drive.google.com/file/d/1lfCch3QzOUDKCMr20GGdq4Az5l52IHw_/view?usp=drivesdk" TargetMode="External"/><Relationship Id="rId2999" Type="http://schemas.openxmlformats.org/officeDocument/2006/relationships/hyperlink" Target="https://drive.google.com/file/d/13EC3dwbwBg7gIijxdeeANvWmpAfQ8_ke/view?usp=drivesdk" TargetMode="External"/><Relationship Id="rId1669" Type="http://schemas.openxmlformats.org/officeDocument/2006/relationships/hyperlink" Target="https://drive.google.com/file/d/1HWm_w6YekPul5ovas5Qo4pPAlIx_0O9Y/view?usp=drivesdk" TargetMode="External"/><Relationship Id="rId839" Type="http://schemas.openxmlformats.org/officeDocument/2006/relationships/hyperlink" Target="https://drive.google.com/file/d/1fUw7SZkD_uHIUTBQKndZvh3FJSh0Nusj/view?usp=drivesdk" TargetMode="External"/><Relationship Id="rId838" Type="http://schemas.openxmlformats.org/officeDocument/2006/relationships/hyperlink" Target="https://drive.google.com/file/d/1IrNVyMTx_bTlf5Hqc4VqZVke3TI05zBF/view?usp=drivesdk" TargetMode="External"/><Relationship Id="rId833" Type="http://schemas.openxmlformats.org/officeDocument/2006/relationships/hyperlink" Target="https://drive.google.com/file/d/1_OW7cSGipialnxLe9tmXZ4efVfbQhbOh/view?usp=drivesdk" TargetMode="External"/><Relationship Id="rId832" Type="http://schemas.openxmlformats.org/officeDocument/2006/relationships/hyperlink" Target="https://drive.google.com/file/d/1P7wYUg2mdfDHpizyWR-Lc6NmlbIvnsOb/view?usp=drivesdk" TargetMode="External"/><Relationship Id="rId831" Type="http://schemas.openxmlformats.org/officeDocument/2006/relationships/hyperlink" Target="https://drive.google.com/file/d/1LIpAnCD_qY_nhb2Uv3KtimlebkZZRxuB/view?usp=drivesdk" TargetMode="External"/><Relationship Id="rId830" Type="http://schemas.openxmlformats.org/officeDocument/2006/relationships/hyperlink" Target="https://drive.google.com/file/d/1qJeSoowwY1PmRvutkQhS4ULIY3SaG9Pw/view?usp=drivesdk" TargetMode="External"/><Relationship Id="rId837" Type="http://schemas.openxmlformats.org/officeDocument/2006/relationships/hyperlink" Target="https://drive.google.com/file/d/1pH8UjTqHvQA54nGuFmjvM5i_7vzv3rDT/view?usp=drivesdk" TargetMode="External"/><Relationship Id="rId836" Type="http://schemas.openxmlformats.org/officeDocument/2006/relationships/hyperlink" Target="https://drive.google.com/file/d/1G0OoyvhuYrU7WZDuNhWFZwWlUOOVmyOv/view?usp=drivesdk" TargetMode="External"/><Relationship Id="rId835" Type="http://schemas.openxmlformats.org/officeDocument/2006/relationships/hyperlink" Target="https://drive.google.com/file/d/1_OMEmK-xGGxIcxXMudVcgb287sBrfI-c/view?usp=drivesdk" TargetMode="External"/><Relationship Id="rId834" Type="http://schemas.openxmlformats.org/officeDocument/2006/relationships/hyperlink" Target="https://drive.google.com/file/d/1-cJaQM_AmenLnu0hUtdh3LIE6NGYHPlz/view?usp=drivesdk" TargetMode="External"/><Relationship Id="rId2990" Type="http://schemas.openxmlformats.org/officeDocument/2006/relationships/hyperlink" Target="https://drive.google.com/file/d/1dU1UjhKXuYwEUy9G1SAQvFWoiujBUM-l/view?usp=drivesdk" TargetMode="External"/><Relationship Id="rId1660" Type="http://schemas.openxmlformats.org/officeDocument/2006/relationships/hyperlink" Target="https://drive.google.com/file/d/1KUQcqsK-r5AfbdzIkCakBZzGlFUtRtAB/view?usp=drivesdk" TargetMode="External"/><Relationship Id="rId2991" Type="http://schemas.openxmlformats.org/officeDocument/2006/relationships/hyperlink" Target="https://drive.google.com/file/d/1dyQ7iPpa5tauqQ87v1ICVpmTb96xwrHK/view?usp=drivesdk" TargetMode="External"/><Relationship Id="rId1661" Type="http://schemas.openxmlformats.org/officeDocument/2006/relationships/hyperlink" Target="https://drive.google.com/file/d/10U_h3GRWlK3nNIqq6UMnE9fs0R1sihM3/view?usp=drivesdk" TargetMode="External"/><Relationship Id="rId2992" Type="http://schemas.openxmlformats.org/officeDocument/2006/relationships/hyperlink" Target="https://drive.google.com/file/d/1ITD043otUXSzSXwJBI77ZEGc7YfO0lXl/view?usp=drivesdk" TargetMode="External"/><Relationship Id="rId1662" Type="http://schemas.openxmlformats.org/officeDocument/2006/relationships/hyperlink" Target="https://drive.google.com/file/d/1UxdcBZ-3RJc_ZWRiOUG2OgzApwZoezAz/view?usp=drivesdk" TargetMode="External"/><Relationship Id="rId2993" Type="http://schemas.openxmlformats.org/officeDocument/2006/relationships/hyperlink" Target="https://drive.google.com/file/d/1QWFGg5y_FwCsYU4iJVkw7s0HZoH7av3y/view?usp=drivesdk" TargetMode="External"/><Relationship Id="rId1663" Type="http://schemas.openxmlformats.org/officeDocument/2006/relationships/hyperlink" Target="https://drive.google.com/file/d/1ZBRIboiJcvNJkaHQes2SUyzxdc-3M7a3/view?usp=drivesdk" TargetMode="External"/><Relationship Id="rId2994" Type="http://schemas.openxmlformats.org/officeDocument/2006/relationships/hyperlink" Target="https://drive.google.com/file/d/1a_-X1vjB6N4-IwfcVsM4fHxFavXCK8pH/view?usp=drivesdk" TargetMode="External"/><Relationship Id="rId2148" Type="http://schemas.openxmlformats.org/officeDocument/2006/relationships/hyperlink" Target="https://drive.google.com/file/d/1tYYVnCHsGShtN-tSDmS_qLMmhT1RawfF/view?usp=drivesdk" TargetMode="External"/><Relationship Id="rId2149" Type="http://schemas.openxmlformats.org/officeDocument/2006/relationships/hyperlink" Target="https://drive.google.com/file/d/1L1JXb9Oey_9pMplHv8uIW4_RkxCF0Y2i/view?usp=drivesdk" TargetMode="External"/><Relationship Id="rId2140" Type="http://schemas.openxmlformats.org/officeDocument/2006/relationships/hyperlink" Target="https://drive.google.com/file/d/18_vbF9xsKb2IuV-06Pdvovh4AYJfJmdk/view?usp=drivesdk" TargetMode="External"/><Relationship Id="rId2141" Type="http://schemas.openxmlformats.org/officeDocument/2006/relationships/hyperlink" Target="https://drive.google.com/file/d/1JkPrBBF4Aq2YUf-0H80A4LRFwpsSLSt5/view?usp=drivesdk" TargetMode="External"/><Relationship Id="rId2142" Type="http://schemas.openxmlformats.org/officeDocument/2006/relationships/hyperlink" Target="https://drive.google.com/file/d/1rA-SYIYa40jtaCXuwEf-xjfS-ihJSDa5/view?usp=drivesdk" TargetMode="External"/><Relationship Id="rId2143" Type="http://schemas.openxmlformats.org/officeDocument/2006/relationships/hyperlink" Target="https://drive.google.com/file/d/1mbPAy1TbNwV2XOfDjz6F7ail2VgA51o4/view?usp=drivesdk" TargetMode="External"/><Relationship Id="rId2144" Type="http://schemas.openxmlformats.org/officeDocument/2006/relationships/hyperlink" Target="https://drive.google.com/file/d/16gyxPUUHdCNaQJ0J7lxySjT9ggprIeYM/view?usp=drivesdk" TargetMode="External"/><Relationship Id="rId2145" Type="http://schemas.openxmlformats.org/officeDocument/2006/relationships/hyperlink" Target="https://drive.google.com/file/d/1t9qJ81WHWp5VhrEXSET_reGhe9475Bh9/view?usp=drivesdk" TargetMode="External"/><Relationship Id="rId2146" Type="http://schemas.openxmlformats.org/officeDocument/2006/relationships/hyperlink" Target="https://drive.google.com/file/d/1KE2_KbSJJfv-f7spdLCghooBjy4qsIJa/view?usp=drivesdk" TargetMode="External"/><Relationship Id="rId2147" Type="http://schemas.openxmlformats.org/officeDocument/2006/relationships/hyperlink" Target="https://drive.google.com/file/d/1ybAI4YzebcDR7N7P3YuEn7EPZ-qd3U5d/view?usp=drivesdk" TargetMode="External"/><Relationship Id="rId2137" Type="http://schemas.openxmlformats.org/officeDocument/2006/relationships/hyperlink" Target="https://drive.google.com/file/d/1-zDlqGJHLgnf0EEC6-j_EElNHHgqV-X-/view?usp=drivesdk" TargetMode="External"/><Relationship Id="rId2138" Type="http://schemas.openxmlformats.org/officeDocument/2006/relationships/hyperlink" Target="https://drive.google.com/file/d/1AXlt7RiMQzSBR2Y8NqyVSEMYzhAeNHOQ/view?usp=drivesdk" TargetMode="External"/><Relationship Id="rId2139" Type="http://schemas.openxmlformats.org/officeDocument/2006/relationships/hyperlink" Target="https://drive.google.com/file/d/1D2Zu4EZb1gNCoeCtBx-Kc5-d8n_tlf2s/view?usp=drivesdk" TargetMode="External"/><Relationship Id="rId2130" Type="http://schemas.openxmlformats.org/officeDocument/2006/relationships/hyperlink" Target="https://drive.google.com/file/d/1-VGr_VxXpDFd--FWOEgFXc-w3gJU0M5p/view?usp=drivesdk" TargetMode="External"/><Relationship Id="rId2131" Type="http://schemas.openxmlformats.org/officeDocument/2006/relationships/hyperlink" Target="https://drive.google.com/file/d/1aljqzNt_a-5H2xNod0DXK2LsjIq9xXuj/view?usp=drivesdk" TargetMode="External"/><Relationship Id="rId2132" Type="http://schemas.openxmlformats.org/officeDocument/2006/relationships/hyperlink" Target="https://drive.google.com/file/d/1cNdWPR0lbNPUCDeI0DicvFV8ZWXKF8P4/view?usp=drivesdk" TargetMode="External"/><Relationship Id="rId2133" Type="http://schemas.openxmlformats.org/officeDocument/2006/relationships/hyperlink" Target="https://drive.google.com/file/d/1MZZLO_m55KdbCtMX7Abk1knww_Eu3Byx/view?usp=drivesdk" TargetMode="External"/><Relationship Id="rId2134" Type="http://schemas.openxmlformats.org/officeDocument/2006/relationships/hyperlink" Target="https://drive.google.com/file/d/1Rq8taADseprDE7oOK03RUVDBbNKz4-pg/view?usp=drivesdk" TargetMode="External"/><Relationship Id="rId2135" Type="http://schemas.openxmlformats.org/officeDocument/2006/relationships/hyperlink" Target="https://drive.google.com/file/d/1OgSTpGHW34UAkF4DDcl5ghcaAHtU7oMz/view?usp=drivesdk" TargetMode="External"/><Relationship Id="rId2136" Type="http://schemas.openxmlformats.org/officeDocument/2006/relationships/hyperlink" Target="https://drive.google.com/file/d/1i6qGgi00RMPjfjymzXA5zrhw99E1HI_E/view?usp=drivesdk" TargetMode="External"/><Relationship Id="rId2160" Type="http://schemas.openxmlformats.org/officeDocument/2006/relationships/hyperlink" Target="https://drive.google.com/file/d/1YRmjZgTo_v1L76nWsNrw9opAPNpUFd1K/view?usp=drivesdk" TargetMode="External"/><Relationship Id="rId2161" Type="http://schemas.openxmlformats.org/officeDocument/2006/relationships/hyperlink" Target="https://drive.google.com/file/d/1jGrR9pobMos836wHFPkA3w5cxog8Wlf8/view?usp=drivesdk" TargetMode="External"/><Relationship Id="rId2162" Type="http://schemas.openxmlformats.org/officeDocument/2006/relationships/hyperlink" Target="https://drive.google.com/file/d/1-KoA4w0UmKX-zBQBzGFrHdbnVeCwLedE/view?usp=drivesdk" TargetMode="External"/><Relationship Id="rId2163" Type="http://schemas.openxmlformats.org/officeDocument/2006/relationships/hyperlink" Target="https://drive.google.com/file/d/1aPthYdh8kaoZELmxgMpN1wR6XnqiBcz-/view?usp=drivesdk" TargetMode="External"/><Relationship Id="rId2164" Type="http://schemas.openxmlformats.org/officeDocument/2006/relationships/hyperlink" Target="https://drive.google.com/file/d/12THeIMZ2Ep8Asu-0MmFgX3d6VIB7qcC2/view?usp=drivesdk" TargetMode="External"/><Relationship Id="rId2165" Type="http://schemas.openxmlformats.org/officeDocument/2006/relationships/hyperlink" Target="https://drive.google.com/file/d/1hJA8QyeDp4Vm559mbO8DCZflU8Edzdja/view?usp=drivesdk" TargetMode="External"/><Relationship Id="rId2166" Type="http://schemas.openxmlformats.org/officeDocument/2006/relationships/hyperlink" Target="https://drive.google.com/file/d/1aXjsynaYAzsiAP_XnLW15jUFOcnTDxW2/view?usp=drivesdk" TargetMode="External"/><Relationship Id="rId2167" Type="http://schemas.openxmlformats.org/officeDocument/2006/relationships/hyperlink" Target="https://drive.google.com/file/d/1Nk5bFJSo0Kpn1lRyfOXRyXUcB5o-fwog/view?usp=drivesdk" TargetMode="External"/><Relationship Id="rId2168" Type="http://schemas.openxmlformats.org/officeDocument/2006/relationships/hyperlink" Target="https://drive.google.com/file/d/1FYnAE6ZVSAXu-_Vp5HcUF0KcHJCVyVxV/view?usp=drivesdk" TargetMode="External"/><Relationship Id="rId2169" Type="http://schemas.openxmlformats.org/officeDocument/2006/relationships/hyperlink" Target="https://drive.google.com/file/d/1ib5kLo84evfYuXer8uGAcr-d89wsQzfg/view?usp=drivesdk" TargetMode="External"/><Relationship Id="rId2159" Type="http://schemas.openxmlformats.org/officeDocument/2006/relationships/hyperlink" Target="https://drive.google.com/file/d/1x0hiMkAMMAu7RifdS0rxlSq4TXBkiNRA/view?usp=drivesdk" TargetMode="External"/><Relationship Id="rId2150" Type="http://schemas.openxmlformats.org/officeDocument/2006/relationships/hyperlink" Target="https://drive.google.com/file/d/1LWKAeEW0fgjygV6WCnKyQeX8316YUgWo/view?usp=drivesdk" TargetMode="External"/><Relationship Id="rId2151" Type="http://schemas.openxmlformats.org/officeDocument/2006/relationships/hyperlink" Target="https://drive.google.com/file/d/1APtHsdPZdNiDfNyY-PyeC3zINU-OvBJP/view?usp=drivesdk" TargetMode="External"/><Relationship Id="rId2152" Type="http://schemas.openxmlformats.org/officeDocument/2006/relationships/hyperlink" Target="https://drive.google.com/file/d/1PWDkOGXs97kFv6WHFZUdhjP_VsHDNaMe/view?usp=drivesdk" TargetMode="External"/><Relationship Id="rId2153" Type="http://schemas.openxmlformats.org/officeDocument/2006/relationships/hyperlink" Target="https://drive.google.com/file/d/1c3ckeqDBFYPileJxyZAUCNV7gyxN2mcw/view?usp=drivesdk" TargetMode="External"/><Relationship Id="rId2154" Type="http://schemas.openxmlformats.org/officeDocument/2006/relationships/hyperlink" Target="https://drive.google.com/file/d/1bEbFN6Any8y8ceRfD397YRjMmRoEv-T6/view?usp=drivesdk" TargetMode="External"/><Relationship Id="rId2155" Type="http://schemas.openxmlformats.org/officeDocument/2006/relationships/hyperlink" Target="https://drive.google.com/file/d/1OrJJtuTywsaJhsnTKJn5W5V9ZGnr8tWA/view?usp=drivesdk" TargetMode="External"/><Relationship Id="rId2156" Type="http://schemas.openxmlformats.org/officeDocument/2006/relationships/hyperlink" Target="https://drive.google.com/file/d/1zXW2G0B46fBJ7RbZBr7zK2RRM3wBpWBc/view?usp=drivesdk" TargetMode="External"/><Relationship Id="rId2157" Type="http://schemas.openxmlformats.org/officeDocument/2006/relationships/hyperlink" Target="https://drive.google.com/file/d/1hSDof4lTHAM0fMfsscfY0mGvViCdavwX/view?usp=drivesdk" TargetMode="External"/><Relationship Id="rId2158" Type="http://schemas.openxmlformats.org/officeDocument/2006/relationships/hyperlink" Target="https://drive.google.com/file/d/1JYfQJMF32-bnzLtcqzalxSEnyc75jLy1/view?usp=drivesdk" TargetMode="External"/><Relationship Id="rId2104" Type="http://schemas.openxmlformats.org/officeDocument/2006/relationships/hyperlink" Target="https://drive.google.com/file/d/1--cZkaqXLn13yFOImzvT04iJ4vAYVdge/view?usp=drivesdk" TargetMode="External"/><Relationship Id="rId2105" Type="http://schemas.openxmlformats.org/officeDocument/2006/relationships/hyperlink" Target="https://drive.google.com/file/d/1kp1JsZoY0-OqsipfSkcn2zbeOmWUvza5/view?usp=drivesdk" TargetMode="External"/><Relationship Id="rId2106" Type="http://schemas.openxmlformats.org/officeDocument/2006/relationships/hyperlink" Target="https://drive.google.com/file/d/1C6cZH5weFLs0TeiT5kQs0URJpVSG6taY/view?usp=drivesdk" TargetMode="External"/><Relationship Id="rId2107" Type="http://schemas.openxmlformats.org/officeDocument/2006/relationships/hyperlink" Target="https://drive.google.com/file/d/15dvVe0HWHCf6vjojm8XY8fI_lvS82uKp/view?usp=drivesdk" TargetMode="External"/><Relationship Id="rId2108" Type="http://schemas.openxmlformats.org/officeDocument/2006/relationships/hyperlink" Target="https://drive.google.com/file/d/1YgULcRj7eanxq1Att5Q6IxosLXgHcqOq/view?usp=drivesdk" TargetMode="External"/><Relationship Id="rId2109" Type="http://schemas.openxmlformats.org/officeDocument/2006/relationships/hyperlink" Target="https://drive.google.com/file/d/1d2D3WgKVnXnVLqWKgSPp1NiOfXcVqjPr/view?usp=drivesdk" TargetMode="External"/><Relationship Id="rId2100" Type="http://schemas.openxmlformats.org/officeDocument/2006/relationships/hyperlink" Target="https://drive.google.com/file/d/1FpY_zkEeY70DFGZ6gvzclFtdyYZdTNqm/view?usp=drivesdk" TargetMode="External"/><Relationship Id="rId2101" Type="http://schemas.openxmlformats.org/officeDocument/2006/relationships/hyperlink" Target="https://drive.google.com/file/d/1qzkuSWY-iq2aM_Tk5-ZhM7F-0jDmJrfs/view?usp=drivesdk" TargetMode="External"/><Relationship Id="rId2102" Type="http://schemas.openxmlformats.org/officeDocument/2006/relationships/hyperlink" Target="https://drive.google.com/file/d/1HAVr8uMvyL-jz1DQzOe-lZb9bWR1Typt/view?usp=drivesdk" TargetMode="External"/><Relationship Id="rId2103" Type="http://schemas.openxmlformats.org/officeDocument/2006/relationships/hyperlink" Target="https://drive.google.com/file/d/1Gc2N_8-eaSyLrgIloaew1BBe3hqlDnAB/view?usp=drivesdk" TargetMode="External"/><Relationship Id="rId899" Type="http://schemas.openxmlformats.org/officeDocument/2006/relationships/hyperlink" Target="https://drive.google.com/file/d/192u6FsPH0dfUlR5C4F3pu39u_VTTNdUA/view?usp=drivesdk" TargetMode="External"/><Relationship Id="rId898" Type="http://schemas.openxmlformats.org/officeDocument/2006/relationships/hyperlink" Target="https://drive.google.com/file/d/1-xDngnZCU1Q30JZaNakmMeial4_1JeC4/view?usp=drivesdk" TargetMode="External"/><Relationship Id="rId897" Type="http://schemas.openxmlformats.org/officeDocument/2006/relationships/hyperlink" Target="https://drive.google.com/file/d/1_4bsoNftxzrYgW0LoOb8o7nEpbEykoBX/view?usp=drivesdk" TargetMode="External"/><Relationship Id="rId896" Type="http://schemas.openxmlformats.org/officeDocument/2006/relationships/hyperlink" Target="https://drive.google.com/file/d/1gqsiRL3uWmF0FYynu5VpRmj0rQrNvKAW/view?usp=drivesdk" TargetMode="External"/><Relationship Id="rId891" Type="http://schemas.openxmlformats.org/officeDocument/2006/relationships/hyperlink" Target="https://drive.google.com/file/d/19SmX_tapJY3aFhmBJ2wCA9JR7-zTq3Im/view?usp=drivesdk" TargetMode="External"/><Relationship Id="rId890" Type="http://schemas.openxmlformats.org/officeDocument/2006/relationships/hyperlink" Target="https://drive.google.com/file/d/1O9M0CA6B7G5i7npjjN1LKo5jBTjt5NOW/view?usp=drivesdk" TargetMode="External"/><Relationship Id="rId895" Type="http://schemas.openxmlformats.org/officeDocument/2006/relationships/hyperlink" Target="https://drive.google.com/file/d/12Y4-F1R64ahc-IfJWR9onKydaREtjT5Z/view?usp=drivesdk" TargetMode="External"/><Relationship Id="rId894" Type="http://schemas.openxmlformats.org/officeDocument/2006/relationships/hyperlink" Target="https://drive.google.com/file/d/1S03bY4QGzb_LsniulJX2-t2kmpPxhMWP/view?usp=drivesdk" TargetMode="External"/><Relationship Id="rId893" Type="http://schemas.openxmlformats.org/officeDocument/2006/relationships/hyperlink" Target="https://drive.google.com/file/d/1LowDJBDZp2XUkp6htHz84wR3I5Aby3WN/view?usp=drivesdk" TargetMode="External"/><Relationship Id="rId892" Type="http://schemas.openxmlformats.org/officeDocument/2006/relationships/hyperlink" Target="https://drive.google.com/file/d/1HJMB1bI2CWhZOO3borrGfJOymzupaxok/view?usp=drivesdk" TargetMode="External"/><Relationship Id="rId2126" Type="http://schemas.openxmlformats.org/officeDocument/2006/relationships/hyperlink" Target="https://drive.google.com/file/d/11UhpC-nFM4e4lBiNdaX61xQ7VvtwiSSQ/view?usp=drivesdk" TargetMode="External"/><Relationship Id="rId2127" Type="http://schemas.openxmlformats.org/officeDocument/2006/relationships/hyperlink" Target="https://drive.google.com/file/d/1gvgQAw0L_boUFIZ7g1OyJ_YXdg0oIjT9/view?usp=drivesdk" TargetMode="External"/><Relationship Id="rId2128" Type="http://schemas.openxmlformats.org/officeDocument/2006/relationships/hyperlink" Target="https://drive.google.com/file/d/1h5FjSevWZxXJxf5EXpQpJT7U-6TRQAHa/view?usp=drivesdk" TargetMode="External"/><Relationship Id="rId2129" Type="http://schemas.openxmlformats.org/officeDocument/2006/relationships/hyperlink" Target="https://drive.google.com/file/d/19AZSvRMmh1uo8b-VvXsL7fsoYgsniYAB/view?usp=drivesdk" TargetMode="External"/><Relationship Id="rId2120" Type="http://schemas.openxmlformats.org/officeDocument/2006/relationships/hyperlink" Target="https://drive.google.com/file/d/1yHOlpM1uJaiU7kTahuRP2566vNJozaQa/view?usp=drivesdk" TargetMode="External"/><Relationship Id="rId2121" Type="http://schemas.openxmlformats.org/officeDocument/2006/relationships/hyperlink" Target="https://drive.google.com/file/d/1eAoT78SA2YIGRpfWvrSQimqyc0AkJJKp/view?usp=drivesdk" TargetMode="External"/><Relationship Id="rId2122" Type="http://schemas.openxmlformats.org/officeDocument/2006/relationships/hyperlink" Target="https://drive.google.com/file/d/14LdltvCLjeiJ1loRuAN1I1tFJo0oA8zn/view?usp=drivesdk" TargetMode="External"/><Relationship Id="rId2123" Type="http://schemas.openxmlformats.org/officeDocument/2006/relationships/hyperlink" Target="https://drive.google.com/file/d/110SCbBI08nzymwEael0DhIoVulYZE2rG/view?usp=drivesdk" TargetMode="External"/><Relationship Id="rId2124" Type="http://schemas.openxmlformats.org/officeDocument/2006/relationships/hyperlink" Target="https://drive.google.com/file/d/1_0TBT6K4UcfvPRMN8STy1FYQ5o0TnVlq/view?usp=drivesdk" TargetMode="External"/><Relationship Id="rId2125" Type="http://schemas.openxmlformats.org/officeDocument/2006/relationships/hyperlink" Target="https://drive.google.com/file/d/1s3pLJ7I8k4bMPKKfE33wyCz0Q2r7Cum9/view?usp=drivesdk" TargetMode="External"/><Relationship Id="rId2115" Type="http://schemas.openxmlformats.org/officeDocument/2006/relationships/hyperlink" Target="https://drive.google.com/file/d/1dNsIIm2ZOx3nM-UaBdacNLX3itmoein_/view?usp=drivesdk" TargetMode="External"/><Relationship Id="rId2116" Type="http://schemas.openxmlformats.org/officeDocument/2006/relationships/hyperlink" Target="https://drive.google.com/file/d/1FE3TeIulxqbrqdkc2jTdYSSANKvf2sUn/view?usp=drivesdk" TargetMode="External"/><Relationship Id="rId2117" Type="http://schemas.openxmlformats.org/officeDocument/2006/relationships/hyperlink" Target="https://drive.google.com/file/d/1z0rZD7X_coycSsuDGdLfw2SbmW-sJmVO/view?usp=drivesdk" TargetMode="External"/><Relationship Id="rId2118" Type="http://schemas.openxmlformats.org/officeDocument/2006/relationships/hyperlink" Target="https://drive.google.com/file/d/1jOoAQSfMt9sdMl9gpBJM84bvaX5uZuuu/view?usp=drivesdk" TargetMode="External"/><Relationship Id="rId2119" Type="http://schemas.openxmlformats.org/officeDocument/2006/relationships/hyperlink" Target="https://drive.google.com/file/d/1HdhPJu0881YgnR4xynBt04t3L4d2n_Lj/view?usp=drivesdk" TargetMode="External"/><Relationship Id="rId2110" Type="http://schemas.openxmlformats.org/officeDocument/2006/relationships/hyperlink" Target="https://drive.google.com/file/d/1orWmBXwTbbyUtTNT_8t7VtQBQEaYJnz5/view?usp=drivesdk" TargetMode="External"/><Relationship Id="rId2111" Type="http://schemas.openxmlformats.org/officeDocument/2006/relationships/hyperlink" Target="https://drive.google.com/file/d/1C6X_tBRsEk1ZuBm0JfJIShyFbqttZbk_/view?usp=drivesdk" TargetMode="External"/><Relationship Id="rId2112" Type="http://schemas.openxmlformats.org/officeDocument/2006/relationships/hyperlink" Target="https://drive.google.com/file/d/1JU2kq3G9WPJASDjMlbU9lJcCvzEOIVXp/view?usp=drivesdk" TargetMode="External"/><Relationship Id="rId2113" Type="http://schemas.openxmlformats.org/officeDocument/2006/relationships/hyperlink" Target="https://drive.google.com/file/d/1BFVFruV0jjAE8l2HmvLtol5pOiTpQWTn/view?usp=drivesdk" TargetMode="External"/><Relationship Id="rId2114" Type="http://schemas.openxmlformats.org/officeDocument/2006/relationships/hyperlink" Target="https://drive.google.com/file/d/1CsaWJpOD5obyDy6WvpA1BXNqU8U7Mu0U/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5"/>
    <col customWidth="1" min="2" max="2" width="24.5"/>
    <col customWidth="1" min="6" max="6" width="33.88"/>
    <col customWidth="1" min="7" max="7" width="25.88"/>
    <col customWidth="1" min="20" max="21" width="14.13"/>
    <col customWidth="1" min="22" max="22" width="27.75"/>
    <col customWidth="1" min="30" max="30" width="76.88"/>
    <col customWidth="1" min="31" max="31" width="10.13"/>
    <col customWidth="1" min="32" max="32" width="10.38"/>
    <col customWidth="1" min="33" max="33" width="25.13"/>
    <col customWidth="1" min="34" max="34" width="10.38"/>
    <col customWidth="1" min="35" max="35" width="10.88"/>
    <col customWidth="1" min="40" max="41" width="6.63"/>
    <col customWidth="1" min="42" max="42" width="19.25"/>
  </cols>
  <sheetData>
    <row r="1" ht="20.25" customHeight="1">
      <c r="A1" s="1"/>
      <c r="B1" s="1"/>
      <c r="C1" s="1"/>
      <c r="D1" s="1"/>
      <c r="E1" s="1"/>
      <c r="F1" s="2"/>
      <c r="G1" s="3" t="s">
        <v>0</v>
      </c>
      <c r="H1" s="1" t="s">
        <v>1</v>
      </c>
      <c r="I1" s="2" t="s">
        <v>2</v>
      </c>
      <c r="J1" s="2" t="s">
        <v>3</v>
      </c>
      <c r="K1" s="3" t="s">
        <v>4</v>
      </c>
      <c r="L1" s="4" t="s">
        <v>5</v>
      </c>
      <c r="M1" s="5" t="s">
        <v>6</v>
      </c>
      <c r="N1" s="5" t="s">
        <v>7</v>
      </c>
      <c r="O1" s="5" t="s">
        <v>8</v>
      </c>
      <c r="P1" s="6"/>
      <c r="Q1" s="6"/>
      <c r="R1" s="7" t="s">
        <v>9</v>
      </c>
      <c r="S1" s="8" t="s">
        <v>10</v>
      </c>
      <c r="T1" s="5" t="s">
        <v>11</v>
      </c>
      <c r="U1" s="5" t="s">
        <v>12</v>
      </c>
      <c r="V1" s="2"/>
      <c r="W1" s="2"/>
      <c r="X1" s="2"/>
      <c r="Y1" s="3" t="s">
        <v>13</v>
      </c>
      <c r="Z1" s="3" t="s">
        <v>14</v>
      </c>
      <c r="AA1" s="3" t="s">
        <v>15</v>
      </c>
      <c r="AB1" s="9" t="s">
        <v>16</v>
      </c>
      <c r="AC1" s="4" t="s">
        <v>17</v>
      </c>
      <c r="AD1" s="10" t="s">
        <v>18</v>
      </c>
      <c r="AE1" s="10" t="s">
        <v>19</v>
      </c>
      <c r="AF1" s="4" t="s">
        <v>20</v>
      </c>
      <c r="AG1" s="4" t="s">
        <v>21</v>
      </c>
      <c r="AH1" s="4" t="s">
        <v>22</v>
      </c>
      <c r="AI1" s="10"/>
      <c r="AJ1" s="10" t="s">
        <v>23</v>
      </c>
      <c r="AK1" s="10" t="s">
        <v>24</v>
      </c>
      <c r="AL1" s="10" t="s">
        <v>25</v>
      </c>
      <c r="AM1" s="10"/>
      <c r="AN1" s="10"/>
      <c r="AO1" s="4" t="s">
        <v>26</v>
      </c>
      <c r="AP1" s="4" t="s">
        <v>27</v>
      </c>
      <c r="AQ1" s="4" t="s">
        <v>28</v>
      </c>
      <c r="AS1" s="10" t="s">
        <v>29</v>
      </c>
      <c r="AT1" s="10" t="s">
        <v>30</v>
      </c>
      <c r="AU1" s="10" t="s">
        <v>31</v>
      </c>
      <c r="AV1" s="10"/>
      <c r="AW1" s="1"/>
      <c r="AX1" s="1"/>
      <c r="AY1" s="1"/>
      <c r="AZ1" s="1"/>
      <c r="BA1" s="1"/>
      <c r="BB1" s="1"/>
      <c r="BC1" s="1"/>
      <c r="BD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row>
    <row r="2" ht="20.25" customHeight="1">
      <c r="A2" s="11" t="s">
        <v>32</v>
      </c>
      <c r="B2" s="12" t="s">
        <v>33</v>
      </c>
      <c r="C2" s="12" t="s">
        <v>34</v>
      </c>
      <c r="D2" s="13" t="s">
        <v>35</v>
      </c>
      <c r="E2" s="12" t="s">
        <v>36</v>
      </c>
      <c r="F2" s="14" t="s">
        <v>37</v>
      </c>
      <c r="G2" s="15" t="s">
        <v>0</v>
      </c>
      <c r="H2" s="16" t="s">
        <v>1</v>
      </c>
      <c r="I2" s="16" t="s">
        <v>2</v>
      </c>
      <c r="J2" s="16" t="s">
        <v>3</v>
      </c>
      <c r="K2" s="16" t="s">
        <v>4</v>
      </c>
      <c r="L2" s="17" t="s">
        <v>5</v>
      </c>
      <c r="M2" s="18" t="s">
        <v>38</v>
      </c>
      <c r="N2" s="18" t="s">
        <v>39</v>
      </c>
      <c r="O2" s="18" t="s">
        <v>40</v>
      </c>
      <c r="P2" s="18" t="s">
        <v>41</v>
      </c>
      <c r="Q2" s="19" t="s">
        <v>42</v>
      </c>
      <c r="R2" s="20" t="s">
        <v>43</v>
      </c>
      <c r="S2" s="20" t="s">
        <v>44</v>
      </c>
      <c r="T2" s="20" t="s">
        <v>45</v>
      </c>
      <c r="U2" s="20" t="s">
        <v>46</v>
      </c>
      <c r="V2" s="20" t="s">
        <v>47</v>
      </c>
      <c r="W2" s="20" t="s">
        <v>48</v>
      </c>
      <c r="X2" s="20" t="s">
        <v>49</v>
      </c>
      <c r="Y2" s="16" t="s">
        <v>13</v>
      </c>
      <c r="Z2" s="21" t="s">
        <v>14</v>
      </c>
      <c r="AA2" s="21" t="s">
        <v>15</v>
      </c>
      <c r="AB2" s="22" t="s">
        <v>16</v>
      </c>
      <c r="AC2" s="22" t="s">
        <v>17</v>
      </c>
      <c r="AD2" s="18" t="s">
        <v>50</v>
      </c>
      <c r="AE2" s="18" t="s">
        <v>51</v>
      </c>
      <c r="AF2" s="18" t="s">
        <v>52</v>
      </c>
      <c r="AG2" s="18" t="s">
        <v>53</v>
      </c>
      <c r="AH2" s="23" t="s">
        <v>54</v>
      </c>
      <c r="AI2" s="23" t="s">
        <v>55</v>
      </c>
      <c r="AJ2" s="23" t="s">
        <v>23</v>
      </c>
      <c r="AK2" s="23" t="s">
        <v>24</v>
      </c>
      <c r="AL2" s="23" t="s">
        <v>25</v>
      </c>
      <c r="AM2" s="23" t="s">
        <v>56</v>
      </c>
      <c r="AN2" s="23" t="s">
        <v>57</v>
      </c>
      <c r="AO2" s="20" t="s">
        <v>58</v>
      </c>
      <c r="AP2" s="20" t="s">
        <v>59</v>
      </c>
      <c r="AQ2" s="20" t="s">
        <v>60</v>
      </c>
      <c r="AR2" s="20" t="s">
        <v>61</v>
      </c>
      <c r="AS2" s="20" t="s">
        <v>29</v>
      </c>
      <c r="AT2" s="20" t="s">
        <v>30</v>
      </c>
      <c r="AU2" s="24" t="s">
        <v>31</v>
      </c>
      <c r="AV2" s="24" t="s">
        <v>62</v>
      </c>
      <c r="AW2" s="24" t="s">
        <v>63</v>
      </c>
      <c r="AX2" s="25" t="s">
        <v>64</v>
      </c>
      <c r="AY2" s="26" t="s">
        <v>65</v>
      </c>
      <c r="AZ2" s="26" t="s">
        <v>66</v>
      </c>
      <c r="BA2" s="26" t="s">
        <v>67</v>
      </c>
      <c r="BB2" s="27" t="s">
        <v>68</v>
      </c>
      <c r="BC2" s="5" t="s">
        <v>69</v>
      </c>
      <c r="BD2" s="2" t="s">
        <v>70</v>
      </c>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row>
    <row r="3" ht="78.75" customHeight="1">
      <c r="A3" s="28" t="s">
        <v>71</v>
      </c>
      <c r="B3" s="29" t="s">
        <v>72</v>
      </c>
      <c r="C3" s="30"/>
      <c r="D3" s="30"/>
      <c r="E3" s="30"/>
      <c r="F3" s="31" t="s">
        <v>73</v>
      </c>
      <c r="G3" s="32" t="s">
        <v>74</v>
      </c>
      <c r="H3" s="33" t="s">
        <v>75</v>
      </c>
      <c r="I3" s="33" t="s">
        <v>76</v>
      </c>
      <c r="J3" s="33" t="s">
        <v>76</v>
      </c>
      <c r="K3" s="33" t="s">
        <v>77</v>
      </c>
      <c r="L3" s="33" t="s">
        <v>78</v>
      </c>
      <c r="M3" s="34" t="s">
        <v>79</v>
      </c>
      <c r="N3" s="34" t="s">
        <v>80</v>
      </c>
      <c r="O3" s="34" t="s">
        <v>81</v>
      </c>
      <c r="P3" s="34" t="s">
        <v>82</v>
      </c>
      <c r="Q3" s="34"/>
      <c r="R3" s="35" t="s">
        <v>79</v>
      </c>
      <c r="S3" s="35" t="s">
        <v>80</v>
      </c>
      <c r="T3" s="35" t="s">
        <v>83</v>
      </c>
      <c r="U3" s="35" t="s">
        <v>81</v>
      </c>
      <c r="V3" s="35" t="s">
        <v>84</v>
      </c>
      <c r="W3" s="35" t="s">
        <v>85</v>
      </c>
      <c r="X3" s="35"/>
      <c r="Y3" s="33" t="s">
        <v>86</v>
      </c>
      <c r="Z3" s="36" t="s">
        <v>87</v>
      </c>
      <c r="AA3" s="36" t="s">
        <v>88</v>
      </c>
      <c r="AB3" s="36" t="s">
        <v>89</v>
      </c>
      <c r="AC3" s="36" t="s">
        <v>90</v>
      </c>
      <c r="AD3" s="34" t="s">
        <v>91</v>
      </c>
      <c r="AE3" s="34" t="s">
        <v>92</v>
      </c>
      <c r="AF3" s="34" t="s">
        <v>93</v>
      </c>
      <c r="AG3" s="34" t="s">
        <v>94</v>
      </c>
      <c r="AH3" s="37" t="s">
        <v>95</v>
      </c>
      <c r="AI3" s="37" t="s">
        <v>96</v>
      </c>
      <c r="AJ3" s="37" t="s">
        <v>97</v>
      </c>
      <c r="AK3" s="37" t="s">
        <v>98</v>
      </c>
      <c r="AL3" s="37" t="s">
        <v>99</v>
      </c>
      <c r="AM3" s="37" t="s">
        <v>100</v>
      </c>
      <c r="AN3" s="37" t="s">
        <v>101</v>
      </c>
      <c r="AO3" s="35" t="s">
        <v>102</v>
      </c>
      <c r="AP3" s="35" t="s">
        <v>103</v>
      </c>
      <c r="AQ3" s="35" t="s">
        <v>104</v>
      </c>
      <c r="AR3" s="35" t="s">
        <v>105</v>
      </c>
      <c r="AS3" s="35" t="s">
        <v>106</v>
      </c>
      <c r="AT3" s="35" t="s">
        <v>98</v>
      </c>
      <c r="AU3" s="38" t="s">
        <v>107</v>
      </c>
      <c r="AV3" s="38" t="s">
        <v>100</v>
      </c>
      <c r="AW3" s="38" t="s">
        <v>108</v>
      </c>
      <c r="AX3" s="39" t="s">
        <v>109</v>
      </c>
      <c r="AY3" s="40" t="s">
        <v>110</v>
      </c>
      <c r="AZ3" s="40" t="s">
        <v>111</v>
      </c>
      <c r="BA3" s="40" t="s">
        <v>112</v>
      </c>
      <c r="BB3" s="41"/>
      <c r="BC3" s="41"/>
      <c r="BD3" s="42" t="s">
        <v>113</v>
      </c>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row>
    <row r="4" ht="20.25" customHeight="1">
      <c r="A4" s="44">
        <v>4.0</v>
      </c>
      <c r="B4" s="45" t="s">
        <v>114</v>
      </c>
      <c r="C4" s="45" t="s">
        <v>115</v>
      </c>
      <c r="F4" s="46" t="s">
        <v>116</v>
      </c>
      <c r="G4" s="47" t="s">
        <v>117</v>
      </c>
      <c r="H4" s="47" t="s">
        <v>118</v>
      </c>
      <c r="I4" s="47" t="s">
        <v>119</v>
      </c>
      <c r="J4" s="48">
        <v>45641.0</v>
      </c>
      <c r="K4" s="49" t="s">
        <v>120</v>
      </c>
      <c r="L4" s="49"/>
      <c r="M4" s="47" t="s">
        <v>121</v>
      </c>
      <c r="N4" s="47" t="s">
        <v>122</v>
      </c>
      <c r="O4" s="50">
        <v>1.0</v>
      </c>
      <c r="P4" s="51" t="s">
        <v>123</v>
      </c>
      <c r="Q4" s="52" t="str">
        <f t="array" ref="Q4"> if(iserror(MATCH(V4, 'File Links'!C:C, 0)), "N/A", HYPERLINK(INDEX('File Links'!B:B, MATCH(P4, 'File Links'!C:C, 0))))</f>
        <v>https://drive.google.com/file/d/1HsW-lUSPFaIpISHQ1bNk6CKMtH3z9rau/view?usp=drivesdk</v>
      </c>
      <c r="R4" s="47" t="s">
        <v>124</v>
      </c>
      <c r="S4" s="47" t="s">
        <v>125</v>
      </c>
      <c r="T4" s="49"/>
      <c r="U4" s="53">
        <v>1.0</v>
      </c>
      <c r="V4" s="47" t="s">
        <v>126</v>
      </c>
      <c r="W4" s="49" t="s">
        <v>127</v>
      </c>
      <c r="X4" s="54" t="str">
        <f t="array" ref="X4"> if(iserror(MATCH(V4, 'File Links'!C:C, 0)), "N/A", HYPERLINK(INDEX('File Links'!B:B, MATCH(V4, 'File Links'!C:C, 0))))</f>
        <v>https://drive.google.com/file/d/15dLELTosbF1NWFYI0UOSPLIC70dnGG5S/view?usp=drivesdk</v>
      </c>
      <c r="Y4" s="49"/>
      <c r="Z4" s="49" t="s">
        <v>128</v>
      </c>
      <c r="AA4" s="49"/>
      <c r="AB4" s="49" t="s">
        <v>129</v>
      </c>
      <c r="AC4" s="49" t="s">
        <v>130</v>
      </c>
      <c r="AD4" s="49" t="s">
        <v>131</v>
      </c>
      <c r="AE4" s="49" t="s">
        <v>132</v>
      </c>
      <c r="AF4" s="50">
        <v>12.0</v>
      </c>
      <c r="AG4" s="55" t="s">
        <v>133</v>
      </c>
      <c r="AH4" s="56" t="s">
        <v>134</v>
      </c>
      <c r="AI4" s="49" t="s">
        <v>132</v>
      </c>
      <c r="AJ4" s="50">
        <v>0.01</v>
      </c>
      <c r="AK4" s="57" t="s">
        <v>135</v>
      </c>
      <c r="AL4" s="49" t="s">
        <v>136</v>
      </c>
      <c r="AM4" s="49" t="s">
        <v>137</v>
      </c>
      <c r="AN4" s="58" t="s">
        <v>138</v>
      </c>
      <c r="AO4" s="50">
        <v>39.0</v>
      </c>
      <c r="AP4" s="50">
        <v>0.226</v>
      </c>
      <c r="AQ4" s="49" t="s">
        <v>139</v>
      </c>
      <c r="AR4" s="49" t="s">
        <v>140</v>
      </c>
      <c r="AS4" s="50">
        <v>0.02</v>
      </c>
      <c r="AT4" s="46" t="s">
        <v>135</v>
      </c>
      <c r="AU4" s="46" t="s">
        <v>136</v>
      </c>
      <c r="AV4" s="46" t="s">
        <v>141</v>
      </c>
      <c r="AW4" s="59" t="s">
        <v>142</v>
      </c>
      <c r="AX4" s="60" t="s">
        <v>143</v>
      </c>
      <c r="AY4" s="61" t="str">
        <f>IFERROR(__xludf.DUMMYFUNCTION("vlookup(BB4,importrange(""https://docs.google.com/spreadsheets/d/1d2vevQ_7D_v35q4wCQ4RpQ_IPoTwEMB9Yp6ymwlPqew/edit?gid=984458430#gid=984458430"", ""'replication success'!A:K""), 11, FAlSE)"),"#N/A")</f>
        <v>#N/A</v>
      </c>
      <c r="AZ4" s="61" t="str">
        <f>IFERROR(__xludf.DUMMYFUNCTION("vlookup(BB4,importrange(""https://docs.google.com/spreadsheets/d/1d2vevQ_7D_v35q4wCQ4RpQ_IPoTwEMB9Yp6ymwlPqew/edit?gid=984458430#gid=984458430"", ""'replication success'!A:M""), 12, FAlSE)"),"#N/A")</f>
        <v>#N/A</v>
      </c>
      <c r="BA4" s="61" t="str">
        <f>IFERROR(__xludf.DUMMYFUNCTION("vlookup(BB4,importrange(""https://docs.google.com/spreadsheets/d/1d2vevQ_7D_v35q4wCQ4RpQ_IPoTwEMB9Yp6ymwlPqew/edit?gid=984458430#gid=984458430"", ""'replication success'!A:M""), 13, FAlSE)"),"#N/A")</f>
        <v>#N/A</v>
      </c>
      <c r="BB4" s="61" t="str">
        <f>IFERROR(__xludf.DUMMYFUNCTION("REGEXREPLACE(G4, ""_[a-z]{1,2}$"", """")"),"2zgf9")</f>
        <v>2zgf9</v>
      </c>
      <c r="BC4" s="61"/>
      <c r="BD4" s="62" t="s">
        <v>144</v>
      </c>
    </row>
    <row r="5" ht="20.25" customHeight="1">
      <c r="A5" s="44">
        <v>5.0</v>
      </c>
      <c r="B5" s="62" t="s">
        <v>114</v>
      </c>
      <c r="C5" s="62" t="s">
        <v>115</v>
      </c>
      <c r="D5" s="62" t="s">
        <v>145</v>
      </c>
      <c r="F5" s="62" t="s">
        <v>116</v>
      </c>
      <c r="G5" s="45" t="s">
        <v>117</v>
      </c>
      <c r="H5" s="45" t="s">
        <v>146</v>
      </c>
      <c r="I5" s="63">
        <v>45108.0</v>
      </c>
      <c r="J5" s="64">
        <v>45644.0</v>
      </c>
      <c r="K5" s="65"/>
      <c r="L5" s="65"/>
      <c r="M5" s="45" t="s">
        <v>121</v>
      </c>
      <c r="N5" s="45" t="s">
        <v>122</v>
      </c>
      <c r="O5" s="45">
        <v>1.0</v>
      </c>
      <c r="P5" s="66" t="s">
        <v>123</v>
      </c>
      <c r="Q5" s="52" t="str">
        <f t="array" ref="Q5"> if(iserror(MATCH(V5, 'File Links'!C:C, 0)), "N/A", HYPERLINK(INDEX('File Links'!B:B, MATCH(P5, 'File Links'!C:C, 0))))</f>
        <v>https://drive.google.com/file/d/1HsW-lUSPFaIpISHQ1bNk6CKMtH3z9rau/view?usp=drivesdk</v>
      </c>
      <c r="R5" s="45" t="s">
        <v>124</v>
      </c>
      <c r="S5" s="45" t="s">
        <v>125</v>
      </c>
      <c r="T5" s="65"/>
      <c r="U5" s="66"/>
      <c r="V5" s="45" t="s">
        <v>126</v>
      </c>
      <c r="W5" s="65"/>
      <c r="X5" s="54" t="str">
        <f t="array" ref="X5"> if(iserror(MATCH(V5, 'File Links'!C:C, 0)), "N/A", HYPERLINK(INDEX('File Links'!B:B, MATCH(V5, 'File Links'!C:C, 0))))</f>
        <v>https://drive.google.com/file/d/15dLELTosbF1NWFYI0UOSPLIC70dnGG5S/view?usp=drivesdk</v>
      </c>
      <c r="Y5" s="45" t="s">
        <v>147</v>
      </c>
      <c r="Z5" s="45" t="s">
        <v>148</v>
      </c>
      <c r="AA5" s="65"/>
      <c r="AB5" s="45" t="s">
        <v>149</v>
      </c>
      <c r="AC5" s="65"/>
      <c r="AD5" s="65"/>
      <c r="AE5" s="65"/>
      <c r="AF5" s="45">
        <v>12.0</v>
      </c>
      <c r="AG5" s="65"/>
      <c r="AH5" s="56"/>
      <c r="AI5" s="65"/>
      <c r="AJ5" s="65"/>
      <c r="AK5" s="67"/>
      <c r="AL5" s="65"/>
      <c r="AM5" s="65"/>
      <c r="AN5" s="58" t="s">
        <v>138</v>
      </c>
      <c r="AO5" s="65"/>
      <c r="AP5" s="45">
        <v>0.313</v>
      </c>
      <c r="AQ5" s="65"/>
      <c r="AR5" s="65"/>
      <c r="AS5" s="45" t="s">
        <v>150</v>
      </c>
      <c r="AT5" s="67"/>
      <c r="AU5" s="67"/>
      <c r="AV5" s="68"/>
      <c r="AX5" s="62" t="s">
        <v>151</v>
      </c>
      <c r="AY5" s="61" t="str">
        <f>IFERROR(__xludf.DUMMYFUNCTION("vlookup(BB5,importrange(""https://docs.google.com/spreadsheets/d/1d2vevQ_7D_v35q4wCQ4RpQ_IPoTwEMB9Yp6ymwlPqew/edit?gid=984458430#gid=984458430"", ""'replication success'!A:K""), 11, FAlSE)"),"#N/A")</f>
        <v>#N/A</v>
      </c>
      <c r="AZ5" s="61" t="str">
        <f>IFERROR(__xludf.DUMMYFUNCTION("vlookup(BB5,importrange(""https://docs.google.com/spreadsheets/d/1d2vevQ_7D_v35q4wCQ4RpQ_IPoTwEMB9Yp6ymwlPqew/edit?gid=984458430#gid=984458430"", ""'replication success'!A:M""), 12, FAlSE)"),"#N/A")</f>
        <v>#N/A</v>
      </c>
      <c r="BA5" s="61" t="str">
        <f>IFERROR(__xludf.DUMMYFUNCTION("vlookup(BB5,importrange(""https://docs.google.com/spreadsheets/d/1d2vevQ_7D_v35q4wCQ4RpQ_IPoTwEMB9Yp6ymwlPqew/edit?gid=984458430#gid=984458430"", ""'replication success'!A:M""), 13, FAlSE)"),"#N/A")</f>
        <v>#N/A</v>
      </c>
      <c r="BB5" s="61" t="str">
        <f>IFERROR(__xludf.DUMMYFUNCTION("REGEXREPLACE(G5, ""_[a-z]{1,2}$"", """")"),"2zgf9")</f>
        <v>2zgf9</v>
      </c>
      <c r="BC5" s="65"/>
      <c r="BD5" s="69" t="s">
        <v>144</v>
      </c>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1"/>
      <c r="DE5" s="71"/>
      <c r="DF5" s="71"/>
      <c r="DG5" s="71"/>
      <c r="DH5" s="71"/>
      <c r="DI5" s="71"/>
      <c r="DJ5" s="71"/>
      <c r="DK5" s="71"/>
      <c r="DL5" s="71"/>
    </row>
    <row r="6" ht="20.25" customHeight="1">
      <c r="A6" s="44">
        <v>6.0</v>
      </c>
      <c r="B6" s="72" t="s">
        <v>152</v>
      </c>
      <c r="C6" s="72" t="s">
        <v>115</v>
      </c>
      <c r="D6" s="72" t="s">
        <v>153</v>
      </c>
      <c r="E6" s="73"/>
      <c r="F6" s="74" t="s">
        <v>154</v>
      </c>
      <c r="G6" s="75" t="s">
        <v>155</v>
      </c>
      <c r="H6" s="76" t="s">
        <v>153</v>
      </c>
      <c r="I6" s="77">
        <v>45638.0</v>
      </c>
      <c r="J6" s="78">
        <v>45680.0</v>
      </c>
      <c r="K6" s="75" t="s">
        <v>156</v>
      </c>
      <c r="L6" s="79" t="s">
        <v>157</v>
      </c>
      <c r="M6" s="75" t="s">
        <v>158</v>
      </c>
      <c r="N6" s="75" t="s">
        <v>159</v>
      </c>
      <c r="O6" s="80">
        <v>1.0</v>
      </c>
      <c r="P6" s="81" t="s">
        <v>160</v>
      </c>
      <c r="Q6" s="52" t="str">
        <f t="array" ref="Q6"> if(iserror(MATCH(V6, 'File Links'!C:C, 0)), "N/A", HYPERLINK(INDEX('File Links'!B:B, MATCH(P6, 'File Links'!C:C, 0))))</f>
        <v>https://drive.google.com/file/d/1O4mjB0-ZSujMTJYtaAoIsXTPuhxgEF-0/view?usp=drivesdk</v>
      </c>
      <c r="R6" s="75" t="s">
        <v>161</v>
      </c>
      <c r="S6" s="62" t="s">
        <v>162</v>
      </c>
      <c r="T6" s="82"/>
      <c r="U6" s="83">
        <v>1.0</v>
      </c>
      <c r="V6" s="62" t="s">
        <v>163</v>
      </c>
      <c r="W6" s="75" t="s">
        <v>164</v>
      </c>
      <c r="X6" s="54" t="str">
        <f t="array" ref="X6"> if(iserror(MATCH(V6, 'File Links'!C:C, 0)), "N/A", HYPERLINK(INDEX('File Links'!B:B, MATCH(V6, 'File Links'!C:C, 0))))</f>
        <v>https://drive.google.com/file/d/1Oux4UBwSd26986fxRHjyI5XNtU-07DOs/view?usp=drivesdk</v>
      </c>
      <c r="Y6" s="82"/>
      <c r="Z6" s="75" t="s">
        <v>165</v>
      </c>
      <c r="AA6" s="75" t="s">
        <v>166</v>
      </c>
      <c r="AB6" s="75" t="s">
        <v>167</v>
      </c>
      <c r="AC6" s="75" t="s">
        <v>168</v>
      </c>
      <c r="AD6" s="75" t="s">
        <v>169</v>
      </c>
      <c r="AE6" s="84">
        <v>16.0</v>
      </c>
      <c r="AF6" s="84">
        <v>100.0</v>
      </c>
      <c r="AG6" s="75" t="s">
        <v>170</v>
      </c>
      <c r="AH6" s="81" t="s">
        <v>134</v>
      </c>
      <c r="AI6" s="75" t="s">
        <v>171</v>
      </c>
      <c r="AJ6" s="84">
        <v>0.001</v>
      </c>
      <c r="AK6" s="85" t="s">
        <v>172</v>
      </c>
      <c r="AL6" s="75" t="s">
        <v>136</v>
      </c>
      <c r="AM6" s="86" t="s">
        <v>137</v>
      </c>
      <c r="AN6" s="58" t="s">
        <v>138</v>
      </c>
      <c r="AO6" s="87">
        <v>137.0</v>
      </c>
      <c r="AP6" s="84">
        <v>0.584</v>
      </c>
      <c r="AQ6" s="75" t="s">
        <v>173</v>
      </c>
      <c r="AR6" s="88" t="s">
        <v>174</v>
      </c>
      <c r="AS6" s="84">
        <v>0.001</v>
      </c>
      <c r="AT6" s="85" t="s">
        <v>135</v>
      </c>
      <c r="AU6" s="85" t="s">
        <v>136</v>
      </c>
      <c r="AV6" s="74" t="s">
        <v>137</v>
      </c>
      <c r="AW6" s="89" t="s">
        <v>175</v>
      </c>
      <c r="AX6" s="90" t="s">
        <v>143</v>
      </c>
      <c r="AY6" s="61" t="str">
        <f>IFERROR(__xludf.DUMMYFUNCTION("vlookup(BB6,importrange(""https://docs.google.com/spreadsheets/d/1d2vevQ_7D_v35q4wCQ4RpQ_IPoTwEMB9Yp6ymwlPqew/edit?gid=984458430#gid=984458430"", ""'replication success'!A:K""), 11, FAlSE)"),"successful")</f>
        <v>successful</v>
      </c>
      <c r="AZ6" s="61" t="str">
        <f>IFERROR(__xludf.DUMMYFUNCTION("vlookup(BB6,importrange(""https://docs.google.com/spreadsheets/d/1d2vevQ_7D_v35q4wCQ4RpQ_IPoTwEMB9Yp6ymwlPqew/edit?gid=984458430#gid=984458430"", ""'replication success'!A:M""), 12, FAlSE)"),"Success assessment:(Did you succeed in replicating the original result? If applicable, does the original teamagree with you?)Yes on both counts.")</f>
        <v>Success assessment:(Did you succeed in replicating the original result? If applicable, does the original teamagree with you?)Yes on both counts.</v>
      </c>
      <c r="BA6" s="91" t="str">
        <f>IFERROR(__xludf.DUMMYFUNCTION("vlookup(BB6,importrange(""https://docs.google.com/spreadsheets/d/1d2vevQ_7D_v35q4wCQ4RpQ_IPoTwEMB9Yp6ymwlPqew/edit?gid=984458430#gid=984458430"", ""'replication success'!A:M""), 13, FAlSE)"),"pg.3 in https://osf.io/k2cna")</f>
        <v>pg.3 in https://osf.io/k2cna</v>
      </c>
      <c r="BB6" s="61" t="str">
        <f>IFERROR(__xludf.DUMMYFUNCTION("REGEXREPLACE(G6, ""_[a-z]{1,2}$"", """")"),"39xuw")</f>
        <v>39xuw</v>
      </c>
      <c r="BC6" s="82"/>
      <c r="BD6" s="69" t="s">
        <v>144</v>
      </c>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row>
    <row r="7" ht="20.25" customHeight="1">
      <c r="A7" s="44">
        <v>7.0</v>
      </c>
      <c r="B7" s="93" t="s">
        <v>114</v>
      </c>
      <c r="C7" s="93" t="s">
        <v>115</v>
      </c>
      <c r="D7" s="93" t="s">
        <v>176</v>
      </c>
      <c r="E7" s="92"/>
      <c r="F7" s="94" t="s">
        <v>154</v>
      </c>
      <c r="G7" s="76" t="s">
        <v>155</v>
      </c>
      <c r="H7" s="95" t="s">
        <v>176</v>
      </c>
      <c r="I7" s="96">
        <v>45641.0</v>
      </c>
      <c r="J7" s="78">
        <v>45680.0</v>
      </c>
      <c r="K7" s="95" t="s">
        <v>177</v>
      </c>
      <c r="L7" s="94"/>
      <c r="M7" s="95" t="s">
        <v>158</v>
      </c>
      <c r="N7" s="95" t="s">
        <v>159</v>
      </c>
      <c r="O7" s="94"/>
      <c r="P7" s="95" t="s">
        <v>160</v>
      </c>
      <c r="Q7" s="52" t="str">
        <f t="array" ref="Q7"> if(iserror(MATCH(V7, 'File Links'!C:C, 0)), "N/A", HYPERLINK(INDEX('File Links'!B:B, MATCH(P7, 'File Links'!C:C, 0))))</f>
        <v>https://drive.google.com/file/d/1O4mjB0-ZSujMTJYtaAoIsXTPuhxgEF-0/view?usp=drivesdk</v>
      </c>
      <c r="R7" s="95" t="s">
        <v>161</v>
      </c>
      <c r="S7" s="97" t="s">
        <v>162</v>
      </c>
      <c r="T7" s="94"/>
      <c r="U7" s="94"/>
      <c r="V7" s="62" t="s">
        <v>163</v>
      </c>
      <c r="W7" s="95" t="s">
        <v>164</v>
      </c>
      <c r="X7" s="54" t="str">
        <f t="array" ref="X7"> if(iserror(MATCH(V7, 'File Links'!C:C, 0)), "N/A", HYPERLINK(INDEX('File Links'!B:B, MATCH(V7, 'File Links'!C:C, 0))))</f>
        <v>https://drive.google.com/file/d/1Oux4UBwSd26986fxRHjyI5XNtU-07DOs/view?usp=drivesdk</v>
      </c>
      <c r="Y7" s="94"/>
      <c r="Z7" s="95" t="s">
        <v>165</v>
      </c>
      <c r="AA7" s="95" t="s">
        <v>178</v>
      </c>
      <c r="AB7" s="95" t="s">
        <v>179</v>
      </c>
      <c r="AC7" s="95" t="s">
        <v>180</v>
      </c>
      <c r="AD7" s="95" t="s">
        <v>181</v>
      </c>
      <c r="AE7" s="95" t="s">
        <v>182</v>
      </c>
      <c r="AF7" s="98">
        <v>100.0</v>
      </c>
      <c r="AG7" s="95" t="s">
        <v>183</v>
      </c>
      <c r="AH7" s="99" t="s">
        <v>134</v>
      </c>
      <c r="AI7" s="76" t="s">
        <v>184</v>
      </c>
      <c r="AJ7" s="76" t="s">
        <v>185</v>
      </c>
      <c r="AK7" s="95" t="s">
        <v>172</v>
      </c>
      <c r="AL7" s="76" t="s">
        <v>186</v>
      </c>
      <c r="AM7" s="94" t="s">
        <v>137</v>
      </c>
      <c r="AN7" s="58" t="s">
        <v>138</v>
      </c>
      <c r="AO7" s="100">
        <v>137.0</v>
      </c>
      <c r="AP7" s="95" t="s">
        <v>187</v>
      </c>
      <c r="AQ7" s="101" t="s">
        <v>173</v>
      </c>
      <c r="AR7" s="95" t="s">
        <v>188</v>
      </c>
      <c r="AS7" s="94"/>
      <c r="AT7" s="94"/>
      <c r="AU7" s="94"/>
      <c r="AV7" s="94"/>
      <c r="AW7" s="102" t="s">
        <v>175</v>
      </c>
      <c r="AX7" s="103" t="s">
        <v>143</v>
      </c>
      <c r="AY7" s="61" t="str">
        <f>IFERROR(__xludf.DUMMYFUNCTION("vlookup(BB7,importrange(""https://docs.google.com/spreadsheets/d/1d2vevQ_7D_v35q4wCQ4RpQ_IPoTwEMB9Yp6ymwlPqew/edit?gid=984458430#gid=984458430"", ""'replication success'!A:K""), 11, FAlSE)"),"successful")</f>
        <v>successful</v>
      </c>
      <c r="AZ7" s="61" t="str">
        <f>IFERROR(__xludf.DUMMYFUNCTION("vlookup(BB7,importrange(""https://docs.google.com/spreadsheets/d/1d2vevQ_7D_v35q4wCQ4RpQ_IPoTwEMB9Yp6ymwlPqew/edit?gid=984458430#gid=984458430"", ""'replication success'!A:M""), 12, FAlSE)"),"Success assessment:(Did you succeed in replicating the original result? If applicable, does the original teamagree with you?)Yes on both counts.")</f>
        <v>Success assessment:(Did you succeed in replicating the original result? If applicable, does the original teamagree with you?)Yes on both counts.</v>
      </c>
      <c r="BA7" s="91" t="str">
        <f>IFERROR(__xludf.DUMMYFUNCTION("vlookup(BB7,importrange(""https://docs.google.com/spreadsheets/d/1d2vevQ_7D_v35q4wCQ4RpQ_IPoTwEMB9Yp6ymwlPqew/edit?gid=984458430#gid=984458430"", ""'replication success'!A:M""), 13, FAlSE)"),"pg.3 in https://osf.io/k2cna")</f>
        <v>pg.3 in https://osf.io/k2cna</v>
      </c>
      <c r="BB7" s="61" t="str">
        <f>IFERROR(__xludf.DUMMYFUNCTION("REGEXREPLACE(G7, ""_[a-z]{1,2}$"", """")"),"39xuw")</f>
        <v>39xuw</v>
      </c>
      <c r="BC7" s="94"/>
      <c r="BD7" s="69" t="s">
        <v>144</v>
      </c>
      <c r="BF7" s="92"/>
      <c r="BG7" s="92"/>
      <c r="BH7" s="92"/>
      <c r="BI7" s="92"/>
      <c r="BJ7" s="92"/>
      <c r="BK7" s="92"/>
      <c r="BL7" s="92"/>
      <c r="BM7" s="92"/>
      <c r="BN7" s="92"/>
      <c r="BO7" s="92"/>
      <c r="BP7" s="92"/>
      <c r="BQ7" s="92"/>
      <c r="BR7" s="92"/>
      <c r="BS7" s="92"/>
      <c r="BT7" s="92"/>
      <c r="BU7" s="92"/>
      <c r="BV7" s="92"/>
      <c r="BW7" s="92"/>
      <c r="BX7" s="92"/>
      <c r="BY7" s="92"/>
      <c r="BZ7" s="92"/>
      <c r="CA7" s="92"/>
      <c r="CB7" s="92"/>
      <c r="CC7" s="92"/>
      <c r="CD7" s="92"/>
      <c r="CE7" s="92"/>
      <c r="CF7" s="92"/>
      <c r="CG7" s="92"/>
      <c r="CH7" s="92"/>
      <c r="CI7" s="92"/>
      <c r="CJ7" s="92"/>
      <c r="CK7" s="92"/>
      <c r="CL7" s="92"/>
      <c r="CM7" s="92"/>
      <c r="CN7" s="92"/>
      <c r="CO7" s="92"/>
      <c r="CP7" s="92"/>
      <c r="CQ7" s="92"/>
      <c r="CR7" s="92"/>
      <c r="CS7" s="92"/>
      <c r="CT7" s="92"/>
      <c r="CU7" s="92"/>
      <c r="CV7" s="92"/>
      <c r="CW7" s="92"/>
      <c r="CX7" s="92"/>
      <c r="CY7" s="92"/>
      <c r="CZ7" s="92"/>
      <c r="DA7" s="92"/>
      <c r="DB7" s="92"/>
      <c r="DC7" s="92"/>
      <c r="DD7" s="92"/>
      <c r="DE7" s="92"/>
      <c r="DF7" s="92"/>
      <c r="DG7" s="92"/>
      <c r="DH7" s="92"/>
      <c r="DI7" s="92"/>
      <c r="DJ7" s="92"/>
      <c r="DK7" s="92"/>
      <c r="DL7" s="92"/>
    </row>
    <row r="8" ht="20.25" customHeight="1">
      <c r="A8" s="44">
        <v>8.0</v>
      </c>
      <c r="B8" s="45" t="s">
        <v>114</v>
      </c>
      <c r="C8" s="45" t="s">
        <v>115</v>
      </c>
      <c r="D8" s="62" t="s">
        <v>145</v>
      </c>
      <c r="F8" s="46" t="s">
        <v>189</v>
      </c>
      <c r="G8" s="47" t="s">
        <v>190</v>
      </c>
      <c r="H8" s="47" t="s">
        <v>191</v>
      </c>
      <c r="I8" s="47" t="s">
        <v>119</v>
      </c>
      <c r="J8" s="48">
        <v>45641.0</v>
      </c>
      <c r="K8" s="49" t="s">
        <v>120</v>
      </c>
      <c r="L8" s="49"/>
      <c r="M8" s="47" t="s">
        <v>121</v>
      </c>
      <c r="N8" s="47" t="s">
        <v>122</v>
      </c>
      <c r="O8" s="50">
        <v>1.0</v>
      </c>
      <c r="P8" s="51" t="s">
        <v>123</v>
      </c>
      <c r="Q8" s="52" t="str">
        <f t="array" ref="Q8"> if(iserror(MATCH(V8, 'File Links'!C:C, 0)), "N/A", HYPERLINK(INDEX('File Links'!B:B, MATCH(P8, 'File Links'!C:C, 0))))</f>
        <v>https://drive.google.com/file/d/1HsW-lUSPFaIpISHQ1bNk6CKMtH3z9rau/view?usp=drivesdk</v>
      </c>
      <c r="R8" s="47" t="s">
        <v>192</v>
      </c>
      <c r="S8" s="104" t="s">
        <v>193</v>
      </c>
      <c r="T8" s="49"/>
      <c r="U8" s="105"/>
      <c r="V8" s="66" t="str">
        <f> hyperlink(vlookup(lower(S8),'File Links'!E:F, 2, FALSE), SUBSTITUTE(lower(S8), "/", "--") &amp;  ".pdf")</f>
        <v>osf.io--x4v53.pdf</v>
      </c>
      <c r="W8" s="49" t="s">
        <v>127</v>
      </c>
      <c r="X8" s="54" t="str">
        <f t="array" ref="X8"> if(iserror(MATCH(V8, 'File Links'!C:C, 0)), "N/A", HYPERLINK(INDEX('File Links'!B:B, MATCH(V8, 'File Links'!C:C, 0))))</f>
        <v>https://drive.google.com/file/d/101OwdNXwjKk-CSJMDDNBxSMU_jnE0JGh/view?usp=drivesdk</v>
      </c>
      <c r="Y8" s="49"/>
      <c r="Z8" s="49" t="s">
        <v>128</v>
      </c>
      <c r="AA8" s="49"/>
      <c r="AB8" s="49" t="s">
        <v>129</v>
      </c>
      <c r="AC8" s="49"/>
      <c r="AD8" s="49"/>
      <c r="AE8" s="49" t="s">
        <v>132</v>
      </c>
      <c r="AF8" s="50">
        <v>12.0</v>
      </c>
      <c r="AG8" s="50">
        <v>9.67</v>
      </c>
      <c r="AH8" s="56" t="s">
        <v>134</v>
      </c>
      <c r="AI8" s="49" t="s">
        <v>132</v>
      </c>
      <c r="AJ8" s="50">
        <v>0.01</v>
      </c>
      <c r="AK8" s="46" t="s">
        <v>135</v>
      </c>
      <c r="AL8" s="49" t="s">
        <v>136</v>
      </c>
      <c r="AM8" s="49" t="s">
        <v>137</v>
      </c>
      <c r="AN8" s="58" t="s">
        <v>138</v>
      </c>
      <c r="AO8" s="50">
        <v>39.0</v>
      </c>
      <c r="AP8" s="50">
        <v>0.226</v>
      </c>
      <c r="AQ8" s="49" t="s">
        <v>139</v>
      </c>
      <c r="AR8" s="49" t="s">
        <v>140</v>
      </c>
      <c r="AS8" s="50">
        <v>0.02</v>
      </c>
      <c r="AT8" s="46" t="s">
        <v>135</v>
      </c>
      <c r="AU8" s="46" t="s">
        <v>136</v>
      </c>
      <c r="AV8" s="46" t="s">
        <v>141</v>
      </c>
      <c r="AW8" s="59" t="s">
        <v>194</v>
      </c>
      <c r="AX8" s="60" t="s">
        <v>143</v>
      </c>
      <c r="AY8" s="61" t="str">
        <f>IFERROR(__xludf.DUMMYFUNCTION("vlookup(BB8,importrange(""https://docs.google.com/spreadsheets/d/1d2vevQ_7D_v35q4wCQ4RpQ_IPoTwEMB9Yp6ymwlPqew/edit?gid=984458430#gid=984458430"", ""'replication success'!A:K""), 11, FAlSE)"),"#N/A")</f>
        <v>#N/A</v>
      </c>
      <c r="AZ8" s="61" t="str">
        <f>IFERROR(__xludf.DUMMYFUNCTION("vlookup(BB8,importrange(""https://docs.google.com/spreadsheets/d/1d2vevQ_7D_v35q4wCQ4RpQ_IPoTwEMB9Yp6ymwlPqew/edit?gid=984458430#gid=984458430"", ""'replication success'!A:M""), 12, FAlSE)"),"#N/A")</f>
        <v>#N/A</v>
      </c>
      <c r="BA8" s="61" t="str">
        <f>IFERROR(__xludf.DUMMYFUNCTION("vlookup(BB8,importrange(""https://docs.google.com/spreadsheets/d/1d2vevQ_7D_v35q4wCQ4RpQ_IPoTwEMB9Yp6ymwlPqew/edit?gid=984458430#gid=984458430"", ""'replication success'!A:M""), 13, FAlSE)"),"#N/A")</f>
        <v>#N/A</v>
      </c>
      <c r="BB8" s="61" t="str">
        <f>IFERROR(__xludf.DUMMYFUNCTION("REGEXREPLACE(G8, ""_[a-z]{1,2}$"", """")"),"7vgkq")</f>
        <v>7vgkq</v>
      </c>
      <c r="BC8" s="61"/>
      <c r="BD8" s="106" t="s">
        <v>144</v>
      </c>
      <c r="BG8" s="107"/>
      <c r="BH8" s="107"/>
      <c r="BI8" s="107"/>
      <c r="BJ8" s="107"/>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c r="CY8" s="107"/>
      <c r="CZ8" s="107"/>
      <c r="DA8" s="107"/>
      <c r="DB8" s="107"/>
      <c r="DC8" s="107"/>
      <c r="DD8" s="107"/>
      <c r="DE8" s="107"/>
      <c r="DF8" s="107"/>
      <c r="DG8" s="107"/>
      <c r="DH8" s="107"/>
      <c r="DI8" s="107"/>
      <c r="DJ8" s="107"/>
      <c r="DK8" s="107"/>
      <c r="DL8" s="107"/>
    </row>
    <row r="9" ht="20.25" customHeight="1">
      <c r="A9" s="44">
        <v>9.0</v>
      </c>
      <c r="B9" s="62" t="s">
        <v>114</v>
      </c>
      <c r="C9" s="62" t="s">
        <v>115</v>
      </c>
      <c r="D9" s="62" t="s">
        <v>195</v>
      </c>
      <c r="F9" s="62" t="s">
        <v>189</v>
      </c>
      <c r="G9" s="45" t="s">
        <v>190</v>
      </c>
      <c r="H9" s="45" t="s">
        <v>196</v>
      </c>
      <c r="I9" s="63">
        <v>45170.0</v>
      </c>
      <c r="J9" s="64">
        <v>45644.0</v>
      </c>
      <c r="K9" s="65"/>
      <c r="L9" s="65"/>
      <c r="M9" s="45" t="s">
        <v>121</v>
      </c>
      <c r="N9" s="45" t="s">
        <v>122</v>
      </c>
      <c r="O9" s="45">
        <v>1.0</v>
      </c>
      <c r="P9" s="66" t="s">
        <v>123</v>
      </c>
      <c r="Q9" s="108" t="s">
        <v>138</v>
      </c>
      <c r="R9" s="45" t="s">
        <v>192</v>
      </c>
      <c r="S9" s="45" t="s">
        <v>197</v>
      </c>
      <c r="T9" s="65"/>
      <c r="U9" s="66"/>
      <c r="V9" s="45" t="s">
        <v>198</v>
      </c>
      <c r="W9" s="65"/>
      <c r="X9" s="49" t="str">
        <f t="array" ref="X9"> if(iserror(MATCH(V9, 'File Links'!C:C, 0)), "N/A", HYPERLINK(INDEX('File Links'!B:B, MATCH(V9, 'File Links'!C:C, 0))))</f>
        <v>N/A</v>
      </c>
      <c r="Y9" s="45" t="s">
        <v>147</v>
      </c>
      <c r="Z9" s="45" t="s">
        <v>148</v>
      </c>
      <c r="AA9" s="65"/>
      <c r="AB9" s="45" t="s">
        <v>149</v>
      </c>
      <c r="AC9" s="65"/>
      <c r="AD9" s="65"/>
      <c r="AE9" s="65"/>
      <c r="AF9" s="65"/>
      <c r="AG9" s="65"/>
      <c r="AH9" s="45"/>
      <c r="AI9" s="65"/>
      <c r="AJ9" s="65"/>
      <c r="AK9" s="67"/>
      <c r="AL9" s="65"/>
      <c r="AM9" s="65"/>
      <c r="AN9" s="58" t="s">
        <v>138</v>
      </c>
      <c r="AO9" s="65"/>
      <c r="AP9" s="45">
        <v>0.313</v>
      </c>
      <c r="AQ9" s="65"/>
      <c r="AR9" s="65"/>
      <c r="AS9" s="45" t="s">
        <v>150</v>
      </c>
      <c r="AT9" s="67"/>
      <c r="AU9" s="67"/>
      <c r="AV9" s="68"/>
      <c r="AX9" s="67"/>
      <c r="AY9" s="61" t="str">
        <f>IFERROR(__xludf.DUMMYFUNCTION("vlookup(BB9,importrange(""https://docs.google.com/spreadsheets/d/1d2vevQ_7D_v35q4wCQ4RpQ_IPoTwEMB9Yp6ymwlPqew/edit?gid=984458430#gid=984458430"", ""'replication success'!A:K""), 11, FAlSE)"),"#N/A")</f>
        <v>#N/A</v>
      </c>
      <c r="AZ9" s="61" t="str">
        <f>IFERROR(__xludf.DUMMYFUNCTION("vlookup(BB9,importrange(""https://docs.google.com/spreadsheets/d/1d2vevQ_7D_v35q4wCQ4RpQ_IPoTwEMB9Yp6ymwlPqew/edit?gid=984458430#gid=984458430"", ""'replication success'!A:M""), 12, FAlSE)"),"#N/A")</f>
        <v>#N/A</v>
      </c>
      <c r="BA9" s="61" t="str">
        <f>IFERROR(__xludf.DUMMYFUNCTION("vlookup(BB9,importrange(""https://docs.google.com/spreadsheets/d/1d2vevQ_7D_v35q4wCQ4RpQ_IPoTwEMB9Yp6ymwlPqew/edit?gid=984458430#gid=984458430"", ""'replication success'!A:M""), 13, FAlSE)"),"#N/A")</f>
        <v>#N/A</v>
      </c>
      <c r="BB9" s="61" t="str">
        <f>IFERROR(__xludf.DUMMYFUNCTION("REGEXREPLACE(G9, ""_[a-z]{1,2}$"", """")"),"7vgkq")</f>
        <v>7vgkq</v>
      </c>
      <c r="BC9" s="65"/>
      <c r="BD9" s="62" t="s">
        <v>144</v>
      </c>
    </row>
    <row r="10" ht="20.25" customHeight="1">
      <c r="A10" s="44">
        <v>10.0</v>
      </c>
      <c r="B10" s="109" t="s">
        <v>114</v>
      </c>
      <c r="C10" s="109" t="s">
        <v>115</v>
      </c>
      <c r="D10" s="109" t="s">
        <v>199</v>
      </c>
      <c r="E10" s="110"/>
      <c r="F10" s="111" t="s">
        <v>200</v>
      </c>
      <c r="G10" s="112" t="s">
        <v>201</v>
      </c>
      <c r="H10" s="112" t="s">
        <v>202</v>
      </c>
      <c r="I10" s="113">
        <v>45639.0</v>
      </c>
      <c r="J10" s="114"/>
      <c r="K10" s="112" t="s">
        <v>203</v>
      </c>
      <c r="L10" s="115" t="s">
        <v>204</v>
      </c>
      <c r="M10" s="116" t="s">
        <v>205</v>
      </c>
      <c r="N10" s="112" t="s">
        <v>206</v>
      </c>
      <c r="O10" s="117">
        <v>2.0</v>
      </c>
      <c r="P10" s="118" t="str">
        <f> hyperlink(vlookup(lower(N10),'File Links'!A:B, 2, FALSE), SUBSTITUTE(lower(N10), "/", "--") &amp;  ".pdf")</f>
        <v>10.1016--j.obhdp.2004.12.002.pdf</v>
      </c>
      <c r="Q10" s="52" t="str">
        <f t="array" ref="Q10"> if(iserror(MATCH(V10, 'File Links'!C:C, 0)), "N/A", HYPERLINK(INDEX('File Links'!B:B, MATCH(P10, 'File Links'!C:C, 0))))</f>
        <v>https://drive.google.com/file/d/1CZ8RmInPe2eqHwf-p8tl0IQxpn8_H_C5/view?usp=drivesdk</v>
      </c>
      <c r="R10" s="112" t="s">
        <v>207</v>
      </c>
      <c r="S10" s="119" t="s">
        <v>208</v>
      </c>
      <c r="T10" s="114"/>
      <c r="U10" s="120"/>
      <c r="V10" s="66" t="str">
        <f> hyperlink(vlookup(lower(S10),'File Links'!E:F, 2, FALSE), SUBSTITUTE(lower(S10), "/", "--") &amp;  ".pdf")</f>
        <v>10.1016--j.jesp.2020.104066.pdf</v>
      </c>
      <c r="W10" s="112" t="s">
        <v>209</v>
      </c>
      <c r="X10" s="54" t="str">
        <f t="array" ref="X10"> if(iserror(MATCH(V10, 'File Links'!C:C, 0)), "N/A", HYPERLINK(INDEX('File Links'!B:B, MATCH(V10, 'File Links'!C:C, 0))))</f>
        <v>https://drive.google.com/file/d/1Q7xa-u3DEssueb6fBYD39BjDPub6xcHR/view?usp=drivesdk</v>
      </c>
      <c r="Y10" s="114"/>
      <c r="Z10" s="112" t="s">
        <v>210</v>
      </c>
      <c r="AA10" s="112" t="s">
        <v>211</v>
      </c>
      <c r="AB10" s="112" t="s">
        <v>212</v>
      </c>
      <c r="AC10" s="112" t="s">
        <v>213</v>
      </c>
      <c r="AD10" s="112" t="s">
        <v>214</v>
      </c>
      <c r="AE10" s="117">
        <v>137.0</v>
      </c>
      <c r="AF10" s="117">
        <v>41.0</v>
      </c>
      <c r="AG10" s="117">
        <v>0.31</v>
      </c>
      <c r="AH10" s="121" t="s">
        <v>215</v>
      </c>
      <c r="AI10" s="112" t="s">
        <v>216</v>
      </c>
      <c r="AJ10" s="117">
        <v>0.05</v>
      </c>
      <c r="AK10" s="122" t="s">
        <v>135</v>
      </c>
      <c r="AL10" s="112" t="s">
        <v>186</v>
      </c>
      <c r="AM10" s="114" t="s">
        <v>137</v>
      </c>
      <c r="AN10" s="58" t="s">
        <v>138</v>
      </c>
      <c r="AO10" s="117">
        <v>165.0</v>
      </c>
      <c r="AP10" s="117">
        <v>-0.148</v>
      </c>
      <c r="AQ10" s="112" t="s">
        <v>173</v>
      </c>
      <c r="AR10" s="112" t="s">
        <v>217</v>
      </c>
      <c r="AS10" s="117">
        <v>0.83</v>
      </c>
      <c r="AT10" s="122" t="s">
        <v>172</v>
      </c>
      <c r="AU10" s="122" t="s">
        <v>218</v>
      </c>
      <c r="AV10" s="111" t="s">
        <v>137</v>
      </c>
      <c r="AW10" s="111" t="s">
        <v>219</v>
      </c>
      <c r="AX10" s="111" t="s">
        <v>143</v>
      </c>
      <c r="AY10" s="61" t="str">
        <f>IFERROR(__xludf.DUMMYFUNCTION("vlookup(BB10,importrange(""https://docs.google.com/spreadsheets/d/1d2vevQ_7D_v35q4wCQ4RpQ_IPoTwEMB9Yp6ymwlPqew/edit?gid=984458430#gid=984458430"", ""'replication success'!A:K""), 11, FAlSE)"),"failed")</f>
        <v>failed</v>
      </c>
      <c r="AZ10" s="61" t="str">
        <f>IFERROR(__xludf.DUMMYFUNCTION("vlookup(BB10,importrange(""https://docs.google.com/spreadsheets/d/1d2vevQ_7D_v35q4wCQ4RpQ_IPoTwEMB9Yp6ymwlPqew/edit?gid=984458430#gid=984458430"", ""'replication success'!A:M""), 12, FAlSE)"),"To sum up, due to the extremely high power, the anchoring effect
should have occurred if it indeed existed. We interpret the fact that
there was no sign of anchoring—even after we excluded outliers and
controlled for whether participants saw the flicke"&amp;"ring—as inconsistent
with the claim that subliminal anchoring exists.")</f>
        <v>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v>
      </c>
      <c r="BA10" s="61" t="str">
        <f>IFERROR(__xludf.DUMMYFUNCTION("vlookup(BB10,importrange(""https://docs.google.com/spreadsheets/d/1d2vevQ_7D_v35q4wCQ4RpQ_IPoTwEMB9Yp6ymwlPqew/edit?gid=984458430#gid=984458430"", ""'replication success'!A:M""), 13, FAlSE)"),"pg.3")</f>
        <v>pg.3</v>
      </c>
      <c r="BB10" s="61" t="str">
        <f>IFERROR(__xludf.DUMMYFUNCTION("REGEXREPLACE(G10, ""_[a-z]{1,2}$"", """")"),"acykd")</f>
        <v>acykd</v>
      </c>
      <c r="BC10" s="123" t="s">
        <v>220</v>
      </c>
      <c r="BD10" s="62" t="s">
        <v>144</v>
      </c>
    </row>
    <row r="11" ht="20.25" customHeight="1">
      <c r="A11" s="44">
        <v>11.0</v>
      </c>
      <c r="B11" s="124" t="s">
        <v>152</v>
      </c>
      <c r="C11" s="124" t="s">
        <v>115</v>
      </c>
      <c r="D11" s="124" t="s">
        <v>221</v>
      </c>
      <c r="E11" s="107"/>
      <c r="F11" s="125" t="s">
        <v>200</v>
      </c>
      <c r="G11" s="126" t="s">
        <v>201</v>
      </c>
      <c r="H11" s="126" t="s">
        <v>222</v>
      </c>
      <c r="I11" s="127">
        <v>45641.0</v>
      </c>
      <c r="J11" s="128">
        <v>45663.0</v>
      </c>
      <c r="K11" s="126" t="s">
        <v>223</v>
      </c>
      <c r="L11" s="129" t="s">
        <v>224</v>
      </c>
      <c r="M11" s="119" t="s">
        <v>205</v>
      </c>
      <c r="N11" s="126" t="s">
        <v>206</v>
      </c>
      <c r="O11" s="130">
        <v>2.0</v>
      </c>
      <c r="P11" s="118" t="str">
        <f> hyperlink(vlookup(lower(N11),'File Links'!A:B, 2, FALSE), SUBSTITUTE(lower(N11), "/", "--") &amp;  ".pdf")</f>
        <v>10.1016--j.obhdp.2004.12.002.pdf</v>
      </c>
      <c r="Q11" s="52" t="str">
        <f t="array" ref="Q11"> if(iserror(MATCH(V11, 'File Links'!C:C, 0)), "N/A", HYPERLINK(INDEX('File Links'!B:B, MATCH(P11, 'File Links'!C:C, 0))))</f>
        <v>https://drive.google.com/file/d/1CZ8RmInPe2eqHwf-p8tl0IQxpn8_H_C5/view?usp=drivesdk</v>
      </c>
      <c r="R11" s="131" t="s">
        <v>225</v>
      </c>
      <c r="S11" s="119" t="s">
        <v>208</v>
      </c>
      <c r="T11" s="132"/>
      <c r="U11" s="133">
        <v>1.0</v>
      </c>
      <c r="V11" s="66" t="str">
        <f> hyperlink(vlookup(lower(S11),'File Links'!E:F, 2, FALSE), SUBSTITUTE(lower(S11), "/", "--") &amp;  ".pdf")</f>
        <v>10.1016--j.jesp.2020.104066.pdf</v>
      </c>
      <c r="W11" s="126" t="s">
        <v>164</v>
      </c>
      <c r="X11" s="54" t="str">
        <f t="array" ref="X11"> if(iserror(MATCH(V11, 'File Links'!C:C, 0)), "N/A", HYPERLINK(INDEX('File Links'!B:B, MATCH(V11, 'File Links'!C:C, 0))))</f>
        <v>https://drive.google.com/file/d/1Q7xa-u3DEssueb6fBYD39BjDPub6xcHR/view?usp=drivesdk</v>
      </c>
      <c r="Y11" s="132"/>
      <c r="Z11" s="126" t="s">
        <v>226</v>
      </c>
      <c r="AA11" s="126" t="s">
        <v>227</v>
      </c>
      <c r="AB11" s="126" t="s">
        <v>228</v>
      </c>
      <c r="AC11" s="126" t="s">
        <v>229</v>
      </c>
      <c r="AD11" s="134" t="s">
        <v>214</v>
      </c>
      <c r="AE11" s="135">
        <v>137.0</v>
      </c>
      <c r="AF11" s="136">
        <v>41.0</v>
      </c>
      <c r="AG11" s="137">
        <v>0.31</v>
      </c>
      <c r="AH11" s="138" t="s">
        <v>215</v>
      </c>
      <c r="AI11" s="139" t="s">
        <v>216</v>
      </c>
      <c r="AJ11" s="130">
        <v>0.05</v>
      </c>
      <c r="AK11" s="140" t="s">
        <v>135</v>
      </c>
      <c r="AL11" s="112" t="s">
        <v>186</v>
      </c>
      <c r="AM11" s="132" t="s">
        <v>137</v>
      </c>
      <c r="AN11" s="58" t="s">
        <v>138</v>
      </c>
      <c r="AO11" s="130">
        <v>165.0</v>
      </c>
      <c r="AP11" s="130">
        <v>-0.148</v>
      </c>
      <c r="AQ11" s="126" t="s">
        <v>173</v>
      </c>
      <c r="AR11" s="112" t="s">
        <v>217</v>
      </c>
      <c r="AS11" s="117">
        <v>0.83</v>
      </c>
      <c r="AT11" s="122" t="s">
        <v>172</v>
      </c>
      <c r="AU11" s="122" t="s">
        <v>218</v>
      </c>
      <c r="AV11" s="111" t="s">
        <v>137</v>
      </c>
      <c r="AW11" s="141" t="s">
        <v>230</v>
      </c>
      <c r="AX11" s="111" t="s">
        <v>143</v>
      </c>
      <c r="AY11" s="61" t="str">
        <f>IFERROR(__xludf.DUMMYFUNCTION("vlookup(BB11,importrange(""https://docs.google.com/spreadsheets/d/1d2vevQ_7D_v35q4wCQ4RpQ_IPoTwEMB9Yp6ymwlPqew/edit?gid=984458430#gid=984458430"", ""'replication success'!A:K""), 11, FAlSE)"),"failed")</f>
        <v>failed</v>
      </c>
      <c r="AZ11" s="61" t="str">
        <f>IFERROR(__xludf.DUMMYFUNCTION("vlookup(BB11,importrange(""https://docs.google.com/spreadsheets/d/1d2vevQ_7D_v35q4wCQ4RpQ_IPoTwEMB9Yp6ymwlPqew/edit?gid=984458430#gid=984458430"", ""'replication success'!A:M""), 12, FAlSE)"),"To sum up, due to the extremely high power, the anchoring effect
should have occurred if it indeed existed. We interpret the fact that
there was no sign of anchoring—even after we excluded outliers and
controlled for whether participants saw the flicke"&amp;"ring—as inconsistent
with the claim that subliminal anchoring exists.")</f>
        <v>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v>
      </c>
      <c r="BA11" s="61" t="str">
        <f>IFERROR(__xludf.DUMMYFUNCTION("vlookup(BB11,importrange(""https://docs.google.com/spreadsheets/d/1d2vevQ_7D_v35q4wCQ4RpQ_IPoTwEMB9Yp6ymwlPqew/edit?gid=984458430#gid=984458430"", ""'replication success'!A:M""), 13, FAlSE)"),"pg.3")</f>
        <v>pg.3</v>
      </c>
      <c r="BB11" s="61" t="str">
        <f>IFERROR(__xludf.DUMMYFUNCTION("REGEXREPLACE(G11, ""_[a-z]{1,2}$"", """")"),"acykd")</f>
        <v>acykd</v>
      </c>
      <c r="BC11" s="129" t="s">
        <v>231</v>
      </c>
      <c r="BD11" s="62" t="s">
        <v>144</v>
      </c>
    </row>
    <row r="12" ht="20.25" customHeight="1">
      <c r="A12" s="44">
        <v>12.0</v>
      </c>
      <c r="B12" s="45" t="s">
        <v>152</v>
      </c>
      <c r="C12" s="45" t="s">
        <v>115</v>
      </c>
      <c r="D12" s="45" t="s">
        <v>232</v>
      </c>
      <c r="E12" s="45"/>
      <c r="F12" s="45" t="s">
        <v>233</v>
      </c>
      <c r="G12" s="45" t="s">
        <v>234</v>
      </c>
      <c r="H12" s="45" t="s">
        <v>235</v>
      </c>
      <c r="I12" s="63">
        <v>45427.0</v>
      </c>
      <c r="J12" s="64">
        <v>45624.0</v>
      </c>
      <c r="K12" s="65"/>
      <c r="L12" s="45"/>
      <c r="M12" s="45" t="s">
        <v>236</v>
      </c>
      <c r="N12" s="45" t="s">
        <v>237</v>
      </c>
      <c r="O12" s="45">
        <v>1.0</v>
      </c>
      <c r="P12" s="118" t="str">
        <f> hyperlink(vlookup(lower(N12),'File Links'!A:B, 2, FALSE), SUBSTITUTE(lower(N12), "/", "--") &amp;  ".pdf")</f>
        <v>10.1007--s11858-016-0819-3.pdf</v>
      </c>
      <c r="Q12" s="52" t="str">
        <f t="array" ref="Q12"> if(iserror(MATCH(V12, 'File Links'!C:C, 0)), "N/A", HYPERLINK(INDEX('File Links'!B:B, MATCH(P12, 'File Links'!C:C, 0))))</f>
        <v>https://drive.google.com/file/d/1A3A0XWewbvFp536VbiCjIAYxdIJwVP-9/view?usp=drivesdk</v>
      </c>
      <c r="R12" s="142" t="s">
        <v>238</v>
      </c>
      <c r="S12" s="45" t="s">
        <v>239</v>
      </c>
      <c r="T12" s="65"/>
      <c r="U12" s="133">
        <v>1.0</v>
      </c>
      <c r="V12" s="66" t="str">
        <f> hyperlink(vlookup(lower(S12),'File Links'!E:F, 2, FALSE), SUBSTITUTE(lower(S12), "/", "--") &amp;  ".pdf")</f>
        <v>10.1163--26670127-bja10017.pdf</v>
      </c>
      <c r="W12" s="45" t="s">
        <v>240</v>
      </c>
      <c r="X12" s="54" t="str">
        <f t="array" ref="X12"> if(iserror(MATCH(V12, 'File Links'!C:C, 0)), "N/A", HYPERLINK(INDEX('File Links'!B:B, MATCH(V12, 'File Links'!C:C, 0))))</f>
        <v>https://drive.google.com/file/d/1u_oSZ0fEx8q87XxieN1axHREEr_kiGBE/view?usp=drivesdk</v>
      </c>
      <c r="Y12" s="65"/>
      <c r="Z12" s="45" t="s">
        <v>241</v>
      </c>
      <c r="AA12" s="45" t="s">
        <v>242</v>
      </c>
      <c r="AB12" s="45" t="s">
        <v>243</v>
      </c>
      <c r="AC12" s="45" t="s">
        <v>244</v>
      </c>
      <c r="AD12" s="45" t="s">
        <v>245</v>
      </c>
      <c r="AE12" s="45">
        <v>7.0</v>
      </c>
      <c r="AF12" s="45">
        <v>100.0</v>
      </c>
      <c r="AG12" s="45">
        <v>0.3</v>
      </c>
      <c r="AH12" s="45" t="s">
        <v>173</v>
      </c>
      <c r="AI12" s="45" t="s">
        <v>132</v>
      </c>
      <c r="AJ12" s="45">
        <v>0.01</v>
      </c>
      <c r="AK12" s="45" t="s">
        <v>135</v>
      </c>
      <c r="AL12" s="45" t="s">
        <v>186</v>
      </c>
      <c r="AM12" s="62" t="s">
        <v>141</v>
      </c>
      <c r="AN12" s="58" t="s">
        <v>138</v>
      </c>
      <c r="AO12" s="45">
        <v>80.0</v>
      </c>
      <c r="AP12" s="45" t="s">
        <v>246</v>
      </c>
      <c r="AQ12" s="45" t="s">
        <v>134</v>
      </c>
      <c r="AR12" s="45" t="s">
        <v>247</v>
      </c>
      <c r="AS12" s="45">
        <v>0.01</v>
      </c>
      <c r="AT12" s="45" t="s">
        <v>135</v>
      </c>
      <c r="AU12" s="45" t="s">
        <v>186</v>
      </c>
      <c r="AV12" s="111" t="s">
        <v>137</v>
      </c>
      <c r="AW12" s="143" t="s">
        <v>138</v>
      </c>
      <c r="AX12" s="129" t="s">
        <v>143</v>
      </c>
      <c r="AY12" s="61" t="str">
        <f>IFERROR(__xludf.DUMMYFUNCTION("vlookup(BB12,importrange(""https://docs.google.com/spreadsheets/d/1d2vevQ_7D_v35q4wCQ4RpQ_IPoTwEMB9Yp6ymwlPqew/edit?gid=984458430#gid=984458430"", ""'replication success'!A:K""), 11, FAlSE)"),"successful")</f>
        <v>successful</v>
      </c>
      <c r="AZ12" s="61" t="str">
        <f>IFERROR(__xludf.DUMMYFUNCTION("vlookup(BB12,importrange(""https://docs.google.com/spreadsheets/d/1d2vevQ_7D_v35q4wCQ4RpQ_IPoTwEMB9Yp6ymwlPqew/edit?gid=984458430#gid=984458430"",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2" s="61" t="str">
        <f>IFERROR(__xludf.DUMMYFUNCTION("vlookup(BB12,importrange(""https://docs.google.com/spreadsheets/d/1d2vevQ_7D_v35q4wCQ4RpQ_IPoTwEMB9Yp6ymwlPqew/edit?gid=984458430#gid=984458430"", ""'replication success'!A:M""), 13, FAlSE)"),"pg.26")</f>
        <v>pg.26</v>
      </c>
      <c r="BB12" s="61" t="str">
        <f>IFERROR(__xludf.DUMMYFUNCTION("REGEXREPLACE(G12, ""_[a-z]{1,2}$"", """")"),"additional_studies1")</f>
        <v>additional_studies1</v>
      </c>
      <c r="BC12" s="45"/>
      <c r="BD12" s="62" t="s">
        <v>144</v>
      </c>
    </row>
    <row r="13" ht="20.25" customHeight="1">
      <c r="A13" s="44">
        <v>13.0</v>
      </c>
      <c r="B13" s="109" t="s">
        <v>114</v>
      </c>
      <c r="C13" s="109" t="s">
        <v>115</v>
      </c>
      <c r="D13" s="109" t="s">
        <v>248</v>
      </c>
      <c r="E13" s="109"/>
      <c r="F13" s="109" t="s">
        <v>233</v>
      </c>
      <c r="G13" s="109" t="s">
        <v>234</v>
      </c>
      <c r="H13" s="109" t="s">
        <v>249</v>
      </c>
      <c r="I13" s="144">
        <v>45427.0</v>
      </c>
      <c r="J13" s="145">
        <v>45625.0</v>
      </c>
      <c r="K13" s="109" t="s">
        <v>250</v>
      </c>
      <c r="L13" s="110"/>
      <c r="M13" s="109" t="s">
        <v>236</v>
      </c>
      <c r="N13" s="109" t="s">
        <v>237</v>
      </c>
      <c r="O13" s="110"/>
      <c r="P13" s="146" t="str">
        <f> hyperlink(vlookup(lower(N13),'File Links'!A:B, 2, FALSE), SUBSTITUTE(lower(N13), "/", "--") &amp;  ".pdf")</f>
        <v>10.1007--s11858-016-0819-3.pdf</v>
      </c>
      <c r="Q13" s="52" t="str">
        <f t="array" ref="Q13"> if(iserror(MATCH(V13, 'File Links'!C:C, 0)), "N/A", HYPERLINK(INDEX('File Links'!B:B, MATCH(P13, 'File Links'!C:C, 0))))</f>
        <v>https://drive.google.com/file/d/1A3A0XWewbvFp536VbiCjIAYxdIJwVP-9/view?usp=drivesdk</v>
      </c>
      <c r="R13" s="109" t="s">
        <v>251</v>
      </c>
      <c r="S13" s="109" t="s">
        <v>239</v>
      </c>
      <c r="T13" s="110"/>
      <c r="U13" s="110"/>
      <c r="V13" s="66" t="str">
        <f> hyperlink(vlookup(lower(S13),'File Links'!E:F, 2, FALSE), SUBSTITUTE(lower(S13), "/", "--") &amp;  ".pdf")</f>
        <v>10.1163--26670127-bja10017.pdf</v>
      </c>
      <c r="W13" s="110"/>
      <c r="X13" s="54" t="str">
        <f t="array" ref="X13"> if(iserror(MATCH(V13, 'File Links'!C:C, 0)), "N/A", HYPERLINK(INDEX('File Links'!B:B, MATCH(V13, 'File Links'!C:C, 0))))</f>
        <v>https://drive.google.com/file/d/1u_oSZ0fEx8q87XxieN1axHREEr_kiGBE/view?usp=drivesdk</v>
      </c>
      <c r="Y13" s="110"/>
      <c r="Z13" s="109" t="s">
        <v>252</v>
      </c>
      <c r="AA13" s="110"/>
      <c r="AB13" s="109" t="s">
        <v>253</v>
      </c>
      <c r="AC13" s="109" t="s">
        <v>254</v>
      </c>
      <c r="AD13" s="109" t="s">
        <v>255</v>
      </c>
      <c r="AE13" s="109" t="s">
        <v>256</v>
      </c>
      <c r="AF13" s="109">
        <v>100.0</v>
      </c>
      <c r="AG13" s="109">
        <v>0.3</v>
      </c>
      <c r="AH13" s="109" t="s">
        <v>173</v>
      </c>
      <c r="AI13" s="110"/>
      <c r="AJ13" s="109">
        <v>0.01</v>
      </c>
      <c r="AK13" s="109" t="s">
        <v>135</v>
      </c>
      <c r="AL13" s="109" t="s">
        <v>186</v>
      </c>
      <c r="AM13" s="71"/>
      <c r="AN13" s="58" t="s">
        <v>138</v>
      </c>
      <c r="AO13" s="109">
        <v>80.0</v>
      </c>
      <c r="AP13" s="110"/>
      <c r="AQ13" s="110"/>
      <c r="AR13" s="110"/>
      <c r="AS13" s="109" t="s">
        <v>257</v>
      </c>
      <c r="AT13" s="109" t="s">
        <v>135</v>
      </c>
      <c r="AU13" s="109" t="s">
        <v>186</v>
      </c>
      <c r="AV13" s="71"/>
      <c r="AW13" s="70"/>
      <c r="AX13" s="147" t="s">
        <v>143</v>
      </c>
      <c r="AY13" s="61" t="str">
        <f>IFERROR(__xludf.DUMMYFUNCTION("vlookup(BB13,importrange(""https://docs.google.com/spreadsheets/d/1d2vevQ_7D_v35q4wCQ4RpQ_IPoTwEMB9Yp6ymwlPqew/edit?gid=984458430#gid=984458430"", ""'replication success'!A:K""), 11, FAlSE)"),"successful")</f>
        <v>successful</v>
      </c>
      <c r="AZ13" s="61" t="str">
        <f>IFERROR(__xludf.DUMMYFUNCTION("vlookup(BB13,importrange(""https://docs.google.com/spreadsheets/d/1d2vevQ_7D_v35q4wCQ4RpQ_IPoTwEMB9Yp6ymwlPqew/edit?gid=984458430#gid=984458430"",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3" s="61" t="str">
        <f>IFERROR(__xludf.DUMMYFUNCTION("vlookup(BB13,importrange(""https://docs.google.com/spreadsheets/d/1d2vevQ_7D_v35q4wCQ4RpQ_IPoTwEMB9Yp6ymwlPqew/edit?gid=984458430#gid=984458430"", ""'replication success'!A:M""), 13, FAlSE)"),"pg.26")</f>
        <v>pg.26</v>
      </c>
      <c r="BB13" s="61" t="str">
        <f>IFERROR(__xludf.DUMMYFUNCTION("REGEXREPLACE(G13, ""_[a-z]{1,2}$"", """")"),"additional_studies1")</f>
        <v>additional_studies1</v>
      </c>
      <c r="BC13" s="65"/>
      <c r="BD13" s="62" t="s">
        <v>144</v>
      </c>
    </row>
    <row r="14" ht="20.25" customHeight="1">
      <c r="A14" s="44">
        <v>14.0</v>
      </c>
      <c r="B14" s="45" t="s">
        <v>152</v>
      </c>
      <c r="C14" s="45" t="s">
        <v>115</v>
      </c>
      <c r="D14" s="45" t="s">
        <v>232</v>
      </c>
      <c r="E14" s="45"/>
      <c r="F14" s="62" t="s">
        <v>233</v>
      </c>
      <c r="G14" s="45" t="s">
        <v>258</v>
      </c>
      <c r="H14" s="45" t="s">
        <v>235</v>
      </c>
      <c r="I14" s="63">
        <v>45427.0</v>
      </c>
      <c r="J14" s="64">
        <v>45624.0</v>
      </c>
      <c r="K14" s="45" t="s">
        <v>259</v>
      </c>
      <c r="L14" s="45"/>
      <c r="M14" s="45" t="s">
        <v>236</v>
      </c>
      <c r="N14" s="45" t="s">
        <v>237</v>
      </c>
      <c r="O14" s="45">
        <v>1.0</v>
      </c>
      <c r="P14" s="118" t="str">
        <f> hyperlink(vlookup(lower(N14),'File Links'!A:B, 2, FALSE), SUBSTITUTE(lower(N14), "/", "--") &amp;  ".pdf")</f>
        <v>10.1007--s11858-016-0819-3.pdf</v>
      </c>
      <c r="Q14" s="52" t="str">
        <f t="array" ref="Q14"> if(iserror(MATCH(V14, 'File Links'!C:C, 0)), "N/A", HYPERLINK(INDEX('File Links'!B:B, MATCH(P14, 'File Links'!C:C, 0))))</f>
        <v>https://drive.google.com/file/d/1A3A0XWewbvFp536VbiCjIAYxdIJwVP-9/view?usp=drivesdk</v>
      </c>
      <c r="R14" s="45" t="s">
        <v>251</v>
      </c>
      <c r="S14" s="45" t="s">
        <v>239</v>
      </c>
      <c r="T14" s="65"/>
      <c r="U14" s="133">
        <v>1.0</v>
      </c>
      <c r="V14" s="66" t="str">
        <f> hyperlink(vlookup(lower(S14),'File Links'!E:F, 2, FALSE), SUBSTITUTE(lower(S14), "/", "--") &amp;  ".pdf")</f>
        <v>10.1163--26670127-bja10017.pdf</v>
      </c>
      <c r="W14" s="45" t="s">
        <v>240</v>
      </c>
      <c r="X14" s="54" t="str">
        <f t="array" ref="X14"> if(iserror(MATCH(V14, 'File Links'!C:C, 0)), "N/A", HYPERLINK(INDEX('File Links'!B:B, MATCH(V14, 'File Links'!C:C, 0))))</f>
        <v>https://drive.google.com/file/d/1u_oSZ0fEx8q87XxieN1axHREEr_kiGBE/view?usp=drivesdk</v>
      </c>
      <c r="Y14" s="65"/>
      <c r="Z14" s="45" t="s">
        <v>241</v>
      </c>
      <c r="AA14" s="45" t="s">
        <v>242</v>
      </c>
      <c r="AB14" s="45" t="s">
        <v>243</v>
      </c>
      <c r="AC14" s="45" t="s">
        <v>260</v>
      </c>
      <c r="AD14" s="148" t="s">
        <v>261</v>
      </c>
      <c r="AE14" s="45">
        <v>7.0</v>
      </c>
      <c r="AF14" s="109">
        <v>163.0</v>
      </c>
      <c r="AG14" s="109">
        <v>1.12</v>
      </c>
      <c r="AH14" s="109" t="s">
        <v>173</v>
      </c>
      <c r="AI14" s="45" t="s">
        <v>132</v>
      </c>
      <c r="AJ14" s="109">
        <v>0.01</v>
      </c>
      <c r="AK14" s="45" t="s">
        <v>135</v>
      </c>
      <c r="AL14" s="45" t="s">
        <v>186</v>
      </c>
      <c r="AM14" s="62" t="s">
        <v>141</v>
      </c>
      <c r="AN14" s="58" t="s">
        <v>138</v>
      </c>
      <c r="AO14" s="45">
        <v>80.0</v>
      </c>
      <c r="AP14" s="109" t="s">
        <v>262</v>
      </c>
      <c r="AQ14" s="109" t="s">
        <v>134</v>
      </c>
      <c r="AR14" s="45" t="s">
        <v>263</v>
      </c>
      <c r="AS14" s="45">
        <v>0.01</v>
      </c>
      <c r="AT14" s="45" t="s">
        <v>135</v>
      </c>
      <c r="AU14" s="45" t="s">
        <v>186</v>
      </c>
      <c r="AV14" s="111" t="s">
        <v>137</v>
      </c>
      <c r="AW14" s="62" t="s">
        <v>138</v>
      </c>
      <c r="AX14" s="129" t="s">
        <v>143</v>
      </c>
      <c r="AY14" s="61" t="str">
        <f>IFERROR(__xludf.DUMMYFUNCTION("vlookup(BB14,importrange(""https://docs.google.com/spreadsheets/d/1d2vevQ_7D_v35q4wCQ4RpQ_IPoTwEMB9Yp6ymwlPqew/edit?gid=984458430#gid=984458430"", ""'replication success'!A:K""), 11, FAlSE)"),"successful")</f>
        <v>successful</v>
      </c>
      <c r="AZ14" s="61" t="str">
        <f>IFERROR(__xludf.DUMMYFUNCTION("vlookup(BB14,importrange(""https://docs.google.com/spreadsheets/d/1d2vevQ_7D_v35q4wCQ4RpQ_IPoTwEMB9Yp6ymwlPqew/edit?gid=984458430#gid=984458430"",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4" s="61" t="str">
        <f>IFERROR(__xludf.DUMMYFUNCTION("vlookup(BB14,importrange(""https://docs.google.com/spreadsheets/d/1d2vevQ_7D_v35q4wCQ4RpQ_IPoTwEMB9Yp6ymwlPqew/edit?gid=984458430#gid=984458430"", ""'replication success'!A:M""), 13, FAlSE)"),"pg.26")</f>
        <v>pg.26</v>
      </c>
      <c r="BB14" s="61" t="str">
        <f>IFERROR(__xludf.DUMMYFUNCTION("REGEXREPLACE(G14, ""_[a-z]{1,2}$"", """")"),"additional_studies1")</f>
        <v>additional_studies1</v>
      </c>
      <c r="BC14" s="45"/>
      <c r="BD14" s="62" t="s">
        <v>144</v>
      </c>
    </row>
    <row r="15" ht="20.25" customHeight="1">
      <c r="A15" s="44">
        <v>15.0</v>
      </c>
      <c r="B15" s="109" t="s">
        <v>114</v>
      </c>
      <c r="C15" s="109" t="s">
        <v>115</v>
      </c>
      <c r="D15" s="109" t="s">
        <v>248</v>
      </c>
      <c r="E15" s="109"/>
      <c r="F15" s="149" t="s">
        <v>233</v>
      </c>
      <c r="G15" s="109" t="s">
        <v>258</v>
      </c>
      <c r="H15" s="109" t="s">
        <v>249</v>
      </c>
      <c r="I15" s="144">
        <v>45427.0</v>
      </c>
      <c r="J15" s="145">
        <v>45625.0</v>
      </c>
      <c r="K15" s="109" t="s">
        <v>264</v>
      </c>
      <c r="L15" s="110"/>
      <c r="M15" s="109" t="s">
        <v>236</v>
      </c>
      <c r="N15" s="109" t="s">
        <v>237</v>
      </c>
      <c r="O15" s="110"/>
      <c r="P15" s="146" t="str">
        <f> hyperlink(vlookup(lower(N15),'File Links'!A:B, 2, FALSE), SUBSTITUTE(lower(N15), "/", "--") &amp;  ".pdf")</f>
        <v>10.1007--s11858-016-0819-3.pdf</v>
      </c>
      <c r="Q15" s="52" t="str">
        <f t="array" ref="Q15"> if(iserror(MATCH(V15, 'File Links'!C:C, 0)), "N/A", HYPERLINK(INDEX('File Links'!B:B, MATCH(P15, 'File Links'!C:C, 0))))</f>
        <v>https://drive.google.com/file/d/1A3A0XWewbvFp536VbiCjIAYxdIJwVP-9/view?usp=drivesdk</v>
      </c>
      <c r="R15" s="109" t="s">
        <v>251</v>
      </c>
      <c r="S15" s="109" t="s">
        <v>239</v>
      </c>
      <c r="T15" s="110"/>
      <c r="U15" s="110"/>
      <c r="V15" s="66" t="str">
        <f> hyperlink(vlookup(lower(S15),'File Links'!E:F, 2, FALSE), SUBSTITUTE(lower(S15), "/", "--") &amp;  ".pdf")</f>
        <v>10.1163--26670127-bja10017.pdf</v>
      </c>
      <c r="W15" s="110"/>
      <c r="X15" s="54" t="str">
        <f t="array" ref="X15"> if(iserror(MATCH(V15, 'File Links'!C:C, 0)), "N/A", HYPERLINK(INDEX('File Links'!B:B, MATCH(V15, 'File Links'!C:C, 0))))</f>
        <v>https://drive.google.com/file/d/1u_oSZ0fEx8q87XxieN1axHREEr_kiGBE/view?usp=drivesdk</v>
      </c>
      <c r="Y15" s="110"/>
      <c r="Z15" s="109" t="s">
        <v>252</v>
      </c>
      <c r="AA15" s="110"/>
      <c r="AB15" s="109" t="s">
        <v>265</v>
      </c>
      <c r="AC15" s="109" t="s">
        <v>254</v>
      </c>
      <c r="AD15" s="109" t="s">
        <v>266</v>
      </c>
      <c r="AE15" s="109" t="s">
        <v>256</v>
      </c>
      <c r="AF15" s="109">
        <v>163.0</v>
      </c>
      <c r="AG15" s="109">
        <v>1.12</v>
      </c>
      <c r="AH15" s="109" t="s">
        <v>173</v>
      </c>
      <c r="AI15" s="110"/>
      <c r="AJ15" s="109">
        <v>0.01</v>
      </c>
      <c r="AK15" s="109" t="s">
        <v>135</v>
      </c>
      <c r="AL15" s="109" t="s">
        <v>186</v>
      </c>
      <c r="AM15" s="71"/>
      <c r="AN15" s="58" t="s">
        <v>138</v>
      </c>
      <c r="AO15" s="109">
        <v>80.0</v>
      </c>
      <c r="AP15" s="67"/>
      <c r="AQ15" s="67"/>
      <c r="AR15" s="110"/>
      <c r="AS15" s="109" t="s">
        <v>267</v>
      </c>
      <c r="AT15" s="109" t="s">
        <v>135</v>
      </c>
      <c r="AU15" s="109" t="s">
        <v>186</v>
      </c>
      <c r="AV15" s="71"/>
      <c r="AW15" s="71"/>
      <c r="AX15" s="147" t="s">
        <v>143</v>
      </c>
      <c r="AY15" s="61" t="str">
        <f>IFERROR(__xludf.DUMMYFUNCTION("vlookup(BB15,importrange(""https://docs.google.com/spreadsheets/d/1d2vevQ_7D_v35q4wCQ4RpQ_IPoTwEMB9Yp6ymwlPqew/edit?gid=984458430#gid=984458430"", ""'replication success'!A:K""), 11, FAlSE)"),"successful")</f>
        <v>successful</v>
      </c>
      <c r="AZ15" s="61" t="str">
        <f>IFERROR(__xludf.DUMMYFUNCTION("vlookup(BB15,importrange(""https://docs.google.com/spreadsheets/d/1d2vevQ_7D_v35q4wCQ4RpQ_IPoTwEMB9Yp6ymwlPqew/edit?gid=984458430#gid=984458430"",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5" s="61" t="str">
        <f>IFERROR(__xludf.DUMMYFUNCTION("vlookup(BB15,importrange(""https://docs.google.com/spreadsheets/d/1d2vevQ_7D_v35q4wCQ4RpQ_IPoTwEMB9Yp6ymwlPqew/edit?gid=984458430#gid=984458430"", ""'replication success'!A:M""), 13, FAlSE)"),"pg.26")</f>
        <v>pg.26</v>
      </c>
      <c r="BB15" s="61" t="str">
        <f>IFERROR(__xludf.DUMMYFUNCTION("REGEXREPLACE(G15, ""_[a-z]{1,2}$"", """")"),"additional_studies1")</f>
        <v>additional_studies1</v>
      </c>
      <c r="BC15" s="65"/>
      <c r="BD15" s="62" t="s">
        <v>144</v>
      </c>
    </row>
    <row r="16" ht="20.25" customHeight="1">
      <c r="A16" s="44">
        <v>16.0</v>
      </c>
      <c r="B16" s="45" t="s">
        <v>114</v>
      </c>
      <c r="C16" s="45" t="s">
        <v>115</v>
      </c>
      <c r="D16" s="45" t="s">
        <v>232</v>
      </c>
      <c r="E16" s="45"/>
      <c r="F16" s="62" t="s">
        <v>233</v>
      </c>
      <c r="G16" s="45" t="s">
        <v>268</v>
      </c>
      <c r="H16" s="45" t="s">
        <v>235</v>
      </c>
      <c r="I16" s="63">
        <v>45427.0</v>
      </c>
      <c r="J16" s="64">
        <v>45624.0</v>
      </c>
      <c r="K16" s="45" t="s">
        <v>259</v>
      </c>
      <c r="L16" s="45" t="s">
        <v>269</v>
      </c>
      <c r="M16" s="45" t="s">
        <v>236</v>
      </c>
      <c r="N16" s="45" t="s">
        <v>237</v>
      </c>
      <c r="O16" s="45">
        <v>1.0</v>
      </c>
      <c r="P16" s="118" t="str">
        <f> hyperlink(vlookup(lower(N16),'File Links'!A:B, 2, FALSE), SUBSTITUTE(lower(N16), "/", "--") &amp;  ".pdf")</f>
        <v>10.1007--s11858-016-0819-3.pdf</v>
      </c>
      <c r="Q16" s="52" t="str">
        <f t="array" ref="Q16"> if(iserror(MATCH(V16, 'File Links'!C:C, 0)), "N/A", HYPERLINK(INDEX('File Links'!B:B, MATCH(P16, 'File Links'!C:C, 0))))</f>
        <v>https://drive.google.com/file/d/1A3A0XWewbvFp536VbiCjIAYxdIJwVP-9/view?usp=drivesdk</v>
      </c>
      <c r="R16" s="45" t="s">
        <v>251</v>
      </c>
      <c r="S16" s="45" t="s">
        <v>239</v>
      </c>
      <c r="T16" s="65"/>
      <c r="U16" s="45">
        <v>1.0</v>
      </c>
      <c r="V16" s="66" t="str">
        <f> hyperlink(vlookup(lower(S16),'File Links'!E:F, 2, FALSE), SUBSTITUTE(lower(S16), "/", "--") &amp;  ".pdf")</f>
        <v>10.1163--26670127-bja10017.pdf</v>
      </c>
      <c r="W16" s="45" t="s">
        <v>240</v>
      </c>
      <c r="X16" s="54" t="str">
        <f t="array" ref="X16"> if(iserror(MATCH(V16, 'File Links'!C:C, 0)), "N/A", HYPERLINK(INDEX('File Links'!B:B, MATCH(V16, 'File Links'!C:C, 0))))</f>
        <v>https://drive.google.com/file/d/1u_oSZ0fEx8q87XxieN1axHREEr_kiGBE/view?usp=drivesdk</v>
      </c>
      <c r="Y16" s="65"/>
      <c r="Z16" s="45" t="s">
        <v>241</v>
      </c>
      <c r="AA16" s="45" t="s">
        <v>242</v>
      </c>
      <c r="AB16" s="45" t="s">
        <v>243</v>
      </c>
      <c r="AC16" s="45" t="s">
        <v>270</v>
      </c>
      <c r="AD16" s="44"/>
      <c r="AE16" s="65"/>
      <c r="AF16" s="65"/>
      <c r="AG16" s="65"/>
      <c r="AH16" s="65"/>
      <c r="AI16" s="65"/>
      <c r="AJ16" s="45"/>
      <c r="AK16" s="65"/>
      <c r="AL16" s="65"/>
      <c r="AM16" s="67"/>
      <c r="AN16" s="58" t="s">
        <v>138</v>
      </c>
      <c r="AO16" s="45">
        <v>80.0</v>
      </c>
      <c r="AP16" s="45">
        <v>0.27</v>
      </c>
      <c r="AQ16" s="45" t="s">
        <v>271</v>
      </c>
      <c r="AR16" s="45" t="s">
        <v>272</v>
      </c>
      <c r="AS16" s="45" t="s">
        <v>267</v>
      </c>
      <c r="AT16" s="45" t="s">
        <v>135</v>
      </c>
      <c r="AU16" s="45" t="s">
        <v>186</v>
      </c>
      <c r="AV16" s="67"/>
      <c r="AX16" s="129" t="s">
        <v>273</v>
      </c>
      <c r="AY16" s="61" t="str">
        <f>IFERROR(__xludf.DUMMYFUNCTION("vlookup(BB16,importrange(""https://docs.google.com/spreadsheets/d/1d2vevQ_7D_v35q4wCQ4RpQ_IPoTwEMB9Yp6ymwlPqew/edit?gid=984458430#gid=984458430"", ""'replication success'!A:K""), 11, FAlSE)"),"successful")</f>
        <v>successful</v>
      </c>
      <c r="AZ16" s="61" t="str">
        <f>IFERROR(__xludf.DUMMYFUNCTION("vlookup(BB16,importrange(""https://docs.google.com/spreadsheets/d/1d2vevQ_7D_v35q4wCQ4RpQ_IPoTwEMB9Yp6ymwlPqew/edit?gid=984458430#gid=984458430"",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6" s="61" t="str">
        <f>IFERROR(__xludf.DUMMYFUNCTION("vlookup(BB16,importrange(""https://docs.google.com/spreadsheets/d/1d2vevQ_7D_v35q4wCQ4RpQ_IPoTwEMB9Yp6ymwlPqew/edit?gid=984458430#gid=984458430"", ""'replication success'!A:M""), 13, FAlSE)"),"pg.26")</f>
        <v>pg.26</v>
      </c>
      <c r="BB16" s="61" t="str">
        <f>IFERROR(__xludf.DUMMYFUNCTION("REGEXREPLACE(G16, ""_[a-z]{1,2}$"", """")"),"additional_studies1")</f>
        <v>additional_studies1</v>
      </c>
      <c r="BC16" s="45"/>
      <c r="BD16" s="62" t="s">
        <v>144</v>
      </c>
    </row>
    <row r="17" ht="20.25" customHeight="1">
      <c r="A17" s="44">
        <v>17.0</v>
      </c>
      <c r="B17" s="45" t="s">
        <v>114</v>
      </c>
      <c r="C17" s="45" t="s">
        <v>115</v>
      </c>
      <c r="D17" s="45" t="s">
        <v>232</v>
      </c>
      <c r="E17" s="45"/>
      <c r="F17" s="62" t="s">
        <v>233</v>
      </c>
      <c r="G17" s="45" t="s">
        <v>274</v>
      </c>
      <c r="H17" s="45" t="s">
        <v>235</v>
      </c>
      <c r="I17" s="63">
        <v>45427.0</v>
      </c>
      <c r="J17" s="64">
        <v>45624.0</v>
      </c>
      <c r="K17" s="45" t="s">
        <v>259</v>
      </c>
      <c r="L17" s="45" t="s">
        <v>269</v>
      </c>
      <c r="M17" s="45" t="s">
        <v>236</v>
      </c>
      <c r="N17" s="45" t="s">
        <v>237</v>
      </c>
      <c r="O17" s="45">
        <v>1.0</v>
      </c>
      <c r="P17" s="118" t="str">
        <f> hyperlink(vlookup(lower(N17),'File Links'!A:B, 2, FALSE), SUBSTITUTE(lower(N17), "/", "--") &amp;  ".pdf")</f>
        <v>10.1007--s11858-016-0819-3.pdf</v>
      </c>
      <c r="Q17" s="52" t="str">
        <f t="array" ref="Q17"> if(iserror(MATCH(V17, 'File Links'!C:C, 0)), "N/A", HYPERLINK(INDEX('File Links'!B:B, MATCH(P17, 'File Links'!C:C, 0))))</f>
        <v>https://drive.google.com/file/d/1A3A0XWewbvFp536VbiCjIAYxdIJwVP-9/view?usp=drivesdk</v>
      </c>
      <c r="R17" s="45" t="s">
        <v>251</v>
      </c>
      <c r="S17" s="45" t="s">
        <v>239</v>
      </c>
      <c r="T17" s="65"/>
      <c r="U17" s="45">
        <v>1.0</v>
      </c>
      <c r="V17" s="66" t="str">
        <f> hyperlink(vlookup(lower(S17),'File Links'!E:F, 2, FALSE), SUBSTITUTE(lower(S17), "/", "--") &amp;  ".pdf")</f>
        <v>10.1163--26670127-bja10017.pdf</v>
      </c>
      <c r="W17" s="45" t="s">
        <v>240</v>
      </c>
      <c r="X17" s="54" t="str">
        <f t="array" ref="X17"> if(iserror(MATCH(V17, 'File Links'!C:C, 0)), "N/A", HYPERLINK(INDEX('File Links'!B:B, MATCH(V17, 'File Links'!C:C, 0))))</f>
        <v>https://drive.google.com/file/d/1u_oSZ0fEx8q87XxieN1axHREEr_kiGBE/view?usp=drivesdk</v>
      </c>
      <c r="Y17" s="65"/>
      <c r="Z17" s="45" t="s">
        <v>241</v>
      </c>
      <c r="AA17" s="45" t="s">
        <v>242</v>
      </c>
      <c r="AB17" s="45" t="s">
        <v>243</v>
      </c>
      <c r="AC17" s="45" t="s">
        <v>275</v>
      </c>
      <c r="AD17" s="44"/>
      <c r="AE17" s="65"/>
      <c r="AF17" s="65"/>
      <c r="AG17" s="65"/>
      <c r="AH17" s="65"/>
      <c r="AI17" s="65"/>
      <c r="AJ17" s="45"/>
      <c r="AK17" s="65"/>
      <c r="AL17" s="65"/>
      <c r="AM17" s="67"/>
      <c r="AN17" s="58" t="s">
        <v>138</v>
      </c>
      <c r="AO17" s="45">
        <v>80.0</v>
      </c>
      <c r="AP17" s="45">
        <v>0.68</v>
      </c>
      <c r="AQ17" s="45" t="s">
        <v>271</v>
      </c>
      <c r="AR17" s="45" t="s">
        <v>276</v>
      </c>
      <c r="AS17" s="45" t="s">
        <v>267</v>
      </c>
      <c r="AT17" s="45" t="s">
        <v>135</v>
      </c>
      <c r="AU17" s="45" t="s">
        <v>186</v>
      </c>
      <c r="AV17" s="67"/>
      <c r="AX17" s="129" t="s">
        <v>273</v>
      </c>
      <c r="AY17" s="61" t="str">
        <f>IFERROR(__xludf.DUMMYFUNCTION("vlookup(BB17,importrange(""https://docs.google.com/spreadsheets/d/1d2vevQ_7D_v35q4wCQ4RpQ_IPoTwEMB9Yp6ymwlPqew/edit?gid=984458430#gid=984458430"", ""'replication success'!A:K""), 11, FAlSE)"),"successful")</f>
        <v>successful</v>
      </c>
      <c r="AZ17" s="61" t="str">
        <f>IFERROR(__xludf.DUMMYFUNCTION("vlookup(BB17,importrange(""https://docs.google.com/spreadsheets/d/1d2vevQ_7D_v35q4wCQ4RpQ_IPoTwEMB9Yp6ymwlPqew/edit?gid=984458430#gid=984458430"",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7" s="61" t="str">
        <f>IFERROR(__xludf.DUMMYFUNCTION("vlookup(BB17,importrange(""https://docs.google.com/spreadsheets/d/1d2vevQ_7D_v35q4wCQ4RpQ_IPoTwEMB9Yp6ymwlPqew/edit?gid=984458430#gid=984458430"", ""'replication success'!A:M""), 13, FAlSE)"),"pg.26")</f>
        <v>pg.26</v>
      </c>
      <c r="BB17" s="61" t="str">
        <f>IFERROR(__xludf.DUMMYFUNCTION("REGEXREPLACE(G17, ""_[a-z]{1,2}$"", """")"),"additional_studies1")</f>
        <v>additional_studies1</v>
      </c>
      <c r="BC17" s="45"/>
      <c r="BD17" s="62" t="s">
        <v>144</v>
      </c>
    </row>
    <row r="18" ht="20.25" customHeight="1">
      <c r="A18" s="44">
        <v>18.0</v>
      </c>
      <c r="B18" s="45" t="s">
        <v>114</v>
      </c>
      <c r="C18" s="45" t="s">
        <v>115</v>
      </c>
      <c r="D18" s="45" t="s">
        <v>232</v>
      </c>
      <c r="E18" s="45"/>
      <c r="F18" s="62" t="s">
        <v>233</v>
      </c>
      <c r="G18" s="45" t="s">
        <v>277</v>
      </c>
      <c r="H18" s="45" t="s">
        <v>235</v>
      </c>
      <c r="I18" s="63">
        <v>45427.0</v>
      </c>
      <c r="J18" s="64">
        <v>45624.0</v>
      </c>
      <c r="K18" s="45" t="s">
        <v>259</v>
      </c>
      <c r="L18" s="45" t="s">
        <v>269</v>
      </c>
      <c r="M18" s="45" t="s">
        <v>236</v>
      </c>
      <c r="N18" s="45" t="s">
        <v>237</v>
      </c>
      <c r="O18" s="45">
        <v>1.0</v>
      </c>
      <c r="P18" s="118" t="str">
        <f> hyperlink(vlookup(lower(N18),'File Links'!A:B, 2, FALSE), SUBSTITUTE(lower(N18), "/", "--") &amp;  ".pdf")</f>
        <v>10.1007--s11858-016-0819-3.pdf</v>
      </c>
      <c r="Q18" s="52" t="str">
        <f t="array" ref="Q18"> if(iserror(MATCH(V18, 'File Links'!C:C, 0)), "N/A", HYPERLINK(INDEX('File Links'!B:B, MATCH(P18, 'File Links'!C:C, 0))))</f>
        <v>https://drive.google.com/file/d/1A3A0XWewbvFp536VbiCjIAYxdIJwVP-9/view?usp=drivesdk</v>
      </c>
      <c r="R18" s="45" t="s">
        <v>251</v>
      </c>
      <c r="S18" s="45" t="s">
        <v>239</v>
      </c>
      <c r="T18" s="65"/>
      <c r="U18" s="45">
        <v>1.0</v>
      </c>
      <c r="V18" s="66" t="str">
        <f> hyperlink(vlookup(lower(S18),'File Links'!E:F, 2, FALSE), SUBSTITUTE(lower(S18), "/", "--") &amp;  ".pdf")</f>
        <v>10.1163--26670127-bja10017.pdf</v>
      </c>
      <c r="W18" s="45" t="s">
        <v>240</v>
      </c>
      <c r="X18" s="54" t="str">
        <f t="array" ref="X18"> if(iserror(MATCH(V18, 'File Links'!C:C, 0)), "N/A", HYPERLINK(INDEX('File Links'!B:B, MATCH(V18, 'File Links'!C:C, 0))))</f>
        <v>https://drive.google.com/file/d/1u_oSZ0fEx8q87XxieN1axHREEr_kiGBE/view?usp=drivesdk</v>
      </c>
      <c r="Y18" s="65"/>
      <c r="Z18" s="45" t="s">
        <v>241</v>
      </c>
      <c r="AA18" s="45" t="s">
        <v>242</v>
      </c>
      <c r="AB18" s="45" t="s">
        <v>243</v>
      </c>
      <c r="AC18" s="45" t="s">
        <v>278</v>
      </c>
      <c r="AD18" s="44"/>
      <c r="AE18" s="65"/>
      <c r="AF18" s="65"/>
      <c r="AG18" s="65"/>
      <c r="AH18" s="65"/>
      <c r="AI18" s="65"/>
      <c r="AJ18" s="45"/>
      <c r="AK18" s="65"/>
      <c r="AL18" s="65"/>
      <c r="AM18" s="67"/>
      <c r="AN18" s="58" t="s">
        <v>138</v>
      </c>
      <c r="AO18" s="45">
        <v>80.0</v>
      </c>
      <c r="AP18" s="45" t="s">
        <v>279</v>
      </c>
      <c r="AQ18" s="45" t="s">
        <v>215</v>
      </c>
      <c r="AR18" s="65"/>
      <c r="AS18" s="45" t="s">
        <v>280</v>
      </c>
      <c r="AT18" s="45" t="s">
        <v>135</v>
      </c>
      <c r="AU18" s="45" t="s">
        <v>186</v>
      </c>
      <c r="AV18" s="67"/>
      <c r="AX18" s="129" t="s">
        <v>273</v>
      </c>
      <c r="AY18" s="61" t="str">
        <f>IFERROR(__xludf.DUMMYFUNCTION("vlookup(BB18,importrange(""https://docs.google.com/spreadsheets/d/1d2vevQ_7D_v35q4wCQ4RpQ_IPoTwEMB9Yp6ymwlPqew/edit?gid=984458430#gid=984458430"", ""'replication success'!A:K""), 11, FAlSE)"),"successful")</f>
        <v>successful</v>
      </c>
      <c r="AZ18" s="61" t="str">
        <f>IFERROR(__xludf.DUMMYFUNCTION("vlookup(BB18,importrange(""https://docs.google.com/spreadsheets/d/1d2vevQ_7D_v35q4wCQ4RpQ_IPoTwEMB9Yp6ymwlPqew/edit?gid=984458430#gid=984458430"",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8" s="61" t="str">
        <f>IFERROR(__xludf.DUMMYFUNCTION("vlookup(BB18,importrange(""https://docs.google.com/spreadsheets/d/1d2vevQ_7D_v35q4wCQ4RpQ_IPoTwEMB9Yp6ymwlPqew/edit?gid=984458430#gid=984458430"", ""'replication success'!A:M""), 13, FAlSE)"),"pg.26")</f>
        <v>pg.26</v>
      </c>
      <c r="BB18" s="61" t="str">
        <f>IFERROR(__xludf.DUMMYFUNCTION("REGEXREPLACE(G18, ""_[a-z]{1,2}$"", """")"),"additional_studies1")</f>
        <v>additional_studies1</v>
      </c>
      <c r="BC18" s="45"/>
      <c r="BD18" s="62" t="s">
        <v>144</v>
      </c>
    </row>
    <row r="19" ht="20.25" customHeight="1">
      <c r="A19" s="44">
        <v>19.0</v>
      </c>
      <c r="B19" s="45" t="s">
        <v>114</v>
      </c>
      <c r="C19" s="45" t="s">
        <v>115</v>
      </c>
      <c r="D19" s="45" t="s">
        <v>232</v>
      </c>
      <c r="E19" s="45"/>
      <c r="F19" s="62" t="s">
        <v>233</v>
      </c>
      <c r="G19" s="45" t="s">
        <v>281</v>
      </c>
      <c r="H19" s="45" t="s">
        <v>235</v>
      </c>
      <c r="I19" s="63">
        <v>45427.0</v>
      </c>
      <c r="J19" s="64">
        <v>45624.0</v>
      </c>
      <c r="K19" s="45" t="s">
        <v>259</v>
      </c>
      <c r="L19" s="45" t="s">
        <v>269</v>
      </c>
      <c r="M19" s="45" t="s">
        <v>236</v>
      </c>
      <c r="N19" s="45" t="s">
        <v>237</v>
      </c>
      <c r="O19" s="45">
        <v>1.0</v>
      </c>
      <c r="P19" s="118" t="str">
        <f> hyperlink(vlookup(lower(N19),'File Links'!A:B, 2, FALSE), SUBSTITUTE(lower(N19), "/", "--") &amp;  ".pdf")</f>
        <v>10.1007--s11858-016-0819-3.pdf</v>
      </c>
      <c r="Q19" s="52" t="str">
        <f t="array" ref="Q19"> if(iserror(MATCH(V19, 'File Links'!C:C, 0)), "N/A", HYPERLINK(INDEX('File Links'!B:B, MATCH(P19, 'File Links'!C:C, 0))))</f>
        <v>https://drive.google.com/file/d/1A3A0XWewbvFp536VbiCjIAYxdIJwVP-9/view?usp=drivesdk</v>
      </c>
      <c r="R19" s="45" t="s">
        <v>251</v>
      </c>
      <c r="S19" s="45" t="s">
        <v>239</v>
      </c>
      <c r="T19" s="65"/>
      <c r="U19" s="45">
        <v>1.0</v>
      </c>
      <c r="V19" s="66" t="str">
        <f> hyperlink(vlookup(lower(S19),'File Links'!E:F, 2, FALSE), SUBSTITUTE(lower(S19), "/", "--") &amp;  ".pdf")</f>
        <v>10.1163--26670127-bja10017.pdf</v>
      </c>
      <c r="W19" s="45" t="s">
        <v>240</v>
      </c>
      <c r="X19" s="54" t="str">
        <f t="array" ref="X19"> if(iserror(MATCH(V19, 'File Links'!C:C, 0)), "N/A", HYPERLINK(INDEX('File Links'!B:B, MATCH(V19, 'File Links'!C:C, 0))))</f>
        <v>https://drive.google.com/file/d/1u_oSZ0fEx8q87XxieN1axHREEr_kiGBE/view?usp=drivesdk</v>
      </c>
      <c r="Y19" s="65"/>
      <c r="Z19" s="45" t="s">
        <v>241</v>
      </c>
      <c r="AA19" s="45" t="s">
        <v>242</v>
      </c>
      <c r="AB19" s="45" t="s">
        <v>243</v>
      </c>
      <c r="AC19" s="45" t="s">
        <v>282</v>
      </c>
      <c r="AD19" s="65"/>
      <c r="AE19" s="65"/>
      <c r="AF19" s="65"/>
      <c r="AG19" s="65"/>
      <c r="AH19" s="65"/>
      <c r="AI19" s="65"/>
      <c r="AJ19" s="45"/>
      <c r="AK19" s="65"/>
      <c r="AL19" s="65"/>
      <c r="AM19" s="67"/>
      <c r="AN19" s="58" t="s">
        <v>138</v>
      </c>
      <c r="AO19" s="45">
        <v>80.0</v>
      </c>
      <c r="AP19" s="45" t="s">
        <v>283</v>
      </c>
      <c r="AQ19" s="45" t="s">
        <v>215</v>
      </c>
      <c r="AR19" s="65"/>
      <c r="AS19" s="45" t="s">
        <v>284</v>
      </c>
      <c r="AT19" s="45" t="s">
        <v>135</v>
      </c>
      <c r="AU19" s="45" t="s">
        <v>186</v>
      </c>
      <c r="AV19" s="67"/>
      <c r="AX19" s="129" t="s">
        <v>273</v>
      </c>
      <c r="AY19" s="61" t="str">
        <f>IFERROR(__xludf.DUMMYFUNCTION("vlookup(BB19,importrange(""https://docs.google.com/spreadsheets/d/1d2vevQ_7D_v35q4wCQ4RpQ_IPoTwEMB9Yp6ymwlPqew/edit?gid=984458430#gid=984458430"", ""'replication success'!A:K""), 11, FAlSE)"),"successful")</f>
        <v>successful</v>
      </c>
      <c r="AZ19" s="61" t="str">
        <f>IFERROR(__xludf.DUMMYFUNCTION("vlookup(BB19,importrange(""https://docs.google.com/spreadsheets/d/1d2vevQ_7D_v35q4wCQ4RpQ_IPoTwEMB9Yp6ymwlPqew/edit?gid=984458430#gid=984458430"", ""'replication success'!A:M""), 12, FAlSE)"),"This result is consistent with the replicated study
(Rellensmann &amp; Schukajlow, 2017), although, in that study, the interest values were
adjusted to control the effect of task difficulty (in the present work that part corresponds
to the study of perform"&amp;"ance that will be discussed later).")</f>
        <v>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v>
      </c>
      <c r="BA19" s="61" t="str">
        <f>IFERROR(__xludf.DUMMYFUNCTION("vlookup(BB19,importrange(""https://docs.google.com/spreadsheets/d/1d2vevQ_7D_v35q4wCQ4RpQ_IPoTwEMB9Yp6ymwlPqew/edit?gid=984458430#gid=984458430"", ""'replication success'!A:M""), 13, FAlSE)"),"pg.26")</f>
        <v>pg.26</v>
      </c>
      <c r="BB19" s="61" t="str">
        <f>IFERROR(__xludf.DUMMYFUNCTION("REGEXREPLACE(G19, ""_[a-z]{1,2}$"", """")"),"additional_studies1")</f>
        <v>additional_studies1</v>
      </c>
      <c r="BC19" s="45"/>
      <c r="BD19" s="62" t="s">
        <v>144</v>
      </c>
    </row>
    <row r="20" ht="20.25" customHeight="1">
      <c r="A20" s="44">
        <v>20.0</v>
      </c>
      <c r="B20" s="62" t="s">
        <v>285</v>
      </c>
      <c r="C20" s="62" t="s">
        <v>115</v>
      </c>
      <c r="D20" s="62" t="s">
        <v>286</v>
      </c>
      <c r="F20" s="150" t="s">
        <v>287</v>
      </c>
      <c r="G20" s="151" t="s">
        <v>288</v>
      </c>
      <c r="H20" s="151" t="s">
        <v>289</v>
      </c>
      <c r="I20" s="152"/>
      <c r="J20" s="153">
        <v>45683.0</v>
      </c>
      <c r="K20" s="129" t="s">
        <v>290</v>
      </c>
      <c r="L20" s="68"/>
      <c r="M20" s="154"/>
      <c r="N20" s="155" t="s">
        <v>291</v>
      </c>
      <c r="O20" s="156"/>
      <c r="P20" s="118" t="str">
        <f> hyperlink(vlookup(lower(N20),'File Links'!A:B, 2, FALSE), SUBSTITUTE(lower(N20), "/", "--") &amp;  ".pdf")</f>
        <v>10.1111--lang.12161.pdf</v>
      </c>
      <c r="Q20" s="52" t="str">
        <f t="array" ref="Q20"> if(iserror(MATCH(V20, 'File Links'!C:C, 0)), "N/A", HYPERLINK(INDEX('File Links'!B:B, MATCH(P20, 'File Links'!C:C, 0))))</f>
        <v>https://drive.google.com/file/d/1W_KvsfbanYWBQG9nzoDuqDlzFW_jUYH2/view?usp=drivesdk</v>
      </c>
      <c r="R20" s="157" t="s">
        <v>292</v>
      </c>
      <c r="S20" s="157" t="s">
        <v>293</v>
      </c>
      <c r="T20" s="68"/>
      <c r="U20" s="156"/>
      <c r="V20" s="66" t="str">
        <f> hyperlink(vlookup(lower(S20),'File Links'!E:F, 2, FALSE), SUBSTITUTE(lower(S20), "/", "--") &amp;  ".pdf")</f>
        <v>10.1017--s0272263124000238.pdf</v>
      </c>
      <c r="W20" s="129" t="s">
        <v>294</v>
      </c>
      <c r="X20" s="54" t="str">
        <f t="array" ref="X20"> if(iserror(MATCH(V20, 'File Links'!C:C, 0)), "N/A", HYPERLINK(INDEX('File Links'!B:B, MATCH(V20, 'File Links'!C:C, 0))))</f>
        <v>https://drive.google.com/file/d/1KQ2h_KjNuvgQPQ443vS97noydUJbOuPG/view?usp=drivesdk</v>
      </c>
      <c r="Z20" s="151" t="s">
        <v>295</v>
      </c>
      <c r="AA20" s="129" t="s">
        <v>296</v>
      </c>
      <c r="AB20" s="129" t="s">
        <v>297</v>
      </c>
      <c r="AC20" s="129" t="s">
        <v>298</v>
      </c>
      <c r="AD20" s="158"/>
      <c r="AE20" s="156"/>
      <c r="AF20" s="156"/>
      <c r="AG20" s="156"/>
      <c r="AH20" s="159"/>
      <c r="AI20" s="68"/>
      <c r="AJ20" s="160"/>
      <c r="AK20" s="57"/>
      <c r="AL20" s="57"/>
      <c r="AM20" s="68"/>
      <c r="AN20" s="58" t="s">
        <v>138</v>
      </c>
      <c r="AO20" s="161">
        <v>58.0</v>
      </c>
      <c r="AP20" s="161">
        <v>3.31</v>
      </c>
      <c r="AQ20" s="151" t="s">
        <v>173</v>
      </c>
      <c r="AR20" s="129" t="s">
        <v>299</v>
      </c>
      <c r="AS20" s="162"/>
      <c r="AT20" s="159"/>
      <c r="AU20" s="159"/>
      <c r="AV20" s="129" t="s">
        <v>141</v>
      </c>
      <c r="AW20" s="163" t="s">
        <v>300</v>
      </c>
      <c r="AX20" s="129" t="s">
        <v>143</v>
      </c>
      <c r="AY20" s="61" t="str">
        <f>IFERROR(__xludf.DUMMYFUNCTION("vlookup(BB20,importrange(""https://docs.google.com/spreadsheets/d/1d2vevQ_7D_v35q4wCQ4RpQ_IPoTwEMB9Yp6ymwlPqew/edit?gid=984458430#gid=984458430"", ""'replication success'!A:K""), 11, FAlSE)"),"failed")</f>
        <v>failed</v>
      </c>
      <c r="AZ20" s="61" t="str">
        <f>IFERROR(__xludf.DUMMYFUNCTION("vlookup(BB20,importrange(""https://docs.google.com/spreadsheets/d/1d2vevQ_7D_v35q4wCQ4RpQ_IPoTwEMB9Yp6ymwlPqew/edit?gid=984458430#gid=984458430"",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0" s="61" t="str">
        <f>IFERROR(__xludf.DUMMYFUNCTION("vlookup(BB20,importrange(""https://docs.google.com/spreadsheets/d/1d2vevQ_7D_v35q4wCQ4RpQ_IPoTwEMB9Yp6ymwlPqew/edit?gid=984458430#gid=984458430"", ""'replication success'!A:M""), 13, FAlSE)"),"abstract")</f>
        <v>abstract</v>
      </c>
      <c r="BB20" s="61" t="str">
        <f>IFERROR(__xludf.DUMMYFUNCTION("REGEXREPLACE(G20, ""_[a-z]{1,2}$"", """")"),"additional_studies10")</f>
        <v>additional_studies10</v>
      </c>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row>
    <row r="21" ht="20.25" customHeight="1">
      <c r="A21" s="44">
        <v>21.0</v>
      </c>
      <c r="B21" s="62" t="s">
        <v>285</v>
      </c>
      <c r="C21" s="62" t="s">
        <v>115</v>
      </c>
      <c r="D21" s="62" t="s">
        <v>286</v>
      </c>
      <c r="F21" s="150" t="s">
        <v>287</v>
      </c>
      <c r="G21" s="151" t="s">
        <v>301</v>
      </c>
      <c r="H21" s="151" t="s">
        <v>289</v>
      </c>
      <c r="I21" s="152"/>
      <c r="J21" s="153">
        <v>45683.0</v>
      </c>
      <c r="K21" s="129" t="s">
        <v>290</v>
      </c>
      <c r="L21" s="68"/>
      <c r="M21" s="154"/>
      <c r="N21" s="155" t="s">
        <v>291</v>
      </c>
      <c r="O21" s="156"/>
      <c r="P21" s="118" t="str">
        <f> hyperlink(vlookup(lower(N21),'File Links'!A:B, 2, FALSE), SUBSTITUTE(lower(N21), "/", "--") &amp;  ".pdf")</f>
        <v>10.1111--lang.12161.pdf</v>
      </c>
      <c r="Q21" s="52" t="str">
        <f t="array" ref="Q21"> if(iserror(MATCH(V21, 'File Links'!C:C, 0)), "N/A", HYPERLINK(INDEX('File Links'!B:B, MATCH(P21, 'File Links'!C:C, 0))))</f>
        <v>https://drive.google.com/file/d/1W_KvsfbanYWBQG9nzoDuqDlzFW_jUYH2/view?usp=drivesdk</v>
      </c>
      <c r="R21" s="157" t="s">
        <v>292</v>
      </c>
      <c r="S21" s="157" t="s">
        <v>293</v>
      </c>
      <c r="T21" s="68"/>
      <c r="U21" s="156"/>
      <c r="V21" s="66" t="str">
        <f> hyperlink(vlookup(lower(S21),'File Links'!E:F, 2, FALSE), SUBSTITUTE(lower(S21), "/", "--") &amp;  ".pdf")</f>
        <v>10.1017--s0272263124000238.pdf</v>
      </c>
      <c r="W21" s="129" t="s">
        <v>294</v>
      </c>
      <c r="X21" s="54" t="str">
        <f t="array" ref="X21"> if(iserror(MATCH(V21, 'File Links'!C:C, 0)), "N/A", HYPERLINK(INDEX('File Links'!B:B, MATCH(V21, 'File Links'!C:C, 0))))</f>
        <v>https://drive.google.com/file/d/1KQ2h_KjNuvgQPQ443vS97noydUJbOuPG/view?usp=drivesdk</v>
      </c>
      <c r="Z21" s="151" t="s">
        <v>295</v>
      </c>
      <c r="AA21" s="129" t="s">
        <v>302</v>
      </c>
      <c r="AB21" s="129" t="s">
        <v>297</v>
      </c>
      <c r="AC21" s="129" t="s">
        <v>303</v>
      </c>
      <c r="AD21" s="165" t="s">
        <v>304</v>
      </c>
      <c r="AE21" s="161" t="s">
        <v>305</v>
      </c>
      <c r="AF21" s="161">
        <v>25.0</v>
      </c>
      <c r="AG21" s="161">
        <v>0.17</v>
      </c>
      <c r="AH21" s="151" t="s">
        <v>215</v>
      </c>
      <c r="AI21" s="129" t="s">
        <v>306</v>
      </c>
      <c r="AJ21" s="166">
        <v>0.71</v>
      </c>
      <c r="AK21" s="151" t="s">
        <v>172</v>
      </c>
      <c r="AL21" s="151" t="s">
        <v>186</v>
      </c>
      <c r="AM21" s="129" t="s">
        <v>141</v>
      </c>
      <c r="AN21" s="58" t="s">
        <v>138</v>
      </c>
      <c r="AO21" s="161">
        <v>58.0</v>
      </c>
      <c r="AP21" s="161">
        <v>0.64</v>
      </c>
      <c r="AQ21" s="151" t="s">
        <v>173</v>
      </c>
      <c r="AR21" s="129" t="s">
        <v>307</v>
      </c>
      <c r="AS21" s="166">
        <v>0.001</v>
      </c>
      <c r="AT21" s="151" t="s">
        <v>135</v>
      </c>
      <c r="AU21" s="151" t="s">
        <v>186</v>
      </c>
      <c r="AV21" s="129" t="s">
        <v>141</v>
      </c>
      <c r="AW21" s="163" t="s">
        <v>300</v>
      </c>
      <c r="AX21" s="129" t="s">
        <v>143</v>
      </c>
      <c r="AY21" s="61" t="str">
        <f>IFERROR(__xludf.DUMMYFUNCTION("vlookup(BB21,importrange(""https://docs.google.com/spreadsheets/d/1d2vevQ_7D_v35q4wCQ4RpQ_IPoTwEMB9Yp6ymwlPqew/edit?gid=984458430#gid=984458430"", ""'replication success'!A:K""), 11, FAlSE)"),"failed")</f>
        <v>failed</v>
      </c>
      <c r="AZ21" s="61" t="str">
        <f>IFERROR(__xludf.DUMMYFUNCTION("vlookup(BB21,importrange(""https://docs.google.com/spreadsheets/d/1d2vevQ_7D_v35q4wCQ4RpQ_IPoTwEMB9Yp6ymwlPqew/edit?gid=984458430#gid=984458430"",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1" s="61" t="str">
        <f>IFERROR(__xludf.DUMMYFUNCTION("vlookup(BB21,importrange(""https://docs.google.com/spreadsheets/d/1d2vevQ_7D_v35q4wCQ4RpQ_IPoTwEMB9Yp6ymwlPqew/edit?gid=984458430#gid=984458430"", ""'replication success'!A:M""), 13, FAlSE)"),"abstract")</f>
        <v>abstract</v>
      </c>
      <c r="BB21" s="61" t="str">
        <f>IFERROR(__xludf.DUMMYFUNCTION("REGEXREPLACE(G21, ""_[a-z]{1,2}$"", """")"),"additional_studies10")</f>
        <v>additional_studies10</v>
      </c>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row>
    <row r="22" ht="20.25" customHeight="1">
      <c r="A22" s="44">
        <v>22.0</v>
      </c>
      <c r="B22" s="62" t="s">
        <v>285</v>
      </c>
      <c r="C22" s="62" t="s">
        <v>115</v>
      </c>
      <c r="D22" s="62" t="s">
        <v>286</v>
      </c>
      <c r="F22" s="150" t="s">
        <v>287</v>
      </c>
      <c r="G22" s="151" t="s">
        <v>308</v>
      </c>
      <c r="H22" s="151" t="s">
        <v>289</v>
      </c>
      <c r="I22" s="152"/>
      <c r="J22" s="153">
        <v>45683.0</v>
      </c>
      <c r="K22" s="129" t="s">
        <v>290</v>
      </c>
      <c r="L22" s="68"/>
      <c r="M22" s="154"/>
      <c r="N22" s="155" t="s">
        <v>291</v>
      </c>
      <c r="O22" s="156"/>
      <c r="P22" s="118" t="str">
        <f> hyperlink(vlookup(lower(N22),'File Links'!A:B, 2, FALSE), SUBSTITUTE(lower(N22), "/", "--") &amp;  ".pdf")</f>
        <v>10.1111--lang.12161.pdf</v>
      </c>
      <c r="Q22" s="52" t="str">
        <f t="array" ref="Q22"> if(iserror(MATCH(V22, 'File Links'!C:C, 0)), "N/A", HYPERLINK(INDEX('File Links'!B:B, MATCH(P22, 'File Links'!C:C, 0))))</f>
        <v>https://drive.google.com/file/d/1W_KvsfbanYWBQG9nzoDuqDlzFW_jUYH2/view?usp=drivesdk</v>
      </c>
      <c r="R22" s="157" t="s">
        <v>292</v>
      </c>
      <c r="S22" s="157" t="s">
        <v>293</v>
      </c>
      <c r="T22" s="68"/>
      <c r="U22" s="156"/>
      <c r="V22" s="66" t="str">
        <f> hyperlink(vlookup(lower(S22),'File Links'!E:F, 2, FALSE), SUBSTITUTE(lower(S22), "/", "--") &amp;  ".pdf")</f>
        <v>10.1017--s0272263124000238.pdf</v>
      </c>
      <c r="W22" s="129" t="s">
        <v>294</v>
      </c>
      <c r="X22" s="54" t="str">
        <f t="array" ref="X22"> if(iserror(MATCH(V22, 'File Links'!C:C, 0)), "N/A", HYPERLINK(INDEX('File Links'!B:B, MATCH(V22, 'File Links'!C:C, 0))))</f>
        <v>https://drive.google.com/file/d/1KQ2h_KjNuvgQPQ443vS97noydUJbOuPG/view?usp=drivesdk</v>
      </c>
      <c r="Z22" s="151" t="s">
        <v>295</v>
      </c>
      <c r="AA22" s="129" t="s">
        <v>309</v>
      </c>
      <c r="AB22" s="129" t="s">
        <v>297</v>
      </c>
      <c r="AC22" s="129" t="s">
        <v>310</v>
      </c>
      <c r="AD22" s="158"/>
      <c r="AE22" s="156"/>
      <c r="AF22" s="156"/>
      <c r="AG22" s="156"/>
      <c r="AH22" s="159"/>
      <c r="AI22" s="68"/>
      <c r="AJ22" s="160"/>
      <c r="AK22" s="57"/>
      <c r="AL22" s="57"/>
      <c r="AM22" s="68"/>
      <c r="AN22" s="58" t="s">
        <v>138</v>
      </c>
      <c r="AO22" s="161">
        <v>58.0</v>
      </c>
      <c r="AP22" s="161">
        <v>-2.67</v>
      </c>
      <c r="AQ22" s="151" t="s">
        <v>173</v>
      </c>
      <c r="AR22" s="129" t="s">
        <v>311</v>
      </c>
      <c r="AS22" s="162"/>
      <c r="AT22" s="159"/>
      <c r="AU22" s="159"/>
      <c r="AV22" s="68"/>
      <c r="AW22" s="163" t="s">
        <v>300</v>
      </c>
      <c r="AX22" s="129" t="s">
        <v>143</v>
      </c>
      <c r="AY22" s="61" t="str">
        <f>IFERROR(__xludf.DUMMYFUNCTION("vlookup(BB22,importrange(""https://docs.google.com/spreadsheets/d/1d2vevQ_7D_v35q4wCQ4RpQ_IPoTwEMB9Yp6ymwlPqew/edit?gid=984458430#gid=984458430"", ""'replication success'!A:K""), 11, FAlSE)"),"failed")</f>
        <v>failed</v>
      </c>
      <c r="AZ22" s="61" t="str">
        <f>IFERROR(__xludf.DUMMYFUNCTION("vlookup(BB22,importrange(""https://docs.google.com/spreadsheets/d/1d2vevQ_7D_v35q4wCQ4RpQ_IPoTwEMB9Yp6ymwlPqew/edit?gid=984458430#gid=984458430"",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2" s="61" t="str">
        <f>IFERROR(__xludf.DUMMYFUNCTION("vlookup(BB22,importrange(""https://docs.google.com/spreadsheets/d/1d2vevQ_7D_v35q4wCQ4RpQ_IPoTwEMB9Yp6ymwlPqew/edit?gid=984458430#gid=984458430"", ""'replication success'!A:M""), 13, FAlSE)"),"abstract")</f>
        <v>abstract</v>
      </c>
      <c r="BB22" s="61" t="str">
        <f>IFERROR(__xludf.DUMMYFUNCTION("REGEXREPLACE(G22, ""_[a-z]{1,2}$"", """")"),"additional_studies10")</f>
        <v>additional_studies10</v>
      </c>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4"/>
      <c r="CD22" s="164"/>
      <c r="CE22" s="164"/>
      <c r="CF22" s="164"/>
      <c r="CG22" s="164"/>
      <c r="CH22" s="164"/>
      <c r="CI22" s="164"/>
      <c r="CJ22" s="164"/>
      <c r="CK22" s="164"/>
      <c r="CL22" s="164"/>
      <c r="CM22" s="164"/>
      <c r="CN22" s="164"/>
      <c r="CO22" s="164"/>
      <c r="CP22" s="164"/>
      <c r="CQ22" s="164"/>
      <c r="CR22" s="164"/>
      <c r="CS22" s="164"/>
      <c r="CT22" s="164"/>
      <c r="CU22" s="164"/>
      <c r="CV22" s="164"/>
      <c r="CW22" s="164"/>
      <c r="CX22" s="164"/>
      <c r="CY22" s="164"/>
      <c r="CZ22" s="164"/>
      <c r="DA22" s="164"/>
      <c r="DB22" s="164"/>
      <c r="DC22" s="164"/>
      <c r="DD22" s="164"/>
      <c r="DE22" s="164"/>
      <c r="DF22" s="164"/>
      <c r="DG22" s="164"/>
      <c r="DH22" s="164"/>
      <c r="DI22" s="164"/>
      <c r="DJ22" s="164"/>
      <c r="DK22" s="164"/>
      <c r="DL22" s="164"/>
    </row>
    <row r="23" ht="20.25" customHeight="1">
      <c r="A23" s="44">
        <v>23.0</v>
      </c>
      <c r="B23" s="62" t="s">
        <v>285</v>
      </c>
      <c r="C23" s="62" t="s">
        <v>115</v>
      </c>
      <c r="D23" s="62" t="s">
        <v>286</v>
      </c>
      <c r="F23" s="150" t="s">
        <v>287</v>
      </c>
      <c r="G23" s="151" t="s">
        <v>312</v>
      </c>
      <c r="H23" s="151" t="s">
        <v>289</v>
      </c>
      <c r="I23" s="152"/>
      <c r="J23" s="153">
        <v>45683.0</v>
      </c>
      <c r="K23" s="129" t="s">
        <v>290</v>
      </c>
      <c r="L23" s="68"/>
      <c r="M23" s="154"/>
      <c r="N23" s="155" t="s">
        <v>291</v>
      </c>
      <c r="O23" s="156"/>
      <c r="P23" s="118" t="str">
        <f> hyperlink(vlookup(lower(N23),'File Links'!A:B, 2, FALSE), SUBSTITUTE(lower(N23), "/", "--") &amp;  ".pdf")</f>
        <v>10.1111--lang.12161.pdf</v>
      </c>
      <c r="Q23" s="52" t="str">
        <f t="array" ref="Q23"> if(iserror(MATCH(V23, 'File Links'!C:C, 0)), "N/A", HYPERLINK(INDEX('File Links'!B:B, MATCH(P23, 'File Links'!C:C, 0))))</f>
        <v>https://drive.google.com/file/d/1W_KvsfbanYWBQG9nzoDuqDlzFW_jUYH2/view?usp=drivesdk</v>
      </c>
      <c r="R23" s="157" t="s">
        <v>292</v>
      </c>
      <c r="S23" s="157" t="s">
        <v>293</v>
      </c>
      <c r="T23" s="68"/>
      <c r="U23" s="156"/>
      <c r="V23" s="66" t="str">
        <f> hyperlink(vlookup(lower(S23),'File Links'!E:F, 2, FALSE), SUBSTITUTE(lower(S23), "/", "--") &amp;  ".pdf")</f>
        <v>10.1017--s0272263124000238.pdf</v>
      </c>
      <c r="W23" s="129" t="s">
        <v>294</v>
      </c>
      <c r="X23" s="54" t="str">
        <f t="array" ref="X23"> if(iserror(MATCH(V23, 'File Links'!C:C, 0)), "N/A", HYPERLINK(INDEX('File Links'!B:B, MATCH(V23, 'File Links'!C:C, 0))))</f>
        <v>https://drive.google.com/file/d/1KQ2h_KjNuvgQPQ443vS97noydUJbOuPG/view?usp=drivesdk</v>
      </c>
      <c r="Z23" s="151" t="s">
        <v>295</v>
      </c>
      <c r="AA23" s="129" t="s">
        <v>313</v>
      </c>
      <c r="AB23" s="129" t="s">
        <v>297</v>
      </c>
      <c r="AC23" s="129" t="s">
        <v>314</v>
      </c>
      <c r="AD23" s="158"/>
      <c r="AE23" s="156"/>
      <c r="AF23" s="156"/>
      <c r="AG23" s="156"/>
      <c r="AH23" s="159"/>
      <c r="AI23" s="68"/>
      <c r="AJ23" s="160"/>
      <c r="AK23" s="57"/>
      <c r="AL23" s="57"/>
      <c r="AM23" s="68"/>
      <c r="AN23" s="58" t="s">
        <v>138</v>
      </c>
      <c r="AO23" s="161">
        <v>58.0</v>
      </c>
      <c r="AP23" s="161">
        <v>1.94</v>
      </c>
      <c r="AQ23" s="151" t="s">
        <v>173</v>
      </c>
      <c r="AR23" s="129" t="s">
        <v>315</v>
      </c>
      <c r="AS23" s="162"/>
      <c r="AT23" s="159"/>
      <c r="AU23" s="159"/>
      <c r="AV23" s="68"/>
      <c r="AW23" s="163" t="s">
        <v>300</v>
      </c>
      <c r="AX23" s="129" t="s">
        <v>143</v>
      </c>
      <c r="AY23" s="61" t="str">
        <f>IFERROR(__xludf.DUMMYFUNCTION("vlookup(BB23,importrange(""https://docs.google.com/spreadsheets/d/1d2vevQ_7D_v35q4wCQ4RpQ_IPoTwEMB9Yp6ymwlPqew/edit?gid=984458430#gid=984458430"", ""'replication success'!A:K""), 11, FAlSE)"),"failed")</f>
        <v>failed</v>
      </c>
      <c r="AZ23" s="61" t="str">
        <f>IFERROR(__xludf.DUMMYFUNCTION("vlookup(BB23,importrange(""https://docs.google.com/spreadsheets/d/1d2vevQ_7D_v35q4wCQ4RpQ_IPoTwEMB9Yp6ymwlPqew/edit?gid=984458430#gid=984458430"",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3" s="61" t="str">
        <f>IFERROR(__xludf.DUMMYFUNCTION("vlookup(BB23,importrange(""https://docs.google.com/spreadsheets/d/1d2vevQ_7D_v35q4wCQ4RpQ_IPoTwEMB9Yp6ymwlPqew/edit?gid=984458430#gid=984458430"", ""'replication success'!A:M""), 13, FAlSE)"),"abstract")</f>
        <v>abstract</v>
      </c>
      <c r="BB23" s="61" t="str">
        <f>IFERROR(__xludf.DUMMYFUNCTION("REGEXREPLACE(G23, ""_[a-z]{1,2}$"", """")"),"additional_studies10")</f>
        <v>additional_studies10</v>
      </c>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row>
    <row r="24" ht="20.25" customHeight="1">
      <c r="A24" s="44">
        <v>24.0</v>
      </c>
      <c r="B24" s="157" t="s">
        <v>114</v>
      </c>
      <c r="C24" s="157" t="s">
        <v>115</v>
      </c>
      <c r="D24" s="167" t="s">
        <v>248</v>
      </c>
      <c r="E24" s="157"/>
      <c r="F24" s="168" t="s">
        <v>316</v>
      </c>
      <c r="G24" s="157" t="s">
        <v>317</v>
      </c>
      <c r="H24" s="157" t="s">
        <v>249</v>
      </c>
      <c r="I24" s="169">
        <v>45625.0</v>
      </c>
      <c r="J24" s="170">
        <v>45692.0</v>
      </c>
      <c r="K24" s="157" t="s">
        <v>318</v>
      </c>
      <c r="L24" s="171"/>
      <c r="M24" s="157" t="s">
        <v>319</v>
      </c>
      <c r="N24" s="157" t="s">
        <v>291</v>
      </c>
      <c r="O24" s="172">
        <v>1.0</v>
      </c>
      <c r="P24" s="173" t="str">
        <f> hyperlink(vlookup(lower(N24),'File Links'!A:B, 2, FALSE), SUBSTITUTE(lower(N24), "/", "--") &amp;  ".pdf")</f>
        <v>10.1111--lang.12161.pdf</v>
      </c>
      <c r="Q24" s="52" t="str">
        <f t="array" ref="Q24"> if(iserror(MATCH(V24, 'File Links'!C:C, 0)), "N/A", HYPERLINK(INDEX('File Links'!B:B, MATCH(P24, 'File Links'!C:C, 0))))</f>
        <v>https://drive.google.com/file/d/1W_KvsfbanYWBQG9nzoDuqDlzFW_jUYH2/view?usp=drivesdk</v>
      </c>
      <c r="R24" s="157" t="s">
        <v>292</v>
      </c>
      <c r="S24" s="157" t="s">
        <v>293</v>
      </c>
      <c r="T24" s="171"/>
      <c r="U24" s="172">
        <v>1.0</v>
      </c>
      <c r="V24" s="66" t="str">
        <f> hyperlink(vlookup(lower(S24),'File Links'!E:F, 2, FALSE), SUBSTITUTE(lower(S24), "/", "--") &amp;  ".pdf")</f>
        <v>10.1017--s0272263124000238.pdf</v>
      </c>
      <c r="W24" s="172" t="s">
        <v>320</v>
      </c>
      <c r="X24" s="54" t="str">
        <f t="array" ref="X24"> if(iserror(MATCH(V24, 'File Links'!C:C, 0)), "N/A", HYPERLINK(INDEX('File Links'!B:B, MATCH(V24, 'File Links'!C:C, 0))))</f>
        <v>https://drive.google.com/file/d/1KQ2h_KjNuvgQPQ443vS97noydUJbOuPG/view?usp=drivesdk</v>
      </c>
      <c r="Y24" s="171"/>
      <c r="Z24" s="167" t="s">
        <v>295</v>
      </c>
      <c r="AA24" s="174" t="s">
        <v>321</v>
      </c>
      <c r="AB24" s="175" t="s">
        <v>297</v>
      </c>
      <c r="AC24" s="157" t="s">
        <v>322</v>
      </c>
      <c r="AD24" s="157" t="s">
        <v>323</v>
      </c>
      <c r="AE24" s="157">
        <v>21.0</v>
      </c>
      <c r="AF24" s="157">
        <v>18.0</v>
      </c>
      <c r="AG24" s="171"/>
      <c r="AH24" s="171"/>
      <c r="AI24" s="171"/>
      <c r="AJ24" s="157"/>
      <c r="AK24" s="157" t="s">
        <v>135</v>
      </c>
      <c r="AL24" s="157" t="s">
        <v>186</v>
      </c>
      <c r="AM24" s="164"/>
      <c r="AN24" s="58" t="s">
        <v>138</v>
      </c>
      <c r="AO24" s="157">
        <v>58.0</v>
      </c>
      <c r="AP24" s="171"/>
      <c r="AQ24" s="171"/>
      <c r="AR24" s="171"/>
      <c r="AS24" s="171"/>
      <c r="AT24" s="171"/>
      <c r="AU24" s="157" t="s">
        <v>186</v>
      </c>
      <c r="AV24" s="164"/>
      <c r="AW24" s="164"/>
      <c r="AX24" s="175" t="s">
        <v>324</v>
      </c>
      <c r="AY24" s="61" t="str">
        <f>IFERROR(__xludf.DUMMYFUNCTION("vlookup(BB24,importrange(""https://docs.google.com/spreadsheets/d/1d2vevQ_7D_v35q4wCQ4RpQ_IPoTwEMB9Yp6ymwlPqew/edit?gid=984458430#gid=984458430"", ""'replication success'!A:K""), 11, FAlSE)"),"failed")</f>
        <v>failed</v>
      </c>
      <c r="AZ24" s="61" t="str">
        <f>IFERROR(__xludf.DUMMYFUNCTION("vlookup(BB24,importrange(""https://docs.google.com/spreadsheets/d/1d2vevQ_7D_v35q4wCQ4RpQ_IPoTwEMB9Yp6ymwlPqew/edit?gid=984458430#gid=984458430"",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4" s="61" t="str">
        <f>IFERROR(__xludf.DUMMYFUNCTION("vlookup(BB24,importrange(""https://docs.google.com/spreadsheets/d/1d2vevQ_7D_v35q4wCQ4RpQ_IPoTwEMB9Yp6ymwlPqew/edit?gid=984458430#gid=984458430"", ""'replication success'!A:M""), 13, FAlSE)"),"abstract")</f>
        <v>abstract</v>
      </c>
      <c r="BB24" s="61" t="str">
        <f>IFERROR(__xludf.DUMMYFUNCTION("REGEXREPLACE(G24, ""_[a-z]{1,2}$"", """")"),"additional_studies10")</f>
        <v>additional_studies10</v>
      </c>
      <c r="BC24" s="171"/>
      <c r="BD24" s="168" t="s">
        <v>144</v>
      </c>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c r="CY24" s="164"/>
      <c r="CZ24" s="164"/>
      <c r="DA24" s="164"/>
      <c r="DB24" s="164"/>
      <c r="DC24" s="164"/>
      <c r="DD24" s="164"/>
      <c r="DE24" s="164"/>
      <c r="DF24" s="164"/>
      <c r="DG24" s="164"/>
      <c r="DH24" s="164"/>
      <c r="DI24" s="164"/>
      <c r="DJ24" s="164"/>
      <c r="DK24" s="164"/>
      <c r="DL24" s="164"/>
    </row>
    <row r="25" ht="20.25" customHeight="1">
      <c r="A25" s="44">
        <v>25.0</v>
      </c>
      <c r="B25" s="157" t="s">
        <v>152</v>
      </c>
      <c r="C25" s="157" t="s">
        <v>115</v>
      </c>
      <c r="D25" s="167" t="s">
        <v>248</v>
      </c>
      <c r="E25" s="157"/>
      <c r="F25" s="168" t="s">
        <v>316</v>
      </c>
      <c r="G25" s="157" t="s">
        <v>325</v>
      </c>
      <c r="H25" s="157" t="s">
        <v>249</v>
      </c>
      <c r="I25" s="169">
        <v>45625.0</v>
      </c>
      <c r="J25" s="170">
        <v>45692.0</v>
      </c>
      <c r="K25" s="157" t="s">
        <v>326</v>
      </c>
      <c r="L25" s="157" t="s">
        <v>327</v>
      </c>
      <c r="M25" s="157" t="s">
        <v>319</v>
      </c>
      <c r="N25" s="157" t="s">
        <v>291</v>
      </c>
      <c r="O25" s="172">
        <v>1.0</v>
      </c>
      <c r="P25" s="173" t="str">
        <f> hyperlink(vlookup(lower(N25),'File Links'!A:B, 2, FALSE), SUBSTITUTE(lower(N25), "/", "--") &amp;  ".pdf")</f>
        <v>10.1111--lang.12161.pdf</v>
      </c>
      <c r="Q25" s="52" t="str">
        <f t="array" ref="Q25"> if(iserror(MATCH(V25, 'File Links'!C:C, 0)), "N/A", HYPERLINK(INDEX('File Links'!B:B, MATCH(P25, 'File Links'!C:C, 0))))</f>
        <v>https://drive.google.com/file/d/1W_KvsfbanYWBQG9nzoDuqDlzFW_jUYH2/view?usp=drivesdk</v>
      </c>
      <c r="R25" s="157" t="s">
        <v>292</v>
      </c>
      <c r="S25" s="157" t="s">
        <v>293</v>
      </c>
      <c r="T25" s="171"/>
      <c r="U25" s="172">
        <v>1.0</v>
      </c>
      <c r="V25" s="66" t="str">
        <f> hyperlink(vlookup(lower(S25),'File Links'!E:F, 2, FALSE), SUBSTITUTE(lower(S25), "/", "--") &amp;  ".pdf")</f>
        <v>10.1017--s0272263124000238.pdf</v>
      </c>
      <c r="W25" s="172" t="s">
        <v>320</v>
      </c>
      <c r="X25" s="54" t="str">
        <f t="array" ref="X25"> if(iserror(MATCH(V25, 'File Links'!C:C, 0)), "N/A", HYPERLINK(INDEX('File Links'!B:B, MATCH(V25, 'File Links'!C:C, 0))))</f>
        <v>https://drive.google.com/file/d/1KQ2h_KjNuvgQPQ443vS97noydUJbOuPG/view?usp=drivesdk</v>
      </c>
      <c r="Y25" s="171"/>
      <c r="Z25" s="167" t="s">
        <v>295</v>
      </c>
      <c r="AA25" s="174" t="s">
        <v>321</v>
      </c>
      <c r="AB25" s="175" t="s">
        <v>297</v>
      </c>
      <c r="AC25" s="157" t="s">
        <v>328</v>
      </c>
      <c r="AD25" s="157" t="s">
        <v>323</v>
      </c>
      <c r="AE25" s="172">
        <v>33.0</v>
      </c>
      <c r="AF25" s="157">
        <v>18.0</v>
      </c>
      <c r="AG25" s="157">
        <v>-0.42</v>
      </c>
      <c r="AH25" s="157" t="s">
        <v>329</v>
      </c>
      <c r="AI25" s="157" t="s">
        <v>330</v>
      </c>
      <c r="AJ25" s="157">
        <v>0.01</v>
      </c>
      <c r="AK25" s="157" t="s">
        <v>135</v>
      </c>
      <c r="AL25" s="157" t="s">
        <v>218</v>
      </c>
      <c r="AM25" s="168" t="s">
        <v>141</v>
      </c>
      <c r="AN25" s="58" t="s">
        <v>138</v>
      </c>
      <c r="AO25" s="157">
        <v>58.0</v>
      </c>
      <c r="AP25" s="157">
        <v>-0.13</v>
      </c>
      <c r="AQ25" s="157" t="s">
        <v>329</v>
      </c>
      <c r="AR25" s="157" t="s">
        <v>331</v>
      </c>
      <c r="AS25" s="157">
        <v>0.379</v>
      </c>
      <c r="AT25" s="157" t="s">
        <v>172</v>
      </c>
      <c r="AU25" s="157" t="s">
        <v>218</v>
      </c>
      <c r="AV25" s="168" t="s">
        <v>141</v>
      </c>
      <c r="AW25" s="176" t="s">
        <v>300</v>
      </c>
      <c r="AX25" s="175" t="s">
        <v>324</v>
      </c>
      <c r="AY25" s="61" t="str">
        <f>IFERROR(__xludf.DUMMYFUNCTION("vlookup(BB25,importrange(""https://docs.google.com/spreadsheets/d/1d2vevQ_7D_v35q4wCQ4RpQ_IPoTwEMB9Yp6ymwlPqew/edit?gid=984458430#gid=984458430"", ""'replication success'!A:K""), 11, FAlSE)"),"failed")</f>
        <v>failed</v>
      </c>
      <c r="AZ25" s="61" t="str">
        <f>IFERROR(__xludf.DUMMYFUNCTION("vlookup(BB25,importrange(""https://docs.google.com/spreadsheets/d/1d2vevQ_7D_v35q4wCQ4RpQ_IPoTwEMB9Yp6ymwlPqew/edit?gid=984458430#gid=984458430"",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5" s="61" t="str">
        <f>IFERROR(__xludf.DUMMYFUNCTION("vlookup(BB25,importrange(""https://docs.google.com/spreadsheets/d/1d2vevQ_7D_v35q4wCQ4RpQ_IPoTwEMB9Yp6ymwlPqew/edit?gid=984458430#gid=984458430"", ""'replication success'!A:M""), 13, FAlSE)"),"abstract")</f>
        <v>abstract</v>
      </c>
      <c r="BB25" s="61" t="str">
        <f>IFERROR(__xludf.DUMMYFUNCTION("REGEXREPLACE(G25, ""_[a-z]{1,2}$"", """")"),"additional_studies10")</f>
        <v>additional_studies10</v>
      </c>
      <c r="BC25" s="171"/>
      <c r="BD25" s="168" t="s">
        <v>144</v>
      </c>
    </row>
    <row r="26" ht="20.25" customHeight="1">
      <c r="A26" s="44">
        <v>26.0</v>
      </c>
      <c r="B26" s="157" t="s">
        <v>152</v>
      </c>
      <c r="C26" s="157" t="s">
        <v>115</v>
      </c>
      <c r="D26" s="167" t="s">
        <v>248</v>
      </c>
      <c r="E26" s="157"/>
      <c r="F26" s="168" t="s">
        <v>316</v>
      </c>
      <c r="G26" s="157" t="s">
        <v>332</v>
      </c>
      <c r="H26" s="157" t="s">
        <v>249</v>
      </c>
      <c r="I26" s="169">
        <v>45625.0</v>
      </c>
      <c r="J26" s="170">
        <v>45692.0</v>
      </c>
      <c r="K26" s="157" t="s">
        <v>333</v>
      </c>
      <c r="L26" s="157" t="s">
        <v>327</v>
      </c>
      <c r="M26" s="157" t="s">
        <v>319</v>
      </c>
      <c r="N26" s="157" t="s">
        <v>291</v>
      </c>
      <c r="O26" s="172">
        <v>1.0</v>
      </c>
      <c r="P26" s="173" t="str">
        <f> hyperlink(vlookup(lower(N26),'File Links'!A:B, 2, FALSE), SUBSTITUTE(lower(N26), "/", "--") &amp;  ".pdf")</f>
        <v>10.1111--lang.12161.pdf</v>
      </c>
      <c r="Q26" s="52" t="str">
        <f t="array" ref="Q26"> if(iserror(MATCH(V26, 'File Links'!C:C, 0)), "N/A", HYPERLINK(INDEX('File Links'!B:B, MATCH(P26, 'File Links'!C:C, 0))))</f>
        <v>https://drive.google.com/file/d/1W_KvsfbanYWBQG9nzoDuqDlzFW_jUYH2/view?usp=drivesdk</v>
      </c>
      <c r="R26" s="157" t="s">
        <v>292</v>
      </c>
      <c r="S26" s="157" t="s">
        <v>293</v>
      </c>
      <c r="T26" s="171"/>
      <c r="U26" s="172">
        <v>1.0</v>
      </c>
      <c r="V26" s="66" t="str">
        <f> hyperlink(vlookup(lower(S26),'File Links'!E:F, 2, FALSE), SUBSTITUTE(lower(S26), "/", "--") &amp;  ".pdf")</f>
        <v>10.1017--s0272263124000238.pdf</v>
      </c>
      <c r="W26" s="172" t="s">
        <v>320</v>
      </c>
      <c r="X26" s="54" t="str">
        <f t="array" ref="X26"> if(iserror(MATCH(V26, 'File Links'!C:C, 0)), "N/A", HYPERLINK(INDEX('File Links'!B:B, MATCH(V26, 'File Links'!C:C, 0))))</f>
        <v>https://drive.google.com/file/d/1KQ2h_KjNuvgQPQ443vS97noydUJbOuPG/view?usp=drivesdk</v>
      </c>
      <c r="Y26" s="171"/>
      <c r="Z26" s="167" t="s">
        <v>295</v>
      </c>
      <c r="AA26" s="174" t="s">
        <v>321</v>
      </c>
      <c r="AB26" s="175" t="s">
        <v>297</v>
      </c>
      <c r="AC26" s="157" t="s">
        <v>334</v>
      </c>
      <c r="AD26" s="157" t="s">
        <v>323</v>
      </c>
      <c r="AE26" s="172">
        <v>33.0</v>
      </c>
      <c r="AF26" s="157">
        <v>18.0</v>
      </c>
      <c r="AG26" s="157">
        <v>-0.04</v>
      </c>
      <c r="AH26" s="157" t="s">
        <v>329</v>
      </c>
      <c r="AI26" s="157" t="s">
        <v>330</v>
      </c>
      <c r="AJ26" s="157">
        <v>0.05</v>
      </c>
      <c r="AK26" s="157" t="s">
        <v>335</v>
      </c>
      <c r="AL26" s="157" t="s">
        <v>218</v>
      </c>
      <c r="AM26" s="168" t="s">
        <v>141</v>
      </c>
      <c r="AN26" s="58" t="s">
        <v>138</v>
      </c>
      <c r="AO26" s="157">
        <v>58.0</v>
      </c>
      <c r="AP26" s="157">
        <v>0.09</v>
      </c>
      <c r="AQ26" s="157" t="s">
        <v>329</v>
      </c>
      <c r="AR26" s="157" t="s">
        <v>331</v>
      </c>
      <c r="AS26" s="157">
        <v>0.529</v>
      </c>
      <c r="AT26" s="157" t="s">
        <v>172</v>
      </c>
      <c r="AU26" s="157" t="s">
        <v>218</v>
      </c>
      <c r="AV26" s="168" t="s">
        <v>141</v>
      </c>
      <c r="AW26" s="176" t="s">
        <v>300</v>
      </c>
      <c r="AX26" s="175" t="s">
        <v>324</v>
      </c>
      <c r="AY26" s="61" t="str">
        <f>IFERROR(__xludf.DUMMYFUNCTION("vlookup(BB26,importrange(""https://docs.google.com/spreadsheets/d/1d2vevQ_7D_v35q4wCQ4RpQ_IPoTwEMB9Yp6ymwlPqew/edit?gid=984458430#gid=984458430"", ""'replication success'!A:K""), 11, FAlSE)"),"failed")</f>
        <v>failed</v>
      </c>
      <c r="AZ26" s="61" t="str">
        <f>IFERROR(__xludf.DUMMYFUNCTION("vlookup(BB26,importrange(""https://docs.google.com/spreadsheets/d/1d2vevQ_7D_v35q4wCQ4RpQ_IPoTwEMB9Yp6ymwlPqew/edit?gid=984458430#gid=984458430"",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6" s="61" t="str">
        <f>IFERROR(__xludf.DUMMYFUNCTION("vlookup(BB26,importrange(""https://docs.google.com/spreadsheets/d/1d2vevQ_7D_v35q4wCQ4RpQ_IPoTwEMB9Yp6ymwlPqew/edit?gid=984458430#gid=984458430"", ""'replication success'!A:M""), 13, FAlSE)"),"abstract")</f>
        <v>abstract</v>
      </c>
      <c r="BB26" s="61" t="str">
        <f>IFERROR(__xludf.DUMMYFUNCTION("REGEXREPLACE(G26, ""_[a-z]{1,2}$"", """")"),"additional_studies10")</f>
        <v>additional_studies10</v>
      </c>
      <c r="BC26" s="171"/>
      <c r="BD26" s="168" t="s">
        <v>144</v>
      </c>
    </row>
    <row r="27" ht="20.25" customHeight="1">
      <c r="A27" s="44">
        <v>27.0</v>
      </c>
      <c r="B27" s="157" t="s">
        <v>152</v>
      </c>
      <c r="C27" s="157" t="s">
        <v>115</v>
      </c>
      <c r="D27" s="167" t="s">
        <v>248</v>
      </c>
      <c r="E27" s="157"/>
      <c r="F27" s="168" t="s">
        <v>316</v>
      </c>
      <c r="G27" s="157" t="s">
        <v>288</v>
      </c>
      <c r="H27" s="157" t="s">
        <v>249</v>
      </c>
      <c r="I27" s="169">
        <v>45625.0</v>
      </c>
      <c r="J27" s="170">
        <v>45692.0</v>
      </c>
      <c r="K27" s="157" t="s">
        <v>336</v>
      </c>
      <c r="L27" s="157" t="s">
        <v>327</v>
      </c>
      <c r="M27" s="157" t="s">
        <v>319</v>
      </c>
      <c r="N27" s="157" t="s">
        <v>291</v>
      </c>
      <c r="O27" s="172">
        <v>1.0</v>
      </c>
      <c r="P27" s="173" t="str">
        <f> hyperlink(vlookup(lower(N27),'File Links'!A:B, 2, FALSE), SUBSTITUTE(lower(N27), "/", "--") &amp;  ".pdf")</f>
        <v>10.1111--lang.12161.pdf</v>
      </c>
      <c r="Q27" s="52" t="str">
        <f t="array" ref="Q27"> if(iserror(MATCH(V27, 'File Links'!C:C, 0)), "N/A", HYPERLINK(INDEX('File Links'!B:B, MATCH(P27, 'File Links'!C:C, 0))))</f>
        <v>https://drive.google.com/file/d/1W_KvsfbanYWBQG9nzoDuqDlzFW_jUYH2/view?usp=drivesdk</v>
      </c>
      <c r="R27" s="157" t="s">
        <v>292</v>
      </c>
      <c r="S27" s="157" t="s">
        <v>293</v>
      </c>
      <c r="T27" s="171"/>
      <c r="U27" s="172">
        <v>1.0</v>
      </c>
      <c r="V27" s="66" t="str">
        <f> hyperlink(vlookup(lower(S27),'File Links'!E:F, 2, FALSE), SUBSTITUTE(lower(S27), "/", "--") &amp;  ".pdf")</f>
        <v>10.1017--s0272263124000238.pdf</v>
      </c>
      <c r="W27" s="172" t="s">
        <v>320</v>
      </c>
      <c r="X27" s="54" t="str">
        <f t="array" ref="X27"> if(iserror(MATCH(V27, 'File Links'!C:C, 0)), "N/A", HYPERLINK(INDEX('File Links'!B:B, MATCH(V27, 'File Links'!C:C, 0))))</f>
        <v>https://drive.google.com/file/d/1KQ2h_KjNuvgQPQ443vS97noydUJbOuPG/view?usp=drivesdk</v>
      </c>
      <c r="Y27" s="171"/>
      <c r="Z27" s="167" t="s">
        <v>295</v>
      </c>
      <c r="AA27" s="174" t="s">
        <v>321</v>
      </c>
      <c r="AB27" s="175" t="s">
        <v>297</v>
      </c>
      <c r="AC27" s="157" t="s">
        <v>337</v>
      </c>
      <c r="AD27" s="157" t="s">
        <v>323</v>
      </c>
      <c r="AE27" s="172">
        <v>33.0</v>
      </c>
      <c r="AF27" s="157">
        <v>18.0</v>
      </c>
      <c r="AG27" s="157">
        <v>0.34</v>
      </c>
      <c r="AH27" s="157" t="s">
        <v>329</v>
      </c>
      <c r="AI27" s="157" t="s">
        <v>330</v>
      </c>
      <c r="AJ27" s="157">
        <v>0.05</v>
      </c>
      <c r="AK27" s="157" t="s">
        <v>135</v>
      </c>
      <c r="AL27" s="157" t="s">
        <v>218</v>
      </c>
      <c r="AM27" s="168" t="s">
        <v>141</v>
      </c>
      <c r="AN27" s="58" t="s">
        <v>138</v>
      </c>
      <c r="AO27" s="157">
        <v>58.0</v>
      </c>
      <c r="AP27" s="157">
        <v>0.07</v>
      </c>
      <c r="AQ27" s="157" t="s">
        <v>329</v>
      </c>
      <c r="AR27" s="157" t="s">
        <v>331</v>
      </c>
      <c r="AS27" s="177">
        <v>0.61</v>
      </c>
      <c r="AT27" s="157" t="s">
        <v>172</v>
      </c>
      <c r="AU27" s="157" t="s">
        <v>218</v>
      </c>
      <c r="AV27" s="168" t="s">
        <v>141</v>
      </c>
      <c r="AW27" s="176" t="s">
        <v>300</v>
      </c>
      <c r="AX27" s="175" t="s">
        <v>324</v>
      </c>
      <c r="AY27" s="61" t="str">
        <f>IFERROR(__xludf.DUMMYFUNCTION("vlookup(BB27,importrange(""https://docs.google.com/spreadsheets/d/1d2vevQ_7D_v35q4wCQ4RpQ_IPoTwEMB9Yp6ymwlPqew/edit?gid=984458430#gid=984458430"", ""'replication success'!A:K""), 11, FAlSE)"),"failed")</f>
        <v>failed</v>
      </c>
      <c r="AZ27" s="61" t="str">
        <f>IFERROR(__xludf.DUMMYFUNCTION("vlookup(BB27,importrange(""https://docs.google.com/spreadsheets/d/1d2vevQ_7D_v35q4wCQ4RpQ_IPoTwEMB9Yp6ymwlPqew/edit?gid=984458430#gid=984458430"",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7" s="61" t="str">
        <f>IFERROR(__xludf.DUMMYFUNCTION("vlookup(BB27,importrange(""https://docs.google.com/spreadsheets/d/1d2vevQ_7D_v35q4wCQ4RpQ_IPoTwEMB9Yp6ymwlPqew/edit?gid=984458430#gid=984458430"", ""'replication success'!A:M""), 13, FAlSE)"),"abstract")</f>
        <v>abstract</v>
      </c>
      <c r="BB27" s="61" t="str">
        <f>IFERROR(__xludf.DUMMYFUNCTION("REGEXREPLACE(G27, ""_[a-z]{1,2}$"", """")"),"additional_studies10")</f>
        <v>additional_studies10</v>
      </c>
      <c r="BC27" s="171"/>
      <c r="BD27" s="168" t="s">
        <v>144</v>
      </c>
    </row>
    <row r="28" ht="20.25" customHeight="1">
      <c r="A28" s="44">
        <v>28.0</v>
      </c>
      <c r="B28" s="157" t="s">
        <v>114</v>
      </c>
      <c r="C28" s="168" t="s">
        <v>115</v>
      </c>
      <c r="D28" s="168" t="s">
        <v>286</v>
      </c>
      <c r="E28" s="164"/>
      <c r="F28" s="178" t="s">
        <v>316</v>
      </c>
      <c r="G28" s="167" t="s">
        <v>287</v>
      </c>
      <c r="H28" s="167" t="s">
        <v>289</v>
      </c>
      <c r="I28" s="179">
        <v>45683.0</v>
      </c>
      <c r="J28" s="170">
        <v>45692.0</v>
      </c>
      <c r="K28" s="175" t="s">
        <v>290</v>
      </c>
      <c r="L28" s="180"/>
      <c r="M28" s="178" t="s">
        <v>319</v>
      </c>
      <c r="N28" s="178" t="s">
        <v>291</v>
      </c>
      <c r="O28" s="181">
        <v>1.0</v>
      </c>
      <c r="P28" s="167" t="s">
        <v>338</v>
      </c>
      <c r="Q28" s="52" t="str">
        <f t="array" ref="Q28"> if(iserror(MATCH(V28, 'File Links'!C:C, 0)), "N/A", HYPERLINK(INDEX('File Links'!B:B, MATCH(P28, 'File Links'!C:C, 0))))</f>
        <v>https://drive.google.com/file/d/1W_KvsfbanYWBQG9nzoDuqDlzFW_jUYH2/view?usp=drivesdk</v>
      </c>
      <c r="R28" s="175" t="s">
        <v>292</v>
      </c>
      <c r="S28" s="172" t="s">
        <v>293</v>
      </c>
      <c r="T28" s="180"/>
      <c r="U28" s="181">
        <v>1.0</v>
      </c>
      <c r="V28" s="66" t="str">
        <f> hyperlink(vlookup(lower(S28),'File Links'!E:F, 2, FALSE), SUBSTITUTE(lower(S28), "/", "--") &amp;  ".pdf")</f>
        <v>10.1017--s0272263124000238.pdf</v>
      </c>
      <c r="W28" s="172" t="s">
        <v>320</v>
      </c>
      <c r="X28" s="54" t="str">
        <f t="array" ref="X28"> if(iserror(MATCH(V28, 'File Links'!C:C, 0)), "N/A", HYPERLINK(INDEX('File Links'!B:B, MATCH(V28, 'File Links'!C:C, 0))))</f>
        <v>https://drive.google.com/file/d/1KQ2h_KjNuvgQPQ443vS97noydUJbOuPG/view?usp=drivesdk</v>
      </c>
      <c r="Y28" s="164"/>
      <c r="Z28" s="167" t="s">
        <v>295</v>
      </c>
      <c r="AA28" s="174" t="s">
        <v>321</v>
      </c>
      <c r="AB28" s="175" t="s">
        <v>297</v>
      </c>
      <c r="AC28" s="175" t="s">
        <v>339</v>
      </c>
      <c r="AD28" s="182" t="s">
        <v>340</v>
      </c>
      <c r="AE28" s="183"/>
      <c r="AF28" s="184" t="s">
        <v>295</v>
      </c>
      <c r="AG28" s="184" t="s">
        <v>341</v>
      </c>
      <c r="AH28" s="167" t="s">
        <v>138</v>
      </c>
      <c r="AI28" s="175" t="s">
        <v>342</v>
      </c>
      <c r="AJ28" s="185"/>
      <c r="AK28" s="186"/>
      <c r="AL28" s="167" t="s">
        <v>295</v>
      </c>
      <c r="AM28" s="175" t="s">
        <v>343</v>
      </c>
      <c r="AN28" s="175"/>
      <c r="AO28" s="184" t="s">
        <v>344</v>
      </c>
      <c r="AP28" s="184" t="s">
        <v>345</v>
      </c>
      <c r="AQ28" s="167" t="s">
        <v>138</v>
      </c>
      <c r="AR28" s="175">
        <v>25.0</v>
      </c>
      <c r="AS28" s="185">
        <v>0.71</v>
      </c>
      <c r="AT28" s="167" t="s">
        <v>215</v>
      </c>
      <c r="AU28" s="167" t="s">
        <v>305</v>
      </c>
      <c r="AV28" s="175">
        <v>0.001</v>
      </c>
      <c r="AW28" s="187" t="s">
        <v>135</v>
      </c>
      <c r="AX28" s="175" t="s">
        <v>186</v>
      </c>
      <c r="AY28" s="61" t="str">
        <f>IFERROR(__xludf.DUMMYFUNCTION("vlookup(BB28,importrange(""https://docs.google.com/spreadsheets/d/1d2vevQ_7D_v35q4wCQ4RpQ_IPoTwEMB9Yp6ymwlPqew/edit?gid=984458430#gid=984458430"", ""'replication success'!A:K""), 11, FAlSE)"),"failed")</f>
        <v>failed</v>
      </c>
      <c r="AZ28" s="61" t="str">
        <f>IFERROR(__xludf.DUMMYFUNCTION("vlookup(BB28,importrange(""https://docs.google.com/spreadsheets/d/1d2vevQ_7D_v35q4wCQ4RpQ_IPoTwEMB9Yp6ymwlPqew/edit?gid=984458430#gid=984458430"", ""'replication success'!A:M""), 12, FAlSE)"),"However, results of the partial correlation analyses in the current
replication did not indicate clear relationships between phonological variables and inhibi-
tory control.")</f>
        <v>However, results of the partial correlation analyses in the current
replication did not indicate clear relationships between phonological variables and inhibi-
tory control.</v>
      </c>
      <c r="BA28" s="61" t="str">
        <f>IFERROR(__xludf.DUMMYFUNCTION("vlookup(BB28,importrange(""https://docs.google.com/spreadsheets/d/1d2vevQ_7D_v35q4wCQ4RpQ_IPoTwEMB9Yp6ymwlPqew/edit?gid=984458430#gid=984458430"", ""'replication success'!A:M""), 13, FAlSE)"),"abstract")</f>
        <v>abstract</v>
      </c>
      <c r="BB28" s="61" t="str">
        <f>IFERROR(__xludf.DUMMYFUNCTION("REGEXREPLACE(G28, ""_[a-z]{1,2}$"", """")"),"additional_studies10")</f>
        <v>additional_studies10</v>
      </c>
      <c r="BC28" s="168" t="s">
        <v>141</v>
      </c>
      <c r="BD28" s="168" t="s">
        <v>144</v>
      </c>
    </row>
    <row r="29" ht="20.25" customHeight="1">
      <c r="A29" s="44">
        <v>29.0</v>
      </c>
      <c r="B29" s="188" t="s">
        <v>114</v>
      </c>
      <c r="C29" s="188" t="s">
        <v>115</v>
      </c>
      <c r="D29" s="188" t="s">
        <v>346</v>
      </c>
      <c r="E29" s="189"/>
      <c r="F29" s="190" t="s">
        <v>347</v>
      </c>
      <c r="G29" s="58" t="s">
        <v>348</v>
      </c>
      <c r="H29" s="58" t="s">
        <v>349</v>
      </c>
      <c r="I29" s="191">
        <v>45637.0</v>
      </c>
      <c r="J29" s="170">
        <v>45692.0</v>
      </c>
      <c r="K29" s="192" t="s">
        <v>350</v>
      </c>
      <c r="L29" s="193"/>
      <c r="M29" s="58" t="s">
        <v>351</v>
      </c>
      <c r="N29" s="192" t="s">
        <v>352</v>
      </c>
      <c r="O29" s="193"/>
      <c r="P29" s="194" t="s">
        <v>353</v>
      </c>
      <c r="Q29" s="52" t="str">
        <f t="array" ref="Q29"> if(iserror(MATCH(V29, 'File Links'!C:C, 0)), "N/A", HYPERLINK(INDEX('File Links'!B:B, MATCH(P29, 'File Links'!C:C, 0))))</f>
        <v>https://drive.google.com/file/d/1OByNKNsjZqSFHFFyt-o1mPqDkVmgruBu/view?usp=drivesdk</v>
      </c>
      <c r="R29" s="58" t="s">
        <v>354</v>
      </c>
      <c r="S29" s="58" t="s">
        <v>355</v>
      </c>
      <c r="T29" s="193"/>
      <c r="U29" s="195"/>
      <c r="V29" s="66" t="str">
        <f> hyperlink(vlookup(lower(S29),'File Links'!E:F, 2, FALSE), SUBSTITUTE(lower(S29), "/", "--") &amp;  ".pdf")</f>
        <v>10.1111--fare.13030.pdf</v>
      </c>
      <c r="W29" s="196" t="s">
        <v>356</v>
      </c>
      <c r="X29" s="54" t="str">
        <f t="array" ref="X29"> if(iserror(MATCH(V29, 'File Links'!C:C, 0)), "N/A", HYPERLINK(INDEX('File Links'!B:B, MATCH(V29, 'File Links'!C:C, 0))))</f>
        <v>https://drive.google.com/file/d/1TGN_TAtoJI3jhMQTEG2wnN59FCyiXC2_/view?usp=drivesdk</v>
      </c>
      <c r="Y29" s="193"/>
      <c r="Z29" s="58" t="s">
        <v>226</v>
      </c>
      <c r="AA29" s="193"/>
      <c r="AB29" s="192" t="s">
        <v>357</v>
      </c>
      <c r="AC29" s="192" t="s">
        <v>358</v>
      </c>
      <c r="AD29" s="192" t="s">
        <v>359</v>
      </c>
      <c r="AE29" s="197">
        <v>1.0</v>
      </c>
      <c r="AF29" s="197">
        <v>1950.0</v>
      </c>
      <c r="AG29" s="197">
        <v>0.13</v>
      </c>
      <c r="AH29" s="194" t="s">
        <v>360</v>
      </c>
      <c r="AI29" s="58" t="s">
        <v>307</v>
      </c>
      <c r="AJ29" s="197">
        <v>0.001</v>
      </c>
      <c r="AK29" s="198" t="s">
        <v>135</v>
      </c>
      <c r="AL29" s="58" t="s">
        <v>186</v>
      </c>
      <c r="AM29" s="193"/>
      <c r="AN29" s="58" t="s">
        <v>138</v>
      </c>
      <c r="AO29" s="197">
        <v>1079.0</v>
      </c>
      <c r="AP29" s="197">
        <v>0.06</v>
      </c>
      <c r="AQ29" s="58" t="s">
        <v>361</v>
      </c>
      <c r="AR29" s="58" t="s">
        <v>362</v>
      </c>
      <c r="AS29" s="197">
        <v>0.01</v>
      </c>
      <c r="AT29" s="198" t="s">
        <v>135</v>
      </c>
      <c r="AU29" s="198" t="s">
        <v>186</v>
      </c>
      <c r="AV29" s="190"/>
      <c r="AW29" s="190" t="s">
        <v>138</v>
      </c>
      <c r="AX29" s="190" t="s">
        <v>151</v>
      </c>
      <c r="AY29" s="61" t="str">
        <f>IFERROR(__xludf.DUMMYFUNCTION("vlookup(BB29,importrange(""https://docs.google.com/spreadsheets/d/1d2vevQ_7D_v35q4wCQ4RpQ_IPoTwEMB9Yp6ymwlPqew/edit?gid=984458430#gid=984458430"", ""'replication success'!A:K""), 11, FAlSE)"),"mixed")</f>
        <v>mixed</v>
      </c>
      <c r="AZ29" s="61" t="str">
        <f>IFERROR(__xludf.DUMMYFUNCTION("vlookup(BB29,importrange(""https://docs.google.com/spreadsheets/d/1d2vevQ_7D_v35q4wCQ4RpQ_IPoTwEMB9Yp6ymwlPqew/edit?gid=984458430#gid=984458430"",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29" s="61" t="str">
        <f>IFERROR(__xludf.DUMMYFUNCTION("vlookup(BB29,importrange(""https://docs.google.com/spreadsheets/d/1d2vevQ_7D_v35q4wCQ4RpQ_IPoTwEMB9Yp6ymwlPqew/edit?gid=984458430#gid=984458430"", ""'replication success'!A:M""), 13, FAlSE)"),"abstract")</f>
        <v>abstract</v>
      </c>
      <c r="BB29" s="61" t="str">
        <f>IFERROR(__xludf.DUMMYFUNCTION("REGEXREPLACE(G29, ""_[a-z]{1,2}$"", """")"),"additional_studies11")</f>
        <v>additional_studies11</v>
      </c>
      <c r="BC29" s="193"/>
      <c r="BD29" s="199" t="s">
        <v>144</v>
      </c>
      <c r="BE29" s="189"/>
      <c r="BF29" s="189"/>
      <c r="BG29" s="189"/>
      <c r="BH29" s="189"/>
      <c r="BI29" s="189"/>
      <c r="BJ29" s="189"/>
      <c r="BK29" s="189"/>
      <c r="BL29" s="189"/>
      <c r="BM29" s="189"/>
      <c r="BN29" s="189"/>
      <c r="BO29" s="189"/>
      <c r="BP29" s="189"/>
      <c r="BQ29" s="189"/>
      <c r="BR29" s="189"/>
      <c r="BS29" s="189"/>
      <c r="BT29" s="189"/>
      <c r="BU29" s="189"/>
      <c r="BV29" s="189"/>
      <c r="BW29" s="189"/>
      <c r="BX29" s="189"/>
      <c r="BY29" s="189"/>
      <c r="BZ29" s="189"/>
      <c r="CA29" s="189"/>
      <c r="CB29" s="189"/>
      <c r="CC29" s="189"/>
      <c r="CD29" s="189"/>
      <c r="CE29" s="189"/>
      <c r="CF29" s="189"/>
      <c r="CG29" s="189"/>
      <c r="CH29" s="189"/>
      <c r="CI29" s="189"/>
      <c r="CJ29" s="189"/>
      <c r="CK29" s="189"/>
      <c r="CL29" s="189"/>
      <c r="CM29" s="189"/>
      <c r="CN29" s="189"/>
      <c r="CO29" s="189"/>
      <c r="CP29" s="189"/>
      <c r="CQ29" s="189"/>
      <c r="CR29" s="189"/>
      <c r="CS29" s="189"/>
      <c r="CT29" s="189"/>
      <c r="CU29" s="189"/>
      <c r="CV29" s="189"/>
      <c r="CW29" s="189"/>
      <c r="CX29" s="189"/>
      <c r="CY29" s="189"/>
      <c r="CZ29" s="189"/>
      <c r="DA29" s="189"/>
      <c r="DB29" s="189"/>
      <c r="DC29" s="189"/>
      <c r="DD29" s="189"/>
      <c r="DE29" s="189"/>
      <c r="DF29" s="189"/>
      <c r="DG29" s="189"/>
      <c r="DH29" s="189"/>
      <c r="DI29" s="189"/>
      <c r="DJ29" s="189"/>
      <c r="DK29" s="189"/>
      <c r="DL29" s="189"/>
    </row>
    <row r="30" ht="20.25" customHeight="1">
      <c r="A30" s="44">
        <v>30.0</v>
      </c>
      <c r="B30" s="188" t="s">
        <v>114</v>
      </c>
      <c r="C30" s="188" t="s">
        <v>115</v>
      </c>
      <c r="D30" s="188" t="s">
        <v>346</v>
      </c>
      <c r="E30" s="189"/>
      <c r="F30" s="190" t="s">
        <v>347</v>
      </c>
      <c r="G30" s="58" t="s">
        <v>363</v>
      </c>
      <c r="H30" s="58" t="s">
        <v>349</v>
      </c>
      <c r="I30" s="191">
        <v>45637.0</v>
      </c>
      <c r="J30" s="170">
        <v>45692.0</v>
      </c>
      <c r="K30" s="192" t="s">
        <v>350</v>
      </c>
      <c r="L30" s="193"/>
      <c r="M30" s="58" t="s">
        <v>351</v>
      </c>
      <c r="N30" s="192" t="s">
        <v>352</v>
      </c>
      <c r="O30" s="193"/>
      <c r="P30" s="194" t="s">
        <v>353</v>
      </c>
      <c r="Q30" s="52" t="str">
        <f t="array" ref="Q30"> if(iserror(MATCH(V30, 'File Links'!C:C, 0)), "N/A", HYPERLINK(INDEX('File Links'!B:B, MATCH(P30, 'File Links'!C:C, 0))))</f>
        <v>https://drive.google.com/file/d/1OByNKNsjZqSFHFFyt-o1mPqDkVmgruBu/view?usp=drivesdk</v>
      </c>
      <c r="R30" s="58" t="s">
        <v>354</v>
      </c>
      <c r="S30" s="58" t="s">
        <v>355</v>
      </c>
      <c r="T30" s="193"/>
      <c r="U30" s="195"/>
      <c r="V30" s="66" t="str">
        <f> hyperlink(vlookup(lower(S30),'File Links'!E:F, 2, FALSE), SUBSTITUTE(lower(S30), "/", "--") &amp;  ".pdf")</f>
        <v>10.1111--fare.13030.pdf</v>
      </c>
      <c r="W30" s="196" t="s">
        <v>356</v>
      </c>
      <c r="X30" s="54" t="str">
        <f t="array" ref="X30"> if(iserror(MATCH(V30, 'File Links'!C:C, 0)), "N/A", HYPERLINK(INDEX('File Links'!B:B, MATCH(V30, 'File Links'!C:C, 0))))</f>
        <v>https://drive.google.com/file/d/1TGN_TAtoJI3jhMQTEG2wnN59FCyiXC2_/view?usp=drivesdk</v>
      </c>
      <c r="Y30" s="193"/>
      <c r="Z30" s="58" t="s">
        <v>226</v>
      </c>
      <c r="AA30" s="193"/>
      <c r="AB30" s="192" t="s">
        <v>357</v>
      </c>
      <c r="AC30" s="192" t="s">
        <v>364</v>
      </c>
      <c r="AD30" s="192" t="s">
        <v>359</v>
      </c>
      <c r="AE30" s="197">
        <v>1.0</v>
      </c>
      <c r="AF30" s="197">
        <v>1950.0</v>
      </c>
      <c r="AG30" s="197">
        <v>0.13</v>
      </c>
      <c r="AH30" s="194" t="s">
        <v>360</v>
      </c>
      <c r="AI30" s="58" t="s">
        <v>307</v>
      </c>
      <c r="AJ30" s="197">
        <v>0.001</v>
      </c>
      <c r="AK30" s="198" t="s">
        <v>135</v>
      </c>
      <c r="AL30" s="58" t="s">
        <v>186</v>
      </c>
      <c r="AM30" s="193"/>
      <c r="AN30" s="58" t="s">
        <v>138</v>
      </c>
      <c r="AO30" s="197">
        <v>1079.0</v>
      </c>
      <c r="AP30" s="197">
        <v>0.02</v>
      </c>
      <c r="AQ30" s="58" t="s">
        <v>361</v>
      </c>
      <c r="AR30" s="58" t="s">
        <v>362</v>
      </c>
      <c r="AS30" s="197">
        <v>0.05</v>
      </c>
      <c r="AT30" s="198" t="s">
        <v>135</v>
      </c>
      <c r="AU30" s="198" t="s">
        <v>186</v>
      </c>
      <c r="AV30" s="190"/>
      <c r="AW30" s="190" t="s">
        <v>138</v>
      </c>
      <c r="AX30" s="190" t="s">
        <v>151</v>
      </c>
      <c r="AY30" s="61" t="str">
        <f>IFERROR(__xludf.DUMMYFUNCTION("vlookup(BB30,importrange(""https://docs.google.com/spreadsheets/d/1d2vevQ_7D_v35q4wCQ4RpQ_IPoTwEMB9Yp6ymwlPqew/edit?gid=984458430#gid=984458430"", ""'replication success'!A:K""), 11, FAlSE)"),"mixed")</f>
        <v>mixed</v>
      </c>
      <c r="AZ30" s="61" t="str">
        <f>IFERROR(__xludf.DUMMYFUNCTION("vlookup(BB30,importrange(""https://docs.google.com/spreadsheets/d/1d2vevQ_7D_v35q4wCQ4RpQ_IPoTwEMB9Yp6ymwlPqew/edit?gid=984458430#gid=984458430"",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0" s="61" t="str">
        <f>IFERROR(__xludf.DUMMYFUNCTION("vlookup(BB30,importrange(""https://docs.google.com/spreadsheets/d/1d2vevQ_7D_v35q4wCQ4RpQ_IPoTwEMB9Yp6ymwlPqew/edit?gid=984458430#gid=984458430"", ""'replication success'!A:M""), 13, FAlSE)"),"abstract")</f>
        <v>abstract</v>
      </c>
      <c r="BB30" s="61" t="str">
        <f>IFERROR(__xludf.DUMMYFUNCTION("REGEXREPLACE(G30, ""_[a-z]{1,2}$"", """")"),"additional_studies11")</f>
        <v>additional_studies11</v>
      </c>
      <c r="BC30" s="193"/>
      <c r="BD30" s="199" t="s">
        <v>144</v>
      </c>
      <c r="BE30" s="189"/>
      <c r="BF30" s="189"/>
      <c r="BG30" s="189"/>
      <c r="BH30" s="189"/>
      <c r="BI30" s="189"/>
      <c r="BJ30" s="189"/>
      <c r="BK30" s="189"/>
      <c r="BL30" s="189"/>
      <c r="BM30" s="189"/>
      <c r="BN30" s="189"/>
      <c r="BO30" s="189"/>
      <c r="BP30" s="189"/>
      <c r="BQ30" s="189"/>
      <c r="BR30" s="189"/>
      <c r="BS30" s="189"/>
      <c r="BT30" s="189"/>
      <c r="BU30" s="189"/>
      <c r="BV30" s="189"/>
      <c r="BW30" s="189"/>
      <c r="BX30" s="189"/>
      <c r="BY30" s="189"/>
      <c r="BZ30" s="189"/>
      <c r="CA30" s="189"/>
      <c r="CB30" s="189"/>
      <c r="CC30" s="189"/>
      <c r="CD30" s="189"/>
      <c r="CE30" s="189"/>
      <c r="CF30" s="189"/>
      <c r="CG30" s="189"/>
      <c r="CH30" s="189"/>
      <c r="CI30" s="189"/>
      <c r="CJ30" s="189"/>
      <c r="CK30" s="189"/>
      <c r="CL30" s="189"/>
      <c r="CM30" s="189"/>
      <c r="CN30" s="189"/>
      <c r="CO30" s="189"/>
      <c r="CP30" s="189"/>
      <c r="CQ30" s="189"/>
      <c r="CR30" s="189"/>
      <c r="CS30" s="189"/>
      <c r="CT30" s="189"/>
      <c r="CU30" s="189"/>
      <c r="CV30" s="189"/>
      <c r="CW30" s="189"/>
      <c r="CX30" s="189"/>
      <c r="CY30" s="189"/>
      <c r="CZ30" s="189"/>
      <c r="DA30" s="189"/>
      <c r="DB30" s="189"/>
      <c r="DC30" s="189"/>
      <c r="DD30" s="189"/>
      <c r="DE30" s="189"/>
      <c r="DF30" s="189"/>
      <c r="DG30" s="189"/>
      <c r="DH30" s="189"/>
      <c r="DI30" s="189"/>
      <c r="DJ30" s="189"/>
      <c r="DK30" s="189"/>
      <c r="DL30" s="189"/>
    </row>
    <row r="31" ht="20.25" customHeight="1">
      <c r="A31" s="44">
        <v>31.0</v>
      </c>
      <c r="B31" s="188" t="s">
        <v>114</v>
      </c>
      <c r="C31" s="188" t="s">
        <v>115</v>
      </c>
      <c r="D31" s="188" t="s">
        <v>346</v>
      </c>
      <c r="E31" s="189"/>
      <c r="F31" s="190" t="s">
        <v>347</v>
      </c>
      <c r="G31" s="58" t="s">
        <v>365</v>
      </c>
      <c r="H31" s="58" t="s">
        <v>349</v>
      </c>
      <c r="I31" s="191">
        <v>45637.0</v>
      </c>
      <c r="J31" s="170">
        <v>45692.0</v>
      </c>
      <c r="K31" s="192" t="s">
        <v>350</v>
      </c>
      <c r="L31" s="193"/>
      <c r="M31" s="58" t="s">
        <v>351</v>
      </c>
      <c r="N31" s="192" t="s">
        <v>352</v>
      </c>
      <c r="O31" s="193"/>
      <c r="P31" s="194" t="s">
        <v>353</v>
      </c>
      <c r="Q31" s="52" t="str">
        <f t="array" ref="Q31"> if(iserror(MATCH(V31, 'File Links'!C:C, 0)), "N/A", HYPERLINK(INDEX('File Links'!B:B, MATCH(P31, 'File Links'!C:C, 0))))</f>
        <v>https://drive.google.com/file/d/1OByNKNsjZqSFHFFyt-o1mPqDkVmgruBu/view?usp=drivesdk</v>
      </c>
      <c r="R31" s="58" t="s">
        <v>354</v>
      </c>
      <c r="S31" s="58" t="s">
        <v>355</v>
      </c>
      <c r="T31" s="193"/>
      <c r="U31" s="195"/>
      <c r="V31" s="66" t="str">
        <f> hyperlink(vlookup(lower(S31),'File Links'!E:F, 2, FALSE), SUBSTITUTE(lower(S31), "/", "--") &amp;  ".pdf")</f>
        <v>10.1111--fare.13030.pdf</v>
      </c>
      <c r="W31" s="196" t="s">
        <v>356</v>
      </c>
      <c r="X31" s="54" t="str">
        <f t="array" ref="X31"> if(iserror(MATCH(V31, 'File Links'!C:C, 0)), "N/A", HYPERLINK(INDEX('File Links'!B:B, MATCH(V31, 'File Links'!C:C, 0))))</f>
        <v>https://drive.google.com/file/d/1TGN_TAtoJI3jhMQTEG2wnN59FCyiXC2_/view?usp=drivesdk</v>
      </c>
      <c r="Y31" s="193"/>
      <c r="Z31" s="58" t="s">
        <v>226</v>
      </c>
      <c r="AA31" s="193"/>
      <c r="AB31" s="192" t="s">
        <v>357</v>
      </c>
      <c r="AC31" s="192" t="s">
        <v>366</v>
      </c>
      <c r="AD31" s="192" t="s">
        <v>359</v>
      </c>
      <c r="AE31" s="197">
        <v>1.0</v>
      </c>
      <c r="AF31" s="197">
        <v>1950.0</v>
      </c>
      <c r="AG31" s="197">
        <v>0.13</v>
      </c>
      <c r="AH31" s="194" t="s">
        <v>360</v>
      </c>
      <c r="AI31" s="58" t="s">
        <v>307</v>
      </c>
      <c r="AJ31" s="197">
        <v>0.001</v>
      </c>
      <c r="AK31" s="198" t="s">
        <v>135</v>
      </c>
      <c r="AL31" s="58" t="s">
        <v>186</v>
      </c>
      <c r="AM31" s="193"/>
      <c r="AN31" s="58" t="s">
        <v>138</v>
      </c>
      <c r="AO31" s="197">
        <v>1079.0</v>
      </c>
      <c r="AP31" s="197">
        <v>0.04</v>
      </c>
      <c r="AQ31" s="58" t="s">
        <v>361</v>
      </c>
      <c r="AR31" s="58" t="s">
        <v>362</v>
      </c>
      <c r="AS31" s="197">
        <v>0.05</v>
      </c>
      <c r="AT31" s="198" t="s">
        <v>135</v>
      </c>
      <c r="AU31" s="198" t="s">
        <v>186</v>
      </c>
      <c r="AV31" s="190"/>
      <c r="AW31" s="190" t="s">
        <v>138</v>
      </c>
      <c r="AX31" s="190" t="s">
        <v>151</v>
      </c>
      <c r="AY31" s="61" t="str">
        <f>IFERROR(__xludf.DUMMYFUNCTION("vlookup(BB31,importrange(""https://docs.google.com/spreadsheets/d/1d2vevQ_7D_v35q4wCQ4RpQ_IPoTwEMB9Yp6ymwlPqew/edit?gid=984458430#gid=984458430"", ""'replication success'!A:K""), 11, FAlSE)"),"mixed")</f>
        <v>mixed</v>
      </c>
      <c r="AZ31" s="61" t="str">
        <f>IFERROR(__xludf.DUMMYFUNCTION("vlookup(BB31,importrange(""https://docs.google.com/spreadsheets/d/1d2vevQ_7D_v35q4wCQ4RpQ_IPoTwEMB9Yp6ymwlPqew/edit?gid=984458430#gid=984458430"",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1" s="61" t="str">
        <f>IFERROR(__xludf.DUMMYFUNCTION("vlookup(BB31,importrange(""https://docs.google.com/spreadsheets/d/1d2vevQ_7D_v35q4wCQ4RpQ_IPoTwEMB9Yp6ymwlPqew/edit?gid=984458430#gid=984458430"", ""'replication success'!A:M""), 13, FAlSE)"),"abstract")</f>
        <v>abstract</v>
      </c>
      <c r="BB31" s="61" t="str">
        <f>IFERROR(__xludf.DUMMYFUNCTION("REGEXREPLACE(G31, ""_[a-z]{1,2}$"", """")"),"additional_studies11")</f>
        <v>additional_studies11</v>
      </c>
      <c r="BC31" s="193"/>
      <c r="BD31" s="199" t="s">
        <v>144</v>
      </c>
      <c r="BE31" s="189"/>
      <c r="BF31" s="189"/>
      <c r="BG31" s="189"/>
      <c r="BH31" s="189"/>
      <c r="BI31" s="189"/>
      <c r="BJ31" s="189"/>
      <c r="BK31" s="189"/>
      <c r="BL31" s="189"/>
      <c r="BM31" s="189"/>
      <c r="BN31" s="189"/>
      <c r="BO31" s="189"/>
      <c r="BP31" s="189"/>
      <c r="BQ31" s="189"/>
      <c r="BR31" s="189"/>
      <c r="BS31" s="189"/>
      <c r="BT31" s="189"/>
      <c r="BU31" s="189"/>
      <c r="BV31" s="189"/>
      <c r="BW31" s="189"/>
      <c r="BX31" s="189"/>
      <c r="BY31" s="189"/>
      <c r="BZ31" s="189"/>
      <c r="CA31" s="189"/>
      <c r="CB31" s="189"/>
      <c r="CC31" s="189"/>
      <c r="CD31" s="189"/>
      <c r="CE31" s="189"/>
      <c r="CF31" s="189"/>
      <c r="CG31" s="189"/>
      <c r="CH31" s="189"/>
      <c r="CI31" s="189"/>
      <c r="CJ31" s="189"/>
      <c r="CK31" s="189"/>
      <c r="CL31" s="189"/>
      <c r="CM31" s="189"/>
      <c r="CN31" s="189"/>
      <c r="CO31" s="189"/>
      <c r="CP31" s="189"/>
      <c r="CQ31" s="189"/>
      <c r="CR31" s="189"/>
      <c r="CS31" s="189"/>
      <c r="CT31" s="189"/>
      <c r="CU31" s="189"/>
      <c r="CV31" s="189"/>
      <c r="CW31" s="189"/>
      <c r="CX31" s="189"/>
      <c r="CY31" s="189"/>
      <c r="CZ31" s="189"/>
      <c r="DA31" s="189"/>
      <c r="DB31" s="189"/>
      <c r="DC31" s="189"/>
      <c r="DD31" s="189"/>
      <c r="DE31" s="189"/>
      <c r="DF31" s="189"/>
      <c r="DG31" s="189"/>
      <c r="DH31" s="189"/>
      <c r="DI31" s="189"/>
      <c r="DJ31" s="189"/>
      <c r="DK31" s="189"/>
      <c r="DL31" s="189"/>
    </row>
    <row r="32" ht="20.25" customHeight="1">
      <c r="A32" s="44">
        <v>32.0</v>
      </c>
      <c r="B32" s="188" t="s">
        <v>114</v>
      </c>
      <c r="C32" s="188" t="s">
        <v>115</v>
      </c>
      <c r="D32" s="188" t="s">
        <v>346</v>
      </c>
      <c r="E32" s="189"/>
      <c r="F32" s="190" t="s">
        <v>347</v>
      </c>
      <c r="G32" s="58" t="s">
        <v>367</v>
      </c>
      <c r="H32" s="58" t="s">
        <v>349</v>
      </c>
      <c r="I32" s="191">
        <v>45637.0</v>
      </c>
      <c r="J32" s="170">
        <v>45692.0</v>
      </c>
      <c r="K32" s="192" t="s">
        <v>350</v>
      </c>
      <c r="L32" s="193"/>
      <c r="M32" s="58" t="s">
        <v>351</v>
      </c>
      <c r="N32" s="192" t="s">
        <v>352</v>
      </c>
      <c r="O32" s="193"/>
      <c r="P32" s="194" t="s">
        <v>353</v>
      </c>
      <c r="Q32" s="52" t="str">
        <f t="array" ref="Q32"> if(iserror(MATCH(V32, 'File Links'!C:C, 0)), "N/A", HYPERLINK(INDEX('File Links'!B:B, MATCH(P32, 'File Links'!C:C, 0))))</f>
        <v>https://drive.google.com/file/d/1OByNKNsjZqSFHFFyt-o1mPqDkVmgruBu/view?usp=drivesdk</v>
      </c>
      <c r="R32" s="58" t="s">
        <v>354</v>
      </c>
      <c r="S32" s="58" t="s">
        <v>355</v>
      </c>
      <c r="T32" s="193"/>
      <c r="U32" s="195"/>
      <c r="V32" s="66" t="str">
        <f> hyperlink(vlookup(lower(S32),'File Links'!E:F, 2, FALSE), SUBSTITUTE(lower(S32), "/", "--") &amp;  ".pdf")</f>
        <v>10.1111--fare.13030.pdf</v>
      </c>
      <c r="W32" s="196" t="s">
        <v>356</v>
      </c>
      <c r="X32" s="54" t="str">
        <f t="array" ref="X32"> if(iserror(MATCH(V32, 'File Links'!C:C, 0)), "N/A", HYPERLINK(INDEX('File Links'!B:B, MATCH(V32, 'File Links'!C:C, 0))))</f>
        <v>https://drive.google.com/file/d/1TGN_TAtoJI3jhMQTEG2wnN59FCyiXC2_/view?usp=drivesdk</v>
      </c>
      <c r="Y32" s="193"/>
      <c r="Z32" s="58" t="s">
        <v>226</v>
      </c>
      <c r="AA32" s="193"/>
      <c r="AB32" s="192" t="s">
        <v>357</v>
      </c>
      <c r="AC32" s="192" t="s">
        <v>368</v>
      </c>
      <c r="AD32" s="192" t="s">
        <v>359</v>
      </c>
      <c r="AE32" s="197">
        <v>1.0</v>
      </c>
      <c r="AF32" s="197">
        <v>1950.0</v>
      </c>
      <c r="AG32" s="197">
        <v>0.13</v>
      </c>
      <c r="AH32" s="194" t="s">
        <v>360</v>
      </c>
      <c r="AI32" s="58" t="s">
        <v>307</v>
      </c>
      <c r="AJ32" s="197">
        <v>0.001</v>
      </c>
      <c r="AK32" s="198" t="s">
        <v>135</v>
      </c>
      <c r="AL32" s="58" t="s">
        <v>186</v>
      </c>
      <c r="AM32" s="193"/>
      <c r="AN32" s="58" t="s">
        <v>138</v>
      </c>
      <c r="AO32" s="197">
        <v>1079.0</v>
      </c>
      <c r="AP32" s="193"/>
      <c r="AQ32" s="58" t="s">
        <v>361</v>
      </c>
      <c r="AR32" s="58" t="s">
        <v>362</v>
      </c>
      <c r="AS32" s="197">
        <v>0.05</v>
      </c>
      <c r="AT32" s="198" t="s">
        <v>335</v>
      </c>
      <c r="AU32" s="198" t="s">
        <v>186</v>
      </c>
      <c r="AV32" s="190"/>
      <c r="AW32" s="190" t="s">
        <v>138</v>
      </c>
      <c r="AX32" s="190" t="s">
        <v>151</v>
      </c>
      <c r="AY32" s="61" t="str">
        <f>IFERROR(__xludf.DUMMYFUNCTION("vlookup(BB32,importrange(""https://docs.google.com/spreadsheets/d/1d2vevQ_7D_v35q4wCQ4RpQ_IPoTwEMB9Yp6ymwlPqew/edit?gid=984458430#gid=984458430"", ""'replication success'!A:K""), 11, FAlSE)"),"mixed")</f>
        <v>mixed</v>
      </c>
      <c r="AZ32" s="61" t="str">
        <f>IFERROR(__xludf.DUMMYFUNCTION("vlookup(BB32,importrange(""https://docs.google.com/spreadsheets/d/1d2vevQ_7D_v35q4wCQ4RpQ_IPoTwEMB9Yp6ymwlPqew/edit?gid=984458430#gid=984458430"",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2" s="61" t="str">
        <f>IFERROR(__xludf.DUMMYFUNCTION("vlookup(BB32,importrange(""https://docs.google.com/spreadsheets/d/1d2vevQ_7D_v35q4wCQ4RpQ_IPoTwEMB9Yp6ymwlPqew/edit?gid=984458430#gid=984458430"", ""'replication success'!A:M""), 13, FAlSE)"),"abstract")</f>
        <v>abstract</v>
      </c>
      <c r="BB32" s="61" t="str">
        <f>IFERROR(__xludf.DUMMYFUNCTION("REGEXREPLACE(G32, ""_[a-z]{1,2}$"", """")"),"additional_studies11")</f>
        <v>additional_studies11</v>
      </c>
      <c r="BC32" s="193"/>
      <c r="BD32" s="199" t="s">
        <v>144</v>
      </c>
      <c r="BE32" s="189"/>
      <c r="BF32" s="189"/>
      <c r="BG32" s="189"/>
      <c r="BH32" s="189"/>
      <c r="BI32" s="189"/>
      <c r="BJ32" s="189"/>
      <c r="BK32" s="189"/>
      <c r="BL32" s="189"/>
      <c r="BM32" s="189"/>
      <c r="BN32" s="189"/>
      <c r="BO32" s="189"/>
      <c r="BP32" s="189"/>
      <c r="BQ32" s="189"/>
      <c r="BR32" s="189"/>
      <c r="BS32" s="189"/>
      <c r="BT32" s="189"/>
      <c r="BU32" s="189"/>
      <c r="BV32" s="189"/>
      <c r="BW32" s="189"/>
      <c r="BX32" s="189"/>
      <c r="BY32" s="189"/>
      <c r="BZ32" s="189"/>
      <c r="CA32" s="189"/>
      <c r="CB32" s="189"/>
      <c r="CC32" s="189"/>
      <c r="CD32" s="189"/>
      <c r="CE32" s="189"/>
      <c r="CF32" s="189"/>
      <c r="CG32" s="189"/>
      <c r="CH32" s="189"/>
      <c r="CI32" s="189"/>
      <c r="CJ32" s="189"/>
      <c r="CK32" s="189"/>
      <c r="CL32" s="189"/>
      <c r="CM32" s="189"/>
      <c r="CN32" s="189"/>
      <c r="CO32" s="189"/>
      <c r="CP32" s="189"/>
      <c r="CQ32" s="189"/>
      <c r="CR32" s="189"/>
      <c r="CS32" s="189"/>
      <c r="CT32" s="189"/>
      <c r="CU32" s="189"/>
      <c r="CV32" s="189"/>
      <c r="CW32" s="189"/>
      <c r="CX32" s="189"/>
      <c r="CY32" s="189"/>
      <c r="CZ32" s="189"/>
      <c r="DA32" s="189"/>
      <c r="DB32" s="189"/>
      <c r="DC32" s="189"/>
      <c r="DD32" s="189"/>
      <c r="DE32" s="189"/>
      <c r="DF32" s="189"/>
      <c r="DG32" s="189"/>
      <c r="DH32" s="189"/>
      <c r="DI32" s="189"/>
      <c r="DJ32" s="189"/>
      <c r="DK32" s="189"/>
      <c r="DL32" s="189"/>
    </row>
    <row r="33" ht="20.25" customHeight="1">
      <c r="A33" s="44">
        <v>33.0</v>
      </c>
      <c r="B33" s="188" t="s">
        <v>114</v>
      </c>
      <c r="C33" s="188" t="s">
        <v>115</v>
      </c>
      <c r="D33" s="188" t="s">
        <v>346</v>
      </c>
      <c r="E33" s="189"/>
      <c r="F33" s="190" t="s">
        <v>347</v>
      </c>
      <c r="G33" s="58" t="s">
        <v>369</v>
      </c>
      <c r="H33" s="58" t="s">
        <v>349</v>
      </c>
      <c r="I33" s="191">
        <v>45637.0</v>
      </c>
      <c r="J33" s="170">
        <v>45692.0</v>
      </c>
      <c r="K33" s="192" t="s">
        <v>350</v>
      </c>
      <c r="L33" s="193"/>
      <c r="M33" s="58" t="s">
        <v>351</v>
      </c>
      <c r="N33" s="192" t="s">
        <v>352</v>
      </c>
      <c r="O33" s="193"/>
      <c r="P33" s="194" t="s">
        <v>353</v>
      </c>
      <c r="Q33" s="52" t="str">
        <f t="array" ref="Q33"> if(iserror(MATCH(V33, 'File Links'!C:C, 0)), "N/A", HYPERLINK(INDEX('File Links'!B:B, MATCH(P33, 'File Links'!C:C, 0))))</f>
        <v>https://drive.google.com/file/d/1OByNKNsjZqSFHFFyt-o1mPqDkVmgruBu/view?usp=drivesdk</v>
      </c>
      <c r="R33" s="58" t="s">
        <v>354</v>
      </c>
      <c r="S33" s="58" t="s">
        <v>355</v>
      </c>
      <c r="T33" s="193"/>
      <c r="U33" s="195"/>
      <c r="V33" s="66" t="str">
        <f> hyperlink(vlookup(lower(S33),'File Links'!E:F, 2, FALSE), SUBSTITUTE(lower(S33), "/", "--") &amp;  ".pdf")</f>
        <v>10.1111--fare.13030.pdf</v>
      </c>
      <c r="W33" s="196" t="s">
        <v>356</v>
      </c>
      <c r="X33" s="54" t="str">
        <f t="array" ref="X33"> if(iserror(MATCH(V33, 'File Links'!C:C, 0)), "N/A", HYPERLINK(INDEX('File Links'!B:B, MATCH(V33, 'File Links'!C:C, 0))))</f>
        <v>https://drive.google.com/file/d/1TGN_TAtoJI3jhMQTEG2wnN59FCyiXC2_/view?usp=drivesdk</v>
      </c>
      <c r="Y33" s="193"/>
      <c r="Z33" s="58" t="s">
        <v>226</v>
      </c>
      <c r="AA33" s="193"/>
      <c r="AB33" s="192" t="s">
        <v>357</v>
      </c>
      <c r="AC33" s="192" t="s">
        <v>370</v>
      </c>
      <c r="AD33" s="192" t="s">
        <v>359</v>
      </c>
      <c r="AE33" s="197">
        <v>1.0</v>
      </c>
      <c r="AF33" s="197">
        <v>1950.0</v>
      </c>
      <c r="AG33" s="197">
        <v>0.13</v>
      </c>
      <c r="AH33" s="194" t="s">
        <v>360</v>
      </c>
      <c r="AI33" s="58" t="s">
        <v>307</v>
      </c>
      <c r="AJ33" s="197">
        <v>0.001</v>
      </c>
      <c r="AK33" s="198" t="s">
        <v>135</v>
      </c>
      <c r="AL33" s="58" t="s">
        <v>186</v>
      </c>
      <c r="AM33" s="193"/>
      <c r="AN33" s="58" t="s">
        <v>138</v>
      </c>
      <c r="AO33" s="197">
        <v>1079.0</v>
      </c>
      <c r="AP33" s="193"/>
      <c r="AQ33" s="58" t="s">
        <v>361</v>
      </c>
      <c r="AR33" s="58" t="s">
        <v>362</v>
      </c>
      <c r="AS33" s="197">
        <v>0.05</v>
      </c>
      <c r="AT33" s="198" t="s">
        <v>335</v>
      </c>
      <c r="AU33" s="198" t="s">
        <v>186</v>
      </c>
      <c r="AV33" s="190"/>
      <c r="AW33" s="190" t="s">
        <v>138</v>
      </c>
      <c r="AX33" s="190" t="s">
        <v>151</v>
      </c>
      <c r="AY33" s="61" t="str">
        <f>IFERROR(__xludf.DUMMYFUNCTION("vlookup(BB33,importrange(""https://docs.google.com/spreadsheets/d/1d2vevQ_7D_v35q4wCQ4RpQ_IPoTwEMB9Yp6ymwlPqew/edit?gid=984458430#gid=984458430"", ""'replication success'!A:K""), 11, FAlSE)"),"mixed")</f>
        <v>mixed</v>
      </c>
      <c r="AZ33" s="61" t="str">
        <f>IFERROR(__xludf.DUMMYFUNCTION("vlookup(BB33,importrange(""https://docs.google.com/spreadsheets/d/1d2vevQ_7D_v35q4wCQ4RpQ_IPoTwEMB9Yp6ymwlPqew/edit?gid=984458430#gid=984458430"",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3" s="61" t="str">
        <f>IFERROR(__xludf.DUMMYFUNCTION("vlookup(BB33,importrange(""https://docs.google.com/spreadsheets/d/1d2vevQ_7D_v35q4wCQ4RpQ_IPoTwEMB9Yp6ymwlPqew/edit?gid=984458430#gid=984458430"", ""'replication success'!A:M""), 13, FAlSE)"),"abstract")</f>
        <v>abstract</v>
      </c>
      <c r="BB33" s="61" t="str">
        <f>IFERROR(__xludf.DUMMYFUNCTION("REGEXREPLACE(G33, ""_[a-z]{1,2}$"", """")"),"additional_studies11")</f>
        <v>additional_studies11</v>
      </c>
      <c r="BC33" s="193"/>
      <c r="BD33" s="199" t="s">
        <v>144</v>
      </c>
      <c r="BE33" s="189"/>
      <c r="BF33" s="189"/>
      <c r="BG33" s="189"/>
      <c r="BH33" s="189"/>
      <c r="BI33" s="189"/>
      <c r="BJ33" s="189"/>
      <c r="BK33" s="189"/>
      <c r="BL33" s="189"/>
      <c r="BM33" s="189"/>
      <c r="BN33" s="189"/>
      <c r="BO33" s="189"/>
      <c r="BP33" s="189"/>
      <c r="BQ33" s="189"/>
      <c r="BR33" s="189"/>
      <c r="BS33" s="189"/>
      <c r="BT33" s="189"/>
      <c r="BU33" s="189"/>
      <c r="BV33" s="189"/>
      <c r="BW33" s="189"/>
      <c r="BX33" s="189"/>
      <c r="BY33" s="189"/>
      <c r="BZ33" s="189"/>
      <c r="CA33" s="189"/>
      <c r="CB33" s="189"/>
      <c r="CC33" s="189"/>
      <c r="CD33" s="189"/>
      <c r="CE33" s="189"/>
      <c r="CF33" s="189"/>
      <c r="CG33" s="189"/>
      <c r="CH33" s="189"/>
      <c r="CI33" s="189"/>
      <c r="CJ33" s="189"/>
      <c r="CK33" s="189"/>
      <c r="CL33" s="189"/>
      <c r="CM33" s="189"/>
      <c r="CN33" s="189"/>
      <c r="CO33" s="189"/>
      <c r="CP33" s="189"/>
      <c r="CQ33" s="189"/>
      <c r="CR33" s="189"/>
      <c r="CS33" s="189"/>
      <c r="CT33" s="189"/>
      <c r="CU33" s="189"/>
      <c r="CV33" s="189"/>
      <c r="CW33" s="189"/>
      <c r="CX33" s="189"/>
      <c r="CY33" s="189"/>
      <c r="CZ33" s="189"/>
      <c r="DA33" s="189"/>
      <c r="DB33" s="189"/>
      <c r="DC33" s="189"/>
      <c r="DD33" s="189"/>
      <c r="DE33" s="189"/>
      <c r="DF33" s="189"/>
      <c r="DG33" s="189"/>
      <c r="DH33" s="189"/>
      <c r="DI33" s="189"/>
      <c r="DJ33" s="189"/>
      <c r="DK33" s="189"/>
      <c r="DL33" s="189"/>
    </row>
    <row r="34" ht="20.25" customHeight="1">
      <c r="A34" s="44">
        <v>34.0</v>
      </c>
      <c r="B34" s="188" t="s">
        <v>114</v>
      </c>
      <c r="C34" s="188" t="s">
        <v>115</v>
      </c>
      <c r="D34" s="188" t="s">
        <v>346</v>
      </c>
      <c r="E34" s="189"/>
      <c r="F34" s="190" t="s">
        <v>347</v>
      </c>
      <c r="G34" s="58" t="s">
        <v>371</v>
      </c>
      <c r="H34" s="58" t="s">
        <v>349</v>
      </c>
      <c r="I34" s="191">
        <v>45637.0</v>
      </c>
      <c r="J34" s="170">
        <v>45692.0</v>
      </c>
      <c r="K34" s="192" t="s">
        <v>350</v>
      </c>
      <c r="L34" s="193"/>
      <c r="M34" s="58" t="s">
        <v>351</v>
      </c>
      <c r="N34" s="192" t="s">
        <v>352</v>
      </c>
      <c r="O34" s="193"/>
      <c r="P34" s="194" t="s">
        <v>353</v>
      </c>
      <c r="Q34" s="52" t="str">
        <f t="array" ref="Q34"> if(iserror(MATCH(V34, 'File Links'!C:C, 0)), "N/A", HYPERLINK(INDEX('File Links'!B:B, MATCH(P34, 'File Links'!C:C, 0))))</f>
        <v>https://drive.google.com/file/d/1OByNKNsjZqSFHFFyt-o1mPqDkVmgruBu/view?usp=drivesdk</v>
      </c>
      <c r="R34" s="58" t="s">
        <v>354</v>
      </c>
      <c r="S34" s="58" t="s">
        <v>355</v>
      </c>
      <c r="T34" s="193"/>
      <c r="U34" s="195"/>
      <c r="V34" s="66" t="str">
        <f> hyperlink(vlookup(lower(S34),'File Links'!E:F, 2, FALSE), SUBSTITUTE(lower(S34), "/", "--") &amp;  ".pdf")</f>
        <v>10.1111--fare.13030.pdf</v>
      </c>
      <c r="W34" s="196" t="s">
        <v>356</v>
      </c>
      <c r="X34" s="54" t="str">
        <f t="array" ref="X34"> if(iserror(MATCH(V34, 'File Links'!C:C, 0)), "N/A", HYPERLINK(INDEX('File Links'!B:B, MATCH(V34, 'File Links'!C:C, 0))))</f>
        <v>https://drive.google.com/file/d/1TGN_TAtoJI3jhMQTEG2wnN59FCyiXC2_/view?usp=drivesdk</v>
      </c>
      <c r="Y34" s="193"/>
      <c r="Z34" s="58" t="s">
        <v>226</v>
      </c>
      <c r="AA34" s="193"/>
      <c r="AB34" s="192" t="s">
        <v>357</v>
      </c>
      <c r="AC34" s="192" t="s">
        <v>372</v>
      </c>
      <c r="AD34" s="192" t="s">
        <v>359</v>
      </c>
      <c r="AE34" s="197">
        <v>1.0</v>
      </c>
      <c r="AF34" s="197">
        <v>1950.0</v>
      </c>
      <c r="AG34" s="197">
        <v>0.13</v>
      </c>
      <c r="AH34" s="194" t="s">
        <v>360</v>
      </c>
      <c r="AI34" s="58" t="s">
        <v>307</v>
      </c>
      <c r="AJ34" s="197">
        <v>0.001</v>
      </c>
      <c r="AK34" s="198" t="s">
        <v>135</v>
      </c>
      <c r="AL34" s="58" t="s">
        <v>186</v>
      </c>
      <c r="AM34" s="193"/>
      <c r="AN34" s="58" t="s">
        <v>138</v>
      </c>
      <c r="AO34" s="197">
        <v>1079.0</v>
      </c>
      <c r="AP34" s="193"/>
      <c r="AQ34" s="58" t="s">
        <v>361</v>
      </c>
      <c r="AR34" s="58" t="s">
        <v>362</v>
      </c>
      <c r="AS34" s="197">
        <v>0.05</v>
      </c>
      <c r="AT34" s="198" t="s">
        <v>335</v>
      </c>
      <c r="AU34" s="198" t="s">
        <v>186</v>
      </c>
      <c r="AV34" s="190"/>
      <c r="AW34" s="190" t="s">
        <v>138</v>
      </c>
      <c r="AX34" s="190" t="s">
        <v>151</v>
      </c>
      <c r="AY34" s="61" t="str">
        <f>IFERROR(__xludf.DUMMYFUNCTION("vlookup(BB34,importrange(""https://docs.google.com/spreadsheets/d/1d2vevQ_7D_v35q4wCQ4RpQ_IPoTwEMB9Yp6ymwlPqew/edit?gid=984458430#gid=984458430"", ""'replication success'!A:K""), 11, FAlSE)"),"mixed")</f>
        <v>mixed</v>
      </c>
      <c r="AZ34" s="61" t="str">
        <f>IFERROR(__xludf.DUMMYFUNCTION("vlookup(BB34,importrange(""https://docs.google.com/spreadsheets/d/1d2vevQ_7D_v35q4wCQ4RpQ_IPoTwEMB9Yp6ymwlPqew/edit?gid=984458430#gid=984458430"",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4" s="61" t="str">
        <f>IFERROR(__xludf.DUMMYFUNCTION("vlookup(BB34,importrange(""https://docs.google.com/spreadsheets/d/1d2vevQ_7D_v35q4wCQ4RpQ_IPoTwEMB9Yp6ymwlPqew/edit?gid=984458430#gid=984458430"", ""'replication success'!A:M""), 13, FAlSE)"),"abstract")</f>
        <v>abstract</v>
      </c>
      <c r="BB34" s="61" t="str">
        <f>IFERROR(__xludf.DUMMYFUNCTION("REGEXREPLACE(G34, ""_[a-z]{1,2}$"", """")"),"additional_studies11")</f>
        <v>additional_studies11</v>
      </c>
      <c r="BC34" s="193"/>
      <c r="BD34" s="199" t="s">
        <v>144</v>
      </c>
      <c r="BE34" s="189"/>
      <c r="BF34" s="189"/>
      <c r="BG34" s="189"/>
      <c r="BH34" s="189"/>
      <c r="BI34" s="189"/>
      <c r="BJ34" s="189"/>
      <c r="BK34" s="189"/>
      <c r="BL34" s="189"/>
      <c r="BM34" s="189"/>
      <c r="BN34" s="189"/>
      <c r="BO34" s="189"/>
      <c r="BP34" s="189"/>
      <c r="BQ34" s="189"/>
      <c r="BR34" s="189"/>
      <c r="BS34" s="189"/>
      <c r="BT34" s="189"/>
      <c r="BU34" s="189"/>
      <c r="BV34" s="189"/>
      <c r="BW34" s="189"/>
      <c r="BX34" s="189"/>
      <c r="BY34" s="189"/>
      <c r="BZ34" s="189"/>
      <c r="CA34" s="189"/>
      <c r="CB34" s="189"/>
      <c r="CC34" s="189"/>
      <c r="CD34" s="189"/>
      <c r="CE34" s="189"/>
      <c r="CF34" s="189"/>
      <c r="CG34" s="189"/>
      <c r="CH34" s="189"/>
      <c r="CI34" s="189"/>
      <c r="CJ34" s="189"/>
      <c r="CK34" s="189"/>
      <c r="CL34" s="189"/>
      <c r="CM34" s="189"/>
      <c r="CN34" s="189"/>
      <c r="CO34" s="189"/>
      <c r="CP34" s="189"/>
      <c r="CQ34" s="189"/>
      <c r="CR34" s="189"/>
      <c r="CS34" s="189"/>
      <c r="CT34" s="189"/>
      <c r="CU34" s="189"/>
      <c r="CV34" s="189"/>
      <c r="CW34" s="189"/>
      <c r="CX34" s="189"/>
      <c r="CY34" s="189"/>
      <c r="CZ34" s="189"/>
      <c r="DA34" s="189"/>
      <c r="DB34" s="189"/>
      <c r="DC34" s="189"/>
      <c r="DD34" s="189"/>
      <c r="DE34" s="189"/>
      <c r="DF34" s="189"/>
      <c r="DG34" s="189"/>
      <c r="DH34" s="189"/>
      <c r="DI34" s="189"/>
      <c r="DJ34" s="189"/>
      <c r="DK34" s="189"/>
      <c r="DL34" s="189"/>
    </row>
    <row r="35" ht="20.25" customHeight="1">
      <c r="A35" s="44">
        <v>35.0</v>
      </c>
      <c r="B35" s="188" t="s">
        <v>114</v>
      </c>
      <c r="C35" s="188" t="s">
        <v>115</v>
      </c>
      <c r="D35" s="188" t="s">
        <v>346</v>
      </c>
      <c r="E35" s="189"/>
      <c r="F35" s="190" t="s">
        <v>347</v>
      </c>
      <c r="G35" s="58" t="s">
        <v>373</v>
      </c>
      <c r="H35" s="58" t="s">
        <v>349</v>
      </c>
      <c r="I35" s="191">
        <v>45637.0</v>
      </c>
      <c r="J35" s="170">
        <v>45692.0</v>
      </c>
      <c r="K35" s="192" t="s">
        <v>350</v>
      </c>
      <c r="L35" s="193"/>
      <c r="M35" s="58" t="s">
        <v>351</v>
      </c>
      <c r="N35" s="192" t="s">
        <v>352</v>
      </c>
      <c r="O35" s="193"/>
      <c r="P35" s="194" t="s">
        <v>353</v>
      </c>
      <c r="Q35" s="52" t="str">
        <f t="array" ref="Q35"> if(iserror(MATCH(V35, 'File Links'!C:C, 0)), "N/A", HYPERLINK(INDEX('File Links'!B:B, MATCH(P35, 'File Links'!C:C, 0))))</f>
        <v>https://drive.google.com/file/d/1OByNKNsjZqSFHFFyt-o1mPqDkVmgruBu/view?usp=drivesdk</v>
      </c>
      <c r="R35" s="58" t="s">
        <v>354</v>
      </c>
      <c r="S35" s="58" t="s">
        <v>355</v>
      </c>
      <c r="T35" s="193"/>
      <c r="U35" s="195"/>
      <c r="V35" s="66" t="str">
        <f> hyperlink(vlookup(lower(S35),'File Links'!E:F, 2, FALSE), SUBSTITUTE(lower(S35), "/", "--") &amp;  ".pdf")</f>
        <v>10.1111--fare.13030.pdf</v>
      </c>
      <c r="W35" s="196" t="s">
        <v>356</v>
      </c>
      <c r="X35" s="54" t="str">
        <f t="array" ref="X35"> if(iserror(MATCH(V35, 'File Links'!C:C, 0)), "N/A", HYPERLINK(INDEX('File Links'!B:B, MATCH(V35, 'File Links'!C:C, 0))))</f>
        <v>https://drive.google.com/file/d/1TGN_TAtoJI3jhMQTEG2wnN59FCyiXC2_/view?usp=drivesdk</v>
      </c>
      <c r="Y35" s="193"/>
      <c r="Z35" s="58" t="s">
        <v>226</v>
      </c>
      <c r="AA35" s="193"/>
      <c r="AB35" s="192" t="s">
        <v>357</v>
      </c>
      <c r="AC35" s="192" t="s">
        <v>374</v>
      </c>
      <c r="AD35" s="192" t="s">
        <v>359</v>
      </c>
      <c r="AE35" s="197">
        <v>1.0</v>
      </c>
      <c r="AF35" s="197">
        <v>1950.0</v>
      </c>
      <c r="AG35" s="197">
        <v>0.13</v>
      </c>
      <c r="AH35" s="194" t="s">
        <v>360</v>
      </c>
      <c r="AI35" s="58" t="s">
        <v>307</v>
      </c>
      <c r="AJ35" s="197">
        <v>0.001</v>
      </c>
      <c r="AK35" s="198" t="s">
        <v>135</v>
      </c>
      <c r="AL35" s="58" t="s">
        <v>186</v>
      </c>
      <c r="AM35" s="193"/>
      <c r="AN35" s="58" t="s">
        <v>138</v>
      </c>
      <c r="AO35" s="197">
        <v>1079.0</v>
      </c>
      <c r="AP35" s="193"/>
      <c r="AQ35" s="58" t="s">
        <v>361</v>
      </c>
      <c r="AR35" s="58" t="s">
        <v>362</v>
      </c>
      <c r="AS35" s="197">
        <v>0.05</v>
      </c>
      <c r="AT35" s="198" t="s">
        <v>335</v>
      </c>
      <c r="AU35" s="198" t="s">
        <v>186</v>
      </c>
      <c r="AV35" s="190"/>
      <c r="AW35" s="190" t="s">
        <v>138</v>
      </c>
      <c r="AX35" s="190" t="s">
        <v>151</v>
      </c>
      <c r="AY35" s="61" t="str">
        <f>IFERROR(__xludf.DUMMYFUNCTION("vlookup(BB35,importrange(""https://docs.google.com/spreadsheets/d/1d2vevQ_7D_v35q4wCQ4RpQ_IPoTwEMB9Yp6ymwlPqew/edit?gid=984458430#gid=984458430"", ""'replication success'!A:K""), 11, FAlSE)"),"mixed")</f>
        <v>mixed</v>
      </c>
      <c r="AZ35" s="61" t="str">
        <f>IFERROR(__xludf.DUMMYFUNCTION("vlookup(BB35,importrange(""https://docs.google.com/spreadsheets/d/1d2vevQ_7D_v35q4wCQ4RpQ_IPoTwEMB9Yp6ymwlPqew/edit?gid=984458430#gid=984458430"",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5" s="61" t="str">
        <f>IFERROR(__xludf.DUMMYFUNCTION("vlookup(BB35,importrange(""https://docs.google.com/spreadsheets/d/1d2vevQ_7D_v35q4wCQ4RpQ_IPoTwEMB9Yp6ymwlPqew/edit?gid=984458430#gid=984458430"", ""'replication success'!A:M""), 13, FAlSE)"),"abstract")</f>
        <v>abstract</v>
      </c>
      <c r="BB35" s="61" t="str">
        <f>IFERROR(__xludf.DUMMYFUNCTION("REGEXREPLACE(G35, ""_[a-z]{1,2}$"", """")"),"additional_studies11")</f>
        <v>additional_studies11</v>
      </c>
      <c r="BC35" s="193"/>
      <c r="BD35" s="199" t="s">
        <v>144</v>
      </c>
      <c r="BE35" s="189"/>
      <c r="BF35" s="189"/>
      <c r="BG35" s="189"/>
      <c r="BH35" s="189"/>
      <c r="BI35" s="189"/>
      <c r="BJ35" s="189"/>
      <c r="BK35" s="189"/>
      <c r="BL35" s="189"/>
      <c r="BM35" s="189"/>
      <c r="BN35" s="189"/>
      <c r="BO35" s="189"/>
      <c r="BP35" s="189"/>
      <c r="BQ35" s="189"/>
      <c r="BR35" s="189"/>
      <c r="BS35" s="189"/>
      <c r="BT35" s="189"/>
      <c r="BU35" s="189"/>
      <c r="BV35" s="189"/>
      <c r="BW35" s="189"/>
      <c r="BX35" s="189"/>
      <c r="BY35" s="189"/>
      <c r="BZ35" s="189"/>
      <c r="CA35" s="189"/>
      <c r="CB35" s="189"/>
      <c r="CC35" s="189"/>
      <c r="CD35" s="189"/>
      <c r="CE35" s="189"/>
      <c r="CF35" s="189"/>
      <c r="CG35" s="189"/>
      <c r="CH35" s="189"/>
      <c r="CI35" s="189"/>
      <c r="CJ35" s="189"/>
      <c r="CK35" s="189"/>
      <c r="CL35" s="189"/>
      <c r="CM35" s="189"/>
      <c r="CN35" s="189"/>
      <c r="CO35" s="189"/>
      <c r="CP35" s="189"/>
      <c r="CQ35" s="189"/>
      <c r="CR35" s="189"/>
      <c r="CS35" s="189"/>
      <c r="CT35" s="189"/>
      <c r="CU35" s="189"/>
      <c r="CV35" s="189"/>
      <c r="CW35" s="189"/>
      <c r="CX35" s="189"/>
      <c r="CY35" s="189"/>
      <c r="CZ35" s="189"/>
      <c r="DA35" s="189"/>
      <c r="DB35" s="189"/>
      <c r="DC35" s="189"/>
      <c r="DD35" s="189"/>
      <c r="DE35" s="189"/>
      <c r="DF35" s="189"/>
      <c r="DG35" s="189"/>
      <c r="DH35" s="189"/>
      <c r="DI35" s="189"/>
      <c r="DJ35" s="189"/>
      <c r="DK35" s="189"/>
      <c r="DL35" s="189"/>
    </row>
    <row r="36" ht="20.25" customHeight="1">
      <c r="A36" s="44">
        <v>36.0</v>
      </c>
      <c r="B36" s="188" t="s">
        <v>114</v>
      </c>
      <c r="C36" s="188" t="s">
        <v>115</v>
      </c>
      <c r="D36" s="188" t="s">
        <v>346</v>
      </c>
      <c r="E36" s="189"/>
      <c r="F36" s="190" t="s">
        <v>347</v>
      </c>
      <c r="G36" s="58" t="s">
        <v>375</v>
      </c>
      <c r="H36" s="58" t="s">
        <v>349</v>
      </c>
      <c r="I36" s="191">
        <v>45637.0</v>
      </c>
      <c r="J36" s="170">
        <v>45692.0</v>
      </c>
      <c r="K36" s="192" t="s">
        <v>350</v>
      </c>
      <c r="L36" s="193"/>
      <c r="M36" s="58" t="s">
        <v>351</v>
      </c>
      <c r="N36" s="192" t="s">
        <v>352</v>
      </c>
      <c r="O36" s="193"/>
      <c r="P36" s="194" t="s">
        <v>353</v>
      </c>
      <c r="Q36" s="52" t="str">
        <f t="array" ref="Q36"> if(iserror(MATCH(V36, 'File Links'!C:C, 0)), "N/A", HYPERLINK(INDEX('File Links'!B:B, MATCH(P36, 'File Links'!C:C, 0))))</f>
        <v>https://drive.google.com/file/d/1OByNKNsjZqSFHFFyt-o1mPqDkVmgruBu/view?usp=drivesdk</v>
      </c>
      <c r="R36" s="58" t="s">
        <v>354</v>
      </c>
      <c r="S36" s="58" t="s">
        <v>355</v>
      </c>
      <c r="T36" s="193"/>
      <c r="U36" s="195"/>
      <c r="V36" s="66" t="str">
        <f> hyperlink(vlookup(lower(S36),'File Links'!E:F, 2, FALSE), SUBSTITUTE(lower(S36), "/", "--") &amp;  ".pdf")</f>
        <v>10.1111--fare.13030.pdf</v>
      </c>
      <c r="W36" s="196" t="s">
        <v>356</v>
      </c>
      <c r="X36" s="54" t="str">
        <f t="array" ref="X36"> if(iserror(MATCH(V36, 'File Links'!C:C, 0)), "N/A", HYPERLINK(INDEX('File Links'!B:B, MATCH(V36, 'File Links'!C:C, 0))))</f>
        <v>https://drive.google.com/file/d/1TGN_TAtoJI3jhMQTEG2wnN59FCyiXC2_/view?usp=drivesdk</v>
      </c>
      <c r="Y36" s="193"/>
      <c r="Z36" s="58" t="s">
        <v>226</v>
      </c>
      <c r="AA36" s="193"/>
      <c r="AB36" s="192" t="s">
        <v>357</v>
      </c>
      <c r="AC36" s="192" t="s">
        <v>376</v>
      </c>
      <c r="AD36" s="192" t="s">
        <v>359</v>
      </c>
      <c r="AE36" s="197">
        <v>1.0</v>
      </c>
      <c r="AF36" s="197">
        <v>1950.0</v>
      </c>
      <c r="AG36" s="197">
        <v>0.13</v>
      </c>
      <c r="AH36" s="194" t="s">
        <v>360</v>
      </c>
      <c r="AI36" s="58" t="s">
        <v>307</v>
      </c>
      <c r="AJ36" s="197">
        <v>0.001</v>
      </c>
      <c r="AK36" s="198" t="s">
        <v>135</v>
      </c>
      <c r="AL36" s="58" t="s">
        <v>186</v>
      </c>
      <c r="AM36" s="193"/>
      <c r="AN36" s="58" t="s">
        <v>138</v>
      </c>
      <c r="AO36" s="197">
        <v>1079.0</v>
      </c>
      <c r="AP36" s="193"/>
      <c r="AQ36" s="58" t="s">
        <v>361</v>
      </c>
      <c r="AR36" s="58" t="s">
        <v>362</v>
      </c>
      <c r="AS36" s="197">
        <v>0.05</v>
      </c>
      <c r="AT36" s="198" t="s">
        <v>335</v>
      </c>
      <c r="AU36" s="198" t="s">
        <v>186</v>
      </c>
      <c r="AV36" s="190"/>
      <c r="AW36" s="190" t="s">
        <v>138</v>
      </c>
      <c r="AX36" s="190" t="s">
        <v>151</v>
      </c>
      <c r="AY36" s="61" t="str">
        <f>IFERROR(__xludf.DUMMYFUNCTION("vlookup(BB36,importrange(""https://docs.google.com/spreadsheets/d/1d2vevQ_7D_v35q4wCQ4RpQ_IPoTwEMB9Yp6ymwlPqew/edit?gid=984458430#gid=984458430"", ""'replication success'!A:K""), 11, FAlSE)"),"mixed")</f>
        <v>mixed</v>
      </c>
      <c r="AZ36" s="61" t="str">
        <f>IFERROR(__xludf.DUMMYFUNCTION("vlookup(BB36,importrange(""https://docs.google.com/spreadsheets/d/1d2vevQ_7D_v35q4wCQ4RpQ_IPoTwEMB9Yp6ymwlPqew/edit?gid=984458430#gid=984458430"",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6" s="61" t="str">
        <f>IFERROR(__xludf.DUMMYFUNCTION("vlookup(BB36,importrange(""https://docs.google.com/spreadsheets/d/1d2vevQ_7D_v35q4wCQ4RpQ_IPoTwEMB9Yp6ymwlPqew/edit?gid=984458430#gid=984458430"", ""'replication success'!A:M""), 13, FAlSE)"),"abstract")</f>
        <v>abstract</v>
      </c>
      <c r="BB36" s="61" t="str">
        <f>IFERROR(__xludf.DUMMYFUNCTION("REGEXREPLACE(G36, ""_[a-z]{1,2}$"", """")"),"additional_studies11")</f>
        <v>additional_studies11</v>
      </c>
      <c r="BC36" s="193"/>
      <c r="BD36" s="199" t="s">
        <v>144</v>
      </c>
      <c r="BE36" s="189"/>
      <c r="BF36" s="189"/>
      <c r="BG36" s="189"/>
      <c r="BH36" s="189"/>
      <c r="BI36" s="189"/>
      <c r="BJ36" s="189"/>
      <c r="BK36" s="189"/>
      <c r="BL36" s="189"/>
      <c r="BM36" s="189"/>
      <c r="BN36" s="189"/>
      <c r="BO36" s="189"/>
      <c r="BP36" s="189"/>
      <c r="BQ36" s="189"/>
      <c r="BR36" s="189"/>
      <c r="BS36" s="189"/>
      <c r="BT36" s="189"/>
      <c r="BU36" s="189"/>
      <c r="BV36" s="189"/>
      <c r="BW36" s="189"/>
      <c r="BX36" s="189"/>
      <c r="BY36" s="189"/>
      <c r="BZ36" s="189"/>
      <c r="CA36" s="189"/>
      <c r="CB36" s="189"/>
      <c r="CC36" s="189"/>
      <c r="CD36" s="189"/>
      <c r="CE36" s="189"/>
      <c r="CF36" s="189"/>
      <c r="CG36" s="189"/>
      <c r="CH36" s="189"/>
      <c r="CI36" s="189"/>
      <c r="CJ36" s="189"/>
      <c r="CK36" s="189"/>
      <c r="CL36" s="189"/>
      <c r="CM36" s="189"/>
      <c r="CN36" s="189"/>
      <c r="CO36" s="189"/>
      <c r="CP36" s="189"/>
      <c r="CQ36" s="189"/>
      <c r="CR36" s="189"/>
      <c r="CS36" s="189"/>
      <c r="CT36" s="189"/>
      <c r="CU36" s="189"/>
      <c r="CV36" s="189"/>
      <c r="CW36" s="189"/>
      <c r="CX36" s="189"/>
      <c r="CY36" s="189"/>
      <c r="CZ36" s="189"/>
      <c r="DA36" s="189"/>
      <c r="DB36" s="189"/>
      <c r="DC36" s="189"/>
      <c r="DD36" s="189"/>
      <c r="DE36" s="189"/>
      <c r="DF36" s="189"/>
      <c r="DG36" s="189"/>
      <c r="DH36" s="189"/>
      <c r="DI36" s="189"/>
      <c r="DJ36" s="189"/>
      <c r="DK36" s="189"/>
      <c r="DL36" s="189"/>
    </row>
    <row r="37" ht="20.25" customHeight="1">
      <c r="A37" s="44">
        <v>37.0</v>
      </c>
      <c r="B37" s="188" t="s">
        <v>114</v>
      </c>
      <c r="C37" s="188" t="s">
        <v>115</v>
      </c>
      <c r="D37" s="188" t="s">
        <v>346</v>
      </c>
      <c r="E37" s="189"/>
      <c r="F37" s="190" t="s">
        <v>347</v>
      </c>
      <c r="G37" s="58" t="s">
        <v>377</v>
      </c>
      <c r="H37" s="58" t="s">
        <v>349</v>
      </c>
      <c r="I37" s="191">
        <v>45637.0</v>
      </c>
      <c r="J37" s="170">
        <v>45692.0</v>
      </c>
      <c r="K37" s="192" t="s">
        <v>350</v>
      </c>
      <c r="L37" s="193"/>
      <c r="M37" s="58" t="s">
        <v>351</v>
      </c>
      <c r="N37" s="192" t="s">
        <v>352</v>
      </c>
      <c r="O37" s="193"/>
      <c r="P37" s="194" t="s">
        <v>353</v>
      </c>
      <c r="Q37" s="52" t="str">
        <f t="array" ref="Q37"> if(iserror(MATCH(V37, 'File Links'!C:C, 0)), "N/A", HYPERLINK(INDEX('File Links'!B:B, MATCH(P37, 'File Links'!C:C, 0))))</f>
        <v>https://drive.google.com/file/d/1OByNKNsjZqSFHFFyt-o1mPqDkVmgruBu/view?usp=drivesdk</v>
      </c>
      <c r="R37" s="58" t="s">
        <v>354</v>
      </c>
      <c r="S37" s="58" t="s">
        <v>355</v>
      </c>
      <c r="T37" s="193"/>
      <c r="U37" s="195"/>
      <c r="V37" s="66" t="str">
        <f> hyperlink(vlookup(lower(S37),'File Links'!E:F, 2, FALSE), SUBSTITUTE(lower(S37), "/", "--") &amp;  ".pdf")</f>
        <v>10.1111--fare.13030.pdf</v>
      </c>
      <c r="W37" s="196" t="s">
        <v>356</v>
      </c>
      <c r="X37" s="54" t="str">
        <f t="array" ref="X37"> if(iserror(MATCH(V37, 'File Links'!C:C, 0)), "N/A", HYPERLINK(INDEX('File Links'!B:B, MATCH(V37, 'File Links'!C:C, 0))))</f>
        <v>https://drive.google.com/file/d/1TGN_TAtoJI3jhMQTEG2wnN59FCyiXC2_/view?usp=drivesdk</v>
      </c>
      <c r="Y37" s="193"/>
      <c r="Z37" s="58" t="s">
        <v>226</v>
      </c>
      <c r="AA37" s="193"/>
      <c r="AB37" s="192" t="s">
        <v>357</v>
      </c>
      <c r="AC37" s="192" t="s">
        <v>378</v>
      </c>
      <c r="AD37" s="192" t="s">
        <v>379</v>
      </c>
      <c r="AE37" s="197">
        <v>11.0</v>
      </c>
      <c r="AF37" s="197">
        <v>1950.0</v>
      </c>
      <c r="AG37" s="193"/>
      <c r="AH37" s="194" t="s">
        <v>360</v>
      </c>
      <c r="AI37" s="58" t="s">
        <v>307</v>
      </c>
      <c r="AJ37" s="197">
        <v>0.05</v>
      </c>
      <c r="AK37" s="198" t="s">
        <v>335</v>
      </c>
      <c r="AL37" s="58" t="s">
        <v>186</v>
      </c>
      <c r="AM37" s="193"/>
      <c r="AN37" s="58" t="s">
        <v>138</v>
      </c>
      <c r="AO37" s="197">
        <v>1079.0</v>
      </c>
      <c r="AP37" s="193"/>
      <c r="AQ37" s="58" t="s">
        <v>361</v>
      </c>
      <c r="AR37" s="58" t="s">
        <v>380</v>
      </c>
      <c r="AS37" s="197">
        <v>0.05</v>
      </c>
      <c r="AT37" s="198" t="s">
        <v>335</v>
      </c>
      <c r="AU37" s="198" t="s">
        <v>186</v>
      </c>
      <c r="AV37" s="190"/>
      <c r="AW37" s="190" t="s">
        <v>138</v>
      </c>
      <c r="AX37" s="190" t="s">
        <v>151</v>
      </c>
      <c r="AY37" s="61" t="str">
        <f>IFERROR(__xludf.DUMMYFUNCTION("vlookup(BB37,importrange(""https://docs.google.com/spreadsheets/d/1d2vevQ_7D_v35q4wCQ4RpQ_IPoTwEMB9Yp6ymwlPqew/edit?gid=984458430#gid=984458430"", ""'replication success'!A:K""), 11, FAlSE)"),"mixed")</f>
        <v>mixed</v>
      </c>
      <c r="AZ37" s="61" t="str">
        <f>IFERROR(__xludf.DUMMYFUNCTION("vlookup(BB37,importrange(""https://docs.google.com/spreadsheets/d/1d2vevQ_7D_v35q4wCQ4RpQ_IPoTwEMB9Yp6ymwlPqew/edit?gid=984458430#gid=984458430"",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7" s="61" t="str">
        <f>IFERROR(__xludf.DUMMYFUNCTION("vlookup(BB37,importrange(""https://docs.google.com/spreadsheets/d/1d2vevQ_7D_v35q4wCQ4RpQ_IPoTwEMB9Yp6ymwlPqew/edit?gid=984458430#gid=984458430"", ""'replication success'!A:M""), 13, FAlSE)"),"abstract")</f>
        <v>abstract</v>
      </c>
      <c r="BB37" s="61" t="str">
        <f>IFERROR(__xludf.DUMMYFUNCTION("REGEXREPLACE(G37, ""_[a-z]{1,2}$"", """")"),"additional_studies11")</f>
        <v>additional_studies11</v>
      </c>
      <c r="BC37" s="193"/>
      <c r="BD37" s="199" t="s">
        <v>144</v>
      </c>
      <c r="BE37" s="189"/>
      <c r="BF37" s="189"/>
      <c r="BG37" s="189"/>
      <c r="BH37" s="189"/>
      <c r="BI37" s="189"/>
      <c r="BJ37" s="189"/>
      <c r="BK37" s="189"/>
      <c r="BL37" s="189"/>
      <c r="BM37" s="189"/>
      <c r="BN37" s="189"/>
      <c r="BO37" s="189"/>
      <c r="BP37" s="189"/>
      <c r="BQ37" s="189"/>
      <c r="BR37" s="189"/>
      <c r="BS37" s="189"/>
      <c r="BT37" s="189"/>
      <c r="BU37" s="189"/>
      <c r="BV37" s="189"/>
      <c r="BW37" s="189"/>
      <c r="BX37" s="189"/>
      <c r="BY37" s="189"/>
      <c r="BZ37" s="189"/>
      <c r="CA37" s="189"/>
      <c r="CB37" s="189"/>
      <c r="CC37" s="189"/>
      <c r="CD37" s="189"/>
      <c r="CE37" s="189"/>
      <c r="CF37" s="189"/>
      <c r="CG37" s="189"/>
      <c r="CH37" s="189"/>
      <c r="CI37" s="189"/>
      <c r="CJ37" s="189"/>
      <c r="CK37" s="189"/>
      <c r="CL37" s="189"/>
      <c r="CM37" s="189"/>
      <c r="CN37" s="189"/>
      <c r="CO37" s="189"/>
      <c r="CP37" s="189"/>
      <c r="CQ37" s="189"/>
      <c r="CR37" s="189"/>
      <c r="CS37" s="189"/>
      <c r="CT37" s="189"/>
      <c r="CU37" s="189"/>
      <c r="CV37" s="189"/>
      <c r="CW37" s="189"/>
      <c r="CX37" s="189"/>
      <c r="CY37" s="189"/>
      <c r="CZ37" s="189"/>
      <c r="DA37" s="189"/>
      <c r="DB37" s="189"/>
      <c r="DC37" s="189"/>
      <c r="DD37" s="189"/>
      <c r="DE37" s="189"/>
      <c r="DF37" s="189"/>
      <c r="DG37" s="189"/>
      <c r="DH37" s="189"/>
      <c r="DI37" s="189"/>
      <c r="DJ37" s="189"/>
      <c r="DK37" s="189"/>
      <c r="DL37" s="189"/>
    </row>
    <row r="38" ht="20.25" customHeight="1">
      <c r="A38" s="44">
        <v>38.0</v>
      </c>
      <c r="B38" s="188" t="s">
        <v>114</v>
      </c>
      <c r="C38" s="188" t="s">
        <v>115</v>
      </c>
      <c r="D38" s="188" t="s">
        <v>346</v>
      </c>
      <c r="E38" s="189"/>
      <c r="F38" s="190" t="s">
        <v>347</v>
      </c>
      <c r="G38" s="58" t="s">
        <v>381</v>
      </c>
      <c r="H38" s="58" t="s">
        <v>349</v>
      </c>
      <c r="I38" s="191">
        <v>45637.0</v>
      </c>
      <c r="J38" s="170">
        <v>45692.0</v>
      </c>
      <c r="K38" s="192" t="s">
        <v>350</v>
      </c>
      <c r="L38" s="193"/>
      <c r="M38" s="58" t="s">
        <v>351</v>
      </c>
      <c r="N38" s="192" t="s">
        <v>352</v>
      </c>
      <c r="O38" s="193"/>
      <c r="P38" s="194" t="s">
        <v>353</v>
      </c>
      <c r="Q38" s="52" t="str">
        <f t="array" ref="Q38"> if(iserror(MATCH(V38, 'File Links'!C:C, 0)), "N/A", HYPERLINK(INDEX('File Links'!B:B, MATCH(P38, 'File Links'!C:C, 0))))</f>
        <v>https://drive.google.com/file/d/1OByNKNsjZqSFHFFyt-o1mPqDkVmgruBu/view?usp=drivesdk</v>
      </c>
      <c r="R38" s="58" t="s">
        <v>354</v>
      </c>
      <c r="S38" s="58" t="s">
        <v>355</v>
      </c>
      <c r="T38" s="193"/>
      <c r="U38" s="195"/>
      <c r="V38" s="66" t="str">
        <f> hyperlink(vlookup(lower(S38),'File Links'!E:F, 2, FALSE), SUBSTITUTE(lower(S38), "/", "--") &amp;  ".pdf")</f>
        <v>10.1111--fare.13030.pdf</v>
      </c>
      <c r="W38" s="196" t="s">
        <v>356</v>
      </c>
      <c r="X38" s="54" t="str">
        <f t="array" ref="X38"> if(iserror(MATCH(V38, 'File Links'!C:C, 0)), "N/A", HYPERLINK(INDEX('File Links'!B:B, MATCH(V38, 'File Links'!C:C, 0))))</f>
        <v>https://drive.google.com/file/d/1TGN_TAtoJI3jhMQTEG2wnN59FCyiXC2_/view?usp=drivesdk</v>
      </c>
      <c r="Y38" s="193"/>
      <c r="Z38" s="58" t="s">
        <v>226</v>
      </c>
      <c r="AA38" s="193"/>
      <c r="AB38" s="192" t="s">
        <v>357</v>
      </c>
      <c r="AC38" s="192" t="s">
        <v>382</v>
      </c>
      <c r="AD38" s="192" t="s">
        <v>379</v>
      </c>
      <c r="AE38" s="197">
        <v>11.0</v>
      </c>
      <c r="AF38" s="197">
        <v>1950.0</v>
      </c>
      <c r="AG38" s="193"/>
      <c r="AH38" s="194" t="s">
        <v>360</v>
      </c>
      <c r="AI38" s="58" t="s">
        <v>307</v>
      </c>
      <c r="AJ38" s="197">
        <v>0.05</v>
      </c>
      <c r="AK38" s="198" t="s">
        <v>335</v>
      </c>
      <c r="AL38" s="58" t="s">
        <v>186</v>
      </c>
      <c r="AM38" s="193"/>
      <c r="AN38" s="58" t="s">
        <v>138</v>
      </c>
      <c r="AO38" s="197">
        <v>1079.0</v>
      </c>
      <c r="AP38" s="193"/>
      <c r="AQ38" s="58" t="s">
        <v>361</v>
      </c>
      <c r="AR38" s="58" t="s">
        <v>380</v>
      </c>
      <c r="AS38" s="197">
        <v>0.05</v>
      </c>
      <c r="AT38" s="198" t="s">
        <v>335</v>
      </c>
      <c r="AU38" s="198" t="s">
        <v>186</v>
      </c>
      <c r="AV38" s="190"/>
      <c r="AW38" s="190" t="s">
        <v>138</v>
      </c>
      <c r="AX38" s="190" t="s">
        <v>151</v>
      </c>
      <c r="AY38" s="61" t="str">
        <f>IFERROR(__xludf.DUMMYFUNCTION("vlookup(BB38,importrange(""https://docs.google.com/spreadsheets/d/1d2vevQ_7D_v35q4wCQ4RpQ_IPoTwEMB9Yp6ymwlPqew/edit?gid=984458430#gid=984458430"", ""'replication success'!A:K""), 11, FAlSE)"),"mixed")</f>
        <v>mixed</v>
      </c>
      <c r="AZ38" s="61" t="str">
        <f>IFERROR(__xludf.DUMMYFUNCTION("vlookup(BB38,importrange(""https://docs.google.com/spreadsheets/d/1d2vevQ_7D_v35q4wCQ4RpQ_IPoTwEMB9Yp6ymwlPqew/edit?gid=984458430#gid=984458430"",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8" s="61" t="str">
        <f>IFERROR(__xludf.DUMMYFUNCTION("vlookup(BB38,importrange(""https://docs.google.com/spreadsheets/d/1d2vevQ_7D_v35q4wCQ4RpQ_IPoTwEMB9Yp6ymwlPqew/edit?gid=984458430#gid=984458430"", ""'replication success'!A:M""), 13, FAlSE)"),"abstract")</f>
        <v>abstract</v>
      </c>
      <c r="BB38" s="61" t="str">
        <f>IFERROR(__xludf.DUMMYFUNCTION("REGEXREPLACE(G38, ""_[a-z]{1,2}$"", """")"),"additional_studies11")</f>
        <v>additional_studies11</v>
      </c>
      <c r="BC38" s="193"/>
      <c r="BD38" s="199" t="s">
        <v>144</v>
      </c>
      <c r="BE38" s="189"/>
      <c r="BF38" s="189"/>
      <c r="BG38" s="189"/>
      <c r="BH38" s="189"/>
      <c r="BI38" s="189"/>
      <c r="BJ38" s="189"/>
      <c r="BK38" s="189"/>
      <c r="BL38" s="189"/>
      <c r="BM38" s="189"/>
      <c r="BN38" s="189"/>
      <c r="BO38" s="189"/>
      <c r="BP38" s="189"/>
      <c r="BQ38" s="189"/>
      <c r="BR38" s="189"/>
      <c r="BS38" s="189"/>
      <c r="BT38" s="189"/>
      <c r="BU38" s="189"/>
      <c r="BV38" s="189"/>
      <c r="BW38" s="189"/>
      <c r="BX38" s="189"/>
      <c r="BY38" s="189"/>
      <c r="BZ38" s="189"/>
      <c r="CA38" s="189"/>
      <c r="CB38" s="189"/>
      <c r="CC38" s="189"/>
      <c r="CD38" s="189"/>
      <c r="CE38" s="189"/>
      <c r="CF38" s="189"/>
      <c r="CG38" s="189"/>
      <c r="CH38" s="189"/>
      <c r="CI38" s="189"/>
      <c r="CJ38" s="189"/>
      <c r="CK38" s="189"/>
      <c r="CL38" s="189"/>
      <c r="CM38" s="189"/>
      <c r="CN38" s="189"/>
      <c r="CO38" s="189"/>
      <c r="CP38" s="189"/>
      <c r="CQ38" s="189"/>
      <c r="CR38" s="189"/>
      <c r="CS38" s="189"/>
      <c r="CT38" s="189"/>
      <c r="CU38" s="189"/>
      <c r="CV38" s="189"/>
      <c r="CW38" s="189"/>
      <c r="CX38" s="189"/>
      <c r="CY38" s="189"/>
      <c r="CZ38" s="189"/>
      <c r="DA38" s="189"/>
      <c r="DB38" s="189"/>
      <c r="DC38" s="189"/>
      <c r="DD38" s="189"/>
      <c r="DE38" s="189"/>
      <c r="DF38" s="189"/>
      <c r="DG38" s="189"/>
      <c r="DH38" s="189"/>
      <c r="DI38" s="189"/>
      <c r="DJ38" s="189"/>
      <c r="DK38" s="189"/>
      <c r="DL38" s="189"/>
    </row>
    <row r="39" ht="20.25" customHeight="1">
      <c r="A39" s="44">
        <v>39.0</v>
      </c>
      <c r="B39" s="188" t="s">
        <v>114</v>
      </c>
      <c r="C39" s="188" t="s">
        <v>115</v>
      </c>
      <c r="D39" s="188" t="s">
        <v>346</v>
      </c>
      <c r="E39" s="189"/>
      <c r="F39" s="190" t="s">
        <v>347</v>
      </c>
      <c r="G39" s="58" t="s">
        <v>383</v>
      </c>
      <c r="H39" s="58" t="s">
        <v>349</v>
      </c>
      <c r="I39" s="191">
        <v>45637.0</v>
      </c>
      <c r="J39" s="170">
        <v>45692.0</v>
      </c>
      <c r="K39" s="192" t="s">
        <v>350</v>
      </c>
      <c r="L39" s="193"/>
      <c r="M39" s="58" t="s">
        <v>351</v>
      </c>
      <c r="N39" s="192" t="s">
        <v>352</v>
      </c>
      <c r="O39" s="193"/>
      <c r="P39" s="194" t="s">
        <v>353</v>
      </c>
      <c r="Q39" s="52" t="str">
        <f t="array" ref="Q39"> if(iserror(MATCH(V39, 'File Links'!C:C, 0)), "N/A", HYPERLINK(INDEX('File Links'!B:B, MATCH(P39, 'File Links'!C:C, 0))))</f>
        <v>https://drive.google.com/file/d/1OByNKNsjZqSFHFFyt-o1mPqDkVmgruBu/view?usp=drivesdk</v>
      </c>
      <c r="R39" s="58" t="s">
        <v>354</v>
      </c>
      <c r="S39" s="58" t="s">
        <v>355</v>
      </c>
      <c r="T39" s="193"/>
      <c r="U39" s="195"/>
      <c r="V39" s="66" t="str">
        <f> hyperlink(vlookup(lower(S39),'File Links'!E:F, 2, FALSE), SUBSTITUTE(lower(S39), "/", "--") &amp;  ".pdf")</f>
        <v>10.1111--fare.13030.pdf</v>
      </c>
      <c r="W39" s="196" t="s">
        <v>356</v>
      </c>
      <c r="X39" s="54" t="str">
        <f t="array" ref="X39"> if(iserror(MATCH(V39, 'File Links'!C:C, 0)), "N/A", HYPERLINK(INDEX('File Links'!B:B, MATCH(V39, 'File Links'!C:C, 0))))</f>
        <v>https://drive.google.com/file/d/1TGN_TAtoJI3jhMQTEG2wnN59FCyiXC2_/view?usp=drivesdk</v>
      </c>
      <c r="Y39" s="193"/>
      <c r="Z39" s="58" t="s">
        <v>226</v>
      </c>
      <c r="AA39" s="193"/>
      <c r="AB39" s="192" t="s">
        <v>357</v>
      </c>
      <c r="AC39" s="192" t="s">
        <v>384</v>
      </c>
      <c r="AD39" s="192" t="s">
        <v>379</v>
      </c>
      <c r="AE39" s="197">
        <v>11.0</v>
      </c>
      <c r="AF39" s="197">
        <v>1950.0</v>
      </c>
      <c r="AG39" s="193"/>
      <c r="AH39" s="194" t="s">
        <v>360</v>
      </c>
      <c r="AI39" s="58" t="s">
        <v>307</v>
      </c>
      <c r="AJ39" s="197">
        <v>0.05</v>
      </c>
      <c r="AK39" s="198" t="s">
        <v>335</v>
      </c>
      <c r="AL39" s="58" t="s">
        <v>186</v>
      </c>
      <c r="AM39" s="193"/>
      <c r="AN39" s="58" t="s">
        <v>138</v>
      </c>
      <c r="AO39" s="197">
        <v>1079.0</v>
      </c>
      <c r="AP39" s="193"/>
      <c r="AQ39" s="58" t="s">
        <v>361</v>
      </c>
      <c r="AR39" s="58" t="s">
        <v>380</v>
      </c>
      <c r="AS39" s="197">
        <v>0.05</v>
      </c>
      <c r="AT39" s="198" t="s">
        <v>335</v>
      </c>
      <c r="AU39" s="198" t="s">
        <v>186</v>
      </c>
      <c r="AV39" s="190"/>
      <c r="AW39" s="190" t="s">
        <v>138</v>
      </c>
      <c r="AX39" s="190" t="s">
        <v>151</v>
      </c>
      <c r="AY39" s="61" t="str">
        <f>IFERROR(__xludf.DUMMYFUNCTION("vlookup(BB39,importrange(""https://docs.google.com/spreadsheets/d/1d2vevQ_7D_v35q4wCQ4RpQ_IPoTwEMB9Yp6ymwlPqew/edit?gid=984458430#gid=984458430"", ""'replication success'!A:K""), 11, FAlSE)"),"mixed")</f>
        <v>mixed</v>
      </c>
      <c r="AZ39" s="61" t="str">
        <f>IFERROR(__xludf.DUMMYFUNCTION("vlookup(BB39,importrange(""https://docs.google.com/spreadsheets/d/1d2vevQ_7D_v35q4wCQ4RpQ_IPoTwEMB9Yp6ymwlPqew/edit?gid=984458430#gid=984458430"",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39" s="61" t="str">
        <f>IFERROR(__xludf.DUMMYFUNCTION("vlookup(BB39,importrange(""https://docs.google.com/spreadsheets/d/1d2vevQ_7D_v35q4wCQ4RpQ_IPoTwEMB9Yp6ymwlPqew/edit?gid=984458430#gid=984458430"", ""'replication success'!A:M""), 13, FAlSE)"),"abstract")</f>
        <v>abstract</v>
      </c>
      <c r="BB39" s="61" t="str">
        <f>IFERROR(__xludf.DUMMYFUNCTION("REGEXREPLACE(G39, ""_[a-z]{1,2}$"", """")"),"additional_studies11")</f>
        <v>additional_studies11</v>
      </c>
      <c r="BC39" s="193"/>
      <c r="BD39" s="199" t="s">
        <v>144</v>
      </c>
      <c r="BE39" s="189"/>
      <c r="BF39" s="189"/>
      <c r="BG39" s="189"/>
      <c r="BH39" s="189"/>
      <c r="BI39" s="189"/>
      <c r="BJ39" s="189"/>
      <c r="BK39" s="189"/>
      <c r="BL39" s="189"/>
      <c r="BM39" s="189"/>
      <c r="BN39" s="189"/>
      <c r="BO39" s="189"/>
      <c r="BP39" s="189"/>
      <c r="BQ39" s="189"/>
      <c r="BR39" s="189"/>
      <c r="BS39" s="189"/>
      <c r="BT39" s="189"/>
      <c r="BU39" s="189"/>
      <c r="BV39" s="189"/>
      <c r="BW39" s="189"/>
      <c r="BX39" s="189"/>
      <c r="BY39" s="189"/>
      <c r="BZ39" s="189"/>
      <c r="CA39" s="189"/>
      <c r="CB39" s="189"/>
      <c r="CC39" s="189"/>
      <c r="CD39" s="189"/>
      <c r="CE39" s="189"/>
      <c r="CF39" s="189"/>
      <c r="CG39" s="189"/>
      <c r="CH39" s="189"/>
      <c r="CI39" s="189"/>
      <c r="CJ39" s="189"/>
      <c r="CK39" s="189"/>
      <c r="CL39" s="189"/>
      <c r="CM39" s="189"/>
      <c r="CN39" s="189"/>
      <c r="CO39" s="189"/>
      <c r="CP39" s="189"/>
      <c r="CQ39" s="189"/>
      <c r="CR39" s="189"/>
      <c r="CS39" s="189"/>
      <c r="CT39" s="189"/>
      <c r="CU39" s="189"/>
      <c r="CV39" s="189"/>
      <c r="CW39" s="189"/>
      <c r="CX39" s="189"/>
      <c r="CY39" s="189"/>
      <c r="CZ39" s="189"/>
      <c r="DA39" s="189"/>
      <c r="DB39" s="189"/>
      <c r="DC39" s="189"/>
      <c r="DD39" s="189"/>
      <c r="DE39" s="189"/>
      <c r="DF39" s="189"/>
      <c r="DG39" s="189"/>
      <c r="DH39" s="189"/>
      <c r="DI39" s="189"/>
      <c r="DJ39" s="189"/>
      <c r="DK39" s="189"/>
      <c r="DL39" s="189"/>
    </row>
    <row r="40" ht="20.25" customHeight="1">
      <c r="A40" s="44">
        <v>40.0</v>
      </c>
      <c r="B40" s="188" t="s">
        <v>114</v>
      </c>
      <c r="C40" s="188" t="s">
        <v>115</v>
      </c>
      <c r="D40" s="188" t="s">
        <v>346</v>
      </c>
      <c r="E40" s="189"/>
      <c r="F40" s="190" t="s">
        <v>347</v>
      </c>
      <c r="G40" s="58" t="s">
        <v>385</v>
      </c>
      <c r="H40" s="58" t="s">
        <v>349</v>
      </c>
      <c r="I40" s="191">
        <v>45637.0</v>
      </c>
      <c r="J40" s="170">
        <v>45692.0</v>
      </c>
      <c r="K40" s="192" t="s">
        <v>350</v>
      </c>
      <c r="L40" s="193"/>
      <c r="M40" s="58" t="s">
        <v>351</v>
      </c>
      <c r="N40" s="192" t="s">
        <v>352</v>
      </c>
      <c r="O40" s="193"/>
      <c r="P40" s="194" t="s">
        <v>353</v>
      </c>
      <c r="Q40" s="52" t="str">
        <f t="array" ref="Q40"> if(iserror(MATCH(V40, 'File Links'!C:C, 0)), "N/A", HYPERLINK(INDEX('File Links'!B:B, MATCH(P40, 'File Links'!C:C, 0))))</f>
        <v>https://drive.google.com/file/d/1OByNKNsjZqSFHFFyt-o1mPqDkVmgruBu/view?usp=drivesdk</v>
      </c>
      <c r="R40" s="58" t="s">
        <v>354</v>
      </c>
      <c r="S40" s="58" t="s">
        <v>355</v>
      </c>
      <c r="T40" s="193"/>
      <c r="U40" s="195"/>
      <c r="V40" s="66" t="str">
        <f> hyperlink(vlookup(lower(S40),'File Links'!E:F, 2, FALSE), SUBSTITUTE(lower(S40), "/", "--") &amp;  ".pdf")</f>
        <v>10.1111--fare.13030.pdf</v>
      </c>
      <c r="W40" s="196" t="s">
        <v>356</v>
      </c>
      <c r="X40" s="54" t="str">
        <f t="array" ref="X40"> if(iserror(MATCH(V40, 'File Links'!C:C, 0)), "N/A", HYPERLINK(INDEX('File Links'!B:B, MATCH(V40, 'File Links'!C:C, 0))))</f>
        <v>https://drive.google.com/file/d/1TGN_TAtoJI3jhMQTEG2wnN59FCyiXC2_/view?usp=drivesdk</v>
      </c>
      <c r="Y40" s="193"/>
      <c r="Z40" s="58" t="s">
        <v>226</v>
      </c>
      <c r="AA40" s="193"/>
      <c r="AB40" s="192" t="s">
        <v>357</v>
      </c>
      <c r="AC40" s="192" t="s">
        <v>386</v>
      </c>
      <c r="AD40" s="192" t="s">
        <v>379</v>
      </c>
      <c r="AE40" s="197">
        <v>11.0</v>
      </c>
      <c r="AF40" s="197">
        <v>1950.0</v>
      </c>
      <c r="AG40" s="193"/>
      <c r="AH40" s="194" t="s">
        <v>360</v>
      </c>
      <c r="AI40" s="58" t="s">
        <v>307</v>
      </c>
      <c r="AJ40" s="197">
        <v>0.05</v>
      </c>
      <c r="AK40" s="198" t="s">
        <v>335</v>
      </c>
      <c r="AL40" s="58" t="s">
        <v>186</v>
      </c>
      <c r="AM40" s="193"/>
      <c r="AN40" s="58" t="s">
        <v>138</v>
      </c>
      <c r="AO40" s="197">
        <v>1079.0</v>
      </c>
      <c r="AP40" s="193"/>
      <c r="AQ40" s="58" t="s">
        <v>361</v>
      </c>
      <c r="AR40" s="58" t="s">
        <v>380</v>
      </c>
      <c r="AS40" s="197">
        <v>0.05</v>
      </c>
      <c r="AT40" s="198" t="s">
        <v>335</v>
      </c>
      <c r="AU40" s="198" t="s">
        <v>186</v>
      </c>
      <c r="AV40" s="190"/>
      <c r="AW40" s="190" t="s">
        <v>138</v>
      </c>
      <c r="AX40" s="190" t="s">
        <v>151</v>
      </c>
      <c r="AY40" s="61" t="str">
        <f>IFERROR(__xludf.DUMMYFUNCTION("vlookup(BB40,importrange(""https://docs.google.com/spreadsheets/d/1d2vevQ_7D_v35q4wCQ4RpQ_IPoTwEMB9Yp6ymwlPqew/edit?gid=984458430#gid=984458430"", ""'replication success'!A:K""), 11, FAlSE)"),"mixed")</f>
        <v>mixed</v>
      </c>
      <c r="AZ40" s="61" t="str">
        <f>IFERROR(__xludf.DUMMYFUNCTION("vlookup(BB40,importrange(""https://docs.google.com/spreadsheets/d/1d2vevQ_7D_v35q4wCQ4RpQ_IPoTwEMB9Yp6ymwlPqew/edit?gid=984458430#gid=984458430"",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0" s="61" t="str">
        <f>IFERROR(__xludf.DUMMYFUNCTION("vlookup(BB40,importrange(""https://docs.google.com/spreadsheets/d/1d2vevQ_7D_v35q4wCQ4RpQ_IPoTwEMB9Yp6ymwlPqew/edit?gid=984458430#gid=984458430"", ""'replication success'!A:M""), 13, FAlSE)"),"abstract")</f>
        <v>abstract</v>
      </c>
      <c r="BB40" s="61" t="str">
        <f>IFERROR(__xludf.DUMMYFUNCTION("REGEXREPLACE(G40, ""_[a-z]{1,2}$"", """")"),"additional_studies11")</f>
        <v>additional_studies11</v>
      </c>
      <c r="BC40" s="193"/>
      <c r="BD40" s="199" t="s">
        <v>144</v>
      </c>
      <c r="BE40" s="189"/>
      <c r="BF40" s="189"/>
      <c r="BG40" s="189"/>
      <c r="BH40" s="189"/>
      <c r="BI40" s="189"/>
      <c r="BJ40" s="189"/>
      <c r="BK40" s="189"/>
      <c r="BL40" s="189"/>
      <c r="BM40" s="189"/>
      <c r="BN40" s="189"/>
      <c r="BO40" s="189"/>
      <c r="BP40" s="189"/>
      <c r="BQ40" s="189"/>
      <c r="BR40" s="189"/>
      <c r="BS40" s="189"/>
      <c r="BT40" s="189"/>
      <c r="BU40" s="189"/>
      <c r="BV40" s="189"/>
      <c r="BW40" s="189"/>
      <c r="BX40" s="189"/>
      <c r="BY40" s="189"/>
      <c r="BZ40" s="189"/>
      <c r="CA40" s="189"/>
      <c r="CB40" s="189"/>
      <c r="CC40" s="189"/>
      <c r="CD40" s="189"/>
      <c r="CE40" s="189"/>
      <c r="CF40" s="189"/>
      <c r="CG40" s="189"/>
      <c r="CH40" s="189"/>
      <c r="CI40" s="189"/>
      <c r="CJ40" s="189"/>
      <c r="CK40" s="189"/>
      <c r="CL40" s="189"/>
      <c r="CM40" s="189"/>
      <c r="CN40" s="189"/>
      <c r="CO40" s="189"/>
      <c r="CP40" s="189"/>
      <c r="CQ40" s="189"/>
      <c r="CR40" s="189"/>
      <c r="CS40" s="189"/>
      <c r="CT40" s="189"/>
      <c r="CU40" s="189"/>
      <c r="CV40" s="189"/>
      <c r="CW40" s="189"/>
      <c r="CX40" s="189"/>
      <c r="CY40" s="189"/>
      <c r="CZ40" s="189"/>
      <c r="DA40" s="189"/>
      <c r="DB40" s="189"/>
      <c r="DC40" s="189"/>
      <c r="DD40" s="189"/>
      <c r="DE40" s="189"/>
      <c r="DF40" s="189"/>
      <c r="DG40" s="189"/>
      <c r="DH40" s="189"/>
      <c r="DI40" s="189"/>
      <c r="DJ40" s="189"/>
      <c r="DK40" s="189"/>
      <c r="DL40" s="189"/>
    </row>
    <row r="41" ht="20.25" customHeight="1">
      <c r="A41" s="44">
        <v>41.0</v>
      </c>
      <c r="B41" s="188" t="s">
        <v>114</v>
      </c>
      <c r="C41" s="188" t="s">
        <v>115</v>
      </c>
      <c r="D41" s="188" t="s">
        <v>346</v>
      </c>
      <c r="E41" s="189"/>
      <c r="F41" s="190" t="s">
        <v>347</v>
      </c>
      <c r="G41" s="58" t="s">
        <v>387</v>
      </c>
      <c r="H41" s="58" t="s">
        <v>349</v>
      </c>
      <c r="I41" s="191">
        <v>45637.0</v>
      </c>
      <c r="J41" s="170">
        <v>45692.0</v>
      </c>
      <c r="K41" s="192" t="s">
        <v>350</v>
      </c>
      <c r="L41" s="193"/>
      <c r="M41" s="58" t="s">
        <v>351</v>
      </c>
      <c r="N41" s="192" t="s">
        <v>352</v>
      </c>
      <c r="O41" s="193"/>
      <c r="P41" s="194" t="s">
        <v>353</v>
      </c>
      <c r="Q41" s="52" t="str">
        <f t="array" ref="Q41"> if(iserror(MATCH(V41, 'File Links'!C:C, 0)), "N/A", HYPERLINK(INDEX('File Links'!B:B, MATCH(P41, 'File Links'!C:C, 0))))</f>
        <v>https://drive.google.com/file/d/1OByNKNsjZqSFHFFyt-o1mPqDkVmgruBu/view?usp=drivesdk</v>
      </c>
      <c r="R41" s="58" t="s">
        <v>354</v>
      </c>
      <c r="S41" s="58" t="s">
        <v>355</v>
      </c>
      <c r="T41" s="193"/>
      <c r="U41" s="195"/>
      <c r="V41" s="66" t="str">
        <f> hyperlink(vlookup(lower(S41),'File Links'!E:F, 2, FALSE), SUBSTITUTE(lower(S41), "/", "--") &amp;  ".pdf")</f>
        <v>10.1111--fare.13030.pdf</v>
      </c>
      <c r="W41" s="196" t="s">
        <v>356</v>
      </c>
      <c r="X41" s="54" t="str">
        <f t="array" ref="X41"> if(iserror(MATCH(V41, 'File Links'!C:C, 0)), "N/A", HYPERLINK(INDEX('File Links'!B:B, MATCH(V41, 'File Links'!C:C, 0))))</f>
        <v>https://drive.google.com/file/d/1TGN_TAtoJI3jhMQTEG2wnN59FCyiXC2_/view?usp=drivesdk</v>
      </c>
      <c r="Y41" s="193"/>
      <c r="Z41" s="58" t="s">
        <v>226</v>
      </c>
      <c r="AA41" s="193"/>
      <c r="AB41" s="192" t="s">
        <v>357</v>
      </c>
      <c r="AC41" s="192" t="s">
        <v>388</v>
      </c>
      <c r="AD41" s="192" t="s">
        <v>379</v>
      </c>
      <c r="AE41" s="197">
        <v>11.0</v>
      </c>
      <c r="AF41" s="197">
        <v>1950.0</v>
      </c>
      <c r="AG41" s="193"/>
      <c r="AH41" s="194" t="s">
        <v>360</v>
      </c>
      <c r="AI41" s="58" t="s">
        <v>307</v>
      </c>
      <c r="AJ41" s="197">
        <v>0.05</v>
      </c>
      <c r="AK41" s="198" t="s">
        <v>335</v>
      </c>
      <c r="AL41" s="58" t="s">
        <v>186</v>
      </c>
      <c r="AM41" s="193"/>
      <c r="AN41" s="58" t="s">
        <v>138</v>
      </c>
      <c r="AO41" s="197">
        <v>1079.0</v>
      </c>
      <c r="AP41" s="193"/>
      <c r="AQ41" s="58" t="s">
        <v>361</v>
      </c>
      <c r="AR41" s="58" t="s">
        <v>362</v>
      </c>
      <c r="AS41" s="197">
        <v>0.05</v>
      </c>
      <c r="AT41" s="198" t="s">
        <v>335</v>
      </c>
      <c r="AU41" s="198" t="s">
        <v>186</v>
      </c>
      <c r="AV41" s="190"/>
      <c r="AW41" s="190" t="s">
        <v>138</v>
      </c>
      <c r="AX41" s="190" t="s">
        <v>151</v>
      </c>
      <c r="AY41" s="61" t="str">
        <f>IFERROR(__xludf.DUMMYFUNCTION("vlookup(BB41,importrange(""https://docs.google.com/spreadsheets/d/1d2vevQ_7D_v35q4wCQ4RpQ_IPoTwEMB9Yp6ymwlPqew/edit?gid=984458430#gid=984458430"", ""'replication success'!A:K""), 11, FAlSE)"),"mixed")</f>
        <v>mixed</v>
      </c>
      <c r="AZ41" s="61" t="str">
        <f>IFERROR(__xludf.DUMMYFUNCTION("vlookup(BB41,importrange(""https://docs.google.com/spreadsheets/d/1d2vevQ_7D_v35q4wCQ4RpQ_IPoTwEMB9Yp6ymwlPqew/edit?gid=984458430#gid=984458430"",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1" s="61" t="str">
        <f>IFERROR(__xludf.DUMMYFUNCTION("vlookup(BB41,importrange(""https://docs.google.com/spreadsheets/d/1d2vevQ_7D_v35q4wCQ4RpQ_IPoTwEMB9Yp6ymwlPqew/edit?gid=984458430#gid=984458430"", ""'replication success'!A:M""), 13, FAlSE)"),"abstract")</f>
        <v>abstract</v>
      </c>
      <c r="BB41" s="61" t="str">
        <f>IFERROR(__xludf.DUMMYFUNCTION("REGEXREPLACE(G41, ""_[a-z]{1,2}$"", """")"),"additional_studies11")</f>
        <v>additional_studies11</v>
      </c>
      <c r="BC41" s="193"/>
      <c r="BD41" s="199" t="s">
        <v>144</v>
      </c>
      <c r="BE41" s="189"/>
      <c r="BF41" s="189"/>
      <c r="BG41" s="189"/>
      <c r="BH41" s="189"/>
      <c r="BI41" s="189"/>
      <c r="BJ41" s="189"/>
      <c r="BK41" s="189"/>
      <c r="BL41" s="189"/>
      <c r="BM41" s="189"/>
      <c r="BN41" s="189"/>
      <c r="BO41" s="189"/>
      <c r="BP41" s="189"/>
      <c r="BQ41" s="189"/>
      <c r="BR41" s="189"/>
      <c r="BS41" s="189"/>
      <c r="BT41" s="189"/>
      <c r="BU41" s="189"/>
      <c r="BV41" s="189"/>
      <c r="BW41" s="189"/>
      <c r="BX41" s="189"/>
      <c r="BY41" s="189"/>
      <c r="BZ41" s="189"/>
      <c r="CA41" s="189"/>
      <c r="CB41" s="189"/>
      <c r="CC41" s="189"/>
      <c r="CD41" s="189"/>
      <c r="CE41" s="189"/>
      <c r="CF41" s="189"/>
      <c r="CG41" s="189"/>
      <c r="CH41" s="189"/>
      <c r="CI41" s="189"/>
      <c r="CJ41" s="189"/>
      <c r="CK41" s="189"/>
      <c r="CL41" s="189"/>
      <c r="CM41" s="189"/>
      <c r="CN41" s="189"/>
      <c r="CO41" s="189"/>
      <c r="CP41" s="189"/>
      <c r="CQ41" s="189"/>
      <c r="CR41" s="189"/>
      <c r="CS41" s="189"/>
      <c r="CT41" s="189"/>
      <c r="CU41" s="189"/>
      <c r="CV41" s="189"/>
      <c r="CW41" s="189"/>
      <c r="CX41" s="189"/>
      <c r="CY41" s="189"/>
      <c r="CZ41" s="189"/>
      <c r="DA41" s="189"/>
      <c r="DB41" s="189"/>
      <c r="DC41" s="189"/>
      <c r="DD41" s="189"/>
      <c r="DE41" s="189"/>
      <c r="DF41" s="189"/>
      <c r="DG41" s="189"/>
      <c r="DH41" s="189"/>
      <c r="DI41" s="189"/>
      <c r="DJ41" s="189"/>
      <c r="DK41" s="189"/>
      <c r="DL41" s="189"/>
    </row>
    <row r="42" ht="20.25" customHeight="1">
      <c r="A42" s="44">
        <v>42.0</v>
      </c>
      <c r="B42" s="188" t="s">
        <v>114</v>
      </c>
      <c r="C42" s="188" t="s">
        <v>115</v>
      </c>
      <c r="D42" s="188" t="s">
        <v>346</v>
      </c>
      <c r="E42" s="189"/>
      <c r="F42" s="190" t="s">
        <v>347</v>
      </c>
      <c r="G42" s="58" t="s">
        <v>389</v>
      </c>
      <c r="H42" s="58" t="s">
        <v>349</v>
      </c>
      <c r="I42" s="191">
        <v>45637.0</v>
      </c>
      <c r="J42" s="170">
        <v>45692.0</v>
      </c>
      <c r="K42" s="192" t="s">
        <v>350</v>
      </c>
      <c r="L42" s="193"/>
      <c r="M42" s="58" t="s">
        <v>351</v>
      </c>
      <c r="N42" s="192" t="s">
        <v>352</v>
      </c>
      <c r="O42" s="193"/>
      <c r="P42" s="194" t="s">
        <v>353</v>
      </c>
      <c r="Q42" s="52" t="str">
        <f t="array" ref="Q42"> if(iserror(MATCH(V42, 'File Links'!C:C, 0)), "N/A", HYPERLINK(INDEX('File Links'!B:B, MATCH(P42, 'File Links'!C:C, 0))))</f>
        <v>https://drive.google.com/file/d/1OByNKNsjZqSFHFFyt-o1mPqDkVmgruBu/view?usp=drivesdk</v>
      </c>
      <c r="R42" s="58" t="s">
        <v>354</v>
      </c>
      <c r="S42" s="58" t="s">
        <v>355</v>
      </c>
      <c r="T42" s="193"/>
      <c r="U42" s="195"/>
      <c r="V42" s="66" t="str">
        <f> hyperlink(vlookup(lower(S42),'File Links'!E:F, 2, FALSE), SUBSTITUTE(lower(S42), "/", "--") &amp;  ".pdf")</f>
        <v>10.1111--fare.13030.pdf</v>
      </c>
      <c r="W42" s="196" t="s">
        <v>356</v>
      </c>
      <c r="X42" s="54" t="str">
        <f t="array" ref="X42"> if(iserror(MATCH(V42, 'File Links'!C:C, 0)), "N/A", HYPERLINK(INDEX('File Links'!B:B, MATCH(V42, 'File Links'!C:C, 0))))</f>
        <v>https://drive.google.com/file/d/1TGN_TAtoJI3jhMQTEG2wnN59FCyiXC2_/view?usp=drivesdk</v>
      </c>
      <c r="Y42" s="193"/>
      <c r="Z42" s="58" t="s">
        <v>226</v>
      </c>
      <c r="AA42" s="193"/>
      <c r="AB42" s="192" t="s">
        <v>357</v>
      </c>
      <c r="AC42" s="192" t="s">
        <v>390</v>
      </c>
      <c r="AD42" s="192" t="s">
        <v>379</v>
      </c>
      <c r="AE42" s="197">
        <v>11.0</v>
      </c>
      <c r="AF42" s="197">
        <v>1950.0</v>
      </c>
      <c r="AG42" s="193"/>
      <c r="AH42" s="194" t="s">
        <v>360</v>
      </c>
      <c r="AI42" s="58" t="s">
        <v>307</v>
      </c>
      <c r="AJ42" s="197">
        <v>0.05</v>
      </c>
      <c r="AK42" s="198" t="s">
        <v>335</v>
      </c>
      <c r="AL42" s="58" t="s">
        <v>186</v>
      </c>
      <c r="AM42" s="193"/>
      <c r="AN42" s="58" t="s">
        <v>138</v>
      </c>
      <c r="AO42" s="197">
        <v>1079.0</v>
      </c>
      <c r="AP42" s="193"/>
      <c r="AQ42" s="58" t="s">
        <v>361</v>
      </c>
      <c r="AR42" s="58" t="s">
        <v>362</v>
      </c>
      <c r="AS42" s="197">
        <v>0.05</v>
      </c>
      <c r="AT42" s="198" t="s">
        <v>335</v>
      </c>
      <c r="AU42" s="198" t="s">
        <v>186</v>
      </c>
      <c r="AV42" s="190"/>
      <c r="AW42" s="190" t="s">
        <v>138</v>
      </c>
      <c r="AX42" s="190" t="s">
        <v>151</v>
      </c>
      <c r="AY42" s="61" t="str">
        <f>IFERROR(__xludf.DUMMYFUNCTION("vlookup(BB42,importrange(""https://docs.google.com/spreadsheets/d/1d2vevQ_7D_v35q4wCQ4RpQ_IPoTwEMB9Yp6ymwlPqew/edit?gid=984458430#gid=984458430"", ""'replication success'!A:K""), 11, FAlSE)"),"mixed")</f>
        <v>mixed</v>
      </c>
      <c r="AZ42" s="61" t="str">
        <f>IFERROR(__xludf.DUMMYFUNCTION("vlookup(BB42,importrange(""https://docs.google.com/spreadsheets/d/1d2vevQ_7D_v35q4wCQ4RpQ_IPoTwEMB9Yp6ymwlPqew/edit?gid=984458430#gid=984458430"",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2" s="61" t="str">
        <f>IFERROR(__xludf.DUMMYFUNCTION("vlookup(BB42,importrange(""https://docs.google.com/spreadsheets/d/1d2vevQ_7D_v35q4wCQ4RpQ_IPoTwEMB9Yp6ymwlPqew/edit?gid=984458430#gid=984458430"", ""'replication success'!A:M""), 13, FAlSE)"),"abstract")</f>
        <v>abstract</v>
      </c>
      <c r="BB42" s="61" t="str">
        <f>IFERROR(__xludf.DUMMYFUNCTION("REGEXREPLACE(G42, ""_[a-z]{1,2}$"", """")"),"additional_studies11")</f>
        <v>additional_studies11</v>
      </c>
      <c r="BC42" s="193"/>
      <c r="BD42" s="199" t="s">
        <v>144</v>
      </c>
      <c r="BE42" s="189"/>
      <c r="BF42" s="189"/>
      <c r="BG42" s="189"/>
      <c r="BH42" s="189"/>
      <c r="BI42" s="189"/>
      <c r="BJ42" s="189"/>
      <c r="BK42" s="189"/>
      <c r="BL42" s="189"/>
      <c r="BM42" s="189"/>
      <c r="BN42" s="189"/>
      <c r="BO42" s="189"/>
      <c r="BP42" s="189"/>
      <c r="BQ42" s="189"/>
      <c r="BR42" s="189"/>
      <c r="BS42" s="189"/>
      <c r="BT42" s="189"/>
      <c r="BU42" s="189"/>
      <c r="BV42" s="189"/>
      <c r="BW42" s="189"/>
      <c r="BX42" s="189"/>
      <c r="BY42" s="189"/>
      <c r="BZ42" s="189"/>
      <c r="CA42" s="189"/>
      <c r="CB42" s="189"/>
      <c r="CC42" s="189"/>
      <c r="CD42" s="189"/>
      <c r="CE42" s="189"/>
      <c r="CF42" s="189"/>
      <c r="CG42" s="189"/>
      <c r="CH42" s="189"/>
      <c r="CI42" s="189"/>
      <c r="CJ42" s="189"/>
      <c r="CK42" s="189"/>
      <c r="CL42" s="189"/>
      <c r="CM42" s="189"/>
      <c r="CN42" s="189"/>
      <c r="CO42" s="189"/>
      <c r="CP42" s="189"/>
      <c r="CQ42" s="189"/>
      <c r="CR42" s="189"/>
      <c r="CS42" s="189"/>
      <c r="CT42" s="189"/>
      <c r="CU42" s="189"/>
      <c r="CV42" s="189"/>
      <c r="CW42" s="189"/>
      <c r="CX42" s="189"/>
      <c r="CY42" s="189"/>
      <c r="CZ42" s="189"/>
      <c r="DA42" s="189"/>
      <c r="DB42" s="189"/>
      <c r="DC42" s="189"/>
      <c r="DD42" s="189"/>
      <c r="DE42" s="189"/>
      <c r="DF42" s="189"/>
      <c r="DG42" s="189"/>
      <c r="DH42" s="189"/>
      <c r="DI42" s="189"/>
      <c r="DJ42" s="189"/>
      <c r="DK42" s="189"/>
      <c r="DL42" s="189"/>
    </row>
    <row r="43" ht="20.25" customHeight="1">
      <c r="A43" s="44">
        <v>43.0</v>
      </c>
      <c r="B43" s="188" t="s">
        <v>114</v>
      </c>
      <c r="C43" s="188" t="s">
        <v>115</v>
      </c>
      <c r="D43" s="188" t="s">
        <v>346</v>
      </c>
      <c r="E43" s="189"/>
      <c r="F43" s="190" t="s">
        <v>347</v>
      </c>
      <c r="G43" s="58" t="s">
        <v>391</v>
      </c>
      <c r="H43" s="58" t="s">
        <v>349</v>
      </c>
      <c r="I43" s="191">
        <v>45637.0</v>
      </c>
      <c r="J43" s="170">
        <v>45692.0</v>
      </c>
      <c r="K43" s="192" t="s">
        <v>350</v>
      </c>
      <c r="L43" s="193"/>
      <c r="M43" s="58" t="s">
        <v>351</v>
      </c>
      <c r="N43" s="192" t="s">
        <v>352</v>
      </c>
      <c r="O43" s="193"/>
      <c r="P43" s="194" t="s">
        <v>353</v>
      </c>
      <c r="Q43" s="52" t="str">
        <f t="array" ref="Q43"> if(iserror(MATCH(V43, 'File Links'!C:C, 0)), "N/A", HYPERLINK(INDEX('File Links'!B:B, MATCH(P43, 'File Links'!C:C, 0))))</f>
        <v>https://drive.google.com/file/d/1OByNKNsjZqSFHFFyt-o1mPqDkVmgruBu/view?usp=drivesdk</v>
      </c>
      <c r="R43" s="58" t="s">
        <v>354</v>
      </c>
      <c r="S43" s="58" t="s">
        <v>355</v>
      </c>
      <c r="T43" s="193"/>
      <c r="U43" s="195"/>
      <c r="V43" s="66" t="str">
        <f> hyperlink(vlookup(lower(S43),'File Links'!E:F, 2, FALSE), SUBSTITUTE(lower(S43), "/", "--") &amp;  ".pdf")</f>
        <v>10.1111--fare.13030.pdf</v>
      </c>
      <c r="W43" s="196" t="s">
        <v>356</v>
      </c>
      <c r="X43" s="54" t="str">
        <f t="array" ref="X43"> if(iserror(MATCH(V43, 'File Links'!C:C, 0)), "N/A", HYPERLINK(INDEX('File Links'!B:B, MATCH(V43, 'File Links'!C:C, 0))))</f>
        <v>https://drive.google.com/file/d/1TGN_TAtoJI3jhMQTEG2wnN59FCyiXC2_/view?usp=drivesdk</v>
      </c>
      <c r="Y43" s="193"/>
      <c r="Z43" s="58" t="s">
        <v>226</v>
      </c>
      <c r="AA43" s="193"/>
      <c r="AB43" s="192" t="s">
        <v>357</v>
      </c>
      <c r="AC43" s="192" t="s">
        <v>392</v>
      </c>
      <c r="AD43" s="192" t="s">
        <v>379</v>
      </c>
      <c r="AE43" s="197">
        <v>11.0</v>
      </c>
      <c r="AF43" s="197">
        <v>1950.0</v>
      </c>
      <c r="AG43" s="193"/>
      <c r="AH43" s="194" t="s">
        <v>360</v>
      </c>
      <c r="AI43" s="58" t="s">
        <v>307</v>
      </c>
      <c r="AJ43" s="197">
        <v>0.05</v>
      </c>
      <c r="AK43" s="198" t="s">
        <v>335</v>
      </c>
      <c r="AL43" s="58" t="s">
        <v>186</v>
      </c>
      <c r="AM43" s="193"/>
      <c r="AN43" s="58" t="s">
        <v>138</v>
      </c>
      <c r="AO43" s="197">
        <v>1079.0</v>
      </c>
      <c r="AP43" s="197">
        <v>0.07</v>
      </c>
      <c r="AQ43" s="58" t="s">
        <v>361</v>
      </c>
      <c r="AR43" s="58" t="s">
        <v>362</v>
      </c>
      <c r="AS43" s="197">
        <v>0.05</v>
      </c>
      <c r="AT43" s="198" t="s">
        <v>135</v>
      </c>
      <c r="AU43" s="198" t="s">
        <v>186</v>
      </c>
      <c r="AV43" s="190"/>
      <c r="AW43" s="190" t="s">
        <v>138</v>
      </c>
      <c r="AX43" s="190" t="s">
        <v>151</v>
      </c>
      <c r="AY43" s="61" t="str">
        <f>IFERROR(__xludf.DUMMYFUNCTION("vlookup(BB43,importrange(""https://docs.google.com/spreadsheets/d/1d2vevQ_7D_v35q4wCQ4RpQ_IPoTwEMB9Yp6ymwlPqew/edit?gid=984458430#gid=984458430"", ""'replication success'!A:K""), 11, FAlSE)"),"mixed")</f>
        <v>mixed</v>
      </c>
      <c r="AZ43" s="61" t="str">
        <f>IFERROR(__xludf.DUMMYFUNCTION("vlookup(BB43,importrange(""https://docs.google.com/spreadsheets/d/1d2vevQ_7D_v35q4wCQ4RpQ_IPoTwEMB9Yp6ymwlPqew/edit?gid=984458430#gid=984458430"",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3" s="61" t="str">
        <f>IFERROR(__xludf.DUMMYFUNCTION("vlookup(BB43,importrange(""https://docs.google.com/spreadsheets/d/1d2vevQ_7D_v35q4wCQ4RpQ_IPoTwEMB9Yp6ymwlPqew/edit?gid=984458430#gid=984458430"", ""'replication success'!A:M""), 13, FAlSE)"),"abstract")</f>
        <v>abstract</v>
      </c>
      <c r="BB43" s="61" t="str">
        <f>IFERROR(__xludf.DUMMYFUNCTION("REGEXREPLACE(G43, ""_[a-z]{1,2}$"", """")"),"additional_studies11")</f>
        <v>additional_studies11</v>
      </c>
      <c r="BC43" s="193"/>
      <c r="BD43" s="199" t="s">
        <v>144</v>
      </c>
      <c r="BE43" s="189"/>
      <c r="BF43" s="189"/>
      <c r="BG43" s="189"/>
      <c r="BH43" s="189"/>
      <c r="BI43" s="189"/>
      <c r="BJ43" s="189"/>
      <c r="BK43" s="189"/>
      <c r="BL43" s="189"/>
      <c r="BM43" s="189"/>
      <c r="BN43" s="189"/>
      <c r="BO43" s="189"/>
      <c r="BP43" s="189"/>
      <c r="BQ43" s="189"/>
      <c r="BR43" s="189"/>
      <c r="BS43" s="189"/>
      <c r="BT43" s="189"/>
      <c r="BU43" s="189"/>
      <c r="BV43" s="189"/>
      <c r="BW43" s="189"/>
      <c r="BX43" s="189"/>
      <c r="BY43" s="189"/>
      <c r="BZ43" s="189"/>
      <c r="CA43" s="189"/>
      <c r="CB43" s="189"/>
      <c r="CC43" s="189"/>
      <c r="CD43" s="189"/>
      <c r="CE43" s="189"/>
      <c r="CF43" s="189"/>
      <c r="CG43" s="189"/>
      <c r="CH43" s="189"/>
      <c r="CI43" s="189"/>
      <c r="CJ43" s="189"/>
      <c r="CK43" s="189"/>
      <c r="CL43" s="189"/>
      <c r="CM43" s="189"/>
      <c r="CN43" s="189"/>
      <c r="CO43" s="189"/>
      <c r="CP43" s="189"/>
      <c r="CQ43" s="189"/>
      <c r="CR43" s="189"/>
      <c r="CS43" s="189"/>
      <c r="CT43" s="189"/>
      <c r="CU43" s="189"/>
      <c r="CV43" s="189"/>
      <c r="CW43" s="189"/>
      <c r="CX43" s="189"/>
      <c r="CY43" s="189"/>
      <c r="CZ43" s="189"/>
      <c r="DA43" s="189"/>
      <c r="DB43" s="189"/>
      <c r="DC43" s="189"/>
      <c r="DD43" s="189"/>
      <c r="DE43" s="189"/>
      <c r="DF43" s="189"/>
      <c r="DG43" s="189"/>
      <c r="DH43" s="189"/>
      <c r="DI43" s="189"/>
      <c r="DJ43" s="189"/>
      <c r="DK43" s="189"/>
      <c r="DL43" s="189"/>
    </row>
    <row r="44" ht="20.25" customHeight="1">
      <c r="A44" s="44">
        <v>44.0</v>
      </c>
      <c r="B44" s="188" t="s">
        <v>114</v>
      </c>
      <c r="C44" s="188" t="s">
        <v>115</v>
      </c>
      <c r="D44" s="188" t="s">
        <v>346</v>
      </c>
      <c r="E44" s="189"/>
      <c r="F44" s="190" t="s">
        <v>347</v>
      </c>
      <c r="G44" s="58" t="s">
        <v>393</v>
      </c>
      <c r="H44" s="58" t="s">
        <v>349</v>
      </c>
      <c r="I44" s="191">
        <v>45637.0</v>
      </c>
      <c r="J44" s="170">
        <v>45692.0</v>
      </c>
      <c r="K44" s="192" t="s">
        <v>350</v>
      </c>
      <c r="L44" s="193"/>
      <c r="M44" s="58" t="s">
        <v>351</v>
      </c>
      <c r="N44" s="192" t="s">
        <v>352</v>
      </c>
      <c r="O44" s="193"/>
      <c r="P44" s="194" t="s">
        <v>353</v>
      </c>
      <c r="Q44" s="52" t="str">
        <f t="array" ref="Q44"> if(iserror(MATCH(V44, 'File Links'!C:C, 0)), "N/A", HYPERLINK(INDEX('File Links'!B:B, MATCH(P44, 'File Links'!C:C, 0))))</f>
        <v>https://drive.google.com/file/d/1OByNKNsjZqSFHFFyt-o1mPqDkVmgruBu/view?usp=drivesdk</v>
      </c>
      <c r="R44" s="58" t="s">
        <v>354</v>
      </c>
      <c r="S44" s="58" t="s">
        <v>355</v>
      </c>
      <c r="T44" s="193"/>
      <c r="U44" s="195"/>
      <c r="V44" s="66" t="str">
        <f> hyperlink(vlookup(lower(S44),'File Links'!E:F, 2, FALSE), SUBSTITUTE(lower(S44), "/", "--") &amp;  ".pdf")</f>
        <v>10.1111--fare.13030.pdf</v>
      </c>
      <c r="W44" s="196" t="s">
        <v>356</v>
      </c>
      <c r="X44" s="54" t="str">
        <f t="array" ref="X44"> if(iserror(MATCH(V44, 'File Links'!C:C, 0)), "N/A", HYPERLINK(INDEX('File Links'!B:B, MATCH(V44, 'File Links'!C:C, 0))))</f>
        <v>https://drive.google.com/file/d/1TGN_TAtoJI3jhMQTEG2wnN59FCyiXC2_/view?usp=drivesdk</v>
      </c>
      <c r="Y44" s="193"/>
      <c r="Z44" s="58" t="s">
        <v>226</v>
      </c>
      <c r="AA44" s="193"/>
      <c r="AB44" s="192" t="s">
        <v>357</v>
      </c>
      <c r="AC44" s="192" t="s">
        <v>394</v>
      </c>
      <c r="AD44" s="192" t="s">
        <v>379</v>
      </c>
      <c r="AE44" s="197">
        <v>11.0</v>
      </c>
      <c r="AF44" s="197">
        <v>1950.0</v>
      </c>
      <c r="AG44" s="193"/>
      <c r="AH44" s="194" t="s">
        <v>360</v>
      </c>
      <c r="AI44" s="58" t="s">
        <v>307</v>
      </c>
      <c r="AJ44" s="197">
        <v>0.05</v>
      </c>
      <c r="AK44" s="198" t="s">
        <v>335</v>
      </c>
      <c r="AL44" s="58" t="s">
        <v>186</v>
      </c>
      <c r="AM44" s="193"/>
      <c r="AN44" s="58" t="s">
        <v>138</v>
      </c>
      <c r="AO44" s="197">
        <v>1079.0</v>
      </c>
      <c r="AP44" s="197">
        <v>0.07</v>
      </c>
      <c r="AQ44" s="58" t="s">
        <v>361</v>
      </c>
      <c r="AR44" s="58" t="s">
        <v>362</v>
      </c>
      <c r="AS44" s="197">
        <v>0.05</v>
      </c>
      <c r="AT44" s="198" t="s">
        <v>135</v>
      </c>
      <c r="AU44" s="198" t="s">
        <v>186</v>
      </c>
      <c r="AV44" s="190"/>
      <c r="AW44" s="190" t="s">
        <v>138</v>
      </c>
      <c r="AX44" s="190" t="s">
        <v>151</v>
      </c>
      <c r="AY44" s="61" t="str">
        <f>IFERROR(__xludf.DUMMYFUNCTION("vlookup(BB44,importrange(""https://docs.google.com/spreadsheets/d/1d2vevQ_7D_v35q4wCQ4RpQ_IPoTwEMB9Yp6ymwlPqew/edit?gid=984458430#gid=984458430"", ""'replication success'!A:K""), 11, FAlSE)"),"mixed")</f>
        <v>mixed</v>
      </c>
      <c r="AZ44" s="61" t="str">
        <f>IFERROR(__xludf.DUMMYFUNCTION("vlookup(BB44,importrange(""https://docs.google.com/spreadsheets/d/1d2vevQ_7D_v35q4wCQ4RpQ_IPoTwEMB9Yp6ymwlPqew/edit?gid=984458430#gid=984458430"",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4" s="61" t="str">
        <f>IFERROR(__xludf.DUMMYFUNCTION("vlookup(BB44,importrange(""https://docs.google.com/spreadsheets/d/1d2vevQ_7D_v35q4wCQ4RpQ_IPoTwEMB9Yp6ymwlPqew/edit?gid=984458430#gid=984458430"", ""'replication success'!A:M""), 13, FAlSE)"),"abstract")</f>
        <v>abstract</v>
      </c>
      <c r="BB44" s="61" t="str">
        <f>IFERROR(__xludf.DUMMYFUNCTION("REGEXREPLACE(G44, ""_[a-z]{1,2}$"", """")"),"additional_studies11")</f>
        <v>additional_studies11</v>
      </c>
      <c r="BC44" s="193"/>
      <c r="BD44" s="199" t="s">
        <v>144</v>
      </c>
      <c r="BE44" s="189"/>
      <c r="BF44" s="189"/>
      <c r="BG44" s="189"/>
      <c r="BH44" s="189"/>
      <c r="BI44" s="189"/>
      <c r="BJ44" s="189"/>
      <c r="BK44" s="189"/>
      <c r="BL44" s="189"/>
      <c r="BM44" s="189"/>
      <c r="BN44" s="189"/>
      <c r="BO44" s="189"/>
      <c r="BP44" s="189"/>
      <c r="BQ44" s="189"/>
      <c r="BR44" s="189"/>
      <c r="BS44" s="189"/>
      <c r="BT44" s="189"/>
      <c r="BU44" s="189"/>
      <c r="BV44" s="189"/>
      <c r="BW44" s="189"/>
      <c r="BX44" s="189"/>
      <c r="BY44" s="189"/>
      <c r="BZ44" s="189"/>
      <c r="CA44" s="189"/>
      <c r="CB44" s="189"/>
      <c r="CC44" s="189"/>
      <c r="CD44" s="189"/>
      <c r="CE44" s="189"/>
      <c r="CF44" s="189"/>
      <c r="CG44" s="189"/>
      <c r="CH44" s="189"/>
      <c r="CI44" s="189"/>
      <c r="CJ44" s="189"/>
      <c r="CK44" s="189"/>
      <c r="CL44" s="189"/>
      <c r="CM44" s="189"/>
      <c r="CN44" s="189"/>
      <c r="CO44" s="189"/>
      <c r="CP44" s="189"/>
      <c r="CQ44" s="189"/>
      <c r="CR44" s="189"/>
      <c r="CS44" s="189"/>
      <c r="CT44" s="189"/>
      <c r="CU44" s="189"/>
      <c r="CV44" s="189"/>
      <c r="CW44" s="189"/>
      <c r="CX44" s="189"/>
      <c r="CY44" s="189"/>
      <c r="CZ44" s="189"/>
      <c r="DA44" s="189"/>
      <c r="DB44" s="189"/>
      <c r="DC44" s="189"/>
      <c r="DD44" s="189"/>
      <c r="DE44" s="189"/>
      <c r="DF44" s="189"/>
      <c r="DG44" s="189"/>
      <c r="DH44" s="189"/>
      <c r="DI44" s="189"/>
      <c r="DJ44" s="189"/>
      <c r="DK44" s="189"/>
      <c r="DL44" s="189"/>
    </row>
    <row r="45" ht="20.25" customHeight="1">
      <c r="A45" s="44">
        <v>45.0</v>
      </c>
      <c r="B45" s="188" t="s">
        <v>114</v>
      </c>
      <c r="C45" s="188" t="s">
        <v>115</v>
      </c>
      <c r="D45" s="188" t="s">
        <v>346</v>
      </c>
      <c r="E45" s="189"/>
      <c r="F45" s="190" t="s">
        <v>347</v>
      </c>
      <c r="G45" s="58" t="s">
        <v>395</v>
      </c>
      <c r="H45" s="58" t="s">
        <v>349</v>
      </c>
      <c r="I45" s="191">
        <v>45637.0</v>
      </c>
      <c r="J45" s="170">
        <v>45692.0</v>
      </c>
      <c r="K45" s="192" t="s">
        <v>350</v>
      </c>
      <c r="L45" s="193"/>
      <c r="M45" s="58" t="s">
        <v>351</v>
      </c>
      <c r="N45" s="192" t="s">
        <v>352</v>
      </c>
      <c r="O45" s="193"/>
      <c r="P45" s="194" t="s">
        <v>353</v>
      </c>
      <c r="Q45" s="52" t="str">
        <f t="array" ref="Q45"> if(iserror(MATCH(V45, 'File Links'!C:C, 0)), "N/A", HYPERLINK(INDEX('File Links'!B:B, MATCH(P45, 'File Links'!C:C, 0))))</f>
        <v>https://drive.google.com/file/d/1OByNKNsjZqSFHFFyt-o1mPqDkVmgruBu/view?usp=drivesdk</v>
      </c>
      <c r="R45" s="58" t="s">
        <v>354</v>
      </c>
      <c r="S45" s="58" t="s">
        <v>355</v>
      </c>
      <c r="T45" s="193"/>
      <c r="U45" s="195"/>
      <c r="V45" s="66" t="str">
        <f> hyperlink(vlookup(lower(S45),'File Links'!E:F, 2, FALSE), SUBSTITUTE(lower(S45), "/", "--") &amp;  ".pdf")</f>
        <v>10.1111--fare.13030.pdf</v>
      </c>
      <c r="W45" s="196" t="s">
        <v>356</v>
      </c>
      <c r="X45" s="54" t="str">
        <f t="array" ref="X45"> if(iserror(MATCH(V45, 'File Links'!C:C, 0)), "N/A", HYPERLINK(INDEX('File Links'!B:B, MATCH(V45, 'File Links'!C:C, 0))))</f>
        <v>https://drive.google.com/file/d/1TGN_TAtoJI3jhMQTEG2wnN59FCyiXC2_/view?usp=drivesdk</v>
      </c>
      <c r="Y45" s="193"/>
      <c r="Z45" s="58" t="s">
        <v>226</v>
      </c>
      <c r="AA45" s="193"/>
      <c r="AB45" s="192" t="s">
        <v>357</v>
      </c>
      <c r="AC45" s="192" t="s">
        <v>396</v>
      </c>
      <c r="AD45" s="192" t="s">
        <v>397</v>
      </c>
      <c r="AE45" s="197">
        <v>11.0</v>
      </c>
      <c r="AF45" s="197">
        <v>1950.0</v>
      </c>
      <c r="AG45" s="197">
        <v>-0.06</v>
      </c>
      <c r="AH45" s="194" t="s">
        <v>360</v>
      </c>
      <c r="AI45" s="58" t="s">
        <v>307</v>
      </c>
      <c r="AJ45" s="197">
        <v>0.001</v>
      </c>
      <c r="AK45" s="198" t="s">
        <v>135</v>
      </c>
      <c r="AL45" s="58" t="s">
        <v>186</v>
      </c>
      <c r="AM45" s="193"/>
      <c r="AN45" s="58" t="s">
        <v>138</v>
      </c>
      <c r="AO45" s="197">
        <v>1079.0</v>
      </c>
      <c r="AP45" s="197">
        <v>-0.07</v>
      </c>
      <c r="AQ45" s="58" t="s">
        <v>361</v>
      </c>
      <c r="AR45" s="58" t="s">
        <v>398</v>
      </c>
      <c r="AS45" s="197">
        <v>0.001</v>
      </c>
      <c r="AT45" s="198" t="s">
        <v>135</v>
      </c>
      <c r="AU45" s="198" t="s">
        <v>186</v>
      </c>
      <c r="AV45" s="190"/>
      <c r="AW45" s="190" t="s">
        <v>138</v>
      </c>
      <c r="AX45" s="190" t="s">
        <v>151</v>
      </c>
      <c r="AY45" s="61" t="str">
        <f>IFERROR(__xludf.DUMMYFUNCTION("vlookup(BB45,importrange(""https://docs.google.com/spreadsheets/d/1d2vevQ_7D_v35q4wCQ4RpQ_IPoTwEMB9Yp6ymwlPqew/edit?gid=984458430#gid=984458430"", ""'replication success'!A:K""), 11, FAlSE)"),"mixed")</f>
        <v>mixed</v>
      </c>
      <c r="AZ45" s="61" t="str">
        <f>IFERROR(__xludf.DUMMYFUNCTION("vlookup(BB45,importrange(""https://docs.google.com/spreadsheets/d/1d2vevQ_7D_v35q4wCQ4RpQ_IPoTwEMB9Yp6ymwlPqew/edit?gid=984458430#gid=984458430"",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5" s="61" t="str">
        <f>IFERROR(__xludf.DUMMYFUNCTION("vlookup(BB45,importrange(""https://docs.google.com/spreadsheets/d/1d2vevQ_7D_v35q4wCQ4RpQ_IPoTwEMB9Yp6ymwlPqew/edit?gid=984458430#gid=984458430"", ""'replication success'!A:M""), 13, FAlSE)"),"abstract")</f>
        <v>abstract</v>
      </c>
      <c r="BB45" s="61" t="str">
        <f>IFERROR(__xludf.DUMMYFUNCTION("REGEXREPLACE(G45, ""_[a-z]{1,2}$"", """")"),"additional_studies11")</f>
        <v>additional_studies11</v>
      </c>
      <c r="BC45" s="193"/>
      <c r="BD45" s="199" t="s">
        <v>144</v>
      </c>
      <c r="BE45" s="189"/>
      <c r="BF45" s="189"/>
      <c r="BG45" s="189"/>
      <c r="BH45" s="189"/>
      <c r="BI45" s="189"/>
      <c r="BJ45" s="189"/>
      <c r="BK45" s="189"/>
      <c r="BL45" s="189"/>
      <c r="BM45" s="189"/>
      <c r="BN45" s="189"/>
      <c r="BO45" s="189"/>
      <c r="BP45" s="189"/>
      <c r="BQ45" s="189"/>
      <c r="BR45" s="189"/>
      <c r="BS45" s="189"/>
      <c r="BT45" s="189"/>
      <c r="BU45" s="189"/>
      <c r="BV45" s="189"/>
      <c r="BW45" s="189"/>
      <c r="BX45" s="189"/>
      <c r="BY45" s="189"/>
      <c r="BZ45" s="189"/>
      <c r="CA45" s="189"/>
      <c r="CB45" s="189"/>
      <c r="CC45" s="189"/>
      <c r="CD45" s="189"/>
      <c r="CE45" s="189"/>
      <c r="CF45" s="189"/>
      <c r="CG45" s="189"/>
      <c r="CH45" s="189"/>
      <c r="CI45" s="189"/>
      <c r="CJ45" s="189"/>
      <c r="CK45" s="189"/>
      <c r="CL45" s="189"/>
      <c r="CM45" s="189"/>
      <c r="CN45" s="189"/>
      <c r="CO45" s="189"/>
      <c r="CP45" s="189"/>
      <c r="CQ45" s="189"/>
      <c r="CR45" s="189"/>
      <c r="CS45" s="189"/>
      <c r="CT45" s="189"/>
      <c r="CU45" s="189"/>
      <c r="CV45" s="189"/>
      <c r="CW45" s="189"/>
      <c r="CX45" s="189"/>
      <c r="CY45" s="189"/>
      <c r="CZ45" s="189"/>
      <c r="DA45" s="189"/>
      <c r="DB45" s="189"/>
      <c r="DC45" s="189"/>
      <c r="DD45" s="189"/>
      <c r="DE45" s="189"/>
      <c r="DF45" s="189"/>
      <c r="DG45" s="189"/>
      <c r="DH45" s="189"/>
      <c r="DI45" s="189"/>
      <c r="DJ45" s="189"/>
      <c r="DK45" s="189"/>
      <c r="DL45" s="189"/>
    </row>
    <row r="46" ht="20.25" customHeight="1">
      <c r="A46" s="44">
        <v>46.0</v>
      </c>
      <c r="B46" s="188" t="s">
        <v>114</v>
      </c>
      <c r="C46" s="188" t="s">
        <v>115</v>
      </c>
      <c r="D46" s="188" t="s">
        <v>346</v>
      </c>
      <c r="E46" s="189"/>
      <c r="F46" s="190" t="s">
        <v>347</v>
      </c>
      <c r="G46" s="58" t="s">
        <v>399</v>
      </c>
      <c r="H46" s="58" t="s">
        <v>349</v>
      </c>
      <c r="I46" s="191">
        <v>45637.0</v>
      </c>
      <c r="J46" s="170">
        <v>45692.0</v>
      </c>
      <c r="K46" s="192" t="s">
        <v>350</v>
      </c>
      <c r="L46" s="193"/>
      <c r="M46" s="58" t="s">
        <v>351</v>
      </c>
      <c r="N46" s="192" t="s">
        <v>352</v>
      </c>
      <c r="O46" s="193"/>
      <c r="P46" s="194" t="s">
        <v>353</v>
      </c>
      <c r="Q46" s="52" t="str">
        <f t="array" ref="Q46"> if(iserror(MATCH(V46, 'File Links'!C:C, 0)), "N/A", HYPERLINK(INDEX('File Links'!B:B, MATCH(P46, 'File Links'!C:C, 0))))</f>
        <v>https://drive.google.com/file/d/1OByNKNsjZqSFHFFyt-o1mPqDkVmgruBu/view?usp=drivesdk</v>
      </c>
      <c r="R46" s="58" t="s">
        <v>354</v>
      </c>
      <c r="S46" s="58" t="s">
        <v>355</v>
      </c>
      <c r="T46" s="193"/>
      <c r="U46" s="195"/>
      <c r="V46" s="66" t="str">
        <f> hyperlink(vlookup(lower(S46),'File Links'!E:F, 2, FALSE), SUBSTITUTE(lower(S46), "/", "--") &amp;  ".pdf")</f>
        <v>10.1111--fare.13030.pdf</v>
      </c>
      <c r="W46" s="196" t="s">
        <v>356</v>
      </c>
      <c r="X46" s="54" t="str">
        <f t="array" ref="X46"> if(iserror(MATCH(V46, 'File Links'!C:C, 0)), "N/A", HYPERLINK(INDEX('File Links'!B:B, MATCH(V46, 'File Links'!C:C, 0))))</f>
        <v>https://drive.google.com/file/d/1TGN_TAtoJI3jhMQTEG2wnN59FCyiXC2_/view?usp=drivesdk</v>
      </c>
      <c r="Y46" s="193"/>
      <c r="Z46" s="58" t="s">
        <v>226</v>
      </c>
      <c r="AA46" s="193"/>
      <c r="AB46" s="192" t="s">
        <v>357</v>
      </c>
      <c r="AC46" s="192" t="s">
        <v>400</v>
      </c>
      <c r="AD46" s="192" t="s">
        <v>397</v>
      </c>
      <c r="AE46" s="197">
        <v>11.0</v>
      </c>
      <c r="AF46" s="197">
        <v>1950.0</v>
      </c>
      <c r="AG46" s="197">
        <v>-0.06</v>
      </c>
      <c r="AH46" s="194" t="s">
        <v>360</v>
      </c>
      <c r="AI46" s="58" t="s">
        <v>307</v>
      </c>
      <c r="AJ46" s="197">
        <v>0.001</v>
      </c>
      <c r="AK46" s="198" t="s">
        <v>135</v>
      </c>
      <c r="AL46" s="58" t="s">
        <v>186</v>
      </c>
      <c r="AM46" s="193"/>
      <c r="AN46" s="58" t="s">
        <v>138</v>
      </c>
      <c r="AO46" s="197">
        <v>1079.0</v>
      </c>
      <c r="AP46" s="197">
        <v>-0.03</v>
      </c>
      <c r="AQ46" s="58" t="s">
        <v>361</v>
      </c>
      <c r="AR46" s="58" t="s">
        <v>398</v>
      </c>
      <c r="AS46" s="197">
        <v>0.01</v>
      </c>
      <c r="AT46" s="198" t="s">
        <v>135</v>
      </c>
      <c r="AU46" s="198" t="s">
        <v>186</v>
      </c>
      <c r="AV46" s="190"/>
      <c r="AW46" s="190" t="s">
        <v>138</v>
      </c>
      <c r="AX46" s="190" t="s">
        <v>151</v>
      </c>
      <c r="AY46" s="61" t="str">
        <f>IFERROR(__xludf.DUMMYFUNCTION("vlookup(BB46,importrange(""https://docs.google.com/spreadsheets/d/1d2vevQ_7D_v35q4wCQ4RpQ_IPoTwEMB9Yp6ymwlPqew/edit?gid=984458430#gid=984458430"", ""'replication success'!A:K""), 11, FAlSE)"),"mixed")</f>
        <v>mixed</v>
      </c>
      <c r="AZ46" s="61" t="str">
        <f>IFERROR(__xludf.DUMMYFUNCTION("vlookup(BB46,importrange(""https://docs.google.com/spreadsheets/d/1d2vevQ_7D_v35q4wCQ4RpQ_IPoTwEMB9Yp6ymwlPqew/edit?gid=984458430#gid=984458430"",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6" s="61" t="str">
        <f>IFERROR(__xludf.DUMMYFUNCTION("vlookup(BB46,importrange(""https://docs.google.com/spreadsheets/d/1d2vevQ_7D_v35q4wCQ4RpQ_IPoTwEMB9Yp6ymwlPqew/edit?gid=984458430#gid=984458430"", ""'replication success'!A:M""), 13, FAlSE)"),"abstract")</f>
        <v>abstract</v>
      </c>
      <c r="BB46" s="61" t="str">
        <f>IFERROR(__xludf.DUMMYFUNCTION("REGEXREPLACE(G46, ""_[a-z]{1,2}$"", """")"),"additional_studies11")</f>
        <v>additional_studies11</v>
      </c>
      <c r="BC46" s="193"/>
      <c r="BD46" s="199" t="s">
        <v>144</v>
      </c>
      <c r="BE46" s="189"/>
      <c r="BF46" s="189"/>
      <c r="BG46" s="189"/>
      <c r="BH46" s="189"/>
      <c r="BI46" s="189"/>
      <c r="BJ46" s="189"/>
      <c r="BK46" s="189"/>
      <c r="BL46" s="189"/>
      <c r="BM46" s="189"/>
      <c r="BN46" s="189"/>
      <c r="BO46" s="189"/>
      <c r="BP46" s="189"/>
      <c r="BQ46" s="189"/>
      <c r="BR46" s="189"/>
      <c r="BS46" s="189"/>
      <c r="BT46" s="189"/>
      <c r="BU46" s="189"/>
      <c r="BV46" s="189"/>
      <c r="BW46" s="189"/>
      <c r="BX46" s="189"/>
      <c r="BY46" s="189"/>
      <c r="BZ46" s="189"/>
      <c r="CA46" s="189"/>
      <c r="CB46" s="189"/>
      <c r="CC46" s="189"/>
      <c r="CD46" s="189"/>
      <c r="CE46" s="189"/>
      <c r="CF46" s="189"/>
      <c r="CG46" s="189"/>
      <c r="CH46" s="189"/>
      <c r="CI46" s="189"/>
      <c r="CJ46" s="189"/>
      <c r="CK46" s="189"/>
      <c r="CL46" s="189"/>
      <c r="CM46" s="189"/>
      <c r="CN46" s="189"/>
      <c r="CO46" s="189"/>
      <c r="CP46" s="189"/>
      <c r="CQ46" s="189"/>
      <c r="CR46" s="189"/>
      <c r="CS46" s="189"/>
      <c r="CT46" s="189"/>
      <c r="CU46" s="189"/>
      <c r="CV46" s="189"/>
      <c r="CW46" s="189"/>
      <c r="CX46" s="189"/>
      <c r="CY46" s="189"/>
      <c r="CZ46" s="189"/>
      <c r="DA46" s="189"/>
      <c r="DB46" s="189"/>
      <c r="DC46" s="189"/>
      <c r="DD46" s="189"/>
      <c r="DE46" s="189"/>
      <c r="DF46" s="189"/>
      <c r="DG46" s="189"/>
      <c r="DH46" s="189"/>
      <c r="DI46" s="189"/>
      <c r="DJ46" s="189"/>
      <c r="DK46" s="189"/>
      <c r="DL46" s="189"/>
    </row>
    <row r="47" ht="20.25" customHeight="1">
      <c r="A47" s="44">
        <v>47.0</v>
      </c>
      <c r="B47" s="188" t="s">
        <v>114</v>
      </c>
      <c r="C47" s="188" t="s">
        <v>115</v>
      </c>
      <c r="D47" s="188" t="s">
        <v>346</v>
      </c>
      <c r="E47" s="189"/>
      <c r="F47" s="190" t="s">
        <v>347</v>
      </c>
      <c r="G47" s="58" t="s">
        <v>401</v>
      </c>
      <c r="H47" s="58" t="s">
        <v>349</v>
      </c>
      <c r="I47" s="191">
        <v>45637.0</v>
      </c>
      <c r="J47" s="170">
        <v>45692.0</v>
      </c>
      <c r="K47" s="192" t="s">
        <v>350</v>
      </c>
      <c r="L47" s="193"/>
      <c r="M47" s="58" t="s">
        <v>351</v>
      </c>
      <c r="N47" s="192" t="s">
        <v>352</v>
      </c>
      <c r="O47" s="193"/>
      <c r="P47" s="194" t="s">
        <v>353</v>
      </c>
      <c r="Q47" s="52" t="str">
        <f t="array" ref="Q47"> if(iserror(MATCH(V47, 'File Links'!C:C, 0)), "N/A", HYPERLINK(INDEX('File Links'!B:B, MATCH(P47, 'File Links'!C:C, 0))))</f>
        <v>https://drive.google.com/file/d/1OByNKNsjZqSFHFFyt-o1mPqDkVmgruBu/view?usp=drivesdk</v>
      </c>
      <c r="R47" s="58" t="s">
        <v>354</v>
      </c>
      <c r="S47" s="58" t="s">
        <v>355</v>
      </c>
      <c r="T47" s="193"/>
      <c r="U47" s="195"/>
      <c r="V47" s="66" t="str">
        <f> hyperlink(vlookup(lower(S47),'File Links'!E:F, 2, FALSE), SUBSTITUTE(lower(S47), "/", "--") &amp;  ".pdf")</f>
        <v>10.1111--fare.13030.pdf</v>
      </c>
      <c r="W47" s="196" t="s">
        <v>356</v>
      </c>
      <c r="X47" s="54" t="str">
        <f t="array" ref="X47"> if(iserror(MATCH(V47, 'File Links'!C:C, 0)), "N/A", HYPERLINK(INDEX('File Links'!B:B, MATCH(V47, 'File Links'!C:C, 0))))</f>
        <v>https://drive.google.com/file/d/1TGN_TAtoJI3jhMQTEG2wnN59FCyiXC2_/view?usp=drivesdk</v>
      </c>
      <c r="Y47" s="193"/>
      <c r="Z47" s="58" t="s">
        <v>226</v>
      </c>
      <c r="AA47" s="193"/>
      <c r="AB47" s="192" t="s">
        <v>357</v>
      </c>
      <c r="AC47" s="192" t="s">
        <v>402</v>
      </c>
      <c r="AD47" s="192" t="s">
        <v>397</v>
      </c>
      <c r="AE47" s="197">
        <v>11.0</v>
      </c>
      <c r="AF47" s="197">
        <v>1950.0</v>
      </c>
      <c r="AG47" s="197">
        <v>-0.06</v>
      </c>
      <c r="AH47" s="194" t="s">
        <v>360</v>
      </c>
      <c r="AI47" s="58" t="s">
        <v>307</v>
      </c>
      <c r="AJ47" s="197">
        <v>0.001</v>
      </c>
      <c r="AK47" s="198" t="s">
        <v>135</v>
      </c>
      <c r="AL47" s="58" t="s">
        <v>186</v>
      </c>
      <c r="AM47" s="193"/>
      <c r="AN47" s="58" t="s">
        <v>138</v>
      </c>
      <c r="AO47" s="197">
        <v>1079.0</v>
      </c>
      <c r="AP47" s="197">
        <v>-0.04</v>
      </c>
      <c r="AQ47" s="58" t="s">
        <v>361</v>
      </c>
      <c r="AR47" s="58" t="s">
        <v>398</v>
      </c>
      <c r="AS47" s="197">
        <v>0.05</v>
      </c>
      <c r="AT47" s="198" t="s">
        <v>135</v>
      </c>
      <c r="AU47" s="198" t="s">
        <v>186</v>
      </c>
      <c r="AV47" s="190"/>
      <c r="AW47" s="190" t="s">
        <v>138</v>
      </c>
      <c r="AX47" s="190" t="s">
        <v>151</v>
      </c>
      <c r="AY47" s="61" t="str">
        <f>IFERROR(__xludf.DUMMYFUNCTION("vlookup(BB47,importrange(""https://docs.google.com/spreadsheets/d/1d2vevQ_7D_v35q4wCQ4RpQ_IPoTwEMB9Yp6ymwlPqew/edit?gid=984458430#gid=984458430"", ""'replication success'!A:K""), 11, FAlSE)"),"mixed")</f>
        <v>mixed</v>
      </c>
      <c r="AZ47" s="61" t="str">
        <f>IFERROR(__xludf.DUMMYFUNCTION("vlookup(BB47,importrange(""https://docs.google.com/spreadsheets/d/1d2vevQ_7D_v35q4wCQ4RpQ_IPoTwEMB9Yp6ymwlPqew/edit?gid=984458430#gid=984458430"",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7" s="61" t="str">
        <f>IFERROR(__xludf.DUMMYFUNCTION("vlookup(BB47,importrange(""https://docs.google.com/spreadsheets/d/1d2vevQ_7D_v35q4wCQ4RpQ_IPoTwEMB9Yp6ymwlPqew/edit?gid=984458430#gid=984458430"", ""'replication success'!A:M""), 13, FAlSE)"),"abstract")</f>
        <v>abstract</v>
      </c>
      <c r="BB47" s="61" t="str">
        <f>IFERROR(__xludf.DUMMYFUNCTION("REGEXREPLACE(G47, ""_[a-z]{1,2}$"", """")"),"additional_studies11")</f>
        <v>additional_studies11</v>
      </c>
      <c r="BC47" s="193"/>
      <c r="BD47" s="199" t="s">
        <v>144</v>
      </c>
      <c r="BE47" s="189"/>
      <c r="BF47" s="189"/>
      <c r="BG47" s="189"/>
      <c r="BH47" s="189"/>
      <c r="BI47" s="189"/>
      <c r="BJ47" s="189"/>
      <c r="BK47" s="189"/>
      <c r="BL47" s="189"/>
      <c r="BM47" s="189"/>
      <c r="BN47" s="189"/>
      <c r="BO47" s="189"/>
      <c r="BP47" s="189"/>
      <c r="BQ47" s="189"/>
      <c r="BR47" s="189"/>
      <c r="BS47" s="189"/>
      <c r="BT47" s="189"/>
      <c r="BU47" s="189"/>
      <c r="BV47" s="189"/>
      <c r="BW47" s="189"/>
      <c r="BX47" s="189"/>
      <c r="BY47" s="189"/>
      <c r="BZ47" s="189"/>
      <c r="CA47" s="189"/>
      <c r="CB47" s="189"/>
      <c r="CC47" s="189"/>
      <c r="CD47" s="189"/>
      <c r="CE47" s="189"/>
      <c r="CF47" s="189"/>
      <c r="CG47" s="189"/>
      <c r="CH47" s="189"/>
      <c r="CI47" s="189"/>
      <c r="CJ47" s="189"/>
      <c r="CK47" s="189"/>
      <c r="CL47" s="189"/>
      <c r="CM47" s="189"/>
      <c r="CN47" s="189"/>
      <c r="CO47" s="189"/>
      <c r="CP47" s="189"/>
      <c r="CQ47" s="189"/>
      <c r="CR47" s="189"/>
      <c r="CS47" s="189"/>
      <c r="CT47" s="189"/>
      <c r="CU47" s="189"/>
      <c r="CV47" s="189"/>
      <c r="CW47" s="189"/>
      <c r="CX47" s="189"/>
      <c r="CY47" s="189"/>
      <c r="CZ47" s="189"/>
      <c r="DA47" s="189"/>
      <c r="DB47" s="189"/>
      <c r="DC47" s="189"/>
      <c r="DD47" s="189"/>
      <c r="DE47" s="189"/>
      <c r="DF47" s="189"/>
      <c r="DG47" s="189"/>
      <c r="DH47" s="189"/>
      <c r="DI47" s="189"/>
      <c r="DJ47" s="189"/>
      <c r="DK47" s="189"/>
      <c r="DL47" s="189"/>
    </row>
    <row r="48" ht="20.25" customHeight="1">
      <c r="A48" s="44">
        <v>48.0</v>
      </c>
      <c r="B48" s="188" t="s">
        <v>114</v>
      </c>
      <c r="C48" s="188" t="s">
        <v>115</v>
      </c>
      <c r="D48" s="188" t="s">
        <v>346</v>
      </c>
      <c r="E48" s="189"/>
      <c r="F48" s="190" t="s">
        <v>347</v>
      </c>
      <c r="G48" s="58" t="s">
        <v>403</v>
      </c>
      <c r="H48" s="58" t="s">
        <v>349</v>
      </c>
      <c r="I48" s="191">
        <v>45637.0</v>
      </c>
      <c r="J48" s="170">
        <v>45692.0</v>
      </c>
      <c r="K48" s="192" t="s">
        <v>350</v>
      </c>
      <c r="L48" s="193"/>
      <c r="M48" s="58" t="s">
        <v>351</v>
      </c>
      <c r="N48" s="192" t="s">
        <v>352</v>
      </c>
      <c r="O48" s="193"/>
      <c r="P48" s="194" t="s">
        <v>353</v>
      </c>
      <c r="Q48" s="52" t="str">
        <f t="array" ref="Q48"> if(iserror(MATCH(V48, 'File Links'!C:C, 0)), "N/A", HYPERLINK(INDEX('File Links'!B:B, MATCH(P48, 'File Links'!C:C, 0))))</f>
        <v>https://drive.google.com/file/d/1OByNKNsjZqSFHFFyt-o1mPqDkVmgruBu/view?usp=drivesdk</v>
      </c>
      <c r="R48" s="58" t="s">
        <v>354</v>
      </c>
      <c r="S48" s="58" t="s">
        <v>355</v>
      </c>
      <c r="T48" s="193"/>
      <c r="U48" s="195"/>
      <c r="V48" s="66" t="str">
        <f> hyperlink(vlookup(lower(S48),'File Links'!E:F, 2, FALSE), SUBSTITUTE(lower(S48), "/", "--") &amp;  ".pdf")</f>
        <v>10.1111--fare.13030.pdf</v>
      </c>
      <c r="W48" s="196" t="s">
        <v>356</v>
      </c>
      <c r="X48" s="54" t="str">
        <f t="array" ref="X48"> if(iserror(MATCH(V48, 'File Links'!C:C, 0)), "N/A", HYPERLINK(INDEX('File Links'!B:B, MATCH(V48, 'File Links'!C:C, 0))))</f>
        <v>https://drive.google.com/file/d/1TGN_TAtoJI3jhMQTEG2wnN59FCyiXC2_/view?usp=drivesdk</v>
      </c>
      <c r="Y48" s="193"/>
      <c r="Z48" s="58" t="s">
        <v>226</v>
      </c>
      <c r="AA48" s="193"/>
      <c r="AB48" s="192" t="s">
        <v>357</v>
      </c>
      <c r="AC48" s="192" t="s">
        <v>404</v>
      </c>
      <c r="AD48" s="192" t="s">
        <v>397</v>
      </c>
      <c r="AE48" s="197">
        <v>11.0</v>
      </c>
      <c r="AF48" s="197">
        <v>1950.0</v>
      </c>
      <c r="AG48" s="197">
        <v>-0.06</v>
      </c>
      <c r="AH48" s="194" t="s">
        <v>360</v>
      </c>
      <c r="AI48" s="58" t="s">
        <v>307</v>
      </c>
      <c r="AJ48" s="197">
        <v>0.001</v>
      </c>
      <c r="AK48" s="198" t="s">
        <v>135</v>
      </c>
      <c r="AL48" s="58" t="s">
        <v>186</v>
      </c>
      <c r="AM48" s="193"/>
      <c r="AN48" s="58" t="s">
        <v>138</v>
      </c>
      <c r="AO48" s="197">
        <v>1079.0</v>
      </c>
      <c r="AP48" s="197">
        <v>-0.02</v>
      </c>
      <c r="AQ48" s="58" t="s">
        <v>361</v>
      </c>
      <c r="AR48" s="58" t="s">
        <v>398</v>
      </c>
      <c r="AS48" s="197">
        <v>0.05</v>
      </c>
      <c r="AT48" s="198" t="s">
        <v>135</v>
      </c>
      <c r="AU48" s="198" t="s">
        <v>186</v>
      </c>
      <c r="AV48" s="190"/>
      <c r="AW48" s="190" t="s">
        <v>138</v>
      </c>
      <c r="AX48" s="190" t="s">
        <v>151</v>
      </c>
      <c r="AY48" s="61" t="str">
        <f>IFERROR(__xludf.DUMMYFUNCTION("vlookup(BB48,importrange(""https://docs.google.com/spreadsheets/d/1d2vevQ_7D_v35q4wCQ4RpQ_IPoTwEMB9Yp6ymwlPqew/edit?gid=984458430#gid=984458430"", ""'replication success'!A:K""), 11, FAlSE)"),"mixed")</f>
        <v>mixed</v>
      </c>
      <c r="AZ48" s="61" t="str">
        <f>IFERROR(__xludf.DUMMYFUNCTION("vlookup(BB48,importrange(""https://docs.google.com/spreadsheets/d/1d2vevQ_7D_v35q4wCQ4RpQ_IPoTwEMB9Yp6ymwlPqew/edit?gid=984458430#gid=984458430"",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8" s="61" t="str">
        <f>IFERROR(__xludf.DUMMYFUNCTION("vlookup(BB48,importrange(""https://docs.google.com/spreadsheets/d/1d2vevQ_7D_v35q4wCQ4RpQ_IPoTwEMB9Yp6ymwlPqew/edit?gid=984458430#gid=984458430"", ""'replication success'!A:M""), 13, FAlSE)"),"abstract")</f>
        <v>abstract</v>
      </c>
      <c r="BB48" s="61" t="str">
        <f>IFERROR(__xludf.DUMMYFUNCTION("REGEXREPLACE(G48, ""_[a-z]{1,2}$"", """")"),"additional_studies11")</f>
        <v>additional_studies11</v>
      </c>
      <c r="BC48" s="193"/>
      <c r="BD48" s="199" t="s">
        <v>144</v>
      </c>
      <c r="BE48" s="189"/>
      <c r="BF48" s="189"/>
      <c r="BG48" s="189"/>
      <c r="BH48" s="189"/>
      <c r="BI48" s="189"/>
      <c r="BJ48" s="189"/>
      <c r="BK48" s="189"/>
      <c r="BL48" s="189"/>
      <c r="BM48" s="189"/>
      <c r="BN48" s="189"/>
      <c r="BO48" s="189"/>
      <c r="BP48" s="189"/>
      <c r="BQ48" s="189"/>
      <c r="BR48" s="189"/>
      <c r="BS48" s="189"/>
      <c r="BT48" s="189"/>
      <c r="BU48" s="189"/>
      <c r="BV48" s="189"/>
      <c r="BW48" s="189"/>
      <c r="BX48" s="189"/>
      <c r="BY48" s="189"/>
      <c r="BZ48" s="189"/>
      <c r="CA48" s="189"/>
      <c r="CB48" s="189"/>
      <c r="CC48" s="189"/>
      <c r="CD48" s="189"/>
      <c r="CE48" s="189"/>
      <c r="CF48" s="189"/>
      <c r="CG48" s="189"/>
      <c r="CH48" s="189"/>
      <c r="CI48" s="189"/>
      <c r="CJ48" s="189"/>
      <c r="CK48" s="189"/>
      <c r="CL48" s="189"/>
      <c r="CM48" s="189"/>
      <c r="CN48" s="189"/>
      <c r="CO48" s="189"/>
      <c r="CP48" s="189"/>
      <c r="CQ48" s="189"/>
      <c r="CR48" s="189"/>
      <c r="CS48" s="189"/>
      <c r="CT48" s="189"/>
      <c r="CU48" s="189"/>
      <c r="CV48" s="189"/>
      <c r="CW48" s="189"/>
      <c r="CX48" s="189"/>
      <c r="CY48" s="189"/>
      <c r="CZ48" s="189"/>
      <c r="DA48" s="189"/>
      <c r="DB48" s="189"/>
      <c r="DC48" s="189"/>
      <c r="DD48" s="189"/>
      <c r="DE48" s="189"/>
      <c r="DF48" s="189"/>
      <c r="DG48" s="189"/>
      <c r="DH48" s="189"/>
      <c r="DI48" s="189"/>
      <c r="DJ48" s="189"/>
      <c r="DK48" s="189"/>
      <c r="DL48" s="189"/>
    </row>
    <row r="49" ht="20.25" customHeight="1">
      <c r="A49" s="44">
        <v>49.0</v>
      </c>
      <c r="B49" s="188" t="s">
        <v>114</v>
      </c>
      <c r="C49" s="188" t="s">
        <v>115</v>
      </c>
      <c r="D49" s="188" t="s">
        <v>346</v>
      </c>
      <c r="E49" s="189"/>
      <c r="F49" s="190" t="s">
        <v>347</v>
      </c>
      <c r="G49" s="58" t="s">
        <v>405</v>
      </c>
      <c r="H49" s="58" t="s">
        <v>349</v>
      </c>
      <c r="I49" s="191">
        <v>45637.0</v>
      </c>
      <c r="J49" s="170">
        <v>45692.0</v>
      </c>
      <c r="K49" s="192" t="s">
        <v>350</v>
      </c>
      <c r="L49" s="193"/>
      <c r="M49" s="58" t="s">
        <v>351</v>
      </c>
      <c r="N49" s="192" t="s">
        <v>352</v>
      </c>
      <c r="O49" s="193"/>
      <c r="P49" s="194" t="s">
        <v>353</v>
      </c>
      <c r="Q49" s="52" t="str">
        <f t="array" ref="Q49"> if(iserror(MATCH(V49, 'File Links'!C:C, 0)), "N/A", HYPERLINK(INDEX('File Links'!B:B, MATCH(P49, 'File Links'!C:C, 0))))</f>
        <v>https://drive.google.com/file/d/1OByNKNsjZqSFHFFyt-o1mPqDkVmgruBu/view?usp=drivesdk</v>
      </c>
      <c r="R49" s="58" t="s">
        <v>354</v>
      </c>
      <c r="S49" s="58" t="s">
        <v>355</v>
      </c>
      <c r="T49" s="193"/>
      <c r="U49" s="195"/>
      <c r="V49" s="66" t="str">
        <f> hyperlink(vlookup(lower(S49),'File Links'!E:F, 2, FALSE), SUBSTITUTE(lower(S49), "/", "--") &amp;  ".pdf")</f>
        <v>10.1111--fare.13030.pdf</v>
      </c>
      <c r="W49" s="196" t="s">
        <v>356</v>
      </c>
      <c r="X49" s="54" t="str">
        <f t="array" ref="X49"> if(iserror(MATCH(V49, 'File Links'!C:C, 0)), "N/A", HYPERLINK(INDEX('File Links'!B:B, MATCH(V49, 'File Links'!C:C, 0))))</f>
        <v>https://drive.google.com/file/d/1TGN_TAtoJI3jhMQTEG2wnN59FCyiXC2_/view?usp=drivesdk</v>
      </c>
      <c r="Y49" s="193"/>
      <c r="Z49" s="58" t="s">
        <v>226</v>
      </c>
      <c r="AA49" s="193"/>
      <c r="AB49" s="192" t="s">
        <v>357</v>
      </c>
      <c r="AC49" s="192" t="s">
        <v>406</v>
      </c>
      <c r="AD49" s="192" t="s">
        <v>397</v>
      </c>
      <c r="AE49" s="197">
        <v>11.0</v>
      </c>
      <c r="AF49" s="197">
        <v>1950.0</v>
      </c>
      <c r="AG49" s="197">
        <v>-0.06</v>
      </c>
      <c r="AH49" s="194" t="s">
        <v>360</v>
      </c>
      <c r="AI49" s="58" t="s">
        <v>307</v>
      </c>
      <c r="AJ49" s="197">
        <v>0.001</v>
      </c>
      <c r="AK49" s="198" t="s">
        <v>135</v>
      </c>
      <c r="AL49" s="58" t="s">
        <v>186</v>
      </c>
      <c r="AM49" s="193"/>
      <c r="AN49" s="58" t="s">
        <v>138</v>
      </c>
      <c r="AO49" s="197">
        <v>1079.0</v>
      </c>
      <c r="AP49" s="193"/>
      <c r="AQ49" s="58" t="s">
        <v>361</v>
      </c>
      <c r="AR49" s="58" t="s">
        <v>362</v>
      </c>
      <c r="AS49" s="197">
        <v>0.05</v>
      </c>
      <c r="AT49" s="198" t="s">
        <v>335</v>
      </c>
      <c r="AU49" s="198" t="s">
        <v>186</v>
      </c>
      <c r="AV49" s="190"/>
      <c r="AW49" s="190" t="s">
        <v>138</v>
      </c>
      <c r="AX49" s="190" t="s">
        <v>151</v>
      </c>
      <c r="AY49" s="61" t="str">
        <f>IFERROR(__xludf.DUMMYFUNCTION("vlookup(BB49,importrange(""https://docs.google.com/spreadsheets/d/1d2vevQ_7D_v35q4wCQ4RpQ_IPoTwEMB9Yp6ymwlPqew/edit?gid=984458430#gid=984458430"", ""'replication success'!A:K""), 11, FAlSE)"),"mixed")</f>
        <v>mixed</v>
      </c>
      <c r="AZ49" s="61" t="str">
        <f>IFERROR(__xludf.DUMMYFUNCTION("vlookup(BB49,importrange(""https://docs.google.com/spreadsheets/d/1d2vevQ_7D_v35q4wCQ4RpQ_IPoTwEMB9Yp6ymwlPqew/edit?gid=984458430#gid=984458430"",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49" s="61" t="str">
        <f>IFERROR(__xludf.DUMMYFUNCTION("vlookup(BB49,importrange(""https://docs.google.com/spreadsheets/d/1d2vevQ_7D_v35q4wCQ4RpQ_IPoTwEMB9Yp6ymwlPqew/edit?gid=984458430#gid=984458430"", ""'replication success'!A:M""), 13, FAlSE)"),"abstract")</f>
        <v>abstract</v>
      </c>
      <c r="BB49" s="61" t="str">
        <f>IFERROR(__xludf.DUMMYFUNCTION("REGEXREPLACE(G49, ""_[a-z]{1,2}$"", """")"),"additional_studies11")</f>
        <v>additional_studies11</v>
      </c>
      <c r="BC49" s="193"/>
      <c r="BD49" s="199" t="s">
        <v>144</v>
      </c>
      <c r="BE49" s="189"/>
      <c r="BF49" s="189"/>
      <c r="BG49" s="189"/>
      <c r="BH49" s="189"/>
      <c r="BI49" s="189"/>
      <c r="BJ49" s="189"/>
      <c r="BK49" s="189"/>
      <c r="BL49" s="189"/>
      <c r="BM49" s="189"/>
      <c r="BN49" s="189"/>
      <c r="BO49" s="189"/>
      <c r="BP49" s="189"/>
      <c r="BQ49" s="189"/>
      <c r="BR49" s="189"/>
      <c r="BS49" s="189"/>
      <c r="BT49" s="189"/>
      <c r="BU49" s="189"/>
      <c r="BV49" s="189"/>
      <c r="BW49" s="189"/>
      <c r="BX49" s="189"/>
      <c r="BY49" s="189"/>
      <c r="BZ49" s="189"/>
      <c r="CA49" s="189"/>
      <c r="CB49" s="189"/>
      <c r="CC49" s="189"/>
      <c r="CD49" s="189"/>
      <c r="CE49" s="189"/>
      <c r="CF49" s="189"/>
      <c r="CG49" s="189"/>
      <c r="CH49" s="189"/>
      <c r="CI49" s="189"/>
      <c r="CJ49" s="189"/>
      <c r="CK49" s="189"/>
      <c r="CL49" s="189"/>
      <c r="CM49" s="189"/>
      <c r="CN49" s="189"/>
      <c r="CO49" s="189"/>
      <c r="CP49" s="189"/>
      <c r="CQ49" s="189"/>
      <c r="CR49" s="189"/>
      <c r="CS49" s="189"/>
      <c r="CT49" s="189"/>
      <c r="CU49" s="189"/>
      <c r="CV49" s="189"/>
      <c r="CW49" s="189"/>
      <c r="CX49" s="189"/>
      <c r="CY49" s="189"/>
      <c r="CZ49" s="189"/>
      <c r="DA49" s="189"/>
      <c r="DB49" s="189"/>
      <c r="DC49" s="189"/>
      <c r="DD49" s="189"/>
      <c r="DE49" s="189"/>
      <c r="DF49" s="189"/>
      <c r="DG49" s="189"/>
      <c r="DH49" s="189"/>
      <c r="DI49" s="189"/>
      <c r="DJ49" s="189"/>
      <c r="DK49" s="189"/>
      <c r="DL49" s="189"/>
    </row>
    <row r="50" ht="20.25" customHeight="1">
      <c r="A50" s="44">
        <v>50.0</v>
      </c>
      <c r="B50" s="188" t="s">
        <v>114</v>
      </c>
      <c r="C50" s="188" t="s">
        <v>115</v>
      </c>
      <c r="D50" s="188" t="s">
        <v>346</v>
      </c>
      <c r="E50" s="189"/>
      <c r="F50" s="190" t="s">
        <v>347</v>
      </c>
      <c r="G50" s="58" t="s">
        <v>407</v>
      </c>
      <c r="H50" s="58" t="s">
        <v>349</v>
      </c>
      <c r="I50" s="191">
        <v>45637.0</v>
      </c>
      <c r="J50" s="170">
        <v>45692.0</v>
      </c>
      <c r="K50" s="192" t="s">
        <v>350</v>
      </c>
      <c r="L50" s="193"/>
      <c r="M50" s="58" t="s">
        <v>351</v>
      </c>
      <c r="N50" s="192" t="s">
        <v>352</v>
      </c>
      <c r="O50" s="193"/>
      <c r="P50" s="194" t="s">
        <v>353</v>
      </c>
      <c r="Q50" s="52" t="str">
        <f t="array" ref="Q50"> if(iserror(MATCH(V50, 'File Links'!C:C, 0)), "N/A", HYPERLINK(INDEX('File Links'!B:B, MATCH(P50, 'File Links'!C:C, 0))))</f>
        <v>https://drive.google.com/file/d/1OByNKNsjZqSFHFFyt-o1mPqDkVmgruBu/view?usp=drivesdk</v>
      </c>
      <c r="R50" s="58" t="s">
        <v>354</v>
      </c>
      <c r="S50" s="58" t="s">
        <v>355</v>
      </c>
      <c r="T50" s="193"/>
      <c r="U50" s="195"/>
      <c r="V50" s="66" t="str">
        <f> hyperlink(vlookup(lower(S50),'File Links'!E:F, 2, FALSE), SUBSTITUTE(lower(S50), "/", "--") &amp;  ".pdf")</f>
        <v>10.1111--fare.13030.pdf</v>
      </c>
      <c r="W50" s="196" t="s">
        <v>356</v>
      </c>
      <c r="X50" s="54" t="str">
        <f t="array" ref="X50"> if(iserror(MATCH(V50, 'File Links'!C:C, 0)), "N/A", HYPERLINK(INDEX('File Links'!B:B, MATCH(V50, 'File Links'!C:C, 0))))</f>
        <v>https://drive.google.com/file/d/1TGN_TAtoJI3jhMQTEG2wnN59FCyiXC2_/view?usp=drivesdk</v>
      </c>
      <c r="Y50" s="193"/>
      <c r="Z50" s="58" t="s">
        <v>226</v>
      </c>
      <c r="AA50" s="193"/>
      <c r="AB50" s="192" t="s">
        <v>357</v>
      </c>
      <c r="AC50" s="192" t="s">
        <v>408</v>
      </c>
      <c r="AD50" s="192" t="s">
        <v>397</v>
      </c>
      <c r="AE50" s="197">
        <v>11.0</v>
      </c>
      <c r="AF50" s="197">
        <v>1950.0</v>
      </c>
      <c r="AG50" s="197">
        <v>-0.06</v>
      </c>
      <c r="AH50" s="194" t="s">
        <v>360</v>
      </c>
      <c r="AI50" s="58" t="s">
        <v>307</v>
      </c>
      <c r="AJ50" s="197">
        <v>0.001</v>
      </c>
      <c r="AK50" s="198" t="s">
        <v>135</v>
      </c>
      <c r="AL50" s="58" t="s">
        <v>186</v>
      </c>
      <c r="AM50" s="193"/>
      <c r="AN50" s="58" t="s">
        <v>138</v>
      </c>
      <c r="AO50" s="197">
        <v>1079.0</v>
      </c>
      <c r="AP50" s="193"/>
      <c r="AQ50" s="58" t="s">
        <v>361</v>
      </c>
      <c r="AR50" s="58" t="s">
        <v>362</v>
      </c>
      <c r="AS50" s="197">
        <v>0.05</v>
      </c>
      <c r="AT50" s="198" t="s">
        <v>335</v>
      </c>
      <c r="AU50" s="198" t="s">
        <v>186</v>
      </c>
      <c r="AV50" s="190"/>
      <c r="AW50" s="190" t="s">
        <v>138</v>
      </c>
      <c r="AX50" s="190" t="s">
        <v>151</v>
      </c>
      <c r="AY50" s="61" t="str">
        <f>IFERROR(__xludf.DUMMYFUNCTION("vlookup(BB50,importrange(""https://docs.google.com/spreadsheets/d/1d2vevQ_7D_v35q4wCQ4RpQ_IPoTwEMB9Yp6ymwlPqew/edit?gid=984458430#gid=984458430"", ""'replication success'!A:K""), 11, FAlSE)"),"mixed")</f>
        <v>mixed</v>
      </c>
      <c r="AZ50" s="61" t="str">
        <f>IFERROR(__xludf.DUMMYFUNCTION("vlookup(BB50,importrange(""https://docs.google.com/spreadsheets/d/1d2vevQ_7D_v35q4wCQ4RpQ_IPoTwEMB9Yp6ymwlPqew/edit?gid=984458430#gid=984458430"",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0" s="61" t="str">
        <f>IFERROR(__xludf.DUMMYFUNCTION("vlookup(BB50,importrange(""https://docs.google.com/spreadsheets/d/1d2vevQ_7D_v35q4wCQ4RpQ_IPoTwEMB9Yp6ymwlPqew/edit?gid=984458430#gid=984458430"", ""'replication success'!A:M""), 13, FAlSE)"),"abstract")</f>
        <v>abstract</v>
      </c>
      <c r="BB50" s="61" t="str">
        <f>IFERROR(__xludf.DUMMYFUNCTION("REGEXREPLACE(G50, ""_[a-z]{1,2}$"", """")"),"additional_studies11")</f>
        <v>additional_studies11</v>
      </c>
      <c r="BC50" s="193"/>
      <c r="BD50" s="199" t="s">
        <v>144</v>
      </c>
      <c r="BE50" s="189"/>
      <c r="BF50" s="189"/>
      <c r="BG50" s="189"/>
      <c r="BH50" s="189"/>
      <c r="BI50" s="189"/>
      <c r="BJ50" s="189"/>
      <c r="BK50" s="189"/>
      <c r="BL50" s="189"/>
      <c r="BM50" s="189"/>
      <c r="BN50" s="189"/>
      <c r="BO50" s="189"/>
      <c r="BP50" s="189"/>
      <c r="BQ50" s="189"/>
      <c r="BR50" s="189"/>
      <c r="BS50" s="189"/>
      <c r="BT50" s="189"/>
      <c r="BU50" s="189"/>
      <c r="BV50" s="189"/>
      <c r="BW50" s="189"/>
      <c r="BX50" s="189"/>
      <c r="BY50" s="189"/>
      <c r="BZ50" s="189"/>
      <c r="CA50" s="189"/>
      <c r="CB50" s="189"/>
      <c r="CC50" s="189"/>
      <c r="CD50" s="189"/>
      <c r="CE50" s="189"/>
      <c r="CF50" s="189"/>
      <c r="CG50" s="189"/>
      <c r="CH50" s="189"/>
      <c r="CI50" s="189"/>
      <c r="CJ50" s="189"/>
      <c r="CK50" s="189"/>
      <c r="CL50" s="189"/>
      <c r="CM50" s="189"/>
      <c r="CN50" s="189"/>
      <c r="CO50" s="189"/>
      <c r="CP50" s="189"/>
      <c r="CQ50" s="189"/>
      <c r="CR50" s="189"/>
      <c r="CS50" s="189"/>
      <c r="CT50" s="189"/>
      <c r="CU50" s="189"/>
      <c r="CV50" s="189"/>
      <c r="CW50" s="189"/>
      <c r="CX50" s="189"/>
      <c r="CY50" s="189"/>
      <c r="CZ50" s="189"/>
      <c r="DA50" s="189"/>
      <c r="DB50" s="189"/>
      <c r="DC50" s="189"/>
      <c r="DD50" s="189"/>
      <c r="DE50" s="189"/>
      <c r="DF50" s="189"/>
      <c r="DG50" s="189"/>
      <c r="DH50" s="189"/>
      <c r="DI50" s="189"/>
      <c r="DJ50" s="189"/>
      <c r="DK50" s="189"/>
      <c r="DL50" s="189"/>
    </row>
    <row r="51" ht="20.25" customHeight="1">
      <c r="A51" s="44">
        <v>51.0</v>
      </c>
      <c r="B51" s="188" t="s">
        <v>114</v>
      </c>
      <c r="C51" s="188" t="s">
        <v>115</v>
      </c>
      <c r="D51" s="188" t="s">
        <v>346</v>
      </c>
      <c r="E51" s="189"/>
      <c r="F51" s="190" t="s">
        <v>347</v>
      </c>
      <c r="G51" s="58" t="s">
        <v>409</v>
      </c>
      <c r="H51" s="58" t="s">
        <v>349</v>
      </c>
      <c r="I51" s="191">
        <v>45637.0</v>
      </c>
      <c r="J51" s="170">
        <v>45692.0</v>
      </c>
      <c r="K51" s="192" t="s">
        <v>350</v>
      </c>
      <c r="L51" s="193"/>
      <c r="M51" s="58" t="s">
        <v>351</v>
      </c>
      <c r="N51" s="192" t="s">
        <v>352</v>
      </c>
      <c r="O51" s="193"/>
      <c r="P51" s="194" t="s">
        <v>353</v>
      </c>
      <c r="Q51" s="52" t="str">
        <f t="array" ref="Q51"> if(iserror(MATCH(V51, 'File Links'!C:C, 0)), "N/A", HYPERLINK(INDEX('File Links'!B:B, MATCH(P51, 'File Links'!C:C, 0))))</f>
        <v>https://drive.google.com/file/d/1OByNKNsjZqSFHFFyt-o1mPqDkVmgruBu/view?usp=drivesdk</v>
      </c>
      <c r="R51" s="58" t="s">
        <v>354</v>
      </c>
      <c r="S51" s="58" t="s">
        <v>355</v>
      </c>
      <c r="T51" s="193"/>
      <c r="U51" s="195"/>
      <c r="V51" s="66" t="str">
        <f> hyperlink(vlookup(lower(S51),'File Links'!E:F, 2, FALSE), SUBSTITUTE(lower(S51), "/", "--") &amp;  ".pdf")</f>
        <v>10.1111--fare.13030.pdf</v>
      </c>
      <c r="W51" s="196" t="s">
        <v>356</v>
      </c>
      <c r="X51" s="54" t="str">
        <f t="array" ref="X51"> if(iserror(MATCH(V51, 'File Links'!C:C, 0)), "N/A", HYPERLINK(INDEX('File Links'!B:B, MATCH(V51, 'File Links'!C:C, 0))))</f>
        <v>https://drive.google.com/file/d/1TGN_TAtoJI3jhMQTEG2wnN59FCyiXC2_/view?usp=drivesdk</v>
      </c>
      <c r="Y51" s="193"/>
      <c r="Z51" s="58" t="s">
        <v>226</v>
      </c>
      <c r="AA51" s="193"/>
      <c r="AB51" s="192" t="s">
        <v>357</v>
      </c>
      <c r="AC51" s="192" t="s">
        <v>410</v>
      </c>
      <c r="AD51" s="192" t="s">
        <v>397</v>
      </c>
      <c r="AE51" s="197">
        <v>11.0</v>
      </c>
      <c r="AF51" s="197">
        <v>1950.0</v>
      </c>
      <c r="AG51" s="197">
        <v>-0.06</v>
      </c>
      <c r="AH51" s="194" t="s">
        <v>360</v>
      </c>
      <c r="AI51" s="58" t="s">
        <v>307</v>
      </c>
      <c r="AJ51" s="197">
        <v>0.001</v>
      </c>
      <c r="AK51" s="198" t="s">
        <v>135</v>
      </c>
      <c r="AL51" s="58" t="s">
        <v>186</v>
      </c>
      <c r="AM51" s="193"/>
      <c r="AN51" s="58" t="s">
        <v>138</v>
      </c>
      <c r="AO51" s="197">
        <v>1079.0</v>
      </c>
      <c r="AP51" s="193"/>
      <c r="AQ51" s="58" t="s">
        <v>361</v>
      </c>
      <c r="AR51" s="58" t="s">
        <v>362</v>
      </c>
      <c r="AS51" s="197">
        <v>0.05</v>
      </c>
      <c r="AT51" s="198" t="s">
        <v>335</v>
      </c>
      <c r="AU51" s="198" t="s">
        <v>186</v>
      </c>
      <c r="AV51" s="190"/>
      <c r="AW51" s="190" t="s">
        <v>138</v>
      </c>
      <c r="AX51" s="190" t="s">
        <v>151</v>
      </c>
      <c r="AY51" s="61" t="str">
        <f>IFERROR(__xludf.DUMMYFUNCTION("vlookup(BB51,importrange(""https://docs.google.com/spreadsheets/d/1d2vevQ_7D_v35q4wCQ4RpQ_IPoTwEMB9Yp6ymwlPqew/edit?gid=984458430#gid=984458430"", ""'replication success'!A:K""), 11, FAlSE)"),"mixed")</f>
        <v>mixed</v>
      </c>
      <c r="AZ51" s="61" t="str">
        <f>IFERROR(__xludf.DUMMYFUNCTION("vlookup(BB51,importrange(""https://docs.google.com/spreadsheets/d/1d2vevQ_7D_v35q4wCQ4RpQ_IPoTwEMB9Yp6ymwlPqew/edit?gid=984458430#gid=984458430"",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1" s="61" t="str">
        <f>IFERROR(__xludf.DUMMYFUNCTION("vlookup(BB51,importrange(""https://docs.google.com/spreadsheets/d/1d2vevQ_7D_v35q4wCQ4RpQ_IPoTwEMB9Yp6ymwlPqew/edit?gid=984458430#gid=984458430"", ""'replication success'!A:M""), 13, FAlSE)"),"abstract")</f>
        <v>abstract</v>
      </c>
      <c r="BB51" s="61" t="str">
        <f>IFERROR(__xludf.DUMMYFUNCTION("REGEXREPLACE(G51, ""_[a-z]{1,2}$"", """")"),"additional_studies11")</f>
        <v>additional_studies11</v>
      </c>
      <c r="BC51" s="193"/>
      <c r="BD51" s="199" t="s">
        <v>144</v>
      </c>
      <c r="BE51" s="189"/>
      <c r="BF51" s="189"/>
      <c r="BG51" s="189"/>
      <c r="BH51" s="189"/>
      <c r="BI51" s="189"/>
      <c r="BJ51" s="189"/>
      <c r="BK51" s="189"/>
      <c r="BL51" s="189"/>
      <c r="BM51" s="189"/>
      <c r="BN51" s="189"/>
      <c r="BO51" s="189"/>
      <c r="BP51" s="189"/>
      <c r="BQ51" s="189"/>
      <c r="BR51" s="189"/>
      <c r="BS51" s="189"/>
      <c r="BT51" s="189"/>
      <c r="BU51" s="189"/>
      <c r="BV51" s="189"/>
      <c r="BW51" s="189"/>
      <c r="BX51" s="189"/>
      <c r="BY51" s="189"/>
      <c r="BZ51" s="189"/>
      <c r="CA51" s="189"/>
      <c r="CB51" s="189"/>
      <c r="CC51" s="189"/>
      <c r="CD51" s="189"/>
      <c r="CE51" s="189"/>
      <c r="CF51" s="189"/>
      <c r="CG51" s="189"/>
      <c r="CH51" s="189"/>
      <c r="CI51" s="189"/>
      <c r="CJ51" s="189"/>
      <c r="CK51" s="189"/>
      <c r="CL51" s="189"/>
      <c r="CM51" s="189"/>
      <c r="CN51" s="189"/>
      <c r="CO51" s="189"/>
      <c r="CP51" s="189"/>
      <c r="CQ51" s="189"/>
      <c r="CR51" s="189"/>
      <c r="CS51" s="189"/>
      <c r="CT51" s="189"/>
      <c r="CU51" s="189"/>
      <c r="CV51" s="189"/>
      <c r="CW51" s="189"/>
      <c r="CX51" s="189"/>
      <c r="CY51" s="189"/>
      <c r="CZ51" s="189"/>
      <c r="DA51" s="189"/>
      <c r="DB51" s="189"/>
      <c r="DC51" s="189"/>
      <c r="DD51" s="189"/>
      <c r="DE51" s="189"/>
      <c r="DF51" s="189"/>
      <c r="DG51" s="189"/>
      <c r="DH51" s="189"/>
      <c r="DI51" s="189"/>
      <c r="DJ51" s="189"/>
      <c r="DK51" s="189"/>
      <c r="DL51" s="189"/>
    </row>
    <row r="52" ht="20.25" customHeight="1">
      <c r="A52" s="44">
        <v>52.0</v>
      </c>
      <c r="B52" s="188" t="s">
        <v>114</v>
      </c>
      <c r="C52" s="188" t="s">
        <v>115</v>
      </c>
      <c r="D52" s="188" t="s">
        <v>346</v>
      </c>
      <c r="E52" s="189"/>
      <c r="F52" s="190" t="s">
        <v>347</v>
      </c>
      <c r="G52" s="58" t="s">
        <v>411</v>
      </c>
      <c r="H52" s="58" t="s">
        <v>349</v>
      </c>
      <c r="I52" s="191">
        <v>45637.0</v>
      </c>
      <c r="J52" s="170">
        <v>45692.0</v>
      </c>
      <c r="K52" s="192" t="s">
        <v>350</v>
      </c>
      <c r="L52" s="193"/>
      <c r="M52" s="58" t="s">
        <v>351</v>
      </c>
      <c r="N52" s="192" t="s">
        <v>352</v>
      </c>
      <c r="O52" s="193"/>
      <c r="P52" s="194" t="s">
        <v>353</v>
      </c>
      <c r="Q52" s="52" t="str">
        <f t="array" ref="Q52"> if(iserror(MATCH(V52, 'File Links'!C:C, 0)), "N/A", HYPERLINK(INDEX('File Links'!B:B, MATCH(P52, 'File Links'!C:C, 0))))</f>
        <v>https://drive.google.com/file/d/1OByNKNsjZqSFHFFyt-o1mPqDkVmgruBu/view?usp=drivesdk</v>
      </c>
      <c r="R52" s="58" t="s">
        <v>354</v>
      </c>
      <c r="S52" s="58" t="s">
        <v>355</v>
      </c>
      <c r="T52" s="193"/>
      <c r="U52" s="195"/>
      <c r="V52" s="66" t="str">
        <f> hyperlink(vlookup(lower(S52),'File Links'!E:F, 2, FALSE), SUBSTITUTE(lower(S52), "/", "--") &amp;  ".pdf")</f>
        <v>10.1111--fare.13030.pdf</v>
      </c>
      <c r="W52" s="196" t="s">
        <v>356</v>
      </c>
      <c r="X52" s="54" t="str">
        <f t="array" ref="X52"> if(iserror(MATCH(V52, 'File Links'!C:C, 0)), "N/A", HYPERLINK(INDEX('File Links'!B:B, MATCH(V52, 'File Links'!C:C, 0))))</f>
        <v>https://drive.google.com/file/d/1TGN_TAtoJI3jhMQTEG2wnN59FCyiXC2_/view?usp=drivesdk</v>
      </c>
      <c r="Y52" s="193"/>
      <c r="Z52" s="58" t="s">
        <v>226</v>
      </c>
      <c r="AA52" s="193"/>
      <c r="AB52" s="192" t="s">
        <v>357</v>
      </c>
      <c r="AC52" s="192" t="s">
        <v>412</v>
      </c>
      <c r="AD52" s="192" t="s">
        <v>397</v>
      </c>
      <c r="AE52" s="197">
        <v>11.0</v>
      </c>
      <c r="AF52" s="197">
        <v>1950.0</v>
      </c>
      <c r="AG52" s="197">
        <v>-0.06</v>
      </c>
      <c r="AH52" s="194" t="s">
        <v>360</v>
      </c>
      <c r="AI52" s="58" t="s">
        <v>307</v>
      </c>
      <c r="AJ52" s="197">
        <v>0.001</v>
      </c>
      <c r="AK52" s="198" t="s">
        <v>135</v>
      </c>
      <c r="AL52" s="58" t="s">
        <v>186</v>
      </c>
      <c r="AM52" s="193"/>
      <c r="AN52" s="58" t="s">
        <v>138</v>
      </c>
      <c r="AO52" s="197">
        <v>1079.0</v>
      </c>
      <c r="AP52" s="193"/>
      <c r="AQ52" s="58" t="s">
        <v>361</v>
      </c>
      <c r="AR52" s="58" t="s">
        <v>362</v>
      </c>
      <c r="AS52" s="197">
        <v>0.05</v>
      </c>
      <c r="AT52" s="198" t="s">
        <v>335</v>
      </c>
      <c r="AU52" s="198" t="s">
        <v>186</v>
      </c>
      <c r="AV52" s="190"/>
      <c r="AW52" s="190" t="s">
        <v>138</v>
      </c>
      <c r="AX52" s="190" t="s">
        <v>151</v>
      </c>
      <c r="AY52" s="61" t="str">
        <f>IFERROR(__xludf.DUMMYFUNCTION("vlookup(BB52,importrange(""https://docs.google.com/spreadsheets/d/1d2vevQ_7D_v35q4wCQ4RpQ_IPoTwEMB9Yp6ymwlPqew/edit?gid=984458430#gid=984458430"", ""'replication success'!A:K""), 11, FAlSE)"),"mixed")</f>
        <v>mixed</v>
      </c>
      <c r="AZ52" s="61" t="str">
        <f>IFERROR(__xludf.DUMMYFUNCTION("vlookup(BB52,importrange(""https://docs.google.com/spreadsheets/d/1d2vevQ_7D_v35q4wCQ4RpQ_IPoTwEMB9Yp6ymwlPqew/edit?gid=984458430#gid=984458430"",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2" s="61" t="str">
        <f>IFERROR(__xludf.DUMMYFUNCTION("vlookup(BB52,importrange(""https://docs.google.com/spreadsheets/d/1d2vevQ_7D_v35q4wCQ4RpQ_IPoTwEMB9Yp6ymwlPqew/edit?gid=984458430#gid=984458430"", ""'replication success'!A:M""), 13, FAlSE)"),"abstract")</f>
        <v>abstract</v>
      </c>
      <c r="BB52" s="61" t="str">
        <f>IFERROR(__xludf.DUMMYFUNCTION("REGEXREPLACE(G52, ""_[a-z]{1,2}$"", """")"),"additional_studies11")</f>
        <v>additional_studies11</v>
      </c>
      <c r="BC52" s="193"/>
      <c r="BD52" s="199" t="s">
        <v>144</v>
      </c>
      <c r="BE52" s="189"/>
      <c r="BF52" s="189"/>
      <c r="BG52" s="189"/>
      <c r="BH52" s="189"/>
      <c r="BI52" s="189"/>
      <c r="BJ52" s="189"/>
      <c r="BK52" s="189"/>
      <c r="BL52" s="189"/>
      <c r="BM52" s="189"/>
      <c r="BN52" s="189"/>
      <c r="BO52" s="189"/>
      <c r="BP52" s="189"/>
      <c r="BQ52" s="189"/>
      <c r="BR52" s="189"/>
      <c r="BS52" s="189"/>
      <c r="BT52" s="189"/>
      <c r="BU52" s="189"/>
      <c r="BV52" s="189"/>
      <c r="BW52" s="189"/>
      <c r="BX52" s="189"/>
      <c r="BY52" s="189"/>
      <c r="BZ52" s="189"/>
      <c r="CA52" s="189"/>
      <c r="CB52" s="189"/>
      <c r="CC52" s="189"/>
      <c r="CD52" s="189"/>
      <c r="CE52" s="189"/>
      <c r="CF52" s="189"/>
      <c r="CG52" s="189"/>
      <c r="CH52" s="189"/>
      <c r="CI52" s="189"/>
      <c r="CJ52" s="189"/>
      <c r="CK52" s="189"/>
      <c r="CL52" s="189"/>
      <c r="CM52" s="189"/>
      <c r="CN52" s="189"/>
      <c r="CO52" s="189"/>
      <c r="CP52" s="189"/>
      <c r="CQ52" s="189"/>
      <c r="CR52" s="189"/>
      <c r="CS52" s="189"/>
      <c r="CT52" s="189"/>
      <c r="CU52" s="189"/>
      <c r="CV52" s="189"/>
      <c r="CW52" s="189"/>
      <c r="CX52" s="189"/>
      <c r="CY52" s="189"/>
      <c r="CZ52" s="189"/>
      <c r="DA52" s="189"/>
      <c r="DB52" s="189"/>
      <c r="DC52" s="189"/>
      <c r="DD52" s="189"/>
      <c r="DE52" s="189"/>
      <c r="DF52" s="189"/>
      <c r="DG52" s="189"/>
      <c r="DH52" s="189"/>
      <c r="DI52" s="189"/>
      <c r="DJ52" s="189"/>
      <c r="DK52" s="189"/>
      <c r="DL52" s="189"/>
    </row>
    <row r="53" ht="20.25" customHeight="1">
      <c r="A53" s="44">
        <v>53.0</v>
      </c>
      <c r="B53" s="188" t="s">
        <v>114</v>
      </c>
      <c r="C53" s="188" t="s">
        <v>115</v>
      </c>
      <c r="D53" s="188" t="s">
        <v>346</v>
      </c>
      <c r="E53" s="189"/>
      <c r="F53" s="190" t="s">
        <v>347</v>
      </c>
      <c r="G53" s="58" t="s">
        <v>413</v>
      </c>
      <c r="H53" s="58" t="s">
        <v>349</v>
      </c>
      <c r="I53" s="191">
        <v>45637.0</v>
      </c>
      <c r="J53" s="170">
        <v>45692.0</v>
      </c>
      <c r="K53" s="192" t="s">
        <v>350</v>
      </c>
      <c r="L53" s="193"/>
      <c r="M53" s="58" t="s">
        <v>351</v>
      </c>
      <c r="N53" s="192" t="s">
        <v>352</v>
      </c>
      <c r="O53" s="193"/>
      <c r="P53" s="194" t="s">
        <v>353</v>
      </c>
      <c r="Q53" s="52" t="str">
        <f t="array" ref="Q53"> if(iserror(MATCH(V53, 'File Links'!C:C, 0)), "N/A", HYPERLINK(INDEX('File Links'!B:B, MATCH(P53, 'File Links'!C:C, 0))))</f>
        <v>https://drive.google.com/file/d/1OByNKNsjZqSFHFFyt-o1mPqDkVmgruBu/view?usp=drivesdk</v>
      </c>
      <c r="R53" s="58" t="s">
        <v>354</v>
      </c>
      <c r="S53" s="58" t="s">
        <v>355</v>
      </c>
      <c r="T53" s="193"/>
      <c r="U53" s="195"/>
      <c r="V53" s="66" t="str">
        <f> hyperlink(vlookup(lower(S53),'File Links'!E:F, 2, FALSE), SUBSTITUTE(lower(S53), "/", "--") &amp;  ".pdf")</f>
        <v>10.1111--fare.13030.pdf</v>
      </c>
      <c r="W53" s="196" t="s">
        <v>356</v>
      </c>
      <c r="X53" s="54" t="str">
        <f t="array" ref="X53"> if(iserror(MATCH(V53, 'File Links'!C:C, 0)), "N/A", HYPERLINK(INDEX('File Links'!B:B, MATCH(V53, 'File Links'!C:C, 0))))</f>
        <v>https://drive.google.com/file/d/1TGN_TAtoJI3jhMQTEG2wnN59FCyiXC2_/view?usp=drivesdk</v>
      </c>
      <c r="Y53" s="193"/>
      <c r="Z53" s="58" t="s">
        <v>226</v>
      </c>
      <c r="AA53" s="193"/>
      <c r="AB53" s="192" t="s">
        <v>357</v>
      </c>
      <c r="AC53" s="192" t="s">
        <v>414</v>
      </c>
      <c r="AD53" s="192" t="s">
        <v>415</v>
      </c>
      <c r="AE53" s="197">
        <v>1.0</v>
      </c>
      <c r="AF53" s="197">
        <v>1950.0</v>
      </c>
      <c r="AG53" s="193"/>
      <c r="AH53" s="194" t="s">
        <v>360</v>
      </c>
      <c r="AI53" s="58" t="s">
        <v>307</v>
      </c>
      <c r="AJ53" s="197">
        <v>0.05</v>
      </c>
      <c r="AK53" s="198" t="s">
        <v>335</v>
      </c>
      <c r="AL53" s="58" t="s">
        <v>186</v>
      </c>
      <c r="AM53" s="193"/>
      <c r="AN53" s="58" t="s">
        <v>138</v>
      </c>
      <c r="AO53" s="197">
        <v>1079.0</v>
      </c>
      <c r="AP53" s="193"/>
      <c r="AQ53" s="58" t="s">
        <v>361</v>
      </c>
      <c r="AR53" s="58" t="s">
        <v>380</v>
      </c>
      <c r="AS53" s="197">
        <v>0.05</v>
      </c>
      <c r="AT53" s="198" t="s">
        <v>335</v>
      </c>
      <c r="AU53" s="198" t="s">
        <v>186</v>
      </c>
      <c r="AV53" s="190"/>
      <c r="AW53" s="190" t="s">
        <v>138</v>
      </c>
      <c r="AX53" s="190" t="s">
        <v>151</v>
      </c>
      <c r="AY53" s="61" t="str">
        <f>IFERROR(__xludf.DUMMYFUNCTION("vlookup(BB53,importrange(""https://docs.google.com/spreadsheets/d/1d2vevQ_7D_v35q4wCQ4RpQ_IPoTwEMB9Yp6ymwlPqew/edit?gid=984458430#gid=984458430"", ""'replication success'!A:K""), 11, FAlSE)"),"mixed")</f>
        <v>mixed</v>
      </c>
      <c r="AZ53" s="61" t="str">
        <f>IFERROR(__xludf.DUMMYFUNCTION("vlookup(BB53,importrange(""https://docs.google.com/spreadsheets/d/1d2vevQ_7D_v35q4wCQ4RpQ_IPoTwEMB9Yp6ymwlPqew/edit?gid=984458430#gid=984458430"",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3" s="61" t="str">
        <f>IFERROR(__xludf.DUMMYFUNCTION("vlookup(BB53,importrange(""https://docs.google.com/spreadsheets/d/1d2vevQ_7D_v35q4wCQ4RpQ_IPoTwEMB9Yp6ymwlPqew/edit?gid=984458430#gid=984458430"", ""'replication success'!A:M""), 13, FAlSE)"),"abstract")</f>
        <v>abstract</v>
      </c>
      <c r="BB53" s="61" t="str">
        <f>IFERROR(__xludf.DUMMYFUNCTION("REGEXREPLACE(G53, ""_[a-z]{1,2}$"", """")"),"additional_studies11")</f>
        <v>additional_studies11</v>
      </c>
      <c r="BC53" s="193"/>
      <c r="BD53" s="199" t="s">
        <v>144</v>
      </c>
      <c r="BE53" s="189"/>
      <c r="BF53" s="189"/>
      <c r="BG53" s="189"/>
      <c r="BH53" s="189"/>
      <c r="BI53" s="189"/>
      <c r="BJ53" s="189"/>
      <c r="BK53" s="189"/>
      <c r="BL53" s="189"/>
      <c r="BM53" s="189"/>
      <c r="BN53" s="189"/>
      <c r="BO53" s="189"/>
      <c r="BP53" s="189"/>
      <c r="BQ53" s="189"/>
      <c r="BR53" s="189"/>
      <c r="BS53" s="189"/>
      <c r="BT53" s="189"/>
      <c r="BU53" s="189"/>
      <c r="BV53" s="189"/>
      <c r="BW53" s="189"/>
      <c r="BX53" s="189"/>
      <c r="BY53" s="189"/>
      <c r="BZ53" s="189"/>
      <c r="CA53" s="189"/>
      <c r="CB53" s="189"/>
      <c r="CC53" s="189"/>
      <c r="CD53" s="189"/>
      <c r="CE53" s="189"/>
      <c r="CF53" s="189"/>
      <c r="CG53" s="189"/>
      <c r="CH53" s="189"/>
      <c r="CI53" s="189"/>
      <c r="CJ53" s="189"/>
      <c r="CK53" s="189"/>
      <c r="CL53" s="189"/>
      <c r="CM53" s="189"/>
      <c r="CN53" s="189"/>
      <c r="CO53" s="189"/>
      <c r="CP53" s="189"/>
      <c r="CQ53" s="189"/>
      <c r="CR53" s="189"/>
      <c r="CS53" s="189"/>
      <c r="CT53" s="189"/>
      <c r="CU53" s="189"/>
      <c r="CV53" s="189"/>
      <c r="CW53" s="189"/>
      <c r="CX53" s="189"/>
      <c r="CY53" s="189"/>
      <c r="CZ53" s="189"/>
      <c r="DA53" s="189"/>
      <c r="DB53" s="189"/>
      <c r="DC53" s="189"/>
      <c r="DD53" s="189"/>
      <c r="DE53" s="189"/>
      <c r="DF53" s="189"/>
      <c r="DG53" s="189"/>
      <c r="DH53" s="189"/>
      <c r="DI53" s="189"/>
      <c r="DJ53" s="189"/>
      <c r="DK53" s="189"/>
      <c r="DL53" s="189"/>
    </row>
    <row r="54" ht="20.25" customHeight="1">
      <c r="A54" s="44">
        <v>54.0</v>
      </c>
      <c r="B54" s="188" t="s">
        <v>114</v>
      </c>
      <c r="C54" s="188" t="s">
        <v>115</v>
      </c>
      <c r="D54" s="188" t="s">
        <v>346</v>
      </c>
      <c r="E54" s="189"/>
      <c r="F54" s="190" t="s">
        <v>347</v>
      </c>
      <c r="G54" s="58" t="s">
        <v>416</v>
      </c>
      <c r="H54" s="58" t="s">
        <v>349</v>
      </c>
      <c r="I54" s="191">
        <v>45637.0</v>
      </c>
      <c r="J54" s="170">
        <v>45692.0</v>
      </c>
      <c r="K54" s="192" t="s">
        <v>350</v>
      </c>
      <c r="L54" s="193"/>
      <c r="M54" s="58" t="s">
        <v>351</v>
      </c>
      <c r="N54" s="192" t="s">
        <v>352</v>
      </c>
      <c r="O54" s="193"/>
      <c r="P54" s="194" t="s">
        <v>353</v>
      </c>
      <c r="Q54" s="52" t="str">
        <f t="array" ref="Q54"> if(iserror(MATCH(V54, 'File Links'!C:C, 0)), "N/A", HYPERLINK(INDEX('File Links'!B:B, MATCH(P54, 'File Links'!C:C, 0))))</f>
        <v>https://drive.google.com/file/d/1OByNKNsjZqSFHFFyt-o1mPqDkVmgruBu/view?usp=drivesdk</v>
      </c>
      <c r="R54" s="58" t="s">
        <v>354</v>
      </c>
      <c r="S54" s="58" t="s">
        <v>355</v>
      </c>
      <c r="T54" s="193"/>
      <c r="U54" s="195"/>
      <c r="V54" s="66" t="str">
        <f> hyperlink(vlookup(lower(S54),'File Links'!E:F, 2, FALSE), SUBSTITUTE(lower(S54), "/", "--") &amp;  ".pdf")</f>
        <v>10.1111--fare.13030.pdf</v>
      </c>
      <c r="W54" s="196" t="s">
        <v>356</v>
      </c>
      <c r="X54" s="54" t="str">
        <f t="array" ref="X54"> if(iserror(MATCH(V54, 'File Links'!C:C, 0)), "N/A", HYPERLINK(INDEX('File Links'!B:B, MATCH(V54, 'File Links'!C:C, 0))))</f>
        <v>https://drive.google.com/file/d/1TGN_TAtoJI3jhMQTEG2wnN59FCyiXC2_/view?usp=drivesdk</v>
      </c>
      <c r="Y54" s="193"/>
      <c r="Z54" s="58" t="s">
        <v>226</v>
      </c>
      <c r="AA54" s="193"/>
      <c r="AB54" s="192" t="s">
        <v>357</v>
      </c>
      <c r="AC54" s="192" t="s">
        <v>417</v>
      </c>
      <c r="AD54" s="192" t="s">
        <v>415</v>
      </c>
      <c r="AE54" s="197">
        <v>1.0</v>
      </c>
      <c r="AF54" s="197">
        <v>1950.0</v>
      </c>
      <c r="AG54" s="193"/>
      <c r="AH54" s="194" t="s">
        <v>360</v>
      </c>
      <c r="AI54" s="58" t="s">
        <v>307</v>
      </c>
      <c r="AJ54" s="197">
        <v>0.05</v>
      </c>
      <c r="AK54" s="198" t="s">
        <v>335</v>
      </c>
      <c r="AL54" s="58" t="s">
        <v>186</v>
      </c>
      <c r="AM54" s="193"/>
      <c r="AN54" s="58" t="s">
        <v>138</v>
      </c>
      <c r="AO54" s="197">
        <v>1079.0</v>
      </c>
      <c r="AP54" s="193"/>
      <c r="AQ54" s="58" t="s">
        <v>361</v>
      </c>
      <c r="AR54" s="58" t="s">
        <v>380</v>
      </c>
      <c r="AS54" s="197">
        <v>0.05</v>
      </c>
      <c r="AT54" s="198" t="s">
        <v>335</v>
      </c>
      <c r="AU54" s="198" t="s">
        <v>186</v>
      </c>
      <c r="AV54" s="190"/>
      <c r="AW54" s="190" t="s">
        <v>138</v>
      </c>
      <c r="AX54" s="190" t="s">
        <v>151</v>
      </c>
      <c r="AY54" s="61" t="str">
        <f>IFERROR(__xludf.DUMMYFUNCTION("vlookup(BB54,importrange(""https://docs.google.com/spreadsheets/d/1d2vevQ_7D_v35q4wCQ4RpQ_IPoTwEMB9Yp6ymwlPqew/edit?gid=984458430#gid=984458430"", ""'replication success'!A:K""), 11, FAlSE)"),"mixed")</f>
        <v>mixed</v>
      </c>
      <c r="AZ54" s="61" t="str">
        <f>IFERROR(__xludf.DUMMYFUNCTION("vlookup(BB54,importrange(""https://docs.google.com/spreadsheets/d/1d2vevQ_7D_v35q4wCQ4RpQ_IPoTwEMB9Yp6ymwlPqew/edit?gid=984458430#gid=984458430"",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4" s="61" t="str">
        <f>IFERROR(__xludf.DUMMYFUNCTION("vlookup(BB54,importrange(""https://docs.google.com/spreadsheets/d/1d2vevQ_7D_v35q4wCQ4RpQ_IPoTwEMB9Yp6ymwlPqew/edit?gid=984458430#gid=984458430"", ""'replication success'!A:M""), 13, FAlSE)"),"abstract")</f>
        <v>abstract</v>
      </c>
      <c r="BB54" s="61" t="str">
        <f>IFERROR(__xludf.DUMMYFUNCTION("REGEXREPLACE(G54, ""_[a-z]{1,2}$"", """")"),"additional_studies11")</f>
        <v>additional_studies11</v>
      </c>
      <c r="BC54" s="193"/>
      <c r="BD54" s="199" t="s">
        <v>144</v>
      </c>
      <c r="BE54" s="189"/>
      <c r="BF54" s="189"/>
      <c r="BG54" s="189"/>
      <c r="BH54" s="189"/>
      <c r="BI54" s="189"/>
      <c r="BJ54" s="189"/>
      <c r="BK54" s="189"/>
      <c r="BL54" s="189"/>
      <c r="BM54" s="189"/>
      <c r="BN54" s="189"/>
      <c r="BO54" s="189"/>
      <c r="BP54" s="189"/>
      <c r="BQ54" s="189"/>
      <c r="BR54" s="189"/>
      <c r="BS54" s="189"/>
      <c r="BT54" s="189"/>
      <c r="BU54" s="189"/>
      <c r="BV54" s="189"/>
      <c r="BW54" s="189"/>
      <c r="BX54" s="189"/>
      <c r="BY54" s="189"/>
      <c r="BZ54" s="189"/>
      <c r="CA54" s="189"/>
      <c r="CB54" s="189"/>
      <c r="CC54" s="189"/>
      <c r="CD54" s="189"/>
      <c r="CE54" s="189"/>
      <c r="CF54" s="189"/>
      <c r="CG54" s="189"/>
      <c r="CH54" s="189"/>
      <c r="CI54" s="189"/>
      <c r="CJ54" s="189"/>
      <c r="CK54" s="189"/>
      <c r="CL54" s="189"/>
      <c r="CM54" s="189"/>
      <c r="CN54" s="189"/>
      <c r="CO54" s="189"/>
      <c r="CP54" s="189"/>
      <c r="CQ54" s="189"/>
      <c r="CR54" s="189"/>
      <c r="CS54" s="189"/>
      <c r="CT54" s="189"/>
      <c r="CU54" s="189"/>
      <c r="CV54" s="189"/>
      <c r="CW54" s="189"/>
      <c r="CX54" s="189"/>
      <c r="CY54" s="189"/>
      <c r="CZ54" s="189"/>
      <c r="DA54" s="189"/>
      <c r="DB54" s="189"/>
      <c r="DC54" s="189"/>
      <c r="DD54" s="189"/>
      <c r="DE54" s="189"/>
      <c r="DF54" s="189"/>
      <c r="DG54" s="189"/>
      <c r="DH54" s="189"/>
      <c r="DI54" s="189"/>
      <c r="DJ54" s="189"/>
      <c r="DK54" s="189"/>
      <c r="DL54" s="189"/>
    </row>
    <row r="55" ht="20.25" customHeight="1">
      <c r="A55" s="44">
        <v>55.0</v>
      </c>
      <c r="B55" s="188" t="s">
        <v>114</v>
      </c>
      <c r="C55" s="188" t="s">
        <v>115</v>
      </c>
      <c r="D55" s="188" t="s">
        <v>346</v>
      </c>
      <c r="E55" s="189"/>
      <c r="F55" s="190" t="s">
        <v>347</v>
      </c>
      <c r="G55" s="58" t="s">
        <v>418</v>
      </c>
      <c r="H55" s="58" t="s">
        <v>349</v>
      </c>
      <c r="I55" s="191">
        <v>45637.0</v>
      </c>
      <c r="J55" s="170">
        <v>45692.0</v>
      </c>
      <c r="K55" s="192" t="s">
        <v>350</v>
      </c>
      <c r="L55" s="193"/>
      <c r="M55" s="58" t="s">
        <v>351</v>
      </c>
      <c r="N55" s="192" t="s">
        <v>352</v>
      </c>
      <c r="O55" s="193"/>
      <c r="P55" s="194" t="s">
        <v>353</v>
      </c>
      <c r="Q55" s="52" t="str">
        <f t="array" ref="Q55"> if(iserror(MATCH(V55, 'File Links'!C:C, 0)), "N/A", HYPERLINK(INDEX('File Links'!B:B, MATCH(P55, 'File Links'!C:C, 0))))</f>
        <v>https://drive.google.com/file/d/1OByNKNsjZqSFHFFyt-o1mPqDkVmgruBu/view?usp=drivesdk</v>
      </c>
      <c r="R55" s="58" t="s">
        <v>354</v>
      </c>
      <c r="S55" s="58" t="s">
        <v>355</v>
      </c>
      <c r="T55" s="193"/>
      <c r="U55" s="195"/>
      <c r="V55" s="66" t="str">
        <f> hyperlink(vlookup(lower(S55),'File Links'!E:F, 2, FALSE), SUBSTITUTE(lower(S55), "/", "--") &amp;  ".pdf")</f>
        <v>10.1111--fare.13030.pdf</v>
      </c>
      <c r="W55" s="196" t="s">
        <v>356</v>
      </c>
      <c r="X55" s="54" t="str">
        <f t="array" ref="X55"> if(iserror(MATCH(V55, 'File Links'!C:C, 0)), "N/A", HYPERLINK(INDEX('File Links'!B:B, MATCH(V55, 'File Links'!C:C, 0))))</f>
        <v>https://drive.google.com/file/d/1TGN_TAtoJI3jhMQTEG2wnN59FCyiXC2_/view?usp=drivesdk</v>
      </c>
      <c r="Y55" s="193"/>
      <c r="Z55" s="58" t="s">
        <v>226</v>
      </c>
      <c r="AA55" s="193"/>
      <c r="AB55" s="192" t="s">
        <v>357</v>
      </c>
      <c r="AC55" s="192" t="s">
        <v>419</v>
      </c>
      <c r="AD55" s="192" t="s">
        <v>415</v>
      </c>
      <c r="AE55" s="197">
        <v>1.0</v>
      </c>
      <c r="AF55" s="197">
        <v>1950.0</v>
      </c>
      <c r="AG55" s="193"/>
      <c r="AH55" s="194" t="s">
        <v>360</v>
      </c>
      <c r="AI55" s="58" t="s">
        <v>307</v>
      </c>
      <c r="AJ55" s="197">
        <v>0.05</v>
      </c>
      <c r="AK55" s="198" t="s">
        <v>335</v>
      </c>
      <c r="AL55" s="58" t="s">
        <v>186</v>
      </c>
      <c r="AM55" s="193"/>
      <c r="AN55" s="58" t="s">
        <v>138</v>
      </c>
      <c r="AO55" s="197">
        <v>1079.0</v>
      </c>
      <c r="AP55" s="193"/>
      <c r="AQ55" s="58" t="s">
        <v>361</v>
      </c>
      <c r="AR55" s="58" t="s">
        <v>380</v>
      </c>
      <c r="AS55" s="197">
        <v>0.05</v>
      </c>
      <c r="AT55" s="198" t="s">
        <v>335</v>
      </c>
      <c r="AU55" s="198" t="s">
        <v>186</v>
      </c>
      <c r="AV55" s="190"/>
      <c r="AW55" s="190" t="s">
        <v>138</v>
      </c>
      <c r="AX55" s="190" t="s">
        <v>151</v>
      </c>
      <c r="AY55" s="61" t="str">
        <f>IFERROR(__xludf.DUMMYFUNCTION("vlookup(BB55,importrange(""https://docs.google.com/spreadsheets/d/1d2vevQ_7D_v35q4wCQ4RpQ_IPoTwEMB9Yp6ymwlPqew/edit?gid=984458430#gid=984458430"", ""'replication success'!A:K""), 11, FAlSE)"),"mixed")</f>
        <v>mixed</v>
      </c>
      <c r="AZ55" s="61" t="str">
        <f>IFERROR(__xludf.DUMMYFUNCTION("vlookup(BB55,importrange(""https://docs.google.com/spreadsheets/d/1d2vevQ_7D_v35q4wCQ4RpQ_IPoTwEMB9Yp6ymwlPqew/edit?gid=984458430#gid=984458430"",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5" s="61" t="str">
        <f>IFERROR(__xludf.DUMMYFUNCTION("vlookup(BB55,importrange(""https://docs.google.com/spreadsheets/d/1d2vevQ_7D_v35q4wCQ4RpQ_IPoTwEMB9Yp6ymwlPqew/edit?gid=984458430#gid=984458430"", ""'replication success'!A:M""), 13, FAlSE)"),"abstract")</f>
        <v>abstract</v>
      </c>
      <c r="BB55" s="61" t="str">
        <f>IFERROR(__xludf.DUMMYFUNCTION("REGEXREPLACE(G55, ""_[a-z]{1,2}$"", """")"),"additional_studies11")</f>
        <v>additional_studies11</v>
      </c>
      <c r="BC55" s="193"/>
      <c r="BD55" s="199" t="s">
        <v>144</v>
      </c>
      <c r="BE55" s="189"/>
      <c r="BF55" s="189"/>
      <c r="BG55" s="189"/>
      <c r="BH55" s="189"/>
      <c r="BI55" s="189"/>
      <c r="BJ55" s="189"/>
      <c r="BK55" s="189"/>
      <c r="BL55" s="189"/>
      <c r="BM55" s="189"/>
      <c r="BN55" s="189"/>
      <c r="BO55" s="189"/>
      <c r="BP55" s="189"/>
      <c r="BQ55" s="189"/>
      <c r="BR55" s="189"/>
      <c r="BS55" s="189"/>
      <c r="BT55" s="189"/>
      <c r="BU55" s="189"/>
      <c r="BV55" s="189"/>
      <c r="BW55" s="189"/>
      <c r="BX55" s="189"/>
      <c r="BY55" s="189"/>
      <c r="BZ55" s="189"/>
      <c r="CA55" s="189"/>
      <c r="CB55" s="189"/>
      <c r="CC55" s="189"/>
      <c r="CD55" s="189"/>
      <c r="CE55" s="189"/>
      <c r="CF55" s="189"/>
      <c r="CG55" s="189"/>
      <c r="CH55" s="189"/>
      <c r="CI55" s="189"/>
      <c r="CJ55" s="189"/>
      <c r="CK55" s="189"/>
      <c r="CL55" s="189"/>
      <c r="CM55" s="189"/>
      <c r="CN55" s="189"/>
      <c r="CO55" s="189"/>
      <c r="CP55" s="189"/>
      <c r="CQ55" s="189"/>
      <c r="CR55" s="189"/>
      <c r="CS55" s="189"/>
      <c r="CT55" s="189"/>
      <c r="CU55" s="189"/>
      <c r="CV55" s="189"/>
      <c r="CW55" s="189"/>
      <c r="CX55" s="189"/>
      <c r="CY55" s="189"/>
      <c r="CZ55" s="189"/>
      <c r="DA55" s="189"/>
      <c r="DB55" s="189"/>
      <c r="DC55" s="189"/>
      <c r="DD55" s="189"/>
      <c r="DE55" s="189"/>
      <c r="DF55" s="189"/>
      <c r="DG55" s="189"/>
      <c r="DH55" s="189"/>
      <c r="DI55" s="189"/>
      <c r="DJ55" s="189"/>
      <c r="DK55" s="189"/>
      <c r="DL55" s="189"/>
    </row>
    <row r="56" ht="20.25" customHeight="1">
      <c r="A56" s="44">
        <v>56.0</v>
      </c>
      <c r="B56" s="188" t="s">
        <v>114</v>
      </c>
      <c r="C56" s="188" t="s">
        <v>115</v>
      </c>
      <c r="D56" s="188" t="s">
        <v>346</v>
      </c>
      <c r="E56" s="189"/>
      <c r="F56" s="190" t="s">
        <v>347</v>
      </c>
      <c r="G56" s="58" t="s">
        <v>420</v>
      </c>
      <c r="H56" s="58" t="s">
        <v>349</v>
      </c>
      <c r="I56" s="191">
        <v>45637.0</v>
      </c>
      <c r="J56" s="170">
        <v>45692.0</v>
      </c>
      <c r="K56" s="192" t="s">
        <v>350</v>
      </c>
      <c r="L56" s="193"/>
      <c r="M56" s="58" t="s">
        <v>351</v>
      </c>
      <c r="N56" s="192" t="s">
        <v>352</v>
      </c>
      <c r="O56" s="193"/>
      <c r="P56" s="194" t="s">
        <v>353</v>
      </c>
      <c r="Q56" s="52" t="str">
        <f t="array" ref="Q56"> if(iserror(MATCH(V56, 'File Links'!C:C, 0)), "N/A", HYPERLINK(INDEX('File Links'!B:B, MATCH(P56, 'File Links'!C:C, 0))))</f>
        <v>https://drive.google.com/file/d/1OByNKNsjZqSFHFFyt-o1mPqDkVmgruBu/view?usp=drivesdk</v>
      </c>
      <c r="R56" s="58" t="s">
        <v>354</v>
      </c>
      <c r="S56" s="58" t="s">
        <v>355</v>
      </c>
      <c r="T56" s="193"/>
      <c r="U56" s="195"/>
      <c r="V56" s="66" t="str">
        <f> hyperlink(vlookup(lower(S56),'File Links'!E:F, 2, FALSE), SUBSTITUTE(lower(S56), "/", "--") &amp;  ".pdf")</f>
        <v>10.1111--fare.13030.pdf</v>
      </c>
      <c r="W56" s="196" t="s">
        <v>356</v>
      </c>
      <c r="X56" s="54" t="str">
        <f t="array" ref="X56"> if(iserror(MATCH(V56, 'File Links'!C:C, 0)), "N/A", HYPERLINK(INDEX('File Links'!B:B, MATCH(V56, 'File Links'!C:C, 0))))</f>
        <v>https://drive.google.com/file/d/1TGN_TAtoJI3jhMQTEG2wnN59FCyiXC2_/view?usp=drivesdk</v>
      </c>
      <c r="Y56" s="193"/>
      <c r="Z56" s="58" t="s">
        <v>226</v>
      </c>
      <c r="AA56" s="193"/>
      <c r="AB56" s="192" t="s">
        <v>357</v>
      </c>
      <c r="AC56" s="192" t="s">
        <v>421</v>
      </c>
      <c r="AD56" s="192" t="s">
        <v>415</v>
      </c>
      <c r="AE56" s="197">
        <v>1.0</v>
      </c>
      <c r="AF56" s="197">
        <v>1950.0</v>
      </c>
      <c r="AG56" s="193"/>
      <c r="AH56" s="194" t="s">
        <v>360</v>
      </c>
      <c r="AI56" s="58" t="s">
        <v>307</v>
      </c>
      <c r="AJ56" s="197">
        <v>0.05</v>
      </c>
      <c r="AK56" s="198" t="s">
        <v>335</v>
      </c>
      <c r="AL56" s="58" t="s">
        <v>186</v>
      </c>
      <c r="AM56" s="193"/>
      <c r="AN56" s="58" t="s">
        <v>138</v>
      </c>
      <c r="AO56" s="197">
        <v>1079.0</v>
      </c>
      <c r="AP56" s="193"/>
      <c r="AQ56" s="58" t="s">
        <v>361</v>
      </c>
      <c r="AR56" s="58" t="s">
        <v>380</v>
      </c>
      <c r="AS56" s="197">
        <v>0.05</v>
      </c>
      <c r="AT56" s="198" t="s">
        <v>335</v>
      </c>
      <c r="AU56" s="198" t="s">
        <v>186</v>
      </c>
      <c r="AV56" s="190"/>
      <c r="AW56" s="190" t="s">
        <v>138</v>
      </c>
      <c r="AX56" s="190" t="s">
        <v>151</v>
      </c>
      <c r="AY56" s="61" t="str">
        <f>IFERROR(__xludf.DUMMYFUNCTION("vlookup(BB56,importrange(""https://docs.google.com/spreadsheets/d/1d2vevQ_7D_v35q4wCQ4RpQ_IPoTwEMB9Yp6ymwlPqew/edit?gid=984458430#gid=984458430"", ""'replication success'!A:K""), 11, FAlSE)"),"mixed")</f>
        <v>mixed</v>
      </c>
      <c r="AZ56" s="61" t="str">
        <f>IFERROR(__xludf.DUMMYFUNCTION("vlookup(BB56,importrange(""https://docs.google.com/spreadsheets/d/1d2vevQ_7D_v35q4wCQ4RpQ_IPoTwEMB9Yp6ymwlPqew/edit?gid=984458430#gid=984458430"",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6" s="61" t="str">
        <f>IFERROR(__xludf.DUMMYFUNCTION("vlookup(BB56,importrange(""https://docs.google.com/spreadsheets/d/1d2vevQ_7D_v35q4wCQ4RpQ_IPoTwEMB9Yp6ymwlPqew/edit?gid=984458430#gid=984458430"", ""'replication success'!A:M""), 13, FAlSE)"),"abstract")</f>
        <v>abstract</v>
      </c>
      <c r="BB56" s="61" t="str">
        <f>IFERROR(__xludf.DUMMYFUNCTION("REGEXREPLACE(G56, ""_[a-z]{1,2}$"", """")"),"additional_studies11")</f>
        <v>additional_studies11</v>
      </c>
      <c r="BC56" s="193"/>
      <c r="BD56" s="199" t="s">
        <v>144</v>
      </c>
      <c r="BE56" s="189"/>
      <c r="BF56" s="189"/>
      <c r="BG56" s="189"/>
      <c r="BH56" s="189"/>
      <c r="BI56" s="189"/>
      <c r="BJ56" s="189"/>
      <c r="BK56" s="189"/>
      <c r="BL56" s="189"/>
      <c r="BM56" s="189"/>
      <c r="BN56" s="189"/>
      <c r="BO56" s="189"/>
      <c r="BP56" s="189"/>
      <c r="BQ56" s="189"/>
      <c r="BR56" s="189"/>
      <c r="BS56" s="189"/>
      <c r="BT56" s="189"/>
      <c r="BU56" s="189"/>
      <c r="BV56" s="189"/>
      <c r="BW56" s="189"/>
      <c r="BX56" s="189"/>
      <c r="BY56" s="189"/>
      <c r="BZ56" s="189"/>
      <c r="CA56" s="189"/>
      <c r="CB56" s="189"/>
      <c r="CC56" s="189"/>
      <c r="CD56" s="189"/>
      <c r="CE56" s="189"/>
      <c r="CF56" s="189"/>
      <c r="CG56" s="189"/>
      <c r="CH56" s="189"/>
      <c r="CI56" s="189"/>
      <c r="CJ56" s="189"/>
      <c r="CK56" s="189"/>
      <c r="CL56" s="189"/>
      <c r="CM56" s="189"/>
      <c r="CN56" s="189"/>
      <c r="CO56" s="189"/>
      <c r="CP56" s="189"/>
      <c r="CQ56" s="189"/>
      <c r="CR56" s="189"/>
      <c r="CS56" s="189"/>
      <c r="CT56" s="189"/>
      <c r="CU56" s="189"/>
      <c r="CV56" s="189"/>
      <c r="CW56" s="189"/>
      <c r="CX56" s="189"/>
      <c r="CY56" s="189"/>
      <c r="CZ56" s="189"/>
      <c r="DA56" s="189"/>
      <c r="DB56" s="189"/>
      <c r="DC56" s="189"/>
      <c r="DD56" s="189"/>
      <c r="DE56" s="189"/>
      <c r="DF56" s="189"/>
      <c r="DG56" s="189"/>
      <c r="DH56" s="189"/>
      <c r="DI56" s="189"/>
      <c r="DJ56" s="189"/>
      <c r="DK56" s="189"/>
      <c r="DL56" s="189"/>
    </row>
    <row r="57" ht="20.25" customHeight="1">
      <c r="A57" s="44">
        <v>57.0</v>
      </c>
      <c r="B57" s="188" t="s">
        <v>114</v>
      </c>
      <c r="C57" s="188" t="s">
        <v>115</v>
      </c>
      <c r="D57" s="188" t="s">
        <v>346</v>
      </c>
      <c r="E57" s="189"/>
      <c r="F57" s="190" t="s">
        <v>347</v>
      </c>
      <c r="G57" s="58" t="s">
        <v>422</v>
      </c>
      <c r="H57" s="58" t="s">
        <v>349</v>
      </c>
      <c r="I57" s="191">
        <v>45637.0</v>
      </c>
      <c r="J57" s="170">
        <v>45692.0</v>
      </c>
      <c r="K57" s="192" t="s">
        <v>350</v>
      </c>
      <c r="L57" s="193"/>
      <c r="M57" s="58" t="s">
        <v>351</v>
      </c>
      <c r="N57" s="192" t="s">
        <v>352</v>
      </c>
      <c r="O57" s="193"/>
      <c r="P57" s="194" t="s">
        <v>353</v>
      </c>
      <c r="Q57" s="52" t="str">
        <f t="array" ref="Q57"> if(iserror(MATCH(V57, 'File Links'!C:C, 0)), "N/A", HYPERLINK(INDEX('File Links'!B:B, MATCH(P57, 'File Links'!C:C, 0))))</f>
        <v>https://drive.google.com/file/d/1OByNKNsjZqSFHFFyt-o1mPqDkVmgruBu/view?usp=drivesdk</v>
      </c>
      <c r="R57" s="58" t="s">
        <v>354</v>
      </c>
      <c r="S57" s="58" t="s">
        <v>355</v>
      </c>
      <c r="T57" s="193"/>
      <c r="U57" s="195"/>
      <c r="V57" s="66" t="str">
        <f> hyperlink(vlookup(lower(S57),'File Links'!E:F, 2, FALSE), SUBSTITUTE(lower(S57), "/", "--") &amp;  ".pdf")</f>
        <v>10.1111--fare.13030.pdf</v>
      </c>
      <c r="W57" s="196" t="s">
        <v>356</v>
      </c>
      <c r="X57" s="54" t="str">
        <f t="array" ref="X57"> if(iserror(MATCH(V57, 'File Links'!C:C, 0)), "N/A", HYPERLINK(INDEX('File Links'!B:B, MATCH(V57, 'File Links'!C:C, 0))))</f>
        <v>https://drive.google.com/file/d/1TGN_TAtoJI3jhMQTEG2wnN59FCyiXC2_/view?usp=drivesdk</v>
      </c>
      <c r="Y57" s="193"/>
      <c r="Z57" s="58" t="s">
        <v>226</v>
      </c>
      <c r="AA57" s="193"/>
      <c r="AB57" s="192" t="s">
        <v>357</v>
      </c>
      <c r="AC57" s="192" t="s">
        <v>423</v>
      </c>
      <c r="AD57" s="192" t="s">
        <v>415</v>
      </c>
      <c r="AE57" s="197">
        <v>1.0</v>
      </c>
      <c r="AF57" s="197">
        <v>1950.0</v>
      </c>
      <c r="AG57" s="193"/>
      <c r="AH57" s="194" t="s">
        <v>360</v>
      </c>
      <c r="AI57" s="58" t="s">
        <v>307</v>
      </c>
      <c r="AJ57" s="197">
        <v>0.05</v>
      </c>
      <c r="AK57" s="198" t="s">
        <v>335</v>
      </c>
      <c r="AL57" s="58" t="s">
        <v>186</v>
      </c>
      <c r="AM57" s="193"/>
      <c r="AN57" s="58" t="s">
        <v>138</v>
      </c>
      <c r="AO57" s="197">
        <v>1079.0</v>
      </c>
      <c r="AP57" s="193"/>
      <c r="AQ57" s="58" t="s">
        <v>361</v>
      </c>
      <c r="AR57" s="58" t="s">
        <v>424</v>
      </c>
      <c r="AS57" s="197">
        <v>0.05</v>
      </c>
      <c r="AT57" s="198" t="s">
        <v>335</v>
      </c>
      <c r="AU57" s="198" t="s">
        <v>186</v>
      </c>
      <c r="AV57" s="190"/>
      <c r="AW57" s="190" t="s">
        <v>138</v>
      </c>
      <c r="AX57" s="190" t="s">
        <v>151</v>
      </c>
      <c r="AY57" s="61" t="str">
        <f>IFERROR(__xludf.DUMMYFUNCTION("vlookup(BB57,importrange(""https://docs.google.com/spreadsheets/d/1d2vevQ_7D_v35q4wCQ4RpQ_IPoTwEMB9Yp6ymwlPqew/edit?gid=984458430#gid=984458430"", ""'replication success'!A:K""), 11, FAlSE)"),"mixed")</f>
        <v>mixed</v>
      </c>
      <c r="AZ57" s="61" t="str">
        <f>IFERROR(__xludf.DUMMYFUNCTION("vlookup(BB57,importrange(""https://docs.google.com/spreadsheets/d/1d2vevQ_7D_v35q4wCQ4RpQ_IPoTwEMB9Yp6ymwlPqew/edit?gid=984458430#gid=984458430"",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7" s="61" t="str">
        <f>IFERROR(__xludf.DUMMYFUNCTION("vlookup(BB57,importrange(""https://docs.google.com/spreadsheets/d/1d2vevQ_7D_v35q4wCQ4RpQ_IPoTwEMB9Yp6ymwlPqew/edit?gid=984458430#gid=984458430"", ""'replication success'!A:M""), 13, FAlSE)"),"abstract")</f>
        <v>abstract</v>
      </c>
      <c r="BB57" s="61" t="str">
        <f>IFERROR(__xludf.DUMMYFUNCTION("REGEXREPLACE(G57, ""_[a-z]{1,2}$"", """")"),"additional_studies11")</f>
        <v>additional_studies11</v>
      </c>
      <c r="BC57" s="193"/>
      <c r="BD57" s="199" t="s">
        <v>144</v>
      </c>
      <c r="BE57" s="189"/>
      <c r="BF57" s="189"/>
      <c r="BG57" s="189"/>
      <c r="BH57" s="189"/>
      <c r="BI57" s="189"/>
      <c r="BJ57" s="189"/>
      <c r="BK57" s="189"/>
      <c r="BL57" s="189"/>
      <c r="BM57" s="189"/>
      <c r="BN57" s="189"/>
      <c r="BO57" s="189"/>
      <c r="BP57" s="189"/>
      <c r="BQ57" s="189"/>
      <c r="BR57" s="189"/>
      <c r="BS57" s="189"/>
      <c r="BT57" s="189"/>
      <c r="BU57" s="189"/>
      <c r="BV57" s="189"/>
      <c r="BW57" s="189"/>
      <c r="BX57" s="189"/>
      <c r="BY57" s="189"/>
      <c r="BZ57" s="189"/>
      <c r="CA57" s="189"/>
      <c r="CB57" s="189"/>
      <c r="CC57" s="189"/>
      <c r="CD57" s="189"/>
      <c r="CE57" s="189"/>
      <c r="CF57" s="189"/>
      <c r="CG57" s="189"/>
      <c r="CH57" s="189"/>
      <c r="CI57" s="189"/>
      <c r="CJ57" s="189"/>
      <c r="CK57" s="189"/>
      <c r="CL57" s="189"/>
      <c r="CM57" s="189"/>
      <c r="CN57" s="189"/>
      <c r="CO57" s="189"/>
      <c r="CP57" s="189"/>
      <c r="CQ57" s="189"/>
      <c r="CR57" s="189"/>
      <c r="CS57" s="189"/>
      <c r="CT57" s="189"/>
      <c r="CU57" s="189"/>
      <c r="CV57" s="189"/>
      <c r="CW57" s="189"/>
      <c r="CX57" s="189"/>
      <c r="CY57" s="189"/>
      <c r="CZ57" s="189"/>
      <c r="DA57" s="189"/>
      <c r="DB57" s="189"/>
      <c r="DC57" s="189"/>
      <c r="DD57" s="189"/>
      <c r="DE57" s="189"/>
      <c r="DF57" s="189"/>
      <c r="DG57" s="189"/>
      <c r="DH57" s="189"/>
      <c r="DI57" s="189"/>
      <c r="DJ57" s="189"/>
      <c r="DK57" s="189"/>
      <c r="DL57" s="189"/>
    </row>
    <row r="58" ht="20.25" customHeight="1">
      <c r="A58" s="44">
        <v>58.0</v>
      </c>
      <c r="B58" s="188" t="s">
        <v>114</v>
      </c>
      <c r="C58" s="188" t="s">
        <v>115</v>
      </c>
      <c r="D58" s="188" t="s">
        <v>346</v>
      </c>
      <c r="E58" s="189"/>
      <c r="F58" s="190" t="s">
        <v>347</v>
      </c>
      <c r="G58" s="58" t="s">
        <v>425</v>
      </c>
      <c r="H58" s="58" t="s">
        <v>349</v>
      </c>
      <c r="I58" s="191">
        <v>45637.0</v>
      </c>
      <c r="J58" s="170">
        <v>45692.0</v>
      </c>
      <c r="K58" s="192" t="s">
        <v>350</v>
      </c>
      <c r="L58" s="193"/>
      <c r="M58" s="58" t="s">
        <v>351</v>
      </c>
      <c r="N58" s="192" t="s">
        <v>352</v>
      </c>
      <c r="O58" s="193"/>
      <c r="P58" s="194" t="s">
        <v>353</v>
      </c>
      <c r="Q58" s="52" t="str">
        <f t="array" ref="Q58"> if(iserror(MATCH(V58, 'File Links'!C:C, 0)), "N/A", HYPERLINK(INDEX('File Links'!B:B, MATCH(P58, 'File Links'!C:C, 0))))</f>
        <v>https://drive.google.com/file/d/1OByNKNsjZqSFHFFyt-o1mPqDkVmgruBu/view?usp=drivesdk</v>
      </c>
      <c r="R58" s="58" t="s">
        <v>354</v>
      </c>
      <c r="S58" s="58" t="s">
        <v>355</v>
      </c>
      <c r="T58" s="193"/>
      <c r="U58" s="195"/>
      <c r="V58" s="66" t="str">
        <f> hyperlink(vlookup(lower(S58),'File Links'!E:F, 2, FALSE), SUBSTITUTE(lower(S58), "/", "--") &amp;  ".pdf")</f>
        <v>10.1111--fare.13030.pdf</v>
      </c>
      <c r="W58" s="196" t="s">
        <v>356</v>
      </c>
      <c r="X58" s="54" t="str">
        <f t="array" ref="X58"> if(iserror(MATCH(V58, 'File Links'!C:C, 0)), "N/A", HYPERLINK(INDEX('File Links'!B:B, MATCH(V58, 'File Links'!C:C, 0))))</f>
        <v>https://drive.google.com/file/d/1TGN_TAtoJI3jhMQTEG2wnN59FCyiXC2_/view?usp=drivesdk</v>
      </c>
      <c r="Y58" s="193"/>
      <c r="Z58" s="58" t="s">
        <v>226</v>
      </c>
      <c r="AA58" s="193"/>
      <c r="AB58" s="192" t="s">
        <v>357</v>
      </c>
      <c r="AC58" s="192" t="s">
        <v>426</v>
      </c>
      <c r="AD58" s="192" t="s">
        <v>415</v>
      </c>
      <c r="AE58" s="197">
        <v>1.0</v>
      </c>
      <c r="AF58" s="197">
        <v>1950.0</v>
      </c>
      <c r="AG58" s="193"/>
      <c r="AH58" s="194" t="s">
        <v>360</v>
      </c>
      <c r="AI58" s="58" t="s">
        <v>307</v>
      </c>
      <c r="AJ58" s="197">
        <v>0.05</v>
      </c>
      <c r="AK58" s="198" t="s">
        <v>335</v>
      </c>
      <c r="AL58" s="58" t="s">
        <v>186</v>
      </c>
      <c r="AM58" s="193"/>
      <c r="AN58" s="58" t="s">
        <v>138</v>
      </c>
      <c r="AO58" s="197">
        <v>1079.0</v>
      </c>
      <c r="AP58" s="193"/>
      <c r="AQ58" s="58" t="s">
        <v>361</v>
      </c>
      <c r="AR58" s="58" t="s">
        <v>424</v>
      </c>
      <c r="AS58" s="197">
        <v>0.05</v>
      </c>
      <c r="AT58" s="198" t="s">
        <v>335</v>
      </c>
      <c r="AU58" s="198" t="s">
        <v>186</v>
      </c>
      <c r="AV58" s="190"/>
      <c r="AW58" s="190" t="s">
        <v>138</v>
      </c>
      <c r="AX58" s="190" t="s">
        <v>151</v>
      </c>
      <c r="AY58" s="61" t="str">
        <f>IFERROR(__xludf.DUMMYFUNCTION("vlookup(BB58,importrange(""https://docs.google.com/spreadsheets/d/1d2vevQ_7D_v35q4wCQ4RpQ_IPoTwEMB9Yp6ymwlPqew/edit?gid=984458430#gid=984458430"", ""'replication success'!A:K""), 11, FAlSE)"),"mixed")</f>
        <v>mixed</v>
      </c>
      <c r="AZ58" s="61" t="str">
        <f>IFERROR(__xludf.DUMMYFUNCTION("vlookup(BB58,importrange(""https://docs.google.com/spreadsheets/d/1d2vevQ_7D_v35q4wCQ4RpQ_IPoTwEMB9Yp6ymwlPqew/edit?gid=984458430#gid=984458430"",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8" s="61" t="str">
        <f>IFERROR(__xludf.DUMMYFUNCTION("vlookup(BB58,importrange(""https://docs.google.com/spreadsheets/d/1d2vevQ_7D_v35q4wCQ4RpQ_IPoTwEMB9Yp6ymwlPqew/edit?gid=984458430#gid=984458430"", ""'replication success'!A:M""), 13, FAlSE)"),"abstract")</f>
        <v>abstract</v>
      </c>
      <c r="BB58" s="61" t="str">
        <f>IFERROR(__xludf.DUMMYFUNCTION("REGEXREPLACE(G58, ""_[a-z]{1,2}$"", """")"),"additional_studies11")</f>
        <v>additional_studies11</v>
      </c>
      <c r="BC58" s="193"/>
      <c r="BD58" s="199" t="s">
        <v>144</v>
      </c>
      <c r="BE58" s="189"/>
      <c r="BF58" s="189"/>
      <c r="BG58" s="189"/>
      <c r="BH58" s="189"/>
      <c r="BI58" s="189"/>
      <c r="BJ58" s="189"/>
      <c r="BK58" s="189"/>
      <c r="BL58" s="189"/>
      <c r="BM58" s="189"/>
      <c r="BN58" s="189"/>
      <c r="BO58" s="189"/>
      <c r="BP58" s="189"/>
      <c r="BQ58" s="189"/>
      <c r="BR58" s="189"/>
      <c r="BS58" s="189"/>
      <c r="BT58" s="189"/>
      <c r="BU58" s="189"/>
      <c r="BV58" s="189"/>
      <c r="BW58" s="189"/>
      <c r="BX58" s="189"/>
      <c r="BY58" s="189"/>
      <c r="BZ58" s="189"/>
      <c r="CA58" s="189"/>
      <c r="CB58" s="189"/>
      <c r="CC58" s="189"/>
      <c r="CD58" s="189"/>
      <c r="CE58" s="189"/>
      <c r="CF58" s="189"/>
      <c r="CG58" s="189"/>
      <c r="CH58" s="189"/>
      <c r="CI58" s="189"/>
      <c r="CJ58" s="189"/>
      <c r="CK58" s="189"/>
      <c r="CL58" s="189"/>
      <c r="CM58" s="189"/>
      <c r="CN58" s="189"/>
      <c r="CO58" s="189"/>
      <c r="CP58" s="189"/>
      <c r="CQ58" s="189"/>
      <c r="CR58" s="189"/>
      <c r="CS58" s="189"/>
      <c r="CT58" s="189"/>
      <c r="CU58" s="189"/>
      <c r="CV58" s="189"/>
      <c r="CW58" s="189"/>
      <c r="CX58" s="189"/>
      <c r="CY58" s="189"/>
      <c r="CZ58" s="189"/>
      <c r="DA58" s="189"/>
      <c r="DB58" s="189"/>
      <c r="DC58" s="189"/>
      <c r="DD58" s="189"/>
      <c r="DE58" s="189"/>
      <c r="DF58" s="189"/>
      <c r="DG58" s="189"/>
      <c r="DH58" s="189"/>
      <c r="DI58" s="189"/>
      <c r="DJ58" s="189"/>
      <c r="DK58" s="189"/>
      <c r="DL58" s="189"/>
    </row>
    <row r="59" ht="20.25" customHeight="1">
      <c r="A59" s="44">
        <v>59.0</v>
      </c>
      <c r="B59" s="188" t="s">
        <v>114</v>
      </c>
      <c r="C59" s="188" t="s">
        <v>115</v>
      </c>
      <c r="D59" s="188" t="s">
        <v>346</v>
      </c>
      <c r="E59" s="189"/>
      <c r="F59" s="190" t="s">
        <v>347</v>
      </c>
      <c r="G59" s="58" t="s">
        <v>427</v>
      </c>
      <c r="H59" s="58" t="s">
        <v>349</v>
      </c>
      <c r="I59" s="191">
        <v>45637.0</v>
      </c>
      <c r="J59" s="170">
        <v>45692.0</v>
      </c>
      <c r="K59" s="192" t="s">
        <v>350</v>
      </c>
      <c r="L59" s="193"/>
      <c r="M59" s="58" t="s">
        <v>351</v>
      </c>
      <c r="N59" s="192" t="s">
        <v>352</v>
      </c>
      <c r="O59" s="193"/>
      <c r="P59" s="194" t="s">
        <v>353</v>
      </c>
      <c r="Q59" s="52" t="str">
        <f t="array" ref="Q59"> if(iserror(MATCH(V59, 'File Links'!C:C, 0)), "N/A", HYPERLINK(INDEX('File Links'!B:B, MATCH(P59, 'File Links'!C:C, 0))))</f>
        <v>https://drive.google.com/file/d/1OByNKNsjZqSFHFFyt-o1mPqDkVmgruBu/view?usp=drivesdk</v>
      </c>
      <c r="R59" s="58" t="s">
        <v>354</v>
      </c>
      <c r="S59" s="58" t="s">
        <v>355</v>
      </c>
      <c r="T59" s="193"/>
      <c r="U59" s="195"/>
      <c r="V59" s="66" t="str">
        <f> hyperlink(vlookup(lower(S59),'File Links'!E:F, 2, FALSE), SUBSTITUTE(lower(S59), "/", "--") &amp;  ".pdf")</f>
        <v>10.1111--fare.13030.pdf</v>
      </c>
      <c r="W59" s="196" t="s">
        <v>356</v>
      </c>
      <c r="X59" s="54" t="str">
        <f t="array" ref="X59"> if(iserror(MATCH(V59, 'File Links'!C:C, 0)), "N/A", HYPERLINK(INDEX('File Links'!B:B, MATCH(V59, 'File Links'!C:C, 0))))</f>
        <v>https://drive.google.com/file/d/1TGN_TAtoJI3jhMQTEG2wnN59FCyiXC2_/view?usp=drivesdk</v>
      </c>
      <c r="Y59" s="193"/>
      <c r="Z59" s="58" t="s">
        <v>226</v>
      </c>
      <c r="AA59" s="193"/>
      <c r="AB59" s="192" t="s">
        <v>357</v>
      </c>
      <c r="AC59" s="192" t="s">
        <v>428</v>
      </c>
      <c r="AD59" s="192" t="s">
        <v>415</v>
      </c>
      <c r="AE59" s="197">
        <v>1.0</v>
      </c>
      <c r="AF59" s="197">
        <v>1950.0</v>
      </c>
      <c r="AG59" s="193"/>
      <c r="AH59" s="194" t="s">
        <v>360</v>
      </c>
      <c r="AI59" s="58" t="s">
        <v>307</v>
      </c>
      <c r="AJ59" s="197">
        <v>0.05</v>
      </c>
      <c r="AK59" s="198" t="s">
        <v>335</v>
      </c>
      <c r="AL59" s="58" t="s">
        <v>186</v>
      </c>
      <c r="AM59" s="193"/>
      <c r="AN59" s="58" t="s">
        <v>138</v>
      </c>
      <c r="AO59" s="197">
        <v>1079.0</v>
      </c>
      <c r="AP59" s="193"/>
      <c r="AQ59" s="58" t="s">
        <v>361</v>
      </c>
      <c r="AR59" s="58" t="s">
        <v>424</v>
      </c>
      <c r="AS59" s="197">
        <v>0.05</v>
      </c>
      <c r="AT59" s="198" t="s">
        <v>335</v>
      </c>
      <c r="AU59" s="198" t="s">
        <v>186</v>
      </c>
      <c r="AV59" s="190"/>
      <c r="AW59" s="190" t="s">
        <v>138</v>
      </c>
      <c r="AX59" s="190" t="s">
        <v>151</v>
      </c>
      <c r="AY59" s="61" t="str">
        <f>IFERROR(__xludf.DUMMYFUNCTION("vlookup(BB59,importrange(""https://docs.google.com/spreadsheets/d/1d2vevQ_7D_v35q4wCQ4RpQ_IPoTwEMB9Yp6ymwlPqew/edit?gid=984458430#gid=984458430"", ""'replication success'!A:K""), 11, FAlSE)"),"mixed")</f>
        <v>mixed</v>
      </c>
      <c r="AZ59" s="61" t="str">
        <f>IFERROR(__xludf.DUMMYFUNCTION("vlookup(BB59,importrange(""https://docs.google.com/spreadsheets/d/1d2vevQ_7D_v35q4wCQ4RpQ_IPoTwEMB9Yp6ymwlPqew/edit?gid=984458430#gid=984458430"",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59" s="61" t="str">
        <f>IFERROR(__xludf.DUMMYFUNCTION("vlookup(BB59,importrange(""https://docs.google.com/spreadsheets/d/1d2vevQ_7D_v35q4wCQ4RpQ_IPoTwEMB9Yp6ymwlPqew/edit?gid=984458430#gid=984458430"", ""'replication success'!A:M""), 13, FAlSE)"),"abstract")</f>
        <v>abstract</v>
      </c>
      <c r="BB59" s="61" t="str">
        <f>IFERROR(__xludf.DUMMYFUNCTION("REGEXREPLACE(G59, ""_[a-z]{1,2}$"", """")"),"additional_studies11")</f>
        <v>additional_studies11</v>
      </c>
      <c r="BC59" s="193"/>
      <c r="BD59" s="199" t="s">
        <v>144</v>
      </c>
      <c r="BE59" s="189"/>
      <c r="BF59" s="189"/>
      <c r="BG59" s="189"/>
      <c r="BH59" s="189"/>
      <c r="BI59" s="189"/>
      <c r="BJ59" s="189"/>
      <c r="BK59" s="189"/>
      <c r="BL59" s="189"/>
      <c r="BM59" s="189"/>
      <c r="BN59" s="189"/>
      <c r="BO59" s="189"/>
      <c r="BP59" s="189"/>
      <c r="BQ59" s="189"/>
      <c r="BR59" s="189"/>
      <c r="BS59" s="189"/>
      <c r="BT59" s="189"/>
      <c r="BU59" s="189"/>
      <c r="BV59" s="189"/>
      <c r="BW59" s="189"/>
      <c r="BX59" s="189"/>
      <c r="BY59" s="189"/>
      <c r="BZ59" s="189"/>
      <c r="CA59" s="189"/>
      <c r="CB59" s="189"/>
      <c r="CC59" s="189"/>
      <c r="CD59" s="189"/>
      <c r="CE59" s="189"/>
      <c r="CF59" s="189"/>
      <c r="CG59" s="189"/>
      <c r="CH59" s="189"/>
      <c r="CI59" s="189"/>
      <c r="CJ59" s="189"/>
      <c r="CK59" s="189"/>
      <c r="CL59" s="189"/>
      <c r="CM59" s="189"/>
      <c r="CN59" s="189"/>
      <c r="CO59" s="189"/>
      <c r="CP59" s="189"/>
      <c r="CQ59" s="189"/>
      <c r="CR59" s="189"/>
      <c r="CS59" s="189"/>
      <c r="CT59" s="189"/>
      <c r="CU59" s="189"/>
      <c r="CV59" s="189"/>
      <c r="CW59" s="189"/>
      <c r="CX59" s="189"/>
      <c r="CY59" s="189"/>
      <c r="CZ59" s="189"/>
      <c r="DA59" s="189"/>
      <c r="DB59" s="189"/>
      <c r="DC59" s="189"/>
      <c r="DD59" s="189"/>
      <c r="DE59" s="189"/>
      <c r="DF59" s="189"/>
      <c r="DG59" s="189"/>
      <c r="DH59" s="189"/>
      <c r="DI59" s="189"/>
      <c r="DJ59" s="189"/>
      <c r="DK59" s="189"/>
      <c r="DL59" s="189"/>
    </row>
    <row r="60" ht="20.25" customHeight="1">
      <c r="A60" s="44">
        <v>60.0</v>
      </c>
      <c r="B60" s="188" t="s">
        <v>114</v>
      </c>
      <c r="C60" s="188" t="s">
        <v>115</v>
      </c>
      <c r="D60" s="188" t="s">
        <v>346</v>
      </c>
      <c r="E60" s="189"/>
      <c r="F60" s="190" t="s">
        <v>347</v>
      </c>
      <c r="G60" s="58" t="s">
        <v>429</v>
      </c>
      <c r="H60" s="58" t="s">
        <v>349</v>
      </c>
      <c r="I60" s="191">
        <v>45637.0</v>
      </c>
      <c r="J60" s="170">
        <v>45692.0</v>
      </c>
      <c r="K60" s="192" t="s">
        <v>350</v>
      </c>
      <c r="L60" s="193"/>
      <c r="M60" s="58" t="s">
        <v>351</v>
      </c>
      <c r="N60" s="192" t="s">
        <v>352</v>
      </c>
      <c r="O60" s="193"/>
      <c r="P60" s="194" t="s">
        <v>353</v>
      </c>
      <c r="Q60" s="52" t="str">
        <f t="array" ref="Q60"> if(iserror(MATCH(V60, 'File Links'!C:C, 0)), "N/A", HYPERLINK(INDEX('File Links'!B:B, MATCH(P60, 'File Links'!C:C, 0))))</f>
        <v>https://drive.google.com/file/d/1OByNKNsjZqSFHFFyt-o1mPqDkVmgruBu/view?usp=drivesdk</v>
      </c>
      <c r="R60" s="58" t="s">
        <v>354</v>
      </c>
      <c r="S60" s="58" t="s">
        <v>355</v>
      </c>
      <c r="T60" s="193"/>
      <c r="U60" s="195"/>
      <c r="V60" s="66" t="str">
        <f> hyperlink(vlookup(lower(S60),'File Links'!E:F, 2, FALSE), SUBSTITUTE(lower(S60), "/", "--") &amp;  ".pdf")</f>
        <v>10.1111--fare.13030.pdf</v>
      </c>
      <c r="W60" s="196" t="s">
        <v>356</v>
      </c>
      <c r="X60" s="54" t="str">
        <f t="array" ref="X60"> if(iserror(MATCH(V60, 'File Links'!C:C, 0)), "N/A", HYPERLINK(INDEX('File Links'!B:B, MATCH(V60, 'File Links'!C:C, 0))))</f>
        <v>https://drive.google.com/file/d/1TGN_TAtoJI3jhMQTEG2wnN59FCyiXC2_/view?usp=drivesdk</v>
      </c>
      <c r="Y60" s="193"/>
      <c r="Z60" s="58" t="s">
        <v>226</v>
      </c>
      <c r="AA60" s="193"/>
      <c r="AB60" s="192" t="s">
        <v>357</v>
      </c>
      <c r="AC60" s="192" t="s">
        <v>430</v>
      </c>
      <c r="AD60" s="192" t="s">
        <v>415</v>
      </c>
      <c r="AE60" s="197">
        <v>1.0</v>
      </c>
      <c r="AF60" s="197">
        <v>1950.0</v>
      </c>
      <c r="AG60" s="193"/>
      <c r="AH60" s="194" t="s">
        <v>360</v>
      </c>
      <c r="AI60" s="58" t="s">
        <v>307</v>
      </c>
      <c r="AJ60" s="197">
        <v>0.05</v>
      </c>
      <c r="AK60" s="198" t="s">
        <v>335</v>
      </c>
      <c r="AL60" s="58" t="s">
        <v>186</v>
      </c>
      <c r="AM60" s="193"/>
      <c r="AN60" s="58" t="s">
        <v>138</v>
      </c>
      <c r="AO60" s="197">
        <v>1079.0</v>
      </c>
      <c r="AP60" s="193"/>
      <c r="AQ60" s="58" t="s">
        <v>361</v>
      </c>
      <c r="AR60" s="58" t="s">
        <v>424</v>
      </c>
      <c r="AS60" s="197">
        <v>0.05</v>
      </c>
      <c r="AT60" s="198" t="s">
        <v>335</v>
      </c>
      <c r="AU60" s="198" t="s">
        <v>186</v>
      </c>
      <c r="AV60" s="190"/>
      <c r="AW60" s="190" t="s">
        <v>138</v>
      </c>
      <c r="AX60" s="190" t="s">
        <v>151</v>
      </c>
      <c r="AY60" s="61" t="str">
        <f>IFERROR(__xludf.DUMMYFUNCTION("vlookup(BB60,importrange(""https://docs.google.com/spreadsheets/d/1d2vevQ_7D_v35q4wCQ4RpQ_IPoTwEMB9Yp6ymwlPqew/edit?gid=984458430#gid=984458430"", ""'replication success'!A:K""), 11, FAlSE)"),"mixed")</f>
        <v>mixed</v>
      </c>
      <c r="AZ60" s="61" t="str">
        <f>IFERROR(__xludf.DUMMYFUNCTION("vlookup(BB60,importrange(""https://docs.google.com/spreadsheets/d/1d2vevQ_7D_v35q4wCQ4RpQ_IPoTwEMB9Yp6ymwlPqew/edit?gid=984458430#gid=984458430"",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60" s="61" t="str">
        <f>IFERROR(__xludf.DUMMYFUNCTION("vlookup(BB60,importrange(""https://docs.google.com/spreadsheets/d/1d2vevQ_7D_v35q4wCQ4RpQ_IPoTwEMB9Yp6ymwlPqew/edit?gid=984458430#gid=984458430"", ""'replication success'!A:M""), 13, FAlSE)"),"abstract")</f>
        <v>abstract</v>
      </c>
      <c r="BB60" s="61" t="str">
        <f>IFERROR(__xludf.DUMMYFUNCTION("REGEXREPLACE(G60, ""_[a-z]{1,2}$"", """")"),"additional_studies11")</f>
        <v>additional_studies11</v>
      </c>
      <c r="BC60" s="193"/>
      <c r="BD60" s="199" t="s">
        <v>144</v>
      </c>
      <c r="BE60" s="189"/>
      <c r="BF60" s="189"/>
      <c r="BG60" s="189"/>
      <c r="BH60" s="189"/>
      <c r="BI60" s="189"/>
      <c r="BJ60" s="189"/>
      <c r="BK60" s="189"/>
      <c r="BL60" s="189"/>
      <c r="BM60" s="189"/>
      <c r="BN60" s="189"/>
      <c r="BO60" s="189"/>
      <c r="BP60" s="189"/>
      <c r="BQ60" s="189"/>
      <c r="BR60" s="189"/>
      <c r="BS60" s="189"/>
      <c r="BT60" s="189"/>
      <c r="BU60" s="189"/>
      <c r="BV60" s="189"/>
      <c r="BW60" s="189"/>
      <c r="BX60" s="189"/>
      <c r="BY60" s="189"/>
      <c r="BZ60" s="189"/>
      <c r="CA60" s="189"/>
      <c r="CB60" s="189"/>
      <c r="CC60" s="189"/>
      <c r="CD60" s="189"/>
      <c r="CE60" s="189"/>
      <c r="CF60" s="189"/>
      <c r="CG60" s="189"/>
      <c r="CH60" s="189"/>
      <c r="CI60" s="189"/>
      <c r="CJ60" s="189"/>
      <c r="CK60" s="189"/>
      <c r="CL60" s="189"/>
      <c r="CM60" s="189"/>
      <c r="CN60" s="189"/>
      <c r="CO60" s="189"/>
      <c r="CP60" s="189"/>
      <c r="CQ60" s="189"/>
      <c r="CR60" s="189"/>
      <c r="CS60" s="189"/>
      <c r="CT60" s="189"/>
      <c r="CU60" s="189"/>
      <c r="CV60" s="189"/>
      <c r="CW60" s="189"/>
      <c r="CX60" s="189"/>
      <c r="CY60" s="189"/>
      <c r="CZ60" s="189"/>
      <c r="DA60" s="189"/>
      <c r="DB60" s="189"/>
      <c r="DC60" s="189"/>
      <c r="DD60" s="189"/>
      <c r="DE60" s="189"/>
      <c r="DF60" s="189"/>
      <c r="DG60" s="189"/>
      <c r="DH60" s="189"/>
      <c r="DI60" s="189"/>
      <c r="DJ60" s="189"/>
      <c r="DK60" s="189"/>
      <c r="DL60" s="189"/>
    </row>
    <row r="61" ht="20.25" customHeight="1">
      <c r="A61" s="44">
        <v>61.0</v>
      </c>
      <c r="B61" s="199" t="s">
        <v>152</v>
      </c>
      <c r="C61" s="199" t="s">
        <v>115</v>
      </c>
      <c r="D61" s="199" t="s">
        <v>221</v>
      </c>
      <c r="E61" s="200"/>
      <c r="F61" s="201" t="s">
        <v>347</v>
      </c>
      <c r="G61" s="202" t="s">
        <v>431</v>
      </c>
      <c r="H61" s="201" t="s">
        <v>221</v>
      </c>
      <c r="I61" s="203">
        <v>45686.0</v>
      </c>
      <c r="J61" s="170">
        <v>45692.0</v>
      </c>
      <c r="K61" s="204"/>
      <c r="L61" s="205" t="s">
        <v>432</v>
      </c>
      <c r="M61" s="201" t="s">
        <v>351</v>
      </c>
      <c r="N61" s="201" t="s">
        <v>352</v>
      </c>
      <c r="O61" s="204"/>
      <c r="P61" s="201" t="s">
        <v>353</v>
      </c>
      <c r="Q61" s="52" t="str">
        <f t="array" ref="Q61"> if(iserror(MATCH(V61, 'File Links'!C:C, 0)), "N/A", HYPERLINK(INDEX('File Links'!B:B, MATCH(P61, 'File Links'!C:C, 0))))</f>
        <v>https://drive.google.com/file/d/1OByNKNsjZqSFHFFyt-o1mPqDkVmgruBu/view?usp=drivesdk</v>
      </c>
      <c r="R61" s="201" t="s">
        <v>354</v>
      </c>
      <c r="S61" s="58" t="s">
        <v>355</v>
      </c>
      <c r="T61" s="204"/>
      <c r="U61" s="204"/>
      <c r="V61" s="66" t="str">
        <f> hyperlink(vlookup(lower(S61),'File Links'!E:F, 2, FALSE), SUBSTITUTE(lower(S61), "/", "--") &amp;  ".pdf")</f>
        <v>10.1111--fare.13030.pdf</v>
      </c>
      <c r="W61" s="196" t="s">
        <v>356</v>
      </c>
      <c r="X61" s="54" t="str">
        <f t="array" ref="X61"> if(iserror(MATCH(V61, 'File Links'!C:C, 0)), "N/A", HYPERLINK(INDEX('File Links'!B:B, MATCH(V61, 'File Links'!C:C, 0))))</f>
        <v>https://drive.google.com/file/d/1TGN_TAtoJI3jhMQTEG2wnN59FCyiXC2_/view?usp=drivesdk</v>
      </c>
      <c r="Y61" s="204"/>
      <c r="Z61" s="201" t="s">
        <v>226</v>
      </c>
      <c r="AA61" s="201" t="s">
        <v>433</v>
      </c>
      <c r="AB61" s="192" t="s">
        <v>357</v>
      </c>
      <c r="AC61" s="204" t="s">
        <v>434</v>
      </c>
      <c r="AD61" s="206" t="s">
        <v>435</v>
      </c>
      <c r="AE61" s="207">
        <v>13.0</v>
      </c>
      <c r="AF61" s="208">
        <v>1950.0</v>
      </c>
      <c r="AG61" s="207">
        <v>0.23</v>
      </c>
      <c r="AH61" s="201" t="s">
        <v>361</v>
      </c>
      <c r="AI61" s="206" t="s">
        <v>436</v>
      </c>
      <c r="AJ61" s="209">
        <v>0.001</v>
      </c>
      <c r="AK61" s="202" t="s">
        <v>135</v>
      </c>
      <c r="AL61" s="58" t="s">
        <v>186</v>
      </c>
      <c r="AM61" s="201" t="s">
        <v>137</v>
      </c>
      <c r="AN61" s="202" t="s">
        <v>138</v>
      </c>
      <c r="AO61" s="208">
        <v>1079.0</v>
      </c>
      <c r="AP61" s="206">
        <v>0.16</v>
      </c>
      <c r="AQ61" s="201" t="s">
        <v>361</v>
      </c>
      <c r="AR61" s="206" t="s">
        <v>437</v>
      </c>
      <c r="AS61" s="208">
        <v>0.001</v>
      </c>
      <c r="AT61" s="201" t="s">
        <v>135</v>
      </c>
      <c r="AU61" s="198" t="s">
        <v>186</v>
      </c>
      <c r="AV61" s="201" t="s">
        <v>141</v>
      </c>
      <c r="AW61" s="201" t="s">
        <v>138</v>
      </c>
      <c r="AX61" s="201" t="s">
        <v>438</v>
      </c>
      <c r="AY61" s="61" t="str">
        <f>IFERROR(__xludf.DUMMYFUNCTION("vlookup(BB61,importrange(""https://docs.google.com/spreadsheets/d/1d2vevQ_7D_v35q4wCQ4RpQ_IPoTwEMB9Yp6ymwlPqew/edit?gid=984458430#gid=984458430"", ""'replication success'!A:K""), 11, FAlSE)"),"mixed")</f>
        <v>mixed</v>
      </c>
      <c r="AZ61" s="61" t="str">
        <f>IFERROR(__xludf.DUMMYFUNCTION("vlookup(BB61,importrange(""https://docs.google.com/spreadsheets/d/1d2vevQ_7D_v35q4wCQ4RpQ_IPoTwEMB9Yp6ymwlPqew/edit?gid=984458430#gid=984458430"",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61" s="61" t="str">
        <f>IFERROR(__xludf.DUMMYFUNCTION("vlookup(BB61,importrange(""https://docs.google.com/spreadsheets/d/1d2vevQ_7D_v35q4wCQ4RpQ_IPoTwEMB9Yp6ymwlPqew/edit?gid=984458430#gid=984458430"", ""'replication success'!A:M""), 13, FAlSE)"),"abstract")</f>
        <v>abstract</v>
      </c>
      <c r="BB61" s="61" t="str">
        <f>IFERROR(__xludf.DUMMYFUNCTION("REGEXREPLACE(G61, ""_[a-z]{1,2}$"", """")"),"additional_studies11")</f>
        <v>additional_studies11</v>
      </c>
      <c r="BC61" s="200"/>
      <c r="BD61" s="199" t="s">
        <v>144</v>
      </c>
      <c r="BE61" s="200"/>
      <c r="BF61" s="200"/>
      <c r="BG61" s="200"/>
      <c r="BH61" s="200"/>
      <c r="BI61" s="200"/>
      <c r="BJ61" s="200"/>
      <c r="BK61" s="200"/>
      <c r="BL61" s="200"/>
      <c r="BM61" s="200"/>
      <c r="BN61" s="200"/>
      <c r="BO61" s="200"/>
      <c r="BP61" s="200"/>
      <c r="BQ61" s="200"/>
      <c r="BR61" s="200"/>
      <c r="BS61" s="200"/>
      <c r="BT61" s="200"/>
      <c r="BU61" s="200"/>
      <c r="BV61" s="200"/>
      <c r="BW61" s="200"/>
      <c r="BX61" s="200"/>
      <c r="BY61" s="200"/>
      <c r="BZ61" s="200"/>
      <c r="CA61" s="200"/>
      <c r="CB61" s="200"/>
      <c r="CC61" s="200"/>
      <c r="CD61" s="200"/>
      <c r="CE61" s="200"/>
      <c r="CF61" s="200"/>
      <c r="CG61" s="200"/>
      <c r="CH61" s="200"/>
      <c r="CI61" s="200"/>
      <c r="CJ61" s="200"/>
      <c r="CK61" s="200"/>
      <c r="CL61" s="200"/>
      <c r="CM61" s="200"/>
      <c r="CN61" s="200"/>
      <c r="CO61" s="200"/>
      <c r="CP61" s="200"/>
      <c r="CQ61" s="200"/>
      <c r="CR61" s="200"/>
      <c r="CS61" s="200"/>
      <c r="CT61" s="200"/>
      <c r="CU61" s="200"/>
      <c r="CV61" s="200"/>
      <c r="CW61" s="200"/>
      <c r="CX61" s="200"/>
      <c r="CY61" s="200"/>
      <c r="CZ61" s="200"/>
      <c r="DA61" s="200"/>
      <c r="DB61" s="200"/>
      <c r="DC61" s="200"/>
      <c r="DD61" s="200"/>
      <c r="DE61" s="200"/>
      <c r="DF61" s="200"/>
      <c r="DG61" s="200"/>
      <c r="DH61" s="200"/>
      <c r="DI61" s="200"/>
      <c r="DJ61" s="200"/>
      <c r="DK61" s="200"/>
      <c r="DL61" s="200"/>
    </row>
    <row r="62" ht="20.25" customHeight="1">
      <c r="A62" s="44">
        <v>62.0</v>
      </c>
      <c r="B62" s="199" t="s">
        <v>152</v>
      </c>
      <c r="C62" s="199" t="s">
        <v>115</v>
      </c>
      <c r="D62" s="199" t="s">
        <v>221</v>
      </c>
      <c r="E62" s="200"/>
      <c r="F62" s="201" t="s">
        <v>347</v>
      </c>
      <c r="G62" s="202" t="s">
        <v>431</v>
      </c>
      <c r="H62" s="201" t="s">
        <v>221</v>
      </c>
      <c r="I62" s="203">
        <v>45686.0</v>
      </c>
      <c r="J62" s="170">
        <v>45692.0</v>
      </c>
      <c r="K62" s="204"/>
      <c r="L62" s="205" t="s">
        <v>432</v>
      </c>
      <c r="M62" s="201" t="s">
        <v>351</v>
      </c>
      <c r="N62" s="201" t="s">
        <v>352</v>
      </c>
      <c r="O62" s="204"/>
      <c r="P62" s="201" t="s">
        <v>353</v>
      </c>
      <c r="Q62" s="52" t="str">
        <f t="array" ref="Q62"> if(iserror(MATCH(V62, 'File Links'!C:C, 0)), "N/A", HYPERLINK(INDEX('File Links'!B:B, MATCH(P62, 'File Links'!C:C, 0))))</f>
        <v>https://drive.google.com/file/d/1OByNKNsjZqSFHFFyt-o1mPqDkVmgruBu/view?usp=drivesdk</v>
      </c>
      <c r="R62" s="201" t="s">
        <v>354</v>
      </c>
      <c r="S62" s="58" t="s">
        <v>355</v>
      </c>
      <c r="T62" s="204"/>
      <c r="U62" s="204"/>
      <c r="V62" s="66" t="str">
        <f> hyperlink(vlookup(lower(S62),'File Links'!E:F, 2, FALSE), SUBSTITUTE(lower(S62), "/", "--") &amp;  ".pdf")</f>
        <v>10.1111--fare.13030.pdf</v>
      </c>
      <c r="W62" s="196" t="s">
        <v>356</v>
      </c>
      <c r="X62" s="54" t="str">
        <f t="array" ref="X62"> if(iserror(MATCH(V62, 'File Links'!C:C, 0)), "N/A", HYPERLINK(INDEX('File Links'!B:B, MATCH(V62, 'File Links'!C:C, 0))))</f>
        <v>https://drive.google.com/file/d/1TGN_TAtoJI3jhMQTEG2wnN59FCyiXC2_/view?usp=drivesdk</v>
      </c>
      <c r="Y62" s="204"/>
      <c r="Z62" s="201" t="s">
        <v>226</v>
      </c>
      <c r="AA62" s="201" t="s">
        <v>433</v>
      </c>
      <c r="AB62" s="192" t="s">
        <v>357</v>
      </c>
      <c r="AC62" s="204" t="s">
        <v>434</v>
      </c>
      <c r="AD62" s="206" t="s">
        <v>435</v>
      </c>
      <c r="AE62" s="207">
        <v>13.0</v>
      </c>
      <c r="AF62" s="208">
        <v>1950.0</v>
      </c>
      <c r="AG62" s="207">
        <v>0.23</v>
      </c>
      <c r="AH62" s="201" t="s">
        <v>361</v>
      </c>
      <c r="AI62" s="206" t="s">
        <v>436</v>
      </c>
      <c r="AJ62" s="209">
        <v>0.001</v>
      </c>
      <c r="AK62" s="202" t="s">
        <v>135</v>
      </c>
      <c r="AL62" s="58" t="s">
        <v>186</v>
      </c>
      <c r="AM62" s="201" t="s">
        <v>137</v>
      </c>
      <c r="AN62" s="202" t="s">
        <v>138</v>
      </c>
      <c r="AO62" s="208">
        <v>1079.0</v>
      </c>
      <c r="AP62" s="206">
        <v>0.1</v>
      </c>
      <c r="AQ62" s="201" t="s">
        <v>361</v>
      </c>
      <c r="AR62" s="206" t="s">
        <v>439</v>
      </c>
      <c r="AS62" s="207">
        <v>0.05</v>
      </c>
      <c r="AT62" s="201" t="s">
        <v>135</v>
      </c>
      <c r="AU62" s="198" t="s">
        <v>186</v>
      </c>
      <c r="AV62" s="201" t="s">
        <v>141</v>
      </c>
      <c r="AW62" s="201" t="s">
        <v>138</v>
      </c>
      <c r="AX62" s="201" t="s">
        <v>438</v>
      </c>
      <c r="AY62" s="61" t="str">
        <f>IFERROR(__xludf.DUMMYFUNCTION("vlookup(BB62,importrange(""https://docs.google.com/spreadsheets/d/1d2vevQ_7D_v35q4wCQ4RpQ_IPoTwEMB9Yp6ymwlPqew/edit?gid=984458430#gid=984458430"", ""'replication success'!A:K""), 11, FAlSE)"),"mixed")</f>
        <v>mixed</v>
      </c>
      <c r="AZ62" s="61" t="str">
        <f>IFERROR(__xludf.DUMMYFUNCTION("vlookup(BB62,importrange(""https://docs.google.com/spreadsheets/d/1d2vevQ_7D_v35q4wCQ4RpQ_IPoTwEMB9Yp6ymwlPqew/edit?gid=984458430#gid=984458430"",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62" s="61" t="str">
        <f>IFERROR(__xludf.DUMMYFUNCTION("vlookup(BB62,importrange(""https://docs.google.com/spreadsheets/d/1d2vevQ_7D_v35q4wCQ4RpQ_IPoTwEMB9Yp6ymwlPqew/edit?gid=984458430#gid=984458430"", ""'replication success'!A:M""), 13, FAlSE)"),"abstract")</f>
        <v>abstract</v>
      </c>
      <c r="BB62" s="61" t="str">
        <f>IFERROR(__xludf.DUMMYFUNCTION("REGEXREPLACE(G62, ""_[a-z]{1,2}$"", """")"),"additional_studies11")</f>
        <v>additional_studies11</v>
      </c>
      <c r="BC62" s="200"/>
      <c r="BD62" s="199" t="s">
        <v>144</v>
      </c>
      <c r="BE62" s="200"/>
      <c r="BF62" s="200"/>
      <c r="BG62" s="200"/>
      <c r="BH62" s="200"/>
      <c r="BI62" s="200"/>
      <c r="BJ62" s="200"/>
      <c r="BK62" s="200"/>
      <c r="BL62" s="200"/>
      <c r="BM62" s="200"/>
      <c r="BN62" s="200"/>
      <c r="BO62" s="200"/>
      <c r="BP62" s="200"/>
      <c r="BQ62" s="200"/>
      <c r="BR62" s="200"/>
      <c r="BS62" s="200"/>
      <c r="BT62" s="200"/>
      <c r="BU62" s="200"/>
      <c r="BV62" s="200"/>
      <c r="BW62" s="200"/>
      <c r="BX62" s="200"/>
      <c r="BY62" s="200"/>
      <c r="BZ62" s="200"/>
      <c r="CA62" s="200"/>
      <c r="CB62" s="200"/>
      <c r="CC62" s="200"/>
      <c r="CD62" s="200"/>
      <c r="CE62" s="200"/>
      <c r="CF62" s="200"/>
      <c r="CG62" s="200"/>
      <c r="CH62" s="200"/>
      <c r="CI62" s="200"/>
      <c r="CJ62" s="200"/>
      <c r="CK62" s="200"/>
      <c r="CL62" s="200"/>
      <c r="CM62" s="200"/>
      <c r="CN62" s="200"/>
      <c r="CO62" s="200"/>
      <c r="CP62" s="200"/>
      <c r="CQ62" s="200"/>
      <c r="CR62" s="200"/>
      <c r="CS62" s="200"/>
      <c r="CT62" s="200"/>
      <c r="CU62" s="200"/>
      <c r="CV62" s="200"/>
      <c r="CW62" s="200"/>
      <c r="CX62" s="200"/>
      <c r="CY62" s="200"/>
      <c r="CZ62" s="200"/>
      <c r="DA62" s="200"/>
      <c r="DB62" s="200"/>
      <c r="DC62" s="200"/>
      <c r="DD62" s="200"/>
      <c r="DE62" s="200"/>
      <c r="DF62" s="200"/>
      <c r="DG62" s="200"/>
      <c r="DH62" s="200"/>
      <c r="DI62" s="200"/>
      <c r="DJ62" s="200"/>
      <c r="DK62" s="200"/>
      <c r="DL62" s="200"/>
    </row>
    <row r="63" ht="20.25" customHeight="1">
      <c r="A63" s="44">
        <v>63.0</v>
      </c>
      <c r="B63" s="199" t="s">
        <v>152</v>
      </c>
      <c r="C63" s="199" t="s">
        <v>115</v>
      </c>
      <c r="D63" s="199" t="s">
        <v>221</v>
      </c>
      <c r="E63" s="200"/>
      <c r="F63" s="201" t="s">
        <v>347</v>
      </c>
      <c r="G63" s="202" t="s">
        <v>363</v>
      </c>
      <c r="H63" s="201" t="s">
        <v>221</v>
      </c>
      <c r="I63" s="203">
        <v>45686.0</v>
      </c>
      <c r="J63" s="170">
        <v>45692.0</v>
      </c>
      <c r="K63" s="204"/>
      <c r="L63" s="205" t="s">
        <v>432</v>
      </c>
      <c r="M63" s="201" t="s">
        <v>351</v>
      </c>
      <c r="N63" s="201" t="s">
        <v>352</v>
      </c>
      <c r="O63" s="204"/>
      <c r="P63" s="201" t="s">
        <v>353</v>
      </c>
      <c r="Q63" s="52" t="str">
        <f t="array" ref="Q63"> if(iserror(MATCH(V63, 'File Links'!C:C, 0)), "N/A", HYPERLINK(INDEX('File Links'!B:B, MATCH(P63, 'File Links'!C:C, 0))))</f>
        <v>https://drive.google.com/file/d/1OByNKNsjZqSFHFFyt-o1mPqDkVmgruBu/view?usp=drivesdk</v>
      </c>
      <c r="R63" s="201" t="s">
        <v>354</v>
      </c>
      <c r="S63" s="58" t="s">
        <v>355</v>
      </c>
      <c r="T63" s="204"/>
      <c r="U63" s="204"/>
      <c r="V63" s="66" t="str">
        <f> hyperlink(vlookup(lower(S63),'File Links'!E:F, 2, FALSE), SUBSTITUTE(lower(S63), "/", "--") &amp;  ".pdf")</f>
        <v>10.1111--fare.13030.pdf</v>
      </c>
      <c r="W63" s="196" t="s">
        <v>356</v>
      </c>
      <c r="X63" s="54" t="str">
        <f t="array" ref="X63"> if(iserror(MATCH(V63, 'File Links'!C:C, 0)), "N/A", HYPERLINK(INDEX('File Links'!B:B, MATCH(V63, 'File Links'!C:C, 0))))</f>
        <v>https://drive.google.com/file/d/1TGN_TAtoJI3jhMQTEG2wnN59FCyiXC2_/view?usp=drivesdk</v>
      </c>
      <c r="Y63" s="204"/>
      <c r="Z63" s="201" t="s">
        <v>226</v>
      </c>
      <c r="AA63" s="201" t="s">
        <v>433</v>
      </c>
      <c r="AB63" s="192" t="s">
        <v>357</v>
      </c>
      <c r="AC63" s="201" t="s">
        <v>440</v>
      </c>
      <c r="AD63" s="206" t="s">
        <v>441</v>
      </c>
      <c r="AE63" s="207">
        <v>13.0</v>
      </c>
      <c r="AF63" s="208">
        <v>1950.0</v>
      </c>
      <c r="AG63" s="207">
        <v>0.07</v>
      </c>
      <c r="AH63" s="201" t="s">
        <v>361</v>
      </c>
      <c r="AI63" s="206" t="s">
        <v>436</v>
      </c>
      <c r="AJ63" s="207">
        <v>0.05</v>
      </c>
      <c r="AK63" s="202" t="s">
        <v>135</v>
      </c>
      <c r="AL63" s="58" t="s">
        <v>186</v>
      </c>
      <c r="AM63" s="201" t="s">
        <v>137</v>
      </c>
      <c r="AN63" s="202" t="s">
        <v>138</v>
      </c>
      <c r="AO63" s="208">
        <v>1079.0</v>
      </c>
      <c r="AP63" s="206">
        <v>-0.42</v>
      </c>
      <c r="AQ63" s="201" t="s">
        <v>361</v>
      </c>
      <c r="AR63" s="206" t="s">
        <v>437</v>
      </c>
      <c r="AS63" s="208">
        <v>0.001</v>
      </c>
      <c r="AT63" s="201" t="s">
        <v>135</v>
      </c>
      <c r="AU63" s="198" t="s">
        <v>186</v>
      </c>
      <c r="AV63" s="201" t="s">
        <v>141</v>
      </c>
      <c r="AW63" s="201" t="s">
        <v>138</v>
      </c>
      <c r="AX63" s="201" t="s">
        <v>438</v>
      </c>
      <c r="AY63" s="61" t="str">
        <f>IFERROR(__xludf.DUMMYFUNCTION("vlookup(BB63,importrange(""https://docs.google.com/spreadsheets/d/1d2vevQ_7D_v35q4wCQ4RpQ_IPoTwEMB9Yp6ymwlPqew/edit?gid=984458430#gid=984458430"", ""'replication success'!A:K""), 11, FAlSE)"),"mixed")</f>
        <v>mixed</v>
      </c>
      <c r="AZ63" s="61" t="str">
        <f>IFERROR(__xludf.DUMMYFUNCTION("vlookup(BB63,importrange(""https://docs.google.com/spreadsheets/d/1d2vevQ_7D_v35q4wCQ4RpQ_IPoTwEMB9Yp6ymwlPqew/edit?gid=984458430#gid=984458430"",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63" s="61" t="str">
        <f>IFERROR(__xludf.DUMMYFUNCTION("vlookup(BB63,importrange(""https://docs.google.com/spreadsheets/d/1d2vevQ_7D_v35q4wCQ4RpQ_IPoTwEMB9Yp6ymwlPqew/edit?gid=984458430#gid=984458430"", ""'replication success'!A:M""), 13, FAlSE)"),"abstract")</f>
        <v>abstract</v>
      </c>
      <c r="BB63" s="61" t="str">
        <f>IFERROR(__xludf.DUMMYFUNCTION("REGEXREPLACE(G63, ""_[a-z]{1,2}$"", """")"),"additional_studies11")</f>
        <v>additional_studies11</v>
      </c>
      <c r="BC63" s="200"/>
      <c r="BD63" s="199" t="s">
        <v>144</v>
      </c>
      <c r="BE63" s="200"/>
      <c r="BF63" s="200"/>
      <c r="BG63" s="200"/>
      <c r="BH63" s="200"/>
      <c r="BI63" s="200"/>
      <c r="BJ63" s="200"/>
      <c r="BK63" s="200"/>
      <c r="BL63" s="200"/>
      <c r="BM63" s="200"/>
      <c r="BN63" s="200"/>
      <c r="BO63" s="200"/>
      <c r="BP63" s="200"/>
      <c r="BQ63" s="200"/>
      <c r="BR63" s="200"/>
      <c r="BS63" s="200"/>
      <c r="BT63" s="200"/>
      <c r="BU63" s="200"/>
      <c r="BV63" s="200"/>
      <c r="BW63" s="200"/>
      <c r="BX63" s="200"/>
      <c r="BY63" s="200"/>
      <c r="BZ63" s="200"/>
      <c r="CA63" s="200"/>
      <c r="CB63" s="200"/>
      <c r="CC63" s="200"/>
      <c r="CD63" s="200"/>
      <c r="CE63" s="200"/>
      <c r="CF63" s="200"/>
      <c r="CG63" s="200"/>
      <c r="CH63" s="200"/>
      <c r="CI63" s="200"/>
      <c r="CJ63" s="200"/>
      <c r="CK63" s="200"/>
      <c r="CL63" s="200"/>
      <c r="CM63" s="200"/>
      <c r="CN63" s="200"/>
      <c r="CO63" s="200"/>
      <c r="CP63" s="200"/>
      <c r="CQ63" s="200"/>
      <c r="CR63" s="200"/>
      <c r="CS63" s="200"/>
      <c r="CT63" s="200"/>
      <c r="CU63" s="200"/>
      <c r="CV63" s="200"/>
      <c r="CW63" s="200"/>
      <c r="CX63" s="200"/>
      <c r="CY63" s="200"/>
      <c r="CZ63" s="200"/>
      <c r="DA63" s="200"/>
      <c r="DB63" s="200"/>
      <c r="DC63" s="200"/>
      <c r="DD63" s="200"/>
      <c r="DE63" s="200"/>
      <c r="DF63" s="200"/>
      <c r="DG63" s="200"/>
      <c r="DH63" s="200"/>
      <c r="DI63" s="200"/>
      <c r="DJ63" s="200"/>
      <c r="DK63" s="200"/>
      <c r="DL63" s="200"/>
    </row>
    <row r="64" ht="20.25" customHeight="1">
      <c r="A64" s="44">
        <v>64.0</v>
      </c>
      <c r="B64" s="199" t="s">
        <v>152</v>
      </c>
      <c r="C64" s="199" t="s">
        <v>115</v>
      </c>
      <c r="D64" s="199" t="s">
        <v>221</v>
      </c>
      <c r="E64" s="200"/>
      <c r="F64" s="201" t="s">
        <v>347</v>
      </c>
      <c r="G64" s="202" t="s">
        <v>363</v>
      </c>
      <c r="H64" s="201" t="s">
        <v>221</v>
      </c>
      <c r="I64" s="203">
        <v>45686.0</v>
      </c>
      <c r="J64" s="170">
        <v>45692.0</v>
      </c>
      <c r="K64" s="204"/>
      <c r="L64" s="205" t="s">
        <v>432</v>
      </c>
      <c r="M64" s="201" t="s">
        <v>351</v>
      </c>
      <c r="N64" s="201" t="s">
        <v>352</v>
      </c>
      <c r="O64" s="204"/>
      <c r="P64" s="201" t="s">
        <v>353</v>
      </c>
      <c r="Q64" s="52" t="str">
        <f t="array" ref="Q64"> if(iserror(MATCH(V64, 'File Links'!C:C, 0)), "N/A", HYPERLINK(INDEX('File Links'!B:B, MATCH(P64, 'File Links'!C:C, 0))))</f>
        <v>https://drive.google.com/file/d/1OByNKNsjZqSFHFFyt-o1mPqDkVmgruBu/view?usp=drivesdk</v>
      </c>
      <c r="R64" s="201" t="s">
        <v>354</v>
      </c>
      <c r="S64" s="58" t="s">
        <v>355</v>
      </c>
      <c r="T64" s="204"/>
      <c r="U64" s="204"/>
      <c r="V64" s="66" t="str">
        <f> hyperlink(vlookup(lower(S64),'File Links'!E:F, 2, FALSE), SUBSTITUTE(lower(S64), "/", "--") &amp;  ".pdf")</f>
        <v>10.1111--fare.13030.pdf</v>
      </c>
      <c r="W64" s="196" t="s">
        <v>356</v>
      </c>
      <c r="X64" s="54" t="str">
        <f t="array" ref="X64"> if(iserror(MATCH(V64, 'File Links'!C:C, 0)), "N/A", HYPERLINK(INDEX('File Links'!B:B, MATCH(V64, 'File Links'!C:C, 0))))</f>
        <v>https://drive.google.com/file/d/1TGN_TAtoJI3jhMQTEG2wnN59FCyiXC2_/view?usp=drivesdk</v>
      </c>
      <c r="Y64" s="204"/>
      <c r="Z64" s="201" t="s">
        <v>226</v>
      </c>
      <c r="AA64" s="201" t="s">
        <v>433</v>
      </c>
      <c r="AB64" s="192" t="s">
        <v>357</v>
      </c>
      <c r="AC64" s="201" t="s">
        <v>440</v>
      </c>
      <c r="AD64" s="206" t="s">
        <v>441</v>
      </c>
      <c r="AE64" s="207">
        <v>13.0</v>
      </c>
      <c r="AF64" s="208">
        <v>1950.0</v>
      </c>
      <c r="AG64" s="207">
        <v>0.07</v>
      </c>
      <c r="AH64" s="201" t="s">
        <v>361</v>
      </c>
      <c r="AI64" s="206" t="s">
        <v>436</v>
      </c>
      <c r="AJ64" s="207">
        <v>0.05</v>
      </c>
      <c r="AK64" s="202" t="s">
        <v>135</v>
      </c>
      <c r="AL64" s="58" t="s">
        <v>186</v>
      </c>
      <c r="AM64" s="201" t="s">
        <v>137</v>
      </c>
      <c r="AN64" s="202" t="s">
        <v>138</v>
      </c>
      <c r="AO64" s="208">
        <v>1079.0</v>
      </c>
      <c r="AP64" s="206">
        <v>-0.41</v>
      </c>
      <c r="AQ64" s="201" t="s">
        <v>361</v>
      </c>
      <c r="AR64" s="206" t="s">
        <v>439</v>
      </c>
      <c r="AS64" s="208">
        <v>0.001</v>
      </c>
      <c r="AT64" s="201" t="s">
        <v>135</v>
      </c>
      <c r="AU64" s="198" t="s">
        <v>186</v>
      </c>
      <c r="AV64" s="201" t="s">
        <v>141</v>
      </c>
      <c r="AW64" s="201" t="s">
        <v>138</v>
      </c>
      <c r="AX64" s="201" t="s">
        <v>438</v>
      </c>
      <c r="AY64" s="61" t="str">
        <f>IFERROR(__xludf.DUMMYFUNCTION("vlookup(BB64,importrange(""https://docs.google.com/spreadsheets/d/1d2vevQ_7D_v35q4wCQ4RpQ_IPoTwEMB9Yp6ymwlPqew/edit?gid=984458430#gid=984458430"", ""'replication success'!A:K""), 11, FAlSE)"),"mixed")</f>
        <v>mixed</v>
      </c>
      <c r="AZ64" s="61" t="str">
        <f>IFERROR(__xludf.DUMMYFUNCTION("vlookup(BB64,importrange(""https://docs.google.com/spreadsheets/d/1d2vevQ_7D_v35q4wCQ4RpQ_IPoTwEMB9Yp6ymwlPqew/edit?gid=984458430#gid=984458430"", ""'replication success'!A:M""), 12, FAlSE)"),"Cross-sectionally, both husbands’ and wives’
reports of their first financial discussion predicted better marital satisfaction and fewer financial disagreements through their own report of healthy financial communication. Longitudinally, only husbands’ r"&amp;"eport of the couple’s first financial discussion positively predicted between-
person changes in both husbands’ and wives’ marital satifaction two waves later.")</f>
        <v>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v>
      </c>
      <c r="BA64" s="61" t="str">
        <f>IFERROR(__xludf.DUMMYFUNCTION("vlookup(BB64,importrange(""https://docs.google.com/spreadsheets/d/1d2vevQ_7D_v35q4wCQ4RpQ_IPoTwEMB9Yp6ymwlPqew/edit?gid=984458430#gid=984458430"", ""'replication success'!A:M""), 13, FAlSE)"),"abstract")</f>
        <v>abstract</v>
      </c>
      <c r="BB64" s="61" t="str">
        <f>IFERROR(__xludf.DUMMYFUNCTION("REGEXREPLACE(G64, ""_[a-z]{1,2}$"", """")"),"additional_studies11")</f>
        <v>additional_studies11</v>
      </c>
      <c r="BC64" s="200"/>
      <c r="BD64" s="199" t="s">
        <v>144</v>
      </c>
      <c r="BE64" s="200"/>
      <c r="BF64" s="200"/>
      <c r="BG64" s="200"/>
      <c r="BH64" s="200"/>
      <c r="BI64" s="200"/>
      <c r="BJ64" s="200"/>
      <c r="BK64" s="200"/>
      <c r="BL64" s="200"/>
      <c r="BM64" s="200"/>
      <c r="BN64" s="200"/>
      <c r="BO64" s="200"/>
      <c r="BP64" s="200"/>
      <c r="BQ64" s="200"/>
      <c r="BR64" s="200"/>
      <c r="BS64" s="200"/>
      <c r="BT64" s="200"/>
      <c r="BU64" s="200"/>
      <c r="BV64" s="200"/>
      <c r="BW64" s="200"/>
      <c r="BX64" s="200"/>
      <c r="BY64" s="200"/>
      <c r="BZ64" s="200"/>
      <c r="CA64" s="200"/>
      <c r="CB64" s="200"/>
      <c r="CC64" s="200"/>
      <c r="CD64" s="200"/>
      <c r="CE64" s="200"/>
      <c r="CF64" s="200"/>
      <c r="CG64" s="200"/>
      <c r="CH64" s="200"/>
      <c r="CI64" s="200"/>
      <c r="CJ64" s="200"/>
      <c r="CK64" s="200"/>
      <c r="CL64" s="200"/>
      <c r="CM64" s="200"/>
      <c r="CN64" s="200"/>
      <c r="CO64" s="200"/>
      <c r="CP64" s="200"/>
      <c r="CQ64" s="200"/>
      <c r="CR64" s="200"/>
      <c r="CS64" s="200"/>
      <c r="CT64" s="200"/>
      <c r="CU64" s="200"/>
      <c r="CV64" s="200"/>
      <c r="CW64" s="200"/>
      <c r="CX64" s="200"/>
      <c r="CY64" s="200"/>
      <c r="CZ64" s="200"/>
      <c r="DA64" s="200"/>
      <c r="DB64" s="200"/>
      <c r="DC64" s="200"/>
      <c r="DD64" s="200"/>
      <c r="DE64" s="200"/>
      <c r="DF64" s="200"/>
      <c r="DG64" s="200"/>
      <c r="DH64" s="200"/>
      <c r="DI64" s="200"/>
      <c r="DJ64" s="200"/>
      <c r="DK64" s="200"/>
      <c r="DL64" s="200"/>
    </row>
    <row r="65" ht="20.25" customHeight="1">
      <c r="A65" s="44">
        <v>65.0</v>
      </c>
      <c r="B65" s="109" t="s">
        <v>114</v>
      </c>
      <c r="C65" s="109" t="s">
        <v>115</v>
      </c>
      <c r="D65" s="149" t="s">
        <v>442</v>
      </c>
      <c r="E65" s="71"/>
      <c r="F65" s="125" t="s">
        <v>443</v>
      </c>
      <c r="G65" s="210" t="s">
        <v>444</v>
      </c>
      <c r="H65" s="210" t="s">
        <v>445</v>
      </c>
      <c r="I65" s="211">
        <v>45636.0</v>
      </c>
      <c r="J65" s="114"/>
      <c r="K65" s="210" t="s">
        <v>446</v>
      </c>
      <c r="L65" s="212" t="s">
        <v>447</v>
      </c>
      <c r="M65" s="213" t="s">
        <v>448</v>
      </c>
      <c r="N65" s="213" t="s">
        <v>449</v>
      </c>
      <c r="O65" s="114"/>
      <c r="P65" s="214" t="s">
        <v>450</v>
      </c>
      <c r="Q65" s="52" t="str">
        <f t="array" ref="Q65"> if(iserror(MATCH(V65, 'File Links'!C:C, 0)), "N/A", HYPERLINK(INDEX('File Links'!B:B, MATCH(P65, 'File Links'!C:C, 0))))</f>
        <v>https://drive.google.com/file/d/1DO937F2xhbz54X6xu8qtsy63K6O9mEYa/view?usp=drivesdk</v>
      </c>
      <c r="R65" s="213" t="s">
        <v>451</v>
      </c>
      <c r="S65" s="215" t="s">
        <v>452</v>
      </c>
      <c r="T65" s="114"/>
      <c r="U65" s="120"/>
      <c r="V65" s="66" t="str">
        <f> hyperlink(vlookup(lower(S65),'File Links'!E:F, 2, FALSE), SUBSTITUTE(lower(S65), "/", "--") &amp;  ".pdf")</f>
        <v>10.26443--msurj.v19i1.231.pdf</v>
      </c>
      <c r="W65" s="210" t="s">
        <v>164</v>
      </c>
      <c r="X65" s="54" t="str">
        <f t="array" ref="X65"> if(iserror(MATCH(V65, 'File Links'!C:C, 0)), "N/A", HYPERLINK(INDEX('File Links'!B:B, MATCH(V65, 'File Links'!C:C, 0))))</f>
        <v>https://drive.google.com/file/d/12ZFslJnsSmpbIBYf9YKunwP3Ofv14HZ-/view?usp=drivesdk</v>
      </c>
      <c r="Y65" s="114"/>
      <c r="Z65" s="213" t="s">
        <v>226</v>
      </c>
      <c r="AA65" s="114"/>
      <c r="AB65" s="210" t="s">
        <v>453</v>
      </c>
      <c r="AC65" s="210" t="s">
        <v>454</v>
      </c>
      <c r="AD65" s="216" t="s">
        <v>455</v>
      </c>
      <c r="AE65" s="217">
        <v>263.0</v>
      </c>
      <c r="AF65" s="217">
        <v>86.0</v>
      </c>
      <c r="AG65" s="210" t="s">
        <v>456</v>
      </c>
      <c r="AH65" s="216" t="s">
        <v>134</v>
      </c>
      <c r="AI65" s="210" t="s">
        <v>457</v>
      </c>
      <c r="AJ65" s="217">
        <v>0.02</v>
      </c>
      <c r="AK65" s="218" t="s">
        <v>172</v>
      </c>
      <c r="AL65" s="210" t="s">
        <v>186</v>
      </c>
      <c r="AM65" s="210" t="s">
        <v>137</v>
      </c>
      <c r="AN65" s="219" t="s">
        <v>138</v>
      </c>
      <c r="AO65" s="217">
        <v>71.0</v>
      </c>
      <c r="AP65" s="217" t="s">
        <v>458</v>
      </c>
      <c r="AQ65" s="210" t="s">
        <v>134</v>
      </c>
      <c r="AR65" s="114" t="s">
        <v>459</v>
      </c>
      <c r="AS65" s="217">
        <v>0.438</v>
      </c>
      <c r="AT65" s="218" t="s">
        <v>172</v>
      </c>
      <c r="AU65" s="218" t="s">
        <v>186</v>
      </c>
      <c r="AV65" s="218" t="s">
        <v>137</v>
      </c>
      <c r="AW65" s="111"/>
      <c r="AX65" s="218" t="s">
        <v>143</v>
      </c>
      <c r="AY65" s="61" t="str">
        <f>IFERROR(__xludf.DUMMYFUNCTION("vlookup(BB65,importrange(""https://docs.google.com/spreadsheets/d/1d2vevQ_7D_v35q4wCQ4RpQ_IPoTwEMB9Yp6ymwlPqew/edit?gid=984458430#gid=984458430"", ""'replication success'!A:K""), 11, FAlSE)"),"failed")</f>
        <v>failed</v>
      </c>
      <c r="AZ65" s="61" t="str">
        <f>IFERROR(__xludf.DUMMYFUNCTION("vlookup(BB65,importrange(""https://docs.google.com/spreadsheets/d/1d2vevQ_7D_v35q4wCQ4RpQ_IPoTwEMB9Yp6ymwlPqew/edit?gid=984458430#gid=984458430"", ""'replication success'!A:M""), 12, FAlSE)"),"In contradiction with the original study, participants in the awe condition and the neutral condition did not
significantly differ in their ratio of disclosed strengths to weaknesses, therefore no significant correlations were found between awe and humil"&amp;"ity or humility and depression.")</f>
        <v>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v>
      </c>
      <c r="BA65" s="61" t="str">
        <f>IFERROR(__xludf.DUMMYFUNCTION("vlookup(BB65,importrange(""https://docs.google.com/spreadsheets/d/1d2vevQ_7D_v35q4wCQ4RpQ_IPoTwEMB9Yp6ymwlPqew/edit?gid=984458430#gid=984458430"", ""'replication success'!A:M""), 13, FAlSE)"),"abstract")</f>
        <v>abstract</v>
      </c>
      <c r="BB65" s="61" t="str">
        <f>IFERROR(__xludf.DUMMYFUNCTION("REGEXREPLACE(G65, ""_[a-z]{1,2}$"", """")"),"additional_studies12")</f>
        <v>additional_studies12</v>
      </c>
      <c r="BC65" s="129" t="s">
        <v>447</v>
      </c>
      <c r="BD65" s="62" t="s">
        <v>144</v>
      </c>
      <c r="BE65" s="220"/>
      <c r="BF65" s="220"/>
      <c r="BG65" s="220"/>
      <c r="BH65" s="220"/>
      <c r="BI65" s="220"/>
      <c r="BJ65" s="220"/>
      <c r="BK65" s="220"/>
      <c r="BL65" s="220"/>
      <c r="BM65" s="220"/>
      <c r="BN65" s="220"/>
      <c r="BO65" s="220"/>
      <c r="BP65" s="220"/>
      <c r="BQ65" s="220"/>
      <c r="BR65" s="220"/>
      <c r="BS65" s="220"/>
      <c r="BT65" s="220"/>
      <c r="BU65" s="220"/>
      <c r="BV65" s="220"/>
      <c r="BW65" s="220"/>
      <c r="BX65" s="220"/>
      <c r="BY65" s="220"/>
      <c r="BZ65" s="220"/>
      <c r="CA65" s="220"/>
      <c r="CB65" s="220"/>
      <c r="CC65" s="220"/>
      <c r="CD65" s="220"/>
      <c r="CE65" s="220"/>
      <c r="CF65" s="220"/>
      <c r="CG65" s="220"/>
      <c r="CH65" s="220"/>
      <c r="CI65" s="220"/>
      <c r="CJ65" s="220"/>
      <c r="CK65" s="220"/>
      <c r="CL65" s="220"/>
      <c r="CM65" s="220"/>
      <c r="CN65" s="220"/>
      <c r="CO65" s="220"/>
      <c r="CP65" s="220"/>
      <c r="CQ65" s="220"/>
      <c r="CR65" s="220"/>
      <c r="CS65" s="220"/>
      <c r="CT65" s="220"/>
      <c r="CU65" s="220"/>
      <c r="CV65" s="220"/>
      <c r="CW65" s="220"/>
      <c r="CX65" s="220"/>
      <c r="CY65" s="220"/>
      <c r="CZ65" s="220"/>
      <c r="DA65" s="220"/>
      <c r="DB65" s="220"/>
      <c r="DC65" s="220"/>
      <c r="DD65" s="220"/>
      <c r="DE65" s="220"/>
      <c r="DF65" s="220"/>
      <c r="DG65" s="220"/>
      <c r="DH65" s="220"/>
      <c r="DI65" s="220"/>
      <c r="DJ65" s="220"/>
      <c r="DK65" s="220"/>
      <c r="DL65" s="220"/>
    </row>
    <row r="66" ht="20.25" customHeight="1">
      <c r="A66" s="44">
        <v>66.0</v>
      </c>
      <c r="B66" s="124" t="s">
        <v>152</v>
      </c>
      <c r="C66" s="124" t="s">
        <v>115</v>
      </c>
      <c r="D66" s="124" t="s">
        <v>346</v>
      </c>
      <c r="E66" s="107"/>
      <c r="F66" s="125" t="s">
        <v>443</v>
      </c>
      <c r="G66" s="126" t="s">
        <v>444</v>
      </c>
      <c r="H66" s="126" t="s">
        <v>349</v>
      </c>
      <c r="I66" s="221">
        <v>45639.0</v>
      </c>
      <c r="J66" s="221">
        <v>45663.0</v>
      </c>
      <c r="K66" s="222" t="s">
        <v>460</v>
      </c>
      <c r="L66" s="212" t="s">
        <v>461</v>
      </c>
      <c r="M66" s="213" t="s">
        <v>448</v>
      </c>
      <c r="N66" s="213" t="s">
        <v>449</v>
      </c>
      <c r="O66" s="130">
        <v>3.0</v>
      </c>
      <c r="P66" s="223" t="s">
        <v>450</v>
      </c>
      <c r="Q66" s="52" t="str">
        <f t="array" ref="Q66"> if(iserror(MATCH(V66, 'File Links'!C:C, 0)), "N/A", HYPERLINK(INDEX('File Links'!B:B, MATCH(P66, 'File Links'!C:C, 0))))</f>
        <v>https://drive.google.com/file/d/1DO937F2xhbz54X6xu8qtsy63K6O9mEYa/view?usp=drivesdk</v>
      </c>
      <c r="R66" s="213" t="s">
        <v>451</v>
      </c>
      <c r="S66" s="215" t="s">
        <v>462</v>
      </c>
      <c r="T66" s="132"/>
      <c r="U66" s="133">
        <v>1.0</v>
      </c>
      <c r="V66" s="66" t="str">
        <f> hyperlink(vlookup(lower(S66),'File Links'!E:F, 2, FALSE), SUBSTITUTE(lower(S66), "/", "--") &amp;  ".pdf")</f>
        <v>10.26443--msurj.v19i1.231.pdf</v>
      </c>
      <c r="W66" s="210" t="s">
        <v>164</v>
      </c>
      <c r="X66" s="54" t="str">
        <f t="array" ref="X66"> if(iserror(MATCH(V66, 'File Links'!C:C, 0)), "N/A", HYPERLINK(INDEX('File Links'!B:B, MATCH(V66, 'File Links'!C:C, 0))))</f>
        <v>https://drive.google.com/file/d/12ZFslJnsSmpbIBYf9YKunwP3Ofv14HZ-/view?usp=drivesdk</v>
      </c>
      <c r="Y66" s="132"/>
      <c r="Z66" s="213" t="s">
        <v>226</v>
      </c>
      <c r="AA66" s="132"/>
      <c r="AB66" s="222" t="s">
        <v>463</v>
      </c>
      <c r="AC66" s="126" t="s">
        <v>464</v>
      </c>
      <c r="AD66" s="216" t="s">
        <v>455</v>
      </c>
      <c r="AE66" s="130">
        <v>263.0</v>
      </c>
      <c r="AF66" s="224">
        <v>85.0</v>
      </c>
      <c r="AG66" s="210" t="s">
        <v>456</v>
      </c>
      <c r="AH66" s="216" t="s">
        <v>134</v>
      </c>
      <c r="AI66" s="210" t="s">
        <v>457</v>
      </c>
      <c r="AJ66" s="225">
        <v>0.02</v>
      </c>
      <c r="AK66" s="140" t="s">
        <v>172</v>
      </c>
      <c r="AL66" s="210" t="s">
        <v>186</v>
      </c>
      <c r="AM66" s="132" t="s">
        <v>137</v>
      </c>
      <c r="AN66" s="219" t="s">
        <v>138</v>
      </c>
      <c r="AO66" s="217">
        <v>71.0</v>
      </c>
      <c r="AP66" s="217" t="s">
        <v>458</v>
      </c>
      <c r="AQ66" s="210" t="s">
        <v>134</v>
      </c>
      <c r="AR66" s="114" t="s">
        <v>459</v>
      </c>
      <c r="AS66" s="217">
        <v>0.438</v>
      </c>
      <c r="AT66" s="140" t="s">
        <v>172</v>
      </c>
      <c r="AU66" s="218" t="s">
        <v>186</v>
      </c>
      <c r="AV66" s="125" t="s">
        <v>137</v>
      </c>
      <c r="AW66" s="219" t="s">
        <v>138</v>
      </c>
      <c r="AX66" s="125" t="s">
        <v>143</v>
      </c>
      <c r="AY66" s="61" t="str">
        <f>IFERROR(__xludf.DUMMYFUNCTION("vlookup(BB66,importrange(""https://docs.google.com/spreadsheets/d/1d2vevQ_7D_v35q4wCQ4RpQ_IPoTwEMB9Yp6ymwlPqew/edit?gid=984458430#gid=984458430"", ""'replication success'!A:K""), 11, FAlSE)"),"failed")</f>
        <v>failed</v>
      </c>
      <c r="AZ66" s="61" t="str">
        <f>IFERROR(__xludf.DUMMYFUNCTION("vlookup(BB66,importrange(""https://docs.google.com/spreadsheets/d/1d2vevQ_7D_v35q4wCQ4RpQ_IPoTwEMB9Yp6ymwlPqew/edit?gid=984458430#gid=984458430"", ""'replication success'!A:M""), 12, FAlSE)"),"In contradiction with the original study, participants in the awe condition and the neutral condition did not
significantly differ in their ratio of disclosed strengths to weaknesses, therefore no significant correlations were found between awe and humil"&amp;"ity or humility and depression.")</f>
        <v>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v>
      </c>
      <c r="BA66" s="61" t="str">
        <f>IFERROR(__xludf.DUMMYFUNCTION("vlookup(BB66,importrange(""https://docs.google.com/spreadsheets/d/1d2vevQ_7D_v35q4wCQ4RpQ_IPoTwEMB9Yp6ymwlPqew/edit?gid=984458430#gid=984458430"", ""'replication success'!A:M""), 13, FAlSE)"),"abstract")</f>
        <v>abstract</v>
      </c>
      <c r="BB66" s="61" t="str">
        <f>IFERROR(__xludf.DUMMYFUNCTION("REGEXREPLACE(G66, ""_[a-z]{1,2}$"", """")"),"additional_studies12")</f>
        <v>additional_studies12</v>
      </c>
      <c r="BC66" s="129" t="s">
        <v>465</v>
      </c>
      <c r="BD66" s="62" t="s">
        <v>144</v>
      </c>
      <c r="BE66" s="220"/>
      <c r="BF66" s="220"/>
      <c r="BG66" s="220"/>
      <c r="BH66" s="220"/>
      <c r="BI66" s="220"/>
      <c r="BJ66" s="220"/>
      <c r="BK66" s="220"/>
      <c r="BL66" s="220"/>
      <c r="BM66" s="220"/>
      <c r="BN66" s="220"/>
      <c r="BO66" s="220"/>
      <c r="BP66" s="220"/>
      <c r="BQ66" s="220"/>
      <c r="BR66" s="220"/>
      <c r="BS66" s="220"/>
      <c r="BT66" s="220"/>
      <c r="BU66" s="220"/>
      <c r="BV66" s="220"/>
      <c r="BW66" s="220"/>
      <c r="BX66" s="220"/>
      <c r="BY66" s="220"/>
      <c r="BZ66" s="220"/>
      <c r="CA66" s="220"/>
      <c r="CB66" s="220"/>
      <c r="CC66" s="220"/>
      <c r="CD66" s="220"/>
      <c r="CE66" s="220"/>
      <c r="CF66" s="220"/>
      <c r="CG66" s="220"/>
      <c r="CH66" s="220"/>
      <c r="CI66" s="220"/>
      <c r="CJ66" s="220"/>
      <c r="CK66" s="220"/>
      <c r="CL66" s="220"/>
      <c r="CM66" s="220"/>
      <c r="CN66" s="220"/>
      <c r="CO66" s="220"/>
      <c r="CP66" s="220"/>
      <c r="CQ66" s="220"/>
      <c r="CR66" s="220"/>
      <c r="CS66" s="220"/>
      <c r="CT66" s="220"/>
      <c r="CU66" s="220"/>
      <c r="CV66" s="220"/>
      <c r="CW66" s="220"/>
      <c r="CX66" s="220"/>
      <c r="CY66" s="220"/>
      <c r="CZ66" s="220"/>
      <c r="DA66" s="220"/>
      <c r="DB66" s="220"/>
      <c r="DC66" s="220"/>
      <c r="DD66" s="220"/>
      <c r="DE66" s="220"/>
      <c r="DF66" s="220"/>
      <c r="DG66" s="220"/>
      <c r="DH66" s="220"/>
      <c r="DI66" s="220"/>
      <c r="DJ66" s="220"/>
      <c r="DK66" s="220"/>
      <c r="DL66" s="220"/>
    </row>
    <row r="67" ht="20.25" customHeight="1">
      <c r="A67" s="44">
        <v>67.0</v>
      </c>
      <c r="B67" s="109" t="s">
        <v>114</v>
      </c>
      <c r="C67" s="109" t="s">
        <v>115</v>
      </c>
      <c r="D67" s="149" t="s">
        <v>442</v>
      </c>
      <c r="E67" s="71"/>
      <c r="F67" s="125" t="s">
        <v>443</v>
      </c>
      <c r="G67" s="210" t="s">
        <v>466</v>
      </c>
      <c r="H67" s="210" t="s">
        <v>445</v>
      </c>
      <c r="I67" s="211">
        <v>45636.0</v>
      </c>
      <c r="J67" s="114"/>
      <c r="K67" s="210" t="s">
        <v>446</v>
      </c>
      <c r="L67" s="114"/>
      <c r="M67" s="213" t="s">
        <v>448</v>
      </c>
      <c r="N67" s="213" t="s">
        <v>449</v>
      </c>
      <c r="O67" s="114"/>
      <c r="P67" s="214" t="s">
        <v>450</v>
      </c>
      <c r="Q67" s="52" t="str">
        <f t="array" ref="Q67"> if(iserror(MATCH(V67, 'File Links'!C:C, 0)), "N/A", HYPERLINK(INDEX('File Links'!B:B, MATCH(P67, 'File Links'!C:C, 0))))</f>
        <v>https://drive.google.com/file/d/1DO937F2xhbz54X6xu8qtsy63K6O9mEYa/view?usp=drivesdk</v>
      </c>
      <c r="R67" s="213" t="s">
        <v>451</v>
      </c>
      <c r="S67" s="215" t="s">
        <v>467</v>
      </c>
      <c r="T67" s="114"/>
      <c r="U67" s="120"/>
      <c r="V67" s="66" t="str">
        <f> hyperlink(vlookup(lower(S67),'File Links'!E:F, 2, FALSE), SUBSTITUTE(lower(S67), "/", "--") &amp;  ".pdf")</f>
        <v>10.26443--msurj.v19i1.231.pdf</v>
      </c>
      <c r="W67" s="210" t="s">
        <v>164</v>
      </c>
      <c r="X67" s="54" t="str">
        <f t="array" ref="X67"> if(iserror(MATCH(V67, 'File Links'!C:C, 0)), "N/A", HYPERLINK(INDEX('File Links'!B:B, MATCH(V67, 'File Links'!C:C, 0))))</f>
        <v>https://drive.google.com/file/d/12ZFslJnsSmpbIBYf9YKunwP3Ofv14HZ-/view?usp=drivesdk</v>
      </c>
      <c r="Y67" s="114"/>
      <c r="Z67" s="213" t="s">
        <v>226</v>
      </c>
      <c r="AA67" s="114"/>
      <c r="AB67" s="210" t="s">
        <v>453</v>
      </c>
      <c r="AC67" s="210" t="s">
        <v>454</v>
      </c>
      <c r="AD67" s="210" t="s">
        <v>468</v>
      </c>
      <c r="AE67" s="217">
        <v>263.0</v>
      </c>
      <c r="AF67" s="217">
        <v>86.0</v>
      </c>
      <c r="AG67" s="210" t="s">
        <v>469</v>
      </c>
      <c r="AH67" s="216" t="s">
        <v>134</v>
      </c>
      <c r="AI67" s="210" t="s">
        <v>457</v>
      </c>
      <c r="AJ67" s="217">
        <v>0.01</v>
      </c>
      <c r="AK67" s="218" t="s">
        <v>172</v>
      </c>
      <c r="AL67" s="210" t="s">
        <v>186</v>
      </c>
      <c r="AM67" s="210" t="s">
        <v>137</v>
      </c>
      <c r="AN67" s="219" t="s">
        <v>138</v>
      </c>
      <c r="AO67" s="217">
        <v>93.0</v>
      </c>
      <c r="AP67" s="217" t="s">
        <v>470</v>
      </c>
      <c r="AQ67" s="210" t="s">
        <v>134</v>
      </c>
      <c r="AR67" s="114" t="s">
        <v>459</v>
      </c>
      <c r="AS67" s="217">
        <v>0.397</v>
      </c>
      <c r="AT67" s="218" t="s">
        <v>172</v>
      </c>
      <c r="AU67" s="218" t="s">
        <v>186</v>
      </c>
      <c r="AV67" s="218" t="s">
        <v>137</v>
      </c>
      <c r="AW67" s="111"/>
      <c r="AX67" s="218" t="s">
        <v>143</v>
      </c>
      <c r="AY67" s="61" t="str">
        <f>IFERROR(__xludf.DUMMYFUNCTION("vlookup(BB67,importrange(""https://docs.google.com/spreadsheets/d/1d2vevQ_7D_v35q4wCQ4RpQ_IPoTwEMB9Yp6ymwlPqew/edit?gid=984458430#gid=984458430"", ""'replication success'!A:K""), 11, FAlSE)"),"failed")</f>
        <v>failed</v>
      </c>
      <c r="AZ67" s="61" t="str">
        <f>IFERROR(__xludf.DUMMYFUNCTION("vlookup(BB67,importrange(""https://docs.google.com/spreadsheets/d/1d2vevQ_7D_v35q4wCQ4RpQ_IPoTwEMB9Yp6ymwlPqew/edit?gid=984458430#gid=984458430"", ""'replication success'!A:M""), 12, FAlSE)"),"In contradiction with the original study, participants in the awe condition and the neutral condition did not
significantly differ in their ratio of disclosed strengths to weaknesses, therefore no significant correlations were found between awe and humil"&amp;"ity or humility and depression.")</f>
        <v>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v>
      </c>
      <c r="BA67" s="61" t="str">
        <f>IFERROR(__xludf.DUMMYFUNCTION("vlookup(BB67,importrange(""https://docs.google.com/spreadsheets/d/1d2vevQ_7D_v35q4wCQ4RpQ_IPoTwEMB9Yp6ymwlPqew/edit?gid=984458430#gid=984458430"", ""'replication success'!A:M""), 13, FAlSE)"),"abstract")</f>
        <v>abstract</v>
      </c>
      <c r="BB67" s="61" t="str">
        <f>IFERROR(__xludf.DUMMYFUNCTION("REGEXREPLACE(G67, ""_[a-z]{1,2}$"", """")"),"additional_studies12")</f>
        <v>additional_studies12</v>
      </c>
      <c r="BC67" s="61"/>
      <c r="BD67" s="62" t="s">
        <v>144</v>
      </c>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c r="CZ67" s="226"/>
      <c r="DA67" s="226"/>
      <c r="DB67" s="226"/>
      <c r="DC67" s="226"/>
      <c r="DD67" s="226"/>
      <c r="DE67" s="226"/>
      <c r="DF67" s="226"/>
      <c r="DG67" s="226"/>
      <c r="DH67" s="226"/>
      <c r="DI67" s="226"/>
      <c r="DJ67" s="226"/>
      <c r="DK67" s="226"/>
      <c r="DL67" s="226"/>
    </row>
    <row r="68" ht="20.25" customHeight="1">
      <c r="A68" s="44">
        <v>68.0</v>
      </c>
      <c r="B68" s="227" t="s">
        <v>152</v>
      </c>
      <c r="C68" s="227" t="s">
        <v>115</v>
      </c>
      <c r="D68" s="227" t="s">
        <v>346</v>
      </c>
      <c r="E68" s="228"/>
      <c r="F68" s="125" t="s">
        <v>443</v>
      </c>
      <c r="G68" s="229" t="s">
        <v>466</v>
      </c>
      <c r="H68" s="229" t="s">
        <v>349</v>
      </c>
      <c r="I68" s="230">
        <v>45639.0</v>
      </c>
      <c r="J68" s="221">
        <v>45663.0</v>
      </c>
      <c r="K68" s="213" t="s">
        <v>460</v>
      </c>
      <c r="L68" s="231"/>
      <c r="M68" s="213" t="s">
        <v>448</v>
      </c>
      <c r="N68" s="213" t="s">
        <v>449</v>
      </c>
      <c r="O68" s="232">
        <v>3.0</v>
      </c>
      <c r="P68" s="233" t="s">
        <v>450</v>
      </c>
      <c r="Q68" s="52" t="str">
        <f t="array" ref="Q68"> if(iserror(MATCH(V68, 'File Links'!C:C, 0)), "N/A", HYPERLINK(INDEX('File Links'!B:B, MATCH(P68, 'File Links'!C:C, 0))))</f>
        <v>https://drive.google.com/file/d/1DO937F2xhbz54X6xu8qtsy63K6O9mEYa/view?usp=drivesdk</v>
      </c>
      <c r="R68" s="213" t="s">
        <v>451</v>
      </c>
      <c r="S68" s="215" t="s">
        <v>471</v>
      </c>
      <c r="T68" s="231"/>
      <c r="U68" s="133">
        <v>1.0</v>
      </c>
      <c r="V68" s="66" t="str">
        <f> hyperlink(vlookup(lower(S68),'File Links'!E:F, 2, FALSE), SUBSTITUTE(lower(S68), "/", "--") &amp;  ".pdf")</f>
        <v>10.26443--msurj.v19i1.231.pdf</v>
      </c>
      <c r="W68" s="210" t="s">
        <v>164</v>
      </c>
      <c r="X68" s="54" t="str">
        <f t="array" ref="X68"> if(iserror(MATCH(V68, 'File Links'!C:C, 0)), "N/A", HYPERLINK(INDEX('File Links'!B:B, MATCH(V68, 'File Links'!C:C, 0))))</f>
        <v>https://drive.google.com/file/d/12ZFslJnsSmpbIBYf9YKunwP3Ofv14HZ-/view?usp=drivesdk</v>
      </c>
      <c r="Y68" s="231"/>
      <c r="Z68" s="213" t="s">
        <v>226</v>
      </c>
      <c r="AA68" s="231"/>
      <c r="AB68" s="213" t="s">
        <v>463</v>
      </c>
      <c r="AC68" s="229" t="s">
        <v>464</v>
      </c>
      <c r="AD68" s="210" t="s">
        <v>468</v>
      </c>
      <c r="AE68" s="232">
        <v>263.0</v>
      </c>
      <c r="AF68" s="232">
        <v>85.0</v>
      </c>
      <c r="AG68" s="210" t="s">
        <v>469</v>
      </c>
      <c r="AH68" s="216" t="s">
        <v>134</v>
      </c>
      <c r="AI68" s="234" t="s">
        <v>457</v>
      </c>
      <c r="AJ68" s="232">
        <v>0.02</v>
      </c>
      <c r="AK68" s="235" t="s">
        <v>172</v>
      </c>
      <c r="AL68" s="210" t="s">
        <v>186</v>
      </c>
      <c r="AM68" s="231" t="s">
        <v>137</v>
      </c>
      <c r="AN68" s="219" t="s">
        <v>138</v>
      </c>
      <c r="AO68" s="217">
        <v>93.0</v>
      </c>
      <c r="AP68" s="224" t="s">
        <v>472</v>
      </c>
      <c r="AQ68" s="210" t="s">
        <v>134</v>
      </c>
      <c r="AR68" s="229" t="s">
        <v>473</v>
      </c>
      <c r="AS68" s="217">
        <v>0.397</v>
      </c>
      <c r="AT68" s="235" t="s">
        <v>172</v>
      </c>
      <c r="AU68" s="236" t="s">
        <v>186</v>
      </c>
      <c r="AV68" s="237" t="s">
        <v>137</v>
      </c>
      <c r="AW68" s="219" t="s">
        <v>138</v>
      </c>
      <c r="AX68" s="237" t="s">
        <v>143</v>
      </c>
      <c r="AY68" s="61" t="str">
        <f>IFERROR(__xludf.DUMMYFUNCTION("vlookup(BB68,importrange(""https://docs.google.com/spreadsheets/d/1d2vevQ_7D_v35q4wCQ4RpQ_IPoTwEMB9Yp6ymwlPqew/edit?gid=984458430#gid=984458430"", ""'replication success'!A:K""), 11, FAlSE)"),"failed")</f>
        <v>failed</v>
      </c>
      <c r="AZ68" s="61" t="str">
        <f>IFERROR(__xludf.DUMMYFUNCTION("vlookup(BB68,importrange(""https://docs.google.com/spreadsheets/d/1d2vevQ_7D_v35q4wCQ4RpQ_IPoTwEMB9Yp6ymwlPqew/edit?gid=984458430#gid=984458430"", ""'replication success'!A:M""), 12, FAlSE)"),"In contradiction with the original study, participants in the awe condition and the neutral condition did not
significantly differ in their ratio of disclosed strengths to weaknesses, therefore no significant correlations were found between awe and humil"&amp;"ity or humility and depression.")</f>
        <v>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v>
      </c>
      <c r="BA68" s="61" t="str">
        <f>IFERROR(__xludf.DUMMYFUNCTION("vlookup(BB68,importrange(""https://docs.google.com/spreadsheets/d/1d2vevQ_7D_v35q4wCQ4RpQ_IPoTwEMB9Yp6ymwlPqew/edit?gid=984458430#gid=984458430"", ""'replication success'!A:M""), 13, FAlSE)"),"abstract")</f>
        <v>abstract</v>
      </c>
      <c r="BB68" s="61" t="str">
        <f>IFERROR(__xludf.DUMMYFUNCTION("REGEXREPLACE(G68, ""_[a-z]{1,2}$"", """")"),"additional_studies12")</f>
        <v>additional_studies12</v>
      </c>
      <c r="BC68" s="61"/>
      <c r="BD68" s="62" t="s">
        <v>144</v>
      </c>
      <c r="BE68" s="220"/>
      <c r="BF68" s="220"/>
      <c r="BG68" s="220"/>
      <c r="BH68" s="220"/>
      <c r="BI68" s="220"/>
      <c r="BJ68" s="220"/>
      <c r="BK68" s="220"/>
      <c r="BL68" s="220"/>
      <c r="BM68" s="220"/>
      <c r="BN68" s="220"/>
      <c r="BO68" s="220"/>
      <c r="BP68" s="220"/>
      <c r="BQ68" s="220"/>
      <c r="BR68" s="220"/>
      <c r="BS68" s="220"/>
      <c r="BT68" s="220"/>
      <c r="BU68" s="220"/>
      <c r="BV68" s="220"/>
      <c r="BW68" s="220"/>
      <c r="BX68" s="220"/>
      <c r="BY68" s="220"/>
      <c r="BZ68" s="220"/>
      <c r="CA68" s="220"/>
      <c r="CB68" s="220"/>
      <c r="CC68" s="220"/>
      <c r="CD68" s="220"/>
      <c r="CE68" s="220"/>
      <c r="CF68" s="220"/>
      <c r="CG68" s="220"/>
      <c r="CH68" s="220"/>
      <c r="CI68" s="220"/>
      <c r="CJ68" s="220"/>
      <c r="CK68" s="220"/>
      <c r="CL68" s="220"/>
      <c r="CM68" s="220"/>
      <c r="CN68" s="220"/>
      <c r="CO68" s="220"/>
      <c r="CP68" s="220"/>
      <c r="CQ68" s="220"/>
      <c r="CR68" s="220"/>
      <c r="CS68" s="220"/>
      <c r="CT68" s="220"/>
      <c r="CU68" s="220"/>
      <c r="CV68" s="220"/>
      <c r="CW68" s="220"/>
      <c r="CX68" s="220"/>
      <c r="CY68" s="220"/>
      <c r="CZ68" s="220"/>
      <c r="DA68" s="220"/>
      <c r="DB68" s="220"/>
      <c r="DC68" s="220"/>
      <c r="DD68" s="220"/>
      <c r="DE68" s="220"/>
      <c r="DF68" s="220"/>
      <c r="DG68" s="220"/>
      <c r="DH68" s="220"/>
      <c r="DI68" s="220"/>
      <c r="DJ68" s="220"/>
      <c r="DK68" s="220"/>
      <c r="DL68" s="220"/>
    </row>
    <row r="69" ht="20.25" customHeight="1">
      <c r="A69" s="44">
        <v>69.0</v>
      </c>
      <c r="B69" s="238" t="s">
        <v>152</v>
      </c>
      <c r="C69" s="238" t="s">
        <v>115</v>
      </c>
      <c r="D69" s="227" t="s">
        <v>442</v>
      </c>
      <c r="E69" s="228"/>
      <c r="F69" s="125" t="s">
        <v>443</v>
      </c>
      <c r="G69" s="213" t="s">
        <v>474</v>
      </c>
      <c r="H69" s="213" t="s">
        <v>445</v>
      </c>
      <c r="I69" s="239">
        <v>45636.0</v>
      </c>
      <c r="J69" s="221">
        <v>45663.0</v>
      </c>
      <c r="K69" s="213" t="s">
        <v>446</v>
      </c>
      <c r="L69" s="231"/>
      <c r="M69" s="213" t="s">
        <v>448</v>
      </c>
      <c r="N69" s="213" t="s">
        <v>449</v>
      </c>
      <c r="O69" s="232">
        <v>3.0</v>
      </c>
      <c r="P69" s="240" t="s">
        <v>450</v>
      </c>
      <c r="Q69" s="52" t="str">
        <f t="array" ref="Q69"> if(iserror(MATCH(V69, 'File Links'!C:C, 0)), "N/A", HYPERLINK(INDEX('File Links'!B:B, MATCH(P69, 'File Links'!C:C, 0))))</f>
        <v>https://drive.google.com/file/d/1DO937F2xhbz54X6xu8qtsy63K6O9mEYa/view?usp=drivesdk</v>
      </c>
      <c r="R69" s="213" t="s">
        <v>451</v>
      </c>
      <c r="S69" s="215" t="s">
        <v>475</v>
      </c>
      <c r="T69" s="231"/>
      <c r="U69" s="133">
        <v>1.0</v>
      </c>
      <c r="V69" s="66" t="str">
        <f> hyperlink(vlookup(lower(S69),'File Links'!E:F, 2, FALSE), SUBSTITUTE(lower(S69), "/", "--") &amp;  ".pdf")</f>
        <v>10.26443--msurj.v19i1.231.pdf</v>
      </c>
      <c r="W69" s="213" t="s">
        <v>164</v>
      </c>
      <c r="X69" s="54" t="str">
        <f t="array" ref="X69"> if(iserror(MATCH(V69, 'File Links'!C:C, 0)), "N/A", HYPERLINK(INDEX('File Links'!B:B, MATCH(V69, 'File Links'!C:C, 0))))</f>
        <v>https://drive.google.com/file/d/12ZFslJnsSmpbIBYf9YKunwP3Ofv14HZ-/view?usp=drivesdk</v>
      </c>
      <c r="Y69" s="231"/>
      <c r="Z69" s="213" t="s">
        <v>226</v>
      </c>
      <c r="AA69" s="231"/>
      <c r="AB69" s="213" t="s">
        <v>453</v>
      </c>
      <c r="AC69" s="213" t="s">
        <v>454</v>
      </c>
      <c r="AD69" s="241" t="s">
        <v>476</v>
      </c>
      <c r="AE69" s="242">
        <v>263.0</v>
      </c>
      <c r="AF69" s="243">
        <v>85.0</v>
      </c>
      <c r="AG69" s="213" t="s">
        <v>477</v>
      </c>
      <c r="AH69" s="241" t="s">
        <v>134</v>
      </c>
      <c r="AI69" s="213" t="s">
        <v>457</v>
      </c>
      <c r="AJ69" s="242">
        <v>0.79</v>
      </c>
      <c r="AK69" s="236" t="s">
        <v>172</v>
      </c>
      <c r="AL69" s="213" t="s">
        <v>186</v>
      </c>
      <c r="AM69" s="213" t="s">
        <v>137</v>
      </c>
      <c r="AN69" s="219" t="s">
        <v>138</v>
      </c>
      <c r="AO69" s="242">
        <v>84.0</v>
      </c>
      <c r="AP69" s="242" t="s">
        <v>478</v>
      </c>
      <c r="AQ69" s="213" t="s">
        <v>134</v>
      </c>
      <c r="AR69" s="231" t="s">
        <v>459</v>
      </c>
      <c r="AS69" s="242">
        <v>0.618</v>
      </c>
      <c r="AT69" s="236" t="s">
        <v>172</v>
      </c>
      <c r="AU69" s="244" t="s">
        <v>186</v>
      </c>
      <c r="AV69" s="236" t="s">
        <v>137</v>
      </c>
      <c r="AW69" s="219" t="s">
        <v>138</v>
      </c>
      <c r="AX69" s="236" t="s">
        <v>143</v>
      </c>
      <c r="AY69" s="61" t="str">
        <f>IFERROR(__xludf.DUMMYFUNCTION("vlookup(BB69,importrange(""https://docs.google.com/spreadsheets/d/1d2vevQ_7D_v35q4wCQ4RpQ_IPoTwEMB9Yp6ymwlPqew/edit?gid=984458430#gid=984458430"", ""'replication success'!A:K""), 11, FAlSE)"),"failed")</f>
        <v>failed</v>
      </c>
      <c r="AZ69" s="61" t="str">
        <f>IFERROR(__xludf.DUMMYFUNCTION("vlookup(BB69,importrange(""https://docs.google.com/spreadsheets/d/1d2vevQ_7D_v35q4wCQ4RpQ_IPoTwEMB9Yp6ymwlPqew/edit?gid=984458430#gid=984458430"", ""'replication success'!A:M""), 12, FAlSE)"),"In contradiction with the original study, participants in the awe condition and the neutral condition did not
significantly differ in their ratio of disclosed strengths to weaknesses, therefore no significant correlations were found between awe and humil"&amp;"ity or humility and depression.")</f>
        <v>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v>
      </c>
      <c r="BA69" s="61" t="str">
        <f>IFERROR(__xludf.DUMMYFUNCTION("vlookup(BB69,importrange(""https://docs.google.com/spreadsheets/d/1d2vevQ_7D_v35q4wCQ4RpQ_IPoTwEMB9Yp6ymwlPqew/edit?gid=984458430#gid=984458430"", ""'replication success'!A:M""), 13, FAlSE)"),"abstract")</f>
        <v>abstract</v>
      </c>
      <c r="BB69" s="61" t="str">
        <f>IFERROR(__xludf.DUMMYFUNCTION("REGEXREPLACE(G69, ""_[a-z]{1,2}$"", """")"),"additional_studies12")</f>
        <v>additional_studies12</v>
      </c>
      <c r="BC69" s="61"/>
      <c r="BD69" s="62" t="s">
        <v>144</v>
      </c>
      <c r="BE69" s="220"/>
      <c r="BF69" s="220"/>
      <c r="BG69" s="220"/>
      <c r="BH69" s="220"/>
      <c r="BI69" s="220"/>
      <c r="BJ69" s="220"/>
      <c r="BK69" s="220"/>
      <c r="BL69" s="220"/>
      <c r="BM69" s="220"/>
      <c r="BN69" s="220"/>
      <c r="BO69" s="220"/>
      <c r="BP69" s="220"/>
      <c r="BQ69" s="220"/>
      <c r="BR69" s="220"/>
      <c r="BS69" s="220"/>
      <c r="BT69" s="220"/>
      <c r="BU69" s="220"/>
      <c r="BV69" s="220"/>
      <c r="BW69" s="220"/>
      <c r="BX69" s="220"/>
      <c r="BY69" s="220"/>
      <c r="BZ69" s="220"/>
      <c r="CA69" s="220"/>
      <c r="CB69" s="220"/>
      <c r="CC69" s="220"/>
      <c r="CD69" s="220"/>
      <c r="CE69" s="220"/>
      <c r="CF69" s="220"/>
      <c r="CG69" s="220"/>
      <c r="CH69" s="220"/>
      <c r="CI69" s="220"/>
      <c r="CJ69" s="220"/>
      <c r="CK69" s="220"/>
      <c r="CL69" s="220"/>
      <c r="CM69" s="220"/>
      <c r="CN69" s="220"/>
      <c r="CO69" s="220"/>
      <c r="CP69" s="220"/>
      <c r="CQ69" s="220"/>
      <c r="CR69" s="220"/>
      <c r="CS69" s="220"/>
      <c r="CT69" s="220"/>
      <c r="CU69" s="220"/>
      <c r="CV69" s="220"/>
      <c r="CW69" s="220"/>
      <c r="CX69" s="220"/>
      <c r="CY69" s="220"/>
      <c r="CZ69" s="220"/>
      <c r="DA69" s="220"/>
      <c r="DB69" s="220"/>
      <c r="DC69" s="220"/>
      <c r="DD69" s="220"/>
      <c r="DE69" s="220"/>
      <c r="DF69" s="220"/>
      <c r="DG69" s="220"/>
      <c r="DH69" s="220"/>
      <c r="DI69" s="220"/>
      <c r="DJ69" s="220"/>
      <c r="DK69" s="220"/>
      <c r="DL69" s="220"/>
    </row>
    <row r="70" ht="20.25" customHeight="1">
      <c r="A70" s="44">
        <v>70.0</v>
      </c>
      <c r="B70" s="245" t="s">
        <v>114</v>
      </c>
      <c r="C70" s="246" t="s">
        <v>115</v>
      </c>
      <c r="D70" s="246" t="s">
        <v>176</v>
      </c>
      <c r="E70" s="246"/>
      <c r="F70" s="246" t="s">
        <v>479</v>
      </c>
      <c r="G70" s="246" t="s">
        <v>480</v>
      </c>
      <c r="H70" s="246" t="s">
        <v>176</v>
      </c>
      <c r="I70" s="247">
        <v>45636.0</v>
      </c>
      <c r="J70" s="248">
        <v>45679.0</v>
      </c>
      <c r="K70" s="246" t="s">
        <v>481</v>
      </c>
      <c r="L70" s="246" t="s">
        <v>482</v>
      </c>
      <c r="M70" s="246" t="s">
        <v>483</v>
      </c>
      <c r="N70" s="246" t="s">
        <v>484</v>
      </c>
      <c r="O70" s="246">
        <v>1.0</v>
      </c>
      <c r="P70" s="246" t="s">
        <v>485</v>
      </c>
      <c r="Q70" s="52" t="str">
        <f t="array" ref="Q70"> if(iserror(MATCH(V70, 'File Links'!C:C, 0)), "N/A", HYPERLINK(INDEX('File Links'!B:B, MATCH(P70, 'File Links'!C:C, 0))))</f>
        <v>https://drive.google.com/file/d/1bOamtHkDDCeR5rldqOBSgCXc_AFZb3yD/view?usp=drivesdk</v>
      </c>
      <c r="R70" s="246" t="s">
        <v>486</v>
      </c>
      <c r="S70" s="246" t="s">
        <v>487</v>
      </c>
      <c r="T70" s="246"/>
      <c r="U70" s="246">
        <v>1.0</v>
      </c>
      <c r="V70" s="66" t="str">
        <f> hyperlink(vlookup(lower(S70),'File Links'!E:F, 2, FALSE), SUBSTITUTE(lower(S70), "/", "--") &amp;  ".pdf")</f>
        <v>10.1016--j.jsams.2024.07.018.pdf</v>
      </c>
      <c r="W70" s="246" t="s">
        <v>164</v>
      </c>
      <c r="X70" s="54" t="str">
        <f t="array" ref="X70"> if(iserror(MATCH(V70, 'File Links'!C:C, 0)), "N/A", HYPERLINK(INDEX('File Links'!B:B, MATCH(V70, 'File Links'!C:C, 0))))</f>
        <v>https://drive.google.com/file/d/1iWxdhqxc4T6twXLJR2WbGMzAHqB2cMPh/view?usp=drivesdk</v>
      </c>
      <c r="Y70" s="246"/>
      <c r="Z70" s="246" t="s">
        <v>488</v>
      </c>
      <c r="AA70" s="246" t="s">
        <v>489</v>
      </c>
      <c r="AB70" s="246" t="s">
        <v>490</v>
      </c>
      <c r="AC70" s="246" t="s">
        <v>491</v>
      </c>
      <c r="AD70" s="246" t="s">
        <v>492</v>
      </c>
      <c r="AE70" s="246" t="s">
        <v>493</v>
      </c>
      <c r="AF70" s="246">
        <v>20.0</v>
      </c>
      <c r="AG70" s="246" t="s">
        <v>494</v>
      </c>
      <c r="AH70" s="246" t="s">
        <v>134</v>
      </c>
      <c r="AI70" s="246" t="s">
        <v>217</v>
      </c>
      <c r="AJ70" s="246">
        <v>0.019</v>
      </c>
      <c r="AK70" s="246" t="s">
        <v>172</v>
      </c>
      <c r="AL70" s="246" t="s">
        <v>186</v>
      </c>
      <c r="AM70" s="246" t="s">
        <v>141</v>
      </c>
      <c r="AN70" s="219" t="s">
        <v>138</v>
      </c>
      <c r="AO70" s="246">
        <v>39.0</v>
      </c>
      <c r="AP70" s="246" t="s">
        <v>495</v>
      </c>
      <c r="AQ70" s="246" t="s">
        <v>139</v>
      </c>
      <c r="AR70" s="246" t="s">
        <v>496</v>
      </c>
      <c r="AS70" s="246" t="s">
        <v>497</v>
      </c>
      <c r="AT70" s="246" t="s">
        <v>172</v>
      </c>
      <c r="AU70" s="246" t="s">
        <v>186</v>
      </c>
      <c r="AV70" s="246" t="s">
        <v>137</v>
      </c>
      <c r="AW70" s="246"/>
      <c r="AX70" s="246" t="s">
        <v>143</v>
      </c>
      <c r="AY70" s="61" t="str">
        <f>IFERROR(__xludf.DUMMYFUNCTION("vlookup(BB70,importrange(""https://docs.google.com/spreadsheets/d/1d2vevQ_7D_v35q4wCQ4RpQ_IPoTwEMB9Yp6ymwlPqew/edit?gid=984458430#gid=984458430"", ""'replication success'!A:K""), 11, FAlSE)"),"successful")</f>
        <v>successful</v>
      </c>
      <c r="AZ70" s="61" t="str">
        <f>IFERROR(__xludf.DUMMYFUNCTION("vlookup(BB70,importrange(""https://docs.google.com/spreadsheets/d/1d2vevQ_7D_v35q4wCQ4RpQ_IPoTwEMB9Yp6ymwlPqew/edit?gid=984458430#gid=984458430"",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0" s="61" t="str">
        <f>IFERROR(__xludf.DUMMYFUNCTION("vlookup(BB70,importrange(""https://docs.google.com/spreadsheets/d/1d2vevQ_7D_v35q4wCQ4RpQ_IPoTwEMB9Yp6ymwlPqew/edit?gid=984458430#gid=984458430"", ""'replication success'!A:M""), 13, FAlSE)"),"abstract")</f>
        <v>abstract</v>
      </c>
      <c r="BB70" s="61" t="str">
        <f>IFERROR(__xludf.DUMMYFUNCTION("REGEXREPLACE(G70, ""_[a-z]{1,2}$"", """")"),"additional_studies125")</f>
        <v>additional_studies125</v>
      </c>
      <c r="BC70" s="249" t="s">
        <v>498</v>
      </c>
      <c r="BD70" s="246" t="s">
        <v>499</v>
      </c>
      <c r="BE70" s="246"/>
      <c r="BF70" s="246"/>
      <c r="BG70" s="246"/>
      <c r="BH70" s="246"/>
      <c r="BI70" s="246"/>
      <c r="BJ70" s="246"/>
      <c r="BK70" s="246"/>
      <c r="BL70" s="246"/>
      <c r="BM70" s="246"/>
      <c r="BN70" s="246"/>
      <c r="BO70" s="246"/>
      <c r="BP70" s="246"/>
      <c r="BQ70" s="246"/>
      <c r="BR70" s="246"/>
      <c r="BS70" s="246"/>
      <c r="BT70" s="246"/>
      <c r="BU70" s="246"/>
      <c r="BV70" s="246"/>
      <c r="BW70" s="246"/>
      <c r="BX70" s="246"/>
      <c r="BY70" s="246"/>
      <c r="BZ70" s="246"/>
      <c r="CA70" s="246"/>
      <c r="CB70" s="246"/>
      <c r="CC70" s="246"/>
      <c r="CD70" s="246"/>
      <c r="CE70" s="246"/>
      <c r="CF70" s="246"/>
      <c r="CG70" s="246"/>
      <c r="CH70" s="246"/>
      <c r="CI70" s="246"/>
      <c r="CJ70" s="246"/>
      <c r="CK70" s="246"/>
      <c r="CL70" s="246"/>
      <c r="CM70" s="246"/>
      <c r="CN70" s="246"/>
      <c r="CO70" s="246"/>
      <c r="CP70" s="246"/>
      <c r="CQ70" s="246"/>
      <c r="CR70" s="246"/>
      <c r="CS70" s="246"/>
      <c r="CT70" s="246"/>
      <c r="CU70" s="246"/>
      <c r="CV70" s="246"/>
      <c r="CW70" s="246"/>
      <c r="CX70" s="246"/>
      <c r="CY70" s="246"/>
      <c r="CZ70" s="246"/>
      <c r="DA70" s="246"/>
      <c r="DB70" s="246"/>
      <c r="DC70" s="246"/>
      <c r="DD70" s="246"/>
      <c r="DE70" s="246"/>
      <c r="DF70" s="246"/>
      <c r="DG70" s="246"/>
      <c r="DH70" s="246"/>
      <c r="DI70" s="246"/>
      <c r="DJ70" s="246"/>
      <c r="DK70" s="246"/>
      <c r="DL70" s="246"/>
    </row>
    <row r="71" ht="20.25" customHeight="1">
      <c r="A71" s="44">
        <v>71.0</v>
      </c>
      <c r="B71" s="245" t="s">
        <v>152</v>
      </c>
      <c r="C71" s="246" t="s">
        <v>115</v>
      </c>
      <c r="D71" s="246" t="s">
        <v>153</v>
      </c>
      <c r="E71" s="246"/>
      <c r="F71" s="246" t="s">
        <v>479</v>
      </c>
      <c r="G71" s="246" t="s">
        <v>500</v>
      </c>
      <c r="H71" s="246" t="s">
        <v>153</v>
      </c>
      <c r="I71" s="250">
        <v>45638.0</v>
      </c>
      <c r="J71" s="248">
        <v>45679.0</v>
      </c>
      <c r="K71" s="251" t="s">
        <v>501</v>
      </c>
      <c r="L71" s="246"/>
      <c r="M71" s="246" t="s">
        <v>483</v>
      </c>
      <c r="N71" s="246" t="s">
        <v>484</v>
      </c>
      <c r="O71" s="246">
        <v>1.0</v>
      </c>
      <c r="P71" s="246" t="s">
        <v>485</v>
      </c>
      <c r="Q71" s="52" t="str">
        <f t="array" ref="Q71"> if(iserror(MATCH(V71, 'File Links'!C:C, 0)), "N/A", HYPERLINK(INDEX('File Links'!B:B, MATCH(P71, 'File Links'!C:C, 0))))</f>
        <v>https://drive.google.com/file/d/1bOamtHkDDCeR5rldqOBSgCXc_AFZb3yD/view?usp=drivesdk</v>
      </c>
      <c r="R71" s="251" t="s">
        <v>502</v>
      </c>
      <c r="S71" s="251" t="s">
        <v>487</v>
      </c>
      <c r="T71" s="246"/>
      <c r="U71" s="246">
        <v>1.0</v>
      </c>
      <c r="V71" s="66" t="str">
        <f> hyperlink(vlookup(lower(S71),'File Links'!E:F, 2, FALSE), SUBSTITUTE(lower(S71), "/", "--") &amp;  ".pdf")</f>
        <v>10.1016--j.jsams.2024.07.018.pdf</v>
      </c>
      <c r="W71" s="246" t="s">
        <v>164</v>
      </c>
      <c r="X71" s="54" t="str">
        <f t="array" ref="X71"> if(iserror(MATCH(V71, 'File Links'!C:C, 0)), "N/A", HYPERLINK(INDEX('File Links'!B:B, MATCH(V71, 'File Links'!C:C, 0))))</f>
        <v>https://drive.google.com/file/d/1iWxdhqxc4T6twXLJR2WbGMzAHqB2cMPh/view?usp=drivesdk</v>
      </c>
      <c r="Y71" s="246"/>
      <c r="Z71" s="246" t="s">
        <v>503</v>
      </c>
      <c r="AA71" s="246" t="s">
        <v>504</v>
      </c>
      <c r="AB71" s="246" t="s">
        <v>490</v>
      </c>
      <c r="AC71" s="246" t="s">
        <v>505</v>
      </c>
      <c r="AD71" s="246" t="s">
        <v>506</v>
      </c>
      <c r="AE71" s="246">
        <v>3.0</v>
      </c>
      <c r="AF71" s="246">
        <v>20.0</v>
      </c>
      <c r="AG71" s="246" t="s">
        <v>494</v>
      </c>
      <c r="AH71" s="246" t="s">
        <v>134</v>
      </c>
      <c r="AI71" s="246" t="s">
        <v>507</v>
      </c>
      <c r="AJ71" s="246">
        <v>0.025</v>
      </c>
      <c r="AK71" s="246" t="s">
        <v>172</v>
      </c>
      <c r="AL71" s="246" t="s">
        <v>186</v>
      </c>
      <c r="AM71" s="246" t="s">
        <v>141</v>
      </c>
      <c r="AN71" s="219" t="s">
        <v>138</v>
      </c>
      <c r="AO71" s="246">
        <v>39.0</v>
      </c>
      <c r="AP71" s="246">
        <v>0.159</v>
      </c>
      <c r="AQ71" s="246" t="s">
        <v>139</v>
      </c>
      <c r="AR71" s="246" t="s">
        <v>496</v>
      </c>
      <c r="AS71" s="246">
        <v>0.002</v>
      </c>
      <c r="AT71" s="246" t="s">
        <v>172</v>
      </c>
      <c r="AU71" s="246" t="s">
        <v>186</v>
      </c>
      <c r="AV71" s="246" t="s">
        <v>137</v>
      </c>
      <c r="AW71" s="251" t="s">
        <v>508</v>
      </c>
      <c r="AX71" s="251" t="s">
        <v>143</v>
      </c>
      <c r="AY71" s="61" t="str">
        <f>IFERROR(__xludf.DUMMYFUNCTION("vlookup(BB71,importrange(""https://docs.google.com/spreadsheets/d/1d2vevQ_7D_v35q4wCQ4RpQ_IPoTwEMB9Yp6ymwlPqew/edit?gid=984458430#gid=984458430"", ""'replication success'!A:K""), 11, FAlSE)"),"successful")</f>
        <v>successful</v>
      </c>
      <c r="AZ71" s="61" t="str">
        <f>IFERROR(__xludf.DUMMYFUNCTION("vlookup(BB71,importrange(""https://docs.google.com/spreadsheets/d/1d2vevQ_7D_v35q4wCQ4RpQ_IPoTwEMB9Yp6ymwlPqew/edit?gid=984458430#gid=984458430"",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1" s="61" t="str">
        <f>IFERROR(__xludf.DUMMYFUNCTION("vlookup(BB71,importrange(""https://docs.google.com/spreadsheets/d/1d2vevQ_7D_v35q4wCQ4RpQ_IPoTwEMB9Yp6ymwlPqew/edit?gid=984458430#gid=984458430"", ""'replication success'!A:M""), 13, FAlSE)"),"abstract")</f>
        <v>abstract</v>
      </c>
      <c r="BB71" s="61" t="str">
        <f>IFERROR(__xludf.DUMMYFUNCTION("REGEXREPLACE(G71, ""_[a-z]{1,2}$"", """")"),"additional_studies125")</f>
        <v>additional_studies125</v>
      </c>
      <c r="BC71" s="246" t="s">
        <v>509</v>
      </c>
      <c r="BD71" s="246" t="s">
        <v>499</v>
      </c>
      <c r="BE71" s="246"/>
      <c r="BF71" s="246"/>
      <c r="BG71" s="246"/>
      <c r="BH71" s="246"/>
      <c r="BI71" s="246"/>
      <c r="BJ71" s="246"/>
      <c r="BK71" s="246"/>
      <c r="BL71" s="246"/>
      <c r="BM71" s="246"/>
      <c r="BN71" s="246"/>
      <c r="BO71" s="246"/>
      <c r="BP71" s="246"/>
      <c r="BQ71" s="246"/>
      <c r="BR71" s="246"/>
      <c r="BS71" s="246"/>
      <c r="BT71" s="246"/>
      <c r="BU71" s="246"/>
      <c r="BV71" s="246"/>
      <c r="BW71" s="246"/>
      <c r="BX71" s="246"/>
      <c r="BY71" s="246"/>
      <c r="BZ71" s="246"/>
      <c r="CA71" s="246"/>
      <c r="CB71" s="246"/>
      <c r="CC71" s="246"/>
      <c r="CD71" s="246"/>
      <c r="CE71" s="246"/>
      <c r="CF71" s="246"/>
      <c r="CG71" s="246"/>
      <c r="CH71" s="246"/>
      <c r="CI71" s="246"/>
      <c r="CJ71" s="246"/>
      <c r="CK71" s="246"/>
      <c r="CL71" s="246"/>
      <c r="CM71" s="246"/>
      <c r="CN71" s="246"/>
      <c r="CO71" s="246"/>
      <c r="CP71" s="246"/>
      <c r="CQ71" s="246"/>
      <c r="CR71" s="246"/>
      <c r="CS71" s="246"/>
      <c r="CT71" s="246"/>
      <c r="CU71" s="246"/>
      <c r="CV71" s="246"/>
      <c r="CW71" s="246"/>
      <c r="CX71" s="246"/>
      <c r="CY71" s="246"/>
      <c r="CZ71" s="246"/>
      <c r="DA71" s="246"/>
      <c r="DB71" s="246"/>
      <c r="DC71" s="246"/>
      <c r="DD71" s="246"/>
      <c r="DE71" s="246"/>
      <c r="DF71" s="246"/>
      <c r="DG71" s="246"/>
      <c r="DH71" s="246"/>
      <c r="DI71" s="246"/>
      <c r="DJ71" s="246"/>
      <c r="DK71" s="246"/>
      <c r="DL71" s="246"/>
    </row>
    <row r="72" ht="19.5" customHeight="1">
      <c r="A72" s="44">
        <v>72.0</v>
      </c>
      <c r="B72" s="246" t="s">
        <v>114</v>
      </c>
      <c r="C72" s="246" t="s">
        <v>115</v>
      </c>
      <c r="D72" s="246" t="s">
        <v>176</v>
      </c>
      <c r="E72" s="246"/>
      <c r="F72" s="246" t="s">
        <v>479</v>
      </c>
      <c r="G72" s="246" t="s">
        <v>510</v>
      </c>
      <c r="H72" s="246" t="s">
        <v>176</v>
      </c>
      <c r="I72" s="246">
        <v>45636.0</v>
      </c>
      <c r="J72" s="246">
        <v>45679.0</v>
      </c>
      <c r="K72" s="246" t="s">
        <v>481</v>
      </c>
      <c r="L72" s="246" t="s">
        <v>511</v>
      </c>
      <c r="M72" s="246" t="s">
        <v>512</v>
      </c>
      <c r="N72" s="246" t="s">
        <v>484</v>
      </c>
      <c r="O72" s="246">
        <v>1.0</v>
      </c>
      <c r="P72" s="246" t="s">
        <v>485</v>
      </c>
      <c r="Q72" s="52" t="str">
        <f t="array" ref="Q72"> if(iserror(MATCH(V72, 'File Links'!C:C, 0)), "N/A", HYPERLINK(INDEX('File Links'!B:B, MATCH(P72, 'File Links'!C:C, 0))))</f>
        <v>https://drive.google.com/file/d/1bOamtHkDDCeR5rldqOBSgCXc_AFZb3yD/view?usp=drivesdk</v>
      </c>
      <c r="R72" s="246" t="s">
        <v>486</v>
      </c>
      <c r="S72" s="246" t="s">
        <v>487</v>
      </c>
      <c r="T72" s="246"/>
      <c r="U72" s="246">
        <v>1.0</v>
      </c>
      <c r="V72" s="246" t="s">
        <v>513</v>
      </c>
      <c r="W72" s="246" t="s">
        <v>164</v>
      </c>
      <c r="X72" s="54" t="str">
        <f t="array" ref="X72"> if(iserror(MATCH(V72, 'File Links'!C:C, 0)), "N/A", HYPERLINK(INDEX('File Links'!B:B, MATCH(V72, 'File Links'!C:C, 0))))</f>
        <v>https://drive.google.com/file/d/1iWxdhqxc4T6twXLJR2WbGMzAHqB2cMPh/view?usp=drivesdk</v>
      </c>
      <c r="Y72" s="246" t="s">
        <v>514</v>
      </c>
      <c r="Z72" s="246" t="s">
        <v>488</v>
      </c>
      <c r="AA72" s="246" t="s">
        <v>489</v>
      </c>
      <c r="AB72" s="246" t="s">
        <v>515</v>
      </c>
      <c r="AC72" s="246" t="s">
        <v>516</v>
      </c>
      <c r="AD72" s="246" t="s">
        <v>492</v>
      </c>
      <c r="AE72" s="246" t="s">
        <v>493</v>
      </c>
      <c r="AF72" s="246">
        <v>20.0</v>
      </c>
      <c r="AG72" s="246">
        <v>6503.0</v>
      </c>
      <c r="AH72" s="246" t="s">
        <v>134</v>
      </c>
      <c r="AI72" s="246" t="s">
        <v>217</v>
      </c>
      <c r="AJ72" s="246">
        <v>4.0E-4</v>
      </c>
      <c r="AK72" s="246" t="s">
        <v>172</v>
      </c>
      <c r="AL72" s="246" t="s">
        <v>186</v>
      </c>
      <c r="AM72" s="246" t="s">
        <v>137</v>
      </c>
      <c r="AN72" s="219" t="s">
        <v>138</v>
      </c>
      <c r="AO72" s="246"/>
      <c r="AP72" s="246"/>
      <c r="AQ72" s="246"/>
      <c r="AR72" s="246"/>
      <c r="AS72" s="246"/>
      <c r="AT72" s="246"/>
      <c r="AU72" s="246"/>
      <c r="AV72" s="246"/>
      <c r="AW72" s="246"/>
      <c r="AX72" s="246"/>
      <c r="AY72" s="61" t="str">
        <f>IFERROR(__xludf.DUMMYFUNCTION("vlookup(BB72,importrange(""https://docs.google.com/spreadsheets/d/1d2vevQ_7D_v35q4wCQ4RpQ_IPoTwEMB9Yp6ymwlPqew/edit?gid=984458430#gid=984458430"", ""'replication success'!A:K""), 11, FAlSE)"),"successful")</f>
        <v>successful</v>
      </c>
      <c r="AZ72" s="61" t="str">
        <f>IFERROR(__xludf.DUMMYFUNCTION("vlookup(BB72,importrange(""https://docs.google.com/spreadsheets/d/1d2vevQ_7D_v35q4wCQ4RpQ_IPoTwEMB9Yp6ymwlPqew/edit?gid=984458430#gid=984458430"",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2" s="61" t="str">
        <f>IFERROR(__xludf.DUMMYFUNCTION("vlookup(BB72,importrange(""https://docs.google.com/spreadsheets/d/1d2vevQ_7D_v35q4wCQ4RpQ_IPoTwEMB9Yp6ymwlPqew/edit?gid=984458430#gid=984458430"", ""'replication success'!A:M""), 13, FAlSE)"),"abstract")</f>
        <v>abstract</v>
      </c>
      <c r="BB72" s="61" t="str">
        <f>IFERROR(__xludf.DUMMYFUNCTION("REGEXREPLACE(G72, ""_[a-z]{1,2}$"", """")"),"additional_studies125")</f>
        <v>additional_studies125</v>
      </c>
      <c r="BC72" s="249" t="s">
        <v>517</v>
      </c>
      <c r="BD72" s="246" t="s">
        <v>499</v>
      </c>
      <c r="BE72" s="246"/>
      <c r="BF72" s="246"/>
      <c r="BG72" s="246"/>
      <c r="BH72" s="246"/>
      <c r="BI72" s="246"/>
      <c r="BJ72" s="246"/>
      <c r="BK72" s="246"/>
      <c r="BL72" s="246"/>
      <c r="BM72" s="246"/>
      <c r="BN72" s="246"/>
      <c r="BO72" s="246"/>
      <c r="BP72" s="246"/>
      <c r="BQ72" s="246"/>
      <c r="BR72" s="246"/>
      <c r="BS72" s="246"/>
      <c r="BT72" s="246"/>
      <c r="BU72" s="246"/>
      <c r="BV72" s="246"/>
      <c r="BW72" s="246"/>
      <c r="BX72" s="246"/>
      <c r="BY72" s="246"/>
      <c r="BZ72" s="246"/>
      <c r="CA72" s="246"/>
      <c r="CB72" s="246"/>
      <c r="CC72" s="246"/>
      <c r="CD72" s="246"/>
      <c r="CE72" s="246"/>
      <c r="CF72" s="246"/>
      <c r="CG72" s="246"/>
      <c r="CH72" s="246"/>
      <c r="CI72" s="246"/>
      <c r="CJ72" s="246"/>
      <c r="CK72" s="246"/>
      <c r="CL72" s="246"/>
      <c r="CM72" s="246"/>
      <c r="CN72" s="246"/>
      <c r="CO72" s="246"/>
      <c r="CP72" s="246"/>
      <c r="CQ72" s="246"/>
      <c r="CR72" s="246"/>
      <c r="CS72" s="246"/>
      <c r="CT72" s="246"/>
      <c r="CU72" s="246"/>
      <c r="CV72" s="246"/>
      <c r="CW72" s="246"/>
      <c r="CX72" s="246"/>
      <c r="CY72" s="246"/>
      <c r="CZ72" s="246"/>
      <c r="DA72" s="246"/>
      <c r="DB72" s="246"/>
      <c r="DC72" s="246"/>
      <c r="DD72" s="246"/>
      <c r="DE72" s="246"/>
      <c r="DF72" s="246"/>
      <c r="DG72" s="246"/>
      <c r="DH72" s="246"/>
      <c r="DI72" s="246"/>
      <c r="DJ72" s="246"/>
      <c r="DK72" s="246"/>
      <c r="DL72" s="246"/>
    </row>
    <row r="73" ht="20.25" customHeight="1">
      <c r="A73" s="44">
        <v>73.0</v>
      </c>
      <c r="B73" s="246" t="s">
        <v>114</v>
      </c>
      <c r="C73" s="246" t="s">
        <v>115</v>
      </c>
      <c r="D73" s="246" t="s">
        <v>176</v>
      </c>
      <c r="E73" s="246"/>
      <c r="F73" s="246" t="s">
        <v>479</v>
      </c>
      <c r="G73" s="246" t="s">
        <v>518</v>
      </c>
      <c r="H73" s="246" t="s">
        <v>176</v>
      </c>
      <c r="I73" s="246">
        <v>45636.0</v>
      </c>
      <c r="J73" s="246">
        <v>45679.0</v>
      </c>
      <c r="K73" s="246" t="s">
        <v>481</v>
      </c>
      <c r="L73" s="246" t="s">
        <v>519</v>
      </c>
      <c r="M73" s="246" t="s">
        <v>520</v>
      </c>
      <c r="N73" s="246" t="s">
        <v>484</v>
      </c>
      <c r="O73" s="246">
        <v>1.0</v>
      </c>
      <c r="P73" s="246" t="s">
        <v>485</v>
      </c>
      <c r="Q73" s="52" t="str">
        <f t="array" ref="Q73"> if(iserror(MATCH(V73, 'File Links'!C:C, 0)), "N/A", HYPERLINK(INDEX('File Links'!B:B, MATCH(P73, 'File Links'!C:C, 0))))</f>
        <v>https://drive.google.com/file/d/1bOamtHkDDCeR5rldqOBSgCXc_AFZb3yD/view?usp=drivesdk</v>
      </c>
      <c r="R73" s="246" t="s">
        <v>486</v>
      </c>
      <c r="S73" s="246" t="s">
        <v>487</v>
      </c>
      <c r="T73" s="246"/>
      <c r="U73" s="246">
        <v>1.0</v>
      </c>
      <c r="V73" s="246" t="s">
        <v>513</v>
      </c>
      <c r="W73" s="246" t="s">
        <v>164</v>
      </c>
      <c r="X73" s="54" t="str">
        <f t="array" ref="X73"> if(iserror(MATCH(V73, 'File Links'!C:C, 0)), "N/A", HYPERLINK(INDEX('File Links'!B:B, MATCH(V73, 'File Links'!C:C, 0))))</f>
        <v>https://drive.google.com/file/d/1iWxdhqxc4T6twXLJR2WbGMzAHqB2cMPh/view?usp=drivesdk</v>
      </c>
      <c r="Y73" s="246" t="s">
        <v>514</v>
      </c>
      <c r="Z73" s="246" t="s">
        <v>488</v>
      </c>
      <c r="AA73" s="246" t="s">
        <v>489</v>
      </c>
      <c r="AB73" s="246" t="s">
        <v>515</v>
      </c>
      <c r="AC73" s="246" t="s">
        <v>521</v>
      </c>
      <c r="AD73" s="246" t="s">
        <v>492</v>
      </c>
      <c r="AE73" s="246" t="s">
        <v>493</v>
      </c>
      <c r="AF73" s="246">
        <v>20.0</v>
      </c>
      <c r="AG73" s="246">
        <v>6503.0</v>
      </c>
      <c r="AH73" s="246" t="s">
        <v>134</v>
      </c>
      <c r="AI73" s="246" t="s">
        <v>217</v>
      </c>
      <c r="AJ73" s="246" t="s">
        <v>522</v>
      </c>
      <c r="AK73" s="246" t="s">
        <v>172</v>
      </c>
      <c r="AL73" s="246" t="s">
        <v>186</v>
      </c>
      <c r="AM73" s="246" t="s">
        <v>137</v>
      </c>
      <c r="AN73" s="219" t="s">
        <v>138</v>
      </c>
      <c r="AO73" s="246"/>
      <c r="AP73" s="246"/>
      <c r="AQ73" s="246"/>
      <c r="AR73" s="246"/>
      <c r="AS73" s="246"/>
      <c r="AT73" s="246"/>
      <c r="AU73" s="246"/>
      <c r="AV73" s="246"/>
      <c r="AW73" s="246"/>
      <c r="AX73" s="246"/>
      <c r="AY73" s="61" t="str">
        <f>IFERROR(__xludf.DUMMYFUNCTION("vlookup(BB73,importrange(""https://docs.google.com/spreadsheets/d/1d2vevQ_7D_v35q4wCQ4RpQ_IPoTwEMB9Yp6ymwlPqew/edit?gid=984458430#gid=984458430"", ""'replication success'!A:K""), 11, FAlSE)"),"successful")</f>
        <v>successful</v>
      </c>
      <c r="AZ73" s="61" t="str">
        <f>IFERROR(__xludf.DUMMYFUNCTION("vlookup(BB73,importrange(""https://docs.google.com/spreadsheets/d/1d2vevQ_7D_v35q4wCQ4RpQ_IPoTwEMB9Yp6ymwlPqew/edit?gid=984458430#gid=984458430"",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3" s="61" t="str">
        <f>IFERROR(__xludf.DUMMYFUNCTION("vlookup(BB73,importrange(""https://docs.google.com/spreadsheets/d/1d2vevQ_7D_v35q4wCQ4RpQ_IPoTwEMB9Yp6ymwlPqew/edit?gid=984458430#gid=984458430"", ""'replication success'!A:M""), 13, FAlSE)"),"abstract")</f>
        <v>abstract</v>
      </c>
      <c r="BB73" s="61" t="str">
        <f>IFERROR(__xludf.DUMMYFUNCTION("REGEXREPLACE(G73, ""_[a-z]{1,2}$"", """")"),"additional_studies125")</f>
        <v>additional_studies125</v>
      </c>
      <c r="BC73" s="246"/>
      <c r="BD73" s="246" t="s">
        <v>499</v>
      </c>
      <c r="BE73" s="246"/>
      <c r="BF73" s="246"/>
      <c r="BG73" s="246"/>
      <c r="BH73" s="246"/>
      <c r="BI73" s="246"/>
      <c r="BJ73" s="246"/>
      <c r="BK73" s="246"/>
      <c r="BL73" s="246"/>
      <c r="BM73" s="246"/>
      <c r="BN73" s="246"/>
      <c r="BO73" s="246"/>
      <c r="BP73" s="246"/>
      <c r="BQ73" s="246"/>
      <c r="BR73" s="246"/>
      <c r="BS73" s="246"/>
      <c r="BT73" s="246"/>
      <c r="BU73" s="246"/>
      <c r="BV73" s="246"/>
      <c r="BW73" s="246"/>
      <c r="BX73" s="246"/>
      <c r="BY73" s="246"/>
      <c r="BZ73" s="246"/>
      <c r="CA73" s="246"/>
      <c r="CB73" s="246"/>
      <c r="CC73" s="246"/>
      <c r="CD73" s="246"/>
      <c r="CE73" s="246"/>
      <c r="CF73" s="246"/>
      <c r="CG73" s="246"/>
      <c r="CH73" s="246"/>
      <c r="CI73" s="246"/>
      <c r="CJ73" s="246"/>
      <c r="CK73" s="246"/>
      <c r="CL73" s="246"/>
      <c r="CM73" s="246"/>
      <c r="CN73" s="246"/>
      <c r="CO73" s="246"/>
      <c r="CP73" s="246"/>
      <c r="CQ73" s="246"/>
      <c r="CR73" s="246"/>
      <c r="CS73" s="246"/>
      <c r="CT73" s="246"/>
      <c r="CU73" s="246"/>
      <c r="CV73" s="246"/>
      <c r="CW73" s="246"/>
      <c r="CX73" s="246"/>
      <c r="CY73" s="246"/>
      <c r="CZ73" s="246"/>
      <c r="DA73" s="246"/>
      <c r="DB73" s="246"/>
      <c r="DC73" s="246"/>
      <c r="DD73" s="246"/>
      <c r="DE73" s="246"/>
      <c r="DF73" s="246"/>
      <c r="DG73" s="246"/>
      <c r="DH73" s="246"/>
      <c r="DI73" s="246"/>
      <c r="DJ73" s="246"/>
      <c r="DK73" s="246"/>
      <c r="DL73" s="246"/>
    </row>
    <row r="74" ht="20.25" customHeight="1">
      <c r="A74" s="44">
        <v>74.0</v>
      </c>
      <c r="B74" s="252" t="s">
        <v>523</v>
      </c>
      <c r="C74" s="252" t="s">
        <v>115</v>
      </c>
      <c r="D74" s="252" t="s">
        <v>176</v>
      </c>
      <c r="E74" s="253"/>
      <c r="F74" s="254" t="s">
        <v>479</v>
      </c>
      <c r="G74" s="255" t="s">
        <v>524</v>
      </c>
      <c r="H74" s="254" t="s">
        <v>176</v>
      </c>
      <c r="I74" s="256">
        <v>45636.0</v>
      </c>
      <c r="J74" s="257">
        <v>45679.0</v>
      </c>
      <c r="K74" s="254" t="s">
        <v>481</v>
      </c>
      <c r="L74" s="258" t="s">
        <v>525</v>
      </c>
      <c r="M74" s="254" t="s">
        <v>526</v>
      </c>
      <c r="N74" s="254" t="s">
        <v>484</v>
      </c>
      <c r="O74" s="259">
        <v>1.0</v>
      </c>
      <c r="P74" s="254" t="s">
        <v>485</v>
      </c>
      <c r="Q74" s="52" t="str">
        <f t="array" ref="Q74"> if(iserror(MATCH(V74, 'File Links'!C:C, 0)), "N/A", HYPERLINK(INDEX('File Links'!B:B, MATCH(P74, 'File Links'!C:C, 0))))</f>
        <v>https://drive.google.com/file/d/1bOamtHkDDCeR5rldqOBSgCXc_AFZb3yD/view?usp=drivesdk</v>
      </c>
      <c r="R74" s="254" t="s">
        <v>486</v>
      </c>
      <c r="S74" s="254" t="s">
        <v>487</v>
      </c>
      <c r="T74" s="260"/>
      <c r="U74" s="259">
        <v>1.0</v>
      </c>
      <c r="V74" s="66" t="str">
        <f> hyperlink(vlookup(lower(S74),'File Links'!E:F, 2, FALSE), SUBSTITUTE(lower(S74), "/", "--") &amp;  ".pdf")</f>
        <v>10.1016--j.jsams.2024.07.018.pdf</v>
      </c>
      <c r="W74" s="261" t="s">
        <v>164</v>
      </c>
      <c r="X74" s="54" t="str">
        <f t="array" ref="X74"> if(iserror(MATCH(V74, 'File Links'!C:C, 0)), "N/A", HYPERLINK(INDEX('File Links'!B:B, MATCH(V74, 'File Links'!C:C, 0))))</f>
        <v>https://drive.google.com/file/d/1iWxdhqxc4T6twXLJR2WbGMzAHqB2cMPh/view?usp=drivesdk</v>
      </c>
      <c r="Y74" s="260"/>
      <c r="Z74" s="254" t="s">
        <v>488</v>
      </c>
      <c r="AA74" s="254" t="s">
        <v>489</v>
      </c>
      <c r="AB74" s="254" t="s">
        <v>515</v>
      </c>
      <c r="AC74" s="254" t="s">
        <v>527</v>
      </c>
      <c r="AD74" s="254" t="s">
        <v>528</v>
      </c>
      <c r="AE74" s="254" t="s">
        <v>529</v>
      </c>
      <c r="AF74" s="259">
        <v>20.0</v>
      </c>
      <c r="AG74" s="260"/>
      <c r="AH74" s="262"/>
      <c r="AI74" s="263"/>
      <c r="AJ74" s="246" t="s">
        <v>530</v>
      </c>
      <c r="AK74" s="254" t="s">
        <v>172</v>
      </c>
      <c r="AL74" s="255" t="s">
        <v>186</v>
      </c>
      <c r="AM74" s="260" t="s">
        <v>137</v>
      </c>
      <c r="AN74" s="219" t="s">
        <v>138</v>
      </c>
      <c r="AO74" s="264">
        <v>39.0</v>
      </c>
      <c r="AP74" s="260"/>
      <c r="AQ74" s="260"/>
      <c r="AR74" s="260"/>
      <c r="AS74" s="260" t="s">
        <v>530</v>
      </c>
      <c r="AT74" s="254" t="s">
        <v>172</v>
      </c>
      <c r="AU74" s="254" t="s">
        <v>186</v>
      </c>
      <c r="AV74" s="260" t="s">
        <v>137</v>
      </c>
      <c r="AW74" s="260"/>
      <c r="AX74" s="260" t="s">
        <v>143</v>
      </c>
      <c r="AY74" s="61" t="str">
        <f>IFERROR(__xludf.DUMMYFUNCTION("vlookup(BB74,importrange(""https://docs.google.com/spreadsheets/d/1d2vevQ_7D_v35q4wCQ4RpQ_IPoTwEMB9Yp6ymwlPqew/edit?gid=984458430#gid=984458430"", ""'replication success'!A:K""), 11, FAlSE)"),"successful")</f>
        <v>successful</v>
      </c>
      <c r="AZ74" s="61" t="str">
        <f>IFERROR(__xludf.DUMMYFUNCTION("vlookup(BB74,importrange(""https://docs.google.com/spreadsheets/d/1d2vevQ_7D_v35q4wCQ4RpQ_IPoTwEMB9Yp6ymwlPqew/edit?gid=984458430#gid=984458430"",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4" s="61" t="str">
        <f>IFERROR(__xludf.DUMMYFUNCTION("vlookup(BB74,importrange(""https://docs.google.com/spreadsheets/d/1d2vevQ_7D_v35q4wCQ4RpQ_IPoTwEMB9Yp6ymwlPqew/edit?gid=984458430#gid=984458430"", ""'replication success'!A:M""), 13, FAlSE)"),"abstract")</f>
        <v>abstract</v>
      </c>
      <c r="BB74" s="61" t="str">
        <f>IFERROR(__xludf.DUMMYFUNCTION("REGEXREPLACE(G74, ""_[a-z]{1,2}$"", """")"),"additional_studies125")</f>
        <v>additional_studies125</v>
      </c>
      <c r="BC74" s="258" t="s">
        <v>531</v>
      </c>
      <c r="BD74" s="252" t="s">
        <v>499</v>
      </c>
      <c r="BE74" s="253"/>
      <c r="BF74" s="253"/>
      <c r="BG74" s="253"/>
      <c r="BH74" s="253"/>
      <c r="BI74" s="253"/>
      <c r="BJ74" s="253"/>
      <c r="BK74" s="253"/>
      <c r="BL74" s="253"/>
      <c r="BM74" s="253"/>
      <c r="BN74" s="253"/>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c r="CM74" s="253"/>
      <c r="CN74" s="253"/>
      <c r="CO74" s="253"/>
      <c r="CP74" s="253"/>
      <c r="CQ74" s="253"/>
      <c r="CR74" s="253"/>
      <c r="CS74" s="253"/>
      <c r="CT74" s="253"/>
      <c r="CU74" s="253"/>
      <c r="CV74" s="253"/>
      <c r="CW74" s="253"/>
      <c r="CX74" s="253"/>
      <c r="CY74" s="253"/>
      <c r="CZ74" s="253"/>
      <c r="DA74" s="253"/>
      <c r="DB74" s="253"/>
      <c r="DC74" s="253"/>
      <c r="DD74" s="253"/>
      <c r="DE74" s="253"/>
      <c r="DF74" s="253"/>
      <c r="DG74" s="253"/>
      <c r="DH74" s="253"/>
      <c r="DI74" s="253"/>
      <c r="DJ74" s="253"/>
      <c r="DK74" s="253"/>
      <c r="DL74" s="253"/>
    </row>
    <row r="75" ht="20.25" customHeight="1">
      <c r="A75" s="44">
        <v>75.0</v>
      </c>
      <c r="B75" s="245" t="s">
        <v>523</v>
      </c>
      <c r="C75" s="245" t="s">
        <v>115</v>
      </c>
      <c r="D75" s="245" t="s">
        <v>176</v>
      </c>
      <c r="E75" s="246"/>
      <c r="F75" s="265" t="s">
        <v>479</v>
      </c>
      <c r="G75" s="266" t="s">
        <v>532</v>
      </c>
      <c r="H75" s="265" t="s">
        <v>176</v>
      </c>
      <c r="I75" s="267">
        <v>45636.0</v>
      </c>
      <c r="J75" s="268">
        <v>45679.0</v>
      </c>
      <c r="K75" s="265" t="s">
        <v>481</v>
      </c>
      <c r="L75" s="269"/>
      <c r="M75" s="265" t="s">
        <v>533</v>
      </c>
      <c r="N75" s="265" t="s">
        <v>484</v>
      </c>
      <c r="O75" s="270">
        <v>1.0</v>
      </c>
      <c r="P75" s="265" t="s">
        <v>485</v>
      </c>
      <c r="Q75" s="52" t="str">
        <f t="array" ref="Q75"> if(iserror(MATCH(V75, 'File Links'!C:C, 0)), "N/A", HYPERLINK(INDEX('File Links'!B:B, MATCH(P75, 'File Links'!C:C, 0))))</f>
        <v>https://drive.google.com/file/d/1bOamtHkDDCeR5rldqOBSgCXc_AFZb3yD/view?usp=drivesdk</v>
      </c>
      <c r="R75" s="265" t="s">
        <v>486</v>
      </c>
      <c r="S75" s="265" t="s">
        <v>487</v>
      </c>
      <c r="T75" s="269"/>
      <c r="U75" s="270">
        <v>1.0</v>
      </c>
      <c r="V75" s="265" t="s">
        <v>513</v>
      </c>
      <c r="W75" s="271" t="s">
        <v>164</v>
      </c>
      <c r="X75" s="54" t="str">
        <f t="array" ref="X75"> if(iserror(MATCH(V75, 'File Links'!C:C, 0)), "N/A", HYPERLINK(INDEX('File Links'!B:B, MATCH(V75, 'File Links'!C:C, 0))))</f>
        <v>https://drive.google.com/file/d/1iWxdhqxc4T6twXLJR2WbGMzAHqB2cMPh/view?usp=drivesdk</v>
      </c>
      <c r="Y75" s="265" t="s">
        <v>514</v>
      </c>
      <c r="Z75" s="265" t="s">
        <v>488</v>
      </c>
      <c r="AA75" s="265" t="s">
        <v>489</v>
      </c>
      <c r="AB75" s="265" t="s">
        <v>515</v>
      </c>
      <c r="AC75" s="265" t="s">
        <v>534</v>
      </c>
      <c r="AD75" s="265" t="s">
        <v>528</v>
      </c>
      <c r="AE75" s="265" t="s">
        <v>529</v>
      </c>
      <c r="AF75" s="270">
        <v>20.0</v>
      </c>
      <c r="AG75" s="269"/>
      <c r="AH75" s="272"/>
      <c r="AI75" s="273"/>
      <c r="AJ75" s="246" t="s">
        <v>535</v>
      </c>
      <c r="AK75" s="265" t="s">
        <v>172</v>
      </c>
      <c r="AL75" s="266" t="s">
        <v>186</v>
      </c>
      <c r="AM75" s="269" t="s">
        <v>137</v>
      </c>
      <c r="AN75" s="219" t="s">
        <v>138</v>
      </c>
      <c r="AO75" s="269"/>
      <c r="AP75" s="269"/>
      <c r="AQ75" s="269"/>
      <c r="AR75" s="269"/>
      <c r="AS75" s="269"/>
      <c r="AT75" s="269"/>
      <c r="AU75" s="269"/>
      <c r="AV75" s="269"/>
      <c r="AW75" s="269"/>
      <c r="AX75" s="269"/>
      <c r="AY75" s="61" t="str">
        <f>IFERROR(__xludf.DUMMYFUNCTION("vlookup(BB75,importrange(""https://docs.google.com/spreadsheets/d/1d2vevQ_7D_v35q4wCQ4RpQ_IPoTwEMB9Yp6ymwlPqew/edit?gid=984458430#gid=984458430"", ""'replication success'!A:K""), 11, FAlSE)"),"successful")</f>
        <v>successful</v>
      </c>
      <c r="AZ75" s="61" t="str">
        <f>IFERROR(__xludf.DUMMYFUNCTION("vlookup(BB75,importrange(""https://docs.google.com/spreadsheets/d/1d2vevQ_7D_v35q4wCQ4RpQ_IPoTwEMB9Yp6ymwlPqew/edit?gid=984458430#gid=984458430"",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5" s="61" t="str">
        <f>IFERROR(__xludf.DUMMYFUNCTION("vlookup(BB75,importrange(""https://docs.google.com/spreadsheets/d/1d2vevQ_7D_v35q4wCQ4RpQ_IPoTwEMB9Yp6ymwlPqew/edit?gid=984458430#gid=984458430"", ""'replication success'!A:M""), 13, FAlSE)"),"abstract")</f>
        <v>abstract</v>
      </c>
      <c r="BB75" s="61" t="str">
        <f>IFERROR(__xludf.DUMMYFUNCTION("REGEXREPLACE(G75, ""_[a-z]{1,2}$"", """")"),"additional_studies125")</f>
        <v>additional_studies125</v>
      </c>
      <c r="BC75" s="269"/>
      <c r="BD75" s="245" t="s">
        <v>499</v>
      </c>
      <c r="BE75" s="246"/>
      <c r="BF75" s="246"/>
      <c r="BG75" s="246"/>
      <c r="BH75" s="246"/>
      <c r="BI75" s="246"/>
      <c r="BJ75" s="246"/>
      <c r="BK75" s="246"/>
      <c r="BL75" s="246"/>
      <c r="BM75" s="246"/>
      <c r="BN75" s="246"/>
      <c r="BO75" s="246"/>
      <c r="BP75" s="246"/>
      <c r="BQ75" s="246"/>
      <c r="BR75" s="246"/>
      <c r="BS75" s="246"/>
      <c r="BT75" s="246"/>
      <c r="BU75" s="246"/>
      <c r="BV75" s="246"/>
      <c r="BW75" s="246"/>
      <c r="BX75" s="246"/>
      <c r="BY75" s="246"/>
      <c r="BZ75" s="246"/>
      <c r="CA75" s="246"/>
      <c r="CB75" s="246"/>
      <c r="CC75" s="246"/>
      <c r="CD75" s="246"/>
      <c r="CE75" s="246"/>
      <c r="CF75" s="246"/>
      <c r="CG75" s="246"/>
      <c r="CH75" s="246"/>
      <c r="CI75" s="246"/>
      <c r="CJ75" s="246"/>
      <c r="CK75" s="246"/>
      <c r="CL75" s="246"/>
      <c r="CM75" s="246"/>
      <c r="CN75" s="246"/>
      <c r="CO75" s="246"/>
      <c r="CP75" s="246"/>
      <c r="CQ75" s="246"/>
      <c r="CR75" s="246"/>
      <c r="CS75" s="246"/>
      <c r="CT75" s="246"/>
      <c r="CU75" s="246"/>
      <c r="CV75" s="246"/>
      <c r="CW75" s="246"/>
      <c r="CX75" s="246"/>
      <c r="CY75" s="246"/>
      <c r="CZ75" s="246"/>
      <c r="DA75" s="246"/>
      <c r="DB75" s="246"/>
      <c r="DC75" s="246"/>
      <c r="DD75" s="246"/>
      <c r="DE75" s="246"/>
      <c r="DF75" s="246"/>
      <c r="DG75" s="246"/>
      <c r="DH75" s="246"/>
      <c r="DI75" s="246"/>
      <c r="DJ75" s="246"/>
      <c r="DK75" s="246"/>
      <c r="DL75" s="246"/>
    </row>
    <row r="76" ht="20.25" customHeight="1">
      <c r="A76" s="44">
        <v>76.0</v>
      </c>
      <c r="B76" s="245" t="s">
        <v>523</v>
      </c>
      <c r="C76" s="245" t="s">
        <v>115</v>
      </c>
      <c r="D76" s="245" t="s">
        <v>176</v>
      </c>
      <c r="E76" s="246"/>
      <c r="F76" s="265" t="s">
        <v>479</v>
      </c>
      <c r="G76" s="266" t="s">
        <v>536</v>
      </c>
      <c r="H76" s="265" t="s">
        <v>176</v>
      </c>
      <c r="I76" s="267">
        <v>45636.0</v>
      </c>
      <c r="J76" s="268">
        <v>45679.0</v>
      </c>
      <c r="K76" s="265" t="s">
        <v>481</v>
      </c>
      <c r="L76" s="269"/>
      <c r="M76" s="265" t="s">
        <v>537</v>
      </c>
      <c r="N76" s="265" t="s">
        <v>484</v>
      </c>
      <c r="O76" s="270">
        <v>1.0</v>
      </c>
      <c r="P76" s="265" t="s">
        <v>485</v>
      </c>
      <c r="Q76" s="52" t="str">
        <f t="array" ref="Q76"> if(iserror(MATCH(V76, 'File Links'!C:C, 0)), "N/A", HYPERLINK(INDEX('File Links'!B:B, MATCH(P76, 'File Links'!C:C, 0))))</f>
        <v>https://drive.google.com/file/d/1bOamtHkDDCeR5rldqOBSgCXc_AFZb3yD/view?usp=drivesdk</v>
      </c>
      <c r="R76" s="265" t="s">
        <v>486</v>
      </c>
      <c r="S76" s="265" t="s">
        <v>487</v>
      </c>
      <c r="T76" s="269"/>
      <c r="U76" s="270">
        <v>1.0</v>
      </c>
      <c r="V76" s="265" t="s">
        <v>513</v>
      </c>
      <c r="W76" s="271" t="s">
        <v>164</v>
      </c>
      <c r="X76" s="54" t="str">
        <f t="array" ref="X76"> if(iserror(MATCH(V76, 'File Links'!C:C, 0)), "N/A", HYPERLINK(INDEX('File Links'!B:B, MATCH(V76, 'File Links'!C:C, 0))))</f>
        <v>https://drive.google.com/file/d/1iWxdhqxc4T6twXLJR2WbGMzAHqB2cMPh/view?usp=drivesdk</v>
      </c>
      <c r="Y76" s="265" t="s">
        <v>514</v>
      </c>
      <c r="Z76" s="265" t="s">
        <v>488</v>
      </c>
      <c r="AA76" s="265" t="s">
        <v>489</v>
      </c>
      <c r="AB76" s="265" t="s">
        <v>515</v>
      </c>
      <c r="AC76" s="265" t="s">
        <v>538</v>
      </c>
      <c r="AD76" s="265" t="s">
        <v>528</v>
      </c>
      <c r="AE76" s="265" t="s">
        <v>529</v>
      </c>
      <c r="AF76" s="270">
        <v>20.0</v>
      </c>
      <c r="AG76" s="269"/>
      <c r="AH76" s="272"/>
      <c r="AI76" s="273"/>
      <c r="AJ76" s="246" t="s">
        <v>539</v>
      </c>
      <c r="AK76" s="265" t="s">
        <v>172</v>
      </c>
      <c r="AL76" s="266" t="s">
        <v>186</v>
      </c>
      <c r="AM76" s="269" t="s">
        <v>137</v>
      </c>
      <c r="AN76" s="219" t="s">
        <v>138</v>
      </c>
      <c r="AO76" s="269"/>
      <c r="AP76" s="269"/>
      <c r="AQ76" s="269"/>
      <c r="AR76" s="269"/>
      <c r="AS76" s="269"/>
      <c r="AT76" s="269"/>
      <c r="AU76" s="269"/>
      <c r="AV76" s="269"/>
      <c r="AW76" s="269"/>
      <c r="AX76" s="269"/>
      <c r="AY76" s="61" t="str">
        <f>IFERROR(__xludf.DUMMYFUNCTION("vlookup(BB76,importrange(""https://docs.google.com/spreadsheets/d/1d2vevQ_7D_v35q4wCQ4RpQ_IPoTwEMB9Yp6ymwlPqew/edit?gid=984458430#gid=984458430"", ""'replication success'!A:K""), 11, FAlSE)"),"successful")</f>
        <v>successful</v>
      </c>
      <c r="AZ76" s="61" t="str">
        <f>IFERROR(__xludf.DUMMYFUNCTION("vlookup(BB76,importrange(""https://docs.google.com/spreadsheets/d/1d2vevQ_7D_v35q4wCQ4RpQ_IPoTwEMB9Yp6ymwlPqew/edit?gid=984458430#gid=984458430"",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6" s="61" t="str">
        <f>IFERROR(__xludf.DUMMYFUNCTION("vlookup(BB76,importrange(""https://docs.google.com/spreadsheets/d/1d2vevQ_7D_v35q4wCQ4RpQ_IPoTwEMB9Yp6ymwlPqew/edit?gid=984458430#gid=984458430"", ""'replication success'!A:M""), 13, FAlSE)"),"abstract")</f>
        <v>abstract</v>
      </c>
      <c r="BB76" s="61" t="str">
        <f>IFERROR(__xludf.DUMMYFUNCTION("REGEXREPLACE(G76, ""_[a-z]{1,2}$"", """")"),"additional_studies125")</f>
        <v>additional_studies125</v>
      </c>
      <c r="BC76" s="269"/>
      <c r="BD76" s="245" t="s">
        <v>499</v>
      </c>
      <c r="BE76" s="246"/>
      <c r="BF76" s="246"/>
      <c r="BG76" s="246"/>
      <c r="BH76" s="246"/>
      <c r="BI76" s="246"/>
      <c r="BJ76" s="246"/>
      <c r="BK76" s="246"/>
      <c r="BL76" s="246"/>
      <c r="BM76" s="246"/>
      <c r="BN76" s="246"/>
      <c r="BO76" s="246"/>
      <c r="BP76" s="246"/>
      <c r="BQ76" s="246"/>
      <c r="BR76" s="246"/>
      <c r="BS76" s="246"/>
      <c r="BT76" s="246"/>
      <c r="BU76" s="246"/>
      <c r="BV76" s="246"/>
      <c r="BW76" s="246"/>
      <c r="BX76" s="246"/>
      <c r="BY76" s="246"/>
      <c r="BZ76" s="246"/>
      <c r="CA76" s="246"/>
      <c r="CB76" s="246"/>
      <c r="CC76" s="246"/>
      <c r="CD76" s="246"/>
      <c r="CE76" s="246"/>
      <c r="CF76" s="246"/>
      <c r="CG76" s="246"/>
      <c r="CH76" s="246"/>
      <c r="CI76" s="246"/>
      <c r="CJ76" s="246"/>
      <c r="CK76" s="246"/>
      <c r="CL76" s="246"/>
      <c r="CM76" s="246"/>
      <c r="CN76" s="246"/>
      <c r="CO76" s="246"/>
      <c r="CP76" s="246"/>
      <c r="CQ76" s="246"/>
      <c r="CR76" s="246"/>
      <c r="CS76" s="246"/>
      <c r="CT76" s="246"/>
      <c r="CU76" s="246"/>
      <c r="CV76" s="246"/>
      <c r="CW76" s="246"/>
      <c r="CX76" s="246"/>
      <c r="CY76" s="246"/>
      <c r="CZ76" s="246"/>
      <c r="DA76" s="246"/>
      <c r="DB76" s="246"/>
      <c r="DC76" s="246"/>
      <c r="DD76" s="246"/>
      <c r="DE76" s="246"/>
      <c r="DF76" s="246"/>
      <c r="DG76" s="246"/>
      <c r="DH76" s="246"/>
      <c r="DI76" s="246"/>
      <c r="DJ76" s="246"/>
      <c r="DK76" s="246"/>
      <c r="DL76" s="246"/>
    </row>
    <row r="77" ht="20.25" customHeight="1">
      <c r="A77" s="44">
        <v>77.0</v>
      </c>
      <c r="B77" s="245" t="s">
        <v>523</v>
      </c>
      <c r="C77" s="245" t="s">
        <v>115</v>
      </c>
      <c r="D77" s="245" t="s">
        <v>176</v>
      </c>
      <c r="E77" s="246"/>
      <c r="F77" s="265" t="s">
        <v>479</v>
      </c>
      <c r="G77" s="266" t="s">
        <v>540</v>
      </c>
      <c r="H77" s="265" t="s">
        <v>176</v>
      </c>
      <c r="I77" s="267">
        <v>45636.0</v>
      </c>
      <c r="J77" s="268">
        <v>45679.0</v>
      </c>
      <c r="K77" s="265" t="s">
        <v>481</v>
      </c>
      <c r="L77" s="269"/>
      <c r="M77" s="265" t="s">
        <v>541</v>
      </c>
      <c r="N77" s="265" t="s">
        <v>484</v>
      </c>
      <c r="O77" s="270">
        <v>1.0</v>
      </c>
      <c r="P77" s="265" t="s">
        <v>485</v>
      </c>
      <c r="Q77" s="52" t="str">
        <f t="array" ref="Q77"> if(iserror(MATCH(V77, 'File Links'!C:C, 0)), "N/A", HYPERLINK(INDEX('File Links'!B:B, MATCH(P77, 'File Links'!C:C, 0))))</f>
        <v>https://drive.google.com/file/d/1bOamtHkDDCeR5rldqOBSgCXc_AFZb3yD/view?usp=drivesdk</v>
      </c>
      <c r="R77" s="265" t="s">
        <v>486</v>
      </c>
      <c r="S77" s="265" t="s">
        <v>487</v>
      </c>
      <c r="T77" s="269"/>
      <c r="U77" s="270">
        <v>1.0</v>
      </c>
      <c r="V77" s="265" t="s">
        <v>513</v>
      </c>
      <c r="W77" s="271" t="s">
        <v>164</v>
      </c>
      <c r="X77" s="54" t="str">
        <f t="array" ref="X77"> if(iserror(MATCH(V77, 'File Links'!C:C, 0)), "N/A", HYPERLINK(INDEX('File Links'!B:B, MATCH(V77, 'File Links'!C:C, 0))))</f>
        <v>https://drive.google.com/file/d/1iWxdhqxc4T6twXLJR2WbGMzAHqB2cMPh/view?usp=drivesdk</v>
      </c>
      <c r="Y77" s="265" t="s">
        <v>514</v>
      </c>
      <c r="Z77" s="265" t="s">
        <v>488</v>
      </c>
      <c r="AA77" s="265" t="s">
        <v>489</v>
      </c>
      <c r="AB77" s="265" t="s">
        <v>515</v>
      </c>
      <c r="AC77" s="265" t="s">
        <v>542</v>
      </c>
      <c r="AD77" s="269"/>
      <c r="AE77" s="265" t="s">
        <v>529</v>
      </c>
      <c r="AF77" s="270">
        <v>20.0</v>
      </c>
      <c r="AG77" s="269"/>
      <c r="AH77" s="272"/>
      <c r="AI77" s="273"/>
      <c r="AJ77" s="273"/>
      <c r="AK77" s="269"/>
      <c r="AL77" s="266" t="s">
        <v>186</v>
      </c>
      <c r="AM77" s="269" t="s">
        <v>137</v>
      </c>
      <c r="AN77" s="219" t="s">
        <v>138</v>
      </c>
      <c r="AO77" s="269"/>
      <c r="AP77" s="269"/>
      <c r="AQ77" s="269"/>
      <c r="AR77" s="269"/>
      <c r="AS77" s="269"/>
      <c r="AT77" s="269"/>
      <c r="AU77" s="269"/>
      <c r="AV77" s="269"/>
      <c r="AW77" s="269"/>
      <c r="AX77" s="269"/>
      <c r="AY77" s="61" t="str">
        <f>IFERROR(__xludf.DUMMYFUNCTION("vlookup(BB77,importrange(""https://docs.google.com/spreadsheets/d/1d2vevQ_7D_v35q4wCQ4RpQ_IPoTwEMB9Yp6ymwlPqew/edit?gid=984458430#gid=984458430"", ""'replication success'!A:K""), 11, FAlSE)"),"successful")</f>
        <v>successful</v>
      </c>
      <c r="AZ77" s="61" t="str">
        <f>IFERROR(__xludf.DUMMYFUNCTION("vlookup(BB77,importrange(""https://docs.google.com/spreadsheets/d/1d2vevQ_7D_v35q4wCQ4RpQ_IPoTwEMB9Yp6ymwlPqew/edit?gid=984458430#gid=984458430"",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7" s="61" t="str">
        <f>IFERROR(__xludf.DUMMYFUNCTION("vlookup(BB77,importrange(""https://docs.google.com/spreadsheets/d/1d2vevQ_7D_v35q4wCQ4RpQ_IPoTwEMB9Yp6ymwlPqew/edit?gid=984458430#gid=984458430"", ""'replication success'!A:M""), 13, FAlSE)"),"abstract")</f>
        <v>abstract</v>
      </c>
      <c r="BB77" s="61" t="str">
        <f>IFERROR(__xludf.DUMMYFUNCTION("REGEXREPLACE(G77, ""_[a-z]{1,2}$"", """")"),"additional_studies125")</f>
        <v>additional_studies125</v>
      </c>
      <c r="BC77" s="269"/>
      <c r="BD77" s="245" t="s">
        <v>499</v>
      </c>
      <c r="BE77" s="246"/>
      <c r="BF77" s="246"/>
      <c r="BG77" s="246"/>
      <c r="BH77" s="246"/>
      <c r="BI77" s="246"/>
      <c r="BJ77" s="246"/>
      <c r="BK77" s="246"/>
      <c r="BL77" s="246"/>
      <c r="BM77" s="246"/>
      <c r="BN77" s="246"/>
      <c r="BO77" s="246"/>
      <c r="BP77" s="246"/>
      <c r="BQ77" s="246"/>
      <c r="BR77" s="246"/>
      <c r="BS77" s="246"/>
      <c r="BT77" s="246"/>
      <c r="BU77" s="246"/>
      <c r="BV77" s="246"/>
      <c r="BW77" s="246"/>
      <c r="BX77" s="246"/>
      <c r="BY77" s="246"/>
      <c r="BZ77" s="246"/>
      <c r="CA77" s="246"/>
      <c r="CB77" s="246"/>
      <c r="CC77" s="246"/>
      <c r="CD77" s="246"/>
      <c r="CE77" s="246"/>
      <c r="CF77" s="246"/>
      <c r="CG77" s="246"/>
      <c r="CH77" s="246"/>
      <c r="CI77" s="246"/>
      <c r="CJ77" s="246"/>
      <c r="CK77" s="246"/>
      <c r="CL77" s="246"/>
      <c r="CM77" s="246"/>
      <c r="CN77" s="246"/>
      <c r="CO77" s="246"/>
      <c r="CP77" s="246"/>
      <c r="CQ77" s="246"/>
      <c r="CR77" s="246"/>
      <c r="CS77" s="246"/>
      <c r="CT77" s="246"/>
      <c r="CU77" s="246"/>
      <c r="CV77" s="246"/>
      <c r="CW77" s="246"/>
      <c r="CX77" s="246"/>
      <c r="CY77" s="246"/>
      <c r="CZ77" s="246"/>
      <c r="DA77" s="246"/>
      <c r="DB77" s="246"/>
      <c r="DC77" s="246"/>
      <c r="DD77" s="246"/>
      <c r="DE77" s="246"/>
      <c r="DF77" s="246"/>
      <c r="DG77" s="246"/>
      <c r="DH77" s="246"/>
      <c r="DI77" s="246"/>
      <c r="DJ77" s="246"/>
      <c r="DK77" s="246"/>
      <c r="DL77" s="246"/>
    </row>
    <row r="78" ht="20.25" customHeight="1">
      <c r="A78" s="44">
        <v>78.0</v>
      </c>
      <c r="B78" s="245" t="s">
        <v>523</v>
      </c>
      <c r="C78" s="245" t="s">
        <v>115</v>
      </c>
      <c r="D78" s="245" t="s">
        <v>176</v>
      </c>
      <c r="E78" s="246"/>
      <c r="F78" s="265" t="s">
        <v>479</v>
      </c>
      <c r="G78" s="266" t="s">
        <v>543</v>
      </c>
      <c r="H78" s="265" t="s">
        <v>176</v>
      </c>
      <c r="I78" s="267">
        <v>45636.0</v>
      </c>
      <c r="J78" s="268">
        <v>45679.0</v>
      </c>
      <c r="K78" s="265" t="s">
        <v>481</v>
      </c>
      <c r="L78" s="269"/>
      <c r="M78" s="265" t="s">
        <v>544</v>
      </c>
      <c r="N78" s="265" t="s">
        <v>484</v>
      </c>
      <c r="O78" s="270">
        <v>1.0</v>
      </c>
      <c r="P78" s="265" t="s">
        <v>485</v>
      </c>
      <c r="Q78" s="52" t="str">
        <f t="array" ref="Q78"> if(iserror(MATCH(V78, 'File Links'!C:C, 0)), "N/A", HYPERLINK(INDEX('File Links'!B:B, MATCH(P78, 'File Links'!C:C, 0))))</f>
        <v>https://drive.google.com/file/d/1bOamtHkDDCeR5rldqOBSgCXc_AFZb3yD/view?usp=drivesdk</v>
      </c>
      <c r="R78" s="265" t="s">
        <v>486</v>
      </c>
      <c r="S78" s="265" t="s">
        <v>487</v>
      </c>
      <c r="T78" s="269"/>
      <c r="U78" s="270">
        <v>1.0</v>
      </c>
      <c r="V78" s="265" t="s">
        <v>513</v>
      </c>
      <c r="W78" s="271" t="s">
        <v>164</v>
      </c>
      <c r="X78" s="54" t="str">
        <f t="array" ref="X78"> if(iserror(MATCH(V78, 'File Links'!C:C, 0)), "N/A", HYPERLINK(INDEX('File Links'!B:B, MATCH(V78, 'File Links'!C:C, 0))))</f>
        <v>https://drive.google.com/file/d/1iWxdhqxc4T6twXLJR2WbGMzAHqB2cMPh/view?usp=drivesdk</v>
      </c>
      <c r="Y78" s="265" t="s">
        <v>514</v>
      </c>
      <c r="Z78" s="265" t="s">
        <v>488</v>
      </c>
      <c r="AA78" s="265" t="s">
        <v>489</v>
      </c>
      <c r="AB78" s="265" t="s">
        <v>515</v>
      </c>
      <c r="AC78" s="265" t="s">
        <v>545</v>
      </c>
      <c r="AD78" s="269"/>
      <c r="AE78" s="265" t="s">
        <v>529</v>
      </c>
      <c r="AF78" s="270">
        <v>20.0</v>
      </c>
      <c r="AG78" s="269"/>
      <c r="AH78" s="272"/>
      <c r="AI78" s="273"/>
      <c r="AJ78" s="273"/>
      <c r="AK78" s="269"/>
      <c r="AL78" s="266" t="s">
        <v>186</v>
      </c>
      <c r="AM78" s="269" t="s">
        <v>137</v>
      </c>
      <c r="AN78" s="219" t="s">
        <v>138</v>
      </c>
      <c r="AO78" s="269"/>
      <c r="AP78" s="269"/>
      <c r="AQ78" s="269"/>
      <c r="AR78" s="269"/>
      <c r="AS78" s="269"/>
      <c r="AT78" s="269"/>
      <c r="AU78" s="269"/>
      <c r="AV78" s="269"/>
      <c r="AW78" s="269"/>
      <c r="AX78" s="269"/>
      <c r="AY78" s="61" t="str">
        <f>IFERROR(__xludf.DUMMYFUNCTION("vlookup(BB78,importrange(""https://docs.google.com/spreadsheets/d/1d2vevQ_7D_v35q4wCQ4RpQ_IPoTwEMB9Yp6ymwlPqew/edit?gid=984458430#gid=984458430"", ""'replication success'!A:K""), 11, FAlSE)"),"successful")</f>
        <v>successful</v>
      </c>
      <c r="AZ78" s="61" t="str">
        <f>IFERROR(__xludf.DUMMYFUNCTION("vlookup(BB78,importrange(""https://docs.google.com/spreadsheets/d/1d2vevQ_7D_v35q4wCQ4RpQ_IPoTwEMB9Yp6ymwlPqew/edit?gid=984458430#gid=984458430"",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8" s="61" t="str">
        <f>IFERROR(__xludf.DUMMYFUNCTION("vlookup(BB78,importrange(""https://docs.google.com/spreadsheets/d/1d2vevQ_7D_v35q4wCQ4RpQ_IPoTwEMB9Yp6ymwlPqew/edit?gid=984458430#gid=984458430"", ""'replication success'!A:M""), 13, FAlSE)"),"abstract")</f>
        <v>abstract</v>
      </c>
      <c r="BB78" s="61" t="str">
        <f>IFERROR(__xludf.DUMMYFUNCTION("REGEXREPLACE(G78, ""_[a-z]{1,2}$"", """")"),"additional_studies125")</f>
        <v>additional_studies125</v>
      </c>
      <c r="BC78" s="269"/>
      <c r="BD78" s="245" t="s">
        <v>499</v>
      </c>
      <c r="BE78" s="246"/>
      <c r="BF78" s="246"/>
      <c r="BG78" s="246"/>
      <c r="BH78" s="246"/>
      <c r="BI78" s="246"/>
      <c r="BJ78" s="246"/>
      <c r="BK78" s="246"/>
      <c r="BL78" s="246"/>
      <c r="BM78" s="246"/>
      <c r="BN78" s="246"/>
      <c r="BO78" s="246"/>
      <c r="BP78" s="246"/>
      <c r="BQ78" s="246"/>
      <c r="BR78" s="246"/>
      <c r="BS78" s="246"/>
      <c r="BT78" s="246"/>
      <c r="BU78" s="246"/>
      <c r="BV78" s="246"/>
      <c r="BW78" s="246"/>
      <c r="BX78" s="246"/>
      <c r="BY78" s="246"/>
      <c r="BZ78" s="246"/>
      <c r="CA78" s="246"/>
      <c r="CB78" s="246"/>
      <c r="CC78" s="246"/>
      <c r="CD78" s="246"/>
      <c r="CE78" s="246"/>
      <c r="CF78" s="246"/>
      <c r="CG78" s="246"/>
      <c r="CH78" s="246"/>
      <c r="CI78" s="246"/>
      <c r="CJ78" s="246"/>
      <c r="CK78" s="246"/>
      <c r="CL78" s="246"/>
      <c r="CM78" s="246"/>
      <c r="CN78" s="246"/>
      <c r="CO78" s="246"/>
      <c r="CP78" s="246"/>
      <c r="CQ78" s="246"/>
      <c r="CR78" s="246"/>
      <c r="CS78" s="246"/>
      <c r="CT78" s="246"/>
      <c r="CU78" s="246"/>
      <c r="CV78" s="246"/>
      <c r="CW78" s="246"/>
      <c r="CX78" s="246"/>
      <c r="CY78" s="246"/>
      <c r="CZ78" s="246"/>
      <c r="DA78" s="246"/>
      <c r="DB78" s="246"/>
      <c r="DC78" s="246"/>
      <c r="DD78" s="246"/>
      <c r="DE78" s="246"/>
      <c r="DF78" s="246"/>
      <c r="DG78" s="246"/>
      <c r="DH78" s="246"/>
      <c r="DI78" s="246"/>
      <c r="DJ78" s="246"/>
      <c r="DK78" s="246"/>
      <c r="DL78" s="246"/>
    </row>
    <row r="79" ht="20.25" customHeight="1">
      <c r="A79" s="44">
        <v>79.0</v>
      </c>
      <c r="B79" s="245" t="s">
        <v>523</v>
      </c>
      <c r="C79" s="245" t="s">
        <v>115</v>
      </c>
      <c r="D79" s="245" t="s">
        <v>176</v>
      </c>
      <c r="E79" s="246"/>
      <c r="F79" s="265" t="s">
        <v>479</v>
      </c>
      <c r="G79" s="266" t="s">
        <v>546</v>
      </c>
      <c r="H79" s="265" t="s">
        <v>176</v>
      </c>
      <c r="I79" s="267">
        <v>45636.0</v>
      </c>
      <c r="J79" s="268">
        <v>45679.0</v>
      </c>
      <c r="K79" s="265" t="s">
        <v>481</v>
      </c>
      <c r="L79" s="269"/>
      <c r="M79" s="265" t="s">
        <v>547</v>
      </c>
      <c r="N79" s="265" t="s">
        <v>484</v>
      </c>
      <c r="O79" s="270">
        <v>1.0</v>
      </c>
      <c r="P79" s="265" t="s">
        <v>485</v>
      </c>
      <c r="Q79" s="52" t="str">
        <f t="array" ref="Q79"> if(iserror(MATCH(V79, 'File Links'!C:C, 0)), "N/A", HYPERLINK(INDEX('File Links'!B:B, MATCH(P79, 'File Links'!C:C, 0))))</f>
        <v>https://drive.google.com/file/d/1bOamtHkDDCeR5rldqOBSgCXc_AFZb3yD/view?usp=drivesdk</v>
      </c>
      <c r="R79" s="265" t="s">
        <v>486</v>
      </c>
      <c r="S79" s="265" t="s">
        <v>487</v>
      </c>
      <c r="T79" s="269"/>
      <c r="U79" s="270">
        <v>1.0</v>
      </c>
      <c r="V79" s="265" t="s">
        <v>513</v>
      </c>
      <c r="W79" s="271" t="s">
        <v>164</v>
      </c>
      <c r="X79" s="54" t="str">
        <f t="array" ref="X79"> if(iserror(MATCH(V79, 'File Links'!C:C, 0)), "N/A", HYPERLINK(INDEX('File Links'!B:B, MATCH(V79, 'File Links'!C:C, 0))))</f>
        <v>https://drive.google.com/file/d/1iWxdhqxc4T6twXLJR2WbGMzAHqB2cMPh/view?usp=drivesdk</v>
      </c>
      <c r="Y79" s="265" t="s">
        <v>514</v>
      </c>
      <c r="Z79" s="265" t="s">
        <v>488</v>
      </c>
      <c r="AA79" s="265" t="s">
        <v>489</v>
      </c>
      <c r="AB79" s="265" t="s">
        <v>515</v>
      </c>
      <c r="AC79" s="265" t="s">
        <v>548</v>
      </c>
      <c r="AD79" s="269"/>
      <c r="AE79" s="265" t="s">
        <v>529</v>
      </c>
      <c r="AF79" s="270">
        <v>20.0</v>
      </c>
      <c r="AG79" s="269"/>
      <c r="AH79" s="272"/>
      <c r="AI79" s="273"/>
      <c r="AJ79" s="273"/>
      <c r="AK79" s="269"/>
      <c r="AL79" s="266" t="s">
        <v>186</v>
      </c>
      <c r="AM79" s="269" t="s">
        <v>137</v>
      </c>
      <c r="AN79" s="219" t="s">
        <v>138</v>
      </c>
      <c r="AO79" s="269"/>
      <c r="AP79" s="269"/>
      <c r="AQ79" s="269"/>
      <c r="AR79" s="269"/>
      <c r="AS79" s="269"/>
      <c r="AT79" s="269"/>
      <c r="AU79" s="269"/>
      <c r="AV79" s="269"/>
      <c r="AW79" s="269"/>
      <c r="AX79" s="269"/>
      <c r="AY79" s="61" t="str">
        <f>IFERROR(__xludf.DUMMYFUNCTION("vlookup(BB79,importrange(""https://docs.google.com/spreadsheets/d/1d2vevQ_7D_v35q4wCQ4RpQ_IPoTwEMB9Yp6ymwlPqew/edit?gid=984458430#gid=984458430"", ""'replication success'!A:K""), 11, FAlSE)"),"successful")</f>
        <v>successful</v>
      </c>
      <c r="AZ79" s="61" t="str">
        <f>IFERROR(__xludf.DUMMYFUNCTION("vlookup(BB79,importrange(""https://docs.google.com/spreadsheets/d/1d2vevQ_7D_v35q4wCQ4RpQ_IPoTwEMB9Yp6ymwlPqew/edit?gid=984458430#gid=984458430"",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79" s="61" t="str">
        <f>IFERROR(__xludf.DUMMYFUNCTION("vlookup(BB79,importrange(""https://docs.google.com/spreadsheets/d/1d2vevQ_7D_v35q4wCQ4RpQ_IPoTwEMB9Yp6ymwlPqew/edit?gid=984458430#gid=984458430"", ""'replication success'!A:M""), 13, FAlSE)"),"abstract")</f>
        <v>abstract</v>
      </c>
      <c r="BB79" s="61" t="str">
        <f>IFERROR(__xludf.DUMMYFUNCTION("REGEXREPLACE(G79, ""_[a-z]{1,2}$"", """")"),"additional_studies125")</f>
        <v>additional_studies125</v>
      </c>
      <c r="BC79" s="269"/>
      <c r="BD79" s="245" t="s">
        <v>499</v>
      </c>
      <c r="BE79" s="246"/>
      <c r="BF79" s="246"/>
      <c r="BG79" s="246"/>
      <c r="BH79" s="246"/>
      <c r="BI79" s="246"/>
      <c r="BJ79" s="246"/>
      <c r="BK79" s="246"/>
      <c r="BL79" s="246"/>
      <c r="BM79" s="246"/>
      <c r="BN79" s="246"/>
      <c r="BO79" s="246"/>
      <c r="BP79" s="246"/>
      <c r="BQ79" s="246"/>
      <c r="BR79" s="246"/>
      <c r="BS79" s="246"/>
      <c r="BT79" s="246"/>
      <c r="BU79" s="246"/>
      <c r="BV79" s="246"/>
      <c r="BW79" s="246"/>
      <c r="BX79" s="246"/>
      <c r="BY79" s="246"/>
      <c r="BZ79" s="246"/>
      <c r="CA79" s="246"/>
      <c r="CB79" s="246"/>
      <c r="CC79" s="246"/>
      <c r="CD79" s="246"/>
      <c r="CE79" s="246"/>
      <c r="CF79" s="246"/>
      <c r="CG79" s="246"/>
      <c r="CH79" s="246"/>
      <c r="CI79" s="246"/>
      <c r="CJ79" s="246"/>
      <c r="CK79" s="246"/>
      <c r="CL79" s="246"/>
      <c r="CM79" s="246"/>
      <c r="CN79" s="246"/>
      <c r="CO79" s="246"/>
      <c r="CP79" s="246"/>
      <c r="CQ79" s="246"/>
      <c r="CR79" s="246"/>
      <c r="CS79" s="246"/>
      <c r="CT79" s="246"/>
      <c r="CU79" s="246"/>
      <c r="CV79" s="246"/>
      <c r="CW79" s="246"/>
      <c r="CX79" s="246"/>
      <c r="CY79" s="246"/>
      <c r="CZ79" s="246"/>
      <c r="DA79" s="246"/>
      <c r="DB79" s="246"/>
      <c r="DC79" s="246"/>
      <c r="DD79" s="246"/>
      <c r="DE79" s="246"/>
      <c r="DF79" s="246"/>
      <c r="DG79" s="246"/>
      <c r="DH79" s="246"/>
      <c r="DI79" s="246"/>
      <c r="DJ79" s="246"/>
      <c r="DK79" s="246"/>
      <c r="DL79" s="246"/>
    </row>
    <row r="80" ht="20.25" customHeight="1">
      <c r="A80" s="44">
        <v>80.0</v>
      </c>
      <c r="B80" s="252" t="s">
        <v>523</v>
      </c>
      <c r="C80" s="274" t="s">
        <v>115</v>
      </c>
      <c r="D80" s="274" t="s">
        <v>153</v>
      </c>
      <c r="E80" s="275"/>
      <c r="F80" s="254" t="s">
        <v>479</v>
      </c>
      <c r="G80" s="255" t="s">
        <v>549</v>
      </c>
      <c r="H80" s="255" t="s">
        <v>153</v>
      </c>
      <c r="I80" s="276">
        <v>45638.0</v>
      </c>
      <c r="J80" s="257">
        <v>45679.0</v>
      </c>
      <c r="K80" s="277" t="s">
        <v>550</v>
      </c>
      <c r="L80" s="263"/>
      <c r="M80" s="255" t="s">
        <v>483</v>
      </c>
      <c r="N80" s="255" t="s">
        <v>484</v>
      </c>
      <c r="O80" s="278">
        <v>1.0</v>
      </c>
      <c r="P80" s="279" t="s">
        <v>485</v>
      </c>
      <c r="Q80" s="52" t="str">
        <f t="array" ref="Q80"> if(iserror(MATCH(V80, 'File Links'!C:C, 0)), "N/A", HYPERLINK(INDEX('File Links'!B:B, MATCH(P80, 'File Links'!C:C, 0))))</f>
        <v>https://drive.google.com/file/d/1bOamtHkDDCeR5rldqOBSgCXc_AFZb3yD/view?usp=drivesdk</v>
      </c>
      <c r="R80" s="255" t="s">
        <v>486</v>
      </c>
      <c r="S80" s="255" t="s">
        <v>487</v>
      </c>
      <c r="T80" s="263"/>
      <c r="U80" s="280">
        <v>1.0</v>
      </c>
      <c r="V80" s="66" t="str">
        <f> hyperlink(vlookup(lower(S80),'File Links'!E:F, 2, FALSE), SUBSTITUTE(lower(S80), "/", "--") &amp;  ".pdf")</f>
        <v>10.1016--j.jsams.2024.07.018.pdf</v>
      </c>
      <c r="W80" s="255" t="s">
        <v>164</v>
      </c>
      <c r="X80" s="54" t="str">
        <f t="array" ref="X80"> if(iserror(MATCH(V80, 'File Links'!C:C, 0)), "N/A", HYPERLINK(INDEX('File Links'!B:B, MATCH(V80, 'File Links'!C:C, 0))))</f>
        <v>https://drive.google.com/file/d/1iWxdhqxc4T6twXLJR2WbGMzAHqB2cMPh/view?usp=drivesdk</v>
      </c>
      <c r="Y80" s="263"/>
      <c r="Z80" s="255" t="s">
        <v>503</v>
      </c>
      <c r="AA80" s="281" t="s">
        <v>504</v>
      </c>
      <c r="AB80" s="281" t="s">
        <v>490</v>
      </c>
      <c r="AC80" s="281" t="s">
        <v>551</v>
      </c>
      <c r="AD80" s="281" t="s">
        <v>552</v>
      </c>
      <c r="AE80" s="282">
        <v>3.0</v>
      </c>
      <c r="AF80" s="282">
        <v>20.0</v>
      </c>
      <c r="AG80" s="255" t="s">
        <v>553</v>
      </c>
      <c r="AH80" s="279" t="s">
        <v>134</v>
      </c>
      <c r="AI80" s="255" t="s">
        <v>507</v>
      </c>
      <c r="AJ80" s="282">
        <v>0.059</v>
      </c>
      <c r="AK80" s="254" t="s">
        <v>172</v>
      </c>
      <c r="AL80" s="255" t="s">
        <v>218</v>
      </c>
      <c r="AM80" s="263" t="s">
        <v>141</v>
      </c>
      <c r="AN80" s="219" t="s">
        <v>138</v>
      </c>
      <c r="AO80" s="282">
        <v>39.0</v>
      </c>
      <c r="AP80" s="282">
        <v>0.052</v>
      </c>
      <c r="AQ80" s="255" t="s">
        <v>139</v>
      </c>
      <c r="AR80" s="255" t="s">
        <v>496</v>
      </c>
      <c r="AS80" s="282">
        <v>0.122</v>
      </c>
      <c r="AT80" s="254" t="s">
        <v>172</v>
      </c>
      <c r="AU80" s="283" t="s">
        <v>186</v>
      </c>
      <c r="AV80" s="260" t="s">
        <v>137</v>
      </c>
      <c r="AW80" s="284" t="s">
        <v>508</v>
      </c>
      <c r="AX80" s="285" t="s">
        <v>143</v>
      </c>
      <c r="AY80" s="61" t="str">
        <f>IFERROR(__xludf.DUMMYFUNCTION("vlookup(BB80,importrange(""https://docs.google.com/spreadsheets/d/1d2vevQ_7D_v35q4wCQ4RpQ_IPoTwEMB9Yp6ymwlPqew/edit?gid=984458430#gid=984458430"", ""'replication success'!A:K""), 11, FAlSE)"),"successful")</f>
        <v>successful</v>
      </c>
      <c r="AZ80" s="61" t="str">
        <f>IFERROR(__xludf.DUMMYFUNCTION("vlookup(BB80,importrange(""https://docs.google.com/spreadsheets/d/1d2vevQ_7D_v35q4wCQ4RpQ_IPoTwEMB9Yp6ymwlPqew/edit?gid=984458430#gid=984458430"",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80" s="61" t="str">
        <f>IFERROR(__xludf.DUMMYFUNCTION("vlookup(BB80,importrange(""https://docs.google.com/spreadsheets/d/1d2vevQ_7D_v35q4wCQ4RpQ_IPoTwEMB9Yp6ymwlPqew/edit?gid=984458430#gid=984458430"", ""'replication success'!A:M""), 13, FAlSE)"),"abstract")</f>
        <v>abstract</v>
      </c>
      <c r="BB80" s="61" t="str">
        <f>IFERROR(__xludf.DUMMYFUNCTION("REGEXREPLACE(G80, ""_[a-z]{1,2}$"", """")"),"additional_studies125")</f>
        <v>additional_studies125</v>
      </c>
      <c r="BC80" s="286" t="s">
        <v>554</v>
      </c>
      <c r="BD80" s="252" t="s">
        <v>499</v>
      </c>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row>
    <row r="81" ht="20.25" customHeight="1">
      <c r="A81" s="44">
        <v>81.0</v>
      </c>
      <c r="B81" s="287" t="s">
        <v>152</v>
      </c>
      <c r="C81" s="288" t="s">
        <v>115</v>
      </c>
      <c r="D81" s="288" t="s">
        <v>153</v>
      </c>
      <c r="E81" s="289"/>
      <c r="F81" s="290" t="s">
        <v>479</v>
      </c>
      <c r="G81" s="291" t="s">
        <v>555</v>
      </c>
      <c r="H81" s="291" t="s">
        <v>153</v>
      </c>
      <c r="I81" s="292">
        <v>45638.0</v>
      </c>
      <c r="J81" s="293">
        <v>45679.0</v>
      </c>
      <c r="K81" s="294" t="s">
        <v>556</v>
      </c>
      <c r="L81" s="295" t="s">
        <v>557</v>
      </c>
      <c r="M81" s="296" t="s">
        <v>558</v>
      </c>
      <c r="N81" s="291" t="s">
        <v>484</v>
      </c>
      <c r="O81" s="297">
        <v>1.0</v>
      </c>
      <c r="P81" s="298" t="s">
        <v>485</v>
      </c>
      <c r="Q81" s="52" t="str">
        <f t="array" ref="Q81"> if(iserror(MATCH(V81, 'File Links'!C:C, 0)), "N/A", HYPERLINK(INDEX('File Links'!B:B, MATCH(P81, 'File Links'!C:C, 0))))</f>
        <v>https://drive.google.com/file/d/1bOamtHkDDCeR5rldqOBSgCXc_AFZb3yD/view?usp=drivesdk</v>
      </c>
      <c r="R81" s="291" t="s">
        <v>486</v>
      </c>
      <c r="S81" s="291" t="s">
        <v>487</v>
      </c>
      <c r="T81" s="299"/>
      <c r="U81" s="300">
        <v>1.0</v>
      </c>
      <c r="V81" s="66" t="str">
        <f> hyperlink(vlookup(lower(S81),'File Links'!E:F, 2, FALSE), SUBSTITUTE(lower(S81), "/", "--") &amp;  ".pdf")</f>
        <v>10.1016--j.jsams.2024.07.018.pdf</v>
      </c>
      <c r="W81" s="291" t="s">
        <v>164</v>
      </c>
      <c r="X81" s="54" t="str">
        <f t="array" ref="X81"> if(iserror(MATCH(V81, 'File Links'!C:C, 0)), "N/A", HYPERLINK(INDEX('File Links'!B:B, MATCH(V81, 'File Links'!C:C, 0))))</f>
        <v>https://drive.google.com/file/d/1iWxdhqxc4T6twXLJR2WbGMzAHqB2cMPh/view?usp=drivesdk</v>
      </c>
      <c r="Y81" s="299"/>
      <c r="Z81" s="291" t="s">
        <v>503</v>
      </c>
      <c r="AA81" s="301" t="s">
        <v>504</v>
      </c>
      <c r="AB81" s="301" t="s">
        <v>490</v>
      </c>
      <c r="AC81" s="301" t="s">
        <v>559</v>
      </c>
      <c r="AD81" s="301" t="s">
        <v>560</v>
      </c>
      <c r="AE81" s="302">
        <v>3.0</v>
      </c>
      <c r="AF81" s="302">
        <v>20.0</v>
      </c>
      <c r="AG81" s="291" t="s">
        <v>561</v>
      </c>
      <c r="AH81" s="298" t="s">
        <v>134</v>
      </c>
      <c r="AI81" s="303" t="s">
        <v>217</v>
      </c>
      <c r="AJ81" s="302">
        <v>4.0E-4</v>
      </c>
      <c r="AK81" s="290" t="s">
        <v>172</v>
      </c>
      <c r="AL81" s="291" t="s">
        <v>218</v>
      </c>
      <c r="AM81" s="299" t="s">
        <v>141</v>
      </c>
      <c r="AN81" s="219" t="s">
        <v>138</v>
      </c>
      <c r="AO81" s="302">
        <v>39.0</v>
      </c>
      <c r="AP81" s="302">
        <v>0.054</v>
      </c>
      <c r="AQ81" s="291" t="s">
        <v>139</v>
      </c>
      <c r="AR81" s="291" t="s">
        <v>496</v>
      </c>
      <c r="AS81" s="302">
        <v>0.11</v>
      </c>
      <c r="AT81" s="290" t="s">
        <v>172</v>
      </c>
      <c r="AU81" s="304" t="s">
        <v>186</v>
      </c>
      <c r="AV81" s="305" t="s">
        <v>137</v>
      </c>
      <c r="AW81" s="306" t="s">
        <v>508</v>
      </c>
      <c r="AX81" s="307" t="s">
        <v>143</v>
      </c>
      <c r="AY81" s="61" t="str">
        <f>IFERROR(__xludf.DUMMYFUNCTION("vlookup(BB81,importrange(""https://docs.google.com/spreadsheets/d/1d2vevQ_7D_v35q4wCQ4RpQ_IPoTwEMB9Yp6ymwlPqew/edit?gid=984458430#gid=984458430"", ""'replication success'!A:K""), 11, FAlSE)"),"successful")</f>
        <v>successful</v>
      </c>
      <c r="AZ81" s="61" t="str">
        <f>IFERROR(__xludf.DUMMYFUNCTION("vlookup(BB81,importrange(""https://docs.google.com/spreadsheets/d/1d2vevQ_7D_v35q4wCQ4RpQ_IPoTwEMB9Yp6ymwlPqew/edit?gid=984458430#gid=984458430"", ""'replication success'!A:M""), 12, FAlSE)"),"Overall, we replicated the original study findings for the effect of maximal anaerobic fatigue on anterior reach distance in a Y-Balance Test.")</f>
        <v>Overall, we replicated the original study findings for the effect of maximal anaerobic fatigue on anterior reach distance in a Y-Balance Test.</v>
      </c>
      <c r="BA81" s="61" t="str">
        <f>IFERROR(__xludf.DUMMYFUNCTION("vlookup(BB81,importrange(""https://docs.google.com/spreadsheets/d/1d2vevQ_7D_v35q4wCQ4RpQ_IPoTwEMB9Yp6ymwlPqew/edit?gid=984458430#gid=984458430"", ""'replication success'!A:M""), 13, FAlSE)"),"abstract")</f>
        <v>abstract</v>
      </c>
      <c r="BB81" s="61" t="str">
        <f>IFERROR(__xludf.DUMMYFUNCTION("REGEXREPLACE(G81, ""_[a-z]{1,2}$"", """")"),"additional_studies125")</f>
        <v>additional_studies125</v>
      </c>
      <c r="BC81" s="299"/>
      <c r="BD81" s="287" t="s">
        <v>499</v>
      </c>
      <c r="BE81" s="308"/>
      <c r="BF81" s="308"/>
      <c r="BG81" s="308"/>
      <c r="BH81" s="308"/>
      <c r="BI81" s="308"/>
      <c r="BJ81" s="308"/>
      <c r="BK81" s="308"/>
      <c r="BL81" s="308"/>
      <c r="BM81" s="308"/>
      <c r="BN81" s="308"/>
      <c r="BO81" s="308"/>
      <c r="BP81" s="308"/>
      <c r="BQ81" s="308"/>
      <c r="BR81" s="308"/>
      <c r="BS81" s="308"/>
      <c r="BT81" s="308"/>
      <c r="BU81" s="308"/>
      <c r="BV81" s="308"/>
      <c r="BW81" s="308"/>
      <c r="BX81" s="308"/>
      <c r="BY81" s="308"/>
      <c r="BZ81" s="308"/>
      <c r="CA81" s="308"/>
      <c r="CB81" s="308"/>
      <c r="CC81" s="308"/>
      <c r="CD81" s="308"/>
      <c r="CE81" s="308"/>
      <c r="CF81" s="308"/>
      <c r="CG81" s="308"/>
      <c r="CH81" s="308"/>
      <c r="CI81" s="308"/>
      <c r="CJ81" s="308"/>
      <c r="CK81" s="308"/>
      <c r="CL81" s="308"/>
      <c r="CM81" s="308"/>
      <c r="CN81" s="308"/>
      <c r="CO81" s="308"/>
      <c r="CP81" s="308"/>
      <c r="CQ81" s="308"/>
      <c r="CR81" s="308"/>
      <c r="CS81" s="308"/>
      <c r="CT81" s="308"/>
      <c r="CU81" s="308"/>
      <c r="CV81" s="308"/>
      <c r="CW81" s="308"/>
      <c r="CX81" s="308"/>
      <c r="CY81" s="308"/>
      <c r="CZ81" s="308"/>
      <c r="DA81" s="308"/>
      <c r="DB81" s="308"/>
      <c r="DC81" s="308"/>
      <c r="DD81" s="308"/>
      <c r="DE81" s="308"/>
      <c r="DF81" s="308"/>
      <c r="DG81" s="308"/>
      <c r="DH81" s="308"/>
      <c r="DI81" s="308"/>
      <c r="DJ81" s="308"/>
      <c r="DK81" s="308"/>
      <c r="DL81" s="308"/>
    </row>
    <row r="82" ht="20.25" customHeight="1">
      <c r="A82" s="44">
        <v>82.0</v>
      </c>
      <c r="B82" s="45" t="s">
        <v>114</v>
      </c>
      <c r="C82" s="45" t="s">
        <v>115</v>
      </c>
      <c r="D82" s="151" t="s">
        <v>248</v>
      </c>
      <c r="E82" s="45"/>
      <c r="F82" s="62" t="s">
        <v>562</v>
      </c>
      <c r="G82" s="45" t="s">
        <v>563</v>
      </c>
      <c r="H82" s="45" t="s">
        <v>249</v>
      </c>
      <c r="I82" s="63">
        <v>45427.0</v>
      </c>
      <c r="J82" s="64">
        <v>45626.0</v>
      </c>
      <c r="K82" s="45" t="s">
        <v>564</v>
      </c>
      <c r="L82" s="65"/>
      <c r="M82" s="45" t="s">
        <v>565</v>
      </c>
      <c r="N82" s="45" t="s">
        <v>566</v>
      </c>
      <c r="O82" s="65"/>
      <c r="P82" s="118" t="str">
        <f> hyperlink(vlookup(lower(N82),'File Links'!A:B, 2, FALSE), SUBSTITUTE(lower(N82), "/", "--") &amp;  ".pdf")</f>
        <v>10.1017--s1355617717001059.pdf</v>
      </c>
      <c r="Q82" s="108" t="str">
        <f t="array" ref="Q82"> if(iserror(MATCH(V82, 'File Links'!C:C, 0)), "N/A", HYPERLINK(INDEX('File Links'!B:B, MATCH(P82, 'File Links'!C:C, 0))))</f>
        <v>N/A</v>
      </c>
      <c r="R82" s="45" t="s">
        <v>567</v>
      </c>
      <c r="S82" s="45" t="s">
        <v>568</v>
      </c>
      <c r="T82" s="65"/>
      <c r="U82" s="65"/>
      <c r="V82" s="66" t="str">
        <f> hyperlink(vlookup(lower(S82),'File Links'!E:F, 2, FALSE), SUBSTITUTE(lower(S82), "/", "--") &amp;  ".pdf")</f>
        <v>10.1038--s44220-024-00225-1.pdf</v>
      </c>
      <c r="W82" s="65"/>
      <c r="X82" s="49" t="str">
        <f t="array" ref="X82"> if(iserror(MATCH(V82, 'File Links'!C:C, 0)), "N/A", HYPERLINK(INDEX('File Links'!B:B, MATCH(V82, 'File Links'!C:C, 0))))</f>
        <v>N/A</v>
      </c>
      <c r="Y82" s="45" t="s">
        <v>569</v>
      </c>
      <c r="Z82" s="45" t="s">
        <v>503</v>
      </c>
      <c r="AA82" s="65"/>
      <c r="AB82" s="45" t="s">
        <v>570</v>
      </c>
      <c r="AC82" s="45" t="s">
        <v>571</v>
      </c>
      <c r="AD82" s="45" t="s">
        <v>572</v>
      </c>
      <c r="AE82" s="45" t="s">
        <v>573</v>
      </c>
      <c r="AF82" s="45">
        <v>272.0</v>
      </c>
      <c r="AG82" s="65"/>
      <c r="AH82" s="65"/>
      <c r="AI82" s="65"/>
      <c r="AJ82" s="45"/>
      <c r="AK82" s="65"/>
      <c r="AL82" s="65"/>
      <c r="AM82" s="67"/>
      <c r="AN82" s="219" t="s">
        <v>138</v>
      </c>
      <c r="AO82" s="65"/>
      <c r="AP82" s="65"/>
      <c r="AQ82" s="65"/>
      <c r="AR82" s="65"/>
      <c r="AS82" s="65"/>
      <c r="AT82" s="65"/>
      <c r="AU82" s="65"/>
      <c r="AV82" s="67"/>
      <c r="AX82" s="129" t="s">
        <v>574</v>
      </c>
      <c r="AY82" s="61" t="str">
        <f>IFERROR(__xludf.DUMMYFUNCTION("vlookup(BB82,importrange(""https://docs.google.com/spreadsheets/d/1d2vevQ_7D_v35q4wCQ4RpQ_IPoTwEMB9Yp6ymwlPqew/edit?gid=984458430#gid=984458430"", ""'replication success'!A:K""), 11, FAlSE)"),"#N/A")</f>
        <v>#N/A</v>
      </c>
      <c r="AZ82" s="61" t="str">
        <f>IFERROR(__xludf.DUMMYFUNCTION("vlookup(BB82,importrange(""https://docs.google.com/spreadsheets/d/1d2vevQ_7D_v35q4wCQ4RpQ_IPoTwEMB9Yp6ymwlPqew/edit?gid=984458430#gid=984458430"", ""'replication success'!A:M""), 12, FAlSE)"),"#N/A")</f>
        <v>#N/A</v>
      </c>
      <c r="BA82" s="61" t="str">
        <f>IFERROR(__xludf.DUMMYFUNCTION("vlookup(BB82,importrange(""https://docs.google.com/spreadsheets/d/1d2vevQ_7D_v35q4wCQ4RpQ_IPoTwEMB9Yp6ymwlPqew/edit?gid=984458430#gid=984458430"", ""'replication success'!A:M""), 13, FAlSE)"),"#N/A")</f>
        <v>#N/A</v>
      </c>
      <c r="BB82" s="61" t="str">
        <f>IFERROR(__xludf.DUMMYFUNCTION("REGEXREPLACE(G82, ""_[a-z]{1,2}$"", """")"),"additional_studies13")</f>
        <v>additional_studies13</v>
      </c>
      <c r="BC82" s="65"/>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row>
    <row r="83" ht="20.25" customHeight="1">
      <c r="A83" s="44">
        <v>83.0</v>
      </c>
      <c r="B83" s="45" t="s">
        <v>114</v>
      </c>
      <c r="C83" s="62" t="s">
        <v>115</v>
      </c>
      <c r="D83" s="62" t="s">
        <v>286</v>
      </c>
      <c r="F83" s="155" t="s">
        <v>562</v>
      </c>
      <c r="G83" s="151" t="s">
        <v>563</v>
      </c>
      <c r="H83" s="151" t="s">
        <v>289</v>
      </c>
      <c r="I83" s="153">
        <v>45427.0</v>
      </c>
      <c r="J83" s="153">
        <v>45684.0</v>
      </c>
      <c r="K83" s="129" t="s">
        <v>575</v>
      </c>
      <c r="L83" s="68"/>
      <c r="M83" s="155" t="s">
        <v>565</v>
      </c>
      <c r="N83" s="155" t="s">
        <v>566</v>
      </c>
      <c r="O83" s="156"/>
      <c r="P83" s="309" t="s">
        <v>576</v>
      </c>
      <c r="Q83" s="108" t="str">
        <f t="array" ref="Q83"> if(iserror(MATCH(V83, 'File Links'!C:C, 0)), "N/A", HYPERLINK(INDEX('File Links'!B:B, MATCH(P83, 'File Links'!C:C, 0))))</f>
        <v>N/A</v>
      </c>
      <c r="R83" s="129" t="s">
        <v>567</v>
      </c>
      <c r="S83" s="68"/>
      <c r="T83" s="68"/>
      <c r="U83" s="156"/>
      <c r="V83" s="309" t="s">
        <v>577</v>
      </c>
      <c r="W83" s="68"/>
      <c r="X83" s="49" t="str">
        <f t="array" ref="X83"> if(iserror(MATCH(V83, 'File Links'!C:C, 0)), "N/A", HYPERLINK(INDEX('File Links'!B:B, MATCH(V83, 'File Links'!C:C, 0))))</f>
        <v>N/A</v>
      </c>
      <c r="Y83" s="45" t="s">
        <v>569</v>
      </c>
      <c r="Z83" s="151" t="s">
        <v>148</v>
      </c>
      <c r="AA83" s="68"/>
      <c r="AB83" s="68"/>
      <c r="AC83" s="68"/>
      <c r="AD83" s="158"/>
      <c r="AE83" s="156"/>
      <c r="AF83" s="156"/>
      <c r="AG83" s="156"/>
      <c r="AH83" s="159"/>
      <c r="AI83" s="68"/>
      <c r="AJ83" s="160"/>
      <c r="AK83" s="57"/>
      <c r="AL83" s="57"/>
      <c r="AM83" s="68"/>
      <c r="AN83" s="219" t="s">
        <v>138</v>
      </c>
      <c r="AO83" s="156"/>
      <c r="AP83" s="156"/>
      <c r="AQ83" s="159"/>
      <c r="AR83" s="68"/>
      <c r="AS83" s="162"/>
      <c r="AT83" s="159"/>
      <c r="AU83" s="159"/>
      <c r="AV83" s="68"/>
      <c r="AW83" s="310"/>
      <c r="AX83" s="68"/>
      <c r="AY83" s="61" t="str">
        <f>IFERROR(__xludf.DUMMYFUNCTION("vlookup(BB83,importrange(""https://docs.google.com/spreadsheets/d/1d2vevQ_7D_v35q4wCQ4RpQ_IPoTwEMB9Yp6ymwlPqew/edit?gid=984458430#gid=984458430"", ""'replication success'!A:K""), 11, FAlSE)"),"#N/A")</f>
        <v>#N/A</v>
      </c>
      <c r="AZ83" s="61" t="str">
        <f>IFERROR(__xludf.DUMMYFUNCTION("vlookup(BB83,importrange(""https://docs.google.com/spreadsheets/d/1d2vevQ_7D_v35q4wCQ4RpQ_IPoTwEMB9Yp6ymwlPqew/edit?gid=984458430#gid=984458430"", ""'replication success'!A:M""), 12, FAlSE)"),"#N/A")</f>
        <v>#N/A</v>
      </c>
      <c r="BA83" s="61" t="str">
        <f>IFERROR(__xludf.DUMMYFUNCTION("vlookup(BB83,importrange(""https://docs.google.com/spreadsheets/d/1d2vevQ_7D_v35q4wCQ4RpQ_IPoTwEMB9Yp6ymwlPqew/edit?gid=984458430#gid=984458430"", ""'replication success'!A:M""), 13, FAlSE)"),"#N/A")</f>
        <v>#N/A</v>
      </c>
      <c r="BB83" s="61" t="str">
        <f>IFERROR(__xludf.DUMMYFUNCTION("REGEXREPLACE(G83, ""_[a-z]{1,2}$"", """")"),"additional_studies13")</f>
        <v>additional_studies13</v>
      </c>
      <c r="BE83" s="71"/>
      <c r="BF83" s="71"/>
      <c r="BG83" s="71"/>
      <c r="BH83" s="71"/>
      <c r="BI83" s="71"/>
      <c r="BJ83" s="71"/>
      <c r="BK83" s="71"/>
      <c r="BL83" s="71"/>
      <c r="BM83" s="71"/>
      <c r="BN83" s="71"/>
      <c r="BO83" s="71"/>
      <c r="BP83" s="71"/>
      <c r="BQ83" s="71"/>
      <c r="BR83" s="71"/>
      <c r="BS83" s="71"/>
      <c r="BT83" s="71"/>
      <c r="BU83" s="71"/>
      <c r="BV83" s="71"/>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row>
    <row r="84" ht="20.25" customHeight="1">
      <c r="A84" s="44">
        <v>84.0</v>
      </c>
      <c r="B84" s="45" t="s">
        <v>523</v>
      </c>
      <c r="C84" s="45" t="s">
        <v>115</v>
      </c>
      <c r="D84" s="151" t="s">
        <v>248</v>
      </c>
      <c r="E84" s="45"/>
      <c r="F84" s="62" t="s">
        <v>578</v>
      </c>
      <c r="G84" s="45" t="s">
        <v>579</v>
      </c>
      <c r="H84" s="45" t="s">
        <v>249</v>
      </c>
      <c r="I84" s="63">
        <v>45427.0</v>
      </c>
      <c r="J84" s="64">
        <v>45626.0</v>
      </c>
      <c r="K84" s="45" t="s">
        <v>580</v>
      </c>
      <c r="L84" s="65"/>
      <c r="M84" s="45" t="s">
        <v>581</v>
      </c>
      <c r="N84" s="45" t="s">
        <v>582</v>
      </c>
      <c r="O84" s="65"/>
      <c r="P84" s="118" t="str">
        <f> hyperlink(vlookup(lower(N84),'File Links'!A:B, 2, FALSE), SUBSTITUTE(lower(N84), "/", "--") &amp;  ".pdf")</f>
        <v>10.2307--25148791.pdf</v>
      </c>
      <c r="Q84" s="52" t="str">
        <f t="array" ref="Q84"> if(iserror(MATCH(V84, 'File Links'!C:C, 0)), "N/A", HYPERLINK(INDEX('File Links'!B:B, MATCH(P84, 'File Links'!C:C, 0))))</f>
        <v>https://drive.google.com/file/d/1R2VrRXYyejGfSg11kpe_vHbQr5DvYbiJ/view?usp=drivesdk</v>
      </c>
      <c r="R84" s="45" t="s">
        <v>583</v>
      </c>
      <c r="S84" s="45" t="s">
        <v>584</v>
      </c>
      <c r="T84" s="65"/>
      <c r="U84" s="65"/>
      <c r="V84" s="66" t="str">
        <f> hyperlink(vlookup(lower(S84),'File Links'!E:F, 2, FALSE), SUBSTITUTE(lower(S84), "/", "--") &amp;  ".pdf")</f>
        <v>10.2139--ssrn.3816626.pdf</v>
      </c>
      <c r="W84" s="65"/>
      <c r="X84" s="54" t="str">
        <f t="array" ref="X84"> if(iserror(MATCH(V84, 'File Links'!C:C, 0)), "N/A", HYPERLINK(INDEX('File Links'!B:B, MATCH(V84, 'File Links'!C:C, 0))))</f>
        <v>https://drive.google.com/file/d/15dFaGlw5PiU4FQdHXfm-MBl-bSuobzO2/view?usp=drivesdk</v>
      </c>
      <c r="Y84" s="45" t="s">
        <v>585</v>
      </c>
      <c r="Z84" s="45" t="s">
        <v>586</v>
      </c>
      <c r="AA84" s="65"/>
      <c r="AB84" s="65"/>
      <c r="AC84" s="45" t="s">
        <v>587</v>
      </c>
      <c r="AD84" s="65"/>
      <c r="AE84" s="65"/>
      <c r="AF84" s="65"/>
      <c r="AG84" s="65"/>
      <c r="AH84" s="65"/>
      <c r="AI84" s="65"/>
      <c r="AJ84" s="45"/>
      <c r="AK84" s="65"/>
      <c r="AL84" s="65"/>
      <c r="AM84" s="67"/>
      <c r="AN84" s="219" t="s">
        <v>138</v>
      </c>
      <c r="AO84" s="65"/>
      <c r="AP84" s="65"/>
      <c r="AQ84" s="65"/>
      <c r="AR84" s="65"/>
      <c r="AS84" s="65"/>
      <c r="AT84" s="65"/>
      <c r="AU84" s="65"/>
      <c r="AV84" s="67"/>
      <c r="AX84" s="129" t="s">
        <v>273</v>
      </c>
      <c r="AY84" s="61" t="str">
        <f>IFERROR(__xludf.DUMMYFUNCTION("vlookup(BB84,importrange(""https://docs.google.com/spreadsheets/d/1d2vevQ_7D_v35q4wCQ4RpQ_IPoTwEMB9Yp6ymwlPqew/edit?gid=984458430#gid=984458430"", ""'replication success'!A:K""), 11, FAlSE)"),"#N/A")</f>
        <v>#N/A</v>
      </c>
      <c r="AZ84" s="61" t="str">
        <f>IFERROR(__xludf.DUMMYFUNCTION("vlookup(BB84,importrange(""https://docs.google.com/spreadsheets/d/1d2vevQ_7D_v35q4wCQ4RpQ_IPoTwEMB9Yp6ymwlPqew/edit?gid=984458430#gid=984458430"", ""'replication success'!A:M""), 12, FAlSE)"),"#N/A")</f>
        <v>#N/A</v>
      </c>
      <c r="BA84" s="61" t="str">
        <f>IFERROR(__xludf.DUMMYFUNCTION("vlookup(BB84,importrange(""https://docs.google.com/spreadsheets/d/1d2vevQ_7D_v35q4wCQ4RpQ_IPoTwEMB9Yp6ymwlPqew/edit?gid=984458430#gid=984458430"", ""'replication success'!A:M""), 13, FAlSE)"),"#N/A")</f>
        <v>#N/A</v>
      </c>
      <c r="BB84" s="61" t="str">
        <f>IFERROR(__xludf.DUMMYFUNCTION("REGEXREPLACE(G84, ""_[a-z]{1,2}$"", """")"),"additional_studies14")</f>
        <v>additional_studies14</v>
      </c>
      <c r="BC84" s="65"/>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row>
    <row r="85" ht="20.25" customHeight="1">
      <c r="A85" s="44">
        <v>85.0</v>
      </c>
      <c r="B85" s="45" t="s">
        <v>523</v>
      </c>
      <c r="C85" s="62" t="s">
        <v>115</v>
      </c>
      <c r="D85" s="62" t="s">
        <v>286</v>
      </c>
      <c r="F85" s="155" t="s">
        <v>578</v>
      </c>
      <c r="G85" s="151" t="s">
        <v>579</v>
      </c>
      <c r="H85" s="151" t="s">
        <v>289</v>
      </c>
      <c r="I85" s="153">
        <v>45427.0</v>
      </c>
      <c r="J85" s="153">
        <v>45684.0</v>
      </c>
      <c r="K85" s="129" t="s">
        <v>588</v>
      </c>
      <c r="L85" s="68"/>
      <c r="M85" s="155" t="s">
        <v>581</v>
      </c>
      <c r="N85" s="155" t="s">
        <v>582</v>
      </c>
      <c r="O85" s="156"/>
      <c r="P85" s="309" t="s">
        <v>589</v>
      </c>
      <c r="Q85" s="52" t="str">
        <f t="array" ref="Q85"> if(iserror(MATCH(V85, 'File Links'!C:C, 0)), "N/A", HYPERLINK(INDEX('File Links'!B:B, MATCH(P85, 'File Links'!C:C, 0))))</f>
        <v>https://drive.google.com/file/d/1R2VrRXYyejGfSg11kpe_vHbQr5DvYbiJ/view?usp=drivesdk</v>
      </c>
      <c r="R85" s="129" t="s">
        <v>583</v>
      </c>
      <c r="S85" s="129" t="s">
        <v>584</v>
      </c>
      <c r="T85" s="68"/>
      <c r="U85" s="156"/>
      <c r="V85" s="66" t="str">
        <f> hyperlink(vlookup(lower(S85),'File Links'!E:F, 2, FALSE), SUBSTITUTE(lower(S85), "/", "--") &amp;  ".pdf")</f>
        <v>10.2139--ssrn.3816626.pdf</v>
      </c>
      <c r="W85" s="68"/>
      <c r="X85" s="54" t="str">
        <f t="array" ref="X85"> if(iserror(MATCH(V85, 'File Links'!C:C, 0)), "N/A", HYPERLINK(INDEX('File Links'!B:B, MATCH(V85, 'File Links'!C:C, 0))))</f>
        <v>https://drive.google.com/file/d/15dFaGlw5PiU4FQdHXfm-MBl-bSuobzO2/view?usp=drivesdk</v>
      </c>
      <c r="Z85" s="151" t="s">
        <v>586</v>
      </c>
      <c r="AG85" s="156"/>
      <c r="AH85" s="159"/>
      <c r="AI85" s="68"/>
      <c r="AJ85" s="160"/>
      <c r="AK85" s="57"/>
      <c r="AL85" s="57"/>
      <c r="AM85" s="68"/>
      <c r="AN85" s="219" t="s">
        <v>138</v>
      </c>
      <c r="AO85" s="156"/>
      <c r="AP85" s="156"/>
      <c r="AQ85" s="159"/>
      <c r="AR85" s="68"/>
      <c r="AS85" s="162"/>
      <c r="AT85" s="159"/>
      <c r="AU85" s="159"/>
      <c r="AV85" s="68"/>
      <c r="AW85" s="310"/>
      <c r="AX85" s="68"/>
      <c r="AY85" s="61" t="str">
        <f>IFERROR(__xludf.DUMMYFUNCTION("vlookup(BB85,importrange(""https://docs.google.com/spreadsheets/d/1d2vevQ_7D_v35q4wCQ4RpQ_IPoTwEMB9Yp6ymwlPqew/edit?gid=984458430#gid=984458430"", ""'replication success'!A:K""), 11, FAlSE)"),"#N/A")</f>
        <v>#N/A</v>
      </c>
      <c r="AZ85" s="61" t="str">
        <f>IFERROR(__xludf.DUMMYFUNCTION("vlookup(BB85,importrange(""https://docs.google.com/spreadsheets/d/1d2vevQ_7D_v35q4wCQ4RpQ_IPoTwEMB9Yp6ymwlPqew/edit?gid=984458430#gid=984458430"", ""'replication success'!A:M""), 12, FAlSE)"),"#N/A")</f>
        <v>#N/A</v>
      </c>
      <c r="BA85" s="61" t="str">
        <f>IFERROR(__xludf.DUMMYFUNCTION("vlookup(BB85,importrange(""https://docs.google.com/spreadsheets/d/1d2vevQ_7D_v35q4wCQ4RpQ_IPoTwEMB9Yp6ymwlPqew/edit?gid=984458430#gid=984458430"", ""'replication success'!A:M""), 13, FAlSE)"),"#N/A")</f>
        <v>#N/A</v>
      </c>
      <c r="BB85" s="61" t="str">
        <f>IFERROR(__xludf.DUMMYFUNCTION("REGEXREPLACE(G85, ""_[a-z]{1,2}$"", """")"),"additional_studies14")</f>
        <v>additional_studies14</v>
      </c>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row>
    <row r="86" ht="20.25" customHeight="1">
      <c r="A86" s="44">
        <v>86.0</v>
      </c>
      <c r="B86" s="109" t="s">
        <v>590</v>
      </c>
      <c r="C86" s="109" t="s">
        <v>115</v>
      </c>
      <c r="D86" s="149" t="s">
        <v>442</v>
      </c>
      <c r="E86" s="71"/>
      <c r="F86" s="218" t="s">
        <v>591</v>
      </c>
      <c r="G86" s="210" t="s">
        <v>592</v>
      </c>
      <c r="H86" s="210" t="s">
        <v>445</v>
      </c>
      <c r="I86" s="211">
        <v>45636.0</v>
      </c>
      <c r="J86" s="311">
        <v>45680.0</v>
      </c>
      <c r="K86" s="114"/>
      <c r="L86" s="147" t="s">
        <v>593</v>
      </c>
      <c r="M86" s="210" t="s">
        <v>594</v>
      </c>
      <c r="N86" s="210" t="s">
        <v>595</v>
      </c>
      <c r="O86" s="114"/>
      <c r="P86" s="214" t="s">
        <v>596</v>
      </c>
      <c r="Q86" s="52" t="str">
        <f t="array" ref="Q86"> if(iserror(MATCH(V86, 'File Links'!C:C, 0)), "N/A", HYPERLINK(INDEX('File Links'!B:B, MATCH(P86, 'File Links'!C:C, 0))))</f>
        <v>https://drive.google.com/file/d/1RTiaFppoyqVSbs6ENCjo8xyaIVfjFhVI/view?usp=drivesdk</v>
      </c>
      <c r="R86" s="210" t="s">
        <v>597</v>
      </c>
      <c r="S86" s="312" t="s">
        <v>598</v>
      </c>
      <c r="T86" s="114"/>
      <c r="U86" s="120"/>
      <c r="V86" s="66" t="str">
        <f> hyperlink(vlookup(lower(S86),'File Links'!E:F, 2, FALSE), SUBSTITUTE(lower(S86), "/", "--") &amp;  ".pdf")</f>
        <v>10.1016--j.jsp.2024.101307.pdf</v>
      </c>
      <c r="W86" s="210" t="s">
        <v>164</v>
      </c>
      <c r="X86" s="54" t="str">
        <f t="array" ref="X86"> if(iserror(MATCH(V86, 'File Links'!C:C, 0)), "N/A", HYPERLINK(INDEX('File Links'!B:B, MATCH(V86, 'File Links'!C:C, 0))))</f>
        <v>https://drive.google.com/file/d/1VAdnhoiJmdHbv1LbvyIfcfg3rNALrpkj/view?usp=drivesdk</v>
      </c>
      <c r="Y86" s="114"/>
      <c r="Z86" s="313" t="s">
        <v>241</v>
      </c>
      <c r="AA86" s="114"/>
      <c r="AB86" s="210" t="s">
        <v>599</v>
      </c>
      <c r="AC86" s="210" t="s">
        <v>600</v>
      </c>
      <c r="AD86" s="314" t="s">
        <v>601</v>
      </c>
      <c r="AE86" s="217">
        <v>25.0</v>
      </c>
      <c r="AF86" s="217">
        <v>6.0</v>
      </c>
      <c r="AG86" s="315">
        <v>1.21</v>
      </c>
      <c r="AH86" s="214" t="s">
        <v>602</v>
      </c>
      <c r="AI86" s="210" t="s">
        <v>603</v>
      </c>
      <c r="AJ86" s="316">
        <v>0.006</v>
      </c>
      <c r="AK86" s="218" t="s">
        <v>172</v>
      </c>
      <c r="AL86" s="210" t="s">
        <v>186</v>
      </c>
      <c r="AM86" s="210" t="s">
        <v>141</v>
      </c>
      <c r="AN86" s="219" t="s">
        <v>138</v>
      </c>
      <c r="AO86" s="217">
        <v>4.0</v>
      </c>
      <c r="AP86" s="217">
        <v>2.06</v>
      </c>
      <c r="AQ86" s="210" t="s">
        <v>602</v>
      </c>
      <c r="AR86" s="210" t="s">
        <v>604</v>
      </c>
      <c r="AS86" s="316">
        <v>0.25</v>
      </c>
      <c r="AT86" s="218" t="s">
        <v>172</v>
      </c>
      <c r="AU86" s="218" t="s">
        <v>186</v>
      </c>
      <c r="AV86" s="218" t="s">
        <v>141</v>
      </c>
      <c r="AW86" s="111"/>
      <c r="AX86" s="218" t="s">
        <v>438</v>
      </c>
      <c r="AY86" s="61" t="str">
        <f>IFERROR(__xludf.DUMMYFUNCTION("vlookup(BB86,importrange(""https://docs.google.com/spreadsheets/d/1d2vevQ_7D_v35q4wCQ4RpQ_IPoTwEMB9Yp6ymwlPqew/edit?gid=984458430#gid=984458430"", ""'replication success'!A:K""), 11, FAlSE)"),"#N/A")</f>
        <v>#N/A</v>
      </c>
      <c r="AZ86" s="61" t="str">
        <f>IFERROR(__xludf.DUMMYFUNCTION("vlookup(BB86,importrange(""https://docs.google.com/spreadsheets/d/1d2vevQ_7D_v35q4wCQ4RpQ_IPoTwEMB9Yp6ymwlPqew/edit?gid=984458430#gid=984458430"", ""'replication success'!A:M""), 12, FAlSE)"),"#N/A")</f>
        <v>#N/A</v>
      </c>
      <c r="BA86" s="61" t="str">
        <f>IFERROR(__xludf.DUMMYFUNCTION("vlookup(BB86,importrange(""https://docs.google.com/spreadsheets/d/1d2vevQ_7D_v35q4wCQ4RpQ_IPoTwEMB9Yp6ymwlPqew/edit?gid=984458430#gid=984458430"", ""'replication success'!A:M""), 13, FAlSE)"),"#N/A")</f>
        <v>#N/A</v>
      </c>
      <c r="BB86" s="61" t="str">
        <f>IFERROR(__xludf.DUMMYFUNCTION("REGEXREPLACE(G86, ""_[a-z]{1,2}$"", """")"),"additional_studies15")</f>
        <v>additional_studies15</v>
      </c>
      <c r="BC86" s="147" t="s">
        <v>605</v>
      </c>
      <c r="BD86" s="149" t="s">
        <v>144</v>
      </c>
      <c r="BE86" s="71"/>
      <c r="BF86" s="71"/>
      <c r="BG86" s="71"/>
      <c r="BH86" s="71"/>
      <c r="BI86" s="71"/>
      <c r="BJ86" s="71"/>
      <c r="BK86" s="71"/>
      <c r="BL86" s="71"/>
      <c r="BM86" s="71"/>
      <c r="BN86" s="71"/>
      <c r="BO86" s="71"/>
      <c r="BP86" s="71"/>
      <c r="BQ86" s="71"/>
      <c r="BR86" s="71"/>
      <c r="BS86" s="71"/>
      <c r="BT86" s="71"/>
      <c r="BU86" s="71"/>
      <c r="BV86" s="71"/>
      <c r="BW86" s="71"/>
      <c r="BX86" s="71"/>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row>
    <row r="87" ht="20.25" customHeight="1">
      <c r="A87" s="44">
        <v>87.0</v>
      </c>
      <c r="B87" s="109" t="s">
        <v>590</v>
      </c>
      <c r="C87" s="124" t="s">
        <v>115</v>
      </c>
      <c r="D87" s="124" t="s">
        <v>346</v>
      </c>
      <c r="E87" s="107"/>
      <c r="F87" s="125" t="s">
        <v>591</v>
      </c>
      <c r="G87" s="126" t="s">
        <v>592</v>
      </c>
      <c r="H87" s="126" t="s">
        <v>349</v>
      </c>
      <c r="I87" s="317">
        <v>45639.0</v>
      </c>
      <c r="J87" s="311">
        <v>45680.0</v>
      </c>
      <c r="K87" s="222" t="s">
        <v>606</v>
      </c>
      <c r="L87" s="147" t="s">
        <v>593</v>
      </c>
      <c r="M87" s="126" t="s">
        <v>594</v>
      </c>
      <c r="N87" s="222" t="s">
        <v>595</v>
      </c>
      <c r="O87" s="132"/>
      <c r="P87" s="223" t="s">
        <v>596</v>
      </c>
      <c r="Q87" s="52" t="str">
        <f t="array" ref="Q87"> if(iserror(MATCH(V87, 'File Links'!C:C, 0)), "N/A", HYPERLINK(INDEX('File Links'!B:B, MATCH(P87, 'File Links'!C:C, 0))))</f>
        <v>https://drive.google.com/file/d/1RTiaFppoyqVSbs6ENCjo8xyaIVfjFhVI/view?usp=drivesdk</v>
      </c>
      <c r="R87" s="126" t="s">
        <v>597</v>
      </c>
      <c r="S87" s="126" t="s">
        <v>598</v>
      </c>
      <c r="T87" s="132"/>
      <c r="U87" s="318"/>
      <c r="V87" s="66" t="str">
        <f> hyperlink(vlookup(lower(S87),'File Links'!E:F, 2, FALSE), SUBSTITUTE(lower(S87), "/", "--") &amp;  ".pdf")</f>
        <v>10.1016--j.jsp.2024.101307.pdf</v>
      </c>
      <c r="W87" s="126" t="s">
        <v>607</v>
      </c>
      <c r="X87" s="54" t="str">
        <f t="array" ref="X87"> if(iserror(MATCH(V87, 'File Links'!C:C, 0)), "N/A", HYPERLINK(INDEX('File Links'!B:B, MATCH(V87, 'File Links'!C:C, 0))))</f>
        <v>https://drive.google.com/file/d/1VAdnhoiJmdHbv1LbvyIfcfg3rNALrpkj/view?usp=drivesdk</v>
      </c>
      <c r="Y87" s="132"/>
      <c r="Z87" s="313" t="s">
        <v>241</v>
      </c>
      <c r="AA87" s="132"/>
      <c r="AB87" s="222" t="s">
        <v>608</v>
      </c>
      <c r="AC87" s="222" t="s">
        <v>609</v>
      </c>
      <c r="AD87" s="222" t="s">
        <v>610</v>
      </c>
      <c r="AE87" s="126" t="s">
        <v>611</v>
      </c>
      <c r="AF87" s="130">
        <v>6.0</v>
      </c>
      <c r="AG87" s="319">
        <v>1.33</v>
      </c>
      <c r="AH87" s="223" t="s">
        <v>173</v>
      </c>
      <c r="AI87" s="126" t="s">
        <v>612</v>
      </c>
      <c r="AJ87" s="130">
        <v>0.006</v>
      </c>
      <c r="AK87" s="140" t="s">
        <v>172</v>
      </c>
      <c r="AL87" s="126" t="s">
        <v>186</v>
      </c>
      <c r="AM87" s="132"/>
      <c r="AN87" s="219" t="s">
        <v>138</v>
      </c>
      <c r="AO87" s="130">
        <v>4.0</v>
      </c>
      <c r="AP87" s="320">
        <v>2.06</v>
      </c>
      <c r="AQ87" s="126" t="s">
        <v>602</v>
      </c>
      <c r="AR87" s="126" t="s">
        <v>613</v>
      </c>
      <c r="AS87" s="320">
        <v>0.25</v>
      </c>
      <c r="AT87" s="140" t="s">
        <v>172</v>
      </c>
      <c r="AU87" s="140" t="s">
        <v>186</v>
      </c>
      <c r="AV87" s="125"/>
      <c r="AW87" s="125" t="s">
        <v>138</v>
      </c>
      <c r="AX87" s="125" t="s">
        <v>438</v>
      </c>
      <c r="AY87" s="61" t="str">
        <f>IFERROR(__xludf.DUMMYFUNCTION("vlookup(BB87,importrange(""https://docs.google.com/spreadsheets/d/1d2vevQ_7D_v35q4wCQ4RpQ_IPoTwEMB9Yp6ymwlPqew/edit?gid=984458430#gid=984458430"", ""'replication success'!A:K""), 11, FAlSE)"),"#N/A")</f>
        <v>#N/A</v>
      </c>
      <c r="AZ87" s="61" t="str">
        <f>IFERROR(__xludf.DUMMYFUNCTION("vlookup(BB87,importrange(""https://docs.google.com/spreadsheets/d/1d2vevQ_7D_v35q4wCQ4RpQ_IPoTwEMB9Yp6ymwlPqew/edit?gid=984458430#gid=984458430"", ""'replication success'!A:M""), 12, FAlSE)"),"#N/A")</f>
        <v>#N/A</v>
      </c>
      <c r="BA87" s="61" t="str">
        <f>IFERROR(__xludf.DUMMYFUNCTION("vlookup(BB87,importrange(""https://docs.google.com/spreadsheets/d/1d2vevQ_7D_v35q4wCQ4RpQ_IPoTwEMB9Yp6ymwlPqew/edit?gid=984458430#gid=984458430"", ""'replication success'!A:M""), 13, FAlSE)"),"#N/A")</f>
        <v>#N/A</v>
      </c>
      <c r="BB87" s="61" t="str">
        <f>IFERROR(__xludf.DUMMYFUNCTION("REGEXREPLACE(G87, ""_[a-z]{1,2}$"", """")"),"additional_studies15")</f>
        <v>additional_studies15</v>
      </c>
      <c r="BC87" s="219" t="s">
        <v>614</v>
      </c>
      <c r="BD87" s="149" t="s">
        <v>144</v>
      </c>
      <c r="BG87" s="111"/>
      <c r="BH87" s="111"/>
      <c r="BI87" s="111"/>
      <c r="BJ87" s="111"/>
      <c r="BK87" s="111"/>
      <c r="BL87" s="111"/>
      <c r="BM87" s="111"/>
      <c r="BN87" s="111"/>
      <c r="BO87" s="111"/>
      <c r="BP87" s="111"/>
      <c r="BQ87" s="111"/>
      <c r="BR87" s="111"/>
      <c r="BS87" s="111"/>
      <c r="BT87" s="111"/>
      <c r="BU87" s="111"/>
      <c r="BV87" s="111"/>
      <c r="BW87" s="111"/>
      <c r="BX87" s="111"/>
      <c r="BY87" s="111"/>
      <c r="BZ87" s="111"/>
      <c r="CA87" s="111"/>
      <c r="CB87" s="111"/>
      <c r="CC87" s="111"/>
      <c r="CD87" s="111"/>
      <c r="CE87" s="111"/>
      <c r="CF87" s="111"/>
      <c r="CG87" s="111"/>
      <c r="CH87" s="111"/>
      <c r="CI87" s="111"/>
      <c r="CJ87" s="111"/>
      <c r="CK87" s="111"/>
      <c r="CL87" s="111"/>
      <c r="CM87" s="111"/>
      <c r="CN87" s="111"/>
      <c r="CO87" s="111"/>
      <c r="CP87" s="111"/>
      <c r="CQ87" s="111"/>
      <c r="CR87" s="111"/>
      <c r="CS87" s="111"/>
      <c r="CT87" s="111"/>
      <c r="CU87" s="111"/>
      <c r="CV87" s="111"/>
      <c r="CW87" s="111"/>
      <c r="CX87" s="111"/>
      <c r="CY87" s="111"/>
      <c r="CZ87" s="111"/>
      <c r="DA87" s="111"/>
      <c r="DB87" s="111"/>
      <c r="DC87" s="111"/>
      <c r="DD87" s="111"/>
      <c r="DE87" s="111"/>
      <c r="DF87" s="111"/>
      <c r="DG87" s="111"/>
      <c r="DH87" s="111"/>
      <c r="DI87" s="111"/>
      <c r="DJ87" s="111"/>
      <c r="DK87" s="71"/>
      <c r="DL87" s="71"/>
    </row>
    <row r="88" ht="20.25" customHeight="1">
      <c r="A88" s="44">
        <v>88.0</v>
      </c>
      <c r="B88" s="109" t="s">
        <v>590</v>
      </c>
      <c r="C88" s="109" t="s">
        <v>115</v>
      </c>
      <c r="D88" s="149" t="s">
        <v>442</v>
      </c>
      <c r="E88" s="71"/>
      <c r="F88" s="125" t="s">
        <v>591</v>
      </c>
      <c r="G88" s="210" t="s">
        <v>615</v>
      </c>
      <c r="H88" s="210" t="s">
        <v>445</v>
      </c>
      <c r="I88" s="211">
        <v>45636.0</v>
      </c>
      <c r="J88" s="311">
        <v>45680.0</v>
      </c>
      <c r="K88" s="210" t="s">
        <v>616</v>
      </c>
      <c r="L88" s="147" t="s">
        <v>593</v>
      </c>
      <c r="M88" s="210" t="s">
        <v>594</v>
      </c>
      <c r="N88" s="210" t="s">
        <v>595</v>
      </c>
      <c r="O88" s="114"/>
      <c r="P88" s="214" t="s">
        <v>596</v>
      </c>
      <c r="Q88" s="52" t="str">
        <f t="array" ref="Q88"> if(iserror(MATCH(V88, 'File Links'!C:C, 0)), "N/A", HYPERLINK(INDEX('File Links'!B:B, MATCH(P88, 'File Links'!C:C, 0))))</f>
        <v>https://drive.google.com/file/d/1RTiaFppoyqVSbs6ENCjo8xyaIVfjFhVI/view?usp=drivesdk</v>
      </c>
      <c r="R88" s="210" t="s">
        <v>597</v>
      </c>
      <c r="S88" s="312" t="s">
        <v>598</v>
      </c>
      <c r="T88" s="114"/>
      <c r="U88" s="120"/>
      <c r="V88" s="66" t="str">
        <f> hyperlink(vlookup(lower(S88),'File Links'!E:F, 2, FALSE), SUBSTITUTE(lower(S88), "/", "--") &amp;  ".pdf")</f>
        <v>10.1016--j.jsp.2024.101307.pdf</v>
      </c>
      <c r="W88" s="210" t="s">
        <v>164</v>
      </c>
      <c r="X88" s="54" t="str">
        <f t="array" ref="X88"> if(iserror(MATCH(V88, 'File Links'!C:C, 0)), "N/A", HYPERLINK(INDEX('File Links'!B:B, MATCH(V88, 'File Links'!C:C, 0))))</f>
        <v>https://drive.google.com/file/d/1VAdnhoiJmdHbv1LbvyIfcfg3rNALrpkj/view?usp=drivesdk</v>
      </c>
      <c r="Y88" s="114"/>
      <c r="Z88" s="313" t="s">
        <v>241</v>
      </c>
      <c r="AA88" s="114"/>
      <c r="AB88" s="210" t="s">
        <v>599</v>
      </c>
      <c r="AC88" s="210" t="s">
        <v>600</v>
      </c>
      <c r="AD88" s="210" t="s">
        <v>601</v>
      </c>
      <c r="AE88" s="217">
        <v>25.0</v>
      </c>
      <c r="AF88" s="217">
        <v>6.0</v>
      </c>
      <c r="AG88" s="316">
        <v>1.21</v>
      </c>
      <c r="AH88" s="214" t="s">
        <v>602</v>
      </c>
      <c r="AI88" s="210" t="s">
        <v>603</v>
      </c>
      <c r="AJ88" s="316">
        <v>0.006</v>
      </c>
      <c r="AK88" s="218" t="s">
        <v>172</v>
      </c>
      <c r="AL88" s="210" t="s">
        <v>186</v>
      </c>
      <c r="AM88" s="210" t="s">
        <v>141</v>
      </c>
      <c r="AN88" s="219" t="s">
        <v>138</v>
      </c>
      <c r="AO88" s="217">
        <v>4.0</v>
      </c>
      <c r="AP88" s="217">
        <v>1.5</v>
      </c>
      <c r="AQ88" s="210" t="s">
        <v>602</v>
      </c>
      <c r="AR88" s="210" t="s">
        <v>604</v>
      </c>
      <c r="AS88" s="316">
        <v>0.042</v>
      </c>
      <c r="AT88" s="218" t="s">
        <v>172</v>
      </c>
      <c r="AU88" s="218" t="s">
        <v>186</v>
      </c>
      <c r="AV88" s="218" t="s">
        <v>141</v>
      </c>
      <c r="AW88" s="111"/>
      <c r="AX88" s="218" t="s">
        <v>438</v>
      </c>
      <c r="AY88" s="61" t="str">
        <f>IFERROR(__xludf.DUMMYFUNCTION("vlookup(BB88,importrange(""https://docs.google.com/spreadsheets/d/1d2vevQ_7D_v35q4wCQ4RpQ_IPoTwEMB9Yp6ymwlPqew/edit?gid=984458430#gid=984458430"", ""'replication success'!A:K""), 11, FAlSE)"),"#N/A")</f>
        <v>#N/A</v>
      </c>
      <c r="AZ88" s="61" t="str">
        <f>IFERROR(__xludf.DUMMYFUNCTION("vlookup(BB88,importrange(""https://docs.google.com/spreadsheets/d/1d2vevQ_7D_v35q4wCQ4RpQ_IPoTwEMB9Yp6ymwlPqew/edit?gid=984458430#gid=984458430"", ""'replication success'!A:M""), 12, FAlSE)"),"#N/A")</f>
        <v>#N/A</v>
      </c>
      <c r="BA88" s="61" t="str">
        <f>IFERROR(__xludf.DUMMYFUNCTION("vlookup(BB88,importrange(""https://docs.google.com/spreadsheets/d/1d2vevQ_7D_v35q4wCQ4RpQ_IPoTwEMB9Yp6ymwlPqew/edit?gid=984458430#gid=984458430"", ""'replication success'!A:M""), 13, FAlSE)"),"#N/A")</f>
        <v>#N/A</v>
      </c>
      <c r="BB88" s="61" t="str">
        <f>IFERROR(__xludf.DUMMYFUNCTION("REGEXREPLACE(G88, ""_[a-z]{1,2}$"", """")"),"additional_studies15")</f>
        <v>additional_studies15</v>
      </c>
      <c r="BC88" s="114"/>
      <c r="BD88" s="149" t="s">
        <v>144</v>
      </c>
      <c r="BG88" s="71"/>
      <c r="BH88" s="71"/>
      <c r="BI88" s="71"/>
      <c r="BJ88" s="71"/>
      <c r="BK88" s="71"/>
      <c r="BL88" s="71"/>
      <c r="BM88" s="71"/>
      <c r="BN88" s="71"/>
      <c r="BO88" s="71"/>
      <c r="BP88" s="71"/>
      <c r="BQ88" s="71"/>
      <c r="BR88" s="71"/>
      <c r="BS88" s="71"/>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row>
    <row r="89" ht="20.25" customHeight="1">
      <c r="A89" s="44">
        <v>89.0</v>
      </c>
      <c r="B89" s="109" t="s">
        <v>590</v>
      </c>
      <c r="C89" s="124" t="s">
        <v>115</v>
      </c>
      <c r="D89" s="124" t="s">
        <v>346</v>
      </c>
      <c r="E89" s="107"/>
      <c r="F89" s="125" t="s">
        <v>591</v>
      </c>
      <c r="G89" s="126" t="s">
        <v>615</v>
      </c>
      <c r="H89" s="126" t="s">
        <v>349</v>
      </c>
      <c r="I89" s="317">
        <v>45639.0</v>
      </c>
      <c r="J89" s="311">
        <v>45680.0</v>
      </c>
      <c r="K89" s="222" t="s">
        <v>617</v>
      </c>
      <c r="L89" s="147" t="s">
        <v>593</v>
      </c>
      <c r="M89" s="126" t="s">
        <v>594</v>
      </c>
      <c r="N89" s="222" t="s">
        <v>595</v>
      </c>
      <c r="O89" s="132"/>
      <c r="P89" s="223" t="s">
        <v>596</v>
      </c>
      <c r="Q89" s="52" t="str">
        <f t="array" ref="Q89"> if(iserror(MATCH(V89, 'File Links'!C:C, 0)), "N/A", HYPERLINK(INDEX('File Links'!B:B, MATCH(P89, 'File Links'!C:C, 0))))</f>
        <v>https://drive.google.com/file/d/1RTiaFppoyqVSbs6ENCjo8xyaIVfjFhVI/view?usp=drivesdk</v>
      </c>
      <c r="R89" s="126" t="s">
        <v>597</v>
      </c>
      <c r="S89" s="126" t="s">
        <v>598</v>
      </c>
      <c r="T89" s="132"/>
      <c r="U89" s="318"/>
      <c r="V89" s="66" t="str">
        <f> hyperlink(vlookup(lower(S89),'File Links'!E:F, 2, FALSE), SUBSTITUTE(lower(S89), "/", "--") &amp;  ".pdf")</f>
        <v>10.1016--j.jsp.2024.101307.pdf</v>
      </c>
      <c r="W89" s="126" t="s">
        <v>607</v>
      </c>
      <c r="X89" s="54" t="str">
        <f t="array" ref="X89"> if(iserror(MATCH(V89, 'File Links'!C:C, 0)), "N/A", HYPERLINK(INDEX('File Links'!B:B, MATCH(V89, 'File Links'!C:C, 0))))</f>
        <v>https://drive.google.com/file/d/1VAdnhoiJmdHbv1LbvyIfcfg3rNALrpkj/view?usp=drivesdk</v>
      </c>
      <c r="Y89" s="132"/>
      <c r="Z89" s="313" t="s">
        <v>241</v>
      </c>
      <c r="AA89" s="132"/>
      <c r="AB89" s="222" t="s">
        <v>608</v>
      </c>
      <c r="AC89" s="222" t="s">
        <v>609</v>
      </c>
      <c r="AD89" s="222" t="s">
        <v>618</v>
      </c>
      <c r="AE89" s="126" t="s">
        <v>619</v>
      </c>
      <c r="AF89" s="130">
        <v>6.0</v>
      </c>
      <c r="AG89" s="130">
        <v>2.8</v>
      </c>
      <c r="AH89" s="223" t="s">
        <v>173</v>
      </c>
      <c r="AI89" s="126" t="s">
        <v>436</v>
      </c>
      <c r="AJ89" s="130">
        <v>0.001</v>
      </c>
      <c r="AK89" s="140" t="s">
        <v>172</v>
      </c>
      <c r="AL89" s="126" t="s">
        <v>186</v>
      </c>
      <c r="AM89" s="132"/>
      <c r="AN89" s="219" t="s">
        <v>138</v>
      </c>
      <c r="AO89" s="130">
        <v>4.0</v>
      </c>
      <c r="AP89" s="130">
        <v>3.59</v>
      </c>
      <c r="AQ89" s="126" t="s">
        <v>602</v>
      </c>
      <c r="AR89" s="126" t="s">
        <v>613</v>
      </c>
      <c r="AS89" s="130">
        <v>0.042</v>
      </c>
      <c r="AT89" s="140" t="s">
        <v>172</v>
      </c>
      <c r="AU89" s="140" t="s">
        <v>186</v>
      </c>
      <c r="AV89" s="125"/>
      <c r="AW89" s="125" t="s">
        <v>138</v>
      </c>
      <c r="AX89" s="125" t="s">
        <v>438</v>
      </c>
      <c r="AY89" s="61" t="str">
        <f>IFERROR(__xludf.DUMMYFUNCTION("vlookup(BB89,importrange(""https://docs.google.com/spreadsheets/d/1d2vevQ_7D_v35q4wCQ4RpQ_IPoTwEMB9Yp6ymwlPqew/edit?gid=984458430#gid=984458430"", ""'replication success'!A:K""), 11, FAlSE)"),"#N/A")</f>
        <v>#N/A</v>
      </c>
      <c r="AZ89" s="61" t="str">
        <f>IFERROR(__xludf.DUMMYFUNCTION("vlookup(BB89,importrange(""https://docs.google.com/spreadsheets/d/1d2vevQ_7D_v35q4wCQ4RpQ_IPoTwEMB9Yp6ymwlPqew/edit?gid=984458430#gid=984458430"", ""'replication success'!A:M""), 12, FAlSE)"),"#N/A")</f>
        <v>#N/A</v>
      </c>
      <c r="BA89" s="61" t="str">
        <f>IFERROR(__xludf.DUMMYFUNCTION("vlookup(BB89,importrange(""https://docs.google.com/spreadsheets/d/1d2vevQ_7D_v35q4wCQ4RpQ_IPoTwEMB9Yp6ymwlPqew/edit?gid=984458430#gid=984458430"", ""'replication success'!A:M""), 13, FAlSE)"),"#N/A")</f>
        <v>#N/A</v>
      </c>
      <c r="BB89" s="61" t="str">
        <f>IFERROR(__xludf.DUMMYFUNCTION("REGEXREPLACE(G89, ""_[a-z]{1,2}$"", """")"),"additional_studies15")</f>
        <v>additional_studies15</v>
      </c>
      <c r="BC89" s="132"/>
      <c r="BD89" s="149" t="s">
        <v>144</v>
      </c>
      <c r="BG89" s="71"/>
      <c r="BH89" s="71"/>
      <c r="BI89" s="71"/>
      <c r="BJ89" s="71"/>
      <c r="BK89" s="71"/>
      <c r="BL89" s="71"/>
      <c r="BM89" s="71"/>
      <c r="BN89" s="71"/>
      <c r="BO89" s="71"/>
      <c r="BP89" s="71"/>
      <c r="BQ89" s="71"/>
      <c r="BR89" s="71"/>
      <c r="BS89" s="71"/>
      <c r="BT89" s="71"/>
      <c r="BU89" s="71"/>
      <c r="BV89" s="71"/>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row>
    <row r="90" ht="20.25" customHeight="1">
      <c r="A90" s="44">
        <v>90.0</v>
      </c>
      <c r="B90" s="109" t="s">
        <v>590</v>
      </c>
      <c r="C90" s="109" t="s">
        <v>115</v>
      </c>
      <c r="D90" s="149" t="s">
        <v>442</v>
      </c>
      <c r="E90" s="71"/>
      <c r="F90" s="125" t="s">
        <v>591</v>
      </c>
      <c r="G90" s="210" t="s">
        <v>620</v>
      </c>
      <c r="H90" s="210" t="s">
        <v>445</v>
      </c>
      <c r="I90" s="211">
        <v>45636.0</v>
      </c>
      <c r="J90" s="311">
        <v>45680.0</v>
      </c>
      <c r="K90" s="114"/>
      <c r="L90" s="147" t="s">
        <v>593</v>
      </c>
      <c r="M90" s="210" t="s">
        <v>594</v>
      </c>
      <c r="N90" s="210" t="s">
        <v>595</v>
      </c>
      <c r="O90" s="114"/>
      <c r="P90" s="214" t="s">
        <v>596</v>
      </c>
      <c r="Q90" s="52" t="str">
        <f t="array" ref="Q90"> if(iserror(MATCH(V90, 'File Links'!C:C, 0)), "N/A", HYPERLINK(INDEX('File Links'!B:B, MATCH(P90, 'File Links'!C:C, 0))))</f>
        <v>https://drive.google.com/file/d/1RTiaFppoyqVSbs6ENCjo8xyaIVfjFhVI/view?usp=drivesdk</v>
      </c>
      <c r="R90" s="210" t="s">
        <v>597</v>
      </c>
      <c r="S90" s="312" t="s">
        <v>598</v>
      </c>
      <c r="T90" s="114"/>
      <c r="U90" s="120"/>
      <c r="V90" s="66" t="str">
        <f> hyperlink(vlookup(lower(S90),'File Links'!E:F, 2, FALSE), SUBSTITUTE(lower(S90), "/", "--") &amp;  ".pdf")</f>
        <v>10.1016--j.jsp.2024.101307.pdf</v>
      </c>
      <c r="W90" s="210" t="s">
        <v>164</v>
      </c>
      <c r="X90" s="54" t="str">
        <f t="array" ref="X90"> if(iserror(MATCH(V90, 'File Links'!C:C, 0)), "N/A", HYPERLINK(INDEX('File Links'!B:B, MATCH(V90, 'File Links'!C:C, 0))))</f>
        <v>https://drive.google.com/file/d/1VAdnhoiJmdHbv1LbvyIfcfg3rNALrpkj/view?usp=drivesdk</v>
      </c>
      <c r="Y90" s="114"/>
      <c r="Z90" s="313" t="s">
        <v>241</v>
      </c>
      <c r="AA90" s="114"/>
      <c r="AB90" s="210" t="s">
        <v>599</v>
      </c>
      <c r="AC90" s="210" t="s">
        <v>600</v>
      </c>
      <c r="AD90" s="210" t="s">
        <v>621</v>
      </c>
      <c r="AE90" s="210" t="s">
        <v>622</v>
      </c>
      <c r="AF90" s="217">
        <v>6.0</v>
      </c>
      <c r="AG90" s="316">
        <v>1.03</v>
      </c>
      <c r="AH90" s="214" t="s">
        <v>602</v>
      </c>
      <c r="AI90" s="210" t="s">
        <v>623</v>
      </c>
      <c r="AJ90" s="217">
        <v>0.001</v>
      </c>
      <c r="AK90" s="218" t="s">
        <v>172</v>
      </c>
      <c r="AL90" s="210" t="s">
        <v>186</v>
      </c>
      <c r="AM90" s="210" t="s">
        <v>141</v>
      </c>
      <c r="AN90" s="219" t="s">
        <v>138</v>
      </c>
      <c r="AO90" s="217">
        <v>4.0</v>
      </c>
      <c r="AP90" s="217">
        <v>1.41</v>
      </c>
      <c r="AQ90" s="210" t="s">
        <v>602</v>
      </c>
      <c r="AR90" s="210" t="s">
        <v>624</v>
      </c>
      <c r="AS90" s="316">
        <v>0.29</v>
      </c>
      <c r="AT90" s="218" t="s">
        <v>172</v>
      </c>
      <c r="AU90" s="218" t="s">
        <v>186</v>
      </c>
      <c r="AV90" s="218" t="s">
        <v>141</v>
      </c>
      <c r="AW90" s="111"/>
      <c r="AX90" s="218" t="s">
        <v>438</v>
      </c>
      <c r="AY90" s="61" t="str">
        <f>IFERROR(__xludf.DUMMYFUNCTION("vlookup(BB90,importrange(""https://docs.google.com/spreadsheets/d/1d2vevQ_7D_v35q4wCQ4RpQ_IPoTwEMB9Yp6ymwlPqew/edit?gid=984458430#gid=984458430"", ""'replication success'!A:K""), 11, FAlSE)"),"#N/A")</f>
        <v>#N/A</v>
      </c>
      <c r="AZ90" s="61" t="str">
        <f>IFERROR(__xludf.DUMMYFUNCTION("vlookup(BB90,importrange(""https://docs.google.com/spreadsheets/d/1d2vevQ_7D_v35q4wCQ4RpQ_IPoTwEMB9Yp6ymwlPqew/edit?gid=984458430#gid=984458430"", ""'replication success'!A:M""), 12, FAlSE)"),"#N/A")</f>
        <v>#N/A</v>
      </c>
      <c r="BA90" s="61" t="str">
        <f>IFERROR(__xludf.DUMMYFUNCTION("vlookup(BB90,importrange(""https://docs.google.com/spreadsheets/d/1d2vevQ_7D_v35q4wCQ4RpQ_IPoTwEMB9Yp6ymwlPqew/edit?gid=984458430#gid=984458430"", ""'replication success'!A:M""), 13, FAlSE)"),"#N/A")</f>
        <v>#N/A</v>
      </c>
      <c r="BB90" s="61" t="str">
        <f>IFERROR(__xludf.DUMMYFUNCTION("REGEXREPLACE(G90, ""_[a-z]{1,2}$"", """")"),"additional_studies15")</f>
        <v>additional_studies15</v>
      </c>
      <c r="BC90" s="114"/>
      <c r="BD90" s="149" t="s">
        <v>144</v>
      </c>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c r="CZ90" s="226"/>
      <c r="DA90" s="226"/>
      <c r="DB90" s="226"/>
      <c r="DC90" s="226"/>
      <c r="DD90" s="226"/>
      <c r="DE90" s="226"/>
      <c r="DF90" s="226"/>
      <c r="DG90" s="226"/>
      <c r="DH90" s="226"/>
      <c r="DI90" s="226"/>
      <c r="DJ90" s="226"/>
      <c r="DK90" s="226"/>
      <c r="DL90" s="226"/>
    </row>
    <row r="91" ht="20.25" customHeight="1">
      <c r="A91" s="44">
        <v>91.0</v>
      </c>
      <c r="B91" s="109" t="s">
        <v>590</v>
      </c>
      <c r="C91" s="124" t="s">
        <v>115</v>
      </c>
      <c r="D91" s="124" t="s">
        <v>346</v>
      </c>
      <c r="E91" s="107"/>
      <c r="F91" s="125" t="s">
        <v>591</v>
      </c>
      <c r="G91" s="126" t="s">
        <v>620</v>
      </c>
      <c r="H91" s="126" t="s">
        <v>349</v>
      </c>
      <c r="I91" s="317">
        <v>45639.0</v>
      </c>
      <c r="J91" s="311">
        <v>45680.0</v>
      </c>
      <c r="K91" s="222" t="s">
        <v>606</v>
      </c>
      <c r="L91" s="147" t="s">
        <v>593</v>
      </c>
      <c r="M91" s="126" t="s">
        <v>594</v>
      </c>
      <c r="N91" s="222" t="s">
        <v>595</v>
      </c>
      <c r="O91" s="132"/>
      <c r="P91" s="223" t="s">
        <v>596</v>
      </c>
      <c r="Q91" s="52" t="str">
        <f t="array" ref="Q91"> if(iserror(MATCH(V91, 'File Links'!C:C, 0)), "N/A", HYPERLINK(INDEX('File Links'!B:B, MATCH(P91, 'File Links'!C:C, 0))))</f>
        <v>https://drive.google.com/file/d/1RTiaFppoyqVSbs6ENCjo8xyaIVfjFhVI/view?usp=drivesdk</v>
      </c>
      <c r="R91" s="126" t="s">
        <v>597</v>
      </c>
      <c r="S91" s="126" t="s">
        <v>598</v>
      </c>
      <c r="T91" s="132"/>
      <c r="U91" s="318"/>
      <c r="V91" s="66" t="str">
        <f> hyperlink(vlookup(lower(S91),'File Links'!E:F, 2, FALSE), SUBSTITUTE(lower(S91), "/", "--") &amp;  ".pdf")</f>
        <v>10.1016--j.jsp.2024.101307.pdf</v>
      </c>
      <c r="W91" s="126" t="s">
        <v>607</v>
      </c>
      <c r="X91" s="54" t="str">
        <f t="array" ref="X91"> if(iserror(MATCH(V91, 'File Links'!C:C, 0)), "N/A", HYPERLINK(INDEX('File Links'!B:B, MATCH(V91, 'File Links'!C:C, 0))))</f>
        <v>https://drive.google.com/file/d/1VAdnhoiJmdHbv1LbvyIfcfg3rNALrpkj/view?usp=drivesdk</v>
      </c>
      <c r="Y91" s="132"/>
      <c r="Z91" s="313" t="s">
        <v>241</v>
      </c>
      <c r="AA91" s="132"/>
      <c r="AB91" s="222" t="s">
        <v>608</v>
      </c>
      <c r="AC91" s="222" t="s">
        <v>609</v>
      </c>
      <c r="AD91" s="222" t="s">
        <v>625</v>
      </c>
      <c r="AE91" s="126" t="s">
        <v>626</v>
      </c>
      <c r="AF91" s="130">
        <v>6.0</v>
      </c>
      <c r="AG91" s="130">
        <v>1.14</v>
      </c>
      <c r="AH91" s="223" t="s">
        <v>173</v>
      </c>
      <c r="AI91" s="126" t="s">
        <v>627</v>
      </c>
      <c r="AJ91" s="130">
        <v>0.001</v>
      </c>
      <c r="AK91" s="140" t="s">
        <v>172</v>
      </c>
      <c r="AL91" s="126" t="s">
        <v>186</v>
      </c>
      <c r="AM91" s="132"/>
      <c r="AN91" s="219" t="s">
        <v>138</v>
      </c>
      <c r="AO91" s="130">
        <v>4.0</v>
      </c>
      <c r="AP91" s="130">
        <v>1.41</v>
      </c>
      <c r="AQ91" s="126" t="s">
        <v>602</v>
      </c>
      <c r="AR91" s="126" t="s">
        <v>628</v>
      </c>
      <c r="AS91" s="130">
        <v>0.29</v>
      </c>
      <c r="AT91" s="140" t="s">
        <v>172</v>
      </c>
      <c r="AU91" s="140" t="s">
        <v>186</v>
      </c>
      <c r="AV91" s="125"/>
      <c r="AW91" s="125" t="s">
        <v>138</v>
      </c>
      <c r="AX91" s="125" t="s">
        <v>438</v>
      </c>
      <c r="AY91" s="61" t="str">
        <f>IFERROR(__xludf.DUMMYFUNCTION("vlookup(BB91,importrange(""https://docs.google.com/spreadsheets/d/1d2vevQ_7D_v35q4wCQ4RpQ_IPoTwEMB9Yp6ymwlPqew/edit?gid=984458430#gid=984458430"", ""'replication success'!A:K""), 11, FAlSE)"),"#N/A")</f>
        <v>#N/A</v>
      </c>
      <c r="AZ91" s="61" t="str">
        <f>IFERROR(__xludf.DUMMYFUNCTION("vlookup(BB91,importrange(""https://docs.google.com/spreadsheets/d/1d2vevQ_7D_v35q4wCQ4RpQ_IPoTwEMB9Yp6ymwlPqew/edit?gid=984458430#gid=984458430"", ""'replication success'!A:M""), 12, FAlSE)"),"#N/A")</f>
        <v>#N/A</v>
      </c>
      <c r="BA91" s="61" t="str">
        <f>IFERROR(__xludf.DUMMYFUNCTION("vlookup(BB91,importrange(""https://docs.google.com/spreadsheets/d/1d2vevQ_7D_v35q4wCQ4RpQ_IPoTwEMB9Yp6ymwlPqew/edit?gid=984458430#gid=984458430"", ""'replication success'!A:M""), 13, FAlSE)"),"#N/A")</f>
        <v>#N/A</v>
      </c>
      <c r="BB91" s="61" t="str">
        <f>IFERROR(__xludf.DUMMYFUNCTION("REGEXREPLACE(G91, ""_[a-z]{1,2}$"", """")"),"additional_studies15")</f>
        <v>additional_studies15</v>
      </c>
      <c r="BC91" s="132"/>
      <c r="BD91" s="149" t="s">
        <v>144</v>
      </c>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c r="CZ91" s="226"/>
      <c r="DA91" s="226"/>
      <c r="DB91" s="226"/>
      <c r="DC91" s="226"/>
      <c r="DD91" s="226"/>
      <c r="DE91" s="226"/>
      <c r="DF91" s="226"/>
      <c r="DG91" s="226"/>
      <c r="DH91" s="226"/>
      <c r="DI91" s="226"/>
      <c r="DJ91" s="226"/>
      <c r="DK91" s="226"/>
      <c r="DL91" s="226"/>
    </row>
    <row r="92" ht="20.25" customHeight="1">
      <c r="A92" s="44">
        <v>92.0</v>
      </c>
      <c r="B92" s="109" t="s">
        <v>590</v>
      </c>
      <c r="C92" s="109" t="s">
        <v>115</v>
      </c>
      <c r="D92" s="149" t="s">
        <v>442</v>
      </c>
      <c r="E92" s="71"/>
      <c r="F92" s="125" t="s">
        <v>591</v>
      </c>
      <c r="G92" s="210" t="s">
        <v>629</v>
      </c>
      <c r="H92" s="210" t="s">
        <v>445</v>
      </c>
      <c r="I92" s="211">
        <v>45636.0</v>
      </c>
      <c r="J92" s="311">
        <v>45680.0</v>
      </c>
      <c r="K92" s="210" t="s">
        <v>616</v>
      </c>
      <c r="L92" s="147" t="s">
        <v>593</v>
      </c>
      <c r="M92" s="210" t="s">
        <v>594</v>
      </c>
      <c r="N92" s="210" t="s">
        <v>595</v>
      </c>
      <c r="O92" s="114"/>
      <c r="P92" s="214" t="s">
        <v>596</v>
      </c>
      <c r="Q92" s="52" t="str">
        <f t="array" ref="Q92"> if(iserror(MATCH(V92, 'File Links'!C:C, 0)), "N/A", HYPERLINK(INDEX('File Links'!B:B, MATCH(P92, 'File Links'!C:C, 0))))</f>
        <v>https://drive.google.com/file/d/1RTiaFppoyqVSbs6ENCjo8xyaIVfjFhVI/view?usp=drivesdk</v>
      </c>
      <c r="R92" s="210" t="s">
        <v>597</v>
      </c>
      <c r="S92" s="312" t="s">
        <v>598</v>
      </c>
      <c r="T92" s="114"/>
      <c r="U92" s="120"/>
      <c r="V92" s="66" t="str">
        <f> hyperlink(vlookup(lower(S92),'File Links'!E:F, 2, FALSE), SUBSTITUTE(lower(S92), "/", "--") &amp;  ".pdf")</f>
        <v>10.1016--j.jsp.2024.101307.pdf</v>
      </c>
      <c r="W92" s="210" t="s">
        <v>164</v>
      </c>
      <c r="X92" s="54" t="str">
        <f t="array" ref="X92"> if(iserror(MATCH(V92, 'File Links'!C:C, 0)), "N/A", HYPERLINK(INDEX('File Links'!B:B, MATCH(V92, 'File Links'!C:C, 0))))</f>
        <v>https://drive.google.com/file/d/1VAdnhoiJmdHbv1LbvyIfcfg3rNALrpkj/view?usp=drivesdk</v>
      </c>
      <c r="Y92" s="114"/>
      <c r="Z92" s="313" t="s">
        <v>241</v>
      </c>
      <c r="AA92" s="114"/>
      <c r="AB92" s="210" t="s">
        <v>599</v>
      </c>
      <c r="AC92" s="210" t="s">
        <v>600</v>
      </c>
      <c r="AD92" s="210" t="s">
        <v>621</v>
      </c>
      <c r="AE92" s="210" t="s">
        <v>622</v>
      </c>
      <c r="AF92" s="217">
        <v>6.0</v>
      </c>
      <c r="AG92" s="316">
        <v>1.03</v>
      </c>
      <c r="AH92" s="214" t="s">
        <v>602</v>
      </c>
      <c r="AI92" s="210" t="s">
        <v>623</v>
      </c>
      <c r="AJ92" s="217">
        <v>0.001</v>
      </c>
      <c r="AK92" s="218" t="s">
        <v>172</v>
      </c>
      <c r="AL92" s="210" t="s">
        <v>186</v>
      </c>
      <c r="AM92" s="210" t="s">
        <v>141</v>
      </c>
      <c r="AN92" s="219" t="s">
        <v>138</v>
      </c>
      <c r="AO92" s="217">
        <v>4.0</v>
      </c>
      <c r="AP92" s="316">
        <v>1.25</v>
      </c>
      <c r="AQ92" s="210" t="s">
        <v>602</v>
      </c>
      <c r="AR92" s="210" t="s">
        <v>630</v>
      </c>
      <c r="AS92" s="316">
        <v>0.042</v>
      </c>
      <c r="AT92" s="218" t="s">
        <v>172</v>
      </c>
      <c r="AU92" s="218" t="s">
        <v>186</v>
      </c>
      <c r="AV92" s="218" t="s">
        <v>141</v>
      </c>
      <c r="AW92" s="111"/>
      <c r="AX92" s="218" t="s">
        <v>438</v>
      </c>
      <c r="AY92" s="61" t="str">
        <f>IFERROR(__xludf.DUMMYFUNCTION("vlookup(BB92,importrange(""https://docs.google.com/spreadsheets/d/1d2vevQ_7D_v35q4wCQ4RpQ_IPoTwEMB9Yp6ymwlPqew/edit?gid=984458430#gid=984458430"", ""'replication success'!A:K""), 11, FAlSE)"),"#N/A")</f>
        <v>#N/A</v>
      </c>
      <c r="AZ92" s="61" t="str">
        <f>IFERROR(__xludf.DUMMYFUNCTION("vlookup(BB92,importrange(""https://docs.google.com/spreadsheets/d/1d2vevQ_7D_v35q4wCQ4RpQ_IPoTwEMB9Yp6ymwlPqew/edit?gid=984458430#gid=984458430"", ""'replication success'!A:M""), 12, FAlSE)"),"#N/A")</f>
        <v>#N/A</v>
      </c>
      <c r="BA92" s="61" t="str">
        <f>IFERROR(__xludf.DUMMYFUNCTION("vlookup(BB92,importrange(""https://docs.google.com/spreadsheets/d/1d2vevQ_7D_v35q4wCQ4RpQ_IPoTwEMB9Yp6ymwlPqew/edit?gid=984458430#gid=984458430"", ""'replication success'!A:M""), 13, FAlSE)"),"#N/A")</f>
        <v>#N/A</v>
      </c>
      <c r="BB92" s="61" t="str">
        <f>IFERROR(__xludf.DUMMYFUNCTION("REGEXREPLACE(G92, ""_[a-z]{1,2}$"", """")"),"additional_studies15")</f>
        <v>additional_studies15</v>
      </c>
      <c r="BC92" s="114"/>
      <c r="BD92" s="149" t="s">
        <v>144</v>
      </c>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c r="CZ92" s="226"/>
      <c r="DA92" s="226"/>
      <c r="DB92" s="226"/>
      <c r="DC92" s="226"/>
      <c r="DD92" s="226"/>
      <c r="DE92" s="226"/>
      <c r="DF92" s="226"/>
      <c r="DG92" s="226"/>
      <c r="DH92" s="226"/>
      <c r="DI92" s="226"/>
      <c r="DJ92" s="226"/>
      <c r="DK92" s="226"/>
      <c r="DL92" s="226"/>
    </row>
    <row r="93" ht="20.25" customHeight="1">
      <c r="A93" s="44">
        <v>93.0</v>
      </c>
      <c r="B93" s="109" t="s">
        <v>590</v>
      </c>
      <c r="C93" s="124" t="s">
        <v>115</v>
      </c>
      <c r="D93" s="124" t="s">
        <v>346</v>
      </c>
      <c r="E93" s="107"/>
      <c r="F93" s="125" t="s">
        <v>591</v>
      </c>
      <c r="G93" s="126" t="s">
        <v>629</v>
      </c>
      <c r="H93" s="126" t="s">
        <v>349</v>
      </c>
      <c r="I93" s="317">
        <v>45639.0</v>
      </c>
      <c r="J93" s="311">
        <v>45680.0</v>
      </c>
      <c r="K93" s="222" t="s">
        <v>606</v>
      </c>
      <c r="L93" s="147" t="s">
        <v>593</v>
      </c>
      <c r="M93" s="126" t="s">
        <v>594</v>
      </c>
      <c r="N93" s="222" t="s">
        <v>595</v>
      </c>
      <c r="O93" s="132"/>
      <c r="P93" s="223" t="s">
        <v>596</v>
      </c>
      <c r="Q93" s="52" t="str">
        <f t="array" ref="Q93"> if(iserror(MATCH(V93, 'File Links'!C:C, 0)), "N/A", HYPERLINK(INDEX('File Links'!B:B, MATCH(P93, 'File Links'!C:C, 0))))</f>
        <v>https://drive.google.com/file/d/1RTiaFppoyqVSbs6ENCjo8xyaIVfjFhVI/view?usp=drivesdk</v>
      </c>
      <c r="R93" s="126" t="s">
        <v>597</v>
      </c>
      <c r="S93" s="126" t="s">
        <v>598</v>
      </c>
      <c r="T93" s="132"/>
      <c r="U93" s="318"/>
      <c r="V93" s="66" t="str">
        <f> hyperlink(vlookup(lower(S93),'File Links'!E:F, 2, FALSE), SUBSTITUTE(lower(S93), "/", "--") &amp;  ".pdf")</f>
        <v>10.1016--j.jsp.2024.101307.pdf</v>
      </c>
      <c r="W93" s="126" t="s">
        <v>607</v>
      </c>
      <c r="X93" s="54" t="str">
        <f t="array" ref="X93"> if(iserror(MATCH(V93, 'File Links'!C:C, 0)), "N/A", HYPERLINK(INDEX('File Links'!B:B, MATCH(V93, 'File Links'!C:C, 0))))</f>
        <v>https://drive.google.com/file/d/1VAdnhoiJmdHbv1LbvyIfcfg3rNALrpkj/view?usp=drivesdk</v>
      </c>
      <c r="Y93" s="132"/>
      <c r="Z93" s="313" t="s">
        <v>241</v>
      </c>
      <c r="AA93" s="132"/>
      <c r="AB93" s="222" t="s">
        <v>608</v>
      </c>
      <c r="AC93" s="222" t="s">
        <v>609</v>
      </c>
      <c r="AD93" s="222" t="s">
        <v>631</v>
      </c>
      <c r="AE93" s="126" t="s">
        <v>626</v>
      </c>
      <c r="AF93" s="130">
        <v>6.0</v>
      </c>
      <c r="AG93" s="130">
        <v>-0.85</v>
      </c>
      <c r="AH93" s="223" t="s">
        <v>173</v>
      </c>
      <c r="AI93" s="126" t="s">
        <v>627</v>
      </c>
      <c r="AJ93" s="130">
        <v>0.001</v>
      </c>
      <c r="AK93" s="140" t="s">
        <v>172</v>
      </c>
      <c r="AL93" s="126" t="s">
        <v>186</v>
      </c>
      <c r="AM93" s="132"/>
      <c r="AN93" s="219" t="s">
        <v>138</v>
      </c>
      <c r="AO93" s="130">
        <v>4.0</v>
      </c>
      <c r="AP93" s="130">
        <v>-0.91</v>
      </c>
      <c r="AQ93" s="126" t="s">
        <v>602</v>
      </c>
      <c r="AR93" s="126" t="s">
        <v>632</v>
      </c>
      <c r="AS93" s="130">
        <v>0.33</v>
      </c>
      <c r="AT93" s="140" t="s">
        <v>172</v>
      </c>
      <c r="AU93" s="140" t="s">
        <v>186</v>
      </c>
      <c r="AV93" s="125"/>
      <c r="AW93" s="125" t="s">
        <v>138</v>
      </c>
      <c r="AX93" s="125" t="s">
        <v>438</v>
      </c>
      <c r="AY93" s="61" t="str">
        <f>IFERROR(__xludf.DUMMYFUNCTION("vlookup(BB93,importrange(""https://docs.google.com/spreadsheets/d/1d2vevQ_7D_v35q4wCQ4RpQ_IPoTwEMB9Yp6ymwlPqew/edit?gid=984458430#gid=984458430"", ""'replication success'!A:K""), 11, FAlSE)"),"#N/A")</f>
        <v>#N/A</v>
      </c>
      <c r="AZ93" s="61" t="str">
        <f>IFERROR(__xludf.DUMMYFUNCTION("vlookup(BB93,importrange(""https://docs.google.com/spreadsheets/d/1d2vevQ_7D_v35q4wCQ4RpQ_IPoTwEMB9Yp6ymwlPqew/edit?gid=984458430#gid=984458430"", ""'replication success'!A:M""), 12, FAlSE)"),"#N/A")</f>
        <v>#N/A</v>
      </c>
      <c r="BA93" s="61" t="str">
        <f>IFERROR(__xludf.DUMMYFUNCTION("vlookup(BB93,importrange(""https://docs.google.com/spreadsheets/d/1d2vevQ_7D_v35q4wCQ4RpQ_IPoTwEMB9Yp6ymwlPqew/edit?gid=984458430#gid=984458430"", ""'replication success'!A:M""), 13, FAlSE)"),"#N/A")</f>
        <v>#N/A</v>
      </c>
      <c r="BB93" s="61" t="str">
        <f>IFERROR(__xludf.DUMMYFUNCTION("REGEXREPLACE(G93, ""_[a-z]{1,2}$"", """")"),"additional_studies15")</f>
        <v>additional_studies15</v>
      </c>
      <c r="BC93" s="132"/>
      <c r="BD93" s="149" t="s">
        <v>144</v>
      </c>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c r="CZ93" s="226"/>
      <c r="DA93" s="226"/>
      <c r="DB93" s="226"/>
      <c r="DC93" s="226"/>
      <c r="DD93" s="226"/>
      <c r="DE93" s="226"/>
      <c r="DF93" s="226"/>
      <c r="DG93" s="226"/>
      <c r="DH93" s="226"/>
      <c r="DI93" s="226"/>
      <c r="DJ93" s="226"/>
      <c r="DK93" s="226"/>
      <c r="DL93" s="226"/>
    </row>
    <row r="94" ht="20.25" customHeight="1">
      <c r="A94" s="44">
        <v>94.0</v>
      </c>
      <c r="B94" s="109" t="s">
        <v>590</v>
      </c>
      <c r="C94" s="109" t="s">
        <v>115</v>
      </c>
      <c r="D94" s="149" t="s">
        <v>442</v>
      </c>
      <c r="E94" s="71"/>
      <c r="F94" s="125" t="s">
        <v>591</v>
      </c>
      <c r="G94" s="210" t="s">
        <v>633</v>
      </c>
      <c r="H94" s="210" t="s">
        <v>445</v>
      </c>
      <c r="I94" s="211">
        <v>45636.0</v>
      </c>
      <c r="J94" s="311">
        <v>45680.0</v>
      </c>
      <c r="K94" s="114"/>
      <c r="L94" s="147" t="s">
        <v>593</v>
      </c>
      <c r="M94" s="210" t="s">
        <v>594</v>
      </c>
      <c r="N94" s="210" t="s">
        <v>595</v>
      </c>
      <c r="O94" s="114"/>
      <c r="P94" s="214" t="s">
        <v>596</v>
      </c>
      <c r="Q94" s="52" t="str">
        <f t="array" ref="Q94"> if(iserror(MATCH(V94, 'File Links'!C:C, 0)), "N/A", HYPERLINK(INDEX('File Links'!B:B, MATCH(P94, 'File Links'!C:C, 0))))</f>
        <v>https://drive.google.com/file/d/1RTiaFppoyqVSbs6ENCjo8xyaIVfjFhVI/view?usp=drivesdk</v>
      </c>
      <c r="R94" s="210" t="s">
        <v>597</v>
      </c>
      <c r="S94" s="312" t="s">
        <v>598</v>
      </c>
      <c r="T94" s="114"/>
      <c r="U94" s="120"/>
      <c r="V94" s="66" t="str">
        <f> hyperlink(vlookup(lower(S94),'File Links'!E:F, 2, FALSE), SUBSTITUTE(lower(S94), "/", "--") &amp;  ".pdf")</f>
        <v>10.1016--j.jsp.2024.101307.pdf</v>
      </c>
      <c r="W94" s="210" t="s">
        <v>164</v>
      </c>
      <c r="X94" s="54" t="str">
        <f t="array" ref="X94"> if(iserror(MATCH(V94, 'File Links'!C:C, 0)), "N/A", HYPERLINK(INDEX('File Links'!B:B, MATCH(V94, 'File Links'!C:C, 0))))</f>
        <v>https://drive.google.com/file/d/1VAdnhoiJmdHbv1LbvyIfcfg3rNALrpkj/view?usp=drivesdk</v>
      </c>
      <c r="Y94" s="114"/>
      <c r="Z94" s="313" t="s">
        <v>241</v>
      </c>
      <c r="AA94" s="114"/>
      <c r="AB94" s="210" t="s">
        <v>599</v>
      </c>
      <c r="AC94" s="210" t="s">
        <v>600</v>
      </c>
      <c r="AD94" s="210" t="s">
        <v>634</v>
      </c>
      <c r="AE94" s="217">
        <v>26.0</v>
      </c>
      <c r="AF94" s="217">
        <v>6.0</v>
      </c>
      <c r="AG94" s="316" t="s">
        <v>635</v>
      </c>
      <c r="AH94" s="214" t="s">
        <v>602</v>
      </c>
      <c r="AI94" s="210" t="s">
        <v>623</v>
      </c>
      <c r="AJ94" s="217">
        <v>0.001</v>
      </c>
      <c r="AK94" s="218" t="s">
        <v>172</v>
      </c>
      <c r="AL94" s="210" t="s">
        <v>186</v>
      </c>
      <c r="AM94" s="210" t="s">
        <v>141</v>
      </c>
      <c r="AN94" s="219" t="s">
        <v>138</v>
      </c>
      <c r="AO94" s="217">
        <v>4.0</v>
      </c>
      <c r="AP94" s="321">
        <v>-0.91</v>
      </c>
      <c r="AQ94" s="210" t="s">
        <v>602</v>
      </c>
      <c r="AR94" s="210" t="s">
        <v>630</v>
      </c>
      <c r="AS94" s="316">
        <v>0.33</v>
      </c>
      <c r="AT94" s="218" t="s">
        <v>172</v>
      </c>
      <c r="AU94" s="218" t="s">
        <v>186</v>
      </c>
      <c r="AV94" s="218" t="s">
        <v>141</v>
      </c>
      <c r="AW94" s="111"/>
      <c r="AX94" s="218" t="s">
        <v>438</v>
      </c>
      <c r="AY94" s="61" t="str">
        <f>IFERROR(__xludf.DUMMYFUNCTION("vlookup(BB94,importrange(""https://docs.google.com/spreadsheets/d/1d2vevQ_7D_v35q4wCQ4RpQ_IPoTwEMB9Yp6ymwlPqew/edit?gid=984458430#gid=984458430"", ""'replication success'!A:K""), 11, FAlSE)"),"#N/A")</f>
        <v>#N/A</v>
      </c>
      <c r="AZ94" s="61" t="str">
        <f>IFERROR(__xludf.DUMMYFUNCTION("vlookup(BB94,importrange(""https://docs.google.com/spreadsheets/d/1d2vevQ_7D_v35q4wCQ4RpQ_IPoTwEMB9Yp6ymwlPqew/edit?gid=984458430#gid=984458430"", ""'replication success'!A:M""), 12, FAlSE)"),"#N/A")</f>
        <v>#N/A</v>
      </c>
      <c r="BA94" s="61" t="str">
        <f>IFERROR(__xludf.DUMMYFUNCTION("vlookup(BB94,importrange(""https://docs.google.com/spreadsheets/d/1d2vevQ_7D_v35q4wCQ4RpQ_IPoTwEMB9Yp6ymwlPqew/edit?gid=984458430#gid=984458430"", ""'replication success'!A:M""), 13, FAlSE)"),"#N/A")</f>
        <v>#N/A</v>
      </c>
      <c r="BB94" s="61" t="str">
        <f>IFERROR(__xludf.DUMMYFUNCTION("REGEXREPLACE(G94, ""_[a-z]{1,2}$"", """")"),"additional_studies15")</f>
        <v>additional_studies15</v>
      </c>
      <c r="BC94" s="114"/>
      <c r="BD94" s="149" t="s">
        <v>144</v>
      </c>
      <c r="BG94" s="189"/>
      <c r="BH94" s="189"/>
      <c r="BI94" s="189"/>
      <c r="BJ94" s="189"/>
      <c r="BK94" s="189"/>
      <c r="BL94" s="189"/>
      <c r="BM94" s="189"/>
      <c r="BN94" s="189"/>
      <c r="BO94" s="189"/>
      <c r="BP94" s="189"/>
      <c r="BQ94" s="189"/>
      <c r="BR94" s="189"/>
      <c r="BS94" s="189"/>
      <c r="BT94" s="189"/>
      <c r="BU94" s="189"/>
      <c r="BV94" s="189"/>
      <c r="BW94" s="189"/>
      <c r="BX94" s="189"/>
      <c r="BY94" s="189"/>
      <c r="BZ94" s="189"/>
      <c r="CA94" s="189"/>
      <c r="CB94" s="189"/>
      <c r="CC94" s="189"/>
      <c r="CD94" s="189"/>
      <c r="CE94" s="189"/>
      <c r="CF94" s="189"/>
      <c r="CG94" s="189"/>
      <c r="CH94" s="189"/>
      <c r="CI94" s="189"/>
      <c r="CJ94" s="189"/>
      <c r="CK94" s="189"/>
      <c r="CL94" s="189"/>
      <c r="CM94" s="189"/>
      <c r="CN94" s="189"/>
      <c r="CO94" s="189"/>
      <c r="CP94" s="189"/>
      <c r="CQ94" s="189"/>
      <c r="CR94" s="189"/>
      <c r="CS94" s="189"/>
      <c r="CT94" s="189"/>
      <c r="CU94" s="189"/>
      <c r="CV94" s="189"/>
      <c r="CW94" s="189"/>
      <c r="CX94" s="189"/>
      <c r="CY94" s="189"/>
      <c r="CZ94" s="189"/>
      <c r="DA94" s="189"/>
      <c r="DB94" s="189"/>
      <c r="DC94" s="189"/>
      <c r="DD94" s="189"/>
      <c r="DE94" s="189"/>
      <c r="DF94" s="189"/>
      <c r="DG94" s="189"/>
      <c r="DH94" s="189"/>
      <c r="DI94" s="189"/>
      <c r="DJ94" s="189"/>
      <c r="DK94" s="189"/>
      <c r="DL94" s="189"/>
    </row>
    <row r="95" ht="20.25" customHeight="1">
      <c r="A95" s="44">
        <v>95.0</v>
      </c>
      <c r="B95" s="109" t="s">
        <v>590</v>
      </c>
      <c r="C95" s="109" t="s">
        <v>115</v>
      </c>
      <c r="D95" s="149" t="s">
        <v>442</v>
      </c>
      <c r="E95" s="71"/>
      <c r="F95" s="125" t="s">
        <v>591</v>
      </c>
      <c r="G95" s="210" t="s">
        <v>636</v>
      </c>
      <c r="H95" s="210" t="s">
        <v>445</v>
      </c>
      <c r="I95" s="211">
        <v>45636.0</v>
      </c>
      <c r="J95" s="311">
        <v>45680.0</v>
      </c>
      <c r="K95" s="210" t="s">
        <v>616</v>
      </c>
      <c r="L95" s="147" t="s">
        <v>593</v>
      </c>
      <c r="M95" s="210" t="s">
        <v>594</v>
      </c>
      <c r="N95" s="210" t="s">
        <v>595</v>
      </c>
      <c r="O95" s="114"/>
      <c r="P95" s="214" t="s">
        <v>596</v>
      </c>
      <c r="Q95" s="52" t="str">
        <f t="array" ref="Q95"> if(iserror(MATCH(V95, 'File Links'!C:C, 0)), "N/A", HYPERLINK(INDEX('File Links'!B:B, MATCH(P95, 'File Links'!C:C, 0))))</f>
        <v>https://drive.google.com/file/d/1RTiaFppoyqVSbs6ENCjo8xyaIVfjFhVI/view?usp=drivesdk</v>
      </c>
      <c r="R95" s="210" t="s">
        <v>597</v>
      </c>
      <c r="S95" s="312" t="s">
        <v>598</v>
      </c>
      <c r="T95" s="114"/>
      <c r="U95" s="120"/>
      <c r="V95" s="66" t="str">
        <f> hyperlink(vlookup(lower(S95),'File Links'!E:F, 2, FALSE), SUBSTITUTE(lower(S95), "/", "--") &amp;  ".pdf")</f>
        <v>10.1016--j.jsp.2024.101307.pdf</v>
      </c>
      <c r="W95" s="210" t="s">
        <v>164</v>
      </c>
      <c r="X95" s="54" t="str">
        <f t="array" ref="X95"> if(iserror(MATCH(V95, 'File Links'!C:C, 0)), "N/A", HYPERLINK(INDEX('File Links'!B:B, MATCH(V95, 'File Links'!C:C, 0))))</f>
        <v>https://drive.google.com/file/d/1VAdnhoiJmdHbv1LbvyIfcfg3rNALrpkj/view?usp=drivesdk</v>
      </c>
      <c r="Y95" s="114"/>
      <c r="Z95" s="313" t="s">
        <v>241</v>
      </c>
      <c r="AA95" s="114"/>
      <c r="AB95" s="210" t="s">
        <v>599</v>
      </c>
      <c r="AC95" s="210" t="s">
        <v>600</v>
      </c>
      <c r="AD95" s="210" t="s">
        <v>634</v>
      </c>
      <c r="AE95" s="217">
        <v>26.0</v>
      </c>
      <c r="AF95" s="217">
        <v>6.0</v>
      </c>
      <c r="AG95" s="316" t="s">
        <v>635</v>
      </c>
      <c r="AH95" s="214" t="s">
        <v>602</v>
      </c>
      <c r="AI95" s="210" t="s">
        <v>623</v>
      </c>
      <c r="AJ95" s="217">
        <v>0.001</v>
      </c>
      <c r="AK95" s="218" t="s">
        <v>172</v>
      </c>
      <c r="AL95" s="210" t="s">
        <v>186</v>
      </c>
      <c r="AM95" s="210" t="s">
        <v>141</v>
      </c>
      <c r="AN95" s="219" t="s">
        <v>138</v>
      </c>
      <c r="AO95" s="217">
        <v>4.0</v>
      </c>
      <c r="AP95" s="321">
        <v>-1.07</v>
      </c>
      <c r="AQ95" s="210" t="s">
        <v>602</v>
      </c>
      <c r="AR95" s="210" t="s">
        <v>630</v>
      </c>
      <c r="AS95" s="316">
        <v>0.042</v>
      </c>
      <c r="AT95" s="218" t="s">
        <v>172</v>
      </c>
      <c r="AU95" s="218" t="s">
        <v>186</v>
      </c>
      <c r="AV95" s="218" t="s">
        <v>141</v>
      </c>
      <c r="AW95" s="111"/>
      <c r="AX95" s="218" t="s">
        <v>438</v>
      </c>
      <c r="AY95" s="61" t="str">
        <f>IFERROR(__xludf.DUMMYFUNCTION("vlookup(BB95,importrange(""https://docs.google.com/spreadsheets/d/1d2vevQ_7D_v35q4wCQ4RpQ_IPoTwEMB9Yp6ymwlPqew/edit?gid=984458430#gid=984458430"", ""'replication success'!A:K""), 11, FAlSE)"),"#N/A")</f>
        <v>#N/A</v>
      </c>
      <c r="AZ95" s="61" t="str">
        <f>IFERROR(__xludf.DUMMYFUNCTION("vlookup(BB95,importrange(""https://docs.google.com/spreadsheets/d/1d2vevQ_7D_v35q4wCQ4RpQ_IPoTwEMB9Yp6ymwlPqew/edit?gid=984458430#gid=984458430"", ""'replication success'!A:M""), 12, FAlSE)"),"#N/A")</f>
        <v>#N/A</v>
      </c>
      <c r="BA95" s="61" t="str">
        <f>IFERROR(__xludf.DUMMYFUNCTION("vlookup(BB95,importrange(""https://docs.google.com/spreadsheets/d/1d2vevQ_7D_v35q4wCQ4RpQ_IPoTwEMB9Yp6ymwlPqew/edit?gid=984458430#gid=984458430"", ""'replication success'!A:M""), 13, FAlSE)"),"#N/A")</f>
        <v>#N/A</v>
      </c>
      <c r="BB95" s="61" t="str">
        <f>IFERROR(__xludf.DUMMYFUNCTION("REGEXREPLACE(G95, ""_[a-z]{1,2}$"", """")"),"additional_studies15")</f>
        <v>additional_studies15</v>
      </c>
      <c r="BC95" s="114"/>
      <c r="BD95" s="149" t="s">
        <v>144</v>
      </c>
    </row>
    <row r="96" ht="20.25" customHeight="1">
      <c r="A96" s="44">
        <v>96.0</v>
      </c>
      <c r="B96" s="322" t="s">
        <v>523</v>
      </c>
      <c r="C96" s="62" t="s">
        <v>115</v>
      </c>
      <c r="D96" s="62" t="s">
        <v>286</v>
      </c>
      <c r="F96" s="150" t="s">
        <v>637</v>
      </c>
      <c r="G96" s="151" t="s">
        <v>638</v>
      </c>
      <c r="H96" s="151" t="s">
        <v>289</v>
      </c>
      <c r="I96" s="152"/>
      <c r="J96" s="153">
        <v>45684.0</v>
      </c>
      <c r="K96" s="129" t="s">
        <v>639</v>
      </c>
      <c r="L96" s="68"/>
      <c r="M96" s="154"/>
      <c r="N96" s="155" t="s">
        <v>640</v>
      </c>
      <c r="O96" s="156"/>
      <c r="P96" s="309" t="s">
        <v>641</v>
      </c>
      <c r="Q96" s="52" t="str">
        <f t="array" ref="Q96"> if(iserror(MATCH(V96, 'File Links'!C:C, 0)), "N/A", HYPERLINK(INDEX('File Links'!B:B, MATCH(P96, 'File Links'!C:C, 0))))</f>
        <v>https://drive.google.com/file/d/1GpQZNwn0thDz2IQRffeGzv6KDWQiKn_I/view?usp=drivesdk</v>
      </c>
      <c r="R96" s="129" t="s">
        <v>642</v>
      </c>
      <c r="S96" s="62" t="s">
        <v>643</v>
      </c>
      <c r="T96" s="68"/>
      <c r="U96" s="156"/>
      <c r="V96" s="66" t="str">
        <f> hyperlink(vlookup(lower(S96),'File Links'!E:F, 2, FALSE), SUBSTITUTE(lower(S96), "/", "--") &amp;  ".pdf")</f>
        <v>10.1080--19345747.2024.2333734.pdf</v>
      </c>
      <c r="W96" s="129" t="s">
        <v>644</v>
      </c>
      <c r="X96" s="54" t="str">
        <f t="array" ref="X96"> if(iserror(MATCH(V96, 'File Links'!C:C, 0)), "N/A", HYPERLINK(INDEX('File Links'!B:B, MATCH(V96, 'File Links'!C:C, 0))))</f>
        <v>https://drive.google.com/file/d/1Rle6yo3utupMLtWPIY-izoAHwsC7-l3z/view?usp=drivesdk</v>
      </c>
      <c r="Z96" s="151" t="s">
        <v>241</v>
      </c>
      <c r="AA96" s="129" t="s">
        <v>645</v>
      </c>
      <c r="AB96" s="129" t="s">
        <v>646</v>
      </c>
      <c r="AD96" s="129" t="s">
        <v>647</v>
      </c>
      <c r="AE96" s="165" t="s">
        <v>648</v>
      </c>
      <c r="AF96" s="161">
        <v>140.0</v>
      </c>
      <c r="AG96" s="161">
        <v>0.66</v>
      </c>
      <c r="AH96" s="322" t="s">
        <v>602</v>
      </c>
      <c r="AI96" s="151" t="s">
        <v>649</v>
      </c>
      <c r="AJ96" s="129">
        <v>0.007</v>
      </c>
      <c r="AK96" s="166" t="s">
        <v>172</v>
      </c>
      <c r="AL96" s="151" t="s">
        <v>186</v>
      </c>
      <c r="AM96" s="151" t="s">
        <v>141</v>
      </c>
      <c r="AN96" s="68"/>
      <c r="AO96" s="323">
        <v>486.0</v>
      </c>
      <c r="AP96" s="161">
        <v>0.41</v>
      </c>
      <c r="AQ96" s="161" t="s">
        <v>602</v>
      </c>
      <c r="AR96" s="151" t="s">
        <v>305</v>
      </c>
      <c r="AS96" s="129">
        <v>0.073</v>
      </c>
      <c r="AT96" s="166" t="s">
        <v>172</v>
      </c>
      <c r="AU96" s="151" t="s">
        <v>186</v>
      </c>
      <c r="AV96" s="151" t="s">
        <v>141</v>
      </c>
      <c r="AW96" s="68"/>
      <c r="AX96" s="163" t="s">
        <v>151</v>
      </c>
      <c r="AY96" s="61" t="str">
        <f>IFERROR(__xludf.DUMMYFUNCTION("vlookup(BB96,importrange(""https://docs.google.com/spreadsheets/d/1d2vevQ_7D_v35q4wCQ4RpQ_IPoTwEMB9Yp6ymwlPqew/edit?gid=984458430#gid=984458430"", ""'replication success'!A:K""), 11, FAlSE)"),"#N/A")</f>
        <v>#N/A</v>
      </c>
      <c r="AZ96" s="61" t="str">
        <f>IFERROR(__xludf.DUMMYFUNCTION("vlookup(BB96,importrange(""https://docs.google.com/spreadsheets/d/1d2vevQ_7D_v35q4wCQ4RpQ_IPoTwEMB9Yp6ymwlPqew/edit?gid=984458430#gid=984458430"", ""'replication success'!A:M""), 12, FAlSE)"),"#N/A")</f>
        <v>#N/A</v>
      </c>
      <c r="BA96" s="61" t="str">
        <f>IFERROR(__xludf.DUMMYFUNCTION("vlookup(BB96,importrange(""https://docs.google.com/spreadsheets/d/1d2vevQ_7D_v35q4wCQ4RpQ_IPoTwEMB9Yp6ymwlPqew/edit?gid=984458430#gid=984458430"", ""'replication success'!A:M""), 13, FAlSE)"),"#N/A")</f>
        <v>#N/A</v>
      </c>
      <c r="BB96" s="61" t="str">
        <f>IFERROR(__xludf.DUMMYFUNCTION("REGEXREPLACE(G96, ""_[a-z]{1,2}$"", """")"),"additional_studies16")</f>
        <v>additional_studies16</v>
      </c>
    </row>
    <row r="97" ht="20.25" customHeight="1">
      <c r="A97" s="44">
        <v>97.0</v>
      </c>
      <c r="B97" s="322" t="s">
        <v>523</v>
      </c>
      <c r="C97" s="62" t="s">
        <v>115</v>
      </c>
      <c r="D97" s="62" t="s">
        <v>286</v>
      </c>
      <c r="F97" s="150" t="s">
        <v>637</v>
      </c>
      <c r="G97" s="151" t="s">
        <v>650</v>
      </c>
      <c r="H97" s="151" t="s">
        <v>289</v>
      </c>
      <c r="I97" s="152"/>
      <c r="J97" s="153">
        <v>45684.0</v>
      </c>
      <c r="K97" s="129" t="s">
        <v>639</v>
      </c>
      <c r="L97" s="68"/>
      <c r="M97" s="154"/>
      <c r="N97" s="155" t="s">
        <v>640</v>
      </c>
      <c r="O97" s="156"/>
      <c r="P97" s="309" t="s">
        <v>641</v>
      </c>
      <c r="Q97" s="52" t="str">
        <f t="array" ref="Q97"> if(iserror(MATCH(V97, 'File Links'!C:C, 0)), "N/A", HYPERLINK(INDEX('File Links'!B:B, MATCH(P97, 'File Links'!C:C, 0))))</f>
        <v>https://drive.google.com/file/d/1GpQZNwn0thDz2IQRffeGzv6KDWQiKn_I/view?usp=drivesdk</v>
      </c>
      <c r="R97" s="129" t="s">
        <v>651</v>
      </c>
      <c r="S97" s="322" t="s">
        <v>652</v>
      </c>
      <c r="T97" s="68"/>
      <c r="U97" s="156"/>
      <c r="V97" s="66" t="str">
        <f> hyperlink(vlookup(lower(S97),'File Links'!E:F, 2, FALSE), SUBSTITUTE(lower(S97), "/", "--") &amp;  ".pdf")</f>
        <v>10.1080--19345747.2024.2333734.pdf</v>
      </c>
      <c r="W97" s="129" t="s">
        <v>644</v>
      </c>
      <c r="X97" s="54" t="str">
        <f t="array" ref="X97"> if(iserror(MATCH(V97, 'File Links'!C:C, 0)), "N/A", HYPERLINK(INDEX('File Links'!B:B, MATCH(V97, 'File Links'!C:C, 0))))</f>
        <v>https://drive.google.com/file/d/1Rle6yo3utupMLtWPIY-izoAHwsC7-l3z/view?usp=drivesdk</v>
      </c>
      <c r="Z97" s="151" t="s">
        <v>241</v>
      </c>
      <c r="AA97" s="129" t="s">
        <v>653</v>
      </c>
      <c r="AB97" s="129" t="s">
        <v>646</v>
      </c>
      <c r="AD97" s="129" t="s">
        <v>654</v>
      </c>
      <c r="AE97" s="165" t="s">
        <v>648</v>
      </c>
      <c r="AF97" s="161">
        <v>140.0</v>
      </c>
      <c r="AG97" s="161">
        <v>0.58</v>
      </c>
      <c r="AH97" s="322" t="s">
        <v>602</v>
      </c>
      <c r="AI97" s="151" t="s">
        <v>649</v>
      </c>
      <c r="AJ97" s="129">
        <v>0.001</v>
      </c>
      <c r="AK97" s="166" t="s">
        <v>172</v>
      </c>
      <c r="AL97" s="151" t="s">
        <v>186</v>
      </c>
      <c r="AM97" s="151" t="s">
        <v>141</v>
      </c>
      <c r="AN97" s="68"/>
      <c r="AO97" s="323">
        <v>486.0</v>
      </c>
      <c r="AP97" s="161">
        <v>0.46</v>
      </c>
      <c r="AQ97" s="161" t="s">
        <v>602</v>
      </c>
      <c r="AR97" s="151" t="s">
        <v>305</v>
      </c>
      <c r="AS97" s="129">
        <v>0.0</v>
      </c>
      <c r="AT97" s="166" t="s">
        <v>135</v>
      </c>
      <c r="AU97" s="151" t="s">
        <v>186</v>
      </c>
      <c r="AV97" s="151" t="s">
        <v>141</v>
      </c>
      <c r="AW97" s="68"/>
      <c r="AX97" s="163" t="s">
        <v>151</v>
      </c>
      <c r="AY97" s="61" t="str">
        <f>IFERROR(__xludf.DUMMYFUNCTION("vlookup(BB97,importrange(""https://docs.google.com/spreadsheets/d/1d2vevQ_7D_v35q4wCQ4RpQ_IPoTwEMB9Yp6ymwlPqew/edit?gid=984458430#gid=984458430"", ""'replication success'!A:K""), 11, FAlSE)"),"#N/A")</f>
        <v>#N/A</v>
      </c>
      <c r="AZ97" s="61" t="str">
        <f>IFERROR(__xludf.DUMMYFUNCTION("vlookup(BB97,importrange(""https://docs.google.com/spreadsheets/d/1d2vevQ_7D_v35q4wCQ4RpQ_IPoTwEMB9Yp6ymwlPqew/edit?gid=984458430#gid=984458430"", ""'replication success'!A:M""), 12, FAlSE)"),"#N/A")</f>
        <v>#N/A</v>
      </c>
      <c r="BA97" s="61" t="str">
        <f>IFERROR(__xludf.DUMMYFUNCTION("vlookup(BB97,importrange(""https://docs.google.com/spreadsheets/d/1d2vevQ_7D_v35q4wCQ4RpQ_IPoTwEMB9Yp6ymwlPqew/edit?gid=984458430#gid=984458430"", ""'replication success'!A:M""), 13, FAlSE)"),"#N/A")</f>
        <v>#N/A</v>
      </c>
      <c r="BB97" s="61" t="str">
        <f>IFERROR(__xludf.DUMMYFUNCTION("REGEXREPLACE(G97, ""_[a-z]{1,2}$"", """")"),"additional_studies16")</f>
        <v>additional_studies16</v>
      </c>
    </row>
    <row r="98" ht="20.25" customHeight="1">
      <c r="A98" s="44">
        <v>98.0</v>
      </c>
      <c r="B98" s="322" t="s">
        <v>523</v>
      </c>
      <c r="C98" s="322" t="s">
        <v>115</v>
      </c>
      <c r="D98" s="324" t="s">
        <v>248</v>
      </c>
      <c r="E98" s="322"/>
      <c r="F98" s="325" t="s">
        <v>655</v>
      </c>
      <c r="G98" s="322" t="s">
        <v>656</v>
      </c>
      <c r="H98" s="322" t="s">
        <v>249</v>
      </c>
      <c r="I98" s="326">
        <v>45427.0</v>
      </c>
      <c r="J98" s="327">
        <v>45626.0</v>
      </c>
      <c r="K98" s="322" t="s">
        <v>657</v>
      </c>
      <c r="L98" s="328"/>
      <c r="M98" s="322" t="s">
        <v>658</v>
      </c>
      <c r="N98" s="322" t="s">
        <v>640</v>
      </c>
      <c r="O98" s="328"/>
      <c r="P98" s="329" t="str">
        <f> hyperlink(vlookup(lower(N98),'File Links'!A:B, 2, FALSE), SUBSTITUTE(lower(N98), "/", "--") &amp;  ".pdf")</f>
        <v>10.1016--j.learninstruc.2018.05.004.pdf</v>
      </c>
      <c r="Q98" s="52" t="str">
        <f t="array" ref="Q98"> if(iserror(MATCH(V98, 'File Links'!C:C, 0)), "N/A", HYPERLINK(INDEX('File Links'!B:B, MATCH(P98, 'File Links'!C:C, 0))))</f>
        <v>https://drive.google.com/file/d/1GpQZNwn0thDz2IQRffeGzv6KDWQiKn_I/view?usp=drivesdk</v>
      </c>
      <c r="R98" s="322" t="s">
        <v>659</v>
      </c>
      <c r="S98" s="322" t="s">
        <v>652</v>
      </c>
      <c r="T98" s="328"/>
      <c r="U98" s="328"/>
      <c r="V98" s="66" t="str">
        <f> hyperlink(vlookup(lower(S98),'File Links'!E:F, 2, FALSE), SUBSTITUTE(lower(S98), "/", "--") &amp;  ".pdf")</f>
        <v>10.1080--19345747.2024.2333734.pdf</v>
      </c>
      <c r="W98" s="328"/>
      <c r="X98" s="54" t="str">
        <f t="array" ref="X98"> if(iserror(MATCH(V98, 'File Links'!C:C, 0)), "N/A", HYPERLINK(INDEX('File Links'!B:B, MATCH(V98, 'File Links'!C:C, 0))))</f>
        <v>https://drive.google.com/file/d/1Rle6yo3utupMLtWPIY-izoAHwsC7-l3z/view?usp=drivesdk</v>
      </c>
      <c r="Y98" s="328"/>
      <c r="Z98" s="322" t="s">
        <v>660</v>
      </c>
      <c r="AA98" s="328"/>
      <c r="AB98" s="322" t="s">
        <v>661</v>
      </c>
      <c r="AC98" s="322" t="s">
        <v>662</v>
      </c>
      <c r="AD98" s="322" t="s">
        <v>663</v>
      </c>
      <c r="AE98" s="322" t="s">
        <v>664</v>
      </c>
      <c r="AF98" s="322">
        <v>744.0</v>
      </c>
      <c r="AG98" s="322">
        <v>0.75</v>
      </c>
      <c r="AH98" s="322" t="s">
        <v>602</v>
      </c>
      <c r="AI98" s="328"/>
      <c r="AJ98" s="322">
        <v>0.02</v>
      </c>
      <c r="AK98" s="322" t="s">
        <v>172</v>
      </c>
      <c r="AL98" s="322" t="s">
        <v>186</v>
      </c>
      <c r="AM98" s="226"/>
      <c r="AN98" s="322" t="s">
        <v>138</v>
      </c>
      <c r="AO98" s="322">
        <v>2421.0</v>
      </c>
      <c r="AP98" s="322">
        <v>0.36</v>
      </c>
      <c r="AQ98" s="322" t="s">
        <v>602</v>
      </c>
      <c r="AR98" s="328"/>
      <c r="AS98" s="322">
        <v>0.031</v>
      </c>
      <c r="AT98" s="322" t="s">
        <v>172</v>
      </c>
      <c r="AU98" s="322" t="s">
        <v>186</v>
      </c>
      <c r="AV98" s="226"/>
      <c r="AW98" s="226"/>
      <c r="AX98" s="330" t="s">
        <v>665</v>
      </c>
      <c r="AY98" s="61" t="str">
        <f>IFERROR(__xludf.DUMMYFUNCTION("vlookup(BB98,importrange(""https://docs.google.com/spreadsheets/d/1d2vevQ_7D_v35q4wCQ4RpQ_IPoTwEMB9Yp6ymwlPqew/edit?gid=984458430#gid=984458430"", ""'replication success'!A:K""), 11, FAlSE)"),"#N/A")</f>
        <v>#N/A</v>
      </c>
      <c r="AZ98" s="61" t="str">
        <f>IFERROR(__xludf.DUMMYFUNCTION("vlookup(BB98,importrange(""https://docs.google.com/spreadsheets/d/1d2vevQ_7D_v35q4wCQ4RpQ_IPoTwEMB9Yp6ymwlPqew/edit?gid=984458430#gid=984458430"", ""'replication success'!A:M""), 12, FAlSE)"),"#N/A")</f>
        <v>#N/A</v>
      </c>
      <c r="BA98" s="61" t="str">
        <f>IFERROR(__xludf.DUMMYFUNCTION("vlookup(BB98,importrange(""https://docs.google.com/spreadsheets/d/1d2vevQ_7D_v35q4wCQ4RpQ_IPoTwEMB9Yp6ymwlPqew/edit?gid=984458430#gid=984458430"", ""'replication success'!A:M""), 13, FAlSE)"),"#N/A")</f>
        <v>#N/A</v>
      </c>
      <c r="BB98" s="61" t="str">
        <f>IFERROR(__xludf.DUMMYFUNCTION("REGEXREPLACE(G98, ""_[a-z]{1,2}$"", """")"),"additional_studies16")</f>
        <v>additional_studies16</v>
      </c>
      <c r="BC98" s="328"/>
      <c r="BD98" s="331"/>
    </row>
    <row r="99" ht="20.25" customHeight="1">
      <c r="A99" s="44">
        <v>99.0</v>
      </c>
      <c r="B99" s="322" t="s">
        <v>523</v>
      </c>
      <c r="C99" s="322" t="s">
        <v>115</v>
      </c>
      <c r="D99" s="324" t="s">
        <v>248</v>
      </c>
      <c r="E99" s="324"/>
      <c r="F99" s="325" t="s">
        <v>655</v>
      </c>
      <c r="G99" s="322" t="s">
        <v>638</v>
      </c>
      <c r="H99" s="322" t="s">
        <v>249</v>
      </c>
      <c r="I99" s="326">
        <v>45427.0</v>
      </c>
      <c r="J99" s="327">
        <v>45626.0</v>
      </c>
      <c r="K99" s="322" t="s">
        <v>666</v>
      </c>
      <c r="L99" s="328"/>
      <c r="M99" s="322" t="s">
        <v>658</v>
      </c>
      <c r="N99" s="322" t="s">
        <v>640</v>
      </c>
      <c r="O99" s="328"/>
      <c r="P99" s="329" t="str">
        <f> hyperlink(vlookup(lower(N99),'File Links'!A:B, 2, FALSE), SUBSTITUTE(lower(N99), "/", "--") &amp;  ".pdf")</f>
        <v>10.1016--j.learninstruc.2018.05.004.pdf</v>
      </c>
      <c r="Q99" s="52" t="str">
        <f t="array" ref="Q99"> if(iserror(MATCH(V99, 'File Links'!C:C, 0)), "N/A", HYPERLINK(INDEX('File Links'!B:B, MATCH(P99, 'File Links'!C:C, 0))))</f>
        <v>https://drive.google.com/file/d/1GpQZNwn0thDz2IQRffeGzv6KDWQiKn_I/view?usp=drivesdk</v>
      </c>
      <c r="R99" s="322" t="s">
        <v>659</v>
      </c>
      <c r="S99" s="322" t="s">
        <v>652</v>
      </c>
      <c r="T99" s="328"/>
      <c r="U99" s="328"/>
      <c r="V99" s="66" t="str">
        <f> hyperlink(vlookup(lower(S99),'File Links'!E:F, 2, FALSE), SUBSTITUTE(lower(S99), "/", "--") &amp;  ".pdf")</f>
        <v>10.1080--19345747.2024.2333734.pdf</v>
      </c>
      <c r="W99" s="328"/>
      <c r="X99" s="54" t="str">
        <f t="array" ref="X99"> if(iserror(MATCH(V99, 'File Links'!C:C, 0)), "N/A", HYPERLINK(INDEX('File Links'!B:B, MATCH(V99, 'File Links'!C:C, 0))))</f>
        <v>https://drive.google.com/file/d/1Rle6yo3utupMLtWPIY-izoAHwsC7-l3z/view?usp=drivesdk</v>
      </c>
      <c r="Y99" s="328"/>
      <c r="Z99" s="322" t="s">
        <v>660</v>
      </c>
      <c r="AA99" s="328"/>
      <c r="AB99" s="322" t="s">
        <v>667</v>
      </c>
      <c r="AC99" s="322" t="s">
        <v>662</v>
      </c>
      <c r="AD99" s="322" t="s">
        <v>668</v>
      </c>
      <c r="AE99" s="322" t="s">
        <v>664</v>
      </c>
      <c r="AF99" s="322">
        <v>744.0</v>
      </c>
      <c r="AG99" s="322">
        <v>0.61</v>
      </c>
      <c r="AH99" s="322" t="s">
        <v>602</v>
      </c>
      <c r="AI99" s="328"/>
      <c r="AJ99" s="322">
        <v>0.07</v>
      </c>
      <c r="AK99" s="322" t="s">
        <v>172</v>
      </c>
      <c r="AL99" s="322" t="s">
        <v>186</v>
      </c>
      <c r="AM99" s="226"/>
      <c r="AN99" s="322" t="s">
        <v>138</v>
      </c>
      <c r="AO99" s="322">
        <v>2421.0</v>
      </c>
      <c r="AP99" s="322">
        <v>0.58</v>
      </c>
      <c r="AQ99" s="322" t="s">
        <v>602</v>
      </c>
      <c r="AR99" s="328"/>
      <c r="AS99" s="322">
        <v>0.015</v>
      </c>
      <c r="AT99" s="322" t="s">
        <v>172</v>
      </c>
      <c r="AU99" s="322" t="s">
        <v>186</v>
      </c>
      <c r="AV99" s="226"/>
      <c r="AW99" s="226"/>
      <c r="AX99" s="330" t="s">
        <v>665</v>
      </c>
      <c r="AY99" s="61" t="str">
        <f>IFERROR(__xludf.DUMMYFUNCTION("vlookup(BB99,importrange(""https://docs.google.com/spreadsheets/d/1d2vevQ_7D_v35q4wCQ4RpQ_IPoTwEMB9Yp6ymwlPqew/edit?gid=984458430#gid=984458430"", ""'replication success'!A:K""), 11, FAlSE)"),"#N/A")</f>
        <v>#N/A</v>
      </c>
      <c r="AZ99" s="61" t="str">
        <f>IFERROR(__xludf.DUMMYFUNCTION("vlookup(BB99,importrange(""https://docs.google.com/spreadsheets/d/1d2vevQ_7D_v35q4wCQ4RpQ_IPoTwEMB9Yp6ymwlPqew/edit?gid=984458430#gid=984458430"", ""'replication success'!A:M""), 12, FAlSE)"),"#N/A")</f>
        <v>#N/A</v>
      </c>
      <c r="BA99" s="61" t="str">
        <f>IFERROR(__xludf.DUMMYFUNCTION("vlookup(BB99,importrange(""https://docs.google.com/spreadsheets/d/1d2vevQ_7D_v35q4wCQ4RpQ_IPoTwEMB9Yp6ymwlPqew/edit?gid=984458430#gid=984458430"", ""'replication success'!A:M""), 13, FAlSE)"),"#N/A")</f>
        <v>#N/A</v>
      </c>
      <c r="BB99" s="61" t="str">
        <f>IFERROR(__xludf.DUMMYFUNCTION("REGEXREPLACE(G99, ""_[a-z]{1,2}$"", """")"),"additional_studies16")</f>
        <v>additional_studies16</v>
      </c>
      <c r="BC99" s="328"/>
      <c r="BD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c r="CZ99" s="226"/>
      <c r="DA99" s="226"/>
      <c r="DB99" s="226"/>
      <c r="DC99" s="226"/>
      <c r="DD99" s="226"/>
      <c r="DE99" s="226"/>
      <c r="DF99" s="226"/>
      <c r="DG99" s="226"/>
      <c r="DH99" s="226"/>
      <c r="DI99" s="226"/>
      <c r="DJ99" s="226"/>
      <c r="DK99" s="226"/>
      <c r="DL99" s="226"/>
    </row>
    <row r="100" ht="20.25" customHeight="1">
      <c r="A100" s="44">
        <v>100.0</v>
      </c>
      <c r="B100" s="322" t="s">
        <v>523</v>
      </c>
      <c r="C100" s="322" t="s">
        <v>115</v>
      </c>
      <c r="D100" s="324" t="s">
        <v>248</v>
      </c>
      <c r="E100" s="324"/>
      <c r="F100" s="325" t="s">
        <v>655</v>
      </c>
      <c r="G100" s="322" t="s">
        <v>650</v>
      </c>
      <c r="H100" s="322" t="s">
        <v>249</v>
      </c>
      <c r="I100" s="326">
        <v>45427.0</v>
      </c>
      <c r="J100" s="327">
        <v>45626.0</v>
      </c>
      <c r="K100" s="322" t="s">
        <v>669</v>
      </c>
      <c r="L100" s="328"/>
      <c r="M100" s="322" t="s">
        <v>658</v>
      </c>
      <c r="N100" s="322" t="s">
        <v>640</v>
      </c>
      <c r="O100" s="328"/>
      <c r="P100" s="329" t="str">
        <f> hyperlink(vlookup(lower(N100),'File Links'!A:B, 2, FALSE), SUBSTITUTE(lower(N100), "/", "--") &amp;  ".pdf")</f>
        <v>10.1016--j.learninstruc.2018.05.004.pdf</v>
      </c>
      <c r="Q100" s="52" t="str">
        <f t="array" ref="Q100"> if(iserror(MATCH(V100, 'File Links'!C:C, 0)), "N/A", HYPERLINK(INDEX('File Links'!B:B, MATCH(P100, 'File Links'!C:C, 0))))</f>
        <v>https://drive.google.com/file/d/1GpQZNwn0thDz2IQRffeGzv6KDWQiKn_I/view?usp=drivesdk</v>
      </c>
      <c r="R100" s="322" t="s">
        <v>659</v>
      </c>
      <c r="S100" s="322" t="s">
        <v>652</v>
      </c>
      <c r="T100" s="328"/>
      <c r="U100" s="328"/>
      <c r="V100" s="66" t="str">
        <f> hyperlink(vlookup(lower(S100),'File Links'!E:F, 2, FALSE), SUBSTITUTE(lower(S100), "/", "--") &amp;  ".pdf")</f>
        <v>10.1080--19345747.2024.2333734.pdf</v>
      </c>
      <c r="W100" s="328"/>
      <c r="X100" s="54" t="str">
        <f t="array" ref="X100"> if(iserror(MATCH(V100, 'File Links'!C:C, 0)), "N/A", HYPERLINK(INDEX('File Links'!B:B, MATCH(V100, 'File Links'!C:C, 0))))</f>
        <v>https://drive.google.com/file/d/1Rle6yo3utupMLtWPIY-izoAHwsC7-l3z/view?usp=drivesdk</v>
      </c>
      <c r="Y100" s="328"/>
      <c r="Z100" s="322" t="s">
        <v>660</v>
      </c>
      <c r="AA100" s="328"/>
      <c r="AB100" s="322" t="s">
        <v>670</v>
      </c>
      <c r="AC100" s="322" t="s">
        <v>662</v>
      </c>
      <c r="AD100" s="322" t="s">
        <v>671</v>
      </c>
      <c r="AE100" s="322" t="s">
        <v>664</v>
      </c>
      <c r="AF100" s="322">
        <v>744.0</v>
      </c>
      <c r="AG100" s="322">
        <v>0.57</v>
      </c>
      <c r="AH100" s="322" t="s">
        <v>602</v>
      </c>
      <c r="AI100" s="328"/>
      <c r="AJ100" s="322">
        <v>0.01</v>
      </c>
      <c r="AK100" s="322" t="s">
        <v>135</v>
      </c>
      <c r="AL100" s="322" t="s">
        <v>186</v>
      </c>
      <c r="AM100" s="226"/>
      <c r="AN100" s="322" t="s">
        <v>138</v>
      </c>
      <c r="AO100" s="322">
        <v>2421.0</v>
      </c>
      <c r="AP100" s="322">
        <v>0.54</v>
      </c>
      <c r="AQ100" s="322" t="s">
        <v>602</v>
      </c>
      <c r="AR100" s="328"/>
      <c r="AS100" s="322">
        <v>0.0</v>
      </c>
      <c r="AT100" s="322" t="s">
        <v>172</v>
      </c>
      <c r="AU100" s="322" t="s">
        <v>186</v>
      </c>
      <c r="AV100" s="226"/>
      <c r="AW100" s="226"/>
      <c r="AX100" s="330" t="s">
        <v>665</v>
      </c>
      <c r="AY100" s="61" t="str">
        <f>IFERROR(__xludf.DUMMYFUNCTION("vlookup(BB100,importrange(""https://docs.google.com/spreadsheets/d/1d2vevQ_7D_v35q4wCQ4RpQ_IPoTwEMB9Yp6ymwlPqew/edit?gid=984458430#gid=984458430"", ""'replication success'!A:K""), 11, FAlSE)"),"#N/A")</f>
        <v>#N/A</v>
      </c>
      <c r="AZ100" s="61" t="str">
        <f>IFERROR(__xludf.DUMMYFUNCTION("vlookup(BB100,importrange(""https://docs.google.com/spreadsheets/d/1d2vevQ_7D_v35q4wCQ4RpQ_IPoTwEMB9Yp6ymwlPqew/edit?gid=984458430#gid=984458430"", ""'replication success'!A:M""), 12, FAlSE)"),"#N/A")</f>
        <v>#N/A</v>
      </c>
      <c r="BA100" s="61" t="str">
        <f>IFERROR(__xludf.DUMMYFUNCTION("vlookup(BB100,importrange(""https://docs.google.com/spreadsheets/d/1d2vevQ_7D_v35q4wCQ4RpQ_IPoTwEMB9Yp6ymwlPqew/edit?gid=984458430#gid=984458430"", ""'replication success'!A:M""), 13, FAlSE)"),"#N/A")</f>
        <v>#N/A</v>
      </c>
      <c r="BB100" s="61" t="str">
        <f>IFERROR(__xludf.DUMMYFUNCTION("REGEXREPLACE(G100, ""_[a-z]{1,2}$"", """")"),"additional_studies16")</f>
        <v>additional_studies16</v>
      </c>
      <c r="BC100" s="328"/>
      <c r="BD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c r="CZ100" s="226"/>
      <c r="DA100" s="226"/>
      <c r="DB100" s="226"/>
      <c r="DC100" s="226"/>
      <c r="DD100" s="226"/>
      <c r="DE100" s="226"/>
      <c r="DF100" s="226"/>
      <c r="DG100" s="226"/>
      <c r="DH100" s="226"/>
      <c r="DI100" s="226"/>
      <c r="DJ100" s="226"/>
      <c r="DK100" s="226"/>
      <c r="DL100" s="226"/>
    </row>
    <row r="101" ht="20.25" customHeight="1">
      <c r="A101" s="44">
        <v>101.0</v>
      </c>
      <c r="B101" s="322" t="s">
        <v>590</v>
      </c>
      <c r="C101" s="325" t="s">
        <v>115</v>
      </c>
      <c r="D101" s="325" t="s">
        <v>286</v>
      </c>
      <c r="E101" s="226"/>
      <c r="F101" s="332" t="s">
        <v>655</v>
      </c>
      <c r="G101" s="324" t="s">
        <v>637</v>
      </c>
      <c r="H101" s="324" t="s">
        <v>289</v>
      </c>
      <c r="I101" s="333">
        <v>45427.0</v>
      </c>
      <c r="J101" s="333">
        <v>45684.0</v>
      </c>
      <c r="K101" s="330" t="s">
        <v>639</v>
      </c>
      <c r="L101" s="331"/>
      <c r="M101" s="332" t="s">
        <v>658</v>
      </c>
      <c r="N101" s="332" t="s">
        <v>640</v>
      </c>
      <c r="O101" s="334"/>
      <c r="P101" s="324" t="s">
        <v>641</v>
      </c>
      <c r="Q101" s="52" t="str">
        <f t="array" ref="Q101"> if(iserror(MATCH(V101, 'File Links'!C:C, 0)), "N/A", HYPERLINK(INDEX('File Links'!B:B, MATCH(P101, 'File Links'!C:C, 0))))</f>
        <v>https://drive.google.com/file/d/1GpQZNwn0thDz2IQRffeGzv6KDWQiKn_I/view?usp=drivesdk</v>
      </c>
      <c r="R101" s="330" t="s">
        <v>659</v>
      </c>
      <c r="S101" s="322" t="s">
        <v>652</v>
      </c>
      <c r="T101" s="331"/>
      <c r="U101" s="334"/>
      <c r="V101" s="66" t="str">
        <f> hyperlink(vlookup(lower(S101),'File Links'!E:F, 2, FALSE), SUBSTITUTE(lower(S101), "/", "--") &amp;  ".pdf")</f>
        <v>10.1080--19345747.2024.2333734.pdf</v>
      </c>
      <c r="W101" s="335" t="s">
        <v>672</v>
      </c>
      <c r="X101" s="54" t="str">
        <f t="array" ref="X101"> if(iserror(MATCH(V101, 'File Links'!C:C, 0)), "N/A", HYPERLINK(INDEX('File Links'!B:B, MATCH(V101, 'File Links'!C:C, 0))))</f>
        <v>https://drive.google.com/file/d/1Rle6yo3utupMLtWPIY-izoAHwsC7-l3z/view?usp=drivesdk</v>
      </c>
      <c r="Y101" s="226"/>
      <c r="Z101" s="324" t="s">
        <v>241</v>
      </c>
      <c r="AA101" s="68" t="s">
        <v>673</v>
      </c>
      <c r="AB101" s="159" t="s">
        <v>646</v>
      </c>
      <c r="AC101" s="68" t="s">
        <v>674</v>
      </c>
      <c r="AD101" s="68" t="s">
        <v>675</v>
      </c>
      <c r="AE101" s="68" t="s">
        <v>648</v>
      </c>
      <c r="AF101" s="336">
        <v>140.0</v>
      </c>
      <c r="AG101" s="337">
        <v>0.75</v>
      </c>
      <c r="AH101" s="322" t="s">
        <v>602</v>
      </c>
      <c r="AI101" s="338" t="s">
        <v>649</v>
      </c>
      <c r="AJ101" s="337">
        <v>0.002</v>
      </c>
      <c r="AK101" s="338" t="s">
        <v>172</v>
      </c>
      <c r="AL101" s="338" t="s">
        <v>186</v>
      </c>
      <c r="AM101" s="68" t="s">
        <v>141</v>
      </c>
      <c r="AN101" s="322" t="s">
        <v>138</v>
      </c>
      <c r="AO101" s="337">
        <v>486.0</v>
      </c>
      <c r="AP101" s="337">
        <v>0.9</v>
      </c>
      <c r="AQ101" s="339" t="s">
        <v>602</v>
      </c>
      <c r="AR101" s="338" t="s">
        <v>305</v>
      </c>
      <c r="AS101" s="337">
        <v>0.047</v>
      </c>
      <c r="AT101" s="338" t="s">
        <v>172</v>
      </c>
      <c r="AU101" s="338" t="s">
        <v>186</v>
      </c>
      <c r="AV101" s="68" t="s">
        <v>141</v>
      </c>
      <c r="AW101" s="338"/>
      <c r="AX101" s="68" t="s">
        <v>151</v>
      </c>
      <c r="AY101" s="61" t="str">
        <f>IFERROR(__xludf.DUMMYFUNCTION("vlookup(BB101,importrange(""https://docs.google.com/spreadsheets/d/1d2vevQ_7D_v35q4wCQ4RpQ_IPoTwEMB9Yp6ymwlPqew/edit?gid=984458430#gid=984458430"", ""'replication success'!A:K""), 11, FAlSE)"),"#N/A")</f>
        <v>#N/A</v>
      </c>
      <c r="AZ101" s="61" t="str">
        <f>IFERROR(__xludf.DUMMYFUNCTION("vlookup(BB101,importrange(""https://docs.google.com/spreadsheets/d/1d2vevQ_7D_v35q4wCQ4RpQ_IPoTwEMB9Yp6ymwlPqew/edit?gid=984458430#gid=984458430"", ""'replication success'!A:M""), 12, FAlSE)"),"#N/A")</f>
        <v>#N/A</v>
      </c>
      <c r="BA101" s="61" t="str">
        <f>IFERROR(__xludf.DUMMYFUNCTION("vlookup(BB101,importrange(""https://docs.google.com/spreadsheets/d/1d2vevQ_7D_v35q4wCQ4RpQ_IPoTwEMB9Yp6ymwlPqew/edit?gid=984458430#gid=984458430"", ""'replication success'!A:M""), 13, FAlSE)"),"#N/A")</f>
        <v>#N/A</v>
      </c>
      <c r="BB101" s="61" t="str">
        <f>IFERROR(__xludf.DUMMYFUNCTION("REGEXREPLACE(G101, ""_[a-z]{1,2}$"", """")"),"additional_studies16")</f>
        <v>additional_studies16</v>
      </c>
      <c r="BC101" s="226"/>
      <c r="BD101" s="226"/>
      <c r="BG101" s="226"/>
      <c r="BH101" s="226"/>
      <c r="BI101" s="226"/>
      <c r="BJ101" s="226"/>
      <c r="BK101" s="226"/>
      <c r="BL101" s="226"/>
      <c r="BM101" s="226"/>
      <c r="BN101" s="226"/>
      <c r="BO101" s="226"/>
      <c r="BP101" s="226"/>
      <c r="BQ101" s="226"/>
      <c r="BR101" s="226"/>
      <c r="BS101" s="226"/>
      <c r="BT101" s="226"/>
      <c r="BU101" s="226"/>
      <c r="BV101" s="226"/>
      <c r="BW101" s="226"/>
      <c r="BX101" s="226"/>
      <c r="BY101" s="226"/>
      <c r="BZ101" s="226"/>
      <c r="CA101" s="226"/>
      <c r="CB101" s="226"/>
      <c r="CC101" s="226"/>
      <c r="CD101" s="226"/>
      <c r="CE101" s="226"/>
      <c r="CF101" s="226"/>
      <c r="CG101" s="226"/>
      <c r="CH101" s="226"/>
      <c r="CI101" s="226"/>
      <c r="CJ101" s="226"/>
      <c r="CK101" s="226"/>
      <c r="CL101" s="226"/>
      <c r="CM101" s="226"/>
      <c r="CN101" s="226"/>
      <c r="CO101" s="226"/>
      <c r="CP101" s="226"/>
      <c r="CQ101" s="226"/>
      <c r="CR101" s="226"/>
      <c r="CS101" s="226"/>
      <c r="CT101" s="226"/>
      <c r="CU101" s="226"/>
      <c r="CV101" s="226"/>
      <c r="CW101" s="226"/>
      <c r="CX101" s="226"/>
      <c r="CY101" s="226"/>
      <c r="CZ101" s="226"/>
      <c r="DA101" s="226"/>
      <c r="DB101" s="226"/>
      <c r="DC101" s="226"/>
      <c r="DD101" s="226"/>
      <c r="DE101" s="226"/>
      <c r="DF101" s="226"/>
      <c r="DG101" s="226"/>
      <c r="DH101" s="226"/>
      <c r="DI101" s="226"/>
      <c r="DJ101" s="226"/>
      <c r="DK101" s="226"/>
      <c r="DL101" s="226"/>
    </row>
    <row r="102" ht="20.25" customHeight="1">
      <c r="A102" s="44">
        <v>102.0</v>
      </c>
      <c r="B102" s="340" t="s">
        <v>152</v>
      </c>
      <c r="C102" s="341" t="s">
        <v>115</v>
      </c>
      <c r="D102" s="341" t="s">
        <v>286</v>
      </c>
      <c r="E102" s="342"/>
      <c r="F102" s="343" t="s">
        <v>676</v>
      </c>
      <c r="G102" s="343" t="s">
        <v>677</v>
      </c>
      <c r="H102" s="343" t="s">
        <v>289</v>
      </c>
      <c r="I102" s="344"/>
      <c r="J102" s="345">
        <v>45684.0</v>
      </c>
      <c r="K102" s="56" t="s">
        <v>678</v>
      </c>
      <c r="L102" s="56" t="s">
        <v>679</v>
      </c>
      <c r="M102" s="340" t="s">
        <v>680</v>
      </c>
      <c r="N102" s="346" t="s">
        <v>681</v>
      </c>
      <c r="O102" s="347">
        <v>1.0</v>
      </c>
      <c r="P102" s="343" t="s">
        <v>682</v>
      </c>
      <c r="Q102" s="104" t="str">
        <f t="array" ref="Q102"> if(iserror(MATCH(V102, 'File Links'!C:C, 0)), "N/A", HYPERLINK(INDEX('File Links'!B:B, MATCH(P102, 'File Links'!C:C, 0))))</f>
        <v>https://drive.google.com/file/d/1mMbXlq0wHwW3u94B3l_0KZ3_2GsCObmh/view?usp=drivesdk</v>
      </c>
      <c r="R102" s="56" t="s">
        <v>683</v>
      </c>
      <c r="S102" s="340" t="s">
        <v>684</v>
      </c>
      <c r="T102" s="46"/>
      <c r="U102" s="347">
        <v>1.0</v>
      </c>
      <c r="V102" s="340" t="str">
        <f> hyperlink(vlookup(lower(S102),'File Links'!E:F, 2, FALSE), SUBSTITUTE(lower(S102), "/", "--") &amp;  ".pdf")</f>
        <v>10.1177--07419325241240067.pdf</v>
      </c>
      <c r="W102" s="56" t="s">
        <v>685</v>
      </c>
      <c r="X102" s="54" t="str">
        <f t="array" ref="X102"> if(iserror(MATCH(V102, 'File Links'!C:C, 0)), "N/A", HYPERLINK(INDEX('File Links'!B:B, MATCH(V102, 'File Links'!C:C, 0))))</f>
        <v>https://drive.google.com/file/d/1gy34Rj2zubnsdFDxbY0YzwrhmT7eVu5B/view?usp=drivesdk</v>
      </c>
      <c r="Y102" s="342"/>
      <c r="Z102" s="343" t="s">
        <v>241</v>
      </c>
      <c r="AA102" s="56" t="s">
        <v>686</v>
      </c>
      <c r="AB102" s="56" t="s">
        <v>687</v>
      </c>
      <c r="AC102" s="56" t="s">
        <v>688</v>
      </c>
      <c r="AD102" s="348" t="s">
        <v>689</v>
      </c>
      <c r="AE102" s="347">
        <v>429.0</v>
      </c>
      <c r="AF102" s="347">
        <v>79.0</v>
      </c>
      <c r="AG102" s="56" t="s">
        <v>690</v>
      </c>
      <c r="AH102" s="349" t="s">
        <v>134</v>
      </c>
      <c r="AI102" s="56" t="s">
        <v>690</v>
      </c>
      <c r="AJ102" s="350">
        <v>0.2</v>
      </c>
      <c r="AK102" s="343" t="s">
        <v>172</v>
      </c>
      <c r="AL102" s="343" t="s">
        <v>186</v>
      </c>
      <c r="AM102" s="56" t="s">
        <v>137</v>
      </c>
      <c r="AN102" s="340" t="s">
        <v>138</v>
      </c>
      <c r="AO102" s="347">
        <v>40.0</v>
      </c>
      <c r="AP102" s="56" t="s">
        <v>691</v>
      </c>
      <c r="AQ102" s="343" t="s">
        <v>134</v>
      </c>
      <c r="AR102" s="56" t="s">
        <v>691</v>
      </c>
      <c r="AS102" s="350">
        <v>0.25</v>
      </c>
      <c r="AT102" s="343" t="s">
        <v>172</v>
      </c>
      <c r="AU102" s="343" t="s">
        <v>186</v>
      </c>
      <c r="AV102" s="56" t="s">
        <v>137</v>
      </c>
      <c r="AW102" s="108"/>
      <c r="AX102" s="56" t="s">
        <v>151</v>
      </c>
      <c r="AY102" s="61" t="str">
        <f>IFERROR(__xludf.DUMMYFUNCTION("vlookup(BB102,importrange(""https://docs.google.com/spreadsheets/d/1d2vevQ_7D_v35q4wCQ4RpQ_IPoTwEMB9Yp6ymwlPqew/edit?gid=984458430#gid=984458430"", ""'replication success'!A:K""), 11, FAlSE)"),"mixed")</f>
        <v>mixed</v>
      </c>
      <c r="AZ102" s="61" t="str">
        <f>IFERROR(__xludf.DUMMYFUNCTION("vlookup(BB102,importrange(""https://docs.google.com/spreadsheets/d/1d2vevQ_7D_v35q4wCQ4RpQ_IPoTwEMB9Yp6ymwlPqew/edit?gid=984458430#gid=984458430"",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2" s="61" t="str">
        <f>IFERROR(__xludf.DUMMYFUNCTION("vlookup(BB102,importrange(""https://docs.google.com/spreadsheets/d/1d2vevQ_7D_v35q4wCQ4RpQ_IPoTwEMB9Yp6ymwlPqew/edit?gid=984458430#gid=984458430"", ""'replication success'!A:M""), 13, FAlSE)"),"pg.8")</f>
        <v>pg.8</v>
      </c>
      <c r="BB102" s="61" t="str">
        <f>IFERROR(__xludf.DUMMYFUNCTION("REGEXREPLACE(G102, ""_[a-z]{1,2}$"", """")"),"additional_studies17")</f>
        <v>additional_studies17</v>
      </c>
      <c r="BC102" s="342"/>
      <c r="BD102" s="341" t="s">
        <v>692</v>
      </c>
      <c r="BE102" s="342"/>
      <c r="BF102" s="342"/>
      <c r="BG102" s="342"/>
      <c r="BH102" s="342"/>
      <c r="BI102" s="342"/>
      <c r="BJ102" s="342"/>
      <c r="BK102" s="342"/>
      <c r="BL102" s="342"/>
      <c r="BM102" s="342"/>
      <c r="BN102" s="342"/>
      <c r="BO102" s="342"/>
      <c r="BP102" s="342"/>
      <c r="BQ102" s="342"/>
      <c r="BR102" s="342"/>
      <c r="BS102" s="342"/>
      <c r="BT102" s="342"/>
      <c r="BU102" s="342"/>
      <c r="BV102" s="342"/>
      <c r="BW102" s="342"/>
      <c r="BX102" s="342"/>
      <c r="BY102" s="342"/>
      <c r="BZ102" s="342"/>
      <c r="CA102" s="342"/>
      <c r="CB102" s="342"/>
      <c r="CC102" s="342"/>
      <c r="CD102" s="342"/>
      <c r="CE102" s="342"/>
      <c r="CF102" s="342"/>
      <c r="CG102" s="342"/>
      <c r="CH102" s="342"/>
      <c r="CI102" s="342"/>
      <c r="CJ102" s="342"/>
      <c r="CK102" s="342"/>
      <c r="CL102" s="342"/>
      <c r="CM102" s="342"/>
      <c r="CN102" s="342"/>
      <c r="CO102" s="342"/>
      <c r="CP102" s="342"/>
      <c r="CQ102" s="342"/>
      <c r="CR102" s="342"/>
      <c r="CS102" s="342"/>
      <c r="CT102" s="342"/>
      <c r="CU102" s="342"/>
      <c r="CV102" s="342"/>
      <c r="CW102" s="342"/>
      <c r="CX102" s="342"/>
      <c r="CY102" s="342"/>
      <c r="CZ102" s="342"/>
      <c r="DA102" s="342"/>
      <c r="DB102" s="342"/>
      <c r="DC102" s="342"/>
      <c r="DD102" s="342"/>
      <c r="DE102" s="342"/>
      <c r="DF102" s="342"/>
      <c r="DG102" s="342"/>
      <c r="DH102" s="342"/>
      <c r="DI102" s="342"/>
      <c r="DJ102" s="342"/>
      <c r="DK102" s="342"/>
      <c r="DL102" s="342"/>
    </row>
    <row r="103" ht="20.25" customHeight="1">
      <c r="A103" s="44">
        <v>103.0</v>
      </c>
      <c r="B103" s="340" t="s">
        <v>152</v>
      </c>
      <c r="C103" s="341" t="s">
        <v>115</v>
      </c>
      <c r="D103" s="341" t="s">
        <v>286</v>
      </c>
      <c r="E103" s="342"/>
      <c r="F103" s="343" t="s">
        <v>676</v>
      </c>
      <c r="G103" s="343" t="s">
        <v>693</v>
      </c>
      <c r="H103" s="343" t="s">
        <v>289</v>
      </c>
      <c r="I103" s="344"/>
      <c r="J103" s="345">
        <v>45684.0</v>
      </c>
      <c r="K103" s="56" t="s">
        <v>678</v>
      </c>
      <c r="L103" s="56" t="s">
        <v>694</v>
      </c>
      <c r="M103" s="340" t="s">
        <v>680</v>
      </c>
      <c r="N103" s="346" t="s">
        <v>681</v>
      </c>
      <c r="O103" s="347">
        <v>1.0</v>
      </c>
      <c r="P103" s="343" t="s">
        <v>682</v>
      </c>
      <c r="Q103" s="104" t="str">
        <f t="array" ref="Q103"> if(iserror(MATCH(V103, 'File Links'!C:C, 0)), "N/A", HYPERLINK(INDEX('File Links'!B:B, MATCH(P103, 'File Links'!C:C, 0))))</f>
        <v>https://drive.google.com/file/d/1mMbXlq0wHwW3u94B3l_0KZ3_2GsCObmh/view?usp=drivesdk</v>
      </c>
      <c r="R103" s="56" t="s">
        <v>695</v>
      </c>
      <c r="S103" s="340" t="s">
        <v>684</v>
      </c>
      <c r="T103" s="46"/>
      <c r="U103" s="347">
        <v>1.0</v>
      </c>
      <c r="V103" s="340" t="str">
        <f> hyperlink(vlookup(lower(S103),'File Links'!E:F, 2, FALSE), SUBSTITUTE(lower(S103), "/", "--") &amp;  ".pdf")</f>
        <v>10.1177--07419325241240067.pdf</v>
      </c>
      <c r="W103" s="56" t="s">
        <v>685</v>
      </c>
      <c r="X103" s="54" t="str">
        <f t="array" ref="X103"> if(iserror(MATCH(V103, 'File Links'!C:C, 0)), "N/A", HYPERLINK(INDEX('File Links'!B:B, MATCH(V103, 'File Links'!C:C, 0))))</f>
        <v>https://drive.google.com/file/d/1gy34Rj2zubnsdFDxbY0YzwrhmT7eVu5B/view?usp=drivesdk</v>
      </c>
      <c r="Y103" s="342"/>
      <c r="Z103" s="343" t="s">
        <v>241</v>
      </c>
      <c r="AA103" s="56" t="s">
        <v>696</v>
      </c>
      <c r="AB103" s="56" t="s">
        <v>687</v>
      </c>
      <c r="AC103" s="56" t="s">
        <v>697</v>
      </c>
      <c r="AD103" s="348" t="s">
        <v>689</v>
      </c>
      <c r="AE103" s="351">
        <v>429.0</v>
      </c>
      <c r="AF103" s="347">
        <v>79.0</v>
      </c>
      <c r="AG103" s="56" t="s">
        <v>698</v>
      </c>
      <c r="AH103" s="349" t="s">
        <v>134</v>
      </c>
      <c r="AI103" s="56" t="s">
        <v>698</v>
      </c>
      <c r="AJ103" s="350">
        <v>0.41</v>
      </c>
      <c r="AK103" s="343" t="s">
        <v>172</v>
      </c>
      <c r="AL103" s="343" t="s">
        <v>186</v>
      </c>
      <c r="AM103" s="56" t="s">
        <v>137</v>
      </c>
      <c r="AN103" s="340" t="s">
        <v>138</v>
      </c>
      <c r="AO103" s="347">
        <v>40.0</v>
      </c>
      <c r="AP103" s="56" t="s">
        <v>699</v>
      </c>
      <c r="AQ103" s="343" t="s">
        <v>134</v>
      </c>
      <c r="AR103" s="56" t="s">
        <v>699</v>
      </c>
      <c r="AS103" s="350">
        <v>0.01</v>
      </c>
      <c r="AT103" s="343" t="s">
        <v>172</v>
      </c>
      <c r="AU103" s="343" t="s">
        <v>186</v>
      </c>
      <c r="AV103" s="56" t="s">
        <v>137</v>
      </c>
      <c r="AW103" s="108"/>
      <c r="AX103" s="56" t="s">
        <v>151</v>
      </c>
      <c r="AY103" s="61" t="str">
        <f>IFERROR(__xludf.DUMMYFUNCTION("vlookup(BB103,importrange(""https://docs.google.com/spreadsheets/d/1d2vevQ_7D_v35q4wCQ4RpQ_IPoTwEMB9Yp6ymwlPqew/edit?gid=984458430#gid=984458430"", ""'replication success'!A:K""), 11, FAlSE)"),"mixed")</f>
        <v>mixed</v>
      </c>
      <c r="AZ103" s="61" t="str">
        <f>IFERROR(__xludf.DUMMYFUNCTION("vlookup(BB103,importrange(""https://docs.google.com/spreadsheets/d/1d2vevQ_7D_v35q4wCQ4RpQ_IPoTwEMB9Yp6ymwlPqew/edit?gid=984458430#gid=984458430"",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3" s="61" t="str">
        <f>IFERROR(__xludf.DUMMYFUNCTION("vlookup(BB103,importrange(""https://docs.google.com/spreadsheets/d/1d2vevQ_7D_v35q4wCQ4RpQ_IPoTwEMB9Yp6ymwlPqew/edit?gid=984458430#gid=984458430"", ""'replication success'!A:M""), 13, FAlSE)"),"pg.8")</f>
        <v>pg.8</v>
      </c>
      <c r="BB103" s="61" t="str">
        <f>IFERROR(__xludf.DUMMYFUNCTION("REGEXREPLACE(G103, ""_[a-z]{1,2}$"", """")"),"additional_studies17")</f>
        <v>additional_studies17</v>
      </c>
      <c r="BC103" s="342"/>
      <c r="BD103" s="341" t="s">
        <v>692</v>
      </c>
      <c r="BE103" s="342"/>
      <c r="BF103" s="342"/>
      <c r="BG103" s="342"/>
      <c r="BH103" s="342"/>
      <c r="BI103" s="342"/>
      <c r="BJ103" s="342"/>
      <c r="BK103" s="342"/>
      <c r="BL103" s="342"/>
      <c r="BM103" s="342"/>
      <c r="BN103" s="342"/>
      <c r="BO103" s="342"/>
      <c r="BP103" s="342"/>
      <c r="BQ103" s="342"/>
      <c r="BR103" s="342"/>
      <c r="BS103" s="342"/>
      <c r="BT103" s="342"/>
      <c r="BU103" s="342"/>
      <c r="BV103" s="342"/>
      <c r="BW103" s="342"/>
      <c r="BX103" s="342"/>
      <c r="BY103" s="342"/>
      <c r="BZ103" s="342"/>
      <c r="CA103" s="342"/>
      <c r="CB103" s="342"/>
      <c r="CC103" s="342"/>
      <c r="CD103" s="342"/>
      <c r="CE103" s="342"/>
      <c r="CF103" s="342"/>
      <c r="CG103" s="342"/>
      <c r="CH103" s="342"/>
      <c r="CI103" s="342"/>
      <c r="CJ103" s="342"/>
      <c r="CK103" s="342"/>
      <c r="CL103" s="342"/>
      <c r="CM103" s="342"/>
      <c r="CN103" s="342"/>
      <c r="CO103" s="342"/>
      <c r="CP103" s="342"/>
      <c r="CQ103" s="342"/>
      <c r="CR103" s="342"/>
      <c r="CS103" s="342"/>
      <c r="CT103" s="342"/>
      <c r="CU103" s="342"/>
      <c r="CV103" s="342"/>
      <c r="CW103" s="342"/>
      <c r="CX103" s="342"/>
      <c r="CY103" s="342"/>
      <c r="CZ103" s="342"/>
      <c r="DA103" s="342"/>
      <c r="DB103" s="342"/>
      <c r="DC103" s="342"/>
      <c r="DD103" s="342"/>
      <c r="DE103" s="342"/>
      <c r="DF103" s="342"/>
      <c r="DG103" s="342"/>
      <c r="DH103" s="342"/>
      <c r="DI103" s="342"/>
      <c r="DJ103" s="342"/>
      <c r="DK103" s="342"/>
      <c r="DL103" s="342"/>
    </row>
    <row r="104" ht="20.25" customHeight="1">
      <c r="A104" s="44">
        <v>104.0</v>
      </c>
      <c r="B104" s="340" t="s">
        <v>152</v>
      </c>
      <c r="C104" s="341" t="s">
        <v>115</v>
      </c>
      <c r="D104" s="341" t="s">
        <v>286</v>
      </c>
      <c r="E104" s="342"/>
      <c r="F104" s="343" t="s">
        <v>676</v>
      </c>
      <c r="G104" s="343" t="s">
        <v>700</v>
      </c>
      <c r="H104" s="343" t="s">
        <v>289</v>
      </c>
      <c r="I104" s="344"/>
      <c r="J104" s="345">
        <v>45677.0</v>
      </c>
      <c r="K104" s="56" t="s">
        <v>678</v>
      </c>
      <c r="L104" s="56" t="s">
        <v>701</v>
      </c>
      <c r="M104" s="340" t="s">
        <v>680</v>
      </c>
      <c r="N104" s="346" t="s">
        <v>681</v>
      </c>
      <c r="O104" s="347">
        <v>1.0</v>
      </c>
      <c r="P104" s="343" t="s">
        <v>682</v>
      </c>
      <c r="Q104" s="104" t="str">
        <f t="array" ref="Q104"> if(iserror(MATCH(V104, 'File Links'!C:C, 0)), "N/A", HYPERLINK(INDEX('File Links'!B:B, MATCH(P104, 'File Links'!C:C, 0))))</f>
        <v>https://drive.google.com/file/d/1mMbXlq0wHwW3u94B3l_0KZ3_2GsCObmh/view?usp=drivesdk</v>
      </c>
      <c r="R104" s="56" t="s">
        <v>702</v>
      </c>
      <c r="S104" s="340" t="s">
        <v>684</v>
      </c>
      <c r="T104" s="46"/>
      <c r="U104" s="347">
        <v>1.0</v>
      </c>
      <c r="V104" s="340" t="str">
        <f> hyperlink(vlookup(lower(S104),'File Links'!E:F, 2, FALSE), SUBSTITUTE(lower(S104), "/", "--") &amp;  ".pdf")</f>
        <v>10.1177--07419325241240067.pdf</v>
      </c>
      <c r="W104" s="56" t="s">
        <v>685</v>
      </c>
      <c r="X104" s="54" t="str">
        <f t="array" ref="X104"> if(iserror(MATCH(V104, 'File Links'!C:C, 0)), "N/A", HYPERLINK(INDEX('File Links'!B:B, MATCH(V104, 'File Links'!C:C, 0))))</f>
        <v>https://drive.google.com/file/d/1gy34Rj2zubnsdFDxbY0YzwrhmT7eVu5B/view?usp=drivesdk</v>
      </c>
      <c r="Y104" s="342"/>
      <c r="Z104" s="343" t="s">
        <v>241</v>
      </c>
      <c r="AA104" s="56" t="s">
        <v>703</v>
      </c>
      <c r="AB104" s="56" t="s">
        <v>687</v>
      </c>
      <c r="AC104" s="56" t="s">
        <v>704</v>
      </c>
      <c r="AD104" s="348" t="s">
        <v>689</v>
      </c>
      <c r="AE104" s="351">
        <v>429.0</v>
      </c>
      <c r="AF104" s="347">
        <v>79.0</v>
      </c>
      <c r="AG104" s="56" t="s">
        <v>705</v>
      </c>
      <c r="AH104" s="349" t="s">
        <v>134</v>
      </c>
      <c r="AI104" s="56" t="s">
        <v>705</v>
      </c>
      <c r="AJ104" s="350">
        <v>0.48</v>
      </c>
      <c r="AK104" s="343" t="s">
        <v>172</v>
      </c>
      <c r="AL104" s="343" t="s">
        <v>186</v>
      </c>
      <c r="AM104" s="56" t="s">
        <v>137</v>
      </c>
      <c r="AN104" s="340" t="s">
        <v>138</v>
      </c>
      <c r="AO104" s="347">
        <v>40.0</v>
      </c>
      <c r="AP104" s="56" t="s">
        <v>706</v>
      </c>
      <c r="AQ104" s="343" t="s">
        <v>134</v>
      </c>
      <c r="AR104" s="56" t="s">
        <v>706</v>
      </c>
      <c r="AS104" s="350">
        <v>0.12</v>
      </c>
      <c r="AT104" s="343" t="s">
        <v>172</v>
      </c>
      <c r="AU104" s="343" t="s">
        <v>186</v>
      </c>
      <c r="AV104" s="56" t="s">
        <v>137</v>
      </c>
      <c r="AW104" s="108"/>
      <c r="AX104" s="56" t="s">
        <v>151</v>
      </c>
      <c r="AY104" s="61" t="str">
        <f>IFERROR(__xludf.DUMMYFUNCTION("vlookup(BB104,importrange(""https://docs.google.com/spreadsheets/d/1d2vevQ_7D_v35q4wCQ4RpQ_IPoTwEMB9Yp6ymwlPqew/edit?gid=984458430#gid=984458430"", ""'replication success'!A:K""), 11, FAlSE)"),"mixed")</f>
        <v>mixed</v>
      </c>
      <c r="AZ104" s="61" t="str">
        <f>IFERROR(__xludf.DUMMYFUNCTION("vlookup(BB104,importrange(""https://docs.google.com/spreadsheets/d/1d2vevQ_7D_v35q4wCQ4RpQ_IPoTwEMB9Yp6ymwlPqew/edit?gid=984458430#gid=984458430"",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4" s="61" t="str">
        <f>IFERROR(__xludf.DUMMYFUNCTION("vlookup(BB104,importrange(""https://docs.google.com/spreadsheets/d/1d2vevQ_7D_v35q4wCQ4RpQ_IPoTwEMB9Yp6ymwlPqew/edit?gid=984458430#gid=984458430"", ""'replication success'!A:M""), 13, FAlSE)"),"pg.8")</f>
        <v>pg.8</v>
      </c>
      <c r="BB104" s="61" t="str">
        <f>IFERROR(__xludf.DUMMYFUNCTION("REGEXREPLACE(G104, ""_[a-z]{1,2}$"", """")"),"additional_studies17")</f>
        <v>additional_studies17</v>
      </c>
      <c r="BC104" s="342"/>
      <c r="BD104" s="341" t="s">
        <v>692</v>
      </c>
      <c r="BE104" s="342"/>
      <c r="BF104" s="342"/>
      <c r="BG104" s="342"/>
      <c r="BH104" s="342"/>
      <c r="BI104" s="342"/>
      <c r="BJ104" s="342"/>
      <c r="BK104" s="342"/>
      <c r="BL104" s="342"/>
      <c r="BM104" s="342"/>
      <c r="BN104" s="342"/>
      <c r="BO104" s="342"/>
      <c r="BP104" s="342"/>
      <c r="BQ104" s="342"/>
      <c r="BR104" s="342"/>
      <c r="BS104" s="342"/>
      <c r="BT104" s="342"/>
      <c r="BU104" s="342"/>
      <c r="BV104" s="342"/>
      <c r="BW104" s="342"/>
      <c r="BX104" s="342"/>
      <c r="BY104" s="342"/>
      <c r="BZ104" s="342"/>
      <c r="CA104" s="342"/>
      <c r="CB104" s="342"/>
      <c r="CC104" s="342"/>
      <c r="CD104" s="342"/>
      <c r="CE104" s="342"/>
      <c r="CF104" s="342"/>
      <c r="CG104" s="342"/>
      <c r="CH104" s="342"/>
      <c r="CI104" s="342"/>
      <c r="CJ104" s="342"/>
      <c r="CK104" s="342"/>
      <c r="CL104" s="342"/>
      <c r="CM104" s="342"/>
      <c r="CN104" s="342"/>
      <c r="CO104" s="342"/>
      <c r="CP104" s="342"/>
      <c r="CQ104" s="342"/>
      <c r="CR104" s="342"/>
      <c r="CS104" s="342"/>
      <c r="CT104" s="342"/>
      <c r="CU104" s="342"/>
      <c r="CV104" s="342"/>
      <c r="CW104" s="342"/>
      <c r="CX104" s="342"/>
      <c r="CY104" s="342"/>
      <c r="CZ104" s="342"/>
      <c r="DA104" s="342"/>
      <c r="DB104" s="342"/>
      <c r="DC104" s="342"/>
      <c r="DD104" s="342"/>
      <c r="DE104" s="342"/>
      <c r="DF104" s="342"/>
      <c r="DG104" s="342"/>
      <c r="DH104" s="342"/>
      <c r="DI104" s="342"/>
      <c r="DJ104" s="342"/>
      <c r="DK104" s="342"/>
      <c r="DL104" s="342"/>
    </row>
    <row r="105" ht="20.25" customHeight="1">
      <c r="A105" s="44">
        <v>105.0</v>
      </c>
      <c r="B105" s="340" t="s">
        <v>152</v>
      </c>
      <c r="C105" s="341" t="s">
        <v>115</v>
      </c>
      <c r="D105" s="341" t="s">
        <v>286</v>
      </c>
      <c r="E105" s="342"/>
      <c r="F105" s="343" t="s">
        <v>676</v>
      </c>
      <c r="G105" s="343" t="s">
        <v>707</v>
      </c>
      <c r="H105" s="343" t="s">
        <v>289</v>
      </c>
      <c r="I105" s="344"/>
      <c r="J105" s="345">
        <v>45684.0</v>
      </c>
      <c r="K105" s="56" t="s">
        <v>678</v>
      </c>
      <c r="L105" s="56" t="s">
        <v>708</v>
      </c>
      <c r="M105" s="340" t="s">
        <v>680</v>
      </c>
      <c r="N105" s="346" t="s">
        <v>681</v>
      </c>
      <c r="O105" s="347">
        <v>1.0</v>
      </c>
      <c r="P105" s="343" t="s">
        <v>682</v>
      </c>
      <c r="Q105" s="104" t="str">
        <f t="array" ref="Q105"> if(iserror(MATCH(V105, 'File Links'!C:C, 0)), "N/A", HYPERLINK(INDEX('File Links'!B:B, MATCH(P105, 'File Links'!C:C, 0))))</f>
        <v>https://drive.google.com/file/d/1mMbXlq0wHwW3u94B3l_0KZ3_2GsCObmh/view?usp=drivesdk</v>
      </c>
      <c r="R105" s="56" t="s">
        <v>709</v>
      </c>
      <c r="S105" s="340" t="s">
        <v>684</v>
      </c>
      <c r="T105" s="46"/>
      <c r="U105" s="347">
        <v>1.0</v>
      </c>
      <c r="V105" s="340" t="str">
        <f> hyperlink(vlookup(lower(S105),'File Links'!E:F, 2, FALSE), SUBSTITUTE(lower(S105), "/", "--") &amp;  ".pdf")</f>
        <v>10.1177--07419325241240067.pdf</v>
      </c>
      <c r="W105" s="56" t="s">
        <v>685</v>
      </c>
      <c r="X105" s="54" t="str">
        <f t="array" ref="X105"> if(iserror(MATCH(V105, 'File Links'!C:C, 0)), "N/A", HYPERLINK(INDEX('File Links'!B:B, MATCH(V105, 'File Links'!C:C, 0))))</f>
        <v>https://drive.google.com/file/d/1gy34Rj2zubnsdFDxbY0YzwrhmT7eVu5B/view?usp=drivesdk</v>
      </c>
      <c r="Y105" s="342"/>
      <c r="Z105" s="343" t="s">
        <v>241</v>
      </c>
      <c r="AA105" s="56" t="s">
        <v>710</v>
      </c>
      <c r="AB105" s="56" t="s">
        <v>687</v>
      </c>
      <c r="AC105" s="56" t="s">
        <v>711</v>
      </c>
      <c r="AD105" s="348" t="s">
        <v>689</v>
      </c>
      <c r="AE105" s="351">
        <v>429.0</v>
      </c>
      <c r="AF105" s="347">
        <v>79.0</v>
      </c>
      <c r="AG105" s="56" t="s">
        <v>712</v>
      </c>
      <c r="AH105" s="349" t="s">
        <v>134</v>
      </c>
      <c r="AI105" s="56" t="s">
        <v>712</v>
      </c>
      <c r="AJ105" s="350">
        <v>0.55</v>
      </c>
      <c r="AK105" s="343" t="s">
        <v>172</v>
      </c>
      <c r="AL105" s="343" t="s">
        <v>186</v>
      </c>
      <c r="AM105" s="56" t="s">
        <v>137</v>
      </c>
      <c r="AN105" s="340" t="s">
        <v>138</v>
      </c>
      <c r="AO105" s="347">
        <v>40.0</v>
      </c>
      <c r="AP105" s="56" t="s">
        <v>713</v>
      </c>
      <c r="AQ105" s="343" t="s">
        <v>134</v>
      </c>
      <c r="AR105" s="56" t="s">
        <v>713</v>
      </c>
      <c r="AS105" s="350">
        <v>0.01</v>
      </c>
      <c r="AT105" s="343" t="s">
        <v>135</v>
      </c>
      <c r="AU105" s="343" t="s">
        <v>186</v>
      </c>
      <c r="AV105" s="56" t="s">
        <v>137</v>
      </c>
      <c r="AW105" s="108"/>
      <c r="AX105" s="56" t="s">
        <v>151</v>
      </c>
      <c r="AY105" s="61" t="str">
        <f>IFERROR(__xludf.DUMMYFUNCTION("vlookup(BB105,importrange(""https://docs.google.com/spreadsheets/d/1d2vevQ_7D_v35q4wCQ4RpQ_IPoTwEMB9Yp6ymwlPqew/edit?gid=984458430#gid=984458430"", ""'replication success'!A:K""), 11, FAlSE)"),"mixed")</f>
        <v>mixed</v>
      </c>
      <c r="AZ105" s="61" t="str">
        <f>IFERROR(__xludf.DUMMYFUNCTION("vlookup(BB105,importrange(""https://docs.google.com/spreadsheets/d/1d2vevQ_7D_v35q4wCQ4RpQ_IPoTwEMB9Yp6ymwlPqew/edit?gid=984458430#gid=984458430"",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5" s="61" t="str">
        <f>IFERROR(__xludf.DUMMYFUNCTION("vlookup(BB105,importrange(""https://docs.google.com/spreadsheets/d/1d2vevQ_7D_v35q4wCQ4RpQ_IPoTwEMB9Yp6ymwlPqew/edit?gid=984458430#gid=984458430"", ""'replication success'!A:M""), 13, FAlSE)"),"pg.8")</f>
        <v>pg.8</v>
      </c>
      <c r="BB105" s="61" t="str">
        <f>IFERROR(__xludf.DUMMYFUNCTION("REGEXREPLACE(G105, ""_[a-z]{1,2}$"", """")"),"additional_studies17")</f>
        <v>additional_studies17</v>
      </c>
      <c r="BC105" s="342"/>
      <c r="BD105" s="341" t="s">
        <v>692</v>
      </c>
      <c r="BE105" s="342"/>
      <c r="BF105" s="342"/>
      <c r="BG105" s="342"/>
      <c r="BH105" s="342"/>
      <c r="BI105" s="342"/>
      <c r="BJ105" s="342"/>
      <c r="BK105" s="342"/>
      <c r="BL105" s="342"/>
      <c r="BM105" s="342"/>
      <c r="BN105" s="342"/>
      <c r="BO105" s="342"/>
      <c r="BP105" s="342"/>
      <c r="BQ105" s="342"/>
      <c r="BR105" s="342"/>
      <c r="BS105" s="342"/>
      <c r="BT105" s="342"/>
      <c r="BU105" s="342"/>
      <c r="BV105" s="342"/>
      <c r="BW105" s="342"/>
      <c r="BX105" s="342"/>
      <c r="BY105" s="342"/>
      <c r="BZ105" s="342"/>
      <c r="CA105" s="342"/>
      <c r="CB105" s="342"/>
      <c r="CC105" s="342"/>
      <c r="CD105" s="342"/>
      <c r="CE105" s="342"/>
      <c r="CF105" s="342"/>
      <c r="CG105" s="342"/>
      <c r="CH105" s="342"/>
      <c r="CI105" s="342"/>
      <c r="CJ105" s="342"/>
      <c r="CK105" s="342"/>
      <c r="CL105" s="342"/>
      <c r="CM105" s="342"/>
      <c r="CN105" s="342"/>
      <c r="CO105" s="342"/>
      <c r="CP105" s="342"/>
      <c r="CQ105" s="342"/>
      <c r="CR105" s="342"/>
      <c r="CS105" s="342"/>
      <c r="CT105" s="342"/>
      <c r="CU105" s="342"/>
      <c r="CV105" s="342"/>
      <c r="CW105" s="342"/>
      <c r="CX105" s="342"/>
      <c r="CY105" s="342"/>
      <c r="CZ105" s="342"/>
      <c r="DA105" s="342"/>
      <c r="DB105" s="342"/>
      <c r="DC105" s="342"/>
      <c r="DD105" s="342"/>
      <c r="DE105" s="342"/>
      <c r="DF105" s="342"/>
      <c r="DG105" s="342"/>
      <c r="DH105" s="342"/>
      <c r="DI105" s="342"/>
      <c r="DJ105" s="342"/>
      <c r="DK105" s="342"/>
      <c r="DL105" s="342"/>
    </row>
    <row r="106" ht="20.25" customHeight="1">
      <c r="A106" s="44">
        <v>106.0</v>
      </c>
      <c r="B106" s="340" t="s">
        <v>114</v>
      </c>
      <c r="C106" s="340" t="s">
        <v>115</v>
      </c>
      <c r="D106" s="343" t="s">
        <v>248</v>
      </c>
      <c r="E106" s="343"/>
      <c r="F106" s="341" t="s">
        <v>714</v>
      </c>
      <c r="G106" s="340" t="s">
        <v>715</v>
      </c>
      <c r="H106" s="340" t="s">
        <v>249</v>
      </c>
      <c r="I106" s="352">
        <v>45427.0</v>
      </c>
      <c r="J106" s="353">
        <v>45626.0</v>
      </c>
      <c r="K106" s="340" t="s">
        <v>716</v>
      </c>
      <c r="L106" s="340" t="s">
        <v>717</v>
      </c>
      <c r="M106" s="340" t="s">
        <v>680</v>
      </c>
      <c r="N106" s="340" t="s">
        <v>681</v>
      </c>
      <c r="O106" s="354"/>
      <c r="P106" s="355" t="str">
        <f> hyperlink(vlookup(lower(N106),'File Links'!A:B, 2, FALSE), SUBSTITUTE(lower(N106), "/", "--") &amp;  ".pdf")</f>
        <v>10.3102--0013189x13507104.pdf</v>
      </c>
      <c r="Q106" s="104" t="str">
        <f t="array" ref="Q106"> if(iserror(MATCH(V106, 'File Links'!C:C, 0)), "N/A", HYPERLINK(INDEX('File Links'!B:B, MATCH(P106, 'File Links'!C:C, 0))))</f>
        <v>https://drive.google.com/file/d/1mMbXlq0wHwW3u94B3l_0KZ3_2GsCObmh/view?usp=drivesdk</v>
      </c>
      <c r="R106" s="340" t="s">
        <v>718</v>
      </c>
      <c r="S106" s="340" t="s">
        <v>684</v>
      </c>
      <c r="T106" s="354"/>
      <c r="U106" s="354"/>
      <c r="V106" s="340" t="str">
        <f> hyperlink(vlookup(lower(S106),'File Links'!E:F, 2, FALSE), SUBSTITUTE(lower(S106), "/", "--") &amp;  ".pdf")</f>
        <v>10.1177--07419325241240067.pdf</v>
      </c>
      <c r="W106" s="56" t="s">
        <v>685</v>
      </c>
      <c r="X106" s="54" t="str">
        <f t="array" ref="X106"> if(iserror(MATCH(V106, 'File Links'!C:C, 0)), "N/A", HYPERLINK(INDEX('File Links'!B:B, MATCH(V106, 'File Links'!C:C, 0))))</f>
        <v>https://drive.google.com/file/d/1gy34Rj2zubnsdFDxbY0YzwrhmT7eVu5B/view?usp=drivesdk</v>
      </c>
      <c r="Y106" s="354"/>
      <c r="Z106" s="340" t="s">
        <v>660</v>
      </c>
      <c r="AA106" s="354"/>
      <c r="AB106" s="340" t="s">
        <v>719</v>
      </c>
      <c r="AC106" s="340" t="s">
        <v>720</v>
      </c>
      <c r="AD106" s="340" t="s">
        <v>721</v>
      </c>
      <c r="AE106" s="340">
        <v>429.0</v>
      </c>
      <c r="AF106" s="340">
        <v>79.0</v>
      </c>
      <c r="AG106" s="340">
        <v>2.0</v>
      </c>
      <c r="AH106" s="340" t="s">
        <v>722</v>
      </c>
      <c r="AI106" s="354"/>
      <c r="AJ106" s="340">
        <v>0.2</v>
      </c>
      <c r="AK106" s="340" t="s">
        <v>172</v>
      </c>
      <c r="AL106" s="340" t="s">
        <v>186</v>
      </c>
      <c r="AM106" s="342"/>
      <c r="AN106" s="340" t="s">
        <v>138</v>
      </c>
      <c r="AO106" s="340">
        <v>40.0</v>
      </c>
      <c r="AP106" s="340">
        <v>0.65</v>
      </c>
      <c r="AQ106" s="340" t="s">
        <v>722</v>
      </c>
      <c r="AR106" s="354"/>
      <c r="AS106" s="340">
        <v>0.25</v>
      </c>
      <c r="AT106" s="340" t="s">
        <v>172</v>
      </c>
      <c r="AU106" s="340" t="s">
        <v>186</v>
      </c>
      <c r="AV106" s="342"/>
      <c r="AW106" s="342"/>
      <c r="AX106" s="56" t="s">
        <v>324</v>
      </c>
      <c r="AY106" s="61" t="str">
        <f>IFERROR(__xludf.DUMMYFUNCTION("vlookup(BB106,importrange(""https://docs.google.com/spreadsheets/d/1d2vevQ_7D_v35q4wCQ4RpQ_IPoTwEMB9Yp6ymwlPqew/edit?gid=984458430#gid=984458430"", ""'replication success'!A:K""), 11, FAlSE)"),"mixed")</f>
        <v>mixed</v>
      </c>
      <c r="AZ106" s="61" t="str">
        <f>IFERROR(__xludf.DUMMYFUNCTION("vlookup(BB106,importrange(""https://docs.google.com/spreadsheets/d/1d2vevQ_7D_v35q4wCQ4RpQ_IPoTwEMB9Yp6ymwlPqew/edit?gid=984458430#gid=984458430"",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6" s="61" t="str">
        <f>IFERROR(__xludf.DUMMYFUNCTION("vlookup(BB106,importrange(""https://docs.google.com/spreadsheets/d/1d2vevQ_7D_v35q4wCQ4RpQ_IPoTwEMB9Yp6ymwlPqew/edit?gid=984458430#gid=984458430"", ""'replication success'!A:M""), 13, FAlSE)"),"pg.8")</f>
        <v>pg.8</v>
      </c>
      <c r="BB106" s="61" t="str">
        <f>IFERROR(__xludf.DUMMYFUNCTION("REGEXREPLACE(G106, ""_[a-z]{1,2}$"", """")"),"additional_studies17")</f>
        <v>additional_studies17</v>
      </c>
      <c r="BC106" s="354"/>
      <c r="BD106" s="341" t="s">
        <v>692</v>
      </c>
      <c r="BE106" s="342"/>
      <c r="BF106" s="342"/>
      <c r="BG106" s="342"/>
      <c r="BH106" s="342"/>
      <c r="BI106" s="342"/>
      <c r="BJ106" s="342"/>
      <c r="BK106" s="342"/>
      <c r="BL106" s="342"/>
      <c r="BM106" s="342"/>
      <c r="BN106" s="342"/>
      <c r="BO106" s="342"/>
      <c r="BP106" s="342"/>
      <c r="BQ106" s="342"/>
      <c r="BR106" s="342"/>
      <c r="BS106" s="342"/>
      <c r="BT106" s="342"/>
      <c r="BU106" s="342"/>
      <c r="BV106" s="342"/>
      <c r="BW106" s="342"/>
      <c r="BX106" s="342"/>
      <c r="BY106" s="342"/>
      <c r="BZ106" s="342"/>
      <c r="CA106" s="342"/>
      <c r="CB106" s="342"/>
      <c r="CC106" s="342"/>
      <c r="CD106" s="342"/>
      <c r="CE106" s="342"/>
      <c r="CF106" s="342"/>
      <c r="CG106" s="342"/>
      <c r="CH106" s="342"/>
      <c r="CI106" s="342"/>
      <c r="CJ106" s="342"/>
      <c r="CK106" s="342"/>
      <c r="CL106" s="342"/>
      <c r="CM106" s="342"/>
      <c r="CN106" s="342"/>
      <c r="CO106" s="342"/>
      <c r="CP106" s="342"/>
      <c r="CQ106" s="342"/>
      <c r="CR106" s="342"/>
      <c r="CS106" s="342"/>
      <c r="CT106" s="342"/>
      <c r="CU106" s="342"/>
      <c r="CV106" s="342"/>
      <c r="CW106" s="342"/>
      <c r="CX106" s="342"/>
      <c r="CY106" s="342"/>
      <c r="CZ106" s="342"/>
      <c r="DA106" s="342"/>
      <c r="DB106" s="342"/>
      <c r="DC106" s="342"/>
      <c r="DD106" s="342"/>
      <c r="DE106" s="342"/>
      <c r="DF106" s="342"/>
      <c r="DG106" s="342"/>
      <c r="DH106" s="342"/>
      <c r="DI106" s="342"/>
      <c r="DJ106" s="342"/>
      <c r="DK106" s="342"/>
      <c r="DL106" s="342"/>
    </row>
    <row r="107" ht="20.25" customHeight="1">
      <c r="A107" s="44">
        <v>107.0</v>
      </c>
      <c r="B107" s="340" t="s">
        <v>114</v>
      </c>
      <c r="C107" s="340" t="s">
        <v>115</v>
      </c>
      <c r="D107" s="343" t="s">
        <v>248</v>
      </c>
      <c r="E107" s="343"/>
      <c r="F107" s="341" t="s">
        <v>714</v>
      </c>
      <c r="G107" s="340" t="s">
        <v>677</v>
      </c>
      <c r="H107" s="340" t="s">
        <v>249</v>
      </c>
      <c r="I107" s="352">
        <v>45427.0</v>
      </c>
      <c r="J107" s="353">
        <v>45626.0</v>
      </c>
      <c r="K107" s="340" t="s">
        <v>723</v>
      </c>
      <c r="L107" s="340" t="s">
        <v>724</v>
      </c>
      <c r="M107" s="340" t="s">
        <v>680</v>
      </c>
      <c r="N107" s="340" t="s">
        <v>681</v>
      </c>
      <c r="O107" s="354"/>
      <c r="P107" s="355" t="str">
        <f> hyperlink(vlookup(lower(N107),'File Links'!A:B, 2, FALSE), SUBSTITUTE(lower(N107), "/", "--") &amp;  ".pdf")</f>
        <v>10.3102--0013189x13507104.pdf</v>
      </c>
      <c r="Q107" s="104" t="str">
        <f t="array" ref="Q107"> if(iserror(MATCH(V107, 'File Links'!C:C, 0)), "N/A", HYPERLINK(INDEX('File Links'!B:B, MATCH(P107, 'File Links'!C:C, 0))))</f>
        <v>https://drive.google.com/file/d/1mMbXlq0wHwW3u94B3l_0KZ3_2GsCObmh/view?usp=drivesdk</v>
      </c>
      <c r="R107" s="340" t="s">
        <v>718</v>
      </c>
      <c r="S107" s="340" t="s">
        <v>684</v>
      </c>
      <c r="T107" s="354"/>
      <c r="U107" s="354"/>
      <c r="V107" s="340" t="str">
        <f> hyperlink(vlookup(lower(S107),'File Links'!E:F, 2, FALSE), SUBSTITUTE(lower(S107), "/", "--") &amp;  ".pdf")</f>
        <v>10.1177--07419325241240067.pdf</v>
      </c>
      <c r="W107" s="56" t="s">
        <v>685</v>
      </c>
      <c r="X107" s="54" t="str">
        <f t="array" ref="X107"> if(iserror(MATCH(V107, 'File Links'!C:C, 0)), "N/A", HYPERLINK(INDEX('File Links'!B:B, MATCH(V107, 'File Links'!C:C, 0))))</f>
        <v>https://drive.google.com/file/d/1gy34Rj2zubnsdFDxbY0YzwrhmT7eVu5B/view?usp=drivesdk</v>
      </c>
      <c r="Y107" s="354"/>
      <c r="Z107" s="340" t="s">
        <v>660</v>
      </c>
      <c r="AA107" s="354"/>
      <c r="AB107" s="340" t="s">
        <v>725</v>
      </c>
      <c r="AC107" s="340" t="s">
        <v>720</v>
      </c>
      <c r="AD107" s="340" t="s">
        <v>726</v>
      </c>
      <c r="AE107" s="340">
        <v>429.0</v>
      </c>
      <c r="AF107" s="340">
        <v>79.0</v>
      </c>
      <c r="AG107" s="340">
        <v>2.97</v>
      </c>
      <c r="AH107" s="340" t="s">
        <v>722</v>
      </c>
      <c r="AI107" s="354"/>
      <c r="AJ107" s="340">
        <v>0.2</v>
      </c>
      <c r="AK107" s="340" t="s">
        <v>172</v>
      </c>
      <c r="AL107" s="340" t="s">
        <v>186</v>
      </c>
      <c r="AM107" s="342"/>
      <c r="AN107" s="340" t="s">
        <v>138</v>
      </c>
      <c r="AO107" s="340">
        <v>40.0</v>
      </c>
      <c r="AP107" s="340">
        <v>1.88</v>
      </c>
      <c r="AQ107" s="340" t="s">
        <v>722</v>
      </c>
      <c r="AR107" s="354"/>
      <c r="AS107" s="340">
        <v>0.25</v>
      </c>
      <c r="AT107" s="340" t="s">
        <v>172</v>
      </c>
      <c r="AU107" s="340" t="s">
        <v>186</v>
      </c>
      <c r="AV107" s="342"/>
      <c r="AW107" s="342"/>
      <c r="AX107" s="56" t="s">
        <v>324</v>
      </c>
      <c r="AY107" s="61" t="str">
        <f>IFERROR(__xludf.DUMMYFUNCTION("vlookup(BB107,importrange(""https://docs.google.com/spreadsheets/d/1d2vevQ_7D_v35q4wCQ4RpQ_IPoTwEMB9Yp6ymwlPqew/edit?gid=984458430#gid=984458430"", ""'replication success'!A:K""), 11, FAlSE)"),"mixed")</f>
        <v>mixed</v>
      </c>
      <c r="AZ107" s="61" t="str">
        <f>IFERROR(__xludf.DUMMYFUNCTION("vlookup(BB107,importrange(""https://docs.google.com/spreadsheets/d/1d2vevQ_7D_v35q4wCQ4RpQ_IPoTwEMB9Yp6ymwlPqew/edit?gid=984458430#gid=984458430"",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7" s="61" t="str">
        <f>IFERROR(__xludf.DUMMYFUNCTION("vlookup(BB107,importrange(""https://docs.google.com/spreadsheets/d/1d2vevQ_7D_v35q4wCQ4RpQ_IPoTwEMB9Yp6ymwlPqew/edit?gid=984458430#gid=984458430"", ""'replication success'!A:M""), 13, FAlSE)"),"pg.8")</f>
        <v>pg.8</v>
      </c>
      <c r="BB107" s="61" t="str">
        <f>IFERROR(__xludf.DUMMYFUNCTION("REGEXREPLACE(G107, ""_[a-z]{1,2}$"", """")"),"additional_studies17")</f>
        <v>additional_studies17</v>
      </c>
      <c r="BC107" s="354"/>
      <c r="BD107" s="341" t="s">
        <v>692</v>
      </c>
      <c r="BE107" s="342"/>
      <c r="BF107" s="342"/>
      <c r="BG107" s="342"/>
      <c r="BH107" s="342"/>
      <c r="BI107" s="342"/>
      <c r="BJ107" s="342"/>
      <c r="BK107" s="342"/>
      <c r="BL107" s="342"/>
      <c r="BM107" s="342"/>
      <c r="BN107" s="342"/>
      <c r="BO107" s="342"/>
      <c r="BP107" s="342"/>
      <c r="BQ107" s="342"/>
      <c r="BR107" s="342"/>
      <c r="BS107" s="342"/>
      <c r="BT107" s="342"/>
      <c r="BU107" s="342"/>
      <c r="BV107" s="342"/>
      <c r="BW107" s="342"/>
      <c r="BX107" s="342"/>
      <c r="BY107" s="342"/>
      <c r="BZ107" s="342"/>
      <c r="CA107" s="342"/>
      <c r="CB107" s="342"/>
      <c r="CC107" s="342"/>
      <c r="CD107" s="342"/>
      <c r="CE107" s="342"/>
      <c r="CF107" s="342"/>
      <c r="CG107" s="342"/>
      <c r="CH107" s="342"/>
      <c r="CI107" s="342"/>
      <c r="CJ107" s="342"/>
      <c r="CK107" s="342"/>
      <c r="CL107" s="342"/>
      <c r="CM107" s="342"/>
      <c r="CN107" s="342"/>
      <c r="CO107" s="342"/>
      <c r="CP107" s="342"/>
      <c r="CQ107" s="342"/>
      <c r="CR107" s="342"/>
      <c r="CS107" s="342"/>
      <c r="CT107" s="342"/>
      <c r="CU107" s="342"/>
      <c r="CV107" s="342"/>
      <c r="CW107" s="342"/>
      <c r="CX107" s="342"/>
      <c r="CY107" s="342"/>
      <c r="CZ107" s="342"/>
      <c r="DA107" s="342"/>
      <c r="DB107" s="342"/>
      <c r="DC107" s="342"/>
      <c r="DD107" s="342"/>
      <c r="DE107" s="342"/>
      <c r="DF107" s="342"/>
      <c r="DG107" s="342"/>
      <c r="DH107" s="342"/>
      <c r="DI107" s="342"/>
      <c r="DJ107" s="342"/>
      <c r="DK107" s="342"/>
      <c r="DL107" s="342"/>
    </row>
    <row r="108" ht="20.25" customHeight="1">
      <c r="A108" s="44">
        <v>108.0</v>
      </c>
      <c r="B108" s="340" t="s">
        <v>114</v>
      </c>
      <c r="C108" s="340" t="s">
        <v>115</v>
      </c>
      <c r="D108" s="343" t="s">
        <v>248</v>
      </c>
      <c r="E108" s="343"/>
      <c r="F108" s="341" t="s">
        <v>714</v>
      </c>
      <c r="G108" s="340" t="s">
        <v>693</v>
      </c>
      <c r="H108" s="340" t="s">
        <v>249</v>
      </c>
      <c r="I108" s="352">
        <v>45427.0</v>
      </c>
      <c r="J108" s="353">
        <v>45626.0</v>
      </c>
      <c r="K108" s="340" t="s">
        <v>727</v>
      </c>
      <c r="L108" s="340" t="s">
        <v>724</v>
      </c>
      <c r="M108" s="340" t="s">
        <v>680</v>
      </c>
      <c r="N108" s="340" t="s">
        <v>681</v>
      </c>
      <c r="O108" s="354"/>
      <c r="P108" s="355" t="str">
        <f> hyperlink(vlookup(lower(N108),'File Links'!A:B, 2, FALSE), SUBSTITUTE(lower(N108), "/", "--") &amp;  ".pdf")</f>
        <v>10.3102--0013189x13507104.pdf</v>
      </c>
      <c r="Q108" s="104" t="str">
        <f t="array" ref="Q108"> if(iserror(MATCH(V108, 'File Links'!C:C, 0)), "N/A", HYPERLINK(INDEX('File Links'!B:B, MATCH(P108, 'File Links'!C:C, 0))))</f>
        <v>https://drive.google.com/file/d/1mMbXlq0wHwW3u94B3l_0KZ3_2GsCObmh/view?usp=drivesdk</v>
      </c>
      <c r="R108" s="340" t="s">
        <v>718</v>
      </c>
      <c r="S108" s="340" t="s">
        <v>684</v>
      </c>
      <c r="T108" s="354"/>
      <c r="U108" s="354"/>
      <c r="V108" s="340" t="str">
        <f> hyperlink(vlookup(lower(S108),'File Links'!E:F, 2, FALSE), SUBSTITUTE(lower(S108), "/", "--") &amp;  ".pdf")</f>
        <v>10.1177--07419325241240067.pdf</v>
      </c>
      <c r="W108" s="56" t="s">
        <v>685</v>
      </c>
      <c r="X108" s="54" t="str">
        <f t="array" ref="X108"> if(iserror(MATCH(V108, 'File Links'!C:C, 0)), "N/A", HYPERLINK(INDEX('File Links'!B:B, MATCH(V108, 'File Links'!C:C, 0))))</f>
        <v>https://drive.google.com/file/d/1gy34Rj2zubnsdFDxbY0YzwrhmT7eVu5B/view?usp=drivesdk</v>
      </c>
      <c r="Y108" s="354"/>
      <c r="Z108" s="340" t="s">
        <v>660</v>
      </c>
      <c r="AA108" s="354"/>
      <c r="AB108" s="340" t="s">
        <v>728</v>
      </c>
      <c r="AC108" s="340" t="s">
        <v>720</v>
      </c>
      <c r="AD108" s="340" t="s">
        <v>729</v>
      </c>
      <c r="AE108" s="340">
        <v>429.0</v>
      </c>
      <c r="AF108" s="340">
        <v>79.0</v>
      </c>
      <c r="AG108" s="340">
        <v>2.35</v>
      </c>
      <c r="AH108" s="340" t="s">
        <v>722</v>
      </c>
      <c r="AI108" s="354"/>
      <c r="AJ108" s="340">
        <v>0.47</v>
      </c>
      <c r="AK108" s="340" t="s">
        <v>172</v>
      </c>
      <c r="AL108" s="340" t="s">
        <v>186</v>
      </c>
      <c r="AM108" s="342"/>
      <c r="AN108" s="340" t="s">
        <v>138</v>
      </c>
      <c r="AO108" s="340">
        <v>40.0</v>
      </c>
      <c r="AP108" s="340">
        <v>1.46</v>
      </c>
      <c r="AQ108" s="340" t="s">
        <v>722</v>
      </c>
      <c r="AR108" s="354"/>
      <c r="AS108" s="340">
        <v>0.01</v>
      </c>
      <c r="AT108" s="340" t="s">
        <v>172</v>
      </c>
      <c r="AU108" s="340" t="s">
        <v>186</v>
      </c>
      <c r="AV108" s="342"/>
      <c r="AW108" s="342"/>
      <c r="AX108" s="56" t="s">
        <v>324</v>
      </c>
      <c r="AY108" s="61" t="str">
        <f>IFERROR(__xludf.DUMMYFUNCTION("vlookup(BB108,importrange(""https://docs.google.com/spreadsheets/d/1d2vevQ_7D_v35q4wCQ4RpQ_IPoTwEMB9Yp6ymwlPqew/edit?gid=984458430#gid=984458430"", ""'replication success'!A:K""), 11, FAlSE)"),"mixed")</f>
        <v>mixed</v>
      </c>
      <c r="AZ108" s="61" t="str">
        <f>IFERROR(__xludf.DUMMYFUNCTION("vlookup(BB108,importrange(""https://docs.google.com/spreadsheets/d/1d2vevQ_7D_v35q4wCQ4RpQ_IPoTwEMB9Yp6ymwlPqew/edit?gid=984458430#gid=984458430"",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8" s="61" t="str">
        <f>IFERROR(__xludf.DUMMYFUNCTION("vlookup(BB108,importrange(""https://docs.google.com/spreadsheets/d/1d2vevQ_7D_v35q4wCQ4RpQ_IPoTwEMB9Yp6ymwlPqew/edit?gid=984458430#gid=984458430"", ""'replication success'!A:M""), 13, FAlSE)"),"pg.8")</f>
        <v>pg.8</v>
      </c>
      <c r="BB108" s="61" t="str">
        <f>IFERROR(__xludf.DUMMYFUNCTION("REGEXREPLACE(G108, ""_[a-z]{1,2}$"", """")"),"additional_studies17")</f>
        <v>additional_studies17</v>
      </c>
      <c r="BC108" s="354"/>
      <c r="BD108" s="341" t="s">
        <v>692</v>
      </c>
      <c r="BE108" s="342"/>
      <c r="BF108" s="342"/>
      <c r="BG108" s="342"/>
      <c r="BH108" s="342"/>
      <c r="BI108" s="342"/>
      <c r="BJ108" s="342"/>
      <c r="BK108" s="342"/>
      <c r="BL108" s="342"/>
      <c r="BM108" s="342"/>
      <c r="BN108" s="342"/>
      <c r="BO108" s="342"/>
      <c r="BP108" s="342"/>
      <c r="BQ108" s="342"/>
      <c r="BR108" s="342"/>
      <c r="BS108" s="342"/>
      <c r="BT108" s="342"/>
      <c r="BU108" s="342"/>
      <c r="BV108" s="342"/>
      <c r="BW108" s="342"/>
      <c r="BX108" s="342"/>
      <c r="BY108" s="342"/>
      <c r="BZ108" s="342"/>
      <c r="CA108" s="342"/>
      <c r="CB108" s="342"/>
      <c r="CC108" s="342"/>
      <c r="CD108" s="342"/>
      <c r="CE108" s="342"/>
      <c r="CF108" s="342"/>
      <c r="CG108" s="342"/>
      <c r="CH108" s="342"/>
      <c r="CI108" s="342"/>
      <c r="CJ108" s="342"/>
      <c r="CK108" s="342"/>
      <c r="CL108" s="342"/>
      <c r="CM108" s="342"/>
      <c r="CN108" s="342"/>
      <c r="CO108" s="342"/>
      <c r="CP108" s="342"/>
      <c r="CQ108" s="342"/>
      <c r="CR108" s="342"/>
      <c r="CS108" s="342"/>
      <c r="CT108" s="342"/>
      <c r="CU108" s="342"/>
      <c r="CV108" s="342"/>
      <c r="CW108" s="342"/>
      <c r="CX108" s="342"/>
      <c r="CY108" s="342"/>
      <c r="CZ108" s="342"/>
      <c r="DA108" s="342"/>
      <c r="DB108" s="342"/>
      <c r="DC108" s="342"/>
      <c r="DD108" s="342"/>
      <c r="DE108" s="342"/>
      <c r="DF108" s="342"/>
      <c r="DG108" s="342"/>
      <c r="DH108" s="342"/>
      <c r="DI108" s="342"/>
      <c r="DJ108" s="342"/>
      <c r="DK108" s="342"/>
      <c r="DL108" s="342"/>
    </row>
    <row r="109" ht="20.25" customHeight="1">
      <c r="A109" s="44">
        <v>109.0</v>
      </c>
      <c r="B109" s="340" t="s">
        <v>114</v>
      </c>
      <c r="C109" s="340" t="s">
        <v>115</v>
      </c>
      <c r="D109" s="343" t="s">
        <v>248</v>
      </c>
      <c r="E109" s="354"/>
      <c r="F109" s="341" t="s">
        <v>714</v>
      </c>
      <c r="G109" s="340" t="s">
        <v>700</v>
      </c>
      <c r="H109" s="340" t="s">
        <v>249</v>
      </c>
      <c r="I109" s="352">
        <v>45427.0</v>
      </c>
      <c r="J109" s="353">
        <v>45626.0</v>
      </c>
      <c r="K109" s="340" t="s">
        <v>730</v>
      </c>
      <c r="L109" s="340" t="s">
        <v>724</v>
      </c>
      <c r="M109" s="340" t="s">
        <v>680</v>
      </c>
      <c r="N109" s="340" t="s">
        <v>681</v>
      </c>
      <c r="O109" s="354"/>
      <c r="P109" s="355" t="str">
        <f> hyperlink(vlookup(lower(N109),'File Links'!A:B, 2, FALSE), SUBSTITUTE(lower(N109), "/", "--") &amp;  ".pdf")</f>
        <v>10.3102--0013189x13507104.pdf</v>
      </c>
      <c r="Q109" s="104" t="str">
        <f t="array" ref="Q109"> if(iserror(MATCH(V109, 'File Links'!C:C, 0)), "N/A", HYPERLINK(INDEX('File Links'!B:B, MATCH(P109, 'File Links'!C:C, 0))))</f>
        <v>https://drive.google.com/file/d/1mMbXlq0wHwW3u94B3l_0KZ3_2GsCObmh/view?usp=drivesdk</v>
      </c>
      <c r="R109" s="340" t="s">
        <v>718</v>
      </c>
      <c r="S109" s="340" t="s">
        <v>684</v>
      </c>
      <c r="T109" s="354"/>
      <c r="U109" s="354"/>
      <c r="V109" s="340" t="str">
        <f> hyperlink(vlookup(lower(S109),'File Links'!E:F, 2, FALSE), SUBSTITUTE(lower(S109), "/", "--") &amp;  ".pdf")</f>
        <v>10.1177--07419325241240067.pdf</v>
      </c>
      <c r="W109" s="56" t="s">
        <v>685</v>
      </c>
      <c r="X109" s="54" t="str">
        <f t="array" ref="X109"> if(iserror(MATCH(V109, 'File Links'!C:C, 0)), "N/A", HYPERLINK(INDEX('File Links'!B:B, MATCH(V109, 'File Links'!C:C, 0))))</f>
        <v>https://drive.google.com/file/d/1gy34Rj2zubnsdFDxbY0YzwrhmT7eVu5B/view?usp=drivesdk</v>
      </c>
      <c r="Y109" s="354"/>
      <c r="Z109" s="340" t="s">
        <v>660</v>
      </c>
      <c r="AA109" s="354"/>
      <c r="AB109" s="340" t="s">
        <v>731</v>
      </c>
      <c r="AC109" s="340" t="s">
        <v>720</v>
      </c>
      <c r="AD109" s="340" t="s">
        <v>732</v>
      </c>
      <c r="AE109" s="340">
        <v>429.0</v>
      </c>
      <c r="AF109" s="340">
        <v>79.0</v>
      </c>
      <c r="AG109" s="340">
        <v>3.05</v>
      </c>
      <c r="AH109" s="340" t="s">
        <v>722</v>
      </c>
      <c r="AI109" s="354"/>
      <c r="AJ109" s="340">
        <v>0.47</v>
      </c>
      <c r="AK109" s="340" t="s">
        <v>172</v>
      </c>
      <c r="AL109" s="340" t="s">
        <v>186</v>
      </c>
      <c r="AM109" s="342"/>
      <c r="AN109" s="340" t="s">
        <v>138</v>
      </c>
      <c r="AO109" s="340">
        <v>40.0</v>
      </c>
      <c r="AP109" s="340">
        <v>1.57</v>
      </c>
      <c r="AQ109" s="340" t="s">
        <v>722</v>
      </c>
      <c r="AR109" s="354"/>
      <c r="AS109" s="340">
        <v>0.01</v>
      </c>
      <c r="AT109" s="340" t="s">
        <v>172</v>
      </c>
      <c r="AU109" s="340" t="s">
        <v>186</v>
      </c>
      <c r="AV109" s="342"/>
      <c r="AW109" s="342"/>
      <c r="AX109" s="56" t="s">
        <v>324</v>
      </c>
      <c r="AY109" s="61" t="str">
        <f>IFERROR(__xludf.DUMMYFUNCTION("vlookup(BB109,importrange(""https://docs.google.com/spreadsheets/d/1d2vevQ_7D_v35q4wCQ4RpQ_IPoTwEMB9Yp6ymwlPqew/edit?gid=984458430#gid=984458430"", ""'replication success'!A:K""), 11, FAlSE)"),"mixed")</f>
        <v>mixed</v>
      </c>
      <c r="AZ109" s="61" t="str">
        <f>IFERROR(__xludf.DUMMYFUNCTION("vlookup(BB109,importrange(""https://docs.google.com/spreadsheets/d/1d2vevQ_7D_v35q4wCQ4RpQ_IPoTwEMB9Yp6ymwlPqew/edit?gid=984458430#gid=984458430"",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09" s="61" t="str">
        <f>IFERROR(__xludf.DUMMYFUNCTION("vlookup(BB109,importrange(""https://docs.google.com/spreadsheets/d/1d2vevQ_7D_v35q4wCQ4RpQ_IPoTwEMB9Yp6ymwlPqew/edit?gid=984458430#gid=984458430"", ""'replication success'!A:M""), 13, FAlSE)"),"pg.8")</f>
        <v>pg.8</v>
      </c>
      <c r="BB109" s="61" t="str">
        <f>IFERROR(__xludf.DUMMYFUNCTION("REGEXREPLACE(G109, ""_[a-z]{1,2}$"", """")"),"additional_studies17")</f>
        <v>additional_studies17</v>
      </c>
      <c r="BC109" s="354"/>
      <c r="BD109" s="341" t="s">
        <v>692</v>
      </c>
      <c r="BE109" s="342"/>
      <c r="BF109" s="342"/>
      <c r="BG109" s="342"/>
      <c r="BH109" s="342"/>
      <c r="BI109" s="342"/>
      <c r="BJ109" s="342"/>
      <c r="BK109" s="342"/>
      <c r="BL109" s="342"/>
      <c r="BM109" s="342"/>
      <c r="BN109" s="342"/>
      <c r="BO109" s="342"/>
      <c r="BP109" s="342"/>
      <c r="BQ109" s="342"/>
      <c r="BR109" s="342"/>
      <c r="BS109" s="342"/>
      <c r="BT109" s="342"/>
      <c r="BU109" s="342"/>
      <c r="BV109" s="342"/>
      <c r="BW109" s="342"/>
      <c r="BX109" s="342"/>
      <c r="BY109" s="342"/>
      <c r="BZ109" s="342"/>
      <c r="CA109" s="342"/>
      <c r="CB109" s="342"/>
      <c r="CC109" s="342"/>
      <c r="CD109" s="342"/>
      <c r="CE109" s="342"/>
      <c r="CF109" s="342"/>
      <c r="CG109" s="342"/>
      <c r="CH109" s="342"/>
      <c r="CI109" s="342"/>
      <c r="CJ109" s="342"/>
      <c r="CK109" s="342"/>
      <c r="CL109" s="342"/>
      <c r="CM109" s="342"/>
      <c r="CN109" s="342"/>
      <c r="CO109" s="342"/>
      <c r="CP109" s="342"/>
      <c r="CQ109" s="342"/>
      <c r="CR109" s="342"/>
      <c r="CS109" s="342"/>
      <c r="CT109" s="342"/>
      <c r="CU109" s="342"/>
      <c r="CV109" s="342"/>
      <c r="CW109" s="342"/>
      <c r="CX109" s="342"/>
      <c r="CY109" s="342"/>
      <c r="CZ109" s="342"/>
      <c r="DA109" s="342"/>
      <c r="DB109" s="342"/>
      <c r="DC109" s="342"/>
      <c r="DD109" s="342"/>
      <c r="DE109" s="342"/>
      <c r="DF109" s="342"/>
      <c r="DG109" s="342"/>
      <c r="DH109" s="342"/>
      <c r="DI109" s="342"/>
      <c r="DJ109" s="342"/>
      <c r="DK109" s="342"/>
      <c r="DL109" s="342"/>
    </row>
    <row r="110" ht="20.25" customHeight="1">
      <c r="A110" s="44">
        <v>110.0</v>
      </c>
      <c r="B110" s="340" t="s">
        <v>114</v>
      </c>
      <c r="C110" s="340" t="s">
        <v>115</v>
      </c>
      <c r="D110" s="343" t="s">
        <v>248</v>
      </c>
      <c r="E110" s="354"/>
      <c r="F110" s="341" t="s">
        <v>714</v>
      </c>
      <c r="G110" s="340" t="s">
        <v>707</v>
      </c>
      <c r="H110" s="340" t="s">
        <v>249</v>
      </c>
      <c r="I110" s="352">
        <v>45427.0</v>
      </c>
      <c r="J110" s="353">
        <v>45626.0</v>
      </c>
      <c r="K110" s="340" t="s">
        <v>733</v>
      </c>
      <c r="L110" s="340" t="s">
        <v>724</v>
      </c>
      <c r="M110" s="340" t="s">
        <v>680</v>
      </c>
      <c r="N110" s="340" t="s">
        <v>681</v>
      </c>
      <c r="O110" s="354"/>
      <c r="P110" s="355" t="str">
        <f> hyperlink(vlookup(lower(N110),'File Links'!A:B, 2, FALSE), SUBSTITUTE(lower(N110), "/", "--") &amp;  ".pdf")</f>
        <v>10.3102--0013189x13507104.pdf</v>
      </c>
      <c r="Q110" s="104" t="str">
        <f t="array" ref="Q110"> if(iserror(MATCH(V110, 'File Links'!C:C, 0)), "N/A", HYPERLINK(INDEX('File Links'!B:B, MATCH(P110, 'File Links'!C:C, 0))))</f>
        <v>https://drive.google.com/file/d/1mMbXlq0wHwW3u94B3l_0KZ3_2GsCObmh/view?usp=drivesdk</v>
      </c>
      <c r="R110" s="340" t="s">
        <v>718</v>
      </c>
      <c r="S110" s="340" t="s">
        <v>684</v>
      </c>
      <c r="T110" s="354"/>
      <c r="U110" s="354"/>
      <c r="V110" s="340" t="str">
        <f> hyperlink(vlookup(lower(S110),'File Links'!E:F, 2, FALSE), SUBSTITUTE(lower(S110), "/", "--") &amp;  ".pdf")</f>
        <v>10.1177--07419325241240067.pdf</v>
      </c>
      <c r="W110" s="56" t="s">
        <v>685</v>
      </c>
      <c r="X110" s="54" t="str">
        <f t="array" ref="X110"> if(iserror(MATCH(V110, 'File Links'!C:C, 0)), "N/A", HYPERLINK(INDEX('File Links'!B:B, MATCH(V110, 'File Links'!C:C, 0))))</f>
        <v>https://drive.google.com/file/d/1gy34Rj2zubnsdFDxbY0YzwrhmT7eVu5B/view?usp=drivesdk</v>
      </c>
      <c r="Y110" s="354"/>
      <c r="Z110" s="340" t="s">
        <v>660</v>
      </c>
      <c r="AA110" s="354"/>
      <c r="AB110" s="340" t="s">
        <v>734</v>
      </c>
      <c r="AC110" s="340" t="s">
        <v>720</v>
      </c>
      <c r="AD110" s="340" t="s">
        <v>735</v>
      </c>
      <c r="AE110" s="340">
        <v>429.0</v>
      </c>
      <c r="AF110" s="340">
        <v>79.0</v>
      </c>
      <c r="AG110" s="340">
        <v>2.68</v>
      </c>
      <c r="AH110" s="340" t="s">
        <v>722</v>
      </c>
      <c r="AI110" s="354"/>
      <c r="AJ110" s="340">
        <v>0.48</v>
      </c>
      <c r="AK110" s="340" t="s">
        <v>172</v>
      </c>
      <c r="AL110" s="340" t="s">
        <v>186</v>
      </c>
      <c r="AM110" s="342"/>
      <c r="AN110" s="340" t="s">
        <v>138</v>
      </c>
      <c r="AO110" s="340">
        <v>40.0</v>
      </c>
      <c r="AP110" s="340">
        <v>1.16</v>
      </c>
      <c r="AQ110" s="340" t="s">
        <v>722</v>
      </c>
      <c r="AR110" s="354"/>
      <c r="AS110" s="340">
        <v>0.12</v>
      </c>
      <c r="AT110" s="340" t="s">
        <v>172</v>
      </c>
      <c r="AU110" s="340" t="s">
        <v>186</v>
      </c>
      <c r="AV110" s="342"/>
      <c r="AW110" s="342"/>
      <c r="AX110" s="56" t="s">
        <v>324</v>
      </c>
      <c r="AY110" s="61" t="str">
        <f>IFERROR(__xludf.DUMMYFUNCTION("vlookup(BB110,importrange(""https://docs.google.com/spreadsheets/d/1d2vevQ_7D_v35q4wCQ4RpQ_IPoTwEMB9Yp6ymwlPqew/edit?gid=984458430#gid=984458430"", ""'replication success'!A:K""), 11, FAlSE)"),"mixed")</f>
        <v>mixed</v>
      </c>
      <c r="AZ110" s="61" t="str">
        <f>IFERROR(__xludf.DUMMYFUNCTION("vlookup(BB110,importrange(""https://docs.google.com/spreadsheets/d/1d2vevQ_7D_v35q4wCQ4RpQ_IPoTwEMB9Yp6ymwlPqew/edit?gid=984458430#gid=984458430"",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10" s="61" t="str">
        <f>IFERROR(__xludf.DUMMYFUNCTION("vlookup(BB110,importrange(""https://docs.google.com/spreadsheets/d/1d2vevQ_7D_v35q4wCQ4RpQ_IPoTwEMB9Yp6ymwlPqew/edit?gid=984458430#gid=984458430"", ""'replication success'!A:M""), 13, FAlSE)"),"pg.8")</f>
        <v>pg.8</v>
      </c>
      <c r="BB110" s="61" t="str">
        <f>IFERROR(__xludf.DUMMYFUNCTION("REGEXREPLACE(G110, ""_[a-z]{1,2}$"", """")"),"additional_studies17")</f>
        <v>additional_studies17</v>
      </c>
      <c r="BC110" s="354"/>
      <c r="BD110" s="341" t="s">
        <v>692</v>
      </c>
      <c r="BE110" s="342"/>
      <c r="BF110" s="342"/>
      <c r="BG110" s="342"/>
      <c r="BH110" s="342"/>
      <c r="BI110" s="342"/>
      <c r="BJ110" s="342"/>
      <c r="BK110" s="342"/>
      <c r="BL110" s="342"/>
      <c r="BM110" s="342"/>
      <c r="BN110" s="342"/>
      <c r="BO110" s="342"/>
      <c r="BP110" s="342"/>
      <c r="BQ110" s="342"/>
      <c r="BR110" s="342"/>
      <c r="BS110" s="342"/>
      <c r="BT110" s="342"/>
      <c r="BU110" s="342"/>
      <c r="BV110" s="342"/>
      <c r="BW110" s="342"/>
      <c r="BX110" s="342"/>
      <c r="BY110" s="342"/>
      <c r="BZ110" s="342"/>
      <c r="CA110" s="342"/>
      <c r="CB110" s="342"/>
      <c r="CC110" s="342"/>
      <c r="CD110" s="342"/>
      <c r="CE110" s="342"/>
      <c r="CF110" s="342"/>
      <c r="CG110" s="342"/>
      <c r="CH110" s="342"/>
      <c r="CI110" s="342"/>
      <c r="CJ110" s="342"/>
      <c r="CK110" s="342"/>
      <c r="CL110" s="342"/>
      <c r="CM110" s="342"/>
      <c r="CN110" s="342"/>
      <c r="CO110" s="342"/>
      <c r="CP110" s="342"/>
      <c r="CQ110" s="342"/>
      <c r="CR110" s="342"/>
      <c r="CS110" s="342"/>
      <c r="CT110" s="342"/>
      <c r="CU110" s="342"/>
      <c r="CV110" s="342"/>
      <c r="CW110" s="342"/>
      <c r="CX110" s="342"/>
      <c r="CY110" s="342"/>
      <c r="CZ110" s="342"/>
      <c r="DA110" s="342"/>
      <c r="DB110" s="342"/>
      <c r="DC110" s="342"/>
      <c r="DD110" s="342"/>
      <c r="DE110" s="342"/>
      <c r="DF110" s="342"/>
      <c r="DG110" s="342"/>
      <c r="DH110" s="342"/>
      <c r="DI110" s="342"/>
      <c r="DJ110" s="342"/>
      <c r="DK110" s="342"/>
      <c r="DL110" s="342"/>
    </row>
    <row r="111" ht="20.25" customHeight="1">
      <c r="A111" s="44">
        <v>111.0</v>
      </c>
      <c r="B111" s="340" t="s">
        <v>114</v>
      </c>
      <c r="C111" s="340" t="s">
        <v>115</v>
      </c>
      <c r="D111" s="343" t="s">
        <v>248</v>
      </c>
      <c r="E111" s="354"/>
      <c r="F111" s="341" t="s">
        <v>714</v>
      </c>
      <c r="G111" s="340" t="s">
        <v>736</v>
      </c>
      <c r="H111" s="340" t="s">
        <v>249</v>
      </c>
      <c r="I111" s="352">
        <v>45427.0</v>
      </c>
      <c r="J111" s="353">
        <v>45626.0</v>
      </c>
      <c r="K111" s="340" t="s">
        <v>737</v>
      </c>
      <c r="L111" s="340" t="s">
        <v>724</v>
      </c>
      <c r="M111" s="340" t="s">
        <v>680</v>
      </c>
      <c r="N111" s="340" t="s">
        <v>681</v>
      </c>
      <c r="O111" s="354"/>
      <c r="P111" s="355" t="str">
        <f> hyperlink(vlookup(lower(N111),'File Links'!A:B, 2, FALSE), SUBSTITUTE(lower(N111), "/", "--") &amp;  ".pdf")</f>
        <v>10.3102--0013189x13507104.pdf</v>
      </c>
      <c r="Q111" s="104" t="str">
        <f t="array" ref="Q111"> if(iserror(MATCH(V111, 'File Links'!C:C, 0)), "N/A", HYPERLINK(INDEX('File Links'!B:B, MATCH(P111, 'File Links'!C:C, 0))))</f>
        <v>https://drive.google.com/file/d/1mMbXlq0wHwW3u94B3l_0KZ3_2GsCObmh/view?usp=drivesdk</v>
      </c>
      <c r="R111" s="340" t="s">
        <v>718</v>
      </c>
      <c r="S111" s="340" t="s">
        <v>684</v>
      </c>
      <c r="T111" s="354"/>
      <c r="U111" s="354"/>
      <c r="V111" s="340" t="str">
        <f> hyperlink(vlookup(lower(S111),'File Links'!E:F, 2, FALSE), SUBSTITUTE(lower(S111), "/", "--") &amp;  ".pdf")</f>
        <v>10.1177--07419325241240067.pdf</v>
      </c>
      <c r="W111" s="56" t="s">
        <v>685</v>
      </c>
      <c r="X111" s="54" t="str">
        <f t="array" ref="X111"> if(iserror(MATCH(V111, 'File Links'!C:C, 0)), "N/A", HYPERLINK(INDEX('File Links'!B:B, MATCH(V111, 'File Links'!C:C, 0))))</f>
        <v>https://drive.google.com/file/d/1gy34Rj2zubnsdFDxbY0YzwrhmT7eVu5B/view?usp=drivesdk</v>
      </c>
      <c r="Y111" s="354"/>
      <c r="Z111" s="340" t="s">
        <v>660</v>
      </c>
      <c r="AA111" s="354"/>
      <c r="AB111" s="340" t="s">
        <v>738</v>
      </c>
      <c r="AC111" s="340" t="s">
        <v>720</v>
      </c>
      <c r="AD111" s="340" t="s">
        <v>739</v>
      </c>
      <c r="AE111" s="340">
        <v>429.0</v>
      </c>
      <c r="AF111" s="340">
        <v>79.0</v>
      </c>
      <c r="AG111" s="340">
        <v>2.16</v>
      </c>
      <c r="AH111" s="340" t="s">
        <v>722</v>
      </c>
      <c r="AI111" s="354"/>
      <c r="AJ111" s="340">
        <v>0.48</v>
      </c>
      <c r="AK111" s="340" t="s">
        <v>172</v>
      </c>
      <c r="AL111" s="340" t="s">
        <v>186</v>
      </c>
      <c r="AM111" s="342"/>
      <c r="AN111" s="340" t="s">
        <v>138</v>
      </c>
      <c r="AO111" s="340">
        <v>40.0</v>
      </c>
      <c r="AP111" s="340">
        <v>1.43</v>
      </c>
      <c r="AQ111" s="340" t="s">
        <v>722</v>
      </c>
      <c r="AR111" s="354"/>
      <c r="AS111" s="340">
        <v>0.12</v>
      </c>
      <c r="AT111" s="340" t="s">
        <v>172</v>
      </c>
      <c r="AU111" s="340" t="s">
        <v>186</v>
      </c>
      <c r="AV111" s="342"/>
      <c r="AW111" s="342"/>
      <c r="AX111" s="56" t="s">
        <v>324</v>
      </c>
      <c r="AY111" s="61" t="str">
        <f>IFERROR(__xludf.DUMMYFUNCTION("vlookup(BB111,importrange(""https://docs.google.com/spreadsheets/d/1d2vevQ_7D_v35q4wCQ4RpQ_IPoTwEMB9Yp6ymwlPqew/edit?gid=984458430#gid=984458430"", ""'replication success'!A:K""), 11, FAlSE)"),"mixed")</f>
        <v>mixed</v>
      </c>
      <c r="AZ111" s="61" t="str">
        <f>IFERROR(__xludf.DUMMYFUNCTION("vlookup(BB111,importrange(""https://docs.google.com/spreadsheets/d/1d2vevQ_7D_v35q4wCQ4RpQ_IPoTwEMB9Yp6ymwlPqew/edit?gid=984458430#gid=984458430"",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11" s="61" t="str">
        <f>IFERROR(__xludf.DUMMYFUNCTION("vlookup(BB111,importrange(""https://docs.google.com/spreadsheets/d/1d2vevQ_7D_v35q4wCQ4RpQ_IPoTwEMB9Yp6ymwlPqew/edit?gid=984458430#gid=984458430"", ""'replication success'!A:M""), 13, FAlSE)"),"pg.8")</f>
        <v>pg.8</v>
      </c>
      <c r="BB111" s="61" t="str">
        <f>IFERROR(__xludf.DUMMYFUNCTION("REGEXREPLACE(G111, ""_[a-z]{1,2}$"", """")"),"additional_studies17")</f>
        <v>additional_studies17</v>
      </c>
      <c r="BC111" s="354"/>
      <c r="BD111" s="341" t="s">
        <v>692</v>
      </c>
      <c r="BE111" s="342"/>
      <c r="BF111" s="342"/>
      <c r="BG111" s="342"/>
      <c r="BH111" s="342"/>
      <c r="BI111" s="342"/>
      <c r="BJ111" s="342"/>
      <c r="BK111" s="342"/>
      <c r="BL111" s="342"/>
      <c r="BM111" s="342"/>
      <c r="BN111" s="342"/>
      <c r="BO111" s="342"/>
      <c r="BP111" s="342"/>
      <c r="BQ111" s="342"/>
      <c r="BR111" s="342"/>
      <c r="BS111" s="342"/>
      <c r="BT111" s="342"/>
      <c r="BU111" s="342"/>
      <c r="BV111" s="342"/>
      <c r="BW111" s="342"/>
      <c r="BX111" s="342"/>
      <c r="BY111" s="342"/>
      <c r="BZ111" s="342"/>
      <c r="CA111" s="342"/>
      <c r="CB111" s="342"/>
      <c r="CC111" s="342"/>
      <c r="CD111" s="342"/>
      <c r="CE111" s="342"/>
      <c r="CF111" s="342"/>
      <c r="CG111" s="342"/>
      <c r="CH111" s="342"/>
      <c r="CI111" s="342"/>
      <c r="CJ111" s="342"/>
      <c r="CK111" s="342"/>
      <c r="CL111" s="342"/>
      <c r="CM111" s="342"/>
      <c r="CN111" s="342"/>
      <c r="CO111" s="342"/>
      <c r="CP111" s="342"/>
      <c r="CQ111" s="342"/>
      <c r="CR111" s="342"/>
      <c r="CS111" s="342"/>
      <c r="CT111" s="342"/>
      <c r="CU111" s="342"/>
      <c r="CV111" s="342"/>
      <c r="CW111" s="342"/>
      <c r="CX111" s="342"/>
      <c r="CY111" s="342"/>
      <c r="CZ111" s="342"/>
      <c r="DA111" s="342"/>
      <c r="DB111" s="342"/>
      <c r="DC111" s="342"/>
      <c r="DD111" s="342"/>
      <c r="DE111" s="342"/>
      <c r="DF111" s="342"/>
      <c r="DG111" s="342"/>
      <c r="DH111" s="342"/>
      <c r="DI111" s="342"/>
      <c r="DJ111" s="342"/>
      <c r="DK111" s="342"/>
      <c r="DL111" s="342"/>
    </row>
    <row r="112" ht="20.25" customHeight="1">
      <c r="A112" s="44">
        <v>112.0</v>
      </c>
      <c r="B112" s="340" t="s">
        <v>114</v>
      </c>
      <c r="C112" s="340" t="s">
        <v>115</v>
      </c>
      <c r="D112" s="343" t="s">
        <v>248</v>
      </c>
      <c r="E112" s="354"/>
      <c r="F112" s="341" t="s">
        <v>714</v>
      </c>
      <c r="G112" s="340" t="s">
        <v>740</v>
      </c>
      <c r="H112" s="340" t="s">
        <v>249</v>
      </c>
      <c r="I112" s="352">
        <v>45427.0</v>
      </c>
      <c r="J112" s="353">
        <v>45626.0</v>
      </c>
      <c r="K112" s="340" t="s">
        <v>741</v>
      </c>
      <c r="L112" s="340" t="s">
        <v>724</v>
      </c>
      <c r="M112" s="340" t="s">
        <v>680</v>
      </c>
      <c r="N112" s="340" t="s">
        <v>681</v>
      </c>
      <c r="O112" s="354"/>
      <c r="P112" s="355" t="str">
        <f> hyperlink(vlookup(lower(N112),'File Links'!A:B, 2, FALSE), SUBSTITUTE(lower(N112), "/", "--") &amp;  ".pdf")</f>
        <v>10.3102--0013189x13507104.pdf</v>
      </c>
      <c r="Q112" s="104" t="str">
        <f t="array" ref="Q112"> if(iserror(MATCH(V112, 'File Links'!C:C, 0)), "N/A", HYPERLINK(INDEX('File Links'!B:B, MATCH(P112, 'File Links'!C:C, 0))))</f>
        <v>https://drive.google.com/file/d/1mMbXlq0wHwW3u94B3l_0KZ3_2GsCObmh/view?usp=drivesdk</v>
      </c>
      <c r="R112" s="340" t="s">
        <v>718</v>
      </c>
      <c r="S112" s="340" t="s">
        <v>684</v>
      </c>
      <c r="T112" s="354"/>
      <c r="U112" s="354"/>
      <c r="V112" s="340" t="str">
        <f> hyperlink(vlookup(lower(S112),'File Links'!E:F, 2, FALSE), SUBSTITUTE(lower(S112), "/", "--") &amp;  ".pdf")</f>
        <v>10.1177--07419325241240067.pdf</v>
      </c>
      <c r="W112" s="56" t="s">
        <v>685</v>
      </c>
      <c r="X112" s="54" t="str">
        <f t="array" ref="X112"> if(iserror(MATCH(V112, 'File Links'!C:C, 0)), "N/A", HYPERLINK(INDEX('File Links'!B:B, MATCH(V112, 'File Links'!C:C, 0))))</f>
        <v>https://drive.google.com/file/d/1gy34Rj2zubnsdFDxbY0YzwrhmT7eVu5B/view?usp=drivesdk</v>
      </c>
      <c r="Y112" s="354"/>
      <c r="Z112" s="340" t="s">
        <v>660</v>
      </c>
      <c r="AA112" s="354"/>
      <c r="AB112" s="340" t="s">
        <v>742</v>
      </c>
      <c r="AC112" s="340" t="s">
        <v>720</v>
      </c>
      <c r="AD112" s="340" t="s">
        <v>743</v>
      </c>
      <c r="AE112" s="340">
        <v>429.0</v>
      </c>
      <c r="AF112" s="340">
        <v>79.0</v>
      </c>
      <c r="AG112" s="340">
        <v>2.46</v>
      </c>
      <c r="AH112" s="340" t="s">
        <v>722</v>
      </c>
      <c r="AI112" s="354"/>
      <c r="AJ112" s="340">
        <v>0.45</v>
      </c>
      <c r="AK112" s="340" t="s">
        <v>172</v>
      </c>
      <c r="AL112" s="340" t="s">
        <v>186</v>
      </c>
      <c r="AM112" s="342"/>
      <c r="AN112" s="340" t="s">
        <v>138</v>
      </c>
      <c r="AO112" s="340">
        <v>40.0</v>
      </c>
      <c r="AP112" s="340">
        <v>2.27</v>
      </c>
      <c r="AQ112" s="340" t="s">
        <v>722</v>
      </c>
      <c r="AR112" s="354"/>
      <c r="AS112" s="340">
        <v>0.01</v>
      </c>
      <c r="AT112" s="340" t="s">
        <v>135</v>
      </c>
      <c r="AU112" s="340" t="s">
        <v>186</v>
      </c>
      <c r="AV112" s="342"/>
      <c r="AW112" s="342"/>
      <c r="AX112" s="56" t="s">
        <v>324</v>
      </c>
      <c r="AY112" s="61" t="str">
        <f>IFERROR(__xludf.DUMMYFUNCTION("vlookup(BB112,importrange(""https://docs.google.com/spreadsheets/d/1d2vevQ_7D_v35q4wCQ4RpQ_IPoTwEMB9Yp6ymwlPqew/edit?gid=984458430#gid=984458430"", ""'replication success'!A:K""), 11, FAlSE)"),"mixed")</f>
        <v>mixed</v>
      </c>
      <c r="AZ112" s="61" t="str">
        <f>IFERROR(__xludf.DUMMYFUNCTION("vlookup(BB112,importrange(""https://docs.google.com/spreadsheets/d/1d2vevQ_7D_v35q4wCQ4RpQ_IPoTwEMB9Yp6ymwlPqew/edit?gid=984458430#gid=984458430"",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12" s="61" t="str">
        <f>IFERROR(__xludf.DUMMYFUNCTION("vlookup(BB112,importrange(""https://docs.google.com/spreadsheets/d/1d2vevQ_7D_v35q4wCQ4RpQ_IPoTwEMB9Yp6ymwlPqew/edit?gid=984458430#gid=984458430"", ""'replication success'!A:M""), 13, FAlSE)"),"pg.8")</f>
        <v>pg.8</v>
      </c>
      <c r="BB112" s="61" t="str">
        <f>IFERROR(__xludf.DUMMYFUNCTION("REGEXREPLACE(G112, ""_[a-z]{1,2}$"", """")"),"additional_studies17")</f>
        <v>additional_studies17</v>
      </c>
      <c r="BC112" s="354"/>
      <c r="BD112" s="341" t="s">
        <v>692</v>
      </c>
      <c r="BE112" s="342"/>
      <c r="BF112" s="342"/>
      <c r="BG112" s="342"/>
      <c r="BH112" s="342"/>
      <c r="BI112" s="342"/>
      <c r="BJ112" s="342"/>
      <c r="BK112" s="342"/>
      <c r="BL112" s="342"/>
      <c r="BM112" s="342"/>
      <c r="BN112" s="342"/>
      <c r="BO112" s="342"/>
      <c r="BP112" s="342"/>
      <c r="BQ112" s="342"/>
      <c r="BR112" s="342"/>
      <c r="BS112" s="342"/>
      <c r="BT112" s="342"/>
      <c r="BU112" s="342"/>
      <c r="BV112" s="342"/>
      <c r="BW112" s="342"/>
      <c r="BX112" s="342"/>
      <c r="BY112" s="342"/>
      <c r="BZ112" s="342"/>
      <c r="CA112" s="342"/>
      <c r="CB112" s="342"/>
      <c r="CC112" s="342"/>
      <c r="CD112" s="342"/>
      <c r="CE112" s="342"/>
      <c r="CF112" s="342"/>
      <c r="CG112" s="342"/>
      <c r="CH112" s="342"/>
      <c r="CI112" s="342"/>
      <c r="CJ112" s="342"/>
      <c r="CK112" s="342"/>
      <c r="CL112" s="342"/>
      <c r="CM112" s="342"/>
      <c r="CN112" s="342"/>
      <c r="CO112" s="342"/>
      <c r="CP112" s="342"/>
      <c r="CQ112" s="342"/>
      <c r="CR112" s="342"/>
      <c r="CS112" s="342"/>
      <c r="CT112" s="342"/>
      <c r="CU112" s="342"/>
      <c r="CV112" s="342"/>
      <c r="CW112" s="342"/>
      <c r="CX112" s="342"/>
      <c r="CY112" s="342"/>
      <c r="CZ112" s="342"/>
      <c r="DA112" s="342"/>
      <c r="DB112" s="342"/>
      <c r="DC112" s="342"/>
      <c r="DD112" s="342"/>
      <c r="DE112" s="342"/>
      <c r="DF112" s="342"/>
      <c r="DG112" s="342"/>
      <c r="DH112" s="342"/>
      <c r="DI112" s="342"/>
      <c r="DJ112" s="342"/>
      <c r="DK112" s="342"/>
      <c r="DL112" s="342"/>
    </row>
    <row r="113" ht="20.25" customHeight="1">
      <c r="A113" s="44">
        <v>113.0</v>
      </c>
      <c r="B113" s="340" t="s">
        <v>114</v>
      </c>
      <c r="C113" s="340" t="s">
        <v>115</v>
      </c>
      <c r="D113" s="343" t="s">
        <v>248</v>
      </c>
      <c r="E113" s="354"/>
      <c r="F113" s="341" t="s">
        <v>714</v>
      </c>
      <c r="G113" s="340" t="s">
        <v>744</v>
      </c>
      <c r="H113" s="340" t="s">
        <v>249</v>
      </c>
      <c r="I113" s="352">
        <v>45427.0</v>
      </c>
      <c r="J113" s="353">
        <v>45626.0</v>
      </c>
      <c r="K113" s="340" t="s">
        <v>745</v>
      </c>
      <c r="L113" s="340" t="s">
        <v>724</v>
      </c>
      <c r="M113" s="340" t="s">
        <v>680</v>
      </c>
      <c r="N113" s="340" t="s">
        <v>681</v>
      </c>
      <c r="O113" s="354"/>
      <c r="P113" s="355" t="str">
        <f> hyperlink(vlookup(lower(N113),'File Links'!A:B, 2, FALSE), SUBSTITUTE(lower(N113), "/", "--") &amp;  ".pdf")</f>
        <v>10.3102--0013189x13507104.pdf</v>
      </c>
      <c r="Q113" s="104" t="str">
        <f t="array" ref="Q113"> if(iserror(MATCH(V113, 'File Links'!C:C, 0)), "N/A", HYPERLINK(INDEX('File Links'!B:B, MATCH(P113, 'File Links'!C:C, 0))))</f>
        <v>https://drive.google.com/file/d/1mMbXlq0wHwW3u94B3l_0KZ3_2GsCObmh/view?usp=drivesdk</v>
      </c>
      <c r="R113" s="340" t="s">
        <v>718</v>
      </c>
      <c r="S113" s="340" t="s">
        <v>684</v>
      </c>
      <c r="T113" s="354"/>
      <c r="U113" s="354"/>
      <c r="V113" s="340" t="str">
        <f> hyperlink(vlookup(lower(S113),'File Links'!E:F, 2, FALSE), SUBSTITUTE(lower(S113), "/", "--") &amp;  ".pdf")</f>
        <v>10.1177--07419325241240067.pdf</v>
      </c>
      <c r="W113" s="56" t="s">
        <v>685</v>
      </c>
      <c r="X113" s="54" t="str">
        <f t="array" ref="X113"> if(iserror(MATCH(V113, 'File Links'!C:C, 0)), "N/A", HYPERLINK(INDEX('File Links'!B:B, MATCH(V113, 'File Links'!C:C, 0))))</f>
        <v>https://drive.google.com/file/d/1gy34Rj2zubnsdFDxbY0YzwrhmT7eVu5B/view?usp=drivesdk</v>
      </c>
      <c r="Y113" s="354"/>
      <c r="Z113" s="340" t="s">
        <v>660</v>
      </c>
      <c r="AA113" s="354"/>
      <c r="AB113" s="340" t="s">
        <v>746</v>
      </c>
      <c r="AC113" s="340" t="s">
        <v>720</v>
      </c>
      <c r="AD113" s="340" t="s">
        <v>747</v>
      </c>
      <c r="AE113" s="340">
        <v>429.0</v>
      </c>
      <c r="AF113" s="340">
        <v>79.0</v>
      </c>
      <c r="AG113" s="340">
        <v>1.99</v>
      </c>
      <c r="AH113" s="340" t="s">
        <v>722</v>
      </c>
      <c r="AI113" s="354"/>
      <c r="AJ113" s="340">
        <v>0.45</v>
      </c>
      <c r="AK113" s="340" t="s">
        <v>172</v>
      </c>
      <c r="AL113" s="340" t="s">
        <v>186</v>
      </c>
      <c r="AM113" s="342"/>
      <c r="AN113" s="340" t="s">
        <v>138</v>
      </c>
      <c r="AO113" s="354"/>
      <c r="AP113" s="340">
        <v>0.55</v>
      </c>
      <c r="AQ113" s="340" t="s">
        <v>722</v>
      </c>
      <c r="AR113" s="354"/>
      <c r="AS113" s="340">
        <v>0.0</v>
      </c>
      <c r="AT113" s="340" t="s">
        <v>172</v>
      </c>
      <c r="AU113" s="340" t="s">
        <v>186</v>
      </c>
      <c r="AV113" s="342"/>
      <c r="AW113" s="342"/>
      <c r="AX113" s="56" t="s">
        <v>324</v>
      </c>
      <c r="AY113" s="61" t="str">
        <f>IFERROR(__xludf.DUMMYFUNCTION("vlookup(BB113,importrange(""https://docs.google.com/spreadsheets/d/1d2vevQ_7D_v35q4wCQ4RpQ_IPoTwEMB9Yp6ymwlPqew/edit?gid=984458430#gid=984458430"", ""'replication success'!A:K""), 11, FAlSE)"),"mixed")</f>
        <v>mixed</v>
      </c>
      <c r="AZ113" s="61" t="str">
        <f>IFERROR(__xludf.DUMMYFUNCTION("vlookup(BB113,importrange(""https://docs.google.com/spreadsheets/d/1d2vevQ_7D_v35q4wCQ4RpQ_IPoTwEMB9Yp6ymwlPqew/edit?gid=984458430#gid=984458430"",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13" s="61" t="str">
        <f>IFERROR(__xludf.DUMMYFUNCTION("vlookup(BB113,importrange(""https://docs.google.com/spreadsheets/d/1d2vevQ_7D_v35q4wCQ4RpQ_IPoTwEMB9Yp6ymwlPqew/edit?gid=984458430#gid=984458430"", ""'replication success'!A:M""), 13, FAlSE)"),"pg.8")</f>
        <v>pg.8</v>
      </c>
      <c r="BB113" s="61" t="str">
        <f>IFERROR(__xludf.DUMMYFUNCTION("REGEXREPLACE(G113, ""_[a-z]{1,2}$"", """")"),"additional_studies17")</f>
        <v>additional_studies17</v>
      </c>
      <c r="BC113" s="354"/>
      <c r="BD113" s="341" t="s">
        <v>692</v>
      </c>
      <c r="BE113" s="342"/>
      <c r="BF113" s="342"/>
      <c r="BG113" s="342"/>
      <c r="BH113" s="342"/>
      <c r="BI113" s="342"/>
      <c r="BJ113" s="342"/>
      <c r="BK113" s="342"/>
      <c r="BL113" s="342"/>
      <c r="BM113" s="342"/>
      <c r="BN113" s="342"/>
      <c r="BO113" s="342"/>
      <c r="BP113" s="342"/>
      <c r="BQ113" s="342"/>
      <c r="BR113" s="342"/>
      <c r="BS113" s="342"/>
      <c r="BT113" s="342"/>
      <c r="BU113" s="342"/>
      <c r="BV113" s="342"/>
      <c r="BW113" s="342"/>
      <c r="BX113" s="342"/>
      <c r="BY113" s="342"/>
      <c r="BZ113" s="342"/>
      <c r="CA113" s="342"/>
      <c r="CB113" s="342"/>
      <c r="CC113" s="342"/>
      <c r="CD113" s="342"/>
      <c r="CE113" s="342"/>
      <c r="CF113" s="342"/>
      <c r="CG113" s="342"/>
      <c r="CH113" s="342"/>
      <c r="CI113" s="342"/>
      <c r="CJ113" s="342"/>
      <c r="CK113" s="342"/>
      <c r="CL113" s="342"/>
      <c r="CM113" s="342"/>
      <c r="CN113" s="342"/>
      <c r="CO113" s="342"/>
      <c r="CP113" s="342"/>
      <c r="CQ113" s="342"/>
      <c r="CR113" s="342"/>
      <c r="CS113" s="342"/>
      <c r="CT113" s="342"/>
      <c r="CU113" s="342"/>
      <c r="CV113" s="342"/>
      <c r="CW113" s="342"/>
      <c r="CX113" s="342"/>
      <c r="CY113" s="342"/>
      <c r="CZ113" s="342"/>
      <c r="DA113" s="342"/>
      <c r="DB113" s="342"/>
      <c r="DC113" s="342"/>
      <c r="DD113" s="342"/>
      <c r="DE113" s="342"/>
      <c r="DF113" s="342"/>
      <c r="DG113" s="342"/>
      <c r="DH113" s="342"/>
      <c r="DI113" s="342"/>
      <c r="DJ113" s="342"/>
      <c r="DK113" s="342"/>
      <c r="DL113" s="342"/>
    </row>
    <row r="114" ht="20.25" customHeight="1">
      <c r="A114" s="44">
        <v>114.0</v>
      </c>
      <c r="B114" s="340" t="s">
        <v>152</v>
      </c>
      <c r="C114" s="341" t="s">
        <v>115</v>
      </c>
      <c r="D114" s="341" t="s">
        <v>286</v>
      </c>
      <c r="E114" s="342"/>
      <c r="F114" s="346" t="s">
        <v>714</v>
      </c>
      <c r="G114" s="343" t="s">
        <v>676</v>
      </c>
      <c r="H114" s="343" t="s">
        <v>289</v>
      </c>
      <c r="I114" s="345">
        <v>45427.0</v>
      </c>
      <c r="J114" s="345">
        <v>45684.0</v>
      </c>
      <c r="K114" s="356" t="s">
        <v>748</v>
      </c>
      <c r="L114" s="46"/>
      <c r="M114" s="346" t="s">
        <v>680</v>
      </c>
      <c r="N114" s="346" t="s">
        <v>681</v>
      </c>
      <c r="O114" s="357"/>
      <c r="P114" s="343" t="s">
        <v>682</v>
      </c>
      <c r="Q114" s="104" t="str">
        <f t="array" ref="Q114"> if(iserror(MATCH(V114, 'File Links'!C:C, 0)), "N/A", HYPERLINK(INDEX('File Links'!B:B, MATCH(P114, 'File Links'!C:C, 0))))</f>
        <v>https://drive.google.com/file/d/1mMbXlq0wHwW3u94B3l_0KZ3_2GsCObmh/view?usp=drivesdk</v>
      </c>
      <c r="R114" s="56" t="s">
        <v>718</v>
      </c>
      <c r="S114" s="340" t="s">
        <v>684</v>
      </c>
      <c r="T114" s="46"/>
      <c r="U114" s="357"/>
      <c r="V114" s="340" t="str">
        <f> hyperlink(vlookup(lower(S114),'File Links'!E:F, 2, FALSE), SUBSTITUTE(lower(S114), "/", "--") &amp;  ".pdf")</f>
        <v>10.1177--07419325241240067.pdf</v>
      </c>
      <c r="W114" s="56" t="s">
        <v>685</v>
      </c>
      <c r="X114" s="54" t="str">
        <f t="array" ref="X114"> if(iserror(MATCH(V114, 'File Links'!C:C, 0)), "N/A", HYPERLINK(INDEX('File Links'!B:B, MATCH(V114, 'File Links'!C:C, 0))))</f>
        <v>https://drive.google.com/file/d/1gy34Rj2zubnsdFDxbY0YzwrhmT7eVu5B/view?usp=drivesdk</v>
      </c>
      <c r="Y114" s="342"/>
      <c r="Z114" s="343" t="s">
        <v>241</v>
      </c>
      <c r="AA114" s="56" t="s">
        <v>749</v>
      </c>
      <c r="AB114" s="56" t="s">
        <v>687</v>
      </c>
      <c r="AC114" s="56" t="s">
        <v>750</v>
      </c>
      <c r="AD114" s="348" t="s">
        <v>751</v>
      </c>
      <c r="AE114" s="347" t="s">
        <v>752</v>
      </c>
      <c r="AF114" s="347">
        <v>79.0</v>
      </c>
      <c r="AG114" s="347">
        <v>2.41</v>
      </c>
      <c r="AH114" s="159" t="s">
        <v>722</v>
      </c>
      <c r="AI114" s="56" t="s">
        <v>752</v>
      </c>
      <c r="AJ114" s="358"/>
      <c r="AK114" s="47"/>
      <c r="AL114" s="47"/>
      <c r="AM114" s="46"/>
      <c r="AN114" s="340" t="s">
        <v>138</v>
      </c>
      <c r="AO114" s="347">
        <v>40.0</v>
      </c>
      <c r="AP114" s="347">
        <v>1.48</v>
      </c>
      <c r="AQ114" s="343" t="s">
        <v>722</v>
      </c>
      <c r="AR114" s="56" t="s">
        <v>132</v>
      </c>
      <c r="AS114" s="359"/>
      <c r="AT114" s="360"/>
      <c r="AU114" s="360"/>
      <c r="AV114" s="46"/>
      <c r="AW114" s="163"/>
      <c r="AX114" s="56" t="s">
        <v>151</v>
      </c>
      <c r="AY114" s="61" t="str">
        <f>IFERROR(__xludf.DUMMYFUNCTION("vlookup(BB114,importrange(""https://docs.google.com/spreadsheets/d/1d2vevQ_7D_v35q4wCQ4RpQ_IPoTwEMB9Yp6ymwlPqew/edit?gid=984458430#gid=984458430"", ""'replication success'!A:K""), 11, FAlSE)"),"mixed")</f>
        <v>mixed</v>
      </c>
      <c r="AZ114" s="61" t="str">
        <f>IFERROR(__xludf.DUMMYFUNCTION("vlookup(BB114,importrange(""https://docs.google.com/spreadsheets/d/1d2vevQ_7D_v35q4wCQ4RpQ_IPoTwEMB9Yp6ymwlPqew/edit?gid=984458430#gid=984458430"",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114" s="61" t="str">
        <f>IFERROR(__xludf.DUMMYFUNCTION("vlookup(BB114,importrange(""https://docs.google.com/spreadsheets/d/1d2vevQ_7D_v35q4wCQ4RpQ_IPoTwEMB9Yp6ymwlPqew/edit?gid=984458430#gid=984458430"", ""'replication success'!A:M""), 13, FAlSE)"),"pg.8")</f>
        <v>pg.8</v>
      </c>
      <c r="BB114" s="61" t="str">
        <f>IFERROR(__xludf.DUMMYFUNCTION("REGEXREPLACE(G114, ""_[a-z]{1,2}$"", """")"),"additional_studies17")</f>
        <v>additional_studies17</v>
      </c>
      <c r="BC114" s="342"/>
      <c r="BD114" s="341" t="s">
        <v>692</v>
      </c>
      <c r="BE114" s="342"/>
      <c r="BF114" s="342"/>
      <c r="BG114" s="342"/>
      <c r="BH114" s="342"/>
      <c r="BI114" s="342"/>
      <c r="BJ114" s="342"/>
      <c r="BK114" s="342"/>
      <c r="BL114" s="342"/>
      <c r="BM114" s="342"/>
      <c r="BN114" s="342"/>
      <c r="BO114" s="342"/>
      <c r="BP114" s="342"/>
      <c r="BQ114" s="342"/>
      <c r="BR114" s="342"/>
      <c r="BS114" s="342"/>
      <c r="BT114" s="342"/>
      <c r="BU114" s="342"/>
      <c r="BV114" s="342"/>
      <c r="BW114" s="342"/>
      <c r="BX114" s="342"/>
      <c r="BY114" s="342"/>
      <c r="BZ114" s="342"/>
      <c r="CA114" s="342"/>
      <c r="CB114" s="342"/>
      <c r="CC114" s="342"/>
      <c r="CD114" s="342"/>
      <c r="CE114" s="342"/>
      <c r="CF114" s="342"/>
      <c r="CG114" s="342"/>
      <c r="CH114" s="342"/>
      <c r="CI114" s="342"/>
      <c r="CJ114" s="342"/>
      <c r="CK114" s="342"/>
      <c r="CL114" s="342"/>
      <c r="CM114" s="342"/>
      <c r="CN114" s="342"/>
      <c r="CO114" s="342"/>
      <c r="CP114" s="342"/>
      <c r="CQ114" s="342"/>
      <c r="CR114" s="342"/>
      <c r="CS114" s="342"/>
      <c r="CT114" s="342"/>
      <c r="CU114" s="342"/>
      <c r="CV114" s="342"/>
      <c r="CW114" s="342"/>
      <c r="CX114" s="342"/>
      <c r="CY114" s="342"/>
      <c r="CZ114" s="342"/>
      <c r="DA114" s="342"/>
      <c r="DB114" s="342"/>
      <c r="DC114" s="342"/>
      <c r="DD114" s="342"/>
      <c r="DE114" s="342"/>
      <c r="DF114" s="342"/>
      <c r="DG114" s="342"/>
      <c r="DH114" s="342"/>
      <c r="DI114" s="342"/>
      <c r="DJ114" s="342"/>
      <c r="DK114" s="342"/>
      <c r="DL114" s="342"/>
    </row>
    <row r="115" ht="20.25" customHeight="1">
      <c r="A115" s="44">
        <v>115.0</v>
      </c>
      <c r="B115" s="109" t="s">
        <v>590</v>
      </c>
      <c r="C115" s="109" t="s">
        <v>115</v>
      </c>
      <c r="D115" s="116" t="s">
        <v>753</v>
      </c>
      <c r="E115" s="110"/>
      <c r="F115" s="149" t="s">
        <v>754</v>
      </c>
      <c r="G115" s="109" t="s">
        <v>755</v>
      </c>
      <c r="H115" s="109" t="s">
        <v>753</v>
      </c>
      <c r="I115" s="144">
        <v>45427.0</v>
      </c>
      <c r="J115" s="144">
        <v>45663.0</v>
      </c>
      <c r="K115" s="109" t="s">
        <v>756</v>
      </c>
      <c r="L115" s="361" t="s">
        <v>757</v>
      </c>
      <c r="M115" s="109" t="s">
        <v>758</v>
      </c>
      <c r="N115" s="109" t="s">
        <v>759</v>
      </c>
      <c r="O115" s="109">
        <v>1.0</v>
      </c>
      <c r="P115" s="146" t="str">
        <f> hyperlink(vlookup(lower(N115),'File Links'!A:B, 2, FALSE), SUBSTITUTE(lower(N115), "/", "--") &amp;  ".pdf")</f>
        <v>10.1017--s0272263114000126.pdf</v>
      </c>
      <c r="Q115" s="52" t="str">
        <f t="array" ref="Q115"> if(iserror(MATCH(V115, 'File Links'!C:C, 0)), "N/A", HYPERLINK(INDEX('File Links'!B:B, MATCH(P115, 'File Links'!C:C, 0))))</f>
        <v>https://drive.google.com/file/d/1rAL0rmM0jbf9S7uX5DiL77r3bNeTGrOY/view?usp=drivesdk</v>
      </c>
      <c r="R115" s="109" t="s">
        <v>760</v>
      </c>
      <c r="S115" s="109" t="s">
        <v>761</v>
      </c>
      <c r="T115" s="110"/>
      <c r="U115" s="109">
        <v>1.0</v>
      </c>
      <c r="V115" s="109" t="str">
        <f> hyperlink(vlookup(lower(S115),'File Links'!E:F, 2, FALSE), SUBSTITUTE(lower(S115), "/", "--") &amp;  ".pdf")</f>
        <v>10.1017--s027226312400010x.pdf</v>
      </c>
      <c r="W115" s="109" t="s">
        <v>320</v>
      </c>
      <c r="X115" s="54" t="str">
        <f t="array" ref="X115"> if(iserror(MATCH(V115, 'File Links'!C:C, 0)), "N/A", HYPERLINK(INDEX('File Links'!B:B, MATCH(V115, 'File Links'!C:C, 0))))</f>
        <v>https://drive.google.com/file/d/1gKS9Z0txNmobZApdh403VlFeWnSEs1mA/view?usp=drivesdk</v>
      </c>
      <c r="Y115" s="109"/>
      <c r="Z115" s="362" t="s">
        <v>295</v>
      </c>
      <c r="AA115" s="109" t="s">
        <v>762</v>
      </c>
      <c r="AB115" s="363" t="s">
        <v>763</v>
      </c>
      <c r="AC115" s="109" t="s">
        <v>764</v>
      </c>
      <c r="AD115" s="109" t="s">
        <v>765</v>
      </c>
      <c r="AE115" s="110"/>
      <c r="AF115" s="109">
        <v>97.0</v>
      </c>
      <c r="AG115" s="109" t="s">
        <v>766</v>
      </c>
      <c r="AH115" s="364" t="s">
        <v>173</v>
      </c>
      <c r="AI115" s="364" t="s">
        <v>767</v>
      </c>
      <c r="AJ115" s="364">
        <v>0.001</v>
      </c>
      <c r="AK115" s="364" t="s">
        <v>135</v>
      </c>
      <c r="AL115" s="364" t="s">
        <v>136</v>
      </c>
      <c r="AM115" s="365"/>
      <c r="AN115" s="322" t="s">
        <v>138</v>
      </c>
      <c r="AO115" s="364">
        <v>119.0</v>
      </c>
      <c r="AP115" s="364">
        <v>0.74</v>
      </c>
      <c r="AQ115" s="364" t="s">
        <v>173</v>
      </c>
      <c r="AR115" s="148">
        <v>6.0</v>
      </c>
      <c r="AS115" s="148">
        <v>0.05</v>
      </c>
      <c r="AT115" s="109" t="s">
        <v>135</v>
      </c>
      <c r="AU115" s="109" t="s">
        <v>186</v>
      </c>
      <c r="AV115" s="71"/>
      <c r="AW115" s="71"/>
      <c r="AX115" s="147" t="s">
        <v>273</v>
      </c>
      <c r="AY115" s="61" t="str">
        <f>IFERROR(__xludf.DUMMYFUNCTION("vlookup(BB115,importrange(""https://docs.google.com/spreadsheets/d/1d2vevQ_7D_v35q4wCQ4RpQ_IPoTwEMB9Yp6ymwlPqew/edit?gid=984458430#gid=984458430"", ""'replication success'!A:K""), 11, FAlSE)"),"#N/A")</f>
        <v>#N/A</v>
      </c>
      <c r="AZ115" s="61" t="str">
        <f>IFERROR(__xludf.DUMMYFUNCTION("vlookup(BB115,importrange(""https://docs.google.com/spreadsheets/d/1d2vevQ_7D_v35q4wCQ4RpQ_IPoTwEMB9Yp6ymwlPqew/edit?gid=984458430#gid=984458430"", ""'replication success'!A:M""), 12, FAlSE)"),"#N/A")</f>
        <v>#N/A</v>
      </c>
      <c r="BA115" s="61" t="str">
        <f>IFERROR(__xludf.DUMMYFUNCTION("vlookup(BB115,importrange(""https://docs.google.com/spreadsheets/d/1d2vevQ_7D_v35q4wCQ4RpQ_IPoTwEMB9Yp6ymwlPqew/edit?gid=984458430#gid=984458430"", ""'replication success'!A:M""), 13, FAlSE)"),"#N/A")</f>
        <v>#N/A</v>
      </c>
      <c r="BB115" s="61" t="str">
        <f>IFERROR(__xludf.DUMMYFUNCTION("REGEXREPLACE(G115, ""_[a-z]{1,2}$"", """")"),"additional_studies18")</f>
        <v>additional_studies18</v>
      </c>
      <c r="BC115" s="45"/>
    </row>
    <row r="116" ht="20.25" customHeight="1">
      <c r="A116" s="44">
        <v>116.0</v>
      </c>
      <c r="B116" s="109" t="s">
        <v>590</v>
      </c>
      <c r="C116" s="109" t="s">
        <v>115</v>
      </c>
      <c r="D116" s="116" t="s">
        <v>753</v>
      </c>
      <c r="E116" s="110"/>
      <c r="F116" s="149" t="s">
        <v>754</v>
      </c>
      <c r="G116" s="109" t="s">
        <v>755</v>
      </c>
      <c r="H116" s="109" t="s">
        <v>753</v>
      </c>
      <c r="I116" s="144">
        <v>45427.0</v>
      </c>
      <c r="J116" s="144">
        <v>45663.0</v>
      </c>
      <c r="K116" s="109" t="s">
        <v>756</v>
      </c>
      <c r="L116" s="361" t="s">
        <v>757</v>
      </c>
      <c r="M116" s="109" t="s">
        <v>758</v>
      </c>
      <c r="N116" s="109" t="s">
        <v>759</v>
      </c>
      <c r="O116" s="109">
        <v>1.0</v>
      </c>
      <c r="P116" s="146" t="str">
        <f> hyperlink(vlookup(lower(N116),'File Links'!A:B, 2, FALSE), SUBSTITUTE(lower(N116), "/", "--") &amp;  ".pdf")</f>
        <v>10.1017--s0272263114000126.pdf</v>
      </c>
      <c r="Q116" s="52" t="str">
        <f t="array" ref="Q116"> if(iserror(MATCH(V116, 'File Links'!C:C, 0)), "N/A", HYPERLINK(INDEX('File Links'!B:B, MATCH(P116, 'File Links'!C:C, 0))))</f>
        <v>https://drive.google.com/file/d/1rAL0rmM0jbf9S7uX5DiL77r3bNeTGrOY/view?usp=drivesdk</v>
      </c>
      <c r="R116" s="109" t="s">
        <v>760</v>
      </c>
      <c r="S116" s="109" t="s">
        <v>761</v>
      </c>
      <c r="T116" s="110"/>
      <c r="U116" s="109">
        <v>1.0</v>
      </c>
      <c r="V116" s="109" t="str">
        <f> hyperlink(vlookup(lower(S116),'File Links'!E:F, 2, FALSE), SUBSTITUTE(lower(S116), "/", "--") &amp;  ".pdf")</f>
        <v>10.1017--s027226312400010x.pdf</v>
      </c>
      <c r="W116" s="109" t="s">
        <v>320</v>
      </c>
      <c r="X116" s="54" t="str">
        <f t="array" ref="X116"> if(iserror(MATCH(V116, 'File Links'!C:C, 0)), "N/A", HYPERLINK(INDEX('File Links'!B:B, MATCH(V116, 'File Links'!C:C, 0))))</f>
        <v>https://drive.google.com/file/d/1gKS9Z0txNmobZApdh403VlFeWnSEs1mA/view?usp=drivesdk</v>
      </c>
      <c r="Y116" s="109"/>
      <c r="Z116" s="362" t="s">
        <v>295</v>
      </c>
      <c r="AA116" s="109" t="s">
        <v>762</v>
      </c>
      <c r="AB116" s="363" t="s">
        <v>763</v>
      </c>
      <c r="AC116" s="109" t="s">
        <v>764</v>
      </c>
      <c r="AD116" s="109" t="s">
        <v>765</v>
      </c>
      <c r="AE116" s="110"/>
      <c r="AF116" s="109">
        <v>97.0</v>
      </c>
      <c r="AG116" s="109" t="s">
        <v>766</v>
      </c>
      <c r="AH116" s="364" t="s">
        <v>173</v>
      </c>
      <c r="AI116" s="364" t="s">
        <v>767</v>
      </c>
      <c r="AJ116" s="364">
        <v>0.001</v>
      </c>
      <c r="AK116" s="364" t="s">
        <v>135</v>
      </c>
      <c r="AL116" s="364" t="s">
        <v>136</v>
      </c>
      <c r="AM116" s="365"/>
      <c r="AN116" s="322" t="s">
        <v>138</v>
      </c>
      <c r="AO116" s="364">
        <v>119.0</v>
      </c>
      <c r="AP116" s="364">
        <v>-0.37</v>
      </c>
      <c r="AQ116" s="364" t="s">
        <v>173</v>
      </c>
      <c r="AR116" s="148">
        <v>6.0</v>
      </c>
      <c r="AS116" s="148">
        <v>0.05</v>
      </c>
      <c r="AT116" s="109" t="s">
        <v>135</v>
      </c>
      <c r="AU116" s="109" t="s">
        <v>186</v>
      </c>
      <c r="AV116" s="71"/>
      <c r="AW116" s="71"/>
      <c r="AX116" s="147" t="s">
        <v>273</v>
      </c>
      <c r="AY116" s="61" t="str">
        <f>IFERROR(__xludf.DUMMYFUNCTION("vlookup(BB116,importrange(""https://docs.google.com/spreadsheets/d/1d2vevQ_7D_v35q4wCQ4RpQ_IPoTwEMB9Yp6ymwlPqew/edit?gid=984458430#gid=984458430"", ""'replication success'!A:K""), 11, FAlSE)"),"#N/A")</f>
        <v>#N/A</v>
      </c>
      <c r="AZ116" s="61" t="str">
        <f>IFERROR(__xludf.DUMMYFUNCTION("vlookup(BB116,importrange(""https://docs.google.com/spreadsheets/d/1d2vevQ_7D_v35q4wCQ4RpQ_IPoTwEMB9Yp6ymwlPqew/edit?gid=984458430#gid=984458430"", ""'replication success'!A:M""), 12, FAlSE)"),"#N/A")</f>
        <v>#N/A</v>
      </c>
      <c r="BA116" s="61" t="str">
        <f>IFERROR(__xludf.DUMMYFUNCTION("vlookup(BB116,importrange(""https://docs.google.com/spreadsheets/d/1d2vevQ_7D_v35q4wCQ4RpQ_IPoTwEMB9Yp6ymwlPqew/edit?gid=984458430#gid=984458430"", ""'replication success'!A:M""), 13, FAlSE)"),"#N/A")</f>
        <v>#N/A</v>
      </c>
      <c r="BB116" s="61" t="str">
        <f>IFERROR(__xludf.DUMMYFUNCTION("REGEXREPLACE(G116, ""_[a-z]{1,2}$"", """")"),"additional_studies18")</f>
        <v>additional_studies18</v>
      </c>
      <c r="BC116" s="45"/>
      <c r="BD116" s="226"/>
    </row>
    <row r="117" ht="20.25" customHeight="1">
      <c r="A117" s="44">
        <v>117.0</v>
      </c>
      <c r="B117" s="109" t="s">
        <v>590</v>
      </c>
      <c r="C117" s="109" t="s">
        <v>115</v>
      </c>
      <c r="D117" s="116" t="s">
        <v>753</v>
      </c>
      <c r="E117" s="110"/>
      <c r="F117" s="116" t="s">
        <v>754</v>
      </c>
      <c r="G117" s="109" t="s">
        <v>755</v>
      </c>
      <c r="H117" s="109" t="s">
        <v>753</v>
      </c>
      <c r="I117" s="144">
        <v>45427.0</v>
      </c>
      <c r="J117" s="144">
        <v>45663.0</v>
      </c>
      <c r="K117" s="109" t="s">
        <v>756</v>
      </c>
      <c r="L117" s="361" t="s">
        <v>757</v>
      </c>
      <c r="M117" s="109" t="s">
        <v>758</v>
      </c>
      <c r="N117" s="109" t="s">
        <v>759</v>
      </c>
      <c r="O117" s="109">
        <v>1.0</v>
      </c>
      <c r="P117" s="146" t="str">
        <f> hyperlink(vlookup(lower(N117),'File Links'!A:B, 2, FALSE), SUBSTITUTE(lower(N117), "/", "--") &amp;  ".pdf")</f>
        <v>10.1017--s0272263114000126.pdf</v>
      </c>
      <c r="Q117" s="52" t="str">
        <f t="array" ref="Q117"> if(iserror(MATCH(V117, 'File Links'!C:C, 0)), "N/A", HYPERLINK(INDEX('File Links'!B:B, MATCH(P117, 'File Links'!C:C, 0))))</f>
        <v>https://drive.google.com/file/d/1rAL0rmM0jbf9S7uX5DiL77r3bNeTGrOY/view?usp=drivesdk</v>
      </c>
      <c r="R117" s="109" t="s">
        <v>760</v>
      </c>
      <c r="S117" s="109" t="s">
        <v>761</v>
      </c>
      <c r="T117" s="110"/>
      <c r="U117" s="109">
        <v>1.0</v>
      </c>
      <c r="V117" s="109" t="str">
        <f> hyperlink(vlookup(lower(S117),'File Links'!E:F, 2, FALSE), SUBSTITUTE(lower(S117), "/", "--") &amp;  ".pdf")</f>
        <v>10.1017--s027226312400010x.pdf</v>
      </c>
      <c r="W117" s="109" t="s">
        <v>320</v>
      </c>
      <c r="X117" s="54" t="str">
        <f t="array" ref="X117"> if(iserror(MATCH(V117, 'File Links'!C:C, 0)), "N/A", HYPERLINK(INDEX('File Links'!B:B, MATCH(V117, 'File Links'!C:C, 0))))</f>
        <v>https://drive.google.com/file/d/1gKS9Z0txNmobZApdh403VlFeWnSEs1mA/view?usp=drivesdk</v>
      </c>
      <c r="Y117" s="109"/>
      <c r="Z117" s="362" t="s">
        <v>295</v>
      </c>
      <c r="AA117" s="109" t="s">
        <v>762</v>
      </c>
      <c r="AB117" s="363" t="s">
        <v>763</v>
      </c>
      <c r="AC117" s="109" t="s">
        <v>764</v>
      </c>
      <c r="AD117" s="109" t="s">
        <v>768</v>
      </c>
      <c r="AE117" s="110"/>
      <c r="AF117" s="109">
        <v>97.0</v>
      </c>
      <c r="AG117" s="109" t="s">
        <v>766</v>
      </c>
      <c r="AH117" s="364" t="s">
        <v>173</v>
      </c>
      <c r="AI117" s="364" t="s">
        <v>767</v>
      </c>
      <c r="AJ117" s="364">
        <v>0.001</v>
      </c>
      <c r="AK117" s="364" t="s">
        <v>135</v>
      </c>
      <c r="AL117" s="364" t="s">
        <v>136</v>
      </c>
      <c r="AM117" s="365"/>
      <c r="AN117" s="322" t="s">
        <v>138</v>
      </c>
      <c r="AO117" s="364">
        <v>119.0</v>
      </c>
      <c r="AP117" s="364">
        <v>0.29</v>
      </c>
      <c r="AQ117" s="364" t="s">
        <v>173</v>
      </c>
      <c r="AR117" s="148">
        <v>6.0</v>
      </c>
      <c r="AS117" s="148">
        <v>0.01</v>
      </c>
      <c r="AT117" s="109" t="s">
        <v>135</v>
      </c>
      <c r="AU117" s="109" t="s">
        <v>186</v>
      </c>
      <c r="AV117" s="71"/>
      <c r="AW117" s="71"/>
      <c r="AX117" s="147" t="s">
        <v>273</v>
      </c>
      <c r="AY117" s="61" t="str">
        <f>IFERROR(__xludf.DUMMYFUNCTION("vlookup(BB117,importrange(""https://docs.google.com/spreadsheets/d/1d2vevQ_7D_v35q4wCQ4RpQ_IPoTwEMB9Yp6ymwlPqew/edit?gid=984458430#gid=984458430"", ""'replication success'!A:K""), 11, FAlSE)"),"#N/A")</f>
        <v>#N/A</v>
      </c>
      <c r="AZ117" s="61" t="str">
        <f>IFERROR(__xludf.DUMMYFUNCTION("vlookup(BB117,importrange(""https://docs.google.com/spreadsheets/d/1d2vevQ_7D_v35q4wCQ4RpQ_IPoTwEMB9Yp6ymwlPqew/edit?gid=984458430#gid=984458430"", ""'replication success'!A:M""), 12, FAlSE)"),"#N/A")</f>
        <v>#N/A</v>
      </c>
      <c r="BA117" s="61" t="str">
        <f>IFERROR(__xludf.DUMMYFUNCTION("vlookup(BB117,importrange(""https://docs.google.com/spreadsheets/d/1d2vevQ_7D_v35q4wCQ4RpQ_IPoTwEMB9Yp6ymwlPqew/edit?gid=984458430#gid=984458430"", ""'replication success'!A:M""), 13, FAlSE)"),"#N/A")</f>
        <v>#N/A</v>
      </c>
      <c r="BB117" s="61" t="str">
        <f>IFERROR(__xludf.DUMMYFUNCTION("REGEXREPLACE(G117, ""_[a-z]{1,2}$"", """")"),"additional_studies18")</f>
        <v>additional_studies18</v>
      </c>
      <c r="BC117" s="45"/>
      <c r="BD117" s="226"/>
    </row>
    <row r="118" ht="20.25" customHeight="1">
      <c r="A118" s="44">
        <v>118.0</v>
      </c>
      <c r="B118" s="109" t="s">
        <v>590</v>
      </c>
      <c r="C118" s="109" t="s">
        <v>115</v>
      </c>
      <c r="D118" s="116" t="s">
        <v>753</v>
      </c>
      <c r="E118" s="110"/>
      <c r="F118" s="116" t="s">
        <v>754</v>
      </c>
      <c r="G118" s="109" t="s">
        <v>755</v>
      </c>
      <c r="H118" s="109" t="s">
        <v>753</v>
      </c>
      <c r="I118" s="144">
        <v>45427.0</v>
      </c>
      <c r="J118" s="144">
        <v>45663.0</v>
      </c>
      <c r="K118" s="109" t="s">
        <v>756</v>
      </c>
      <c r="L118" s="361" t="s">
        <v>757</v>
      </c>
      <c r="M118" s="109" t="s">
        <v>758</v>
      </c>
      <c r="N118" s="109" t="s">
        <v>759</v>
      </c>
      <c r="O118" s="109">
        <v>1.0</v>
      </c>
      <c r="P118" s="146" t="str">
        <f> hyperlink(vlookup(lower(N118),'File Links'!A:B, 2, FALSE), SUBSTITUTE(lower(N118), "/", "--") &amp;  ".pdf")</f>
        <v>10.1017--s0272263114000126.pdf</v>
      </c>
      <c r="Q118" s="52" t="str">
        <f t="array" ref="Q118"> if(iserror(MATCH(V118, 'File Links'!C:C, 0)), "N/A", HYPERLINK(INDEX('File Links'!B:B, MATCH(P118, 'File Links'!C:C, 0))))</f>
        <v>https://drive.google.com/file/d/1rAL0rmM0jbf9S7uX5DiL77r3bNeTGrOY/view?usp=drivesdk</v>
      </c>
      <c r="R118" s="109" t="s">
        <v>760</v>
      </c>
      <c r="S118" s="109" t="s">
        <v>761</v>
      </c>
      <c r="T118" s="110"/>
      <c r="U118" s="109">
        <v>1.0</v>
      </c>
      <c r="V118" s="109" t="str">
        <f> hyperlink(vlookup(lower(S118),'File Links'!E:F, 2, FALSE), SUBSTITUTE(lower(S118), "/", "--") &amp;  ".pdf")</f>
        <v>10.1017--s027226312400010x.pdf</v>
      </c>
      <c r="W118" s="109" t="s">
        <v>320</v>
      </c>
      <c r="X118" s="54" t="str">
        <f t="array" ref="X118"> if(iserror(MATCH(V118, 'File Links'!C:C, 0)), "N/A", HYPERLINK(INDEX('File Links'!B:B, MATCH(V118, 'File Links'!C:C, 0))))</f>
        <v>https://drive.google.com/file/d/1gKS9Z0txNmobZApdh403VlFeWnSEs1mA/view?usp=drivesdk</v>
      </c>
      <c r="Y118" s="109"/>
      <c r="Z118" s="362" t="s">
        <v>295</v>
      </c>
      <c r="AA118" s="109" t="s">
        <v>762</v>
      </c>
      <c r="AB118" s="363" t="s">
        <v>763</v>
      </c>
      <c r="AC118" s="109" t="s">
        <v>764</v>
      </c>
      <c r="AD118" s="109" t="s">
        <v>769</v>
      </c>
      <c r="AE118" s="110"/>
      <c r="AF118" s="109">
        <v>97.0</v>
      </c>
      <c r="AG118" s="109" t="s">
        <v>766</v>
      </c>
      <c r="AH118" s="364" t="s">
        <v>173</v>
      </c>
      <c r="AI118" s="364" t="s">
        <v>767</v>
      </c>
      <c r="AJ118" s="364">
        <v>0.001</v>
      </c>
      <c r="AK118" s="364" t="s">
        <v>135</v>
      </c>
      <c r="AL118" s="364" t="s">
        <v>136</v>
      </c>
      <c r="AM118" s="365"/>
      <c r="AN118" s="322" t="s">
        <v>138</v>
      </c>
      <c r="AO118" s="364">
        <v>119.0</v>
      </c>
      <c r="AP118" s="364">
        <v>-0.24</v>
      </c>
      <c r="AQ118" s="364" t="s">
        <v>173</v>
      </c>
      <c r="AR118" s="148">
        <v>6.0</v>
      </c>
      <c r="AS118" s="148">
        <v>0.05</v>
      </c>
      <c r="AT118" s="109" t="s">
        <v>135</v>
      </c>
      <c r="AU118" s="109" t="s">
        <v>186</v>
      </c>
      <c r="AV118" s="71"/>
      <c r="AW118" s="71"/>
      <c r="AX118" s="147" t="s">
        <v>273</v>
      </c>
      <c r="AY118" s="61" t="str">
        <f>IFERROR(__xludf.DUMMYFUNCTION("vlookup(BB118,importrange(""https://docs.google.com/spreadsheets/d/1d2vevQ_7D_v35q4wCQ4RpQ_IPoTwEMB9Yp6ymwlPqew/edit?gid=984458430#gid=984458430"", ""'replication success'!A:K""), 11, FAlSE)"),"#N/A")</f>
        <v>#N/A</v>
      </c>
      <c r="AZ118" s="61" t="str">
        <f>IFERROR(__xludf.DUMMYFUNCTION("vlookup(BB118,importrange(""https://docs.google.com/spreadsheets/d/1d2vevQ_7D_v35q4wCQ4RpQ_IPoTwEMB9Yp6ymwlPqew/edit?gid=984458430#gid=984458430"", ""'replication success'!A:M""), 12, FAlSE)"),"#N/A")</f>
        <v>#N/A</v>
      </c>
      <c r="BA118" s="61" t="str">
        <f>IFERROR(__xludf.DUMMYFUNCTION("vlookup(BB118,importrange(""https://docs.google.com/spreadsheets/d/1d2vevQ_7D_v35q4wCQ4RpQ_IPoTwEMB9Yp6ymwlPqew/edit?gid=984458430#gid=984458430"", ""'replication success'!A:M""), 13, FAlSE)"),"#N/A")</f>
        <v>#N/A</v>
      </c>
      <c r="BB118" s="61" t="str">
        <f>IFERROR(__xludf.DUMMYFUNCTION("REGEXREPLACE(G118, ""_[a-z]{1,2}$"", """")"),"additional_studies18")</f>
        <v>additional_studies18</v>
      </c>
      <c r="BC118" s="45"/>
      <c r="BD118" s="226"/>
    </row>
    <row r="119" ht="20.25" customHeight="1">
      <c r="A119" s="44">
        <v>119.0</v>
      </c>
      <c r="B119" s="109" t="s">
        <v>590</v>
      </c>
      <c r="C119" s="109" t="s">
        <v>115</v>
      </c>
      <c r="D119" s="109" t="s">
        <v>232</v>
      </c>
      <c r="E119" s="110"/>
      <c r="F119" s="120" t="s">
        <v>754</v>
      </c>
      <c r="G119" s="121" t="s">
        <v>755</v>
      </c>
      <c r="H119" s="121" t="s">
        <v>235</v>
      </c>
      <c r="I119" s="113">
        <v>45626.0</v>
      </c>
      <c r="J119" s="144">
        <v>45663.0</v>
      </c>
      <c r="K119" s="110"/>
      <c r="L119" s="361" t="s">
        <v>757</v>
      </c>
      <c r="M119" s="121" t="s">
        <v>758</v>
      </c>
      <c r="N119" s="121" t="s">
        <v>759</v>
      </c>
      <c r="O119" s="366">
        <v>1.0</v>
      </c>
      <c r="P119" s="367" t="str">
        <f> hyperlink(vlookup(lower(N119),'File Links'!E:F, 2, FALSE), SUBSTITUTE(lower(N119), "/", "--") &amp;  ".pdf")</f>
        <v>10.1017--s0272263114000126.pdf</v>
      </c>
      <c r="Q119" s="52" t="str">
        <f t="array" ref="Q119"> if(iserror(MATCH(V119, 'File Links'!C:C, 0)), "N/A", HYPERLINK(INDEX('File Links'!B:B, MATCH(P119, 'File Links'!C:C, 0))))</f>
        <v>https://drive.google.com/file/d/1rAL0rmM0jbf9S7uX5DiL77r3bNeTGrOY/view?usp=drivesdk</v>
      </c>
      <c r="R119" s="121" t="s">
        <v>760</v>
      </c>
      <c r="S119" s="121" t="s">
        <v>761</v>
      </c>
      <c r="T119" s="114"/>
      <c r="U119" s="366">
        <v>1.0</v>
      </c>
      <c r="V119" s="66" t="str">
        <f> hyperlink(vlookup(lower(S119),'File Links'!E:F, 2, FALSE), SUBSTITUTE(lower(S119), "/", "--") &amp;  ".pdf")</f>
        <v>10.1017--s027226312400010x.pdf</v>
      </c>
      <c r="W119" s="109" t="s">
        <v>320</v>
      </c>
      <c r="X119" s="54" t="str">
        <f t="array" ref="X119"> if(iserror(MATCH(V119, 'File Links'!C:C, 0)), "N/A", HYPERLINK(INDEX('File Links'!B:B, MATCH(V119, 'File Links'!C:C, 0))))</f>
        <v>https://drive.google.com/file/d/1gKS9Z0txNmobZApdh403VlFeWnSEs1mA/view?usp=drivesdk</v>
      </c>
      <c r="Y119" s="114"/>
      <c r="Z119" s="362" t="s">
        <v>295</v>
      </c>
      <c r="AA119" s="121" t="s">
        <v>770</v>
      </c>
      <c r="AB119" s="116" t="s">
        <v>763</v>
      </c>
      <c r="AC119" s="121" t="s">
        <v>771</v>
      </c>
      <c r="AD119" s="114"/>
      <c r="AE119" s="114"/>
      <c r="AF119" s="366">
        <v>97.0</v>
      </c>
      <c r="AG119" s="110"/>
      <c r="AH119" s="44"/>
      <c r="AI119" s="44"/>
      <c r="AJ119" s="148"/>
      <c r="AK119" s="44"/>
      <c r="AL119" s="44"/>
      <c r="AM119" s="365"/>
      <c r="AN119" s="322" t="s">
        <v>138</v>
      </c>
      <c r="AO119" s="44"/>
      <c r="AP119" s="44"/>
      <c r="AQ119" s="44"/>
      <c r="AR119" s="44"/>
      <c r="AS119" s="44"/>
      <c r="AT119" s="110"/>
      <c r="AU119" s="110"/>
      <c r="AV119" s="71"/>
      <c r="AW119" s="71"/>
      <c r="AX119" s="111"/>
      <c r="AY119" s="61" t="str">
        <f>IFERROR(__xludf.DUMMYFUNCTION("vlookup(BB119,importrange(""https://docs.google.com/spreadsheets/d/1d2vevQ_7D_v35q4wCQ4RpQ_IPoTwEMB9Yp6ymwlPqew/edit?gid=984458430#gid=984458430"", ""'replication success'!A:K""), 11, FAlSE)"),"#N/A")</f>
        <v>#N/A</v>
      </c>
      <c r="AZ119" s="61" t="str">
        <f>IFERROR(__xludf.DUMMYFUNCTION("vlookup(BB119,importrange(""https://docs.google.com/spreadsheets/d/1d2vevQ_7D_v35q4wCQ4RpQ_IPoTwEMB9Yp6ymwlPqew/edit?gid=984458430#gid=984458430"", ""'replication success'!A:M""), 12, FAlSE)"),"#N/A")</f>
        <v>#N/A</v>
      </c>
      <c r="BA119" s="61" t="str">
        <f>IFERROR(__xludf.DUMMYFUNCTION("vlookup(BB119,importrange(""https://docs.google.com/spreadsheets/d/1d2vevQ_7D_v35q4wCQ4RpQ_IPoTwEMB9Yp6ymwlPqew/edit?gid=984458430#gid=984458430"", ""'replication success'!A:M""), 13, FAlSE)"),"#N/A")</f>
        <v>#N/A</v>
      </c>
      <c r="BB119" s="61" t="str">
        <f>IFERROR(__xludf.DUMMYFUNCTION("REGEXREPLACE(G119, ""_[a-z]{1,2}$"", """")"),"additional_studies18")</f>
        <v>additional_studies18</v>
      </c>
      <c r="BC119" s="45"/>
      <c r="BD119" s="226"/>
    </row>
    <row r="120" ht="20.25" customHeight="1">
      <c r="A120" s="44">
        <v>120.0</v>
      </c>
      <c r="B120" s="368" t="s">
        <v>114</v>
      </c>
      <c r="C120" s="368" t="s">
        <v>115</v>
      </c>
      <c r="D120" s="188" t="s">
        <v>442</v>
      </c>
      <c r="E120" s="189"/>
      <c r="F120" s="369" t="s">
        <v>772</v>
      </c>
      <c r="G120" s="192" t="s">
        <v>773</v>
      </c>
      <c r="H120" s="192" t="s">
        <v>445</v>
      </c>
      <c r="I120" s="370">
        <v>45634.0</v>
      </c>
      <c r="J120" s="193"/>
      <c r="K120" s="192" t="s">
        <v>774</v>
      </c>
      <c r="L120" s="371" t="s">
        <v>775</v>
      </c>
      <c r="M120" s="192" t="s">
        <v>776</v>
      </c>
      <c r="N120" s="192" t="s">
        <v>777</v>
      </c>
      <c r="O120" s="193"/>
      <c r="P120" s="372" t="s">
        <v>778</v>
      </c>
      <c r="Q120" s="52" t="str">
        <f t="array" ref="Q120"> if(iserror(MATCH(V120, 'File Links'!C:C, 0)), "N/A", HYPERLINK(INDEX('File Links'!B:B, MATCH(P120, 'File Links'!C:C, 0))))</f>
        <v>https://drive.google.com/file/d/1S1BDaMkHx3KW3osHCgZU9COckw9P0yzi/view?usp=drivesdk</v>
      </c>
      <c r="R120" s="373" t="s">
        <v>779</v>
      </c>
      <c r="S120" s="373" t="s">
        <v>780</v>
      </c>
      <c r="T120" s="193"/>
      <c r="U120" s="195"/>
      <c r="V120" s="192" t="s">
        <v>781</v>
      </c>
      <c r="W120" s="192" t="s">
        <v>164</v>
      </c>
      <c r="X120" s="54" t="str">
        <f t="array" ref="X120"> if(iserror(MATCH(V120, 'File Links'!C:C, 0)), "N/A", HYPERLINK(INDEX('File Links'!B:B, MATCH(V120, 'File Links'!C:C, 0))))</f>
        <v>https://drive.google.com/file/d/1VSCtSsv8HPQ12k-JKTjSEPJB-QhdOcwt/view?usp=drivesdk</v>
      </c>
      <c r="Y120" s="374" t="s">
        <v>782</v>
      </c>
      <c r="Z120" s="193"/>
      <c r="AA120" s="193"/>
      <c r="AB120" s="193"/>
      <c r="AC120" s="193"/>
      <c r="AD120" s="193"/>
      <c r="AE120" s="193"/>
      <c r="AF120" s="193"/>
      <c r="AG120" s="193"/>
      <c r="AH120" s="195"/>
      <c r="AI120" s="193"/>
      <c r="AJ120" s="193"/>
      <c r="AK120" s="190"/>
      <c r="AL120" s="193"/>
      <c r="AM120" s="193"/>
      <c r="AN120" s="322" t="s">
        <v>138</v>
      </c>
      <c r="AO120" s="193"/>
      <c r="AP120" s="193"/>
      <c r="AQ120" s="193"/>
      <c r="AR120" s="193"/>
      <c r="AS120" s="193"/>
      <c r="AT120" s="190"/>
      <c r="AU120" s="190"/>
      <c r="AV120" s="190"/>
      <c r="AW120" s="190"/>
      <c r="AX120" s="369" t="s">
        <v>143</v>
      </c>
      <c r="AY120" s="61" t="str">
        <f>IFERROR(__xludf.DUMMYFUNCTION("vlookup(BB120,importrange(""https://docs.google.com/spreadsheets/d/1d2vevQ_7D_v35q4wCQ4RpQ_IPoTwEMB9Yp6ymwlPqew/edit?gid=984458430#gid=984458430"", ""'replication success'!A:K""), 11, FAlSE)"),"#N/A")</f>
        <v>#N/A</v>
      </c>
      <c r="AZ120" s="61" t="str">
        <f>IFERROR(__xludf.DUMMYFUNCTION("vlookup(BB120,importrange(""https://docs.google.com/spreadsheets/d/1d2vevQ_7D_v35q4wCQ4RpQ_IPoTwEMB9Yp6ymwlPqew/edit?gid=984458430#gid=984458430"", ""'replication success'!A:M""), 12, FAlSE)"),"#N/A")</f>
        <v>#N/A</v>
      </c>
      <c r="BA120" s="61" t="str">
        <f>IFERROR(__xludf.DUMMYFUNCTION("vlookup(BB120,importrange(""https://docs.google.com/spreadsheets/d/1d2vevQ_7D_v35q4wCQ4RpQ_IPoTwEMB9Yp6ymwlPqew/edit?gid=984458430#gid=984458430"", ""'replication success'!A:M""), 13, FAlSE)"),"#N/A")</f>
        <v>#N/A</v>
      </c>
      <c r="BB120" s="61" t="str">
        <f>IFERROR(__xludf.DUMMYFUNCTION("REGEXREPLACE(G120, ""_[a-z]{1,2}$"", """")"),"additional_studies19")</f>
        <v>additional_studies19</v>
      </c>
      <c r="BC120" s="129" t="s">
        <v>775</v>
      </c>
      <c r="BD120" s="226"/>
    </row>
    <row r="121" ht="20.25" customHeight="1">
      <c r="A121" s="44">
        <v>121.0</v>
      </c>
      <c r="B121" s="368" t="s">
        <v>114</v>
      </c>
      <c r="C121" s="188" t="s">
        <v>115</v>
      </c>
      <c r="D121" s="188" t="s">
        <v>346</v>
      </c>
      <c r="E121" s="189"/>
      <c r="F121" s="190" t="s">
        <v>772</v>
      </c>
      <c r="G121" s="58" t="s">
        <v>773</v>
      </c>
      <c r="H121" s="58" t="s">
        <v>349</v>
      </c>
      <c r="I121" s="191">
        <v>45427.0</v>
      </c>
      <c r="J121" s="191">
        <v>45639.0</v>
      </c>
      <c r="K121" s="192" t="s">
        <v>783</v>
      </c>
      <c r="L121" s="371" t="s">
        <v>775</v>
      </c>
      <c r="M121" s="58" t="s">
        <v>776</v>
      </c>
      <c r="N121" s="192" t="s">
        <v>777</v>
      </c>
      <c r="O121" s="193"/>
      <c r="P121" s="194" t="s">
        <v>778</v>
      </c>
      <c r="Q121" s="108" t="str">
        <f t="array" ref="Q121"> if(iserror(MATCH(V121, 'File Links'!C:C, 0)), "N/A", HYPERLINK(INDEX('File Links'!B:B, MATCH(P121, 'File Links'!C:C, 0))))</f>
        <v>N/A</v>
      </c>
      <c r="R121" s="375" t="s">
        <v>784</v>
      </c>
      <c r="S121" s="375" t="s">
        <v>780</v>
      </c>
      <c r="T121" s="193"/>
      <c r="U121" s="195"/>
      <c r="V121" s="58" t="s">
        <v>577</v>
      </c>
      <c r="W121" s="58" t="s">
        <v>785</v>
      </c>
      <c r="X121" s="49" t="str">
        <f t="array" ref="X121"> if(iserror(MATCH(V121, 'File Links'!C:C, 0)), "N/A", HYPERLINK(INDEX('File Links'!B:B, MATCH(V121, 'File Links'!C:C, 0))))</f>
        <v>N/A</v>
      </c>
      <c r="Y121" s="374" t="s">
        <v>782</v>
      </c>
      <c r="Z121" s="58" t="s">
        <v>786</v>
      </c>
      <c r="AA121" s="193"/>
      <c r="AB121" s="192" t="s">
        <v>787</v>
      </c>
      <c r="AC121" s="192" t="s">
        <v>788</v>
      </c>
      <c r="AD121" s="192" t="s">
        <v>789</v>
      </c>
      <c r="AE121" s="193"/>
      <c r="AF121" s="193"/>
      <c r="AG121" s="197">
        <v>-0.48</v>
      </c>
      <c r="AH121" s="194" t="s">
        <v>790</v>
      </c>
      <c r="AI121" s="58" t="s">
        <v>791</v>
      </c>
      <c r="AJ121" s="193"/>
      <c r="AK121" s="190"/>
      <c r="AL121" s="193"/>
      <c r="AM121" s="193"/>
      <c r="AN121" s="58" t="s">
        <v>138</v>
      </c>
      <c r="AO121" s="193"/>
      <c r="AP121" s="197">
        <v>0.12</v>
      </c>
      <c r="AQ121" s="58" t="s">
        <v>790</v>
      </c>
      <c r="AR121" s="58" t="s">
        <v>132</v>
      </c>
      <c r="AS121" s="193"/>
      <c r="AT121" s="190"/>
      <c r="AU121" s="190"/>
      <c r="AV121" s="190"/>
      <c r="AW121" s="190" t="s">
        <v>138</v>
      </c>
      <c r="AX121" s="190" t="s">
        <v>143</v>
      </c>
      <c r="AY121" s="61" t="str">
        <f>IFERROR(__xludf.DUMMYFUNCTION("vlookup(BB121,importrange(""https://docs.google.com/spreadsheets/d/1d2vevQ_7D_v35q4wCQ4RpQ_IPoTwEMB9Yp6ymwlPqew/edit?gid=984458430#gid=984458430"", ""'replication success'!A:K""), 11, FAlSE)"),"#N/A")</f>
        <v>#N/A</v>
      </c>
      <c r="AZ121" s="61" t="str">
        <f>IFERROR(__xludf.DUMMYFUNCTION("vlookup(BB121,importrange(""https://docs.google.com/spreadsheets/d/1d2vevQ_7D_v35q4wCQ4RpQ_IPoTwEMB9Yp6ymwlPqew/edit?gid=984458430#gid=984458430"", ""'replication success'!A:M""), 12, FAlSE)"),"#N/A")</f>
        <v>#N/A</v>
      </c>
      <c r="BA121" s="61" t="str">
        <f>IFERROR(__xludf.DUMMYFUNCTION("vlookup(BB121,importrange(""https://docs.google.com/spreadsheets/d/1d2vevQ_7D_v35q4wCQ4RpQ_IPoTwEMB9Yp6ymwlPqew/edit?gid=984458430#gid=984458430"", ""'replication success'!A:M""), 13, FAlSE)"),"#N/A")</f>
        <v>#N/A</v>
      </c>
      <c r="BB121" s="61" t="str">
        <f>IFERROR(__xludf.DUMMYFUNCTION("REGEXREPLACE(G121, ""_[a-z]{1,2}$"", """")"),"additional_studies19")</f>
        <v>additional_studies19</v>
      </c>
      <c r="BC121" s="129" t="s">
        <v>775</v>
      </c>
      <c r="BD121" s="226"/>
    </row>
    <row r="122" ht="20.25" customHeight="1">
      <c r="A122" s="44">
        <v>122.0</v>
      </c>
      <c r="B122" s="368" t="s">
        <v>114</v>
      </c>
      <c r="C122" s="188" t="s">
        <v>115</v>
      </c>
      <c r="D122" s="188" t="s">
        <v>346</v>
      </c>
      <c r="E122" s="189"/>
      <c r="F122" s="190" t="s">
        <v>772</v>
      </c>
      <c r="G122" s="58" t="s">
        <v>792</v>
      </c>
      <c r="H122" s="58" t="s">
        <v>349</v>
      </c>
      <c r="I122" s="191">
        <v>45427.0</v>
      </c>
      <c r="J122" s="191">
        <v>45639.0</v>
      </c>
      <c r="K122" s="192" t="s">
        <v>783</v>
      </c>
      <c r="L122" s="371" t="s">
        <v>775</v>
      </c>
      <c r="M122" s="58" t="s">
        <v>776</v>
      </c>
      <c r="N122" s="192" t="s">
        <v>777</v>
      </c>
      <c r="O122" s="193"/>
      <c r="P122" s="194" t="s">
        <v>778</v>
      </c>
      <c r="Q122" s="108" t="str">
        <f t="array" ref="Q122"> if(iserror(MATCH(V122, 'File Links'!C:C, 0)), "N/A", HYPERLINK(INDEX('File Links'!B:B, MATCH(P122, 'File Links'!C:C, 0))))</f>
        <v>N/A</v>
      </c>
      <c r="R122" s="375" t="s">
        <v>793</v>
      </c>
      <c r="S122" s="375" t="s">
        <v>780</v>
      </c>
      <c r="T122" s="193"/>
      <c r="U122" s="195"/>
      <c r="V122" s="58" t="s">
        <v>577</v>
      </c>
      <c r="W122" s="58" t="s">
        <v>785</v>
      </c>
      <c r="X122" s="49" t="str">
        <f t="array" ref="X122"> if(iserror(MATCH(V122, 'File Links'!C:C, 0)), "N/A", HYPERLINK(INDEX('File Links'!B:B, MATCH(V122, 'File Links'!C:C, 0))))</f>
        <v>N/A</v>
      </c>
      <c r="Y122" s="374" t="s">
        <v>782</v>
      </c>
      <c r="Z122" s="58" t="s">
        <v>786</v>
      </c>
      <c r="AA122" s="193"/>
      <c r="AB122" s="192" t="s">
        <v>787</v>
      </c>
      <c r="AC122" s="192" t="s">
        <v>794</v>
      </c>
      <c r="AD122" s="192" t="s">
        <v>789</v>
      </c>
      <c r="AE122" s="193"/>
      <c r="AF122" s="193"/>
      <c r="AG122" s="197">
        <v>-0.82</v>
      </c>
      <c r="AH122" s="194" t="s">
        <v>790</v>
      </c>
      <c r="AI122" s="58" t="s">
        <v>791</v>
      </c>
      <c r="AJ122" s="193"/>
      <c r="AK122" s="190"/>
      <c r="AL122" s="193"/>
      <c r="AM122" s="193"/>
      <c r="AN122" s="58" t="s">
        <v>138</v>
      </c>
      <c r="AO122" s="193"/>
      <c r="AP122" s="197">
        <v>0.12</v>
      </c>
      <c r="AQ122" s="58" t="s">
        <v>790</v>
      </c>
      <c r="AR122" s="58" t="s">
        <v>132</v>
      </c>
      <c r="AS122" s="193"/>
      <c r="AT122" s="190"/>
      <c r="AU122" s="190"/>
      <c r="AV122" s="190"/>
      <c r="AW122" s="190" t="s">
        <v>138</v>
      </c>
      <c r="AX122" s="190" t="s">
        <v>143</v>
      </c>
      <c r="AY122" s="61" t="str">
        <f>IFERROR(__xludf.DUMMYFUNCTION("vlookup(BB122,importrange(""https://docs.google.com/spreadsheets/d/1d2vevQ_7D_v35q4wCQ4RpQ_IPoTwEMB9Yp6ymwlPqew/edit?gid=984458430#gid=984458430"", ""'replication success'!A:K""), 11, FAlSE)"),"#N/A")</f>
        <v>#N/A</v>
      </c>
      <c r="AZ122" s="61" t="str">
        <f>IFERROR(__xludf.DUMMYFUNCTION("vlookup(BB122,importrange(""https://docs.google.com/spreadsheets/d/1d2vevQ_7D_v35q4wCQ4RpQ_IPoTwEMB9Yp6ymwlPqew/edit?gid=984458430#gid=984458430"", ""'replication success'!A:M""), 12, FAlSE)"),"#N/A")</f>
        <v>#N/A</v>
      </c>
      <c r="BA122" s="61" t="str">
        <f>IFERROR(__xludf.DUMMYFUNCTION("vlookup(BB122,importrange(""https://docs.google.com/spreadsheets/d/1d2vevQ_7D_v35q4wCQ4RpQ_IPoTwEMB9Yp6ymwlPqew/edit?gid=984458430#gid=984458430"", ""'replication success'!A:M""), 13, FAlSE)"),"#N/A")</f>
        <v>#N/A</v>
      </c>
      <c r="BB122" s="61" t="str">
        <f>IFERROR(__xludf.DUMMYFUNCTION("REGEXREPLACE(G122, ""_[a-z]{1,2}$"", """")"),"additional_studies19")</f>
        <v>additional_studies19</v>
      </c>
      <c r="BC122" s="129" t="s">
        <v>775</v>
      </c>
      <c r="BD122" s="226"/>
    </row>
    <row r="123" ht="20.25" customHeight="1">
      <c r="A123" s="44">
        <v>123.0</v>
      </c>
      <c r="B123" s="368" t="s">
        <v>114</v>
      </c>
      <c r="C123" s="188" t="s">
        <v>115</v>
      </c>
      <c r="D123" s="188" t="s">
        <v>346</v>
      </c>
      <c r="E123" s="189"/>
      <c r="F123" s="190" t="s">
        <v>772</v>
      </c>
      <c r="G123" s="58" t="s">
        <v>795</v>
      </c>
      <c r="H123" s="58" t="s">
        <v>349</v>
      </c>
      <c r="I123" s="191">
        <v>45427.0</v>
      </c>
      <c r="J123" s="191">
        <v>45639.0</v>
      </c>
      <c r="K123" s="192" t="s">
        <v>796</v>
      </c>
      <c r="L123" s="371" t="s">
        <v>775</v>
      </c>
      <c r="M123" s="58" t="s">
        <v>776</v>
      </c>
      <c r="N123" s="192" t="s">
        <v>777</v>
      </c>
      <c r="O123" s="193"/>
      <c r="P123" s="194" t="s">
        <v>778</v>
      </c>
      <c r="Q123" s="108" t="str">
        <f t="array" ref="Q123"> if(iserror(MATCH(V123, 'File Links'!C:C, 0)), "N/A", HYPERLINK(INDEX('File Links'!B:B, MATCH(P123, 'File Links'!C:C, 0))))</f>
        <v>N/A</v>
      </c>
      <c r="R123" s="375" t="s">
        <v>797</v>
      </c>
      <c r="S123" s="375" t="s">
        <v>780</v>
      </c>
      <c r="T123" s="193"/>
      <c r="U123" s="195"/>
      <c r="V123" s="58" t="s">
        <v>577</v>
      </c>
      <c r="W123" s="58" t="s">
        <v>785</v>
      </c>
      <c r="X123" s="49" t="str">
        <f t="array" ref="X123"> if(iserror(MATCH(V123, 'File Links'!C:C, 0)), "N/A", HYPERLINK(INDEX('File Links'!B:B, MATCH(V123, 'File Links'!C:C, 0))))</f>
        <v>N/A</v>
      </c>
      <c r="Y123" s="374" t="s">
        <v>782</v>
      </c>
      <c r="Z123" s="58" t="s">
        <v>786</v>
      </c>
      <c r="AA123" s="193"/>
      <c r="AB123" s="192" t="s">
        <v>787</v>
      </c>
      <c r="AC123" s="192" t="s">
        <v>798</v>
      </c>
      <c r="AD123" s="192" t="s">
        <v>789</v>
      </c>
      <c r="AE123" s="193"/>
      <c r="AF123" s="193"/>
      <c r="AG123" s="197">
        <v>-0.52</v>
      </c>
      <c r="AH123" s="194" t="s">
        <v>790</v>
      </c>
      <c r="AI123" s="58" t="s">
        <v>791</v>
      </c>
      <c r="AJ123" s="193"/>
      <c r="AK123" s="190"/>
      <c r="AL123" s="193"/>
      <c r="AM123" s="193"/>
      <c r="AN123" s="58" t="s">
        <v>138</v>
      </c>
      <c r="AO123" s="193"/>
      <c r="AP123" s="197">
        <v>0.06</v>
      </c>
      <c r="AQ123" s="58" t="s">
        <v>790</v>
      </c>
      <c r="AR123" s="58" t="s">
        <v>132</v>
      </c>
      <c r="AS123" s="193"/>
      <c r="AT123" s="190"/>
      <c r="AU123" s="190"/>
      <c r="AV123" s="190"/>
      <c r="AW123" s="190" t="s">
        <v>138</v>
      </c>
      <c r="AX123" s="190" t="s">
        <v>143</v>
      </c>
      <c r="AY123" s="61" t="str">
        <f>IFERROR(__xludf.DUMMYFUNCTION("vlookup(BB123,importrange(""https://docs.google.com/spreadsheets/d/1d2vevQ_7D_v35q4wCQ4RpQ_IPoTwEMB9Yp6ymwlPqew/edit?gid=984458430#gid=984458430"", ""'replication success'!A:K""), 11, FAlSE)"),"#N/A")</f>
        <v>#N/A</v>
      </c>
      <c r="AZ123" s="61" t="str">
        <f>IFERROR(__xludf.DUMMYFUNCTION("vlookup(BB123,importrange(""https://docs.google.com/spreadsheets/d/1d2vevQ_7D_v35q4wCQ4RpQ_IPoTwEMB9Yp6ymwlPqew/edit?gid=984458430#gid=984458430"", ""'replication success'!A:M""), 12, FAlSE)"),"#N/A")</f>
        <v>#N/A</v>
      </c>
      <c r="BA123" s="61" t="str">
        <f>IFERROR(__xludf.DUMMYFUNCTION("vlookup(BB123,importrange(""https://docs.google.com/spreadsheets/d/1d2vevQ_7D_v35q4wCQ4RpQ_IPoTwEMB9Yp6ymwlPqew/edit?gid=984458430#gid=984458430"", ""'replication success'!A:M""), 13, FAlSE)"),"#N/A")</f>
        <v>#N/A</v>
      </c>
      <c r="BB123" s="61" t="str">
        <f>IFERROR(__xludf.DUMMYFUNCTION("REGEXREPLACE(G123, ""_[a-z]{1,2}$"", """")"),"additional_studies19")</f>
        <v>additional_studies19</v>
      </c>
      <c r="BC123" s="129" t="s">
        <v>775</v>
      </c>
      <c r="BD123" s="226"/>
    </row>
    <row r="124" ht="20.25" customHeight="1">
      <c r="A124" s="44">
        <v>124.0</v>
      </c>
      <c r="B124" s="168" t="s">
        <v>152</v>
      </c>
      <c r="C124" s="168" t="s">
        <v>115</v>
      </c>
      <c r="D124" s="168" t="s">
        <v>346</v>
      </c>
      <c r="E124" s="164"/>
      <c r="F124" s="159" t="s">
        <v>799</v>
      </c>
      <c r="G124" s="57" t="s">
        <v>800</v>
      </c>
      <c r="H124" s="57" t="s">
        <v>349</v>
      </c>
      <c r="I124" s="152">
        <v>45427.0</v>
      </c>
      <c r="J124" s="153">
        <v>45772.0</v>
      </c>
      <c r="K124" s="376" t="s">
        <v>801</v>
      </c>
      <c r="L124" s="151" t="s">
        <v>802</v>
      </c>
      <c r="M124" s="57" t="s">
        <v>803</v>
      </c>
      <c r="N124" s="376" t="s">
        <v>804</v>
      </c>
      <c r="O124" s="371">
        <v>1.0</v>
      </c>
      <c r="P124" s="377" t="s">
        <v>805</v>
      </c>
      <c r="Q124" s="52" t="str">
        <f t="array" ref="Q124"> if(iserror(MATCH(V124, 'File Links'!C:C, 0)), "N/A", HYPERLINK(INDEX('File Links'!B:B, MATCH(P124, 'File Links'!C:C, 0))))</f>
        <v>https://drive.google.com/file/d/1n-j6Aip_Ueqh39JoVXmnujoaVUR_DnRz/view?usp=drivesdk</v>
      </c>
      <c r="R124" s="57" t="s">
        <v>806</v>
      </c>
      <c r="S124" s="57" t="s">
        <v>807</v>
      </c>
      <c r="T124" s="61"/>
      <c r="U124" s="371">
        <v>1.0</v>
      </c>
      <c r="V124" s="66" t="str">
        <f> hyperlink(vlookup(lower(S124),'File Links'!E:F, 2, FALSE), SUBSTITUTE(lower(S124), "/", "--") &amp;  ".pdf")</f>
        <v>10.1093--schbul--sbae058.pdf</v>
      </c>
      <c r="W124" s="57" t="s">
        <v>607</v>
      </c>
      <c r="X124" s="54" t="str">
        <f t="array" ref="X124"> if(iserror(MATCH(V124, 'File Links'!C:C, 0)), "N/A", HYPERLINK(INDEX('File Links'!B:B, MATCH(V124, 'File Links'!C:C, 0))))</f>
        <v>https://drive.google.com/file/d/1WNCE1BHqI-1JTQSuMkdiS2Xt4dckCPmq/view?usp=drivesdk</v>
      </c>
      <c r="Y124" s="61"/>
      <c r="Z124" s="57" t="s">
        <v>503</v>
      </c>
      <c r="AA124" s="57" t="s">
        <v>808</v>
      </c>
      <c r="AB124" s="376" t="s">
        <v>809</v>
      </c>
      <c r="AC124" s="376" t="s">
        <v>810</v>
      </c>
      <c r="AD124" s="376" t="s">
        <v>811</v>
      </c>
      <c r="AE124" s="378" t="s">
        <v>812</v>
      </c>
      <c r="AF124" s="378">
        <v>899.0</v>
      </c>
      <c r="AG124" s="379">
        <v>1.04</v>
      </c>
      <c r="AH124" s="339" t="s">
        <v>722</v>
      </c>
      <c r="AI124" s="380" t="s">
        <v>813</v>
      </c>
      <c r="AJ124" s="378" t="s">
        <v>138</v>
      </c>
      <c r="AK124" s="378" t="s">
        <v>138</v>
      </c>
      <c r="AL124" s="57" t="s">
        <v>186</v>
      </c>
      <c r="AM124" s="371" t="s">
        <v>137</v>
      </c>
      <c r="AN124" s="57" t="s">
        <v>138</v>
      </c>
      <c r="AO124" s="378">
        <v>1684.0</v>
      </c>
      <c r="AP124" s="379">
        <v>1.2</v>
      </c>
      <c r="AQ124" s="57" t="s">
        <v>722</v>
      </c>
      <c r="AR124" s="380" t="s">
        <v>813</v>
      </c>
      <c r="AS124" s="161">
        <v>0.05</v>
      </c>
      <c r="AT124" s="109" t="s">
        <v>135</v>
      </c>
      <c r="AU124" s="159" t="s">
        <v>186</v>
      </c>
      <c r="AV124" s="371" t="s">
        <v>137</v>
      </c>
      <c r="AW124" s="159" t="s">
        <v>138</v>
      </c>
      <c r="AX124" s="68" t="s">
        <v>438</v>
      </c>
      <c r="AY124" s="61" t="str">
        <f>IFERROR(__xludf.DUMMYFUNCTION("vlookup(BB124,importrange(""https://docs.google.com/spreadsheets/d/1d2vevQ_7D_v35q4wCQ4RpQ_IPoTwEMB9Yp6ymwlPqew/edit?gid=984458430#gid=984458430"", ""'replication success'!A:K""), 11, FAlSE)"),"successful")</f>
        <v>successful</v>
      </c>
      <c r="AZ124" s="61" t="str">
        <f>IFERROR(__xludf.DUMMYFUNCTION("vlookup(BB124,importrange(""https://docs.google.com/spreadsheets/d/1d2vevQ_7D_v35q4wCQ4RpQ_IPoTwEMB9Yp6ymwlPqew/edit?gid=984458430#gid=984458430"",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4" s="61" t="str">
        <f>IFERROR(__xludf.DUMMYFUNCTION("vlookup(BB124,importrange(""https://docs.google.com/spreadsheets/d/1d2vevQ_7D_v35q4wCQ4RpQ_IPoTwEMB9Yp6ymwlPqew/edit?gid=984458430#gid=984458430"", ""'replication success'!A:M""), 13, FAlSE)"),"pg.6")</f>
        <v>pg.6</v>
      </c>
      <c r="BB124" s="61" t="str">
        <f>IFERROR(__xludf.DUMMYFUNCTION("REGEXREPLACE(G124, ""_[a-z]{1,2}$"", """")"),"additional_studies2")</f>
        <v>additional_studies2</v>
      </c>
      <c r="BC124" s="57"/>
      <c r="BD124" s="381" t="s">
        <v>814</v>
      </c>
    </row>
    <row r="125" ht="20.25" customHeight="1">
      <c r="A125" s="44">
        <v>125.0</v>
      </c>
      <c r="B125" s="168" t="s">
        <v>152</v>
      </c>
      <c r="C125" s="168" t="s">
        <v>115</v>
      </c>
      <c r="D125" s="168" t="s">
        <v>346</v>
      </c>
      <c r="E125" s="164"/>
      <c r="F125" s="159" t="s">
        <v>799</v>
      </c>
      <c r="G125" s="57" t="s">
        <v>815</v>
      </c>
      <c r="H125" s="57" t="s">
        <v>349</v>
      </c>
      <c r="I125" s="152">
        <v>45427.0</v>
      </c>
      <c r="J125" s="153">
        <v>45772.0</v>
      </c>
      <c r="K125" s="376" t="s">
        <v>801</v>
      </c>
      <c r="L125" s="151" t="s">
        <v>816</v>
      </c>
      <c r="M125" s="57" t="s">
        <v>803</v>
      </c>
      <c r="N125" s="376" t="s">
        <v>804</v>
      </c>
      <c r="O125" s="371">
        <v>1.0</v>
      </c>
      <c r="P125" s="377" t="s">
        <v>805</v>
      </c>
      <c r="Q125" s="52" t="str">
        <f t="array" ref="Q125"> if(iserror(MATCH(V125, 'File Links'!C:C, 0)), "N/A", HYPERLINK(INDEX('File Links'!B:B, MATCH(P125, 'File Links'!C:C, 0))))</f>
        <v>https://drive.google.com/file/d/1n-j6Aip_Ueqh39JoVXmnujoaVUR_DnRz/view?usp=drivesdk</v>
      </c>
      <c r="R125" s="57" t="s">
        <v>806</v>
      </c>
      <c r="S125" s="57" t="s">
        <v>807</v>
      </c>
      <c r="T125" s="61"/>
      <c r="U125" s="371">
        <v>1.0</v>
      </c>
      <c r="V125" s="66" t="str">
        <f> hyperlink(vlookup(lower(S125),'File Links'!E:F, 2, FALSE), SUBSTITUTE(lower(S125), "/", "--") &amp;  ".pdf")</f>
        <v>10.1093--schbul--sbae058.pdf</v>
      </c>
      <c r="W125" s="57" t="s">
        <v>607</v>
      </c>
      <c r="X125" s="54" t="str">
        <f t="array" ref="X125"> if(iserror(MATCH(V125, 'File Links'!C:C, 0)), "N/A", HYPERLINK(INDEX('File Links'!B:B, MATCH(V125, 'File Links'!C:C, 0))))</f>
        <v>https://drive.google.com/file/d/1WNCE1BHqI-1JTQSuMkdiS2Xt4dckCPmq/view?usp=drivesdk</v>
      </c>
      <c r="Y125" s="61"/>
      <c r="Z125" s="57" t="s">
        <v>503</v>
      </c>
      <c r="AA125" s="57" t="s">
        <v>808</v>
      </c>
      <c r="AB125" s="376" t="s">
        <v>809</v>
      </c>
      <c r="AC125" s="376" t="s">
        <v>810</v>
      </c>
      <c r="AD125" s="376" t="s">
        <v>817</v>
      </c>
      <c r="AE125" s="378" t="s">
        <v>812</v>
      </c>
      <c r="AF125" s="378">
        <v>4196.0</v>
      </c>
      <c r="AG125" s="379">
        <v>1.56</v>
      </c>
      <c r="AH125" s="339" t="s">
        <v>722</v>
      </c>
      <c r="AI125" s="380" t="s">
        <v>813</v>
      </c>
      <c r="AJ125" s="379">
        <v>0.001</v>
      </c>
      <c r="AK125" s="159" t="s">
        <v>135</v>
      </c>
      <c r="AL125" s="57" t="s">
        <v>186</v>
      </c>
      <c r="AM125" s="371" t="s">
        <v>137</v>
      </c>
      <c r="AN125" s="57" t="s">
        <v>138</v>
      </c>
      <c r="AO125" s="378">
        <v>2072.0</v>
      </c>
      <c r="AP125" s="379">
        <v>1.47</v>
      </c>
      <c r="AQ125" s="57" t="s">
        <v>722</v>
      </c>
      <c r="AR125" s="380" t="s">
        <v>813</v>
      </c>
      <c r="AS125" s="161">
        <v>0.05</v>
      </c>
      <c r="AT125" s="109" t="s">
        <v>135</v>
      </c>
      <c r="AU125" s="159" t="s">
        <v>186</v>
      </c>
      <c r="AV125" s="371" t="s">
        <v>137</v>
      </c>
      <c r="AW125" s="159" t="s">
        <v>138</v>
      </c>
      <c r="AX125" s="68" t="s">
        <v>438</v>
      </c>
      <c r="AY125" s="61" t="str">
        <f>IFERROR(__xludf.DUMMYFUNCTION("vlookup(BB125,importrange(""https://docs.google.com/spreadsheets/d/1d2vevQ_7D_v35q4wCQ4RpQ_IPoTwEMB9Yp6ymwlPqew/edit?gid=984458430#gid=984458430"", ""'replication success'!A:K""), 11, FAlSE)"),"successful")</f>
        <v>successful</v>
      </c>
      <c r="AZ125" s="61" t="str">
        <f>IFERROR(__xludf.DUMMYFUNCTION("vlookup(BB125,importrange(""https://docs.google.com/spreadsheets/d/1d2vevQ_7D_v35q4wCQ4RpQ_IPoTwEMB9Yp6ymwlPqew/edit?gid=984458430#gid=984458430"",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5" s="61" t="str">
        <f>IFERROR(__xludf.DUMMYFUNCTION("vlookup(BB125,importrange(""https://docs.google.com/spreadsheets/d/1d2vevQ_7D_v35q4wCQ4RpQ_IPoTwEMB9Yp6ymwlPqew/edit?gid=984458430#gid=984458430"", ""'replication success'!A:M""), 13, FAlSE)"),"pg.6")</f>
        <v>pg.6</v>
      </c>
      <c r="BB125" s="61" t="str">
        <f>IFERROR(__xludf.DUMMYFUNCTION("REGEXREPLACE(G125, ""_[a-z]{1,2}$"", """")"),"additional_studies2")</f>
        <v>additional_studies2</v>
      </c>
      <c r="BC125" s="57"/>
      <c r="BD125" s="381" t="s">
        <v>814</v>
      </c>
    </row>
    <row r="126" ht="20.25" customHeight="1">
      <c r="A126" s="44">
        <v>126.0</v>
      </c>
      <c r="B126" s="168" t="s">
        <v>152</v>
      </c>
      <c r="C126" s="168" t="s">
        <v>115</v>
      </c>
      <c r="D126" s="168" t="s">
        <v>346</v>
      </c>
      <c r="E126" s="164"/>
      <c r="F126" s="159" t="s">
        <v>799</v>
      </c>
      <c r="G126" s="57" t="s">
        <v>818</v>
      </c>
      <c r="H126" s="57" t="s">
        <v>349</v>
      </c>
      <c r="I126" s="152">
        <v>45427.0</v>
      </c>
      <c r="J126" s="153">
        <v>45772.0</v>
      </c>
      <c r="K126" s="376" t="s">
        <v>801</v>
      </c>
      <c r="L126" s="151" t="s">
        <v>819</v>
      </c>
      <c r="M126" s="57" t="s">
        <v>803</v>
      </c>
      <c r="N126" s="376" t="s">
        <v>804</v>
      </c>
      <c r="O126" s="371">
        <v>1.0</v>
      </c>
      <c r="P126" s="377" t="s">
        <v>805</v>
      </c>
      <c r="Q126" s="52" t="str">
        <f t="array" ref="Q126"> if(iserror(MATCH(V126, 'File Links'!C:C, 0)), "N/A", HYPERLINK(INDEX('File Links'!B:B, MATCH(P126, 'File Links'!C:C, 0))))</f>
        <v>https://drive.google.com/file/d/1n-j6Aip_Ueqh39JoVXmnujoaVUR_DnRz/view?usp=drivesdk</v>
      </c>
      <c r="R126" s="57" t="s">
        <v>806</v>
      </c>
      <c r="S126" s="57" t="s">
        <v>807</v>
      </c>
      <c r="T126" s="61"/>
      <c r="U126" s="371">
        <v>1.0</v>
      </c>
      <c r="V126" s="66" t="str">
        <f> hyperlink(vlookup(lower(S126),'File Links'!E:F, 2, FALSE), SUBSTITUTE(lower(S126), "/", "--") &amp;  ".pdf")</f>
        <v>10.1093--schbul--sbae058.pdf</v>
      </c>
      <c r="W126" s="57" t="s">
        <v>607</v>
      </c>
      <c r="X126" s="54" t="str">
        <f t="array" ref="X126"> if(iserror(MATCH(V126, 'File Links'!C:C, 0)), "N/A", HYPERLINK(INDEX('File Links'!B:B, MATCH(V126, 'File Links'!C:C, 0))))</f>
        <v>https://drive.google.com/file/d/1WNCE1BHqI-1JTQSuMkdiS2Xt4dckCPmq/view?usp=drivesdk</v>
      </c>
      <c r="Y126" s="61"/>
      <c r="Z126" s="57" t="s">
        <v>503</v>
      </c>
      <c r="AA126" s="57" t="s">
        <v>820</v>
      </c>
      <c r="AB126" s="376" t="s">
        <v>809</v>
      </c>
      <c r="AC126" s="376" t="s">
        <v>810</v>
      </c>
      <c r="AD126" s="376" t="s">
        <v>821</v>
      </c>
      <c r="AE126" s="378" t="s">
        <v>812</v>
      </c>
      <c r="AF126" s="378">
        <v>455.0</v>
      </c>
      <c r="AG126" s="379">
        <v>0.95</v>
      </c>
      <c r="AH126" s="339" t="s">
        <v>722</v>
      </c>
      <c r="AI126" s="380" t="s">
        <v>813</v>
      </c>
      <c r="AJ126" s="378" t="s">
        <v>138</v>
      </c>
      <c r="AK126" s="378" t="s">
        <v>138</v>
      </c>
      <c r="AL126" s="57" t="s">
        <v>186</v>
      </c>
      <c r="AM126" s="371" t="s">
        <v>137</v>
      </c>
      <c r="AN126" s="57" t="s">
        <v>138</v>
      </c>
      <c r="AO126" s="378">
        <v>899.0</v>
      </c>
      <c r="AP126" s="379">
        <v>1.17</v>
      </c>
      <c r="AQ126" s="57" t="s">
        <v>722</v>
      </c>
      <c r="AR126" s="380" t="s">
        <v>813</v>
      </c>
      <c r="AS126" s="161">
        <v>0.05</v>
      </c>
      <c r="AT126" s="109" t="s">
        <v>335</v>
      </c>
      <c r="AU126" s="159" t="s">
        <v>186</v>
      </c>
      <c r="AV126" s="371" t="s">
        <v>137</v>
      </c>
      <c r="AW126" s="159" t="s">
        <v>138</v>
      </c>
      <c r="AX126" s="68" t="s">
        <v>438</v>
      </c>
      <c r="AY126" s="61" t="str">
        <f>IFERROR(__xludf.DUMMYFUNCTION("vlookup(BB126,importrange(""https://docs.google.com/spreadsheets/d/1d2vevQ_7D_v35q4wCQ4RpQ_IPoTwEMB9Yp6ymwlPqew/edit?gid=984458430#gid=984458430"", ""'replication success'!A:K""), 11, FAlSE)"),"successful")</f>
        <v>successful</v>
      </c>
      <c r="AZ126" s="61" t="str">
        <f>IFERROR(__xludf.DUMMYFUNCTION("vlookup(BB126,importrange(""https://docs.google.com/spreadsheets/d/1d2vevQ_7D_v35q4wCQ4RpQ_IPoTwEMB9Yp6ymwlPqew/edit?gid=984458430#gid=984458430"",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6" s="61" t="str">
        <f>IFERROR(__xludf.DUMMYFUNCTION("vlookup(BB126,importrange(""https://docs.google.com/spreadsheets/d/1d2vevQ_7D_v35q4wCQ4RpQ_IPoTwEMB9Yp6ymwlPqew/edit?gid=984458430#gid=984458430"", ""'replication success'!A:M""), 13, FAlSE)"),"pg.6")</f>
        <v>pg.6</v>
      </c>
      <c r="BB126" s="61" t="str">
        <f>IFERROR(__xludf.DUMMYFUNCTION("REGEXREPLACE(G126, ""_[a-z]{1,2}$"", """")"),"additional_studies2")</f>
        <v>additional_studies2</v>
      </c>
      <c r="BC126" s="57"/>
      <c r="BD126" s="381" t="s">
        <v>814</v>
      </c>
    </row>
    <row r="127" ht="20.25" customHeight="1">
      <c r="A127" s="44">
        <v>127.0</v>
      </c>
      <c r="B127" s="168" t="s">
        <v>152</v>
      </c>
      <c r="C127" s="168" t="s">
        <v>115</v>
      </c>
      <c r="D127" s="168" t="s">
        <v>346</v>
      </c>
      <c r="E127" s="164"/>
      <c r="F127" s="159" t="s">
        <v>799</v>
      </c>
      <c r="G127" s="57" t="s">
        <v>822</v>
      </c>
      <c r="H127" s="57" t="s">
        <v>349</v>
      </c>
      <c r="I127" s="152">
        <v>45427.0</v>
      </c>
      <c r="J127" s="153">
        <v>45772.0</v>
      </c>
      <c r="K127" s="376" t="s">
        <v>801</v>
      </c>
      <c r="L127" s="151" t="s">
        <v>819</v>
      </c>
      <c r="M127" s="57" t="s">
        <v>803</v>
      </c>
      <c r="N127" s="376" t="s">
        <v>804</v>
      </c>
      <c r="O127" s="371">
        <v>1.0</v>
      </c>
      <c r="P127" s="377" t="s">
        <v>805</v>
      </c>
      <c r="Q127" s="52" t="str">
        <f t="array" ref="Q127"> if(iserror(MATCH(V127, 'File Links'!C:C, 0)), "N/A", HYPERLINK(INDEX('File Links'!B:B, MATCH(P127, 'File Links'!C:C, 0))))</f>
        <v>https://drive.google.com/file/d/1n-j6Aip_Ueqh39JoVXmnujoaVUR_DnRz/view?usp=drivesdk</v>
      </c>
      <c r="R127" s="57" t="s">
        <v>806</v>
      </c>
      <c r="S127" s="57" t="s">
        <v>807</v>
      </c>
      <c r="T127" s="61"/>
      <c r="U127" s="371">
        <v>1.0</v>
      </c>
      <c r="V127" s="66" t="str">
        <f> hyperlink(vlookup(lower(S127),'File Links'!E:F, 2, FALSE), SUBSTITUTE(lower(S127), "/", "--") &amp;  ".pdf")</f>
        <v>10.1093--schbul--sbae058.pdf</v>
      </c>
      <c r="W127" s="57" t="s">
        <v>607</v>
      </c>
      <c r="X127" s="54" t="str">
        <f t="array" ref="X127"> if(iserror(MATCH(V127, 'File Links'!C:C, 0)), "N/A", HYPERLINK(INDEX('File Links'!B:B, MATCH(V127, 'File Links'!C:C, 0))))</f>
        <v>https://drive.google.com/file/d/1WNCE1BHqI-1JTQSuMkdiS2Xt4dckCPmq/view?usp=drivesdk</v>
      </c>
      <c r="Y127" s="61"/>
      <c r="Z127" s="57" t="s">
        <v>503</v>
      </c>
      <c r="AA127" s="57" t="s">
        <v>820</v>
      </c>
      <c r="AB127" s="376" t="s">
        <v>809</v>
      </c>
      <c r="AC127" s="376" t="s">
        <v>810</v>
      </c>
      <c r="AD127" s="376" t="s">
        <v>823</v>
      </c>
      <c r="AE127" s="378" t="s">
        <v>812</v>
      </c>
      <c r="AF127" s="378">
        <v>525.0</v>
      </c>
      <c r="AG127" s="379">
        <v>1.19</v>
      </c>
      <c r="AH127" s="339" t="s">
        <v>722</v>
      </c>
      <c r="AI127" s="380" t="s">
        <v>813</v>
      </c>
      <c r="AJ127" s="378" t="s">
        <v>138</v>
      </c>
      <c r="AK127" s="378" t="s">
        <v>138</v>
      </c>
      <c r="AL127" s="57" t="s">
        <v>186</v>
      </c>
      <c r="AM127" s="371" t="s">
        <v>137</v>
      </c>
      <c r="AN127" s="57" t="s">
        <v>138</v>
      </c>
      <c r="AO127" s="378">
        <v>574.0</v>
      </c>
      <c r="AP127" s="379">
        <v>0.99</v>
      </c>
      <c r="AQ127" s="57" t="s">
        <v>722</v>
      </c>
      <c r="AR127" s="380" t="s">
        <v>813</v>
      </c>
      <c r="AS127" s="161">
        <v>0.05</v>
      </c>
      <c r="AT127" s="109" t="s">
        <v>335</v>
      </c>
      <c r="AU127" s="159" t="s">
        <v>186</v>
      </c>
      <c r="AV127" s="371" t="s">
        <v>137</v>
      </c>
      <c r="AW127" s="159" t="s">
        <v>138</v>
      </c>
      <c r="AX127" s="68" t="s">
        <v>438</v>
      </c>
      <c r="AY127" s="61" t="str">
        <f>IFERROR(__xludf.DUMMYFUNCTION("vlookup(BB127,importrange(""https://docs.google.com/spreadsheets/d/1d2vevQ_7D_v35q4wCQ4RpQ_IPoTwEMB9Yp6ymwlPqew/edit?gid=984458430#gid=984458430"", ""'replication success'!A:K""), 11, FAlSE)"),"successful")</f>
        <v>successful</v>
      </c>
      <c r="AZ127" s="61" t="str">
        <f>IFERROR(__xludf.DUMMYFUNCTION("vlookup(BB127,importrange(""https://docs.google.com/spreadsheets/d/1d2vevQ_7D_v35q4wCQ4RpQ_IPoTwEMB9Yp6ymwlPqew/edit?gid=984458430#gid=984458430"",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7" s="61" t="str">
        <f>IFERROR(__xludf.DUMMYFUNCTION("vlookup(BB127,importrange(""https://docs.google.com/spreadsheets/d/1d2vevQ_7D_v35q4wCQ4RpQ_IPoTwEMB9Yp6ymwlPqew/edit?gid=984458430#gid=984458430"", ""'replication success'!A:M""), 13, FAlSE)"),"pg.6")</f>
        <v>pg.6</v>
      </c>
      <c r="BB127" s="61" t="str">
        <f>IFERROR(__xludf.DUMMYFUNCTION("REGEXREPLACE(G127, ""_[a-z]{1,2}$"", """")"),"additional_studies2")</f>
        <v>additional_studies2</v>
      </c>
      <c r="BC127" s="57"/>
      <c r="BD127" s="381" t="s">
        <v>814</v>
      </c>
    </row>
    <row r="128" ht="20.25" customHeight="1">
      <c r="A128" s="44">
        <v>128.0</v>
      </c>
      <c r="B128" s="168" t="s">
        <v>114</v>
      </c>
      <c r="C128" s="168" t="s">
        <v>115</v>
      </c>
      <c r="D128" s="168" t="s">
        <v>221</v>
      </c>
      <c r="E128" s="164"/>
      <c r="F128" s="265" t="s">
        <v>799</v>
      </c>
      <c r="G128" s="47" t="s">
        <v>824</v>
      </c>
      <c r="H128" s="360" t="s">
        <v>221</v>
      </c>
      <c r="I128" s="344">
        <v>45684.0</v>
      </c>
      <c r="J128" s="153">
        <v>45772.0</v>
      </c>
      <c r="K128" s="360" t="s">
        <v>825</v>
      </c>
      <c r="L128" s="151" t="s">
        <v>826</v>
      </c>
      <c r="M128" s="360" t="s">
        <v>803</v>
      </c>
      <c r="N128" s="360" t="s">
        <v>804</v>
      </c>
      <c r="O128" s="371">
        <v>1.0</v>
      </c>
      <c r="P128" s="382" t="s">
        <v>805</v>
      </c>
      <c r="Q128" s="52" t="str">
        <f t="array" ref="Q128"> if(iserror(MATCH(V128, 'File Links'!C:C, 0)), "N/A", HYPERLINK(INDEX('File Links'!B:B, MATCH(P128, 'File Links'!C:C, 0))))</f>
        <v>https://drive.google.com/file/d/1n-j6Aip_Ueqh39JoVXmnujoaVUR_DnRz/view?usp=drivesdk</v>
      </c>
      <c r="R128" s="360" t="s">
        <v>806</v>
      </c>
      <c r="S128" s="57" t="s">
        <v>807</v>
      </c>
      <c r="T128" s="61"/>
      <c r="U128" s="371">
        <v>1.0</v>
      </c>
      <c r="V128" s="66" t="str">
        <f> hyperlink(vlookup(lower(S128),'File Links'!E:F, 2, FALSE), SUBSTITUTE(lower(S128), "/", "--") &amp;  ".pdf")</f>
        <v>10.1093--schbul--sbae058.pdf</v>
      </c>
      <c r="W128" s="360" t="s">
        <v>164</v>
      </c>
      <c r="X128" s="54" t="str">
        <f t="array" ref="X128"> if(iserror(MATCH(V128, 'File Links'!C:C, 0)), "N/A", HYPERLINK(INDEX('File Links'!B:B, MATCH(V128, 'File Links'!C:C, 0))))</f>
        <v>https://drive.google.com/file/d/1WNCE1BHqI-1JTQSuMkdiS2Xt4dckCPmq/view?usp=drivesdk</v>
      </c>
      <c r="Y128" s="46"/>
      <c r="Z128" s="360" t="s">
        <v>503</v>
      </c>
      <c r="AA128" s="383" t="s">
        <v>808</v>
      </c>
      <c r="AB128" s="360" t="s">
        <v>827</v>
      </c>
      <c r="AC128" s="371" t="s">
        <v>828</v>
      </c>
      <c r="AD128" s="384" t="s">
        <v>817</v>
      </c>
      <c r="AE128" s="378" t="s">
        <v>812</v>
      </c>
      <c r="AF128" s="378">
        <v>4196.0</v>
      </c>
      <c r="AG128" s="385">
        <v>1.56</v>
      </c>
      <c r="AH128" s="360" t="s">
        <v>722</v>
      </c>
      <c r="AI128" s="380" t="s">
        <v>813</v>
      </c>
      <c r="AJ128" s="386">
        <v>1.0E-4</v>
      </c>
      <c r="AK128" s="47" t="s">
        <v>135</v>
      </c>
      <c r="AL128" s="380" t="s">
        <v>186</v>
      </c>
      <c r="AM128" s="380" t="s">
        <v>137</v>
      </c>
      <c r="AN128" s="47" t="s">
        <v>138</v>
      </c>
      <c r="AO128" s="378">
        <v>2072.0</v>
      </c>
      <c r="AP128" s="385">
        <v>1.47</v>
      </c>
      <c r="AQ128" s="360" t="s">
        <v>722</v>
      </c>
      <c r="AR128" s="380" t="s">
        <v>813</v>
      </c>
      <c r="AS128" s="161">
        <v>0.05</v>
      </c>
      <c r="AT128" s="109" t="s">
        <v>135</v>
      </c>
      <c r="AU128" s="380" t="s">
        <v>186</v>
      </c>
      <c r="AV128" s="380" t="s">
        <v>137</v>
      </c>
      <c r="AW128" s="360" t="s">
        <v>138</v>
      </c>
      <c r="AX128" s="360" t="s">
        <v>438</v>
      </c>
      <c r="AY128" s="61" t="str">
        <f>IFERROR(__xludf.DUMMYFUNCTION("vlookup(BB128,importrange(""https://docs.google.com/spreadsheets/d/1d2vevQ_7D_v35q4wCQ4RpQ_IPoTwEMB9Yp6ymwlPqew/edit?gid=984458430#gid=984458430"", ""'replication success'!A:K""), 11, FAlSE)"),"successful")</f>
        <v>successful</v>
      </c>
      <c r="AZ128" s="61" t="str">
        <f>IFERROR(__xludf.DUMMYFUNCTION("vlookup(BB128,importrange(""https://docs.google.com/spreadsheets/d/1d2vevQ_7D_v35q4wCQ4RpQ_IPoTwEMB9Yp6ymwlPqew/edit?gid=984458430#gid=984458430"",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8" s="61" t="str">
        <f>IFERROR(__xludf.DUMMYFUNCTION("vlookup(BB128,importrange(""https://docs.google.com/spreadsheets/d/1d2vevQ_7D_v35q4wCQ4RpQ_IPoTwEMB9Yp6ymwlPqew/edit?gid=984458430#gid=984458430"", ""'replication success'!A:M""), 13, FAlSE)"),"pg.6")</f>
        <v>pg.6</v>
      </c>
      <c r="BB128" s="61" t="str">
        <f>IFERROR(__xludf.DUMMYFUNCTION("REGEXREPLACE(G128, ""_[a-z]{1,2}$"", """")"),"additional_studies2")</f>
        <v>additional_studies2</v>
      </c>
      <c r="BD128" s="381" t="s">
        <v>814</v>
      </c>
    </row>
    <row r="129" ht="20.25" customHeight="1">
      <c r="A129" s="44">
        <v>129.0</v>
      </c>
      <c r="B129" s="168" t="s">
        <v>114</v>
      </c>
      <c r="C129" s="168" t="s">
        <v>115</v>
      </c>
      <c r="D129" s="168" t="s">
        <v>221</v>
      </c>
      <c r="E129" s="164"/>
      <c r="F129" s="265" t="s">
        <v>799</v>
      </c>
      <c r="G129" s="47" t="s">
        <v>815</v>
      </c>
      <c r="H129" s="360" t="s">
        <v>221</v>
      </c>
      <c r="I129" s="344">
        <v>45684.0</v>
      </c>
      <c r="J129" s="153">
        <v>45772.0</v>
      </c>
      <c r="K129" s="360" t="s">
        <v>825</v>
      </c>
      <c r="L129" s="151" t="s">
        <v>826</v>
      </c>
      <c r="M129" s="360" t="s">
        <v>803</v>
      </c>
      <c r="N129" s="360" t="s">
        <v>804</v>
      </c>
      <c r="O129" s="371">
        <v>1.0</v>
      </c>
      <c r="P129" s="382" t="s">
        <v>805</v>
      </c>
      <c r="Q129" s="52" t="str">
        <f t="array" ref="Q129"> if(iserror(MATCH(V129, 'File Links'!C:C, 0)), "N/A", HYPERLINK(INDEX('File Links'!B:B, MATCH(P129, 'File Links'!C:C, 0))))</f>
        <v>https://drive.google.com/file/d/1n-j6Aip_Ueqh39JoVXmnujoaVUR_DnRz/view?usp=drivesdk</v>
      </c>
      <c r="R129" s="360" t="s">
        <v>806</v>
      </c>
      <c r="S129" s="57" t="s">
        <v>807</v>
      </c>
      <c r="T129" s="46"/>
      <c r="U129" s="371">
        <v>1.0</v>
      </c>
      <c r="V129" s="66" t="str">
        <f> hyperlink(vlookup(lower(S129),'File Links'!E:F, 2, FALSE), SUBSTITUTE(lower(S129), "/", "--") &amp;  ".pdf")</f>
        <v>10.1093--schbul--sbae058.pdf</v>
      </c>
      <c r="W129" s="360" t="s">
        <v>164</v>
      </c>
      <c r="X129" s="54" t="str">
        <f t="array" ref="X129"> if(iserror(MATCH(V129, 'File Links'!C:C, 0)), "N/A", HYPERLINK(INDEX('File Links'!B:B, MATCH(V129, 'File Links'!C:C, 0))))</f>
        <v>https://drive.google.com/file/d/1WNCE1BHqI-1JTQSuMkdiS2Xt4dckCPmq/view?usp=drivesdk</v>
      </c>
      <c r="Y129" s="46"/>
      <c r="Z129" s="360" t="s">
        <v>503</v>
      </c>
      <c r="AA129" s="383" t="s">
        <v>808</v>
      </c>
      <c r="AB129" s="360" t="s">
        <v>827</v>
      </c>
      <c r="AC129" s="380" t="s">
        <v>829</v>
      </c>
      <c r="AD129" s="384" t="s">
        <v>811</v>
      </c>
      <c r="AE129" s="378" t="s">
        <v>812</v>
      </c>
      <c r="AF129" s="378">
        <v>899.0</v>
      </c>
      <c r="AG129" s="385">
        <v>1.04</v>
      </c>
      <c r="AH129" s="360" t="s">
        <v>722</v>
      </c>
      <c r="AI129" s="380" t="s">
        <v>813</v>
      </c>
      <c r="AJ129" s="378" t="s">
        <v>138</v>
      </c>
      <c r="AK129" s="378" t="s">
        <v>138</v>
      </c>
      <c r="AL129" s="380" t="s">
        <v>186</v>
      </c>
      <c r="AM129" s="380" t="s">
        <v>137</v>
      </c>
      <c r="AN129" s="47" t="s">
        <v>138</v>
      </c>
      <c r="AO129" s="378">
        <v>1684.0</v>
      </c>
      <c r="AP129" s="385">
        <v>1.2</v>
      </c>
      <c r="AQ129" s="360" t="s">
        <v>722</v>
      </c>
      <c r="AR129" s="380" t="s">
        <v>813</v>
      </c>
      <c r="AS129" s="161">
        <v>0.05</v>
      </c>
      <c r="AT129" s="109" t="s">
        <v>135</v>
      </c>
      <c r="AU129" s="380" t="s">
        <v>186</v>
      </c>
      <c r="AV129" s="380" t="s">
        <v>137</v>
      </c>
      <c r="AW129" s="360" t="s">
        <v>138</v>
      </c>
      <c r="AX129" s="360" t="s">
        <v>438</v>
      </c>
      <c r="AY129" s="61" t="str">
        <f>IFERROR(__xludf.DUMMYFUNCTION("vlookup(BB129,importrange(""https://docs.google.com/spreadsheets/d/1d2vevQ_7D_v35q4wCQ4RpQ_IPoTwEMB9Yp6ymwlPqew/edit?gid=984458430#gid=984458430"", ""'replication success'!A:K""), 11, FAlSE)"),"successful")</f>
        <v>successful</v>
      </c>
      <c r="AZ129" s="61" t="str">
        <f>IFERROR(__xludf.DUMMYFUNCTION("vlookup(BB129,importrange(""https://docs.google.com/spreadsheets/d/1d2vevQ_7D_v35q4wCQ4RpQ_IPoTwEMB9Yp6ymwlPqew/edit?gid=984458430#gid=984458430"", ""'replication success'!A:M""), 12, FAlSE)"),"These findings are consistent with those of a similar nested case–control study previously conducted in Finland, in which the exposure to prolactin-increasing antipsychotics for ≥5 years was associated with a 56% overall increased odds of breast cancer, a"&amp;"s well as increased odds for both ductal (aOR = 1.42) and lobular adenocarcinoma (aOR = 2.36), in women with schizophrenia.")</f>
        <v>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v>
      </c>
      <c r="BA129" s="61" t="str">
        <f>IFERROR(__xludf.DUMMYFUNCTION("vlookup(BB129,importrange(""https://docs.google.com/spreadsheets/d/1d2vevQ_7D_v35q4wCQ4RpQ_IPoTwEMB9Yp6ymwlPqew/edit?gid=984458430#gid=984458430"", ""'replication success'!A:M""), 13, FAlSE)"),"pg.6")</f>
        <v>pg.6</v>
      </c>
      <c r="BB129" s="61" t="str">
        <f>IFERROR(__xludf.DUMMYFUNCTION("REGEXREPLACE(G129, ""_[a-z]{1,2}$"", """")"),"additional_studies2")</f>
        <v>additional_studies2</v>
      </c>
      <c r="BD129" s="381" t="s">
        <v>814</v>
      </c>
    </row>
    <row r="130" ht="20.25" customHeight="1">
      <c r="A130" s="44">
        <v>130.0</v>
      </c>
      <c r="B130" s="322" t="s">
        <v>152</v>
      </c>
      <c r="C130" s="322" t="s">
        <v>115</v>
      </c>
      <c r="D130" s="325" t="s">
        <v>442</v>
      </c>
      <c r="E130" s="226"/>
      <c r="F130" s="387" t="s">
        <v>830</v>
      </c>
      <c r="G130" s="388" t="s">
        <v>831</v>
      </c>
      <c r="H130" s="388" t="s">
        <v>445</v>
      </c>
      <c r="I130" s="389">
        <v>45634.0</v>
      </c>
      <c r="J130" s="311">
        <v>45663.0</v>
      </c>
      <c r="K130" s="388" t="s">
        <v>832</v>
      </c>
      <c r="L130" s="390"/>
      <c r="M130" s="388" t="s">
        <v>833</v>
      </c>
      <c r="N130" s="388" t="s">
        <v>834</v>
      </c>
      <c r="O130" s="330">
        <v>1.0</v>
      </c>
      <c r="P130" s="391" t="s">
        <v>835</v>
      </c>
      <c r="Q130" s="52" t="str">
        <f t="array" ref="Q130"> if(iserror(MATCH(V130, 'File Links'!C:C, 0)), "N/A", HYPERLINK(INDEX('File Links'!B:B, MATCH(P130, 'File Links'!C:C, 0))))</f>
        <v>https://drive.google.com/file/d/15kKUsqyFArf82r6bAlXLuUVgHc1vD9sW/view?usp=drivesdk</v>
      </c>
      <c r="R130" s="388" t="s">
        <v>836</v>
      </c>
      <c r="S130" s="388" t="s">
        <v>837</v>
      </c>
      <c r="T130" s="390"/>
      <c r="U130" s="133">
        <v>1.0</v>
      </c>
      <c r="V130" s="66" t="str">
        <f> hyperlink(vlookup(lower(S130),'File Links'!E:F, 2, FALSE), SUBSTITUTE(lower(S130), "/", "--") &amp;  ".pdf")</f>
        <v>10.1038--s41467-024-46936-y.pdf</v>
      </c>
      <c r="W130" s="388" t="s">
        <v>164</v>
      </c>
      <c r="X130" s="54" t="str">
        <f t="array" ref="X130"> if(iserror(MATCH(V130, 'File Links'!C:C, 0)), "N/A", HYPERLINK(INDEX('File Links'!B:B, MATCH(V130, 'File Links'!C:C, 0))))</f>
        <v>https://drive.google.com/file/d/1TJ6nnv7-YYGU9DUh1ApFGirYy6BbChHy/view?usp=drivesdk</v>
      </c>
      <c r="Y130" s="390"/>
      <c r="Z130" s="388" t="s">
        <v>838</v>
      </c>
      <c r="AA130" s="388" t="s">
        <v>839</v>
      </c>
      <c r="AB130" s="388" t="s">
        <v>840</v>
      </c>
      <c r="AC130" s="388" t="s">
        <v>841</v>
      </c>
      <c r="AD130" s="392" t="s">
        <v>842</v>
      </c>
      <c r="AE130" s="393">
        <v>3.0</v>
      </c>
      <c r="AF130" s="393">
        <v>35.0</v>
      </c>
      <c r="AG130" s="394">
        <v>-0.13</v>
      </c>
      <c r="AH130" s="391" t="s">
        <v>361</v>
      </c>
      <c r="AI130" s="392" t="s">
        <v>217</v>
      </c>
      <c r="AJ130" s="393">
        <v>3.0E-4</v>
      </c>
      <c r="AK130" s="387" t="s">
        <v>172</v>
      </c>
      <c r="AL130" s="388" t="s">
        <v>186</v>
      </c>
      <c r="AM130" s="388" t="s">
        <v>137</v>
      </c>
      <c r="AN130" s="219" t="s">
        <v>138</v>
      </c>
      <c r="AO130" s="393">
        <v>46.0</v>
      </c>
      <c r="AP130" s="394">
        <v>0.03</v>
      </c>
      <c r="AQ130" s="388" t="s">
        <v>361</v>
      </c>
      <c r="AR130" s="388" t="s">
        <v>496</v>
      </c>
      <c r="AS130" s="394">
        <v>0.407</v>
      </c>
      <c r="AT130" s="387" t="s">
        <v>172</v>
      </c>
      <c r="AU130" s="387" t="s">
        <v>186</v>
      </c>
      <c r="AV130" s="387" t="s">
        <v>137</v>
      </c>
      <c r="AW130" s="395" t="s">
        <v>843</v>
      </c>
      <c r="AX130" s="396" t="s">
        <v>438</v>
      </c>
      <c r="AY130" s="61" t="str">
        <f>IFERROR(__xludf.DUMMYFUNCTION("vlookup(BB130,importrange(""https://docs.google.com/spreadsheets/d/1d2vevQ_7D_v35q4wCQ4RpQ_IPoTwEMB9Yp6ymwlPqew/edit?gid=984458430#gid=984458430"", ""'replication success'!A:K""), 11, FAlSE)"),"mixed")</f>
        <v>mixed</v>
      </c>
      <c r="AZ130" s="61" t="str">
        <f>IFERROR(__xludf.DUMMYFUNCTION("vlookup(BB130,importrange(""https://docs.google.com/spreadsheets/d/1d2vevQ_7D_v35q4wCQ4RpQ_IPoTwEMB9Yp6ymwlPqew/edit?gid=984458430#gid=984458430"",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0" s="61" t="str">
        <f>IFERROR(__xludf.DUMMYFUNCTION("vlookup(BB130,importrange(""https://docs.google.com/spreadsheets/d/1d2vevQ_7D_v35q4wCQ4RpQ_IPoTwEMB9Yp6ymwlPqew/edit?gid=984458430#gid=984458430"", ""'replication success'!A:M""), 13, FAlSE)"),"abstract")</f>
        <v>abstract</v>
      </c>
      <c r="BB130" s="61" t="str">
        <f>IFERROR(__xludf.DUMMYFUNCTION("REGEXREPLACE(G130, ""_[a-z]{1,2}$"", """")"),"additional_studies20")</f>
        <v>additional_studies20</v>
      </c>
      <c r="BC130" s="61"/>
      <c r="BD130" s="149" t="s">
        <v>144</v>
      </c>
    </row>
    <row r="131" ht="20.25" customHeight="1">
      <c r="A131" s="44">
        <v>131.0</v>
      </c>
      <c r="B131" s="397" t="s">
        <v>114</v>
      </c>
      <c r="C131" s="397" t="s">
        <v>115</v>
      </c>
      <c r="D131" s="397" t="s">
        <v>346</v>
      </c>
      <c r="E131" s="220"/>
      <c r="F131" s="398" t="s">
        <v>830</v>
      </c>
      <c r="G131" s="399" t="s">
        <v>831</v>
      </c>
      <c r="H131" s="399" t="s">
        <v>349</v>
      </c>
      <c r="I131" s="400">
        <v>45639.0</v>
      </c>
      <c r="J131" s="311">
        <v>45663.0</v>
      </c>
      <c r="K131" s="401" t="s">
        <v>844</v>
      </c>
      <c r="L131" s="212" t="s">
        <v>845</v>
      </c>
      <c r="M131" s="399" t="s">
        <v>833</v>
      </c>
      <c r="N131" s="401" t="s">
        <v>834</v>
      </c>
      <c r="O131" s="402"/>
      <c r="P131" s="403" t="s">
        <v>835</v>
      </c>
      <c r="Q131" s="52" t="str">
        <f t="array" ref="Q131"> if(iserror(MATCH(V131, 'File Links'!C:C, 0)), "N/A", HYPERLINK(INDEX('File Links'!B:B, MATCH(P131, 'File Links'!C:C, 0))))</f>
        <v>https://drive.google.com/file/d/15kKUsqyFArf82r6bAlXLuUVgHc1vD9sW/view?usp=drivesdk</v>
      </c>
      <c r="R131" s="404" t="s">
        <v>846</v>
      </c>
      <c r="S131" s="404" t="s">
        <v>837</v>
      </c>
      <c r="T131" s="402"/>
      <c r="U131" s="405"/>
      <c r="V131" s="66" t="str">
        <f> hyperlink(vlookup(lower(S131),'File Links'!E:F, 2, FALSE), SUBSTITUTE(lower(S131), "/", "--") &amp;  ".pdf")</f>
        <v>10.1038--s41467-024-46936-y.pdf</v>
      </c>
      <c r="W131" s="388" t="s">
        <v>164</v>
      </c>
      <c r="X131" s="54" t="str">
        <f t="array" ref="X131"> if(iserror(MATCH(V131, 'File Links'!C:C, 0)), "N/A", HYPERLINK(INDEX('File Links'!B:B, MATCH(V131, 'File Links'!C:C, 0))))</f>
        <v>https://drive.google.com/file/d/1TJ6nnv7-YYGU9DUh1ApFGirYy6BbChHy/view?usp=drivesdk</v>
      </c>
      <c r="Y131" s="402"/>
      <c r="Z131" s="399" t="s">
        <v>838</v>
      </c>
      <c r="AA131" s="399" t="s">
        <v>847</v>
      </c>
      <c r="AB131" s="402"/>
      <c r="AC131" s="401" t="s">
        <v>848</v>
      </c>
      <c r="AD131" s="401" t="s">
        <v>849</v>
      </c>
      <c r="AE131" s="406">
        <v>3.0</v>
      </c>
      <c r="AF131" s="406">
        <v>35.0</v>
      </c>
      <c r="AG131" s="406">
        <v>-0.13</v>
      </c>
      <c r="AH131" s="391" t="s">
        <v>361</v>
      </c>
      <c r="AI131" s="399" t="s">
        <v>217</v>
      </c>
      <c r="AJ131" s="406">
        <v>3.0E-4</v>
      </c>
      <c r="AK131" s="407" t="s">
        <v>172</v>
      </c>
      <c r="AL131" s="399" t="s">
        <v>186</v>
      </c>
      <c r="AM131" s="402"/>
      <c r="AN131" s="399" t="s">
        <v>138</v>
      </c>
      <c r="AO131" s="406">
        <v>70.0</v>
      </c>
      <c r="AP131" s="408">
        <v>0.03</v>
      </c>
      <c r="AQ131" s="399" t="s">
        <v>361</v>
      </c>
      <c r="AR131" s="399" t="s">
        <v>850</v>
      </c>
      <c r="AS131" s="408">
        <v>0.407</v>
      </c>
      <c r="AT131" s="407" t="s">
        <v>172</v>
      </c>
      <c r="AU131" s="407" t="s">
        <v>186</v>
      </c>
      <c r="AV131" s="398"/>
      <c r="AW131" s="409" t="s">
        <v>851</v>
      </c>
      <c r="AX131" s="410" t="s">
        <v>438</v>
      </c>
      <c r="AY131" s="61" t="str">
        <f>IFERROR(__xludf.DUMMYFUNCTION("vlookup(BB131,importrange(""https://docs.google.com/spreadsheets/d/1d2vevQ_7D_v35q4wCQ4RpQ_IPoTwEMB9Yp6ymwlPqew/edit?gid=984458430#gid=984458430"", ""'replication success'!A:K""), 11, FAlSE)"),"mixed")</f>
        <v>mixed</v>
      </c>
      <c r="AZ131" s="61" t="str">
        <f>IFERROR(__xludf.DUMMYFUNCTION("vlookup(BB131,importrange(""https://docs.google.com/spreadsheets/d/1d2vevQ_7D_v35q4wCQ4RpQ_IPoTwEMB9Yp6ymwlPqew/edit?gid=984458430#gid=984458430"",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1" s="61" t="str">
        <f>IFERROR(__xludf.DUMMYFUNCTION("vlookup(BB131,importrange(""https://docs.google.com/spreadsheets/d/1d2vevQ_7D_v35q4wCQ4RpQ_IPoTwEMB9Yp6ymwlPqew/edit?gid=984458430#gid=984458430"", ""'replication success'!A:M""), 13, FAlSE)"),"abstract")</f>
        <v>abstract</v>
      </c>
      <c r="BB131" s="61" t="str">
        <f>IFERROR(__xludf.DUMMYFUNCTION("REGEXREPLACE(G131, ""_[a-z]{1,2}$"", """")"),"additional_studies20")</f>
        <v>additional_studies20</v>
      </c>
      <c r="BC131" s="129" t="s">
        <v>845</v>
      </c>
      <c r="BD131" s="149" t="s">
        <v>144</v>
      </c>
    </row>
    <row r="132" ht="20.25" customHeight="1">
      <c r="A132" s="44">
        <v>132.0</v>
      </c>
      <c r="B132" s="397" t="s">
        <v>114</v>
      </c>
      <c r="C132" s="397" t="s">
        <v>115</v>
      </c>
      <c r="D132" s="397" t="s">
        <v>346</v>
      </c>
      <c r="E132" s="220"/>
      <c r="F132" s="398" t="s">
        <v>830</v>
      </c>
      <c r="G132" s="399" t="s">
        <v>831</v>
      </c>
      <c r="H132" s="399" t="s">
        <v>349</v>
      </c>
      <c r="I132" s="400">
        <v>45639.0</v>
      </c>
      <c r="J132" s="311">
        <v>45663.0</v>
      </c>
      <c r="K132" s="401" t="s">
        <v>852</v>
      </c>
      <c r="L132" s="402"/>
      <c r="M132" s="399" t="s">
        <v>833</v>
      </c>
      <c r="N132" s="401" t="s">
        <v>834</v>
      </c>
      <c r="O132" s="402"/>
      <c r="P132" s="403" t="s">
        <v>835</v>
      </c>
      <c r="Q132" s="52" t="str">
        <f t="array" ref="Q132"> if(iserror(MATCH(V132, 'File Links'!C:C, 0)), "N/A", HYPERLINK(INDEX('File Links'!B:B, MATCH(P132, 'File Links'!C:C, 0))))</f>
        <v>https://drive.google.com/file/d/15kKUsqyFArf82r6bAlXLuUVgHc1vD9sW/view?usp=drivesdk</v>
      </c>
      <c r="R132" s="404" t="s">
        <v>853</v>
      </c>
      <c r="S132" s="404" t="s">
        <v>837</v>
      </c>
      <c r="T132" s="402"/>
      <c r="U132" s="405"/>
      <c r="V132" s="66" t="str">
        <f> hyperlink(vlookup(lower(S132),'File Links'!E:F, 2, FALSE), SUBSTITUTE(lower(S132), "/", "--") &amp;  ".pdf")</f>
        <v>10.1038--s41467-024-46936-y.pdf</v>
      </c>
      <c r="W132" s="388" t="s">
        <v>164</v>
      </c>
      <c r="X132" s="54" t="str">
        <f t="array" ref="X132"> if(iserror(MATCH(V132, 'File Links'!C:C, 0)), "N/A", HYPERLINK(INDEX('File Links'!B:B, MATCH(V132, 'File Links'!C:C, 0))))</f>
        <v>https://drive.google.com/file/d/1TJ6nnv7-YYGU9DUh1ApFGirYy6BbChHy/view?usp=drivesdk</v>
      </c>
      <c r="Y132" s="402"/>
      <c r="Z132" s="399" t="s">
        <v>838</v>
      </c>
      <c r="AA132" s="399" t="s">
        <v>847</v>
      </c>
      <c r="AB132" s="402"/>
      <c r="AC132" s="401" t="s">
        <v>854</v>
      </c>
      <c r="AD132" s="401" t="s">
        <v>855</v>
      </c>
      <c r="AE132" s="406">
        <v>3.0</v>
      </c>
      <c r="AF132" s="406">
        <v>35.0</v>
      </c>
      <c r="AG132" s="406">
        <v>0.06</v>
      </c>
      <c r="AH132" s="391" t="s">
        <v>361</v>
      </c>
      <c r="AI132" s="399" t="s">
        <v>217</v>
      </c>
      <c r="AJ132" s="406">
        <v>0.1</v>
      </c>
      <c r="AK132" s="407" t="s">
        <v>172</v>
      </c>
      <c r="AL132" s="399" t="s">
        <v>186</v>
      </c>
      <c r="AM132" s="402"/>
      <c r="AN132" s="399" t="s">
        <v>138</v>
      </c>
      <c r="AO132" s="406">
        <v>70.0</v>
      </c>
      <c r="AP132" s="406">
        <v>-0.1</v>
      </c>
      <c r="AQ132" s="399" t="s">
        <v>361</v>
      </c>
      <c r="AR132" s="399" t="s">
        <v>850</v>
      </c>
      <c r="AS132" s="406">
        <v>0.003</v>
      </c>
      <c r="AT132" s="407" t="s">
        <v>172</v>
      </c>
      <c r="AU132" s="407" t="s">
        <v>186</v>
      </c>
      <c r="AV132" s="398"/>
      <c r="AW132" s="409" t="s">
        <v>851</v>
      </c>
      <c r="AX132" s="410" t="s">
        <v>438</v>
      </c>
      <c r="AY132" s="61" t="str">
        <f>IFERROR(__xludf.DUMMYFUNCTION("vlookup(BB132,importrange(""https://docs.google.com/spreadsheets/d/1d2vevQ_7D_v35q4wCQ4RpQ_IPoTwEMB9Yp6ymwlPqew/edit?gid=984458430#gid=984458430"", ""'replication success'!A:K""), 11, FAlSE)"),"mixed")</f>
        <v>mixed</v>
      </c>
      <c r="AZ132" s="61" t="str">
        <f>IFERROR(__xludf.DUMMYFUNCTION("vlookup(BB132,importrange(""https://docs.google.com/spreadsheets/d/1d2vevQ_7D_v35q4wCQ4RpQ_IPoTwEMB9Yp6ymwlPqew/edit?gid=984458430#gid=984458430"",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2" s="61" t="str">
        <f>IFERROR(__xludf.DUMMYFUNCTION("vlookup(BB132,importrange(""https://docs.google.com/spreadsheets/d/1d2vevQ_7D_v35q4wCQ4RpQ_IPoTwEMB9Yp6ymwlPqew/edit?gid=984458430#gid=984458430"", ""'replication success'!A:M""), 13, FAlSE)"),"abstract")</f>
        <v>abstract</v>
      </c>
      <c r="BB132" s="61" t="str">
        <f>IFERROR(__xludf.DUMMYFUNCTION("REGEXREPLACE(G132, ""_[a-z]{1,2}$"", """")"),"additional_studies20")</f>
        <v>additional_studies20</v>
      </c>
      <c r="BC132" s="61"/>
      <c r="BD132" s="149" t="s">
        <v>144</v>
      </c>
    </row>
    <row r="133" ht="20.25" customHeight="1">
      <c r="A133" s="44">
        <v>133.0</v>
      </c>
      <c r="B133" s="397" t="s">
        <v>114</v>
      </c>
      <c r="C133" s="397" t="s">
        <v>115</v>
      </c>
      <c r="D133" s="397" t="s">
        <v>346</v>
      </c>
      <c r="E133" s="220"/>
      <c r="F133" s="398" t="s">
        <v>830</v>
      </c>
      <c r="G133" s="399" t="s">
        <v>831</v>
      </c>
      <c r="H133" s="399" t="s">
        <v>349</v>
      </c>
      <c r="I133" s="400">
        <v>45639.0</v>
      </c>
      <c r="J133" s="311">
        <v>45663.0</v>
      </c>
      <c r="K133" s="401" t="s">
        <v>844</v>
      </c>
      <c r="L133" s="402"/>
      <c r="M133" s="399" t="s">
        <v>833</v>
      </c>
      <c r="N133" s="401" t="s">
        <v>834</v>
      </c>
      <c r="O133" s="402"/>
      <c r="P133" s="403" t="s">
        <v>835</v>
      </c>
      <c r="Q133" s="52" t="str">
        <f t="array" ref="Q133"> if(iserror(MATCH(V133, 'File Links'!C:C, 0)), "N/A", HYPERLINK(INDEX('File Links'!B:B, MATCH(P133, 'File Links'!C:C, 0))))</f>
        <v>https://drive.google.com/file/d/15kKUsqyFArf82r6bAlXLuUVgHc1vD9sW/view?usp=drivesdk</v>
      </c>
      <c r="R133" s="404" t="s">
        <v>856</v>
      </c>
      <c r="S133" s="404" t="s">
        <v>837</v>
      </c>
      <c r="T133" s="402"/>
      <c r="U133" s="405"/>
      <c r="V133" s="66" t="str">
        <f> hyperlink(vlookup(lower(S133),'File Links'!E:F, 2, FALSE), SUBSTITUTE(lower(S133), "/", "--") &amp;  ".pdf")</f>
        <v>10.1038--s41467-024-46936-y.pdf</v>
      </c>
      <c r="W133" s="388" t="s">
        <v>164</v>
      </c>
      <c r="X133" s="54" t="str">
        <f t="array" ref="X133"> if(iserror(MATCH(V133, 'File Links'!C:C, 0)), "N/A", HYPERLINK(INDEX('File Links'!B:B, MATCH(V133, 'File Links'!C:C, 0))))</f>
        <v>https://drive.google.com/file/d/1TJ6nnv7-YYGU9DUh1ApFGirYy6BbChHy/view?usp=drivesdk</v>
      </c>
      <c r="Y133" s="402"/>
      <c r="Z133" s="399" t="s">
        <v>838</v>
      </c>
      <c r="AA133" s="399" t="s">
        <v>847</v>
      </c>
      <c r="AB133" s="402"/>
      <c r="AC133" s="401" t="s">
        <v>857</v>
      </c>
      <c r="AD133" s="401" t="s">
        <v>857</v>
      </c>
      <c r="AE133" s="402"/>
      <c r="AF133" s="406">
        <v>35.0</v>
      </c>
      <c r="AG133" s="402"/>
      <c r="AH133" s="391" t="s">
        <v>361</v>
      </c>
      <c r="AI133" s="402"/>
      <c r="AJ133" s="402"/>
      <c r="AK133" s="398"/>
      <c r="AL133" s="402"/>
      <c r="AM133" s="402"/>
      <c r="AN133" s="399" t="s">
        <v>138</v>
      </c>
      <c r="AO133" s="406">
        <v>70.0</v>
      </c>
      <c r="AP133" s="402"/>
      <c r="AQ133" s="402"/>
      <c r="AR133" s="402"/>
      <c r="AS133" s="402"/>
      <c r="AT133" s="398"/>
      <c r="AU133" s="398"/>
      <c r="AV133" s="398"/>
      <c r="AW133" s="409" t="s">
        <v>851</v>
      </c>
      <c r="AX133" s="410" t="s">
        <v>438</v>
      </c>
      <c r="AY133" s="61" t="str">
        <f>IFERROR(__xludf.DUMMYFUNCTION("vlookup(BB133,importrange(""https://docs.google.com/spreadsheets/d/1d2vevQ_7D_v35q4wCQ4RpQ_IPoTwEMB9Yp6ymwlPqew/edit?gid=984458430#gid=984458430"", ""'replication success'!A:K""), 11, FAlSE)"),"mixed")</f>
        <v>mixed</v>
      </c>
      <c r="AZ133" s="61" t="str">
        <f>IFERROR(__xludf.DUMMYFUNCTION("vlookup(BB133,importrange(""https://docs.google.com/spreadsheets/d/1d2vevQ_7D_v35q4wCQ4RpQ_IPoTwEMB9Yp6ymwlPqew/edit?gid=984458430#gid=984458430"",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3" s="61" t="str">
        <f>IFERROR(__xludf.DUMMYFUNCTION("vlookup(BB133,importrange(""https://docs.google.com/spreadsheets/d/1d2vevQ_7D_v35q4wCQ4RpQ_IPoTwEMB9Yp6ymwlPqew/edit?gid=984458430#gid=984458430"", ""'replication success'!A:M""), 13, FAlSE)"),"abstract")</f>
        <v>abstract</v>
      </c>
      <c r="BB133" s="61" t="str">
        <f>IFERROR(__xludf.DUMMYFUNCTION("REGEXREPLACE(G133, ""_[a-z]{1,2}$"", """")"),"additional_studies20")</f>
        <v>additional_studies20</v>
      </c>
      <c r="BC133" s="61"/>
      <c r="BD133" s="149" t="s">
        <v>144</v>
      </c>
      <c r="BG133" s="365"/>
      <c r="BH133" s="365"/>
      <c r="BI133" s="365"/>
      <c r="BJ133" s="365"/>
      <c r="BK133" s="365"/>
      <c r="BL133" s="365"/>
      <c r="BM133" s="365"/>
      <c r="BN133" s="365"/>
      <c r="BO133" s="365"/>
      <c r="BP133" s="365"/>
      <c r="BQ133" s="365"/>
      <c r="BR133" s="365"/>
      <c r="BS133" s="365"/>
      <c r="BT133" s="365"/>
      <c r="BU133" s="365"/>
      <c r="BV133" s="365"/>
      <c r="BW133" s="365"/>
      <c r="BX133" s="365"/>
      <c r="BY133" s="365"/>
      <c r="BZ133" s="365"/>
      <c r="CA133" s="365"/>
      <c r="CB133" s="365"/>
      <c r="CC133" s="365"/>
      <c r="CD133" s="365"/>
      <c r="CE133" s="365"/>
      <c r="CF133" s="365"/>
      <c r="CG133" s="365"/>
      <c r="CH133" s="365"/>
      <c r="CI133" s="365"/>
      <c r="CJ133" s="365"/>
      <c r="CK133" s="365"/>
      <c r="CL133" s="365"/>
      <c r="CM133" s="365"/>
      <c r="CN133" s="365"/>
      <c r="CO133" s="365"/>
      <c r="CP133" s="365"/>
      <c r="CQ133" s="365"/>
      <c r="CR133" s="365"/>
      <c r="CS133" s="365"/>
      <c r="CT133" s="365"/>
      <c r="CU133" s="365"/>
      <c r="CV133" s="365"/>
      <c r="CW133" s="365"/>
      <c r="CX133" s="365"/>
      <c r="CY133" s="365"/>
      <c r="CZ133" s="365"/>
      <c r="DA133" s="365"/>
      <c r="DB133" s="365"/>
      <c r="DC133" s="365"/>
      <c r="DD133" s="365"/>
      <c r="DE133" s="365"/>
      <c r="DF133" s="365"/>
      <c r="DG133" s="365"/>
      <c r="DH133" s="365"/>
      <c r="DI133" s="365"/>
      <c r="DJ133" s="365"/>
      <c r="DK133" s="365"/>
      <c r="DL133" s="365"/>
    </row>
    <row r="134" ht="20.25" customHeight="1">
      <c r="A134" s="44">
        <v>134.0</v>
      </c>
      <c r="B134" s="397" t="s">
        <v>114</v>
      </c>
      <c r="C134" s="397" t="s">
        <v>115</v>
      </c>
      <c r="D134" s="397" t="s">
        <v>346</v>
      </c>
      <c r="E134" s="220"/>
      <c r="F134" s="398" t="s">
        <v>830</v>
      </c>
      <c r="G134" s="399" t="s">
        <v>831</v>
      </c>
      <c r="H134" s="399" t="s">
        <v>349</v>
      </c>
      <c r="I134" s="400">
        <v>45639.0</v>
      </c>
      <c r="J134" s="311">
        <v>45663.0</v>
      </c>
      <c r="K134" s="401" t="s">
        <v>844</v>
      </c>
      <c r="L134" s="402"/>
      <c r="M134" s="399" t="s">
        <v>833</v>
      </c>
      <c r="N134" s="401" t="s">
        <v>834</v>
      </c>
      <c r="O134" s="402"/>
      <c r="P134" s="403" t="s">
        <v>835</v>
      </c>
      <c r="Q134" s="52" t="str">
        <f t="array" ref="Q134"> if(iserror(MATCH(V134, 'File Links'!C:C, 0)), "N/A", HYPERLINK(INDEX('File Links'!B:B, MATCH(P134, 'File Links'!C:C, 0))))</f>
        <v>https://drive.google.com/file/d/15kKUsqyFArf82r6bAlXLuUVgHc1vD9sW/view?usp=drivesdk</v>
      </c>
      <c r="R134" s="404" t="s">
        <v>858</v>
      </c>
      <c r="S134" s="404" t="s">
        <v>837</v>
      </c>
      <c r="T134" s="402"/>
      <c r="U134" s="405"/>
      <c r="V134" s="66" t="str">
        <f> hyperlink(vlookup(lower(S134),'File Links'!E:F, 2, FALSE), SUBSTITUTE(lower(S134), "/", "--") &amp;  ".pdf")</f>
        <v>10.1038--s41467-024-46936-y.pdf</v>
      </c>
      <c r="W134" s="388" t="s">
        <v>164</v>
      </c>
      <c r="X134" s="54" t="str">
        <f t="array" ref="X134"> if(iserror(MATCH(V134, 'File Links'!C:C, 0)), "N/A", HYPERLINK(INDEX('File Links'!B:B, MATCH(V134, 'File Links'!C:C, 0))))</f>
        <v>https://drive.google.com/file/d/1TJ6nnv7-YYGU9DUh1ApFGirYy6BbChHy/view?usp=drivesdk</v>
      </c>
      <c r="Y134" s="402"/>
      <c r="Z134" s="399" t="s">
        <v>838</v>
      </c>
      <c r="AA134" s="399" t="s">
        <v>847</v>
      </c>
      <c r="AB134" s="402"/>
      <c r="AC134" s="401" t="s">
        <v>859</v>
      </c>
      <c r="AD134" s="401" t="s">
        <v>859</v>
      </c>
      <c r="AE134" s="402"/>
      <c r="AF134" s="406">
        <v>35.0</v>
      </c>
      <c r="AG134" s="402"/>
      <c r="AH134" s="391" t="s">
        <v>361</v>
      </c>
      <c r="AI134" s="402"/>
      <c r="AJ134" s="402"/>
      <c r="AK134" s="398"/>
      <c r="AL134" s="402"/>
      <c r="AM134" s="402"/>
      <c r="AN134" s="399" t="s">
        <v>138</v>
      </c>
      <c r="AO134" s="406">
        <v>70.0</v>
      </c>
      <c r="AP134" s="402"/>
      <c r="AQ134" s="402"/>
      <c r="AR134" s="402"/>
      <c r="AS134" s="402"/>
      <c r="AT134" s="398"/>
      <c r="AU134" s="398"/>
      <c r="AV134" s="398"/>
      <c r="AW134" s="409" t="s">
        <v>851</v>
      </c>
      <c r="AX134" s="410" t="s">
        <v>438</v>
      </c>
      <c r="AY134" s="61" t="str">
        <f>IFERROR(__xludf.DUMMYFUNCTION("vlookup(BB134,importrange(""https://docs.google.com/spreadsheets/d/1d2vevQ_7D_v35q4wCQ4RpQ_IPoTwEMB9Yp6ymwlPqew/edit?gid=984458430#gid=984458430"", ""'replication success'!A:K""), 11, FAlSE)"),"mixed")</f>
        <v>mixed</v>
      </c>
      <c r="AZ134" s="61" t="str">
        <f>IFERROR(__xludf.DUMMYFUNCTION("vlookup(BB134,importrange(""https://docs.google.com/spreadsheets/d/1d2vevQ_7D_v35q4wCQ4RpQ_IPoTwEMB9Yp6ymwlPqew/edit?gid=984458430#gid=984458430"",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4" s="61" t="str">
        <f>IFERROR(__xludf.DUMMYFUNCTION("vlookup(BB134,importrange(""https://docs.google.com/spreadsheets/d/1d2vevQ_7D_v35q4wCQ4RpQ_IPoTwEMB9Yp6ymwlPqew/edit?gid=984458430#gid=984458430"", ""'replication success'!A:M""), 13, FAlSE)"),"abstract")</f>
        <v>abstract</v>
      </c>
      <c r="BB134" s="61" t="str">
        <f>IFERROR(__xludf.DUMMYFUNCTION("REGEXREPLACE(G134, ""_[a-z]{1,2}$"", """")"),"additional_studies20")</f>
        <v>additional_studies20</v>
      </c>
      <c r="BC134" s="61"/>
      <c r="BD134" s="149" t="s">
        <v>144</v>
      </c>
      <c r="BG134" s="365"/>
      <c r="BH134" s="365"/>
      <c r="BI134" s="365"/>
      <c r="BJ134" s="365"/>
      <c r="BK134" s="365"/>
      <c r="BL134" s="365"/>
      <c r="BM134" s="365"/>
      <c r="BN134" s="365"/>
      <c r="BO134" s="365"/>
      <c r="BP134" s="365"/>
      <c r="BQ134" s="365"/>
      <c r="BR134" s="365"/>
      <c r="BS134" s="365"/>
      <c r="BT134" s="365"/>
      <c r="BU134" s="365"/>
      <c r="BV134" s="365"/>
      <c r="BW134" s="365"/>
      <c r="BX134" s="365"/>
      <c r="BY134" s="365"/>
      <c r="BZ134" s="365"/>
      <c r="CA134" s="365"/>
      <c r="CB134" s="365"/>
      <c r="CC134" s="365"/>
      <c r="CD134" s="365"/>
      <c r="CE134" s="365"/>
      <c r="CF134" s="365"/>
      <c r="CG134" s="365"/>
      <c r="CH134" s="365"/>
      <c r="CI134" s="365"/>
      <c r="CJ134" s="365"/>
      <c r="CK134" s="365"/>
      <c r="CL134" s="365"/>
      <c r="CM134" s="365"/>
      <c r="CN134" s="365"/>
      <c r="CO134" s="365"/>
      <c r="CP134" s="365"/>
      <c r="CQ134" s="365"/>
      <c r="CR134" s="365"/>
      <c r="CS134" s="365"/>
      <c r="CT134" s="365"/>
      <c r="CU134" s="365"/>
      <c r="CV134" s="365"/>
      <c r="CW134" s="365"/>
      <c r="CX134" s="365"/>
      <c r="CY134" s="365"/>
      <c r="CZ134" s="365"/>
      <c r="DA134" s="365"/>
      <c r="DB134" s="365"/>
      <c r="DC134" s="365"/>
      <c r="DD134" s="365"/>
      <c r="DE134" s="365"/>
      <c r="DF134" s="365"/>
      <c r="DG134" s="365"/>
      <c r="DH134" s="365"/>
      <c r="DI134" s="365"/>
      <c r="DJ134" s="365"/>
      <c r="DK134" s="365"/>
      <c r="DL134" s="365"/>
    </row>
    <row r="135" ht="20.25" customHeight="1">
      <c r="A135" s="44">
        <v>135.0</v>
      </c>
      <c r="B135" s="322" t="s">
        <v>152</v>
      </c>
      <c r="C135" s="322" t="s">
        <v>115</v>
      </c>
      <c r="D135" s="325" t="s">
        <v>442</v>
      </c>
      <c r="E135" s="226"/>
      <c r="F135" s="398" t="s">
        <v>830</v>
      </c>
      <c r="G135" s="388" t="s">
        <v>860</v>
      </c>
      <c r="H135" s="388" t="s">
        <v>445</v>
      </c>
      <c r="I135" s="389">
        <v>45634.0</v>
      </c>
      <c r="J135" s="311">
        <v>45663.0</v>
      </c>
      <c r="K135" s="388" t="s">
        <v>832</v>
      </c>
      <c r="L135" s="212" t="s">
        <v>861</v>
      </c>
      <c r="M135" s="388" t="s">
        <v>833</v>
      </c>
      <c r="N135" s="388" t="s">
        <v>834</v>
      </c>
      <c r="O135" s="330">
        <v>1.0</v>
      </c>
      <c r="P135" s="391" t="s">
        <v>835</v>
      </c>
      <c r="Q135" s="52" t="str">
        <f t="array" ref="Q135"> if(iserror(MATCH(V135, 'File Links'!C:C, 0)), "N/A", HYPERLINK(INDEX('File Links'!B:B, MATCH(P135, 'File Links'!C:C, 0))))</f>
        <v>https://drive.google.com/file/d/15kKUsqyFArf82r6bAlXLuUVgHc1vD9sW/view?usp=drivesdk</v>
      </c>
      <c r="R135" s="388" t="s">
        <v>836</v>
      </c>
      <c r="S135" s="388" t="s">
        <v>837</v>
      </c>
      <c r="T135" s="390"/>
      <c r="U135" s="133">
        <v>1.0</v>
      </c>
      <c r="V135" s="66" t="str">
        <f> hyperlink(vlookup(lower(S135),'File Links'!E:F, 2, FALSE), SUBSTITUTE(lower(S135), "/", "--") &amp;  ".pdf")</f>
        <v>10.1038--s41467-024-46936-y.pdf</v>
      </c>
      <c r="W135" s="388" t="s">
        <v>164</v>
      </c>
      <c r="X135" s="54" t="str">
        <f t="array" ref="X135"> if(iserror(MATCH(V135, 'File Links'!C:C, 0)), "N/A", HYPERLINK(INDEX('File Links'!B:B, MATCH(V135, 'File Links'!C:C, 0))))</f>
        <v>https://drive.google.com/file/d/1TJ6nnv7-YYGU9DUh1ApFGirYy6BbChHy/view?usp=drivesdk</v>
      </c>
      <c r="Y135" s="390"/>
      <c r="Z135" s="388" t="s">
        <v>838</v>
      </c>
      <c r="AA135" s="388" t="s">
        <v>839</v>
      </c>
      <c r="AB135" s="388" t="s">
        <v>840</v>
      </c>
      <c r="AC135" s="388" t="s">
        <v>841</v>
      </c>
      <c r="AD135" s="392" t="s">
        <v>862</v>
      </c>
      <c r="AE135" s="393">
        <v>3.0</v>
      </c>
      <c r="AF135" s="393">
        <v>35.0</v>
      </c>
      <c r="AG135" s="394">
        <v>-0.01</v>
      </c>
      <c r="AH135" s="391" t="s">
        <v>361</v>
      </c>
      <c r="AI135" s="392" t="s">
        <v>217</v>
      </c>
      <c r="AJ135" s="393">
        <v>0.86</v>
      </c>
      <c r="AK135" s="387" t="s">
        <v>172</v>
      </c>
      <c r="AL135" s="388" t="s">
        <v>186</v>
      </c>
      <c r="AM135" s="388" t="s">
        <v>137</v>
      </c>
      <c r="AN135" s="219" t="s">
        <v>138</v>
      </c>
      <c r="AO135" s="393">
        <v>46.0</v>
      </c>
      <c r="AP135" s="394">
        <v>0.02</v>
      </c>
      <c r="AQ135" s="388" t="s">
        <v>361</v>
      </c>
      <c r="AR135" s="388" t="s">
        <v>496</v>
      </c>
      <c r="AS135" s="394">
        <v>0.548</v>
      </c>
      <c r="AT135" s="387" t="s">
        <v>172</v>
      </c>
      <c r="AU135" s="387" t="s">
        <v>186</v>
      </c>
      <c r="AV135" s="387" t="s">
        <v>137</v>
      </c>
      <c r="AW135" s="411" t="s">
        <v>863</v>
      </c>
      <c r="AX135" s="396" t="s">
        <v>438</v>
      </c>
      <c r="AY135" s="61" t="str">
        <f>IFERROR(__xludf.DUMMYFUNCTION("vlookup(BB135,importrange(""https://docs.google.com/spreadsheets/d/1d2vevQ_7D_v35q4wCQ4RpQ_IPoTwEMB9Yp6ymwlPqew/edit?gid=984458430#gid=984458430"", ""'replication success'!A:K""), 11, FAlSE)"),"mixed")</f>
        <v>mixed</v>
      </c>
      <c r="AZ135" s="61" t="str">
        <f>IFERROR(__xludf.DUMMYFUNCTION("vlookup(BB135,importrange(""https://docs.google.com/spreadsheets/d/1d2vevQ_7D_v35q4wCQ4RpQ_IPoTwEMB9Yp6ymwlPqew/edit?gid=984458430#gid=984458430"",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5" s="61" t="str">
        <f>IFERROR(__xludf.DUMMYFUNCTION("vlookup(BB135,importrange(""https://docs.google.com/spreadsheets/d/1d2vevQ_7D_v35q4wCQ4RpQ_IPoTwEMB9Yp6ymwlPqew/edit?gid=984458430#gid=984458430"", ""'replication success'!A:M""), 13, FAlSE)"),"abstract")</f>
        <v>abstract</v>
      </c>
      <c r="BB135" s="61" t="str">
        <f>IFERROR(__xludf.DUMMYFUNCTION("REGEXREPLACE(G135, ""_[a-z]{1,2}$"", """")"),"additional_studies20")</f>
        <v>additional_studies20</v>
      </c>
      <c r="BC135" s="129" t="s">
        <v>864</v>
      </c>
      <c r="BD135" s="149" t="s">
        <v>144</v>
      </c>
      <c r="BG135" s="365"/>
      <c r="BH135" s="365"/>
      <c r="BI135" s="365"/>
      <c r="BJ135" s="365"/>
      <c r="BK135" s="365"/>
      <c r="BL135" s="365"/>
      <c r="BM135" s="365"/>
      <c r="BN135" s="365"/>
      <c r="BO135" s="365"/>
      <c r="BP135" s="365"/>
      <c r="BQ135" s="365"/>
      <c r="BR135" s="365"/>
      <c r="BS135" s="365"/>
      <c r="BT135" s="365"/>
      <c r="BU135" s="365"/>
      <c r="BV135" s="365"/>
      <c r="BW135" s="365"/>
      <c r="BX135" s="365"/>
      <c r="BY135" s="365"/>
      <c r="BZ135" s="365"/>
      <c r="CA135" s="365"/>
      <c r="CB135" s="365"/>
      <c r="CC135" s="365"/>
      <c r="CD135" s="365"/>
      <c r="CE135" s="365"/>
      <c r="CF135" s="365"/>
      <c r="CG135" s="365"/>
      <c r="CH135" s="365"/>
      <c r="CI135" s="365"/>
      <c r="CJ135" s="365"/>
      <c r="CK135" s="365"/>
      <c r="CL135" s="365"/>
      <c r="CM135" s="365"/>
      <c r="CN135" s="365"/>
      <c r="CO135" s="365"/>
      <c r="CP135" s="365"/>
      <c r="CQ135" s="365"/>
      <c r="CR135" s="365"/>
      <c r="CS135" s="365"/>
      <c r="CT135" s="365"/>
      <c r="CU135" s="365"/>
      <c r="CV135" s="365"/>
      <c r="CW135" s="365"/>
      <c r="CX135" s="365"/>
      <c r="CY135" s="365"/>
      <c r="CZ135" s="365"/>
      <c r="DA135" s="365"/>
      <c r="DB135" s="365"/>
      <c r="DC135" s="365"/>
      <c r="DD135" s="365"/>
      <c r="DE135" s="365"/>
      <c r="DF135" s="365"/>
      <c r="DG135" s="365"/>
      <c r="DH135" s="365"/>
      <c r="DI135" s="365"/>
      <c r="DJ135" s="365"/>
      <c r="DK135" s="365"/>
      <c r="DL135" s="365"/>
    </row>
    <row r="136" ht="20.25" customHeight="1">
      <c r="A136" s="44">
        <v>136.0</v>
      </c>
      <c r="B136" s="322" t="s">
        <v>152</v>
      </c>
      <c r="C136" s="322" t="s">
        <v>115</v>
      </c>
      <c r="D136" s="325" t="s">
        <v>442</v>
      </c>
      <c r="E136" s="226"/>
      <c r="F136" s="398" t="s">
        <v>830</v>
      </c>
      <c r="G136" s="388" t="s">
        <v>865</v>
      </c>
      <c r="H136" s="388" t="s">
        <v>445</v>
      </c>
      <c r="I136" s="389">
        <v>45634.0</v>
      </c>
      <c r="J136" s="311">
        <v>45663.0</v>
      </c>
      <c r="K136" s="388" t="s">
        <v>832</v>
      </c>
      <c r="L136" s="330" t="s">
        <v>866</v>
      </c>
      <c r="M136" s="388" t="s">
        <v>833</v>
      </c>
      <c r="N136" s="388" t="s">
        <v>834</v>
      </c>
      <c r="O136" s="330">
        <v>1.0</v>
      </c>
      <c r="P136" s="391" t="s">
        <v>835</v>
      </c>
      <c r="Q136" s="52" t="str">
        <f t="array" ref="Q136"> if(iserror(MATCH(V136, 'File Links'!C:C, 0)), "N/A", HYPERLINK(INDEX('File Links'!B:B, MATCH(P136, 'File Links'!C:C, 0))))</f>
        <v>https://drive.google.com/file/d/15kKUsqyFArf82r6bAlXLuUVgHc1vD9sW/view?usp=drivesdk</v>
      </c>
      <c r="R136" s="388" t="s">
        <v>836</v>
      </c>
      <c r="S136" s="388" t="s">
        <v>837</v>
      </c>
      <c r="T136" s="390"/>
      <c r="U136" s="133">
        <v>1.0</v>
      </c>
      <c r="V136" s="66" t="str">
        <f> hyperlink(vlookup(lower(S136),'File Links'!E:F, 2, FALSE), SUBSTITUTE(lower(S136), "/", "--") &amp;  ".pdf")</f>
        <v>10.1038--s41467-024-46936-y.pdf</v>
      </c>
      <c r="W136" s="388" t="s">
        <v>164</v>
      </c>
      <c r="X136" s="54" t="str">
        <f t="array" ref="X136"> if(iserror(MATCH(V136, 'File Links'!C:C, 0)), "N/A", HYPERLINK(INDEX('File Links'!B:B, MATCH(V136, 'File Links'!C:C, 0))))</f>
        <v>https://drive.google.com/file/d/1TJ6nnv7-YYGU9DUh1ApFGirYy6BbChHy/view?usp=drivesdk</v>
      </c>
      <c r="Y136" s="390"/>
      <c r="Z136" s="388" t="s">
        <v>838</v>
      </c>
      <c r="AA136" s="388" t="s">
        <v>839</v>
      </c>
      <c r="AB136" s="388" t="s">
        <v>840</v>
      </c>
      <c r="AC136" s="388" t="s">
        <v>841</v>
      </c>
      <c r="AD136" s="392" t="s">
        <v>867</v>
      </c>
      <c r="AE136" s="393">
        <v>3.0</v>
      </c>
      <c r="AF136" s="393">
        <v>35.0</v>
      </c>
      <c r="AG136" s="394">
        <v>0.06</v>
      </c>
      <c r="AH136" s="391" t="s">
        <v>361</v>
      </c>
      <c r="AI136" s="392" t="s">
        <v>217</v>
      </c>
      <c r="AJ136" s="394">
        <v>0.1</v>
      </c>
      <c r="AK136" s="387" t="s">
        <v>172</v>
      </c>
      <c r="AL136" s="388" t="s">
        <v>186</v>
      </c>
      <c r="AM136" s="388" t="s">
        <v>137</v>
      </c>
      <c r="AN136" s="219" t="s">
        <v>138</v>
      </c>
      <c r="AO136" s="393">
        <v>46.0</v>
      </c>
      <c r="AP136" s="394" t="s">
        <v>868</v>
      </c>
      <c r="AQ136" s="388" t="s">
        <v>361</v>
      </c>
      <c r="AR136" s="388" t="s">
        <v>496</v>
      </c>
      <c r="AS136" s="394">
        <v>0.003</v>
      </c>
      <c r="AT136" s="387" t="s">
        <v>172</v>
      </c>
      <c r="AU136" s="387" t="s">
        <v>186</v>
      </c>
      <c r="AV136" s="387" t="s">
        <v>137</v>
      </c>
      <c r="AW136" s="411" t="s">
        <v>863</v>
      </c>
      <c r="AX136" s="396" t="s">
        <v>438</v>
      </c>
      <c r="AY136" s="61" t="str">
        <f>IFERROR(__xludf.DUMMYFUNCTION("vlookup(BB136,importrange(""https://docs.google.com/spreadsheets/d/1d2vevQ_7D_v35q4wCQ4RpQ_IPoTwEMB9Yp6ymwlPqew/edit?gid=984458430#gid=984458430"", ""'replication success'!A:K""), 11, FAlSE)"),"mixed")</f>
        <v>mixed</v>
      </c>
      <c r="AZ136" s="61" t="str">
        <f>IFERROR(__xludf.DUMMYFUNCTION("vlookup(BB136,importrange(""https://docs.google.com/spreadsheets/d/1d2vevQ_7D_v35q4wCQ4RpQ_IPoTwEMB9Yp6ymwlPqew/edit?gid=984458430#gid=984458430"",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6" s="61" t="str">
        <f>IFERROR(__xludf.DUMMYFUNCTION("vlookup(BB136,importrange(""https://docs.google.com/spreadsheets/d/1d2vevQ_7D_v35q4wCQ4RpQ_IPoTwEMB9Yp6ymwlPqew/edit?gid=984458430#gid=984458430"", ""'replication success'!A:M""), 13, FAlSE)"),"abstract")</f>
        <v>abstract</v>
      </c>
      <c r="BB136" s="61" t="str">
        <f>IFERROR(__xludf.DUMMYFUNCTION("REGEXREPLACE(G136, ""_[a-z]{1,2}$"", """")"),"additional_studies20")</f>
        <v>additional_studies20</v>
      </c>
      <c r="BC136" s="129"/>
      <c r="BD136" s="149" t="s">
        <v>144</v>
      </c>
    </row>
    <row r="137" ht="20.25" customHeight="1">
      <c r="A137" s="44">
        <v>137.0</v>
      </c>
      <c r="B137" s="322" t="s">
        <v>152</v>
      </c>
      <c r="C137" s="322" t="s">
        <v>115</v>
      </c>
      <c r="D137" s="325" t="s">
        <v>442</v>
      </c>
      <c r="E137" s="226"/>
      <c r="F137" s="398" t="s">
        <v>830</v>
      </c>
      <c r="G137" s="388" t="s">
        <v>869</v>
      </c>
      <c r="H137" s="388" t="s">
        <v>445</v>
      </c>
      <c r="I137" s="389">
        <v>45634.0</v>
      </c>
      <c r="J137" s="311">
        <v>45663.0</v>
      </c>
      <c r="K137" s="388" t="s">
        <v>870</v>
      </c>
      <c r="L137" s="330" t="s">
        <v>871</v>
      </c>
      <c r="M137" s="388" t="s">
        <v>833</v>
      </c>
      <c r="N137" s="388" t="s">
        <v>834</v>
      </c>
      <c r="O137" s="330">
        <v>1.0</v>
      </c>
      <c r="P137" s="391" t="s">
        <v>835</v>
      </c>
      <c r="Q137" s="52" t="str">
        <f t="array" ref="Q137"> if(iserror(MATCH(V137, 'File Links'!C:C, 0)), "N/A", HYPERLINK(INDEX('File Links'!B:B, MATCH(P137, 'File Links'!C:C, 0))))</f>
        <v>https://drive.google.com/file/d/15kKUsqyFArf82r6bAlXLuUVgHc1vD9sW/view?usp=drivesdk</v>
      </c>
      <c r="R137" s="388" t="s">
        <v>836</v>
      </c>
      <c r="S137" s="388" t="s">
        <v>837</v>
      </c>
      <c r="T137" s="390"/>
      <c r="U137" s="133">
        <v>1.0</v>
      </c>
      <c r="V137" s="66" t="str">
        <f> hyperlink(vlookup(lower(S137),'File Links'!E:F, 2, FALSE), SUBSTITUTE(lower(S137), "/", "--") &amp;  ".pdf")</f>
        <v>10.1038--s41467-024-46936-y.pdf</v>
      </c>
      <c r="W137" s="388" t="s">
        <v>164</v>
      </c>
      <c r="X137" s="54" t="str">
        <f t="array" ref="X137"> if(iserror(MATCH(V137, 'File Links'!C:C, 0)), "N/A", HYPERLINK(INDEX('File Links'!B:B, MATCH(V137, 'File Links'!C:C, 0))))</f>
        <v>https://drive.google.com/file/d/1TJ6nnv7-YYGU9DUh1ApFGirYy6BbChHy/view?usp=drivesdk</v>
      </c>
      <c r="Y137" s="390"/>
      <c r="Z137" s="388" t="s">
        <v>838</v>
      </c>
      <c r="AA137" s="388" t="s">
        <v>839</v>
      </c>
      <c r="AB137" s="388" t="s">
        <v>840</v>
      </c>
      <c r="AC137" s="388" t="s">
        <v>872</v>
      </c>
      <c r="AD137" s="388" t="s">
        <v>873</v>
      </c>
      <c r="AE137" s="393">
        <v>2.0</v>
      </c>
      <c r="AF137" s="393">
        <v>35.0</v>
      </c>
      <c r="AG137" s="412">
        <v>0.17</v>
      </c>
      <c r="AH137" s="380" t="s">
        <v>874</v>
      </c>
      <c r="AI137" s="392" t="s">
        <v>875</v>
      </c>
      <c r="AJ137" s="393">
        <v>0.02</v>
      </c>
      <c r="AK137" s="387" t="s">
        <v>172</v>
      </c>
      <c r="AL137" s="388" t="s">
        <v>186</v>
      </c>
      <c r="AM137" s="388" t="s">
        <v>137</v>
      </c>
      <c r="AN137" s="219" t="s">
        <v>138</v>
      </c>
      <c r="AO137" s="393">
        <v>55.0</v>
      </c>
      <c r="AP137" s="393" t="s">
        <v>876</v>
      </c>
      <c r="AQ137" s="388" t="s">
        <v>134</v>
      </c>
      <c r="AR137" s="388" t="s">
        <v>496</v>
      </c>
      <c r="AS137" s="393">
        <v>0.887</v>
      </c>
      <c r="AT137" s="387" t="s">
        <v>172</v>
      </c>
      <c r="AU137" s="387" t="s">
        <v>186</v>
      </c>
      <c r="AV137" s="387" t="s">
        <v>137</v>
      </c>
      <c r="AW137" s="411" t="s">
        <v>863</v>
      </c>
      <c r="AX137" s="396" t="s">
        <v>438</v>
      </c>
      <c r="AY137" s="61" t="str">
        <f>IFERROR(__xludf.DUMMYFUNCTION("vlookup(BB137,importrange(""https://docs.google.com/spreadsheets/d/1d2vevQ_7D_v35q4wCQ4RpQ_IPoTwEMB9Yp6ymwlPqew/edit?gid=984458430#gid=984458430"", ""'replication success'!A:K""), 11, FAlSE)"),"mixed")</f>
        <v>mixed</v>
      </c>
      <c r="AZ137" s="61" t="str">
        <f>IFERROR(__xludf.DUMMYFUNCTION("vlookup(BB137,importrange(""https://docs.google.com/spreadsheets/d/1d2vevQ_7D_v35q4wCQ4RpQ_IPoTwEMB9Yp6ymwlPqew/edit?gid=984458430#gid=984458430"",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7" s="61" t="str">
        <f>IFERROR(__xludf.DUMMYFUNCTION("vlookup(BB137,importrange(""https://docs.google.com/spreadsheets/d/1d2vevQ_7D_v35q4wCQ4RpQ_IPoTwEMB9Yp6ymwlPqew/edit?gid=984458430#gid=984458430"", ""'replication success'!A:M""), 13, FAlSE)"),"abstract")</f>
        <v>abstract</v>
      </c>
      <c r="BB137" s="61" t="str">
        <f>IFERROR(__xludf.DUMMYFUNCTION("REGEXREPLACE(G137, ""_[a-z]{1,2}$"", """")"),"additional_studies20")</f>
        <v>additional_studies20</v>
      </c>
      <c r="BC137" s="129"/>
      <c r="BD137" s="149" t="s">
        <v>144</v>
      </c>
    </row>
    <row r="138" ht="20.25" customHeight="1">
      <c r="A138" s="44">
        <v>138.0</v>
      </c>
      <c r="B138" s="322" t="s">
        <v>152</v>
      </c>
      <c r="C138" s="322" t="s">
        <v>115</v>
      </c>
      <c r="D138" s="325" t="s">
        <v>442</v>
      </c>
      <c r="E138" s="226"/>
      <c r="F138" s="398" t="s">
        <v>830</v>
      </c>
      <c r="G138" s="388" t="s">
        <v>877</v>
      </c>
      <c r="H138" s="388" t="s">
        <v>445</v>
      </c>
      <c r="I138" s="389">
        <v>45634.0</v>
      </c>
      <c r="J138" s="311">
        <v>45663.0</v>
      </c>
      <c r="K138" s="388" t="s">
        <v>878</v>
      </c>
      <c r="L138" s="330" t="s">
        <v>866</v>
      </c>
      <c r="M138" s="388" t="s">
        <v>833</v>
      </c>
      <c r="N138" s="388" t="s">
        <v>834</v>
      </c>
      <c r="O138" s="330">
        <v>1.0</v>
      </c>
      <c r="P138" s="391" t="s">
        <v>835</v>
      </c>
      <c r="Q138" s="52" t="str">
        <f t="array" ref="Q138"> if(iserror(MATCH(V138, 'File Links'!C:C, 0)), "N/A", HYPERLINK(INDEX('File Links'!B:B, MATCH(P138, 'File Links'!C:C, 0))))</f>
        <v>https://drive.google.com/file/d/15kKUsqyFArf82r6bAlXLuUVgHc1vD9sW/view?usp=drivesdk</v>
      </c>
      <c r="R138" s="388" t="s">
        <v>836</v>
      </c>
      <c r="S138" s="388" t="s">
        <v>837</v>
      </c>
      <c r="T138" s="390"/>
      <c r="U138" s="133">
        <v>1.0</v>
      </c>
      <c r="V138" s="66" t="str">
        <f> hyperlink(vlookup(lower(S138),'File Links'!E:F, 2, FALSE), SUBSTITUTE(lower(S138), "/", "--") &amp;  ".pdf")</f>
        <v>10.1038--s41467-024-46936-y.pdf</v>
      </c>
      <c r="W138" s="388" t="s">
        <v>164</v>
      </c>
      <c r="X138" s="54" t="str">
        <f t="array" ref="X138"> if(iserror(MATCH(V138, 'File Links'!C:C, 0)), "N/A", HYPERLINK(INDEX('File Links'!B:B, MATCH(V138, 'File Links'!C:C, 0))))</f>
        <v>https://drive.google.com/file/d/1TJ6nnv7-YYGU9DUh1ApFGirYy6BbChHy/view?usp=drivesdk</v>
      </c>
      <c r="Y138" s="390"/>
      <c r="Z138" s="388" t="s">
        <v>838</v>
      </c>
      <c r="AA138" s="388" t="s">
        <v>839</v>
      </c>
      <c r="AB138" s="388" t="s">
        <v>840</v>
      </c>
      <c r="AC138" s="388" t="s">
        <v>879</v>
      </c>
      <c r="AD138" s="392" t="s">
        <v>880</v>
      </c>
      <c r="AE138" s="393">
        <v>5.0</v>
      </c>
      <c r="AF138" s="393">
        <v>40.0</v>
      </c>
      <c r="AG138" s="412">
        <v>0.09</v>
      </c>
      <c r="AH138" s="380" t="s">
        <v>874</v>
      </c>
      <c r="AI138" s="392" t="s">
        <v>813</v>
      </c>
      <c r="AJ138" s="393">
        <v>0.02</v>
      </c>
      <c r="AK138" s="387" t="s">
        <v>172</v>
      </c>
      <c r="AL138" s="388" t="s">
        <v>186</v>
      </c>
      <c r="AM138" s="388" t="s">
        <v>137</v>
      </c>
      <c r="AN138" s="219" t="s">
        <v>138</v>
      </c>
      <c r="AO138" s="393">
        <v>46.0</v>
      </c>
      <c r="AP138" s="393" t="s">
        <v>881</v>
      </c>
      <c r="AQ138" s="388" t="s">
        <v>134</v>
      </c>
      <c r="AR138" s="388" t="s">
        <v>882</v>
      </c>
      <c r="AS138" s="393">
        <v>0.7</v>
      </c>
      <c r="AT138" s="387" t="s">
        <v>172</v>
      </c>
      <c r="AU138" s="387" t="s">
        <v>186</v>
      </c>
      <c r="AV138" s="387" t="s">
        <v>137</v>
      </c>
      <c r="AW138" s="411" t="s">
        <v>863</v>
      </c>
      <c r="AX138" s="396" t="s">
        <v>438</v>
      </c>
      <c r="AY138" s="61" t="str">
        <f>IFERROR(__xludf.DUMMYFUNCTION("vlookup(BB138,importrange(""https://docs.google.com/spreadsheets/d/1d2vevQ_7D_v35q4wCQ4RpQ_IPoTwEMB9Yp6ymwlPqew/edit?gid=984458430#gid=984458430"", ""'replication success'!A:K""), 11, FAlSE)"),"mixed")</f>
        <v>mixed</v>
      </c>
      <c r="AZ138" s="61" t="str">
        <f>IFERROR(__xludf.DUMMYFUNCTION("vlookup(BB138,importrange(""https://docs.google.com/spreadsheets/d/1d2vevQ_7D_v35q4wCQ4RpQ_IPoTwEMB9Yp6ymwlPqew/edit?gid=984458430#gid=984458430"", ""'replication success'!A:M""), 12, FAlSE)"),"We confirm that spontaneous post-extinction vmPFC reactivations predict
extinction memory retrieval. This predictive effect, however, was only
observed 90 min after extinction, and was not statistically significant at 45 min
as in the discovery study. "&amp;"In contrast to our previous study, we find no evi dence that L-DOPA administration significantly enhances retrieval and that this is mediated by enhancement of the number of vmPFC reactivations.")</f>
        <v>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v>
      </c>
      <c r="BA138" s="61" t="str">
        <f>IFERROR(__xludf.DUMMYFUNCTION("vlookup(BB138,importrange(""https://docs.google.com/spreadsheets/d/1d2vevQ_7D_v35q4wCQ4RpQ_IPoTwEMB9Yp6ymwlPqew/edit?gid=984458430#gid=984458430"", ""'replication success'!A:M""), 13, FAlSE)"),"abstract")</f>
        <v>abstract</v>
      </c>
      <c r="BB138" s="61" t="str">
        <f>IFERROR(__xludf.DUMMYFUNCTION("REGEXREPLACE(G138, ""_[a-z]{1,2}$"", """")"),"additional_studies20")</f>
        <v>additional_studies20</v>
      </c>
      <c r="BC138" s="129"/>
      <c r="BD138" s="149" t="s">
        <v>144</v>
      </c>
      <c r="BG138" s="365"/>
      <c r="BH138" s="365"/>
      <c r="BI138" s="365"/>
      <c r="BJ138" s="365"/>
      <c r="BK138" s="365"/>
      <c r="BL138" s="365"/>
      <c r="BM138" s="365"/>
      <c r="BN138" s="365"/>
      <c r="BO138" s="365"/>
      <c r="BP138" s="365"/>
      <c r="BQ138" s="365"/>
      <c r="BR138" s="365"/>
      <c r="BS138" s="365"/>
      <c r="BT138" s="365"/>
      <c r="BU138" s="365"/>
      <c r="BV138" s="365"/>
      <c r="BW138" s="365"/>
      <c r="BX138" s="365"/>
      <c r="BY138" s="365"/>
      <c r="BZ138" s="365"/>
      <c r="CA138" s="365"/>
      <c r="CB138" s="365"/>
      <c r="CC138" s="365"/>
      <c r="CD138" s="365"/>
      <c r="CE138" s="365"/>
      <c r="CF138" s="365"/>
      <c r="CG138" s="365"/>
      <c r="CH138" s="365"/>
      <c r="CI138" s="365"/>
      <c r="CJ138" s="365"/>
      <c r="CK138" s="365"/>
      <c r="CL138" s="365"/>
      <c r="CM138" s="365"/>
      <c r="CN138" s="365"/>
      <c r="CO138" s="365"/>
      <c r="CP138" s="365"/>
      <c r="CQ138" s="365"/>
      <c r="CR138" s="365"/>
      <c r="CS138" s="365"/>
      <c r="CT138" s="365"/>
      <c r="CU138" s="365"/>
      <c r="CV138" s="365"/>
      <c r="CW138" s="365"/>
      <c r="CX138" s="365"/>
      <c r="CY138" s="365"/>
      <c r="CZ138" s="365"/>
      <c r="DA138" s="365"/>
      <c r="DB138" s="365"/>
      <c r="DC138" s="365"/>
      <c r="DD138" s="365"/>
      <c r="DE138" s="365"/>
      <c r="DF138" s="365"/>
      <c r="DG138" s="365"/>
      <c r="DH138" s="365"/>
      <c r="DI138" s="365"/>
      <c r="DJ138" s="365"/>
      <c r="DK138" s="365"/>
      <c r="DL138" s="365"/>
    </row>
    <row r="139" ht="20.25" customHeight="1">
      <c r="A139" s="44">
        <v>139.0</v>
      </c>
      <c r="B139" s="45" t="s">
        <v>285</v>
      </c>
      <c r="C139" s="45" t="s">
        <v>115</v>
      </c>
      <c r="D139" s="45" t="s">
        <v>753</v>
      </c>
      <c r="E139" s="65"/>
      <c r="F139" s="413" t="s">
        <v>883</v>
      </c>
      <c r="G139" s="45" t="s">
        <v>884</v>
      </c>
      <c r="H139" s="45" t="s">
        <v>753</v>
      </c>
      <c r="I139" s="63">
        <v>45427.0</v>
      </c>
      <c r="J139" s="65"/>
      <c r="K139" s="45" t="s">
        <v>885</v>
      </c>
      <c r="L139" s="65"/>
      <c r="M139" s="45" t="s">
        <v>886</v>
      </c>
      <c r="N139" s="45" t="s">
        <v>887</v>
      </c>
      <c r="O139" s="45">
        <v>1.0</v>
      </c>
      <c r="P139" s="118" t="str">
        <f> hyperlink(vlookup(lower(N139),'File Links'!A:B, 2, FALSE), SUBSTITUTE(lower(N139), "/", "--") &amp;  ".pdf")</f>
        <v>10.1016--j.ijinfomgt.2018.03.001.pdf</v>
      </c>
      <c r="Q139" s="52" t="str">
        <f t="array" ref="Q139"> if(iserror(MATCH(V139, 'File Links'!C:C, 0)), "N/A", HYPERLINK(INDEX('File Links'!B:B, MATCH(P139, 'File Links'!C:C, 0))))</f>
        <v>https://drive.google.com/file/d/1o9LFgnQOxOWMbLhy5xq59Vl4kwI6felM/view?usp=drivesdk</v>
      </c>
      <c r="R139" s="45" t="s">
        <v>888</v>
      </c>
      <c r="S139" s="45" t="s">
        <v>889</v>
      </c>
      <c r="T139" s="65"/>
      <c r="U139" s="45">
        <v>1.0</v>
      </c>
      <c r="V139" s="66" t="str">
        <f> hyperlink(vlookup(lower(S139),'File Links'!E:F, 2, FALSE), SUBSTITUTE(lower(S139), "/", "--") &amp;  ".pdf")</f>
        <v>10.17645--mac.7666.pdf</v>
      </c>
      <c r="W139" s="45" t="s">
        <v>890</v>
      </c>
      <c r="X139" s="54" t="str">
        <f t="array" ref="X139"> if(iserror(MATCH(V139, 'File Links'!C:C, 0)), "N/A", HYPERLINK(INDEX('File Links'!B:B, MATCH(V139, 'File Links'!C:C, 0))))</f>
        <v>https://drive.google.com/file/d/1STHrs5t12prgYSc1TN8l_wPj0GlytkgS/view?usp=drivesdk</v>
      </c>
      <c r="Y139" s="45"/>
      <c r="Z139" s="45" t="s">
        <v>586</v>
      </c>
      <c r="AA139" s="45" t="s">
        <v>891</v>
      </c>
      <c r="AB139" s="45" t="s">
        <v>892</v>
      </c>
      <c r="AC139" s="45" t="s">
        <v>893</v>
      </c>
      <c r="AD139" s="45" t="s">
        <v>894</v>
      </c>
      <c r="AE139" s="45">
        <v>28.0</v>
      </c>
      <c r="AF139" s="45">
        <v>341.0</v>
      </c>
      <c r="AG139" s="414">
        <v>415.0</v>
      </c>
      <c r="AH139" s="45" t="s">
        <v>361</v>
      </c>
      <c r="AI139" s="45">
        <v>28.0</v>
      </c>
      <c r="AJ139" s="45">
        <v>0.001</v>
      </c>
      <c r="AK139" s="45" t="s">
        <v>135</v>
      </c>
      <c r="AL139" s="45" t="s">
        <v>136</v>
      </c>
      <c r="AM139" s="67"/>
      <c r="AN139" s="219" t="s">
        <v>138</v>
      </c>
      <c r="AO139" s="45">
        <v>351.0</v>
      </c>
      <c r="AP139" s="414">
        <v>565.0</v>
      </c>
      <c r="AQ139" s="45" t="s">
        <v>361</v>
      </c>
      <c r="AR139" s="45">
        <v>10.0</v>
      </c>
      <c r="AS139" s="45" t="s">
        <v>895</v>
      </c>
      <c r="AT139" s="45" t="s">
        <v>135</v>
      </c>
      <c r="AU139" s="45" t="s">
        <v>136</v>
      </c>
      <c r="AV139" s="67"/>
      <c r="AX139" s="129" t="s">
        <v>324</v>
      </c>
      <c r="AY139" s="61" t="str">
        <f>IFERROR(__xludf.DUMMYFUNCTION("vlookup(BB139,importrange(""https://docs.google.com/spreadsheets/d/1d2vevQ_7D_v35q4wCQ4RpQ_IPoTwEMB9Yp6ymwlPqew/edit?gid=984458430#gid=984458430"", ""'replication success'!A:K""), 11, FAlSE)"),"#N/A")</f>
        <v>#N/A</v>
      </c>
      <c r="AZ139" s="61" t="str">
        <f>IFERROR(__xludf.DUMMYFUNCTION("vlookup(BB139,importrange(""https://docs.google.com/spreadsheets/d/1d2vevQ_7D_v35q4wCQ4RpQ_IPoTwEMB9Yp6ymwlPqew/edit?gid=984458430#gid=984458430"", ""'replication success'!A:M""), 12, FAlSE)"),"#N/A")</f>
        <v>#N/A</v>
      </c>
      <c r="BA139" s="61" t="str">
        <f>IFERROR(__xludf.DUMMYFUNCTION("vlookup(BB139,importrange(""https://docs.google.com/spreadsheets/d/1d2vevQ_7D_v35q4wCQ4RpQ_IPoTwEMB9Yp6ymwlPqew/edit?gid=984458430#gid=984458430"", ""'replication success'!A:M""), 13, FAlSE)"),"#N/A")</f>
        <v>#N/A</v>
      </c>
      <c r="BB139" s="61" t="str">
        <f>IFERROR(__xludf.DUMMYFUNCTION("REGEXREPLACE(G139, ""_[a-z]{1,2}$"", """")"),"additional_studies21")</f>
        <v>additional_studies21</v>
      </c>
      <c r="BC139" s="65"/>
      <c r="BD139" s="149"/>
      <c r="BG139" s="365"/>
      <c r="BH139" s="365"/>
      <c r="BI139" s="365"/>
      <c r="BJ139" s="365"/>
      <c r="BK139" s="365"/>
      <c r="BL139" s="365"/>
      <c r="BM139" s="365"/>
      <c r="BN139" s="365"/>
      <c r="BO139" s="365"/>
      <c r="BP139" s="365"/>
      <c r="BQ139" s="365"/>
      <c r="BR139" s="365"/>
      <c r="BS139" s="365"/>
      <c r="BT139" s="365"/>
      <c r="BU139" s="365"/>
      <c r="BV139" s="365"/>
      <c r="BW139" s="365"/>
      <c r="BX139" s="365"/>
      <c r="BY139" s="365"/>
      <c r="BZ139" s="365"/>
      <c r="CA139" s="365"/>
      <c r="CB139" s="365"/>
      <c r="CC139" s="365"/>
      <c r="CD139" s="365"/>
      <c r="CE139" s="365"/>
      <c r="CF139" s="365"/>
      <c r="CG139" s="365"/>
      <c r="CH139" s="365"/>
      <c r="CI139" s="365"/>
      <c r="CJ139" s="365"/>
      <c r="CK139" s="365"/>
      <c r="CL139" s="365"/>
      <c r="CM139" s="365"/>
      <c r="CN139" s="365"/>
      <c r="CO139" s="365"/>
      <c r="CP139" s="365"/>
      <c r="CQ139" s="365"/>
      <c r="CR139" s="365"/>
      <c r="CS139" s="365"/>
      <c r="CT139" s="365"/>
      <c r="CU139" s="365"/>
      <c r="CV139" s="365"/>
      <c r="CW139" s="365"/>
      <c r="CX139" s="365"/>
      <c r="CY139" s="365"/>
      <c r="CZ139" s="365"/>
      <c r="DA139" s="365"/>
      <c r="DB139" s="365"/>
      <c r="DC139" s="365"/>
      <c r="DD139" s="365"/>
      <c r="DE139" s="365"/>
      <c r="DF139" s="365"/>
      <c r="DG139" s="365"/>
      <c r="DH139" s="365"/>
      <c r="DI139" s="365"/>
      <c r="DJ139" s="365"/>
      <c r="DK139" s="365"/>
      <c r="DL139" s="365"/>
    </row>
    <row r="140" ht="20.25" customHeight="1">
      <c r="A140" s="44">
        <v>140.0</v>
      </c>
      <c r="B140" s="45" t="s">
        <v>285</v>
      </c>
      <c r="C140" s="45" t="s">
        <v>115</v>
      </c>
      <c r="D140" s="45" t="s">
        <v>753</v>
      </c>
      <c r="E140" s="65"/>
      <c r="F140" s="413" t="s">
        <v>896</v>
      </c>
      <c r="G140" s="45" t="s">
        <v>897</v>
      </c>
      <c r="H140" s="45" t="s">
        <v>753</v>
      </c>
      <c r="I140" s="63">
        <v>45428.0</v>
      </c>
      <c r="J140" s="65"/>
      <c r="K140" s="45" t="s">
        <v>885</v>
      </c>
      <c r="L140" s="65"/>
      <c r="M140" s="45" t="s">
        <v>886</v>
      </c>
      <c r="N140" s="45" t="s">
        <v>887</v>
      </c>
      <c r="O140" s="45">
        <v>1.0</v>
      </c>
      <c r="P140" s="118" t="str">
        <f> hyperlink(vlookup(lower(N140),'File Links'!A:B, 2, FALSE), SUBSTITUTE(lower(N140), "/", "--") &amp;  ".pdf")</f>
        <v>10.1016--j.ijinfomgt.2018.03.001.pdf</v>
      </c>
      <c r="Q140" s="52" t="str">
        <f t="array" ref="Q140"> if(iserror(MATCH(V140, 'File Links'!C:C, 0)), "N/A", HYPERLINK(INDEX('File Links'!B:B, MATCH(P140, 'File Links'!C:C, 0))))</f>
        <v>https://drive.google.com/file/d/1o9LFgnQOxOWMbLhy5xq59Vl4kwI6felM/view?usp=drivesdk</v>
      </c>
      <c r="R140" s="45" t="s">
        <v>888</v>
      </c>
      <c r="S140" s="45" t="s">
        <v>889</v>
      </c>
      <c r="T140" s="65"/>
      <c r="U140" s="45">
        <v>1.0</v>
      </c>
      <c r="V140" s="66" t="str">
        <f> hyperlink(vlookup(lower(S140),'File Links'!E:F, 2, FALSE), SUBSTITUTE(lower(S140), "/", "--") &amp;  ".pdf")</f>
        <v>10.17645--mac.7666.pdf</v>
      </c>
      <c r="W140" s="45" t="s">
        <v>890</v>
      </c>
      <c r="X140" s="54" t="str">
        <f t="array" ref="X140"> if(iserror(MATCH(V140, 'File Links'!C:C, 0)), "N/A", HYPERLINK(INDEX('File Links'!B:B, MATCH(V140, 'File Links'!C:C, 0))))</f>
        <v>https://drive.google.com/file/d/1STHrs5t12prgYSc1TN8l_wPj0GlytkgS/view?usp=drivesdk</v>
      </c>
      <c r="Y140" s="45"/>
      <c r="Z140" s="45" t="s">
        <v>586</v>
      </c>
      <c r="AA140" s="45" t="s">
        <v>891</v>
      </c>
      <c r="AB140" s="45" t="s">
        <v>892</v>
      </c>
      <c r="AC140" s="45" t="s">
        <v>893</v>
      </c>
      <c r="AD140" s="45" t="s">
        <v>898</v>
      </c>
      <c r="AE140" s="45">
        <v>28.0</v>
      </c>
      <c r="AF140" s="45">
        <v>341.0</v>
      </c>
      <c r="AG140" s="414">
        <v>201.0</v>
      </c>
      <c r="AH140" s="45" t="s">
        <v>361</v>
      </c>
      <c r="AI140" s="45">
        <v>28.0</v>
      </c>
      <c r="AJ140" s="45">
        <v>0.001</v>
      </c>
      <c r="AK140" s="45" t="s">
        <v>135</v>
      </c>
      <c r="AL140" s="45" t="s">
        <v>136</v>
      </c>
      <c r="AM140" s="67"/>
      <c r="AN140" s="219" t="s">
        <v>138</v>
      </c>
      <c r="AO140" s="45">
        <v>351.0</v>
      </c>
      <c r="AP140" s="414">
        <v>-159.0</v>
      </c>
      <c r="AQ140" s="45" t="s">
        <v>361</v>
      </c>
      <c r="AR140" s="45">
        <v>10.0</v>
      </c>
      <c r="AS140" s="45" t="s">
        <v>895</v>
      </c>
      <c r="AT140" s="45" t="s">
        <v>135</v>
      </c>
      <c r="AU140" s="45" t="s">
        <v>136</v>
      </c>
      <c r="AV140" s="67"/>
      <c r="AX140" s="129" t="s">
        <v>324</v>
      </c>
      <c r="AY140" s="61" t="str">
        <f>IFERROR(__xludf.DUMMYFUNCTION("vlookup(BB140,importrange(""https://docs.google.com/spreadsheets/d/1d2vevQ_7D_v35q4wCQ4RpQ_IPoTwEMB9Yp6ymwlPqew/edit?gid=984458430#gid=984458430"", ""'replication success'!A:K""), 11, FAlSE)"),"#N/A")</f>
        <v>#N/A</v>
      </c>
      <c r="AZ140" s="61" t="str">
        <f>IFERROR(__xludf.DUMMYFUNCTION("vlookup(BB140,importrange(""https://docs.google.com/spreadsheets/d/1d2vevQ_7D_v35q4wCQ4RpQ_IPoTwEMB9Yp6ymwlPqew/edit?gid=984458430#gid=984458430"", ""'replication success'!A:M""), 12, FAlSE)"),"#N/A")</f>
        <v>#N/A</v>
      </c>
      <c r="BA140" s="61" t="str">
        <f>IFERROR(__xludf.DUMMYFUNCTION("vlookup(BB140,importrange(""https://docs.google.com/spreadsheets/d/1d2vevQ_7D_v35q4wCQ4RpQ_IPoTwEMB9Yp6ymwlPqew/edit?gid=984458430#gid=984458430"", ""'replication success'!A:M""), 13, FAlSE)"),"#N/A")</f>
        <v>#N/A</v>
      </c>
      <c r="BB140" s="61" t="str">
        <f>IFERROR(__xludf.DUMMYFUNCTION("REGEXREPLACE(G140, ""_[a-z]{1,2}$"", """")"),"additional_studies22")</f>
        <v>additional_studies22</v>
      </c>
      <c r="BC140" s="65"/>
      <c r="BD140" s="149"/>
      <c r="BG140" s="365"/>
      <c r="BH140" s="365"/>
      <c r="BI140" s="365"/>
      <c r="BJ140" s="365"/>
      <c r="BK140" s="365"/>
      <c r="BL140" s="365"/>
      <c r="BM140" s="365"/>
      <c r="BN140" s="365"/>
      <c r="BO140" s="365"/>
      <c r="BP140" s="365"/>
      <c r="BQ140" s="365"/>
      <c r="BR140" s="365"/>
      <c r="BS140" s="365"/>
      <c r="BT140" s="365"/>
      <c r="BU140" s="365"/>
      <c r="BV140" s="365"/>
      <c r="BW140" s="365"/>
      <c r="BX140" s="365"/>
      <c r="BY140" s="365"/>
      <c r="BZ140" s="365"/>
      <c r="CA140" s="365"/>
      <c r="CB140" s="365"/>
      <c r="CC140" s="365"/>
      <c r="CD140" s="365"/>
      <c r="CE140" s="365"/>
      <c r="CF140" s="365"/>
      <c r="CG140" s="365"/>
      <c r="CH140" s="365"/>
      <c r="CI140" s="365"/>
      <c r="CJ140" s="365"/>
      <c r="CK140" s="365"/>
      <c r="CL140" s="365"/>
      <c r="CM140" s="365"/>
      <c r="CN140" s="365"/>
      <c r="CO140" s="365"/>
      <c r="CP140" s="365"/>
      <c r="CQ140" s="365"/>
      <c r="CR140" s="365"/>
      <c r="CS140" s="365"/>
      <c r="CT140" s="365"/>
      <c r="CU140" s="365"/>
      <c r="CV140" s="365"/>
      <c r="CW140" s="365"/>
      <c r="CX140" s="365"/>
      <c r="CY140" s="365"/>
      <c r="CZ140" s="365"/>
      <c r="DA140" s="365"/>
      <c r="DB140" s="365"/>
      <c r="DC140" s="365"/>
      <c r="DD140" s="365"/>
      <c r="DE140" s="365"/>
      <c r="DF140" s="365"/>
      <c r="DG140" s="365"/>
      <c r="DH140" s="365"/>
      <c r="DI140" s="365"/>
      <c r="DJ140" s="365"/>
      <c r="DK140" s="365"/>
      <c r="DL140" s="365"/>
    </row>
    <row r="141" ht="20.25" customHeight="1">
      <c r="A141" s="44">
        <v>141.0</v>
      </c>
      <c r="B141" s="45" t="s">
        <v>285</v>
      </c>
      <c r="C141" s="45" t="s">
        <v>115</v>
      </c>
      <c r="D141" s="45" t="s">
        <v>753</v>
      </c>
      <c r="E141" s="65"/>
      <c r="F141" s="413" t="s">
        <v>899</v>
      </c>
      <c r="G141" s="45" t="s">
        <v>900</v>
      </c>
      <c r="H141" s="45" t="s">
        <v>753</v>
      </c>
      <c r="I141" s="63">
        <v>45429.0</v>
      </c>
      <c r="J141" s="65"/>
      <c r="K141" s="45" t="s">
        <v>885</v>
      </c>
      <c r="L141" s="65"/>
      <c r="M141" s="45" t="s">
        <v>901</v>
      </c>
      <c r="N141" s="45" t="s">
        <v>887</v>
      </c>
      <c r="O141" s="45">
        <v>1.0</v>
      </c>
      <c r="P141" s="118" t="str">
        <f> hyperlink(vlookup(lower(N141),'File Links'!A:B, 2, FALSE), SUBSTITUTE(lower(N141), "/", "--") &amp;  ".pdf")</f>
        <v>10.1016--j.ijinfomgt.2018.03.001.pdf</v>
      </c>
      <c r="Q141" s="108" t="str">
        <f t="array" ref="Q141"> if(iserror(MATCH(V141, 'File Links'!C:C, 0)), "N/A", HYPERLINK(INDEX('File Links'!B:B, MATCH(P141, 'File Links'!C:C, 0))))</f>
        <v>N/A</v>
      </c>
      <c r="R141" s="45" t="s">
        <v>902</v>
      </c>
      <c r="S141" s="45" t="s">
        <v>903</v>
      </c>
      <c r="T141" s="65"/>
      <c r="U141" s="45">
        <v>1.0</v>
      </c>
      <c r="V141" s="66" t="str">
        <f> hyperlink(vlookup(lower(S141),'File Links'!E:F, 2, FALSE), SUBSTITUTE(lower(S141), "/", "--") &amp;  ".pdf")</f>
        <v>10.17645--mac.7667.pdf</v>
      </c>
      <c r="W141" s="45" t="s">
        <v>890</v>
      </c>
      <c r="X141" s="49" t="str">
        <f t="array" ref="X141"> if(iserror(MATCH(V141, 'File Links'!C:C, 0)), "N/A", HYPERLINK(INDEX('File Links'!B:B, MATCH(V141, 'File Links'!C:C, 0))))</f>
        <v>N/A</v>
      </c>
      <c r="Y141" s="45"/>
      <c r="Z141" s="45" t="s">
        <v>586</v>
      </c>
      <c r="AA141" s="45" t="s">
        <v>891</v>
      </c>
      <c r="AB141" s="45" t="s">
        <v>892</v>
      </c>
      <c r="AC141" s="45" t="s">
        <v>893</v>
      </c>
      <c r="AD141" s="45" t="s">
        <v>904</v>
      </c>
      <c r="AE141" s="45">
        <v>28.0</v>
      </c>
      <c r="AF141" s="45">
        <v>341.0</v>
      </c>
      <c r="AG141" s="414">
        <v>-226.0</v>
      </c>
      <c r="AH141" s="45" t="s">
        <v>361</v>
      </c>
      <c r="AI141" s="45">
        <v>28.0</v>
      </c>
      <c r="AJ141" s="45">
        <v>0.001</v>
      </c>
      <c r="AK141" s="45" t="s">
        <v>135</v>
      </c>
      <c r="AL141" s="45" t="s">
        <v>136</v>
      </c>
      <c r="AM141" s="67"/>
      <c r="AN141" s="219" t="s">
        <v>138</v>
      </c>
      <c r="AO141" s="45">
        <v>351.0</v>
      </c>
      <c r="AP141" s="414">
        <v>169.0</v>
      </c>
      <c r="AQ141" s="45" t="s">
        <v>361</v>
      </c>
      <c r="AR141" s="45">
        <v>10.0</v>
      </c>
      <c r="AS141" s="45" t="s">
        <v>895</v>
      </c>
      <c r="AT141" s="45" t="s">
        <v>135</v>
      </c>
      <c r="AU141" s="45" t="s">
        <v>136</v>
      </c>
      <c r="AV141" s="67"/>
      <c r="AX141" s="129" t="s">
        <v>324</v>
      </c>
      <c r="AY141" s="61" t="str">
        <f>IFERROR(__xludf.DUMMYFUNCTION("vlookup(BB141,importrange(""https://docs.google.com/spreadsheets/d/1d2vevQ_7D_v35q4wCQ4RpQ_IPoTwEMB9Yp6ymwlPqew/edit?gid=984458430#gid=984458430"", ""'replication success'!A:K""), 11, FAlSE)"),"#N/A")</f>
        <v>#N/A</v>
      </c>
      <c r="AZ141" s="61" t="str">
        <f>IFERROR(__xludf.DUMMYFUNCTION("vlookup(BB141,importrange(""https://docs.google.com/spreadsheets/d/1d2vevQ_7D_v35q4wCQ4RpQ_IPoTwEMB9Yp6ymwlPqew/edit?gid=984458430#gid=984458430"", ""'replication success'!A:M""), 12, FAlSE)"),"#N/A")</f>
        <v>#N/A</v>
      </c>
      <c r="BA141" s="61" t="str">
        <f>IFERROR(__xludf.DUMMYFUNCTION("vlookup(BB141,importrange(""https://docs.google.com/spreadsheets/d/1d2vevQ_7D_v35q4wCQ4RpQ_IPoTwEMB9Yp6ymwlPqew/edit?gid=984458430#gid=984458430"", ""'replication success'!A:M""), 13, FAlSE)"),"#N/A")</f>
        <v>#N/A</v>
      </c>
      <c r="BB141" s="61" t="str">
        <f>IFERROR(__xludf.DUMMYFUNCTION("REGEXREPLACE(G141, ""_[a-z]{1,2}$"", """")"),"additional_studies23")</f>
        <v>additional_studies23</v>
      </c>
      <c r="BC141" s="65"/>
      <c r="BG141" s="365"/>
      <c r="BH141" s="365"/>
      <c r="BI141" s="365"/>
      <c r="BJ141" s="365"/>
      <c r="BK141" s="365"/>
      <c r="BL141" s="365"/>
      <c r="BM141" s="365"/>
      <c r="BN141" s="365"/>
      <c r="BO141" s="365"/>
      <c r="BP141" s="365"/>
      <c r="BQ141" s="365"/>
      <c r="BR141" s="365"/>
      <c r="BS141" s="365"/>
      <c r="BT141" s="365"/>
      <c r="BU141" s="365"/>
      <c r="BV141" s="365"/>
      <c r="BW141" s="365"/>
      <c r="BX141" s="365"/>
      <c r="BY141" s="365"/>
      <c r="BZ141" s="365"/>
      <c r="CA141" s="365"/>
      <c r="CB141" s="365"/>
      <c r="CC141" s="365"/>
      <c r="CD141" s="365"/>
      <c r="CE141" s="365"/>
      <c r="CF141" s="365"/>
      <c r="CG141" s="365"/>
      <c r="CH141" s="365"/>
      <c r="CI141" s="365"/>
      <c r="CJ141" s="365"/>
      <c r="CK141" s="365"/>
      <c r="CL141" s="365"/>
      <c r="CM141" s="365"/>
      <c r="CN141" s="365"/>
      <c r="CO141" s="365"/>
      <c r="CP141" s="365"/>
      <c r="CQ141" s="365"/>
      <c r="CR141" s="365"/>
      <c r="CS141" s="365"/>
      <c r="CT141" s="365"/>
      <c r="CU141" s="365"/>
      <c r="CV141" s="365"/>
      <c r="CW141" s="365"/>
      <c r="CX141" s="365"/>
      <c r="CY141" s="365"/>
      <c r="CZ141" s="365"/>
      <c r="DA141" s="365"/>
      <c r="DB141" s="365"/>
      <c r="DC141" s="365"/>
      <c r="DD141" s="365"/>
      <c r="DE141" s="365"/>
      <c r="DF141" s="365"/>
      <c r="DG141" s="365"/>
      <c r="DH141" s="365"/>
      <c r="DI141" s="365"/>
      <c r="DJ141" s="365"/>
      <c r="DK141" s="365"/>
      <c r="DL141" s="365"/>
    </row>
    <row r="142" ht="20.25" customHeight="1">
      <c r="A142" s="44">
        <v>142.0</v>
      </c>
      <c r="B142" s="45" t="s">
        <v>285</v>
      </c>
      <c r="C142" s="45" t="s">
        <v>115</v>
      </c>
      <c r="D142" s="45" t="s">
        <v>753</v>
      </c>
      <c r="E142" s="65"/>
      <c r="F142" s="62" t="s">
        <v>905</v>
      </c>
      <c r="G142" s="45" t="s">
        <v>906</v>
      </c>
      <c r="H142" s="45" t="s">
        <v>753</v>
      </c>
      <c r="I142" s="63">
        <v>45430.0</v>
      </c>
      <c r="J142" s="65"/>
      <c r="K142" s="45" t="s">
        <v>885</v>
      </c>
      <c r="L142" s="65"/>
      <c r="M142" s="45" t="s">
        <v>907</v>
      </c>
      <c r="N142" s="45" t="s">
        <v>887</v>
      </c>
      <c r="O142" s="45">
        <v>1.0</v>
      </c>
      <c r="P142" s="118" t="str">
        <f> hyperlink(vlookup(lower(N142),'File Links'!A:B, 2, FALSE), SUBSTITUTE(lower(N142), "/", "--") &amp;  ".pdf")</f>
        <v>10.1016--j.ijinfomgt.2018.03.001.pdf</v>
      </c>
      <c r="Q142" s="108" t="str">
        <f t="array" ref="Q142"> if(iserror(MATCH(V142, 'File Links'!C:C, 0)), "N/A", HYPERLINK(INDEX('File Links'!B:B, MATCH(P142, 'File Links'!C:C, 0))))</f>
        <v>N/A</v>
      </c>
      <c r="R142" s="45" t="s">
        <v>908</v>
      </c>
      <c r="S142" s="45" t="s">
        <v>909</v>
      </c>
      <c r="T142" s="65"/>
      <c r="U142" s="45">
        <v>1.0</v>
      </c>
      <c r="V142" s="66" t="str">
        <f> hyperlink(vlookup(lower(S142),'File Links'!E:F, 2, FALSE), SUBSTITUTE(lower(S142), "/", "--") &amp;  ".pdf")</f>
        <v>10.17645--mac.7668.pdf</v>
      </c>
      <c r="W142" s="45" t="s">
        <v>890</v>
      </c>
      <c r="X142" s="49" t="str">
        <f t="array" ref="X142"> if(iserror(MATCH(V142, 'File Links'!C:C, 0)), "N/A", HYPERLINK(INDEX('File Links'!B:B, MATCH(V142, 'File Links'!C:C, 0))))</f>
        <v>N/A</v>
      </c>
      <c r="Y142" s="45"/>
      <c r="Z142" s="45" t="s">
        <v>586</v>
      </c>
      <c r="AA142" s="45" t="s">
        <v>891</v>
      </c>
      <c r="AB142" s="45" t="s">
        <v>892</v>
      </c>
      <c r="AC142" s="45" t="s">
        <v>893</v>
      </c>
      <c r="AD142" s="45" t="s">
        <v>910</v>
      </c>
      <c r="AE142" s="45">
        <v>28.0</v>
      </c>
      <c r="AF142" s="45">
        <v>341.0</v>
      </c>
      <c r="AG142" s="414">
        <v>1.0</v>
      </c>
      <c r="AH142" s="45" t="s">
        <v>361</v>
      </c>
      <c r="AI142" s="45">
        <v>28.0</v>
      </c>
      <c r="AJ142" s="45">
        <v>0.05</v>
      </c>
      <c r="AK142" s="45" t="s">
        <v>335</v>
      </c>
      <c r="AL142" s="45" t="s">
        <v>136</v>
      </c>
      <c r="AM142" s="67"/>
      <c r="AN142" s="219" t="s">
        <v>138</v>
      </c>
      <c r="AO142" s="45">
        <v>351.0</v>
      </c>
      <c r="AP142" s="414">
        <v>197.0</v>
      </c>
      <c r="AQ142" s="45" t="s">
        <v>361</v>
      </c>
      <c r="AR142" s="45">
        <v>10.0</v>
      </c>
      <c r="AS142" s="45" t="s">
        <v>895</v>
      </c>
      <c r="AT142" s="45" t="s">
        <v>135</v>
      </c>
      <c r="AU142" s="45" t="s">
        <v>136</v>
      </c>
      <c r="AV142" s="67"/>
      <c r="AX142" s="129" t="s">
        <v>324</v>
      </c>
      <c r="AY142" s="61" t="str">
        <f>IFERROR(__xludf.DUMMYFUNCTION("vlookup(BB142,importrange(""https://docs.google.com/spreadsheets/d/1d2vevQ_7D_v35q4wCQ4RpQ_IPoTwEMB9Yp6ymwlPqew/edit?gid=984458430#gid=984458430"", ""'replication success'!A:K""), 11, FAlSE)"),"#N/A")</f>
        <v>#N/A</v>
      </c>
      <c r="AZ142" s="61" t="str">
        <f>IFERROR(__xludf.DUMMYFUNCTION("vlookup(BB142,importrange(""https://docs.google.com/spreadsheets/d/1d2vevQ_7D_v35q4wCQ4RpQ_IPoTwEMB9Yp6ymwlPqew/edit?gid=984458430#gid=984458430"", ""'replication success'!A:M""), 12, FAlSE)"),"#N/A")</f>
        <v>#N/A</v>
      </c>
      <c r="BA142" s="61" t="str">
        <f>IFERROR(__xludf.DUMMYFUNCTION("vlookup(BB142,importrange(""https://docs.google.com/spreadsheets/d/1d2vevQ_7D_v35q4wCQ4RpQ_IPoTwEMB9Yp6ymwlPqew/edit?gid=984458430#gid=984458430"", ""'replication success'!A:M""), 13, FAlSE)"),"#N/A")</f>
        <v>#N/A</v>
      </c>
      <c r="BB142" s="61" t="str">
        <f>IFERROR(__xludf.DUMMYFUNCTION("REGEXREPLACE(G142, ""_[a-z]{1,2}$"", """")"),"additional_studies24")</f>
        <v>additional_studies24</v>
      </c>
      <c r="BC142" s="65"/>
      <c r="BG142" s="365"/>
      <c r="BH142" s="365"/>
      <c r="BI142" s="365"/>
      <c r="BJ142" s="365"/>
      <c r="BK142" s="365"/>
      <c r="BL142" s="365"/>
      <c r="BM142" s="365"/>
      <c r="BN142" s="365"/>
      <c r="BO142" s="365"/>
      <c r="BP142" s="365"/>
      <c r="BQ142" s="365"/>
      <c r="BR142" s="365"/>
      <c r="BS142" s="365"/>
      <c r="BT142" s="365"/>
      <c r="BU142" s="365"/>
      <c r="BV142" s="365"/>
      <c r="BW142" s="365"/>
      <c r="BX142" s="365"/>
      <c r="BY142" s="365"/>
      <c r="BZ142" s="365"/>
      <c r="CA142" s="365"/>
      <c r="CB142" s="365"/>
      <c r="CC142" s="365"/>
      <c r="CD142" s="365"/>
      <c r="CE142" s="365"/>
      <c r="CF142" s="365"/>
      <c r="CG142" s="365"/>
      <c r="CH142" s="365"/>
      <c r="CI142" s="365"/>
      <c r="CJ142" s="365"/>
      <c r="CK142" s="365"/>
      <c r="CL142" s="365"/>
      <c r="CM142" s="365"/>
      <c r="CN142" s="365"/>
      <c r="CO142" s="365"/>
      <c r="CP142" s="365"/>
      <c r="CQ142" s="365"/>
      <c r="CR142" s="365"/>
      <c r="CS142" s="365"/>
      <c r="CT142" s="365"/>
      <c r="CU142" s="365"/>
      <c r="CV142" s="365"/>
      <c r="CW142" s="365"/>
      <c r="CX142" s="365"/>
      <c r="CY142" s="365"/>
      <c r="CZ142" s="365"/>
      <c r="DA142" s="365"/>
      <c r="DB142" s="365"/>
      <c r="DC142" s="365"/>
      <c r="DD142" s="365"/>
      <c r="DE142" s="365"/>
      <c r="DF142" s="365"/>
      <c r="DG142" s="365"/>
      <c r="DH142" s="365"/>
      <c r="DI142" s="365"/>
      <c r="DJ142" s="365"/>
      <c r="DK142" s="365"/>
      <c r="DL142" s="365"/>
    </row>
    <row r="143" ht="20.25" customHeight="1">
      <c r="A143" s="44">
        <v>143.0</v>
      </c>
      <c r="B143" s="45" t="s">
        <v>285</v>
      </c>
      <c r="C143" s="45" t="s">
        <v>115</v>
      </c>
      <c r="D143" s="45" t="s">
        <v>753</v>
      </c>
      <c r="E143" s="65"/>
      <c r="F143" s="62" t="s">
        <v>911</v>
      </c>
      <c r="G143" s="45" t="s">
        <v>912</v>
      </c>
      <c r="H143" s="45" t="s">
        <v>753</v>
      </c>
      <c r="I143" s="63">
        <v>45431.0</v>
      </c>
      <c r="J143" s="65"/>
      <c r="K143" s="45" t="s">
        <v>885</v>
      </c>
      <c r="L143" s="65"/>
      <c r="M143" s="45" t="s">
        <v>913</v>
      </c>
      <c r="N143" s="45" t="s">
        <v>887</v>
      </c>
      <c r="O143" s="45">
        <v>1.0</v>
      </c>
      <c r="P143" s="118" t="str">
        <f> hyperlink(vlookup(lower(N143),'File Links'!A:B, 2, FALSE), SUBSTITUTE(lower(N143), "/", "--") &amp;  ".pdf")</f>
        <v>10.1016--j.ijinfomgt.2018.03.001.pdf</v>
      </c>
      <c r="Q143" s="108" t="str">
        <f t="array" ref="Q143"> if(iserror(MATCH(V143, 'File Links'!C:C, 0)), "N/A", HYPERLINK(INDEX('File Links'!B:B, MATCH(P143, 'File Links'!C:C, 0))))</f>
        <v>N/A</v>
      </c>
      <c r="R143" s="45" t="s">
        <v>914</v>
      </c>
      <c r="S143" s="45" t="s">
        <v>915</v>
      </c>
      <c r="T143" s="65"/>
      <c r="U143" s="45">
        <v>1.0</v>
      </c>
      <c r="V143" s="66" t="str">
        <f> hyperlink(vlookup(lower(S143),'File Links'!E:F, 2, FALSE), SUBSTITUTE(lower(S143), "/", "--") &amp;  ".pdf")</f>
        <v>10.17645--mac.7669.pdf</v>
      </c>
      <c r="W143" s="45" t="s">
        <v>890</v>
      </c>
      <c r="X143" s="49" t="str">
        <f t="array" ref="X143"> if(iserror(MATCH(V143, 'File Links'!C:C, 0)), "N/A", HYPERLINK(INDEX('File Links'!B:B, MATCH(V143, 'File Links'!C:C, 0))))</f>
        <v>N/A</v>
      </c>
      <c r="Y143" s="45"/>
      <c r="Z143" s="45" t="s">
        <v>586</v>
      </c>
      <c r="AA143" s="45" t="s">
        <v>891</v>
      </c>
      <c r="AB143" s="45" t="s">
        <v>892</v>
      </c>
      <c r="AC143" s="45" t="s">
        <v>893</v>
      </c>
      <c r="AD143" s="45" t="s">
        <v>916</v>
      </c>
      <c r="AE143" s="45">
        <v>28.0</v>
      </c>
      <c r="AF143" s="45">
        <v>341.0</v>
      </c>
      <c r="AG143" s="414">
        <v>62.0</v>
      </c>
      <c r="AH143" s="45" t="s">
        <v>361</v>
      </c>
      <c r="AI143" s="45">
        <v>28.0</v>
      </c>
      <c r="AJ143" s="45">
        <v>0.05</v>
      </c>
      <c r="AK143" s="45" t="s">
        <v>335</v>
      </c>
      <c r="AL143" s="45" t="s">
        <v>136</v>
      </c>
      <c r="AM143" s="67"/>
      <c r="AN143" s="219" t="s">
        <v>138</v>
      </c>
      <c r="AO143" s="45">
        <v>351.0</v>
      </c>
      <c r="AP143" s="414">
        <v>94.0</v>
      </c>
      <c r="AQ143" s="45" t="s">
        <v>361</v>
      </c>
      <c r="AR143" s="45">
        <v>10.0</v>
      </c>
      <c r="AS143" s="45" t="s">
        <v>257</v>
      </c>
      <c r="AT143" s="45" t="s">
        <v>135</v>
      </c>
      <c r="AU143" s="45" t="s">
        <v>136</v>
      </c>
      <c r="AV143" s="67"/>
      <c r="AX143" s="129" t="s">
        <v>324</v>
      </c>
      <c r="AY143" s="61" t="str">
        <f>IFERROR(__xludf.DUMMYFUNCTION("vlookup(BB143,importrange(""https://docs.google.com/spreadsheets/d/1d2vevQ_7D_v35q4wCQ4RpQ_IPoTwEMB9Yp6ymwlPqew/edit?gid=984458430#gid=984458430"", ""'replication success'!A:K""), 11, FAlSE)"),"#N/A")</f>
        <v>#N/A</v>
      </c>
      <c r="AZ143" s="61" t="str">
        <f>IFERROR(__xludf.DUMMYFUNCTION("vlookup(BB143,importrange(""https://docs.google.com/spreadsheets/d/1d2vevQ_7D_v35q4wCQ4RpQ_IPoTwEMB9Yp6ymwlPqew/edit?gid=984458430#gid=984458430"", ""'replication success'!A:M""), 12, FAlSE)"),"#N/A")</f>
        <v>#N/A</v>
      </c>
      <c r="BA143" s="61" t="str">
        <f>IFERROR(__xludf.DUMMYFUNCTION("vlookup(BB143,importrange(""https://docs.google.com/spreadsheets/d/1d2vevQ_7D_v35q4wCQ4RpQ_IPoTwEMB9Yp6ymwlPqew/edit?gid=984458430#gid=984458430"", ""'replication success'!A:M""), 13, FAlSE)"),"#N/A")</f>
        <v>#N/A</v>
      </c>
      <c r="BB143" s="61" t="str">
        <f>IFERROR(__xludf.DUMMYFUNCTION("REGEXREPLACE(G143, ""_[a-z]{1,2}$"", """")"),"additional_studies25")</f>
        <v>additional_studies25</v>
      </c>
      <c r="BC143" s="65"/>
      <c r="BG143" s="365"/>
      <c r="BH143" s="365"/>
      <c r="BI143" s="365"/>
      <c r="BJ143" s="365"/>
      <c r="BK143" s="365"/>
      <c r="BL143" s="365"/>
      <c r="BM143" s="365"/>
      <c r="BN143" s="365"/>
      <c r="BO143" s="365"/>
      <c r="BP143" s="365"/>
      <c r="BQ143" s="365"/>
      <c r="BR143" s="365"/>
      <c r="BS143" s="365"/>
      <c r="BT143" s="365"/>
      <c r="BU143" s="365"/>
      <c r="BV143" s="365"/>
      <c r="BW143" s="365"/>
      <c r="BX143" s="365"/>
      <c r="BY143" s="365"/>
      <c r="BZ143" s="365"/>
      <c r="CA143" s="365"/>
      <c r="CB143" s="365"/>
      <c r="CC143" s="365"/>
      <c r="CD143" s="365"/>
      <c r="CE143" s="365"/>
      <c r="CF143" s="365"/>
      <c r="CG143" s="365"/>
      <c r="CH143" s="365"/>
      <c r="CI143" s="365"/>
      <c r="CJ143" s="365"/>
      <c r="CK143" s="365"/>
      <c r="CL143" s="365"/>
      <c r="CM143" s="365"/>
      <c r="CN143" s="365"/>
      <c r="CO143" s="365"/>
      <c r="CP143" s="365"/>
      <c r="CQ143" s="365"/>
      <c r="CR143" s="365"/>
      <c r="CS143" s="365"/>
      <c r="CT143" s="365"/>
      <c r="CU143" s="365"/>
      <c r="CV143" s="365"/>
      <c r="CW143" s="365"/>
      <c r="CX143" s="365"/>
      <c r="CY143" s="365"/>
      <c r="CZ143" s="365"/>
      <c r="DA143" s="365"/>
      <c r="DB143" s="365"/>
      <c r="DC143" s="365"/>
      <c r="DD143" s="365"/>
      <c r="DE143" s="365"/>
      <c r="DF143" s="365"/>
      <c r="DG143" s="365"/>
      <c r="DH143" s="365"/>
      <c r="DI143" s="365"/>
      <c r="DJ143" s="365"/>
      <c r="DK143" s="365"/>
      <c r="DL143" s="365"/>
    </row>
    <row r="144" ht="20.25" customHeight="1">
      <c r="A144" s="44">
        <v>144.0</v>
      </c>
      <c r="B144" s="109" t="s">
        <v>114</v>
      </c>
      <c r="C144" s="109" t="s">
        <v>115</v>
      </c>
      <c r="D144" s="149" t="s">
        <v>442</v>
      </c>
      <c r="E144" s="71"/>
      <c r="F144" s="218" t="s">
        <v>917</v>
      </c>
      <c r="G144" s="210" t="s">
        <v>897</v>
      </c>
      <c r="H144" s="210" t="s">
        <v>445</v>
      </c>
      <c r="I144" s="415">
        <v>45638.0</v>
      </c>
      <c r="J144" s="311">
        <v>45663.0</v>
      </c>
      <c r="K144" s="210" t="s">
        <v>918</v>
      </c>
      <c r="L144" s="114"/>
      <c r="M144" s="210" t="s">
        <v>919</v>
      </c>
      <c r="N144" s="210" t="s">
        <v>920</v>
      </c>
      <c r="O144" s="114"/>
      <c r="P144" s="214" t="s">
        <v>921</v>
      </c>
      <c r="Q144" s="52" t="str">
        <f t="array" ref="Q144"> if(iserror(MATCH(V144, 'File Links'!C:C, 0)), "N/A", HYPERLINK(INDEX('File Links'!B:B, MATCH(P144, 'File Links'!C:C, 0))))</f>
        <v>https://drive.google.com/file/d/1bHfJ-3gEyIURBJhF8bZZGAbZGtPK135A/view?usp=drivesdk</v>
      </c>
      <c r="R144" s="210" t="s">
        <v>922</v>
      </c>
      <c r="S144" s="312" t="s">
        <v>923</v>
      </c>
      <c r="T144" s="114"/>
      <c r="U144" s="120"/>
      <c r="V144" s="66" t="str">
        <f> hyperlink(vlookup(lower(S144),'File Links'!E:F, 2, FALSE), SUBSTITUTE(lower(S144), "/", "--") &amp;  ".pdf")</f>
        <v>10.1007--s40617-024-00933-1.pdf</v>
      </c>
      <c r="W144" s="416" t="s">
        <v>924</v>
      </c>
      <c r="X144" s="54" t="str">
        <f t="array" ref="X144"> if(iserror(MATCH(V144, 'File Links'!C:C, 0)), "N/A", HYPERLINK(INDEX('File Links'!B:B, MATCH(V144, 'File Links'!C:C, 0))))</f>
        <v>https://drive.google.com/file/d/1LH5FS1-bb7IdYkCgO31BjONeTKWAtRQN/view?usp=drivesdk</v>
      </c>
      <c r="Y144" s="114"/>
      <c r="Z144" s="210" t="s">
        <v>241</v>
      </c>
      <c r="AA144" s="114"/>
      <c r="AB144" s="112" t="s">
        <v>925</v>
      </c>
      <c r="AC144" s="112" t="s">
        <v>926</v>
      </c>
      <c r="AD144" s="210" t="s">
        <v>927</v>
      </c>
      <c r="AE144" s="217">
        <v>5.0</v>
      </c>
      <c r="AF144" s="117">
        <v>5.0</v>
      </c>
      <c r="AG144" s="114"/>
      <c r="AH144" s="120"/>
      <c r="AI144" s="114"/>
      <c r="AJ144" s="114"/>
      <c r="AK144" s="111"/>
      <c r="AL144" s="210" t="s">
        <v>186</v>
      </c>
      <c r="AM144" s="210" t="s">
        <v>141</v>
      </c>
      <c r="AN144" s="219" t="s">
        <v>138</v>
      </c>
      <c r="AO144" s="217">
        <v>4.0</v>
      </c>
      <c r="AP144" s="114"/>
      <c r="AQ144" s="114"/>
      <c r="AR144" s="114"/>
      <c r="AS144" s="114"/>
      <c r="AT144" s="111"/>
      <c r="AU144" s="218" t="s">
        <v>186</v>
      </c>
      <c r="AV144" s="218" t="s">
        <v>141</v>
      </c>
      <c r="AW144" s="111"/>
      <c r="AX144" s="218" t="s">
        <v>143</v>
      </c>
      <c r="AY144" s="61" t="str">
        <f>IFERROR(__xludf.DUMMYFUNCTION("vlookup(BB144,importrange(""https://docs.google.com/spreadsheets/d/1d2vevQ_7D_v35q4wCQ4RpQ_IPoTwEMB9Yp6ymwlPqew/edit?gid=984458430#gid=984458430"", ""'replication success'!A:K""), 11, FAlSE)"),"#N/A")</f>
        <v>#N/A</v>
      </c>
      <c r="AZ144" s="61" t="str">
        <f>IFERROR(__xludf.DUMMYFUNCTION("vlookup(BB144,importrange(""https://docs.google.com/spreadsheets/d/1d2vevQ_7D_v35q4wCQ4RpQ_IPoTwEMB9Yp6ymwlPqew/edit?gid=984458430#gid=984458430"", ""'replication success'!A:M""), 12, FAlSE)"),"#N/A")</f>
        <v>#N/A</v>
      </c>
      <c r="BA144" s="61" t="str">
        <f>IFERROR(__xludf.DUMMYFUNCTION("vlookup(BB144,importrange(""https://docs.google.com/spreadsheets/d/1d2vevQ_7D_v35q4wCQ4RpQ_IPoTwEMB9Yp6ymwlPqew/edit?gid=984458430#gid=984458430"", ""'replication success'!A:M""), 13, FAlSE)"),"#N/A")</f>
        <v>#N/A</v>
      </c>
      <c r="BB144" s="61" t="str">
        <f>IFERROR(__xludf.DUMMYFUNCTION("REGEXREPLACE(G144, ""_[a-z]{1,2}$"", """")"),"additional_studies22")</f>
        <v>additional_studies22</v>
      </c>
      <c r="BC144" s="61"/>
      <c r="BD144" s="149" t="s">
        <v>144</v>
      </c>
      <c r="BG144" s="365"/>
      <c r="BH144" s="365"/>
      <c r="BI144" s="365"/>
      <c r="BJ144" s="365"/>
      <c r="BK144" s="365"/>
      <c r="BL144" s="365"/>
      <c r="BM144" s="365"/>
      <c r="BN144" s="365"/>
      <c r="BO144" s="365"/>
      <c r="BP144" s="365"/>
      <c r="BQ144" s="365"/>
      <c r="BR144" s="365"/>
      <c r="BS144" s="365"/>
      <c r="BT144" s="365"/>
      <c r="BU144" s="365"/>
      <c r="BV144" s="365"/>
      <c r="BW144" s="365"/>
      <c r="BX144" s="365"/>
      <c r="BY144" s="365"/>
      <c r="BZ144" s="365"/>
      <c r="CA144" s="365"/>
      <c r="CB144" s="365"/>
      <c r="CC144" s="365"/>
      <c r="CD144" s="365"/>
      <c r="CE144" s="365"/>
      <c r="CF144" s="365"/>
      <c r="CG144" s="365"/>
      <c r="CH144" s="365"/>
      <c r="CI144" s="365"/>
      <c r="CJ144" s="365"/>
      <c r="CK144" s="365"/>
      <c r="CL144" s="365"/>
      <c r="CM144" s="365"/>
      <c r="CN144" s="365"/>
      <c r="CO144" s="365"/>
      <c r="CP144" s="365"/>
      <c r="CQ144" s="365"/>
      <c r="CR144" s="365"/>
      <c r="CS144" s="365"/>
      <c r="CT144" s="365"/>
      <c r="CU144" s="365"/>
      <c r="CV144" s="365"/>
      <c r="CW144" s="365"/>
      <c r="CX144" s="365"/>
      <c r="CY144" s="365"/>
      <c r="CZ144" s="365"/>
      <c r="DA144" s="365"/>
      <c r="DB144" s="365"/>
      <c r="DC144" s="365"/>
      <c r="DD144" s="365"/>
      <c r="DE144" s="365"/>
      <c r="DF144" s="365"/>
      <c r="DG144" s="365"/>
      <c r="DH144" s="365"/>
      <c r="DI144" s="365"/>
      <c r="DJ144" s="365"/>
      <c r="DK144" s="365"/>
      <c r="DL144" s="365"/>
    </row>
    <row r="145" ht="20.25" customHeight="1">
      <c r="A145" s="44">
        <v>145.0</v>
      </c>
      <c r="B145" s="149" t="s">
        <v>523</v>
      </c>
      <c r="C145" s="149" t="s">
        <v>115</v>
      </c>
      <c r="D145" s="149" t="s">
        <v>346</v>
      </c>
      <c r="E145" s="71"/>
      <c r="F145" s="111" t="s">
        <v>917</v>
      </c>
      <c r="G145" s="112" t="s">
        <v>897</v>
      </c>
      <c r="H145" s="112" t="s">
        <v>349</v>
      </c>
      <c r="I145" s="417">
        <v>45641.0</v>
      </c>
      <c r="J145" s="311">
        <v>45663.0</v>
      </c>
      <c r="K145" s="114"/>
      <c r="L145" s="371" t="s">
        <v>928</v>
      </c>
      <c r="M145" s="112" t="s">
        <v>919</v>
      </c>
      <c r="N145" s="210" t="s">
        <v>920</v>
      </c>
      <c r="O145" s="117">
        <v>1.0</v>
      </c>
      <c r="P145" s="121" t="s">
        <v>921</v>
      </c>
      <c r="Q145" s="52" t="str">
        <f t="array" ref="Q145"> if(iserror(MATCH(V145, 'File Links'!C:C, 0)), "N/A", HYPERLINK(INDEX('File Links'!B:B, MATCH(P145, 'File Links'!C:C, 0))))</f>
        <v>https://drive.google.com/file/d/1bHfJ-3gEyIURBJhF8bZZGAbZGtPK135A/view?usp=drivesdk</v>
      </c>
      <c r="R145" s="418" t="s">
        <v>929</v>
      </c>
      <c r="S145" s="418" t="s">
        <v>923</v>
      </c>
      <c r="T145" s="114"/>
      <c r="U145" s="120"/>
      <c r="V145" s="66" t="str">
        <f> hyperlink(vlookup(lower(S145),'File Links'!E:F, 2, FALSE), SUBSTITUTE(lower(S145), "/", "--") &amp;  ".pdf")</f>
        <v>10.1007--s40617-024-00933-1.pdf</v>
      </c>
      <c r="W145" s="416" t="s">
        <v>924</v>
      </c>
      <c r="X145" s="54" t="str">
        <f t="array" ref="X145"> if(iserror(MATCH(V145, 'File Links'!C:C, 0)), "N/A", HYPERLINK(INDEX('File Links'!B:B, MATCH(V145, 'File Links'!C:C, 0))))</f>
        <v>https://drive.google.com/file/d/1LH5FS1-bb7IdYkCgO31BjONeTKWAtRQN/view?usp=drivesdk</v>
      </c>
      <c r="Y145" s="114"/>
      <c r="Z145" s="112" t="s">
        <v>241</v>
      </c>
      <c r="AA145" s="114"/>
      <c r="AB145" s="210" t="s">
        <v>930</v>
      </c>
      <c r="AC145" s="210" t="s">
        <v>931</v>
      </c>
      <c r="AD145" s="384" t="s">
        <v>932</v>
      </c>
      <c r="AE145" s="117">
        <v>8.0</v>
      </c>
      <c r="AF145" s="117">
        <v>5.0</v>
      </c>
      <c r="AG145" s="117">
        <v>0.98</v>
      </c>
      <c r="AH145" s="121" t="s">
        <v>173</v>
      </c>
      <c r="AI145" s="418" t="s">
        <v>933</v>
      </c>
      <c r="AJ145" s="419">
        <v>0.09</v>
      </c>
      <c r="AK145" s="420" t="s">
        <v>172</v>
      </c>
      <c r="AL145" s="112" t="s">
        <v>136</v>
      </c>
      <c r="AM145" s="114" t="s">
        <v>141</v>
      </c>
      <c r="AN145" s="114" t="s">
        <v>138</v>
      </c>
      <c r="AO145" s="117">
        <v>4.0</v>
      </c>
      <c r="AP145" s="117">
        <v>1.17</v>
      </c>
      <c r="AQ145" s="112" t="s">
        <v>173</v>
      </c>
      <c r="AR145" s="418" t="s">
        <v>934</v>
      </c>
      <c r="AS145" s="419">
        <v>0.101</v>
      </c>
      <c r="AT145" s="420" t="s">
        <v>172</v>
      </c>
      <c r="AU145" s="122" t="s">
        <v>136</v>
      </c>
      <c r="AV145" s="111" t="s">
        <v>141</v>
      </c>
      <c r="AW145" s="111" t="s">
        <v>138</v>
      </c>
      <c r="AX145" s="111" t="s">
        <v>151</v>
      </c>
      <c r="AY145" s="61" t="str">
        <f>IFERROR(__xludf.DUMMYFUNCTION("vlookup(BB145,importrange(""https://docs.google.com/spreadsheets/d/1d2vevQ_7D_v35q4wCQ4RpQ_IPoTwEMB9Yp6ymwlPqew/edit?gid=984458430#gid=984458430"", ""'replication success'!A:K""), 11, FAlSE)"),"#N/A")</f>
        <v>#N/A</v>
      </c>
      <c r="AZ145" s="61" t="str">
        <f>IFERROR(__xludf.DUMMYFUNCTION("vlookup(BB145,importrange(""https://docs.google.com/spreadsheets/d/1d2vevQ_7D_v35q4wCQ4RpQ_IPoTwEMB9Yp6ymwlPqew/edit?gid=984458430#gid=984458430"", ""'replication success'!A:M""), 12, FAlSE)"),"#N/A")</f>
        <v>#N/A</v>
      </c>
      <c r="BA145" s="61" t="str">
        <f>IFERROR(__xludf.DUMMYFUNCTION("vlookup(BB145,importrange(""https://docs.google.com/spreadsheets/d/1d2vevQ_7D_v35q4wCQ4RpQ_IPoTwEMB9Yp6ymwlPqew/edit?gid=984458430#gid=984458430"", ""'replication success'!A:M""), 13, FAlSE)"),"#N/A")</f>
        <v>#N/A</v>
      </c>
      <c r="BB145" s="61" t="str">
        <f>IFERROR(__xludf.DUMMYFUNCTION("REGEXREPLACE(G145, ""_[a-z]{1,2}$"", """")"),"additional_studies22")</f>
        <v>additional_studies22</v>
      </c>
      <c r="BC145" s="129"/>
      <c r="BD145" s="149" t="s">
        <v>144</v>
      </c>
      <c r="BG145" s="71"/>
      <c r="BH145" s="71"/>
      <c r="BI145" s="71"/>
      <c r="BJ145" s="71"/>
      <c r="BK145" s="71"/>
      <c r="BL145" s="71"/>
      <c r="BM145" s="71"/>
      <c r="BN145" s="71"/>
      <c r="BO145" s="71"/>
      <c r="BP145" s="71"/>
      <c r="BQ145" s="71"/>
      <c r="BR145" s="71"/>
      <c r="BS145" s="71"/>
      <c r="BT145" s="71"/>
      <c r="BU145" s="71"/>
      <c r="BV145" s="71"/>
      <c r="BW145" s="71"/>
      <c r="BX145" s="71"/>
      <c r="BY145" s="71"/>
      <c r="BZ145" s="71"/>
      <c r="CA145" s="71"/>
      <c r="CB145" s="71"/>
      <c r="CC145" s="71"/>
      <c r="CD145" s="71"/>
      <c r="CE145" s="71"/>
      <c r="CF145" s="71"/>
      <c r="CG145" s="71"/>
      <c r="CH145" s="71"/>
      <c r="CI145" s="71"/>
      <c r="CJ145" s="71"/>
      <c r="CK145" s="71"/>
      <c r="CL145" s="71"/>
      <c r="CM145" s="71"/>
      <c r="CN145" s="71"/>
      <c r="CO145" s="71"/>
      <c r="CP145" s="71"/>
      <c r="CQ145" s="71"/>
      <c r="CR145" s="71"/>
      <c r="CS145" s="71"/>
      <c r="CT145" s="71"/>
      <c r="CU145" s="71"/>
      <c r="CV145" s="71"/>
      <c r="CW145" s="71"/>
      <c r="CX145" s="71"/>
      <c r="CY145" s="71"/>
      <c r="CZ145" s="71"/>
      <c r="DA145" s="71"/>
      <c r="DB145" s="71"/>
      <c r="DC145" s="71"/>
      <c r="DD145" s="71"/>
      <c r="DE145" s="71"/>
      <c r="DF145" s="71"/>
      <c r="DG145" s="71"/>
      <c r="DH145" s="71"/>
      <c r="DI145" s="71"/>
      <c r="DJ145" s="71"/>
      <c r="DK145" s="71"/>
      <c r="DL145" s="71"/>
    </row>
    <row r="146" ht="20.25" customHeight="1">
      <c r="A146" s="44">
        <v>146.0</v>
      </c>
      <c r="B146" s="149" t="s">
        <v>523</v>
      </c>
      <c r="C146" s="149" t="s">
        <v>115</v>
      </c>
      <c r="D146" s="149" t="s">
        <v>346</v>
      </c>
      <c r="E146" s="71"/>
      <c r="F146" s="111" t="s">
        <v>917</v>
      </c>
      <c r="G146" s="112" t="s">
        <v>935</v>
      </c>
      <c r="H146" s="112" t="s">
        <v>349</v>
      </c>
      <c r="I146" s="417">
        <v>45641.0</v>
      </c>
      <c r="J146" s="311">
        <v>45663.0</v>
      </c>
      <c r="K146" s="210" t="s">
        <v>936</v>
      </c>
      <c r="L146" s="371" t="s">
        <v>928</v>
      </c>
      <c r="M146" s="112" t="s">
        <v>919</v>
      </c>
      <c r="N146" s="210" t="s">
        <v>920</v>
      </c>
      <c r="O146" s="117">
        <v>1.0</v>
      </c>
      <c r="P146" s="121" t="s">
        <v>921</v>
      </c>
      <c r="Q146" s="52" t="str">
        <f t="array" ref="Q146"> if(iserror(MATCH(V146, 'File Links'!C:C, 0)), "N/A", HYPERLINK(INDEX('File Links'!B:B, MATCH(P146, 'File Links'!C:C, 0))))</f>
        <v>https://drive.google.com/file/d/1bHfJ-3gEyIURBJhF8bZZGAbZGtPK135A/view?usp=drivesdk</v>
      </c>
      <c r="R146" s="418" t="s">
        <v>937</v>
      </c>
      <c r="S146" s="418" t="s">
        <v>923</v>
      </c>
      <c r="T146" s="114"/>
      <c r="U146" s="120"/>
      <c r="V146" s="66" t="str">
        <f> hyperlink(vlookup(lower(S146),'File Links'!E:F, 2, FALSE), SUBSTITUTE(lower(S146), "/", "--") &amp;  ".pdf")</f>
        <v>10.1007--s40617-024-00933-1.pdf</v>
      </c>
      <c r="W146" s="416" t="s">
        <v>924</v>
      </c>
      <c r="X146" s="54" t="str">
        <f t="array" ref="X146"> if(iserror(MATCH(V146, 'File Links'!C:C, 0)), "N/A", HYPERLINK(INDEX('File Links'!B:B, MATCH(V146, 'File Links'!C:C, 0))))</f>
        <v>https://drive.google.com/file/d/1LH5FS1-bb7IdYkCgO31BjONeTKWAtRQN/view?usp=drivesdk</v>
      </c>
      <c r="Y146" s="114"/>
      <c r="Z146" s="112" t="s">
        <v>241</v>
      </c>
      <c r="AA146" s="114"/>
      <c r="AB146" s="210" t="s">
        <v>930</v>
      </c>
      <c r="AC146" s="210" t="s">
        <v>938</v>
      </c>
      <c r="AD146" s="384" t="s">
        <v>939</v>
      </c>
      <c r="AE146" s="117">
        <v>1.0</v>
      </c>
      <c r="AF146" s="117">
        <v>5.0</v>
      </c>
      <c r="AG146" s="114"/>
      <c r="AH146" s="121" t="s">
        <v>173</v>
      </c>
      <c r="AI146" s="114"/>
      <c r="AJ146" s="114"/>
      <c r="AK146" s="111"/>
      <c r="AL146" s="114"/>
      <c r="AM146" s="114"/>
      <c r="AN146" s="114" t="s">
        <v>138</v>
      </c>
      <c r="AO146" s="117">
        <v>4.0</v>
      </c>
      <c r="AP146" s="114"/>
      <c r="AQ146" s="112" t="s">
        <v>173</v>
      </c>
      <c r="AR146" s="114"/>
      <c r="AS146" s="114"/>
      <c r="AT146" s="111"/>
      <c r="AU146" s="111"/>
      <c r="AV146" s="111"/>
      <c r="AW146" s="111" t="s">
        <v>138</v>
      </c>
      <c r="AX146" s="111" t="s">
        <v>151</v>
      </c>
      <c r="AY146" s="61" t="str">
        <f>IFERROR(__xludf.DUMMYFUNCTION("vlookup(BB146,importrange(""https://docs.google.com/spreadsheets/d/1d2vevQ_7D_v35q4wCQ4RpQ_IPoTwEMB9Yp6ymwlPqew/edit?gid=984458430#gid=984458430"", ""'replication success'!A:K""), 11, FAlSE)"),"#N/A")</f>
        <v>#N/A</v>
      </c>
      <c r="AZ146" s="61" t="str">
        <f>IFERROR(__xludf.DUMMYFUNCTION("vlookup(BB146,importrange(""https://docs.google.com/spreadsheets/d/1d2vevQ_7D_v35q4wCQ4RpQ_IPoTwEMB9Yp6ymwlPqew/edit?gid=984458430#gid=984458430"", ""'replication success'!A:M""), 12, FAlSE)"),"#N/A")</f>
        <v>#N/A</v>
      </c>
      <c r="BA146" s="61" t="str">
        <f>IFERROR(__xludf.DUMMYFUNCTION("vlookup(BB146,importrange(""https://docs.google.com/spreadsheets/d/1d2vevQ_7D_v35q4wCQ4RpQ_IPoTwEMB9Yp6ymwlPqew/edit?gid=984458430#gid=984458430"", ""'replication success'!A:M""), 13, FAlSE)"),"#N/A")</f>
        <v>#N/A</v>
      </c>
      <c r="BB146" s="61" t="str">
        <f>IFERROR(__xludf.DUMMYFUNCTION("REGEXREPLACE(G146, ""_[a-z]{1,2}$"", """")"),"additional_studies22")</f>
        <v>additional_studies22</v>
      </c>
      <c r="BC146" s="129"/>
      <c r="BD146" s="149" t="s">
        <v>144</v>
      </c>
      <c r="BG146" s="71"/>
      <c r="BH146" s="71"/>
      <c r="BI146" s="71"/>
      <c r="BJ146" s="71"/>
      <c r="BK146" s="71"/>
      <c r="BL146" s="71"/>
      <c r="BM146" s="71"/>
      <c r="BN146" s="71"/>
      <c r="BO146" s="71"/>
      <c r="BP146" s="71"/>
      <c r="BQ146" s="71"/>
      <c r="BR146" s="71"/>
      <c r="BS146" s="71"/>
      <c r="BT146" s="71"/>
      <c r="BU146" s="71"/>
      <c r="BV146" s="71"/>
      <c r="BW146" s="71"/>
      <c r="BX146" s="71"/>
      <c r="BY146" s="71"/>
      <c r="BZ146" s="71"/>
      <c r="CA146" s="71"/>
      <c r="CB146" s="71"/>
      <c r="CC146" s="71"/>
      <c r="CD146" s="71"/>
      <c r="CE146" s="71"/>
      <c r="CF146" s="71"/>
      <c r="CG146" s="71"/>
      <c r="CH146" s="71"/>
      <c r="CI146" s="71"/>
      <c r="CJ146" s="71"/>
      <c r="CK146" s="71"/>
      <c r="CL146" s="71"/>
      <c r="CM146" s="71"/>
      <c r="CN146" s="71"/>
      <c r="CO146" s="71"/>
      <c r="CP146" s="71"/>
      <c r="CQ146" s="71"/>
      <c r="CR146" s="71"/>
      <c r="CS146" s="71"/>
      <c r="CT146" s="71"/>
      <c r="CU146" s="71"/>
      <c r="CV146" s="71"/>
      <c r="CW146" s="71"/>
      <c r="CX146" s="71"/>
      <c r="CY146" s="71"/>
      <c r="CZ146" s="71"/>
      <c r="DA146" s="71"/>
      <c r="DB146" s="71"/>
      <c r="DC146" s="71"/>
      <c r="DD146" s="71"/>
      <c r="DE146" s="71"/>
      <c r="DF146" s="71"/>
      <c r="DG146" s="71"/>
      <c r="DH146" s="71"/>
      <c r="DI146" s="71"/>
      <c r="DJ146" s="71"/>
      <c r="DK146" s="71"/>
      <c r="DL146" s="71"/>
    </row>
    <row r="147" ht="20.25" customHeight="1">
      <c r="A147" s="44">
        <v>147.0</v>
      </c>
      <c r="B147" s="45" t="s">
        <v>285</v>
      </c>
      <c r="C147" s="45" t="s">
        <v>115</v>
      </c>
      <c r="D147" s="45" t="s">
        <v>753</v>
      </c>
      <c r="E147" s="65"/>
      <c r="F147" s="62" t="s">
        <v>940</v>
      </c>
      <c r="G147" s="45" t="s">
        <v>900</v>
      </c>
      <c r="H147" s="45" t="s">
        <v>753</v>
      </c>
      <c r="I147" s="63">
        <v>45427.0</v>
      </c>
      <c r="J147" s="65"/>
      <c r="K147" s="45" t="s">
        <v>941</v>
      </c>
      <c r="L147" s="65"/>
      <c r="M147" s="45" t="s">
        <v>942</v>
      </c>
      <c r="N147" s="45" t="s">
        <v>943</v>
      </c>
      <c r="O147" s="45">
        <v>1.0</v>
      </c>
      <c r="P147" s="118" t="str">
        <f> hyperlink(vlookup(lower(N147),'File Links'!A:B, 2, FALSE), SUBSTITUTE(lower(N147), "/", "--") &amp;  ".pdf")</f>
        <v>10.1111--j.1467-9280.2007.01961.x.pdf</v>
      </c>
      <c r="Q147" s="108" t="str">
        <f t="array" ref="Q147"> if(iserror(MATCH(V147, 'File Links'!C:C, 0)), "N/A", HYPERLINK(INDEX('File Links'!B:B, MATCH(P147, 'File Links'!C:C, 0))))</f>
        <v>N/A</v>
      </c>
      <c r="R147" s="45" t="s">
        <v>944</v>
      </c>
      <c r="S147" s="45" t="s">
        <v>945</v>
      </c>
      <c r="T147" s="65"/>
      <c r="U147" s="45">
        <v>2.0</v>
      </c>
      <c r="V147" s="66" t="str">
        <f> hyperlink(vlookup(lower(S147),'File Links'!E:F, 2, FALSE), SUBSTITUTE(lower(S147), "/", "--") &amp;  ".pdf")</f>
        <v>10.1177--09567976241246552.pdf</v>
      </c>
      <c r="W147" s="45" t="s">
        <v>946</v>
      </c>
      <c r="X147" s="49" t="str">
        <f t="array" ref="X147"> if(iserror(MATCH(V147, 'File Links'!C:C, 0)), "N/A", HYPERLINK(INDEX('File Links'!B:B, MATCH(V147, 'File Links'!C:C, 0))))</f>
        <v>N/A</v>
      </c>
      <c r="Y147" s="45"/>
      <c r="Z147" s="45" t="s">
        <v>947</v>
      </c>
      <c r="AA147" s="45" t="s">
        <v>948</v>
      </c>
      <c r="AB147" s="45" t="s">
        <v>949</v>
      </c>
      <c r="AC147" s="45" t="s">
        <v>950</v>
      </c>
      <c r="AD147" s="45" t="s">
        <v>951</v>
      </c>
      <c r="AE147" s="45">
        <v>690.0</v>
      </c>
      <c r="AF147" s="45">
        <v>76.0</v>
      </c>
      <c r="AG147" s="45">
        <v>1.11</v>
      </c>
      <c r="AH147" s="45" t="s">
        <v>173</v>
      </c>
      <c r="AI147" s="45">
        <v>690.0</v>
      </c>
      <c r="AJ147" s="45">
        <v>0.001</v>
      </c>
      <c r="AK147" s="45" t="s">
        <v>172</v>
      </c>
      <c r="AL147" s="45" t="s">
        <v>186</v>
      </c>
      <c r="AM147" s="67"/>
      <c r="AN147" s="114" t="s">
        <v>138</v>
      </c>
      <c r="AO147" s="45">
        <v>590.0</v>
      </c>
      <c r="AP147" s="414">
        <v>3.0</v>
      </c>
      <c r="AQ147" s="45" t="s">
        <v>139</v>
      </c>
      <c r="AR147" s="45">
        <v>22.0</v>
      </c>
      <c r="AS147" s="45" t="s">
        <v>952</v>
      </c>
      <c r="AT147" s="45" t="s">
        <v>172</v>
      </c>
      <c r="AU147" s="45" t="s">
        <v>186</v>
      </c>
      <c r="AV147" s="67"/>
      <c r="AX147" s="129" t="s">
        <v>324</v>
      </c>
      <c r="AY147" s="61" t="str">
        <f>IFERROR(__xludf.DUMMYFUNCTION("vlookup(BB147,importrange(""https://docs.google.com/spreadsheets/d/1d2vevQ_7D_v35q4wCQ4RpQ_IPoTwEMB9Yp6ymwlPqew/edit?gid=984458430#gid=984458430"", ""'replication success'!A:K""), 11, FAlSE)"),"#N/A")</f>
        <v>#N/A</v>
      </c>
      <c r="AZ147" s="61" t="str">
        <f>IFERROR(__xludf.DUMMYFUNCTION("vlookup(BB147,importrange(""https://docs.google.com/spreadsheets/d/1d2vevQ_7D_v35q4wCQ4RpQ_IPoTwEMB9Yp6ymwlPqew/edit?gid=984458430#gid=984458430"", ""'replication success'!A:M""), 12, FAlSE)"),"#N/A")</f>
        <v>#N/A</v>
      </c>
      <c r="BA147" s="61" t="str">
        <f>IFERROR(__xludf.DUMMYFUNCTION("vlookup(BB147,importrange(""https://docs.google.com/spreadsheets/d/1d2vevQ_7D_v35q4wCQ4RpQ_IPoTwEMB9Yp6ymwlPqew/edit?gid=984458430#gid=984458430"", ""'replication success'!A:M""), 13, FAlSE)"),"#N/A")</f>
        <v>#N/A</v>
      </c>
      <c r="BB147" s="61" t="str">
        <f>IFERROR(__xludf.DUMMYFUNCTION("REGEXREPLACE(G147, ""_[a-z]{1,2}$"", """")"),"additional_studies23")</f>
        <v>additional_studies23</v>
      </c>
      <c r="BC147" s="65"/>
    </row>
    <row r="148" ht="20.25" customHeight="1">
      <c r="A148" s="44">
        <v>148.0</v>
      </c>
      <c r="B148" s="45" t="s">
        <v>285</v>
      </c>
      <c r="C148" s="45" t="s">
        <v>115</v>
      </c>
      <c r="D148" s="45" t="s">
        <v>753</v>
      </c>
      <c r="E148" s="65"/>
      <c r="F148" s="62" t="s">
        <v>953</v>
      </c>
      <c r="G148" s="45" t="s">
        <v>906</v>
      </c>
      <c r="H148" s="45" t="s">
        <v>753</v>
      </c>
      <c r="I148" s="63">
        <v>45427.0</v>
      </c>
      <c r="J148" s="65"/>
      <c r="K148" s="45" t="s">
        <v>954</v>
      </c>
      <c r="L148" s="65"/>
      <c r="M148" s="45" t="s">
        <v>955</v>
      </c>
      <c r="N148" s="45" t="s">
        <v>956</v>
      </c>
      <c r="O148" s="45">
        <v>2.0</v>
      </c>
      <c r="P148" s="118" t="str">
        <f> hyperlink(vlookup(lower(N148),'File Links'!A:B, 2, FALSE), SUBSTITUTE(lower(N148), "/", "--") &amp;  ".pdf")</f>
        <v>10.1521--soco.2008.26.2.143.pdf</v>
      </c>
      <c r="Q148" s="108" t="str">
        <f t="array" ref="Q148"> if(iserror(MATCH(V148, 'File Links'!C:C, 0)), "N/A", HYPERLINK(INDEX('File Links'!B:B, MATCH(P148, 'File Links'!C:C, 0))))</f>
        <v>N/A</v>
      </c>
      <c r="R148" s="45" t="s">
        <v>957</v>
      </c>
      <c r="S148" s="45" t="s">
        <v>958</v>
      </c>
      <c r="T148" s="65"/>
      <c r="U148" s="45">
        <v>2.0</v>
      </c>
      <c r="V148" s="66" t="str">
        <f> hyperlink(vlookup(lower(S148),'File Links'!E:F, 2, FALSE), SUBSTITUTE(lower(S148), "/", "--") &amp;  ".pdf")</f>
        <v>10.1037--cns0000401.pdf</v>
      </c>
      <c r="W148" s="45" t="s">
        <v>946</v>
      </c>
      <c r="X148" s="49" t="str">
        <f t="array" ref="X148"> if(iserror(MATCH(V148, 'File Links'!C:C, 0)), "N/A", HYPERLINK(INDEX('File Links'!B:B, MATCH(V148, 'File Links'!C:C, 0))))</f>
        <v>N/A</v>
      </c>
      <c r="Y148" s="45"/>
      <c r="Z148" s="45" t="s">
        <v>947</v>
      </c>
      <c r="AA148" s="45" t="s">
        <v>959</v>
      </c>
      <c r="AB148" s="45" t="s">
        <v>960</v>
      </c>
      <c r="AC148" s="45" t="s">
        <v>961</v>
      </c>
      <c r="AD148" s="45" t="s">
        <v>962</v>
      </c>
      <c r="AE148" s="45">
        <v>148.0</v>
      </c>
      <c r="AF148" s="45">
        <v>166.0</v>
      </c>
      <c r="AG148" s="45">
        <v>-0.18</v>
      </c>
      <c r="AH148" s="45" t="s">
        <v>215</v>
      </c>
      <c r="AI148" s="45">
        <v>148.0</v>
      </c>
      <c r="AJ148" s="45">
        <v>0.02</v>
      </c>
      <c r="AK148" s="45" t="s">
        <v>172</v>
      </c>
      <c r="AL148" s="45" t="s">
        <v>136</v>
      </c>
      <c r="AM148" s="67"/>
      <c r="AN148" s="114" t="s">
        <v>138</v>
      </c>
      <c r="AO148" s="45">
        <v>885.0</v>
      </c>
      <c r="AP148" s="45">
        <v>0.02</v>
      </c>
      <c r="AQ148" s="45" t="s">
        <v>215</v>
      </c>
      <c r="AR148" s="45">
        <v>422.0</v>
      </c>
      <c r="AS148" s="45" t="s">
        <v>963</v>
      </c>
      <c r="AT148" s="45" t="s">
        <v>172</v>
      </c>
      <c r="AU148" s="45" t="s">
        <v>218</v>
      </c>
      <c r="AV148" s="67"/>
      <c r="AX148" s="129" t="s">
        <v>324</v>
      </c>
      <c r="AY148" s="61" t="str">
        <f>IFERROR(__xludf.DUMMYFUNCTION("vlookup(BB148,importrange(""https://docs.google.com/spreadsheets/d/1d2vevQ_7D_v35q4wCQ4RpQ_IPoTwEMB9Yp6ymwlPqew/edit?gid=984458430#gid=984458430"", ""'replication success'!A:K""), 11, FAlSE)"),"#N/A")</f>
        <v>#N/A</v>
      </c>
      <c r="AZ148" s="61" t="str">
        <f>IFERROR(__xludf.DUMMYFUNCTION("vlookup(BB148,importrange(""https://docs.google.com/spreadsheets/d/1d2vevQ_7D_v35q4wCQ4RpQ_IPoTwEMB9Yp6ymwlPqew/edit?gid=984458430#gid=984458430"", ""'replication success'!A:M""), 12, FAlSE)"),"#N/A")</f>
        <v>#N/A</v>
      </c>
      <c r="BA148" s="61" t="str">
        <f>IFERROR(__xludf.DUMMYFUNCTION("vlookup(BB148,importrange(""https://docs.google.com/spreadsheets/d/1d2vevQ_7D_v35q4wCQ4RpQ_IPoTwEMB9Yp6ymwlPqew/edit?gid=984458430#gid=984458430"", ""'replication success'!A:M""), 13, FAlSE)"),"#N/A")</f>
        <v>#N/A</v>
      </c>
      <c r="BB148" s="61" t="str">
        <f>IFERROR(__xludf.DUMMYFUNCTION("REGEXREPLACE(G148, ""_[a-z]{1,2}$"", """")"),"additional_studies24")</f>
        <v>additional_studies24</v>
      </c>
      <c r="BC148" s="65"/>
    </row>
    <row r="149" ht="20.25" customHeight="1">
      <c r="A149" s="44">
        <v>149.0</v>
      </c>
      <c r="B149" s="45" t="s">
        <v>285</v>
      </c>
      <c r="C149" s="45" t="s">
        <v>115</v>
      </c>
      <c r="D149" s="45" t="s">
        <v>753</v>
      </c>
      <c r="E149" s="65"/>
      <c r="F149" s="62" t="s">
        <v>964</v>
      </c>
      <c r="G149" s="45" t="s">
        <v>912</v>
      </c>
      <c r="H149" s="45" t="s">
        <v>753</v>
      </c>
      <c r="I149" s="63">
        <v>45427.0</v>
      </c>
      <c r="J149" s="65"/>
      <c r="K149" s="45" t="s">
        <v>965</v>
      </c>
      <c r="L149" s="65"/>
      <c r="M149" s="45" t="s">
        <v>966</v>
      </c>
      <c r="N149" s="45" t="s">
        <v>967</v>
      </c>
      <c r="O149" s="45">
        <v>2.0</v>
      </c>
      <c r="P149" s="118" t="str">
        <f> hyperlink(vlookup(lower(N149),'File Links'!A:B, 2, FALSE), SUBSTITUTE(lower(N149), "/", "--") &amp;  ".pdf")</f>
        <v>10.1177--0956797613478614.pdf</v>
      </c>
      <c r="Q149" s="52" t="str">
        <f t="array" ref="Q149"> if(iserror(MATCH(V149, 'File Links'!C:C, 0)), "N/A", HYPERLINK(INDEX('File Links'!B:B, MATCH(P149, 'File Links'!C:C, 0))))</f>
        <v>https://drive.google.com/file/d/145Pa13zh5Prx2VW-au4YJBMHc37TXuej/view?usp=drivesdk</v>
      </c>
      <c r="R149" s="45" t="s">
        <v>968</v>
      </c>
      <c r="S149" s="45" t="s">
        <v>967</v>
      </c>
      <c r="T149" s="65"/>
      <c r="U149" s="45">
        <v>2.0</v>
      </c>
      <c r="V149" s="66" t="str">
        <f> hyperlink(vlookup(lower(S149),'File Links'!E:F, 2, FALSE), SUBSTITUTE(lower(S149), "/", "--") &amp;  ".pdf")</f>
        <v>10.1177--0956797613478614.pdf</v>
      </c>
      <c r="W149" s="45" t="s">
        <v>946</v>
      </c>
      <c r="X149" s="54" t="str">
        <f t="array" ref="X149"> if(iserror(MATCH(V149, 'File Links'!C:C, 0)), "N/A", HYPERLINK(INDEX('File Links'!B:B, MATCH(V149, 'File Links'!C:C, 0))))</f>
        <v>https://drive.google.com/file/d/145Pa13zh5Prx2VW-au4YJBMHc37TXuej/view?usp=drivesdk</v>
      </c>
      <c r="Y149" s="65"/>
      <c r="Z149" s="45" t="s">
        <v>947</v>
      </c>
      <c r="AA149" s="45" t="s">
        <v>969</v>
      </c>
      <c r="AB149" s="45" t="s">
        <v>970</v>
      </c>
      <c r="AC149" s="45" t="s">
        <v>971</v>
      </c>
      <c r="AD149" s="45" t="s">
        <v>972</v>
      </c>
      <c r="AE149" s="45">
        <v>2.0</v>
      </c>
      <c r="AF149" s="45">
        <v>24.0</v>
      </c>
      <c r="AG149" s="45" t="s">
        <v>973</v>
      </c>
      <c r="AH149" s="45" t="s">
        <v>139</v>
      </c>
      <c r="AI149" s="45" t="s">
        <v>767</v>
      </c>
      <c r="AJ149" s="45">
        <v>0.001155</v>
      </c>
      <c r="AK149" s="45" t="s">
        <v>172</v>
      </c>
      <c r="AL149" s="45" t="s">
        <v>186</v>
      </c>
      <c r="AM149" s="67"/>
      <c r="AN149" s="114" t="s">
        <v>138</v>
      </c>
      <c r="AO149" s="45">
        <v>50.0</v>
      </c>
      <c r="AP149" s="65"/>
      <c r="AQ149" s="65"/>
      <c r="AR149" s="65"/>
      <c r="AS149" s="65"/>
      <c r="AT149" s="65"/>
      <c r="AU149" s="45" t="s">
        <v>186</v>
      </c>
      <c r="AV149" s="67"/>
      <c r="AX149" s="129" t="s">
        <v>574</v>
      </c>
      <c r="AY149" s="61" t="str">
        <f>IFERROR(__xludf.DUMMYFUNCTION("vlookup(BB149,importrange(""https://docs.google.com/spreadsheets/d/1d2vevQ_7D_v35q4wCQ4RpQ_IPoTwEMB9Yp6ymwlPqew/edit?gid=984458430#gid=984458430"", ""'replication success'!A:K""), 11, FAlSE)"),"#N/A")</f>
        <v>#N/A</v>
      </c>
      <c r="AZ149" s="61" t="str">
        <f>IFERROR(__xludf.DUMMYFUNCTION("vlookup(BB149,importrange(""https://docs.google.com/spreadsheets/d/1d2vevQ_7D_v35q4wCQ4RpQ_IPoTwEMB9Yp6ymwlPqew/edit?gid=984458430#gid=984458430"", ""'replication success'!A:M""), 12, FAlSE)"),"#N/A")</f>
        <v>#N/A</v>
      </c>
      <c r="BA149" s="61" t="str">
        <f>IFERROR(__xludf.DUMMYFUNCTION("vlookup(BB149,importrange(""https://docs.google.com/spreadsheets/d/1d2vevQ_7D_v35q4wCQ4RpQ_IPoTwEMB9Yp6ymwlPqew/edit?gid=984458430#gid=984458430"", ""'replication success'!A:M""), 13, FAlSE)"),"#N/A")</f>
        <v>#N/A</v>
      </c>
      <c r="BB149" s="61" t="str">
        <f>IFERROR(__xludf.DUMMYFUNCTION("REGEXREPLACE(G149, ""_[a-z]{1,2}$"", """")"),"additional_studies25")</f>
        <v>additional_studies25</v>
      </c>
      <c r="BC149" s="65"/>
      <c r="BG149" s="71"/>
      <c r="BH149" s="71"/>
      <c r="BI149" s="71"/>
      <c r="BJ149" s="71"/>
      <c r="BK149" s="71"/>
      <c r="BL149" s="71"/>
      <c r="BM149" s="71"/>
      <c r="BN149" s="71"/>
      <c r="BO149" s="71"/>
      <c r="BP149" s="71"/>
      <c r="BQ149" s="71"/>
      <c r="BR149" s="71"/>
      <c r="BS149" s="71"/>
      <c r="BT149" s="71"/>
      <c r="BU149" s="71"/>
      <c r="BV149" s="71"/>
      <c r="BW149" s="71"/>
      <c r="BX149" s="71"/>
      <c r="BY149" s="71"/>
      <c r="BZ149" s="71"/>
      <c r="CA149" s="71"/>
      <c r="CB149" s="71"/>
      <c r="CC149" s="71"/>
      <c r="CD149" s="71"/>
      <c r="CE149" s="71"/>
      <c r="CF149" s="71"/>
      <c r="CG149" s="71"/>
      <c r="CH149" s="71"/>
      <c r="CI149" s="71"/>
      <c r="CJ149" s="71"/>
      <c r="CK149" s="71"/>
      <c r="CL149" s="71"/>
      <c r="CM149" s="71"/>
      <c r="CN149" s="71"/>
      <c r="CO149" s="71"/>
      <c r="CP149" s="71"/>
      <c r="CQ149" s="71"/>
      <c r="CR149" s="71"/>
      <c r="CS149" s="71"/>
      <c r="CT149" s="71"/>
      <c r="CU149" s="71"/>
      <c r="CV149" s="71"/>
      <c r="CW149" s="71"/>
      <c r="CX149" s="71"/>
      <c r="CY149" s="71"/>
      <c r="CZ149" s="71"/>
      <c r="DA149" s="71"/>
      <c r="DB149" s="71"/>
      <c r="DC149" s="71"/>
      <c r="DD149" s="71"/>
      <c r="DE149" s="71"/>
      <c r="DF149" s="71"/>
      <c r="DG149" s="71"/>
      <c r="DH149" s="71"/>
      <c r="DI149" s="71"/>
      <c r="DJ149" s="71"/>
      <c r="DK149" s="71"/>
      <c r="DL149" s="71"/>
    </row>
    <row r="150" ht="20.25" customHeight="1">
      <c r="A150" s="44">
        <v>150.0</v>
      </c>
      <c r="B150" s="45" t="s">
        <v>285</v>
      </c>
      <c r="C150" s="45" t="s">
        <v>115</v>
      </c>
      <c r="D150" s="45" t="s">
        <v>753</v>
      </c>
      <c r="E150" s="65"/>
      <c r="F150" s="62" t="s">
        <v>964</v>
      </c>
      <c r="G150" s="45" t="s">
        <v>912</v>
      </c>
      <c r="H150" s="45" t="s">
        <v>753</v>
      </c>
      <c r="I150" s="63">
        <v>45427.0</v>
      </c>
      <c r="J150" s="65"/>
      <c r="K150" s="45" t="s">
        <v>965</v>
      </c>
      <c r="L150" s="65"/>
      <c r="M150" s="45" t="s">
        <v>966</v>
      </c>
      <c r="N150" s="45" t="s">
        <v>967</v>
      </c>
      <c r="O150" s="45">
        <v>2.0</v>
      </c>
      <c r="P150" s="118" t="str">
        <f> hyperlink(vlookup(lower(N150),'File Links'!A:B, 2, FALSE), SUBSTITUTE(lower(N150), "/", "--") &amp;  ".pdf")</f>
        <v>10.1177--0956797613478614.pdf</v>
      </c>
      <c r="Q150" s="52" t="str">
        <f t="array" ref="Q150"> if(iserror(MATCH(V150, 'File Links'!C:C, 0)), "N/A", HYPERLINK(INDEX('File Links'!B:B, MATCH(P150, 'File Links'!C:C, 0))))</f>
        <v>https://drive.google.com/file/d/145Pa13zh5Prx2VW-au4YJBMHc37TXuej/view?usp=drivesdk</v>
      </c>
      <c r="R150" s="45" t="s">
        <v>968</v>
      </c>
      <c r="S150" s="45" t="s">
        <v>967</v>
      </c>
      <c r="T150" s="65"/>
      <c r="U150" s="45">
        <v>2.0</v>
      </c>
      <c r="V150" s="66" t="str">
        <f> hyperlink(vlookup(lower(S150),'File Links'!E:F, 2, FALSE), SUBSTITUTE(lower(S150), "/", "--") &amp;  ".pdf")</f>
        <v>10.1177--0956797613478614.pdf</v>
      </c>
      <c r="W150" s="45" t="s">
        <v>946</v>
      </c>
      <c r="X150" s="54" t="str">
        <f t="array" ref="X150"> if(iserror(MATCH(V150, 'File Links'!C:C, 0)), "N/A", HYPERLINK(INDEX('File Links'!B:B, MATCH(V150, 'File Links'!C:C, 0))))</f>
        <v>https://drive.google.com/file/d/145Pa13zh5Prx2VW-au4YJBMHc37TXuej/view?usp=drivesdk</v>
      </c>
      <c r="Y150" s="65"/>
      <c r="Z150" s="45" t="s">
        <v>947</v>
      </c>
      <c r="AA150" s="45" t="s">
        <v>969</v>
      </c>
      <c r="AB150" s="45" t="s">
        <v>970</v>
      </c>
      <c r="AC150" s="45" t="s">
        <v>971</v>
      </c>
      <c r="AD150" s="45" t="s">
        <v>974</v>
      </c>
      <c r="AE150" s="45">
        <v>2.0</v>
      </c>
      <c r="AF150" s="45">
        <v>24.0</v>
      </c>
      <c r="AG150" s="45" t="s">
        <v>973</v>
      </c>
      <c r="AH150" s="45" t="s">
        <v>139</v>
      </c>
      <c r="AI150" s="45" t="s">
        <v>767</v>
      </c>
      <c r="AJ150" s="45">
        <v>0.08</v>
      </c>
      <c r="AK150" s="45" t="s">
        <v>135</v>
      </c>
      <c r="AL150" s="45" t="s">
        <v>186</v>
      </c>
      <c r="AM150" s="67"/>
      <c r="AN150" s="114" t="s">
        <v>138</v>
      </c>
      <c r="AO150" s="45">
        <v>50.0</v>
      </c>
      <c r="AP150" s="65"/>
      <c r="AQ150" s="65"/>
      <c r="AR150" s="65"/>
      <c r="AS150" s="65"/>
      <c r="AT150" s="65"/>
      <c r="AU150" s="45" t="s">
        <v>186</v>
      </c>
      <c r="AV150" s="67"/>
      <c r="AX150" s="129" t="s">
        <v>574</v>
      </c>
      <c r="AY150" s="61" t="str">
        <f>IFERROR(__xludf.DUMMYFUNCTION("vlookup(BB150,importrange(""https://docs.google.com/spreadsheets/d/1d2vevQ_7D_v35q4wCQ4RpQ_IPoTwEMB9Yp6ymwlPqew/edit?gid=984458430#gid=984458430"", ""'replication success'!A:K""), 11, FAlSE)"),"#N/A")</f>
        <v>#N/A</v>
      </c>
      <c r="AZ150" s="61" t="str">
        <f>IFERROR(__xludf.DUMMYFUNCTION("vlookup(BB150,importrange(""https://docs.google.com/spreadsheets/d/1d2vevQ_7D_v35q4wCQ4RpQ_IPoTwEMB9Yp6ymwlPqew/edit?gid=984458430#gid=984458430"", ""'replication success'!A:M""), 12, FAlSE)"),"#N/A")</f>
        <v>#N/A</v>
      </c>
      <c r="BA150" s="61" t="str">
        <f>IFERROR(__xludf.DUMMYFUNCTION("vlookup(BB150,importrange(""https://docs.google.com/spreadsheets/d/1d2vevQ_7D_v35q4wCQ4RpQ_IPoTwEMB9Yp6ymwlPqew/edit?gid=984458430#gid=984458430"", ""'replication success'!A:M""), 13, FAlSE)"),"#N/A")</f>
        <v>#N/A</v>
      </c>
      <c r="BB150" s="61" t="str">
        <f>IFERROR(__xludf.DUMMYFUNCTION("REGEXREPLACE(G150, ""_[a-z]{1,2}$"", """")"),"additional_studies25")</f>
        <v>additional_studies25</v>
      </c>
      <c r="BC150" s="65"/>
      <c r="BG150" s="71"/>
      <c r="BH150" s="71"/>
      <c r="BI150" s="71"/>
      <c r="BJ150" s="71"/>
      <c r="BK150" s="71"/>
      <c r="BL150" s="71"/>
      <c r="BM150" s="71"/>
      <c r="BN150" s="71"/>
      <c r="BO150" s="71"/>
      <c r="BP150" s="71"/>
      <c r="BQ150" s="71"/>
      <c r="BR150" s="71"/>
      <c r="BS150" s="71"/>
      <c r="BT150" s="71"/>
      <c r="BU150" s="71"/>
      <c r="BV150" s="71"/>
      <c r="BW150" s="71"/>
      <c r="BX150" s="71"/>
      <c r="BY150" s="71"/>
      <c r="BZ150" s="71"/>
      <c r="CA150" s="71"/>
      <c r="CB150" s="71"/>
      <c r="CC150" s="71"/>
      <c r="CD150" s="71"/>
      <c r="CE150" s="71"/>
      <c r="CF150" s="71"/>
      <c r="CG150" s="71"/>
      <c r="CH150" s="71"/>
      <c r="CI150" s="71"/>
      <c r="CJ150" s="71"/>
      <c r="CK150" s="71"/>
      <c r="CL150" s="71"/>
      <c r="CM150" s="71"/>
      <c r="CN150" s="71"/>
      <c r="CO150" s="71"/>
      <c r="CP150" s="71"/>
      <c r="CQ150" s="71"/>
      <c r="CR150" s="71"/>
      <c r="CS150" s="71"/>
      <c r="CT150" s="71"/>
      <c r="CU150" s="71"/>
      <c r="CV150" s="71"/>
      <c r="CW150" s="71"/>
      <c r="CX150" s="71"/>
      <c r="CY150" s="71"/>
      <c r="CZ150" s="71"/>
      <c r="DA150" s="71"/>
      <c r="DB150" s="71"/>
      <c r="DC150" s="71"/>
      <c r="DD150" s="71"/>
      <c r="DE150" s="71"/>
      <c r="DF150" s="71"/>
      <c r="DG150" s="71"/>
      <c r="DH150" s="71"/>
      <c r="DI150" s="71"/>
      <c r="DJ150" s="71"/>
      <c r="DK150" s="71"/>
      <c r="DL150" s="71"/>
    </row>
    <row r="151" ht="20.25" customHeight="1">
      <c r="A151" s="44">
        <v>151.0</v>
      </c>
      <c r="B151" s="45" t="s">
        <v>285</v>
      </c>
      <c r="C151" s="45" t="s">
        <v>115</v>
      </c>
      <c r="D151" s="45" t="s">
        <v>753</v>
      </c>
      <c r="E151" s="65"/>
      <c r="F151" s="62" t="s">
        <v>964</v>
      </c>
      <c r="G151" s="45" t="s">
        <v>912</v>
      </c>
      <c r="H151" s="45" t="s">
        <v>753</v>
      </c>
      <c r="I151" s="63">
        <v>45427.0</v>
      </c>
      <c r="J151" s="65"/>
      <c r="K151" s="45" t="s">
        <v>965</v>
      </c>
      <c r="L151" s="65"/>
      <c r="M151" s="45" t="s">
        <v>966</v>
      </c>
      <c r="N151" s="45" t="s">
        <v>967</v>
      </c>
      <c r="O151" s="45">
        <v>2.0</v>
      </c>
      <c r="P151" s="118" t="str">
        <f> hyperlink(vlookup(lower(N151),'File Links'!A:B, 2, FALSE), SUBSTITUTE(lower(N151), "/", "--") &amp;  ".pdf")</f>
        <v>10.1177--0956797613478614.pdf</v>
      </c>
      <c r="Q151" s="52" t="str">
        <f t="array" ref="Q151"> if(iserror(MATCH(V151, 'File Links'!C:C, 0)), "N/A", HYPERLINK(INDEX('File Links'!B:B, MATCH(P151, 'File Links'!C:C, 0))))</f>
        <v>https://drive.google.com/file/d/145Pa13zh5Prx2VW-au4YJBMHc37TXuej/view?usp=drivesdk</v>
      </c>
      <c r="R151" s="45" t="s">
        <v>968</v>
      </c>
      <c r="S151" s="45" t="s">
        <v>967</v>
      </c>
      <c r="T151" s="65"/>
      <c r="U151" s="45">
        <v>2.0</v>
      </c>
      <c r="V151" s="66" t="str">
        <f> hyperlink(vlookup(lower(S151),'File Links'!E:F, 2, FALSE), SUBSTITUTE(lower(S151), "/", "--") &amp;  ".pdf")</f>
        <v>10.1177--0956797613478614.pdf</v>
      </c>
      <c r="W151" s="45" t="s">
        <v>946</v>
      </c>
      <c r="X151" s="54" t="str">
        <f t="array" ref="X151"> if(iserror(MATCH(V151, 'File Links'!C:C, 0)), "N/A", HYPERLINK(INDEX('File Links'!B:B, MATCH(V151, 'File Links'!C:C, 0))))</f>
        <v>https://drive.google.com/file/d/145Pa13zh5Prx2VW-au4YJBMHc37TXuej/view?usp=drivesdk</v>
      </c>
      <c r="Y151" s="65"/>
      <c r="Z151" s="45" t="s">
        <v>947</v>
      </c>
      <c r="AA151" s="45" t="s">
        <v>969</v>
      </c>
      <c r="AB151" s="45" t="s">
        <v>970</v>
      </c>
      <c r="AC151" s="45" t="s">
        <v>971</v>
      </c>
      <c r="AD151" s="45" t="s">
        <v>975</v>
      </c>
      <c r="AE151" s="45">
        <v>2.0</v>
      </c>
      <c r="AF151" s="45">
        <v>24.0</v>
      </c>
      <c r="AG151" s="45" t="s">
        <v>973</v>
      </c>
      <c r="AH151" s="45" t="s">
        <v>139</v>
      </c>
      <c r="AI151" s="45" t="s">
        <v>767</v>
      </c>
      <c r="AJ151" s="45">
        <v>0.00265</v>
      </c>
      <c r="AK151" s="45" t="s">
        <v>135</v>
      </c>
      <c r="AL151" s="45" t="s">
        <v>186</v>
      </c>
      <c r="AM151" s="67"/>
      <c r="AN151" s="114" t="s">
        <v>138</v>
      </c>
      <c r="AO151" s="45">
        <v>50.0</v>
      </c>
      <c r="AP151" s="65"/>
      <c r="AQ151" s="65"/>
      <c r="AR151" s="65"/>
      <c r="AS151" s="65"/>
      <c r="AT151" s="65"/>
      <c r="AU151" s="45" t="s">
        <v>186</v>
      </c>
      <c r="AV151" s="67"/>
      <c r="AX151" s="129" t="s">
        <v>574</v>
      </c>
      <c r="AY151" s="61" t="str">
        <f>IFERROR(__xludf.DUMMYFUNCTION("vlookup(BB151,importrange(""https://docs.google.com/spreadsheets/d/1d2vevQ_7D_v35q4wCQ4RpQ_IPoTwEMB9Yp6ymwlPqew/edit?gid=984458430#gid=984458430"", ""'replication success'!A:K""), 11, FAlSE)"),"#N/A")</f>
        <v>#N/A</v>
      </c>
      <c r="AZ151" s="61" t="str">
        <f>IFERROR(__xludf.DUMMYFUNCTION("vlookup(BB151,importrange(""https://docs.google.com/spreadsheets/d/1d2vevQ_7D_v35q4wCQ4RpQ_IPoTwEMB9Yp6ymwlPqew/edit?gid=984458430#gid=984458430"", ""'replication success'!A:M""), 12, FAlSE)"),"#N/A")</f>
        <v>#N/A</v>
      </c>
      <c r="BA151" s="61" t="str">
        <f>IFERROR(__xludf.DUMMYFUNCTION("vlookup(BB151,importrange(""https://docs.google.com/spreadsheets/d/1d2vevQ_7D_v35q4wCQ4RpQ_IPoTwEMB9Yp6ymwlPqew/edit?gid=984458430#gid=984458430"", ""'replication success'!A:M""), 13, FAlSE)"),"#N/A")</f>
        <v>#N/A</v>
      </c>
      <c r="BB151" s="61" t="str">
        <f>IFERROR(__xludf.DUMMYFUNCTION("REGEXREPLACE(G151, ""_[a-z]{1,2}$"", """")"),"additional_studies25")</f>
        <v>additional_studies25</v>
      </c>
      <c r="BC151" s="65"/>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row>
    <row r="152" ht="20.25" customHeight="1">
      <c r="A152" s="44">
        <v>152.0</v>
      </c>
      <c r="B152" s="148" t="s">
        <v>285</v>
      </c>
      <c r="C152" s="148" t="s">
        <v>115</v>
      </c>
      <c r="D152" s="421" t="s">
        <v>442</v>
      </c>
      <c r="E152" s="365"/>
      <c r="F152" s="422" t="s">
        <v>976</v>
      </c>
      <c r="G152" s="423" t="s">
        <v>977</v>
      </c>
      <c r="H152" s="423" t="s">
        <v>445</v>
      </c>
      <c r="I152" s="424">
        <v>45634.0</v>
      </c>
      <c r="J152" s="425">
        <v>45670.0</v>
      </c>
      <c r="K152" s="423" t="s">
        <v>978</v>
      </c>
      <c r="L152" s="426"/>
      <c r="M152" s="423" t="s">
        <v>979</v>
      </c>
      <c r="N152" s="423" t="s">
        <v>980</v>
      </c>
      <c r="O152" s="426"/>
      <c r="P152" s="427" t="s">
        <v>981</v>
      </c>
      <c r="Q152" s="52" t="str">
        <f t="array" ref="Q152"> if(iserror(MATCH(V152, 'File Links'!C:C, 0)), "N/A", HYPERLINK(INDEX('File Links'!B:B, MATCH(P152, 'File Links'!C:C, 0))))</f>
        <v>https://drive.google.com/file/d/1PO93PC_ps2XExqA6N_FX_WnXnQAPrB_Q/view?usp=drivesdk</v>
      </c>
      <c r="R152" s="423" t="s">
        <v>982</v>
      </c>
      <c r="S152" s="423" t="s">
        <v>983</v>
      </c>
      <c r="T152" s="426"/>
      <c r="U152" s="428"/>
      <c r="V152" s="66" t="str">
        <f> hyperlink(vlookup(lower(S152),'File Links'!E:F, 2, FALSE), SUBSTITUTE(lower(S152), "/", "--") &amp;  ".pdf")</f>
        <v>10.1016--j.jenvp.2024.102289.pdf</v>
      </c>
      <c r="W152" s="423" t="s">
        <v>164</v>
      </c>
      <c r="X152" s="54" t="str">
        <f t="array" ref="X152"> if(iserror(MATCH(V152, 'File Links'!C:C, 0)), "N/A", HYPERLINK(INDEX('File Links'!B:B, MATCH(V152, 'File Links'!C:C, 0))))</f>
        <v>https://drive.google.com/file/d/1y9Sta1A62b6o1louE7uCjU6m-n4q0e5j/view?usp=drivesdk</v>
      </c>
      <c r="Y152" s="426"/>
      <c r="Z152" s="423" t="s">
        <v>226</v>
      </c>
      <c r="AA152" s="426"/>
      <c r="AB152" s="423" t="s">
        <v>984</v>
      </c>
      <c r="AC152" s="423" t="s">
        <v>985</v>
      </c>
      <c r="AD152" s="423" t="s">
        <v>986</v>
      </c>
      <c r="AE152" s="429">
        <v>4.0</v>
      </c>
      <c r="AF152" s="429">
        <v>44387.0</v>
      </c>
      <c r="AG152" s="429">
        <v>0.16</v>
      </c>
      <c r="AH152" s="427" t="s">
        <v>987</v>
      </c>
      <c r="AI152" s="423" t="s">
        <v>496</v>
      </c>
      <c r="AJ152" s="429">
        <v>0.001</v>
      </c>
      <c r="AK152" s="422" t="s">
        <v>135</v>
      </c>
      <c r="AL152" s="423" t="s">
        <v>186</v>
      </c>
      <c r="AM152" s="423" t="s">
        <v>141</v>
      </c>
      <c r="AN152" s="430" t="s">
        <v>988</v>
      </c>
      <c r="AO152" s="429">
        <v>40177.0</v>
      </c>
      <c r="AP152" s="431">
        <v>0.18</v>
      </c>
      <c r="AQ152" s="423" t="s">
        <v>987</v>
      </c>
      <c r="AR152" s="430" t="s">
        <v>507</v>
      </c>
      <c r="AS152" s="431">
        <v>0.001</v>
      </c>
      <c r="AT152" s="422" t="s">
        <v>135</v>
      </c>
      <c r="AU152" s="422" t="s">
        <v>186</v>
      </c>
      <c r="AV152" s="422" t="s">
        <v>141</v>
      </c>
      <c r="AW152" s="432" t="s">
        <v>989</v>
      </c>
      <c r="AX152" s="433" t="s">
        <v>438</v>
      </c>
      <c r="AY152" s="61" t="str">
        <f>IFERROR(__xludf.DUMMYFUNCTION("vlookup(BB152,importrange(""https://docs.google.com/spreadsheets/d/1d2vevQ_7D_v35q4wCQ4RpQ_IPoTwEMB9Yp6ymwlPqew/edit?gid=984458430#gid=984458430"", ""'replication success'!A:K""), 11, FAlSE)"),"#N/A")</f>
        <v>#N/A</v>
      </c>
      <c r="AZ152" s="61" t="str">
        <f>IFERROR(__xludf.DUMMYFUNCTION("vlookup(BB152,importrange(""https://docs.google.com/spreadsheets/d/1d2vevQ_7D_v35q4wCQ4RpQ_IPoTwEMB9Yp6ymwlPqew/edit?gid=984458430#gid=984458430"", ""'replication success'!A:M""), 12, FAlSE)"),"#N/A")</f>
        <v>#N/A</v>
      </c>
      <c r="BA152" s="61" t="str">
        <f>IFERROR(__xludf.DUMMYFUNCTION("vlookup(BB152,importrange(""https://docs.google.com/spreadsheets/d/1d2vevQ_7D_v35q4wCQ4RpQ_IPoTwEMB9Yp6ymwlPqew/edit?gid=984458430#gid=984458430"", ""'replication success'!A:M""), 13, FAlSE)"),"#N/A")</f>
        <v>#N/A</v>
      </c>
      <c r="BB152" s="61" t="str">
        <f>IFERROR(__xludf.DUMMYFUNCTION("REGEXREPLACE(G152, ""_[a-z]{1,2}$"", """")"),"additional_studies26")</f>
        <v>additional_studies26</v>
      </c>
      <c r="BC152" s="61"/>
      <c r="BD152" s="365"/>
      <c r="BE152" s="71"/>
      <c r="BF152" s="71"/>
      <c r="BG152" s="71"/>
      <c r="BH152" s="71"/>
      <c r="BI152" s="71"/>
      <c r="BJ152" s="71"/>
      <c r="BK152" s="71"/>
      <c r="BL152" s="71"/>
      <c r="BM152" s="71"/>
      <c r="BN152" s="71"/>
      <c r="BO152" s="71"/>
      <c r="BP152" s="71"/>
      <c r="BQ152" s="71"/>
      <c r="BR152" s="71"/>
      <c r="BS152" s="71"/>
      <c r="BT152" s="71"/>
      <c r="BU152" s="71"/>
      <c r="BV152" s="71"/>
      <c r="BW152" s="71"/>
      <c r="BX152" s="71"/>
      <c r="BY152" s="71"/>
      <c r="BZ152" s="71"/>
      <c r="CA152" s="71"/>
      <c r="CB152" s="71"/>
      <c r="CC152" s="71"/>
      <c r="CD152" s="71"/>
      <c r="CE152" s="71"/>
      <c r="CF152" s="71"/>
      <c r="CG152" s="71"/>
      <c r="CH152" s="71"/>
      <c r="CI152" s="71"/>
      <c r="CJ152" s="71"/>
      <c r="CK152" s="71"/>
      <c r="CL152" s="71"/>
      <c r="CM152" s="71"/>
      <c r="CN152" s="71"/>
      <c r="CO152" s="71"/>
      <c r="CP152" s="71"/>
      <c r="CQ152" s="71"/>
      <c r="CR152" s="71"/>
      <c r="CS152" s="71"/>
      <c r="CT152" s="71"/>
      <c r="CU152" s="71"/>
      <c r="CV152" s="71"/>
      <c r="CW152" s="71"/>
      <c r="CX152" s="71"/>
      <c r="CY152" s="71"/>
      <c r="CZ152" s="71"/>
      <c r="DA152" s="71"/>
      <c r="DB152" s="71"/>
      <c r="DC152" s="71"/>
      <c r="DD152" s="71"/>
      <c r="DE152" s="71"/>
      <c r="DF152" s="71"/>
      <c r="DG152" s="71"/>
      <c r="DH152" s="71"/>
      <c r="DI152" s="71"/>
      <c r="DJ152" s="71"/>
      <c r="DK152" s="71"/>
      <c r="DL152" s="71"/>
    </row>
    <row r="153" ht="20.25" customHeight="1">
      <c r="A153" s="44">
        <v>153.0</v>
      </c>
      <c r="B153" s="421" t="s">
        <v>590</v>
      </c>
      <c r="C153" s="421" t="s">
        <v>115</v>
      </c>
      <c r="D153" s="421" t="s">
        <v>990</v>
      </c>
      <c r="E153" s="365"/>
      <c r="F153" s="68" t="s">
        <v>976</v>
      </c>
      <c r="G153" s="57" t="s">
        <v>991</v>
      </c>
      <c r="H153" s="159" t="s">
        <v>144</v>
      </c>
      <c r="I153" s="152">
        <v>45427.0</v>
      </c>
      <c r="J153" s="434">
        <v>45639.0</v>
      </c>
      <c r="K153" s="68"/>
      <c r="L153" s="338"/>
      <c r="M153" s="159" t="s">
        <v>979</v>
      </c>
      <c r="N153" s="159" t="s">
        <v>980</v>
      </c>
      <c r="O153" s="156">
        <v>1.0</v>
      </c>
      <c r="P153" s="159" t="s">
        <v>981</v>
      </c>
      <c r="Q153" s="52" t="str">
        <f t="array" ref="Q153"> if(iserror(MATCH(V153, 'File Links'!C:C, 0)), "N/A", HYPERLINK(INDEX('File Links'!B:B, MATCH(P153, 'File Links'!C:C, 0))))</f>
        <v>https://drive.google.com/file/d/1PO93PC_ps2XExqA6N_FX_WnXnQAPrB_Q/view?usp=drivesdk</v>
      </c>
      <c r="R153" s="159" t="s">
        <v>982</v>
      </c>
      <c r="S153" s="57" t="s">
        <v>983</v>
      </c>
      <c r="T153" s="68"/>
      <c r="U153" s="68"/>
      <c r="V153" s="66" t="str">
        <f> hyperlink(vlookup(lower(S153),'File Links'!E:F, 2, FALSE), SUBSTITUTE(lower(S153), "/", "--") &amp;  ".pdf")</f>
        <v>10.1016--j.jenvp.2024.102289.pdf</v>
      </c>
      <c r="W153" s="57" t="s">
        <v>209</v>
      </c>
      <c r="X153" s="54" t="str">
        <f t="array" ref="X153"> if(iserror(MATCH(V153, 'File Links'!C:C, 0)), "N/A", HYPERLINK(INDEX('File Links'!B:B, MATCH(V153, 'File Links'!C:C, 0))))</f>
        <v>https://drive.google.com/file/d/1y9Sta1A62b6o1louE7uCjU6m-n4q0e5j/view?usp=drivesdk</v>
      </c>
      <c r="Y153" s="68"/>
      <c r="Z153" s="57" t="s">
        <v>128</v>
      </c>
      <c r="AA153" s="159" t="s">
        <v>992</v>
      </c>
      <c r="AB153" s="57" t="s">
        <v>993</v>
      </c>
      <c r="AC153" s="159" t="s">
        <v>994</v>
      </c>
      <c r="AD153" s="68" t="s">
        <v>995</v>
      </c>
      <c r="AE153" s="156">
        <v>4.0</v>
      </c>
      <c r="AF153" s="156">
        <v>44387.0</v>
      </c>
      <c r="AG153" s="156">
        <v>0.16</v>
      </c>
      <c r="AH153" s="339" t="s">
        <v>987</v>
      </c>
      <c r="AI153" s="379">
        <v>4.0</v>
      </c>
      <c r="AJ153" s="379">
        <v>0.001</v>
      </c>
      <c r="AK153" s="159" t="s">
        <v>135</v>
      </c>
      <c r="AL153" s="61"/>
      <c r="AM153" s="68"/>
      <c r="AN153" s="114" t="s">
        <v>138</v>
      </c>
      <c r="AO153" s="156">
        <v>40117.0</v>
      </c>
      <c r="AP153" s="156">
        <v>0.19</v>
      </c>
      <c r="AQ153" s="159" t="s">
        <v>987</v>
      </c>
      <c r="AR153" s="156">
        <v>3.0</v>
      </c>
      <c r="AS153" s="156">
        <v>0.001</v>
      </c>
      <c r="AT153" s="159" t="s">
        <v>135</v>
      </c>
      <c r="AU153" s="159" t="s">
        <v>186</v>
      </c>
      <c r="AV153" s="68" t="s">
        <v>141</v>
      </c>
      <c r="AW153" s="435" t="s">
        <v>989</v>
      </c>
      <c r="AX153" s="68" t="s">
        <v>438</v>
      </c>
      <c r="AY153" s="61" t="str">
        <f>IFERROR(__xludf.DUMMYFUNCTION("vlookup(BB153,importrange(""https://docs.google.com/spreadsheets/d/1d2vevQ_7D_v35q4wCQ4RpQ_IPoTwEMB9Yp6ymwlPqew/edit?gid=984458430#gid=984458430"", ""'replication success'!A:K""), 11, FAlSE)"),"#N/A")</f>
        <v>#N/A</v>
      </c>
      <c r="AZ153" s="61" t="str">
        <f>IFERROR(__xludf.DUMMYFUNCTION("vlookup(BB153,importrange(""https://docs.google.com/spreadsheets/d/1d2vevQ_7D_v35q4wCQ4RpQ_IPoTwEMB9Yp6ymwlPqew/edit?gid=984458430#gid=984458430"", ""'replication success'!A:M""), 12, FAlSE)"),"#N/A")</f>
        <v>#N/A</v>
      </c>
      <c r="BA153" s="61" t="str">
        <f>IFERROR(__xludf.DUMMYFUNCTION("vlookup(BB153,importrange(""https://docs.google.com/spreadsheets/d/1d2vevQ_7D_v35q4wCQ4RpQ_IPoTwEMB9Yp6ymwlPqew/edit?gid=984458430#gid=984458430"", ""'replication success'!A:M""), 13, FAlSE)"),"#N/A")</f>
        <v>#N/A</v>
      </c>
      <c r="BB153" s="61" t="str">
        <f>IFERROR(__xludf.DUMMYFUNCTION("REGEXREPLACE(G153, ""_[a-z]{1,2}$"", """")"),"additional_studies26")</f>
        <v>additional_studies26</v>
      </c>
      <c r="BC153" s="129" t="s">
        <v>996</v>
      </c>
      <c r="BD153" s="365"/>
      <c r="BE153" s="71"/>
      <c r="BF153" s="71"/>
      <c r="BG153" s="71"/>
      <c r="BH153" s="71"/>
      <c r="BI153" s="71"/>
      <c r="BJ153" s="71"/>
      <c r="BK153" s="71"/>
      <c r="BL153" s="71"/>
      <c r="BM153" s="71"/>
      <c r="BN153" s="71"/>
      <c r="BO153" s="71"/>
      <c r="BP153" s="71"/>
      <c r="BQ153" s="71"/>
      <c r="BR153" s="71"/>
      <c r="BS153" s="71"/>
      <c r="BT153" s="71"/>
      <c r="BU153" s="71"/>
      <c r="BV153" s="71"/>
      <c r="BW153" s="71"/>
      <c r="BX153" s="71"/>
      <c r="BY153" s="71"/>
      <c r="BZ153" s="71"/>
      <c r="CA153" s="71"/>
      <c r="CB153" s="71"/>
      <c r="CC153" s="71"/>
      <c r="CD153" s="71"/>
      <c r="CE153" s="71"/>
      <c r="CF153" s="71"/>
      <c r="CG153" s="71"/>
      <c r="CH153" s="71"/>
      <c r="CI153" s="71"/>
      <c r="CJ153" s="71"/>
      <c r="CK153" s="71"/>
      <c r="CL153" s="71"/>
      <c r="CM153" s="71"/>
      <c r="CN153" s="71"/>
      <c r="CO153" s="71"/>
      <c r="CP153" s="71"/>
      <c r="CQ153" s="71"/>
      <c r="CR153" s="71"/>
      <c r="CS153" s="71"/>
      <c r="CT153" s="71"/>
      <c r="CU153" s="71"/>
      <c r="CV153" s="71"/>
      <c r="CW153" s="71"/>
      <c r="CX153" s="71"/>
      <c r="CY153" s="71"/>
      <c r="CZ153" s="71"/>
      <c r="DA153" s="71"/>
      <c r="DB153" s="71"/>
      <c r="DC153" s="71"/>
      <c r="DD153" s="71"/>
      <c r="DE153" s="71"/>
      <c r="DF153" s="71"/>
      <c r="DG153" s="71"/>
      <c r="DH153" s="71"/>
      <c r="DI153" s="71"/>
      <c r="DJ153" s="71"/>
      <c r="DK153" s="71"/>
      <c r="DL153" s="71"/>
    </row>
    <row r="154" ht="20.25" customHeight="1">
      <c r="A154" s="44">
        <v>154.0</v>
      </c>
      <c r="B154" s="421" t="s">
        <v>285</v>
      </c>
      <c r="C154" s="421" t="s">
        <v>115</v>
      </c>
      <c r="D154" s="421" t="s">
        <v>990</v>
      </c>
      <c r="E154" s="365"/>
      <c r="F154" s="68" t="s">
        <v>976</v>
      </c>
      <c r="G154" s="57" t="s">
        <v>997</v>
      </c>
      <c r="H154" s="159" t="s">
        <v>144</v>
      </c>
      <c r="I154" s="152">
        <v>45427.0</v>
      </c>
      <c r="J154" s="434">
        <v>45639.0</v>
      </c>
      <c r="K154" s="68"/>
      <c r="L154" s="338"/>
      <c r="M154" s="159" t="s">
        <v>979</v>
      </c>
      <c r="N154" s="159" t="s">
        <v>980</v>
      </c>
      <c r="O154" s="156">
        <v>1.0</v>
      </c>
      <c r="P154" s="159" t="s">
        <v>981</v>
      </c>
      <c r="Q154" s="52" t="str">
        <f t="array" ref="Q154"> if(iserror(MATCH(V154, 'File Links'!C:C, 0)), "N/A", HYPERLINK(INDEX('File Links'!B:B, MATCH(P154, 'File Links'!C:C, 0))))</f>
        <v>https://drive.google.com/file/d/1PO93PC_ps2XExqA6N_FX_WnXnQAPrB_Q/view?usp=drivesdk</v>
      </c>
      <c r="R154" s="159" t="s">
        <v>982</v>
      </c>
      <c r="S154" s="57" t="s">
        <v>983</v>
      </c>
      <c r="T154" s="68"/>
      <c r="U154" s="68"/>
      <c r="V154" s="66" t="str">
        <f> hyperlink(vlookup(lower(S154),'File Links'!E:F, 2, FALSE), SUBSTITUTE(lower(S154), "/", "--") &amp;  ".pdf")</f>
        <v>10.1016--j.jenvp.2024.102289.pdf</v>
      </c>
      <c r="W154" s="57" t="s">
        <v>209</v>
      </c>
      <c r="X154" s="54" t="str">
        <f t="array" ref="X154"> if(iserror(MATCH(V154, 'File Links'!C:C, 0)), "N/A", HYPERLINK(INDEX('File Links'!B:B, MATCH(V154, 'File Links'!C:C, 0))))</f>
        <v>https://drive.google.com/file/d/1y9Sta1A62b6o1louE7uCjU6m-n4q0e5j/view?usp=drivesdk</v>
      </c>
      <c r="Y154" s="68"/>
      <c r="Z154" s="57" t="s">
        <v>128</v>
      </c>
      <c r="AA154" s="159" t="s">
        <v>992</v>
      </c>
      <c r="AB154" s="57" t="s">
        <v>993</v>
      </c>
      <c r="AC154" s="159" t="s">
        <v>998</v>
      </c>
      <c r="AD154" s="68" t="s">
        <v>999</v>
      </c>
      <c r="AE154" s="156">
        <v>4.0</v>
      </c>
      <c r="AF154" s="156">
        <v>44387.0</v>
      </c>
      <c r="AG154" s="156">
        <v>0.07</v>
      </c>
      <c r="AH154" s="339" t="s">
        <v>987</v>
      </c>
      <c r="AI154" s="379">
        <v>4.0</v>
      </c>
      <c r="AJ154" s="379">
        <v>0.001</v>
      </c>
      <c r="AK154" s="159" t="s">
        <v>135</v>
      </c>
      <c r="AL154" s="61"/>
      <c r="AM154" s="68"/>
      <c r="AN154" s="114" t="s">
        <v>138</v>
      </c>
      <c r="AO154" s="156">
        <v>40117.0</v>
      </c>
      <c r="AP154" s="156">
        <v>0.09</v>
      </c>
      <c r="AQ154" s="159" t="s">
        <v>987</v>
      </c>
      <c r="AR154" s="156">
        <v>3.0</v>
      </c>
      <c r="AS154" s="156">
        <v>0.001</v>
      </c>
      <c r="AT154" s="159" t="s">
        <v>135</v>
      </c>
      <c r="AU154" s="159" t="s">
        <v>186</v>
      </c>
      <c r="AV154" s="68" t="s">
        <v>141</v>
      </c>
      <c r="AW154" s="435" t="s">
        <v>989</v>
      </c>
      <c r="AX154" s="68" t="s">
        <v>438</v>
      </c>
      <c r="AY154" s="61" t="str">
        <f>IFERROR(__xludf.DUMMYFUNCTION("vlookup(BB154,importrange(""https://docs.google.com/spreadsheets/d/1d2vevQ_7D_v35q4wCQ4RpQ_IPoTwEMB9Yp6ymwlPqew/edit?gid=984458430#gid=984458430"", ""'replication success'!A:K""), 11, FAlSE)"),"#N/A")</f>
        <v>#N/A</v>
      </c>
      <c r="AZ154" s="61" t="str">
        <f>IFERROR(__xludf.DUMMYFUNCTION("vlookup(BB154,importrange(""https://docs.google.com/spreadsheets/d/1d2vevQ_7D_v35q4wCQ4RpQ_IPoTwEMB9Yp6ymwlPqew/edit?gid=984458430#gid=984458430"", ""'replication success'!A:M""), 12, FAlSE)"),"#N/A")</f>
        <v>#N/A</v>
      </c>
      <c r="BA154" s="61" t="str">
        <f>IFERROR(__xludf.DUMMYFUNCTION("vlookup(BB154,importrange(""https://docs.google.com/spreadsheets/d/1d2vevQ_7D_v35q4wCQ4RpQ_IPoTwEMB9Yp6ymwlPqew/edit?gid=984458430#gid=984458430"", ""'replication success'!A:M""), 13, FAlSE)"),"#N/A")</f>
        <v>#N/A</v>
      </c>
      <c r="BB154" s="61" t="str">
        <f>IFERROR(__xludf.DUMMYFUNCTION("REGEXREPLACE(G154, ""_[a-z]{1,2}$"", """")"),"additional_studies26")</f>
        <v>additional_studies26</v>
      </c>
      <c r="BC154" s="129"/>
      <c r="BD154" s="365"/>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71"/>
    </row>
    <row r="155" ht="20.25" customHeight="1">
      <c r="A155" s="44">
        <v>155.0</v>
      </c>
      <c r="B155" s="148" t="s">
        <v>285</v>
      </c>
      <c r="C155" s="148" t="s">
        <v>115</v>
      </c>
      <c r="D155" s="421" t="s">
        <v>442</v>
      </c>
      <c r="E155" s="365"/>
      <c r="F155" s="436" t="s">
        <v>976</v>
      </c>
      <c r="G155" s="423" t="s">
        <v>997</v>
      </c>
      <c r="H155" s="423" t="s">
        <v>445</v>
      </c>
      <c r="I155" s="424">
        <v>45634.0</v>
      </c>
      <c r="J155" s="425">
        <v>45670.0</v>
      </c>
      <c r="K155" s="423" t="s">
        <v>978</v>
      </c>
      <c r="L155" s="426"/>
      <c r="M155" s="423" t="s">
        <v>979</v>
      </c>
      <c r="N155" s="423" t="s">
        <v>980</v>
      </c>
      <c r="O155" s="426"/>
      <c r="P155" s="427" t="s">
        <v>981</v>
      </c>
      <c r="Q155" s="52" t="str">
        <f t="array" ref="Q155"> if(iserror(MATCH(V155, 'File Links'!C:C, 0)), "N/A", HYPERLINK(INDEX('File Links'!B:B, MATCH(P155, 'File Links'!C:C, 0))))</f>
        <v>https://drive.google.com/file/d/1PO93PC_ps2XExqA6N_FX_WnXnQAPrB_Q/view?usp=drivesdk</v>
      </c>
      <c r="R155" s="423" t="s">
        <v>982</v>
      </c>
      <c r="S155" s="423" t="s">
        <v>983</v>
      </c>
      <c r="T155" s="426"/>
      <c r="U155" s="428"/>
      <c r="V155" s="66" t="str">
        <f> hyperlink(vlookup(lower(S155),'File Links'!E:F, 2, FALSE), SUBSTITUTE(lower(S155), "/", "--") &amp;  ".pdf")</f>
        <v>10.1016--j.jenvp.2024.102289.pdf</v>
      </c>
      <c r="W155" s="423" t="s">
        <v>164</v>
      </c>
      <c r="X155" s="54" t="str">
        <f t="array" ref="X155"> if(iserror(MATCH(V155, 'File Links'!C:C, 0)), "N/A", HYPERLINK(INDEX('File Links'!B:B, MATCH(V155, 'File Links'!C:C, 0))))</f>
        <v>https://drive.google.com/file/d/1y9Sta1A62b6o1louE7uCjU6m-n4q0e5j/view?usp=drivesdk</v>
      </c>
      <c r="Y155" s="426"/>
      <c r="Z155" s="423" t="s">
        <v>226</v>
      </c>
      <c r="AA155" s="426"/>
      <c r="AB155" s="423" t="s">
        <v>984</v>
      </c>
      <c r="AC155" s="423" t="s">
        <v>985</v>
      </c>
      <c r="AD155" s="423" t="s">
        <v>1000</v>
      </c>
      <c r="AE155" s="429">
        <v>4.0</v>
      </c>
      <c r="AF155" s="429">
        <v>44387.0</v>
      </c>
      <c r="AG155" s="429">
        <v>0.07</v>
      </c>
      <c r="AH155" s="427" t="s">
        <v>987</v>
      </c>
      <c r="AI155" s="423" t="s">
        <v>496</v>
      </c>
      <c r="AJ155" s="429">
        <v>0.001</v>
      </c>
      <c r="AK155" s="422" t="s">
        <v>135</v>
      </c>
      <c r="AL155" s="423" t="s">
        <v>186</v>
      </c>
      <c r="AM155" s="423" t="s">
        <v>141</v>
      </c>
      <c r="AN155" s="430" t="s">
        <v>1001</v>
      </c>
      <c r="AO155" s="429">
        <v>40177.0</v>
      </c>
      <c r="AP155" s="431">
        <v>0.08</v>
      </c>
      <c r="AQ155" s="423" t="s">
        <v>987</v>
      </c>
      <c r="AR155" s="430" t="s">
        <v>507</v>
      </c>
      <c r="AS155" s="431">
        <v>0.001</v>
      </c>
      <c r="AT155" s="422" t="s">
        <v>135</v>
      </c>
      <c r="AU155" s="422" t="s">
        <v>186</v>
      </c>
      <c r="AV155" s="422" t="s">
        <v>141</v>
      </c>
      <c r="AW155" s="432" t="s">
        <v>989</v>
      </c>
      <c r="AX155" s="433" t="s">
        <v>438</v>
      </c>
      <c r="AY155" s="61" t="str">
        <f>IFERROR(__xludf.DUMMYFUNCTION("vlookup(BB155,importrange(""https://docs.google.com/spreadsheets/d/1d2vevQ_7D_v35q4wCQ4RpQ_IPoTwEMB9Yp6ymwlPqew/edit?gid=984458430#gid=984458430"", ""'replication success'!A:K""), 11, FAlSE)"),"#N/A")</f>
        <v>#N/A</v>
      </c>
      <c r="AZ155" s="61" t="str">
        <f>IFERROR(__xludf.DUMMYFUNCTION("vlookup(BB155,importrange(""https://docs.google.com/spreadsheets/d/1d2vevQ_7D_v35q4wCQ4RpQ_IPoTwEMB9Yp6ymwlPqew/edit?gid=984458430#gid=984458430"", ""'replication success'!A:M""), 12, FAlSE)"),"#N/A")</f>
        <v>#N/A</v>
      </c>
      <c r="BA155" s="61" t="str">
        <f>IFERROR(__xludf.DUMMYFUNCTION("vlookup(BB155,importrange(""https://docs.google.com/spreadsheets/d/1d2vevQ_7D_v35q4wCQ4RpQ_IPoTwEMB9Yp6ymwlPqew/edit?gid=984458430#gid=984458430"", ""'replication success'!A:M""), 13, FAlSE)"),"#N/A")</f>
        <v>#N/A</v>
      </c>
      <c r="BB155" s="61" t="str">
        <f>IFERROR(__xludf.DUMMYFUNCTION("REGEXREPLACE(G155, ""_[a-z]{1,2}$"", """")"),"additional_studies26")</f>
        <v>additional_studies26</v>
      </c>
      <c r="BC155" s="61"/>
      <c r="BD155" s="365"/>
      <c r="BE155" s="71"/>
      <c r="BF155" s="71"/>
      <c r="BG155" s="71"/>
      <c r="BH155" s="71"/>
      <c r="BI155" s="71"/>
      <c r="BJ155" s="71"/>
      <c r="BK155" s="71"/>
      <c r="BL155" s="71"/>
      <c r="BM155" s="71"/>
      <c r="BN155" s="71"/>
      <c r="BO155" s="71"/>
      <c r="BP155" s="71"/>
      <c r="BQ155" s="71"/>
      <c r="BR155" s="71"/>
      <c r="BS155" s="71"/>
      <c r="BT155" s="71"/>
      <c r="BU155" s="71"/>
      <c r="BV155" s="71"/>
      <c r="BW155" s="71"/>
      <c r="BX155" s="71"/>
      <c r="BY155" s="71"/>
      <c r="BZ155" s="71"/>
      <c r="CA155" s="71"/>
      <c r="CB155" s="71"/>
      <c r="CC155" s="71"/>
      <c r="CD155" s="71"/>
      <c r="CE155" s="71"/>
      <c r="CF155" s="71"/>
      <c r="CG155" s="71"/>
      <c r="CH155" s="71"/>
      <c r="CI155" s="71"/>
      <c r="CJ155" s="71"/>
      <c r="CK155" s="71"/>
      <c r="CL155" s="71"/>
      <c r="CM155" s="71"/>
      <c r="CN155" s="71"/>
      <c r="CO155" s="71"/>
      <c r="CP155" s="71"/>
      <c r="CQ155" s="71"/>
      <c r="CR155" s="71"/>
      <c r="CS155" s="71"/>
      <c r="CT155" s="71"/>
      <c r="CU155" s="71"/>
      <c r="CV155" s="71"/>
      <c r="CW155" s="71"/>
      <c r="CX155" s="71"/>
      <c r="CY155" s="71"/>
      <c r="CZ155" s="71"/>
      <c r="DA155" s="71"/>
      <c r="DB155" s="71"/>
      <c r="DC155" s="71"/>
      <c r="DD155" s="71"/>
      <c r="DE155" s="71"/>
      <c r="DF155" s="71"/>
      <c r="DG155" s="71"/>
      <c r="DH155" s="71"/>
      <c r="DI155" s="71"/>
      <c r="DJ155" s="71"/>
      <c r="DK155" s="71"/>
      <c r="DL155" s="71"/>
    </row>
    <row r="156" ht="20.25" customHeight="1">
      <c r="A156" s="44">
        <v>156.0</v>
      </c>
      <c r="B156" s="45" t="s">
        <v>114</v>
      </c>
      <c r="C156" s="45" t="s">
        <v>115</v>
      </c>
      <c r="D156" s="62" t="s">
        <v>442</v>
      </c>
      <c r="F156" s="437" t="s">
        <v>1002</v>
      </c>
      <c r="G156" s="376" t="s">
        <v>1003</v>
      </c>
      <c r="H156" s="376" t="s">
        <v>445</v>
      </c>
      <c r="I156" s="438">
        <v>45635.0</v>
      </c>
      <c r="J156" s="61"/>
      <c r="K156" s="439" t="s">
        <v>1004</v>
      </c>
      <c r="L156" s="61"/>
      <c r="M156" s="376" t="s">
        <v>1005</v>
      </c>
      <c r="N156" s="376" t="s">
        <v>1006</v>
      </c>
      <c r="O156" s="61"/>
      <c r="P156" s="440" t="s">
        <v>1007</v>
      </c>
      <c r="Q156" s="52" t="str">
        <f t="array" ref="Q156"> if(iserror(MATCH(V156, 'File Links'!C:C, 0)), "N/A", HYPERLINK(INDEX('File Links'!B:B, MATCH(P156, 'File Links'!C:C, 0))))</f>
        <v>https://drive.google.com/file/d/1CxhrkeSaHBzp5T2m5mVKo0v0N9tNA96j/view?usp=drivesdk</v>
      </c>
      <c r="R156" s="376" t="s">
        <v>1008</v>
      </c>
      <c r="S156" s="129" t="s">
        <v>1009</v>
      </c>
      <c r="T156" s="441" t="s">
        <v>1010</v>
      </c>
      <c r="U156" s="338"/>
      <c r="V156" s="66" t="str">
        <f> hyperlink(vlookup(lower(S156),'File Links'!E:F, 2, FALSE), SUBSTITUTE(lower(S156), "/", "--") &amp;  ".pdf")</f>
        <v>mendoza_2024.pdf</v>
      </c>
      <c r="W156" s="376" t="s">
        <v>164</v>
      </c>
      <c r="X156" s="54" t="str">
        <f t="array" ref="X156"> if(iserror(MATCH(V156, 'File Links'!C:C, 0)), "N/A", HYPERLINK(INDEX('File Links'!B:B, MATCH(V156, 'File Links'!C:C, 0))))</f>
        <v>https://drive.google.com/file/d/1uqPYsQnG8eSYcKJ1Tcphemj3KvGd0mXp/view?usp=drivesdk</v>
      </c>
      <c r="Y156" s="61"/>
      <c r="Z156" s="376" t="s">
        <v>1011</v>
      </c>
      <c r="AA156" s="61"/>
      <c r="AB156" s="376" t="s">
        <v>1012</v>
      </c>
      <c r="AC156" s="61"/>
      <c r="AD156" s="61"/>
      <c r="AE156" s="61"/>
      <c r="AF156" s="61"/>
      <c r="AG156" s="61"/>
      <c r="AH156" s="338"/>
      <c r="AI156" s="61"/>
      <c r="AJ156" s="61"/>
      <c r="AK156" s="68"/>
      <c r="AL156" s="61"/>
      <c r="AM156" s="61"/>
      <c r="AN156" s="114" t="s">
        <v>138</v>
      </c>
      <c r="AO156" s="61"/>
      <c r="AP156" s="61"/>
      <c r="AQ156" s="61"/>
      <c r="AR156" s="61"/>
      <c r="AS156" s="61"/>
      <c r="AT156" s="68"/>
      <c r="AU156" s="68"/>
      <c r="AV156" s="68"/>
      <c r="AW156" s="68"/>
      <c r="AX156" s="437" t="s">
        <v>151</v>
      </c>
      <c r="AY156" s="61" t="str">
        <f>IFERROR(__xludf.DUMMYFUNCTION("vlookup(BB156,importrange(""https://docs.google.com/spreadsheets/d/1d2vevQ_7D_v35q4wCQ4RpQ_IPoTwEMB9Yp6ymwlPqew/edit?gid=984458430#gid=984458430"", ""'replication success'!A:K""), 11, FAlSE)"),"#N/A")</f>
        <v>#N/A</v>
      </c>
      <c r="AZ156" s="61" t="str">
        <f>IFERROR(__xludf.DUMMYFUNCTION("vlookup(BB156,importrange(""https://docs.google.com/spreadsheets/d/1d2vevQ_7D_v35q4wCQ4RpQ_IPoTwEMB9Yp6ymwlPqew/edit?gid=984458430#gid=984458430"", ""'replication success'!A:M""), 12, FAlSE)"),"#N/A")</f>
        <v>#N/A</v>
      </c>
      <c r="BA156" s="61" t="str">
        <f>IFERROR(__xludf.DUMMYFUNCTION("vlookup(BB156,importrange(""https://docs.google.com/spreadsheets/d/1d2vevQ_7D_v35q4wCQ4RpQ_IPoTwEMB9Yp6ymwlPqew/edit?gid=984458430#gid=984458430"", ""'replication success'!A:M""), 13, FAlSE)"),"#N/A")</f>
        <v>#N/A</v>
      </c>
      <c r="BB156" s="61" t="str">
        <f>IFERROR(__xludf.DUMMYFUNCTION("REGEXREPLACE(G156, ""_[a-z]{1,2}$"", """")"),"additional_studies27")</f>
        <v>additional_studies27</v>
      </c>
      <c r="BC156" s="61"/>
      <c r="BD156" s="62" t="s">
        <v>144</v>
      </c>
      <c r="BE156" s="71"/>
      <c r="BF156" s="71"/>
      <c r="BG156" s="71"/>
      <c r="BH156" s="71"/>
      <c r="BI156" s="71"/>
      <c r="BJ156" s="71"/>
      <c r="BK156" s="71"/>
      <c r="BL156" s="71"/>
      <c r="BM156" s="71"/>
      <c r="BN156" s="71"/>
      <c r="BO156" s="71"/>
      <c r="BP156" s="71"/>
      <c r="BQ156" s="71"/>
      <c r="BR156" s="71"/>
      <c r="BS156" s="71"/>
      <c r="BT156" s="71"/>
      <c r="BU156" s="71"/>
      <c r="BV156" s="71"/>
      <c r="BW156" s="71"/>
      <c r="BX156" s="71"/>
      <c r="BY156" s="71"/>
      <c r="BZ156" s="71"/>
      <c r="CA156" s="71"/>
      <c r="CB156" s="71"/>
      <c r="CC156" s="71"/>
      <c r="CD156" s="71"/>
      <c r="CE156" s="71"/>
      <c r="CF156" s="71"/>
      <c r="CG156" s="71"/>
      <c r="CH156" s="71"/>
      <c r="CI156" s="71"/>
      <c r="CJ156" s="71"/>
      <c r="CK156" s="71"/>
      <c r="CL156" s="71"/>
      <c r="CM156" s="71"/>
      <c r="CN156" s="71"/>
      <c r="CO156" s="71"/>
      <c r="CP156" s="71"/>
      <c r="CQ156" s="71"/>
      <c r="CR156" s="71"/>
      <c r="CS156" s="71"/>
      <c r="CT156" s="71"/>
      <c r="CU156" s="71"/>
      <c r="CV156" s="71"/>
      <c r="CW156" s="71"/>
      <c r="CX156" s="71"/>
      <c r="CY156" s="71"/>
      <c r="CZ156" s="71"/>
      <c r="DA156" s="71"/>
      <c r="DB156" s="71"/>
      <c r="DC156" s="71"/>
      <c r="DD156" s="71"/>
      <c r="DE156" s="71"/>
      <c r="DF156" s="71"/>
      <c r="DG156" s="71"/>
      <c r="DH156" s="71"/>
      <c r="DI156" s="71"/>
      <c r="DJ156" s="71"/>
      <c r="DK156" s="71"/>
      <c r="DL156" s="71"/>
    </row>
    <row r="157" ht="20.25" customHeight="1">
      <c r="A157" s="44">
        <v>157.0</v>
      </c>
      <c r="B157" s="62" t="s">
        <v>114</v>
      </c>
      <c r="C157" s="62" t="s">
        <v>115</v>
      </c>
      <c r="D157" s="62" t="s">
        <v>990</v>
      </c>
      <c r="F157" s="68" t="s">
        <v>1002</v>
      </c>
      <c r="G157" s="57" t="s">
        <v>1003</v>
      </c>
      <c r="H157" s="159" t="s">
        <v>144</v>
      </c>
      <c r="I157" s="152">
        <v>45427.0</v>
      </c>
      <c r="J157" s="434">
        <v>45639.0</v>
      </c>
      <c r="K157" s="68"/>
      <c r="L157" s="68"/>
      <c r="M157" s="159" t="s">
        <v>1005</v>
      </c>
      <c r="N157" s="159" t="s">
        <v>1006</v>
      </c>
      <c r="O157" s="68"/>
      <c r="P157" s="382" t="s">
        <v>1007</v>
      </c>
      <c r="Q157" s="52" t="str">
        <f t="array" ref="Q157"> if(iserror(MATCH(V157, 'File Links'!C:C, 0)), "N/A", HYPERLINK(INDEX('File Links'!B:B, MATCH(P157, 'File Links'!C:C, 0))))</f>
        <v>https://drive.google.com/file/d/1CxhrkeSaHBzp5T2m5mVKo0v0N9tNA96j/view?usp=drivesdk</v>
      </c>
      <c r="R157" s="159" t="s">
        <v>1008</v>
      </c>
      <c r="S157" s="68"/>
      <c r="T157" s="68"/>
      <c r="U157" s="68"/>
      <c r="V157" s="382" t="s">
        <v>1013</v>
      </c>
      <c r="W157" s="68"/>
      <c r="X157" s="54" t="str">
        <f t="array" ref="X157"> if(iserror(MATCH(V157, 'File Links'!C:C, 0)), "N/A", HYPERLINK(INDEX('File Links'!B:B, MATCH(V157, 'File Links'!C:C, 0))))</f>
        <v>https://drive.google.com/file/d/1vapTuoFWQvT1qaSJqcvZzdcKGuZPcOor/view?usp=drivesdk</v>
      </c>
      <c r="Y157" s="159" t="s">
        <v>1014</v>
      </c>
      <c r="Z157" s="159" t="s">
        <v>1011</v>
      </c>
      <c r="AA157" s="68"/>
      <c r="AB157" s="68"/>
      <c r="AC157" s="68"/>
      <c r="AD157" s="68"/>
      <c r="AE157" s="68"/>
      <c r="AF157" s="68"/>
      <c r="AG157" s="68"/>
      <c r="AH157" s="338"/>
      <c r="AI157" s="61"/>
      <c r="AJ157" s="61"/>
      <c r="AK157" s="68"/>
      <c r="AL157" s="61"/>
      <c r="AM157" s="68"/>
      <c r="AN157" s="114" t="s">
        <v>138</v>
      </c>
      <c r="AO157" s="68"/>
      <c r="AP157" s="68"/>
      <c r="AQ157" s="68"/>
      <c r="AR157" s="68"/>
      <c r="AS157" s="68"/>
      <c r="AT157" s="68"/>
      <c r="AU157" s="68"/>
      <c r="AV157" s="68"/>
      <c r="AW157" s="68"/>
      <c r="AX157" s="68"/>
      <c r="AY157" s="61" t="str">
        <f>IFERROR(__xludf.DUMMYFUNCTION("vlookup(BB157,importrange(""https://docs.google.com/spreadsheets/d/1d2vevQ_7D_v35q4wCQ4RpQ_IPoTwEMB9Yp6ymwlPqew/edit?gid=984458430#gid=984458430"", ""'replication success'!A:K""), 11, FAlSE)"),"#N/A")</f>
        <v>#N/A</v>
      </c>
      <c r="AZ157" s="61" t="str">
        <f>IFERROR(__xludf.DUMMYFUNCTION("vlookup(BB157,importrange(""https://docs.google.com/spreadsheets/d/1d2vevQ_7D_v35q4wCQ4RpQ_IPoTwEMB9Yp6ymwlPqew/edit?gid=984458430#gid=984458430"", ""'replication success'!A:M""), 12, FAlSE)"),"#N/A")</f>
        <v>#N/A</v>
      </c>
      <c r="BA157" s="61" t="str">
        <f>IFERROR(__xludf.DUMMYFUNCTION("vlookup(BB157,importrange(""https://docs.google.com/spreadsheets/d/1d2vevQ_7D_v35q4wCQ4RpQ_IPoTwEMB9Yp6ymwlPqew/edit?gid=984458430#gid=984458430"", ""'replication success'!A:M""), 13, FAlSE)"),"#N/A")</f>
        <v>#N/A</v>
      </c>
      <c r="BB157" s="61" t="str">
        <f>IFERROR(__xludf.DUMMYFUNCTION("REGEXREPLACE(G157, ""_[a-z]{1,2}$"", """")"),"additional_studies27")</f>
        <v>additional_studies27</v>
      </c>
      <c r="BC157" s="68"/>
      <c r="BD157" s="62" t="s">
        <v>144</v>
      </c>
      <c r="BE157" s="71"/>
      <c r="BF157" s="71"/>
      <c r="BG157" s="71"/>
      <c r="BH157" s="71"/>
      <c r="BI157" s="71"/>
      <c r="BJ157" s="71"/>
      <c r="BK157" s="71"/>
      <c r="BL157" s="71"/>
      <c r="BM157" s="71"/>
      <c r="BN157" s="71"/>
      <c r="BO157" s="71"/>
      <c r="BP157" s="71"/>
      <c r="BQ157" s="71"/>
      <c r="BR157" s="71"/>
      <c r="BS157" s="71"/>
      <c r="BT157" s="71"/>
      <c r="BU157" s="71"/>
      <c r="BV157" s="71"/>
      <c r="BW157" s="71"/>
      <c r="BX157" s="71"/>
      <c r="BY157" s="71"/>
      <c r="BZ157" s="71"/>
      <c r="CA157" s="71"/>
      <c r="CB157" s="71"/>
      <c r="CC157" s="71"/>
      <c r="CD157" s="71"/>
      <c r="CE157" s="71"/>
      <c r="CF157" s="71"/>
      <c r="CG157" s="71"/>
      <c r="CH157" s="71"/>
      <c r="CI157" s="71"/>
      <c r="CJ157" s="71"/>
      <c r="CK157" s="71"/>
      <c r="CL157" s="71"/>
      <c r="CM157" s="71"/>
      <c r="CN157" s="71"/>
      <c r="CO157" s="71"/>
      <c r="CP157" s="71"/>
      <c r="CQ157" s="71"/>
      <c r="CR157" s="71"/>
      <c r="CS157" s="71"/>
      <c r="CT157" s="71"/>
      <c r="CU157" s="71"/>
      <c r="CV157" s="71"/>
      <c r="CW157" s="71"/>
      <c r="CX157" s="71"/>
      <c r="CY157" s="71"/>
      <c r="CZ157" s="71"/>
      <c r="DA157" s="71"/>
      <c r="DB157" s="71"/>
      <c r="DC157" s="71"/>
      <c r="DD157" s="71"/>
      <c r="DE157" s="71"/>
      <c r="DF157" s="71"/>
      <c r="DG157" s="71"/>
      <c r="DH157" s="71"/>
      <c r="DI157" s="71"/>
      <c r="DJ157" s="71"/>
      <c r="DK157" s="71"/>
      <c r="DL157" s="71"/>
    </row>
    <row r="158" ht="20.25" customHeight="1">
      <c r="A158" s="44">
        <v>158.0</v>
      </c>
      <c r="B158" s="148" t="s">
        <v>285</v>
      </c>
      <c r="C158" s="148" t="s">
        <v>115</v>
      </c>
      <c r="D158" s="421" t="s">
        <v>442</v>
      </c>
      <c r="E158" s="365"/>
      <c r="F158" s="422" t="s">
        <v>1015</v>
      </c>
      <c r="G158" s="423" t="s">
        <v>1016</v>
      </c>
      <c r="H158" s="423" t="s">
        <v>445</v>
      </c>
      <c r="I158" s="424">
        <v>45635.0</v>
      </c>
      <c r="J158" s="426"/>
      <c r="K158" s="426"/>
      <c r="L158" s="426"/>
      <c r="M158" s="423" t="s">
        <v>1017</v>
      </c>
      <c r="N158" s="423" t="s">
        <v>1018</v>
      </c>
      <c r="O158" s="426"/>
      <c r="P158" s="427" t="s">
        <v>1019</v>
      </c>
      <c r="Q158" s="52" t="str">
        <f t="array" ref="Q158"> if(iserror(MATCH(V158, 'File Links'!C:C, 0)), "N/A", HYPERLINK(INDEX('File Links'!B:B, MATCH(P158, 'File Links'!C:C, 0))))</f>
        <v>https://drive.google.com/file/d/1DrC4ktWX9HamK4DWq_tF1P_2alxXHAnN/view?usp=drivesdk</v>
      </c>
      <c r="R158" s="423" t="s">
        <v>1020</v>
      </c>
      <c r="S158" s="442" t="s">
        <v>1021</v>
      </c>
      <c r="T158" s="426"/>
      <c r="U158" s="428"/>
      <c r="V158" s="66" t="str">
        <f> hyperlink(vlookup(lower(S158),'File Links'!E:F, 2, FALSE), SUBSTITUTE(lower(S158), "/", "--") &amp;  ".pdf")</f>
        <v>10.1016--j.drugalcdep.2024.111323.pdf</v>
      </c>
      <c r="W158" s="423" t="s">
        <v>164</v>
      </c>
      <c r="X158" s="54" t="str">
        <f t="array" ref="X158"> if(iserror(MATCH(V158, 'File Links'!C:C, 0)), "N/A", HYPERLINK(INDEX('File Links'!B:B, MATCH(V158, 'File Links'!C:C, 0))))</f>
        <v>https://drive.google.com/file/d/1hw6VxSN8dF8WIp6LhbqOOmsEo0dTvdbu/view?usp=drivesdk</v>
      </c>
      <c r="Y158" s="426"/>
      <c r="Z158" s="423" t="s">
        <v>503</v>
      </c>
      <c r="AA158" s="426"/>
      <c r="AB158" s="423" t="s">
        <v>1022</v>
      </c>
      <c r="AC158" s="443" t="s">
        <v>1023</v>
      </c>
      <c r="AD158" s="423" t="s">
        <v>1024</v>
      </c>
      <c r="AE158" s="429">
        <v>1.0</v>
      </c>
      <c r="AF158" s="429">
        <v>97.0</v>
      </c>
      <c r="AG158" s="429">
        <v>0.27</v>
      </c>
      <c r="AH158" s="391" t="s">
        <v>361</v>
      </c>
      <c r="AI158" s="423" t="s">
        <v>882</v>
      </c>
      <c r="AJ158" s="429">
        <v>0.02</v>
      </c>
      <c r="AK158" s="422" t="s">
        <v>172</v>
      </c>
      <c r="AL158" s="423" t="s">
        <v>186</v>
      </c>
      <c r="AM158" s="423" t="s">
        <v>137</v>
      </c>
      <c r="AN158" s="114" t="s">
        <v>138</v>
      </c>
      <c r="AO158" s="429">
        <v>123.0</v>
      </c>
      <c r="AP158" s="429">
        <v>0.09</v>
      </c>
      <c r="AQ158" s="423" t="s">
        <v>361</v>
      </c>
      <c r="AR158" s="423" t="s">
        <v>882</v>
      </c>
      <c r="AS158" s="431">
        <v>0.47</v>
      </c>
      <c r="AT158" s="422" t="s">
        <v>172</v>
      </c>
      <c r="AU158" s="422" t="s">
        <v>186</v>
      </c>
      <c r="AV158" s="422" t="s">
        <v>137</v>
      </c>
      <c r="AW158" s="444" t="s">
        <v>1025</v>
      </c>
      <c r="AX158" s="433" t="s">
        <v>438</v>
      </c>
      <c r="AY158" s="61" t="str">
        <f>IFERROR(__xludf.DUMMYFUNCTION("vlookup(BB158,importrange(""https://docs.google.com/spreadsheets/d/1d2vevQ_7D_v35q4wCQ4RpQ_IPoTwEMB9Yp6ymwlPqew/edit?gid=984458430#gid=984458430"", ""'replication success'!A:K""), 11, FAlSE)"),"#N/A")</f>
        <v>#N/A</v>
      </c>
      <c r="AZ158" s="61" t="str">
        <f>IFERROR(__xludf.DUMMYFUNCTION("vlookup(BB158,importrange(""https://docs.google.com/spreadsheets/d/1d2vevQ_7D_v35q4wCQ4RpQ_IPoTwEMB9Yp6ymwlPqew/edit?gid=984458430#gid=984458430"", ""'replication success'!A:M""), 12, FAlSE)"),"#N/A")</f>
        <v>#N/A</v>
      </c>
      <c r="BA158" s="61" t="str">
        <f>IFERROR(__xludf.DUMMYFUNCTION("vlookup(BB158,importrange(""https://docs.google.com/spreadsheets/d/1d2vevQ_7D_v35q4wCQ4RpQ_IPoTwEMB9Yp6ymwlPqew/edit?gid=984458430#gid=984458430"", ""'replication success'!A:M""), 13, FAlSE)"),"#N/A")</f>
        <v>#N/A</v>
      </c>
      <c r="BB158" s="61" t="str">
        <f>IFERROR(__xludf.DUMMYFUNCTION("REGEXREPLACE(G158, ""_[a-z]{1,2}$"", """")"),"additional_studies28")</f>
        <v>additional_studies28</v>
      </c>
      <c r="BC158" s="61"/>
      <c r="BD158" s="365"/>
      <c r="BE158" s="71"/>
      <c r="BF158" s="71"/>
      <c r="BG158" s="71"/>
      <c r="BH158" s="71"/>
      <c r="BI158" s="71"/>
      <c r="BJ158" s="71"/>
      <c r="BK158" s="71"/>
      <c r="BL158" s="71"/>
      <c r="BM158" s="71"/>
      <c r="BN158" s="71"/>
      <c r="BO158" s="71"/>
      <c r="BP158" s="71"/>
      <c r="BQ158" s="71"/>
      <c r="BR158" s="71"/>
      <c r="BS158" s="71"/>
      <c r="BT158" s="71"/>
      <c r="BU158" s="71"/>
      <c r="BV158" s="71"/>
      <c r="BW158" s="71"/>
      <c r="BX158" s="71"/>
      <c r="BY158" s="71"/>
      <c r="BZ158" s="71"/>
      <c r="CA158" s="71"/>
      <c r="CB158" s="71"/>
      <c r="CC158" s="71"/>
      <c r="CD158" s="71"/>
      <c r="CE158" s="71"/>
      <c r="CF158" s="71"/>
      <c r="CG158" s="71"/>
      <c r="CH158" s="71"/>
      <c r="CI158" s="71"/>
      <c r="CJ158" s="71"/>
      <c r="CK158" s="71"/>
      <c r="CL158" s="71"/>
      <c r="CM158" s="71"/>
      <c r="CN158" s="71"/>
      <c r="CO158" s="71"/>
      <c r="CP158" s="71"/>
      <c r="CQ158" s="71"/>
      <c r="CR158" s="71"/>
      <c r="CS158" s="71"/>
      <c r="CT158" s="71"/>
      <c r="CU158" s="71"/>
      <c r="CV158" s="71"/>
      <c r="CW158" s="71"/>
      <c r="CX158" s="71"/>
      <c r="CY158" s="71"/>
      <c r="CZ158" s="71"/>
      <c r="DA158" s="71"/>
      <c r="DB158" s="71"/>
      <c r="DC158" s="71"/>
      <c r="DD158" s="71"/>
      <c r="DE158" s="71"/>
      <c r="DF158" s="71"/>
      <c r="DG158" s="71"/>
      <c r="DH158" s="71"/>
      <c r="DI158" s="71"/>
      <c r="DJ158" s="71"/>
      <c r="DK158" s="71"/>
      <c r="DL158" s="71"/>
    </row>
    <row r="159" ht="20.25" customHeight="1">
      <c r="A159" s="44">
        <v>159.0</v>
      </c>
      <c r="B159" s="421" t="s">
        <v>590</v>
      </c>
      <c r="C159" s="421" t="s">
        <v>115</v>
      </c>
      <c r="D159" s="421" t="s">
        <v>990</v>
      </c>
      <c r="E159" s="365"/>
      <c r="F159" s="68" t="s">
        <v>1015</v>
      </c>
      <c r="G159" s="57" t="s">
        <v>1026</v>
      </c>
      <c r="H159" s="159" t="s">
        <v>144</v>
      </c>
      <c r="I159" s="152">
        <v>45427.0</v>
      </c>
      <c r="J159" s="434">
        <v>45639.0</v>
      </c>
      <c r="K159" s="68"/>
      <c r="L159" s="68"/>
      <c r="M159" s="159" t="s">
        <v>1017</v>
      </c>
      <c r="N159" s="159" t="s">
        <v>1018</v>
      </c>
      <c r="O159" s="156">
        <v>1.0</v>
      </c>
      <c r="P159" s="159" t="s">
        <v>1019</v>
      </c>
      <c r="Q159" s="52" t="str">
        <f t="array" ref="Q159"> if(iserror(MATCH(V159, 'File Links'!C:C, 0)), "N/A", HYPERLINK(INDEX('File Links'!B:B, MATCH(P159, 'File Links'!C:C, 0))))</f>
        <v>https://drive.google.com/file/d/1DrC4ktWX9HamK4DWq_tF1P_2alxXHAnN/view?usp=drivesdk</v>
      </c>
      <c r="R159" s="445" t="s">
        <v>1020</v>
      </c>
      <c r="S159" s="159" t="s">
        <v>1021</v>
      </c>
      <c r="T159" s="68"/>
      <c r="U159" s="156">
        <v>1.0</v>
      </c>
      <c r="V159" s="66" t="str">
        <f> hyperlink(vlookup(lower(S159),'File Links'!E:F, 2, FALSE), SUBSTITUTE(lower(S159), "/", "--") &amp;  ".pdf")</f>
        <v>10.1016--j.drugalcdep.2024.111323.pdf</v>
      </c>
      <c r="W159" s="57" t="s">
        <v>209</v>
      </c>
      <c r="X159" s="54" t="str">
        <f t="array" ref="X159"> if(iserror(MATCH(V159, 'File Links'!C:C, 0)), "N/A", HYPERLINK(INDEX('File Links'!B:B, MATCH(V159, 'File Links'!C:C, 0))))</f>
        <v>https://drive.google.com/file/d/1hw6VxSN8dF8WIp6LhbqOOmsEo0dTvdbu/view?usp=drivesdk</v>
      </c>
      <c r="Y159" s="68"/>
      <c r="Z159" s="159" t="s">
        <v>838</v>
      </c>
      <c r="AA159" s="159" t="s">
        <v>1027</v>
      </c>
      <c r="AB159" s="159" t="s">
        <v>1028</v>
      </c>
      <c r="AC159" s="159" t="s">
        <v>1029</v>
      </c>
      <c r="AD159" s="159" t="s">
        <v>1030</v>
      </c>
      <c r="AE159" s="336">
        <v>5.0</v>
      </c>
      <c r="AF159" s="156">
        <v>97.0</v>
      </c>
      <c r="AG159" s="156">
        <v>10.87</v>
      </c>
      <c r="AH159" s="339" t="s">
        <v>1031</v>
      </c>
      <c r="AI159" s="379">
        <v>5.0</v>
      </c>
      <c r="AJ159" s="379">
        <v>0.001</v>
      </c>
      <c r="AK159" s="159" t="s">
        <v>135</v>
      </c>
      <c r="AL159" s="57" t="s">
        <v>186</v>
      </c>
      <c r="AM159" s="68" t="s">
        <v>137</v>
      </c>
      <c r="AN159" s="114" t="s">
        <v>138</v>
      </c>
      <c r="AO159" s="156">
        <v>123.0</v>
      </c>
      <c r="AP159" s="156">
        <v>8.02</v>
      </c>
      <c r="AQ159" s="159" t="s">
        <v>1031</v>
      </c>
      <c r="AR159" s="156">
        <v>5.0</v>
      </c>
      <c r="AS159" s="156">
        <v>0.001</v>
      </c>
      <c r="AT159" s="159" t="s">
        <v>135</v>
      </c>
      <c r="AU159" s="159" t="s">
        <v>186</v>
      </c>
      <c r="AV159" s="68" t="s">
        <v>141</v>
      </c>
      <c r="AW159" s="68"/>
      <c r="AX159" s="68" t="s">
        <v>438</v>
      </c>
      <c r="AY159" s="61" t="str">
        <f>IFERROR(__xludf.DUMMYFUNCTION("vlookup(BB159,importrange(""https://docs.google.com/spreadsheets/d/1d2vevQ_7D_v35q4wCQ4RpQ_IPoTwEMB9Yp6ymwlPqew/edit?gid=984458430#gid=984458430"", ""'replication success'!A:K""), 11, FAlSE)"),"#N/A")</f>
        <v>#N/A</v>
      </c>
      <c r="AZ159" s="61" t="str">
        <f>IFERROR(__xludf.DUMMYFUNCTION("vlookup(BB159,importrange(""https://docs.google.com/spreadsheets/d/1d2vevQ_7D_v35q4wCQ4RpQ_IPoTwEMB9Yp6ymwlPqew/edit?gid=984458430#gid=984458430"", ""'replication success'!A:M""), 12, FAlSE)"),"#N/A")</f>
        <v>#N/A</v>
      </c>
      <c r="BA159" s="61" t="str">
        <f>IFERROR(__xludf.DUMMYFUNCTION("vlookup(BB159,importrange(""https://docs.google.com/spreadsheets/d/1d2vevQ_7D_v35q4wCQ4RpQ_IPoTwEMB9Yp6ymwlPqew/edit?gid=984458430#gid=984458430"", ""'replication success'!A:M""), 13, FAlSE)"),"#N/A")</f>
        <v>#N/A</v>
      </c>
      <c r="BB159" s="61" t="str">
        <f>IFERROR(__xludf.DUMMYFUNCTION("REGEXREPLACE(G159, ""_[a-z]{1,2}$"", """")"),"additional_studies28")</f>
        <v>additional_studies28</v>
      </c>
      <c r="BC159" s="68"/>
      <c r="BD159" s="365"/>
      <c r="BE159" s="71"/>
      <c r="BF159" s="71"/>
      <c r="BG159" s="71"/>
      <c r="BH159" s="71"/>
      <c r="BI159" s="71"/>
      <c r="BJ159" s="71"/>
      <c r="BK159" s="71"/>
      <c r="BL159" s="71"/>
      <c r="BM159" s="71"/>
      <c r="BN159" s="71"/>
      <c r="BO159" s="71"/>
      <c r="BP159" s="71"/>
      <c r="BQ159" s="71"/>
      <c r="BR159" s="71"/>
      <c r="BS159" s="71"/>
      <c r="BT159" s="71"/>
      <c r="BU159" s="71"/>
      <c r="BV159" s="71"/>
      <c r="BW159" s="71"/>
      <c r="BX159" s="71"/>
      <c r="BY159" s="71"/>
      <c r="BZ159" s="71"/>
      <c r="CA159" s="71"/>
      <c r="CB159" s="71"/>
      <c r="CC159" s="71"/>
      <c r="CD159" s="71"/>
      <c r="CE159" s="71"/>
      <c r="CF159" s="71"/>
      <c r="CG159" s="71"/>
      <c r="CH159" s="71"/>
      <c r="CI159" s="71"/>
      <c r="CJ159" s="71"/>
      <c r="CK159" s="71"/>
      <c r="CL159" s="71"/>
      <c r="CM159" s="71"/>
      <c r="CN159" s="71"/>
      <c r="CO159" s="71"/>
      <c r="CP159" s="71"/>
      <c r="CQ159" s="71"/>
      <c r="CR159" s="71"/>
      <c r="CS159" s="71"/>
      <c r="CT159" s="71"/>
      <c r="CU159" s="71"/>
      <c r="CV159" s="71"/>
      <c r="CW159" s="71"/>
      <c r="CX159" s="71"/>
      <c r="CY159" s="71"/>
      <c r="CZ159" s="71"/>
      <c r="DA159" s="71"/>
      <c r="DB159" s="71"/>
      <c r="DC159" s="71"/>
      <c r="DD159" s="71"/>
      <c r="DE159" s="71"/>
      <c r="DF159" s="71"/>
      <c r="DG159" s="71"/>
      <c r="DH159" s="71"/>
      <c r="DI159" s="71"/>
      <c r="DJ159" s="71"/>
      <c r="DK159" s="71"/>
      <c r="DL159" s="71"/>
    </row>
    <row r="160" ht="20.25" customHeight="1">
      <c r="A160" s="44">
        <v>160.0</v>
      </c>
      <c r="B160" s="421" t="s">
        <v>590</v>
      </c>
      <c r="C160" s="421"/>
      <c r="D160" s="421"/>
      <c r="E160" s="365"/>
      <c r="F160" s="68" t="s">
        <v>1015</v>
      </c>
      <c r="G160" s="57" t="s">
        <v>1032</v>
      </c>
      <c r="H160" s="159" t="s">
        <v>144</v>
      </c>
      <c r="I160" s="152">
        <v>45427.0</v>
      </c>
      <c r="J160" s="434">
        <v>45639.0</v>
      </c>
      <c r="K160" s="68"/>
      <c r="L160" s="68"/>
      <c r="M160" s="159" t="s">
        <v>1017</v>
      </c>
      <c r="N160" s="159" t="s">
        <v>1018</v>
      </c>
      <c r="O160" s="156">
        <v>1.0</v>
      </c>
      <c r="P160" s="159" t="s">
        <v>1019</v>
      </c>
      <c r="Q160" s="52" t="str">
        <f t="array" ref="Q160"> if(iserror(MATCH(V160, 'File Links'!C:C, 0)), "N/A", HYPERLINK(INDEX('File Links'!B:B, MATCH(P160, 'File Links'!C:C, 0))))</f>
        <v>https://drive.google.com/file/d/1DrC4ktWX9HamK4DWq_tF1P_2alxXHAnN/view?usp=drivesdk</v>
      </c>
      <c r="R160" s="339" t="s">
        <v>1020</v>
      </c>
      <c r="S160" s="159" t="s">
        <v>1021</v>
      </c>
      <c r="T160" s="68"/>
      <c r="U160" s="156">
        <v>1.0</v>
      </c>
      <c r="V160" s="66" t="str">
        <f> hyperlink(vlookup(lower(S160),'File Links'!E:F, 2, FALSE), SUBSTITUTE(lower(S160), "/", "--") &amp;  ".pdf")</f>
        <v>10.1016--j.drugalcdep.2024.111323.pdf</v>
      </c>
      <c r="W160" s="57" t="s">
        <v>209</v>
      </c>
      <c r="X160" s="54" t="str">
        <f t="array" ref="X160"> if(iserror(MATCH(V160, 'File Links'!C:C, 0)), "N/A", HYPERLINK(INDEX('File Links'!B:B, MATCH(V160, 'File Links'!C:C, 0))))</f>
        <v>https://drive.google.com/file/d/1hw6VxSN8dF8WIp6LhbqOOmsEo0dTvdbu/view?usp=drivesdk</v>
      </c>
      <c r="Y160" s="68"/>
      <c r="Z160" s="159" t="s">
        <v>838</v>
      </c>
      <c r="AA160" s="159" t="s">
        <v>1027</v>
      </c>
      <c r="AB160" s="159" t="s">
        <v>1028</v>
      </c>
      <c r="AC160" s="159" t="s">
        <v>1033</v>
      </c>
      <c r="AD160" s="159" t="s">
        <v>1034</v>
      </c>
      <c r="AE160" s="336">
        <v>5.0</v>
      </c>
      <c r="AF160" s="156">
        <v>96.0</v>
      </c>
      <c r="AG160" s="156">
        <v>3.08</v>
      </c>
      <c r="AH160" s="339" t="s">
        <v>1031</v>
      </c>
      <c r="AI160" s="379">
        <v>5.0</v>
      </c>
      <c r="AJ160" s="379">
        <v>0.01</v>
      </c>
      <c r="AK160" s="159" t="s">
        <v>135</v>
      </c>
      <c r="AL160" s="57" t="s">
        <v>186</v>
      </c>
      <c r="AM160" s="68" t="s">
        <v>137</v>
      </c>
      <c r="AN160" s="114" t="s">
        <v>138</v>
      </c>
      <c r="AO160" s="156">
        <v>119.0</v>
      </c>
      <c r="AP160" s="156">
        <v>1.97</v>
      </c>
      <c r="AQ160" s="159" t="s">
        <v>1031</v>
      </c>
      <c r="AR160" s="156">
        <v>5.0</v>
      </c>
      <c r="AS160" s="156">
        <v>0.06</v>
      </c>
      <c r="AT160" s="159" t="s">
        <v>172</v>
      </c>
      <c r="AU160" s="159" t="s">
        <v>186</v>
      </c>
      <c r="AV160" s="68" t="s">
        <v>141</v>
      </c>
      <c r="AW160" s="68"/>
      <c r="AX160" s="68" t="s">
        <v>438</v>
      </c>
      <c r="AY160" s="61" t="str">
        <f>IFERROR(__xludf.DUMMYFUNCTION("vlookup(BB160,importrange(""https://docs.google.com/spreadsheets/d/1d2vevQ_7D_v35q4wCQ4RpQ_IPoTwEMB9Yp6ymwlPqew/edit?gid=984458430#gid=984458430"", ""'replication success'!A:K""), 11, FAlSE)"),"#N/A")</f>
        <v>#N/A</v>
      </c>
      <c r="AZ160" s="61" t="str">
        <f>IFERROR(__xludf.DUMMYFUNCTION("vlookup(BB160,importrange(""https://docs.google.com/spreadsheets/d/1d2vevQ_7D_v35q4wCQ4RpQ_IPoTwEMB9Yp6ymwlPqew/edit?gid=984458430#gid=984458430"", ""'replication success'!A:M""), 12, FAlSE)"),"#N/A")</f>
        <v>#N/A</v>
      </c>
      <c r="BA160" s="61" t="str">
        <f>IFERROR(__xludf.DUMMYFUNCTION("vlookup(BB160,importrange(""https://docs.google.com/spreadsheets/d/1d2vevQ_7D_v35q4wCQ4RpQ_IPoTwEMB9Yp6ymwlPqew/edit?gid=984458430#gid=984458430"", ""'replication success'!A:M""), 13, FAlSE)"),"#N/A")</f>
        <v>#N/A</v>
      </c>
      <c r="BB160" s="61" t="str">
        <f>IFERROR(__xludf.DUMMYFUNCTION("REGEXREPLACE(G160, ""_[a-z]{1,2}$"", """")"),"additional_studies28")</f>
        <v>additional_studies28</v>
      </c>
      <c r="BC160" s="68"/>
      <c r="BD160" s="365"/>
      <c r="BE160" s="71"/>
      <c r="BF160" s="71"/>
      <c r="BG160" s="71"/>
      <c r="BH160" s="71"/>
      <c r="BI160" s="71"/>
      <c r="BJ160" s="71"/>
      <c r="BK160" s="71"/>
      <c r="BL160" s="71"/>
      <c r="BM160" s="71"/>
      <c r="BN160" s="71"/>
      <c r="BO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U160" s="71"/>
      <c r="CV160" s="71"/>
      <c r="CW160" s="71"/>
      <c r="CX160" s="71"/>
      <c r="CY160" s="71"/>
      <c r="CZ160" s="71"/>
      <c r="DA160" s="71"/>
      <c r="DB160" s="71"/>
      <c r="DC160" s="71"/>
      <c r="DD160" s="71"/>
      <c r="DE160" s="71"/>
      <c r="DF160" s="71"/>
      <c r="DG160" s="71"/>
      <c r="DH160" s="71"/>
      <c r="DI160" s="71"/>
      <c r="DJ160" s="71"/>
      <c r="DK160" s="71"/>
      <c r="DL160" s="71"/>
    </row>
    <row r="161" ht="20.25" customHeight="1">
      <c r="A161" s="44">
        <v>161.0</v>
      </c>
      <c r="B161" s="421" t="s">
        <v>590</v>
      </c>
      <c r="C161" s="421"/>
      <c r="D161" s="421"/>
      <c r="E161" s="365"/>
      <c r="F161" s="68" t="s">
        <v>1015</v>
      </c>
      <c r="G161" s="57" t="s">
        <v>1035</v>
      </c>
      <c r="H161" s="159" t="s">
        <v>144</v>
      </c>
      <c r="I161" s="152">
        <v>45427.0</v>
      </c>
      <c r="J161" s="434">
        <v>45639.0</v>
      </c>
      <c r="K161" s="68"/>
      <c r="L161" s="68"/>
      <c r="M161" s="159" t="s">
        <v>1017</v>
      </c>
      <c r="N161" s="159" t="s">
        <v>1018</v>
      </c>
      <c r="O161" s="156">
        <v>1.0</v>
      </c>
      <c r="P161" s="159" t="s">
        <v>1019</v>
      </c>
      <c r="Q161" s="52" t="str">
        <f t="array" ref="Q161"> if(iserror(MATCH(V161, 'File Links'!C:C, 0)), "N/A", HYPERLINK(INDEX('File Links'!B:B, MATCH(P161, 'File Links'!C:C, 0))))</f>
        <v>https://drive.google.com/file/d/1DrC4ktWX9HamK4DWq_tF1P_2alxXHAnN/view?usp=drivesdk</v>
      </c>
      <c r="R161" s="339" t="s">
        <v>1020</v>
      </c>
      <c r="S161" s="159" t="s">
        <v>1021</v>
      </c>
      <c r="T161" s="68"/>
      <c r="U161" s="156">
        <v>1.0</v>
      </c>
      <c r="V161" s="66" t="str">
        <f> hyperlink(vlookup(lower(S161),'File Links'!E:F, 2, FALSE), SUBSTITUTE(lower(S161), "/", "--") &amp;  ".pdf")</f>
        <v>10.1016--j.drugalcdep.2024.111323.pdf</v>
      </c>
      <c r="W161" s="57" t="s">
        <v>209</v>
      </c>
      <c r="X161" s="54" t="str">
        <f t="array" ref="X161"> if(iserror(MATCH(V161, 'File Links'!C:C, 0)), "N/A", HYPERLINK(INDEX('File Links'!B:B, MATCH(V161, 'File Links'!C:C, 0))))</f>
        <v>https://drive.google.com/file/d/1hw6VxSN8dF8WIp6LhbqOOmsEo0dTvdbu/view?usp=drivesdk</v>
      </c>
      <c r="Y161" s="68"/>
      <c r="Z161" s="159" t="s">
        <v>838</v>
      </c>
      <c r="AA161" s="159" t="s">
        <v>1027</v>
      </c>
      <c r="AB161" s="159" t="s">
        <v>1028</v>
      </c>
      <c r="AC161" s="159" t="s">
        <v>1036</v>
      </c>
      <c r="AD161" s="159" t="s">
        <v>1037</v>
      </c>
      <c r="AE161" s="336">
        <v>5.0</v>
      </c>
      <c r="AF161" s="156">
        <v>93.0</v>
      </c>
      <c r="AG161" s="156">
        <v>2.11</v>
      </c>
      <c r="AH161" s="339" t="s">
        <v>1031</v>
      </c>
      <c r="AI161" s="379">
        <v>5.0</v>
      </c>
      <c r="AJ161" s="379">
        <v>0.4</v>
      </c>
      <c r="AK161" s="159" t="s">
        <v>172</v>
      </c>
      <c r="AL161" s="57" t="s">
        <v>186</v>
      </c>
      <c r="AM161" s="68" t="s">
        <v>137</v>
      </c>
      <c r="AN161" s="114" t="s">
        <v>138</v>
      </c>
      <c r="AO161" s="156">
        <v>117.0</v>
      </c>
      <c r="AP161" s="156">
        <v>1.51</v>
      </c>
      <c r="AQ161" s="159" t="s">
        <v>1031</v>
      </c>
      <c r="AR161" s="156">
        <v>5.0</v>
      </c>
      <c r="AS161" s="156">
        <v>0.16</v>
      </c>
      <c r="AT161" s="159" t="s">
        <v>172</v>
      </c>
      <c r="AU161" s="159" t="s">
        <v>186</v>
      </c>
      <c r="AV161" s="68" t="s">
        <v>141</v>
      </c>
      <c r="AW161" s="68"/>
      <c r="AX161" s="68" t="s">
        <v>438</v>
      </c>
      <c r="AY161" s="61" t="str">
        <f>IFERROR(__xludf.DUMMYFUNCTION("vlookup(BB161,importrange(""https://docs.google.com/spreadsheets/d/1d2vevQ_7D_v35q4wCQ4RpQ_IPoTwEMB9Yp6ymwlPqew/edit?gid=984458430#gid=984458430"", ""'replication success'!A:K""), 11, FAlSE)"),"#N/A")</f>
        <v>#N/A</v>
      </c>
      <c r="AZ161" s="61" t="str">
        <f>IFERROR(__xludf.DUMMYFUNCTION("vlookup(BB161,importrange(""https://docs.google.com/spreadsheets/d/1d2vevQ_7D_v35q4wCQ4RpQ_IPoTwEMB9Yp6ymwlPqew/edit?gid=984458430#gid=984458430"", ""'replication success'!A:M""), 12, FAlSE)"),"#N/A")</f>
        <v>#N/A</v>
      </c>
      <c r="BA161" s="61" t="str">
        <f>IFERROR(__xludf.DUMMYFUNCTION("vlookup(BB161,importrange(""https://docs.google.com/spreadsheets/d/1d2vevQ_7D_v35q4wCQ4RpQ_IPoTwEMB9Yp6ymwlPqew/edit?gid=984458430#gid=984458430"", ""'replication success'!A:M""), 13, FAlSE)"),"#N/A")</f>
        <v>#N/A</v>
      </c>
      <c r="BB161" s="61" t="str">
        <f>IFERROR(__xludf.DUMMYFUNCTION("REGEXREPLACE(G161, ""_[a-z]{1,2}$"", """")"),"additional_studies28")</f>
        <v>additional_studies28</v>
      </c>
      <c r="BC161" s="68"/>
      <c r="BD161" s="365"/>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1"/>
      <c r="CA161" s="71"/>
      <c r="CB161" s="71"/>
      <c r="CC161" s="71"/>
      <c r="CD161" s="71"/>
      <c r="CE161" s="71"/>
      <c r="CF161" s="71"/>
      <c r="CG161" s="71"/>
      <c r="CH161" s="71"/>
      <c r="CI161" s="71"/>
      <c r="CJ161" s="71"/>
      <c r="CK161" s="71"/>
      <c r="CL161" s="71"/>
      <c r="CM161" s="71"/>
      <c r="CN161" s="71"/>
      <c r="CO161" s="71"/>
      <c r="CP161" s="71"/>
      <c r="CQ161" s="71"/>
      <c r="CR161" s="71"/>
      <c r="CS161" s="71"/>
      <c r="CT161" s="71"/>
      <c r="CU161" s="71"/>
      <c r="CV161" s="71"/>
      <c r="CW161" s="71"/>
      <c r="CX161" s="71"/>
      <c r="CY161" s="71"/>
      <c r="CZ161" s="71"/>
      <c r="DA161" s="71"/>
      <c r="DB161" s="71"/>
      <c r="DC161" s="71"/>
      <c r="DD161" s="71"/>
      <c r="DE161" s="71"/>
      <c r="DF161" s="71"/>
      <c r="DG161" s="71"/>
      <c r="DH161" s="71"/>
      <c r="DI161" s="71"/>
      <c r="DJ161" s="71"/>
      <c r="DK161" s="71"/>
      <c r="DL161" s="71"/>
    </row>
    <row r="162" ht="20.25" customHeight="1">
      <c r="A162" s="44">
        <v>162.0</v>
      </c>
      <c r="B162" s="148" t="s">
        <v>285</v>
      </c>
      <c r="C162" s="148" t="s">
        <v>115</v>
      </c>
      <c r="D162" s="421" t="s">
        <v>442</v>
      </c>
      <c r="E162" s="365"/>
      <c r="F162" s="436" t="s">
        <v>1015</v>
      </c>
      <c r="G162" s="423" t="s">
        <v>1032</v>
      </c>
      <c r="H162" s="423" t="s">
        <v>445</v>
      </c>
      <c r="I162" s="424">
        <v>45635.0</v>
      </c>
      <c r="J162" s="426"/>
      <c r="K162" s="426"/>
      <c r="L162" s="426"/>
      <c r="M162" s="423" t="s">
        <v>1017</v>
      </c>
      <c r="N162" s="423" t="s">
        <v>1018</v>
      </c>
      <c r="O162" s="426"/>
      <c r="P162" s="427" t="s">
        <v>1019</v>
      </c>
      <c r="Q162" s="52" t="str">
        <f t="array" ref="Q162"> if(iserror(MATCH(V162, 'File Links'!C:C, 0)), "N/A", HYPERLINK(INDEX('File Links'!B:B, MATCH(P162, 'File Links'!C:C, 0))))</f>
        <v>https://drive.google.com/file/d/1DrC4ktWX9HamK4DWq_tF1P_2alxXHAnN/view?usp=drivesdk</v>
      </c>
      <c r="R162" s="423" t="s">
        <v>1020</v>
      </c>
      <c r="S162" s="442" t="s">
        <v>1021</v>
      </c>
      <c r="T162" s="426"/>
      <c r="U162" s="428"/>
      <c r="V162" s="66" t="str">
        <f> hyperlink(vlookup(lower(S162),'File Links'!E:F, 2, FALSE), SUBSTITUTE(lower(S162), "/", "--") &amp;  ".pdf")</f>
        <v>10.1016--j.drugalcdep.2024.111323.pdf</v>
      </c>
      <c r="W162" s="423" t="s">
        <v>164</v>
      </c>
      <c r="X162" s="54" t="str">
        <f t="array" ref="X162"> if(iserror(MATCH(V162, 'File Links'!C:C, 0)), "N/A", HYPERLINK(INDEX('File Links'!B:B, MATCH(V162, 'File Links'!C:C, 0))))</f>
        <v>https://drive.google.com/file/d/1hw6VxSN8dF8WIp6LhbqOOmsEo0dTvdbu/view?usp=drivesdk</v>
      </c>
      <c r="Y162" s="426"/>
      <c r="Z162" s="423" t="s">
        <v>503</v>
      </c>
      <c r="AA162" s="426"/>
      <c r="AB162" s="423" t="s">
        <v>1022</v>
      </c>
      <c r="AC162" s="443" t="s">
        <v>1023</v>
      </c>
      <c r="AD162" s="423" t="s">
        <v>1038</v>
      </c>
      <c r="AE162" s="429">
        <v>1.0</v>
      </c>
      <c r="AF162" s="429">
        <v>97.0</v>
      </c>
      <c r="AG162" s="429">
        <v>0.35</v>
      </c>
      <c r="AH162" s="427" t="s">
        <v>361</v>
      </c>
      <c r="AI162" s="423" t="s">
        <v>882</v>
      </c>
      <c r="AJ162" s="429">
        <v>0.01</v>
      </c>
      <c r="AK162" s="422" t="s">
        <v>135</v>
      </c>
      <c r="AL162" s="423" t="s">
        <v>186</v>
      </c>
      <c r="AM162" s="423" t="s">
        <v>137</v>
      </c>
      <c r="AN162" s="114" t="s">
        <v>138</v>
      </c>
      <c r="AO162" s="429">
        <v>123.0</v>
      </c>
      <c r="AP162" s="446">
        <v>-0.01</v>
      </c>
      <c r="AQ162" s="447" t="s">
        <v>361</v>
      </c>
      <c r="AR162" s="423" t="s">
        <v>882</v>
      </c>
      <c r="AS162" s="446">
        <v>0.86</v>
      </c>
      <c r="AT162" s="422" t="s">
        <v>172</v>
      </c>
      <c r="AU162" s="422" t="s">
        <v>186</v>
      </c>
      <c r="AV162" s="422" t="s">
        <v>137</v>
      </c>
      <c r="AW162" s="444" t="s">
        <v>1025</v>
      </c>
      <c r="AX162" s="433" t="s">
        <v>438</v>
      </c>
      <c r="AY162" s="61" t="str">
        <f>IFERROR(__xludf.DUMMYFUNCTION("vlookup(BB162,importrange(""https://docs.google.com/spreadsheets/d/1d2vevQ_7D_v35q4wCQ4RpQ_IPoTwEMB9Yp6ymwlPqew/edit?gid=984458430#gid=984458430"", ""'replication success'!A:K""), 11, FAlSE)"),"#N/A")</f>
        <v>#N/A</v>
      </c>
      <c r="AZ162" s="61" t="str">
        <f>IFERROR(__xludf.DUMMYFUNCTION("vlookup(BB162,importrange(""https://docs.google.com/spreadsheets/d/1d2vevQ_7D_v35q4wCQ4RpQ_IPoTwEMB9Yp6ymwlPqew/edit?gid=984458430#gid=984458430"", ""'replication success'!A:M""), 12, FAlSE)"),"#N/A")</f>
        <v>#N/A</v>
      </c>
      <c r="BA162" s="61" t="str">
        <f>IFERROR(__xludf.DUMMYFUNCTION("vlookup(BB162,importrange(""https://docs.google.com/spreadsheets/d/1d2vevQ_7D_v35q4wCQ4RpQ_IPoTwEMB9Yp6ymwlPqew/edit?gid=984458430#gid=984458430"", ""'replication success'!A:M""), 13, FAlSE)"),"#N/A")</f>
        <v>#N/A</v>
      </c>
      <c r="BB162" s="61" t="str">
        <f>IFERROR(__xludf.DUMMYFUNCTION("REGEXREPLACE(G162, ""_[a-z]{1,2}$"", """")"),"additional_studies28")</f>
        <v>additional_studies28</v>
      </c>
      <c r="BC162" s="61"/>
      <c r="BD162" s="365"/>
      <c r="BE162" s="71"/>
      <c r="BF162" s="71"/>
      <c r="BG162" s="71"/>
      <c r="BH162" s="71"/>
      <c r="BI162" s="71"/>
      <c r="BJ162" s="71"/>
      <c r="BK162" s="71"/>
      <c r="BL162" s="71"/>
      <c r="BM162" s="71"/>
      <c r="BN162" s="71"/>
      <c r="BO162" s="71"/>
      <c r="BP162" s="71"/>
      <c r="BQ162" s="71"/>
      <c r="BR162" s="71"/>
      <c r="BS162" s="71"/>
      <c r="BT162" s="71"/>
      <c r="BU162" s="71"/>
      <c r="BV162" s="71"/>
      <c r="BW162" s="71"/>
      <c r="BX162" s="71"/>
      <c r="BY162" s="71"/>
      <c r="BZ162" s="71"/>
      <c r="CA162" s="71"/>
      <c r="CB162" s="71"/>
      <c r="CC162" s="71"/>
      <c r="CD162" s="71"/>
      <c r="CE162" s="71"/>
      <c r="CF162" s="71"/>
      <c r="CG162" s="71"/>
      <c r="CH162" s="71"/>
      <c r="CI162" s="71"/>
      <c r="CJ162" s="71"/>
      <c r="CK162" s="71"/>
      <c r="CL162" s="71"/>
      <c r="CM162" s="71"/>
      <c r="CN162" s="71"/>
      <c r="CO162" s="71"/>
      <c r="CP162" s="71"/>
      <c r="CQ162" s="71"/>
      <c r="CR162" s="71"/>
      <c r="CS162" s="71"/>
      <c r="CT162" s="71"/>
      <c r="CU162" s="71"/>
      <c r="CV162" s="71"/>
      <c r="CW162" s="71"/>
      <c r="CX162" s="71"/>
      <c r="CY162" s="71"/>
      <c r="CZ162" s="71"/>
      <c r="DA162" s="71"/>
      <c r="DB162" s="71"/>
      <c r="DC162" s="71"/>
      <c r="DD162" s="71"/>
      <c r="DE162" s="71"/>
      <c r="DF162" s="71"/>
      <c r="DG162" s="71"/>
      <c r="DH162" s="71"/>
      <c r="DI162" s="71"/>
      <c r="DJ162" s="71"/>
      <c r="DK162" s="71"/>
      <c r="DL162" s="71"/>
    </row>
    <row r="163" ht="20.25" customHeight="1">
      <c r="A163" s="44">
        <v>163.0</v>
      </c>
      <c r="B163" s="148" t="s">
        <v>285</v>
      </c>
      <c r="C163" s="148" t="s">
        <v>115</v>
      </c>
      <c r="D163" s="421" t="s">
        <v>442</v>
      </c>
      <c r="E163" s="365"/>
      <c r="F163" s="436" t="s">
        <v>1015</v>
      </c>
      <c r="G163" s="423" t="s">
        <v>1035</v>
      </c>
      <c r="H163" s="423" t="s">
        <v>445</v>
      </c>
      <c r="I163" s="424">
        <v>45635.0</v>
      </c>
      <c r="J163" s="426"/>
      <c r="K163" s="426"/>
      <c r="L163" s="426"/>
      <c r="M163" s="423" t="s">
        <v>1017</v>
      </c>
      <c r="N163" s="423" t="s">
        <v>1018</v>
      </c>
      <c r="O163" s="426"/>
      <c r="P163" s="427" t="s">
        <v>1019</v>
      </c>
      <c r="Q163" s="52" t="str">
        <f t="array" ref="Q163"> if(iserror(MATCH(V163, 'File Links'!C:C, 0)), "N/A", HYPERLINK(INDEX('File Links'!B:B, MATCH(P163, 'File Links'!C:C, 0))))</f>
        <v>https://drive.google.com/file/d/1DrC4ktWX9HamK4DWq_tF1P_2alxXHAnN/view?usp=drivesdk</v>
      </c>
      <c r="R163" s="423" t="s">
        <v>1020</v>
      </c>
      <c r="S163" s="442" t="s">
        <v>1021</v>
      </c>
      <c r="T163" s="426"/>
      <c r="U163" s="428"/>
      <c r="V163" s="66" t="str">
        <f> hyperlink(vlookup(lower(S163),'File Links'!E:F, 2, FALSE), SUBSTITUTE(lower(S163), "/", "--") &amp;  ".pdf")</f>
        <v>10.1016--j.drugalcdep.2024.111323.pdf</v>
      </c>
      <c r="W163" s="423" t="s">
        <v>164</v>
      </c>
      <c r="X163" s="54" t="str">
        <f t="array" ref="X163"> if(iserror(MATCH(V163, 'File Links'!C:C, 0)), "N/A", HYPERLINK(INDEX('File Links'!B:B, MATCH(V163, 'File Links'!C:C, 0))))</f>
        <v>https://drive.google.com/file/d/1hw6VxSN8dF8WIp6LhbqOOmsEo0dTvdbu/view?usp=drivesdk</v>
      </c>
      <c r="Y163" s="426"/>
      <c r="Z163" s="423" t="s">
        <v>503</v>
      </c>
      <c r="AA163" s="426"/>
      <c r="AB163" s="423" t="s">
        <v>1022</v>
      </c>
      <c r="AC163" s="443" t="s">
        <v>1023</v>
      </c>
      <c r="AD163" s="423" t="s">
        <v>1039</v>
      </c>
      <c r="AE163" s="429">
        <v>1.0</v>
      </c>
      <c r="AF163" s="429">
        <v>97.0</v>
      </c>
      <c r="AG163" s="429">
        <v>-0.2</v>
      </c>
      <c r="AH163" s="427" t="s">
        <v>361</v>
      </c>
      <c r="AI163" s="423" t="s">
        <v>882</v>
      </c>
      <c r="AJ163" s="429">
        <v>0.01</v>
      </c>
      <c r="AK163" s="422" t="s">
        <v>135</v>
      </c>
      <c r="AL163" s="423" t="s">
        <v>186</v>
      </c>
      <c r="AM163" s="423" t="s">
        <v>137</v>
      </c>
      <c r="AN163" s="114" t="s">
        <v>138</v>
      </c>
      <c r="AO163" s="429">
        <v>123.0</v>
      </c>
      <c r="AP163" s="446">
        <v>-0.33</v>
      </c>
      <c r="AQ163" s="447" t="s">
        <v>361</v>
      </c>
      <c r="AR163" s="423" t="s">
        <v>882</v>
      </c>
      <c r="AS163" s="446">
        <v>0.01</v>
      </c>
      <c r="AT163" s="422" t="s">
        <v>135</v>
      </c>
      <c r="AU163" s="422" t="s">
        <v>186</v>
      </c>
      <c r="AV163" s="422" t="s">
        <v>137</v>
      </c>
      <c r="AW163" s="444" t="s">
        <v>1025</v>
      </c>
      <c r="AX163" s="433" t="s">
        <v>438</v>
      </c>
      <c r="AY163" s="61" t="str">
        <f>IFERROR(__xludf.DUMMYFUNCTION("vlookup(BB163,importrange(""https://docs.google.com/spreadsheets/d/1d2vevQ_7D_v35q4wCQ4RpQ_IPoTwEMB9Yp6ymwlPqew/edit?gid=984458430#gid=984458430"", ""'replication success'!A:K""), 11, FAlSE)"),"#N/A")</f>
        <v>#N/A</v>
      </c>
      <c r="AZ163" s="61" t="str">
        <f>IFERROR(__xludf.DUMMYFUNCTION("vlookup(BB163,importrange(""https://docs.google.com/spreadsheets/d/1d2vevQ_7D_v35q4wCQ4RpQ_IPoTwEMB9Yp6ymwlPqew/edit?gid=984458430#gid=984458430"", ""'replication success'!A:M""), 12, FAlSE)"),"#N/A")</f>
        <v>#N/A</v>
      </c>
      <c r="BA163" s="61" t="str">
        <f>IFERROR(__xludf.DUMMYFUNCTION("vlookup(BB163,importrange(""https://docs.google.com/spreadsheets/d/1d2vevQ_7D_v35q4wCQ4RpQ_IPoTwEMB9Yp6ymwlPqew/edit?gid=984458430#gid=984458430"", ""'replication success'!A:M""), 13, FAlSE)"),"#N/A")</f>
        <v>#N/A</v>
      </c>
      <c r="BB163" s="61" t="str">
        <f>IFERROR(__xludf.DUMMYFUNCTION("REGEXREPLACE(G163, ""_[a-z]{1,2}$"", """")"),"additional_studies28")</f>
        <v>additional_studies28</v>
      </c>
      <c r="BC163" s="61"/>
      <c r="BD163" s="365"/>
    </row>
    <row r="164" ht="20.25" customHeight="1">
      <c r="A164" s="44">
        <v>164.0</v>
      </c>
      <c r="B164" s="148" t="s">
        <v>285</v>
      </c>
      <c r="C164" s="148" t="s">
        <v>115</v>
      </c>
      <c r="D164" s="421" t="s">
        <v>442</v>
      </c>
      <c r="E164" s="365"/>
      <c r="F164" s="436" t="s">
        <v>1015</v>
      </c>
      <c r="G164" s="423" t="s">
        <v>1040</v>
      </c>
      <c r="H164" s="423" t="s">
        <v>445</v>
      </c>
      <c r="I164" s="424">
        <v>45635.0</v>
      </c>
      <c r="J164" s="426"/>
      <c r="K164" s="423" t="s">
        <v>1041</v>
      </c>
      <c r="L164" s="426"/>
      <c r="M164" s="423" t="s">
        <v>1017</v>
      </c>
      <c r="N164" s="423" t="s">
        <v>1018</v>
      </c>
      <c r="O164" s="426"/>
      <c r="P164" s="427" t="s">
        <v>1019</v>
      </c>
      <c r="Q164" s="52" t="str">
        <f t="array" ref="Q164"> if(iserror(MATCH(V164, 'File Links'!C:C, 0)), "N/A", HYPERLINK(INDEX('File Links'!B:B, MATCH(P164, 'File Links'!C:C, 0))))</f>
        <v>https://drive.google.com/file/d/1DrC4ktWX9HamK4DWq_tF1P_2alxXHAnN/view?usp=drivesdk</v>
      </c>
      <c r="R164" s="423" t="s">
        <v>1020</v>
      </c>
      <c r="S164" s="442" t="s">
        <v>1021</v>
      </c>
      <c r="T164" s="426"/>
      <c r="U164" s="428"/>
      <c r="V164" s="66" t="str">
        <f> hyperlink(vlookup(lower(S164),'File Links'!E:F, 2, FALSE), SUBSTITUTE(lower(S164), "/", "--") &amp;  ".pdf")</f>
        <v>10.1016--j.drugalcdep.2024.111323.pdf</v>
      </c>
      <c r="W164" s="423" t="s">
        <v>164</v>
      </c>
      <c r="X164" s="54" t="str">
        <f t="array" ref="X164"> if(iserror(MATCH(V164, 'File Links'!C:C, 0)), "N/A", HYPERLINK(INDEX('File Links'!B:B, MATCH(V164, 'File Links'!C:C, 0))))</f>
        <v>https://drive.google.com/file/d/1hw6VxSN8dF8WIp6LhbqOOmsEo0dTvdbu/view?usp=drivesdk</v>
      </c>
      <c r="Y164" s="426"/>
      <c r="Z164" s="423" t="s">
        <v>503</v>
      </c>
      <c r="AA164" s="426"/>
      <c r="AB164" s="423" t="s">
        <v>1022</v>
      </c>
      <c r="AC164" s="448" t="s">
        <v>1023</v>
      </c>
      <c r="AD164" s="426"/>
      <c r="AE164" s="426"/>
      <c r="AF164" s="429">
        <v>63.0</v>
      </c>
      <c r="AG164" s="446">
        <v>0.22</v>
      </c>
      <c r="AH164" s="427" t="s">
        <v>361</v>
      </c>
      <c r="AI164" s="430" t="s">
        <v>1042</v>
      </c>
      <c r="AJ164" s="446">
        <v>0.17</v>
      </c>
      <c r="AK164" s="422" t="s">
        <v>172</v>
      </c>
      <c r="AL164" s="423" t="s">
        <v>186</v>
      </c>
      <c r="AM164" s="423" t="s">
        <v>137</v>
      </c>
      <c r="AN164" s="114" t="s">
        <v>138</v>
      </c>
      <c r="AO164" s="429">
        <v>61.0</v>
      </c>
      <c r="AP164" s="449">
        <v>0.08</v>
      </c>
      <c r="AQ164" s="423" t="s">
        <v>361</v>
      </c>
      <c r="AR164" s="423" t="s">
        <v>1042</v>
      </c>
      <c r="AS164" s="429">
        <v>0.56</v>
      </c>
      <c r="AT164" s="422" t="s">
        <v>172</v>
      </c>
      <c r="AU164" s="422" t="s">
        <v>186</v>
      </c>
      <c r="AV164" s="422" t="s">
        <v>137</v>
      </c>
      <c r="AW164" s="444" t="s">
        <v>1025</v>
      </c>
      <c r="AX164" s="433" t="s">
        <v>438</v>
      </c>
      <c r="AY164" s="61" t="str">
        <f>IFERROR(__xludf.DUMMYFUNCTION("vlookup(BB164,importrange(""https://docs.google.com/spreadsheets/d/1d2vevQ_7D_v35q4wCQ4RpQ_IPoTwEMB9Yp6ymwlPqew/edit?gid=984458430#gid=984458430"", ""'replication success'!A:K""), 11, FAlSE)"),"#N/A")</f>
        <v>#N/A</v>
      </c>
      <c r="AZ164" s="61" t="str">
        <f>IFERROR(__xludf.DUMMYFUNCTION("vlookup(BB164,importrange(""https://docs.google.com/spreadsheets/d/1d2vevQ_7D_v35q4wCQ4RpQ_IPoTwEMB9Yp6ymwlPqew/edit?gid=984458430#gid=984458430"", ""'replication success'!A:M""), 12, FAlSE)"),"#N/A")</f>
        <v>#N/A</v>
      </c>
      <c r="BA164" s="61" t="str">
        <f>IFERROR(__xludf.DUMMYFUNCTION("vlookup(BB164,importrange(""https://docs.google.com/spreadsheets/d/1d2vevQ_7D_v35q4wCQ4RpQ_IPoTwEMB9Yp6ymwlPqew/edit?gid=984458430#gid=984458430"", ""'replication success'!A:M""), 13, FAlSE)"),"#N/A")</f>
        <v>#N/A</v>
      </c>
      <c r="BB164" s="61" t="str">
        <f>IFERROR(__xludf.DUMMYFUNCTION("REGEXREPLACE(G164, ""_[a-z]{1,2}$"", """")"),"additional_studies28")</f>
        <v>additional_studies28</v>
      </c>
      <c r="BC164" s="61"/>
      <c r="BD164" s="365"/>
    </row>
    <row r="165" ht="20.25" customHeight="1">
      <c r="A165" s="44">
        <v>165.0</v>
      </c>
      <c r="B165" s="148" t="s">
        <v>285</v>
      </c>
      <c r="C165" s="148" t="s">
        <v>115</v>
      </c>
      <c r="D165" s="421" t="s">
        <v>442</v>
      </c>
      <c r="E165" s="365"/>
      <c r="F165" s="436" t="s">
        <v>1015</v>
      </c>
      <c r="G165" s="423" t="s">
        <v>1043</v>
      </c>
      <c r="H165" s="423" t="s">
        <v>445</v>
      </c>
      <c r="I165" s="424">
        <v>45635.0</v>
      </c>
      <c r="J165" s="426"/>
      <c r="K165" s="423" t="s">
        <v>1044</v>
      </c>
      <c r="L165" s="426"/>
      <c r="M165" s="423" t="s">
        <v>1017</v>
      </c>
      <c r="N165" s="423" t="s">
        <v>1018</v>
      </c>
      <c r="O165" s="426"/>
      <c r="P165" s="427" t="s">
        <v>1019</v>
      </c>
      <c r="Q165" s="52" t="str">
        <f t="array" ref="Q165"> if(iserror(MATCH(V165, 'File Links'!C:C, 0)), "N/A", HYPERLINK(INDEX('File Links'!B:B, MATCH(P165, 'File Links'!C:C, 0))))</f>
        <v>https://drive.google.com/file/d/1DrC4ktWX9HamK4DWq_tF1P_2alxXHAnN/view?usp=drivesdk</v>
      </c>
      <c r="R165" s="423" t="s">
        <v>1020</v>
      </c>
      <c r="S165" s="442" t="s">
        <v>1021</v>
      </c>
      <c r="T165" s="426"/>
      <c r="U165" s="428"/>
      <c r="V165" s="66" t="str">
        <f> hyperlink(vlookup(lower(S165),'File Links'!E:F, 2, FALSE), SUBSTITUTE(lower(S165), "/", "--") &amp;  ".pdf")</f>
        <v>10.1016--j.drugalcdep.2024.111323.pdf</v>
      </c>
      <c r="W165" s="423" t="s">
        <v>164</v>
      </c>
      <c r="X165" s="54" t="str">
        <f t="array" ref="X165"> if(iserror(MATCH(V165, 'File Links'!C:C, 0)), "N/A", HYPERLINK(INDEX('File Links'!B:B, MATCH(V165, 'File Links'!C:C, 0))))</f>
        <v>https://drive.google.com/file/d/1hw6VxSN8dF8WIp6LhbqOOmsEo0dTvdbu/view?usp=drivesdk</v>
      </c>
      <c r="Y165" s="426"/>
      <c r="Z165" s="423" t="s">
        <v>503</v>
      </c>
      <c r="AA165" s="426"/>
      <c r="AB165" s="423" t="s">
        <v>1022</v>
      </c>
      <c r="AC165" s="448" t="s">
        <v>1023</v>
      </c>
      <c r="AD165" s="426"/>
      <c r="AE165" s="426"/>
      <c r="AF165" s="429">
        <v>63.0</v>
      </c>
      <c r="AG165" s="446">
        <v>0.19</v>
      </c>
      <c r="AH165" s="427" t="s">
        <v>361</v>
      </c>
      <c r="AI165" s="430" t="s">
        <v>1042</v>
      </c>
      <c r="AJ165" s="446">
        <v>0.26</v>
      </c>
      <c r="AK165" s="422" t="s">
        <v>172</v>
      </c>
      <c r="AL165" s="423" t="s">
        <v>186</v>
      </c>
      <c r="AM165" s="423" t="s">
        <v>137</v>
      </c>
      <c r="AN165" s="114" t="s">
        <v>138</v>
      </c>
      <c r="AO165" s="429">
        <v>61.0</v>
      </c>
      <c r="AP165" s="449">
        <v>-0.03</v>
      </c>
      <c r="AQ165" s="423" t="s">
        <v>361</v>
      </c>
      <c r="AR165" s="423" t="s">
        <v>1042</v>
      </c>
      <c r="AS165" s="429">
        <v>0.8</v>
      </c>
      <c r="AT165" s="422" t="s">
        <v>172</v>
      </c>
      <c r="AU165" s="422" t="s">
        <v>186</v>
      </c>
      <c r="AV165" s="422" t="s">
        <v>137</v>
      </c>
      <c r="AW165" s="444" t="s">
        <v>1025</v>
      </c>
      <c r="AX165" s="433" t="s">
        <v>438</v>
      </c>
      <c r="AY165" s="61" t="str">
        <f>IFERROR(__xludf.DUMMYFUNCTION("vlookup(BB165,importrange(""https://docs.google.com/spreadsheets/d/1d2vevQ_7D_v35q4wCQ4RpQ_IPoTwEMB9Yp6ymwlPqew/edit?gid=984458430#gid=984458430"", ""'replication success'!A:K""), 11, FAlSE)"),"#N/A")</f>
        <v>#N/A</v>
      </c>
      <c r="AZ165" s="61" t="str">
        <f>IFERROR(__xludf.DUMMYFUNCTION("vlookup(BB165,importrange(""https://docs.google.com/spreadsheets/d/1d2vevQ_7D_v35q4wCQ4RpQ_IPoTwEMB9Yp6ymwlPqew/edit?gid=984458430#gid=984458430"", ""'replication success'!A:M""), 12, FAlSE)"),"#N/A")</f>
        <v>#N/A</v>
      </c>
      <c r="BA165" s="61" t="str">
        <f>IFERROR(__xludf.DUMMYFUNCTION("vlookup(BB165,importrange(""https://docs.google.com/spreadsheets/d/1d2vevQ_7D_v35q4wCQ4RpQ_IPoTwEMB9Yp6ymwlPqew/edit?gid=984458430#gid=984458430"", ""'replication success'!A:M""), 13, FAlSE)"),"#N/A")</f>
        <v>#N/A</v>
      </c>
      <c r="BB165" s="61" t="str">
        <f>IFERROR(__xludf.DUMMYFUNCTION("REGEXREPLACE(G165, ""_[a-z]{1,2}$"", """")"),"additional_studies28")</f>
        <v>additional_studies28</v>
      </c>
      <c r="BC165" s="61"/>
      <c r="BD165" s="365"/>
    </row>
    <row r="166" ht="20.25" customHeight="1">
      <c r="A166" s="44">
        <v>166.0</v>
      </c>
      <c r="B166" s="148" t="s">
        <v>285</v>
      </c>
      <c r="C166" s="148" t="s">
        <v>115</v>
      </c>
      <c r="D166" s="421" t="s">
        <v>442</v>
      </c>
      <c r="E166" s="365"/>
      <c r="F166" s="436" t="s">
        <v>1015</v>
      </c>
      <c r="G166" s="423" t="s">
        <v>1045</v>
      </c>
      <c r="H166" s="423" t="s">
        <v>445</v>
      </c>
      <c r="I166" s="424">
        <v>45635.0</v>
      </c>
      <c r="J166" s="426"/>
      <c r="K166" s="423" t="s">
        <v>1046</v>
      </c>
      <c r="L166" s="426"/>
      <c r="M166" s="423" t="s">
        <v>1017</v>
      </c>
      <c r="N166" s="423" t="s">
        <v>1018</v>
      </c>
      <c r="O166" s="426"/>
      <c r="P166" s="427" t="s">
        <v>1019</v>
      </c>
      <c r="Q166" s="52" t="str">
        <f t="array" ref="Q166"> if(iserror(MATCH(V166, 'File Links'!C:C, 0)), "N/A", HYPERLINK(INDEX('File Links'!B:B, MATCH(P166, 'File Links'!C:C, 0))))</f>
        <v>https://drive.google.com/file/d/1DrC4ktWX9HamK4DWq_tF1P_2alxXHAnN/view?usp=drivesdk</v>
      </c>
      <c r="R166" s="423" t="s">
        <v>1020</v>
      </c>
      <c r="S166" s="442" t="s">
        <v>1021</v>
      </c>
      <c r="T166" s="426"/>
      <c r="U166" s="428"/>
      <c r="V166" s="66" t="str">
        <f> hyperlink(vlookup(lower(S166),'File Links'!E:F, 2, FALSE), SUBSTITUTE(lower(S166), "/", "--") &amp;  ".pdf")</f>
        <v>10.1016--j.drugalcdep.2024.111323.pdf</v>
      </c>
      <c r="W166" s="423" t="s">
        <v>164</v>
      </c>
      <c r="X166" s="54" t="str">
        <f t="array" ref="X166"> if(iserror(MATCH(V166, 'File Links'!C:C, 0)), "N/A", HYPERLINK(INDEX('File Links'!B:B, MATCH(V166, 'File Links'!C:C, 0))))</f>
        <v>https://drive.google.com/file/d/1hw6VxSN8dF8WIp6LhbqOOmsEo0dTvdbu/view?usp=drivesdk</v>
      </c>
      <c r="Y166" s="426"/>
      <c r="Z166" s="423" t="s">
        <v>503</v>
      </c>
      <c r="AA166" s="426"/>
      <c r="AB166" s="423" t="s">
        <v>1022</v>
      </c>
      <c r="AC166" s="448" t="s">
        <v>1023</v>
      </c>
      <c r="AD166" s="426"/>
      <c r="AE166" s="426"/>
      <c r="AF166" s="429">
        <v>63.0</v>
      </c>
      <c r="AG166" s="446" t="s">
        <v>1047</v>
      </c>
      <c r="AH166" s="427" t="s">
        <v>361</v>
      </c>
      <c r="AI166" s="430" t="s">
        <v>1042</v>
      </c>
      <c r="AJ166" s="446">
        <v>0.83</v>
      </c>
      <c r="AK166" s="422" t="s">
        <v>172</v>
      </c>
      <c r="AL166" s="423" t="s">
        <v>186</v>
      </c>
      <c r="AM166" s="423" t="s">
        <v>137</v>
      </c>
      <c r="AN166" s="114" t="s">
        <v>138</v>
      </c>
      <c r="AO166" s="429">
        <v>61.0</v>
      </c>
      <c r="AP166" s="446">
        <v>0.1</v>
      </c>
      <c r="AQ166" s="447" t="s">
        <v>361</v>
      </c>
      <c r="AR166" s="423" t="s">
        <v>1042</v>
      </c>
      <c r="AS166" s="446">
        <v>0.41</v>
      </c>
      <c r="AT166" s="422" t="s">
        <v>172</v>
      </c>
      <c r="AU166" s="422" t="s">
        <v>186</v>
      </c>
      <c r="AV166" s="422" t="s">
        <v>137</v>
      </c>
      <c r="AW166" s="444" t="s">
        <v>1025</v>
      </c>
      <c r="AX166" s="433" t="s">
        <v>438</v>
      </c>
      <c r="AY166" s="61" t="str">
        <f>IFERROR(__xludf.DUMMYFUNCTION("vlookup(BB166,importrange(""https://docs.google.com/spreadsheets/d/1d2vevQ_7D_v35q4wCQ4RpQ_IPoTwEMB9Yp6ymwlPqew/edit?gid=984458430#gid=984458430"", ""'replication success'!A:K""), 11, FAlSE)"),"#N/A")</f>
        <v>#N/A</v>
      </c>
      <c r="AZ166" s="61" t="str">
        <f>IFERROR(__xludf.DUMMYFUNCTION("vlookup(BB166,importrange(""https://docs.google.com/spreadsheets/d/1d2vevQ_7D_v35q4wCQ4RpQ_IPoTwEMB9Yp6ymwlPqew/edit?gid=984458430#gid=984458430"", ""'replication success'!A:M""), 12, FAlSE)"),"#N/A")</f>
        <v>#N/A</v>
      </c>
      <c r="BA166" s="61" t="str">
        <f>IFERROR(__xludf.DUMMYFUNCTION("vlookup(BB166,importrange(""https://docs.google.com/spreadsheets/d/1d2vevQ_7D_v35q4wCQ4RpQ_IPoTwEMB9Yp6ymwlPqew/edit?gid=984458430#gid=984458430"", ""'replication success'!A:M""), 13, FAlSE)"),"#N/A")</f>
        <v>#N/A</v>
      </c>
      <c r="BB166" s="61" t="str">
        <f>IFERROR(__xludf.DUMMYFUNCTION("REGEXREPLACE(G166, ""_[a-z]{1,2}$"", """")"),"additional_studies28")</f>
        <v>additional_studies28</v>
      </c>
      <c r="BC166" s="61"/>
      <c r="BD166" s="365"/>
    </row>
    <row r="167" ht="20.25" customHeight="1">
      <c r="A167" s="44">
        <v>167.0</v>
      </c>
      <c r="B167" s="450" t="s">
        <v>114</v>
      </c>
      <c r="C167" s="450" t="s">
        <v>115</v>
      </c>
      <c r="D167" s="450" t="s">
        <v>753</v>
      </c>
      <c r="E167" s="451"/>
      <c r="F167" s="199" t="s">
        <v>1048</v>
      </c>
      <c r="G167" s="450" t="s">
        <v>1049</v>
      </c>
      <c r="H167" s="450" t="s">
        <v>753</v>
      </c>
      <c r="I167" s="452">
        <v>45427.0</v>
      </c>
      <c r="J167" s="144">
        <v>45670.0</v>
      </c>
      <c r="K167" s="110"/>
      <c r="L167" s="361" t="s">
        <v>1050</v>
      </c>
      <c r="M167" s="109" t="s">
        <v>1051</v>
      </c>
      <c r="N167" s="109" t="s">
        <v>1052</v>
      </c>
      <c r="O167" s="110"/>
      <c r="P167" s="146" t="str">
        <f> hyperlink(vlookup(lower(N167),'File Links'!A:B, 2, FALSE), SUBSTITUTE(lower(N167), "/", "--") &amp;  ".pdf")</f>
        <v>10.1002--jeab.432.pdf</v>
      </c>
      <c r="Q167" s="52" t="str">
        <f t="array" ref="Q167"> if(iserror(MATCH(V167, 'File Links'!C:C, 0)), "N/A", HYPERLINK(INDEX('File Links'!B:B, MATCH(P167, 'File Links'!C:C, 0))))</f>
        <v>https://drive.google.com/file/d/1oqwZUfEfzfjGZaYk1A2E8B-PU-AQ6SKz/view?usp=drivesdk</v>
      </c>
      <c r="R167" s="453" t="s">
        <v>1053</v>
      </c>
      <c r="S167" s="114" t="s">
        <v>1054</v>
      </c>
      <c r="T167" s="110"/>
      <c r="U167" s="110"/>
      <c r="V167" s="66" t="str">
        <f> hyperlink(vlookup(lower(S167),'File Links'!E:F, 2, FALSE), SUBSTITUTE(lower(S167), "/", "--") &amp;  ".pdf")</f>
        <v>10.1007--s40732-024-00597-x.pdf</v>
      </c>
      <c r="W167" s="114" t="s">
        <v>1055</v>
      </c>
      <c r="X167" s="54" t="str">
        <f t="array" ref="X167"> if(iserror(MATCH(V167, 'File Links'!C:C, 0)), "N/A", HYPERLINK(INDEX('File Links'!B:B, MATCH(V167, 'File Links'!C:C, 0))))</f>
        <v>https://drive.google.com/file/d/1BuhIf3isP0KQXBW8CveCqOhEBWMkWgvl/view?usp=drivesdk</v>
      </c>
      <c r="Y167" s="110"/>
      <c r="Z167" s="109" t="s">
        <v>947</v>
      </c>
      <c r="AA167" s="110"/>
      <c r="AB167" s="110"/>
      <c r="AC167" s="109" t="s">
        <v>1056</v>
      </c>
      <c r="AD167" s="110"/>
      <c r="AE167" s="110"/>
      <c r="AF167" s="110"/>
      <c r="AG167" s="110"/>
      <c r="AH167" s="110"/>
      <c r="AI167" s="110"/>
      <c r="AJ167" s="109"/>
      <c r="AK167" s="110"/>
      <c r="AL167" s="110"/>
      <c r="AM167" s="71"/>
      <c r="AN167" s="114" t="s">
        <v>138</v>
      </c>
      <c r="AO167" s="110"/>
      <c r="AP167" s="110"/>
      <c r="AQ167" s="110"/>
      <c r="AR167" s="110"/>
      <c r="AS167" s="110"/>
      <c r="AT167" s="110"/>
      <c r="AU167" s="110"/>
      <c r="AV167" s="71"/>
      <c r="AW167" s="71"/>
      <c r="AX167" s="111"/>
      <c r="AY167" s="61" t="str">
        <f>IFERROR(__xludf.DUMMYFUNCTION("vlookup(BB167,importrange(""https://docs.google.com/spreadsheets/d/1d2vevQ_7D_v35q4wCQ4RpQ_IPoTwEMB9Yp6ymwlPqew/edit?gid=984458430#gid=984458430"", ""'replication success'!A:K""), 11, FAlSE)"),"successful")</f>
        <v>successful</v>
      </c>
      <c r="AZ167" s="61" t="str">
        <f>IFERROR(__xludf.DUMMYFUNCTION("vlookup(BB167,importrange(""https://docs.google.com/spreadsheets/d/1d2vevQ_7D_v35q4wCQ4RpQ_IPoTwEMB9Yp6ymwlPqew/edit?gid=984458430#gid=984458430"", ""'replication success'!A:M""), 12, FAlSE)"),"These findings are consistent with previous work and have implications for understanding how experience-based interventions may affect clinically relevant impulsive choice.")</f>
        <v>These findings are consistent with previous work and have implications for understanding how experience-based interventions may affect clinically relevant impulsive choice.</v>
      </c>
      <c r="BA167" s="61" t="str">
        <f>IFERROR(__xludf.DUMMYFUNCTION("vlookup(BB167,importrange(""https://docs.google.com/spreadsheets/d/1d2vevQ_7D_v35q4wCQ4RpQ_IPoTwEMB9Yp6ymwlPqew/edit?gid=984458430#gid=984458430"", ""'replication success'!A:M""), 13, FAlSE)"),"abstract")</f>
        <v>abstract</v>
      </c>
      <c r="BB167" s="61" t="str">
        <f>IFERROR(__xludf.DUMMYFUNCTION("REGEXREPLACE(G167, ""_[a-z]{1,2}$"", """")"),"additional_studies29")</f>
        <v>additional_studies29</v>
      </c>
      <c r="BC167" s="45" t="s">
        <v>1050</v>
      </c>
      <c r="BD167" s="149" t="s">
        <v>144</v>
      </c>
    </row>
    <row r="168" ht="20.25" customHeight="1">
      <c r="A168" s="44">
        <v>168.0</v>
      </c>
      <c r="B168" s="199" t="s">
        <v>152</v>
      </c>
      <c r="C168" s="199" t="s">
        <v>115</v>
      </c>
      <c r="D168" s="199" t="s">
        <v>248</v>
      </c>
      <c r="E168" s="200"/>
      <c r="F168" s="204" t="s">
        <v>1048</v>
      </c>
      <c r="G168" s="454" t="s">
        <v>1049</v>
      </c>
      <c r="H168" s="454" t="s">
        <v>249</v>
      </c>
      <c r="I168" s="455">
        <v>45644.0</v>
      </c>
      <c r="J168" s="144">
        <v>45670.0</v>
      </c>
      <c r="K168" s="114"/>
      <c r="L168" s="212" t="s">
        <v>1057</v>
      </c>
      <c r="M168" s="193" t="s">
        <v>1051</v>
      </c>
      <c r="N168" s="193" t="s">
        <v>1052</v>
      </c>
      <c r="O168" s="374">
        <v>1.0</v>
      </c>
      <c r="P168" s="456" t="str">
        <f> hyperlink(vlookup(lower(N168),'File Links'!E:F, 2, FALSE), SUBSTITUTE(lower(N168), "/", "--") &amp;  ".pdf")</f>
        <v>10.1002--jeab.432.pdf</v>
      </c>
      <c r="Q168" s="52" t="str">
        <f t="array" ref="Q168"> if(iserror(MATCH(V168, 'File Links'!C:C, 0)), "N/A", HYPERLINK(INDEX('File Links'!B:B, MATCH(P168, 'File Links'!C:C, 0))))</f>
        <v>https://drive.google.com/file/d/1oqwZUfEfzfjGZaYk1A2E8B-PU-AQ6SKz/view?usp=drivesdk</v>
      </c>
      <c r="R168" s="457" t="s">
        <v>1058</v>
      </c>
      <c r="S168" s="193" t="s">
        <v>1054</v>
      </c>
      <c r="T168" s="193"/>
      <c r="U168" s="133">
        <v>1.0</v>
      </c>
      <c r="V168" s="66" t="str">
        <f> hyperlink(vlookup(lower(S168),'File Links'!E:F, 2, FALSE), SUBSTITUTE(lower(S168), "/", "--") &amp;  ".pdf")</f>
        <v>10.1007--s40732-024-00597-x.pdf</v>
      </c>
      <c r="W168" s="193" t="s">
        <v>1055</v>
      </c>
      <c r="X168" s="54" t="str">
        <f t="array" ref="X168"> if(iserror(MATCH(V168, 'File Links'!C:C, 0)), "N/A", HYPERLINK(INDEX('File Links'!B:B, MATCH(V168, 'File Links'!C:C, 0))))</f>
        <v>https://drive.google.com/file/d/1BuhIf3isP0KQXBW8CveCqOhEBWMkWgvl/view?usp=drivesdk</v>
      </c>
      <c r="Y168" s="193"/>
      <c r="Z168" s="368" t="s">
        <v>947</v>
      </c>
      <c r="AA168" s="193"/>
      <c r="AB168" s="193" t="s">
        <v>1059</v>
      </c>
      <c r="AC168" s="368" t="s">
        <v>1056</v>
      </c>
      <c r="AD168" s="458" t="s">
        <v>1060</v>
      </c>
      <c r="AE168" s="459">
        <v>8.0</v>
      </c>
      <c r="AF168" s="147">
        <v>34.0</v>
      </c>
      <c r="AG168" s="460" t="s">
        <v>1061</v>
      </c>
      <c r="AH168" s="461" t="s">
        <v>134</v>
      </c>
      <c r="AI168" s="462" t="s">
        <v>1062</v>
      </c>
      <c r="AJ168" s="109">
        <v>0.005</v>
      </c>
      <c r="AK168" s="111" t="s">
        <v>172</v>
      </c>
      <c r="AL168" s="114" t="s">
        <v>186</v>
      </c>
      <c r="AM168" s="193" t="s">
        <v>137</v>
      </c>
      <c r="AN168" s="114" t="s">
        <v>138</v>
      </c>
      <c r="AO168" s="463">
        <v>48.0</v>
      </c>
      <c r="AP168" s="464" t="s">
        <v>1063</v>
      </c>
      <c r="AQ168" s="465" t="s">
        <v>134</v>
      </c>
      <c r="AR168" s="462" t="s">
        <v>1064</v>
      </c>
      <c r="AS168" s="466">
        <v>0.04</v>
      </c>
      <c r="AT168" s="204" t="s">
        <v>172</v>
      </c>
      <c r="AU168" s="204" t="s">
        <v>186</v>
      </c>
      <c r="AV168" s="204" t="s">
        <v>137</v>
      </c>
      <c r="AW168" s="204" t="s">
        <v>138</v>
      </c>
      <c r="AX168" s="204" t="s">
        <v>151</v>
      </c>
      <c r="AY168" s="61" t="str">
        <f>IFERROR(__xludf.DUMMYFUNCTION("vlookup(BB168,importrange(""https://docs.google.com/spreadsheets/d/1d2vevQ_7D_v35q4wCQ4RpQ_IPoTwEMB9Yp6ymwlPqew/edit?gid=984458430#gid=984458430"", ""'replication success'!A:K""), 11, FAlSE)"),"successful")</f>
        <v>successful</v>
      </c>
      <c r="AZ168" s="61" t="str">
        <f>IFERROR(__xludf.DUMMYFUNCTION("vlookup(BB168,importrange(""https://docs.google.com/spreadsheets/d/1d2vevQ_7D_v35q4wCQ4RpQ_IPoTwEMB9Yp6ymwlPqew/edit?gid=984458430#gid=984458430"", ""'replication success'!A:M""), 12, FAlSE)"),"These findings are consistent with previous work and have implications for understanding how experience-based interventions may affect clinically relevant impulsive choice.")</f>
        <v>These findings are consistent with previous work and have implications for understanding how experience-based interventions may affect clinically relevant impulsive choice.</v>
      </c>
      <c r="BA168" s="61" t="str">
        <f>IFERROR(__xludf.DUMMYFUNCTION("vlookup(BB168,importrange(""https://docs.google.com/spreadsheets/d/1d2vevQ_7D_v35q4wCQ4RpQ_IPoTwEMB9Yp6ymwlPqew/edit?gid=984458430#gid=984458430"", ""'replication success'!A:M""), 13, FAlSE)"),"abstract")</f>
        <v>abstract</v>
      </c>
      <c r="BB168" s="61" t="str">
        <f>IFERROR(__xludf.DUMMYFUNCTION("REGEXREPLACE(G168, ""_[a-z]{1,2}$"", """")"),"additional_studies29")</f>
        <v>additional_studies29</v>
      </c>
      <c r="BC168" s="129" t="s">
        <v>1065</v>
      </c>
      <c r="BD168" s="149" t="s">
        <v>144</v>
      </c>
    </row>
    <row r="169" ht="20.25" customHeight="1">
      <c r="A169" s="44">
        <v>169.0</v>
      </c>
      <c r="B169" s="62" t="s">
        <v>285</v>
      </c>
      <c r="C169" s="62" t="s">
        <v>115</v>
      </c>
      <c r="D169" s="62" t="s">
        <v>286</v>
      </c>
      <c r="F169" s="155" t="s">
        <v>1048</v>
      </c>
      <c r="G169" s="151" t="s">
        <v>1049</v>
      </c>
      <c r="H169" s="151" t="s">
        <v>289</v>
      </c>
      <c r="I169" s="153">
        <v>45427.0</v>
      </c>
      <c r="J169" s="153">
        <v>45684.0</v>
      </c>
      <c r="K169" s="129" t="s">
        <v>1066</v>
      </c>
      <c r="L169" s="68"/>
      <c r="M169" s="155" t="s">
        <v>1051</v>
      </c>
      <c r="N169" s="155" t="s">
        <v>1052</v>
      </c>
      <c r="O169" s="156"/>
      <c r="P169" s="309" t="s">
        <v>1067</v>
      </c>
      <c r="Q169" s="52" t="str">
        <f t="array" ref="Q169"> if(iserror(MATCH(V169, 'File Links'!C:C, 0)), "N/A", HYPERLINK(INDEX('File Links'!B:B, MATCH(P169, 'File Links'!C:C, 0))))</f>
        <v>https://drive.google.com/file/d/1oqwZUfEfzfjGZaYk1A2E8B-PU-AQ6SKz/view?usp=drivesdk</v>
      </c>
      <c r="R169" s="129" t="s">
        <v>1068</v>
      </c>
      <c r="S169" s="193" t="s">
        <v>1054</v>
      </c>
      <c r="T169" s="68"/>
      <c r="U169" s="378"/>
      <c r="V169" s="66" t="str">
        <f> hyperlink(vlookup(lower(S169),'File Links'!E:F, 2, FALSE), SUBSTITUTE(lower(S169), "/", "--") &amp;  ".pdf")</f>
        <v>10.1007--s40732-024-00597-x.pdf</v>
      </c>
      <c r="W169" s="129" t="s">
        <v>1069</v>
      </c>
      <c r="X169" s="54" t="str">
        <f t="array" ref="X169"> if(iserror(MATCH(V169, 'File Links'!C:C, 0)), "N/A", HYPERLINK(INDEX('File Links'!B:B, MATCH(V169, 'File Links'!C:C, 0))))</f>
        <v>https://drive.google.com/file/d/1BuhIf3isP0KQXBW8CveCqOhEBWMkWgvl/view?usp=drivesdk</v>
      </c>
      <c r="Z169" s="151" t="s">
        <v>838</v>
      </c>
      <c r="AA169" s="68"/>
      <c r="AB169" s="68"/>
      <c r="AC169" s="68"/>
      <c r="AD169" s="158"/>
      <c r="AE169" s="156"/>
      <c r="AF169" s="156"/>
      <c r="AG169" s="156"/>
      <c r="AH169" s="159"/>
      <c r="AI169" s="68"/>
      <c r="AJ169" s="160"/>
      <c r="AK169" s="57"/>
      <c r="AL169" s="57"/>
      <c r="AM169" s="68"/>
      <c r="AN169" s="114" t="s">
        <v>138</v>
      </c>
      <c r="AO169" s="156"/>
      <c r="AP169" s="156"/>
      <c r="AQ169" s="159"/>
      <c r="AR169" s="68"/>
      <c r="AS169" s="162"/>
      <c r="AT169" s="159"/>
      <c r="AU169" s="159"/>
      <c r="AV169" s="68"/>
      <c r="AW169" s="310"/>
      <c r="AX169" s="68"/>
      <c r="AY169" s="61" t="str">
        <f>IFERROR(__xludf.DUMMYFUNCTION("vlookup(BB169,importrange(""https://docs.google.com/spreadsheets/d/1d2vevQ_7D_v35q4wCQ4RpQ_IPoTwEMB9Yp6ymwlPqew/edit?gid=984458430#gid=984458430"", ""'replication success'!A:K""), 11, FAlSE)"),"successful")</f>
        <v>successful</v>
      </c>
      <c r="AZ169" s="61" t="str">
        <f>IFERROR(__xludf.DUMMYFUNCTION("vlookup(BB169,importrange(""https://docs.google.com/spreadsheets/d/1d2vevQ_7D_v35q4wCQ4RpQ_IPoTwEMB9Yp6ymwlPqew/edit?gid=984458430#gid=984458430"", ""'replication success'!A:M""), 12, FAlSE)"),"These findings are consistent with previous work and have implications for understanding how experience-based interventions may affect clinically relevant impulsive choice.")</f>
        <v>These findings are consistent with previous work and have implications for understanding how experience-based interventions may affect clinically relevant impulsive choice.</v>
      </c>
      <c r="BA169" s="61" t="str">
        <f>IFERROR(__xludf.DUMMYFUNCTION("vlookup(BB169,importrange(""https://docs.google.com/spreadsheets/d/1d2vevQ_7D_v35q4wCQ4RpQ_IPoTwEMB9Yp6ymwlPqew/edit?gid=984458430#gid=984458430"", ""'replication success'!A:M""), 13, FAlSE)"),"abstract")</f>
        <v>abstract</v>
      </c>
      <c r="BB169" s="61" t="str">
        <f>IFERROR(__xludf.DUMMYFUNCTION("REGEXREPLACE(G169, ""_[a-z]{1,2}$"", """")"),"additional_studies29")</f>
        <v>additional_studies29</v>
      </c>
    </row>
    <row r="170" ht="20.25" customHeight="1">
      <c r="A170" s="44">
        <v>170.0</v>
      </c>
      <c r="B170" s="467" t="s">
        <v>152</v>
      </c>
      <c r="C170" s="467" t="s">
        <v>115</v>
      </c>
      <c r="D170" s="467" t="s">
        <v>346</v>
      </c>
      <c r="E170" s="468"/>
      <c r="F170" s="469" t="s">
        <v>1070</v>
      </c>
      <c r="G170" s="470" t="s">
        <v>1071</v>
      </c>
      <c r="H170" s="470" t="s">
        <v>349</v>
      </c>
      <c r="I170" s="471">
        <v>45427.0</v>
      </c>
      <c r="J170" s="472">
        <v>45786.0</v>
      </c>
      <c r="K170" s="473" t="s">
        <v>1072</v>
      </c>
      <c r="L170" s="474" t="s">
        <v>1073</v>
      </c>
      <c r="M170" s="470" t="s">
        <v>1074</v>
      </c>
      <c r="N170" s="473" t="s">
        <v>1075</v>
      </c>
      <c r="O170" s="371">
        <v>1.0</v>
      </c>
      <c r="P170" s="475" t="s">
        <v>1076</v>
      </c>
      <c r="Q170" s="52" t="str">
        <f t="array" ref="Q170"> if(iserror(MATCH(V170, 'File Links'!C:C, 0)), "N/A", HYPERLINK(INDEX('File Links'!B:B, MATCH(P170, 'File Links'!C:C, 0))))</f>
        <v>https://drive.google.com/file/d/1GCYFeLrlGpCBF1GyjSAAd1YFst71bifH/view?usp=drivesdk</v>
      </c>
      <c r="R170" s="470" t="s">
        <v>1077</v>
      </c>
      <c r="S170" s="470" t="s">
        <v>1078</v>
      </c>
      <c r="T170" s="476"/>
      <c r="U170" s="474">
        <v>1.0</v>
      </c>
      <c r="V170" s="477" t="str">
        <f> hyperlink(vlookup(lower(S170),'File Links'!E:F, 2, FALSE), SUBSTITUTE(lower(S170), "/", "--") &amp;  ".pdf")</f>
        <v>10.1016--j.paid.2024.112692.pdf</v>
      </c>
      <c r="W170" s="470" t="s">
        <v>607</v>
      </c>
      <c r="X170" s="54" t="str">
        <f t="array" ref="X170"> if(iserror(MATCH(V170, 'File Links'!C:C, 0)), "N/A", HYPERLINK(INDEX('File Links'!B:B, MATCH(V170, 'File Links'!C:C, 0))))</f>
        <v>https://drive.google.com/file/d/1maMe58N1aLmqdBUtveOinCFDUWOh5rcE/view?usp=drivesdk</v>
      </c>
      <c r="Y170" s="476"/>
      <c r="Z170" s="470" t="s">
        <v>1079</v>
      </c>
      <c r="AA170" s="380" t="s">
        <v>1080</v>
      </c>
      <c r="AB170" s="473" t="s">
        <v>1081</v>
      </c>
      <c r="AC170" s="473" t="s">
        <v>1082</v>
      </c>
      <c r="AD170" s="478" t="s">
        <v>1083</v>
      </c>
      <c r="AE170" s="479">
        <v>5.0</v>
      </c>
      <c r="AF170" s="479">
        <v>2428.0</v>
      </c>
      <c r="AG170" s="480" t="s">
        <v>1084</v>
      </c>
      <c r="AH170" s="475" t="s">
        <v>134</v>
      </c>
      <c r="AI170" s="470" t="s">
        <v>813</v>
      </c>
      <c r="AJ170" s="479">
        <v>0.001</v>
      </c>
      <c r="AK170" s="469" t="s">
        <v>135</v>
      </c>
      <c r="AL170" s="470" t="s">
        <v>186</v>
      </c>
      <c r="AM170" s="474" t="s">
        <v>141</v>
      </c>
      <c r="AN170" s="470" t="s">
        <v>138</v>
      </c>
      <c r="AO170" s="479">
        <v>3906.0</v>
      </c>
      <c r="AP170" s="151" t="s">
        <v>1085</v>
      </c>
      <c r="AQ170" s="470" t="s">
        <v>134</v>
      </c>
      <c r="AR170" s="481" t="s">
        <v>217</v>
      </c>
      <c r="AS170" s="479">
        <v>0.001</v>
      </c>
      <c r="AT170" s="469" t="s">
        <v>135</v>
      </c>
      <c r="AU170" s="469" t="s">
        <v>186</v>
      </c>
      <c r="AV170" s="371" t="s">
        <v>141</v>
      </c>
      <c r="AW170" s="469" t="s">
        <v>138</v>
      </c>
      <c r="AX170" s="482" t="s">
        <v>143</v>
      </c>
      <c r="AY170" s="61" t="str">
        <f>IFERROR(__xludf.DUMMYFUNCTION("vlookup(BB170,importrange(""https://docs.google.com/spreadsheets/d/1d2vevQ_7D_v35q4wCQ4RpQ_IPoTwEMB9Yp6ymwlPqew/edit?gid=984458430#gid=984458430"", ""'replication success'!A:K""), 11, FAlSE)"),"successful")</f>
        <v>successful</v>
      </c>
      <c r="AZ170" s="61" t="str">
        <f>IFERROR(__xludf.DUMMYFUNCTION("vlookup(BB170,importrange(""https://docs.google.com/spreadsheets/d/1d2vevQ_7D_v35q4wCQ4RpQ_IPoTwEMB9Yp6ymwlPqew/edit?gid=984458430#gid=984458430"",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0" s="61" t="str">
        <f>IFERROR(__xludf.DUMMYFUNCTION("vlookup(BB170,importrange(""https://docs.google.com/spreadsheets/d/1d2vevQ_7D_v35q4wCQ4RpQ_IPoTwEMB9Yp6ymwlPqew/edit?gid=984458430#gid=984458430"", ""'replication success'!A:M""), 13, FAlSE)"),"abstract")</f>
        <v>abstract</v>
      </c>
      <c r="BB170" s="61" t="str">
        <f>IFERROR(__xludf.DUMMYFUNCTION("REGEXREPLACE(G170, ""_[a-z]{1,2}$"", """")"),"additional_studies3")</f>
        <v>additional_studies3</v>
      </c>
      <c r="BC170" s="476"/>
      <c r="BD170" s="467" t="s">
        <v>814</v>
      </c>
      <c r="BE170" s="468"/>
      <c r="BF170" s="468"/>
      <c r="BG170" s="468"/>
      <c r="BH170" s="468"/>
      <c r="BI170" s="468"/>
      <c r="BJ170" s="468"/>
      <c r="BK170" s="468"/>
      <c r="BL170" s="468"/>
      <c r="BM170" s="468"/>
      <c r="BN170" s="468"/>
      <c r="BO170" s="468"/>
      <c r="BP170" s="468"/>
      <c r="BQ170" s="468"/>
      <c r="BR170" s="468"/>
      <c r="BS170" s="468"/>
      <c r="BT170" s="468"/>
      <c r="BU170" s="468"/>
      <c r="BV170" s="468"/>
      <c r="BW170" s="468"/>
      <c r="BX170" s="468"/>
      <c r="BY170" s="468"/>
      <c r="BZ170" s="468"/>
      <c r="CA170" s="468"/>
      <c r="CB170" s="468"/>
      <c r="CC170" s="468"/>
      <c r="CD170" s="468"/>
      <c r="CE170" s="468"/>
      <c r="CF170" s="468"/>
      <c r="CG170" s="468"/>
      <c r="CH170" s="468"/>
      <c r="CI170" s="468"/>
      <c r="CJ170" s="468"/>
      <c r="CK170" s="468"/>
      <c r="CL170" s="468"/>
      <c r="CM170" s="468"/>
      <c r="CN170" s="468"/>
      <c r="CO170" s="468"/>
      <c r="CP170" s="468"/>
      <c r="CQ170" s="468"/>
      <c r="CR170" s="468"/>
      <c r="CS170" s="468"/>
      <c r="CT170" s="468"/>
      <c r="CU170" s="468"/>
      <c r="CV170" s="468"/>
      <c r="CW170" s="468"/>
      <c r="CX170" s="468"/>
      <c r="CY170" s="468"/>
      <c r="CZ170" s="468"/>
      <c r="DA170" s="468"/>
      <c r="DB170" s="468"/>
      <c r="DC170" s="468"/>
      <c r="DD170" s="468"/>
      <c r="DE170" s="468"/>
      <c r="DF170" s="468"/>
      <c r="DG170" s="468"/>
      <c r="DH170" s="468"/>
      <c r="DI170" s="468"/>
      <c r="DJ170" s="468"/>
      <c r="DK170" s="468"/>
      <c r="DL170" s="468"/>
    </row>
    <row r="171" ht="20.25" customHeight="1">
      <c r="A171" s="44">
        <v>171.0</v>
      </c>
      <c r="B171" s="397" t="s">
        <v>152</v>
      </c>
      <c r="C171" s="397" t="s">
        <v>115</v>
      </c>
      <c r="D171" s="397" t="s">
        <v>346</v>
      </c>
      <c r="E171" s="220"/>
      <c r="F171" s="159" t="s">
        <v>1070</v>
      </c>
      <c r="G171" s="57" t="s">
        <v>1086</v>
      </c>
      <c r="H171" s="57" t="s">
        <v>349</v>
      </c>
      <c r="I171" s="152">
        <v>45427.0</v>
      </c>
      <c r="J171" s="472">
        <v>45786.0</v>
      </c>
      <c r="K171" s="376" t="s">
        <v>1072</v>
      </c>
      <c r="L171" s="129" t="s">
        <v>1073</v>
      </c>
      <c r="M171" s="57" t="s">
        <v>1074</v>
      </c>
      <c r="N171" s="376" t="s">
        <v>1075</v>
      </c>
      <c r="O171" s="371">
        <v>1.0</v>
      </c>
      <c r="P171" s="377" t="s">
        <v>1076</v>
      </c>
      <c r="Q171" s="52" t="str">
        <f t="array" ref="Q171"> if(iserror(MATCH(V171, 'File Links'!C:C, 0)), "N/A", HYPERLINK(INDEX('File Links'!B:B, MATCH(P171, 'File Links'!C:C, 0))))</f>
        <v>https://drive.google.com/file/d/1GCYFeLrlGpCBF1GyjSAAd1YFst71bifH/view?usp=drivesdk</v>
      </c>
      <c r="R171" s="57" t="s">
        <v>1077</v>
      </c>
      <c r="S171" s="57" t="s">
        <v>1078</v>
      </c>
      <c r="T171" s="61"/>
      <c r="U171" s="371">
        <v>1.0</v>
      </c>
      <c r="V171" s="66" t="str">
        <f> hyperlink(vlookup(lower(S171),'File Links'!E:F, 2, FALSE), SUBSTITUTE(lower(S171), "/", "--") &amp;  ".pdf")</f>
        <v>10.1016--j.paid.2024.112692.pdf</v>
      </c>
      <c r="W171" s="57" t="s">
        <v>607</v>
      </c>
      <c r="X171" s="54" t="str">
        <f t="array" ref="X171"> if(iserror(MATCH(V171, 'File Links'!C:C, 0)), "N/A", HYPERLINK(INDEX('File Links'!B:B, MATCH(V171, 'File Links'!C:C, 0))))</f>
        <v>https://drive.google.com/file/d/1maMe58N1aLmqdBUtveOinCFDUWOh5rcE/view?usp=drivesdk</v>
      </c>
      <c r="Y171" s="61"/>
      <c r="Z171" s="57" t="s">
        <v>1079</v>
      </c>
      <c r="AA171" s="380" t="s">
        <v>1080</v>
      </c>
      <c r="AB171" s="376" t="s">
        <v>1081</v>
      </c>
      <c r="AC171" s="376" t="s">
        <v>1082</v>
      </c>
      <c r="AD171" s="483" t="s">
        <v>1087</v>
      </c>
      <c r="AE171" s="379">
        <v>5.0</v>
      </c>
      <c r="AF171" s="379">
        <v>2428.0</v>
      </c>
      <c r="AG171" s="151" t="s">
        <v>1088</v>
      </c>
      <c r="AH171" s="339" t="s">
        <v>134</v>
      </c>
      <c r="AI171" s="57" t="s">
        <v>813</v>
      </c>
      <c r="AJ171" s="379">
        <v>0.001</v>
      </c>
      <c r="AK171" s="159" t="s">
        <v>135</v>
      </c>
      <c r="AL171" s="57" t="s">
        <v>186</v>
      </c>
      <c r="AM171" s="371" t="s">
        <v>141</v>
      </c>
      <c r="AN171" s="57" t="s">
        <v>138</v>
      </c>
      <c r="AO171" s="379">
        <v>3906.0</v>
      </c>
      <c r="AP171" s="151" t="s">
        <v>1089</v>
      </c>
      <c r="AQ171" s="57" t="s">
        <v>134</v>
      </c>
      <c r="AR171" s="481" t="s">
        <v>217</v>
      </c>
      <c r="AS171" s="379">
        <v>0.001</v>
      </c>
      <c r="AT171" s="159" t="s">
        <v>135</v>
      </c>
      <c r="AU171" s="159" t="s">
        <v>186</v>
      </c>
      <c r="AV171" s="371" t="s">
        <v>141</v>
      </c>
      <c r="AW171" s="159" t="s">
        <v>138</v>
      </c>
      <c r="AX171" s="68" t="s">
        <v>143</v>
      </c>
      <c r="AY171" s="61" t="str">
        <f>IFERROR(__xludf.DUMMYFUNCTION("vlookup(BB171,importrange(""https://docs.google.com/spreadsheets/d/1d2vevQ_7D_v35q4wCQ4RpQ_IPoTwEMB9Yp6ymwlPqew/edit?gid=984458430#gid=984458430"", ""'replication success'!A:K""), 11, FAlSE)"),"successful")</f>
        <v>successful</v>
      </c>
      <c r="AZ171" s="61" t="str">
        <f>IFERROR(__xludf.DUMMYFUNCTION("vlookup(BB171,importrange(""https://docs.google.com/spreadsheets/d/1d2vevQ_7D_v35q4wCQ4RpQ_IPoTwEMB9Yp6ymwlPqew/edit?gid=984458430#gid=984458430"",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1" s="61" t="str">
        <f>IFERROR(__xludf.DUMMYFUNCTION("vlookup(BB171,importrange(""https://docs.google.com/spreadsheets/d/1d2vevQ_7D_v35q4wCQ4RpQ_IPoTwEMB9Yp6ymwlPqew/edit?gid=984458430#gid=984458430"", ""'replication success'!A:M""), 13, FAlSE)"),"abstract")</f>
        <v>abstract</v>
      </c>
      <c r="BB171" s="61" t="str">
        <f>IFERROR(__xludf.DUMMYFUNCTION("REGEXREPLACE(G171, ""_[a-z]{1,2}$"", """")"),"additional_studies3")</f>
        <v>additional_studies3</v>
      </c>
      <c r="BC171" s="61"/>
      <c r="BD171" s="467" t="s">
        <v>814</v>
      </c>
    </row>
    <row r="172" ht="20.25" customHeight="1">
      <c r="A172" s="44">
        <v>172.0</v>
      </c>
      <c r="B172" s="397" t="s">
        <v>152</v>
      </c>
      <c r="C172" s="397" t="s">
        <v>115</v>
      </c>
      <c r="D172" s="397" t="s">
        <v>346</v>
      </c>
      <c r="E172" s="220"/>
      <c r="F172" s="159" t="s">
        <v>1070</v>
      </c>
      <c r="G172" s="57" t="s">
        <v>1090</v>
      </c>
      <c r="H172" s="57" t="s">
        <v>349</v>
      </c>
      <c r="I172" s="152">
        <v>45427.0</v>
      </c>
      <c r="J172" s="472">
        <v>45786.0</v>
      </c>
      <c r="K172" s="376" t="s">
        <v>1072</v>
      </c>
      <c r="L172" s="129" t="s">
        <v>1091</v>
      </c>
      <c r="M172" s="57" t="s">
        <v>1074</v>
      </c>
      <c r="N172" s="376" t="s">
        <v>1075</v>
      </c>
      <c r="O172" s="371">
        <v>1.0</v>
      </c>
      <c r="P172" s="377" t="s">
        <v>1076</v>
      </c>
      <c r="Q172" s="52" t="str">
        <f t="array" ref="Q172"> if(iserror(MATCH(V172, 'File Links'!C:C, 0)), "N/A", HYPERLINK(INDEX('File Links'!B:B, MATCH(P172, 'File Links'!C:C, 0))))</f>
        <v>https://drive.google.com/file/d/1GCYFeLrlGpCBF1GyjSAAd1YFst71bifH/view?usp=drivesdk</v>
      </c>
      <c r="R172" s="57" t="s">
        <v>1077</v>
      </c>
      <c r="S172" s="57" t="s">
        <v>1078</v>
      </c>
      <c r="T172" s="61"/>
      <c r="U172" s="371">
        <v>1.0</v>
      </c>
      <c r="V172" s="66" t="str">
        <f> hyperlink(vlookup(lower(S172),'File Links'!E:F, 2, FALSE), SUBSTITUTE(lower(S172), "/", "--") &amp;  ".pdf")</f>
        <v>10.1016--j.paid.2024.112692.pdf</v>
      </c>
      <c r="W172" s="57" t="s">
        <v>607</v>
      </c>
      <c r="X172" s="54" t="str">
        <f t="array" ref="X172"> if(iserror(MATCH(V172, 'File Links'!C:C, 0)), "N/A", HYPERLINK(INDEX('File Links'!B:B, MATCH(V172, 'File Links'!C:C, 0))))</f>
        <v>https://drive.google.com/file/d/1maMe58N1aLmqdBUtveOinCFDUWOh5rcE/view?usp=drivesdk</v>
      </c>
      <c r="Y172" s="61"/>
      <c r="Z172" s="57" t="s">
        <v>1079</v>
      </c>
      <c r="AA172" s="380" t="s">
        <v>1080</v>
      </c>
      <c r="AB172" s="376" t="s">
        <v>1081</v>
      </c>
      <c r="AC172" s="376" t="s">
        <v>1082</v>
      </c>
      <c r="AD172" s="483" t="s">
        <v>1092</v>
      </c>
      <c r="AE172" s="379">
        <v>5.0</v>
      </c>
      <c r="AF172" s="379">
        <v>2428.0</v>
      </c>
      <c r="AG172" s="151" t="s">
        <v>1093</v>
      </c>
      <c r="AH172" s="339" t="s">
        <v>134</v>
      </c>
      <c r="AI172" s="57" t="s">
        <v>813</v>
      </c>
      <c r="AJ172" s="379">
        <v>0.001</v>
      </c>
      <c r="AK172" s="159" t="s">
        <v>135</v>
      </c>
      <c r="AL172" s="57" t="s">
        <v>186</v>
      </c>
      <c r="AM172" s="371" t="s">
        <v>141</v>
      </c>
      <c r="AN172" s="57" t="s">
        <v>138</v>
      </c>
      <c r="AO172" s="379">
        <v>3906.0</v>
      </c>
      <c r="AP172" s="380" t="s">
        <v>1094</v>
      </c>
      <c r="AQ172" s="57" t="s">
        <v>134</v>
      </c>
      <c r="AR172" s="481" t="s">
        <v>217</v>
      </c>
      <c r="AS172" s="378">
        <v>0.02</v>
      </c>
      <c r="AT172" s="159" t="s">
        <v>135</v>
      </c>
      <c r="AU172" s="159" t="s">
        <v>186</v>
      </c>
      <c r="AV172" s="371" t="s">
        <v>141</v>
      </c>
      <c r="AW172" s="159" t="s">
        <v>138</v>
      </c>
      <c r="AX172" s="68" t="s">
        <v>143</v>
      </c>
      <c r="AY172" s="61" t="str">
        <f>IFERROR(__xludf.DUMMYFUNCTION("vlookup(BB172,importrange(""https://docs.google.com/spreadsheets/d/1d2vevQ_7D_v35q4wCQ4RpQ_IPoTwEMB9Yp6ymwlPqew/edit?gid=984458430#gid=984458430"", ""'replication success'!A:K""), 11, FAlSE)"),"successful")</f>
        <v>successful</v>
      </c>
      <c r="AZ172" s="61" t="str">
        <f>IFERROR(__xludf.DUMMYFUNCTION("vlookup(BB172,importrange(""https://docs.google.com/spreadsheets/d/1d2vevQ_7D_v35q4wCQ4RpQ_IPoTwEMB9Yp6ymwlPqew/edit?gid=984458430#gid=984458430"",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2" s="61" t="str">
        <f>IFERROR(__xludf.DUMMYFUNCTION("vlookup(BB172,importrange(""https://docs.google.com/spreadsheets/d/1d2vevQ_7D_v35q4wCQ4RpQ_IPoTwEMB9Yp6ymwlPqew/edit?gid=984458430#gid=984458430"", ""'replication success'!A:M""), 13, FAlSE)"),"abstract")</f>
        <v>abstract</v>
      </c>
      <c r="BB172" s="61" t="str">
        <f>IFERROR(__xludf.DUMMYFUNCTION("REGEXREPLACE(G172, ""_[a-z]{1,2}$"", """")"),"additional_studies3")</f>
        <v>additional_studies3</v>
      </c>
      <c r="BC172" s="61"/>
      <c r="BD172" s="467" t="s">
        <v>814</v>
      </c>
    </row>
    <row r="173" ht="20.25" customHeight="1">
      <c r="A173" s="44">
        <v>173.0</v>
      </c>
      <c r="B173" s="397" t="s">
        <v>114</v>
      </c>
      <c r="C173" s="397" t="s">
        <v>115</v>
      </c>
      <c r="D173" s="397" t="s">
        <v>346</v>
      </c>
      <c r="E173" s="220"/>
      <c r="F173" s="159" t="s">
        <v>1070</v>
      </c>
      <c r="G173" s="57" t="s">
        <v>1095</v>
      </c>
      <c r="H173" s="57" t="s">
        <v>349</v>
      </c>
      <c r="I173" s="152">
        <v>45427.0</v>
      </c>
      <c r="J173" s="472">
        <v>45786.0</v>
      </c>
      <c r="K173" s="376" t="s">
        <v>1072</v>
      </c>
      <c r="L173" s="129" t="s">
        <v>1096</v>
      </c>
      <c r="M173" s="57" t="s">
        <v>1074</v>
      </c>
      <c r="N173" s="376" t="s">
        <v>1075</v>
      </c>
      <c r="O173" s="371">
        <v>1.0</v>
      </c>
      <c r="P173" s="377" t="s">
        <v>1076</v>
      </c>
      <c r="Q173" s="52" t="str">
        <f t="array" ref="Q173"> if(iserror(MATCH(V173, 'File Links'!C:C, 0)), "N/A", HYPERLINK(INDEX('File Links'!B:B, MATCH(P173, 'File Links'!C:C, 0))))</f>
        <v>https://drive.google.com/file/d/1GCYFeLrlGpCBF1GyjSAAd1YFst71bifH/view?usp=drivesdk</v>
      </c>
      <c r="R173" s="57" t="s">
        <v>1077</v>
      </c>
      <c r="S173" s="57" t="s">
        <v>1078</v>
      </c>
      <c r="T173" s="61"/>
      <c r="U173" s="371">
        <v>1.0</v>
      </c>
      <c r="V173" s="66" t="str">
        <f> hyperlink(vlookup(lower(S173),'File Links'!E:F, 2, FALSE), SUBSTITUTE(lower(S173), "/", "--") &amp;  ".pdf")</f>
        <v>10.1016--j.paid.2024.112692.pdf</v>
      </c>
      <c r="W173" s="57" t="s">
        <v>607</v>
      </c>
      <c r="X173" s="54" t="str">
        <f t="array" ref="X173"> if(iserror(MATCH(V173, 'File Links'!C:C, 0)), "N/A", HYPERLINK(INDEX('File Links'!B:B, MATCH(V173, 'File Links'!C:C, 0))))</f>
        <v>https://drive.google.com/file/d/1maMe58N1aLmqdBUtveOinCFDUWOh5rcE/view?usp=drivesdk</v>
      </c>
      <c r="Y173" s="129" t="s">
        <v>1097</v>
      </c>
      <c r="Z173" s="57" t="s">
        <v>1079</v>
      </c>
      <c r="AA173" s="380" t="s">
        <v>1080</v>
      </c>
      <c r="AB173" s="376" t="s">
        <v>1081</v>
      </c>
      <c r="AC173" s="376" t="s">
        <v>1082</v>
      </c>
      <c r="AD173" s="384" t="s">
        <v>1098</v>
      </c>
      <c r="AE173" s="379">
        <v>5.0</v>
      </c>
      <c r="AF173" s="379">
        <v>2428.0</v>
      </c>
      <c r="AG173" s="151" t="s">
        <v>1093</v>
      </c>
      <c r="AH173" s="339" t="s">
        <v>134</v>
      </c>
      <c r="AI173" s="57" t="s">
        <v>813</v>
      </c>
      <c r="AJ173" s="379">
        <v>0.001</v>
      </c>
      <c r="AK173" s="159" t="s">
        <v>135</v>
      </c>
      <c r="AL173" s="57" t="s">
        <v>186</v>
      </c>
      <c r="AM173" s="61"/>
      <c r="AN173" s="57" t="s">
        <v>138</v>
      </c>
      <c r="AO173" s="379">
        <v>3906.0</v>
      </c>
      <c r="AP173" s="380" t="s">
        <v>1099</v>
      </c>
      <c r="AQ173" s="57" t="s">
        <v>134</v>
      </c>
      <c r="AR173" s="481" t="s">
        <v>217</v>
      </c>
      <c r="AS173" s="378">
        <v>0.02</v>
      </c>
      <c r="AT173" s="159" t="s">
        <v>135</v>
      </c>
      <c r="AU173" s="159" t="s">
        <v>186</v>
      </c>
      <c r="AV173" s="68"/>
      <c r="AW173" s="159" t="s">
        <v>138</v>
      </c>
      <c r="AX173" s="68" t="s">
        <v>143</v>
      </c>
      <c r="AY173" s="61" t="str">
        <f>IFERROR(__xludf.DUMMYFUNCTION("vlookup(BB173,importrange(""https://docs.google.com/spreadsheets/d/1d2vevQ_7D_v35q4wCQ4RpQ_IPoTwEMB9Yp6ymwlPqew/edit?gid=984458430#gid=984458430"", ""'replication success'!A:K""), 11, FAlSE)"),"successful")</f>
        <v>successful</v>
      </c>
      <c r="AZ173" s="61" t="str">
        <f>IFERROR(__xludf.DUMMYFUNCTION("vlookup(BB173,importrange(""https://docs.google.com/spreadsheets/d/1d2vevQ_7D_v35q4wCQ4RpQ_IPoTwEMB9Yp6ymwlPqew/edit?gid=984458430#gid=984458430"",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3" s="61" t="str">
        <f>IFERROR(__xludf.DUMMYFUNCTION("vlookup(BB173,importrange(""https://docs.google.com/spreadsheets/d/1d2vevQ_7D_v35q4wCQ4RpQ_IPoTwEMB9Yp6ymwlPqew/edit?gid=984458430#gid=984458430"", ""'replication success'!A:M""), 13, FAlSE)"),"abstract")</f>
        <v>abstract</v>
      </c>
      <c r="BB173" s="61" t="str">
        <f>IFERROR(__xludf.DUMMYFUNCTION("REGEXREPLACE(G173, ""_[a-z]{1,2}$"", """")"),"additional_studies3")</f>
        <v>additional_studies3</v>
      </c>
      <c r="BC173" s="61"/>
      <c r="BD173" s="467" t="s">
        <v>814</v>
      </c>
    </row>
    <row r="174" ht="20.25" customHeight="1">
      <c r="A174" s="44">
        <v>174.0</v>
      </c>
      <c r="B174" s="381" t="s">
        <v>114</v>
      </c>
      <c r="C174" s="381" t="s">
        <v>115</v>
      </c>
      <c r="D174" s="381" t="s">
        <v>221</v>
      </c>
      <c r="E174" s="484"/>
      <c r="F174" s="485" t="s">
        <v>1070</v>
      </c>
      <c r="G174" s="486" t="s">
        <v>1100</v>
      </c>
      <c r="H174" s="485" t="s">
        <v>221</v>
      </c>
      <c r="I174" s="487">
        <v>45686.0</v>
      </c>
      <c r="J174" s="472">
        <v>45786.0</v>
      </c>
      <c r="K174" s="485" t="s">
        <v>1101</v>
      </c>
      <c r="L174" s="488" t="s">
        <v>1102</v>
      </c>
      <c r="M174" s="485" t="s">
        <v>1074</v>
      </c>
      <c r="N174" s="485" t="s">
        <v>1075</v>
      </c>
      <c r="O174" s="488">
        <v>1.0</v>
      </c>
      <c r="P174" s="485" t="s">
        <v>1076</v>
      </c>
      <c r="Q174" s="52" t="str">
        <f t="array" ref="Q174"> if(iserror(MATCH(V174, 'File Links'!C:C, 0)), "N/A", HYPERLINK(INDEX('File Links'!B:B, MATCH(P174, 'File Links'!C:C, 0))))</f>
        <v>https://drive.google.com/file/d/1GCYFeLrlGpCBF1GyjSAAd1YFst71bifH/view?usp=drivesdk</v>
      </c>
      <c r="R174" s="485" t="s">
        <v>1077</v>
      </c>
      <c r="S174" s="486" t="s">
        <v>1078</v>
      </c>
      <c r="T174" s="489"/>
      <c r="U174" s="488">
        <v>1.0</v>
      </c>
      <c r="V174" s="490" t="str">
        <f> hyperlink(vlookup(lower(S174),'File Links'!E:F, 2, FALSE), SUBSTITUTE(lower(S174), "/", "--") &amp;  ".pdf")</f>
        <v>10.1016--j.paid.2024.112692.pdf</v>
      </c>
      <c r="W174" s="485" t="s">
        <v>1103</v>
      </c>
      <c r="X174" s="54" t="str">
        <f t="array" ref="X174"> if(iserror(MATCH(V174, 'File Links'!C:C, 0)), "N/A", HYPERLINK(INDEX('File Links'!B:B, MATCH(V174, 'File Links'!C:C, 0))))</f>
        <v>https://drive.google.com/file/d/1maMe58N1aLmqdBUtveOinCFDUWOh5rcE/view?usp=drivesdk</v>
      </c>
      <c r="Y174" s="489"/>
      <c r="Z174" s="485" t="s">
        <v>1079</v>
      </c>
      <c r="AA174" s="491" t="s">
        <v>1080</v>
      </c>
      <c r="AB174" s="485" t="s">
        <v>1104</v>
      </c>
      <c r="AC174" s="473" t="s">
        <v>1082</v>
      </c>
      <c r="AD174" s="483" t="s">
        <v>1083</v>
      </c>
      <c r="AE174" s="492">
        <v>5.0</v>
      </c>
      <c r="AF174" s="492">
        <v>2428.0</v>
      </c>
      <c r="AG174" s="380" t="s">
        <v>1084</v>
      </c>
      <c r="AH174" s="493" t="s">
        <v>134</v>
      </c>
      <c r="AI174" s="383" t="s">
        <v>813</v>
      </c>
      <c r="AJ174" s="494">
        <v>0.001</v>
      </c>
      <c r="AK174" s="486" t="s">
        <v>135</v>
      </c>
      <c r="AL174" s="486" t="s">
        <v>136</v>
      </c>
      <c r="AM174" s="485" t="s">
        <v>141</v>
      </c>
      <c r="AN174" s="486" t="s">
        <v>138</v>
      </c>
      <c r="AO174" s="495">
        <v>3906.0</v>
      </c>
      <c r="AP174" s="151" t="s">
        <v>1085</v>
      </c>
      <c r="AQ174" s="470" t="s">
        <v>134</v>
      </c>
      <c r="AR174" s="481" t="s">
        <v>217</v>
      </c>
      <c r="AS174" s="479">
        <v>0.001</v>
      </c>
      <c r="AT174" s="485" t="s">
        <v>135</v>
      </c>
      <c r="AU174" s="485" t="s">
        <v>136</v>
      </c>
      <c r="AV174" s="485" t="s">
        <v>141</v>
      </c>
      <c r="AW174" s="485" t="s">
        <v>138</v>
      </c>
      <c r="AX174" s="485" t="s">
        <v>143</v>
      </c>
      <c r="AY174" s="61" t="str">
        <f>IFERROR(__xludf.DUMMYFUNCTION("vlookup(BB174,importrange(""https://docs.google.com/spreadsheets/d/1d2vevQ_7D_v35q4wCQ4RpQ_IPoTwEMB9Yp6ymwlPqew/edit?gid=984458430#gid=984458430"", ""'replication success'!A:K""), 11, FAlSE)"),"successful")</f>
        <v>successful</v>
      </c>
      <c r="AZ174" s="61" t="str">
        <f>IFERROR(__xludf.DUMMYFUNCTION("vlookup(BB174,importrange(""https://docs.google.com/spreadsheets/d/1d2vevQ_7D_v35q4wCQ4RpQ_IPoTwEMB9Yp6ymwlPqew/edit?gid=984458430#gid=984458430"",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4" s="61" t="str">
        <f>IFERROR(__xludf.DUMMYFUNCTION("vlookup(BB174,importrange(""https://docs.google.com/spreadsheets/d/1d2vevQ_7D_v35q4wCQ4RpQ_IPoTwEMB9Yp6ymwlPqew/edit?gid=984458430#gid=984458430"", ""'replication success'!A:M""), 13, FAlSE)"),"abstract")</f>
        <v>abstract</v>
      </c>
      <c r="BB174" s="61" t="str">
        <f>IFERROR(__xludf.DUMMYFUNCTION("REGEXREPLACE(G174, ""_[a-z]{1,2}$"", """")"),"additional_studies3")</f>
        <v>additional_studies3</v>
      </c>
      <c r="BC174" s="484"/>
      <c r="BD174" s="467" t="s">
        <v>814</v>
      </c>
      <c r="BE174" s="484"/>
      <c r="BF174" s="484"/>
      <c r="BG174" s="484"/>
      <c r="BH174" s="484"/>
      <c r="BI174" s="484"/>
      <c r="BJ174" s="484"/>
      <c r="BK174" s="484"/>
      <c r="BL174" s="484"/>
      <c r="BM174" s="484"/>
      <c r="BN174" s="484"/>
      <c r="BO174" s="484"/>
      <c r="BP174" s="484"/>
      <c r="BQ174" s="484"/>
      <c r="BR174" s="484"/>
      <c r="BS174" s="484"/>
      <c r="BT174" s="484"/>
      <c r="BU174" s="484"/>
      <c r="BV174" s="484"/>
      <c r="BW174" s="484"/>
      <c r="BX174" s="484"/>
      <c r="BY174" s="484"/>
      <c r="BZ174" s="484"/>
      <c r="CA174" s="484"/>
      <c r="CB174" s="484"/>
      <c r="CC174" s="484"/>
      <c r="CD174" s="484"/>
      <c r="CE174" s="484"/>
      <c r="CF174" s="484"/>
      <c r="CG174" s="484"/>
      <c r="CH174" s="484"/>
      <c r="CI174" s="484"/>
      <c r="CJ174" s="484"/>
      <c r="CK174" s="484"/>
      <c r="CL174" s="484"/>
      <c r="CM174" s="484"/>
      <c r="CN174" s="484"/>
      <c r="CO174" s="484"/>
      <c r="CP174" s="484"/>
      <c r="CQ174" s="484"/>
      <c r="CR174" s="484"/>
      <c r="CS174" s="484"/>
      <c r="CT174" s="484"/>
      <c r="CU174" s="484"/>
      <c r="CV174" s="484"/>
      <c r="CW174" s="484"/>
      <c r="CX174" s="484"/>
      <c r="CY174" s="484"/>
      <c r="CZ174" s="484"/>
      <c r="DA174" s="484"/>
      <c r="DB174" s="484"/>
      <c r="DC174" s="484"/>
      <c r="DD174" s="484"/>
      <c r="DE174" s="484"/>
      <c r="DF174" s="484"/>
      <c r="DG174" s="484"/>
      <c r="DH174" s="484"/>
      <c r="DI174" s="484"/>
      <c r="DJ174" s="484"/>
      <c r="DK174" s="484"/>
      <c r="DL174" s="484"/>
    </row>
    <row r="175" ht="20.25" customHeight="1">
      <c r="A175" s="44">
        <v>175.0</v>
      </c>
      <c r="B175" s="397" t="s">
        <v>114</v>
      </c>
      <c r="C175" s="397" t="s">
        <v>115</v>
      </c>
      <c r="D175" s="397" t="s">
        <v>221</v>
      </c>
      <c r="E175" s="220"/>
      <c r="F175" s="265" t="s">
        <v>1070</v>
      </c>
      <c r="G175" s="47" t="s">
        <v>1086</v>
      </c>
      <c r="H175" s="360" t="s">
        <v>221</v>
      </c>
      <c r="I175" s="344">
        <v>45686.0</v>
      </c>
      <c r="J175" s="472">
        <v>45786.0</v>
      </c>
      <c r="K175" s="360" t="s">
        <v>1101</v>
      </c>
      <c r="L175" s="488" t="s">
        <v>1102</v>
      </c>
      <c r="M175" s="360" t="s">
        <v>1074</v>
      </c>
      <c r="N175" s="360" t="s">
        <v>1075</v>
      </c>
      <c r="O175" s="371">
        <v>1.0</v>
      </c>
      <c r="P175" s="382" t="s">
        <v>1076</v>
      </c>
      <c r="Q175" s="52" t="str">
        <f t="array" ref="Q175"> if(iserror(MATCH(V175, 'File Links'!C:C, 0)), "N/A", HYPERLINK(INDEX('File Links'!B:B, MATCH(P175, 'File Links'!C:C, 0))))</f>
        <v>https://drive.google.com/file/d/1GCYFeLrlGpCBF1GyjSAAd1YFst71bifH/view?usp=drivesdk</v>
      </c>
      <c r="R175" s="360" t="s">
        <v>1077</v>
      </c>
      <c r="S175" s="57" t="s">
        <v>1078</v>
      </c>
      <c r="T175" s="46"/>
      <c r="U175" s="371">
        <v>1.0</v>
      </c>
      <c r="V175" s="66" t="str">
        <f> hyperlink(vlookup(lower(S175),'File Links'!E:F, 2, FALSE), SUBSTITUTE(lower(S175), "/", "--") &amp;  ".pdf")</f>
        <v>10.1016--j.paid.2024.112692.pdf</v>
      </c>
      <c r="W175" s="360" t="s">
        <v>1103</v>
      </c>
      <c r="X175" s="54" t="str">
        <f t="array" ref="X175"> if(iserror(MATCH(V175, 'File Links'!C:C, 0)), "N/A", HYPERLINK(INDEX('File Links'!B:B, MATCH(V175, 'File Links'!C:C, 0))))</f>
        <v>https://drive.google.com/file/d/1maMe58N1aLmqdBUtveOinCFDUWOh5rcE/view?usp=drivesdk</v>
      </c>
      <c r="Y175" s="46"/>
      <c r="Z175" s="360" t="s">
        <v>1079</v>
      </c>
      <c r="AA175" s="491" t="s">
        <v>1080</v>
      </c>
      <c r="AB175" s="360" t="s">
        <v>1104</v>
      </c>
      <c r="AC175" s="376" t="s">
        <v>1082</v>
      </c>
      <c r="AD175" s="483" t="s">
        <v>1087</v>
      </c>
      <c r="AE175" s="492">
        <v>5.0</v>
      </c>
      <c r="AF175" s="492">
        <v>2428.0</v>
      </c>
      <c r="AG175" s="380" t="s">
        <v>1088</v>
      </c>
      <c r="AH175" s="493" t="s">
        <v>134</v>
      </c>
      <c r="AI175" s="383" t="s">
        <v>813</v>
      </c>
      <c r="AJ175" s="386">
        <v>0.001</v>
      </c>
      <c r="AK175" s="47" t="s">
        <v>135</v>
      </c>
      <c r="AL175" s="47" t="s">
        <v>136</v>
      </c>
      <c r="AM175" s="360" t="s">
        <v>141</v>
      </c>
      <c r="AN175" s="47" t="s">
        <v>138</v>
      </c>
      <c r="AO175" s="357">
        <v>3906.0</v>
      </c>
      <c r="AP175" s="151" t="s">
        <v>1105</v>
      </c>
      <c r="AQ175" s="57" t="s">
        <v>134</v>
      </c>
      <c r="AR175" s="481" t="s">
        <v>217</v>
      </c>
      <c r="AS175" s="379">
        <v>0.001</v>
      </c>
      <c r="AT175" s="360" t="s">
        <v>135</v>
      </c>
      <c r="AU175" s="360" t="s">
        <v>136</v>
      </c>
      <c r="AV175" s="360" t="s">
        <v>141</v>
      </c>
      <c r="AW175" s="360" t="s">
        <v>138</v>
      </c>
      <c r="AX175" s="360" t="s">
        <v>143</v>
      </c>
      <c r="AY175" s="61" t="str">
        <f>IFERROR(__xludf.DUMMYFUNCTION("vlookup(BB175,importrange(""https://docs.google.com/spreadsheets/d/1d2vevQ_7D_v35q4wCQ4RpQ_IPoTwEMB9Yp6ymwlPqew/edit?gid=984458430#gid=984458430"", ""'replication success'!A:K""), 11, FAlSE)"),"successful")</f>
        <v>successful</v>
      </c>
      <c r="AZ175" s="61" t="str">
        <f>IFERROR(__xludf.DUMMYFUNCTION("vlookup(BB175,importrange(""https://docs.google.com/spreadsheets/d/1d2vevQ_7D_v35q4wCQ4RpQ_IPoTwEMB9Yp6ymwlPqew/edit?gid=984458430#gid=984458430"",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5" s="61" t="str">
        <f>IFERROR(__xludf.DUMMYFUNCTION("vlookup(BB175,importrange(""https://docs.google.com/spreadsheets/d/1d2vevQ_7D_v35q4wCQ4RpQ_IPoTwEMB9Yp6ymwlPqew/edit?gid=984458430#gid=984458430"", ""'replication success'!A:M""), 13, FAlSE)"),"abstract")</f>
        <v>abstract</v>
      </c>
      <c r="BB175" s="61" t="str">
        <f>IFERROR(__xludf.DUMMYFUNCTION("REGEXREPLACE(G175, ""_[a-z]{1,2}$"", """")"),"additional_studies3")</f>
        <v>additional_studies3</v>
      </c>
      <c r="BD175" s="467" t="s">
        <v>814</v>
      </c>
    </row>
    <row r="176" ht="20.25" customHeight="1">
      <c r="A176" s="44">
        <v>176.0</v>
      </c>
      <c r="B176" s="397" t="s">
        <v>114</v>
      </c>
      <c r="C176" s="397" t="s">
        <v>115</v>
      </c>
      <c r="D176" s="397" t="s">
        <v>221</v>
      </c>
      <c r="E176" s="220"/>
      <c r="F176" s="265" t="s">
        <v>1070</v>
      </c>
      <c r="G176" s="47" t="s">
        <v>1090</v>
      </c>
      <c r="H176" s="360" t="s">
        <v>221</v>
      </c>
      <c r="I176" s="344">
        <v>45686.0</v>
      </c>
      <c r="J176" s="472">
        <v>45786.0</v>
      </c>
      <c r="K176" s="360" t="s">
        <v>1101</v>
      </c>
      <c r="L176" s="488" t="s">
        <v>1102</v>
      </c>
      <c r="M176" s="360" t="s">
        <v>1074</v>
      </c>
      <c r="N176" s="360" t="s">
        <v>1075</v>
      </c>
      <c r="O176" s="371">
        <v>1.0</v>
      </c>
      <c r="P176" s="382" t="s">
        <v>1076</v>
      </c>
      <c r="Q176" s="52" t="str">
        <f t="array" ref="Q176"> if(iserror(MATCH(V176, 'File Links'!C:C, 0)), "N/A", HYPERLINK(INDEX('File Links'!B:B, MATCH(P176, 'File Links'!C:C, 0))))</f>
        <v>https://drive.google.com/file/d/1GCYFeLrlGpCBF1GyjSAAd1YFst71bifH/view?usp=drivesdk</v>
      </c>
      <c r="R176" s="360" t="s">
        <v>1077</v>
      </c>
      <c r="S176" s="57" t="s">
        <v>1078</v>
      </c>
      <c r="T176" s="46"/>
      <c r="U176" s="371">
        <v>1.0</v>
      </c>
      <c r="V176" s="66" t="str">
        <f> hyperlink(vlookup(lower(S176),'File Links'!E:F, 2, FALSE), SUBSTITUTE(lower(S176), "/", "--") &amp;  ".pdf")</f>
        <v>10.1016--j.paid.2024.112692.pdf</v>
      </c>
      <c r="W176" s="360" t="s">
        <v>1103</v>
      </c>
      <c r="X176" s="54" t="str">
        <f t="array" ref="X176"> if(iserror(MATCH(V176, 'File Links'!C:C, 0)), "N/A", HYPERLINK(INDEX('File Links'!B:B, MATCH(V176, 'File Links'!C:C, 0))))</f>
        <v>https://drive.google.com/file/d/1maMe58N1aLmqdBUtveOinCFDUWOh5rcE/view?usp=drivesdk</v>
      </c>
      <c r="Y176" s="46"/>
      <c r="Z176" s="360" t="s">
        <v>1079</v>
      </c>
      <c r="AA176" s="491" t="s">
        <v>1080</v>
      </c>
      <c r="AB176" s="360" t="s">
        <v>1104</v>
      </c>
      <c r="AC176" s="376" t="s">
        <v>1082</v>
      </c>
      <c r="AD176" s="483" t="s">
        <v>1092</v>
      </c>
      <c r="AE176" s="492">
        <v>5.0</v>
      </c>
      <c r="AF176" s="492">
        <v>2428.0</v>
      </c>
      <c r="AG176" s="380" t="s">
        <v>1093</v>
      </c>
      <c r="AH176" s="493" t="s">
        <v>134</v>
      </c>
      <c r="AI176" s="383" t="s">
        <v>813</v>
      </c>
      <c r="AJ176" s="386">
        <v>0.001</v>
      </c>
      <c r="AK176" s="47" t="s">
        <v>135</v>
      </c>
      <c r="AL176" s="47" t="s">
        <v>136</v>
      </c>
      <c r="AM176" s="360" t="s">
        <v>141</v>
      </c>
      <c r="AN176" s="47" t="s">
        <v>138</v>
      </c>
      <c r="AO176" s="357">
        <v>3906.0</v>
      </c>
      <c r="AP176" s="380" t="s">
        <v>1099</v>
      </c>
      <c r="AQ176" s="57" t="s">
        <v>134</v>
      </c>
      <c r="AR176" s="481" t="s">
        <v>217</v>
      </c>
      <c r="AS176" s="378">
        <v>0.02</v>
      </c>
      <c r="AT176" s="360" t="s">
        <v>135</v>
      </c>
      <c r="AU176" s="360" t="s">
        <v>136</v>
      </c>
      <c r="AV176" s="360" t="s">
        <v>141</v>
      </c>
      <c r="AW176" s="360" t="s">
        <v>138</v>
      </c>
      <c r="AX176" s="360" t="s">
        <v>143</v>
      </c>
      <c r="AY176" s="61" t="str">
        <f>IFERROR(__xludf.DUMMYFUNCTION("vlookup(BB176,importrange(""https://docs.google.com/spreadsheets/d/1d2vevQ_7D_v35q4wCQ4RpQ_IPoTwEMB9Yp6ymwlPqew/edit?gid=984458430#gid=984458430"", ""'replication success'!A:K""), 11, FAlSE)"),"successful")</f>
        <v>successful</v>
      </c>
      <c r="AZ176" s="61" t="str">
        <f>IFERROR(__xludf.DUMMYFUNCTION("vlookup(BB176,importrange(""https://docs.google.com/spreadsheets/d/1d2vevQ_7D_v35q4wCQ4RpQ_IPoTwEMB9Yp6ymwlPqew/edit?gid=984458430#gid=984458430"",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6" s="61" t="str">
        <f>IFERROR(__xludf.DUMMYFUNCTION("vlookup(BB176,importrange(""https://docs.google.com/spreadsheets/d/1d2vevQ_7D_v35q4wCQ4RpQ_IPoTwEMB9Yp6ymwlPqew/edit?gid=984458430#gid=984458430"", ""'replication success'!A:M""), 13, FAlSE)"),"abstract")</f>
        <v>abstract</v>
      </c>
      <c r="BB176" s="61" t="str">
        <f>IFERROR(__xludf.DUMMYFUNCTION("REGEXREPLACE(G176, ""_[a-z]{1,2}$"", """")"),"additional_studies3")</f>
        <v>additional_studies3</v>
      </c>
      <c r="BD176" s="467" t="s">
        <v>814</v>
      </c>
    </row>
    <row r="177" ht="20.25" customHeight="1">
      <c r="A177" s="44">
        <v>177.0</v>
      </c>
      <c r="B177" s="397" t="s">
        <v>114</v>
      </c>
      <c r="C177" s="397" t="s">
        <v>115</v>
      </c>
      <c r="D177" s="397" t="s">
        <v>221</v>
      </c>
      <c r="E177" s="220"/>
      <c r="F177" s="265" t="s">
        <v>1070</v>
      </c>
      <c r="G177" s="47" t="s">
        <v>1095</v>
      </c>
      <c r="H177" s="360" t="s">
        <v>221</v>
      </c>
      <c r="I177" s="344">
        <v>45686.0</v>
      </c>
      <c r="J177" s="472">
        <v>45786.0</v>
      </c>
      <c r="K177" s="360" t="s">
        <v>1101</v>
      </c>
      <c r="L177" s="56" t="s">
        <v>1096</v>
      </c>
      <c r="M177" s="360" t="s">
        <v>1074</v>
      </c>
      <c r="N177" s="360" t="s">
        <v>1075</v>
      </c>
      <c r="O177" s="371">
        <v>1.0</v>
      </c>
      <c r="P177" s="382" t="s">
        <v>1076</v>
      </c>
      <c r="Q177" s="52" t="str">
        <f t="array" ref="Q177"> if(iserror(MATCH(V177, 'File Links'!C:C, 0)), "N/A", HYPERLINK(INDEX('File Links'!B:B, MATCH(P177, 'File Links'!C:C, 0))))</f>
        <v>https://drive.google.com/file/d/1GCYFeLrlGpCBF1GyjSAAd1YFst71bifH/view?usp=drivesdk</v>
      </c>
      <c r="R177" s="360" t="s">
        <v>1077</v>
      </c>
      <c r="S177" s="57" t="s">
        <v>1078</v>
      </c>
      <c r="T177" s="46"/>
      <c r="U177" s="371">
        <v>1.0</v>
      </c>
      <c r="V177" s="66" t="str">
        <f> hyperlink(vlookup(lower(S177),'File Links'!E:F, 2, FALSE), SUBSTITUTE(lower(S177), "/", "--") &amp;  ".pdf")</f>
        <v>10.1016--j.paid.2024.112692.pdf</v>
      </c>
      <c r="W177" s="360" t="s">
        <v>1103</v>
      </c>
      <c r="X177" s="54" t="str">
        <f t="array" ref="X177"> if(iserror(MATCH(V177, 'File Links'!C:C, 0)), "N/A", HYPERLINK(INDEX('File Links'!B:B, MATCH(V177, 'File Links'!C:C, 0))))</f>
        <v>https://drive.google.com/file/d/1maMe58N1aLmqdBUtveOinCFDUWOh5rcE/view?usp=drivesdk</v>
      </c>
      <c r="Y177" s="56" t="s">
        <v>1106</v>
      </c>
      <c r="Z177" s="360" t="s">
        <v>1079</v>
      </c>
      <c r="AA177" s="491" t="s">
        <v>1080</v>
      </c>
      <c r="AB177" s="360" t="s">
        <v>1104</v>
      </c>
      <c r="AC177" s="360" t="s">
        <v>1107</v>
      </c>
      <c r="AD177" s="360" t="s">
        <v>1108</v>
      </c>
      <c r="AE177" s="357">
        <v>16.0</v>
      </c>
      <c r="AF177" s="357">
        <v>4711.0</v>
      </c>
      <c r="AG177" s="357">
        <v>0.4</v>
      </c>
      <c r="AH177" s="360" t="s">
        <v>139</v>
      </c>
      <c r="AI177" s="360" t="s">
        <v>140</v>
      </c>
      <c r="AJ177" s="386">
        <v>0.001</v>
      </c>
      <c r="AK177" s="47" t="s">
        <v>135</v>
      </c>
      <c r="AL177" s="47" t="s">
        <v>136</v>
      </c>
      <c r="AM177" s="360" t="s">
        <v>141</v>
      </c>
      <c r="AN177" s="47" t="s">
        <v>138</v>
      </c>
      <c r="AO177" s="357">
        <v>3906.0</v>
      </c>
      <c r="AP177" s="496">
        <v>0.36</v>
      </c>
      <c r="AQ177" s="360" t="s">
        <v>139</v>
      </c>
      <c r="AR177" s="360" t="s">
        <v>217</v>
      </c>
      <c r="AS177" s="357">
        <v>0.001</v>
      </c>
      <c r="AT177" s="360" t="s">
        <v>135</v>
      </c>
      <c r="AU177" s="360" t="s">
        <v>136</v>
      </c>
      <c r="AV177" s="360" t="s">
        <v>141</v>
      </c>
      <c r="AW177" s="360" t="s">
        <v>138</v>
      </c>
      <c r="AX177" s="360" t="s">
        <v>143</v>
      </c>
      <c r="AY177" s="61" t="str">
        <f>IFERROR(__xludf.DUMMYFUNCTION("vlookup(BB177,importrange(""https://docs.google.com/spreadsheets/d/1d2vevQ_7D_v35q4wCQ4RpQ_IPoTwEMB9Yp6ymwlPqew/edit?gid=984458430#gid=984458430"", ""'replication success'!A:K""), 11, FAlSE)"),"successful")</f>
        <v>successful</v>
      </c>
      <c r="AZ177" s="61" t="str">
        <f>IFERROR(__xludf.DUMMYFUNCTION("vlookup(BB177,importrange(""https://docs.google.com/spreadsheets/d/1d2vevQ_7D_v35q4wCQ4RpQ_IPoTwEMB9Yp6ymwlPqew/edit?gid=984458430#gid=984458430"", ""'replication success'!A:M""), 12, FAlSE)"),"The present study replicated this bi-factor structure of repetitive thinking in a younger sample from the Netherlands (N = 3906).")</f>
        <v>The present study replicated this bi-factor structure of repetitive thinking in a younger sample from the Netherlands (N = 3906).</v>
      </c>
      <c r="BA177" s="61" t="str">
        <f>IFERROR(__xludf.DUMMYFUNCTION("vlookup(BB177,importrange(""https://docs.google.com/spreadsheets/d/1d2vevQ_7D_v35q4wCQ4RpQ_IPoTwEMB9Yp6ymwlPqew/edit?gid=984458430#gid=984458430"", ""'replication success'!A:M""), 13, FAlSE)"),"abstract")</f>
        <v>abstract</v>
      </c>
      <c r="BB177" s="61" t="str">
        <f>IFERROR(__xludf.DUMMYFUNCTION("REGEXREPLACE(G177, ""_[a-z]{1,2}$"", """")"),"additional_studies3")</f>
        <v>additional_studies3</v>
      </c>
      <c r="BD177" s="467" t="s">
        <v>814</v>
      </c>
    </row>
    <row r="178" ht="20.25" customHeight="1">
      <c r="A178" s="44">
        <v>178.0</v>
      </c>
      <c r="B178" s="340" t="s">
        <v>114</v>
      </c>
      <c r="C178" s="340" t="s">
        <v>115</v>
      </c>
      <c r="D178" s="340" t="s">
        <v>753</v>
      </c>
      <c r="E178" s="354"/>
      <c r="F178" s="341" t="s">
        <v>1109</v>
      </c>
      <c r="G178" s="340" t="s">
        <v>1110</v>
      </c>
      <c r="H178" s="340" t="s">
        <v>753</v>
      </c>
      <c r="I178" s="352">
        <v>45427.0</v>
      </c>
      <c r="J178" s="354"/>
      <c r="K178" s="354"/>
      <c r="L178" s="340" t="s">
        <v>1111</v>
      </c>
      <c r="M178" s="340" t="s">
        <v>1112</v>
      </c>
      <c r="N178" s="340" t="s">
        <v>1113</v>
      </c>
      <c r="O178" s="354"/>
      <c r="P178" s="355" t="str">
        <f> hyperlink(vlookup(lower(N178),'File Links'!A:B, 2, FALSE), SUBSTITUTE(lower(N178), "/", "--") &amp;  ".pdf")</f>
        <v>10.1016--j.learninstruc.2018.04.006.pdf</v>
      </c>
      <c r="Q178" s="104" t="str">
        <f t="array" ref="Q178"> if(iserror(MATCH(V178, 'File Links'!C:C, 0)), "N/A", HYPERLINK(INDEX('File Links'!B:B, MATCH(P178, 'File Links'!C:C, 0))))</f>
        <v>https://drive.google.com/file/d/1woJDHccS6Df_7DkKmeLElCzqxpjoRtns/view?usp=drivesdk</v>
      </c>
      <c r="R178" s="340" t="s">
        <v>1114</v>
      </c>
      <c r="S178" s="497" t="s">
        <v>1115</v>
      </c>
      <c r="T178" s="354"/>
      <c r="U178" s="354"/>
      <c r="V178" s="340" t="str">
        <f> hyperlink(vlookup(lower(S178),'File Links'!E:F, 2, FALSE), SUBSTITUTE(lower(S178), "/", "--") &amp;  ".pdf")</f>
        <v>10.1080--0163853x.2024.2339738.pdf</v>
      </c>
      <c r="W178" s="354"/>
      <c r="X178" s="54" t="str">
        <f t="array" ref="X178"> if(iserror(MATCH(V178, 'File Links'!C:C, 0)), "N/A", HYPERLINK(INDEX('File Links'!B:B, MATCH(V178, 'File Links'!C:C, 0))))</f>
        <v>https://drive.google.com/file/d/1qKtm6cJaGp1OYT52DZ-rdF0umAGshXgk/view?usp=drivesdk</v>
      </c>
      <c r="Y178" s="354"/>
      <c r="Z178" s="340" t="s">
        <v>1116</v>
      </c>
      <c r="AA178" s="354"/>
      <c r="AB178" s="497" t="s">
        <v>1117</v>
      </c>
      <c r="AC178" s="340" t="s">
        <v>1118</v>
      </c>
      <c r="AD178" s="354"/>
      <c r="AE178" s="354"/>
      <c r="AF178" s="354"/>
      <c r="AG178" s="354"/>
      <c r="AH178" s="354"/>
      <c r="AI178" s="354"/>
      <c r="AJ178" s="340"/>
      <c r="AK178" s="354"/>
      <c r="AL178" s="354"/>
      <c r="AM178" s="342"/>
      <c r="AN178" s="47" t="s">
        <v>138</v>
      </c>
      <c r="AO178" s="354"/>
      <c r="AP178" s="354"/>
      <c r="AQ178" s="354"/>
      <c r="AR178" s="354"/>
      <c r="AS178" s="354"/>
      <c r="AT178" s="354"/>
      <c r="AU178" s="354"/>
      <c r="AV178" s="342"/>
      <c r="AW178" s="342"/>
      <c r="AX178" s="46"/>
      <c r="AY178" s="61" t="str">
        <f>IFERROR(__xludf.DUMMYFUNCTION("vlookup(BB178,importrange(""https://docs.google.com/spreadsheets/d/1d2vevQ_7D_v35q4wCQ4RpQ_IPoTwEMB9Yp6ymwlPqew/edit?gid=984458430#gid=984458430"", ""'replication success'!A:K""), 11, FAlSE)"),"successful")</f>
        <v>successful</v>
      </c>
      <c r="AZ178" s="61" t="str">
        <f>IFERROR(__xludf.DUMMYFUNCTION("vlookup(BB178,importrange(""https://docs.google.com/spreadsheets/d/1d2vevQ_7D_v35q4wCQ4RpQ_IPoTwEMB9Yp6ymwlPqew/edit?gid=984458430#gid=984458430"",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78" s="61" t="str">
        <f>IFERROR(__xludf.DUMMYFUNCTION("vlookup(BB178,importrange(""https://docs.google.com/spreadsheets/d/1d2vevQ_7D_v35q4wCQ4RpQ_IPoTwEMB9Yp6ymwlPqew/edit?gid=984458430#gid=984458430"", ""'replication success'!A:M""), 13, FAlSE)"),"pg. 9")</f>
        <v>pg. 9</v>
      </c>
      <c r="BB178" s="61" t="str">
        <f>IFERROR(__xludf.DUMMYFUNCTION("REGEXREPLACE(G178, ""_[a-z]{1,2}$"", """")"),"additional_studies30")</f>
        <v>additional_studies30</v>
      </c>
      <c r="BC178" s="340" t="s">
        <v>1119</v>
      </c>
      <c r="BD178" s="341" t="s">
        <v>692</v>
      </c>
      <c r="BE178" s="342"/>
      <c r="BF178" s="342"/>
      <c r="BG178" s="342"/>
      <c r="BH178" s="342"/>
      <c r="BI178" s="342"/>
      <c r="BJ178" s="342"/>
      <c r="BK178" s="342"/>
      <c r="BL178" s="342"/>
      <c r="BM178" s="342"/>
      <c r="BN178" s="342"/>
      <c r="BO178" s="342"/>
      <c r="BP178" s="342"/>
      <c r="BQ178" s="342"/>
      <c r="BR178" s="342"/>
      <c r="BS178" s="342"/>
      <c r="BT178" s="342"/>
      <c r="BU178" s="342"/>
      <c r="BV178" s="342"/>
      <c r="BW178" s="342"/>
      <c r="BX178" s="342"/>
      <c r="BY178" s="342"/>
      <c r="BZ178" s="342"/>
      <c r="CA178" s="342"/>
      <c r="CB178" s="342"/>
      <c r="CC178" s="342"/>
      <c r="CD178" s="342"/>
      <c r="CE178" s="342"/>
      <c r="CF178" s="342"/>
      <c r="CG178" s="342"/>
      <c r="CH178" s="342"/>
      <c r="CI178" s="342"/>
      <c r="CJ178" s="342"/>
      <c r="CK178" s="342"/>
      <c r="CL178" s="342"/>
      <c r="CM178" s="342"/>
      <c r="CN178" s="342"/>
      <c r="CO178" s="342"/>
      <c r="CP178" s="342"/>
      <c r="CQ178" s="342"/>
      <c r="CR178" s="342"/>
      <c r="CS178" s="342"/>
      <c r="CT178" s="342"/>
      <c r="CU178" s="342"/>
      <c r="CV178" s="342"/>
      <c r="CW178" s="342"/>
      <c r="CX178" s="342"/>
      <c r="CY178" s="342"/>
      <c r="CZ178" s="342"/>
      <c r="DA178" s="342"/>
      <c r="DB178" s="342"/>
      <c r="DC178" s="342"/>
      <c r="DD178" s="342"/>
      <c r="DE178" s="342"/>
      <c r="DF178" s="342"/>
      <c r="DG178" s="342"/>
      <c r="DH178" s="342"/>
      <c r="DI178" s="342"/>
      <c r="DJ178" s="342"/>
      <c r="DK178" s="342"/>
      <c r="DL178" s="342"/>
    </row>
    <row r="179" ht="20.25" customHeight="1">
      <c r="A179" s="44">
        <v>179.0</v>
      </c>
      <c r="B179" s="340" t="s">
        <v>152</v>
      </c>
      <c r="C179" s="341" t="s">
        <v>115</v>
      </c>
      <c r="D179" s="341" t="s">
        <v>248</v>
      </c>
      <c r="E179" s="342"/>
      <c r="F179" s="46" t="s">
        <v>1109</v>
      </c>
      <c r="G179" s="49" t="s">
        <v>1110</v>
      </c>
      <c r="H179" s="49" t="s">
        <v>249</v>
      </c>
      <c r="I179" s="48">
        <v>45644.0</v>
      </c>
      <c r="J179" s="342"/>
      <c r="K179" s="49"/>
      <c r="L179" s="56" t="s">
        <v>1120</v>
      </c>
      <c r="M179" s="49" t="s">
        <v>1112</v>
      </c>
      <c r="N179" s="49" t="s">
        <v>1113</v>
      </c>
      <c r="O179" s="56">
        <v>1.0</v>
      </c>
      <c r="P179" s="498" t="str">
        <f> hyperlink(vlookup(lower(N179),'File Links'!E:F, 2, FALSE), SUBSTITUTE(lower(N179), "/", "--") &amp;  ".pdf")</f>
        <v>10.1016--j.learninstruc.2018.04.006.pdf</v>
      </c>
      <c r="Q179" s="104" t="str">
        <f t="array" ref="Q179"> if(iserror(MATCH(V179, 'File Links'!C:C, 0)), "N/A", HYPERLINK(INDEX('File Links'!B:B, MATCH(P179, 'File Links'!C:C, 0))))</f>
        <v>https://drive.google.com/file/d/1woJDHccS6Df_7DkKmeLElCzqxpjoRtns/view?usp=drivesdk</v>
      </c>
      <c r="R179" s="499" t="s">
        <v>1121</v>
      </c>
      <c r="S179" s="49" t="s">
        <v>1115</v>
      </c>
      <c r="T179" s="49"/>
      <c r="U179" s="56">
        <v>1.0</v>
      </c>
      <c r="V179" s="340" t="str">
        <f> hyperlink(vlookup(lower(S179),'File Links'!E:F, 2, FALSE), SUBSTITUTE(lower(S179), "/", "--") &amp;  ".pdf")</f>
        <v>10.1080--0163853x.2024.2339738.pdf</v>
      </c>
      <c r="W179" s="49" t="s">
        <v>1122</v>
      </c>
      <c r="X179" s="54" t="str">
        <f t="array" ref="X179"> if(iserror(MATCH(V179, 'File Links'!C:C, 0)), "N/A", HYPERLINK(INDEX('File Links'!B:B, MATCH(V179, 'File Links'!C:C, 0))))</f>
        <v>https://drive.google.com/file/d/1qKtm6cJaGp1OYT52DZ-rdF0umAGshXgk/view?usp=drivesdk</v>
      </c>
      <c r="Y179" s="49"/>
      <c r="Z179" s="49" t="s">
        <v>241</v>
      </c>
      <c r="AA179" s="56" t="s">
        <v>1123</v>
      </c>
      <c r="AB179" s="49" t="s">
        <v>1117</v>
      </c>
      <c r="AC179" s="49"/>
      <c r="AD179" s="56" t="s">
        <v>1124</v>
      </c>
      <c r="AE179" s="500">
        <v>59.0</v>
      </c>
      <c r="AF179" s="50">
        <v>137.0</v>
      </c>
      <c r="AG179" s="50">
        <v>0.09</v>
      </c>
      <c r="AH179" s="105" t="s">
        <v>1125</v>
      </c>
      <c r="AI179" s="49" t="s">
        <v>1126</v>
      </c>
      <c r="AJ179" s="50">
        <v>0.05</v>
      </c>
      <c r="AK179" s="46" t="s">
        <v>135</v>
      </c>
      <c r="AL179" s="49" t="s">
        <v>186</v>
      </c>
      <c r="AM179" s="49" t="s">
        <v>141</v>
      </c>
      <c r="AN179" s="49" t="s">
        <v>138</v>
      </c>
      <c r="AO179" s="50">
        <v>229.0</v>
      </c>
      <c r="AP179" s="50">
        <v>0.29</v>
      </c>
      <c r="AQ179" s="49" t="s">
        <v>361</v>
      </c>
      <c r="AR179" s="49" t="s">
        <v>1127</v>
      </c>
      <c r="AS179" s="50">
        <v>0.01</v>
      </c>
      <c r="AT179" s="46" t="s">
        <v>135</v>
      </c>
      <c r="AU179" s="46" t="s">
        <v>186</v>
      </c>
      <c r="AV179" s="46" t="s">
        <v>141</v>
      </c>
      <c r="AW179" s="60" t="s">
        <v>1128</v>
      </c>
      <c r="AX179" s="60" t="s">
        <v>151</v>
      </c>
      <c r="AY179" s="61" t="str">
        <f>IFERROR(__xludf.DUMMYFUNCTION("vlookup(BB179,importrange(""https://docs.google.com/spreadsheets/d/1d2vevQ_7D_v35q4wCQ4RpQ_IPoTwEMB9Yp6ymwlPqew/edit?gid=984458430#gid=984458430"", ""'replication success'!A:K""), 11, FAlSE)"),"successful")</f>
        <v>successful</v>
      </c>
      <c r="AZ179" s="61" t="str">
        <f>IFERROR(__xludf.DUMMYFUNCTION("vlookup(BB179,importrange(""https://docs.google.com/spreadsheets/d/1d2vevQ_7D_v35q4wCQ4RpQ_IPoTwEMB9Yp6ymwlPqew/edit?gid=984458430#gid=984458430"",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79" s="61" t="str">
        <f>IFERROR(__xludf.DUMMYFUNCTION("vlookup(BB179,importrange(""https://docs.google.com/spreadsheets/d/1d2vevQ_7D_v35q4wCQ4RpQ_IPoTwEMB9Yp6ymwlPqew/edit?gid=984458430#gid=984458430"", ""'replication success'!A:M""), 13, FAlSE)"),"pg. 9")</f>
        <v>pg. 9</v>
      </c>
      <c r="BB179" s="61" t="str">
        <f>IFERROR(__xludf.DUMMYFUNCTION("REGEXREPLACE(G179, ""_[a-z]{1,2}$"", """")"),"additional_studies30")</f>
        <v>additional_studies30</v>
      </c>
      <c r="BC179" s="56" t="s">
        <v>1129</v>
      </c>
      <c r="BD179" s="341" t="s">
        <v>692</v>
      </c>
      <c r="BE179" s="342"/>
      <c r="BF179" s="342"/>
      <c r="BG179" s="342"/>
      <c r="BH179" s="342"/>
      <c r="BI179" s="342"/>
      <c r="BJ179" s="342"/>
      <c r="BK179" s="342"/>
      <c r="BL179" s="342"/>
      <c r="BM179" s="342"/>
      <c r="BN179" s="342"/>
      <c r="BO179" s="342"/>
      <c r="BP179" s="342"/>
      <c r="BQ179" s="342"/>
      <c r="BR179" s="342"/>
      <c r="BS179" s="342"/>
      <c r="BT179" s="342"/>
      <c r="BU179" s="342"/>
      <c r="BV179" s="342"/>
      <c r="BW179" s="342"/>
      <c r="BX179" s="342"/>
      <c r="BY179" s="342"/>
      <c r="BZ179" s="342"/>
      <c r="CA179" s="342"/>
      <c r="CB179" s="342"/>
      <c r="CC179" s="342"/>
      <c r="CD179" s="342"/>
      <c r="CE179" s="342"/>
      <c r="CF179" s="342"/>
      <c r="CG179" s="342"/>
      <c r="CH179" s="342"/>
      <c r="CI179" s="342"/>
      <c r="CJ179" s="342"/>
      <c r="CK179" s="342"/>
      <c r="CL179" s="342"/>
      <c r="CM179" s="342"/>
      <c r="CN179" s="342"/>
      <c r="CO179" s="342"/>
      <c r="CP179" s="342"/>
      <c r="CQ179" s="342"/>
      <c r="CR179" s="342"/>
      <c r="CS179" s="342"/>
      <c r="CT179" s="342"/>
      <c r="CU179" s="342"/>
      <c r="CV179" s="342"/>
      <c r="CW179" s="342"/>
      <c r="CX179" s="342"/>
      <c r="CY179" s="342"/>
      <c r="CZ179" s="342"/>
      <c r="DA179" s="342"/>
      <c r="DB179" s="342"/>
      <c r="DC179" s="342"/>
      <c r="DD179" s="342"/>
      <c r="DE179" s="342"/>
      <c r="DF179" s="342"/>
      <c r="DG179" s="342"/>
      <c r="DH179" s="342"/>
      <c r="DI179" s="342"/>
      <c r="DJ179" s="342"/>
      <c r="DK179" s="342"/>
      <c r="DL179" s="342"/>
    </row>
    <row r="180" ht="20.25" customHeight="1">
      <c r="A180" s="44">
        <v>180.0</v>
      </c>
      <c r="B180" s="340" t="s">
        <v>152</v>
      </c>
      <c r="C180" s="341" t="s">
        <v>115</v>
      </c>
      <c r="D180" s="341" t="s">
        <v>248</v>
      </c>
      <c r="E180" s="342"/>
      <c r="F180" s="46" t="s">
        <v>1109</v>
      </c>
      <c r="G180" s="49" t="s">
        <v>1130</v>
      </c>
      <c r="H180" s="49" t="s">
        <v>249</v>
      </c>
      <c r="I180" s="48">
        <v>45644.0</v>
      </c>
      <c r="J180" s="342"/>
      <c r="K180" s="49"/>
      <c r="L180" s="56" t="s">
        <v>1120</v>
      </c>
      <c r="M180" s="49" t="s">
        <v>1112</v>
      </c>
      <c r="N180" s="49" t="s">
        <v>1113</v>
      </c>
      <c r="O180" s="56">
        <v>1.0</v>
      </c>
      <c r="P180" s="498" t="str">
        <f> hyperlink(vlookup(lower(N180),'File Links'!E:F, 2, FALSE), SUBSTITUTE(lower(N180), "/", "--") &amp;  ".pdf")</f>
        <v>10.1016--j.learninstruc.2018.04.006.pdf</v>
      </c>
      <c r="Q180" s="104" t="str">
        <f t="array" ref="Q180"> if(iserror(MATCH(V180, 'File Links'!C:C, 0)), "N/A", HYPERLINK(INDEX('File Links'!B:B, MATCH(P180, 'File Links'!C:C, 0))))</f>
        <v>https://drive.google.com/file/d/1woJDHccS6Df_7DkKmeLElCzqxpjoRtns/view?usp=drivesdk</v>
      </c>
      <c r="R180" s="499" t="s">
        <v>1121</v>
      </c>
      <c r="S180" s="49" t="s">
        <v>1115</v>
      </c>
      <c r="T180" s="49"/>
      <c r="U180" s="56">
        <v>1.0</v>
      </c>
      <c r="V180" s="340" t="str">
        <f> hyperlink(vlookup(lower(S180),'File Links'!E:F, 2, FALSE), SUBSTITUTE(lower(S180), "/", "--") &amp;  ".pdf")</f>
        <v>10.1080--0163853x.2024.2339738.pdf</v>
      </c>
      <c r="W180" s="49" t="s">
        <v>1122</v>
      </c>
      <c r="X180" s="54" t="str">
        <f t="array" ref="X180"> if(iserror(MATCH(V180, 'File Links'!C:C, 0)), "N/A", HYPERLINK(INDEX('File Links'!B:B, MATCH(V180, 'File Links'!C:C, 0))))</f>
        <v>https://drive.google.com/file/d/1qKtm6cJaGp1OYT52DZ-rdF0umAGshXgk/view?usp=drivesdk</v>
      </c>
      <c r="Y180" s="49"/>
      <c r="Z180" s="49" t="s">
        <v>241</v>
      </c>
      <c r="AA180" s="56" t="s">
        <v>1123</v>
      </c>
      <c r="AB180" s="49" t="s">
        <v>1131</v>
      </c>
      <c r="AC180" s="49"/>
      <c r="AD180" s="56" t="s">
        <v>1132</v>
      </c>
      <c r="AE180" s="500">
        <v>59.0</v>
      </c>
      <c r="AF180" s="50">
        <v>137.0</v>
      </c>
      <c r="AG180" s="50">
        <v>0.08</v>
      </c>
      <c r="AH180" s="105" t="s">
        <v>1125</v>
      </c>
      <c r="AI180" s="49" t="s">
        <v>1126</v>
      </c>
      <c r="AJ180" s="50">
        <v>0.05</v>
      </c>
      <c r="AK180" s="46" t="s">
        <v>135</v>
      </c>
      <c r="AL180" s="49" t="s">
        <v>186</v>
      </c>
      <c r="AM180" s="49" t="s">
        <v>141</v>
      </c>
      <c r="AN180" s="49" t="s">
        <v>138</v>
      </c>
      <c r="AO180" s="50">
        <v>229.0</v>
      </c>
      <c r="AP180" s="55">
        <v>-0.21</v>
      </c>
      <c r="AQ180" s="49" t="s">
        <v>361</v>
      </c>
      <c r="AR180" s="49" t="s">
        <v>1127</v>
      </c>
      <c r="AS180" s="50">
        <v>0.01</v>
      </c>
      <c r="AT180" s="46" t="s">
        <v>135</v>
      </c>
      <c r="AU180" s="46" t="s">
        <v>186</v>
      </c>
      <c r="AV180" s="46" t="s">
        <v>141</v>
      </c>
      <c r="AW180" s="60" t="s">
        <v>1128</v>
      </c>
      <c r="AX180" s="60" t="s">
        <v>151</v>
      </c>
      <c r="AY180" s="61" t="str">
        <f>IFERROR(__xludf.DUMMYFUNCTION("vlookup(BB180,importrange(""https://docs.google.com/spreadsheets/d/1d2vevQ_7D_v35q4wCQ4RpQ_IPoTwEMB9Yp6ymwlPqew/edit?gid=984458430#gid=984458430"", ""'replication success'!A:K""), 11, FAlSE)"),"successful")</f>
        <v>successful</v>
      </c>
      <c r="AZ180" s="61" t="str">
        <f>IFERROR(__xludf.DUMMYFUNCTION("vlookup(BB180,importrange(""https://docs.google.com/spreadsheets/d/1d2vevQ_7D_v35q4wCQ4RpQ_IPoTwEMB9Yp6ymwlPqew/edit?gid=984458430#gid=984458430"",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0" s="61" t="str">
        <f>IFERROR(__xludf.DUMMYFUNCTION("vlookup(BB180,importrange(""https://docs.google.com/spreadsheets/d/1d2vevQ_7D_v35q4wCQ4RpQ_IPoTwEMB9Yp6ymwlPqew/edit?gid=984458430#gid=984458430"", ""'replication success'!A:M""), 13, FAlSE)"),"pg. 9")</f>
        <v>pg. 9</v>
      </c>
      <c r="BB180" s="61" t="str">
        <f>IFERROR(__xludf.DUMMYFUNCTION("REGEXREPLACE(G180, ""_[a-z]{1,2}$"", """")"),"additional_studies30")</f>
        <v>additional_studies30</v>
      </c>
      <c r="BC180" s="49"/>
      <c r="BD180" s="341" t="s">
        <v>692</v>
      </c>
      <c r="BE180" s="342"/>
      <c r="BF180" s="342"/>
      <c r="BG180" s="342"/>
      <c r="BH180" s="342"/>
      <c r="BI180" s="342"/>
      <c r="BJ180" s="342"/>
      <c r="BK180" s="342"/>
      <c r="BL180" s="342"/>
      <c r="BM180" s="342"/>
      <c r="BN180" s="342"/>
      <c r="BO180" s="342"/>
      <c r="BP180" s="342"/>
      <c r="BQ180" s="342"/>
      <c r="BR180" s="342"/>
      <c r="BS180" s="342"/>
      <c r="BT180" s="342"/>
      <c r="BU180" s="342"/>
      <c r="BV180" s="342"/>
      <c r="BW180" s="342"/>
      <c r="BX180" s="342"/>
      <c r="BY180" s="342"/>
      <c r="BZ180" s="342"/>
      <c r="CA180" s="342"/>
      <c r="CB180" s="342"/>
      <c r="CC180" s="342"/>
      <c r="CD180" s="342"/>
      <c r="CE180" s="342"/>
      <c r="CF180" s="342"/>
      <c r="CG180" s="342"/>
      <c r="CH180" s="342"/>
      <c r="CI180" s="342"/>
      <c r="CJ180" s="342"/>
      <c r="CK180" s="342"/>
      <c r="CL180" s="342"/>
      <c r="CM180" s="342"/>
      <c r="CN180" s="342"/>
      <c r="CO180" s="342"/>
      <c r="CP180" s="342"/>
      <c r="CQ180" s="342"/>
      <c r="CR180" s="342"/>
      <c r="CS180" s="342"/>
      <c r="CT180" s="342"/>
      <c r="CU180" s="342"/>
      <c r="CV180" s="342"/>
      <c r="CW180" s="342"/>
      <c r="CX180" s="342"/>
      <c r="CY180" s="342"/>
      <c r="CZ180" s="342"/>
      <c r="DA180" s="342"/>
      <c r="DB180" s="342"/>
      <c r="DC180" s="342"/>
      <c r="DD180" s="342"/>
      <c r="DE180" s="342"/>
      <c r="DF180" s="342"/>
      <c r="DG180" s="342"/>
      <c r="DH180" s="342"/>
      <c r="DI180" s="342"/>
      <c r="DJ180" s="342"/>
      <c r="DK180" s="342"/>
      <c r="DL180" s="342"/>
    </row>
    <row r="181" ht="20.25" customHeight="1">
      <c r="A181" s="44">
        <v>181.0</v>
      </c>
      <c r="B181" s="340" t="s">
        <v>152</v>
      </c>
      <c r="C181" s="341" t="s">
        <v>115</v>
      </c>
      <c r="D181" s="341" t="s">
        <v>248</v>
      </c>
      <c r="E181" s="342"/>
      <c r="F181" s="46" t="s">
        <v>1109</v>
      </c>
      <c r="G181" s="49" t="s">
        <v>1133</v>
      </c>
      <c r="H181" s="49" t="s">
        <v>249</v>
      </c>
      <c r="I181" s="48">
        <v>45644.0</v>
      </c>
      <c r="J181" s="342"/>
      <c r="K181" s="49"/>
      <c r="L181" s="56" t="s">
        <v>1120</v>
      </c>
      <c r="M181" s="49" t="s">
        <v>1112</v>
      </c>
      <c r="N181" s="49" t="s">
        <v>1113</v>
      </c>
      <c r="O181" s="56">
        <v>1.0</v>
      </c>
      <c r="P181" s="498" t="str">
        <f> hyperlink(vlookup(lower(N181),'File Links'!E:F, 2, FALSE), SUBSTITUTE(lower(N181), "/", "--") &amp;  ".pdf")</f>
        <v>10.1016--j.learninstruc.2018.04.006.pdf</v>
      </c>
      <c r="Q181" s="104" t="str">
        <f t="array" ref="Q181"> if(iserror(MATCH(V181, 'File Links'!C:C, 0)), "N/A", HYPERLINK(INDEX('File Links'!B:B, MATCH(P181, 'File Links'!C:C, 0))))</f>
        <v>https://drive.google.com/file/d/1woJDHccS6Df_7DkKmeLElCzqxpjoRtns/view?usp=drivesdk</v>
      </c>
      <c r="R181" s="499" t="s">
        <v>1121</v>
      </c>
      <c r="S181" s="49" t="s">
        <v>1115</v>
      </c>
      <c r="T181" s="49"/>
      <c r="U181" s="56">
        <v>1.0</v>
      </c>
      <c r="V181" s="340" t="str">
        <f> hyperlink(vlookup(lower(S181),'File Links'!E:F, 2, FALSE), SUBSTITUTE(lower(S181), "/", "--") &amp;  ".pdf")</f>
        <v>10.1080--0163853x.2024.2339738.pdf</v>
      </c>
      <c r="W181" s="49" t="s">
        <v>1122</v>
      </c>
      <c r="X181" s="54" t="str">
        <f t="array" ref="X181"> if(iserror(MATCH(V181, 'File Links'!C:C, 0)), "N/A", HYPERLINK(INDEX('File Links'!B:B, MATCH(V181, 'File Links'!C:C, 0))))</f>
        <v>https://drive.google.com/file/d/1qKtm6cJaGp1OYT52DZ-rdF0umAGshXgk/view?usp=drivesdk</v>
      </c>
      <c r="Y181" s="49"/>
      <c r="Z181" s="49" t="s">
        <v>241</v>
      </c>
      <c r="AA181" s="56" t="s">
        <v>1123</v>
      </c>
      <c r="AB181" s="49" t="s">
        <v>1134</v>
      </c>
      <c r="AC181" s="49"/>
      <c r="AD181" s="56" t="s">
        <v>1135</v>
      </c>
      <c r="AE181" s="500">
        <v>59.0</v>
      </c>
      <c r="AF181" s="50">
        <v>137.0</v>
      </c>
      <c r="AG181" s="50">
        <v>0.37</v>
      </c>
      <c r="AH181" s="105" t="s">
        <v>1125</v>
      </c>
      <c r="AI181" s="49" t="s">
        <v>1126</v>
      </c>
      <c r="AJ181" s="50">
        <v>0.001</v>
      </c>
      <c r="AK181" s="46" t="s">
        <v>135</v>
      </c>
      <c r="AL181" s="49" t="s">
        <v>186</v>
      </c>
      <c r="AM181" s="49" t="s">
        <v>141</v>
      </c>
      <c r="AN181" s="49" t="s">
        <v>138</v>
      </c>
      <c r="AO181" s="50">
        <v>229.0</v>
      </c>
      <c r="AP181" s="50">
        <v>1.57</v>
      </c>
      <c r="AQ181" s="49" t="s">
        <v>361</v>
      </c>
      <c r="AR181" s="49" t="s">
        <v>1127</v>
      </c>
      <c r="AS181" s="50">
        <v>0.001</v>
      </c>
      <c r="AT181" s="46" t="s">
        <v>135</v>
      </c>
      <c r="AU181" s="46" t="s">
        <v>186</v>
      </c>
      <c r="AV181" s="46" t="s">
        <v>141</v>
      </c>
      <c r="AW181" s="60" t="s">
        <v>1128</v>
      </c>
      <c r="AX181" s="60" t="s">
        <v>151</v>
      </c>
      <c r="AY181" s="61" t="str">
        <f>IFERROR(__xludf.DUMMYFUNCTION("vlookup(BB181,importrange(""https://docs.google.com/spreadsheets/d/1d2vevQ_7D_v35q4wCQ4RpQ_IPoTwEMB9Yp6ymwlPqew/edit?gid=984458430#gid=984458430"", ""'replication success'!A:K""), 11, FAlSE)"),"successful")</f>
        <v>successful</v>
      </c>
      <c r="AZ181" s="61" t="str">
        <f>IFERROR(__xludf.DUMMYFUNCTION("vlookup(BB181,importrange(""https://docs.google.com/spreadsheets/d/1d2vevQ_7D_v35q4wCQ4RpQ_IPoTwEMB9Yp6ymwlPqew/edit?gid=984458430#gid=984458430"",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1" s="61" t="str">
        <f>IFERROR(__xludf.DUMMYFUNCTION("vlookup(BB181,importrange(""https://docs.google.com/spreadsheets/d/1d2vevQ_7D_v35q4wCQ4RpQ_IPoTwEMB9Yp6ymwlPqew/edit?gid=984458430#gid=984458430"", ""'replication success'!A:M""), 13, FAlSE)"),"pg. 9")</f>
        <v>pg. 9</v>
      </c>
      <c r="BB181" s="61" t="str">
        <f>IFERROR(__xludf.DUMMYFUNCTION("REGEXREPLACE(G181, ""_[a-z]{1,2}$"", """")"),"additional_studies30")</f>
        <v>additional_studies30</v>
      </c>
      <c r="BC181" s="49"/>
      <c r="BD181" s="341" t="s">
        <v>692</v>
      </c>
      <c r="BE181" s="342"/>
      <c r="BF181" s="342"/>
      <c r="BG181" s="342"/>
      <c r="BH181" s="342"/>
      <c r="BI181" s="342"/>
      <c r="BJ181" s="342"/>
      <c r="BK181" s="342"/>
      <c r="BL181" s="342"/>
      <c r="BM181" s="342"/>
      <c r="BN181" s="342"/>
      <c r="BO181" s="342"/>
      <c r="BP181" s="342"/>
      <c r="BQ181" s="342"/>
      <c r="BR181" s="342"/>
      <c r="BS181" s="342"/>
      <c r="BT181" s="342"/>
      <c r="BU181" s="342"/>
      <c r="BV181" s="342"/>
      <c r="BW181" s="342"/>
      <c r="BX181" s="342"/>
      <c r="BY181" s="342"/>
      <c r="BZ181" s="342"/>
      <c r="CA181" s="342"/>
      <c r="CB181" s="342"/>
      <c r="CC181" s="342"/>
      <c r="CD181" s="342"/>
      <c r="CE181" s="342"/>
      <c r="CF181" s="342"/>
      <c r="CG181" s="342"/>
      <c r="CH181" s="342"/>
      <c r="CI181" s="342"/>
      <c r="CJ181" s="342"/>
      <c r="CK181" s="342"/>
      <c r="CL181" s="342"/>
      <c r="CM181" s="342"/>
      <c r="CN181" s="342"/>
      <c r="CO181" s="342"/>
      <c r="CP181" s="342"/>
      <c r="CQ181" s="342"/>
      <c r="CR181" s="342"/>
      <c r="CS181" s="342"/>
      <c r="CT181" s="342"/>
      <c r="CU181" s="342"/>
      <c r="CV181" s="342"/>
      <c r="CW181" s="342"/>
      <c r="CX181" s="342"/>
      <c r="CY181" s="342"/>
      <c r="CZ181" s="342"/>
      <c r="DA181" s="342"/>
      <c r="DB181" s="342"/>
      <c r="DC181" s="342"/>
      <c r="DD181" s="342"/>
      <c r="DE181" s="342"/>
      <c r="DF181" s="342"/>
      <c r="DG181" s="342"/>
      <c r="DH181" s="342"/>
      <c r="DI181" s="342"/>
      <c r="DJ181" s="342"/>
      <c r="DK181" s="342"/>
      <c r="DL181" s="342"/>
    </row>
    <row r="182" ht="20.25" customHeight="1">
      <c r="A182" s="44">
        <v>182.0</v>
      </c>
      <c r="B182" s="340" t="s">
        <v>152</v>
      </c>
      <c r="C182" s="341" t="s">
        <v>115</v>
      </c>
      <c r="D182" s="341" t="s">
        <v>248</v>
      </c>
      <c r="E182" s="342"/>
      <c r="F182" s="46" t="s">
        <v>1109</v>
      </c>
      <c r="G182" s="49" t="s">
        <v>1136</v>
      </c>
      <c r="H182" s="49" t="s">
        <v>249</v>
      </c>
      <c r="I182" s="48">
        <v>45644.0</v>
      </c>
      <c r="J182" s="342"/>
      <c r="K182" s="49"/>
      <c r="L182" s="56" t="s">
        <v>1137</v>
      </c>
      <c r="M182" s="49" t="s">
        <v>1112</v>
      </c>
      <c r="N182" s="49" t="s">
        <v>1113</v>
      </c>
      <c r="O182" s="56">
        <v>1.0</v>
      </c>
      <c r="P182" s="498" t="str">
        <f> hyperlink(vlookup(lower(N182),'File Links'!E:F, 2, FALSE), SUBSTITUTE(lower(N182), "/", "--") &amp;  ".pdf")</f>
        <v>10.1016--j.learninstruc.2018.04.006.pdf</v>
      </c>
      <c r="Q182" s="104" t="str">
        <f t="array" ref="Q182"> if(iserror(MATCH(V182, 'File Links'!C:C, 0)), "N/A", HYPERLINK(INDEX('File Links'!B:B, MATCH(P182, 'File Links'!C:C, 0))))</f>
        <v>https://drive.google.com/file/d/1woJDHccS6Df_7DkKmeLElCzqxpjoRtns/view?usp=drivesdk</v>
      </c>
      <c r="R182" s="499" t="s">
        <v>1121</v>
      </c>
      <c r="S182" s="49" t="s">
        <v>1115</v>
      </c>
      <c r="T182" s="49"/>
      <c r="U182" s="56">
        <v>1.0</v>
      </c>
      <c r="V182" s="340" t="str">
        <f> hyperlink(vlookup(lower(S182),'File Links'!E:F, 2, FALSE), SUBSTITUTE(lower(S182), "/", "--") &amp;  ".pdf")</f>
        <v>10.1080--0163853x.2024.2339738.pdf</v>
      </c>
      <c r="W182" s="49" t="s">
        <v>1122</v>
      </c>
      <c r="X182" s="54" t="str">
        <f t="array" ref="X182"> if(iserror(MATCH(V182, 'File Links'!C:C, 0)), "N/A", HYPERLINK(INDEX('File Links'!B:B, MATCH(V182, 'File Links'!C:C, 0))))</f>
        <v>https://drive.google.com/file/d/1qKtm6cJaGp1OYT52DZ-rdF0umAGshXgk/view?usp=drivesdk</v>
      </c>
      <c r="Y182" s="49"/>
      <c r="Z182" s="49" t="s">
        <v>241</v>
      </c>
      <c r="AA182" s="56" t="s">
        <v>1123</v>
      </c>
      <c r="AB182" s="49" t="s">
        <v>1138</v>
      </c>
      <c r="AC182" s="49"/>
      <c r="AD182" s="56" t="s">
        <v>1139</v>
      </c>
      <c r="AE182" s="50">
        <v>60.0</v>
      </c>
      <c r="AF182" s="50">
        <v>137.0</v>
      </c>
      <c r="AG182" s="50">
        <v>0.04</v>
      </c>
      <c r="AH182" s="105" t="s">
        <v>1125</v>
      </c>
      <c r="AI182" s="49" t="s">
        <v>1126</v>
      </c>
      <c r="AJ182" s="50">
        <v>0.05</v>
      </c>
      <c r="AK182" s="46" t="s">
        <v>135</v>
      </c>
      <c r="AL182" s="49" t="s">
        <v>186</v>
      </c>
      <c r="AM182" s="49" t="s">
        <v>141</v>
      </c>
      <c r="AN182" s="49" t="s">
        <v>138</v>
      </c>
      <c r="AO182" s="50">
        <v>229.0</v>
      </c>
      <c r="AP182" s="50">
        <v>1.16</v>
      </c>
      <c r="AQ182" s="49" t="s">
        <v>361</v>
      </c>
      <c r="AR182" s="49" t="s">
        <v>1127</v>
      </c>
      <c r="AS182" s="50">
        <v>0.001</v>
      </c>
      <c r="AT182" s="46" t="s">
        <v>135</v>
      </c>
      <c r="AU182" s="46" t="s">
        <v>186</v>
      </c>
      <c r="AV182" s="46" t="s">
        <v>141</v>
      </c>
      <c r="AW182" s="60" t="s">
        <v>1128</v>
      </c>
      <c r="AX182" s="60" t="s">
        <v>151</v>
      </c>
      <c r="AY182" s="61" t="str">
        <f>IFERROR(__xludf.DUMMYFUNCTION("vlookup(BB182,importrange(""https://docs.google.com/spreadsheets/d/1d2vevQ_7D_v35q4wCQ4RpQ_IPoTwEMB9Yp6ymwlPqew/edit?gid=984458430#gid=984458430"", ""'replication success'!A:K""), 11, FAlSE)"),"successful")</f>
        <v>successful</v>
      </c>
      <c r="AZ182" s="61" t="str">
        <f>IFERROR(__xludf.DUMMYFUNCTION("vlookup(BB182,importrange(""https://docs.google.com/spreadsheets/d/1d2vevQ_7D_v35q4wCQ4RpQ_IPoTwEMB9Yp6ymwlPqew/edit?gid=984458430#gid=984458430"",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2" s="61" t="str">
        <f>IFERROR(__xludf.DUMMYFUNCTION("vlookup(BB182,importrange(""https://docs.google.com/spreadsheets/d/1d2vevQ_7D_v35q4wCQ4RpQ_IPoTwEMB9Yp6ymwlPqew/edit?gid=984458430#gid=984458430"", ""'replication success'!A:M""), 13, FAlSE)"),"pg. 9")</f>
        <v>pg. 9</v>
      </c>
      <c r="BB182" s="61" t="str">
        <f>IFERROR(__xludf.DUMMYFUNCTION("REGEXREPLACE(G182, ""_[a-z]{1,2}$"", """")"),"additional_studies30")</f>
        <v>additional_studies30</v>
      </c>
      <c r="BC182" s="49"/>
      <c r="BD182" s="341" t="s">
        <v>692</v>
      </c>
      <c r="BE182" s="342"/>
      <c r="BF182" s="342"/>
      <c r="BG182" s="342"/>
      <c r="BH182" s="342"/>
      <c r="BI182" s="342"/>
      <c r="BJ182" s="342"/>
      <c r="BK182" s="342"/>
      <c r="BL182" s="342"/>
      <c r="BM182" s="342"/>
      <c r="BN182" s="342"/>
      <c r="BO182" s="342"/>
      <c r="BP182" s="342"/>
      <c r="BQ182" s="342"/>
      <c r="BR182" s="342"/>
      <c r="BS182" s="342"/>
      <c r="BT182" s="342"/>
      <c r="BU182" s="342"/>
      <c r="BV182" s="342"/>
      <c r="BW182" s="342"/>
      <c r="BX182" s="342"/>
      <c r="BY182" s="342"/>
      <c r="BZ182" s="342"/>
      <c r="CA182" s="342"/>
      <c r="CB182" s="342"/>
      <c r="CC182" s="342"/>
      <c r="CD182" s="342"/>
      <c r="CE182" s="342"/>
      <c r="CF182" s="342"/>
      <c r="CG182" s="342"/>
      <c r="CH182" s="342"/>
      <c r="CI182" s="342"/>
      <c r="CJ182" s="342"/>
      <c r="CK182" s="342"/>
      <c r="CL182" s="342"/>
      <c r="CM182" s="342"/>
      <c r="CN182" s="342"/>
      <c r="CO182" s="342"/>
      <c r="CP182" s="342"/>
      <c r="CQ182" s="342"/>
      <c r="CR182" s="342"/>
      <c r="CS182" s="342"/>
      <c r="CT182" s="342"/>
      <c r="CU182" s="342"/>
      <c r="CV182" s="342"/>
      <c r="CW182" s="342"/>
      <c r="CX182" s="342"/>
      <c r="CY182" s="342"/>
      <c r="CZ182" s="342"/>
      <c r="DA182" s="342"/>
      <c r="DB182" s="342"/>
      <c r="DC182" s="342"/>
      <c r="DD182" s="342"/>
      <c r="DE182" s="342"/>
      <c r="DF182" s="342"/>
      <c r="DG182" s="342"/>
      <c r="DH182" s="342"/>
      <c r="DI182" s="342"/>
      <c r="DJ182" s="342"/>
      <c r="DK182" s="342"/>
      <c r="DL182" s="342"/>
    </row>
    <row r="183" ht="20.25" customHeight="1">
      <c r="A183" s="44">
        <v>183.0</v>
      </c>
      <c r="B183" s="340" t="s">
        <v>152</v>
      </c>
      <c r="C183" s="341" t="s">
        <v>115</v>
      </c>
      <c r="D183" s="341" t="s">
        <v>248</v>
      </c>
      <c r="E183" s="342"/>
      <c r="F183" s="46" t="s">
        <v>1109</v>
      </c>
      <c r="G183" s="49" t="s">
        <v>1140</v>
      </c>
      <c r="H183" s="49" t="s">
        <v>249</v>
      </c>
      <c r="I183" s="48">
        <v>45644.0</v>
      </c>
      <c r="J183" s="342"/>
      <c r="K183" s="49"/>
      <c r="L183" s="56" t="s">
        <v>1137</v>
      </c>
      <c r="M183" s="49" t="s">
        <v>1112</v>
      </c>
      <c r="N183" s="49" t="s">
        <v>1113</v>
      </c>
      <c r="O183" s="56">
        <v>1.0</v>
      </c>
      <c r="P183" s="498" t="str">
        <f> hyperlink(vlookup(lower(N183),'File Links'!E:F, 2, FALSE), SUBSTITUTE(lower(N183), "/", "--") &amp;  ".pdf")</f>
        <v>10.1016--j.learninstruc.2018.04.006.pdf</v>
      </c>
      <c r="Q183" s="104" t="str">
        <f t="array" ref="Q183"> if(iserror(MATCH(V183, 'File Links'!C:C, 0)), "N/A", HYPERLINK(INDEX('File Links'!B:B, MATCH(P183, 'File Links'!C:C, 0))))</f>
        <v>https://drive.google.com/file/d/1woJDHccS6Df_7DkKmeLElCzqxpjoRtns/view?usp=drivesdk</v>
      </c>
      <c r="R183" s="499" t="s">
        <v>1121</v>
      </c>
      <c r="S183" s="49" t="s">
        <v>1115</v>
      </c>
      <c r="T183" s="49"/>
      <c r="U183" s="56">
        <v>1.0</v>
      </c>
      <c r="V183" s="340" t="str">
        <f> hyperlink(vlookup(lower(S183),'File Links'!E:F, 2, FALSE), SUBSTITUTE(lower(S183), "/", "--") &amp;  ".pdf")</f>
        <v>10.1080--0163853x.2024.2339738.pdf</v>
      </c>
      <c r="W183" s="49" t="s">
        <v>1122</v>
      </c>
      <c r="X183" s="54" t="str">
        <f t="array" ref="X183"> if(iserror(MATCH(V183, 'File Links'!C:C, 0)), "N/A", HYPERLINK(INDEX('File Links'!B:B, MATCH(V183, 'File Links'!C:C, 0))))</f>
        <v>https://drive.google.com/file/d/1qKtm6cJaGp1OYT52DZ-rdF0umAGshXgk/view?usp=drivesdk</v>
      </c>
      <c r="Y183" s="49"/>
      <c r="Z183" s="49" t="s">
        <v>241</v>
      </c>
      <c r="AA183" s="56" t="s">
        <v>1141</v>
      </c>
      <c r="AB183" s="49" t="s">
        <v>1142</v>
      </c>
      <c r="AC183" s="49"/>
      <c r="AD183" s="56" t="s">
        <v>1143</v>
      </c>
      <c r="AE183" s="50">
        <v>60.0</v>
      </c>
      <c r="AF183" s="50">
        <v>137.0</v>
      </c>
      <c r="AG183" s="50">
        <v>0.39</v>
      </c>
      <c r="AH183" s="56" t="s">
        <v>722</v>
      </c>
      <c r="AI183" s="49" t="s">
        <v>1144</v>
      </c>
      <c r="AJ183" s="50">
        <v>0.01</v>
      </c>
      <c r="AK183" s="46" t="s">
        <v>135</v>
      </c>
      <c r="AL183" s="49" t="s">
        <v>186</v>
      </c>
      <c r="AM183" s="49" t="s">
        <v>141</v>
      </c>
      <c r="AN183" s="49" t="s">
        <v>138</v>
      </c>
      <c r="AO183" s="50">
        <v>229.0</v>
      </c>
      <c r="AP183" s="50">
        <v>1.17</v>
      </c>
      <c r="AQ183" s="49" t="s">
        <v>722</v>
      </c>
      <c r="AR183" s="49" t="s">
        <v>1145</v>
      </c>
      <c r="AS183" s="50">
        <v>0.686</v>
      </c>
      <c r="AT183" s="46" t="s">
        <v>172</v>
      </c>
      <c r="AU183" s="46" t="s">
        <v>186</v>
      </c>
      <c r="AV183" s="46" t="s">
        <v>141</v>
      </c>
      <c r="AW183" s="60" t="s">
        <v>1128</v>
      </c>
      <c r="AX183" s="60" t="s">
        <v>151</v>
      </c>
      <c r="AY183" s="61" t="str">
        <f>IFERROR(__xludf.DUMMYFUNCTION("vlookup(BB183,importrange(""https://docs.google.com/spreadsheets/d/1d2vevQ_7D_v35q4wCQ4RpQ_IPoTwEMB9Yp6ymwlPqew/edit?gid=984458430#gid=984458430"", ""'replication success'!A:K""), 11, FAlSE)"),"successful")</f>
        <v>successful</v>
      </c>
      <c r="AZ183" s="61" t="str">
        <f>IFERROR(__xludf.DUMMYFUNCTION("vlookup(BB183,importrange(""https://docs.google.com/spreadsheets/d/1d2vevQ_7D_v35q4wCQ4RpQ_IPoTwEMB9Yp6ymwlPqew/edit?gid=984458430#gid=984458430"",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3" s="61" t="str">
        <f>IFERROR(__xludf.DUMMYFUNCTION("vlookup(BB183,importrange(""https://docs.google.com/spreadsheets/d/1d2vevQ_7D_v35q4wCQ4RpQ_IPoTwEMB9Yp6ymwlPqew/edit?gid=984458430#gid=984458430"", ""'replication success'!A:M""), 13, FAlSE)"),"pg. 9")</f>
        <v>pg. 9</v>
      </c>
      <c r="BB183" s="61" t="str">
        <f>IFERROR(__xludf.DUMMYFUNCTION("REGEXREPLACE(G183, ""_[a-z]{1,2}$"", """")"),"additional_studies30")</f>
        <v>additional_studies30</v>
      </c>
      <c r="BC183" s="49"/>
      <c r="BD183" s="341" t="s">
        <v>692</v>
      </c>
      <c r="BE183" s="342"/>
      <c r="BF183" s="342"/>
      <c r="BG183" s="342"/>
      <c r="BH183" s="342"/>
      <c r="BI183" s="342"/>
      <c r="BJ183" s="342"/>
      <c r="BK183" s="342"/>
      <c r="BL183" s="342"/>
      <c r="BM183" s="342"/>
      <c r="BN183" s="342"/>
      <c r="BO183" s="342"/>
      <c r="BP183" s="342"/>
      <c r="BQ183" s="342"/>
      <c r="BR183" s="342"/>
      <c r="BS183" s="342"/>
      <c r="BT183" s="342"/>
      <c r="BU183" s="342"/>
      <c r="BV183" s="342"/>
      <c r="BW183" s="342"/>
      <c r="BX183" s="342"/>
      <c r="BY183" s="342"/>
      <c r="BZ183" s="342"/>
      <c r="CA183" s="342"/>
      <c r="CB183" s="342"/>
      <c r="CC183" s="342"/>
      <c r="CD183" s="342"/>
      <c r="CE183" s="342"/>
      <c r="CF183" s="342"/>
      <c r="CG183" s="342"/>
      <c r="CH183" s="342"/>
      <c r="CI183" s="342"/>
      <c r="CJ183" s="342"/>
      <c r="CK183" s="342"/>
      <c r="CL183" s="342"/>
      <c r="CM183" s="342"/>
      <c r="CN183" s="342"/>
      <c r="CO183" s="342"/>
      <c r="CP183" s="342"/>
      <c r="CQ183" s="342"/>
      <c r="CR183" s="342"/>
      <c r="CS183" s="342"/>
      <c r="CT183" s="342"/>
      <c r="CU183" s="342"/>
      <c r="CV183" s="342"/>
      <c r="CW183" s="342"/>
      <c r="CX183" s="342"/>
      <c r="CY183" s="342"/>
      <c r="CZ183" s="342"/>
      <c r="DA183" s="342"/>
      <c r="DB183" s="342"/>
      <c r="DC183" s="342"/>
      <c r="DD183" s="342"/>
      <c r="DE183" s="342"/>
      <c r="DF183" s="342"/>
      <c r="DG183" s="342"/>
      <c r="DH183" s="342"/>
      <c r="DI183" s="342"/>
      <c r="DJ183" s="342"/>
      <c r="DK183" s="342"/>
      <c r="DL183" s="342"/>
    </row>
    <row r="184" ht="20.25" customHeight="1">
      <c r="A184" s="44">
        <v>184.0</v>
      </c>
      <c r="B184" s="340" t="s">
        <v>152</v>
      </c>
      <c r="C184" s="341" t="s">
        <v>115</v>
      </c>
      <c r="D184" s="341" t="s">
        <v>248</v>
      </c>
      <c r="E184" s="342"/>
      <c r="F184" s="46" t="s">
        <v>1109</v>
      </c>
      <c r="G184" s="49" t="s">
        <v>1146</v>
      </c>
      <c r="H184" s="49" t="s">
        <v>249</v>
      </c>
      <c r="I184" s="48">
        <v>45644.0</v>
      </c>
      <c r="J184" s="342"/>
      <c r="K184" s="49"/>
      <c r="L184" s="56" t="s">
        <v>1147</v>
      </c>
      <c r="M184" s="49" t="s">
        <v>1112</v>
      </c>
      <c r="N184" s="49" t="s">
        <v>1113</v>
      </c>
      <c r="O184" s="56">
        <v>1.0</v>
      </c>
      <c r="P184" s="498" t="str">
        <f> hyperlink(vlookup(lower(N184),'File Links'!E:F, 2, FALSE), SUBSTITUTE(lower(N184), "/", "--") &amp;  ".pdf")</f>
        <v>10.1016--j.learninstruc.2018.04.006.pdf</v>
      </c>
      <c r="Q184" s="104" t="str">
        <f t="array" ref="Q184"> if(iserror(MATCH(V184, 'File Links'!C:C, 0)), "N/A", HYPERLINK(INDEX('File Links'!B:B, MATCH(P184, 'File Links'!C:C, 0))))</f>
        <v>https://drive.google.com/file/d/1woJDHccS6Df_7DkKmeLElCzqxpjoRtns/view?usp=drivesdk</v>
      </c>
      <c r="R184" s="499" t="s">
        <v>1121</v>
      </c>
      <c r="S184" s="49" t="s">
        <v>1115</v>
      </c>
      <c r="T184" s="49"/>
      <c r="U184" s="56">
        <v>1.0</v>
      </c>
      <c r="V184" s="340" t="str">
        <f> hyperlink(vlookup(lower(S184),'File Links'!E:F, 2, FALSE), SUBSTITUTE(lower(S184), "/", "--") &amp;  ".pdf")</f>
        <v>10.1080--0163853x.2024.2339738.pdf</v>
      </c>
      <c r="W184" s="49" t="s">
        <v>1122</v>
      </c>
      <c r="X184" s="54" t="str">
        <f t="array" ref="X184"> if(iserror(MATCH(V184, 'File Links'!C:C, 0)), "N/A", HYPERLINK(INDEX('File Links'!B:B, MATCH(V184, 'File Links'!C:C, 0))))</f>
        <v>https://drive.google.com/file/d/1qKtm6cJaGp1OYT52DZ-rdF0umAGshXgk/view?usp=drivesdk</v>
      </c>
      <c r="Y184" s="49"/>
      <c r="Z184" s="49" t="s">
        <v>241</v>
      </c>
      <c r="AA184" s="56" t="s">
        <v>1141</v>
      </c>
      <c r="AB184" s="49" t="s">
        <v>1148</v>
      </c>
      <c r="AC184" s="49"/>
      <c r="AD184" s="56" t="s">
        <v>1149</v>
      </c>
      <c r="AE184" s="50">
        <v>60.0</v>
      </c>
      <c r="AF184" s="50">
        <v>137.0</v>
      </c>
      <c r="AG184" s="501">
        <v>2.38095238095</v>
      </c>
      <c r="AH184" s="105" t="s">
        <v>722</v>
      </c>
      <c r="AI184" s="49" t="s">
        <v>1144</v>
      </c>
      <c r="AJ184" s="50">
        <v>0.05</v>
      </c>
      <c r="AK184" s="46" t="s">
        <v>135</v>
      </c>
      <c r="AL184" s="49" t="s">
        <v>186</v>
      </c>
      <c r="AM184" s="49" t="s">
        <v>141</v>
      </c>
      <c r="AN184" s="49" t="s">
        <v>138</v>
      </c>
      <c r="AO184" s="50">
        <v>229.0</v>
      </c>
      <c r="AP184" s="502">
        <v>3.38</v>
      </c>
      <c r="AQ184" s="49" t="s">
        <v>722</v>
      </c>
      <c r="AR184" s="49" t="s">
        <v>1145</v>
      </c>
      <c r="AS184" s="50">
        <v>0.001</v>
      </c>
      <c r="AT184" s="46" t="s">
        <v>135</v>
      </c>
      <c r="AU184" s="46" t="s">
        <v>186</v>
      </c>
      <c r="AV184" s="46" t="s">
        <v>141</v>
      </c>
      <c r="AW184" s="60" t="s">
        <v>1128</v>
      </c>
      <c r="AX184" s="60" t="s">
        <v>151</v>
      </c>
      <c r="AY184" s="61" t="str">
        <f>IFERROR(__xludf.DUMMYFUNCTION("vlookup(BB184,importrange(""https://docs.google.com/spreadsheets/d/1d2vevQ_7D_v35q4wCQ4RpQ_IPoTwEMB9Yp6ymwlPqew/edit?gid=984458430#gid=984458430"", ""'replication success'!A:K""), 11, FAlSE)"),"successful")</f>
        <v>successful</v>
      </c>
      <c r="AZ184" s="61" t="str">
        <f>IFERROR(__xludf.DUMMYFUNCTION("vlookup(BB184,importrange(""https://docs.google.com/spreadsheets/d/1d2vevQ_7D_v35q4wCQ4RpQ_IPoTwEMB9Yp6ymwlPqew/edit?gid=984458430#gid=984458430"",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4" s="61" t="str">
        <f>IFERROR(__xludf.DUMMYFUNCTION("vlookup(BB184,importrange(""https://docs.google.com/spreadsheets/d/1d2vevQ_7D_v35q4wCQ4RpQ_IPoTwEMB9Yp6ymwlPqew/edit?gid=984458430#gid=984458430"", ""'replication success'!A:M""), 13, FAlSE)"),"pg. 9")</f>
        <v>pg. 9</v>
      </c>
      <c r="BB184" s="61" t="str">
        <f>IFERROR(__xludf.DUMMYFUNCTION("REGEXREPLACE(G184, ""_[a-z]{1,2}$"", """")"),"additional_studies30")</f>
        <v>additional_studies30</v>
      </c>
      <c r="BC184" s="49"/>
      <c r="BD184" s="341" t="s">
        <v>1150</v>
      </c>
      <c r="BE184" s="342"/>
      <c r="BF184" s="342"/>
      <c r="BG184" s="342"/>
      <c r="BH184" s="342"/>
      <c r="BI184" s="342"/>
      <c r="BJ184" s="342"/>
      <c r="BK184" s="342"/>
      <c r="BL184" s="342"/>
      <c r="BM184" s="342"/>
      <c r="BN184" s="342"/>
      <c r="BO184" s="342"/>
      <c r="BP184" s="342"/>
      <c r="BQ184" s="342"/>
      <c r="BR184" s="342"/>
      <c r="BS184" s="342"/>
      <c r="BT184" s="342"/>
      <c r="BU184" s="342"/>
      <c r="BV184" s="342"/>
      <c r="BW184" s="342"/>
      <c r="BX184" s="342"/>
      <c r="BY184" s="342"/>
      <c r="BZ184" s="342"/>
      <c r="CA184" s="342"/>
      <c r="CB184" s="342"/>
      <c r="CC184" s="342"/>
      <c r="CD184" s="342"/>
      <c r="CE184" s="342"/>
      <c r="CF184" s="342"/>
      <c r="CG184" s="342"/>
      <c r="CH184" s="342"/>
      <c r="CI184" s="342"/>
      <c r="CJ184" s="342"/>
      <c r="CK184" s="342"/>
      <c r="CL184" s="342"/>
      <c r="CM184" s="342"/>
      <c r="CN184" s="342"/>
      <c r="CO184" s="342"/>
      <c r="CP184" s="342"/>
      <c r="CQ184" s="342"/>
      <c r="CR184" s="342"/>
      <c r="CS184" s="342"/>
      <c r="CT184" s="342"/>
      <c r="CU184" s="342"/>
      <c r="CV184" s="342"/>
      <c r="CW184" s="342"/>
      <c r="CX184" s="342"/>
      <c r="CY184" s="342"/>
      <c r="CZ184" s="342"/>
      <c r="DA184" s="342"/>
      <c r="DB184" s="342"/>
      <c r="DC184" s="342"/>
      <c r="DD184" s="342"/>
      <c r="DE184" s="342"/>
      <c r="DF184" s="342"/>
      <c r="DG184" s="342"/>
      <c r="DH184" s="342"/>
      <c r="DI184" s="342"/>
      <c r="DJ184" s="342"/>
      <c r="DK184" s="342"/>
      <c r="DL184" s="342"/>
    </row>
    <row r="185" ht="20.25" customHeight="1">
      <c r="A185" s="44">
        <v>185.0</v>
      </c>
      <c r="B185" s="340" t="s">
        <v>152</v>
      </c>
      <c r="C185" s="341" t="s">
        <v>115</v>
      </c>
      <c r="D185" s="341" t="s">
        <v>248</v>
      </c>
      <c r="E185" s="342"/>
      <c r="F185" s="46" t="s">
        <v>1109</v>
      </c>
      <c r="G185" s="49" t="s">
        <v>1151</v>
      </c>
      <c r="H185" s="49" t="s">
        <v>249</v>
      </c>
      <c r="I185" s="48">
        <v>45644.0</v>
      </c>
      <c r="J185" s="342"/>
      <c r="K185" s="49"/>
      <c r="L185" s="56" t="s">
        <v>1120</v>
      </c>
      <c r="M185" s="49" t="s">
        <v>1112</v>
      </c>
      <c r="N185" s="49" t="s">
        <v>1113</v>
      </c>
      <c r="O185" s="56">
        <v>1.0</v>
      </c>
      <c r="P185" s="498" t="str">
        <f> hyperlink(vlookup(lower(N185),'File Links'!E:F, 2, FALSE), SUBSTITUTE(lower(N185), "/", "--") &amp;  ".pdf")</f>
        <v>10.1016--j.learninstruc.2018.04.006.pdf</v>
      </c>
      <c r="Q185" s="104" t="str">
        <f t="array" ref="Q185"> if(iserror(MATCH(V185, 'File Links'!C:C, 0)), "N/A", HYPERLINK(INDEX('File Links'!B:B, MATCH(P185, 'File Links'!C:C, 0))))</f>
        <v>https://drive.google.com/file/d/1woJDHccS6Df_7DkKmeLElCzqxpjoRtns/view?usp=drivesdk</v>
      </c>
      <c r="R185" s="499" t="s">
        <v>1121</v>
      </c>
      <c r="S185" s="49" t="s">
        <v>1115</v>
      </c>
      <c r="T185" s="49"/>
      <c r="U185" s="56">
        <v>1.0</v>
      </c>
      <c r="V185" s="340" t="str">
        <f> hyperlink(vlookup(lower(S185),'File Links'!E:F, 2, FALSE), SUBSTITUTE(lower(S185), "/", "--") &amp;  ".pdf")</f>
        <v>10.1080--0163853x.2024.2339738.pdf</v>
      </c>
      <c r="W185" s="49" t="s">
        <v>1122</v>
      </c>
      <c r="X185" s="54" t="str">
        <f t="array" ref="X185"> if(iserror(MATCH(V185, 'File Links'!C:C, 0)), "N/A", HYPERLINK(INDEX('File Links'!B:B, MATCH(V185, 'File Links'!C:C, 0))))</f>
        <v>https://drive.google.com/file/d/1qKtm6cJaGp1OYT52DZ-rdF0umAGshXgk/view?usp=drivesdk</v>
      </c>
      <c r="Y185" s="49"/>
      <c r="Z185" s="49" t="s">
        <v>241</v>
      </c>
      <c r="AA185" s="56" t="s">
        <v>1141</v>
      </c>
      <c r="AB185" s="49" t="s">
        <v>1152</v>
      </c>
      <c r="AC185" s="49"/>
      <c r="AD185" s="56" t="s">
        <v>1153</v>
      </c>
      <c r="AE185" s="500">
        <v>60.0</v>
      </c>
      <c r="AF185" s="50">
        <v>137.0</v>
      </c>
      <c r="AG185" s="50">
        <v>0.19</v>
      </c>
      <c r="AH185" s="105" t="s">
        <v>722</v>
      </c>
      <c r="AI185" s="49" t="s">
        <v>1144</v>
      </c>
      <c r="AJ185" s="50">
        <v>0.01</v>
      </c>
      <c r="AK185" s="46" t="s">
        <v>135</v>
      </c>
      <c r="AL185" s="49" t="s">
        <v>186</v>
      </c>
      <c r="AM185" s="49" t="s">
        <v>141</v>
      </c>
      <c r="AN185" s="49" t="s">
        <v>138</v>
      </c>
      <c r="AO185" s="50">
        <v>229.0</v>
      </c>
      <c r="AP185" s="50">
        <v>0.0588</v>
      </c>
      <c r="AQ185" s="49" t="s">
        <v>722</v>
      </c>
      <c r="AR185" s="49" t="s">
        <v>1154</v>
      </c>
      <c r="AS185" s="50">
        <v>1.0E-4</v>
      </c>
      <c r="AT185" s="46" t="s">
        <v>135</v>
      </c>
      <c r="AU185" s="46" t="s">
        <v>186</v>
      </c>
      <c r="AV185" s="46" t="s">
        <v>141</v>
      </c>
      <c r="AW185" s="60" t="s">
        <v>1128</v>
      </c>
      <c r="AX185" s="60" t="s">
        <v>151</v>
      </c>
      <c r="AY185" s="61" t="str">
        <f>IFERROR(__xludf.DUMMYFUNCTION("vlookup(BB185,importrange(""https://docs.google.com/spreadsheets/d/1d2vevQ_7D_v35q4wCQ4RpQ_IPoTwEMB9Yp6ymwlPqew/edit?gid=984458430#gid=984458430"", ""'replication success'!A:K""), 11, FAlSE)"),"successful")</f>
        <v>successful</v>
      </c>
      <c r="AZ185" s="61" t="str">
        <f>IFERROR(__xludf.DUMMYFUNCTION("vlookup(BB185,importrange(""https://docs.google.com/spreadsheets/d/1d2vevQ_7D_v35q4wCQ4RpQ_IPoTwEMB9Yp6ymwlPqew/edit?gid=984458430#gid=984458430"",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5" s="61" t="str">
        <f>IFERROR(__xludf.DUMMYFUNCTION("vlookup(BB185,importrange(""https://docs.google.com/spreadsheets/d/1d2vevQ_7D_v35q4wCQ4RpQ_IPoTwEMB9Yp6ymwlPqew/edit?gid=984458430#gid=984458430"", ""'replication success'!A:M""), 13, FAlSE)"),"pg. 9")</f>
        <v>pg. 9</v>
      </c>
      <c r="BB185" s="61" t="str">
        <f>IFERROR(__xludf.DUMMYFUNCTION("REGEXREPLACE(G185, ""_[a-z]{1,2}$"", """")"),"additional_studies30")</f>
        <v>additional_studies30</v>
      </c>
      <c r="BC185" s="49"/>
      <c r="BD185" s="341" t="s">
        <v>692</v>
      </c>
      <c r="BE185" s="342"/>
      <c r="BF185" s="342"/>
      <c r="BG185" s="342"/>
      <c r="BH185" s="342"/>
      <c r="BI185" s="342"/>
      <c r="BJ185" s="342"/>
      <c r="BK185" s="342"/>
      <c r="BL185" s="342"/>
      <c r="BM185" s="342"/>
      <c r="BN185" s="342"/>
      <c r="BO185" s="342"/>
      <c r="BP185" s="342"/>
      <c r="BQ185" s="342"/>
      <c r="BR185" s="342"/>
      <c r="BS185" s="342"/>
      <c r="BT185" s="342"/>
      <c r="BU185" s="342"/>
      <c r="BV185" s="342"/>
      <c r="BW185" s="342"/>
      <c r="BX185" s="342"/>
      <c r="BY185" s="342"/>
      <c r="BZ185" s="342"/>
      <c r="CA185" s="342"/>
      <c r="CB185" s="342"/>
      <c r="CC185" s="342"/>
      <c r="CD185" s="342"/>
      <c r="CE185" s="342"/>
      <c r="CF185" s="342"/>
      <c r="CG185" s="342"/>
      <c r="CH185" s="342"/>
      <c r="CI185" s="342"/>
      <c r="CJ185" s="342"/>
      <c r="CK185" s="342"/>
      <c r="CL185" s="342"/>
      <c r="CM185" s="342"/>
      <c r="CN185" s="342"/>
      <c r="CO185" s="342"/>
      <c r="CP185" s="342"/>
      <c r="CQ185" s="342"/>
      <c r="CR185" s="342"/>
      <c r="CS185" s="342"/>
      <c r="CT185" s="342"/>
      <c r="CU185" s="342"/>
      <c r="CV185" s="342"/>
      <c r="CW185" s="342"/>
      <c r="CX185" s="342"/>
      <c r="CY185" s="342"/>
      <c r="CZ185" s="342"/>
      <c r="DA185" s="342"/>
      <c r="DB185" s="342"/>
      <c r="DC185" s="342"/>
      <c r="DD185" s="342"/>
      <c r="DE185" s="342"/>
      <c r="DF185" s="342"/>
      <c r="DG185" s="342"/>
      <c r="DH185" s="342"/>
      <c r="DI185" s="342"/>
      <c r="DJ185" s="342"/>
      <c r="DK185" s="342"/>
      <c r="DL185" s="342"/>
    </row>
    <row r="186" ht="20.25" customHeight="1">
      <c r="A186" s="44">
        <v>186.0</v>
      </c>
      <c r="B186" s="340" t="s">
        <v>152</v>
      </c>
      <c r="C186" s="341" t="s">
        <v>115</v>
      </c>
      <c r="D186" s="341" t="s">
        <v>248</v>
      </c>
      <c r="E186" s="342"/>
      <c r="F186" s="46" t="s">
        <v>1109</v>
      </c>
      <c r="G186" s="49" t="s">
        <v>1155</v>
      </c>
      <c r="H186" s="49" t="s">
        <v>249</v>
      </c>
      <c r="I186" s="48">
        <v>45644.0</v>
      </c>
      <c r="J186" s="342"/>
      <c r="K186" s="49"/>
      <c r="L186" s="56" t="s">
        <v>1120</v>
      </c>
      <c r="M186" s="49" t="s">
        <v>1112</v>
      </c>
      <c r="N186" s="49" t="s">
        <v>1113</v>
      </c>
      <c r="O186" s="56">
        <v>1.0</v>
      </c>
      <c r="P186" s="498" t="str">
        <f> hyperlink(vlookup(lower(N186),'File Links'!E:F, 2, FALSE), SUBSTITUTE(lower(N186), "/", "--") &amp;  ".pdf")</f>
        <v>10.1016--j.learninstruc.2018.04.006.pdf</v>
      </c>
      <c r="Q186" s="104" t="str">
        <f t="array" ref="Q186"> if(iserror(MATCH(V186, 'File Links'!C:C, 0)), "N/A", HYPERLINK(INDEX('File Links'!B:B, MATCH(P186, 'File Links'!C:C, 0))))</f>
        <v>https://drive.google.com/file/d/1woJDHccS6Df_7DkKmeLElCzqxpjoRtns/view?usp=drivesdk</v>
      </c>
      <c r="R186" s="499" t="s">
        <v>1121</v>
      </c>
      <c r="S186" s="49" t="s">
        <v>1115</v>
      </c>
      <c r="T186" s="49"/>
      <c r="U186" s="56">
        <v>1.0</v>
      </c>
      <c r="V186" s="340" t="str">
        <f> hyperlink(vlookup(lower(S186),'File Links'!E:F, 2, FALSE), SUBSTITUTE(lower(S186), "/", "--") &amp;  ".pdf")</f>
        <v>10.1080--0163853x.2024.2339738.pdf</v>
      </c>
      <c r="W186" s="49" t="s">
        <v>1122</v>
      </c>
      <c r="X186" s="54" t="str">
        <f t="array" ref="X186"> if(iserror(MATCH(V186, 'File Links'!C:C, 0)), "N/A", HYPERLINK(INDEX('File Links'!B:B, MATCH(V186, 'File Links'!C:C, 0))))</f>
        <v>https://drive.google.com/file/d/1qKtm6cJaGp1OYT52DZ-rdF0umAGshXgk/view?usp=drivesdk</v>
      </c>
      <c r="Y186" s="49"/>
      <c r="Z186" s="49" t="s">
        <v>241</v>
      </c>
      <c r="AA186" s="56" t="s">
        <v>1141</v>
      </c>
      <c r="AB186" s="49" t="s">
        <v>1156</v>
      </c>
      <c r="AC186" s="49"/>
      <c r="AD186" s="56" t="s">
        <v>1157</v>
      </c>
      <c r="AE186" s="500">
        <v>60.0</v>
      </c>
      <c r="AF186" s="50">
        <v>137.0</v>
      </c>
      <c r="AG186" s="50">
        <v>0.31</v>
      </c>
      <c r="AH186" s="105" t="s">
        <v>722</v>
      </c>
      <c r="AI186" s="49" t="s">
        <v>1144</v>
      </c>
      <c r="AJ186" s="50">
        <v>0.05</v>
      </c>
      <c r="AK186" s="46" t="s">
        <v>135</v>
      </c>
      <c r="AL186" s="49" t="s">
        <v>186</v>
      </c>
      <c r="AM186" s="49" t="s">
        <v>141</v>
      </c>
      <c r="AN186" s="49" t="s">
        <v>138</v>
      </c>
      <c r="AO186" s="50">
        <v>229.0</v>
      </c>
      <c r="AP186" s="50">
        <v>0.1601</v>
      </c>
      <c r="AQ186" s="49" t="s">
        <v>722</v>
      </c>
      <c r="AR186" s="49" t="s">
        <v>1154</v>
      </c>
      <c r="AS186" s="50">
        <v>1.0E-4</v>
      </c>
      <c r="AT186" s="46" t="s">
        <v>172</v>
      </c>
      <c r="AU186" s="46" t="s">
        <v>186</v>
      </c>
      <c r="AV186" s="46" t="s">
        <v>141</v>
      </c>
      <c r="AW186" s="60" t="s">
        <v>1128</v>
      </c>
      <c r="AX186" s="60" t="s">
        <v>151</v>
      </c>
      <c r="AY186" s="61" t="str">
        <f>IFERROR(__xludf.DUMMYFUNCTION("vlookup(BB186,importrange(""https://docs.google.com/spreadsheets/d/1d2vevQ_7D_v35q4wCQ4RpQ_IPoTwEMB9Yp6ymwlPqew/edit?gid=984458430#gid=984458430"", ""'replication success'!A:K""), 11, FAlSE)"),"successful")</f>
        <v>successful</v>
      </c>
      <c r="AZ186" s="61" t="str">
        <f>IFERROR(__xludf.DUMMYFUNCTION("vlookup(BB186,importrange(""https://docs.google.com/spreadsheets/d/1d2vevQ_7D_v35q4wCQ4RpQ_IPoTwEMB9Yp6ymwlPqew/edit?gid=984458430#gid=984458430"",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6" s="61" t="str">
        <f>IFERROR(__xludf.DUMMYFUNCTION("vlookup(BB186,importrange(""https://docs.google.com/spreadsheets/d/1d2vevQ_7D_v35q4wCQ4RpQ_IPoTwEMB9Yp6ymwlPqew/edit?gid=984458430#gid=984458430"", ""'replication success'!A:M""), 13, FAlSE)"),"pg. 9")</f>
        <v>pg. 9</v>
      </c>
      <c r="BB186" s="61" t="str">
        <f>IFERROR(__xludf.DUMMYFUNCTION("REGEXREPLACE(G186, ""_[a-z]{1,2}$"", """")"),"additional_studies30")</f>
        <v>additional_studies30</v>
      </c>
      <c r="BC186" s="49"/>
      <c r="BD186" s="341" t="s">
        <v>692</v>
      </c>
      <c r="BE186" s="342"/>
      <c r="BF186" s="342"/>
      <c r="BG186" s="342"/>
      <c r="BH186" s="342"/>
      <c r="BI186" s="342"/>
      <c r="BJ186" s="342"/>
      <c r="BK186" s="342"/>
      <c r="BL186" s="342"/>
      <c r="BM186" s="342"/>
      <c r="BN186" s="342"/>
      <c r="BO186" s="342"/>
      <c r="BP186" s="342"/>
      <c r="BQ186" s="342"/>
      <c r="BR186" s="342"/>
      <c r="BS186" s="342"/>
      <c r="BT186" s="342"/>
      <c r="BU186" s="342"/>
      <c r="BV186" s="342"/>
      <c r="BW186" s="342"/>
      <c r="BX186" s="342"/>
      <c r="BY186" s="342"/>
      <c r="BZ186" s="342"/>
      <c r="CA186" s="342"/>
      <c r="CB186" s="342"/>
      <c r="CC186" s="342"/>
      <c r="CD186" s="342"/>
      <c r="CE186" s="342"/>
      <c r="CF186" s="342"/>
      <c r="CG186" s="342"/>
      <c r="CH186" s="342"/>
      <c r="CI186" s="342"/>
      <c r="CJ186" s="342"/>
      <c r="CK186" s="342"/>
      <c r="CL186" s="342"/>
      <c r="CM186" s="342"/>
      <c r="CN186" s="342"/>
      <c r="CO186" s="342"/>
      <c r="CP186" s="342"/>
      <c r="CQ186" s="342"/>
      <c r="CR186" s="342"/>
      <c r="CS186" s="342"/>
      <c r="CT186" s="342"/>
      <c r="CU186" s="342"/>
      <c r="CV186" s="342"/>
      <c r="CW186" s="342"/>
      <c r="CX186" s="342"/>
      <c r="CY186" s="342"/>
      <c r="CZ186" s="342"/>
      <c r="DA186" s="342"/>
      <c r="DB186" s="342"/>
      <c r="DC186" s="342"/>
      <c r="DD186" s="342"/>
      <c r="DE186" s="342"/>
      <c r="DF186" s="342"/>
      <c r="DG186" s="342"/>
      <c r="DH186" s="342"/>
      <c r="DI186" s="342"/>
      <c r="DJ186" s="342"/>
      <c r="DK186" s="342"/>
      <c r="DL186" s="342"/>
    </row>
    <row r="187" ht="20.25" customHeight="1">
      <c r="A187" s="44">
        <v>187.0</v>
      </c>
      <c r="B187" s="62" t="s">
        <v>523</v>
      </c>
      <c r="C187" s="62" t="s">
        <v>115</v>
      </c>
      <c r="D187" s="62" t="s">
        <v>286</v>
      </c>
      <c r="F187" s="155" t="s">
        <v>1109</v>
      </c>
      <c r="G187" s="151" t="s">
        <v>1110</v>
      </c>
      <c r="H187" s="151" t="s">
        <v>289</v>
      </c>
      <c r="I187" s="153">
        <v>45427.0</v>
      </c>
      <c r="J187" s="152"/>
      <c r="K187" s="129" t="s">
        <v>1158</v>
      </c>
      <c r="L187" s="68"/>
      <c r="M187" s="155" t="s">
        <v>1112</v>
      </c>
      <c r="N187" s="155" t="s">
        <v>1113</v>
      </c>
      <c r="O187" s="156"/>
      <c r="P187" s="309" t="s">
        <v>1159</v>
      </c>
      <c r="Q187" s="52" t="str">
        <f t="array" ref="Q187"> if(iserror(MATCH(V187, 'File Links'!C:C, 0)), "N/A", HYPERLINK(INDEX('File Links'!B:B, MATCH(P187, 'File Links'!C:C, 0))))</f>
        <v>https://drive.google.com/file/d/1woJDHccS6Df_7DkKmeLElCzqxpjoRtns/view?usp=drivesdk</v>
      </c>
      <c r="R187" s="129" t="s">
        <v>1114</v>
      </c>
      <c r="S187" s="114" t="s">
        <v>1115</v>
      </c>
      <c r="T187" s="68"/>
      <c r="U187" s="156"/>
      <c r="V187" s="66" t="str">
        <f> hyperlink(vlookup(lower(S187),'File Links'!E:F, 2, FALSE), SUBSTITUTE(lower(S187), "/", "--") &amp;  ".pdf")</f>
        <v>10.1080--0163853x.2024.2339738.pdf</v>
      </c>
      <c r="W187" s="68"/>
      <c r="X187" s="54" t="str">
        <f t="array" ref="X187"> if(iserror(MATCH(V187, 'File Links'!C:C, 0)), "N/A", HYPERLINK(INDEX('File Links'!B:B, MATCH(V187, 'File Links'!C:C, 0))))</f>
        <v>https://drive.google.com/file/d/1qKtm6cJaGp1OYT52DZ-rdF0umAGshXgk/view?usp=drivesdk</v>
      </c>
      <c r="Z187" s="159"/>
      <c r="AA187" s="68"/>
      <c r="AB187" s="68"/>
      <c r="AC187" s="68"/>
      <c r="AD187" s="158"/>
      <c r="AE187" s="156"/>
      <c r="AF187" s="156"/>
      <c r="AG187" s="156"/>
      <c r="AH187" s="159"/>
      <c r="AI187" s="68"/>
      <c r="AJ187" s="160"/>
      <c r="AK187" s="57"/>
      <c r="AL187" s="57"/>
      <c r="AM187" s="68"/>
      <c r="AN187" s="114" t="s">
        <v>138</v>
      </c>
      <c r="AO187" s="156"/>
      <c r="AP187" s="156"/>
      <c r="AQ187" s="159"/>
      <c r="AR187" s="68"/>
      <c r="AS187" s="162"/>
      <c r="AT187" s="159"/>
      <c r="AU187" s="159"/>
      <c r="AV187" s="68"/>
      <c r="AW187" s="163" t="s">
        <v>1160</v>
      </c>
      <c r="AX187" s="129" t="s">
        <v>143</v>
      </c>
      <c r="AY187" s="61" t="str">
        <f>IFERROR(__xludf.DUMMYFUNCTION("vlookup(BB187,importrange(""https://docs.google.com/spreadsheets/d/1d2vevQ_7D_v35q4wCQ4RpQ_IPoTwEMB9Yp6ymwlPqew/edit?gid=984458430#gid=984458430"", ""'replication success'!A:K""), 11, FAlSE)"),"successful")</f>
        <v>successful</v>
      </c>
      <c r="AZ187" s="61" t="str">
        <f>IFERROR(__xludf.DUMMYFUNCTION("vlookup(BB187,importrange(""https://docs.google.com/spreadsheets/d/1d2vevQ_7D_v35q4wCQ4RpQ_IPoTwEMB9Yp6ymwlPqew/edit?gid=984458430#gid=984458430"", ""'replication success'!A:M""), 12, FAlSE)"),"Our results are in line with those from the
original study (Pérez et al., 2018). Overall, evidence shows that the intervention improved college
students’ sourcing skills in tasks where they explicitly had to use source information to make decisions
and"&amp;" that the effects lasted to the delayed post-test.")</f>
        <v>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v>
      </c>
      <c r="BA187" s="61" t="str">
        <f>IFERROR(__xludf.DUMMYFUNCTION("vlookup(BB187,importrange(""https://docs.google.com/spreadsheets/d/1d2vevQ_7D_v35q4wCQ4RpQ_IPoTwEMB9Yp6ymwlPqew/edit?gid=984458430#gid=984458430"", ""'replication success'!A:M""), 13, FAlSE)"),"pg. 9")</f>
        <v>pg. 9</v>
      </c>
      <c r="BB187" s="61" t="str">
        <f>IFERROR(__xludf.DUMMYFUNCTION("REGEXREPLACE(G187, ""_[a-z]{1,2}$"", """")"),"additional_studies30")</f>
        <v>additional_studies30</v>
      </c>
    </row>
    <row r="188" ht="20.25" customHeight="1">
      <c r="A188" s="44">
        <v>188.0</v>
      </c>
      <c r="B188" s="340" t="s">
        <v>114</v>
      </c>
      <c r="C188" s="340" t="s">
        <v>115</v>
      </c>
      <c r="D188" s="341" t="s">
        <v>442</v>
      </c>
      <c r="E188" s="342"/>
      <c r="F188" s="503" t="s">
        <v>1161</v>
      </c>
      <c r="G188" s="504" t="s">
        <v>1162</v>
      </c>
      <c r="H188" s="504" t="s">
        <v>445</v>
      </c>
      <c r="I188" s="505">
        <v>45635.0</v>
      </c>
      <c r="J188" s="49"/>
      <c r="K188" s="504" t="s">
        <v>1163</v>
      </c>
      <c r="L188" s="49"/>
      <c r="M188" s="504" t="s">
        <v>1164</v>
      </c>
      <c r="N188" s="504" t="s">
        <v>1165</v>
      </c>
      <c r="O188" s="49"/>
      <c r="P188" s="506" t="s">
        <v>1166</v>
      </c>
      <c r="Q188" s="104" t="str">
        <f t="array" ref="Q188"> if(iserror(MATCH(V188, 'File Links'!C:C, 0)), "N/A", HYPERLINK(INDEX('File Links'!B:B, MATCH(P188, 'File Links'!C:C, 0))))</f>
        <v>https://drive.google.com/file/d/11FrEIq8nBGRjHM8n6665RHudNtasAq_q/view?usp=drivesdk</v>
      </c>
      <c r="R188" s="504" t="s">
        <v>1167</v>
      </c>
      <c r="S188" s="47" t="s">
        <v>1168</v>
      </c>
      <c r="T188" s="49"/>
      <c r="U188" s="105"/>
      <c r="V188" s="340" t="str">
        <f> hyperlink(vlookup(lower(S188),'File Links'!E:F, 2, FALSE), SUBSTITUTE(lower(S188), "/", "--") &amp;  ".pdf")</f>
        <v>10.1002--acp.4202.pdf</v>
      </c>
      <c r="W188" s="504" t="s">
        <v>164</v>
      </c>
      <c r="X188" s="54" t="str">
        <f t="array" ref="X188"> if(iserror(MATCH(V188, 'File Links'!C:C, 0)), "N/A", HYPERLINK(INDEX('File Links'!B:B, MATCH(V188, 'File Links'!C:C, 0))))</f>
        <v>https://drive.google.com/file/d/1GpMdw7ZFDWpDIdg1IjCcxRYXmuDta-6_/view?usp=drivesdk</v>
      </c>
      <c r="Y188" s="49"/>
      <c r="Z188" s="504" t="s">
        <v>148</v>
      </c>
      <c r="AA188" s="47" t="s">
        <v>1169</v>
      </c>
      <c r="AB188" s="504" t="s">
        <v>1170</v>
      </c>
      <c r="AC188" s="504" t="s">
        <v>1171</v>
      </c>
      <c r="AD188" s="504" t="s">
        <v>1172</v>
      </c>
      <c r="AE188" s="507">
        <v>30.0</v>
      </c>
      <c r="AF188" s="507">
        <v>198.0</v>
      </c>
      <c r="AG188" s="508">
        <v>-0.69</v>
      </c>
      <c r="AH188" s="506" t="s">
        <v>215</v>
      </c>
      <c r="AI188" s="504" t="s">
        <v>1173</v>
      </c>
      <c r="AJ188" s="507">
        <v>0.001</v>
      </c>
      <c r="AK188" s="503" t="s">
        <v>135</v>
      </c>
      <c r="AL188" s="504" t="s">
        <v>218</v>
      </c>
      <c r="AM188" s="504" t="s">
        <v>141</v>
      </c>
      <c r="AN188" s="49" t="s">
        <v>138</v>
      </c>
      <c r="AO188" s="507">
        <v>229.0</v>
      </c>
      <c r="AP188" s="507">
        <v>-0.385</v>
      </c>
      <c r="AQ188" s="504" t="s">
        <v>215</v>
      </c>
      <c r="AR188" s="504" t="s">
        <v>1174</v>
      </c>
      <c r="AS188" s="507">
        <v>0.07</v>
      </c>
      <c r="AT188" s="503" t="s">
        <v>172</v>
      </c>
      <c r="AU188" s="503" t="s">
        <v>218</v>
      </c>
      <c r="AV188" s="503" t="s">
        <v>141</v>
      </c>
      <c r="AW188" s="509" t="s">
        <v>1175</v>
      </c>
      <c r="AX188" s="510" t="s">
        <v>151</v>
      </c>
      <c r="AY188" s="61" t="str">
        <f>IFERROR(__xludf.DUMMYFUNCTION("vlookup(BB188,importrange(""https://docs.google.com/spreadsheets/d/1d2vevQ_7D_v35q4wCQ4RpQ_IPoTwEMB9Yp6ymwlPqew/edit?gid=984458430#gid=984458430"", ""'replication success'!A:K""), 11, FAlSE)"),"mixed")</f>
        <v>mixed</v>
      </c>
      <c r="AZ188" s="61" t="str">
        <f>IFERROR(__xludf.DUMMYFUNCTION("vlookup(BB188,importrange(""https://docs.google.com/spreadsheets/d/1d2vevQ_7D_v35q4wCQ4RpQ_IPoTwEMB9Yp6ymwlPqew/edit?gid=984458430#gid=984458430"", ""'replication success'!A:M""), 12, FAlSE)"),"This supports (at least partly, and in an item analysis) the main finding presented by Blank et al. (2022) that MA negatively correlates with misin-
formation effect change, that is, at high levels of MA, double misinformation results in a reduction of t"&amp;"he misinformation effect
(compared to single misinformation), but at low levels of MA in an
increase.")</f>
        <v>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v>
      </c>
      <c r="BA188" s="61" t="str">
        <f>IFERROR(__xludf.DUMMYFUNCTION("vlookup(BB188,importrange(""https://docs.google.com/spreadsheets/d/1d2vevQ_7D_v35q4wCQ4RpQ_IPoTwEMB9Yp6ymwlPqew/edit?gid=984458430#gid=984458430"", ""'replication success'!A:M""), 13, FAlSE)"),"pg.13")</f>
        <v>pg.13</v>
      </c>
      <c r="BB188" s="61" t="str">
        <f>IFERROR(__xludf.DUMMYFUNCTION("REGEXREPLACE(G188, ""_[a-z]{1,2}$"", """")"),"additional_studies31")</f>
        <v>additional_studies31</v>
      </c>
      <c r="BC188" s="49"/>
      <c r="BD188" s="341" t="s">
        <v>692</v>
      </c>
      <c r="BE188" s="342"/>
      <c r="BF188" s="342"/>
      <c r="BG188" s="342"/>
      <c r="BH188" s="342"/>
      <c r="BI188" s="342"/>
      <c r="BJ188" s="342"/>
      <c r="BK188" s="342"/>
      <c r="BL188" s="342"/>
      <c r="BM188" s="342"/>
      <c r="BN188" s="342"/>
      <c r="BO188" s="342"/>
      <c r="BP188" s="342"/>
      <c r="BQ188" s="342"/>
      <c r="BR188" s="342"/>
      <c r="BS188" s="342"/>
      <c r="BT188" s="342"/>
      <c r="BU188" s="342"/>
      <c r="BV188" s="342"/>
      <c r="BW188" s="342"/>
      <c r="BX188" s="342"/>
      <c r="BY188" s="342"/>
      <c r="BZ188" s="342"/>
      <c r="CA188" s="342"/>
      <c r="CB188" s="342"/>
      <c r="CC188" s="342"/>
      <c r="CD188" s="342"/>
      <c r="CE188" s="342"/>
      <c r="CF188" s="342"/>
      <c r="CG188" s="342"/>
      <c r="CH188" s="342"/>
      <c r="CI188" s="342"/>
      <c r="CJ188" s="342"/>
      <c r="CK188" s="342"/>
      <c r="CL188" s="342"/>
      <c r="CM188" s="342"/>
      <c r="CN188" s="342"/>
      <c r="CO188" s="342"/>
      <c r="CP188" s="342"/>
      <c r="CQ188" s="342"/>
      <c r="CR188" s="342"/>
      <c r="CS188" s="342"/>
      <c r="CT188" s="342"/>
      <c r="CU188" s="342"/>
      <c r="CV188" s="342"/>
      <c r="CW188" s="342"/>
      <c r="CX188" s="342"/>
      <c r="CY188" s="342"/>
      <c r="CZ188" s="342"/>
      <c r="DA188" s="342"/>
      <c r="DB188" s="342"/>
      <c r="DC188" s="342"/>
      <c r="DD188" s="342"/>
      <c r="DE188" s="342"/>
      <c r="DF188" s="342"/>
      <c r="DG188" s="342"/>
      <c r="DH188" s="342"/>
      <c r="DI188" s="342"/>
      <c r="DJ188" s="342"/>
      <c r="DK188" s="342"/>
      <c r="DL188" s="342"/>
    </row>
    <row r="189" ht="20.25" customHeight="1">
      <c r="A189" s="44">
        <v>189.0</v>
      </c>
      <c r="B189" s="340" t="s">
        <v>152</v>
      </c>
      <c r="C189" s="341" t="s">
        <v>115</v>
      </c>
      <c r="D189" s="341" t="s">
        <v>990</v>
      </c>
      <c r="E189" s="342"/>
      <c r="F189" s="46" t="s">
        <v>1161</v>
      </c>
      <c r="G189" s="47" t="s">
        <v>1176</v>
      </c>
      <c r="H189" s="360" t="s">
        <v>144</v>
      </c>
      <c r="I189" s="344">
        <v>45427.0</v>
      </c>
      <c r="J189" s="511">
        <v>45639.0</v>
      </c>
      <c r="K189" s="46"/>
      <c r="L189" s="46"/>
      <c r="M189" s="360" t="s">
        <v>1164</v>
      </c>
      <c r="N189" s="360" t="s">
        <v>1165</v>
      </c>
      <c r="O189" s="357">
        <v>1.0</v>
      </c>
      <c r="P189" s="360" t="s">
        <v>1166</v>
      </c>
      <c r="Q189" s="104" t="str">
        <f t="array" ref="Q189"> if(iserror(MATCH(V189, 'File Links'!C:C, 0)), "N/A", HYPERLINK(INDEX('File Links'!B:B, MATCH(P189, 'File Links'!C:C, 0))))</f>
        <v>https://drive.google.com/file/d/11FrEIq8nBGRjHM8n6665RHudNtasAq_q/view?usp=drivesdk</v>
      </c>
      <c r="R189" s="360" t="s">
        <v>1167</v>
      </c>
      <c r="S189" s="46" t="s">
        <v>1168</v>
      </c>
      <c r="T189" s="46"/>
      <c r="U189" s="357">
        <v>1.0</v>
      </c>
      <c r="V189" s="340" t="str">
        <f> hyperlink(vlookup(lower(S189),'File Links'!E:F, 2, FALSE), SUBSTITUTE(lower(S189), "/", "--") &amp;  ".pdf")</f>
        <v>10.1002--acp.4202.pdf</v>
      </c>
      <c r="W189" s="47" t="s">
        <v>209</v>
      </c>
      <c r="X189" s="54" t="str">
        <f t="array" ref="X189"> if(iserror(MATCH(V189, 'File Links'!C:C, 0)), "N/A", HYPERLINK(INDEX('File Links'!B:B, MATCH(V189, 'File Links'!C:C, 0))))</f>
        <v>https://drive.google.com/file/d/1GpMdw7ZFDWpDIdg1IjCcxRYXmuDta-6_/view?usp=drivesdk</v>
      </c>
      <c r="Y189" s="46"/>
      <c r="Z189" s="360" t="s">
        <v>148</v>
      </c>
      <c r="AA189" s="46" t="s">
        <v>1177</v>
      </c>
      <c r="AB189" s="46" t="s">
        <v>1178</v>
      </c>
      <c r="AC189" s="360" t="s">
        <v>1179</v>
      </c>
      <c r="AD189" s="46" t="s">
        <v>1180</v>
      </c>
      <c r="AE189" s="357">
        <v>16.0</v>
      </c>
      <c r="AF189" s="357">
        <v>96.0</v>
      </c>
      <c r="AG189" s="357">
        <v>-0.69</v>
      </c>
      <c r="AH189" s="51" t="s">
        <v>215</v>
      </c>
      <c r="AI189" s="508">
        <v>16.0</v>
      </c>
      <c r="AJ189" s="508">
        <v>0.001</v>
      </c>
      <c r="AK189" s="360" t="s">
        <v>135</v>
      </c>
      <c r="AL189" s="47" t="s">
        <v>218</v>
      </c>
      <c r="AM189" s="46" t="s">
        <v>137</v>
      </c>
      <c r="AN189" s="49" t="s">
        <v>138</v>
      </c>
      <c r="AO189" s="357">
        <v>229.0</v>
      </c>
      <c r="AP189" s="357">
        <v>-0.385</v>
      </c>
      <c r="AQ189" s="360" t="s">
        <v>215</v>
      </c>
      <c r="AR189" s="357">
        <v>11.0</v>
      </c>
      <c r="AS189" s="385">
        <v>0.07</v>
      </c>
      <c r="AT189" s="360" t="s">
        <v>172</v>
      </c>
      <c r="AU189" s="360" t="s">
        <v>186</v>
      </c>
      <c r="AV189" s="46" t="s">
        <v>137</v>
      </c>
      <c r="AW189" s="59" t="s">
        <v>1175</v>
      </c>
      <c r="AX189" s="46" t="s">
        <v>438</v>
      </c>
      <c r="AY189" s="61" t="str">
        <f>IFERROR(__xludf.DUMMYFUNCTION("vlookup(BB189,importrange(""https://docs.google.com/spreadsheets/d/1d2vevQ_7D_v35q4wCQ4RpQ_IPoTwEMB9Yp6ymwlPqew/edit?gid=984458430#gid=984458430"", ""'replication success'!A:K""), 11, FAlSE)"),"mixed")</f>
        <v>mixed</v>
      </c>
      <c r="AZ189" s="61" t="str">
        <f>IFERROR(__xludf.DUMMYFUNCTION("vlookup(BB189,importrange(""https://docs.google.com/spreadsheets/d/1d2vevQ_7D_v35q4wCQ4RpQ_IPoTwEMB9Yp6ymwlPqew/edit?gid=984458430#gid=984458430"", ""'replication success'!A:M""), 12, FAlSE)"),"This supports (at least partly, and in an item analysis) the main finding presented by Blank et al. (2022) that MA negatively correlates with misin-
formation effect change, that is, at high levels of MA, double misinformation results in a reduction of t"&amp;"he misinformation effect
(compared to single misinformation), but at low levels of MA in an
increase.")</f>
        <v>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v>
      </c>
      <c r="BA189" s="61" t="str">
        <f>IFERROR(__xludf.DUMMYFUNCTION("vlookup(BB189,importrange(""https://docs.google.com/spreadsheets/d/1d2vevQ_7D_v35q4wCQ4RpQ_IPoTwEMB9Yp6ymwlPqew/edit?gid=984458430#gid=984458430"", ""'replication success'!A:M""), 13, FAlSE)"),"pg.13")</f>
        <v>pg.13</v>
      </c>
      <c r="BB189" s="61" t="str">
        <f>IFERROR(__xludf.DUMMYFUNCTION("REGEXREPLACE(G189, ""_[a-z]{1,2}$"", """")"),"additional_studies31")</f>
        <v>additional_studies31</v>
      </c>
      <c r="BC189" s="46"/>
      <c r="BD189" s="341" t="s">
        <v>692</v>
      </c>
      <c r="BE189" s="342"/>
      <c r="BF189" s="342"/>
      <c r="BG189" s="342"/>
      <c r="BH189" s="342"/>
      <c r="BI189" s="342"/>
      <c r="BJ189" s="342"/>
      <c r="BK189" s="342"/>
      <c r="BL189" s="342"/>
      <c r="BM189" s="342"/>
      <c r="BN189" s="342"/>
      <c r="BO189" s="342"/>
      <c r="BP189" s="342"/>
      <c r="BQ189" s="342"/>
      <c r="BR189" s="342"/>
      <c r="BS189" s="342"/>
      <c r="BT189" s="342"/>
      <c r="BU189" s="342"/>
      <c r="BV189" s="342"/>
      <c r="BW189" s="342"/>
      <c r="BX189" s="342"/>
      <c r="BY189" s="342"/>
      <c r="BZ189" s="342"/>
      <c r="CA189" s="342"/>
      <c r="CB189" s="342"/>
      <c r="CC189" s="342"/>
      <c r="CD189" s="342"/>
      <c r="CE189" s="342"/>
      <c r="CF189" s="342"/>
      <c r="CG189" s="342"/>
      <c r="CH189" s="342"/>
      <c r="CI189" s="342"/>
      <c r="CJ189" s="342"/>
      <c r="CK189" s="342"/>
      <c r="CL189" s="342"/>
      <c r="CM189" s="342"/>
      <c r="CN189" s="342"/>
      <c r="CO189" s="342"/>
      <c r="CP189" s="342"/>
      <c r="CQ189" s="342"/>
      <c r="CR189" s="342"/>
      <c r="CS189" s="342"/>
      <c r="CT189" s="342"/>
      <c r="CU189" s="342"/>
      <c r="CV189" s="342"/>
      <c r="CW189" s="342"/>
      <c r="CX189" s="342"/>
      <c r="CY189" s="342"/>
      <c r="CZ189" s="342"/>
      <c r="DA189" s="342"/>
      <c r="DB189" s="342"/>
      <c r="DC189" s="342"/>
      <c r="DD189" s="342"/>
      <c r="DE189" s="342"/>
      <c r="DF189" s="342"/>
      <c r="DG189" s="342"/>
      <c r="DH189" s="342"/>
      <c r="DI189" s="342"/>
      <c r="DJ189" s="342"/>
      <c r="DK189" s="342"/>
      <c r="DL189" s="342"/>
    </row>
    <row r="190" ht="20.25" customHeight="1">
      <c r="A190" s="44">
        <v>190.0</v>
      </c>
      <c r="B190" s="340" t="s">
        <v>152</v>
      </c>
      <c r="C190" s="341" t="s">
        <v>115</v>
      </c>
      <c r="D190" s="341" t="s">
        <v>990</v>
      </c>
      <c r="E190" s="342"/>
      <c r="F190" s="46" t="s">
        <v>1161</v>
      </c>
      <c r="G190" s="47" t="s">
        <v>1181</v>
      </c>
      <c r="H190" s="360" t="s">
        <v>144</v>
      </c>
      <c r="I190" s="344">
        <v>45427.0</v>
      </c>
      <c r="J190" s="511">
        <v>45639.0</v>
      </c>
      <c r="K190" s="46"/>
      <c r="L190" s="46"/>
      <c r="M190" s="360" t="s">
        <v>1164</v>
      </c>
      <c r="N190" s="360" t="s">
        <v>1165</v>
      </c>
      <c r="O190" s="357">
        <v>1.0</v>
      </c>
      <c r="P190" s="360" t="s">
        <v>1166</v>
      </c>
      <c r="Q190" s="104" t="str">
        <f t="array" ref="Q190"> if(iserror(MATCH(V190, 'File Links'!C:C, 0)), "N/A", HYPERLINK(INDEX('File Links'!B:B, MATCH(P190, 'File Links'!C:C, 0))))</f>
        <v>https://drive.google.com/file/d/11FrEIq8nBGRjHM8n6665RHudNtasAq_q/view?usp=drivesdk</v>
      </c>
      <c r="R190" s="360" t="s">
        <v>1167</v>
      </c>
      <c r="S190" s="46" t="s">
        <v>1168</v>
      </c>
      <c r="T190" s="46"/>
      <c r="U190" s="357">
        <v>1.0</v>
      </c>
      <c r="V190" s="340" t="str">
        <f> hyperlink(vlookup(lower(S190),'File Links'!E:F, 2, FALSE), SUBSTITUTE(lower(S190), "/", "--") &amp;  ".pdf")</f>
        <v>10.1002--acp.4202.pdf</v>
      </c>
      <c r="W190" s="47" t="s">
        <v>209</v>
      </c>
      <c r="X190" s="54" t="str">
        <f t="array" ref="X190"> if(iserror(MATCH(V190, 'File Links'!C:C, 0)), "N/A", HYPERLINK(INDEX('File Links'!B:B, MATCH(V190, 'File Links'!C:C, 0))))</f>
        <v>https://drive.google.com/file/d/1GpMdw7ZFDWpDIdg1IjCcxRYXmuDta-6_/view?usp=drivesdk</v>
      </c>
      <c r="Y190" s="46"/>
      <c r="Z190" s="360" t="s">
        <v>148</v>
      </c>
      <c r="AA190" s="46" t="s">
        <v>1177</v>
      </c>
      <c r="AB190" s="46" t="s">
        <v>1178</v>
      </c>
      <c r="AC190" s="360" t="s">
        <v>1182</v>
      </c>
      <c r="AD190" s="46" t="s">
        <v>1180</v>
      </c>
      <c r="AE190" s="357">
        <v>16.0</v>
      </c>
      <c r="AF190" s="357">
        <v>96.0</v>
      </c>
      <c r="AG190" s="357">
        <v>-0.7</v>
      </c>
      <c r="AH190" s="51" t="s">
        <v>215</v>
      </c>
      <c r="AI190" s="508">
        <v>16.0</v>
      </c>
      <c r="AJ190" s="508">
        <v>0.001</v>
      </c>
      <c r="AK190" s="360" t="s">
        <v>135</v>
      </c>
      <c r="AL190" s="47" t="s">
        <v>218</v>
      </c>
      <c r="AM190" s="46" t="s">
        <v>137</v>
      </c>
      <c r="AN190" s="49" t="s">
        <v>138</v>
      </c>
      <c r="AO190" s="357">
        <v>229.0</v>
      </c>
      <c r="AP190" s="357">
        <v>-0.57</v>
      </c>
      <c r="AQ190" s="360" t="s">
        <v>215</v>
      </c>
      <c r="AR190" s="357">
        <v>11.0</v>
      </c>
      <c r="AS190" s="385">
        <v>0.01</v>
      </c>
      <c r="AT190" s="360" t="s">
        <v>172</v>
      </c>
      <c r="AU190" s="360" t="s">
        <v>218</v>
      </c>
      <c r="AV190" s="46" t="s">
        <v>137</v>
      </c>
      <c r="AW190" s="59" t="s">
        <v>1175</v>
      </c>
      <c r="AX190" s="46" t="s">
        <v>438</v>
      </c>
      <c r="AY190" s="61" t="str">
        <f>IFERROR(__xludf.DUMMYFUNCTION("vlookup(BB190,importrange(""https://docs.google.com/spreadsheets/d/1d2vevQ_7D_v35q4wCQ4RpQ_IPoTwEMB9Yp6ymwlPqew/edit?gid=984458430#gid=984458430"", ""'replication success'!A:K""), 11, FAlSE)"),"mixed")</f>
        <v>mixed</v>
      </c>
      <c r="AZ190" s="61" t="str">
        <f>IFERROR(__xludf.DUMMYFUNCTION("vlookup(BB190,importrange(""https://docs.google.com/spreadsheets/d/1d2vevQ_7D_v35q4wCQ4RpQ_IPoTwEMB9Yp6ymwlPqew/edit?gid=984458430#gid=984458430"", ""'replication success'!A:M""), 12, FAlSE)"),"This supports (at least partly, and in an item analysis) the main finding presented by Blank et al. (2022) that MA negatively correlates with misin-
formation effect change, that is, at high levels of MA, double misinformation results in a reduction of t"&amp;"he misinformation effect
(compared to single misinformation), but at low levels of MA in an
increase.")</f>
        <v>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v>
      </c>
      <c r="BA190" s="61" t="str">
        <f>IFERROR(__xludf.DUMMYFUNCTION("vlookup(BB190,importrange(""https://docs.google.com/spreadsheets/d/1d2vevQ_7D_v35q4wCQ4RpQ_IPoTwEMB9Yp6ymwlPqew/edit?gid=984458430#gid=984458430"", ""'replication success'!A:M""), 13, FAlSE)"),"pg.13")</f>
        <v>pg.13</v>
      </c>
      <c r="BB190" s="61" t="str">
        <f>IFERROR(__xludf.DUMMYFUNCTION("REGEXREPLACE(G190, ""_[a-z]{1,2}$"", """")"),"additional_studies31")</f>
        <v>additional_studies31</v>
      </c>
      <c r="BC190" s="46"/>
      <c r="BD190" s="341" t="s">
        <v>692</v>
      </c>
      <c r="BE190" s="342"/>
      <c r="BF190" s="342"/>
      <c r="BG190" s="342"/>
      <c r="BH190" s="342"/>
      <c r="BI190" s="342"/>
      <c r="BJ190" s="342"/>
      <c r="BK190" s="342"/>
      <c r="BL190" s="342"/>
      <c r="BM190" s="342"/>
      <c r="BN190" s="342"/>
      <c r="BO190" s="342"/>
      <c r="BP190" s="342"/>
      <c r="BQ190" s="342"/>
      <c r="BR190" s="342"/>
      <c r="BS190" s="342"/>
      <c r="BT190" s="342"/>
      <c r="BU190" s="342"/>
      <c r="BV190" s="342"/>
      <c r="BW190" s="342"/>
      <c r="BX190" s="342"/>
      <c r="BY190" s="342"/>
      <c r="BZ190" s="342"/>
      <c r="CA190" s="342"/>
      <c r="CB190" s="342"/>
      <c r="CC190" s="342"/>
      <c r="CD190" s="342"/>
      <c r="CE190" s="342"/>
      <c r="CF190" s="342"/>
      <c r="CG190" s="342"/>
      <c r="CH190" s="342"/>
      <c r="CI190" s="342"/>
      <c r="CJ190" s="342"/>
      <c r="CK190" s="342"/>
      <c r="CL190" s="342"/>
      <c r="CM190" s="342"/>
      <c r="CN190" s="342"/>
      <c r="CO190" s="342"/>
      <c r="CP190" s="342"/>
      <c r="CQ190" s="342"/>
      <c r="CR190" s="342"/>
      <c r="CS190" s="342"/>
      <c r="CT190" s="342"/>
      <c r="CU190" s="342"/>
      <c r="CV190" s="342"/>
      <c r="CW190" s="342"/>
      <c r="CX190" s="342"/>
      <c r="CY190" s="342"/>
      <c r="CZ190" s="342"/>
      <c r="DA190" s="342"/>
      <c r="DB190" s="342"/>
      <c r="DC190" s="342"/>
      <c r="DD190" s="342"/>
      <c r="DE190" s="342"/>
      <c r="DF190" s="342"/>
      <c r="DG190" s="342"/>
      <c r="DH190" s="342"/>
      <c r="DI190" s="342"/>
      <c r="DJ190" s="342"/>
      <c r="DK190" s="342"/>
      <c r="DL190" s="342"/>
    </row>
    <row r="191" ht="20.25" customHeight="1">
      <c r="A191" s="44">
        <v>191.0</v>
      </c>
      <c r="B191" s="340" t="s">
        <v>114</v>
      </c>
      <c r="C191" s="340" t="s">
        <v>115</v>
      </c>
      <c r="D191" s="341" t="s">
        <v>442</v>
      </c>
      <c r="E191" s="342"/>
      <c r="F191" s="46" t="s">
        <v>1161</v>
      </c>
      <c r="G191" s="504" t="s">
        <v>1181</v>
      </c>
      <c r="H191" s="504" t="s">
        <v>445</v>
      </c>
      <c r="I191" s="505">
        <v>45635.0</v>
      </c>
      <c r="J191" s="49"/>
      <c r="K191" s="504" t="s">
        <v>1163</v>
      </c>
      <c r="L191" s="49"/>
      <c r="M191" s="504" t="s">
        <v>1164</v>
      </c>
      <c r="N191" s="504" t="s">
        <v>1165</v>
      </c>
      <c r="O191" s="49"/>
      <c r="P191" s="506" t="s">
        <v>1166</v>
      </c>
      <c r="Q191" s="104" t="str">
        <f t="array" ref="Q191"> if(iserror(MATCH(V191, 'File Links'!C:C, 0)), "N/A", HYPERLINK(INDEX('File Links'!B:B, MATCH(P191, 'File Links'!C:C, 0))))</f>
        <v>https://drive.google.com/file/d/11FrEIq8nBGRjHM8n6665RHudNtasAq_q/view?usp=drivesdk</v>
      </c>
      <c r="R191" s="504" t="s">
        <v>1167</v>
      </c>
      <c r="S191" s="47" t="s">
        <v>1168</v>
      </c>
      <c r="T191" s="49"/>
      <c r="U191" s="105"/>
      <c r="V191" s="340" t="str">
        <f> hyperlink(vlookup(lower(S191),'File Links'!E:F, 2, FALSE), SUBSTITUTE(lower(S191), "/", "--") &amp;  ".pdf")</f>
        <v>10.1002--acp.4202.pdf</v>
      </c>
      <c r="W191" s="504" t="s">
        <v>164</v>
      </c>
      <c r="X191" s="54" t="str">
        <f t="array" ref="X191"> if(iserror(MATCH(V191, 'File Links'!C:C, 0)), "N/A", HYPERLINK(INDEX('File Links'!B:B, MATCH(V191, 'File Links'!C:C, 0))))</f>
        <v>https://drive.google.com/file/d/1GpMdw7ZFDWpDIdg1IjCcxRYXmuDta-6_/view?usp=drivesdk</v>
      </c>
      <c r="Y191" s="49"/>
      <c r="Z191" s="504" t="s">
        <v>148</v>
      </c>
      <c r="AA191" s="47" t="s">
        <v>1169</v>
      </c>
      <c r="AB191" s="504" t="s">
        <v>1170</v>
      </c>
      <c r="AC191" s="504" t="s">
        <v>1171</v>
      </c>
      <c r="AD191" s="504" t="s">
        <v>1183</v>
      </c>
      <c r="AE191" s="507">
        <v>30.0</v>
      </c>
      <c r="AF191" s="507">
        <v>198.0</v>
      </c>
      <c r="AG191" s="508">
        <v>-0.7</v>
      </c>
      <c r="AH191" s="506" t="s">
        <v>215</v>
      </c>
      <c r="AI191" s="504" t="s">
        <v>1173</v>
      </c>
      <c r="AJ191" s="507">
        <v>0.001</v>
      </c>
      <c r="AK191" s="503" t="s">
        <v>135</v>
      </c>
      <c r="AL191" s="504" t="s">
        <v>218</v>
      </c>
      <c r="AM191" s="504" t="s">
        <v>141</v>
      </c>
      <c r="AN191" s="49" t="s">
        <v>138</v>
      </c>
      <c r="AO191" s="507">
        <v>229.0</v>
      </c>
      <c r="AP191" s="507">
        <v>-0.57</v>
      </c>
      <c r="AQ191" s="504" t="s">
        <v>215</v>
      </c>
      <c r="AR191" s="504" t="s">
        <v>1174</v>
      </c>
      <c r="AS191" s="507">
        <v>0.01</v>
      </c>
      <c r="AT191" s="503" t="s">
        <v>172</v>
      </c>
      <c r="AU191" s="503" t="s">
        <v>218</v>
      </c>
      <c r="AV191" s="503" t="s">
        <v>141</v>
      </c>
      <c r="AW191" s="509" t="s">
        <v>1175</v>
      </c>
      <c r="AX191" s="510" t="s">
        <v>151</v>
      </c>
      <c r="AY191" s="61" t="str">
        <f>IFERROR(__xludf.DUMMYFUNCTION("vlookup(BB191,importrange(""https://docs.google.com/spreadsheets/d/1d2vevQ_7D_v35q4wCQ4RpQ_IPoTwEMB9Yp6ymwlPqew/edit?gid=984458430#gid=984458430"", ""'replication success'!A:K""), 11, FAlSE)"),"mixed")</f>
        <v>mixed</v>
      </c>
      <c r="AZ191" s="61" t="str">
        <f>IFERROR(__xludf.DUMMYFUNCTION("vlookup(BB191,importrange(""https://docs.google.com/spreadsheets/d/1d2vevQ_7D_v35q4wCQ4RpQ_IPoTwEMB9Yp6ymwlPqew/edit?gid=984458430#gid=984458430"", ""'replication success'!A:M""), 12, FAlSE)"),"This supports (at least partly, and in an item analysis) the main finding presented by Blank et al. (2022) that MA negatively correlates with misin-
formation effect change, that is, at high levels of MA, double misinformation results in a reduction of t"&amp;"he misinformation effect
(compared to single misinformation), but at low levels of MA in an
increase.")</f>
        <v>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v>
      </c>
      <c r="BA191" s="61" t="str">
        <f>IFERROR(__xludf.DUMMYFUNCTION("vlookup(BB191,importrange(""https://docs.google.com/spreadsheets/d/1d2vevQ_7D_v35q4wCQ4RpQ_IPoTwEMB9Yp6ymwlPqew/edit?gid=984458430#gid=984458430"", ""'replication success'!A:M""), 13, FAlSE)"),"pg.13")</f>
        <v>pg.13</v>
      </c>
      <c r="BB191" s="61" t="str">
        <f>IFERROR(__xludf.DUMMYFUNCTION("REGEXREPLACE(G191, ""_[a-z]{1,2}$"", """")"),"additional_studies31")</f>
        <v>additional_studies31</v>
      </c>
      <c r="BC191" s="49"/>
      <c r="BD191" s="341" t="s">
        <v>692</v>
      </c>
      <c r="BE191" s="342"/>
      <c r="BF191" s="342"/>
      <c r="BG191" s="342"/>
      <c r="BH191" s="342"/>
      <c r="BI191" s="342"/>
      <c r="BJ191" s="342"/>
      <c r="BK191" s="342"/>
      <c r="BL191" s="342"/>
      <c r="BM191" s="342"/>
      <c r="BN191" s="342"/>
      <c r="BO191" s="342"/>
      <c r="BP191" s="342"/>
      <c r="BQ191" s="342"/>
      <c r="BR191" s="342"/>
      <c r="BS191" s="342"/>
      <c r="BT191" s="342"/>
      <c r="BU191" s="342"/>
      <c r="BV191" s="342"/>
      <c r="BW191" s="342"/>
      <c r="BX191" s="342"/>
      <c r="BY191" s="342"/>
      <c r="BZ191" s="342"/>
      <c r="CA191" s="342"/>
      <c r="CB191" s="342"/>
      <c r="CC191" s="342"/>
      <c r="CD191" s="342"/>
      <c r="CE191" s="342"/>
      <c r="CF191" s="342"/>
      <c r="CG191" s="342"/>
      <c r="CH191" s="342"/>
      <c r="CI191" s="342"/>
      <c r="CJ191" s="342"/>
      <c r="CK191" s="342"/>
      <c r="CL191" s="342"/>
      <c r="CM191" s="342"/>
      <c r="CN191" s="342"/>
      <c r="CO191" s="342"/>
      <c r="CP191" s="342"/>
      <c r="CQ191" s="342"/>
      <c r="CR191" s="342"/>
      <c r="CS191" s="342"/>
      <c r="CT191" s="342"/>
      <c r="CU191" s="342"/>
      <c r="CV191" s="342"/>
      <c r="CW191" s="342"/>
      <c r="CX191" s="342"/>
      <c r="CY191" s="342"/>
      <c r="CZ191" s="342"/>
      <c r="DA191" s="342"/>
      <c r="DB191" s="342"/>
      <c r="DC191" s="342"/>
      <c r="DD191" s="342"/>
      <c r="DE191" s="342"/>
      <c r="DF191" s="342"/>
      <c r="DG191" s="342"/>
      <c r="DH191" s="342"/>
      <c r="DI191" s="342"/>
      <c r="DJ191" s="342"/>
      <c r="DK191" s="342"/>
      <c r="DL191" s="342"/>
    </row>
    <row r="192" ht="20.25" customHeight="1">
      <c r="A192" s="44">
        <v>192.0</v>
      </c>
      <c r="B192" s="340" t="s">
        <v>152</v>
      </c>
      <c r="C192" s="340" t="s">
        <v>115</v>
      </c>
      <c r="D192" s="341" t="s">
        <v>442</v>
      </c>
      <c r="E192" s="342"/>
      <c r="F192" s="503" t="s">
        <v>1184</v>
      </c>
      <c r="G192" s="504" t="s">
        <v>1185</v>
      </c>
      <c r="H192" s="504" t="s">
        <v>445</v>
      </c>
      <c r="I192" s="512">
        <v>45637.0</v>
      </c>
      <c r="J192" s="49"/>
      <c r="K192" s="504" t="s">
        <v>1186</v>
      </c>
      <c r="L192" s="49"/>
      <c r="M192" s="504" t="s">
        <v>1187</v>
      </c>
      <c r="N192" s="504" t="s">
        <v>1188</v>
      </c>
      <c r="O192" s="49"/>
      <c r="P192" s="513" t="s">
        <v>1189</v>
      </c>
      <c r="Q192" s="104" t="str">
        <f t="array" ref="Q192"> if(iserror(MATCH(V192, 'File Links'!C:C, 0)), "N/A", HYPERLINK(INDEX('File Links'!B:B, MATCH(P192, 'File Links'!C:C, 0))))</f>
        <v>https://drive.google.com/file/d/1HfaoUy0n4jcmWWLSBXNhkyGIX4WbOU1n/view?usp=drivesdk</v>
      </c>
      <c r="R192" s="504" t="s">
        <v>1190</v>
      </c>
      <c r="S192" s="504" t="s">
        <v>1191</v>
      </c>
      <c r="T192" s="49"/>
      <c r="U192" s="105"/>
      <c r="V192" s="340" t="str">
        <f> hyperlink(vlookup(lower(S192),'File Links'!E:F, 2, FALSE), SUBSTITUTE(lower(S192), "/", "--") &amp;  ".pdf")</f>
        <v>10.1080--23273798.2024.2337948.pdf</v>
      </c>
      <c r="W192" s="504" t="s">
        <v>164</v>
      </c>
      <c r="X192" s="54" t="str">
        <f t="array" ref="X192"> if(iserror(MATCH(V192, 'File Links'!C:C, 0)), "N/A", HYPERLINK(INDEX('File Links'!B:B, MATCH(V192, 'File Links'!C:C, 0))))</f>
        <v>https://drive.google.com/file/d/1mEhjjjRgKQdJJEyOqsKa3dnm5uZRy5EI/view?usp=drivesdk</v>
      </c>
      <c r="Y192" s="49"/>
      <c r="Z192" s="504" t="s">
        <v>148</v>
      </c>
      <c r="AA192" s="504" t="s">
        <v>1192</v>
      </c>
      <c r="AB192" s="504" t="s">
        <v>1193</v>
      </c>
      <c r="AC192" s="504" t="s">
        <v>1194</v>
      </c>
      <c r="AD192" s="504" t="s">
        <v>1195</v>
      </c>
      <c r="AE192" s="507">
        <v>4.0</v>
      </c>
      <c r="AF192" s="507">
        <v>30.0</v>
      </c>
      <c r="AG192" s="507">
        <v>-33.42</v>
      </c>
      <c r="AH192" s="506" t="s">
        <v>987</v>
      </c>
      <c r="AI192" s="504" t="s">
        <v>496</v>
      </c>
      <c r="AJ192" s="514" t="s">
        <v>138</v>
      </c>
      <c r="AK192" s="46"/>
      <c r="AL192" s="504" t="s">
        <v>186</v>
      </c>
      <c r="AM192" s="504" t="s">
        <v>141</v>
      </c>
      <c r="AN192" s="49" t="s">
        <v>138</v>
      </c>
      <c r="AO192" s="507">
        <v>100.0</v>
      </c>
      <c r="AP192" s="515" t="s">
        <v>1196</v>
      </c>
      <c r="AQ192" s="504" t="s">
        <v>134</v>
      </c>
      <c r="AR192" s="49" t="s">
        <v>496</v>
      </c>
      <c r="AS192" s="507">
        <v>0.001</v>
      </c>
      <c r="AT192" s="503" t="s">
        <v>135</v>
      </c>
      <c r="AU192" s="503" t="s">
        <v>186</v>
      </c>
      <c r="AV192" s="503" t="s">
        <v>141</v>
      </c>
      <c r="AW192" s="516" t="s">
        <v>1197</v>
      </c>
      <c r="AX192" s="510" t="s">
        <v>438</v>
      </c>
      <c r="AY192" s="61" t="str">
        <f>IFERROR(__xludf.DUMMYFUNCTION("vlookup(BB192,importrange(""https://docs.google.com/spreadsheets/d/1d2vevQ_7D_v35q4wCQ4RpQ_IPoTwEMB9Yp6ymwlPqew/edit?gid=984458430#gid=984458430"", ""'replication success'!A:K""), 11, FAlSE)"),"successful")</f>
        <v>successful</v>
      </c>
      <c r="AZ192" s="61" t="str">
        <f>IFERROR(__xludf.DUMMYFUNCTION("vlookup(BB192,importrange(""https://docs.google.com/spreadsheets/d/1d2vevQ_7D_v35q4wCQ4RpQ_IPoTwEMB9Yp6ymwlPqew/edit?gid=984458430#gid=984458430"",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2" s="61" t="str">
        <f>IFERROR(__xludf.DUMMYFUNCTION("vlookup(BB192,importrange(""https://docs.google.com/spreadsheets/d/1d2vevQ_7D_v35q4wCQ4RpQ_IPoTwEMB9Yp6ymwlPqew/edit?gid=984458430#gid=984458430"", ""'replication success'!A:M""), 13, FAlSE)"),"abstract")</f>
        <v>abstract</v>
      </c>
      <c r="BB192" s="61" t="str">
        <f>IFERROR(__xludf.DUMMYFUNCTION("REGEXREPLACE(G192, ""_[a-z]{1,2}$"", """")"),"additional_studies32")</f>
        <v>additional_studies32</v>
      </c>
      <c r="BC192" s="49"/>
      <c r="BD192" s="341" t="s">
        <v>692</v>
      </c>
      <c r="BE192" s="342"/>
      <c r="BF192" s="342"/>
      <c r="BG192" s="342"/>
      <c r="BH192" s="342"/>
      <c r="BI192" s="342"/>
      <c r="BJ192" s="342"/>
      <c r="BK192" s="342"/>
      <c r="BL192" s="342"/>
      <c r="BM192" s="342"/>
      <c r="BN192" s="342"/>
      <c r="BO192" s="342"/>
      <c r="BP192" s="342"/>
      <c r="BQ192" s="342"/>
      <c r="BR192" s="342"/>
      <c r="BS192" s="342"/>
      <c r="BT192" s="342"/>
      <c r="BU192" s="342"/>
      <c r="BV192" s="342"/>
      <c r="BW192" s="342"/>
      <c r="BX192" s="342"/>
      <c r="BY192" s="342"/>
      <c r="BZ192" s="342"/>
      <c r="CA192" s="342"/>
      <c r="CB192" s="342"/>
      <c r="CC192" s="342"/>
      <c r="CD192" s="342"/>
      <c r="CE192" s="342"/>
      <c r="CF192" s="342"/>
      <c r="CG192" s="342"/>
      <c r="CH192" s="342"/>
      <c r="CI192" s="342"/>
      <c r="CJ192" s="342"/>
      <c r="CK192" s="342"/>
      <c r="CL192" s="342"/>
      <c r="CM192" s="342"/>
      <c r="CN192" s="342"/>
      <c r="CO192" s="342"/>
      <c r="CP192" s="342"/>
      <c r="CQ192" s="342"/>
      <c r="CR192" s="342"/>
      <c r="CS192" s="342"/>
      <c r="CT192" s="342"/>
      <c r="CU192" s="342"/>
      <c r="CV192" s="342"/>
      <c r="CW192" s="342"/>
      <c r="CX192" s="342"/>
      <c r="CY192" s="342"/>
      <c r="CZ192" s="342"/>
      <c r="DA192" s="342"/>
      <c r="DB192" s="342"/>
      <c r="DC192" s="342"/>
      <c r="DD192" s="342"/>
      <c r="DE192" s="342"/>
      <c r="DF192" s="342"/>
      <c r="DG192" s="342"/>
      <c r="DH192" s="342"/>
      <c r="DI192" s="342"/>
      <c r="DJ192" s="342"/>
      <c r="DK192" s="342"/>
      <c r="DL192" s="342"/>
    </row>
    <row r="193" ht="20.25" customHeight="1">
      <c r="A193" s="44">
        <v>193.0</v>
      </c>
      <c r="B193" s="340" t="s">
        <v>114</v>
      </c>
      <c r="C193" s="341" t="s">
        <v>115</v>
      </c>
      <c r="D193" s="341" t="s">
        <v>990</v>
      </c>
      <c r="E193" s="342"/>
      <c r="F193" s="46" t="s">
        <v>1184</v>
      </c>
      <c r="G193" s="47" t="s">
        <v>1185</v>
      </c>
      <c r="H193" s="360" t="s">
        <v>144</v>
      </c>
      <c r="I193" s="344">
        <v>45427.0</v>
      </c>
      <c r="J193" s="511">
        <v>45639.0</v>
      </c>
      <c r="K193" s="360" t="s">
        <v>1198</v>
      </c>
      <c r="L193" s="46"/>
      <c r="M193" s="360" t="s">
        <v>1187</v>
      </c>
      <c r="N193" s="360" t="s">
        <v>1188</v>
      </c>
      <c r="O193" s="46"/>
      <c r="P193" s="517" t="s">
        <v>1189</v>
      </c>
      <c r="Q193" s="104" t="str">
        <f t="array" ref="Q193"> if(iserror(MATCH(V193, 'File Links'!C:C, 0)), "N/A", HYPERLINK(INDEX('File Links'!B:B, MATCH(P193, 'File Links'!C:C, 0))))</f>
        <v>https://drive.google.com/file/d/1HfaoUy0n4jcmWWLSBXNhkyGIX4WbOU1n/view?usp=drivesdk</v>
      </c>
      <c r="R193" s="360" t="s">
        <v>1190</v>
      </c>
      <c r="S193" s="504" t="s">
        <v>1191</v>
      </c>
      <c r="T193" s="46"/>
      <c r="U193" s="46"/>
      <c r="V193" s="340" t="str">
        <f> hyperlink(vlookup(lower(S193),'File Links'!E:F, 2, FALSE), SUBSTITUTE(lower(S193), "/", "--") &amp;  ".pdf")</f>
        <v>10.1080--23273798.2024.2337948.pdf</v>
      </c>
      <c r="W193" s="46"/>
      <c r="X193" s="54" t="str">
        <f t="array" ref="X193"> if(iserror(MATCH(V193, 'File Links'!C:C, 0)), "N/A", HYPERLINK(INDEX('File Links'!B:B, MATCH(V193, 'File Links'!C:C, 0))))</f>
        <v>https://drive.google.com/file/d/1mEhjjjRgKQdJJEyOqsKa3dnm5uZRy5EI/view?usp=drivesdk</v>
      </c>
      <c r="Y193" s="46"/>
      <c r="Z193" s="46"/>
      <c r="AA193" s="46"/>
      <c r="AB193" s="46"/>
      <c r="AC193" s="46"/>
      <c r="AD193" s="46"/>
      <c r="AE193" s="46"/>
      <c r="AF193" s="46"/>
      <c r="AG193" s="46"/>
      <c r="AH193" s="105"/>
      <c r="AI193" s="49"/>
      <c r="AJ193" s="49"/>
      <c r="AK193" s="46"/>
      <c r="AL193" s="49"/>
      <c r="AM193" s="46"/>
      <c r="AN193" s="49" t="s">
        <v>138</v>
      </c>
      <c r="AO193" s="46"/>
      <c r="AP193" s="46"/>
      <c r="AQ193" s="46"/>
      <c r="AR193" s="46"/>
      <c r="AS193" s="46"/>
      <c r="AT193" s="46"/>
      <c r="AU193" s="46"/>
      <c r="AV193" s="46"/>
      <c r="AW193" s="46"/>
      <c r="AX193" s="46"/>
      <c r="AY193" s="61" t="str">
        <f>IFERROR(__xludf.DUMMYFUNCTION("vlookup(BB193,importrange(""https://docs.google.com/spreadsheets/d/1d2vevQ_7D_v35q4wCQ4RpQ_IPoTwEMB9Yp6ymwlPqew/edit?gid=984458430#gid=984458430"", ""'replication success'!A:K""), 11, FAlSE)"),"successful")</f>
        <v>successful</v>
      </c>
      <c r="AZ193" s="61" t="str">
        <f>IFERROR(__xludf.DUMMYFUNCTION("vlookup(BB193,importrange(""https://docs.google.com/spreadsheets/d/1d2vevQ_7D_v35q4wCQ4RpQ_IPoTwEMB9Yp6ymwlPqew/edit?gid=984458430#gid=984458430"",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3" s="61" t="str">
        <f>IFERROR(__xludf.DUMMYFUNCTION("vlookup(BB193,importrange(""https://docs.google.com/spreadsheets/d/1d2vevQ_7D_v35q4wCQ4RpQ_IPoTwEMB9Yp6ymwlPqew/edit?gid=984458430#gid=984458430"", ""'replication success'!A:M""), 13, FAlSE)"),"abstract")</f>
        <v>abstract</v>
      </c>
      <c r="BB193" s="61" t="str">
        <f>IFERROR(__xludf.DUMMYFUNCTION("REGEXREPLACE(G193, ""_[a-z]{1,2}$"", """")"),"additional_studies32")</f>
        <v>additional_studies32</v>
      </c>
      <c r="BC193" s="46"/>
      <c r="BD193" s="341" t="s">
        <v>692</v>
      </c>
      <c r="BE193" s="342"/>
      <c r="BF193" s="342"/>
      <c r="BG193" s="342"/>
      <c r="BH193" s="342"/>
      <c r="BI193" s="342"/>
      <c r="BJ193" s="342"/>
      <c r="BK193" s="342"/>
      <c r="BL193" s="342"/>
      <c r="BM193" s="342"/>
      <c r="BN193" s="342"/>
      <c r="BO193" s="342"/>
      <c r="BP193" s="342"/>
      <c r="BQ193" s="342"/>
      <c r="BR193" s="342"/>
      <c r="BS193" s="342"/>
      <c r="BT193" s="342"/>
      <c r="BU193" s="342"/>
      <c r="BV193" s="342"/>
      <c r="BW193" s="342"/>
      <c r="BX193" s="342"/>
      <c r="BY193" s="342"/>
      <c r="BZ193" s="342"/>
      <c r="CA193" s="342"/>
      <c r="CB193" s="342"/>
      <c r="CC193" s="342"/>
      <c r="CD193" s="342"/>
      <c r="CE193" s="342"/>
      <c r="CF193" s="342"/>
      <c r="CG193" s="342"/>
      <c r="CH193" s="342"/>
      <c r="CI193" s="342"/>
      <c r="CJ193" s="342"/>
      <c r="CK193" s="342"/>
      <c r="CL193" s="342"/>
      <c r="CM193" s="342"/>
      <c r="CN193" s="342"/>
      <c r="CO193" s="342"/>
      <c r="CP193" s="342"/>
      <c r="CQ193" s="342"/>
      <c r="CR193" s="342"/>
      <c r="CS193" s="342"/>
      <c r="CT193" s="342"/>
      <c r="CU193" s="342"/>
      <c r="CV193" s="342"/>
      <c r="CW193" s="342"/>
      <c r="CX193" s="342"/>
      <c r="CY193" s="342"/>
      <c r="CZ193" s="342"/>
      <c r="DA193" s="342"/>
      <c r="DB193" s="342"/>
      <c r="DC193" s="342"/>
      <c r="DD193" s="342"/>
      <c r="DE193" s="342"/>
      <c r="DF193" s="342"/>
      <c r="DG193" s="342"/>
      <c r="DH193" s="342"/>
      <c r="DI193" s="342"/>
      <c r="DJ193" s="342"/>
      <c r="DK193" s="342"/>
      <c r="DL193" s="342"/>
    </row>
    <row r="194" ht="20.25" customHeight="1">
      <c r="A194" s="44">
        <v>194.0</v>
      </c>
      <c r="B194" s="340" t="s">
        <v>152</v>
      </c>
      <c r="C194" s="340" t="s">
        <v>115</v>
      </c>
      <c r="D194" s="341" t="s">
        <v>442</v>
      </c>
      <c r="E194" s="342"/>
      <c r="F194" s="46" t="s">
        <v>1184</v>
      </c>
      <c r="G194" s="504" t="s">
        <v>1199</v>
      </c>
      <c r="H194" s="504" t="s">
        <v>445</v>
      </c>
      <c r="I194" s="512">
        <v>45637.0</v>
      </c>
      <c r="J194" s="49"/>
      <c r="K194" s="504" t="s">
        <v>1186</v>
      </c>
      <c r="L194" s="49"/>
      <c r="M194" s="504" t="s">
        <v>1187</v>
      </c>
      <c r="N194" s="504" t="s">
        <v>1188</v>
      </c>
      <c r="O194" s="49"/>
      <c r="P194" s="513" t="s">
        <v>1189</v>
      </c>
      <c r="Q194" s="104" t="str">
        <f t="array" ref="Q194"> if(iserror(MATCH(V194, 'File Links'!C:C, 0)), "N/A", HYPERLINK(INDEX('File Links'!B:B, MATCH(P194, 'File Links'!C:C, 0))))</f>
        <v>https://drive.google.com/file/d/1HfaoUy0n4jcmWWLSBXNhkyGIX4WbOU1n/view?usp=drivesdk</v>
      </c>
      <c r="R194" s="504" t="s">
        <v>1190</v>
      </c>
      <c r="S194" s="504" t="s">
        <v>1191</v>
      </c>
      <c r="T194" s="49"/>
      <c r="U194" s="105"/>
      <c r="V194" s="340" t="str">
        <f> hyperlink(vlookup(lower(S194),'File Links'!E:F, 2, FALSE), SUBSTITUTE(lower(S194), "/", "--") &amp;  ".pdf")</f>
        <v>10.1080--23273798.2024.2337948.pdf</v>
      </c>
      <c r="W194" s="504" t="s">
        <v>164</v>
      </c>
      <c r="X194" s="54" t="str">
        <f t="array" ref="X194"> if(iserror(MATCH(V194, 'File Links'!C:C, 0)), "N/A", HYPERLINK(INDEX('File Links'!B:B, MATCH(V194, 'File Links'!C:C, 0))))</f>
        <v>https://drive.google.com/file/d/1mEhjjjRgKQdJJEyOqsKa3dnm5uZRy5EI/view?usp=drivesdk</v>
      </c>
      <c r="Y194" s="49"/>
      <c r="Z194" s="504" t="s">
        <v>148</v>
      </c>
      <c r="AA194" s="504" t="s">
        <v>1192</v>
      </c>
      <c r="AB194" s="504" t="s">
        <v>1193</v>
      </c>
      <c r="AC194" s="504" t="s">
        <v>1194</v>
      </c>
      <c r="AD194" s="504" t="s">
        <v>1200</v>
      </c>
      <c r="AE194" s="507">
        <v>4.0</v>
      </c>
      <c r="AF194" s="507">
        <v>30.0</v>
      </c>
      <c r="AG194" s="507">
        <v>29.71</v>
      </c>
      <c r="AH194" s="506" t="s">
        <v>987</v>
      </c>
      <c r="AI194" s="504" t="s">
        <v>496</v>
      </c>
      <c r="AJ194" s="514" t="s">
        <v>138</v>
      </c>
      <c r="AK194" s="46"/>
      <c r="AL194" s="504" t="s">
        <v>186</v>
      </c>
      <c r="AM194" s="504" t="s">
        <v>141</v>
      </c>
      <c r="AN194" s="49" t="s">
        <v>138</v>
      </c>
      <c r="AO194" s="507">
        <v>100.0</v>
      </c>
      <c r="AP194" s="507">
        <v>3.033</v>
      </c>
      <c r="AQ194" s="504" t="s">
        <v>173</v>
      </c>
      <c r="AR194" s="49" t="s">
        <v>496</v>
      </c>
      <c r="AS194" s="507">
        <v>0.002</v>
      </c>
      <c r="AT194" s="503" t="s">
        <v>172</v>
      </c>
      <c r="AU194" s="503" t="s">
        <v>186</v>
      </c>
      <c r="AV194" s="503" t="s">
        <v>141</v>
      </c>
      <c r="AW194" s="516" t="s">
        <v>1197</v>
      </c>
      <c r="AX194" s="510" t="s">
        <v>438</v>
      </c>
      <c r="AY194" s="61" t="str">
        <f>IFERROR(__xludf.DUMMYFUNCTION("vlookup(BB194,importrange(""https://docs.google.com/spreadsheets/d/1d2vevQ_7D_v35q4wCQ4RpQ_IPoTwEMB9Yp6ymwlPqew/edit?gid=984458430#gid=984458430"", ""'replication success'!A:K""), 11, FAlSE)"),"successful")</f>
        <v>successful</v>
      </c>
      <c r="AZ194" s="61" t="str">
        <f>IFERROR(__xludf.DUMMYFUNCTION("vlookup(BB194,importrange(""https://docs.google.com/spreadsheets/d/1d2vevQ_7D_v35q4wCQ4RpQ_IPoTwEMB9Yp6ymwlPqew/edit?gid=984458430#gid=984458430"",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4" s="61" t="str">
        <f>IFERROR(__xludf.DUMMYFUNCTION("vlookup(BB194,importrange(""https://docs.google.com/spreadsheets/d/1d2vevQ_7D_v35q4wCQ4RpQ_IPoTwEMB9Yp6ymwlPqew/edit?gid=984458430#gid=984458430"", ""'replication success'!A:M""), 13, FAlSE)"),"abstract")</f>
        <v>abstract</v>
      </c>
      <c r="BB194" s="61" t="str">
        <f>IFERROR(__xludf.DUMMYFUNCTION("REGEXREPLACE(G194, ""_[a-z]{1,2}$"", """")"),"additional_studies32")</f>
        <v>additional_studies32</v>
      </c>
      <c r="BC194" s="49"/>
      <c r="BD194" s="341" t="s">
        <v>692</v>
      </c>
      <c r="BE194" s="342"/>
      <c r="BF194" s="342"/>
      <c r="BG194" s="342"/>
      <c r="BH194" s="342"/>
      <c r="BI194" s="342"/>
      <c r="BJ194" s="342"/>
      <c r="BK194" s="342"/>
      <c r="BL194" s="342"/>
      <c r="BM194" s="342"/>
      <c r="BN194" s="342"/>
      <c r="BO194" s="342"/>
      <c r="BP194" s="342"/>
      <c r="BQ194" s="342"/>
      <c r="BR194" s="342"/>
      <c r="BS194" s="342"/>
      <c r="BT194" s="342"/>
      <c r="BU194" s="342"/>
      <c r="BV194" s="342"/>
      <c r="BW194" s="342"/>
      <c r="BX194" s="342"/>
      <c r="BY194" s="342"/>
      <c r="BZ194" s="342"/>
      <c r="CA194" s="342"/>
      <c r="CB194" s="342"/>
      <c r="CC194" s="342"/>
      <c r="CD194" s="342"/>
      <c r="CE194" s="342"/>
      <c r="CF194" s="342"/>
      <c r="CG194" s="342"/>
      <c r="CH194" s="342"/>
      <c r="CI194" s="342"/>
      <c r="CJ194" s="342"/>
      <c r="CK194" s="342"/>
      <c r="CL194" s="342"/>
      <c r="CM194" s="342"/>
      <c r="CN194" s="342"/>
      <c r="CO194" s="342"/>
      <c r="CP194" s="342"/>
      <c r="CQ194" s="342"/>
      <c r="CR194" s="342"/>
      <c r="CS194" s="342"/>
      <c r="CT194" s="342"/>
      <c r="CU194" s="342"/>
      <c r="CV194" s="342"/>
      <c r="CW194" s="342"/>
      <c r="CX194" s="342"/>
      <c r="CY194" s="342"/>
      <c r="CZ194" s="342"/>
      <c r="DA194" s="342"/>
      <c r="DB194" s="342"/>
      <c r="DC194" s="342"/>
      <c r="DD194" s="342"/>
      <c r="DE194" s="342"/>
      <c r="DF194" s="342"/>
      <c r="DG194" s="342"/>
      <c r="DH194" s="342"/>
      <c r="DI194" s="342"/>
      <c r="DJ194" s="342"/>
      <c r="DK194" s="342"/>
      <c r="DL194" s="342"/>
    </row>
    <row r="195" ht="20.25" customHeight="1">
      <c r="A195" s="44">
        <v>195.0</v>
      </c>
      <c r="B195" s="340" t="s">
        <v>152</v>
      </c>
      <c r="C195" s="340" t="s">
        <v>115</v>
      </c>
      <c r="D195" s="341" t="s">
        <v>442</v>
      </c>
      <c r="E195" s="342"/>
      <c r="F195" s="46" t="s">
        <v>1184</v>
      </c>
      <c r="G195" s="504" t="s">
        <v>1201</v>
      </c>
      <c r="H195" s="504" t="s">
        <v>445</v>
      </c>
      <c r="I195" s="512">
        <v>45637.0</v>
      </c>
      <c r="J195" s="49"/>
      <c r="K195" s="504" t="s">
        <v>1186</v>
      </c>
      <c r="L195" s="49"/>
      <c r="M195" s="504" t="s">
        <v>1187</v>
      </c>
      <c r="N195" s="504" t="s">
        <v>1188</v>
      </c>
      <c r="O195" s="49"/>
      <c r="P195" s="513" t="s">
        <v>1189</v>
      </c>
      <c r="Q195" s="104" t="str">
        <f t="array" ref="Q195"> if(iserror(MATCH(V195, 'File Links'!C:C, 0)), "N/A", HYPERLINK(INDEX('File Links'!B:B, MATCH(P195, 'File Links'!C:C, 0))))</f>
        <v>https://drive.google.com/file/d/1HfaoUy0n4jcmWWLSBXNhkyGIX4WbOU1n/view?usp=drivesdk</v>
      </c>
      <c r="R195" s="504" t="s">
        <v>1190</v>
      </c>
      <c r="S195" s="504" t="s">
        <v>1191</v>
      </c>
      <c r="T195" s="49"/>
      <c r="U195" s="105"/>
      <c r="V195" s="340" t="str">
        <f> hyperlink(vlookup(lower(S195),'File Links'!E:F, 2, FALSE), SUBSTITUTE(lower(S195), "/", "--") &amp;  ".pdf")</f>
        <v>10.1080--23273798.2024.2337948.pdf</v>
      </c>
      <c r="W195" s="504" t="s">
        <v>164</v>
      </c>
      <c r="X195" s="54" t="str">
        <f t="array" ref="X195"> if(iserror(MATCH(V195, 'File Links'!C:C, 0)), "N/A", HYPERLINK(INDEX('File Links'!B:B, MATCH(V195, 'File Links'!C:C, 0))))</f>
        <v>https://drive.google.com/file/d/1mEhjjjRgKQdJJEyOqsKa3dnm5uZRy5EI/view?usp=drivesdk</v>
      </c>
      <c r="Y195" s="49"/>
      <c r="Z195" s="504" t="s">
        <v>148</v>
      </c>
      <c r="AA195" s="504" t="s">
        <v>1192</v>
      </c>
      <c r="AB195" s="504" t="s">
        <v>1193</v>
      </c>
      <c r="AC195" s="504" t="s">
        <v>1194</v>
      </c>
      <c r="AD195" s="504" t="s">
        <v>1202</v>
      </c>
      <c r="AE195" s="507">
        <v>4.0</v>
      </c>
      <c r="AF195" s="507">
        <v>30.0</v>
      </c>
      <c r="AG195" s="507">
        <v>28.31</v>
      </c>
      <c r="AH195" s="506" t="s">
        <v>987</v>
      </c>
      <c r="AI195" s="504" t="s">
        <v>496</v>
      </c>
      <c r="AJ195" s="514" t="s">
        <v>138</v>
      </c>
      <c r="AK195" s="46"/>
      <c r="AL195" s="504" t="s">
        <v>186</v>
      </c>
      <c r="AM195" s="504" t="s">
        <v>141</v>
      </c>
      <c r="AN195" s="49" t="s">
        <v>138</v>
      </c>
      <c r="AO195" s="507">
        <v>100.0</v>
      </c>
      <c r="AP195" s="515">
        <v>-2.694</v>
      </c>
      <c r="AQ195" s="504" t="s">
        <v>173</v>
      </c>
      <c r="AR195" s="49" t="s">
        <v>496</v>
      </c>
      <c r="AS195" s="507">
        <v>0.007</v>
      </c>
      <c r="AT195" s="503" t="s">
        <v>172</v>
      </c>
      <c r="AU195" s="503" t="s">
        <v>186</v>
      </c>
      <c r="AV195" s="503" t="s">
        <v>141</v>
      </c>
      <c r="AW195" s="516" t="s">
        <v>1197</v>
      </c>
      <c r="AX195" s="510" t="s">
        <v>438</v>
      </c>
      <c r="AY195" s="61" t="str">
        <f>IFERROR(__xludf.DUMMYFUNCTION("vlookup(BB195,importrange(""https://docs.google.com/spreadsheets/d/1d2vevQ_7D_v35q4wCQ4RpQ_IPoTwEMB9Yp6ymwlPqew/edit?gid=984458430#gid=984458430"", ""'replication success'!A:K""), 11, FAlSE)"),"successful")</f>
        <v>successful</v>
      </c>
      <c r="AZ195" s="61" t="str">
        <f>IFERROR(__xludf.DUMMYFUNCTION("vlookup(BB195,importrange(""https://docs.google.com/spreadsheets/d/1d2vevQ_7D_v35q4wCQ4RpQ_IPoTwEMB9Yp6ymwlPqew/edit?gid=984458430#gid=984458430"",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5" s="61" t="str">
        <f>IFERROR(__xludf.DUMMYFUNCTION("vlookup(BB195,importrange(""https://docs.google.com/spreadsheets/d/1d2vevQ_7D_v35q4wCQ4RpQ_IPoTwEMB9Yp6ymwlPqew/edit?gid=984458430#gid=984458430"", ""'replication success'!A:M""), 13, FAlSE)"),"abstract")</f>
        <v>abstract</v>
      </c>
      <c r="BB195" s="61" t="str">
        <f>IFERROR(__xludf.DUMMYFUNCTION("REGEXREPLACE(G195, ""_[a-z]{1,2}$"", """")"),"additional_studies32")</f>
        <v>additional_studies32</v>
      </c>
      <c r="BC195" s="49"/>
      <c r="BD195" s="341" t="s">
        <v>692</v>
      </c>
      <c r="BE195" s="342"/>
      <c r="BF195" s="342"/>
      <c r="BG195" s="342"/>
      <c r="BH195" s="342"/>
      <c r="BI195" s="342"/>
      <c r="BJ195" s="342"/>
      <c r="BK195" s="342"/>
      <c r="BL195" s="342"/>
      <c r="BM195" s="342"/>
      <c r="BN195" s="342"/>
      <c r="BO195" s="342"/>
      <c r="BP195" s="342"/>
      <c r="BQ195" s="342"/>
      <c r="BR195" s="342"/>
      <c r="BS195" s="342"/>
      <c r="BT195" s="342"/>
      <c r="BU195" s="342"/>
      <c r="BV195" s="342"/>
      <c r="BW195" s="342"/>
      <c r="BX195" s="342"/>
      <c r="BY195" s="342"/>
      <c r="BZ195" s="342"/>
      <c r="CA195" s="342"/>
      <c r="CB195" s="342"/>
      <c r="CC195" s="342"/>
      <c r="CD195" s="342"/>
      <c r="CE195" s="342"/>
      <c r="CF195" s="342"/>
      <c r="CG195" s="342"/>
      <c r="CH195" s="342"/>
      <c r="CI195" s="342"/>
      <c r="CJ195" s="342"/>
      <c r="CK195" s="342"/>
      <c r="CL195" s="342"/>
      <c r="CM195" s="342"/>
      <c r="CN195" s="342"/>
      <c r="CO195" s="342"/>
      <c r="CP195" s="342"/>
      <c r="CQ195" s="342"/>
      <c r="CR195" s="342"/>
      <c r="CS195" s="342"/>
      <c r="CT195" s="342"/>
      <c r="CU195" s="342"/>
      <c r="CV195" s="342"/>
      <c r="CW195" s="342"/>
      <c r="CX195" s="342"/>
      <c r="CY195" s="342"/>
      <c r="CZ195" s="342"/>
      <c r="DA195" s="342"/>
      <c r="DB195" s="342"/>
      <c r="DC195" s="342"/>
      <c r="DD195" s="342"/>
      <c r="DE195" s="342"/>
      <c r="DF195" s="342"/>
      <c r="DG195" s="342"/>
      <c r="DH195" s="342"/>
      <c r="DI195" s="342"/>
      <c r="DJ195" s="342"/>
      <c r="DK195" s="342"/>
      <c r="DL195" s="342"/>
    </row>
    <row r="196" ht="20.25" customHeight="1">
      <c r="A196" s="44">
        <v>196.0</v>
      </c>
      <c r="B196" s="340" t="s">
        <v>152</v>
      </c>
      <c r="C196" s="340" t="s">
        <v>115</v>
      </c>
      <c r="D196" s="341" t="s">
        <v>442</v>
      </c>
      <c r="E196" s="342"/>
      <c r="F196" s="46" t="s">
        <v>1184</v>
      </c>
      <c r="G196" s="504" t="s">
        <v>1203</v>
      </c>
      <c r="H196" s="504" t="s">
        <v>445</v>
      </c>
      <c r="I196" s="512">
        <v>45637.0</v>
      </c>
      <c r="J196" s="49"/>
      <c r="K196" s="504" t="s">
        <v>1186</v>
      </c>
      <c r="L196" s="49"/>
      <c r="M196" s="504" t="s">
        <v>1187</v>
      </c>
      <c r="N196" s="504" t="s">
        <v>1188</v>
      </c>
      <c r="O196" s="49"/>
      <c r="P196" s="513" t="s">
        <v>1189</v>
      </c>
      <c r="Q196" s="104" t="str">
        <f t="array" ref="Q196"> if(iserror(MATCH(V196, 'File Links'!C:C, 0)), "N/A", HYPERLINK(INDEX('File Links'!B:B, MATCH(P196, 'File Links'!C:C, 0))))</f>
        <v>https://drive.google.com/file/d/1HfaoUy0n4jcmWWLSBXNhkyGIX4WbOU1n/view?usp=drivesdk</v>
      </c>
      <c r="R196" s="504" t="s">
        <v>1190</v>
      </c>
      <c r="S196" s="504" t="s">
        <v>1191</v>
      </c>
      <c r="T196" s="49"/>
      <c r="U196" s="105"/>
      <c r="V196" s="340" t="str">
        <f> hyperlink(vlookup(lower(S196),'File Links'!E:F, 2, FALSE), SUBSTITUTE(lower(S196), "/", "--") &amp;  ".pdf")</f>
        <v>10.1080--23273798.2024.2337948.pdf</v>
      </c>
      <c r="W196" s="504" t="s">
        <v>164</v>
      </c>
      <c r="X196" s="54" t="str">
        <f t="array" ref="X196"> if(iserror(MATCH(V196, 'File Links'!C:C, 0)), "N/A", HYPERLINK(INDEX('File Links'!B:B, MATCH(V196, 'File Links'!C:C, 0))))</f>
        <v>https://drive.google.com/file/d/1mEhjjjRgKQdJJEyOqsKa3dnm5uZRy5EI/view?usp=drivesdk</v>
      </c>
      <c r="Y196" s="49"/>
      <c r="Z196" s="504" t="s">
        <v>148</v>
      </c>
      <c r="AA196" s="504" t="s">
        <v>1192</v>
      </c>
      <c r="AB196" s="504" t="s">
        <v>1193</v>
      </c>
      <c r="AC196" s="504" t="s">
        <v>1194</v>
      </c>
      <c r="AD196" s="504" t="s">
        <v>1204</v>
      </c>
      <c r="AE196" s="507">
        <v>4.0</v>
      </c>
      <c r="AF196" s="507">
        <v>30.0</v>
      </c>
      <c r="AG196" s="507">
        <v>-1.4</v>
      </c>
      <c r="AH196" s="506" t="s">
        <v>987</v>
      </c>
      <c r="AI196" s="504" t="s">
        <v>496</v>
      </c>
      <c r="AJ196" s="514" t="s">
        <v>138</v>
      </c>
      <c r="AK196" s="46"/>
      <c r="AL196" s="504" t="s">
        <v>186</v>
      </c>
      <c r="AM196" s="504" t="s">
        <v>141</v>
      </c>
      <c r="AN196" s="49" t="s">
        <v>138</v>
      </c>
      <c r="AO196" s="507">
        <v>100.0</v>
      </c>
      <c r="AP196" s="507">
        <v>0.329</v>
      </c>
      <c r="AQ196" s="504" t="s">
        <v>173</v>
      </c>
      <c r="AR196" s="49" t="s">
        <v>496</v>
      </c>
      <c r="AS196" s="507">
        <v>0.742</v>
      </c>
      <c r="AT196" s="503" t="s">
        <v>172</v>
      </c>
      <c r="AU196" s="503" t="s">
        <v>186</v>
      </c>
      <c r="AV196" s="503" t="s">
        <v>141</v>
      </c>
      <c r="AW196" s="516" t="s">
        <v>1197</v>
      </c>
      <c r="AX196" s="510" t="s">
        <v>438</v>
      </c>
      <c r="AY196" s="61" t="str">
        <f>IFERROR(__xludf.DUMMYFUNCTION("vlookup(BB196,importrange(""https://docs.google.com/spreadsheets/d/1d2vevQ_7D_v35q4wCQ4RpQ_IPoTwEMB9Yp6ymwlPqew/edit?gid=984458430#gid=984458430"", ""'replication success'!A:K""), 11, FAlSE)"),"successful")</f>
        <v>successful</v>
      </c>
      <c r="AZ196" s="61" t="str">
        <f>IFERROR(__xludf.DUMMYFUNCTION("vlookup(BB196,importrange(""https://docs.google.com/spreadsheets/d/1d2vevQ_7D_v35q4wCQ4RpQ_IPoTwEMB9Yp6ymwlPqew/edit?gid=984458430#gid=984458430"",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6" s="61" t="str">
        <f>IFERROR(__xludf.DUMMYFUNCTION("vlookup(BB196,importrange(""https://docs.google.com/spreadsheets/d/1d2vevQ_7D_v35q4wCQ4RpQ_IPoTwEMB9Yp6ymwlPqew/edit?gid=984458430#gid=984458430"", ""'replication success'!A:M""), 13, FAlSE)"),"abstract")</f>
        <v>abstract</v>
      </c>
      <c r="BB196" s="61" t="str">
        <f>IFERROR(__xludf.DUMMYFUNCTION("REGEXREPLACE(G196, ""_[a-z]{1,2}$"", """")"),"additional_studies32")</f>
        <v>additional_studies32</v>
      </c>
      <c r="BC196" s="49"/>
      <c r="BD196" s="341" t="s">
        <v>692</v>
      </c>
      <c r="BE196" s="342"/>
      <c r="BF196" s="342"/>
      <c r="BG196" s="342"/>
      <c r="BH196" s="342"/>
      <c r="BI196" s="342"/>
      <c r="BJ196" s="342"/>
      <c r="BK196" s="342"/>
      <c r="BL196" s="342"/>
      <c r="BM196" s="342"/>
      <c r="BN196" s="342"/>
      <c r="BO196" s="342"/>
      <c r="BP196" s="342"/>
      <c r="BQ196" s="342"/>
      <c r="BR196" s="342"/>
      <c r="BS196" s="342"/>
      <c r="BT196" s="342"/>
      <c r="BU196" s="342"/>
      <c r="BV196" s="342"/>
      <c r="BW196" s="342"/>
      <c r="BX196" s="342"/>
      <c r="BY196" s="342"/>
      <c r="BZ196" s="342"/>
      <c r="CA196" s="342"/>
      <c r="CB196" s="342"/>
      <c r="CC196" s="342"/>
      <c r="CD196" s="342"/>
      <c r="CE196" s="342"/>
      <c r="CF196" s="342"/>
      <c r="CG196" s="342"/>
      <c r="CH196" s="342"/>
      <c r="CI196" s="342"/>
      <c r="CJ196" s="342"/>
      <c r="CK196" s="342"/>
      <c r="CL196" s="342"/>
      <c r="CM196" s="342"/>
      <c r="CN196" s="342"/>
      <c r="CO196" s="342"/>
      <c r="CP196" s="342"/>
      <c r="CQ196" s="342"/>
      <c r="CR196" s="342"/>
      <c r="CS196" s="342"/>
      <c r="CT196" s="342"/>
      <c r="CU196" s="342"/>
      <c r="CV196" s="342"/>
      <c r="CW196" s="342"/>
      <c r="CX196" s="342"/>
      <c r="CY196" s="342"/>
      <c r="CZ196" s="342"/>
      <c r="DA196" s="342"/>
      <c r="DB196" s="342"/>
      <c r="DC196" s="342"/>
      <c r="DD196" s="342"/>
      <c r="DE196" s="342"/>
      <c r="DF196" s="342"/>
      <c r="DG196" s="342"/>
      <c r="DH196" s="342"/>
      <c r="DI196" s="342"/>
      <c r="DJ196" s="342"/>
      <c r="DK196" s="342"/>
      <c r="DL196" s="342"/>
    </row>
    <row r="197" ht="20.25" customHeight="1">
      <c r="A197" s="44">
        <v>197.0</v>
      </c>
      <c r="B197" s="340" t="s">
        <v>152</v>
      </c>
      <c r="C197" s="340" t="s">
        <v>115</v>
      </c>
      <c r="D197" s="341" t="s">
        <v>442</v>
      </c>
      <c r="E197" s="342"/>
      <c r="F197" s="46" t="s">
        <v>1184</v>
      </c>
      <c r="G197" s="504" t="s">
        <v>1205</v>
      </c>
      <c r="H197" s="504" t="s">
        <v>445</v>
      </c>
      <c r="I197" s="512">
        <v>45637.0</v>
      </c>
      <c r="J197" s="49"/>
      <c r="K197" s="504" t="s">
        <v>1206</v>
      </c>
      <c r="L197" s="49"/>
      <c r="M197" s="504" t="s">
        <v>1187</v>
      </c>
      <c r="N197" s="504" t="s">
        <v>1188</v>
      </c>
      <c r="O197" s="49"/>
      <c r="P197" s="513" t="s">
        <v>1189</v>
      </c>
      <c r="Q197" s="104" t="str">
        <f t="array" ref="Q197"> if(iserror(MATCH(V197, 'File Links'!C:C, 0)), "N/A", HYPERLINK(INDEX('File Links'!B:B, MATCH(P197, 'File Links'!C:C, 0))))</f>
        <v>https://drive.google.com/file/d/1HfaoUy0n4jcmWWLSBXNhkyGIX4WbOU1n/view?usp=drivesdk</v>
      </c>
      <c r="R197" s="504" t="s">
        <v>1190</v>
      </c>
      <c r="S197" s="504" t="s">
        <v>1191</v>
      </c>
      <c r="T197" s="49"/>
      <c r="U197" s="105"/>
      <c r="V197" s="340" t="str">
        <f> hyperlink(vlookup(lower(S197),'File Links'!E:F, 2, FALSE), SUBSTITUTE(lower(S197), "/", "--") &amp;  ".pdf")</f>
        <v>10.1080--23273798.2024.2337948.pdf</v>
      </c>
      <c r="W197" s="504" t="s">
        <v>164</v>
      </c>
      <c r="X197" s="54" t="str">
        <f t="array" ref="X197"> if(iserror(MATCH(V197, 'File Links'!C:C, 0)), "N/A", HYPERLINK(INDEX('File Links'!B:B, MATCH(V197, 'File Links'!C:C, 0))))</f>
        <v>https://drive.google.com/file/d/1mEhjjjRgKQdJJEyOqsKa3dnm5uZRy5EI/view?usp=drivesdk</v>
      </c>
      <c r="Y197" s="49"/>
      <c r="Z197" s="504" t="s">
        <v>148</v>
      </c>
      <c r="AA197" s="504" t="s">
        <v>1192</v>
      </c>
      <c r="AB197" s="504" t="s">
        <v>1193</v>
      </c>
      <c r="AC197" s="504" t="s">
        <v>1194</v>
      </c>
      <c r="AD197" s="504" t="s">
        <v>1207</v>
      </c>
      <c r="AE197" s="507">
        <v>4.0</v>
      </c>
      <c r="AF197" s="507">
        <v>30.0</v>
      </c>
      <c r="AG197" s="518">
        <v>-0.63</v>
      </c>
      <c r="AH197" s="506" t="s">
        <v>987</v>
      </c>
      <c r="AI197" s="504" t="s">
        <v>496</v>
      </c>
      <c r="AJ197" s="514" t="s">
        <v>138</v>
      </c>
      <c r="AK197" s="46"/>
      <c r="AL197" s="504" t="s">
        <v>186</v>
      </c>
      <c r="AM197" s="504" t="s">
        <v>141</v>
      </c>
      <c r="AN197" s="49" t="s">
        <v>138</v>
      </c>
      <c r="AO197" s="507">
        <v>100.0</v>
      </c>
      <c r="AP197" s="515">
        <v>-2.23</v>
      </c>
      <c r="AQ197" s="504" t="s">
        <v>173</v>
      </c>
      <c r="AR197" s="49" t="s">
        <v>496</v>
      </c>
      <c r="AS197" s="507">
        <v>0.023</v>
      </c>
      <c r="AT197" s="503" t="s">
        <v>172</v>
      </c>
      <c r="AU197" s="503" t="s">
        <v>186</v>
      </c>
      <c r="AV197" s="503" t="s">
        <v>141</v>
      </c>
      <c r="AW197" s="516" t="s">
        <v>1197</v>
      </c>
      <c r="AX197" s="510" t="s">
        <v>438</v>
      </c>
      <c r="AY197" s="61" t="str">
        <f>IFERROR(__xludf.DUMMYFUNCTION("vlookup(BB197,importrange(""https://docs.google.com/spreadsheets/d/1d2vevQ_7D_v35q4wCQ4RpQ_IPoTwEMB9Yp6ymwlPqew/edit?gid=984458430#gid=984458430"", ""'replication success'!A:K""), 11, FAlSE)"),"successful")</f>
        <v>successful</v>
      </c>
      <c r="AZ197" s="61" t="str">
        <f>IFERROR(__xludf.DUMMYFUNCTION("vlookup(BB197,importrange(""https://docs.google.com/spreadsheets/d/1d2vevQ_7D_v35q4wCQ4RpQ_IPoTwEMB9Yp6ymwlPqew/edit?gid=984458430#gid=984458430"",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7" s="61" t="str">
        <f>IFERROR(__xludf.DUMMYFUNCTION("vlookup(BB197,importrange(""https://docs.google.com/spreadsheets/d/1d2vevQ_7D_v35q4wCQ4RpQ_IPoTwEMB9Yp6ymwlPqew/edit?gid=984458430#gid=984458430"", ""'replication success'!A:M""), 13, FAlSE)"),"abstract")</f>
        <v>abstract</v>
      </c>
      <c r="BB197" s="61" t="str">
        <f>IFERROR(__xludf.DUMMYFUNCTION("REGEXREPLACE(G197, ""_[a-z]{1,2}$"", """")"),"additional_studies32")</f>
        <v>additional_studies32</v>
      </c>
      <c r="BC197" s="49"/>
      <c r="BD197" s="341" t="s">
        <v>692</v>
      </c>
      <c r="BE197" s="342"/>
      <c r="BF197" s="342"/>
      <c r="BG197" s="342"/>
      <c r="BH197" s="342"/>
      <c r="BI197" s="342"/>
      <c r="BJ197" s="342"/>
      <c r="BK197" s="342"/>
      <c r="BL197" s="342"/>
      <c r="BM197" s="342"/>
      <c r="BN197" s="342"/>
      <c r="BO197" s="342"/>
      <c r="BP197" s="342"/>
      <c r="BQ197" s="342"/>
      <c r="BR197" s="342"/>
      <c r="BS197" s="342"/>
      <c r="BT197" s="342"/>
      <c r="BU197" s="342"/>
      <c r="BV197" s="342"/>
      <c r="BW197" s="342"/>
      <c r="BX197" s="342"/>
      <c r="BY197" s="342"/>
      <c r="BZ197" s="342"/>
      <c r="CA197" s="342"/>
      <c r="CB197" s="342"/>
      <c r="CC197" s="342"/>
      <c r="CD197" s="342"/>
      <c r="CE197" s="342"/>
      <c r="CF197" s="342"/>
      <c r="CG197" s="342"/>
      <c r="CH197" s="342"/>
      <c r="CI197" s="342"/>
      <c r="CJ197" s="342"/>
      <c r="CK197" s="342"/>
      <c r="CL197" s="342"/>
      <c r="CM197" s="342"/>
      <c r="CN197" s="342"/>
      <c r="CO197" s="342"/>
      <c r="CP197" s="342"/>
      <c r="CQ197" s="342"/>
      <c r="CR197" s="342"/>
      <c r="CS197" s="342"/>
      <c r="CT197" s="342"/>
      <c r="CU197" s="342"/>
      <c r="CV197" s="342"/>
      <c r="CW197" s="342"/>
      <c r="CX197" s="342"/>
      <c r="CY197" s="342"/>
      <c r="CZ197" s="342"/>
      <c r="DA197" s="342"/>
      <c r="DB197" s="342"/>
      <c r="DC197" s="342"/>
      <c r="DD197" s="342"/>
      <c r="DE197" s="342"/>
      <c r="DF197" s="342"/>
      <c r="DG197" s="342"/>
      <c r="DH197" s="342"/>
      <c r="DI197" s="342"/>
      <c r="DJ197" s="342"/>
      <c r="DK197" s="342"/>
      <c r="DL197" s="342"/>
    </row>
    <row r="198" ht="20.25" customHeight="1">
      <c r="A198" s="44">
        <v>198.0</v>
      </c>
      <c r="B198" s="340" t="s">
        <v>152</v>
      </c>
      <c r="C198" s="340" t="s">
        <v>115</v>
      </c>
      <c r="D198" s="341" t="s">
        <v>442</v>
      </c>
      <c r="E198" s="342"/>
      <c r="F198" s="46" t="s">
        <v>1184</v>
      </c>
      <c r="G198" s="504" t="s">
        <v>1208</v>
      </c>
      <c r="H198" s="504" t="s">
        <v>445</v>
      </c>
      <c r="I198" s="512">
        <v>45637.0</v>
      </c>
      <c r="J198" s="49"/>
      <c r="K198" s="504" t="s">
        <v>1206</v>
      </c>
      <c r="L198" s="49"/>
      <c r="M198" s="504" t="s">
        <v>1187</v>
      </c>
      <c r="N198" s="504" t="s">
        <v>1188</v>
      </c>
      <c r="O198" s="49"/>
      <c r="P198" s="513" t="s">
        <v>1189</v>
      </c>
      <c r="Q198" s="104" t="str">
        <f t="array" ref="Q198"> if(iserror(MATCH(V198, 'File Links'!C:C, 0)), "N/A", HYPERLINK(INDEX('File Links'!B:B, MATCH(P198, 'File Links'!C:C, 0))))</f>
        <v>https://drive.google.com/file/d/1HfaoUy0n4jcmWWLSBXNhkyGIX4WbOU1n/view?usp=drivesdk</v>
      </c>
      <c r="R198" s="504" t="s">
        <v>1190</v>
      </c>
      <c r="S198" s="504" t="s">
        <v>1191</v>
      </c>
      <c r="T198" s="49"/>
      <c r="U198" s="105"/>
      <c r="V198" s="340" t="str">
        <f> hyperlink(vlookup(lower(S198),'File Links'!E:F, 2, FALSE), SUBSTITUTE(lower(S198), "/", "--") &amp;  ".pdf")</f>
        <v>10.1080--23273798.2024.2337948.pdf</v>
      </c>
      <c r="W198" s="504" t="s">
        <v>164</v>
      </c>
      <c r="X198" s="54" t="str">
        <f t="array" ref="X198"> if(iserror(MATCH(V198, 'File Links'!C:C, 0)), "N/A", HYPERLINK(INDEX('File Links'!B:B, MATCH(V198, 'File Links'!C:C, 0))))</f>
        <v>https://drive.google.com/file/d/1mEhjjjRgKQdJJEyOqsKa3dnm5uZRy5EI/view?usp=drivesdk</v>
      </c>
      <c r="Y198" s="49"/>
      <c r="Z198" s="504" t="s">
        <v>148</v>
      </c>
      <c r="AA198" s="504" t="s">
        <v>1192</v>
      </c>
      <c r="AB198" s="504" t="s">
        <v>1193</v>
      </c>
      <c r="AC198" s="504" t="s">
        <v>1194</v>
      </c>
      <c r="AD198" s="504" t="s">
        <v>1209</v>
      </c>
      <c r="AE198" s="507">
        <v>4.0</v>
      </c>
      <c r="AF198" s="507">
        <v>30.0</v>
      </c>
      <c r="AG198" s="519" t="s">
        <v>1210</v>
      </c>
      <c r="AH198" s="506" t="s">
        <v>987</v>
      </c>
      <c r="AI198" s="504" t="s">
        <v>496</v>
      </c>
      <c r="AJ198" s="514" t="s">
        <v>138</v>
      </c>
      <c r="AK198" s="46"/>
      <c r="AL198" s="504" t="s">
        <v>186</v>
      </c>
      <c r="AM198" s="504" t="s">
        <v>141</v>
      </c>
      <c r="AN198" s="49" t="s">
        <v>138</v>
      </c>
      <c r="AO198" s="507">
        <v>100.0</v>
      </c>
      <c r="AP198" s="507">
        <v>3.731</v>
      </c>
      <c r="AQ198" s="504" t="s">
        <v>173</v>
      </c>
      <c r="AR198" s="49" t="s">
        <v>496</v>
      </c>
      <c r="AS198" s="507">
        <v>0.001</v>
      </c>
      <c r="AT198" s="503" t="s">
        <v>135</v>
      </c>
      <c r="AU198" s="503" t="s">
        <v>186</v>
      </c>
      <c r="AV198" s="503" t="s">
        <v>141</v>
      </c>
      <c r="AW198" s="516" t="s">
        <v>1197</v>
      </c>
      <c r="AX198" s="510" t="s">
        <v>438</v>
      </c>
      <c r="AY198" s="61" t="str">
        <f>IFERROR(__xludf.DUMMYFUNCTION("vlookup(BB198,importrange(""https://docs.google.com/spreadsheets/d/1d2vevQ_7D_v35q4wCQ4RpQ_IPoTwEMB9Yp6ymwlPqew/edit?gid=984458430#gid=984458430"", ""'replication success'!A:K""), 11, FAlSE)"),"successful")</f>
        <v>successful</v>
      </c>
      <c r="AZ198" s="61" t="str">
        <f>IFERROR(__xludf.DUMMYFUNCTION("vlookup(BB198,importrange(""https://docs.google.com/spreadsheets/d/1d2vevQ_7D_v35q4wCQ4RpQ_IPoTwEMB9Yp6ymwlPqew/edit?gid=984458430#gid=984458430"",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8" s="61" t="str">
        <f>IFERROR(__xludf.DUMMYFUNCTION("vlookup(BB198,importrange(""https://docs.google.com/spreadsheets/d/1d2vevQ_7D_v35q4wCQ4RpQ_IPoTwEMB9Yp6ymwlPqew/edit?gid=984458430#gid=984458430"", ""'replication success'!A:M""), 13, FAlSE)"),"abstract")</f>
        <v>abstract</v>
      </c>
      <c r="BB198" s="61" t="str">
        <f>IFERROR(__xludf.DUMMYFUNCTION("REGEXREPLACE(G198, ""_[a-z]{1,2}$"", """")"),"additional_studies32")</f>
        <v>additional_studies32</v>
      </c>
      <c r="BC198" s="49"/>
      <c r="BD198" s="341" t="s">
        <v>692</v>
      </c>
      <c r="BE198" s="342"/>
      <c r="BF198" s="342"/>
      <c r="BG198" s="342"/>
      <c r="BH198" s="342"/>
      <c r="BI198" s="342"/>
      <c r="BJ198" s="342"/>
      <c r="BK198" s="342"/>
      <c r="BL198" s="342"/>
      <c r="BM198" s="342"/>
      <c r="BN198" s="342"/>
      <c r="BO198" s="342"/>
      <c r="BP198" s="342"/>
      <c r="BQ198" s="342"/>
      <c r="BR198" s="342"/>
      <c r="BS198" s="342"/>
      <c r="BT198" s="342"/>
      <c r="BU198" s="342"/>
      <c r="BV198" s="342"/>
      <c r="BW198" s="342"/>
      <c r="BX198" s="342"/>
      <c r="BY198" s="342"/>
      <c r="BZ198" s="342"/>
      <c r="CA198" s="342"/>
      <c r="CB198" s="342"/>
      <c r="CC198" s="342"/>
      <c r="CD198" s="342"/>
      <c r="CE198" s="342"/>
      <c r="CF198" s="342"/>
      <c r="CG198" s="342"/>
      <c r="CH198" s="342"/>
      <c r="CI198" s="342"/>
      <c r="CJ198" s="342"/>
      <c r="CK198" s="342"/>
      <c r="CL198" s="342"/>
      <c r="CM198" s="342"/>
      <c r="CN198" s="342"/>
      <c r="CO198" s="342"/>
      <c r="CP198" s="342"/>
      <c r="CQ198" s="342"/>
      <c r="CR198" s="342"/>
      <c r="CS198" s="342"/>
      <c r="CT198" s="342"/>
      <c r="CU198" s="342"/>
      <c r="CV198" s="342"/>
      <c r="CW198" s="342"/>
      <c r="CX198" s="342"/>
      <c r="CY198" s="342"/>
      <c r="CZ198" s="342"/>
      <c r="DA198" s="342"/>
      <c r="DB198" s="342"/>
      <c r="DC198" s="342"/>
      <c r="DD198" s="342"/>
      <c r="DE198" s="342"/>
      <c r="DF198" s="342"/>
      <c r="DG198" s="342"/>
      <c r="DH198" s="342"/>
      <c r="DI198" s="342"/>
      <c r="DJ198" s="342"/>
      <c r="DK198" s="342"/>
      <c r="DL198" s="342"/>
    </row>
    <row r="199" ht="20.25" customHeight="1">
      <c r="A199" s="44">
        <v>199.0</v>
      </c>
      <c r="B199" s="340" t="s">
        <v>152</v>
      </c>
      <c r="C199" s="340" t="s">
        <v>115</v>
      </c>
      <c r="D199" s="341" t="s">
        <v>442</v>
      </c>
      <c r="E199" s="342"/>
      <c r="F199" s="46" t="s">
        <v>1184</v>
      </c>
      <c r="G199" s="504" t="s">
        <v>1211</v>
      </c>
      <c r="H199" s="504" t="s">
        <v>445</v>
      </c>
      <c r="I199" s="512">
        <v>45637.0</v>
      </c>
      <c r="J199" s="49"/>
      <c r="K199" s="504" t="s">
        <v>1206</v>
      </c>
      <c r="L199" s="49"/>
      <c r="M199" s="504" t="s">
        <v>1187</v>
      </c>
      <c r="N199" s="504" t="s">
        <v>1188</v>
      </c>
      <c r="O199" s="49"/>
      <c r="P199" s="513" t="s">
        <v>1189</v>
      </c>
      <c r="Q199" s="104" t="str">
        <f t="array" ref="Q199"> if(iserror(MATCH(V199, 'File Links'!C:C, 0)), "N/A", HYPERLINK(INDEX('File Links'!B:B, MATCH(P199, 'File Links'!C:C, 0))))</f>
        <v>https://drive.google.com/file/d/1HfaoUy0n4jcmWWLSBXNhkyGIX4WbOU1n/view?usp=drivesdk</v>
      </c>
      <c r="R199" s="504" t="s">
        <v>1190</v>
      </c>
      <c r="S199" s="504" t="s">
        <v>1191</v>
      </c>
      <c r="T199" s="49"/>
      <c r="U199" s="105"/>
      <c r="V199" s="340" t="str">
        <f> hyperlink(vlookup(lower(S199),'File Links'!E:F, 2, FALSE), SUBSTITUTE(lower(S199), "/", "--") &amp;  ".pdf")</f>
        <v>10.1080--23273798.2024.2337948.pdf</v>
      </c>
      <c r="W199" s="504" t="s">
        <v>164</v>
      </c>
      <c r="X199" s="54" t="str">
        <f t="array" ref="X199"> if(iserror(MATCH(V199, 'File Links'!C:C, 0)), "N/A", HYPERLINK(INDEX('File Links'!B:B, MATCH(V199, 'File Links'!C:C, 0))))</f>
        <v>https://drive.google.com/file/d/1mEhjjjRgKQdJJEyOqsKa3dnm5uZRy5EI/view?usp=drivesdk</v>
      </c>
      <c r="Y199" s="49"/>
      <c r="Z199" s="504" t="s">
        <v>148</v>
      </c>
      <c r="AA199" s="504" t="s">
        <v>1192</v>
      </c>
      <c r="AB199" s="504" t="s">
        <v>1193</v>
      </c>
      <c r="AC199" s="504" t="s">
        <v>1194</v>
      </c>
      <c r="AD199" s="504" t="s">
        <v>1212</v>
      </c>
      <c r="AE199" s="507">
        <v>4.0</v>
      </c>
      <c r="AF199" s="507">
        <v>30.0</v>
      </c>
      <c r="AG199" s="504" t="s">
        <v>1213</v>
      </c>
      <c r="AH199" s="506" t="s">
        <v>987</v>
      </c>
      <c r="AI199" s="504" t="s">
        <v>496</v>
      </c>
      <c r="AJ199" s="514" t="s">
        <v>138</v>
      </c>
      <c r="AK199" s="46"/>
      <c r="AL199" s="504" t="s">
        <v>186</v>
      </c>
      <c r="AM199" s="504" t="s">
        <v>141</v>
      </c>
      <c r="AN199" s="49" t="s">
        <v>138</v>
      </c>
      <c r="AO199" s="507">
        <v>100.0</v>
      </c>
      <c r="AP199" s="507">
        <v>1.923</v>
      </c>
      <c r="AQ199" s="504" t="s">
        <v>173</v>
      </c>
      <c r="AR199" s="49" t="s">
        <v>496</v>
      </c>
      <c r="AS199" s="507">
        <v>0.054</v>
      </c>
      <c r="AT199" s="503" t="s">
        <v>172</v>
      </c>
      <c r="AU199" s="503" t="s">
        <v>186</v>
      </c>
      <c r="AV199" s="503" t="s">
        <v>141</v>
      </c>
      <c r="AW199" s="516" t="s">
        <v>1197</v>
      </c>
      <c r="AX199" s="510" t="s">
        <v>438</v>
      </c>
      <c r="AY199" s="61" t="str">
        <f>IFERROR(__xludf.DUMMYFUNCTION("vlookup(BB199,importrange(""https://docs.google.com/spreadsheets/d/1d2vevQ_7D_v35q4wCQ4RpQ_IPoTwEMB9Yp6ymwlPqew/edit?gid=984458430#gid=984458430"", ""'replication success'!A:K""), 11, FAlSE)"),"successful")</f>
        <v>successful</v>
      </c>
      <c r="AZ199" s="61" t="str">
        <f>IFERROR(__xludf.DUMMYFUNCTION("vlookup(BB199,importrange(""https://docs.google.com/spreadsheets/d/1d2vevQ_7D_v35q4wCQ4RpQ_IPoTwEMB9Yp6ymwlPqew/edit?gid=984458430#gid=984458430"", ""'replication success'!A:M""), 12, FAlSE)"),"The results of the present
study successfully replicate the findings of Grainger et al. [(2021).")</f>
        <v>The results of the present
study successfully replicate the findings of Grainger et al. [(2021).</v>
      </c>
      <c r="BA199" s="61" t="str">
        <f>IFERROR(__xludf.DUMMYFUNCTION("vlookup(BB199,importrange(""https://docs.google.com/spreadsheets/d/1d2vevQ_7D_v35q4wCQ4RpQ_IPoTwEMB9Yp6ymwlPqew/edit?gid=984458430#gid=984458430"", ""'replication success'!A:M""), 13, FAlSE)"),"abstract")</f>
        <v>abstract</v>
      </c>
      <c r="BB199" s="61" t="str">
        <f>IFERROR(__xludf.DUMMYFUNCTION("REGEXREPLACE(G199, ""_[a-z]{1,2}$"", """")"),"additional_studies32")</f>
        <v>additional_studies32</v>
      </c>
      <c r="BC199" s="49"/>
      <c r="BD199" s="341" t="s">
        <v>692</v>
      </c>
      <c r="BE199" s="342"/>
      <c r="BF199" s="342"/>
      <c r="BG199" s="342"/>
      <c r="BH199" s="342"/>
      <c r="BI199" s="342"/>
      <c r="BJ199" s="342"/>
      <c r="BK199" s="342"/>
      <c r="BL199" s="342"/>
      <c r="BM199" s="342"/>
      <c r="BN199" s="342"/>
      <c r="BO199" s="342"/>
      <c r="BP199" s="342"/>
      <c r="BQ199" s="342"/>
      <c r="BR199" s="342"/>
      <c r="BS199" s="342"/>
      <c r="BT199" s="342"/>
      <c r="BU199" s="342"/>
      <c r="BV199" s="342"/>
      <c r="BW199" s="342"/>
      <c r="BX199" s="342"/>
      <c r="BY199" s="342"/>
      <c r="BZ199" s="342"/>
      <c r="CA199" s="342"/>
      <c r="CB199" s="342"/>
      <c r="CC199" s="342"/>
      <c r="CD199" s="342"/>
      <c r="CE199" s="342"/>
      <c r="CF199" s="342"/>
      <c r="CG199" s="342"/>
      <c r="CH199" s="342"/>
      <c r="CI199" s="342"/>
      <c r="CJ199" s="342"/>
      <c r="CK199" s="342"/>
      <c r="CL199" s="342"/>
      <c r="CM199" s="342"/>
      <c r="CN199" s="342"/>
      <c r="CO199" s="342"/>
      <c r="CP199" s="342"/>
      <c r="CQ199" s="342"/>
      <c r="CR199" s="342"/>
      <c r="CS199" s="342"/>
      <c r="CT199" s="342"/>
      <c r="CU199" s="342"/>
      <c r="CV199" s="342"/>
      <c r="CW199" s="342"/>
      <c r="CX199" s="342"/>
      <c r="CY199" s="342"/>
      <c r="CZ199" s="342"/>
      <c r="DA199" s="342"/>
      <c r="DB199" s="342"/>
      <c r="DC199" s="342"/>
      <c r="DD199" s="342"/>
      <c r="DE199" s="342"/>
      <c r="DF199" s="342"/>
      <c r="DG199" s="342"/>
      <c r="DH199" s="342"/>
      <c r="DI199" s="342"/>
      <c r="DJ199" s="342"/>
      <c r="DK199" s="342"/>
      <c r="DL199" s="342"/>
    </row>
    <row r="200" ht="20.25" customHeight="1">
      <c r="A200" s="44">
        <v>200.0</v>
      </c>
      <c r="B200" s="45" t="s">
        <v>114</v>
      </c>
      <c r="C200" s="45" t="s">
        <v>115</v>
      </c>
      <c r="D200" s="45" t="s">
        <v>753</v>
      </c>
      <c r="E200" s="65"/>
      <c r="F200" s="62" t="s">
        <v>1214</v>
      </c>
      <c r="G200" s="45" t="s">
        <v>1215</v>
      </c>
      <c r="H200" s="45" t="s">
        <v>753</v>
      </c>
      <c r="I200" s="63">
        <v>45427.0</v>
      </c>
      <c r="J200" s="65"/>
      <c r="K200" s="65"/>
      <c r="L200" s="65"/>
      <c r="M200" s="45" t="s">
        <v>1216</v>
      </c>
      <c r="N200" s="45" t="s">
        <v>1217</v>
      </c>
      <c r="O200" s="65"/>
      <c r="P200" s="520" t="str">
        <f> hyperlink(vlookup(lower(N200),'File Links'!A:B, 2, FALSE), SUBSTITUTE(lower(N200), "/", "--") &amp;  ".pdf")</f>
        <v>10.1016--j.system.2004.01.001.pdf</v>
      </c>
      <c r="Q200" s="52" t="str">
        <f t="array" ref="Q200"> if(iserror(MATCH(V200, 'File Links'!C:C, 0)), "N/A", HYPERLINK(INDEX('File Links'!B:B, MATCH(P200, 'File Links'!C:C, 0))))</f>
        <v>https://drive.google.com/file/d/1c0WTQTFC6wVjO3perznTR_rfzhpTPGnJ/view?usp=drivesdk</v>
      </c>
      <c r="R200" s="45" t="s">
        <v>1218</v>
      </c>
      <c r="S200" s="62" t="s">
        <v>1219</v>
      </c>
      <c r="T200" s="65"/>
      <c r="U200" s="65"/>
      <c r="V200" s="66" t="s">
        <v>1220</v>
      </c>
      <c r="W200" s="65"/>
      <c r="X200" s="54" t="str">
        <f t="array" ref="X200"> if(iserror(MATCH(V200, 'File Links'!C:C, 0)), "N/A", HYPERLINK(INDEX('File Links'!B:B, MATCH(V200, 'File Links'!C:C, 0))))</f>
        <v>https://drive.google.com/file/d/1sSSGJnEV4E18FQJXK-1-tt9r58Mi889H/view?usp=drivesdk</v>
      </c>
      <c r="Y200" s="65"/>
      <c r="Z200" s="45" t="s">
        <v>947</v>
      </c>
      <c r="AA200" s="65"/>
      <c r="AB200" s="65"/>
      <c r="AC200" s="45" t="s">
        <v>1221</v>
      </c>
      <c r="AD200" s="65"/>
      <c r="AE200" s="65"/>
      <c r="AF200" s="65"/>
      <c r="AG200" s="65"/>
      <c r="AH200" s="65"/>
      <c r="AI200" s="65"/>
      <c r="AJ200" s="45"/>
      <c r="AK200" s="65"/>
      <c r="AL200" s="65"/>
      <c r="AM200" s="67"/>
      <c r="AN200" s="114" t="s">
        <v>138</v>
      </c>
      <c r="AO200" s="65"/>
      <c r="AP200" s="65"/>
      <c r="AQ200" s="65"/>
      <c r="AR200" s="65"/>
      <c r="AS200" s="65"/>
      <c r="AT200" s="65"/>
      <c r="AU200" s="65"/>
      <c r="AV200" s="67"/>
      <c r="AX200" s="68"/>
      <c r="AY200" s="61" t="str">
        <f>IFERROR(__xludf.DUMMYFUNCTION("vlookup(BB200,importrange(""https://docs.google.com/spreadsheets/d/1d2vevQ_7D_v35q4wCQ4RpQ_IPoTwEMB9Yp6ymwlPqew/edit?gid=984458430#gid=984458430"", ""'replication success'!A:K""), 11, FAlSE)"),"#N/A")</f>
        <v>#N/A</v>
      </c>
      <c r="AZ200" s="61" t="str">
        <f>IFERROR(__xludf.DUMMYFUNCTION("vlookup(BB200,importrange(""https://docs.google.com/spreadsheets/d/1d2vevQ_7D_v35q4wCQ4RpQ_IPoTwEMB9Yp6ymwlPqew/edit?gid=984458430#gid=984458430"", ""'replication success'!A:M""), 12, FAlSE)"),"#N/A")</f>
        <v>#N/A</v>
      </c>
      <c r="BA200" s="61" t="str">
        <f>IFERROR(__xludf.DUMMYFUNCTION("vlookup(BB200,importrange(""https://docs.google.com/spreadsheets/d/1d2vevQ_7D_v35q4wCQ4RpQ_IPoTwEMB9Yp6ymwlPqew/edit?gid=984458430#gid=984458430"", ""'replication success'!A:M""), 13, FAlSE)"),"#N/A")</f>
        <v>#N/A</v>
      </c>
      <c r="BB200" s="61" t="str">
        <f>IFERROR(__xludf.DUMMYFUNCTION("REGEXREPLACE(G200, ""_[a-z]{1,2}$"", """")"),"additional_studies33")</f>
        <v>additional_studies33</v>
      </c>
      <c r="BC200" s="65"/>
      <c r="BD200" s="62" t="s">
        <v>144</v>
      </c>
    </row>
    <row r="201" ht="20.25" customHeight="1">
      <c r="A201" s="44">
        <v>201.0</v>
      </c>
      <c r="B201" s="62" t="s">
        <v>114</v>
      </c>
      <c r="C201" s="62" t="s">
        <v>115</v>
      </c>
      <c r="D201" s="62" t="s">
        <v>248</v>
      </c>
      <c r="F201" s="68" t="s">
        <v>1214</v>
      </c>
      <c r="G201" s="521" t="s">
        <v>1215</v>
      </c>
      <c r="H201" s="521" t="s">
        <v>249</v>
      </c>
      <c r="I201" s="522">
        <v>45427.0</v>
      </c>
      <c r="J201" s="523">
        <v>45644.0</v>
      </c>
      <c r="K201" s="521"/>
      <c r="L201" s="521"/>
      <c r="M201" s="521" t="s">
        <v>1216</v>
      </c>
      <c r="N201" s="521" t="s">
        <v>1217</v>
      </c>
      <c r="O201" s="521"/>
      <c r="P201" s="524" t="str">
        <f> hyperlink(vlookup(lower(N201),'File Links'!E:F, 2, FALSE), SUBSTITUTE(lower(N201), "/", "--") &amp;  ".pdf")</f>
        <v>10.1016--j.system.2004.01.001.pdf</v>
      </c>
      <c r="Q201" s="108" t="str">
        <f t="array" ref="Q201"> if(iserror(MATCH(V201, 'File Links'!C:C, 0)), "N/A", HYPERLINK(INDEX('File Links'!B:B, MATCH(P201, 'File Links'!C:C, 0))))</f>
        <v>N/A</v>
      </c>
      <c r="R201" s="525" t="s">
        <v>1222</v>
      </c>
      <c r="S201" s="521" t="s">
        <v>1219</v>
      </c>
      <c r="T201" s="521"/>
      <c r="U201" s="526"/>
      <c r="V201" s="521"/>
      <c r="W201" s="521"/>
      <c r="X201" s="49" t="str">
        <f t="array" ref="X201"> if(iserror(MATCH(V201, 'File Links'!C:C, 0)), "N/A", HYPERLINK(INDEX('File Links'!B:B, MATCH(V201, 'File Links'!C:C, 0))))</f>
        <v>N/A</v>
      </c>
      <c r="Y201" s="521" t="s">
        <v>1223</v>
      </c>
      <c r="Z201" s="521" t="s">
        <v>241</v>
      </c>
      <c r="AA201" s="521"/>
      <c r="AB201" s="521"/>
      <c r="AC201" s="521"/>
      <c r="AD201" s="521"/>
      <c r="AE201" s="521"/>
      <c r="AF201" s="521"/>
      <c r="AG201" s="521"/>
      <c r="AH201" s="526"/>
      <c r="AI201" s="521"/>
      <c r="AJ201" s="521"/>
      <c r="AK201" s="527"/>
      <c r="AL201" s="521"/>
      <c r="AM201" s="521"/>
      <c r="AN201" s="114" t="s">
        <v>138</v>
      </c>
      <c r="AO201" s="521"/>
      <c r="AP201" s="521"/>
      <c r="AQ201" s="521"/>
      <c r="AR201" s="521"/>
      <c r="AS201" s="521"/>
      <c r="AT201" s="527"/>
      <c r="AU201" s="527"/>
      <c r="AV201" s="527"/>
      <c r="AW201" s="527"/>
      <c r="AX201" s="527"/>
      <c r="AY201" s="61" t="str">
        <f>IFERROR(__xludf.DUMMYFUNCTION("vlookup(BB201,importrange(""https://docs.google.com/spreadsheets/d/1d2vevQ_7D_v35q4wCQ4RpQ_IPoTwEMB9Yp6ymwlPqew/edit?gid=984458430#gid=984458430"", ""'replication success'!A:K""), 11, FAlSE)"),"#N/A")</f>
        <v>#N/A</v>
      </c>
      <c r="AZ201" s="61" t="str">
        <f>IFERROR(__xludf.DUMMYFUNCTION("vlookup(BB201,importrange(""https://docs.google.com/spreadsheets/d/1d2vevQ_7D_v35q4wCQ4RpQ_IPoTwEMB9Yp6ymwlPqew/edit?gid=984458430#gid=984458430"", ""'replication success'!A:M""), 12, FAlSE)"),"#N/A")</f>
        <v>#N/A</v>
      </c>
      <c r="BA201" s="61" t="str">
        <f>IFERROR(__xludf.DUMMYFUNCTION("vlookup(BB201,importrange(""https://docs.google.com/spreadsheets/d/1d2vevQ_7D_v35q4wCQ4RpQ_IPoTwEMB9Yp6ymwlPqew/edit?gid=984458430#gid=984458430"", ""'replication success'!A:M""), 13, FAlSE)"),"#N/A")</f>
        <v>#N/A</v>
      </c>
      <c r="BB201" s="61" t="str">
        <f>IFERROR(__xludf.DUMMYFUNCTION("REGEXREPLACE(G201, ""_[a-z]{1,2}$"", """")"),"additional_studies33")</f>
        <v>additional_studies33</v>
      </c>
      <c r="BC201" s="521"/>
      <c r="BD201" s="62" t="s">
        <v>144</v>
      </c>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row>
    <row r="202" ht="20.25" customHeight="1">
      <c r="A202" s="44">
        <v>202.0</v>
      </c>
      <c r="B202" s="62" t="s">
        <v>285</v>
      </c>
      <c r="C202" s="62" t="s">
        <v>115</v>
      </c>
      <c r="D202" s="62" t="s">
        <v>286</v>
      </c>
      <c r="F202" s="155" t="s">
        <v>1214</v>
      </c>
      <c r="G202" s="151" t="s">
        <v>1215</v>
      </c>
      <c r="H202" s="151" t="s">
        <v>289</v>
      </c>
      <c r="I202" s="153">
        <v>45427.0</v>
      </c>
      <c r="J202" s="153">
        <v>45685.0</v>
      </c>
      <c r="K202" s="129" t="s">
        <v>1224</v>
      </c>
      <c r="L202" s="68"/>
      <c r="M202" s="155" t="s">
        <v>1216</v>
      </c>
      <c r="N202" s="155" t="s">
        <v>1217</v>
      </c>
      <c r="O202" s="156"/>
      <c r="P202" s="528" t="s">
        <v>1225</v>
      </c>
      <c r="Q202" s="52" t="str">
        <f t="array" ref="Q202"> if(iserror(MATCH(V202, 'File Links'!C:C, 0)), "N/A", HYPERLINK(INDEX('File Links'!B:B, MATCH(P202, 'File Links'!C:C, 0))))</f>
        <v>https://drive.google.com/file/d/1c0WTQTFC6wVjO3perznTR_rfzhpTPGnJ/view?usp=drivesdk</v>
      </c>
      <c r="R202" s="129" t="s">
        <v>1218</v>
      </c>
      <c r="S202" s="62" t="s">
        <v>1219</v>
      </c>
      <c r="T202" s="68"/>
      <c r="U202" s="156"/>
      <c r="V202" s="66" t="str">
        <f> hyperlink(vlookup(lower(S202),'File Links'!E:F, 2, FALSE), SUBSTITUTE(lower(S202), "/", "--") &amp;  ".pdf")</f>
        <v>10.1017--s0261444824000120.pdf</v>
      </c>
      <c r="W202" s="129" t="s">
        <v>1226</v>
      </c>
      <c r="X202" s="54" t="str">
        <f t="array" ref="X202"> if(iserror(MATCH(V202, 'File Links'!C:C, 0)), "N/A", HYPERLINK(INDEX('File Links'!B:B, MATCH(V202, 'File Links'!C:C, 0))))</f>
        <v>https://drive.google.com/file/d/1sSSGJnEV4E18FQJXK-1-tt9r58Mi889H/view?usp=drivesdk</v>
      </c>
      <c r="Z202" s="151" t="s">
        <v>295</v>
      </c>
      <c r="AA202" s="68"/>
      <c r="AB202" s="68"/>
      <c r="AC202" s="68"/>
      <c r="AD202" s="158"/>
      <c r="AE202" s="156"/>
      <c r="AF202" s="156"/>
      <c r="AG202" s="156"/>
      <c r="AH202" s="159"/>
      <c r="AI202" s="68"/>
      <c r="AJ202" s="160"/>
      <c r="AK202" s="57"/>
      <c r="AL202" s="57"/>
      <c r="AM202" s="68"/>
      <c r="AN202" s="114" t="s">
        <v>138</v>
      </c>
      <c r="AO202" s="156"/>
      <c r="AP202" s="156"/>
      <c r="AQ202" s="159"/>
      <c r="AR202" s="68"/>
      <c r="AS202" s="162"/>
      <c r="AT202" s="159"/>
      <c r="AU202" s="159"/>
      <c r="AV202" s="68"/>
      <c r="AW202" s="310"/>
      <c r="AX202" s="68"/>
      <c r="AY202" s="61" t="str">
        <f>IFERROR(__xludf.DUMMYFUNCTION("vlookup(BB202,importrange(""https://docs.google.com/spreadsheets/d/1d2vevQ_7D_v35q4wCQ4RpQ_IPoTwEMB9Yp6ymwlPqew/edit?gid=984458430#gid=984458430"", ""'replication success'!A:K""), 11, FAlSE)"),"#N/A")</f>
        <v>#N/A</v>
      </c>
      <c r="AZ202" s="61" t="str">
        <f>IFERROR(__xludf.DUMMYFUNCTION("vlookup(BB202,importrange(""https://docs.google.com/spreadsheets/d/1d2vevQ_7D_v35q4wCQ4RpQ_IPoTwEMB9Yp6ymwlPqew/edit?gid=984458430#gid=984458430"", ""'replication success'!A:M""), 12, FAlSE)"),"#N/A")</f>
        <v>#N/A</v>
      </c>
      <c r="BA202" s="61" t="str">
        <f>IFERROR(__xludf.DUMMYFUNCTION("vlookup(BB202,importrange(""https://docs.google.com/spreadsheets/d/1d2vevQ_7D_v35q4wCQ4RpQ_IPoTwEMB9Yp6ymwlPqew/edit?gid=984458430#gid=984458430"", ""'replication success'!A:M""), 13, FAlSE)"),"#N/A")</f>
        <v>#N/A</v>
      </c>
      <c r="BB202" s="61" t="str">
        <f>IFERROR(__xludf.DUMMYFUNCTION("REGEXREPLACE(G202, ""_[a-z]{1,2}$"", """")"),"additional_studies33")</f>
        <v>additional_studies33</v>
      </c>
    </row>
    <row r="203" ht="20.25" customHeight="1">
      <c r="A203" s="44">
        <v>203.0</v>
      </c>
      <c r="B203" s="62" t="s">
        <v>114</v>
      </c>
      <c r="C203" s="45" t="s">
        <v>115</v>
      </c>
      <c r="D203" s="45" t="s">
        <v>753</v>
      </c>
      <c r="E203" s="65"/>
      <c r="F203" s="62" t="s">
        <v>1227</v>
      </c>
      <c r="G203" s="45" t="s">
        <v>1228</v>
      </c>
      <c r="H203" s="45" t="s">
        <v>753</v>
      </c>
      <c r="I203" s="63">
        <v>45427.0</v>
      </c>
      <c r="J203" s="65"/>
      <c r="K203" s="65"/>
      <c r="L203" s="65"/>
      <c r="M203" s="45" t="s">
        <v>1229</v>
      </c>
      <c r="N203" s="45" t="s">
        <v>1230</v>
      </c>
      <c r="O203" s="65"/>
      <c r="P203" s="520" t="str">
        <f> hyperlink(vlookup(lower(N203),'File Links'!A:B, 2, FALSE), SUBSTITUTE(lower(N203), "/", "--") &amp;  ".pdf")</f>
        <v>10.3138--cmlr.65.3.395.pdf</v>
      </c>
      <c r="Q203" s="52" t="str">
        <f t="array" ref="Q203"> if(iserror(MATCH(V203, 'File Links'!C:C, 0)), "N/A", HYPERLINK(INDEX('File Links'!B:B, MATCH(P203, 'File Links'!C:C, 0))))</f>
        <v>https://drive.google.com/file/d/19ZhWLN_zymp-mzX14YC7jEv-MHZn0Qb4/view?usp=drivesdk</v>
      </c>
      <c r="R203" s="45" t="s">
        <v>1231</v>
      </c>
      <c r="S203" s="62" t="s">
        <v>1219</v>
      </c>
      <c r="T203" s="65"/>
      <c r="U203" s="65"/>
      <c r="V203" s="66" t="str">
        <f> hyperlink(vlookup(lower(S203),'File Links'!E:F, 2, FALSE), SUBSTITUTE(lower(S203), "/", "--") &amp;  ".pdf")</f>
        <v>10.1017--s0261444824000120.pdf</v>
      </c>
      <c r="W203" s="65"/>
      <c r="X203" s="54" t="str">
        <f t="array" ref="X203"> if(iserror(MATCH(V203, 'File Links'!C:C, 0)), "N/A", HYPERLINK(INDEX('File Links'!B:B, MATCH(V203, 'File Links'!C:C, 0))))</f>
        <v>https://drive.google.com/file/d/1sSSGJnEV4E18FQJXK-1-tt9r58Mi889H/view?usp=drivesdk</v>
      </c>
      <c r="Y203" s="65"/>
      <c r="Z203" s="45" t="s">
        <v>947</v>
      </c>
      <c r="AA203" s="65"/>
      <c r="AB203" s="65"/>
      <c r="AC203" s="45" t="s">
        <v>1221</v>
      </c>
      <c r="AD203" s="65"/>
      <c r="AE203" s="65"/>
      <c r="AF203" s="65"/>
      <c r="AG203" s="65"/>
      <c r="AH203" s="65"/>
      <c r="AI203" s="65"/>
      <c r="AJ203" s="45"/>
      <c r="AK203" s="65"/>
      <c r="AL203" s="65"/>
      <c r="AM203" s="67"/>
      <c r="AN203" s="114" t="s">
        <v>138</v>
      </c>
      <c r="AO203" s="65"/>
      <c r="AP203" s="65"/>
      <c r="AQ203" s="65"/>
      <c r="AR203" s="65"/>
      <c r="AS203" s="65"/>
      <c r="AT203" s="65"/>
      <c r="AU203" s="65"/>
      <c r="AV203" s="67"/>
      <c r="AX203" s="68"/>
      <c r="AY203" s="61" t="str">
        <f>IFERROR(__xludf.DUMMYFUNCTION("vlookup(BB203,importrange(""https://docs.google.com/spreadsheets/d/1d2vevQ_7D_v35q4wCQ4RpQ_IPoTwEMB9Yp6ymwlPqew/edit?gid=984458430#gid=984458430"", ""'replication success'!A:K""), 11, FAlSE)"),"#N/A")</f>
        <v>#N/A</v>
      </c>
      <c r="AZ203" s="61" t="str">
        <f>IFERROR(__xludf.DUMMYFUNCTION("vlookup(BB203,importrange(""https://docs.google.com/spreadsheets/d/1d2vevQ_7D_v35q4wCQ4RpQ_IPoTwEMB9Yp6ymwlPqew/edit?gid=984458430#gid=984458430"", ""'replication success'!A:M""), 12, FAlSE)"),"#N/A")</f>
        <v>#N/A</v>
      </c>
      <c r="BA203" s="61" t="str">
        <f>IFERROR(__xludf.DUMMYFUNCTION("vlookup(BB203,importrange(""https://docs.google.com/spreadsheets/d/1d2vevQ_7D_v35q4wCQ4RpQ_IPoTwEMB9Yp6ymwlPqew/edit?gid=984458430#gid=984458430"", ""'replication success'!A:M""), 13, FAlSE)"),"#N/A")</f>
        <v>#N/A</v>
      </c>
      <c r="BB203" s="61" t="str">
        <f>IFERROR(__xludf.DUMMYFUNCTION("REGEXREPLACE(G203, ""_[a-z]{1,2}$"", """")"),"additional_studies34")</f>
        <v>additional_studies34</v>
      </c>
      <c r="BC203" s="65"/>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row>
    <row r="204" ht="20.25" customHeight="1">
      <c r="A204" s="44">
        <v>204.0</v>
      </c>
      <c r="B204" s="62" t="s">
        <v>114</v>
      </c>
      <c r="C204" s="62" t="s">
        <v>115</v>
      </c>
      <c r="D204" s="62" t="s">
        <v>248</v>
      </c>
      <c r="F204" s="68" t="s">
        <v>1227</v>
      </c>
      <c r="G204" s="61" t="s">
        <v>1228</v>
      </c>
      <c r="H204" s="61" t="s">
        <v>249</v>
      </c>
      <c r="I204" s="529">
        <v>45427.0</v>
      </c>
      <c r="J204" s="530">
        <v>45644.0</v>
      </c>
      <c r="K204" s="61"/>
      <c r="L204" s="61"/>
      <c r="M204" s="61" t="s">
        <v>1229</v>
      </c>
      <c r="N204" s="61" t="s">
        <v>1230</v>
      </c>
      <c r="O204" s="61"/>
      <c r="P204" s="524" t="str">
        <f> hyperlink(vlookup(lower(N204),'File Links'!E:F, 2, FALSE), SUBSTITUTE(lower(N204), "/", "--") &amp;  ".pdf")</f>
        <v>10.3138--cmlr.65.3.395.pdf</v>
      </c>
      <c r="Q204" s="108" t="str">
        <f t="array" ref="Q204"> if(iserror(MATCH(V204, 'File Links'!C:C, 0)), "N/A", HYPERLINK(INDEX('File Links'!B:B, MATCH(P204, 'File Links'!C:C, 0))))</f>
        <v>N/A</v>
      </c>
      <c r="R204" s="499" t="s">
        <v>1222</v>
      </c>
      <c r="S204" s="61" t="s">
        <v>1219</v>
      </c>
      <c r="T204" s="61"/>
      <c r="U204" s="338"/>
      <c r="V204" s="521"/>
      <c r="W204" s="61"/>
      <c r="X204" s="49" t="str">
        <f t="array" ref="X204"> if(iserror(MATCH(V204, 'File Links'!C:C, 0)), "N/A", HYPERLINK(INDEX('File Links'!B:B, MATCH(V204, 'File Links'!C:C, 0))))</f>
        <v>N/A</v>
      </c>
      <c r="Y204" s="61" t="s">
        <v>1232</v>
      </c>
      <c r="Z204" s="61" t="s">
        <v>241</v>
      </c>
      <c r="AA204" s="61"/>
      <c r="AB204" s="61"/>
      <c r="AC204" s="61"/>
      <c r="AD204" s="61"/>
      <c r="AE204" s="61"/>
      <c r="AF204" s="61"/>
      <c r="AG204" s="61"/>
      <c r="AH204" s="338"/>
      <c r="AI204" s="61"/>
      <c r="AJ204" s="61"/>
      <c r="AK204" s="68"/>
      <c r="AL204" s="61"/>
      <c r="AM204" s="61"/>
      <c r="AN204" s="114" t="s">
        <v>138</v>
      </c>
      <c r="AO204" s="61"/>
      <c r="AP204" s="61"/>
      <c r="AQ204" s="61"/>
      <c r="AR204" s="61"/>
      <c r="AS204" s="61"/>
      <c r="AT204" s="68"/>
      <c r="AU204" s="68"/>
      <c r="AV204" s="68"/>
      <c r="AW204" s="68"/>
      <c r="AX204" s="68"/>
      <c r="AY204" s="61" t="str">
        <f>IFERROR(__xludf.DUMMYFUNCTION("vlookup(BB204,importrange(""https://docs.google.com/spreadsheets/d/1d2vevQ_7D_v35q4wCQ4RpQ_IPoTwEMB9Yp6ymwlPqew/edit?gid=984458430#gid=984458430"", ""'replication success'!A:K""), 11, FAlSE)"),"#N/A")</f>
        <v>#N/A</v>
      </c>
      <c r="AZ204" s="61" t="str">
        <f>IFERROR(__xludf.DUMMYFUNCTION("vlookup(BB204,importrange(""https://docs.google.com/spreadsheets/d/1d2vevQ_7D_v35q4wCQ4RpQ_IPoTwEMB9Yp6ymwlPqew/edit?gid=984458430#gid=984458430"", ""'replication success'!A:M""), 12, FAlSE)"),"#N/A")</f>
        <v>#N/A</v>
      </c>
      <c r="BA204" s="61" t="str">
        <f>IFERROR(__xludf.DUMMYFUNCTION("vlookup(BB204,importrange(""https://docs.google.com/spreadsheets/d/1d2vevQ_7D_v35q4wCQ4RpQ_IPoTwEMB9Yp6ymwlPqew/edit?gid=984458430#gid=984458430"", ""'replication success'!A:M""), 13, FAlSE)"),"#N/A")</f>
        <v>#N/A</v>
      </c>
      <c r="BB204" s="61" t="str">
        <f>IFERROR(__xludf.DUMMYFUNCTION("REGEXREPLACE(G204, ""_[a-z]{1,2}$"", """")"),"additional_studies34")</f>
        <v>additional_studies34</v>
      </c>
      <c r="BC204" s="61"/>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row>
    <row r="205" ht="20.25" customHeight="1">
      <c r="A205" s="44">
        <v>205.0</v>
      </c>
      <c r="B205" s="62" t="s">
        <v>285</v>
      </c>
      <c r="C205" s="62" t="s">
        <v>115</v>
      </c>
      <c r="D205" s="62" t="s">
        <v>286</v>
      </c>
      <c r="F205" s="155" t="s">
        <v>1227</v>
      </c>
      <c r="G205" s="151" t="s">
        <v>1228</v>
      </c>
      <c r="H205" s="151" t="s">
        <v>289</v>
      </c>
      <c r="I205" s="153">
        <v>45427.0</v>
      </c>
      <c r="J205" s="153">
        <v>45685.0</v>
      </c>
      <c r="K205" s="129" t="s">
        <v>1224</v>
      </c>
      <c r="L205" s="68"/>
      <c r="M205" s="155" t="s">
        <v>1229</v>
      </c>
      <c r="N205" s="155" t="s">
        <v>1230</v>
      </c>
      <c r="O205" s="156"/>
      <c r="P205" s="528" t="s">
        <v>1233</v>
      </c>
      <c r="Q205" s="52" t="str">
        <f t="array" ref="Q205"> if(iserror(MATCH(V205, 'File Links'!C:C, 0)), "N/A", HYPERLINK(INDEX('File Links'!B:B, MATCH(P205, 'File Links'!C:C, 0))))</f>
        <v>https://drive.google.com/file/d/19ZhWLN_zymp-mzX14YC7jEv-MHZn0Qb4/view?usp=drivesdk</v>
      </c>
      <c r="R205" s="129" t="s">
        <v>1231</v>
      </c>
      <c r="S205" s="62" t="s">
        <v>1219</v>
      </c>
      <c r="T205" s="68"/>
      <c r="U205" s="156"/>
      <c r="V205" s="66" t="str">
        <f> hyperlink(vlookup(lower(S205),'File Links'!E:F, 2, FALSE), SUBSTITUTE(lower(S205), "/", "--") &amp;  ".pdf")</f>
        <v>10.1017--s0261444824000120.pdf</v>
      </c>
      <c r="W205" s="129" t="s">
        <v>1226</v>
      </c>
      <c r="X205" s="54" t="str">
        <f t="array" ref="X205"> if(iserror(MATCH(V205, 'File Links'!C:C, 0)), "N/A", HYPERLINK(INDEX('File Links'!B:B, MATCH(V205, 'File Links'!C:C, 0))))</f>
        <v>https://drive.google.com/file/d/1sSSGJnEV4E18FQJXK-1-tt9r58Mi889H/view?usp=drivesdk</v>
      </c>
      <c r="Z205" s="151" t="s">
        <v>295</v>
      </c>
      <c r="AA205" s="68"/>
      <c r="AB205" s="68"/>
      <c r="AC205" s="68"/>
      <c r="AD205" s="158"/>
      <c r="AE205" s="156"/>
      <c r="AF205" s="156"/>
      <c r="AG205" s="156"/>
      <c r="AH205" s="159"/>
      <c r="AI205" s="68"/>
      <c r="AJ205" s="160"/>
      <c r="AK205" s="57"/>
      <c r="AL205" s="57"/>
      <c r="AM205" s="68"/>
      <c r="AN205" s="114" t="s">
        <v>138</v>
      </c>
      <c r="AO205" s="156"/>
      <c r="AP205" s="156"/>
      <c r="AQ205" s="159"/>
      <c r="AR205" s="68"/>
      <c r="AS205" s="162"/>
      <c r="AT205" s="159"/>
      <c r="AU205" s="159"/>
      <c r="AV205" s="68"/>
      <c r="AW205" s="310"/>
      <c r="AX205" s="68"/>
      <c r="AY205" s="61" t="str">
        <f>IFERROR(__xludf.DUMMYFUNCTION("vlookup(BB205,importrange(""https://docs.google.com/spreadsheets/d/1d2vevQ_7D_v35q4wCQ4RpQ_IPoTwEMB9Yp6ymwlPqew/edit?gid=984458430#gid=984458430"", ""'replication success'!A:K""), 11, FAlSE)"),"#N/A")</f>
        <v>#N/A</v>
      </c>
      <c r="AZ205" s="61" t="str">
        <f>IFERROR(__xludf.DUMMYFUNCTION("vlookup(BB205,importrange(""https://docs.google.com/spreadsheets/d/1d2vevQ_7D_v35q4wCQ4RpQ_IPoTwEMB9Yp6ymwlPqew/edit?gid=984458430#gid=984458430"", ""'replication success'!A:M""), 12, FAlSE)"),"#N/A")</f>
        <v>#N/A</v>
      </c>
      <c r="BA205" s="61" t="str">
        <f>IFERROR(__xludf.DUMMYFUNCTION("vlookup(BB205,importrange(""https://docs.google.com/spreadsheets/d/1d2vevQ_7D_v35q4wCQ4RpQ_IPoTwEMB9Yp6ymwlPqew/edit?gid=984458430#gid=984458430"", ""'replication success'!A:M""), 13, FAlSE)"),"#N/A")</f>
        <v>#N/A</v>
      </c>
      <c r="BB205" s="61" t="str">
        <f>IFERROR(__xludf.DUMMYFUNCTION("REGEXREPLACE(G205, ""_[a-z]{1,2}$"", """")"),"additional_studies34")</f>
        <v>additional_studies34</v>
      </c>
      <c r="BG205" s="71"/>
      <c r="BH205" s="71"/>
      <c r="BI205" s="71"/>
      <c r="BJ205" s="71"/>
      <c r="BK205" s="71"/>
      <c r="BL205" s="71"/>
      <c r="BM205" s="71"/>
      <c r="BN205" s="71"/>
      <c r="BO205" s="71"/>
      <c r="BP205" s="71"/>
      <c r="BQ205" s="71"/>
      <c r="BR205" s="71"/>
      <c r="BS205" s="71"/>
      <c r="BT205" s="71"/>
      <c r="BU205" s="71"/>
      <c r="BV205" s="71"/>
      <c r="BW205" s="71"/>
      <c r="BX205" s="71"/>
      <c r="BY205" s="71"/>
      <c r="BZ205" s="71"/>
      <c r="CA205" s="71"/>
      <c r="CB205" s="71"/>
      <c r="CC205" s="71"/>
      <c r="CD205" s="71"/>
      <c r="CE205" s="71"/>
      <c r="CF205" s="71"/>
      <c r="CG205" s="71"/>
      <c r="CH205" s="71"/>
      <c r="CI205" s="71"/>
      <c r="CJ205" s="71"/>
      <c r="CK205" s="71"/>
      <c r="CL205" s="71"/>
      <c r="CM205" s="71"/>
      <c r="CN205" s="71"/>
      <c r="CO205" s="71"/>
      <c r="CP205" s="71"/>
      <c r="CQ205" s="71"/>
      <c r="CR205" s="71"/>
      <c r="CS205" s="71"/>
      <c r="CT205" s="71"/>
      <c r="CU205" s="71"/>
      <c r="CV205" s="71"/>
      <c r="CW205" s="71"/>
      <c r="CX205" s="71"/>
      <c r="CY205" s="71"/>
      <c r="CZ205" s="71"/>
      <c r="DA205" s="71"/>
      <c r="DB205" s="71"/>
      <c r="DC205" s="71"/>
      <c r="DD205" s="71"/>
      <c r="DE205" s="71"/>
      <c r="DF205" s="71"/>
      <c r="DG205" s="71"/>
      <c r="DH205" s="71"/>
      <c r="DI205" s="71"/>
      <c r="DJ205" s="71"/>
      <c r="DK205" s="71"/>
      <c r="DL205" s="71"/>
    </row>
    <row r="206" ht="20.25" customHeight="1">
      <c r="A206" s="44">
        <v>206.0</v>
      </c>
      <c r="B206" s="199" t="s">
        <v>114</v>
      </c>
      <c r="C206" s="199" t="s">
        <v>115</v>
      </c>
      <c r="D206" s="531" t="s">
        <v>1234</v>
      </c>
      <c r="E206" s="532"/>
      <c r="F206" s="204" t="s">
        <v>1235</v>
      </c>
      <c r="G206" s="202" t="s">
        <v>1236</v>
      </c>
      <c r="H206" s="202" t="s">
        <v>1237</v>
      </c>
      <c r="I206" s="533">
        <v>45641.0</v>
      </c>
      <c r="J206" s="534">
        <v>45670.0</v>
      </c>
      <c r="K206" s="454"/>
      <c r="L206" s="212" t="s">
        <v>1238</v>
      </c>
      <c r="M206" s="112" t="s">
        <v>1239</v>
      </c>
      <c r="N206" s="112" t="s">
        <v>1240</v>
      </c>
      <c r="O206" s="117">
        <v>1.0</v>
      </c>
      <c r="P206" s="535" t="s">
        <v>1241</v>
      </c>
      <c r="Q206" s="52" t="str">
        <f t="array" ref="Q206"> if(iserror(MATCH(V206, 'File Links'!C:C, 0)), "N/A", HYPERLINK(INDEX('File Links'!B:B, MATCH(P206, 'File Links'!C:C, 0))))</f>
        <v>https://drive.google.com/file/d/1hiobo976wpKGT4ybTmzucLhLBTnypf_I/view?usp=drivesdk</v>
      </c>
      <c r="R206" s="112" t="s">
        <v>1242</v>
      </c>
      <c r="S206" s="112" t="s">
        <v>1243</v>
      </c>
      <c r="U206" s="366">
        <v>1.0</v>
      </c>
      <c r="V206" s="66" t="str">
        <f> hyperlink(vlookup(lower(S206),'File Links'!E:F, 2, FALSE), SUBSTITUTE(lower(S206), "/", "--") &amp;  ".pdf")</f>
        <v>10.1002--jeab.915.pdf</v>
      </c>
      <c r="W206" s="112" t="s">
        <v>1244</v>
      </c>
      <c r="X206" s="54" t="str">
        <f t="array" ref="X206"> if(iserror(MATCH(V206, 'File Links'!C:C, 0)), "N/A", HYPERLINK(INDEX('File Links'!B:B, MATCH(V206, 'File Links'!C:C, 0))))</f>
        <v>https://drive.google.com/file/d/1s7Xp1h565EAKnPa_0Zp3RnS0qmb4t53a/view?usp=drivesdk</v>
      </c>
      <c r="Y206" s="112"/>
      <c r="Z206" s="112" t="s">
        <v>148</v>
      </c>
      <c r="AA206" s="112"/>
      <c r="AB206" s="114"/>
      <c r="AC206" s="114"/>
      <c r="AD206" s="112" t="s">
        <v>1245</v>
      </c>
      <c r="AE206" s="117">
        <v>96.0</v>
      </c>
      <c r="AF206" s="114"/>
      <c r="AG206" s="114"/>
      <c r="AH206" s="120"/>
      <c r="AI206" s="114"/>
      <c r="AJ206" s="114"/>
      <c r="AK206" s="111"/>
      <c r="AL206" s="114"/>
      <c r="AM206" s="114"/>
      <c r="AN206" s="114" t="s">
        <v>138</v>
      </c>
      <c r="AO206" s="459">
        <v>81.0</v>
      </c>
      <c r="AP206" s="114"/>
      <c r="AQ206" s="114"/>
      <c r="AR206" s="114"/>
      <c r="AS206" s="114"/>
      <c r="AT206" s="111"/>
      <c r="AU206" s="111"/>
      <c r="AV206" s="111"/>
      <c r="AW206" s="111"/>
      <c r="AX206" s="111"/>
      <c r="AY206" s="61" t="str">
        <f>IFERROR(__xludf.DUMMYFUNCTION("vlookup(BB206,importrange(""https://docs.google.com/spreadsheets/d/1d2vevQ_7D_v35q4wCQ4RpQ_IPoTwEMB9Yp6ymwlPqew/edit?gid=984458430#gid=984458430"", ""'replication success'!A:K""), 11, FAlSE)"),"successful")</f>
        <v>successful</v>
      </c>
      <c r="AZ206" s="61" t="str">
        <f>IFERROR(__xludf.DUMMYFUNCTION("vlookup(BB206,importrange(""https://docs.google.com/spreadsheets/d/1d2vevQ_7D_v35q4wCQ4RpQ_IPoTwEMB9Yp6ymwlPqew/edit?gid=984458430#gid=984458430"", ""'replication success'!A:M""), 12, FAlSE)"),"These findings are consistent with those from Davis
et al. (2021) and further support using conjugate preparations for measuring the
relative value of some stimulus events.")</f>
        <v>These findings are consistent with those from Davis
et al. (2021) and further support using conjugate preparations for measuring the
relative value of some stimulus events.</v>
      </c>
      <c r="BA206" s="61" t="str">
        <f>IFERROR(__xludf.DUMMYFUNCTION("vlookup(BB206,importrange(""https://docs.google.com/spreadsheets/d/1d2vevQ_7D_v35q4wCQ4RpQ_IPoTwEMB9Yp6ymwlPqew/edit?gid=984458430#gid=984458430"", ""'replication success'!A:M""), 13, FAlSE)"),"abstract")</f>
        <v>abstract</v>
      </c>
      <c r="BB206" s="61" t="str">
        <f>IFERROR(__xludf.DUMMYFUNCTION("REGEXREPLACE(G206, ""_[a-z]{1,2}$"", """")"),"additional_studies35")</f>
        <v>additional_studies35</v>
      </c>
      <c r="BC206" s="129" t="s">
        <v>1238</v>
      </c>
      <c r="BD206" s="149" t="s">
        <v>144</v>
      </c>
      <c r="BG206" s="107"/>
      <c r="BH206" s="107"/>
      <c r="BI206" s="107"/>
      <c r="BJ206" s="107"/>
      <c r="BK206" s="107"/>
      <c r="BL206" s="107"/>
      <c r="BM206" s="107"/>
      <c r="BN206" s="107"/>
      <c r="BO206" s="107"/>
      <c r="BP206" s="107"/>
      <c r="BQ206" s="107"/>
      <c r="BR206" s="107"/>
      <c r="BS206" s="107"/>
      <c r="BT206" s="107"/>
      <c r="BU206" s="107"/>
      <c r="BV206" s="107"/>
      <c r="BW206" s="107"/>
      <c r="BX206" s="107"/>
      <c r="BY206" s="107"/>
      <c r="BZ206" s="107"/>
      <c r="CA206" s="107"/>
      <c r="CB206" s="107"/>
      <c r="CC206" s="107"/>
      <c r="CD206" s="107"/>
      <c r="CE206" s="107"/>
      <c r="CF206" s="107"/>
      <c r="CG206" s="107"/>
      <c r="CH206" s="107"/>
      <c r="CI206" s="107"/>
      <c r="CJ206" s="107"/>
      <c r="CK206" s="107"/>
      <c r="CL206" s="107"/>
      <c r="CM206" s="107"/>
      <c r="CN206" s="107"/>
      <c r="CO206" s="107"/>
      <c r="CP206" s="107"/>
      <c r="CQ206" s="107"/>
      <c r="CR206" s="107"/>
      <c r="CS206" s="107"/>
      <c r="CT206" s="107"/>
      <c r="CU206" s="107"/>
      <c r="CV206" s="107"/>
      <c r="CW206" s="107"/>
      <c r="CX206" s="107"/>
      <c r="CY206" s="107"/>
      <c r="CZ206" s="107"/>
      <c r="DA206" s="107"/>
      <c r="DB206" s="107"/>
      <c r="DC206" s="107"/>
      <c r="DD206" s="107"/>
      <c r="DE206" s="107"/>
      <c r="DF206" s="107"/>
      <c r="DG206" s="107"/>
      <c r="DH206" s="107"/>
      <c r="DI206" s="107"/>
      <c r="DJ206" s="107"/>
      <c r="DK206" s="107"/>
      <c r="DL206" s="107"/>
    </row>
    <row r="207" ht="20.25" customHeight="1">
      <c r="A207" s="44">
        <v>207.0</v>
      </c>
      <c r="B207" s="199" t="s">
        <v>152</v>
      </c>
      <c r="C207" s="199" t="s">
        <v>115</v>
      </c>
      <c r="D207" s="199" t="s">
        <v>286</v>
      </c>
      <c r="E207" s="200"/>
      <c r="F207" s="204" t="s">
        <v>1235</v>
      </c>
      <c r="G207" s="202" t="s">
        <v>1236</v>
      </c>
      <c r="H207" s="205" t="s">
        <v>286</v>
      </c>
      <c r="I207" s="533">
        <v>45636.0</v>
      </c>
      <c r="J207" s="534">
        <v>45670.0</v>
      </c>
      <c r="K207" s="201" t="s">
        <v>1246</v>
      </c>
      <c r="L207" s="212" t="s">
        <v>1247</v>
      </c>
      <c r="M207" s="420" t="s">
        <v>1248</v>
      </c>
      <c r="N207" s="122" t="s">
        <v>1240</v>
      </c>
      <c r="O207" s="117">
        <v>1.0</v>
      </c>
      <c r="P207" s="536" t="s">
        <v>1241</v>
      </c>
      <c r="Q207" s="52" t="str">
        <f t="array" ref="Q207"> if(iserror(MATCH(V207, 'File Links'!C:C, 0)), "N/A", HYPERLINK(INDEX('File Links'!B:B, MATCH(P207, 'File Links'!C:C, 0))))</f>
        <v>https://drive.google.com/file/d/1hiobo976wpKGT4ybTmzucLhLBTnypf_I/view?usp=drivesdk</v>
      </c>
      <c r="R207" s="420" t="s">
        <v>1249</v>
      </c>
      <c r="S207" s="112" t="s">
        <v>1243</v>
      </c>
      <c r="U207" s="133">
        <v>1.0</v>
      </c>
      <c r="V207" s="66" t="str">
        <f> hyperlink(vlookup(lower(S207),'File Links'!E:F, 2, FALSE), SUBSTITUTE(lower(S207), "/", "--") &amp;  ".pdf")</f>
        <v>10.1002--jeab.915.pdf</v>
      </c>
      <c r="W207" s="122" t="s">
        <v>1244</v>
      </c>
      <c r="X207" s="54" t="str">
        <f t="array" ref="X207"> if(iserror(MATCH(V207, 'File Links'!C:C, 0)), "N/A", HYPERLINK(INDEX('File Links'!B:B, MATCH(V207, 'File Links'!C:C, 0))))</f>
        <v>https://drive.google.com/file/d/1s7Xp1h565EAKnPa_0Zp3RnS0qmb4t53a/view?usp=drivesdk</v>
      </c>
      <c r="Y207" s="111"/>
      <c r="Z207" s="122" t="s">
        <v>148</v>
      </c>
      <c r="AA207" s="111" t="s">
        <v>1250</v>
      </c>
      <c r="AB207" s="122" t="s">
        <v>1251</v>
      </c>
      <c r="AC207" s="122" t="s">
        <v>1252</v>
      </c>
      <c r="AD207" s="122" t="s">
        <v>1253</v>
      </c>
      <c r="AE207" s="537">
        <v>107.0</v>
      </c>
      <c r="AF207" s="537">
        <v>54.0</v>
      </c>
      <c r="AG207" s="116" t="s">
        <v>1254</v>
      </c>
      <c r="AH207" s="349" t="s">
        <v>134</v>
      </c>
      <c r="AI207" s="116" t="s">
        <v>1255</v>
      </c>
      <c r="AJ207" s="117">
        <v>1.0E-5</v>
      </c>
      <c r="AK207" s="122" t="s">
        <v>172</v>
      </c>
      <c r="AL207" s="112" t="s">
        <v>186</v>
      </c>
      <c r="AM207" s="111" t="s">
        <v>137</v>
      </c>
      <c r="AN207" s="219" t="s">
        <v>138</v>
      </c>
      <c r="AO207" s="537">
        <v>81.0</v>
      </c>
      <c r="AP207" s="537">
        <v>0.73</v>
      </c>
      <c r="AQ207" s="122" t="s">
        <v>1256</v>
      </c>
      <c r="AR207" s="122" t="s">
        <v>1257</v>
      </c>
      <c r="AS207" s="537">
        <v>1.0E-5</v>
      </c>
      <c r="AT207" s="122" t="s">
        <v>172</v>
      </c>
      <c r="AU207" s="122" t="s">
        <v>186</v>
      </c>
      <c r="AV207" s="111" t="s">
        <v>137</v>
      </c>
      <c r="AW207" s="62" t="s">
        <v>138</v>
      </c>
      <c r="AX207" s="111" t="s">
        <v>438</v>
      </c>
      <c r="AY207" s="61" t="str">
        <f>IFERROR(__xludf.DUMMYFUNCTION("vlookup(BB207,importrange(""https://docs.google.com/spreadsheets/d/1d2vevQ_7D_v35q4wCQ4RpQ_IPoTwEMB9Yp6ymwlPqew/edit?gid=984458430#gid=984458430"", ""'replication success'!A:K""), 11, FAlSE)"),"successful")</f>
        <v>successful</v>
      </c>
      <c r="AZ207" s="61" t="str">
        <f>IFERROR(__xludf.DUMMYFUNCTION("vlookup(BB207,importrange(""https://docs.google.com/spreadsheets/d/1d2vevQ_7D_v35q4wCQ4RpQ_IPoTwEMB9Yp6ymwlPqew/edit?gid=984458430#gid=984458430"", ""'replication success'!A:M""), 12, FAlSE)"),"These findings are consistent with those from Davis
et al. (2021) and further support using conjugate preparations for measuring the
relative value of some stimulus events.")</f>
        <v>These findings are consistent with those from Davis
et al. (2021) and further support using conjugate preparations for measuring the
relative value of some stimulus events.</v>
      </c>
      <c r="BA207" s="61" t="str">
        <f>IFERROR(__xludf.DUMMYFUNCTION("vlookup(BB207,importrange(""https://docs.google.com/spreadsheets/d/1d2vevQ_7D_v35q4wCQ4RpQ_IPoTwEMB9Yp6ymwlPqew/edit?gid=984458430#gid=984458430"", ""'replication success'!A:M""), 13, FAlSE)"),"abstract")</f>
        <v>abstract</v>
      </c>
      <c r="BB207" s="61" t="str">
        <f>IFERROR(__xludf.DUMMYFUNCTION("REGEXREPLACE(G207, ""_[a-z]{1,2}$"", """")"),"additional_studies35")</f>
        <v>additional_studies35</v>
      </c>
      <c r="BC207" s="129" t="s">
        <v>1247</v>
      </c>
      <c r="BD207" s="149" t="s">
        <v>144</v>
      </c>
      <c r="BG207" s="71"/>
      <c r="BH207" s="71"/>
      <c r="BI207" s="71"/>
      <c r="BJ207" s="71"/>
      <c r="BK207" s="71"/>
      <c r="BL207" s="71"/>
      <c r="BM207" s="71"/>
      <c r="BN207" s="71"/>
      <c r="BO207" s="71"/>
      <c r="BP207" s="71"/>
      <c r="BQ207" s="71"/>
      <c r="BR207" s="71"/>
      <c r="BS207" s="71"/>
      <c r="BT207" s="71"/>
      <c r="BU207" s="71"/>
      <c r="BV207" s="71"/>
      <c r="BW207" s="71"/>
      <c r="BX207" s="71"/>
      <c r="BY207" s="71"/>
      <c r="BZ207" s="71"/>
      <c r="CA207" s="71"/>
      <c r="CB207" s="71"/>
      <c r="CC207" s="71"/>
      <c r="CD207" s="71"/>
      <c r="CE207" s="71"/>
      <c r="CF207" s="71"/>
      <c r="CG207" s="71"/>
      <c r="CH207" s="71"/>
      <c r="CI207" s="71"/>
      <c r="CJ207" s="71"/>
      <c r="CK207" s="71"/>
      <c r="CL207" s="71"/>
      <c r="CM207" s="71"/>
      <c r="CN207" s="71"/>
      <c r="CO207" s="71"/>
      <c r="CP207" s="71"/>
      <c r="CQ207" s="71"/>
      <c r="CR207" s="71"/>
      <c r="CS207" s="71"/>
      <c r="CT207" s="71"/>
      <c r="CU207" s="71"/>
      <c r="CV207" s="71"/>
      <c r="CW207" s="71"/>
      <c r="CX207" s="71"/>
      <c r="CY207" s="71"/>
      <c r="CZ207" s="71"/>
      <c r="DA207" s="71"/>
      <c r="DB207" s="71"/>
      <c r="DC207" s="71"/>
      <c r="DD207" s="71"/>
      <c r="DE207" s="71"/>
      <c r="DF207" s="71"/>
      <c r="DG207" s="71"/>
      <c r="DH207" s="71"/>
      <c r="DI207" s="71"/>
      <c r="DJ207" s="71"/>
      <c r="DK207" s="71"/>
      <c r="DL207" s="71"/>
    </row>
    <row r="208" ht="20.25" customHeight="1">
      <c r="A208" s="44">
        <v>208.0</v>
      </c>
      <c r="B208" s="538" t="s">
        <v>152</v>
      </c>
      <c r="C208" s="538" t="s">
        <v>115</v>
      </c>
      <c r="D208" s="538" t="s">
        <v>286</v>
      </c>
      <c r="E208" s="539"/>
      <c r="F208" s="150" t="s">
        <v>1258</v>
      </c>
      <c r="G208" s="151" t="s">
        <v>1259</v>
      </c>
      <c r="H208" s="151" t="s">
        <v>289</v>
      </c>
      <c r="I208" s="152"/>
      <c r="J208" s="540">
        <v>45775.0</v>
      </c>
      <c r="L208" s="129" t="s">
        <v>1260</v>
      </c>
      <c r="M208" s="155" t="s">
        <v>1261</v>
      </c>
      <c r="N208" s="155" t="s">
        <v>1262</v>
      </c>
      <c r="O208" s="378">
        <v>1.0</v>
      </c>
      <c r="P208" s="118" t="str">
        <f> hyperlink(vlookup(lower(N208),'File Links'!A:B, 2, FALSE), SUBSTITUTE(lower(N208), "/", "--") &amp;  ".pdf")</f>
        <v>10.1016--j.psychres.2017.09.048.pdf</v>
      </c>
      <c r="Q208" s="52" t="str">
        <f t="array" ref="Q208"> if(iserror(MATCH(V208, 'File Links'!C:C, 0)), "N/A", HYPERLINK(INDEX('File Links'!B:B, MATCH(P208, 'File Links'!C:C, 0))))</f>
        <v>https://drive.google.com/file/d/1bB5zAUL5oQPM2ClvdBCDeAd5AlkWVp4P/view?usp=drivesdk</v>
      </c>
      <c r="R208" s="129" t="s">
        <v>1263</v>
      </c>
      <c r="S208" s="61" t="s">
        <v>1264</v>
      </c>
      <c r="T208" s="68"/>
      <c r="U208" s="378">
        <v>1.0</v>
      </c>
      <c r="V208" s="66" t="str">
        <f> hyperlink(vlookup(lower(S208),'File Links'!E:F, 2, FALSE), SUBSTITUTE(lower(S208), "/", "--") &amp;  ".pdf")</f>
        <v>10.1002--erv.3103.pdf</v>
      </c>
      <c r="W208" s="129" t="s">
        <v>1265</v>
      </c>
      <c r="X208" s="54" t="str">
        <f t="array" ref="X208"> if(iserror(MATCH(V208, 'File Links'!C:C, 0)), "N/A", HYPERLINK(INDEX('File Links'!B:B, MATCH(V208, 'File Links'!C:C, 0))))</f>
        <v>https://drive.google.com/file/d/1bJ0BC-Xy_bNt41DXHAjv1ms0mnz9Vq86/view?usp=drivesdk</v>
      </c>
      <c r="Z208" s="151" t="s">
        <v>148</v>
      </c>
      <c r="AA208" s="129" t="s">
        <v>1266</v>
      </c>
      <c r="AB208" s="129" t="s">
        <v>1267</v>
      </c>
      <c r="AC208" s="371" t="s">
        <v>1268</v>
      </c>
      <c r="AD208" s="541" t="s">
        <v>1269</v>
      </c>
      <c r="AE208" s="161" t="s">
        <v>850</v>
      </c>
      <c r="AF208" s="161">
        <v>89.0</v>
      </c>
      <c r="AG208" s="161">
        <v>0.556</v>
      </c>
      <c r="AH208" s="380" t="s">
        <v>874</v>
      </c>
      <c r="AI208" s="129" t="s">
        <v>850</v>
      </c>
      <c r="AJ208" s="166">
        <v>0.001</v>
      </c>
      <c r="AK208" s="151" t="s">
        <v>135</v>
      </c>
      <c r="AL208" s="151" t="s">
        <v>136</v>
      </c>
      <c r="AM208" s="129" t="s">
        <v>141</v>
      </c>
      <c r="AN208" s="219" t="s">
        <v>138</v>
      </c>
      <c r="AO208" s="161">
        <v>74.0</v>
      </c>
      <c r="AP208" s="161">
        <v>0.547</v>
      </c>
      <c r="AQ208" s="380" t="s">
        <v>874</v>
      </c>
      <c r="AR208" s="371" t="s">
        <v>850</v>
      </c>
      <c r="AS208" s="166">
        <v>0.001</v>
      </c>
      <c r="AT208" s="151" t="s">
        <v>135</v>
      </c>
      <c r="AU208" s="151" t="s">
        <v>186</v>
      </c>
      <c r="AV208" s="129" t="s">
        <v>141</v>
      </c>
      <c r="AW208" s="542" t="s">
        <v>138</v>
      </c>
      <c r="AX208" s="129" t="s">
        <v>438</v>
      </c>
      <c r="AY208" s="61" t="str">
        <f>IFERROR(__xludf.DUMMYFUNCTION("vlookup(BB208,importrange(""https://docs.google.com/spreadsheets/d/1d2vevQ_7D_v35q4wCQ4RpQ_IPoTwEMB9Yp6ymwlPqew/edit?gid=984458430#gid=984458430"", ""'replication success'!A:K""), 11, FAlSE)"),"successful")</f>
        <v>successful</v>
      </c>
      <c r="AZ208" s="61" t="str">
        <f>IFERROR(__xludf.DUMMYFUNCTION("vlookup(BB208,importrange(""https://docs.google.com/spreadsheets/d/1d2vevQ_7D_v35q4wCQ4RpQ_IPoTwEMB9Yp6ymwlPqew/edit?gid=984458430#gid=984458430"",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08" s="61" t="str">
        <f>IFERROR(__xludf.DUMMYFUNCTION("vlookup(BB208,importrange(""https://docs.google.com/spreadsheets/d/1d2vevQ_7D_v35q4wCQ4RpQ_IPoTwEMB9Yp6ymwlPqew/edit?gid=984458430#gid=984458430"", ""'replication success'!A:M""), 13, FAlSE)"),"abstract")</f>
        <v>abstract</v>
      </c>
      <c r="BB208" s="61" t="str">
        <f>IFERROR(__xludf.DUMMYFUNCTION("REGEXREPLACE(G208, ""_[a-z]{1,2}$"", """")"),"additional_studies36")</f>
        <v>additional_studies36</v>
      </c>
      <c r="BD208" s="381" t="s">
        <v>1270</v>
      </c>
      <c r="BG208" s="107"/>
      <c r="BH208" s="107"/>
      <c r="BI208" s="107"/>
      <c r="BJ208" s="107"/>
      <c r="BK208" s="107"/>
      <c r="BL208" s="107"/>
      <c r="BM208" s="107"/>
      <c r="BN208" s="107"/>
      <c r="BO208" s="107"/>
      <c r="BP208" s="107"/>
      <c r="BQ208" s="107"/>
      <c r="BR208" s="107"/>
      <c r="BS208" s="107"/>
      <c r="BT208" s="107"/>
      <c r="BU208" s="107"/>
      <c r="BV208" s="107"/>
      <c r="BW208" s="107"/>
      <c r="BX208" s="107"/>
      <c r="BY208" s="107"/>
      <c r="BZ208" s="107"/>
      <c r="CA208" s="107"/>
      <c r="CB208" s="107"/>
      <c r="CC208" s="107"/>
      <c r="CD208" s="107"/>
      <c r="CE208" s="107"/>
      <c r="CF208" s="107"/>
      <c r="CG208" s="107"/>
      <c r="CH208" s="107"/>
      <c r="CI208" s="107"/>
      <c r="CJ208" s="107"/>
      <c r="CK208" s="107"/>
      <c r="CL208" s="107"/>
      <c r="CM208" s="107"/>
      <c r="CN208" s="107"/>
      <c r="CO208" s="107"/>
      <c r="CP208" s="107"/>
      <c r="CQ208" s="107"/>
      <c r="CR208" s="107"/>
      <c r="CS208" s="107"/>
      <c r="CT208" s="107"/>
      <c r="CU208" s="107"/>
      <c r="CV208" s="107"/>
      <c r="CW208" s="107"/>
      <c r="CX208" s="107"/>
      <c r="CY208" s="107"/>
      <c r="CZ208" s="107"/>
      <c r="DA208" s="107"/>
      <c r="DB208" s="107"/>
      <c r="DC208" s="107"/>
      <c r="DD208" s="107"/>
      <c r="DE208" s="107"/>
      <c r="DF208" s="107"/>
      <c r="DG208" s="107"/>
      <c r="DH208" s="107"/>
      <c r="DI208" s="107"/>
      <c r="DJ208" s="107"/>
      <c r="DK208" s="107"/>
      <c r="DL208" s="107"/>
    </row>
    <row r="209" ht="20.25" customHeight="1">
      <c r="A209" s="44">
        <v>209.0</v>
      </c>
      <c r="B209" s="538" t="s">
        <v>152</v>
      </c>
      <c r="C209" s="538" t="s">
        <v>115</v>
      </c>
      <c r="D209" s="538" t="s">
        <v>286</v>
      </c>
      <c r="E209" s="539"/>
      <c r="F209" s="150" t="s">
        <v>1258</v>
      </c>
      <c r="G209" s="151" t="s">
        <v>1271</v>
      </c>
      <c r="H209" s="151" t="s">
        <v>289</v>
      </c>
      <c r="I209" s="152"/>
      <c r="J209" s="540">
        <v>45775.0</v>
      </c>
      <c r="L209" s="129" t="s">
        <v>1260</v>
      </c>
      <c r="M209" s="155" t="s">
        <v>1272</v>
      </c>
      <c r="N209" s="155" t="s">
        <v>1262</v>
      </c>
      <c r="O209" s="378">
        <v>1.0</v>
      </c>
      <c r="P209" s="118" t="str">
        <f> hyperlink(vlookup(lower(N209),'File Links'!A:B, 2, FALSE), SUBSTITUTE(lower(N209), "/", "--") &amp;  ".pdf")</f>
        <v>10.1016--j.psychres.2017.09.048.pdf</v>
      </c>
      <c r="Q209" s="52" t="str">
        <f t="array" ref="Q209"> if(iserror(MATCH(V209, 'File Links'!C:C, 0)), "N/A", HYPERLINK(INDEX('File Links'!B:B, MATCH(P209, 'File Links'!C:C, 0))))</f>
        <v>https://drive.google.com/file/d/1bB5zAUL5oQPM2ClvdBCDeAd5AlkWVp4P/view?usp=drivesdk</v>
      </c>
      <c r="R209" s="129" t="s">
        <v>1263</v>
      </c>
      <c r="S209" s="61" t="s">
        <v>1264</v>
      </c>
      <c r="T209" s="68"/>
      <c r="U209" s="378">
        <v>1.0</v>
      </c>
      <c r="V209" s="66" t="str">
        <f> hyperlink(vlookup(lower(S209),'File Links'!E:F, 2, FALSE), SUBSTITUTE(lower(S209), "/", "--") &amp;  ".pdf")</f>
        <v>10.1002--erv.3103.pdf</v>
      </c>
      <c r="W209" s="129" t="s">
        <v>1265</v>
      </c>
      <c r="X209" s="54" t="str">
        <f t="array" ref="X209"> if(iserror(MATCH(V209, 'File Links'!C:C, 0)), "N/A", HYPERLINK(INDEX('File Links'!B:B, MATCH(V209, 'File Links'!C:C, 0))))</f>
        <v>https://drive.google.com/file/d/1bJ0BC-Xy_bNt41DXHAjv1ms0mnz9Vq86/view?usp=drivesdk</v>
      </c>
      <c r="Z209" s="151" t="s">
        <v>148</v>
      </c>
      <c r="AA209" s="129" t="s">
        <v>1273</v>
      </c>
      <c r="AB209" s="129" t="s">
        <v>1267</v>
      </c>
      <c r="AC209" s="371" t="s">
        <v>1268</v>
      </c>
      <c r="AD209" s="541" t="s">
        <v>1274</v>
      </c>
      <c r="AE209" s="161" t="s">
        <v>850</v>
      </c>
      <c r="AF209" s="161">
        <v>89.0</v>
      </c>
      <c r="AG209" s="161">
        <v>0.067</v>
      </c>
      <c r="AH209" s="380" t="s">
        <v>874</v>
      </c>
      <c r="AI209" s="129" t="s">
        <v>850</v>
      </c>
      <c r="AJ209" s="166">
        <v>0.031</v>
      </c>
      <c r="AK209" s="151" t="s">
        <v>172</v>
      </c>
      <c r="AL209" s="151" t="s">
        <v>136</v>
      </c>
      <c r="AM209" s="129" t="s">
        <v>141</v>
      </c>
      <c r="AN209" s="219" t="s">
        <v>138</v>
      </c>
      <c r="AO209" s="161">
        <v>74.0</v>
      </c>
      <c r="AP209" s="161">
        <v>0.095</v>
      </c>
      <c r="AQ209" s="380" t="s">
        <v>874</v>
      </c>
      <c r="AR209" s="371" t="s">
        <v>850</v>
      </c>
      <c r="AS209" s="166">
        <v>0.008</v>
      </c>
      <c r="AT209" s="151" t="s">
        <v>172</v>
      </c>
      <c r="AU209" s="151" t="s">
        <v>186</v>
      </c>
      <c r="AV209" s="129" t="s">
        <v>141</v>
      </c>
      <c r="AW209" s="542" t="s">
        <v>138</v>
      </c>
      <c r="AX209" s="129" t="s">
        <v>438</v>
      </c>
      <c r="AY209" s="61" t="str">
        <f>IFERROR(__xludf.DUMMYFUNCTION("vlookup(BB209,importrange(""https://docs.google.com/spreadsheets/d/1d2vevQ_7D_v35q4wCQ4RpQ_IPoTwEMB9Yp6ymwlPqew/edit?gid=984458430#gid=984458430"", ""'replication success'!A:K""), 11, FAlSE)"),"successful")</f>
        <v>successful</v>
      </c>
      <c r="AZ209" s="61" t="str">
        <f>IFERROR(__xludf.DUMMYFUNCTION("vlookup(BB209,importrange(""https://docs.google.com/spreadsheets/d/1d2vevQ_7D_v35q4wCQ4RpQ_IPoTwEMB9Yp6ymwlPqew/edit?gid=984458430#gid=984458430"",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09" s="61" t="str">
        <f>IFERROR(__xludf.DUMMYFUNCTION("vlookup(BB209,importrange(""https://docs.google.com/spreadsheets/d/1d2vevQ_7D_v35q4wCQ4RpQ_IPoTwEMB9Yp6ymwlPqew/edit?gid=984458430#gid=984458430"", ""'replication success'!A:M""), 13, FAlSE)"),"abstract")</f>
        <v>abstract</v>
      </c>
      <c r="BB209" s="61" t="str">
        <f>IFERROR(__xludf.DUMMYFUNCTION("REGEXREPLACE(G209, ""_[a-z]{1,2}$"", """")"),"additional_studies36")</f>
        <v>additional_studies36</v>
      </c>
      <c r="BD209" s="381" t="s">
        <v>1270</v>
      </c>
      <c r="BG209" s="71"/>
      <c r="BH209" s="71"/>
      <c r="BI209" s="71"/>
      <c r="BJ209" s="71"/>
      <c r="BK209" s="71"/>
      <c r="BL209" s="71"/>
      <c r="BM209" s="71"/>
      <c r="BN209" s="71"/>
      <c r="BO209" s="71"/>
      <c r="BP209" s="71"/>
      <c r="BQ209" s="71"/>
      <c r="BR209" s="71"/>
      <c r="BS209" s="71"/>
      <c r="BT209" s="71"/>
      <c r="BU209" s="71"/>
      <c r="BV209" s="71"/>
      <c r="BW209" s="71"/>
      <c r="BX209" s="71"/>
      <c r="BY209" s="71"/>
      <c r="BZ209" s="71"/>
      <c r="CA209" s="71"/>
      <c r="CB209" s="71"/>
      <c r="CC209" s="71"/>
      <c r="CD209" s="71"/>
      <c r="CE209" s="71"/>
      <c r="CF209" s="71"/>
      <c r="CG209" s="71"/>
      <c r="CH209" s="71"/>
      <c r="CI209" s="71"/>
      <c r="CJ209" s="71"/>
      <c r="CK209" s="71"/>
      <c r="CL209" s="71"/>
      <c r="CM209" s="71"/>
      <c r="CN209" s="71"/>
      <c r="CO209" s="71"/>
      <c r="CP209" s="71"/>
      <c r="CQ209" s="71"/>
      <c r="CR209" s="71"/>
      <c r="CS209" s="71"/>
      <c r="CT209" s="71"/>
      <c r="CU209" s="71"/>
      <c r="CV209" s="71"/>
      <c r="CW209" s="71"/>
      <c r="CX209" s="71"/>
      <c r="CY209" s="71"/>
      <c r="CZ209" s="71"/>
      <c r="DA209" s="71"/>
      <c r="DB209" s="71"/>
      <c r="DC209" s="71"/>
      <c r="DD209" s="71"/>
      <c r="DE209" s="71"/>
      <c r="DF209" s="71"/>
      <c r="DG209" s="71"/>
      <c r="DH209" s="71"/>
      <c r="DI209" s="71"/>
      <c r="DJ209" s="71"/>
      <c r="DK209" s="71"/>
      <c r="DL209" s="71"/>
    </row>
    <row r="210" ht="20.25" customHeight="1">
      <c r="A210" s="44">
        <v>210.0</v>
      </c>
      <c r="B210" s="538" t="s">
        <v>152</v>
      </c>
      <c r="C210" s="538" t="s">
        <v>115</v>
      </c>
      <c r="D210" s="538" t="s">
        <v>286</v>
      </c>
      <c r="E210" s="539"/>
      <c r="F210" s="150" t="s">
        <v>1258</v>
      </c>
      <c r="G210" s="151" t="s">
        <v>1275</v>
      </c>
      <c r="H210" s="151" t="s">
        <v>289</v>
      </c>
      <c r="I210" s="152"/>
      <c r="J210" s="540">
        <v>45775.0</v>
      </c>
      <c r="L210" s="129" t="s">
        <v>1276</v>
      </c>
      <c r="M210" s="155" t="s">
        <v>1277</v>
      </c>
      <c r="N210" s="155" t="s">
        <v>1262</v>
      </c>
      <c r="O210" s="378">
        <v>1.0</v>
      </c>
      <c r="P210" s="118" t="str">
        <f> hyperlink(vlookup(lower(N210),'File Links'!A:B, 2, FALSE), SUBSTITUTE(lower(N210), "/", "--") &amp;  ".pdf")</f>
        <v>10.1016--j.psychres.2017.09.048.pdf</v>
      </c>
      <c r="Q210" s="52" t="str">
        <f t="array" ref="Q210"> if(iserror(MATCH(V210, 'File Links'!C:C, 0)), "N/A", HYPERLINK(INDEX('File Links'!B:B, MATCH(P210, 'File Links'!C:C, 0))))</f>
        <v>https://drive.google.com/file/d/1bB5zAUL5oQPM2ClvdBCDeAd5AlkWVp4P/view?usp=drivesdk</v>
      </c>
      <c r="R210" s="129" t="s">
        <v>1263</v>
      </c>
      <c r="S210" s="61" t="s">
        <v>1264</v>
      </c>
      <c r="T210" s="68"/>
      <c r="U210" s="378">
        <v>1.0</v>
      </c>
      <c r="V210" s="66" t="str">
        <f> hyperlink(vlookup(lower(S210),'File Links'!E:F, 2, FALSE), SUBSTITUTE(lower(S210), "/", "--") &amp;  ".pdf")</f>
        <v>10.1002--erv.3103.pdf</v>
      </c>
      <c r="W210" s="129" t="s">
        <v>1265</v>
      </c>
      <c r="X210" s="54" t="str">
        <f t="array" ref="X210"> if(iserror(MATCH(V210, 'File Links'!C:C, 0)), "N/A", HYPERLINK(INDEX('File Links'!B:B, MATCH(V210, 'File Links'!C:C, 0))))</f>
        <v>https://drive.google.com/file/d/1bJ0BC-Xy_bNt41DXHAjv1ms0mnz9Vq86/view?usp=drivesdk</v>
      </c>
      <c r="Z210" s="151" t="s">
        <v>148</v>
      </c>
      <c r="AA210" s="129" t="s">
        <v>1278</v>
      </c>
      <c r="AB210" s="129" t="s">
        <v>1267</v>
      </c>
      <c r="AC210" s="371" t="s">
        <v>1268</v>
      </c>
      <c r="AD210" s="541" t="s">
        <v>1279</v>
      </c>
      <c r="AE210" s="161" t="s">
        <v>850</v>
      </c>
      <c r="AF210" s="161">
        <v>89.0</v>
      </c>
      <c r="AG210" s="161">
        <v>0.518</v>
      </c>
      <c r="AH210" s="380" t="s">
        <v>874</v>
      </c>
      <c r="AI210" s="129" t="s">
        <v>850</v>
      </c>
      <c r="AJ210" s="166">
        <v>0.001</v>
      </c>
      <c r="AK210" s="151" t="s">
        <v>135</v>
      </c>
      <c r="AL210" s="151" t="s">
        <v>136</v>
      </c>
      <c r="AM210" s="129" t="s">
        <v>141</v>
      </c>
      <c r="AN210" s="219" t="s">
        <v>138</v>
      </c>
      <c r="AO210" s="161">
        <v>74.0</v>
      </c>
      <c r="AP210" s="161">
        <v>0.369</v>
      </c>
      <c r="AQ210" s="380" t="s">
        <v>874</v>
      </c>
      <c r="AR210" s="371" t="s">
        <v>850</v>
      </c>
      <c r="AS210" s="166">
        <v>0.001</v>
      </c>
      <c r="AT210" s="151" t="s">
        <v>135</v>
      </c>
      <c r="AU210" s="151" t="s">
        <v>186</v>
      </c>
      <c r="AV210" s="129" t="s">
        <v>141</v>
      </c>
      <c r="AW210" s="542" t="s">
        <v>138</v>
      </c>
      <c r="AX210" s="129" t="s">
        <v>438</v>
      </c>
      <c r="AY210" s="61" t="str">
        <f>IFERROR(__xludf.DUMMYFUNCTION("vlookup(BB210,importrange(""https://docs.google.com/spreadsheets/d/1d2vevQ_7D_v35q4wCQ4RpQ_IPoTwEMB9Yp6ymwlPqew/edit?gid=984458430#gid=984458430"", ""'replication success'!A:K""), 11, FAlSE)"),"successful")</f>
        <v>successful</v>
      </c>
      <c r="AZ210" s="61" t="str">
        <f>IFERROR(__xludf.DUMMYFUNCTION("vlookup(BB210,importrange(""https://docs.google.com/spreadsheets/d/1d2vevQ_7D_v35q4wCQ4RpQ_IPoTwEMB9Yp6ymwlPqew/edit?gid=984458430#gid=984458430"",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0" s="61" t="str">
        <f>IFERROR(__xludf.DUMMYFUNCTION("vlookup(BB210,importrange(""https://docs.google.com/spreadsheets/d/1d2vevQ_7D_v35q4wCQ4RpQ_IPoTwEMB9Yp6ymwlPqew/edit?gid=984458430#gid=984458430"", ""'replication success'!A:M""), 13, FAlSE)"),"abstract")</f>
        <v>abstract</v>
      </c>
      <c r="BB210" s="61" t="str">
        <f>IFERROR(__xludf.DUMMYFUNCTION("REGEXREPLACE(G210, ""_[a-z]{1,2}$"", """")"),"additional_studies36")</f>
        <v>additional_studies36</v>
      </c>
      <c r="BD210" s="381" t="s">
        <v>1270</v>
      </c>
    </row>
    <row r="211" ht="20.25" customHeight="1">
      <c r="A211" s="44">
        <v>211.0</v>
      </c>
      <c r="B211" s="538" t="s">
        <v>152</v>
      </c>
      <c r="C211" s="538" t="s">
        <v>115</v>
      </c>
      <c r="D211" s="538" t="s">
        <v>286</v>
      </c>
      <c r="E211" s="539"/>
      <c r="F211" s="150" t="s">
        <v>1258</v>
      </c>
      <c r="G211" s="151" t="s">
        <v>1280</v>
      </c>
      <c r="H211" s="151" t="s">
        <v>289</v>
      </c>
      <c r="I211" s="152"/>
      <c r="J211" s="540">
        <v>45775.0</v>
      </c>
      <c r="K211" s="129" t="s">
        <v>1281</v>
      </c>
      <c r="L211" s="129" t="s">
        <v>1276</v>
      </c>
      <c r="M211" s="155" t="s">
        <v>1282</v>
      </c>
      <c r="N211" s="155" t="s">
        <v>1262</v>
      </c>
      <c r="O211" s="378">
        <v>1.0</v>
      </c>
      <c r="P211" s="118" t="str">
        <f> hyperlink(vlookup(lower(N211),'File Links'!A:B, 2, FALSE), SUBSTITUTE(lower(N211), "/", "--") &amp;  ".pdf")</f>
        <v>10.1016--j.psychres.2017.09.048.pdf</v>
      </c>
      <c r="Q211" s="52" t="str">
        <f t="array" ref="Q211"> if(iserror(MATCH(V211, 'File Links'!C:C, 0)), "N/A", HYPERLINK(INDEX('File Links'!B:B, MATCH(P211, 'File Links'!C:C, 0))))</f>
        <v>https://drive.google.com/file/d/1bB5zAUL5oQPM2ClvdBCDeAd5AlkWVp4P/view?usp=drivesdk</v>
      </c>
      <c r="R211" s="129" t="s">
        <v>1263</v>
      </c>
      <c r="S211" s="61" t="s">
        <v>1264</v>
      </c>
      <c r="T211" s="68"/>
      <c r="U211" s="378">
        <v>1.0</v>
      </c>
      <c r="V211" s="66" t="str">
        <f> hyperlink(vlookup(lower(S211),'File Links'!E:F, 2, FALSE), SUBSTITUTE(lower(S211), "/", "--") &amp;  ".pdf")</f>
        <v>10.1002--erv.3103.pdf</v>
      </c>
      <c r="W211" s="129" t="s">
        <v>1265</v>
      </c>
      <c r="X211" s="54" t="str">
        <f t="array" ref="X211"> if(iserror(MATCH(V211, 'File Links'!C:C, 0)), "N/A", HYPERLINK(INDEX('File Links'!B:B, MATCH(V211, 'File Links'!C:C, 0))))</f>
        <v>https://drive.google.com/file/d/1bJ0BC-Xy_bNt41DXHAjv1ms0mnz9Vq86/view?usp=drivesdk</v>
      </c>
      <c r="Z211" s="151" t="s">
        <v>148</v>
      </c>
      <c r="AA211" s="129" t="s">
        <v>1283</v>
      </c>
      <c r="AB211" s="129" t="s">
        <v>1267</v>
      </c>
      <c r="AC211" s="371" t="s">
        <v>1268</v>
      </c>
      <c r="AD211" s="541" t="s">
        <v>1284</v>
      </c>
      <c r="AE211" s="161" t="s">
        <v>1285</v>
      </c>
      <c r="AF211" s="161">
        <v>89.0</v>
      </c>
      <c r="AG211" s="161">
        <v>0.056</v>
      </c>
      <c r="AH211" s="380" t="s">
        <v>874</v>
      </c>
      <c r="AI211" s="129" t="s">
        <v>813</v>
      </c>
      <c r="AJ211" s="166">
        <v>0.009</v>
      </c>
      <c r="AK211" s="151" t="s">
        <v>172</v>
      </c>
      <c r="AL211" s="151" t="s">
        <v>136</v>
      </c>
      <c r="AM211" s="129" t="s">
        <v>141</v>
      </c>
      <c r="AN211" s="219" t="s">
        <v>138</v>
      </c>
      <c r="AO211" s="161">
        <v>74.0</v>
      </c>
      <c r="AP211" s="161">
        <v>0.041</v>
      </c>
      <c r="AQ211" s="380" t="s">
        <v>874</v>
      </c>
      <c r="AR211" s="371" t="s">
        <v>850</v>
      </c>
      <c r="AS211" s="166">
        <v>0.021</v>
      </c>
      <c r="AT211" s="151" t="s">
        <v>172</v>
      </c>
      <c r="AU211" s="151" t="s">
        <v>186</v>
      </c>
      <c r="AV211" s="129" t="s">
        <v>141</v>
      </c>
      <c r="AW211" s="542" t="s">
        <v>138</v>
      </c>
      <c r="AX211" s="129" t="s">
        <v>438</v>
      </c>
      <c r="AY211" s="61" t="str">
        <f>IFERROR(__xludf.DUMMYFUNCTION("vlookup(BB211,importrange(""https://docs.google.com/spreadsheets/d/1d2vevQ_7D_v35q4wCQ4RpQ_IPoTwEMB9Yp6ymwlPqew/edit?gid=984458430#gid=984458430"", ""'replication success'!A:K""), 11, FAlSE)"),"successful")</f>
        <v>successful</v>
      </c>
      <c r="AZ211" s="61" t="str">
        <f>IFERROR(__xludf.DUMMYFUNCTION("vlookup(BB211,importrange(""https://docs.google.com/spreadsheets/d/1d2vevQ_7D_v35q4wCQ4RpQ_IPoTwEMB9Yp6ymwlPqew/edit?gid=984458430#gid=984458430"",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1" s="61" t="str">
        <f>IFERROR(__xludf.DUMMYFUNCTION("vlookup(BB211,importrange(""https://docs.google.com/spreadsheets/d/1d2vevQ_7D_v35q4wCQ4RpQ_IPoTwEMB9Yp6ymwlPqew/edit?gid=984458430#gid=984458430"", ""'replication success'!A:M""), 13, FAlSE)"),"abstract")</f>
        <v>abstract</v>
      </c>
      <c r="BB211" s="61" t="str">
        <f>IFERROR(__xludf.DUMMYFUNCTION("REGEXREPLACE(G211, ""_[a-z]{1,2}$"", """")"),"additional_studies36")</f>
        <v>additional_studies36</v>
      </c>
      <c r="BD211" s="381" t="s">
        <v>1270</v>
      </c>
    </row>
    <row r="212" ht="20.25" customHeight="1">
      <c r="A212" s="44">
        <v>212.0</v>
      </c>
      <c r="B212" s="538" t="s">
        <v>152</v>
      </c>
      <c r="C212" s="538" t="s">
        <v>115</v>
      </c>
      <c r="D212" s="538" t="s">
        <v>286</v>
      </c>
      <c r="E212" s="539"/>
      <c r="F212" s="150" t="s">
        <v>1258</v>
      </c>
      <c r="G212" s="151" t="s">
        <v>1286</v>
      </c>
      <c r="H212" s="151" t="s">
        <v>289</v>
      </c>
      <c r="I212" s="152"/>
      <c r="J212" s="540">
        <v>45775.0</v>
      </c>
      <c r="K212" s="129" t="s">
        <v>1281</v>
      </c>
      <c r="L212" s="129" t="s">
        <v>1276</v>
      </c>
      <c r="M212" s="155" t="s">
        <v>1287</v>
      </c>
      <c r="N212" s="155" t="s">
        <v>1262</v>
      </c>
      <c r="O212" s="378">
        <v>1.0</v>
      </c>
      <c r="P212" s="118" t="str">
        <f> hyperlink(vlookup(lower(N212),'File Links'!A:B, 2, FALSE), SUBSTITUTE(lower(N212), "/", "--") &amp;  ".pdf")</f>
        <v>10.1016--j.psychres.2017.09.048.pdf</v>
      </c>
      <c r="Q212" s="52" t="str">
        <f t="array" ref="Q212"> if(iserror(MATCH(V212, 'File Links'!C:C, 0)), "N/A", HYPERLINK(INDEX('File Links'!B:B, MATCH(P212, 'File Links'!C:C, 0))))</f>
        <v>https://drive.google.com/file/d/1bB5zAUL5oQPM2ClvdBCDeAd5AlkWVp4P/view?usp=drivesdk</v>
      </c>
      <c r="R212" s="129" t="s">
        <v>1263</v>
      </c>
      <c r="S212" s="61" t="s">
        <v>1264</v>
      </c>
      <c r="T212" s="68"/>
      <c r="U212" s="378">
        <v>1.0</v>
      </c>
      <c r="V212" s="66" t="str">
        <f> hyperlink(vlookup(lower(S212),'File Links'!E:F, 2, FALSE), SUBSTITUTE(lower(S212), "/", "--") &amp;  ".pdf")</f>
        <v>10.1002--erv.3103.pdf</v>
      </c>
      <c r="W212" s="129" t="s">
        <v>1265</v>
      </c>
      <c r="X212" s="54" t="str">
        <f t="array" ref="X212"> if(iserror(MATCH(V212, 'File Links'!C:C, 0)), "N/A", HYPERLINK(INDEX('File Links'!B:B, MATCH(V212, 'File Links'!C:C, 0))))</f>
        <v>https://drive.google.com/file/d/1bJ0BC-Xy_bNt41DXHAjv1ms0mnz9Vq86/view?usp=drivesdk</v>
      </c>
      <c r="Z212" s="151" t="s">
        <v>148</v>
      </c>
      <c r="AA212" s="129" t="s">
        <v>1288</v>
      </c>
      <c r="AB212" s="129" t="s">
        <v>1267</v>
      </c>
      <c r="AC212" s="371" t="s">
        <v>1268</v>
      </c>
      <c r="AD212" s="541" t="s">
        <v>1289</v>
      </c>
      <c r="AE212" s="161" t="s">
        <v>813</v>
      </c>
      <c r="AF212" s="161">
        <v>89.0</v>
      </c>
      <c r="AG212" s="161">
        <v>0.571</v>
      </c>
      <c r="AH212" s="380" t="s">
        <v>874</v>
      </c>
      <c r="AI212" s="129" t="s">
        <v>813</v>
      </c>
      <c r="AJ212" s="166">
        <v>0.001</v>
      </c>
      <c r="AK212" s="151" t="s">
        <v>135</v>
      </c>
      <c r="AL212" s="151" t="s">
        <v>136</v>
      </c>
      <c r="AM212" s="129" t="s">
        <v>141</v>
      </c>
      <c r="AN212" s="219" t="s">
        <v>138</v>
      </c>
      <c r="AO212" s="161">
        <v>74.0</v>
      </c>
      <c r="AP212" s="161">
        <v>0.501</v>
      </c>
      <c r="AQ212" s="380" t="s">
        <v>874</v>
      </c>
      <c r="AR212" s="371" t="s">
        <v>850</v>
      </c>
      <c r="AS212" s="166">
        <v>0.001</v>
      </c>
      <c r="AT212" s="151" t="s">
        <v>135</v>
      </c>
      <c r="AU212" s="151" t="s">
        <v>186</v>
      </c>
      <c r="AV212" s="129" t="s">
        <v>141</v>
      </c>
      <c r="AW212" s="542" t="s">
        <v>138</v>
      </c>
      <c r="AX212" s="129" t="s">
        <v>438</v>
      </c>
      <c r="AY212" s="61" t="str">
        <f>IFERROR(__xludf.DUMMYFUNCTION("vlookup(BB212,importrange(""https://docs.google.com/spreadsheets/d/1d2vevQ_7D_v35q4wCQ4RpQ_IPoTwEMB9Yp6ymwlPqew/edit?gid=984458430#gid=984458430"", ""'replication success'!A:K""), 11, FAlSE)"),"successful")</f>
        <v>successful</v>
      </c>
      <c r="AZ212" s="61" t="str">
        <f>IFERROR(__xludf.DUMMYFUNCTION("vlookup(BB212,importrange(""https://docs.google.com/spreadsheets/d/1d2vevQ_7D_v35q4wCQ4RpQ_IPoTwEMB9Yp6ymwlPqew/edit?gid=984458430#gid=984458430"",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2" s="61" t="str">
        <f>IFERROR(__xludf.DUMMYFUNCTION("vlookup(BB212,importrange(""https://docs.google.com/spreadsheets/d/1d2vevQ_7D_v35q4wCQ4RpQ_IPoTwEMB9Yp6ymwlPqew/edit?gid=984458430#gid=984458430"", ""'replication success'!A:M""), 13, FAlSE)"),"abstract")</f>
        <v>abstract</v>
      </c>
      <c r="BB212" s="61" t="str">
        <f>IFERROR(__xludf.DUMMYFUNCTION("REGEXREPLACE(G212, ""_[a-z]{1,2}$"", """")"),"additional_studies36")</f>
        <v>additional_studies36</v>
      </c>
      <c r="BD212" s="381" t="s">
        <v>1270</v>
      </c>
    </row>
    <row r="213" ht="20.25" customHeight="1">
      <c r="A213" s="44">
        <v>213.0</v>
      </c>
      <c r="B213" s="538" t="s">
        <v>152</v>
      </c>
      <c r="C213" s="538" t="s">
        <v>115</v>
      </c>
      <c r="D213" s="538" t="s">
        <v>286</v>
      </c>
      <c r="E213" s="539"/>
      <c r="F213" s="150" t="s">
        <v>1258</v>
      </c>
      <c r="G213" s="151" t="s">
        <v>1290</v>
      </c>
      <c r="H213" s="151" t="s">
        <v>289</v>
      </c>
      <c r="I213" s="152"/>
      <c r="J213" s="540">
        <v>45775.0</v>
      </c>
      <c r="K213" s="129" t="s">
        <v>1281</v>
      </c>
      <c r="L213" s="129" t="s">
        <v>1291</v>
      </c>
      <c r="M213" s="155" t="s">
        <v>1292</v>
      </c>
      <c r="N213" s="155" t="s">
        <v>1262</v>
      </c>
      <c r="O213" s="378">
        <v>1.0</v>
      </c>
      <c r="P213" s="118" t="str">
        <f> hyperlink(vlookup(lower(N213),'File Links'!A:B, 2, FALSE), SUBSTITUTE(lower(N213), "/", "--") &amp;  ".pdf")</f>
        <v>10.1016--j.psychres.2017.09.048.pdf</v>
      </c>
      <c r="Q213" s="52" t="str">
        <f t="array" ref="Q213"> if(iserror(MATCH(V213, 'File Links'!C:C, 0)), "N/A", HYPERLINK(INDEX('File Links'!B:B, MATCH(P213, 'File Links'!C:C, 0))))</f>
        <v>https://drive.google.com/file/d/1bB5zAUL5oQPM2ClvdBCDeAd5AlkWVp4P/view?usp=drivesdk</v>
      </c>
      <c r="R213" s="129" t="s">
        <v>1263</v>
      </c>
      <c r="S213" s="61" t="s">
        <v>1264</v>
      </c>
      <c r="T213" s="68"/>
      <c r="U213" s="378">
        <v>1.0</v>
      </c>
      <c r="V213" s="66" t="str">
        <f> hyperlink(vlookup(lower(S213),'File Links'!E:F, 2, FALSE), SUBSTITUTE(lower(S213), "/", "--") &amp;  ".pdf")</f>
        <v>10.1002--erv.3103.pdf</v>
      </c>
      <c r="W213" s="129" t="s">
        <v>1265</v>
      </c>
      <c r="X213" s="54" t="str">
        <f t="array" ref="X213"> if(iserror(MATCH(V213, 'File Links'!C:C, 0)), "N/A", HYPERLINK(INDEX('File Links'!B:B, MATCH(V213, 'File Links'!C:C, 0))))</f>
        <v>https://drive.google.com/file/d/1bJ0BC-Xy_bNt41DXHAjv1ms0mnz9Vq86/view?usp=drivesdk</v>
      </c>
      <c r="Z213" s="151" t="s">
        <v>148</v>
      </c>
      <c r="AA213" s="129" t="s">
        <v>1293</v>
      </c>
      <c r="AB213" s="129" t="s">
        <v>1267</v>
      </c>
      <c r="AC213" s="371" t="s">
        <v>1268</v>
      </c>
      <c r="AD213" s="541" t="s">
        <v>1294</v>
      </c>
      <c r="AE213" s="161" t="s">
        <v>813</v>
      </c>
      <c r="AF213" s="161">
        <v>89.0</v>
      </c>
      <c r="AG213" s="161">
        <v>0.072</v>
      </c>
      <c r="AH213" s="380" t="s">
        <v>874</v>
      </c>
      <c r="AI213" s="129" t="s">
        <v>813</v>
      </c>
      <c r="AJ213" s="166">
        <v>0.04</v>
      </c>
      <c r="AK213" s="380" t="s">
        <v>172</v>
      </c>
      <c r="AL213" s="151" t="s">
        <v>136</v>
      </c>
      <c r="AM213" s="129" t="s">
        <v>141</v>
      </c>
      <c r="AN213" s="219" t="s">
        <v>138</v>
      </c>
      <c r="AO213" s="161">
        <v>74.0</v>
      </c>
      <c r="AP213" s="161">
        <v>0.06</v>
      </c>
      <c r="AQ213" s="380" t="s">
        <v>874</v>
      </c>
      <c r="AR213" s="371" t="s">
        <v>850</v>
      </c>
      <c r="AS213" s="166">
        <v>0.036</v>
      </c>
      <c r="AT213" s="151" t="s">
        <v>172</v>
      </c>
      <c r="AU213" s="151" t="s">
        <v>186</v>
      </c>
      <c r="AV213" s="129" t="s">
        <v>141</v>
      </c>
      <c r="AW213" s="542" t="s">
        <v>138</v>
      </c>
      <c r="AX213" s="129" t="s">
        <v>438</v>
      </c>
      <c r="AY213" s="61" t="str">
        <f>IFERROR(__xludf.DUMMYFUNCTION("vlookup(BB213,importrange(""https://docs.google.com/spreadsheets/d/1d2vevQ_7D_v35q4wCQ4RpQ_IPoTwEMB9Yp6ymwlPqew/edit?gid=984458430#gid=984458430"", ""'replication success'!A:K""), 11, FAlSE)"),"successful")</f>
        <v>successful</v>
      </c>
      <c r="AZ213" s="61" t="str">
        <f>IFERROR(__xludf.DUMMYFUNCTION("vlookup(BB213,importrange(""https://docs.google.com/spreadsheets/d/1d2vevQ_7D_v35q4wCQ4RpQ_IPoTwEMB9Yp6ymwlPqew/edit?gid=984458430#gid=984458430"",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3" s="61" t="str">
        <f>IFERROR(__xludf.DUMMYFUNCTION("vlookup(BB213,importrange(""https://docs.google.com/spreadsheets/d/1d2vevQ_7D_v35q4wCQ4RpQ_IPoTwEMB9Yp6ymwlPqew/edit?gid=984458430#gid=984458430"", ""'replication success'!A:M""), 13, FAlSE)"),"abstract")</f>
        <v>abstract</v>
      </c>
      <c r="BB213" s="61" t="str">
        <f>IFERROR(__xludf.DUMMYFUNCTION("REGEXREPLACE(G213, ""_[a-z]{1,2}$"", """")"),"additional_studies36")</f>
        <v>additional_studies36</v>
      </c>
      <c r="BD213" s="381" t="s">
        <v>1270</v>
      </c>
    </row>
    <row r="214" ht="20.25" customHeight="1">
      <c r="A214" s="44">
        <v>214.0</v>
      </c>
      <c r="B214" s="538" t="s">
        <v>152</v>
      </c>
      <c r="C214" s="538" t="s">
        <v>115</v>
      </c>
      <c r="D214" s="538" t="s">
        <v>286</v>
      </c>
      <c r="E214" s="539"/>
      <c r="F214" s="150" t="s">
        <v>1258</v>
      </c>
      <c r="G214" s="151" t="s">
        <v>1295</v>
      </c>
      <c r="H214" s="151" t="s">
        <v>289</v>
      </c>
      <c r="I214" s="152"/>
      <c r="J214" s="540">
        <v>45775.0</v>
      </c>
      <c r="K214" s="129" t="s">
        <v>1281</v>
      </c>
      <c r="L214" s="129" t="s">
        <v>1276</v>
      </c>
      <c r="M214" s="155" t="s">
        <v>1296</v>
      </c>
      <c r="N214" s="155" t="s">
        <v>1262</v>
      </c>
      <c r="O214" s="378">
        <v>1.0</v>
      </c>
      <c r="P214" s="118" t="str">
        <f> hyperlink(vlookup(lower(N214),'File Links'!A:B, 2, FALSE), SUBSTITUTE(lower(N214), "/", "--") &amp;  ".pdf")</f>
        <v>10.1016--j.psychres.2017.09.048.pdf</v>
      </c>
      <c r="Q214" s="52" t="str">
        <f t="array" ref="Q214"> if(iserror(MATCH(V214, 'File Links'!C:C, 0)), "N/A", HYPERLINK(INDEX('File Links'!B:B, MATCH(P214, 'File Links'!C:C, 0))))</f>
        <v>https://drive.google.com/file/d/1bB5zAUL5oQPM2ClvdBCDeAd5AlkWVp4P/view?usp=drivesdk</v>
      </c>
      <c r="R214" s="129" t="s">
        <v>1263</v>
      </c>
      <c r="S214" s="61" t="s">
        <v>1264</v>
      </c>
      <c r="T214" s="68"/>
      <c r="U214" s="378">
        <v>1.0</v>
      </c>
      <c r="V214" s="66" t="str">
        <f> hyperlink(vlookup(lower(S214),'File Links'!E:F, 2, FALSE), SUBSTITUTE(lower(S214), "/", "--") &amp;  ".pdf")</f>
        <v>10.1002--erv.3103.pdf</v>
      </c>
      <c r="W214" s="129" t="s">
        <v>1265</v>
      </c>
      <c r="X214" s="54" t="str">
        <f t="array" ref="X214"> if(iserror(MATCH(V214, 'File Links'!C:C, 0)), "N/A", HYPERLINK(INDEX('File Links'!B:B, MATCH(V214, 'File Links'!C:C, 0))))</f>
        <v>https://drive.google.com/file/d/1bJ0BC-Xy_bNt41DXHAjv1ms0mnz9Vq86/view?usp=drivesdk</v>
      </c>
      <c r="Z214" s="151" t="s">
        <v>148</v>
      </c>
      <c r="AA214" s="129" t="s">
        <v>1297</v>
      </c>
      <c r="AB214" s="129" t="s">
        <v>1267</v>
      </c>
      <c r="AC214" s="371" t="s">
        <v>1268</v>
      </c>
      <c r="AD214" s="541" t="s">
        <v>1298</v>
      </c>
      <c r="AE214" s="161" t="s">
        <v>813</v>
      </c>
      <c r="AF214" s="161">
        <v>89.0</v>
      </c>
      <c r="AG214" s="161">
        <v>0.059</v>
      </c>
      <c r="AH214" s="380" t="s">
        <v>874</v>
      </c>
      <c r="AI214" s="129" t="s">
        <v>813</v>
      </c>
      <c r="AJ214" s="166">
        <v>0.012</v>
      </c>
      <c r="AK214" s="151" t="s">
        <v>172</v>
      </c>
      <c r="AL214" s="151" t="s">
        <v>136</v>
      </c>
      <c r="AM214" s="129" t="s">
        <v>141</v>
      </c>
      <c r="AN214" s="219" t="s">
        <v>138</v>
      </c>
      <c r="AO214" s="161">
        <v>74.0</v>
      </c>
      <c r="AP214" s="161">
        <v>0.037</v>
      </c>
      <c r="AQ214" s="380" t="s">
        <v>874</v>
      </c>
      <c r="AR214" s="371" t="s">
        <v>850</v>
      </c>
      <c r="AS214" s="166">
        <v>0.036</v>
      </c>
      <c r="AT214" s="151" t="s">
        <v>172</v>
      </c>
      <c r="AU214" s="151" t="s">
        <v>186</v>
      </c>
      <c r="AV214" s="129" t="s">
        <v>141</v>
      </c>
      <c r="AW214" s="542" t="s">
        <v>138</v>
      </c>
      <c r="AX214" s="129" t="s">
        <v>438</v>
      </c>
      <c r="AY214" s="61" t="str">
        <f>IFERROR(__xludf.DUMMYFUNCTION("vlookup(BB214,importrange(""https://docs.google.com/spreadsheets/d/1d2vevQ_7D_v35q4wCQ4RpQ_IPoTwEMB9Yp6ymwlPqew/edit?gid=984458430#gid=984458430"", ""'replication success'!A:K""), 11, FAlSE)"),"successful")</f>
        <v>successful</v>
      </c>
      <c r="AZ214" s="61" t="str">
        <f>IFERROR(__xludf.DUMMYFUNCTION("vlookup(BB214,importrange(""https://docs.google.com/spreadsheets/d/1d2vevQ_7D_v35q4wCQ4RpQ_IPoTwEMB9Yp6ymwlPqew/edit?gid=984458430#gid=984458430"",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4" s="61" t="str">
        <f>IFERROR(__xludf.DUMMYFUNCTION("vlookup(BB214,importrange(""https://docs.google.com/spreadsheets/d/1d2vevQ_7D_v35q4wCQ4RpQ_IPoTwEMB9Yp6ymwlPqew/edit?gid=984458430#gid=984458430"", ""'replication success'!A:M""), 13, FAlSE)"),"abstract")</f>
        <v>abstract</v>
      </c>
      <c r="BB214" s="61" t="str">
        <f>IFERROR(__xludf.DUMMYFUNCTION("REGEXREPLACE(G214, ""_[a-z]{1,2}$"", """")"),"additional_studies36")</f>
        <v>additional_studies36</v>
      </c>
      <c r="BD214" s="381" t="s">
        <v>1270</v>
      </c>
    </row>
    <row r="215" ht="20.25" customHeight="1">
      <c r="A215" s="44">
        <v>215.0</v>
      </c>
      <c r="B215" s="538" t="s">
        <v>152</v>
      </c>
      <c r="C215" s="538" t="s">
        <v>115</v>
      </c>
      <c r="D215" s="538" t="s">
        <v>286</v>
      </c>
      <c r="E215" s="539"/>
      <c r="F215" s="150" t="s">
        <v>1258</v>
      </c>
      <c r="G215" s="151" t="s">
        <v>1299</v>
      </c>
      <c r="H215" s="151" t="s">
        <v>289</v>
      </c>
      <c r="I215" s="152"/>
      <c r="J215" s="540">
        <v>45775.0</v>
      </c>
      <c r="K215" s="129" t="s">
        <v>1281</v>
      </c>
      <c r="L215" s="129" t="s">
        <v>1300</v>
      </c>
      <c r="M215" s="155" t="s">
        <v>1301</v>
      </c>
      <c r="N215" s="155" t="s">
        <v>1262</v>
      </c>
      <c r="O215" s="378">
        <v>1.0</v>
      </c>
      <c r="P215" s="118" t="str">
        <f> hyperlink(vlookup(lower(N215),'File Links'!A:B, 2, FALSE), SUBSTITUTE(lower(N215), "/", "--") &amp;  ".pdf")</f>
        <v>10.1016--j.psychres.2017.09.048.pdf</v>
      </c>
      <c r="Q215" s="52" t="str">
        <f t="array" ref="Q215"> if(iserror(MATCH(V215, 'File Links'!C:C, 0)), "N/A", HYPERLINK(INDEX('File Links'!B:B, MATCH(P215, 'File Links'!C:C, 0))))</f>
        <v>https://drive.google.com/file/d/1bB5zAUL5oQPM2ClvdBCDeAd5AlkWVp4P/view?usp=drivesdk</v>
      </c>
      <c r="R215" s="129" t="s">
        <v>1263</v>
      </c>
      <c r="S215" s="61" t="s">
        <v>1264</v>
      </c>
      <c r="T215" s="68"/>
      <c r="U215" s="378">
        <v>1.0</v>
      </c>
      <c r="V215" s="66" t="str">
        <f> hyperlink(vlookup(lower(S215),'File Links'!E:F, 2, FALSE), SUBSTITUTE(lower(S215), "/", "--") &amp;  ".pdf")</f>
        <v>10.1002--erv.3103.pdf</v>
      </c>
      <c r="W215" s="129" t="s">
        <v>1265</v>
      </c>
      <c r="X215" s="54" t="str">
        <f t="array" ref="X215"> if(iserror(MATCH(V215, 'File Links'!C:C, 0)), "N/A", HYPERLINK(INDEX('File Links'!B:B, MATCH(V215, 'File Links'!C:C, 0))))</f>
        <v>https://drive.google.com/file/d/1bJ0BC-Xy_bNt41DXHAjv1ms0mnz9Vq86/view?usp=drivesdk</v>
      </c>
      <c r="Z215" s="151" t="s">
        <v>148</v>
      </c>
      <c r="AA215" s="129" t="s">
        <v>1302</v>
      </c>
      <c r="AB215" s="129" t="s">
        <v>1267</v>
      </c>
      <c r="AC215" s="371" t="s">
        <v>1268</v>
      </c>
      <c r="AD215" s="543" t="s">
        <v>1303</v>
      </c>
      <c r="AE215" s="161" t="s">
        <v>813</v>
      </c>
      <c r="AF215" s="378">
        <v>63.0</v>
      </c>
      <c r="AG215" s="378">
        <v>0.73</v>
      </c>
      <c r="AH215" s="380" t="s">
        <v>173</v>
      </c>
      <c r="AI215" s="129" t="s">
        <v>813</v>
      </c>
      <c r="AJ215" s="544">
        <v>0.013</v>
      </c>
      <c r="AK215" s="151" t="s">
        <v>172</v>
      </c>
      <c r="AL215" s="151" t="s">
        <v>136</v>
      </c>
      <c r="AM215" s="371" t="s">
        <v>137</v>
      </c>
      <c r="AN215" s="219" t="s">
        <v>138</v>
      </c>
      <c r="AO215" s="161">
        <v>74.0</v>
      </c>
      <c r="AP215" s="129" t="s">
        <v>1304</v>
      </c>
      <c r="AQ215" s="151" t="s">
        <v>134</v>
      </c>
      <c r="AR215" s="371" t="s">
        <v>850</v>
      </c>
      <c r="AS215" s="166">
        <v>0.1</v>
      </c>
      <c r="AT215" s="151" t="s">
        <v>335</v>
      </c>
      <c r="AU215" s="151" t="s">
        <v>186</v>
      </c>
      <c r="AV215" s="371" t="s">
        <v>137</v>
      </c>
      <c r="AW215" s="542" t="s">
        <v>138</v>
      </c>
      <c r="AX215" s="129" t="s">
        <v>438</v>
      </c>
      <c r="AY215" s="61" t="str">
        <f>IFERROR(__xludf.DUMMYFUNCTION("vlookup(BB215,importrange(""https://docs.google.com/spreadsheets/d/1d2vevQ_7D_v35q4wCQ4RpQ_IPoTwEMB9Yp6ymwlPqew/edit?gid=984458430#gid=984458430"", ""'replication success'!A:K""), 11, FAlSE)"),"successful")</f>
        <v>successful</v>
      </c>
      <c r="AZ215" s="61" t="str">
        <f>IFERROR(__xludf.DUMMYFUNCTION("vlookup(BB215,importrange(""https://docs.google.com/spreadsheets/d/1d2vevQ_7D_v35q4wCQ4RpQ_IPoTwEMB9Yp6ymwlPqew/edit?gid=984458430#gid=984458430"",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5" s="61" t="str">
        <f>IFERROR(__xludf.DUMMYFUNCTION("vlookup(BB215,importrange(""https://docs.google.com/spreadsheets/d/1d2vevQ_7D_v35q4wCQ4RpQ_IPoTwEMB9Yp6ymwlPqew/edit?gid=984458430#gid=984458430"", ""'replication success'!A:M""), 13, FAlSE)"),"abstract")</f>
        <v>abstract</v>
      </c>
      <c r="BB215" s="61" t="str">
        <f>IFERROR(__xludf.DUMMYFUNCTION("REGEXREPLACE(G215, ""_[a-z]{1,2}$"", """")"),"additional_studies36")</f>
        <v>additional_studies36</v>
      </c>
      <c r="BD215" s="381" t="s">
        <v>1270</v>
      </c>
    </row>
    <row r="216" ht="20.25" customHeight="1">
      <c r="A216" s="44">
        <v>216.0</v>
      </c>
      <c r="B216" s="538" t="s">
        <v>152</v>
      </c>
      <c r="C216" s="538" t="s">
        <v>115</v>
      </c>
      <c r="D216" s="538" t="s">
        <v>286</v>
      </c>
      <c r="E216" s="539"/>
      <c r="F216" s="150" t="s">
        <v>1258</v>
      </c>
      <c r="G216" s="151" t="s">
        <v>1305</v>
      </c>
      <c r="H216" s="151" t="s">
        <v>289</v>
      </c>
      <c r="I216" s="152"/>
      <c r="J216" s="540">
        <v>45775.0</v>
      </c>
      <c r="K216" s="129" t="s">
        <v>1281</v>
      </c>
      <c r="L216" s="129" t="s">
        <v>1306</v>
      </c>
      <c r="M216" s="155" t="s">
        <v>1307</v>
      </c>
      <c r="N216" s="155" t="s">
        <v>1262</v>
      </c>
      <c r="O216" s="378">
        <v>1.0</v>
      </c>
      <c r="P216" s="118" t="str">
        <f> hyperlink(vlookup(lower(N216),'File Links'!A:B, 2, FALSE), SUBSTITUTE(lower(N216), "/", "--") &amp;  ".pdf")</f>
        <v>10.1016--j.psychres.2017.09.048.pdf</v>
      </c>
      <c r="Q216" s="52" t="str">
        <f t="array" ref="Q216"> if(iserror(MATCH(V216, 'File Links'!C:C, 0)), "N/A", HYPERLINK(INDEX('File Links'!B:B, MATCH(P216, 'File Links'!C:C, 0))))</f>
        <v>https://drive.google.com/file/d/1bB5zAUL5oQPM2ClvdBCDeAd5AlkWVp4P/view?usp=drivesdk</v>
      </c>
      <c r="R216" s="129" t="s">
        <v>1263</v>
      </c>
      <c r="S216" s="61" t="s">
        <v>1264</v>
      </c>
      <c r="T216" s="68"/>
      <c r="U216" s="378">
        <v>1.0</v>
      </c>
      <c r="V216" s="66" t="str">
        <f> hyperlink(vlookup(lower(S216),'File Links'!E:F, 2, FALSE), SUBSTITUTE(lower(S216), "/", "--") &amp;  ".pdf")</f>
        <v>10.1002--erv.3103.pdf</v>
      </c>
      <c r="W216" s="129" t="s">
        <v>1265</v>
      </c>
      <c r="X216" s="54" t="str">
        <f t="array" ref="X216"> if(iserror(MATCH(V216, 'File Links'!C:C, 0)), "N/A", HYPERLINK(INDEX('File Links'!B:B, MATCH(V216, 'File Links'!C:C, 0))))</f>
        <v>https://drive.google.com/file/d/1bJ0BC-Xy_bNt41DXHAjv1ms0mnz9Vq86/view?usp=drivesdk</v>
      </c>
      <c r="Z216" s="151" t="s">
        <v>148</v>
      </c>
      <c r="AA216" s="129" t="s">
        <v>1308</v>
      </c>
      <c r="AB216" s="129" t="s">
        <v>1267</v>
      </c>
      <c r="AC216" s="371" t="s">
        <v>1268</v>
      </c>
      <c r="AD216" s="165" t="s">
        <v>1309</v>
      </c>
      <c r="AE216" s="161" t="s">
        <v>813</v>
      </c>
      <c r="AF216" s="378">
        <v>63.0</v>
      </c>
      <c r="AG216" s="378">
        <v>0.74</v>
      </c>
      <c r="AH216" s="380" t="s">
        <v>173</v>
      </c>
      <c r="AI216" s="129" t="s">
        <v>813</v>
      </c>
      <c r="AJ216" s="544">
        <v>0.01</v>
      </c>
      <c r="AK216" s="151" t="s">
        <v>172</v>
      </c>
      <c r="AL216" s="151" t="s">
        <v>136</v>
      </c>
      <c r="AM216" s="371" t="s">
        <v>137</v>
      </c>
      <c r="AN216" s="219" t="s">
        <v>138</v>
      </c>
      <c r="AO216" s="161">
        <v>74.0</v>
      </c>
      <c r="AP216" s="161">
        <v>0.51</v>
      </c>
      <c r="AQ216" s="151" t="s">
        <v>173</v>
      </c>
      <c r="AR216" s="371" t="s">
        <v>850</v>
      </c>
      <c r="AS216" s="166">
        <v>0.031</v>
      </c>
      <c r="AT216" s="151" t="s">
        <v>172</v>
      </c>
      <c r="AU216" s="151" t="s">
        <v>186</v>
      </c>
      <c r="AV216" s="371" t="s">
        <v>137</v>
      </c>
      <c r="AW216" s="542" t="s">
        <v>138</v>
      </c>
      <c r="AX216" s="129" t="s">
        <v>438</v>
      </c>
      <c r="AY216" s="61" t="str">
        <f>IFERROR(__xludf.DUMMYFUNCTION("vlookup(BB216,importrange(""https://docs.google.com/spreadsheets/d/1d2vevQ_7D_v35q4wCQ4RpQ_IPoTwEMB9Yp6ymwlPqew/edit?gid=984458430#gid=984458430"", ""'replication success'!A:K""), 11, FAlSE)"),"successful")</f>
        <v>successful</v>
      </c>
      <c r="AZ216" s="61" t="str">
        <f>IFERROR(__xludf.DUMMYFUNCTION("vlookup(BB216,importrange(""https://docs.google.com/spreadsheets/d/1d2vevQ_7D_v35q4wCQ4RpQ_IPoTwEMB9Yp6ymwlPqew/edit?gid=984458430#gid=984458430"",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6" s="61" t="str">
        <f>IFERROR(__xludf.DUMMYFUNCTION("vlookup(BB216,importrange(""https://docs.google.com/spreadsheets/d/1d2vevQ_7D_v35q4wCQ4RpQ_IPoTwEMB9Yp6ymwlPqew/edit?gid=984458430#gid=984458430"", ""'replication success'!A:M""), 13, FAlSE)"),"abstract")</f>
        <v>abstract</v>
      </c>
      <c r="BB216" s="61" t="str">
        <f>IFERROR(__xludf.DUMMYFUNCTION("REGEXREPLACE(G216, ""_[a-z]{1,2}$"", """")"),"additional_studies36")</f>
        <v>additional_studies36</v>
      </c>
      <c r="BD216" s="381" t="s">
        <v>1270</v>
      </c>
      <c r="BG216" s="107"/>
      <c r="BH216" s="107"/>
      <c r="BI216" s="107"/>
      <c r="BJ216" s="107"/>
      <c r="BK216" s="107"/>
      <c r="BL216" s="107"/>
      <c r="BM216" s="107"/>
      <c r="BN216" s="107"/>
      <c r="BO216" s="107"/>
      <c r="BP216" s="107"/>
      <c r="BQ216" s="107"/>
      <c r="BR216" s="107"/>
      <c r="BS216" s="107"/>
      <c r="BT216" s="107"/>
      <c r="BU216" s="107"/>
      <c r="BV216" s="107"/>
      <c r="BW216" s="107"/>
      <c r="BX216" s="107"/>
      <c r="BY216" s="107"/>
      <c r="BZ216" s="107"/>
      <c r="CA216" s="107"/>
      <c r="CB216" s="107"/>
      <c r="CC216" s="107"/>
      <c r="CD216" s="107"/>
      <c r="CE216" s="107"/>
      <c r="CF216" s="107"/>
      <c r="CG216" s="107"/>
      <c r="CH216" s="107"/>
      <c r="CI216" s="107"/>
      <c r="CJ216" s="107"/>
      <c r="CK216" s="107"/>
      <c r="CL216" s="107"/>
      <c r="CM216" s="107"/>
      <c r="CN216" s="107"/>
      <c r="CO216" s="107"/>
      <c r="CP216" s="107"/>
      <c r="CQ216" s="107"/>
      <c r="CR216" s="107"/>
      <c r="CS216" s="107"/>
      <c r="CT216" s="107"/>
      <c r="CU216" s="107"/>
      <c r="CV216" s="107"/>
      <c r="CW216" s="107"/>
      <c r="CX216" s="107"/>
      <c r="CY216" s="107"/>
      <c r="CZ216" s="107"/>
      <c r="DA216" s="107"/>
      <c r="DB216" s="107"/>
      <c r="DC216" s="107"/>
      <c r="DD216" s="107"/>
      <c r="DE216" s="107"/>
      <c r="DF216" s="107"/>
      <c r="DG216" s="107"/>
      <c r="DH216" s="107"/>
      <c r="DI216" s="107"/>
      <c r="DJ216" s="107"/>
      <c r="DK216" s="107"/>
      <c r="DL216" s="107"/>
    </row>
    <row r="217" ht="20.25" customHeight="1">
      <c r="A217" s="44">
        <v>217.0</v>
      </c>
      <c r="B217" s="538" t="s">
        <v>114</v>
      </c>
      <c r="C217" s="538" t="s">
        <v>115</v>
      </c>
      <c r="D217" s="538" t="s">
        <v>286</v>
      </c>
      <c r="E217" s="539"/>
      <c r="F217" s="545" t="s">
        <v>1258</v>
      </c>
      <c r="G217" s="546" t="s">
        <v>1310</v>
      </c>
      <c r="H217" s="546" t="s">
        <v>289</v>
      </c>
      <c r="I217" s="547"/>
      <c r="J217" s="540">
        <v>45775.0</v>
      </c>
      <c r="K217" s="548" t="s">
        <v>1281</v>
      </c>
      <c r="L217" s="129" t="s">
        <v>1311</v>
      </c>
      <c r="M217" s="549" t="s">
        <v>1312</v>
      </c>
      <c r="N217" s="155" t="s">
        <v>1262</v>
      </c>
      <c r="O217" s="378">
        <v>1.0</v>
      </c>
      <c r="P217" s="118" t="str">
        <f> hyperlink(vlookup(lower(N217),'File Links'!A:B, 2, FALSE), SUBSTITUTE(lower(N217), "/", "--") &amp;  ".pdf")</f>
        <v>10.1016--j.psychres.2017.09.048.pdf</v>
      </c>
      <c r="Q217" s="52" t="str">
        <f t="array" ref="Q217"> if(iserror(MATCH(V217, 'File Links'!C:C, 0)), "N/A", HYPERLINK(INDEX('File Links'!B:B, MATCH(P217, 'File Links'!C:C, 0))))</f>
        <v>https://drive.google.com/file/d/1bB5zAUL5oQPM2ClvdBCDeAd5AlkWVp4P/view?usp=drivesdk</v>
      </c>
      <c r="R217" s="129" t="s">
        <v>1263</v>
      </c>
      <c r="S217" s="61" t="s">
        <v>1264</v>
      </c>
      <c r="T217" s="527"/>
      <c r="U217" s="378">
        <v>1.0</v>
      </c>
      <c r="V217" s="66" t="str">
        <f> hyperlink(vlookup(lower(S217),'File Links'!E:F, 2, FALSE), SUBSTITUTE(lower(S217), "/", "--") &amp;  ".pdf")</f>
        <v>10.1002--erv.3103.pdf</v>
      </c>
      <c r="W217" s="548" t="s">
        <v>1265</v>
      </c>
      <c r="X217" s="54" t="str">
        <f t="array" ref="X217"> if(iserror(MATCH(V217, 'File Links'!C:C, 0)), "N/A", HYPERLINK(INDEX('File Links'!B:B, MATCH(V217, 'File Links'!C:C, 0))))</f>
        <v>https://drive.google.com/file/d/1bJ0BC-Xy_bNt41DXHAjv1ms0mnz9Vq86/view?usp=drivesdk</v>
      </c>
      <c r="Y217" s="550"/>
      <c r="Z217" s="546" t="s">
        <v>148</v>
      </c>
      <c r="AA217" s="548" t="s">
        <v>1313</v>
      </c>
      <c r="AB217" s="548" t="s">
        <v>1267</v>
      </c>
      <c r="AC217" s="371" t="s">
        <v>1268</v>
      </c>
      <c r="AD217" s="551" t="s">
        <v>1314</v>
      </c>
      <c r="AE217" s="552" t="s">
        <v>813</v>
      </c>
      <c r="AF217" s="553">
        <v>63.0</v>
      </c>
      <c r="AG217" s="553">
        <v>0.84</v>
      </c>
      <c r="AH217" s="554" t="s">
        <v>173</v>
      </c>
      <c r="AI217" s="548" t="s">
        <v>813</v>
      </c>
      <c r="AJ217" s="555">
        <v>0.001</v>
      </c>
      <c r="AK217" s="151" t="s">
        <v>172</v>
      </c>
      <c r="AL217" s="546" t="s">
        <v>136</v>
      </c>
      <c r="AM217" s="556" t="s">
        <v>137</v>
      </c>
      <c r="AN217" s="219" t="s">
        <v>138</v>
      </c>
      <c r="AO217" s="552">
        <v>74.0</v>
      </c>
      <c r="AP217" s="552">
        <v>0.59</v>
      </c>
      <c r="AQ217" s="546" t="s">
        <v>173</v>
      </c>
      <c r="AR217" s="371" t="s">
        <v>850</v>
      </c>
      <c r="AS217" s="557">
        <v>0.01</v>
      </c>
      <c r="AT217" s="151" t="s">
        <v>172</v>
      </c>
      <c r="AU217" s="546" t="s">
        <v>186</v>
      </c>
      <c r="AV217" s="556" t="s">
        <v>137</v>
      </c>
      <c r="AW217" s="542" t="s">
        <v>138</v>
      </c>
      <c r="AX217" s="548" t="s">
        <v>438</v>
      </c>
      <c r="AY217" s="61" t="str">
        <f>IFERROR(__xludf.DUMMYFUNCTION("vlookup(BB217,importrange(""https://docs.google.com/spreadsheets/d/1d2vevQ_7D_v35q4wCQ4RpQ_IPoTwEMB9Yp6ymwlPqew/edit?gid=984458430#gid=984458430"", ""'replication success'!A:K""), 11, FAlSE)"),"successful")</f>
        <v>successful</v>
      </c>
      <c r="AZ217" s="61" t="str">
        <f>IFERROR(__xludf.DUMMYFUNCTION("vlookup(BB217,importrange(""https://docs.google.com/spreadsheets/d/1d2vevQ_7D_v35q4wCQ4RpQ_IPoTwEMB9Yp6ymwlPqew/edit?gid=984458430#gid=984458430"",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7" s="61" t="str">
        <f>IFERROR(__xludf.DUMMYFUNCTION("vlookup(BB217,importrange(""https://docs.google.com/spreadsheets/d/1d2vevQ_7D_v35q4wCQ4RpQ_IPoTwEMB9Yp6ymwlPqew/edit?gid=984458430#gid=984458430"", ""'replication success'!A:M""), 13, FAlSE)"),"abstract")</f>
        <v>abstract</v>
      </c>
      <c r="BB217" s="61" t="str">
        <f>IFERROR(__xludf.DUMMYFUNCTION("REGEXREPLACE(G217, ""_[a-z]{1,2}$"", """")"),"additional_studies36")</f>
        <v>additional_studies36</v>
      </c>
      <c r="BC217" s="550"/>
      <c r="BD217" s="381" t="s">
        <v>1270</v>
      </c>
      <c r="BG217" s="71"/>
      <c r="BH217" s="71"/>
      <c r="BI217" s="71"/>
      <c r="BJ217" s="71"/>
      <c r="BK217" s="71"/>
      <c r="BL217" s="71"/>
      <c r="BM217" s="71"/>
      <c r="BN217" s="71"/>
      <c r="BO217" s="71"/>
      <c r="BP217" s="71"/>
      <c r="BQ217" s="71"/>
      <c r="BR217" s="71"/>
      <c r="BS217" s="71"/>
      <c r="BT217" s="71"/>
      <c r="BU217" s="71"/>
      <c r="BV217" s="71"/>
      <c r="BW217" s="71"/>
      <c r="BX217" s="71"/>
      <c r="BY217" s="71"/>
      <c r="BZ217" s="71"/>
      <c r="CA217" s="71"/>
      <c r="CB217" s="71"/>
      <c r="CC217" s="71"/>
      <c r="CD217" s="71"/>
      <c r="CE217" s="71"/>
      <c r="CF217" s="71"/>
      <c r="CG217" s="71"/>
      <c r="CH217" s="71"/>
      <c r="CI217" s="71"/>
      <c r="CJ217" s="71"/>
      <c r="CK217" s="71"/>
      <c r="CL217" s="71"/>
      <c r="CM217" s="71"/>
      <c r="CN217" s="71"/>
      <c r="CO217" s="71"/>
      <c r="CP217" s="71"/>
      <c r="CQ217" s="71"/>
      <c r="CR217" s="71"/>
      <c r="CS217" s="71"/>
      <c r="CT217" s="71"/>
      <c r="CU217" s="71"/>
      <c r="CV217" s="71"/>
      <c r="CW217" s="71"/>
      <c r="CX217" s="71"/>
      <c r="CY217" s="71"/>
      <c r="CZ217" s="71"/>
      <c r="DA217" s="71"/>
      <c r="DB217" s="71"/>
      <c r="DC217" s="71"/>
      <c r="DD217" s="71"/>
      <c r="DE217" s="71"/>
      <c r="DF217" s="71"/>
      <c r="DG217" s="71"/>
      <c r="DH217" s="71"/>
      <c r="DI217" s="71"/>
      <c r="DJ217" s="71"/>
      <c r="DK217" s="71"/>
      <c r="DL217" s="71"/>
    </row>
    <row r="218" ht="20.25" customHeight="1">
      <c r="A218" s="44">
        <v>218.0</v>
      </c>
      <c r="B218" s="538" t="s">
        <v>152</v>
      </c>
      <c r="C218" s="538" t="s">
        <v>115</v>
      </c>
      <c r="D218" s="538" t="s">
        <v>286</v>
      </c>
      <c r="E218" s="539"/>
      <c r="F218" s="545" t="s">
        <v>1258</v>
      </c>
      <c r="G218" s="546" t="s">
        <v>1315</v>
      </c>
      <c r="H218" s="151" t="s">
        <v>289</v>
      </c>
      <c r="I218" s="547"/>
      <c r="J218" s="540">
        <v>45775.0</v>
      </c>
      <c r="K218" s="548" t="s">
        <v>1281</v>
      </c>
      <c r="L218" s="129" t="s">
        <v>1316</v>
      </c>
      <c r="M218" s="549" t="s">
        <v>1317</v>
      </c>
      <c r="N218" s="155" t="s">
        <v>1262</v>
      </c>
      <c r="O218" s="378">
        <v>1.0</v>
      </c>
      <c r="P218" s="118" t="str">
        <f> hyperlink(vlookup(lower(N218),'File Links'!A:B, 2, FALSE), SUBSTITUTE(lower(N218), "/", "--") &amp;  ".pdf")</f>
        <v>10.1016--j.psychres.2017.09.048.pdf</v>
      </c>
      <c r="Q218" s="52" t="str">
        <f t="array" ref="Q218"> if(iserror(MATCH(V218, 'File Links'!C:C, 0)), "N/A", HYPERLINK(INDEX('File Links'!B:B, MATCH(P218, 'File Links'!C:C, 0))))</f>
        <v>https://drive.google.com/file/d/1bB5zAUL5oQPM2ClvdBCDeAd5AlkWVp4P/view?usp=drivesdk</v>
      </c>
      <c r="R218" s="129" t="s">
        <v>1263</v>
      </c>
      <c r="S218" s="61" t="s">
        <v>1264</v>
      </c>
      <c r="T218" s="527"/>
      <c r="U218" s="378">
        <v>1.0</v>
      </c>
      <c r="V218" s="66" t="str">
        <f> hyperlink(vlookup(lower(S218),'File Links'!E:F, 2, FALSE), SUBSTITUTE(lower(S218), "/", "--") &amp;  ".pdf")</f>
        <v>10.1002--erv.3103.pdf</v>
      </c>
      <c r="W218" s="548" t="s">
        <v>1265</v>
      </c>
      <c r="X218" s="54" t="str">
        <f t="array" ref="X218"> if(iserror(MATCH(V218, 'File Links'!C:C, 0)), "N/A", HYPERLINK(INDEX('File Links'!B:B, MATCH(V218, 'File Links'!C:C, 0))))</f>
        <v>https://drive.google.com/file/d/1bJ0BC-Xy_bNt41DXHAjv1ms0mnz9Vq86/view?usp=drivesdk</v>
      </c>
      <c r="Y218" s="550"/>
      <c r="Z218" s="546" t="s">
        <v>148</v>
      </c>
      <c r="AA218" s="548" t="s">
        <v>1318</v>
      </c>
      <c r="AB218" s="548" t="s">
        <v>1267</v>
      </c>
      <c r="AC218" s="371" t="s">
        <v>1319</v>
      </c>
      <c r="AD218" s="551" t="s">
        <v>1320</v>
      </c>
      <c r="AE218" s="552" t="s">
        <v>813</v>
      </c>
      <c r="AF218" s="552">
        <v>89.0</v>
      </c>
      <c r="AG218" s="556" t="s">
        <v>1321</v>
      </c>
      <c r="AH218" s="546" t="s">
        <v>134</v>
      </c>
      <c r="AI218" s="556" t="s">
        <v>813</v>
      </c>
      <c r="AJ218" s="555" t="s">
        <v>138</v>
      </c>
      <c r="AK218" s="555" t="s">
        <v>138</v>
      </c>
      <c r="AL218" s="555" t="s">
        <v>138</v>
      </c>
      <c r="AM218" s="555" t="s">
        <v>138</v>
      </c>
      <c r="AN218" s="219" t="s">
        <v>138</v>
      </c>
      <c r="AO218" s="552">
        <v>74.0</v>
      </c>
      <c r="AP218" s="548" t="s">
        <v>1304</v>
      </c>
      <c r="AQ218" s="546" t="s">
        <v>134</v>
      </c>
      <c r="AR218" s="371" t="s">
        <v>850</v>
      </c>
      <c r="AS218" s="557">
        <v>0.1</v>
      </c>
      <c r="AT218" s="546" t="s">
        <v>335</v>
      </c>
      <c r="AU218" s="546" t="s">
        <v>186</v>
      </c>
      <c r="AV218" s="556" t="s">
        <v>137</v>
      </c>
      <c r="AW218" s="542" t="s">
        <v>138</v>
      </c>
      <c r="AX218" s="548" t="s">
        <v>438</v>
      </c>
      <c r="AY218" s="61" t="str">
        <f>IFERROR(__xludf.DUMMYFUNCTION("vlookup(BB218,importrange(""https://docs.google.com/spreadsheets/d/1d2vevQ_7D_v35q4wCQ4RpQ_IPoTwEMB9Yp6ymwlPqew/edit?gid=984458430#gid=984458430"", ""'replication success'!A:K""), 11, FAlSE)"),"successful")</f>
        <v>successful</v>
      </c>
      <c r="AZ218" s="61" t="str">
        <f>IFERROR(__xludf.DUMMYFUNCTION("vlookup(BB218,importrange(""https://docs.google.com/spreadsheets/d/1d2vevQ_7D_v35q4wCQ4RpQ_IPoTwEMB9Yp6ymwlPqew/edit?gid=984458430#gid=984458430"",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8" s="61" t="str">
        <f>IFERROR(__xludf.DUMMYFUNCTION("vlookup(BB218,importrange(""https://docs.google.com/spreadsheets/d/1d2vevQ_7D_v35q4wCQ4RpQ_IPoTwEMB9Yp6ymwlPqew/edit?gid=984458430#gid=984458430"", ""'replication success'!A:M""), 13, FAlSE)"),"abstract")</f>
        <v>abstract</v>
      </c>
      <c r="BB218" s="61" t="str">
        <f>IFERROR(__xludf.DUMMYFUNCTION("REGEXREPLACE(G218, ""_[a-z]{1,2}$"", """")"),"additional_studies36")</f>
        <v>additional_studies36</v>
      </c>
      <c r="BC218" s="550"/>
      <c r="BD218" s="381" t="s">
        <v>1270</v>
      </c>
      <c r="BG218" s="71"/>
      <c r="BH218" s="71"/>
      <c r="BI218" s="71"/>
      <c r="BJ218" s="71"/>
      <c r="BK218" s="71"/>
      <c r="BL218" s="71"/>
      <c r="BM218" s="71"/>
      <c r="BN218" s="71"/>
      <c r="BO218" s="71"/>
      <c r="BP218" s="71"/>
      <c r="BQ218" s="71"/>
      <c r="BR218" s="71"/>
      <c r="BS218" s="71"/>
      <c r="BT218" s="71"/>
      <c r="BU218" s="71"/>
      <c r="BV218" s="71"/>
      <c r="BW218" s="71"/>
      <c r="BX218" s="71"/>
      <c r="BY218" s="71"/>
      <c r="BZ218" s="71"/>
      <c r="CA218" s="71"/>
      <c r="CB218" s="71"/>
      <c r="CC218" s="71"/>
      <c r="CD218" s="71"/>
      <c r="CE218" s="71"/>
      <c r="CF218" s="71"/>
      <c r="CG218" s="71"/>
      <c r="CH218" s="71"/>
      <c r="CI218" s="71"/>
      <c r="CJ218" s="71"/>
      <c r="CK218" s="71"/>
      <c r="CL218" s="71"/>
      <c r="CM218" s="71"/>
      <c r="CN218" s="71"/>
      <c r="CO218" s="71"/>
      <c r="CP218" s="71"/>
      <c r="CQ218" s="71"/>
      <c r="CR218" s="71"/>
      <c r="CS218" s="71"/>
      <c r="CT218" s="71"/>
      <c r="CU218" s="71"/>
      <c r="CV218" s="71"/>
      <c r="CW218" s="71"/>
      <c r="CX218" s="71"/>
      <c r="CY218" s="71"/>
      <c r="CZ218" s="71"/>
      <c r="DA218" s="71"/>
      <c r="DB218" s="71"/>
      <c r="DC218" s="71"/>
      <c r="DD218" s="71"/>
      <c r="DE218" s="71"/>
      <c r="DF218" s="71"/>
      <c r="DG218" s="71"/>
      <c r="DH218" s="71"/>
      <c r="DI218" s="71"/>
      <c r="DJ218" s="71"/>
      <c r="DK218" s="71"/>
      <c r="DL218" s="71"/>
    </row>
    <row r="219" ht="20.25" customHeight="1">
      <c r="A219" s="44">
        <v>219.0</v>
      </c>
      <c r="B219" s="538" t="s">
        <v>152</v>
      </c>
      <c r="C219" s="538" t="s">
        <v>115</v>
      </c>
      <c r="D219" s="538" t="s">
        <v>286</v>
      </c>
      <c r="E219" s="539"/>
      <c r="F219" s="545" t="s">
        <v>1258</v>
      </c>
      <c r="G219" s="151" t="s">
        <v>1322</v>
      </c>
      <c r="H219" s="151" t="s">
        <v>289</v>
      </c>
      <c r="I219" s="152"/>
      <c r="J219" s="540">
        <v>45775.0</v>
      </c>
      <c r="K219" s="129" t="s">
        <v>1281</v>
      </c>
      <c r="L219" s="129" t="s">
        <v>1316</v>
      </c>
      <c r="M219" s="155" t="s">
        <v>1323</v>
      </c>
      <c r="N219" s="155" t="s">
        <v>1262</v>
      </c>
      <c r="O219" s="378">
        <v>1.0</v>
      </c>
      <c r="P219" s="118" t="str">
        <f> hyperlink(vlookup(lower(N219),'File Links'!A:B, 2, FALSE), SUBSTITUTE(lower(N219), "/", "--") &amp;  ".pdf")</f>
        <v>10.1016--j.psychres.2017.09.048.pdf</v>
      </c>
      <c r="Q219" s="52" t="str">
        <f t="array" ref="Q219"> if(iserror(MATCH(V219, 'File Links'!C:C, 0)), "N/A", HYPERLINK(INDEX('File Links'!B:B, MATCH(P219, 'File Links'!C:C, 0))))</f>
        <v>https://drive.google.com/file/d/1bB5zAUL5oQPM2ClvdBCDeAd5AlkWVp4P/view?usp=drivesdk</v>
      </c>
      <c r="R219" s="129" t="s">
        <v>1263</v>
      </c>
      <c r="S219" s="61" t="s">
        <v>1264</v>
      </c>
      <c r="T219" s="68"/>
      <c r="U219" s="378">
        <v>1.0</v>
      </c>
      <c r="V219" s="66" t="str">
        <f> hyperlink(vlookup(lower(S219),'File Links'!E:F, 2, FALSE), SUBSTITUTE(lower(S219), "/", "--") &amp;  ".pdf")</f>
        <v>10.1002--erv.3103.pdf</v>
      </c>
      <c r="W219" s="129" t="s">
        <v>1265</v>
      </c>
      <c r="X219" s="54" t="str">
        <f t="array" ref="X219"> if(iserror(MATCH(V219, 'File Links'!C:C, 0)), "N/A", HYPERLINK(INDEX('File Links'!B:B, MATCH(V219, 'File Links'!C:C, 0))))</f>
        <v>https://drive.google.com/file/d/1bJ0BC-Xy_bNt41DXHAjv1ms0mnz9Vq86/view?usp=drivesdk</v>
      </c>
      <c r="Z219" s="151" t="s">
        <v>148</v>
      </c>
      <c r="AA219" s="129" t="s">
        <v>1324</v>
      </c>
      <c r="AB219" s="129" t="s">
        <v>1267</v>
      </c>
      <c r="AC219" s="371" t="s">
        <v>1319</v>
      </c>
      <c r="AD219" s="551" t="s">
        <v>1320</v>
      </c>
      <c r="AE219" s="552" t="s">
        <v>813</v>
      </c>
      <c r="AF219" s="161">
        <v>89.0</v>
      </c>
      <c r="AG219" s="371" t="s">
        <v>1321</v>
      </c>
      <c r="AH219" s="151" t="s">
        <v>134</v>
      </c>
      <c r="AI219" s="371" t="s">
        <v>813</v>
      </c>
      <c r="AJ219" s="544" t="s">
        <v>138</v>
      </c>
      <c r="AK219" s="544" t="s">
        <v>138</v>
      </c>
      <c r="AL219" s="544" t="s">
        <v>138</v>
      </c>
      <c r="AM219" s="544" t="s">
        <v>138</v>
      </c>
      <c r="AN219" s="219" t="s">
        <v>138</v>
      </c>
      <c r="AO219" s="161">
        <v>74.0</v>
      </c>
      <c r="AP219" s="129" t="s">
        <v>1304</v>
      </c>
      <c r="AQ219" s="151" t="s">
        <v>134</v>
      </c>
      <c r="AR219" s="371" t="s">
        <v>850</v>
      </c>
      <c r="AS219" s="166">
        <v>0.1</v>
      </c>
      <c r="AT219" s="151" t="s">
        <v>335</v>
      </c>
      <c r="AU219" s="151" t="s">
        <v>186</v>
      </c>
      <c r="AV219" s="371" t="s">
        <v>137</v>
      </c>
      <c r="AW219" s="542" t="s">
        <v>138</v>
      </c>
      <c r="AX219" s="129" t="s">
        <v>438</v>
      </c>
      <c r="AY219" s="61" t="str">
        <f>IFERROR(__xludf.DUMMYFUNCTION("vlookup(BB219,importrange(""https://docs.google.com/spreadsheets/d/1d2vevQ_7D_v35q4wCQ4RpQ_IPoTwEMB9Yp6ymwlPqew/edit?gid=984458430#gid=984458430"", ""'replication success'!A:K""), 11, FAlSE)"),"successful")</f>
        <v>successful</v>
      </c>
      <c r="AZ219" s="61" t="str">
        <f>IFERROR(__xludf.DUMMYFUNCTION("vlookup(BB219,importrange(""https://docs.google.com/spreadsheets/d/1d2vevQ_7D_v35q4wCQ4RpQ_IPoTwEMB9Yp6ymwlPqew/edit?gid=984458430#gid=984458430"",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19" s="61" t="str">
        <f>IFERROR(__xludf.DUMMYFUNCTION("vlookup(BB219,importrange(""https://docs.google.com/spreadsheets/d/1d2vevQ_7D_v35q4wCQ4RpQ_IPoTwEMB9Yp6ymwlPqew/edit?gid=984458430#gid=984458430"", ""'replication success'!A:M""), 13, FAlSE)"),"abstract")</f>
        <v>abstract</v>
      </c>
      <c r="BB219" s="61" t="str">
        <f>IFERROR(__xludf.DUMMYFUNCTION("REGEXREPLACE(G219, ""_[a-z]{1,2}$"", """")"),"additional_studies36")</f>
        <v>additional_studies36</v>
      </c>
      <c r="BC219" s="550"/>
      <c r="BD219" s="381" t="s">
        <v>1270</v>
      </c>
      <c r="BG219" s="71"/>
      <c r="BH219" s="71"/>
      <c r="BI219" s="71"/>
      <c r="BJ219" s="71"/>
      <c r="BK219" s="71"/>
      <c r="BL219" s="71"/>
      <c r="BM219" s="71"/>
      <c r="BN219" s="71"/>
      <c r="BO219" s="71"/>
      <c r="BP219" s="71"/>
      <c r="BQ219" s="71"/>
      <c r="BR219" s="71"/>
      <c r="BS219" s="71"/>
      <c r="BT219" s="71"/>
      <c r="BU219" s="71"/>
      <c r="BV219" s="71"/>
      <c r="BW219" s="71"/>
      <c r="BX219" s="71"/>
      <c r="BY219" s="71"/>
      <c r="BZ219" s="71"/>
      <c r="CA219" s="71"/>
      <c r="CB219" s="71"/>
      <c r="CC219" s="71"/>
      <c r="CD219" s="71"/>
      <c r="CE219" s="71"/>
      <c r="CF219" s="71"/>
      <c r="CG219" s="71"/>
      <c r="CH219" s="71"/>
      <c r="CI219" s="71"/>
      <c r="CJ219" s="71"/>
      <c r="CK219" s="71"/>
      <c r="CL219" s="71"/>
      <c r="CM219" s="71"/>
      <c r="CN219" s="71"/>
      <c r="CO219" s="71"/>
      <c r="CP219" s="71"/>
      <c r="CQ219" s="71"/>
      <c r="CR219" s="71"/>
      <c r="CS219" s="71"/>
      <c r="CT219" s="71"/>
      <c r="CU219" s="71"/>
      <c r="CV219" s="71"/>
      <c r="CW219" s="71"/>
      <c r="CX219" s="71"/>
      <c r="CY219" s="71"/>
      <c r="CZ219" s="71"/>
      <c r="DA219" s="71"/>
      <c r="DB219" s="71"/>
      <c r="DC219" s="71"/>
      <c r="DD219" s="71"/>
      <c r="DE219" s="71"/>
      <c r="DF219" s="71"/>
      <c r="DG219" s="71"/>
      <c r="DH219" s="71"/>
      <c r="DI219" s="71"/>
      <c r="DJ219" s="71"/>
      <c r="DK219" s="71"/>
      <c r="DL219" s="71"/>
    </row>
    <row r="220" ht="20.25" customHeight="1">
      <c r="A220" s="44">
        <v>220.0</v>
      </c>
      <c r="B220" s="538" t="s">
        <v>152</v>
      </c>
      <c r="C220" s="538" t="s">
        <v>115</v>
      </c>
      <c r="D220" s="538" t="s">
        <v>286</v>
      </c>
      <c r="E220" s="539"/>
      <c r="F220" s="545" t="s">
        <v>1258</v>
      </c>
      <c r="G220" s="151" t="s">
        <v>1325</v>
      </c>
      <c r="H220" s="151" t="s">
        <v>289</v>
      </c>
      <c r="I220" s="152"/>
      <c r="J220" s="153">
        <v>45782.0</v>
      </c>
      <c r="K220" s="129" t="s">
        <v>1281</v>
      </c>
      <c r="L220" s="129" t="s">
        <v>1326</v>
      </c>
      <c r="M220" s="155" t="s">
        <v>1327</v>
      </c>
      <c r="N220" s="155" t="s">
        <v>1262</v>
      </c>
      <c r="O220" s="378">
        <v>1.0</v>
      </c>
      <c r="P220" s="118" t="str">
        <f> hyperlink(vlookup(lower(N220),'File Links'!A:B, 2, FALSE), SUBSTITUTE(lower(N220), "/", "--") &amp;  ".pdf")</f>
        <v>10.1016--j.psychres.2017.09.048.pdf</v>
      </c>
      <c r="Q220" s="52" t="str">
        <f t="array" ref="Q220"> if(iserror(MATCH(V220, 'File Links'!C:C, 0)), "N/A", HYPERLINK(INDEX('File Links'!B:B, MATCH(P220, 'File Links'!C:C, 0))))</f>
        <v>https://drive.google.com/file/d/1bB5zAUL5oQPM2ClvdBCDeAd5AlkWVp4P/view?usp=drivesdk</v>
      </c>
      <c r="R220" s="129" t="s">
        <v>1263</v>
      </c>
      <c r="S220" s="61" t="s">
        <v>1264</v>
      </c>
      <c r="T220" s="68"/>
      <c r="U220" s="378">
        <v>1.0</v>
      </c>
      <c r="V220" s="66" t="str">
        <f> hyperlink(vlookup(lower(S220),'File Links'!E:F, 2, FALSE), SUBSTITUTE(lower(S220), "/", "--") &amp;  ".pdf")</f>
        <v>10.1002--erv.3103.pdf</v>
      </c>
      <c r="W220" s="129" t="s">
        <v>1265</v>
      </c>
      <c r="X220" s="54" t="str">
        <f t="array" ref="X220"> if(iserror(MATCH(V220, 'File Links'!C:C, 0)), "N/A", HYPERLINK(INDEX('File Links'!B:B, MATCH(V220, 'File Links'!C:C, 0))))</f>
        <v>https://drive.google.com/file/d/1bJ0BC-Xy_bNt41DXHAjv1ms0mnz9Vq86/view?usp=drivesdk</v>
      </c>
      <c r="Z220" s="151" t="s">
        <v>148</v>
      </c>
      <c r="AA220" s="129" t="s">
        <v>1328</v>
      </c>
      <c r="AB220" s="129" t="s">
        <v>1267</v>
      </c>
      <c r="AC220" s="371" t="s">
        <v>1319</v>
      </c>
      <c r="AD220" s="558" t="s">
        <v>1329</v>
      </c>
      <c r="AE220" s="552" t="s">
        <v>813</v>
      </c>
      <c r="AF220" s="161">
        <v>89.0</v>
      </c>
      <c r="AG220" s="161">
        <v>0.233</v>
      </c>
      <c r="AH220" s="380" t="s">
        <v>874</v>
      </c>
      <c r="AI220" s="129" t="s">
        <v>813</v>
      </c>
      <c r="AJ220" s="166">
        <v>0.001</v>
      </c>
      <c r="AK220" s="151" t="s">
        <v>135</v>
      </c>
      <c r="AL220" s="151" t="s">
        <v>136</v>
      </c>
      <c r="AM220" s="129" t="s">
        <v>141</v>
      </c>
      <c r="AN220" s="219" t="s">
        <v>138</v>
      </c>
      <c r="AO220" s="161">
        <v>74.0</v>
      </c>
      <c r="AP220" s="161">
        <v>0.363</v>
      </c>
      <c r="AQ220" s="380" t="s">
        <v>874</v>
      </c>
      <c r="AR220" s="371" t="s">
        <v>850</v>
      </c>
      <c r="AS220" s="166">
        <v>0.001</v>
      </c>
      <c r="AT220" s="151" t="s">
        <v>135</v>
      </c>
      <c r="AU220" s="151" t="s">
        <v>186</v>
      </c>
      <c r="AV220" s="129" t="s">
        <v>141</v>
      </c>
      <c r="AW220" s="542" t="s">
        <v>138</v>
      </c>
      <c r="AX220" s="129" t="s">
        <v>438</v>
      </c>
      <c r="AY220" s="61" t="str">
        <f>IFERROR(__xludf.DUMMYFUNCTION("vlookup(BB220,importrange(""https://docs.google.com/spreadsheets/d/1d2vevQ_7D_v35q4wCQ4RpQ_IPoTwEMB9Yp6ymwlPqew/edit?gid=984458430#gid=984458430"", ""'replication success'!A:K""), 11, FAlSE)"),"successful")</f>
        <v>successful</v>
      </c>
      <c r="AZ220" s="61" t="str">
        <f>IFERROR(__xludf.DUMMYFUNCTION("vlookup(BB220,importrange(""https://docs.google.com/spreadsheets/d/1d2vevQ_7D_v35q4wCQ4RpQ_IPoTwEMB9Yp6ymwlPqew/edit?gid=984458430#gid=984458430"",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0" s="61" t="str">
        <f>IFERROR(__xludf.DUMMYFUNCTION("vlookup(BB220,importrange(""https://docs.google.com/spreadsheets/d/1d2vevQ_7D_v35q4wCQ4RpQ_IPoTwEMB9Yp6ymwlPqew/edit?gid=984458430#gid=984458430"", ""'replication success'!A:M""), 13, FAlSE)"),"abstract")</f>
        <v>abstract</v>
      </c>
      <c r="BB220" s="61" t="str">
        <f>IFERROR(__xludf.DUMMYFUNCTION("REGEXREPLACE(G220, ""_[a-z]{1,2}$"", """")"),"additional_studies36")</f>
        <v>additional_studies36</v>
      </c>
      <c r="BC220" s="550"/>
      <c r="BD220" s="381" t="s">
        <v>1270</v>
      </c>
      <c r="BG220" s="71"/>
      <c r="BH220" s="71"/>
      <c r="BI220" s="71"/>
      <c r="BJ220" s="71"/>
      <c r="BK220" s="71"/>
      <c r="BL220" s="71"/>
      <c r="BM220" s="71"/>
      <c r="BN220" s="71"/>
      <c r="BO220" s="71"/>
      <c r="BP220" s="71"/>
      <c r="BQ220" s="71"/>
      <c r="BR220" s="71"/>
      <c r="BS220" s="71"/>
      <c r="BT220" s="71"/>
      <c r="BU220" s="71"/>
      <c r="BV220" s="71"/>
      <c r="BW220" s="71"/>
      <c r="BX220" s="71"/>
      <c r="BY220" s="71"/>
      <c r="BZ220" s="71"/>
      <c r="CA220" s="71"/>
      <c r="CB220" s="71"/>
      <c r="CC220" s="71"/>
      <c r="CD220" s="71"/>
      <c r="CE220" s="71"/>
      <c r="CF220" s="71"/>
      <c r="CG220" s="71"/>
      <c r="CH220" s="71"/>
      <c r="CI220" s="71"/>
      <c r="CJ220" s="71"/>
      <c r="CK220" s="71"/>
      <c r="CL220" s="71"/>
      <c r="CM220" s="71"/>
      <c r="CN220" s="71"/>
      <c r="CO220" s="71"/>
      <c r="CP220" s="71"/>
      <c r="CQ220" s="71"/>
      <c r="CR220" s="71"/>
      <c r="CS220" s="71"/>
      <c r="CT220" s="71"/>
      <c r="CU220" s="71"/>
      <c r="CV220" s="71"/>
      <c r="CW220" s="71"/>
      <c r="CX220" s="71"/>
      <c r="CY220" s="71"/>
      <c r="CZ220" s="71"/>
      <c r="DA220" s="71"/>
      <c r="DB220" s="71"/>
      <c r="DC220" s="71"/>
      <c r="DD220" s="71"/>
      <c r="DE220" s="71"/>
      <c r="DF220" s="71"/>
      <c r="DG220" s="71"/>
      <c r="DH220" s="71"/>
      <c r="DI220" s="71"/>
      <c r="DJ220" s="71"/>
      <c r="DK220" s="71"/>
      <c r="DL220" s="71"/>
    </row>
    <row r="221" ht="20.25" customHeight="1">
      <c r="A221" s="44">
        <v>221.0</v>
      </c>
      <c r="B221" s="538" t="s">
        <v>152</v>
      </c>
      <c r="C221" s="538" t="s">
        <v>115</v>
      </c>
      <c r="D221" s="538" t="s">
        <v>286</v>
      </c>
      <c r="E221" s="539"/>
      <c r="F221" s="545" t="s">
        <v>1258</v>
      </c>
      <c r="G221" s="151" t="s">
        <v>1330</v>
      </c>
      <c r="H221" s="151" t="s">
        <v>289</v>
      </c>
      <c r="I221" s="152"/>
      <c r="J221" s="153">
        <v>45782.0</v>
      </c>
      <c r="K221" s="129" t="s">
        <v>1281</v>
      </c>
      <c r="L221" s="548" t="s">
        <v>1331</v>
      </c>
      <c r="M221" s="155" t="s">
        <v>1332</v>
      </c>
      <c r="N221" s="155" t="s">
        <v>1262</v>
      </c>
      <c r="O221" s="378">
        <v>1.0</v>
      </c>
      <c r="P221" s="118" t="str">
        <f> hyperlink(vlookup(lower(N221),'File Links'!A:B, 2, FALSE), SUBSTITUTE(lower(N221), "/", "--") &amp;  ".pdf")</f>
        <v>10.1016--j.psychres.2017.09.048.pdf</v>
      </c>
      <c r="Q221" s="52" t="str">
        <f t="array" ref="Q221"> if(iserror(MATCH(V221, 'File Links'!C:C, 0)), "N/A", HYPERLINK(INDEX('File Links'!B:B, MATCH(P221, 'File Links'!C:C, 0))))</f>
        <v>https://drive.google.com/file/d/1bB5zAUL5oQPM2ClvdBCDeAd5AlkWVp4P/view?usp=drivesdk</v>
      </c>
      <c r="R221" s="129" t="s">
        <v>1263</v>
      </c>
      <c r="S221" s="61" t="s">
        <v>1264</v>
      </c>
      <c r="T221" s="68"/>
      <c r="U221" s="378">
        <v>1.0</v>
      </c>
      <c r="V221" s="66" t="str">
        <f> hyperlink(vlookup(lower(S221),'File Links'!E:F, 2, FALSE), SUBSTITUTE(lower(S221), "/", "--") &amp;  ".pdf")</f>
        <v>10.1002--erv.3103.pdf</v>
      </c>
      <c r="W221" s="129" t="s">
        <v>1265</v>
      </c>
      <c r="X221" s="54" t="str">
        <f t="array" ref="X221"> if(iserror(MATCH(V221, 'File Links'!C:C, 0)), "N/A", HYPERLINK(INDEX('File Links'!B:B, MATCH(V221, 'File Links'!C:C, 0))))</f>
        <v>https://drive.google.com/file/d/1bJ0BC-Xy_bNt41DXHAjv1ms0mnz9Vq86/view?usp=drivesdk</v>
      </c>
      <c r="Z221" s="151" t="s">
        <v>148</v>
      </c>
      <c r="AA221" s="129" t="s">
        <v>1333</v>
      </c>
      <c r="AB221" s="129" t="s">
        <v>1267</v>
      </c>
      <c r="AC221" s="371" t="s">
        <v>1319</v>
      </c>
      <c r="AD221" s="558" t="s">
        <v>1334</v>
      </c>
      <c r="AE221" s="552" t="s">
        <v>813</v>
      </c>
      <c r="AF221" s="161">
        <v>89.0</v>
      </c>
      <c r="AG221" s="371" t="s">
        <v>1321</v>
      </c>
      <c r="AH221" s="151" t="s">
        <v>134</v>
      </c>
      <c r="AI221" s="371" t="s">
        <v>813</v>
      </c>
      <c r="AJ221" s="555" t="s">
        <v>138</v>
      </c>
      <c r="AK221" s="555" t="s">
        <v>138</v>
      </c>
      <c r="AL221" s="555" t="s">
        <v>138</v>
      </c>
      <c r="AM221" s="555" t="s">
        <v>138</v>
      </c>
      <c r="AN221" s="219" t="s">
        <v>138</v>
      </c>
      <c r="AO221" s="161">
        <v>74.0</v>
      </c>
      <c r="AP221" s="371" t="s">
        <v>1335</v>
      </c>
      <c r="AQ221" s="151" t="s">
        <v>134</v>
      </c>
      <c r="AR221" s="371" t="s">
        <v>850</v>
      </c>
      <c r="AS221" s="544" t="s">
        <v>138</v>
      </c>
      <c r="AT221" s="544" t="s">
        <v>138</v>
      </c>
      <c r="AU221" s="544" t="s">
        <v>138</v>
      </c>
      <c r="AV221" s="544" t="s">
        <v>138</v>
      </c>
      <c r="AW221" s="542" t="s">
        <v>138</v>
      </c>
      <c r="AX221" s="129" t="s">
        <v>438</v>
      </c>
      <c r="AY221" s="61" t="str">
        <f>IFERROR(__xludf.DUMMYFUNCTION("vlookup(BB221,importrange(""https://docs.google.com/spreadsheets/d/1d2vevQ_7D_v35q4wCQ4RpQ_IPoTwEMB9Yp6ymwlPqew/edit?gid=984458430#gid=984458430"", ""'replication success'!A:K""), 11, FAlSE)"),"successful")</f>
        <v>successful</v>
      </c>
      <c r="AZ221" s="61" t="str">
        <f>IFERROR(__xludf.DUMMYFUNCTION("vlookup(BB221,importrange(""https://docs.google.com/spreadsheets/d/1d2vevQ_7D_v35q4wCQ4RpQ_IPoTwEMB9Yp6ymwlPqew/edit?gid=984458430#gid=984458430"",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1" s="61" t="str">
        <f>IFERROR(__xludf.DUMMYFUNCTION("vlookup(BB221,importrange(""https://docs.google.com/spreadsheets/d/1d2vevQ_7D_v35q4wCQ4RpQ_IPoTwEMB9Yp6ymwlPqew/edit?gid=984458430#gid=984458430"", ""'replication success'!A:M""), 13, FAlSE)"),"abstract")</f>
        <v>abstract</v>
      </c>
      <c r="BB221" s="61" t="str">
        <f>IFERROR(__xludf.DUMMYFUNCTION("REGEXREPLACE(G221, ""_[a-z]{1,2}$"", """")"),"additional_studies36")</f>
        <v>additional_studies36</v>
      </c>
      <c r="BC221" s="550"/>
      <c r="BD221" s="381" t="s">
        <v>1270</v>
      </c>
      <c r="BG221" s="71"/>
      <c r="BH221" s="71"/>
      <c r="BI221" s="71"/>
      <c r="BJ221" s="71"/>
      <c r="BK221" s="71"/>
      <c r="BL221" s="71"/>
      <c r="BM221" s="71"/>
      <c r="BN221" s="71"/>
      <c r="BO221" s="71"/>
      <c r="BP221" s="71"/>
      <c r="BQ221" s="71"/>
      <c r="BR221" s="71"/>
      <c r="BS221" s="71"/>
      <c r="BT221" s="71"/>
      <c r="BU221" s="71"/>
      <c r="BV221" s="71"/>
      <c r="BW221" s="71"/>
      <c r="BX221" s="71"/>
      <c r="BY221" s="71"/>
      <c r="BZ221" s="71"/>
      <c r="CA221" s="71"/>
      <c r="CB221" s="71"/>
      <c r="CC221" s="71"/>
      <c r="CD221" s="71"/>
      <c r="CE221" s="71"/>
      <c r="CF221" s="71"/>
      <c r="CG221" s="71"/>
      <c r="CH221" s="71"/>
      <c r="CI221" s="71"/>
      <c r="CJ221" s="71"/>
      <c r="CK221" s="71"/>
      <c r="CL221" s="71"/>
      <c r="CM221" s="71"/>
      <c r="CN221" s="71"/>
      <c r="CO221" s="71"/>
      <c r="CP221" s="71"/>
      <c r="CQ221" s="71"/>
      <c r="CR221" s="71"/>
      <c r="CS221" s="71"/>
      <c r="CT221" s="71"/>
      <c r="CU221" s="71"/>
      <c r="CV221" s="71"/>
      <c r="CW221" s="71"/>
      <c r="CX221" s="71"/>
      <c r="CY221" s="71"/>
      <c r="CZ221" s="71"/>
      <c r="DA221" s="71"/>
      <c r="DB221" s="71"/>
      <c r="DC221" s="71"/>
      <c r="DD221" s="71"/>
      <c r="DE221" s="71"/>
      <c r="DF221" s="71"/>
      <c r="DG221" s="71"/>
      <c r="DH221" s="71"/>
      <c r="DI221" s="71"/>
      <c r="DJ221" s="71"/>
      <c r="DK221" s="71"/>
      <c r="DL221" s="71"/>
    </row>
    <row r="222" ht="20.25" customHeight="1">
      <c r="A222" s="44">
        <v>222.0</v>
      </c>
      <c r="B222" s="538" t="s">
        <v>152</v>
      </c>
      <c r="C222" s="538" t="s">
        <v>115</v>
      </c>
      <c r="D222" s="538" t="s">
        <v>286</v>
      </c>
      <c r="E222" s="539"/>
      <c r="F222" s="545" t="s">
        <v>1258</v>
      </c>
      <c r="G222" s="151" t="s">
        <v>1336</v>
      </c>
      <c r="H222" s="151" t="s">
        <v>289</v>
      </c>
      <c r="I222" s="152"/>
      <c r="J222" s="153">
        <v>45782.0</v>
      </c>
      <c r="K222" s="129" t="s">
        <v>1281</v>
      </c>
      <c r="L222" s="129" t="s">
        <v>1337</v>
      </c>
      <c r="M222" s="155" t="s">
        <v>1338</v>
      </c>
      <c r="N222" s="155" t="s">
        <v>1262</v>
      </c>
      <c r="O222" s="378">
        <v>1.0</v>
      </c>
      <c r="P222" s="118" t="str">
        <f> hyperlink(vlookup(lower(N222),'File Links'!A:B, 2, FALSE), SUBSTITUTE(lower(N222), "/", "--") &amp;  ".pdf")</f>
        <v>10.1016--j.psychres.2017.09.048.pdf</v>
      </c>
      <c r="Q222" s="52" t="str">
        <f t="array" ref="Q222"> if(iserror(MATCH(V222, 'File Links'!C:C, 0)), "N/A", HYPERLINK(INDEX('File Links'!B:B, MATCH(P222, 'File Links'!C:C, 0))))</f>
        <v>https://drive.google.com/file/d/1bB5zAUL5oQPM2ClvdBCDeAd5AlkWVp4P/view?usp=drivesdk</v>
      </c>
      <c r="R222" s="129" t="s">
        <v>1263</v>
      </c>
      <c r="S222" s="61" t="s">
        <v>1264</v>
      </c>
      <c r="T222" s="68"/>
      <c r="U222" s="378">
        <v>1.0</v>
      </c>
      <c r="V222" s="66" t="str">
        <f> hyperlink(vlookup(lower(S222),'File Links'!E:F, 2, FALSE), SUBSTITUTE(lower(S222), "/", "--") &amp;  ".pdf")</f>
        <v>10.1002--erv.3103.pdf</v>
      </c>
      <c r="W222" s="129" t="s">
        <v>1265</v>
      </c>
      <c r="X222" s="54" t="str">
        <f t="array" ref="X222"> if(iserror(MATCH(V222, 'File Links'!C:C, 0)), "N/A", HYPERLINK(INDEX('File Links'!B:B, MATCH(V222, 'File Links'!C:C, 0))))</f>
        <v>https://drive.google.com/file/d/1bJ0BC-Xy_bNt41DXHAjv1ms0mnz9Vq86/view?usp=drivesdk</v>
      </c>
      <c r="Z222" s="151" t="s">
        <v>148</v>
      </c>
      <c r="AA222" s="129" t="s">
        <v>1339</v>
      </c>
      <c r="AB222" s="129" t="s">
        <v>1267</v>
      </c>
      <c r="AC222" s="371" t="s">
        <v>1340</v>
      </c>
      <c r="AD222" s="559" t="s">
        <v>1341</v>
      </c>
      <c r="AE222" s="552" t="s">
        <v>813</v>
      </c>
      <c r="AF222" s="161">
        <v>89.0</v>
      </c>
      <c r="AG222" s="161">
        <v>0.917</v>
      </c>
      <c r="AH222" s="380" t="s">
        <v>874</v>
      </c>
      <c r="AI222" s="129" t="s">
        <v>813</v>
      </c>
      <c r="AJ222" s="166">
        <v>0.001</v>
      </c>
      <c r="AK222" s="151" t="s">
        <v>135</v>
      </c>
      <c r="AL222" s="151" t="s">
        <v>136</v>
      </c>
      <c r="AM222" s="129" t="s">
        <v>141</v>
      </c>
      <c r="AN222" s="219" t="s">
        <v>138</v>
      </c>
      <c r="AO222" s="161">
        <v>74.0</v>
      </c>
      <c r="AP222" s="161">
        <v>0.849</v>
      </c>
      <c r="AQ222" s="380" t="s">
        <v>874</v>
      </c>
      <c r="AR222" s="371" t="s">
        <v>850</v>
      </c>
      <c r="AS222" s="166">
        <v>0.001</v>
      </c>
      <c r="AT222" s="151" t="s">
        <v>135</v>
      </c>
      <c r="AU222" s="151" t="s">
        <v>186</v>
      </c>
      <c r="AV222" s="129" t="s">
        <v>141</v>
      </c>
      <c r="AW222" s="542" t="s">
        <v>138</v>
      </c>
      <c r="AX222" s="129" t="s">
        <v>438</v>
      </c>
      <c r="AY222" s="61" t="str">
        <f>IFERROR(__xludf.DUMMYFUNCTION("vlookup(BB222,importrange(""https://docs.google.com/spreadsheets/d/1d2vevQ_7D_v35q4wCQ4RpQ_IPoTwEMB9Yp6ymwlPqew/edit?gid=984458430#gid=984458430"", ""'replication success'!A:K""), 11, FAlSE)"),"successful")</f>
        <v>successful</v>
      </c>
      <c r="AZ222" s="61" t="str">
        <f>IFERROR(__xludf.DUMMYFUNCTION("vlookup(BB222,importrange(""https://docs.google.com/spreadsheets/d/1d2vevQ_7D_v35q4wCQ4RpQ_IPoTwEMB9Yp6ymwlPqew/edit?gid=984458430#gid=984458430"",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2" s="61" t="str">
        <f>IFERROR(__xludf.DUMMYFUNCTION("vlookup(BB222,importrange(""https://docs.google.com/spreadsheets/d/1d2vevQ_7D_v35q4wCQ4RpQ_IPoTwEMB9Yp6ymwlPqew/edit?gid=984458430#gid=984458430"", ""'replication success'!A:M""), 13, FAlSE)"),"abstract")</f>
        <v>abstract</v>
      </c>
      <c r="BB222" s="61" t="str">
        <f>IFERROR(__xludf.DUMMYFUNCTION("REGEXREPLACE(G222, ""_[a-z]{1,2}$"", """")"),"additional_studies36")</f>
        <v>additional_studies36</v>
      </c>
      <c r="BD222" s="381" t="s">
        <v>1270</v>
      </c>
      <c r="BG222" s="71"/>
      <c r="BH222" s="71"/>
      <c r="BI222" s="71"/>
      <c r="BJ222" s="71"/>
      <c r="BK222" s="71"/>
      <c r="BL222" s="71"/>
      <c r="BM222" s="71"/>
      <c r="BN222" s="71"/>
      <c r="BO222" s="71"/>
      <c r="BP222" s="71"/>
      <c r="BQ222" s="71"/>
      <c r="BR222" s="71"/>
      <c r="BS222" s="71"/>
      <c r="BT222" s="71"/>
      <c r="BU222" s="71"/>
      <c r="BV222" s="71"/>
      <c r="BW222" s="71"/>
      <c r="BX222" s="71"/>
      <c r="BY222" s="71"/>
      <c r="BZ222" s="71"/>
      <c r="CA222" s="71"/>
      <c r="CB222" s="71"/>
      <c r="CC222" s="71"/>
      <c r="CD222" s="71"/>
      <c r="CE222" s="71"/>
      <c r="CF222" s="71"/>
      <c r="CG222" s="71"/>
      <c r="CH222" s="71"/>
      <c r="CI222" s="71"/>
      <c r="CJ222" s="71"/>
      <c r="CK222" s="71"/>
      <c r="CL222" s="71"/>
      <c r="CM222" s="71"/>
      <c r="CN222" s="71"/>
      <c r="CO222" s="71"/>
      <c r="CP222" s="71"/>
      <c r="CQ222" s="71"/>
      <c r="CR222" s="71"/>
      <c r="CS222" s="71"/>
      <c r="CT222" s="71"/>
      <c r="CU222" s="71"/>
      <c r="CV222" s="71"/>
      <c r="CW222" s="71"/>
      <c r="CX222" s="71"/>
      <c r="CY222" s="71"/>
      <c r="CZ222" s="71"/>
      <c r="DA222" s="71"/>
      <c r="DB222" s="71"/>
      <c r="DC222" s="71"/>
      <c r="DD222" s="71"/>
      <c r="DE222" s="71"/>
      <c r="DF222" s="71"/>
      <c r="DG222" s="71"/>
      <c r="DH222" s="71"/>
      <c r="DI222" s="71"/>
      <c r="DJ222" s="71"/>
      <c r="DK222" s="71"/>
      <c r="DL222" s="71"/>
    </row>
    <row r="223" ht="20.25" customHeight="1">
      <c r="A223" s="44">
        <v>223.0</v>
      </c>
      <c r="B223" s="538" t="s">
        <v>152</v>
      </c>
      <c r="C223" s="538" t="s">
        <v>115</v>
      </c>
      <c r="D223" s="538" t="s">
        <v>286</v>
      </c>
      <c r="E223" s="539"/>
      <c r="F223" s="545" t="s">
        <v>1258</v>
      </c>
      <c r="G223" s="151" t="s">
        <v>1342</v>
      </c>
      <c r="H223" s="151" t="s">
        <v>289</v>
      </c>
      <c r="I223" s="152"/>
      <c r="J223" s="153">
        <v>45782.0</v>
      </c>
      <c r="K223" s="129" t="s">
        <v>1281</v>
      </c>
      <c r="L223" s="129" t="s">
        <v>1343</v>
      </c>
      <c r="M223" s="155" t="s">
        <v>1344</v>
      </c>
      <c r="N223" s="155" t="s">
        <v>1262</v>
      </c>
      <c r="O223" s="378">
        <v>1.0</v>
      </c>
      <c r="P223" s="118" t="str">
        <f> hyperlink(vlookup(lower(N223),'File Links'!A:B, 2, FALSE), SUBSTITUTE(lower(N223), "/", "--") &amp;  ".pdf")</f>
        <v>10.1016--j.psychres.2017.09.048.pdf</v>
      </c>
      <c r="Q223" s="52" t="str">
        <f t="array" ref="Q223"> if(iserror(MATCH(V223, 'File Links'!C:C, 0)), "N/A", HYPERLINK(INDEX('File Links'!B:B, MATCH(P223, 'File Links'!C:C, 0))))</f>
        <v>https://drive.google.com/file/d/1bB5zAUL5oQPM2ClvdBCDeAd5AlkWVp4P/view?usp=drivesdk</v>
      </c>
      <c r="R223" s="129" t="s">
        <v>1263</v>
      </c>
      <c r="S223" s="61" t="s">
        <v>1264</v>
      </c>
      <c r="T223" s="68"/>
      <c r="U223" s="378">
        <v>1.0</v>
      </c>
      <c r="V223" s="66" t="str">
        <f> hyperlink(vlookup(lower(S223),'File Links'!E:F, 2, FALSE), SUBSTITUTE(lower(S223), "/", "--") &amp;  ".pdf")</f>
        <v>10.1002--erv.3103.pdf</v>
      </c>
      <c r="W223" s="129" t="s">
        <v>1265</v>
      </c>
      <c r="X223" s="54" t="str">
        <f t="array" ref="X223"> if(iserror(MATCH(V223, 'File Links'!C:C, 0)), "N/A", HYPERLINK(INDEX('File Links'!B:B, MATCH(V223, 'File Links'!C:C, 0))))</f>
        <v>https://drive.google.com/file/d/1bJ0BC-Xy_bNt41DXHAjv1ms0mnz9Vq86/view?usp=drivesdk</v>
      </c>
      <c r="Z223" s="151" t="s">
        <v>148</v>
      </c>
      <c r="AA223" s="129" t="s">
        <v>1345</v>
      </c>
      <c r="AB223" s="129" t="s">
        <v>1267</v>
      </c>
      <c r="AC223" s="371" t="s">
        <v>1340</v>
      </c>
      <c r="AD223" s="558" t="s">
        <v>1346</v>
      </c>
      <c r="AE223" s="552" t="s">
        <v>813</v>
      </c>
      <c r="AF223" s="161">
        <v>89.0</v>
      </c>
      <c r="AG223" s="161">
        <v>0.519</v>
      </c>
      <c r="AH223" s="380" t="s">
        <v>874</v>
      </c>
      <c r="AI223" s="129" t="s">
        <v>813</v>
      </c>
      <c r="AJ223" s="166">
        <v>0.001</v>
      </c>
      <c r="AK223" s="151" t="s">
        <v>135</v>
      </c>
      <c r="AL223" s="151" t="s">
        <v>136</v>
      </c>
      <c r="AM223" s="129" t="s">
        <v>141</v>
      </c>
      <c r="AN223" s="219" t="s">
        <v>138</v>
      </c>
      <c r="AO223" s="161">
        <v>74.0</v>
      </c>
      <c r="AP223" s="161">
        <v>0.647</v>
      </c>
      <c r="AQ223" s="380" t="s">
        <v>874</v>
      </c>
      <c r="AR223" s="371" t="s">
        <v>850</v>
      </c>
      <c r="AS223" s="166">
        <v>0.001</v>
      </c>
      <c r="AT223" s="151" t="s">
        <v>135</v>
      </c>
      <c r="AU223" s="151" t="s">
        <v>186</v>
      </c>
      <c r="AV223" s="129" t="s">
        <v>141</v>
      </c>
      <c r="AW223" s="542" t="s">
        <v>138</v>
      </c>
      <c r="AX223" s="129" t="s">
        <v>438</v>
      </c>
      <c r="AY223" s="61" t="str">
        <f>IFERROR(__xludf.DUMMYFUNCTION("vlookup(BB223,importrange(""https://docs.google.com/spreadsheets/d/1d2vevQ_7D_v35q4wCQ4RpQ_IPoTwEMB9Yp6ymwlPqew/edit?gid=984458430#gid=984458430"", ""'replication success'!A:K""), 11, FAlSE)"),"successful")</f>
        <v>successful</v>
      </c>
      <c r="AZ223" s="61" t="str">
        <f>IFERROR(__xludf.DUMMYFUNCTION("vlookup(BB223,importrange(""https://docs.google.com/spreadsheets/d/1d2vevQ_7D_v35q4wCQ4RpQ_IPoTwEMB9Yp6ymwlPqew/edit?gid=984458430#gid=984458430"",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3" s="61" t="str">
        <f>IFERROR(__xludf.DUMMYFUNCTION("vlookup(BB223,importrange(""https://docs.google.com/spreadsheets/d/1d2vevQ_7D_v35q4wCQ4RpQ_IPoTwEMB9Yp6ymwlPqew/edit?gid=984458430#gid=984458430"", ""'replication success'!A:M""), 13, FAlSE)"),"abstract")</f>
        <v>abstract</v>
      </c>
      <c r="BB223" s="61" t="str">
        <f>IFERROR(__xludf.DUMMYFUNCTION("REGEXREPLACE(G223, ""_[a-z]{1,2}$"", """")"),"additional_studies36")</f>
        <v>additional_studies36</v>
      </c>
      <c r="BC223" s="550"/>
      <c r="BD223" s="381" t="s">
        <v>1270</v>
      </c>
      <c r="BG223" s="71"/>
      <c r="BH223" s="71"/>
      <c r="BI223" s="71"/>
      <c r="BJ223" s="71"/>
      <c r="BK223" s="71"/>
      <c r="BL223" s="71"/>
      <c r="BM223" s="71"/>
      <c r="BN223" s="71"/>
      <c r="BO223" s="71"/>
      <c r="BP223" s="71"/>
      <c r="BQ223" s="71"/>
      <c r="BR223" s="71"/>
      <c r="BS223" s="71"/>
      <c r="BT223" s="71"/>
      <c r="BU223" s="71"/>
      <c r="BV223" s="71"/>
      <c r="BW223" s="71"/>
      <c r="BX223" s="71"/>
      <c r="BY223" s="71"/>
      <c r="BZ223" s="71"/>
      <c r="CA223" s="71"/>
      <c r="CB223" s="71"/>
      <c r="CC223" s="71"/>
      <c r="CD223" s="71"/>
      <c r="CE223" s="71"/>
      <c r="CF223" s="71"/>
      <c r="CG223" s="71"/>
      <c r="CH223" s="71"/>
      <c r="CI223" s="71"/>
      <c r="CJ223" s="71"/>
      <c r="CK223" s="71"/>
      <c r="CL223" s="71"/>
      <c r="CM223" s="71"/>
      <c r="CN223" s="71"/>
      <c r="CO223" s="71"/>
      <c r="CP223" s="71"/>
      <c r="CQ223" s="71"/>
      <c r="CR223" s="71"/>
      <c r="CS223" s="71"/>
      <c r="CT223" s="71"/>
      <c r="CU223" s="71"/>
      <c r="CV223" s="71"/>
      <c r="CW223" s="71"/>
      <c r="CX223" s="71"/>
      <c r="CY223" s="71"/>
      <c r="CZ223" s="71"/>
      <c r="DA223" s="71"/>
      <c r="DB223" s="71"/>
      <c r="DC223" s="71"/>
      <c r="DD223" s="71"/>
      <c r="DE223" s="71"/>
      <c r="DF223" s="71"/>
      <c r="DG223" s="71"/>
      <c r="DH223" s="71"/>
      <c r="DI223" s="71"/>
      <c r="DJ223" s="71"/>
      <c r="DK223" s="71"/>
      <c r="DL223" s="71"/>
    </row>
    <row r="224" ht="20.25" customHeight="1">
      <c r="A224" s="44">
        <v>224.0</v>
      </c>
      <c r="B224" s="538" t="s">
        <v>152</v>
      </c>
      <c r="C224" s="538" t="s">
        <v>115</v>
      </c>
      <c r="D224" s="538" t="s">
        <v>286</v>
      </c>
      <c r="E224" s="539"/>
      <c r="F224" s="545" t="s">
        <v>1258</v>
      </c>
      <c r="G224" s="151" t="s">
        <v>1347</v>
      </c>
      <c r="H224" s="151" t="s">
        <v>289</v>
      </c>
      <c r="I224" s="152"/>
      <c r="J224" s="153">
        <v>45782.0</v>
      </c>
      <c r="K224" s="129" t="s">
        <v>1281</v>
      </c>
      <c r="L224" s="129" t="s">
        <v>1343</v>
      </c>
      <c r="M224" s="155" t="s">
        <v>1348</v>
      </c>
      <c r="N224" s="155" t="s">
        <v>1262</v>
      </c>
      <c r="O224" s="378">
        <v>1.0</v>
      </c>
      <c r="P224" s="118" t="str">
        <f> hyperlink(vlookup(lower(N224),'File Links'!A:B, 2, FALSE), SUBSTITUTE(lower(N224), "/", "--") &amp;  ".pdf")</f>
        <v>10.1016--j.psychres.2017.09.048.pdf</v>
      </c>
      <c r="Q224" s="52" t="str">
        <f t="array" ref="Q224"> if(iserror(MATCH(V224, 'File Links'!C:C, 0)), "N/A", HYPERLINK(INDEX('File Links'!B:B, MATCH(P224, 'File Links'!C:C, 0))))</f>
        <v>https://drive.google.com/file/d/1bB5zAUL5oQPM2ClvdBCDeAd5AlkWVp4P/view?usp=drivesdk</v>
      </c>
      <c r="R224" s="129" t="s">
        <v>1263</v>
      </c>
      <c r="S224" s="61" t="s">
        <v>1264</v>
      </c>
      <c r="T224" s="68"/>
      <c r="U224" s="378">
        <v>1.0</v>
      </c>
      <c r="V224" s="66" t="str">
        <f> hyperlink(vlookup(lower(S224),'File Links'!E:F, 2, FALSE), SUBSTITUTE(lower(S224), "/", "--") &amp;  ".pdf")</f>
        <v>10.1002--erv.3103.pdf</v>
      </c>
      <c r="W224" s="129" t="s">
        <v>1265</v>
      </c>
      <c r="X224" s="54" t="str">
        <f t="array" ref="X224"> if(iserror(MATCH(V224, 'File Links'!C:C, 0)), "N/A", HYPERLINK(INDEX('File Links'!B:B, MATCH(V224, 'File Links'!C:C, 0))))</f>
        <v>https://drive.google.com/file/d/1bJ0BC-Xy_bNt41DXHAjv1ms0mnz9Vq86/view?usp=drivesdk</v>
      </c>
      <c r="Z224" s="151" t="s">
        <v>148</v>
      </c>
      <c r="AA224" s="129" t="s">
        <v>1349</v>
      </c>
      <c r="AB224" s="129" t="s">
        <v>1267</v>
      </c>
      <c r="AC224" s="371" t="s">
        <v>1350</v>
      </c>
      <c r="AD224" s="558" t="s">
        <v>1351</v>
      </c>
      <c r="AE224" s="552" t="s">
        <v>813</v>
      </c>
      <c r="AF224" s="161">
        <v>89.0</v>
      </c>
      <c r="AG224" s="161">
        <v>0.536</v>
      </c>
      <c r="AH224" s="380" t="s">
        <v>874</v>
      </c>
      <c r="AI224" s="129" t="s">
        <v>813</v>
      </c>
      <c r="AJ224" s="166">
        <v>0.001</v>
      </c>
      <c r="AK224" s="151" t="s">
        <v>135</v>
      </c>
      <c r="AL224" s="151" t="s">
        <v>136</v>
      </c>
      <c r="AM224" s="129" t="s">
        <v>141</v>
      </c>
      <c r="AN224" s="219" t="s">
        <v>138</v>
      </c>
      <c r="AO224" s="161">
        <v>74.0</v>
      </c>
      <c r="AP224" s="161">
        <v>0.595</v>
      </c>
      <c r="AQ224" s="380" t="s">
        <v>874</v>
      </c>
      <c r="AR224" s="371" t="s">
        <v>850</v>
      </c>
      <c r="AS224" s="166">
        <v>0.001</v>
      </c>
      <c r="AT224" s="151" t="s">
        <v>135</v>
      </c>
      <c r="AU224" s="151" t="s">
        <v>186</v>
      </c>
      <c r="AV224" s="129" t="s">
        <v>141</v>
      </c>
      <c r="AW224" s="542" t="s">
        <v>138</v>
      </c>
      <c r="AX224" s="129" t="s">
        <v>438</v>
      </c>
      <c r="AY224" s="61" t="str">
        <f>IFERROR(__xludf.DUMMYFUNCTION("vlookup(BB224,importrange(""https://docs.google.com/spreadsheets/d/1d2vevQ_7D_v35q4wCQ4RpQ_IPoTwEMB9Yp6ymwlPqew/edit?gid=984458430#gid=984458430"", ""'replication success'!A:K""), 11, FAlSE)"),"successful")</f>
        <v>successful</v>
      </c>
      <c r="AZ224" s="61" t="str">
        <f>IFERROR(__xludf.DUMMYFUNCTION("vlookup(BB224,importrange(""https://docs.google.com/spreadsheets/d/1d2vevQ_7D_v35q4wCQ4RpQ_IPoTwEMB9Yp6ymwlPqew/edit?gid=984458430#gid=984458430"",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4" s="61" t="str">
        <f>IFERROR(__xludf.DUMMYFUNCTION("vlookup(BB224,importrange(""https://docs.google.com/spreadsheets/d/1d2vevQ_7D_v35q4wCQ4RpQ_IPoTwEMB9Yp6ymwlPqew/edit?gid=984458430#gid=984458430"", ""'replication success'!A:M""), 13, FAlSE)"),"abstract")</f>
        <v>abstract</v>
      </c>
      <c r="BB224" s="61" t="str">
        <f>IFERROR(__xludf.DUMMYFUNCTION("REGEXREPLACE(G224, ""_[a-z]{1,2}$"", """")"),"additional_studies36")</f>
        <v>additional_studies36</v>
      </c>
      <c r="BC224" s="550"/>
      <c r="BD224" s="381" t="s">
        <v>1270</v>
      </c>
      <c r="BG224" s="71"/>
      <c r="BH224" s="71"/>
      <c r="BI224" s="71"/>
      <c r="BJ224" s="71"/>
      <c r="BK224" s="71"/>
      <c r="BL224" s="71"/>
      <c r="BM224" s="71"/>
      <c r="BN224" s="71"/>
      <c r="BO224" s="71"/>
      <c r="BP224" s="71"/>
      <c r="BQ224" s="71"/>
      <c r="BR224" s="71"/>
      <c r="BS224" s="71"/>
      <c r="BT224" s="71"/>
      <c r="BU224" s="71"/>
      <c r="BV224" s="71"/>
      <c r="BW224" s="71"/>
      <c r="BX224" s="71"/>
      <c r="BY224" s="71"/>
      <c r="BZ224" s="71"/>
      <c r="CA224" s="71"/>
      <c r="CB224" s="71"/>
      <c r="CC224" s="71"/>
      <c r="CD224" s="71"/>
      <c r="CE224" s="71"/>
      <c r="CF224" s="71"/>
      <c r="CG224" s="71"/>
      <c r="CH224" s="71"/>
      <c r="CI224" s="71"/>
      <c r="CJ224" s="71"/>
      <c r="CK224" s="71"/>
      <c r="CL224" s="71"/>
      <c r="CM224" s="71"/>
      <c r="CN224" s="71"/>
      <c r="CO224" s="71"/>
      <c r="CP224" s="71"/>
      <c r="CQ224" s="71"/>
      <c r="CR224" s="71"/>
      <c r="CS224" s="71"/>
      <c r="CT224" s="71"/>
      <c r="CU224" s="71"/>
      <c r="CV224" s="71"/>
      <c r="CW224" s="71"/>
      <c r="CX224" s="71"/>
      <c r="CY224" s="71"/>
      <c r="CZ224" s="71"/>
      <c r="DA224" s="71"/>
      <c r="DB224" s="71"/>
      <c r="DC224" s="71"/>
      <c r="DD224" s="71"/>
      <c r="DE224" s="71"/>
      <c r="DF224" s="71"/>
      <c r="DG224" s="71"/>
      <c r="DH224" s="71"/>
      <c r="DI224" s="71"/>
      <c r="DJ224" s="71"/>
      <c r="DK224" s="71"/>
      <c r="DL224" s="71"/>
    </row>
    <row r="225" ht="20.25" customHeight="1">
      <c r="A225" s="44">
        <v>225.0</v>
      </c>
      <c r="B225" s="538" t="s">
        <v>152</v>
      </c>
      <c r="C225" s="538" t="s">
        <v>115</v>
      </c>
      <c r="D225" s="538" t="s">
        <v>286</v>
      </c>
      <c r="E225" s="539"/>
      <c r="F225" s="545" t="s">
        <v>1258</v>
      </c>
      <c r="G225" s="546" t="s">
        <v>1352</v>
      </c>
      <c r="H225" s="546" t="s">
        <v>289</v>
      </c>
      <c r="I225" s="547"/>
      <c r="J225" s="153">
        <v>45782.0</v>
      </c>
      <c r="K225" s="548" t="s">
        <v>1281</v>
      </c>
      <c r="L225" s="548" t="s">
        <v>1353</v>
      </c>
      <c r="M225" s="549" t="s">
        <v>1354</v>
      </c>
      <c r="N225" s="155" t="s">
        <v>1262</v>
      </c>
      <c r="O225" s="378">
        <v>1.0</v>
      </c>
      <c r="P225" s="118" t="str">
        <f> hyperlink(vlookup(lower(N225),'File Links'!A:B, 2, FALSE), SUBSTITUTE(lower(N225), "/", "--") &amp;  ".pdf")</f>
        <v>10.1016--j.psychres.2017.09.048.pdf</v>
      </c>
      <c r="Q225" s="52" t="str">
        <f t="array" ref="Q225"> if(iserror(MATCH(V225, 'File Links'!C:C, 0)), "N/A", HYPERLINK(INDEX('File Links'!B:B, MATCH(P225, 'File Links'!C:C, 0))))</f>
        <v>https://drive.google.com/file/d/1bB5zAUL5oQPM2ClvdBCDeAd5AlkWVp4P/view?usp=drivesdk</v>
      </c>
      <c r="R225" s="129" t="s">
        <v>1263</v>
      </c>
      <c r="S225" s="61" t="s">
        <v>1264</v>
      </c>
      <c r="T225" s="527"/>
      <c r="U225" s="378">
        <v>1.0</v>
      </c>
      <c r="V225" s="66" t="str">
        <f> hyperlink(vlookup(lower(S225),'File Links'!E:F, 2, FALSE), SUBSTITUTE(lower(S225), "/", "--") &amp;  ".pdf")</f>
        <v>10.1002--erv.3103.pdf</v>
      </c>
      <c r="W225" s="548" t="s">
        <v>1265</v>
      </c>
      <c r="X225" s="54" t="str">
        <f t="array" ref="X225"> if(iserror(MATCH(V225, 'File Links'!C:C, 0)), "N/A", HYPERLINK(INDEX('File Links'!B:B, MATCH(V225, 'File Links'!C:C, 0))))</f>
        <v>https://drive.google.com/file/d/1bJ0BC-Xy_bNt41DXHAjv1ms0mnz9Vq86/view?usp=drivesdk</v>
      </c>
      <c r="Y225" s="550"/>
      <c r="Z225" s="546" t="s">
        <v>148</v>
      </c>
      <c r="AA225" s="548" t="s">
        <v>1355</v>
      </c>
      <c r="AB225" s="548" t="s">
        <v>1267</v>
      </c>
      <c r="AC225" s="556" t="s">
        <v>1340</v>
      </c>
      <c r="AD225" s="551" t="s">
        <v>1356</v>
      </c>
      <c r="AE225" s="552" t="s">
        <v>813</v>
      </c>
      <c r="AF225" s="552">
        <v>89.0</v>
      </c>
      <c r="AG225" s="553" t="s">
        <v>1357</v>
      </c>
      <c r="AH225" s="380" t="s">
        <v>134</v>
      </c>
      <c r="AI225" s="371" t="s">
        <v>813</v>
      </c>
      <c r="AJ225" s="557">
        <v>0.05</v>
      </c>
      <c r="AK225" s="546" t="s">
        <v>335</v>
      </c>
      <c r="AL225" s="546" t="s">
        <v>136</v>
      </c>
      <c r="AM225" s="548" t="s">
        <v>141</v>
      </c>
      <c r="AN225" s="219" t="s">
        <v>138</v>
      </c>
      <c r="AO225" s="552">
        <v>74.0</v>
      </c>
      <c r="AP225" s="556" t="s">
        <v>1335</v>
      </c>
      <c r="AQ225" s="151" t="s">
        <v>134</v>
      </c>
      <c r="AR225" s="371" t="s">
        <v>850</v>
      </c>
      <c r="AS225" s="544" t="s">
        <v>138</v>
      </c>
      <c r="AT225" s="544" t="s">
        <v>138</v>
      </c>
      <c r="AU225" s="544" t="s">
        <v>138</v>
      </c>
      <c r="AV225" s="544" t="s">
        <v>138</v>
      </c>
      <c r="AW225" s="542" t="s">
        <v>138</v>
      </c>
      <c r="AX225" s="548" t="s">
        <v>438</v>
      </c>
      <c r="AY225" s="61" t="str">
        <f>IFERROR(__xludf.DUMMYFUNCTION("vlookup(BB225,importrange(""https://docs.google.com/spreadsheets/d/1d2vevQ_7D_v35q4wCQ4RpQ_IPoTwEMB9Yp6ymwlPqew/edit?gid=984458430#gid=984458430"", ""'replication success'!A:K""), 11, FAlSE)"),"successful")</f>
        <v>successful</v>
      </c>
      <c r="AZ225" s="61" t="str">
        <f>IFERROR(__xludf.DUMMYFUNCTION("vlookup(BB225,importrange(""https://docs.google.com/spreadsheets/d/1d2vevQ_7D_v35q4wCQ4RpQ_IPoTwEMB9Yp6ymwlPqew/edit?gid=984458430#gid=984458430"",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5" s="61" t="str">
        <f>IFERROR(__xludf.DUMMYFUNCTION("vlookup(BB225,importrange(""https://docs.google.com/spreadsheets/d/1d2vevQ_7D_v35q4wCQ4RpQ_IPoTwEMB9Yp6ymwlPqew/edit?gid=984458430#gid=984458430"", ""'replication success'!A:M""), 13, FAlSE)"),"abstract")</f>
        <v>abstract</v>
      </c>
      <c r="BB225" s="61" t="str">
        <f>IFERROR(__xludf.DUMMYFUNCTION("REGEXREPLACE(G225, ""_[a-z]{1,2}$"", """")"),"additional_studies36")</f>
        <v>additional_studies36</v>
      </c>
      <c r="BC225" s="550"/>
      <c r="BD225" s="381" t="s">
        <v>1270</v>
      </c>
      <c r="BG225" s="71"/>
      <c r="BH225" s="71"/>
      <c r="BI225" s="71"/>
      <c r="BJ225" s="71"/>
      <c r="BK225" s="71"/>
      <c r="BL225" s="71"/>
      <c r="BM225" s="71"/>
      <c r="BN225" s="71"/>
      <c r="BO225" s="71"/>
      <c r="BP225" s="71"/>
      <c r="BQ225" s="71"/>
      <c r="BR225" s="71"/>
      <c r="BS225" s="71"/>
      <c r="BT225" s="71"/>
      <c r="BU225" s="71"/>
      <c r="BV225" s="71"/>
      <c r="BW225" s="71"/>
      <c r="BX225" s="71"/>
      <c r="BY225" s="71"/>
      <c r="BZ225" s="71"/>
      <c r="CA225" s="71"/>
      <c r="CB225" s="71"/>
      <c r="CC225" s="71"/>
      <c r="CD225" s="71"/>
      <c r="CE225" s="71"/>
      <c r="CF225" s="71"/>
      <c r="CG225" s="71"/>
      <c r="CH225" s="71"/>
      <c r="CI225" s="71"/>
      <c r="CJ225" s="71"/>
      <c r="CK225" s="71"/>
      <c r="CL225" s="71"/>
      <c r="CM225" s="71"/>
      <c r="CN225" s="71"/>
      <c r="CO225" s="71"/>
      <c r="CP225" s="71"/>
      <c r="CQ225" s="71"/>
      <c r="CR225" s="71"/>
      <c r="CS225" s="71"/>
      <c r="CT225" s="71"/>
      <c r="CU225" s="71"/>
      <c r="CV225" s="71"/>
      <c r="CW225" s="71"/>
      <c r="CX225" s="71"/>
      <c r="CY225" s="71"/>
      <c r="CZ225" s="71"/>
      <c r="DA225" s="71"/>
      <c r="DB225" s="71"/>
      <c r="DC225" s="71"/>
      <c r="DD225" s="71"/>
      <c r="DE225" s="71"/>
      <c r="DF225" s="71"/>
      <c r="DG225" s="71"/>
      <c r="DH225" s="71"/>
      <c r="DI225" s="71"/>
      <c r="DJ225" s="71"/>
      <c r="DK225" s="71"/>
      <c r="DL225" s="71"/>
    </row>
    <row r="226" ht="20.25" customHeight="1">
      <c r="A226" s="44">
        <v>226.0</v>
      </c>
      <c r="B226" s="538" t="s">
        <v>152</v>
      </c>
      <c r="C226" s="538" t="s">
        <v>115</v>
      </c>
      <c r="D226" s="538" t="s">
        <v>286</v>
      </c>
      <c r="E226" s="539"/>
      <c r="F226" s="545" t="s">
        <v>1258</v>
      </c>
      <c r="G226" s="151" t="s">
        <v>1358</v>
      </c>
      <c r="H226" s="151" t="s">
        <v>289</v>
      </c>
      <c r="I226" s="152"/>
      <c r="J226" s="153">
        <v>45782.0</v>
      </c>
      <c r="K226" s="129" t="s">
        <v>1281</v>
      </c>
      <c r="L226" s="548" t="s">
        <v>1359</v>
      </c>
      <c r="M226" s="155" t="s">
        <v>1360</v>
      </c>
      <c r="N226" s="155" t="s">
        <v>1262</v>
      </c>
      <c r="O226" s="378">
        <v>1.0</v>
      </c>
      <c r="P226" s="118" t="str">
        <f> hyperlink(vlookup(lower(N226),'File Links'!A:B, 2, FALSE), SUBSTITUTE(lower(N226), "/", "--") &amp;  ".pdf")</f>
        <v>10.1016--j.psychres.2017.09.048.pdf</v>
      </c>
      <c r="Q226" s="52" t="str">
        <f t="array" ref="Q226"> if(iserror(MATCH(V226, 'File Links'!C:C, 0)), "N/A", HYPERLINK(INDEX('File Links'!B:B, MATCH(P226, 'File Links'!C:C, 0))))</f>
        <v>https://drive.google.com/file/d/1bB5zAUL5oQPM2ClvdBCDeAd5AlkWVp4P/view?usp=drivesdk</v>
      </c>
      <c r="R226" s="129" t="s">
        <v>1263</v>
      </c>
      <c r="S226" s="61" t="s">
        <v>1264</v>
      </c>
      <c r="T226" s="68"/>
      <c r="U226" s="378">
        <v>1.0</v>
      </c>
      <c r="V226" s="66" t="str">
        <f> hyperlink(vlookup(lower(S226),'File Links'!E:F, 2, FALSE), SUBSTITUTE(lower(S226), "/", "--") &amp;  ".pdf")</f>
        <v>10.1002--erv.3103.pdf</v>
      </c>
      <c r="W226" s="129" t="s">
        <v>1265</v>
      </c>
      <c r="X226" s="54" t="str">
        <f t="array" ref="X226"> if(iserror(MATCH(V226, 'File Links'!C:C, 0)), "N/A", HYPERLINK(INDEX('File Links'!B:B, MATCH(V226, 'File Links'!C:C, 0))))</f>
        <v>https://drive.google.com/file/d/1bJ0BC-Xy_bNt41DXHAjv1ms0mnz9Vq86/view?usp=drivesdk</v>
      </c>
      <c r="Z226" s="151" t="s">
        <v>148</v>
      </c>
      <c r="AA226" s="129" t="s">
        <v>1361</v>
      </c>
      <c r="AB226" s="129" t="s">
        <v>1267</v>
      </c>
      <c r="AC226" s="371" t="s">
        <v>1362</v>
      </c>
      <c r="AD226" s="551" t="s">
        <v>1363</v>
      </c>
      <c r="AE226" s="552" t="s">
        <v>813</v>
      </c>
      <c r="AF226" s="161">
        <v>89.0</v>
      </c>
      <c r="AG226" s="161">
        <v>0.057</v>
      </c>
      <c r="AH226" s="380" t="s">
        <v>874</v>
      </c>
      <c r="AI226" s="129" t="s">
        <v>882</v>
      </c>
      <c r="AJ226" s="166">
        <v>0.029</v>
      </c>
      <c r="AK226" s="151" t="s">
        <v>172</v>
      </c>
      <c r="AL226" s="151" t="s">
        <v>136</v>
      </c>
      <c r="AM226" s="129" t="s">
        <v>141</v>
      </c>
      <c r="AN226" s="219" t="s">
        <v>138</v>
      </c>
      <c r="AO226" s="161">
        <v>74.0</v>
      </c>
      <c r="AP226" s="161">
        <v>0.047</v>
      </c>
      <c r="AQ226" s="380" t="s">
        <v>874</v>
      </c>
      <c r="AR226" s="371" t="s">
        <v>1364</v>
      </c>
      <c r="AS226" s="166">
        <v>0.035</v>
      </c>
      <c r="AT226" s="151" t="s">
        <v>172</v>
      </c>
      <c r="AU226" s="151" t="s">
        <v>186</v>
      </c>
      <c r="AV226" s="129" t="s">
        <v>141</v>
      </c>
      <c r="AW226" s="542" t="s">
        <v>138</v>
      </c>
      <c r="AX226" s="129" t="s">
        <v>438</v>
      </c>
      <c r="AY226" s="61" t="str">
        <f>IFERROR(__xludf.DUMMYFUNCTION("vlookup(BB226,importrange(""https://docs.google.com/spreadsheets/d/1d2vevQ_7D_v35q4wCQ4RpQ_IPoTwEMB9Yp6ymwlPqew/edit?gid=984458430#gid=984458430"", ""'replication success'!A:K""), 11, FAlSE)"),"successful")</f>
        <v>successful</v>
      </c>
      <c r="AZ226" s="61" t="str">
        <f>IFERROR(__xludf.DUMMYFUNCTION("vlookup(BB226,importrange(""https://docs.google.com/spreadsheets/d/1d2vevQ_7D_v35q4wCQ4RpQ_IPoTwEMB9Yp6ymwlPqew/edit?gid=984458430#gid=984458430"",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6" s="61" t="str">
        <f>IFERROR(__xludf.DUMMYFUNCTION("vlookup(BB226,importrange(""https://docs.google.com/spreadsheets/d/1d2vevQ_7D_v35q4wCQ4RpQ_IPoTwEMB9Yp6ymwlPqew/edit?gid=984458430#gid=984458430"", ""'replication success'!A:M""), 13, FAlSE)"),"abstract")</f>
        <v>abstract</v>
      </c>
      <c r="BB226" s="61" t="str">
        <f>IFERROR(__xludf.DUMMYFUNCTION("REGEXREPLACE(G226, ""_[a-z]{1,2}$"", """")"),"additional_studies36")</f>
        <v>additional_studies36</v>
      </c>
      <c r="BC226" s="550"/>
      <c r="BD226" s="381" t="s">
        <v>1270</v>
      </c>
      <c r="BG226" s="71"/>
      <c r="BH226" s="71"/>
      <c r="BI226" s="71"/>
      <c r="BJ226" s="71"/>
      <c r="BK226" s="71"/>
      <c r="BL226" s="71"/>
      <c r="BM226" s="71"/>
      <c r="BN226" s="71"/>
      <c r="BO226" s="71"/>
      <c r="BP226" s="71"/>
      <c r="BQ226" s="71"/>
      <c r="BR226" s="71"/>
      <c r="BS226" s="71"/>
      <c r="BT226" s="71"/>
      <c r="BU226" s="71"/>
      <c r="BV226" s="71"/>
      <c r="BW226" s="71"/>
      <c r="BX226" s="71"/>
      <c r="BY226" s="71"/>
      <c r="BZ226" s="71"/>
      <c r="CA226" s="71"/>
      <c r="CB226" s="71"/>
      <c r="CC226" s="71"/>
      <c r="CD226" s="71"/>
      <c r="CE226" s="71"/>
      <c r="CF226" s="71"/>
      <c r="CG226" s="71"/>
      <c r="CH226" s="71"/>
      <c r="CI226" s="71"/>
      <c r="CJ226" s="71"/>
      <c r="CK226" s="71"/>
      <c r="CL226" s="71"/>
      <c r="CM226" s="71"/>
      <c r="CN226" s="71"/>
      <c r="CO226" s="71"/>
      <c r="CP226" s="71"/>
      <c r="CQ226" s="71"/>
      <c r="CR226" s="71"/>
      <c r="CS226" s="71"/>
      <c r="CT226" s="71"/>
      <c r="CU226" s="71"/>
      <c r="CV226" s="71"/>
      <c r="CW226" s="71"/>
      <c r="CX226" s="71"/>
      <c r="CY226" s="71"/>
      <c r="CZ226" s="71"/>
      <c r="DA226" s="71"/>
      <c r="DB226" s="71"/>
      <c r="DC226" s="71"/>
      <c r="DD226" s="71"/>
      <c r="DE226" s="71"/>
      <c r="DF226" s="71"/>
      <c r="DG226" s="71"/>
      <c r="DH226" s="71"/>
      <c r="DI226" s="71"/>
      <c r="DJ226" s="71"/>
      <c r="DK226" s="71"/>
      <c r="DL226" s="71"/>
    </row>
    <row r="227" ht="20.25" customHeight="1">
      <c r="A227" s="44">
        <v>227.0</v>
      </c>
      <c r="B227" s="538" t="s">
        <v>152</v>
      </c>
      <c r="C227" s="538" t="s">
        <v>115</v>
      </c>
      <c r="D227" s="538" t="s">
        <v>286</v>
      </c>
      <c r="E227" s="539"/>
      <c r="F227" s="545" t="s">
        <v>1258</v>
      </c>
      <c r="G227" s="151" t="s">
        <v>1365</v>
      </c>
      <c r="H227" s="151" t="s">
        <v>289</v>
      </c>
      <c r="I227" s="152"/>
      <c r="J227" s="153">
        <v>45782.0</v>
      </c>
      <c r="K227" s="129" t="s">
        <v>1281</v>
      </c>
      <c r="L227" s="129" t="s">
        <v>1359</v>
      </c>
      <c r="M227" s="155" t="s">
        <v>1366</v>
      </c>
      <c r="N227" s="155" t="s">
        <v>1262</v>
      </c>
      <c r="O227" s="378">
        <v>1.0</v>
      </c>
      <c r="P227" s="118" t="str">
        <f> hyperlink(vlookup(lower(N227),'File Links'!A:B, 2, FALSE), SUBSTITUTE(lower(N227), "/", "--") &amp;  ".pdf")</f>
        <v>10.1016--j.psychres.2017.09.048.pdf</v>
      </c>
      <c r="Q227" s="52" t="str">
        <f t="array" ref="Q227"> if(iserror(MATCH(V227, 'File Links'!C:C, 0)), "N/A", HYPERLINK(INDEX('File Links'!B:B, MATCH(P227, 'File Links'!C:C, 0))))</f>
        <v>https://drive.google.com/file/d/1bB5zAUL5oQPM2ClvdBCDeAd5AlkWVp4P/view?usp=drivesdk</v>
      </c>
      <c r="R227" s="129" t="s">
        <v>1263</v>
      </c>
      <c r="S227" s="61" t="s">
        <v>1264</v>
      </c>
      <c r="T227" s="68"/>
      <c r="U227" s="378">
        <v>1.0</v>
      </c>
      <c r="V227" s="66" t="str">
        <f> hyperlink(vlookup(lower(S227),'File Links'!E:F, 2, FALSE), SUBSTITUTE(lower(S227), "/", "--") &amp;  ".pdf")</f>
        <v>10.1002--erv.3103.pdf</v>
      </c>
      <c r="W227" s="129" t="s">
        <v>1265</v>
      </c>
      <c r="X227" s="54" t="str">
        <f t="array" ref="X227"> if(iserror(MATCH(V227, 'File Links'!C:C, 0)), "N/A", HYPERLINK(INDEX('File Links'!B:B, MATCH(V227, 'File Links'!C:C, 0))))</f>
        <v>https://drive.google.com/file/d/1bJ0BC-Xy_bNt41DXHAjv1ms0mnz9Vq86/view?usp=drivesdk</v>
      </c>
      <c r="Z227" s="151" t="s">
        <v>148</v>
      </c>
      <c r="AA227" s="129" t="s">
        <v>1367</v>
      </c>
      <c r="AB227" s="129" t="s">
        <v>1267</v>
      </c>
      <c r="AC227" s="371" t="s">
        <v>1368</v>
      </c>
      <c r="AD227" s="165" t="s">
        <v>1369</v>
      </c>
      <c r="AE227" s="161" t="s">
        <v>813</v>
      </c>
      <c r="AF227" s="161">
        <v>89.0</v>
      </c>
      <c r="AG227" s="161">
        <v>0.1</v>
      </c>
      <c r="AH227" s="380" t="s">
        <v>874</v>
      </c>
      <c r="AI227" s="129" t="s">
        <v>813</v>
      </c>
      <c r="AJ227" s="166">
        <v>0.011</v>
      </c>
      <c r="AK227" s="151" t="s">
        <v>172</v>
      </c>
      <c r="AL227" s="151" t="s">
        <v>136</v>
      </c>
      <c r="AM227" s="129" t="s">
        <v>141</v>
      </c>
      <c r="AN227" s="219" t="s">
        <v>138</v>
      </c>
      <c r="AO227" s="161">
        <v>74.0</v>
      </c>
      <c r="AP227" s="161" t="s">
        <v>1370</v>
      </c>
      <c r="AQ227" s="151" t="s">
        <v>134</v>
      </c>
      <c r="AR227" s="371" t="s">
        <v>1364</v>
      </c>
      <c r="AS227" s="166">
        <v>0.072</v>
      </c>
      <c r="AT227" s="151" t="s">
        <v>335</v>
      </c>
      <c r="AU227" s="151" t="s">
        <v>186</v>
      </c>
      <c r="AV227" s="129" t="s">
        <v>141</v>
      </c>
      <c r="AW227" s="542" t="s">
        <v>138</v>
      </c>
      <c r="AX227" s="129" t="s">
        <v>438</v>
      </c>
      <c r="AY227" s="61" t="str">
        <f>IFERROR(__xludf.DUMMYFUNCTION("vlookup(BB227,importrange(""https://docs.google.com/spreadsheets/d/1d2vevQ_7D_v35q4wCQ4RpQ_IPoTwEMB9Yp6ymwlPqew/edit?gid=984458430#gid=984458430"", ""'replication success'!A:K""), 11, FAlSE)"),"successful")</f>
        <v>successful</v>
      </c>
      <c r="AZ227" s="61" t="str">
        <f>IFERROR(__xludf.DUMMYFUNCTION("vlookup(BB227,importrange(""https://docs.google.com/spreadsheets/d/1d2vevQ_7D_v35q4wCQ4RpQ_IPoTwEMB9Yp6ymwlPqew/edit?gid=984458430#gid=984458430"",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7" s="61" t="str">
        <f>IFERROR(__xludf.DUMMYFUNCTION("vlookup(BB227,importrange(""https://docs.google.com/spreadsheets/d/1d2vevQ_7D_v35q4wCQ4RpQ_IPoTwEMB9Yp6ymwlPqew/edit?gid=984458430#gid=984458430"", ""'replication success'!A:M""), 13, FAlSE)"),"abstract")</f>
        <v>abstract</v>
      </c>
      <c r="BB227" s="61" t="str">
        <f>IFERROR(__xludf.DUMMYFUNCTION("REGEXREPLACE(G227, ""_[a-z]{1,2}$"", """")"),"additional_studies36")</f>
        <v>additional_studies36</v>
      </c>
      <c r="BD227" s="381" t="s">
        <v>1270</v>
      </c>
      <c r="BG227" s="220"/>
      <c r="BH227" s="220"/>
      <c r="BI227" s="220"/>
      <c r="BJ227" s="220"/>
      <c r="BK227" s="220"/>
      <c r="BL227" s="220"/>
      <c r="BM227" s="220"/>
      <c r="BN227" s="220"/>
      <c r="BO227" s="220"/>
      <c r="BP227" s="220"/>
      <c r="BQ227" s="220"/>
      <c r="BR227" s="220"/>
      <c r="BS227" s="220"/>
      <c r="BT227" s="220"/>
      <c r="BU227" s="220"/>
      <c r="BV227" s="220"/>
      <c r="BW227" s="220"/>
      <c r="BX227" s="220"/>
      <c r="BY227" s="220"/>
      <c r="BZ227" s="220"/>
      <c r="CA227" s="220"/>
      <c r="CB227" s="220"/>
      <c r="CC227" s="220"/>
      <c r="CD227" s="220"/>
      <c r="CE227" s="220"/>
      <c r="CF227" s="220"/>
      <c r="CG227" s="220"/>
      <c r="CH227" s="220"/>
      <c r="CI227" s="220"/>
      <c r="CJ227" s="220"/>
      <c r="CK227" s="220"/>
      <c r="CL227" s="220"/>
      <c r="CM227" s="220"/>
      <c r="CN227" s="220"/>
      <c r="CO227" s="220"/>
      <c r="CP227" s="220"/>
      <c r="CQ227" s="220"/>
      <c r="CR227" s="220"/>
      <c r="CS227" s="220"/>
      <c r="CT227" s="220"/>
      <c r="CU227" s="220"/>
      <c r="CV227" s="220"/>
      <c r="CW227" s="220"/>
      <c r="CX227" s="220"/>
      <c r="CY227" s="220"/>
      <c r="CZ227" s="220"/>
      <c r="DA227" s="220"/>
      <c r="DB227" s="220"/>
      <c r="DC227" s="220"/>
      <c r="DD227" s="220"/>
      <c r="DE227" s="220"/>
      <c r="DF227" s="220"/>
      <c r="DG227" s="220"/>
      <c r="DH227" s="220"/>
      <c r="DI227" s="220"/>
      <c r="DJ227" s="220"/>
      <c r="DK227" s="220"/>
      <c r="DL227" s="220"/>
    </row>
    <row r="228" ht="20.25" customHeight="1">
      <c r="A228" s="44">
        <v>228.0</v>
      </c>
      <c r="B228" s="538" t="s">
        <v>152</v>
      </c>
      <c r="C228" s="538" t="s">
        <v>115</v>
      </c>
      <c r="D228" s="538" t="s">
        <v>286</v>
      </c>
      <c r="E228" s="539"/>
      <c r="F228" s="545" t="s">
        <v>1258</v>
      </c>
      <c r="G228" s="151" t="s">
        <v>1371</v>
      </c>
      <c r="H228" s="151" t="s">
        <v>289</v>
      </c>
      <c r="I228" s="152"/>
      <c r="J228" s="153">
        <v>45782.0</v>
      </c>
      <c r="K228" s="129" t="s">
        <v>1281</v>
      </c>
      <c r="L228" s="129" t="s">
        <v>1372</v>
      </c>
      <c r="M228" s="155" t="s">
        <v>1373</v>
      </c>
      <c r="N228" s="155" t="s">
        <v>1262</v>
      </c>
      <c r="O228" s="378">
        <v>1.0</v>
      </c>
      <c r="P228" s="118" t="str">
        <f> hyperlink(vlookup(lower(N228),'File Links'!A:B, 2, FALSE), SUBSTITUTE(lower(N228), "/", "--") &amp;  ".pdf")</f>
        <v>10.1016--j.psychres.2017.09.048.pdf</v>
      </c>
      <c r="Q228" s="52" t="str">
        <f t="array" ref="Q228"> if(iserror(MATCH(V228, 'File Links'!C:C, 0)), "N/A", HYPERLINK(INDEX('File Links'!B:B, MATCH(P228, 'File Links'!C:C, 0))))</f>
        <v>https://drive.google.com/file/d/1bB5zAUL5oQPM2ClvdBCDeAd5AlkWVp4P/view?usp=drivesdk</v>
      </c>
      <c r="R228" s="129" t="s">
        <v>1263</v>
      </c>
      <c r="S228" s="61" t="s">
        <v>1264</v>
      </c>
      <c r="T228" s="68"/>
      <c r="U228" s="378">
        <v>1.0</v>
      </c>
      <c r="V228" s="66" t="str">
        <f> hyperlink(vlookup(lower(S228),'File Links'!E:F, 2, FALSE), SUBSTITUTE(lower(S228), "/", "--") &amp;  ".pdf")</f>
        <v>10.1002--erv.3103.pdf</v>
      </c>
      <c r="W228" s="129" t="s">
        <v>1265</v>
      </c>
      <c r="X228" s="54" t="str">
        <f t="array" ref="X228"> if(iserror(MATCH(V228, 'File Links'!C:C, 0)), "N/A", HYPERLINK(INDEX('File Links'!B:B, MATCH(V228, 'File Links'!C:C, 0))))</f>
        <v>https://drive.google.com/file/d/1bJ0BC-Xy_bNt41DXHAjv1ms0mnz9Vq86/view?usp=drivesdk</v>
      </c>
      <c r="Z228" s="151" t="s">
        <v>148</v>
      </c>
      <c r="AA228" s="129" t="s">
        <v>1374</v>
      </c>
      <c r="AB228" s="129" t="s">
        <v>1267</v>
      </c>
      <c r="AC228" s="371" t="s">
        <v>1368</v>
      </c>
      <c r="AD228" s="165" t="s">
        <v>1375</v>
      </c>
      <c r="AE228" s="161" t="s">
        <v>813</v>
      </c>
      <c r="AF228" s="161">
        <v>89.0</v>
      </c>
      <c r="AG228" s="161">
        <v>0.069</v>
      </c>
      <c r="AH228" s="380" t="s">
        <v>874</v>
      </c>
      <c r="AI228" s="129" t="s">
        <v>813</v>
      </c>
      <c r="AJ228" s="166">
        <v>0.46</v>
      </c>
      <c r="AK228" s="151" t="s">
        <v>172</v>
      </c>
      <c r="AL228" s="151" t="s">
        <v>136</v>
      </c>
      <c r="AM228" s="129" t="s">
        <v>141</v>
      </c>
      <c r="AN228" s="219" t="s">
        <v>138</v>
      </c>
      <c r="AO228" s="161">
        <v>74.0</v>
      </c>
      <c r="AP228" s="371" t="s">
        <v>1376</v>
      </c>
      <c r="AQ228" s="151" t="s">
        <v>134</v>
      </c>
      <c r="AR228" s="371" t="s">
        <v>1364</v>
      </c>
      <c r="AS228" s="166">
        <v>0.065</v>
      </c>
      <c r="AT228" s="151" t="s">
        <v>335</v>
      </c>
      <c r="AU228" s="151" t="s">
        <v>186</v>
      </c>
      <c r="AV228" s="129" t="s">
        <v>141</v>
      </c>
      <c r="AW228" s="542" t="s">
        <v>138</v>
      </c>
      <c r="AX228" s="129" t="s">
        <v>438</v>
      </c>
      <c r="AY228" s="61" t="str">
        <f>IFERROR(__xludf.DUMMYFUNCTION("vlookup(BB228,importrange(""https://docs.google.com/spreadsheets/d/1d2vevQ_7D_v35q4wCQ4RpQ_IPoTwEMB9Yp6ymwlPqew/edit?gid=984458430#gid=984458430"", ""'replication success'!A:K""), 11, FAlSE)"),"successful")</f>
        <v>successful</v>
      </c>
      <c r="AZ228" s="61" t="str">
        <f>IFERROR(__xludf.DUMMYFUNCTION("vlookup(BB228,importrange(""https://docs.google.com/spreadsheets/d/1d2vevQ_7D_v35q4wCQ4RpQ_IPoTwEMB9Yp6ymwlPqew/edit?gid=984458430#gid=984458430"",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8" s="61" t="str">
        <f>IFERROR(__xludf.DUMMYFUNCTION("vlookup(BB228,importrange(""https://docs.google.com/spreadsheets/d/1d2vevQ_7D_v35q4wCQ4RpQ_IPoTwEMB9Yp6ymwlPqew/edit?gid=984458430#gid=984458430"", ""'replication success'!A:M""), 13, FAlSE)"),"abstract")</f>
        <v>abstract</v>
      </c>
      <c r="BB228" s="61" t="str">
        <f>IFERROR(__xludf.DUMMYFUNCTION("REGEXREPLACE(G228, ""_[a-z]{1,2}$"", """")"),"additional_studies36")</f>
        <v>additional_studies36</v>
      </c>
      <c r="BD228" s="381" t="s">
        <v>1270</v>
      </c>
      <c r="BG228" s="92"/>
      <c r="BH228" s="92"/>
      <c r="BI228" s="92"/>
      <c r="BJ228" s="92"/>
      <c r="BK228" s="92"/>
      <c r="BL228" s="92"/>
      <c r="BM228" s="92"/>
      <c r="BN228" s="92"/>
      <c r="BO228" s="92"/>
      <c r="BP228" s="92"/>
      <c r="BQ228" s="92"/>
      <c r="BR228" s="92"/>
      <c r="BS228" s="92"/>
      <c r="BT228" s="92"/>
      <c r="BU228" s="92"/>
      <c r="BV228" s="92"/>
      <c r="BW228" s="92"/>
      <c r="BX228" s="92"/>
      <c r="BY228" s="92"/>
      <c r="BZ228" s="92"/>
      <c r="CA228" s="92"/>
      <c r="CB228" s="92"/>
      <c r="CC228" s="92"/>
      <c r="CD228" s="92"/>
      <c r="CE228" s="92"/>
      <c r="CF228" s="92"/>
      <c r="CG228" s="92"/>
      <c r="CH228" s="92"/>
      <c r="CI228" s="92"/>
      <c r="CJ228" s="92"/>
      <c r="CK228" s="92"/>
      <c r="CL228" s="92"/>
      <c r="CM228" s="92"/>
      <c r="CN228" s="92"/>
      <c r="CO228" s="92"/>
      <c r="CP228" s="92"/>
      <c r="CQ228" s="92"/>
      <c r="CR228" s="92"/>
      <c r="CS228" s="92"/>
      <c r="CT228" s="92"/>
      <c r="CU228" s="92"/>
      <c r="CV228" s="92"/>
      <c r="CW228" s="92"/>
      <c r="CX228" s="92"/>
      <c r="CY228" s="92"/>
      <c r="CZ228" s="92"/>
      <c r="DA228" s="92"/>
      <c r="DB228" s="92"/>
      <c r="DC228" s="92"/>
      <c r="DD228" s="92"/>
      <c r="DE228" s="92"/>
      <c r="DF228" s="92"/>
      <c r="DG228" s="92"/>
      <c r="DH228" s="92"/>
      <c r="DI228" s="92"/>
      <c r="DJ228" s="92"/>
      <c r="DK228" s="92"/>
      <c r="DL228" s="92"/>
    </row>
    <row r="229" ht="20.25" customHeight="1">
      <c r="A229" s="44">
        <v>229.0</v>
      </c>
      <c r="B229" s="538" t="s">
        <v>152</v>
      </c>
      <c r="C229" s="538" t="s">
        <v>115</v>
      </c>
      <c r="D229" s="538" t="s">
        <v>286</v>
      </c>
      <c r="E229" s="539"/>
      <c r="F229" s="545" t="s">
        <v>1258</v>
      </c>
      <c r="G229" s="151" t="s">
        <v>1377</v>
      </c>
      <c r="H229" s="151" t="s">
        <v>289</v>
      </c>
      <c r="I229" s="152"/>
      <c r="J229" s="153">
        <v>45782.0</v>
      </c>
      <c r="K229" s="129" t="s">
        <v>1281</v>
      </c>
      <c r="L229" s="129" t="s">
        <v>1372</v>
      </c>
      <c r="M229" s="155" t="s">
        <v>1378</v>
      </c>
      <c r="N229" s="155" t="s">
        <v>1262</v>
      </c>
      <c r="O229" s="378">
        <v>1.0</v>
      </c>
      <c r="P229" s="118" t="str">
        <f> hyperlink(vlookup(lower(N229),'File Links'!A:B, 2, FALSE), SUBSTITUTE(lower(N229), "/", "--") &amp;  ".pdf")</f>
        <v>10.1016--j.psychres.2017.09.048.pdf</v>
      </c>
      <c r="Q229" s="52" t="str">
        <f t="array" ref="Q229"> if(iserror(MATCH(V229, 'File Links'!C:C, 0)), "N/A", HYPERLINK(INDEX('File Links'!B:B, MATCH(P229, 'File Links'!C:C, 0))))</f>
        <v>https://drive.google.com/file/d/1bB5zAUL5oQPM2ClvdBCDeAd5AlkWVp4P/view?usp=drivesdk</v>
      </c>
      <c r="R229" s="129" t="s">
        <v>1263</v>
      </c>
      <c r="S229" s="61" t="s">
        <v>1264</v>
      </c>
      <c r="T229" s="68"/>
      <c r="U229" s="378">
        <v>1.0</v>
      </c>
      <c r="V229" s="66" t="str">
        <f> hyperlink(vlookup(lower(S229),'File Links'!E:F, 2, FALSE), SUBSTITUTE(lower(S229), "/", "--") &amp;  ".pdf")</f>
        <v>10.1002--erv.3103.pdf</v>
      </c>
      <c r="W229" s="129" t="s">
        <v>1265</v>
      </c>
      <c r="X229" s="54" t="str">
        <f t="array" ref="X229"> if(iserror(MATCH(V229, 'File Links'!C:C, 0)), "N/A", HYPERLINK(INDEX('File Links'!B:B, MATCH(V229, 'File Links'!C:C, 0))))</f>
        <v>https://drive.google.com/file/d/1bJ0BC-Xy_bNt41DXHAjv1ms0mnz9Vq86/view?usp=drivesdk</v>
      </c>
      <c r="Z229" s="151" t="s">
        <v>148</v>
      </c>
      <c r="AA229" s="129" t="s">
        <v>1379</v>
      </c>
      <c r="AB229" s="129" t="s">
        <v>1267</v>
      </c>
      <c r="AC229" s="371" t="s">
        <v>1380</v>
      </c>
      <c r="AD229" s="165" t="s">
        <v>1381</v>
      </c>
      <c r="AE229" s="161" t="s">
        <v>1382</v>
      </c>
      <c r="AF229" s="161">
        <v>89.0</v>
      </c>
      <c r="AG229" s="161">
        <v>0.069</v>
      </c>
      <c r="AH229" s="380" t="s">
        <v>874</v>
      </c>
      <c r="AI229" s="129" t="s">
        <v>140</v>
      </c>
      <c r="AJ229" s="166">
        <v>0.047</v>
      </c>
      <c r="AK229" s="151" t="s">
        <v>172</v>
      </c>
      <c r="AL229" s="151" t="s">
        <v>136</v>
      </c>
      <c r="AM229" s="129" t="s">
        <v>141</v>
      </c>
      <c r="AN229" s="219" t="s">
        <v>138</v>
      </c>
      <c r="AO229" s="161">
        <v>74.0</v>
      </c>
      <c r="AP229" s="371" t="s">
        <v>1376</v>
      </c>
      <c r="AQ229" s="151" t="s">
        <v>134</v>
      </c>
      <c r="AR229" s="371" t="s">
        <v>1364</v>
      </c>
      <c r="AS229" s="166">
        <v>0.065</v>
      </c>
      <c r="AT229" s="151" t="s">
        <v>335</v>
      </c>
      <c r="AU229" s="151" t="s">
        <v>186</v>
      </c>
      <c r="AV229" s="129" t="s">
        <v>141</v>
      </c>
      <c r="AW229" s="542" t="s">
        <v>138</v>
      </c>
      <c r="AX229" s="129" t="s">
        <v>438</v>
      </c>
      <c r="AY229" s="61" t="str">
        <f>IFERROR(__xludf.DUMMYFUNCTION("vlookup(BB229,importrange(""https://docs.google.com/spreadsheets/d/1d2vevQ_7D_v35q4wCQ4RpQ_IPoTwEMB9Yp6ymwlPqew/edit?gid=984458430#gid=984458430"", ""'replication success'!A:K""), 11, FAlSE)"),"successful")</f>
        <v>successful</v>
      </c>
      <c r="AZ229" s="61" t="str">
        <f>IFERROR(__xludf.DUMMYFUNCTION("vlookup(BB229,importrange(""https://docs.google.com/spreadsheets/d/1d2vevQ_7D_v35q4wCQ4RpQ_IPoTwEMB9Yp6ymwlPqew/edit?gid=984458430#gid=984458430"",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29" s="61" t="str">
        <f>IFERROR(__xludf.DUMMYFUNCTION("vlookup(BB229,importrange(""https://docs.google.com/spreadsheets/d/1d2vevQ_7D_v35q4wCQ4RpQ_IPoTwEMB9Yp6ymwlPqew/edit?gid=984458430#gid=984458430"", ""'replication success'!A:M""), 13, FAlSE)"),"abstract")</f>
        <v>abstract</v>
      </c>
      <c r="BB229" s="61" t="str">
        <f>IFERROR(__xludf.DUMMYFUNCTION("REGEXREPLACE(G229, ""_[a-z]{1,2}$"", """")"),"additional_studies36")</f>
        <v>additional_studies36</v>
      </c>
      <c r="BD229" s="381" t="s">
        <v>1270</v>
      </c>
      <c r="BG229" s="220"/>
      <c r="BH229" s="220"/>
      <c r="BI229" s="220"/>
      <c r="BJ229" s="220"/>
      <c r="BK229" s="220"/>
      <c r="BL229" s="220"/>
      <c r="BM229" s="220"/>
      <c r="BN229" s="220"/>
      <c r="BO229" s="220"/>
      <c r="BP229" s="220"/>
      <c r="BQ229" s="220"/>
      <c r="BR229" s="220"/>
      <c r="BS229" s="220"/>
      <c r="BT229" s="220"/>
      <c r="BU229" s="220"/>
      <c r="BV229" s="220"/>
      <c r="BW229" s="220"/>
      <c r="BX229" s="220"/>
      <c r="BY229" s="220"/>
      <c r="BZ229" s="220"/>
      <c r="CA229" s="220"/>
      <c r="CB229" s="220"/>
      <c r="CC229" s="220"/>
      <c r="CD229" s="220"/>
      <c r="CE229" s="220"/>
      <c r="CF229" s="220"/>
      <c r="CG229" s="220"/>
      <c r="CH229" s="220"/>
      <c r="CI229" s="220"/>
      <c r="CJ229" s="220"/>
      <c r="CK229" s="220"/>
      <c r="CL229" s="220"/>
      <c r="CM229" s="220"/>
      <c r="CN229" s="220"/>
      <c r="CO229" s="220"/>
      <c r="CP229" s="220"/>
      <c r="CQ229" s="220"/>
      <c r="CR229" s="220"/>
      <c r="CS229" s="220"/>
      <c r="CT229" s="220"/>
      <c r="CU229" s="220"/>
      <c r="CV229" s="220"/>
      <c r="CW229" s="220"/>
      <c r="CX229" s="220"/>
      <c r="CY229" s="220"/>
      <c r="CZ229" s="220"/>
      <c r="DA229" s="220"/>
      <c r="DB229" s="220"/>
      <c r="DC229" s="220"/>
      <c r="DD229" s="220"/>
      <c r="DE229" s="220"/>
      <c r="DF229" s="220"/>
      <c r="DG229" s="220"/>
      <c r="DH229" s="220"/>
      <c r="DI229" s="220"/>
      <c r="DJ229" s="220"/>
      <c r="DK229" s="220"/>
      <c r="DL229" s="220"/>
    </row>
    <row r="230" ht="20.25" customHeight="1">
      <c r="A230" s="44">
        <v>230.0</v>
      </c>
      <c r="B230" s="538" t="s">
        <v>152</v>
      </c>
      <c r="C230" s="538" t="s">
        <v>115</v>
      </c>
      <c r="D230" s="538" t="s">
        <v>286</v>
      </c>
      <c r="E230" s="539"/>
      <c r="F230" s="545" t="s">
        <v>1258</v>
      </c>
      <c r="G230" s="151" t="s">
        <v>1383</v>
      </c>
      <c r="H230" s="151" t="s">
        <v>289</v>
      </c>
      <c r="I230" s="152"/>
      <c r="J230" s="153">
        <v>45782.0</v>
      </c>
      <c r="K230" s="129" t="s">
        <v>1281</v>
      </c>
      <c r="L230" s="129" t="s">
        <v>1372</v>
      </c>
      <c r="M230" s="155" t="s">
        <v>1384</v>
      </c>
      <c r="N230" s="155" t="s">
        <v>1262</v>
      </c>
      <c r="O230" s="378">
        <v>1.0</v>
      </c>
      <c r="P230" s="118" t="str">
        <f> hyperlink(vlookup(lower(N230),'File Links'!A:B, 2, FALSE), SUBSTITUTE(lower(N230), "/", "--") &amp;  ".pdf")</f>
        <v>10.1016--j.psychres.2017.09.048.pdf</v>
      </c>
      <c r="Q230" s="52" t="str">
        <f t="array" ref="Q230"> if(iserror(MATCH(V230, 'File Links'!C:C, 0)), "N/A", HYPERLINK(INDEX('File Links'!B:B, MATCH(P230, 'File Links'!C:C, 0))))</f>
        <v>https://drive.google.com/file/d/1bB5zAUL5oQPM2ClvdBCDeAd5AlkWVp4P/view?usp=drivesdk</v>
      </c>
      <c r="R230" s="129" t="s">
        <v>1263</v>
      </c>
      <c r="S230" s="61" t="s">
        <v>1264</v>
      </c>
      <c r="T230" s="68"/>
      <c r="U230" s="378">
        <v>1.0</v>
      </c>
      <c r="V230" s="66" t="str">
        <f> hyperlink(vlookup(lower(S230),'File Links'!E:F, 2, FALSE), SUBSTITUTE(lower(S230), "/", "--") &amp;  ".pdf")</f>
        <v>10.1002--erv.3103.pdf</v>
      </c>
      <c r="W230" s="129" t="s">
        <v>1265</v>
      </c>
      <c r="X230" s="54" t="str">
        <f t="array" ref="X230"> if(iserror(MATCH(V230, 'File Links'!C:C, 0)), "N/A", HYPERLINK(INDEX('File Links'!B:B, MATCH(V230, 'File Links'!C:C, 0))))</f>
        <v>https://drive.google.com/file/d/1bJ0BC-Xy_bNt41DXHAjv1ms0mnz9Vq86/view?usp=drivesdk</v>
      </c>
      <c r="Z230" s="151" t="s">
        <v>148</v>
      </c>
      <c r="AA230" s="129" t="s">
        <v>1385</v>
      </c>
      <c r="AB230" s="129" t="s">
        <v>1267</v>
      </c>
      <c r="AC230" s="371" t="s">
        <v>1368</v>
      </c>
      <c r="AD230" s="165" t="s">
        <v>1386</v>
      </c>
      <c r="AE230" s="161" t="s">
        <v>140</v>
      </c>
      <c r="AF230" s="161">
        <v>89.0</v>
      </c>
      <c r="AG230" s="161">
        <v>0.078</v>
      </c>
      <c r="AH230" s="380" t="s">
        <v>874</v>
      </c>
      <c r="AI230" s="129" t="s">
        <v>140</v>
      </c>
      <c r="AJ230" s="166">
        <v>0.03</v>
      </c>
      <c r="AK230" s="151" t="s">
        <v>172</v>
      </c>
      <c r="AL230" s="151" t="s">
        <v>136</v>
      </c>
      <c r="AM230" s="129" t="s">
        <v>141</v>
      </c>
      <c r="AN230" s="219" t="s">
        <v>138</v>
      </c>
      <c r="AO230" s="161">
        <v>74.0</v>
      </c>
      <c r="AP230" s="371" t="s">
        <v>1376</v>
      </c>
      <c r="AQ230" s="151" t="s">
        <v>134</v>
      </c>
      <c r="AR230" s="371" t="s">
        <v>1364</v>
      </c>
      <c r="AS230" s="166">
        <v>0.065</v>
      </c>
      <c r="AT230" s="151" t="s">
        <v>335</v>
      </c>
      <c r="AU230" s="151" t="s">
        <v>186</v>
      </c>
      <c r="AV230" s="129" t="s">
        <v>141</v>
      </c>
      <c r="AW230" s="542" t="s">
        <v>138</v>
      </c>
      <c r="AX230" s="129" t="s">
        <v>438</v>
      </c>
      <c r="AY230" s="61" t="str">
        <f>IFERROR(__xludf.DUMMYFUNCTION("vlookup(BB230,importrange(""https://docs.google.com/spreadsheets/d/1d2vevQ_7D_v35q4wCQ4RpQ_IPoTwEMB9Yp6ymwlPqew/edit?gid=984458430#gid=984458430"", ""'replication success'!A:K""), 11, FAlSE)"),"successful")</f>
        <v>successful</v>
      </c>
      <c r="AZ230" s="61" t="str">
        <f>IFERROR(__xludf.DUMMYFUNCTION("vlookup(BB230,importrange(""https://docs.google.com/spreadsheets/d/1d2vevQ_7D_v35q4wCQ4RpQ_IPoTwEMB9Yp6ymwlPqew/edit?gid=984458430#gid=984458430"",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0" s="61" t="str">
        <f>IFERROR(__xludf.DUMMYFUNCTION("vlookup(BB230,importrange(""https://docs.google.com/spreadsheets/d/1d2vevQ_7D_v35q4wCQ4RpQ_IPoTwEMB9Yp6ymwlPqew/edit?gid=984458430#gid=984458430"", ""'replication success'!A:M""), 13, FAlSE)"),"abstract")</f>
        <v>abstract</v>
      </c>
      <c r="BB230" s="61" t="str">
        <f>IFERROR(__xludf.DUMMYFUNCTION("REGEXREPLACE(G230, ""_[a-z]{1,2}$"", """")"),"additional_studies36")</f>
        <v>additional_studies36</v>
      </c>
      <c r="BD230" s="381" t="s">
        <v>1270</v>
      </c>
      <c r="BG230" s="92"/>
      <c r="BH230" s="92"/>
      <c r="BI230" s="92"/>
      <c r="BJ230" s="92"/>
      <c r="BK230" s="92"/>
      <c r="BL230" s="92"/>
      <c r="BM230" s="92"/>
      <c r="BN230" s="92"/>
      <c r="BO230" s="92"/>
      <c r="BP230" s="92"/>
      <c r="BQ230" s="92"/>
      <c r="BR230" s="92"/>
      <c r="BS230" s="92"/>
      <c r="BT230" s="92"/>
      <c r="BU230" s="92"/>
      <c r="BV230" s="92"/>
      <c r="BW230" s="92"/>
      <c r="BX230" s="92"/>
      <c r="BY230" s="92"/>
      <c r="BZ230" s="92"/>
      <c r="CA230" s="92"/>
      <c r="CB230" s="92"/>
      <c r="CC230" s="92"/>
      <c r="CD230" s="92"/>
      <c r="CE230" s="92"/>
      <c r="CF230" s="92"/>
      <c r="CG230" s="92"/>
      <c r="CH230" s="92"/>
      <c r="CI230" s="92"/>
      <c r="CJ230" s="92"/>
      <c r="CK230" s="92"/>
      <c r="CL230" s="92"/>
      <c r="CM230" s="92"/>
      <c r="CN230" s="92"/>
      <c r="CO230" s="92"/>
      <c r="CP230" s="92"/>
      <c r="CQ230" s="92"/>
      <c r="CR230" s="92"/>
      <c r="CS230" s="92"/>
      <c r="CT230" s="92"/>
      <c r="CU230" s="92"/>
      <c r="CV230" s="92"/>
      <c r="CW230" s="92"/>
      <c r="CX230" s="92"/>
      <c r="CY230" s="92"/>
      <c r="CZ230" s="92"/>
      <c r="DA230" s="92"/>
      <c r="DB230" s="92"/>
      <c r="DC230" s="92"/>
      <c r="DD230" s="92"/>
      <c r="DE230" s="92"/>
      <c r="DF230" s="92"/>
      <c r="DG230" s="92"/>
      <c r="DH230" s="92"/>
      <c r="DI230" s="92"/>
      <c r="DJ230" s="92"/>
      <c r="DK230" s="92"/>
      <c r="DL230" s="92"/>
    </row>
    <row r="231" ht="20.25" customHeight="1">
      <c r="A231" s="44">
        <v>231.0</v>
      </c>
      <c r="B231" s="538" t="s">
        <v>152</v>
      </c>
      <c r="C231" s="538" t="s">
        <v>115</v>
      </c>
      <c r="D231" s="538" t="s">
        <v>286</v>
      </c>
      <c r="E231" s="539"/>
      <c r="F231" s="545" t="s">
        <v>1258</v>
      </c>
      <c r="G231" s="151" t="s">
        <v>1387</v>
      </c>
      <c r="H231" s="151" t="s">
        <v>289</v>
      </c>
      <c r="I231" s="152"/>
      <c r="J231" s="153">
        <v>45782.0</v>
      </c>
      <c r="K231" s="129" t="s">
        <v>1281</v>
      </c>
      <c r="L231" s="129" t="s">
        <v>1388</v>
      </c>
      <c r="M231" s="155" t="s">
        <v>1389</v>
      </c>
      <c r="N231" s="155" t="s">
        <v>1262</v>
      </c>
      <c r="O231" s="378">
        <v>1.0</v>
      </c>
      <c r="P231" s="118" t="str">
        <f> hyperlink(vlookup(lower(N231),'File Links'!A:B, 2, FALSE), SUBSTITUTE(lower(N231), "/", "--") &amp;  ".pdf")</f>
        <v>10.1016--j.psychres.2017.09.048.pdf</v>
      </c>
      <c r="Q231" s="52" t="str">
        <f t="array" ref="Q231"> if(iserror(MATCH(V231, 'File Links'!C:C, 0)), "N/A", HYPERLINK(INDEX('File Links'!B:B, MATCH(P231, 'File Links'!C:C, 0))))</f>
        <v>https://drive.google.com/file/d/1bB5zAUL5oQPM2ClvdBCDeAd5AlkWVp4P/view?usp=drivesdk</v>
      </c>
      <c r="R231" s="129" t="s">
        <v>1263</v>
      </c>
      <c r="S231" s="61" t="s">
        <v>1264</v>
      </c>
      <c r="T231" s="68"/>
      <c r="U231" s="378">
        <v>1.0</v>
      </c>
      <c r="V231" s="66" t="str">
        <f> hyperlink(vlookup(lower(S231),'File Links'!E:F, 2, FALSE), SUBSTITUTE(lower(S231), "/", "--") &amp;  ".pdf")</f>
        <v>10.1002--erv.3103.pdf</v>
      </c>
      <c r="W231" s="129" t="s">
        <v>1265</v>
      </c>
      <c r="X231" s="54" t="str">
        <f t="array" ref="X231"> if(iserror(MATCH(V231, 'File Links'!C:C, 0)), "N/A", HYPERLINK(INDEX('File Links'!B:B, MATCH(V231, 'File Links'!C:C, 0))))</f>
        <v>https://drive.google.com/file/d/1bJ0BC-Xy_bNt41DXHAjv1ms0mnz9Vq86/view?usp=drivesdk</v>
      </c>
      <c r="Z231" s="151" t="s">
        <v>148</v>
      </c>
      <c r="AA231" s="129" t="s">
        <v>1390</v>
      </c>
      <c r="AB231" s="129" t="s">
        <v>1267</v>
      </c>
      <c r="AC231" s="371" t="s">
        <v>1380</v>
      </c>
      <c r="AD231" s="541" t="s">
        <v>1391</v>
      </c>
      <c r="AE231" s="161" t="s">
        <v>140</v>
      </c>
      <c r="AF231" s="161">
        <v>89.0</v>
      </c>
      <c r="AG231" s="161">
        <v>0.084</v>
      </c>
      <c r="AH231" s="380" t="s">
        <v>874</v>
      </c>
      <c r="AI231" s="129" t="s">
        <v>140</v>
      </c>
      <c r="AJ231" s="166">
        <v>0.023</v>
      </c>
      <c r="AK231" s="151" t="s">
        <v>172</v>
      </c>
      <c r="AL231" s="151" t="s">
        <v>136</v>
      </c>
      <c r="AM231" s="129" t="s">
        <v>141</v>
      </c>
      <c r="AN231" s="219" t="s">
        <v>138</v>
      </c>
      <c r="AO231" s="161">
        <v>74.0</v>
      </c>
      <c r="AP231" s="371" t="s">
        <v>1376</v>
      </c>
      <c r="AQ231" s="151" t="s">
        <v>134</v>
      </c>
      <c r="AR231" s="371" t="s">
        <v>1364</v>
      </c>
      <c r="AS231" s="166">
        <v>0.065</v>
      </c>
      <c r="AT231" s="151" t="s">
        <v>335</v>
      </c>
      <c r="AU231" s="151" t="s">
        <v>186</v>
      </c>
      <c r="AV231" s="129" t="s">
        <v>141</v>
      </c>
      <c r="AW231" s="542" t="s">
        <v>138</v>
      </c>
      <c r="AX231" s="129" t="s">
        <v>438</v>
      </c>
      <c r="AY231" s="61" t="str">
        <f>IFERROR(__xludf.DUMMYFUNCTION("vlookup(BB231,importrange(""https://docs.google.com/spreadsheets/d/1d2vevQ_7D_v35q4wCQ4RpQ_IPoTwEMB9Yp6ymwlPqew/edit?gid=984458430#gid=984458430"", ""'replication success'!A:K""), 11, FAlSE)"),"successful")</f>
        <v>successful</v>
      </c>
      <c r="AZ231" s="61" t="str">
        <f>IFERROR(__xludf.DUMMYFUNCTION("vlookup(BB231,importrange(""https://docs.google.com/spreadsheets/d/1d2vevQ_7D_v35q4wCQ4RpQ_IPoTwEMB9Yp6ymwlPqew/edit?gid=984458430#gid=984458430"",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1" s="61" t="str">
        <f>IFERROR(__xludf.DUMMYFUNCTION("vlookup(BB231,importrange(""https://docs.google.com/spreadsheets/d/1d2vevQ_7D_v35q4wCQ4RpQ_IPoTwEMB9Yp6ymwlPqew/edit?gid=984458430#gid=984458430"", ""'replication success'!A:M""), 13, FAlSE)"),"abstract")</f>
        <v>abstract</v>
      </c>
      <c r="BB231" s="61" t="str">
        <f>IFERROR(__xludf.DUMMYFUNCTION("REGEXREPLACE(G231, ""_[a-z]{1,2}$"", """")"),"additional_studies36")</f>
        <v>additional_studies36</v>
      </c>
      <c r="BD231" s="381" t="s">
        <v>1270</v>
      </c>
      <c r="BG231" s="220"/>
      <c r="BH231" s="220"/>
      <c r="BI231" s="220"/>
      <c r="BJ231" s="220"/>
      <c r="BK231" s="220"/>
      <c r="BL231" s="220"/>
      <c r="BM231" s="220"/>
      <c r="BN231" s="220"/>
      <c r="BO231" s="220"/>
      <c r="BP231" s="220"/>
      <c r="BQ231" s="220"/>
      <c r="BR231" s="220"/>
      <c r="BS231" s="220"/>
      <c r="BT231" s="220"/>
      <c r="BU231" s="220"/>
      <c r="BV231" s="220"/>
      <c r="BW231" s="220"/>
      <c r="BX231" s="220"/>
      <c r="BY231" s="220"/>
      <c r="BZ231" s="220"/>
      <c r="CA231" s="220"/>
      <c r="CB231" s="220"/>
      <c r="CC231" s="220"/>
      <c r="CD231" s="220"/>
      <c r="CE231" s="220"/>
      <c r="CF231" s="220"/>
      <c r="CG231" s="220"/>
      <c r="CH231" s="220"/>
      <c r="CI231" s="220"/>
      <c r="CJ231" s="220"/>
      <c r="CK231" s="220"/>
      <c r="CL231" s="220"/>
      <c r="CM231" s="220"/>
      <c r="CN231" s="220"/>
      <c r="CO231" s="220"/>
      <c r="CP231" s="220"/>
      <c r="CQ231" s="220"/>
      <c r="CR231" s="220"/>
      <c r="CS231" s="220"/>
      <c r="CT231" s="220"/>
      <c r="CU231" s="220"/>
      <c r="CV231" s="220"/>
      <c r="CW231" s="220"/>
      <c r="CX231" s="220"/>
      <c r="CY231" s="220"/>
      <c r="CZ231" s="220"/>
      <c r="DA231" s="220"/>
      <c r="DB231" s="220"/>
      <c r="DC231" s="220"/>
      <c r="DD231" s="220"/>
      <c r="DE231" s="220"/>
      <c r="DF231" s="220"/>
      <c r="DG231" s="220"/>
      <c r="DH231" s="220"/>
      <c r="DI231" s="220"/>
      <c r="DJ231" s="220"/>
      <c r="DK231" s="220"/>
      <c r="DL231" s="220"/>
    </row>
    <row r="232" ht="20.25" customHeight="1">
      <c r="A232" s="44">
        <v>232.0</v>
      </c>
      <c r="B232" s="538" t="s">
        <v>152</v>
      </c>
      <c r="C232" s="538" t="s">
        <v>115</v>
      </c>
      <c r="D232" s="538" t="s">
        <v>286</v>
      </c>
      <c r="E232" s="539"/>
      <c r="F232" s="545" t="s">
        <v>1258</v>
      </c>
      <c r="G232" s="151" t="s">
        <v>1392</v>
      </c>
      <c r="H232" s="151" t="s">
        <v>289</v>
      </c>
      <c r="I232" s="152"/>
      <c r="J232" s="153">
        <v>45782.0</v>
      </c>
      <c r="K232" s="129" t="s">
        <v>1281</v>
      </c>
      <c r="L232" s="129" t="s">
        <v>1388</v>
      </c>
      <c r="M232" s="155" t="s">
        <v>1393</v>
      </c>
      <c r="N232" s="155" t="s">
        <v>1262</v>
      </c>
      <c r="O232" s="378">
        <v>1.0</v>
      </c>
      <c r="P232" s="118" t="str">
        <f> hyperlink(vlookup(lower(N232),'File Links'!A:B, 2, FALSE), SUBSTITUTE(lower(N232), "/", "--") &amp;  ".pdf")</f>
        <v>10.1016--j.psychres.2017.09.048.pdf</v>
      </c>
      <c r="Q232" s="52" t="str">
        <f t="array" ref="Q232"> if(iserror(MATCH(V232, 'File Links'!C:C, 0)), "N/A", HYPERLINK(INDEX('File Links'!B:B, MATCH(P232, 'File Links'!C:C, 0))))</f>
        <v>https://drive.google.com/file/d/1bB5zAUL5oQPM2ClvdBCDeAd5AlkWVp4P/view?usp=drivesdk</v>
      </c>
      <c r="R232" s="129" t="s">
        <v>1263</v>
      </c>
      <c r="S232" s="61" t="s">
        <v>1264</v>
      </c>
      <c r="T232" s="68"/>
      <c r="U232" s="378">
        <v>1.0</v>
      </c>
      <c r="V232" s="66" t="str">
        <f> hyperlink(vlookup(lower(S232),'File Links'!E:F, 2, FALSE), SUBSTITUTE(lower(S232), "/", "--") &amp;  ".pdf")</f>
        <v>10.1002--erv.3103.pdf</v>
      </c>
      <c r="W232" s="129" t="s">
        <v>1265</v>
      </c>
      <c r="X232" s="54" t="str">
        <f t="array" ref="X232"> if(iserror(MATCH(V232, 'File Links'!C:C, 0)), "N/A", HYPERLINK(INDEX('File Links'!B:B, MATCH(V232, 'File Links'!C:C, 0))))</f>
        <v>https://drive.google.com/file/d/1bJ0BC-Xy_bNt41DXHAjv1ms0mnz9Vq86/view?usp=drivesdk</v>
      </c>
      <c r="Z232" s="151" t="s">
        <v>148</v>
      </c>
      <c r="AA232" s="129" t="s">
        <v>1394</v>
      </c>
      <c r="AB232" s="129" t="s">
        <v>1267</v>
      </c>
      <c r="AC232" s="371" t="s">
        <v>1380</v>
      </c>
      <c r="AD232" s="541" t="s">
        <v>1395</v>
      </c>
      <c r="AE232" s="161" t="s">
        <v>140</v>
      </c>
      <c r="AF232" s="161">
        <v>89.0</v>
      </c>
      <c r="AG232" s="378" t="s">
        <v>1357</v>
      </c>
      <c r="AH232" s="151" t="s">
        <v>134</v>
      </c>
      <c r="AI232" s="371" t="s">
        <v>140</v>
      </c>
      <c r="AJ232" s="166">
        <v>0.05</v>
      </c>
      <c r="AK232" s="151" t="s">
        <v>335</v>
      </c>
      <c r="AL232" s="151" t="s">
        <v>136</v>
      </c>
      <c r="AM232" s="129" t="s">
        <v>141</v>
      </c>
      <c r="AN232" s="219" t="s">
        <v>138</v>
      </c>
      <c r="AO232" s="161">
        <v>74.0</v>
      </c>
      <c r="AP232" s="371" t="s">
        <v>1376</v>
      </c>
      <c r="AQ232" s="151" t="s">
        <v>134</v>
      </c>
      <c r="AR232" s="371" t="s">
        <v>1364</v>
      </c>
      <c r="AS232" s="166">
        <v>0.065</v>
      </c>
      <c r="AT232" s="151" t="s">
        <v>335</v>
      </c>
      <c r="AU232" s="151" t="s">
        <v>186</v>
      </c>
      <c r="AV232" s="129" t="s">
        <v>141</v>
      </c>
      <c r="AW232" s="542" t="s">
        <v>138</v>
      </c>
      <c r="AX232" s="129" t="s">
        <v>438</v>
      </c>
      <c r="AY232" s="61" t="str">
        <f>IFERROR(__xludf.DUMMYFUNCTION("vlookup(BB232,importrange(""https://docs.google.com/spreadsheets/d/1d2vevQ_7D_v35q4wCQ4RpQ_IPoTwEMB9Yp6ymwlPqew/edit?gid=984458430#gid=984458430"", ""'replication success'!A:K""), 11, FAlSE)"),"successful")</f>
        <v>successful</v>
      </c>
      <c r="AZ232" s="61" t="str">
        <f>IFERROR(__xludf.DUMMYFUNCTION("vlookup(BB232,importrange(""https://docs.google.com/spreadsheets/d/1d2vevQ_7D_v35q4wCQ4RpQ_IPoTwEMB9Yp6ymwlPqew/edit?gid=984458430#gid=984458430"",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2" s="61" t="str">
        <f>IFERROR(__xludf.DUMMYFUNCTION("vlookup(BB232,importrange(""https://docs.google.com/spreadsheets/d/1d2vevQ_7D_v35q4wCQ4RpQ_IPoTwEMB9Yp6ymwlPqew/edit?gid=984458430#gid=984458430"", ""'replication success'!A:M""), 13, FAlSE)"),"abstract")</f>
        <v>abstract</v>
      </c>
      <c r="BB232" s="61" t="str">
        <f>IFERROR(__xludf.DUMMYFUNCTION("REGEXREPLACE(G232, ""_[a-z]{1,2}$"", """")"),"additional_studies36")</f>
        <v>additional_studies36</v>
      </c>
      <c r="BD232" s="381" t="s">
        <v>1270</v>
      </c>
      <c r="BG232" s="92"/>
      <c r="BH232" s="92"/>
      <c r="BI232" s="92"/>
      <c r="BJ232" s="92"/>
      <c r="BK232" s="92"/>
      <c r="BL232" s="92"/>
      <c r="BM232" s="92"/>
      <c r="BN232" s="92"/>
      <c r="BO232" s="92"/>
      <c r="BP232" s="92"/>
      <c r="BQ232" s="92"/>
      <c r="BR232" s="92"/>
      <c r="BS232" s="92"/>
      <c r="BT232" s="92"/>
      <c r="BU232" s="92"/>
      <c r="BV232" s="92"/>
      <c r="BW232" s="92"/>
      <c r="BX232" s="92"/>
      <c r="BY232" s="92"/>
      <c r="BZ232" s="92"/>
      <c r="CA232" s="92"/>
      <c r="CB232" s="92"/>
      <c r="CC232" s="92"/>
      <c r="CD232" s="92"/>
      <c r="CE232" s="92"/>
      <c r="CF232" s="92"/>
      <c r="CG232" s="92"/>
      <c r="CH232" s="92"/>
      <c r="CI232" s="92"/>
      <c r="CJ232" s="92"/>
      <c r="CK232" s="92"/>
      <c r="CL232" s="92"/>
      <c r="CM232" s="92"/>
      <c r="CN232" s="92"/>
      <c r="CO232" s="92"/>
      <c r="CP232" s="92"/>
      <c r="CQ232" s="92"/>
      <c r="CR232" s="92"/>
      <c r="CS232" s="92"/>
      <c r="CT232" s="92"/>
      <c r="CU232" s="92"/>
      <c r="CV232" s="92"/>
      <c r="CW232" s="92"/>
      <c r="CX232" s="92"/>
      <c r="CY232" s="92"/>
      <c r="CZ232" s="92"/>
      <c r="DA232" s="92"/>
      <c r="DB232" s="92"/>
      <c r="DC232" s="92"/>
      <c r="DD232" s="92"/>
      <c r="DE232" s="92"/>
      <c r="DF232" s="92"/>
      <c r="DG232" s="92"/>
      <c r="DH232" s="92"/>
      <c r="DI232" s="92"/>
      <c r="DJ232" s="92"/>
      <c r="DK232" s="92"/>
      <c r="DL232" s="92"/>
    </row>
    <row r="233" ht="20.25" customHeight="1">
      <c r="A233" s="44">
        <v>233.0</v>
      </c>
      <c r="B233" s="538" t="s">
        <v>152</v>
      </c>
      <c r="C233" s="538" t="s">
        <v>115</v>
      </c>
      <c r="D233" s="538" t="s">
        <v>286</v>
      </c>
      <c r="E233" s="539"/>
      <c r="F233" s="545" t="s">
        <v>1258</v>
      </c>
      <c r="G233" s="151" t="s">
        <v>1396</v>
      </c>
      <c r="H233" s="151" t="s">
        <v>289</v>
      </c>
      <c r="I233" s="152"/>
      <c r="J233" s="153">
        <v>45782.0</v>
      </c>
      <c r="K233" s="129" t="s">
        <v>1281</v>
      </c>
      <c r="L233" s="129" t="s">
        <v>1397</v>
      </c>
      <c r="M233" s="155" t="s">
        <v>1398</v>
      </c>
      <c r="N233" s="155" t="s">
        <v>1262</v>
      </c>
      <c r="O233" s="378">
        <v>1.0</v>
      </c>
      <c r="P233" s="118" t="str">
        <f> hyperlink(vlookup(lower(N233),'File Links'!A:B, 2, FALSE), SUBSTITUTE(lower(N233), "/", "--") &amp;  ".pdf")</f>
        <v>10.1016--j.psychres.2017.09.048.pdf</v>
      </c>
      <c r="Q233" s="52" t="str">
        <f t="array" ref="Q233"> if(iserror(MATCH(V233, 'File Links'!C:C, 0)), "N/A", HYPERLINK(INDEX('File Links'!B:B, MATCH(P233, 'File Links'!C:C, 0))))</f>
        <v>https://drive.google.com/file/d/1bB5zAUL5oQPM2ClvdBCDeAd5AlkWVp4P/view?usp=drivesdk</v>
      </c>
      <c r="R233" s="129" t="s">
        <v>1263</v>
      </c>
      <c r="S233" s="61" t="s">
        <v>1264</v>
      </c>
      <c r="T233" s="68"/>
      <c r="U233" s="378">
        <v>1.0</v>
      </c>
      <c r="V233" s="66" t="str">
        <f> hyperlink(vlookup(lower(S233),'File Links'!E:F, 2, FALSE), SUBSTITUTE(lower(S233), "/", "--") &amp;  ".pdf")</f>
        <v>10.1002--erv.3103.pdf</v>
      </c>
      <c r="W233" s="129" t="s">
        <v>1265</v>
      </c>
      <c r="X233" s="54" t="str">
        <f t="array" ref="X233"> if(iserror(MATCH(V233, 'File Links'!C:C, 0)), "N/A", HYPERLINK(INDEX('File Links'!B:B, MATCH(V233, 'File Links'!C:C, 0))))</f>
        <v>https://drive.google.com/file/d/1bJ0BC-Xy_bNt41DXHAjv1ms0mnz9Vq86/view?usp=drivesdk</v>
      </c>
      <c r="Z233" s="151" t="s">
        <v>148</v>
      </c>
      <c r="AA233" s="129" t="s">
        <v>1399</v>
      </c>
      <c r="AB233" s="129" t="s">
        <v>1267</v>
      </c>
      <c r="AC233" s="371" t="s">
        <v>1380</v>
      </c>
      <c r="AD233" s="541" t="s">
        <v>1400</v>
      </c>
      <c r="AE233" s="161" t="s">
        <v>140</v>
      </c>
      <c r="AF233" s="161">
        <v>89.0</v>
      </c>
      <c r="AG233" s="378" t="s">
        <v>1357</v>
      </c>
      <c r="AH233" s="151" t="s">
        <v>134</v>
      </c>
      <c r="AI233" s="371" t="s">
        <v>140</v>
      </c>
      <c r="AJ233" s="166">
        <v>0.05</v>
      </c>
      <c r="AK233" s="151" t="s">
        <v>335</v>
      </c>
      <c r="AL233" s="151" t="s">
        <v>136</v>
      </c>
      <c r="AM233" s="129" t="s">
        <v>141</v>
      </c>
      <c r="AN233" s="219" t="s">
        <v>138</v>
      </c>
      <c r="AO233" s="161">
        <v>74.0</v>
      </c>
      <c r="AP233" s="161">
        <v>0.053</v>
      </c>
      <c r="AQ233" s="380" t="s">
        <v>874</v>
      </c>
      <c r="AR233" s="371" t="s">
        <v>1364</v>
      </c>
      <c r="AS233" s="166">
        <v>0.049</v>
      </c>
      <c r="AT233" s="151" t="s">
        <v>172</v>
      </c>
      <c r="AU233" s="151" t="s">
        <v>186</v>
      </c>
      <c r="AV233" s="129" t="s">
        <v>141</v>
      </c>
      <c r="AW233" s="542" t="s">
        <v>138</v>
      </c>
      <c r="AX233" s="129" t="s">
        <v>438</v>
      </c>
      <c r="AY233" s="61" t="str">
        <f>IFERROR(__xludf.DUMMYFUNCTION("vlookup(BB233,importrange(""https://docs.google.com/spreadsheets/d/1d2vevQ_7D_v35q4wCQ4RpQ_IPoTwEMB9Yp6ymwlPqew/edit?gid=984458430#gid=984458430"", ""'replication success'!A:K""), 11, FAlSE)"),"successful")</f>
        <v>successful</v>
      </c>
      <c r="AZ233" s="61" t="str">
        <f>IFERROR(__xludf.DUMMYFUNCTION("vlookup(BB233,importrange(""https://docs.google.com/spreadsheets/d/1d2vevQ_7D_v35q4wCQ4RpQ_IPoTwEMB9Yp6ymwlPqew/edit?gid=984458430#gid=984458430"",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3" s="61" t="str">
        <f>IFERROR(__xludf.DUMMYFUNCTION("vlookup(BB233,importrange(""https://docs.google.com/spreadsheets/d/1d2vevQ_7D_v35q4wCQ4RpQ_IPoTwEMB9Yp6ymwlPqew/edit?gid=984458430#gid=984458430"", ""'replication success'!A:M""), 13, FAlSE)"),"abstract")</f>
        <v>abstract</v>
      </c>
      <c r="BB233" s="61" t="str">
        <f>IFERROR(__xludf.DUMMYFUNCTION("REGEXREPLACE(G233, ""_[a-z]{1,2}$"", """")"),"additional_studies36")</f>
        <v>additional_studies36</v>
      </c>
      <c r="BD233" s="381" t="s">
        <v>1270</v>
      </c>
      <c r="BG233" s="220"/>
      <c r="BH233" s="220"/>
      <c r="BI233" s="220"/>
      <c r="BJ233" s="220"/>
      <c r="BK233" s="220"/>
      <c r="BL233" s="220"/>
      <c r="BM233" s="220"/>
      <c r="BN233" s="220"/>
      <c r="BO233" s="220"/>
      <c r="BP233" s="220"/>
      <c r="BQ233" s="220"/>
      <c r="BR233" s="220"/>
      <c r="BS233" s="220"/>
      <c r="BT233" s="220"/>
      <c r="BU233" s="220"/>
      <c r="BV233" s="220"/>
      <c r="BW233" s="220"/>
      <c r="BX233" s="220"/>
      <c r="BY233" s="220"/>
      <c r="BZ233" s="220"/>
      <c r="CA233" s="220"/>
      <c r="CB233" s="220"/>
      <c r="CC233" s="220"/>
      <c r="CD233" s="220"/>
      <c r="CE233" s="220"/>
      <c r="CF233" s="220"/>
      <c r="CG233" s="220"/>
      <c r="CH233" s="220"/>
      <c r="CI233" s="220"/>
      <c r="CJ233" s="220"/>
      <c r="CK233" s="220"/>
      <c r="CL233" s="220"/>
      <c r="CM233" s="220"/>
      <c r="CN233" s="220"/>
      <c r="CO233" s="220"/>
      <c r="CP233" s="220"/>
      <c r="CQ233" s="220"/>
      <c r="CR233" s="220"/>
      <c r="CS233" s="220"/>
      <c r="CT233" s="220"/>
      <c r="CU233" s="220"/>
      <c r="CV233" s="220"/>
      <c r="CW233" s="220"/>
      <c r="CX233" s="220"/>
      <c r="CY233" s="220"/>
      <c r="CZ233" s="220"/>
      <c r="DA233" s="220"/>
      <c r="DB233" s="220"/>
      <c r="DC233" s="220"/>
      <c r="DD233" s="220"/>
      <c r="DE233" s="220"/>
      <c r="DF233" s="220"/>
      <c r="DG233" s="220"/>
      <c r="DH233" s="220"/>
      <c r="DI233" s="220"/>
      <c r="DJ233" s="220"/>
      <c r="DK233" s="220"/>
      <c r="DL233" s="220"/>
    </row>
    <row r="234" ht="20.25" customHeight="1">
      <c r="A234" s="44">
        <v>234.0</v>
      </c>
      <c r="B234" s="538" t="s">
        <v>152</v>
      </c>
      <c r="C234" s="538" t="s">
        <v>115</v>
      </c>
      <c r="D234" s="538" t="s">
        <v>286</v>
      </c>
      <c r="E234" s="539"/>
      <c r="F234" s="549" t="s">
        <v>1401</v>
      </c>
      <c r="G234" s="151" t="s">
        <v>1258</v>
      </c>
      <c r="H234" s="151" t="s">
        <v>289</v>
      </c>
      <c r="I234" s="153">
        <v>45427.0</v>
      </c>
      <c r="J234" s="540">
        <v>45775.0</v>
      </c>
      <c r="L234" s="129" t="s">
        <v>1260</v>
      </c>
      <c r="M234" s="155" t="s">
        <v>1402</v>
      </c>
      <c r="N234" s="155" t="s">
        <v>1262</v>
      </c>
      <c r="O234" s="378">
        <v>1.0</v>
      </c>
      <c r="P234" s="309" t="s">
        <v>1403</v>
      </c>
      <c r="Q234" s="52" t="str">
        <f t="array" ref="Q234"> if(iserror(MATCH(V234, 'File Links'!C:C, 0)), "N/A", HYPERLINK(INDEX('File Links'!B:B, MATCH(P234, 'File Links'!C:C, 0))))</f>
        <v>https://drive.google.com/file/d/1bB5zAUL5oQPM2ClvdBCDeAd5AlkWVp4P/view?usp=drivesdk</v>
      </c>
      <c r="R234" s="129" t="s">
        <v>1263</v>
      </c>
      <c r="S234" s="61" t="s">
        <v>1264</v>
      </c>
      <c r="T234" s="68"/>
      <c r="U234" s="378">
        <v>1.0</v>
      </c>
      <c r="V234" s="66" t="str">
        <f> hyperlink(vlookup(lower(S234),'File Links'!E:F, 2, FALSE), SUBSTITUTE(lower(S234), "/", "--") &amp;  ".pdf")</f>
        <v>10.1002--erv.3103.pdf</v>
      </c>
      <c r="W234" s="129" t="s">
        <v>1265</v>
      </c>
      <c r="X234" s="54" t="str">
        <f t="array" ref="X234"> if(iserror(MATCH(V234, 'File Links'!C:C, 0)), "N/A", HYPERLINK(INDEX('File Links'!B:B, MATCH(V234, 'File Links'!C:C, 0))))</f>
        <v>https://drive.google.com/file/d/1bJ0BC-Xy_bNt41DXHAjv1ms0mnz9Vq86/view?usp=drivesdk</v>
      </c>
      <c r="Z234" s="151" t="s">
        <v>148</v>
      </c>
      <c r="AA234" s="129" t="s">
        <v>1404</v>
      </c>
      <c r="AB234" s="129" t="s">
        <v>1267</v>
      </c>
      <c r="AC234" s="371" t="s">
        <v>1268</v>
      </c>
      <c r="AD234" s="541" t="s">
        <v>1405</v>
      </c>
      <c r="AE234" s="161" t="s">
        <v>850</v>
      </c>
      <c r="AF234" s="161">
        <v>89.0</v>
      </c>
      <c r="AG234" s="161">
        <v>0.822</v>
      </c>
      <c r="AH234" s="380" t="s">
        <v>874</v>
      </c>
      <c r="AI234" s="129" t="s">
        <v>850</v>
      </c>
      <c r="AJ234" s="166">
        <v>0.001</v>
      </c>
      <c r="AK234" s="151" t="s">
        <v>135</v>
      </c>
      <c r="AL234" s="151" t="s">
        <v>136</v>
      </c>
      <c r="AM234" s="129" t="s">
        <v>141</v>
      </c>
      <c r="AN234" s="61" t="s">
        <v>138</v>
      </c>
      <c r="AO234" s="161">
        <v>74.0</v>
      </c>
      <c r="AP234" s="161">
        <v>0.243</v>
      </c>
      <c r="AQ234" s="380" t="s">
        <v>874</v>
      </c>
      <c r="AR234" s="371" t="s">
        <v>850</v>
      </c>
      <c r="AS234" s="166">
        <v>0.001</v>
      </c>
      <c r="AT234" s="151" t="s">
        <v>135</v>
      </c>
      <c r="AU234" s="151" t="s">
        <v>186</v>
      </c>
      <c r="AV234" s="129" t="s">
        <v>141</v>
      </c>
      <c r="AW234" s="542" t="s">
        <v>138</v>
      </c>
      <c r="AX234" s="129" t="s">
        <v>438</v>
      </c>
      <c r="AY234" s="61" t="str">
        <f>IFERROR(__xludf.DUMMYFUNCTION("vlookup(BB234,importrange(""https://docs.google.com/spreadsheets/d/1d2vevQ_7D_v35q4wCQ4RpQ_IPoTwEMB9Yp6ymwlPqew/edit?gid=984458430#gid=984458430"", ""'replication success'!A:K""), 11, FAlSE)"),"successful")</f>
        <v>successful</v>
      </c>
      <c r="AZ234" s="61" t="str">
        <f>IFERROR(__xludf.DUMMYFUNCTION("vlookup(BB234,importrange(""https://docs.google.com/spreadsheets/d/1d2vevQ_7D_v35q4wCQ4RpQ_IPoTwEMB9Yp6ymwlPqew/edit?gid=984458430#gid=984458430"",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4" s="61" t="str">
        <f>IFERROR(__xludf.DUMMYFUNCTION("vlookup(BB234,importrange(""https://docs.google.com/spreadsheets/d/1d2vevQ_7D_v35q4wCQ4RpQ_IPoTwEMB9Yp6ymwlPqew/edit?gid=984458430#gid=984458430"", ""'replication success'!A:M""), 13, FAlSE)"),"abstract")</f>
        <v>abstract</v>
      </c>
      <c r="BB234" s="61" t="str">
        <f>IFERROR(__xludf.DUMMYFUNCTION("REGEXREPLACE(G234, ""_[a-z]{1,2}$"", """")"),"additional_studies36")</f>
        <v>additional_studies36</v>
      </c>
      <c r="BD234" s="381" t="s">
        <v>1270</v>
      </c>
      <c r="BG234" s="92"/>
      <c r="BH234" s="92"/>
      <c r="BI234" s="92"/>
      <c r="BJ234" s="92"/>
      <c r="BK234" s="92"/>
      <c r="BL234" s="92"/>
      <c r="BM234" s="92"/>
      <c r="BN234" s="92"/>
      <c r="BO234" s="92"/>
      <c r="BP234" s="92"/>
      <c r="BQ234" s="92"/>
      <c r="BR234" s="92"/>
      <c r="BS234" s="92"/>
      <c r="BT234" s="92"/>
      <c r="BU234" s="92"/>
      <c r="BV234" s="92"/>
      <c r="BW234" s="92"/>
      <c r="BX234" s="92"/>
      <c r="BY234" s="92"/>
      <c r="BZ234" s="92"/>
      <c r="CA234" s="92"/>
      <c r="CB234" s="92"/>
      <c r="CC234" s="92"/>
      <c r="CD234" s="92"/>
      <c r="CE234" s="92"/>
      <c r="CF234" s="92"/>
      <c r="CG234" s="92"/>
      <c r="CH234" s="92"/>
      <c r="CI234" s="92"/>
      <c r="CJ234" s="92"/>
      <c r="CK234" s="92"/>
      <c r="CL234" s="92"/>
      <c r="CM234" s="92"/>
      <c r="CN234" s="92"/>
      <c r="CO234" s="92"/>
      <c r="CP234" s="92"/>
      <c r="CQ234" s="92"/>
      <c r="CR234" s="92"/>
      <c r="CS234" s="92"/>
      <c r="CT234" s="92"/>
      <c r="CU234" s="92"/>
      <c r="CV234" s="92"/>
      <c r="CW234" s="92"/>
      <c r="CX234" s="92"/>
      <c r="CY234" s="92"/>
      <c r="CZ234" s="92"/>
      <c r="DA234" s="92"/>
      <c r="DB234" s="92"/>
      <c r="DC234" s="92"/>
      <c r="DD234" s="92"/>
      <c r="DE234" s="92"/>
      <c r="DF234" s="92"/>
      <c r="DG234" s="92"/>
      <c r="DH234" s="92"/>
      <c r="DI234" s="92"/>
      <c r="DJ234" s="92"/>
      <c r="DK234" s="92"/>
      <c r="DL234" s="92"/>
    </row>
    <row r="235" ht="20.25" customHeight="1">
      <c r="A235" s="44">
        <v>235.0</v>
      </c>
      <c r="B235" s="538" t="s">
        <v>114</v>
      </c>
      <c r="C235" s="560" t="s">
        <v>115</v>
      </c>
      <c r="D235" s="560" t="s">
        <v>753</v>
      </c>
      <c r="E235" s="561"/>
      <c r="F235" s="562" t="s">
        <v>1401</v>
      </c>
      <c r="G235" s="45" t="s">
        <v>1258</v>
      </c>
      <c r="H235" s="45" t="s">
        <v>753</v>
      </c>
      <c r="I235" s="63">
        <v>45427.0</v>
      </c>
      <c r="J235" s="65"/>
      <c r="K235" s="65"/>
      <c r="L235" s="45" t="s">
        <v>1406</v>
      </c>
      <c r="M235" s="45" t="s">
        <v>1402</v>
      </c>
      <c r="N235" s="45" t="s">
        <v>1262</v>
      </c>
      <c r="O235" s="378">
        <v>1.0</v>
      </c>
      <c r="P235" s="520" t="str">
        <f> hyperlink(vlookup(lower(N235),'File Links'!A:B, 2, FALSE), SUBSTITUTE(lower(N235), "/", "--") &amp;  ".pdf")</f>
        <v>10.1016--j.psychres.2017.09.048.pdf</v>
      </c>
      <c r="Q235" s="52" t="str">
        <f t="array" ref="Q235"> if(iserror(MATCH(V235, 'File Links'!C:C, 0)), "N/A", HYPERLINK(INDEX('File Links'!B:B, MATCH(P235, 'File Links'!C:C, 0))))</f>
        <v>https://drive.google.com/file/d/1bB5zAUL5oQPM2ClvdBCDeAd5AlkWVp4P/view?usp=drivesdk</v>
      </c>
      <c r="R235" s="129" t="s">
        <v>1263</v>
      </c>
      <c r="S235" s="61" t="s">
        <v>1264</v>
      </c>
      <c r="T235" s="65"/>
      <c r="U235" s="378">
        <v>1.0</v>
      </c>
      <c r="V235" s="66" t="str">
        <f> hyperlink(vlookup(lower(S235),'File Links'!E:F, 2, FALSE), SUBSTITUTE(lower(S235), "/", "--") &amp;  ".pdf")</f>
        <v>10.1002--erv.3103.pdf</v>
      </c>
      <c r="W235" s="65"/>
      <c r="X235" s="54" t="str">
        <f t="array" ref="X235"> if(iserror(MATCH(V235, 'File Links'!C:C, 0)), "N/A", HYPERLINK(INDEX('File Links'!B:B, MATCH(V235, 'File Links'!C:C, 0))))</f>
        <v>https://drive.google.com/file/d/1bJ0BC-Xy_bNt41DXHAjv1ms0mnz9Vq86/view?usp=drivesdk</v>
      </c>
      <c r="Y235" s="65"/>
      <c r="Z235" s="45" t="s">
        <v>947</v>
      </c>
      <c r="AA235" s="65"/>
      <c r="AB235" s="65"/>
      <c r="AC235" s="45" t="s">
        <v>1407</v>
      </c>
      <c r="AD235" s="65"/>
      <c r="AE235" s="65"/>
      <c r="AF235" s="65"/>
      <c r="AG235" s="65"/>
      <c r="AH235" s="65"/>
      <c r="AI235" s="65"/>
      <c r="AJ235" s="45"/>
      <c r="AK235" s="65"/>
      <c r="AL235" s="65"/>
      <c r="AM235" s="67"/>
      <c r="AN235" s="219" t="s">
        <v>138</v>
      </c>
      <c r="AO235" s="65"/>
      <c r="AP235" s="65"/>
      <c r="AQ235" s="65"/>
      <c r="AR235" s="65"/>
      <c r="AS235" s="65"/>
      <c r="AT235" s="65"/>
      <c r="AU235" s="65"/>
      <c r="AV235" s="67"/>
      <c r="AX235" s="68"/>
      <c r="AY235" s="61" t="str">
        <f>IFERROR(__xludf.DUMMYFUNCTION("vlookup(BB235,importrange(""https://docs.google.com/spreadsheets/d/1d2vevQ_7D_v35q4wCQ4RpQ_IPoTwEMB9Yp6ymwlPqew/edit?gid=984458430#gid=984458430"", ""'replication success'!A:K""), 11, FAlSE)"),"successful")</f>
        <v>successful</v>
      </c>
      <c r="AZ235" s="61" t="str">
        <f>IFERROR(__xludf.DUMMYFUNCTION("vlookup(BB235,importrange(""https://docs.google.com/spreadsheets/d/1d2vevQ_7D_v35q4wCQ4RpQ_IPoTwEMB9Yp6ymwlPqew/edit?gid=984458430#gid=984458430"",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5" s="61" t="str">
        <f>IFERROR(__xludf.DUMMYFUNCTION("vlookup(BB235,importrange(""https://docs.google.com/spreadsheets/d/1d2vevQ_7D_v35q4wCQ4RpQ_IPoTwEMB9Yp6ymwlPqew/edit?gid=984458430#gid=984458430"", ""'replication success'!A:M""), 13, FAlSE)"),"abstract")</f>
        <v>abstract</v>
      </c>
      <c r="BB235" s="61" t="str">
        <f>IFERROR(__xludf.DUMMYFUNCTION("REGEXREPLACE(G235, ""_[a-z]{1,2}$"", """")"),"additional_studies36")</f>
        <v>additional_studies36</v>
      </c>
      <c r="BC235" s="65"/>
      <c r="BD235" s="381" t="s">
        <v>1270</v>
      </c>
      <c r="BG235" s="220"/>
      <c r="BH235" s="220"/>
      <c r="BI235" s="220"/>
      <c r="BJ235" s="220"/>
      <c r="BK235" s="220"/>
      <c r="BL235" s="220"/>
      <c r="BM235" s="220"/>
      <c r="BN235" s="220"/>
      <c r="BO235" s="220"/>
      <c r="BP235" s="220"/>
      <c r="BQ235" s="220"/>
      <c r="BR235" s="220"/>
      <c r="BS235" s="220"/>
      <c r="BT235" s="220"/>
      <c r="BU235" s="220"/>
      <c r="BV235" s="220"/>
      <c r="BW235" s="220"/>
      <c r="BX235" s="220"/>
      <c r="BY235" s="220"/>
      <c r="BZ235" s="220"/>
      <c r="CA235" s="220"/>
      <c r="CB235" s="220"/>
      <c r="CC235" s="220"/>
      <c r="CD235" s="220"/>
      <c r="CE235" s="220"/>
      <c r="CF235" s="220"/>
      <c r="CG235" s="220"/>
      <c r="CH235" s="220"/>
      <c r="CI235" s="220"/>
      <c r="CJ235" s="220"/>
      <c r="CK235" s="220"/>
      <c r="CL235" s="220"/>
      <c r="CM235" s="220"/>
      <c r="CN235" s="220"/>
      <c r="CO235" s="220"/>
      <c r="CP235" s="220"/>
      <c r="CQ235" s="220"/>
      <c r="CR235" s="220"/>
      <c r="CS235" s="220"/>
      <c r="CT235" s="220"/>
      <c r="CU235" s="220"/>
      <c r="CV235" s="220"/>
      <c r="CW235" s="220"/>
      <c r="CX235" s="220"/>
      <c r="CY235" s="220"/>
      <c r="CZ235" s="220"/>
      <c r="DA235" s="220"/>
      <c r="DB235" s="220"/>
      <c r="DC235" s="220"/>
      <c r="DD235" s="220"/>
      <c r="DE235" s="220"/>
      <c r="DF235" s="220"/>
      <c r="DG235" s="220"/>
      <c r="DH235" s="220"/>
      <c r="DI235" s="220"/>
      <c r="DJ235" s="220"/>
      <c r="DK235" s="220"/>
      <c r="DL235" s="220"/>
    </row>
    <row r="236" ht="20.25" customHeight="1">
      <c r="A236" s="44">
        <v>236.0</v>
      </c>
      <c r="B236" s="538" t="s">
        <v>114</v>
      </c>
      <c r="C236" s="538" t="s">
        <v>115</v>
      </c>
      <c r="D236" s="538" t="s">
        <v>248</v>
      </c>
      <c r="E236" s="539"/>
      <c r="F236" s="527" t="s">
        <v>1401</v>
      </c>
      <c r="G236" s="61" t="s">
        <v>1258</v>
      </c>
      <c r="H236" s="61" t="s">
        <v>249</v>
      </c>
      <c r="I236" s="529">
        <v>45427.0</v>
      </c>
      <c r="J236" s="540">
        <v>45775.0</v>
      </c>
      <c r="L236" s="129" t="s">
        <v>1408</v>
      </c>
      <c r="M236" s="61" t="s">
        <v>1402</v>
      </c>
      <c r="N236" s="61" t="s">
        <v>1262</v>
      </c>
      <c r="O236" s="378">
        <v>1.0</v>
      </c>
      <c r="P236" s="524" t="str">
        <f> hyperlink(vlookup(lower(N236),'File Links'!E:F, 2, FALSE), SUBSTITUTE(lower(N236), "/", "--") &amp;  ".pdf")</f>
        <v>10.1016--j.psychres.2017.09.048.pdf</v>
      </c>
      <c r="Q236" s="52" t="str">
        <f t="array" ref="Q236"> if(iserror(MATCH(V236, 'File Links'!C:C, 0)), "N/A", HYPERLINK(INDEX('File Links'!B:B, MATCH(P236, 'File Links'!C:C, 0))))</f>
        <v>https://drive.google.com/file/d/1bB5zAUL5oQPM2ClvdBCDeAd5AlkWVp4P/view?usp=drivesdk</v>
      </c>
      <c r="R236" s="129" t="s">
        <v>1263</v>
      </c>
      <c r="S236" s="61" t="s">
        <v>1264</v>
      </c>
      <c r="T236" s="61"/>
      <c r="U236" s="378">
        <v>1.0</v>
      </c>
      <c r="V236" s="66" t="str">
        <f> hyperlink(vlookup(lower(S236),'File Links'!E:F, 2, FALSE), SUBSTITUTE(lower(S236), "/", "--") &amp;  ".pdf")</f>
        <v>10.1002--erv.3103.pdf</v>
      </c>
      <c r="W236" s="61" t="s">
        <v>209</v>
      </c>
      <c r="X236" s="54" t="str">
        <f t="array" ref="X236"> if(iserror(MATCH(V236, 'File Links'!C:C, 0)), "N/A", HYPERLINK(INDEX('File Links'!B:B, MATCH(V236, 'File Links'!C:C, 0))))</f>
        <v>https://drive.google.com/file/d/1bJ0BC-Xy_bNt41DXHAjv1ms0mnz9Vq86/view?usp=drivesdk</v>
      </c>
      <c r="Y236" s="61"/>
      <c r="Z236" s="61" t="s">
        <v>148</v>
      </c>
      <c r="AA236" s="371" t="s">
        <v>1409</v>
      </c>
      <c r="AB236" s="61" t="s">
        <v>1410</v>
      </c>
      <c r="AC236" s="371" t="s">
        <v>1268</v>
      </c>
      <c r="AD236" s="61" t="s">
        <v>1411</v>
      </c>
      <c r="AE236" s="161" t="s">
        <v>850</v>
      </c>
      <c r="AF236" s="378">
        <v>89.0</v>
      </c>
      <c r="AG236" s="378">
        <v>0.822</v>
      </c>
      <c r="AH236" s="380" t="s">
        <v>874</v>
      </c>
      <c r="AI236" s="129" t="s">
        <v>850</v>
      </c>
      <c r="AJ236" s="563">
        <v>0.001</v>
      </c>
      <c r="AK236" s="68" t="s">
        <v>135</v>
      </c>
      <c r="AL236" s="61" t="s">
        <v>136</v>
      </c>
      <c r="AM236" s="61" t="s">
        <v>141</v>
      </c>
      <c r="AN236" s="61" t="s">
        <v>138</v>
      </c>
      <c r="AO236" s="378">
        <v>74.0</v>
      </c>
      <c r="AP236" s="378">
        <v>0.243</v>
      </c>
      <c r="AQ236" s="380" t="s">
        <v>139</v>
      </c>
      <c r="AR236" s="371" t="s">
        <v>850</v>
      </c>
      <c r="AS236" s="166">
        <v>0.001</v>
      </c>
      <c r="AT236" s="68" t="s">
        <v>135</v>
      </c>
      <c r="AU236" s="68" t="s">
        <v>186</v>
      </c>
      <c r="AV236" s="68" t="s">
        <v>141</v>
      </c>
      <c r="AW236" s="68" t="s">
        <v>138</v>
      </c>
      <c r="AX236" s="68" t="s">
        <v>438</v>
      </c>
      <c r="AY236" s="61" t="str">
        <f>IFERROR(__xludf.DUMMYFUNCTION("vlookup(BB236,importrange(""https://docs.google.com/spreadsheets/d/1d2vevQ_7D_v35q4wCQ4RpQ_IPoTwEMB9Yp6ymwlPqew/edit?gid=984458430#gid=984458430"", ""'replication success'!A:K""), 11, FAlSE)"),"successful")</f>
        <v>successful</v>
      </c>
      <c r="AZ236" s="61" t="str">
        <f>IFERROR(__xludf.DUMMYFUNCTION("vlookup(BB236,importrange(""https://docs.google.com/spreadsheets/d/1d2vevQ_7D_v35q4wCQ4RpQ_IPoTwEMB9Yp6ymwlPqew/edit?gid=984458430#gid=984458430"",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6" s="61" t="str">
        <f>IFERROR(__xludf.DUMMYFUNCTION("vlookup(BB236,importrange(""https://docs.google.com/spreadsheets/d/1d2vevQ_7D_v35q4wCQ4RpQ_IPoTwEMB9Yp6ymwlPqew/edit?gid=984458430#gid=984458430"", ""'replication success'!A:M""), 13, FAlSE)"),"abstract")</f>
        <v>abstract</v>
      </c>
      <c r="BB236" s="61" t="str">
        <f>IFERROR(__xludf.DUMMYFUNCTION("REGEXREPLACE(G236, ""_[a-z]{1,2}$"", """")"),"additional_studies36")</f>
        <v>additional_studies36</v>
      </c>
      <c r="BC236" s="129" t="s">
        <v>1412</v>
      </c>
      <c r="BD236" s="381" t="s">
        <v>1270</v>
      </c>
      <c r="BG236" s="92"/>
      <c r="BH236" s="92"/>
      <c r="BI236" s="92"/>
      <c r="BJ236" s="92"/>
      <c r="BK236" s="92"/>
      <c r="BL236" s="92"/>
      <c r="BM236" s="92"/>
      <c r="BN236" s="92"/>
      <c r="BO236" s="92"/>
      <c r="BP236" s="92"/>
      <c r="BQ236" s="92"/>
      <c r="BR236" s="92"/>
      <c r="BS236" s="92"/>
      <c r="BT236" s="92"/>
      <c r="BU236" s="92"/>
      <c r="BV236" s="92"/>
      <c r="BW236" s="92"/>
      <c r="BX236" s="92"/>
      <c r="BY236" s="92"/>
      <c r="BZ236" s="92"/>
      <c r="CA236" s="92"/>
      <c r="CB236" s="92"/>
      <c r="CC236" s="92"/>
      <c r="CD236" s="92"/>
      <c r="CE236" s="92"/>
      <c r="CF236" s="92"/>
      <c r="CG236" s="92"/>
      <c r="CH236" s="92"/>
      <c r="CI236" s="92"/>
      <c r="CJ236" s="92"/>
      <c r="CK236" s="92"/>
      <c r="CL236" s="92"/>
      <c r="CM236" s="92"/>
      <c r="CN236" s="92"/>
      <c r="CO236" s="92"/>
      <c r="CP236" s="92"/>
      <c r="CQ236" s="92"/>
      <c r="CR236" s="92"/>
      <c r="CS236" s="92"/>
      <c r="CT236" s="92"/>
      <c r="CU236" s="92"/>
      <c r="CV236" s="92"/>
      <c r="CW236" s="92"/>
      <c r="CX236" s="92"/>
      <c r="CY236" s="92"/>
      <c r="CZ236" s="92"/>
      <c r="DA236" s="92"/>
      <c r="DB236" s="92"/>
      <c r="DC236" s="92"/>
      <c r="DD236" s="92"/>
      <c r="DE236" s="92"/>
      <c r="DF236" s="92"/>
      <c r="DG236" s="92"/>
      <c r="DH236" s="92"/>
      <c r="DI236" s="92"/>
      <c r="DJ236" s="92"/>
      <c r="DK236" s="92"/>
      <c r="DL236" s="92"/>
    </row>
    <row r="237" ht="20.25" customHeight="1">
      <c r="A237" s="44">
        <v>237.0</v>
      </c>
      <c r="B237" s="538" t="s">
        <v>114</v>
      </c>
      <c r="C237" s="538" t="s">
        <v>115</v>
      </c>
      <c r="D237" s="538" t="s">
        <v>248</v>
      </c>
      <c r="E237" s="539"/>
      <c r="F237" s="527" t="s">
        <v>1401</v>
      </c>
      <c r="G237" s="61" t="s">
        <v>1259</v>
      </c>
      <c r="H237" s="61" t="s">
        <v>249</v>
      </c>
      <c r="I237" s="529">
        <v>45427.0</v>
      </c>
      <c r="J237" s="540">
        <v>45775.0</v>
      </c>
      <c r="L237" s="129" t="s">
        <v>1408</v>
      </c>
      <c r="M237" s="61" t="s">
        <v>1402</v>
      </c>
      <c r="N237" s="61" t="s">
        <v>1262</v>
      </c>
      <c r="O237" s="378">
        <v>1.0</v>
      </c>
      <c r="P237" s="524" t="str">
        <f> hyperlink(vlookup(lower(N237),'File Links'!E:F, 2, FALSE), SUBSTITUTE(lower(N237), "/", "--") &amp;  ".pdf")</f>
        <v>10.1016--j.psychres.2017.09.048.pdf</v>
      </c>
      <c r="Q237" s="52" t="str">
        <f t="array" ref="Q237"> if(iserror(MATCH(V237, 'File Links'!C:C, 0)), "N/A", HYPERLINK(INDEX('File Links'!B:B, MATCH(P237, 'File Links'!C:C, 0))))</f>
        <v>https://drive.google.com/file/d/1bB5zAUL5oQPM2ClvdBCDeAd5AlkWVp4P/view?usp=drivesdk</v>
      </c>
      <c r="R237" s="129" t="s">
        <v>1263</v>
      </c>
      <c r="S237" s="61" t="s">
        <v>1264</v>
      </c>
      <c r="T237" s="61"/>
      <c r="U237" s="378">
        <v>1.0</v>
      </c>
      <c r="V237" s="66" t="str">
        <f> hyperlink(vlookup(lower(S237),'File Links'!E:F, 2, FALSE), SUBSTITUTE(lower(S237), "/", "--") &amp;  ".pdf")</f>
        <v>10.1002--erv.3103.pdf</v>
      </c>
      <c r="W237" s="61" t="s">
        <v>209</v>
      </c>
      <c r="X237" s="54" t="str">
        <f t="array" ref="X237"> if(iserror(MATCH(V237, 'File Links'!C:C, 0)), "N/A", HYPERLINK(INDEX('File Links'!B:B, MATCH(V237, 'File Links'!C:C, 0))))</f>
        <v>https://drive.google.com/file/d/1bJ0BC-Xy_bNt41DXHAjv1ms0mnz9Vq86/view?usp=drivesdk</v>
      </c>
      <c r="Y237" s="61"/>
      <c r="Z237" s="61" t="s">
        <v>148</v>
      </c>
      <c r="AA237" s="371" t="s">
        <v>1413</v>
      </c>
      <c r="AB237" s="61" t="s">
        <v>1414</v>
      </c>
      <c r="AC237" s="371" t="s">
        <v>1268</v>
      </c>
      <c r="AD237" s="61" t="s">
        <v>1415</v>
      </c>
      <c r="AE237" s="161" t="s">
        <v>850</v>
      </c>
      <c r="AF237" s="378">
        <v>89.0</v>
      </c>
      <c r="AG237" s="378">
        <v>0.556</v>
      </c>
      <c r="AH237" s="380" t="s">
        <v>874</v>
      </c>
      <c r="AI237" s="129" t="s">
        <v>850</v>
      </c>
      <c r="AJ237" s="563">
        <v>0.001</v>
      </c>
      <c r="AK237" s="68" t="s">
        <v>135</v>
      </c>
      <c r="AL237" s="61" t="s">
        <v>136</v>
      </c>
      <c r="AM237" s="61" t="s">
        <v>141</v>
      </c>
      <c r="AN237" s="61" t="s">
        <v>138</v>
      </c>
      <c r="AO237" s="378">
        <v>74.0</v>
      </c>
      <c r="AP237" s="378">
        <v>0.547</v>
      </c>
      <c r="AQ237" s="380" t="s">
        <v>139</v>
      </c>
      <c r="AR237" s="371" t="s">
        <v>850</v>
      </c>
      <c r="AS237" s="166">
        <v>0.001</v>
      </c>
      <c r="AT237" s="68" t="s">
        <v>135</v>
      </c>
      <c r="AU237" s="68" t="s">
        <v>186</v>
      </c>
      <c r="AV237" s="68" t="s">
        <v>141</v>
      </c>
      <c r="AW237" s="68" t="s">
        <v>138</v>
      </c>
      <c r="AX237" s="68" t="s">
        <v>438</v>
      </c>
      <c r="AY237" s="61" t="str">
        <f>IFERROR(__xludf.DUMMYFUNCTION("vlookup(BB237,importrange(""https://docs.google.com/spreadsheets/d/1d2vevQ_7D_v35q4wCQ4RpQ_IPoTwEMB9Yp6ymwlPqew/edit?gid=984458430#gid=984458430"", ""'replication success'!A:K""), 11, FAlSE)"),"successful")</f>
        <v>successful</v>
      </c>
      <c r="AZ237" s="61" t="str">
        <f>IFERROR(__xludf.DUMMYFUNCTION("vlookup(BB237,importrange(""https://docs.google.com/spreadsheets/d/1d2vevQ_7D_v35q4wCQ4RpQ_IPoTwEMB9Yp6ymwlPqew/edit?gid=984458430#gid=984458430"",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7" s="61" t="str">
        <f>IFERROR(__xludf.DUMMYFUNCTION("vlookup(BB237,importrange(""https://docs.google.com/spreadsheets/d/1d2vevQ_7D_v35q4wCQ4RpQ_IPoTwEMB9Yp6ymwlPqew/edit?gid=984458430#gid=984458430"", ""'replication success'!A:M""), 13, FAlSE)"),"abstract")</f>
        <v>abstract</v>
      </c>
      <c r="BB237" s="61" t="str">
        <f>IFERROR(__xludf.DUMMYFUNCTION("REGEXREPLACE(G237, ""_[a-z]{1,2}$"", """")"),"additional_studies36")</f>
        <v>additional_studies36</v>
      </c>
      <c r="BC237" s="61"/>
      <c r="BD237" s="381" t="s">
        <v>1270</v>
      </c>
      <c r="BG237" s="220"/>
      <c r="BH237" s="220"/>
      <c r="BI237" s="220"/>
      <c r="BJ237" s="220"/>
      <c r="BK237" s="220"/>
      <c r="BL237" s="220"/>
      <c r="BM237" s="220"/>
      <c r="BN237" s="220"/>
      <c r="BO237" s="220"/>
      <c r="BP237" s="220"/>
      <c r="BQ237" s="220"/>
      <c r="BR237" s="220"/>
      <c r="BS237" s="220"/>
      <c r="BT237" s="220"/>
      <c r="BU237" s="220"/>
      <c r="BV237" s="220"/>
      <c r="BW237" s="220"/>
      <c r="BX237" s="220"/>
      <c r="BY237" s="220"/>
      <c r="BZ237" s="220"/>
      <c r="CA237" s="220"/>
      <c r="CB237" s="220"/>
      <c r="CC237" s="220"/>
      <c r="CD237" s="220"/>
      <c r="CE237" s="220"/>
      <c r="CF237" s="220"/>
      <c r="CG237" s="220"/>
      <c r="CH237" s="220"/>
      <c r="CI237" s="220"/>
      <c r="CJ237" s="220"/>
      <c r="CK237" s="220"/>
      <c r="CL237" s="220"/>
      <c r="CM237" s="220"/>
      <c r="CN237" s="220"/>
      <c r="CO237" s="220"/>
      <c r="CP237" s="220"/>
      <c r="CQ237" s="220"/>
      <c r="CR237" s="220"/>
      <c r="CS237" s="220"/>
      <c r="CT237" s="220"/>
      <c r="CU237" s="220"/>
      <c r="CV237" s="220"/>
      <c r="CW237" s="220"/>
      <c r="CX237" s="220"/>
      <c r="CY237" s="220"/>
      <c r="CZ237" s="220"/>
      <c r="DA237" s="220"/>
      <c r="DB237" s="220"/>
      <c r="DC237" s="220"/>
      <c r="DD237" s="220"/>
      <c r="DE237" s="220"/>
      <c r="DF237" s="220"/>
      <c r="DG237" s="220"/>
      <c r="DH237" s="220"/>
      <c r="DI237" s="220"/>
      <c r="DJ237" s="220"/>
      <c r="DK237" s="220"/>
      <c r="DL237" s="220"/>
    </row>
    <row r="238" ht="20.25" customHeight="1">
      <c r="A238" s="44">
        <v>238.0</v>
      </c>
      <c r="B238" s="538" t="s">
        <v>114</v>
      </c>
      <c r="C238" s="538" t="s">
        <v>115</v>
      </c>
      <c r="D238" s="538" t="s">
        <v>248</v>
      </c>
      <c r="E238" s="539"/>
      <c r="F238" s="527" t="s">
        <v>1401</v>
      </c>
      <c r="G238" s="61" t="s">
        <v>1271</v>
      </c>
      <c r="H238" s="61" t="s">
        <v>249</v>
      </c>
      <c r="I238" s="529">
        <v>45427.0</v>
      </c>
      <c r="J238" s="540">
        <v>45775.0</v>
      </c>
      <c r="K238" s="61"/>
      <c r="L238" s="129" t="s">
        <v>1408</v>
      </c>
      <c r="M238" s="61" t="s">
        <v>1402</v>
      </c>
      <c r="N238" s="61" t="s">
        <v>1262</v>
      </c>
      <c r="O238" s="378">
        <v>1.0</v>
      </c>
      <c r="P238" s="524" t="str">
        <f> hyperlink(vlookup(lower(N238),'File Links'!E:F, 2, FALSE), SUBSTITUTE(lower(N238), "/", "--") &amp;  ".pdf")</f>
        <v>10.1016--j.psychres.2017.09.048.pdf</v>
      </c>
      <c r="Q238" s="52" t="str">
        <f t="array" ref="Q238"> if(iserror(MATCH(V238, 'File Links'!C:C, 0)), "N/A", HYPERLINK(INDEX('File Links'!B:B, MATCH(P238, 'File Links'!C:C, 0))))</f>
        <v>https://drive.google.com/file/d/1bB5zAUL5oQPM2ClvdBCDeAd5AlkWVp4P/view?usp=drivesdk</v>
      </c>
      <c r="R238" s="129" t="s">
        <v>1263</v>
      </c>
      <c r="S238" s="61" t="s">
        <v>1264</v>
      </c>
      <c r="T238" s="61"/>
      <c r="U238" s="378">
        <v>1.0</v>
      </c>
      <c r="V238" s="66" t="str">
        <f> hyperlink(vlookup(lower(S238),'File Links'!E:F, 2, FALSE), SUBSTITUTE(lower(S238), "/", "--") &amp;  ".pdf")</f>
        <v>10.1002--erv.3103.pdf</v>
      </c>
      <c r="W238" s="61" t="s">
        <v>209</v>
      </c>
      <c r="X238" s="54" t="str">
        <f t="array" ref="X238"> if(iserror(MATCH(V238, 'File Links'!C:C, 0)), "N/A", HYPERLINK(INDEX('File Links'!B:B, MATCH(V238, 'File Links'!C:C, 0))))</f>
        <v>https://drive.google.com/file/d/1bJ0BC-Xy_bNt41DXHAjv1ms0mnz9Vq86/view?usp=drivesdk</v>
      </c>
      <c r="Y238" s="61"/>
      <c r="Z238" s="61" t="s">
        <v>148</v>
      </c>
      <c r="AA238" s="371" t="s">
        <v>1283</v>
      </c>
      <c r="AB238" s="61" t="s">
        <v>1416</v>
      </c>
      <c r="AC238" s="371" t="s">
        <v>1268</v>
      </c>
      <c r="AD238" s="61" t="s">
        <v>1417</v>
      </c>
      <c r="AE238" s="161" t="s">
        <v>1285</v>
      </c>
      <c r="AF238" s="378">
        <v>89.0</v>
      </c>
      <c r="AG238" s="378">
        <v>0.056</v>
      </c>
      <c r="AH238" s="380" t="s">
        <v>874</v>
      </c>
      <c r="AI238" s="502">
        <v>5.0</v>
      </c>
      <c r="AJ238" s="563">
        <v>0.009</v>
      </c>
      <c r="AK238" s="68" t="s">
        <v>172</v>
      </c>
      <c r="AL238" s="61" t="s">
        <v>136</v>
      </c>
      <c r="AM238" s="61" t="s">
        <v>141</v>
      </c>
      <c r="AN238" s="61" t="s">
        <v>138</v>
      </c>
      <c r="AO238" s="378">
        <v>74.0</v>
      </c>
      <c r="AP238" s="378">
        <v>0.041</v>
      </c>
      <c r="AQ238" s="380" t="s">
        <v>139</v>
      </c>
      <c r="AR238" s="371" t="s">
        <v>850</v>
      </c>
      <c r="AS238" s="502">
        <v>0.021</v>
      </c>
      <c r="AT238" s="68" t="s">
        <v>172</v>
      </c>
      <c r="AU238" s="68" t="s">
        <v>186</v>
      </c>
      <c r="AV238" s="68" t="s">
        <v>141</v>
      </c>
      <c r="AW238" s="68" t="s">
        <v>138</v>
      </c>
      <c r="AX238" s="68" t="s">
        <v>438</v>
      </c>
      <c r="AY238" s="61" t="str">
        <f>IFERROR(__xludf.DUMMYFUNCTION("vlookup(BB238,importrange(""https://docs.google.com/spreadsheets/d/1d2vevQ_7D_v35q4wCQ4RpQ_IPoTwEMB9Yp6ymwlPqew/edit?gid=984458430#gid=984458430"", ""'replication success'!A:K""), 11, FAlSE)"),"successful")</f>
        <v>successful</v>
      </c>
      <c r="AZ238" s="61" t="str">
        <f>IFERROR(__xludf.DUMMYFUNCTION("vlookup(BB238,importrange(""https://docs.google.com/spreadsheets/d/1d2vevQ_7D_v35q4wCQ4RpQ_IPoTwEMB9Yp6ymwlPqew/edit?gid=984458430#gid=984458430"",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8" s="61" t="str">
        <f>IFERROR(__xludf.DUMMYFUNCTION("vlookup(BB238,importrange(""https://docs.google.com/spreadsheets/d/1d2vevQ_7D_v35q4wCQ4RpQ_IPoTwEMB9Yp6ymwlPqew/edit?gid=984458430#gid=984458430"", ""'replication success'!A:M""), 13, FAlSE)"),"abstract")</f>
        <v>abstract</v>
      </c>
      <c r="BB238" s="61" t="str">
        <f>IFERROR(__xludf.DUMMYFUNCTION("REGEXREPLACE(G238, ""_[a-z]{1,2}$"", """")"),"additional_studies36")</f>
        <v>additional_studies36</v>
      </c>
      <c r="BC238" s="61"/>
      <c r="BD238" s="381" t="s">
        <v>1270</v>
      </c>
      <c r="BG238" s="92"/>
      <c r="BH238" s="92"/>
      <c r="BI238" s="92"/>
      <c r="BJ238" s="92"/>
      <c r="BK238" s="92"/>
      <c r="BL238" s="92"/>
      <c r="BM238" s="92"/>
      <c r="BN238" s="92"/>
      <c r="BO238" s="92"/>
      <c r="BP238" s="92"/>
      <c r="BQ238" s="92"/>
      <c r="BR238" s="92"/>
      <c r="BS238" s="92"/>
      <c r="BT238" s="92"/>
      <c r="BU238" s="92"/>
      <c r="BV238" s="92"/>
      <c r="BW238" s="92"/>
      <c r="BX238" s="92"/>
      <c r="BY238" s="92"/>
      <c r="BZ238" s="92"/>
      <c r="CA238" s="92"/>
      <c r="CB238" s="92"/>
      <c r="CC238" s="92"/>
      <c r="CD238" s="92"/>
      <c r="CE238" s="92"/>
      <c r="CF238" s="92"/>
      <c r="CG238" s="92"/>
      <c r="CH238" s="92"/>
      <c r="CI238" s="92"/>
      <c r="CJ238" s="92"/>
      <c r="CK238" s="92"/>
      <c r="CL238" s="92"/>
      <c r="CM238" s="92"/>
      <c r="CN238" s="92"/>
      <c r="CO238" s="92"/>
      <c r="CP238" s="92"/>
      <c r="CQ238" s="92"/>
      <c r="CR238" s="92"/>
      <c r="CS238" s="92"/>
      <c r="CT238" s="92"/>
      <c r="CU238" s="92"/>
      <c r="CV238" s="92"/>
      <c r="CW238" s="92"/>
      <c r="CX238" s="92"/>
      <c r="CY238" s="92"/>
      <c r="CZ238" s="92"/>
      <c r="DA238" s="92"/>
      <c r="DB238" s="92"/>
      <c r="DC238" s="92"/>
      <c r="DD238" s="92"/>
      <c r="DE238" s="92"/>
      <c r="DF238" s="92"/>
      <c r="DG238" s="92"/>
      <c r="DH238" s="92"/>
      <c r="DI238" s="92"/>
      <c r="DJ238" s="92"/>
      <c r="DK238" s="92"/>
      <c r="DL238" s="92"/>
    </row>
    <row r="239" ht="20.25" customHeight="1">
      <c r="A239" s="44">
        <v>239.0</v>
      </c>
      <c r="B239" s="538" t="s">
        <v>114</v>
      </c>
      <c r="C239" s="538" t="s">
        <v>115</v>
      </c>
      <c r="D239" s="538" t="s">
        <v>248</v>
      </c>
      <c r="E239" s="539"/>
      <c r="F239" s="527" t="s">
        <v>1401</v>
      </c>
      <c r="G239" s="61" t="s">
        <v>1275</v>
      </c>
      <c r="H239" s="61" t="s">
        <v>249</v>
      </c>
      <c r="I239" s="529">
        <v>45427.0</v>
      </c>
      <c r="J239" s="540">
        <v>45775.0</v>
      </c>
      <c r="K239" s="61"/>
      <c r="L239" s="129" t="s">
        <v>1408</v>
      </c>
      <c r="M239" s="61" t="s">
        <v>1402</v>
      </c>
      <c r="N239" s="61" t="s">
        <v>1262</v>
      </c>
      <c r="O239" s="378">
        <v>1.0</v>
      </c>
      <c r="P239" s="524" t="str">
        <f> hyperlink(vlookup(lower(N239),'File Links'!E:F, 2, FALSE), SUBSTITUTE(lower(N239), "/", "--") &amp;  ".pdf")</f>
        <v>10.1016--j.psychres.2017.09.048.pdf</v>
      </c>
      <c r="Q239" s="52" t="str">
        <f t="array" ref="Q239"> if(iserror(MATCH(V239, 'File Links'!C:C, 0)), "N/A", HYPERLINK(INDEX('File Links'!B:B, MATCH(P239, 'File Links'!C:C, 0))))</f>
        <v>https://drive.google.com/file/d/1bB5zAUL5oQPM2ClvdBCDeAd5AlkWVp4P/view?usp=drivesdk</v>
      </c>
      <c r="R239" s="129" t="s">
        <v>1263</v>
      </c>
      <c r="S239" s="61" t="s">
        <v>1264</v>
      </c>
      <c r="T239" s="61"/>
      <c r="U239" s="378">
        <v>1.0</v>
      </c>
      <c r="V239" s="66" t="str">
        <f> hyperlink(vlookup(lower(S239),'File Links'!E:F, 2, FALSE), SUBSTITUTE(lower(S239), "/", "--") &amp;  ".pdf")</f>
        <v>10.1002--erv.3103.pdf</v>
      </c>
      <c r="W239" s="61" t="s">
        <v>209</v>
      </c>
      <c r="X239" s="54" t="str">
        <f t="array" ref="X239"> if(iserror(MATCH(V239, 'File Links'!C:C, 0)), "N/A", HYPERLINK(INDEX('File Links'!B:B, MATCH(V239, 'File Links'!C:C, 0))))</f>
        <v>https://drive.google.com/file/d/1bJ0BC-Xy_bNt41DXHAjv1ms0mnz9Vq86/view?usp=drivesdk</v>
      </c>
      <c r="Y239" s="61"/>
      <c r="Z239" s="61" t="s">
        <v>148</v>
      </c>
      <c r="AA239" s="371" t="s">
        <v>1288</v>
      </c>
      <c r="AB239" s="61" t="s">
        <v>1418</v>
      </c>
      <c r="AC239" s="371" t="s">
        <v>1268</v>
      </c>
      <c r="AD239" s="61" t="s">
        <v>1419</v>
      </c>
      <c r="AE239" s="161" t="s">
        <v>813</v>
      </c>
      <c r="AF239" s="378">
        <v>89.0</v>
      </c>
      <c r="AG239" s="378">
        <v>0.571</v>
      </c>
      <c r="AH239" s="380" t="s">
        <v>874</v>
      </c>
      <c r="AI239" s="502">
        <v>5.0</v>
      </c>
      <c r="AJ239" s="502">
        <v>0.001</v>
      </c>
      <c r="AK239" s="68" t="s">
        <v>135</v>
      </c>
      <c r="AL239" s="61" t="s">
        <v>136</v>
      </c>
      <c r="AM239" s="61" t="s">
        <v>141</v>
      </c>
      <c r="AN239" s="61" t="s">
        <v>138</v>
      </c>
      <c r="AO239" s="378">
        <v>74.0</v>
      </c>
      <c r="AP239" s="378">
        <v>0.501</v>
      </c>
      <c r="AQ239" s="380" t="s">
        <v>139</v>
      </c>
      <c r="AR239" s="371" t="s">
        <v>850</v>
      </c>
      <c r="AS239" s="502">
        <v>0.001</v>
      </c>
      <c r="AT239" s="68" t="s">
        <v>135</v>
      </c>
      <c r="AU239" s="68" t="s">
        <v>186</v>
      </c>
      <c r="AV239" s="68" t="s">
        <v>141</v>
      </c>
      <c r="AW239" s="68" t="s">
        <v>138</v>
      </c>
      <c r="AX239" s="68" t="s">
        <v>438</v>
      </c>
      <c r="AY239" s="61" t="str">
        <f>IFERROR(__xludf.DUMMYFUNCTION("vlookup(BB239,importrange(""https://docs.google.com/spreadsheets/d/1d2vevQ_7D_v35q4wCQ4RpQ_IPoTwEMB9Yp6ymwlPqew/edit?gid=984458430#gid=984458430"", ""'replication success'!A:K""), 11, FAlSE)"),"successful")</f>
        <v>successful</v>
      </c>
      <c r="AZ239" s="61" t="str">
        <f>IFERROR(__xludf.DUMMYFUNCTION("vlookup(BB239,importrange(""https://docs.google.com/spreadsheets/d/1d2vevQ_7D_v35q4wCQ4RpQ_IPoTwEMB9Yp6ymwlPqew/edit?gid=984458430#gid=984458430"",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39" s="61" t="str">
        <f>IFERROR(__xludf.DUMMYFUNCTION("vlookup(BB239,importrange(""https://docs.google.com/spreadsheets/d/1d2vevQ_7D_v35q4wCQ4RpQ_IPoTwEMB9Yp6ymwlPqew/edit?gid=984458430#gid=984458430"", ""'replication success'!A:M""), 13, FAlSE)"),"abstract")</f>
        <v>abstract</v>
      </c>
      <c r="BB239" s="61" t="str">
        <f>IFERROR(__xludf.DUMMYFUNCTION("REGEXREPLACE(G239, ""_[a-z]{1,2}$"", """")"),"additional_studies36")</f>
        <v>additional_studies36</v>
      </c>
      <c r="BC239" s="61"/>
      <c r="BD239" s="381" t="s">
        <v>1270</v>
      </c>
      <c r="BG239" s="220"/>
      <c r="BH239" s="220"/>
      <c r="BI239" s="220"/>
      <c r="BJ239" s="220"/>
      <c r="BK239" s="220"/>
      <c r="BL239" s="220"/>
      <c r="BM239" s="220"/>
      <c r="BN239" s="220"/>
      <c r="BO239" s="220"/>
      <c r="BP239" s="220"/>
      <c r="BQ239" s="220"/>
      <c r="BR239" s="220"/>
      <c r="BS239" s="220"/>
      <c r="BT239" s="220"/>
      <c r="BU239" s="220"/>
      <c r="BV239" s="220"/>
      <c r="BW239" s="220"/>
      <c r="BX239" s="220"/>
      <c r="BY239" s="220"/>
      <c r="BZ239" s="220"/>
      <c r="CA239" s="220"/>
      <c r="CB239" s="220"/>
      <c r="CC239" s="220"/>
      <c r="CD239" s="220"/>
      <c r="CE239" s="220"/>
      <c r="CF239" s="220"/>
      <c r="CG239" s="220"/>
      <c r="CH239" s="220"/>
      <c r="CI239" s="220"/>
      <c r="CJ239" s="220"/>
      <c r="CK239" s="220"/>
      <c r="CL239" s="220"/>
      <c r="CM239" s="220"/>
      <c r="CN239" s="220"/>
      <c r="CO239" s="220"/>
      <c r="CP239" s="220"/>
      <c r="CQ239" s="220"/>
      <c r="CR239" s="220"/>
      <c r="CS239" s="220"/>
      <c r="CT239" s="220"/>
      <c r="CU239" s="220"/>
      <c r="CV239" s="220"/>
      <c r="CW239" s="220"/>
      <c r="CX239" s="220"/>
      <c r="CY239" s="220"/>
      <c r="CZ239" s="220"/>
      <c r="DA239" s="220"/>
      <c r="DB239" s="220"/>
      <c r="DC239" s="220"/>
      <c r="DD239" s="220"/>
      <c r="DE239" s="220"/>
      <c r="DF239" s="220"/>
      <c r="DG239" s="220"/>
      <c r="DH239" s="220"/>
      <c r="DI239" s="220"/>
      <c r="DJ239" s="220"/>
      <c r="DK239" s="220"/>
      <c r="DL239" s="220"/>
    </row>
    <row r="240" ht="20.25" customHeight="1">
      <c r="A240" s="44">
        <v>240.0</v>
      </c>
      <c r="B240" s="538" t="s">
        <v>114</v>
      </c>
      <c r="C240" s="538" t="s">
        <v>115</v>
      </c>
      <c r="D240" s="538" t="s">
        <v>248</v>
      </c>
      <c r="E240" s="539"/>
      <c r="F240" s="527" t="s">
        <v>1401</v>
      </c>
      <c r="G240" s="61" t="s">
        <v>1280</v>
      </c>
      <c r="H240" s="61" t="s">
        <v>249</v>
      </c>
      <c r="I240" s="529">
        <v>45427.0</v>
      </c>
      <c r="J240" s="540">
        <v>45775.0</v>
      </c>
      <c r="K240" s="61"/>
      <c r="L240" s="129" t="s">
        <v>1408</v>
      </c>
      <c r="M240" s="61" t="s">
        <v>1402</v>
      </c>
      <c r="N240" s="61" t="s">
        <v>1262</v>
      </c>
      <c r="O240" s="378">
        <v>1.0</v>
      </c>
      <c r="P240" s="524" t="str">
        <f> hyperlink(vlookup(lower(N240),'File Links'!E:F, 2, FALSE), SUBSTITUTE(lower(N240), "/", "--") &amp;  ".pdf")</f>
        <v>10.1016--j.psychres.2017.09.048.pdf</v>
      </c>
      <c r="Q240" s="52" t="str">
        <f t="array" ref="Q240"> if(iserror(MATCH(V240, 'File Links'!C:C, 0)), "N/A", HYPERLINK(INDEX('File Links'!B:B, MATCH(P240, 'File Links'!C:C, 0))))</f>
        <v>https://drive.google.com/file/d/1bB5zAUL5oQPM2ClvdBCDeAd5AlkWVp4P/view?usp=drivesdk</v>
      </c>
      <c r="R240" s="129" t="s">
        <v>1263</v>
      </c>
      <c r="S240" s="61" t="s">
        <v>1264</v>
      </c>
      <c r="T240" s="61"/>
      <c r="U240" s="378">
        <v>1.0</v>
      </c>
      <c r="V240" s="66" t="str">
        <f> hyperlink(vlookup(lower(S240),'File Links'!E:F, 2, FALSE), SUBSTITUTE(lower(S240), "/", "--") &amp;  ".pdf")</f>
        <v>10.1002--erv.3103.pdf</v>
      </c>
      <c r="W240" s="61" t="s">
        <v>209</v>
      </c>
      <c r="X240" s="54" t="str">
        <f t="array" ref="X240"> if(iserror(MATCH(V240, 'File Links'!C:C, 0)), "N/A", HYPERLINK(INDEX('File Links'!B:B, MATCH(V240, 'File Links'!C:C, 0))))</f>
        <v>https://drive.google.com/file/d/1bJ0BC-Xy_bNt41DXHAjv1ms0mnz9Vq86/view?usp=drivesdk</v>
      </c>
      <c r="Y240" s="61"/>
      <c r="Z240" s="61" t="s">
        <v>148</v>
      </c>
      <c r="AA240" s="371" t="s">
        <v>1293</v>
      </c>
      <c r="AB240" s="61" t="s">
        <v>1420</v>
      </c>
      <c r="AC240" s="371" t="s">
        <v>1268</v>
      </c>
      <c r="AD240" s="61" t="s">
        <v>1421</v>
      </c>
      <c r="AE240" s="161" t="s">
        <v>813</v>
      </c>
      <c r="AF240" s="378">
        <v>89.0</v>
      </c>
      <c r="AG240" s="378">
        <v>0.072</v>
      </c>
      <c r="AH240" s="380" t="s">
        <v>874</v>
      </c>
      <c r="AI240" s="502">
        <v>5.0</v>
      </c>
      <c r="AJ240" s="502">
        <v>0.04</v>
      </c>
      <c r="AK240" s="68" t="s">
        <v>172</v>
      </c>
      <c r="AL240" s="61" t="s">
        <v>136</v>
      </c>
      <c r="AM240" s="61" t="s">
        <v>141</v>
      </c>
      <c r="AN240" s="61" t="s">
        <v>138</v>
      </c>
      <c r="AO240" s="378">
        <v>74.0</v>
      </c>
      <c r="AP240" s="378">
        <v>0.06</v>
      </c>
      <c r="AQ240" s="380" t="s">
        <v>139</v>
      </c>
      <c r="AR240" s="371" t="s">
        <v>850</v>
      </c>
      <c r="AS240" s="502">
        <v>0.036</v>
      </c>
      <c r="AT240" s="68" t="s">
        <v>172</v>
      </c>
      <c r="AU240" s="68" t="s">
        <v>186</v>
      </c>
      <c r="AV240" s="68" t="s">
        <v>141</v>
      </c>
      <c r="AW240" s="68" t="s">
        <v>138</v>
      </c>
      <c r="AX240" s="68" t="s">
        <v>438</v>
      </c>
      <c r="AY240" s="61" t="str">
        <f>IFERROR(__xludf.DUMMYFUNCTION("vlookup(BB240,importrange(""https://docs.google.com/spreadsheets/d/1d2vevQ_7D_v35q4wCQ4RpQ_IPoTwEMB9Yp6ymwlPqew/edit?gid=984458430#gid=984458430"", ""'replication success'!A:K""), 11, FAlSE)"),"successful")</f>
        <v>successful</v>
      </c>
      <c r="AZ240" s="61" t="str">
        <f>IFERROR(__xludf.DUMMYFUNCTION("vlookup(BB240,importrange(""https://docs.google.com/spreadsheets/d/1d2vevQ_7D_v35q4wCQ4RpQ_IPoTwEMB9Yp6ymwlPqew/edit?gid=984458430#gid=984458430"",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0" s="61" t="str">
        <f>IFERROR(__xludf.DUMMYFUNCTION("vlookup(BB240,importrange(""https://docs.google.com/spreadsheets/d/1d2vevQ_7D_v35q4wCQ4RpQ_IPoTwEMB9Yp6ymwlPqew/edit?gid=984458430#gid=984458430"", ""'replication success'!A:M""), 13, FAlSE)"),"abstract")</f>
        <v>abstract</v>
      </c>
      <c r="BB240" s="61" t="str">
        <f>IFERROR(__xludf.DUMMYFUNCTION("REGEXREPLACE(G240, ""_[a-z]{1,2}$"", """")"),"additional_studies36")</f>
        <v>additional_studies36</v>
      </c>
      <c r="BC240" s="61"/>
      <c r="BD240" s="381" t="s">
        <v>1270</v>
      </c>
      <c r="BG240" s="220"/>
      <c r="BH240" s="220"/>
      <c r="BI240" s="220"/>
      <c r="BJ240" s="220"/>
      <c r="BK240" s="220"/>
      <c r="BL240" s="220"/>
      <c r="BM240" s="220"/>
      <c r="BN240" s="220"/>
      <c r="BO240" s="220"/>
      <c r="BP240" s="220"/>
      <c r="BQ240" s="220"/>
      <c r="BR240" s="220"/>
      <c r="BS240" s="220"/>
      <c r="BT240" s="220"/>
      <c r="BU240" s="220"/>
      <c r="BV240" s="220"/>
      <c r="BW240" s="220"/>
      <c r="BX240" s="220"/>
      <c r="BY240" s="220"/>
      <c r="BZ240" s="220"/>
      <c r="CA240" s="220"/>
      <c r="CB240" s="220"/>
      <c r="CC240" s="220"/>
      <c r="CD240" s="220"/>
      <c r="CE240" s="220"/>
      <c r="CF240" s="220"/>
      <c r="CG240" s="220"/>
      <c r="CH240" s="220"/>
      <c r="CI240" s="220"/>
      <c r="CJ240" s="220"/>
      <c r="CK240" s="220"/>
      <c r="CL240" s="220"/>
      <c r="CM240" s="220"/>
      <c r="CN240" s="220"/>
      <c r="CO240" s="220"/>
      <c r="CP240" s="220"/>
      <c r="CQ240" s="220"/>
      <c r="CR240" s="220"/>
      <c r="CS240" s="220"/>
      <c r="CT240" s="220"/>
      <c r="CU240" s="220"/>
      <c r="CV240" s="220"/>
      <c r="CW240" s="220"/>
      <c r="CX240" s="220"/>
      <c r="CY240" s="220"/>
      <c r="CZ240" s="220"/>
      <c r="DA240" s="220"/>
      <c r="DB240" s="220"/>
      <c r="DC240" s="220"/>
      <c r="DD240" s="220"/>
      <c r="DE240" s="220"/>
      <c r="DF240" s="220"/>
      <c r="DG240" s="220"/>
      <c r="DH240" s="220"/>
      <c r="DI240" s="220"/>
      <c r="DJ240" s="220"/>
      <c r="DK240" s="220"/>
      <c r="DL240" s="220"/>
    </row>
    <row r="241" ht="20.25" customHeight="1">
      <c r="A241" s="44">
        <v>241.0</v>
      </c>
      <c r="B241" s="538" t="s">
        <v>114</v>
      </c>
      <c r="C241" s="538" t="s">
        <v>115</v>
      </c>
      <c r="D241" s="538" t="s">
        <v>248</v>
      </c>
      <c r="E241" s="539"/>
      <c r="F241" s="527" t="s">
        <v>1401</v>
      </c>
      <c r="G241" s="61" t="s">
        <v>1286</v>
      </c>
      <c r="H241" s="61" t="s">
        <v>249</v>
      </c>
      <c r="I241" s="529">
        <v>45427.0</v>
      </c>
      <c r="J241" s="540">
        <v>45775.0</v>
      </c>
      <c r="K241" s="61"/>
      <c r="L241" s="129" t="s">
        <v>1408</v>
      </c>
      <c r="M241" s="61" t="s">
        <v>1402</v>
      </c>
      <c r="N241" s="61" t="s">
        <v>1262</v>
      </c>
      <c r="O241" s="378">
        <v>1.0</v>
      </c>
      <c r="P241" s="524" t="str">
        <f> hyperlink(vlookup(lower(N241),'File Links'!E:F, 2, FALSE), SUBSTITUTE(lower(N241), "/", "--") &amp;  ".pdf")</f>
        <v>10.1016--j.psychres.2017.09.048.pdf</v>
      </c>
      <c r="Q241" s="52" t="str">
        <f t="array" ref="Q241"> if(iserror(MATCH(V241, 'File Links'!C:C, 0)), "N/A", HYPERLINK(INDEX('File Links'!B:B, MATCH(P241, 'File Links'!C:C, 0))))</f>
        <v>https://drive.google.com/file/d/1bB5zAUL5oQPM2ClvdBCDeAd5AlkWVp4P/view?usp=drivesdk</v>
      </c>
      <c r="R241" s="129" t="s">
        <v>1263</v>
      </c>
      <c r="S241" s="61" t="s">
        <v>1264</v>
      </c>
      <c r="T241" s="61"/>
      <c r="U241" s="378">
        <v>1.0</v>
      </c>
      <c r="V241" s="66" t="str">
        <f> hyperlink(vlookup(lower(S241),'File Links'!E:F, 2, FALSE), SUBSTITUTE(lower(S241), "/", "--") &amp;  ".pdf")</f>
        <v>10.1002--erv.3103.pdf</v>
      </c>
      <c r="W241" s="61" t="s">
        <v>209</v>
      </c>
      <c r="X241" s="54" t="str">
        <f t="array" ref="X241"> if(iserror(MATCH(V241, 'File Links'!C:C, 0)), "N/A", HYPERLINK(INDEX('File Links'!B:B, MATCH(V241, 'File Links'!C:C, 0))))</f>
        <v>https://drive.google.com/file/d/1bJ0BC-Xy_bNt41DXHAjv1ms0mnz9Vq86/view?usp=drivesdk</v>
      </c>
      <c r="Y241" s="61"/>
      <c r="Z241" s="61" t="s">
        <v>148</v>
      </c>
      <c r="AA241" s="371" t="s">
        <v>1297</v>
      </c>
      <c r="AB241" s="61" t="s">
        <v>1422</v>
      </c>
      <c r="AC241" s="371" t="s">
        <v>1268</v>
      </c>
      <c r="AD241" s="129" t="s">
        <v>1423</v>
      </c>
      <c r="AE241" s="161" t="s">
        <v>813</v>
      </c>
      <c r="AF241" s="378">
        <v>89.0</v>
      </c>
      <c r="AG241" s="378">
        <v>0.059</v>
      </c>
      <c r="AH241" s="380" t="s">
        <v>874</v>
      </c>
      <c r="AI241" s="502">
        <v>5.0</v>
      </c>
      <c r="AJ241" s="563">
        <v>0.012</v>
      </c>
      <c r="AK241" s="68" t="s">
        <v>172</v>
      </c>
      <c r="AL241" s="61" t="s">
        <v>136</v>
      </c>
      <c r="AM241" s="61" t="s">
        <v>141</v>
      </c>
      <c r="AN241" s="61" t="s">
        <v>138</v>
      </c>
      <c r="AO241" s="378">
        <v>74.0</v>
      </c>
      <c r="AP241" s="378">
        <v>0.037</v>
      </c>
      <c r="AQ241" s="380" t="s">
        <v>139</v>
      </c>
      <c r="AR241" s="371" t="s">
        <v>850</v>
      </c>
      <c r="AS241" s="502">
        <v>0.036</v>
      </c>
      <c r="AT241" s="68" t="s">
        <v>172</v>
      </c>
      <c r="AU241" s="68" t="s">
        <v>186</v>
      </c>
      <c r="AV241" s="68" t="s">
        <v>141</v>
      </c>
      <c r="AW241" s="68" t="s">
        <v>138</v>
      </c>
      <c r="AX241" s="68" t="s">
        <v>438</v>
      </c>
      <c r="AY241" s="61" t="str">
        <f>IFERROR(__xludf.DUMMYFUNCTION("vlookup(BB241,importrange(""https://docs.google.com/spreadsheets/d/1d2vevQ_7D_v35q4wCQ4RpQ_IPoTwEMB9Yp6ymwlPqew/edit?gid=984458430#gid=984458430"", ""'replication success'!A:K""), 11, FAlSE)"),"successful")</f>
        <v>successful</v>
      </c>
      <c r="AZ241" s="61" t="str">
        <f>IFERROR(__xludf.DUMMYFUNCTION("vlookup(BB241,importrange(""https://docs.google.com/spreadsheets/d/1d2vevQ_7D_v35q4wCQ4RpQ_IPoTwEMB9Yp6ymwlPqew/edit?gid=984458430#gid=984458430"",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1" s="61" t="str">
        <f>IFERROR(__xludf.DUMMYFUNCTION("vlookup(BB241,importrange(""https://docs.google.com/spreadsheets/d/1d2vevQ_7D_v35q4wCQ4RpQ_IPoTwEMB9Yp6ymwlPqew/edit?gid=984458430#gid=984458430"", ""'replication success'!A:M""), 13, FAlSE)"),"abstract")</f>
        <v>abstract</v>
      </c>
      <c r="BB241" s="61" t="str">
        <f>IFERROR(__xludf.DUMMYFUNCTION("REGEXREPLACE(G241, ""_[a-z]{1,2}$"", """")"),"additional_studies36")</f>
        <v>additional_studies36</v>
      </c>
      <c r="BC241" s="61"/>
      <c r="BD241" s="381" t="s">
        <v>1270</v>
      </c>
      <c r="BG241" s="220"/>
      <c r="BH241" s="220"/>
      <c r="BI241" s="220"/>
      <c r="BJ241" s="220"/>
      <c r="BK241" s="220"/>
      <c r="BL241" s="220"/>
      <c r="BM241" s="220"/>
      <c r="BN241" s="220"/>
      <c r="BO241" s="220"/>
      <c r="BP241" s="220"/>
      <c r="BQ241" s="220"/>
      <c r="BR241" s="220"/>
      <c r="BS241" s="220"/>
      <c r="BT241" s="220"/>
      <c r="BU241" s="220"/>
      <c r="BV241" s="220"/>
      <c r="BW241" s="220"/>
      <c r="BX241" s="220"/>
      <c r="BY241" s="220"/>
      <c r="BZ241" s="220"/>
      <c r="CA241" s="220"/>
      <c r="CB241" s="220"/>
      <c r="CC241" s="220"/>
      <c r="CD241" s="220"/>
      <c r="CE241" s="220"/>
      <c r="CF241" s="220"/>
      <c r="CG241" s="220"/>
      <c r="CH241" s="220"/>
      <c r="CI241" s="220"/>
      <c r="CJ241" s="220"/>
      <c r="CK241" s="220"/>
      <c r="CL241" s="220"/>
      <c r="CM241" s="220"/>
      <c r="CN241" s="220"/>
      <c r="CO241" s="220"/>
      <c r="CP241" s="220"/>
      <c r="CQ241" s="220"/>
      <c r="CR241" s="220"/>
      <c r="CS241" s="220"/>
      <c r="CT241" s="220"/>
      <c r="CU241" s="220"/>
      <c r="CV241" s="220"/>
      <c r="CW241" s="220"/>
      <c r="CX241" s="220"/>
      <c r="CY241" s="220"/>
      <c r="CZ241" s="220"/>
      <c r="DA241" s="220"/>
      <c r="DB241" s="220"/>
      <c r="DC241" s="220"/>
      <c r="DD241" s="220"/>
      <c r="DE241" s="220"/>
      <c r="DF241" s="220"/>
      <c r="DG241" s="220"/>
      <c r="DH241" s="220"/>
      <c r="DI241" s="220"/>
      <c r="DJ241" s="220"/>
      <c r="DK241" s="220"/>
      <c r="DL241" s="220"/>
    </row>
    <row r="242" ht="20.25" customHeight="1">
      <c r="A242" s="44">
        <v>242.0</v>
      </c>
      <c r="B242" s="538" t="s">
        <v>152</v>
      </c>
      <c r="C242" s="538" t="s">
        <v>115</v>
      </c>
      <c r="D242" s="538" t="s">
        <v>248</v>
      </c>
      <c r="E242" s="539"/>
      <c r="F242" s="527" t="s">
        <v>1401</v>
      </c>
      <c r="G242" s="61" t="s">
        <v>1290</v>
      </c>
      <c r="H242" s="61" t="s">
        <v>249</v>
      </c>
      <c r="I242" s="529">
        <v>45427.0</v>
      </c>
      <c r="J242" s="540">
        <v>45775.0</v>
      </c>
      <c r="K242" s="61"/>
      <c r="L242" s="129" t="s">
        <v>1424</v>
      </c>
      <c r="M242" s="61" t="s">
        <v>1402</v>
      </c>
      <c r="N242" s="61" t="s">
        <v>1262</v>
      </c>
      <c r="O242" s="378">
        <v>1.0</v>
      </c>
      <c r="P242" s="564" t="str">
        <f> hyperlink(vlookup(lower(N242),'File Links'!E:F, 2, FALSE), SUBSTITUTE(lower(N242), "/", "--") &amp;  ".pdf")</f>
        <v>10.1016--j.psychres.2017.09.048.pdf</v>
      </c>
      <c r="Q242" s="52" t="str">
        <f t="array" ref="Q242"> if(iserror(MATCH(V242, 'File Links'!C:C, 0)), "N/A", HYPERLINK(INDEX('File Links'!B:B, MATCH(P242, 'File Links'!C:C, 0))))</f>
        <v>https://drive.google.com/file/d/1bB5zAUL5oQPM2ClvdBCDeAd5AlkWVp4P/view?usp=drivesdk</v>
      </c>
      <c r="R242" s="129" t="s">
        <v>1263</v>
      </c>
      <c r="S242" s="61" t="s">
        <v>1264</v>
      </c>
      <c r="T242" s="61"/>
      <c r="U242" s="378">
        <v>1.0</v>
      </c>
      <c r="V242" s="66" t="str">
        <f> hyperlink(vlookup(lower(S242),'File Links'!E:F, 2, FALSE), SUBSTITUTE(lower(S242), "/", "--") &amp;  ".pdf")</f>
        <v>10.1002--erv.3103.pdf</v>
      </c>
      <c r="W242" s="61" t="s">
        <v>209</v>
      </c>
      <c r="X242" s="54" t="str">
        <f t="array" ref="X242"> if(iserror(MATCH(V242, 'File Links'!C:C, 0)), "N/A", HYPERLINK(INDEX('File Links'!B:B, MATCH(V242, 'File Links'!C:C, 0))))</f>
        <v>https://drive.google.com/file/d/1bJ0BC-Xy_bNt41DXHAjv1ms0mnz9Vq86/view?usp=drivesdk</v>
      </c>
      <c r="Y242" s="61"/>
      <c r="Z242" s="61" t="s">
        <v>148</v>
      </c>
      <c r="AA242" s="556" t="s">
        <v>1313</v>
      </c>
      <c r="AB242" s="61" t="s">
        <v>1425</v>
      </c>
      <c r="AC242" s="371" t="s">
        <v>1268</v>
      </c>
      <c r="AD242" s="61" t="s">
        <v>1426</v>
      </c>
      <c r="AE242" s="502">
        <v>5.0</v>
      </c>
      <c r="AF242" s="565">
        <v>63.0</v>
      </c>
      <c r="AG242" s="502">
        <v>0.84</v>
      </c>
      <c r="AH242" s="338" t="s">
        <v>173</v>
      </c>
      <c r="AI242" s="502">
        <v>5.0</v>
      </c>
      <c r="AJ242" s="563">
        <v>0.001</v>
      </c>
      <c r="AK242" s="68" t="s">
        <v>172</v>
      </c>
      <c r="AL242" s="61" t="s">
        <v>136</v>
      </c>
      <c r="AM242" s="371" t="s">
        <v>137</v>
      </c>
      <c r="AN242" s="61" t="s">
        <v>138</v>
      </c>
      <c r="AO242" s="378">
        <v>74.0</v>
      </c>
      <c r="AP242" s="502">
        <v>0.59</v>
      </c>
      <c r="AQ242" s="61" t="s">
        <v>173</v>
      </c>
      <c r="AR242" s="371" t="s">
        <v>850</v>
      </c>
      <c r="AS242" s="566">
        <v>0.01</v>
      </c>
      <c r="AT242" s="68" t="s">
        <v>172</v>
      </c>
      <c r="AU242" s="68" t="s">
        <v>186</v>
      </c>
      <c r="AV242" s="68" t="s">
        <v>141</v>
      </c>
      <c r="AW242" s="68" t="s">
        <v>138</v>
      </c>
      <c r="AX242" s="68" t="s">
        <v>438</v>
      </c>
      <c r="AY242" s="61" t="str">
        <f>IFERROR(__xludf.DUMMYFUNCTION("vlookup(BB242,importrange(""https://docs.google.com/spreadsheets/d/1d2vevQ_7D_v35q4wCQ4RpQ_IPoTwEMB9Yp6ymwlPqew/edit?gid=984458430#gid=984458430"", ""'replication success'!A:K""), 11, FAlSE)"),"successful")</f>
        <v>successful</v>
      </c>
      <c r="AZ242" s="61" t="str">
        <f>IFERROR(__xludf.DUMMYFUNCTION("vlookup(BB242,importrange(""https://docs.google.com/spreadsheets/d/1d2vevQ_7D_v35q4wCQ4RpQ_IPoTwEMB9Yp6ymwlPqew/edit?gid=984458430#gid=984458430"",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2" s="61" t="str">
        <f>IFERROR(__xludf.DUMMYFUNCTION("vlookup(BB242,importrange(""https://docs.google.com/spreadsheets/d/1d2vevQ_7D_v35q4wCQ4RpQ_IPoTwEMB9Yp6ymwlPqew/edit?gid=984458430#gid=984458430"", ""'replication success'!A:M""), 13, FAlSE)"),"abstract")</f>
        <v>abstract</v>
      </c>
      <c r="BB242" s="61" t="str">
        <f>IFERROR(__xludf.DUMMYFUNCTION("REGEXREPLACE(G242, ""_[a-z]{1,2}$"", """")"),"additional_studies36")</f>
        <v>additional_studies36</v>
      </c>
      <c r="BC242" s="61"/>
      <c r="BD242" s="381" t="s">
        <v>1270</v>
      </c>
      <c r="BG242" s="220"/>
      <c r="BH242" s="220"/>
      <c r="BI242" s="220"/>
      <c r="BJ242" s="220"/>
      <c r="BK242" s="220"/>
      <c r="BL242" s="220"/>
      <c r="BM242" s="220"/>
      <c r="BN242" s="220"/>
      <c r="BO242" s="220"/>
      <c r="BP242" s="220"/>
      <c r="BQ242" s="220"/>
      <c r="BR242" s="220"/>
      <c r="BS242" s="220"/>
      <c r="BT242" s="220"/>
      <c r="BU242" s="220"/>
      <c r="BV242" s="220"/>
      <c r="BW242" s="220"/>
      <c r="BX242" s="220"/>
      <c r="BY242" s="220"/>
      <c r="BZ242" s="220"/>
      <c r="CA242" s="220"/>
      <c r="CB242" s="220"/>
      <c r="CC242" s="220"/>
      <c r="CD242" s="220"/>
      <c r="CE242" s="220"/>
      <c r="CF242" s="220"/>
      <c r="CG242" s="220"/>
      <c r="CH242" s="220"/>
      <c r="CI242" s="220"/>
      <c r="CJ242" s="220"/>
      <c r="CK242" s="220"/>
      <c r="CL242" s="220"/>
      <c r="CM242" s="220"/>
      <c r="CN242" s="220"/>
      <c r="CO242" s="220"/>
      <c r="CP242" s="220"/>
      <c r="CQ242" s="220"/>
      <c r="CR242" s="220"/>
      <c r="CS242" s="220"/>
      <c r="CT242" s="220"/>
      <c r="CU242" s="220"/>
      <c r="CV242" s="220"/>
      <c r="CW242" s="220"/>
      <c r="CX242" s="220"/>
      <c r="CY242" s="220"/>
      <c r="CZ242" s="220"/>
      <c r="DA242" s="220"/>
      <c r="DB242" s="220"/>
      <c r="DC242" s="220"/>
      <c r="DD242" s="220"/>
      <c r="DE242" s="220"/>
      <c r="DF242" s="220"/>
      <c r="DG242" s="220"/>
      <c r="DH242" s="220"/>
      <c r="DI242" s="220"/>
      <c r="DJ242" s="220"/>
      <c r="DK242" s="220"/>
      <c r="DL242" s="220"/>
    </row>
    <row r="243" ht="20.25" customHeight="1">
      <c r="A243" s="44">
        <v>243.0</v>
      </c>
      <c r="B243" s="538" t="s">
        <v>114</v>
      </c>
      <c r="C243" s="538" t="s">
        <v>115</v>
      </c>
      <c r="D243" s="538" t="s">
        <v>248</v>
      </c>
      <c r="E243" s="539"/>
      <c r="F243" s="68" t="s">
        <v>1401</v>
      </c>
      <c r="G243" s="61" t="s">
        <v>1290</v>
      </c>
      <c r="H243" s="61" t="s">
        <v>249</v>
      </c>
      <c r="I243" s="529">
        <v>45427.0</v>
      </c>
      <c r="J243" s="567">
        <v>45782.0</v>
      </c>
      <c r="K243" s="61"/>
      <c r="L243" s="129" t="s">
        <v>1427</v>
      </c>
      <c r="M243" s="61" t="s">
        <v>1402</v>
      </c>
      <c r="N243" s="61" t="s">
        <v>1262</v>
      </c>
      <c r="O243" s="378">
        <v>1.0</v>
      </c>
      <c r="P243" s="564" t="str">
        <f> hyperlink(vlookup(lower(N243),'File Links'!E:F, 2, FALSE), SUBSTITUTE(lower(N243), "/", "--") &amp;  ".pdf")</f>
        <v>10.1016--j.psychres.2017.09.048.pdf</v>
      </c>
      <c r="Q243" s="52" t="str">
        <f t="array" ref="Q243"> if(iserror(MATCH(V243, 'File Links'!C:C, 0)), "N/A", HYPERLINK(INDEX('File Links'!B:B, MATCH(P243, 'File Links'!C:C, 0))))</f>
        <v>https://drive.google.com/file/d/1bB5zAUL5oQPM2ClvdBCDeAd5AlkWVp4P/view?usp=drivesdk</v>
      </c>
      <c r="R243" s="129" t="s">
        <v>1263</v>
      </c>
      <c r="S243" s="61" t="s">
        <v>1264</v>
      </c>
      <c r="T243" s="61"/>
      <c r="U243" s="378">
        <v>1.0</v>
      </c>
      <c r="V243" s="66" t="str">
        <f> hyperlink(vlookup(lower(S243),'File Links'!E:F, 2, FALSE), SUBSTITUTE(lower(S243), "/", "--") &amp;  ".pdf")</f>
        <v>10.1002--erv.3103.pdf</v>
      </c>
      <c r="W243" s="61" t="s">
        <v>209</v>
      </c>
      <c r="X243" s="54" t="str">
        <f t="array" ref="X243"> if(iserror(MATCH(V243, 'File Links'!C:C, 0)), "N/A", HYPERLINK(INDEX('File Links'!B:B, MATCH(V243, 'File Links'!C:C, 0))))</f>
        <v>https://drive.google.com/file/d/1bJ0BC-Xy_bNt41DXHAjv1ms0mnz9Vq86/view?usp=drivesdk</v>
      </c>
      <c r="Y243" s="61"/>
      <c r="Z243" s="61" t="s">
        <v>148</v>
      </c>
      <c r="AA243" s="371" t="s">
        <v>1339</v>
      </c>
      <c r="AB243" s="61" t="s">
        <v>1428</v>
      </c>
      <c r="AC243" s="371" t="s">
        <v>1319</v>
      </c>
      <c r="AD243" s="61" t="s">
        <v>1429</v>
      </c>
      <c r="AE243" s="502">
        <v>5.0</v>
      </c>
      <c r="AF243" s="565">
        <v>89.0</v>
      </c>
      <c r="AG243" s="565">
        <v>0.917</v>
      </c>
      <c r="AH243" s="380" t="s">
        <v>874</v>
      </c>
      <c r="AI243" s="502">
        <v>5.0</v>
      </c>
      <c r="AJ243" s="502">
        <v>0.001</v>
      </c>
      <c r="AK243" s="68" t="s">
        <v>135</v>
      </c>
      <c r="AL243" s="61" t="s">
        <v>136</v>
      </c>
      <c r="AM243" s="61" t="s">
        <v>141</v>
      </c>
      <c r="AN243" s="61" t="s">
        <v>138</v>
      </c>
      <c r="AO243" s="378">
        <v>74.0</v>
      </c>
      <c r="AP243" s="501">
        <v>0.849</v>
      </c>
      <c r="AQ243" s="380" t="s">
        <v>874</v>
      </c>
      <c r="AR243" s="371" t="s">
        <v>850</v>
      </c>
      <c r="AS243" s="502">
        <v>0.001</v>
      </c>
      <c r="AT243" s="68" t="s">
        <v>135</v>
      </c>
      <c r="AU243" s="68" t="s">
        <v>186</v>
      </c>
      <c r="AV243" s="68" t="s">
        <v>141</v>
      </c>
      <c r="AW243" s="68" t="s">
        <v>138</v>
      </c>
      <c r="AX243" s="68" t="s">
        <v>438</v>
      </c>
      <c r="AY243" s="61" t="str">
        <f>IFERROR(__xludf.DUMMYFUNCTION("vlookup(BB243,importrange(""https://docs.google.com/spreadsheets/d/1d2vevQ_7D_v35q4wCQ4RpQ_IPoTwEMB9Yp6ymwlPqew/edit?gid=984458430#gid=984458430"", ""'replication success'!A:K""), 11, FAlSE)"),"successful")</f>
        <v>successful</v>
      </c>
      <c r="AZ243" s="61" t="str">
        <f>IFERROR(__xludf.DUMMYFUNCTION("vlookup(BB243,importrange(""https://docs.google.com/spreadsheets/d/1d2vevQ_7D_v35q4wCQ4RpQ_IPoTwEMB9Yp6ymwlPqew/edit?gid=984458430#gid=984458430"",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3" s="61" t="str">
        <f>IFERROR(__xludf.DUMMYFUNCTION("vlookup(BB243,importrange(""https://docs.google.com/spreadsheets/d/1d2vevQ_7D_v35q4wCQ4RpQ_IPoTwEMB9Yp6ymwlPqew/edit?gid=984458430#gid=984458430"", ""'replication success'!A:M""), 13, FAlSE)"),"abstract")</f>
        <v>abstract</v>
      </c>
      <c r="BB243" s="61" t="str">
        <f>IFERROR(__xludf.DUMMYFUNCTION("REGEXREPLACE(G243, ""_[a-z]{1,2}$"", """")"),"additional_studies36")</f>
        <v>additional_studies36</v>
      </c>
      <c r="BC243" s="61"/>
      <c r="BD243" s="381" t="s">
        <v>1270</v>
      </c>
      <c r="BE243" s="71"/>
      <c r="BF243" s="71"/>
      <c r="BG243" s="71"/>
      <c r="BH243" s="71"/>
      <c r="BI243" s="71"/>
      <c r="BJ243" s="71"/>
      <c r="BK243" s="71"/>
      <c r="BL243" s="71"/>
      <c r="BM243" s="71"/>
      <c r="BN243" s="71"/>
      <c r="BO243" s="71"/>
      <c r="BP243" s="71"/>
      <c r="BQ243" s="71"/>
      <c r="BR243" s="71"/>
      <c r="BS243" s="71"/>
      <c r="BT243" s="71"/>
      <c r="BU243" s="71"/>
      <c r="BV243" s="71"/>
      <c r="BW243" s="71"/>
      <c r="BX243" s="71"/>
      <c r="BY243" s="71"/>
      <c r="BZ243" s="71"/>
      <c r="CA243" s="71"/>
      <c r="CB243" s="71"/>
      <c r="CC243" s="71"/>
      <c r="CD243" s="71"/>
      <c r="CE243" s="71"/>
      <c r="CF243" s="71"/>
      <c r="CG243" s="71"/>
      <c r="CH243" s="71"/>
      <c r="CI243" s="71"/>
      <c r="CJ243" s="71"/>
      <c r="CK243" s="71"/>
      <c r="CL243" s="71"/>
      <c r="CM243" s="71"/>
      <c r="CN243" s="71"/>
      <c r="CO243" s="71"/>
      <c r="CP243" s="71"/>
      <c r="CQ243" s="71"/>
      <c r="CR243" s="71"/>
      <c r="CS243" s="71"/>
      <c r="CT243" s="71"/>
      <c r="CU243" s="71"/>
      <c r="CV243" s="71"/>
      <c r="CW243" s="71"/>
      <c r="CX243" s="71"/>
      <c r="CY243" s="71"/>
      <c r="CZ243" s="71"/>
      <c r="DA243" s="71"/>
      <c r="DB243" s="71"/>
      <c r="DC243" s="71"/>
      <c r="DD243" s="71"/>
      <c r="DE243" s="71"/>
      <c r="DF243" s="71"/>
      <c r="DG243" s="71"/>
      <c r="DH243" s="71"/>
      <c r="DI243" s="71"/>
      <c r="DJ243" s="71"/>
      <c r="DK243" s="71"/>
      <c r="DL243" s="71"/>
    </row>
    <row r="244" ht="20.25" customHeight="1">
      <c r="A244" s="44">
        <v>244.0</v>
      </c>
      <c r="B244" s="538" t="s">
        <v>114</v>
      </c>
      <c r="C244" s="538" t="s">
        <v>115</v>
      </c>
      <c r="D244" s="538" t="s">
        <v>248</v>
      </c>
      <c r="E244" s="539"/>
      <c r="F244" s="68" t="s">
        <v>1401</v>
      </c>
      <c r="G244" s="61" t="s">
        <v>1295</v>
      </c>
      <c r="H244" s="61" t="s">
        <v>249</v>
      </c>
      <c r="I244" s="529">
        <v>45427.0</v>
      </c>
      <c r="J244" s="567">
        <v>45782.0</v>
      </c>
      <c r="K244" s="61"/>
      <c r="L244" s="129" t="s">
        <v>1427</v>
      </c>
      <c r="M244" s="61" t="s">
        <v>1402</v>
      </c>
      <c r="N244" s="61" t="s">
        <v>1262</v>
      </c>
      <c r="O244" s="378">
        <v>1.0</v>
      </c>
      <c r="P244" s="564" t="str">
        <f> hyperlink(vlookup(lower(N244),'File Links'!E:F, 2, FALSE), SUBSTITUTE(lower(N244), "/", "--") &amp;  ".pdf")</f>
        <v>10.1016--j.psychres.2017.09.048.pdf</v>
      </c>
      <c r="Q244" s="52" t="str">
        <f t="array" ref="Q244"> if(iserror(MATCH(V244, 'File Links'!C:C, 0)), "N/A", HYPERLINK(INDEX('File Links'!B:B, MATCH(P244, 'File Links'!C:C, 0))))</f>
        <v>https://drive.google.com/file/d/1bB5zAUL5oQPM2ClvdBCDeAd5AlkWVp4P/view?usp=drivesdk</v>
      </c>
      <c r="R244" s="129" t="s">
        <v>1263</v>
      </c>
      <c r="S244" s="61" t="s">
        <v>1264</v>
      </c>
      <c r="T244" s="61"/>
      <c r="U244" s="378">
        <v>1.0</v>
      </c>
      <c r="V244" s="66" t="str">
        <f> hyperlink(vlookup(lower(S244),'File Links'!E:F, 2, FALSE), SUBSTITUTE(lower(S244), "/", "--") &amp;  ".pdf")</f>
        <v>10.1002--erv.3103.pdf</v>
      </c>
      <c r="W244" s="61" t="s">
        <v>209</v>
      </c>
      <c r="X244" s="54" t="str">
        <f t="array" ref="X244"> if(iserror(MATCH(V244, 'File Links'!C:C, 0)), "N/A", HYPERLINK(INDEX('File Links'!B:B, MATCH(V244, 'File Links'!C:C, 0))))</f>
        <v>https://drive.google.com/file/d/1bJ0BC-Xy_bNt41DXHAjv1ms0mnz9Vq86/view?usp=drivesdk</v>
      </c>
      <c r="Y244" s="61"/>
      <c r="Z244" s="61" t="s">
        <v>148</v>
      </c>
      <c r="AA244" s="371" t="s">
        <v>1328</v>
      </c>
      <c r="AB244" s="61" t="s">
        <v>1430</v>
      </c>
      <c r="AC244" s="371" t="s">
        <v>1319</v>
      </c>
      <c r="AD244" s="61" t="s">
        <v>1431</v>
      </c>
      <c r="AE244" s="502">
        <v>5.0</v>
      </c>
      <c r="AF244" s="378">
        <v>89.0</v>
      </c>
      <c r="AG244" s="161">
        <v>0.233</v>
      </c>
      <c r="AH244" s="380" t="s">
        <v>874</v>
      </c>
      <c r="AI244" s="129" t="s">
        <v>813</v>
      </c>
      <c r="AJ244" s="502">
        <v>0.001</v>
      </c>
      <c r="AK244" s="68" t="s">
        <v>135</v>
      </c>
      <c r="AL244" s="61" t="s">
        <v>136</v>
      </c>
      <c r="AM244" s="61" t="s">
        <v>141</v>
      </c>
      <c r="AN244" s="61" t="s">
        <v>138</v>
      </c>
      <c r="AO244" s="378">
        <v>74.0</v>
      </c>
      <c r="AP244" s="161">
        <v>0.363</v>
      </c>
      <c r="AQ244" s="380" t="s">
        <v>874</v>
      </c>
      <c r="AR244" s="371" t="s">
        <v>850</v>
      </c>
      <c r="AS244" s="502">
        <v>0.001</v>
      </c>
      <c r="AT244" s="68" t="s">
        <v>135</v>
      </c>
      <c r="AU244" s="68" t="s">
        <v>186</v>
      </c>
      <c r="AV244" s="68" t="s">
        <v>141</v>
      </c>
      <c r="AW244" s="68" t="s">
        <v>138</v>
      </c>
      <c r="AX244" s="68" t="s">
        <v>438</v>
      </c>
      <c r="AY244" s="61" t="str">
        <f>IFERROR(__xludf.DUMMYFUNCTION("vlookup(BB244,importrange(""https://docs.google.com/spreadsheets/d/1d2vevQ_7D_v35q4wCQ4RpQ_IPoTwEMB9Yp6ymwlPqew/edit?gid=984458430#gid=984458430"", ""'replication success'!A:K""), 11, FAlSE)"),"successful")</f>
        <v>successful</v>
      </c>
      <c r="AZ244" s="61" t="str">
        <f>IFERROR(__xludf.DUMMYFUNCTION("vlookup(BB244,importrange(""https://docs.google.com/spreadsheets/d/1d2vevQ_7D_v35q4wCQ4RpQ_IPoTwEMB9Yp6ymwlPqew/edit?gid=984458430#gid=984458430"",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4" s="61" t="str">
        <f>IFERROR(__xludf.DUMMYFUNCTION("vlookup(BB244,importrange(""https://docs.google.com/spreadsheets/d/1d2vevQ_7D_v35q4wCQ4RpQ_IPoTwEMB9Yp6ymwlPqew/edit?gid=984458430#gid=984458430"", ""'replication success'!A:M""), 13, FAlSE)"),"abstract")</f>
        <v>abstract</v>
      </c>
      <c r="BB244" s="61" t="str">
        <f>IFERROR(__xludf.DUMMYFUNCTION("REGEXREPLACE(G244, ""_[a-z]{1,2}$"", """")"),"additional_studies36")</f>
        <v>additional_studies36</v>
      </c>
      <c r="BC244" s="61"/>
      <c r="BD244" s="381" t="s">
        <v>1270</v>
      </c>
      <c r="BE244" s="71"/>
      <c r="BF244" s="71"/>
      <c r="BG244" s="71"/>
      <c r="BH244" s="71"/>
      <c r="BI244" s="71"/>
      <c r="BJ244" s="71"/>
      <c r="BK244" s="71"/>
      <c r="BL244" s="71"/>
      <c r="BM244" s="71"/>
      <c r="BN244" s="71"/>
      <c r="BO244" s="71"/>
      <c r="BP244" s="71"/>
      <c r="BQ244" s="71"/>
      <c r="BR244" s="71"/>
      <c r="BS244" s="71"/>
      <c r="BT244" s="71"/>
      <c r="BU244" s="71"/>
      <c r="BV244" s="71"/>
      <c r="BW244" s="71"/>
      <c r="BX244" s="71"/>
      <c r="BY244" s="71"/>
      <c r="BZ244" s="71"/>
      <c r="CA244" s="71"/>
      <c r="CB244" s="71"/>
      <c r="CC244" s="71"/>
      <c r="CD244" s="71"/>
      <c r="CE244" s="71"/>
      <c r="CF244" s="71"/>
      <c r="CG244" s="71"/>
      <c r="CH244" s="71"/>
      <c r="CI244" s="71"/>
      <c r="CJ244" s="71"/>
      <c r="CK244" s="71"/>
      <c r="CL244" s="71"/>
      <c r="CM244" s="71"/>
      <c r="CN244" s="71"/>
      <c r="CO244" s="71"/>
      <c r="CP244" s="71"/>
      <c r="CQ244" s="71"/>
      <c r="CR244" s="71"/>
      <c r="CS244" s="71"/>
      <c r="CT244" s="71"/>
      <c r="CU244" s="71"/>
      <c r="CV244" s="71"/>
      <c r="CW244" s="71"/>
      <c r="CX244" s="71"/>
      <c r="CY244" s="71"/>
      <c r="CZ244" s="71"/>
      <c r="DA244" s="71"/>
      <c r="DB244" s="71"/>
      <c r="DC244" s="71"/>
      <c r="DD244" s="71"/>
      <c r="DE244" s="71"/>
      <c r="DF244" s="71"/>
      <c r="DG244" s="71"/>
      <c r="DH244" s="71"/>
      <c r="DI244" s="71"/>
      <c r="DJ244" s="71"/>
      <c r="DK244" s="71"/>
      <c r="DL244" s="71"/>
    </row>
    <row r="245" ht="20.25" customHeight="1">
      <c r="A245" s="44">
        <v>245.0</v>
      </c>
      <c r="B245" s="538" t="s">
        <v>114</v>
      </c>
      <c r="C245" s="538" t="s">
        <v>115</v>
      </c>
      <c r="D245" s="538" t="s">
        <v>248</v>
      </c>
      <c r="E245" s="539"/>
      <c r="F245" s="68" t="s">
        <v>1401</v>
      </c>
      <c r="G245" s="61" t="s">
        <v>1299</v>
      </c>
      <c r="H245" s="61" t="s">
        <v>249</v>
      </c>
      <c r="I245" s="529">
        <v>45427.0</v>
      </c>
      <c r="J245" s="567">
        <v>45782.0</v>
      </c>
      <c r="K245" s="61"/>
      <c r="L245" s="129" t="s">
        <v>1432</v>
      </c>
      <c r="M245" s="61" t="s">
        <v>1402</v>
      </c>
      <c r="N245" s="61" t="s">
        <v>1262</v>
      </c>
      <c r="O245" s="378">
        <v>1.0</v>
      </c>
      <c r="P245" s="564" t="str">
        <f> hyperlink(vlookup(lower(N245),'File Links'!E:F, 2, FALSE), SUBSTITUTE(lower(N245), "/", "--") &amp;  ".pdf")</f>
        <v>10.1016--j.psychres.2017.09.048.pdf</v>
      </c>
      <c r="Q245" s="52" t="str">
        <f t="array" ref="Q245"> if(iserror(MATCH(V245, 'File Links'!C:C, 0)), "N/A", HYPERLINK(INDEX('File Links'!B:B, MATCH(P245, 'File Links'!C:C, 0))))</f>
        <v>https://drive.google.com/file/d/1bB5zAUL5oQPM2ClvdBCDeAd5AlkWVp4P/view?usp=drivesdk</v>
      </c>
      <c r="R245" s="129" t="s">
        <v>1263</v>
      </c>
      <c r="S245" s="61" t="s">
        <v>1264</v>
      </c>
      <c r="T245" s="61"/>
      <c r="U245" s="378">
        <v>1.0</v>
      </c>
      <c r="V245" s="66" t="str">
        <f> hyperlink(vlookup(lower(S245),'File Links'!E:F, 2, FALSE), SUBSTITUTE(lower(S245), "/", "--") &amp;  ".pdf")</f>
        <v>10.1002--erv.3103.pdf</v>
      </c>
      <c r="W245" s="61" t="s">
        <v>209</v>
      </c>
      <c r="X245" s="54" t="str">
        <f t="array" ref="X245"> if(iserror(MATCH(V245, 'File Links'!C:C, 0)), "N/A", HYPERLINK(INDEX('File Links'!B:B, MATCH(V245, 'File Links'!C:C, 0))))</f>
        <v>https://drive.google.com/file/d/1bJ0BC-Xy_bNt41DXHAjv1ms0mnz9Vq86/view?usp=drivesdk</v>
      </c>
      <c r="Y245" s="61"/>
      <c r="Z245" s="61" t="s">
        <v>148</v>
      </c>
      <c r="AA245" s="371" t="s">
        <v>1333</v>
      </c>
      <c r="AB245" s="61" t="s">
        <v>1430</v>
      </c>
      <c r="AC245" s="371" t="s">
        <v>1319</v>
      </c>
      <c r="AD245" s="61" t="s">
        <v>1433</v>
      </c>
      <c r="AE245" s="502">
        <v>5.0</v>
      </c>
      <c r="AF245" s="378">
        <v>89.0</v>
      </c>
      <c r="AG245" s="371" t="s">
        <v>1434</v>
      </c>
      <c r="AH245" s="151" t="s">
        <v>134</v>
      </c>
      <c r="AI245" s="371" t="s">
        <v>813</v>
      </c>
      <c r="AJ245" s="544" t="s">
        <v>138</v>
      </c>
      <c r="AK245" s="544" t="s">
        <v>138</v>
      </c>
      <c r="AL245" s="544" t="s">
        <v>138</v>
      </c>
      <c r="AM245" s="544" t="s">
        <v>138</v>
      </c>
      <c r="AN245" s="61" t="s">
        <v>138</v>
      </c>
      <c r="AO245" s="378">
        <v>74.0</v>
      </c>
      <c r="AP245" s="371" t="s">
        <v>1435</v>
      </c>
      <c r="AQ245" s="151" t="s">
        <v>134</v>
      </c>
      <c r="AR245" s="371" t="s">
        <v>850</v>
      </c>
      <c r="AS245" s="544" t="s">
        <v>138</v>
      </c>
      <c r="AT245" s="544" t="s">
        <v>138</v>
      </c>
      <c r="AU245" s="544" t="s">
        <v>138</v>
      </c>
      <c r="AV245" s="544" t="s">
        <v>138</v>
      </c>
      <c r="AW245" s="542" t="s">
        <v>138</v>
      </c>
      <c r="AX245" s="68" t="s">
        <v>438</v>
      </c>
      <c r="AY245" s="61" t="str">
        <f>IFERROR(__xludf.DUMMYFUNCTION("vlookup(BB245,importrange(""https://docs.google.com/spreadsheets/d/1d2vevQ_7D_v35q4wCQ4RpQ_IPoTwEMB9Yp6ymwlPqew/edit?gid=984458430#gid=984458430"", ""'replication success'!A:K""), 11, FAlSE)"),"successful")</f>
        <v>successful</v>
      </c>
      <c r="AZ245" s="61" t="str">
        <f>IFERROR(__xludf.DUMMYFUNCTION("vlookup(BB245,importrange(""https://docs.google.com/spreadsheets/d/1d2vevQ_7D_v35q4wCQ4RpQ_IPoTwEMB9Yp6ymwlPqew/edit?gid=984458430#gid=984458430"",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5" s="61" t="str">
        <f>IFERROR(__xludf.DUMMYFUNCTION("vlookup(BB245,importrange(""https://docs.google.com/spreadsheets/d/1d2vevQ_7D_v35q4wCQ4RpQ_IPoTwEMB9Yp6ymwlPqew/edit?gid=984458430#gid=984458430"", ""'replication success'!A:M""), 13, FAlSE)"),"abstract")</f>
        <v>abstract</v>
      </c>
      <c r="BB245" s="61" t="str">
        <f>IFERROR(__xludf.DUMMYFUNCTION("REGEXREPLACE(G245, ""_[a-z]{1,2}$"", """")"),"additional_studies36")</f>
        <v>additional_studies36</v>
      </c>
      <c r="BC245" s="61"/>
      <c r="BD245" s="381" t="s">
        <v>1270</v>
      </c>
      <c r="BE245" s="226"/>
      <c r="BF245" s="226"/>
      <c r="BG245" s="226"/>
      <c r="BH245" s="226"/>
      <c r="BI245" s="226"/>
      <c r="BJ245" s="226"/>
      <c r="BK245" s="226"/>
      <c r="BL245" s="226"/>
      <c r="BM245" s="226"/>
      <c r="BN245" s="226"/>
      <c r="BO245" s="226"/>
      <c r="BP245" s="226"/>
      <c r="BQ245" s="226"/>
      <c r="BR245" s="226"/>
      <c r="BS245" s="226"/>
      <c r="BT245" s="226"/>
      <c r="BU245" s="226"/>
      <c r="BV245" s="226"/>
      <c r="BW245" s="226"/>
      <c r="BX245" s="226"/>
      <c r="BY245" s="226"/>
      <c r="BZ245" s="226"/>
      <c r="CA245" s="226"/>
      <c r="CB245" s="226"/>
      <c r="CC245" s="226"/>
      <c r="CD245" s="226"/>
      <c r="CE245" s="226"/>
      <c r="CF245" s="226"/>
      <c r="CG245" s="226"/>
      <c r="CH245" s="226"/>
      <c r="CI245" s="226"/>
      <c r="CJ245" s="226"/>
      <c r="CK245" s="226"/>
      <c r="CL245" s="226"/>
      <c r="CM245" s="226"/>
      <c r="CN245" s="226"/>
      <c r="CO245" s="226"/>
      <c r="CP245" s="226"/>
      <c r="CQ245" s="226"/>
      <c r="CR245" s="226"/>
      <c r="CS245" s="226"/>
      <c r="CT245" s="226"/>
      <c r="CU245" s="226"/>
      <c r="CV245" s="226"/>
      <c r="CW245" s="226"/>
      <c r="CX245" s="226"/>
      <c r="CY245" s="226"/>
      <c r="CZ245" s="226"/>
      <c r="DA245" s="226"/>
      <c r="DB245" s="226"/>
      <c r="DC245" s="226"/>
      <c r="DD245" s="226"/>
      <c r="DE245" s="226"/>
      <c r="DF245" s="226"/>
      <c r="DG245" s="226"/>
      <c r="DH245" s="226"/>
      <c r="DI245" s="226"/>
      <c r="DJ245" s="226"/>
      <c r="DK245" s="226"/>
      <c r="DL245" s="226"/>
    </row>
    <row r="246" ht="20.25" customHeight="1">
      <c r="A246" s="44">
        <v>246.0</v>
      </c>
      <c r="B246" s="538" t="s">
        <v>114</v>
      </c>
      <c r="C246" s="538" t="s">
        <v>115</v>
      </c>
      <c r="D246" s="538" t="s">
        <v>248</v>
      </c>
      <c r="E246" s="539"/>
      <c r="F246" s="68" t="s">
        <v>1401</v>
      </c>
      <c r="G246" s="61" t="s">
        <v>1310</v>
      </c>
      <c r="H246" s="61" t="s">
        <v>249</v>
      </c>
      <c r="I246" s="529">
        <v>45427.0</v>
      </c>
      <c r="J246" s="567">
        <v>45782.0</v>
      </c>
      <c r="K246" s="61"/>
      <c r="L246" s="129" t="s">
        <v>1408</v>
      </c>
      <c r="M246" s="61" t="s">
        <v>1402</v>
      </c>
      <c r="N246" s="61" t="s">
        <v>1262</v>
      </c>
      <c r="O246" s="378">
        <v>1.0</v>
      </c>
      <c r="P246" s="564" t="str">
        <f> hyperlink(vlookup(lower(N246),'File Links'!E:F, 2, FALSE), SUBSTITUTE(lower(N246), "/", "--") &amp;  ".pdf")</f>
        <v>10.1016--j.psychres.2017.09.048.pdf</v>
      </c>
      <c r="Q246" s="52" t="str">
        <f t="array" ref="Q246"> if(iserror(MATCH(V246, 'File Links'!C:C, 0)), "N/A", HYPERLINK(INDEX('File Links'!B:B, MATCH(P246, 'File Links'!C:C, 0))))</f>
        <v>https://drive.google.com/file/d/1bB5zAUL5oQPM2ClvdBCDeAd5AlkWVp4P/view?usp=drivesdk</v>
      </c>
      <c r="R246" s="129" t="s">
        <v>1263</v>
      </c>
      <c r="S246" s="61" t="s">
        <v>1264</v>
      </c>
      <c r="T246" s="61"/>
      <c r="U246" s="378">
        <v>1.0</v>
      </c>
      <c r="V246" s="66" t="str">
        <f> hyperlink(vlookup(lower(S246),'File Links'!E:F, 2, FALSE), SUBSTITUTE(lower(S246), "/", "--") &amp;  ".pdf")</f>
        <v>10.1002--erv.3103.pdf</v>
      </c>
      <c r="W246" s="61" t="s">
        <v>209</v>
      </c>
      <c r="X246" s="54" t="str">
        <f t="array" ref="X246"> if(iserror(MATCH(V246, 'File Links'!C:C, 0)), "N/A", HYPERLINK(INDEX('File Links'!B:B, MATCH(V246, 'File Links'!C:C, 0))))</f>
        <v>https://drive.google.com/file/d/1bJ0BC-Xy_bNt41DXHAjv1ms0mnz9Vq86/view?usp=drivesdk</v>
      </c>
      <c r="Y246" s="61"/>
      <c r="Z246" s="61" t="s">
        <v>148</v>
      </c>
      <c r="AA246" s="371" t="s">
        <v>1345</v>
      </c>
      <c r="AB246" s="61" t="s">
        <v>1436</v>
      </c>
      <c r="AC246" s="371" t="s">
        <v>1319</v>
      </c>
      <c r="AD246" s="61" t="s">
        <v>1437</v>
      </c>
      <c r="AE246" s="502">
        <v>5.0</v>
      </c>
      <c r="AF246" s="378">
        <v>89.0</v>
      </c>
      <c r="AG246" s="565">
        <v>0.519</v>
      </c>
      <c r="AH246" s="380" t="s">
        <v>874</v>
      </c>
      <c r="AI246" s="371" t="s">
        <v>813</v>
      </c>
      <c r="AJ246" s="502">
        <v>0.001</v>
      </c>
      <c r="AK246" s="68" t="s">
        <v>135</v>
      </c>
      <c r="AL246" s="61" t="s">
        <v>136</v>
      </c>
      <c r="AM246" s="61" t="s">
        <v>141</v>
      </c>
      <c r="AN246" s="61" t="s">
        <v>138</v>
      </c>
      <c r="AO246" s="378">
        <v>74.0</v>
      </c>
      <c r="AP246" s="565">
        <v>0.647</v>
      </c>
      <c r="AQ246" s="380" t="s">
        <v>874</v>
      </c>
      <c r="AR246" s="371" t="s">
        <v>850</v>
      </c>
      <c r="AS246" s="502">
        <v>0.001</v>
      </c>
      <c r="AT246" s="68" t="s">
        <v>135</v>
      </c>
      <c r="AU246" s="68" t="s">
        <v>186</v>
      </c>
      <c r="AV246" s="68" t="s">
        <v>141</v>
      </c>
      <c r="AW246" s="68" t="s">
        <v>138</v>
      </c>
      <c r="AX246" s="68" t="s">
        <v>438</v>
      </c>
      <c r="AY246" s="61" t="str">
        <f>IFERROR(__xludf.DUMMYFUNCTION("vlookup(BB246,importrange(""https://docs.google.com/spreadsheets/d/1d2vevQ_7D_v35q4wCQ4RpQ_IPoTwEMB9Yp6ymwlPqew/edit?gid=984458430#gid=984458430"", ""'replication success'!A:K""), 11, FAlSE)"),"successful")</f>
        <v>successful</v>
      </c>
      <c r="AZ246" s="61" t="str">
        <f>IFERROR(__xludf.DUMMYFUNCTION("vlookup(BB246,importrange(""https://docs.google.com/spreadsheets/d/1d2vevQ_7D_v35q4wCQ4RpQ_IPoTwEMB9Yp6ymwlPqew/edit?gid=984458430#gid=984458430"",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6" s="61" t="str">
        <f>IFERROR(__xludf.DUMMYFUNCTION("vlookup(BB246,importrange(""https://docs.google.com/spreadsheets/d/1d2vevQ_7D_v35q4wCQ4RpQ_IPoTwEMB9Yp6ymwlPqew/edit?gid=984458430#gid=984458430"", ""'replication success'!A:M""), 13, FAlSE)"),"abstract")</f>
        <v>abstract</v>
      </c>
      <c r="BB246" s="61" t="str">
        <f>IFERROR(__xludf.DUMMYFUNCTION("REGEXREPLACE(G246, ""_[a-z]{1,2}$"", """")"),"additional_studies36")</f>
        <v>additional_studies36</v>
      </c>
      <c r="BC246" s="61"/>
      <c r="BD246" s="381" t="s">
        <v>1270</v>
      </c>
      <c r="BE246" s="226"/>
      <c r="BF246" s="226"/>
      <c r="BG246" s="226"/>
      <c r="BH246" s="226"/>
      <c r="BI246" s="226"/>
      <c r="BJ246" s="226"/>
      <c r="BK246" s="226"/>
      <c r="BL246" s="226"/>
      <c r="BM246" s="226"/>
      <c r="BN246" s="226"/>
      <c r="BO246" s="226"/>
      <c r="BP246" s="226"/>
      <c r="BQ246" s="226"/>
      <c r="BR246" s="226"/>
      <c r="BS246" s="226"/>
      <c r="BT246" s="226"/>
      <c r="BU246" s="226"/>
      <c r="BV246" s="226"/>
      <c r="BW246" s="226"/>
      <c r="BX246" s="226"/>
      <c r="BY246" s="226"/>
      <c r="BZ246" s="226"/>
      <c r="CA246" s="226"/>
      <c r="CB246" s="226"/>
      <c r="CC246" s="226"/>
      <c r="CD246" s="226"/>
      <c r="CE246" s="226"/>
      <c r="CF246" s="226"/>
      <c r="CG246" s="226"/>
      <c r="CH246" s="226"/>
      <c r="CI246" s="226"/>
      <c r="CJ246" s="226"/>
      <c r="CK246" s="226"/>
      <c r="CL246" s="226"/>
      <c r="CM246" s="226"/>
      <c r="CN246" s="226"/>
      <c r="CO246" s="226"/>
      <c r="CP246" s="226"/>
      <c r="CQ246" s="226"/>
      <c r="CR246" s="226"/>
      <c r="CS246" s="226"/>
      <c r="CT246" s="226"/>
      <c r="CU246" s="226"/>
      <c r="CV246" s="226"/>
      <c r="CW246" s="226"/>
      <c r="CX246" s="226"/>
      <c r="CY246" s="226"/>
      <c r="CZ246" s="226"/>
      <c r="DA246" s="226"/>
      <c r="DB246" s="226"/>
      <c r="DC246" s="226"/>
      <c r="DD246" s="226"/>
      <c r="DE246" s="226"/>
      <c r="DF246" s="226"/>
      <c r="DG246" s="226"/>
      <c r="DH246" s="226"/>
      <c r="DI246" s="226"/>
      <c r="DJ246" s="226"/>
      <c r="DK246" s="226"/>
      <c r="DL246" s="226"/>
    </row>
    <row r="247" ht="20.25" customHeight="1">
      <c r="A247" s="44">
        <v>247.0</v>
      </c>
      <c r="B247" s="538" t="s">
        <v>114</v>
      </c>
      <c r="C247" s="538" t="s">
        <v>115</v>
      </c>
      <c r="D247" s="538" t="s">
        <v>248</v>
      </c>
      <c r="E247" s="539"/>
      <c r="F247" s="68" t="s">
        <v>1401</v>
      </c>
      <c r="G247" s="61" t="s">
        <v>1315</v>
      </c>
      <c r="H247" s="61" t="s">
        <v>249</v>
      </c>
      <c r="I247" s="529">
        <v>45427.0</v>
      </c>
      <c r="J247" s="567">
        <v>45782.0</v>
      </c>
      <c r="K247" s="61"/>
      <c r="L247" s="129" t="s">
        <v>1408</v>
      </c>
      <c r="M247" s="61" t="s">
        <v>1402</v>
      </c>
      <c r="N247" s="61" t="s">
        <v>1262</v>
      </c>
      <c r="O247" s="378">
        <v>1.0</v>
      </c>
      <c r="P247" s="564" t="str">
        <f> hyperlink(vlookup(lower(N247),'File Links'!E:F, 2, FALSE), SUBSTITUTE(lower(N247), "/", "--") &amp;  ".pdf")</f>
        <v>10.1016--j.psychres.2017.09.048.pdf</v>
      </c>
      <c r="Q247" s="52" t="str">
        <f t="array" ref="Q247"> if(iserror(MATCH(V247, 'File Links'!C:C, 0)), "N/A", HYPERLINK(INDEX('File Links'!B:B, MATCH(P247, 'File Links'!C:C, 0))))</f>
        <v>https://drive.google.com/file/d/1bB5zAUL5oQPM2ClvdBCDeAd5AlkWVp4P/view?usp=drivesdk</v>
      </c>
      <c r="R247" s="129" t="s">
        <v>1263</v>
      </c>
      <c r="S247" s="61" t="s">
        <v>1264</v>
      </c>
      <c r="T247" s="61"/>
      <c r="U247" s="378">
        <v>1.0</v>
      </c>
      <c r="V247" s="66" t="str">
        <f> hyperlink(vlookup(lower(S247),'File Links'!E:F, 2, FALSE), SUBSTITUTE(lower(S247), "/", "--") &amp;  ".pdf")</f>
        <v>10.1002--erv.3103.pdf</v>
      </c>
      <c r="W247" s="61" t="s">
        <v>209</v>
      </c>
      <c r="X247" s="54" t="str">
        <f t="array" ref="X247"> if(iserror(MATCH(V247, 'File Links'!C:C, 0)), "N/A", HYPERLINK(INDEX('File Links'!B:B, MATCH(V247, 'File Links'!C:C, 0))))</f>
        <v>https://drive.google.com/file/d/1bJ0BC-Xy_bNt41DXHAjv1ms0mnz9Vq86/view?usp=drivesdk</v>
      </c>
      <c r="Y247" s="61"/>
      <c r="Z247" s="61" t="s">
        <v>148</v>
      </c>
      <c r="AA247" s="371" t="s">
        <v>1349</v>
      </c>
      <c r="AB247" s="61" t="s">
        <v>1438</v>
      </c>
      <c r="AC247" s="371" t="s">
        <v>1319</v>
      </c>
      <c r="AD247" s="61" t="s">
        <v>1439</v>
      </c>
      <c r="AE247" s="502">
        <v>5.0</v>
      </c>
      <c r="AF247" s="378">
        <v>89.0</v>
      </c>
      <c r="AG247" s="565">
        <v>0.536</v>
      </c>
      <c r="AH247" s="380" t="s">
        <v>874</v>
      </c>
      <c r="AI247" s="371" t="s">
        <v>813</v>
      </c>
      <c r="AJ247" s="502">
        <v>0.001</v>
      </c>
      <c r="AK247" s="68" t="s">
        <v>135</v>
      </c>
      <c r="AL247" s="61" t="s">
        <v>136</v>
      </c>
      <c r="AM247" s="61" t="s">
        <v>141</v>
      </c>
      <c r="AN247" s="61" t="s">
        <v>138</v>
      </c>
      <c r="AO247" s="378">
        <v>74.0</v>
      </c>
      <c r="AP247" s="565">
        <v>0.595</v>
      </c>
      <c r="AQ247" s="380" t="s">
        <v>874</v>
      </c>
      <c r="AR247" s="371" t="s">
        <v>850</v>
      </c>
      <c r="AS247" s="502">
        <v>0.001</v>
      </c>
      <c r="AT247" s="68" t="s">
        <v>135</v>
      </c>
      <c r="AU247" s="68" t="s">
        <v>186</v>
      </c>
      <c r="AV247" s="68" t="s">
        <v>141</v>
      </c>
      <c r="AW247" s="68" t="s">
        <v>138</v>
      </c>
      <c r="AX247" s="68" t="s">
        <v>438</v>
      </c>
      <c r="AY247" s="61" t="str">
        <f>IFERROR(__xludf.DUMMYFUNCTION("vlookup(BB247,importrange(""https://docs.google.com/spreadsheets/d/1d2vevQ_7D_v35q4wCQ4RpQ_IPoTwEMB9Yp6ymwlPqew/edit?gid=984458430#gid=984458430"", ""'replication success'!A:K""), 11, FAlSE)"),"successful")</f>
        <v>successful</v>
      </c>
      <c r="AZ247" s="61" t="str">
        <f>IFERROR(__xludf.DUMMYFUNCTION("vlookup(BB247,importrange(""https://docs.google.com/spreadsheets/d/1d2vevQ_7D_v35q4wCQ4RpQ_IPoTwEMB9Yp6ymwlPqew/edit?gid=984458430#gid=984458430"",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7" s="61" t="str">
        <f>IFERROR(__xludf.DUMMYFUNCTION("vlookup(BB247,importrange(""https://docs.google.com/spreadsheets/d/1d2vevQ_7D_v35q4wCQ4RpQ_IPoTwEMB9Yp6ymwlPqew/edit?gid=984458430#gid=984458430"", ""'replication success'!A:M""), 13, FAlSE)"),"abstract")</f>
        <v>abstract</v>
      </c>
      <c r="BB247" s="61" t="str">
        <f>IFERROR(__xludf.DUMMYFUNCTION("REGEXREPLACE(G247, ""_[a-z]{1,2}$"", """")"),"additional_studies36")</f>
        <v>additional_studies36</v>
      </c>
      <c r="BC247" s="61"/>
      <c r="BD247" s="381" t="s">
        <v>1270</v>
      </c>
      <c r="BE247" s="226"/>
      <c r="BF247" s="226"/>
      <c r="BG247" s="226"/>
      <c r="BH247" s="226"/>
      <c r="BI247" s="226"/>
      <c r="BJ247" s="226"/>
      <c r="BK247" s="226"/>
      <c r="BL247" s="226"/>
      <c r="BM247" s="226"/>
      <c r="BN247" s="226"/>
      <c r="BO247" s="226"/>
      <c r="BP247" s="226"/>
      <c r="BQ247" s="226"/>
      <c r="BR247" s="226"/>
      <c r="BS247" s="226"/>
      <c r="BT247" s="226"/>
      <c r="BU247" s="226"/>
      <c r="BV247" s="226"/>
      <c r="BW247" s="226"/>
      <c r="BX247" s="226"/>
      <c r="BY247" s="226"/>
      <c r="BZ247" s="226"/>
      <c r="CA247" s="226"/>
      <c r="CB247" s="226"/>
      <c r="CC247" s="226"/>
      <c r="CD247" s="226"/>
      <c r="CE247" s="226"/>
      <c r="CF247" s="226"/>
      <c r="CG247" s="226"/>
      <c r="CH247" s="226"/>
      <c r="CI247" s="226"/>
      <c r="CJ247" s="226"/>
      <c r="CK247" s="226"/>
      <c r="CL247" s="226"/>
      <c r="CM247" s="226"/>
      <c r="CN247" s="226"/>
      <c r="CO247" s="226"/>
      <c r="CP247" s="226"/>
      <c r="CQ247" s="226"/>
      <c r="CR247" s="226"/>
      <c r="CS247" s="226"/>
      <c r="CT247" s="226"/>
      <c r="CU247" s="226"/>
      <c r="CV247" s="226"/>
      <c r="CW247" s="226"/>
      <c r="CX247" s="226"/>
      <c r="CY247" s="226"/>
      <c r="CZ247" s="226"/>
      <c r="DA247" s="226"/>
      <c r="DB247" s="226"/>
      <c r="DC247" s="226"/>
      <c r="DD247" s="226"/>
      <c r="DE247" s="226"/>
      <c r="DF247" s="226"/>
      <c r="DG247" s="226"/>
      <c r="DH247" s="226"/>
      <c r="DI247" s="226"/>
      <c r="DJ247" s="226"/>
      <c r="DK247" s="226"/>
      <c r="DL247" s="226"/>
    </row>
    <row r="248" ht="20.25" customHeight="1">
      <c r="A248" s="44">
        <v>248.0</v>
      </c>
      <c r="B248" s="538" t="s">
        <v>114</v>
      </c>
      <c r="C248" s="538" t="s">
        <v>115</v>
      </c>
      <c r="D248" s="538" t="s">
        <v>248</v>
      </c>
      <c r="E248" s="539"/>
      <c r="F248" s="68" t="s">
        <v>1401</v>
      </c>
      <c r="G248" s="61" t="s">
        <v>1322</v>
      </c>
      <c r="H248" s="61" t="s">
        <v>249</v>
      </c>
      <c r="I248" s="529">
        <v>45427.0</v>
      </c>
      <c r="J248" s="567">
        <v>45782.0</v>
      </c>
      <c r="K248" s="61"/>
      <c r="L248" s="129" t="s">
        <v>1432</v>
      </c>
      <c r="M248" s="61" t="s">
        <v>1402</v>
      </c>
      <c r="N248" s="61" t="s">
        <v>1262</v>
      </c>
      <c r="O248" s="378">
        <v>1.0</v>
      </c>
      <c r="P248" s="564" t="str">
        <f> hyperlink(vlookup(lower(N248),'File Links'!E:F, 2, FALSE), SUBSTITUTE(lower(N248), "/", "--") &amp;  ".pdf")</f>
        <v>10.1016--j.psychres.2017.09.048.pdf</v>
      </c>
      <c r="Q248" s="52" t="str">
        <f t="array" ref="Q248"> if(iserror(MATCH(V248, 'File Links'!C:C, 0)), "N/A", HYPERLINK(INDEX('File Links'!B:B, MATCH(P248, 'File Links'!C:C, 0))))</f>
        <v>https://drive.google.com/file/d/1bB5zAUL5oQPM2ClvdBCDeAd5AlkWVp4P/view?usp=drivesdk</v>
      </c>
      <c r="R248" s="129" t="s">
        <v>1263</v>
      </c>
      <c r="S248" s="61" t="s">
        <v>1264</v>
      </c>
      <c r="T248" s="61"/>
      <c r="U248" s="378">
        <v>1.0</v>
      </c>
      <c r="V248" s="66" t="str">
        <f> hyperlink(vlookup(lower(S248),'File Links'!E:F, 2, FALSE), SUBSTITUTE(lower(S248), "/", "--") &amp;  ".pdf")</f>
        <v>10.1002--erv.3103.pdf</v>
      </c>
      <c r="W248" s="61" t="s">
        <v>209</v>
      </c>
      <c r="X248" s="54" t="str">
        <f t="array" ref="X248"> if(iserror(MATCH(V248, 'File Links'!C:C, 0)), "N/A", HYPERLINK(INDEX('File Links'!B:B, MATCH(V248, 'File Links'!C:C, 0))))</f>
        <v>https://drive.google.com/file/d/1bJ0BC-Xy_bNt41DXHAjv1ms0mnz9Vq86/view?usp=drivesdk</v>
      </c>
      <c r="Y248" s="61"/>
      <c r="Z248" s="61" t="s">
        <v>148</v>
      </c>
      <c r="AA248" s="556" t="s">
        <v>1355</v>
      </c>
      <c r="AB248" s="61" t="s">
        <v>1430</v>
      </c>
      <c r="AC248" s="371" t="s">
        <v>1319</v>
      </c>
      <c r="AD248" s="61" t="s">
        <v>1356</v>
      </c>
      <c r="AE248" s="502">
        <v>5.0</v>
      </c>
      <c r="AF248" s="378">
        <v>89.0</v>
      </c>
      <c r="AG248" s="565" t="s">
        <v>1440</v>
      </c>
      <c r="AH248" s="371" t="s">
        <v>134</v>
      </c>
      <c r="AI248" s="371" t="s">
        <v>813</v>
      </c>
      <c r="AJ248" s="502">
        <v>0.5</v>
      </c>
      <c r="AK248" s="68" t="s">
        <v>335</v>
      </c>
      <c r="AL248" s="61" t="s">
        <v>136</v>
      </c>
      <c r="AM248" s="61" t="s">
        <v>141</v>
      </c>
      <c r="AN248" s="61" t="s">
        <v>138</v>
      </c>
      <c r="AO248" s="378">
        <v>74.0</v>
      </c>
      <c r="AP248" s="501" t="s">
        <v>1435</v>
      </c>
      <c r="AQ248" s="371" t="s">
        <v>134</v>
      </c>
      <c r="AR248" s="371" t="s">
        <v>850</v>
      </c>
      <c r="AS248" s="544" t="s">
        <v>138</v>
      </c>
      <c r="AT248" s="544" t="s">
        <v>138</v>
      </c>
      <c r="AU248" s="544" t="s">
        <v>138</v>
      </c>
      <c r="AV248" s="544" t="s">
        <v>138</v>
      </c>
      <c r="AW248" s="542" t="s">
        <v>138</v>
      </c>
      <c r="AX248" s="68" t="s">
        <v>438</v>
      </c>
      <c r="AY248" s="61" t="str">
        <f>IFERROR(__xludf.DUMMYFUNCTION("vlookup(BB248,importrange(""https://docs.google.com/spreadsheets/d/1d2vevQ_7D_v35q4wCQ4RpQ_IPoTwEMB9Yp6ymwlPqew/edit?gid=984458430#gid=984458430"", ""'replication success'!A:K""), 11, FAlSE)"),"successful")</f>
        <v>successful</v>
      </c>
      <c r="AZ248" s="61" t="str">
        <f>IFERROR(__xludf.DUMMYFUNCTION("vlookup(BB248,importrange(""https://docs.google.com/spreadsheets/d/1d2vevQ_7D_v35q4wCQ4RpQ_IPoTwEMB9Yp6ymwlPqew/edit?gid=984458430#gid=984458430"", ""'replication success'!A:M""), 12, FAlSE)"),"The results replicate those of a previous study and suggest that emotion
recognition impairments may arise with prolonged illness duration")</f>
        <v>The results replicate those of a previous study and suggest that emotion
recognition impairments may arise with prolonged illness duration</v>
      </c>
      <c r="BA248" s="61" t="str">
        <f>IFERROR(__xludf.DUMMYFUNCTION("vlookup(BB248,importrange(""https://docs.google.com/spreadsheets/d/1d2vevQ_7D_v35q4wCQ4RpQ_IPoTwEMB9Yp6ymwlPqew/edit?gid=984458430#gid=984458430"", ""'replication success'!A:M""), 13, FAlSE)"),"abstract")</f>
        <v>abstract</v>
      </c>
      <c r="BB248" s="61" t="str">
        <f>IFERROR(__xludf.DUMMYFUNCTION("REGEXREPLACE(G248, ""_[a-z]{1,2}$"", """")"),"additional_studies36")</f>
        <v>additional_studies36</v>
      </c>
      <c r="BC248" s="61"/>
      <c r="BD248" s="381" t="s">
        <v>1270</v>
      </c>
      <c r="BE248" s="226"/>
      <c r="BF248" s="226"/>
      <c r="BG248" s="226"/>
      <c r="BH248" s="226"/>
      <c r="BI248" s="226"/>
      <c r="BJ248" s="226"/>
      <c r="BK248" s="226"/>
      <c r="BL248" s="226"/>
      <c r="BM248" s="226"/>
      <c r="BN248" s="226"/>
      <c r="BO248" s="226"/>
      <c r="BP248" s="226"/>
      <c r="BQ248" s="226"/>
      <c r="BR248" s="226"/>
      <c r="BS248" s="226"/>
      <c r="BT248" s="226"/>
      <c r="BU248" s="226"/>
      <c r="BV248" s="226"/>
      <c r="BW248" s="226"/>
      <c r="BX248" s="226"/>
      <c r="BY248" s="226"/>
      <c r="BZ248" s="226"/>
      <c r="CA248" s="226"/>
      <c r="CB248" s="226"/>
      <c r="CC248" s="226"/>
      <c r="CD248" s="226"/>
      <c r="CE248" s="226"/>
      <c r="CF248" s="226"/>
      <c r="CG248" s="226"/>
      <c r="CH248" s="226"/>
      <c r="CI248" s="226"/>
      <c r="CJ248" s="226"/>
      <c r="CK248" s="226"/>
      <c r="CL248" s="226"/>
      <c r="CM248" s="226"/>
      <c r="CN248" s="226"/>
      <c r="CO248" s="226"/>
      <c r="CP248" s="226"/>
      <c r="CQ248" s="226"/>
      <c r="CR248" s="226"/>
      <c r="CS248" s="226"/>
      <c r="CT248" s="226"/>
      <c r="CU248" s="226"/>
      <c r="CV248" s="226"/>
      <c r="CW248" s="226"/>
      <c r="CX248" s="226"/>
      <c r="CY248" s="226"/>
      <c r="CZ248" s="226"/>
      <c r="DA248" s="226"/>
      <c r="DB248" s="226"/>
      <c r="DC248" s="226"/>
      <c r="DD248" s="226"/>
      <c r="DE248" s="226"/>
      <c r="DF248" s="226"/>
      <c r="DG248" s="226"/>
      <c r="DH248" s="226"/>
      <c r="DI248" s="226"/>
      <c r="DJ248" s="226"/>
      <c r="DK248" s="226"/>
      <c r="DL248" s="226"/>
    </row>
    <row r="249" ht="20.25" customHeight="1">
      <c r="A249" s="44">
        <v>249.0</v>
      </c>
      <c r="B249" s="450" t="s">
        <v>114</v>
      </c>
      <c r="C249" s="450" t="s">
        <v>115</v>
      </c>
      <c r="D249" s="450" t="s">
        <v>1441</v>
      </c>
      <c r="E249" s="451"/>
      <c r="F249" s="201" t="s">
        <v>1442</v>
      </c>
      <c r="G249" s="126" t="s">
        <v>1443</v>
      </c>
      <c r="H249" s="126" t="s">
        <v>1444</v>
      </c>
      <c r="I249" s="568">
        <v>45633.0</v>
      </c>
      <c r="J249" s="569">
        <v>45663.0</v>
      </c>
      <c r="K249" s="132"/>
      <c r="L249" s="212" t="s">
        <v>1445</v>
      </c>
      <c r="M249" s="126" t="s">
        <v>1446</v>
      </c>
      <c r="N249" s="126" t="s">
        <v>1447</v>
      </c>
      <c r="O249" s="132"/>
      <c r="P249" s="223" t="str">
        <f>SUBSTITUTE(LOWER(N249), "/", "--") &amp;  ".pdf"</f>
        <v>10.1177--0267658310386439.pdf</v>
      </c>
      <c r="Q249" s="52" t="str">
        <f t="array" ref="Q249"> if(iserror(MATCH(V249, 'File Links'!C:C, 0)), "N/A", HYPERLINK(INDEX('File Links'!B:B, MATCH(P249, 'File Links'!C:C, 0))))</f>
        <v>https://drive.google.com/file/d/1c_xOizbgC83hFcsc5jmN-idvU1vfACNB/view?usp=drivesdk</v>
      </c>
      <c r="R249" s="126" t="s">
        <v>1448</v>
      </c>
      <c r="S249" s="126" t="s">
        <v>1449</v>
      </c>
      <c r="T249" s="132"/>
      <c r="U249" s="318"/>
      <c r="V249" s="126" t="str">
        <f>HYPERLINK(VLOOKUP(LOWER(S249),#REF!, 2, FALSE), SUBSTITUTE(LOWER(S249), "/", "--") &amp;  ".pdf")</f>
        <v>10.1017--s0272263124000342.pdf</v>
      </c>
      <c r="W249" s="134" t="s">
        <v>1450</v>
      </c>
      <c r="X249" s="54" t="str">
        <f t="array" ref="X249"> if(iserror(MATCH(V249, 'File Links'!C:C, 0)), "N/A", HYPERLINK(INDEX('File Links'!B:B, MATCH(V249, 'File Links'!C:C, 0))))</f>
        <v>https://drive.google.com/file/d/1fNwzy4f6SEAeVccICF8BD0SDAIH7uPVr/view?usp=drivesdk</v>
      </c>
      <c r="Y249" s="132"/>
      <c r="Z249" s="126" t="s">
        <v>295</v>
      </c>
      <c r="AA249" s="134" t="s">
        <v>1451</v>
      </c>
      <c r="AB249" s="134" t="s">
        <v>1452</v>
      </c>
      <c r="AC249" s="126" t="s">
        <v>1453</v>
      </c>
      <c r="AD249" s="126" t="s">
        <v>1454</v>
      </c>
      <c r="AE249" s="320">
        <v>118.0</v>
      </c>
      <c r="AF249" s="130">
        <v>60.0</v>
      </c>
      <c r="AG249" s="570" t="s">
        <v>1455</v>
      </c>
      <c r="AH249" s="377" t="s">
        <v>134</v>
      </c>
      <c r="AI249" s="571"/>
      <c r="AJ249" s="572">
        <v>0.901</v>
      </c>
      <c r="AK249" s="573" t="s">
        <v>172</v>
      </c>
      <c r="AL249" s="571" t="s">
        <v>186</v>
      </c>
      <c r="AM249" s="132" t="s">
        <v>141</v>
      </c>
      <c r="AN249" s="61" t="s">
        <v>138</v>
      </c>
      <c r="AO249" s="130">
        <v>211.0</v>
      </c>
      <c r="AP249" s="119" t="s">
        <v>1456</v>
      </c>
      <c r="AQ249" s="126" t="s">
        <v>134</v>
      </c>
      <c r="AR249" s="132"/>
      <c r="AS249" s="130">
        <v>0.05</v>
      </c>
      <c r="AT249" s="125" t="s">
        <v>135</v>
      </c>
      <c r="AU249" s="125" t="s">
        <v>186</v>
      </c>
      <c r="AV249" s="125" t="s">
        <v>141</v>
      </c>
      <c r="AW249" s="125"/>
      <c r="AX249" s="140" t="s">
        <v>143</v>
      </c>
      <c r="AY249" s="61" t="str">
        <f>IFERROR(__xludf.DUMMYFUNCTION("vlookup(BB249,importrange(""https://docs.google.com/spreadsheets/d/1d2vevQ_7D_v35q4wCQ4RpQ_IPoTwEMB9Yp6ymwlPqew/edit?gid=984458430#gid=984458430"", ""'replication success'!A:K""), 11, FAlSE)"),"mixed")</f>
        <v>mixed</v>
      </c>
      <c r="AZ249" s="61" t="str">
        <f>IFERROR(__xludf.DUMMYFUNCTION("vlookup(BB249,importrange(""https://docs.google.com/spreadsheets/d/1d2vevQ_7D_v35q4wCQ4RpQ_IPoTwEMB9Yp6ymwlPqew/edit?gid=984458430#gid=984458430"",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49" s="61" t="str">
        <f>IFERROR(__xludf.DUMMYFUNCTION("vlookup(BB249,importrange(""https://docs.google.com/spreadsheets/d/1d2vevQ_7D_v35q4wCQ4RpQ_IPoTwEMB9Yp6ymwlPqew/edit?gid=984458430#gid=984458430"", ""'replication success'!A:M""), 13, FAlSE)"),"abstract")</f>
        <v>abstract</v>
      </c>
      <c r="BB249" s="61" t="str">
        <f>IFERROR(__xludf.DUMMYFUNCTION("REGEXREPLACE(G249, ""_[a-z]{1,2}$"", """")"),"additional_studies37")</f>
        <v>additional_studies37</v>
      </c>
      <c r="BC249" s="129" t="s">
        <v>1457</v>
      </c>
      <c r="BD249" s="124" t="s">
        <v>144</v>
      </c>
      <c r="BG249" s="71"/>
      <c r="BH249" s="71"/>
      <c r="BI249" s="71"/>
      <c r="BJ249" s="71"/>
      <c r="BK249" s="71"/>
      <c r="BL249" s="71"/>
      <c r="BM249" s="71"/>
      <c r="BN249" s="71"/>
      <c r="BO249" s="71"/>
      <c r="BP249" s="71"/>
      <c r="BQ249" s="71"/>
      <c r="BR249" s="71"/>
      <c r="BS249" s="71"/>
      <c r="BT249" s="71"/>
      <c r="BU249" s="71"/>
      <c r="BV249" s="71"/>
      <c r="BW249" s="71"/>
      <c r="BX249" s="71"/>
      <c r="BY249" s="71"/>
      <c r="BZ249" s="71"/>
      <c r="CA249" s="71"/>
      <c r="CB249" s="71"/>
      <c r="CC249" s="71"/>
      <c r="CD249" s="71"/>
      <c r="CE249" s="71"/>
      <c r="CF249" s="71"/>
      <c r="CG249" s="71"/>
      <c r="CH249" s="71"/>
      <c r="CI249" s="71"/>
      <c r="CJ249" s="71"/>
      <c r="CK249" s="71"/>
      <c r="CL249" s="71"/>
      <c r="CM249" s="71"/>
      <c r="CN249" s="71"/>
      <c r="CO249" s="71"/>
      <c r="CP249" s="71"/>
      <c r="CQ249" s="71"/>
      <c r="CR249" s="71"/>
      <c r="CS249" s="71"/>
      <c r="CT249" s="71"/>
      <c r="CU249" s="71"/>
      <c r="CV249" s="71"/>
      <c r="CW249" s="71"/>
      <c r="CX249" s="71"/>
      <c r="CY249" s="71"/>
      <c r="CZ249" s="71"/>
      <c r="DA249" s="71"/>
      <c r="DB249" s="71"/>
      <c r="DC249" s="71"/>
      <c r="DD249" s="71"/>
      <c r="DE249" s="71"/>
      <c r="DF249" s="71"/>
      <c r="DG249" s="71"/>
      <c r="DH249" s="71"/>
      <c r="DI249" s="71"/>
      <c r="DJ249" s="71"/>
      <c r="DK249" s="71"/>
      <c r="DL249" s="71"/>
    </row>
    <row r="250" ht="20.25" customHeight="1">
      <c r="A250" s="44">
        <v>250.0</v>
      </c>
      <c r="B250" s="199" t="s">
        <v>152</v>
      </c>
      <c r="C250" s="199" t="s">
        <v>115</v>
      </c>
      <c r="D250" s="199" t="s">
        <v>1458</v>
      </c>
      <c r="E250" s="200"/>
      <c r="F250" s="201" t="s">
        <v>1442</v>
      </c>
      <c r="G250" s="112" t="s">
        <v>1443</v>
      </c>
      <c r="H250" s="112" t="s">
        <v>1459</v>
      </c>
      <c r="I250" s="417">
        <v>45636.0</v>
      </c>
      <c r="J250" s="574">
        <v>45663.0</v>
      </c>
      <c r="K250" s="418" t="s">
        <v>1460</v>
      </c>
      <c r="L250" s="114"/>
      <c r="M250" s="418" t="s">
        <v>1461</v>
      </c>
      <c r="N250" s="112" t="s">
        <v>1447</v>
      </c>
      <c r="O250" s="147">
        <v>1.0</v>
      </c>
      <c r="P250" s="121" t="str">
        <f> SUBSTITUTE(lower(N250), "/", "--") &amp;  ".pdf"</f>
        <v>10.1177--0267658310386439.pdf</v>
      </c>
      <c r="Q250" s="52" t="str">
        <f t="array" ref="Q250"> if(iserror(MATCH(V250, 'File Links'!C:C, 0)), "N/A", HYPERLINK(INDEX('File Links'!B:B, MATCH(P250, 'File Links'!C:C, 0))))</f>
        <v>https://drive.google.com/file/d/1c_xOizbgC83hFcsc5jmN-idvU1vfACNB/view?usp=drivesdk</v>
      </c>
      <c r="R250" s="418" t="s">
        <v>1462</v>
      </c>
      <c r="S250" s="418" t="s">
        <v>1449</v>
      </c>
      <c r="T250" s="114"/>
      <c r="U250" s="133">
        <v>1.0</v>
      </c>
      <c r="V250" s="112" t="str">
        <f> hyperlink(vlookup(lower(S250),#REF!, 2, FALSE), SUBSTITUTE(lower(S250), "/", "--") &amp;  ".pdf")</f>
        <v>10.1017--s0272263124000342.pdf</v>
      </c>
      <c r="W250" s="139" t="s">
        <v>1450</v>
      </c>
      <c r="X250" s="54" t="str">
        <f t="array" ref="X250"> if(iserror(MATCH(V250, 'File Links'!C:C, 0)), "N/A", HYPERLINK(INDEX('File Links'!B:B, MATCH(V250, 'File Links'!C:C, 0))))</f>
        <v>https://drive.google.com/file/d/1fNwzy4f6SEAeVccICF8BD0SDAIH7uPVr/view?usp=drivesdk</v>
      </c>
      <c r="Y250" s="114"/>
      <c r="Z250" s="112" t="s">
        <v>295</v>
      </c>
      <c r="AA250" s="139" t="s">
        <v>1451</v>
      </c>
      <c r="AB250" s="139" t="s">
        <v>1452</v>
      </c>
      <c r="AC250" s="114" t="s">
        <v>1463</v>
      </c>
      <c r="AD250" s="112" t="s">
        <v>1464</v>
      </c>
      <c r="AE250" s="117">
        <v>12.0</v>
      </c>
      <c r="AF250" s="117">
        <v>60.0</v>
      </c>
      <c r="AG250" s="58" t="s">
        <v>1455</v>
      </c>
      <c r="AH250" s="194" t="s">
        <v>134</v>
      </c>
      <c r="AI250" s="575" t="s">
        <v>612</v>
      </c>
      <c r="AJ250" s="197">
        <v>0.901</v>
      </c>
      <c r="AK250" s="198" t="s">
        <v>172</v>
      </c>
      <c r="AL250" s="193" t="s">
        <v>186</v>
      </c>
      <c r="AM250" s="58" t="s">
        <v>141</v>
      </c>
      <c r="AN250" s="61" t="s">
        <v>138</v>
      </c>
      <c r="AO250" s="197">
        <v>211.0</v>
      </c>
      <c r="AP250" s="119" t="s">
        <v>1456</v>
      </c>
      <c r="AQ250" s="193" t="s">
        <v>134</v>
      </c>
      <c r="AR250" s="112" t="s">
        <v>624</v>
      </c>
      <c r="AS250" s="117">
        <v>0.05</v>
      </c>
      <c r="AT250" s="122" t="s">
        <v>135</v>
      </c>
      <c r="AU250" s="122" t="s">
        <v>186</v>
      </c>
      <c r="AV250" s="122" t="s">
        <v>141</v>
      </c>
      <c r="AW250" s="62" t="s">
        <v>138</v>
      </c>
      <c r="AX250" s="122" t="s">
        <v>143</v>
      </c>
      <c r="AY250" s="61" t="str">
        <f>IFERROR(__xludf.DUMMYFUNCTION("vlookup(BB250,importrange(""https://docs.google.com/spreadsheets/d/1d2vevQ_7D_v35q4wCQ4RpQ_IPoTwEMB9Yp6ymwlPqew/edit?gid=984458430#gid=984458430"", ""'replication success'!A:K""), 11, FAlSE)"),"mixed")</f>
        <v>mixed</v>
      </c>
      <c r="AZ250" s="61" t="str">
        <f>IFERROR(__xludf.DUMMYFUNCTION("vlookup(BB250,importrange(""https://docs.google.com/spreadsheets/d/1d2vevQ_7D_v35q4wCQ4RpQ_IPoTwEMB9Yp6ymwlPqew/edit?gid=984458430#gid=984458430"",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0" s="61" t="str">
        <f>IFERROR(__xludf.DUMMYFUNCTION("vlookup(BB250,importrange(""https://docs.google.com/spreadsheets/d/1d2vevQ_7D_v35q4wCQ4RpQ_IPoTwEMB9Yp6ymwlPqew/edit?gid=984458430#gid=984458430"", ""'replication success'!A:M""), 13, FAlSE)"),"abstract")</f>
        <v>abstract</v>
      </c>
      <c r="BB250" s="61" t="str">
        <f>IFERROR(__xludf.DUMMYFUNCTION("REGEXREPLACE(G250, ""_[a-z]{1,2}$"", """")"),"additional_studies37")</f>
        <v>additional_studies37</v>
      </c>
      <c r="BC250" s="61"/>
      <c r="BD250" s="124" t="s">
        <v>144</v>
      </c>
      <c r="BG250" s="107"/>
      <c r="BH250" s="107"/>
      <c r="BI250" s="107"/>
      <c r="BJ250" s="107"/>
      <c r="BK250" s="107"/>
      <c r="BL250" s="107"/>
      <c r="BM250" s="107"/>
      <c r="BN250" s="107"/>
      <c r="BO250" s="107"/>
      <c r="BP250" s="107"/>
      <c r="BQ250" s="107"/>
      <c r="BR250" s="107"/>
      <c r="BS250" s="107"/>
      <c r="BT250" s="107"/>
      <c r="BU250" s="107"/>
      <c r="BV250" s="107"/>
      <c r="BW250" s="107"/>
      <c r="BX250" s="107"/>
      <c r="BY250" s="107"/>
      <c r="BZ250" s="107"/>
      <c r="CA250" s="107"/>
      <c r="CB250" s="107"/>
      <c r="CC250" s="107"/>
      <c r="CD250" s="107"/>
      <c r="CE250" s="107"/>
      <c r="CF250" s="107"/>
      <c r="CG250" s="107"/>
      <c r="CH250" s="107"/>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7"/>
      <c r="DI250" s="107"/>
      <c r="DJ250" s="107"/>
      <c r="DK250" s="107"/>
      <c r="DL250" s="107"/>
    </row>
    <row r="251" ht="20.25" customHeight="1">
      <c r="A251" s="44">
        <v>251.0</v>
      </c>
      <c r="B251" s="450" t="s">
        <v>152</v>
      </c>
      <c r="C251" s="450" t="s">
        <v>115</v>
      </c>
      <c r="D251" s="450" t="s">
        <v>1441</v>
      </c>
      <c r="E251" s="451"/>
      <c r="F251" s="201" t="s">
        <v>1442</v>
      </c>
      <c r="G251" s="126" t="s">
        <v>1465</v>
      </c>
      <c r="H251" s="126" t="s">
        <v>1444</v>
      </c>
      <c r="I251" s="568">
        <v>45633.0</v>
      </c>
      <c r="J251" s="569">
        <v>45663.0</v>
      </c>
      <c r="K251" s="132"/>
      <c r="L251" s="132"/>
      <c r="M251" s="126" t="s">
        <v>1446</v>
      </c>
      <c r="N251" s="126" t="s">
        <v>1447</v>
      </c>
      <c r="O251" s="219">
        <v>1.0</v>
      </c>
      <c r="P251" s="223" t="str">
        <f>SUBSTITUTE(LOWER(N251), "/", "--") &amp;  ".pdf"</f>
        <v>10.1177--0267658310386439.pdf</v>
      </c>
      <c r="Q251" s="52" t="str">
        <f t="array" ref="Q251"> if(iserror(MATCH(V251, 'File Links'!C:C, 0)), "N/A", HYPERLINK(INDEX('File Links'!B:B, MATCH(P251, 'File Links'!C:C, 0))))</f>
        <v>https://drive.google.com/file/d/1c_xOizbgC83hFcsc5jmN-idvU1vfACNB/view?usp=drivesdk</v>
      </c>
      <c r="R251" s="126" t="s">
        <v>1448</v>
      </c>
      <c r="S251" s="126" t="s">
        <v>1449</v>
      </c>
      <c r="T251" s="132"/>
      <c r="U251" s="133">
        <v>1.0</v>
      </c>
      <c r="V251" s="126" t="str">
        <f>HYPERLINK(VLOOKUP(LOWER(S251),#REF!, 2, FALSE), SUBSTITUTE(LOWER(S251), "/", "--") &amp;  ".pdf")</f>
        <v>10.1017--s0272263124000342.pdf</v>
      </c>
      <c r="W251" s="134" t="s">
        <v>1450</v>
      </c>
      <c r="X251" s="54" t="str">
        <f t="array" ref="X251"> if(iserror(MATCH(V251, 'File Links'!C:C, 0)), "N/A", HYPERLINK(INDEX('File Links'!B:B, MATCH(V251, 'File Links'!C:C, 0))))</f>
        <v>https://drive.google.com/file/d/1fNwzy4f6SEAeVccICF8BD0SDAIH7uPVr/view?usp=drivesdk</v>
      </c>
      <c r="Y251" s="132"/>
      <c r="Z251" s="126" t="s">
        <v>295</v>
      </c>
      <c r="AA251" s="134" t="s">
        <v>1451</v>
      </c>
      <c r="AB251" s="134" t="s">
        <v>1452</v>
      </c>
      <c r="AC251" s="126" t="s">
        <v>1466</v>
      </c>
      <c r="AD251" s="126" t="s">
        <v>1467</v>
      </c>
      <c r="AE251" s="320">
        <v>118.0</v>
      </c>
      <c r="AF251" s="130">
        <v>60.0</v>
      </c>
      <c r="AG251" s="202" t="s">
        <v>1468</v>
      </c>
      <c r="AH251" s="576" t="s">
        <v>134</v>
      </c>
      <c r="AI251" s="542"/>
      <c r="AJ251" s="577">
        <v>0.917</v>
      </c>
      <c r="AK251" s="204" t="s">
        <v>172</v>
      </c>
      <c r="AL251" s="454" t="s">
        <v>186</v>
      </c>
      <c r="AM251" s="454" t="s">
        <v>141</v>
      </c>
      <c r="AN251" s="61" t="s">
        <v>138</v>
      </c>
      <c r="AO251" s="577">
        <v>211.0</v>
      </c>
      <c r="AP251" s="206" t="s">
        <v>1469</v>
      </c>
      <c r="AQ251" s="202" t="s">
        <v>134</v>
      </c>
      <c r="AR251" s="231"/>
      <c r="AS251" s="232">
        <v>0.05</v>
      </c>
      <c r="AT251" s="237" t="s">
        <v>135</v>
      </c>
      <c r="AU251" s="125" t="s">
        <v>186</v>
      </c>
      <c r="AV251" s="125" t="s">
        <v>141</v>
      </c>
      <c r="AW251" s="62" t="s">
        <v>138</v>
      </c>
      <c r="AX251" s="140" t="s">
        <v>143</v>
      </c>
      <c r="AY251" s="61" t="str">
        <f>IFERROR(__xludf.DUMMYFUNCTION("vlookup(BB251,importrange(""https://docs.google.com/spreadsheets/d/1d2vevQ_7D_v35q4wCQ4RpQ_IPoTwEMB9Yp6ymwlPqew/edit?gid=984458430#gid=984458430"", ""'replication success'!A:K""), 11, FAlSE)"),"mixed")</f>
        <v>mixed</v>
      </c>
      <c r="AZ251" s="61" t="str">
        <f>IFERROR(__xludf.DUMMYFUNCTION("vlookup(BB251,importrange(""https://docs.google.com/spreadsheets/d/1d2vevQ_7D_v35q4wCQ4RpQ_IPoTwEMB9Yp6ymwlPqew/edit?gid=984458430#gid=984458430"",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1" s="61" t="str">
        <f>IFERROR(__xludf.DUMMYFUNCTION("vlookup(BB251,importrange(""https://docs.google.com/spreadsheets/d/1d2vevQ_7D_v35q4wCQ4RpQ_IPoTwEMB9Yp6ymwlPqew/edit?gid=984458430#gid=984458430"", ""'replication success'!A:M""), 13, FAlSE)"),"abstract")</f>
        <v>abstract</v>
      </c>
      <c r="BB251" s="61" t="str">
        <f>IFERROR(__xludf.DUMMYFUNCTION("REGEXREPLACE(G251, ""_[a-z]{1,2}$"", """")"),"additional_studies37")</f>
        <v>additional_studies37</v>
      </c>
      <c r="BC251" s="61"/>
      <c r="BD251" s="124" t="s">
        <v>144</v>
      </c>
      <c r="BG251" s="71"/>
      <c r="BH251" s="71"/>
      <c r="BI251" s="71"/>
      <c r="BJ251" s="71"/>
      <c r="BK251" s="71"/>
      <c r="BL251" s="71"/>
      <c r="BM251" s="71"/>
      <c r="BN251" s="71"/>
      <c r="BO251" s="71"/>
      <c r="BP251" s="71"/>
      <c r="BQ251" s="71"/>
      <c r="BR251" s="71"/>
      <c r="BS251" s="71"/>
      <c r="BT251" s="71"/>
      <c r="BU251" s="71"/>
      <c r="BV251" s="71"/>
      <c r="BW251" s="71"/>
      <c r="BX251" s="71"/>
      <c r="BY251" s="71"/>
      <c r="BZ251" s="71"/>
      <c r="CA251" s="71"/>
      <c r="CB251" s="71"/>
      <c r="CC251" s="71"/>
      <c r="CD251" s="71"/>
      <c r="CE251" s="71"/>
      <c r="CF251" s="71"/>
      <c r="CG251" s="71"/>
      <c r="CH251" s="71"/>
      <c r="CI251" s="71"/>
      <c r="CJ251" s="71"/>
      <c r="CK251" s="71"/>
      <c r="CL251" s="71"/>
      <c r="CM251" s="71"/>
      <c r="CN251" s="71"/>
      <c r="CO251" s="71"/>
      <c r="CP251" s="71"/>
      <c r="CQ251" s="71"/>
      <c r="CR251" s="71"/>
      <c r="CS251" s="71"/>
      <c r="CT251" s="71"/>
      <c r="CU251" s="71"/>
      <c r="CV251" s="71"/>
      <c r="CW251" s="71"/>
      <c r="CX251" s="71"/>
      <c r="CY251" s="71"/>
      <c r="CZ251" s="71"/>
      <c r="DA251" s="71"/>
      <c r="DB251" s="71"/>
      <c r="DC251" s="71"/>
      <c r="DD251" s="71"/>
      <c r="DE251" s="71"/>
      <c r="DF251" s="71"/>
      <c r="DG251" s="71"/>
      <c r="DH251" s="71"/>
      <c r="DI251" s="71"/>
      <c r="DJ251" s="71"/>
      <c r="DK251" s="71"/>
      <c r="DL251" s="71"/>
    </row>
    <row r="252" ht="20.25" customHeight="1">
      <c r="A252" s="44">
        <v>252.0</v>
      </c>
      <c r="B252" s="199" t="s">
        <v>152</v>
      </c>
      <c r="C252" s="199" t="s">
        <v>115</v>
      </c>
      <c r="D252" s="199" t="s">
        <v>1458</v>
      </c>
      <c r="E252" s="200"/>
      <c r="F252" s="201" t="s">
        <v>1442</v>
      </c>
      <c r="G252" s="112" t="s">
        <v>1465</v>
      </c>
      <c r="H252" s="112" t="s">
        <v>1459</v>
      </c>
      <c r="I252" s="417">
        <v>45636.0</v>
      </c>
      <c r="J252" s="574">
        <v>45663.0</v>
      </c>
      <c r="K252" s="112" t="s">
        <v>1470</v>
      </c>
      <c r="L252" s="114"/>
      <c r="M252" s="418" t="s">
        <v>1471</v>
      </c>
      <c r="N252" s="112" t="s">
        <v>1447</v>
      </c>
      <c r="O252" s="147">
        <v>1.0</v>
      </c>
      <c r="P252" s="121" t="str">
        <f> SUBSTITUTE(lower(N252), "/", "--") &amp;  ".pdf"</f>
        <v>10.1177--0267658310386439.pdf</v>
      </c>
      <c r="Q252" s="52" t="str">
        <f t="array" ref="Q252"> if(iserror(MATCH(V252, 'File Links'!C:C, 0)), "N/A", HYPERLINK(INDEX('File Links'!B:B, MATCH(P252, 'File Links'!C:C, 0))))</f>
        <v>https://drive.google.com/file/d/1c_xOizbgC83hFcsc5jmN-idvU1vfACNB/view?usp=drivesdk</v>
      </c>
      <c r="R252" s="418" t="s">
        <v>1472</v>
      </c>
      <c r="S252" s="418" t="s">
        <v>1449</v>
      </c>
      <c r="T252" s="114"/>
      <c r="U252" s="133">
        <v>1.0</v>
      </c>
      <c r="V252" s="112" t="str">
        <f> hyperlink(vlookup(lower(S252),#REF!, 2, FALSE), SUBSTITUTE(lower(S252), "/", "--") &amp;  ".pdf")</f>
        <v>10.1017--s0272263124000342.pdf</v>
      </c>
      <c r="W252" s="139" t="s">
        <v>1450</v>
      </c>
      <c r="X252" s="54" t="str">
        <f t="array" ref="X252"> if(iserror(MATCH(V252, 'File Links'!C:C, 0)), "N/A", HYPERLINK(INDEX('File Links'!B:B, MATCH(V252, 'File Links'!C:C, 0))))</f>
        <v>https://drive.google.com/file/d/1fNwzy4f6SEAeVccICF8BD0SDAIH7uPVr/view?usp=drivesdk</v>
      </c>
      <c r="Y252" s="114"/>
      <c r="Z252" s="112" t="s">
        <v>295</v>
      </c>
      <c r="AA252" s="139" t="s">
        <v>1451</v>
      </c>
      <c r="AB252" s="139" t="s">
        <v>1452</v>
      </c>
      <c r="AC252" s="114" t="s">
        <v>1463</v>
      </c>
      <c r="AD252" s="112" t="s">
        <v>1473</v>
      </c>
      <c r="AE252" s="117">
        <v>12.0</v>
      </c>
      <c r="AF252" s="117">
        <v>60.0</v>
      </c>
      <c r="AG252" s="58" t="s">
        <v>1474</v>
      </c>
      <c r="AH252" s="194" t="s">
        <v>134</v>
      </c>
      <c r="AI252" s="575" t="s">
        <v>612</v>
      </c>
      <c r="AJ252" s="197">
        <v>0.669</v>
      </c>
      <c r="AK252" s="190" t="s">
        <v>172</v>
      </c>
      <c r="AL252" s="193" t="s">
        <v>186</v>
      </c>
      <c r="AM252" s="58" t="s">
        <v>141</v>
      </c>
      <c r="AN252" s="61" t="s">
        <v>138</v>
      </c>
      <c r="AO252" s="197">
        <v>211.0</v>
      </c>
      <c r="AP252" s="206" t="s">
        <v>1469</v>
      </c>
      <c r="AQ252" s="193" t="s">
        <v>134</v>
      </c>
      <c r="AR252" s="112" t="s">
        <v>630</v>
      </c>
      <c r="AS252" s="117">
        <v>0.64</v>
      </c>
      <c r="AT252" s="122" t="s">
        <v>172</v>
      </c>
      <c r="AU252" s="122" t="s">
        <v>186</v>
      </c>
      <c r="AV252" s="122" t="s">
        <v>141</v>
      </c>
      <c r="AW252" s="62" t="s">
        <v>138</v>
      </c>
      <c r="AX252" s="111" t="s">
        <v>143</v>
      </c>
      <c r="AY252" s="61" t="str">
        <f>IFERROR(__xludf.DUMMYFUNCTION("vlookup(BB252,importrange(""https://docs.google.com/spreadsheets/d/1d2vevQ_7D_v35q4wCQ4RpQ_IPoTwEMB9Yp6ymwlPqew/edit?gid=984458430#gid=984458430"", ""'replication success'!A:K""), 11, FAlSE)"),"mixed")</f>
        <v>mixed</v>
      </c>
      <c r="AZ252" s="61" t="str">
        <f>IFERROR(__xludf.DUMMYFUNCTION("vlookup(BB252,importrange(""https://docs.google.com/spreadsheets/d/1d2vevQ_7D_v35q4wCQ4RpQ_IPoTwEMB9Yp6ymwlPqew/edit?gid=984458430#gid=984458430"",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2" s="61" t="str">
        <f>IFERROR(__xludf.DUMMYFUNCTION("vlookup(BB252,importrange(""https://docs.google.com/spreadsheets/d/1d2vevQ_7D_v35q4wCQ4RpQ_IPoTwEMB9Yp6ymwlPqew/edit?gid=984458430#gid=984458430"", ""'replication success'!A:M""), 13, FAlSE)"),"abstract")</f>
        <v>abstract</v>
      </c>
      <c r="BB252" s="61" t="str">
        <f>IFERROR(__xludf.DUMMYFUNCTION("REGEXREPLACE(G252, ""_[a-z]{1,2}$"", """")"),"additional_studies37")</f>
        <v>additional_studies37</v>
      </c>
      <c r="BC252" s="61"/>
      <c r="BD252" s="124" t="s">
        <v>144</v>
      </c>
      <c r="BG252" s="107"/>
      <c r="BH252" s="107"/>
      <c r="BI252" s="107"/>
      <c r="BJ252" s="107"/>
      <c r="BK252" s="107"/>
      <c r="BL252" s="107"/>
      <c r="BM252" s="107"/>
      <c r="BN252" s="107"/>
      <c r="BO252" s="107"/>
      <c r="BP252" s="107"/>
      <c r="BQ252" s="107"/>
      <c r="BR252" s="107"/>
      <c r="BS252" s="107"/>
      <c r="BT252" s="107"/>
      <c r="BU252" s="107"/>
      <c r="BV252" s="107"/>
      <c r="BW252" s="107"/>
      <c r="BX252" s="107"/>
      <c r="BY252" s="107"/>
      <c r="BZ252" s="107"/>
      <c r="CA252" s="107"/>
      <c r="CB252" s="107"/>
      <c r="CC252" s="107"/>
      <c r="CD252" s="107"/>
      <c r="CE252" s="107"/>
      <c r="CF252" s="107"/>
      <c r="CG252" s="107"/>
      <c r="CH252" s="107"/>
      <c r="CI252" s="107"/>
      <c r="CJ252" s="107"/>
      <c r="CK252" s="107"/>
      <c r="CL252" s="107"/>
      <c r="CM252" s="107"/>
      <c r="CN252" s="107"/>
      <c r="CO252" s="107"/>
      <c r="CP252" s="107"/>
      <c r="CQ252" s="107"/>
      <c r="CR252" s="107"/>
      <c r="CS252" s="107"/>
      <c r="CT252" s="107"/>
      <c r="CU252" s="107"/>
      <c r="CV252" s="107"/>
      <c r="CW252" s="107"/>
      <c r="CX252" s="107"/>
      <c r="CY252" s="107"/>
      <c r="CZ252" s="107"/>
      <c r="DA252" s="107"/>
      <c r="DB252" s="107"/>
      <c r="DC252" s="107"/>
      <c r="DD252" s="107"/>
      <c r="DE252" s="107"/>
      <c r="DF252" s="107"/>
      <c r="DG252" s="107"/>
      <c r="DH252" s="107"/>
      <c r="DI252" s="107"/>
      <c r="DJ252" s="107"/>
      <c r="DK252" s="107"/>
      <c r="DL252" s="107"/>
    </row>
    <row r="253" ht="20.25" customHeight="1">
      <c r="A253" s="44">
        <v>253.0</v>
      </c>
      <c r="B253" s="450" t="s">
        <v>114</v>
      </c>
      <c r="C253" s="450" t="s">
        <v>115</v>
      </c>
      <c r="D253" s="450" t="s">
        <v>1441</v>
      </c>
      <c r="E253" s="451"/>
      <c r="F253" s="201" t="s">
        <v>1442</v>
      </c>
      <c r="G253" s="126" t="s">
        <v>1475</v>
      </c>
      <c r="H253" s="126" t="s">
        <v>1444</v>
      </c>
      <c r="I253" s="568">
        <v>45633.0</v>
      </c>
      <c r="J253" s="569">
        <v>45663.0</v>
      </c>
      <c r="K253" s="132"/>
      <c r="L253" s="132"/>
      <c r="M253" s="126" t="s">
        <v>1446</v>
      </c>
      <c r="N253" s="126" t="s">
        <v>1447</v>
      </c>
      <c r="O253" s="132"/>
      <c r="P253" s="223" t="str">
        <f>SUBSTITUTE(LOWER(N253), "/", "--") &amp;  ".pdf"</f>
        <v>10.1177--0267658310386439.pdf</v>
      </c>
      <c r="Q253" s="52" t="str">
        <f t="array" ref="Q253"> if(iserror(MATCH(V253, 'File Links'!C:C, 0)), "N/A", HYPERLINK(INDEX('File Links'!B:B, MATCH(P253, 'File Links'!C:C, 0))))</f>
        <v>https://drive.google.com/file/d/1c_xOizbgC83hFcsc5jmN-idvU1vfACNB/view?usp=drivesdk</v>
      </c>
      <c r="R253" s="126" t="s">
        <v>1448</v>
      </c>
      <c r="S253" s="126" t="s">
        <v>1449</v>
      </c>
      <c r="T253" s="132"/>
      <c r="U253" s="318"/>
      <c r="V253" s="126" t="str">
        <f>HYPERLINK(VLOOKUP(LOWER(S253),#REF!, 2, FALSE), SUBSTITUTE(LOWER(S253), "/", "--") &amp;  ".pdf")</f>
        <v>10.1017--s0272263124000342.pdf</v>
      </c>
      <c r="W253" s="134" t="s">
        <v>1450</v>
      </c>
      <c r="X253" s="54" t="str">
        <f t="array" ref="X253"> if(iserror(MATCH(V253, 'File Links'!C:C, 0)), "N/A", HYPERLINK(INDEX('File Links'!B:B, MATCH(V253, 'File Links'!C:C, 0))))</f>
        <v>https://drive.google.com/file/d/1fNwzy4f6SEAeVccICF8BD0SDAIH7uPVr/view?usp=drivesdk</v>
      </c>
      <c r="Y253" s="132"/>
      <c r="Z253" s="126" t="s">
        <v>295</v>
      </c>
      <c r="AA253" s="134" t="s">
        <v>1451</v>
      </c>
      <c r="AB253" s="134" t="s">
        <v>1452</v>
      </c>
      <c r="AC253" s="126" t="s">
        <v>1476</v>
      </c>
      <c r="AD253" s="126" t="s">
        <v>1477</v>
      </c>
      <c r="AE253" s="320">
        <v>118.0</v>
      </c>
      <c r="AF253" s="130">
        <v>60.0</v>
      </c>
      <c r="AG253" s="578" t="s">
        <v>1474</v>
      </c>
      <c r="AH253" s="579" t="s">
        <v>134</v>
      </c>
      <c r="AI253" s="580"/>
      <c r="AJ253" s="581">
        <v>0.669</v>
      </c>
      <c r="AK253" s="582" t="s">
        <v>172</v>
      </c>
      <c r="AL253" s="580" t="s">
        <v>186</v>
      </c>
      <c r="AM253" s="580" t="s">
        <v>141</v>
      </c>
      <c r="AN253" s="61" t="s">
        <v>138</v>
      </c>
      <c r="AO253" s="581">
        <v>211.0</v>
      </c>
      <c r="AP253" s="413" t="s">
        <v>1478</v>
      </c>
      <c r="AQ253" s="578" t="s">
        <v>134</v>
      </c>
      <c r="AR253" s="580"/>
      <c r="AS253" s="581">
        <v>0.64</v>
      </c>
      <c r="AT253" s="582" t="s">
        <v>172</v>
      </c>
      <c r="AU253" s="125" t="s">
        <v>186</v>
      </c>
      <c r="AV253" s="125" t="s">
        <v>141</v>
      </c>
      <c r="AW253" s="125"/>
      <c r="AX253" s="140" t="s">
        <v>143</v>
      </c>
      <c r="AY253" s="61" t="str">
        <f>IFERROR(__xludf.DUMMYFUNCTION("vlookup(BB253,importrange(""https://docs.google.com/spreadsheets/d/1d2vevQ_7D_v35q4wCQ4RpQ_IPoTwEMB9Yp6ymwlPqew/edit?gid=984458430#gid=984458430"", ""'replication success'!A:K""), 11, FAlSE)"),"mixed")</f>
        <v>mixed</v>
      </c>
      <c r="AZ253" s="61" t="str">
        <f>IFERROR(__xludf.DUMMYFUNCTION("vlookup(BB253,importrange(""https://docs.google.com/spreadsheets/d/1d2vevQ_7D_v35q4wCQ4RpQ_IPoTwEMB9Yp6ymwlPqew/edit?gid=984458430#gid=984458430"",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3" s="61" t="str">
        <f>IFERROR(__xludf.DUMMYFUNCTION("vlookup(BB253,importrange(""https://docs.google.com/spreadsheets/d/1d2vevQ_7D_v35q4wCQ4RpQ_IPoTwEMB9Yp6ymwlPqew/edit?gid=984458430#gid=984458430"", ""'replication success'!A:M""), 13, FAlSE)"),"abstract")</f>
        <v>abstract</v>
      </c>
      <c r="BB253" s="61" t="str">
        <f>IFERROR(__xludf.DUMMYFUNCTION("REGEXREPLACE(G253, ""_[a-z]{1,2}$"", """")"),"additional_studies37")</f>
        <v>additional_studies37</v>
      </c>
      <c r="BC253" s="61"/>
      <c r="BD253" s="124" t="s">
        <v>144</v>
      </c>
      <c r="BG253" s="71"/>
      <c r="BH253" s="71"/>
      <c r="BI253" s="71"/>
      <c r="BJ253" s="71"/>
      <c r="BK253" s="71"/>
      <c r="BL253" s="71"/>
      <c r="BM253" s="71"/>
      <c r="BN253" s="71"/>
      <c r="BO253" s="71"/>
      <c r="BP253" s="71"/>
      <c r="BQ253" s="71"/>
      <c r="BR253" s="71"/>
      <c r="BS253" s="71"/>
      <c r="BT253" s="71"/>
      <c r="BU253" s="71"/>
      <c r="BV253" s="71"/>
      <c r="BW253" s="71"/>
      <c r="BX253" s="71"/>
      <c r="BY253" s="71"/>
      <c r="BZ253" s="71"/>
      <c r="CA253" s="71"/>
      <c r="CB253" s="71"/>
      <c r="CC253" s="71"/>
      <c r="CD253" s="71"/>
      <c r="CE253" s="71"/>
      <c r="CF253" s="71"/>
      <c r="CG253" s="71"/>
      <c r="CH253" s="71"/>
      <c r="CI253" s="71"/>
      <c r="CJ253" s="71"/>
      <c r="CK253" s="71"/>
      <c r="CL253" s="71"/>
      <c r="CM253" s="71"/>
      <c r="CN253" s="71"/>
      <c r="CO253" s="71"/>
      <c r="CP253" s="71"/>
      <c r="CQ253" s="71"/>
      <c r="CR253" s="71"/>
      <c r="CS253" s="71"/>
      <c r="CT253" s="71"/>
      <c r="CU253" s="71"/>
      <c r="CV253" s="71"/>
      <c r="CW253" s="71"/>
      <c r="CX253" s="71"/>
      <c r="CY253" s="71"/>
      <c r="CZ253" s="71"/>
      <c r="DA253" s="71"/>
      <c r="DB253" s="71"/>
      <c r="DC253" s="71"/>
      <c r="DD253" s="71"/>
      <c r="DE253" s="71"/>
      <c r="DF253" s="71"/>
      <c r="DG253" s="71"/>
      <c r="DH253" s="71"/>
      <c r="DI253" s="71"/>
      <c r="DJ253" s="71"/>
      <c r="DK253" s="71"/>
      <c r="DL253" s="71"/>
    </row>
    <row r="254" ht="20.25" customHeight="1">
      <c r="A254" s="44">
        <v>254.0</v>
      </c>
      <c r="B254" s="199" t="s">
        <v>152</v>
      </c>
      <c r="C254" s="199" t="s">
        <v>115</v>
      </c>
      <c r="D254" s="199" t="s">
        <v>1458</v>
      </c>
      <c r="E254" s="200"/>
      <c r="F254" s="201" t="s">
        <v>1442</v>
      </c>
      <c r="G254" s="112" t="s">
        <v>1475</v>
      </c>
      <c r="H254" s="112" t="s">
        <v>1459</v>
      </c>
      <c r="I254" s="417">
        <v>45636.0</v>
      </c>
      <c r="J254" s="574">
        <v>45663.0</v>
      </c>
      <c r="K254" s="112" t="s">
        <v>1479</v>
      </c>
      <c r="L254" s="114"/>
      <c r="M254" s="418" t="s">
        <v>1480</v>
      </c>
      <c r="N254" s="112" t="s">
        <v>1447</v>
      </c>
      <c r="O254" s="147">
        <v>1.0</v>
      </c>
      <c r="P254" s="121" t="str">
        <f> SUBSTITUTE(lower(N254), "/", "--") &amp;  ".pdf"</f>
        <v>10.1177--0267658310386439.pdf</v>
      </c>
      <c r="Q254" s="52" t="str">
        <f t="array" ref="Q254"> if(iserror(MATCH(V254, 'File Links'!C:C, 0)), "N/A", HYPERLINK(INDEX('File Links'!B:B, MATCH(P254, 'File Links'!C:C, 0))))</f>
        <v>https://drive.google.com/file/d/1c_xOizbgC83hFcsc5jmN-idvU1vfACNB/view?usp=drivesdk</v>
      </c>
      <c r="R254" s="418" t="s">
        <v>1481</v>
      </c>
      <c r="S254" s="583" t="s">
        <v>1449</v>
      </c>
      <c r="T254" s="114"/>
      <c r="U254" s="133">
        <v>1.0</v>
      </c>
      <c r="V254" s="112" t="str">
        <f> hyperlink(vlookup(lower(S254),#REF!, 2, FALSE), SUBSTITUTE(lower(S254), "/", "--") &amp;  ".pdf")</f>
        <v>10.1017--s0272263124000342.pdf</v>
      </c>
      <c r="W254" s="139" t="s">
        <v>1450</v>
      </c>
      <c r="X254" s="54" t="str">
        <f t="array" ref="X254"> if(iserror(MATCH(V254, 'File Links'!C:C, 0)), "N/A", HYPERLINK(INDEX('File Links'!B:B, MATCH(V254, 'File Links'!C:C, 0))))</f>
        <v>https://drive.google.com/file/d/1fNwzy4f6SEAeVccICF8BD0SDAIH7uPVr/view?usp=drivesdk</v>
      </c>
      <c r="Y254" s="114"/>
      <c r="Z254" s="112" t="s">
        <v>295</v>
      </c>
      <c r="AA254" s="139" t="s">
        <v>1451</v>
      </c>
      <c r="AB254" s="139" t="s">
        <v>1452</v>
      </c>
      <c r="AC254" s="114" t="s">
        <v>1463</v>
      </c>
      <c r="AD254" s="112" t="s">
        <v>1482</v>
      </c>
      <c r="AE254" s="112" t="s">
        <v>1483</v>
      </c>
      <c r="AF254" s="117">
        <v>60.0</v>
      </c>
      <c r="AG254" s="202" t="s">
        <v>1484</v>
      </c>
      <c r="AH254" s="576" t="s">
        <v>134</v>
      </c>
      <c r="AI254" s="206" t="s">
        <v>436</v>
      </c>
      <c r="AJ254" s="577">
        <v>0.751</v>
      </c>
      <c r="AK254" s="204" t="s">
        <v>172</v>
      </c>
      <c r="AL254" s="454" t="s">
        <v>186</v>
      </c>
      <c r="AM254" s="202" t="s">
        <v>141</v>
      </c>
      <c r="AN254" s="61" t="s">
        <v>138</v>
      </c>
      <c r="AO254" s="577">
        <v>215.0</v>
      </c>
      <c r="AP254" s="584" t="s">
        <v>1485</v>
      </c>
      <c r="AQ254" s="454" t="s">
        <v>134</v>
      </c>
      <c r="AR254" s="202" t="s">
        <v>630</v>
      </c>
      <c r="AS254" s="577">
        <v>0.05</v>
      </c>
      <c r="AT254" s="201" t="s">
        <v>135</v>
      </c>
      <c r="AU254" s="201" t="s">
        <v>186</v>
      </c>
      <c r="AV254" s="122" t="s">
        <v>141</v>
      </c>
      <c r="AW254" s="62" t="s">
        <v>138</v>
      </c>
      <c r="AX254" s="111" t="s">
        <v>143</v>
      </c>
      <c r="AY254" s="61" t="str">
        <f>IFERROR(__xludf.DUMMYFUNCTION("vlookup(BB254,importrange(""https://docs.google.com/spreadsheets/d/1d2vevQ_7D_v35q4wCQ4RpQ_IPoTwEMB9Yp6ymwlPqew/edit?gid=984458430#gid=984458430"", ""'replication success'!A:K""), 11, FAlSE)"),"mixed")</f>
        <v>mixed</v>
      </c>
      <c r="AZ254" s="61" t="str">
        <f>IFERROR(__xludf.DUMMYFUNCTION("vlookup(BB254,importrange(""https://docs.google.com/spreadsheets/d/1d2vevQ_7D_v35q4wCQ4RpQ_IPoTwEMB9Yp6ymwlPqew/edit?gid=984458430#gid=984458430"",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4" s="61" t="str">
        <f>IFERROR(__xludf.DUMMYFUNCTION("vlookup(BB254,importrange(""https://docs.google.com/spreadsheets/d/1d2vevQ_7D_v35q4wCQ4RpQ_IPoTwEMB9Yp6ymwlPqew/edit?gid=984458430#gid=984458430"", ""'replication success'!A:M""), 13, FAlSE)"),"abstract")</f>
        <v>abstract</v>
      </c>
      <c r="BB254" s="61" t="str">
        <f>IFERROR(__xludf.DUMMYFUNCTION("REGEXREPLACE(G254, ""_[a-z]{1,2}$"", """")"),"additional_studies37")</f>
        <v>additional_studies37</v>
      </c>
      <c r="BC254" s="61"/>
      <c r="BD254" s="124" t="s">
        <v>144</v>
      </c>
      <c r="BG254" s="107"/>
      <c r="BH254" s="107"/>
      <c r="BI254" s="107"/>
      <c r="BJ254" s="107"/>
      <c r="BK254" s="107"/>
      <c r="BL254" s="107"/>
      <c r="BM254" s="107"/>
      <c r="BN254" s="107"/>
      <c r="BO254" s="107"/>
      <c r="BP254" s="107"/>
      <c r="BQ254" s="107"/>
      <c r="BR254" s="107"/>
      <c r="BS254" s="107"/>
      <c r="BT254" s="107"/>
      <c r="BU254" s="107"/>
      <c r="BV254" s="107"/>
      <c r="BW254" s="107"/>
      <c r="BX254" s="107"/>
      <c r="BY254" s="107"/>
      <c r="BZ254" s="107"/>
      <c r="CA254" s="107"/>
      <c r="CB254" s="107"/>
      <c r="CC254" s="107"/>
      <c r="CD254" s="107"/>
      <c r="CE254" s="107"/>
      <c r="CF254" s="107"/>
      <c r="CG254" s="107"/>
      <c r="CH254" s="107"/>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7"/>
      <c r="DI254" s="107"/>
      <c r="DJ254" s="107"/>
      <c r="DK254" s="107"/>
      <c r="DL254" s="107"/>
    </row>
    <row r="255" ht="20.25" customHeight="1">
      <c r="A255" s="44">
        <v>255.0</v>
      </c>
      <c r="B255" s="450" t="s">
        <v>114</v>
      </c>
      <c r="C255" s="450" t="s">
        <v>115</v>
      </c>
      <c r="D255" s="450" t="s">
        <v>1441</v>
      </c>
      <c r="E255" s="451"/>
      <c r="F255" s="201" t="s">
        <v>1442</v>
      </c>
      <c r="G255" s="126" t="s">
        <v>1486</v>
      </c>
      <c r="H255" s="126" t="s">
        <v>1444</v>
      </c>
      <c r="I255" s="568">
        <v>45633.0</v>
      </c>
      <c r="J255" s="569">
        <v>45663.0</v>
      </c>
      <c r="K255" s="132"/>
      <c r="L255" s="132"/>
      <c r="M255" s="126" t="s">
        <v>1446</v>
      </c>
      <c r="N255" s="126" t="s">
        <v>1447</v>
      </c>
      <c r="O255" s="132"/>
      <c r="P255" s="223" t="str">
        <f>SUBSTITUTE(LOWER(N255), "/", "--") &amp;  ".pdf"</f>
        <v>10.1177--0267658310386439.pdf</v>
      </c>
      <c r="Q255" s="52" t="str">
        <f t="array" ref="Q255"> if(iserror(MATCH(V255, 'File Links'!C:C, 0)), "N/A", HYPERLINK(INDEX('File Links'!B:B, MATCH(P255, 'File Links'!C:C, 0))))</f>
        <v>https://drive.google.com/file/d/1c_xOizbgC83hFcsc5jmN-idvU1vfACNB/view?usp=drivesdk</v>
      </c>
      <c r="R255" s="126" t="s">
        <v>1448</v>
      </c>
      <c r="S255" s="126" t="s">
        <v>1449</v>
      </c>
      <c r="T255" s="132"/>
      <c r="U255" s="318"/>
      <c r="V255" s="126" t="str">
        <f>HYPERLINK(VLOOKUP(LOWER(S255),#REF!, 2, FALSE), SUBSTITUTE(LOWER(S255), "/", "--") &amp;  ".pdf")</f>
        <v>10.1017--s0272263124000342.pdf</v>
      </c>
      <c r="W255" s="134" t="s">
        <v>1450</v>
      </c>
      <c r="X255" s="54" t="str">
        <f t="array" ref="X255"> if(iserror(MATCH(V255, 'File Links'!C:C, 0)), "N/A", HYPERLINK(INDEX('File Links'!B:B, MATCH(V255, 'File Links'!C:C, 0))))</f>
        <v>https://drive.google.com/file/d/1fNwzy4f6SEAeVccICF8BD0SDAIH7uPVr/view?usp=drivesdk</v>
      </c>
      <c r="Y255" s="132"/>
      <c r="Z255" s="126" t="s">
        <v>295</v>
      </c>
      <c r="AA255" s="134" t="s">
        <v>1451</v>
      </c>
      <c r="AB255" s="134" t="s">
        <v>1452</v>
      </c>
      <c r="AC255" s="126" t="s">
        <v>1487</v>
      </c>
      <c r="AD255" s="126" t="s">
        <v>1488</v>
      </c>
      <c r="AE255" s="320">
        <v>119.0</v>
      </c>
      <c r="AF255" s="130">
        <v>60.0</v>
      </c>
      <c r="AG255" s="578" t="s">
        <v>1484</v>
      </c>
      <c r="AH255" s="579" t="s">
        <v>134</v>
      </c>
      <c r="AI255" s="580"/>
      <c r="AJ255" s="581">
        <v>0.751</v>
      </c>
      <c r="AK255" s="582" t="s">
        <v>172</v>
      </c>
      <c r="AL255" s="580" t="s">
        <v>186</v>
      </c>
      <c r="AM255" s="580" t="s">
        <v>141</v>
      </c>
      <c r="AN255" s="61" t="s">
        <v>138</v>
      </c>
      <c r="AO255" s="581">
        <v>215.0</v>
      </c>
      <c r="AP255" s="413" t="s">
        <v>1485</v>
      </c>
      <c r="AQ255" s="578" t="s">
        <v>134</v>
      </c>
      <c r="AR255" s="580"/>
      <c r="AS255" s="130">
        <v>0.05</v>
      </c>
      <c r="AT255" s="125" t="s">
        <v>135</v>
      </c>
      <c r="AU255" s="125" t="s">
        <v>186</v>
      </c>
      <c r="AV255" s="125" t="s">
        <v>141</v>
      </c>
      <c r="AW255" s="125"/>
      <c r="AX255" s="140" t="s">
        <v>143</v>
      </c>
      <c r="AY255" s="61" t="str">
        <f>IFERROR(__xludf.DUMMYFUNCTION("vlookup(BB255,importrange(""https://docs.google.com/spreadsheets/d/1d2vevQ_7D_v35q4wCQ4RpQ_IPoTwEMB9Yp6ymwlPqew/edit?gid=984458430#gid=984458430"", ""'replication success'!A:K""), 11, FAlSE)"),"mixed")</f>
        <v>mixed</v>
      </c>
      <c r="AZ255" s="61" t="str">
        <f>IFERROR(__xludf.DUMMYFUNCTION("vlookup(BB255,importrange(""https://docs.google.com/spreadsheets/d/1d2vevQ_7D_v35q4wCQ4RpQ_IPoTwEMB9Yp6ymwlPqew/edit?gid=984458430#gid=984458430"",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5" s="61" t="str">
        <f>IFERROR(__xludf.DUMMYFUNCTION("vlookup(BB255,importrange(""https://docs.google.com/spreadsheets/d/1d2vevQ_7D_v35q4wCQ4RpQ_IPoTwEMB9Yp6ymwlPqew/edit?gid=984458430#gid=984458430"", ""'replication success'!A:M""), 13, FAlSE)"),"abstract")</f>
        <v>abstract</v>
      </c>
      <c r="BB255" s="61" t="str">
        <f>IFERROR(__xludf.DUMMYFUNCTION("REGEXREPLACE(G255, ""_[a-z]{1,2}$"", """")"),"additional_studies37")</f>
        <v>additional_studies37</v>
      </c>
      <c r="BC255" s="61"/>
      <c r="BD255" s="124" t="s">
        <v>144</v>
      </c>
      <c r="BG255" s="71"/>
      <c r="BH255" s="71"/>
      <c r="BI255" s="71"/>
      <c r="BJ255" s="71"/>
      <c r="BK255" s="71"/>
      <c r="BL255" s="71"/>
      <c r="BM255" s="71"/>
      <c r="BN255" s="71"/>
      <c r="BO255" s="71"/>
      <c r="BP255" s="71"/>
      <c r="BQ255" s="71"/>
      <c r="BR255" s="71"/>
      <c r="BS255" s="71"/>
      <c r="BT255" s="71"/>
      <c r="BU255" s="71"/>
      <c r="BV255" s="71"/>
      <c r="BW255" s="71"/>
      <c r="BX255" s="71"/>
      <c r="BY255" s="71"/>
      <c r="BZ255" s="71"/>
      <c r="CA255" s="71"/>
      <c r="CB255" s="71"/>
      <c r="CC255" s="71"/>
      <c r="CD255" s="71"/>
      <c r="CE255" s="71"/>
      <c r="CF255" s="71"/>
      <c r="CG255" s="71"/>
      <c r="CH255" s="71"/>
      <c r="CI255" s="71"/>
      <c r="CJ255" s="71"/>
      <c r="CK255" s="71"/>
      <c r="CL255" s="71"/>
      <c r="CM255" s="71"/>
      <c r="CN255" s="71"/>
      <c r="CO255" s="71"/>
      <c r="CP255" s="71"/>
      <c r="CQ255" s="71"/>
      <c r="CR255" s="71"/>
      <c r="CS255" s="71"/>
      <c r="CT255" s="71"/>
      <c r="CU255" s="71"/>
      <c r="CV255" s="71"/>
      <c r="CW255" s="71"/>
      <c r="CX255" s="71"/>
      <c r="CY255" s="71"/>
      <c r="CZ255" s="71"/>
      <c r="DA255" s="71"/>
      <c r="DB255" s="71"/>
      <c r="DC255" s="71"/>
      <c r="DD255" s="71"/>
      <c r="DE255" s="71"/>
      <c r="DF255" s="71"/>
      <c r="DG255" s="71"/>
      <c r="DH255" s="71"/>
      <c r="DI255" s="71"/>
      <c r="DJ255" s="71"/>
      <c r="DK255" s="71"/>
      <c r="DL255" s="71"/>
    </row>
    <row r="256" ht="20.25" customHeight="1">
      <c r="A256" s="44">
        <v>256.0</v>
      </c>
      <c r="B256" s="199" t="s">
        <v>152</v>
      </c>
      <c r="C256" s="199" t="s">
        <v>115</v>
      </c>
      <c r="D256" s="199" t="s">
        <v>1458</v>
      </c>
      <c r="E256" s="200"/>
      <c r="F256" s="201" t="s">
        <v>1442</v>
      </c>
      <c r="G256" s="112" t="s">
        <v>1486</v>
      </c>
      <c r="H256" s="112" t="s">
        <v>1459</v>
      </c>
      <c r="I256" s="417">
        <v>45636.0</v>
      </c>
      <c r="J256" s="574">
        <v>45663.0</v>
      </c>
      <c r="K256" s="112" t="s">
        <v>1489</v>
      </c>
      <c r="L256" s="114"/>
      <c r="M256" s="418" t="s">
        <v>1490</v>
      </c>
      <c r="N256" s="112" t="s">
        <v>1447</v>
      </c>
      <c r="O256" s="147">
        <v>1.0</v>
      </c>
      <c r="P256" s="121" t="str">
        <f> SUBSTITUTE(lower(N256), "/", "--") &amp;  ".pdf"</f>
        <v>10.1177--0267658310386439.pdf</v>
      </c>
      <c r="Q256" s="52" t="str">
        <f t="array" ref="Q256"> if(iserror(MATCH(V256, 'File Links'!C:C, 0)), "N/A", HYPERLINK(INDEX('File Links'!B:B, MATCH(P256, 'File Links'!C:C, 0))))</f>
        <v>https://drive.google.com/file/d/1c_xOizbgC83hFcsc5jmN-idvU1vfACNB/view?usp=drivesdk</v>
      </c>
      <c r="R256" s="418" t="s">
        <v>1491</v>
      </c>
      <c r="S256" s="583" t="s">
        <v>1449</v>
      </c>
      <c r="T256" s="114"/>
      <c r="U256" s="133">
        <v>1.0</v>
      </c>
      <c r="V256" s="112" t="str">
        <f> hyperlink(vlookup(lower(S256),#REF!, 2, FALSE), SUBSTITUTE(lower(S256), "/", "--") &amp;  ".pdf")</f>
        <v>10.1017--s0272263124000342.pdf</v>
      </c>
      <c r="W256" s="139" t="s">
        <v>1450</v>
      </c>
      <c r="X256" s="54" t="str">
        <f t="array" ref="X256"> if(iserror(MATCH(V256, 'File Links'!C:C, 0)), "N/A", HYPERLINK(INDEX('File Links'!B:B, MATCH(V256, 'File Links'!C:C, 0))))</f>
        <v>https://drive.google.com/file/d/1fNwzy4f6SEAeVccICF8BD0SDAIH7uPVr/view?usp=drivesdk</v>
      </c>
      <c r="Y256" s="114"/>
      <c r="Z256" s="112" t="s">
        <v>295</v>
      </c>
      <c r="AA256" s="139" t="s">
        <v>1451</v>
      </c>
      <c r="AB256" s="139" t="s">
        <v>1452</v>
      </c>
      <c r="AC256" s="114" t="s">
        <v>1463</v>
      </c>
      <c r="AD256" s="112" t="s">
        <v>1492</v>
      </c>
      <c r="AE256" s="112" t="s">
        <v>1483</v>
      </c>
      <c r="AF256" s="117">
        <v>60.0</v>
      </c>
      <c r="AG256" s="202" t="s">
        <v>1493</v>
      </c>
      <c r="AH256" s="576" t="s">
        <v>134</v>
      </c>
      <c r="AI256" s="206" t="s">
        <v>436</v>
      </c>
      <c r="AJ256" s="577">
        <v>0.763</v>
      </c>
      <c r="AK256" s="204" t="s">
        <v>172</v>
      </c>
      <c r="AL256" s="454" t="s">
        <v>186</v>
      </c>
      <c r="AM256" s="202" t="s">
        <v>141</v>
      </c>
      <c r="AN256" s="61" t="s">
        <v>138</v>
      </c>
      <c r="AO256" s="577">
        <v>215.0</v>
      </c>
      <c r="AP256" s="584" t="s">
        <v>1494</v>
      </c>
      <c r="AQ256" s="454" t="s">
        <v>134</v>
      </c>
      <c r="AR256" s="202" t="s">
        <v>630</v>
      </c>
      <c r="AS256" s="577">
        <v>0.05</v>
      </c>
      <c r="AT256" s="201" t="s">
        <v>172</v>
      </c>
      <c r="AU256" s="201" t="s">
        <v>186</v>
      </c>
      <c r="AV256" s="122" t="s">
        <v>141</v>
      </c>
      <c r="AW256" s="62" t="s">
        <v>138</v>
      </c>
      <c r="AX256" s="111" t="s">
        <v>143</v>
      </c>
      <c r="AY256" s="61" t="str">
        <f>IFERROR(__xludf.DUMMYFUNCTION("vlookup(BB256,importrange(""https://docs.google.com/spreadsheets/d/1d2vevQ_7D_v35q4wCQ4RpQ_IPoTwEMB9Yp6ymwlPqew/edit?gid=984458430#gid=984458430"", ""'replication success'!A:K""), 11, FAlSE)"),"mixed")</f>
        <v>mixed</v>
      </c>
      <c r="AZ256" s="61" t="str">
        <f>IFERROR(__xludf.DUMMYFUNCTION("vlookup(BB256,importrange(""https://docs.google.com/spreadsheets/d/1d2vevQ_7D_v35q4wCQ4RpQ_IPoTwEMB9Yp6ymwlPqew/edit?gid=984458430#gid=984458430"",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6" s="61" t="str">
        <f>IFERROR(__xludf.DUMMYFUNCTION("vlookup(BB256,importrange(""https://docs.google.com/spreadsheets/d/1d2vevQ_7D_v35q4wCQ4RpQ_IPoTwEMB9Yp6ymwlPqew/edit?gid=984458430#gid=984458430"", ""'replication success'!A:M""), 13, FAlSE)"),"abstract")</f>
        <v>abstract</v>
      </c>
      <c r="BB256" s="61" t="str">
        <f>IFERROR(__xludf.DUMMYFUNCTION("REGEXREPLACE(G256, ""_[a-z]{1,2}$"", """")"),"additional_studies37")</f>
        <v>additional_studies37</v>
      </c>
      <c r="BC256" s="61"/>
      <c r="BD256" s="124" t="s">
        <v>144</v>
      </c>
      <c r="BG256" s="71"/>
      <c r="BH256" s="71"/>
      <c r="BI256" s="71"/>
      <c r="BJ256" s="71"/>
      <c r="BK256" s="71"/>
      <c r="BL256" s="71"/>
      <c r="BM256" s="71"/>
      <c r="BN256" s="71"/>
      <c r="BO256" s="71"/>
      <c r="BP256" s="71"/>
      <c r="BQ256" s="71"/>
      <c r="BR256" s="71"/>
      <c r="BS256" s="71"/>
      <c r="BT256" s="71"/>
      <c r="BU256" s="71"/>
      <c r="BV256" s="71"/>
      <c r="BW256" s="71"/>
      <c r="BX256" s="71"/>
      <c r="BY256" s="71"/>
      <c r="BZ256" s="71"/>
      <c r="CA256" s="71"/>
      <c r="CB256" s="71"/>
      <c r="CC256" s="71"/>
      <c r="CD256" s="71"/>
      <c r="CE256" s="71"/>
      <c r="CF256" s="71"/>
      <c r="CG256" s="71"/>
      <c r="CH256" s="71"/>
      <c r="CI256" s="71"/>
      <c r="CJ256" s="71"/>
      <c r="CK256" s="71"/>
      <c r="CL256" s="71"/>
      <c r="CM256" s="71"/>
      <c r="CN256" s="71"/>
      <c r="CO256" s="71"/>
      <c r="CP256" s="71"/>
      <c r="CQ256" s="71"/>
      <c r="CR256" s="71"/>
      <c r="CS256" s="71"/>
      <c r="CT256" s="71"/>
      <c r="CU256" s="71"/>
      <c r="CV256" s="71"/>
      <c r="CW256" s="71"/>
      <c r="CX256" s="71"/>
      <c r="CY256" s="71"/>
      <c r="CZ256" s="71"/>
      <c r="DA256" s="71"/>
      <c r="DB256" s="71"/>
      <c r="DC256" s="71"/>
      <c r="DD256" s="71"/>
      <c r="DE256" s="71"/>
      <c r="DF256" s="71"/>
      <c r="DG256" s="71"/>
      <c r="DH256" s="71"/>
      <c r="DI256" s="71"/>
      <c r="DJ256" s="71"/>
      <c r="DK256" s="71"/>
      <c r="DL256" s="71"/>
    </row>
    <row r="257" ht="20.25" customHeight="1">
      <c r="A257" s="44">
        <v>257.0</v>
      </c>
      <c r="B257" s="450" t="s">
        <v>152</v>
      </c>
      <c r="C257" s="450" t="s">
        <v>115</v>
      </c>
      <c r="D257" s="450" t="s">
        <v>1441</v>
      </c>
      <c r="E257" s="451"/>
      <c r="F257" s="201" t="s">
        <v>1442</v>
      </c>
      <c r="G257" s="126" t="s">
        <v>1495</v>
      </c>
      <c r="H257" s="126" t="s">
        <v>1444</v>
      </c>
      <c r="I257" s="568">
        <v>45633.0</v>
      </c>
      <c r="J257" s="569">
        <v>45663.0</v>
      </c>
      <c r="K257" s="132"/>
      <c r="L257" s="132"/>
      <c r="M257" s="126" t="s">
        <v>1446</v>
      </c>
      <c r="N257" s="126" t="s">
        <v>1447</v>
      </c>
      <c r="O257" s="219">
        <v>1.0</v>
      </c>
      <c r="P257" s="223" t="str">
        <f t="shared" ref="P257:P259" si="1">SUBSTITUTE(LOWER(N257), "/", "--") &amp;  ".pdf"</f>
        <v>10.1177--0267658310386439.pdf</v>
      </c>
      <c r="Q257" s="52" t="str">
        <f t="array" ref="Q257"> if(iserror(MATCH(V257, 'File Links'!C:C, 0)), "N/A", HYPERLINK(INDEX('File Links'!B:B, MATCH(P257, 'File Links'!C:C, 0))))</f>
        <v>https://drive.google.com/file/d/1c_xOizbgC83hFcsc5jmN-idvU1vfACNB/view?usp=drivesdk</v>
      </c>
      <c r="R257" s="126" t="s">
        <v>1448</v>
      </c>
      <c r="S257" s="126" t="s">
        <v>1449</v>
      </c>
      <c r="T257" s="132"/>
      <c r="U257" s="133">
        <v>1.0</v>
      </c>
      <c r="V257" s="126" t="str">
        <f t="shared" ref="V257:V259" si="2">HYPERLINK(VLOOKUP(LOWER(S257),#REF!, 2, FALSE), SUBSTITUTE(LOWER(S257), "/", "--") &amp;  ".pdf")</f>
        <v>10.1017--s0272263124000342.pdf</v>
      </c>
      <c r="W257" s="134" t="s">
        <v>1450</v>
      </c>
      <c r="X257" s="54" t="str">
        <f t="array" ref="X257"> if(iserror(MATCH(V257, 'File Links'!C:C, 0)), "N/A", HYPERLINK(INDEX('File Links'!B:B, MATCH(V257, 'File Links'!C:C, 0))))</f>
        <v>https://drive.google.com/file/d/1fNwzy4f6SEAeVccICF8BD0SDAIH7uPVr/view?usp=drivesdk</v>
      </c>
      <c r="Y257" s="132"/>
      <c r="Z257" s="126" t="s">
        <v>295</v>
      </c>
      <c r="AA257" s="134" t="s">
        <v>1451</v>
      </c>
      <c r="AB257" s="134" t="s">
        <v>1452</v>
      </c>
      <c r="AC257" s="126" t="s">
        <v>1496</v>
      </c>
      <c r="AD257" s="126" t="s">
        <v>1497</v>
      </c>
      <c r="AE257" s="320">
        <v>119.0</v>
      </c>
      <c r="AF257" s="130">
        <v>60.0</v>
      </c>
      <c r="AG257" s="202" t="s">
        <v>1498</v>
      </c>
      <c r="AH257" s="576" t="s">
        <v>134</v>
      </c>
      <c r="AI257" s="542"/>
      <c r="AJ257" s="577">
        <v>0.118</v>
      </c>
      <c r="AK257" s="204" t="s">
        <v>172</v>
      </c>
      <c r="AL257" s="454" t="s">
        <v>186</v>
      </c>
      <c r="AM257" s="454" t="s">
        <v>141</v>
      </c>
      <c r="AN257" s="61" t="s">
        <v>138</v>
      </c>
      <c r="AO257" s="577">
        <v>215.0</v>
      </c>
      <c r="AP257" s="206" t="s">
        <v>1499</v>
      </c>
      <c r="AQ257" s="202" t="s">
        <v>134</v>
      </c>
      <c r="AR257" s="132"/>
      <c r="AS257" s="130">
        <v>0.05</v>
      </c>
      <c r="AT257" s="125" t="s">
        <v>135</v>
      </c>
      <c r="AU257" s="125" t="s">
        <v>186</v>
      </c>
      <c r="AV257" s="125" t="s">
        <v>141</v>
      </c>
      <c r="AW257" s="62" t="s">
        <v>138</v>
      </c>
      <c r="AX257" s="140" t="s">
        <v>143</v>
      </c>
      <c r="AY257" s="61" t="str">
        <f>IFERROR(__xludf.DUMMYFUNCTION("vlookup(BB257,importrange(""https://docs.google.com/spreadsheets/d/1d2vevQ_7D_v35q4wCQ4RpQ_IPoTwEMB9Yp6ymwlPqew/edit?gid=984458430#gid=984458430"", ""'replication success'!A:K""), 11, FAlSE)"),"mixed")</f>
        <v>mixed</v>
      </c>
      <c r="AZ257" s="61" t="str">
        <f>IFERROR(__xludf.DUMMYFUNCTION("vlookup(BB257,importrange(""https://docs.google.com/spreadsheets/d/1d2vevQ_7D_v35q4wCQ4RpQ_IPoTwEMB9Yp6ymwlPqew/edit?gid=984458430#gid=984458430"",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7" s="61" t="str">
        <f>IFERROR(__xludf.DUMMYFUNCTION("vlookup(BB257,importrange(""https://docs.google.com/spreadsheets/d/1d2vevQ_7D_v35q4wCQ4RpQ_IPoTwEMB9Yp6ymwlPqew/edit?gid=984458430#gid=984458430"", ""'replication success'!A:M""), 13, FAlSE)"),"abstract")</f>
        <v>abstract</v>
      </c>
      <c r="BB257" s="61" t="str">
        <f>IFERROR(__xludf.DUMMYFUNCTION("REGEXREPLACE(G257, ""_[a-z]{1,2}$"", """")"),"additional_studies37")</f>
        <v>additional_studies37</v>
      </c>
      <c r="BC257" s="61"/>
      <c r="BD257" s="124" t="s">
        <v>144</v>
      </c>
    </row>
    <row r="258" ht="20.25" customHeight="1">
      <c r="A258" s="44">
        <v>258.0</v>
      </c>
      <c r="B258" s="450" t="s">
        <v>114</v>
      </c>
      <c r="C258" s="450" t="s">
        <v>115</v>
      </c>
      <c r="D258" s="450" t="s">
        <v>1441</v>
      </c>
      <c r="E258" s="451"/>
      <c r="F258" s="201" t="s">
        <v>1442</v>
      </c>
      <c r="G258" s="126" t="s">
        <v>1500</v>
      </c>
      <c r="H258" s="126" t="s">
        <v>1444</v>
      </c>
      <c r="I258" s="568">
        <v>45428.0</v>
      </c>
      <c r="J258" s="568">
        <v>45633.0</v>
      </c>
      <c r="K258" s="132"/>
      <c r="L258" s="219" t="s">
        <v>1501</v>
      </c>
      <c r="M258" s="126" t="s">
        <v>1446</v>
      </c>
      <c r="N258" s="126" t="s">
        <v>1447</v>
      </c>
      <c r="O258" s="132"/>
      <c r="P258" s="223" t="str">
        <f t="shared" si="1"/>
        <v>10.1177--0267658310386439.pdf</v>
      </c>
      <c r="Q258" s="52" t="str">
        <f t="array" ref="Q258"> if(iserror(MATCH(V258, 'File Links'!C:C, 0)), "N/A", HYPERLINK(INDEX('File Links'!B:B, MATCH(P258, 'File Links'!C:C, 0))))</f>
        <v>https://drive.google.com/file/d/1c_xOizbgC83hFcsc5jmN-idvU1vfACNB/view?usp=drivesdk</v>
      </c>
      <c r="R258" s="126" t="s">
        <v>1448</v>
      </c>
      <c r="S258" s="126" t="s">
        <v>1449</v>
      </c>
      <c r="T258" s="132"/>
      <c r="U258" s="318"/>
      <c r="V258" s="126" t="str">
        <f t="shared" si="2"/>
        <v>10.1017--s0272263124000342.pdf</v>
      </c>
      <c r="W258" s="134" t="s">
        <v>1450</v>
      </c>
      <c r="X258" s="54" t="str">
        <f t="array" ref="X258"> if(iserror(MATCH(V258, 'File Links'!C:C, 0)), "N/A", HYPERLINK(INDEX('File Links'!B:B, MATCH(V258, 'File Links'!C:C, 0))))</f>
        <v>https://drive.google.com/file/d/1fNwzy4f6SEAeVccICF8BD0SDAIH7uPVr/view?usp=drivesdk</v>
      </c>
      <c r="Y258" s="132"/>
      <c r="Z258" s="126" t="s">
        <v>295</v>
      </c>
      <c r="AA258" s="134" t="s">
        <v>1451</v>
      </c>
      <c r="AB258" s="134" t="s">
        <v>1452</v>
      </c>
      <c r="AC258" s="126" t="s">
        <v>1502</v>
      </c>
      <c r="AD258" s="585" t="s">
        <v>1503</v>
      </c>
      <c r="AE258" s="130">
        <v>119.0</v>
      </c>
      <c r="AF258" s="130">
        <v>60.0</v>
      </c>
      <c r="AG258" s="578" t="s">
        <v>1493</v>
      </c>
      <c r="AH258" s="579" t="s">
        <v>134</v>
      </c>
      <c r="AI258" s="580"/>
      <c r="AJ258" s="581">
        <v>0.763</v>
      </c>
      <c r="AK258" s="582" t="s">
        <v>172</v>
      </c>
      <c r="AL258" s="580" t="s">
        <v>186</v>
      </c>
      <c r="AM258" s="580" t="s">
        <v>141</v>
      </c>
      <c r="AN258" s="61" t="s">
        <v>138</v>
      </c>
      <c r="AO258" s="581">
        <v>215.0</v>
      </c>
      <c r="AP258" s="578" t="s">
        <v>1494</v>
      </c>
      <c r="AQ258" s="578" t="s">
        <v>134</v>
      </c>
      <c r="AR258" s="580"/>
      <c r="AS258" s="581">
        <v>0.5</v>
      </c>
      <c r="AT258" s="582" t="s">
        <v>172</v>
      </c>
      <c r="AU258" s="125" t="s">
        <v>186</v>
      </c>
      <c r="AV258" s="125" t="s">
        <v>141</v>
      </c>
      <c r="AW258" s="125"/>
      <c r="AX258" s="140" t="s">
        <v>143</v>
      </c>
      <c r="AY258" s="61" t="str">
        <f>IFERROR(__xludf.DUMMYFUNCTION("vlookup(BB258,importrange(""https://docs.google.com/spreadsheets/d/1d2vevQ_7D_v35q4wCQ4RpQ_IPoTwEMB9Yp6ymwlPqew/edit?gid=984458430#gid=984458430"", ""'replication success'!A:K""), 11, FAlSE)"),"mixed")</f>
        <v>mixed</v>
      </c>
      <c r="AZ258" s="61" t="str">
        <f>IFERROR(__xludf.DUMMYFUNCTION("vlookup(BB258,importrange(""https://docs.google.com/spreadsheets/d/1d2vevQ_7D_v35q4wCQ4RpQ_IPoTwEMB9Yp6ymwlPqew/edit?gid=984458430#gid=984458430"", ""'replication success'!A:M""), 12, FAlSE)"),"As expected, we found that the odds of a statistically significant outcome in a dissertation appearing in the published version were significantly greater than the odds of a nonsignificant outcome appearing in the published version, replicating (to some e"&amp;"xtent) the results obtained by Pigott and colleagues. Notably, the odds ratio we obtained (1.48) was smaller than that obtained by Pigott et al. (2.41), indicating a smaller outcome-reporting bias.")</f>
        <v>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v>
      </c>
      <c r="BA258" s="61" t="str">
        <f>IFERROR(__xludf.DUMMYFUNCTION("vlookup(BB258,importrange(""https://docs.google.com/spreadsheets/d/1d2vevQ_7D_v35q4wCQ4RpQ_IPoTwEMB9Yp6ymwlPqew/edit?gid=984458430#gid=984458430"", ""'replication success'!A:M""), 13, FAlSE)"),"abstract")</f>
        <v>abstract</v>
      </c>
      <c r="BB258" s="61" t="str">
        <f>IFERROR(__xludf.DUMMYFUNCTION("REGEXREPLACE(G258, ""_[a-z]{1,2}$"", """")"),"additional_studies37")</f>
        <v>additional_studies37</v>
      </c>
      <c r="BC258" s="61"/>
      <c r="BD258" s="124" t="s">
        <v>144</v>
      </c>
    </row>
    <row r="259" ht="20.25" customHeight="1">
      <c r="A259" s="44">
        <v>259.0</v>
      </c>
      <c r="B259" s="109" t="s">
        <v>285</v>
      </c>
      <c r="C259" s="109" t="s">
        <v>115</v>
      </c>
      <c r="D259" s="109" t="s">
        <v>1441</v>
      </c>
      <c r="E259" s="110"/>
      <c r="F259" s="122" t="s">
        <v>1504</v>
      </c>
      <c r="G259" s="112" t="s">
        <v>1505</v>
      </c>
      <c r="H259" s="112" t="s">
        <v>1444</v>
      </c>
      <c r="I259" s="586">
        <v>45428.0</v>
      </c>
      <c r="J259" s="586">
        <v>45636.0</v>
      </c>
      <c r="K259" s="114"/>
      <c r="L259" s="114"/>
      <c r="M259" s="112" t="s">
        <v>1506</v>
      </c>
      <c r="N259" s="112" t="s">
        <v>1507</v>
      </c>
      <c r="O259" s="114"/>
      <c r="P259" s="121" t="str">
        <f t="shared" si="1"/>
        <v>10.1111--1467-6281.00073.pdf</v>
      </c>
      <c r="Q259" s="108" t="str">
        <f t="array" ref="Q259"> if(iserror(MATCH(V259, 'File Links'!C:C, 0)), "N/A", HYPERLINK(INDEX('File Links'!B:B, MATCH(P259, 'File Links'!C:C, 0))))</f>
        <v>N/A</v>
      </c>
      <c r="R259" s="112" t="s">
        <v>1508</v>
      </c>
      <c r="S259" s="112" t="s">
        <v>1509</v>
      </c>
      <c r="T259" s="587" t="s">
        <v>1510</v>
      </c>
      <c r="U259" s="120"/>
      <c r="V259" s="112" t="str">
        <f t="shared" si="2"/>
        <v>10.1108--s1574-076520240000026005.pdf</v>
      </c>
      <c r="W259" s="418" t="s">
        <v>1511</v>
      </c>
      <c r="X259" s="49" t="str">
        <f t="array" ref="X259"> if(iserror(MATCH(V259, 'File Links'!C:C, 0)), "N/A", HYPERLINK(INDEX('File Links'!B:B, MATCH(V259, 'File Links'!C:C, 0))))</f>
        <v>N/A</v>
      </c>
      <c r="Y259" s="114"/>
      <c r="Z259" s="112" t="s">
        <v>226</v>
      </c>
      <c r="AA259" s="112" t="s">
        <v>1512</v>
      </c>
      <c r="AB259" s="112" t="s">
        <v>1513</v>
      </c>
      <c r="AC259" s="112" t="s">
        <v>1514</v>
      </c>
      <c r="AD259" s="112" t="s">
        <v>1515</v>
      </c>
      <c r="AE259" s="117">
        <v>9.0</v>
      </c>
      <c r="AF259" s="117">
        <v>250.0</v>
      </c>
      <c r="AG259" s="112" t="s">
        <v>1516</v>
      </c>
      <c r="AH259" s="121" t="s">
        <v>134</v>
      </c>
      <c r="AI259" s="114"/>
      <c r="AJ259" s="117">
        <v>0.0025</v>
      </c>
      <c r="AK259" s="111" t="s">
        <v>172</v>
      </c>
      <c r="AL259" s="114" t="s">
        <v>218</v>
      </c>
      <c r="AM259" s="114" t="s">
        <v>137</v>
      </c>
      <c r="AN259" s="61" t="s">
        <v>138</v>
      </c>
      <c r="AO259" s="117">
        <v>198.0</v>
      </c>
      <c r="AP259" s="112" t="s">
        <v>1517</v>
      </c>
      <c r="AQ259" s="112" t="s">
        <v>134</v>
      </c>
      <c r="AR259" s="114"/>
      <c r="AS259" s="117">
        <v>0.021</v>
      </c>
      <c r="AT259" s="111" t="s">
        <v>172</v>
      </c>
      <c r="AU259" s="111" t="s">
        <v>218</v>
      </c>
      <c r="AV259" s="111" t="s">
        <v>137</v>
      </c>
      <c r="AW259" s="111"/>
      <c r="AX259" s="122" t="s">
        <v>143</v>
      </c>
      <c r="AY259" s="61" t="str">
        <f>IFERROR(__xludf.DUMMYFUNCTION("vlookup(BB259,importrange(""https://docs.google.com/spreadsheets/d/1d2vevQ_7D_v35q4wCQ4RpQ_IPoTwEMB9Yp6ymwlPqew/edit?gid=984458430#gid=984458430"", ""'replication success'!A:K""), 11, FAlSE)"),"#N/A")</f>
        <v>#N/A</v>
      </c>
      <c r="AZ259" s="61" t="str">
        <f>IFERROR(__xludf.DUMMYFUNCTION("vlookup(BB259,importrange(""https://docs.google.com/spreadsheets/d/1d2vevQ_7D_v35q4wCQ4RpQ_IPoTwEMB9Yp6ymwlPqew/edit?gid=984458430#gid=984458430"", ""'replication success'!A:M""), 12, FAlSE)"),"#N/A")</f>
        <v>#N/A</v>
      </c>
      <c r="BA259" s="61" t="str">
        <f>IFERROR(__xludf.DUMMYFUNCTION("vlookup(BB259,importrange(""https://docs.google.com/spreadsheets/d/1d2vevQ_7D_v35q4wCQ4RpQ_IPoTwEMB9Yp6ymwlPqew/edit?gid=984458430#gid=984458430"", ""'replication success'!A:M""), 13, FAlSE)"),"#N/A")</f>
        <v>#N/A</v>
      </c>
      <c r="BB259" s="61" t="str">
        <f>IFERROR(__xludf.DUMMYFUNCTION("REGEXREPLACE(G259, ""_[a-z]{1,2}$"", """")"),"additional_studies38")</f>
        <v>additional_studies38</v>
      </c>
      <c r="BC259" s="61"/>
      <c r="BD259" s="71"/>
    </row>
    <row r="260" ht="20.25" customHeight="1">
      <c r="A260" s="44">
        <v>260.0</v>
      </c>
      <c r="B260" s="124" t="s">
        <v>285</v>
      </c>
      <c r="C260" s="124" t="s">
        <v>115</v>
      </c>
      <c r="D260" s="124" t="s">
        <v>1458</v>
      </c>
      <c r="E260" s="107"/>
      <c r="F260" s="140" t="s">
        <v>1504</v>
      </c>
      <c r="G260" s="126" t="s">
        <v>1505</v>
      </c>
      <c r="H260" s="126" t="s">
        <v>1518</v>
      </c>
      <c r="I260" s="317">
        <v>45428.0</v>
      </c>
      <c r="J260" s="127">
        <v>45640.0</v>
      </c>
      <c r="K260" s="126" t="s">
        <v>1519</v>
      </c>
      <c r="L260" s="132"/>
      <c r="M260" s="126" t="s">
        <v>1506</v>
      </c>
      <c r="N260" s="126" t="s">
        <v>1507</v>
      </c>
      <c r="O260" s="132"/>
      <c r="P260" s="223" t="str">
        <f> SUBSTITUTE(lower(N260), "/", "--") &amp;  ".pdf"</f>
        <v>10.1111--1467-6281.00073.pdf</v>
      </c>
      <c r="Q260" s="108" t="str">
        <f t="array" ref="Q260"> if(iserror(MATCH(V260, 'File Links'!C:C, 0)), "N/A", HYPERLINK(INDEX('File Links'!B:B, MATCH(P260, 'File Links'!C:C, 0))))</f>
        <v>N/A</v>
      </c>
      <c r="R260" s="587" t="s">
        <v>1520</v>
      </c>
      <c r="S260" s="219" t="s">
        <v>1509</v>
      </c>
      <c r="T260" s="587" t="s">
        <v>1521</v>
      </c>
      <c r="U260" s="318"/>
      <c r="V260" s="126" t="str">
        <f> hyperlink(vlookup(lower(S260),#REF!, 2, FALSE), SUBSTITUTE(lower(S260), "/", "--") &amp;  ".pdf")</f>
        <v>10.1108--s1574-076520240000026005.pdf</v>
      </c>
      <c r="W260" s="132"/>
      <c r="X260" s="49" t="str">
        <f t="array" ref="X260"> if(iserror(MATCH(V260, 'File Links'!C:C, 0)), "N/A", HYPERLINK(INDEX('File Links'!B:B, MATCH(V260, 'File Links'!C:C, 0))))</f>
        <v>N/A</v>
      </c>
      <c r="Y260" s="132"/>
      <c r="Z260" s="132"/>
      <c r="AA260" s="132"/>
      <c r="AB260" s="132"/>
      <c r="AC260" s="132"/>
      <c r="AD260" s="132"/>
      <c r="AE260" s="132"/>
      <c r="AF260" s="132"/>
      <c r="AG260" s="132"/>
      <c r="AH260" s="318"/>
      <c r="AI260" s="132"/>
      <c r="AJ260" s="132"/>
      <c r="AK260" s="125"/>
      <c r="AL260" s="132"/>
      <c r="AM260" s="132"/>
      <c r="AN260" s="61" t="s">
        <v>138</v>
      </c>
      <c r="AO260" s="132"/>
      <c r="AP260" s="132"/>
      <c r="AQ260" s="132"/>
      <c r="AR260" s="132"/>
      <c r="AS260" s="132"/>
      <c r="AT260" s="125"/>
      <c r="AU260" s="125"/>
      <c r="AV260" s="125"/>
      <c r="AW260" s="125"/>
      <c r="AX260" s="125"/>
      <c r="AY260" s="61" t="str">
        <f>IFERROR(__xludf.DUMMYFUNCTION("vlookup(BB260,importrange(""https://docs.google.com/spreadsheets/d/1d2vevQ_7D_v35q4wCQ4RpQ_IPoTwEMB9Yp6ymwlPqew/edit?gid=984458430#gid=984458430"", ""'replication success'!A:K""), 11, FAlSE)"),"#N/A")</f>
        <v>#N/A</v>
      </c>
      <c r="AZ260" s="61" t="str">
        <f>IFERROR(__xludf.DUMMYFUNCTION("vlookup(BB260,importrange(""https://docs.google.com/spreadsheets/d/1d2vevQ_7D_v35q4wCQ4RpQ_IPoTwEMB9Yp6ymwlPqew/edit?gid=984458430#gid=984458430"", ""'replication success'!A:M""), 12, FAlSE)"),"#N/A")</f>
        <v>#N/A</v>
      </c>
      <c r="BA260" s="61" t="str">
        <f>IFERROR(__xludf.DUMMYFUNCTION("vlookup(BB260,importrange(""https://docs.google.com/spreadsheets/d/1d2vevQ_7D_v35q4wCQ4RpQ_IPoTwEMB9Yp6ymwlPqew/edit?gid=984458430#gid=984458430"", ""'replication success'!A:M""), 13, FAlSE)"),"#N/A")</f>
        <v>#N/A</v>
      </c>
      <c r="BB260" s="61" t="str">
        <f>IFERROR(__xludf.DUMMYFUNCTION("REGEXREPLACE(G260, ""_[a-z]{1,2}$"", """")"),"additional_studies38")</f>
        <v>additional_studies38</v>
      </c>
      <c r="BC260" s="61"/>
      <c r="BD260" s="107"/>
    </row>
    <row r="261" ht="20.25" customHeight="1">
      <c r="A261" s="44">
        <v>261.0</v>
      </c>
      <c r="B261" s="109" t="s">
        <v>285</v>
      </c>
      <c r="C261" s="109" t="s">
        <v>115</v>
      </c>
      <c r="D261" s="109" t="s">
        <v>1441</v>
      </c>
      <c r="E261" s="110"/>
      <c r="F261" s="140" t="s">
        <v>1504</v>
      </c>
      <c r="G261" s="112" t="s">
        <v>1522</v>
      </c>
      <c r="H261" s="112" t="s">
        <v>1444</v>
      </c>
      <c r="I261" s="586">
        <v>45636.0</v>
      </c>
      <c r="J261" s="586">
        <v>45636.0</v>
      </c>
      <c r="K261" s="114"/>
      <c r="L261" s="114"/>
      <c r="M261" s="112" t="s">
        <v>1523</v>
      </c>
      <c r="N261" s="112" t="s">
        <v>1507</v>
      </c>
      <c r="O261" s="114"/>
      <c r="P261" s="121" t="str">
        <f t="shared" ref="P261:P263" si="3">SUBSTITUTE(LOWER(N261), "/", "--") &amp;  ".pdf"</f>
        <v>10.1111--1467-6281.00073.pdf</v>
      </c>
      <c r="Q261" s="108" t="str">
        <f t="array" ref="Q261"> if(iserror(MATCH(V261, 'File Links'!C:C, 0)), "N/A", HYPERLINK(INDEX('File Links'!B:B, MATCH(P261, 'File Links'!C:C, 0))))</f>
        <v>N/A</v>
      </c>
      <c r="R261" s="112" t="s">
        <v>1508</v>
      </c>
      <c r="S261" s="112" t="s">
        <v>1509</v>
      </c>
      <c r="T261" s="587" t="s">
        <v>1524</v>
      </c>
      <c r="U261" s="120"/>
      <c r="V261" s="112" t="str">
        <f t="shared" ref="V261:V263" si="4">HYPERLINK(VLOOKUP(LOWER(S261),#REF!, 2, FALSE), SUBSTITUTE(LOWER(S261), "/", "--") &amp;  ".pdf")</f>
        <v>10.1108--s1574-076520240000026005.pdf</v>
      </c>
      <c r="W261" s="112" t="s">
        <v>1511</v>
      </c>
      <c r="X261" s="49" t="str">
        <f t="array" ref="X261"> if(iserror(MATCH(V261, 'File Links'!C:C, 0)), "N/A", HYPERLINK(INDEX('File Links'!B:B, MATCH(V261, 'File Links'!C:C, 0))))</f>
        <v>N/A</v>
      </c>
      <c r="Y261" s="114"/>
      <c r="Z261" s="112" t="s">
        <v>226</v>
      </c>
      <c r="AA261" s="112" t="s">
        <v>1512</v>
      </c>
      <c r="AB261" s="112" t="s">
        <v>1513</v>
      </c>
      <c r="AC261" s="112" t="s">
        <v>1525</v>
      </c>
      <c r="AD261" s="112" t="s">
        <v>1526</v>
      </c>
      <c r="AE261" s="117">
        <v>9.0</v>
      </c>
      <c r="AF261" s="117">
        <v>250.0</v>
      </c>
      <c r="AG261" s="112" t="s">
        <v>1527</v>
      </c>
      <c r="AH261" s="121" t="s">
        <v>134</v>
      </c>
      <c r="AI261" s="114"/>
      <c r="AJ261" s="117">
        <v>1.0E-4</v>
      </c>
      <c r="AK261" s="111" t="s">
        <v>135</v>
      </c>
      <c r="AL261" s="114" t="s">
        <v>186</v>
      </c>
      <c r="AM261" s="114" t="s">
        <v>137</v>
      </c>
      <c r="AN261" s="61" t="s">
        <v>138</v>
      </c>
      <c r="AO261" s="117">
        <v>198.0</v>
      </c>
      <c r="AP261" s="112" t="s">
        <v>1528</v>
      </c>
      <c r="AQ261" s="112" t="s">
        <v>134</v>
      </c>
      <c r="AR261" s="114"/>
      <c r="AS261" s="117">
        <v>1.0E-4</v>
      </c>
      <c r="AT261" s="111" t="s">
        <v>135</v>
      </c>
      <c r="AU261" s="111" t="s">
        <v>218</v>
      </c>
      <c r="AV261" s="111" t="s">
        <v>137</v>
      </c>
      <c r="AW261" s="111"/>
      <c r="AX261" s="122" t="s">
        <v>143</v>
      </c>
      <c r="AY261" s="61" t="str">
        <f>IFERROR(__xludf.DUMMYFUNCTION("vlookup(BB261,importrange(""https://docs.google.com/spreadsheets/d/1d2vevQ_7D_v35q4wCQ4RpQ_IPoTwEMB9Yp6ymwlPqew/edit?gid=984458430#gid=984458430"", ""'replication success'!A:K""), 11, FAlSE)"),"#N/A")</f>
        <v>#N/A</v>
      </c>
      <c r="AZ261" s="61" t="str">
        <f>IFERROR(__xludf.DUMMYFUNCTION("vlookup(BB261,importrange(""https://docs.google.com/spreadsheets/d/1d2vevQ_7D_v35q4wCQ4RpQ_IPoTwEMB9Yp6ymwlPqew/edit?gid=984458430#gid=984458430"", ""'replication success'!A:M""), 12, FAlSE)"),"#N/A")</f>
        <v>#N/A</v>
      </c>
      <c r="BA261" s="61" t="str">
        <f>IFERROR(__xludf.DUMMYFUNCTION("vlookup(BB261,importrange(""https://docs.google.com/spreadsheets/d/1d2vevQ_7D_v35q4wCQ4RpQ_IPoTwEMB9Yp6ymwlPqew/edit?gid=984458430#gid=984458430"", ""'replication success'!A:M""), 13, FAlSE)"),"#N/A")</f>
        <v>#N/A</v>
      </c>
      <c r="BB261" s="61" t="str">
        <f>IFERROR(__xludf.DUMMYFUNCTION("REGEXREPLACE(G261, ""_[a-z]{1,2}$"", """")"),"additional_studies38")</f>
        <v>additional_studies38</v>
      </c>
      <c r="BC261" s="61"/>
      <c r="BD261" s="71"/>
    </row>
    <row r="262" ht="20.25" customHeight="1">
      <c r="A262" s="44">
        <v>262.0</v>
      </c>
      <c r="B262" s="109" t="s">
        <v>285</v>
      </c>
      <c r="C262" s="109" t="s">
        <v>115</v>
      </c>
      <c r="D262" s="109" t="s">
        <v>1441</v>
      </c>
      <c r="E262" s="110"/>
      <c r="F262" s="140" t="s">
        <v>1504</v>
      </c>
      <c r="G262" s="112" t="s">
        <v>1529</v>
      </c>
      <c r="H262" s="112" t="s">
        <v>1444</v>
      </c>
      <c r="I262" s="586">
        <v>45636.0</v>
      </c>
      <c r="J262" s="586">
        <v>45636.0</v>
      </c>
      <c r="K262" s="588" t="s">
        <v>1530</v>
      </c>
      <c r="L262" s="114"/>
      <c r="M262" s="112" t="s">
        <v>1531</v>
      </c>
      <c r="N262" s="112" t="s">
        <v>1507</v>
      </c>
      <c r="O262" s="114"/>
      <c r="P262" s="121" t="str">
        <f t="shared" si="3"/>
        <v>10.1111--1467-6281.00073.pdf</v>
      </c>
      <c r="Q262" s="108" t="str">
        <f t="array" ref="Q262"> if(iserror(MATCH(V262, 'File Links'!C:C, 0)), "N/A", HYPERLINK(INDEX('File Links'!B:B, MATCH(P262, 'File Links'!C:C, 0))))</f>
        <v>N/A</v>
      </c>
      <c r="R262" s="112" t="s">
        <v>1508</v>
      </c>
      <c r="S262" s="112" t="s">
        <v>1509</v>
      </c>
      <c r="T262" s="587" t="s">
        <v>1532</v>
      </c>
      <c r="U262" s="120"/>
      <c r="V262" s="112" t="str">
        <f t="shared" si="4"/>
        <v>10.1108--s1574-076520240000026005.pdf</v>
      </c>
      <c r="W262" s="112" t="s">
        <v>1511</v>
      </c>
      <c r="X262" s="49" t="str">
        <f t="array" ref="X262"> if(iserror(MATCH(V262, 'File Links'!C:C, 0)), "N/A", HYPERLINK(INDEX('File Links'!B:B, MATCH(V262, 'File Links'!C:C, 0))))</f>
        <v>N/A</v>
      </c>
      <c r="Y262" s="114"/>
      <c r="Z262" s="112" t="s">
        <v>226</v>
      </c>
      <c r="AA262" s="112" t="s">
        <v>1512</v>
      </c>
      <c r="AB262" s="112" t="s">
        <v>1513</v>
      </c>
      <c r="AC262" s="112" t="s">
        <v>1533</v>
      </c>
      <c r="AD262" s="112" t="s">
        <v>1534</v>
      </c>
      <c r="AE262" s="117">
        <v>8.0</v>
      </c>
      <c r="AF262" s="117">
        <v>250.0</v>
      </c>
      <c r="AG262" s="589" t="s">
        <v>1535</v>
      </c>
      <c r="AH262" s="121" t="s">
        <v>1536</v>
      </c>
      <c r="AI262" s="114"/>
      <c r="AJ262" s="112" t="s">
        <v>1535</v>
      </c>
      <c r="AK262" s="116" t="s">
        <v>138</v>
      </c>
      <c r="AL262" s="112" t="s">
        <v>1535</v>
      </c>
      <c r="AM262" s="112" t="s">
        <v>1535</v>
      </c>
      <c r="AN262" s="61" t="s">
        <v>138</v>
      </c>
      <c r="AO262" s="117">
        <v>198.0</v>
      </c>
      <c r="AP262" s="112" t="s">
        <v>1535</v>
      </c>
      <c r="AQ262" s="112" t="s">
        <v>1537</v>
      </c>
      <c r="AR262" s="114"/>
      <c r="AS262" s="112" t="s">
        <v>1535</v>
      </c>
      <c r="AT262" s="122" t="s">
        <v>1535</v>
      </c>
      <c r="AU262" s="122" t="s">
        <v>1535</v>
      </c>
      <c r="AV262" s="122" t="s">
        <v>1535</v>
      </c>
      <c r="AW262" s="111"/>
      <c r="AX262" s="122" t="s">
        <v>143</v>
      </c>
      <c r="AY262" s="61" t="str">
        <f>IFERROR(__xludf.DUMMYFUNCTION("vlookup(BB262,importrange(""https://docs.google.com/spreadsheets/d/1d2vevQ_7D_v35q4wCQ4RpQ_IPoTwEMB9Yp6ymwlPqew/edit?gid=984458430#gid=984458430"", ""'replication success'!A:K""), 11, FAlSE)"),"#N/A")</f>
        <v>#N/A</v>
      </c>
      <c r="AZ262" s="61" t="str">
        <f>IFERROR(__xludf.DUMMYFUNCTION("vlookup(BB262,importrange(""https://docs.google.com/spreadsheets/d/1d2vevQ_7D_v35q4wCQ4RpQ_IPoTwEMB9Yp6ymwlPqew/edit?gid=984458430#gid=984458430"", ""'replication success'!A:M""), 12, FAlSE)"),"#N/A")</f>
        <v>#N/A</v>
      </c>
      <c r="BA262" s="61" t="str">
        <f>IFERROR(__xludf.DUMMYFUNCTION("vlookup(BB262,importrange(""https://docs.google.com/spreadsheets/d/1d2vevQ_7D_v35q4wCQ4RpQ_IPoTwEMB9Yp6ymwlPqew/edit?gid=984458430#gid=984458430"", ""'replication success'!A:M""), 13, FAlSE)"),"#N/A")</f>
        <v>#N/A</v>
      </c>
      <c r="BB262" s="61" t="str">
        <f>IFERROR(__xludf.DUMMYFUNCTION("REGEXREPLACE(G262, ""_[a-z]{1,2}$"", """")"),"additional_studies38")</f>
        <v>additional_studies38</v>
      </c>
      <c r="BC262" s="61"/>
      <c r="BD262" s="71"/>
    </row>
    <row r="263" ht="20.25" customHeight="1">
      <c r="A263" s="44">
        <v>263.0</v>
      </c>
      <c r="B263" s="45" t="s">
        <v>114</v>
      </c>
      <c r="C263" s="45" t="s">
        <v>115</v>
      </c>
      <c r="D263" s="45" t="s">
        <v>1441</v>
      </c>
      <c r="E263" s="65"/>
      <c r="F263" s="481" t="s">
        <v>1538</v>
      </c>
      <c r="G263" s="383" t="s">
        <v>1539</v>
      </c>
      <c r="H263" s="383" t="s">
        <v>1540</v>
      </c>
      <c r="I263" s="590">
        <v>45433.0</v>
      </c>
      <c r="J263" s="590">
        <v>41983.0</v>
      </c>
      <c r="K263" s="383" t="s">
        <v>1541</v>
      </c>
      <c r="L263" s="462"/>
      <c r="M263" s="383" t="s">
        <v>1542</v>
      </c>
      <c r="N263" s="383" t="s">
        <v>1543</v>
      </c>
      <c r="O263" s="462"/>
      <c r="P263" s="493" t="str">
        <f t="shared" si="3"/>
        <v>10.1037--a0025345.pdf</v>
      </c>
      <c r="Q263" s="52" t="str">
        <f t="array" ref="Q263"> if(iserror(MATCH(V263, 'File Links'!C:C, 0)), "N/A", HYPERLINK(INDEX('File Links'!B:B, MATCH(P263, 'File Links'!C:C, 0))))</f>
        <v>https://drive.google.com/file/d/1Dm7RxWVN3iiT5GipgY8Gq3dl65EkIYDu/view?usp=drivesdk</v>
      </c>
      <c r="R263" s="383" t="s">
        <v>1544</v>
      </c>
      <c r="S263" s="383" t="s">
        <v>1545</v>
      </c>
      <c r="T263" s="462"/>
      <c r="U263" s="591"/>
      <c r="V263" s="112" t="str">
        <f t="shared" si="4"/>
        <v>10.1017--pds.2024.14.pdf</v>
      </c>
      <c r="W263" s="592" t="s">
        <v>1546</v>
      </c>
      <c r="X263" s="54" t="str">
        <f t="array" ref="X263"> if(iserror(MATCH(V263, 'File Links'!C:C, 0)), "N/A", HYPERLINK(INDEX('File Links'!B:B, MATCH(V263, 'File Links'!C:C, 0))))</f>
        <v>https://drive.google.com/file/d/14Gn77igqT7z48cFv6fyuoc9vsjaDleJT/view?usp=drivesdk</v>
      </c>
      <c r="Y263" s="462"/>
      <c r="Z263" s="462"/>
      <c r="AA263" s="462"/>
      <c r="AB263" s="462"/>
      <c r="AC263" s="462"/>
      <c r="AD263" s="462"/>
      <c r="AE263" s="462"/>
      <c r="AF263" s="462"/>
      <c r="AG263" s="462"/>
      <c r="AH263" s="591"/>
      <c r="AI263" s="462"/>
      <c r="AJ263" s="462"/>
      <c r="AK263" s="542"/>
      <c r="AL263" s="462"/>
      <c r="AM263" s="462"/>
      <c r="AN263" s="61" t="s">
        <v>138</v>
      </c>
      <c r="AO263" s="462"/>
      <c r="AP263" s="462"/>
      <c r="AQ263" s="462"/>
      <c r="AR263" s="462"/>
      <c r="AS263" s="462"/>
      <c r="AT263" s="542"/>
      <c r="AU263" s="542"/>
      <c r="AV263" s="542"/>
      <c r="AW263" s="542"/>
      <c r="AX263" s="542"/>
      <c r="AY263" s="61" t="str">
        <f>IFERROR(__xludf.DUMMYFUNCTION("vlookup(BB263,importrange(""https://docs.google.com/spreadsheets/d/1d2vevQ_7D_v35q4wCQ4RpQ_IPoTwEMB9Yp6ymwlPqew/edit?gid=984458430#gid=984458430"", ""'replication success'!A:K""), 11, FAlSE)"),"#N/A")</f>
        <v>#N/A</v>
      </c>
      <c r="AZ263" s="61" t="str">
        <f>IFERROR(__xludf.DUMMYFUNCTION("vlookup(BB263,importrange(""https://docs.google.com/spreadsheets/d/1d2vevQ_7D_v35q4wCQ4RpQ_IPoTwEMB9Yp6ymwlPqew/edit?gid=984458430#gid=984458430"", ""'replication success'!A:M""), 12, FAlSE)"),"#N/A")</f>
        <v>#N/A</v>
      </c>
      <c r="BA263" s="61" t="str">
        <f>IFERROR(__xludf.DUMMYFUNCTION("vlookup(BB263,importrange(""https://docs.google.com/spreadsheets/d/1d2vevQ_7D_v35q4wCQ4RpQ_IPoTwEMB9Yp6ymwlPqew/edit?gid=984458430#gid=984458430"", ""'replication success'!A:M""), 13, FAlSE)"),"#N/A")</f>
        <v>#N/A</v>
      </c>
      <c r="BB263" s="61" t="str">
        <f>IFERROR(__xludf.DUMMYFUNCTION("REGEXREPLACE(G263, ""_[a-z]{1,2}$"", """")"),"additional_studies39")</f>
        <v>additional_studies39</v>
      </c>
      <c r="BC263" s="61"/>
      <c r="BD263" s="62" t="s">
        <v>144</v>
      </c>
    </row>
    <row r="264" ht="20.25" customHeight="1">
      <c r="A264" s="44">
        <v>264.0</v>
      </c>
      <c r="B264" s="62" t="s">
        <v>114</v>
      </c>
      <c r="C264" s="62" t="s">
        <v>115</v>
      </c>
      <c r="D264" s="62" t="s">
        <v>1458</v>
      </c>
      <c r="F264" s="159" t="s">
        <v>1538</v>
      </c>
      <c r="G264" s="57" t="s">
        <v>1539</v>
      </c>
      <c r="H264" s="57" t="s">
        <v>1518</v>
      </c>
      <c r="I264" s="152">
        <v>45433.0</v>
      </c>
      <c r="J264" s="434">
        <v>45640.0</v>
      </c>
      <c r="K264" s="57" t="s">
        <v>1547</v>
      </c>
      <c r="L264" s="61"/>
      <c r="M264" s="57" t="s">
        <v>1542</v>
      </c>
      <c r="N264" s="57" t="s">
        <v>1543</v>
      </c>
      <c r="O264" s="61"/>
      <c r="P264" s="339" t="str">
        <f> SUBSTITUTE(lower(N264), "/", "--") &amp;  ".pdf"</f>
        <v>10.1037--a0025345.pdf</v>
      </c>
      <c r="Q264" s="52" t="str">
        <f t="array" ref="Q264"> if(iserror(MATCH(V264, 'File Links'!C:C, 0)), "N/A", HYPERLINK(INDEX('File Links'!B:B, MATCH(P264, 'File Links'!C:C, 0))))</f>
        <v>https://drive.google.com/file/d/1Dm7RxWVN3iiT5GipgY8Gq3dl65EkIYDu/view?usp=drivesdk</v>
      </c>
      <c r="R264" s="593" t="s">
        <v>1548</v>
      </c>
      <c r="S264" s="593" t="s">
        <v>1545</v>
      </c>
      <c r="T264" s="61"/>
      <c r="U264" s="338"/>
      <c r="V264" s="57" t="str">
        <f> hyperlink(vlookup(lower(S264),#REF!, 2, FALSE), SUBSTITUTE(lower(S264), "/", "--") &amp;  ".pdf")</f>
        <v>10.1017--pds.2024.14.pdf</v>
      </c>
      <c r="W264" s="61"/>
      <c r="X264" s="54" t="str">
        <f t="array" ref="X264"> if(iserror(MATCH(V264, 'File Links'!C:C, 0)), "N/A", HYPERLINK(INDEX('File Links'!B:B, MATCH(V264, 'File Links'!C:C, 0))))</f>
        <v>https://drive.google.com/file/d/14Gn77igqT7z48cFv6fyuoc9vsjaDleJT/view?usp=drivesdk</v>
      </c>
      <c r="Y264" s="57" t="s">
        <v>1547</v>
      </c>
      <c r="Z264" s="61"/>
      <c r="AA264" s="61"/>
      <c r="AB264" s="61"/>
      <c r="AC264" s="61"/>
      <c r="AD264" s="61"/>
      <c r="AE264" s="61"/>
      <c r="AF264" s="61"/>
      <c r="AG264" s="61"/>
      <c r="AH264" s="338"/>
      <c r="AI264" s="61"/>
      <c r="AJ264" s="61"/>
      <c r="AK264" s="68"/>
      <c r="AL264" s="61"/>
      <c r="AM264" s="61"/>
      <c r="AN264" s="61" t="s">
        <v>138</v>
      </c>
      <c r="AO264" s="61"/>
      <c r="AP264" s="61"/>
      <c r="AQ264" s="61"/>
      <c r="AR264" s="61"/>
      <c r="AS264" s="61"/>
      <c r="AT264" s="68"/>
      <c r="AU264" s="68"/>
      <c r="AV264" s="68"/>
      <c r="AW264" s="68"/>
      <c r="AX264" s="68"/>
      <c r="AY264" s="61" t="str">
        <f>IFERROR(__xludf.DUMMYFUNCTION("vlookup(BB264,importrange(""https://docs.google.com/spreadsheets/d/1d2vevQ_7D_v35q4wCQ4RpQ_IPoTwEMB9Yp6ymwlPqew/edit?gid=984458430#gid=984458430"", ""'replication success'!A:K""), 11, FAlSE)"),"#N/A")</f>
        <v>#N/A</v>
      </c>
      <c r="AZ264" s="61" t="str">
        <f>IFERROR(__xludf.DUMMYFUNCTION("vlookup(BB264,importrange(""https://docs.google.com/spreadsheets/d/1d2vevQ_7D_v35q4wCQ4RpQ_IPoTwEMB9Yp6ymwlPqew/edit?gid=984458430#gid=984458430"", ""'replication success'!A:M""), 12, FAlSE)"),"#N/A")</f>
        <v>#N/A</v>
      </c>
      <c r="BA264" s="61" t="str">
        <f>IFERROR(__xludf.DUMMYFUNCTION("vlookup(BB264,importrange(""https://docs.google.com/spreadsheets/d/1d2vevQ_7D_v35q4wCQ4RpQ_IPoTwEMB9Yp6ymwlPqew/edit?gid=984458430#gid=984458430"", ""'replication success'!A:M""), 13, FAlSE)"),"#N/A")</f>
        <v>#N/A</v>
      </c>
      <c r="BB264" s="61" t="str">
        <f>IFERROR(__xludf.DUMMYFUNCTION("REGEXREPLACE(G264, ""_[a-z]{1,2}$"", """")"),"additional_studies39")</f>
        <v>additional_studies39</v>
      </c>
      <c r="BC264" s="61"/>
      <c r="BD264" s="62" t="s">
        <v>144</v>
      </c>
      <c r="BG264" s="71"/>
      <c r="BH264" s="71"/>
      <c r="BI264" s="71"/>
      <c r="BJ264" s="71"/>
      <c r="BK264" s="71"/>
      <c r="BL264" s="71"/>
      <c r="BM264" s="71"/>
      <c r="BN264" s="71"/>
      <c r="BO264" s="71"/>
      <c r="BP264" s="71"/>
      <c r="BQ264" s="71"/>
      <c r="BR264" s="71"/>
      <c r="BS264" s="71"/>
      <c r="BT264" s="71"/>
      <c r="BU264" s="71"/>
      <c r="BV264" s="71"/>
      <c r="BW264" s="71"/>
      <c r="BX264" s="71"/>
      <c r="BY264" s="71"/>
      <c r="BZ264" s="71"/>
      <c r="CA264" s="71"/>
      <c r="CB264" s="71"/>
      <c r="CC264" s="71"/>
      <c r="CD264" s="71"/>
      <c r="CE264" s="71"/>
      <c r="CF264" s="71"/>
      <c r="CG264" s="71"/>
      <c r="CH264" s="71"/>
      <c r="CI264" s="71"/>
      <c r="CJ264" s="71"/>
      <c r="CK264" s="71"/>
      <c r="CL264" s="71"/>
      <c r="CM264" s="71"/>
      <c r="CN264" s="71"/>
      <c r="CO264" s="71"/>
      <c r="CP264" s="71"/>
      <c r="CQ264" s="71"/>
      <c r="CR264" s="71"/>
      <c r="CS264" s="71"/>
      <c r="CT264" s="71"/>
      <c r="CU264" s="71"/>
      <c r="CV264" s="71"/>
      <c r="CW264" s="71"/>
      <c r="CX264" s="71"/>
      <c r="CY264" s="71"/>
      <c r="CZ264" s="71"/>
      <c r="DA264" s="71"/>
      <c r="DB264" s="71"/>
      <c r="DC264" s="71"/>
      <c r="DD264" s="71"/>
      <c r="DE264" s="71"/>
      <c r="DF264" s="71"/>
      <c r="DG264" s="71"/>
      <c r="DH264" s="71"/>
      <c r="DI264" s="71"/>
      <c r="DJ264" s="71"/>
      <c r="DK264" s="71"/>
      <c r="DL264" s="71"/>
    </row>
    <row r="265" ht="20.25" customHeight="1">
      <c r="A265" s="44">
        <v>265.0</v>
      </c>
      <c r="B265" s="325" t="s">
        <v>152</v>
      </c>
      <c r="C265" s="325" t="s">
        <v>115</v>
      </c>
      <c r="D265" s="325" t="s">
        <v>346</v>
      </c>
      <c r="E265" s="226"/>
      <c r="F265" s="68" t="s">
        <v>1549</v>
      </c>
      <c r="G265" s="57" t="s">
        <v>1550</v>
      </c>
      <c r="H265" s="57" t="s">
        <v>349</v>
      </c>
      <c r="I265" s="152">
        <v>45427.0</v>
      </c>
      <c r="J265" s="345">
        <v>45782.0</v>
      </c>
      <c r="K265" s="61"/>
      <c r="L265" s="129" t="s">
        <v>1551</v>
      </c>
      <c r="M265" s="57" t="s">
        <v>1552</v>
      </c>
      <c r="N265" s="376" t="s">
        <v>1553</v>
      </c>
      <c r="O265" s="57" t="s">
        <v>1554</v>
      </c>
      <c r="P265" s="377" t="s">
        <v>1555</v>
      </c>
      <c r="Q265" s="52" t="str">
        <f t="array" ref="Q265"> if(iserror(MATCH(V265, 'File Links'!C:C, 0)), "N/A", HYPERLINK(INDEX('File Links'!B:B, MATCH(P265, 'File Links'!C:C, 0))))</f>
        <v>https://drive.google.com/file/d/1_YiZ9ym1etIoqiYTErFO56HCfNn-rWNe/view?usp=drivesdk</v>
      </c>
      <c r="R265" s="57" t="s">
        <v>1556</v>
      </c>
      <c r="S265" s="57" t="s">
        <v>1557</v>
      </c>
      <c r="T265" s="61"/>
      <c r="U265" s="371" t="s">
        <v>1554</v>
      </c>
      <c r="V265" s="112" t="str">
        <f t="shared" ref="V265:V270" si="5">HYPERLINK(VLOOKUP(LOWER(S265),#REF!, 2, FALSE), SUBSTITUTE(LOWER(S265), "/", "--") &amp;  ".pdf")</f>
        <v>10.31234--osf.io--68jft.pdf</v>
      </c>
      <c r="W265" s="57" t="s">
        <v>607</v>
      </c>
      <c r="X265" s="54" t="str">
        <f t="array" ref="X265"> if(iserror(MATCH(V265, 'File Links'!C:C, 0)), "N/A", HYPERLINK(INDEX('File Links'!B:B, MATCH(V265, 'File Links'!C:C, 0))))</f>
        <v>https://drive.google.com/file/d/1TqbYPD6TfJF6VjNMngYfnoD5Y8nHUi0O/view?usp=drivesdk</v>
      </c>
      <c r="Y265" s="61"/>
      <c r="Z265" s="57" t="s">
        <v>226</v>
      </c>
      <c r="AA265" s="57" t="s">
        <v>1558</v>
      </c>
      <c r="AB265" s="376" t="s">
        <v>1559</v>
      </c>
      <c r="AC265" s="376" t="s">
        <v>1560</v>
      </c>
      <c r="AD265" s="483" t="s">
        <v>1561</v>
      </c>
      <c r="AE265" s="378" t="s">
        <v>813</v>
      </c>
      <c r="AF265" s="379">
        <v>405.0</v>
      </c>
      <c r="AG265" s="379">
        <v>0.042</v>
      </c>
      <c r="AH265" s="380" t="s">
        <v>874</v>
      </c>
      <c r="AI265" s="378" t="s">
        <v>813</v>
      </c>
      <c r="AJ265" s="379">
        <v>0.001</v>
      </c>
      <c r="AK265" s="159" t="s">
        <v>135</v>
      </c>
      <c r="AL265" s="57" t="s">
        <v>186</v>
      </c>
      <c r="AM265" s="61" t="s">
        <v>137</v>
      </c>
      <c r="AN265" s="57" t="s">
        <v>138</v>
      </c>
      <c r="AO265" s="379">
        <v>321.0</v>
      </c>
      <c r="AP265" s="379">
        <v>0.08</v>
      </c>
      <c r="AQ265" s="380" t="s">
        <v>874</v>
      </c>
      <c r="AR265" s="380" t="s">
        <v>628</v>
      </c>
      <c r="AS265" s="379">
        <v>0.01</v>
      </c>
      <c r="AT265" s="159" t="s">
        <v>135</v>
      </c>
      <c r="AU265" s="159" t="s">
        <v>186</v>
      </c>
      <c r="AV265" s="68" t="s">
        <v>137</v>
      </c>
      <c r="AW265" s="435" t="s">
        <v>1562</v>
      </c>
      <c r="AX265" s="594" t="s">
        <v>143</v>
      </c>
      <c r="AY265" s="61" t="str">
        <f>IFERROR(__xludf.DUMMYFUNCTION("vlookup(BB265,importrange(""https://docs.google.com/spreadsheets/d/1d2vevQ_7D_v35q4wCQ4RpQ_IPoTwEMB9Yp6ymwlPqew/edit?gid=984458430#gid=984458430"", ""'replication success'!A:K""), 11, FAlSE)"),"successful")</f>
        <v>successful</v>
      </c>
      <c r="AZ265" s="61" t="str">
        <f>IFERROR(__xludf.DUMMYFUNCTION("vlookup(BB265,importrange(""https://docs.google.com/spreadsheets/d/1d2vevQ_7D_v35q4wCQ4RpQ_IPoTwEMB9Yp6ymwlPqew/edit?gid=984458430#gid=984458430"",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65" s="61" t="str">
        <f>IFERROR(__xludf.DUMMYFUNCTION("vlookup(BB265,importrange(""https://docs.google.com/spreadsheets/d/1d2vevQ_7D_v35q4wCQ4RpQ_IPoTwEMB9Yp6ymwlPqew/edit?gid=984458430#gid=984458430"", ""'replication success'!A:M""), 13, FAlSE)"),"abstract")</f>
        <v>abstract</v>
      </c>
      <c r="BB265" s="61" t="str">
        <f>IFERROR(__xludf.DUMMYFUNCTION("REGEXREPLACE(G265, ""_[a-z]{1,2}$"", """")"),"additional_studies4")</f>
        <v>additional_studies4</v>
      </c>
      <c r="BC265" s="61"/>
      <c r="BD265" s="381" t="s">
        <v>1270</v>
      </c>
      <c r="BG265" s="107"/>
      <c r="BH265" s="107"/>
      <c r="BI265" s="107"/>
      <c r="BJ265" s="107"/>
      <c r="BK265" s="107"/>
      <c r="BL265" s="107"/>
      <c r="BM265" s="107"/>
      <c r="BN265" s="107"/>
      <c r="BO265" s="107"/>
      <c r="BP265" s="107"/>
      <c r="BQ265" s="107"/>
      <c r="BR265" s="107"/>
      <c r="BS265" s="107"/>
      <c r="BT265" s="107"/>
      <c r="BU265" s="107"/>
      <c r="BV265" s="107"/>
      <c r="BW265" s="107"/>
      <c r="BX265" s="107"/>
      <c r="BY265" s="107"/>
      <c r="BZ265" s="107"/>
      <c r="CA265" s="107"/>
      <c r="CB265" s="107"/>
      <c r="CC265" s="107"/>
      <c r="CD265" s="107"/>
      <c r="CE265" s="107"/>
      <c r="CF265" s="107"/>
      <c r="CG265" s="107"/>
      <c r="CH265" s="107"/>
      <c r="CI265" s="107"/>
      <c r="CJ265" s="107"/>
      <c r="CK265" s="107"/>
      <c r="CL265" s="107"/>
      <c r="CM265" s="107"/>
      <c r="CN265" s="107"/>
      <c r="CO265" s="107"/>
      <c r="CP265" s="107"/>
      <c r="CQ265" s="107"/>
      <c r="CR265" s="107"/>
      <c r="CS265" s="107"/>
      <c r="CT265" s="107"/>
      <c r="CU265" s="107"/>
      <c r="CV265" s="107"/>
      <c r="CW265" s="107"/>
      <c r="CX265" s="107"/>
      <c r="CY265" s="107"/>
      <c r="CZ265" s="107"/>
      <c r="DA265" s="107"/>
      <c r="DB265" s="107"/>
      <c r="DC265" s="107"/>
      <c r="DD265" s="107"/>
      <c r="DE265" s="107"/>
      <c r="DF265" s="107"/>
      <c r="DG265" s="107"/>
      <c r="DH265" s="107"/>
      <c r="DI265" s="107"/>
      <c r="DJ265" s="107"/>
      <c r="DK265" s="107"/>
      <c r="DL265" s="107"/>
    </row>
    <row r="266" ht="20.25" customHeight="1">
      <c r="A266" s="44">
        <v>266.0</v>
      </c>
      <c r="B266" s="325" t="s">
        <v>152</v>
      </c>
      <c r="C266" s="325" t="s">
        <v>115</v>
      </c>
      <c r="D266" s="325" t="s">
        <v>346</v>
      </c>
      <c r="E266" s="226"/>
      <c r="F266" s="68" t="s">
        <v>1549</v>
      </c>
      <c r="G266" s="57" t="s">
        <v>1563</v>
      </c>
      <c r="H266" s="57" t="s">
        <v>349</v>
      </c>
      <c r="I266" s="152">
        <v>45427.0</v>
      </c>
      <c r="J266" s="345">
        <v>45782.0</v>
      </c>
      <c r="K266" s="61"/>
      <c r="L266" s="129" t="s">
        <v>1564</v>
      </c>
      <c r="M266" s="57" t="s">
        <v>1552</v>
      </c>
      <c r="N266" s="376" t="s">
        <v>1553</v>
      </c>
      <c r="O266" s="379">
        <v>6.0</v>
      </c>
      <c r="P266" s="377" t="s">
        <v>1555</v>
      </c>
      <c r="Q266" s="52" t="str">
        <f t="array" ref="Q266"> if(iserror(MATCH(V266, 'File Links'!C:C, 0)), "N/A", HYPERLINK(INDEX('File Links'!B:B, MATCH(P266, 'File Links'!C:C, 0))))</f>
        <v>https://drive.google.com/file/d/1_YiZ9ym1etIoqiYTErFO56HCfNn-rWNe/view?usp=drivesdk</v>
      </c>
      <c r="R266" s="57" t="s">
        <v>1556</v>
      </c>
      <c r="S266" s="57" t="s">
        <v>1557</v>
      </c>
      <c r="T266" s="61"/>
      <c r="U266" s="371">
        <v>6.0</v>
      </c>
      <c r="V266" s="112" t="str">
        <f t="shared" si="5"/>
        <v>10.31234--osf.io--68jft.pdf</v>
      </c>
      <c r="W266" s="57" t="s">
        <v>607</v>
      </c>
      <c r="X266" s="54" t="str">
        <f t="array" ref="X266"> if(iserror(MATCH(V266, 'File Links'!C:C, 0)), "N/A", HYPERLINK(INDEX('File Links'!B:B, MATCH(V266, 'File Links'!C:C, 0))))</f>
        <v>https://drive.google.com/file/d/1TqbYPD6TfJF6VjNMngYfnoD5Y8nHUi0O/view?usp=drivesdk</v>
      </c>
      <c r="Y266" s="61"/>
      <c r="Z266" s="57" t="s">
        <v>226</v>
      </c>
      <c r="AA266" s="57" t="s">
        <v>1558</v>
      </c>
      <c r="AB266" s="376" t="s">
        <v>1559</v>
      </c>
      <c r="AC266" s="376" t="s">
        <v>1560</v>
      </c>
      <c r="AD266" s="376" t="s">
        <v>1565</v>
      </c>
      <c r="AE266" s="378" t="s">
        <v>627</v>
      </c>
      <c r="AF266" s="379">
        <v>97.0</v>
      </c>
      <c r="AG266" s="379">
        <v>0.48</v>
      </c>
      <c r="AH266" s="339" t="s">
        <v>173</v>
      </c>
      <c r="AI266" s="57" t="s">
        <v>1566</v>
      </c>
      <c r="AJ266" s="379">
        <v>0.023</v>
      </c>
      <c r="AK266" s="159" t="s">
        <v>172</v>
      </c>
      <c r="AL266" s="57" t="s">
        <v>186</v>
      </c>
      <c r="AM266" s="61" t="s">
        <v>137</v>
      </c>
      <c r="AN266" s="57" t="s">
        <v>138</v>
      </c>
      <c r="AO266" s="379">
        <v>321.0</v>
      </c>
      <c r="AP266" s="379">
        <v>0.36</v>
      </c>
      <c r="AQ266" s="57" t="s">
        <v>173</v>
      </c>
      <c r="AR266" s="380" t="s">
        <v>632</v>
      </c>
      <c r="AS266" s="379">
        <v>0.01</v>
      </c>
      <c r="AT266" s="159" t="s">
        <v>135</v>
      </c>
      <c r="AU266" s="159" t="s">
        <v>186</v>
      </c>
      <c r="AV266" s="68" t="s">
        <v>137</v>
      </c>
      <c r="AW266" s="435" t="s">
        <v>1562</v>
      </c>
      <c r="AX266" s="594" t="s">
        <v>143</v>
      </c>
      <c r="AY266" s="61" t="str">
        <f>IFERROR(__xludf.DUMMYFUNCTION("vlookup(BB266,importrange(""https://docs.google.com/spreadsheets/d/1d2vevQ_7D_v35q4wCQ4RpQ_IPoTwEMB9Yp6ymwlPqew/edit?gid=984458430#gid=984458430"", ""'replication success'!A:K""), 11, FAlSE)"),"successful")</f>
        <v>successful</v>
      </c>
      <c r="AZ266" s="61" t="str">
        <f>IFERROR(__xludf.DUMMYFUNCTION("vlookup(BB266,importrange(""https://docs.google.com/spreadsheets/d/1d2vevQ_7D_v35q4wCQ4RpQ_IPoTwEMB9Yp6ymwlPqew/edit?gid=984458430#gid=984458430"",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66" s="61" t="str">
        <f>IFERROR(__xludf.DUMMYFUNCTION("vlookup(BB266,importrange(""https://docs.google.com/spreadsheets/d/1d2vevQ_7D_v35q4wCQ4RpQ_IPoTwEMB9Yp6ymwlPqew/edit?gid=984458430#gid=984458430"", ""'replication success'!A:M""), 13, FAlSE)"),"abstract")</f>
        <v>abstract</v>
      </c>
      <c r="BB266" s="61" t="str">
        <f>IFERROR(__xludf.DUMMYFUNCTION("REGEXREPLACE(G266, ""_[a-z]{1,2}$"", """")"),"additional_studies4")</f>
        <v>additional_studies4</v>
      </c>
      <c r="BC266" s="61"/>
      <c r="BD266" s="381" t="s">
        <v>1270</v>
      </c>
      <c r="BG266" s="107"/>
      <c r="BH266" s="107"/>
      <c r="BI266" s="107"/>
      <c r="BJ266" s="107"/>
      <c r="BK266" s="107"/>
      <c r="BL266" s="107"/>
      <c r="BM266" s="107"/>
      <c r="BN266" s="107"/>
      <c r="BO266" s="107"/>
      <c r="BP266" s="107"/>
      <c r="BQ266" s="107"/>
      <c r="BR266" s="107"/>
      <c r="BS266" s="107"/>
      <c r="BT266" s="107"/>
      <c r="BU266" s="107"/>
      <c r="BV266" s="107"/>
      <c r="BW266" s="107"/>
      <c r="BX266" s="107"/>
      <c r="BY266" s="107"/>
      <c r="BZ266" s="107"/>
      <c r="CA266" s="107"/>
      <c r="CB266" s="107"/>
      <c r="CC266" s="107"/>
      <c r="CD266" s="107"/>
      <c r="CE266" s="107"/>
      <c r="CF266" s="107"/>
      <c r="CG266" s="107"/>
      <c r="CH266" s="107"/>
      <c r="CI266" s="107"/>
      <c r="CJ266" s="107"/>
      <c r="CK266" s="107"/>
      <c r="CL266" s="107"/>
      <c r="CM266" s="107"/>
      <c r="CN266" s="107"/>
      <c r="CO266" s="107"/>
      <c r="CP266" s="107"/>
      <c r="CQ266" s="107"/>
      <c r="CR266" s="107"/>
      <c r="CS266" s="107"/>
      <c r="CT266" s="107"/>
      <c r="CU266" s="107"/>
      <c r="CV266" s="107"/>
      <c r="CW266" s="107"/>
      <c r="CX266" s="107"/>
      <c r="CY266" s="107"/>
      <c r="CZ266" s="107"/>
      <c r="DA266" s="107"/>
      <c r="DB266" s="107"/>
      <c r="DC266" s="107"/>
      <c r="DD266" s="107"/>
      <c r="DE266" s="107"/>
      <c r="DF266" s="107"/>
      <c r="DG266" s="107"/>
      <c r="DH266" s="107"/>
      <c r="DI266" s="107"/>
      <c r="DJ266" s="107"/>
      <c r="DK266" s="107"/>
      <c r="DL266" s="107"/>
    </row>
    <row r="267" ht="20.25" customHeight="1">
      <c r="A267" s="44">
        <v>267.0</v>
      </c>
      <c r="B267" s="325" t="s">
        <v>152</v>
      </c>
      <c r="C267" s="325" t="s">
        <v>115</v>
      </c>
      <c r="D267" s="325" t="s">
        <v>346</v>
      </c>
      <c r="E267" s="226"/>
      <c r="F267" s="68" t="s">
        <v>1549</v>
      </c>
      <c r="G267" s="57" t="s">
        <v>1567</v>
      </c>
      <c r="H267" s="57" t="s">
        <v>349</v>
      </c>
      <c r="I267" s="152">
        <v>45427.0</v>
      </c>
      <c r="J267" s="153">
        <v>45786.0</v>
      </c>
      <c r="K267" s="61"/>
      <c r="L267" s="129" t="s">
        <v>1568</v>
      </c>
      <c r="M267" s="57" t="s">
        <v>1552</v>
      </c>
      <c r="N267" s="376" t="s">
        <v>1553</v>
      </c>
      <c r="O267" s="379">
        <v>6.0</v>
      </c>
      <c r="P267" s="377" t="s">
        <v>1555</v>
      </c>
      <c r="Q267" s="52" t="str">
        <f t="array" ref="Q267"> if(iserror(MATCH(V267, 'File Links'!C:C, 0)), "N/A", HYPERLINK(INDEX('File Links'!B:B, MATCH(P267, 'File Links'!C:C, 0))))</f>
        <v>https://drive.google.com/file/d/1_YiZ9ym1etIoqiYTErFO56HCfNn-rWNe/view?usp=drivesdk</v>
      </c>
      <c r="R267" s="57" t="s">
        <v>1556</v>
      </c>
      <c r="S267" s="57" t="s">
        <v>1557</v>
      </c>
      <c r="T267" s="61"/>
      <c r="U267" s="371">
        <v>6.0</v>
      </c>
      <c r="V267" s="112" t="str">
        <f t="shared" si="5"/>
        <v>10.31234--osf.io--68jft.pdf</v>
      </c>
      <c r="W267" s="57" t="s">
        <v>607</v>
      </c>
      <c r="X267" s="54" t="str">
        <f t="array" ref="X267"> if(iserror(MATCH(V267, 'File Links'!C:C, 0)), "N/A", HYPERLINK(INDEX('File Links'!B:B, MATCH(V267, 'File Links'!C:C, 0))))</f>
        <v>https://drive.google.com/file/d/1TqbYPD6TfJF6VjNMngYfnoD5Y8nHUi0O/view?usp=drivesdk</v>
      </c>
      <c r="Y267" s="61"/>
      <c r="Z267" s="57" t="s">
        <v>226</v>
      </c>
      <c r="AA267" s="57" t="s">
        <v>1558</v>
      </c>
      <c r="AB267" s="376" t="s">
        <v>1559</v>
      </c>
      <c r="AC267" s="376" t="s">
        <v>1569</v>
      </c>
      <c r="AD267" s="376" t="s">
        <v>1570</v>
      </c>
      <c r="AE267" s="378" t="s">
        <v>182</v>
      </c>
      <c r="AF267" s="379">
        <v>97.0</v>
      </c>
      <c r="AG267" s="379">
        <v>0.21</v>
      </c>
      <c r="AH267" s="595" t="s">
        <v>987</v>
      </c>
      <c r="AI267" s="378" t="s">
        <v>182</v>
      </c>
      <c r="AJ267" s="379">
        <v>0.05</v>
      </c>
      <c r="AK267" s="159" t="s">
        <v>135</v>
      </c>
      <c r="AL267" s="57" t="s">
        <v>186</v>
      </c>
      <c r="AM267" s="371" t="s">
        <v>137</v>
      </c>
      <c r="AN267" s="57" t="s">
        <v>138</v>
      </c>
      <c r="AO267" s="379">
        <v>321.0</v>
      </c>
      <c r="AP267" s="379">
        <v>-0.04</v>
      </c>
      <c r="AQ267" s="57" t="s">
        <v>987</v>
      </c>
      <c r="AR267" s="380" t="s">
        <v>307</v>
      </c>
      <c r="AS267" s="378" t="s">
        <v>138</v>
      </c>
      <c r="AT267" s="378" t="s">
        <v>138</v>
      </c>
      <c r="AU267" s="159" t="s">
        <v>186</v>
      </c>
      <c r="AV267" s="542" t="s">
        <v>137</v>
      </c>
      <c r="AW267" s="435" t="s">
        <v>1562</v>
      </c>
      <c r="AX267" s="594" t="s">
        <v>143</v>
      </c>
      <c r="AY267" s="61" t="str">
        <f>IFERROR(__xludf.DUMMYFUNCTION("vlookup(BB267,importrange(""https://docs.google.com/spreadsheets/d/1d2vevQ_7D_v35q4wCQ4RpQ_IPoTwEMB9Yp6ymwlPqew/edit?gid=984458430#gid=984458430"", ""'replication success'!A:K""), 11, FAlSE)"),"successful")</f>
        <v>successful</v>
      </c>
      <c r="AZ267" s="61" t="str">
        <f>IFERROR(__xludf.DUMMYFUNCTION("vlookup(BB267,importrange(""https://docs.google.com/spreadsheets/d/1d2vevQ_7D_v35q4wCQ4RpQ_IPoTwEMB9Yp6ymwlPqew/edit?gid=984458430#gid=984458430"",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67" s="61" t="str">
        <f>IFERROR(__xludf.DUMMYFUNCTION("vlookup(BB267,importrange(""https://docs.google.com/spreadsheets/d/1d2vevQ_7D_v35q4wCQ4RpQ_IPoTwEMB9Yp6ymwlPqew/edit?gid=984458430#gid=984458430"", ""'replication success'!A:M""), 13, FAlSE)"),"abstract")</f>
        <v>abstract</v>
      </c>
      <c r="BB267" s="61" t="str">
        <f>IFERROR(__xludf.DUMMYFUNCTION("REGEXREPLACE(G267, ""_[a-z]{1,2}$"", """")"),"additional_studies4")</f>
        <v>additional_studies4</v>
      </c>
      <c r="BC267" s="61"/>
      <c r="BD267" s="381" t="s">
        <v>1270</v>
      </c>
      <c r="BG267" s="107"/>
      <c r="BH267" s="107"/>
      <c r="BI267" s="107"/>
      <c r="BJ267" s="107"/>
      <c r="BK267" s="107"/>
      <c r="BL267" s="107"/>
      <c r="BM267" s="107"/>
      <c r="BN267" s="107"/>
      <c r="BO267" s="107"/>
      <c r="BP267" s="107"/>
      <c r="BQ267" s="107"/>
      <c r="BR267" s="107"/>
      <c r="BS267" s="107"/>
      <c r="BT267" s="107"/>
      <c r="BU267" s="107"/>
      <c r="BV267" s="107"/>
      <c r="BW267" s="107"/>
      <c r="BX267" s="107"/>
      <c r="BY267" s="107"/>
      <c r="BZ267" s="107"/>
      <c r="CA267" s="107"/>
      <c r="CB267" s="107"/>
      <c r="CC267" s="107"/>
      <c r="CD267" s="107"/>
      <c r="CE267" s="107"/>
      <c r="CF267" s="107"/>
      <c r="CG267" s="107"/>
      <c r="CH267" s="107"/>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7"/>
      <c r="DI267" s="107"/>
      <c r="DJ267" s="107"/>
      <c r="DK267" s="107"/>
      <c r="DL267" s="107"/>
    </row>
    <row r="268" ht="20.25" customHeight="1">
      <c r="A268" s="44">
        <v>268.0</v>
      </c>
      <c r="B268" s="325" t="s">
        <v>152</v>
      </c>
      <c r="C268" s="325" t="s">
        <v>115</v>
      </c>
      <c r="D268" s="325" t="s">
        <v>346</v>
      </c>
      <c r="E268" s="226"/>
      <c r="F268" s="68" t="s">
        <v>1549</v>
      </c>
      <c r="G268" s="57" t="s">
        <v>1571</v>
      </c>
      <c r="H268" s="57" t="s">
        <v>349</v>
      </c>
      <c r="I268" s="152">
        <v>45427.0</v>
      </c>
      <c r="J268" s="153">
        <v>45786.0</v>
      </c>
      <c r="K268" s="61"/>
      <c r="L268" s="129" t="s">
        <v>1568</v>
      </c>
      <c r="M268" s="57" t="s">
        <v>1552</v>
      </c>
      <c r="N268" s="376" t="s">
        <v>1553</v>
      </c>
      <c r="O268" s="379">
        <v>6.0</v>
      </c>
      <c r="P268" s="377" t="s">
        <v>1555</v>
      </c>
      <c r="Q268" s="52" t="str">
        <f t="array" ref="Q268"> if(iserror(MATCH(V268, 'File Links'!C:C, 0)), "N/A", HYPERLINK(INDEX('File Links'!B:B, MATCH(P268, 'File Links'!C:C, 0))))</f>
        <v>https://drive.google.com/file/d/1_YiZ9ym1etIoqiYTErFO56HCfNn-rWNe/view?usp=drivesdk</v>
      </c>
      <c r="R268" s="57" t="s">
        <v>1556</v>
      </c>
      <c r="S268" s="57" t="s">
        <v>1557</v>
      </c>
      <c r="T268" s="61"/>
      <c r="U268" s="371">
        <v>6.0</v>
      </c>
      <c r="V268" s="112" t="str">
        <f t="shared" si="5"/>
        <v>10.31234--osf.io--68jft.pdf</v>
      </c>
      <c r="W268" s="57" t="s">
        <v>607</v>
      </c>
      <c r="X268" s="54" t="str">
        <f t="array" ref="X268"> if(iserror(MATCH(V268, 'File Links'!C:C, 0)), "N/A", HYPERLINK(INDEX('File Links'!B:B, MATCH(V268, 'File Links'!C:C, 0))))</f>
        <v>https://drive.google.com/file/d/1TqbYPD6TfJF6VjNMngYfnoD5Y8nHUi0O/view?usp=drivesdk</v>
      </c>
      <c r="Y268" s="61"/>
      <c r="Z268" s="57" t="s">
        <v>226</v>
      </c>
      <c r="AA268" s="57" t="s">
        <v>1558</v>
      </c>
      <c r="AB268" s="376" t="s">
        <v>1559</v>
      </c>
      <c r="AC268" s="376" t="s">
        <v>1572</v>
      </c>
      <c r="AD268" s="376" t="s">
        <v>1573</v>
      </c>
      <c r="AE268" s="378" t="s">
        <v>182</v>
      </c>
      <c r="AF268" s="379">
        <v>97.0</v>
      </c>
      <c r="AG268" s="379">
        <v>0.35</v>
      </c>
      <c r="AH268" s="595" t="s">
        <v>987</v>
      </c>
      <c r="AI268" s="378" t="s">
        <v>182</v>
      </c>
      <c r="AJ268" s="379">
        <v>0.05</v>
      </c>
      <c r="AK268" s="159" t="s">
        <v>135</v>
      </c>
      <c r="AL268" s="57" t="s">
        <v>186</v>
      </c>
      <c r="AM268" s="371" t="s">
        <v>137</v>
      </c>
      <c r="AN268" s="57" t="s">
        <v>138</v>
      </c>
      <c r="AO268" s="379">
        <v>321.0</v>
      </c>
      <c r="AP268" s="379">
        <v>-0.03</v>
      </c>
      <c r="AQ268" s="57" t="s">
        <v>987</v>
      </c>
      <c r="AR268" s="380" t="s">
        <v>307</v>
      </c>
      <c r="AS268" s="378" t="s">
        <v>138</v>
      </c>
      <c r="AT268" s="378" t="s">
        <v>138</v>
      </c>
      <c r="AU268" s="159" t="s">
        <v>186</v>
      </c>
      <c r="AV268" s="542" t="s">
        <v>137</v>
      </c>
      <c r="AW268" s="435" t="s">
        <v>1562</v>
      </c>
      <c r="AX268" s="594" t="s">
        <v>143</v>
      </c>
      <c r="AY268" s="61" t="str">
        <f>IFERROR(__xludf.DUMMYFUNCTION("vlookup(BB268,importrange(""https://docs.google.com/spreadsheets/d/1d2vevQ_7D_v35q4wCQ4RpQ_IPoTwEMB9Yp6ymwlPqew/edit?gid=984458430#gid=984458430"", ""'replication success'!A:K""), 11, FAlSE)"),"successful")</f>
        <v>successful</v>
      </c>
      <c r="AZ268" s="61" t="str">
        <f>IFERROR(__xludf.DUMMYFUNCTION("vlookup(BB268,importrange(""https://docs.google.com/spreadsheets/d/1d2vevQ_7D_v35q4wCQ4RpQ_IPoTwEMB9Yp6ymwlPqew/edit?gid=984458430#gid=984458430"",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68" s="61" t="str">
        <f>IFERROR(__xludf.DUMMYFUNCTION("vlookup(BB268,importrange(""https://docs.google.com/spreadsheets/d/1d2vevQ_7D_v35q4wCQ4RpQ_IPoTwEMB9Yp6ymwlPqew/edit?gid=984458430#gid=984458430"", ""'replication success'!A:M""), 13, FAlSE)"),"abstract")</f>
        <v>abstract</v>
      </c>
      <c r="BB268" s="61" t="str">
        <f>IFERROR(__xludf.DUMMYFUNCTION("REGEXREPLACE(G268, ""_[a-z]{1,2}$"", """")"),"additional_studies4")</f>
        <v>additional_studies4</v>
      </c>
      <c r="BC268" s="61"/>
      <c r="BD268" s="381" t="s">
        <v>1270</v>
      </c>
      <c r="BG268" s="71"/>
      <c r="BH268" s="71"/>
      <c r="BI268" s="71"/>
      <c r="BJ268" s="71"/>
      <c r="BK268" s="71"/>
      <c r="BL268" s="71"/>
      <c r="BM268" s="71"/>
      <c r="BN268" s="71"/>
      <c r="BO268" s="71"/>
      <c r="BP268" s="71"/>
      <c r="BQ268" s="71"/>
      <c r="BR268" s="71"/>
      <c r="BS268" s="71"/>
      <c r="BT268" s="71"/>
      <c r="BU268" s="71"/>
      <c r="BV268" s="71"/>
      <c r="BW268" s="71"/>
      <c r="BX268" s="71"/>
      <c r="BY268" s="71"/>
      <c r="BZ268" s="71"/>
      <c r="CA268" s="71"/>
      <c r="CB268" s="71"/>
      <c r="CC268" s="71"/>
      <c r="CD268" s="71"/>
      <c r="CE268" s="71"/>
      <c r="CF268" s="71"/>
      <c r="CG268" s="71"/>
      <c r="CH268" s="71"/>
      <c r="CI268" s="71"/>
      <c r="CJ268" s="71"/>
      <c r="CK268" s="71"/>
      <c r="CL268" s="71"/>
      <c r="CM268" s="71"/>
      <c r="CN268" s="71"/>
      <c r="CO268" s="71"/>
      <c r="CP268" s="71"/>
      <c r="CQ268" s="71"/>
      <c r="CR268" s="71"/>
      <c r="CS268" s="71"/>
      <c r="CT268" s="71"/>
      <c r="CU268" s="71"/>
      <c r="CV268" s="71"/>
      <c r="CW268" s="71"/>
      <c r="CX268" s="71"/>
      <c r="CY268" s="71"/>
      <c r="CZ268" s="71"/>
      <c r="DA268" s="71"/>
      <c r="DB268" s="71"/>
      <c r="DC268" s="71"/>
      <c r="DD268" s="71"/>
      <c r="DE268" s="71"/>
      <c r="DF268" s="71"/>
      <c r="DG268" s="71"/>
      <c r="DH268" s="71"/>
      <c r="DI268" s="71"/>
      <c r="DJ268" s="71"/>
      <c r="DK268" s="71"/>
      <c r="DL268" s="71"/>
    </row>
    <row r="269" ht="20.25" customHeight="1">
      <c r="A269" s="44">
        <v>269.0</v>
      </c>
      <c r="B269" s="325" t="s">
        <v>152</v>
      </c>
      <c r="C269" s="325" t="s">
        <v>115</v>
      </c>
      <c r="D269" s="325" t="s">
        <v>221</v>
      </c>
      <c r="E269" s="226"/>
      <c r="F269" s="265" t="s">
        <v>1549</v>
      </c>
      <c r="G269" s="47" t="s">
        <v>1574</v>
      </c>
      <c r="H269" s="360" t="s">
        <v>221</v>
      </c>
      <c r="I269" s="344">
        <v>45685.0</v>
      </c>
      <c r="J269" s="345">
        <v>45782.0</v>
      </c>
      <c r="K269" s="46"/>
      <c r="L269" s="56" t="s">
        <v>1575</v>
      </c>
      <c r="M269" s="360" t="s">
        <v>1552</v>
      </c>
      <c r="N269" s="360" t="s">
        <v>1553</v>
      </c>
      <c r="O269" s="371" t="s">
        <v>1554</v>
      </c>
      <c r="P269" s="382" t="s">
        <v>1555</v>
      </c>
      <c r="Q269" s="52" t="str">
        <f t="array" ref="Q269"> if(iserror(MATCH(V269, 'File Links'!C:C, 0)), "N/A", HYPERLINK(INDEX('File Links'!B:B, MATCH(P269, 'File Links'!C:C, 0))))</f>
        <v>https://drive.google.com/file/d/1_YiZ9ym1etIoqiYTErFO56HCfNn-rWNe/view?usp=drivesdk</v>
      </c>
      <c r="R269" s="360" t="s">
        <v>1556</v>
      </c>
      <c r="S269" s="57" t="s">
        <v>1557</v>
      </c>
      <c r="T269" s="46"/>
      <c r="U269" s="371" t="s">
        <v>1554</v>
      </c>
      <c r="V269" s="112" t="str">
        <f t="shared" si="5"/>
        <v>10.31234--osf.io--68jft.pdf</v>
      </c>
      <c r="W269" s="360" t="s">
        <v>164</v>
      </c>
      <c r="X269" s="54" t="str">
        <f t="array" ref="X269"> if(iserror(MATCH(V269, 'File Links'!C:C, 0)), "N/A", HYPERLINK(INDEX('File Links'!B:B, MATCH(V269, 'File Links'!C:C, 0))))</f>
        <v>https://drive.google.com/file/d/1TqbYPD6TfJF6VjNMngYfnoD5Y8nHUi0O/view?usp=drivesdk</v>
      </c>
      <c r="Y269" s="46"/>
      <c r="Z269" s="360" t="s">
        <v>1576</v>
      </c>
      <c r="AA269" s="360" t="s">
        <v>1577</v>
      </c>
      <c r="AB269" s="360" t="s">
        <v>1578</v>
      </c>
      <c r="AC269" s="384" t="s">
        <v>1560</v>
      </c>
      <c r="AD269" s="380" t="s">
        <v>1579</v>
      </c>
      <c r="AE269" s="378" t="s">
        <v>140</v>
      </c>
      <c r="AF269" s="357">
        <v>405.0</v>
      </c>
      <c r="AG269" s="565">
        <v>0.423</v>
      </c>
      <c r="AH269" s="360" t="s">
        <v>173</v>
      </c>
      <c r="AI269" s="380" t="s">
        <v>140</v>
      </c>
      <c r="AJ269" s="544" t="s">
        <v>138</v>
      </c>
      <c r="AK269" s="544" t="s">
        <v>138</v>
      </c>
      <c r="AL269" s="544" t="s">
        <v>138</v>
      </c>
      <c r="AM269" s="544" t="s">
        <v>138</v>
      </c>
      <c r="AN269" s="47" t="s">
        <v>138</v>
      </c>
      <c r="AO269" s="492">
        <v>321.0</v>
      </c>
      <c r="AP269" s="357">
        <v>0.57</v>
      </c>
      <c r="AQ269" s="360" t="s">
        <v>173</v>
      </c>
      <c r="AR269" s="380" t="s">
        <v>628</v>
      </c>
      <c r="AS269" s="378">
        <v>0.01</v>
      </c>
      <c r="AT269" s="380" t="s">
        <v>135</v>
      </c>
      <c r="AU269" s="481" t="s">
        <v>186</v>
      </c>
      <c r="AV269" s="360" t="s">
        <v>137</v>
      </c>
      <c r="AW269" s="596" t="s">
        <v>1580</v>
      </c>
      <c r="AX269" s="509" t="s">
        <v>143</v>
      </c>
      <c r="AY269" s="61" t="str">
        <f>IFERROR(__xludf.DUMMYFUNCTION("vlookup(BB269,importrange(""https://docs.google.com/spreadsheets/d/1d2vevQ_7D_v35q4wCQ4RpQ_IPoTwEMB9Yp6ymwlPqew/edit?gid=984458430#gid=984458430"", ""'replication success'!A:K""), 11, FAlSE)"),"successful")</f>
        <v>successful</v>
      </c>
      <c r="AZ269" s="61" t="str">
        <f>IFERROR(__xludf.DUMMYFUNCTION("vlookup(BB269,importrange(""https://docs.google.com/spreadsheets/d/1d2vevQ_7D_v35q4wCQ4RpQ_IPoTwEMB9Yp6ymwlPqew/edit?gid=984458430#gid=984458430"",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69" s="61" t="str">
        <f>IFERROR(__xludf.DUMMYFUNCTION("vlookup(BB269,importrange(""https://docs.google.com/spreadsheets/d/1d2vevQ_7D_v35q4wCQ4RpQ_IPoTwEMB9Yp6ymwlPqew/edit?gid=984458430#gid=984458430"", ""'replication success'!A:M""), 13, FAlSE)"),"abstract")</f>
        <v>abstract</v>
      </c>
      <c r="BB269" s="61" t="str">
        <f>IFERROR(__xludf.DUMMYFUNCTION("REGEXREPLACE(G269, ""_[a-z]{1,2}$"", """")"),"additional_studies4")</f>
        <v>additional_studies4</v>
      </c>
      <c r="BD269" s="381" t="s">
        <v>1270</v>
      </c>
      <c r="BG269" s="71"/>
      <c r="BH269" s="71"/>
      <c r="BI269" s="71"/>
      <c r="BJ269" s="71"/>
      <c r="BK269" s="71"/>
      <c r="BL269" s="71"/>
      <c r="BM269" s="71"/>
      <c r="BN269" s="71"/>
      <c r="BO269" s="71"/>
      <c r="BP269" s="71"/>
      <c r="BQ269" s="71"/>
      <c r="BR269" s="71"/>
      <c r="BS269" s="71"/>
      <c r="BT269" s="71"/>
      <c r="BU269" s="71"/>
      <c r="BV269" s="71"/>
      <c r="BW269" s="71"/>
      <c r="BX269" s="71"/>
      <c r="BY269" s="71"/>
      <c r="BZ269" s="71"/>
      <c r="CA269" s="71"/>
      <c r="CB269" s="71"/>
      <c r="CC269" s="71"/>
      <c r="CD269" s="71"/>
      <c r="CE269" s="71"/>
      <c r="CF269" s="71"/>
      <c r="CG269" s="71"/>
      <c r="CH269" s="71"/>
      <c r="CI269" s="71"/>
      <c r="CJ269" s="71"/>
      <c r="CK269" s="71"/>
      <c r="CL269" s="71"/>
      <c r="CM269" s="71"/>
      <c r="CN269" s="71"/>
      <c r="CO269" s="71"/>
      <c r="CP269" s="71"/>
      <c r="CQ269" s="71"/>
      <c r="CR269" s="71"/>
      <c r="CS269" s="71"/>
      <c r="CT269" s="71"/>
      <c r="CU269" s="71"/>
      <c r="CV269" s="71"/>
      <c r="CW269" s="71"/>
      <c r="CX269" s="71"/>
      <c r="CY269" s="71"/>
      <c r="CZ269" s="71"/>
      <c r="DA269" s="71"/>
      <c r="DB269" s="71"/>
      <c r="DC269" s="71"/>
      <c r="DD269" s="71"/>
      <c r="DE269" s="71"/>
      <c r="DF269" s="71"/>
      <c r="DG269" s="71"/>
      <c r="DH269" s="71"/>
      <c r="DI269" s="71"/>
      <c r="DJ269" s="71"/>
      <c r="DK269" s="71"/>
      <c r="DL269" s="71"/>
    </row>
    <row r="270" ht="20.25" customHeight="1">
      <c r="A270" s="44">
        <v>270.0</v>
      </c>
      <c r="B270" s="325" t="s">
        <v>152</v>
      </c>
      <c r="C270" s="325" t="s">
        <v>115</v>
      </c>
      <c r="D270" s="325" t="s">
        <v>221</v>
      </c>
      <c r="E270" s="226"/>
      <c r="F270" s="265" t="s">
        <v>1549</v>
      </c>
      <c r="G270" s="343" t="s">
        <v>1563</v>
      </c>
      <c r="H270" s="360" t="s">
        <v>221</v>
      </c>
      <c r="I270" s="344">
        <v>45685.0</v>
      </c>
      <c r="J270" s="153">
        <v>45786.0</v>
      </c>
      <c r="K270" s="46"/>
      <c r="L270" s="56" t="s">
        <v>1581</v>
      </c>
      <c r="M270" s="509" t="s">
        <v>1582</v>
      </c>
      <c r="N270" s="360" t="s">
        <v>1553</v>
      </c>
      <c r="O270" s="371">
        <v>6.0</v>
      </c>
      <c r="P270" s="382" t="s">
        <v>1555</v>
      </c>
      <c r="Q270" s="52" t="str">
        <f t="array" ref="Q270"> if(iserror(MATCH(V270, 'File Links'!C:C, 0)), "N/A", HYPERLINK(INDEX('File Links'!B:B, MATCH(P270, 'File Links'!C:C, 0))))</f>
        <v>https://drive.google.com/file/d/1_YiZ9ym1etIoqiYTErFO56HCfNn-rWNe/view?usp=drivesdk</v>
      </c>
      <c r="R270" s="360" t="s">
        <v>1556</v>
      </c>
      <c r="S270" s="57" t="s">
        <v>1557</v>
      </c>
      <c r="T270" s="46"/>
      <c r="U270" s="371">
        <v>6.0</v>
      </c>
      <c r="V270" s="112" t="str">
        <f t="shared" si="5"/>
        <v>10.31234--osf.io--68jft.pdf</v>
      </c>
      <c r="W270" s="360" t="s">
        <v>164</v>
      </c>
      <c r="X270" s="54" t="str">
        <f t="array" ref="X270"> if(iserror(MATCH(V270, 'File Links'!C:C, 0)), "N/A", HYPERLINK(INDEX('File Links'!B:B, MATCH(V270, 'File Links'!C:C, 0))))</f>
        <v>https://drive.google.com/file/d/1TqbYPD6TfJF6VjNMngYfnoD5Y8nHUi0O/view?usp=drivesdk</v>
      </c>
      <c r="Y270" s="46"/>
      <c r="Z270" s="360" t="s">
        <v>1576</v>
      </c>
      <c r="AA270" s="360" t="s">
        <v>1577</v>
      </c>
      <c r="AB270" s="360" t="s">
        <v>1578</v>
      </c>
      <c r="AC270" s="380" t="s">
        <v>1583</v>
      </c>
      <c r="AD270" s="380" t="s">
        <v>1584</v>
      </c>
      <c r="AE270" s="378" t="s">
        <v>627</v>
      </c>
      <c r="AF270" s="496">
        <v>97.0</v>
      </c>
      <c r="AG270" s="371">
        <v>0.48</v>
      </c>
      <c r="AH270" s="343" t="s">
        <v>173</v>
      </c>
      <c r="AI270" s="378" t="s">
        <v>627</v>
      </c>
      <c r="AJ270" s="347">
        <v>0.023</v>
      </c>
      <c r="AK270" s="47" t="s">
        <v>172</v>
      </c>
      <c r="AL270" s="383" t="s">
        <v>186</v>
      </c>
      <c r="AM270" s="360" t="s">
        <v>137</v>
      </c>
      <c r="AN270" s="47" t="s">
        <v>138</v>
      </c>
      <c r="AO270" s="357">
        <v>321.0</v>
      </c>
      <c r="AP270" s="357">
        <v>0.36</v>
      </c>
      <c r="AQ270" s="360" t="s">
        <v>173</v>
      </c>
      <c r="AR270" s="380" t="s">
        <v>632</v>
      </c>
      <c r="AS270" s="378">
        <v>0.002</v>
      </c>
      <c r="AT270" s="481" t="s">
        <v>135</v>
      </c>
      <c r="AU270" s="481" t="s">
        <v>186</v>
      </c>
      <c r="AV270" s="360" t="s">
        <v>137</v>
      </c>
      <c r="AW270" s="596" t="s">
        <v>1580</v>
      </c>
      <c r="AX270" s="509" t="s">
        <v>143</v>
      </c>
      <c r="AY270" s="61" t="str">
        <f>IFERROR(__xludf.DUMMYFUNCTION("vlookup(BB270,importrange(""https://docs.google.com/spreadsheets/d/1d2vevQ_7D_v35q4wCQ4RpQ_IPoTwEMB9Yp6ymwlPqew/edit?gid=984458430#gid=984458430"", ""'replication success'!A:K""), 11, FAlSE)"),"successful")</f>
        <v>successful</v>
      </c>
      <c r="AZ270" s="61" t="str">
        <f>IFERROR(__xludf.DUMMYFUNCTION("vlookup(BB270,importrange(""https://docs.google.com/spreadsheets/d/1d2vevQ_7D_v35q4wCQ4RpQ_IPoTwEMB9Yp6ymwlPqew/edit?gid=984458430#gid=984458430"", ""'replication success'!A:M""), 12, FAlSE)"),"Two high-powered close replications of studies 1c and 6 by Fath and Kay provide further evidence for the claim that taller organizational structures are associated with greater perceived potential for cor-
ruption, and that these perceptions may compromis"&amp;"e subsequent trust-related outcomes. ")</f>
        <v>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 </v>
      </c>
      <c r="BA270" s="61" t="str">
        <f>IFERROR(__xludf.DUMMYFUNCTION("vlookup(BB270,importrange(""https://docs.google.com/spreadsheets/d/1d2vevQ_7D_v35q4wCQ4RpQ_IPoTwEMB9Yp6ymwlPqew/edit?gid=984458430#gid=984458430"", ""'replication success'!A:M""), 13, FAlSE)"),"abstract")</f>
        <v>abstract</v>
      </c>
      <c r="BB270" s="61" t="str">
        <f>IFERROR(__xludf.DUMMYFUNCTION("REGEXREPLACE(G270, ""_[a-z]{1,2}$"", """")"),"additional_studies4")</f>
        <v>additional_studies4</v>
      </c>
      <c r="BD270" s="381" t="s">
        <v>1270</v>
      </c>
      <c r="BG270" s="71"/>
      <c r="BH270" s="71"/>
      <c r="BI270" s="71"/>
      <c r="BJ270" s="71"/>
      <c r="BK270" s="71"/>
      <c r="BL270" s="71"/>
      <c r="BM270" s="71"/>
      <c r="BN270" s="71"/>
      <c r="BO270" s="71"/>
      <c r="BP270" s="71"/>
      <c r="BQ270" s="71"/>
      <c r="BR270" s="71"/>
      <c r="BS270" s="71"/>
      <c r="BT270" s="71"/>
      <c r="BU270" s="71"/>
      <c r="BV270" s="71"/>
      <c r="BW270" s="71"/>
      <c r="BX270" s="71"/>
      <c r="BY270" s="71"/>
      <c r="BZ270" s="71"/>
      <c r="CA270" s="71"/>
      <c r="CB270" s="71"/>
      <c r="CC270" s="71"/>
      <c r="CD270" s="71"/>
      <c r="CE270" s="71"/>
      <c r="CF270" s="71"/>
      <c r="CG270" s="71"/>
      <c r="CH270" s="71"/>
      <c r="CI270" s="71"/>
      <c r="CJ270" s="71"/>
      <c r="CK270" s="71"/>
      <c r="CL270" s="71"/>
      <c r="CM270" s="71"/>
      <c r="CN270" s="71"/>
      <c r="CO270" s="71"/>
      <c r="CP270" s="71"/>
      <c r="CQ270" s="71"/>
      <c r="CR270" s="71"/>
      <c r="CS270" s="71"/>
      <c r="CT270" s="71"/>
      <c r="CU270" s="71"/>
      <c r="CV270" s="71"/>
      <c r="CW270" s="71"/>
      <c r="CX270" s="71"/>
      <c r="CY270" s="71"/>
      <c r="CZ270" s="71"/>
      <c r="DA270" s="71"/>
      <c r="DB270" s="71"/>
      <c r="DC270" s="71"/>
      <c r="DD270" s="71"/>
      <c r="DE270" s="71"/>
      <c r="DF270" s="71"/>
      <c r="DG270" s="71"/>
      <c r="DH270" s="71"/>
      <c r="DI270" s="71"/>
      <c r="DJ270" s="71"/>
      <c r="DK270" s="71"/>
      <c r="DL270" s="71"/>
    </row>
    <row r="271" ht="20.25" customHeight="1">
      <c r="A271" s="44">
        <v>271.0</v>
      </c>
      <c r="B271" s="597" t="s">
        <v>114</v>
      </c>
      <c r="C271" s="597" t="s">
        <v>115</v>
      </c>
      <c r="D271" s="597" t="s">
        <v>1234</v>
      </c>
      <c r="E271" s="598"/>
      <c r="F271" s="599" t="s">
        <v>1585</v>
      </c>
      <c r="G271" s="585" t="s">
        <v>1586</v>
      </c>
      <c r="H271" s="585" t="s">
        <v>1237</v>
      </c>
      <c r="I271" s="600">
        <v>45641.0</v>
      </c>
      <c r="J271" s="601">
        <v>45670.0</v>
      </c>
      <c r="K271" s="602"/>
      <c r="L271" s="603" t="s">
        <v>1587</v>
      </c>
      <c r="M271" s="585" t="s">
        <v>1588</v>
      </c>
      <c r="N271" s="604" t="s">
        <v>1589</v>
      </c>
      <c r="O271" s="605">
        <v>1.0</v>
      </c>
      <c r="P271" s="606" t="str">
        <f>SUBSTITUTE(LOWER(N271), "/", "--") &amp;  ".pdf"</f>
        <v>thekeep.eiu.edu--theses--4783.pdf</v>
      </c>
      <c r="Q271" s="52" t="str">
        <f t="array" ref="Q271"> if(iserror(MATCH(V271, 'File Links'!C:C, 0)), "N/A", HYPERLINK(INDEX('File Links'!B:B, MATCH(P271, 'File Links'!C:C, 0))))</f>
        <v>https://drive.google.com/file/d/13W9ZIRuUntMYZ1V5eqz7utx5OSyGY3y3/view?usp=drivesdk</v>
      </c>
      <c r="R271" s="585" t="s">
        <v>1590</v>
      </c>
      <c r="S271" s="607" t="s">
        <v>1591</v>
      </c>
      <c r="T271" s="608" t="s">
        <v>1592</v>
      </c>
      <c r="U271" s="609">
        <v>1.0</v>
      </c>
      <c r="V271" s="62" t="s">
        <v>1593</v>
      </c>
      <c r="W271" s="585" t="s">
        <v>1594</v>
      </c>
      <c r="X271" s="54" t="str">
        <f t="array" ref="X271"> if(iserror(MATCH(V271, 'File Links'!C:C, 0)), "N/A", HYPERLINK(INDEX('File Links'!B:B, MATCH(V271, 'File Links'!C:C, 0))))</f>
        <v>https://drive.google.com/file/d/1Fg206MUtjoN9d31kEAQ7bIDHvbUqwyGY/view?usp=drivesdk</v>
      </c>
      <c r="Y271" s="602"/>
      <c r="Z271" s="585" t="s">
        <v>241</v>
      </c>
      <c r="AA271" s="602"/>
      <c r="AB271" s="585" t="s">
        <v>138</v>
      </c>
      <c r="AC271" s="602"/>
      <c r="AD271" s="602"/>
      <c r="AE271" s="602"/>
      <c r="AF271" s="605">
        <v>101.0</v>
      </c>
      <c r="AG271" s="602"/>
      <c r="AH271" s="610"/>
      <c r="AI271" s="602"/>
      <c r="AJ271" s="602"/>
      <c r="AK271" s="599"/>
      <c r="AL271" s="602"/>
      <c r="AM271" s="602"/>
      <c r="AN271" s="47" t="s">
        <v>138</v>
      </c>
      <c r="AO271" s="605">
        <v>103.0</v>
      </c>
      <c r="AP271" s="602"/>
      <c r="AQ271" s="602"/>
      <c r="AR271" s="602"/>
      <c r="AS271" s="602"/>
      <c r="AT271" s="599"/>
      <c r="AU271" s="599"/>
      <c r="AV271" s="599"/>
      <c r="AW271" s="599"/>
      <c r="AX271" s="599"/>
      <c r="AY271" s="61" t="str">
        <f>IFERROR(__xludf.DUMMYFUNCTION("vlookup(BB271,importrange(""https://docs.google.com/spreadsheets/d/1d2vevQ_7D_v35q4wCQ4RpQ_IPoTwEMB9Yp6ymwlPqew/edit?gid=984458430#gid=984458430"", ""'replication success'!A:K""), 11, FAlSE)"),"successful")</f>
        <v>successful</v>
      </c>
      <c r="AZ271" s="61" t="str">
        <f>IFERROR(__xludf.DUMMYFUNCTION("vlookup(BB271,importrange(""https://docs.google.com/spreadsheets/d/1d2vevQ_7D_v35q4wCQ4RpQ_IPoTwEMB9Yp6ymwlPqew/edit?gid=984458430#gid=984458430"", ""'replication success'!A:M""), 12, FAlSE)"),"Results indicated that construct validity was evident. ")</f>
        <v>Results indicated that construct validity was evident. </v>
      </c>
      <c r="BA271" s="61" t="str">
        <f>IFERROR(__xludf.DUMMYFUNCTION("vlookup(BB271,importrange(""https://docs.google.com/spreadsheets/d/1d2vevQ_7D_v35q4wCQ4RpQ_IPoTwEMB9Yp6ymwlPqew/edit?gid=984458430#gid=984458430"", ""'replication success'!A:M""), 13, FAlSE)"),"abstract")</f>
        <v>abstract</v>
      </c>
      <c r="BB271" s="61" t="str">
        <f>IFERROR(__xludf.DUMMYFUNCTION("REGEXREPLACE(G271, ""_[a-z]{1,2}$"", """")"),"additional_studies40")</f>
        <v>additional_studies40</v>
      </c>
      <c r="BC271" s="611" t="s">
        <v>1587</v>
      </c>
      <c r="BD271" s="124" t="s">
        <v>144</v>
      </c>
      <c r="BG271" s="71"/>
      <c r="BH271" s="71"/>
      <c r="BI271" s="71"/>
      <c r="BJ271" s="71"/>
      <c r="BK271" s="71"/>
      <c r="BL271" s="71"/>
      <c r="BM271" s="71"/>
      <c r="BN271" s="71"/>
      <c r="BO271" s="71"/>
      <c r="BP271" s="71"/>
      <c r="BQ271" s="71"/>
      <c r="BR271" s="71"/>
      <c r="BS271" s="71"/>
      <c r="BT271" s="71"/>
      <c r="BU271" s="71"/>
      <c r="BV271" s="71"/>
      <c r="BW271" s="71"/>
      <c r="BX271" s="71"/>
      <c r="BY271" s="71"/>
      <c r="BZ271" s="71"/>
      <c r="CA271" s="71"/>
      <c r="CB271" s="71"/>
      <c r="CC271" s="71"/>
      <c r="CD271" s="71"/>
      <c r="CE271" s="71"/>
      <c r="CF271" s="71"/>
      <c r="CG271" s="71"/>
      <c r="CH271" s="71"/>
      <c r="CI271" s="71"/>
      <c r="CJ271" s="71"/>
      <c r="CK271" s="71"/>
      <c r="CL271" s="71"/>
      <c r="CM271" s="71"/>
      <c r="CN271" s="71"/>
      <c r="CO271" s="71"/>
      <c r="CP271" s="71"/>
      <c r="CQ271" s="71"/>
      <c r="CR271" s="71"/>
      <c r="CS271" s="71"/>
      <c r="CT271" s="71"/>
      <c r="CU271" s="71"/>
      <c r="CV271" s="71"/>
      <c r="CW271" s="71"/>
      <c r="CX271" s="71"/>
      <c r="CY271" s="71"/>
      <c r="CZ271" s="71"/>
      <c r="DA271" s="71"/>
      <c r="DB271" s="71"/>
      <c r="DC271" s="71"/>
      <c r="DD271" s="71"/>
      <c r="DE271" s="71"/>
      <c r="DF271" s="71"/>
      <c r="DG271" s="71"/>
      <c r="DH271" s="71"/>
      <c r="DI271" s="71"/>
      <c r="DJ271" s="71"/>
      <c r="DK271" s="71"/>
      <c r="DL271" s="71"/>
    </row>
    <row r="272" ht="20.25" customHeight="1">
      <c r="A272" s="44">
        <v>272.0</v>
      </c>
      <c r="B272" s="612" t="s">
        <v>152</v>
      </c>
      <c r="C272" s="612" t="s">
        <v>115</v>
      </c>
      <c r="D272" s="612" t="s">
        <v>286</v>
      </c>
      <c r="E272" s="613"/>
      <c r="F272" s="614" t="s">
        <v>1585</v>
      </c>
      <c r="G272" s="588" t="s">
        <v>1586</v>
      </c>
      <c r="H272" s="614" t="s">
        <v>144</v>
      </c>
      <c r="I272" s="615">
        <v>45670.0</v>
      </c>
      <c r="J272" s="601">
        <v>45670.0</v>
      </c>
      <c r="K272" s="614"/>
      <c r="L272" s="616"/>
      <c r="M272" s="617" t="s">
        <v>1595</v>
      </c>
      <c r="N272" s="618"/>
      <c r="O272" s="616">
        <v>1.0</v>
      </c>
      <c r="P272" s="614" t="s">
        <v>1596</v>
      </c>
      <c r="Q272" s="52" t="str">
        <f t="array" ref="Q272"> if(iserror(MATCH(V272, 'File Links'!C:C, 0)), "N/A", HYPERLINK(INDEX('File Links'!B:B, MATCH(P272, 'File Links'!C:C, 0))))</f>
        <v>https://drive.google.com/file/d/13W9ZIRuUntMYZ1V5eqz7utx5OSyGY3y3/view?usp=drivesdk</v>
      </c>
      <c r="R272" s="619" t="s">
        <v>1597</v>
      </c>
      <c r="S272" s="607" t="s">
        <v>1591</v>
      </c>
      <c r="T272" s="617" t="s">
        <v>1598</v>
      </c>
      <c r="U272" s="133">
        <v>1.0</v>
      </c>
      <c r="V272" s="62" t="s">
        <v>1593</v>
      </c>
      <c r="W272" s="614" t="s">
        <v>1599</v>
      </c>
      <c r="X272" s="54" t="str">
        <f t="array" ref="X272"> if(iserror(MATCH(V272, 'File Links'!C:C, 0)), "N/A", HYPERLINK(INDEX('File Links'!B:B, MATCH(V272, 'File Links'!C:C, 0))))</f>
        <v>https://drive.google.com/file/d/1Fg206MUtjoN9d31kEAQ7bIDHvbUqwyGY/view?usp=drivesdk</v>
      </c>
      <c r="Y272" s="618"/>
      <c r="Z272" s="614" t="s">
        <v>1600</v>
      </c>
      <c r="AA272" s="614" t="s">
        <v>1601</v>
      </c>
      <c r="AB272" s="618" t="s">
        <v>1602</v>
      </c>
      <c r="AC272" s="614" t="s">
        <v>1603</v>
      </c>
      <c r="AD272" s="620" t="s">
        <v>1604</v>
      </c>
      <c r="AE272" s="621">
        <v>52.0</v>
      </c>
      <c r="AF272" s="621">
        <v>101.0</v>
      </c>
      <c r="AG272" s="622">
        <v>0.79</v>
      </c>
      <c r="AH272" s="620" t="s">
        <v>215</v>
      </c>
      <c r="AI272" s="620" t="s">
        <v>1605</v>
      </c>
      <c r="AJ272" s="622">
        <v>0.01</v>
      </c>
      <c r="AK272" s="159" t="s">
        <v>135</v>
      </c>
      <c r="AL272" s="588" t="s">
        <v>186</v>
      </c>
      <c r="AM272" s="618" t="s">
        <v>137</v>
      </c>
      <c r="AN272" s="219" t="s">
        <v>138</v>
      </c>
      <c r="AO272" s="621">
        <v>103.0</v>
      </c>
      <c r="AP272" s="622">
        <v>0.76</v>
      </c>
      <c r="AQ272" s="620" t="s">
        <v>215</v>
      </c>
      <c r="AR272" s="623">
        <v>63.0</v>
      </c>
      <c r="AS272" s="622">
        <v>0.001</v>
      </c>
      <c r="AT272" s="159" t="s">
        <v>135</v>
      </c>
      <c r="AU272" s="614" t="s">
        <v>186</v>
      </c>
      <c r="AV272" s="618" t="s">
        <v>137</v>
      </c>
      <c r="AW272" s="62" t="s">
        <v>138</v>
      </c>
      <c r="AX272" s="618" t="s">
        <v>143</v>
      </c>
      <c r="AY272" s="61" t="str">
        <f>IFERROR(__xludf.DUMMYFUNCTION("vlookup(BB272,importrange(""https://docs.google.com/spreadsheets/d/1d2vevQ_7D_v35q4wCQ4RpQ_IPoTwEMB9Yp6ymwlPqew/edit?gid=984458430#gid=984458430"", ""'replication success'!A:K""), 11, FAlSE)"),"successful")</f>
        <v>successful</v>
      </c>
      <c r="AZ272" s="61" t="str">
        <f>IFERROR(__xludf.DUMMYFUNCTION("vlookup(BB272,importrange(""https://docs.google.com/spreadsheets/d/1d2vevQ_7D_v35q4wCQ4RpQ_IPoTwEMB9Yp6ymwlPqew/edit?gid=984458430#gid=984458430"", ""'replication success'!A:M""), 12, FAlSE)"),"Results indicated that construct validity was evident. ")</f>
        <v>Results indicated that construct validity was evident. </v>
      </c>
      <c r="BA272" s="61" t="str">
        <f>IFERROR(__xludf.DUMMYFUNCTION("vlookup(BB272,importrange(""https://docs.google.com/spreadsheets/d/1d2vevQ_7D_v35q4wCQ4RpQ_IPoTwEMB9Yp6ymwlPqew/edit?gid=984458430#gid=984458430"", ""'replication success'!A:M""), 13, FAlSE)"),"abstract")</f>
        <v>abstract</v>
      </c>
      <c r="BB272" s="61" t="str">
        <f>IFERROR(__xludf.DUMMYFUNCTION("REGEXREPLACE(G272, ""_[a-z]{1,2}$"", """")"),"additional_studies40")</f>
        <v>additional_studies40</v>
      </c>
      <c r="BC272" s="611"/>
      <c r="BD272" s="124" t="s">
        <v>144</v>
      </c>
      <c r="BG272" s="71"/>
      <c r="BH272" s="71"/>
      <c r="BI272" s="71"/>
      <c r="BJ272" s="71"/>
      <c r="BK272" s="71"/>
      <c r="BL272" s="71"/>
      <c r="BM272" s="71"/>
      <c r="BN272" s="71"/>
      <c r="BO272" s="71"/>
      <c r="BP272" s="71"/>
      <c r="BQ272" s="71"/>
      <c r="BR272" s="71"/>
      <c r="BS272" s="71"/>
      <c r="BT272" s="71"/>
      <c r="BU272" s="71"/>
      <c r="BV272" s="71"/>
      <c r="BW272" s="71"/>
      <c r="BX272" s="71"/>
      <c r="BY272" s="71"/>
      <c r="BZ272" s="71"/>
      <c r="CA272" s="71"/>
      <c r="CB272" s="71"/>
      <c r="CC272" s="71"/>
      <c r="CD272" s="71"/>
      <c r="CE272" s="71"/>
      <c r="CF272" s="71"/>
      <c r="CG272" s="71"/>
      <c r="CH272" s="71"/>
      <c r="CI272" s="71"/>
      <c r="CJ272" s="71"/>
      <c r="CK272" s="71"/>
      <c r="CL272" s="71"/>
      <c r="CM272" s="71"/>
      <c r="CN272" s="71"/>
      <c r="CO272" s="71"/>
      <c r="CP272" s="71"/>
      <c r="CQ272" s="71"/>
      <c r="CR272" s="71"/>
      <c r="CS272" s="71"/>
      <c r="CT272" s="71"/>
      <c r="CU272" s="71"/>
      <c r="CV272" s="71"/>
      <c r="CW272" s="71"/>
      <c r="CX272" s="71"/>
      <c r="CY272" s="71"/>
      <c r="CZ272" s="71"/>
      <c r="DA272" s="71"/>
      <c r="DB272" s="71"/>
      <c r="DC272" s="71"/>
      <c r="DD272" s="71"/>
      <c r="DE272" s="71"/>
      <c r="DF272" s="71"/>
      <c r="DG272" s="71"/>
      <c r="DH272" s="71"/>
      <c r="DI272" s="71"/>
      <c r="DJ272" s="71"/>
      <c r="DK272" s="71"/>
      <c r="DL272" s="71"/>
    </row>
    <row r="273" ht="20.25" customHeight="1">
      <c r="A273" s="44">
        <v>273.0</v>
      </c>
      <c r="B273" s="612" t="s">
        <v>152</v>
      </c>
      <c r="C273" s="612" t="s">
        <v>115</v>
      </c>
      <c r="D273" s="612" t="s">
        <v>286</v>
      </c>
      <c r="E273" s="613"/>
      <c r="F273" s="614" t="s">
        <v>1585</v>
      </c>
      <c r="G273" s="588" t="s">
        <v>1586</v>
      </c>
      <c r="H273" s="614" t="s">
        <v>1606</v>
      </c>
      <c r="I273" s="624">
        <v>45634.0</v>
      </c>
      <c r="J273" s="601">
        <v>45670.0</v>
      </c>
      <c r="K273" s="614" t="s">
        <v>1607</v>
      </c>
      <c r="L273" s="616"/>
      <c r="M273" s="617" t="s">
        <v>1608</v>
      </c>
      <c r="N273" s="618"/>
      <c r="O273" s="616">
        <v>1.0</v>
      </c>
      <c r="P273" s="614" t="s">
        <v>1596</v>
      </c>
      <c r="Q273" s="52" t="str">
        <f t="array" ref="Q273"> if(iserror(MATCH(V273, 'File Links'!C:C, 0)), "N/A", HYPERLINK(INDEX('File Links'!B:B, MATCH(P273, 'File Links'!C:C, 0))))</f>
        <v>https://drive.google.com/file/d/13W9ZIRuUntMYZ1V5eqz7utx5OSyGY3y3/view?usp=drivesdk</v>
      </c>
      <c r="R273" s="619" t="s">
        <v>1609</v>
      </c>
      <c r="S273" s="607" t="s">
        <v>1591</v>
      </c>
      <c r="T273" s="617" t="s">
        <v>1598</v>
      </c>
      <c r="U273" s="133">
        <v>1.0</v>
      </c>
      <c r="V273" s="62" t="s">
        <v>1593</v>
      </c>
      <c r="W273" s="614" t="s">
        <v>1599</v>
      </c>
      <c r="X273" s="54" t="str">
        <f t="array" ref="X273"> if(iserror(MATCH(V273, 'File Links'!C:C, 0)), "N/A", HYPERLINK(INDEX('File Links'!B:B, MATCH(V273, 'File Links'!C:C, 0))))</f>
        <v>https://drive.google.com/file/d/1Fg206MUtjoN9d31kEAQ7bIDHvbUqwyGY/view?usp=drivesdk</v>
      </c>
      <c r="Y273" s="618"/>
      <c r="Z273" s="614" t="s">
        <v>1600</v>
      </c>
      <c r="AA273" s="614" t="s">
        <v>1601</v>
      </c>
      <c r="AB273" s="618" t="s">
        <v>1602</v>
      </c>
      <c r="AC273" s="614" t="s">
        <v>1603</v>
      </c>
      <c r="AD273" s="620" t="s">
        <v>1610</v>
      </c>
      <c r="AE273" s="622">
        <v>57.0</v>
      </c>
      <c r="AF273" s="621">
        <v>101.0</v>
      </c>
      <c r="AG273" s="621">
        <v>0.18</v>
      </c>
      <c r="AH273" s="625" t="s">
        <v>173</v>
      </c>
      <c r="AI273" s="620" t="s">
        <v>1611</v>
      </c>
      <c r="AJ273" s="626">
        <v>0.0717</v>
      </c>
      <c r="AK273" s="614" t="s">
        <v>172</v>
      </c>
      <c r="AL273" s="588" t="s">
        <v>186</v>
      </c>
      <c r="AM273" s="618" t="s">
        <v>137</v>
      </c>
      <c r="AN273" s="219" t="s">
        <v>138</v>
      </c>
      <c r="AO273" s="621">
        <v>103.0</v>
      </c>
      <c r="AP273" s="621">
        <v>0.25</v>
      </c>
      <c r="AQ273" s="614" t="s">
        <v>173</v>
      </c>
      <c r="AR273" s="614" t="s">
        <v>1612</v>
      </c>
      <c r="AS273" s="621">
        <v>0.01</v>
      </c>
      <c r="AT273" s="614" t="s">
        <v>172</v>
      </c>
      <c r="AU273" s="614" t="s">
        <v>186</v>
      </c>
      <c r="AV273" s="618" t="s">
        <v>137</v>
      </c>
      <c r="AW273" s="62" t="s">
        <v>138</v>
      </c>
      <c r="AX273" s="618" t="s">
        <v>143</v>
      </c>
      <c r="AY273" s="61" t="str">
        <f>IFERROR(__xludf.DUMMYFUNCTION("vlookup(BB273,importrange(""https://docs.google.com/spreadsheets/d/1d2vevQ_7D_v35q4wCQ4RpQ_IPoTwEMB9Yp6ymwlPqew/edit?gid=984458430#gid=984458430"", ""'replication success'!A:K""), 11, FAlSE)"),"successful")</f>
        <v>successful</v>
      </c>
      <c r="AZ273" s="61" t="str">
        <f>IFERROR(__xludf.DUMMYFUNCTION("vlookup(BB273,importrange(""https://docs.google.com/spreadsheets/d/1d2vevQ_7D_v35q4wCQ4RpQ_IPoTwEMB9Yp6ymwlPqew/edit?gid=984458430#gid=984458430"", ""'replication success'!A:M""), 12, FAlSE)"),"Results indicated that construct validity was evident. ")</f>
        <v>Results indicated that construct validity was evident. </v>
      </c>
      <c r="BA273" s="61" t="str">
        <f>IFERROR(__xludf.DUMMYFUNCTION("vlookup(BB273,importrange(""https://docs.google.com/spreadsheets/d/1d2vevQ_7D_v35q4wCQ4RpQ_IPoTwEMB9Yp6ymwlPqew/edit?gid=984458430#gid=984458430"", ""'replication success'!A:M""), 13, FAlSE)"),"abstract")</f>
        <v>abstract</v>
      </c>
      <c r="BB273" s="61" t="str">
        <f>IFERROR(__xludf.DUMMYFUNCTION("REGEXREPLACE(G273, ""_[a-z]{1,2}$"", """")"),"additional_studies40")</f>
        <v>additional_studies40</v>
      </c>
      <c r="BC273" s="611"/>
      <c r="BD273" s="124" t="s">
        <v>144</v>
      </c>
    </row>
    <row r="274" ht="20.25" customHeight="1">
      <c r="A274" s="44">
        <v>274.0</v>
      </c>
      <c r="B274" s="612" t="s">
        <v>152</v>
      </c>
      <c r="C274" s="612" t="s">
        <v>115</v>
      </c>
      <c r="D274" s="612" t="s">
        <v>286</v>
      </c>
      <c r="E274" s="613"/>
      <c r="F274" s="614" t="s">
        <v>1585</v>
      </c>
      <c r="G274" s="588" t="s">
        <v>1613</v>
      </c>
      <c r="H274" s="614" t="s">
        <v>1606</v>
      </c>
      <c r="I274" s="624">
        <v>45634.0</v>
      </c>
      <c r="J274" s="601">
        <v>45670.0</v>
      </c>
      <c r="K274" s="614" t="s">
        <v>1607</v>
      </c>
      <c r="L274" s="616"/>
      <c r="M274" s="617" t="s">
        <v>1614</v>
      </c>
      <c r="N274" s="618"/>
      <c r="O274" s="616">
        <v>1.0</v>
      </c>
      <c r="P274" s="614" t="s">
        <v>1596</v>
      </c>
      <c r="Q274" s="52" t="str">
        <f t="array" ref="Q274"> if(iserror(MATCH(V274, 'File Links'!C:C, 0)), "N/A", HYPERLINK(INDEX('File Links'!B:B, MATCH(P274, 'File Links'!C:C, 0))))</f>
        <v>https://drive.google.com/file/d/13W9ZIRuUntMYZ1V5eqz7utx5OSyGY3y3/view?usp=drivesdk</v>
      </c>
      <c r="R274" s="619" t="s">
        <v>1615</v>
      </c>
      <c r="S274" s="607" t="s">
        <v>1591</v>
      </c>
      <c r="T274" s="617" t="s">
        <v>1598</v>
      </c>
      <c r="U274" s="133">
        <v>1.0</v>
      </c>
      <c r="V274" s="62" t="s">
        <v>1593</v>
      </c>
      <c r="W274" s="614" t="s">
        <v>1599</v>
      </c>
      <c r="X274" s="54" t="str">
        <f t="array" ref="X274"> if(iserror(MATCH(V274, 'File Links'!C:C, 0)), "N/A", HYPERLINK(INDEX('File Links'!B:B, MATCH(V274, 'File Links'!C:C, 0))))</f>
        <v>https://drive.google.com/file/d/1Fg206MUtjoN9d31kEAQ7bIDHvbUqwyGY/view?usp=drivesdk</v>
      </c>
      <c r="Y274" s="618"/>
      <c r="Z274" s="614" t="s">
        <v>1600</v>
      </c>
      <c r="AA274" s="614" t="s">
        <v>1616</v>
      </c>
      <c r="AB274" s="618" t="s">
        <v>1617</v>
      </c>
      <c r="AC274" s="614" t="s">
        <v>1618</v>
      </c>
      <c r="AD274" s="620" t="s">
        <v>1619</v>
      </c>
      <c r="AE274" s="622">
        <v>57.0</v>
      </c>
      <c r="AF274" s="627">
        <v>101.0</v>
      </c>
      <c r="AG274" s="621">
        <v>0.09</v>
      </c>
      <c r="AH274" s="625" t="s">
        <v>173</v>
      </c>
      <c r="AI274" s="620" t="s">
        <v>1611</v>
      </c>
      <c r="AJ274" s="626">
        <v>0.3451</v>
      </c>
      <c r="AK274" s="614" t="s">
        <v>172</v>
      </c>
      <c r="AL274" s="588" t="s">
        <v>186</v>
      </c>
      <c r="AM274" s="618" t="s">
        <v>137</v>
      </c>
      <c r="AN274" s="219" t="s">
        <v>138</v>
      </c>
      <c r="AO274" s="621">
        <v>103.0</v>
      </c>
      <c r="AP274" s="621">
        <v>0.09</v>
      </c>
      <c r="AQ274" s="614" t="s">
        <v>173</v>
      </c>
      <c r="AR274" s="614" t="s">
        <v>1612</v>
      </c>
      <c r="AS274" s="621">
        <v>0.38</v>
      </c>
      <c r="AT274" s="614" t="s">
        <v>172</v>
      </c>
      <c r="AU274" s="614" t="s">
        <v>186</v>
      </c>
      <c r="AV274" s="618" t="s">
        <v>137</v>
      </c>
      <c r="AW274" s="62" t="s">
        <v>138</v>
      </c>
      <c r="AX274" s="618" t="s">
        <v>143</v>
      </c>
      <c r="AY274" s="61" t="str">
        <f>IFERROR(__xludf.DUMMYFUNCTION("vlookup(BB274,importrange(""https://docs.google.com/spreadsheets/d/1d2vevQ_7D_v35q4wCQ4RpQ_IPoTwEMB9Yp6ymwlPqew/edit?gid=984458430#gid=984458430"", ""'replication success'!A:K""), 11, FAlSE)"),"successful")</f>
        <v>successful</v>
      </c>
      <c r="AZ274" s="61" t="str">
        <f>IFERROR(__xludf.DUMMYFUNCTION("vlookup(BB274,importrange(""https://docs.google.com/spreadsheets/d/1d2vevQ_7D_v35q4wCQ4RpQ_IPoTwEMB9Yp6ymwlPqew/edit?gid=984458430#gid=984458430"", ""'replication success'!A:M""), 12, FAlSE)"),"Results indicated that construct validity was evident. ")</f>
        <v>Results indicated that construct validity was evident. </v>
      </c>
      <c r="BA274" s="61" t="str">
        <f>IFERROR(__xludf.DUMMYFUNCTION("vlookup(BB274,importrange(""https://docs.google.com/spreadsheets/d/1d2vevQ_7D_v35q4wCQ4RpQ_IPoTwEMB9Yp6ymwlPqew/edit?gid=984458430#gid=984458430"", ""'replication success'!A:M""), 13, FAlSE)"),"abstract")</f>
        <v>abstract</v>
      </c>
      <c r="BB274" s="61" t="str">
        <f>IFERROR(__xludf.DUMMYFUNCTION("REGEXREPLACE(G274, ""_[a-z]{1,2}$"", """")"),"additional_studies40")</f>
        <v>additional_studies40</v>
      </c>
      <c r="BC274" s="611"/>
      <c r="BD274" s="124" t="s">
        <v>144</v>
      </c>
    </row>
    <row r="275" ht="20.25" customHeight="1">
      <c r="A275" s="44">
        <v>275.0</v>
      </c>
      <c r="B275" s="612" t="s">
        <v>152</v>
      </c>
      <c r="C275" s="612" t="s">
        <v>115</v>
      </c>
      <c r="D275" s="612" t="s">
        <v>286</v>
      </c>
      <c r="E275" s="613"/>
      <c r="F275" s="614" t="s">
        <v>1585</v>
      </c>
      <c r="G275" s="588" t="s">
        <v>1620</v>
      </c>
      <c r="H275" s="614" t="s">
        <v>289</v>
      </c>
      <c r="I275" s="624">
        <v>45634.0</v>
      </c>
      <c r="J275" s="601">
        <v>45670.0</v>
      </c>
      <c r="K275" s="614" t="s">
        <v>1607</v>
      </c>
      <c r="L275" s="616"/>
      <c r="M275" s="617" t="s">
        <v>1621</v>
      </c>
      <c r="N275" s="618"/>
      <c r="O275" s="616">
        <v>1.0</v>
      </c>
      <c r="P275" s="614" t="s">
        <v>1596</v>
      </c>
      <c r="Q275" s="52" t="str">
        <f t="array" ref="Q275"> if(iserror(MATCH(V275, 'File Links'!C:C, 0)), "N/A", HYPERLINK(INDEX('File Links'!B:B, MATCH(P275, 'File Links'!C:C, 0))))</f>
        <v>https://drive.google.com/file/d/13W9ZIRuUntMYZ1V5eqz7utx5OSyGY3y3/view?usp=drivesdk</v>
      </c>
      <c r="R275" s="619" t="s">
        <v>1622</v>
      </c>
      <c r="S275" s="607" t="s">
        <v>1591</v>
      </c>
      <c r="T275" s="617" t="s">
        <v>1598</v>
      </c>
      <c r="U275" s="133">
        <v>1.0</v>
      </c>
      <c r="V275" s="62" t="s">
        <v>1593</v>
      </c>
      <c r="W275" s="614" t="s">
        <v>1599</v>
      </c>
      <c r="X275" s="54" t="str">
        <f t="array" ref="X275"> if(iserror(MATCH(V275, 'File Links'!C:C, 0)), "N/A", HYPERLINK(INDEX('File Links'!B:B, MATCH(V275, 'File Links'!C:C, 0))))</f>
        <v>https://drive.google.com/file/d/1Fg206MUtjoN9d31kEAQ7bIDHvbUqwyGY/view?usp=drivesdk</v>
      </c>
      <c r="Y275" s="618"/>
      <c r="Z275" s="614" t="s">
        <v>1600</v>
      </c>
      <c r="AA275" s="614" t="s">
        <v>1623</v>
      </c>
      <c r="AB275" s="618" t="s">
        <v>1624</v>
      </c>
      <c r="AC275" s="614" t="s">
        <v>1625</v>
      </c>
      <c r="AD275" s="620" t="s">
        <v>1626</v>
      </c>
      <c r="AE275" s="622">
        <v>57.0</v>
      </c>
      <c r="AF275" s="627">
        <v>101.0</v>
      </c>
      <c r="AG275" s="621">
        <v>0.75</v>
      </c>
      <c r="AH275" s="625" t="s">
        <v>173</v>
      </c>
      <c r="AI275" s="620" t="s">
        <v>1611</v>
      </c>
      <c r="AJ275" s="626">
        <v>1.0E-4</v>
      </c>
      <c r="AK275" s="614" t="s">
        <v>172</v>
      </c>
      <c r="AL275" s="588" t="s">
        <v>186</v>
      </c>
      <c r="AM275" s="618" t="s">
        <v>137</v>
      </c>
      <c r="AN275" s="219" t="s">
        <v>138</v>
      </c>
      <c r="AO275" s="621">
        <v>103.0</v>
      </c>
      <c r="AP275" s="621">
        <v>0.45</v>
      </c>
      <c r="AQ275" s="614" t="s">
        <v>173</v>
      </c>
      <c r="AR275" s="614" t="s">
        <v>1612</v>
      </c>
      <c r="AS275" s="621">
        <v>0.01</v>
      </c>
      <c r="AT275" s="614" t="s">
        <v>135</v>
      </c>
      <c r="AU275" s="614" t="s">
        <v>186</v>
      </c>
      <c r="AV275" s="618" t="s">
        <v>137</v>
      </c>
      <c r="AW275" s="62" t="s">
        <v>138</v>
      </c>
      <c r="AX275" s="618" t="s">
        <v>143</v>
      </c>
      <c r="AY275" s="61" t="str">
        <f>IFERROR(__xludf.DUMMYFUNCTION("vlookup(BB275,importrange(""https://docs.google.com/spreadsheets/d/1d2vevQ_7D_v35q4wCQ4RpQ_IPoTwEMB9Yp6ymwlPqew/edit?gid=984458430#gid=984458430"", ""'replication success'!A:K""), 11, FAlSE)"),"successful")</f>
        <v>successful</v>
      </c>
      <c r="AZ275" s="61" t="str">
        <f>IFERROR(__xludf.DUMMYFUNCTION("vlookup(BB275,importrange(""https://docs.google.com/spreadsheets/d/1d2vevQ_7D_v35q4wCQ4RpQ_IPoTwEMB9Yp6ymwlPqew/edit?gid=984458430#gid=984458430"", ""'replication success'!A:M""), 12, FAlSE)"),"Results indicated that construct validity was evident. ")</f>
        <v>Results indicated that construct validity was evident. </v>
      </c>
      <c r="BA275" s="61" t="str">
        <f>IFERROR(__xludf.DUMMYFUNCTION("vlookup(BB275,importrange(""https://docs.google.com/spreadsheets/d/1d2vevQ_7D_v35q4wCQ4RpQ_IPoTwEMB9Yp6ymwlPqew/edit?gid=984458430#gid=984458430"", ""'replication success'!A:M""), 13, FAlSE)"),"abstract")</f>
        <v>abstract</v>
      </c>
      <c r="BB275" s="61" t="str">
        <f>IFERROR(__xludf.DUMMYFUNCTION("REGEXREPLACE(G275, ""_[a-z]{1,2}$"", """")"),"additional_studies40")</f>
        <v>additional_studies40</v>
      </c>
      <c r="BC275" s="611"/>
      <c r="BD275" s="124" t="s">
        <v>144</v>
      </c>
      <c r="BG275" s="71"/>
      <c r="BH275" s="71"/>
      <c r="BI275" s="71"/>
      <c r="BJ275" s="71"/>
      <c r="BK275" s="71"/>
      <c r="BL275" s="71"/>
      <c r="BM275" s="71"/>
      <c r="BN275" s="71"/>
      <c r="BO275" s="71"/>
      <c r="BP275" s="71"/>
      <c r="BQ275" s="71"/>
      <c r="BR275" s="71"/>
      <c r="BS275" s="71"/>
      <c r="BT275" s="71"/>
      <c r="BU275" s="71"/>
      <c r="BV275" s="71"/>
      <c r="BW275" s="71"/>
      <c r="BX275" s="71"/>
      <c r="BY275" s="71"/>
      <c r="BZ275" s="71"/>
      <c r="CA275" s="71"/>
      <c r="CB275" s="71"/>
      <c r="CC275" s="71"/>
      <c r="CD275" s="71"/>
      <c r="CE275" s="71"/>
      <c r="CF275" s="71"/>
      <c r="CG275" s="71"/>
      <c r="CH275" s="71"/>
      <c r="CI275" s="71"/>
      <c r="CJ275" s="71"/>
      <c r="CK275" s="71"/>
      <c r="CL275" s="71"/>
      <c r="CM275" s="71"/>
      <c r="CN275" s="71"/>
      <c r="CO275" s="71"/>
      <c r="CP275" s="71"/>
      <c r="CQ275" s="71"/>
      <c r="CR275" s="71"/>
      <c r="CS275" s="71"/>
      <c r="CT275" s="71"/>
      <c r="CU275" s="71"/>
      <c r="CV275" s="71"/>
      <c r="CW275" s="71"/>
      <c r="CX275" s="71"/>
      <c r="CY275" s="71"/>
      <c r="CZ275" s="71"/>
      <c r="DA275" s="71"/>
      <c r="DB275" s="71"/>
      <c r="DC275" s="71"/>
      <c r="DD275" s="71"/>
      <c r="DE275" s="71"/>
      <c r="DF275" s="71"/>
      <c r="DG275" s="71"/>
      <c r="DH275" s="71"/>
      <c r="DI275" s="71"/>
      <c r="DJ275" s="71"/>
      <c r="DK275" s="71"/>
      <c r="DL275" s="71"/>
    </row>
    <row r="276" ht="20.25" customHeight="1">
      <c r="A276" s="44">
        <v>276.0</v>
      </c>
      <c r="B276" s="612" t="s">
        <v>152</v>
      </c>
      <c r="C276" s="612" t="s">
        <v>115</v>
      </c>
      <c r="D276" s="612" t="s">
        <v>286</v>
      </c>
      <c r="E276" s="613"/>
      <c r="F276" s="614" t="s">
        <v>1585</v>
      </c>
      <c r="G276" s="588" t="s">
        <v>1627</v>
      </c>
      <c r="H276" s="614" t="s">
        <v>289</v>
      </c>
      <c r="I276" s="624">
        <v>45634.0</v>
      </c>
      <c r="J276" s="601">
        <v>45670.0</v>
      </c>
      <c r="K276" s="614" t="s">
        <v>1607</v>
      </c>
      <c r="L276" s="616"/>
      <c r="M276" s="617" t="s">
        <v>1628</v>
      </c>
      <c r="N276" s="618"/>
      <c r="O276" s="616">
        <v>1.0</v>
      </c>
      <c r="P276" s="614" t="s">
        <v>1596</v>
      </c>
      <c r="Q276" s="52" t="str">
        <f t="array" ref="Q276"> if(iserror(MATCH(V276, 'File Links'!C:C, 0)), "N/A", HYPERLINK(INDEX('File Links'!B:B, MATCH(P276, 'File Links'!C:C, 0))))</f>
        <v>https://drive.google.com/file/d/13W9ZIRuUntMYZ1V5eqz7utx5OSyGY3y3/view?usp=drivesdk</v>
      </c>
      <c r="R276" s="619" t="s">
        <v>1629</v>
      </c>
      <c r="S276" s="607" t="s">
        <v>1591</v>
      </c>
      <c r="T276" s="617" t="s">
        <v>1598</v>
      </c>
      <c r="U276" s="133">
        <v>1.0</v>
      </c>
      <c r="V276" s="62" t="s">
        <v>1593</v>
      </c>
      <c r="W276" s="614" t="s">
        <v>1599</v>
      </c>
      <c r="X276" s="54" t="str">
        <f t="array" ref="X276"> if(iserror(MATCH(V276, 'File Links'!C:C, 0)), "N/A", HYPERLINK(INDEX('File Links'!B:B, MATCH(V276, 'File Links'!C:C, 0))))</f>
        <v>https://drive.google.com/file/d/1Fg206MUtjoN9d31kEAQ7bIDHvbUqwyGY/view?usp=drivesdk</v>
      </c>
      <c r="Y276" s="618"/>
      <c r="Z276" s="614" t="s">
        <v>1600</v>
      </c>
      <c r="AA276" s="614" t="s">
        <v>1630</v>
      </c>
      <c r="AB276" s="614" t="s">
        <v>1631</v>
      </c>
      <c r="AC276" s="614" t="s">
        <v>1632</v>
      </c>
      <c r="AD276" s="620" t="s">
        <v>1633</v>
      </c>
      <c r="AE276" s="622">
        <v>57.0</v>
      </c>
      <c r="AF276" s="627">
        <v>101.0</v>
      </c>
      <c r="AG276" s="621">
        <v>0.45</v>
      </c>
      <c r="AH276" s="625" t="s">
        <v>173</v>
      </c>
      <c r="AI276" s="620" t="s">
        <v>1611</v>
      </c>
      <c r="AJ276" s="626">
        <v>0.0012</v>
      </c>
      <c r="AK276" s="614" t="s">
        <v>172</v>
      </c>
      <c r="AL276" s="588" t="s">
        <v>186</v>
      </c>
      <c r="AM276" s="618" t="s">
        <v>137</v>
      </c>
      <c r="AN276" s="219" t="s">
        <v>138</v>
      </c>
      <c r="AO276" s="621">
        <v>103.0</v>
      </c>
      <c r="AP276" s="621">
        <v>0.48</v>
      </c>
      <c r="AQ276" s="614" t="s">
        <v>173</v>
      </c>
      <c r="AR276" s="614" t="s">
        <v>1612</v>
      </c>
      <c r="AS276" s="621">
        <v>0.01</v>
      </c>
      <c r="AT276" s="614" t="s">
        <v>135</v>
      </c>
      <c r="AU276" s="614" t="s">
        <v>186</v>
      </c>
      <c r="AV276" s="618" t="s">
        <v>137</v>
      </c>
      <c r="AW276" s="62" t="s">
        <v>138</v>
      </c>
      <c r="AX276" s="618" t="s">
        <v>143</v>
      </c>
      <c r="AY276" s="61" t="str">
        <f>IFERROR(__xludf.DUMMYFUNCTION("vlookup(BB276,importrange(""https://docs.google.com/spreadsheets/d/1d2vevQ_7D_v35q4wCQ4RpQ_IPoTwEMB9Yp6ymwlPqew/edit?gid=984458430#gid=984458430"", ""'replication success'!A:K""), 11, FAlSE)"),"successful")</f>
        <v>successful</v>
      </c>
      <c r="AZ276" s="61" t="str">
        <f>IFERROR(__xludf.DUMMYFUNCTION("vlookup(BB276,importrange(""https://docs.google.com/spreadsheets/d/1d2vevQ_7D_v35q4wCQ4RpQ_IPoTwEMB9Yp6ymwlPqew/edit?gid=984458430#gid=984458430"", ""'replication success'!A:M""), 12, FAlSE)"),"Results indicated that construct validity was evident. ")</f>
        <v>Results indicated that construct validity was evident. </v>
      </c>
      <c r="BA276" s="61" t="str">
        <f>IFERROR(__xludf.DUMMYFUNCTION("vlookup(BB276,importrange(""https://docs.google.com/spreadsheets/d/1d2vevQ_7D_v35q4wCQ4RpQ_IPoTwEMB9Yp6ymwlPqew/edit?gid=984458430#gid=984458430"", ""'replication success'!A:M""), 13, FAlSE)"),"abstract")</f>
        <v>abstract</v>
      </c>
      <c r="BB276" s="61" t="str">
        <f>IFERROR(__xludf.DUMMYFUNCTION("REGEXREPLACE(G276, ""_[a-z]{1,2}$"", """")"),"additional_studies40")</f>
        <v>additional_studies40</v>
      </c>
      <c r="BC276" s="611"/>
      <c r="BD276" s="124" t="s">
        <v>144</v>
      </c>
      <c r="BG276" s="228"/>
      <c r="BH276" s="228"/>
      <c r="BI276" s="228"/>
      <c r="BJ276" s="228"/>
      <c r="BK276" s="228"/>
      <c r="BL276" s="228"/>
      <c r="BM276" s="228"/>
      <c r="BN276" s="228"/>
      <c r="BO276" s="228"/>
      <c r="BP276" s="228"/>
      <c r="BQ276" s="228"/>
      <c r="BR276" s="228"/>
      <c r="BS276" s="228"/>
      <c r="BT276" s="228"/>
      <c r="BU276" s="228"/>
      <c r="BV276" s="228"/>
      <c r="BW276" s="228"/>
      <c r="BX276" s="228"/>
      <c r="BY276" s="228"/>
      <c r="BZ276" s="228"/>
      <c r="CA276" s="228"/>
      <c r="CB276" s="228"/>
      <c r="CC276" s="228"/>
      <c r="CD276" s="228"/>
      <c r="CE276" s="228"/>
      <c r="CF276" s="228"/>
      <c r="CG276" s="228"/>
      <c r="CH276" s="228"/>
      <c r="CI276" s="228"/>
      <c r="CJ276" s="228"/>
      <c r="CK276" s="228"/>
      <c r="CL276" s="228"/>
      <c r="CM276" s="228"/>
      <c r="CN276" s="228"/>
      <c r="CO276" s="228"/>
      <c r="CP276" s="228"/>
      <c r="CQ276" s="228"/>
      <c r="CR276" s="228"/>
      <c r="CS276" s="228"/>
      <c r="CT276" s="228"/>
      <c r="CU276" s="228"/>
      <c r="CV276" s="228"/>
      <c r="CW276" s="228"/>
      <c r="CX276" s="228"/>
      <c r="CY276" s="228"/>
      <c r="CZ276" s="228"/>
      <c r="DA276" s="228"/>
      <c r="DB276" s="228"/>
      <c r="DC276" s="228"/>
      <c r="DD276" s="228"/>
      <c r="DE276" s="228"/>
      <c r="DF276" s="228"/>
      <c r="DG276" s="228"/>
      <c r="DH276" s="228"/>
      <c r="DI276" s="228"/>
      <c r="DJ276" s="228"/>
      <c r="DK276" s="228"/>
      <c r="DL276" s="228"/>
    </row>
    <row r="277" ht="20.25" customHeight="1">
      <c r="A277" s="44">
        <v>277.0</v>
      </c>
      <c r="B277" s="612" t="s">
        <v>152</v>
      </c>
      <c r="C277" s="612" t="s">
        <v>115</v>
      </c>
      <c r="D277" s="612" t="s">
        <v>286</v>
      </c>
      <c r="E277" s="613"/>
      <c r="F277" s="614" t="s">
        <v>1585</v>
      </c>
      <c r="G277" s="588" t="s">
        <v>1634</v>
      </c>
      <c r="H277" s="614" t="s">
        <v>289</v>
      </c>
      <c r="I277" s="624">
        <v>45634.0</v>
      </c>
      <c r="J277" s="601">
        <v>45670.0</v>
      </c>
      <c r="K277" s="614" t="s">
        <v>1607</v>
      </c>
      <c r="L277" s="603" t="s">
        <v>1635</v>
      </c>
      <c r="M277" s="617" t="s">
        <v>1636</v>
      </c>
      <c r="N277" s="618"/>
      <c r="O277" s="616">
        <v>1.0</v>
      </c>
      <c r="P277" s="614" t="s">
        <v>1596</v>
      </c>
      <c r="Q277" s="52" t="str">
        <f t="array" ref="Q277"> if(iserror(MATCH(V277, 'File Links'!C:C, 0)), "N/A", HYPERLINK(INDEX('File Links'!B:B, MATCH(P277, 'File Links'!C:C, 0))))</f>
        <v>https://drive.google.com/file/d/13W9ZIRuUntMYZ1V5eqz7utx5OSyGY3y3/view?usp=drivesdk</v>
      </c>
      <c r="R277" s="619" t="s">
        <v>1637</v>
      </c>
      <c r="S277" s="607" t="s">
        <v>1591</v>
      </c>
      <c r="T277" s="617" t="s">
        <v>1598</v>
      </c>
      <c r="U277" s="133">
        <v>1.0</v>
      </c>
      <c r="V277" s="62" t="s">
        <v>1593</v>
      </c>
      <c r="W277" s="614" t="s">
        <v>1599</v>
      </c>
      <c r="X277" s="54" t="str">
        <f t="array" ref="X277"> if(iserror(MATCH(V277, 'File Links'!C:C, 0)), "N/A", HYPERLINK(INDEX('File Links'!B:B, MATCH(V277, 'File Links'!C:C, 0))))</f>
        <v>https://drive.google.com/file/d/1Fg206MUtjoN9d31kEAQ7bIDHvbUqwyGY/view?usp=drivesdk</v>
      </c>
      <c r="Y277" s="618"/>
      <c r="Z277" s="614" t="s">
        <v>1600</v>
      </c>
      <c r="AA277" s="614" t="s">
        <v>1638</v>
      </c>
      <c r="AB277" s="614" t="s">
        <v>1639</v>
      </c>
      <c r="AC277" s="614" t="s">
        <v>1640</v>
      </c>
      <c r="AD277" s="620" t="s">
        <v>1641</v>
      </c>
      <c r="AE277" s="622">
        <v>57.0</v>
      </c>
      <c r="AF277" s="627">
        <v>101.0</v>
      </c>
      <c r="AG277" s="621">
        <v>0.24</v>
      </c>
      <c r="AH277" s="625" t="s">
        <v>173</v>
      </c>
      <c r="AI277" s="620" t="s">
        <v>1611</v>
      </c>
      <c r="AJ277" s="628">
        <v>0.0187</v>
      </c>
      <c r="AK277" s="614" t="s">
        <v>172</v>
      </c>
      <c r="AL277" s="588" t="s">
        <v>186</v>
      </c>
      <c r="AM277" s="618" t="s">
        <v>137</v>
      </c>
      <c r="AN277" s="219" t="s">
        <v>138</v>
      </c>
      <c r="AO277" s="621">
        <v>103.0</v>
      </c>
      <c r="AP277" s="621">
        <v>0.26</v>
      </c>
      <c r="AQ277" s="614" t="s">
        <v>173</v>
      </c>
      <c r="AR277" s="614" t="s">
        <v>1612</v>
      </c>
      <c r="AS277" s="621">
        <v>0.01</v>
      </c>
      <c r="AT277" s="614" t="s">
        <v>172</v>
      </c>
      <c r="AU277" s="614" t="s">
        <v>186</v>
      </c>
      <c r="AV277" s="618" t="s">
        <v>137</v>
      </c>
      <c r="AW277" s="62" t="s">
        <v>138</v>
      </c>
      <c r="AX277" s="618" t="s">
        <v>143</v>
      </c>
      <c r="AY277" s="61" t="str">
        <f>IFERROR(__xludf.DUMMYFUNCTION("vlookup(BB277,importrange(""https://docs.google.com/spreadsheets/d/1d2vevQ_7D_v35q4wCQ4RpQ_IPoTwEMB9Yp6ymwlPqew/edit?gid=984458430#gid=984458430"", ""'replication success'!A:K""), 11, FAlSE)"),"successful")</f>
        <v>successful</v>
      </c>
      <c r="AZ277" s="61" t="str">
        <f>IFERROR(__xludf.DUMMYFUNCTION("vlookup(BB277,importrange(""https://docs.google.com/spreadsheets/d/1d2vevQ_7D_v35q4wCQ4RpQ_IPoTwEMB9Yp6ymwlPqew/edit?gid=984458430#gid=984458430"", ""'replication success'!A:M""), 12, FAlSE)"),"Results indicated that construct validity was evident. ")</f>
        <v>Results indicated that construct validity was evident. </v>
      </c>
      <c r="BA277" s="61" t="str">
        <f>IFERROR(__xludf.DUMMYFUNCTION("vlookup(BB277,importrange(""https://docs.google.com/spreadsheets/d/1d2vevQ_7D_v35q4wCQ4RpQ_IPoTwEMB9Yp6ymwlPqew/edit?gid=984458430#gid=984458430"", ""'replication success'!A:M""), 13, FAlSE)"),"abstract")</f>
        <v>abstract</v>
      </c>
      <c r="BB277" s="61" t="str">
        <f>IFERROR(__xludf.DUMMYFUNCTION("REGEXREPLACE(G277, ""_[a-z]{1,2}$"", """")"),"additional_studies40")</f>
        <v>additional_studies40</v>
      </c>
      <c r="BC277" s="611" t="s">
        <v>1635</v>
      </c>
      <c r="BD277" s="124" t="s">
        <v>144</v>
      </c>
      <c r="BG277" s="71"/>
      <c r="BH277" s="71"/>
      <c r="BI277" s="71"/>
      <c r="BJ277" s="71"/>
      <c r="BK277" s="71"/>
      <c r="BL277" s="71"/>
      <c r="BM277" s="71"/>
      <c r="BN277" s="71"/>
      <c r="BO277" s="71"/>
      <c r="BP277" s="71"/>
      <c r="BQ277" s="71"/>
      <c r="BR277" s="71"/>
      <c r="BS277" s="71"/>
      <c r="BT277" s="71"/>
      <c r="BU277" s="71"/>
      <c r="BV277" s="71"/>
      <c r="BW277" s="71"/>
      <c r="BX277" s="71"/>
      <c r="BY277" s="71"/>
      <c r="BZ277" s="71"/>
      <c r="CA277" s="71"/>
      <c r="CB277" s="71"/>
      <c r="CC277" s="71"/>
      <c r="CD277" s="71"/>
      <c r="CE277" s="71"/>
      <c r="CF277" s="71"/>
      <c r="CG277" s="71"/>
      <c r="CH277" s="71"/>
      <c r="CI277" s="71"/>
      <c r="CJ277" s="71"/>
      <c r="CK277" s="71"/>
      <c r="CL277" s="71"/>
      <c r="CM277" s="71"/>
      <c r="CN277" s="71"/>
      <c r="CO277" s="71"/>
      <c r="CP277" s="71"/>
      <c r="CQ277" s="71"/>
      <c r="CR277" s="71"/>
      <c r="CS277" s="71"/>
      <c r="CT277" s="71"/>
      <c r="CU277" s="71"/>
      <c r="CV277" s="71"/>
      <c r="CW277" s="71"/>
      <c r="CX277" s="71"/>
      <c r="CY277" s="71"/>
      <c r="CZ277" s="71"/>
      <c r="DA277" s="71"/>
      <c r="DB277" s="71"/>
      <c r="DC277" s="71"/>
      <c r="DD277" s="71"/>
      <c r="DE277" s="71"/>
      <c r="DF277" s="71"/>
      <c r="DG277" s="71"/>
      <c r="DH277" s="71"/>
      <c r="DI277" s="71"/>
      <c r="DJ277" s="71"/>
      <c r="DK277" s="71"/>
      <c r="DL277" s="71"/>
    </row>
    <row r="278" ht="20.25" customHeight="1">
      <c r="A278" s="44">
        <v>278.0</v>
      </c>
      <c r="B278" s="612" t="s">
        <v>152</v>
      </c>
      <c r="C278" s="612" t="s">
        <v>115</v>
      </c>
      <c r="D278" s="612" t="s">
        <v>286</v>
      </c>
      <c r="E278" s="613"/>
      <c r="F278" s="614" t="s">
        <v>1585</v>
      </c>
      <c r="G278" s="588" t="s">
        <v>1642</v>
      </c>
      <c r="H278" s="614" t="s">
        <v>289</v>
      </c>
      <c r="I278" s="624">
        <v>45634.0</v>
      </c>
      <c r="J278" s="601">
        <v>45670.0</v>
      </c>
      <c r="K278" s="614" t="s">
        <v>1607</v>
      </c>
      <c r="L278" s="616"/>
      <c r="M278" s="617" t="s">
        <v>1643</v>
      </c>
      <c r="N278" s="618"/>
      <c r="O278" s="616">
        <v>1.0</v>
      </c>
      <c r="P278" s="614" t="s">
        <v>1596</v>
      </c>
      <c r="Q278" s="52" t="str">
        <f t="array" ref="Q278"> if(iserror(MATCH(V278, 'File Links'!C:C, 0)), "N/A", HYPERLINK(INDEX('File Links'!B:B, MATCH(P278, 'File Links'!C:C, 0))))</f>
        <v>https://drive.google.com/file/d/13W9ZIRuUntMYZ1V5eqz7utx5OSyGY3y3/view?usp=drivesdk</v>
      </c>
      <c r="R278" s="619" t="s">
        <v>1644</v>
      </c>
      <c r="S278" s="607" t="s">
        <v>1591</v>
      </c>
      <c r="T278" s="617" t="s">
        <v>1598</v>
      </c>
      <c r="U278" s="133">
        <v>1.0</v>
      </c>
      <c r="V278" s="112" t="str">
        <f t="shared" ref="V278:V318" si="6">HYPERLINK(VLOOKUP(LOWER(S278),#REF!, 2, FALSE), SUBSTITUTE(LOWER(S278), "/", "--") &amp;  ".pdf")</f>
        <v>thekeep.eiu.edu--theses--5025.pdf</v>
      </c>
      <c r="W278" s="614" t="s">
        <v>1599</v>
      </c>
      <c r="X278" s="54" t="str">
        <f t="array" ref="X278"> if(iserror(MATCH(V278, 'File Links'!C:C, 0)), "N/A", HYPERLINK(INDEX('File Links'!B:B, MATCH(V278, 'File Links'!C:C, 0))))</f>
        <v>https://drive.google.com/file/d/1Fg206MUtjoN9d31kEAQ7bIDHvbUqwyGY/view?usp=drivesdk</v>
      </c>
      <c r="Y278" s="618"/>
      <c r="Z278" s="614" t="s">
        <v>1600</v>
      </c>
      <c r="AA278" s="614" t="s">
        <v>1645</v>
      </c>
      <c r="AB278" s="614" t="s">
        <v>1646</v>
      </c>
      <c r="AC278" s="614" t="s">
        <v>1647</v>
      </c>
      <c r="AD278" s="620" t="s">
        <v>1648</v>
      </c>
      <c r="AE278" s="622">
        <v>57.0</v>
      </c>
      <c r="AF278" s="627">
        <v>101.0</v>
      </c>
      <c r="AG278" s="621">
        <v>0.25</v>
      </c>
      <c r="AH278" s="625" t="s">
        <v>173</v>
      </c>
      <c r="AI278" s="620" t="s">
        <v>1611</v>
      </c>
      <c r="AJ278" s="626">
        <v>0.0134</v>
      </c>
      <c r="AK278" s="614" t="s">
        <v>172</v>
      </c>
      <c r="AL278" s="588" t="s">
        <v>186</v>
      </c>
      <c r="AM278" s="618" t="s">
        <v>137</v>
      </c>
      <c r="AN278" s="219" t="s">
        <v>138</v>
      </c>
      <c r="AO278" s="621">
        <v>103.0</v>
      </c>
      <c r="AP278" s="621">
        <v>0.07</v>
      </c>
      <c r="AQ278" s="614" t="s">
        <v>173</v>
      </c>
      <c r="AR278" s="614" t="s">
        <v>1612</v>
      </c>
      <c r="AS278" s="621">
        <v>0.45</v>
      </c>
      <c r="AT278" s="614" t="s">
        <v>172</v>
      </c>
      <c r="AU278" s="614" t="s">
        <v>186</v>
      </c>
      <c r="AV278" s="618" t="s">
        <v>137</v>
      </c>
      <c r="AW278" s="62" t="s">
        <v>138</v>
      </c>
      <c r="AX278" s="618" t="s">
        <v>143</v>
      </c>
      <c r="AY278" s="61" t="str">
        <f>IFERROR(__xludf.DUMMYFUNCTION("vlookup(BB278,importrange(""https://docs.google.com/spreadsheets/d/1d2vevQ_7D_v35q4wCQ4RpQ_IPoTwEMB9Yp6ymwlPqew/edit?gid=984458430#gid=984458430"", ""'replication success'!A:K""), 11, FAlSE)"),"successful")</f>
        <v>successful</v>
      </c>
      <c r="AZ278" s="61" t="str">
        <f>IFERROR(__xludf.DUMMYFUNCTION("vlookup(BB278,importrange(""https://docs.google.com/spreadsheets/d/1d2vevQ_7D_v35q4wCQ4RpQ_IPoTwEMB9Yp6ymwlPqew/edit?gid=984458430#gid=984458430"", ""'replication success'!A:M""), 12, FAlSE)"),"Results indicated that construct validity was evident. ")</f>
        <v>Results indicated that construct validity was evident. </v>
      </c>
      <c r="BA278" s="61" t="str">
        <f>IFERROR(__xludf.DUMMYFUNCTION("vlookup(BB278,importrange(""https://docs.google.com/spreadsheets/d/1d2vevQ_7D_v35q4wCQ4RpQ_IPoTwEMB9Yp6ymwlPqew/edit?gid=984458430#gid=984458430"", ""'replication success'!A:M""), 13, FAlSE)"),"abstract")</f>
        <v>abstract</v>
      </c>
      <c r="BB278" s="61" t="str">
        <f>IFERROR(__xludf.DUMMYFUNCTION("REGEXREPLACE(G278, ""_[a-z]{1,2}$"", """")"),"additional_studies40")</f>
        <v>additional_studies40</v>
      </c>
      <c r="BC278" s="611"/>
      <c r="BD278" s="124" t="s">
        <v>144</v>
      </c>
      <c r="BG278" s="228"/>
      <c r="BH278" s="228"/>
      <c r="BI278" s="228"/>
      <c r="BJ278" s="228"/>
      <c r="BK278" s="228"/>
      <c r="BL278" s="228"/>
      <c r="BM278" s="228"/>
      <c r="BN278" s="228"/>
      <c r="BO278" s="228"/>
      <c r="BP278" s="228"/>
      <c r="BQ278" s="228"/>
      <c r="BR278" s="228"/>
      <c r="BS278" s="228"/>
      <c r="BT278" s="228"/>
      <c r="BU278" s="228"/>
      <c r="BV278" s="228"/>
      <c r="BW278" s="228"/>
      <c r="BX278" s="228"/>
      <c r="BY278" s="228"/>
      <c r="BZ278" s="228"/>
      <c r="CA278" s="228"/>
      <c r="CB278" s="228"/>
      <c r="CC278" s="228"/>
      <c r="CD278" s="228"/>
      <c r="CE278" s="228"/>
      <c r="CF278" s="228"/>
      <c r="CG278" s="228"/>
      <c r="CH278" s="228"/>
      <c r="CI278" s="228"/>
      <c r="CJ278" s="228"/>
      <c r="CK278" s="228"/>
      <c r="CL278" s="228"/>
      <c r="CM278" s="228"/>
      <c r="CN278" s="228"/>
      <c r="CO278" s="228"/>
      <c r="CP278" s="228"/>
      <c r="CQ278" s="228"/>
      <c r="CR278" s="228"/>
      <c r="CS278" s="228"/>
      <c r="CT278" s="228"/>
      <c r="CU278" s="228"/>
      <c r="CV278" s="228"/>
      <c r="CW278" s="228"/>
      <c r="CX278" s="228"/>
      <c r="CY278" s="228"/>
      <c r="CZ278" s="228"/>
      <c r="DA278" s="228"/>
      <c r="DB278" s="228"/>
      <c r="DC278" s="228"/>
      <c r="DD278" s="228"/>
      <c r="DE278" s="228"/>
      <c r="DF278" s="228"/>
      <c r="DG278" s="228"/>
      <c r="DH278" s="228"/>
      <c r="DI278" s="228"/>
      <c r="DJ278" s="228"/>
      <c r="DK278" s="228"/>
      <c r="DL278" s="228"/>
    </row>
    <row r="279" ht="20.25" customHeight="1">
      <c r="A279" s="44">
        <v>279.0</v>
      </c>
      <c r="B279" s="612" t="s">
        <v>152</v>
      </c>
      <c r="C279" s="612" t="s">
        <v>115</v>
      </c>
      <c r="D279" s="612" t="s">
        <v>286</v>
      </c>
      <c r="E279" s="613"/>
      <c r="F279" s="614" t="s">
        <v>1585</v>
      </c>
      <c r="G279" s="588" t="s">
        <v>1649</v>
      </c>
      <c r="H279" s="614" t="s">
        <v>289</v>
      </c>
      <c r="I279" s="624">
        <v>45634.0</v>
      </c>
      <c r="J279" s="601">
        <v>45670.0</v>
      </c>
      <c r="K279" s="614" t="s">
        <v>1607</v>
      </c>
      <c r="L279" s="616"/>
      <c r="M279" s="617" t="s">
        <v>1650</v>
      </c>
      <c r="N279" s="618"/>
      <c r="O279" s="616">
        <v>1.0</v>
      </c>
      <c r="P279" s="614" t="s">
        <v>1596</v>
      </c>
      <c r="Q279" s="52" t="str">
        <f t="array" ref="Q279"> if(iserror(MATCH(V279, 'File Links'!C:C, 0)), "N/A", HYPERLINK(INDEX('File Links'!B:B, MATCH(P279, 'File Links'!C:C, 0))))</f>
        <v>https://drive.google.com/file/d/13W9ZIRuUntMYZ1V5eqz7utx5OSyGY3y3/view?usp=drivesdk</v>
      </c>
      <c r="R279" s="619" t="s">
        <v>1651</v>
      </c>
      <c r="S279" s="607" t="s">
        <v>1591</v>
      </c>
      <c r="T279" s="617" t="s">
        <v>1598</v>
      </c>
      <c r="U279" s="133">
        <v>1.0</v>
      </c>
      <c r="V279" s="112" t="str">
        <f t="shared" si="6"/>
        <v>thekeep.eiu.edu--theses--5025.pdf</v>
      </c>
      <c r="W279" s="614" t="s">
        <v>1599</v>
      </c>
      <c r="X279" s="54" t="str">
        <f t="array" ref="X279"> if(iserror(MATCH(V279, 'File Links'!C:C, 0)), "N/A", HYPERLINK(INDEX('File Links'!B:B, MATCH(V279, 'File Links'!C:C, 0))))</f>
        <v>https://drive.google.com/file/d/1Fg206MUtjoN9d31kEAQ7bIDHvbUqwyGY/view?usp=drivesdk</v>
      </c>
      <c r="Y279" s="618"/>
      <c r="Z279" s="614" t="s">
        <v>1600</v>
      </c>
      <c r="AA279" s="614" t="s">
        <v>1652</v>
      </c>
      <c r="AB279" s="614" t="s">
        <v>1653</v>
      </c>
      <c r="AC279" s="614" t="s">
        <v>1654</v>
      </c>
      <c r="AD279" s="620" t="s">
        <v>1655</v>
      </c>
      <c r="AE279" s="622">
        <v>57.0</v>
      </c>
      <c r="AF279" s="627">
        <v>101.0</v>
      </c>
      <c r="AG279" s="621">
        <v>0.25</v>
      </c>
      <c r="AH279" s="625" t="s">
        <v>173</v>
      </c>
      <c r="AI279" s="620" t="s">
        <v>1611</v>
      </c>
      <c r="AJ279" s="626">
        <v>0.0154</v>
      </c>
      <c r="AK279" s="614" t="s">
        <v>172</v>
      </c>
      <c r="AL279" s="588" t="s">
        <v>186</v>
      </c>
      <c r="AM279" s="618" t="s">
        <v>137</v>
      </c>
      <c r="AN279" s="219" t="s">
        <v>138</v>
      </c>
      <c r="AO279" s="621">
        <v>103.0</v>
      </c>
      <c r="AP279" s="621">
        <v>0.11</v>
      </c>
      <c r="AQ279" s="614" t="s">
        <v>173</v>
      </c>
      <c r="AR279" s="614" t="s">
        <v>1612</v>
      </c>
      <c r="AS279" s="621">
        <v>0.27</v>
      </c>
      <c r="AT279" s="614" t="s">
        <v>172</v>
      </c>
      <c r="AU279" s="614" t="s">
        <v>186</v>
      </c>
      <c r="AV279" s="618" t="s">
        <v>137</v>
      </c>
      <c r="AW279" s="62" t="s">
        <v>138</v>
      </c>
      <c r="AX279" s="618" t="s">
        <v>143</v>
      </c>
      <c r="AY279" s="61" t="str">
        <f>IFERROR(__xludf.DUMMYFUNCTION("vlookup(BB279,importrange(""https://docs.google.com/spreadsheets/d/1d2vevQ_7D_v35q4wCQ4RpQ_IPoTwEMB9Yp6ymwlPqew/edit?gid=984458430#gid=984458430"", ""'replication success'!A:K""), 11, FAlSE)"),"successful")</f>
        <v>successful</v>
      </c>
      <c r="AZ279" s="61" t="str">
        <f>IFERROR(__xludf.DUMMYFUNCTION("vlookup(BB279,importrange(""https://docs.google.com/spreadsheets/d/1d2vevQ_7D_v35q4wCQ4RpQ_IPoTwEMB9Yp6ymwlPqew/edit?gid=984458430#gid=984458430"", ""'replication success'!A:M""), 12, FAlSE)"),"Results indicated that construct validity was evident. ")</f>
        <v>Results indicated that construct validity was evident. </v>
      </c>
      <c r="BA279" s="61" t="str">
        <f>IFERROR(__xludf.DUMMYFUNCTION("vlookup(BB279,importrange(""https://docs.google.com/spreadsheets/d/1d2vevQ_7D_v35q4wCQ4RpQ_IPoTwEMB9Yp6ymwlPqew/edit?gid=984458430#gid=984458430"", ""'replication success'!A:M""), 13, FAlSE)"),"abstract")</f>
        <v>abstract</v>
      </c>
      <c r="BB279" s="61" t="str">
        <f>IFERROR(__xludf.DUMMYFUNCTION("REGEXREPLACE(G279, ""_[a-z]{1,2}$"", """")"),"additional_studies40")</f>
        <v>additional_studies40</v>
      </c>
      <c r="BC279" s="611"/>
      <c r="BD279" s="124" t="s">
        <v>144</v>
      </c>
      <c r="BG279" s="71"/>
      <c r="BH279" s="71"/>
      <c r="BI279" s="71"/>
      <c r="BJ279" s="71"/>
      <c r="BK279" s="71"/>
      <c r="BL279" s="71"/>
      <c r="BM279" s="71"/>
      <c r="BN279" s="71"/>
      <c r="BO279" s="71"/>
      <c r="BP279" s="71"/>
      <c r="BQ279" s="71"/>
      <c r="BR279" s="71"/>
      <c r="BS279" s="71"/>
      <c r="BT279" s="71"/>
      <c r="BU279" s="71"/>
      <c r="BV279" s="71"/>
      <c r="BW279" s="71"/>
      <c r="BX279" s="71"/>
      <c r="BY279" s="71"/>
      <c r="BZ279" s="71"/>
      <c r="CA279" s="71"/>
      <c r="CB279" s="71"/>
      <c r="CC279" s="71"/>
      <c r="CD279" s="71"/>
      <c r="CE279" s="71"/>
      <c r="CF279" s="71"/>
      <c r="CG279" s="71"/>
      <c r="CH279" s="71"/>
      <c r="CI279" s="71"/>
      <c r="CJ279" s="71"/>
      <c r="CK279" s="71"/>
      <c r="CL279" s="71"/>
      <c r="CM279" s="71"/>
      <c r="CN279" s="71"/>
      <c r="CO279" s="71"/>
      <c r="CP279" s="71"/>
      <c r="CQ279" s="71"/>
      <c r="CR279" s="71"/>
      <c r="CS279" s="71"/>
      <c r="CT279" s="71"/>
      <c r="CU279" s="71"/>
      <c r="CV279" s="71"/>
      <c r="CW279" s="71"/>
      <c r="CX279" s="71"/>
      <c r="CY279" s="71"/>
      <c r="CZ279" s="71"/>
      <c r="DA279" s="71"/>
      <c r="DB279" s="71"/>
      <c r="DC279" s="71"/>
      <c r="DD279" s="71"/>
      <c r="DE279" s="71"/>
      <c r="DF279" s="71"/>
      <c r="DG279" s="71"/>
      <c r="DH279" s="71"/>
      <c r="DI279" s="71"/>
      <c r="DJ279" s="71"/>
      <c r="DK279" s="71"/>
      <c r="DL279" s="71"/>
    </row>
    <row r="280" ht="20.25" customHeight="1">
      <c r="A280" s="44">
        <v>280.0</v>
      </c>
      <c r="B280" s="612" t="s">
        <v>152</v>
      </c>
      <c r="C280" s="612" t="s">
        <v>115</v>
      </c>
      <c r="D280" s="612" t="s">
        <v>286</v>
      </c>
      <c r="E280" s="613"/>
      <c r="F280" s="614" t="s">
        <v>1585</v>
      </c>
      <c r="G280" s="588" t="s">
        <v>1656</v>
      </c>
      <c r="H280" s="614" t="s">
        <v>289</v>
      </c>
      <c r="I280" s="624">
        <v>45634.0</v>
      </c>
      <c r="J280" s="601">
        <v>45670.0</v>
      </c>
      <c r="K280" s="614" t="s">
        <v>1607</v>
      </c>
      <c r="L280" s="616"/>
      <c r="M280" s="617" t="s">
        <v>1657</v>
      </c>
      <c r="N280" s="618"/>
      <c r="O280" s="616">
        <v>1.0</v>
      </c>
      <c r="P280" s="614" t="s">
        <v>1596</v>
      </c>
      <c r="Q280" s="52" t="str">
        <f t="array" ref="Q280"> if(iserror(MATCH(V280, 'File Links'!C:C, 0)), "N/A", HYPERLINK(INDEX('File Links'!B:B, MATCH(P280, 'File Links'!C:C, 0))))</f>
        <v>https://drive.google.com/file/d/13W9ZIRuUntMYZ1V5eqz7utx5OSyGY3y3/view?usp=drivesdk</v>
      </c>
      <c r="R280" s="619" t="s">
        <v>1658</v>
      </c>
      <c r="S280" s="607" t="s">
        <v>1591</v>
      </c>
      <c r="T280" s="617" t="s">
        <v>1598</v>
      </c>
      <c r="U280" s="133">
        <v>1.0</v>
      </c>
      <c r="V280" s="112" t="str">
        <f t="shared" si="6"/>
        <v>thekeep.eiu.edu--theses--5025.pdf</v>
      </c>
      <c r="W280" s="614" t="s">
        <v>1599</v>
      </c>
      <c r="X280" s="54" t="str">
        <f t="array" ref="X280"> if(iserror(MATCH(V280, 'File Links'!C:C, 0)), "N/A", HYPERLINK(INDEX('File Links'!B:B, MATCH(V280, 'File Links'!C:C, 0))))</f>
        <v>https://drive.google.com/file/d/1Fg206MUtjoN9d31kEAQ7bIDHvbUqwyGY/view?usp=drivesdk</v>
      </c>
      <c r="Y280" s="618"/>
      <c r="Z280" s="614" t="s">
        <v>1600</v>
      </c>
      <c r="AA280" s="614" t="s">
        <v>1659</v>
      </c>
      <c r="AB280" s="614" t="s">
        <v>1660</v>
      </c>
      <c r="AC280" s="614" t="s">
        <v>1661</v>
      </c>
      <c r="AD280" s="620" t="s">
        <v>1662</v>
      </c>
      <c r="AE280" s="622">
        <v>57.0</v>
      </c>
      <c r="AF280" s="627">
        <v>101.0</v>
      </c>
      <c r="AG280" s="621">
        <v>0.14</v>
      </c>
      <c r="AH280" s="625" t="s">
        <v>173</v>
      </c>
      <c r="AI280" s="620" t="s">
        <v>1611</v>
      </c>
      <c r="AJ280" s="626">
        <v>0.1649</v>
      </c>
      <c r="AK280" s="614" t="s">
        <v>172</v>
      </c>
      <c r="AL280" s="588" t="s">
        <v>186</v>
      </c>
      <c r="AM280" s="618" t="s">
        <v>137</v>
      </c>
      <c r="AN280" s="219" t="s">
        <v>138</v>
      </c>
      <c r="AO280" s="621">
        <v>103.0</v>
      </c>
      <c r="AP280" s="621">
        <v>0.0</v>
      </c>
      <c r="AQ280" s="614" t="s">
        <v>173</v>
      </c>
      <c r="AR280" s="614" t="s">
        <v>1612</v>
      </c>
      <c r="AS280" s="621">
        <v>0.97</v>
      </c>
      <c r="AT280" s="614" t="s">
        <v>172</v>
      </c>
      <c r="AU280" s="614" t="s">
        <v>186</v>
      </c>
      <c r="AV280" s="618" t="s">
        <v>137</v>
      </c>
      <c r="AW280" s="62" t="s">
        <v>138</v>
      </c>
      <c r="AX280" s="618" t="s">
        <v>143</v>
      </c>
      <c r="AY280" s="61" t="str">
        <f>IFERROR(__xludf.DUMMYFUNCTION("vlookup(BB280,importrange(""https://docs.google.com/spreadsheets/d/1d2vevQ_7D_v35q4wCQ4RpQ_IPoTwEMB9Yp6ymwlPqew/edit?gid=984458430#gid=984458430"", ""'replication success'!A:K""), 11, FAlSE)"),"successful")</f>
        <v>successful</v>
      </c>
      <c r="AZ280" s="61" t="str">
        <f>IFERROR(__xludf.DUMMYFUNCTION("vlookup(BB280,importrange(""https://docs.google.com/spreadsheets/d/1d2vevQ_7D_v35q4wCQ4RpQ_IPoTwEMB9Yp6ymwlPqew/edit?gid=984458430#gid=984458430"", ""'replication success'!A:M""), 12, FAlSE)"),"Results indicated that construct validity was evident. ")</f>
        <v>Results indicated that construct validity was evident. </v>
      </c>
      <c r="BA280" s="61" t="str">
        <f>IFERROR(__xludf.DUMMYFUNCTION("vlookup(BB280,importrange(""https://docs.google.com/spreadsheets/d/1d2vevQ_7D_v35q4wCQ4RpQ_IPoTwEMB9Yp6ymwlPqew/edit?gid=984458430#gid=984458430"", ""'replication success'!A:M""), 13, FAlSE)"),"abstract")</f>
        <v>abstract</v>
      </c>
      <c r="BB280" s="61" t="str">
        <f>IFERROR(__xludf.DUMMYFUNCTION("REGEXREPLACE(G280, ""_[a-z]{1,2}$"", """")"),"additional_studies40")</f>
        <v>additional_studies40</v>
      </c>
      <c r="BC280" s="611"/>
      <c r="BD280" s="124" t="s">
        <v>144</v>
      </c>
      <c r="BG280" s="228"/>
      <c r="BH280" s="228"/>
      <c r="BI280" s="228"/>
      <c r="BJ280" s="228"/>
      <c r="BK280" s="228"/>
      <c r="BL280" s="228"/>
      <c r="BM280" s="228"/>
      <c r="BN280" s="228"/>
      <c r="BO280" s="228"/>
      <c r="BP280" s="228"/>
      <c r="BQ280" s="228"/>
      <c r="BR280" s="228"/>
      <c r="BS280" s="228"/>
      <c r="BT280" s="228"/>
      <c r="BU280" s="228"/>
      <c r="BV280" s="228"/>
      <c r="BW280" s="228"/>
      <c r="BX280" s="228"/>
      <c r="BY280" s="228"/>
      <c r="BZ280" s="228"/>
      <c r="CA280" s="228"/>
      <c r="CB280" s="228"/>
      <c r="CC280" s="228"/>
      <c r="CD280" s="228"/>
      <c r="CE280" s="228"/>
      <c r="CF280" s="228"/>
      <c r="CG280" s="228"/>
      <c r="CH280" s="228"/>
      <c r="CI280" s="228"/>
      <c r="CJ280" s="228"/>
      <c r="CK280" s="228"/>
      <c r="CL280" s="228"/>
      <c r="CM280" s="228"/>
      <c r="CN280" s="228"/>
      <c r="CO280" s="228"/>
      <c r="CP280" s="228"/>
      <c r="CQ280" s="228"/>
      <c r="CR280" s="228"/>
      <c r="CS280" s="228"/>
      <c r="CT280" s="228"/>
      <c r="CU280" s="228"/>
      <c r="CV280" s="228"/>
      <c r="CW280" s="228"/>
      <c r="CX280" s="228"/>
      <c r="CY280" s="228"/>
      <c r="CZ280" s="228"/>
      <c r="DA280" s="228"/>
      <c r="DB280" s="228"/>
      <c r="DC280" s="228"/>
      <c r="DD280" s="228"/>
      <c r="DE280" s="228"/>
      <c r="DF280" s="228"/>
      <c r="DG280" s="228"/>
      <c r="DH280" s="228"/>
      <c r="DI280" s="228"/>
      <c r="DJ280" s="228"/>
      <c r="DK280" s="228"/>
      <c r="DL280" s="228"/>
    </row>
    <row r="281" ht="20.25" customHeight="1">
      <c r="A281" s="44">
        <v>281.0</v>
      </c>
      <c r="B281" s="612" t="s">
        <v>152</v>
      </c>
      <c r="C281" s="612" t="s">
        <v>115</v>
      </c>
      <c r="D281" s="612" t="s">
        <v>286</v>
      </c>
      <c r="E281" s="613"/>
      <c r="F281" s="614" t="s">
        <v>1585</v>
      </c>
      <c r="G281" s="588" t="s">
        <v>1663</v>
      </c>
      <c r="H281" s="614" t="s">
        <v>289</v>
      </c>
      <c r="I281" s="624">
        <v>45634.0</v>
      </c>
      <c r="J281" s="601">
        <v>45670.0</v>
      </c>
      <c r="K281" s="614" t="s">
        <v>1607</v>
      </c>
      <c r="L281" s="616"/>
      <c r="M281" s="617" t="s">
        <v>1664</v>
      </c>
      <c r="N281" s="618"/>
      <c r="O281" s="616">
        <v>1.0</v>
      </c>
      <c r="P281" s="614" t="s">
        <v>1596</v>
      </c>
      <c r="Q281" s="52" t="str">
        <f t="array" ref="Q281"> if(iserror(MATCH(V281, 'File Links'!C:C, 0)), "N/A", HYPERLINK(INDEX('File Links'!B:B, MATCH(P281, 'File Links'!C:C, 0))))</f>
        <v>https://drive.google.com/file/d/13W9ZIRuUntMYZ1V5eqz7utx5OSyGY3y3/view?usp=drivesdk</v>
      </c>
      <c r="R281" s="619" t="s">
        <v>1665</v>
      </c>
      <c r="S281" s="607" t="s">
        <v>1591</v>
      </c>
      <c r="T281" s="617" t="s">
        <v>1598</v>
      </c>
      <c r="U281" s="133">
        <v>1.0</v>
      </c>
      <c r="V281" s="112" t="str">
        <f t="shared" si="6"/>
        <v>thekeep.eiu.edu--theses--5025.pdf</v>
      </c>
      <c r="W281" s="614" t="s">
        <v>1599</v>
      </c>
      <c r="X281" s="54" t="str">
        <f t="array" ref="X281"> if(iserror(MATCH(V281, 'File Links'!C:C, 0)), "N/A", HYPERLINK(INDEX('File Links'!B:B, MATCH(V281, 'File Links'!C:C, 0))))</f>
        <v>https://drive.google.com/file/d/1Fg206MUtjoN9d31kEAQ7bIDHvbUqwyGY/view?usp=drivesdk</v>
      </c>
      <c r="Y281" s="618"/>
      <c r="Z281" s="614" t="s">
        <v>1600</v>
      </c>
      <c r="AA281" s="614" t="s">
        <v>1666</v>
      </c>
      <c r="AB281" s="614" t="s">
        <v>1667</v>
      </c>
      <c r="AC281" s="614" t="s">
        <v>1668</v>
      </c>
      <c r="AD281" s="620" t="s">
        <v>1669</v>
      </c>
      <c r="AE281" s="622">
        <v>57.0</v>
      </c>
      <c r="AF281" s="627">
        <v>101.0</v>
      </c>
      <c r="AG281" s="621">
        <v>0.38</v>
      </c>
      <c r="AH281" s="625" t="s">
        <v>173</v>
      </c>
      <c r="AI281" s="620" t="s">
        <v>1611</v>
      </c>
      <c r="AJ281" s="626">
        <v>2.0E-4</v>
      </c>
      <c r="AK281" s="614" t="s">
        <v>172</v>
      </c>
      <c r="AL281" s="588" t="s">
        <v>186</v>
      </c>
      <c r="AM281" s="618" t="s">
        <v>137</v>
      </c>
      <c r="AN281" s="219" t="s">
        <v>138</v>
      </c>
      <c r="AO281" s="621">
        <v>103.0</v>
      </c>
      <c r="AP281" s="621">
        <v>-0.07</v>
      </c>
      <c r="AQ281" s="614" t="s">
        <v>173</v>
      </c>
      <c r="AR281" s="614" t="s">
        <v>1612</v>
      </c>
      <c r="AS281" s="621">
        <v>0.49</v>
      </c>
      <c r="AT281" s="614" t="s">
        <v>172</v>
      </c>
      <c r="AU281" s="614" t="s">
        <v>186</v>
      </c>
      <c r="AV281" s="618" t="s">
        <v>137</v>
      </c>
      <c r="AW281" s="62" t="s">
        <v>138</v>
      </c>
      <c r="AX281" s="618" t="s">
        <v>143</v>
      </c>
      <c r="AY281" s="61" t="str">
        <f>IFERROR(__xludf.DUMMYFUNCTION("vlookup(BB281,importrange(""https://docs.google.com/spreadsheets/d/1d2vevQ_7D_v35q4wCQ4RpQ_IPoTwEMB9Yp6ymwlPqew/edit?gid=984458430#gid=984458430"", ""'replication success'!A:K""), 11, FAlSE)"),"successful")</f>
        <v>successful</v>
      </c>
      <c r="AZ281" s="61" t="str">
        <f>IFERROR(__xludf.DUMMYFUNCTION("vlookup(BB281,importrange(""https://docs.google.com/spreadsheets/d/1d2vevQ_7D_v35q4wCQ4RpQ_IPoTwEMB9Yp6ymwlPqew/edit?gid=984458430#gid=984458430"", ""'replication success'!A:M""), 12, FAlSE)"),"Results indicated that construct validity was evident. ")</f>
        <v>Results indicated that construct validity was evident. </v>
      </c>
      <c r="BA281" s="61" t="str">
        <f>IFERROR(__xludf.DUMMYFUNCTION("vlookup(BB281,importrange(""https://docs.google.com/spreadsheets/d/1d2vevQ_7D_v35q4wCQ4RpQ_IPoTwEMB9Yp6ymwlPqew/edit?gid=984458430#gid=984458430"", ""'replication success'!A:M""), 13, FAlSE)"),"abstract")</f>
        <v>abstract</v>
      </c>
      <c r="BB281" s="61" t="str">
        <f>IFERROR(__xludf.DUMMYFUNCTION("REGEXREPLACE(G281, ""_[a-z]{1,2}$"", """")"),"additional_studies40")</f>
        <v>additional_studies40</v>
      </c>
      <c r="BC281" s="611"/>
      <c r="BD281" s="124" t="s">
        <v>144</v>
      </c>
      <c r="BG281" s="71"/>
      <c r="BH281" s="71"/>
      <c r="BI281" s="71"/>
      <c r="BJ281" s="71"/>
      <c r="BK281" s="71"/>
      <c r="BL281" s="71"/>
      <c r="BM281" s="71"/>
      <c r="BN281" s="71"/>
      <c r="BO281" s="71"/>
      <c r="BP281" s="71"/>
      <c r="BQ281" s="71"/>
      <c r="BR281" s="71"/>
      <c r="BS281" s="71"/>
      <c r="BT281" s="71"/>
      <c r="BU281" s="71"/>
      <c r="BV281" s="71"/>
      <c r="BW281" s="71"/>
      <c r="BX281" s="71"/>
      <c r="BY281" s="71"/>
      <c r="BZ281" s="71"/>
      <c r="CA281" s="71"/>
      <c r="CB281" s="71"/>
      <c r="CC281" s="71"/>
      <c r="CD281" s="71"/>
      <c r="CE281" s="71"/>
      <c r="CF281" s="71"/>
      <c r="CG281" s="71"/>
      <c r="CH281" s="71"/>
      <c r="CI281" s="71"/>
      <c r="CJ281" s="71"/>
      <c r="CK281" s="71"/>
      <c r="CL281" s="71"/>
      <c r="CM281" s="71"/>
      <c r="CN281" s="71"/>
      <c r="CO281" s="71"/>
      <c r="CP281" s="71"/>
      <c r="CQ281" s="71"/>
      <c r="CR281" s="71"/>
      <c r="CS281" s="71"/>
      <c r="CT281" s="71"/>
      <c r="CU281" s="71"/>
      <c r="CV281" s="71"/>
      <c r="CW281" s="71"/>
      <c r="CX281" s="71"/>
      <c r="CY281" s="71"/>
      <c r="CZ281" s="71"/>
      <c r="DA281" s="71"/>
      <c r="DB281" s="71"/>
      <c r="DC281" s="71"/>
      <c r="DD281" s="71"/>
      <c r="DE281" s="71"/>
      <c r="DF281" s="71"/>
      <c r="DG281" s="71"/>
      <c r="DH281" s="71"/>
      <c r="DI281" s="71"/>
      <c r="DJ281" s="71"/>
      <c r="DK281" s="71"/>
      <c r="DL281" s="71"/>
    </row>
    <row r="282" ht="20.25" customHeight="1">
      <c r="A282" s="44">
        <v>282.0</v>
      </c>
      <c r="B282" s="93" t="s">
        <v>152</v>
      </c>
      <c r="C282" s="93" t="s">
        <v>115</v>
      </c>
      <c r="D282" s="93" t="s">
        <v>1458</v>
      </c>
      <c r="E282" s="92"/>
      <c r="F282" s="95" t="s">
        <v>1670</v>
      </c>
      <c r="G282" s="76" t="s">
        <v>1671</v>
      </c>
      <c r="H282" s="76" t="s">
        <v>1518</v>
      </c>
      <c r="I282" s="629">
        <v>45640.0</v>
      </c>
      <c r="J282" s="630">
        <v>45670.0</v>
      </c>
      <c r="K282" s="76" t="s">
        <v>1672</v>
      </c>
      <c r="L282" s="631" t="s">
        <v>1673</v>
      </c>
      <c r="M282" s="632" t="s">
        <v>1674</v>
      </c>
      <c r="N282" s="76" t="s">
        <v>1675</v>
      </c>
      <c r="O282" s="79">
        <v>1.0</v>
      </c>
      <c r="P282" s="99" t="str">
        <f> SUBSTITUTE(lower(N282), "/", "--") &amp;  ".pdf"</f>
        <v>10.1002--pam.21702.pdf</v>
      </c>
      <c r="Q282" s="52" t="str">
        <f t="array" ref="Q282"> if(iserror(MATCH(V282, 'File Links'!C:C, 0)), "N/A", HYPERLINK(INDEX('File Links'!B:B, MATCH(P282, 'File Links'!C:C, 0))))</f>
        <v>https://drive.google.com/file/d/1NxD4srcP8NGAkHA1AWvYHXJLyf_l73EF/view?usp=drivesdk</v>
      </c>
      <c r="R282" s="101" t="s">
        <v>1676</v>
      </c>
      <c r="S282" s="632" t="s">
        <v>1677</v>
      </c>
      <c r="T282" s="82"/>
      <c r="U282" s="633">
        <v>2.0</v>
      </c>
      <c r="V282" s="112" t="str">
        <f t="shared" si="6"/>
        <v>10.1111--padm.12860.pdf</v>
      </c>
      <c r="W282" s="76" t="s">
        <v>1678</v>
      </c>
      <c r="X282" s="54" t="str">
        <f t="array" ref="X282"> if(iserror(MATCH(V282, 'File Links'!C:C, 0)), "N/A", HYPERLINK(INDEX('File Links'!B:B, MATCH(V282, 'File Links'!C:C, 0))))</f>
        <v>https://drive.google.com/file/d/1Zty8FHdgF4Nqed1S2bjomumBBiyC8Mfz/view?usp=drivesdk</v>
      </c>
      <c r="Y282" s="82"/>
      <c r="Z282" s="82" t="s">
        <v>1679</v>
      </c>
      <c r="AA282" s="82" t="s">
        <v>1680</v>
      </c>
      <c r="AB282" s="82" t="s">
        <v>1681</v>
      </c>
      <c r="AC282" s="76" t="s">
        <v>1682</v>
      </c>
      <c r="AD282" s="76" t="s">
        <v>1683</v>
      </c>
      <c r="AE282" s="634">
        <v>45637.0</v>
      </c>
      <c r="AF282" s="635">
        <v>908.0</v>
      </c>
      <c r="AG282" s="635">
        <v>0.55</v>
      </c>
      <c r="AH282" s="595" t="s">
        <v>987</v>
      </c>
      <c r="AI282" s="101" t="s">
        <v>612</v>
      </c>
      <c r="AJ282" s="635">
        <v>0.01</v>
      </c>
      <c r="AK282" s="94" t="s">
        <v>135</v>
      </c>
      <c r="AL282" s="82" t="s">
        <v>136</v>
      </c>
      <c r="AM282" s="76" t="s">
        <v>141</v>
      </c>
      <c r="AN282" s="219" t="s">
        <v>138</v>
      </c>
      <c r="AO282" s="635">
        <v>992.0</v>
      </c>
      <c r="AP282" s="635">
        <v>0.906</v>
      </c>
      <c r="AQ282" s="82" t="s">
        <v>987</v>
      </c>
      <c r="AR282" s="101">
        <v>10.0</v>
      </c>
      <c r="AS282" s="635">
        <v>0.01</v>
      </c>
      <c r="AT282" s="636" t="s">
        <v>135</v>
      </c>
      <c r="AU282" s="636" t="s">
        <v>186</v>
      </c>
      <c r="AV282" s="95" t="s">
        <v>141</v>
      </c>
      <c r="AW282" s="637" t="s">
        <v>1684</v>
      </c>
      <c r="AX282" s="636" t="s">
        <v>143</v>
      </c>
      <c r="AY282" s="61" t="str">
        <f>IFERROR(__xludf.DUMMYFUNCTION("vlookup(BB282,importrange(""https://docs.google.com/spreadsheets/d/1d2vevQ_7D_v35q4wCQ4RpQ_IPoTwEMB9Yp6ymwlPqew/edit?gid=984458430#gid=984458430"", ""'replication success'!A:K""), 11, FAlSE)"),"successful")</f>
        <v>successful</v>
      </c>
      <c r="AZ282" s="61" t="str">
        <f>IFERROR(__xludf.DUMMYFUNCTION("vlookup(BB282,importrange(""https://docs.google.com/spreadsheets/d/1d2vevQ_7D_v35q4wCQ4RpQ_IPoTwEMB9Yp6ymwlPqew/edit?gid=984458430#gid=984458430"",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2" s="61" t="str">
        <f>IFERROR(__xludf.DUMMYFUNCTION("vlookup(BB282,importrange(""https://docs.google.com/spreadsheets/d/1d2vevQ_7D_v35q4wCQ4RpQ_IPoTwEMB9Yp6ymwlPqew/edit?gid=984458430#gid=984458430"", ""'replication success'!A:M""), 13, FAlSE)"),"abstract")</f>
        <v>abstract</v>
      </c>
      <c r="BB282" s="61" t="str">
        <f>IFERROR(__xludf.DUMMYFUNCTION("REGEXREPLACE(G282, ""_[a-z]{1,2}$"", """")"),"additional_studies41")</f>
        <v>additional_studies41</v>
      </c>
      <c r="BC282" s="129"/>
      <c r="BD282" s="124" t="s">
        <v>144</v>
      </c>
      <c r="BG282" s="228"/>
      <c r="BH282" s="228"/>
      <c r="BI282" s="228"/>
      <c r="BJ282" s="228"/>
      <c r="BK282" s="228"/>
      <c r="BL282" s="228"/>
      <c r="BM282" s="228"/>
      <c r="BN282" s="228"/>
      <c r="BO282" s="228"/>
      <c r="BP282" s="228"/>
      <c r="BQ282" s="228"/>
      <c r="BR282" s="228"/>
      <c r="BS282" s="228"/>
      <c r="BT282" s="228"/>
      <c r="BU282" s="228"/>
      <c r="BV282" s="228"/>
      <c r="BW282" s="228"/>
      <c r="BX282" s="228"/>
      <c r="BY282" s="228"/>
      <c r="BZ282" s="228"/>
      <c r="CA282" s="228"/>
      <c r="CB282" s="228"/>
      <c r="CC282" s="228"/>
      <c r="CD282" s="228"/>
      <c r="CE282" s="228"/>
      <c r="CF282" s="228"/>
      <c r="CG282" s="228"/>
      <c r="CH282" s="228"/>
      <c r="CI282" s="228"/>
      <c r="CJ282" s="228"/>
      <c r="CK282" s="228"/>
      <c r="CL282" s="228"/>
      <c r="CM282" s="228"/>
      <c r="CN282" s="228"/>
      <c r="CO282" s="228"/>
      <c r="CP282" s="228"/>
      <c r="CQ282" s="228"/>
      <c r="CR282" s="228"/>
      <c r="CS282" s="228"/>
      <c r="CT282" s="228"/>
      <c r="CU282" s="228"/>
      <c r="CV282" s="228"/>
      <c r="CW282" s="228"/>
      <c r="CX282" s="228"/>
      <c r="CY282" s="228"/>
      <c r="CZ282" s="228"/>
      <c r="DA282" s="228"/>
      <c r="DB282" s="228"/>
      <c r="DC282" s="228"/>
      <c r="DD282" s="228"/>
      <c r="DE282" s="228"/>
      <c r="DF282" s="228"/>
      <c r="DG282" s="228"/>
      <c r="DH282" s="228"/>
      <c r="DI282" s="228"/>
      <c r="DJ282" s="228"/>
      <c r="DK282" s="228"/>
      <c r="DL282" s="228"/>
    </row>
    <row r="283" ht="20.25" customHeight="1">
      <c r="A283" s="44">
        <v>283.0</v>
      </c>
      <c r="B283" s="93" t="s">
        <v>152</v>
      </c>
      <c r="C283" s="638" t="s">
        <v>115</v>
      </c>
      <c r="D283" s="638" t="s">
        <v>1441</v>
      </c>
      <c r="E283" s="639"/>
      <c r="F283" s="407" t="s">
        <v>1670</v>
      </c>
      <c r="G283" s="399" t="s">
        <v>1671</v>
      </c>
      <c r="H283" s="640" t="s">
        <v>1444</v>
      </c>
      <c r="I283" s="641">
        <v>45637.0</v>
      </c>
      <c r="J283" s="642">
        <v>45670.0</v>
      </c>
      <c r="K283" s="402"/>
      <c r="L283" s="631" t="s">
        <v>1673</v>
      </c>
      <c r="M283" s="399" t="s">
        <v>1685</v>
      </c>
      <c r="N283" s="399" t="s">
        <v>1675</v>
      </c>
      <c r="O283" s="631">
        <v>1.0</v>
      </c>
      <c r="P283" s="403" t="str">
        <f>SUBSTITUTE(LOWER(N283), "/", "--") &amp;  ".pdf"</f>
        <v>10.1002--pam.21702.pdf</v>
      </c>
      <c r="Q283" s="52" t="str">
        <f t="array" ref="Q283"> if(iserror(MATCH(V283, 'File Links'!C:C, 0)), "N/A", HYPERLINK(INDEX('File Links'!B:B, MATCH(P283, 'File Links'!C:C, 0))))</f>
        <v>https://drive.google.com/file/d/1NxD4srcP8NGAkHA1AWvYHXJLyf_l73EF/view?usp=drivesdk</v>
      </c>
      <c r="R283" s="101" t="s">
        <v>1676</v>
      </c>
      <c r="S283" s="399" t="s">
        <v>1677</v>
      </c>
      <c r="T283" s="402"/>
      <c r="U283" s="633">
        <v>2.0</v>
      </c>
      <c r="V283" s="112" t="str">
        <f t="shared" si="6"/>
        <v>10.1111--padm.12860.pdf</v>
      </c>
      <c r="W283" s="404" t="s">
        <v>1686</v>
      </c>
      <c r="X283" s="54" t="str">
        <f t="array" ref="X283"> if(iserror(MATCH(V283, 'File Links'!C:C, 0)), "N/A", HYPERLINK(INDEX('File Links'!B:B, MATCH(V283, 'File Links'!C:C, 0))))</f>
        <v>https://drive.google.com/file/d/1Zty8FHdgF4Nqed1S2bjomumBBiyC8Mfz/view?usp=drivesdk</v>
      </c>
      <c r="Y283" s="402"/>
      <c r="Z283" s="82" t="s">
        <v>1679</v>
      </c>
      <c r="AA283" s="399" t="s">
        <v>1687</v>
      </c>
      <c r="AB283" s="399" t="s">
        <v>1688</v>
      </c>
      <c r="AC283" s="399" t="s">
        <v>1689</v>
      </c>
      <c r="AD283" s="399" t="s">
        <v>1690</v>
      </c>
      <c r="AE283" s="406">
        <v>10.0</v>
      </c>
      <c r="AF283" s="406">
        <v>908.0</v>
      </c>
      <c r="AG283" s="643">
        <v>-0.903</v>
      </c>
      <c r="AH283" s="405" t="s">
        <v>987</v>
      </c>
      <c r="AI283" s="644" t="s">
        <v>307</v>
      </c>
      <c r="AJ283" s="406">
        <v>0.001</v>
      </c>
      <c r="AK283" s="398" t="s">
        <v>135</v>
      </c>
      <c r="AL283" s="402" t="s">
        <v>186</v>
      </c>
      <c r="AM283" s="402" t="s">
        <v>141</v>
      </c>
      <c r="AN283" s="219" t="s">
        <v>138</v>
      </c>
      <c r="AO283" s="406">
        <v>992.0</v>
      </c>
      <c r="AP283" s="466">
        <v>-0.968</v>
      </c>
      <c r="AQ283" s="402" t="s">
        <v>987</v>
      </c>
      <c r="AR283" s="645">
        <v>9.0</v>
      </c>
      <c r="AS283" s="408">
        <v>0.001</v>
      </c>
      <c r="AT283" s="398" t="s">
        <v>135</v>
      </c>
      <c r="AU283" s="398" t="s">
        <v>186</v>
      </c>
      <c r="AV283" s="398" t="s">
        <v>141</v>
      </c>
      <c r="AW283" s="637" t="s">
        <v>1684</v>
      </c>
      <c r="AX283" s="646" t="s">
        <v>143</v>
      </c>
      <c r="AY283" s="61" t="str">
        <f>IFERROR(__xludf.DUMMYFUNCTION("vlookup(BB283,importrange(""https://docs.google.com/spreadsheets/d/1d2vevQ_7D_v35q4wCQ4RpQ_IPoTwEMB9Yp6ymwlPqew/edit?gid=984458430#gid=984458430"", ""'replication success'!A:K""), 11, FAlSE)"),"successful")</f>
        <v>successful</v>
      </c>
      <c r="AZ283" s="61" t="str">
        <f>IFERROR(__xludf.DUMMYFUNCTION("vlookup(BB283,importrange(""https://docs.google.com/spreadsheets/d/1d2vevQ_7D_v35q4wCQ4RpQ_IPoTwEMB9Yp6ymwlPqew/edit?gid=984458430#gid=984458430"",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3" s="61" t="str">
        <f>IFERROR(__xludf.DUMMYFUNCTION("vlookup(BB283,importrange(""https://docs.google.com/spreadsheets/d/1d2vevQ_7D_v35q4wCQ4RpQ_IPoTwEMB9Yp6ymwlPqew/edit?gid=984458430#gid=984458430"", ""'replication success'!A:M""), 13, FAlSE)"),"abstract")</f>
        <v>abstract</v>
      </c>
      <c r="BB283" s="61" t="str">
        <f>IFERROR(__xludf.DUMMYFUNCTION("REGEXREPLACE(G283, ""_[a-z]{1,2}$"", """")"),"additional_studies41")</f>
        <v>additional_studies41</v>
      </c>
      <c r="BC283" s="129"/>
      <c r="BD283" s="124" t="s">
        <v>144</v>
      </c>
      <c r="BG283" s="71"/>
      <c r="BH283" s="71"/>
      <c r="BI283" s="71"/>
      <c r="BJ283" s="71"/>
      <c r="BK283" s="71"/>
      <c r="BL283" s="71"/>
      <c r="BM283" s="71"/>
      <c r="BN283" s="71"/>
      <c r="BO283" s="71"/>
      <c r="BP283" s="71"/>
      <c r="BQ283" s="71"/>
      <c r="BR283" s="71"/>
      <c r="BS283" s="71"/>
      <c r="BT283" s="71"/>
      <c r="BU283" s="71"/>
      <c r="BV283" s="71"/>
      <c r="BW283" s="71"/>
      <c r="BX283" s="71"/>
      <c r="BY283" s="71"/>
      <c r="BZ283" s="71"/>
      <c r="CA283" s="71"/>
      <c r="CB283" s="71"/>
      <c r="CC283" s="71"/>
      <c r="CD283" s="71"/>
      <c r="CE283" s="71"/>
      <c r="CF283" s="71"/>
      <c r="CG283" s="71"/>
      <c r="CH283" s="71"/>
      <c r="CI283" s="71"/>
      <c r="CJ283" s="71"/>
      <c r="CK283" s="71"/>
      <c r="CL283" s="71"/>
      <c r="CM283" s="71"/>
      <c r="CN283" s="71"/>
      <c r="CO283" s="71"/>
      <c r="CP283" s="71"/>
      <c r="CQ283" s="71"/>
      <c r="CR283" s="71"/>
      <c r="CS283" s="71"/>
      <c r="CT283" s="71"/>
      <c r="CU283" s="71"/>
      <c r="CV283" s="71"/>
      <c r="CW283" s="71"/>
      <c r="CX283" s="71"/>
      <c r="CY283" s="71"/>
      <c r="CZ283" s="71"/>
      <c r="DA283" s="71"/>
      <c r="DB283" s="71"/>
      <c r="DC283" s="71"/>
      <c r="DD283" s="71"/>
      <c r="DE283" s="71"/>
      <c r="DF283" s="71"/>
      <c r="DG283" s="71"/>
      <c r="DH283" s="71"/>
      <c r="DI283" s="71"/>
      <c r="DJ283" s="71"/>
      <c r="DK283" s="71"/>
      <c r="DL283" s="71"/>
    </row>
    <row r="284" ht="20.25" customHeight="1">
      <c r="A284" s="44">
        <v>284.0</v>
      </c>
      <c r="B284" s="93" t="s">
        <v>152</v>
      </c>
      <c r="C284" s="93" t="s">
        <v>115</v>
      </c>
      <c r="D284" s="93" t="s">
        <v>1458</v>
      </c>
      <c r="E284" s="92"/>
      <c r="F284" s="407" t="s">
        <v>1670</v>
      </c>
      <c r="G284" s="76" t="s">
        <v>1691</v>
      </c>
      <c r="H284" s="76" t="s">
        <v>1518</v>
      </c>
      <c r="I284" s="647">
        <v>45640.0</v>
      </c>
      <c r="J284" s="630">
        <v>45670.0</v>
      </c>
      <c r="K284" s="76" t="s">
        <v>1672</v>
      </c>
      <c r="L284" s="631" t="s">
        <v>1673</v>
      </c>
      <c r="M284" s="76" t="s">
        <v>1685</v>
      </c>
      <c r="N284" s="648" t="s">
        <v>1675</v>
      </c>
      <c r="O284" s="79">
        <v>1.0</v>
      </c>
      <c r="P284" s="99" t="str">
        <f> SUBSTITUTE(lower(N284), "/", "--") &amp;  ".pdf"</f>
        <v>10.1002--pam.21702.pdf</v>
      </c>
      <c r="Q284" s="52" t="str">
        <f t="array" ref="Q284"> if(iserror(MATCH(V284, 'File Links'!C:C, 0)), "N/A", HYPERLINK(INDEX('File Links'!B:B, MATCH(P284, 'File Links'!C:C, 0))))</f>
        <v>https://drive.google.com/file/d/1NxD4srcP8NGAkHA1AWvYHXJLyf_l73EF/view?usp=drivesdk</v>
      </c>
      <c r="R284" s="101" t="s">
        <v>1676</v>
      </c>
      <c r="S284" s="649" t="s">
        <v>1677</v>
      </c>
      <c r="T284" s="82"/>
      <c r="U284" s="633">
        <v>2.0</v>
      </c>
      <c r="V284" s="112" t="str">
        <f t="shared" si="6"/>
        <v>10.1111--padm.12860.pdf</v>
      </c>
      <c r="W284" s="76" t="s">
        <v>1678</v>
      </c>
      <c r="X284" s="54" t="str">
        <f t="array" ref="X284"> if(iserror(MATCH(V284, 'File Links'!C:C, 0)), "N/A", HYPERLINK(INDEX('File Links'!B:B, MATCH(V284, 'File Links'!C:C, 0))))</f>
        <v>https://drive.google.com/file/d/1Zty8FHdgF4Nqed1S2bjomumBBiyC8Mfz/view?usp=drivesdk</v>
      </c>
      <c r="Y284" s="82"/>
      <c r="Z284" s="82" t="s">
        <v>1679</v>
      </c>
      <c r="AA284" s="82" t="s">
        <v>1680</v>
      </c>
      <c r="AB284" s="82" t="s">
        <v>1681</v>
      </c>
      <c r="AC284" s="76" t="s">
        <v>1682</v>
      </c>
      <c r="AD284" s="76" t="s">
        <v>1692</v>
      </c>
      <c r="AE284" s="634">
        <v>45637.0</v>
      </c>
      <c r="AF284" s="635">
        <v>908.0</v>
      </c>
      <c r="AG284" s="117">
        <v>-0.01</v>
      </c>
      <c r="AH284" s="595" t="s">
        <v>987</v>
      </c>
      <c r="AI284" s="101" t="s">
        <v>612</v>
      </c>
      <c r="AJ284" s="622" t="s">
        <v>138</v>
      </c>
      <c r="AK284" s="622" t="s">
        <v>138</v>
      </c>
      <c r="AL284" s="82" t="s">
        <v>136</v>
      </c>
      <c r="AM284" s="76" t="s">
        <v>141</v>
      </c>
      <c r="AN284" s="219" t="s">
        <v>138</v>
      </c>
      <c r="AO284" s="635">
        <v>992.0</v>
      </c>
      <c r="AP284" s="650">
        <v>0.031</v>
      </c>
      <c r="AQ284" s="82" t="s">
        <v>987</v>
      </c>
      <c r="AR284" s="101">
        <v>10.0</v>
      </c>
      <c r="AS284" s="79" t="s">
        <v>138</v>
      </c>
      <c r="AT284" s="79" t="s">
        <v>138</v>
      </c>
      <c r="AU284" s="636" t="s">
        <v>186</v>
      </c>
      <c r="AV284" s="95" t="s">
        <v>141</v>
      </c>
      <c r="AW284" s="637" t="s">
        <v>1684</v>
      </c>
      <c r="AX284" s="636" t="s">
        <v>143</v>
      </c>
      <c r="AY284" s="61" t="str">
        <f>IFERROR(__xludf.DUMMYFUNCTION("vlookup(BB284,importrange(""https://docs.google.com/spreadsheets/d/1d2vevQ_7D_v35q4wCQ4RpQ_IPoTwEMB9Yp6ymwlPqew/edit?gid=984458430#gid=984458430"", ""'replication success'!A:K""), 11, FAlSE)"),"successful")</f>
        <v>successful</v>
      </c>
      <c r="AZ284" s="61" t="str">
        <f>IFERROR(__xludf.DUMMYFUNCTION("vlookup(BB284,importrange(""https://docs.google.com/spreadsheets/d/1d2vevQ_7D_v35q4wCQ4RpQ_IPoTwEMB9Yp6ymwlPqew/edit?gid=984458430#gid=984458430"",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4" s="61" t="str">
        <f>IFERROR(__xludf.DUMMYFUNCTION("vlookup(BB284,importrange(""https://docs.google.com/spreadsheets/d/1d2vevQ_7D_v35q4wCQ4RpQ_IPoTwEMB9Yp6ymwlPqew/edit?gid=984458430#gid=984458430"", ""'replication success'!A:M""), 13, FAlSE)"),"abstract")</f>
        <v>abstract</v>
      </c>
      <c r="BB284" s="61" t="str">
        <f>IFERROR(__xludf.DUMMYFUNCTION("REGEXREPLACE(G284, ""_[a-z]{1,2}$"", """")"),"additional_studies41")</f>
        <v>additional_studies41</v>
      </c>
      <c r="BC284" s="129"/>
      <c r="BD284" s="124" t="s">
        <v>144</v>
      </c>
      <c r="BG284" s="228"/>
      <c r="BH284" s="228"/>
      <c r="BI284" s="228"/>
      <c r="BJ284" s="228"/>
      <c r="BK284" s="228"/>
      <c r="BL284" s="228"/>
      <c r="BM284" s="228"/>
      <c r="BN284" s="228"/>
      <c r="BO284" s="228"/>
      <c r="BP284" s="228"/>
      <c r="BQ284" s="228"/>
      <c r="BR284" s="228"/>
      <c r="BS284" s="228"/>
      <c r="BT284" s="228"/>
      <c r="BU284" s="228"/>
      <c r="BV284" s="228"/>
      <c r="BW284" s="228"/>
      <c r="BX284" s="228"/>
      <c r="BY284" s="228"/>
      <c r="BZ284" s="228"/>
      <c r="CA284" s="228"/>
      <c r="CB284" s="228"/>
      <c r="CC284" s="228"/>
      <c r="CD284" s="228"/>
      <c r="CE284" s="228"/>
      <c r="CF284" s="228"/>
      <c r="CG284" s="228"/>
      <c r="CH284" s="228"/>
      <c r="CI284" s="228"/>
      <c r="CJ284" s="228"/>
      <c r="CK284" s="228"/>
      <c r="CL284" s="228"/>
      <c r="CM284" s="228"/>
      <c r="CN284" s="228"/>
      <c r="CO284" s="228"/>
      <c r="CP284" s="228"/>
      <c r="CQ284" s="228"/>
      <c r="CR284" s="228"/>
      <c r="CS284" s="228"/>
      <c r="CT284" s="228"/>
      <c r="CU284" s="228"/>
      <c r="CV284" s="228"/>
      <c r="CW284" s="228"/>
      <c r="CX284" s="228"/>
      <c r="CY284" s="228"/>
      <c r="CZ284" s="228"/>
      <c r="DA284" s="228"/>
      <c r="DB284" s="228"/>
      <c r="DC284" s="228"/>
      <c r="DD284" s="228"/>
      <c r="DE284" s="228"/>
      <c r="DF284" s="228"/>
      <c r="DG284" s="228"/>
      <c r="DH284" s="228"/>
      <c r="DI284" s="228"/>
      <c r="DJ284" s="228"/>
      <c r="DK284" s="228"/>
      <c r="DL284" s="228"/>
    </row>
    <row r="285" ht="20.25" customHeight="1">
      <c r="A285" s="44">
        <v>285.0</v>
      </c>
      <c r="B285" s="93" t="s">
        <v>152</v>
      </c>
      <c r="C285" s="638" t="s">
        <v>115</v>
      </c>
      <c r="D285" s="397" t="s">
        <v>1441</v>
      </c>
      <c r="E285" s="220"/>
      <c r="F285" s="407" t="s">
        <v>1670</v>
      </c>
      <c r="G285" s="399" t="s">
        <v>1691</v>
      </c>
      <c r="H285" s="399" t="s">
        <v>1444</v>
      </c>
      <c r="I285" s="641">
        <v>45637.0</v>
      </c>
      <c r="J285" s="642">
        <v>45670.0</v>
      </c>
      <c r="K285" s="402"/>
      <c r="L285" s="631" t="s">
        <v>1673</v>
      </c>
      <c r="M285" s="399" t="s">
        <v>1685</v>
      </c>
      <c r="N285" s="399" t="s">
        <v>1675</v>
      </c>
      <c r="O285" s="631">
        <v>1.0</v>
      </c>
      <c r="P285" s="403" t="str">
        <f>SUBSTITUTE(LOWER(N285), "/", "--") &amp;  ".pdf"</f>
        <v>10.1002--pam.21702.pdf</v>
      </c>
      <c r="Q285" s="52" t="str">
        <f t="array" ref="Q285"> if(iserror(MATCH(V285, 'File Links'!C:C, 0)), "N/A", HYPERLINK(INDEX('File Links'!B:B, MATCH(P285, 'File Links'!C:C, 0))))</f>
        <v>https://drive.google.com/file/d/1NxD4srcP8NGAkHA1AWvYHXJLyf_l73EF/view?usp=drivesdk</v>
      </c>
      <c r="R285" s="101" t="s">
        <v>1676</v>
      </c>
      <c r="S285" s="399" t="s">
        <v>1677</v>
      </c>
      <c r="T285" s="402"/>
      <c r="U285" s="633">
        <v>2.0</v>
      </c>
      <c r="V285" s="112" t="str">
        <f t="shared" si="6"/>
        <v>10.1111--padm.12860.pdf</v>
      </c>
      <c r="W285" s="404" t="s">
        <v>1686</v>
      </c>
      <c r="X285" s="54" t="str">
        <f t="array" ref="X285"> if(iserror(MATCH(V285, 'File Links'!C:C, 0)), "N/A", HYPERLINK(INDEX('File Links'!B:B, MATCH(V285, 'File Links'!C:C, 0))))</f>
        <v>https://drive.google.com/file/d/1Zty8FHdgF4Nqed1S2bjomumBBiyC8Mfz/view?usp=drivesdk</v>
      </c>
      <c r="Y285" s="402"/>
      <c r="Z285" s="82" t="s">
        <v>1679</v>
      </c>
      <c r="AA285" s="399" t="s">
        <v>1687</v>
      </c>
      <c r="AB285" s="399" t="s">
        <v>1688</v>
      </c>
      <c r="AC285" s="399" t="s">
        <v>1693</v>
      </c>
      <c r="AD285" s="399" t="s">
        <v>1690</v>
      </c>
      <c r="AE285" s="406">
        <v>10.0</v>
      </c>
      <c r="AF285" s="406">
        <v>908.0</v>
      </c>
      <c r="AG285" s="197">
        <v>1.445</v>
      </c>
      <c r="AH285" s="405" t="s">
        <v>987</v>
      </c>
      <c r="AI285" s="101" t="s">
        <v>632</v>
      </c>
      <c r="AJ285" s="406">
        <v>0.001</v>
      </c>
      <c r="AK285" s="398" t="s">
        <v>135</v>
      </c>
      <c r="AL285" s="402" t="s">
        <v>186</v>
      </c>
      <c r="AM285" s="402" t="s">
        <v>141</v>
      </c>
      <c r="AN285" s="219" t="s">
        <v>138</v>
      </c>
      <c r="AO285" s="406">
        <v>992.0</v>
      </c>
      <c r="AP285" s="466">
        <v>2.507</v>
      </c>
      <c r="AQ285" s="402" t="s">
        <v>987</v>
      </c>
      <c r="AR285" s="645">
        <v>9.0</v>
      </c>
      <c r="AS285" s="408">
        <v>0.001</v>
      </c>
      <c r="AT285" s="398" t="s">
        <v>135</v>
      </c>
      <c r="AU285" s="398" t="s">
        <v>186</v>
      </c>
      <c r="AV285" s="398" t="s">
        <v>141</v>
      </c>
      <c r="AW285" s="637" t="s">
        <v>1684</v>
      </c>
      <c r="AX285" s="407" t="s">
        <v>143</v>
      </c>
      <c r="AY285" s="61" t="str">
        <f>IFERROR(__xludf.DUMMYFUNCTION("vlookup(BB285,importrange(""https://docs.google.com/spreadsheets/d/1d2vevQ_7D_v35q4wCQ4RpQ_IPoTwEMB9Yp6ymwlPqew/edit?gid=984458430#gid=984458430"", ""'replication success'!A:K""), 11, FAlSE)"),"successful")</f>
        <v>successful</v>
      </c>
      <c r="AZ285" s="61" t="str">
        <f>IFERROR(__xludf.DUMMYFUNCTION("vlookup(BB285,importrange(""https://docs.google.com/spreadsheets/d/1d2vevQ_7D_v35q4wCQ4RpQ_IPoTwEMB9Yp6ymwlPqew/edit?gid=984458430#gid=984458430"",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5" s="61" t="str">
        <f>IFERROR(__xludf.DUMMYFUNCTION("vlookup(BB285,importrange(""https://docs.google.com/spreadsheets/d/1d2vevQ_7D_v35q4wCQ4RpQ_IPoTwEMB9Yp6ymwlPqew/edit?gid=984458430#gid=984458430"", ""'replication success'!A:M""), 13, FAlSE)"),"abstract")</f>
        <v>abstract</v>
      </c>
      <c r="BB285" s="61" t="str">
        <f>IFERROR(__xludf.DUMMYFUNCTION("REGEXREPLACE(G285, ""_[a-z]{1,2}$"", """")"),"additional_studies41")</f>
        <v>additional_studies41</v>
      </c>
      <c r="BC285" s="129"/>
      <c r="BD285" s="124" t="s">
        <v>144</v>
      </c>
      <c r="BG285" s="71"/>
      <c r="BH285" s="71"/>
      <c r="BI285" s="71"/>
      <c r="BJ285" s="71"/>
      <c r="BK285" s="71"/>
      <c r="BL285" s="71"/>
      <c r="BM285" s="71"/>
      <c r="BN285" s="71"/>
      <c r="BO285" s="71"/>
      <c r="BP285" s="71"/>
      <c r="BQ285" s="71"/>
      <c r="BR285" s="71"/>
      <c r="BS285" s="71"/>
      <c r="BT285" s="71"/>
      <c r="BU285" s="71"/>
      <c r="BV285" s="71"/>
      <c r="BW285" s="71"/>
      <c r="BX285" s="71"/>
      <c r="BY285" s="71"/>
      <c r="BZ285" s="71"/>
      <c r="CA285" s="71"/>
      <c r="CB285" s="71"/>
      <c r="CC285" s="71"/>
      <c r="CD285" s="71"/>
      <c r="CE285" s="71"/>
      <c r="CF285" s="71"/>
      <c r="CG285" s="71"/>
      <c r="CH285" s="71"/>
      <c r="CI285" s="71"/>
      <c r="CJ285" s="71"/>
      <c r="CK285" s="71"/>
      <c r="CL285" s="71"/>
      <c r="CM285" s="71"/>
      <c r="CN285" s="71"/>
      <c r="CO285" s="71"/>
      <c r="CP285" s="71"/>
      <c r="CQ285" s="71"/>
      <c r="CR285" s="71"/>
      <c r="CS285" s="71"/>
      <c r="CT285" s="71"/>
      <c r="CU285" s="71"/>
      <c r="CV285" s="71"/>
      <c r="CW285" s="71"/>
      <c r="CX285" s="71"/>
      <c r="CY285" s="71"/>
      <c r="CZ285" s="71"/>
      <c r="DA285" s="71"/>
      <c r="DB285" s="71"/>
      <c r="DC285" s="71"/>
      <c r="DD285" s="71"/>
      <c r="DE285" s="71"/>
      <c r="DF285" s="71"/>
      <c r="DG285" s="71"/>
      <c r="DH285" s="71"/>
      <c r="DI285" s="71"/>
      <c r="DJ285" s="71"/>
      <c r="DK285" s="71"/>
      <c r="DL285" s="71"/>
    </row>
    <row r="286" ht="20.25" customHeight="1">
      <c r="A286" s="44">
        <v>286.0</v>
      </c>
      <c r="B286" s="93" t="s">
        <v>152</v>
      </c>
      <c r="C286" s="93" t="s">
        <v>115</v>
      </c>
      <c r="D286" s="93" t="s">
        <v>1458</v>
      </c>
      <c r="E286" s="92"/>
      <c r="F286" s="407" t="s">
        <v>1670</v>
      </c>
      <c r="G286" s="76" t="s">
        <v>1694</v>
      </c>
      <c r="H286" s="76" t="s">
        <v>1518</v>
      </c>
      <c r="I286" s="647">
        <v>45640.0</v>
      </c>
      <c r="J286" s="630">
        <v>45670.0</v>
      </c>
      <c r="K286" s="76" t="s">
        <v>1672</v>
      </c>
      <c r="L286" s="631" t="s">
        <v>1673</v>
      </c>
      <c r="M286" s="632" t="s">
        <v>1695</v>
      </c>
      <c r="N286" s="648" t="s">
        <v>1675</v>
      </c>
      <c r="O286" s="79">
        <v>1.0</v>
      </c>
      <c r="P286" s="99" t="str">
        <f> SUBSTITUTE(lower(N286), "/", "--") &amp;  ".pdf"</f>
        <v>10.1002--pam.21702.pdf</v>
      </c>
      <c r="Q286" s="52" t="str">
        <f t="array" ref="Q286"> if(iserror(MATCH(V286, 'File Links'!C:C, 0)), "N/A", HYPERLINK(INDEX('File Links'!B:B, MATCH(P286, 'File Links'!C:C, 0))))</f>
        <v>https://drive.google.com/file/d/1NxD4srcP8NGAkHA1AWvYHXJLyf_l73EF/view?usp=drivesdk</v>
      </c>
      <c r="R286" s="101" t="s">
        <v>1676</v>
      </c>
      <c r="S286" s="648" t="s">
        <v>1677</v>
      </c>
      <c r="T286" s="82"/>
      <c r="U286" s="633">
        <v>2.0</v>
      </c>
      <c r="V286" s="112" t="str">
        <f t="shared" si="6"/>
        <v>10.1111--padm.12860.pdf</v>
      </c>
      <c r="W286" s="76" t="s">
        <v>1678</v>
      </c>
      <c r="X286" s="54" t="str">
        <f t="array" ref="X286"> if(iserror(MATCH(V286, 'File Links'!C:C, 0)), "N/A", HYPERLINK(INDEX('File Links'!B:B, MATCH(V286, 'File Links'!C:C, 0))))</f>
        <v>https://drive.google.com/file/d/1Zty8FHdgF4Nqed1S2bjomumBBiyC8Mfz/view?usp=drivesdk</v>
      </c>
      <c r="Y286" s="82"/>
      <c r="Z286" s="82" t="s">
        <v>1679</v>
      </c>
      <c r="AA286" s="82" t="s">
        <v>1680</v>
      </c>
      <c r="AB286" s="82" t="s">
        <v>1681</v>
      </c>
      <c r="AC286" s="76" t="s">
        <v>1682</v>
      </c>
      <c r="AD286" s="76" t="s">
        <v>1696</v>
      </c>
      <c r="AE286" s="634">
        <v>45637.0</v>
      </c>
      <c r="AF286" s="635">
        <v>908.0</v>
      </c>
      <c r="AG286" s="479">
        <v>0.08</v>
      </c>
      <c r="AH286" s="595" t="s">
        <v>987</v>
      </c>
      <c r="AI286" s="101" t="s">
        <v>612</v>
      </c>
      <c r="AJ286" s="622" t="s">
        <v>138</v>
      </c>
      <c r="AK286" s="622" t="s">
        <v>138</v>
      </c>
      <c r="AL286" s="82" t="s">
        <v>136</v>
      </c>
      <c r="AM286" s="76" t="s">
        <v>141</v>
      </c>
      <c r="AN286" s="219" t="s">
        <v>138</v>
      </c>
      <c r="AO286" s="635">
        <v>992.0</v>
      </c>
      <c r="AP286" s="635">
        <v>-0.024</v>
      </c>
      <c r="AQ286" s="82" t="s">
        <v>987</v>
      </c>
      <c r="AR286" s="101">
        <v>10.0</v>
      </c>
      <c r="AS286" s="79" t="s">
        <v>138</v>
      </c>
      <c r="AT286" s="79" t="s">
        <v>138</v>
      </c>
      <c r="AU286" s="636" t="s">
        <v>186</v>
      </c>
      <c r="AV286" s="95" t="s">
        <v>141</v>
      </c>
      <c r="AW286" s="637" t="s">
        <v>1684</v>
      </c>
      <c r="AX286" s="636" t="s">
        <v>143</v>
      </c>
      <c r="AY286" s="61" t="str">
        <f>IFERROR(__xludf.DUMMYFUNCTION("vlookup(BB286,importrange(""https://docs.google.com/spreadsheets/d/1d2vevQ_7D_v35q4wCQ4RpQ_IPoTwEMB9Yp6ymwlPqew/edit?gid=984458430#gid=984458430"", ""'replication success'!A:K""), 11, FAlSE)"),"successful")</f>
        <v>successful</v>
      </c>
      <c r="AZ286" s="61" t="str">
        <f>IFERROR(__xludf.DUMMYFUNCTION("vlookup(BB286,importrange(""https://docs.google.com/spreadsheets/d/1d2vevQ_7D_v35q4wCQ4RpQ_IPoTwEMB9Yp6ymwlPqew/edit?gid=984458430#gid=984458430"",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6" s="61" t="str">
        <f>IFERROR(__xludf.DUMMYFUNCTION("vlookup(BB286,importrange(""https://docs.google.com/spreadsheets/d/1d2vevQ_7D_v35q4wCQ4RpQ_IPoTwEMB9Yp6ymwlPqew/edit?gid=984458430#gid=984458430"", ""'replication success'!A:M""), 13, FAlSE)"),"abstract")</f>
        <v>abstract</v>
      </c>
      <c r="BB286" s="61" t="str">
        <f>IFERROR(__xludf.DUMMYFUNCTION("REGEXREPLACE(G286, ""_[a-z]{1,2}$"", """")"),"additional_studies41")</f>
        <v>additional_studies41</v>
      </c>
      <c r="BC286" s="129"/>
      <c r="BD286" s="124" t="s">
        <v>144</v>
      </c>
      <c r="BG286" s="228"/>
      <c r="BH286" s="228"/>
      <c r="BI286" s="228"/>
      <c r="BJ286" s="228"/>
      <c r="BK286" s="228"/>
      <c r="BL286" s="228"/>
      <c r="BM286" s="228"/>
      <c r="BN286" s="228"/>
      <c r="BO286" s="228"/>
      <c r="BP286" s="228"/>
      <c r="BQ286" s="228"/>
      <c r="BR286" s="228"/>
      <c r="BS286" s="228"/>
      <c r="BT286" s="228"/>
      <c r="BU286" s="228"/>
      <c r="BV286" s="228"/>
      <c r="BW286" s="228"/>
      <c r="BX286" s="228"/>
      <c r="BY286" s="228"/>
      <c r="BZ286" s="228"/>
      <c r="CA286" s="228"/>
      <c r="CB286" s="228"/>
      <c r="CC286" s="228"/>
      <c r="CD286" s="228"/>
      <c r="CE286" s="228"/>
      <c r="CF286" s="228"/>
      <c r="CG286" s="228"/>
      <c r="CH286" s="228"/>
      <c r="CI286" s="228"/>
      <c r="CJ286" s="228"/>
      <c r="CK286" s="228"/>
      <c r="CL286" s="228"/>
      <c r="CM286" s="228"/>
      <c r="CN286" s="228"/>
      <c r="CO286" s="228"/>
      <c r="CP286" s="228"/>
      <c r="CQ286" s="228"/>
      <c r="CR286" s="228"/>
      <c r="CS286" s="228"/>
      <c r="CT286" s="228"/>
      <c r="CU286" s="228"/>
      <c r="CV286" s="228"/>
      <c r="CW286" s="228"/>
      <c r="CX286" s="228"/>
      <c r="CY286" s="228"/>
      <c r="CZ286" s="228"/>
      <c r="DA286" s="228"/>
      <c r="DB286" s="228"/>
      <c r="DC286" s="228"/>
      <c r="DD286" s="228"/>
      <c r="DE286" s="228"/>
      <c r="DF286" s="228"/>
      <c r="DG286" s="228"/>
      <c r="DH286" s="228"/>
      <c r="DI286" s="228"/>
      <c r="DJ286" s="228"/>
      <c r="DK286" s="228"/>
      <c r="DL286" s="228"/>
    </row>
    <row r="287" ht="20.25" customHeight="1">
      <c r="A287" s="44">
        <v>287.0</v>
      </c>
      <c r="B287" s="93" t="s">
        <v>152</v>
      </c>
      <c r="C287" s="638" t="s">
        <v>115</v>
      </c>
      <c r="D287" s="397" t="s">
        <v>1441</v>
      </c>
      <c r="E287" s="220"/>
      <c r="F287" s="407" t="s">
        <v>1670</v>
      </c>
      <c r="G287" s="399" t="s">
        <v>1694</v>
      </c>
      <c r="H287" s="399" t="s">
        <v>1444</v>
      </c>
      <c r="I287" s="641">
        <v>45637.0</v>
      </c>
      <c r="J287" s="642">
        <v>45670.0</v>
      </c>
      <c r="K287" s="402"/>
      <c r="L287" s="631" t="s">
        <v>1673</v>
      </c>
      <c r="M287" s="399" t="s">
        <v>1685</v>
      </c>
      <c r="N287" s="399" t="s">
        <v>1675</v>
      </c>
      <c r="O287" s="631">
        <v>1.0</v>
      </c>
      <c r="P287" s="403" t="str">
        <f>SUBSTITUTE(LOWER(N287), "/", "--") &amp;  ".pdf"</f>
        <v>10.1002--pam.21702.pdf</v>
      </c>
      <c r="Q287" s="52" t="str">
        <f t="array" ref="Q287"> if(iserror(MATCH(V287, 'File Links'!C:C, 0)), "N/A", HYPERLINK(INDEX('File Links'!B:B, MATCH(P287, 'File Links'!C:C, 0))))</f>
        <v>https://drive.google.com/file/d/1NxD4srcP8NGAkHA1AWvYHXJLyf_l73EF/view?usp=drivesdk</v>
      </c>
      <c r="R287" s="101" t="s">
        <v>1676</v>
      </c>
      <c r="S287" s="399" t="s">
        <v>1677</v>
      </c>
      <c r="T287" s="402"/>
      <c r="U287" s="633">
        <v>2.0</v>
      </c>
      <c r="V287" s="112" t="str">
        <f t="shared" si="6"/>
        <v>10.1111--padm.12860.pdf</v>
      </c>
      <c r="W287" s="404" t="s">
        <v>1686</v>
      </c>
      <c r="X287" s="54" t="str">
        <f t="array" ref="X287"> if(iserror(MATCH(V287, 'File Links'!C:C, 0)), "N/A", HYPERLINK(INDEX('File Links'!B:B, MATCH(V287, 'File Links'!C:C, 0))))</f>
        <v>https://drive.google.com/file/d/1Zty8FHdgF4Nqed1S2bjomumBBiyC8Mfz/view?usp=drivesdk</v>
      </c>
      <c r="Y287" s="402"/>
      <c r="Z287" s="82" t="s">
        <v>1679</v>
      </c>
      <c r="AA287" s="399" t="s">
        <v>1687</v>
      </c>
      <c r="AB287" s="399" t="s">
        <v>1688</v>
      </c>
      <c r="AC287" s="399" t="s">
        <v>1697</v>
      </c>
      <c r="AD287" s="399" t="s">
        <v>1690</v>
      </c>
      <c r="AE287" s="406">
        <v>10.0</v>
      </c>
      <c r="AF287" s="406">
        <v>908.0</v>
      </c>
      <c r="AG287" s="130">
        <v>0.354</v>
      </c>
      <c r="AH287" s="405" t="s">
        <v>987</v>
      </c>
      <c r="AI287" s="101" t="s">
        <v>632</v>
      </c>
      <c r="AJ287" s="406">
        <v>0.001</v>
      </c>
      <c r="AK287" s="398" t="s">
        <v>135</v>
      </c>
      <c r="AL287" s="402" t="s">
        <v>186</v>
      </c>
      <c r="AM287" s="402" t="s">
        <v>141</v>
      </c>
      <c r="AN287" s="219" t="s">
        <v>138</v>
      </c>
      <c r="AO287" s="406">
        <v>992.0</v>
      </c>
      <c r="AP287" s="577">
        <v>0.274</v>
      </c>
      <c r="AQ287" s="402" t="s">
        <v>987</v>
      </c>
      <c r="AR287" s="645">
        <v>9.0</v>
      </c>
      <c r="AS287" s="408">
        <v>0.001</v>
      </c>
      <c r="AT287" s="398" t="s">
        <v>135</v>
      </c>
      <c r="AU287" s="398" t="s">
        <v>186</v>
      </c>
      <c r="AV287" s="398" t="s">
        <v>141</v>
      </c>
      <c r="AW287" s="637" t="s">
        <v>1684</v>
      </c>
      <c r="AX287" s="407" t="s">
        <v>143</v>
      </c>
      <c r="AY287" s="61" t="str">
        <f>IFERROR(__xludf.DUMMYFUNCTION("vlookup(BB287,importrange(""https://docs.google.com/spreadsheets/d/1d2vevQ_7D_v35q4wCQ4RpQ_IPoTwEMB9Yp6ymwlPqew/edit?gid=984458430#gid=984458430"", ""'replication success'!A:K""), 11, FAlSE)"),"successful")</f>
        <v>successful</v>
      </c>
      <c r="AZ287" s="61" t="str">
        <f>IFERROR(__xludf.DUMMYFUNCTION("vlookup(BB287,importrange(""https://docs.google.com/spreadsheets/d/1d2vevQ_7D_v35q4wCQ4RpQ_IPoTwEMB9Yp6ymwlPqew/edit?gid=984458430#gid=984458430"",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7" s="61" t="str">
        <f>IFERROR(__xludf.DUMMYFUNCTION("vlookup(BB287,importrange(""https://docs.google.com/spreadsheets/d/1d2vevQ_7D_v35q4wCQ4RpQ_IPoTwEMB9Yp6ymwlPqew/edit?gid=984458430#gid=984458430"", ""'replication success'!A:M""), 13, FAlSE)"),"abstract")</f>
        <v>abstract</v>
      </c>
      <c r="BB287" s="61" t="str">
        <f>IFERROR(__xludf.DUMMYFUNCTION("REGEXREPLACE(G287, ""_[a-z]{1,2}$"", """")"),"additional_studies41")</f>
        <v>additional_studies41</v>
      </c>
      <c r="BC287" s="129"/>
      <c r="BD287" s="124" t="s">
        <v>144</v>
      </c>
      <c r="BG287" s="71"/>
      <c r="BH287" s="71"/>
      <c r="BI287" s="71"/>
      <c r="BJ287" s="71"/>
      <c r="BK287" s="71"/>
      <c r="BL287" s="71"/>
      <c r="BM287" s="71"/>
      <c r="BN287" s="71"/>
      <c r="BO287" s="71"/>
      <c r="BP287" s="71"/>
      <c r="BQ287" s="71"/>
      <c r="BR287" s="71"/>
      <c r="BS287" s="71"/>
      <c r="BT287" s="71"/>
      <c r="BU287" s="71"/>
      <c r="BV287" s="71"/>
      <c r="BW287" s="71"/>
      <c r="BX287" s="71"/>
      <c r="BY287" s="71"/>
      <c r="BZ287" s="71"/>
      <c r="CA287" s="71"/>
      <c r="CB287" s="71"/>
      <c r="CC287" s="71"/>
      <c r="CD287" s="71"/>
      <c r="CE287" s="71"/>
      <c r="CF287" s="71"/>
      <c r="CG287" s="71"/>
      <c r="CH287" s="71"/>
      <c r="CI287" s="71"/>
      <c r="CJ287" s="71"/>
      <c r="CK287" s="71"/>
      <c r="CL287" s="71"/>
      <c r="CM287" s="71"/>
      <c r="CN287" s="71"/>
      <c r="CO287" s="71"/>
      <c r="CP287" s="71"/>
      <c r="CQ287" s="71"/>
      <c r="CR287" s="71"/>
      <c r="CS287" s="71"/>
      <c r="CT287" s="71"/>
      <c r="CU287" s="71"/>
      <c r="CV287" s="71"/>
      <c r="CW287" s="71"/>
      <c r="CX287" s="71"/>
      <c r="CY287" s="71"/>
      <c r="CZ287" s="71"/>
      <c r="DA287" s="71"/>
      <c r="DB287" s="71"/>
      <c r="DC287" s="71"/>
      <c r="DD287" s="71"/>
      <c r="DE287" s="71"/>
      <c r="DF287" s="71"/>
      <c r="DG287" s="71"/>
      <c r="DH287" s="71"/>
      <c r="DI287" s="71"/>
      <c r="DJ287" s="71"/>
      <c r="DK287" s="71"/>
      <c r="DL287" s="71"/>
    </row>
    <row r="288" ht="20.25" customHeight="1">
      <c r="A288" s="44">
        <v>288.0</v>
      </c>
      <c r="B288" s="93" t="s">
        <v>152</v>
      </c>
      <c r="C288" s="93" t="s">
        <v>115</v>
      </c>
      <c r="D288" s="93" t="s">
        <v>1458</v>
      </c>
      <c r="E288" s="92"/>
      <c r="F288" s="407" t="s">
        <v>1670</v>
      </c>
      <c r="G288" s="76" t="s">
        <v>1698</v>
      </c>
      <c r="H288" s="76" t="s">
        <v>1518</v>
      </c>
      <c r="I288" s="647">
        <v>45640.0</v>
      </c>
      <c r="J288" s="630">
        <v>45670.0</v>
      </c>
      <c r="K288" s="76" t="s">
        <v>1699</v>
      </c>
      <c r="L288" s="631" t="s">
        <v>1673</v>
      </c>
      <c r="M288" s="632" t="s">
        <v>1700</v>
      </c>
      <c r="N288" s="648" t="s">
        <v>1675</v>
      </c>
      <c r="O288" s="79">
        <v>1.0</v>
      </c>
      <c r="P288" s="99" t="str">
        <f> SUBSTITUTE(lower(N288), "/", "--") &amp;  ".pdf"</f>
        <v>10.1002--pam.21702.pdf</v>
      </c>
      <c r="Q288" s="52" t="str">
        <f t="array" ref="Q288"> if(iserror(MATCH(V288, 'File Links'!C:C, 0)), "N/A", HYPERLINK(INDEX('File Links'!B:B, MATCH(P288, 'File Links'!C:C, 0))))</f>
        <v>https://drive.google.com/file/d/1NxD4srcP8NGAkHA1AWvYHXJLyf_l73EF/view?usp=drivesdk</v>
      </c>
      <c r="R288" s="101" t="s">
        <v>1676</v>
      </c>
      <c r="S288" s="648" t="s">
        <v>1677</v>
      </c>
      <c r="T288" s="82"/>
      <c r="U288" s="633">
        <v>2.0</v>
      </c>
      <c r="V288" s="112" t="str">
        <f t="shared" si="6"/>
        <v>10.1111--padm.12860.pdf</v>
      </c>
      <c r="W288" s="76" t="s">
        <v>1678</v>
      </c>
      <c r="X288" s="54" t="str">
        <f t="array" ref="X288"> if(iserror(MATCH(V288, 'File Links'!C:C, 0)), "N/A", HYPERLINK(INDEX('File Links'!B:B, MATCH(V288, 'File Links'!C:C, 0))))</f>
        <v>https://drive.google.com/file/d/1Zty8FHdgF4Nqed1S2bjomumBBiyC8Mfz/view?usp=drivesdk</v>
      </c>
      <c r="Y288" s="82"/>
      <c r="Z288" s="82" t="s">
        <v>1679</v>
      </c>
      <c r="AA288" s="82" t="s">
        <v>1680</v>
      </c>
      <c r="AB288" s="82" t="s">
        <v>1681</v>
      </c>
      <c r="AC288" s="76" t="s">
        <v>1682</v>
      </c>
      <c r="AD288" s="76" t="s">
        <v>1683</v>
      </c>
      <c r="AE288" s="634">
        <v>45637.0</v>
      </c>
      <c r="AF288" s="635">
        <v>908.0</v>
      </c>
      <c r="AG288" s="635">
        <v>0.55</v>
      </c>
      <c r="AH288" s="595" t="s">
        <v>987</v>
      </c>
      <c r="AI288" s="101" t="s">
        <v>612</v>
      </c>
      <c r="AJ288" s="635">
        <v>0.01</v>
      </c>
      <c r="AK288" s="94" t="s">
        <v>135</v>
      </c>
      <c r="AL288" s="79" t="s">
        <v>136</v>
      </c>
      <c r="AM288" s="76" t="s">
        <v>141</v>
      </c>
      <c r="AN288" s="219" t="s">
        <v>138</v>
      </c>
      <c r="AO288" s="635">
        <v>1228.0</v>
      </c>
      <c r="AP288" s="635">
        <v>1.216</v>
      </c>
      <c r="AQ288" s="82" t="s">
        <v>987</v>
      </c>
      <c r="AR288" s="101">
        <v>10.0</v>
      </c>
      <c r="AS288" s="635">
        <v>0.01</v>
      </c>
      <c r="AT288" s="95" t="s">
        <v>135</v>
      </c>
      <c r="AU288" s="636" t="s">
        <v>186</v>
      </c>
      <c r="AV288" s="95" t="s">
        <v>141</v>
      </c>
      <c r="AW288" s="102" t="s">
        <v>1684</v>
      </c>
      <c r="AX288" s="651" t="s">
        <v>143</v>
      </c>
      <c r="AY288" s="61" t="str">
        <f>IFERROR(__xludf.DUMMYFUNCTION("vlookup(BB288,importrange(""https://docs.google.com/spreadsheets/d/1d2vevQ_7D_v35q4wCQ4RpQ_IPoTwEMB9Yp6ymwlPqew/edit?gid=984458430#gid=984458430"", ""'replication success'!A:K""), 11, FAlSE)"),"successful")</f>
        <v>successful</v>
      </c>
      <c r="AZ288" s="61" t="str">
        <f>IFERROR(__xludf.DUMMYFUNCTION("vlookup(BB288,importrange(""https://docs.google.com/spreadsheets/d/1d2vevQ_7D_v35q4wCQ4RpQ_IPoTwEMB9Yp6ymwlPqew/edit?gid=984458430#gid=984458430"",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8" s="61" t="str">
        <f>IFERROR(__xludf.DUMMYFUNCTION("vlookup(BB288,importrange(""https://docs.google.com/spreadsheets/d/1d2vevQ_7D_v35q4wCQ4RpQ_IPoTwEMB9Yp6ymwlPqew/edit?gid=984458430#gid=984458430"", ""'replication success'!A:M""), 13, FAlSE)"),"abstract")</f>
        <v>abstract</v>
      </c>
      <c r="BB288" s="61" t="str">
        <f>IFERROR(__xludf.DUMMYFUNCTION("REGEXREPLACE(G288, ""_[a-z]{1,2}$"", """")"),"additional_studies41")</f>
        <v>additional_studies41</v>
      </c>
      <c r="BC288" s="129"/>
      <c r="BD288" s="124" t="s">
        <v>144</v>
      </c>
      <c r="BG288" s="228"/>
      <c r="BH288" s="228"/>
      <c r="BI288" s="228"/>
      <c r="BJ288" s="228"/>
      <c r="BK288" s="228"/>
      <c r="BL288" s="228"/>
      <c r="BM288" s="228"/>
      <c r="BN288" s="228"/>
      <c r="BO288" s="228"/>
      <c r="BP288" s="228"/>
      <c r="BQ288" s="228"/>
      <c r="BR288" s="228"/>
      <c r="BS288" s="228"/>
      <c r="BT288" s="228"/>
      <c r="BU288" s="228"/>
      <c r="BV288" s="228"/>
      <c r="BW288" s="228"/>
      <c r="BX288" s="228"/>
      <c r="BY288" s="228"/>
      <c r="BZ288" s="228"/>
      <c r="CA288" s="228"/>
      <c r="CB288" s="228"/>
      <c r="CC288" s="228"/>
      <c r="CD288" s="228"/>
      <c r="CE288" s="228"/>
      <c r="CF288" s="228"/>
      <c r="CG288" s="228"/>
      <c r="CH288" s="228"/>
      <c r="CI288" s="228"/>
      <c r="CJ288" s="228"/>
      <c r="CK288" s="228"/>
      <c r="CL288" s="228"/>
      <c r="CM288" s="228"/>
      <c r="CN288" s="228"/>
      <c r="CO288" s="228"/>
      <c r="CP288" s="228"/>
      <c r="CQ288" s="228"/>
      <c r="CR288" s="228"/>
      <c r="CS288" s="228"/>
      <c r="CT288" s="228"/>
      <c r="CU288" s="228"/>
      <c r="CV288" s="228"/>
      <c r="CW288" s="228"/>
      <c r="CX288" s="228"/>
      <c r="CY288" s="228"/>
      <c r="CZ288" s="228"/>
      <c r="DA288" s="228"/>
      <c r="DB288" s="228"/>
      <c r="DC288" s="228"/>
      <c r="DD288" s="228"/>
      <c r="DE288" s="228"/>
      <c r="DF288" s="228"/>
      <c r="DG288" s="228"/>
      <c r="DH288" s="228"/>
      <c r="DI288" s="228"/>
      <c r="DJ288" s="228"/>
      <c r="DK288" s="228"/>
      <c r="DL288" s="228"/>
    </row>
    <row r="289" ht="20.25" customHeight="1">
      <c r="A289" s="44">
        <v>289.0</v>
      </c>
      <c r="B289" s="93" t="s">
        <v>152</v>
      </c>
      <c r="C289" s="638" t="s">
        <v>115</v>
      </c>
      <c r="D289" s="397" t="s">
        <v>1441</v>
      </c>
      <c r="E289" s="220"/>
      <c r="F289" s="407" t="s">
        <v>1670</v>
      </c>
      <c r="G289" s="399" t="s">
        <v>1698</v>
      </c>
      <c r="H289" s="399" t="s">
        <v>1444</v>
      </c>
      <c r="I289" s="641">
        <v>45637.0</v>
      </c>
      <c r="J289" s="642">
        <v>45670.0</v>
      </c>
      <c r="K289" s="402"/>
      <c r="L289" s="631" t="s">
        <v>1673</v>
      </c>
      <c r="M289" s="399" t="s">
        <v>1685</v>
      </c>
      <c r="N289" s="399" t="s">
        <v>1675</v>
      </c>
      <c r="O289" s="631">
        <v>1.0</v>
      </c>
      <c r="P289" s="403" t="str">
        <f>SUBSTITUTE(LOWER(N289), "/", "--") &amp;  ".pdf"</f>
        <v>10.1002--pam.21702.pdf</v>
      </c>
      <c r="Q289" s="52" t="str">
        <f t="array" ref="Q289"> if(iserror(MATCH(V289, 'File Links'!C:C, 0)), "N/A", HYPERLINK(INDEX('File Links'!B:B, MATCH(P289, 'File Links'!C:C, 0))))</f>
        <v>https://drive.google.com/file/d/1NxD4srcP8NGAkHA1AWvYHXJLyf_l73EF/view?usp=drivesdk</v>
      </c>
      <c r="R289" s="101" t="s">
        <v>1676</v>
      </c>
      <c r="S289" s="399" t="s">
        <v>1677</v>
      </c>
      <c r="T289" s="402"/>
      <c r="U289" s="633">
        <v>2.0</v>
      </c>
      <c r="V289" s="112" t="str">
        <f t="shared" si="6"/>
        <v>10.1111--padm.12860.pdf</v>
      </c>
      <c r="W289" s="404" t="s">
        <v>1686</v>
      </c>
      <c r="X289" s="54" t="str">
        <f t="array" ref="X289"> if(iserror(MATCH(V289, 'File Links'!C:C, 0)), "N/A", HYPERLINK(INDEX('File Links'!B:B, MATCH(V289, 'File Links'!C:C, 0))))</f>
        <v>https://drive.google.com/file/d/1Zty8FHdgF4Nqed1S2bjomumBBiyC8Mfz/view?usp=drivesdk</v>
      </c>
      <c r="Y289" s="402"/>
      <c r="Z289" s="82" t="s">
        <v>1679</v>
      </c>
      <c r="AA289" s="399" t="s">
        <v>1687</v>
      </c>
      <c r="AB289" s="399" t="s">
        <v>1688</v>
      </c>
      <c r="AC289" s="399" t="s">
        <v>1701</v>
      </c>
      <c r="AD289" s="399" t="s">
        <v>1690</v>
      </c>
      <c r="AE289" s="406">
        <v>10.0</v>
      </c>
      <c r="AF289" s="406">
        <v>908.0</v>
      </c>
      <c r="AG289" s="652">
        <v>0.583</v>
      </c>
      <c r="AH289" s="405" t="s">
        <v>987</v>
      </c>
      <c r="AI289" s="101" t="s">
        <v>632</v>
      </c>
      <c r="AJ289" s="406">
        <v>0.001</v>
      </c>
      <c r="AK289" s="398" t="s">
        <v>135</v>
      </c>
      <c r="AL289" s="402" t="s">
        <v>186</v>
      </c>
      <c r="AM289" s="402" t="s">
        <v>141</v>
      </c>
      <c r="AN289" s="219" t="s">
        <v>138</v>
      </c>
      <c r="AO289" s="406">
        <v>992.0</v>
      </c>
      <c r="AP289" s="577">
        <v>1.121</v>
      </c>
      <c r="AQ289" s="402" t="s">
        <v>987</v>
      </c>
      <c r="AR289" s="645">
        <v>9.0</v>
      </c>
      <c r="AS289" s="408">
        <v>0.001</v>
      </c>
      <c r="AT289" s="398" t="s">
        <v>135</v>
      </c>
      <c r="AU289" s="398" t="s">
        <v>186</v>
      </c>
      <c r="AV289" s="398" t="s">
        <v>141</v>
      </c>
      <c r="AW289" s="637" t="s">
        <v>1684</v>
      </c>
      <c r="AX289" s="407" t="s">
        <v>143</v>
      </c>
      <c r="AY289" s="61" t="str">
        <f>IFERROR(__xludf.DUMMYFUNCTION("vlookup(BB289,importrange(""https://docs.google.com/spreadsheets/d/1d2vevQ_7D_v35q4wCQ4RpQ_IPoTwEMB9Yp6ymwlPqew/edit?gid=984458430#gid=984458430"", ""'replication success'!A:K""), 11, FAlSE)"),"successful")</f>
        <v>successful</v>
      </c>
      <c r="AZ289" s="61" t="str">
        <f>IFERROR(__xludf.DUMMYFUNCTION("vlookup(BB289,importrange(""https://docs.google.com/spreadsheets/d/1d2vevQ_7D_v35q4wCQ4RpQ_IPoTwEMB9Yp6ymwlPqew/edit?gid=984458430#gid=984458430"",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89" s="61" t="str">
        <f>IFERROR(__xludf.DUMMYFUNCTION("vlookup(BB289,importrange(""https://docs.google.com/spreadsheets/d/1d2vevQ_7D_v35q4wCQ4RpQ_IPoTwEMB9Yp6ymwlPqew/edit?gid=984458430#gid=984458430"", ""'replication success'!A:M""), 13, FAlSE)"),"abstract")</f>
        <v>abstract</v>
      </c>
      <c r="BB289" s="61" t="str">
        <f>IFERROR(__xludf.DUMMYFUNCTION("REGEXREPLACE(G289, ""_[a-z]{1,2}$"", """")"),"additional_studies41")</f>
        <v>additional_studies41</v>
      </c>
      <c r="BC289" s="129"/>
      <c r="BD289" s="124" t="s">
        <v>144</v>
      </c>
      <c r="BG289" s="71"/>
      <c r="BH289" s="71"/>
      <c r="BI289" s="71"/>
      <c r="BJ289" s="71"/>
      <c r="BK289" s="71"/>
      <c r="BL289" s="71"/>
      <c r="BM289" s="71"/>
      <c r="BN289" s="71"/>
      <c r="BO289" s="71"/>
      <c r="BP289" s="71"/>
      <c r="BQ289" s="71"/>
      <c r="BR289" s="71"/>
      <c r="BS289" s="71"/>
      <c r="BT289" s="71"/>
      <c r="BU289" s="71"/>
      <c r="BV289" s="71"/>
      <c r="BW289" s="71"/>
      <c r="BX289" s="71"/>
      <c r="BY289" s="71"/>
      <c r="BZ289" s="71"/>
      <c r="CA289" s="71"/>
      <c r="CB289" s="71"/>
      <c r="CC289" s="71"/>
      <c r="CD289" s="71"/>
      <c r="CE289" s="71"/>
      <c r="CF289" s="71"/>
      <c r="CG289" s="71"/>
      <c r="CH289" s="71"/>
      <c r="CI289" s="71"/>
      <c r="CJ289" s="71"/>
      <c r="CK289" s="71"/>
      <c r="CL289" s="71"/>
      <c r="CM289" s="71"/>
      <c r="CN289" s="71"/>
      <c r="CO289" s="71"/>
      <c r="CP289" s="71"/>
      <c r="CQ289" s="71"/>
      <c r="CR289" s="71"/>
      <c r="CS289" s="71"/>
      <c r="CT289" s="71"/>
      <c r="CU289" s="71"/>
      <c r="CV289" s="71"/>
      <c r="CW289" s="71"/>
      <c r="CX289" s="71"/>
      <c r="CY289" s="71"/>
      <c r="CZ289" s="71"/>
      <c r="DA289" s="71"/>
      <c r="DB289" s="71"/>
      <c r="DC289" s="71"/>
      <c r="DD289" s="71"/>
      <c r="DE289" s="71"/>
      <c r="DF289" s="71"/>
      <c r="DG289" s="71"/>
      <c r="DH289" s="71"/>
      <c r="DI289" s="71"/>
      <c r="DJ289" s="71"/>
      <c r="DK289" s="71"/>
      <c r="DL289" s="71"/>
    </row>
    <row r="290" ht="20.25" customHeight="1">
      <c r="A290" s="44">
        <v>290.0</v>
      </c>
      <c r="B290" s="93" t="s">
        <v>152</v>
      </c>
      <c r="C290" s="93" t="s">
        <v>115</v>
      </c>
      <c r="D290" s="93" t="s">
        <v>1458</v>
      </c>
      <c r="E290" s="92"/>
      <c r="F290" s="407" t="s">
        <v>1670</v>
      </c>
      <c r="G290" s="76" t="s">
        <v>1702</v>
      </c>
      <c r="H290" s="76" t="s">
        <v>1518</v>
      </c>
      <c r="I290" s="647">
        <v>45640.0</v>
      </c>
      <c r="J290" s="630">
        <v>45670.0</v>
      </c>
      <c r="K290" s="76" t="s">
        <v>1699</v>
      </c>
      <c r="L290" s="631" t="s">
        <v>1673</v>
      </c>
      <c r="M290" s="632" t="s">
        <v>1703</v>
      </c>
      <c r="N290" s="648" t="s">
        <v>1675</v>
      </c>
      <c r="O290" s="79">
        <v>1.0</v>
      </c>
      <c r="P290" s="99" t="str">
        <f> SUBSTITUTE(lower(N290), "/", "--") &amp;  ".pdf"</f>
        <v>10.1002--pam.21702.pdf</v>
      </c>
      <c r="Q290" s="52" t="str">
        <f t="array" ref="Q290"> if(iserror(MATCH(V290, 'File Links'!C:C, 0)), "N/A", HYPERLINK(INDEX('File Links'!B:B, MATCH(P290, 'File Links'!C:C, 0))))</f>
        <v>https://drive.google.com/file/d/1NxD4srcP8NGAkHA1AWvYHXJLyf_l73EF/view?usp=drivesdk</v>
      </c>
      <c r="R290" s="101" t="s">
        <v>1676</v>
      </c>
      <c r="S290" s="648" t="s">
        <v>1677</v>
      </c>
      <c r="T290" s="82"/>
      <c r="U290" s="633">
        <v>2.0</v>
      </c>
      <c r="V290" s="112" t="str">
        <f t="shared" si="6"/>
        <v>10.1111--padm.12860.pdf</v>
      </c>
      <c r="W290" s="76" t="s">
        <v>1678</v>
      </c>
      <c r="X290" s="54" t="str">
        <f t="array" ref="X290"> if(iserror(MATCH(V290, 'File Links'!C:C, 0)), "N/A", HYPERLINK(INDEX('File Links'!B:B, MATCH(V290, 'File Links'!C:C, 0))))</f>
        <v>https://drive.google.com/file/d/1Zty8FHdgF4Nqed1S2bjomumBBiyC8Mfz/view?usp=drivesdk</v>
      </c>
      <c r="Y290" s="82"/>
      <c r="Z290" s="82" t="s">
        <v>1679</v>
      </c>
      <c r="AA290" s="82" t="s">
        <v>1680</v>
      </c>
      <c r="AB290" s="82" t="s">
        <v>1681</v>
      </c>
      <c r="AC290" s="76" t="s">
        <v>1682</v>
      </c>
      <c r="AD290" s="76" t="s">
        <v>1692</v>
      </c>
      <c r="AE290" s="634">
        <v>45637.0</v>
      </c>
      <c r="AF290" s="635">
        <v>908.0</v>
      </c>
      <c r="AG290" s="117">
        <v>-0.01</v>
      </c>
      <c r="AH290" s="595" t="s">
        <v>987</v>
      </c>
      <c r="AI290" s="101" t="s">
        <v>632</v>
      </c>
      <c r="AJ290" s="622" t="s">
        <v>138</v>
      </c>
      <c r="AK290" s="622" t="s">
        <v>138</v>
      </c>
      <c r="AL290" s="79" t="s">
        <v>136</v>
      </c>
      <c r="AM290" s="76" t="s">
        <v>141</v>
      </c>
      <c r="AN290" s="219" t="s">
        <v>138</v>
      </c>
      <c r="AO290" s="635">
        <v>1228.0</v>
      </c>
      <c r="AP290" s="635">
        <v>0.005</v>
      </c>
      <c r="AQ290" s="82" t="s">
        <v>987</v>
      </c>
      <c r="AR290" s="101">
        <v>10.0</v>
      </c>
      <c r="AS290" s="79" t="s">
        <v>138</v>
      </c>
      <c r="AT290" s="79" t="s">
        <v>138</v>
      </c>
      <c r="AU290" s="636" t="s">
        <v>186</v>
      </c>
      <c r="AV290" s="95" t="s">
        <v>141</v>
      </c>
      <c r="AW290" s="102" t="s">
        <v>1684</v>
      </c>
      <c r="AX290" s="651" t="s">
        <v>143</v>
      </c>
      <c r="AY290" s="61" t="str">
        <f>IFERROR(__xludf.DUMMYFUNCTION("vlookup(BB290,importrange(""https://docs.google.com/spreadsheets/d/1d2vevQ_7D_v35q4wCQ4RpQ_IPoTwEMB9Yp6ymwlPqew/edit?gid=984458430#gid=984458430"", ""'replication success'!A:K""), 11, FAlSE)"),"successful")</f>
        <v>successful</v>
      </c>
      <c r="AZ290" s="61" t="str">
        <f>IFERROR(__xludf.DUMMYFUNCTION("vlookup(BB290,importrange(""https://docs.google.com/spreadsheets/d/1d2vevQ_7D_v35q4wCQ4RpQ_IPoTwEMB9Yp6ymwlPqew/edit?gid=984458430#gid=984458430"",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0" s="61" t="str">
        <f>IFERROR(__xludf.DUMMYFUNCTION("vlookup(BB290,importrange(""https://docs.google.com/spreadsheets/d/1d2vevQ_7D_v35q4wCQ4RpQ_IPoTwEMB9Yp6ymwlPqew/edit?gid=984458430#gid=984458430"", ""'replication success'!A:M""), 13, FAlSE)"),"abstract")</f>
        <v>abstract</v>
      </c>
      <c r="BB290" s="61" t="str">
        <f>IFERROR(__xludf.DUMMYFUNCTION("REGEXREPLACE(G290, ""_[a-z]{1,2}$"", """")"),"additional_studies41")</f>
        <v>additional_studies41</v>
      </c>
      <c r="BC290" s="129"/>
      <c r="BD290" s="124" t="s">
        <v>144</v>
      </c>
      <c r="BG290" s="228"/>
      <c r="BH290" s="228"/>
      <c r="BI290" s="228"/>
      <c r="BJ290" s="228"/>
      <c r="BK290" s="228"/>
      <c r="BL290" s="228"/>
      <c r="BM290" s="228"/>
      <c r="BN290" s="228"/>
      <c r="BO290" s="228"/>
      <c r="BP290" s="228"/>
      <c r="BQ290" s="228"/>
      <c r="BR290" s="228"/>
      <c r="BS290" s="228"/>
      <c r="BT290" s="228"/>
      <c r="BU290" s="228"/>
      <c r="BV290" s="228"/>
      <c r="BW290" s="228"/>
      <c r="BX290" s="228"/>
      <c r="BY290" s="228"/>
      <c r="BZ290" s="228"/>
      <c r="CA290" s="228"/>
      <c r="CB290" s="228"/>
      <c r="CC290" s="228"/>
      <c r="CD290" s="228"/>
      <c r="CE290" s="228"/>
      <c r="CF290" s="228"/>
      <c r="CG290" s="228"/>
      <c r="CH290" s="228"/>
      <c r="CI290" s="228"/>
      <c r="CJ290" s="228"/>
      <c r="CK290" s="228"/>
      <c r="CL290" s="228"/>
      <c r="CM290" s="228"/>
      <c r="CN290" s="228"/>
      <c r="CO290" s="228"/>
      <c r="CP290" s="228"/>
      <c r="CQ290" s="228"/>
      <c r="CR290" s="228"/>
      <c r="CS290" s="228"/>
      <c r="CT290" s="228"/>
      <c r="CU290" s="228"/>
      <c r="CV290" s="228"/>
      <c r="CW290" s="228"/>
      <c r="CX290" s="228"/>
      <c r="CY290" s="228"/>
      <c r="CZ290" s="228"/>
      <c r="DA290" s="228"/>
      <c r="DB290" s="228"/>
      <c r="DC290" s="228"/>
      <c r="DD290" s="228"/>
      <c r="DE290" s="228"/>
      <c r="DF290" s="228"/>
      <c r="DG290" s="228"/>
      <c r="DH290" s="228"/>
      <c r="DI290" s="228"/>
      <c r="DJ290" s="228"/>
      <c r="DK290" s="228"/>
      <c r="DL290" s="228"/>
    </row>
    <row r="291" ht="20.25" customHeight="1">
      <c r="A291" s="44">
        <v>291.0</v>
      </c>
      <c r="B291" s="93" t="s">
        <v>152</v>
      </c>
      <c r="C291" s="638" t="s">
        <v>115</v>
      </c>
      <c r="D291" s="397" t="s">
        <v>1441</v>
      </c>
      <c r="E291" s="220"/>
      <c r="F291" s="407" t="s">
        <v>1670</v>
      </c>
      <c r="G291" s="399" t="s">
        <v>1702</v>
      </c>
      <c r="H291" s="399" t="s">
        <v>1444</v>
      </c>
      <c r="I291" s="641">
        <v>45637.0</v>
      </c>
      <c r="J291" s="642">
        <v>45670.0</v>
      </c>
      <c r="K291" s="402"/>
      <c r="L291" s="631" t="s">
        <v>1673</v>
      </c>
      <c r="M291" s="399" t="s">
        <v>1685</v>
      </c>
      <c r="N291" s="399" t="s">
        <v>1675</v>
      </c>
      <c r="O291" s="631">
        <v>1.0</v>
      </c>
      <c r="P291" s="403" t="str">
        <f>SUBSTITUTE(LOWER(N291), "/", "--") &amp;  ".pdf"</f>
        <v>10.1002--pam.21702.pdf</v>
      </c>
      <c r="Q291" s="52" t="str">
        <f t="array" ref="Q291"> if(iserror(MATCH(V291, 'File Links'!C:C, 0)), "N/A", HYPERLINK(INDEX('File Links'!B:B, MATCH(P291, 'File Links'!C:C, 0))))</f>
        <v>https://drive.google.com/file/d/1NxD4srcP8NGAkHA1AWvYHXJLyf_l73EF/view?usp=drivesdk</v>
      </c>
      <c r="R291" s="101" t="s">
        <v>1676</v>
      </c>
      <c r="S291" s="399" t="s">
        <v>1677</v>
      </c>
      <c r="T291" s="402"/>
      <c r="U291" s="633">
        <v>2.0</v>
      </c>
      <c r="V291" s="112" t="str">
        <f t="shared" si="6"/>
        <v>10.1111--padm.12860.pdf</v>
      </c>
      <c r="W291" s="404" t="s">
        <v>1686</v>
      </c>
      <c r="X291" s="54" t="str">
        <f t="array" ref="X291"> if(iserror(MATCH(V291, 'File Links'!C:C, 0)), "N/A", HYPERLINK(INDEX('File Links'!B:B, MATCH(V291, 'File Links'!C:C, 0))))</f>
        <v>https://drive.google.com/file/d/1Zty8FHdgF4Nqed1S2bjomumBBiyC8Mfz/view?usp=drivesdk</v>
      </c>
      <c r="Y291" s="402"/>
      <c r="Z291" s="82" t="s">
        <v>1679</v>
      </c>
      <c r="AA291" s="399" t="s">
        <v>1687</v>
      </c>
      <c r="AB291" s="399" t="s">
        <v>1688</v>
      </c>
      <c r="AC291" s="399" t="s">
        <v>1704</v>
      </c>
      <c r="AD291" s="399" t="s">
        <v>1690</v>
      </c>
      <c r="AE291" s="406">
        <v>10.0</v>
      </c>
      <c r="AF291" s="406">
        <v>908.0</v>
      </c>
      <c r="AG291" s="577">
        <v>0.314</v>
      </c>
      <c r="AH291" s="405" t="s">
        <v>987</v>
      </c>
      <c r="AI291" s="101" t="s">
        <v>632</v>
      </c>
      <c r="AJ291" s="406">
        <v>0.001</v>
      </c>
      <c r="AK291" s="398" t="s">
        <v>135</v>
      </c>
      <c r="AL291" s="402" t="s">
        <v>186</v>
      </c>
      <c r="AM291" s="402" t="s">
        <v>141</v>
      </c>
      <c r="AN291" s="219" t="s">
        <v>138</v>
      </c>
      <c r="AO291" s="406">
        <v>992.0</v>
      </c>
      <c r="AP291" s="577">
        <v>0.33</v>
      </c>
      <c r="AQ291" s="402" t="s">
        <v>987</v>
      </c>
      <c r="AR291" s="645">
        <v>9.0</v>
      </c>
      <c r="AS291" s="408">
        <v>0.001</v>
      </c>
      <c r="AT291" s="398" t="s">
        <v>135</v>
      </c>
      <c r="AU291" s="398" t="s">
        <v>186</v>
      </c>
      <c r="AV291" s="398" t="s">
        <v>141</v>
      </c>
      <c r="AW291" s="637" t="s">
        <v>1684</v>
      </c>
      <c r="AX291" s="407" t="s">
        <v>143</v>
      </c>
      <c r="AY291" s="61" t="str">
        <f>IFERROR(__xludf.DUMMYFUNCTION("vlookup(BB291,importrange(""https://docs.google.com/spreadsheets/d/1d2vevQ_7D_v35q4wCQ4RpQ_IPoTwEMB9Yp6ymwlPqew/edit?gid=984458430#gid=984458430"", ""'replication success'!A:K""), 11, FAlSE)"),"successful")</f>
        <v>successful</v>
      </c>
      <c r="AZ291" s="61" t="str">
        <f>IFERROR(__xludf.DUMMYFUNCTION("vlookup(BB291,importrange(""https://docs.google.com/spreadsheets/d/1d2vevQ_7D_v35q4wCQ4RpQ_IPoTwEMB9Yp6ymwlPqew/edit?gid=984458430#gid=984458430"",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1" s="61" t="str">
        <f>IFERROR(__xludf.DUMMYFUNCTION("vlookup(BB291,importrange(""https://docs.google.com/spreadsheets/d/1d2vevQ_7D_v35q4wCQ4RpQ_IPoTwEMB9Yp6ymwlPqew/edit?gid=984458430#gid=984458430"", ""'replication success'!A:M""), 13, FAlSE)"),"abstract")</f>
        <v>abstract</v>
      </c>
      <c r="BB291" s="61" t="str">
        <f>IFERROR(__xludf.DUMMYFUNCTION("REGEXREPLACE(G291, ""_[a-z]{1,2}$"", """")"),"additional_studies41")</f>
        <v>additional_studies41</v>
      </c>
      <c r="BC291" s="129"/>
      <c r="BD291" s="124" t="s">
        <v>144</v>
      </c>
      <c r="BG291" s="228"/>
      <c r="BH291" s="228"/>
      <c r="BI291" s="228"/>
      <c r="BJ291" s="228"/>
      <c r="BK291" s="228"/>
      <c r="BL291" s="228"/>
      <c r="BM291" s="228"/>
      <c r="BN291" s="228"/>
      <c r="BO291" s="228"/>
      <c r="BP291" s="228"/>
      <c r="BQ291" s="228"/>
      <c r="BR291" s="228"/>
      <c r="BS291" s="228"/>
      <c r="BT291" s="228"/>
      <c r="BU291" s="228"/>
      <c r="BV291" s="228"/>
      <c r="BW291" s="228"/>
      <c r="BX291" s="228"/>
      <c r="BY291" s="228"/>
      <c r="BZ291" s="228"/>
      <c r="CA291" s="228"/>
      <c r="CB291" s="228"/>
      <c r="CC291" s="228"/>
      <c r="CD291" s="228"/>
      <c r="CE291" s="228"/>
      <c r="CF291" s="228"/>
      <c r="CG291" s="228"/>
      <c r="CH291" s="228"/>
      <c r="CI291" s="228"/>
      <c r="CJ291" s="228"/>
      <c r="CK291" s="228"/>
      <c r="CL291" s="228"/>
      <c r="CM291" s="228"/>
      <c r="CN291" s="228"/>
      <c r="CO291" s="228"/>
      <c r="CP291" s="228"/>
      <c r="CQ291" s="228"/>
      <c r="CR291" s="228"/>
      <c r="CS291" s="228"/>
      <c r="CT291" s="228"/>
      <c r="CU291" s="228"/>
      <c r="CV291" s="228"/>
      <c r="CW291" s="228"/>
      <c r="CX291" s="228"/>
      <c r="CY291" s="228"/>
      <c r="CZ291" s="228"/>
      <c r="DA291" s="228"/>
      <c r="DB291" s="228"/>
      <c r="DC291" s="228"/>
      <c r="DD291" s="228"/>
      <c r="DE291" s="228"/>
      <c r="DF291" s="228"/>
      <c r="DG291" s="228"/>
      <c r="DH291" s="228"/>
      <c r="DI291" s="228"/>
      <c r="DJ291" s="228"/>
      <c r="DK291" s="228"/>
      <c r="DL291" s="228"/>
    </row>
    <row r="292" ht="20.25" customHeight="1">
      <c r="A292" s="44">
        <v>292.0</v>
      </c>
      <c r="B292" s="93" t="s">
        <v>152</v>
      </c>
      <c r="C292" s="93" t="s">
        <v>115</v>
      </c>
      <c r="D292" s="93" t="s">
        <v>1458</v>
      </c>
      <c r="E292" s="92"/>
      <c r="F292" s="407" t="s">
        <v>1670</v>
      </c>
      <c r="G292" s="76" t="s">
        <v>1705</v>
      </c>
      <c r="H292" s="76" t="s">
        <v>1518</v>
      </c>
      <c r="I292" s="647">
        <v>45640.0</v>
      </c>
      <c r="J292" s="630">
        <v>45670.0</v>
      </c>
      <c r="K292" s="76" t="s">
        <v>1699</v>
      </c>
      <c r="L292" s="631" t="s">
        <v>1673</v>
      </c>
      <c r="M292" s="632" t="s">
        <v>1706</v>
      </c>
      <c r="N292" s="648" t="s">
        <v>1675</v>
      </c>
      <c r="O292" s="79">
        <v>1.0</v>
      </c>
      <c r="P292" s="99" t="str">
        <f> SUBSTITUTE(lower(N292), "/", "--") &amp;  ".pdf"</f>
        <v>10.1002--pam.21702.pdf</v>
      </c>
      <c r="Q292" s="52" t="str">
        <f t="array" ref="Q292"> if(iserror(MATCH(V292, 'File Links'!C:C, 0)), "N/A", HYPERLINK(INDEX('File Links'!B:B, MATCH(P292, 'File Links'!C:C, 0))))</f>
        <v>https://drive.google.com/file/d/1NxD4srcP8NGAkHA1AWvYHXJLyf_l73EF/view?usp=drivesdk</v>
      </c>
      <c r="R292" s="101" t="s">
        <v>1676</v>
      </c>
      <c r="S292" s="648" t="s">
        <v>1677</v>
      </c>
      <c r="T292" s="82"/>
      <c r="U292" s="633">
        <v>2.0</v>
      </c>
      <c r="V292" s="112" t="str">
        <f t="shared" si="6"/>
        <v>10.1111--padm.12860.pdf</v>
      </c>
      <c r="W292" s="76" t="s">
        <v>1678</v>
      </c>
      <c r="X292" s="54" t="str">
        <f t="array" ref="X292"> if(iserror(MATCH(V292, 'File Links'!C:C, 0)), "N/A", HYPERLINK(INDEX('File Links'!B:B, MATCH(V292, 'File Links'!C:C, 0))))</f>
        <v>https://drive.google.com/file/d/1Zty8FHdgF4Nqed1S2bjomumBBiyC8Mfz/view?usp=drivesdk</v>
      </c>
      <c r="Y292" s="82"/>
      <c r="Z292" s="82" t="s">
        <v>1679</v>
      </c>
      <c r="AA292" s="82" t="s">
        <v>1680</v>
      </c>
      <c r="AB292" s="82" t="s">
        <v>1681</v>
      </c>
      <c r="AC292" s="76" t="s">
        <v>1682</v>
      </c>
      <c r="AD292" s="76" t="s">
        <v>1696</v>
      </c>
      <c r="AE292" s="634">
        <v>45637.0</v>
      </c>
      <c r="AF292" s="635">
        <v>908.0</v>
      </c>
      <c r="AG292" s="479">
        <v>0.08</v>
      </c>
      <c r="AH292" s="595" t="s">
        <v>987</v>
      </c>
      <c r="AI292" s="101" t="s">
        <v>612</v>
      </c>
      <c r="AJ292" s="622" t="s">
        <v>138</v>
      </c>
      <c r="AK292" s="622" t="s">
        <v>138</v>
      </c>
      <c r="AL292" s="79" t="s">
        <v>136</v>
      </c>
      <c r="AM292" s="76" t="s">
        <v>141</v>
      </c>
      <c r="AN292" s="219" t="s">
        <v>138</v>
      </c>
      <c r="AO292" s="635">
        <v>1228.0</v>
      </c>
      <c r="AP292" s="635">
        <v>0.017</v>
      </c>
      <c r="AQ292" s="82" t="s">
        <v>987</v>
      </c>
      <c r="AR292" s="101">
        <v>10.0</v>
      </c>
      <c r="AS292" s="79" t="s">
        <v>138</v>
      </c>
      <c r="AT292" s="79" t="s">
        <v>138</v>
      </c>
      <c r="AU292" s="95" t="s">
        <v>186</v>
      </c>
      <c r="AV292" s="95" t="s">
        <v>141</v>
      </c>
      <c r="AW292" s="102" t="s">
        <v>1684</v>
      </c>
      <c r="AX292" s="651" t="s">
        <v>143</v>
      </c>
      <c r="AY292" s="61" t="str">
        <f>IFERROR(__xludf.DUMMYFUNCTION("vlookup(BB292,importrange(""https://docs.google.com/spreadsheets/d/1d2vevQ_7D_v35q4wCQ4RpQ_IPoTwEMB9Yp6ymwlPqew/edit?gid=984458430#gid=984458430"", ""'replication success'!A:K""), 11, FAlSE)"),"successful")</f>
        <v>successful</v>
      </c>
      <c r="AZ292" s="61" t="str">
        <f>IFERROR(__xludf.DUMMYFUNCTION("vlookup(BB292,importrange(""https://docs.google.com/spreadsheets/d/1d2vevQ_7D_v35q4wCQ4RpQ_IPoTwEMB9Yp6ymwlPqew/edit?gid=984458430#gid=984458430"",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2" s="61" t="str">
        <f>IFERROR(__xludf.DUMMYFUNCTION("vlookup(BB292,importrange(""https://docs.google.com/spreadsheets/d/1d2vevQ_7D_v35q4wCQ4RpQ_IPoTwEMB9Yp6ymwlPqew/edit?gid=984458430#gid=984458430"", ""'replication success'!A:M""), 13, FAlSE)"),"abstract")</f>
        <v>abstract</v>
      </c>
      <c r="BB292" s="61" t="str">
        <f>IFERROR(__xludf.DUMMYFUNCTION("REGEXREPLACE(G292, ""_[a-z]{1,2}$"", """")"),"additional_studies41")</f>
        <v>additional_studies41</v>
      </c>
      <c r="BC292" s="129"/>
      <c r="BD292" s="124" t="s">
        <v>144</v>
      </c>
    </row>
    <row r="293" ht="20.25" customHeight="1">
      <c r="A293" s="44">
        <v>293.0</v>
      </c>
      <c r="B293" s="93" t="s">
        <v>152</v>
      </c>
      <c r="C293" s="638" t="s">
        <v>115</v>
      </c>
      <c r="D293" s="397" t="s">
        <v>1441</v>
      </c>
      <c r="E293" s="220"/>
      <c r="F293" s="407" t="s">
        <v>1670</v>
      </c>
      <c r="G293" s="399" t="s">
        <v>1705</v>
      </c>
      <c r="H293" s="640" t="s">
        <v>1444</v>
      </c>
      <c r="I293" s="641">
        <v>45637.0</v>
      </c>
      <c r="J293" s="642">
        <v>45670.0</v>
      </c>
      <c r="K293" s="402"/>
      <c r="L293" s="631" t="s">
        <v>1673</v>
      </c>
      <c r="M293" s="399" t="s">
        <v>1685</v>
      </c>
      <c r="N293" s="399" t="s">
        <v>1675</v>
      </c>
      <c r="O293" s="631">
        <v>1.0</v>
      </c>
      <c r="P293" s="403" t="str">
        <f t="shared" ref="P293:P297" si="7">SUBSTITUTE(LOWER(N293), "/", "--") &amp;  ".pdf"</f>
        <v>10.1002--pam.21702.pdf</v>
      </c>
      <c r="Q293" s="52" t="str">
        <f t="array" ref="Q293"> if(iserror(MATCH(V293, 'File Links'!C:C, 0)), "N/A", HYPERLINK(INDEX('File Links'!B:B, MATCH(P293, 'File Links'!C:C, 0))))</f>
        <v>https://drive.google.com/file/d/1NxD4srcP8NGAkHA1AWvYHXJLyf_l73EF/view?usp=drivesdk</v>
      </c>
      <c r="R293" s="101" t="s">
        <v>1676</v>
      </c>
      <c r="S293" s="399" t="s">
        <v>1677</v>
      </c>
      <c r="T293" s="402"/>
      <c r="U293" s="633">
        <v>2.0</v>
      </c>
      <c r="V293" s="112" t="str">
        <f t="shared" si="6"/>
        <v>10.1111--padm.12860.pdf</v>
      </c>
      <c r="W293" s="404" t="s">
        <v>1686</v>
      </c>
      <c r="X293" s="54" t="str">
        <f t="array" ref="X293"> if(iserror(MATCH(V293, 'File Links'!C:C, 0)), "N/A", HYPERLINK(INDEX('File Links'!B:B, MATCH(V293, 'File Links'!C:C, 0))))</f>
        <v>https://drive.google.com/file/d/1Zty8FHdgF4Nqed1S2bjomumBBiyC8Mfz/view?usp=drivesdk</v>
      </c>
      <c r="Y293" s="402"/>
      <c r="Z293" s="82" t="s">
        <v>1679</v>
      </c>
      <c r="AA293" s="399" t="s">
        <v>1687</v>
      </c>
      <c r="AB293" s="399" t="s">
        <v>1688</v>
      </c>
      <c r="AC293" s="399" t="s">
        <v>1707</v>
      </c>
      <c r="AD293" s="399" t="s">
        <v>1690</v>
      </c>
      <c r="AE293" s="406">
        <v>10.0</v>
      </c>
      <c r="AF293" s="406">
        <v>908.0</v>
      </c>
      <c r="AG293" s="643">
        <v>-0.903</v>
      </c>
      <c r="AH293" s="405" t="s">
        <v>987</v>
      </c>
      <c r="AI293" s="101" t="s">
        <v>632</v>
      </c>
      <c r="AJ293" s="406">
        <v>0.001</v>
      </c>
      <c r="AK293" s="398" t="s">
        <v>135</v>
      </c>
      <c r="AL293" s="402" t="s">
        <v>186</v>
      </c>
      <c r="AM293" s="402" t="s">
        <v>141</v>
      </c>
      <c r="AN293" s="219" t="s">
        <v>138</v>
      </c>
      <c r="AO293" s="406">
        <v>1228.0</v>
      </c>
      <c r="AP293" s="466">
        <v>-0.371</v>
      </c>
      <c r="AQ293" s="402" t="s">
        <v>987</v>
      </c>
      <c r="AR293" s="645">
        <v>9.0</v>
      </c>
      <c r="AS293" s="408">
        <v>0.001</v>
      </c>
      <c r="AT293" s="398" t="s">
        <v>135</v>
      </c>
      <c r="AU293" s="398" t="s">
        <v>186</v>
      </c>
      <c r="AV293" s="398" t="s">
        <v>141</v>
      </c>
      <c r="AW293" s="637" t="s">
        <v>1684</v>
      </c>
      <c r="AX293" s="407" t="s">
        <v>143</v>
      </c>
      <c r="AY293" s="61" t="str">
        <f>IFERROR(__xludf.DUMMYFUNCTION("vlookup(BB293,importrange(""https://docs.google.com/spreadsheets/d/1d2vevQ_7D_v35q4wCQ4RpQ_IPoTwEMB9Yp6ymwlPqew/edit?gid=984458430#gid=984458430"", ""'replication success'!A:K""), 11, FAlSE)"),"successful")</f>
        <v>successful</v>
      </c>
      <c r="AZ293" s="61" t="str">
        <f>IFERROR(__xludf.DUMMYFUNCTION("vlookup(BB293,importrange(""https://docs.google.com/spreadsheets/d/1d2vevQ_7D_v35q4wCQ4RpQ_IPoTwEMB9Yp6ymwlPqew/edit?gid=984458430#gid=984458430"",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3" s="61" t="str">
        <f>IFERROR(__xludf.DUMMYFUNCTION("vlookup(BB293,importrange(""https://docs.google.com/spreadsheets/d/1d2vevQ_7D_v35q4wCQ4RpQ_IPoTwEMB9Yp6ymwlPqew/edit?gid=984458430#gid=984458430"", ""'replication success'!A:M""), 13, FAlSE)"),"abstract")</f>
        <v>abstract</v>
      </c>
      <c r="BB293" s="61" t="str">
        <f>IFERROR(__xludf.DUMMYFUNCTION("REGEXREPLACE(G293, ""_[a-z]{1,2}$"", """")"),"additional_studies41")</f>
        <v>additional_studies41</v>
      </c>
      <c r="BC293" s="129"/>
      <c r="BD293" s="124" t="s">
        <v>144</v>
      </c>
    </row>
    <row r="294" ht="20.25" customHeight="1">
      <c r="A294" s="44">
        <v>294.0</v>
      </c>
      <c r="B294" s="93" t="s">
        <v>152</v>
      </c>
      <c r="C294" s="638" t="s">
        <v>115</v>
      </c>
      <c r="D294" s="397" t="s">
        <v>1441</v>
      </c>
      <c r="E294" s="220"/>
      <c r="F294" s="407" t="s">
        <v>1670</v>
      </c>
      <c r="G294" s="399" t="s">
        <v>1708</v>
      </c>
      <c r="H294" s="399" t="s">
        <v>1444</v>
      </c>
      <c r="I294" s="641">
        <v>45637.0</v>
      </c>
      <c r="J294" s="642">
        <v>45670.0</v>
      </c>
      <c r="K294" s="402"/>
      <c r="L294" s="631" t="s">
        <v>1673</v>
      </c>
      <c r="M294" s="399" t="s">
        <v>1685</v>
      </c>
      <c r="N294" s="399" t="s">
        <v>1675</v>
      </c>
      <c r="O294" s="631">
        <v>1.0</v>
      </c>
      <c r="P294" s="403" t="str">
        <f t="shared" si="7"/>
        <v>10.1002--pam.21702.pdf</v>
      </c>
      <c r="Q294" s="52" t="str">
        <f t="array" ref="Q294"> if(iserror(MATCH(V294, 'File Links'!C:C, 0)), "N/A", HYPERLINK(INDEX('File Links'!B:B, MATCH(P294, 'File Links'!C:C, 0))))</f>
        <v>https://drive.google.com/file/d/1NxD4srcP8NGAkHA1AWvYHXJLyf_l73EF/view?usp=drivesdk</v>
      </c>
      <c r="R294" s="101" t="s">
        <v>1676</v>
      </c>
      <c r="S294" s="399" t="s">
        <v>1677</v>
      </c>
      <c r="T294" s="402"/>
      <c r="U294" s="633">
        <v>2.0</v>
      </c>
      <c r="V294" s="112" t="str">
        <f t="shared" si="6"/>
        <v>10.1111--padm.12860.pdf</v>
      </c>
      <c r="W294" s="404" t="s">
        <v>1686</v>
      </c>
      <c r="X294" s="54" t="str">
        <f t="array" ref="X294"> if(iserror(MATCH(V294, 'File Links'!C:C, 0)), "N/A", HYPERLINK(INDEX('File Links'!B:B, MATCH(V294, 'File Links'!C:C, 0))))</f>
        <v>https://drive.google.com/file/d/1Zty8FHdgF4Nqed1S2bjomumBBiyC8Mfz/view?usp=drivesdk</v>
      </c>
      <c r="Y294" s="402"/>
      <c r="Z294" s="82" t="s">
        <v>1679</v>
      </c>
      <c r="AA294" s="399" t="s">
        <v>1687</v>
      </c>
      <c r="AB294" s="399" t="s">
        <v>1688</v>
      </c>
      <c r="AC294" s="399" t="s">
        <v>1709</v>
      </c>
      <c r="AD294" s="399" t="s">
        <v>1690</v>
      </c>
      <c r="AE294" s="406">
        <v>10.0</v>
      </c>
      <c r="AF294" s="406">
        <v>908.0</v>
      </c>
      <c r="AG294" s="197">
        <v>1.445</v>
      </c>
      <c r="AH294" s="405" t="s">
        <v>987</v>
      </c>
      <c r="AI294" s="101" t="s">
        <v>632</v>
      </c>
      <c r="AJ294" s="406">
        <v>0.001</v>
      </c>
      <c r="AK294" s="398" t="s">
        <v>135</v>
      </c>
      <c r="AL294" s="402" t="s">
        <v>186</v>
      </c>
      <c r="AM294" s="402" t="s">
        <v>141</v>
      </c>
      <c r="AN294" s="219" t="s">
        <v>138</v>
      </c>
      <c r="AO294" s="406">
        <v>1228.0</v>
      </c>
      <c r="AP294" s="466">
        <v>3.051</v>
      </c>
      <c r="AQ294" s="402" t="s">
        <v>987</v>
      </c>
      <c r="AR294" s="645">
        <v>9.0</v>
      </c>
      <c r="AS294" s="408">
        <v>0.001</v>
      </c>
      <c r="AT294" s="398" t="s">
        <v>135</v>
      </c>
      <c r="AU294" s="398" t="s">
        <v>186</v>
      </c>
      <c r="AV294" s="398" t="s">
        <v>141</v>
      </c>
      <c r="AW294" s="637" t="s">
        <v>1684</v>
      </c>
      <c r="AX294" s="407" t="s">
        <v>143</v>
      </c>
      <c r="AY294" s="61" t="str">
        <f>IFERROR(__xludf.DUMMYFUNCTION("vlookup(BB294,importrange(""https://docs.google.com/spreadsheets/d/1d2vevQ_7D_v35q4wCQ4RpQ_IPoTwEMB9Yp6ymwlPqew/edit?gid=984458430#gid=984458430"", ""'replication success'!A:K""), 11, FAlSE)"),"successful")</f>
        <v>successful</v>
      </c>
      <c r="AZ294" s="61" t="str">
        <f>IFERROR(__xludf.DUMMYFUNCTION("vlookup(BB294,importrange(""https://docs.google.com/spreadsheets/d/1d2vevQ_7D_v35q4wCQ4RpQ_IPoTwEMB9Yp6ymwlPqew/edit?gid=984458430#gid=984458430"",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4" s="61" t="str">
        <f>IFERROR(__xludf.DUMMYFUNCTION("vlookup(BB294,importrange(""https://docs.google.com/spreadsheets/d/1d2vevQ_7D_v35q4wCQ4RpQ_IPoTwEMB9Yp6ymwlPqew/edit?gid=984458430#gid=984458430"", ""'replication success'!A:M""), 13, FAlSE)"),"abstract")</f>
        <v>abstract</v>
      </c>
      <c r="BB294" s="61" t="str">
        <f>IFERROR(__xludf.DUMMYFUNCTION("REGEXREPLACE(G294, ""_[a-z]{1,2}$"", """")"),"additional_studies41")</f>
        <v>additional_studies41</v>
      </c>
      <c r="BC294" s="129"/>
      <c r="BD294" s="124" t="s">
        <v>144</v>
      </c>
    </row>
    <row r="295" ht="20.25" customHeight="1">
      <c r="A295" s="44">
        <v>295.0</v>
      </c>
      <c r="B295" s="93" t="s">
        <v>152</v>
      </c>
      <c r="C295" s="638" t="s">
        <v>115</v>
      </c>
      <c r="D295" s="397" t="s">
        <v>1441</v>
      </c>
      <c r="E295" s="220"/>
      <c r="F295" s="407" t="s">
        <v>1670</v>
      </c>
      <c r="G295" s="399" t="s">
        <v>1710</v>
      </c>
      <c r="H295" s="399" t="s">
        <v>1444</v>
      </c>
      <c r="I295" s="641">
        <v>45637.0</v>
      </c>
      <c r="J295" s="642">
        <v>45670.0</v>
      </c>
      <c r="K295" s="402"/>
      <c r="L295" s="631" t="s">
        <v>1673</v>
      </c>
      <c r="M295" s="399" t="s">
        <v>1685</v>
      </c>
      <c r="N295" s="399" t="s">
        <v>1675</v>
      </c>
      <c r="O295" s="631">
        <v>1.0</v>
      </c>
      <c r="P295" s="403" t="str">
        <f t="shared" si="7"/>
        <v>10.1002--pam.21702.pdf</v>
      </c>
      <c r="Q295" s="52" t="str">
        <f t="array" ref="Q295"> if(iserror(MATCH(V295, 'File Links'!C:C, 0)), "N/A", HYPERLINK(INDEX('File Links'!B:B, MATCH(P295, 'File Links'!C:C, 0))))</f>
        <v>https://drive.google.com/file/d/1NxD4srcP8NGAkHA1AWvYHXJLyf_l73EF/view?usp=drivesdk</v>
      </c>
      <c r="R295" s="101" t="s">
        <v>1676</v>
      </c>
      <c r="S295" s="399" t="s">
        <v>1677</v>
      </c>
      <c r="T295" s="402"/>
      <c r="U295" s="633">
        <v>2.0</v>
      </c>
      <c r="V295" s="112" t="str">
        <f t="shared" si="6"/>
        <v>10.1111--padm.12860.pdf</v>
      </c>
      <c r="W295" s="404" t="s">
        <v>1686</v>
      </c>
      <c r="X295" s="54" t="str">
        <f t="array" ref="X295"> if(iserror(MATCH(V295, 'File Links'!C:C, 0)), "N/A", HYPERLINK(INDEX('File Links'!B:B, MATCH(V295, 'File Links'!C:C, 0))))</f>
        <v>https://drive.google.com/file/d/1Zty8FHdgF4Nqed1S2bjomumBBiyC8Mfz/view?usp=drivesdk</v>
      </c>
      <c r="Y295" s="402"/>
      <c r="Z295" s="82" t="s">
        <v>1679</v>
      </c>
      <c r="AA295" s="399" t="s">
        <v>1687</v>
      </c>
      <c r="AB295" s="399" t="s">
        <v>1688</v>
      </c>
      <c r="AC295" s="399" t="s">
        <v>1711</v>
      </c>
      <c r="AD295" s="399" t="s">
        <v>1690</v>
      </c>
      <c r="AE295" s="406">
        <v>10.0</v>
      </c>
      <c r="AF295" s="406">
        <v>908.0</v>
      </c>
      <c r="AG295" s="130">
        <v>0.354</v>
      </c>
      <c r="AH295" s="405" t="s">
        <v>987</v>
      </c>
      <c r="AI295" s="101" t="s">
        <v>632</v>
      </c>
      <c r="AJ295" s="406">
        <v>0.001</v>
      </c>
      <c r="AK295" s="398" t="s">
        <v>135</v>
      </c>
      <c r="AL295" s="402" t="s">
        <v>186</v>
      </c>
      <c r="AM295" s="402" t="s">
        <v>141</v>
      </c>
      <c r="AN295" s="219" t="s">
        <v>138</v>
      </c>
      <c r="AO295" s="406">
        <v>1228.0</v>
      </c>
      <c r="AP295" s="577">
        <v>0.39</v>
      </c>
      <c r="AQ295" s="402" t="s">
        <v>987</v>
      </c>
      <c r="AR295" s="645">
        <v>9.0</v>
      </c>
      <c r="AS295" s="408">
        <v>0.001</v>
      </c>
      <c r="AT295" s="398" t="s">
        <v>135</v>
      </c>
      <c r="AU295" s="398" t="s">
        <v>186</v>
      </c>
      <c r="AV295" s="398" t="s">
        <v>141</v>
      </c>
      <c r="AW295" s="637" t="s">
        <v>1684</v>
      </c>
      <c r="AX295" s="407" t="s">
        <v>143</v>
      </c>
      <c r="AY295" s="61" t="str">
        <f>IFERROR(__xludf.DUMMYFUNCTION("vlookup(BB295,importrange(""https://docs.google.com/spreadsheets/d/1d2vevQ_7D_v35q4wCQ4RpQ_IPoTwEMB9Yp6ymwlPqew/edit?gid=984458430#gid=984458430"", ""'replication success'!A:K""), 11, FAlSE)"),"successful")</f>
        <v>successful</v>
      </c>
      <c r="AZ295" s="61" t="str">
        <f>IFERROR(__xludf.DUMMYFUNCTION("vlookup(BB295,importrange(""https://docs.google.com/spreadsheets/d/1d2vevQ_7D_v35q4wCQ4RpQ_IPoTwEMB9Yp6ymwlPqew/edit?gid=984458430#gid=984458430"",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5" s="61" t="str">
        <f>IFERROR(__xludf.DUMMYFUNCTION("vlookup(BB295,importrange(""https://docs.google.com/spreadsheets/d/1d2vevQ_7D_v35q4wCQ4RpQ_IPoTwEMB9Yp6ymwlPqew/edit?gid=984458430#gid=984458430"", ""'replication success'!A:M""), 13, FAlSE)"),"abstract")</f>
        <v>abstract</v>
      </c>
      <c r="BB295" s="61" t="str">
        <f>IFERROR(__xludf.DUMMYFUNCTION("REGEXREPLACE(G295, ""_[a-z]{1,2}$"", """")"),"additional_studies41")</f>
        <v>additional_studies41</v>
      </c>
      <c r="BC295" s="129"/>
      <c r="BD295" s="124" t="s">
        <v>144</v>
      </c>
    </row>
    <row r="296" ht="20.25" customHeight="1">
      <c r="A296" s="44">
        <v>296.0</v>
      </c>
      <c r="B296" s="93" t="s">
        <v>152</v>
      </c>
      <c r="C296" s="638" t="s">
        <v>115</v>
      </c>
      <c r="D296" s="397" t="s">
        <v>1441</v>
      </c>
      <c r="E296" s="220"/>
      <c r="F296" s="407" t="s">
        <v>1670</v>
      </c>
      <c r="G296" s="399" t="s">
        <v>1712</v>
      </c>
      <c r="H296" s="399" t="s">
        <v>1444</v>
      </c>
      <c r="I296" s="641">
        <v>45637.0</v>
      </c>
      <c r="J296" s="642">
        <v>45670.0</v>
      </c>
      <c r="K296" s="402"/>
      <c r="L296" s="631" t="s">
        <v>1673</v>
      </c>
      <c r="M296" s="399" t="s">
        <v>1685</v>
      </c>
      <c r="N296" s="399" t="s">
        <v>1675</v>
      </c>
      <c r="O296" s="631">
        <v>1.0</v>
      </c>
      <c r="P296" s="403" t="str">
        <f t="shared" si="7"/>
        <v>10.1002--pam.21702.pdf</v>
      </c>
      <c r="Q296" s="52" t="str">
        <f t="array" ref="Q296"> if(iserror(MATCH(V296, 'File Links'!C:C, 0)), "N/A", HYPERLINK(INDEX('File Links'!B:B, MATCH(P296, 'File Links'!C:C, 0))))</f>
        <v>https://drive.google.com/file/d/1NxD4srcP8NGAkHA1AWvYHXJLyf_l73EF/view?usp=drivesdk</v>
      </c>
      <c r="R296" s="101" t="s">
        <v>1676</v>
      </c>
      <c r="S296" s="399" t="s">
        <v>1677</v>
      </c>
      <c r="T296" s="402"/>
      <c r="U296" s="633">
        <v>2.0</v>
      </c>
      <c r="V296" s="112" t="str">
        <f t="shared" si="6"/>
        <v>10.1111--padm.12860.pdf</v>
      </c>
      <c r="W296" s="404" t="s">
        <v>1686</v>
      </c>
      <c r="X296" s="54" t="str">
        <f t="array" ref="X296"> if(iserror(MATCH(V296, 'File Links'!C:C, 0)), "N/A", HYPERLINK(INDEX('File Links'!B:B, MATCH(V296, 'File Links'!C:C, 0))))</f>
        <v>https://drive.google.com/file/d/1Zty8FHdgF4Nqed1S2bjomumBBiyC8Mfz/view?usp=drivesdk</v>
      </c>
      <c r="Y296" s="402"/>
      <c r="Z296" s="82" t="s">
        <v>1679</v>
      </c>
      <c r="AA296" s="399" t="s">
        <v>1687</v>
      </c>
      <c r="AB296" s="399" t="s">
        <v>1688</v>
      </c>
      <c r="AC296" s="399" t="s">
        <v>1713</v>
      </c>
      <c r="AD296" s="399" t="s">
        <v>1690</v>
      </c>
      <c r="AE296" s="406">
        <v>10.0</v>
      </c>
      <c r="AF296" s="406">
        <v>908.0</v>
      </c>
      <c r="AG296" s="652">
        <v>0.583</v>
      </c>
      <c r="AH296" s="405" t="s">
        <v>987</v>
      </c>
      <c r="AI296" s="101" t="s">
        <v>632</v>
      </c>
      <c r="AJ296" s="406">
        <v>0.001</v>
      </c>
      <c r="AK296" s="398" t="s">
        <v>135</v>
      </c>
      <c r="AL296" s="402" t="s">
        <v>186</v>
      </c>
      <c r="AM296" s="402" t="s">
        <v>141</v>
      </c>
      <c r="AN296" s="219" t="s">
        <v>138</v>
      </c>
      <c r="AO296" s="406">
        <v>1228.0</v>
      </c>
      <c r="AP296" s="577">
        <v>1.243</v>
      </c>
      <c r="AQ296" s="402" t="s">
        <v>987</v>
      </c>
      <c r="AR296" s="645">
        <v>9.0</v>
      </c>
      <c r="AS296" s="408">
        <v>0.001</v>
      </c>
      <c r="AT296" s="398" t="s">
        <v>135</v>
      </c>
      <c r="AU296" s="398" t="s">
        <v>186</v>
      </c>
      <c r="AV296" s="398" t="s">
        <v>141</v>
      </c>
      <c r="AW296" s="637" t="s">
        <v>1684</v>
      </c>
      <c r="AX296" s="407" t="s">
        <v>143</v>
      </c>
      <c r="AY296" s="61" t="str">
        <f>IFERROR(__xludf.DUMMYFUNCTION("vlookup(BB296,importrange(""https://docs.google.com/spreadsheets/d/1d2vevQ_7D_v35q4wCQ4RpQ_IPoTwEMB9Yp6ymwlPqew/edit?gid=984458430#gid=984458430"", ""'replication success'!A:K""), 11, FAlSE)"),"successful")</f>
        <v>successful</v>
      </c>
      <c r="AZ296" s="61" t="str">
        <f>IFERROR(__xludf.DUMMYFUNCTION("vlookup(BB296,importrange(""https://docs.google.com/spreadsheets/d/1d2vevQ_7D_v35q4wCQ4RpQ_IPoTwEMB9Yp6ymwlPqew/edit?gid=984458430#gid=984458430"",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6" s="61" t="str">
        <f>IFERROR(__xludf.DUMMYFUNCTION("vlookup(BB296,importrange(""https://docs.google.com/spreadsheets/d/1d2vevQ_7D_v35q4wCQ4RpQ_IPoTwEMB9Yp6ymwlPqew/edit?gid=984458430#gid=984458430"", ""'replication success'!A:M""), 13, FAlSE)"),"abstract")</f>
        <v>abstract</v>
      </c>
      <c r="BB296" s="61" t="str">
        <f>IFERROR(__xludf.DUMMYFUNCTION("REGEXREPLACE(G296, ""_[a-z]{1,2}$"", """")"),"additional_studies41")</f>
        <v>additional_studies41</v>
      </c>
      <c r="BC296" s="129"/>
      <c r="BD296" s="124" t="s">
        <v>144</v>
      </c>
    </row>
    <row r="297" ht="20.25" customHeight="1">
      <c r="A297" s="44">
        <v>297.0</v>
      </c>
      <c r="B297" s="93" t="s">
        <v>152</v>
      </c>
      <c r="C297" s="638" t="s">
        <v>115</v>
      </c>
      <c r="D297" s="397" t="s">
        <v>1441</v>
      </c>
      <c r="E297" s="220"/>
      <c r="F297" s="407" t="s">
        <v>1670</v>
      </c>
      <c r="G297" s="399" t="s">
        <v>1714</v>
      </c>
      <c r="H297" s="399" t="s">
        <v>1444</v>
      </c>
      <c r="I297" s="641">
        <v>45637.0</v>
      </c>
      <c r="J297" s="642">
        <v>45670.0</v>
      </c>
      <c r="K297" s="402"/>
      <c r="L297" s="631" t="s">
        <v>1673</v>
      </c>
      <c r="M297" s="399" t="s">
        <v>1685</v>
      </c>
      <c r="N297" s="399" t="s">
        <v>1675</v>
      </c>
      <c r="O297" s="631">
        <v>1.0</v>
      </c>
      <c r="P297" s="403" t="str">
        <f t="shared" si="7"/>
        <v>10.1002--pam.21702.pdf</v>
      </c>
      <c r="Q297" s="52" t="str">
        <f t="array" ref="Q297"> if(iserror(MATCH(V297, 'File Links'!C:C, 0)), "N/A", HYPERLINK(INDEX('File Links'!B:B, MATCH(P297, 'File Links'!C:C, 0))))</f>
        <v>https://drive.google.com/file/d/1NxD4srcP8NGAkHA1AWvYHXJLyf_l73EF/view?usp=drivesdk</v>
      </c>
      <c r="R297" s="101" t="s">
        <v>1676</v>
      </c>
      <c r="S297" s="399" t="s">
        <v>1677</v>
      </c>
      <c r="T297" s="402"/>
      <c r="U297" s="633">
        <v>2.0</v>
      </c>
      <c r="V297" s="112" t="str">
        <f t="shared" si="6"/>
        <v>10.1111--padm.12860.pdf</v>
      </c>
      <c r="W297" s="404" t="s">
        <v>1686</v>
      </c>
      <c r="X297" s="54" t="str">
        <f t="array" ref="X297"> if(iserror(MATCH(V297, 'File Links'!C:C, 0)), "N/A", HYPERLINK(INDEX('File Links'!B:B, MATCH(V297, 'File Links'!C:C, 0))))</f>
        <v>https://drive.google.com/file/d/1Zty8FHdgF4Nqed1S2bjomumBBiyC8Mfz/view?usp=drivesdk</v>
      </c>
      <c r="Y297" s="402"/>
      <c r="Z297" s="82" t="s">
        <v>1679</v>
      </c>
      <c r="AA297" s="399" t="s">
        <v>1687</v>
      </c>
      <c r="AB297" s="399" t="s">
        <v>1688</v>
      </c>
      <c r="AC297" s="399" t="s">
        <v>1715</v>
      </c>
      <c r="AD297" s="399" t="s">
        <v>1690</v>
      </c>
      <c r="AE297" s="406">
        <v>10.0</v>
      </c>
      <c r="AF297" s="406">
        <v>908.0</v>
      </c>
      <c r="AG297" s="577">
        <v>0.314</v>
      </c>
      <c r="AH297" s="405" t="s">
        <v>987</v>
      </c>
      <c r="AI297" s="101" t="s">
        <v>632</v>
      </c>
      <c r="AJ297" s="406">
        <v>0.001</v>
      </c>
      <c r="AK297" s="398" t="s">
        <v>135</v>
      </c>
      <c r="AL297" s="402" t="s">
        <v>186</v>
      </c>
      <c r="AM297" s="402" t="s">
        <v>141</v>
      </c>
      <c r="AN297" s="219" t="s">
        <v>138</v>
      </c>
      <c r="AO297" s="406">
        <v>1228.0</v>
      </c>
      <c r="AP297" s="577">
        <v>0.154</v>
      </c>
      <c r="AQ297" s="402" t="s">
        <v>987</v>
      </c>
      <c r="AR297" s="645">
        <v>9.0</v>
      </c>
      <c r="AS297" s="408">
        <v>0.05</v>
      </c>
      <c r="AT297" s="398" t="s">
        <v>135</v>
      </c>
      <c r="AU297" s="398" t="s">
        <v>186</v>
      </c>
      <c r="AV297" s="398" t="s">
        <v>141</v>
      </c>
      <c r="AW297" s="637" t="s">
        <v>1684</v>
      </c>
      <c r="AX297" s="407" t="s">
        <v>143</v>
      </c>
      <c r="AY297" s="61" t="str">
        <f>IFERROR(__xludf.DUMMYFUNCTION("vlookup(BB297,importrange(""https://docs.google.com/spreadsheets/d/1d2vevQ_7D_v35q4wCQ4RpQ_IPoTwEMB9Yp6ymwlPqew/edit?gid=984458430#gid=984458430"", ""'replication success'!A:K""), 11, FAlSE)"),"successful")</f>
        <v>successful</v>
      </c>
      <c r="AZ297" s="61" t="str">
        <f>IFERROR(__xludf.DUMMYFUNCTION("vlookup(BB297,importrange(""https://docs.google.com/spreadsheets/d/1d2vevQ_7D_v35q4wCQ4RpQ_IPoTwEMB9Yp6ymwlPqew/edit?gid=984458430#gid=984458430"", ""'replication success'!A:M""), 12, FAlSE)"),"We found support for the findings reported in Van Ryzin (2013) and concluded that the expectancy-disconfirmation model holds promise in a variety of settings as a framework for measuring citizen satisfaction with public services.")</f>
        <v>We found support for the findings reported in Van Ryzin (2013) and concluded that the expectancy-disconfirmation model holds promise in a variety of settings as a framework for measuring citizen satisfaction with public services.</v>
      </c>
      <c r="BA297" s="61" t="str">
        <f>IFERROR(__xludf.DUMMYFUNCTION("vlookup(BB297,importrange(""https://docs.google.com/spreadsheets/d/1d2vevQ_7D_v35q4wCQ4RpQ_IPoTwEMB9Yp6ymwlPqew/edit?gid=984458430#gid=984458430"", ""'replication success'!A:M""), 13, FAlSE)"),"abstract")</f>
        <v>abstract</v>
      </c>
      <c r="BB297" s="61" t="str">
        <f>IFERROR(__xludf.DUMMYFUNCTION("REGEXREPLACE(G297, ""_[a-z]{1,2}$"", """")"),"additional_studies41")</f>
        <v>additional_studies41</v>
      </c>
      <c r="BC297" s="129"/>
      <c r="BD297" s="124" t="s">
        <v>144</v>
      </c>
    </row>
    <row r="298" ht="20.25" customHeight="1">
      <c r="A298" s="44">
        <v>298.0</v>
      </c>
      <c r="B298" s="149" t="s">
        <v>285</v>
      </c>
      <c r="C298" s="149" t="s">
        <v>115</v>
      </c>
      <c r="D298" s="149" t="s">
        <v>1234</v>
      </c>
      <c r="E298" s="71"/>
      <c r="F298" s="111" t="s">
        <v>1716</v>
      </c>
      <c r="G298" s="112" t="s">
        <v>1717</v>
      </c>
      <c r="H298" s="112" t="s">
        <v>1237</v>
      </c>
      <c r="I298" s="417">
        <v>45433.0</v>
      </c>
      <c r="J298" s="113">
        <v>45641.0</v>
      </c>
      <c r="K298" s="114"/>
      <c r="L298" s="114"/>
      <c r="M298" s="112" t="s">
        <v>1718</v>
      </c>
      <c r="N298" s="112" t="s">
        <v>1719</v>
      </c>
      <c r="O298" s="117">
        <v>1.0</v>
      </c>
      <c r="P298" s="121" t="s">
        <v>1720</v>
      </c>
      <c r="Q298" s="52" t="str">
        <f t="array" ref="Q298"> if(iserror(MATCH(V298, 'File Links'!C:C, 0)), "N/A", HYPERLINK(INDEX('File Links'!B:B, MATCH(P298, 'File Links'!C:C, 0))))</f>
        <v>https://drive.google.com/file/d/14Tmk9XIOQYVh24x1jFR4QedpIbTx_n_e/view?usp=drivesdk</v>
      </c>
      <c r="R298" s="112" t="s">
        <v>1721</v>
      </c>
      <c r="S298" s="116" t="s">
        <v>1722</v>
      </c>
      <c r="T298" s="653" t="s">
        <v>1723</v>
      </c>
      <c r="U298" s="654">
        <v>1.0</v>
      </c>
      <c r="V298" s="112" t="str">
        <f t="shared" si="6"/>
        <v>2024.lrec-main.91.pdf</v>
      </c>
      <c r="W298" s="112" t="s">
        <v>1724</v>
      </c>
      <c r="X298" s="54" t="str">
        <f t="array" ref="X298"> if(iserror(MATCH(V298, 'File Links'!C:C, 0)), "N/A", HYPERLINK(INDEX('File Links'!B:B, MATCH(V298, 'File Links'!C:C, 0))))</f>
        <v>https://drive.google.com/file/d/1NIjwBw1HSQxLQI9DGPXfoBeD-8Wnntz5/view?usp=drivesdk</v>
      </c>
      <c r="Y298" s="112"/>
      <c r="Z298" s="112" t="s">
        <v>295</v>
      </c>
      <c r="AA298" s="114"/>
      <c r="AB298" s="112" t="s">
        <v>1725</v>
      </c>
      <c r="AC298" s="112" t="s">
        <v>1726</v>
      </c>
      <c r="AD298" s="112" t="s">
        <v>1727</v>
      </c>
      <c r="AE298" s="117">
        <v>1026.0</v>
      </c>
      <c r="AF298" s="112" t="s">
        <v>1728</v>
      </c>
      <c r="AG298" s="114"/>
      <c r="AH298" s="120"/>
      <c r="AI298" s="114"/>
      <c r="AJ298" s="114"/>
      <c r="AK298" s="111"/>
      <c r="AL298" s="112" t="s">
        <v>186</v>
      </c>
      <c r="AM298" s="114"/>
      <c r="AN298" s="219" t="s">
        <v>138</v>
      </c>
      <c r="AO298" s="114"/>
      <c r="AP298" s="114"/>
      <c r="AQ298" s="114"/>
      <c r="AR298" s="114"/>
      <c r="AS298" s="114"/>
      <c r="AT298" s="111"/>
      <c r="AU298" s="111"/>
      <c r="AV298" s="111"/>
      <c r="AW298" s="111"/>
      <c r="AX298" s="111"/>
      <c r="AY298" s="61" t="str">
        <f>IFERROR(__xludf.DUMMYFUNCTION("vlookup(BB298,importrange(""https://docs.google.com/spreadsheets/d/1d2vevQ_7D_v35q4wCQ4RpQ_IPoTwEMB9Yp6ymwlPqew/edit?gid=984458430#gid=984458430"", ""'replication success'!A:K""), 11, FAlSE)"),"#N/A")</f>
        <v>#N/A</v>
      </c>
      <c r="AZ298" s="61" t="str">
        <f>IFERROR(__xludf.DUMMYFUNCTION("vlookup(BB298,importrange(""https://docs.google.com/spreadsheets/d/1d2vevQ_7D_v35q4wCQ4RpQ_IPoTwEMB9Yp6ymwlPqew/edit?gid=984458430#gid=984458430"", ""'replication success'!A:M""), 12, FAlSE)"),"#N/A")</f>
        <v>#N/A</v>
      </c>
      <c r="BA298" s="61" t="str">
        <f>IFERROR(__xludf.DUMMYFUNCTION("vlookup(BB298,importrange(""https://docs.google.com/spreadsheets/d/1d2vevQ_7D_v35q4wCQ4RpQ_IPoTwEMB9Yp6ymwlPqew/edit?gid=984458430#gid=984458430"", ""'replication success'!A:M""), 13, FAlSE)"),"#N/A")</f>
        <v>#N/A</v>
      </c>
      <c r="BB298" s="61" t="str">
        <f>IFERROR(__xludf.DUMMYFUNCTION("REGEXREPLACE(G298, ""_[a-z]{1,2}$"", """")"),"additional_studies42")</f>
        <v>additional_studies42</v>
      </c>
      <c r="BC298" s="114"/>
      <c r="BD298" s="71"/>
    </row>
    <row r="299" ht="20.25" customHeight="1">
      <c r="A299" s="44">
        <v>299.0</v>
      </c>
      <c r="B299" s="149" t="s">
        <v>285</v>
      </c>
      <c r="C299" s="149" t="s">
        <v>115</v>
      </c>
      <c r="D299" s="149" t="s">
        <v>286</v>
      </c>
      <c r="E299" s="71"/>
      <c r="F299" s="111" t="s">
        <v>1716</v>
      </c>
      <c r="G299" s="112" t="s">
        <v>1717</v>
      </c>
      <c r="H299" s="122" t="s">
        <v>144</v>
      </c>
      <c r="I299" s="417">
        <v>45433.0</v>
      </c>
      <c r="J299" s="417">
        <v>45634.0</v>
      </c>
      <c r="K299" s="122" t="s">
        <v>1729</v>
      </c>
      <c r="L299" s="111"/>
      <c r="M299" s="420" t="s">
        <v>1730</v>
      </c>
      <c r="N299" s="122" t="s">
        <v>1719</v>
      </c>
      <c r="O299" s="111"/>
      <c r="P299" s="122" t="s">
        <v>1720</v>
      </c>
      <c r="Q299" s="52" t="str">
        <f t="array" ref="Q299"> if(iserror(MATCH(V299, 'File Links'!C:C, 0)), "N/A", HYPERLINK(INDEX('File Links'!B:B, MATCH(P299, 'File Links'!C:C, 0))))</f>
        <v>https://drive.google.com/file/d/14Tmk9XIOQYVh24x1jFR4QedpIbTx_n_e/view?usp=drivesdk</v>
      </c>
      <c r="R299" s="122" t="s">
        <v>1721</v>
      </c>
      <c r="S299" s="655" t="s">
        <v>1722</v>
      </c>
      <c r="T299" s="656" t="s">
        <v>1731</v>
      </c>
      <c r="U299" s="111"/>
      <c r="V299" s="112" t="str">
        <f t="shared" si="6"/>
        <v>2024.lrec-main.91.pdf</v>
      </c>
      <c r="W299" s="122" t="s">
        <v>1724</v>
      </c>
      <c r="X299" s="54" t="str">
        <f t="array" ref="X299"> if(iserror(MATCH(V299, 'File Links'!C:C, 0)), "N/A", HYPERLINK(INDEX('File Links'!B:B, MATCH(V299, 'File Links'!C:C, 0))))</f>
        <v>https://drive.google.com/file/d/1NIjwBw1HSQxLQI9DGPXfoBeD-8Wnntz5/view?usp=drivesdk</v>
      </c>
      <c r="Y299" s="111"/>
      <c r="Z299" s="122" t="s">
        <v>295</v>
      </c>
      <c r="AA299" s="111"/>
      <c r="AB299" s="111"/>
      <c r="AC299" s="111"/>
      <c r="AD299" s="111"/>
      <c r="AE299" s="111"/>
      <c r="AF299" s="657"/>
      <c r="AG299" s="111"/>
      <c r="AH299" s="120"/>
      <c r="AI299" s="114"/>
      <c r="AJ299" s="114"/>
      <c r="AK299" s="111"/>
      <c r="AL299" s="114"/>
      <c r="AM299" s="111"/>
      <c r="AN299" s="219" t="s">
        <v>138</v>
      </c>
      <c r="AO299" s="111"/>
      <c r="AP299" s="111"/>
      <c r="AQ299" s="111"/>
      <c r="AR299" s="111"/>
      <c r="AS299" s="111"/>
      <c r="AT299" s="111"/>
      <c r="AU299" s="111"/>
      <c r="AV299" s="111"/>
      <c r="AW299" s="111"/>
      <c r="AX299" s="111"/>
      <c r="AY299" s="61" t="str">
        <f>IFERROR(__xludf.DUMMYFUNCTION("vlookup(BB299,importrange(""https://docs.google.com/spreadsheets/d/1d2vevQ_7D_v35q4wCQ4RpQ_IPoTwEMB9Yp6ymwlPqew/edit?gid=984458430#gid=984458430"", ""'replication success'!A:K""), 11, FAlSE)"),"#N/A")</f>
        <v>#N/A</v>
      </c>
      <c r="AZ299" s="61" t="str">
        <f>IFERROR(__xludf.DUMMYFUNCTION("vlookup(BB299,importrange(""https://docs.google.com/spreadsheets/d/1d2vevQ_7D_v35q4wCQ4RpQ_IPoTwEMB9Yp6ymwlPqew/edit?gid=984458430#gid=984458430"", ""'replication success'!A:M""), 12, FAlSE)"),"#N/A")</f>
        <v>#N/A</v>
      </c>
      <c r="BA299" s="61" t="str">
        <f>IFERROR(__xludf.DUMMYFUNCTION("vlookup(BB299,importrange(""https://docs.google.com/spreadsheets/d/1d2vevQ_7D_v35q4wCQ4RpQ_IPoTwEMB9Yp6ymwlPqew/edit?gid=984458430#gid=984458430"", ""'replication success'!A:M""), 13, FAlSE)"),"#N/A")</f>
        <v>#N/A</v>
      </c>
      <c r="BB299" s="61" t="str">
        <f>IFERROR(__xludf.DUMMYFUNCTION("REGEXREPLACE(G299, ""_[a-z]{1,2}$"", """")"),"additional_studies42")</f>
        <v>additional_studies42</v>
      </c>
      <c r="BC299" s="111"/>
      <c r="BD299" s="71"/>
    </row>
    <row r="300" ht="20.25" customHeight="1">
      <c r="A300" s="44">
        <v>300.0</v>
      </c>
      <c r="B300" s="325" t="s">
        <v>285</v>
      </c>
      <c r="C300" s="325" t="s">
        <v>115</v>
      </c>
      <c r="D300" s="325" t="s">
        <v>1234</v>
      </c>
      <c r="E300" s="226"/>
      <c r="F300" s="331" t="s">
        <v>1732</v>
      </c>
      <c r="G300" s="412" t="s">
        <v>1733</v>
      </c>
      <c r="H300" s="412" t="s">
        <v>1237</v>
      </c>
      <c r="I300" s="658">
        <v>45433.0</v>
      </c>
      <c r="J300" s="659">
        <v>45641.0</v>
      </c>
      <c r="K300" s="331" t="s">
        <v>1734</v>
      </c>
      <c r="L300" s="390"/>
      <c r="M300" s="412" t="s">
        <v>1735</v>
      </c>
      <c r="N300" s="412" t="s">
        <v>1736</v>
      </c>
      <c r="P300" s="660" t="s">
        <v>1737</v>
      </c>
      <c r="Q300" s="108" t="str">
        <f t="array" ref="Q300"> if(iserror(MATCH(V300, 'File Links'!C:C, 0)), "N/A", HYPERLINK(INDEX('File Links'!B:B, MATCH(P300, 'File Links'!C:C, 0))))</f>
        <v>N/A</v>
      </c>
      <c r="R300" s="324" t="s">
        <v>1738</v>
      </c>
      <c r="S300" s="412"/>
      <c r="T300" s="661" t="s">
        <v>1739</v>
      </c>
      <c r="U300" s="412"/>
      <c r="V300" s="112" t="str">
        <f t="shared" si="6"/>
        <v>.pdf</v>
      </c>
      <c r="W300" s="390"/>
      <c r="X300" s="49" t="str">
        <f t="array" ref="X300"> if(iserror(MATCH(V300, 'File Links'!C:C, 0)), "N/A", HYPERLINK(INDEX('File Links'!B:B, MATCH(V300, 'File Links'!C:C, 0))))</f>
        <v>N/A</v>
      </c>
      <c r="Y300" s="390"/>
      <c r="Z300" s="390"/>
      <c r="AA300" s="390"/>
      <c r="AB300" s="390"/>
      <c r="AC300" s="390"/>
      <c r="AD300" s="390"/>
      <c r="AE300" s="390"/>
      <c r="AF300" s="390"/>
      <c r="AG300" s="390"/>
      <c r="AH300" s="662"/>
      <c r="AI300" s="390"/>
      <c r="AJ300" s="390"/>
      <c r="AK300" s="331"/>
      <c r="AL300" s="390"/>
      <c r="AM300" s="390"/>
      <c r="AN300" s="219" t="s">
        <v>138</v>
      </c>
      <c r="AO300" s="390"/>
      <c r="AP300" s="390"/>
      <c r="AQ300" s="390"/>
      <c r="AR300" s="390"/>
      <c r="AS300" s="390"/>
      <c r="AT300" s="331"/>
      <c r="AU300" s="331"/>
      <c r="AV300" s="331"/>
      <c r="AW300" s="331"/>
      <c r="AX300" s="331"/>
      <c r="AY300" s="61" t="str">
        <f>IFERROR(__xludf.DUMMYFUNCTION("vlookup(BB300,importrange(""https://docs.google.com/spreadsheets/d/1d2vevQ_7D_v35q4wCQ4RpQ_IPoTwEMB9Yp6ymwlPqew/edit?gid=984458430#gid=984458430"", ""'replication success'!A:K""), 11, FAlSE)"),"#N/A")</f>
        <v>#N/A</v>
      </c>
      <c r="AZ300" s="61" t="str">
        <f>IFERROR(__xludf.DUMMYFUNCTION("vlookup(BB300,importrange(""https://docs.google.com/spreadsheets/d/1d2vevQ_7D_v35q4wCQ4RpQ_IPoTwEMB9Yp6ymwlPqew/edit?gid=984458430#gid=984458430"", ""'replication success'!A:M""), 12, FAlSE)"),"#N/A")</f>
        <v>#N/A</v>
      </c>
      <c r="BA300" s="61" t="str">
        <f>IFERROR(__xludf.DUMMYFUNCTION("vlookup(BB300,importrange(""https://docs.google.com/spreadsheets/d/1d2vevQ_7D_v35q4wCQ4RpQ_IPoTwEMB9Yp6ymwlPqew/edit?gid=984458430#gid=984458430"", ""'replication success'!A:M""), 13, FAlSE)"),"#N/A")</f>
        <v>#N/A</v>
      </c>
      <c r="BB300" s="61" t="str">
        <f>IFERROR(__xludf.DUMMYFUNCTION("REGEXREPLACE(G300, ""_[a-z]{1,2}$"", """")"),"additional_studies43")</f>
        <v>additional_studies43</v>
      </c>
      <c r="BC300" s="390"/>
      <c r="BD300" s="226"/>
    </row>
    <row r="301" ht="20.25" customHeight="1">
      <c r="A301" s="44">
        <v>301.0</v>
      </c>
      <c r="B301" s="325" t="s">
        <v>285</v>
      </c>
      <c r="C301" s="325" t="s">
        <v>115</v>
      </c>
      <c r="D301" s="325" t="s">
        <v>286</v>
      </c>
      <c r="E301" s="226"/>
      <c r="F301" s="331" t="s">
        <v>1732</v>
      </c>
      <c r="G301" s="412" t="s">
        <v>1733</v>
      </c>
      <c r="H301" s="244" t="s">
        <v>144</v>
      </c>
      <c r="I301" s="658">
        <v>45433.0</v>
      </c>
      <c r="J301" s="659">
        <v>45636.0</v>
      </c>
      <c r="K301" s="331" t="s">
        <v>1734</v>
      </c>
      <c r="L301" s="331"/>
      <c r="M301" s="411" t="s">
        <v>1740</v>
      </c>
      <c r="N301" s="244" t="s">
        <v>1736</v>
      </c>
      <c r="O301" s="331"/>
      <c r="P301" s="244" t="s">
        <v>1737</v>
      </c>
      <c r="Q301" s="108" t="str">
        <f t="array" ref="Q301"> if(iserror(MATCH(V301, 'File Links'!C:C, 0)), "N/A", HYPERLINK(INDEX('File Links'!B:B, MATCH(P301, 'File Links'!C:C, 0))))</f>
        <v>N/A</v>
      </c>
      <c r="R301" s="244" t="s">
        <v>1741</v>
      </c>
      <c r="S301" s="331"/>
      <c r="T301" s="663" t="s">
        <v>1739</v>
      </c>
      <c r="U301" s="331"/>
      <c r="V301" s="112" t="str">
        <f t="shared" si="6"/>
        <v>.pdf</v>
      </c>
      <c r="W301" s="331"/>
      <c r="X301" s="49" t="str">
        <f t="array" ref="X301"> if(iserror(MATCH(V301, 'File Links'!C:C, 0)), "N/A", HYPERLINK(INDEX('File Links'!B:B, MATCH(V301, 'File Links'!C:C, 0))))</f>
        <v>N/A</v>
      </c>
      <c r="Y301" s="331"/>
      <c r="Z301" s="331"/>
      <c r="AA301" s="331"/>
      <c r="AB301" s="331"/>
      <c r="AC301" s="331"/>
      <c r="AD301" s="331"/>
      <c r="AE301" s="331"/>
      <c r="AF301" s="331"/>
      <c r="AG301" s="331"/>
      <c r="AH301" s="662"/>
      <c r="AI301" s="390"/>
      <c r="AJ301" s="390"/>
      <c r="AK301" s="331"/>
      <c r="AL301" s="390"/>
      <c r="AM301" s="331"/>
      <c r="AN301" s="219" t="s">
        <v>138</v>
      </c>
      <c r="AO301" s="331"/>
      <c r="AP301" s="331"/>
      <c r="AQ301" s="331"/>
      <c r="AR301" s="331"/>
      <c r="AS301" s="331"/>
      <c r="AT301" s="331"/>
      <c r="AU301" s="331"/>
      <c r="AV301" s="331"/>
      <c r="AW301" s="331"/>
      <c r="AX301" s="331"/>
      <c r="AY301" s="61" t="str">
        <f>IFERROR(__xludf.DUMMYFUNCTION("vlookup(BB301,importrange(""https://docs.google.com/spreadsheets/d/1d2vevQ_7D_v35q4wCQ4RpQ_IPoTwEMB9Yp6ymwlPqew/edit?gid=984458430#gid=984458430"", ""'replication success'!A:K""), 11, FAlSE)"),"#N/A")</f>
        <v>#N/A</v>
      </c>
      <c r="AZ301" s="61" t="str">
        <f>IFERROR(__xludf.DUMMYFUNCTION("vlookup(BB301,importrange(""https://docs.google.com/spreadsheets/d/1d2vevQ_7D_v35q4wCQ4RpQ_IPoTwEMB9Yp6ymwlPqew/edit?gid=984458430#gid=984458430"", ""'replication success'!A:M""), 12, FAlSE)"),"#N/A")</f>
        <v>#N/A</v>
      </c>
      <c r="BA301" s="61" t="str">
        <f>IFERROR(__xludf.DUMMYFUNCTION("vlookup(BB301,importrange(""https://docs.google.com/spreadsheets/d/1d2vevQ_7D_v35q4wCQ4RpQ_IPoTwEMB9Yp6ymwlPqew/edit?gid=984458430#gid=984458430"", ""'replication success'!A:M""), 13, FAlSE)"),"#N/A")</f>
        <v>#N/A</v>
      </c>
      <c r="BB301" s="61" t="str">
        <f>IFERROR(__xludf.DUMMYFUNCTION("REGEXREPLACE(G301, ""_[a-z]{1,2}$"", """")"),"additional_studies43")</f>
        <v>additional_studies43</v>
      </c>
      <c r="BC301" s="331"/>
      <c r="BD301" s="226"/>
    </row>
    <row r="302" ht="20.25" customHeight="1">
      <c r="A302" s="44">
        <v>302.0</v>
      </c>
      <c r="B302" s="325" t="s">
        <v>285</v>
      </c>
      <c r="C302" s="325" t="s">
        <v>115</v>
      </c>
      <c r="D302" s="325" t="s">
        <v>1234</v>
      </c>
      <c r="E302" s="226"/>
      <c r="F302" s="331" t="s">
        <v>1732</v>
      </c>
      <c r="G302" s="412" t="s">
        <v>1742</v>
      </c>
      <c r="H302" s="390"/>
      <c r="I302" s="664"/>
      <c r="J302" s="665"/>
      <c r="K302" s="390"/>
      <c r="L302" s="390"/>
      <c r="M302" s="412" t="s">
        <v>1743</v>
      </c>
      <c r="N302" s="412" t="s">
        <v>1744</v>
      </c>
      <c r="O302" s="394">
        <v>1.0</v>
      </c>
      <c r="P302" s="660" t="s">
        <v>1720</v>
      </c>
      <c r="Q302" s="52" t="str">
        <f t="array" ref="Q302"> if(iserror(MATCH(V302, 'File Links'!C:C, 0)), "N/A", HYPERLINK(INDEX('File Links'!B:B, MATCH(P302, 'File Links'!C:C, 0))))</f>
        <v>https://drive.google.com/file/d/14Tmk9XIOQYVh24x1jFR4QedpIbTx_n_e/view?usp=drivesdk</v>
      </c>
      <c r="R302" s="412" t="s">
        <v>1721</v>
      </c>
      <c r="S302" s="655" t="s">
        <v>1722</v>
      </c>
      <c r="T302" s="666" t="s">
        <v>1745</v>
      </c>
      <c r="U302" s="667">
        <v>1.0</v>
      </c>
      <c r="V302" s="112" t="str">
        <f t="shared" si="6"/>
        <v>2024.lrec-main.91.pdf</v>
      </c>
      <c r="W302" s="412" t="s">
        <v>1724</v>
      </c>
      <c r="X302" s="54" t="str">
        <f t="array" ref="X302"> if(iserror(MATCH(V302, 'File Links'!C:C, 0)), "N/A", HYPERLINK(INDEX('File Links'!B:B, MATCH(V302, 'File Links'!C:C, 0))))</f>
        <v>https://drive.google.com/file/d/1NIjwBw1HSQxLQI9DGPXfoBeD-8Wnntz5/view?usp=drivesdk</v>
      </c>
      <c r="Y302" s="412"/>
      <c r="Z302" s="412" t="s">
        <v>295</v>
      </c>
      <c r="AA302" s="390"/>
      <c r="AB302" s="412" t="s">
        <v>1725</v>
      </c>
      <c r="AC302" s="412" t="s">
        <v>1746</v>
      </c>
      <c r="AD302" s="412" t="s">
        <v>1727</v>
      </c>
      <c r="AE302" s="394">
        <v>1026.0</v>
      </c>
      <c r="AF302" s="412" t="s">
        <v>1728</v>
      </c>
      <c r="AG302" s="390"/>
      <c r="AH302" s="662"/>
      <c r="AI302" s="390"/>
      <c r="AJ302" s="390"/>
      <c r="AK302" s="331"/>
      <c r="AL302" s="412" t="s">
        <v>186</v>
      </c>
      <c r="AM302" s="390"/>
      <c r="AN302" s="219" t="s">
        <v>138</v>
      </c>
      <c r="AO302" s="390"/>
      <c r="AP302" s="390"/>
      <c r="AQ302" s="390"/>
      <c r="AR302" s="390"/>
      <c r="AS302" s="390"/>
      <c r="AT302" s="331"/>
      <c r="AU302" s="331"/>
      <c r="AV302" s="331"/>
      <c r="AW302" s="331"/>
      <c r="AX302" s="331"/>
      <c r="AY302" s="61" t="str">
        <f>IFERROR(__xludf.DUMMYFUNCTION("vlookup(BB302,importrange(""https://docs.google.com/spreadsheets/d/1d2vevQ_7D_v35q4wCQ4RpQ_IPoTwEMB9Yp6ymwlPqew/edit?gid=984458430#gid=984458430"", ""'replication success'!A:K""), 11, FAlSE)"),"#N/A")</f>
        <v>#N/A</v>
      </c>
      <c r="AZ302" s="61" t="str">
        <f>IFERROR(__xludf.DUMMYFUNCTION("vlookup(BB302,importrange(""https://docs.google.com/spreadsheets/d/1d2vevQ_7D_v35q4wCQ4RpQ_IPoTwEMB9Yp6ymwlPqew/edit?gid=984458430#gid=984458430"", ""'replication success'!A:M""), 12, FAlSE)"),"#N/A")</f>
        <v>#N/A</v>
      </c>
      <c r="BA302" s="61" t="str">
        <f>IFERROR(__xludf.DUMMYFUNCTION("vlookup(BB302,importrange(""https://docs.google.com/spreadsheets/d/1d2vevQ_7D_v35q4wCQ4RpQ_IPoTwEMB9Yp6ymwlPqew/edit?gid=984458430#gid=984458430"", ""'replication success'!A:M""), 13, FAlSE)"),"#N/A")</f>
        <v>#N/A</v>
      </c>
      <c r="BB302" s="61" t="str">
        <f>IFERROR(__xludf.DUMMYFUNCTION("REGEXREPLACE(G302, ""_[a-z]{1,2}$"", """")"),"additional_studies43 ")</f>
        <v>additional_studies43 </v>
      </c>
      <c r="BC302" s="390"/>
      <c r="BD302" s="226"/>
    </row>
    <row r="303" ht="20.25" customHeight="1">
      <c r="A303" s="44">
        <v>303.0</v>
      </c>
      <c r="B303" s="325" t="s">
        <v>285</v>
      </c>
      <c r="C303" s="325" t="s">
        <v>115</v>
      </c>
      <c r="D303" s="325" t="s">
        <v>1234</v>
      </c>
      <c r="E303" s="226"/>
      <c r="F303" s="331" t="s">
        <v>1732</v>
      </c>
      <c r="G303" s="412" t="s">
        <v>1747</v>
      </c>
      <c r="H303" s="390"/>
      <c r="I303" s="664"/>
      <c r="J303" s="665"/>
      <c r="K303" s="390"/>
      <c r="L303" s="390"/>
      <c r="M303" s="412" t="s">
        <v>1748</v>
      </c>
      <c r="N303" s="412" t="s">
        <v>1749</v>
      </c>
      <c r="O303" s="394">
        <v>1.0</v>
      </c>
      <c r="P303" s="660" t="s">
        <v>1720</v>
      </c>
      <c r="Q303" s="52" t="str">
        <f t="array" ref="Q303"> if(iserror(MATCH(V303, 'File Links'!C:C, 0)), "N/A", HYPERLINK(INDEX('File Links'!B:B, MATCH(P303, 'File Links'!C:C, 0))))</f>
        <v>https://drive.google.com/file/d/14Tmk9XIOQYVh24x1jFR4QedpIbTx_n_e/view?usp=drivesdk</v>
      </c>
      <c r="R303" s="412" t="s">
        <v>1721</v>
      </c>
      <c r="S303" s="655" t="s">
        <v>1722</v>
      </c>
      <c r="T303" s="666" t="s">
        <v>1750</v>
      </c>
      <c r="U303" s="667">
        <v>1.0</v>
      </c>
      <c r="V303" s="112" t="str">
        <f t="shared" si="6"/>
        <v>2024.lrec-main.91.pdf</v>
      </c>
      <c r="W303" s="412" t="s">
        <v>1724</v>
      </c>
      <c r="X303" s="54" t="str">
        <f t="array" ref="X303"> if(iserror(MATCH(V303, 'File Links'!C:C, 0)), "N/A", HYPERLINK(INDEX('File Links'!B:B, MATCH(V303, 'File Links'!C:C, 0))))</f>
        <v>https://drive.google.com/file/d/1NIjwBw1HSQxLQI9DGPXfoBeD-8Wnntz5/view?usp=drivesdk</v>
      </c>
      <c r="Y303" s="412"/>
      <c r="Z303" s="412" t="s">
        <v>295</v>
      </c>
      <c r="AA303" s="390"/>
      <c r="AB303" s="412" t="s">
        <v>1725</v>
      </c>
      <c r="AC303" s="412" t="s">
        <v>1751</v>
      </c>
      <c r="AD303" s="412" t="s">
        <v>1752</v>
      </c>
      <c r="AE303" s="394">
        <v>1026.0</v>
      </c>
      <c r="AF303" s="412" t="s">
        <v>1728</v>
      </c>
      <c r="AG303" s="390"/>
      <c r="AH303" s="662"/>
      <c r="AI303" s="390"/>
      <c r="AJ303" s="390"/>
      <c r="AK303" s="331"/>
      <c r="AL303" s="412" t="s">
        <v>186</v>
      </c>
      <c r="AM303" s="390"/>
      <c r="AN303" s="219" t="s">
        <v>138</v>
      </c>
      <c r="AO303" s="412" t="s">
        <v>1753</v>
      </c>
      <c r="AP303" s="390"/>
      <c r="AQ303" s="390"/>
      <c r="AR303" s="412" t="s">
        <v>138</v>
      </c>
      <c r="AS303" s="394">
        <v>0.001</v>
      </c>
      <c r="AT303" s="244" t="s">
        <v>135</v>
      </c>
      <c r="AU303" s="244" t="s">
        <v>186</v>
      </c>
      <c r="AV303" s="331" t="s">
        <v>137</v>
      </c>
      <c r="AW303" s="331"/>
      <c r="AX303" s="331"/>
      <c r="AY303" s="61" t="str">
        <f>IFERROR(__xludf.DUMMYFUNCTION("vlookup(BB303,importrange(""https://docs.google.com/spreadsheets/d/1d2vevQ_7D_v35q4wCQ4RpQ_IPoTwEMB9Yp6ymwlPqew/edit?gid=984458430#gid=984458430"", ""'replication success'!A:K""), 11, FAlSE)"),"#N/A")</f>
        <v>#N/A</v>
      </c>
      <c r="AZ303" s="61" t="str">
        <f>IFERROR(__xludf.DUMMYFUNCTION("vlookup(BB303,importrange(""https://docs.google.com/spreadsheets/d/1d2vevQ_7D_v35q4wCQ4RpQ_IPoTwEMB9Yp6ymwlPqew/edit?gid=984458430#gid=984458430"", ""'replication success'!A:M""), 12, FAlSE)"),"#N/A")</f>
        <v>#N/A</v>
      </c>
      <c r="BA303" s="61" t="str">
        <f>IFERROR(__xludf.DUMMYFUNCTION("vlookup(BB303,importrange(""https://docs.google.com/spreadsheets/d/1d2vevQ_7D_v35q4wCQ4RpQ_IPoTwEMB9Yp6ymwlPqew/edit?gid=984458430#gid=984458430"", ""'replication success'!A:M""), 13, FAlSE)"),"#N/A")</f>
        <v>#N/A</v>
      </c>
      <c r="BB303" s="61" t="str">
        <f>IFERROR(__xludf.DUMMYFUNCTION("REGEXREPLACE(G303, ""_[a-z]{1,2}$"", """")"),"additional_studies43 ")</f>
        <v>additional_studies43 </v>
      </c>
      <c r="BC303" s="390"/>
      <c r="BD303" s="226"/>
    </row>
    <row r="304" ht="20.25" customHeight="1">
      <c r="A304" s="44">
        <v>304.0</v>
      </c>
      <c r="B304" s="668" t="s">
        <v>114</v>
      </c>
      <c r="C304" s="668" t="s">
        <v>115</v>
      </c>
      <c r="D304" s="124" t="s">
        <v>1441</v>
      </c>
      <c r="E304" s="107"/>
      <c r="F304" s="140" t="s">
        <v>1754</v>
      </c>
      <c r="G304" s="126" t="s">
        <v>1755</v>
      </c>
      <c r="H304" s="126" t="s">
        <v>1540</v>
      </c>
      <c r="I304" s="568">
        <v>45638.0</v>
      </c>
      <c r="J304" s="569">
        <v>45670.0</v>
      </c>
      <c r="K304" s="126" t="s">
        <v>1756</v>
      </c>
      <c r="L304" s="126" t="s">
        <v>1757</v>
      </c>
      <c r="M304" s="126" t="s">
        <v>1758</v>
      </c>
      <c r="N304" s="126" t="s">
        <v>1759</v>
      </c>
      <c r="O304" s="132"/>
      <c r="P304" s="223" t="str">
        <f>SUBSTITUTE(LOWER(N304), "/", "--") &amp;  ".pdf"</f>
        <v>10.1016--j.jpsychires.2008.07.004.pdf</v>
      </c>
      <c r="Q304" s="52" t="str">
        <f t="array" ref="Q304"> if(iserror(MATCH(V304, 'File Links'!C:C, 0)), "N/A", HYPERLINK(INDEX('File Links'!B:B, MATCH(P304, 'File Links'!C:C, 0))))</f>
        <v>https://drive.google.com/file/d/1gOWd02cezb5MHlIvhprXv-TgaFt5Ij8f/view?usp=drivesdk</v>
      </c>
      <c r="R304" s="126" t="s">
        <v>1760</v>
      </c>
      <c r="S304" s="126" t="s">
        <v>1761</v>
      </c>
      <c r="T304" s="132"/>
      <c r="U304" s="318"/>
      <c r="V304" s="112" t="str">
        <f t="shared" si="6"/>
        <v>10.31234--osf.io--cf4xz.pdf</v>
      </c>
      <c r="W304" s="126" t="s">
        <v>1762</v>
      </c>
      <c r="X304" s="54" t="str">
        <f t="array" ref="X304"> if(iserror(MATCH(V304, 'File Links'!C:C, 0)), "N/A", HYPERLINK(INDEX('File Links'!B:B, MATCH(V304, 'File Links'!C:C, 0))))</f>
        <v>https://drive.google.com/file/d/1Tsg1BvUDYPZ40L5izJMMYH7m3hZ-Z2QJ/view?usp=drivesdk</v>
      </c>
      <c r="Y304" s="132"/>
      <c r="Z304" s="126" t="s">
        <v>148</v>
      </c>
      <c r="AA304" s="126" t="s">
        <v>1763</v>
      </c>
      <c r="AB304" s="126" t="s">
        <v>1764</v>
      </c>
      <c r="AC304" s="126" t="s">
        <v>1765</v>
      </c>
      <c r="AD304" s="126" t="s">
        <v>1766</v>
      </c>
      <c r="AE304" s="130">
        <v>5.0</v>
      </c>
      <c r="AF304" s="130">
        <v>17.0</v>
      </c>
      <c r="AG304" s="320">
        <v>0.52</v>
      </c>
      <c r="AH304" s="318" t="s">
        <v>139</v>
      </c>
      <c r="AI304" s="132"/>
      <c r="AJ304" s="130">
        <v>0.001</v>
      </c>
      <c r="AK304" s="125" t="s">
        <v>172</v>
      </c>
      <c r="AL304" s="132" t="s">
        <v>186</v>
      </c>
      <c r="AM304" s="132" t="s">
        <v>141</v>
      </c>
      <c r="AN304" s="219" t="s">
        <v>138</v>
      </c>
      <c r="AO304" s="132"/>
      <c r="AP304" s="132"/>
      <c r="AQ304" s="132"/>
      <c r="AR304" s="132"/>
      <c r="AS304" s="132"/>
      <c r="AT304" s="125"/>
      <c r="AU304" s="125"/>
      <c r="AV304" s="125"/>
      <c r="AW304" s="669" t="s">
        <v>1767</v>
      </c>
      <c r="AX304" s="670" t="s">
        <v>143</v>
      </c>
      <c r="AY304" s="61" t="str">
        <f>IFERROR(__xludf.DUMMYFUNCTION("vlookup(BB304,importrange(""https://docs.google.com/spreadsheets/d/1d2vevQ_7D_v35q4wCQ4RpQ_IPoTwEMB9Yp6ymwlPqew/edit?gid=984458430#gid=984458430"", ""'replication success'!A:K""), 11, FAlSE)"),"#N/A")</f>
        <v>#N/A</v>
      </c>
      <c r="AZ304" s="61" t="str">
        <f>IFERROR(__xludf.DUMMYFUNCTION("vlookup(BB304,importrange(""https://docs.google.com/spreadsheets/d/1d2vevQ_7D_v35q4wCQ4RpQ_IPoTwEMB9Yp6ymwlPqew/edit?gid=984458430#gid=984458430"", ""'replication success'!A:M""), 12, FAlSE)"),"#N/A")</f>
        <v>#N/A</v>
      </c>
      <c r="BA304" s="61" t="str">
        <f>IFERROR(__xludf.DUMMYFUNCTION("vlookup(BB304,importrange(""https://docs.google.com/spreadsheets/d/1d2vevQ_7D_v35q4wCQ4RpQ_IPoTwEMB9Yp6ymwlPqew/edit?gid=984458430#gid=984458430"", ""'replication success'!A:M""), 13, FAlSE)"),"#N/A")</f>
        <v>#N/A</v>
      </c>
      <c r="BB304" s="61" t="str">
        <f>IFERROR(__xludf.DUMMYFUNCTION("REGEXREPLACE(G304, ""_[a-z]{1,2}$"", """")"),"additional_studies44")</f>
        <v>additional_studies44</v>
      </c>
      <c r="BC304" s="57"/>
      <c r="BD304" s="124" t="s">
        <v>144</v>
      </c>
    </row>
    <row r="305" ht="20.25" customHeight="1">
      <c r="A305" s="44">
        <v>305.0</v>
      </c>
      <c r="B305" s="668" t="s">
        <v>114</v>
      </c>
      <c r="C305" s="149" t="s">
        <v>115</v>
      </c>
      <c r="D305" s="149" t="s">
        <v>1458</v>
      </c>
      <c r="E305" s="71"/>
      <c r="F305" s="122" t="s">
        <v>1754</v>
      </c>
      <c r="G305" s="112" t="s">
        <v>1755</v>
      </c>
      <c r="H305" s="112" t="s">
        <v>1518</v>
      </c>
      <c r="I305" s="113">
        <v>45640.0</v>
      </c>
      <c r="J305" s="569">
        <v>45670.0</v>
      </c>
      <c r="K305" s="112" t="s">
        <v>1768</v>
      </c>
      <c r="L305" s="112" t="s">
        <v>1757</v>
      </c>
      <c r="M305" s="112" t="s">
        <v>1758</v>
      </c>
      <c r="N305" s="112" t="s">
        <v>1759</v>
      </c>
      <c r="O305" s="114"/>
      <c r="P305" s="121" t="str">
        <f> SUBSTITUTE(lower(N305), "/", "--") &amp;  ".pdf"</f>
        <v>10.1016--j.jpsychires.2008.07.004.pdf</v>
      </c>
      <c r="Q305" s="52" t="str">
        <f t="array" ref="Q305"> if(iserror(MATCH(V305, 'File Links'!C:C, 0)), "N/A", HYPERLINK(INDEX('File Links'!B:B, MATCH(P305, 'File Links'!C:C, 0))))</f>
        <v>https://drive.google.com/file/d/1gOWd02cezb5MHlIvhprXv-TgaFt5Ij8f/view?usp=drivesdk</v>
      </c>
      <c r="R305" s="418" t="s">
        <v>1769</v>
      </c>
      <c r="S305" s="418" t="s">
        <v>1761</v>
      </c>
      <c r="T305" s="114"/>
      <c r="U305" s="120"/>
      <c r="V305" s="112" t="str">
        <f t="shared" si="6"/>
        <v>10.31234--osf.io--cf4xz.pdf</v>
      </c>
      <c r="W305" s="112" t="s">
        <v>1770</v>
      </c>
      <c r="X305" s="54" t="str">
        <f t="array" ref="X305"> if(iserror(MATCH(V305, 'File Links'!C:C, 0)), "N/A", HYPERLINK(INDEX('File Links'!B:B, MATCH(V305, 'File Links'!C:C, 0))))</f>
        <v>https://drive.google.com/file/d/1Tsg1BvUDYPZ40L5izJMMYH7m3hZ-Z2QJ/view?usp=drivesdk</v>
      </c>
      <c r="Y305" s="114"/>
      <c r="Z305" s="114" t="s">
        <v>503</v>
      </c>
      <c r="AA305" s="112" t="s">
        <v>1771</v>
      </c>
      <c r="AB305" s="114" t="s">
        <v>1772</v>
      </c>
      <c r="AC305" s="112" t="s">
        <v>1773</v>
      </c>
      <c r="AD305" s="112" t="s">
        <v>1774</v>
      </c>
      <c r="AE305" s="671">
        <v>45416.0</v>
      </c>
      <c r="AF305" s="117">
        <v>17.0</v>
      </c>
      <c r="AG305" s="117">
        <v>0.52</v>
      </c>
      <c r="AH305" s="120" t="s">
        <v>874</v>
      </c>
      <c r="AI305" s="112" t="s">
        <v>882</v>
      </c>
      <c r="AJ305" s="117">
        <v>0.001</v>
      </c>
      <c r="AK305" s="111" t="s">
        <v>172</v>
      </c>
      <c r="AL305" s="114" t="s">
        <v>186</v>
      </c>
      <c r="AM305" s="112" t="s">
        <v>141</v>
      </c>
      <c r="AN305" s="219" t="s">
        <v>138</v>
      </c>
      <c r="AO305" s="114"/>
      <c r="AP305" s="114"/>
      <c r="AQ305" s="114"/>
      <c r="AR305" s="114"/>
      <c r="AS305" s="114"/>
      <c r="AT305" s="111"/>
      <c r="AU305" s="111"/>
      <c r="AV305" s="111"/>
      <c r="AW305" s="672" t="s">
        <v>1775</v>
      </c>
      <c r="AX305" s="673" t="s">
        <v>143</v>
      </c>
      <c r="AY305" s="61" t="str">
        <f>IFERROR(__xludf.DUMMYFUNCTION("vlookup(BB305,importrange(""https://docs.google.com/spreadsheets/d/1d2vevQ_7D_v35q4wCQ4RpQ_IPoTwEMB9Yp6ymwlPqew/edit?gid=984458430#gid=984458430"", ""'replication success'!A:K""), 11, FAlSE)"),"#N/A")</f>
        <v>#N/A</v>
      </c>
      <c r="AZ305" s="61" t="str">
        <f>IFERROR(__xludf.DUMMYFUNCTION("vlookup(BB305,importrange(""https://docs.google.com/spreadsheets/d/1d2vevQ_7D_v35q4wCQ4RpQ_IPoTwEMB9Yp6ymwlPqew/edit?gid=984458430#gid=984458430"", ""'replication success'!A:M""), 12, FAlSE)"),"#N/A")</f>
        <v>#N/A</v>
      </c>
      <c r="BA305" s="61" t="str">
        <f>IFERROR(__xludf.DUMMYFUNCTION("vlookup(BB305,importrange(""https://docs.google.com/spreadsheets/d/1d2vevQ_7D_v35q4wCQ4RpQ_IPoTwEMB9Yp6ymwlPqew/edit?gid=984458430#gid=984458430"", ""'replication success'!A:M""), 13, FAlSE)"),"#N/A")</f>
        <v>#N/A</v>
      </c>
      <c r="BB305" s="61" t="str">
        <f>IFERROR(__xludf.DUMMYFUNCTION("REGEXREPLACE(G305, ""_[a-z]{1,2}$"", """")"),"additional_studies44")</f>
        <v>additional_studies44</v>
      </c>
      <c r="BC305" s="57"/>
      <c r="BD305" s="124" t="s">
        <v>144</v>
      </c>
    </row>
    <row r="306" ht="20.25" customHeight="1">
      <c r="A306" s="44">
        <v>306.0</v>
      </c>
      <c r="B306" s="668" t="s">
        <v>114</v>
      </c>
      <c r="C306" s="668" t="s">
        <v>115</v>
      </c>
      <c r="D306" s="124" t="s">
        <v>1441</v>
      </c>
      <c r="E306" s="107"/>
      <c r="F306" s="122" t="s">
        <v>1754</v>
      </c>
      <c r="G306" s="126" t="s">
        <v>1776</v>
      </c>
      <c r="H306" s="126" t="s">
        <v>1444</v>
      </c>
      <c r="I306" s="568">
        <v>45638.0</v>
      </c>
      <c r="J306" s="569">
        <v>45670.0</v>
      </c>
      <c r="K306" s="126" t="s">
        <v>1756</v>
      </c>
      <c r="L306" s="126" t="s">
        <v>1757</v>
      </c>
      <c r="M306" s="126" t="s">
        <v>1758</v>
      </c>
      <c r="N306" s="126" t="s">
        <v>1759</v>
      </c>
      <c r="O306" s="132"/>
      <c r="P306" s="223" t="str">
        <f>SUBSTITUTE(LOWER(N306), "/", "--") &amp;  ".pdf"</f>
        <v>10.1016--j.jpsychires.2008.07.004.pdf</v>
      </c>
      <c r="Q306" s="52" t="str">
        <f t="array" ref="Q306"> if(iserror(MATCH(V306, 'File Links'!C:C, 0)), "N/A", HYPERLINK(INDEX('File Links'!B:B, MATCH(P306, 'File Links'!C:C, 0))))</f>
        <v>https://drive.google.com/file/d/1gOWd02cezb5MHlIvhprXv-TgaFt5Ij8f/view?usp=drivesdk</v>
      </c>
      <c r="R306" s="126" t="s">
        <v>1760</v>
      </c>
      <c r="S306" s="126" t="s">
        <v>1761</v>
      </c>
      <c r="T306" s="132"/>
      <c r="U306" s="318"/>
      <c r="V306" s="112" t="str">
        <f t="shared" si="6"/>
        <v>10.31234--osf.io--cf4xz.pdf</v>
      </c>
      <c r="W306" s="126" t="s">
        <v>1762</v>
      </c>
      <c r="X306" s="54" t="str">
        <f t="array" ref="X306"> if(iserror(MATCH(V306, 'File Links'!C:C, 0)), "N/A", HYPERLINK(INDEX('File Links'!B:B, MATCH(V306, 'File Links'!C:C, 0))))</f>
        <v>https://drive.google.com/file/d/1Tsg1BvUDYPZ40L5izJMMYH7m3hZ-Z2QJ/view?usp=drivesdk</v>
      </c>
      <c r="Y306" s="132"/>
      <c r="Z306" s="126" t="s">
        <v>148</v>
      </c>
      <c r="AA306" s="126" t="s">
        <v>1763</v>
      </c>
      <c r="AB306" s="126" t="s">
        <v>1764</v>
      </c>
      <c r="AC306" s="126" t="s">
        <v>1777</v>
      </c>
      <c r="AD306" s="126" t="s">
        <v>1778</v>
      </c>
      <c r="AE306" s="130">
        <v>5.0</v>
      </c>
      <c r="AF306" s="130">
        <v>17.0</v>
      </c>
      <c r="AG306" s="130">
        <v>0.31</v>
      </c>
      <c r="AH306" s="318" t="s">
        <v>139</v>
      </c>
      <c r="AI306" s="132"/>
      <c r="AJ306" s="130">
        <v>0.21</v>
      </c>
      <c r="AK306" s="125" t="s">
        <v>172</v>
      </c>
      <c r="AL306" s="132" t="s">
        <v>186</v>
      </c>
      <c r="AM306" s="132" t="s">
        <v>141</v>
      </c>
      <c r="AN306" s="219" t="s">
        <v>138</v>
      </c>
      <c r="AO306" s="132"/>
      <c r="AP306" s="132"/>
      <c r="AQ306" s="132"/>
      <c r="AR306" s="132"/>
      <c r="AS306" s="132"/>
      <c r="AT306" s="125"/>
      <c r="AU306" s="125"/>
      <c r="AV306" s="125"/>
      <c r="AW306" s="669" t="s">
        <v>1767</v>
      </c>
      <c r="AX306" s="140" t="s">
        <v>143</v>
      </c>
      <c r="AY306" s="61" t="str">
        <f>IFERROR(__xludf.DUMMYFUNCTION("vlookup(BB306,importrange(""https://docs.google.com/spreadsheets/d/1d2vevQ_7D_v35q4wCQ4RpQ_IPoTwEMB9Yp6ymwlPqew/edit?gid=984458430#gid=984458430"", ""'replication success'!A:K""), 11, FAlSE)"),"#N/A")</f>
        <v>#N/A</v>
      </c>
      <c r="AZ306" s="61" t="str">
        <f>IFERROR(__xludf.DUMMYFUNCTION("vlookup(BB306,importrange(""https://docs.google.com/spreadsheets/d/1d2vevQ_7D_v35q4wCQ4RpQ_IPoTwEMB9Yp6ymwlPqew/edit?gid=984458430#gid=984458430"", ""'replication success'!A:M""), 12, FAlSE)"),"#N/A")</f>
        <v>#N/A</v>
      </c>
      <c r="BA306" s="61" t="str">
        <f>IFERROR(__xludf.DUMMYFUNCTION("vlookup(BB306,importrange(""https://docs.google.com/spreadsheets/d/1d2vevQ_7D_v35q4wCQ4RpQ_IPoTwEMB9Yp6ymwlPqew/edit?gid=984458430#gid=984458430"", ""'replication success'!A:M""), 13, FAlSE)"),"#N/A")</f>
        <v>#N/A</v>
      </c>
      <c r="BB306" s="61" t="str">
        <f>IFERROR(__xludf.DUMMYFUNCTION("REGEXREPLACE(G306, ""_[a-z]{1,2}$"", """")"),"additional_studies44")</f>
        <v>additional_studies44</v>
      </c>
      <c r="BC306" s="57"/>
      <c r="BD306" s="124" t="s">
        <v>144</v>
      </c>
    </row>
    <row r="307" ht="20.25" customHeight="1">
      <c r="A307" s="44">
        <v>307.0</v>
      </c>
      <c r="B307" s="668" t="s">
        <v>114</v>
      </c>
      <c r="C307" s="149" t="s">
        <v>115</v>
      </c>
      <c r="D307" s="149" t="s">
        <v>1458</v>
      </c>
      <c r="E307" s="71"/>
      <c r="F307" s="122" t="s">
        <v>1754</v>
      </c>
      <c r="G307" s="112" t="s">
        <v>1776</v>
      </c>
      <c r="H307" s="112" t="s">
        <v>1518</v>
      </c>
      <c r="I307" s="674">
        <v>45640.0</v>
      </c>
      <c r="J307" s="569">
        <v>45670.0</v>
      </c>
      <c r="K307" s="112" t="s">
        <v>1768</v>
      </c>
      <c r="L307" s="112" t="s">
        <v>1757</v>
      </c>
      <c r="M307" s="112" t="s">
        <v>1779</v>
      </c>
      <c r="N307" s="112" t="s">
        <v>1759</v>
      </c>
      <c r="O307" s="114"/>
      <c r="P307" s="121" t="str">
        <f> SUBSTITUTE(lower(N307), "/", "--") &amp;  ".pdf"</f>
        <v>10.1016--j.jpsychires.2008.07.004.pdf</v>
      </c>
      <c r="Q307" s="52" t="str">
        <f t="array" ref="Q307"> if(iserror(MATCH(V307, 'File Links'!C:C, 0)), "N/A", HYPERLINK(INDEX('File Links'!B:B, MATCH(P307, 'File Links'!C:C, 0))))</f>
        <v>https://drive.google.com/file/d/1gOWd02cezb5MHlIvhprXv-TgaFt5Ij8f/view?usp=drivesdk</v>
      </c>
      <c r="R307" s="418" t="s">
        <v>1780</v>
      </c>
      <c r="S307" s="418" t="s">
        <v>1761</v>
      </c>
      <c r="T307" s="114"/>
      <c r="U307" s="120"/>
      <c r="V307" s="112" t="str">
        <f t="shared" si="6"/>
        <v>10.31234--osf.io--cf4xz.pdf</v>
      </c>
      <c r="W307" s="112" t="s">
        <v>1770</v>
      </c>
      <c r="X307" s="54" t="str">
        <f t="array" ref="X307"> if(iserror(MATCH(V307, 'File Links'!C:C, 0)), "N/A", HYPERLINK(INDEX('File Links'!B:B, MATCH(V307, 'File Links'!C:C, 0))))</f>
        <v>https://drive.google.com/file/d/1Tsg1BvUDYPZ40L5izJMMYH7m3hZ-Z2QJ/view?usp=drivesdk</v>
      </c>
      <c r="Y307" s="114"/>
      <c r="Z307" s="114" t="s">
        <v>1781</v>
      </c>
      <c r="AA307" s="112" t="s">
        <v>1771</v>
      </c>
      <c r="AB307" s="114" t="s">
        <v>1772</v>
      </c>
      <c r="AC307" s="112" t="s">
        <v>1773</v>
      </c>
      <c r="AD307" s="112" t="s">
        <v>1782</v>
      </c>
      <c r="AE307" s="117">
        <v>5.0</v>
      </c>
      <c r="AF307" s="117">
        <v>17.0</v>
      </c>
      <c r="AG307" s="117">
        <v>0.31</v>
      </c>
      <c r="AH307" s="120" t="s">
        <v>874</v>
      </c>
      <c r="AI307" s="112" t="s">
        <v>882</v>
      </c>
      <c r="AJ307" s="117">
        <v>0.021</v>
      </c>
      <c r="AK307" s="111" t="s">
        <v>172</v>
      </c>
      <c r="AL307" s="114" t="s">
        <v>186</v>
      </c>
      <c r="AM307" s="112" t="s">
        <v>141</v>
      </c>
      <c r="AN307" s="219" t="s">
        <v>138</v>
      </c>
      <c r="AO307" s="114"/>
      <c r="AP307" s="114"/>
      <c r="AQ307" s="114"/>
      <c r="AR307" s="114"/>
      <c r="AS307" s="114"/>
      <c r="AT307" s="111"/>
      <c r="AU307" s="111"/>
      <c r="AV307" s="111"/>
      <c r="AW307" s="672" t="s">
        <v>1775</v>
      </c>
      <c r="AX307" s="673" t="s">
        <v>143</v>
      </c>
      <c r="AY307" s="61" t="str">
        <f>IFERROR(__xludf.DUMMYFUNCTION("vlookup(BB307,importrange(""https://docs.google.com/spreadsheets/d/1d2vevQ_7D_v35q4wCQ4RpQ_IPoTwEMB9Yp6ymwlPqew/edit?gid=984458430#gid=984458430"", ""'replication success'!A:K""), 11, FAlSE)"),"#N/A")</f>
        <v>#N/A</v>
      </c>
      <c r="AZ307" s="61" t="str">
        <f>IFERROR(__xludf.DUMMYFUNCTION("vlookup(BB307,importrange(""https://docs.google.com/spreadsheets/d/1d2vevQ_7D_v35q4wCQ4RpQ_IPoTwEMB9Yp6ymwlPqew/edit?gid=984458430#gid=984458430"", ""'replication success'!A:M""), 12, FAlSE)"),"#N/A")</f>
        <v>#N/A</v>
      </c>
      <c r="BA307" s="61" t="str">
        <f>IFERROR(__xludf.DUMMYFUNCTION("vlookup(BB307,importrange(""https://docs.google.com/spreadsheets/d/1d2vevQ_7D_v35q4wCQ4RpQ_IPoTwEMB9Yp6ymwlPqew/edit?gid=984458430#gid=984458430"", ""'replication success'!A:M""), 13, FAlSE)"),"#N/A")</f>
        <v>#N/A</v>
      </c>
      <c r="BB307" s="61" t="str">
        <f>IFERROR(__xludf.DUMMYFUNCTION("REGEXREPLACE(G307, ""_[a-z]{1,2}$"", """")"),"additional_studies44")</f>
        <v>additional_studies44</v>
      </c>
      <c r="BC307" s="57"/>
      <c r="BD307" s="124" t="s">
        <v>144</v>
      </c>
    </row>
    <row r="308" ht="20.25" customHeight="1">
      <c r="A308" s="44">
        <v>308.0</v>
      </c>
      <c r="B308" s="668" t="s">
        <v>114</v>
      </c>
      <c r="C308" s="668" t="s">
        <v>115</v>
      </c>
      <c r="D308" s="124" t="s">
        <v>1441</v>
      </c>
      <c r="E308" s="107"/>
      <c r="F308" s="122" t="s">
        <v>1754</v>
      </c>
      <c r="G308" s="126" t="s">
        <v>1783</v>
      </c>
      <c r="H308" s="126" t="s">
        <v>1444</v>
      </c>
      <c r="I308" s="568">
        <v>45638.0</v>
      </c>
      <c r="J308" s="569">
        <v>45670.0</v>
      </c>
      <c r="K308" s="126" t="s">
        <v>1756</v>
      </c>
      <c r="L308" s="126" t="s">
        <v>1757</v>
      </c>
      <c r="M308" s="126" t="s">
        <v>1758</v>
      </c>
      <c r="N308" s="126" t="s">
        <v>1759</v>
      </c>
      <c r="O308" s="132"/>
      <c r="P308" s="223" t="str">
        <f>SUBSTITUTE(LOWER(N308), "/", "--") &amp;  ".pdf"</f>
        <v>10.1016--j.jpsychires.2008.07.004.pdf</v>
      </c>
      <c r="Q308" s="52" t="str">
        <f t="array" ref="Q308"> if(iserror(MATCH(V308, 'File Links'!C:C, 0)), "N/A", HYPERLINK(INDEX('File Links'!B:B, MATCH(P308, 'File Links'!C:C, 0))))</f>
        <v>https://drive.google.com/file/d/1gOWd02cezb5MHlIvhprXv-TgaFt5Ij8f/view?usp=drivesdk</v>
      </c>
      <c r="R308" s="126" t="s">
        <v>1760</v>
      </c>
      <c r="S308" s="126" t="s">
        <v>1761</v>
      </c>
      <c r="T308" s="132"/>
      <c r="U308" s="318"/>
      <c r="V308" s="112" t="str">
        <f t="shared" si="6"/>
        <v>10.31234--osf.io--cf4xz.pdf</v>
      </c>
      <c r="W308" s="126" t="s">
        <v>1762</v>
      </c>
      <c r="X308" s="54" t="str">
        <f t="array" ref="X308"> if(iserror(MATCH(V308, 'File Links'!C:C, 0)), "N/A", HYPERLINK(INDEX('File Links'!B:B, MATCH(V308, 'File Links'!C:C, 0))))</f>
        <v>https://drive.google.com/file/d/1Tsg1BvUDYPZ40L5izJMMYH7m3hZ-Z2QJ/view?usp=drivesdk</v>
      </c>
      <c r="Y308" s="132"/>
      <c r="Z308" s="126" t="s">
        <v>148</v>
      </c>
      <c r="AA308" s="126" t="s">
        <v>1763</v>
      </c>
      <c r="AB308" s="126" t="s">
        <v>1764</v>
      </c>
      <c r="AC308" s="126" t="s">
        <v>1784</v>
      </c>
      <c r="AD308" s="126" t="s">
        <v>1785</v>
      </c>
      <c r="AE308" s="130">
        <v>5.0</v>
      </c>
      <c r="AF308" s="130">
        <v>17.0</v>
      </c>
      <c r="AG308" s="130">
        <v>0.39</v>
      </c>
      <c r="AH308" s="318" t="s">
        <v>139</v>
      </c>
      <c r="AI308" s="132"/>
      <c r="AJ308" s="130">
        <v>0.001</v>
      </c>
      <c r="AK308" s="125" t="s">
        <v>172</v>
      </c>
      <c r="AL308" s="132" t="s">
        <v>186</v>
      </c>
      <c r="AM308" s="132" t="s">
        <v>141</v>
      </c>
      <c r="AN308" s="219" t="s">
        <v>138</v>
      </c>
      <c r="AO308" s="132"/>
      <c r="AP308" s="132"/>
      <c r="AQ308" s="132"/>
      <c r="AR308" s="132"/>
      <c r="AS308" s="132"/>
      <c r="AT308" s="125"/>
      <c r="AU308" s="125"/>
      <c r="AV308" s="125"/>
      <c r="AW308" s="669" t="s">
        <v>1767</v>
      </c>
      <c r="AX308" s="140" t="s">
        <v>143</v>
      </c>
      <c r="AY308" s="61" t="str">
        <f>IFERROR(__xludf.DUMMYFUNCTION("vlookup(BB308,importrange(""https://docs.google.com/spreadsheets/d/1d2vevQ_7D_v35q4wCQ4RpQ_IPoTwEMB9Yp6ymwlPqew/edit?gid=984458430#gid=984458430"", ""'replication success'!A:K""), 11, FAlSE)"),"#N/A")</f>
        <v>#N/A</v>
      </c>
      <c r="AZ308" s="61" t="str">
        <f>IFERROR(__xludf.DUMMYFUNCTION("vlookup(BB308,importrange(""https://docs.google.com/spreadsheets/d/1d2vevQ_7D_v35q4wCQ4RpQ_IPoTwEMB9Yp6ymwlPqew/edit?gid=984458430#gid=984458430"", ""'replication success'!A:M""), 12, FAlSE)"),"#N/A")</f>
        <v>#N/A</v>
      </c>
      <c r="BA308" s="61" t="str">
        <f>IFERROR(__xludf.DUMMYFUNCTION("vlookup(BB308,importrange(""https://docs.google.com/spreadsheets/d/1d2vevQ_7D_v35q4wCQ4RpQ_IPoTwEMB9Yp6ymwlPqew/edit?gid=984458430#gid=984458430"", ""'replication success'!A:M""), 13, FAlSE)"),"#N/A")</f>
        <v>#N/A</v>
      </c>
      <c r="BB308" s="61" t="str">
        <f>IFERROR(__xludf.DUMMYFUNCTION("REGEXREPLACE(G308, ""_[a-z]{1,2}$"", """")"),"additional_studies44")</f>
        <v>additional_studies44</v>
      </c>
      <c r="BC308" s="57"/>
      <c r="BD308" s="124" t="s">
        <v>144</v>
      </c>
    </row>
    <row r="309" ht="20.25" customHeight="1">
      <c r="A309" s="44">
        <v>309.0</v>
      </c>
      <c r="B309" s="668" t="s">
        <v>114</v>
      </c>
      <c r="C309" s="149" t="s">
        <v>115</v>
      </c>
      <c r="D309" s="149" t="s">
        <v>1458</v>
      </c>
      <c r="E309" s="71"/>
      <c r="F309" s="122" t="s">
        <v>1754</v>
      </c>
      <c r="G309" s="112" t="s">
        <v>1783</v>
      </c>
      <c r="H309" s="112" t="s">
        <v>1518</v>
      </c>
      <c r="I309" s="674">
        <v>45640.0</v>
      </c>
      <c r="J309" s="569">
        <v>45670.0</v>
      </c>
      <c r="K309" s="112" t="s">
        <v>1786</v>
      </c>
      <c r="L309" s="112" t="s">
        <v>1757</v>
      </c>
      <c r="M309" s="112" t="s">
        <v>1787</v>
      </c>
      <c r="N309" s="112" t="s">
        <v>1759</v>
      </c>
      <c r="O309" s="114"/>
      <c r="P309" s="121" t="str">
        <f> SUBSTITUTE(lower(N309), "/", "--") &amp;  ".pdf"</f>
        <v>10.1016--j.jpsychires.2008.07.004.pdf</v>
      </c>
      <c r="Q309" s="52" t="str">
        <f t="array" ref="Q309"> if(iserror(MATCH(V309, 'File Links'!C:C, 0)), "N/A", HYPERLINK(INDEX('File Links'!B:B, MATCH(P309, 'File Links'!C:C, 0))))</f>
        <v>https://drive.google.com/file/d/1gOWd02cezb5MHlIvhprXv-TgaFt5Ij8f/view?usp=drivesdk</v>
      </c>
      <c r="R309" s="418" t="s">
        <v>1788</v>
      </c>
      <c r="S309" s="418" t="s">
        <v>1761</v>
      </c>
      <c r="T309" s="114"/>
      <c r="U309" s="120"/>
      <c r="V309" s="112" t="str">
        <f t="shared" si="6"/>
        <v>10.31234--osf.io--cf4xz.pdf</v>
      </c>
      <c r="W309" s="112" t="s">
        <v>1770</v>
      </c>
      <c r="X309" s="54" t="str">
        <f t="array" ref="X309"> if(iserror(MATCH(V309, 'File Links'!C:C, 0)), "N/A", HYPERLINK(INDEX('File Links'!B:B, MATCH(V309, 'File Links'!C:C, 0))))</f>
        <v>https://drive.google.com/file/d/1Tsg1BvUDYPZ40L5izJMMYH7m3hZ-Z2QJ/view?usp=drivesdk</v>
      </c>
      <c r="Y309" s="114"/>
      <c r="Z309" s="114" t="s">
        <v>1781</v>
      </c>
      <c r="AA309" s="112" t="s">
        <v>1771</v>
      </c>
      <c r="AB309" s="114" t="s">
        <v>1772</v>
      </c>
      <c r="AC309" s="112" t="s">
        <v>1773</v>
      </c>
      <c r="AD309" s="675" t="s">
        <v>1789</v>
      </c>
      <c r="AE309" s="117">
        <v>5.0</v>
      </c>
      <c r="AF309" s="117">
        <v>23.0</v>
      </c>
      <c r="AG309" s="117">
        <v>0.39</v>
      </c>
      <c r="AH309" s="120" t="s">
        <v>874</v>
      </c>
      <c r="AI309" s="112" t="s">
        <v>882</v>
      </c>
      <c r="AJ309" s="117">
        <v>0.001</v>
      </c>
      <c r="AK309" s="111" t="s">
        <v>172</v>
      </c>
      <c r="AL309" s="114" t="s">
        <v>186</v>
      </c>
      <c r="AM309" s="112" t="s">
        <v>141</v>
      </c>
      <c r="AN309" s="219" t="s">
        <v>138</v>
      </c>
      <c r="AO309" s="114"/>
      <c r="AP309" s="114"/>
      <c r="AQ309" s="114"/>
      <c r="AR309" s="114"/>
      <c r="AS309" s="114"/>
      <c r="AT309" s="111"/>
      <c r="AU309" s="111"/>
      <c r="AV309" s="111"/>
      <c r="AW309" s="672" t="s">
        <v>1775</v>
      </c>
      <c r="AX309" s="673" t="s">
        <v>143</v>
      </c>
      <c r="AY309" s="61" t="str">
        <f>IFERROR(__xludf.DUMMYFUNCTION("vlookup(BB309,importrange(""https://docs.google.com/spreadsheets/d/1d2vevQ_7D_v35q4wCQ4RpQ_IPoTwEMB9Yp6ymwlPqew/edit?gid=984458430#gid=984458430"", ""'replication success'!A:K""), 11, FAlSE)"),"#N/A")</f>
        <v>#N/A</v>
      </c>
      <c r="AZ309" s="61" t="str">
        <f>IFERROR(__xludf.DUMMYFUNCTION("vlookup(BB309,importrange(""https://docs.google.com/spreadsheets/d/1d2vevQ_7D_v35q4wCQ4RpQ_IPoTwEMB9Yp6ymwlPqew/edit?gid=984458430#gid=984458430"", ""'replication success'!A:M""), 12, FAlSE)"),"#N/A")</f>
        <v>#N/A</v>
      </c>
      <c r="BA309" s="61" t="str">
        <f>IFERROR(__xludf.DUMMYFUNCTION("vlookup(BB309,importrange(""https://docs.google.com/spreadsheets/d/1d2vevQ_7D_v35q4wCQ4RpQ_IPoTwEMB9Yp6ymwlPqew/edit?gid=984458430#gid=984458430"", ""'replication success'!A:M""), 13, FAlSE)"),"#N/A")</f>
        <v>#N/A</v>
      </c>
      <c r="BB309" s="61" t="str">
        <f>IFERROR(__xludf.DUMMYFUNCTION("REGEXREPLACE(G309, ""_[a-z]{1,2}$"", """")"),"additional_studies44")</f>
        <v>additional_studies44</v>
      </c>
      <c r="BC309" s="57"/>
      <c r="BD309" s="124" t="s">
        <v>144</v>
      </c>
    </row>
    <row r="310" ht="20.25" customHeight="1">
      <c r="A310" s="44">
        <v>310.0</v>
      </c>
      <c r="B310" s="668" t="s">
        <v>114</v>
      </c>
      <c r="C310" s="668" t="s">
        <v>115</v>
      </c>
      <c r="D310" s="124" t="s">
        <v>1441</v>
      </c>
      <c r="E310" s="107"/>
      <c r="F310" s="122" t="s">
        <v>1754</v>
      </c>
      <c r="G310" s="126" t="s">
        <v>1790</v>
      </c>
      <c r="H310" s="126" t="s">
        <v>1444</v>
      </c>
      <c r="I310" s="568">
        <v>45638.0</v>
      </c>
      <c r="J310" s="569">
        <v>45670.0</v>
      </c>
      <c r="K310" s="126" t="s">
        <v>1756</v>
      </c>
      <c r="L310" s="126" t="s">
        <v>1757</v>
      </c>
      <c r="M310" s="126" t="s">
        <v>1758</v>
      </c>
      <c r="N310" s="126" t="s">
        <v>1759</v>
      </c>
      <c r="O310" s="132"/>
      <c r="P310" s="223" t="str">
        <f>SUBSTITUTE(LOWER(N310), "/", "--") &amp;  ".pdf"</f>
        <v>10.1016--j.jpsychires.2008.07.004.pdf</v>
      </c>
      <c r="Q310" s="52" t="str">
        <f t="array" ref="Q310"> if(iserror(MATCH(V310, 'File Links'!C:C, 0)), "N/A", HYPERLINK(INDEX('File Links'!B:B, MATCH(P310, 'File Links'!C:C, 0))))</f>
        <v>https://drive.google.com/file/d/1gOWd02cezb5MHlIvhprXv-TgaFt5Ij8f/view?usp=drivesdk</v>
      </c>
      <c r="R310" s="126" t="s">
        <v>1760</v>
      </c>
      <c r="S310" s="126" t="s">
        <v>1761</v>
      </c>
      <c r="T310" s="132"/>
      <c r="U310" s="318"/>
      <c r="V310" s="112" t="str">
        <f t="shared" si="6"/>
        <v>10.31234--osf.io--cf4xz.pdf</v>
      </c>
      <c r="W310" s="126" t="s">
        <v>1762</v>
      </c>
      <c r="X310" s="54" t="str">
        <f t="array" ref="X310"> if(iserror(MATCH(V310, 'File Links'!C:C, 0)), "N/A", HYPERLINK(INDEX('File Links'!B:B, MATCH(V310, 'File Links'!C:C, 0))))</f>
        <v>https://drive.google.com/file/d/1Tsg1BvUDYPZ40L5izJMMYH7m3hZ-Z2QJ/view?usp=drivesdk</v>
      </c>
      <c r="Y310" s="132"/>
      <c r="Z310" s="126" t="s">
        <v>148</v>
      </c>
      <c r="AA310" s="126" t="s">
        <v>1763</v>
      </c>
      <c r="AB310" s="126" t="s">
        <v>1764</v>
      </c>
      <c r="AC310" s="126" t="s">
        <v>1791</v>
      </c>
      <c r="AD310" s="126" t="s">
        <v>1792</v>
      </c>
      <c r="AE310" s="130">
        <v>5.0</v>
      </c>
      <c r="AF310" s="130">
        <v>17.0</v>
      </c>
      <c r="AG310" s="130">
        <v>0.39</v>
      </c>
      <c r="AH310" s="318" t="s">
        <v>139</v>
      </c>
      <c r="AI310" s="132"/>
      <c r="AJ310" s="130">
        <v>0.002</v>
      </c>
      <c r="AK310" s="125" t="s">
        <v>172</v>
      </c>
      <c r="AL310" s="132" t="s">
        <v>186</v>
      </c>
      <c r="AM310" s="132" t="s">
        <v>141</v>
      </c>
      <c r="AN310" s="219" t="s">
        <v>138</v>
      </c>
      <c r="AO310" s="132"/>
      <c r="AP310" s="132"/>
      <c r="AQ310" s="132"/>
      <c r="AR310" s="132"/>
      <c r="AS310" s="132"/>
      <c r="AT310" s="125"/>
      <c r="AU310" s="125"/>
      <c r="AV310" s="125"/>
      <c r="AW310" s="669" t="s">
        <v>1767</v>
      </c>
      <c r="AX310" s="140" t="s">
        <v>143</v>
      </c>
      <c r="AY310" s="61" t="str">
        <f>IFERROR(__xludf.DUMMYFUNCTION("vlookup(BB310,importrange(""https://docs.google.com/spreadsheets/d/1d2vevQ_7D_v35q4wCQ4RpQ_IPoTwEMB9Yp6ymwlPqew/edit?gid=984458430#gid=984458430"", ""'replication success'!A:K""), 11, FAlSE)"),"#N/A")</f>
        <v>#N/A</v>
      </c>
      <c r="AZ310" s="61" t="str">
        <f>IFERROR(__xludf.DUMMYFUNCTION("vlookup(BB310,importrange(""https://docs.google.com/spreadsheets/d/1d2vevQ_7D_v35q4wCQ4RpQ_IPoTwEMB9Yp6ymwlPqew/edit?gid=984458430#gid=984458430"", ""'replication success'!A:M""), 12, FAlSE)"),"#N/A")</f>
        <v>#N/A</v>
      </c>
      <c r="BA310" s="61" t="str">
        <f>IFERROR(__xludf.DUMMYFUNCTION("vlookup(BB310,importrange(""https://docs.google.com/spreadsheets/d/1d2vevQ_7D_v35q4wCQ4RpQ_IPoTwEMB9Yp6ymwlPqew/edit?gid=984458430#gid=984458430"", ""'replication success'!A:M""), 13, FAlSE)"),"#N/A")</f>
        <v>#N/A</v>
      </c>
      <c r="BB310" s="61" t="str">
        <f>IFERROR(__xludf.DUMMYFUNCTION("REGEXREPLACE(G310, ""_[a-z]{1,2}$"", """")"),"additional_studies44")</f>
        <v>additional_studies44</v>
      </c>
      <c r="BC310" s="57"/>
      <c r="BD310" s="124" t="s">
        <v>144</v>
      </c>
    </row>
    <row r="311" ht="20.25" customHeight="1">
      <c r="A311" s="44">
        <v>311.0</v>
      </c>
      <c r="B311" s="668" t="s">
        <v>114</v>
      </c>
      <c r="C311" s="149" t="s">
        <v>115</v>
      </c>
      <c r="D311" s="149" t="s">
        <v>1458</v>
      </c>
      <c r="E311" s="71"/>
      <c r="F311" s="122" t="s">
        <v>1754</v>
      </c>
      <c r="G311" s="112" t="s">
        <v>1790</v>
      </c>
      <c r="H311" s="112" t="s">
        <v>1518</v>
      </c>
      <c r="I311" s="674">
        <v>45640.0</v>
      </c>
      <c r="J311" s="569">
        <v>45670.0</v>
      </c>
      <c r="K311" s="112" t="s">
        <v>1768</v>
      </c>
      <c r="L311" s="112" t="s">
        <v>1757</v>
      </c>
      <c r="M311" s="112" t="s">
        <v>1793</v>
      </c>
      <c r="N311" s="112" t="s">
        <v>1759</v>
      </c>
      <c r="O311" s="114"/>
      <c r="P311" s="121" t="str">
        <f t="shared" ref="P311:P312" si="8"> SUBSTITUTE(lower(N311), "/", "--") &amp;  ".pdf"</f>
        <v>10.1016--j.jpsychires.2008.07.004.pdf</v>
      </c>
      <c r="Q311" s="52" t="str">
        <f t="array" ref="Q311"> if(iserror(MATCH(V311, 'File Links'!C:C, 0)), "N/A", HYPERLINK(INDEX('File Links'!B:B, MATCH(P311, 'File Links'!C:C, 0))))</f>
        <v>https://drive.google.com/file/d/1gOWd02cezb5MHlIvhprXv-TgaFt5Ij8f/view?usp=drivesdk</v>
      </c>
      <c r="R311" s="418" t="s">
        <v>1794</v>
      </c>
      <c r="S311" s="418" t="s">
        <v>1761</v>
      </c>
      <c r="T311" s="114"/>
      <c r="U311" s="120"/>
      <c r="V311" s="112" t="str">
        <f t="shared" si="6"/>
        <v>10.31234--osf.io--cf4xz.pdf</v>
      </c>
      <c r="W311" s="112" t="s">
        <v>1770</v>
      </c>
      <c r="X311" s="54" t="str">
        <f t="array" ref="X311"> if(iserror(MATCH(V311, 'File Links'!C:C, 0)), "N/A", HYPERLINK(INDEX('File Links'!B:B, MATCH(V311, 'File Links'!C:C, 0))))</f>
        <v>https://drive.google.com/file/d/1Tsg1BvUDYPZ40L5izJMMYH7m3hZ-Z2QJ/view?usp=drivesdk</v>
      </c>
      <c r="Y311" s="114"/>
      <c r="Z311" s="114" t="s">
        <v>1781</v>
      </c>
      <c r="AA311" s="112" t="s">
        <v>1771</v>
      </c>
      <c r="AB311" s="114" t="s">
        <v>1772</v>
      </c>
      <c r="AC311" s="112" t="s">
        <v>1773</v>
      </c>
      <c r="AD311" s="112" t="s">
        <v>1795</v>
      </c>
      <c r="AE311" s="671">
        <v>45448.0</v>
      </c>
      <c r="AF311" s="117">
        <v>17.0</v>
      </c>
      <c r="AG311" s="117">
        <v>0.39</v>
      </c>
      <c r="AH311" s="120" t="s">
        <v>874</v>
      </c>
      <c r="AI311" s="112" t="s">
        <v>882</v>
      </c>
      <c r="AJ311" s="117">
        <v>0.002</v>
      </c>
      <c r="AK311" s="111" t="s">
        <v>172</v>
      </c>
      <c r="AL311" s="114" t="s">
        <v>186</v>
      </c>
      <c r="AM311" s="112" t="s">
        <v>141</v>
      </c>
      <c r="AN311" s="219" t="s">
        <v>138</v>
      </c>
      <c r="AO311" s="114"/>
      <c r="AP311" s="114"/>
      <c r="AQ311" s="114"/>
      <c r="AR311" s="114"/>
      <c r="AS311" s="114"/>
      <c r="AT311" s="111"/>
      <c r="AU311" s="111"/>
      <c r="AV311" s="111"/>
      <c r="AW311" s="672" t="s">
        <v>1775</v>
      </c>
      <c r="AX311" s="420" t="s">
        <v>143</v>
      </c>
      <c r="AY311" s="61" t="str">
        <f>IFERROR(__xludf.DUMMYFUNCTION("vlookup(BB311,importrange(""https://docs.google.com/spreadsheets/d/1d2vevQ_7D_v35q4wCQ4RpQ_IPoTwEMB9Yp6ymwlPqew/edit?gid=984458430#gid=984458430"", ""'replication success'!A:K""), 11, FAlSE)"),"#N/A")</f>
        <v>#N/A</v>
      </c>
      <c r="AZ311" s="61" t="str">
        <f>IFERROR(__xludf.DUMMYFUNCTION("vlookup(BB311,importrange(""https://docs.google.com/spreadsheets/d/1d2vevQ_7D_v35q4wCQ4RpQ_IPoTwEMB9Yp6ymwlPqew/edit?gid=984458430#gid=984458430"", ""'replication success'!A:M""), 12, FAlSE)"),"#N/A")</f>
        <v>#N/A</v>
      </c>
      <c r="BA311" s="61" t="str">
        <f>IFERROR(__xludf.DUMMYFUNCTION("vlookup(BB311,importrange(""https://docs.google.com/spreadsheets/d/1d2vevQ_7D_v35q4wCQ4RpQ_IPoTwEMB9Yp6ymwlPqew/edit?gid=984458430#gid=984458430"", ""'replication success'!A:M""), 13, FAlSE)"),"#N/A")</f>
        <v>#N/A</v>
      </c>
      <c r="BB311" s="61" t="str">
        <f>IFERROR(__xludf.DUMMYFUNCTION("REGEXREPLACE(G311, ""_[a-z]{1,2}$"", """")"),"additional_studies44")</f>
        <v>additional_studies44</v>
      </c>
      <c r="BC311" s="57"/>
      <c r="BD311" s="124" t="s">
        <v>144</v>
      </c>
    </row>
    <row r="312" ht="20.25" customHeight="1">
      <c r="A312" s="44">
        <v>312.0</v>
      </c>
      <c r="B312" s="668" t="s">
        <v>114</v>
      </c>
      <c r="C312" s="149" t="s">
        <v>115</v>
      </c>
      <c r="D312" s="149" t="s">
        <v>1458</v>
      </c>
      <c r="E312" s="71"/>
      <c r="F312" s="122" t="s">
        <v>1754</v>
      </c>
      <c r="G312" s="112" t="s">
        <v>1796</v>
      </c>
      <c r="H312" s="112" t="s">
        <v>1518</v>
      </c>
      <c r="I312" s="674">
        <v>45640.0</v>
      </c>
      <c r="J312" s="569">
        <v>45670.0</v>
      </c>
      <c r="K312" s="112" t="s">
        <v>1797</v>
      </c>
      <c r="L312" s="112" t="s">
        <v>1757</v>
      </c>
      <c r="M312" s="112" t="s">
        <v>1798</v>
      </c>
      <c r="N312" s="676" t="s">
        <v>1759</v>
      </c>
      <c r="O312" s="114"/>
      <c r="P312" s="121" t="str">
        <f t="shared" si="8"/>
        <v>10.1016--j.jpsychires.2008.07.004.pdf</v>
      </c>
      <c r="Q312" s="52" t="str">
        <f t="array" ref="Q312"> if(iserror(MATCH(V312, 'File Links'!C:C, 0)), "N/A", HYPERLINK(INDEX('File Links'!B:B, MATCH(P312, 'File Links'!C:C, 0))))</f>
        <v>https://drive.google.com/file/d/1gOWd02cezb5MHlIvhprXv-TgaFt5Ij8f/view?usp=drivesdk</v>
      </c>
      <c r="R312" s="418" t="s">
        <v>1799</v>
      </c>
      <c r="S312" s="418" t="s">
        <v>1761</v>
      </c>
      <c r="T312" s="114"/>
      <c r="U312" s="120"/>
      <c r="V312" s="112" t="str">
        <f t="shared" si="6"/>
        <v>10.31234--osf.io--cf4xz.pdf</v>
      </c>
      <c r="W312" s="112" t="s">
        <v>1770</v>
      </c>
      <c r="X312" s="54" t="str">
        <f t="array" ref="X312"> if(iserror(MATCH(V312, 'File Links'!C:C, 0)), "N/A", HYPERLINK(INDEX('File Links'!B:B, MATCH(V312, 'File Links'!C:C, 0))))</f>
        <v>https://drive.google.com/file/d/1Tsg1BvUDYPZ40L5izJMMYH7m3hZ-Z2QJ/view?usp=drivesdk</v>
      </c>
      <c r="Y312" s="114"/>
      <c r="Z312" s="114" t="s">
        <v>1781</v>
      </c>
      <c r="AA312" s="112" t="s">
        <v>1771</v>
      </c>
      <c r="AB312" s="114" t="s">
        <v>1772</v>
      </c>
      <c r="AC312" s="112" t="s">
        <v>1773</v>
      </c>
      <c r="AD312" s="112" t="s">
        <v>1800</v>
      </c>
      <c r="AE312" s="114"/>
      <c r="AF312" s="114"/>
      <c r="AG312" s="114"/>
      <c r="AH312" s="120"/>
      <c r="AI312" s="114"/>
      <c r="AJ312" s="114"/>
      <c r="AK312" s="111"/>
      <c r="AL312" s="114"/>
      <c r="AM312" s="114"/>
      <c r="AN312" s="219" t="s">
        <v>138</v>
      </c>
      <c r="AO312" s="114"/>
      <c r="AP312" s="114"/>
      <c r="AQ312" s="114"/>
      <c r="AR312" s="114"/>
      <c r="AS312" s="114"/>
      <c r="AT312" s="111"/>
      <c r="AU312" s="111"/>
      <c r="AV312" s="111"/>
      <c r="AW312" s="672" t="s">
        <v>1775</v>
      </c>
      <c r="AX312" s="111"/>
      <c r="AY312" s="61" t="str">
        <f>IFERROR(__xludf.DUMMYFUNCTION("vlookup(BB312,importrange(""https://docs.google.com/spreadsheets/d/1d2vevQ_7D_v35q4wCQ4RpQ_IPoTwEMB9Yp6ymwlPqew/edit?gid=984458430#gid=984458430"", ""'replication success'!A:K""), 11, FAlSE)"),"#N/A")</f>
        <v>#N/A</v>
      </c>
      <c r="AZ312" s="61" t="str">
        <f>IFERROR(__xludf.DUMMYFUNCTION("vlookup(BB312,importrange(""https://docs.google.com/spreadsheets/d/1d2vevQ_7D_v35q4wCQ4RpQ_IPoTwEMB9Yp6ymwlPqew/edit?gid=984458430#gid=984458430"", ""'replication success'!A:M""), 12, FAlSE)"),"#N/A")</f>
        <v>#N/A</v>
      </c>
      <c r="BA312" s="61" t="str">
        <f>IFERROR(__xludf.DUMMYFUNCTION("vlookup(BB312,importrange(""https://docs.google.com/spreadsheets/d/1d2vevQ_7D_v35q4wCQ4RpQ_IPoTwEMB9Yp6ymwlPqew/edit?gid=984458430#gid=984458430"", ""'replication success'!A:M""), 13, FAlSE)"),"#N/A")</f>
        <v>#N/A</v>
      </c>
      <c r="BB312" s="61" t="str">
        <f>IFERROR(__xludf.DUMMYFUNCTION("REGEXREPLACE(G312, ""_[a-z]{1,2}$"", """")"),"additional_studies44")</f>
        <v>additional_studies44</v>
      </c>
      <c r="BC312" s="57"/>
      <c r="BD312" s="124" t="s">
        <v>144</v>
      </c>
    </row>
    <row r="313" ht="20.25" customHeight="1">
      <c r="A313" s="44">
        <v>313.0</v>
      </c>
      <c r="B313" s="45" t="s">
        <v>114</v>
      </c>
      <c r="C313" s="45" t="s">
        <v>115</v>
      </c>
      <c r="D313" s="62" t="s">
        <v>1441</v>
      </c>
      <c r="F313" s="481" t="s">
        <v>1801</v>
      </c>
      <c r="G313" s="383" t="s">
        <v>1802</v>
      </c>
      <c r="H313" s="383" t="s">
        <v>1540</v>
      </c>
      <c r="I313" s="590">
        <v>45436.0</v>
      </c>
      <c r="J313" s="590">
        <v>45638.0</v>
      </c>
      <c r="K313" s="383" t="s">
        <v>1803</v>
      </c>
      <c r="L313" s="371" t="s">
        <v>1804</v>
      </c>
      <c r="M313" s="383" t="s">
        <v>1805</v>
      </c>
      <c r="N313" s="383" t="s">
        <v>1806</v>
      </c>
      <c r="O313" s="462"/>
      <c r="P313" s="493" t="str">
        <f>SUBSTITUTE(LOWER(N313), "/", "--") &amp;  ".pdf"</f>
        <v>10.1162--rest.90.2.300.pdf</v>
      </c>
      <c r="Q313" s="52" t="str">
        <f t="array" ref="Q313"> if(iserror(MATCH(V313, 'File Links'!C:C, 0)), "N/A", HYPERLINK(INDEX('File Links'!B:B, MATCH(P313, 'File Links'!C:C, 0))))</f>
        <v>https://drive.google.com/file/d/150VkxMJ6Qzq8PM52a6Vi7Y9e4ojtHPne/view?usp=drivesdk</v>
      </c>
      <c r="R313" s="383" t="s">
        <v>1807</v>
      </c>
      <c r="S313" s="383" t="s">
        <v>1808</v>
      </c>
      <c r="T313" s="462"/>
      <c r="U313" s="591"/>
      <c r="V313" s="383" t="str">
        <f t="shared" si="6"/>
        <v>10.18718--81781.34.pdf</v>
      </c>
      <c r="W313" s="592" t="s">
        <v>1511</v>
      </c>
      <c r="X313" s="54" t="str">
        <f t="array" ref="X313"> if(iserror(MATCH(V313, 'File Links'!C:C, 0)), "N/A", HYPERLINK(INDEX('File Links'!B:B, MATCH(V313, 'File Links'!C:C, 0))))</f>
        <v>https://drive.google.com/file/d/1Y24HtovNy5BwKos6_FsV4A_pE93bEfUv/view?usp=drivesdk</v>
      </c>
      <c r="Y313" s="592" t="s">
        <v>1803</v>
      </c>
      <c r="Z313" s="383" t="s">
        <v>1809</v>
      </c>
      <c r="AA313" s="462"/>
      <c r="AB313" s="462"/>
      <c r="AC313" s="462"/>
      <c r="AD313" s="462"/>
      <c r="AE313" s="462"/>
      <c r="AF313" s="462"/>
      <c r="AG313" s="462"/>
      <c r="AH313" s="591"/>
      <c r="AI313" s="462"/>
      <c r="AJ313" s="462"/>
      <c r="AK313" s="542"/>
      <c r="AL313" s="462"/>
      <c r="AM313" s="462"/>
      <c r="AN313" s="219" t="s">
        <v>138</v>
      </c>
      <c r="AO313" s="462"/>
      <c r="AP313" s="462"/>
      <c r="AQ313" s="462"/>
      <c r="AR313" s="462"/>
      <c r="AS313" s="462"/>
      <c r="AT313" s="542"/>
      <c r="AU313" s="542"/>
      <c r="AV313" s="542"/>
      <c r="AW313" s="542"/>
      <c r="AX313" s="542"/>
      <c r="AY313" s="61" t="str">
        <f>IFERROR(__xludf.DUMMYFUNCTION("vlookup(BB313,importrange(""https://docs.google.com/spreadsheets/d/1d2vevQ_7D_v35q4wCQ4RpQ_IPoTwEMB9Yp6ymwlPqew/edit?gid=984458430#gid=984458430"", ""'replication success'!A:K""), 11, FAlSE)"),"#N/A")</f>
        <v>#N/A</v>
      </c>
      <c r="AZ313" s="61" t="str">
        <f>IFERROR(__xludf.DUMMYFUNCTION("vlookup(BB313,importrange(""https://docs.google.com/spreadsheets/d/1d2vevQ_7D_v35q4wCQ4RpQ_IPoTwEMB9Yp6ymwlPqew/edit?gid=984458430#gid=984458430"", ""'replication success'!A:M""), 12, FAlSE)"),"#N/A")</f>
        <v>#N/A</v>
      </c>
      <c r="BA313" s="61" t="str">
        <f>IFERROR(__xludf.DUMMYFUNCTION("vlookup(BB313,importrange(""https://docs.google.com/spreadsheets/d/1d2vevQ_7D_v35q4wCQ4RpQ_IPoTwEMB9Yp6ymwlPqew/edit?gid=984458430#gid=984458430"", ""'replication success'!A:M""), 13, FAlSE)"),"#N/A")</f>
        <v>#N/A</v>
      </c>
      <c r="BB313" s="61" t="str">
        <f>IFERROR(__xludf.DUMMYFUNCTION("REGEXREPLACE(G313, ""_[a-z]{1,2}$"", """")"),"additional_studies45")</f>
        <v>additional_studies45</v>
      </c>
      <c r="BC313" s="61"/>
    </row>
    <row r="314" ht="20.25" customHeight="1">
      <c r="A314" s="44">
        <v>314.0</v>
      </c>
      <c r="B314" s="45" t="s">
        <v>114</v>
      </c>
      <c r="C314" s="62" t="s">
        <v>115</v>
      </c>
      <c r="D314" s="62" t="s">
        <v>1810</v>
      </c>
      <c r="F314" s="159" t="s">
        <v>1801</v>
      </c>
      <c r="G314" s="57" t="s">
        <v>1802</v>
      </c>
      <c r="H314" s="57" t="s">
        <v>1811</v>
      </c>
      <c r="I314" s="152">
        <v>45436.0</v>
      </c>
      <c r="J314" s="434">
        <v>45642.0</v>
      </c>
      <c r="K314" s="57" t="s">
        <v>1812</v>
      </c>
      <c r="L314" s="371" t="s">
        <v>1804</v>
      </c>
      <c r="M314" s="57" t="s">
        <v>1805</v>
      </c>
      <c r="N314" s="57" t="s">
        <v>1806</v>
      </c>
      <c r="O314" s="61"/>
      <c r="P314" s="377" t="str">
        <f t="shared" ref="P314:P317" si="9"> SUBSTITUTE(lower(N314), "/", "--") &amp;  ".pdf"</f>
        <v>10.1162--rest.90.2.300.pdf</v>
      </c>
      <c r="Q314" s="52" t="str">
        <f t="array" ref="Q314"> if(iserror(MATCH(V314, 'File Links'!C:C, 0)), "N/A", HYPERLINK(INDEX('File Links'!B:B, MATCH(P314, 'File Links'!C:C, 0))))</f>
        <v>https://drive.google.com/file/d/150VkxMJ6Qzq8PM52a6Vi7Y9e4ojtHPne/view?usp=drivesdk</v>
      </c>
      <c r="R314" s="57" t="s">
        <v>1807</v>
      </c>
      <c r="S314" s="57" t="s">
        <v>1808</v>
      </c>
      <c r="T314" s="61"/>
      <c r="U314" s="338"/>
      <c r="V314" s="112" t="str">
        <f t="shared" si="6"/>
        <v>10.18718--81781.34.pdf</v>
      </c>
      <c r="W314" s="57" t="s">
        <v>1813</v>
      </c>
      <c r="X314" s="54" t="str">
        <f t="array" ref="X314"> if(iserror(MATCH(V314, 'File Links'!C:C, 0)), "N/A", HYPERLINK(INDEX('File Links'!B:B, MATCH(V314, 'File Links'!C:C, 0))))</f>
        <v>https://drive.google.com/file/d/1Y24HtovNy5BwKos6_FsV4A_pE93bEfUv/view?usp=drivesdk</v>
      </c>
      <c r="Y314" s="61"/>
      <c r="Z314" s="57" t="s">
        <v>1809</v>
      </c>
      <c r="AA314" s="57" t="s">
        <v>1814</v>
      </c>
      <c r="AB314" s="57" t="s">
        <v>1815</v>
      </c>
      <c r="AC314" s="61"/>
      <c r="AD314" s="57" t="s">
        <v>1816</v>
      </c>
      <c r="AE314" s="57" t="s">
        <v>1817</v>
      </c>
      <c r="AF314" s="57" t="s">
        <v>138</v>
      </c>
      <c r="AG314" s="379">
        <v>4.4</v>
      </c>
      <c r="AH314" s="339" t="s">
        <v>134</v>
      </c>
      <c r="AI314" s="57" t="s">
        <v>1818</v>
      </c>
      <c r="AJ314" s="57" t="s">
        <v>138</v>
      </c>
      <c r="AK314" s="159" t="s">
        <v>138</v>
      </c>
      <c r="AL314" s="677" t="s">
        <v>138</v>
      </c>
      <c r="AM314" s="677" t="s">
        <v>138</v>
      </c>
      <c r="AN314" s="57" t="s">
        <v>138</v>
      </c>
      <c r="AO314" s="57" t="s">
        <v>138</v>
      </c>
      <c r="AP314" s="379">
        <v>3.9</v>
      </c>
      <c r="AQ314" s="57" t="s">
        <v>134</v>
      </c>
      <c r="AR314" s="57" t="s">
        <v>1819</v>
      </c>
      <c r="AS314" s="57" t="s">
        <v>138</v>
      </c>
      <c r="AT314" s="678" t="s">
        <v>138</v>
      </c>
      <c r="AU314" s="678" t="s">
        <v>138</v>
      </c>
      <c r="AV314" s="678" t="s">
        <v>138</v>
      </c>
      <c r="AW314" s="159" t="s">
        <v>138</v>
      </c>
      <c r="AX314" s="159" t="s">
        <v>151</v>
      </c>
      <c r="AY314" s="61" t="str">
        <f>IFERROR(__xludf.DUMMYFUNCTION("vlookup(BB314,importrange(""https://docs.google.com/spreadsheets/d/1d2vevQ_7D_v35q4wCQ4RpQ_IPoTwEMB9Yp6ymwlPqew/edit?gid=984458430#gid=984458430"", ""'replication success'!A:K""), 11, FAlSE)"),"#N/A")</f>
        <v>#N/A</v>
      </c>
      <c r="AZ314" s="61" t="str">
        <f>IFERROR(__xludf.DUMMYFUNCTION("vlookup(BB314,importrange(""https://docs.google.com/spreadsheets/d/1d2vevQ_7D_v35q4wCQ4RpQ_IPoTwEMB9Yp6ymwlPqew/edit?gid=984458430#gid=984458430"", ""'replication success'!A:M""), 12, FAlSE)"),"#N/A")</f>
        <v>#N/A</v>
      </c>
      <c r="BA314" s="61" t="str">
        <f>IFERROR(__xludf.DUMMYFUNCTION("vlookup(BB314,importrange(""https://docs.google.com/spreadsheets/d/1d2vevQ_7D_v35q4wCQ4RpQ_IPoTwEMB9Yp6ymwlPqew/edit?gid=984458430#gid=984458430"", ""'replication success'!A:M""), 13, FAlSE)"),"#N/A")</f>
        <v>#N/A</v>
      </c>
      <c r="BB314" s="61" t="str">
        <f>IFERROR(__xludf.DUMMYFUNCTION("REGEXREPLACE(G314, ""_[a-z]{1,2}$"", """")"),"additional_studies45")</f>
        <v>additional_studies45</v>
      </c>
      <c r="BC314" s="61"/>
    </row>
    <row r="315" ht="20.25" customHeight="1">
      <c r="A315" s="44">
        <v>315.0</v>
      </c>
      <c r="B315" s="45" t="s">
        <v>114</v>
      </c>
      <c r="C315" s="62" t="s">
        <v>115</v>
      </c>
      <c r="D315" s="62" t="s">
        <v>1810</v>
      </c>
      <c r="F315" s="159" t="s">
        <v>1801</v>
      </c>
      <c r="G315" s="57" t="s">
        <v>1802</v>
      </c>
      <c r="H315" s="57" t="s">
        <v>1811</v>
      </c>
      <c r="I315" s="152">
        <v>45436.0</v>
      </c>
      <c r="J315" s="434">
        <v>45642.0</v>
      </c>
      <c r="K315" s="57" t="s">
        <v>1820</v>
      </c>
      <c r="L315" s="371" t="s">
        <v>1804</v>
      </c>
      <c r="M315" s="57" t="s">
        <v>1805</v>
      </c>
      <c r="N315" s="57" t="s">
        <v>1806</v>
      </c>
      <c r="O315" s="61"/>
      <c r="P315" s="377" t="str">
        <f t="shared" si="9"/>
        <v>10.1162--rest.90.2.300.pdf</v>
      </c>
      <c r="Q315" s="52" t="str">
        <f t="array" ref="Q315"> if(iserror(MATCH(V315, 'File Links'!C:C, 0)), "N/A", HYPERLINK(INDEX('File Links'!B:B, MATCH(P315, 'File Links'!C:C, 0))))</f>
        <v>https://drive.google.com/file/d/150VkxMJ6Qzq8PM52a6Vi7Y9e4ojtHPne/view?usp=drivesdk</v>
      </c>
      <c r="R315" s="57" t="s">
        <v>1807</v>
      </c>
      <c r="S315" s="57" t="s">
        <v>1808</v>
      </c>
      <c r="T315" s="61"/>
      <c r="U315" s="338"/>
      <c r="V315" s="112" t="str">
        <f t="shared" si="6"/>
        <v>10.18718--81781.34.pdf</v>
      </c>
      <c r="W315" s="57" t="s">
        <v>1813</v>
      </c>
      <c r="X315" s="54" t="str">
        <f t="array" ref="X315"> if(iserror(MATCH(V315, 'File Links'!C:C, 0)), "N/A", HYPERLINK(INDEX('File Links'!B:B, MATCH(V315, 'File Links'!C:C, 0))))</f>
        <v>https://drive.google.com/file/d/1Y24HtovNy5BwKos6_FsV4A_pE93bEfUv/view?usp=drivesdk</v>
      </c>
      <c r="Y315" s="61"/>
      <c r="Z315" s="57" t="s">
        <v>1809</v>
      </c>
      <c r="AA315" s="57" t="s">
        <v>1814</v>
      </c>
      <c r="AB315" s="57" t="s">
        <v>1815</v>
      </c>
      <c r="AC315" s="61"/>
      <c r="AD315" s="57" t="s">
        <v>1816</v>
      </c>
      <c r="AE315" s="57" t="s">
        <v>1817</v>
      </c>
      <c r="AF315" s="57" t="s">
        <v>138</v>
      </c>
      <c r="AG315" s="379">
        <v>4.0</v>
      </c>
      <c r="AH315" s="339" t="s">
        <v>134</v>
      </c>
      <c r="AI315" s="57" t="s">
        <v>1818</v>
      </c>
      <c r="AJ315" s="57" t="s">
        <v>138</v>
      </c>
      <c r="AK315" s="159" t="s">
        <v>138</v>
      </c>
      <c r="AL315" s="677" t="s">
        <v>138</v>
      </c>
      <c r="AM315" s="677" t="s">
        <v>138</v>
      </c>
      <c r="AN315" s="57" t="s">
        <v>138</v>
      </c>
      <c r="AO315" s="57" t="s">
        <v>138</v>
      </c>
      <c r="AP315" s="379">
        <v>6.0</v>
      </c>
      <c r="AQ315" s="57" t="s">
        <v>134</v>
      </c>
      <c r="AR315" s="57" t="s">
        <v>1819</v>
      </c>
      <c r="AS315" s="57" t="s">
        <v>138</v>
      </c>
      <c r="AT315" s="678" t="s">
        <v>138</v>
      </c>
      <c r="AU315" s="678" t="s">
        <v>138</v>
      </c>
      <c r="AV315" s="678" t="s">
        <v>138</v>
      </c>
      <c r="AW315" s="159" t="s">
        <v>138</v>
      </c>
      <c r="AX315" s="159" t="s">
        <v>151</v>
      </c>
      <c r="AY315" s="61" t="str">
        <f>IFERROR(__xludf.DUMMYFUNCTION("vlookup(BB315,importrange(""https://docs.google.com/spreadsheets/d/1d2vevQ_7D_v35q4wCQ4RpQ_IPoTwEMB9Yp6ymwlPqew/edit?gid=984458430#gid=984458430"", ""'replication success'!A:K""), 11, FAlSE)"),"#N/A")</f>
        <v>#N/A</v>
      </c>
      <c r="AZ315" s="61" t="str">
        <f>IFERROR(__xludf.DUMMYFUNCTION("vlookup(BB315,importrange(""https://docs.google.com/spreadsheets/d/1d2vevQ_7D_v35q4wCQ4RpQ_IPoTwEMB9Yp6ymwlPqew/edit?gid=984458430#gid=984458430"", ""'replication success'!A:M""), 12, FAlSE)"),"#N/A")</f>
        <v>#N/A</v>
      </c>
      <c r="BA315" s="61" t="str">
        <f>IFERROR(__xludf.DUMMYFUNCTION("vlookup(BB315,importrange(""https://docs.google.com/spreadsheets/d/1d2vevQ_7D_v35q4wCQ4RpQ_IPoTwEMB9Yp6ymwlPqew/edit?gid=984458430#gid=984458430"", ""'replication success'!A:M""), 13, FAlSE)"),"#N/A")</f>
        <v>#N/A</v>
      </c>
      <c r="BB315" s="61" t="str">
        <f>IFERROR(__xludf.DUMMYFUNCTION("REGEXREPLACE(G315, ""_[a-z]{1,2}$"", """")"),"additional_studies45")</f>
        <v>additional_studies45</v>
      </c>
      <c r="BC315" s="61"/>
    </row>
    <row r="316" ht="20.25" customHeight="1">
      <c r="A316" s="44">
        <v>316.0</v>
      </c>
      <c r="B316" s="45" t="s">
        <v>114</v>
      </c>
      <c r="C316" s="62" t="s">
        <v>115</v>
      </c>
      <c r="D316" s="62" t="s">
        <v>1810</v>
      </c>
      <c r="F316" s="159" t="s">
        <v>1801</v>
      </c>
      <c r="G316" s="57" t="s">
        <v>1802</v>
      </c>
      <c r="H316" s="57" t="s">
        <v>1811</v>
      </c>
      <c r="I316" s="152">
        <v>45436.0</v>
      </c>
      <c r="J316" s="434">
        <v>45642.0</v>
      </c>
      <c r="K316" s="57" t="s">
        <v>1820</v>
      </c>
      <c r="L316" s="371" t="s">
        <v>1804</v>
      </c>
      <c r="M316" s="57" t="s">
        <v>1805</v>
      </c>
      <c r="N316" s="57" t="s">
        <v>1806</v>
      </c>
      <c r="O316" s="61"/>
      <c r="P316" s="377" t="str">
        <f t="shared" si="9"/>
        <v>10.1162--rest.90.2.300.pdf</v>
      </c>
      <c r="Q316" s="52" t="str">
        <f t="array" ref="Q316"> if(iserror(MATCH(V316, 'File Links'!C:C, 0)), "N/A", HYPERLINK(INDEX('File Links'!B:B, MATCH(P316, 'File Links'!C:C, 0))))</f>
        <v>https://drive.google.com/file/d/150VkxMJ6Qzq8PM52a6Vi7Y9e4ojtHPne/view?usp=drivesdk</v>
      </c>
      <c r="R316" s="57" t="s">
        <v>1807</v>
      </c>
      <c r="S316" s="57" t="s">
        <v>1808</v>
      </c>
      <c r="T316" s="61"/>
      <c r="U316" s="338"/>
      <c r="V316" s="112" t="str">
        <f t="shared" si="6"/>
        <v>10.18718--81781.34.pdf</v>
      </c>
      <c r="W316" s="57" t="s">
        <v>1813</v>
      </c>
      <c r="X316" s="54" t="str">
        <f t="array" ref="X316"> if(iserror(MATCH(V316, 'File Links'!C:C, 0)), "N/A", HYPERLINK(INDEX('File Links'!B:B, MATCH(V316, 'File Links'!C:C, 0))))</f>
        <v>https://drive.google.com/file/d/1Y24HtovNy5BwKos6_FsV4A_pE93bEfUv/view?usp=drivesdk</v>
      </c>
      <c r="Y316" s="61"/>
      <c r="Z316" s="57" t="s">
        <v>1809</v>
      </c>
      <c r="AA316" s="57" t="s">
        <v>1814</v>
      </c>
      <c r="AB316" s="57" t="s">
        <v>1815</v>
      </c>
      <c r="AC316" s="61"/>
      <c r="AD316" s="57" t="s">
        <v>1816</v>
      </c>
      <c r="AE316" s="57" t="s">
        <v>1817</v>
      </c>
      <c r="AF316" s="57" t="s">
        <v>138</v>
      </c>
      <c r="AG316" s="379">
        <v>5.7</v>
      </c>
      <c r="AH316" s="339" t="s">
        <v>134</v>
      </c>
      <c r="AI316" s="57" t="s">
        <v>1818</v>
      </c>
      <c r="AJ316" s="57" t="s">
        <v>138</v>
      </c>
      <c r="AK316" s="159" t="s">
        <v>138</v>
      </c>
      <c r="AL316" s="677" t="s">
        <v>138</v>
      </c>
      <c r="AM316" s="677" t="s">
        <v>138</v>
      </c>
      <c r="AN316" s="57" t="s">
        <v>138</v>
      </c>
      <c r="AO316" s="57" t="s">
        <v>138</v>
      </c>
      <c r="AP316" s="379">
        <v>6.2</v>
      </c>
      <c r="AQ316" s="57" t="s">
        <v>134</v>
      </c>
      <c r="AR316" s="57" t="s">
        <v>1819</v>
      </c>
      <c r="AS316" s="57" t="s">
        <v>138</v>
      </c>
      <c r="AT316" s="678" t="s">
        <v>138</v>
      </c>
      <c r="AU316" s="678" t="s">
        <v>138</v>
      </c>
      <c r="AV316" s="678" t="s">
        <v>138</v>
      </c>
      <c r="AW316" s="159" t="s">
        <v>138</v>
      </c>
      <c r="AX316" s="159" t="s">
        <v>151</v>
      </c>
      <c r="AY316" s="61" t="str">
        <f>IFERROR(__xludf.DUMMYFUNCTION("vlookup(BB316,importrange(""https://docs.google.com/spreadsheets/d/1d2vevQ_7D_v35q4wCQ4RpQ_IPoTwEMB9Yp6ymwlPqew/edit?gid=984458430#gid=984458430"", ""'replication success'!A:K""), 11, FAlSE)"),"#N/A")</f>
        <v>#N/A</v>
      </c>
      <c r="AZ316" s="61" t="str">
        <f>IFERROR(__xludf.DUMMYFUNCTION("vlookup(BB316,importrange(""https://docs.google.com/spreadsheets/d/1d2vevQ_7D_v35q4wCQ4RpQ_IPoTwEMB9Yp6ymwlPqew/edit?gid=984458430#gid=984458430"", ""'replication success'!A:M""), 12, FAlSE)"),"#N/A")</f>
        <v>#N/A</v>
      </c>
      <c r="BA316" s="61" t="str">
        <f>IFERROR(__xludf.DUMMYFUNCTION("vlookup(BB316,importrange(""https://docs.google.com/spreadsheets/d/1d2vevQ_7D_v35q4wCQ4RpQ_IPoTwEMB9Yp6ymwlPqew/edit?gid=984458430#gid=984458430"", ""'replication success'!A:M""), 13, FAlSE)"),"#N/A")</f>
        <v>#N/A</v>
      </c>
      <c r="BB316" s="61" t="str">
        <f>IFERROR(__xludf.DUMMYFUNCTION("REGEXREPLACE(G316, ""_[a-z]{1,2}$"", """")"),"additional_studies45")</f>
        <v>additional_studies45</v>
      </c>
      <c r="BC316" s="61"/>
    </row>
    <row r="317" ht="20.25" customHeight="1">
      <c r="A317" s="44">
        <v>317.0</v>
      </c>
      <c r="B317" s="45" t="s">
        <v>114</v>
      </c>
      <c r="C317" s="62" t="s">
        <v>115</v>
      </c>
      <c r="D317" s="62" t="s">
        <v>1810</v>
      </c>
      <c r="F317" s="159" t="s">
        <v>1801</v>
      </c>
      <c r="G317" s="57" t="s">
        <v>1802</v>
      </c>
      <c r="H317" s="57" t="s">
        <v>1811</v>
      </c>
      <c r="I317" s="152">
        <v>45436.0</v>
      </c>
      <c r="J317" s="434">
        <v>45642.0</v>
      </c>
      <c r="K317" s="57" t="s">
        <v>1820</v>
      </c>
      <c r="L317" s="371" t="s">
        <v>1804</v>
      </c>
      <c r="M317" s="57" t="s">
        <v>1805</v>
      </c>
      <c r="N317" s="57" t="s">
        <v>1806</v>
      </c>
      <c r="O317" s="61"/>
      <c r="P317" s="377" t="str">
        <f t="shared" si="9"/>
        <v>10.1162--rest.90.2.300.pdf</v>
      </c>
      <c r="Q317" s="52" t="str">
        <f t="array" ref="Q317"> if(iserror(MATCH(V317, 'File Links'!C:C, 0)), "N/A", HYPERLINK(INDEX('File Links'!B:B, MATCH(P317, 'File Links'!C:C, 0))))</f>
        <v>https://drive.google.com/file/d/150VkxMJ6Qzq8PM52a6Vi7Y9e4ojtHPne/view?usp=drivesdk</v>
      </c>
      <c r="R317" s="57" t="s">
        <v>1807</v>
      </c>
      <c r="S317" s="57" t="s">
        <v>1808</v>
      </c>
      <c r="T317" s="61"/>
      <c r="U317" s="338"/>
      <c r="V317" s="112" t="str">
        <f t="shared" si="6"/>
        <v>10.18718--81781.34.pdf</v>
      </c>
      <c r="W317" s="57" t="s">
        <v>1813</v>
      </c>
      <c r="X317" s="54" t="str">
        <f t="array" ref="X317"> if(iserror(MATCH(V317, 'File Links'!C:C, 0)), "N/A", HYPERLINK(INDEX('File Links'!B:B, MATCH(V317, 'File Links'!C:C, 0))))</f>
        <v>https://drive.google.com/file/d/1Y24HtovNy5BwKos6_FsV4A_pE93bEfUv/view?usp=drivesdk</v>
      </c>
      <c r="Y317" s="61"/>
      <c r="Z317" s="57" t="s">
        <v>1809</v>
      </c>
      <c r="AA317" s="57" t="s">
        <v>1814</v>
      </c>
      <c r="AB317" s="57" t="s">
        <v>1815</v>
      </c>
      <c r="AC317" s="61"/>
      <c r="AD317" s="57" t="s">
        <v>1816</v>
      </c>
      <c r="AE317" s="57" t="s">
        <v>1817</v>
      </c>
      <c r="AF317" s="57" t="s">
        <v>138</v>
      </c>
      <c r="AG317" s="379">
        <v>1.3</v>
      </c>
      <c r="AH317" s="339" t="s">
        <v>134</v>
      </c>
      <c r="AI317" s="57" t="s">
        <v>1818</v>
      </c>
      <c r="AJ317" s="57" t="s">
        <v>138</v>
      </c>
      <c r="AK317" s="159" t="s">
        <v>138</v>
      </c>
      <c r="AL317" s="677" t="s">
        <v>138</v>
      </c>
      <c r="AM317" s="677" t="s">
        <v>138</v>
      </c>
      <c r="AN317" s="57" t="s">
        <v>138</v>
      </c>
      <c r="AO317" s="57" t="s">
        <v>138</v>
      </c>
      <c r="AP317" s="379">
        <v>-2.7</v>
      </c>
      <c r="AQ317" s="57" t="s">
        <v>134</v>
      </c>
      <c r="AR317" s="57" t="s">
        <v>1819</v>
      </c>
      <c r="AS317" s="57" t="s">
        <v>138</v>
      </c>
      <c r="AT317" s="678" t="s">
        <v>138</v>
      </c>
      <c r="AU317" s="678" t="s">
        <v>138</v>
      </c>
      <c r="AV317" s="678" t="s">
        <v>138</v>
      </c>
      <c r="AW317" s="159" t="s">
        <v>138</v>
      </c>
      <c r="AX317" s="159" t="s">
        <v>151</v>
      </c>
      <c r="AY317" s="61" t="str">
        <f>IFERROR(__xludf.DUMMYFUNCTION("vlookup(BB317,importrange(""https://docs.google.com/spreadsheets/d/1d2vevQ_7D_v35q4wCQ4RpQ_IPoTwEMB9Yp6ymwlPqew/edit?gid=984458430#gid=984458430"", ""'replication success'!A:K""), 11, FAlSE)"),"#N/A")</f>
        <v>#N/A</v>
      </c>
      <c r="AZ317" s="61" t="str">
        <f>IFERROR(__xludf.DUMMYFUNCTION("vlookup(BB317,importrange(""https://docs.google.com/spreadsheets/d/1d2vevQ_7D_v35q4wCQ4RpQ_IPoTwEMB9Yp6ymwlPqew/edit?gid=984458430#gid=984458430"", ""'replication success'!A:M""), 12, FAlSE)"),"#N/A")</f>
        <v>#N/A</v>
      </c>
      <c r="BA317" s="61" t="str">
        <f>IFERROR(__xludf.DUMMYFUNCTION("vlookup(BB317,importrange(""https://docs.google.com/spreadsheets/d/1d2vevQ_7D_v35q4wCQ4RpQ_IPoTwEMB9Yp6ymwlPqew/edit?gid=984458430#gid=984458430"", ""'replication success'!A:M""), 13, FAlSE)"),"#N/A")</f>
        <v>#N/A</v>
      </c>
      <c r="BB317" s="61" t="str">
        <f>IFERROR(__xludf.DUMMYFUNCTION("REGEXREPLACE(G317, ""_[a-z]{1,2}$"", """")"),"additional_studies45")</f>
        <v>additional_studies45</v>
      </c>
      <c r="BC317" s="61"/>
    </row>
    <row r="318" ht="20.25" customHeight="1">
      <c r="A318" s="44">
        <v>318.0</v>
      </c>
      <c r="B318" s="62" t="s">
        <v>114</v>
      </c>
      <c r="C318" s="62" t="s">
        <v>115</v>
      </c>
      <c r="D318" s="62" t="s">
        <v>1234</v>
      </c>
      <c r="F318" s="68" t="s">
        <v>1821</v>
      </c>
      <c r="G318" s="57" t="s">
        <v>1822</v>
      </c>
      <c r="H318" s="57" t="s">
        <v>1237</v>
      </c>
      <c r="I318" s="152">
        <v>45440.0</v>
      </c>
      <c r="J318" s="434">
        <v>45641.0</v>
      </c>
      <c r="K318" s="61"/>
      <c r="L318" s="61"/>
      <c r="M318" s="57" t="s">
        <v>1823</v>
      </c>
      <c r="N318" s="679" t="s">
        <v>1824</v>
      </c>
      <c r="P318" s="377" t="s">
        <v>1825</v>
      </c>
      <c r="Q318" s="52" t="str">
        <f t="array" ref="Q318"> if(iserror(MATCH(V318, 'File Links'!C:C, 0)), "N/A", HYPERLINK(INDEX('File Links'!B:B, MATCH(P318, 'File Links'!C:C, 0))))</f>
        <v>https://drive.google.com/file/d/1ntHR-2TST8Pa9kLmC5CL_wNP2lafijMc/view?usp=drivesdk</v>
      </c>
      <c r="R318" s="57" t="s">
        <v>1826</v>
      </c>
      <c r="S318" s="57" t="s">
        <v>1827</v>
      </c>
      <c r="U318" s="338"/>
      <c r="V318" s="112" t="str">
        <f t="shared" si="6"/>
        <v>10.1075--ijlcr.00046.ozk.pdf</v>
      </c>
      <c r="W318" s="61"/>
      <c r="X318" s="54" t="str">
        <f t="array" ref="X318"> if(iserror(MATCH(V318, 'File Links'!C:C, 0)), "N/A", HYPERLINK(INDEX('File Links'!B:B, MATCH(V318, 'File Links'!C:C, 0))))</f>
        <v>https://drive.google.com/file/d/1lyco4NN8QUadLrLaxT4tk2Kth7hjO4p_/view?usp=drivesdk</v>
      </c>
      <c r="Y318" s="61"/>
      <c r="Z318" s="61"/>
      <c r="AA318" s="61"/>
      <c r="AB318" s="61"/>
      <c r="AC318" s="61"/>
      <c r="AD318" s="61"/>
      <c r="AE318" s="61"/>
      <c r="AF318" s="61"/>
      <c r="AG318" s="61"/>
      <c r="AH318" s="338"/>
      <c r="AI318" s="61"/>
      <c r="AJ318" s="61"/>
      <c r="AK318" s="68"/>
      <c r="AL318" s="61"/>
      <c r="AM318" s="61"/>
      <c r="AN318" s="57" t="s">
        <v>138</v>
      </c>
      <c r="AO318" s="61"/>
      <c r="AP318" s="61"/>
      <c r="AQ318" s="61"/>
      <c r="AR318" s="61"/>
      <c r="AS318" s="61"/>
      <c r="AT318" s="68"/>
      <c r="AU318" s="68"/>
      <c r="AV318" s="68"/>
      <c r="AW318" s="68"/>
      <c r="AX318" s="68"/>
      <c r="AY318" s="61" t="str">
        <f>IFERROR(__xludf.DUMMYFUNCTION("vlookup(BB318,importrange(""https://docs.google.com/spreadsheets/d/1d2vevQ_7D_v35q4wCQ4RpQ_IPoTwEMB9Yp6ymwlPqew/edit?gid=984458430#gid=984458430"", ""'replication success'!A:K""), 11, FAlSE)"),"#N/A")</f>
        <v>#N/A</v>
      </c>
      <c r="AZ318" s="61" t="str">
        <f>IFERROR(__xludf.DUMMYFUNCTION("vlookup(BB318,importrange(""https://docs.google.com/spreadsheets/d/1d2vevQ_7D_v35q4wCQ4RpQ_IPoTwEMB9Yp6ymwlPqew/edit?gid=984458430#gid=984458430"", ""'replication success'!A:M""), 12, FAlSE)"),"#N/A")</f>
        <v>#N/A</v>
      </c>
      <c r="BA318" s="61" t="str">
        <f>IFERROR(__xludf.DUMMYFUNCTION("vlookup(BB318,importrange(""https://docs.google.com/spreadsheets/d/1d2vevQ_7D_v35q4wCQ4RpQ_IPoTwEMB9Yp6ymwlPqew/edit?gid=984458430#gid=984458430"", ""'replication success'!A:M""), 13, FAlSE)"),"#N/A")</f>
        <v>#N/A</v>
      </c>
      <c r="BB318" s="61" t="str">
        <f>IFERROR(__xludf.DUMMYFUNCTION("REGEXREPLACE(G318, ""_[a-z]{1,2}$"", """")"),"additional_studies46")</f>
        <v>additional_studies46</v>
      </c>
      <c r="BC318" s="61"/>
      <c r="BD318" s="62" t="s">
        <v>144</v>
      </c>
    </row>
    <row r="319" ht="20.25" customHeight="1">
      <c r="A319" s="44">
        <v>319.0</v>
      </c>
      <c r="B319" s="62" t="s">
        <v>114</v>
      </c>
      <c r="C319" s="62" t="s">
        <v>115</v>
      </c>
      <c r="D319" s="62" t="s">
        <v>286</v>
      </c>
      <c r="F319" s="68" t="s">
        <v>1821</v>
      </c>
      <c r="G319" s="57" t="s">
        <v>1822</v>
      </c>
      <c r="H319" s="159" t="s">
        <v>144</v>
      </c>
      <c r="I319" s="152">
        <v>45440.0</v>
      </c>
      <c r="J319" s="434">
        <v>45636.0</v>
      </c>
      <c r="K319" s="159" t="s">
        <v>1828</v>
      </c>
      <c r="L319" s="68"/>
      <c r="M319" s="159" t="s">
        <v>1823</v>
      </c>
      <c r="N319" s="680" t="s">
        <v>1829</v>
      </c>
      <c r="O319" s="68"/>
      <c r="P319" s="382" t="s">
        <v>1825</v>
      </c>
      <c r="Q319" s="52" t="str">
        <f t="array" ref="Q319"> if(iserror(MATCH(V319, 'File Links'!C:C, 0)), "N/A", HYPERLINK(INDEX('File Links'!B:B, MATCH(P319, 'File Links'!C:C, 0))))</f>
        <v>https://drive.google.com/file/d/1ntHR-2TST8Pa9kLmC5CL_wNP2lafijMc/view?usp=drivesdk</v>
      </c>
      <c r="R319" s="680" t="s">
        <v>1830</v>
      </c>
      <c r="S319" s="680" t="s">
        <v>1827</v>
      </c>
      <c r="T319" s="68"/>
      <c r="U319" s="68"/>
      <c r="V319" s="382" t="s">
        <v>1831</v>
      </c>
      <c r="W319" s="159" t="s">
        <v>1832</v>
      </c>
      <c r="X319" s="54" t="str">
        <f t="array" ref="X319"> if(iserror(MATCH(V319, 'File Links'!C:C, 0)), "N/A", HYPERLINK(INDEX('File Links'!B:B, MATCH(V319, 'File Links'!C:C, 0))))</f>
        <v>https://drive.google.com/file/d/1lyco4NN8QUadLrLaxT4tk2Kth7hjO4p_/view?usp=drivesdk</v>
      </c>
      <c r="Y319" s="360" t="s">
        <v>1833</v>
      </c>
      <c r="Z319" s="159" t="s">
        <v>295</v>
      </c>
      <c r="AA319" s="68"/>
      <c r="AB319" s="68"/>
      <c r="AC319" s="68"/>
      <c r="AD319" s="68"/>
      <c r="AE319" s="68"/>
      <c r="AF319" s="68"/>
      <c r="AG319" s="68"/>
      <c r="AH319" s="338"/>
      <c r="AI319" s="61"/>
      <c r="AJ319" s="61"/>
      <c r="AK319" s="68"/>
      <c r="AL319" s="61"/>
      <c r="AM319" s="68"/>
      <c r="AN319" s="57" t="s">
        <v>138</v>
      </c>
      <c r="AO319" s="68"/>
      <c r="AP319" s="68"/>
      <c r="AQ319" s="68"/>
      <c r="AR319" s="68"/>
      <c r="AS319" s="68"/>
      <c r="AT319" s="68"/>
      <c r="AU319" s="68"/>
      <c r="AV319" s="68"/>
      <c r="AW319" s="68"/>
      <c r="AX319" s="68"/>
      <c r="AY319" s="61" t="str">
        <f>IFERROR(__xludf.DUMMYFUNCTION("vlookup(BB319,importrange(""https://docs.google.com/spreadsheets/d/1d2vevQ_7D_v35q4wCQ4RpQ_IPoTwEMB9Yp6ymwlPqew/edit?gid=984458430#gid=984458430"", ""'replication success'!A:K""), 11, FAlSE)"),"#N/A")</f>
        <v>#N/A</v>
      </c>
      <c r="AZ319" s="61" t="str">
        <f>IFERROR(__xludf.DUMMYFUNCTION("vlookup(BB319,importrange(""https://docs.google.com/spreadsheets/d/1d2vevQ_7D_v35q4wCQ4RpQ_IPoTwEMB9Yp6ymwlPqew/edit?gid=984458430#gid=984458430"", ""'replication success'!A:M""), 12, FAlSE)"),"#N/A")</f>
        <v>#N/A</v>
      </c>
      <c r="BA319" s="61" t="str">
        <f>IFERROR(__xludf.DUMMYFUNCTION("vlookup(BB319,importrange(""https://docs.google.com/spreadsheets/d/1d2vevQ_7D_v35q4wCQ4RpQ_IPoTwEMB9Yp6ymwlPqew/edit?gid=984458430#gid=984458430"", ""'replication success'!A:M""), 13, FAlSE)"),"#N/A")</f>
        <v>#N/A</v>
      </c>
      <c r="BB319" s="61" t="str">
        <f>IFERROR(__xludf.DUMMYFUNCTION("REGEXREPLACE(G319, ""_[a-z]{1,2}$"", """")"),"additional_studies46")</f>
        <v>additional_studies46</v>
      </c>
      <c r="BC319" s="68"/>
      <c r="BD319" s="62" t="s">
        <v>144</v>
      </c>
    </row>
    <row r="320" ht="20.25" customHeight="1">
      <c r="A320" s="44">
        <v>320.0</v>
      </c>
      <c r="B320" s="368" t="s">
        <v>152</v>
      </c>
      <c r="C320" s="368" t="s">
        <v>115</v>
      </c>
      <c r="D320" s="188" t="s">
        <v>1441</v>
      </c>
      <c r="E320" s="189"/>
      <c r="F320" s="198" t="s">
        <v>1834</v>
      </c>
      <c r="G320" s="58" t="s">
        <v>1835</v>
      </c>
      <c r="H320" s="58" t="s">
        <v>1540</v>
      </c>
      <c r="I320" s="681">
        <v>45638.0</v>
      </c>
      <c r="J320" s="682">
        <v>45670.0</v>
      </c>
      <c r="K320" s="114"/>
      <c r="L320" s="212" t="s">
        <v>1836</v>
      </c>
      <c r="M320" s="112" t="s">
        <v>1837</v>
      </c>
      <c r="N320" s="112" t="s">
        <v>1838</v>
      </c>
      <c r="O320" s="147">
        <v>1.0</v>
      </c>
      <c r="P320" s="121" t="str">
        <f>SUBSTITUTE(LOWER(N320), "/", "--") &amp;  ".pdf"</f>
        <v>10.1017--s1366728914000273.pdf</v>
      </c>
      <c r="Q320" s="52" t="str">
        <f t="array" ref="Q320"> if(iserror(MATCH(V320, 'File Links'!C:C, 0)), "N/A", HYPERLINK(INDEX('File Links'!B:B, MATCH(P320, 'File Links'!C:C, 0))))</f>
        <v>https://drive.google.com/file/d/1Baedt_RF56dAcd90mHgk4WyAWq0rNUNl/view?usp=drivesdk</v>
      </c>
      <c r="R320" s="112" t="s">
        <v>1839</v>
      </c>
      <c r="S320" s="112" t="s">
        <v>1840</v>
      </c>
      <c r="T320" s="114"/>
      <c r="U320" s="147">
        <v>1.0</v>
      </c>
      <c r="V320" s="112" t="str">
        <f t="shared" ref="V320:V354" si="10">HYPERLINK(VLOOKUP(LOWER(S320),#REF!, 2, FALSE), SUBSTITUTE(LOWER(S320), "/", "--") &amp;  ".pdf")</f>
        <v>10.1017--s0272263124000378.pdf</v>
      </c>
      <c r="W320" s="126" t="s">
        <v>320</v>
      </c>
      <c r="X320" s="54" t="str">
        <f t="array" ref="X320"> if(iserror(MATCH(V320, 'File Links'!C:C, 0)), "N/A", HYPERLINK(INDEX('File Links'!B:B, MATCH(V320, 'File Links'!C:C, 0))))</f>
        <v>https://drive.google.com/file/d/19bZUP_N4YxLTtw7Y4tZumU1mxVv8t29B/view?usp=drivesdk</v>
      </c>
      <c r="Y320" s="114"/>
      <c r="Z320" s="112" t="s">
        <v>295</v>
      </c>
      <c r="AA320" s="112" t="s">
        <v>1841</v>
      </c>
      <c r="AB320" s="112" t="s">
        <v>1842</v>
      </c>
      <c r="AC320" s="112" t="s">
        <v>1843</v>
      </c>
      <c r="AD320" s="112" t="s">
        <v>1844</v>
      </c>
      <c r="AE320" s="117">
        <v>5.0</v>
      </c>
      <c r="AF320" s="117">
        <v>68.0</v>
      </c>
      <c r="AG320" s="117">
        <v>0.78</v>
      </c>
      <c r="AH320" s="120" t="s">
        <v>139</v>
      </c>
      <c r="AI320" s="683" t="s">
        <v>813</v>
      </c>
      <c r="AJ320" s="117">
        <v>0.001</v>
      </c>
      <c r="AK320" s="111" t="s">
        <v>135</v>
      </c>
      <c r="AL320" s="114" t="s">
        <v>186</v>
      </c>
      <c r="AM320" s="114" t="s">
        <v>141</v>
      </c>
      <c r="AN320" s="219" t="s">
        <v>138</v>
      </c>
      <c r="AO320" s="117">
        <v>78.0</v>
      </c>
      <c r="AP320" s="117">
        <v>0.62</v>
      </c>
      <c r="AQ320" s="114" t="s">
        <v>139</v>
      </c>
      <c r="AR320" s="129">
        <v>10.0</v>
      </c>
      <c r="AS320" s="117">
        <v>0.001</v>
      </c>
      <c r="AT320" s="111" t="s">
        <v>135</v>
      </c>
      <c r="AU320" s="111" t="s">
        <v>186</v>
      </c>
      <c r="AV320" s="111" t="s">
        <v>141</v>
      </c>
      <c r="AW320" s="684" t="s">
        <v>138</v>
      </c>
      <c r="AX320" s="122" t="s">
        <v>143</v>
      </c>
      <c r="AY320" s="61" t="str">
        <f>IFERROR(__xludf.DUMMYFUNCTION("vlookup(BB320,importrange(""https://docs.google.com/spreadsheets/d/1d2vevQ_7D_v35q4wCQ4RpQ_IPoTwEMB9Yp6ymwlPqew/edit?gid=984458430#gid=984458430"", ""'replication success'!A:K""), 11, FAlSE)"),"successful")</f>
        <v>successful</v>
      </c>
      <c r="AZ320" s="61" t="str">
        <f>IFERROR(__xludf.DUMMYFUNCTION("vlookup(BB320,importrange(""https://docs.google.com/spreadsheets/d/1d2vevQ_7D_v35q4wCQ4RpQ_IPoTwEMB9Yp6ymwlPqew/edit?gid=984458430#gid=984458430"",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0" s="61" t="str">
        <f>IFERROR(__xludf.DUMMYFUNCTION("vlookup(BB320,importrange(""https://docs.google.com/spreadsheets/d/1d2vevQ_7D_v35q4wCQ4RpQ_IPoTwEMB9Yp6ymwlPqew/edit?gid=984458430#gid=984458430"", ""'replication success'!A:M""), 13, FAlSE)"),"pg.14")</f>
        <v>pg.14</v>
      </c>
      <c r="BB320" s="61" t="str">
        <f>IFERROR(__xludf.DUMMYFUNCTION("REGEXREPLACE(G320, ""_[a-z]{1,2}$"", """")"),"additional_studies47")</f>
        <v>additional_studies47</v>
      </c>
      <c r="BC320" s="129" t="s">
        <v>1836</v>
      </c>
      <c r="BD320" s="62" t="s">
        <v>144</v>
      </c>
    </row>
    <row r="321" ht="20.25" customHeight="1">
      <c r="A321" s="44">
        <v>321.0</v>
      </c>
      <c r="B321" s="188" t="s">
        <v>114</v>
      </c>
      <c r="C321" s="188" t="s">
        <v>115</v>
      </c>
      <c r="D321" s="188" t="s">
        <v>1810</v>
      </c>
      <c r="E321" s="189"/>
      <c r="F321" s="198" t="s">
        <v>1834</v>
      </c>
      <c r="G321" s="58" t="s">
        <v>1835</v>
      </c>
      <c r="H321" s="58" t="s">
        <v>1811</v>
      </c>
      <c r="I321" s="685">
        <v>45642.0</v>
      </c>
      <c r="J321" s="682">
        <v>45670.0</v>
      </c>
      <c r="K321" s="132"/>
      <c r="L321" s="212" t="s">
        <v>1845</v>
      </c>
      <c r="M321" s="126" t="s">
        <v>1837</v>
      </c>
      <c r="N321" s="126" t="s">
        <v>1838</v>
      </c>
      <c r="O321" s="132"/>
      <c r="P321" s="223" t="str">
        <f t="shared" ref="P321:P323" si="11"> SUBSTITUTE(lower(N321), "/", "--") &amp;  ".pdf"</f>
        <v>10.1017--s1366728914000273.pdf</v>
      </c>
      <c r="Q321" s="52" t="str">
        <f t="array" ref="Q321"> if(iserror(MATCH(V321, 'File Links'!C:C, 0)), "N/A", HYPERLINK(INDEX('File Links'!B:B, MATCH(P321, 'File Links'!C:C, 0))))</f>
        <v>https://drive.google.com/file/d/1Baedt_RF56dAcd90mHgk4WyAWq0rNUNl/view?usp=drivesdk</v>
      </c>
      <c r="R321" s="126" t="s">
        <v>1839</v>
      </c>
      <c r="S321" s="126" t="s">
        <v>1840</v>
      </c>
      <c r="T321" s="132"/>
      <c r="U321" s="318"/>
      <c r="V321" s="112" t="str">
        <f t="shared" si="10"/>
        <v>10.1017--s0272263124000378.pdf</v>
      </c>
      <c r="W321" s="126" t="s">
        <v>320</v>
      </c>
      <c r="X321" s="54" t="str">
        <f t="array" ref="X321"> if(iserror(MATCH(V321, 'File Links'!C:C, 0)), "N/A", HYPERLINK(INDEX('File Links'!B:B, MATCH(V321, 'File Links'!C:C, 0))))</f>
        <v>https://drive.google.com/file/d/19bZUP_N4YxLTtw7Y4tZumU1mxVv8t29B/view?usp=drivesdk</v>
      </c>
      <c r="Y321" s="132"/>
      <c r="Z321" s="112" t="s">
        <v>295</v>
      </c>
      <c r="AA321" s="126" t="s">
        <v>1846</v>
      </c>
      <c r="AB321" s="126" t="s">
        <v>1847</v>
      </c>
      <c r="AC321" s="126" t="s">
        <v>1848</v>
      </c>
      <c r="AD321" s="126" t="s">
        <v>1849</v>
      </c>
      <c r="AE321" s="686">
        <v>45416.0</v>
      </c>
      <c r="AF321" s="130">
        <v>68.0</v>
      </c>
      <c r="AG321" s="130">
        <v>228.4</v>
      </c>
      <c r="AH321" s="119" t="s">
        <v>134</v>
      </c>
      <c r="AI321" s="126" t="s">
        <v>496</v>
      </c>
      <c r="AJ321" s="130">
        <v>0.001</v>
      </c>
      <c r="AK321" s="219" t="s">
        <v>135</v>
      </c>
      <c r="AL321" s="687" t="s">
        <v>138</v>
      </c>
      <c r="AM321" s="687" t="s">
        <v>138</v>
      </c>
      <c r="AN321" s="126" t="s">
        <v>138</v>
      </c>
      <c r="AO321" s="130">
        <v>78.0</v>
      </c>
      <c r="AP321" s="225" t="s">
        <v>1850</v>
      </c>
      <c r="AQ321" s="119" t="s">
        <v>134</v>
      </c>
      <c r="AR321" s="126" t="s">
        <v>630</v>
      </c>
      <c r="AS321" s="130">
        <v>0.001</v>
      </c>
      <c r="AT321" s="219" t="s">
        <v>135</v>
      </c>
      <c r="AU321" s="688" t="s">
        <v>138</v>
      </c>
      <c r="AV321" s="688" t="s">
        <v>138</v>
      </c>
      <c r="AW321" s="140" t="s">
        <v>138</v>
      </c>
      <c r="AX321" s="140" t="s">
        <v>143</v>
      </c>
      <c r="AY321" s="61" t="str">
        <f>IFERROR(__xludf.DUMMYFUNCTION("vlookup(BB321,importrange(""https://docs.google.com/spreadsheets/d/1d2vevQ_7D_v35q4wCQ4RpQ_IPoTwEMB9Yp6ymwlPqew/edit?gid=984458430#gid=984458430"", ""'replication success'!A:K""), 11, FAlSE)"),"successful")</f>
        <v>successful</v>
      </c>
      <c r="AZ321" s="61" t="str">
        <f>IFERROR(__xludf.DUMMYFUNCTION("vlookup(BB321,importrange(""https://docs.google.com/spreadsheets/d/1d2vevQ_7D_v35q4wCQ4RpQ_IPoTwEMB9Yp6ymwlPqew/edit?gid=984458430#gid=984458430"",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1" s="61" t="str">
        <f>IFERROR(__xludf.DUMMYFUNCTION("vlookup(BB321,importrange(""https://docs.google.com/spreadsheets/d/1d2vevQ_7D_v35q4wCQ4RpQ_IPoTwEMB9Yp6ymwlPqew/edit?gid=984458430#gid=984458430"", ""'replication success'!A:M""), 13, FAlSE)"),"pg.14")</f>
        <v>pg.14</v>
      </c>
      <c r="BB321" s="61" t="str">
        <f>IFERROR(__xludf.DUMMYFUNCTION("REGEXREPLACE(G321, ""_[a-z]{1,2}$"", """")"),"additional_studies47")</f>
        <v>additional_studies47</v>
      </c>
      <c r="BC321" s="129" t="s">
        <v>1845</v>
      </c>
      <c r="BD321" s="62" t="s">
        <v>144</v>
      </c>
    </row>
    <row r="322" ht="20.25" customHeight="1">
      <c r="A322" s="44">
        <v>322.0</v>
      </c>
      <c r="B322" s="188" t="s">
        <v>114</v>
      </c>
      <c r="C322" s="188" t="s">
        <v>115</v>
      </c>
      <c r="D322" s="188" t="s">
        <v>1810</v>
      </c>
      <c r="E322" s="189"/>
      <c r="F322" s="198" t="s">
        <v>1834</v>
      </c>
      <c r="G322" s="58" t="s">
        <v>1835</v>
      </c>
      <c r="H322" s="58" t="s">
        <v>1811</v>
      </c>
      <c r="I322" s="685">
        <v>45642.0</v>
      </c>
      <c r="J322" s="682">
        <v>45670.0</v>
      </c>
      <c r="K322" s="132"/>
      <c r="L322" s="132"/>
      <c r="M322" s="126" t="s">
        <v>1837</v>
      </c>
      <c r="N322" s="126" t="s">
        <v>1838</v>
      </c>
      <c r="O322" s="132"/>
      <c r="P322" s="223" t="str">
        <f t="shared" si="11"/>
        <v>10.1017--s1366728914000273.pdf</v>
      </c>
      <c r="Q322" s="52" t="str">
        <f t="array" ref="Q322"> if(iserror(MATCH(V322, 'File Links'!C:C, 0)), "N/A", HYPERLINK(INDEX('File Links'!B:B, MATCH(P322, 'File Links'!C:C, 0))))</f>
        <v>https://drive.google.com/file/d/1Baedt_RF56dAcd90mHgk4WyAWq0rNUNl/view?usp=drivesdk</v>
      </c>
      <c r="R322" s="126" t="s">
        <v>1839</v>
      </c>
      <c r="S322" s="126" t="s">
        <v>1840</v>
      </c>
      <c r="T322" s="132"/>
      <c r="U322" s="318"/>
      <c r="V322" s="112" t="str">
        <f t="shared" si="10"/>
        <v>10.1017--s0272263124000378.pdf</v>
      </c>
      <c r="W322" s="126" t="s">
        <v>320</v>
      </c>
      <c r="X322" s="54" t="str">
        <f t="array" ref="X322"> if(iserror(MATCH(V322, 'File Links'!C:C, 0)), "N/A", HYPERLINK(INDEX('File Links'!B:B, MATCH(V322, 'File Links'!C:C, 0))))</f>
        <v>https://drive.google.com/file/d/19bZUP_N4YxLTtw7Y4tZumU1mxVv8t29B/view?usp=drivesdk</v>
      </c>
      <c r="Y322" s="132"/>
      <c r="Z322" s="112" t="s">
        <v>295</v>
      </c>
      <c r="AA322" s="126" t="s">
        <v>1846</v>
      </c>
      <c r="AB322" s="126" t="s">
        <v>1847</v>
      </c>
      <c r="AC322" s="126" t="s">
        <v>1848</v>
      </c>
      <c r="AD322" s="126" t="s">
        <v>1849</v>
      </c>
      <c r="AE322" s="686">
        <v>45416.0</v>
      </c>
      <c r="AF322" s="130">
        <v>68.0</v>
      </c>
      <c r="AG322" s="130">
        <v>4.9</v>
      </c>
      <c r="AH322" s="119" t="s">
        <v>134</v>
      </c>
      <c r="AI322" s="126" t="s">
        <v>496</v>
      </c>
      <c r="AJ322" s="130">
        <v>0.03</v>
      </c>
      <c r="AK322" s="219" t="s">
        <v>172</v>
      </c>
      <c r="AL322" s="687" t="s">
        <v>138</v>
      </c>
      <c r="AM322" s="687" t="s">
        <v>138</v>
      </c>
      <c r="AN322" s="126" t="s">
        <v>138</v>
      </c>
      <c r="AO322" s="130">
        <v>78.0</v>
      </c>
      <c r="AP322" s="225" t="s">
        <v>1851</v>
      </c>
      <c r="AQ322" s="119" t="s">
        <v>134</v>
      </c>
      <c r="AR322" s="126" t="s">
        <v>630</v>
      </c>
      <c r="AS322" s="130">
        <v>0.047</v>
      </c>
      <c r="AT322" s="219" t="s">
        <v>172</v>
      </c>
      <c r="AU322" s="688" t="s">
        <v>138</v>
      </c>
      <c r="AV322" s="688" t="s">
        <v>138</v>
      </c>
      <c r="AW322" s="140" t="s">
        <v>138</v>
      </c>
      <c r="AX322" s="140" t="s">
        <v>143</v>
      </c>
      <c r="AY322" s="61" t="str">
        <f>IFERROR(__xludf.DUMMYFUNCTION("vlookup(BB322,importrange(""https://docs.google.com/spreadsheets/d/1d2vevQ_7D_v35q4wCQ4RpQ_IPoTwEMB9Yp6ymwlPqew/edit?gid=984458430#gid=984458430"", ""'replication success'!A:K""), 11, FAlSE)"),"successful")</f>
        <v>successful</v>
      </c>
      <c r="AZ322" s="61" t="str">
        <f>IFERROR(__xludf.DUMMYFUNCTION("vlookup(BB322,importrange(""https://docs.google.com/spreadsheets/d/1d2vevQ_7D_v35q4wCQ4RpQ_IPoTwEMB9Yp6ymwlPqew/edit?gid=984458430#gid=984458430"",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2" s="61" t="str">
        <f>IFERROR(__xludf.DUMMYFUNCTION("vlookup(BB322,importrange(""https://docs.google.com/spreadsheets/d/1d2vevQ_7D_v35q4wCQ4RpQ_IPoTwEMB9Yp6ymwlPqew/edit?gid=984458430#gid=984458430"", ""'replication success'!A:M""), 13, FAlSE)"),"pg.14")</f>
        <v>pg.14</v>
      </c>
      <c r="BB322" s="61" t="str">
        <f>IFERROR(__xludf.DUMMYFUNCTION("REGEXREPLACE(G322, ""_[a-z]{1,2}$"", """")"),"additional_studies47")</f>
        <v>additional_studies47</v>
      </c>
      <c r="BC322" s="61"/>
      <c r="BD322" s="62" t="s">
        <v>144</v>
      </c>
    </row>
    <row r="323" ht="20.25" customHeight="1">
      <c r="A323" s="44">
        <v>323.0</v>
      </c>
      <c r="B323" s="188" t="s">
        <v>114</v>
      </c>
      <c r="C323" s="188" t="s">
        <v>115</v>
      </c>
      <c r="D323" s="188" t="s">
        <v>1810</v>
      </c>
      <c r="E323" s="189"/>
      <c r="F323" s="198" t="s">
        <v>1834</v>
      </c>
      <c r="G323" s="58" t="s">
        <v>1835</v>
      </c>
      <c r="H323" s="58" t="s">
        <v>1811</v>
      </c>
      <c r="I323" s="685">
        <v>45642.0</v>
      </c>
      <c r="J323" s="682">
        <v>45670.0</v>
      </c>
      <c r="K323" s="132"/>
      <c r="L323" s="132"/>
      <c r="M323" s="126" t="s">
        <v>1837</v>
      </c>
      <c r="N323" s="126" t="s">
        <v>1838</v>
      </c>
      <c r="O323" s="132"/>
      <c r="P323" s="223" t="str">
        <f t="shared" si="11"/>
        <v>10.1017--s1366728914000273.pdf</v>
      </c>
      <c r="Q323" s="52" t="str">
        <f t="array" ref="Q323"> if(iserror(MATCH(V323, 'File Links'!C:C, 0)), "N/A", HYPERLINK(INDEX('File Links'!B:B, MATCH(P323, 'File Links'!C:C, 0))))</f>
        <v>https://drive.google.com/file/d/1Baedt_RF56dAcd90mHgk4WyAWq0rNUNl/view?usp=drivesdk</v>
      </c>
      <c r="R323" s="126" t="s">
        <v>1839</v>
      </c>
      <c r="S323" s="126" t="s">
        <v>1840</v>
      </c>
      <c r="T323" s="132"/>
      <c r="U323" s="318"/>
      <c r="V323" s="112" t="str">
        <f t="shared" si="10"/>
        <v>10.1017--s0272263124000378.pdf</v>
      </c>
      <c r="W323" s="126" t="s">
        <v>320</v>
      </c>
      <c r="X323" s="54" t="str">
        <f t="array" ref="X323"> if(iserror(MATCH(V323, 'File Links'!C:C, 0)), "N/A", HYPERLINK(INDEX('File Links'!B:B, MATCH(V323, 'File Links'!C:C, 0))))</f>
        <v>https://drive.google.com/file/d/19bZUP_N4YxLTtw7Y4tZumU1mxVv8t29B/view?usp=drivesdk</v>
      </c>
      <c r="Y323" s="132"/>
      <c r="Z323" s="112" t="s">
        <v>295</v>
      </c>
      <c r="AA323" s="126" t="s">
        <v>1846</v>
      </c>
      <c r="AB323" s="126" t="s">
        <v>1847</v>
      </c>
      <c r="AC323" s="126" t="s">
        <v>1848</v>
      </c>
      <c r="AD323" s="126" t="s">
        <v>1852</v>
      </c>
      <c r="AE323" s="686">
        <v>45416.0</v>
      </c>
      <c r="AF323" s="130">
        <v>68.0</v>
      </c>
      <c r="AG323" s="130">
        <v>53.2</v>
      </c>
      <c r="AH323" s="119" t="s">
        <v>134</v>
      </c>
      <c r="AI323" s="126" t="s">
        <v>496</v>
      </c>
      <c r="AJ323" s="130">
        <v>0.001</v>
      </c>
      <c r="AK323" s="219" t="s">
        <v>135</v>
      </c>
      <c r="AL323" s="687" t="s">
        <v>138</v>
      </c>
      <c r="AM323" s="687" t="s">
        <v>138</v>
      </c>
      <c r="AN323" s="126" t="s">
        <v>138</v>
      </c>
      <c r="AO323" s="130">
        <v>78.0</v>
      </c>
      <c r="AP323" s="225" t="s">
        <v>1853</v>
      </c>
      <c r="AQ323" s="119" t="s">
        <v>134</v>
      </c>
      <c r="AR323" s="119" t="s">
        <v>1174</v>
      </c>
      <c r="AS323" s="130">
        <v>0.001</v>
      </c>
      <c r="AT323" s="219" t="s">
        <v>135</v>
      </c>
      <c r="AU323" s="688" t="s">
        <v>138</v>
      </c>
      <c r="AV323" s="688" t="s">
        <v>138</v>
      </c>
      <c r="AW323" s="140" t="s">
        <v>138</v>
      </c>
      <c r="AX323" s="140" t="s">
        <v>143</v>
      </c>
      <c r="AY323" s="61" t="str">
        <f>IFERROR(__xludf.DUMMYFUNCTION("vlookup(BB323,importrange(""https://docs.google.com/spreadsheets/d/1d2vevQ_7D_v35q4wCQ4RpQ_IPoTwEMB9Yp6ymwlPqew/edit?gid=984458430#gid=984458430"", ""'replication success'!A:K""), 11, FAlSE)"),"successful")</f>
        <v>successful</v>
      </c>
      <c r="AZ323" s="61" t="str">
        <f>IFERROR(__xludf.DUMMYFUNCTION("vlookup(BB323,importrange(""https://docs.google.com/spreadsheets/d/1d2vevQ_7D_v35q4wCQ4RpQ_IPoTwEMB9Yp6ymwlPqew/edit?gid=984458430#gid=984458430"",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3" s="61" t="str">
        <f>IFERROR(__xludf.DUMMYFUNCTION("vlookup(BB323,importrange(""https://docs.google.com/spreadsheets/d/1d2vevQ_7D_v35q4wCQ4RpQ_IPoTwEMB9Yp6ymwlPqew/edit?gid=984458430#gid=984458430"", ""'replication success'!A:M""), 13, FAlSE)"),"pg.14")</f>
        <v>pg.14</v>
      </c>
      <c r="BB323" s="61" t="str">
        <f>IFERROR(__xludf.DUMMYFUNCTION("REGEXREPLACE(G323, ""_[a-z]{1,2}$"", """")"),"additional_studies47")</f>
        <v>additional_studies47</v>
      </c>
      <c r="BC323" s="61"/>
      <c r="BD323" s="62" t="s">
        <v>144</v>
      </c>
    </row>
    <row r="324" ht="20.25" customHeight="1">
      <c r="A324" s="44">
        <v>324.0</v>
      </c>
      <c r="B324" s="368" t="s">
        <v>152</v>
      </c>
      <c r="C324" s="368" t="s">
        <v>115</v>
      </c>
      <c r="D324" s="188" t="s">
        <v>1441</v>
      </c>
      <c r="E324" s="189"/>
      <c r="F324" s="198" t="s">
        <v>1834</v>
      </c>
      <c r="G324" s="58" t="s">
        <v>1854</v>
      </c>
      <c r="H324" s="58" t="s">
        <v>1540</v>
      </c>
      <c r="I324" s="681">
        <v>45638.0</v>
      </c>
      <c r="J324" s="682">
        <v>45670.0</v>
      </c>
      <c r="K324" s="114"/>
      <c r="L324" s="114"/>
      <c r="M324" s="112" t="s">
        <v>1837</v>
      </c>
      <c r="N324" s="112" t="s">
        <v>1838</v>
      </c>
      <c r="O324" s="147">
        <v>1.0</v>
      </c>
      <c r="P324" s="121" t="str">
        <f t="shared" ref="P324:P330" si="12">SUBSTITUTE(LOWER(N324), "/", "--") &amp;  ".pdf"</f>
        <v>10.1017--s1366728914000273.pdf</v>
      </c>
      <c r="Q324" s="52" t="str">
        <f t="array" ref="Q324"> if(iserror(MATCH(V324, 'File Links'!C:C, 0)), "N/A", HYPERLINK(INDEX('File Links'!B:B, MATCH(P324, 'File Links'!C:C, 0))))</f>
        <v>https://drive.google.com/file/d/1Baedt_RF56dAcd90mHgk4WyAWq0rNUNl/view?usp=drivesdk</v>
      </c>
      <c r="R324" s="112" t="s">
        <v>1839</v>
      </c>
      <c r="S324" s="112" t="s">
        <v>1840</v>
      </c>
      <c r="T324" s="114"/>
      <c r="U324" s="147">
        <v>1.0</v>
      </c>
      <c r="V324" s="112" t="str">
        <f t="shared" si="10"/>
        <v>10.1017--s0272263124000378.pdf</v>
      </c>
      <c r="W324" s="126" t="s">
        <v>320</v>
      </c>
      <c r="X324" s="54" t="str">
        <f t="array" ref="X324"> if(iserror(MATCH(V324, 'File Links'!C:C, 0)), "N/A", HYPERLINK(INDEX('File Links'!B:B, MATCH(V324, 'File Links'!C:C, 0))))</f>
        <v>https://drive.google.com/file/d/19bZUP_N4YxLTtw7Y4tZumU1mxVv8t29B/view?usp=drivesdk</v>
      </c>
      <c r="Y324" s="114"/>
      <c r="Z324" s="112" t="s">
        <v>295</v>
      </c>
      <c r="AA324" s="112" t="s">
        <v>1841</v>
      </c>
      <c r="AB324" s="112" t="s">
        <v>1842</v>
      </c>
      <c r="AC324" s="112" t="s">
        <v>1855</v>
      </c>
      <c r="AD324" s="112" t="s">
        <v>1856</v>
      </c>
      <c r="AE324" s="117">
        <v>5.0</v>
      </c>
      <c r="AF324" s="117">
        <v>68.0</v>
      </c>
      <c r="AG324" s="116" t="s">
        <v>138</v>
      </c>
      <c r="AH324" s="167" t="s">
        <v>138</v>
      </c>
      <c r="AI324" s="683" t="s">
        <v>813</v>
      </c>
      <c r="AJ324" s="116" t="s">
        <v>138</v>
      </c>
      <c r="AK324" s="116" t="s">
        <v>138</v>
      </c>
      <c r="AL324" s="114" t="s">
        <v>186</v>
      </c>
      <c r="AM324" s="114" t="s">
        <v>141</v>
      </c>
      <c r="AN324" s="219" t="s">
        <v>138</v>
      </c>
      <c r="AO324" s="117">
        <v>78.0</v>
      </c>
      <c r="AP324" s="117">
        <v>0.01</v>
      </c>
      <c r="AQ324" s="114" t="s">
        <v>139</v>
      </c>
      <c r="AR324" s="129">
        <v>10.0</v>
      </c>
      <c r="AS324" s="117">
        <v>0.384</v>
      </c>
      <c r="AT324" s="111" t="s">
        <v>172</v>
      </c>
      <c r="AU324" s="111" t="s">
        <v>186</v>
      </c>
      <c r="AV324" s="111" t="s">
        <v>141</v>
      </c>
      <c r="AW324" s="684" t="s">
        <v>138</v>
      </c>
      <c r="AX324" s="122" t="s">
        <v>143</v>
      </c>
      <c r="AY324" s="61" t="str">
        <f>IFERROR(__xludf.DUMMYFUNCTION("vlookup(BB324,importrange(""https://docs.google.com/spreadsheets/d/1d2vevQ_7D_v35q4wCQ4RpQ_IPoTwEMB9Yp6ymwlPqew/edit?gid=984458430#gid=984458430"", ""'replication success'!A:K""), 11, FAlSE)"),"successful")</f>
        <v>successful</v>
      </c>
      <c r="AZ324" s="61" t="str">
        <f>IFERROR(__xludf.DUMMYFUNCTION("vlookup(BB324,importrange(""https://docs.google.com/spreadsheets/d/1d2vevQ_7D_v35q4wCQ4RpQ_IPoTwEMB9Yp6ymwlPqew/edit?gid=984458430#gid=984458430"",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4" s="61" t="str">
        <f>IFERROR(__xludf.DUMMYFUNCTION("vlookup(BB324,importrange(""https://docs.google.com/spreadsheets/d/1d2vevQ_7D_v35q4wCQ4RpQ_IPoTwEMB9Yp6ymwlPqew/edit?gid=984458430#gid=984458430"", ""'replication success'!A:M""), 13, FAlSE)"),"pg.14")</f>
        <v>pg.14</v>
      </c>
      <c r="BB324" s="61" t="str">
        <f>IFERROR(__xludf.DUMMYFUNCTION("REGEXREPLACE(G324, ""_[a-z]{1,2}$"", """")"),"additional_studies47")</f>
        <v>additional_studies47</v>
      </c>
      <c r="BC324" s="61"/>
      <c r="BD324" s="62" t="s">
        <v>144</v>
      </c>
      <c r="BG324" s="107"/>
      <c r="BH324" s="107"/>
      <c r="BI324" s="107"/>
      <c r="BJ324" s="107"/>
      <c r="BK324" s="107"/>
      <c r="BL324" s="107"/>
      <c r="BM324" s="107"/>
      <c r="BN324" s="107"/>
      <c r="BO324" s="107"/>
      <c r="BP324" s="107"/>
      <c r="BQ324" s="107"/>
      <c r="BR324" s="107"/>
      <c r="BS324" s="107"/>
      <c r="BT324" s="107"/>
      <c r="BU324" s="107"/>
      <c r="BV324" s="107"/>
      <c r="BW324" s="107"/>
      <c r="BX324" s="107"/>
      <c r="BY324" s="107"/>
      <c r="BZ324" s="107"/>
      <c r="CA324" s="107"/>
      <c r="CB324" s="107"/>
      <c r="CC324" s="107"/>
      <c r="CD324" s="107"/>
      <c r="CE324" s="107"/>
      <c r="CF324" s="107"/>
      <c r="CG324" s="107"/>
      <c r="CH324" s="107"/>
      <c r="CI324" s="107"/>
      <c r="CJ324" s="107"/>
      <c r="CK324" s="107"/>
      <c r="CL324" s="107"/>
      <c r="CM324" s="107"/>
      <c r="CN324" s="107"/>
      <c r="CO324" s="107"/>
      <c r="CP324" s="107"/>
      <c r="CQ324" s="107"/>
      <c r="CR324" s="107"/>
      <c r="CS324" s="107"/>
      <c r="CT324" s="107"/>
      <c r="CU324" s="107"/>
      <c r="CV324" s="107"/>
      <c r="CW324" s="107"/>
      <c r="CX324" s="107"/>
      <c r="CY324" s="107"/>
      <c r="CZ324" s="107"/>
      <c r="DA324" s="107"/>
      <c r="DB324" s="107"/>
      <c r="DC324" s="107"/>
      <c r="DD324" s="107"/>
      <c r="DE324" s="107"/>
      <c r="DF324" s="107"/>
      <c r="DG324" s="107"/>
      <c r="DH324" s="107"/>
      <c r="DI324" s="107"/>
      <c r="DJ324" s="107"/>
      <c r="DK324" s="107"/>
      <c r="DL324" s="107"/>
    </row>
    <row r="325" ht="20.25" customHeight="1">
      <c r="A325" s="44">
        <v>325.0</v>
      </c>
      <c r="B325" s="368" t="s">
        <v>152</v>
      </c>
      <c r="C325" s="368" t="s">
        <v>115</v>
      </c>
      <c r="D325" s="188" t="s">
        <v>1441</v>
      </c>
      <c r="E325" s="189"/>
      <c r="F325" s="198" t="s">
        <v>1834</v>
      </c>
      <c r="G325" s="58" t="s">
        <v>1857</v>
      </c>
      <c r="H325" s="58" t="s">
        <v>1540</v>
      </c>
      <c r="I325" s="681">
        <v>45638.0</v>
      </c>
      <c r="J325" s="682">
        <v>45670.0</v>
      </c>
      <c r="K325" s="114"/>
      <c r="L325" s="114"/>
      <c r="M325" s="112" t="s">
        <v>1837</v>
      </c>
      <c r="N325" s="112" t="s">
        <v>1838</v>
      </c>
      <c r="O325" s="147">
        <v>1.0</v>
      </c>
      <c r="P325" s="121" t="str">
        <f t="shared" si="12"/>
        <v>10.1017--s1366728914000273.pdf</v>
      </c>
      <c r="Q325" s="52" t="str">
        <f t="array" ref="Q325"> if(iserror(MATCH(V325, 'File Links'!C:C, 0)), "N/A", HYPERLINK(INDEX('File Links'!B:B, MATCH(P325, 'File Links'!C:C, 0))))</f>
        <v>https://drive.google.com/file/d/1Baedt_RF56dAcd90mHgk4WyAWq0rNUNl/view?usp=drivesdk</v>
      </c>
      <c r="R325" s="112" t="s">
        <v>1839</v>
      </c>
      <c r="S325" s="112" t="s">
        <v>1840</v>
      </c>
      <c r="T325" s="114"/>
      <c r="U325" s="147">
        <v>1.0</v>
      </c>
      <c r="V325" s="112" t="str">
        <f t="shared" si="10"/>
        <v>10.1017--s0272263124000378.pdf</v>
      </c>
      <c r="W325" s="126" t="s">
        <v>320</v>
      </c>
      <c r="X325" s="54" t="str">
        <f t="array" ref="X325"> if(iserror(MATCH(V325, 'File Links'!C:C, 0)), "N/A", HYPERLINK(INDEX('File Links'!B:B, MATCH(V325, 'File Links'!C:C, 0))))</f>
        <v>https://drive.google.com/file/d/19bZUP_N4YxLTtw7Y4tZumU1mxVv8t29B/view?usp=drivesdk</v>
      </c>
      <c r="Y325" s="114"/>
      <c r="Z325" s="112" t="s">
        <v>295</v>
      </c>
      <c r="AA325" s="112" t="s">
        <v>1841</v>
      </c>
      <c r="AB325" s="112" t="s">
        <v>1842</v>
      </c>
      <c r="AC325" s="112" t="s">
        <v>1858</v>
      </c>
      <c r="AD325" s="112" t="s">
        <v>1859</v>
      </c>
      <c r="AE325" s="117">
        <v>5.0</v>
      </c>
      <c r="AF325" s="117">
        <v>68.0</v>
      </c>
      <c r="AG325" s="117">
        <v>0.07</v>
      </c>
      <c r="AH325" s="120" t="s">
        <v>139</v>
      </c>
      <c r="AI325" s="683" t="s">
        <v>813</v>
      </c>
      <c r="AJ325" s="117">
        <v>0.03</v>
      </c>
      <c r="AK325" s="111" t="s">
        <v>172</v>
      </c>
      <c r="AL325" s="114" t="s">
        <v>186</v>
      </c>
      <c r="AM325" s="114" t="s">
        <v>141</v>
      </c>
      <c r="AN325" s="219" t="s">
        <v>138</v>
      </c>
      <c r="AO325" s="117">
        <v>78.0</v>
      </c>
      <c r="AP325" s="117">
        <v>0.051</v>
      </c>
      <c r="AQ325" s="114" t="s">
        <v>139</v>
      </c>
      <c r="AR325" s="129">
        <v>10.0</v>
      </c>
      <c r="AS325" s="117">
        <v>0.047</v>
      </c>
      <c r="AT325" s="111" t="s">
        <v>172</v>
      </c>
      <c r="AU325" s="111" t="s">
        <v>186</v>
      </c>
      <c r="AV325" s="111" t="s">
        <v>141</v>
      </c>
      <c r="AW325" s="684" t="s">
        <v>138</v>
      </c>
      <c r="AX325" s="122" t="s">
        <v>143</v>
      </c>
      <c r="AY325" s="61" t="str">
        <f>IFERROR(__xludf.DUMMYFUNCTION("vlookup(BB325,importrange(""https://docs.google.com/spreadsheets/d/1d2vevQ_7D_v35q4wCQ4RpQ_IPoTwEMB9Yp6ymwlPqew/edit?gid=984458430#gid=984458430"", ""'replication success'!A:K""), 11, FAlSE)"),"successful")</f>
        <v>successful</v>
      </c>
      <c r="AZ325" s="61" t="str">
        <f>IFERROR(__xludf.DUMMYFUNCTION("vlookup(BB325,importrange(""https://docs.google.com/spreadsheets/d/1d2vevQ_7D_v35q4wCQ4RpQ_IPoTwEMB9Yp6ymwlPqew/edit?gid=984458430#gid=984458430"",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5" s="61" t="str">
        <f>IFERROR(__xludf.DUMMYFUNCTION("vlookup(BB325,importrange(""https://docs.google.com/spreadsheets/d/1d2vevQ_7D_v35q4wCQ4RpQ_IPoTwEMB9Yp6ymwlPqew/edit?gid=984458430#gid=984458430"", ""'replication success'!A:M""), 13, FAlSE)"),"pg.14")</f>
        <v>pg.14</v>
      </c>
      <c r="BB325" s="61" t="str">
        <f>IFERROR(__xludf.DUMMYFUNCTION("REGEXREPLACE(G325, ""_[a-z]{1,2}$"", """")"),"additional_studies47")</f>
        <v>additional_studies47</v>
      </c>
      <c r="BC325" s="61"/>
      <c r="BD325" s="62" t="s">
        <v>144</v>
      </c>
      <c r="BG325" s="71"/>
      <c r="BH325" s="71"/>
      <c r="BI325" s="71"/>
      <c r="BJ325" s="71"/>
      <c r="BK325" s="71"/>
      <c r="BL325" s="71"/>
      <c r="BM325" s="71"/>
      <c r="BN325" s="71"/>
      <c r="BO325" s="71"/>
      <c r="BP325" s="71"/>
      <c r="BQ325" s="71"/>
      <c r="BR325" s="71"/>
      <c r="BS325" s="71"/>
      <c r="BT325" s="71"/>
      <c r="BU325" s="71"/>
      <c r="BV325" s="71"/>
      <c r="BW325" s="71"/>
      <c r="BX325" s="71"/>
      <c r="BY325" s="71"/>
      <c r="BZ325" s="71"/>
      <c r="CA325" s="71"/>
      <c r="CB325" s="71"/>
      <c r="CC325" s="71"/>
      <c r="CD325" s="71"/>
      <c r="CE325" s="71"/>
      <c r="CF325" s="71"/>
      <c r="CG325" s="71"/>
      <c r="CH325" s="71"/>
      <c r="CI325" s="71"/>
      <c r="CJ325" s="71"/>
      <c r="CK325" s="71"/>
      <c r="CL325" s="71"/>
      <c r="CM325" s="71"/>
      <c r="CN325" s="71"/>
      <c r="CO325" s="71"/>
      <c r="CP325" s="71"/>
      <c r="CQ325" s="71"/>
      <c r="CR325" s="71"/>
      <c r="CS325" s="71"/>
      <c r="CT325" s="71"/>
      <c r="CU325" s="71"/>
      <c r="CV325" s="71"/>
      <c r="CW325" s="71"/>
      <c r="CX325" s="71"/>
      <c r="CY325" s="71"/>
      <c r="CZ325" s="71"/>
      <c r="DA325" s="71"/>
      <c r="DB325" s="71"/>
      <c r="DC325" s="71"/>
      <c r="DD325" s="71"/>
      <c r="DE325" s="71"/>
      <c r="DF325" s="71"/>
      <c r="DG325" s="71"/>
      <c r="DH325" s="71"/>
      <c r="DI325" s="71"/>
      <c r="DJ325" s="71"/>
      <c r="DK325" s="71"/>
      <c r="DL325" s="71"/>
    </row>
    <row r="326" ht="20.25" customHeight="1">
      <c r="A326" s="44">
        <v>326.0</v>
      </c>
      <c r="B326" s="368" t="s">
        <v>152</v>
      </c>
      <c r="C326" s="368" t="s">
        <v>115</v>
      </c>
      <c r="D326" s="188" t="s">
        <v>1441</v>
      </c>
      <c r="E326" s="189"/>
      <c r="F326" s="198" t="s">
        <v>1834</v>
      </c>
      <c r="G326" s="58" t="s">
        <v>1860</v>
      </c>
      <c r="H326" s="58" t="s">
        <v>1540</v>
      </c>
      <c r="I326" s="681">
        <v>45638.0</v>
      </c>
      <c r="J326" s="682">
        <v>45670.0</v>
      </c>
      <c r="K326" s="114"/>
      <c r="L326" s="114"/>
      <c r="M326" s="112" t="s">
        <v>1837</v>
      </c>
      <c r="N326" s="112" t="s">
        <v>1838</v>
      </c>
      <c r="O326" s="147">
        <v>1.0</v>
      </c>
      <c r="P326" s="121" t="str">
        <f t="shared" si="12"/>
        <v>10.1017--s1366728914000273.pdf</v>
      </c>
      <c r="Q326" s="52" t="str">
        <f t="array" ref="Q326"> if(iserror(MATCH(V326, 'File Links'!C:C, 0)), "N/A", HYPERLINK(INDEX('File Links'!B:B, MATCH(P326, 'File Links'!C:C, 0))))</f>
        <v>https://drive.google.com/file/d/1Baedt_RF56dAcd90mHgk4WyAWq0rNUNl/view?usp=drivesdk</v>
      </c>
      <c r="R326" s="112" t="s">
        <v>1839</v>
      </c>
      <c r="S326" s="112" t="s">
        <v>1840</v>
      </c>
      <c r="T326" s="114"/>
      <c r="U326" s="147">
        <v>1.0</v>
      </c>
      <c r="V326" s="112" t="str">
        <f t="shared" si="10"/>
        <v>10.1017--s0272263124000378.pdf</v>
      </c>
      <c r="W326" s="126" t="s">
        <v>320</v>
      </c>
      <c r="X326" s="54" t="str">
        <f t="array" ref="X326"> if(iserror(MATCH(V326, 'File Links'!C:C, 0)), "N/A", HYPERLINK(INDEX('File Links'!B:B, MATCH(V326, 'File Links'!C:C, 0))))</f>
        <v>https://drive.google.com/file/d/19bZUP_N4YxLTtw7Y4tZumU1mxVv8t29B/view?usp=drivesdk</v>
      </c>
      <c r="Y326" s="114"/>
      <c r="Z326" s="112" t="s">
        <v>295</v>
      </c>
      <c r="AA326" s="112" t="s">
        <v>1841</v>
      </c>
      <c r="AB326" s="112" t="s">
        <v>1842</v>
      </c>
      <c r="AC326" s="112" t="s">
        <v>1861</v>
      </c>
      <c r="AD326" s="112" t="s">
        <v>1862</v>
      </c>
      <c r="AE326" s="117">
        <v>6.0</v>
      </c>
      <c r="AF326" s="117">
        <v>68.0</v>
      </c>
      <c r="AG326" s="117">
        <v>0.45</v>
      </c>
      <c r="AH326" s="120" t="s">
        <v>139</v>
      </c>
      <c r="AI326" s="683" t="s">
        <v>140</v>
      </c>
      <c r="AJ326" s="117">
        <v>0.001</v>
      </c>
      <c r="AK326" s="111" t="s">
        <v>135</v>
      </c>
      <c r="AL326" s="114" t="s">
        <v>186</v>
      </c>
      <c r="AM326" s="114" t="s">
        <v>141</v>
      </c>
      <c r="AN326" s="219" t="s">
        <v>138</v>
      </c>
      <c r="AO326" s="117">
        <v>78.0</v>
      </c>
      <c r="AP326" s="117">
        <v>0.418</v>
      </c>
      <c r="AQ326" s="114" t="s">
        <v>139</v>
      </c>
      <c r="AR326" s="129">
        <v>11.0</v>
      </c>
      <c r="AS326" s="117">
        <v>0.001</v>
      </c>
      <c r="AT326" s="111" t="s">
        <v>135</v>
      </c>
      <c r="AU326" s="111" t="s">
        <v>186</v>
      </c>
      <c r="AV326" s="111" t="s">
        <v>141</v>
      </c>
      <c r="AW326" s="684" t="s">
        <v>138</v>
      </c>
      <c r="AX326" s="122" t="s">
        <v>143</v>
      </c>
      <c r="AY326" s="61" t="str">
        <f>IFERROR(__xludf.DUMMYFUNCTION("vlookup(BB326,importrange(""https://docs.google.com/spreadsheets/d/1d2vevQ_7D_v35q4wCQ4RpQ_IPoTwEMB9Yp6ymwlPqew/edit?gid=984458430#gid=984458430"", ""'replication success'!A:K""), 11, FAlSE)"),"successful")</f>
        <v>successful</v>
      </c>
      <c r="AZ326" s="61" t="str">
        <f>IFERROR(__xludf.DUMMYFUNCTION("vlookup(BB326,importrange(""https://docs.google.com/spreadsheets/d/1d2vevQ_7D_v35q4wCQ4RpQ_IPoTwEMB9Yp6ymwlPqew/edit?gid=984458430#gid=984458430"",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6" s="61" t="str">
        <f>IFERROR(__xludf.DUMMYFUNCTION("vlookup(BB326,importrange(""https://docs.google.com/spreadsheets/d/1d2vevQ_7D_v35q4wCQ4RpQ_IPoTwEMB9Yp6ymwlPqew/edit?gid=984458430#gid=984458430"", ""'replication success'!A:M""), 13, FAlSE)"),"pg.14")</f>
        <v>pg.14</v>
      </c>
      <c r="BB326" s="61" t="str">
        <f>IFERROR(__xludf.DUMMYFUNCTION("REGEXREPLACE(G326, ""_[a-z]{1,2}$"", """")"),"additional_studies47")</f>
        <v>additional_studies47</v>
      </c>
      <c r="BC326" s="61"/>
      <c r="BD326" s="62" t="s">
        <v>144</v>
      </c>
      <c r="BG326" s="71"/>
      <c r="BH326" s="71"/>
      <c r="BI326" s="71"/>
      <c r="BJ326" s="71"/>
      <c r="BK326" s="71"/>
      <c r="BL326" s="71"/>
      <c r="BM326" s="71"/>
      <c r="BN326" s="71"/>
      <c r="BO326" s="71"/>
      <c r="BP326" s="71"/>
      <c r="BQ326" s="71"/>
      <c r="BR326" s="71"/>
      <c r="BS326" s="71"/>
      <c r="BT326" s="71"/>
      <c r="BU326" s="71"/>
      <c r="BV326" s="71"/>
      <c r="BW326" s="71"/>
      <c r="BX326" s="71"/>
      <c r="BY326" s="71"/>
      <c r="BZ326" s="71"/>
      <c r="CA326" s="71"/>
      <c r="CB326" s="71"/>
      <c r="CC326" s="71"/>
      <c r="CD326" s="71"/>
      <c r="CE326" s="71"/>
      <c r="CF326" s="71"/>
      <c r="CG326" s="71"/>
      <c r="CH326" s="71"/>
      <c r="CI326" s="71"/>
      <c r="CJ326" s="71"/>
      <c r="CK326" s="71"/>
      <c r="CL326" s="71"/>
      <c r="CM326" s="71"/>
      <c r="CN326" s="71"/>
      <c r="CO326" s="71"/>
      <c r="CP326" s="71"/>
      <c r="CQ326" s="71"/>
      <c r="CR326" s="71"/>
      <c r="CS326" s="71"/>
      <c r="CT326" s="71"/>
      <c r="CU326" s="71"/>
      <c r="CV326" s="71"/>
      <c r="CW326" s="71"/>
      <c r="CX326" s="71"/>
      <c r="CY326" s="71"/>
      <c r="CZ326" s="71"/>
      <c r="DA326" s="71"/>
      <c r="DB326" s="71"/>
      <c r="DC326" s="71"/>
      <c r="DD326" s="71"/>
      <c r="DE326" s="71"/>
      <c r="DF326" s="71"/>
      <c r="DG326" s="71"/>
      <c r="DH326" s="71"/>
      <c r="DI326" s="71"/>
      <c r="DJ326" s="71"/>
      <c r="DK326" s="71"/>
      <c r="DL326" s="71"/>
    </row>
    <row r="327" ht="20.25" customHeight="1">
      <c r="A327" s="44">
        <v>327.0</v>
      </c>
      <c r="B327" s="368" t="s">
        <v>152</v>
      </c>
      <c r="C327" s="368" t="s">
        <v>115</v>
      </c>
      <c r="D327" s="188" t="s">
        <v>1441</v>
      </c>
      <c r="E327" s="189"/>
      <c r="F327" s="198" t="s">
        <v>1834</v>
      </c>
      <c r="G327" s="58" t="s">
        <v>1863</v>
      </c>
      <c r="H327" s="58" t="s">
        <v>1540</v>
      </c>
      <c r="I327" s="681">
        <v>45638.0</v>
      </c>
      <c r="J327" s="682">
        <v>45670.0</v>
      </c>
      <c r="K327" s="114"/>
      <c r="L327" s="212"/>
      <c r="M327" s="112" t="s">
        <v>1837</v>
      </c>
      <c r="N327" s="112" t="s">
        <v>1838</v>
      </c>
      <c r="O327" s="147">
        <v>1.0</v>
      </c>
      <c r="P327" s="121" t="str">
        <f t="shared" si="12"/>
        <v>10.1017--s1366728914000273.pdf</v>
      </c>
      <c r="Q327" s="52" t="str">
        <f t="array" ref="Q327"> if(iserror(MATCH(V327, 'File Links'!C:C, 0)), "N/A", HYPERLINK(INDEX('File Links'!B:B, MATCH(P327, 'File Links'!C:C, 0))))</f>
        <v>https://drive.google.com/file/d/1Baedt_RF56dAcd90mHgk4WyAWq0rNUNl/view?usp=drivesdk</v>
      </c>
      <c r="R327" s="112" t="s">
        <v>1839</v>
      </c>
      <c r="S327" s="112" t="s">
        <v>1840</v>
      </c>
      <c r="T327" s="114"/>
      <c r="U327" s="147">
        <v>1.0</v>
      </c>
      <c r="V327" s="112" t="str">
        <f t="shared" si="10"/>
        <v>10.1017--s0272263124000378.pdf</v>
      </c>
      <c r="W327" s="126" t="s">
        <v>320</v>
      </c>
      <c r="X327" s="54" t="str">
        <f t="array" ref="X327"> if(iserror(MATCH(V327, 'File Links'!C:C, 0)), "N/A", HYPERLINK(INDEX('File Links'!B:B, MATCH(V327, 'File Links'!C:C, 0))))</f>
        <v>https://drive.google.com/file/d/19bZUP_N4YxLTtw7Y4tZumU1mxVv8t29B/view?usp=drivesdk</v>
      </c>
      <c r="Y327" s="114"/>
      <c r="Z327" s="112" t="s">
        <v>295</v>
      </c>
      <c r="AA327" s="112" t="s">
        <v>1841</v>
      </c>
      <c r="AB327" s="112" t="s">
        <v>1842</v>
      </c>
      <c r="AC327" s="112" t="s">
        <v>1864</v>
      </c>
      <c r="AD327" s="112" t="s">
        <v>1865</v>
      </c>
      <c r="AE327" s="117">
        <v>6.0</v>
      </c>
      <c r="AF327" s="117">
        <v>68.0</v>
      </c>
      <c r="AG327" s="116" t="s">
        <v>138</v>
      </c>
      <c r="AH327" s="167" t="s">
        <v>138</v>
      </c>
      <c r="AI327" s="683" t="s">
        <v>140</v>
      </c>
      <c r="AJ327" s="116" t="s">
        <v>138</v>
      </c>
      <c r="AK327" s="116" t="s">
        <v>138</v>
      </c>
      <c r="AL327" s="114" t="s">
        <v>186</v>
      </c>
      <c r="AM327" s="114" t="s">
        <v>141</v>
      </c>
      <c r="AN327" s="219" t="s">
        <v>138</v>
      </c>
      <c r="AO327" s="117">
        <v>78.0</v>
      </c>
      <c r="AP327" s="117">
        <v>0.029</v>
      </c>
      <c r="AQ327" s="114" t="s">
        <v>139</v>
      </c>
      <c r="AR327" s="129">
        <v>11.0</v>
      </c>
      <c r="AS327" s="683">
        <v>0.133</v>
      </c>
      <c r="AT327" s="111" t="s">
        <v>172</v>
      </c>
      <c r="AU327" s="111" t="s">
        <v>186</v>
      </c>
      <c r="AV327" s="111" t="s">
        <v>141</v>
      </c>
      <c r="AW327" s="684" t="s">
        <v>138</v>
      </c>
      <c r="AX327" s="122" t="s">
        <v>143</v>
      </c>
      <c r="AY327" s="61" t="str">
        <f>IFERROR(__xludf.DUMMYFUNCTION("vlookup(BB327,importrange(""https://docs.google.com/spreadsheets/d/1d2vevQ_7D_v35q4wCQ4RpQ_IPoTwEMB9Yp6ymwlPqew/edit?gid=984458430#gid=984458430"", ""'replication success'!A:K""), 11, FAlSE)"),"successful")</f>
        <v>successful</v>
      </c>
      <c r="AZ327" s="61" t="str">
        <f>IFERROR(__xludf.DUMMYFUNCTION("vlookup(BB327,importrange(""https://docs.google.com/spreadsheets/d/1d2vevQ_7D_v35q4wCQ4RpQ_IPoTwEMB9Yp6ymwlPqew/edit?gid=984458430#gid=984458430"",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7" s="61" t="str">
        <f>IFERROR(__xludf.DUMMYFUNCTION("vlookup(BB327,importrange(""https://docs.google.com/spreadsheets/d/1d2vevQ_7D_v35q4wCQ4RpQ_IPoTwEMB9Yp6ymwlPqew/edit?gid=984458430#gid=984458430"", ""'replication success'!A:M""), 13, FAlSE)"),"pg.14")</f>
        <v>pg.14</v>
      </c>
      <c r="BB327" s="61" t="str">
        <f>IFERROR(__xludf.DUMMYFUNCTION("REGEXREPLACE(G327, ""_[a-z]{1,2}$"", """")"),"additional_studies47")</f>
        <v>additional_studies47</v>
      </c>
      <c r="BC327" s="129"/>
      <c r="BD327" s="62" t="s">
        <v>144</v>
      </c>
      <c r="BG327" s="71"/>
      <c r="BH327" s="71"/>
      <c r="BI327" s="71"/>
      <c r="BJ327" s="71"/>
      <c r="BK327" s="71"/>
      <c r="BL327" s="71"/>
      <c r="BM327" s="71"/>
      <c r="BN327" s="71"/>
      <c r="BO327" s="71"/>
      <c r="BP327" s="71"/>
      <c r="BQ327" s="71"/>
      <c r="BR327" s="71"/>
      <c r="BS327" s="71"/>
      <c r="BT327" s="71"/>
      <c r="BU327" s="71"/>
      <c r="BV327" s="71"/>
      <c r="BW327" s="71"/>
      <c r="BX327" s="71"/>
      <c r="BY327" s="71"/>
      <c r="BZ327" s="71"/>
      <c r="CA327" s="71"/>
      <c r="CB327" s="71"/>
      <c r="CC327" s="71"/>
      <c r="CD327" s="71"/>
      <c r="CE327" s="71"/>
      <c r="CF327" s="71"/>
      <c r="CG327" s="71"/>
      <c r="CH327" s="71"/>
      <c r="CI327" s="71"/>
      <c r="CJ327" s="71"/>
      <c r="CK327" s="71"/>
      <c r="CL327" s="71"/>
      <c r="CM327" s="71"/>
      <c r="CN327" s="71"/>
      <c r="CO327" s="71"/>
      <c r="CP327" s="71"/>
      <c r="CQ327" s="71"/>
      <c r="CR327" s="71"/>
      <c r="CS327" s="71"/>
      <c r="CT327" s="71"/>
      <c r="CU327" s="71"/>
      <c r="CV327" s="71"/>
      <c r="CW327" s="71"/>
      <c r="CX327" s="71"/>
      <c r="CY327" s="71"/>
      <c r="CZ327" s="71"/>
      <c r="DA327" s="71"/>
      <c r="DB327" s="71"/>
      <c r="DC327" s="71"/>
      <c r="DD327" s="71"/>
      <c r="DE327" s="71"/>
      <c r="DF327" s="71"/>
      <c r="DG327" s="71"/>
      <c r="DH327" s="71"/>
      <c r="DI327" s="71"/>
      <c r="DJ327" s="71"/>
      <c r="DK327" s="71"/>
      <c r="DL327" s="71"/>
    </row>
    <row r="328" ht="20.25" customHeight="1">
      <c r="A328" s="44">
        <v>328.0</v>
      </c>
      <c r="B328" s="368" t="s">
        <v>152</v>
      </c>
      <c r="C328" s="368" t="s">
        <v>115</v>
      </c>
      <c r="D328" s="188" t="s">
        <v>1441</v>
      </c>
      <c r="E328" s="189"/>
      <c r="F328" s="198" t="s">
        <v>1834</v>
      </c>
      <c r="G328" s="58" t="s">
        <v>1866</v>
      </c>
      <c r="H328" s="58" t="s">
        <v>1540</v>
      </c>
      <c r="I328" s="681">
        <v>45638.0</v>
      </c>
      <c r="J328" s="682">
        <v>45670.0</v>
      </c>
      <c r="K328" s="114"/>
      <c r="L328" s="114"/>
      <c r="M328" s="112" t="s">
        <v>1837</v>
      </c>
      <c r="N328" s="112" t="s">
        <v>1838</v>
      </c>
      <c r="O328" s="147">
        <v>1.0</v>
      </c>
      <c r="P328" s="121" t="str">
        <f t="shared" si="12"/>
        <v>10.1017--s1366728914000273.pdf</v>
      </c>
      <c r="Q328" s="52" t="str">
        <f t="array" ref="Q328"> if(iserror(MATCH(V328, 'File Links'!C:C, 0)), "N/A", HYPERLINK(INDEX('File Links'!B:B, MATCH(P328, 'File Links'!C:C, 0))))</f>
        <v>https://drive.google.com/file/d/1Baedt_RF56dAcd90mHgk4WyAWq0rNUNl/view?usp=drivesdk</v>
      </c>
      <c r="R328" s="112" t="s">
        <v>1839</v>
      </c>
      <c r="S328" s="112" t="s">
        <v>1840</v>
      </c>
      <c r="T328" s="114"/>
      <c r="U328" s="147">
        <v>1.0</v>
      </c>
      <c r="V328" s="112" t="str">
        <f t="shared" si="10"/>
        <v>10.1017--s0272263124000378.pdf</v>
      </c>
      <c r="W328" s="126" t="s">
        <v>320</v>
      </c>
      <c r="X328" s="54" t="str">
        <f t="array" ref="X328"> if(iserror(MATCH(V328, 'File Links'!C:C, 0)), "N/A", HYPERLINK(INDEX('File Links'!B:B, MATCH(V328, 'File Links'!C:C, 0))))</f>
        <v>https://drive.google.com/file/d/19bZUP_N4YxLTtw7Y4tZumU1mxVv8t29B/view?usp=drivesdk</v>
      </c>
      <c r="Y328" s="114"/>
      <c r="Z328" s="112" t="s">
        <v>295</v>
      </c>
      <c r="AA328" s="112" t="s">
        <v>1841</v>
      </c>
      <c r="AB328" s="112" t="s">
        <v>1842</v>
      </c>
      <c r="AC328" s="112" t="s">
        <v>1867</v>
      </c>
      <c r="AD328" s="112" t="s">
        <v>1865</v>
      </c>
      <c r="AE328" s="117">
        <v>6.0</v>
      </c>
      <c r="AF328" s="117">
        <v>68.0</v>
      </c>
      <c r="AG328" s="116" t="s">
        <v>138</v>
      </c>
      <c r="AH328" s="167" t="s">
        <v>138</v>
      </c>
      <c r="AI328" s="683" t="s">
        <v>140</v>
      </c>
      <c r="AJ328" s="116" t="s">
        <v>138</v>
      </c>
      <c r="AK328" s="116" t="s">
        <v>138</v>
      </c>
      <c r="AL328" s="114" t="s">
        <v>186</v>
      </c>
      <c r="AM328" s="114" t="s">
        <v>141</v>
      </c>
      <c r="AN328" s="219" t="s">
        <v>138</v>
      </c>
      <c r="AO328" s="117">
        <v>78.0</v>
      </c>
      <c r="AP328" s="117">
        <v>0.015</v>
      </c>
      <c r="AQ328" s="114" t="s">
        <v>139</v>
      </c>
      <c r="AR328" s="129">
        <v>11.0</v>
      </c>
      <c r="AS328" s="117">
        <v>0.282</v>
      </c>
      <c r="AT328" s="111" t="s">
        <v>172</v>
      </c>
      <c r="AU328" s="111" t="s">
        <v>186</v>
      </c>
      <c r="AV328" s="111" t="s">
        <v>141</v>
      </c>
      <c r="AW328" s="684" t="s">
        <v>138</v>
      </c>
      <c r="AX328" s="122" t="s">
        <v>143</v>
      </c>
      <c r="AY328" s="61" t="str">
        <f>IFERROR(__xludf.DUMMYFUNCTION("vlookup(BB328,importrange(""https://docs.google.com/spreadsheets/d/1d2vevQ_7D_v35q4wCQ4RpQ_IPoTwEMB9Yp6ymwlPqew/edit?gid=984458430#gid=984458430"", ""'replication success'!A:K""), 11, FAlSE)"),"successful")</f>
        <v>successful</v>
      </c>
      <c r="AZ328" s="61" t="str">
        <f>IFERROR(__xludf.DUMMYFUNCTION("vlookup(BB328,importrange(""https://docs.google.com/spreadsheets/d/1d2vevQ_7D_v35q4wCQ4RpQ_IPoTwEMB9Yp6ymwlPqew/edit?gid=984458430#gid=984458430"", ""'replication success'!A:M""), 12, FAlSE)"),"This replication study supported previous findings indicating that some bilingual individuals possess advantages in terms of cognitive flexibility in task switching. ")</f>
        <v>This replication study supported previous findings indicating that some bilingual individuals possess advantages in terms of cognitive flexibility in task switching. </v>
      </c>
      <c r="BA328" s="61" t="str">
        <f>IFERROR(__xludf.DUMMYFUNCTION("vlookup(BB328,importrange(""https://docs.google.com/spreadsheets/d/1d2vevQ_7D_v35q4wCQ4RpQ_IPoTwEMB9Yp6ymwlPqew/edit?gid=984458430#gid=984458430"", ""'replication success'!A:M""), 13, FAlSE)"),"pg.14")</f>
        <v>pg.14</v>
      </c>
      <c r="BB328" s="61" t="str">
        <f>IFERROR(__xludf.DUMMYFUNCTION("REGEXREPLACE(G328, ""_[a-z]{1,2}$"", """")"),"additional_studies47")</f>
        <v>additional_studies47</v>
      </c>
      <c r="BC328" s="61"/>
      <c r="BD328" s="62" t="s">
        <v>144</v>
      </c>
      <c r="BG328" s="71"/>
      <c r="BH328" s="71"/>
      <c r="BI328" s="71"/>
      <c r="BJ328" s="71"/>
      <c r="BK328" s="71"/>
      <c r="BL328" s="71"/>
      <c r="BM328" s="71"/>
      <c r="BN328" s="71"/>
      <c r="BO328" s="71"/>
      <c r="BP328" s="71"/>
      <c r="BQ328" s="71"/>
      <c r="BR328" s="71"/>
      <c r="BS328" s="71"/>
      <c r="BT328" s="71"/>
      <c r="BU328" s="71"/>
      <c r="BV328" s="71"/>
      <c r="BW328" s="71"/>
      <c r="BX328" s="71"/>
      <c r="BY328" s="71"/>
      <c r="BZ328" s="71"/>
      <c r="CA328" s="71"/>
      <c r="CB328" s="71"/>
      <c r="CC328" s="71"/>
      <c r="CD328" s="71"/>
      <c r="CE328" s="71"/>
      <c r="CF328" s="71"/>
      <c r="CG328" s="71"/>
      <c r="CH328" s="71"/>
      <c r="CI328" s="71"/>
      <c r="CJ328" s="71"/>
      <c r="CK328" s="71"/>
      <c r="CL328" s="71"/>
      <c r="CM328" s="71"/>
      <c r="CN328" s="71"/>
      <c r="CO328" s="71"/>
      <c r="CP328" s="71"/>
      <c r="CQ328" s="71"/>
      <c r="CR328" s="71"/>
      <c r="CS328" s="71"/>
      <c r="CT328" s="71"/>
      <c r="CU328" s="71"/>
      <c r="CV328" s="71"/>
      <c r="CW328" s="71"/>
      <c r="CX328" s="71"/>
      <c r="CY328" s="71"/>
      <c r="CZ328" s="71"/>
      <c r="DA328" s="71"/>
      <c r="DB328" s="71"/>
      <c r="DC328" s="71"/>
      <c r="DD328" s="71"/>
      <c r="DE328" s="71"/>
      <c r="DF328" s="71"/>
      <c r="DG328" s="71"/>
      <c r="DH328" s="71"/>
      <c r="DI328" s="71"/>
      <c r="DJ328" s="71"/>
      <c r="DK328" s="71"/>
      <c r="DL328" s="71"/>
    </row>
    <row r="329" ht="20.25" customHeight="1">
      <c r="A329" s="44">
        <v>329.0</v>
      </c>
      <c r="B329" s="368" t="s">
        <v>114</v>
      </c>
      <c r="C329" s="368" t="s">
        <v>115</v>
      </c>
      <c r="D329" s="368" t="s">
        <v>199</v>
      </c>
      <c r="E329" s="689"/>
      <c r="F329" s="159" t="s">
        <v>1868</v>
      </c>
      <c r="G329" s="57" t="s">
        <v>1869</v>
      </c>
      <c r="H329" s="57" t="s">
        <v>202</v>
      </c>
      <c r="I329" s="434">
        <v>45639.0</v>
      </c>
      <c r="J329" s="682">
        <v>45670.0</v>
      </c>
      <c r="K329" s="57" t="s">
        <v>1870</v>
      </c>
      <c r="L329" s="61"/>
      <c r="M329" s="57" t="s">
        <v>1871</v>
      </c>
      <c r="N329" s="129" t="s">
        <v>1872</v>
      </c>
      <c r="O329" s="61"/>
      <c r="P329" s="606" t="str">
        <f t="shared" si="12"/>
        <v>scholars.indianastate.eduetds--2136.pdf</v>
      </c>
      <c r="Q329" s="52" t="str">
        <f t="array" ref="Q329"> if(iserror(MATCH(V329, 'File Links'!C:C, 0)), "N/A", HYPERLINK(INDEX('File Links'!B:B, MATCH(P329, 'File Links'!C:C, 0))))</f>
        <v>https://drive.google.com/file/d/1jZb-p-3Rc26saHcNX9fyKAs8ayXvLp_G/view?usp=drivesdk</v>
      </c>
      <c r="R329" s="57" t="s">
        <v>1873</v>
      </c>
      <c r="S329" s="129" t="s">
        <v>1874</v>
      </c>
      <c r="T329" s="680" t="s">
        <v>1875</v>
      </c>
      <c r="U329" s="338"/>
      <c r="V329" s="112" t="str">
        <f t="shared" si="10"/>
        <v>digitalcommons.memphis.edu--etd--3538.pdf</v>
      </c>
      <c r="W329" s="57" t="s">
        <v>209</v>
      </c>
      <c r="X329" s="54" t="str">
        <f t="array" ref="X329"> if(iserror(MATCH(V329, 'File Links'!C:C, 0)), "N/A", HYPERLINK(INDEX('File Links'!B:B, MATCH(V329, 'File Links'!C:C, 0))))</f>
        <v>https://drive.google.com/file/d/1mh0lOHypF2E9Nk9sQ57YmqKyEOyrqka8/view?usp=drivesdk</v>
      </c>
      <c r="Y329" s="61"/>
      <c r="Z329" s="57" t="s">
        <v>241</v>
      </c>
      <c r="AA329" s="57" t="s">
        <v>1876</v>
      </c>
      <c r="AB329" s="57" t="s">
        <v>1877</v>
      </c>
      <c r="AC329" s="61"/>
      <c r="AD329" s="61"/>
      <c r="AE329" s="61"/>
      <c r="AF329" s="61"/>
      <c r="AG329" s="61"/>
      <c r="AH329" s="338"/>
      <c r="AI329" s="61"/>
      <c r="AJ329" s="61"/>
      <c r="AK329" s="68"/>
      <c r="AL329" s="61"/>
      <c r="AM329" s="61"/>
      <c r="AN329" s="219" t="s">
        <v>138</v>
      </c>
      <c r="AO329" s="61"/>
      <c r="AP329" s="61"/>
      <c r="AQ329" s="61"/>
      <c r="AR329" s="61"/>
      <c r="AS329" s="61"/>
      <c r="AT329" s="68"/>
      <c r="AU329" s="68"/>
      <c r="AV329" s="68"/>
      <c r="AW329" s="68"/>
      <c r="AX329" s="68"/>
      <c r="AY329" s="61" t="str">
        <f>IFERROR(__xludf.DUMMYFUNCTION("vlookup(BB329,importrange(""https://docs.google.com/spreadsheets/d/1d2vevQ_7D_v35q4wCQ4RpQ_IPoTwEMB9Yp6ymwlPqew/edit?gid=984458430#gid=984458430"", ""'replication success'!A:K""), 11, FAlSE)"),"mixed")</f>
        <v>mixed</v>
      </c>
      <c r="AZ329" s="61" t="str">
        <f>IFERROR(__xludf.DUMMYFUNCTION("vlookup(BB329,importrange(""https://docs.google.com/spreadsheets/d/1d2vevQ_7D_v35q4wCQ4RpQ_IPoTwEMB9Yp6ymwlPqew/edit?gid=984458430#gid=984458430"", ""'replication success'!A:M""), 12, FAlSE)"),"The study confirmed the factor structure of a streamlined 24-
item FEMS-T, which exhibited better fit than the original 40 items identified by Wilfong (2021).
The FEMS-T also demonstrated internal reliability and convergent validity with the Workplace
"&amp;"Mattering Scale (WMS; Jung &amp; Heppner, 2017). Examining measurement invariance, the scale
demonstrated configural invariance for gender, age, and experience. However, the scale did not
demonstrate metric or scalar invariance across groups, highlighting d"&amp;"ifferences in how teachers
who differ in gender, age, and experience conceptualize and experience the concept of mattering
in schools.")</f>
        <v>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v>
      </c>
      <c r="BA329" s="61" t="str">
        <f>IFERROR(__xludf.DUMMYFUNCTION("vlookup(BB329,importrange(""https://docs.google.com/spreadsheets/d/1d2vevQ_7D_v35q4wCQ4RpQ_IPoTwEMB9Yp6ymwlPqew/edit?gid=984458430#gid=984458430"", ""'replication success'!A:M""), 13, FAlSE)"),"abstract")</f>
        <v>abstract</v>
      </c>
      <c r="BB329" s="61" t="str">
        <f>IFERROR(__xludf.DUMMYFUNCTION("REGEXREPLACE(G329, ""_[a-z]{1,2}$"", """")"),"additional_studies48")</f>
        <v>additional_studies48</v>
      </c>
      <c r="BC329" s="61"/>
      <c r="BD329" s="62" t="s">
        <v>144</v>
      </c>
      <c r="BG329" s="107"/>
      <c r="BH329" s="107"/>
      <c r="BI329" s="107"/>
      <c r="BJ329" s="107"/>
      <c r="BK329" s="107"/>
      <c r="BL329" s="107"/>
      <c r="BM329" s="107"/>
      <c r="BN329" s="107"/>
      <c r="BO329" s="107"/>
      <c r="BP329" s="107"/>
      <c r="BQ329" s="107"/>
      <c r="BR329" s="107"/>
      <c r="BS329" s="107"/>
      <c r="BT329" s="107"/>
      <c r="BU329" s="107"/>
      <c r="BV329" s="107"/>
      <c r="BW329" s="107"/>
      <c r="BX329" s="107"/>
      <c r="BY329" s="107"/>
      <c r="BZ329" s="107"/>
      <c r="CA329" s="107"/>
      <c r="CB329" s="107"/>
      <c r="CC329" s="107"/>
      <c r="CD329" s="107"/>
      <c r="CE329" s="107"/>
      <c r="CF329" s="107"/>
      <c r="CG329" s="107"/>
      <c r="CH329" s="107"/>
      <c r="CI329" s="107"/>
      <c r="CJ329" s="107"/>
      <c r="CK329" s="107"/>
      <c r="CL329" s="107"/>
      <c r="CM329" s="107"/>
      <c r="CN329" s="107"/>
      <c r="CO329" s="107"/>
      <c r="CP329" s="107"/>
      <c r="CQ329" s="107"/>
      <c r="CR329" s="107"/>
      <c r="CS329" s="107"/>
      <c r="CT329" s="107"/>
      <c r="CU329" s="107"/>
      <c r="CV329" s="107"/>
      <c r="CW329" s="107"/>
      <c r="CX329" s="107"/>
      <c r="CY329" s="107"/>
      <c r="CZ329" s="107"/>
      <c r="DA329" s="107"/>
      <c r="DB329" s="107"/>
      <c r="DC329" s="107"/>
      <c r="DD329" s="107"/>
      <c r="DE329" s="107"/>
      <c r="DF329" s="107"/>
      <c r="DG329" s="107"/>
      <c r="DH329" s="107"/>
      <c r="DI329" s="107"/>
      <c r="DJ329" s="107"/>
      <c r="DK329" s="107"/>
      <c r="DL329" s="107"/>
    </row>
    <row r="330" ht="20.25" customHeight="1">
      <c r="A330" s="44">
        <v>330.0</v>
      </c>
      <c r="B330" s="188" t="s">
        <v>152</v>
      </c>
      <c r="C330" s="188" t="s">
        <v>115</v>
      </c>
      <c r="D330" s="188" t="s">
        <v>286</v>
      </c>
      <c r="E330" s="189"/>
      <c r="F330" s="68" t="s">
        <v>1868</v>
      </c>
      <c r="G330" s="57" t="s">
        <v>1869</v>
      </c>
      <c r="H330" s="151" t="s">
        <v>286</v>
      </c>
      <c r="I330" s="434">
        <v>45636.0</v>
      </c>
      <c r="J330" s="682">
        <v>45670.0</v>
      </c>
      <c r="K330" s="159" t="s">
        <v>1878</v>
      </c>
      <c r="L330" s="212" t="s">
        <v>1879</v>
      </c>
      <c r="M330" s="690" t="s">
        <v>1880</v>
      </c>
      <c r="N330" s="129" t="s">
        <v>1872</v>
      </c>
      <c r="O330" s="129">
        <v>1.0</v>
      </c>
      <c r="P330" s="606" t="str">
        <f t="shared" si="12"/>
        <v>scholars.indianastate.eduetds--2136.pdf</v>
      </c>
      <c r="Q330" s="52" t="str">
        <f t="array" ref="Q330"> if(iserror(MATCH(V330, 'File Links'!C:C, 0)), "N/A", HYPERLINK(INDEX('File Links'!B:B, MATCH(P330, 'File Links'!C:C, 0))))</f>
        <v>https://drive.google.com/file/d/1jZb-p-3Rc26saHcNX9fyKAs8ayXvLp_G/view?usp=drivesdk</v>
      </c>
      <c r="R330" s="159" t="s">
        <v>1873</v>
      </c>
      <c r="S330" s="129" t="s">
        <v>1874</v>
      </c>
      <c r="T330" s="680" t="s">
        <v>1875</v>
      </c>
      <c r="U330" s="147">
        <v>1.0</v>
      </c>
      <c r="V330" s="112" t="str">
        <f t="shared" si="10"/>
        <v>digitalcommons.memphis.edu--etd--3538.pdf</v>
      </c>
      <c r="W330" s="57" t="s">
        <v>209</v>
      </c>
      <c r="X330" s="54" t="str">
        <f t="array" ref="X330"> if(iserror(MATCH(V330, 'File Links'!C:C, 0)), "N/A", HYPERLINK(INDEX('File Links'!B:B, MATCH(V330, 'File Links'!C:C, 0))))</f>
        <v>https://drive.google.com/file/d/1mh0lOHypF2E9Nk9sQ57YmqKyEOyrqka8/view?usp=drivesdk</v>
      </c>
      <c r="Y330" s="68"/>
      <c r="Z330" s="159" t="s">
        <v>241</v>
      </c>
      <c r="AA330" s="159" t="s">
        <v>1881</v>
      </c>
      <c r="AB330" s="159" t="s">
        <v>1882</v>
      </c>
      <c r="AC330" s="159" t="s">
        <v>1883</v>
      </c>
      <c r="AD330" s="159" t="s">
        <v>1884</v>
      </c>
      <c r="AE330" s="156">
        <v>77.0</v>
      </c>
      <c r="AF330" s="156">
        <v>1110.0</v>
      </c>
      <c r="AG330" s="151" t="s">
        <v>1885</v>
      </c>
      <c r="AH330" s="349" t="s">
        <v>134</v>
      </c>
      <c r="AI330" s="151" t="s">
        <v>1886</v>
      </c>
      <c r="AJ330" s="379">
        <v>0.0</v>
      </c>
      <c r="AK330" s="159" t="s">
        <v>172</v>
      </c>
      <c r="AL330" s="57" t="s">
        <v>186</v>
      </c>
      <c r="AM330" s="68" t="s">
        <v>137</v>
      </c>
      <c r="AN330" s="219" t="s">
        <v>138</v>
      </c>
      <c r="AO330" s="68"/>
      <c r="AP330" s="151" t="s">
        <v>1887</v>
      </c>
      <c r="AQ330" s="159" t="s">
        <v>134</v>
      </c>
      <c r="AR330" s="159" t="s">
        <v>1888</v>
      </c>
      <c r="AS330" s="156">
        <v>0.001</v>
      </c>
      <c r="AT330" s="159" t="s">
        <v>135</v>
      </c>
      <c r="AU330" s="159" t="s">
        <v>186</v>
      </c>
      <c r="AV330" s="68" t="s">
        <v>137</v>
      </c>
      <c r="AW330" s="129" t="s">
        <v>138</v>
      </c>
      <c r="AX330" s="68" t="s">
        <v>143</v>
      </c>
      <c r="AY330" s="61" t="str">
        <f>IFERROR(__xludf.DUMMYFUNCTION("vlookup(BB330,importrange(""https://docs.google.com/spreadsheets/d/1d2vevQ_7D_v35q4wCQ4RpQ_IPoTwEMB9Yp6ymwlPqew/edit?gid=984458430#gid=984458430"", ""'replication success'!A:K""), 11, FAlSE)"),"mixed")</f>
        <v>mixed</v>
      </c>
      <c r="AZ330" s="61" t="str">
        <f>IFERROR(__xludf.DUMMYFUNCTION("vlookup(BB330,importrange(""https://docs.google.com/spreadsheets/d/1d2vevQ_7D_v35q4wCQ4RpQ_IPoTwEMB9Yp6ymwlPqew/edit?gid=984458430#gid=984458430"", ""'replication success'!A:M""), 12, FAlSE)"),"The study confirmed the factor structure of a streamlined 24-
item FEMS-T, which exhibited better fit than the original 40 items identified by Wilfong (2021).
The FEMS-T also demonstrated internal reliability and convergent validity with the Workplace
"&amp;"Mattering Scale (WMS; Jung &amp; Heppner, 2017). Examining measurement invariance, the scale
demonstrated configural invariance for gender, age, and experience. However, the scale did not
demonstrate metric or scalar invariance across groups, highlighting d"&amp;"ifferences in how teachers
who differ in gender, age, and experience conceptualize and experience the concept of mattering
in schools.")</f>
        <v>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v>
      </c>
      <c r="BA330" s="61" t="str">
        <f>IFERROR(__xludf.DUMMYFUNCTION("vlookup(BB330,importrange(""https://docs.google.com/spreadsheets/d/1d2vevQ_7D_v35q4wCQ4RpQ_IPoTwEMB9Yp6ymwlPqew/edit?gid=984458430#gid=984458430"", ""'replication success'!A:M""), 13, FAlSE)"),"abstract")</f>
        <v>abstract</v>
      </c>
      <c r="BB330" s="61" t="str">
        <f>IFERROR(__xludf.DUMMYFUNCTION("REGEXREPLACE(G330, ""_[a-z]{1,2}$"", """")"),"additional_studies48")</f>
        <v>additional_studies48</v>
      </c>
      <c r="BC330" s="129" t="s">
        <v>1879</v>
      </c>
      <c r="BD330" s="62" t="s">
        <v>144</v>
      </c>
      <c r="BG330" s="107"/>
      <c r="BH330" s="107"/>
      <c r="BI330" s="107"/>
      <c r="BJ330" s="107"/>
      <c r="BK330" s="107"/>
      <c r="BL330" s="107"/>
      <c r="BM330" s="107"/>
      <c r="BN330" s="107"/>
      <c r="BO330" s="107"/>
      <c r="BP330" s="107"/>
      <c r="BQ330" s="107"/>
      <c r="BR330" s="107"/>
      <c r="BS330" s="107"/>
      <c r="BT330" s="107"/>
      <c r="BU330" s="107"/>
      <c r="BV330" s="107"/>
      <c r="BW330" s="107"/>
      <c r="BX330" s="107"/>
      <c r="BY330" s="107"/>
      <c r="BZ330" s="107"/>
      <c r="CA330" s="107"/>
      <c r="CB330" s="107"/>
      <c r="CC330" s="107"/>
      <c r="CD330" s="107"/>
      <c r="CE330" s="107"/>
      <c r="CF330" s="107"/>
      <c r="CG330" s="107"/>
      <c r="CH330" s="107"/>
      <c r="CI330" s="107"/>
      <c r="CJ330" s="107"/>
      <c r="CK330" s="107"/>
      <c r="CL330" s="107"/>
      <c r="CM330" s="107"/>
      <c r="CN330" s="107"/>
      <c r="CO330" s="107"/>
      <c r="CP330" s="107"/>
      <c r="CQ330" s="107"/>
      <c r="CR330" s="107"/>
      <c r="CS330" s="107"/>
      <c r="CT330" s="107"/>
      <c r="CU330" s="107"/>
      <c r="CV330" s="107"/>
      <c r="CW330" s="107"/>
      <c r="CX330" s="107"/>
      <c r="CY330" s="107"/>
      <c r="CZ330" s="107"/>
      <c r="DA330" s="107"/>
      <c r="DB330" s="107"/>
      <c r="DC330" s="107"/>
      <c r="DD330" s="107"/>
      <c r="DE330" s="107"/>
      <c r="DF330" s="107"/>
      <c r="DG330" s="107"/>
      <c r="DH330" s="107"/>
      <c r="DI330" s="107"/>
      <c r="DJ330" s="107"/>
      <c r="DK330" s="107"/>
      <c r="DL330" s="107"/>
    </row>
    <row r="331" ht="20.25" customHeight="1">
      <c r="A331" s="44">
        <v>331.0</v>
      </c>
      <c r="B331" s="368" t="s">
        <v>114</v>
      </c>
      <c r="C331" s="368" t="s">
        <v>115</v>
      </c>
      <c r="D331" s="368" t="s">
        <v>199</v>
      </c>
      <c r="E331" s="689"/>
      <c r="F331" s="122" t="s">
        <v>1889</v>
      </c>
      <c r="G331" s="112" t="s">
        <v>1890</v>
      </c>
      <c r="H331" s="112" t="s">
        <v>202</v>
      </c>
      <c r="I331" s="113">
        <v>45639.0</v>
      </c>
      <c r="J331" s="691">
        <v>45670.0</v>
      </c>
      <c r="K331" s="112" t="s">
        <v>1891</v>
      </c>
      <c r="L331" s="212" t="s">
        <v>1892</v>
      </c>
      <c r="M331" s="112" t="s">
        <v>1893</v>
      </c>
      <c r="N331" s="112" t="s">
        <v>1894</v>
      </c>
      <c r="O331" s="114"/>
      <c r="P331" s="121" t="s">
        <v>1895</v>
      </c>
      <c r="Q331" s="52" t="str">
        <f t="array" ref="Q331"> if(iserror(MATCH(V331, 'File Links'!C:C, 0)), "N/A", HYPERLINK(INDEX('File Links'!B:B, MATCH(P331, 'File Links'!C:C, 0))))</f>
        <v>https://drive.google.com/file/d/1h26KXyOgQpabChNDwArC5YlDBW4_cfve/view?usp=drivesdk</v>
      </c>
      <c r="R331" s="112" t="s">
        <v>1896</v>
      </c>
      <c r="S331" s="147" t="s">
        <v>1897</v>
      </c>
      <c r="T331" s="692" t="s">
        <v>1898</v>
      </c>
      <c r="U331" s="120"/>
      <c r="V331" s="112" t="str">
        <f t="shared" si="10"/>
        <v>kontkanen_jaakko_thesis_2024.pdf</v>
      </c>
      <c r="W331" s="112" t="s">
        <v>209</v>
      </c>
      <c r="X331" s="54" t="str">
        <f t="array" ref="X331"> if(iserror(MATCH(V331, 'File Links'!C:C, 0)), "N/A", HYPERLINK(INDEX('File Links'!B:B, MATCH(V331, 'File Links'!C:C, 0))))</f>
        <v>https://drive.google.com/file/d/1AUxxuZsTugos0bfw5gX9jMDqt7bWDrfc/view?usp=drivesdk</v>
      </c>
      <c r="Y331" s="114"/>
      <c r="Z331" s="112" t="s">
        <v>295</v>
      </c>
      <c r="AA331" s="112" t="s">
        <v>1899</v>
      </c>
      <c r="AB331" s="112" t="s">
        <v>1900</v>
      </c>
      <c r="AC331" s="112" t="s">
        <v>1901</v>
      </c>
      <c r="AD331" s="112" t="s">
        <v>1902</v>
      </c>
      <c r="AE331" s="117">
        <v>2.0</v>
      </c>
      <c r="AF331" s="117">
        <v>40.0</v>
      </c>
      <c r="AG331" s="116" t="s">
        <v>1903</v>
      </c>
      <c r="AH331" s="121" t="s">
        <v>134</v>
      </c>
      <c r="AI331" s="112" t="s">
        <v>1904</v>
      </c>
      <c r="AJ331" s="117">
        <v>0.02</v>
      </c>
      <c r="AK331" s="122" t="s">
        <v>135</v>
      </c>
      <c r="AL331" s="112" t="s">
        <v>186</v>
      </c>
      <c r="AM331" s="114" t="s">
        <v>1905</v>
      </c>
      <c r="AN331" s="219" t="s">
        <v>138</v>
      </c>
      <c r="AO331" s="117">
        <v>127.0</v>
      </c>
      <c r="AP331" s="147" t="s">
        <v>1906</v>
      </c>
      <c r="AQ331" s="112" t="s">
        <v>134</v>
      </c>
      <c r="AR331" s="112" t="s">
        <v>1907</v>
      </c>
      <c r="AS331" s="117">
        <v>0.126</v>
      </c>
      <c r="AT331" s="122" t="s">
        <v>172</v>
      </c>
      <c r="AU331" s="122" t="s">
        <v>186</v>
      </c>
      <c r="AV331" s="111" t="s">
        <v>1905</v>
      </c>
      <c r="AW331" s="111"/>
      <c r="AX331" s="111" t="s">
        <v>143</v>
      </c>
      <c r="AY331" s="61" t="str">
        <f>IFERROR(__xludf.DUMMYFUNCTION("vlookup(BB331,importrange(""https://docs.google.com/spreadsheets/d/1d2vevQ_7D_v35q4wCQ4RpQ_IPoTwEMB9Yp6ymwlPqew/edit?gid=984458430#gid=984458430"", ""'replication success'!A:K""), 11, FAlSE)"),"failed")</f>
        <v>failed</v>
      </c>
      <c r="AZ331" s="61" t="str">
        <f>IFERROR(__xludf.DUMMYFUNCTION("vlookup(BB331,importrange(""https://docs.google.com/spreadsheets/d/1d2vevQ_7D_v35q4wCQ4RpQ_IPoTwEMB9Yp6ymwlPqew/edit?gid=984458430#gid=984458430"",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1" s="61" t="str">
        <f>IFERROR(__xludf.DUMMYFUNCTION("vlookup(BB331,importrange(""https://docs.google.com/spreadsheets/d/1d2vevQ_7D_v35q4wCQ4RpQ_IPoTwEMB9Yp6ymwlPqew/edit?gid=984458430#gid=984458430"", ""'replication success'!A:M""), 13, FAlSE)"),"abstract")</f>
        <v>abstract</v>
      </c>
      <c r="BB331" s="61" t="str">
        <f>IFERROR(__xludf.DUMMYFUNCTION("REGEXREPLACE(G331, ""_[a-z]{1,2}$"", """")"),"additional_studies49")</f>
        <v>additional_studies49</v>
      </c>
      <c r="BC331" s="129" t="s">
        <v>1892</v>
      </c>
      <c r="BD331" s="62" t="s">
        <v>144</v>
      </c>
      <c r="BG331" s="107"/>
      <c r="BH331" s="107"/>
      <c r="BI331" s="107"/>
      <c r="BJ331" s="107"/>
      <c r="BK331" s="107"/>
      <c r="BL331" s="107"/>
      <c r="BM331" s="107"/>
      <c r="BN331" s="107"/>
      <c r="BO331" s="107"/>
      <c r="BP331" s="107"/>
      <c r="BQ331" s="107"/>
      <c r="BR331" s="107"/>
      <c r="BS331" s="107"/>
      <c r="BT331" s="107"/>
      <c r="BU331" s="107"/>
      <c r="BV331" s="107"/>
      <c r="BW331" s="107"/>
      <c r="BX331" s="107"/>
      <c r="BY331" s="107"/>
      <c r="BZ331" s="107"/>
      <c r="CA331" s="107"/>
      <c r="CB331" s="107"/>
      <c r="CC331" s="107"/>
      <c r="CD331" s="107"/>
      <c r="CE331" s="107"/>
      <c r="CF331" s="107"/>
      <c r="CG331" s="107"/>
      <c r="CH331" s="107"/>
      <c r="CI331" s="107"/>
      <c r="CJ331" s="107"/>
      <c r="CK331" s="107"/>
      <c r="CL331" s="107"/>
      <c r="CM331" s="107"/>
      <c r="CN331" s="107"/>
      <c r="CO331" s="107"/>
      <c r="CP331" s="107"/>
      <c r="CQ331" s="107"/>
      <c r="CR331" s="107"/>
      <c r="CS331" s="107"/>
      <c r="CT331" s="107"/>
      <c r="CU331" s="107"/>
      <c r="CV331" s="107"/>
      <c r="CW331" s="107"/>
      <c r="CX331" s="107"/>
      <c r="CY331" s="107"/>
      <c r="CZ331" s="107"/>
      <c r="DA331" s="107"/>
      <c r="DB331" s="107"/>
      <c r="DC331" s="107"/>
      <c r="DD331" s="107"/>
      <c r="DE331" s="107"/>
      <c r="DF331" s="107"/>
      <c r="DG331" s="107"/>
      <c r="DH331" s="107"/>
      <c r="DI331" s="107"/>
      <c r="DJ331" s="107"/>
      <c r="DK331" s="107"/>
      <c r="DL331" s="107"/>
    </row>
    <row r="332" ht="20.25" customHeight="1">
      <c r="A332" s="44">
        <v>332.0</v>
      </c>
      <c r="B332" s="188" t="s">
        <v>152</v>
      </c>
      <c r="C332" s="188" t="s">
        <v>115</v>
      </c>
      <c r="D332" s="188" t="s">
        <v>286</v>
      </c>
      <c r="E332" s="189"/>
      <c r="F332" s="237" t="s">
        <v>1889</v>
      </c>
      <c r="G332" s="229" t="s">
        <v>1890</v>
      </c>
      <c r="H332" s="235" t="s">
        <v>289</v>
      </c>
      <c r="I332" s="230">
        <v>45634.0</v>
      </c>
      <c r="J332" s="693">
        <v>45670.0</v>
      </c>
      <c r="K332" s="235" t="s">
        <v>1908</v>
      </c>
      <c r="L332" s="212" t="s">
        <v>1909</v>
      </c>
      <c r="M332" s="694" t="s">
        <v>1910</v>
      </c>
      <c r="N332" s="235" t="s">
        <v>1894</v>
      </c>
      <c r="O332" s="695">
        <v>1.0</v>
      </c>
      <c r="P332" s="235" t="s">
        <v>1895</v>
      </c>
      <c r="Q332" s="52" t="str">
        <f t="array" ref="Q332"> if(iserror(MATCH(V332, 'File Links'!C:C, 0)), "N/A", HYPERLINK(INDEX('File Links'!B:B, MATCH(P332, 'File Links'!C:C, 0))))</f>
        <v>https://drive.google.com/file/d/1h26KXyOgQpabChNDwArC5YlDBW4_cfve/view?usp=drivesdk</v>
      </c>
      <c r="R332" s="235" t="s">
        <v>1896</v>
      </c>
      <c r="S332" s="695" t="s">
        <v>1897</v>
      </c>
      <c r="T332" s="692" t="s">
        <v>1898</v>
      </c>
      <c r="U332" s="147">
        <v>1.0</v>
      </c>
      <c r="V332" s="112" t="str">
        <f t="shared" si="10"/>
        <v>kontkanen_jaakko_thesis_2024.pdf</v>
      </c>
      <c r="W332" s="112" t="s">
        <v>209</v>
      </c>
      <c r="X332" s="54" t="str">
        <f t="array" ref="X332"> if(iserror(MATCH(V332, 'File Links'!C:C, 0)), "N/A", HYPERLINK(INDEX('File Links'!B:B, MATCH(V332, 'File Links'!C:C, 0))))</f>
        <v>https://drive.google.com/file/d/1AUxxuZsTugos0bfw5gX9jMDqt7bWDrfc/view?usp=drivesdk</v>
      </c>
      <c r="Y332" s="237"/>
      <c r="Z332" s="235" t="s">
        <v>295</v>
      </c>
      <c r="AA332" s="235" t="s">
        <v>1911</v>
      </c>
      <c r="AB332" s="235" t="s">
        <v>1912</v>
      </c>
      <c r="AC332" s="235" t="s">
        <v>1913</v>
      </c>
      <c r="AD332" s="234" t="s">
        <v>1914</v>
      </c>
      <c r="AE332" s="696">
        <v>100.0</v>
      </c>
      <c r="AF332" s="696">
        <v>40.0</v>
      </c>
      <c r="AG332" s="116" t="s">
        <v>1903</v>
      </c>
      <c r="AH332" s="121" t="s">
        <v>134</v>
      </c>
      <c r="AI332" s="234" t="s">
        <v>1915</v>
      </c>
      <c r="AJ332" s="232">
        <v>0.02</v>
      </c>
      <c r="AK332" s="235" t="s">
        <v>135</v>
      </c>
      <c r="AL332" s="229" t="s">
        <v>186</v>
      </c>
      <c r="AM332" s="237" t="s">
        <v>137</v>
      </c>
      <c r="AN332" s="219" t="s">
        <v>138</v>
      </c>
      <c r="AO332" s="696">
        <v>40.0</v>
      </c>
      <c r="AP332" s="147" t="s">
        <v>1906</v>
      </c>
      <c r="AQ332" s="112" t="s">
        <v>134</v>
      </c>
      <c r="AR332" s="235" t="s">
        <v>171</v>
      </c>
      <c r="AS332" s="696">
        <v>0.126</v>
      </c>
      <c r="AT332" s="235" t="s">
        <v>172</v>
      </c>
      <c r="AU332" s="235" t="s">
        <v>186</v>
      </c>
      <c r="AV332" s="237" t="s">
        <v>137</v>
      </c>
      <c r="AW332" s="695" t="s">
        <v>138</v>
      </c>
      <c r="AX332" s="237" t="s">
        <v>143</v>
      </c>
      <c r="AY332" s="61" t="str">
        <f>IFERROR(__xludf.DUMMYFUNCTION("vlookup(BB332,importrange(""https://docs.google.com/spreadsheets/d/1d2vevQ_7D_v35q4wCQ4RpQ_IPoTwEMB9Yp6ymwlPqew/edit?gid=984458430#gid=984458430"", ""'replication success'!A:K""), 11, FAlSE)"),"failed")</f>
        <v>failed</v>
      </c>
      <c r="AZ332" s="61" t="str">
        <f>IFERROR(__xludf.DUMMYFUNCTION("vlookup(BB332,importrange(""https://docs.google.com/spreadsheets/d/1d2vevQ_7D_v35q4wCQ4RpQ_IPoTwEMB9Yp6ymwlPqew/edit?gid=984458430#gid=984458430"",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2" s="61" t="str">
        <f>IFERROR(__xludf.DUMMYFUNCTION("vlookup(BB332,importrange(""https://docs.google.com/spreadsheets/d/1d2vevQ_7D_v35q4wCQ4RpQ_IPoTwEMB9Yp6ymwlPqew/edit?gid=984458430#gid=984458430"", ""'replication success'!A:M""), 13, FAlSE)"),"abstract")</f>
        <v>abstract</v>
      </c>
      <c r="BB332" s="61" t="str">
        <f>IFERROR(__xludf.DUMMYFUNCTION("REGEXREPLACE(G332, ""_[a-z]{1,2}$"", """")"),"additional_studies49")</f>
        <v>additional_studies49</v>
      </c>
      <c r="BC332" s="129" t="s">
        <v>1909</v>
      </c>
      <c r="BD332" s="62" t="s">
        <v>144</v>
      </c>
      <c r="BG332" s="107"/>
      <c r="BH332" s="107"/>
      <c r="BI332" s="107"/>
      <c r="BJ332" s="107"/>
      <c r="BK332" s="107"/>
      <c r="BL332" s="107"/>
      <c r="BM332" s="107"/>
      <c r="BN332" s="107"/>
      <c r="BO332" s="107"/>
      <c r="BP332" s="107"/>
      <c r="BQ332" s="107"/>
      <c r="BR332" s="107"/>
      <c r="BS332" s="107"/>
      <c r="BT332" s="107"/>
      <c r="BU332" s="107"/>
      <c r="BV332" s="107"/>
      <c r="BW332" s="107"/>
      <c r="BX332" s="107"/>
      <c r="BY332" s="107"/>
      <c r="BZ332" s="107"/>
      <c r="CA332" s="107"/>
      <c r="CB332" s="107"/>
      <c r="CC332" s="107"/>
      <c r="CD332" s="107"/>
      <c r="CE332" s="107"/>
      <c r="CF332" s="107"/>
      <c r="CG332" s="107"/>
      <c r="CH332" s="107"/>
      <c r="CI332" s="107"/>
      <c r="CJ332" s="107"/>
      <c r="CK332" s="107"/>
      <c r="CL332" s="107"/>
      <c r="CM332" s="107"/>
      <c r="CN332" s="107"/>
      <c r="CO332" s="107"/>
      <c r="CP332" s="107"/>
      <c r="CQ332" s="107"/>
      <c r="CR332" s="107"/>
      <c r="CS332" s="107"/>
      <c r="CT332" s="107"/>
      <c r="CU332" s="107"/>
      <c r="CV332" s="107"/>
      <c r="CW332" s="107"/>
      <c r="CX332" s="107"/>
      <c r="CY332" s="107"/>
      <c r="CZ332" s="107"/>
      <c r="DA332" s="107"/>
      <c r="DB332" s="107"/>
      <c r="DC332" s="107"/>
      <c r="DD332" s="107"/>
      <c r="DE332" s="107"/>
      <c r="DF332" s="107"/>
      <c r="DG332" s="107"/>
      <c r="DH332" s="107"/>
      <c r="DI332" s="107"/>
      <c r="DJ332" s="107"/>
      <c r="DK332" s="107"/>
      <c r="DL332" s="107"/>
    </row>
    <row r="333" ht="20.25" customHeight="1">
      <c r="A333" s="44">
        <v>333.0</v>
      </c>
      <c r="B333" s="368" t="s">
        <v>114</v>
      </c>
      <c r="C333" s="368" t="s">
        <v>115</v>
      </c>
      <c r="D333" s="368" t="s">
        <v>199</v>
      </c>
      <c r="E333" s="689"/>
      <c r="F333" s="237" t="s">
        <v>1889</v>
      </c>
      <c r="G333" s="112" t="s">
        <v>1916</v>
      </c>
      <c r="H333" s="112" t="s">
        <v>202</v>
      </c>
      <c r="I333" s="113">
        <v>45639.0</v>
      </c>
      <c r="J333" s="691">
        <v>45670.0</v>
      </c>
      <c r="K333" s="112" t="s">
        <v>1917</v>
      </c>
      <c r="L333" s="114"/>
      <c r="M333" s="112" t="s">
        <v>1893</v>
      </c>
      <c r="N333" s="112" t="s">
        <v>1894</v>
      </c>
      <c r="O333" s="114"/>
      <c r="P333" s="121" t="s">
        <v>1895</v>
      </c>
      <c r="Q333" s="52" t="str">
        <f t="array" ref="Q333"> if(iserror(MATCH(V333, 'File Links'!C:C, 0)), "N/A", HYPERLINK(INDEX('File Links'!B:B, MATCH(P333, 'File Links'!C:C, 0))))</f>
        <v>https://drive.google.com/file/d/1h26KXyOgQpabChNDwArC5YlDBW4_cfve/view?usp=drivesdk</v>
      </c>
      <c r="R333" s="112" t="s">
        <v>1896</v>
      </c>
      <c r="S333" s="147" t="s">
        <v>1897</v>
      </c>
      <c r="T333" s="692" t="s">
        <v>1898</v>
      </c>
      <c r="U333" s="120"/>
      <c r="V333" s="112" t="str">
        <f t="shared" si="10"/>
        <v>kontkanen_jaakko_thesis_2024.pdf</v>
      </c>
      <c r="W333" s="112" t="s">
        <v>209</v>
      </c>
      <c r="X333" s="54" t="str">
        <f t="array" ref="X333"> if(iserror(MATCH(V333, 'File Links'!C:C, 0)), "N/A", HYPERLINK(INDEX('File Links'!B:B, MATCH(V333, 'File Links'!C:C, 0))))</f>
        <v>https://drive.google.com/file/d/1AUxxuZsTugos0bfw5gX9jMDqt7bWDrfc/view?usp=drivesdk</v>
      </c>
      <c r="Y333" s="114"/>
      <c r="Z333" s="112" t="s">
        <v>295</v>
      </c>
      <c r="AA333" s="112" t="s">
        <v>1899</v>
      </c>
      <c r="AB333" s="112" t="s">
        <v>1900</v>
      </c>
      <c r="AC333" s="112" t="s">
        <v>1901</v>
      </c>
      <c r="AD333" s="112" t="s">
        <v>1902</v>
      </c>
      <c r="AE333" s="117">
        <v>2.0</v>
      </c>
      <c r="AF333" s="117">
        <v>40.0</v>
      </c>
      <c r="AG333" s="116" t="s">
        <v>1918</v>
      </c>
      <c r="AH333" s="121" t="s">
        <v>134</v>
      </c>
      <c r="AI333" s="112" t="s">
        <v>1904</v>
      </c>
      <c r="AJ333" s="117">
        <v>0.05</v>
      </c>
      <c r="AK333" s="122" t="s">
        <v>335</v>
      </c>
      <c r="AL333" s="112" t="s">
        <v>186</v>
      </c>
      <c r="AM333" s="114" t="s">
        <v>1905</v>
      </c>
      <c r="AN333" s="219" t="s">
        <v>138</v>
      </c>
      <c r="AO333" s="117">
        <v>127.0</v>
      </c>
      <c r="AP333" s="147" t="s">
        <v>1919</v>
      </c>
      <c r="AQ333" s="112" t="s">
        <v>134</v>
      </c>
      <c r="AR333" s="112" t="s">
        <v>1907</v>
      </c>
      <c r="AS333" s="117">
        <v>0.19</v>
      </c>
      <c r="AT333" s="122" t="s">
        <v>172</v>
      </c>
      <c r="AU333" s="122" t="s">
        <v>186</v>
      </c>
      <c r="AV333" s="111" t="s">
        <v>1905</v>
      </c>
      <c r="AW333" s="111"/>
      <c r="AX333" s="111" t="s">
        <v>143</v>
      </c>
      <c r="AY333" s="61" t="str">
        <f>IFERROR(__xludf.DUMMYFUNCTION("vlookup(BB333,importrange(""https://docs.google.com/spreadsheets/d/1d2vevQ_7D_v35q4wCQ4RpQ_IPoTwEMB9Yp6ymwlPqew/edit?gid=984458430#gid=984458430"", ""'replication success'!A:K""), 11, FAlSE)"),"failed")</f>
        <v>failed</v>
      </c>
      <c r="AZ333" s="61" t="str">
        <f>IFERROR(__xludf.DUMMYFUNCTION("vlookup(BB333,importrange(""https://docs.google.com/spreadsheets/d/1d2vevQ_7D_v35q4wCQ4RpQ_IPoTwEMB9Yp6ymwlPqew/edit?gid=984458430#gid=984458430"",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3" s="61" t="str">
        <f>IFERROR(__xludf.DUMMYFUNCTION("vlookup(BB333,importrange(""https://docs.google.com/spreadsheets/d/1d2vevQ_7D_v35q4wCQ4RpQ_IPoTwEMB9Yp6ymwlPqew/edit?gid=984458430#gid=984458430"", ""'replication success'!A:M""), 13, FAlSE)"),"abstract")</f>
        <v>abstract</v>
      </c>
      <c r="BB333" s="61" t="str">
        <f>IFERROR(__xludf.DUMMYFUNCTION("REGEXREPLACE(G333, ""_[a-z]{1,2}$"", """")"),"additional_studies49")</f>
        <v>additional_studies49</v>
      </c>
      <c r="BC333" s="61"/>
      <c r="BD333" s="62" t="s">
        <v>144</v>
      </c>
      <c r="BG333" s="107"/>
      <c r="BH333" s="107"/>
      <c r="BI333" s="107"/>
      <c r="BJ333" s="107"/>
      <c r="BK333" s="107"/>
      <c r="BL333" s="107"/>
      <c r="BM333" s="107"/>
      <c r="BN333" s="107"/>
      <c r="BO333" s="107"/>
      <c r="BP333" s="107"/>
      <c r="BQ333" s="107"/>
      <c r="BR333" s="107"/>
      <c r="BS333" s="107"/>
      <c r="BT333" s="107"/>
      <c r="BU333" s="107"/>
      <c r="BV333" s="107"/>
      <c r="BW333" s="107"/>
      <c r="BX333" s="107"/>
      <c r="BY333" s="107"/>
      <c r="BZ333" s="107"/>
      <c r="CA333" s="107"/>
      <c r="CB333" s="107"/>
      <c r="CC333" s="107"/>
      <c r="CD333" s="107"/>
      <c r="CE333" s="107"/>
      <c r="CF333" s="107"/>
      <c r="CG333" s="107"/>
      <c r="CH333" s="107"/>
      <c r="CI333" s="107"/>
      <c r="CJ333" s="107"/>
      <c r="CK333" s="107"/>
      <c r="CL333" s="107"/>
      <c r="CM333" s="107"/>
      <c r="CN333" s="107"/>
      <c r="CO333" s="107"/>
      <c r="CP333" s="107"/>
      <c r="CQ333" s="107"/>
      <c r="CR333" s="107"/>
      <c r="CS333" s="107"/>
      <c r="CT333" s="107"/>
      <c r="CU333" s="107"/>
      <c r="CV333" s="107"/>
      <c r="CW333" s="107"/>
      <c r="CX333" s="107"/>
      <c r="CY333" s="107"/>
      <c r="CZ333" s="107"/>
      <c r="DA333" s="107"/>
      <c r="DB333" s="107"/>
      <c r="DC333" s="107"/>
      <c r="DD333" s="107"/>
      <c r="DE333" s="107"/>
      <c r="DF333" s="107"/>
      <c r="DG333" s="107"/>
      <c r="DH333" s="107"/>
      <c r="DI333" s="107"/>
      <c r="DJ333" s="107"/>
      <c r="DK333" s="107"/>
      <c r="DL333" s="107"/>
    </row>
    <row r="334" ht="20.25" customHeight="1">
      <c r="A334" s="44">
        <v>334.0</v>
      </c>
      <c r="B334" s="188" t="s">
        <v>152</v>
      </c>
      <c r="C334" s="188" t="s">
        <v>115</v>
      </c>
      <c r="D334" s="188" t="s">
        <v>286</v>
      </c>
      <c r="E334" s="189"/>
      <c r="F334" s="237" t="s">
        <v>1889</v>
      </c>
      <c r="G334" s="229" t="s">
        <v>1916</v>
      </c>
      <c r="H334" s="235" t="s">
        <v>289</v>
      </c>
      <c r="I334" s="230">
        <v>45634.0</v>
      </c>
      <c r="J334" s="693">
        <v>45670.0</v>
      </c>
      <c r="K334" s="235" t="s">
        <v>1908</v>
      </c>
      <c r="L334" s="237"/>
      <c r="M334" s="694" t="s">
        <v>1920</v>
      </c>
      <c r="N334" s="235" t="s">
        <v>1894</v>
      </c>
      <c r="O334" s="695">
        <v>1.0</v>
      </c>
      <c r="P334" s="235" t="s">
        <v>1895</v>
      </c>
      <c r="Q334" s="52" t="str">
        <f t="array" ref="Q334"> if(iserror(MATCH(V334, 'File Links'!C:C, 0)), "N/A", HYPERLINK(INDEX('File Links'!B:B, MATCH(P334, 'File Links'!C:C, 0))))</f>
        <v>https://drive.google.com/file/d/1h26KXyOgQpabChNDwArC5YlDBW4_cfve/view?usp=drivesdk</v>
      </c>
      <c r="R334" s="235" t="s">
        <v>1896</v>
      </c>
      <c r="S334" s="695" t="s">
        <v>1897</v>
      </c>
      <c r="T334" s="692" t="s">
        <v>1898</v>
      </c>
      <c r="U334" s="147">
        <v>1.0</v>
      </c>
      <c r="V334" s="112" t="str">
        <f t="shared" si="10"/>
        <v>kontkanen_jaakko_thesis_2024.pdf</v>
      </c>
      <c r="W334" s="112" t="s">
        <v>209</v>
      </c>
      <c r="X334" s="54" t="str">
        <f t="array" ref="X334"> if(iserror(MATCH(V334, 'File Links'!C:C, 0)), "N/A", HYPERLINK(INDEX('File Links'!B:B, MATCH(V334, 'File Links'!C:C, 0))))</f>
        <v>https://drive.google.com/file/d/1AUxxuZsTugos0bfw5gX9jMDqt7bWDrfc/view?usp=drivesdk</v>
      </c>
      <c r="Y334" s="237"/>
      <c r="Z334" s="235" t="s">
        <v>295</v>
      </c>
      <c r="AA334" s="235" t="s">
        <v>1921</v>
      </c>
      <c r="AB334" s="235" t="s">
        <v>1912</v>
      </c>
      <c r="AC334" s="235" t="s">
        <v>1922</v>
      </c>
      <c r="AD334" s="234" t="s">
        <v>1914</v>
      </c>
      <c r="AE334" s="696">
        <v>100.0</v>
      </c>
      <c r="AF334" s="696">
        <v>40.0</v>
      </c>
      <c r="AG334" s="116" t="s">
        <v>1918</v>
      </c>
      <c r="AH334" s="121" t="s">
        <v>134</v>
      </c>
      <c r="AI334" s="229" t="s">
        <v>1923</v>
      </c>
      <c r="AJ334" s="232">
        <v>0.05</v>
      </c>
      <c r="AK334" s="235" t="s">
        <v>135</v>
      </c>
      <c r="AL334" s="229" t="s">
        <v>186</v>
      </c>
      <c r="AM334" s="237" t="s">
        <v>137</v>
      </c>
      <c r="AN334" s="219" t="s">
        <v>138</v>
      </c>
      <c r="AO334" s="696">
        <v>40.0</v>
      </c>
      <c r="AP334" s="147" t="s">
        <v>1919</v>
      </c>
      <c r="AQ334" s="112" t="s">
        <v>134</v>
      </c>
      <c r="AR334" s="235" t="s">
        <v>171</v>
      </c>
      <c r="AS334" s="696">
        <v>0.19</v>
      </c>
      <c r="AT334" s="235" t="s">
        <v>172</v>
      </c>
      <c r="AU334" s="235" t="s">
        <v>186</v>
      </c>
      <c r="AV334" s="237" t="s">
        <v>137</v>
      </c>
      <c r="AW334" s="695" t="s">
        <v>138</v>
      </c>
      <c r="AX334" s="237" t="s">
        <v>143</v>
      </c>
      <c r="AY334" s="61" t="str">
        <f>IFERROR(__xludf.DUMMYFUNCTION("vlookup(BB334,importrange(""https://docs.google.com/spreadsheets/d/1d2vevQ_7D_v35q4wCQ4RpQ_IPoTwEMB9Yp6ymwlPqew/edit?gid=984458430#gid=984458430"", ""'replication success'!A:K""), 11, FAlSE)"),"failed")</f>
        <v>failed</v>
      </c>
      <c r="AZ334" s="61" t="str">
        <f>IFERROR(__xludf.DUMMYFUNCTION("vlookup(BB334,importrange(""https://docs.google.com/spreadsheets/d/1d2vevQ_7D_v35q4wCQ4RpQ_IPoTwEMB9Yp6ymwlPqew/edit?gid=984458430#gid=984458430"",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4" s="61" t="str">
        <f>IFERROR(__xludf.DUMMYFUNCTION("vlookup(BB334,importrange(""https://docs.google.com/spreadsheets/d/1d2vevQ_7D_v35q4wCQ4RpQ_IPoTwEMB9Yp6ymwlPqew/edit?gid=984458430#gid=984458430"", ""'replication success'!A:M""), 13, FAlSE)"),"abstract")</f>
        <v>abstract</v>
      </c>
      <c r="BB334" s="61" t="str">
        <f>IFERROR(__xludf.DUMMYFUNCTION("REGEXREPLACE(G334, ""_[a-z]{1,2}$"", """")"),"additional_studies49")</f>
        <v>additional_studies49</v>
      </c>
      <c r="BC334" s="68"/>
      <c r="BD334" s="62" t="s">
        <v>144</v>
      </c>
      <c r="BG334" s="107"/>
      <c r="BH334" s="107"/>
      <c r="BI334" s="107"/>
      <c r="BJ334" s="107"/>
      <c r="BK334" s="107"/>
      <c r="BL334" s="107"/>
      <c r="BM334" s="107"/>
      <c r="BN334" s="107"/>
      <c r="BO334" s="107"/>
      <c r="BP334" s="107"/>
      <c r="BQ334" s="107"/>
      <c r="BR334" s="107"/>
      <c r="BS334" s="107"/>
      <c r="BT334" s="107"/>
      <c r="BU334" s="107"/>
      <c r="BV334" s="107"/>
      <c r="BW334" s="107"/>
      <c r="BX334" s="107"/>
      <c r="BY334" s="107"/>
      <c r="BZ334" s="107"/>
      <c r="CA334" s="107"/>
      <c r="CB334" s="107"/>
      <c r="CC334" s="107"/>
      <c r="CD334" s="107"/>
      <c r="CE334" s="107"/>
      <c r="CF334" s="107"/>
      <c r="CG334" s="107"/>
      <c r="CH334" s="107"/>
      <c r="CI334" s="107"/>
      <c r="CJ334" s="107"/>
      <c r="CK334" s="107"/>
      <c r="CL334" s="107"/>
      <c r="CM334" s="107"/>
      <c r="CN334" s="107"/>
      <c r="CO334" s="107"/>
      <c r="CP334" s="107"/>
      <c r="CQ334" s="107"/>
      <c r="CR334" s="107"/>
      <c r="CS334" s="107"/>
      <c r="CT334" s="107"/>
      <c r="CU334" s="107"/>
      <c r="CV334" s="107"/>
      <c r="CW334" s="107"/>
      <c r="CX334" s="107"/>
      <c r="CY334" s="107"/>
      <c r="CZ334" s="107"/>
      <c r="DA334" s="107"/>
      <c r="DB334" s="107"/>
      <c r="DC334" s="107"/>
      <c r="DD334" s="107"/>
      <c r="DE334" s="107"/>
      <c r="DF334" s="107"/>
      <c r="DG334" s="107"/>
      <c r="DH334" s="107"/>
      <c r="DI334" s="107"/>
      <c r="DJ334" s="107"/>
      <c r="DK334" s="107"/>
      <c r="DL334" s="107"/>
    </row>
    <row r="335" ht="20.25" customHeight="1">
      <c r="A335" s="44">
        <v>335.0</v>
      </c>
      <c r="B335" s="368" t="s">
        <v>114</v>
      </c>
      <c r="C335" s="368" t="s">
        <v>115</v>
      </c>
      <c r="D335" s="368" t="s">
        <v>199</v>
      </c>
      <c r="E335" s="689"/>
      <c r="F335" s="237" t="s">
        <v>1889</v>
      </c>
      <c r="G335" s="112" t="s">
        <v>1924</v>
      </c>
      <c r="H335" s="112" t="s">
        <v>202</v>
      </c>
      <c r="I335" s="113">
        <v>45639.0</v>
      </c>
      <c r="J335" s="691">
        <v>45670.0</v>
      </c>
      <c r="K335" s="112" t="s">
        <v>1925</v>
      </c>
      <c r="L335" s="114"/>
      <c r="M335" s="112" t="s">
        <v>1893</v>
      </c>
      <c r="N335" s="112" t="s">
        <v>1894</v>
      </c>
      <c r="O335" s="114"/>
      <c r="P335" s="121" t="s">
        <v>1895</v>
      </c>
      <c r="Q335" s="52" t="str">
        <f t="array" ref="Q335"> if(iserror(MATCH(V335, 'File Links'!C:C, 0)), "N/A", HYPERLINK(INDEX('File Links'!B:B, MATCH(P335, 'File Links'!C:C, 0))))</f>
        <v>https://drive.google.com/file/d/1h26KXyOgQpabChNDwArC5YlDBW4_cfve/view?usp=drivesdk</v>
      </c>
      <c r="R335" s="112" t="s">
        <v>1896</v>
      </c>
      <c r="S335" s="147" t="s">
        <v>1897</v>
      </c>
      <c r="T335" s="692" t="s">
        <v>1898</v>
      </c>
      <c r="U335" s="120"/>
      <c r="V335" s="112" t="str">
        <f t="shared" si="10"/>
        <v>kontkanen_jaakko_thesis_2024.pdf</v>
      </c>
      <c r="W335" s="112" t="s">
        <v>209</v>
      </c>
      <c r="X335" s="54" t="str">
        <f t="array" ref="X335"> if(iserror(MATCH(V335, 'File Links'!C:C, 0)), "N/A", HYPERLINK(INDEX('File Links'!B:B, MATCH(V335, 'File Links'!C:C, 0))))</f>
        <v>https://drive.google.com/file/d/1AUxxuZsTugos0bfw5gX9jMDqt7bWDrfc/view?usp=drivesdk</v>
      </c>
      <c r="Y335" s="114"/>
      <c r="Z335" s="112" t="s">
        <v>295</v>
      </c>
      <c r="AA335" s="112" t="s">
        <v>1899</v>
      </c>
      <c r="AB335" s="112" t="s">
        <v>1900</v>
      </c>
      <c r="AC335" s="112" t="s">
        <v>1901</v>
      </c>
      <c r="AD335" s="112" t="s">
        <v>1902</v>
      </c>
      <c r="AE335" s="117">
        <v>2.0</v>
      </c>
      <c r="AF335" s="117">
        <v>40.0</v>
      </c>
      <c r="AG335" s="116" t="s">
        <v>1926</v>
      </c>
      <c r="AH335" s="121" t="s">
        <v>134</v>
      </c>
      <c r="AI335" s="112" t="s">
        <v>1904</v>
      </c>
      <c r="AJ335" s="117">
        <v>0.02</v>
      </c>
      <c r="AK335" s="122" t="s">
        <v>135</v>
      </c>
      <c r="AL335" s="112" t="s">
        <v>186</v>
      </c>
      <c r="AM335" s="114" t="s">
        <v>1905</v>
      </c>
      <c r="AN335" s="219" t="s">
        <v>138</v>
      </c>
      <c r="AO335" s="117">
        <v>127.0</v>
      </c>
      <c r="AP335" s="147" t="s">
        <v>1927</v>
      </c>
      <c r="AQ335" s="112" t="s">
        <v>134</v>
      </c>
      <c r="AR335" s="112" t="s">
        <v>1907</v>
      </c>
      <c r="AS335" s="117">
        <v>0.162</v>
      </c>
      <c r="AT335" s="122" t="s">
        <v>172</v>
      </c>
      <c r="AU335" s="122" t="s">
        <v>186</v>
      </c>
      <c r="AV335" s="111" t="s">
        <v>1905</v>
      </c>
      <c r="AW335" s="111"/>
      <c r="AX335" s="111" t="s">
        <v>143</v>
      </c>
      <c r="AY335" s="61" t="str">
        <f>IFERROR(__xludf.DUMMYFUNCTION("vlookup(BB335,importrange(""https://docs.google.com/spreadsheets/d/1d2vevQ_7D_v35q4wCQ4RpQ_IPoTwEMB9Yp6ymwlPqew/edit?gid=984458430#gid=984458430"", ""'replication success'!A:K""), 11, FAlSE)"),"failed")</f>
        <v>failed</v>
      </c>
      <c r="AZ335" s="61" t="str">
        <f>IFERROR(__xludf.DUMMYFUNCTION("vlookup(BB335,importrange(""https://docs.google.com/spreadsheets/d/1d2vevQ_7D_v35q4wCQ4RpQ_IPoTwEMB9Yp6ymwlPqew/edit?gid=984458430#gid=984458430"",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5" s="61" t="str">
        <f>IFERROR(__xludf.DUMMYFUNCTION("vlookup(BB335,importrange(""https://docs.google.com/spreadsheets/d/1d2vevQ_7D_v35q4wCQ4RpQ_IPoTwEMB9Yp6ymwlPqew/edit?gid=984458430#gid=984458430"", ""'replication success'!A:M""), 13, FAlSE)"),"abstract")</f>
        <v>abstract</v>
      </c>
      <c r="BB335" s="61" t="str">
        <f>IFERROR(__xludf.DUMMYFUNCTION("REGEXREPLACE(G335, ""_[a-z]{1,2}$"", """")"),"additional_studies49")</f>
        <v>additional_studies49</v>
      </c>
      <c r="BC335" s="61"/>
      <c r="BD335" s="62" t="s">
        <v>144</v>
      </c>
      <c r="BG335" s="107"/>
      <c r="BH335" s="107"/>
      <c r="BI335" s="107"/>
      <c r="BJ335" s="107"/>
      <c r="BK335" s="107"/>
      <c r="BL335" s="107"/>
      <c r="BM335" s="107"/>
      <c r="BN335" s="107"/>
      <c r="BO335" s="107"/>
      <c r="BP335" s="107"/>
      <c r="BQ335" s="107"/>
      <c r="BR335" s="107"/>
      <c r="BS335" s="107"/>
      <c r="BT335" s="107"/>
      <c r="BU335" s="107"/>
      <c r="BV335" s="107"/>
      <c r="BW335" s="107"/>
      <c r="BX335" s="107"/>
      <c r="BY335" s="107"/>
      <c r="BZ335" s="107"/>
      <c r="CA335" s="107"/>
      <c r="CB335" s="107"/>
      <c r="CC335" s="107"/>
      <c r="CD335" s="107"/>
      <c r="CE335" s="107"/>
      <c r="CF335" s="107"/>
      <c r="CG335" s="107"/>
      <c r="CH335" s="107"/>
      <c r="CI335" s="107"/>
      <c r="CJ335" s="107"/>
      <c r="CK335" s="107"/>
      <c r="CL335" s="107"/>
      <c r="CM335" s="107"/>
      <c r="CN335" s="107"/>
      <c r="CO335" s="107"/>
      <c r="CP335" s="107"/>
      <c r="CQ335" s="107"/>
      <c r="CR335" s="107"/>
      <c r="CS335" s="107"/>
      <c r="CT335" s="107"/>
      <c r="CU335" s="107"/>
      <c r="CV335" s="107"/>
      <c r="CW335" s="107"/>
      <c r="CX335" s="107"/>
      <c r="CY335" s="107"/>
      <c r="CZ335" s="107"/>
      <c r="DA335" s="107"/>
      <c r="DB335" s="107"/>
      <c r="DC335" s="107"/>
      <c r="DD335" s="107"/>
      <c r="DE335" s="107"/>
      <c r="DF335" s="107"/>
      <c r="DG335" s="107"/>
      <c r="DH335" s="107"/>
      <c r="DI335" s="107"/>
      <c r="DJ335" s="107"/>
      <c r="DK335" s="107"/>
      <c r="DL335" s="107"/>
    </row>
    <row r="336" ht="20.25" customHeight="1">
      <c r="A336" s="44">
        <v>336.0</v>
      </c>
      <c r="B336" s="188" t="s">
        <v>152</v>
      </c>
      <c r="C336" s="188" t="s">
        <v>115</v>
      </c>
      <c r="D336" s="188" t="s">
        <v>286</v>
      </c>
      <c r="E336" s="189"/>
      <c r="F336" s="237" t="s">
        <v>1889</v>
      </c>
      <c r="G336" s="229" t="s">
        <v>1924</v>
      </c>
      <c r="H336" s="235" t="s">
        <v>289</v>
      </c>
      <c r="I336" s="230">
        <v>45635.0</v>
      </c>
      <c r="J336" s="693">
        <v>45670.0</v>
      </c>
      <c r="K336" s="235" t="s">
        <v>1908</v>
      </c>
      <c r="L336" s="237"/>
      <c r="M336" s="694" t="s">
        <v>1928</v>
      </c>
      <c r="N336" s="235" t="s">
        <v>1894</v>
      </c>
      <c r="O336" s="695">
        <v>1.0</v>
      </c>
      <c r="P336" s="235" t="s">
        <v>1895</v>
      </c>
      <c r="Q336" s="52" t="str">
        <f t="array" ref="Q336"> if(iserror(MATCH(V336, 'File Links'!C:C, 0)), "N/A", HYPERLINK(INDEX('File Links'!B:B, MATCH(P336, 'File Links'!C:C, 0))))</f>
        <v>https://drive.google.com/file/d/1h26KXyOgQpabChNDwArC5YlDBW4_cfve/view?usp=drivesdk</v>
      </c>
      <c r="R336" s="235" t="s">
        <v>1896</v>
      </c>
      <c r="S336" s="695" t="s">
        <v>1897</v>
      </c>
      <c r="T336" s="692" t="s">
        <v>1898</v>
      </c>
      <c r="U336" s="147">
        <v>1.0</v>
      </c>
      <c r="V336" s="112" t="str">
        <f t="shared" si="10"/>
        <v>kontkanen_jaakko_thesis_2024.pdf</v>
      </c>
      <c r="W336" s="112" t="s">
        <v>209</v>
      </c>
      <c r="X336" s="54" t="str">
        <f t="array" ref="X336"> if(iserror(MATCH(V336, 'File Links'!C:C, 0)), "N/A", HYPERLINK(INDEX('File Links'!B:B, MATCH(V336, 'File Links'!C:C, 0))))</f>
        <v>https://drive.google.com/file/d/1AUxxuZsTugos0bfw5gX9jMDqt7bWDrfc/view?usp=drivesdk</v>
      </c>
      <c r="Y336" s="237"/>
      <c r="Z336" s="235" t="s">
        <v>295</v>
      </c>
      <c r="AA336" s="235" t="s">
        <v>1929</v>
      </c>
      <c r="AB336" s="235" t="s">
        <v>1912</v>
      </c>
      <c r="AC336" s="235" t="s">
        <v>1930</v>
      </c>
      <c r="AD336" s="234" t="s">
        <v>1931</v>
      </c>
      <c r="AE336" s="696">
        <v>100.0</v>
      </c>
      <c r="AF336" s="696">
        <v>40.0</v>
      </c>
      <c r="AG336" s="116" t="s">
        <v>1926</v>
      </c>
      <c r="AH336" s="121" t="s">
        <v>134</v>
      </c>
      <c r="AI336" s="229" t="s">
        <v>1923</v>
      </c>
      <c r="AJ336" s="232">
        <v>0.02</v>
      </c>
      <c r="AK336" s="235" t="s">
        <v>135</v>
      </c>
      <c r="AL336" s="229" t="s">
        <v>186</v>
      </c>
      <c r="AM336" s="237" t="s">
        <v>137</v>
      </c>
      <c r="AN336" s="219" t="s">
        <v>138</v>
      </c>
      <c r="AO336" s="696">
        <v>40.0</v>
      </c>
      <c r="AP336" s="147" t="s">
        <v>1927</v>
      </c>
      <c r="AQ336" s="112" t="s">
        <v>134</v>
      </c>
      <c r="AR336" s="235" t="s">
        <v>171</v>
      </c>
      <c r="AS336" s="696">
        <v>0.162</v>
      </c>
      <c r="AT336" s="235" t="s">
        <v>172</v>
      </c>
      <c r="AU336" s="235" t="s">
        <v>186</v>
      </c>
      <c r="AV336" s="237" t="s">
        <v>137</v>
      </c>
      <c r="AW336" s="695" t="s">
        <v>138</v>
      </c>
      <c r="AX336" s="237" t="s">
        <v>143</v>
      </c>
      <c r="AY336" s="61" t="str">
        <f>IFERROR(__xludf.DUMMYFUNCTION("vlookup(BB336,importrange(""https://docs.google.com/spreadsheets/d/1d2vevQ_7D_v35q4wCQ4RpQ_IPoTwEMB9Yp6ymwlPqew/edit?gid=984458430#gid=984458430"", ""'replication success'!A:K""), 11, FAlSE)"),"failed")</f>
        <v>failed</v>
      </c>
      <c r="AZ336" s="61" t="str">
        <f>IFERROR(__xludf.DUMMYFUNCTION("vlookup(BB336,importrange(""https://docs.google.com/spreadsheets/d/1d2vevQ_7D_v35q4wCQ4RpQ_IPoTwEMB9Yp6ymwlPqew/edit?gid=984458430#gid=984458430"",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6" s="61" t="str">
        <f>IFERROR(__xludf.DUMMYFUNCTION("vlookup(BB336,importrange(""https://docs.google.com/spreadsheets/d/1d2vevQ_7D_v35q4wCQ4RpQ_IPoTwEMB9Yp6ymwlPqew/edit?gid=984458430#gid=984458430"", ""'replication success'!A:M""), 13, FAlSE)"),"abstract")</f>
        <v>abstract</v>
      </c>
      <c r="BB336" s="61" t="str">
        <f>IFERROR(__xludf.DUMMYFUNCTION("REGEXREPLACE(G336, ""_[a-z]{1,2}$"", """")"),"additional_studies49")</f>
        <v>additional_studies49</v>
      </c>
      <c r="BC336" s="68"/>
      <c r="BD336" s="62" t="s">
        <v>144</v>
      </c>
      <c r="BG336" s="107"/>
      <c r="BH336" s="107"/>
      <c r="BI336" s="107"/>
      <c r="BJ336" s="107"/>
      <c r="BK336" s="107"/>
      <c r="BL336" s="107"/>
      <c r="BM336" s="107"/>
      <c r="BN336" s="107"/>
      <c r="BO336" s="107"/>
      <c r="BP336" s="107"/>
      <c r="BQ336" s="107"/>
      <c r="BR336" s="107"/>
      <c r="BS336" s="107"/>
      <c r="BT336" s="107"/>
      <c r="BU336" s="107"/>
      <c r="BV336" s="107"/>
      <c r="BW336" s="107"/>
      <c r="BX336" s="107"/>
      <c r="BY336" s="107"/>
      <c r="BZ336" s="107"/>
      <c r="CA336" s="107"/>
      <c r="CB336" s="107"/>
      <c r="CC336" s="107"/>
      <c r="CD336" s="107"/>
      <c r="CE336" s="107"/>
      <c r="CF336" s="107"/>
      <c r="CG336" s="107"/>
      <c r="CH336" s="107"/>
      <c r="CI336" s="107"/>
      <c r="CJ336" s="107"/>
      <c r="CK336" s="107"/>
      <c r="CL336" s="107"/>
      <c r="CM336" s="107"/>
      <c r="CN336" s="107"/>
      <c r="CO336" s="107"/>
      <c r="CP336" s="107"/>
      <c r="CQ336" s="107"/>
      <c r="CR336" s="107"/>
      <c r="CS336" s="107"/>
      <c r="CT336" s="107"/>
      <c r="CU336" s="107"/>
      <c r="CV336" s="107"/>
      <c r="CW336" s="107"/>
      <c r="CX336" s="107"/>
      <c r="CY336" s="107"/>
      <c r="CZ336" s="107"/>
      <c r="DA336" s="107"/>
      <c r="DB336" s="107"/>
      <c r="DC336" s="107"/>
      <c r="DD336" s="107"/>
      <c r="DE336" s="107"/>
      <c r="DF336" s="107"/>
      <c r="DG336" s="107"/>
      <c r="DH336" s="107"/>
      <c r="DI336" s="107"/>
      <c r="DJ336" s="107"/>
      <c r="DK336" s="107"/>
      <c r="DL336" s="107"/>
    </row>
    <row r="337" ht="20.25" customHeight="1">
      <c r="A337" s="44">
        <v>337.0</v>
      </c>
      <c r="B337" s="368" t="s">
        <v>114</v>
      </c>
      <c r="C337" s="368" t="s">
        <v>115</v>
      </c>
      <c r="D337" s="368" t="s">
        <v>199</v>
      </c>
      <c r="E337" s="689"/>
      <c r="F337" s="237" t="s">
        <v>1889</v>
      </c>
      <c r="G337" s="112" t="s">
        <v>1932</v>
      </c>
      <c r="H337" s="112" t="s">
        <v>202</v>
      </c>
      <c r="I337" s="113">
        <v>45639.0</v>
      </c>
      <c r="J337" s="691">
        <v>45670.0</v>
      </c>
      <c r="K337" s="112" t="s">
        <v>1933</v>
      </c>
      <c r="L337" s="114"/>
      <c r="M337" s="112" t="s">
        <v>1893</v>
      </c>
      <c r="N337" s="112" t="s">
        <v>1894</v>
      </c>
      <c r="O337" s="114"/>
      <c r="P337" s="121" t="s">
        <v>1895</v>
      </c>
      <c r="Q337" s="52" t="str">
        <f t="array" ref="Q337"> if(iserror(MATCH(V337, 'File Links'!C:C, 0)), "N/A", HYPERLINK(INDEX('File Links'!B:B, MATCH(P337, 'File Links'!C:C, 0))))</f>
        <v>https://drive.google.com/file/d/1h26KXyOgQpabChNDwArC5YlDBW4_cfve/view?usp=drivesdk</v>
      </c>
      <c r="R337" s="112" t="s">
        <v>1896</v>
      </c>
      <c r="S337" s="147" t="s">
        <v>1897</v>
      </c>
      <c r="T337" s="692" t="s">
        <v>1898</v>
      </c>
      <c r="U337" s="120"/>
      <c r="V337" s="112" t="str">
        <f t="shared" si="10"/>
        <v>kontkanen_jaakko_thesis_2024.pdf</v>
      </c>
      <c r="W337" s="112" t="s">
        <v>209</v>
      </c>
      <c r="X337" s="54" t="str">
        <f t="array" ref="X337"> if(iserror(MATCH(V337, 'File Links'!C:C, 0)), "N/A", HYPERLINK(INDEX('File Links'!B:B, MATCH(V337, 'File Links'!C:C, 0))))</f>
        <v>https://drive.google.com/file/d/1AUxxuZsTugos0bfw5gX9jMDqt7bWDrfc/view?usp=drivesdk</v>
      </c>
      <c r="Y337" s="114"/>
      <c r="Z337" s="112" t="s">
        <v>295</v>
      </c>
      <c r="AA337" s="112" t="s">
        <v>1899</v>
      </c>
      <c r="AB337" s="112" t="s">
        <v>1900</v>
      </c>
      <c r="AC337" s="112" t="s">
        <v>1901</v>
      </c>
      <c r="AD337" s="112" t="s">
        <v>1902</v>
      </c>
      <c r="AE337" s="117">
        <v>2.0</v>
      </c>
      <c r="AF337" s="117">
        <v>40.0</v>
      </c>
      <c r="AG337" s="116" t="s">
        <v>1934</v>
      </c>
      <c r="AH337" s="121" t="s">
        <v>134</v>
      </c>
      <c r="AI337" s="112" t="s">
        <v>1904</v>
      </c>
      <c r="AJ337" s="117">
        <v>0.02</v>
      </c>
      <c r="AK337" s="122" t="s">
        <v>135</v>
      </c>
      <c r="AL337" s="112" t="s">
        <v>186</v>
      </c>
      <c r="AM337" s="114" t="s">
        <v>1905</v>
      </c>
      <c r="AN337" s="219" t="s">
        <v>138</v>
      </c>
      <c r="AO337" s="117">
        <v>127.0</v>
      </c>
      <c r="AP337" s="147" t="s">
        <v>1935</v>
      </c>
      <c r="AQ337" s="112" t="s">
        <v>134</v>
      </c>
      <c r="AR337" s="112" t="s">
        <v>1907</v>
      </c>
      <c r="AS337" s="117">
        <v>0.222</v>
      </c>
      <c r="AT337" s="122" t="s">
        <v>172</v>
      </c>
      <c r="AU337" s="122" t="s">
        <v>186</v>
      </c>
      <c r="AV337" s="111" t="s">
        <v>1905</v>
      </c>
      <c r="AW337" s="111"/>
      <c r="AX337" s="111" t="s">
        <v>143</v>
      </c>
      <c r="AY337" s="61" t="str">
        <f>IFERROR(__xludf.DUMMYFUNCTION("vlookup(BB337,importrange(""https://docs.google.com/spreadsheets/d/1d2vevQ_7D_v35q4wCQ4RpQ_IPoTwEMB9Yp6ymwlPqew/edit?gid=984458430#gid=984458430"", ""'replication success'!A:K""), 11, FAlSE)"),"failed")</f>
        <v>failed</v>
      </c>
      <c r="AZ337" s="61" t="str">
        <f>IFERROR(__xludf.DUMMYFUNCTION("vlookup(BB337,importrange(""https://docs.google.com/spreadsheets/d/1d2vevQ_7D_v35q4wCQ4RpQ_IPoTwEMB9Yp6ymwlPqew/edit?gid=984458430#gid=984458430"",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7" s="61" t="str">
        <f>IFERROR(__xludf.DUMMYFUNCTION("vlookup(BB337,importrange(""https://docs.google.com/spreadsheets/d/1d2vevQ_7D_v35q4wCQ4RpQ_IPoTwEMB9Yp6ymwlPqew/edit?gid=984458430#gid=984458430"", ""'replication success'!A:M""), 13, FAlSE)"),"abstract")</f>
        <v>abstract</v>
      </c>
      <c r="BB337" s="61" t="str">
        <f>IFERROR(__xludf.DUMMYFUNCTION("REGEXREPLACE(G337, ""_[a-z]{1,2}$"", """")"),"additional_studies49")</f>
        <v>additional_studies49</v>
      </c>
      <c r="BC337" s="61"/>
      <c r="BD337" s="62" t="s">
        <v>144</v>
      </c>
      <c r="BG337" s="107"/>
      <c r="BH337" s="107"/>
      <c r="BI337" s="107"/>
      <c r="BJ337" s="107"/>
      <c r="BK337" s="107"/>
      <c r="BL337" s="107"/>
      <c r="BM337" s="107"/>
      <c r="BN337" s="107"/>
      <c r="BO337" s="107"/>
      <c r="BP337" s="107"/>
      <c r="BQ337" s="107"/>
      <c r="BR337" s="107"/>
      <c r="BS337" s="107"/>
      <c r="BT337" s="107"/>
      <c r="BU337" s="107"/>
      <c r="BV337" s="107"/>
      <c r="BW337" s="107"/>
      <c r="BX337" s="107"/>
      <c r="BY337" s="107"/>
      <c r="BZ337" s="107"/>
      <c r="CA337" s="107"/>
      <c r="CB337" s="107"/>
      <c r="CC337" s="107"/>
      <c r="CD337" s="107"/>
      <c r="CE337" s="107"/>
      <c r="CF337" s="107"/>
      <c r="CG337" s="107"/>
      <c r="CH337" s="107"/>
      <c r="CI337" s="107"/>
      <c r="CJ337" s="107"/>
      <c r="CK337" s="107"/>
      <c r="CL337" s="107"/>
      <c r="CM337" s="107"/>
      <c r="CN337" s="107"/>
      <c r="CO337" s="107"/>
      <c r="CP337" s="107"/>
      <c r="CQ337" s="107"/>
      <c r="CR337" s="107"/>
      <c r="CS337" s="107"/>
      <c r="CT337" s="107"/>
      <c r="CU337" s="107"/>
      <c r="CV337" s="107"/>
      <c r="CW337" s="107"/>
      <c r="CX337" s="107"/>
      <c r="CY337" s="107"/>
      <c r="CZ337" s="107"/>
      <c r="DA337" s="107"/>
      <c r="DB337" s="107"/>
      <c r="DC337" s="107"/>
      <c r="DD337" s="107"/>
      <c r="DE337" s="107"/>
      <c r="DF337" s="107"/>
      <c r="DG337" s="107"/>
      <c r="DH337" s="107"/>
      <c r="DI337" s="107"/>
      <c r="DJ337" s="107"/>
      <c r="DK337" s="107"/>
      <c r="DL337" s="107"/>
    </row>
    <row r="338" ht="20.25" customHeight="1">
      <c r="A338" s="44">
        <v>338.0</v>
      </c>
      <c r="B338" s="188" t="s">
        <v>152</v>
      </c>
      <c r="C338" s="188" t="s">
        <v>115</v>
      </c>
      <c r="D338" s="188" t="s">
        <v>286</v>
      </c>
      <c r="E338" s="189"/>
      <c r="F338" s="237" t="s">
        <v>1889</v>
      </c>
      <c r="G338" s="229" t="s">
        <v>1932</v>
      </c>
      <c r="H338" s="235" t="s">
        <v>289</v>
      </c>
      <c r="I338" s="230">
        <v>45636.0</v>
      </c>
      <c r="J338" s="693">
        <v>45670.0</v>
      </c>
      <c r="K338" s="235" t="s">
        <v>1908</v>
      </c>
      <c r="L338" s="237"/>
      <c r="M338" s="694" t="s">
        <v>1936</v>
      </c>
      <c r="N338" s="235" t="s">
        <v>1894</v>
      </c>
      <c r="O338" s="695">
        <v>1.0</v>
      </c>
      <c r="P338" s="235" t="s">
        <v>1895</v>
      </c>
      <c r="Q338" s="52" t="str">
        <f t="array" ref="Q338"> if(iserror(MATCH(V338, 'File Links'!C:C, 0)), "N/A", HYPERLINK(INDEX('File Links'!B:B, MATCH(P338, 'File Links'!C:C, 0))))</f>
        <v>https://drive.google.com/file/d/1h26KXyOgQpabChNDwArC5YlDBW4_cfve/view?usp=drivesdk</v>
      </c>
      <c r="R338" s="235" t="s">
        <v>1896</v>
      </c>
      <c r="S338" s="695" t="s">
        <v>1897</v>
      </c>
      <c r="T338" s="692" t="s">
        <v>1898</v>
      </c>
      <c r="U338" s="147">
        <v>1.0</v>
      </c>
      <c r="V338" s="112" t="str">
        <f t="shared" si="10"/>
        <v>kontkanen_jaakko_thesis_2024.pdf</v>
      </c>
      <c r="W338" s="112" t="s">
        <v>209</v>
      </c>
      <c r="X338" s="54" t="str">
        <f t="array" ref="X338"> if(iserror(MATCH(V338, 'File Links'!C:C, 0)), "N/A", HYPERLINK(INDEX('File Links'!B:B, MATCH(V338, 'File Links'!C:C, 0))))</f>
        <v>https://drive.google.com/file/d/1AUxxuZsTugos0bfw5gX9jMDqt7bWDrfc/view?usp=drivesdk</v>
      </c>
      <c r="Y338" s="237"/>
      <c r="Z338" s="235" t="s">
        <v>295</v>
      </c>
      <c r="AA338" s="235" t="s">
        <v>1937</v>
      </c>
      <c r="AB338" s="235" t="s">
        <v>1912</v>
      </c>
      <c r="AC338" s="235" t="s">
        <v>1938</v>
      </c>
      <c r="AD338" s="234" t="s">
        <v>1931</v>
      </c>
      <c r="AE338" s="696">
        <v>100.0</v>
      </c>
      <c r="AF338" s="696">
        <v>40.0</v>
      </c>
      <c r="AG338" s="116" t="s">
        <v>1934</v>
      </c>
      <c r="AH338" s="121" t="s">
        <v>134</v>
      </c>
      <c r="AI338" s="229" t="s">
        <v>1923</v>
      </c>
      <c r="AJ338" s="232">
        <v>0.02</v>
      </c>
      <c r="AK338" s="235" t="s">
        <v>135</v>
      </c>
      <c r="AL338" s="229" t="s">
        <v>186</v>
      </c>
      <c r="AM338" s="237" t="s">
        <v>137</v>
      </c>
      <c r="AN338" s="219" t="s">
        <v>138</v>
      </c>
      <c r="AO338" s="696">
        <v>40.0</v>
      </c>
      <c r="AP338" s="147" t="s">
        <v>1935</v>
      </c>
      <c r="AQ338" s="112" t="s">
        <v>134</v>
      </c>
      <c r="AR338" s="235" t="s">
        <v>171</v>
      </c>
      <c r="AS338" s="696">
        <v>0.22</v>
      </c>
      <c r="AT338" s="235" t="s">
        <v>172</v>
      </c>
      <c r="AU338" s="235" t="s">
        <v>186</v>
      </c>
      <c r="AV338" s="237" t="s">
        <v>137</v>
      </c>
      <c r="AW338" s="695" t="s">
        <v>138</v>
      </c>
      <c r="AX338" s="237" t="s">
        <v>143</v>
      </c>
      <c r="AY338" s="61" t="str">
        <f>IFERROR(__xludf.DUMMYFUNCTION("vlookup(BB338,importrange(""https://docs.google.com/spreadsheets/d/1d2vevQ_7D_v35q4wCQ4RpQ_IPoTwEMB9Yp6ymwlPqew/edit?gid=984458430#gid=984458430"", ""'replication success'!A:K""), 11, FAlSE)"),"failed")</f>
        <v>failed</v>
      </c>
      <c r="AZ338" s="61" t="str">
        <f>IFERROR(__xludf.DUMMYFUNCTION("vlookup(BB338,importrange(""https://docs.google.com/spreadsheets/d/1d2vevQ_7D_v35q4wCQ4RpQ_IPoTwEMB9Yp6ymwlPqew/edit?gid=984458430#gid=984458430"",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8" s="61" t="str">
        <f>IFERROR(__xludf.DUMMYFUNCTION("vlookup(BB338,importrange(""https://docs.google.com/spreadsheets/d/1d2vevQ_7D_v35q4wCQ4RpQ_IPoTwEMB9Yp6ymwlPqew/edit?gid=984458430#gid=984458430"", ""'replication success'!A:M""), 13, FAlSE)"),"abstract")</f>
        <v>abstract</v>
      </c>
      <c r="BB338" s="61" t="str">
        <f>IFERROR(__xludf.DUMMYFUNCTION("REGEXREPLACE(G338, ""_[a-z]{1,2}$"", """")"),"additional_studies49")</f>
        <v>additional_studies49</v>
      </c>
      <c r="BC338" s="68"/>
      <c r="BD338" s="62" t="s">
        <v>144</v>
      </c>
      <c r="BG338" s="107"/>
      <c r="BH338" s="107"/>
      <c r="BI338" s="107"/>
      <c r="BJ338" s="107"/>
      <c r="BK338" s="107"/>
      <c r="BL338" s="107"/>
      <c r="BM338" s="107"/>
      <c r="BN338" s="107"/>
      <c r="BO338" s="107"/>
      <c r="BP338" s="107"/>
      <c r="BQ338" s="107"/>
      <c r="BR338" s="107"/>
      <c r="BS338" s="107"/>
      <c r="BT338" s="107"/>
      <c r="BU338" s="107"/>
      <c r="BV338" s="107"/>
      <c r="BW338" s="107"/>
      <c r="BX338" s="107"/>
      <c r="BY338" s="107"/>
      <c r="BZ338" s="107"/>
      <c r="CA338" s="107"/>
      <c r="CB338" s="107"/>
      <c r="CC338" s="107"/>
      <c r="CD338" s="107"/>
      <c r="CE338" s="107"/>
      <c r="CF338" s="107"/>
      <c r="CG338" s="107"/>
      <c r="CH338" s="107"/>
      <c r="CI338" s="107"/>
      <c r="CJ338" s="107"/>
      <c r="CK338" s="107"/>
      <c r="CL338" s="107"/>
      <c r="CM338" s="107"/>
      <c r="CN338" s="107"/>
      <c r="CO338" s="107"/>
      <c r="CP338" s="107"/>
      <c r="CQ338" s="107"/>
      <c r="CR338" s="107"/>
      <c r="CS338" s="107"/>
      <c r="CT338" s="107"/>
      <c r="CU338" s="107"/>
      <c r="CV338" s="107"/>
      <c r="CW338" s="107"/>
      <c r="CX338" s="107"/>
      <c r="CY338" s="107"/>
      <c r="CZ338" s="107"/>
      <c r="DA338" s="107"/>
      <c r="DB338" s="107"/>
      <c r="DC338" s="107"/>
      <c r="DD338" s="107"/>
      <c r="DE338" s="107"/>
      <c r="DF338" s="107"/>
      <c r="DG338" s="107"/>
      <c r="DH338" s="107"/>
      <c r="DI338" s="107"/>
      <c r="DJ338" s="107"/>
      <c r="DK338" s="107"/>
      <c r="DL338" s="107"/>
    </row>
    <row r="339" ht="20.25" customHeight="1">
      <c r="A339" s="44">
        <v>339.0</v>
      </c>
      <c r="B339" s="368" t="s">
        <v>114</v>
      </c>
      <c r="C339" s="368" t="s">
        <v>115</v>
      </c>
      <c r="D339" s="368" t="s">
        <v>199</v>
      </c>
      <c r="E339" s="689"/>
      <c r="F339" s="237" t="s">
        <v>1889</v>
      </c>
      <c r="G339" s="112" t="s">
        <v>1939</v>
      </c>
      <c r="H339" s="112" t="s">
        <v>202</v>
      </c>
      <c r="I339" s="113">
        <v>45639.0</v>
      </c>
      <c r="J339" s="691">
        <v>45670.0</v>
      </c>
      <c r="K339" s="112" t="s">
        <v>1940</v>
      </c>
      <c r="L339" s="114"/>
      <c r="M339" s="112" t="s">
        <v>1893</v>
      </c>
      <c r="N339" s="112" t="s">
        <v>1894</v>
      </c>
      <c r="O339" s="114"/>
      <c r="P339" s="121" t="s">
        <v>1895</v>
      </c>
      <c r="Q339" s="52" t="str">
        <f t="array" ref="Q339"> if(iserror(MATCH(V339, 'File Links'!C:C, 0)), "N/A", HYPERLINK(INDEX('File Links'!B:B, MATCH(P339, 'File Links'!C:C, 0))))</f>
        <v>https://drive.google.com/file/d/1h26KXyOgQpabChNDwArC5YlDBW4_cfve/view?usp=drivesdk</v>
      </c>
      <c r="R339" s="112" t="s">
        <v>1896</v>
      </c>
      <c r="S339" s="147" t="s">
        <v>1897</v>
      </c>
      <c r="T339" s="692" t="s">
        <v>1898</v>
      </c>
      <c r="U339" s="120"/>
      <c r="V339" s="112" t="str">
        <f t="shared" si="10"/>
        <v>kontkanen_jaakko_thesis_2024.pdf</v>
      </c>
      <c r="W339" s="112" t="s">
        <v>209</v>
      </c>
      <c r="X339" s="54" t="str">
        <f t="array" ref="X339"> if(iserror(MATCH(V339, 'File Links'!C:C, 0)), "N/A", HYPERLINK(INDEX('File Links'!B:B, MATCH(V339, 'File Links'!C:C, 0))))</f>
        <v>https://drive.google.com/file/d/1AUxxuZsTugos0bfw5gX9jMDqt7bWDrfc/view?usp=drivesdk</v>
      </c>
      <c r="Y339" s="114"/>
      <c r="Z339" s="112" t="s">
        <v>295</v>
      </c>
      <c r="AA339" s="112" t="s">
        <v>1899</v>
      </c>
      <c r="AB339" s="112" t="s">
        <v>1900</v>
      </c>
      <c r="AC339" s="112" t="s">
        <v>1901</v>
      </c>
      <c r="AD339" s="112" t="s">
        <v>1902</v>
      </c>
      <c r="AE339" s="117">
        <v>2.0</v>
      </c>
      <c r="AF339" s="117">
        <v>40.0</v>
      </c>
      <c r="AG339" s="116" t="s">
        <v>1941</v>
      </c>
      <c r="AH339" s="121" t="s">
        <v>134</v>
      </c>
      <c r="AI339" s="112" t="s">
        <v>1904</v>
      </c>
      <c r="AJ339" s="117">
        <v>0.02</v>
      </c>
      <c r="AK339" s="122" t="s">
        <v>135</v>
      </c>
      <c r="AL339" s="112" t="s">
        <v>186</v>
      </c>
      <c r="AM339" s="114" t="s">
        <v>1905</v>
      </c>
      <c r="AN339" s="219" t="s">
        <v>138</v>
      </c>
      <c r="AO339" s="117">
        <v>127.0</v>
      </c>
      <c r="AP339" s="147" t="s">
        <v>1942</v>
      </c>
      <c r="AQ339" s="112" t="s">
        <v>134</v>
      </c>
      <c r="AR339" s="112" t="s">
        <v>1907</v>
      </c>
      <c r="AS339" s="117">
        <v>1.0E-4</v>
      </c>
      <c r="AT339" s="122" t="s">
        <v>172</v>
      </c>
      <c r="AU339" s="122" t="s">
        <v>186</v>
      </c>
      <c r="AV339" s="111" t="s">
        <v>1905</v>
      </c>
      <c r="AW339" s="111"/>
      <c r="AX339" s="111" t="s">
        <v>143</v>
      </c>
      <c r="AY339" s="61" t="str">
        <f>IFERROR(__xludf.DUMMYFUNCTION("vlookup(BB339,importrange(""https://docs.google.com/spreadsheets/d/1d2vevQ_7D_v35q4wCQ4RpQ_IPoTwEMB9Yp6ymwlPqew/edit?gid=984458430#gid=984458430"", ""'replication success'!A:K""), 11, FAlSE)"),"failed")</f>
        <v>failed</v>
      </c>
      <c r="AZ339" s="61" t="str">
        <f>IFERROR(__xludf.DUMMYFUNCTION("vlookup(BB339,importrange(""https://docs.google.com/spreadsheets/d/1d2vevQ_7D_v35q4wCQ4RpQ_IPoTwEMB9Yp6ymwlPqew/edit?gid=984458430#gid=984458430"",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39" s="61" t="str">
        <f>IFERROR(__xludf.DUMMYFUNCTION("vlookup(BB339,importrange(""https://docs.google.com/spreadsheets/d/1d2vevQ_7D_v35q4wCQ4RpQ_IPoTwEMB9Yp6ymwlPqew/edit?gid=984458430#gid=984458430"", ""'replication success'!A:M""), 13, FAlSE)"),"abstract")</f>
        <v>abstract</v>
      </c>
      <c r="BB339" s="61" t="str">
        <f>IFERROR(__xludf.DUMMYFUNCTION("REGEXREPLACE(G339, ""_[a-z]{1,2}$"", """")"),"additional_studies49")</f>
        <v>additional_studies49</v>
      </c>
      <c r="BC339" s="61"/>
      <c r="BD339" s="62" t="s">
        <v>144</v>
      </c>
      <c r="BG339" s="107"/>
      <c r="BH339" s="107"/>
      <c r="BI339" s="107"/>
      <c r="BJ339" s="107"/>
      <c r="BK339" s="107"/>
      <c r="BL339" s="107"/>
      <c r="BM339" s="107"/>
      <c r="BN339" s="107"/>
      <c r="BO339" s="107"/>
      <c r="BP339" s="107"/>
      <c r="BQ339" s="107"/>
      <c r="BR339" s="107"/>
      <c r="BS339" s="107"/>
      <c r="BT339" s="107"/>
      <c r="BU339" s="107"/>
      <c r="BV339" s="107"/>
      <c r="BW339" s="107"/>
      <c r="BX339" s="107"/>
      <c r="BY339" s="107"/>
      <c r="BZ339" s="107"/>
      <c r="CA339" s="107"/>
      <c r="CB339" s="107"/>
      <c r="CC339" s="107"/>
      <c r="CD339" s="107"/>
      <c r="CE339" s="107"/>
      <c r="CF339" s="107"/>
      <c r="CG339" s="107"/>
      <c r="CH339" s="107"/>
      <c r="CI339" s="107"/>
      <c r="CJ339" s="107"/>
      <c r="CK339" s="107"/>
      <c r="CL339" s="107"/>
      <c r="CM339" s="107"/>
      <c r="CN339" s="107"/>
      <c r="CO339" s="107"/>
      <c r="CP339" s="107"/>
      <c r="CQ339" s="107"/>
      <c r="CR339" s="107"/>
      <c r="CS339" s="107"/>
      <c r="CT339" s="107"/>
      <c r="CU339" s="107"/>
      <c r="CV339" s="107"/>
      <c r="CW339" s="107"/>
      <c r="CX339" s="107"/>
      <c r="CY339" s="107"/>
      <c r="CZ339" s="107"/>
      <c r="DA339" s="107"/>
      <c r="DB339" s="107"/>
      <c r="DC339" s="107"/>
      <c r="DD339" s="107"/>
      <c r="DE339" s="107"/>
      <c r="DF339" s="107"/>
      <c r="DG339" s="107"/>
      <c r="DH339" s="107"/>
      <c r="DI339" s="107"/>
      <c r="DJ339" s="107"/>
      <c r="DK339" s="107"/>
      <c r="DL339" s="107"/>
    </row>
    <row r="340" ht="20.25" customHeight="1">
      <c r="A340" s="44">
        <v>340.0</v>
      </c>
      <c r="B340" s="188" t="s">
        <v>152</v>
      </c>
      <c r="C340" s="188" t="s">
        <v>115</v>
      </c>
      <c r="D340" s="188" t="s">
        <v>286</v>
      </c>
      <c r="E340" s="189"/>
      <c r="F340" s="237" t="s">
        <v>1889</v>
      </c>
      <c r="G340" s="229" t="s">
        <v>1939</v>
      </c>
      <c r="H340" s="235" t="s">
        <v>289</v>
      </c>
      <c r="I340" s="230">
        <v>45637.0</v>
      </c>
      <c r="J340" s="693">
        <v>45670.0</v>
      </c>
      <c r="K340" s="235" t="s">
        <v>1908</v>
      </c>
      <c r="L340" s="237"/>
      <c r="M340" s="694" t="s">
        <v>1943</v>
      </c>
      <c r="N340" s="235" t="s">
        <v>1894</v>
      </c>
      <c r="O340" s="695">
        <v>1.0</v>
      </c>
      <c r="P340" s="235" t="s">
        <v>1895</v>
      </c>
      <c r="Q340" s="52" t="str">
        <f t="array" ref="Q340"> if(iserror(MATCH(V340, 'File Links'!C:C, 0)), "N/A", HYPERLINK(INDEX('File Links'!B:B, MATCH(P340, 'File Links'!C:C, 0))))</f>
        <v>https://drive.google.com/file/d/1h26KXyOgQpabChNDwArC5YlDBW4_cfve/view?usp=drivesdk</v>
      </c>
      <c r="R340" s="235" t="s">
        <v>1896</v>
      </c>
      <c r="S340" s="695" t="s">
        <v>1897</v>
      </c>
      <c r="T340" s="692" t="s">
        <v>1898</v>
      </c>
      <c r="U340" s="147">
        <v>1.0</v>
      </c>
      <c r="V340" s="112" t="str">
        <f t="shared" si="10"/>
        <v>kontkanen_jaakko_thesis_2024.pdf</v>
      </c>
      <c r="W340" s="112" t="s">
        <v>209</v>
      </c>
      <c r="X340" s="54" t="str">
        <f t="array" ref="X340"> if(iserror(MATCH(V340, 'File Links'!C:C, 0)), "N/A", HYPERLINK(INDEX('File Links'!B:B, MATCH(V340, 'File Links'!C:C, 0))))</f>
        <v>https://drive.google.com/file/d/1AUxxuZsTugos0bfw5gX9jMDqt7bWDrfc/view?usp=drivesdk</v>
      </c>
      <c r="Y340" s="237"/>
      <c r="Z340" s="235" t="s">
        <v>295</v>
      </c>
      <c r="AA340" s="235" t="s">
        <v>1944</v>
      </c>
      <c r="AB340" s="235" t="s">
        <v>1912</v>
      </c>
      <c r="AC340" s="235" t="s">
        <v>1945</v>
      </c>
      <c r="AD340" s="234" t="s">
        <v>1931</v>
      </c>
      <c r="AE340" s="696">
        <v>100.0</v>
      </c>
      <c r="AF340" s="696">
        <v>40.0</v>
      </c>
      <c r="AG340" s="116" t="s">
        <v>1941</v>
      </c>
      <c r="AH340" s="121" t="s">
        <v>134</v>
      </c>
      <c r="AI340" s="229" t="s">
        <v>1923</v>
      </c>
      <c r="AJ340" s="232">
        <v>0.02</v>
      </c>
      <c r="AK340" s="235" t="s">
        <v>135</v>
      </c>
      <c r="AL340" s="229" t="s">
        <v>186</v>
      </c>
      <c r="AM340" s="237" t="s">
        <v>137</v>
      </c>
      <c r="AN340" s="219" t="s">
        <v>138</v>
      </c>
      <c r="AO340" s="696">
        <v>40.0</v>
      </c>
      <c r="AP340" s="147" t="s">
        <v>1942</v>
      </c>
      <c r="AQ340" s="112" t="s">
        <v>134</v>
      </c>
      <c r="AR340" s="235" t="s">
        <v>171</v>
      </c>
      <c r="AS340" s="696">
        <v>1.0E-4</v>
      </c>
      <c r="AT340" s="235" t="s">
        <v>172</v>
      </c>
      <c r="AU340" s="235" t="s">
        <v>186</v>
      </c>
      <c r="AV340" s="237" t="s">
        <v>137</v>
      </c>
      <c r="AW340" s="695" t="s">
        <v>138</v>
      </c>
      <c r="AX340" s="237" t="s">
        <v>143</v>
      </c>
      <c r="AY340" s="61" t="str">
        <f>IFERROR(__xludf.DUMMYFUNCTION("vlookup(BB340,importrange(""https://docs.google.com/spreadsheets/d/1d2vevQ_7D_v35q4wCQ4RpQ_IPoTwEMB9Yp6ymwlPqew/edit?gid=984458430#gid=984458430"", ""'replication success'!A:K""), 11, FAlSE)"),"failed")</f>
        <v>failed</v>
      </c>
      <c r="AZ340" s="61" t="str">
        <f>IFERROR(__xludf.DUMMYFUNCTION("vlookup(BB340,importrange(""https://docs.google.com/spreadsheets/d/1d2vevQ_7D_v35q4wCQ4RpQ_IPoTwEMB9Yp6ymwlPqew/edit?gid=984458430#gid=984458430"",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0" s="61" t="str">
        <f>IFERROR(__xludf.DUMMYFUNCTION("vlookup(BB340,importrange(""https://docs.google.com/spreadsheets/d/1d2vevQ_7D_v35q4wCQ4RpQ_IPoTwEMB9Yp6ymwlPqew/edit?gid=984458430#gid=984458430"", ""'replication success'!A:M""), 13, FAlSE)"),"abstract")</f>
        <v>abstract</v>
      </c>
      <c r="BB340" s="61" t="str">
        <f>IFERROR(__xludf.DUMMYFUNCTION("REGEXREPLACE(G340, ""_[a-z]{1,2}$"", """")"),"additional_studies49")</f>
        <v>additional_studies49</v>
      </c>
      <c r="BC340" s="68"/>
      <c r="BD340" s="62" t="s">
        <v>144</v>
      </c>
      <c r="BG340" s="107"/>
      <c r="BH340" s="107"/>
      <c r="BI340" s="107"/>
      <c r="BJ340" s="107"/>
      <c r="BK340" s="107"/>
      <c r="BL340" s="107"/>
      <c r="BM340" s="107"/>
      <c r="BN340" s="107"/>
      <c r="BO340" s="107"/>
      <c r="BP340" s="107"/>
      <c r="BQ340" s="107"/>
      <c r="BR340" s="107"/>
      <c r="BS340" s="107"/>
      <c r="BT340" s="107"/>
      <c r="BU340" s="107"/>
      <c r="BV340" s="107"/>
      <c r="BW340" s="107"/>
      <c r="BX340" s="107"/>
      <c r="BY340" s="107"/>
      <c r="BZ340" s="107"/>
      <c r="CA340" s="107"/>
      <c r="CB340" s="107"/>
      <c r="CC340" s="107"/>
      <c r="CD340" s="107"/>
      <c r="CE340" s="107"/>
      <c r="CF340" s="107"/>
      <c r="CG340" s="107"/>
      <c r="CH340" s="107"/>
      <c r="CI340" s="107"/>
      <c r="CJ340" s="107"/>
      <c r="CK340" s="107"/>
      <c r="CL340" s="107"/>
      <c r="CM340" s="107"/>
      <c r="CN340" s="107"/>
      <c r="CO340" s="107"/>
      <c r="CP340" s="107"/>
      <c r="CQ340" s="107"/>
      <c r="CR340" s="107"/>
      <c r="CS340" s="107"/>
      <c r="CT340" s="107"/>
      <c r="CU340" s="107"/>
      <c r="CV340" s="107"/>
      <c r="CW340" s="107"/>
      <c r="CX340" s="107"/>
      <c r="CY340" s="107"/>
      <c r="CZ340" s="107"/>
      <c r="DA340" s="107"/>
      <c r="DB340" s="107"/>
      <c r="DC340" s="107"/>
      <c r="DD340" s="107"/>
      <c r="DE340" s="107"/>
      <c r="DF340" s="107"/>
      <c r="DG340" s="107"/>
      <c r="DH340" s="107"/>
      <c r="DI340" s="107"/>
      <c r="DJ340" s="107"/>
      <c r="DK340" s="107"/>
      <c r="DL340" s="107"/>
    </row>
    <row r="341" ht="20.25" customHeight="1">
      <c r="A341" s="44">
        <v>341.0</v>
      </c>
      <c r="B341" s="368" t="s">
        <v>114</v>
      </c>
      <c r="C341" s="368" t="s">
        <v>115</v>
      </c>
      <c r="D341" s="368" t="s">
        <v>199</v>
      </c>
      <c r="E341" s="689"/>
      <c r="F341" s="237" t="s">
        <v>1889</v>
      </c>
      <c r="G341" s="112" t="s">
        <v>1946</v>
      </c>
      <c r="H341" s="112" t="s">
        <v>202</v>
      </c>
      <c r="I341" s="113">
        <v>45639.0</v>
      </c>
      <c r="J341" s="691">
        <v>45670.0</v>
      </c>
      <c r="K341" s="112" t="s">
        <v>1947</v>
      </c>
      <c r="L341" s="114"/>
      <c r="M341" s="112" t="s">
        <v>1893</v>
      </c>
      <c r="N341" s="112" t="s">
        <v>1894</v>
      </c>
      <c r="O341" s="114"/>
      <c r="P341" s="121" t="s">
        <v>1895</v>
      </c>
      <c r="Q341" s="52" t="str">
        <f t="array" ref="Q341"> if(iserror(MATCH(V341, 'File Links'!C:C, 0)), "N/A", HYPERLINK(INDEX('File Links'!B:B, MATCH(P341, 'File Links'!C:C, 0))))</f>
        <v>https://drive.google.com/file/d/1h26KXyOgQpabChNDwArC5YlDBW4_cfve/view?usp=drivesdk</v>
      </c>
      <c r="R341" s="112" t="s">
        <v>1896</v>
      </c>
      <c r="S341" s="147" t="s">
        <v>1897</v>
      </c>
      <c r="T341" s="692" t="s">
        <v>1898</v>
      </c>
      <c r="U341" s="120"/>
      <c r="V341" s="112" t="str">
        <f t="shared" si="10"/>
        <v>kontkanen_jaakko_thesis_2024.pdf</v>
      </c>
      <c r="W341" s="112" t="s">
        <v>209</v>
      </c>
      <c r="X341" s="54" t="str">
        <f t="array" ref="X341"> if(iserror(MATCH(V341, 'File Links'!C:C, 0)), "N/A", HYPERLINK(INDEX('File Links'!B:B, MATCH(V341, 'File Links'!C:C, 0))))</f>
        <v>https://drive.google.com/file/d/1AUxxuZsTugos0bfw5gX9jMDqt7bWDrfc/view?usp=drivesdk</v>
      </c>
      <c r="Y341" s="114"/>
      <c r="Z341" s="112" t="s">
        <v>295</v>
      </c>
      <c r="AA341" s="112" t="s">
        <v>1899</v>
      </c>
      <c r="AB341" s="112" t="s">
        <v>1900</v>
      </c>
      <c r="AC341" s="112" t="s">
        <v>1901</v>
      </c>
      <c r="AD341" s="112" t="s">
        <v>1902</v>
      </c>
      <c r="AE341" s="117">
        <v>2.0</v>
      </c>
      <c r="AF341" s="117">
        <v>40.0</v>
      </c>
      <c r="AG341" s="116" t="s">
        <v>1948</v>
      </c>
      <c r="AH341" s="121" t="s">
        <v>134</v>
      </c>
      <c r="AI341" s="112" t="s">
        <v>1904</v>
      </c>
      <c r="AJ341" s="117">
        <v>0.02</v>
      </c>
      <c r="AK341" s="122" t="s">
        <v>135</v>
      </c>
      <c r="AL341" s="112" t="s">
        <v>186</v>
      </c>
      <c r="AM341" s="114" t="s">
        <v>1905</v>
      </c>
      <c r="AN341" s="219" t="s">
        <v>138</v>
      </c>
      <c r="AO341" s="117">
        <v>127.0</v>
      </c>
      <c r="AP341" s="147" t="s">
        <v>1949</v>
      </c>
      <c r="AQ341" s="112" t="s">
        <v>134</v>
      </c>
      <c r="AR341" s="112" t="s">
        <v>1907</v>
      </c>
      <c r="AS341" s="117">
        <v>0.528</v>
      </c>
      <c r="AT341" s="122" t="s">
        <v>172</v>
      </c>
      <c r="AU341" s="122" t="s">
        <v>186</v>
      </c>
      <c r="AV341" s="111" t="s">
        <v>1905</v>
      </c>
      <c r="AW341" s="111"/>
      <c r="AX341" s="111" t="s">
        <v>143</v>
      </c>
      <c r="AY341" s="61" t="str">
        <f>IFERROR(__xludf.DUMMYFUNCTION("vlookup(BB341,importrange(""https://docs.google.com/spreadsheets/d/1d2vevQ_7D_v35q4wCQ4RpQ_IPoTwEMB9Yp6ymwlPqew/edit?gid=984458430#gid=984458430"", ""'replication success'!A:K""), 11, FAlSE)"),"failed")</f>
        <v>failed</v>
      </c>
      <c r="AZ341" s="61" t="str">
        <f>IFERROR(__xludf.DUMMYFUNCTION("vlookup(BB341,importrange(""https://docs.google.com/spreadsheets/d/1d2vevQ_7D_v35q4wCQ4RpQ_IPoTwEMB9Yp6ymwlPqew/edit?gid=984458430#gid=984458430"",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1" s="61" t="str">
        <f>IFERROR(__xludf.DUMMYFUNCTION("vlookup(BB341,importrange(""https://docs.google.com/spreadsheets/d/1d2vevQ_7D_v35q4wCQ4RpQ_IPoTwEMB9Yp6ymwlPqew/edit?gid=984458430#gid=984458430"", ""'replication success'!A:M""), 13, FAlSE)"),"abstract")</f>
        <v>abstract</v>
      </c>
      <c r="BB341" s="61" t="str">
        <f>IFERROR(__xludf.DUMMYFUNCTION("REGEXREPLACE(G341, ""_[a-z]{1,2}$"", """")"),"additional_studies49")</f>
        <v>additional_studies49</v>
      </c>
      <c r="BC341" s="61"/>
      <c r="BD341" s="62" t="s">
        <v>144</v>
      </c>
      <c r="BG341" s="697"/>
      <c r="BH341" s="697"/>
      <c r="BI341" s="697"/>
      <c r="BJ341" s="697"/>
      <c r="BK341" s="697"/>
      <c r="BL341" s="697"/>
      <c r="BM341" s="697"/>
      <c r="BN341" s="697"/>
      <c r="BO341" s="697"/>
      <c r="BP341" s="697"/>
      <c r="BQ341" s="697"/>
      <c r="BR341" s="697"/>
      <c r="BS341" s="697"/>
      <c r="BT341" s="697"/>
      <c r="BU341" s="697"/>
      <c r="BV341" s="697"/>
      <c r="BW341" s="697"/>
      <c r="BX341" s="697"/>
      <c r="BY341" s="697"/>
      <c r="BZ341" s="697"/>
      <c r="CA341" s="697"/>
      <c r="CB341" s="697"/>
      <c r="CC341" s="697"/>
      <c r="CD341" s="697"/>
      <c r="CE341" s="697"/>
      <c r="CF341" s="697"/>
      <c r="CG341" s="697"/>
      <c r="CH341" s="697"/>
      <c r="CI341" s="697"/>
      <c r="CJ341" s="697"/>
      <c r="CK341" s="697"/>
      <c r="CL341" s="697"/>
      <c r="CM341" s="697"/>
      <c r="CN341" s="697"/>
      <c r="CO341" s="697"/>
      <c r="CP341" s="697"/>
      <c r="CQ341" s="697"/>
      <c r="CR341" s="697"/>
      <c r="CS341" s="697"/>
      <c r="CT341" s="697"/>
      <c r="CU341" s="697"/>
      <c r="CV341" s="697"/>
      <c r="CW341" s="697"/>
      <c r="CX341" s="697"/>
      <c r="CY341" s="697"/>
      <c r="CZ341" s="697"/>
      <c r="DA341" s="697"/>
      <c r="DB341" s="697"/>
      <c r="DC341" s="697"/>
      <c r="DD341" s="697"/>
      <c r="DE341" s="697"/>
      <c r="DF341" s="697"/>
      <c r="DG341" s="697"/>
      <c r="DH341" s="697"/>
      <c r="DI341" s="697"/>
      <c r="DJ341" s="697"/>
      <c r="DK341" s="697"/>
      <c r="DL341" s="697"/>
    </row>
    <row r="342" ht="20.25" customHeight="1">
      <c r="A342" s="44">
        <v>342.0</v>
      </c>
      <c r="B342" s="188" t="s">
        <v>152</v>
      </c>
      <c r="C342" s="188" t="s">
        <v>115</v>
      </c>
      <c r="D342" s="188" t="s">
        <v>286</v>
      </c>
      <c r="E342" s="189"/>
      <c r="F342" s="237" t="s">
        <v>1889</v>
      </c>
      <c r="G342" s="229" t="s">
        <v>1946</v>
      </c>
      <c r="H342" s="235" t="s">
        <v>289</v>
      </c>
      <c r="I342" s="230">
        <v>45638.0</v>
      </c>
      <c r="J342" s="693">
        <v>45670.0</v>
      </c>
      <c r="K342" s="235" t="s">
        <v>1908</v>
      </c>
      <c r="L342" s="237"/>
      <c r="M342" s="694" t="s">
        <v>1950</v>
      </c>
      <c r="N342" s="235" t="s">
        <v>1894</v>
      </c>
      <c r="O342" s="695">
        <v>1.0</v>
      </c>
      <c r="P342" s="235" t="s">
        <v>1895</v>
      </c>
      <c r="Q342" s="52" t="str">
        <f t="array" ref="Q342"> if(iserror(MATCH(V342, 'File Links'!C:C, 0)), "N/A", HYPERLINK(INDEX('File Links'!B:B, MATCH(P342, 'File Links'!C:C, 0))))</f>
        <v>https://drive.google.com/file/d/1h26KXyOgQpabChNDwArC5YlDBW4_cfve/view?usp=drivesdk</v>
      </c>
      <c r="R342" s="235" t="s">
        <v>1896</v>
      </c>
      <c r="S342" s="147" t="s">
        <v>1897</v>
      </c>
      <c r="T342" s="692" t="s">
        <v>1898</v>
      </c>
      <c r="U342" s="147">
        <v>1.0</v>
      </c>
      <c r="V342" s="112" t="str">
        <f t="shared" si="10"/>
        <v>kontkanen_jaakko_thesis_2024.pdf</v>
      </c>
      <c r="W342" s="112" t="s">
        <v>209</v>
      </c>
      <c r="X342" s="54" t="str">
        <f t="array" ref="X342"> if(iserror(MATCH(V342, 'File Links'!C:C, 0)), "N/A", HYPERLINK(INDEX('File Links'!B:B, MATCH(V342, 'File Links'!C:C, 0))))</f>
        <v>https://drive.google.com/file/d/1AUxxuZsTugos0bfw5gX9jMDqt7bWDrfc/view?usp=drivesdk</v>
      </c>
      <c r="Y342" s="237"/>
      <c r="Z342" s="235" t="s">
        <v>295</v>
      </c>
      <c r="AA342" s="235" t="s">
        <v>1951</v>
      </c>
      <c r="AB342" s="235" t="s">
        <v>1912</v>
      </c>
      <c r="AC342" s="235" t="s">
        <v>1952</v>
      </c>
      <c r="AD342" s="234" t="s">
        <v>1931</v>
      </c>
      <c r="AE342" s="696">
        <v>100.0</v>
      </c>
      <c r="AF342" s="696">
        <v>40.0</v>
      </c>
      <c r="AG342" s="116" t="s">
        <v>1948</v>
      </c>
      <c r="AH342" s="121" t="s">
        <v>134</v>
      </c>
      <c r="AI342" s="229" t="s">
        <v>1953</v>
      </c>
      <c r="AJ342" s="232">
        <v>0.02</v>
      </c>
      <c r="AK342" s="235" t="s">
        <v>135</v>
      </c>
      <c r="AL342" s="229" t="s">
        <v>186</v>
      </c>
      <c r="AM342" s="237" t="s">
        <v>137</v>
      </c>
      <c r="AN342" s="219" t="s">
        <v>138</v>
      </c>
      <c r="AO342" s="696">
        <v>40.0</v>
      </c>
      <c r="AP342" s="147" t="s">
        <v>1949</v>
      </c>
      <c r="AQ342" s="112" t="s">
        <v>134</v>
      </c>
      <c r="AR342" s="235" t="s">
        <v>171</v>
      </c>
      <c r="AS342" s="696">
        <v>0.528</v>
      </c>
      <c r="AT342" s="235" t="s">
        <v>172</v>
      </c>
      <c r="AU342" s="235" t="s">
        <v>186</v>
      </c>
      <c r="AV342" s="237" t="s">
        <v>137</v>
      </c>
      <c r="AW342" s="695" t="s">
        <v>138</v>
      </c>
      <c r="AX342" s="237" t="s">
        <v>143</v>
      </c>
      <c r="AY342" s="61" t="str">
        <f>IFERROR(__xludf.DUMMYFUNCTION("vlookup(BB342,importrange(""https://docs.google.com/spreadsheets/d/1d2vevQ_7D_v35q4wCQ4RpQ_IPoTwEMB9Yp6ymwlPqew/edit?gid=984458430#gid=984458430"", ""'replication success'!A:K""), 11, FAlSE)"),"failed")</f>
        <v>failed</v>
      </c>
      <c r="AZ342" s="61" t="str">
        <f>IFERROR(__xludf.DUMMYFUNCTION("vlookup(BB342,importrange(""https://docs.google.com/spreadsheets/d/1d2vevQ_7D_v35q4wCQ4RpQ_IPoTwEMB9Yp6ymwlPqew/edit?gid=984458430#gid=984458430"",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2" s="61" t="str">
        <f>IFERROR(__xludf.DUMMYFUNCTION("vlookup(BB342,importrange(""https://docs.google.com/spreadsheets/d/1d2vevQ_7D_v35q4wCQ4RpQ_IPoTwEMB9Yp6ymwlPqew/edit?gid=984458430#gid=984458430"", ""'replication success'!A:M""), 13, FAlSE)"),"abstract")</f>
        <v>abstract</v>
      </c>
      <c r="BB342" s="61" t="str">
        <f>IFERROR(__xludf.DUMMYFUNCTION("REGEXREPLACE(G342, ""_[a-z]{1,2}$"", """")"),"additional_studies49")</f>
        <v>additional_studies49</v>
      </c>
      <c r="BC342" s="68"/>
      <c r="BD342" s="62" t="s">
        <v>144</v>
      </c>
      <c r="BG342" s="697"/>
      <c r="BH342" s="697"/>
      <c r="BI342" s="697"/>
      <c r="BJ342" s="697"/>
      <c r="BK342" s="697"/>
      <c r="BL342" s="697"/>
      <c r="BM342" s="697"/>
      <c r="BN342" s="697"/>
      <c r="BO342" s="697"/>
      <c r="BP342" s="697"/>
      <c r="BQ342" s="697"/>
      <c r="BR342" s="697"/>
      <c r="BS342" s="697"/>
      <c r="BT342" s="697"/>
      <c r="BU342" s="697"/>
      <c r="BV342" s="697"/>
      <c r="BW342" s="697"/>
      <c r="BX342" s="697"/>
      <c r="BY342" s="697"/>
      <c r="BZ342" s="697"/>
      <c r="CA342" s="697"/>
      <c r="CB342" s="697"/>
      <c r="CC342" s="697"/>
      <c r="CD342" s="697"/>
      <c r="CE342" s="697"/>
      <c r="CF342" s="697"/>
      <c r="CG342" s="697"/>
      <c r="CH342" s="697"/>
      <c r="CI342" s="697"/>
      <c r="CJ342" s="697"/>
      <c r="CK342" s="697"/>
      <c r="CL342" s="697"/>
      <c r="CM342" s="697"/>
      <c r="CN342" s="697"/>
      <c r="CO342" s="697"/>
      <c r="CP342" s="697"/>
      <c r="CQ342" s="697"/>
      <c r="CR342" s="697"/>
      <c r="CS342" s="697"/>
      <c r="CT342" s="697"/>
      <c r="CU342" s="697"/>
      <c r="CV342" s="697"/>
      <c r="CW342" s="697"/>
      <c r="CX342" s="697"/>
      <c r="CY342" s="697"/>
      <c r="CZ342" s="697"/>
      <c r="DA342" s="697"/>
      <c r="DB342" s="697"/>
      <c r="DC342" s="697"/>
      <c r="DD342" s="697"/>
      <c r="DE342" s="697"/>
      <c r="DF342" s="697"/>
      <c r="DG342" s="697"/>
      <c r="DH342" s="697"/>
      <c r="DI342" s="697"/>
      <c r="DJ342" s="697"/>
      <c r="DK342" s="697"/>
      <c r="DL342" s="697"/>
    </row>
    <row r="343" ht="20.25" customHeight="1">
      <c r="A343" s="44">
        <v>343.0</v>
      </c>
      <c r="B343" s="368" t="s">
        <v>114</v>
      </c>
      <c r="C343" s="368" t="s">
        <v>115</v>
      </c>
      <c r="D343" s="368" t="s">
        <v>199</v>
      </c>
      <c r="E343" s="689"/>
      <c r="F343" s="237" t="s">
        <v>1889</v>
      </c>
      <c r="G343" s="112" t="s">
        <v>1954</v>
      </c>
      <c r="H343" s="112" t="s">
        <v>202</v>
      </c>
      <c r="I343" s="113">
        <v>45639.0</v>
      </c>
      <c r="J343" s="691">
        <v>45670.0</v>
      </c>
      <c r="K343" s="112" t="s">
        <v>1955</v>
      </c>
      <c r="L343" s="114"/>
      <c r="M343" s="112" t="s">
        <v>1893</v>
      </c>
      <c r="N343" s="112" t="s">
        <v>1894</v>
      </c>
      <c r="O343" s="114"/>
      <c r="P343" s="121" t="s">
        <v>1895</v>
      </c>
      <c r="Q343" s="52" t="str">
        <f t="array" ref="Q343"> if(iserror(MATCH(V343, 'File Links'!C:C, 0)), "N/A", HYPERLINK(INDEX('File Links'!B:B, MATCH(P343, 'File Links'!C:C, 0))))</f>
        <v>https://drive.google.com/file/d/1h26KXyOgQpabChNDwArC5YlDBW4_cfve/view?usp=drivesdk</v>
      </c>
      <c r="R343" s="112" t="s">
        <v>1896</v>
      </c>
      <c r="S343" s="147" t="s">
        <v>1897</v>
      </c>
      <c r="T343" s="692" t="s">
        <v>1898</v>
      </c>
      <c r="U343" s="120"/>
      <c r="V343" s="112" t="str">
        <f t="shared" si="10"/>
        <v>kontkanen_jaakko_thesis_2024.pdf</v>
      </c>
      <c r="W343" s="112" t="s">
        <v>209</v>
      </c>
      <c r="X343" s="54" t="str">
        <f t="array" ref="X343"> if(iserror(MATCH(V343, 'File Links'!C:C, 0)), "N/A", HYPERLINK(INDEX('File Links'!B:B, MATCH(V343, 'File Links'!C:C, 0))))</f>
        <v>https://drive.google.com/file/d/1AUxxuZsTugos0bfw5gX9jMDqt7bWDrfc/view?usp=drivesdk</v>
      </c>
      <c r="Y343" s="114"/>
      <c r="Z343" s="112" t="s">
        <v>295</v>
      </c>
      <c r="AA343" s="112" t="s">
        <v>1899</v>
      </c>
      <c r="AB343" s="112" t="s">
        <v>1900</v>
      </c>
      <c r="AC343" s="112" t="s">
        <v>1901</v>
      </c>
      <c r="AD343" s="112" t="s">
        <v>1902</v>
      </c>
      <c r="AE343" s="117">
        <v>2.0</v>
      </c>
      <c r="AF343" s="117">
        <v>40.0</v>
      </c>
      <c r="AG343" s="116" t="s">
        <v>1956</v>
      </c>
      <c r="AH343" s="121" t="s">
        <v>134</v>
      </c>
      <c r="AI343" s="112" t="s">
        <v>1904</v>
      </c>
      <c r="AJ343" s="117">
        <v>0.02</v>
      </c>
      <c r="AK343" s="122" t="s">
        <v>135</v>
      </c>
      <c r="AL343" s="112" t="s">
        <v>186</v>
      </c>
      <c r="AM343" s="114" t="s">
        <v>1905</v>
      </c>
      <c r="AN343" s="219" t="s">
        <v>138</v>
      </c>
      <c r="AO343" s="117">
        <v>127.0</v>
      </c>
      <c r="AP343" s="147" t="s">
        <v>1957</v>
      </c>
      <c r="AQ343" s="112" t="s">
        <v>134</v>
      </c>
      <c r="AR343" s="112" t="s">
        <v>1907</v>
      </c>
      <c r="AS343" s="117">
        <v>0.311</v>
      </c>
      <c r="AT343" s="122" t="s">
        <v>172</v>
      </c>
      <c r="AU343" s="122" t="s">
        <v>186</v>
      </c>
      <c r="AV343" s="111" t="s">
        <v>1905</v>
      </c>
      <c r="AW343" s="111"/>
      <c r="AX343" s="111" t="s">
        <v>143</v>
      </c>
      <c r="AY343" s="61" t="str">
        <f>IFERROR(__xludf.DUMMYFUNCTION("vlookup(BB343,importrange(""https://docs.google.com/spreadsheets/d/1d2vevQ_7D_v35q4wCQ4RpQ_IPoTwEMB9Yp6ymwlPqew/edit?gid=984458430#gid=984458430"", ""'replication success'!A:K""), 11, FAlSE)"),"failed")</f>
        <v>failed</v>
      </c>
      <c r="AZ343" s="61" t="str">
        <f>IFERROR(__xludf.DUMMYFUNCTION("vlookup(BB343,importrange(""https://docs.google.com/spreadsheets/d/1d2vevQ_7D_v35q4wCQ4RpQ_IPoTwEMB9Yp6ymwlPqew/edit?gid=984458430#gid=984458430"",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3" s="61" t="str">
        <f>IFERROR(__xludf.DUMMYFUNCTION("vlookup(BB343,importrange(""https://docs.google.com/spreadsheets/d/1d2vevQ_7D_v35q4wCQ4RpQ_IPoTwEMB9Yp6ymwlPqew/edit?gid=984458430#gid=984458430"", ""'replication success'!A:M""), 13, FAlSE)"),"abstract")</f>
        <v>abstract</v>
      </c>
      <c r="BB343" s="61" t="str">
        <f>IFERROR(__xludf.DUMMYFUNCTION("REGEXREPLACE(G343, ""_[a-z]{1,2}$"", """")"),"additional_studies49")</f>
        <v>additional_studies49</v>
      </c>
      <c r="BC343" s="61"/>
      <c r="BD343" s="62" t="s">
        <v>144</v>
      </c>
      <c r="BG343" s="697"/>
      <c r="BH343" s="697"/>
      <c r="BI343" s="697"/>
      <c r="BJ343" s="697"/>
      <c r="BK343" s="697"/>
      <c r="BL343" s="697"/>
      <c r="BM343" s="697"/>
      <c r="BN343" s="697"/>
      <c r="BO343" s="697"/>
      <c r="BP343" s="697"/>
      <c r="BQ343" s="697"/>
      <c r="BR343" s="697"/>
      <c r="BS343" s="697"/>
      <c r="BT343" s="697"/>
      <c r="BU343" s="697"/>
      <c r="BV343" s="697"/>
      <c r="BW343" s="697"/>
      <c r="BX343" s="697"/>
      <c r="BY343" s="697"/>
      <c r="BZ343" s="697"/>
      <c r="CA343" s="697"/>
      <c r="CB343" s="697"/>
      <c r="CC343" s="697"/>
      <c r="CD343" s="697"/>
      <c r="CE343" s="697"/>
      <c r="CF343" s="697"/>
      <c r="CG343" s="697"/>
      <c r="CH343" s="697"/>
      <c r="CI343" s="697"/>
      <c r="CJ343" s="697"/>
      <c r="CK343" s="697"/>
      <c r="CL343" s="697"/>
      <c r="CM343" s="697"/>
      <c r="CN343" s="697"/>
      <c r="CO343" s="697"/>
      <c r="CP343" s="697"/>
      <c r="CQ343" s="697"/>
      <c r="CR343" s="697"/>
      <c r="CS343" s="697"/>
      <c r="CT343" s="697"/>
      <c r="CU343" s="697"/>
      <c r="CV343" s="697"/>
      <c r="CW343" s="697"/>
      <c r="CX343" s="697"/>
      <c r="CY343" s="697"/>
      <c r="CZ343" s="697"/>
      <c r="DA343" s="697"/>
      <c r="DB343" s="697"/>
      <c r="DC343" s="697"/>
      <c r="DD343" s="697"/>
      <c r="DE343" s="697"/>
      <c r="DF343" s="697"/>
      <c r="DG343" s="697"/>
      <c r="DH343" s="697"/>
      <c r="DI343" s="697"/>
      <c r="DJ343" s="697"/>
      <c r="DK343" s="697"/>
      <c r="DL343" s="697"/>
    </row>
    <row r="344" ht="20.25" customHeight="1">
      <c r="A344" s="44">
        <v>344.0</v>
      </c>
      <c r="B344" s="188" t="s">
        <v>152</v>
      </c>
      <c r="C344" s="188" t="s">
        <v>115</v>
      </c>
      <c r="D344" s="188" t="s">
        <v>286</v>
      </c>
      <c r="E344" s="189"/>
      <c r="F344" s="237" t="s">
        <v>1889</v>
      </c>
      <c r="G344" s="229" t="s">
        <v>1954</v>
      </c>
      <c r="H344" s="235" t="s">
        <v>289</v>
      </c>
      <c r="I344" s="230">
        <v>45639.0</v>
      </c>
      <c r="J344" s="693">
        <v>45670.0</v>
      </c>
      <c r="K344" s="235" t="s">
        <v>1908</v>
      </c>
      <c r="L344" s="237"/>
      <c r="M344" s="694" t="s">
        <v>1958</v>
      </c>
      <c r="N344" s="235" t="s">
        <v>1894</v>
      </c>
      <c r="O344" s="695">
        <v>1.0</v>
      </c>
      <c r="P344" s="235" t="s">
        <v>1895</v>
      </c>
      <c r="Q344" s="52" t="str">
        <f t="array" ref="Q344"> if(iserror(MATCH(V344, 'File Links'!C:C, 0)), "N/A", HYPERLINK(INDEX('File Links'!B:B, MATCH(P344, 'File Links'!C:C, 0))))</f>
        <v>https://drive.google.com/file/d/1h26KXyOgQpabChNDwArC5YlDBW4_cfve/view?usp=drivesdk</v>
      </c>
      <c r="R344" s="235" t="s">
        <v>1896</v>
      </c>
      <c r="S344" s="147" t="s">
        <v>1897</v>
      </c>
      <c r="T344" s="692" t="s">
        <v>1898</v>
      </c>
      <c r="U344" s="147">
        <v>1.0</v>
      </c>
      <c r="V344" s="112" t="str">
        <f t="shared" si="10"/>
        <v>kontkanen_jaakko_thesis_2024.pdf</v>
      </c>
      <c r="W344" s="112" t="s">
        <v>209</v>
      </c>
      <c r="X344" s="54" t="str">
        <f t="array" ref="X344"> if(iserror(MATCH(V344, 'File Links'!C:C, 0)), "N/A", HYPERLINK(INDEX('File Links'!B:B, MATCH(V344, 'File Links'!C:C, 0))))</f>
        <v>https://drive.google.com/file/d/1AUxxuZsTugos0bfw5gX9jMDqt7bWDrfc/view?usp=drivesdk</v>
      </c>
      <c r="Y344" s="237"/>
      <c r="Z344" s="235" t="s">
        <v>295</v>
      </c>
      <c r="AA344" s="235" t="s">
        <v>1959</v>
      </c>
      <c r="AB344" s="235" t="s">
        <v>1912</v>
      </c>
      <c r="AC344" s="235" t="s">
        <v>1960</v>
      </c>
      <c r="AD344" s="234" t="s">
        <v>1931</v>
      </c>
      <c r="AE344" s="696">
        <v>100.0</v>
      </c>
      <c r="AF344" s="696">
        <v>40.0</v>
      </c>
      <c r="AG344" s="116" t="s">
        <v>1956</v>
      </c>
      <c r="AH344" s="121" t="s">
        <v>134</v>
      </c>
      <c r="AI344" s="229" t="s">
        <v>1953</v>
      </c>
      <c r="AJ344" s="232">
        <v>0.02</v>
      </c>
      <c r="AK344" s="235" t="s">
        <v>135</v>
      </c>
      <c r="AL344" s="229" t="s">
        <v>186</v>
      </c>
      <c r="AM344" s="237" t="s">
        <v>137</v>
      </c>
      <c r="AN344" s="219" t="s">
        <v>138</v>
      </c>
      <c r="AO344" s="696">
        <v>40.0</v>
      </c>
      <c r="AP344" s="147" t="s">
        <v>1957</v>
      </c>
      <c r="AQ344" s="112" t="s">
        <v>134</v>
      </c>
      <c r="AR344" s="235" t="s">
        <v>171</v>
      </c>
      <c r="AS344" s="696">
        <v>0.311</v>
      </c>
      <c r="AT344" s="235" t="s">
        <v>172</v>
      </c>
      <c r="AU344" s="235" t="s">
        <v>186</v>
      </c>
      <c r="AV344" s="237" t="s">
        <v>137</v>
      </c>
      <c r="AW344" s="695" t="s">
        <v>138</v>
      </c>
      <c r="AX344" s="237" t="s">
        <v>143</v>
      </c>
      <c r="AY344" s="61" t="str">
        <f>IFERROR(__xludf.DUMMYFUNCTION("vlookup(BB344,importrange(""https://docs.google.com/spreadsheets/d/1d2vevQ_7D_v35q4wCQ4RpQ_IPoTwEMB9Yp6ymwlPqew/edit?gid=984458430#gid=984458430"", ""'replication success'!A:K""), 11, FAlSE)"),"failed")</f>
        <v>failed</v>
      </c>
      <c r="AZ344" s="61" t="str">
        <f>IFERROR(__xludf.DUMMYFUNCTION("vlookup(BB344,importrange(""https://docs.google.com/spreadsheets/d/1d2vevQ_7D_v35q4wCQ4RpQ_IPoTwEMB9Yp6ymwlPqew/edit?gid=984458430#gid=984458430"",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4" s="61" t="str">
        <f>IFERROR(__xludf.DUMMYFUNCTION("vlookup(BB344,importrange(""https://docs.google.com/spreadsheets/d/1d2vevQ_7D_v35q4wCQ4RpQ_IPoTwEMB9Yp6ymwlPqew/edit?gid=984458430#gid=984458430"", ""'replication success'!A:M""), 13, FAlSE)"),"abstract")</f>
        <v>abstract</v>
      </c>
      <c r="BB344" s="61" t="str">
        <f>IFERROR(__xludf.DUMMYFUNCTION("REGEXREPLACE(G344, ""_[a-z]{1,2}$"", """")"),"additional_studies49")</f>
        <v>additional_studies49</v>
      </c>
      <c r="BC344" s="68"/>
      <c r="BD344" s="62" t="s">
        <v>144</v>
      </c>
      <c r="BG344" s="220"/>
      <c r="BH344" s="220"/>
      <c r="BI344" s="220"/>
      <c r="BJ344" s="220"/>
      <c r="BK344" s="220"/>
      <c r="BL344" s="220"/>
      <c r="BM344" s="220"/>
      <c r="BN344" s="220"/>
      <c r="BO344" s="220"/>
      <c r="BP344" s="220"/>
      <c r="BQ344" s="220"/>
      <c r="BR344" s="220"/>
      <c r="BS344" s="220"/>
      <c r="BT344" s="220"/>
      <c r="BU344" s="220"/>
      <c r="BV344" s="220"/>
      <c r="BW344" s="220"/>
      <c r="BX344" s="220"/>
      <c r="BY344" s="220"/>
      <c r="BZ344" s="220"/>
      <c r="CA344" s="220"/>
      <c r="CB344" s="220"/>
      <c r="CC344" s="220"/>
      <c r="CD344" s="220"/>
      <c r="CE344" s="220"/>
      <c r="CF344" s="220"/>
      <c r="CG344" s="220"/>
      <c r="CH344" s="220"/>
      <c r="CI344" s="220"/>
      <c r="CJ344" s="220"/>
      <c r="CK344" s="220"/>
      <c r="CL344" s="220"/>
      <c r="CM344" s="220"/>
      <c r="CN344" s="220"/>
      <c r="CO344" s="220"/>
      <c r="CP344" s="220"/>
      <c r="CQ344" s="220"/>
      <c r="CR344" s="220"/>
      <c r="CS344" s="220"/>
      <c r="CT344" s="220"/>
      <c r="CU344" s="220"/>
      <c r="CV344" s="220"/>
      <c r="CW344" s="220"/>
      <c r="CX344" s="220"/>
      <c r="CY344" s="220"/>
      <c r="CZ344" s="220"/>
      <c r="DA344" s="220"/>
      <c r="DB344" s="220"/>
      <c r="DC344" s="220"/>
      <c r="DD344" s="220"/>
      <c r="DE344" s="220"/>
      <c r="DF344" s="220"/>
      <c r="DG344" s="220"/>
      <c r="DH344" s="220"/>
      <c r="DI344" s="220"/>
      <c r="DJ344" s="220"/>
      <c r="DK344" s="220"/>
      <c r="DL344" s="220"/>
    </row>
    <row r="345" ht="20.25" customHeight="1">
      <c r="A345" s="44">
        <v>345.0</v>
      </c>
      <c r="B345" s="368" t="s">
        <v>114</v>
      </c>
      <c r="C345" s="368" t="s">
        <v>115</v>
      </c>
      <c r="D345" s="368" t="s">
        <v>199</v>
      </c>
      <c r="E345" s="689"/>
      <c r="F345" s="237" t="s">
        <v>1889</v>
      </c>
      <c r="G345" s="112" t="s">
        <v>1961</v>
      </c>
      <c r="H345" s="112" t="s">
        <v>202</v>
      </c>
      <c r="I345" s="113">
        <v>45639.0</v>
      </c>
      <c r="J345" s="691">
        <v>45670.0</v>
      </c>
      <c r="K345" s="112" t="s">
        <v>1962</v>
      </c>
      <c r="L345" s="114"/>
      <c r="M345" s="112" t="s">
        <v>1893</v>
      </c>
      <c r="N345" s="112" t="s">
        <v>1894</v>
      </c>
      <c r="O345" s="114"/>
      <c r="P345" s="121" t="s">
        <v>1895</v>
      </c>
      <c r="Q345" s="52" t="str">
        <f t="array" ref="Q345"> if(iserror(MATCH(V345, 'File Links'!C:C, 0)), "N/A", HYPERLINK(INDEX('File Links'!B:B, MATCH(P345, 'File Links'!C:C, 0))))</f>
        <v>https://drive.google.com/file/d/1h26KXyOgQpabChNDwArC5YlDBW4_cfve/view?usp=drivesdk</v>
      </c>
      <c r="R345" s="112" t="s">
        <v>1896</v>
      </c>
      <c r="S345" s="147" t="s">
        <v>1897</v>
      </c>
      <c r="T345" s="692" t="s">
        <v>1898</v>
      </c>
      <c r="U345" s="120"/>
      <c r="V345" s="112" t="str">
        <f t="shared" si="10"/>
        <v>kontkanen_jaakko_thesis_2024.pdf</v>
      </c>
      <c r="W345" s="112" t="s">
        <v>209</v>
      </c>
      <c r="X345" s="54" t="str">
        <f t="array" ref="X345"> if(iserror(MATCH(V345, 'File Links'!C:C, 0)), "N/A", HYPERLINK(INDEX('File Links'!B:B, MATCH(V345, 'File Links'!C:C, 0))))</f>
        <v>https://drive.google.com/file/d/1AUxxuZsTugos0bfw5gX9jMDqt7bWDrfc/view?usp=drivesdk</v>
      </c>
      <c r="Y345" s="114"/>
      <c r="Z345" s="112" t="s">
        <v>295</v>
      </c>
      <c r="AA345" s="112" t="s">
        <v>1899</v>
      </c>
      <c r="AB345" s="112" t="s">
        <v>1900</v>
      </c>
      <c r="AC345" s="112" t="s">
        <v>1901</v>
      </c>
      <c r="AD345" s="112" t="s">
        <v>1902</v>
      </c>
      <c r="AE345" s="117">
        <v>2.0</v>
      </c>
      <c r="AF345" s="117">
        <v>40.0</v>
      </c>
      <c r="AG345" s="116" t="s">
        <v>1963</v>
      </c>
      <c r="AH345" s="121" t="s">
        <v>134</v>
      </c>
      <c r="AI345" s="112" t="s">
        <v>1904</v>
      </c>
      <c r="AJ345" s="117">
        <v>0.05</v>
      </c>
      <c r="AK345" s="122" t="s">
        <v>335</v>
      </c>
      <c r="AL345" s="112" t="s">
        <v>186</v>
      </c>
      <c r="AM345" s="114" t="s">
        <v>1905</v>
      </c>
      <c r="AN345" s="219" t="s">
        <v>138</v>
      </c>
      <c r="AO345" s="117">
        <v>127.0</v>
      </c>
      <c r="AP345" s="147" t="s">
        <v>1964</v>
      </c>
      <c r="AQ345" s="112" t="s">
        <v>134</v>
      </c>
      <c r="AR345" s="112" t="s">
        <v>1907</v>
      </c>
      <c r="AS345" s="117">
        <v>0.087</v>
      </c>
      <c r="AT345" s="122" t="s">
        <v>172</v>
      </c>
      <c r="AU345" s="122" t="s">
        <v>186</v>
      </c>
      <c r="AV345" s="111" t="s">
        <v>1905</v>
      </c>
      <c r="AW345" s="111"/>
      <c r="AX345" s="111" t="s">
        <v>143</v>
      </c>
      <c r="AY345" s="61" t="str">
        <f>IFERROR(__xludf.DUMMYFUNCTION("vlookup(BB345,importrange(""https://docs.google.com/spreadsheets/d/1d2vevQ_7D_v35q4wCQ4RpQ_IPoTwEMB9Yp6ymwlPqew/edit?gid=984458430#gid=984458430"", ""'replication success'!A:K""), 11, FAlSE)"),"failed")</f>
        <v>failed</v>
      </c>
      <c r="AZ345" s="61" t="str">
        <f>IFERROR(__xludf.DUMMYFUNCTION("vlookup(BB345,importrange(""https://docs.google.com/spreadsheets/d/1d2vevQ_7D_v35q4wCQ4RpQ_IPoTwEMB9Yp6ymwlPqew/edit?gid=984458430#gid=984458430"",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5" s="61" t="str">
        <f>IFERROR(__xludf.DUMMYFUNCTION("vlookup(BB345,importrange(""https://docs.google.com/spreadsheets/d/1d2vevQ_7D_v35q4wCQ4RpQ_IPoTwEMB9Yp6ymwlPqew/edit?gid=984458430#gid=984458430"", ""'replication success'!A:M""), 13, FAlSE)"),"abstract")</f>
        <v>abstract</v>
      </c>
      <c r="BB345" s="61" t="str">
        <f>IFERROR(__xludf.DUMMYFUNCTION("REGEXREPLACE(G345, ""_[a-z]{1,2}$"", """")"),"additional_studies49")</f>
        <v>additional_studies49</v>
      </c>
      <c r="BC345" s="61"/>
      <c r="BD345" s="62" t="s">
        <v>144</v>
      </c>
      <c r="BG345" s="220"/>
      <c r="BH345" s="220"/>
      <c r="BI345" s="220"/>
      <c r="BJ345" s="220"/>
      <c r="BK345" s="220"/>
      <c r="BL345" s="220"/>
      <c r="BM345" s="220"/>
      <c r="BN345" s="220"/>
      <c r="BO345" s="220"/>
      <c r="BP345" s="220"/>
      <c r="BQ345" s="220"/>
      <c r="BR345" s="220"/>
      <c r="BS345" s="220"/>
      <c r="BT345" s="220"/>
      <c r="BU345" s="220"/>
      <c r="BV345" s="220"/>
      <c r="BW345" s="220"/>
      <c r="BX345" s="220"/>
      <c r="BY345" s="220"/>
      <c r="BZ345" s="220"/>
      <c r="CA345" s="220"/>
      <c r="CB345" s="220"/>
      <c r="CC345" s="220"/>
      <c r="CD345" s="220"/>
      <c r="CE345" s="220"/>
      <c r="CF345" s="220"/>
      <c r="CG345" s="220"/>
      <c r="CH345" s="220"/>
      <c r="CI345" s="220"/>
      <c r="CJ345" s="220"/>
      <c r="CK345" s="220"/>
      <c r="CL345" s="220"/>
      <c r="CM345" s="220"/>
      <c r="CN345" s="220"/>
      <c r="CO345" s="220"/>
      <c r="CP345" s="220"/>
      <c r="CQ345" s="220"/>
      <c r="CR345" s="220"/>
      <c r="CS345" s="220"/>
      <c r="CT345" s="220"/>
      <c r="CU345" s="220"/>
      <c r="CV345" s="220"/>
      <c r="CW345" s="220"/>
      <c r="CX345" s="220"/>
      <c r="CY345" s="220"/>
      <c r="CZ345" s="220"/>
      <c r="DA345" s="220"/>
      <c r="DB345" s="220"/>
      <c r="DC345" s="220"/>
      <c r="DD345" s="220"/>
      <c r="DE345" s="220"/>
      <c r="DF345" s="220"/>
      <c r="DG345" s="220"/>
      <c r="DH345" s="220"/>
      <c r="DI345" s="220"/>
      <c r="DJ345" s="220"/>
      <c r="DK345" s="220"/>
      <c r="DL345" s="220"/>
    </row>
    <row r="346" ht="20.25" customHeight="1">
      <c r="A346" s="44">
        <v>346.0</v>
      </c>
      <c r="B346" s="188" t="s">
        <v>152</v>
      </c>
      <c r="C346" s="188" t="s">
        <v>115</v>
      </c>
      <c r="D346" s="188" t="s">
        <v>286</v>
      </c>
      <c r="E346" s="189"/>
      <c r="F346" s="237" t="s">
        <v>1889</v>
      </c>
      <c r="G346" s="229" t="s">
        <v>1961</v>
      </c>
      <c r="H346" s="235" t="s">
        <v>289</v>
      </c>
      <c r="I346" s="230">
        <v>45640.0</v>
      </c>
      <c r="J346" s="693">
        <v>45670.0</v>
      </c>
      <c r="K346" s="235" t="s">
        <v>1908</v>
      </c>
      <c r="L346" s="237"/>
      <c r="M346" s="694" t="s">
        <v>1965</v>
      </c>
      <c r="N346" s="235" t="s">
        <v>1894</v>
      </c>
      <c r="O346" s="695">
        <v>1.0</v>
      </c>
      <c r="P346" s="235" t="s">
        <v>1895</v>
      </c>
      <c r="Q346" s="52" t="str">
        <f t="array" ref="Q346"> if(iserror(MATCH(V346, 'File Links'!C:C, 0)), "N/A", HYPERLINK(INDEX('File Links'!B:B, MATCH(P346, 'File Links'!C:C, 0))))</f>
        <v>https://drive.google.com/file/d/1h26KXyOgQpabChNDwArC5YlDBW4_cfve/view?usp=drivesdk</v>
      </c>
      <c r="R346" s="235" t="s">
        <v>1896</v>
      </c>
      <c r="S346" s="147" t="s">
        <v>1897</v>
      </c>
      <c r="T346" s="692" t="s">
        <v>1898</v>
      </c>
      <c r="U346" s="147">
        <v>1.0</v>
      </c>
      <c r="V346" s="112" t="str">
        <f t="shared" si="10"/>
        <v>kontkanen_jaakko_thesis_2024.pdf</v>
      </c>
      <c r="W346" s="112" t="s">
        <v>209</v>
      </c>
      <c r="X346" s="54" t="str">
        <f t="array" ref="X346"> if(iserror(MATCH(V346, 'File Links'!C:C, 0)), "N/A", HYPERLINK(INDEX('File Links'!B:B, MATCH(V346, 'File Links'!C:C, 0))))</f>
        <v>https://drive.google.com/file/d/1AUxxuZsTugos0bfw5gX9jMDqt7bWDrfc/view?usp=drivesdk</v>
      </c>
      <c r="Y346" s="237"/>
      <c r="Z346" s="235" t="s">
        <v>295</v>
      </c>
      <c r="AA346" s="235" t="s">
        <v>1966</v>
      </c>
      <c r="AB346" s="235" t="s">
        <v>1912</v>
      </c>
      <c r="AC346" s="235" t="s">
        <v>1967</v>
      </c>
      <c r="AD346" s="234" t="s">
        <v>1914</v>
      </c>
      <c r="AE346" s="696">
        <v>100.0</v>
      </c>
      <c r="AF346" s="696">
        <v>40.0</v>
      </c>
      <c r="AG346" s="698" t="s">
        <v>1968</v>
      </c>
      <c r="AH346" s="349" t="s">
        <v>134</v>
      </c>
      <c r="AI346" s="229" t="s">
        <v>1969</v>
      </c>
      <c r="AJ346" s="232">
        <v>0.05</v>
      </c>
      <c r="AK346" s="235" t="s">
        <v>135</v>
      </c>
      <c r="AL346" s="229" t="s">
        <v>186</v>
      </c>
      <c r="AM346" s="237" t="s">
        <v>137</v>
      </c>
      <c r="AN346" s="219" t="s">
        <v>138</v>
      </c>
      <c r="AO346" s="696">
        <v>40.0</v>
      </c>
      <c r="AP346" s="147" t="s">
        <v>1964</v>
      </c>
      <c r="AQ346" s="112" t="s">
        <v>134</v>
      </c>
      <c r="AR346" s="235" t="s">
        <v>171</v>
      </c>
      <c r="AS346" s="696">
        <v>0.087</v>
      </c>
      <c r="AT346" s="235" t="s">
        <v>172</v>
      </c>
      <c r="AU346" s="235" t="s">
        <v>186</v>
      </c>
      <c r="AV346" s="237" t="s">
        <v>137</v>
      </c>
      <c r="AW346" s="695" t="s">
        <v>138</v>
      </c>
      <c r="AX346" s="237" t="s">
        <v>143</v>
      </c>
      <c r="AY346" s="61" t="str">
        <f>IFERROR(__xludf.DUMMYFUNCTION("vlookup(BB346,importrange(""https://docs.google.com/spreadsheets/d/1d2vevQ_7D_v35q4wCQ4RpQ_IPoTwEMB9Yp6ymwlPqew/edit?gid=984458430#gid=984458430"", ""'replication success'!A:K""), 11, FAlSE)"),"failed")</f>
        <v>failed</v>
      </c>
      <c r="AZ346" s="61" t="str">
        <f>IFERROR(__xludf.DUMMYFUNCTION("vlookup(BB346,importrange(""https://docs.google.com/spreadsheets/d/1d2vevQ_7D_v35q4wCQ4RpQ_IPoTwEMB9Yp6ymwlPqew/edit?gid=984458430#gid=984458430"",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6" s="61" t="str">
        <f>IFERROR(__xludf.DUMMYFUNCTION("vlookup(BB346,importrange(""https://docs.google.com/spreadsheets/d/1d2vevQ_7D_v35q4wCQ4RpQ_IPoTwEMB9Yp6ymwlPqew/edit?gid=984458430#gid=984458430"", ""'replication success'!A:M""), 13, FAlSE)"),"abstract")</f>
        <v>abstract</v>
      </c>
      <c r="BB346" s="61" t="str">
        <f>IFERROR(__xludf.DUMMYFUNCTION("REGEXREPLACE(G346, ""_[a-z]{1,2}$"", """")"),"additional_studies49")</f>
        <v>additional_studies49</v>
      </c>
      <c r="BC346" s="68"/>
      <c r="BD346" s="62" t="s">
        <v>144</v>
      </c>
      <c r="BG346" s="220"/>
      <c r="BH346" s="220"/>
      <c r="BI346" s="220"/>
      <c r="BJ346" s="220"/>
      <c r="BK346" s="220"/>
      <c r="BL346" s="220"/>
      <c r="BM346" s="220"/>
      <c r="BN346" s="220"/>
      <c r="BO346" s="220"/>
      <c r="BP346" s="220"/>
      <c r="BQ346" s="220"/>
      <c r="BR346" s="220"/>
      <c r="BS346" s="220"/>
      <c r="BT346" s="220"/>
      <c r="BU346" s="220"/>
      <c r="BV346" s="220"/>
      <c r="BW346" s="220"/>
      <c r="BX346" s="220"/>
      <c r="BY346" s="220"/>
      <c r="BZ346" s="220"/>
      <c r="CA346" s="220"/>
      <c r="CB346" s="220"/>
      <c r="CC346" s="220"/>
      <c r="CD346" s="220"/>
      <c r="CE346" s="220"/>
      <c r="CF346" s="220"/>
      <c r="CG346" s="220"/>
      <c r="CH346" s="220"/>
      <c r="CI346" s="220"/>
      <c r="CJ346" s="220"/>
      <c r="CK346" s="220"/>
      <c r="CL346" s="220"/>
      <c r="CM346" s="220"/>
      <c r="CN346" s="220"/>
      <c r="CO346" s="220"/>
      <c r="CP346" s="220"/>
      <c r="CQ346" s="220"/>
      <c r="CR346" s="220"/>
      <c r="CS346" s="220"/>
      <c r="CT346" s="220"/>
      <c r="CU346" s="220"/>
      <c r="CV346" s="220"/>
      <c r="CW346" s="220"/>
      <c r="CX346" s="220"/>
      <c r="CY346" s="220"/>
      <c r="CZ346" s="220"/>
      <c r="DA346" s="220"/>
      <c r="DB346" s="220"/>
      <c r="DC346" s="220"/>
      <c r="DD346" s="220"/>
      <c r="DE346" s="220"/>
      <c r="DF346" s="220"/>
      <c r="DG346" s="220"/>
      <c r="DH346" s="220"/>
      <c r="DI346" s="220"/>
      <c r="DJ346" s="220"/>
      <c r="DK346" s="220"/>
      <c r="DL346" s="220"/>
    </row>
    <row r="347" ht="20.25" customHeight="1">
      <c r="A347" s="44">
        <v>347.0</v>
      </c>
      <c r="B347" s="188" t="s">
        <v>114</v>
      </c>
      <c r="C347" s="188" t="s">
        <v>115</v>
      </c>
      <c r="D347" s="188" t="s">
        <v>286</v>
      </c>
      <c r="E347" s="189"/>
      <c r="F347" s="237" t="s">
        <v>1889</v>
      </c>
      <c r="G347" s="229" t="s">
        <v>1970</v>
      </c>
      <c r="H347" s="235" t="s">
        <v>289</v>
      </c>
      <c r="I347" s="230">
        <v>45641.0</v>
      </c>
      <c r="J347" s="693">
        <v>45670.0</v>
      </c>
      <c r="K347" s="235" t="s">
        <v>1908</v>
      </c>
      <c r="L347" s="695" t="s">
        <v>1971</v>
      </c>
      <c r="M347" s="694" t="s">
        <v>1972</v>
      </c>
      <c r="N347" s="235" t="s">
        <v>1894</v>
      </c>
      <c r="O347" s="695">
        <v>1.0</v>
      </c>
      <c r="P347" s="235" t="s">
        <v>1895</v>
      </c>
      <c r="Q347" s="52" t="str">
        <f t="array" ref="Q347"> if(iserror(MATCH(V347, 'File Links'!C:C, 0)), "N/A", HYPERLINK(INDEX('File Links'!B:B, MATCH(P347, 'File Links'!C:C, 0))))</f>
        <v>https://drive.google.com/file/d/1h26KXyOgQpabChNDwArC5YlDBW4_cfve/view?usp=drivesdk</v>
      </c>
      <c r="R347" s="235" t="s">
        <v>1896</v>
      </c>
      <c r="S347" s="147" t="s">
        <v>1897</v>
      </c>
      <c r="T347" s="692" t="s">
        <v>1898</v>
      </c>
      <c r="U347" s="147">
        <v>1.0</v>
      </c>
      <c r="V347" s="112" t="str">
        <f t="shared" si="10"/>
        <v>kontkanen_jaakko_thesis_2024.pdf</v>
      </c>
      <c r="W347" s="112" t="s">
        <v>209</v>
      </c>
      <c r="X347" s="54" t="str">
        <f t="array" ref="X347"> if(iserror(MATCH(V347, 'File Links'!C:C, 0)), "N/A", HYPERLINK(INDEX('File Links'!B:B, MATCH(V347, 'File Links'!C:C, 0))))</f>
        <v>https://drive.google.com/file/d/1AUxxuZsTugos0bfw5gX9jMDqt7bWDrfc/view?usp=drivesdk</v>
      </c>
      <c r="Y347" s="237"/>
      <c r="Z347" s="235" t="s">
        <v>295</v>
      </c>
      <c r="AA347" s="235" t="s">
        <v>1973</v>
      </c>
      <c r="AB347" s="235" t="s">
        <v>1912</v>
      </c>
      <c r="AC347" s="235" t="s">
        <v>1974</v>
      </c>
      <c r="AD347" s="237"/>
      <c r="AE347" s="237"/>
      <c r="AF347" s="237"/>
      <c r="AG347" s="235" t="s">
        <v>1535</v>
      </c>
      <c r="AH347" s="699"/>
      <c r="AI347" s="231"/>
      <c r="AJ347" s="231"/>
      <c r="AK347" s="237"/>
      <c r="AL347" s="231"/>
      <c r="AM347" s="237"/>
      <c r="AN347" s="219" t="s">
        <v>138</v>
      </c>
      <c r="AO347" s="696">
        <v>40.0</v>
      </c>
      <c r="AP347" s="698" t="s">
        <v>1975</v>
      </c>
      <c r="AQ347" s="234" t="s">
        <v>134</v>
      </c>
      <c r="AR347" s="235" t="s">
        <v>171</v>
      </c>
      <c r="AS347" s="696">
        <v>1.0E-4</v>
      </c>
      <c r="AT347" s="235" t="s">
        <v>172</v>
      </c>
      <c r="AU347" s="235" t="s">
        <v>186</v>
      </c>
      <c r="AV347" s="237" t="s">
        <v>137</v>
      </c>
      <c r="AW347" s="695" t="s">
        <v>138</v>
      </c>
      <c r="AX347" s="62" t="s">
        <v>151</v>
      </c>
      <c r="AY347" s="61" t="str">
        <f>IFERROR(__xludf.DUMMYFUNCTION("vlookup(BB347,importrange(""https://docs.google.com/spreadsheets/d/1d2vevQ_7D_v35q4wCQ4RpQ_IPoTwEMB9Yp6ymwlPqew/edit?gid=984458430#gid=984458430"", ""'replication success'!A:K""), 11, FAlSE)"),"failed")</f>
        <v>failed</v>
      </c>
      <c r="AZ347" s="61" t="str">
        <f>IFERROR(__xludf.DUMMYFUNCTION("vlookup(BB347,importrange(""https://docs.google.com/spreadsheets/d/1d2vevQ_7D_v35q4wCQ4RpQ_IPoTwEMB9Yp6ymwlPqew/edit?gid=984458430#gid=984458430"", ""'replication success'!A:M""), 12, FAlSE)"),"The results of the study preliminarily
suggest that, unlike the reference study, L2 proficiency level does not have a considerable effect on the
acquisition order of morphemes.")</f>
        <v>The results of the study preliminarily
suggest that, unlike the reference study, L2 proficiency level does not have a considerable effect on the
acquisition order of morphemes.</v>
      </c>
      <c r="BA347" s="61" t="str">
        <f>IFERROR(__xludf.DUMMYFUNCTION("vlookup(BB347,importrange(""https://docs.google.com/spreadsheets/d/1d2vevQ_7D_v35q4wCQ4RpQ_IPoTwEMB9Yp6ymwlPqew/edit?gid=984458430#gid=984458430"", ""'replication success'!A:M""), 13, FAlSE)"),"abstract")</f>
        <v>abstract</v>
      </c>
      <c r="BB347" s="61" t="str">
        <f>IFERROR(__xludf.DUMMYFUNCTION("REGEXREPLACE(G347, ""_[a-z]{1,2}$"", """")"),"additional_studies49")</f>
        <v>additional_studies49</v>
      </c>
      <c r="BC347" s="129" t="s">
        <v>1971</v>
      </c>
      <c r="BD347" s="62" t="s">
        <v>144</v>
      </c>
      <c r="BG347" s="220"/>
      <c r="BH347" s="220"/>
      <c r="BI347" s="220"/>
      <c r="BJ347" s="220"/>
      <c r="BK347" s="220"/>
      <c r="BL347" s="220"/>
      <c r="BM347" s="220"/>
      <c r="BN347" s="220"/>
      <c r="BO347" s="220"/>
      <c r="BP347" s="220"/>
      <c r="BQ347" s="220"/>
      <c r="BR347" s="220"/>
      <c r="BS347" s="220"/>
      <c r="BT347" s="220"/>
      <c r="BU347" s="220"/>
      <c r="BV347" s="220"/>
      <c r="BW347" s="220"/>
      <c r="BX347" s="220"/>
      <c r="BY347" s="220"/>
      <c r="BZ347" s="220"/>
      <c r="CA347" s="220"/>
      <c r="CB347" s="220"/>
      <c r="CC347" s="220"/>
      <c r="CD347" s="220"/>
      <c r="CE347" s="220"/>
      <c r="CF347" s="220"/>
      <c r="CG347" s="220"/>
      <c r="CH347" s="220"/>
      <c r="CI347" s="220"/>
      <c r="CJ347" s="220"/>
      <c r="CK347" s="220"/>
      <c r="CL347" s="220"/>
      <c r="CM347" s="220"/>
      <c r="CN347" s="220"/>
      <c r="CO347" s="220"/>
      <c r="CP347" s="220"/>
      <c r="CQ347" s="220"/>
      <c r="CR347" s="220"/>
      <c r="CS347" s="220"/>
      <c r="CT347" s="220"/>
      <c r="CU347" s="220"/>
      <c r="CV347" s="220"/>
      <c r="CW347" s="220"/>
      <c r="CX347" s="220"/>
      <c r="CY347" s="220"/>
      <c r="CZ347" s="220"/>
      <c r="DA347" s="220"/>
      <c r="DB347" s="220"/>
      <c r="DC347" s="220"/>
      <c r="DD347" s="220"/>
      <c r="DE347" s="220"/>
      <c r="DF347" s="220"/>
      <c r="DG347" s="220"/>
      <c r="DH347" s="220"/>
      <c r="DI347" s="220"/>
      <c r="DJ347" s="220"/>
      <c r="DK347" s="220"/>
      <c r="DL347" s="220"/>
    </row>
    <row r="348" ht="20.25" customHeight="1">
      <c r="A348" s="44">
        <v>348.0</v>
      </c>
      <c r="B348" s="700" t="s">
        <v>590</v>
      </c>
      <c r="C348" s="700" t="s">
        <v>115</v>
      </c>
      <c r="D348" s="700" t="s">
        <v>232</v>
      </c>
      <c r="E348" s="701"/>
      <c r="F348" s="531" t="s">
        <v>1976</v>
      </c>
      <c r="G348" s="45" t="s">
        <v>1977</v>
      </c>
      <c r="H348" s="45" t="s">
        <v>235</v>
      </c>
      <c r="I348" s="63">
        <v>45427.0</v>
      </c>
      <c r="J348" s="64">
        <v>45624.0</v>
      </c>
      <c r="K348" s="65"/>
      <c r="L348" s="700" t="s">
        <v>1978</v>
      </c>
      <c r="M348" s="45" t="s">
        <v>1979</v>
      </c>
      <c r="N348" s="45" t="s">
        <v>1980</v>
      </c>
      <c r="O348" s="45">
        <v>1.0</v>
      </c>
      <c r="P348" s="118" t="str">
        <f> hyperlink(vlookup(lower(N348),'File Links'!A:B, 2, FALSE), SUBSTITUTE(lower(N348), "/", "--") &amp;  ".pdf")</f>
        <v>10.1111--0023-8333.00112.pdf</v>
      </c>
      <c r="Q348" s="108" t="str">
        <f t="array" ref="Q348"> if(iserror(MATCH(V348, 'File Links'!C:C, 0)), "N/A", HYPERLINK(INDEX('File Links'!B:B, MATCH(P348, 'File Links'!C:C, 0))))</f>
        <v>N/A</v>
      </c>
      <c r="R348" s="45" t="s">
        <v>1981</v>
      </c>
      <c r="S348" s="45" t="s">
        <v>1982</v>
      </c>
      <c r="T348" s="65"/>
      <c r="U348" s="45">
        <v>1.0</v>
      </c>
      <c r="V348" s="112" t="str">
        <f t="shared" si="10"/>
        <v>10.1007--978-3-031-55844-3_4.pdf</v>
      </c>
      <c r="W348" s="45" t="s">
        <v>1983</v>
      </c>
      <c r="X348" s="49" t="str">
        <f t="array" ref="X348"> if(iserror(MATCH(V348, 'File Links'!C:C, 0)), "N/A", HYPERLINK(INDEX('File Links'!B:B, MATCH(V348, 'File Links'!C:C, 0))))</f>
        <v>N/A</v>
      </c>
      <c r="Y348" s="65"/>
      <c r="Z348" s="45" t="s">
        <v>148</v>
      </c>
      <c r="AA348" s="45" t="s">
        <v>1984</v>
      </c>
      <c r="AB348" s="45" t="s">
        <v>1985</v>
      </c>
      <c r="AC348" s="45" t="s">
        <v>1986</v>
      </c>
      <c r="AD348" s="65"/>
      <c r="AE348" s="65"/>
      <c r="AF348" s="45">
        <v>258.0</v>
      </c>
      <c r="AG348" s="65"/>
      <c r="AH348" s="65"/>
      <c r="AI348" s="65"/>
      <c r="AJ348" s="45"/>
      <c r="AK348" s="65"/>
      <c r="AL348" s="65"/>
      <c r="AM348" s="67"/>
      <c r="AN348" s="219" t="s">
        <v>138</v>
      </c>
      <c r="AO348" s="65"/>
      <c r="AP348" s="65"/>
      <c r="AQ348" s="65"/>
      <c r="AR348" s="65"/>
      <c r="AS348" s="65"/>
      <c r="AT348" s="65"/>
      <c r="AU348" s="65"/>
      <c r="AV348" s="67"/>
      <c r="AX348" s="68"/>
      <c r="AY348" s="61" t="str">
        <f>IFERROR(__xludf.DUMMYFUNCTION("vlookup(BB348,importrange(""https://docs.google.com/spreadsheets/d/1d2vevQ_7D_v35q4wCQ4RpQ_IPoTwEMB9Yp6ymwlPqew/edit?gid=984458430#gid=984458430"", ""'replication success'!A:K""), 11, FAlSE)"),"#N/A")</f>
        <v>#N/A</v>
      </c>
      <c r="AZ348" s="61" t="str">
        <f>IFERROR(__xludf.DUMMYFUNCTION("vlookup(BB348,importrange(""https://docs.google.com/spreadsheets/d/1d2vevQ_7D_v35q4wCQ4RpQ_IPoTwEMB9Yp6ymwlPqew/edit?gid=984458430#gid=984458430"", ""'replication success'!A:M""), 12, FAlSE)"),"#N/A")</f>
        <v>#N/A</v>
      </c>
      <c r="BA348" s="61" t="str">
        <f>IFERROR(__xludf.DUMMYFUNCTION("vlookup(BB348,importrange(""https://docs.google.com/spreadsheets/d/1d2vevQ_7D_v35q4wCQ4RpQ_IPoTwEMB9Yp6ymwlPqew/edit?gid=984458430#gid=984458430"", ""'replication success'!A:M""), 13, FAlSE)"),"#N/A")</f>
        <v>#N/A</v>
      </c>
      <c r="BB348" s="61" t="str">
        <f>IFERROR(__xludf.DUMMYFUNCTION("REGEXREPLACE(G348, ""_[a-z]{1,2}$"", """")"),"additional_studies5")</f>
        <v>additional_studies5</v>
      </c>
      <c r="BC348" s="45"/>
      <c r="BG348" s="107"/>
      <c r="BH348" s="107"/>
      <c r="BI348" s="107"/>
      <c r="BJ348" s="107"/>
      <c r="BK348" s="107"/>
      <c r="BL348" s="107"/>
      <c r="BM348" s="107"/>
      <c r="BN348" s="107"/>
      <c r="BO348" s="107"/>
      <c r="BP348" s="107"/>
      <c r="BQ348" s="107"/>
      <c r="BR348" s="107"/>
      <c r="BS348" s="107"/>
      <c r="BT348" s="107"/>
      <c r="BU348" s="107"/>
      <c r="BV348" s="107"/>
      <c r="BW348" s="107"/>
      <c r="BX348" s="107"/>
      <c r="BY348" s="107"/>
      <c r="BZ348" s="107"/>
      <c r="CA348" s="107"/>
      <c r="CB348" s="107"/>
      <c r="CC348" s="107"/>
      <c r="CD348" s="107"/>
      <c r="CE348" s="107"/>
      <c r="CF348" s="107"/>
      <c r="CG348" s="107"/>
      <c r="CH348" s="107"/>
      <c r="CI348" s="107"/>
      <c r="CJ348" s="107"/>
      <c r="CK348" s="107"/>
      <c r="CL348" s="107"/>
      <c r="CM348" s="107"/>
      <c r="CN348" s="107"/>
      <c r="CO348" s="107"/>
      <c r="CP348" s="107"/>
      <c r="CQ348" s="107"/>
      <c r="CR348" s="107"/>
      <c r="CS348" s="107"/>
      <c r="CT348" s="107"/>
      <c r="CU348" s="107"/>
      <c r="CV348" s="107"/>
      <c r="CW348" s="107"/>
      <c r="CX348" s="107"/>
      <c r="CY348" s="107"/>
      <c r="CZ348" s="107"/>
      <c r="DA348" s="107"/>
      <c r="DB348" s="107"/>
      <c r="DC348" s="107"/>
      <c r="DD348" s="107"/>
      <c r="DE348" s="107"/>
      <c r="DF348" s="107"/>
      <c r="DG348" s="107"/>
      <c r="DH348" s="107"/>
      <c r="DI348" s="107"/>
      <c r="DJ348" s="107"/>
      <c r="DK348" s="107"/>
      <c r="DL348" s="107"/>
    </row>
    <row r="349" ht="20.25" customHeight="1">
      <c r="A349" s="44">
        <v>349.0</v>
      </c>
      <c r="B349" s="109" t="s">
        <v>285</v>
      </c>
      <c r="C349" s="109" t="s">
        <v>115</v>
      </c>
      <c r="D349" s="109" t="s">
        <v>248</v>
      </c>
      <c r="E349" s="110"/>
      <c r="F349" s="149" t="s">
        <v>1976</v>
      </c>
      <c r="G349" s="109" t="s">
        <v>1987</v>
      </c>
      <c r="H349" s="109" t="s">
        <v>249</v>
      </c>
      <c r="I349" s="144">
        <v>45427.0</v>
      </c>
      <c r="J349" s="145">
        <v>45625.0</v>
      </c>
      <c r="K349" s="109" t="s">
        <v>1988</v>
      </c>
      <c r="L349" s="110"/>
      <c r="M349" s="109" t="s">
        <v>1979</v>
      </c>
      <c r="N349" s="109" t="s">
        <v>1980</v>
      </c>
      <c r="O349" s="110"/>
      <c r="P349" s="146" t="str">
        <f> hyperlink(vlookup(lower(N349),'File Links'!A:B, 2, FALSE), SUBSTITUTE(lower(N349), "/", "--") &amp;  ".pdf")</f>
        <v>10.1111--0023-8333.00112.pdf</v>
      </c>
      <c r="Q349" s="108" t="str">
        <f t="array" ref="Q349"> if(iserror(MATCH(V349, 'File Links'!C:C, 0)), "N/A", HYPERLINK(INDEX('File Links'!B:B, MATCH(P349, 'File Links'!C:C, 0))))</f>
        <v>N/A</v>
      </c>
      <c r="R349" s="109" t="s">
        <v>1981</v>
      </c>
      <c r="S349" s="109" t="s">
        <v>1982</v>
      </c>
      <c r="T349" s="110"/>
      <c r="U349" s="110"/>
      <c r="V349" s="112" t="str">
        <f t="shared" si="10"/>
        <v>10.1007--978-3-031-55844-3_4.pdf</v>
      </c>
      <c r="W349" s="110"/>
      <c r="X349" s="49" t="str">
        <f t="array" ref="X349"> if(iserror(MATCH(V349, 'File Links'!C:C, 0)), "N/A", HYPERLINK(INDEX('File Links'!B:B, MATCH(V349, 'File Links'!C:C, 0))))</f>
        <v>N/A</v>
      </c>
      <c r="Y349" s="110"/>
      <c r="Z349" s="109" t="s">
        <v>947</v>
      </c>
      <c r="AA349" s="110"/>
      <c r="AB349" s="109" t="s">
        <v>1989</v>
      </c>
      <c r="AC349" s="109" t="s">
        <v>1990</v>
      </c>
      <c r="AD349" s="109" t="s">
        <v>1991</v>
      </c>
      <c r="AE349" s="109">
        <v>99.0</v>
      </c>
      <c r="AF349" s="109">
        <v>258.0</v>
      </c>
      <c r="AG349" s="109">
        <v>0.18</v>
      </c>
      <c r="AH349" s="109" t="s">
        <v>361</v>
      </c>
      <c r="AI349" s="110"/>
      <c r="AJ349" s="109">
        <v>0.001</v>
      </c>
      <c r="AK349" s="109" t="s">
        <v>135</v>
      </c>
      <c r="AL349" s="109" t="s">
        <v>186</v>
      </c>
      <c r="AM349" s="71"/>
      <c r="AN349" s="219" t="s">
        <v>138</v>
      </c>
      <c r="AO349" s="109">
        <v>134.0</v>
      </c>
      <c r="AP349" s="109">
        <v>0.18</v>
      </c>
      <c r="AQ349" s="109" t="s">
        <v>361</v>
      </c>
      <c r="AR349" s="110"/>
      <c r="AS349" s="109" t="s">
        <v>257</v>
      </c>
      <c r="AT349" s="109" t="s">
        <v>135</v>
      </c>
      <c r="AU349" s="109" t="s">
        <v>186</v>
      </c>
      <c r="AV349" s="71"/>
      <c r="AW349" s="71"/>
      <c r="AX349" s="111"/>
      <c r="AY349" s="61" t="str">
        <f>IFERROR(__xludf.DUMMYFUNCTION("vlookup(BB349,importrange(""https://docs.google.com/spreadsheets/d/1d2vevQ_7D_v35q4wCQ4RpQ_IPoTwEMB9Yp6ymwlPqew/edit?gid=984458430#gid=984458430"", ""'replication success'!A:K""), 11, FAlSE)"),"#N/A")</f>
        <v>#N/A</v>
      </c>
      <c r="AZ349" s="61" t="str">
        <f>IFERROR(__xludf.DUMMYFUNCTION("vlookup(BB349,importrange(""https://docs.google.com/spreadsheets/d/1d2vevQ_7D_v35q4wCQ4RpQ_IPoTwEMB9Yp6ymwlPqew/edit?gid=984458430#gid=984458430"", ""'replication success'!A:M""), 12, FAlSE)"),"#N/A")</f>
        <v>#N/A</v>
      </c>
      <c r="BA349" s="61" t="str">
        <f>IFERROR(__xludf.DUMMYFUNCTION("vlookup(BB349,importrange(""https://docs.google.com/spreadsheets/d/1d2vevQ_7D_v35q4wCQ4RpQ_IPoTwEMB9Yp6ymwlPqew/edit?gid=984458430#gid=984458430"", ""'replication success'!A:M""), 13, FAlSE)"),"#N/A")</f>
        <v>#N/A</v>
      </c>
      <c r="BB349" s="61" t="str">
        <f>IFERROR(__xludf.DUMMYFUNCTION("REGEXREPLACE(G349, ""_[a-z]{1,2}$"", """")"),"additional_studies5")</f>
        <v>additional_studies5</v>
      </c>
      <c r="BC349" s="65"/>
      <c r="BG349" s="107"/>
      <c r="BH349" s="107"/>
      <c r="BI349" s="107"/>
      <c r="BJ349" s="107"/>
      <c r="BK349" s="107"/>
      <c r="BL349" s="107"/>
      <c r="BM349" s="107"/>
      <c r="BN349" s="107"/>
      <c r="BO349" s="107"/>
      <c r="BP349" s="107"/>
      <c r="BQ349" s="107"/>
      <c r="BR349" s="107"/>
      <c r="BS349" s="107"/>
      <c r="BT349" s="107"/>
      <c r="BU349" s="107"/>
      <c r="BV349" s="107"/>
      <c r="BW349" s="107"/>
      <c r="BX349" s="107"/>
      <c r="BY349" s="107"/>
      <c r="BZ349" s="107"/>
      <c r="CA349" s="107"/>
      <c r="CB349" s="107"/>
      <c r="CC349" s="107"/>
      <c r="CD349" s="107"/>
      <c r="CE349" s="107"/>
      <c r="CF349" s="107"/>
      <c r="CG349" s="107"/>
      <c r="CH349" s="107"/>
      <c r="CI349" s="107"/>
      <c r="CJ349" s="107"/>
      <c r="CK349" s="107"/>
      <c r="CL349" s="107"/>
      <c r="CM349" s="107"/>
      <c r="CN349" s="107"/>
      <c r="CO349" s="107"/>
      <c r="CP349" s="107"/>
      <c r="CQ349" s="107"/>
      <c r="CR349" s="107"/>
      <c r="CS349" s="107"/>
      <c r="CT349" s="107"/>
      <c r="CU349" s="107"/>
      <c r="CV349" s="107"/>
      <c r="CW349" s="107"/>
      <c r="CX349" s="107"/>
      <c r="CY349" s="107"/>
      <c r="CZ349" s="107"/>
      <c r="DA349" s="107"/>
      <c r="DB349" s="107"/>
      <c r="DC349" s="107"/>
      <c r="DD349" s="107"/>
      <c r="DE349" s="107"/>
      <c r="DF349" s="107"/>
      <c r="DG349" s="107"/>
      <c r="DH349" s="107"/>
      <c r="DI349" s="107"/>
      <c r="DJ349" s="107"/>
      <c r="DK349" s="107"/>
      <c r="DL349" s="107"/>
    </row>
    <row r="350" ht="20.25" customHeight="1">
      <c r="A350" s="44">
        <v>350.0</v>
      </c>
      <c r="B350" s="109" t="s">
        <v>285</v>
      </c>
      <c r="C350" s="109" t="s">
        <v>115</v>
      </c>
      <c r="D350" s="109" t="s">
        <v>248</v>
      </c>
      <c r="E350" s="110"/>
      <c r="F350" s="149" t="s">
        <v>1976</v>
      </c>
      <c r="G350" s="109" t="s">
        <v>1992</v>
      </c>
      <c r="H350" s="109" t="s">
        <v>249</v>
      </c>
      <c r="I350" s="144">
        <v>45427.0</v>
      </c>
      <c r="J350" s="145">
        <v>45625.0</v>
      </c>
      <c r="K350" s="109" t="s">
        <v>1993</v>
      </c>
      <c r="L350" s="110"/>
      <c r="M350" s="109" t="s">
        <v>1979</v>
      </c>
      <c r="N350" s="109" t="s">
        <v>1980</v>
      </c>
      <c r="O350" s="110"/>
      <c r="P350" s="146" t="str">
        <f> hyperlink(vlookup(lower(N350),'File Links'!A:B, 2, FALSE), SUBSTITUTE(lower(N350), "/", "--") &amp;  ".pdf")</f>
        <v>10.1111--0023-8333.00112.pdf</v>
      </c>
      <c r="Q350" s="108" t="str">
        <f t="array" ref="Q350"> if(iserror(MATCH(V350, 'File Links'!C:C, 0)), "N/A", HYPERLINK(INDEX('File Links'!B:B, MATCH(P350, 'File Links'!C:C, 0))))</f>
        <v>N/A</v>
      </c>
      <c r="R350" s="109" t="s">
        <v>1981</v>
      </c>
      <c r="S350" s="109" t="s">
        <v>1982</v>
      </c>
      <c r="T350" s="110"/>
      <c r="U350" s="110"/>
      <c r="V350" s="112" t="str">
        <f t="shared" si="10"/>
        <v>10.1007--978-3-031-55844-3_4.pdf</v>
      </c>
      <c r="W350" s="110"/>
      <c r="X350" s="49" t="str">
        <f t="array" ref="X350"> if(iserror(MATCH(V350, 'File Links'!C:C, 0)), "N/A", HYPERLINK(INDEX('File Links'!B:B, MATCH(V350, 'File Links'!C:C, 0))))</f>
        <v>N/A</v>
      </c>
      <c r="Y350" s="110"/>
      <c r="Z350" s="109" t="s">
        <v>947</v>
      </c>
      <c r="AA350" s="110"/>
      <c r="AB350" s="109" t="s">
        <v>1994</v>
      </c>
      <c r="AC350" s="109" t="s">
        <v>1995</v>
      </c>
      <c r="AD350" s="109" t="s">
        <v>1996</v>
      </c>
      <c r="AE350" s="109">
        <v>99.0</v>
      </c>
      <c r="AF350" s="109">
        <v>258.0</v>
      </c>
      <c r="AG350" s="109">
        <v>0.45</v>
      </c>
      <c r="AH350" s="109" t="s">
        <v>361</v>
      </c>
      <c r="AI350" s="110"/>
      <c r="AJ350" s="109">
        <v>0.001</v>
      </c>
      <c r="AK350" s="109" t="s">
        <v>135</v>
      </c>
      <c r="AL350" s="109" t="s">
        <v>186</v>
      </c>
      <c r="AM350" s="71"/>
      <c r="AN350" s="219" t="s">
        <v>138</v>
      </c>
      <c r="AO350" s="109">
        <v>134.0</v>
      </c>
      <c r="AP350" s="109">
        <v>0.43</v>
      </c>
      <c r="AQ350" s="109" t="s">
        <v>361</v>
      </c>
      <c r="AR350" s="110"/>
      <c r="AS350" s="109" t="s">
        <v>267</v>
      </c>
      <c r="AT350" s="109" t="s">
        <v>135</v>
      </c>
      <c r="AU350" s="109" t="s">
        <v>186</v>
      </c>
      <c r="AV350" s="71"/>
      <c r="AW350" s="71"/>
      <c r="AX350" s="111"/>
      <c r="AY350" s="61" t="str">
        <f>IFERROR(__xludf.DUMMYFUNCTION("vlookup(BB350,importrange(""https://docs.google.com/spreadsheets/d/1d2vevQ_7D_v35q4wCQ4RpQ_IPoTwEMB9Yp6ymwlPqew/edit?gid=984458430#gid=984458430"", ""'replication success'!A:K""), 11, FAlSE)"),"#N/A")</f>
        <v>#N/A</v>
      </c>
      <c r="AZ350" s="61" t="str">
        <f>IFERROR(__xludf.DUMMYFUNCTION("vlookup(BB350,importrange(""https://docs.google.com/spreadsheets/d/1d2vevQ_7D_v35q4wCQ4RpQ_IPoTwEMB9Yp6ymwlPqew/edit?gid=984458430#gid=984458430"", ""'replication success'!A:M""), 12, FAlSE)"),"#N/A")</f>
        <v>#N/A</v>
      </c>
      <c r="BA350" s="61" t="str">
        <f>IFERROR(__xludf.DUMMYFUNCTION("vlookup(BB350,importrange(""https://docs.google.com/spreadsheets/d/1d2vevQ_7D_v35q4wCQ4RpQ_IPoTwEMB9Yp6ymwlPqew/edit?gid=984458430#gid=984458430"", ""'replication success'!A:M""), 13, FAlSE)"),"#N/A")</f>
        <v>#N/A</v>
      </c>
      <c r="BB350" s="61" t="str">
        <f>IFERROR(__xludf.DUMMYFUNCTION("REGEXREPLACE(G350, ""_[a-z]{1,2}$"", """")"),"additional_studies5")</f>
        <v>additional_studies5</v>
      </c>
      <c r="BC350" s="65"/>
      <c r="BG350" s="107"/>
      <c r="BH350" s="107"/>
      <c r="BI350" s="107"/>
      <c r="BJ350" s="107"/>
      <c r="BK350" s="107"/>
      <c r="BL350" s="107"/>
      <c r="BM350" s="107"/>
      <c r="BN350" s="107"/>
      <c r="BO350" s="107"/>
      <c r="BP350" s="107"/>
      <c r="BQ350" s="107"/>
      <c r="BR350" s="107"/>
      <c r="BS350" s="107"/>
      <c r="BT350" s="107"/>
      <c r="BU350" s="107"/>
      <c r="BV350" s="107"/>
      <c r="BW350" s="107"/>
      <c r="BX350" s="107"/>
      <c r="BY350" s="107"/>
      <c r="BZ350" s="107"/>
      <c r="CA350" s="107"/>
      <c r="CB350" s="107"/>
      <c r="CC350" s="107"/>
      <c r="CD350" s="107"/>
      <c r="CE350" s="107"/>
      <c r="CF350" s="107"/>
      <c r="CG350" s="107"/>
      <c r="CH350" s="107"/>
      <c r="CI350" s="107"/>
      <c r="CJ350" s="107"/>
      <c r="CK350" s="107"/>
      <c r="CL350" s="107"/>
      <c r="CM350" s="107"/>
      <c r="CN350" s="107"/>
      <c r="CO350" s="107"/>
      <c r="CP350" s="107"/>
      <c r="CQ350" s="107"/>
      <c r="CR350" s="107"/>
      <c r="CS350" s="107"/>
      <c r="CT350" s="107"/>
      <c r="CU350" s="107"/>
      <c r="CV350" s="107"/>
      <c r="CW350" s="107"/>
      <c r="CX350" s="107"/>
      <c r="CY350" s="107"/>
      <c r="CZ350" s="107"/>
      <c r="DA350" s="107"/>
      <c r="DB350" s="107"/>
      <c r="DC350" s="107"/>
      <c r="DD350" s="107"/>
      <c r="DE350" s="107"/>
      <c r="DF350" s="107"/>
      <c r="DG350" s="107"/>
      <c r="DH350" s="107"/>
      <c r="DI350" s="107"/>
      <c r="DJ350" s="107"/>
      <c r="DK350" s="107"/>
      <c r="DL350" s="107"/>
    </row>
    <row r="351" ht="20.25" customHeight="1">
      <c r="A351" s="44">
        <v>351.0</v>
      </c>
      <c r="B351" s="109" t="s">
        <v>285</v>
      </c>
      <c r="C351" s="109" t="s">
        <v>115</v>
      </c>
      <c r="D351" s="109" t="s">
        <v>248</v>
      </c>
      <c r="E351" s="110"/>
      <c r="F351" s="149" t="s">
        <v>1976</v>
      </c>
      <c r="G351" s="109" t="s">
        <v>1997</v>
      </c>
      <c r="H351" s="109" t="s">
        <v>249</v>
      </c>
      <c r="I351" s="144">
        <v>45427.0</v>
      </c>
      <c r="J351" s="145">
        <v>45625.0</v>
      </c>
      <c r="K351" s="109" t="s">
        <v>1998</v>
      </c>
      <c r="L351" s="110"/>
      <c r="M351" s="109" t="s">
        <v>1979</v>
      </c>
      <c r="N351" s="109" t="s">
        <v>1980</v>
      </c>
      <c r="O351" s="110"/>
      <c r="P351" s="146" t="str">
        <f> hyperlink(vlookup(lower(N351),'File Links'!A:B, 2, FALSE), SUBSTITUTE(lower(N351), "/", "--") &amp;  ".pdf")</f>
        <v>10.1111--0023-8333.00112.pdf</v>
      </c>
      <c r="Q351" s="108" t="str">
        <f t="array" ref="Q351"> if(iserror(MATCH(V351, 'File Links'!C:C, 0)), "N/A", HYPERLINK(INDEX('File Links'!B:B, MATCH(P351, 'File Links'!C:C, 0))))</f>
        <v>N/A</v>
      </c>
      <c r="R351" s="109" t="s">
        <v>1981</v>
      </c>
      <c r="S351" s="109" t="s">
        <v>1982</v>
      </c>
      <c r="T351" s="110"/>
      <c r="U351" s="110"/>
      <c r="V351" s="112" t="str">
        <f t="shared" si="10"/>
        <v>10.1007--978-3-031-55844-3_4.pdf</v>
      </c>
      <c r="W351" s="110"/>
      <c r="X351" s="49" t="str">
        <f t="array" ref="X351"> if(iserror(MATCH(V351, 'File Links'!C:C, 0)), "N/A", HYPERLINK(INDEX('File Links'!B:B, MATCH(V351, 'File Links'!C:C, 0))))</f>
        <v>N/A</v>
      </c>
      <c r="Y351" s="110"/>
      <c r="Z351" s="109" t="s">
        <v>947</v>
      </c>
      <c r="AA351" s="110"/>
      <c r="AB351" s="109" t="s">
        <v>1999</v>
      </c>
      <c r="AC351" s="109" t="s">
        <v>2000</v>
      </c>
      <c r="AD351" s="109" t="s">
        <v>2001</v>
      </c>
      <c r="AE351" s="109">
        <v>99.0</v>
      </c>
      <c r="AF351" s="109">
        <v>258.0</v>
      </c>
      <c r="AG351" s="109">
        <v>0.32</v>
      </c>
      <c r="AH351" s="109" t="s">
        <v>361</v>
      </c>
      <c r="AI351" s="110"/>
      <c r="AJ351" s="109">
        <v>0.001</v>
      </c>
      <c r="AK351" s="109" t="s">
        <v>135</v>
      </c>
      <c r="AL351" s="109" t="s">
        <v>186</v>
      </c>
      <c r="AM351" s="71"/>
      <c r="AN351" s="219" t="s">
        <v>138</v>
      </c>
      <c r="AO351" s="109">
        <v>134.0</v>
      </c>
      <c r="AP351" s="109">
        <v>0.31</v>
      </c>
      <c r="AQ351" s="109" t="s">
        <v>361</v>
      </c>
      <c r="AR351" s="110"/>
      <c r="AS351" s="109" t="s">
        <v>267</v>
      </c>
      <c r="AT351" s="109" t="s">
        <v>135</v>
      </c>
      <c r="AU351" s="109" t="s">
        <v>186</v>
      </c>
      <c r="AV351" s="71"/>
      <c r="AW351" s="71"/>
      <c r="AX351" s="111"/>
      <c r="AY351" s="61" t="str">
        <f>IFERROR(__xludf.DUMMYFUNCTION("vlookup(BB351,importrange(""https://docs.google.com/spreadsheets/d/1d2vevQ_7D_v35q4wCQ4RpQ_IPoTwEMB9Yp6ymwlPqew/edit?gid=984458430#gid=984458430"", ""'replication success'!A:K""), 11, FAlSE)"),"#N/A")</f>
        <v>#N/A</v>
      </c>
      <c r="AZ351" s="61" t="str">
        <f>IFERROR(__xludf.DUMMYFUNCTION("vlookup(BB351,importrange(""https://docs.google.com/spreadsheets/d/1d2vevQ_7D_v35q4wCQ4RpQ_IPoTwEMB9Yp6ymwlPqew/edit?gid=984458430#gid=984458430"", ""'replication success'!A:M""), 12, FAlSE)"),"#N/A")</f>
        <v>#N/A</v>
      </c>
      <c r="BA351" s="61" t="str">
        <f>IFERROR(__xludf.DUMMYFUNCTION("vlookup(BB351,importrange(""https://docs.google.com/spreadsheets/d/1d2vevQ_7D_v35q4wCQ4RpQ_IPoTwEMB9Yp6ymwlPqew/edit?gid=984458430#gid=984458430"", ""'replication success'!A:M""), 13, FAlSE)"),"#N/A")</f>
        <v>#N/A</v>
      </c>
      <c r="BB351" s="61" t="str">
        <f>IFERROR(__xludf.DUMMYFUNCTION("REGEXREPLACE(G351, ""_[a-z]{1,2}$"", """")"),"additional_studies5")</f>
        <v>additional_studies5</v>
      </c>
      <c r="BC351" s="65"/>
      <c r="BG351" s="107"/>
      <c r="BH351" s="107"/>
      <c r="BI351" s="107"/>
      <c r="BJ351" s="107"/>
      <c r="BK351" s="107"/>
      <c r="BL351" s="107"/>
      <c r="BM351" s="107"/>
      <c r="BN351" s="107"/>
      <c r="BO351" s="107"/>
      <c r="BP351" s="107"/>
      <c r="BQ351" s="107"/>
      <c r="BR351" s="107"/>
      <c r="BS351" s="107"/>
      <c r="BT351" s="107"/>
      <c r="BU351" s="107"/>
      <c r="BV351" s="107"/>
      <c r="BW351" s="107"/>
      <c r="BX351" s="107"/>
      <c r="BY351" s="107"/>
      <c r="BZ351" s="107"/>
      <c r="CA351" s="107"/>
      <c r="CB351" s="107"/>
      <c r="CC351" s="107"/>
      <c r="CD351" s="107"/>
      <c r="CE351" s="107"/>
      <c r="CF351" s="107"/>
      <c r="CG351" s="107"/>
      <c r="CH351" s="107"/>
      <c r="CI351" s="107"/>
      <c r="CJ351" s="107"/>
      <c r="CK351" s="107"/>
      <c r="CL351" s="107"/>
      <c r="CM351" s="107"/>
      <c r="CN351" s="107"/>
      <c r="CO351" s="107"/>
      <c r="CP351" s="107"/>
      <c r="CQ351" s="107"/>
      <c r="CR351" s="107"/>
      <c r="CS351" s="107"/>
      <c r="CT351" s="107"/>
      <c r="CU351" s="107"/>
      <c r="CV351" s="107"/>
      <c r="CW351" s="107"/>
      <c r="CX351" s="107"/>
      <c r="CY351" s="107"/>
      <c r="CZ351" s="107"/>
      <c r="DA351" s="107"/>
      <c r="DB351" s="107"/>
      <c r="DC351" s="107"/>
      <c r="DD351" s="107"/>
      <c r="DE351" s="107"/>
      <c r="DF351" s="107"/>
      <c r="DG351" s="107"/>
      <c r="DH351" s="107"/>
      <c r="DI351" s="107"/>
      <c r="DJ351" s="107"/>
      <c r="DK351" s="107"/>
      <c r="DL351" s="107"/>
    </row>
    <row r="352" ht="20.25" customHeight="1">
      <c r="A352" s="44">
        <v>352.0</v>
      </c>
      <c r="B352" s="45" t="s">
        <v>114</v>
      </c>
      <c r="C352" s="45" t="s">
        <v>115</v>
      </c>
      <c r="D352" s="45" t="s">
        <v>199</v>
      </c>
      <c r="E352" s="65"/>
      <c r="F352" s="68" t="s">
        <v>2002</v>
      </c>
      <c r="G352" s="57" t="s">
        <v>2003</v>
      </c>
      <c r="H352" s="57" t="s">
        <v>202</v>
      </c>
      <c r="I352" s="434">
        <v>45639.0</v>
      </c>
      <c r="J352" s="540">
        <v>45670.0</v>
      </c>
      <c r="K352" s="57" t="s">
        <v>2004</v>
      </c>
      <c r="L352" s="61"/>
      <c r="M352" s="57" t="s">
        <v>2005</v>
      </c>
      <c r="N352" s="57" t="s">
        <v>2006</v>
      </c>
      <c r="O352" s="61"/>
      <c r="P352" s="377" t="s">
        <v>2007</v>
      </c>
      <c r="Q352" s="52" t="str">
        <f t="array" ref="Q352"> if(iserror(MATCH(V352, 'File Links'!C:C, 0)), "N/A", HYPERLINK(INDEX('File Links'!B:B, MATCH(P352, 'File Links'!C:C, 0))))</f>
        <v>https://drive.google.com/file/d/1TtkPI6YvV3JyoWKI8Z0FTVrehrNka7__/view?usp=drivesdk</v>
      </c>
      <c r="R352" s="57" t="s">
        <v>2008</v>
      </c>
      <c r="S352" s="57" t="s">
        <v>2009</v>
      </c>
      <c r="T352" s="61"/>
      <c r="U352" s="338"/>
      <c r="V352" s="112" t="str">
        <f t="shared" si="10"/>
        <v>10.31234--osf.io--kpcwv.pdf</v>
      </c>
      <c r="W352" s="57" t="s">
        <v>209</v>
      </c>
      <c r="X352" s="54" t="str">
        <f t="array" ref="X352"> if(iserror(MATCH(V352, 'File Links'!C:C, 0)), "N/A", HYPERLINK(INDEX('File Links'!B:B, MATCH(V352, 'File Links'!C:C, 0))))</f>
        <v>https://drive.google.com/file/d/1Eufb0NfIAz03c6rDvfbVDbjGjjReVYgi/view?usp=drivesdk</v>
      </c>
      <c r="Y352" s="61"/>
      <c r="Z352" s="57" t="s">
        <v>2010</v>
      </c>
      <c r="AA352" s="57" t="s">
        <v>2011</v>
      </c>
      <c r="AB352" s="57" t="s">
        <v>2012</v>
      </c>
      <c r="AC352" s="61"/>
      <c r="AD352" s="61"/>
      <c r="AE352" s="61"/>
      <c r="AF352" s="61"/>
      <c r="AG352" s="61"/>
      <c r="AH352" s="338"/>
      <c r="AI352" s="61"/>
      <c r="AJ352" s="61"/>
      <c r="AK352" s="68"/>
      <c r="AL352" s="61"/>
      <c r="AM352" s="61"/>
      <c r="AN352" s="219" t="s">
        <v>138</v>
      </c>
      <c r="AO352" s="61"/>
      <c r="AP352" s="61"/>
      <c r="AQ352" s="61"/>
      <c r="AR352" s="61"/>
      <c r="AS352" s="61"/>
      <c r="AT352" s="68"/>
      <c r="AU352" s="68"/>
      <c r="AV352" s="68"/>
      <c r="AW352" s="68"/>
      <c r="AX352" s="68"/>
      <c r="AY352" s="61" t="str">
        <f>IFERROR(__xludf.DUMMYFUNCTION("vlookup(BB352,importrange(""https://docs.google.com/spreadsheets/d/1d2vevQ_7D_v35q4wCQ4RpQ_IPoTwEMB9Yp6ymwlPqew/edit?gid=984458430#gid=984458430"", ""'replication success'!A:K""), 11, FAlSE)"),"#N/A")</f>
        <v>#N/A</v>
      </c>
      <c r="AZ352" s="61" t="str">
        <f>IFERROR(__xludf.DUMMYFUNCTION("vlookup(BB352,importrange(""https://docs.google.com/spreadsheets/d/1d2vevQ_7D_v35q4wCQ4RpQ_IPoTwEMB9Yp6ymwlPqew/edit?gid=984458430#gid=984458430"", ""'replication success'!A:M""), 12, FAlSE)"),"#N/A")</f>
        <v>#N/A</v>
      </c>
      <c r="BA352" s="61" t="str">
        <f>IFERROR(__xludf.DUMMYFUNCTION("vlookup(BB352,importrange(""https://docs.google.com/spreadsheets/d/1d2vevQ_7D_v35q4wCQ4RpQ_IPoTwEMB9Yp6ymwlPqew/edit?gid=984458430#gid=984458430"", ""'replication success'!A:M""), 13, FAlSE)"),"#N/A")</f>
        <v>#N/A</v>
      </c>
      <c r="BB352" s="61" t="str">
        <f>IFERROR(__xludf.DUMMYFUNCTION("REGEXREPLACE(G352, ""_[a-z]{1,2}$"", """")"),"additional_studies50")</f>
        <v>additional_studies50</v>
      </c>
      <c r="BC352" s="61"/>
      <c r="BD352" s="62" t="s">
        <v>144</v>
      </c>
      <c r="BG352" s="71"/>
      <c r="BH352" s="71"/>
      <c r="BI352" s="71"/>
      <c r="BJ352" s="71"/>
      <c r="BK352" s="71"/>
      <c r="BL352" s="71"/>
      <c r="BM352" s="71"/>
      <c r="BN352" s="71"/>
      <c r="BO352" s="71"/>
      <c r="BP352" s="71"/>
      <c r="BQ352" s="71"/>
      <c r="BR352" s="71"/>
      <c r="BS352" s="71"/>
      <c r="BT352" s="71"/>
      <c r="BU352" s="71"/>
      <c r="BV352" s="71"/>
      <c r="BW352" s="71"/>
      <c r="BX352" s="71"/>
      <c r="BY352" s="71"/>
      <c r="BZ352" s="71"/>
      <c r="CA352" s="71"/>
      <c r="CB352" s="71"/>
      <c r="CC352" s="71"/>
      <c r="CD352" s="71"/>
      <c r="CE352" s="71"/>
      <c r="CF352" s="71"/>
      <c r="CG352" s="71"/>
      <c r="CH352" s="71"/>
      <c r="CI352" s="71"/>
      <c r="CJ352" s="71"/>
      <c r="CK352" s="71"/>
      <c r="CL352" s="71"/>
      <c r="CM352" s="71"/>
      <c r="CN352" s="71"/>
      <c r="CO352" s="71"/>
      <c r="CP352" s="71"/>
      <c r="CQ352" s="71"/>
      <c r="CR352" s="71"/>
      <c r="CS352" s="71"/>
      <c r="CT352" s="71"/>
      <c r="CU352" s="71"/>
      <c r="CV352" s="71"/>
      <c r="CW352" s="71"/>
      <c r="CX352" s="71"/>
      <c r="CY352" s="71"/>
      <c r="CZ352" s="71"/>
      <c r="DA352" s="71"/>
      <c r="DB352" s="71"/>
      <c r="DC352" s="71"/>
      <c r="DD352" s="71"/>
      <c r="DE352" s="71"/>
      <c r="DF352" s="71"/>
      <c r="DG352" s="71"/>
      <c r="DH352" s="71"/>
      <c r="DI352" s="71"/>
      <c r="DJ352" s="71"/>
      <c r="DK352" s="71"/>
      <c r="DL352" s="71"/>
    </row>
    <row r="353" ht="20.25" customHeight="1">
      <c r="A353" s="44">
        <v>353.0</v>
      </c>
      <c r="B353" s="45" t="s">
        <v>2013</v>
      </c>
      <c r="C353" s="62" t="s">
        <v>115</v>
      </c>
      <c r="D353" s="62" t="s">
        <v>286</v>
      </c>
      <c r="F353" s="68" t="s">
        <v>2002</v>
      </c>
      <c r="G353" s="57" t="s">
        <v>2003</v>
      </c>
      <c r="H353" s="151" t="s">
        <v>286</v>
      </c>
      <c r="I353" s="152">
        <v>45634.0</v>
      </c>
      <c r="J353" s="540">
        <v>45670.0</v>
      </c>
      <c r="K353" s="159" t="s">
        <v>2014</v>
      </c>
      <c r="L353" s="68"/>
      <c r="M353" s="680" t="s">
        <v>2015</v>
      </c>
      <c r="N353" s="159" t="s">
        <v>2006</v>
      </c>
      <c r="O353" s="129">
        <v>1.0</v>
      </c>
      <c r="P353" s="309" t="s">
        <v>2007</v>
      </c>
      <c r="Q353" s="52" t="str">
        <f t="array" ref="Q353"> if(iserror(MATCH(V353, 'File Links'!C:C, 0)), "N/A", HYPERLINK(INDEX('File Links'!B:B, MATCH(P353, 'File Links'!C:C, 0))))</f>
        <v>https://drive.google.com/file/d/1TtkPI6YvV3JyoWKI8Z0FTVrehrNka7__/view?usp=drivesdk</v>
      </c>
      <c r="R353" s="159" t="s">
        <v>2008</v>
      </c>
      <c r="S353" s="159" t="s">
        <v>2009</v>
      </c>
      <c r="T353" s="68"/>
      <c r="U353" s="147">
        <v>1.0</v>
      </c>
      <c r="V353" s="112" t="str">
        <f t="shared" si="10"/>
        <v>10.31234--osf.io--kpcwv.pdf</v>
      </c>
      <c r="W353" s="159" t="s">
        <v>2016</v>
      </c>
      <c r="X353" s="54" t="str">
        <f t="array" ref="X353"> if(iserror(MATCH(V353, 'File Links'!C:C, 0)), "N/A", HYPERLINK(INDEX('File Links'!B:B, MATCH(V353, 'File Links'!C:C, 0))))</f>
        <v>https://drive.google.com/file/d/1Eufb0NfIAz03c6rDvfbVDbjGjjReVYgi/view?usp=drivesdk</v>
      </c>
      <c r="Y353" s="159"/>
      <c r="Z353" s="57" t="s">
        <v>2010</v>
      </c>
      <c r="AA353" s="159" t="s">
        <v>2017</v>
      </c>
      <c r="AB353" s="151" t="s">
        <v>2018</v>
      </c>
      <c r="AC353" s="159" t="s">
        <v>2019</v>
      </c>
      <c r="AD353" s="151" t="s">
        <v>2020</v>
      </c>
      <c r="AE353" s="156">
        <v>8.0</v>
      </c>
      <c r="AF353" s="156">
        <v>498.0</v>
      </c>
      <c r="AG353" s="156">
        <v>44.25</v>
      </c>
      <c r="AH353" s="339" t="s">
        <v>2021</v>
      </c>
      <c r="AI353" s="57" t="s">
        <v>1042</v>
      </c>
      <c r="AJ353" s="57" t="s">
        <v>1535</v>
      </c>
      <c r="AK353" s="57" t="s">
        <v>1535</v>
      </c>
      <c r="AL353" s="57" t="s">
        <v>186</v>
      </c>
      <c r="AM353" s="57" t="s">
        <v>1535</v>
      </c>
      <c r="AN353" s="219" t="s">
        <v>138</v>
      </c>
      <c r="AO353" s="156">
        <v>500.0</v>
      </c>
      <c r="AP353" s="156">
        <v>44.14</v>
      </c>
      <c r="AQ353" s="159" t="s">
        <v>2021</v>
      </c>
      <c r="AR353" s="159" t="s">
        <v>2022</v>
      </c>
      <c r="AS353" s="159" t="s">
        <v>1535</v>
      </c>
      <c r="AT353" s="68"/>
      <c r="AU353" s="68"/>
      <c r="AV353" s="68"/>
      <c r="AW353" s="441" t="s">
        <v>2023</v>
      </c>
      <c r="AX353" s="68" t="s">
        <v>438</v>
      </c>
      <c r="AY353" s="61" t="str">
        <f>IFERROR(__xludf.DUMMYFUNCTION("vlookup(BB353,importrange(""https://docs.google.com/spreadsheets/d/1d2vevQ_7D_v35q4wCQ4RpQ_IPoTwEMB9Yp6ymwlPqew/edit?gid=984458430#gid=984458430"", ""'replication success'!A:K""), 11, FAlSE)"),"#N/A")</f>
        <v>#N/A</v>
      </c>
      <c r="AZ353" s="61" t="str">
        <f>IFERROR(__xludf.DUMMYFUNCTION("vlookup(BB353,importrange(""https://docs.google.com/spreadsheets/d/1d2vevQ_7D_v35q4wCQ4RpQ_IPoTwEMB9Yp6ymwlPqew/edit?gid=984458430#gid=984458430"", ""'replication success'!A:M""), 12, FAlSE)"),"#N/A")</f>
        <v>#N/A</v>
      </c>
      <c r="BA353" s="61" t="str">
        <f>IFERROR(__xludf.DUMMYFUNCTION("vlookup(BB353,importrange(""https://docs.google.com/spreadsheets/d/1d2vevQ_7D_v35q4wCQ4RpQ_IPoTwEMB9Yp6ymwlPqew/edit?gid=984458430#gid=984458430"", ""'replication success'!A:M""), 13, FAlSE)"),"#N/A")</f>
        <v>#N/A</v>
      </c>
      <c r="BB353" s="61" t="str">
        <f>IFERROR(__xludf.DUMMYFUNCTION("REGEXREPLACE(G353, ""_[a-z]{1,2}$"", """")"),"additional_studies50")</f>
        <v>additional_studies50</v>
      </c>
      <c r="BC353" s="68"/>
      <c r="BD353" s="62" t="s">
        <v>144</v>
      </c>
      <c r="BG353" s="71"/>
      <c r="BH353" s="71"/>
      <c r="BI353" s="71"/>
      <c r="BJ353" s="71"/>
      <c r="BK353" s="71"/>
      <c r="BL353" s="71"/>
      <c r="BM353" s="71"/>
      <c r="BN353" s="71"/>
      <c r="BO353" s="71"/>
      <c r="BP353" s="71"/>
      <c r="BQ353" s="71"/>
      <c r="BR353" s="71"/>
      <c r="BS353" s="71"/>
      <c r="BT353" s="71"/>
      <c r="BU353" s="71"/>
      <c r="BV353" s="71"/>
      <c r="BW353" s="71"/>
      <c r="BX353" s="71"/>
      <c r="BY353" s="71"/>
      <c r="BZ353" s="71"/>
      <c r="CA353" s="71"/>
      <c r="CB353" s="71"/>
      <c r="CC353" s="71"/>
      <c r="CD353" s="71"/>
      <c r="CE353" s="71"/>
      <c r="CF353" s="71"/>
      <c r="CG353" s="71"/>
      <c r="CH353" s="71"/>
      <c r="CI353" s="71"/>
      <c r="CJ353" s="71"/>
      <c r="CK353" s="71"/>
      <c r="CL353" s="71"/>
      <c r="CM353" s="71"/>
      <c r="CN353" s="71"/>
      <c r="CO353" s="71"/>
      <c r="CP353" s="71"/>
      <c r="CQ353" s="71"/>
      <c r="CR353" s="71"/>
      <c r="CS353" s="71"/>
      <c r="CT353" s="71"/>
      <c r="CU353" s="71"/>
      <c r="CV353" s="71"/>
      <c r="CW353" s="71"/>
      <c r="CX353" s="71"/>
      <c r="CY353" s="71"/>
      <c r="CZ353" s="71"/>
      <c r="DA353" s="71"/>
      <c r="DB353" s="71"/>
      <c r="DC353" s="71"/>
      <c r="DD353" s="71"/>
      <c r="DE353" s="71"/>
      <c r="DF353" s="71"/>
      <c r="DG353" s="71"/>
      <c r="DH353" s="71"/>
      <c r="DI353" s="71"/>
      <c r="DJ353" s="71"/>
      <c r="DK353" s="71"/>
      <c r="DL353" s="71"/>
    </row>
    <row r="354" ht="20.25" customHeight="1">
      <c r="A354" s="44">
        <v>354.0</v>
      </c>
      <c r="B354" s="45" t="s">
        <v>2013</v>
      </c>
      <c r="C354" s="700" t="s">
        <v>115</v>
      </c>
      <c r="D354" s="45" t="s">
        <v>199</v>
      </c>
      <c r="E354" s="65"/>
      <c r="F354" s="68" t="s">
        <v>2024</v>
      </c>
      <c r="G354" s="57" t="s">
        <v>2025</v>
      </c>
      <c r="H354" s="57" t="s">
        <v>202</v>
      </c>
      <c r="I354" s="434">
        <v>45639.0</v>
      </c>
      <c r="J354" s="540">
        <v>45670.0</v>
      </c>
      <c r="K354" s="57" t="s">
        <v>2026</v>
      </c>
      <c r="L354" s="61"/>
      <c r="M354" s="57" t="s">
        <v>2027</v>
      </c>
      <c r="N354" s="593" t="s">
        <v>2028</v>
      </c>
      <c r="O354" s="61"/>
      <c r="P354" s="382" t="s">
        <v>2029</v>
      </c>
      <c r="Q354" s="52" t="str">
        <f t="array" ref="Q354"> if(iserror(MATCH(V354, 'File Links'!C:C, 0)), "N/A", HYPERLINK(INDEX('File Links'!B:B, MATCH(P354, 'File Links'!C:C, 0))))</f>
        <v>https://drive.google.com/file/d/1vzu_sqHQexZD23Pac-duPSmK-pGIptlf/view?usp=drivesdk</v>
      </c>
      <c r="R354" s="57" t="s">
        <v>2030</v>
      </c>
      <c r="S354" s="129" t="s">
        <v>2031</v>
      </c>
      <c r="T354" s="61"/>
      <c r="U354" s="338"/>
      <c r="V354" s="112" t="str">
        <f t="shared" si="10"/>
        <v>qt8p5673qn.pdf</v>
      </c>
      <c r="W354" s="61"/>
      <c r="X354" s="54" t="str">
        <f t="array" ref="X354"> if(iserror(MATCH(V354, 'File Links'!C:C, 0)), "N/A", HYPERLINK(INDEX('File Links'!B:B, MATCH(V354, 'File Links'!C:C, 0))))</f>
        <v>https://drive.google.com/file/d/1cCkHaNWOPS3ds7SCRQ2FwENlloP5Ay-l/view?usp=drivesdk</v>
      </c>
      <c r="Y354" s="61"/>
      <c r="Z354" s="61"/>
      <c r="AA354" s="61"/>
      <c r="AB354" s="61"/>
      <c r="AC354" s="61"/>
      <c r="AD354" s="61"/>
      <c r="AE354" s="61"/>
      <c r="AF354" s="61"/>
      <c r="AG354" s="61"/>
      <c r="AH354" s="338"/>
      <c r="AI354" s="61"/>
      <c r="AJ354" s="61"/>
      <c r="AK354" s="68"/>
      <c r="AL354" s="61"/>
      <c r="AM354" s="61"/>
      <c r="AN354" s="219" t="s">
        <v>138</v>
      </c>
      <c r="AO354" s="61"/>
      <c r="AP354" s="61"/>
      <c r="AQ354" s="61"/>
      <c r="AR354" s="61"/>
      <c r="AS354" s="61"/>
      <c r="AT354" s="68"/>
      <c r="AU354" s="68"/>
      <c r="AV354" s="68"/>
      <c r="AW354" s="68"/>
      <c r="AX354" s="68"/>
      <c r="AY354" s="61" t="str">
        <f>IFERROR(__xludf.DUMMYFUNCTION("vlookup(BB354,importrange(""https://docs.google.com/spreadsheets/d/1d2vevQ_7D_v35q4wCQ4RpQ_IPoTwEMB9Yp6ymwlPqew/edit?gid=984458430#gid=984458430"", ""'replication success'!A:K""), 11, FAlSE)"),"#N/A")</f>
        <v>#N/A</v>
      </c>
      <c r="AZ354" s="61" t="str">
        <f>IFERROR(__xludf.DUMMYFUNCTION("vlookup(BB354,importrange(""https://docs.google.com/spreadsheets/d/1d2vevQ_7D_v35q4wCQ4RpQ_IPoTwEMB9Yp6ymwlPqew/edit?gid=984458430#gid=984458430"", ""'replication success'!A:M""), 12, FAlSE)"),"#N/A")</f>
        <v>#N/A</v>
      </c>
      <c r="BA354" s="61" t="str">
        <f>IFERROR(__xludf.DUMMYFUNCTION("vlookup(BB354,importrange(""https://docs.google.com/spreadsheets/d/1d2vevQ_7D_v35q4wCQ4RpQ_IPoTwEMB9Yp6ymwlPqew/edit?gid=984458430#gid=984458430"", ""'replication success'!A:M""), 13, FAlSE)"),"#N/A")</f>
        <v>#N/A</v>
      </c>
      <c r="BB354" s="61" t="str">
        <f>IFERROR(__xludf.DUMMYFUNCTION("REGEXREPLACE(G354, ""_[a-z]{1,2}$"", """")"),"additional_studies51")</f>
        <v>additional_studies51</v>
      </c>
      <c r="BC354" s="61"/>
      <c r="BD354" s="62" t="s">
        <v>144</v>
      </c>
      <c r="BG354" s="71"/>
      <c r="BH354" s="71"/>
      <c r="BI354" s="71"/>
      <c r="BJ354" s="71"/>
      <c r="BK354" s="71"/>
      <c r="BL354" s="71"/>
      <c r="BM354" s="71"/>
      <c r="BN354" s="71"/>
      <c r="BO354" s="71"/>
      <c r="BP354" s="71"/>
      <c r="BQ354" s="71"/>
      <c r="BR354" s="71"/>
      <c r="BS354" s="71"/>
      <c r="BT354" s="71"/>
      <c r="BU354" s="71"/>
      <c r="BV354" s="71"/>
      <c r="BW354" s="71"/>
      <c r="BX354" s="71"/>
      <c r="BY354" s="71"/>
      <c r="BZ354" s="71"/>
      <c r="CA354" s="71"/>
      <c r="CB354" s="71"/>
      <c r="CC354" s="71"/>
      <c r="CD354" s="71"/>
      <c r="CE354" s="71"/>
      <c r="CF354" s="71"/>
      <c r="CG354" s="71"/>
      <c r="CH354" s="71"/>
      <c r="CI354" s="71"/>
      <c r="CJ354" s="71"/>
      <c r="CK354" s="71"/>
      <c r="CL354" s="71"/>
      <c r="CM354" s="71"/>
      <c r="CN354" s="71"/>
      <c r="CO354" s="71"/>
      <c r="CP354" s="71"/>
      <c r="CQ354" s="71"/>
      <c r="CR354" s="71"/>
      <c r="CS354" s="71"/>
      <c r="CT354" s="71"/>
      <c r="CU354" s="71"/>
      <c r="CV354" s="71"/>
      <c r="CW354" s="71"/>
      <c r="CX354" s="71"/>
      <c r="CY354" s="71"/>
      <c r="CZ354" s="71"/>
      <c r="DA354" s="71"/>
      <c r="DB354" s="71"/>
      <c r="DC354" s="71"/>
      <c r="DD354" s="71"/>
      <c r="DE354" s="71"/>
      <c r="DF354" s="71"/>
      <c r="DG354" s="71"/>
      <c r="DH354" s="71"/>
      <c r="DI354" s="71"/>
      <c r="DJ354" s="71"/>
      <c r="DK354" s="71"/>
      <c r="DL354" s="71"/>
    </row>
    <row r="355" ht="20.25" customHeight="1">
      <c r="A355" s="44">
        <v>355.0</v>
      </c>
      <c r="B355" s="45" t="s">
        <v>114</v>
      </c>
      <c r="C355" s="531" t="s">
        <v>115</v>
      </c>
      <c r="D355" s="62" t="s">
        <v>286</v>
      </c>
      <c r="F355" s="68" t="s">
        <v>2024</v>
      </c>
      <c r="G355" s="57" t="s">
        <v>2025</v>
      </c>
      <c r="H355" s="151" t="s">
        <v>286</v>
      </c>
      <c r="I355" s="152">
        <v>45634.0</v>
      </c>
      <c r="J355" s="540">
        <v>45670.0</v>
      </c>
      <c r="K355" s="159" t="s">
        <v>1828</v>
      </c>
      <c r="L355" s="68"/>
      <c r="M355" s="159" t="s">
        <v>2027</v>
      </c>
      <c r="N355" s="680" t="s">
        <v>2028</v>
      </c>
      <c r="O355" s="68"/>
      <c r="P355" s="382" t="s">
        <v>2029</v>
      </c>
      <c r="Q355" s="52" t="str">
        <f t="array" ref="Q355"> if(iserror(MATCH(V355, 'File Links'!C:C, 0)), "N/A", HYPERLINK(INDEX('File Links'!B:B, MATCH(P355, 'File Links'!C:C, 0))))</f>
        <v>https://drive.google.com/file/d/1vzu_sqHQexZD23Pac-duPSmK-pGIptlf/view?usp=drivesdk</v>
      </c>
      <c r="R355" s="159" t="s">
        <v>2030</v>
      </c>
      <c r="S355" s="68"/>
      <c r="T355" s="310" t="s">
        <v>2032</v>
      </c>
      <c r="U355" s="68"/>
      <c r="V355" s="382" t="s">
        <v>2033</v>
      </c>
      <c r="W355" s="151" t="s">
        <v>209</v>
      </c>
      <c r="X355" s="54" t="str">
        <f t="array" ref="X355"> if(iserror(MATCH(V355, 'File Links'!C:C, 0)), "N/A", HYPERLINK(INDEX('File Links'!B:B, MATCH(V355, 'File Links'!C:C, 0))))</f>
        <v>https://drive.google.com/file/d/1lAHnrSuQxWM2CdT06_FM1GDBh9d6nNTe/view?usp=drivesdk</v>
      </c>
      <c r="Y355" s="159" t="s">
        <v>2034</v>
      </c>
      <c r="Z355" s="159" t="s">
        <v>148</v>
      </c>
      <c r="AA355" s="68"/>
      <c r="AB355" s="68"/>
      <c r="AC355" s="68"/>
      <c r="AD355" s="68"/>
      <c r="AE355" s="68"/>
      <c r="AF355" s="68"/>
      <c r="AG355" s="68"/>
      <c r="AH355" s="338"/>
      <c r="AI355" s="61"/>
      <c r="AJ355" s="61"/>
      <c r="AK355" s="68"/>
      <c r="AL355" s="61"/>
      <c r="AM355" s="68"/>
      <c r="AN355" s="219" t="s">
        <v>138</v>
      </c>
      <c r="AO355" s="68"/>
      <c r="AP355" s="68"/>
      <c r="AQ355" s="68"/>
      <c r="AR355" s="68"/>
      <c r="AS355" s="68"/>
      <c r="AT355" s="68"/>
      <c r="AU355" s="68"/>
      <c r="AV355" s="68"/>
      <c r="AW355" s="68"/>
      <c r="AX355" s="68" t="s">
        <v>151</v>
      </c>
      <c r="AY355" s="61" t="str">
        <f>IFERROR(__xludf.DUMMYFUNCTION("vlookup(BB355,importrange(""https://docs.google.com/spreadsheets/d/1d2vevQ_7D_v35q4wCQ4RpQ_IPoTwEMB9Yp6ymwlPqew/edit?gid=984458430#gid=984458430"", ""'replication success'!A:K""), 11, FAlSE)"),"#N/A")</f>
        <v>#N/A</v>
      </c>
      <c r="AZ355" s="61" t="str">
        <f>IFERROR(__xludf.DUMMYFUNCTION("vlookup(BB355,importrange(""https://docs.google.com/spreadsheets/d/1d2vevQ_7D_v35q4wCQ4RpQ_IPoTwEMB9Yp6ymwlPqew/edit?gid=984458430#gid=984458430"", ""'replication success'!A:M""), 12, FAlSE)"),"#N/A")</f>
        <v>#N/A</v>
      </c>
      <c r="BA355" s="61" t="str">
        <f>IFERROR(__xludf.DUMMYFUNCTION("vlookup(BB355,importrange(""https://docs.google.com/spreadsheets/d/1d2vevQ_7D_v35q4wCQ4RpQ_IPoTwEMB9Yp6ymwlPqew/edit?gid=984458430#gid=984458430"", ""'replication success'!A:M""), 13, FAlSE)"),"#N/A")</f>
        <v>#N/A</v>
      </c>
      <c r="BB355" s="61" t="str">
        <f>IFERROR(__xludf.DUMMYFUNCTION("REGEXREPLACE(G355, ""_[a-z]{1,2}$"", """")"),"additional_studies51")</f>
        <v>additional_studies51</v>
      </c>
      <c r="BC355" s="68"/>
      <c r="BD355" s="62" t="s">
        <v>144</v>
      </c>
      <c r="BG355" s="71"/>
      <c r="BH355" s="71"/>
      <c r="BI355" s="71"/>
      <c r="BJ355" s="71"/>
      <c r="BK355" s="71"/>
      <c r="BL355" s="71"/>
      <c r="BM355" s="71"/>
      <c r="BN355" s="71"/>
      <c r="BO355" s="71"/>
      <c r="BP355" s="71"/>
      <c r="BQ355" s="71"/>
      <c r="BR355" s="71"/>
      <c r="BS355" s="71"/>
      <c r="BT355" s="71"/>
      <c r="BU355" s="71"/>
      <c r="BV355" s="71"/>
      <c r="BW355" s="71"/>
      <c r="BX355" s="71"/>
      <c r="BY355" s="71"/>
      <c r="BZ355" s="71"/>
      <c r="CA355" s="71"/>
      <c r="CB355" s="71"/>
      <c r="CC355" s="71"/>
      <c r="CD355" s="71"/>
      <c r="CE355" s="71"/>
      <c r="CF355" s="71"/>
      <c r="CG355" s="71"/>
      <c r="CH355" s="71"/>
      <c r="CI355" s="71"/>
      <c r="CJ355" s="71"/>
      <c r="CK355" s="71"/>
      <c r="CL355" s="71"/>
      <c r="CM355" s="71"/>
      <c r="CN355" s="71"/>
      <c r="CO355" s="71"/>
      <c r="CP355" s="71"/>
      <c r="CQ355" s="71"/>
      <c r="CR355" s="71"/>
      <c r="CS355" s="71"/>
      <c r="CT355" s="71"/>
      <c r="CU355" s="71"/>
      <c r="CV355" s="71"/>
      <c r="CW355" s="71"/>
      <c r="CX355" s="71"/>
      <c r="CY355" s="71"/>
      <c r="CZ355" s="71"/>
      <c r="DA355" s="71"/>
      <c r="DB355" s="71"/>
      <c r="DC355" s="71"/>
      <c r="DD355" s="71"/>
      <c r="DE355" s="71"/>
      <c r="DF355" s="71"/>
      <c r="DG355" s="71"/>
      <c r="DH355" s="71"/>
      <c r="DI355" s="71"/>
      <c r="DJ355" s="71"/>
      <c r="DK355" s="71"/>
      <c r="DL355" s="71"/>
    </row>
    <row r="356" ht="20.25" customHeight="1">
      <c r="A356" s="44">
        <v>356.0</v>
      </c>
      <c r="B356" s="45" t="s">
        <v>114</v>
      </c>
      <c r="C356" s="45" t="s">
        <v>115</v>
      </c>
      <c r="D356" s="45" t="s">
        <v>199</v>
      </c>
      <c r="E356" s="65"/>
      <c r="F356" s="68" t="s">
        <v>2035</v>
      </c>
      <c r="G356" s="57" t="s">
        <v>2036</v>
      </c>
      <c r="H356" s="57" t="s">
        <v>202</v>
      </c>
      <c r="I356" s="434">
        <v>45639.0</v>
      </c>
      <c r="J356" s="61"/>
      <c r="K356" s="57" t="s">
        <v>2037</v>
      </c>
      <c r="L356" s="61"/>
      <c r="M356" s="57" t="s">
        <v>2038</v>
      </c>
      <c r="N356" s="61"/>
      <c r="O356" s="61"/>
      <c r="P356" s="382" t="s">
        <v>2039</v>
      </c>
      <c r="Q356" s="52" t="str">
        <f t="array" ref="Q356"> if(iserror(MATCH(V356, 'File Links'!C:C, 0)), "N/A", HYPERLINK(INDEX('File Links'!B:B, MATCH(P356, 'File Links'!C:C, 0))))</f>
        <v>https://drive.google.com/file/d/1BfaybP8V5w-BiT0TlcUAV03BKBkfzWla/view?usp=drivesdk</v>
      </c>
      <c r="R356" s="57" t="s">
        <v>2040</v>
      </c>
      <c r="S356" s="57" t="s">
        <v>2041</v>
      </c>
      <c r="T356" s="61"/>
      <c r="U356" s="338"/>
      <c r="V356" s="112" t="str">
        <f>HYPERLINK(VLOOKUP(LOWER(S356),#REF!, 2, FALSE), SUBSTITUTE(LOWER(S356), "/", "--") &amp;  ".pdf")</f>
        <v>10.16995--zygon.11497.pdf</v>
      </c>
      <c r="W356" s="61"/>
      <c r="X356" s="54" t="str">
        <f t="array" ref="X356"> if(iserror(MATCH(V356, 'File Links'!C:C, 0)), "N/A", HYPERLINK(INDEX('File Links'!B:B, MATCH(V356, 'File Links'!C:C, 0))))</f>
        <v>https://drive.google.com/file/d/1xNa3snr_hhHjS7pnwFaA2tVxjB_0VvqW/view?usp=drivesdk</v>
      </c>
      <c r="Y356" s="61"/>
      <c r="Z356" s="61"/>
      <c r="AA356" s="61"/>
      <c r="AB356" s="61"/>
      <c r="AC356" s="61"/>
      <c r="AD356" s="61"/>
      <c r="AE356" s="61"/>
      <c r="AF356" s="61"/>
      <c r="AG356" s="61"/>
      <c r="AH356" s="338"/>
      <c r="AI356" s="61"/>
      <c r="AJ356" s="61"/>
      <c r="AK356" s="68"/>
      <c r="AL356" s="61"/>
      <c r="AM356" s="61"/>
      <c r="AN356" s="219" t="s">
        <v>138</v>
      </c>
      <c r="AO356" s="61"/>
      <c r="AP356" s="61"/>
      <c r="AQ356" s="61"/>
      <c r="AR356" s="61"/>
      <c r="AS356" s="61"/>
      <c r="AT356" s="68"/>
      <c r="AU356" s="68"/>
      <c r="AV356" s="68"/>
      <c r="AW356" s="68"/>
      <c r="AX356" s="68"/>
      <c r="AY356" s="61" t="str">
        <f>IFERROR(__xludf.DUMMYFUNCTION("vlookup(BB356,importrange(""https://docs.google.com/spreadsheets/d/1d2vevQ_7D_v35q4wCQ4RpQ_IPoTwEMB9Yp6ymwlPqew/edit?gid=984458430#gid=984458430"", ""'replication success'!A:K""), 11, FAlSE)"),"#N/A")</f>
        <v>#N/A</v>
      </c>
      <c r="AZ356" s="61" t="str">
        <f>IFERROR(__xludf.DUMMYFUNCTION("vlookup(BB356,importrange(""https://docs.google.com/spreadsheets/d/1d2vevQ_7D_v35q4wCQ4RpQ_IPoTwEMB9Yp6ymwlPqew/edit?gid=984458430#gid=984458430"", ""'replication success'!A:M""), 12, FAlSE)"),"#N/A")</f>
        <v>#N/A</v>
      </c>
      <c r="BA356" s="61" t="str">
        <f>IFERROR(__xludf.DUMMYFUNCTION("vlookup(BB356,importrange(""https://docs.google.com/spreadsheets/d/1d2vevQ_7D_v35q4wCQ4RpQ_IPoTwEMB9Yp6ymwlPqew/edit?gid=984458430#gid=984458430"", ""'replication success'!A:M""), 13, FAlSE)"),"#N/A")</f>
        <v>#N/A</v>
      </c>
      <c r="BB356" s="61" t="str">
        <f>IFERROR(__xludf.DUMMYFUNCTION("REGEXREPLACE(G356, ""_[a-z]{1,2}$"", """")"),"additional_studies52")</f>
        <v>additional_studies52</v>
      </c>
      <c r="BC356" s="61"/>
      <c r="BD356" s="62" t="s">
        <v>144</v>
      </c>
      <c r="BG356" s="71"/>
      <c r="BH356" s="71"/>
      <c r="BI356" s="71"/>
      <c r="BJ356" s="71"/>
      <c r="BK356" s="71"/>
      <c r="BL356" s="71"/>
      <c r="BM356" s="71"/>
      <c r="BN356" s="71"/>
      <c r="BO356" s="71"/>
      <c r="BP356" s="71"/>
      <c r="BQ356" s="71"/>
      <c r="BR356" s="71"/>
      <c r="BS356" s="71"/>
      <c r="BT356" s="71"/>
      <c r="BU356" s="71"/>
      <c r="BV356" s="71"/>
      <c r="BW356" s="71"/>
      <c r="BX356" s="71"/>
      <c r="BY356" s="71"/>
      <c r="BZ356" s="71"/>
      <c r="CA356" s="71"/>
      <c r="CB356" s="71"/>
      <c r="CC356" s="71"/>
      <c r="CD356" s="71"/>
      <c r="CE356" s="71"/>
      <c r="CF356" s="71"/>
      <c r="CG356" s="71"/>
      <c r="CH356" s="71"/>
      <c r="CI356" s="71"/>
      <c r="CJ356" s="71"/>
      <c r="CK356" s="71"/>
      <c r="CL356" s="71"/>
      <c r="CM356" s="71"/>
      <c r="CN356" s="71"/>
      <c r="CO356" s="71"/>
      <c r="CP356" s="71"/>
      <c r="CQ356" s="71"/>
      <c r="CR356" s="71"/>
      <c r="CS356" s="71"/>
      <c r="CT356" s="71"/>
      <c r="CU356" s="71"/>
      <c r="CV356" s="71"/>
      <c r="CW356" s="71"/>
      <c r="CX356" s="71"/>
      <c r="CY356" s="71"/>
      <c r="CZ356" s="71"/>
      <c r="DA356" s="71"/>
      <c r="DB356" s="71"/>
      <c r="DC356" s="71"/>
      <c r="DD356" s="71"/>
      <c r="DE356" s="71"/>
      <c r="DF356" s="71"/>
      <c r="DG356" s="71"/>
      <c r="DH356" s="71"/>
      <c r="DI356" s="71"/>
      <c r="DJ356" s="71"/>
      <c r="DK356" s="71"/>
      <c r="DL356" s="71"/>
    </row>
    <row r="357" ht="20.25" customHeight="1">
      <c r="A357" s="44">
        <v>357.0</v>
      </c>
      <c r="B357" s="45" t="s">
        <v>2013</v>
      </c>
      <c r="C357" s="62" t="s">
        <v>115</v>
      </c>
      <c r="D357" s="62" t="s">
        <v>286</v>
      </c>
      <c r="F357" s="68" t="s">
        <v>2035</v>
      </c>
      <c r="G357" s="57" t="s">
        <v>2036</v>
      </c>
      <c r="H357" s="159" t="s">
        <v>144</v>
      </c>
      <c r="I357" s="152">
        <v>45460.0</v>
      </c>
      <c r="J357" s="702">
        <v>45632.0</v>
      </c>
      <c r="K357" s="159" t="s">
        <v>1828</v>
      </c>
      <c r="L357" s="68"/>
      <c r="M357" s="159" t="s">
        <v>2038</v>
      </c>
      <c r="N357" s="68"/>
      <c r="O357" s="68"/>
      <c r="P357" s="382" t="s">
        <v>2039</v>
      </c>
      <c r="Q357" s="52" t="str">
        <f t="array" ref="Q357"> if(iserror(MATCH(V357, 'File Links'!C:C, 0)), "N/A", HYPERLINK(INDEX('File Links'!B:B, MATCH(P357, 'File Links'!C:C, 0))))</f>
        <v>https://drive.google.com/file/d/1BfaybP8V5w-BiT0TlcUAV03BKBkfzWla/view?usp=drivesdk</v>
      </c>
      <c r="R357" s="159" t="s">
        <v>2040</v>
      </c>
      <c r="S357" s="159" t="s">
        <v>2041</v>
      </c>
      <c r="T357" s="68"/>
      <c r="U357" s="68"/>
      <c r="V357" s="382" t="s">
        <v>2042</v>
      </c>
      <c r="W357" s="159" t="s">
        <v>2043</v>
      </c>
      <c r="X357" s="54" t="str">
        <f t="array" ref="X357"> if(iserror(MATCH(V357, 'File Links'!C:C, 0)), "N/A", HYPERLINK(INDEX('File Links'!B:B, MATCH(V357, 'File Links'!C:C, 0))))</f>
        <v>https://drive.google.com/file/d/1xNa3snr_hhHjS7pnwFaA2tVxjB_0VvqW/view?usp=drivesdk</v>
      </c>
      <c r="Y357" s="159" t="s">
        <v>2044</v>
      </c>
      <c r="Z357" s="159" t="s">
        <v>2045</v>
      </c>
      <c r="AA357" s="68"/>
      <c r="AB357" s="68"/>
      <c r="AC357" s="68"/>
      <c r="AD357" s="68"/>
      <c r="AE357" s="68"/>
      <c r="AF357" s="68"/>
      <c r="AG357" s="68"/>
      <c r="AH357" s="338"/>
      <c r="AI357" s="61"/>
      <c r="AJ357" s="61"/>
      <c r="AK357" s="68"/>
      <c r="AL357" s="61"/>
      <c r="AM357" s="68"/>
      <c r="AN357" s="219" t="s">
        <v>138</v>
      </c>
      <c r="AO357" s="68"/>
      <c r="AP357" s="68"/>
      <c r="AQ357" s="68"/>
      <c r="AR357" s="68"/>
      <c r="AS357" s="68"/>
      <c r="AT357" s="68"/>
      <c r="AU357" s="68"/>
      <c r="AV357" s="68"/>
      <c r="AW357" s="68"/>
      <c r="AX357" s="68"/>
      <c r="AY357" s="61" t="str">
        <f>IFERROR(__xludf.DUMMYFUNCTION("vlookup(BB357,importrange(""https://docs.google.com/spreadsheets/d/1d2vevQ_7D_v35q4wCQ4RpQ_IPoTwEMB9Yp6ymwlPqew/edit?gid=984458430#gid=984458430"", ""'replication success'!A:K""), 11, FAlSE)"),"#N/A")</f>
        <v>#N/A</v>
      </c>
      <c r="AZ357" s="61" t="str">
        <f>IFERROR(__xludf.DUMMYFUNCTION("vlookup(BB357,importrange(""https://docs.google.com/spreadsheets/d/1d2vevQ_7D_v35q4wCQ4RpQ_IPoTwEMB9Yp6ymwlPqew/edit?gid=984458430#gid=984458430"", ""'replication success'!A:M""), 12, FAlSE)"),"#N/A")</f>
        <v>#N/A</v>
      </c>
      <c r="BA357" s="61" t="str">
        <f>IFERROR(__xludf.DUMMYFUNCTION("vlookup(BB357,importrange(""https://docs.google.com/spreadsheets/d/1d2vevQ_7D_v35q4wCQ4RpQ_IPoTwEMB9Yp6ymwlPqew/edit?gid=984458430#gid=984458430"", ""'replication success'!A:M""), 13, FAlSE)"),"#N/A")</f>
        <v>#N/A</v>
      </c>
      <c r="BB357" s="61" t="str">
        <f>IFERROR(__xludf.DUMMYFUNCTION("REGEXREPLACE(G357, ""_[a-z]{1,2}$"", """")"),"additional_studies52")</f>
        <v>additional_studies52</v>
      </c>
      <c r="BC357" s="68"/>
      <c r="BD357" s="62" t="s">
        <v>144</v>
      </c>
      <c r="BG357" s="71"/>
      <c r="BH357" s="71"/>
      <c r="BI357" s="71"/>
      <c r="BJ357" s="71"/>
      <c r="BK357" s="71"/>
      <c r="BL357" s="71"/>
      <c r="BM357" s="71"/>
      <c r="BN357" s="71"/>
      <c r="BO357" s="71"/>
      <c r="BP357" s="71"/>
      <c r="BQ357" s="71"/>
      <c r="BR357" s="71"/>
      <c r="BS357" s="71"/>
      <c r="BT357" s="71"/>
      <c r="BU357" s="71"/>
      <c r="BV357" s="71"/>
      <c r="BW357" s="71"/>
      <c r="BX357" s="71"/>
      <c r="BY357" s="71"/>
      <c r="BZ357" s="71"/>
      <c r="CA357" s="71"/>
      <c r="CB357" s="71"/>
      <c r="CC357" s="71"/>
      <c r="CD357" s="71"/>
      <c r="CE357" s="71"/>
      <c r="CF357" s="71"/>
      <c r="CG357" s="71"/>
      <c r="CH357" s="71"/>
      <c r="CI357" s="71"/>
      <c r="CJ357" s="71"/>
      <c r="CK357" s="71"/>
      <c r="CL357" s="71"/>
      <c r="CM357" s="71"/>
      <c r="CN357" s="71"/>
      <c r="CO357" s="71"/>
      <c r="CP357" s="71"/>
      <c r="CQ357" s="71"/>
      <c r="CR357" s="71"/>
      <c r="CS357" s="71"/>
      <c r="CT357" s="71"/>
      <c r="CU357" s="71"/>
      <c r="CV357" s="71"/>
      <c r="CW357" s="71"/>
      <c r="CX357" s="71"/>
      <c r="CY357" s="71"/>
      <c r="CZ357" s="71"/>
      <c r="DA357" s="71"/>
      <c r="DB357" s="71"/>
      <c r="DC357" s="71"/>
      <c r="DD357" s="71"/>
      <c r="DE357" s="71"/>
      <c r="DF357" s="71"/>
      <c r="DG357" s="71"/>
      <c r="DH357" s="71"/>
      <c r="DI357" s="71"/>
      <c r="DJ357" s="71"/>
      <c r="DK357" s="71"/>
      <c r="DL357" s="71"/>
    </row>
    <row r="358" ht="20.25" customHeight="1">
      <c r="A358" s="44">
        <v>358.0</v>
      </c>
      <c r="B358" s="45" t="s">
        <v>114</v>
      </c>
      <c r="C358" s="45" t="s">
        <v>115</v>
      </c>
      <c r="D358" s="45" t="s">
        <v>199</v>
      </c>
      <c r="E358" s="65"/>
      <c r="F358" s="68" t="s">
        <v>2046</v>
      </c>
      <c r="G358" s="57" t="s">
        <v>2047</v>
      </c>
      <c r="H358" s="57" t="s">
        <v>202</v>
      </c>
      <c r="I358" s="434">
        <v>45639.0</v>
      </c>
      <c r="J358" s="61"/>
      <c r="K358" s="57" t="s">
        <v>2037</v>
      </c>
      <c r="L358" s="61"/>
      <c r="M358" s="57" t="s">
        <v>2038</v>
      </c>
      <c r="N358" s="61"/>
      <c r="O358" s="61"/>
      <c r="P358" s="382" t="s">
        <v>2039</v>
      </c>
      <c r="Q358" s="52" t="str">
        <f t="array" ref="Q358"> if(iserror(MATCH(V358, 'File Links'!C:C, 0)), "N/A", HYPERLINK(INDEX('File Links'!B:B, MATCH(P358, 'File Links'!C:C, 0))))</f>
        <v>https://drive.google.com/file/d/1BfaybP8V5w-BiT0TlcUAV03BKBkfzWla/view?usp=drivesdk</v>
      </c>
      <c r="R358" s="57" t="s">
        <v>2048</v>
      </c>
      <c r="S358" s="57" t="s">
        <v>2041</v>
      </c>
      <c r="T358" s="61"/>
      <c r="U358" s="338"/>
      <c r="V358" s="112" t="str">
        <f t="shared" ref="V358:V360" si="13">HYPERLINK(VLOOKUP(LOWER(S358),#REF!, 2, FALSE), SUBSTITUTE(LOWER(S358), "/", "--") &amp;  ".pdf")</f>
        <v>10.16995--zygon.11497.pdf</v>
      </c>
      <c r="W358" s="61"/>
      <c r="X358" s="54" t="str">
        <f t="array" ref="X358"> if(iserror(MATCH(V358, 'File Links'!C:C, 0)), "N/A", HYPERLINK(INDEX('File Links'!B:B, MATCH(V358, 'File Links'!C:C, 0))))</f>
        <v>https://drive.google.com/file/d/1xNa3snr_hhHjS7pnwFaA2tVxjB_0VvqW/view?usp=drivesdk</v>
      </c>
      <c r="Y358" s="61"/>
      <c r="Z358" s="61"/>
      <c r="AA358" s="61"/>
      <c r="AB358" s="61"/>
      <c r="AC358" s="61"/>
      <c r="AD358" s="61"/>
      <c r="AE358" s="61"/>
      <c r="AF358" s="61"/>
      <c r="AG358" s="61"/>
      <c r="AH358" s="338"/>
      <c r="AI358" s="61"/>
      <c r="AJ358" s="61"/>
      <c r="AK358" s="68"/>
      <c r="AL358" s="61"/>
      <c r="AM358" s="61"/>
      <c r="AN358" s="219" t="s">
        <v>138</v>
      </c>
      <c r="AO358" s="61"/>
      <c r="AP358" s="61"/>
      <c r="AQ358" s="61"/>
      <c r="AR358" s="61"/>
      <c r="AS358" s="61"/>
      <c r="AT358" s="68"/>
      <c r="AU358" s="68"/>
      <c r="AV358" s="68"/>
      <c r="AW358" s="68"/>
      <c r="AX358" s="68"/>
      <c r="AY358" s="61" t="str">
        <f>IFERROR(__xludf.DUMMYFUNCTION("vlookup(BB358,importrange(""https://docs.google.com/spreadsheets/d/1d2vevQ_7D_v35q4wCQ4RpQ_IPoTwEMB9Yp6ymwlPqew/edit?gid=984458430#gid=984458430"", ""'replication success'!A:K""), 11, FAlSE)"),"#N/A")</f>
        <v>#N/A</v>
      </c>
      <c r="AZ358" s="61" t="str">
        <f>IFERROR(__xludf.DUMMYFUNCTION("vlookup(BB358,importrange(""https://docs.google.com/spreadsheets/d/1d2vevQ_7D_v35q4wCQ4RpQ_IPoTwEMB9Yp6ymwlPqew/edit?gid=984458430#gid=984458430"", ""'replication success'!A:M""), 12, FAlSE)"),"#N/A")</f>
        <v>#N/A</v>
      </c>
      <c r="BA358" s="61" t="str">
        <f>IFERROR(__xludf.DUMMYFUNCTION("vlookup(BB358,importrange(""https://docs.google.com/spreadsheets/d/1d2vevQ_7D_v35q4wCQ4RpQ_IPoTwEMB9Yp6ymwlPqew/edit?gid=984458430#gid=984458430"", ""'replication success'!A:M""), 13, FAlSE)"),"#N/A")</f>
        <v>#N/A</v>
      </c>
      <c r="BB358" s="61" t="str">
        <f>IFERROR(__xludf.DUMMYFUNCTION("REGEXREPLACE(G358, ""_[a-z]{1,2}$"", """")"),"additional_studies53")</f>
        <v>additional_studies53</v>
      </c>
      <c r="BC358" s="61"/>
      <c r="BD358" s="62" t="s">
        <v>144</v>
      </c>
    </row>
    <row r="359" ht="20.25" customHeight="1">
      <c r="A359" s="44">
        <v>359.0</v>
      </c>
      <c r="B359" s="62" t="s">
        <v>2013</v>
      </c>
      <c r="C359" s="62" t="s">
        <v>115</v>
      </c>
      <c r="D359" s="62" t="s">
        <v>221</v>
      </c>
      <c r="F359" s="360" t="s">
        <v>2046</v>
      </c>
      <c r="G359" s="47" t="s">
        <v>2047</v>
      </c>
      <c r="H359" s="47" t="s">
        <v>222</v>
      </c>
      <c r="I359" s="344">
        <v>45636.0</v>
      </c>
      <c r="J359" s="49"/>
      <c r="K359" s="47" t="s">
        <v>2049</v>
      </c>
      <c r="L359" s="49"/>
      <c r="M359" s="47" t="s">
        <v>2038</v>
      </c>
      <c r="N359" s="49"/>
      <c r="O359" s="49"/>
      <c r="P359" s="382" t="s">
        <v>2039</v>
      </c>
      <c r="Q359" s="52" t="str">
        <f t="array" ref="Q359"> if(iserror(MATCH(V359, 'File Links'!C:C, 0)), "N/A", HYPERLINK(INDEX('File Links'!B:B, MATCH(P359, 'File Links'!C:C, 0))))</f>
        <v>https://drive.google.com/file/d/1BfaybP8V5w-BiT0TlcUAV03BKBkfzWla/view?usp=drivesdk</v>
      </c>
      <c r="R359" s="47" t="s">
        <v>2048</v>
      </c>
      <c r="S359" s="57" t="s">
        <v>2041</v>
      </c>
      <c r="T359" s="49"/>
      <c r="U359" s="386">
        <v>1.0</v>
      </c>
      <c r="V359" s="112" t="str">
        <f t="shared" si="13"/>
        <v>10.16995--zygon.11497.pdf</v>
      </c>
      <c r="W359" s="47" t="s">
        <v>2050</v>
      </c>
      <c r="X359" s="54" t="str">
        <f t="array" ref="X359"> if(iserror(MATCH(V359, 'File Links'!C:C, 0)), "N/A", HYPERLINK(INDEX('File Links'!B:B, MATCH(V359, 'File Links'!C:C, 0))))</f>
        <v>https://drive.google.com/file/d/1xNa3snr_hhHjS7pnwFaA2tVxjB_0VvqW/view?usp=drivesdk</v>
      </c>
      <c r="Y359" s="49"/>
      <c r="Z359" s="47" t="s">
        <v>165</v>
      </c>
      <c r="AA359" s="49"/>
      <c r="AB359" s="47" t="s">
        <v>2051</v>
      </c>
      <c r="AC359" s="47" t="s">
        <v>2052</v>
      </c>
      <c r="AD359" s="47" t="s">
        <v>2053</v>
      </c>
      <c r="AE359" s="47" t="s">
        <v>2054</v>
      </c>
      <c r="AF359" s="49"/>
      <c r="AG359" s="49"/>
      <c r="AH359" s="105"/>
      <c r="AI359" s="49"/>
      <c r="AJ359" s="49"/>
      <c r="AK359" s="46"/>
      <c r="AL359" s="49"/>
      <c r="AM359" s="49"/>
      <c r="AN359" s="219" t="s">
        <v>138</v>
      </c>
      <c r="AO359" s="508">
        <v>5.0</v>
      </c>
      <c r="AP359" s="49"/>
      <c r="AQ359" s="49"/>
      <c r="AR359" s="49"/>
      <c r="AS359" s="49"/>
      <c r="AT359" s="46"/>
      <c r="AU359" s="46"/>
      <c r="AV359" s="46"/>
      <c r="AW359" s="59" t="s">
        <v>2055</v>
      </c>
      <c r="AX359" s="60" t="s">
        <v>151</v>
      </c>
      <c r="AY359" s="61" t="str">
        <f>IFERROR(__xludf.DUMMYFUNCTION("vlookup(BB359,importrange(""https://docs.google.com/spreadsheets/d/1d2vevQ_7D_v35q4wCQ4RpQ_IPoTwEMB9Yp6ymwlPqew/edit?gid=984458430#gid=984458430"", ""'replication success'!A:K""), 11, FAlSE)"),"#N/A")</f>
        <v>#N/A</v>
      </c>
      <c r="AZ359" s="61" t="str">
        <f>IFERROR(__xludf.DUMMYFUNCTION("vlookup(BB359,importrange(""https://docs.google.com/spreadsheets/d/1d2vevQ_7D_v35q4wCQ4RpQ_IPoTwEMB9Yp6ymwlPqew/edit?gid=984458430#gid=984458430"", ""'replication success'!A:M""), 12, FAlSE)"),"#N/A")</f>
        <v>#N/A</v>
      </c>
      <c r="BA359" s="61" t="str">
        <f>IFERROR(__xludf.DUMMYFUNCTION("vlookup(BB359,importrange(""https://docs.google.com/spreadsheets/d/1d2vevQ_7D_v35q4wCQ4RpQ_IPoTwEMB9Yp6ymwlPqew/edit?gid=984458430#gid=984458430"", ""'replication success'!A:M""), 13, FAlSE)"),"#N/A")</f>
        <v>#N/A</v>
      </c>
      <c r="BB359" s="61" t="str">
        <f>IFERROR(__xludf.DUMMYFUNCTION("REGEXREPLACE(G359, ""_[a-z]{1,2}$"", """")"),"additional_studies53")</f>
        <v>additional_studies53</v>
      </c>
      <c r="BC359" s="61"/>
      <c r="BD359" s="62" t="s">
        <v>144</v>
      </c>
    </row>
    <row r="360" ht="20.25" customHeight="1">
      <c r="A360" s="44">
        <v>360.0</v>
      </c>
      <c r="B360" s="62" t="s">
        <v>114</v>
      </c>
      <c r="C360" s="62" t="s">
        <v>115</v>
      </c>
      <c r="D360" s="62" t="s">
        <v>2056</v>
      </c>
      <c r="F360" s="703" t="s">
        <v>2057</v>
      </c>
      <c r="G360" s="57" t="s">
        <v>2058</v>
      </c>
      <c r="H360" s="159" t="s">
        <v>2059</v>
      </c>
      <c r="I360" s="152">
        <v>45460.0</v>
      </c>
      <c r="J360" s="152">
        <v>45634.0</v>
      </c>
      <c r="K360" s="704" t="s">
        <v>2060</v>
      </c>
      <c r="L360" s="129" t="s">
        <v>2061</v>
      </c>
      <c r="M360" s="159" t="s">
        <v>2062</v>
      </c>
      <c r="N360" s="159" t="s">
        <v>2063</v>
      </c>
      <c r="O360" s="68"/>
      <c r="P360" s="382" t="str">
        <f> SUBSTITUTE(lower(N360), "/", "--") &amp;  ".pdf"</f>
        <v>10.1016--j.econedurev.2005.05.008.pdf</v>
      </c>
      <c r="Q360" s="52" t="str">
        <f t="array" ref="Q360"> if(iserror(MATCH(V360, 'File Links'!C:C, 0)), "N/A", HYPERLINK(INDEX('File Links'!B:B, MATCH(P360, 'File Links'!C:C, 0))))</f>
        <v>https://drive.google.com/file/d/1jEnrVGc2PxWYnqqR5b5QggE9HgY-tjOC/view?usp=drivesdk</v>
      </c>
      <c r="R360" s="159" t="s">
        <v>2064</v>
      </c>
      <c r="S360" s="705" t="s">
        <v>2065</v>
      </c>
      <c r="T360" s="441" t="s">
        <v>2066</v>
      </c>
      <c r="U360" s="68"/>
      <c r="V360" s="112" t="str">
        <f t="shared" si="13"/>
        <v>10.5281--zenodo.6426882.pdf</v>
      </c>
      <c r="W360" s="68"/>
      <c r="X360" s="54" t="str">
        <f t="array" ref="X360"> if(iserror(MATCH(V360, 'File Links'!C:C, 0)), "N/A", HYPERLINK(INDEX('File Links'!B:B, MATCH(V360, 'File Links'!C:C, 0))))</f>
        <v>https://drive.google.com/file/d/1jvhXrkXP500Hc10PhmlgwF_pIcWK0diq/view?usp=drivesdk</v>
      </c>
      <c r="Y360" s="68"/>
      <c r="Z360" s="68"/>
      <c r="AA360" s="68"/>
      <c r="AB360" s="68"/>
      <c r="AC360" s="68"/>
      <c r="AD360" s="68"/>
      <c r="AE360" s="68"/>
      <c r="AF360" s="68"/>
      <c r="AG360" s="68"/>
      <c r="AH360" s="338"/>
      <c r="AI360" s="61"/>
      <c r="AJ360" s="61"/>
      <c r="AK360" s="68"/>
      <c r="AL360" s="61"/>
      <c r="AM360" s="68"/>
      <c r="AN360" s="219" t="s">
        <v>138</v>
      </c>
      <c r="AO360" s="68"/>
      <c r="AP360" s="68"/>
      <c r="AQ360" s="68"/>
      <c r="AR360" s="68"/>
      <c r="AS360" s="68"/>
      <c r="AT360" s="68"/>
      <c r="AU360" s="68"/>
      <c r="AV360" s="68"/>
      <c r="AW360" s="68"/>
      <c r="AX360" s="68"/>
      <c r="AY360" s="61" t="str">
        <f>IFERROR(__xludf.DUMMYFUNCTION("vlookup(BB360,importrange(""https://docs.google.com/spreadsheets/d/1d2vevQ_7D_v35q4wCQ4RpQ_IPoTwEMB9Yp6ymwlPqew/edit?gid=984458430#gid=984458430"", ""'replication success'!A:K""), 11, FAlSE)"),"#N/A")</f>
        <v>#N/A</v>
      </c>
      <c r="AZ360" s="61" t="str">
        <f>IFERROR(__xludf.DUMMYFUNCTION("vlookup(BB360,importrange(""https://docs.google.com/spreadsheets/d/1d2vevQ_7D_v35q4wCQ4RpQ_IPoTwEMB9Yp6ymwlPqew/edit?gid=984458430#gid=984458430"", ""'replication success'!A:M""), 12, FAlSE)"),"#N/A")</f>
        <v>#N/A</v>
      </c>
      <c r="BA360" s="61" t="str">
        <f>IFERROR(__xludf.DUMMYFUNCTION("vlookup(BB360,importrange(""https://docs.google.com/spreadsheets/d/1d2vevQ_7D_v35q4wCQ4RpQ_IPoTwEMB9Yp6ymwlPqew/edit?gid=984458430#gid=984458430"", ""'replication success'!A:M""), 13, FAlSE)"),"#N/A")</f>
        <v>#N/A</v>
      </c>
      <c r="BB360" s="61" t="str">
        <f>IFERROR(__xludf.DUMMYFUNCTION("REGEXREPLACE(G360, ""_[a-z]{1,2}$"", """")"),"additional_studies54")</f>
        <v>additional_studies54</v>
      </c>
      <c r="BC360" s="129"/>
      <c r="BD360" s="62" t="s">
        <v>144</v>
      </c>
    </row>
    <row r="361" ht="51.0" customHeight="1">
      <c r="A361" s="44">
        <v>361.0</v>
      </c>
      <c r="B361" s="129" t="s">
        <v>523</v>
      </c>
      <c r="C361" s="62" t="s">
        <v>115</v>
      </c>
      <c r="D361" s="62" t="s">
        <v>1270</v>
      </c>
      <c r="F361" s="159" t="s">
        <v>2057</v>
      </c>
      <c r="G361" s="159" t="s">
        <v>2058</v>
      </c>
      <c r="H361" s="159" t="s">
        <v>2067</v>
      </c>
      <c r="I361" s="152">
        <v>45460.0</v>
      </c>
      <c r="J361" s="68"/>
      <c r="K361" s="68"/>
      <c r="L361" s="68"/>
      <c r="M361" s="159" t="s">
        <v>2062</v>
      </c>
      <c r="N361" s="159" t="s">
        <v>2063</v>
      </c>
      <c r="O361" s="68"/>
      <c r="P361" s="159" t="str">
        <f t="shared" ref="P361:P362" si="14">SUBSTITUTE(LOWER(N361), "/", "--") &amp;  ".pdf"</f>
        <v>10.1016--j.econedurev.2005.05.008.pdf</v>
      </c>
      <c r="Q361" s="52" t="str">
        <f t="array" ref="Q361"> if(iserror(MATCH(V361, 'File Links'!C:C, 0)), "N/A", HYPERLINK(INDEX('File Links'!B:B, MATCH(P361, 'File Links'!C:C, 0))))</f>
        <v>https://drive.google.com/file/d/1jEnrVGc2PxWYnqqR5b5QggE9HgY-tjOC/view?usp=drivesdk</v>
      </c>
      <c r="R361" s="159" t="s">
        <v>2064</v>
      </c>
      <c r="S361" s="159" t="s">
        <v>2065</v>
      </c>
      <c r="T361" s="68"/>
      <c r="U361" s="68"/>
      <c r="V361" s="198" t="str">
        <f> hyperlink(vlookup(lower(S361),#REF!, 2, FALSE), SUBSTITUTE(lower(S361), "/", "--") &amp;  ".pdf")</f>
        <v>10.5281--zenodo.6426882.pdf</v>
      </c>
      <c r="W361" s="68"/>
      <c r="X361" s="54" t="str">
        <f t="array" ref="X361"> if(iserror(MATCH(V361, 'File Links'!C:C, 0)), "N/A", HYPERLINK(INDEX('File Links'!B:B, MATCH(V361, 'File Links'!C:C, 0))))</f>
        <v>https://drive.google.com/file/d/1jvhXrkXP500Hc10PhmlgwF_pIcWK0diq/view?usp=drivesdk</v>
      </c>
      <c r="Y361" s="159" t="s">
        <v>2068</v>
      </c>
      <c r="Z361" s="68"/>
      <c r="AA361" s="68"/>
      <c r="AB361" s="68"/>
      <c r="AC361" s="68"/>
      <c r="AD361" s="68"/>
      <c r="AE361" s="68"/>
      <c r="AF361" s="68"/>
      <c r="AG361" s="68"/>
      <c r="AH361" s="68"/>
      <c r="AI361" s="68"/>
      <c r="AJ361" s="68"/>
      <c r="AK361" s="68"/>
      <c r="AL361" s="68"/>
      <c r="AM361" s="68"/>
      <c r="AN361" s="219" t="s">
        <v>138</v>
      </c>
      <c r="AO361" s="68"/>
      <c r="AP361" s="68"/>
      <c r="AQ361" s="68"/>
      <c r="AR361" s="68"/>
      <c r="AS361" s="68"/>
      <c r="AT361" s="68"/>
      <c r="AU361" s="68"/>
      <c r="AV361" s="68"/>
      <c r="AW361" s="68"/>
      <c r="AX361" s="68"/>
      <c r="AY361" s="61" t="str">
        <f>IFERROR(__xludf.DUMMYFUNCTION("vlookup(BB361,importrange(""https://docs.google.com/spreadsheets/d/1d2vevQ_7D_v35q4wCQ4RpQ_IPoTwEMB9Yp6ymwlPqew/edit?gid=984458430#gid=984458430"", ""'replication success'!A:K""), 11, FAlSE)"),"#N/A")</f>
        <v>#N/A</v>
      </c>
      <c r="AZ361" s="61" t="str">
        <f>IFERROR(__xludf.DUMMYFUNCTION("vlookup(BB361,importrange(""https://docs.google.com/spreadsheets/d/1d2vevQ_7D_v35q4wCQ4RpQ_IPoTwEMB9Yp6ymwlPqew/edit?gid=984458430#gid=984458430"", ""'replication success'!A:M""), 12, FAlSE)"),"#N/A")</f>
        <v>#N/A</v>
      </c>
      <c r="BA361" s="61" t="str">
        <f>IFERROR(__xludf.DUMMYFUNCTION("vlookup(BB361,importrange(""https://docs.google.com/spreadsheets/d/1d2vevQ_7D_v35q4wCQ4RpQ_IPoTwEMB9Yp6ymwlPqew/edit?gid=984458430#gid=984458430"", ""'replication success'!A:M""), 13, FAlSE)"),"#N/A")</f>
        <v>#N/A</v>
      </c>
      <c r="BB361" s="61" t="str">
        <f>IFERROR(__xludf.DUMMYFUNCTION("REGEXREPLACE(G361, ""_[a-z]{1,2}$"", """")"),"additional_studies54")</f>
        <v>additional_studies54</v>
      </c>
      <c r="BE361" s="484"/>
      <c r="BF361" s="484"/>
      <c r="BG361" s="484"/>
      <c r="BH361" s="484"/>
      <c r="BI361" s="484"/>
      <c r="BJ361" s="484"/>
      <c r="BK361" s="484"/>
      <c r="BL361" s="484"/>
      <c r="BM361" s="484"/>
      <c r="BN361" s="484"/>
      <c r="BO361" s="484"/>
      <c r="BP361" s="484"/>
      <c r="BQ361" s="484"/>
      <c r="BR361" s="484"/>
      <c r="BS361" s="484"/>
      <c r="BT361" s="484"/>
      <c r="BU361" s="484"/>
      <c r="BV361" s="484"/>
      <c r="BW361" s="484"/>
      <c r="BX361" s="484"/>
      <c r="BY361" s="484"/>
      <c r="BZ361" s="484"/>
      <c r="CA361" s="484"/>
      <c r="CB361" s="484"/>
      <c r="CC361" s="484"/>
      <c r="CD361" s="484"/>
      <c r="CE361" s="484"/>
      <c r="CF361" s="484"/>
      <c r="CG361" s="484"/>
      <c r="CH361" s="484"/>
      <c r="CI361" s="484"/>
      <c r="CJ361" s="484"/>
      <c r="CK361" s="484"/>
      <c r="CL361" s="484"/>
      <c r="CM361" s="484"/>
      <c r="CN361" s="484"/>
      <c r="CO361" s="484"/>
      <c r="CP361" s="484"/>
      <c r="CQ361" s="484"/>
      <c r="CR361" s="484"/>
      <c r="CS361" s="484"/>
      <c r="CT361" s="484"/>
      <c r="CU361" s="484"/>
      <c r="CV361" s="484"/>
      <c r="CW361" s="484"/>
      <c r="CX361" s="484"/>
      <c r="CY361" s="484"/>
      <c r="CZ361" s="484"/>
      <c r="DA361" s="484"/>
      <c r="DB361" s="484"/>
      <c r="DC361" s="484"/>
      <c r="DD361" s="484"/>
      <c r="DE361" s="484"/>
      <c r="DF361" s="484"/>
      <c r="DG361" s="484"/>
      <c r="DH361" s="484"/>
      <c r="DI361" s="484"/>
      <c r="DJ361" s="484"/>
      <c r="DK361" s="484"/>
      <c r="DL361" s="484"/>
    </row>
    <row r="362" ht="20.25" customHeight="1">
      <c r="A362" s="44">
        <v>362.0</v>
      </c>
      <c r="B362" s="148" t="s">
        <v>590</v>
      </c>
      <c r="C362" s="45" t="s">
        <v>115</v>
      </c>
      <c r="D362" s="62" t="s">
        <v>1441</v>
      </c>
      <c r="F362" s="493" t="s">
        <v>2069</v>
      </c>
      <c r="G362" s="383" t="s">
        <v>2070</v>
      </c>
      <c r="H362" s="383" t="s">
        <v>1540</v>
      </c>
      <c r="I362" s="590">
        <v>45460.0</v>
      </c>
      <c r="J362" s="590">
        <v>45638.0</v>
      </c>
      <c r="K362" s="383" t="s">
        <v>2071</v>
      </c>
      <c r="L362" s="706" t="s">
        <v>2072</v>
      </c>
      <c r="M362" s="383" t="s">
        <v>2073</v>
      </c>
      <c r="N362" s="383" t="s">
        <v>2074</v>
      </c>
      <c r="O362" s="462"/>
      <c r="P362" s="493" t="str">
        <f t="shared" si="14"/>
        <v>10.1111--j.1540-5885.2010.00778.x.pdf</v>
      </c>
      <c r="Q362" s="108" t="str">
        <f t="array" ref="Q362"> if(iserror(MATCH(V362, 'File Links'!C:C, 0)), "N/A", HYPERLINK(INDEX('File Links'!B:B, MATCH(P362, 'File Links'!C:C, 0))))</f>
        <v>N/A</v>
      </c>
      <c r="R362" s="707" t="s">
        <v>2075</v>
      </c>
      <c r="S362" s="383" t="s">
        <v>2076</v>
      </c>
      <c r="T362" s="462"/>
      <c r="U362" s="591"/>
      <c r="V362" s="383" t="str">
        <f t="shared" ref="V362:V397" si="15">HYPERLINK(VLOOKUP(LOWER(S362),#REF!, 2, FALSE), SUBSTITUTE(LOWER(S362), "/", "--") &amp;  ".pdf")</f>
        <v>10.1080--02650487.2024.2362015.pdf</v>
      </c>
      <c r="W362" s="592" t="s">
        <v>2077</v>
      </c>
      <c r="X362" s="49" t="str">
        <f t="array" ref="X362"> if(iserror(MATCH(V362, 'File Links'!C:C, 0)), "N/A", HYPERLINK(INDEX('File Links'!B:B, MATCH(V362, 'File Links'!C:C, 0))))</f>
        <v>N/A</v>
      </c>
      <c r="Y362" s="592" t="s">
        <v>2078</v>
      </c>
      <c r="Z362" s="383" t="s">
        <v>2079</v>
      </c>
      <c r="AA362" s="383" t="s">
        <v>2080</v>
      </c>
      <c r="AB362" s="383" t="s">
        <v>2081</v>
      </c>
      <c r="AC362" s="462"/>
      <c r="AD362" s="462"/>
      <c r="AE362" s="462"/>
      <c r="AF362" s="462"/>
      <c r="AG362" s="462"/>
      <c r="AH362" s="591"/>
      <c r="AI362" s="462"/>
      <c r="AJ362" s="462"/>
      <c r="AK362" s="542"/>
      <c r="AL362" s="462"/>
      <c r="AM362" s="462"/>
      <c r="AN362" s="219" t="s">
        <v>138</v>
      </c>
      <c r="AO362" s="462"/>
      <c r="AP362" s="462"/>
      <c r="AQ362" s="462"/>
      <c r="AR362" s="462"/>
      <c r="AS362" s="462"/>
      <c r="AT362" s="542"/>
      <c r="AU362" s="542"/>
      <c r="AV362" s="542"/>
      <c r="AW362" s="542"/>
      <c r="AX362" s="481" t="s">
        <v>151</v>
      </c>
      <c r="AY362" s="61" t="str">
        <f>IFERROR(__xludf.DUMMYFUNCTION("vlookup(BB362,importrange(""https://docs.google.com/spreadsheets/d/1d2vevQ_7D_v35q4wCQ4RpQ_IPoTwEMB9Yp6ymwlPqew/edit?gid=984458430#gid=984458430"", ""'replication success'!A:K""), 11, FAlSE)"),"#N/A")</f>
        <v>#N/A</v>
      </c>
      <c r="AZ362" s="61" t="str">
        <f>IFERROR(__xludf.DUMMYFUNCTION("vlookup(BB362,importrange(""https://docs.google.com/spreadsheets/d/1d2vevQ_7D_v35q4wCQ4RpQ_IPoTwEMB9Yp6ymwlPqew/edit?gid=984458430#gid=984458430"", ""'replication success'!A:M""), 12, FAlSE)"),"#N/A")</f>
        <v>#N/A</v>
      </c>
      <c r="BA362" s="61" t="str">
        <f>IFERROR(__xludf.DUMMYFUNCTION("vlookup(BB362,importrange(""https://docs.google.com/spreadsheets/d/1d2vevQ_7D_v35q4wCQ4RpQ_IPoTwEMB9Yp6ymwlPqew/edit?gid=984458430#gid=984458430"", ""'replication success'!A:M""), 13, FAlSE)"),"#N/A")</f>
        <v>#N/A</v>
      </c>
      <c r="BB362" s="61" t="str">
        <f>IFERROR(__xludf.DUMMYFUNCTION("REGEXREPLACE(G362, ""_[a-z]{1,2}$"", """")"),"additional_studies55")</f>
        <v>additional_studies55</v>
      </c>
      <c r="BC362" s="708" t="s">
        <v>2072</v>
      </c>
      <c r="BE362" s="468"/>
      <c r="BF362" s="468"/>
      <c r="BG362" s="468"/>
      <c r="BH362" s="468"/>
      <c r="BI362" s="468"/>
      <c r="BJ362" s="468"/>
      <c r="BK362" s="468"/>
      <c r="BL362" s="468"/>
      <c r="BM362" s="468"/>
      <c r="BN362" s="468"/>
      <c r="BO362" s="468"/>
      <c r="BP362" s="468"/>
      <c r="BQ362" s="468"/>
      <c r="BR362" s="468"/>
      <c r="BS362" s="468"/>
      <c r="BT362" s="468"/>
      <c r="BU362" s="468"/>
      <c r="BV362" s="468"/>
      <c r="BW362" s="468"/>
      <c r="BX362" s="468"/>
      <c r="BY362" s="468"/>
      <c r="BZ362" s="468"/>
      <c r="CA362" s="468"/>
      <c r="CB362" s="468"/>
      <c r="CC362" s="468"/>
      <c r="CD362" s="468"/>
      <c r="CE362" s="468"/>
      <c r="CF362" s="468"/>
      <c r="CG362" s="468"/>
      <c r="CH362" s="468"/>
      <c r="CI362" s="468"/>
      <c r="CJ362" s="468"/>
      <c r="CK362" s="468"/>
      <c r="CL362" s="468"/>
      <c r="CM362" s="468"/>
      <c r="CN362" s="468"/>
      <c r="CO362" s="468"/>
      <c r="CP362" s="468"/>
      <c r="CQ362" s="468"/>
      <c r="CR362" s="468"/>
      <c r="CS362" s="468"/>
      <c r="CT362" s="468"/>
      <c r="CU362" s="468"/>
      <c r="CV362" s="468"/>
      <c r="CW362" s="468"/>
      <c r="CX362" s="468"/>
      <c r="CY362" s="468"/>
      <c r="CZ362" s="468"/>
      <c r="DA362" s="468"/>
      <c r="DB362" s="468"/>
      <c r="DC362" s="468"/>
      <c r="DD362" s="468"/>
      <c r="DE362" s="468"/>
      <c r="DF362" s="468"/>
      <c r="DG362" s="468"/>
      <c r="DH362" s="468"/>
      <c r="DI362" s="468"/>
      <c r="DJ362" s="468"/>
      <c r="DK362" s="468"/>
      <c r="DL362" s="468"/>
    </row>
    <row r="363" ht="44.25" customHeight="1">
      <c r="A363" s="44">
        <v>363.0</v>
      </c>
      <c r="B363" s="421" t="s">
        <v>285</v>
      </c>
      <c r="C363" s="62" t="s">
        <v>115</v>
      </c>
      <c r="D363" s="62" t="s">
        <v>1810</v>
      </c>
      <c r="F363" s="703" t="s">
        <v>2069</v>
      </c>
      <c r="G363" s="57" t="s">
        <v>2070</v>
      </c>
      <c r="H363" s="57" t="s">
        <v>1811</v>
      </c>
      <c r="I363" s="152">
        <v>45460.0</v>
      </c>
      <c r="J363" s="434">
        <v>45642.0</v>
      </c>
      <c r="K363" s="57" t="s">
        <v>2082</v>
      </c>
      <c r="L363" s="61"/>
      <c r="M363" s="57" t="s">
        <v>2073</v>
      </c>
      <c r="N363" s="57" t="s">
        <v>2074</v>
      </c>
      <c r="O363" s="379">
        <v>2.0</v>
      </c>
      <c r="P363" s="377" t="str">
        <f t="shared" ref="P363:P380" si="16"> SUBSTITUTE(lower(N363), "/", "--") &amp;  ".pdf"</f>
        <v>10.1111--j.1540-5885.2010.00778.x.pdf</v>
      </c>
      <c r="Q363" s="108" t="str">
        <f t="array" ref="Q363"> if(iserror(MATCH(V363, 'File Links'!C:C, 0)), "N/A", HYPERLINK(INDEX('File Links'!B:B, MATCH(P363, 'File Links'!C:C, 0))))</f>
        <v>N/A</v>
      </c>
      <c r="R363" s="57" t="s">
        <v>2083</v>
      </c>
      <c r="S363" s="57" t="s">
        <v>2076</v>
      </c>
      <c r="T363" s="61"/>
      <c r="U363" s="709">
        <v>1.0</v>
      </c>
      <c r="V363" s="112" t="str">
        <f t="shared" si="15"/>
        <v>10.1080--02650487.2024.2362015.pdf</v>
      </c>
      <c r="W363" s="57" t="s">
        <v>2084</v>
      </c>
      <c r="X363" s="49" t="str">
        <f t="array" ref="X363"> if(iserror(MATCH(V363, 'File Links'!C:C, 0)), "N/A", HYPERLINK(INDEX('File Links'!B:B, MATCH(V363, 'File Links'!C:C, 0))))</f>
        <v>N/A</v>
      </c>
      <c r="Y363" s="61"/>
      <c r="Z363" s="57" t="s">
        <v>2079</v>
      </c>
      <c r="AA363" s="57" t="s">
        <v>2085</v>
      </c>
      <c r="AB363" s="57" t="s">
        <v>2086</v>
      </c>
      <c r="AC363" s="57" t="s">
        <v>2087</v>
      </c>
      <c r="AD363" s="57" t="s">
        <v>2088</v>
      </c>
      <c r="AE363" s="129">
        <v>27.0</v>
      </c>
      <c r="AF363" s="379">
        <v>92.0</v>
      </c>
      <c r="AG363" s="379">
        <v>7.0</v>
      </c>
      <c r="AH363" s="339" t="s">
        <v>134</v>
      </c>
      <c r="AI363" s="57" t="s">
        <v>1888</v>
      </c>
      <c r="AJ363" s="61"/>
      <c r="AK363" s="68"/>
      <c r="AL363" s="677" t="s">
        <v>138</v>
      </c>
      <c r="AM363" s="677" t="s">
        <v>138</v>
      </c>
      <c r="AN363" s="219" t="s">
        <v>138</v>
      </c>
      <c r="AO363" s="379">
        <v>156.0</v>
      </c>
      <c r="AP363" s="379">
        <v>-0.047</v>
      </c>
      <c r="AQ363" s="57" t="s">
        <v>173</v>
      </c>
      <c r="AR363" s="379">
        <f t="shared" ref="AR363:AR365" si="17">(6-6.05)/SQRT(((79-1)*1.08^2+(77-1)*1.06^2)/(79+77-2))</f>
        <v>-0.04672126145</v>
      </c>
      <c r="AS363" s="61"/>
      <c r="AT363" s="68"/>
      <c r="AU363" s="678" t="s">
        <v>138</v>
      </c>
      <c r="AV363" s="678" t="s">
        <v>138</v>
      </c>
      <c r="AW363" s="159" t="s">
        <v>138</v>
      </c>
      <c r="AX363" s="159" t="s">
        <v>151</v>
      </c>
      <c r="AY363" s="61" t="str">
        <f>IFERROR(__xludf.DUMMYFUNCTION("vlookup(BB363,importrange(""https://docs.google.com/spreadsheets/d/1d2vevQ_7D_v35q4wCQ4RpQ_IPoTwEMB9Yp6ymwlPqew/edit?gid=984458430#gid=984458430"", ""'replication success'!A:K""), 11, FAlSE)"),"#N/A")</f>
        <v>#N/A</v>
      </c>
      <c r="AZ363" s="61" t="str">
        <f>IFERROR(__xludf.DUMMYFUNCTION("vlookup(BB363,importrange(""https://docs.google.com/spreadsheets/d/1d2vevQ_7D_v35q4wCQ4RpQ_IPoTwEMB9Yp6ymwlPqew/edit?gid=984458430#gid=984458430"", ""'replication success'!A:M""), 12, FAlSE)"),"#N/A")</f>
        <v>#N/A</v>
      </c>
      <c r="BA363" s="61" t="str">
        <f>IFERROR(__xludf.DUMMYFUNCTION("vlookup(BB363,importrange(""https://docs.google.com/spreadsheets/d/1d2vevQ_7D_v35q4wCQ4RpQ_IPoTwEMB9Yp6ymwlPqew/edit?gid=984458430#gid=984458430"", ""'replication success'!A:M""), 13, FAlSE)"),"#N/A")</f>
        <v>#N/A</v>
      </c>
      <c r="BB363" s="61" t="str">
        <f>IFERROR(__xludf.DUMMYFUNCTION("REGEXREPLACE(G363, ""_[a-z]{1,2}$"", """")"),"additional_studies55")</f>
        <v>additional_studies55</v>
      </c>
      <c r="BC363" s="61"/>
      <c r="BE363" s="484"/>
      <c r="BF363" s="484"/>
      <c r="BG363" s="484"/>
      <c r="BH363" s="484"/>
      <c r="BI363" s="484"/>
      <c r="BJ363" s="484"/>
      <c r="BK363" s="484"/>
      <c r="BL363" s="484"/>
      <c r="BM363" s="484"/>
      <c r="BN363" s="484"/>
      <c r="BO363" s="484"/>
      <c r="BP363" s="484"/>
      <c r="BQ363" s="484"/>
      <c r="BR363" s="484"/>
      <c r="BS363" s="484"/>
      <c r="BT363" s="484"/>
      <c r="BU363" s="484"/>
      <c r="BV363" s="484"/>
      <c r="BW363" s="484"/>
      <c r="BX363" s="484"/>
      <c r="BY363" s="484"/>
      <c r="BZ363" s="484"/>
      <c r="CA363" s="484"/>
      <c r="CB363" s="484"/>
      <c r="CC363" s="484"/>
      <c r="CD363" s="484"/>
      <c r="CE363" s="484"/>
      <c r="CF363" s="484"/>
      <c r="CG363" s="484"/>
      <c r="CH363" s="484"/>
      <c r="CI363" s="484"/>
      <c r="CJ363" s="484"/>
      <c r="CK363" s="484"/>
      <c r="CL363" s="484"/>
      <c r="CM363" s="484"/>
      <c r="CN363" s="484"/>
      <c r="CO363" s="484"/>
      <c r="CP363" s="484"/>
      <c r="CQ363" s="484"/>
      <c r="CR363" s="484"/>
      <c r="CS363" s="484"/>
      <c r="CT363" s="484"/>
      <c r="CU363" s="484"/>
      <c r="CV363" s="484"/>
      <c r="CW363" s="484"/>
      <c r="CX363" s="484"/>
      <c r="CY363" s="484"/>
      <c r="CZ363" s="484"/>
      <c r="DA363" s="484"/>
      <c r="DB363" s="484"/>
      <c r="DC363" s="484"/>
      <c r="DD363" s="484"/>
      <c r="DE363" s="484"/>
      <c r="DF363" s="484"/>
      <c r="DG363" s="484"/>
      <c r="DH363" s="484"/>
      <c r="DI363" s="484"/>
      <c r="DJ363" s="484"/>
      <c r="DK363" s="484"/>
      <c r="DL363" s="484"/>
    </row>
    <row r="364" ht="20.25" customHeight="1">
      <c r="A364" s="44">
        <v>364.0</v>
      </c>
      <c r="B364" s="421" t="s">
        <v>590</v>
      </c>
      <c r="C364" s="62" t="s">
        <v>115</v>
      </c>
      <c r="D364" s="62" t="s">
        <v>1810</v>
      </c>
      <c r="F364" s="703" t="s">
        <v>2069</v>
      </c>
      <c r="G364" s="57" t="s">
        <v>2070</v>
      </c>
      <c r="H364" s="57" t="s">
        <v>1811</v>
      </c>
      <c r="I364" s="152">
        <v>45460.0</v>
      </c>
      <c r="J364" s="434">
        <v>45642.0</v>
      </c>
      <c r="K364" s="57" t="s">
        <v>2082</v>
      </c>
      <c r="L364" s="212" t="s">
        <v>2089</v>
      </c>
      <c r="M364" s="57" t="s">
        <v>2073</v>
      </c>
      <c r="N364" s="57" t="s">
        <v>2074</v>
      </c>
      <c r="O364" s="379">
        <v>2.0</v>
      </c>
      <c r="P364" s="377" t="str">
        <f t="shared" si="16"/>
        <v>10.1111--j.1540-5885.2010.00778.x.pdf</v>
      </c>
      <c r="Q364" s="108" t="str">
        <f t="array" ref="Q364"> if(iserror(MATCH(V364, 'File Links'!C:C, 0)), "N/A", HYPERLINK(INDEX('File Links'!B:B, MATCH(P364, 'File Links'!C:C, 0))))</f>
        <v>N/A</v>
      </c>
      <c r="R364" s="57" t="s">
        <v>2083</v>
      </c>
      <c r="S364" s="57" t="s">
        <v>2076</v>
      </c>
      <c r="T364" s="61"/>
      <c r="U364" s="709">
        <v>1.0</v>
      </c>
      <c r="V364" s="112" t="str">
        <f t="shared" si="15"/>
        <v>10.1080--02650487.2024.2362015.pdf</v>
      </c>
      <c r="W364" s="57" t="s">
        <v>2084</v>
      </c>
      <c r="X364" s="49" t="str">
        <f t="array" ref="X364"> if(iserror(MATCH(V364, 'File Links'!C:C, 0)), "N/A", HYPERLINK(INDEX('File Links'!B:B, MATCH(V364, 'File Links'!C:C, 0))))</f>
        <v>N/A</v>
      </c>
      <c r="Y364" s="61"/>
      <c r="Z364" s="57" t="s">
        <v>2079</v>
      </c>
      <c r="AA364" s="57" t="s">
        <v>2085</v>
      </c>
      <c r="AB364" s="57" t="s">
        <v>2086</v>
      </c>
      <c r="AC364" s="57" t="s">
        <v>2090</v>
      </c>
      <c r="AD364" s="57" t="s">
        <v>2088</v>
      </c>
      <c r="AE364" s="129">
        <v>27.0</v>
      </c>
      <c r="AF364" s="379">
        <v>158.0</v>
      </c>
      <c r="AG364" s="379">
        <v>7.5</v>
      </c>
      <c r="AH364" s="339" t="s">
        <v>134</v>
      </c>
      <c r="AI364" s="57" t="s">
        <v>1888</v>
      </c>
      <c r="AJ364" s="61"/>
      <c r="AK364" s="68"/>
      <c r="AL364" s="677" t="s">
        <v>138</v>
      </c>
      <c r="AM364" s="677" t="s">
        <v>138</v>
      </c>
      <c r="AN364" s="57" t="s">
        <v>138</v>
      </c>
      <c r="AO364" s="379">
        <v>156.0</v>
      </c>
      <c r="AP364" s="379">
        <v>-0.047</v>
      </c>
      <c r="AQ364" s="57" t="s">
        <v>173</v>
      </c>
      <c r="AR364" s="379">
        <f t="shared" si="17"/>
        <v>-0.04672126145</v>
      </c>
      <c r="AS364" s="61"/>
      <c r="AT364" s="68"/>
      <c r="AU364" s="678" t="s">
        <v>138</v>
      </c>
      <c r="AV364" s="678" t="s">
        <v>138</v>
      </c>
      <c r="AW364" s="159" t="s">
        <v>138</v>
      </c>
      <c r="AX364" s="159" t="s">
        <v>151</v>
      </c>
      <c r="AY364" s="61" t="str">
        <f>IFERROR(__xludf.DUMMYFUNCTION("vlookup(BB364,importrange(""https://docs.google.com/spreadsheets/d/1d2vevQ_7D_v35q4wCQ4RpQ_IPoTwEMB9Yp6ymwlPqew/edit?gid=984458430#gid=984458430"", ""'replication success'!A:K""), 11, FAlSE)"),"#N/A")</f>
        <v>#N/A</v>
      </c>
      <c r="AZ364" s="61" t="str">
        <f>IFERROR(__xludf.DUMMYFUNCTION("vlookup(BB364,importrange(""https://docs.google.com/spreadsheets/d/1d2vevQ_7D_v35q4wCQ4RpQ_IPoTwEMB9Yp6ymwlPqew/edit?gid=984458430#gid=984458430"", ""'replication success'!A:M""), 12, FAlSE)"),"#N/A")</f>
        <v>#N/A</v>
      </c>
      <c r="BA364" s="61" t="str">
        <f>IFERROR(__xludf.DUMMYFUNCTION("vlookup(BB364,importrange(""https://docs.google.com/spreadsheets/d/1d2vevQ_7D_v35q4wCQ4RpQ_IPoTwEMB9Yp6ymwlPqew/edit?gid=984458430#gid=984458430"", ""'replication success'!A:M""), 13, FAlSE)"),"#N/A")</f>
        <v>#N/A</v>
      </c>
      <c r="BB364" s="61" t="str">
        <f>IFERROR(__xludf.DUMMYFUNCTION("REGEXREPLACE(G364, ""_[a-z]{1,2}$"", """")"),"additional_studies55")</f>
        <v>additional_studies55</v>
      </c>
      <c r="BC364" s="129" t="s">
        <v>2089</v>
      </c>
      <c r="BE364" s="468"/>
      <c r="BF364" s="468"/>
      <c r="BG364" s="468"/>
      <c r="BH364" s="468"/>
      <c r="BI364" s="468"/>
      <c r="BJ364" s="468"/>
      <c r="BK364" s="468"/>
      <c r="BL364" s="468"/>
      <c r="BM364" s="468"/>
      <c r="BN364" s="468"/>
      <c r="BO364" s="468"/>
      <c r="BP364" s="468"/>
      <c r="BQ364" s="468"/>
      <c r="BR364" s="468"/>
      <c r="BS364" s="468"/>
      <c r="BT364" s="468"/>
      <c r="BU364" s="468"/>
      <c r="BV364" s="468"/>
      <c r="BW364" s="468"/>
      <c r="BX364" s="468"/>
      <c r="BY364" s="468"/>
      <c r="BZ364" s="468"/>
      <c r="CA364" s="468"/>
      <c r="CB364" s="468"/>
      <c r="CC364" s="468"/>
      <c r="CD364" s="468"/>
      <c r="CE364" s="468"/>
      <c r="CF364" s="468"/>
      <c r="CG364" s="468"/>
      <c r="CH364" s="468"/>
      <c r="CI364" s="468"/>
      <c r="CJ364" s="468"/>
      <c r="CK364" s="468"/>
      <c r="CL364" s="468"/>
      <c r="CM364" s="468"/>
      <c r="CN364" s="468"/>
      <c r="CO364" s="468"/>
      <c r="CP364" s="468"/>
      <c r="CQ364" s="468"/>
      <c r="CR364" s="468"/>
      <c r="CS364" s="468"/>
      <c r="CT364" s="468"/>
      <c r="CU364" s="468"/>
      <c r="CV364" s="468"/>
      <c r="CW364" s="468"/>
      <c r="CX364" s="468"/>
      <c r="CY364" s="468"/>
      <c r="CZ364" s="468"/>
      <c r="DA364" s="468"/>
      <c r="DB364" s="468"/>
      <c r="DC364" s="468"/>
      <c r="DD364" s="468"/>
      <c r="DE364" s="468"/>
      <c r="DF364" s="468"/>
      <c r="DG364" s="468"/>
      <c r="DH364" s="468"/>
      <c r="DI364" s="468"/>
      <c r="DJ364" s="468"/>
      <c r="DK364" s="468"/>
      <c r="DL364" s="468"/>
    </row>
    <row r="365" ht="20.25" customHeight="1">
      <c r="A365" s="44">
        <v>365.0</v>
      </c>
      <c r="B365" s="421" t="s">
        <v>285</v>
      </c>
      <c r="C365" s="62" t="s">
        <v>115</v>
      </c>
      <c r="D365" s="62" t="s">
        <v>1810</v>
      </c>
      <c r="F365" s="703" t="s">
        <v>2069</v>
      </c>
      <c r="G365" s="57" t="s">
        <v>2070</v>
      </c>
      <c r="H365" s="57" t="s">
        <v>1811</v>
      </c>
      <c r="I365" s="152">
        <v>45460.0</v>
      </c>
      <c r="J365" s="434">
        <v>45642.0</v>
      </c>
      <c r="K365" s="57" t="s">
        <v>2082</v>
      </c>
      <c r="L365" s="61"/>
      <c r="M365" s="57" t="s">
        <v>2073</v>
      </c>
      <c r="N365" s="57" t="s">
        <v>2074</v>
      </c>
      <c r="O365" s="379">
        <v>2.0</v>
      </c>
      <c r="P365" s="377" t="str">
        <f t="shared" si="16"/>
        <v>10.1111--j.1540-5885.2010.00778.x.pdf</v>
      </c>
      <c r="Q365" s="108" t="str">
        <f t="array" ref="Q365"> if(iserror(MATCH(V365, 'File Links'!C:C, 0)), "N/A", HYPERLINK(INDEX('File Links'!B:B, MATCH(P365, 'File Links'!C:C, 0))))</f>
        <v>N/A</v>
      </c>
      <c r="R365" s="57" t="s">
        <v>2083</v>
      </c>
      <c r="S365" s="57" t="s">
        <v>2076</v>
      </c>
      <c r="T365" s="61"/>
      <c r="U365" s="709">
        <v>1.0</v>
      </c>
      <c r="V365" s="112" t="str">
        <f t="shared" si="15"/>
        <v>10.1080--02650487.2024.2362015.pdf</v>
      </c>
      <c r="W365" s="57" t="s">
        <v>2084</v>
      </c>
      <c r="X365" s="49" t="str">
        <f t="array" ref="X365"> if(iserror(MATCH(V365, 'File Links'!C:C, 0)), "N/A", HYPERLINK(INDEX('File Links'!B:B, MATCH(V365, 'File Links'!C:C, 0))))</f>
        <v>N/A</v>
      </c>
      <c r="Y365" s="61"/>
      <c r="Z365" s="57" t="s">
        <v>2079</v>
      </c>
      <c r="AA365" s="57" t="s">
        <v>2085</v>
      </c>
      <c r="AB365" s="57" t="s">
        <v>2086</v>
      </c>
      <c r="AC365" s="57" t="s">
        <v>2091</v>
      </c>
      <c r="AD365" s="57" t="s">
        <v>2088</v>
      </c>
      <c r="AE365" s="129">
        <v>27.0</v>
      </c>
      <c r="AF365" s="379">
        <v>153.0</v>
      </c>
      <c r="AG365" s="379">
        <v>4.5</v>
      </c>
      <c r="AH365" s="339" t="s">
        <v>134</v>
      </c>
      <c r="AI365" s="57" t="s">
        <v>1888</v>
      </c>
      <c r="AJ365" s="61"/>
      <c r="AK365" s="68"/>
      <c r="AL365" s="677" t="s">
        <v>138</v>
      </c>
      <c r="AM365" s="677" t="s">
        <v>138</v>
      </c>
      <c r="AN365" s="57" t="s">
        <v>138</v>
      </c>
      <c r="AO365" s="379">
        <v>156.0</v>
      </c>
      <c r="AP365" s="379">
        <v>-0.047</v>
      </c>
      <c r="AQ365" s="57" t="s">
        <v>173</v>
      </c>
      <c r="AR365" s="379">
        <f t="shared" si="17"/>
        <v>-0.04672126145</v>
      </c>
      <c r="AS365" s="61"/>
      <c r="AT365" s="68"/>
      <c r="AU365" s="678" t="s">
        <v>138</v>
      </c>
      <c r="AV365" s="678" t="s">
        <v>138</v>
      </c>
      <c r="AW365" s="159" t="s">
        <v>138</v>
      </c>
      <c r="AX365" s="159" t="s">
        <v>151</v>
      </c>
      <c r="AY365" s="61" t="str">
        <f>IFERROR(__xludf.DUMMYFUNCTION("vlookup(BB365,importrange(""https://docs.google.com/spreadsheets/d/1d2vevQ_7D_v35q4wCQ4RpQ_IPoTwEMB9Yp6ymwlPqew/edit?gid=984458430#gid=984458430"", ""'replication success'!A:K""), 11, FAlSE)"),"#N/A")</f>
        <v>#N/A</v>
      </c>
      <c r="AZ365" s="61" t="str">
        <f>IFERROR(__xludf.DUMMYFUNCTION("vlookup(BB365,importrange(""https://docs.google.com/spreadsheets/d/1d2vevQ_7D_v35q4wCQ4RpQ_IPoTwEMB9Yp6ymwlPqew/edit?gid=984458430#gid=984458430"", ""'replication success'!A:M""), 12, FAlSE)"),"#N/A")</f>
        <v>#N/A</v>
      </c>
      <c r="BA365" s="61" t="str">
        <f>IFERROR(__xludf.DUMMYFUNCTION("vlookup(BB365,importrange(""https://docs.google.com/spreadsheets/d/1d2vevQ_7D_v35q4wCQ4RpQ_IPoTwEMB9Yp6ymwlPqew/edit?gid=984458430#gid=984458430"", ""'replication success'!A:M""), 13, FAlSE)"),"#N/A")</f>
        <v>#N/A</v>
      </c>
      <c r="BB365" s="61" t="str">
        <f>IFERROR(__xludf.DUMMYFUNCTION("REGEXREPLACE(G365, ""_[a-z]{1,2}$"", """")"),"additional_studies55")</f>
        <v>additional_studies55</v>
      </c>
      <c r="BC365" s="61"/>
      <c r="BE365" s="484"/>
      <c r="BF365" s="484"/>
      <c r="BG365" s="484"/>
      <c r="BH365" s="484"/>
      <c r="BI365" s="484"/>
      <c r="BJ365" s="484"/>
      <c r="BK365" s="484"/>
      <c r="BL365" s="484"/>
      <c r="BM365" s="484"/>
      <c r="BN365" s="484"/>
      <c r="BO365" s="484"/>
      <c r="BP365" s="484"/>
      <c r="BQ365" s="484"/>
      <c r="BR365" s="484"/>
      <c r="BS365" s="484"/>
      <c r="BT365" s="484"/>
      <c r="BU365" s="484"/>
      <c r="BV365" s="484"/>
      <c r="BW365" s="484"/>
      <c r="BX365" s="484"/>
      <c r="BY365" s="484"/>
      <c r="BZ365" s="484"/>
      <c r="CA365" s="484"/>
      <c r="CB365" s="484"/>
      <c r="CC365" s="484"/>
      <c r="CD365" s="484"/>
      <c r="CE365" s="484"/>
      <c r="CF365" s="484"/>
      <c r="CG365" s="484"/>
      <c r="CH365" s="484"/>
      <c r="CI365" s="484"/>
      <c r="CJ365" s="484"/>
      <c r="CK365" s="484"/>
      <c r="CL365" s="484"/>
      <c r="CM365" s="484"/>
      <c r="CN365" s="484"/>
      <c r="CO365" s="484"/>
      <c r="CP365" s="484"/>
      <c r="CQ365" s="484"/>
      <c r="CR365" s="484"/>
      <c r="CS365" s="484"/>
      <c r="CT365" s="484"/>
      <c r="CU365" s="484"/>
      <c r="CV365" s="484"/>
      <c r="CW365" s="484"/>
      <c r="CX365" s="484"/>
      <c r="CY365" s="484"/>
      <c r="CZ365" s="484"/>
      <c r="DA365" s="484"/>
      <c r="DB365" s="484"/>
      <c r="DC365" s="484"/>
      <c r="DD365" s="484"/>
      <c r="DE365" s="484"/>
      <c r="DF365" s="484"/>
      <c r="DG365" s="484"/>
      <c r="DH365" s="484"/>
      <c r="DI365" s="484"/>
      <c r="DJ365" s="484"/>
      <c r="DK365" s="484"/>
      <c r="DL365" s="484"/>
    </row>
    <row r="366" ht="20.25" customHeight="1">
      <c r="A366" s="44">
        <v>366.0</v>
      </c>
      <c r="B366" s="421" t="s">
        <v>285</v>
      </c>
      <c r="C366" s="62" t="s">
        <v>115</v>
      </c>
      <c r="D366" s="62" t="s">
        <v>1810</v>
      </c>
      <c r="F366" s="703" t="s">
        <v>2069</v>
      </c>
      <c r="G366" s="57" t="s">
        <v>2070</v>
      </c>
      <c r="H366" s="57" t="s">
        <v>1811</v>
      </c>
      <c r="I366" s="152">
        <v>45460.0</v>
      </c>
      <c r="J366" s="434">
        <v>45642.0</v>
      </c>
      <c r="K366" s="57" t="s">
        <v>2082</v>
      </c>
      <c r="L366" s="61"/>
      <c r="M366" s="57" t="s">
        <v>2073</v>
      </c>
      <c r="N366" s="57" t="s">
        <v>2074</v>
      </c>
      <c r="O366" s="379">
        <v>2.0</v>
      </c>
      <c r="P366" s="377" t="str">
        <f t="shared" si="16"/>
        <v>10.1111--j.1540-5885.2010.00778.x.pdf</v>
      </c>
      <c r="Q366" s="108" t="str">
        <f t="array" ref="Q366"> if(iserror(MATCH(V366, 'File Links'!C:C, 0)), "N/A", HYPERLINK(INDEX('File Links'!B:B, MATCH(P366, 'File Links'!C:C, 0))))</f>
        <v>N/A</v>
      </c>
      <c r="R366" s="57" t="s">
        <v>2083</v>
      </c>
      <c r="S366" s="57" t="s">
        <v>2076</v>
      </c>
      <c r="T366" s="61"/>
      <c r="U366" s="709">
        <v>1.0</v>
      </c>
      <c r="V366" s="112" t="str">
        <f t="shared" si="15"/>
        <v>10.1080--02650487.2024.2362015.pdf</v>
      </c>
      <c r="W366" s="57" t="s">
        <v>2084</v>
      </c>
      <c r="X366" s="49" t="str">
        <f t="array" ref="X366"> if(iserror(MATCH(V366, 'File Links'!C:C, 0)), "N/A", HYPERLINK(INDEX('File Links'!B:B, MATCH(V366, 'File Links'!C:C, 0))))</f>
        <v>N/A</v>
      </c>
      <c r="Y366" s="61"/>
      <c r="Z366" s="57" t="s">
        <v>2079</v>
      </c>
      <c r="AA366" s="57" t="s">
        <v>2085</v>
      </c>
      <c r="AB366" s="57" t="s">
        <v>2086</v>
      </c>
      <c r="AC366" s="57" t="s">
        <v>2092</v>
      </c>
      <c r="AD366" s="57" t="s">
        <v>2088</v>
      </c>
      <c r="AE366" s="129">
        <v>27.0</v>
      </c>
      <c r="AF366" s="379">
        <v>156.0</v>
      </c>
      <c r="AG366" s="379">
        <v>8.0</v>
      </c>
      <c r="AH366" s="339" t="s">
        <v>134</v>
      </c>
      <c r="AI366" s="57" t="s">
        <v>1888</v>
      </c>
      <c r="AJ366" s="61"/>
      <c r="AK366" s="68"/>
      <c r="AL366" s="677" t="s">
        <v>138</v>
      </c>
      <c r="AM366" s="677" t="s">
        <v>138</v>
      </c>
      <c r="AN366" s="57" t="s">
        <v>138</v>
      </c>
      <c r="AO366" s="379">
        <v>156.0</v>
      </c>
      <c r="AP366" s="379">
        <v>-0.312</v>
      </c>
      <c r="AQ366" s="57" t="s">
        <v>173</v>
      </c>
      <c r="AR366" s="379">
        <f t="shared" ref="AR366:AR368" si="18">(5.12-5.52)/SQRT(((79-1)*1.33^2+(77-1)*1.23^2)/(79+77-2))</f>
        <v>-0.3121038033</v>
      </c>
      <c r="AS366" s="61"/>
      <c r="AT366" s="68"/>
      <c r="AU366" s="678" t="s">
        <v>138</v>
      </c>
      <c r="AV366" s="678" t="s">
        <v>138</v>
      </c>
      <c r="AW366" s="159" t="s">
        <v>138</v>
      </c>
      <c r="AX366" s="159" t="s">
        <v>151</v>
      </c>
      <c r="AY366" s="61" t="str">
        <f>IFERROR(__xludf.DUMMYFUNCTION("vlookup(BB366,importrange(""https://docs.google.com/spreadsheets/d/1d2vevQ_7D_v35q4wCQ4RpQ_IPoTwEMB9Yp6ymwlPqew/edit?gid=984458430#gid=984458430"", ""'replication success'!A:K""), 11, FAlSE)"),"#N/A")</f>
        <v>#N/A</v>
      </c>
      <c r="AZ366" s="61" t="str">
        <f>IFERROR(__xludf.DUMMYFUNCTION("vlookup(BB366,importrange(""https://docs.google.com/spreadsheets/d/1d2vevQ_7D_v35q4wCQ4RpQ_IPoTwEMB9Yp6ymwlPqew/edit?gid=984458430#gid=984458430"", ""'replication success'!A:M""), 12, FAlSE)"),"#N/A")</f>
        <v>#N/A</v>
      </c>
      <c r="BA366" s="61" t="str">
        <f>IFERROR(__xludf.DUMMYFUNCTION("vlookup(BB366,importrange(""https://docs.google.com/spreadsheets/d/1d2vevQ_7D_v35q4wCQ4RpQ_IPoTwEMB9Yp6ymwlPqew/edit?gid=984458430#gid=984458430"", ""'replication success'!A:M""), 13, FAlSE)"),"#N/A")</f>
        <v>#N/A</v>
      </c>
      <c r="BB366" s="61" t="str">
        <f>IFERROR(__xludf.DUMMYFUNCTION("REGEXREPLACE(G366, ""_[a-z]{1,2}$"", """")"),"additional_studies55")</f>
        <v>additional_studies55</v>
      </c>
      <c r="BC366" s="61"/>
      <c r="BE366" s="468"/>
      <c r="BF366" s="468"/>
      <c r="BG366" s="468"/>
      <c r="BH366" s="468"/>
      <c r="BI366" s="468"/>
      <c r="BJ366" s="468"/>
      <c r="BK366" s="468"/>
      <c r="BL366" s="468"/>
      <c r="BM366" s="468"/>
      <c r="BN366" s="468"/>
      <c r="BO366" s="468"/>
      <c r="BP366" s="468"/>
      <c r="BQ366" s="468"/>
      <c r="BR366" s="468"/>
      <c r="BS366" s="468"/>
      <c r="BT366" s="468"/>
      <c r="BU366" s="468"/>
      <c r="BV366" s="468"/>
      <c r="BW366" s="468"/>
      <c r="BX366" s="468"/>
      <c r="BY366" s="468"/>
      <c r="BZ366" s="468"/>
      <c r="CA366" s="468"/>
      <c r="CB366" s="468"/>
      <c r="CC366" s="468"/>
      <c r="CD366" s="468"/>
      <c r="CE366" s="468"/>
      <c r="CF366" s="468"/>
      <c r="CG366" s="468"/>
      <c r="CH366" s="468"/>
      <c r="CI366" s="468"/>
      <c r="CJ366" s="468"/>
      <c r="CK366" s="468"/>
      <c r="CL366" s="468"/>
      <c r="CM366" s="468"/>
      <c r="CN366" s="468"/>
      <c r="CO366" s="468"/>
      <c r="CP366" s="468"/>
      <c r="CQ366" s="468"/>
      <c r="CR366" s="468"/>
      <c r="CS366" s="468"/>
      <c r="CT366" s="468"/>
      <c r="CU366" s="468"/>
      <c r="CV366" s="468"/>
      <c r="CW366" s="468"/>
      <c r="CX366" s="468"/>
      <c r="CY366" s="468"/>
      <c r="CZ366" s="468"/>
      <c r="DA366" s="468"/>
      <c r="DB366" s="468"/>
      <c r="DC366" s="468"/>
      <c r="DD366" s="468"/>
      <c r="DE366" s="468"/>
      <c r="DF366" s="468"/>
      <c r="DG366" s="468"/>
      <c r="DH366" s="468"/>
      <c r="DI366" s="468"/>
      <c r="DJ366" s="468"/>
      <c r="DK366" s="468"/>
      <c r="DL366" s="468"/>
    </row>
    <row r="367" ht="20.25" customHeight="1">
      <c r="A367" s="44">
        <v>367.0</v>
      </c>
      <c r="B367" s="421" t="s">
        <v>285</v>
      </c>
      <c r="C367" s="62" t="s">
        <v>115</v>
      </c>
      <c r="D367" s="62" t="s">
        <v>1810</v>
      </c>
      <c r="F367" s="703" t="s">
        <v>2069</v>
      </c>
      <c r="G367" s="57" t="s">
        <v>2070</v>
      </c>
      <c r="H367" s="57" t="s">
        <v>1811</v>
      </c>
      <c r="I367" s="152">
        <v>45460.0</v>
      </c>
      <c r="J367" s="434">
        <v>45642.0</v>
      </c>
      <c r="K367" s="57" t="s">
        <v>2082</v>
      </c>
      <c r="L367" s="61"/>
      <c r="M367" s="57" t="s">
        <v>2073</v>
      </c>
      <c r="N367" s="57" t="s">
        <v>2074</v>
      </c>
      <c r="O367" s="379">
        <v>2.0</v>
      </c>
      <c r="P367" s="377" t="str">
        <f t="shared" si="16"/>
        <v>10.1111--j.1540-5885.2010.00778.x.pdf</v>
      </c>
      <c r="Q367" s="108" t="str">
        <f t="array" ref="Q367"> if(iserror(MATCH(V367, 'File Links'!C:C, 0)), "N/A", HYPERLINK(INDEX('File Links'!B:B, MATCH(P367, 'File Links'!C:C, 0))))</f>
        <v>N/A</v>
      </c>
      <c r="R367" s="57" t="s">
        <v>2083</v>
      </c>
      <c r="S367" s="57" t="s">
        <v>2076</v>
      </c>
      <c r="T367" s="61"/>
      <c r="U367" s="709">
        <v>1.0</v>
      </c>
      <c r="V367" s="112" t="str">
        <f t="shared" si="15"/>
        <v>10.1080--02650487.2024.2362015.pdf</v>
      </c>
      <c r="W367" s="57" t="s">
        <v>2084</v>
      </c>
      <c r="X367" s="49" t="str">
        <f t="array" ref="X367"> if(iserror(MATCH(V367, 'File Links'!C:C, 0)), "N/A", HYPERLINK(INDEX('File Links'!B:B, MATCH(V367, 'File Links'!C:C, 0))))</f>
        <v>N/A</v>
      </c>
      <c r="Y367" s="61"/>
      <c r="Z367" s="57" t="s">
        <v>2079</v>
      </c>
      <c r="AA367" s="57" t="s">
        <v>2085</v>
      </c>
      <c r="AB367" s="57" t="s">
        <v>2086</v>
      </c>
      <c r="AC367" s="57" t="s">
        <v>2093</v>
      </c>
      <c r="AD367" s="57" t="s">
        <v>2088</v>
      </c>
      <c r="AE367" s="129">
        <v>27.0</v>
      </c>
      <c r="AF367" s="379">
        <v>158.0</v>
      </c>
      <c r="AG367" s="379">
        <v>7.5</v>
      </c>
      <c r="AH367" s="339" t="s">
        <v>134</v>
      </c>
      <c r="AI367" s="57" t="s">
        <v>1888</v>
      </c>
      <c r="AJ367" s="61"/>
      <c r="AK367" s="68"/>
      <c r="AL367" s="677" t="s">
        <v>138</v>
      </c>
      <c r="AM367" s="677" t="s">
        <v>138</v>
      </c>
      <c r="AN367" s="57" t="s">
        <v>138</v>
      </c>
      <c r="AO367" s="379">
        <v>156.0</v>
      </c>
      <c r="AP367" s="379">
        <v>-0.312</v>
      </c>
      <c r="AQ367" s="57" t="s">
        <v>173</v>
      </c>
      <c r="AR367" s="379">
        <f t="shared" si="18"/>
        <v>-0.3121038033</v>
      </c>
      <c r="AS367" s="61"/>
      <c r="AT367" s="68"/>
      <c r="AU367" s="678" t="s">
        <v>138</v>
      </c>
      <c r="AV367" s="678" t="s">
        <v>138</v>
      </c>
      <c r="AW367" s="159" t="s">
        <v>138</v>
      </c>
      <c r="AX367" s="159" t="s">
        <v>151</v>
      </c>
      <c r="AY367" s="61" t="str">
        <f>IFERROR(__xludf.DUMMYFUNCTION("vlookup(BB367,importrange(""https://docs.google.com/spreadsheets/d/1d2vevQ_7D_v35q4wCQ4RpQ_IPoTwEMB9Yp6ymwlPqew/edit?gid=984458430#gid=984458430"", ""'replication success'!A:K""), 11, FAlSE)"),"#N/A")</f>
        <v>#N/A</v>
      </c>
      <c r="AZ367" s="61" t="str">
        <f>IFERROR(__xludf.DUMMYFUNCTION("vlookup(BB367,importrange(""https://docs.google.com/spreadsheets/d/1d2vevQ_7D_v35q4wCQ4RpQ_IPoTwEMB9Yp6ymwlPqew/edit?gid=984458430#gid=984458430"", ""'replication success'!A:M""), 12, FAlSE)"),"#N/A")</f>
        <v>#N/A</v>
      </c>
      <c r="BA367" s="61" t="str">
        <f>IFERROR(__xludf.DUMMYFUNCTION("vlookup(BB367,importrange(""https://docs.google.com/spreadsheets/d/1d2vevQ_7D_v35q4wCQ4RpQ_IPoTwEMB9Yp6ymwlPqew/edit?gid=984458430#gid=984458430"", ""'replication success'!A:M""), 13, FAlSE)"),"#N/A")</f>
        <v>#N/A</v>
      </c>
      <c r="BB367" s="61" t="str">
        <f>IFERROR(__xludf.DUMMYFUNCTION("REGEXREPLACE(G367, ""_[a-z]{1,2}$"", """")"),"additional_studies55")</f>
        <v>additional_studies55</v>
      </c>
      <c r="BC367" s="61"/>
      <c r="BE367" s="484"/>
      <c r="BF367" s="484"/>
      <c r="BG367" s="484"/>
      <c r="BH367" s="484"/>
      <c r="BI367" s="484"/>
      <c r="BJ367" s="484"/>
      <c r="BK367" s="484"/>
      <c r="BL367" s="484"/>
      <c r="BM367" s="484"/>
      <c r="BN367" s="484"/>
      <c r="BO367" s="484"/>
      <c r="BP367" s="484"/>
      <c r="BQ367" s="484"/>
      <c r="BR367" s="484"/>
      <c r="BS367" s="484"/>
      <c r="BT367" s="484"/>
      <c r="BU367" s="484"/>
      <c r="BV367" s="484"/>
      <c r="BW367" s="484"/>
      <c r="BX367" s="484"/>
      <c r="BY367" s="484"/>
      <c r="BZ367" s="484"/>
      <c r="CA367" s="484"/>
      <c r="CB367" s="484"/>
      <c r="CC367" s="484"/>
      <c r="CD367" s="484"/>
      <c r="CE367" s="484"/>
      <c r="CF367" s="484"/>
      <c r="CG367" s="484"/>
      <c r="CH367" s="484"/>
      <c r="CI367" s="484"/>
      <c r="CJ367" s="484"/>
      <c r="CK367" s="484"/>
      <c r="CL367" s="484"/>
      <c r="CM367" s="484"/>
      <c r="CN367" s="484"/>
      <c r="CO367" s="484"/>
      <c r="CP367" s="484"/>
      <c r="CQ367" s="484"/>
      <c r="CR367" s="484"/>
      <c r="CS367" s="484"/>
      <c r="CT367" s="484"/>
      <c r="CU367" s="484"/>
      <c r="CV367" s="484"/>
      <c r="CW367" s="484"/>
      <c r="CX367" s="484"/>
      <c r="CY367" s="484"/>
      <c r="CZ367" s="484"/>
      <c r="DA367" s="484"/>
      <c r="DB367" s="484"/>
      <c r="DC367" s="484"/>
      <c r="DD367" s="484"/>
      <c r="DE367" s="484"/>
      <c r="DF367" s="484"/>
      <c r="DG367" s="484"/>
      <c r="DH367" s="484"/>
      <c r="DI367" s="484"/>
      <c r="DJ367" s="484"/>
      <c r="DK367" s="484"/>
      <c r="DL367" s="484"/>
    </row>
    <row r="368" ht="20.25" customHeight="1">
      <c r="A368" s="44">
        <v>368.0</v>
      </c>
      <c r="B368" s="421" t="s">
        <v>285</v>
      </c>
      <c r="C368" s="62" t="s">
        <v>115</v>
      </c>
      <c r="D368" s="62" t="s">
        <v>1810</v>
      </c>
      <c r="F368" s="703" t="s">
        <v>2069</v>
      </c>
      <c r="G368" s="57" t="s">
        <v>2070</v>
      </c>
      <c r="H368" s="57" t="s">
        <v>1811</v>
      </c>
      <c r="I368" s="152">
        <v>45460.0</v>
      </c>
      <c r="J368" s="434">
        <v>45642.0</v>
      </c>
      <c r="K368" s="57" t="s">
        <v>2082</v>
      </c>
      <c r="L368" s="61"/>
      <c r="M368" s="57" t="s">
        <v>2073</v>
      </c>
      <c r="N368" s="57" t="s">
        <v>2074</v>
      </c>
      <c r="O368" s="379">
        <v>2.0</v>
      </c>
      <c r="P368" s="377" t="str">
        <f t="shared" si="16"/>
        <v>10.1111--j.1540-5885.2010.00778.x.pdf</v>
      </c>
      <c r="Q368" s="108" t="str">
        <f t="array" ref="Q368"> if(iserror(MATCH(V368, 'File Links'!C:C, 0)), "N/A", HYPERLINK(INDEX('File Links'!B:B, MATCH(P368, 'File Links'!C:C, 0))))</f>
        <v>N/A</v>
      </c>
      <c r="R368" s="57" t="s">
        <v>2083</v>
      </c>
      <c r="S368" s="57" t="s">
        <v>2076</v>
      </c>
      <c r="T368" s="61"/>
      <c r="U368" s="709">
        <v>1.0</v>
      </c>
      <c r="V368" s="112" t="str">
        <f t="shared" si="15"/>
        <v>10.1080--02650487.2024.2362015.pdf</v>
      </c>
      <c r="W368" s="57" t="s">
        <v>2084</v>
      </c>
      <c r="X368" s="49" t="str">
        <f t="array" ref="X368"> if(iserror(MATCH(V368, 'File Links'!C:C, 0)), "N/A", HYPERLINK(INDEX('File Links'!B:B, MATCH(V368, 'File Links'!C:C, 0))))</f>
        <v>N/A</v>
      </c>
      <c r="Y368" s="61"/>
      <c r="Z368" s="57" t="s">
        <v>2079</v>
      </c>
      <c r="AA368" s="57" t="s">
        <v>2085</v>
      </c>
      <c r="AB368" s="57" t="s">
        <v>2086</v>
      </c>
      <c r="AC368" s="57" t="s">
        <v>2094</v>
      </c>
      <c r="AD368" s="57" t="s">
        <v>2088</v>
      </c>
      <c r="AE368" s="129">
        <v>27.0</v>
      </c>
      <c r="AF368" s="379">
        <v>153.0</v>
      </c>
      <c r="AG368" s="379">
        <v>4.5</v>
      </c>
      <c r="AH368" s="339" t="s">
        <v>134</v>
      </c>
      <c r="AI368" s="57" t="s">
        <v>1888</v>
      </c>
      <c r="AJ368" s="61"/>
      <c r="AK368" s="68"/>
      <c r="AL368" s="677" t="s">
        <v>138</v>
      </c>
      <c r="AM368" s="677" t="s">
        <v>138</v>
      </c>
      <c r="AN368" s="57" t="s">
        <v>138</v>
      </c>
      <c r="AO368" s="379">
        <v>156.0</v>
      </c>
      <c r="AP368" s="379">
        <v>-0.312</v>
      </c>
      <c r="AQ368" s="57" t="s">
        <v>173</v>
      </c>
      <c r="AR368" s="379">
        <f t="shared" si="18"/>
        <v>-0.3121038033</v>
      </c>
      <c r="AS368" s="61"/>
      <c r="AT368" s="68"/>
      <c r="AU368" s="678" t="s">
        <v>138</v>
      </c>
      <c r="AV368" s="678" t="s">
        <v>138</v>
      </c>
      <c r="AW368" s="159" t="s">
        <v>138</v>
      </c>
      <c r="AX368" s="159" t="s">
        <v>151</v>
      </c>
      <c r="AY368" s="61" t="str">
        <f>IFERROR(__xludf.DUMMYFUNCTION("vlookup(BB368,importrange(""https://docs.google.com/spreadsheets/d/1d2vevQ_7D_v35q4wCQ4RpQ_IPoTwEMB9Yp6ymwlPqew/edit?gid=984458430#gid=984458430"", ""'replication success'!A:K""), 11, FAlSE)"),"#N/A")</f>
        <v>#N/A</v>
      </c>
      <c r="AZ368" s="61" t="str">
        <f>IFERROR(__xludf.DUMMYFUNCTION("vlookup(BB368,importrange(""https://docs.google.com/spreadsheets/d/1d2vevQ_7D_v35q4wCQ4RpQ_IPoTwEMB9Yp6ymwlPqew/edit?gid=984458430#gid=984458430"", ""'replication success'!A:M""), 12, FAlSE)"),"#N/A")</f>
        <v>#N/A</v>
      </c>
      <c r="BA368" s="61" t="str">
        <f>IFERROR(__xludf.DUMMYFUNCTION("vlookup(BB368,importrange(""https://docs.google.com/spreadsheets/d/1d2vevQ_7D_v35q4wCQ4RpQ_IPoTwEMB9Yp6ymwlPqew/edit?gid=984458430#gid=984458430"", ""'replication success'!A:M""), 13, FAlSE)"),"#N/A")</f>
        <v>#N/A</v>
      </c>
      <c r="BB368" s="61" t="str">
        <f>IFERROR(__xludf.DUMMYFUNCTION("REGEXREPLACE(G368, ""_[a-z]{1,2}$"", """")"),"additional_studies55")</f>
        <v>additional_studies55</v>
      </c>
      <c r="BC368" s="61"/>
      <c r="BE368" s="468"/>
      <c r="BF368" s="468"/>
      <c r="BG368" s="468"/>
      <c r="BH368" s="468"/>
      <c r="BI368" s="468"/>
      <c r="BJ368" s="468"/>
      <c r="BK368" s="468"/>
      <c r="BL368" s="468"/>
      <c r="BM368" s="468"/>
      <c r="BN368" s="468"/>
      <c r="BO368" s="468"/>
      <c r="BP368" s="468"/>
      <c r="BQ368" s="468"/>
      <c r="BR368" s="468"/>
      <c r="BS368" s="468"/>
      <c r="BT368" s="468"/>
      <c r="BU368" s="468"/>
      <c r="BV368" s="468"/>
      <c r="BW368" s="468"/>
      <c r="BX368" s="468"/>
      <c r="BY368" s="468"/>
      <c r="BZ368" s="468"/>
      <c r="CA368" s="468"/>
      <c r="CB368" s="468"/>
      <c r="CC368" s="468"/>
      <c r="CD368" s="468"/>
      <c r="CE368" s="468"/>
      <c r="CF368" s="468"/>
      <c r="CG368" s="468"/>
      <c r="CH368" s="468"/>
      <c r="CI368" s="468"/>
      <c r="CJ368" s="468"/>
      <c r="CK368" s="468"/>
      <c r="CL368" s="468"/>
      <c r="CM368" s="468"/>
      <c r="CN368" s="468"/>
      <c r="CO368" s="468"/>
      <c r="CP368" s="468"/>
      <c r="CQ368" s="468"/>
      <c r="CR368" s="468"/>
      <c r="CS368" s="468"/>
      <c r="CT368" s="468"/>
      <c r="CU368" s="468"/>
      <c r="CV368" s="468"/>
      <c r="CW368" s="468"/>
      <c r="CX368" s="468"/>
      <c r="CY368" s="468"/>
      <c r="CZ368" s="468"/>
      <c r="DA368" s="468"/>
      <c r="DB368" s="468"/>
      <c r="DC368" s="468"/>
      <c r="DD368" s="468"/>
      <c r="DE368" s="468"/>
      <c r="DF368" s="468"/>
      <c r="DG368" s="468"/>
      <c r="DH368" s="468"/>
      <c r="DI368" s="468"/>
      <c r="DJ368" s="468"/>
      <c r="DK368" s="468"/>
      <c r="DL368" s="468"/>
    </row>
    <row r="369" ht="20.25" customHeight="1">
      <c r="A369" s="44">
        <v>369.0</v>
      </c>
      <c r="B369" s="421" t="s">
        <v>285</v>
      </c>
      <c r="C369" s="62" t="s">
        <v>115</v>
      </c>
      <c r="D369" s="62" t="s">
        <v>1810</v>
      </c>
      <c r="F369" s="703" t="s">
        <v>2069</v>
      </c>
      <c r="G369" s="57" t="s">
        <v>2070</v>
      </c>
      <c r="H369" s="57" t="s">
        <v>1811</v>
      </c>
      <c r="I369" s="152">
        <v>45460.0</v>
      </c>
      <c r="J369" s="434">
        <v>45642.0</v>
      </c>
      <c r="K369" s="57" t="s">
        <v>2095</v>
      </c>
      <c r="L369" s="61"/>
      <c r="M369" s="57" t="s">
        <v>2073</v>
      </c>
      <c r="N369" s="57" t="s">
        <v>2074</v>
      </c>
      <c r="O369" s="379">
        <v>2.0</v>
      </c>
      <c r="P369" s="377" t="str">
        <f t="shared" si="16"/>
        <v>10.1111--j.1540-5885.2010.00778.x.pdf</v>
      </c>
      <c r="Q369" s="108" t="str">
        <f t="array" ref="Q369"> if(iserror(MATCH(V369, 'File Links'!C:C, 0)), "N/A", HYPERLINK(INDEX('File Links'!B:B, MATCH(P369, 'File Links'!C:C, 0))))</f>
        <v>N/A</v>
      </c>
      <c r="R369" s="57" t="s">
        <v>2083</v>
      </c>
      <c r="S369" s="57" t="s">
        <v>2076</v>
      </c>
      <c r="T369" s="61"/>
      <c r="U369" s="709">
        <v>1.0</v>
      </c>
      <c r="V369" s="112" t="str">
        <f t="shared" si="15"/>
        <v>10.1080--02650487.2024.2362015.pdf</v>
      </c>
      <c r="W369" s="57" t="s">
        <v>2084</v>
      </c>
      <c r="X369" s="49" t="str">
        <f t="array" ref="X369"> if(iserror(MATCH(V369, 'File Links'!C:C, 0)), "N/A", HYPERLINK(INDEX('File Links'!B:B, MATCH(V369, 'File Links'!C:C, 0))))</f>
        <v>N/A</v>
      </c>
      <c r="Y369" s="61"/>
      <c r="Z369" s="57" t="s">
        <v>2079</v>
      </c>
      <c r="AA369" s="57" t="s">
        <v>2085</v>
      </c>
      <c r="AB369" s="57" t="s">
        <v>2086</v>
      </c>
      <c r="AC369" s="57" t="s">
        <v>2096</v>
      </c>
      <c r="AD369" s="57" t="s">
        <v>2097</v>
      </c>
      <c r="AE369" s="129">
        <v>27.0</v>
      </c>
      <c r="AF369" s="379">
        <v>92.0</v>
      </c>
      <c r="AG369" s="61"/>
      <c r="AH369" s="338"/>
      <c r="AI369" s="61"/>
      <c r="AJ369" s="379">
        <v>0.05</v>
      </c>
      <c r="AK369" s="159" t="s">
        <v>135</v>
      </c>
      <c r="AL369" s="677" t="s">
        <v>138</v>
      </c>
      <c r="AM369" s="677" t="s">
        <v>138</v>
      </c>
      <c r="AN369" s="57" t="s">
        <v>138</v>
      </c>
      <c r="AO369" s="379">
        <v>156.0</v>
      </c>
      <c r="AP369" s="379">
        <v>-0.042</v>
      </c>
      <c r="AQ369" s="57" t="s">
        <v>173</v>
      </c>
      <c r="AR369" s="379">
        <f t="shared" ref="AR369:AR371" si="19">(6.18-6.22)/SQRT(((79-1)*0.84^2+(77-1)*1.05^2)/(79+77-2))</f>
        <v>-0.04212924684</v>
      </c>
      <c r="AS369" s="61"/>
      <c r="AT369" s="68"/>
      <c r="AU369" s="678" t="s">
        <v>138</v>
      </c>
      <c r="AV369" s="678" t="s">
        <v>138</v>
      </c>
      <c r="AW369" s="159" t="s">
        <v>138</v>
      </c>
      <c r="AX369" s="159" t="s">
        <v>151</v>
      </c>
      <c r="AY369" s="61" t="str">
        <f>IFERROR(__xludf.DUMMYFUNCTION("vlookup(BB369,importrange(""https://docs.google.com/spreadsheets/d/1d2vevQ_7D_v35q4wCQ4RpQ_IPoTwEMB9Yp6ymwlPqew/edit?gid=984458430#gid=984458430"", ""'replication success'!A:K""), 11, FAlSE)"),"#N/A")</f>
        <v>#N/A</v>
      </c>
      <c r="AZ369" s="61" t="str">
        <f>IFERROR(__xludf.DUMMYFUNCTION("vlookup(BB369,importrange(""https://docs.google.com/spreadsheets/d/1d2vevQ_7D_v35q4wCQ4RpQ_IPoTwEMB9Yp6ymwlPqew/edit?gid=984458430#gid=984458430"", ""'replication success'!A:M""), 12, FAlSE)"),"#N/A")</f>
        <v>#N/A</v>
      </c>
      <c r="BA369" s="61" t="str">
        <f>IFERROR(__xludf.DUMMYFUNCTION("vlookup(BB369,importrange(""https://docs.google.com/spreadsheets/d/1d2vevQ_7D_v35q4wCQ4RpQ_IPoTwEMB9Yp6ymwlPqew/edit?gid=984458430#gid=984458430"", ""'replication success'!A:M""), 13, FAlSE)"),"#N/A")</f>
        <v>#N/A</v>
      </c>
      <c r="BB369" s="61" t="str">
        <f>IFERROR(__xludf.DUMMYFUNCTION("REGEXREPLACE(G369, ""_[a-z]{1,2}$"", """")"),"additional_studies55")</f>
        <v>additional_studies55</v>
      </c>
      <c r="BC369" s="61"/>
      <c r="BE369" s="468"/>
      <c r="BF369" s="468"/>
      <c r="BG369" s="468"/>
      <c r="BH369" s="468"/>
      <c r="BI369" s="468"/>
      <c r="BJ369" s="468"/>
      <c r="BK369" s="468"/>
      <c r="BL369" s="468"/>
      <c r="BM369" s="468"/>
      <c r="BN369" s="468"/>
      <c r="BO369" s="468"/>
      <c r="BP369" s="468"/>
      <c r="BQ369" s="468"/>
      <c r="BR369" s="468"/>
      <c r="BS369" s="468"/>
      <c r="BT369" s="468"/>
      <c r="BU369" s="468"/>
      <c r="BV369" s="468"/>
      <c r="BW369" s="468"/>
      <c r="BX369" s="468"/>
      <c r="BY369" s="468"/>
      <c r="BZ369" s="468"/>
      <c r="CA369" s="468"/>
      <c r="CB369" s="468"/>
      <c r="CC369" s="468"/>
      <c r="CD369" s="468"/>
      <c r="CE369" s="468"/>
      <c r="CF369" s="468"/>
      <c r="CG369" s="468"/>
      <c r="CH369" s="468"/>
      <c r="CI369" s="468"/>
      <c r="CJ369" s="468"/>
      <c r="CK369" s="468"/>
      <c r="CL369" s="468"/>
      <c r="CM369" s="468"/>
      <c r="CN369" s="468"/>
      <c r="CO369" s="468"/>
      <c r="CP369" s="468"/>
      <c r="CQ369" s="468"/>
      <c r="CR369" s="468"/>
      <c r="CS369" s="468"/>
      <c r="CT369" s="468"/>
      <c r="CU369" s="468"/>
      <c r="CV369" s="468"/>
      <c r="CW369" s="468"/>
      <c r="CX369" s="468"/>
      <c r="CY369" s="468"/>
      <c r="CZ369" s="468"/>
      <c r="DA369" s="468"/>
      <c r="DB369" s="468"/>
      <c r="DC369" s="468"/>
      <c r="DD369" s="468"/>
      <c r="DE369" s="468"/>
      <c r="DF369" s="468"/>
      <c r="DG369" s="468"/>
      <c r="DH369" s="468"/>
      <c r="DI369" s="468"/>
      <c r="DJ369" s="468"/>
      <c r="DK369" s="468"/>
      <c r="DL369" s="468"/>
    </row>
    <row r="370" ht="20.25" customHeight="1">
      <c r="A370" s="44">
        <v>370.0</v>
      </c>
      <c r="B370" s="421" t="s">
        <v>285</v>
      </c>
      <c r="C370" s="62" t="s">
        <v>115</v>
      </c>
      <c r="D370" s="62" t="s">
        <v>1810</v>
      </c>
      <c r="F370" s="703" t="s">
        <v>2069</v>
      </c>
      <c r="G370" s="57" t="s">
        <v>2070</v>
      </c>
      <c r="H370" s="57" t="s">
        <v>1811</v>
      </c>
      <c r="I370" s="152">
        <v>45460.0</v>
      </c>
      <c r="J370" s="434">
        <v>45642.0</v>
      </c>
      <c r="K370" s="57" t="s">
        <v>2095</v>
      </c>
      <c r="L370" s="61"/>
      <c r="M370" s="57" t="s">
        <v>2073</v>
      </c>
      <c r="N370" s="57" t="s">
        <v>2074</v>
      </c>
      <c r="O370" s="379">
        <v>2.0</v>
      </c>
      <c r="P370" s="377" t="str">
        <f t="shared" si="16"/>
        <v>10.1111--j.1540-5885.2010.00778.x.pdf</v>
      </c>
      <c r="Q370" s="108" t="str">
        <f t="array" ref="Q370"> if(iserror(MATCH(V370, 'File Links'!C:C, 0)), "N/A", HYPERLINK(INDEX('File Links'!B:B, MATCH(P370, 'File Links'!C:C, 0))))</f>
        <v>N/A</v>
      </c>
      <c r="R370" s="57" t="s">
        <v>2083</v>
      </c>
      <c r="S370" s="57" t="s">
        <v>2076</v>
      </c>
      <c r="T370" s="61"/>
      <c r="U370" s="709">
        <v>1.0</v>
      </c>
      <c r="V370" s="112" t="str">
        <f t="shared" si="15"/>
        <v>10.1080--02650487.2024.2362015.pdf</v>
      </c>
      <c r="W370" s="57" t="s">
        <v>2084</v>
      </c>
      <c r="X370" s="49" t="str">
        <f t="array" ref="X370"> if(iserror(MATCH(V370, 'File Links'!C:C, 0)), "N/A", HYPERLINK(INDEX('File Links'!B:B, MATCH(V370, 'File Links'!C:C, 0))))</f>
        <v>N/A</v>
      </c>
      <c r="Y370" s="61"/>
      <c r="Z370" s="57" t="s">
        <v>2079</v>
      </c>
      <c r="AA370" s="57" t="s">
        <v>2085</v>
      </c>
      <c r="AB370" s="57" t="s">
        <v>2086</v>
      </c>
      <c r="AC370" s="57" t="s">
        <v>2098</v>
      </c>
      <c r="AD370" s="57" t="s">
        <v>2099</v>
      </c>
      <c r="AE370" s="129">
        <v>27.0</v>
      </c>
      <c r="AF370" s="379">
        <v>158.0</v>
      </c>
      <c r="AG370" s="61"/>
      <c r="AH370" s="338"/>
      <c r="AI370" s="61"/>
      <c r="AJ370" s="379">
        <v>0.001</v>
      </c>
      <c r="AK370" s="159" t="s">
        <v>135</v>
      </c>
      <c r="AL370" s="677" t="s">
        <v>138</v>
      </c>
      <c r="AM370" s="677" t="s">
        <v>138</v>
      </c>
      <c r="AN370" s="57" t="s">
        <v>138</v>
      </c>
      <c r="AO370" s="379">
        <v>156.0</v>
      </c>
      <c r="AP370" s="379">
        <v>-0.042</v>
      </c>
      <c r="AQ370" s="57" t="s">
        <v>173</v>
      </c>
      <c r="AR370" s="379">
        <f t="shared" si="19"/>
        <v>-0.04212924684</v>
      </c>
      <c r="AS370" s="61"/>
      <c r="AT370" s="68"/>
      <c r="AU370" s="678" t="s">
        <v>138</v>
      </c>
      <c r="AV370" s="678" t="s">
        <v>138</v>
      </c>
      <c r="AW370" s="159" t="s">
        <v>138</v>
      </c>
      <c r="AX370" s="159" t="s">
        <v>151</v>
      </c>
      <c r="AY370" s="61" t="str">
        <f>IFERROR(__xludf.DUMMYFUNCTION("vlookup(BB370,importrange(""https://docs.google.com/spreadsheets/d/1d2vevQ_7D_v35q4wCQ4RpQ_IPoTwEMB9Yp6ymwlPqew/edit?gid=984458430#gid=984458430"", ""'replication success'!A:K""), 11, FAlSE)"),"#N/A")</f>
        <v>#N/A</v>
      </c>
      <c r="AZ370" s="61" t="str">
        <f>IFERROR(__xludf.DUMMYFUNCTION("vlookup(BB370,importrange(""https://docs.google.com/spreadsheets/d/1d2vevQ_7D_v35q4wCQ4RpQ_IPoTwEMB9Yp6ymwlPqew/edit?gid=984458430#gid=984458430"", ""'replication success'!A:M""), 12, FAlSE)"),"#N/A")</f>
        <v>#N/A</v>
      </c>
      <c r="BA370" s="61" t="str">
        <f>IFERROR(__xludf.DUMMYFUNCTION("vlookup(BB370,importrange(""https://docs.google.com/spreadsheets/d/1d2vevQ_7D_v35q4wCQ4RpQ_IPoTwEMB9Yp6ymwlPqew/edit?gid=984458430#gid=984458430"", ""'replication success'!A:M""), 13, FAlSE)"),"#N/A")</f>
        <v>#N/A</v>
      </c>
      <c r="BB370" s="61" t="str">
        <f>IFERROR(__xludf.DUMMYFUNCTION("REGEXREPLACE(G370, ""_[a-z]{1,2}$"", """")"),"additional_studies55")</f>
        <v>additional_studies55</v>
      </c>
      <c r="BC370" s="61"/>
      <c r="BE370" s="468"/>
      <c r="BF370" s="468"/>
      <c r="BG370" s="468"/>
      <c r="BH370" s="468"/>
      <c r="BI370" s="468"/>
      <c r="BJ370" s="468"/>
      <c r="BK370" s="468"/>
      <c r="BL370" s="468"/>
      <c r="BM370" s="468"/>
      <c r="BN370" s="468"/>
      <c r="BO370" s="468"/>
      <c r="BP370" s="468"/>
      <c r="BQ370" s="468"/>
      <c r="BR370" s="468"/>
      <c r="BS370" s="468"/>
      <c r="BT370" s="468"/>
      <c r="BU370" s="468"/>
      <c r="BV370" s="468"/>
      <c r="BW370" s="468"/>
      <c r="BX370" s="468"/>
      <c r="BY370" s="468"/>
      <c r="BZ370" s="468"/>
      <c r="CA370" s="468"/>
      <c r="CB370" s="468"/>
      <c r="CC370" s="468"/>
      <c r="CD370" s="468"/>
      <c r="CE370" s="468"/>
      <c r="CF370" s="468"/>
      <c r="CG370" s="468"/>
      <c r="CH370" s="468"/>
      <c r="CI370" s="468"/>
      <c r="CJ370" s="468"/>
      <c r="CK370" s="468"/>
      <c r="CL370" s="468"/>
      <c r="CM370" s="468"/>
      <c r="CN370" s="468"/>
      <c r="CO370" s="468"/>
      <c r="CP370" s="468"/>
      <c r="CQ370" s="468"/>
      <c r="CR370" s="468"/>
      <c r="CS370" s="468"/>
      <c r="CT370" s="468"/>
      <c r="CU370" s="468"/>
      <c r="CV370" s="468"/>
      <c r="CW370" s="468"/>
      <c r="CX370" s="468"/>
      <c r="CY370" s="468"/>
      <c r="CZ370" s="468"/>
      <c r="DA370" s="468"/>
      <c r="DB370" s="468"/>
      <c r="DC370" s="468"/>
      <c r="DD370" s="468"/>
      <c r="DE370" s="468"/>
      <c r="DF370" s="468"/>
      <c r="DG370" s="468"/>
      <c r="DH370" s="468"/>
      <c r="DI370" s="468"/>
      <c r="DJ370" s="468"/>
      <c r="DK370" s="468"/>
      <c r="DL370" s="468"/>
    </row>
    <row r="371" ht="20.25" customHeight="1">
      <c r="A371" s="44">
        <v>371.0</v>
      </c>
      <c r="B371" s="421" t="s">
        <v>285</v>
      </c>
      <c r="C371" s="62" t="s">
        <v>115</v>
      </c>
      <c r="D371" s="62" t="s">
        <v>1810</v>
      </c>
      <c r="F371" s="703" t="s">
        <v>2069</v>
      </c>
      <c r="G371" s="57" t="s">
        <v>2070</v>
      </c>
      <c r="H371" s="57" t="s">
        <v>1811</v>
      </c>
      <c r="I371" s="152">
        <v>45460.0</v>
      </c>
      <c r="J371" s="434">
        <v>45642.0</v>
      </c>
      <c r="K371" s="57" t="s">
        <v>2095</v>
      </c>
      <c r="L371" s="61"/>
      <c r="M371" s="57" t="s">
        <v>2073</v>
      </c>
      <c r="N371" s="57" t="s">
        <v>2074</v>
      </c>
      <c r="O371" s="379">
        <v>2.0</v>
      </c>
      <c r="P371" s="377" t="str">
        <f t="shared" si="16"/>
        <v>10.1111--j.1540-5885.2010.00778.x.pdf</v>
      </c>
      <c r="Q371" s="108" t="str">
        <f t="array" ref="Q371"> if(iserror(MATCH(V371, 'File Links'!C:C, 0)), "N/A", HYPERLINK(INDEX('File Links'!B:B, MATCH(P371, 'File Links'!C:C, 0))))</f>
        <v>N/A</v>
      </c>
      <c r="R371" s="57" t="s">
        <v>2083</v>
      </c>
      <c r="S371" s="57" t="s">
        <v>2076</v>
      </c>
      <c r="T371" s="61"/>
      <c r="U371" s="709">
        <v>1.0</v>
      </c>
      <c r="V371" s="112" t="str">
        <f t="shared" si="15"/>
        <v>10.1080--02650487.2024.2362015.pdf</v>
      </c>
      <c r="W371" s="57" t="s">
        <v>2084</v>
      </c>
      <c r="X371" s="49" t="str">
        <f t="array" ref="X371"> if(iserror(MATCH(V371, 'File Links'!C:C, 0)), "N/A", HYPERLINK(INDEX('File Links'!B:B, MATCH(V371, 'File Links'!C:C, 0))))</f>
        <v>N/A</v>
      </c>
      <c r="Y371" s="61"/>
      <c r="Z371" s="57" t="s">
        <v>2079</v>
      </c>
      <c r="AA371" s="57" t="s">
        <v>2085</v>
      </c>
      <c r="AB371" s="57" t="s">
        <v>2086</v>
      </c>
      <c r="AC371" s="57" t="s">
        <v>2100</v>
      </c>
      <c r="AD371" s="57" t="s">
        <v>2101</v>
      </c>
      <c r="AE371" s="129">
        <v>27.0</v>
      </c>
      <c r="AF371" s="379">
        <v>153.0</v>
      </c>
      <c r="AG371" s="61"/>
      <c r="AH371" s="338"/>
      <c r="AI371" s="61"/>
      <c r="AJ371" s="379">
        <v>0.001</v>
      </c>
      <c r="AK371" s="159" t="s">
        <v>135</v>
      </c>
      <c r="AL371" s="677" t="s">
        <v>138</v>
      </c>
      <c r="AM371" s="677" t="s">
        <v>138</v>
      </c>
      <c r="AN371" s="57" t="s">
        <v>138</v>
      </c>
      <c r="AO371" s="379">
        <v>156.0</v>
      </c>
      <c r="AP371" s="379">
        <v>-0.042</v>
      </c>
      <c r="AQ371" s="57" t="s">
        <v>173</v>
      </c>
      <c r="AR371" s="379">
        <f t="shared" si="19"/>
        <v>-0.04212924684</v>
      </c>
      <c r="AS371" s="61"/>
      <c r="AT371" s="68"/>
      <c r="AU371" s="678" t="s">
        <v>138</v>
      </c>
      <c r="AV371" s="678" t="s">
        <v>138</v>
      </c>
      <c r="AW371" s="159" t="s">
        <v>138</v>
      </c>
      <c r="AX371" s="159" t="s">
        <v>151</v>
      </c>
      <c r="AY371" s="61" t="str">
        <f>IFERROR(__xludf.DUMMYFUNCTION("vlookup(BB371,importrange(""https://docs.google.com/spreadsheets/d/1d2vevQ_7D_v35q4wCQ4RpQ_IPoTwEMB9Yp6ymwlPqew/edit?gid=984458430#gid=984458430"", ""'replication success'!A:K""), 11, FAlSE)"),"#N/A")</f>
        <v>#N/A</v>
      </c>
      <c r="AZ371" s="61" t="str">
        <f>IFERROR(__xludf.DUMMYFUNCTION("vlookup(BB371,importrange(""https://docs.google.com/spreadsheets/d/1d2vevQ_7D_v35q4wCQ4RpQ_IPoTwEMB9Yp6ymwlPqew/edit?gid=984458430#gid=984458430"", ""'replication success'!A:M""), 12, FAlSE)"),"#N/A")</f>
        <v>#N/A</v>
      </c>
      <c r="BA371" s="61" t="str">
        <f>IFERROR(__xludf.DUMMYFUNCTION("vlookup(BB371,importrange(""https://docs.google.com/spreadsheets/d/1d2vevQ_7D_v35q4wCQ4RpQ_IPoTwEMB9Yp6ymwlPqew/edit?gid=984458430#gid=984458430"", ""'replication success'!A:M""), 13, FAlSE)"),"#N/A")</f>
        <v>#N/A</v>
      </c>
      <c r="BB371" s="61" t="str">
        <f>IFERROR(__xludf.DUMMYFUNCTION("REGEXREPLACE(G371, ""_[a-z]{1,2}$"", """")"),"additional_studies55")</f>
        <v>additional_studies55</v>
      </c>
      <c r="BC371" s="61"/>
      <c r="BG371" s="107"/>
      <c r="BH371" s="107"/>
      <c r="BI371" s="107"/>
      <c r="BJ371" s="107"/>
      <c r="BK371" s="107"/>
      <c r="BL371" s="107"/>
      <c r="BM371" s="107"/>
      <c r="BN371" s="107"/>
      <c r="BO371" s="107"/>
      <c r="BP371" s="107"/>
      <c r="BQ371" s="107"/>
      <c r="BR371" s="107"/>
      <c r="BV371" s="107"/>
      <c r="BW371" s="107"/>
      <c r="BX371" s="107"/>
      <c r="BY371" s="107"/>
      <c r="BZ371" s="107"/>
      <c r="CA371" s="107"/>
      <c r="CB371" s="107"/>
      <c r="CC371" s="107"/>
      <c r="CD371" s="107"/>
      <c r="CE371" s="107"/>
      <c r="CF371" s="107"/>
      <c r="CG371" s="107"/>
      <c r="CH371" s="107"/>
      <c r="CI371" s="107"/>
      <c r="CJ371" s="107"/>
      <c r="CK371" s="107"/>
      <c r="CL371" s="107"/>
      <c r="CM371" s="107"/>
      <c r="CN371" s="107"/>
      <c r="CO371" s="107"/>
      <c r="CP371" s="107"/>
      <c r="CQ371" s="107"/>
      <c r="CR371" s="107"/>
      <c r="CS371" s="107"/>
      <c r="CT371" s="107"/>
      <c r="CU371" s="107"/>
      <c r="CV371" s="107"/>
      <c r="CW371" s="107"/>
      <c r="CX371" s="107"/>
      <c r="CY371" s="107"/>
      <c r="CZ371" s="107"/>
      <c r="DA371" s="107"/>
      <c r="DB371" s="107"/>
      <c r="DC371" s="107"/>
      <c r="DD371" s="107"/>
      <c r="DE371" s="107"/>
      <c r="DF371" s="107"/>
      <c r="DG371" s="107"/>
      <c r="DH371" s="107"/>
      <c r="DI371" s="107"/>
      <c r="DJ371" s="107"/>
      <c r="DK371" s="107"/>
      <c r="DL371" s="107"/>
    </row>
    <row r="372" ht="20.25" customHeight="1">
      <c r="A372" s="44">
        <v>372.0</v>
      </c>
      <c r="B372" s="421" t="s">
        <v>285</v>
      </c>
      <c r="C372" s="62" t="s">
        <v>115</v>
      </c>
      <c r="D372" s="62" t="s">
        <v>1810</v>
      </c>
      <c r="F372" s="703" t="s">
        <v>2069</v>
      </c>
      <c r="G372" s="57" t="s">
        <v>2070</v>
      </c>
      <c r="H372" s="57" t="s">
        <v>1811</v>
      </c>
      <c r="I372" s="152">
        <v>45460.0</v>
      </c>
      <c r="J372" s="434">
        <v>45642.0</v>
      </c>
      <c r="K372" s="57" t="s">
        <v>2082</v>
      </c>
      <c r="L372" s="61"/>
      <c r="M372" s="57" t="s">
        <v>2073</v>
      </c>
      <c r="N372" s="57" t="s">
        <v>2074</v>
      </c>
      <c r="O372" s="379">
        <v>2.0</v>
      </c>
      <c r="P372" s="377" t="str">
        <f t="shared" si="16"/>
        <v>10.1111--j.1540-5885.2010.00778.x.pdf</v>
      </c>
      <c r="Q372" s="108" t="str">
        <f t="array" ref="Q372"> if(iserror(MATCH(V372, 'File Links'!C:C, 0)), "N/A", HYPERLINK(INDEX('File Links'!B:B, MATCH(P372, 'File Links'!C:C, 0))))</f>
        <v>N/A</v>
      </c>
      <c r="R372" s="57" t="s">
        <v>2083</v>
      </c>
      <c r="S372" s="57" t="s">
        <v>2076</v>
      </c>
      <c r="T372" s="61"/>
      <c r="U372" s="709">
        <v>2.0</v>
      </c>
      <c r="V372" s="112" t="str">
        <f t="shared" si="15"/>
        <v>10.1080--02650487.2024.2362015.pdf</v>
      </c>
      <c r="W372" s="57" t="s">
        <v>2084</v>
      </c>
      <c r="X372" s="49" t="str">
        <f t="array" ref="X372"> if(iserror(MATCH(V372, 'File Links'!C:C, 0)), "N/A", HYPERLINK(INDEX('File Links'!B:B, MATCH(V372, 'File Links'!C:C, 0))))</f>
        <v>N/A</v>
      </c>
      <c r="Y372" s="61"/>
      <c r="Z372" s="57" t="s">
        <v>2079</v>
      </c>
      <c r="AA372" s="57" t="s">
        <v>2085</v>
      </c>
      <c r="AB372" s="57" t="s">
        <v>2086</v>
      </c>
      <c r="AC372" s="57" t="s">
        <v>2102</v>
      </c>
      <c r="AD372" s="57" t="s">
        <v>2088</v>
      </c>
      <c r="AE372" s="129">
        <v>27.0</v>
      </c>
      <c r="AF372" s="379">
        <v>92.0</v>
      </c>
      <c r="AG372" s="379">
        <v>-3.0</v>
      </c>
      <c r="AH372" s="339" t="s">
        <v>134</v>
      </c>
      <c r="AI372" s="57" t="s">
        <v>1888</v>
      </c>
      <c r="AJ372" s="61"/>
      <c r="AK372" s="68"/>
      <c r="AL372" s="677" t="s">
        <v>138</v>
      </c>
      <c r="AM372" s="677" t="s">
        <v>138</v>
      </c>
      <c r="AN372" s="57" t="s">
        <v>138</v>
      </c>
      <c r="AO372" s="379">
        <v>151.0</v>
      </c>
      <c r="AP372" s="379">
        <v>-0.132</v>
      </c>
      <c r="AQ372" s="57" t="s">
        <v>173</v>
      </c>
      <c r="AR372" s="379">
        <f t="shared" ref="AR372:AR374" si="20">(6.12-6.24)/SQRT(((77-1)*0.92^2+(74-1)*0.9^2)/(77+74-2))</f>
        <v>-0.1318310089</v>
      </c>
      <c r="AS372" s="61"/>
      <c r="AT372" s="68"/>
      <c r="AU372" s="678" t="s">
        <v>138</v>
      </c>
      <c r="AV372" s="678" t="s">
        <v>138</v>
      </c>
      <c r="AW372" s="159" t="s">
        <v>138</v>
      </c>
      <c r="AX372" s="159" t="s">
        <v>151</v>
      </c>
      <c r="AY372" s="61" t="str">
        <f>IFERROR(__xludf.DUMMYFUNCTION("vlookup(BB372,importrange(""https://docs.google.com/spreadsheets/d/1d2vevQ_7D_v35q4wCQ4RpQ_IPoTwEMB9Yp6ymwlPqew/edit?gid=984458430#gid=984458430"", ""'replication success'!A:K""), 11, FAlSE)"),"#N/A")</f>
        <v>#N/A</v>
      </c>
      <c r="AZ372" s="61" t="str">
        <f>IFERROR(__xludf.DUMMYFUNCTION("vlookup(BB372,importrange(""https://docs.google.com/spreadsheets/d/1d2vevQ_7D_v35q4wCQ4RpQ_IPoTwEMB9Yp6ymwlPqew/edit?gid=984458430#gid=984458430"", ""'replication success'!A:M""), 12, FAlSE)"),"#N/A")</f>
        <v>#N/A</v>
      </c>
      <c r="BA372" s="61" t="str">
        <f>IFERROR(__xludf.DUMMYFUNCTION("vlookup(BB372,importrange(""https://docs.google.com/spreadsheets/d/1d2vevQ_7D_v35q4wCQ4RpQ_IPoTwEMB9Yp6ymwlPqew/edit?gid=984458430#gid=984458430"", ""'replication success'!A:M""), 13, FAlSE)"),"#N/A")</f>
        <v>#N/A</v>
      </c>
      <c r="BB372" s="61" t="str">
        <f>IFERROR(__xludf.DUMMYFUNCTION("REGEXREPLACE(G372, ""_[a-z]{1,2}$"", """")"),"additional_studies55")</f>
        <v>additional_studies55</v>
      </c>
      <c r="BC372" s="61"/>
      <c r="BG372" s="67"/>
      <c r="BH372" s="67"/>
      <c r="BL372" s="67"/>
      <c r="BM372" s="67"/>
      <c r="BQ372" s="67"/>
      <c r="BT372" s="67"/>
      <c r="BU372" s="67"/>
      <c r="BY372" s="67"/>
      <c r="CA372" s="67"/>
      <c r="CE372" s="67"/>
      <c r="CF372" s="67"/>
      <c r="CG372" s="67"/>
      <c r="CH372" s="67"/>
      <c r="CI372" s="67"/>
      <c r="CJ372" s="67"/>
      <c r="CK372" s="67"/>
      <c r="CL372" s="67"/>
      <c r="CM372" s="67"/>
      <c r="CN372" s="67"/>
      <c r="CO372" s="67"/>
      <c r="CP372" s="67"/>
      <c r="CQ372" s="67"/>
      <c r="CR372" s="67"/>
      <c r="CS372" s="67"/>
      <c r="CT372" s="67"/>
      <c r="CU372" s="67"/>
      <c r="CV372" s="67"/>
      <c r="CW372" s="67"/>
      <c r="CY372" s="67"/>
      <c r="DL372" s="107"/>
    </row>
    <row r="373" ht="20.25" customHeight="1">
      <c r="A373" s="44">
        <v>373.0</v>
      </c>
      <c r="B373" s="421" t="s">
        <v>285</v>
      </c>
      <c r="C373" s="62" t="s">
        <v>115</v>
      </c>
      <c r="D373" s="62" t="s">
        <v>1810</v>
      </c>
      <c r="F373" s="703" t="s">
        <v>2069</v>
      </c>
      <c r="G373" s="57" t="s">
        <v>2070</v>
      </c>
      <c r="H373" s="57" t="s">
        <v>1811</v>
      </c>
      <c r="I373" s="152">
        <v>45460.0</v>
      </c>
      <c r="J373" s="434">
        <v>45642.0</v>
      </c>
      <c r="K373" s="57" t="s">
        <v>2082</v>
      </c>
      <c r="L373" s="61"/>
      <c r="M373" s="57" t="s">
        <v>2073</v>
      </c>
      <c r="N373" s="57" t="s">
        <v>2074</v>
      </c>
      <c r="O373" s="379">
        <v>2.0</v>
      </c>
      <c r="P373" s="377" t="str">
        <f t="shared" si="16"/>
        <v>10.1111--j.1540-5885.2010.00778.x.pdf</v>
      </c>
      <c r="Q373" s="108" t="str">
        <f t="array" ref="Q373"> if(iserror(MATCH(V373, 'File Links'!C:C, 0)), "N/A", HYPERLINK(INDEX('File Links'!B:B, MATCH(P373, 'File Links'!C:C, 0))))</f>
        <v>N/A</v>
      </c>
      <c r="R373" s="57" t="s">
        <v>2083</v>
      </c>
      <c r="S373" s="57" t="s">
        <v>2076</v>
      </c>
      <c r="T373" s="61"/>
      <c r="U373" s="709">
        <v>2.0</v>
      </c>
      <c r="V373" s="112" t="str">
        <f t="shared" si="15"/>
        <v>10.1080--02650487.2024.2362015.pdf</v>
      </c>
      <c r="W373" s="57" t="s">
        <v>2084</v>
      </c>
      <c r="X373" s="49" t="str">
        <f t="array" ref="X373"> if(iserror(MATCH(V373, 'File Links'!C:C, 0)), "N/A", HYPERLINK(INDEX('File Links'!B:B, MATCH(V373, 'File Links'!C:C, 0))))</f>
        <v>N/A</v>
      </c>
      <c r="Y373" s="61"/>
      <c r="Z373" s="57" t="s">
        <v>2079</v>
      </c>
      <c r="AA373" s="57" t="s">
        <v>2085</v>
      </c>
      <c r="AB373" s="57" t="s">
        <v>2086</v>
      </c>
      <c r="AC373" s="57" t="s">
        <v>2103</v>
      </c>
      <c r="AD373" s="57" t="s">
        <v>2088</v>
      </c>
      <c r="AE373" s="129">
        <v>27.0</v>
      </c>
      <c r="AF373" s="379">
        <v>158.0</v>
      </c>
      <c r="AG373" s="379">
        <v>-4.5</v>
      </c>
      <c r="AH373" s="339" t="s">
        <v>134</v>
      </c>
      <c r="AI373" s="57" t="s">
        <v>1888</v>
      </c>
      <c r="AJ373" s="61"/>
      <c r="AK373" s="68"/>
      <c r="AL373" s="677" t="s">
        <v>138</v>
      </c>
      <c r="AM373" s="677" t="s">
        <v>138</v>
      </c>
      <c r="AN373" s="57" t="s">
        <v>138</v>
      </c>
      <c r="AO373" s="379">
        <v>151.0</v>
      </c>
      <c r="AP373" s="379">
        <v>-0.132</v>
      </c>
      <c r="AQ373" s="57" t="s">
        <v>173</v>
      </c>
      <c r="AR373" s="379">
        <f t="shared" si="20"/>
        <v>-0.1318310089</v>
      </c>
      <c r="AS373" s="61"/>
      <c r="AT373" s="68"/>
      <c r="AU373" s="678" t="s">
        <v>138</v>
      </c>
      <c r="AV373" s="678" t="s">
        <v>138</v>
      </c>
      <c r="AW373" s="159" t="s">
        <v>138</v>
      </c>
      <c r="AX373" s="159" t="s">
        <v>151</v>
      </c>
      <c r="AY373" s="61" t="str">
        <f>IFERROR(__xludf.DUMMYFUNCTION("vlookup(BB373,importrange(""https://docs.google.com/spreadsheets/d/1d2vevQ_7D_v35q4wCQ4RpQ_IPoTwEMB9Yp6ymwlPqew/edit?gid=984458430#gid=984458430"", ""'replication success'!A:K""), 11, FAlSE)"),"#N/A")</f>
        <v>#N/A</v>
      </c>
      <c r="AZ373" s="61" t="str">
        <f>IFERROR(__xludf.DUMMYFUNCTION("vlookup(BB373,importrange(""https://docs.google.com/spreadsheets/d/1d2vevQ_7D_v35q4wCQ4RpQ_IPoTwEMB9Yp6ymwlPqew/edit?gid=984458430#gid=984458430"", ""'replication success'!A:M""), 12, FAlSE)"),"#N/A")</f>
        <v>#N/A</v>
      </c>
      <c r="BA373" s="61" t="str">
        <f>IFERROR(__xludf.DUMMYFUNCTION("vlookup(BB373,importrange(""https://docs.google.com/spreadsheets/d/1d2vevQ_7D_v35q4wCQ4RpQ_IPoTwEMB9Yp6ymwlPqew/edit?gid=984458430#gid=984458430"", ""'replication success'!A:M""), 13, FAlSE)"),"#N/A")</f>
        <v>#N/A</v>
      </c>
      <c r="BB373" s="61" t="str">
        <f>IFERROR(__xludf.DUMMYFUNCTION("REGEXREPLACE(G373, ""_[a-z]{1,2}$"", """")"),"additional_studies55")</f>
        <v>additional_studies55</v>
      </c>
      <c r="BC373" s="61"/>
      <c r="BG373" s="71"/>
      <c r="BH373" s="71"/>
      <c r="BI373" s="71"/>
      <c r="BJ373" s="71"/>
      <c r="BK373" s="71"/>
      <c r="BL373" s="71"/>
      <c r="BM373" s="71"/>
      <c r="BN373" s="71"/>
      <c r="BO373" s="71"/>
      <c r="BP373" s="71"/>
      <c r="BQ373" s="71"/>
      <c r="BR373" s="71"/>
      <c r="BV373" s="71"/>
      <c r="BW373" s="71"/>
      <c r="BX373" s="71"/>
      <c r="BY373" s="71"/>
      <c r="BZ373" s="71"/>
      <c r="CA373" s="71"/>
      <c r="CB373" s="71"/>
      <c r="CC373" s="71"/>
      <c r="CD373" s="71"/>
      <c r="CE373" s="71"/>
      <c r="CF373" s="71"/>
      <c r="CG373" s="71"/>
      <c r="CH373" s="71"/>
      <c r="CI373" s="71"/>
      <c r="CJ373" s="71"/>
      <c r="CK373" s="71"/>
      <c r="CL373" s="71"/>
      <c r="CM373" s="71"/>
      <c r="CN373" s="71"/>
      <c r="CO373" s="71"/>
      <c r="CP373" s="71"/>
      <c r="CQ373" s="71"/>
      <c r="CR373" s="71"/>
      <c r="CS373" s="71"/>
      <c r="CT373" s="71"/>
      <c r="CU373" s="71"/>
      <c r="CV373" s="71"/>
      <c r="CW373" s="71"/>
      <c r="CX373" s="71"/>
      <c r="CY373" s="71"/>
      <c r="CZ373" s="71"/>
      <c r="DA373" s="71"/>
      <c r="DB373" s="71"/>
      <c r="DC373" s="71"/>
      <c r="DD373" s="71"/>
      <c r="DE373" s="71"/>
      <c r="DF373" s="71"/>
      <c r="DG373" s="71"/>
      <c r="DH373" s="71"/>
      <c r="DI373" s="71"/>
      <c r="DJ373" s="71"/>
      <c r="DK373" s="71"/>
      <c r="DL373" s="71"/>
    </row>
    <row r="374" ht="20.25" customHeight="1">
      <c r="A374" s="44">
        <v>374.0</v>
      </c>
      <c r="B374" s="421" t="s">
        <v>285</v>
      </c>
      <c r="C374" s="62" t="s">
        <v>115</v>
      </c>
      <c r="D374" s="62" t="s">
        <v>1810</v>
      </c>
      <c r="F374" s="703" t="s">
        <v>2069</v>
      </c>
      <c r="G374" s="57" t="s">
        <v>2070</v>
      </c>
      <c r="H374" s="57" t="s">
        <v>1811</v>
      </c>
      <c r="I374" s="152">
        <v>45460.0</v>
      </c>
      <c r="J374" s="434">
        <v>45642.0</v>
      </c>
      <c r="K374" s="57" t="s">
        <v>2082</v>
      </c>
      <c r="L374" s="61"/>
      <c r="M374" s="57" t="s">
        <v>2073</v>
      </c>
      <c r="N374" s="57" t="s">
        <v>2074</v>
      </c>
      <c r="O374" s="379">
        <v>2.0</v>
      </c>
      <c r="P374" s="377" t="str">
        <f t="shared" si="16"/>
        <v>10.1111--j.1540-5885.2010.00778.x.pdf</v>
      </c>
      <c r="Q374" s="108" t="str">
        <f t="array" ref="Q374"> if(iserror(MATCH(V374, 'File Links'!C:C, 0)), "N/A", HYPERLINK(INDEX('File Links'!B:B, MATCH(P374, 'File Links'!C:C, 0))))</f>
        <v>N/A</v>
      </c>
      <c r="R374" s="57" t="s">
        <v>2083</v>
      </c>
      <c r="S374" s="57" t="s">
        <v>2076</v>
      </c>
      <c r="T374" s="61"/>
      <c r="U374" s="709">
        <v>2.0</v>
      </c>
      <c r="V374" s="112" t="str">
        <f t="shared" si="15"/>
        <v>10.1080--02650487.2024.2362015.pdf</v>
      </c>
      <c r="W374" s="57" t="s">
        <v>2084</v>
      </c>
      <c r="X374" s="49" t="str">
        <f t="array" ref="X374"> if(iserror(MATCH(V374, 'File Links'!C:C, 0)), "N/A", HYPERLINK(INDEX('File Links'!B:B, MATCH(V374, 'File Links'!C:C, 0))))</f>
        <v>N/A</v>
      </c>
      <c r="Y374" s="61"/>
      <c r="Z374" s="57" t="s">
        <v>2079</v>
      </c>
      <c r="AA374" s="57" t="s">
        <v>2085</v>
      </c>
      <c r="AB374" s="57" t="s">
        <v>2086</v>
      </c>
      <c r="AC374" s="57" t="s">
        <v>2091</v>
      </c>
      <c r="AD374" s="57" t="s">
        <v>2088</v>
      </c>
      <c r="AE374" s="129">
        <v>27.0</v>
      </c>
      <c r="AF374" s="379">
        <v>153.0</v>
      </c>
      <c r="AG374" s="379">
        <v>-2.5</v>
      </c>
      <c r="AH374" s="339" t="s">
        <v>134</v>
      </c>
      <c r="AI374" s="57" t="s">
        <v>1888</v>
      </c>
      <c r="AJ374" s="61"/>
      <c r="AK374" s="68"/>
      <c r="AL374" s="677" t="s">
        <v>138</v>
      </c>
      <c r="AM374" s="677" t="s">
        <v>138</v>
      </c>
      <c r="AN374" s="57" t="s">
        <v>138</v>
      </c>
      <c r="AO374" s="379">
        <v>151.0</v>
      </c>
      <c r="AP374" s="379">
        <v>-0.132</v>
      </c>
      <c r="AQ374" s="57" t="s">
        <v>173</v>
      </c>
      <c r="AR374" s="379">
        <f t="shared" si="20"/>
        <v>-0.1318310089</v>
      </c>
      <c r="AS374" s="61"/>
      <c r="AT374" s="68"/>
      <c r="AU374" s="678" t="s">
        <v>138</v>
      </c>
      <c r="AV374" s="678" t="s">
        <v>138</v>
      </c>
      <c r="AW374" s="159" t="s">
        <v>138</v>
      </c>
      <c r="AX374" s="159" t="s">
        <v>151</v>
      </c>
      <c r="AY374" s="61" t="str">
        <f>IFERROR(__xludf.DUMMYFUNCTION("vlookup(BB374,importrange(""https://docs.google.com/spreadsheets/d/1d2vevQ_7D_v35q4wCQ4RpQ_IPoTwEMB9Yp6ymwlPqew/edit?gid=984458430#gid=984458430"", ""'replication success'!A:K""), 11, FAlSE)"),"#N/A")</f>
        <v>#N/A</v>
      </c>
      <c r="AZ374" s="61" t="str">
        <f>IFERROR(__xludf.DUMMYFUNCTION("vlookup(BB374,importrange(""https://docs.google.com/spreadsheets/d/1d2vevQ_7D_v35q4wCQ4RpQ_IPoTwEMB9Yp6ymwlPqew/edit?gid=984458430#gid=984458430"", ""'replication success'!A:M""), 12, FAlSE)"),"#N/A")</f>
        <v>#N/A</v>
      </c>
      <c r="BA374" s="61" t="str">
        <f>IFERROR(__xludf.DUMMYFUNCTION("vlookup(BB374,importrange(""https://docs.google.com/spreadsheets/d/1d2vevQ_7D_v35q4wCQ4RpQ_IPoTwEMB9Yp6ymwlPqew/edit?gid=984458430#gid=984458430"", ""'replication success'!A:M""), 13, FAlSE)"),"#N/A")</f>
        <v>#N/A</v>
      </c>
      <c r="BB374" s="61" t="str">
        <f>IFERROR(__xludf.DUMMYFUNCTION("REGEXREPLACE(G374, ""_[a-z]{1,2}$"", """")"),"additional_studies55")</f>
        <v>additional_studies55</v>
      </c>
      <c r="BC374" s="61"/>
      <c r="BG374" s="697"/>
      <c r="BH374" s="697"/>
      <c r="BI374" s="697"/>
      <c r="BJ374" s="697"/>
      <c r="BK374" s="697"/>
      <c r="BL374" s="697"/>
      <c r="BM374" s="697"/>
      <c r="BN374" s="697"/>
      <c r="BO374" s="697"/>
      <c r="BP374" s="697"/>
      <c r="BQ374" s="697"/>
      <c r="BR374" s="697"/>
      <c r="BV374" s="697"/>
      <c r="BW374" s="697"/>
      <c r="BX374" s="697"/>
      <c r="BY374" s="697"/>
      <c r="BZ374" s="697"/>
      <c r="CA374" s="697"/>
      <c r="CB374" s="697"/>
      <c r="CC374" s="697"/>
      <c r="CD374" s="697"/>
      <c r="CE374" s="697"/>
      <c r="CF374" s="697"/>
      <c r="CG374" s="697"/>
      <c r="CH374" s="697"/>
      <c r="CI374" s="697"/>
      <c r="CJ374" s="697"/>
      <c r="CK374" s="697"/>
      <c r="CL374" s="697"/>
      <c r="CM374" s="697"/>
      <c r="CN374" s="697"/>
      <c r="CO374" s="697"/>
      <c r="CP374" s="697"/>
      <c r="CQ374" s="697"/>
      <c r="CR374" s="697"/>
      <c r="CS374" s="697"/>
      <c r="CT374" s="697"/>
      <c r="CU374" s="697"/>
      <c r="CV374" s="697"/>
      <c r="CW374" s="697"/>
      <c r="CX374" s="697"/>
      <c r="CY374" s="697"/>
      <c r="CZ374" s="697"/>
      <c r="DA374" s="697"/>
      <c r="DB374" s="697"/>
      <c r="DC374" s="697"/>
      <c r="DD374" s="697"/>
      <c r="DE374" s="697"/>
      <c r="DF374" s="697"/>
      <c r="DG374" s="697"/>
      <c r="DH374" s="697"/>
      <c r="DI374" s="697"/>
      <c r="DJ374" s="697"/>
      <c r="DK374" s="697"/>
      <c r="DL374" s="697"/>
    </row>
    <row r="375" ht="20.25" customHeight="1">
      <c r="A375" s="44">
        <v>375.0</v>
      </c>
      <c r="B375" s="421" t="s">
        <v>285</v>
      </c>
      <c r="C375" s="62" t="s">
        <v>115</v>
      </c>
      <c r="D375" s="62" t="s">
        <v>1810</v>
      </c>
      <c r="F375" s="703" t="s">
        <v>2069</v>
      </c>
      <c r="G375" s="57" t="s">
        <v>2070</v>
      </c>
      <c r="H375" s="57" t="s">
        <v>1811</v>
      </c>
      <c r="I375" s="152">
        <v>45460.0</v>
      </c>
      <c r="J375" s="434">
        <v>45642.0</v>
      </c>
      <c r="K375" s="57" t="s">
        <v>2082</v>
      </c>
      <c r="L375" s="61"/>
      <c r="M375" s="57" t="s">
        <v>2073</v>
      </c>
      <c r="N375" s="57" t="s">
        <v>2074</v>
      </c>
      <c r="O375" s="379">
        <v>2.0</v>
      </c>
      <c r="P375" s="377" t="str">
        <f t="shared" si="16"/>
        <v>10.1111--j.1540-5885.2010.00778.x.pdf</v>
      </c>
      <c r="Q375" s="108" t="str">
        <f t="array" ref="Q375"> if(iserror(MATCH(V375, 'File Links'!C:C, 0)), "N/A", HYPERLINK(INDEX('File Links'!B:B, MATCH(P375, 'File Links'!C:C, 0))))</f>
        <v>N/A</v>
      </c>
      <c r="R375" s="57" t="s">
        <v>2083</v>
      </c>
      <c r="S375" s="57" t="s">
        <v>2076</v>
      </c>
      <c r="T375" s="61"/>
      <c r="U375" s="709">
        <v>2.0</v>
      </c>
      <c r="V375" s="112" t="str">
        <f t="shared" si="15"/>
        <v>10.1080--02650487.2024.2362015.pdf</v>
      </c>
      <c r="W375" s="57" t="s">
        <v>2084</v>
      </c>
      <c r="X375" s="49" t="str">
        <f t="array" ref="X375"> if(iserror(MATCH(V375, 'File Links'!C:C, 0)), "N/A", HYPERLINK(INDEX('File Links'!B:B, MATCH(V375, 'File Links'!C:C, 0))))</f>
        <v>N/A</v>
      </c>
      <c r="Y375" s="61"/>
      <c r="Z375" s="57" t="s">
        <v>2079</v>
      </c>
      <c r="AA375" s="57" t="s">
        <v>2085</v>
      </c>
      <c r="AB375" s="57" t="s">
        <v>2086</v>
      </c>
      <c r="AC375" s="57" t="s">
        <v>2104</v>
      </c>
      <c r="AD375" s="57" t="s">
        <v>2088</v>
      </c>
      <c r="AE375" s="129">
        <v>27.0</v>
      </c>
      <c r="AF375" s="379">
        <v>92.0</v>
      </c>
      <c r="AG375" s="379">
        <v>-3.0</v>
      </c>
      <c r="AH375" s="339" t="s">
        <v>134</v>
      </c>
      <c r="AI375" s="57" t="s">
        <v>1888</v>
      </c>
      <c r="AJ375" s="61"/>
      <c r="AK375" s="68"/>
      <c r="AL375" s="677" t="s">
        <v>138</v>
      </c>
      <c r="AM375" s="677" t="s">
        <v>138</v>
      </c>
      <c r="AN375" s="57" t="s">
        <v>138</v>
      </c>
      <c r="AO375" s="379">
        <v>151.0</v>
      </c>
      <c r="AP375" s="379">
        <v>-0.184</v>
      </c>
      <c r="AQ375" s="57" t="s">
        <v>173</v>
      </c>
      <c r="AR375" s="379">
        <f>(6.12-6.24)/SQRT(((77-1)*0.92^2+(AU5277-1)*0.9^2)/(77+74-2))</f>
        <v>-0.1837940479</v>
      </c>
      <c r="AS375" s="61"/>
      <c r="AT375" s="68"/>
      <c r="AU375" s="678" t="s">
        <v>138</v>
      </c>
      <c r="AV375" s="678" t="s">
        <v>138</v>
      </c>
      <c r="AW375" s="159" t="s">
        <v>138</v>
      </c>
      <c r="AX375" s="159" t="s">
        <v>151</v>
      </c>
      <c r="AY375" s="61" t="str">
        <f>IFERROR(__xludf.DUMMYFUNCTION("vlookup(BB375,importrange(""https://docs.google.com/spreadsheets/d/1d2vevQ_7D_v35q4wCQ4RpQ_IPoTwEMB9Yp6ymwlPqew/edit?gid=984458430#gid=984458430"", ""'replication success'!A:K""), 11, FAlSE)"),"#N/A")</f>
        <v>#N/A</v>
      </c>
      <c r="AZ375" s="61" t="str">
        <f>IFERROR(__xludf.DUMMYFUNCTION("vlookup(BB375,importrange(""https://docs.google.com/spreadsheets/d/1d2vevQ_7D_v35q4wCQ4RpQ_IPoTwEMB9Yp6ymwlPqew/edit?gid=984458430#gid=984458430"", ""'replication success'!A:M""), 12, FAlSE)"),"#N/A")</f>
        <v>#N/A</v>
      </c>
      <c r="BA375" s="61" t="str">
        <f>IFERROR(__xludf.DUMMYFUNCTION("vlookup(BB375,importrange(""https://docs.google.com/spreadsheets/d/1d2vevQ_7D_v35q4wCQ4RpQ_IPoTwEMB9Yp6ymwlPqew/edit?gid=984458430#gid=984458430"", ""'replication success'!A:M""), 13, FAlSE)"),"#N/A")</f>
        <v>#N/A</v>
      </c>
      <c r="BB375" s="61" t="str">
        <f>IFERROR(__xludf.DUMMYFUNCTION("REGEXREPLACE(G375, ""_[a-z]{1,2}$"", """")"),"additional_studies55")</f>
        <v>additional_studies55</v>
      </c>
      <c r="BC375" s="61"/>
      <c r="BG375" s="697"/>
      <c r="BH375" s="697"/>
      <c r="BI375" s="697"/>
      <c r="BJ375" s="697"/>
      <c r="BK375" s="697"/>
      <c r="BL375" s="697"/>
      <c r="BM375" s="697"/>
      <c r="BN375" s="697"/>
      <c r="BO375" s="697"/>
      <c r="BP375" s="697"/>
      <c r="BQ375" s="697"/>
      <c r="BR375" s="697"/>
      <c r="BV375" s="697"/>
      <c r="BW375" s="697"/>
      <c r="BX375" s="697"/>
      <c r="BY375" s="697"/>
      <c r="BZ375" s="697"/>
      <c r="CA375" s="697"/>
      <c r="CB375" s="697"/>
      <c r="CC375" s="697"/>
      <c r="CD375" s="697"/>
      <c r="CE375" s="697"/>
      <c r="CF375" s="697"/>
      <c r="CG375" s="697"/>
      <c r="CH375" s="697"/>
      <c r="CI375" s="697"/>
      <c r="CJ375" s="697"/>
      <c r="CK375" s="697"/>
      <c r="CL375" s="697"/>
      <c r="CM375" s="697"/>
      <c r="CN375" s="697"/>
      <c r="CO375" s="697"/>
      <c r="CP375" s="697"/>
      <c r="CQ375" s="697"/>
      <c r="CR375" s="697"/>
      <c r="CS375" s="697"/>
      <c r="CT375" s="697"/>
      <c r="CU375" s="697"/>
      <c r="CV375" s="697"/>
      <c r="CW375" s="697"/>
      <c r="CX375" s="697"/>
      <c r="CY375" s="697"/>
      <c r="CZ375" s="697"/>
      <c r="DA375" s="697"/>
      <c r="DB375" s="697"/>
      <c r="DC375" s="697"/>
      <c r="DD375" s="697"/>
      <c r="DE375" s="697"/>
      <c r="DF375" s="697"/>
      <c r="DG375" s="697"/>
      <c r="DH375" s="697"/>
      <c r="DI375" s="697"/>
      <c r="DJ375" s="697"/>
      <c r="DK375" s="697"/>
      <c r="DL375" s="697"/>
    </row>
    <row r="376" ht="20.25" customHeight="1">
      <c r="A376" s="44">
        <v>376.0</v>
      </c>
      <c r="B376" s="421" t="s">
        <v>285</v>
      </c>
      <c r="C376" s="62" t="s">
        <v>115</v>
      </c>
      <c r="D376" s="62" t="s">
        <v>1810</v>
      </c>
      <c r="F376" s="703" t="s">
        <v>2069</v>
      </c>
      <c r="G376" s="57" t="s">
        <v>2070</v>
      </c>
      <c r="H376" s="57" t="s">
        <v>1811</v>
      </c>
      <c r="I376" s="152">
        <v>45460.0</v>
      </c>
      <c r="J376" s="434">
        <v>45642.0</v>
      </c>
      <c r="K376" s="57" t="s">
        <v>2082</v>
      </c>
      <c r="L376" s="61"/>
      <c r="M376" s="57" t="s">
        <v>2073</v>
      </c>
      <c r="N376" s="57" t="s">
        <v>2074</v>
      </c>
      <c r="O376" s="379">
        <v>2.0</v>
      </c>
      <c r="P376" s="377" t="str">
        <f t="shared" si="16"/>
        <v>10.1111--j.1540-5885.2010.00778.x.pdf</v>
      </c>
      <c r="Q376" s="108" t="str">
        <f t="array" ref="Q376"> if(iserror(MATCH(V376, 'File Links'!C:C, 0)), "N/A", HYPERLINK(INDEX('File Links'!B:B, MATCH(P376, 'File Links'!C:C, 0))))</f>
        <v>N/A</v>
      </c>
      <c r="R376" s="57" t="s">
        <v>2083</v>
      </c>
      <c r="S376" s="57" t="s">
        <v>2076</v>
      </c>
      <c r="T376" s="61"/>
      <c r="U376" s="709">
        <v>2.0</v>
      </c>
      <c r="V376" s="112" t="str">
        <f t="shared" si="15"/>
        <v>10.1080--02650487.2024.2362015.pdf</v>
      </c>
      <c r="W376" s="57" t="s">
        <v>2084</v>
      </c>
      <c r="X376" s="49" t="str">
        <f t="array" ref="X376"> if(iserror(MATCH(V376, 'File Links'!C:C, 0)), "N/A", HYPERLINK(INDEX('File Links'!B:B, MATCH(V376, 'File Links'!C:C, 0))))</f>
        <v>N/A</v>
      </c>
      <c r="Y376" s="61"/>
      <c r="Z376" s="57" t="s">
        <v>2079</v>
      </c>
      <c r="AA376" s="57" t="s">
        <v>2085</v>
      </c>
      <c r="AB376" s="57" t="s">
        <v>2086</v>
      </c>
      <c r="AC376" s="57" t="s">
        <v>2105</v>
      </c>
      <c r="AD376" s="57" t="s">
        <v>2088</v>
      </c>
      <c r="AE376" s="129">
        <v>27.0</v>
      </c>
      <c r="AF376" s="379">
        <v>158.0</v>
      </c>
      <c r="AG376" s="379">
        <v>-13.5</v>
      </c>
      <c r="AH376" s="339" t="s">
        <v>134</v>
      </c>
      <c r="AI376" s="57" t="s">
        <v>1888</v>
      </c>
      <c r="AJ376" s="61"/>
      <c r="AK376" s="68"/>
      <c r="AL376" s="677" t="s">
        <v>138</v>
      </c>
      <c r="AM376" s="677" t="s">
        <v>138</v>
      </c>
      <c r="AN376" s="57" t="s">
        <v>138</v>
      </c>
      <c r="AO376" s="379">
        <v>151.0</v>
      </c>
      <c r="AP376" s="379">
        <v>-0.184</v>
      </c>
      <c r="AQ376" s="57" t="s">
        <v>173</v>
      </c>
      <c r="AR376" s="379">
        <f>(6.12-6.24)/SQRT(((77-1)*0.92^2+(AU5277-1)*0.9^2)/(77+74-2))</f>
        <v>-0.1837940479</v>
      </c>
      <c r="AS376" s="61"/>
      <c r="AT376" s="68"/>
      <c r="AU376" s="678" t="s">
        <v>138</v>
      </c>
      <c r="AV376" s="678" t="s">
        <v>138</v>
      </c>
      <c r="AW376" s="159" t="s">
        <v>138</v>
      </c>
      <c r="AX376" s="159" t="s">
        <v>151</v>
      </c>
      <c r="AY376" s="61" t="str">
        <f>IFERROR(__xludf.DUMMYFUNCTION("vlookup(BB376,importrange(""https://docs.google.com/spreadsheets/d/1d2vevQ_7D_v35q4wCQ4RpQ_IPoTwEMB9Yp6ymwlPqew/edit?gid=984458430#gid=984458430"", ""'replication success'!A:K""), 11, FAlSE)"),"#N/A")</f>
        <v>#N/A</v>
      </c>
      <c r="AZ376" s="61" t="str">
        <f>IFERROR(__xludf.DUMMYFUNCTION("vlookup(BB376,importrange(""https://docs.google.com/spreadsheets/d/1d2vevQ_7D_v35q4wCQ4RpQ_IPoTwEMB9Yp6ymwlPqew/edit?gid=984458430#gid=984458430"", ""'replication success'!A:M""), 12, FAlSE)"),"#N/A")</f>
        <v>#N/A</v>
      </c>
      <c r="BA376" s="61" t="str">
        <f>IFERROR(__xludf.DUMMYFUNCTION("vlookup(BB376,importrange(""https://docs.google.com/spreadsheets/d/1d2vevQ_7D_v35q4wCQ4RpQ_IPoTwEMB9Yp6ymwlPqew/edit?gid=984458430#gid=984458430"", ""'replication success'!A:M""), 13, FAlSE)"),"#N/A")</f>
        <v>#N/A</v>
      </c>
      <c r="BB376" s="61" t="str">
        <f>IFERROR(__xludf.DUMMYFUNCTION("REGEXREPLACE(G376, ""_[a-z]{1,2}$"", """")"),"additional_studies55")</f>
        <v>additional_studies55</v>
      </c>
      <c r="BC376" s="61"/>
      <c r="BG376" s="220"/>
      <c r="BH376" s="220"/>
      <c r="BI376" s="220"/>
      <c r="BJ376" s="220"/>
      <c r="BK376" s="220"/>
      <c r="BL376" s="220"/>
      <c r="BM376" s="220"/>
      <c r="BN376" s="220"/>
      <c r="BO376" s="220"/>
      <c r="BP376" s="220"/>
      <c r="BQ376" s="220"/>
      <c r="BR376" s="220"/>
      <c r="BS376" s="220"/>
      <c r="BT376" s="220"/>
      <c r="BU376" s="220"/>
      <c r="BV376" s="220"/>
      <c r="BW376" s="220"/>
      <c r="BX376" s="220"/>
      <c r="BY376" s="220"/>
      <c r="BZ376" s="220"/>
      <c r="CA376" s="220"/>
      <c r="CB376" s="220"/>
      <c r="CC376" s="220"/>
      <c r="CD376" s="220"/>
      <c r="CE376" s="220"/>
      <c r="CF376" s="220"/>
      <c r="CG376" s="220"/>
      <c r="CH376" s="220"/>
      <c r="CI376" s="220"/>
      <c r="CJ376" s="220"/>
      <c r="CK376" s="220"/>
      <c r="CL376" s="220"/>
      <c r="CM376" s="220"/>
      <c r="CN376" s="220"/>
      <c r="CO376" s="220"/>
      <c r="CP376" s="220"/>
      <c r="CQ376" s="220"/>
      <c r="CR376" s="220"/>
      <c r="CS376" s="220"/>
      <c r="CT376" s="220"/>
      <c r="CU376" s="220"/>
      <c r="CV376" s="220"/>
      <c r="CW376" s="220"/>
      <c r="CX376" s="220"/>
      <c r="CY376" s="220"/>
      <c r="CZ376" s="220"/>
      <c r="DA376" s="220"/>
      <c r="DB376" s="220"/>
      <c r="DC376" s="220"/>
      <c r="DD376" s="220"/>
      <c r="DE376" s="220"/>
      <c r="DF376" s="220"/>
      <c r="DG376" s="220"/>
      <c r="DH376" s="220"/>
      <c r="DI376" s="220"/>
      <c r="DJ376" s="220"/>
      <c r="DK376" s="220"/>
      <c r="DL376" s="220"/>
    </row>
    <row r="377" ht="20.25" customHeight="1">
      <c r="A377" s="44">
        <v>377.0</v>
      </c>
      <c r="B377" s="421" t="s">
        <v>285</v>
      </c>
      <c r="C377" s="62" t="s">
        <v>115</v>
      </c>
      <c r="D377" s="62" t="s">
        <v>1810</v>
      </c>
      <c r="F377" s="703" t="s">
        <v>2069</v>
      </c>
      <c r="G377" s="57" t="s">
        <v>2070</v>
      </c>
      <c r="H377" s="57" t="s">
        <v>1811</v>
      </c>
      <c r="I377" s="152">
        <v>45460.0</v>
      </c>
      <c r="J377" s="434">
        <v>45642.0</v>
      </c>
      <c r="K377" s="57" t="s">
        <v>2082</v>
      </c>
      <c r="L377" s="61"/>
      <c r="M377" s="57" t="s">
        <v>2073</v>
      </c>
      <c r="N377" s="57" t="s">
        <v>2074</v>
      </c>
      <c r="O377" s="379">
        <v>2.0</v>
      </c>
      <c r="P377" s="377" t="str">
        <f t="shared" si="16"/>
        <v>10.1111--j.1540-5885.2010.00778.x.pdf</v>
      </c>
      <c r="Q377" s="108" t="str">
        <f t="array" ref="Q377"> if(iserror(MATCH(V377, 'File Links'!C:C, 0)), "N/A", HYPERLINK(INDEX('File Links'!B:B, MATCH(P377, 'File Links'!C:C, 0))))</f>
        <v>N/A</v>
      </c>
      <c r="R377" s="57" t="s">
        <v>2083</v>
      </c>
      <c r="S377" s="57" t="s">
        <v>2076</v>
      </c>
      <c r="T377" s="61"/>
      <c r="U377" s="709">
        <v>2.0</v>
      </c>
      <c r="V377" s="112" t="str">
        <f t="shared" si="15"/>
        <v>10.1080--02650487.2024.2362015.pdf</v>
      </c>
      <c r="W377" s="57" t="s">
        <v>2084</v>
      </c>
      <c r="X377" s="49" t="str">
        <f t="array" ref="X377"> if(iserror(MATCH(V377, 'File Links'!C:C, 0)), "N/A", HYPERLINK(INDEX('File Links'!B:B, MATCH(V377, 'File Links'!C:C, 0))))</f>
        <v>N/A</v>
      </c>
      <c r="Y377" s="61"/>
      <c r="Z377" s="57" t="s">
        <v>2079</v>
      </c>
      <c r="AA377" s="57" t="s">
        <v>2085</v>
      </c>
      <c r="AB377" s="57" t="s">
        <v>2086</v>
      </c>
      <c r="AC377" s="57" t="s">
        <v>2106</v>
      </c>
      <c r="AD377" s="57" t="s">
        <v>2088</v>
      </c>
      <c r="AE377" s="129">
        <v>27.0</v>
      </c>
      <c r="AF377" s="379">
        <v>153.0</v>
      </c>
      <c r="AG377" s="379">
        <v>-2.5</v>
      </c>
      <c r="AH377" s="339" t="s">
        <v>134</v>
      </c>
      <c r="AI377" s="57" t="s">
        <v>1888</v>
      </c>
      <c r="AJ377" s="61"/>
      <c r="AK377" s="68"/>
      <c r="AL377" s="677" t="s">
        <v>138</v>
      </c>
      <c r="AM377" s="677" t="s">
        <v>138</v>
      </c>
      <c r="AN377" s="57" t="s">
        <v>138</v>
      </c>
      <c r="AO377" s="379">
        <v>151.0</v>
      </c>
      <c r="AP377" s="379">
        <v>-0.184</v>
      </c>
      <c r="AQ377" s="57" t="s">
        <v>173</v>
      </c>
      <c r="AR377" s="379">
        <f>(6.12-6.24)/SQRT(((77-1)*0.92^2+(AU5277-1)*0.9^2)/(77+74-2))</f>
        <v>-0.1837940479</v>
      </c>
      <c r="AS377" s="61"/>
      <c r="AT377" s="68"/>
      <c r="AU377" s="678" t="s">
        <v>138</v>
      </c>
      <c r="AV377" s="678" t="s">
        <v>138</v>
      </c>
      <c r="AW377" s="159" t="s">
        <v>138</v>
      </c>
      <c r="AX377" s="159" t="s">
        <v>151</v>
      </c>
      <c r="AY377" s="61" t="str">
        <f>IFERROR(__xludf.DUMMYFUNCTION("vlookup(BB377,importrange(""https://docs.google.com/spreadsheets/d/1d2vevQ_7D_v35q4wCQ4RpQ_IPoTwEMB9Yp6ymwlPqew/edit?gid=984458430#gid=984458430"", ""'replication success'!A:K""), 11, FAlSE)"),"#N/A")</f>
        <v>#N/A</v>
      </c>
      <c r="AZ377" s="61" t="str">
        <f>IFERROR(__xludf.DUMMYFUNCTION("vlookup(BB377,importrange(""https://docs.google.com/spreadsheets/d/1d2vevQ_7D_v35q4wCQ4RpQ_IPoTwEMB9Yp6ymwlPqew/edit?gid=984458430#gid=984458430"", ""'replication success'!A:M""), 12, FAlSE)"),"#N/A")</f>
        <v>#N/A</v>
      </c>
      <c r="BA377" s="61" t="str">
        <f>IFERROR(__xludf.DUMMYFUNCTION("vlookup(BB377,importrange(""https://docs.google.com/spreadsheets/d/1d2vevQ_7D_v35q4wCQ4RpQ_IPoTwEMB9Yp6ymwlPqew/edit?gid=984458430#gid=984458430"", ""'replication success'!A:M""), 13, FAlSE)"),"#N/A")</f>
        <v>#N/A</v>
      </c>
      <c r="BB377" s="61" t="str">
        <f>IFERROR(__xludf.DUMMYFUNCTION("REGEXREPLACE(G377, ""_[a-z]{1,2}$"", """")"),"additional_studies55")</f>
        <v>additional_studies55</v>
      </c>
      <c r="BC377" s="61"/>
      <c r="BG377" s="220"/>
      <c r="BH377" s="220"/>
      <c r="BI377" s="220"/>
      <c r="BJ377" s="220"/>
      <c r="BK377" s="220"/>
      <c r="BL377" s="220"/>
      <c r="BM377" s="220"/>
      <c r="BN377" s="220"/>
      <c r="BO377" s="220"/>
      <c r="BP377" s="220"/>
      <c r="BQ377" s="220"/>
      <c r="BR377" s="220"/>
      <c r="BS377" s="220"/>
      <c r="BT377" s="220"/>
      <c r="BU377" s="220"/>
      <c r="BV377" s="220"/>
      <c r="BW377" s="220"/>
      <c r="BX377" s="220"/>
      <c r="BY377" s="220"/>
      <c r="BZ377" s="220"/>
      <c r="CA377" s="220"/>
      <c r="CB377" s="220"/>
      <c r="CC377" s="220"/>
      <c r="CD377" s="220"/>
      <c r="CE377" s="220"/>
      <c r="CF377" s="220"/>
      <c r="CG377" s="220"/>
      <c r="CH377" s="220"/>
      <c r="CI377" s="220"/>
      <c r="CJ377" s="220"/>
      <c r="CK377" s="220"/>
      <c r="CL377" s="220"/>
      <c r="CM377" s="220"/>
      <c r="CN377" s="220"/>
      <c r="CO377" s="220"/>
      <c r="CP377" s="220"/>
      <c r="CQ377" s="220"/>
      <c r="CR377" s="220"/>
      <c r="CS377" s="220"/>
      <c r="CT377" s="220"/>
      <c r="CU377" s="220"/>
      <c r="CV377" s="220"/>
      <c r="CW377" s="220"/>
      <c r="CX377" s="220"/>
      <c r="CY377" s="220"/>
      <c r="CZ377" s="220"/>
      <c r="DA377" s="220"/>
      <c r="DB377" s="220"/>
      <c r="DC377" s="220"/>
      <c r="DD377" s="220"/>
      <c r="DE377" s="220"/>
      <c r="DF377" s="220"/>
      <c r="DG377" s="220"/>
      <c r="DH377" s="220"/>
      <c r="DI377" s="220"/>
      <c r="DJ377" s="220"/>
      <c r="DK377" s="220"/>
      <c r="DL377" s="220"/>
    </row>
    <row r="378" ht="20.25" customHeight="1">
      <c r="A378" s="44">
        <v>378.0</v>
      </c>
      <c r="B378" s="421" t="s">
        <v>285</v>
      </c>
      <c r="C378" s="62" t="s">
        <v>115</v>
      </c>
      <c r="D378" s="62" t="s">
        <v>1810</v>
      </c>
      <c r="F378" s="703" t="s">
        <v>2069</v>
      </c>
      <c r="G378" s="57" t="s">
        <v>2070</v>
      </c>
      <c r="H378" s="57" t="s">
        <v>1811</v>
      </c>
      <c r="I378" s="152">
        <v>45460.0</v>
      </c>
      <c r="J378" s="434">
        <v>45642.0</v>
      </c>
      <c r="K378" s="57" t="s">
        <v>2095</v>
      </c>
      <c r="L378" s="61"/>
      <c r="M378" s="57" t="s">
        <v>2073</v>
      </c>
      <c r="N378" s="57" t="s">
        <v>2074</v>
      </c>
      <c r="O378" s="379">
        <v>2.0</v>
      </c>
      <c r="P378" s="377" t="str">
        <f t="shared" si="16"/>
        <v>10.1111--j.1540-5885.2010.00778.x.pdf</v>
      </c>
      <c r="Q378" s="108" t="str">
        <f t="array" ref="Q378"> if(iserror(MATCH(V378, 'File Links'!C:C, 0)), "N/A", HYPERLINK(INDEX('File Links'!B:B, MATCH(P378, 'File Links'!C:C, 0))))</f>
        <v>N/A</v>
      </c>
      <c r="R378" s="57" t="s">
        <v>2083</v>
      </c>
      <c r="S378" s="57" t="s">
        <v>2076</v>
      </c>
      <c r="T378" s="61"/>
      <c r="U378" s="709">
        <v>2.0</v>
      </c>
      <c r="V378" s="112" t="str">
        <f t="shared" si="15"/>
        <v>10.1080--02650487.2024.2362015.pdf</v>
      </c>
      <c r="W378" s="57" t="s">
        <v>2084</v>
      </c>
      <c r="X378" s="49" t="str">
        <f t="array" ref="X378"> if(iserror(MATCH(V378, 'File Links'!C:C, 0)), "N/A", HYPERLINK(INDEX('File Links'!B:B, MATCH(V378, 'File Links'!C:C, 0))))</f>
        <v>N/A</v>
      </c>
      <c r="Y378" s="61"/>
      <c r="Z378" s="57" t="s">
        <v>2079</v>
      </c>
      <c r="AA378" s="57" t="s">
        <v>2085</v>
      </c>
      <c r="AB378" s="57" t="s">
        <v>2086</v>
      </c>
      <c r="AC378" s="57" t="s">
        <v>2107</v>
      </c>
      <c r="AD378" s="57" t="s">
        <v>2097</v>
      </c>
      <c r="AE378" s="129">
        <v>27.0</v>
      </c>
      <c r="AF378" s="379">
        <v>92.0</v>
      </c>
      <c r="AG378" s="61"/>
      <c r="AH378" s="338"/>
      <c r="AI378" s="61"/>
      <c r="AJ378" s="379">
        <v>0.1</v>
      </c>
      <c r="AK378" s="159" t="s">
        <v>135</v>
      </c>
      <c r="AL378" s="677" t="s">
        <v>138</v>
      </c>
      <c r="AM378" s="677" t="s">
        <v>138</v>
      </c>
      <c r="AN378" s="57" t="s">
        <v>138</v>
      </c>
      <c r="AO378" s="379">
        <v>151.0</v>
      </c>
      <c r="AP378" s="379">
        <v>-0.118</v>
      </c>
      <c r="AQ378" s="57" t="s">
        <v>173</v>
      </c>
      <c r="AR378" s="379">
        <f t="shared" ref="AR378:AR380" si="21">(6.13-6.23)/SQRT(((77-1)*0.82^2+(74-1)*0.87^2)/(77+74-2))</f>
        <v>-0.1183619012</v>
      </c>
      <c r="AS378" s="61"/>
      <c r="AT378" s="68"/>
      <c r="AU378" s="678" t="s">
        <v>138</v>
      </c>
      <c r="AV378" s="678" t="s">
        <v>138</v>
      </c>
      <c r="AW378" s="159" t="s">
        <v>138</v>
      </c>
      <c r="AX378" s="159" t="s">
        <v>151</v>
      </c>
      <c r="AY378" s="61" t="str">
        <f>IFERROR(__xludf.DUMMYFUNCTION("vlookup(BB378,importrange(""https://docs.google.com/spreadsheets/d/1d2vevQ_7D_v35q4wCQ4RpQ_IPoTwEMB9Yp6ymwlPqew/edit?gid=984458430#gid=984458430"", ""'replication success'!A:K""), 11, FAlSE)"),"#N/A")</f>
        <v>#N/A</v>
      </c>
      <c r="AZ378" s="61" t="str">
        <f>IFERROR(__xludf.DUMMYFUNCTION("vlookup(BB378,importrange(""https://docs.google.com/spreadsheets/d/1d2vevQ_7D_v35q4wCQ4RpQ_IPoTwEMB9Yp6ymwlPqew/edit?gid=984458430#gid=984458430"", ""'replication success'!A:M""), 12, FAlSE)"),"#N/A")</f>
        <v>#N/A</v>
      </c>
      <c r="BA378" s="61" t="str">
        <f>IFERROR(__xludf.DUMMYFUNCTION("vlookup(BB378,importrange(""https://docs.google.com/spreadsheets/d/1d2vevQ_7D_v35q4wCQ4RpQ_IPoTwEMB9Yp6ymwlPqew/edit?gid=984458430#gid=984458430"", ""'replication success'!A:M""), 13, FAlSE)"),"#N/A")</f>
        <v>#N/A</v>
      </c>
      <c r="BB378" s="61" t="str">
        <f>IFERROR(__xludf.DUMMYFUNCTION("REGEXREPLACE(G378, ""_[a-z]{1,2}$"", """")"),"additional_studies55")</f>
        <v>additional_studies55</v>
      </c>
      <c r="BC378" s="61"/>
      <c r="BG378" s="220"/>
      <c r="BH378" s="220"/>
      <c r="BI378" s="220"/>
      <c r="BJ378" s="220"/>
      <c r="BK378" s="220"/>
      <c r="BL378" s="220"/>
      <c r="BM378" s="220"/>
      <c r="BN378" s="220"/>
      <c r="BO378" s="220"/>
      <c r="BP378" s="220"/>
      <c r="BQ378" s="220"/>
      <c r="BR378" s="220"/>
      <c r="BS378" s="220"/>
      <c r="BT378" s="220"/>
      <c r="BU378" s="220"/>
      <c r="BV378" s="220"/>
      <c r="BW378" s="220"/>
      <c r="BX378" s="220"/>
      <c r="BY378" s="220"/>
      <c r="BZ378" s="220"/>
      <c r="CA378" s="220"/>
      <c r="CB378" s="220"/>
      <c r="CC378" s="220"/>
      <c r="CD378" s="220"/>
      <c r="CE378" s="220"/>
      <c r="CF378" s="220"/>
      <c r="CG378" s="220"/>
      <c r="CH378" s="220"/>
      <c r="CI378" s="220"/>
      <c r="CJ378" s="220"/>
      <c r="CK378" s="220"/>
      <c r="CL378" s="220"/>
      <c r="CM378" s="220"/>
      <c r="CN378" s="220"/>
      <c r="CO378" s="220"/>
      <c r="CP378" s="220"/>
      <c r="CQ378" s="220"/>
      <c r="CR378" s="220"/>
      <c r="CS378" s="220"/>
      <c r="CT378" s="220"/>
      <c r="CU378" s="220"/>
      <c r="CV378" s="220"/>
      <c r="CW378" s="220"/>
      <c r="CX378" s="220"/>
      <c r="CY378" s="220"/>
      <c r="CZ378" s="220"/>
      <c r="DA378" s="220"/>
      <c r="DB378" s="220"/>
      <c r="DC378" s="220"/>
      <c r="DD378" s="220"/>
      <c r="DE378" s="220"/>
      <c r="DF378" s="220"/>
      <c r="DG378" s="220"/>
      <c r="DH378" s="220"/>
      <c r="DI378" s="220"/>
      <c r="DJ378" s="220"/>
      <c r="DK378" s="220"/>
      <c r="DL378" s="220"/>
    </row>
    <row r="379" ht="20.25" customHeight="1">
      <c r="A379" s="44">
        <v>379.0</v>
      </c>
      <c r="B379" s="421" t="s">
        <v>285</v>
      </c>
      <c r="C379" s="62" t="s">
        <v>115</v>
      </c>
      <c r="D379" s="62" t="s">
        <v>1810</v>
      </c>
      <c r="F379" s="703" t="s">
        <v>2069</v>
      </c>
      <c r="G379" s="57" t="s">
        <v>2070</v>
      </c>
      <c r="H379" s="57" t="s">
        <v>1811</v>
      </c>
      <c r="I379" s="152">
        <v>45460.0</v>
      </c>
      <c r="J379" s="434">
        <v>45642.0</v>
      </c>
      <c r="K379" s="57" t="s">
        <v>2095</v>
      </c>
      <c r="L379" s="61"/>
      <c r="M379" s="57" t="s">
        <v>2073</v>
      </c>
      <c r="N379" s="57" t="s">
        <v>2074</v>
      </c>
      <c r="O379" s="379">
        <v>2.0</v>
      </c>
      <c r="P379" s="377" t="str">
        <f t="shared" si="16"/>
        <v>10.1111--j.1540-5885.2010.00778.x.pdf</v>
      </c>
      <c r="Q379" s="108" t="str">
        <f t="array" ref="Q379"> if(iserror(MATCH(V379, 'File Links'!C:C, 0)), "N/A", HYPERLINK(INDEX('File Links'!B:B, MATCH(P379, 'File Links'!C:C, 0))))</f>
        <v>N/A</v>
      </c>
      <c r="R379" s="57" t="s">
        <v>2083</v>
      </c>
      <c r="S379" s="57" t="s">
        <v>2076</v>
      </c>
      <c r="T379" s="61"/>
      <c r="U379" s="709">
        <v>2.0</v>
      </c>
      <c r="V379" s="112" t="str">
        <f t="shared" si="15"/>
        <v>10.1080--02650487.2024.2362015.pdf</v>
      </c>
      <c r="W379" s="57" t="s">
        <v>2084</v>
      </c>
      <c r="X379" s="49" t="str">
        <f t="array" ref="X379"> if(iserror(MATCH(V379, 'File Links'!C:C, 0)), "N/A", HYPERLINK(INDEX('File Links'!B:B, MATCH(V379, 'File Links'!C:C, 0))))</f>
        <v>N/A</v>
      </c>
      <c r="Y379" s="61"/>
      <c r="Z379" s="57" t="s">
        <v>2079</v>
      </c>
      <c r="AA379" s="57" t="s">
        <v>2085</v>
      </c>
      <c r="AB379" s="57" t="s">
        <v>2086</v>
      </c>
      <c r="AC379" s="57" t="s">
        <v>2108</v>
      </c>
      <c r="AD379" s="57" t="s">
        <v>2099</v>
      </c>
      <c r="AE379" s="129">
        <v>27.0</v>
      </c>
      <c r="AF379" s="379">
        <v>158.0</v>
      </c>
      <c r="AG379" s="61"/>
      <c r="AH379" s="338"/>
      <c r="AI379" s="61"/>
      <c r="AJ379" s="379">
        <v>0.001</v>
      </c>
      <c r="AK379" s="159" t="s">
        <v>135</v>
      </c>
      <c r="AL379" s="677" t="s">
        <v>138</v>
      </c>
      <c r="AM379" s="677" t="s">
        <v>138</v>
      </c>
      <c r="AN379" s="57" t="s">
        <v>138</v>
      </c>
      <c r="AO379" s="379">
        <v>151.0</v>
      </c>
      <c r="AP379" s="379">
        <v>-0.118</v>
      </c>
      <c r="AQ379" s="57" t="s">
        <v>173</v>
      </c>
      <c r="AR379" s="379">
        <f t="shared" si="21"/>
        <v>-0.1183619012</v>
      </c>
      <c r="AS379" s="61"/>
      <c r="AT379" s="68"/>
      <c r="AU379" s="678" t="s">
        <v>138</v>
      </c>
      <c r="AV379" s="678" t="s">
        <v>138</v>
      </c>
      <c r="AW379" s="159" t="s">
        <v>138</v>
      </c>
      <c r="AX379" s="159" t="s">
        <v>151</v>
      </c>
      <c r="AY379" s="61" t="str">
        <f>IFERROR(__xludf.DUMMYFUNCTION("vlookup(BB379,importrange(""https://docs.google.com/spreadsheets/d/1d2vevQ_7D_v35q4wCQ4RpQ_IPoTwEMB9Yp6ymwlPqew/edit?gid=984458430#gid=984458430"", ""'replication success'!A:K""), 11, FAlSE)"),"#N/A")</f>
        <v>#N/A</v>
      </c>
      <c r="AZ379" s="61" t="str">
        <f>IFERROR(__xludf.DUMMYFUNCTION("vlookup(BB379,importrange(""https://docs.google.com/spreadsheets/d/1d2vevQ_7D_v35q4wCQ4RpQ_IPoTwEMB9Yp6ymwlPqew/edit?gid=984458430#gid=984458430"", ""'replication success'!A:M""), 12, FAlSE)"),"#N/A")</f>
        <v>#N/A</v>
      </c>
      <c r="BA379" s="61" t="str">
        <f>IFERROR(__xludf.DUMMYFUNCTION("vlookup(BB379,importrange(""https://docs.google.com/spreadsheets/d/1d2vevQ_7D_v35q4wCQ4RpQ_IPoTwEMB9Yp6ymwlPqew/edit?gid=984458430#gid=984458430"", ""'replication success'!A:M""), 13, FAlSE)"),"#N/A")</f>
        <v>#N/A</v>
      </c>
      <c r="BB379" s="61" t="str">
        <f>IFERROR(__xludf.DUMMYFUNCTION("REGEXREPLACE(G379, ""_[a-z]{1,2}$"", """")"),"additional_studies55")</f>
        <v>additional_studies55</v>
      </c>
      <c r="BC379" s="61"/>
      <c r="BG379" s="220"/>
      <c r="BH379" s="220"/>
      <c r="BI379" s="220"/>
      <c r="BJ379" s="220"/>
      <c r="BK379" s="220"/>
      <c r="BL379" s="220"/>
      <c r="BM379" s="220"/>
      <c r="BN379" s="220"/>
      <c r="BO379" s="220"/>
      <c r="BP379" s="220"/>
      <c r="BQ379" s="220"/>
      <c r="BR379" s="220"/>
      <c r="BS379" s="220"/>
      <c r="BT379" s="220"/>
      <c r="BU379" s="220"/>
      <c r="BV379" s="220"/>
      <c r="BW379" s="220"/>
      <c r="BX379" s="220"/>
      <c r="BY379" s="220"/>
      <c r="BZ379" s="220"/>
      <c r="CA379" s="220"/>
      <c r="CB379" s="220"/>
      <c r="CC379" s="220"/>
      <c r="CD379" s="220"/>
      <c r="CE379" s="220"/>
      <c r="CF379" s="220"/>
      <c r="CG379" s="220"/>
      <c r="CH379" s="220"/>
      <c r="CI379" s="220"/>
      <c r="CJ379" s="220"/>
      <c r="CK379" s="220"/>
      <c r="CL379" s="220"/>
      <c r="CM379" s="220"/>
      <c r="CN379" s="220"/>
      <c r="CO379" s="220"/>
      <c r="CP379" s="220"/>
      <c r="CQ379" s="220"/>
      <c r="CR379" s="220"/>
      <c r="CS379" s="220"/>
      <c r="CT379" s="220"/>
      <c r="CU379" s="220"/>
      <c r="CV379" s="220"/>
      <c r="CW379" s="220"/>
      <c r="CX379" s="220"/>
      <c r="CY379" s="220"/>
      <c r="CZ379" s="220"/>
      <c r="DA379" s="220"/>
      <c r="DB379" s="220"/>
      <c r="DC379" s="220"/>
      <c r="DD379" s="220"/>
      <c r="DE379" s="220"/>
      <c r="DF379" s="220"/>
      <c r="DG379" s="220"/>
      <c r="DH379" s="220"/>
      <c r="DI379" s="220"/>
      <c r="DJ379" s="220"/>
      <c r="DK379" s="220"/>
      <c r="DL379" s="220"/>
    </row>
    <row r="380" ht="20.25" customHeight="1">
      <c r="A380" s="44">
        <v>380.0</v>
      </c>
      <c r="B380" s="421" t="s">
        <v>285</v>
      </c>
      <c r="C380" s="62" t="s">
        <v>115</v>
      </c>
      <c r="D380" s="62" t="s">
        <v>1810</v>
      </c>
      <c r="F380" s="703" t="s">
        <v>2069</v>
      </c>
      <c r="G380" s="57" t="s">
        <v>2070</v>
      </c>
      <c r="H380" s="57" t="s">
        <v>1811</v>
      </c>
      <c r="I380" s="152">
        <v>45460.0</v>
      </c>
      <c r="J380" s="434">
        <v>45642.0</v>
      </c>
      <c r="K380" s="57" t="s">
        <v>2095</v>
      </c>
      <c r="L380" s="61"/>
      <c r="M380" s="57" t="s">
        <v>2073</v>
      </c>
      <c r="N380" s="57" t="s">
        <v>2074</v>
      </c>
      <c r="O380" s="379">
        <v>2.0</v>
      </c>
      <c r="P380" s="377" t="str">
        <f t="shared" si="16"/>
        <v>10.1111--j.1540-5885.2010.00778.x.pdf</v>
      </c>
      <c r="Q380" s="108" t="str">
        <f t="array" ref="Q380"> if(iserror(MATCH(V380, 'File Links'!C:C, 0)), "N/A", HYPERLINK(INDEX('File Links'!B:B, MATCH(P380, 'File Links'!C:C, 0))))</f>
        <v>N/A</v>
      </c>
      <c r="R380" s="57" t="s">
        <v>2083</v>
      </c>
      <c r="S380" s="57" t="s">
        <v>2076</v>
      </c>
      <c r="T380" s="61"/>
      <c r="U380" s="709">
        <v>2.0</v>
      </c>
      <c r="V380" s="112" t="str">
        <f t="shared" si="15"/>
        <v>10.1080--02650487.2024.2362015.pdf</v>
      </c>
      <c r="W380" s="57" t="s">
        <v>2084</v>
      </c>
      <c r="X380" s="49" t="str">
        <f t="array" ref="X380"> if(iserror(MATCH(V380, 'File Links'!C:C, 0)), "N/A", HYPERLINK(INDEX('File Links'!B:B, MATCH(V380, 'File Links'!C:C, 0))))</f>
        <v>N/A</v>
      </c>
      <c r="Y380" s="61"/>
      <c r="Z380" s="57" t="s">
        <v>2079</v>
      </c>
      <c r="AA380" s="57" t="s">
        <v>2085</v>
      </c>
      <c r="AB380" s="57" t="s">
        <v>2086</v>
      </c>
      <c r="AC380" s="57" t="s">
        <v>2109</v>
      </c>
      <c r="AD380" s="57" t="s">
        <v>2101</v>
      </c>
      <c r="AE380" s="129">
        <v>27.0</v>
      </c>
      <c r="AF380" s="379">
        <v>153.0</v>
      </c>
      <c r="AG380" s="61"/>
      <c r="AH380" s="338"/>
      <c r="AI380" s="61"/>
      <c r="AJ380" s="379">
        <v>0.001</v>
      </c>
      <c r="AK380" s="159" t="s">
        <v>135</v>
      </c>
      <c r="AL380" s="677" t="s">
        <v>138</v>
      </c>
      <c r="AM380" s="677" t="s">
        <v>138</v>
      </c>
      <c r="AN380" s="57" t="s">
        <v>138</v>
      </c>
      <c r="AO380" s="379">
        <v>151.0</v>
      </c>
      <c r="AP380" s="379">
        <v>-0.118</v>
      </c>
      <c r="AQ380" s="57" t="s">
        <v>173</v>
      </c>
      <c r="AR380" s="379">
        <f t="shared" si="21"/>
        <v>-0.1183619012</v>
      </c>
      <c r="AS380" s="61"/>
      <c r="AT380" s="68"/>
      <c r="AU380" s="678" t="s">
        <v>138</v>
      </c>
      <c r="AV380" s="678" t="s">
        <v>138</v>
      </c>
      <c r="AW380" s="159" t="s">
        <v>138</v>
      </c>
      <c r="AX380" s="159" t="s">
        <v>151</v>
      </c>
      <c r="AY380" s="61" t="str">
        <f>IFERROR(__xludf.DUMMYFUNCTION("vlookup(BB380,importrange(""https://docs.google.com/spreadsheets/d/1d2vevQ_7D_v35q4wCQ4RpQ_IPoTwEMB9Yp6ymwlPqew/edit?gid=984458430#gid=984458430"", ""'replication success'!A:K""), 11, FAlSE)"),"#N/A")</f>
        <v>#N/A</v>
      </c>
      <c r="AZ380" s="61" t="str">
        <f>IFERROR(__xludf.DUMMYFUNCTION("vlookup(BB380,importrange(""https://docs.google.com/spreadsheets/d/1d2vevQ_7D_v35q4wCQ4RpQ_IPoTwEMB9Yp6ymwlPqew/edit?gid=984458430#gid=984458430"", ""'replication success'!A:M""), 12, FAlSE)"),"#N/A")</f>
        <v>#N/A</v>
      </c>
      <c r="BA380" s="61" t="str">
        <f>IFERROR(__xludf.DUMMYFUNCTION("vlookup(BB380,importrange(""https://docs.google.com/spreadsheets/d/1d2vevQ_7D_v35q4wCQ4RpQ_IPoTwEMB9Yp6ymwlPqew/edit?gid=984458430#gid=984458430"", ""'replication success'!A:M""), 13, FAlSE)"),"#N/A")</f>
        <v>#N/A</v>
      </c>
      <c r="BB380" s="61" t="str">
        <f>IFERROR(__xludf.DUMMYFUNCTION("REGEXREPLACE(G380, ""_[a-z]{1,2}$"", """")"),"additional_studies55")</f>
        <v>additional_studies55</v>
      </c>
      <c r="BC380" s="61"/>
      <c r="BG380" s="220"/>
      <c r="BH380" s="220"/>
      <c r="BI380" s="220"/>
      <c r="BJ380" s="220"/>
      <c r="BK380" s="220"/>
      <c r="BL380" s="220"/>
      <c r="BM380" s="220"/>
      <c r="BN380" s="220"/>
      <c r="BO380" s="220"/>
      <c r="BP380" s="220"/>
      <c r="BQ380" s="220"/>
      <c r="BR380" s="220"/>
      <c r="BS380" s="220"/>
      <c r="BT380" s="220"/>
      <c r="BU380" s="220"/>
      <c r="BV380" s="220"/>
      <c r="BW380" s="220"/>
      <c r="BX380" s="220"/>
      <c r="BY380" s="220"/>
      <c r="BZ380" s="220"/>
      <c r="CA380" s="220"/>
      <c r="CB380" s="220"/>
      <c r="CC380" s="220"/>
      <c r="CD380" s="220"/>
      <c r="CE380" s="220"/>
      <c r="CF380" s="220"/>
      <c r="CG380" s="220"/>
      <c r="CH380" s="220"/>
      <c r="CI380" s="220"/>
      <c r="CJ380" s="220"/>
      <c r="CK380" s="220"/>
      <c r="CL380" s="220"/>
      <c r="CM380" s="220"/>
      <c r="CN380" s="220"/>
      <c r="CO380" s="220"/>
      <c r="CP380" s="220"/>
      <c r="CQ380" s="220"/>
      <c r="CR380" s="220"/>
      <c r="CS380" s="220"/>
      <c r="CT380" s="220"/>
      <c r="CU380" s="220"/>
      <c r="CV380" s="220"/>
      <c r="CW380" s="220"/>
      <c r="CX380" s="220"/>
      <c r="CY380" s="220"/>
      <c r="CZ380" s="220"/>
      <c r="DA380" s="220"/>
      <c r="DB380" s="220"/>
      <c r="DC380" s="220"/>
      <c r="DD380" s="220"/>
      <c r="DE380" s="220"/>
      <c r="DF380" s="220"/>
      <c r="DG380" s="220"/>
      <c r="DH380" s="220"/>
      <c r="DI380" s="220"/>
      <c r="DJ380" s="220"/>
      <c r="DK380" s="220"/>
      <c r="DL380" s="220"/>
    </row>
    <row r="381" ht="20.25" customHeight="1">
      <c r="A381" s="44">
        <v>381.0</v>
      </c>
      <c r="B381" s="668" t="s">
        <v>152</v>
      </c>
      <c r="C381" s="668" t="s">
        <v>115</v>
      </c>
      <c r="D381" s="124" t="s">
        <v>1441</v>
      </c>
      <c r="E381" s="107"/>
      <c r="F381" s="223" t="s">
        <v>2110</v>
      </c>
      <c r="G381" s="126" t="s">
        <v>2111</v>
      </c>
      <c r="H381" s="126" t="s">
        <v>1540</v>
      </c>
      <c r="I381" s="568">
        <v>45640.0</v>
      </c>
      <c r="J381" s="569">
        <v>45671.0</v>
      </c>
      <c r="K381" s="126" t="s">
        <v>2112</v>
      </c>
      <c r="L381" s="212" t="s">
        <v>2113</v>
      </c>
      <c r="M381" s="126" t="s">
        <v>2114</v>
      </c>
      <c r="N381" s="126" t="s">
        <v>2115</v>
      </c>
      <c r="O381" s="219">
        <v>1.0</v>
      </c>
      <c r="P381" s="223" t="str">
        <f>SUBSTITUTE(LOWER(N381), "/", "--") &amp;  ".pdf"</f>
        <v>10.1089--cyber.2015.0311.pdf</v>
      </c>
      <c r="Q381" s="52" t="str">
        <f t="array" ref="Q381"> if(iserror(MATCH(V381, 'File Links'!C:C, 0)), "N/A", HYPERLINK(INDEX('File Links'!B:B, MATCH(P381, 'File Links'!C:C, 0))))</f>
        <v>https://drive.google.com/file/d/1UOcUsx-QUxFrulQIBnkUuR_13YgQP2Vd/view?usp=drivesdk</v>
      </c>
      <c r="R381" s="126" t="s">
        <v>2116</v>
      </c>
      <c r="S381" s="126" t="s">
        <v>2117</v>
      </c>
      <c r="T381" s="132"/>
      <c r="U381" s="147">
        <v>1.0</v>
      </c>
      <c r="V381" s="112" t="str">
        <f t="shared" si="15"/>
        <v>10.1016--j.bbr.2024.115096.pdf</v>
      </c>
      <c r="W381" s="587" t="s">
        <v>1686</v>
      </c>
      <c r="X381" s="54" t="str">
        <f t="array" ref="X381"> if(iserror(MATCH(V381, 'File Links'!C:C, 0)), "N/A", HYPERLINK(INDEX('File Links'!B:B, MATCH(V381, 'File Links'!C:C, 0))))</f>
        <v>https://drive.google.com/file/d/1mK6ddl6CbjItWRFtU_KkouJP0UM3gV-6/view?usp=drivesdk</v>
      </c>
      <c r="Y381" s="132"/>
      <c r="Z381" s="126" t="s">
        <v>148</v>
      </c>
      <c r="AA381" s="126" t="s">
        <v>2118</v>
      </c>
      <c r="AB381" s="126" t="s">
        <v>2119</v>
      </c>
      <c r="AC381" s="126" t="s">
        <v>2120</v>
      </c>
      <c r="AD381" s="119" t="s">
        <v>2121</v>
      </c>
      <c r="AE381" s="130">
        <v>3.0</v>
      </c>
      <c r="AF381" s="130">
        <v>20.0</v>
      </c>
      <c r="AG381" s="130">
        <v>0.19</v>
      </c>
      <c r="AH381" s="318" t="s">
        <v>139</v>
      </c>
      <c r="AI381" s="219">
        <v>3.0</v>
      </c>
      <c r="AJ381" s="130">
        <v>0.05</v>
      </c>
      <c r="AK381" s="125" t="s">
        <v>172</v>
      </c>
      <c r="AL381" s="132" t="s">
        <v>186</v>
      </c>
      <c r="AM381" s="132" t="s">
        <v>141</v>
      </c>
      <c r="AN381" s="219" t="s">
        <v>138</v>
      </c>
      <c r="AO381" s="130">
        <v>27.0</v>
      </c>
      <c r="AP381" s="219" t="s">
        <v>2122</v>
      </c>
      <c r="AQ381" s="126" t="s">
        <v>134</v>
      </c>
      <c r="AR381" s="126" t="s">
        <v>882</v>
      </c>
      <c r="AS381" s="130">
        <v>0.999</v>
      </c>
      <c r="AT381" s="125" t="s">
        <v>335</v>
      </c>
      <c r="AU381" s="125" t="s">
        <v>186</v>
      </c>
      <c r="AV381" s="125" t="s">
        <v>141</v>
      </c>
      <c r="AW381" s="219" t="s">
        <v>138</v>
      </c>
      <c r="AX381" s="710" t="s">
        <v>438</v>
      </c>
      <c r="AY381" s="61" t="str">
        <f>IFERROR(__xludf.DUMMYFUNCTION("vlookup(BB381,importrange(""https://docs.google.com/spreadsheets/d/1d2vevQ_7D_v35q4wCQ4RpQ_IPoTwEMB9Yp6ymwlPqew/edit?gid=984458430#gid=984458430"", ""'replication success'!A:K""), 11, FAlSE)"),"successful")</f>
        <v>successful</v>
      </c>
      <c r="AZ381" s="61" t="str">
        <f>IFERROR(__xludf.DUMMYFUNCTION("vlookup(BB381,importrange(""https://docs.google.com/spreadsheets/d/1d2vevQ_7D_v35q4wCQ4RpQ_IPoTwEMB9Yp6ymwlPqew/edit?gid=984458430#gid=984458430"",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1" s="61" t="str">
        <f>IFERROR(__xludf.DUMMYFUNCTION("vlookup(BB381,importrange(""https://docs.google.com/spreadsheets/d/1d2vevQ_7D_v35q4wCQ4RpQ_IPoTwEMB9Yp6ymwlPqew/edit?gid=984458430#gid=984458430"", ""'replication success'!A:M""), 13, FAlSE)"),"abstract")</f>
        <v>abstract</v>
      </c>
      <c r="BB381" s="61" t="str">
        <f>IFERROR(__xludf.DUMMYFUNCTION("REGEXREPLACE(G381, ""_[a-z]{1,2}$"", """")"),"additional_studies56")</f>
        <v>additional_studies56</v>
      </c>
      <c r="BC381" s="129" t="s">
        <v>2123</v>
      </c>
      <c r="BD381" s="124" t="s">
        <v>144</v>
      </c>
      <c r="BE381" s="107"/>
      <c r="BF381" s="107"/>
      <c r="BG381" s="107"/>
      <c r="BH381" s="107"/>
      <c r="BI381" s="107"/>
      <c r="BJ381" s="107"/>
      <c r="BK381" s="107"/>
      <c r="BL381" s="107"/>
      <c r="BM381" s="107"/>
      <c r="BN381" s="107"/>
      <c r="BO381" s="107"/>
      <c r="BP381" s="107"/>
      <c r="BQ381" s="107"/>
      <c r="BR381" s="107"/>
      <c r="BS381" s="107"/>
      <c r="BT381" s="107"/>
      <c r="BU381" s="107"/>
      <c r="BV381" s="107"/>
      <c r="BW381" s="107"/>
      <c r="BX381" s="107"/>
      <c r="BY381" s="107"/>
      <c r="BZ381" s="107"/>
      <c r="CA381" s="107"/>
      <c r="CB381" s="107"/>
      <c r="CC381" s="107"/>
      <c r="CD381" s="107"/>
      <c r="CE381" s="107"/>
      <c r="CF381" s="107"/>
      <c r="CG381" s="107"/>
      <c r="CH381" s="107"/>
      <c r="CI381" s="107"/>
      <c r="CJ381" s="107"/>
      <c r="CK381" s="107"/>
      <c r="CL381" s="107"/>
      <c r="CM381" s="107"/>
      <c r="CN381" s="107"/>
      <c r="CO381" s="107"/>
      <c r="CP381" s="107"/>
      <c r="CQ381" s="107"/>
      <c r="CR381" s="107"/>
      <c r="CS381" s="107"/>
      <c r="CT381" s="107"/>
      <c r="CU381" s="107"/>
      <c r="CV381" s="107"/>
      <c r="CW381" s="107"/>
      <c r="CX381" s="107"/>
      <c r="CY381" s="107"/>
      <c r="CZ381" s="107"/>
      <c r="DA381" s="107"/>
      <c r="DB381" s="107"/>
      <c r="DC381" s="107"/>
      <c r="DD381" s="107"/>
      <c r="DE381" s="107"/>
      <c r="DF381" s="107"/>
      <c r="DG381" s="107"/>
      <c r="DH381" s="107"/>
      <c r="DI381" s="107"/>
      <c r="DJ381" s="107"/>
      <c r="DK381" s="107"/>
      <c r="DL381" s="107"/>
    </row>
    <row r="382" ht="20.25" customHeight="1">
      <c r="A382" s="44">
        <v>382.0</v>
      </c>
      <c r="B382" s="149" t="s">
        <v>114</v>
      </c>
      <c r="C382" s="149" t="s">
        <v>115</v>
      </c>
      <c r="D382" s="149" t="s">
        <v>1810</v>
      </c>
      <c r="E382" s="71"/>
      <c r="F382" s="122" t="s">
        <v>2110</v>
      </c>
      <c r="G382" s="112" t="s">
        <v>2111</v>
      </c>
      <c r="H382" s="112" t="s">
        <v>1811</v>
      </c>
      <c r="I382" s="113">
        <v>45642.0</v>
      </c>
      <c r="J382" s="569">
        <v>45671.0</v>
      </c>
      <c r="K382" s="114"/>
      <c r="L382" s="212" t="s">
        <v>2124</v>
      </c>
      <c r="M382" s="112" t="s">
        <v>2114</v>
      </c>
      <c r="N382" s="112" t="s">
        <v>2115</v>
      </c>
      <c r="O382" s="114"/>
      <c r="P382" s="121" t="str">
        <f t="shared" ref="P382:P385" si="22"> SUBSTITUTE(lower(N382), "/", "--") &amp;  ".pdf"</f>
        <v>10.1089--cyber.2015.0311.pdf</v>
      </c>
      <c r="Q382" s="52" t="str">
        <f t="array" ref="Q382"> if(iserror(MATCH(V382, 'File Links'!C:C, 0)), "N/A", HYPERLINK(INDEX('File Links'!B:B, MATCH(P382, 'File Links'!C:C, 0))))</f>
        <v>https://drive.google.com/file/d/1UOcUsx-QUxFrulQIBnkUuR_13YgQP2Vd/view?usp=drivesdk</v>
      </c>
      <c r="R382" s="112" t="s">
        <v>2116</v>
      </c>
      <c r="S382" s="112" t="s">
        <v>2117</v>
      </c>
      <c r="T382" s="114"/>
      <c r="U382" s="120"/>
      <c r="V382" s="112" t="str">
        <f t="shared" si="15"/>
        <v>10.1016--j.bbr.2024.115096.pdf</v>
      </c>
      <c r="W382" s="112" t="s">
        <v>2125</v>
      </c>
      <c r="X382" s="54" t="str">
        <f t="array" ref="X382"> if(iserror(MATCH(V382, 'File Links'!C:C, 0)), "N/A", HYPERLINK(INDEX('File Links'!B:B, MATCH(V382, 'File Links'!C:C, 0))))</f>
        <v>https://drive.google.com/file/d/1mK6ddl6CbjItWRFtU_KkouJP0UM3gV-6/view?usp=drivesdk</v>
      </c>
      <c r="Y382" s="114"/>
      <c r="Z382" s="112" t="s">
        <v>838</v>
      </c>
      <c r="AA382" s="112" t="s">
        <v>1771</v>
      </c>
      <c r="AB382" s="112" t="s">
        <v>2126</v>
      </c>
      <c r="AC382" s="112" t="s">
        <v>2127</v>
      </c>
      <c r="AD382" s="114"/>
      <c r="AE382" s="114"/>
      <c r="AF382" s="117">
        <v>23.0</v>
      </c>
      <c r="AG382" s="117">
        <v>4.32</v>
      </c>
      <c r="AH382" s="121" t="s">
        <v>1031</v>
      </c>
      <c r="AI382" s="112" t="s">
        <v>507</v>
      </c>
      <c r="AJ382" s="117">
        <v>0.05</v>
      </c>
      <c r="AK382" s="122" t="s">
        <v>172</v>
      </c>
      <c r="AL382" s="711" t="s">
        <v>138</v>
      </c>
      <c r="AM382" s="711" t="s">
        <v>138</v>
      </c>
      <c r="AN382" s="112" t="s">
        <v>138</v>
      </c>
      <c r="AO382" s="117">
        <v>27.0</v>
      </c>
      <c r="AP382" s="712" t="s">
        <v>2128</v>
      </c>
      <c r="AQ382" s="112" t="s">
        <v>134</v>
      </c>
      <c r="AR382" s="112" t="s">
        <v>882</v>
      </c>
      <c r="AS382" s="117">
        <v>0.999</v>
      </c>
      <c r="AT382" s="122" t="s">
        <v>2129</v>
      </c>
      <c r="AU382" s="713" t="s">
        <v>138</v>
      </c>
      <c r="AV382" s="713" t="s">
        <v>138</v>
      </c>
      <c r="AW382" s="122" t="s">
        <v>138</v>
      </c>
      <c r="AX382" s="122" t="s">
        <v>438</v>
      </c>
      <c r="AY382" s="61" t="str">
        <f>IFERROR(__xludf.DUMMYFUNCTION("vlookup(BB382,importrange(""https://docs.google.com/spreadsheets/d/1d2vevQ_7D_v35q4wCQ4RpQ_IPoTwEMB9Yp6ymwlPqew/edit?gid=984458430#gid=984458430"", ""'replication success'!A:K""), 11, FAlSE)"),"successful")</f>
        <v>successful</v>
      </c>
      <c r="AZ382" s="61" t="str">
        <f>IFERROR(__xludf.DUMMYFUNCTION("vlookup(BB382,importrange(""https://docs.google.com/spreadsheets/d/1d2vevQ_7D_v35q4wCQ4RpQ_IPoTwEMB9Yp6ymwlPqew/edit?gid=984458430#gid=984458430"",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2" s="61" t="str">
        <f>IFERROR(__xludf.DUMMYFUNCTION("vlookup(BB382,importrange(""https://docs.google.com/spreadsheets/d/1d2vevQ_7D_v35q4wCQ4RpQ_IPoTwEMB9Yp6ymwlPqew/edit?gid=984458430#gid=984458430"", ""'replication success'!A:M""), 13, FAlSE)"),"abstract")</f>
        <v>abstract</v>
      </c>
      <c r="BB382" s="61" t="str">
        <f>IFERROR(__xludf.DUMMYFUNCTION("REGEXREPLACE(G382, ""_[a-z]{1,2}$"", """")"),"additional_studies56")</f>
        <v>additional_studies56</v>
      </c>
      <c r="BC382" s="129" t="s">
        <v>2124</v>
      </c>
      <c r="BD382" s="124" t="s">
        <v>144</v>
      </c>
      <c r="BE382" s="228"/>
      <c r="BF382" s="228"/>
      <c r="BG382" s="228"/>
      <c r="BH382" s="228"/>
      <c r="BI382" s="228"/>
      <c r="BJ382" s="228"/>
      <c r="BK382" s="228"/>
      <c r="BL382" s="228"/>
      <c r="BM382" s="228"/>
      <c r="BN382" s="228"/>
      <c r="BO382" s="228"/>
      <c r="BP382" s="228"/>
      <c r="BQ382" s="228"/>
      <c r="BR382" s="228"/>
      <c r="BS382" s="228"/>
      <c r="BT382" s="228"/>
      <c r="BU382" s="228"/>
      <c r="BV382" s="228"/>
      <c r="BW382" s="228"/>
      <c r="BX382" s="228"/>
      <c r="BY382" s="228"/>
      <c r="BZ382" s="228"/>
      <c r="CA382" s="228"/>
      <c r="CB382" s="228"/>
      <c r="CC382" s="228"/>
      <c r="CD382" s="228"/>
      <c r="CE382" s="228"/>
      <c r="CF382" s="228"/>
      <c r="CG382" s="228"/>
      <c r="CH382" s="228"/>
      <c r="CI382" s="228"/>
      <c r="CJ382" s="228"/>
      <c r="CK382" s="228"/>
      <c r="CL382" s="228"/>
      <c r="CM382" s="228"/>
      <c r="CN382" s="228"/>
      <c r="CO382" s="228"/>
      <c r="CP382" s="228"/>
      <c r="CQ382" s="228"/>
      <c r="CR382" s="228"/>
      <c r="CS382" s="228"/>
      <c r="CT382" s="228"/>
      <c r="CU382" s="228"/>
      <c r="CV382" s="228"/>
      <c r="CW382" s="228"/>
      <c r="CX382" s="228"/>
      <c r="CY382" s="228"/>
      <c r="CZ382" s="228"/>
      <c r="DA382" s="228"/>
      <c r="DB382" s="228"/>
      <c r="DC382" s="228"/>
      <c r="DD382" s="228"/>
      <c r="DE382" s="228"/>
      <c r="DF382" s="228"/>
      <c r="DG382" s="228"/>
      <c r="DH382" s="228"/>
      <c r="DI382" s="228"/>
      <c r="DJ382" s="228"/>
      <c r="DK382" s="228"/>
      <c r="DL382" s="228"/>
    </row>
    <row r="383" ht="20.25" customHeight="1">
      <c r="A383" s="44">
        <v>383.0</v>
      </c>
      <c r="B383" s="149" t="s">
        <v>114</v>
      </c>
      <c r="C383" s="149" t="s">
        <v>115</v>
      </c>
      <c r="D383" s="149" t="s">
        <v>1810</v>
      </c>
      <c r="E383" s="71"/>
      <c r="F383" s="122" t="s">
        <v>2110</v>
      </c>
      <c r="G383" s="112" t="s">
        <v>2111</v>
      </c>
      <c r="H383" s="112" t="s">
        <v>1811</v>
      </c>
      <c r="I383" s="113">
        <v>45642.0</v>
      </c>
      <c r="J383" s="569">
        <v>45671.0</v>
      </c>
      <c r="K383" s="114"/>
      <c r="L383" s="114"/>
      <c r="M383" s="112" t="s">
        <v>2114</v>
      </c>
      <c r="N383" s="112" t="s">
        <v>2115</v>
      </c>
      <c r="O383" s="114"/>
      <c r="P383" s="121" t="str">
        <f t="shared" si="22"/>
        <v>10.1089--cyber.2015.0311.pdf</v>
      </c>
      <c r="Q383" s="52" t="str">
        <f t="array" ref="Q383"> if(iserror(MATCH(V383, 'File Links'!C:C, 0)), "N/A", HYPERLINK(INDEX('File Links'!B:B, MATCH(P383, 'File Links'!C:C, 0))))</f>
        <v>https://drive.google.com/file/d/1UOcUsx-QUxFrulQIBnkUuR_13YgQP2Vd/view?usp=drivesdk</v>
      </c>
      <c r="R383" s="112" t="s">
        <v>2116</v>
      </c>
      <c r="S383" s="112" t="s">
        <v>2117</v>
      </c>
      <c r="T383" s="114"/>
      <c r="U383" s="120"/>
      <c r="V383" s="112" t="str">
        <f t="shared" si="15"/>
        <v>10.1016--j.bbr.2024.115096.pdf</v>
      </c>
      <c r="W383" s="112" t="s">
        <v>2125</v>
      </c>
      <c r="X383" s="54" t="str">
        <f t="array" ref="X383"> if(iserror(MATCH(V383, 'File Links'!C:C, 0)), "N/A", HYPERLINK(INDEX('File Links'!B:B, MATCH(V383, 'File Links'!C:C, 0))))</f>
        <v>https://drive.google.com/file/d/1mK6ddl6CbjItWRFtU_KkouJP0UM3gV-6/view?usp=drivesdk</v>
      </c>
      <c r="Y383" s="114"/>
      <c r="Z383" s="112" t="s">
        <v>838</v>
      </c>
      <c r="AA383" s="112" t="s">
        <v>1771</v>
      </c>
      <c r="AB383" s="112" t="s">
        <v>2126</v>
      </c>
      <c r="AC383" s="112" t="s">
        <v>2127</v>
      </c>
      <c r="AD383" s="114"/>
      <c r="AE383" s="114"/>
      <c r="AF383" s="117">
        <v>23.0</v>
      </c>
      <c r="AG383" s="117">
        <v>12.9</v>
      </c>
      <c r="AH383" s="121" t="s">
        <v>1031</v>
      </c>
      <c r="AI383" s="112" t="s">
        <v>507</v>
      </c>
      <c r="AJ383" s="117">
        <v>0.002</v>
      </c>
      <c r="AK383" s="122" t="s">
        <v>172</v>
      </c>
      <c r="AL383" s="711" t="s">
        <v>138</v>
      </c>
      <c r="AM383" s="711" t="s">
        <v>138</v>
      </c>
      <c r="AN383" s="112" t="s">
        <v>138</v>
      </c>
      <c r="AO383" s="117">
        <v>27.0</v>
      </c>
      <c r="AP383" s="117">
        <v>0.58</v>
      </c>
      <c r="AQ383" s="112" t="s">
        <v>215</v>
      </c>
      <c r="AR383" s="112" t="s">
        <v>882</v>
      </c>
      <c r="AS383" s="117">
        <v>0.47</v>
      </c>
      <c r="AT383" s="122" t="s">
        <v>172</v>
      </c>
      <c r="AU383" s="713" t="s">
        <v>138</v>
      </c>
      <c r="AV383" s="713" t="s">
        <v>138</v>
      </c>
      <c r="AW383" s="122" t="s">
        <v>138</v>
      </c>
      <c r="AX383" s="122" t="s">
        <v>438</v>
      </c>
      <c r="AY383" s="61" t="str">
        <f>IFERROR(__xludf.DUMMYFUNCTION("vlookup(BB383,importrange(""https://docs.google.com/spreadsheets/d/1d2vevQ_7D_v35q4wCQ4RpQ_IPoTwEMB9Yp6ymwlPqew/edit?gid=984458430#gid=984458430"", ""'replication success'!A:K""), 11, FAlSE)"),"successful")</f>
        <v>successful</v>
      </c>
      <c r="AZ383" s="61" t="str">
        <f>IFERROR(__xludf.DUMMYFUNCTION("vlookup(BB383,importrange(""https://docs.google.com/spreadsheets/d/1d2vevQ_7D_v35q4wCQ4RpQ_IPoTwEMB9Yp6ymwlPqew/edit?gid=984458430#gid=984458430"",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3" s="61" t="str">
        <f>IFERROR(__xludf.DUMMYFUNCTION("vlookup(BB383,importrange(""https://docs.google.com/spreadsheets/d/1d2vevQ_7D_v35q4wCQ4RpQ_IPoTwEMB9Yp6ymwlPqew/edit?gid=984458430#gid=984458430"", ""'replication success'!A:M""), 13, FAlSE)"),"abstract")</f>
        <v>abstract</v>
      </c>
      <c r="BB383" s="61" t="str">
        <f>IFERROR(__xludf.DUMMYFUNCTION("REGEXREPLACE(G383, ""_[a-z]{1,2}$"", """")"),"additional_studies56")</f>
        <v>additional_studies56</v>
      </c>
      <c r="BC383" s="61"/>
      <c r="BD383" s="124" t="s">
        <v>144</v>
      </c>
      <c r="BE383" s="228"/>
      <c r="BF383" s="228"/>
      <c r="BG383" s="228"/>
      <c r="BH383" s="228"/>
      <c r="BI383" s="228"/>
      <c r="BJ383" s="228"/>
      <c r="BK383" s="228"/>
      <c r="BL383" s="228"/>
      <c r="BM383" s="228"/>
      <c r="BN383" s="228"/>
      <c r="BO383" s="228"/>
      <c r="BP383" s="228"/>
      <c r="BQ383" s="228"/>
      <c r="BR383" s="228"/>
      <c r="BS383" s="228"/>
      <c r="BT383" s="228"/>
      <c r="BU383" s="228"/>
      <c r="BV383" s="228"/>
      <c r="BW383" s="228"/>
      <c r="BX383" s="228"/>
      <c r="BY383" s="228"/>
      <c r="BZ383" s="228"/>
      <c r="CA383" s="228"/>
      <c r="CB383" s="228"/>
      <c r="CC383" s="228"/>
      <c r="CD383" s="228"/>
      <c r="CE383" s="228"/>
      <c r="CF383" s="228"/>
      <c r="CG383" s="228"/>
      <c r="CH383" s="228"/>
      <c r="CI383" s="228"/>
      <c r="CJ383" s="228"/>
      <c r="CK383" s="228"/>
      <c r="CL383" s="228"/>
      <c r="CM383" s="228"/>
      <c r="CN383" s="228"/>
      <c r="CO383" s="228"/>
      <c r="CP383" s="228"/>
      <c r="CQ383" s="228"/>
      <c r="CR383" s="228"/>
      <c r="CS383" s="228"/>
      <c r="CT383" s="228"/>
      <c r="CU383" s="228"/>
      <c r="CV383" s="228"/>
      <c r="CW383" s="228"/>
      <c r="CX383" s="228"/>
      <c r="CY383" s="228"/>
      <c r="CZ383" s="228"/>
      <c r="DA383" s="228"/>
      <c r="DB383" s="228"/>
      <c r="DC383" s="228"/>
      <c r="DD383" s="228"/>
      <c r="DE383" s="228"/>
      <c r="DF383" s="228"/>
      <c r="DG383" s="228"/>
      <c r="DH383" s="228"/>
      <c r="DI383" s="228"/>
      <c r="DJ383" s="228"/>
      <c r="DK383" s="228"/>
      <c r="DL383" s="228"/>
    </row>
    <row r="384" ht="20.25" customHeight="1">
      <c r="A384" s="44">
        <v>384.0</v>
      </c>
      <c r="B384" s="149" t="s">
        <v>114</v>
      </c>
      <c r="C384" s="149" t="s">
        <v>115</v>
      </c>
      <c r="D384" s="149" t="s">
        <v>1810</v>
      </c>
      <c r="E384" s="71"/>
      <c r="F384" s="122" t="s">
        <v>2110</v>
      </c>
      <c r="G384" s="112" t="s">
        <v>2111</v>
      </c>
      <c r="H384" s="112" t="s">
        <v>1811</v>
      </c>
      <c r="I384" s="113">
        <v>45642.0</v>
      </c>
      <c r="J384" s="569">
        <v>45671.0</v>
      </c>
      <c r="K384" s="114"/>
      <c r="L384" s="114"/>
      <c r="M384" s="112" t="s">
        <v>2114</v>
      </c>
      <c r="N384" s="112" t="s">
        <v>2115</v>
      </c>
      <c r="O384" s="114"/>
      <c r="P384" s="121" t="str">
        <f t="shared" si="22"/>
        <v>10.1089--cyber.2015.0311.pdf</v>
      </c>
      <c r="Q384" s="52" t="str">
        <f t="array" ref="Q384"> if(iserror(MATCH(V384, 'File Links'!C:C, 0)), "N/A", HYPERLINK(INDEX('File Links'!B:B, MATCH(P384, 'File Links'!C:C, 0))))</f>
        <v>https://drive.google.com/file/d/1UOcUsx-QUxFrulQIBnkUuR_13YgQP2Vd/view?usp=drivesdk</v>
      </c>
      <c r="R384" s="112" t="s">
        <v>2116</v>
      </c>
      <c r="S384" s="112" t="s">
        <v>2117</v>
      </c>
      <c r="T384" s="114"/>
      <c r="U384" s="120"/>
      <c r="V384" s="112" t="str">
        <f t="shared" si="15"/>
        <v>10.1016--j.bbr.2024.115096.pdf</v>
      </c>
      <c r="W384" s="112" t="s">
        <v>2125</v>
      </c>
      <c r="X384" s="54" t="str">
        <f t="array" ref="X384"> if(iserror(MATCH(V384, 'File Links'!C:C, 0)), "N/A", HYPERLINK(INDEX('File Links'!B:B, MATCH(V384, 'File Links'!C:C, 0))))</f>
        <v>https://drive.google.com/file/d/1mK6ddl6CbjItWRFtU_KkouJP0UM3gV-6/view?usp=drivesdk</v>
      </c>
      <c r="Y384" s="114"/>
      <c r="Z384" s="112" t="s">
        <v>838</v>
      </c>
      <c r="AA384" s="112" t="s">
        <v>1771</v>
      </c>
      <c r="AB384" s="112" t="s">
        <v>2126</v>
      </c>
      <c r="AC384" s="112" t="s">
        <v>2127</v>
      </c>
      <c r="AD384" s="114"/>
      <c r="AE384" s="114"/>
      <c r="AF384" s="117">
        <v>23.0</v>
      </c>
      <c r="AG384" s="117">
        <v>3.692</v>
      </c>
      <c r="AH384" s="121" t="s">
        <v>1031</v>
      </c>
      <c r="AI384" s="112" t="s">
        <v>507</v>
      </c>
      <c r="AJ384" s="117">
        <v>0.002</v>
      </c>
      <c r="AK384" s="122" t="s">
        <v>172</v>
      </c>
      <c r="AL384" s="711" t="s">
        <v>138</v>
      </c>
      <c r="AM384" s="711" t="s">
        <v>138</v>
      </c>
      <c r="AN384" s="112" t="s">
        <v>138</v>
      </c>
      <c r="AO384" s="117">
        <v>27.0</v>
      </c>
      <c r="AP384" s="117">
        <v>7.05</v>
      </c>
      <c r="AQ384" s="112" t="s">
        <v>1031</v>
      </c>
      <c r="AR384" s="112" t="s">
        <v>882</v>
      </c>
      <c r="AS384" s="117">
        <v>0.001</v>
      </c>
      <c r="AT384" s="122" t="s">
        <v>2130</v>
      </c>
      <c r="AU384" s="713" t="s">
        <v>138</v>
      </c>
      <c r="AV384" s="713" t="s">
        <v>138</v>
      </c>
      <c r="AW384" s="122" t="s">
        <v>138</v>
      </c>
      <c r="AX384" s="122" t="s">
        <v>438</v>
      </c>
      <c r="AY384" s="61" t="str">
        <f>IFERROR(__xludf.DUMMYFUNCTION("vlookup(BB384,importrange(""https://docs.google.com/spreadsheets/d/1d2vevQ_7D_v35q4wCQ4RpQ_IPoTwEMB9Yp6ymwlPqew/edit?gid=984458430#gid=984458430"", ""'replication success'!A:K""), 11, FAlSE)"),"successful")</f>
        <v>successful</v>
      </c>
      <c r="AZ384" s="61" t="str">
        <f>IFERROR(__xludf.DUMMYFUNCTION("vlookup(BB384,importrange(""https://docs.google.com/spreadsheets/d/1d2vevQ_7D_v35q4wCQ4RpQ_IPoTwEMB9Yp6ymwlPqew/edit?gid=984458430#gid=984458430"",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4" s="61" t="str">
        <f>IFERROR(__xludf.DUMMYFUNCTION("vlookup(BB384,importrange(""https://docs.google.com/spreadsheets/d/1d2vevQ_7D_v35q4wCQ4RpQ_IPoTwEMB9Yp6ymwlPqew/edit?gid=984458430#gid=984458430"", ""'replication success'!A:M""), 13, FAlSE)"),"abstract")</f>
        <v>abstract</v>
      </c>
      <c r="BB384" s="61" t="str">
        <f>IFERROR(__xludf.DUMMYFUNCTION("REGEXREPLACE(G384, ""_[a-z]{1,2}$"", """")"),"additional_studies56")</f>
        <v>additional_studies56</v>
      </c>
      <c r="BC384" s="61"/>
      <c r="BD384" s="124" t="s">
        <v>144</v>
      </c>
      <c r="BE384" s="228"/>
      <c r="BF384" s="228"/>
      <c r="BG384" s="228"/>
      <c r="BH384" s="228"/>
      <c r="BI384" s="228"/>
      <c r="BJ384" s="228"/>
      <c r="BK384" s="228"/>
      <c r="BL384" s="228"/>
      <c r="BM384" s="228"/>
      <c r="BN384" s="228"/>
      <c r="BO384" s="228"/>
      <c r="BP384" s="228"/>
      <c r="BQ384" s="228"/>
      <c r="BR384" s="228"/>
      <c r="BS384" s="228"/>
      <c r="BT384" s="228"/>
      <c r="BU384" s="228"/>
      <c r="BV384" s="228"/>
      <c r="BW384" s="228"/>
      <c r="BX384" s="228"/>
      <c r="BY384" s="228"/>
      <c r="BZ384" s="228"/>
      <c r="CA384" s="228"/>
      <c r="CB384" s="228"/>
      <c r="CC384" s="228"/>
      <c r="CD384" s="228"/>
      <c r="CE384" s="228"/>
      <c r="CF384" s="228"/>
      <c r="CG384" s="228"/>
      <c r="CH384" s="228"/>
      <c r="CI384" s="228"/>
      <c r="CJ384" s="228"/>
      <c r="CK384" s="228"/>
      <c r="CL384" s="228"/>
      <c r="CM384" s="228"/>
      <c r="CN384" s="228"/>
      <c r="CO384" s="228"/>
      <c r="CP384" s="228"/>
      <c r="CQ384" s="228"/>
      <c r="CR384" s="228"/>
      <c r="CS384" s="228"/>
      <c r="CT384" s="228"/>
      <c r="CU384" s="228"/>
      <c r="CV384" s="228"/>
      <c r="CW384" s="228"/>
      <c r="CX384" s="228"/>
      <c r="CY384" s="228"/>
      <c r="CZ384" s="228"/>
      <c r="DA384" s="228"/>
      <c r="DB384" s="228"/>
      <c r="DC384" s="228"/>
      <c r="DD384" s="228"/>
      <c r="DE384" s="228"/>
      <c r="DF384" s="228"/>
      <c r="DG384" s="228"/>
      <c r="DH384" s="228"/>
      <c r="DI384" s="228"/>
      <c r="DJ384" s="228"/>
      <c r="DK384" s="228"/>
      <c r="DL384" s="228"/>
    </row>
    <row r="385" ht="20.25" customHeight="1">
      <c r="A385" s="44">
        <v>385.0</v>
      </c>
      <c r="B385" s="149" t="s">
        <v>114</v>
      </c>
      <c r="C385" s="149" t="s">
        <v>115</v>
      </c>
      <c r="D385" s="149" t="s">
        <v>1810</v>
      </c>
      <c r="E385" s="71"/>
      <c r="F385" s="122" t="s">
        <v>2110</v>
      </c>
      <c r="G385" s="112" t="s">
        <v>2111</v>
      </c>
      <c r="H385" s="112" t="s">
        <v>1811</v>
      </c>
      <c r="I385" s="113">
        <v>45642.0</v>
      </c>
      <c r="J385" s="569">
        <v>45671.0</v>
      </c>
      <c r="K385" s="114"/>
      <c r="L385" s="114"/>
      <c r="M385" s="112" t="s">
        <v>2114</v>
      </c>
      <c r="N385" s="112" t="s">
        <v>2115</v>
      </c>
      <c r="O385" s="114"/>
      <c r="P385" s="121" t="str">
        <f t="shared" si="22"/>
        <v>10.1089--cyber.2015.0311.pdf</v>
      </c>
      <c r="Q385" s="52" t="str">
        <f t="array" ref="Q385"> if(iserror(MATCH(V385, 'File Links'!C:C, 0)), "N/A", HYPERLINK(INDEX('File Links'!B:B, MATCH(P385, 'File Links'!C:C, 0))))</f>
        <v>https://drive.google.com/file/d/1UOcUsx-QUxFrulQIBnkUuR_13YgQP2Vd/view?usp=drivesdk</v>
      </c>
      <c r="R385" s="112" t="s">
        <v>2116</v>
      </c>
      <c r="S385" s="112" t="s">
        <v>2117</v>
      </c>
      <c r="T385" s="114"/>
      <c r="U385" s="120"/>
      <c r="V385" s="112" t="str">
        <f t="shared" si="15"/>
        <v>10.1016--j.bbr.2024.115096.pdf</v>
      </c>
      <c r="W385" s="112" t="s">
        <v>2125</v>
      </c>
      <c r="X385" s="54" t="str">
        <f t="array" ref="X385"> if(iserror(MATCH(V385, 'File Links'!C:C, 0)), "N/A", HYPERLINK(INDEX('File Links'!B:B, MATCH(V385, 'File Links'!C:C, 0))))</f>
        <v>https://drive.google.com/file/d/1mK6ddl6CbjItWRFtU_KkouJP0UM3gV-6/view?usp=drivesdk</v>
      </c>
      <c r="Y385" s="114"/>
      <c r="Z385" s="112" t="s">
        <v>838</v>
      </c>
      <c r="AA385" s="112" t="s">
        <v>1771</v>
      </c>
      <c r="AB385" s="112" t="s">
        <v>2126</v>
      </c>
      <c r="AC385" s="112" t="s">
        <v>2127</v>
      </c>
      <c r="AD385" s="114"/>
      <c r="AE385" s="114"/>
      <c r="AF385" s="117">
        <v>23.0</v>
      </c>
      <c r="AG385" s="117">
        <v>0.428</v>
      </c>
      <c r="AH385" s="121" t="s">
        <v>215</v>
      </c>
      <c r="AI385" s="112" t="s">
        <v>496</v>
      </c>
      <c r="AJ385" s="117">
        <v>0.03</v>
      </c>
      <c r="AK385" s="122" t="s">
        <v>172</v>
      </c>
      <c r="AL385" s="711" t="s">
        <v>138</v>
      </c>
      <c r="AM385" s="711" t="s">
        <v>138</v>
      </c>
      <c r="AN385" s="112" t="s">
        <v>138</v>
      </c>
      <c r="AO385" s="117">
        <v>27.0</v>
      </c>
      <c r="AP385" s="117">
        <v>-0.19</v>
      </c>
      <c r="AQ385" s="112" t="s">
        <v>215</v>
      </c>
      <c r="AR385" s="112" t="s">
        <v>882</v>
      </c>
      <c r="AS385" s="112" t="s">
        <v>2131</v>
      </c>
      <c r="AT385" s="122" t="s">
        <v>138</v>
      </c>
      <c r="AU385" s="713" t="s">
        <v>138</v>
      </c>
      <c r="AV385" s="713" t="s">
        <v>138</v>
      </c>
      <c r="AW385" s="122" t="s">
        <v>138</v>
      </c>
      <c r="AX385" s="122" t="s">
        <v>438</v>
      </c>
      <c r="AY385" s="61" t="str">
        <f>IFERROR(__xludf.DUMMYFUNCTION("vlookup(BB385,importrange(""https://docs.google.com/spreadsheets/d/1d2vevQ_7D_v35q4wCQ4RpQ_IPoTwEMB9Yp6ymwlPqew/edit?gid=984458430#gid=984458430"", ""'replication success'!A:K""), 11, FAlSE)"),"successful")</f>
        <v>successful</v>
      </c>
      <c r="AZ385" s="61" t="str">
        <f>IFERROR(__xludf.DUMMYFUNCTION("vlookup(BB385,importrange(""https://docs.google.com/spreadsheets/d/1d2vevQ_7D_v35q4wCQ4RpQ_IPoTwEMB9Yp6ymwlPqew/edit?gid=984458430#gid=984458430"",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5" s="61" t="str">
        <f>IFERROR(__xludf.DUMMYFUNCTION("vlookup(BB385,importrange(""https://docs.google.com/spreadsheets/d/1d2vevQ_7D_v35q4wCQ4RpQ_IPoTwEMB9Yp6ymwlPqew/edit?gid=984458430#gid=984458430"", ""'replication success'!A:M""), 13, FAlSE)"),"abstract")</f>
        <v>abstract</v>
      </c>
      <c r="BB385" s="61" t="str">
        <f>IFERROR(__xludf.DUMMYFUNCTION("REGEXREPLACE(G385, ""_[a-z]{1,2}$"", """")"),"additional_studies56")</f>
        <v>additional_studies56</v>
      </c>
      <c r="BC385" s="61"/>
      <c r="BD385" s="124" t="s">
        <v>144</v>
      </c>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c r="CB385" s="228"/>
      <c r="CC385" s="228"/>
      <c r="CD385" s="228"/>
      <c r="CE385" s="228"/>
      <c r="CF385" s="228"/>
      <c r="CG385" s="228"/>
      <c r="CH385" s="228"/>
      <c r="CI385" s="228"/>
      <c r="CJ385" s="228"/>
      <c r="CK385" s="228"/>
      <c r="CL385" s="228"/>
      <c r="CM385" s="228"/>
      <c r="CN385" s="228"/>
      <c r="CO385" s="228"/>
      <c r="CP385" s="228"/>
      <c r="CQ385" s="228"/>
      <c r="CR385" s="228"/>
      <c r="CS385" s="228"/>
      <c r="CT385" s="228"/>
      <c r="CU385" s="228"/>
      <c r="CV385" s="228"/>
      <c r="CW385" s="228"/>
      <c r="CX385" s="228"/>
      <c r="CY385" s="228"/>
      <c r="CZ385" s="228"/>
      <c r="DA385" s="228"/>
      <c r="DB385" s="228"/>
      <c r="DC385" s="228"/>
      <c r="DD385" s="228"/>
      <c r="DE385" s="228"/>
      <c r="DF385" s="228"/>
      <c r="DG385" s="228"/>
      <c r="DH385" s="228"/>
      <c r="DI385" s="228"/>
      <c r="DJ385" s="228"/>
      <c r="DK385" s="228"/>
      <c r="DL385" s="228"/>
    </row>
    <row r="386" ht="20.25" customHeight="1">
      <c r="A386" s="44">
        <v>386.0</v>
      </c>
      <c r="B386" s="668" t="s">
        <v>152</v>
      </c>
      <c r="C386" s="668" t="s">
        <v>115</v>
      </c>
      <c r="D386" s="124" t="s">
        <v>1441</v>
      </c>
      <c r="E386" s="107"/>
      <c r="F386" s="122" t="s">
        <v>2110</v>
      </c>
      <c r="G386" s="126" t="s">
        <v>2132</v>
      </c>
      <c r="H386" s="126" t="s">
        <v>1540</v>
      </c>
      <c r="I386" s="568">
        <v>45640.0</v>
      </c>
      <c r="J386" s="569">
        <v>45671.0</v>
      </c>
      <c r="K386" s="126" t="s">
        <v>2112</v>
      </c>
      <c r="L386" s="132"/>
      <c r="M386" s="126" t="s">
        <v>2114</v>
      </c>
      <c r="N386" s="126" t="s">
        <v>2115</v>
      </c>
      <c r="O386" s="219">
        <v>1.0</v>
      </c>
      <c r="P386" s="223" t="str">
        <f t="shared" ref="P386:P397" si="23">SUBSTITUTE(LOWER(N386), "/", "--") &amp;  ".pdf"</f>
        <v>10.1089--cyber.2015.0311.pdf</v>
      </c>
      <c r="Q386" s="52" t="str">
        <f t="array" ref="Q386"> if(iserror(MATCH(V386, 'File Links'!C:C, 0)), "N/A", HYPERLINK(INDEX('File Links'!B:B, MATCH(P386, 'File Links'!C:C, 0))))</f>
        <v>https://drive.google.com/file/d/1UOcUsx-QUxFrulQIBnkUuR_13YgQP2Vd/view?usp=drivesdk</v>
      </c>
      <c r="R386" s="126" t="s">
        <v>2116</v>
      </c>
      <c r="S386" s="126" t="s">
        <v>2117</v>
      </c>
      <c r="T386" s="132"/>
      <c r="U386" s="147">
        <v>1.0</v>
      </c>
      <c r="V386" s="112" t="str">
        <f t="shared" si="15"/>
        <v>10.1016--j.bbr.2024.115096.pdf</v>
      </c>
      <c r="W386" s="587" t="s">
        <v>1686</v>
      </c>
      <c r="X386" s="54" t="str">
        <f t="array" ref="X386"> if(iserror(MATCH(V386, 'File Links'!C:C, 0)), "N/A", HYPERLINK(INDEX('File Links'!B:B, MATCH(V386, 'File Links'!C:C, 0))))</f>
        <v>https://drive.google.com/file/d/1mK6ddl6CbjItWRFtU_KkouJP0UM3gV-6/view?usp=drivesdk</v>
      </c>
      <c r="Y386" s="132"/>
      <c r="Z386" s="126" t="s">
        <v>148</v>
      </c>
      <c r="AA386" s="126" t="s">
        <v>2118</v>
      </c>
      <c r="AB386" s="126" t="s">
        <v>2119</v>
      </c>
      <c r="AC386" s="126" t="s">
        <v>2133</v>
      </c>
      <c r="AD386" s="119" t="s">
        <v>2121</v>
      </c>
      <c r="AE386" s="130">
        <v>3.0</v>
      </c>
      <c r="AF386" s="130">
        <v>20.0</v>
      </c>
      <c r="AG386" s="130">
        <v>0.19</v>
      </c>
      <c r="AH386" s="318" t="s">
        <v>139</v>
      </c>
      <c r="AI386" s="219">
        <v>3.0</v>
      </c>
      <c r="AJ386" s="130">
        <v>0.05</v>
      </c>
      <c r="AK386" s="125" t="s">
        <v>172</v>
      </c>
      <c r="AL386" s="132" t="s">
        <v>186</v>
      </c>
      <c r="AM386" s="132" t="s">
        <v>141</v>
      </c>
      <c r="AN386" s="219" t="s">
        <v>138</v>
      </c>
      <c r="AO386" s="130">
        <v>27.0</v>
      </c>
      <c r="AP386" s="219" t="s">
        <v>2134</v>
      </c>
      <c r="AQ386" s="126" t="s">
        <v>134</v>
      </c>
      <c r="AR386" s="126" t="s">
        <v>882</v>
      </c>
      <c r="AS386" s="130">
        <v>0.73</v>
      </c>
      <c r="AT386" s="125" t="s">
        <v>335</v>
      </c>
      <c r="AU386" s="125" t="s">
        <v>186</v>
      </c>
      <c r="AV386" s="125" t="s">
        <v>141</v>
      </c>
      <c r="AW386" s="219" t="s">
        <v>138</v>
      </c>
      <c r="AX386" s="710" t="s">
        <v>438</v>
      </c>
      <c r="AY386" s="61" t="str">
        <f>IFERROR(__xludf.DUMMYFUNCTION("vlookup(BB386,importrange(""https://docs.google.com/spreadsheets/d/1d2vevQ_7D_v35q4wCQ4RpQ_IPoTwEMB9Yp6ymwlPqew/edit?gid=984458430#gid=984458430"", ""'replication success'!A:K""), 11, FAlSE)"),"successful")</f>
        <v>successful</v>
      </c>
      <c r="AZ386" s="61" t="str">
        <f>IFERROR(__xludf.DUMMYFUNCTION("vlookup(BB386,importrange(""https://docs.google.com/spreadsheets/d/1d2vevQ_7D_v35q4wCQ4RpQ_IPoTwEMB9Yp6ymwlPqew/edit?gid=984458430#gid=984458430"",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6" s="61" t="str">
        <f>IFERROR(__xludf.DUMMYFUNCTION("vlookup(BB386,importrange(""https://docs.google.com/spreadsheets/d/1d2vevQ_7D_v35q4wCQ4RpQ_IPoTwEMB9Yp6ymwlPqew/edit?gid=984458430#gid=984458430"", ""'replication success'!A:M""), 13, FAlSE)"),"abstract")</f>
        <v>abstract</v>
      </c>
      <c r="BB386" s="61" t="str">
        <f>IFERROR(__xludf.DUMMYFUNCTION("REGEXREPLACE(G386, ""_[a-z]{1,2}$"", """")"),"additional_studies56")</f>
        <v>additional_studies56</v>
      </c>
      <c r="BC386" s="61"/>
      <c r="BD386" s="124" t="s">
        <v>144</v>
      </c>
    </row>
    <row r="387" ht="20.25" customHeight="1">
      <c r="A387" s="44">
        <v>387.0</v>
      </c>
      <c r="B387" s="668" t="s">
        <v>152</v>
      </c>
      <c r="C387" s="668" t="s">
        <v>115</v>
      </c>
      <c r="D387" s="124" t="s">
        <v>1441</v>
      </c>
      <c r="E387" s="107"/>
      <c r="F387" s="122" t="s">
        <v>2110</v>
      </c>
      <c r="G387" s="126" t="s">
        <v>2135</v>
      </c>
      <c r="H387" s="126" t="s">
        <v>1540</v>
      </c>
      <c r="I387" s="568">
        <v>45640.0</v>
      </c>
      <c r="J387" s="569">
        <v>45671.0</v>
      </c>
      <c r="K387" s="132"/>
      <c r="L387" s="132"/>
      <c r="M387" s="126" t="s">
        <v>2114</v>
      </c>
      <c r="N387" s="126" t="s">
        <v>2115</v>
      </c>
      <c r="O387" s="219">
        <v>1.0</v>
      </c>
      <c r="P387" s="223" t="str">
        <f t="shared" si="23"/>
        <v>10.1089--cyber.2015.0311.pdf</v>
      </c>
      <c r="Q387" s="52" t="str">
        <f t="array" ref="Q387"> if(iserror(MATCH(V387, 'File Links'!C:C, 0)), "N/A", HYPERLINK(INDEX('File Links'!B:B, MATCH(P387, 'File Links'!C:C, 0))))</f>
        <v>https://drive.google.com/file/d/1UOcUsx-QUxFrulQIBnkUuR_13YgQP2Vd/view?usp=drivesdk</v>
      </c>
      <c r="R387" s="126" t="s">
        <v>2116</v>
      </c>
      <c r="S387" s="126" t="s">
        <v>2117</v>
      </c>
      <c r="T387" s="132"/>
      <c r="U387" s="147">
        <v>1.0</v>
      </c>
      <c r="V387" s="112" t="str">
        <f t="shared" si="15"/>
        <v>10.1016--j.bbr.2024.115096.pdf</v>
      </c>
      <c r="W387" s="587" t="s">
        <v>1686</v>
      </c>
      <c r="X387" s="54" t="str">
        <f t="array" ref="X387"> if(iserror(MATCH(V387, 'File Links'!C:C, 0)), "N/A", HYPERLINK(INDEX('File Links'!B:B, MATCH(V387, 'File Links'!C:C, 0))))</f>
        <v>https://drive.google.com/file/d/1mK6ddl6CbjItWRFtU_KkouJP0UM3gV-6/view?usp=drivesdk</v>
      </c>
      <c r="Y387" s="132"/>
      <c r="Z387" s="126" t="s">
        <v>148</v>
      </c>
      <c r="AA387" s="126" t="s">
        <v>2118</v>
      </c>
      <c r="AB387" s="126" t="s">
        <v>2119</v>
      </c>
      <c r="AC387" s="126" t="s">
        <v>2136</v>
      </c>
      <c r="AD387" s="126" t="s">
        <v>2137</v>
      </c>
      <c r="AE387" s="130">
        <v>3.0</v>
      </c>
      <c r="AF387" s="130">
        <v>20.0</v>
      </c>
      <c r="AG387" s="126" t="s">
        <v>2138</v>
      </c>
      <c r="AH387" s="223" t="s">
        <v>134</v>
      </c>
      <c r="AI387" s="219">
        <v>3.0</v>
      </c>
      <c r="AJ387" s="130">
        <v>0.11</v>
      </c>
      <c r="AK387" s="125" t="s">
        <v>172</v>
      </c>
      <c r="AL387" s="132" t="s">
        <v>186</v>
      </c>
      <c r="AM387" s="132" t="s">
        <v>141</v>
      </c>
      <c r="AN387" s="219" t="s">
        <v>138</v>
      </c>
      <c r="AO387" s="130">
        <v>27.0</v>
      </c>
      <c r="AP387" s="219" t="s">
        <v>2134</v>
      </c>
      <c r="AQ387" s="126" t="s">
        <v>134</v>
      </c>
      <c r="AR387" s="126" t="s">
        <v>882</v>
      </c>
      <c r="AS387" s="130">
        <v>0.73</v>
      </c>
      <c r="AT387" s="125" t="s">
        <v>335</v>
      </c>
      <c r="AU387" s="125" t="s">
        <v>186</v>
      </c>
      <c r="AV387" s="125" t="s">
        <v>141</v>
      </c>
      <c r="AW387" s="219" t="s">
        <v>138</v>
      </c>
      <c r="AX387" s="710" t="s">
        <v>438</v>
      </c>
      <c r="AY387" s="61" t="str">
        <f>IFERROR(__xludf.DUMMYFUNCTION("vlookup(BB387,importrange(""https://docs.google.com/spreadsheets/d/1d2vevQ_7D_v35q4wCQ4RpQ_IPoTwEMB9Yp6ymwlPqew/edit?gid=984458430#gid=984458430"", ""'replication success'!A:K""), 11, FAlSE)"),"successful")</f>
        <v>successful</v>
      </c>
      <c r="AZ387" s="61" t="str">
        <f>IFERROR(__xludf.DUMMYFUNCTION("vlookup(BB387,importrange(""https://docs.google.com/spreadsheets/d/1d2vevQ_7D_v35q4wCQ4RpQ_IPoTwEMB9Yp6ymwlPqew/edit?gid=984458430#gid=984458430"",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7" s="61" t="str">
        <f>IFERROR(__xludf.DUMMYFUNCTION("vlookup(BB387,importrange(""https://docs.google.com/spreadsheets/d/1d2vevQ_7D_v35q4wCQ4RpQ_IPoTwEMB9Yp6ymwlPqew/edit?gid=984458430#gid=984458430"", ""'replication success'!A:M""), 13, FAlSE)"),"abstract")</f>
        <v>abstract</v>
      </c>
      <c r="BB387" s="61" t="str">
        <f>IFERROR(__xludf.DUMMYFUNCTION("REGEXREPLACE(G387, ""_[a-z]{1,2}$"", """")"),"additional_studies56")</f>
        <v>additional_studies56</v>
      </c>
      <c r="BC387" s="61"/>
      <c r="BD387" s="124" t="s">
        <v>144</v>
      </c>
    </row>
    <row r="388" ht="20.25" customHeight="1">
      <c r="A388" s="44">
        <v>388.0</v>
      </c>
      <c r="B388" s="668" t="s">
        <v>152</v>
      </c>
      <c r="C388" s="668" t="s">
        <v>115</v>
      </c>
      <c r="D388" s="124" t="s">
        <v>1441</v>
      </c>
      <c r="E388" s="107"/>
      <c r="F388" s="122" t="s">
        <v>2110</v>
      </c>
      <c r="G388" s="126" t="s">
        <v>2139</v>
      </c>
      <c r="H388" s="126" t="s">
        <v>1540</v>
      </c>
      <c r="I388" s="568">
        <v>45640.0</v>
      </c>
      <c r="J388" s="569">
        <v>45671.0</v>
      </c>
      <c r="K388" s="132"/>
      <c r="L388" s="212" t="s">
        <v>2140</v>
      </c>
      <c r="M388" s="126" t="s">
        <v>2114</v>
      </c>
      <c r="N388" s="126" t="s">
        <v>2115</v>
      </c>
      <c r="O388" s="219">
        <v>1.0</v>
      </c>
      <c r="P388" s="223" t="str">
        <f t="shared" si="23"/>
        <v>10.1089--cyber.2015.0311.pdf</v>
      </c>
      <c r="Q388" s="52" t="str">
        <f t="array" ref="Q388"> if(iserror(MATCH(V388, 'File Links'!C:C, 0)), "N/A", HYPERLINK(INDEX('File Links'!B:B, MATCH(P388, 'File Links'!C:C, 0))))</f>
        <v>https://drive.google.com/file/d/1UOcUsx-QUxFrulQIBnkUuR_13YgQP2Vd/view?usp=drivesdk</v>
      </c>
      <c r="R388" s="126" t="s">
        <v>2116</v>
      </c>
      <c r="S388" s="126" t="s">
        <v>2117</v>
      </c>
      <c r="T388" s="132"/>
      <c r="U388" s="147">
        <v>1.0</v>
      </c>
      <c r="V388" s="112" t="str">
        <f t="shared" si="15"/>
        <v>10.1016--j.bbr.2024.115096.pdf</v>
      </c>
      <c r="W388" s="587" t="s">
        <v>1686</v>
      </c>
      <c r="X388" s="54" t="str">
        <f t="array" ref="X388"> if(iserror(MATCH(V388, 'File Links'!C:C, 0)), "N/A", HYPERLINK(INDEX('File Links'!B:B, MATCH(V388, 'File Links'!C:C, 0))))</f>
        <v>https://drive.google.com/file/d/1mK6ddl6CbjItWRFtU_KkouJP0UM3gV-6/view?usp=drivesdk</v>
      </c>
      <c r="Y388" s="132"/>
      <c r="Z388" s="126" t="s">
        <v>148</v>
      </c>
      <c r="AA388" s="126" t="s">
        <v>2118</v>
      </c>
      <c r="AB388" s="126" t="s">
        <v>2119</v>
      </c>
      <c r="AC388" s="126" t="s">
        <v>2141</v>
      </c>
      <c r="AD388" s="126" t="s">
        <v>2142</v>
      </c>
      <c r="AE388" s="130">
        <v>3.0</v>
      </c>
      <c r="AF388" s="130">
        <v>20.0</v>
      </c>
      <c r="AG388" s="126" t="s">
        <v>2143</v>
      </c>
      <c r="AH388" s="223" t="s">
        <v>134</v>
      </c>
      <c r="AI388" s="219">
        <v>3.0</v>
      </c>
      <c r="AJ388" s="714">
        <v>0.72</v>
      </c>
      <c r="AK388" s="125" t="s">
        <v>172</v>
      </c>
      <c r="AL388" s="132" t="s">
        <v>186</v>
      </c>
      <c r="AM388" s="132" t="s">
        <v>141</v>
      </c>
      <c r="AN388" s="219" t="s">
        <v>138</v>
      </c>
      <c r="AO388" s="130">
        <v>27.0</v>
      </c>
      <c r="AP388" s="130">
        <v>0.012</v>
      </c>
      <c r="AQ388" s="132" t="s">
        <v>139</v>
      </c>
      <c r="AR388" s="126" t="s">
        <v>882</v>
      </c>
      <c r="AS388" s="130">
        <v>0.002</v>
      </c>
      <c r="AT388" s="125" t="s">
        <v>172</v>
      </c>
      <c r="AU388" s="125" t="s">
        <v>186</v>
      </c>
      <c r="AV388" s="125" t="s">
        <v>141</v>
      </c>
      <c r="AW388" s="219" t="s">
        <v>138</v>
      </c>
      <c r="AX388" s="710" t="s">
        <v>438</v>
      </c>
      <c r="AY388" s="61" t="str">
        <f>IFERROR(__xludf.DUMMYFUNCTION("vlookup(BB388,importrange(""https://docs.google.com/spreadsheets/d/1d2vevQ_7D_v35q4wCQ4RpQ_IPoTwEMB9Yp6ymwlPqew/edit?gid=984458430#gid=984458430"", ""'replication success'!A:K""), 11, FAlSE)"),"successful")</f>
        <v>successful</v>
      </c>
      <c r="AZ388" s="61" t="str">
        <f>IFERROR(__xludf.DUMMYFUNCTION("vlookup(BB388,importrange(""https://docs.google.com/spreadsheets/d/1d2vevQ_7D_v35q4wCQ4RpQ_IPoTwEMB9Yp6ymwlPqew/edit?gid=984458430#gid=984458430"",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8" s="61" t="str">
        <f>IFERROR(__xludf.DUMMYFUNCTION("vlookup(BB388,importrange(""https://docs.google.com/spreadsheets/d/1d2vevQ_7D_v35q4wCQ4RpQ_IPoTwEMB9Yp6ymwlPqew/edit?gid=984458430#gid=984458430"", ""'replication success'!A:M""), 13, FAlSE)"),"abstract")</f>
        <v>abstract</v>
      </c>
      <c r="BB388" s="61" t="str">
        <f>IFERROR(__xludf.DUMMYFUNCTION("REGEXREPLACE(G388, ""_[a-z]{1,2}$"", """")"),"additional_studies56")</f>
        <v>additional_studies56</v>
      </c>
      <c r="BC388" s="129" t="s">
        <v>2140</v>
      </c>
      <c r="BD388" s="124" t="s">
        <v>144</v>
      </c>
    </row>
    <row r="389" ht="20.25" customHeight="1">
      <c r="A389" s="44">
        <v>389.0</v>
      </c>
      <c r="B389" s="668" t="s">
        <v>152</v>
      </c>
      <c r="C389" s="668" t="s">
        <v>115</v>
      </c>
      <c r="D389" s="124" t="s">
        <v>1441</v>
      </c>
      <c r="E389" s="107"/>
      <c r="F389" s="122" t="s">
        <v>2110</v>
      </c>
      <c r="G389" s="126" t="s">
        <v>2144</v>
      </c>
      <c r="H389" s="126" t="s">
        <v>1540</v>
      </c>
      <c r="I389" s="568">
        <v>45640.0</v>
      </c>
      <c r="J389" s="569">
        <v>45671.0</v>
      </c>
      <c r="K389" s="132"/>
      <c r="L389" s="132"/>
      <c r="M389" s="126" t="s">
        <v>2114</v>
      </c>
      <c r="N389" s="126" t="s">
        <v>2115</v>
      </c>
      <c r="O389" s="219">
        <v>1.0</v>
      </c>
      <c r="P389" s="223" t="str">
        <f t="shared" si="23"/>
        <v>10.1089--cyber.2015.0311.pdf</v>
      </c>
      <c r="Q389" s="52" t="str">
        <f t="array" ref="Q389"> if(iserror(MATCH(V389, 'File Links'!C:C, 0)), "N/A", HYPERLINK(INDEX('File Links'!B:B, MATCH(P389, 'File Links'!C:C, 0))))</f>
        <v>https://drive.google.com/file/d/1UOcUsx-QUxFrulQIBnkUuR_13YgQP2Vd/view?usp=drivesdk</v>
      </c>
      <c r="R389" s="126" t="s">
        <v>2116</v>
      </c>
      <c r="S389" s="126" t="s">
        <v>2117</v>
      </c>
      <c r="T389" s="132"/>
      <c r="U389" s="147">
        <v>1.0</v>
      </c>
      <c r="V389" s="112" t="str">
        <f t="shared" si="15"/>
        <v>10.1016--j.bbr.2024.115096.pdf</v>
      </c>
      <c r="W389" s="587" t="s">
        <v>1686</v>
      </c>
      <c r="X389" s="54" t="str">
        <f t="array" ref="X389"> if(iserror(MATCH(V389, 'File Links'!C:C, 0)), "N/A", HYPERLINK(INDEX('File Links'!B:B, MATCH(V389, 'File Links'!C:C, 0))))</f>
        <v>https://drive.google.com/file/d/1mK6ddl6CbjItWRFtU_KkouJP0UM3gV-6/view?usp=drivesdk</v>
      </c>
      <c r="Y389" s="132"/>
      <c r="Z389" s="126" t="s">
        <v>148</v>
      </c>
      <c r="AA389" s="126" t="s">
        <v>2118</v>
      </c>
      <c r="AB389" s="126" t="s">
        <v>2119</v>
      </c>
      <c r="AC389" s="126" t="s">
        <v>2145</v>
      </c>
      <c r="AD389" s="126" t="s">
        <v>2146</v>
      </c>
      <c r="AE389" s="130">
        <v>3.0</v>
      </c>
      <c r="AF389" s="130">
        <v>20.0</v>
      </c>
      <c r="AG389" s="130">
        <v>0.41</v>
      </c>
      <c r="AH389" s="318" t="s">
        <v>139</v>
      </c>
      <c r="AI389" s="219">
        <v>3.0</v>
      </c>
      <c r="AJ389" s="130">
        <v>0.002</v>
      </c>
      <c r="AK389" s="125" t="s">
        <v>172</v>
      </c>
      <c r="AL389" s="132" t="s">
        <v>186</v>
      </c>
      <c r="AM389" s="132" t="s">
        <v>141</v>
      </c>
      <c r="AN389" s="219" t="s">
        <v>138</v>
      </c>
      <c r="AO389" s="130">
        <v>27.0</v>
      </c>
      <c r="AP389" s="219" t="s">
        <v>2147</v>
      </c>
      <c r="AQ389" s="126" t="s">
        <v>134</v>
      </c>
      <c r="AR389" s="126" t="s">
        <v>882</v>
      </c>
      <c r="AS389" s="130">
        <v>0.999</v>
      </c>
      <c r="AT389" s="125" t="s">
        <v>335</v>
      </c>
      <c r="AU389" s="125" t="s">
        <v>186</v>
      </c>
      <c r="AV389" s="125" t="s">
        <v>141</v>
      </c>
      <c r="AW389" s="219" t="s">
        <v>138</v>
      </c>
      <c r="AX389" s="710" t="s">
        <v>438</v>
      </c>
      <c r="AY389" s="61" t="str">
        <f>IFERROR(__xludf.DUMMYFUNCTION("vlookup(BB389,importrange(""https://docs.google.com/spreadsheets/d/1d2vevQ_7D_v35q4wCQ4RpQ_IPoTwEMB9Yp6ymwlPqew/edit?gid=984458430#gid=984458430"", ""'replication success'!A:K""), 11, FAlSE)"),"successful")</f>
        <v>successful</v>
      </c>
      <c r="AZ389" s="61" t="str">
        <f>IFERROR(__xludf.DUMMYFUNCTION("vlookup(BB389,importrange(""https://docs.google.com/spreadsheets/d/1d2vevQ_7D_v35q4wCQ4RpQ_IPoTwEMB9Yp6ymwlPqew/edit?gid=984458430#gid=984458430"",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89" s="61" t="str">
        <f>IFERROR(__xludf.DUMMYFUNCTION("vlookup(BB389,importrange(""https://docs.google.com/spreadsheets/d/1d2vevQ_7D_v35q4wCQ4RpQ_IPoTwEMB9Yp6ymwlPqew/edit?gid=984458430#gid=984458430"", ""'replication success'!A:M""), 13, FAlSE)"),"abstract")</f>
        <v>abstract</v>
      </c>
      <c r="BB389" s="61" t="str">
        <f>IFERROR(__xludf.DUMMYFUNCTION("REGEXREPLACE(G389, ""_[a-z]{1,2}$"", """")"),"additional_studies56")</f>
        <v>additional_studies56</v>
      </c>
      <c r="BC389" s="61"/>
      <c r="BD389" s="124" t="s">
        <v>144</v>
      </c>
    </row>
    <row r="390" ht="20.25" customHeight="1">
      <c r="A390" s="44">
        <v>390.0</v>
      </c>
      <c r="B390" s="668" t="s">
        <v>152</v>
      </c>
      <c r="C390" s="668" t="s">
        <v>115</v>
      </c>
      <c r="D390" s="124" t="s">
        <v>1441</v>
      </c>
      <c r="E390" s="107"/>
      <c r="F390" s="122" t="s">
        <v>2110</v>
      </c>
      <c r="G390" s="126" t="s">
        <v>2148</v>
      </c>
      <c r="H390" s="126" t="s">
        <v>1540</v>
      </c>
      <c r="I390" s="568">
        <v>45640.0</v>
      </c>
      <c r="J390" s="569">
        <v>45671.0</v>
      </c>
      <c r="K390" s="126" t="s">
        <v>2112</v>
      </c>
      <c r="L390" s="219" t="s">
        <v>2149</v>
      </c>
      <c r="M390" s="126" t="s">
        <v>2114</v>
      </c>
      <c r="N390" s="126" t="s">
        <v>2115</v>
      </c>
      <c r="O390" s="219">
        <v>1.0</v>
      </c>
      <c r="P390" s="223" t="str">
        <f t="shared" si="23"/>
        <v>10.1089--cyber.2015.0311.pdf</v>
      </c>
      <c r="Q390" s="52" t="str">
        <f t="array" ref="Q390"> if(iserror(MATCH(V390, 'File Links'!C:C, 0)), "N/A", HYPERLINK(INDEX('File Links'!B:B, MATCH(P390, 'File Links'!C:C, 0))))</f>
        <v>https://drive.google.com/file/d/1UOcUsx-QUxFrulQIBnkUuR_13YgQP2Vd/view?usp=drivesdk</v>
      </c>
      <c r="R390" s="126" t="s">
        <v>2116</v>
      </c>
      <c r="S390" s="126" t="s">
        <v>2117</v>
      </c>
      <c r="T390" s="132"/>
      <c r="U390" s="147">
        <v>1.0</v>
      </c>
      <c r="V390" s="112" t="str">
        <f t="shared" si="15"/>
        <v>10.1016--j.bbr.2024.115096.pdf</v>
      </c>
      <c r="W390" s="587" t="s">
        <v>1686</v>
      </c>
      <c r="X390" s="54" t="str">
        <f t="array" ref="X390"> if(iserror(MATCH(V390, 'File Links'!C:C, 0)), "N/A", HYPERLINK(INDEX('File Links'!B:B, MATCH(V390, 'File Links'!C:C, 0))))</f>
        <v>https://drive.google.com/file/d/1mK6ddl6CbjItWRFtU_KkouJP0UM3gV-6/view?usp=drivesdk</v>
      </c>
      <c r="Y390" s="132"/>
      <c r="Z390" s="126" t="s">
        <v>148</v>
      </c>
      <c r="AA390" s="126" t="s">
        <v>2118</v>
      </c>
      <c r="AB390" s="126" t="s">
        <v>2119</v>
      </c>
      <c r="AC390" s="126" t="s">
        <v>2150</v>
      </c>
      <c r="AD390" s="126" t="s">
        <v>2151</v>
      </c>
      <c r="AE390" s="130">
        <v>3.0</v>
      </c>
      <c r="AF390" s="130">
        <v>20.0</v>
      </c>
      <c r="AG390" s="130">
        <v>0.19</v>
      </c>
      <c r="AH390" s="318" t="s">
        <v>139</v>
      </c>
      <c r="AI390" s="219">
        <v>3.0</v>
      </c>
      <c r="AJ390" s="130">
        <v>0.05</v>
      </c>
      <c r="AK390" s="125" t="s">
        <v>172</v>
      </c>
      <c r="AL390" s="132" t="s">
        <v>186</v>
      </c>
      <c r="AM390" s="132" t="s">
        <v>141</v>
      </c>
      <c r="AN390" s="219" t="s">
        <v>138</v>
      </c>
      <c r="AO390" s="130">
        <v>27.0</v>
      </c>
      <c r="AP390" s="132" t="s">
        <v>2152</v>
      </c>
      <c r="AQ390" s="132" t="s">
        <v>215</v>
      </c>
      <c r="AR390" s="126" t="s">
        <v>882</v>
      </c>
      <c r="AS390" s="130">
        <v>0.001</v>
      </c>
      <c r="AT390" s="125" t="s">
        <v>135</v>
      </c>
      <c r="AU390" s="125" t="s">
        <v>186</v>
      </c>
      <c r="AV390" s="125" t="s">
        <v>141</v>
      </c>
      <c r="AW390" s="219" t="s">
        <v>138</v>
      </c>
      <c r="AX390" s="710" t="s">
        <v>438</v>
      </c>
      <c r="AY390" s="61" t="str">
        <f>IFERROR(__xludf.DUMMYFUNCTION("vlookup(BB390,importrange(""https://docs.google.com/spreadsheets/d/1d2vevQ_7D_v35q4wCQ4RpQ_IPoTwEMB9Yp6ymwlPqew/edit?gid=984458430#gid=984458430"", ""'replication success'!A:K""), 11, FAlSE)"),"successful")</f>
        <v>successful</v>
      </c>
      <c r="AZ390" s="61" t="str">
        <f>IFERROR(__xludf.DUMMYFUNCTION("vlookup(BB390,importrange(""https://docs.google.com/spreadsheets/d/1d2vevQ_7D_v35q4wCQ4RpQ_IPoTwEMB9Yp6ymwlPqew/edit?gid=984458430#gid=984458430"",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0" s="61" t="str">
        <f>IFERROR(__xludf.DUMMYFUNCTION("vlookup(BB390,importrange(""https://docs.google.com/spreadsheets/d/1d2vevQ_7D_v35q4wCQ4RpQ_IPoTwEMB9Yp6ymwlPqew/edit?gid=984458430#gid=984458430"", ""'replication success'!A:M""), 13, FAlSE)"),"abstract")</f>
        <v>abstract</v>
      </c>
      <c r="BB390" s="61" t="str">
        <f>IFERROR(__xludf.DUMMYFUNCTION("REGEXREPLACE(G390, ""_[a-z]{1,2}$"", """")"),"additional_studies56")</f>
        <v>additional_studies56</v>
      </c>
      <c r="BC390" s="129" t="s">
        <v>2149</v>
      </c>
      <c r="BD390" s="124" t="s">
        <v>144</v>
      </c>
    </row>
    <row r="391" ht="20.25" customHeight="1">
      <c r="A391" s="44">
        <v>391.0</v>
      </c>
      <c r="B391" s="668" t="s">
        <v>152</v>
      </c>
      <c r="C391" s="668" t="s">
        <v>115</v>
      </c>
      <c r="D391" s="124" t="s">
        <v>1441</v>
      </c>
      <c r="E391" s="107"/>
      <c r="F391" s="122" t="s">
        <v>2110</v>
      </c>
      <c r="G391" s="126" t="s">
        <v>2153</v>
      </c>
      <c r="H391" s="126" t="s">
        <v>1540</v>
      </c>
      <c r="I391" s="568">
        <v>45640.0</v>
      </c>
      <c r="J391" s="569">
        <v>45671.0</v>
      </c>
      <c r="K391" s="126" t="s">
        <v>2112</v>
      </c>
      <c r="L391" s="132"/>
      <c r="M391" s="126" t="s">
        <v>2114</v>
      </c>
      <c r="N391" s="126" t="s">
        <v>2115</v>
      </c>
      <c r="O391" s="219">
        <v>1.0</v>
      </c>
      <c r="P391" s="223" t="str">
        <f t="shared" si="23"/>
        <v>10.1089--cyber.2015.0311.pdf</v>
      </c>
      <c r="Q391" s="52" t="str">
        <f t="array" ref="Q391"> if(iserror(MATCH(V391, 'File Links'!C:C, 0)), "N/A", HYPERLINK(INDEX('File Links'!B:B, MATCH(P391, 'File Links'!C:C, 0))))</f>
        <v>https://drive.google.com/file/d/1UOcUsx-QUxFrulQIBnkUuR_13YgQP2Vd/view?usp=drivesdk</v>
      </c>
      <c r="R391" s="126" t="s">
        <v>2116</v>
      </c>
      <c r="S391" s="126" t="s">
        <v>2117</v>
      </c>
      <c r="T391" s="132"/>
      <c r="U391" s="147">
        <v>1.0</v>
      </c>
      <c r="V391" s="112" t="str">
        <f t="shared" si="15"/>
        <v>10.1016--j.bbr.2024.115096.pdf</v>
      </c>
      <c r="W391" s="587" t="s">
        <v>1686</v>
      </c>
      <c r="X391" s="54" t="str">
        <f t="array" ref="X391"> if(iserror(MATCH(V391, 'File Links'!C:C, 0)), "N/A", HYPERLINK(INDEX('File Links'!B:B, MATCH(V391, 'File Links'!C:C, 0))))</f>
        <v>https://drive.google.com/file/d/1mK6ddl6CbjItWRFtU_KkouJP0UM3gV-6/view?usp=drivesdk</v>
      </c>
      <c r="Y391" s="132"/>
      <c r="Z391" s="126" t="s">
        <v>148</v>
      </c>
      <c r="AA391" s="126" t="s">
        <v>2118</v>
      </c>
      <c r="AB391" s="126" t="s">
        <v>2119</v>
      </c>
      <c r="AC391" s="126" t="s">
        <v>2154</v>
      </c>
      <c r="AD391" s="126" t="s">
        <v>2151</v>
      </c>
      <c r="AE391" s="130">
        <v>3.0</v>
      </c>
      <c r="AF391" s="130">
        <v>20.0</v>
      </c>
      <c r="AG391" s="130">
        <v>0.19</v>
      </c>
      <c r="AH391" s="318" t="s">
        <v>139</v>
      </c>
      <c r="AI391" s="219">
        <v>3.0</v>
      </c>
      <c r="AJ391" s="130">
        <v>0.05</v>
      </c>
      <c r="AK391" s="125" t="s">
        <v>172</v>
      </c>
      <c r="AL391" s="132" t="s">
        <v>186</v>
      </c>
      <c r="AM391" s="132" t="s">
        <v>141</v>
      </c>
      <c r="AN391" s="219" t="s">
        <v>138</v>
      </c>
      <c r="AO391" s="130">
        <v>27.0</v>
      </c>
      <c r="AP391" s="132" t="s">
        <v>2155</v>
      </c>
      <c r="AQ391" s="126" t="s">
        <v>134</v>
      </c>
      <c r="AR391" s="126" t="s">
        <v>882</v>
      </c>
      <c r="AS391" s="130">
        <v>0.999</v>
      </c>
      <c r="AT391" s="125" t="s">
        <v>335</v>
      </c>
      <c r="AU391" s="125" t="s">
        <v>186</v>
      </c>
      <c r="AV391" s="125" t="s">
        <v>141</v>
      </c>
      <c r="AW391" s="219" t="s">
        <v>138</v>
      </c>
      <c r="AX391" s="710" t="s">
        <v>438</v>
      </c>
      <c r="AY391" s="61" t="str">
        <f>IFERROR(__xludf.DUMMYFUNCTION("vlookup(BB391,importrange(""https://docs.google.com/spreadsheets/d/1d2vevQ_7D_v35q4wCQ4RpQ_IPoTwEMB9Yp6ymwlPqew/edit?gid=984458430#gid=984458430"", ""'replication success'!A:K""), 11, FAlSE)"),"successful")</f>
        <v>successful</v>
      </c>
      <c r="AZ391" s="61" t="str">
        <f>IFERROR(__xludf.DUMMYFUNCTION("vlookup(BB391,importrange(""https://docs.google.com/spreadsheets/d/1d2vevQ_7D_v35q4wCQ4RpQ_IPoTwEMB9Yp6ymwlPqew/edit?gid=984458430#gid=984458430"",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1" s="61" t="str">
        <f>IFERROR(__xludf.DUMMYFUNCTION("vlookup(BB391,importrange(""https://docs.google.com/spreadsheets/d/1d2vevQ_7D_v35q4wCQ4RpQ_IPoTwEMB9Yp6ymwlPqew/edit?gid=984458430#gid=984458430"", ""'replication success'!A:M""), 13, FAlSE)"),"abstract")</f>
        <v>abstract</v>
      </c>
      <c r="BB391" s="61" t="str">
        <f>IFERROR(__xludf.DUMMYFUNCTION("REGEXREPLACE(G391, ""_[a-z]{1,2}$"", """")"),"additional_studies56")</f>
        <v>additional_studies56</v>
      </c>
      <c r="BC391" s="61"/>
      <c r="BD391" s="124" t="s">
        <v>144</v>
      </c>
    </row>
    <row r="392" ht="20.25" customHeight="1">
      <c r="A392" s="44">
        <v>392.0</v>
      </c>
      <c r="B392" s="668" t="s">
        <v>152</v>
      </c>
      <c r="C392" s="668" t="s">
        <v>115</v>
      </c>
      <c r="D392" s="124" t="s">
        <v>1441</v>
      </c>
      <c r="E392" s="107"/>
      <c r="F392" s="122" t="s">
        <v>2110</v>
      </c>
      <c r="G392" s="126" t="s">
        <v>2156</v>
      </c>
      <c r="H392" s="126" t="s">
        <v>1540</v>
      </c>
      <c r="I392" s="568">
        <v>45640.0</v>
      </c>
      <c r="J392" s="569">
        <v>45671.0</v>
      </c>
      <c r="K392" s="132"/>
      <c r="L392" s="132"/>
      <c r="M392" s="126" t="s">
        <v>2114</v>
      </c>
      <c r="N392" s="126" t="s">
        <v>2115</v>
      </c>
      <c r="O392" s="219">
        <v>1.0</v>
      </c>
      <c r="P392" s="223" t="str">
        <f t="shared" si="23"/>
        <v>10.1089--cyber.2015.0311.pdf</v>
      </c>
      <c r="Q392" s="52" t="str">
        <f t="array" ref="Q392"> if(iserror(MATCH(V392, 'File Links'!C:C, 0)), "N/A", HYPERLINK(INDEX('File Links'!B:B, MATCH(P392, 'File Links'!C:C, 0))))</f>
        <v>https://drive.google.com/file/d/1UOcUsx-QUxFrulQIBnkUuR_13YgQP2Vd/view?usp=drivesdk</v>
      </c>
      <c r="R392" s="126" t="s">
        <v>2116</v>
      </c>
      <c r="S392" s="126" t="s">
        <v>2117</v>
      </c>
      <c r="T392" s="132"/>
      <c r="U392" s="147">
        <v>1.0</v>
      </c>
      <c r="V392" s="112" t="str">
        <f t="shared" si="15"/>
        <v>10.1016--j.bbr.2024.115096.pdf</v>
      </c>
      <c r="W392" s="587" t="s">
        <v>1686</v>
      </c>
      <c r="X392" s="54" t="str">
        <f t="array" ref="X392"> if(iserror(MATCH(V392, 'File Links'!C:C, 0)), "N/A", HYPERLINK(INDEX('File Links'!B:B, MATCH(V392, 'File Links'!C:C, 0))))</f>
        <v>https://drive.google.com/file/d/1mK6ddl6CbjItWRFtU_KkouJP0UM3gV-6/view?usp=drivesdk</v>
      </c>
      <c r="Y392" s="132"/>
      <c r="Z392" s="126" t="s">
        <v>148</v>
      </c>
      <c r="AA392" s="126" t="s">
        <v>2118</v>
      </c>
      <c r="AB392" s="126" t="s">
        <v>2119</v>
      </c>
      <c r="AC392" s="126" t="s">
        <v>2157</v>
      </c>
      <c r="AD392" s="126" t="s">
        <v>2158</v>
      </c>
      <c r="AE392" s="130">
        <v>3.0</v>
      </c>
      <c r="AF392" s="130">
        <v>20.0</v>
      </c>
      <c r="AG392" s="126" t="s">
        <v>2159</v>
      </c>
      <c r="AH392" s="223" t="s">
        <v>134</v>
      </c>
      <c r="AI392" s="219">
        <v>3.0</v>
      </c>
      <c r="AJ392" s="130">
        <v>0.29</v>
      </c>
      <c r="AK392" s="125" t="s">
        <v>172</v>
      </c>
      <c r="AL392" s="132" t="s">
        <v>186</v>
      </c>
      <c r="AM392" s="132" t="s">
        <v>141</v>
      </c>
      <c r="AN392" s="219" t="s">
        <v>138</v>
      </c>
      <c r="AO392" s="130">
        <v>27.0</v>
      </c>
      <c r="AP392" s="130">
        <v>0.21</v>
      </c>
      <c r="AQ392" s="132" t="s">
        <v>139</v>
      </c>
      <c r="AR392" s="225" t="s">
        <v>813</v>
      </c>
      <c r="AS392" s="130">
        <v>0.001</v>
      </c>
      <c r="AT392" s="125" t="s">
        <v>135</v>
      </c>
      <c r="AU392" s="125" t="s">
        <v>186</v>
      </c>
      <c r="AV392" s="125" t="s">
        <v>141</v>
      </c>
      <c r="AW392" s="219" t="s">
        <v>138</v>
      </c>
      <c r="AX392" s="710" t="s">
        <v>438</v>
      </c>
      <c r="AY392" s="61" t="str">
        <f>IFERROR(__xludf.DUMMYFUNCTION("vlookup(BB392,importrange(""https://docs.google.com/spreadsheets/d/1d2vevQ_7D_v35q4wCQ4RpQ_IPoTwEMB9Yp6ymwlPqew/edit?gid=984458430#gid=984458430"", ""'replication success'!A:K""), 11, FAlSE)"),"successful")</f>
        <v>successful</v>
      </c>
      <c r="AZ392" s="61" t="str">
        <f>IFERROR(__xludf.DUMMYFUNCTION("vlookup(BB392,importrange(""https://docs.google.com/spreadsheets/d/1d2vevQ_7D_v35q4wCQ4RpQ_IPoTwEMB9Yp6ymwlPqew/edit?gid=984458430#gid=984458430"",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2" s="61" t="str">
        <f>IFERROR(__xludf.DUMMYFUNCTION("vlookup(BB392,importrange(""https://docs.google.com/spreadsheets/d/1d2vevQ_7D_v35q4wCQ4RpQ_IPoTwEMB9Yp6ymwlPqew/edit?gid=984458430#gid=984458430"", ""'replication success'!A:M""), 13, FAlSE)"),"abstract")</f>
        <v>abstract</v>
      </c>
      <c r="BB392" s="61" t="str">
        <f>IFERROR(__xludf.DUMMYFUNCTION("REGEXREPLACE(G392, ""_[a-z]{1,2}$"", """")"),"additional_studies56")</f>
        <v>additional_studies56</v>
      </c>
      <c r="BC392" s="61"/>
      <c r="BD392" s="124" t="s">
        <v>144</v>
      </c>
    </row>
    <row r="393" ht="20.25" customHeight="1">
      <c r="A393" s="44">
        <v>393.0</v>
      </c>
      <c r="B393" s="668" t="s">
        <v>152</v>
      </c>
      <c r="C393" s="668" t="s">
        <v>115</v>
      </c>
      <c r="D393" s="124" t="s">
        <v>1441</v>
      </c>
      <c r="E393" s="107"/>
      <c r="F393" s="122" t="s">
        <v>2110</v>
      </c>
      <c r="G393" s="126" t="s">
        <v>2160</v>
      </c>
      <c r="H393" s="126" t="s">
        <v>1540</v>
      </c>
      <c r="I393" s="568">
        <v>45640.0</v>
      </c>
      <c r="J393" s="569">
        <v>45671.0</v>
      </c>
      <c r="K393" s="132"/>
      <c r="L393" s="132"/>
      <c r="M393" s="126" t="s">
        <v>2114</v>
      </c>
      <c r="N393" s="126" t="s">
        <v>2115</v>
      </c>
      <c r="O393" s="219">
        <v>1.0</v>
      </c>
      <c r="P393" s="223" t="str">
        <f t="shared" si="23"/>
        <v>10.1089--cyber.2015.0311.pdf</v>
      </c>
      <c r="Q393" s="52" t="str">
        <f t="array" ref="Q393"> if(iserror(MATCH(V393, 'File Links'!C:C, 0)), "N/A", HYPERLINK(INDEX('File Links'!B:B, MATCH(P393, 'File Links'!C:C, 0))))</f>
        <v>https://drive.google.com/file/d/1UOcUsx-QUxFrulQIBnkUuR_13YgQP2Vd/view?usp=drivesdk</v>
      </c>
      <c r="R393" s="126" t="s">
        <v>2116</v>
      </c>
      <c r="S393" s="126" t="s">
        <v>2117</v>
      </c>
      <c r="T393" s="132"/>
      <c r="U393" s="147">
        <v>1.0</v>
      </c>
      <c r="V393" s="112" t="str">
        <f t="shared" si="15"/>
        <v>10.1016--j.bbr.2024.115096.pdf</v>
      </c>
      <c r="W393" s="587" t="s">
        <v>1686</v>
      </c>
      <c r="X393" s="54" t="str">
        <f t="array" ref="X393"> if(iserror(MATCH(V393, 'File Links'!C:C, 0)), "N/A", HYPERLINK(INDEX('File Links'!B:B, MATCH(V393, 'File Links'!C:C, 0))))</f>
        <v>https://drive.google.com/file/d/1mK6ddl6CbjItWRFtU_KkouJP0UM3gV-6/view?usp=drivesdk</v>
      </c>
      <c r="Y393" s="132"/>
      <c r="Z393" s="126" t="s">
        <v>148</v>
      </c>
      <c r="AA393" s="126" t="s">
        <v>2118</v>
      </c>
      <c r="AB393" s="126" t="s">
        <v>2119</v>
      </c>
      <c r="AC393" s="126" t="s">
        <v>2161</v>
      </c>
      <c r="AD393" s="126" t="s">
        <v>2162</v>
      </c>
      <c r="AE393" s="130">
        <v>3.0</v>
      </c>
      <c r="AF393" s="130">
        <v>20.0</v>
      </c>
      <c r="AG393" s="130">
        <v>0.16</v>
      </c>
      <c r="AH393" s="223" t="s">
        <v>173</v>
      </c>
      <c r="AI393" s="219">
        <v>3.0</v>
      </c>
      <c r="AJ393" s="130">
        <v>0.002</v>
      </c>
      <c r="AK393" s="125" t="s">
        <v>172</v>
      </c>
      <c r="AL393" s="132" t="s">
        <v>186</v>
      </c>
      <c r="AM393" s="132" t="s">
        <v>141</v>
      </c>
      <c r="AN393" s="219" t="s">
        <v>138</v>
      </c>
      <c r="AO393" s="130">
        <v>27.0</v>
      </c>
      <c r="AP393" s="130">
        <v>0.16</v>
      </c>
      <c r="AQ393" s="132" t="s">
        <v>139</v>
      </c>
      <c r="AR393" s="225" t="s">
        <v>140</v>
      </c>
      <c r="AS393" s="130">
        <v>0.003</v>
      </c>
      <c r="AT393" s="125" t="s">
        <v>172</v>
      </c>
      <c r="AU393" s="125" t="s">
        <v>186</v>
      </c>
      <c r="AV393" s="125" t="s">
        <v>141</v>
      </c>
      <c r="AW393" s="219" t="s">
        <v>138</v>
      </c>
      <c r="AX393" s="710" t="s">
        <v>438</v>
      </c>
      <c r="AY393" s="61" t="str">
        <f>IFERROR(__xludf.DUMMYFUNCTION("vlookup(BB393,importrange(""https://docs.google.com/spreadsheets/d/1d2vevQ_7D_v35q4wCQ4RpQ_IPoTwEMB9Yp6ymwlPqew/edit?gid=984458430#gid=984458430"", ""'replication success'!A:K""), 11, FAlSE)"),"successful")</f>
        <v>successful</v>
      </c>
      <c r="AZ393" s="61" t="str">
        <f>IFERROR(__xludf.DUMMYFUNCTION("vlookup(BB393,importrange(""https://docs.google.com/spreadsheets/d/1d2vevQ_7D_v35q4wCQ4RpQ_IPoTwEMB9Yp6ymwlPqew/edit?gid=984458430#gid=984458430"",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3" s="61" t="str">
        <f>IFERROR(__xludf.DUMMYFUNCTION("vlookup(BB393,importrange(""https://docs.google.com/spreadsheets/d/1d2vevQ_7D_v35q4wCQ4RpQ_IPoTwEMB9Yp6ymwlPqew/edit?gid=984458430#gid=984458430"", ""'replication success'!A:M""), 13, FAlSE)"),"abstract")</f>
        <v>abstract</v>
      </c>
      <c r="BB393" s="61" t="str">
        <f>IFERROR(__xludf.DUMMYFUNCTION("REGEXREPLACE(G393, ""_[a-z]{1,2}$"", """")"),"additional_studies56")</f>
        <v>additional_studies56</v>
      </c>
      <c r="BC393" s="61"/>
      <c r="BD393" s="124" t="s">
        <v>144</v>
      </c>
    </row>
    <row r="394" ht="20.25" customHeight="1">
      <c r="A394" s="44">
        <v>394.0</v>
      </c>
      <c r="B394" s="668" t="s">
        <v>152</v>
      </c>
      <c r="C394" s="668" t="s">
        <v>115</v>
      </c>
      <c r="D394" s="124" t="s">
        <v>1441</v>
      </c>
      <c r="E394" s="107"/>
      <c r="F394" s="122" t="s">
        <v>2110</v>
      </c>
      <c r="G394" s="126" t="s">
        <v>2163</v>
      </c>
      <c r="H394" s="126" t="s">
        <v>1540</v>
      </c>
      <c r="I394" s="568">
        <v>45640.0</v>
      </c>
      <c r="J394" s="569">
        <v>45671.0</v>
      </c>
      <c r="K394" s="132"/>
      <c r="L394" s="132"/>
      <c r="M394" s="126" t="s">
        <v>2114</v>
      </c>
      <c r="N394" s="126" t="s">
        <v>2115</v>
      </c>
      <c r="O394" s="219">
        <v>1.0</v>
      </c>
      <c r="P394" s="223" t="str">
        <f t="shared" si="23"/>
        <v>10.1089--cyber.2015.0311.pdf</v>
      </c>
      <c r="Q394" s="52" t="str">
        <f t="array" ref="Q394"> if(iserror(MATCH(V394, 'File Links'!C:C, 0)), "N/A", HYPERLINK(INDEX('File Links'!B:B, MATCH(P394, 'File Links'!C:C, 0))))</f>
        <v>https://drive.google.com/file/d/1UOcUsx-QUxFrulQIBnkUuR_13YgQP2Vd/view?usp=drivesdk</v>
      </c>
      <c r="R394" s="126" t="s">
        <v>2116</v>
      </c>
      <c r="S394" s="126" t="s">
        <v>2117</v>
      </c>
      <c r="T394" s="132"/>
      <c r="U394" s="147">
        <v>1.0</v>
      </c>
      <c r="V394" s="112" t="str">
        <f t="shared" si="15"/>
        <v>10.1016--j.bbr.2024.115096.pdf</v>
      </c>
      <c r="W394" s="587" t="s">
        <v>1686</v>
      </c>
      <c r="X394" s="54" t="str">
        <f t="array" ref="X394"> if(iserror(MATCH(V394, 'File Links'!C:C, 0)), "N/A", HYPERLINK(INDEX('File Links'!B:B, MATCH(V394, 'File Links'!C:C, 0))))</f>
        <v>https://drive.google.com/file/d/1mK6ddl6CbjItWRFtU_KkouJP0UM3gV-6/view?usp=drivesdk</v>
      </c>
      <c r="Y394" s="132"/>
      <c r="Z394" s="126" t="s">
        <v>148</v>
      </c>
      <c r="AA394" s="126" t="s">
        <v>2118</v>
      </c>
      <c r="AB394" s="126" t="s">
        <v>2119</v>
      </c>
      <c r="AC394" s="126" t="s">
        <v>2164</v>
      </c>
      <c r="AD394" s="126" t="s">
        <v>2165</v>
      </c>
      <c r="AE394" s="130">
        <v>4.0</v>
      </c>
      <c r="AF394" s="130">
        <v>20.0</v>
      </c>
      <c r="AG394" s="130">
        <v>0.28</v>
      </c>
      <c r="AH394" s="223" t="s">
        <v>173</v>
      </c>
      <c r="AI394" s="219">
        <v>4.0</v>
      </c>
      <c r="AJ394" s="130">
        <v>0.09</v>
      </c>
      <c r="AK394" s="125" t="s">
        <v>172</v>
      </c>
      <c r="AL394" s="132" t="s">
        <v>186</v>
      </c>
      <c r="AM394" s="132" t="s">
        <v>141</v>
      </c>
      <c r="AN394" s="219" t="s">
        <v>138</v>
      </c>
      <c r="AO394" s="130">
        <v>27.0</v>
      </c>
      <c r="AP394" s="132" t="s">
        <v>2166</v>
      </c>
      <c r="AQ394" s="126" t="s">
        <v>134</v>
      </c>
      <c r="AR394" s="225" t="s">
        <v>813</v>
      </c>
      <c r="AS394" s="130">
        <v>0.572</v>
      </c>
      <c r="AT394" s="125" t="s">
        <v>335</v>
      </c>
      <c r="AU394" s="125" t="s">
        <v>186</v>
      </c>
      <c r="AV394" s="125" t="s">
        <v>141</v>
      </c>
      <c r="AW394" s="219" t="s">
        <v>138</v>
      </c>
      <c r="AX394" s="710" t="s">
        <v>438</v>
      </c>
      <c r="AY394" s="61" t="str">
        <f>IFERROR(__xludf.DUMMYFUNCTION("vlookup(BB394,importrange(""https://docs.google.com/spreadsheets/d/1d2vevQ_7D_v35q4wCQ4RpQ_IPoTwEMB9Yp6ymwlPqew/edit?gid=984458430#gid=984458430"", ""'replication success'!A:K""), 11, FAlSE)"),"successful")</f>
        <v>successful</v>
      </c>
      <c r="AZ394" s="61" t="str">
        <f>IFERROR(__xludf.DUMMYFUNCTION("vlookup(BB394,importrange(""https://docs.google.com/spreadsheets/d/1d2vevQ_7D_v35q4wCQ4RpQ_IPoTwEMB9Yp6ymwlPqew/edit?gid=984458430#gid=984458430"",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4" s="61" t="str">
        <f>IFERROR(__xludf.DUMMYFUNCTION("vlookup(BB394,importrange(""https://docs.google.com/spreadsheets/d/1d2vevQ_7D_v35q4wCQ4RpQ_IPoTwEMB9Yp6ymwlPqew/edit?gid=984458430#gid=984458430"", ""'replication success'!A:M""), 13, FAlSE)"),"abstract")</f>
        <v>abstract</v>
      </c>
      <c r="BB394" s="61" t="str">
        <f>IFERROR(__xludf.DUMMYFUNCTION("REGEXREPLACE(G394, ""_[a-z]{1,2}$"", """")"),"additional_studies56")</f>
        <v>additional_studies56</v>
      </c>
      <c r="BC394" s="61"/>
      <c r="BD394" s="124" t="s">
        <v>144</v>
      </c>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c r="DF394" s="71"/>
      <c r="DG394" s="71"/>
      <c r="DH394" s="71"/>
      <c r="DI394" s="71"/>
      <c r="DJ394" s="71"/>
      <c r="DK394" s="71"/>
      <c r="DL394" s="71"/>
    </row>
    <row r="395" ht="20.25" customHeight="1">
      <c r="A395" s="44">
        <v>395.0</v>
      </c>
      <c r="B395" s="668" t="s">
        <v>152</v>
      </c>
      <c r="C395" s="668" t="s">
        <v>115</v>
      </c>
      <c r="D395" s="124" t="s">
        <v>1441</v>
      </c>
      <c r="E395" s="107"/>
      <c r="F395" s="122" t="s">
        <v>2110</v>
      </c>
      <c r="G395" s="126" t="s">
        <v>2167</v>
      </c>
      <c r="H395" s="126" t="s">
        <v>1540</v>
      </c>
      <c r="I395" s="568">
        <v>45640.0</v>
      </c>
      <c r="J395" s="569">
        <v>45671.0</v>
      </c>
      <c r="K395" s="126" t="s">
        <v>2168</v>
      </c>
      <c r="L395" s="219" t="s">
        <v>2169</v>
      </c>
      <c r="M395" s="126" t="s">
        <v>2114</v>
      </c>
      <c r="N395" s="126" t="s">
        <v>2115</v>
      </c>
      <c r="O395" s="219">
        <v>1.0</v>
      </c>
      <c r="P395" s="223" t="str">
        <f t="shared" si="23"/>
        <v>10.1089--cyber.2015.0311.pdf</v>
      </c>
      <c r="Q395" s="52" t="str">
        <f t="array" ref="Q395"> if(iserror(MATCH(V395, 'File Links'!C:C, 0)), "N/A", HYPERLINK(INDEX('File Links'!B:B, MATCH(P395, 'File Links'!C:C, 0))))</f>
        <v>https://drive.google.com/file/d/1UOcUsx-QUxFrulQIBnkUuR_13YgQP2Vd/view?usp=drivesdk</v>
      </c>
      <c r="R395" s="126" t="s">
        <v>2116</v>
      </c>
      <c r="S395" s="126" t="s">
        <v>2117</v>
      </c>
      <c r="T395" s="132"/>
      <c r="U395" s="147">
        <v>1.0</v>
      </c>
      <c r="V395" s="112" t="str">
        <f t="shared" si="15"/>
        <v>10.1016--j.bbr.2024.115096.pdf</v>
      </c>
      <c r="W395" s="587" t="s">
        <v>1686</v>
      </c>
      <c r="X395" s="54" t="str">
        <f t="array" ref="X395"> if(iserror(MATCH(V395, 'File Links'!C:C, 0)), "N/A", HYPERLINK(INDEX('File Links'!B:B, MATCH(V395, 'File Links'!C:C, 0))))</f>
        <v>https://drive.google.com/file/d/1mK6ddl6CbjItWRFtU_KkouJP0UM3gV-6/view?usp=drivesdk</v>
      </c>
      <c r="Y395" s="132"/>
      <c r="Z395" s="126" t="s">
        <v>148</v>
      </c>
      <c r="AA395" s="126" t="s">
        <v>2118</v>
      </c>
      <c r="AB395" s="126" t="s">
        <v>2119</v>
      </c>
      <c r="AC395" s="126" t="s">
        <v>2170</v>
      </c>
      <c r="AD395" s="126" t="s">
        <v>2171</v>
      </c>
      <c r="AE395" s="130">
        <v>4.0</v>
      </c>
      <c r="AF395" s="130">
        <v>20.0</v>
      </c>
      <c r="AG395" s="130">
        <v>0.428</v>
      </c>
      <c r="AH395" s="223" t="s">
        <v>215</v>
      </c>
      <c r="AI395" s="219">
        <v>4.0</v>
      </c>
      <c r="AJ395" s="130">
        <v>0.03</v>
      </c>
      <c r="AK395" s="125" t="s">
        <v>172</v>
      </c>
      <c r="AL395" s="715" t="s">
        <v>186</v>
      </c>
      <c r="AM395" s="132" t="s">
        <v>137</v>
      </c>
      <c r="AN395" s="219" t="s">
        <v>138</v>
      </c>
      <c r="AO395" s="130">
        <v>27.0</v>
      </c>
      <c r="AP395" s="119" t="s">
        <v>138</v>
      </c>
      <c r="AQ395" s="126"/>
      <c r="AR395" s="225" t="s">
        <v>813</v>
      </c>
      <c r="AS395" s="119" t="s">
        <v>138</v>
      </c>
      <c r="AT395" s="119" t="s">
        <v>138</v>
      </c>
      <c r="AU395" s="125" t="s">
        <v>186</v>
      </c>
      <c r="AV395" s="125" t="s">
        <v>141</v>
      </c>
      <c r="AW395" s="219" t="s">
        <v>138</v>
      </c>
      <c r="AX395" s="710" t="s">
        <v>438</v>
      </c>
      <c r="AY395" s="61" t="str">
        <f>IFERROR(__xludf.DUMMYFUNCTION("vlookup(BB395,importrange(""https://docs.google.com/spreadsheets/d/1d2vevQ_7D_v35q4wCQ4RpQ_IPoTwEMB9Yp6ymwlPqew/edit?gid=984458430#gid=984458430"", ""'replication success'!A:K""), 11, FAlSE)"),"successful")</f>
        <v>successful</v>
      </c>
      <c r="AZ395" s="61" t="str">
        <f>IFERROR(__xludf.DUMMYFUNCTION("vlookup(BB395,importrange(""https://docs.google.com/spreadsheets/d/1d2vevQ_7D_v35q4wCQ4RpQ_IPoTwEMB9Yp6ymwlPqew/edit?gid=984458430#gid=984458430"",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5" s="61" t="str">
        <f>IFERROR(__xludf.DUMMYFUNCTION("vlookup(BB395,importrange(""https://docs.google.com/spreadsheets/d/1d2vevQ_7D_v35q4wCQ4RpQ_IPoTwEMB9Yp6ymwlPqew/edit?gid=984458430#gid=984458430"", ""'replication success'!A:M""), 13, FAlSE)"),"abstract")</f>
        <v>abstract</v>
      </c>
      <c r="BB395" s="61" t="str">
        <f>IFERROR(__xludf.DUMMYFUNCTION("REGEXREPLACE(G395, ""_[a-z]{1,2}$"", """")"),"additional_studies56")</f>
        <v>additional_studies56</v>
      </c>
      <c r="BC395" s="129" t="s">
        <v>2169</v>
      </c>
      <c r="BD395" s="124" t="s">
        <v>144</v>
      </c>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c r="DF395" s="71"/>
      <c r="DG395" s="71"/>
      <c r="DH395" s="71"/>
      <c r="DI395" s="71"/>
      <c r="DJ395" s="71"/>
      <c r="DK395" s="71"/>
      <c r="DL395" s="71"/>
    </row>
    <row r="396" ht="20.25" customHeight="1">
      <c r="A396" s="44">
        <v>396.0</v>
      </c>
      <c r="B396" s="668" t="s">
        <v>152</v>
      </c>
      <c r="C396" s="668" t="s">
        <v>115</v>
      </c>
      <c r="D396" s="124" t="s">
        <v>1441</v>
      </c>
      <c r="E396" s="107"/>
      <c r="F396" s="122" t="s">
        <v>2110</v>
      </c>
      <c r="G396" s="126" t="s">
        <v>2172</v>
      </c>
      <c r="H396" s="126" t="s">
        <v>1540</v>
      </c>
      <c r="I396" s="568">
        <v>45640.0</v>
      </c>
      <c r="J396" s="569">
        <v>45671.0</v>
      </c>
      <c r="K396" s="132"/>
      <c r="L396" s="132"/>
      <c r="M396" s="126" t="s">
        <v>2114</v>
      </c>
      <c r="N396" s="126" t="s">
        <v>2115</v>
      </c>
      <c r="O396" s="219">
        <v>1.0</v>
      </c>
      <c r="P396" s="223" t="str">
        <f t="shared" si="23"/>
        <v>10.1089--cyber.2015.0311.pdf</v>
      </c>
      <c r="Q396" s="52" t="str">
        <f t="array" ref="Q396"> if(iserror(MATCH(V396, 'File Links'!C:C, 0)), "N/A", HYPERLINK(INDEX('File Links'!B:B, MATCH(P396, 'File Links'!C:C, 0))))</f>
        <v>https://drive.google.com/file/d/1UOcUsx-QUxFrulQIBnkUuR_13YgQP2Vd/view?usp=drivesdk</v>
      </c>
      <c r="R396" s="126" t="s">
        <v>2116</v>
      </c>
      <c r="S396" s="126" t="s">
        <v>2117</v>
      </c>
      <c r="T396" s="132"/>
      <c r="U396" s="147">
        <v>1.0</v>
      </c>
      <c r="V396" s="126" t="str">
        <f t="shared" si="15"/>
        <v>10.1016--j.bbr.2024.115096.pdf</v>
      </c>
      <c r="W396" s="587" t="s">
        <v>1686</v>
      </c>
      <c r="X396" s="54" t="str">
        <f t="array" ref="X396"> if(iserror(MATCH(V396, 'File Links'!C:C, 0)), "N/A", HYPERLINK(INDEX('File Links'!B:B, MATCH(V396, 'File Links'!C:C, 0))))</f>
        <v>https://drive.google.com/file/d/1mK6ddl6CbjItWRFtU_KkouJP0UM3gV-6/view?usp=drivesdk</v>
      </c>
      <c r="Y396" s="132"/>
      <c r="Z396" s="126" t="s">
        <v>148</v>
      </c>
      <c r="AA396" s="126" t="s">
        <v>2118</v>
      </c>
      <c r="AB396" s="126" t="s">
        <v>2119</v>
      </c>
      <c r="AC396" s="126" t="s">
        <v>2173</v>
      </c>
      <c r="AD396" s="126" t="s">
        <v>2174</v>
      </c>
      <c r="AE396" s="130">
        <v>4.0</v>
      </c>
      <c r="AF396" s="130">
        <v>20.0</v>
      </c>
      <c r="AG396" s="130">
        <v>0.15</v>
      </c>
      <c r="AH396" s="223" t="s">
        <v>215</v>
      </c>
      <c r="AI396" s="219">
        <v>4.0</v>
      </c>
      <c r="AJ396" s="130">
        <v>0.059</v>
      </c>
      <c r="AK396" s="125" t="s">
        <v>172</v>
      </c>
      <c r="AL396" s="132" t="s">
        <v>186</v>
      </c>
      <c r="AM396" s="132" t="s">
        <v>137</v>
      </c>
      <c r="AN396" s="219" t="s">
        <v>138</v>
      </c>
      <c r="AO396" s="130">
        <v>27.0</v>
      </c>
      <c r="AP396" s="130">
        <v>0.47</v>
      </c>
      <c r="AQ396" s="126" t="s">
        <v>173</v>
      </c>
      <c r="AR396" s="225" t="s">
        <v>813</v>
      </c>
      <c r="AS396" s="130">
        <v>0.125</v>
      </c>
      <c r="AT396" s="125" t="s">
        <v>172</v>
      </c>
      <c r="AU396" s="125" t="s">
        <v>186</v>
      </c>
      <c r="AV396" s="125" t="s">
        <v>141</v>
      </c>
      <c r="AW396" s="219" t="s">
        <v>138</v>
      </c>
      <c r="AX396" s="710" t="s">
        <v>438</v>
      </c>
      <c r="AY396" s="61" t="str">
        <f>IFERROR(__xludf.DUMMYFUNCTION("vlookup(BB396,importrange(""https://docs.google.com/spreadsheets/d/1d2vevQ_7D_v35q4wCQ4RpQ_IPoTwEMB9Yp6ymwlPqew/edit?gid=984458430#gid=984458430"", ""'replication success'!A:K""), 11, FAlSE)"),"successful")</f>
        <v>successful</v>
      </c>
      <c r="AZ396" s="61" t="str">
        <f>IFERROR(__xludf.DUMMYFUNCTION("vlookup(BB396,importrange(""https://docs.google.com/spreadsheets/d/1d2vevQ_7D_v35q4wCQ4RpQ_IPoTwEMB9Yp6ymwlPqew/edit?gid=984458430#gid=984458430"",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6" s="61" t="str">
        <f>IFERROR(__xludf.DUMMYFUNCTION("vlookup(BB396,importrange(""https://docs.google.com/spreadsheets/d/1d2vevQ_7D_v35q4wCQ4RpQ_IPoTwEMB9Yp6ymwlPqew/edit?gid=984458430#gid=984458430"", ""'replication success'!A:M""), 13, FAlSE)"),"abstract")</f>
        <v>abstract</v>
      </c>
      <c r="BB396" s="61" t="str">
        <f>IFERROR(__xludf.DUMMYFUNCTION("REGEXREPLACE(G396, ""_[a-z]{1,2}$"", """")"),"additional_studies56")</f>
        <v>additional_studies56</v>
      </c>
      <c r="BC396" s="61"/>
      <c r="BD396" s="124" t="s">
        <v>144</v>
      </c>
      <c r="BE396" s="71"/>
      <c r="BF396" s="71"/>
      <c r="BG396" s="71"/>
      <c r="BH396" s="71"/>
      <c r="BI396" s="71"/>
      <c r="BJ396" s="71"/>
      <c r="BK396" s="71"/>
      <c r="BL396" s="71"/>
      <c r="BM396" s="71"/>
      <c r="BN396" s="71"/>
      <c r="BO396" s="71"/>
      <c r="BP396" s="71"/>
      <c r="BQ396" s="71"/>
      <c r="BR396" s="71"/>
      <c r="BS396" s="71"/>
      <c r="BT396" s="71"/>
      <c r="BU396" s="71"/>
      <c r="BV396" s="71"/>
      <c r="BW396" s="71"/>
      <c r="BX396" s="71"/>
      <c r="BY396" s="71"/>
      <c r="BZ396" s="71"/>
      <c r="CA396" s="71"/>
      <c r="CB396" s="71"/>
      <c r="CC396" s="71"/>
      <c r="CD396" s="71"/>
      <c r="CE396" s="71"/>
      <c r="CF396" s="71"/>
      <c r="CG396" s="71"/>
      <c r="CH396" s="71"/>
      <c r="CI396" s="71"/>
      <c r="CJ396" s="71"/>
      <c r="CK396" s="71"/>
      <c r="CL396" s="71"/>
      <c r="CM396" s="71"/>
      <c r="CN396" s="71"/>
      <c r="CO396" s="71"/>
      <c r="CP396" s="71"/>
      <c r="CQ396" s="71"/>
      <c r="CR396" s="71"/>
      <c r="CS396" s="71"/>
      <c r="CT396" s="71"/>
      <c r="CU396" s="71"/>
      <c r="CV396" s="71"/>
      <c r="CW396" s="71"/>
      <c r="CX396" s="71"/>
      <c r="CY396" s="71"/>
      <c r="CZ396" s="71"/>
      <c r="DA396" s="71"/>
      <c r="DB396" s="71"/>
      <c r="DC396" s="71"/>
      <c r="DD396" s="71"/>
      <c r="DE396" s="71"/>
      <c r="DF396" s="71"/>
      <c r="DG396" s="71"/>
      <c r="DH396" s="71"/>
      <c r="DI396" s="71"/>
      <c r="DJ396" s="71"/>
      <c r="DK396" s="71"/>
      <c r="DL396" s="71"/>
    </row>
    <row r="397" ht="20.25" customHeight="1">
      <c r="A397" s="44">
        <v>397.0</v>
      </c>
      <c r="B397" s="668" t="s">
        <v>152</v>
      </c>
      <c r="C397" s="668" t="s">
        <v>115</v>
      </c>
      <c r="D397" s="124" t="s">
        <v>1441</v>
      </c>
      <c r="E397" s="107"/>
      <c r="F397" s="122" t="s">
        <v>2110</v>
      </c>
      <c r="G397" s="126" t="s">
        <v>2175</v>
      </c>
      <c r="H397" s="126" t="s">
        <v>1540</v>
      </c>
      <c r="I397" s="568">
        <v>45640.0</v>
      </c>
      <c r="J397" s="569">
        <v>45671.0</v>
      </c>
      <c r="K397" s="132"/>
      <c r="L397" s="132"/>
      <c r="M397" s="126" t="s">
        <v>2114</v>
      </c>
      <c r="N397" s="126" t="s">
        <v>2115</v>
      </c>
      <c r="O397" s="219">
        <v>1.0</v>
      </c>
      <c r="P397" s="223" t="str">
        <f t="shared" si="23"/>
        <v>10.1089--cyber.2015.0311.pdf</v>
      </c>
      <c r="Q397" s="52" t="str">
        <f t="array" ref="Q397"> if(iserror(MATCH(V397, 'File Links'!C:C, 0)), "N/A", HYPERLINK(INDEX('File Links'!B:B, MATCH(P397, 'File Links'!C:C, 0))))</f>
        <v>https://drive.google.com/file/d/1UOcUsx-QUxFrulQIBnkUuR_13YgQP2Vd/view?usp=drivesdk</v>
      </c>
      <c r="R397" s="126" t="s">
        <v>2116</v>
      </c>
      <c r="S397" s="126" t="s">
        <v>2117</v>
      </c>
      <c r="T397" s="132"/>
      <c r="U397" s="147">
        <v>1.0</v>
      </c>
      <c r="V397" s="126" t="str">
        <f t="shared" si="15"/>
        <v>10.1016--j.bbr.2024.115096.pdf</v>
      </c>
      <c r="W397" s="587" t="s">
        <v>1686</v>
      </c>
      <c r="X397" s="54" t="str">
        <f t="array" ref="X397"> if(iserror(MATCH(V397, 'File Links'!C:C, 0)), "N/A", HYPERLINK(INDEX('File Links'!B:B, MATCH(V397, 'File Links'!C:C, 0))))</f>
        <v>https://drive.google.com/file/d/1mK6ddl6CbjItWRFtU_KkouJP0UM3gV-6/view?usp=drivesdk</v>
      </c>
      <c r="Y397" s="132"/>
      <c r="Z397" s="126" t="s">
        <v>148</v>
      </c>
      <c r="AA397" s="126" t="s">
        <v>2118</v>
      </c>
      <c r="AB397" s="126" t="s">
        <v>2119</v>
      </c>
      <c r="AC397" s="126" t="s">
        <v>2176</v>
      </c>
      <c r="AD397" s="126" t="s">
        <v>2174</v>
      </c>
      <c r="AE397" s="130">
        <v>4.0</v>
      </c>
      <c r="AF397" s="130">
        <v>20.0</v>
      </c>
      <c r="AG397" s="130">
        <v>0.15</v>
      </c>
      <c r="AH397" s="223" t="s">
        <v>215</v>
      </c>
      <c r="AI397" s="219">
        <v>4.0</v>
      </c>
      <c r="AJ397" s="130">
        <v>0.059</v>
      </c>
      <c r="AK397" s="125" t="s">
        <v>172</v>
      </c>
      <c r="AL397" s="132" t="s">
        <v>186</v>
      </c>
      <c r="AM397" s="132" t="s">
        <v>137</v>
      </c>
      <c r="AN397" s="219" t="s">
        <v>138</v>
      </c>
      <c r="AO397" s="130">
        <v>27.0</v>
      </c>
      <c r="AP397" s="130">
        <v>1.13</v>
      </c>
      <c r="AQ397" s="126" t="s">
        <v>173</v>
      </c>
      <c r="AR397" s="225" t="s">
        <v>813</v>
      </c>
      <c r="AS397" s="130">
        <v>0.001</v>
      </c>
      <c r="AT397" s="125" t="s">
        <v>135</v>
      </c>
      <c r="AU397" s="125" t="s">
        <v>186</v>
      </c>
      <c r="AV397" s="125" t="s">
        <v>141</v>
      </c>
      <c r="AW397" s="219" t="s">
        <v>138</v>
      </c>
      <c r="AX397" s="710" t="s">
        <v>438</v>
      </c>
      <c r="AY397" s="61" t="str">
        <f>IFERROR(__xludf.DUMMYFUNCTION("vlookup(BB397,importrange(""https://docs.google.com/spreadsheets/d/1d2vevQ_7D_v35q4wCQ4RpQ_IPoTwEMB9Yp6ymwlPqew/edit?gid=984458430#gid=984458430"", ""'replication success'!A:K""), 11, FAlSE)"),"successful")</f>
        <v>successful</v>
      </c>
      <c r="AZ397" s="61" t="str">
        <f>IFERROR(__xludf.DUMMYFUNCTION("vlookup(BB397,importrange(""https://docs.google.com/spreadsheets/d/1d2vevQ_7D_v35q4wCQ4RpQ_IPoTwEMB9Yp6ymwlPqew/edit?gid=984458430#gid=984458430"", ""'replication success'!A:M""), 12, FAlSE)"),"The results confirm the presence
of bottom-up advantages in motor-cognitive behaviour for high-calorie food in a non-clinical population.")</f>
        <v>The results confirm the presence
of bottom-up advantages in motor-cognitive behaviour for high-calorie food in a non-clinical population.</v>
      </c>
      <c r="BA397" s="61" t="str">
        <f>IFERROR(__xludf.DUMMYFUNCTION("vlookup(BB397,importrange(""https://docs.google.com/spreadsheets/d/1d2vevQ_7D_v35q4wCQ4RpQ_IPoTwEMB9Yp6ymwlPqew/edit?gid=984458430#gid=984458430"", ""'replication success'!A:M""), 13, FAlSE)"),"abstract")</f>
        <v>abstract</v>
      </c>
      <c r="BB397" s="61" t="str">
        <f>IFERROR(__xludf.DUMMYFUNCTION("REGEXREPLACE(G397, ""_[a-z]{1,2}$"", """")"),"additional_studies56")</f>
        <v>additional_studies56</v>
      </c>
      <c r="BC397" s="61"/>
      <c r="BD397" s="124" t="s">
        <v>144</v>
      </c>
      <c r="BE397" s="71"/>
      <c r="BF397" s="71"/>
      <c r="BG397" s="71"/>
      <c r="BH397" s="71"/>
      <c r="BI397" s="71"/>
      <c r="BJ397" s="71"/>
      <c r="BK397" s="71"/>
      <c r="BL397" s="71"/>
      <c r="BM397" s="71"/>
      <c r="BN397" s="71"/>
      <c r="BO397" s="71"/>
      <c r="BP397" s="71"/>
      <c r="BQ397" s="71"/>
      <c r="BR397" s="71"/>
      <c r="BS397" s="71"/>
      <c r="BT397" s="71"/>
      <c r="BU397" s="71"/>
      <c r="BV397" s="71"/>
      <c r="BW397" s="71"/>
      <c r="BX397" s="71"/>
      <c r="BY397" s="71"/>
      <c r="BZ397" s="71"/>
      <c r="CA397" s="71"/>
      <c r="CB397" s="71"/>
      <c r="CC397" s="71"/>
      <c r="CD397" s="71"/>
      <c r="CE397" s="71"/>
      <c r="CF397" s="71"/>
      <c r="CG397" s="71"/>
      <c r="CH397" s="71"/>
      <c r="CI397" s="71"/>
      <c r="CJ397" s="71"/>
      <c r="CK397" s="71"/>
      <c r="CL397" s="71"/>
      <c r="CM397" s="71"/>
      <c r="CN397" s="71"/>
      <c r="CO397" s="71"/>
      <c r="CP397" s="71"/>
      <c r="CQ397" s="71"/>
      <c r="CR397" s="71"/>
      <c r="CS397" s="71"/>
      <c r="CT397" s="71"/>
      <c r="CU397" s="71"/>
      <c r="CV397" s="71"/>
      <c r="CW397" s="71"/>
      <c r="CX397" s="71"/>
      <c r="CY397" s="71"/>
      <c r="CZ397" s="71"/>
      <c r="DA397" s="71"/>
      <c r="DB397" s="71"/>
      <c r="DC397" s="71"/>
      <c r="DD397" s="71"/>
      <c r="DE397" s="71"/>
      <c r="DF397" s="71"/>
      <c r="DG397" s="71"/>
      <c r="DH397" s="71"/>
      <c r="DI397" s="71"/>
      <c r="DJ397" s="71"/>
      <c r="DK397" s="71"/>
      <c r="DL397" s="71"/>
    </row>
    <row r="398" ht="20.25" customHeight="1">
      <c r="A398" s="44">
        <v>398.0</v>
      </c>
      <c r="B398" s="716" t="s">
        <v>152</v>
      </c>
      <c r="C398" s="716" t="s">
        <v>115</v>
      </c>
      <c r="D398" s="716" t="s">
        <v>1810</v>
      </c>
      <c r="E398" s="697"/>
      <c r="F398" s="717" t="s">
        <v>2177</v>
      </c>
      <c r="G398" s="718" t="s">
        <v>2178</v>
      </c>
      <c r="H398" s="718" t="s">
        <v>1811</v>
      </c>
      <c r="I398" s="719">
        <v>45642.0</v>
      </c>
      <c r="J398" s="569">
        <v>45671.0</v>
      </c>
      <c r="K398" s="718" t="s">
        <v>2179</v>
      </c>
      <c r="L398" s="371" t="s">
        <v>2180</v>
      </c>
      <c r="M398" s="718" t="s">
        <v>2181</v>
      </c>
      <c r="N398" s="718" t="s">
        <v>2182</v>
      </c>
      <c r="O398" s="720">
        <v>1.0</v>
      </c>
      <c r="P398" s="721" t="str">
        <f t="shared" ref="P398:P417" si="24"> SUBSTITUTE(lower(N398), "/", "--") &amp;  ".pdf"</f>
        <v>10.1037--0021-9010.77.4.419.pdf</v>
      </c>
      <c r="Q398" s="52" t="str">
        <f t="array" ref="Q398"> if(iserror(MATCH(V398, 'File Links'!C:C, 0)), "N/A", HYPERLINK(INDEX('File Links'!B:B, MATCH(P398, 'File Links'!C:C, 0))))</f>
        <v>https://drive.google.com/file/d/1XtfL3wumyr6mb9iCgCxuHmUHHvQhg4yN/view?usp=drivesdk</v>
      </c>
      <c r="R398" s="722" t="s">
        <v>2183</v>
      </c>
      <c r="S398" s="718" t="s">
        <v>2184</v>
      </c>
      <c r="T398" s="723"/>
      <c r="U398" s="721" t="s">
        <v>2185</v>
      </c>
      <c r="V398" s="718" t="str">
        <f t="shared" ref="V398:V550" si="25"> hyperlink(vlookup(lower(S398),#REF!, 2, FALSE), SUBSTITUTE(lower(S398), "/", "--") &amp;  ".pdf")</f>
        <v>10.1037--xap0000321.pdf</v>
      </c>
      <c r="W398" s="718" t="s">
        <v>2186</v>
      </c>
      <c r="X398" s="54" t="str">
        <f t="array" ref="X398"> if(iserror(MATCH(V398, 'File Links'!C:C, 0)), "N/A", HYPERLINK(INDEX('File Links'!B:B, MATCH(V398, 'File Links'!C:C, 0))))</f>
        <v>https://drive.google.com/file/d/13DjN87PTnd1gRVtF4FDN_PrjD6syLFtl/view?usp=drivesdk</v>
      </c>
      <c r="Y398" s="723"/>
      <c r="Z398" s="718" t="s">
        <v>210</v>
      </c>
      <c r="AA398" s="718" t="s">
        <v>2187</v>
      </c>
      <c r="AB398" s="718" t="s">
        <v>2188</v>
      </c>
      <c r="AC398" s="718" t="s">
        <v>2189</v>
      </c>
      <c r="AD398" s="718" t="s">
        <v>2190</v>
      </c>
      <c r="AE398" s="724">
        <v>5.0</v>
      </c>
      <c r="AF398" s="724">
        <v>60.0</v>
      </c>
      <c r="AG398" s="724">
        <v>0.598</v>
      </c>
      <c r="AH398" s="721" t="s">
        <v>173</v>
      </c>
      <c r="AI398" s="724">
        <f>(5.1-4)/SQRT(((30-1)*1.7^2+(30-1)*1.97^2)/(30+30-2))</f>
        <v>0.5978393308</v>
      </c>
      <c r="AJ398" s="724">
        <v>0.05</v>
      </c>
      <c r="AK398" s="717" t="s">
        <v>135</v>
      </c>
      <c r="AL398" s="399" t="s">
        <v>186</v>
      </c>
      <c r="AM398" s="725" t="s">
        <v>137</v>
      </c>
      <c r="AN398" s="718" t="s">
        <v>138</v>
      </c>
      <c r="AO398" s="724">
        <v>404.0</v>
      </c>
      <c r="AP398" s="724">
        <v>-0.04</v>
      </c>
      <c r="AQ398" s="718" t="s">
        <v>173</v>
      </c>
      <c r="AR398" s="718" t="s">
        <v>2191</v>
      </c>
      <c r="AS398" s="724">
        <v>0.77</v>
      </c>
      <c r="AT398" s="717" t="s">
        <v>172</v>
      </c>
      <c r="AU398" s="407" t="s">
        <v>186</v>
      </c>
      <c r="AV398" s="726" t="s">
        <v>138</v>
      </c>
      <c r="AW398" s="717" t="s">
        <v>138</v>
      </c>
      <c r="AX398" s="717" t="s">
        <v>143</v>
      </c>
      <c r="AY398" s="61" t="str">
        <f>IFERROR(__xludf.DUMMYFUNCTION("vlookup(BB398,importrange(""https://docs.google.com/spreadsheets/d/1d2vevQ_7D_v35q4wCQ4RpQ_IPoTwEMB9Yp6ymwlPqew/edit?gid=984458430#gid=984458430"", ""'replication success'!A:K""), 11, FAlSE)"),"failed")</f>
        <v>failed</v>
      </c>
      <c r="AZ398" s="61" t="str">
        <f>IFERROR(__xludf.DUMMYFUNCTION("vlookup(BB398,importrange(""https://docs.google.com/spreadsheets/d/1d2vevQ_7D_v35q4wCQ4RpQ_IPoTwEMB9Yp6ymwlPqew/edit?gid=984458430#gid=984458430"",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398" s="61" t="str">
        <f>IFERROR(__xludf.DUMMYFUNCTION("vlookup(BB398,importrange(""https://docs.google.com/spreadsheets/d/1d2vevQ_7D_v35q4wCQ4RpQ_IPoTwEMB9Yp6ymwlPqew/edit?gid=984458430#gid=984458430"", ""'replication success'!A:M""), 13, FAlSE)"),"abstract")</f>
        <v>abstract</v>
      </c>
      <c r="BB398" s="61" t="str">
        <f>IFERROR(__xludf.DUMMYFUNCTION("REGEXREPLACE(G398, ""_[a-z]{1,2}$"", """")"),"additional_studies57")</f>
        <v>additional_studies57</v>
      </c>
      <c r="BC398" s="129"/>
      <c r="BD398" s="124" t="s">
        <v>144</v>
      </c>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c r="DF398" s="71"/>
      <c r="DG398" s="71"/>
      <c r="DH398" s="71"/>
      <c r="DI398" s="71"/>
      <c r="DJ398" s="71"/>
      <c r="DK398" s="71"/>
      <c r="DL398" s="71"/>
    </row>
    <row r="399" ht="20.25" customHeight="1">
      <c r="A399" s="44">
        <v>399.0</v>
      </c>
      <c r="B399" s="397" t="s">
        <v>114</v>
      </c>
      <c r="C399" s="397" t="s">
        <v>115</v>
      </c>
      <c r="D399" s="397" t="s">
        <v>2192</v>
      </c>
      <c r="E399" s="220"/>
      <c r="F399" s="407" t="s">
        <v>2177</v>
      </c>
      <c r="G399" s="399" t="s">
        <v>2178</v>
      </c>
      <c r="H399" s="407" t="s">
        <v>2193</v>
      </c>
      <c r="I399" s="727">
        <v>45640.0</v>
      </c>
      <c r="J399" s="569">
        <v>45671.0</v>
      </c>
      <c r="K399" s="398"/>
      <c r="L399" s="398"/>
      <c r="M399" s="407" t="s">
        <v>2181</v>
      </c>
      <c r="N399" s="407" t="s">
        <v>2182</v>
      </c>
      <c r="O399" s="398"/>
      <c r="P399" s="407" t="str">
        <f t="shared" si="24"/>
        <v>10.1037--0021-9010.77.4.419.pdf</v>
      </c>
      <c r="Q399" s="52" t="str">
        <f t="array" ref="Q399"> if(iserror(MATCH(V399, 'File Links'!C:C, 0)), "N/A", HYPERLINK(INDEX('File Links'!B:B, MATCH(P399, 'File Links'!C:C, 0))))</f>
        <v>https://drive.google.com/file/d/1XtfL3wumyr6mb9iCgCxuHmUHHvQhg4yN/view?usp=drivesdk</v>
      </c>
      <c r="R399" s="407" t="s">
        <v>2194</v>
      </c>
      <c r="S399" s="407" t="s">
        <v>2184</v>
      </c>
      <c r="T399" s="398"/>
      <c r="U399" s="728">
        <v>1.0</v>
      </c>
      <c r="V399" s="407" t="str">
        <f t="shared" si="25"/>
        <v>10.1037--xap0000321.pdf</v>
      </c>
      <c r="W399" s="407" t="s">
        <v>2195</v>
      </c>
      <c r="X399" s="54" t="str">
        <f t="array" ref="X399"> if(iserror(MATCH(V399, 'File Links'!C:C, 0)), "N/A", HYPERLINK(INDEX('File Links'!B:B, MATCH(V399, 'File Links'!C:C, 0))))</f>
        <v>https://drive.google.com/file/d/13DjN87PTnd1gRVtF4FDN_PrjD6syLFtl/view?usp=drivesdk</v>
      </c>
      <c r="Y399" s="398"/>
      <c r="Z399" s="407" t="s">
        <v>1809</v>
      </c>
      <c r="AA399" s="407" t="s">
        <v>2196</v>
      </c>
      <c r="AB399" s="407" t="s">
        <v>2197</v>
      </c>
      <c r="AC399" s="407" t="s">
        <v>2198</v>
      </c>
      <c r="AD399" s="407" t="s">
        <v>2199</v>
      </c>
      <c r="AE399" s="729">
        <v>45448.0</v>
      </c>
      <c r="AF399" s="728">
        <v>193.0</v>
      </c>
      <c r="AG399" s="407" t="s">
        <v>2200</v>
      </c>
      <c r="AH399" s="119" t="s">
        <v>134</v>
      </c>
      <c r="AI399" s="399" t="s">
        <v>140</v>
      </c>
      <c r="AJ399" s="406">
        <v>0.001</v>
      </c>
      <c r="AK399" s="407" t="s">
        <v>135</v>
      </c>
      <c r="AL399" s="399" t="s">
        <v>186</v>
      </c>
      <c r="AM399" s="407" t="s">
        <v>137</v>
      </c>
      <c r="AN399" s="718" t="s">
        <v>138</v>
      </c>
      <c r="AO399" s="728">
        <v>205.0</v>
      </c>
      <c r="AP399" s="728">
        <v>0.003</v>
      </c>
      <c r="AQ399" s="398" t="s">
        <v>139</v>
      </c>
      <c r="AR399" s="407" t="s">
        <v>140</v>
      </c>
      <c r="AS399" s="728">
        <v>0.81</v>
      </c>
      <c r="AT399" s="407" t="s">
        <v>172</v>
      </c>
      <c r="AU399" s="407" t="s">
        <v>186</v>
      </c>
      <c r="AV399" s="407" t="s">
        <v>137</v>
      </c>
      <c r="AW399" s="717" t="s">
        <v>138</v>
      </c>
      <c r="AX399" s="407" t="s">
        <v>143</v>
      </c>
      <c r="AY399" s="61" t="str">
        <f>IFERROR(__xludf.DUMMYFUNCTION("vlookup(BB399,importrange(""https://docs.google.com/spreadsheets/d/1d2vevQ_7D_v35q4wCQ4RpQ_IPoTwEMB9Yp6ymwlPqew/edit?gid=984458430#gid=984458430"", ""'replication success'!A:K""), 11, FAlSE)"),"failed")</f>
        <v>failed</v>
      </c>
      <c r="AZ399" s="61" t="str">
        <f>IFERROR(__xludf.DUMMYFUNCTION("vlookup(BB399,importrange(""https://docs.google.com/spreadsheets/d/1d2vevQ_7D_v35q4wCQ4RpQ_IPoTwEMB9Yp6ymwlPqew/edit?gid=984458430#gid=984458430"",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399" s="61" t="str">
        <f>IFERROR(__xludf.DUMMYFUNCTION("vlookup(BB399,importrange(""https://docs.google.com/spreadsheets/d/1d2vevQ_7D_v35q4wCQ4RpQ_IPoTwEMB9Yp6ymwlPqew/edit?gid=984458430#gid=984458430"", ""'replication success'!A:M""), 13, FAlSE)"),"abstract")</f>
        <v>abstract</v>
      </c>
      <c r="BB399" s="61" t="str">
        <f>IFERROR(__xludf.DUMMYFUNCTION("REGEXREPLACE(G399, ""_[a-z]{1,2}$"", """")"),"additional_studies57")</f>
        <v>additional_studies57</v>
      </c>
      <c r="BC399" s="68"/>
      <c r="BD399" s="124" t="s">
        <v>144</v>
      </c>
      <c r="BE399" s="71"/>
      <c r="BF399" s="71"/>
      <c r="BG399" s="71"/>
      <c r="BH399" s="71"/>
      <c r="BI399" s="71"/>
      <c r="BJ399" s="71"/>
      <c r="BK399" s="71"/>
      <c r="BL399" s="71"/>
      <c r="BM399" s="71"/>
      <c r="BN399" s="71"/>
      <c r="BO399" s="71"/>
      <c r="BP399" s="71"/>
      <c r="BQ399" s="71"/>
      <c r="BR399" s="71"/>
      <c r="BS399" s="71"/>
      <c r="BT399" s="71"/>
      <c r="BU399" s="71"/>
      <c r="BV399" s="71"/>
      <c r="BW399" s="71"/>
      <c r="BX399" s="71"/>
      <c r="BY399" s="71"/>
      <c r="BZ399" s="71"/>
      <c r="CA399" s="71"/>
      <c r="CB399" s="71"/>
      <c r="CC399" s="71"/>
      <c r="CD399" s="71"/>
      <c r="CE399" s="71"/>
      <c r="CF399" s="71"/>
      <c r="CG399" s="71"/>
      <c r="CH399" s="71"/>
      <c r="CI399" s="71"/>
      <c r="CJ399" s="71"/>
      <c r="CK399" s="71"/>
      <c r="CL399" s="71"/>
      <c r="CM399" s="71"/>
      <c r="CN399" s="71"/>
      <c r="CO399" s="71"/>
      <c r="CP399" s="71"/>
      <c r="CQ399" s="71"/>
      <c r="CR399" s="71"/>
      <c r="CS399" s="71"/>
      <c r="CT399" s="71"/>
      <c r="CU399" s="71"/>
      <c r="CV399" s="71"/>
      <c r="CW399" s="71"/>
      <c r="CX399" s="71"/>
      <c r="CY399" s="71"/>
      <c r="CZ399" s="71"/>
      <c r="DA399" s="71"/>
      <c r="DB399" s="71"/>
      <c r="DC399" s="71"/>
      <c r="DD399" s="71"/>
      <c r="DE399" s="71"/>
      <c r="DF399" s="71"/>
      <c r="DG399" s="71"/>
      <c r="DH399" s="71"/>
      <c r="DI399" s="71"/>
      <c r="DJ399" s="71"/>
      <c r="DK399" s="71"/>
      <c r="DL399" s="71"/>
    </row>
    <row r="400" ht="20.25" customHeight="1">
      <c r="A400" s="44">
        <v>400.0</v>
      </c>
      <c r="B400" s="716" t="s">
        <v>152</v>
      </c>
      <c r="C400" s="716" t="s">
        <v>115</v>
      </c>
      <c r="D400" s="716" t="s">
        <v>1810</v>
      </c>
      <c r="E400" s="697"/>
      <c r="F400" s="717" t="s">
        <v>2177</v>
      </c>
      <c r="G400" s="730" t="s">
        <v>2201</v>
      </c>
      <c r="H400" s="718" t="s">
        <v>1811</v>
      </c>
      <c r="I400" s="719">
        <v>45642.0</v>
      </c>
      <c r="J400" s="569">
        <v>45671.0</v>
      </c>
      <c r="K400" s="718" t="s">
        <v>2179</v>
      </c>
      <c r="L400" s="371" t="s">
        <v>2180</v>
      </c>
      <c r="M400" s="718" t="s">
        <v>2181</v>
      </c>
      <c r="N400" s="718" t="s">
        <v>2182</v>
      </c>
      <c r="O400" s="720">
        <v>1.0</v>
      </c>
      <c r="P400" s="721" t="str">
        <f t="shared" si="24"/>
        <v>10.1037--0021-9010.77.4.419.pdf</v>
      </c>
      <c r="Q400" s="52" t="str">
        <f t="array" ref="Q400"> if(iserror(MATCH(V400, 'File Links'!C:C, 0)), "N/A", HYPERLINK(INDEX('File Links'!B:B, MATCH(P400, 'File Links'!C:C, 0))))</f>
        <v>https://drive.google.com/file/d/1XtfL3wumyr6mb9iCgCxuHmUHHvQhg4yN/view?usp=drivesdk</v>
      </c>
      <c r="R400" s="718" t="s">
        <v>2194</v>
      </c>
      <c r="S400" s="718" t="s">
        <v>2184</v>
      </c>
      <c r="T400" s="723"/>
      <c r="U400" s="721" t="s">
        <v>2185</v>
      </c>
      <c r="V400" s="718" t="str">
        <f t="shared" si="25"/>
        <v>10.1037--xap0000321.pdf</v>
      </c>
      <c r="W400" s="718" t="s">
        <v>2186</v>
      </c>
      <c r="X400" s="54" t="str">
        <f t="array" ref="X400"> if(iserror(MATCH(V400, 'File Links'!C:C, 0)), "N/A", HYPERLINK(INDEX('File Links'!B:B, MATCH(V400, 'File Links'!C:C, 0))))</f>
        <v>https://drive.google.com/file/d/13DjN87PTnd1gRVtF4FDN_PrjD6syLFtl/view?usp=drivesdk</v>
      </c>
      <c r="Y400" s="723"/>
      <c r="Z400" s="718" t="s">
        <v>210</v>
      </c>
      <c r="AA400" s="718" t="s">
        <v>2187</v>
      </c>
      <c r="AB400" s="718" t="s">
        <v>2188</v>
      </c>
      <c r="AC400" s="718" t="s">
        <v>2189</v>
      </c>
      <c r="AD400" s="718" t="s">
        <v>2202</v>
      </c>
      <c r="AE400" s="724">
        <v>5.0</v>
      </c>
      <c r="AF400" s="724">
        <v>60.0</v>
      </c>
      <c r="AG400" s="724">
        <v>-0.374</v>
      </c>
      <c r="AH400" s="721" t="s">
        <v>173</v>
      </c>
      <c r="AI400" s="724">
        <f>(5.1-5.8)/SQRT(((30-1)*1.7^2+(30-1)*2.03^2)/(30+30-2))</f>
        <v>-0.3738747637</v>
      </c>
      <c r="AJ400" s="724">
        <v>0.05</v>
      </c>
      <c r="AK400" s="717" t="s">
        <v>335</v>
      </c>
      <c r="AL400" s="399" t="s">
        <v>186</v>
      </c>
      <c r="AM400" s="725" t="s">
        <v>137</v>
      </c>
      <c r="AN400" s="718" t="s">
        <v>138</v>
      </c>
      <c r="AO400" s="724">
        <v>404.0</v>
      </c>
      <c r="AP400" s="724">
        <v>0.03</v>
      </c>
      <c r="AQ400" s="718" t="s">
        <v>173</v>
      </c>
      <c r="AR400" s="718" t="s">
        <v>2191</v>
      </c>
      <c r="AS400" s="724">
        <v>0.55</v>
      </c>
      <c r="AT400" s="717" t="s">
        <v>172</v>
      </c>
      <c r="AU400" s="407" t="s">
        <v>186</v>
      </c>
      <c r="AV400" s="726" t="s">
        <v>138</v>
      </c>
      <c r="AW400" s="717" t="s">
        <v>138</v>
      </c>
      <c r="AX400" s="717" t="s">
        <v>143</v>
      </c>
      <c r="AY400" s="61" t="str">
        <f>IFERROR(__xludf.DUMMYFUNCTION("vlookup(BB400,importrange(""https://docs.google.com/spreadsheets/d/1d2vevQ_7D_v35q4wCQ4RpQ_IPoTwEMB9Yp6ymwlPqew/edit?gid=984458430#gid=984458430"", ""'replication success'!A:K""), 11, FAlSE)"),"failed")</f>
        <v>failed</v>
      </c>
      <c r="AZ400" s="61" t="str">
        <f>IFERROR(__xludf.DUMMYFUNCTION("vlookup(BB400,importrange(""https://docs.google.com/spreadsheets/d/1d2vevQ_7D_v35q4wCQ4RpQ_IPoTwEMB9Yp6ymwlPqew/edit?gid=984458430#gid=984458430"",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400" s="61" t="str">
        <f>IFERROR(__xludf.DUMMYFUNCTION("vlookup(BB400,importrange(""https://docs.google.com/spreadsheets/d/1d2vevQ_7D_v35q4wCQ4RpQ_IPoTwEMB9Yp6ymwlPqew/edit?gid=984458430#gid=984458430"", ""'replication success'!A:M""), 13, FAlSE)"),"abstract")</f>
        <v>abstract</v>
      </c>
      <c r="BB400" s="61" t="str">
        <f>IFERROR(__xludf.DUMMYFUNCTION("REGEXREPLACE(G400, ""_[a-z]{1,2}$"", """")"),"additional_studies57")</f>
        <v>additional_studies57</v>
      </c>
      <c r="BC400" s="129"/>
      <c r="BD400" s="124" t="s">
        <v>144</v>
      </c>
      <c r="BE400" s="71"/>
      <c r="BF400" s="71"/>
      <c r="BG400" s="71"/>
      <c r="BH400" s="71"/>
      <c r="BI400" s="71"/>
      <c r="BJ400" s="71"/>
      <c r="BK400" s="71"/>
      <c r="BL400" s="71"/>
      <c r="BM400" s="71"/>
      <c r="BN400" s="71"/>
      <c r="BO400" s="71"/>
      <c r="BP400" s="71"/>
      <c r="BQ400" s="71"/>
      <c r="BR400" s="71"/>
      <c r="BS400" s="71"/>
      <c r="BT400" s="71"/>
      <c r="BU400" s="71"/>
      <c r="BV400" s="71"/>
      <c r="BW400" s="71"/>
      <c r="BX400" s="71"/>
      <c r="BY400" s="71"/>
      <c r="BZ400" s="71"/>
      <c r="CA400" s="71"/>
      <c r="CB400" s="71"/>
      <c r="CC400" s="71"/>
      <c r="CD400" s="71"/>
      <c r="CE400" s="71"/>
      <c r="CF400" s="71"/>
      <c r="CG400" s="71"/>
      <c r="CH400" s="71"/>
      <c r="CI400" s="71"/>
      <c r="CJ400" s="71"/>
      <c r="CK400" s="71"/>
      <c r="CL400" s="71"/>
      <c r="CM400" s="71"/>
      <c r="CN400" s="71"/>
      <c r="CO400" s="71"/>
      <c r="CP400" s="71"/>
      <c r="CQ400" s="71"/>
      <c r="CR400" s="71"/>
      <c r="CS400" s="71"/>
      <c r="CT400" s="71"/>
      <c r="CU400" s="71"/>
      <c r="CV400" s="71"/>
      <c r="CW400" s="71"/>
      <c r="CX400" s="71"/>
      <c r="CY400" s="71"/>
      <c r="CZ400" s="71"/>
      <c r="DA400" s="71"/>
      <c r="DB400" s="71"/>
      <c r="DC400" s="71"/>
      <c r="DD400" s="71"/>
      <c r="DE400" s="71"/>
      <c r="DF400" s="71"/>
      <c r="DG400" s="71"/>
      <c r="DH400" s="71"/>
      <c r="DI400" s="71"/>
      <c r="DJ400" s="71"/>
      <c r="DK400" s="71"/>
      <c r="DL400" s="71"/>
    </row>
    <row r="401" ht="20.25" customHeight="1">
      <c r="A401" s="44">
        <v>401.0</v>
      </c>
      <c r="B401" s="397" t="s">
        <v>114</v>
      </c>
      <c r="C401" s="397" t="s">
        <v>115</v>
      </c>
      <c r="D401" s="397" t="s">
        <v>2192</v>
      </c>
      <c r="E401" s="220"/>
      <c r="F401" s="717" t="s">
        <v>2177</v>
      </c>
      <c r="G401" s="399" t="s">
        <v>2201</v>
      </c>
      <c r="H401" s="407" t="s">
        <v>2193</v>
      </c>
      <c r="I401" s="727">
        <v>45643.0</v>
      </c>
      <c r="J401" s="569">
        <v>45671.0</v>
      </c>
      <c r="K401" s="398"/>
      <c r="L401" s="398"/>
      <c r="M401" s="407" t="s">
        <v>2181</v>
      </c>
      <c r="N401" s="407" t="s">
        <v>2182</v>
      </c>
      <c r="O401" s="398"/>
      <c r="P401" s="407" t="str">
        <f t="shared" si="24"/>
        <v>10.1037--0021-9010.77.4.419.pdf</v>
      </c>
      <c r="Q401" s="52" t="str">
        <f t="array" ref="Q401"> if(iserror(MATCH(V401, 'File Links'!C:C, 0)), "N/A", HYPERLINK(INDEX('File Links'!B:B, MATCH(P401, 'File Links'!C:C, 0))))</f>
        <v>https://drive.google.com/file/d/1XtfL3wumyr6mb9iCgCxuHmUHHvQhg4yN/view?usp=drivesdk</v>
      </c>
      <c r="R401" s="646" t="s">
        <v>2203</v>
      </c>
      <c r="S401" s="646" t="s">
        <v>2184</v>
      </c>
      <c r="T401" s="398"/>
      <c r="U401" s="728">
        <v>1.0</v>
      </c>
      <c r="V401" s="407" t="str">
        <f t="shared" si="25"/>
        <v>10.1037--xap0000321.pdf</v>
      </c>
      <c r="W401" s="407" t="s">
        <v>2195</v>
      </c>
      <c r="X401" s="54" t="str">
        <f t="array" ref="X401"> if(iserror(MATCH(V401, 'File Links'!C:C, 0)), "N/A", HYPERLINK(INDEX('File Links'!B:B, MATCH(V401, 'File Links'!C:C, 0))))</f>
        <v>https://drive.google.com/file/d/13DjN87PTnd1gRVtF4FDN_PrjD6syLFtl/view?usp=drivesdk</v>
      </c>
      <c r="Y401" s="398"/>
      <c r="Z401" s="407" t="s">
        <v>1809</v>
      </c>
      <c r="AA401" s="407" t="s">
        <v>2196</v>
      </c>
      <c r="AB401" s="407" t="s">
        <v>2197</v>
      </c>
      <c r="AC401" s="407" t="s">
        <v>2204</v>
      </c>
      <c r="AD401" s="407" t="s">
        <v>2205</v>
      </c>
      <c r="AE401" s="728">
        <v>6.0</v>
      </c>
      <c r="AF401" s="728">
        <v>60.0</v>
      </c>
      <c r="AG401" s="407" t="s">
        <v>2206</v>
      </c>
      <c r="AH401" s="119" t="s">
        <v>134</v>
      </c>
      <c r="AI401" s="399" t="s">
        <v>140</v>
      </c>
      <c r="AJ401" s="406">
        <v>0.05</v>
      </c>
      <c r="AK401" s="407" t="s">
        <v>135</v>
      </c>
      <c r="AL401" s="399" t="s">
        <v>186</v>
      </c>
      <c r="AM401" s="407" t="s">
        <v>137</v>
      </c>
      <c r="AN401" s="718" t="s">
        <v>138</v>
      </c>
      <c r="AO401" s="728">
        <v>205.0</v>
      </c>
      <c r="AP401" s="728">
        <v>0.003</v>
      </c>
      <c r="AQ401" s="398" t="s">
        <v>139</v>
      </c>
      <c r="AR401" s="407" t="s">
        <v>140</v>
      </c>
      <c r="AS401" s="728">
        <v>0.54</v>
      </c>
      <c r="AT401" s="407" t="s">
        <v>2207</v>
      </c>
      <c r="AU401" s="407" t="s">
        <v>186</v>
      </c>
      <c r="AV401" s="407" t="s">
        <v>137</v>
      </c>
      <c r="AW401" s="717" t="s">
        <v>138</v>
      </c>
      <c r="AX401" s="407" t="s">
        <v>143</v>
      </c>
      <c r="AY401" s="61" t="str">
        <f>IFERROR(__xludf.DUMMYFUNCTION("vlookup(BB401,importrange(""https://docs.google.com/spreadsheets/d/1d2vevQ_7D_v35q4wCQ4RpQ_IPoTwEMB9Yp6ymwlPqew/edit?gid=984458430#gid=984458430"", ""'replication success'!A:K""), 11, FAlSE)"),"failed")</f>
        <v>failed</v>
      </c>
      <c r="AZ401" s="61" t="str">
        <f>IFERROR(__xludf.DUMMYFUNCTION("vlookup(BB401,importrange(""https://docs.google.com/spreadsheets/d/1d2vevQ_7D_v35q4wCQ4RpQ_IPoTwEMB9Yp6ymwlPqew/edit?gid=984458430#gid=984458430"",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401" s="61" t="str">
        <f>IFERROR(__xludf.DUMMYFUNCTION("vlookup(BB401,importrange(""https://docs.google.com/spreadsheets/d/1d2vevQ_7D_v35q4wCQ4RpQ_IPoTwEMB9Yp6ymwlPqew/edit?gid=984458430#gid=984458430"", ""'replication success'!A:M""), 13, FAlSE)"),"abstract")</f>
        <v>abstract</v>
      </c>
      <c r="BB401" s="61" t="str">
        <f>IFERROR(__xludf.DUMMYFUNCTION("REGEXREPLACE(G401, ""_[a-z]{1,2}$"", """")"),"additional_studies57")</f>
        <v>additional_studies57</v>
      </c>
      <c r="BC401" s="68"/>
      <c r="BD401" s="124" t="s">
        <v>144</v>
      </c>
      <c r="BE401" s="71"/>
      <c r="BF401" s="71"/>
      <c r="BG401" s="71"/>
      <c r="BH401" s="71"/>
      <c r="BI401" s="71"/>
      <c r="BJ401" s="71"/>
      <c r="BK401" s="71"/>
      <c r="BL401" s="71"/>
      <c r="BM401" s="71"/>
      <c r="BN401" s="71"/>
      <c r="BO401" s="71"/>
      <c r="BP401" s="71"/>
      <c r="BQ401" s="71"/>
      <c r="BR401" s="71"/>
      <c r="BS401" s="71"/>
      <c r="BT401" s="71"/>
      <c r="BU401" s="71"/>
      <c r="BV401" s="71"/>
      <c r="BW401" s="71"/>
      <c r="BX401" s="71"/>
      <c r="BY401" s="71"/>
      <c r="BZ401" s="71"/>
      <c r="CA401" s="71"/>
      <c r="CB401" s="71"/>
      <c r="CC401" s="71"/>
      <c r="CD401" s="71"/>
      <c r="CE401" s="71"/>
      <c r="CF401" s="71"/>
      <c r="CG401" s="71"/>
      <c r="CH401" s="71"/>
      <c r="CI401" s="71"/>
      <c r="CJ401" s="71"/>
      <c r="CK401" s="71"/>
      <c r="CL401" s="71"/>
      <c r="CM401" s="71"/>
      <c r="CN401" s="71"/>
      <c r="CO401" s="71"/>
      <c r="CP401" s="71"/>
      <c r="CQ401" s="71"/>
      <c r="CR401" s="71"/>
      <c r="CS401" s="71"/>
      <c r="CT401" s="71"/>
      <c r="CU401" s="71"/>
      <c r="CV401" s="71"/>
      <c r="CW401" s="71"/>
      <c r="CX401" s="71"/>
      <c r="CY401" s="71"/>
      <c r="CZ401" s="71"/>
      <c r="DA401" s="71"/>
      <c r="DB401" s="71"/>
      <c r="DC401" s="71"/>
      <c r="DD401" s="71"/>
      <c r="DE401" s="71"/>
      <c r="DF401" s="71"/>
      <c r="DG401" s="71"/>
      <c r="DH401" s="71"/>
      <c r="DI401" s="71"/>
      <c r="DJ401" s="71"/>
      <c r="DK401" s="71"/>
      <c r="DL401" s="71"/>
    </row>
    <row r="402" ht="20.25" customHeight="1">
      <c r="A402" s="44">
        <v>402.0</v>
      </c>
      <c r="B402" s="716" t="s">
        <v>152</v>
      </c>
      <c r="C402" s="716" t="s">
        <v>115</v>
      </c>
      <c r="D402" s="716" t="s">
        <v>1810</v>
      </c>
      <c r="E402" s="697"/>
      <c r="F402" s="717" t="s">
        <v>2177</v>
      </c>
      <c r="G402" s="730" t="s">
        <v>2208</v>
      </c>
      <c r="H402" s="718" t="s">
        <v>1811</v>
      </c>
      <c r="I402" s="719">
        <v>45642.0</v>
      </c>
      <c r="J402" s="569">
        <v>45671.0</v>
      </c>
      <c r="K402" s="718" t="s">
        <v>2179</v>
      </c>
      <c r="L402" s="371" t="s">
        <v>2180</v>
      </c>
      <c r="M402" s="718" t="s">
        <v>2181</v>
      </c>
      <c r="N402" s="718" t="s">
        <v>2182</v>
      </c>
      <c r="O402" s="720">
        <v>1.0</v>
      </c>
      <c r="P402" s="721" t="str">
        <f t="shared" si="24"/>
        <v>10.1037--0021-9010.77.4.419.pdf</v>
      </c>
      <c r="Q402" s="52" t="str">
        <f t="array" ref="Q402"> if(iserror(MATCH(V402, 'File Links'!C:C, 0)), "N/A", HYPERLINK(INDEX('File Links'!B:B, MATCH(P402, 'File Links'!C:C, 0))))</f>
        <v>https://drive.google.com/file/d/1XtfL3wumyr6mb9iCgCxuHmUHHvQhg4yN/view?usp=drivesdk</v>
      </c>
      <c r="R402" s="718" t="s">
        <v>2194</v>
      </c>
      <c r="S402" s="718" t="s">
        <v>2184</v>
      </c>
      <c r="T402" s="723"/>
      <c r="U402" s="721" t="s">
        <v>2185</v>
      </c>
      <c r="V402" s="718" t="str">
        <f t="shared" si="25"/>
        <v>10.1037--xap0000321.pdf</v>
      </c>
      <c r="W402" s="718" t="s">
        <v>2186</v>
      </c>
      <c r="X402" s="54" t="str">
        <f t="array" ref="X402"> if(iserror(MATCH(V402, 'File Links'!C:C, 0)), "N/A", HYPERLINK(INDEX('File Links'!B:B, MATCH(V402, 'File Links'!C:C, 0))))</f>
        <v>https://drive.google.com/file/d/13DjN87PTnd1gRVtF4FDN_PrjD6syLFtl/view?usp=drivesdk</v>
      </c>
      <c r="Y402" s="723"/>
      <c r="Z402" s="718" t="s">
        <v>210</v>
      </c>
      <c r="AA402" s="718" t="s">
        <v>2187</v>
      </c>
      <c r="AB402" s="718" t="s">
        <v>2188</v>
      </c>
      <c r="AC402" s="718" t="s">
        <v>2189</v>
      </c>
      <c r="AD402" s="718" t="s">
        <v>2209</v>
      </c>
      <c r="AE402" s="724">
        <v>6.0</v>
      </c>
      <c r="AF402" s="724">
        <v>60.0</v>
      </c>
      <c r="AG402" s="724">
        <v>0.9</v>
      </c>
      <c r="AH402" s="721" t="s">
        <v>173</v>
      </c>
      <c r="AI402" s="724">
        <f>(5.8-4)/SQRT(((30-1)*2.03^2+(30-1)*1.97^2)/(30+30-2))</f>
        <v>0.8998987671</v>
      </c>
      <c r="AJ402" s="724">
        <v>0.01</v>
      </c>
      <c r="AK402" s="717" t="s">
        <v>135</v>
      </c>
      <c r="AL402" s="399" t="s">
        <v>186</v>
      </c>
      <c r="AM402" s="725" t="s">
        <v>137</v>
      </c>
      <c r="AN402" s="718" t="s">
        <v>138</v>
      </c>
      <c r="AO402" s="724">
        <v>404.0</v>
      </c>
      <c r="AP402" s="724">
        <v>-0.08</v>
      </c>
      <c r="AQ402" s="718" t="s">
        <v>173</v>
      </c>
      <c r="AR402" s="718" t="s">
        <v>2191</v>
      </c>
      <c r="AS402" s="724">
        <v>0.82</v>
      </c>
      <c r="AT402" s="717" t="s">
        <v>172</v>
      </c>
      <c r="AU402" s="407" t="s">
        <v>186</v>
      </c>
      <c r="AV402" s="726" t="s">
        <v>138</v>
      </c>
      <c r="AW402" s="717" t="s">
        <v>138</v>
      </c>
      <c r="AX402" s="717" t="s">
        <v>143</v>
      </c>
      <c r="AY402" s="61" t="str">
        <f>IFERROR(__xludf.DUMMYFUNCTION("vlookup(BB402,importrange(""https://docs.google.com/spreadsheets/d/1d2vevQ_7D_v35q4wCQ4RpQ_IPoTwEMB9Yp6ymwlPqew/edit?gid=984458430#gid=984458430"", ""'replication success'!A:K""), 11, FAlSE)"),"failed")</f>
        <v>failed</v>
      </c>
      <c r="AZ402" s="61" t="str">
        <f>IFERROR(__xludf.DUMMYFUNCTION("vlookup(BB402,importrange(""https://docs.google.com/spreadsheets/d/1d2vevQ_7D_v35q4wCQ4RpQ_IPoTwEMB9Yp6ymwlPqew/edit?gid=984458430#gid=984458430"",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402" s="61" t="str">
        <f>IFERROR(__xludf.DUMMYFUNCTION("vlookup(BB402,importrange(""https://docs.google.com/spreadsheets/d/1d2vevQ_7D_v35q4wCQ4RpQ_IPoTwEMB9Yp6ymwlPqew/edit?gid=984458430#gid=984458430"", ""'replication success'!A:M""), 13, FAlSE)"),"abstract")</f>
        <v>abstract</v>
      </c>
      <c r="BB402" s="61" t="str">
        <f>IFERROR(__xludf.DUMMYFUNCTION("REGEXREPLACE(G402, ""_[a-z]{1,2}$"", """")"),"additional_studies57")</f>
        <v>additional_studies57</v>
      </c>
      <c r="BC402" s="129"/>
      <c r="BD402" s="124" t="s">
        <v>144</v>
      </c>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c r="DF402" s="71"/>
      <c r="DG402" s="71"/>
      <c r="DH402" s="71"/>
      <c r="DI402" s="71"/>
      <c r="DJ402" s="71"/>
      <c r="DK402" s="71"/>
      <c r="DL402" s="71"/>
    </row>
    <row r="403" ht="20.25" customHeight="1">
      <c r="A403" s="44">
        <v>403.0</v>
      </c>
      <c r="B403" s="397" t="s">
        <v>114</v>
      </c>
      <c r="C403" s="397" t="s">
        <v>115</v>
      </c>
      <c r="D403" s="397" t="s">
        <v>2192</v>
      </c>
      <c r="E403" s="220"/>
      <c r="F403" s="717" t="s">
        <v>2177</v>
      </c>
      <c r="G403" s="399" t="s">
        <v>2208</v>
      </c>
      <c r="H403" s="407" t="s">
        <v>2193</v>
      </c>
      <c r="I403" s="727">
        <v>45643.0</v>
      </c>
      <c r="J403" s="569">
        <v>45671.0</v>
      </c>
      <c r="K403" s="398"/>
      <c r="L403" s="398"/>
      <c r="M403" s="407" t="s">
        <v>2181</v>
      </c>
      <c r="N403" s="407" t="s">
        <v>2182</v>
      </c>
      <c r="O403" s="398"/>
      <c r="P403" s="407" t="str">
        <f t="shared" si="24"/>
        <v>10.1037--0021-9010.77.4.419.pdf</v>
      </c>
      <c r="Q403" s="52" t="str">
        <f t="array" ref="Q403"> if(iserror(MATCH(V403, 'File Links'!C:C, 0)), "N/A", HYPERLINK(INDEX('File Links'!B:B, MATCH(P403, 'File Links'!C:C, 0))))</f>
        <v>https://drive.google.com/file/d/1XtfL3wumyr6mb9iCgCxuHmUHHvQhg4yN/view?usp=drivesdk</v>
      </c>
      <c r="R403" s="646" t="s">
        <v>2210</v>
      </c>
      <c r="S403" s="646" t="s">
        <v>2184</v>
      </c>
      <c r="T403" s="398"/>
      <c r="U403" s="728">
        <v>1.0</v>
      </c>
      <c r="V403" s="407" t="str">
        <f t="shared" si="25"/>
        <v>10.1037--xap0000321.pdf</v>
      </c>
      <c r="W403" s="407" t="s">
        <v>2195</v>
      </c>
      <c r="X403" s="54" t="str">
        <f t="array" ref="X403"> if(iserror(MATCH(V403, 'File Links'!C:C, 0)), "N/A", HYPERLINK(INDEX('File Links'!B:B, MATCH(V403, 'File Links'!C:C, 0))))</f>
        <v>https://drive.google.com/file/d/13DjN87PTnd1gRVtF4FDN_PrjD6syLFtl/view?usp=drivesdk</v>
      </c>
      <c r="Y403" s="398"/>
      <c r="Z403" s="407" t="s">
        <v>1809</v>
      </c>
      <c r="AA403" s="407" t="s">
        <v>2196</v>
      </c>
      <c r="AB403" s="407" t="s">
        <v>2197</v>
      </c>
      <c r="AC403" s="407" t="s">
        <v>2211</v>
      </c>
      <c r="AD403" s="407" t="s">
        <v>2212</v>
      </c>
      <c r="AE403" s="728">
        <v>6.0</v>
      </c>
      <c r="AF403" s="728">
        <v>60.0</v>
      </c>
      <c r="AG403" s="407" t="s">
        <v>2213</v>
      </c>
      <c r="AH403" s="119" t="s">
        <v>134</v>
      </c>
      <c r="AI403" s="399" t="s">
        <v>140</v>
      </c>
      <c r="AJ403" s="406">
        <v>0.01</v>
      </c>
      <c r="AK403" s="407" t="s">
        <v>135</v>
      </c>
      <c r="AL403" s="399" t="s">
        <v>186</v>
      </c>
      <c r="AM403" s="407" t="s">
        <v>137</v>
      </c>
      <c r="AN403" s="718" t="s">
        <v>138</v>
      </c>
      <c r="AO403" s="728">
        <v>205.0</v>
      </c>
      <c r="AP403" s="728">
        <v>0.003</v>
      </c>
      <c r="AQ403" s="398" t="s">
        <v>139</v>
      </c>
      <c r="AR403" s="407" t="s">
        <v>140</v>
      </c>
      <c r="AS403" s="728">
        <v>0.54</v>
      </c>
      <c r="AT403" s="407" t="s">
        <v>2207</v>
      </c>
      <c r="AU403" s="407" t="s">
        <v>186</v>
      </c>
      <c r="AV403" s="407" t="s">
        <v>137</v>
      </c>
      <c r="AW403" s="717" t="s">
        <v>138</v>
      </c>
      <c r="AX403" s="407" t="s">
        <v>143</v>
      </c>
      <c r="AY403" s="61" t="str">
        <f>IFERROR(__xludf.DUMMYFUNCTION("vlookup(BB403,importrange(""https://docs.google.com/spreadsheets/d/1d2vevQ_7D_v35q4wCQ4RpQ_IPoTwEMB9Yp6ymwlPqew/edit?gid=984458430#gid=984458430"", ""'replication success'!A:K""), 11, FAlSE)"),"failed")</f>
        <v>failed</v>
      </c>
      <c r="AZ403" s="61" t="str">
        <f>IFERROR(__xludf.DUMMYFUNCTION("vlookup(BB403,importrange(""https://docs.google.com/spreadsheets/d/1d2vevQ_7D_v35q4wCQ4RpQ_IPoTwEMB9Yp6ymwlPqew/edit?gid=984458430#gid=984458430"",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403" s="61" t="str">
        <f>IFERROR(__xludf.DUMMYFUNCTION("vlookup(BB403,importrange(""https://docs.google.com/spreadsheets/d/1d2vevQ_7D_v35q4wCQ4RpQ_IPoTwEMB9Yp6ymwlPqew/edit?gid=984458430#gid=984458430"", ""'replication success'!A:M""), 13, FAlSE)"),"abstract")</f>
        <v>abstract</v>
      </c>
      <c r="BB403" s="61" t="str">
        <f>IFERROR(__xludf.DUMMYFUNCTION("REGEXREPLACE(G403, ""_[a-z]{1,2}$"", """")"),"additional_studies57")</f>
        <v>additional_studies57</v>
      </c>
      <c r="BC403" s="68"/>
      <c r="BD403" s="124" t="s">
        <v>144</v>
      </c>
      <c r="BE403" s="71"/>
      <c r="BF403" s="71"/>
      <c r="BG403" s="71"/>
      <c r="BH403" s="71"/>
      <c r="BI403" s="71"/>
      <c r="BJ403" s="71"/>
      <c r="BK403" s="71"/>
      <c r="BL403" s="71"/>
      <c r="BM403" s="71"/>
      <c r="BN403" s="71"/>
      <c r="BO403" s="71"/>
      <c r="BP403" s="71"/>
      <c r="BQ403" s="71"/>
      <c r="BR403" s="71"/>
      <c r="BS403" s="71"/>
      <c r="BT403" s="71"/>
      <c r="BU403" s="71"/>
      <c r="BV403" s="71"/>
      <c r="BW403" s="71"/>
      <c r="BX403" s="71"/>
      <c r="BY403" s="71"/>
      <c r="BZ403" s="71"/>
      <c r="CA403" s="71"/>
      <c r="CB403" s="71"/>
      <c r="CC403" s="71"/>
      <c r="CD403" s="71"/>
      <c r="CE403" s="71"/>
      <c r="CF403" s="71"/>
      <c r="CG403" s="71"/>
      <c r="CH403" s="71"/>
      <c r="CI403" s="71"/>
      <c r="CJ403" s="71"/>
      <c r="CK403" s="71"/>
      <c r="CL403" s="71"/>
      <c r="CM403" s="71"/>
      <c r="CN403" s="71"/>
      <c r="CO403" s="71"/>
      <c r="CP403" s="71"/>
      <c r="CQ403" s="71"/>
      <c r="CR403" s="71"/>
      <c r="CS403" s="71"/>
      <c r="CT403" s="71"/>
      <c r="CU403" s="71"/>
      <c r="CV403" s="71"/>
      <c r="CW403" s="71"/>
      <c r="CX403" s="71"/>
      <c r="CY403" s="71"/>
      <c r="CZ403" s="71"/>
      <c r="DA403" s="71"/>
      <c r="DB403" s="71"/>
      <c r="DC403" s="71"/>
      <c r="DD403" s="71"/>
      <c r="DE403" s="71"/>
      <c r="DF403" s="71"/>
      <c r="DG403" s="71"/>
      <c r="DH403" s="71"/>
      <c r="DI403" s="71"/>
      <c r="DJ403" s="71"/>
      <c r="DK403" s="71"/>
      <c r="DL403" s="71"/>
    </row>
    <row r="404" ht="20.25" customHeight="1">
      <c r="A404" s="44">
        <v>404.0</v>
      </c>
      <c r="B404" s="397" t="s">
        <v>114</v>
      </c>
      <c r="C404" s="397" t="s">
        <v>115</v>
      </c>
      <c r="D404" s="397" t="s">
        <v>2192</v>
      </c>
      <c r="E404" s="220"/>
      <c r="F404" s="717" t="s">
        <v>2177</v>
      </c>
      <c r="G404" s="399" t="s">
        <v>2214</v>
      </c>
      <c r="H404" s="407" t="s">
        <v>2193</v>
      </c>
      <c r="I404" s="727">
        <v>45643.0</v>
      </c>
      <c r="J404" s="569">
        <v>45671.0</v>
      </c>
      <c r="K404" s="398"/>
      <c r="L404" s="398"/>
      <c r="M404" s="407" t="s">
        <v>2181</v>
      </c>
      <c r="N404" s="407" t="s">
        <v>2182</v>
      </c>
      <c r="O404" s="398"/>
      <c r="P404" s="407" t="str">
        <f t="shared" si="24"/>
        <v>10.1037--0021-9010.77.4.419.pdf</v>
      </c>
      <c r="Q404" s="52" t="str">
        <f t="array" ref="Q404"> if(iserror(MATCH(V404, 'File Links'!C:C, 0)), "N/A", HYPERLINK(INDEX('File Links'!B:B, MATCH(P404, 'File Links'!C:C, 0))))</f>
        <v>https://drive.google.com/file/d/1XtfL3wumyr6mb9iCgCxuHmUHHvQhg4yN/view?usp=drivesdk</v>
      </c>
      <c r="R404" s="646" t="s">
        <v>2215</v>
      </c>
      <c r="S404" s="646" t="s">
        <v>2184</v>
      </c>
      <c r="T404" s="398"/>
      <c r="U404" s="728">
        <v>2.0</v>
      </c>
      <c r="V404" s="407" t="str">
        <f t="shared" si="25"/>
        <v>10.1037--xap0000321.pdf</v>
      </c>
      <c r="W404" s="407" t="s">
        <v>2195</v>
      </c>
      <c r="X404" s="54" t="str">
        <f t="array" ref="X404"> if(iserror(MATCH(V404, 'File Links'!C:C, 0)), "N/A", HYPERLINK(INDEX('File Links'!B:B, MATCH(V404, 'File Links'!C:C, 0))))</f>
        <v>https://drive.google.com/file/d/13DjN87PTnd1gRVtF4FDN_PrjD6syLFtl/view?usp=drivesdk</v>
      </c>
      <c r="Y404" s="398"/>
      <c r="Z404" s="407" t="s">
        <v>1809</v>
      </c>
      <c r="AA404" s="407" t="s">
        <v>2196</v>
      </c>
      <c r="AB404" s="731" t="s">
        <v>2197</v>
      </c>
      <c r="AC404" s="407" t="s">
        <v>2198</v>
      </c>
      <c r="AD404" s="407" t="s">
        <v>2199</v>
      </c>
      <c r="AE404" s="728">
        <v>6.0</v>
      </c>
      <c r="AF404" s="728">
        <v>193.0</v>
      </c>
      <c r="AG404" s="407" t="s">
        <v>2200</v>
      </c>
      <c r="AH404" s="119" t="s">
        <v>134</v>
      </c>
      <c r="AI404" s="399" t="s">
        <v>140</v>
      </c>
      <c r="AJ404" s="406">
        <v>0.001</v>
      </c>
      <c r="AK404" s="407" t="s">
        <v>135</v>
      </c>
      <c r="AL404" s="399" t="s">
        <v>186</v>
      </c>
      <c r="AM404" s="407" t="s">
        <v>137</v>
      </c>
      <c r="AN404" s="718" t="s">
        <v>138</v>
      </c>
      <c r="AO404" s="728">
        <v>199.0</v>
      </c>
      <c r="AP404" s="728">
        <v>0.006</v>
      </c>
      <c r="AQ404" s="398" t="s">
        <v>139</v>
      </c>
      <c r="AR404" s="407" t="s">
        <v>628</v>
      </c>
      <c r="AS404" s="728">
        <v>0.53</v>
      </c>
      <c r="AT404" s="407" t="s">
        <v>2207</v>
      </c>
      <c r="AU404" s="407" t="s">
        <v>186</v>
      </c>
      <c r="AV404" s="407" t="s">
        <v>137</v>
      </c>
      <c r="AW404" s="717" t="s">
        <v>138</v>
      </c>
      <c r="AX404" s="407" t="s">
        <v>151</v>
      </c>
      <c r="AY404" s="61" t="str">
        <f>IFERROR(__xludf.DUMMYFUNCTION("vlookup(BB404,importrange(""https://docs.google.com/spreadsheets/d/1d2vevQ_7D_v35q4wCQ4RpQ_IPoTwEMB9Yp6ymwlPqew/edit?gid=984458430#gid=984458430"", ""'replication success'!A:K""), 11, FAlSE)"),"failed")</f>
        <v>failed</v>
      </c>
      <c r="AZ404" s="61" t="str">
        <f>IFERROR(__xludf.DUMMYFUNCTION("vlookup(BB404,importrange(""https://docs.google.com/spreadsheets/d/1d2vevQ_7D_v35q4wCQ4RpQ_IPoTwEMB9Yp6ymwlPqew/edit?gid=984458430#gid=984458430"", ""'replication success'!A:M""), 12, FAlSE)"),"However, as we did
not replicate the original effects in a first experiment, in spite of the fact that our materials and our
procedure resembled the original study as closely as possible, we conducted a second experiment with
an even stronger accountab"&amp;"ility manipulation as compared to the original study, and with an increased
sample size. Once again, no effects of accountability were found. Taken together, the results of these two
experiments question the robustness of the original findings.")</f>
        <v>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v>
      </c>
      <c r="BA404" s="61" t="str">
        <f>IFERROR(__xludf.DUMMYFUNCTION("vlookup(BB404,importrange(""https://docs.google.com/spreadsheets/d/1d2vevQ_7D_v35q4wCQ4RpQ_IPoTwEMB9Yp6ymwlPqew/edit?gid=984458430#gid=984458430"", ""'replication success'!A:M""), 13, FAlSE)"),"abstract")</f>
        <v>abstract</v>
      </c>
      <c r="BB404" s="61" t="str">
        <f>IFERROR(__xludf.DUMMYFUNCTION("REGEXREPLACE(G404, ""_[a-z]{1,2}$"", """")"),"additional_studies57")</f>
        <v>additional_studies57</v>
      </c>
      <c r="BC404" s="68"/>
      <c r="BD404" s="124" t="s">
        <v>144</v>
      </c>
      <c r="BE404" s="71"/>
      <c r="BF404" s="71"/>
      <c r="BG404" s="71"/>
      <c r="BH404" s="71"/>
      <c r="BI404" s="71"/>
      <c r="BJ404" s="71"/>
      <c r="BK404" s="71"/>
      <c r="BL404" s="71"/>
      <c r="BM404" s="71"/>
      <c r="BN404" s="71"/>
      <c r="BO404" s="71"/>
      <c r="BP404" s="71"/>
      <c r="BQ404" s="71"/>
      <c r="BR404" s="71"/>
      <c r="BS404" s="71"/>
      <c r="BT404" s="71"/>
      <c r="BU404" s="71"/>
      <c r="BV404" s="71"/>
      <c r="BW404" s="71"/>
      <c r="BX404" s="71"/>
      <c r="BY404" s="71"/>
      <c r="BZ404" s="71"/>
      <c r="CA404" s="71"/>
      <c r="CB404" s="71"/>
      <c r="CC404" s="71"/>
      <c r="CD404" s="71"/>
      <c r="CE404" s="71"/>
      <c r="CF404" s="71"/>
      <c r="CG404" s="71"/>
      <c r="CH404" s="71"/>
      <c r="CI404" s="71"/>
      <c r="CJ404" s="71"/>
      <c r="CK404" s="71"/>
      <c r="CL404" s="71"/>
      <c r="CM404" s="71"/>
      <c r="CN404" s="71"/>
      <c r="CO404" s="71"/>
      <c r="CP404" s="71"/>
      <c r="CQ404" s="71"/>
      <c r="CR404" s="71"/>
      <c r="CS404" s="71"/>
      <c r="CT404" s="71"/>
      <c r="CU404" s="71"/>
      <c r="CV404" s="71"/>
      <c r="CW404" s="71"/>
      <c r="CX404" s="71"/>
      <c r="CY404" s="71"/>
      <c r="CZ404" s="71"/>
      <c r="DA404" s="71"/>
      <c r="DB404" s="71"/>
      <c r="DC404" s="71"/>
      <c r="DD404" s="71"/>
      <c r="DE404" s="71"/>
      <c r="DF404" s="71"/>
      <c r="DG404" s="71"/>
      <c r="DH404" s="71"/>
      <c r="DI404" s="71"/>
      <c r="DJ404" s="71"/>
      <c r="DK404" s="71"/>
      <c r="DL404" s="71"/>
    </row>
    <row r="405" ht="20.25" customHeight="1">
      <c r="A405" s="44">
        <v>405.0</v>
      </c>
      <c r="B405" s="168" t="s">
        <v>152</v>
      </c>
      <c r="C405" s="168" t="s">
        <v>115</v>
      </c>
      <c r="D405" s="168" t="s">
        <v>1458</v>
      </c>
      <c r="E405" s="164"/>
      <c r="F405" s="732" t="s">
        <v>2216</v>
      </c>
      <c r="G405" s="186" t="s">
        <v>2217</v>
      </c>
      <c r="H405" s="186" t="s">
        <v>1518</v>
      </c>
      <c r="I405" s="733">
        <v>45489.0</v>
      </c>
      <c r="J405" s="734">
        <v>45641.0</v>
      </c>
      <c r="K405" s="186" t="s">
        <v>2218</v>
      </c>
      <c r="L405" s="175" t="s">
        <v>2219</v>
      </c>
      <c r="M405" s="186" t="s">
        <v>2220</v>
      </c>
      <c r="N405" s="186" t="s">
        <v>2221</v>
      </c>
      <c r="O405" s="735">
        <v>2.0</v>
      </c>
      <c r="P405" s="736" t="str">
        <f t="shared" si="24"/>
        <v>10.1016--j.learninstruc.2014.08.004.pdf</v>
      </c>
      <c r="Q405" s="52" t="str">
        <f t="array" ref="Q405"> if(iserror(MATCH(V405, 'File Links'!C:C, 0)), "N/A", HYPERLINK(INDEX('File Links'!B:B, MATCH(P405, 'File Links'!C:C, 0))))</f>
        <v>https://drive.google.com/file/d/1dE7-AS0QPxKoPMyquy5WhD3ojjC80SWY/view?usp=drivesdk</v>
      </c>
      <c r="R405" s="186" t="s">
        <v>2222</v>
      </c>
      <c r="S405" s="186" t="s">
        <v>2223</v>
      </c>
      <c r="T405" s="737"/>
      <c r="U405" s="175">
        <v>1.0</v>
      </c>
      <c r="V405" s="186" t="str">
        <f t="shared" si="25"/>
        <v>10.1007--s11251-024-09670-y.pdf</v>
      </c>
      <c r="W405" s="186" t="s">
        <v>2224</v>
      </c>
      <c r="X405" s="54" t="str">
        <f t="array" ref="X405"> if(iserror(MATCH(V405, 'File Links'!C:C, 0)), "N/A", HYPERLINK(INDEX('File Links'!B:B, MATCH(V405, 'File Links'!C:C, 0))))</f>
        <v>https://drive.google.com/file/d/1pi6g99iJYyhyD_0jGvDca_hbleDdekCp/view?usp=drivesdk</v>
      </c>
      <c r="Y405" s="737"/>
      <c r="Z405" s="186" t="s">
        <v>241</v>
      </c>
      <c r="AA405" s="738" t="s">
        <v>2225</v>
      </c>
      <c r="AB405" s="739" t="s">
        <v>2226</v>
      </c>
      <c r="AC405" s="186" t="s">
        <v>2227</v>
      </c>
      <c r="AD405" s="167" t="s">
        <v>2228</v>
      </c>
      <c r="AE405" s="735">
        <v>9.0</v>
      </c>
      <c r="AF405" s="735">
        <v>202.0</v>
      </c>
      <c r="AG405" s="735">
        <v>0.15</v>
      </c>
      <c r="AH405" s="740" t="s">
        <v>874</v>
      </c>
      <c r="AI405" s="186" t="s">
        <v>624</v>
      </c>
      <c r="AJ405" s="735">
        <v>0.001</v>
      </c>
      <c r="AK405" s="180" t="s">
        <v>135</v>
      </c>
      <c r="AL405" s="737" t="s">
        <v>186</v>
      </c>
      <c r="AM405" s="186" t="s">
        <v>141</v>
      </c>
      <c r="AN405" s="175" t="s">
        <v>138</v>
      </c>
      <c r="AO405" s="735">
        <v>73.0</v>
      </c>
      <c r="AP405" s="197">
        <v>0.005</v>
      </c>
      <c r="AQ405" s="737" t="s">
        <v>874</v>
      </c>
      <c r="AR405" s="167" t="s">
        <v>2229</v>
      </c>
      <c r="AS405" s="735">
        <v>0.56</v>
      </c>
      <c r="AT405" s="180" t="s">
        <v>172</v>
      </c>
      <c r="AU405" s="741" t="s">
        <v>186</v>
      </c>
      <c r="AV405" s="738" t="s">
        <v>137</v>
      </c>
      <c r="AW405" s="175" t="s">
        <v>138</v>
      </c>
      <c r="AX405" s="180" t="s">
        <v>151</v>
      </c>
      <c r="AY405" s="61" t="str">
        <f>IFERROR(__xludf.DUMMYFUNCTION("vlookup(BB405,importrange(""https://docs.google.com/spreadsheets/d/1d2vevQ_7D_v35q4wCQ4RpQ_IPoTwEMB9Yp6ymwlPqew/edit?gid=984458430#gid=984458430"", ""'replication success'!A:K""), 11, FAlSE)"),"failed")</f>
        <v>failed</v>
      </c>
      <c r="AZ405" s="61" t="str">
        <f>IFERROR(__xludf.DUMMYFUNCTION("vlookup(BB405,importrange(""https://docs.google.com/spreadsheets/d/1d2vevQ_7D_v35q4wCQ4RpQ_IPoTwEMB9Yp6ymwlPqew/edit?gid=984458430#gid=984458430"",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05" s="61" t="str">
        <f>IFERROR(__xludf.DUMMYFUNCTION("vlookup(BB405,importrange(""https://docs.google.com/spreadsheets/d/1d2vevQ_7D_v35q4wCQ4RpQ_IPoTwEMB9Yp6ymwlPqew/edit?gid=984458430#gid=984458430"", ""'replication success'!A:M""), 13, FAlSE)"),"abstract")</f>
        <v>abstract</v>
      </c>
      <c r="BB405" s="61" t="str">
        <f>IFERROR(__xludf.DUMMYFUNCTION("REGEXREPLACE(G405, ""_[a-z]{1,2}$"", """")"),"additional_studies84")</f>
        <v>additional_studies84</v>
      </c>
      <c r="BC405" s="129"/>
      <c r="BD405" s="168" t="s">
        <v>144</v>
      </c>
      <c r="BE405" s="71"/>
      <c r="BF405" s="71"/>
      <c r="BG405" s="71"/>
      <c r="BH405" s="71"/>
      <c r="BI405" s="71"/>
      <c r="BJ405" s="71"/>
      <c r="BK405" s="71"/>
      <c r="BL405" s="71"/>
      <c r="BM405" s="71"/>
      <c r="BN405" s="71"/>
      <c r="BO405" s="71"/>
      <c r="BP405" s="71"/>
      <c r="BQ405" s="71"/>
      <c r="BR405" s="71"/>
      <c r="BS405" s="71"/>
      <c r="BT405" s="71"/>
      <c r="BU405" s="71"/>
      <c r="BV405" s="71"/>
      <c r="BW405" s="71"/>
      <c r="BX405" s="71"/>
      <c r="BY405" s="71"/>
      <c r="BZ405" s="71"/>
      <c r="CA405" s="71"/>
      <c r="CB405" s="71"/>
      <c r="CC405" s="71"/>
      <c r="CD405" s="71"/>
      <c r="CE405" s="71"/>
      <c r="CF405" s="71"/>
      <c r="CG405" s="71"/>
      <c r="CH405" s="71"/>
      <c r="CI405" s="71"/>
      <c r="CJ405" s="71"/>
      <c r="CK405" s="71"/>
      <c r="CL405" s="71"/>
      <c r="CM405" s="71"/>
      <c r="CN405" s="71"/>
      <c r="CO405" s="71"/>
      <c r="CP405" s="71"/>
      <c r="CQ405" s="71"/>
      <c r="CR405" s="71"/>
      <c r="CS405" s="71"/>
      <c r="CT405" s="71"/>
      <c r="CU405" s="71"/>
      <c r="CV405" s="71"/>
      <c r="CW405" s="71"/>
      <c r="CX405" s="71"/>
      <c r="CY405" s="71"/>
      <c r="CZ405" s="71"/>
      <c r="DA405" s="71"/>
      <c r="DB405" s="71"/>
      <c r="DC405" s="71"/>
      <c r="DD405" s="71"/>
      <c r="DE405" s="71"/>
      <c r="DF405" s="71"/>
      <c r="DG405" s="71"/>
      <c r="DH405" s="71"/>
      <c r="DI405" s="71"/>
      <c r="DJ405" s="71"/>
      <c r="DK405" s="71"/>
      <c r="DL405" s="71"/>
    </row>
    <row r="406" ht="20.25" customHeight="1">
      <c r="A406" s="44">
        <v>406.0</v>
      </c>
      <c r="B406" s="168" t="s">
        <v>152</v>
      </c>
      <c r="C406" s="742" t="s">
        <v>115</v>
      </c>
      <c r="D406" s="742" t="s">
        <v>2192</v>
      </c>
      <c r="E406" s="743"/>
      <c r="F406" s="738" t="s">
        <v>2216</v>
      </c>
      <c r="G406" s="744" t="s">
        <v>2217</v>
      </c>
      <c r="H406" s="738" t="s">
        <v>2193</v>
      </c>
      <c r="I406" s="745">
        <v>45489.0</v>
      </c>
      <c r="J406" s="745">
        <v>45662.0</v>
      </c>
      <c r="K406" s="746"/>
      <c r="L406" s="212" t="s">
        <v>2230</v>
      </c>
      <c r="M406" s="738" t="s">
        <v>2220</v>
      </c>
      <c r="N406" s="738" t="s">
        <v>2221</v>
      </c>
      <c r="O406" s="747">
        <v>1.0</v>
      </c>
      <c r="P406" s="738" t="str">
        <f t="shared" si="24"/>
        <v>10.1016--j.learninstruc.2014.08.004.pdf</v>
      </c>
      <c r="Q406" s="52" t="str">
        <f t="array" ref="Q406"> if(iserror(MATCH(V406, 'File Links'!C:C, 0)), "N/A", HYPERLINK(INDEX('File Links'!B:B, MATCH(P406, 'File Links'!C:C, 0))))</f>
        <v>https://drive.google.com/file/d/1dE7-AS0QPxKoPMyquy5WhD3ojjC80SWY/view?usp=drivesdk</v>
      </c>
      <c r="R406" s="738" t="s">
        <v>2222</v>
      </c>
      <c r="S406" s="738" t="s">
        <v>2223</v>
      </c>
      <c r="T406" s="746"/>
      <c r="U406" s="175">
        <v>1.0</v>
      </c>
      <c r="V406" s="738" t="str">
        <f t="shared" si="25"/>
        <v>10.1007--s11251-024-09670-y.pdf</v>
      </c>
      <c r="W406" s="186" t="s">
        <v>2224</v>
      </c>
      <c r="X406" s="54" t="str">
        <f t="array" ref="X406"> if(iserror(MATCH(V406, 'File Links'!C:C, 0)), "N/A", HYPERLINK(INDEX('File Links'!B:B, MATCH(V406, 'File Links'!C:C, 0))))</f>
        <v>https://drive.google.com/file/d/1pi6g99iJYyhyD_0jGvDca_hbleDdekCp/view?usp=drivesdk</v>
      </c>
      <c r="Y406" s="746"/>
      <c r="Z406" s="738" t="s">
        <v>241</v>
      </c>
      <c r="AA406" s="738" t="s">
        <v>2225</v>
      </c>
      <c r="AB406" s="739" t="s">
        <v>2226</v>
      </c>
      <c r="AC406" s="738" t="s">
        <v>2231</v>
      </c>
      <c r="AD406" s="739" t="s">
        <v>2232</v>
      </c>
      <c r="AE406" s="747">
        <v>6.0</v>
      </c>
      <c r="AF406" s="747">
        <v>98.0</v>
      </c>
      <c r="AG406" s="747">
        <v>0.27</v>
      </c>
      <c r="AH406" s="748" t="s">
        <v>139</v>
      </c>
      <c r="AI406" s="744" t="s">
        <v>140</v>
      </c>
      <c r="AJ406" s="749">
        <v>0.001</v>
      </c>
      <c r="AK406" s="738" t="s">
        <v>135</v>
      </c>
      <c r="AL406" s="744" t="s">
        <v>186</v>
      </c>
      <c r="AM406" s="738" t="s">
        <v>137</v>
      </c>
      <c r="AN406" s="175" t="s">
        <v>138</v>
      </c>
      <c r="AO406" s="747">
        <v>75.0</v>
      </c>
      <c r="AP406" s="750">
        <v>0.005</v>
      </c>
      <c r="AQ406" s="746" t="s">
        <v>139</v>
      </c>
      <c r="AR406" s="738" t="s">
        <v>2229</v>
      </c>
      <c r="AS406" s="751">
        <v>0.56</v>
      </c>
      <c r="AT406" s="738" t="s">
        <v>172</v>
      </c>
      <c r="AU406" s="738" t="s">
        <v>186</v>
      </c>
      <c r="AV406" s="738" t="s">
        <v>137</v>
      </c>
      <c r="AW406" s="175" t="s">
        <v>138</v>
      </c>
      <c r="AX406" s="180" t="s">
        <v>151</v>
      </c>
      <c r="AY406" s="61" t="str">
        <f>IFERROR(__xludf.DUMMYFUNCTION("vlookup(BB406,importrange(""https://docs.google.com/spreadsheets/d/1d2vevQ_7D_v35q4wCQ4RpQ_IPoTwEMB9Yp6ymwlPqew/edit?gid=984458430#gid=984458430"", ""'replication success'!A:K""), 11, FAlSE)"),"failed")</f>
        <v>failed</v>
      </c>
      <c r="AZ406" s="61" t="str">
        <f>IFERROR(__xludf.DUMMYFUNCTION("vlookup(BB406,importrange(""https://docs.google.com/spreadsheets/d/1d2vevQ_7D_v35q4wCQ4RpQ_IPoTwEMB9Yp6ymwlPqew/edit?gid=984458430#gid=984458430"",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06" s="61" t="str">
        <f>IFERROR(__xludf.DUMMYFUNCTION("vlookup(BB406,importrange(""https://docs.google.com/spreadsheets/d/1d2vevQ_7D_v35q4wCQ4RpQ_IPoTwEMB9Yp6ymwlPqew/edit?gid=984458430#gid=984458430"", ""'replication success'!A:M""), 13, FAlSE)"),"abstract")</f>
        <v>abstract</v>
      </c>
      <c r="BB406" s="61" t="str">
        <f>IFERROR(__xludf.DUMMYFUNCTION("REGEXREPLACE(G406, ""_[a-z]{1,2}$"", """")"),"additional_studies84")</f>
        <v>additional_studies84</v>
      </c>
      <c r="BC406" s="129" t="s">
        <v>2230</v>
      </c>
      <c r="BD406" s="168" t="s">
        <v>144</v>
      </c>
      <c r="BE406" s="752"/>
      <c r="BF406" s="752"/>
      <c r="BG406" s="752"/>
      <c r="BH406" s="752"/>
      <c r="BI406" s="752"/>
      <c r="BJ406" s="752"/>
      <c r="BK406" s="752"/>
      <c r="BL406" s="752"/>
      <c r="BM406" s="752"/>
      <c r="BN406" s="752"/>
      <c r="BO406" s="752"/>
      <c r="BP406" s="752"/>
      <c r="BQ406" s="752"/>
      <c r="BR406" s="752"/>
      <c r="BS406" s="752"/>
      <c r="BT406" s="752"/>
      <c r="BU406" s="752"/>
      <c r="BV406" s="752"/>
      <c r="BW406" s="752"/>
      <c r="BX406" s="752"/>
      <c r="BY406" s="752"/>
      <c r="BZ406" s="752"/>
      <c r="CA406" s="752"/>
      <c r="CB406" s="752"/>
      <c r="CC406" s="752"/>
      <c r="CD406" s="752"/>
      <c r="CE406" s="752"/>
      <c r="CF406" s="752"/>
      <c r="CG406" s="752"/>
      <c r="CH406" s="752"/>
      <c r="CI406" s="752"/>
      <c r="CJ406" s="752"/>
      <c r="CK406" s="752"/>
      <c r="CL406" s="752"/>
      <c r="CM406" s="752"/>
      <c r="CN406" s="752"/>
      <c r="CO406" s="752"/>
      <c r="CP406" s="752"/>
      <c r="CQ406" s="752"/>
      <c r="CR406" s="752"/>
      <c r="CS406" s="752"/>
      <c r="CT406" s="752"/>
      <c r="CU406" s="752"/>
      <c r="CV406" s="752"/>
      <c r="CW406" s="752"/>
      <c r="CX406" s="752"/>
      <c r="CY406" s="752"/>
      <c r="CZ406" s="752"/>
      <c r="DA406" s="752"/>
      <c r="DB406" s="752"/>
      <c r="DC406" s="752"/>
      <c r="DD406" s="752"/>
      <c r="DE406" s="752"/>
      <c r="DF406" s="752"/>
      <c r="DG406" s="752"/>
      <c r="DH406" s="752"/>
      <c r="DI406" s="752"/>
      <c r="DJ406" s="752"/>
      <c r="DK406" s="752"/>
      <c r="DL406" s="752"/>
    </row>
    <row r="407" ht="20.25" customHeight="1">
      <c r="A407" s="44">
        <v>407.0</v>
      </c>
      <c r="B407" s="168" t="s">
        <v>152</v>
      </c>
      <c r="C407" s="168" t="s">
        <v>115</v>
      </c>
      <c r="D407" s="168" t="s">
        <v>1458</v>
      </c>
      <c r="E407" s="164"/>
      <c r="F407" s="738" t="s">
        <v>2216</v>
      </c>
      <c r="G407" s="186" t="s">
        <v>2233</v>
      </c>
      <c r="H407" s="186" t="s">
        <v>1518</v>
      </c>
      <c r="I407" s="733">
        <v>45489.0</v>
      </c>
      <c r="J407" s="734">
        <v>45641.0</v>
      </c>
      <c r="K407" s="186" t="s">
        <v>2218</v>
      </c>
      <c r="L407" s="737"/>
      <c r="M407" s="753" t="s">
        <v>2220</v>
      </c>
      <c r="N407" s="753" t="s">
        <v>2221</v>
      </c>
      <c r="O407" s="735">
        <v>2.0</v>
      </c>
      <c r="P407" s="736" t="str">
        <f t="shared" si="24"/>
        <v>10.1016--j.learninstruc.2014.08.004.pdf</v>
      </c>
      <c r="Q407" s="52" t="str">
        <f t="array" ref="Q407"> if(iserror(MATCH(V407, 'File Links'!C:C, 0)), "N/A", HYPERLINK(INDEX('File Links'!B:B, MATCH(P407, 'File Links'!C:C, 0))))</f>
        <v>https://drive.google.com/file/d/1dE7-AS0QPxKoPMyquy5WhD3ojjC80SWY/view?usp=drivesdk</v>
      </c>
      <c r="R407" s="186" t="s">
        <v>2222</v>
      </c>
      <c r="S407" s="186" t="s">
        <v>2223</v>
      </c>
      <c r="T407" s="737"/>
      <c r="U407" s="175">
        <v>1.0</v>
      </c>
      <c r="V407" s="186" t="str">
        <f t="shared" si="25"/>
        <v>10.1007--s11251-024-09670-y.pdf</v>
      </c>
      <c r="W407" s="186" t="s">
        <v>2224</v>
      </c>
      <c r="X407" s="54" t="str">
        <f t="array" ref="X407"> if(iserror(MATCH(V407, 'File Links'!C:C, 0)), "N/A", HYPERLINK(INDEX('File Links'!B:B, MATCH(V407, 'File Links'!C:C, 0))))</f>
        <v>https://drive.google.com/file/d/1pi6g99iJYyhyD_0jGvDca_hbleDdekCp/view?usp=drivesdk</v>
      </c>
      <c r="Y407" s="737"/>
      <c r="Z407" s="186" t="s">
        <v>241</v>
      </c>
      <c r="AA407" s="738" t="s">
        <v>2225</v>
      </c>
      <c r="AB407" s="739" t="s">
        <v>2226</v>
      </c>
      <c r="AC407" s="186" t="s">
        <v>2227</v>
      </c>
      <c r="AD407" s="167" t="s">
        <v>2234</v>
      </c>
      <c r="AE407" s="735">
        <v>9.0</v>
      </c>
      <c r="AF407" s="735">
        <v>202.0</v>
      </c>
      <c r="AG407" s="167" t="s">
        <v>2235</v>
      </c>
      <c r="AH407" s="754" t="s">
        <v>134</v>
      </c>
      <c r="AI407" s="186" t="s">
        <v>624</v>
      </c>
      <c r="AJ407" s="735">
        <v>0.2</v>
      </c>
      <c r="AK407" s="180" t="s">
        <v>172</v>
      </c>
      <c r="AL407" s="737" t="s">
        <v>186</v>
      </c>
      <c r="AM407" s="737" t="s">
        <v>141</v>
      </c>
      <c r="AN407" s="175" t="s">
        <v>138</v>
      </c>
      <c r="AO407" s="735">
        <v>73.0</v>
      </c>
      <c r="AP407" s="577">
        <v>0.002</v>
      </c>
      <c r="AQ407" s="737" t="s">
        <v>874</v>
      </c>
      <c r="AR407" s="167" t="s">
        <v>2229</v>
      </c>
      <c r="AS407" s="735">
        <v>0.73</v>
      </c>
      <c r="AT407" s="180" t="s">
        <v>172</v>
      </c>
      <c r="AU407" s="741" t="s">
        <v>186</v>
      </c>
      <c r="AV407" s="738" t="s">
        <v>137</v>
      </c>
      <c r="AW407" s="175" t="s">
        <v>138</v>
      </c>
      <c r="AX407" s="180" t="s">
        <v>151</v>
      </c>
      <c r="AY407" s="61" t="str">
        <f>IFERROR(__xludf.DUMMYFUNCTION("vlookup(BB407,importrange(""https://docs.google.com/spreadsheets/d/1d2vevQ_7D_v35q4wCQ4RpQ_IPoTwEMB9Yp6ymwlPqew/edit?gid=984458430#gid=984458430"", ""'replication success'!A:K""), 11, FAlSE)"),"failed")</f>
        <v>failed</v>
      </c>
      <c r="AZ407" s="61" t="str">
        <f>IFERROR(__xludf.DUMMYFUNCTION("vlookup(BB407,importrange(""https://docs.google.com/spreadsheets/d/1d2vevQ_7D_v35q4wCQ4RpQ_IPoTwEMB9Yp6ymwlPqew/edit?gid=984458430#gid=984458430"",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07" s="61" t="str">
        <f>IFERROR(__xludf.DUMMYFUNCTION("vlookup(BB407,importrange(""https://docs.google.com/spreadsheets/d/1d2vevQ_7D_v35q4wCQ4RpQ_IPoTwEMB9Yp6ymwlPqew/edit?gid=984458430#gid=984458430"", ""'replication success'!A:M""), 13, FAlSE)"),"abstract")</f>
        <v>abstract</v>
      </c>
      <c r="BB407" s="61" t="str">
        <f>IFERROR(__xludf.DUMMYFUNCTION("REGEXREPLACE(G407, ""_[a-z]{1,2}$"", """")"),"additional_studies84")</f>
        <v>additional_studies84</v>
      </c>
      <c r="BC407" s="61"/>
      <c r="BD407" s="168" t="s">
        <v>144</v>
      </c>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c r="CA407" s="92"/>
      <c r="CB407" s="92"/>
      <c r="CC407" s="92"/>
      <c r="CD407" s="92"/>
      <c r="CE407" s="92"/>
      <c r="CF407" s="92"/>
      <c r="CG407" s="92"/>
      <c r="CH407" s="92"/>
      <c r="CI407" s="92"/>
      <c r="CJ407" s="92"/>
      <c r="CK407" s="92"/>
      <c r="CL407" s="92"/>
      <c r="CM407" s="92"/>
      <c r="CN407" s="92"/>
      <c r="CO407" s="92"/>
      <c r="CP407" s="92"/>
      <c r="CQ407" s="92"/>
      <c r="CR407" s="92"/>
      <c r="CS407" s="92"/>
      <c r="CT407" s="92"/>
      <c r="CU407" s="92"/>
      <c r="CV407" s="92"/>
      <c r="CW407" s="92"/>
      <c r="CX407" s="92"/>
      <c r="CY407" s="92"/>
      <c r="CZ407" s="92"/>
      <c r="DA407" s="92"/>
      <c r="DB407" s="92"/>
      <c r="DC407" s="92"/>
      <c r="DD407" s="92"/>
      <c r="DE407" s="92"/>
      <c r="DF407" s="92"/>
      <c r="DG407" s="92"/>
      <c r="DH407" s="92"/>
      <c r="DI407" s="92"/>
      <c r="DJ407" s="92"/>
      <c r="DK407" s="92"/>
      <c r="DL407" s="92"/>
    </row>
    <row r="408" ht="20.25" customHeight="1">
      <c r="A408" s="44">
        <v>408.0</v>
      </c>
      <c r="B408" s="168" t="s">
        <v>152</v>
      </c>
      <c r="C408" s="742" t="s">
        <v>115</v>
      </c>
      <c r="D408" s="742" t="s">
        <v>2192</v>
      </c>
      <c r="E408" s="743"/>
      <c r="F408" s="738" t="s">
        <v>2216</v>
      </c>
      <c r="G408" s="744" t="s">
        <v>2233</v>
      </c>
      <c r="H408" s="738" t="s">
        <v>2193</v>
      </c>
      <c r="I408" s="745">
        <v>45662.0</v>
      </c>
      <c r="J408" s="755"/>
      <c r="K408" s="746"/>
      <c r="L408" s="746"/>
      <c r="M408" s="738" t="s">
        <v>2220</v>
      </c>
      <c r="N408" s="738" t="s">
        <v>2221</v>
      </c>
      <c r="O408" s="747">
        <v>1.0</v>
      </c>
      <c r="P408" s="738" t="str">
        <f t="shared" si="24"/>
        <v>10.1016--j.learninstruc.2014.08.004.pdf</v>
      </c>
      <c r="Q408" s="52" t="str">
        <f t="array" ref="Q408"> if(iserror(MATCH(V408, 'File Links'!C:C, 0)), "N/A", HYPERLINK(INDEX('File Links'!B:B, MATCH(P408, 'File Links'!C:C, 0))))</f>
        <v>https://drive.google.com/file/d/1dE7-AS0QPxKoPMyquy5WhD3ojjC80SWY/view?usp=drivesdk</v>
      </c>
      <c r="R408" s="738" t="s">
        <v>2222</v>
      </c>
      <c r="S408" s="738" t="s">
        <v>2223</v>
      </c>
      <c r="T408" s="746"/>
      <c r="U408" s="175">
        <v>1.0</v>
      </c>
      <c r="V408" s="738" t="str">
        <f t="shared" si="25"/>
        <v>10.1007--s11251-024-09670-y.pdf</v>
      </c>
      <c r="W408" s="186" t="s">
        <v>2224</v>
      </c>
      <c r="X408" s="54" t="str">
        <f t="array" ref="X408"> if(iserror(MATCH(V408, 'File Links'!C:C, 0)), "N/A", HYPERLINK(INDEX('File Links'!B:B, MATCH(V408, 'File Links'!C:C, 0))))</f>
        <v>https://drive.google.com/file/d/1pi6g99iJYyhyD_0jGvDca_hbleDdekCp/view?usp=drivesdk</v>
      </c>
      <c r="Y408" s="746"/>
      <c r="Z408" s="738" t="s">
        <v>241</v>
      </c>
      <c r="AA408" s="738" t="s">
        <v>2225</v>
      </c>
      <c r="AB408" s="739" t="s">
        <v>2226</v>
      </c>
      <c r="AC408" s="738" t="s">
        <v>2236</v>
      </c>
      <c r="AD408" s="739" t="s">
        <v>2237</v>
      </c>
      <c r="AE408" s="747">
        <v>6.0</v>
      </c>
      <c r="AF408" s="747">
        <v>98.0</v>
      </c>
      <c r="AG408" s="738" t="s">
        <v>2238</v>
      </c>
      <c r="AH408" s="739" t="s">
        <v>134</v>
      </c>
      <c r="AI408" s="744" t="s">
        <v>140</v>
      </c>
      <c r="AJ408" s="749">
        <v>0.15</v>
      </c>
      <c r="AK408" s="738" t="s">
        <v>172</v>
      </c>
      <c r="AL408" s="744" t="s">
        <v>186</v>
      </c>
      <c r="AM408" s="738" t="s">
        <v>137</v>
      </c>
      <c r="AN408" s="175" t="s">
        <v>138</v>
      </c>
      <c r="AO408" s="747">
        <v>75.0</v>
      </c>
      <c r="AP408" s="208">
        <v>0.002</v>
      </c>
      <c r="AQ408" s="746" t="s">
        <v>139</v>
      </c>
      <c r="AR408" s="738" t="s">
        <v>2229</v>
      </c>
      <c r="AS408" s="747">
        <v>0.73</v>
      </c>
      <c r="AT408" s="738" t="s">
        <v>172</v>
      </c>
      <c r="AU408" s="738" t="s">
        <v>186</v>
      </c>
      <c r="AV408" s="738" t="s">
        <v>137</v>
      </c>
      <c r="AW408" s="175" t="s">
        <v>138</v>
      </c>
      <c r="AX408" s="180" t="s">
        <v>151</v>
      </c>
      <c r="AY408" s="61" t="str">
        <f>IFERROR(__xludf.DUMMYFUNCTION("vlookup(BB408,importrange(""https://docs.google.com/spreadsheets/d/1d2vevQ_7D_v35q4wCQ4RpQ_IPoTwEMB9Yp6ymwlPqew/edit?gid=984458430#gid=984458430"", ""'replication success'!A:K""), 11, FAlSE)"),"failed")</f>
        <v>failed</v>
      </c>
      <c r="AZ408" s="61" t="str">
        <f>IFERROR(__xludf.DUMMYFUNCTION("vlookup(BB408,importrange(""https://docs.google.com/spreadsheets/d/1d2vevQ_7D_v35q4wCQ4RpQ_IPoTwEMB9Yp6ymwlPqew/edit?gid=984458430#gid=984458430"",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08" s="61" t="str">
        <f>IFERROR(__xludf.DUMMYFUNCTION("vlookup(BB408,importrange(""https://docs.google.com/spreadsheets/d/1d2vevQ_7D_v35q4wCQ4RpQ_IPoTwEMB9Yp6ymwlPqew/edit?gid=984458430#gid=984458430"", ""'replication success'!A:M""), 13, FAlSE)"),"abstract")</f>
        <v>abstract</v>
      </c>
      <c r="BB408" s="61" t="str">
        <f>IFERROR(__xludf.DUMMYFUNCTION("REGEXREPLACE(G408, ""_[a-z]{1,2}$"", """")"),"additional_studies84")</f>
        <v>additional_studies84</v>
      </c>
      <c r="BC408" s="68"/>
      <c r="BD408" s="168" t="s">
        <v>144</v>
      </c>
      <c r="BE408" s="92"/>
      <c r="BF408" s="92"/>
      <c r="BG408" s="92"/>
      <c r="BH408" s="92"/>
      <c r="BI408" s="92"/>
      <c r="BJ408" s="92"/>
      <c r="BK408" s="92"/>
      <c r="BL408" s="92"/>
      <c r="BM408" s="92"/>
      <c r="BN408" s="92"/>
      <c r="BO408" s="92"/>
      <c r="BP408" s="92"/>
      <c r="BQ408" s="92"/>
      <c r="BR408" s="92"/>
      <c r="BS408" s="92"/>
      <c r="BT408" s="92"/>
      <c r="BU408" s="92"/>
      <c r="BV408" s="92"/>
      <c r="BW408" s="92"/>
      <c r="BX408" s="92"/>
      <c r="BY408" s="92"/>
      <c r="BZ408" s="92"/>
      <c r="CA408" s="92"/>
      <c r="CB408" s="92"/>
      <c r="CC408" s="92"/>
      <c r="CD408" s="92"/>
      <c r="CE408" s="92"/>
      <c r="CF408" s="92"/>
      <c r="CG408" s="92"/>
      <c r="CH408" s="92"/>
      <c r="CI408" s="92"/>
      <c r="CJ408" s="92"/>
      <c r="CK408" s="92"/>
      <c r="CL408" s="92"/>
      <c r="CM408" s="92"/>
      <c r="CN408" s="92"/>
      <c r="CO408" s="92"/>
      <c r="CP408" s="92"/>
      <c r="CQ408" s="92"/>
      <c r="CR408" s="92"/>
      <c r="CS408" s="92"/>
      <c r="CT408" s="92"/>
      <c r="CU408" s="92"/>
      <c r="CV408" s="92"/>
      <c r="CW408" s="92"/>
      <c r="CX408" s="92"/>
      <c r="CY408" s="92"/>
      <c r="CZ408" s="92"/>
      <c r="DA408" s="92"/>
      <c r="DB408" s="92"/>
      <c r="DC408" s="92"/>
      <c r="DD408" s="92"/>
      <c r="DE408" s="92"/>
      <c r="DF408" s="92"/>
      <c r="DG408" s="92"/>
      <c r="DH408" s="92"/>
      <c r="DI408" s="92"/>
      <c r="DJ408" s="92"/>
      <c r="DK408" s="92"/>
      <c r="DL408" s="92"/>
    </row>
    <row r="409" ht="20.25" customHeight="1">
      <c r="A409" s="44">
        <v>409.0</v>
      </c>
      <c r="B409" s="168" t="s">
        <v>152</v>
      </c>
      <c r="C409" s="168" t="s">
        <v>115</v>
      </c>
      <c r="D409" s="168" t="s">
        <v>1458</v>
      </c>
      <c r="E409" s="164"/>
      <c r="F409" s="738" t="s">
        <v>2216</v>
      </c>
      <c r="G409" s="186" t="s">
        <v>2239</v>
      </c>
      <c r="H409" s="186" t="s">
        <v>1518</v>
      </c>
      <c r="I409" s="733">
        <v>45489.0</v>
      </c>
      <c r="J409" s="734">
        <v>45641.0</v>
      </c>
      <c r="K409" s="186" t="s">
        <v>2218</v>
      </c>
      <c r="L409" s="737"/>
      <c r="M409" s="753" t="s">
        <v>2220</v>
      </c>
      <c r="N409" s="753" t="s">
        <v>2221</v>
      </c>
      <c r="O409" s="735">
        <v>2.0</v>
      </c>
      <c r="P409" s="736" t="str">
        <f t="shared" si="24"/>
        <v>10.1016--j.learninstruc.2014.08.004.pdf</v>
      </c>
      <c r="Q409" s="52" t="str">
        <f t="array" ref="Q409"> if(iserror(MATCH(V409, 'File Links'!C:C, 0)), "N/A", HYPERLINK(INDEX('File Links'!B:B, MATCH(P409, 'File Links'!C:C, 0))))</f>
        <v>https://drive.google.com/file/d/1dE7-AS0QPxKoPMyquy5WhD3ojjC80SWY/view?usp=drivesdk</v>
      </c>
      <c r="R409" s="186" t="s">
        <v>2222</v>
      </c>
      <c r="S409" s="186" t="s">
        <v>2223</v>
      </c>
      <c r="T409" s="737"/>
      <c r="U409" s="175">
        <v>1.0</v>
      </c>
      <c r="V409" s="186" t="str">
        <f t="shared" si="25"/>
        <v>10.1007--s11251-024-09670-y.pdf</v>
      </c>
      <c r="W409" s="186" t="s">
        <v>2224</v>
      </c>
      <c r="X409" s="54" t="str">
        <f t="array" ref="X409"> if(iserror(MATCH(V409, 'File Links'!C:C, 0)), "N/A", HYPERLINK(INDEX('File Links'!B:B, MATCH(V409, 'File Links'!C:C, 0))))</f>
        <v>https://drive.google.com/file/d/1pi6g99iJYyhyD_0jGvDca_hbleDdekCp/view?usp=drivesdk</v>
      </c>
      <c r="Y409" s="737"/>
      <c r="Z409" s="186" t="s">
        <v>241</v>
      </c>
      <c r="AA409" s="738" t="s">
        <v>2225</v>
      </c>
      <c r="AB409" s="739" t="s">
        <v>2226</v>
      </c>
      <c r="AC409" s="186" t="s">
        <v>2227</v>
      </c>
      <c r="AD409" s="167" t="s">
        <v>2240</v>
      </c>
      <c r="AE409" s="735">
        <v>9.0</v>
      </c>
      <c r="AF409" s="735">
        <v>202.0</v>
      </c>
      <c r="AG409" s="167" t="s">
        <v>2241</v>
      </c>
      <c r="AH409" s="754" t="s">
        <v>134</v>
      </c>
      <c r="AI409" s="186" t="s">
        <v>624</v>
      </c>
      <c r="AJ409" s="735">
        <v>0.3</v>
      </c>
      <c r="AK409" s="180" t="s">
        <v>172</v>
      </c>
      <c r="AL409" s="737" t="s">
        <v>186</v>
      </c>
      <c r="AM409" s="737" t="s">
        <v>141</v>
      </c>
      <c r="AN409" s="175" t="s">
        <v>138</v>
      </c>
      <c r="AO409" s="735">
        <v>73.0</v>
      </c>
      <c r="AP409" s="735">
        <v>0.012</v>
      </c>
      <c r="AQ409" s="737" t="s">
        <v>874</v>
      </c>
      <c r="AR409" s="167" t="s">
        <v>2229</v>
      </c>
      <c r="AS409" s="735">
        <v>0.36</v>
      </c>
      <c r="AT409" s="180" t="s">
        <v>172</v>
      </c>
      <c r="AU409" s="741" t="s">
        <v>186</v>
      </c>
      <c r="AV409" s="738" t="s">
        <v>137</v>
      </c>
      <c r="AW409" s="175" t="s">
        <v>138</v>
      </c>
      <c r="AX409" s="180" t="s">
        <v>151</v>
      </c>
      <c r="AY409" s="61" t="str">
        <f>IFERROR(__xludf.DUMMYFUNCTION("vlookup(BB409,importrange(""https://docs.google.com/spreadsheets/d/1d2vevQ_7D_v35q4wCQ4RpQ_IPoTwEMB9Yp6ymwlPqew/edit?gid=984458430#gid=984458430"", ""'replication success'!A:K""), 11, FAlSE)"),"failed")</f>
        <v>failed</v>
      </c>
      <c r="AZ409" s="61" t="str">
        <f>IFERROR(__xludf.DUMMYFUNCTION("vlookup(BB409,importrange(""https://docs.google.com/spreadsheets/d/1d2vevQ_7D_v35q4wCQ4RpQ_IPoTwEMB9Yp6ymwlPqew/edit?gid=984458430#gid=984458430"",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09" s="61" t="str">
        <f>IFERROR(__xludf.DUMMYFUNCTION("vlookup(BB409,importrange(""https://docs.google.com/spreadsheets/d/1d2vevQ_7D_v35q4wCQ4RpQ_IPoTwEMB9Yp6ymwlPqew/edit?gid=984458430#gid=984458430"", ""'replication success'!A:M""), 13, FAlSE)"),"abstract")</f>
        <v>abstract</v>
      </c>
      <c r="BB409" s="61" t="str">
        <f>IFERROR(__xludf.DUMMYFUNCTION("REGEXREPLACE(G409, ""_[a-z]{1,2}$"", """")"),"additional_studies84")</f>
        <v>additional_studies84</v>
      </c>
      <c r="BC409" s="61"/>
      <c r="BD409" s="168" t="s">
        <v>144</v>
      </c>
      <c r="BE409" s="752"/>
      <c r="BF409" s="752"/>
      <c r="BG409" s="752"/>
      <c r="BH409" s="752"/>
      <c r="BI409" s="752"/>
      <c r="BJ409" s="752"/>
      <c r="BK409" s="752"/>
      <c r="BL409" s="752"/>
      <c r="BM409" s="752"/>
      <c r="BN409" s="752"/>
      <c r="BO409" s="752"/>
      <c r="BP409" s="752"/>
      <c r="BQ409" s="752"/>
      <c r="BR409" s="752"/>
      <c r="BS409" s="752"/>
      <c r="BT409" s="752"/>
      <c r="BU409" s="752"/>
      <c r="BV409" s="752"/>
      <c r="BW409" s="752"/>
      <c r="BX409" s="752"/>
      <c r="BY409" s="752"/>
      <c r="BZ409" s="752"/>
      <c r="CA409" s="752"/>
      <c r="CB409" s="752"/>
      <c r="CC409" s="752"/>
      <c r="CD409" s="752"/>
      <c r="CE409" s="752"/>
      <c r="CF409" s="752"/>
      <c r="CG409" s="752"/>
      <c r="CH409" s="752"/>
      <c r="CI409" s="752"/>
      <c r="CJ409" s="752"/>
      <c r="CK409" s="752"/>
      <c r="CL409" s="752"/>
      <c r="CM409" s="752"/>
      <c r="CN409" s="752"/>
      <c r="CO409" s="752"/>
      <c r="CP409" s="752"/>
      <c r="CQ409" s="752"/>
      <c r="CR409" s="752"/>
      <c r="CS409" s="752"/>
      <c r="CT409" s="752"/>
      <c r="CU409" s="752"/>
      <c r="CV409" s="752"/>
      <c r="CW409" s="752"/>
      <c r="CX409" s="752"/>
      <c r="CY409" s="752"/>
      <c r="CZ409" s="752"/>
      <c r="DA409" s="752"/>
      <c r="DB409" s="752"/>
      <c r="DC409" s="752"/>
      <c r="DD409" s="752"/>
      <c r="DE409" s="752"/>
      <c r="DF409" s="752"/>
      <c r="DG409" s="752"/>
      <c r="DH409" s="752"/>
      <c r="DI409" s="752"/>
      <c r="DJ409" s="752"/>
      <c r="DK409" s="752"/>
      <c r="DL409" s="752"/>
    </row>
    <row r="410" ht="20.25" customHeight="1">
      <c r="A410" s="44">
        <v>410.0</v>
      </c>
      <c r="B410" s="168" t="s">
        <v>152</v>
      </c>
      <c r="C410" s="742" t="s">
        <v>115</v>
      </c>
      <c r="D410" s="742" t="s">
        <v>2192</v>
      </c>
      <c r="E410" s="743"/>
      <c r="F410" s="738" t="s">
        <v>2216</v>
      </c>
      <c r="G410" s="744" t="s">
        <v>2239</v>
      </c>
      <c r="H410" s="738" t="s">
        <v>2193</v>
      </c>
      <c r="I410" s="745">
        <v>45662.0</v>
      </c>
      <c r="J410" s="746"/>
      <c r="K410" s="746"/>
      <c r="L410" s="746"/>
      <c r="M410" s="738" t="s">
        <v>2220</v>
      </c>
      <c r="N410" s="738" t="s">
        <v>2221</v>
      </c>
      <c r="O410" s="747">
        <v>1.0</v>
      </c>
      <c r="P410" s="738" t="str">
        <f t="shared" si="24"/>
        <v>10.1016--j.learninstruc.2014.08.004.pdf</v>
      </c>
      <c r="Q410" s="52" t="str">
        <f t="array" ref="Q410"> if(iserror(MATCH(V410, 'File Links'!C:C, 0)), "N/A", HYPERLINK(INDEX('File Links'!B:B, MATCH(P410, 'File Links'!C:C, 0))))</f>
        <v>https://drive.google.com/file/d/1dE7-AS0QPxKoPMyquy5WhD3ojjC80SWY/view?usp=drivesdk</v>
      </c>
      <c r="R410" s="738" t="s">
        <v>2222</v>
      </c>
      <c r="S410" s="738" t="s">
        <v>2223</v>
      </c>
      <c r="T410" s="746"/>
      <c r="U410" s="175">
        <v>1.0</v>
      </c>
      <c r="V410" s="738" t="str">
        <f t="shared" si="25"/>
        <v>10.1007--s11251-024-09670-y.pdf</v>
      </c>
      <c r="W410" s="186" t="s">
        <v>2224</v>
      </c>
      <c r="X410" s="54" t="str">
        <f t="array" ref="X410"> if(iserror(MATCH(V410, 'File Links'!C:C, 0)), "N/A", HYPERLINK(INDEX('File Links'!B:B, MATCH(V410, 'File Links'!C:C, 0))))</f>
        <v>https://drive.google.com/file/d/1pi6g99iJYyhyD_0jGvDca_hbleDdekCp/view?usp=drivesdk</v>
      </c>
      <c r="Y410" s="746"/>
      <c r="Z410" s="738" t="s">
        <v>241</v>
      </c>
      <c r="AA410" s="738" t="s">
        <v>2225</v>
      </c>
      <c r="AB410" s="739" t="s">
        <v>2226</v>
      </c>
      <c r="AC410" s="738" t="s">
        <v>2242</v>
      </c>
      <c r="AD410" s="738" t="s">
        <v>2243</v>
      </c>
      <c r="AE410" s="747">
        <v>6.0</v>
      </c>
      <c r="AF410" s="747">
        <v>98.0</v>
      </c>
      <c r="AG410" s="747">
        <v>0.09</v>
      </c>
      <c r="AH410" s="748" t="s">
        <v>139</v>
      </c>
      <c r="AI410" s="744" t="s">
        <v>140</v>
      </c>
      <c r="AJ410" s="749">
        <v>0.01</v>
      </c>
      <c r="AK410" s="738" t="s">
        <v>172</v>
      </c>
      <c r="AL410" s="744" t="s">
        <v>186</v>
      </c>
      <c r="AM410" s="746" t="s">
        <v>137</v>
      </c>
      <c r="AN410" s="175" t="s">
        <v>138</v>
      </c>
      <c r="AO410" s="747">
        <v>75.0</v>
      </c>
      <c r="AP410" s="756">
        <v>0.005</v>
      </c>
      <c r="AQ410" s="746" t="s">
        <v>139</v>
      </c>
      <c r="AR410" s="738" t="s">
        <v>2229</v>
      </c>
      <c r="AS410" s="747">
        <v>0.55</v>
      </c>
      <c r="AT410" s="738" t="s">
        <v>172</v>
      </c>
      <c r="AU410" s="738" t="s">
        <v>186</v>
      </c>
      <c r="AV410" s="738" t="s">
        <v>137</v>
      </c>
      <c r="AW410" s="175" t="s">
        <v>138</v>
      </c>
      <c r="AX410" s="180" t="s">
        <v>151</v>
      </c>
      <c r="AY410" s="61" t="str">
        <f>IFERROR(__xludf.DUMMYFUNCTION("vlookup(BB410,importrange(""https://docs.google.com/spreadsheets/d/1d2vevQ_7D_v35q4wCQ4RpQ_IPoTwEMB9Yp6ymwlPqew/edit?gid=984458430#gid=984458430"", ""'replication success'!A:K""), 11, FAlSE)"),"failed")</f>
        <v>failed</v>
      </c>
      <c r="AZ410" s="61" t="str">
        <f>IFERROR(__xludf.DUMMYFUNCTION("vlookup(BB410,importrange(""https://docs.google.com/spreadsheets/d/1d2vevQ_7D_v35q4wCQ4RpQ_IPoTwEMB9Yp6ymwlPqew/edit?gid=984458430#gid=984458430"",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0" s="61" t="str">
        <f>IFERROR(__xludf.DUMMYFUNCTION("vlookup(BB410,importrange(""https://docs.google.com/spreadsheets/d/1d2vevQ_7D_v35q4wCQ4RpQ_IPoTwEMB9Yp6ymwlPqew/edit?gid=984458430#gid=984458430"", ""'replication success'!A:M""), 13, FAlSE)"),"abstract")</f>
        <v>abstract</v>
      </c>
      <c r="BB410" s="61" t="str">
        <f>IFERROR(__xludf.DUMMYFUNCTION("REGEXREPLACE(G410, ""_[a-z]{1,2}$"", """")"),"additional_studies84")</f>
        <v>additional_studies84</v>
      </c>
      <c r="BC410" s="68"/>
      <c r="BD410" s="168" t="s">
        <v>144</v>
      </c>
      <c r="BE410" s="92"/>
      <c r="BF410" s="92"/>
      <c r="BG410" s="92"/>
      <c r="BH410" s="92"/>
      <c r="BI410" s="92"/>
      <c r="BJ410" s="92"/>
      <c r="BK410" s="92"/>
      <c r="BL410" s="92"/>
      <c r="BM410" s="92"/>
      <c r="BN410" s="92"/>
      <c r="BO410" s="92"/>
      <c r="BP410" s="92"/>
      <c r="BQ410" s="92"/>
      <c r="BR410" s="92"/>
      <c r="BS410" s="92"/>
      <c r="BT410" s="92"/>
      <c r="BU410" s="92"/>
      <c r="BV410" s="92"/>
      <c r="BW410" s="92"/>
      <c r="BX410" s="92"/>
      <c r="BY410" s="92"/>
      <c r="BZ410" s="92"/>
      <c r="CA410" s="92"/>
      <c r="CB410" s="92"/>
      <c r="CC410" s="92"/>
      <c r="CD410" s="92"/>
      <c r="CE410" s="92"/>
      <c r="CF410" s="92"/>
      <c r="CG410" s="92"/>
      <c r="CH410" s="92"/>
      <c r="CI410" s="92"/>
      <c r="CJ410" s="92"/>
      <c r="CK410" s="92"/>
      <c r="CL410" s="92"/>
      <c r="CM410" s="92"/>
      <c r="CN410" s="92"/>
      <c r="CO410" s="92"/>
      <c r="CP410" s="92"/>
      <c r="CQ410" s="92"/>
      <c r="CR410" s="92"/>
      <c r="CS410" s="92"/>
      <c r="CT410" s="92"/>
      <c r="CU410" s="92"/>
      <c r="CV410" s="92"/>
      <c r="CW410" s="92"/>
      <c r="CX410" s="92"/>
      <c r="CY410" s="92"/>
      <c r="CZ410" s="92"/>
      <c r="DA410" s="92"/>
      <c r="DB410" s="92"/>
      <c r="DC410" s="92"/>
      <c r="DD410" s="92"/>
      <c r="DE410" s="92"/>
      <c r="DF410" s="92"/>
      <c r="DG410" s="92"/>
      <c r="DH410" s="92"/>
      <c r="DI410" s="92"/>
      <c r="DJ410" s="92"/>
      <c r="DK410" s="92"/>
      <c r="DL410" s="92"/>
    </row>
    <row r="411" ht="20.25" customHeight="1">
      <c r="A411" s="44">
        <v>411.0</v>
      </c>
      <c r="B411" s="168" t="s">
        <v>152</v>
      </c>
      <c r="C411" s="168" t="s">
        <v>115</v>
      </c>
      <c r="D411" s="168" t="s">
        <v>1458</v>
      </c>
      <c r="E411" s="164"/>
      <c r="F411" s="738" t="s">
        <v>2216</v>
      </c>
      <c r="G411" s="186" t="s">
        <v>2244</v>
      </c>
      <c r="H411" s="186" t="s">
        <v>1518</v>
      </c>
      <c r="I411" s="733">
        <v>45489.0</v>
      </c>
      <c r="J411" s="734">
        <v>45641.0</v>
      </c>
      <c r="K411" s="186" t="s">
        <v>2218</v>
      </c>
      <c r="L411" s="737"/>
      <c r="M411" s="753" t="s">
        <v>2220</v>
      </c>
      <c r="N411" s="753" t="s">
        <v>2221</v>
      </c>
      <c r="O411" s="735">
        <v>2.0</v>
      </c>
      <c r="P411" s="736" t="str">
        <f t="shared" si="24"/>
        <v>10.1016--j.learninstruc.2014.08.004.pdf</v>
      </c>
      <c r="Q411" s="52" t="str">
        <f t="array" ref="Q411"> if(iserror(MATCH(V411, 'File Links'!C:C, 0)), "N/A", HYPERLINK(INDEX('File Links'!B:B, MATCH(P411, 'File Links'!C:C, 0))))</f>
        <v>https://drive.google.com/file/d/1dE7-AS0QPxKoPMyquy5WhD3ojjC80SWY/view?usp=drivesdk</v>
      </c>
      <c r="R411" s="186" t="s">
        <v>2222</v>
      </c>
      <c r="S411" s="186" t="s">
        <v>2223</v>
      </c>
      <c r="T411" s="737"/>
      <c r="U411" s="175">
        <v>1.0</v>
      </c>
      <c r="V411" s="186" t="str">
        <f t="shared" si="25"/>
        <v>10.1007--s11251-024-09670-y.pdf</v>
      </c>
      <c r="W411" s="186" t="s">
        <v>2224</v>
      </c>
      <c r="X411" s="54" t="str">
        <f t="array" ref="X411"> if(iserror(MATCH(V411, 'File Links'!C:C, 0)), "N/A", HYPERLINK(INDEX('File Links'!B:B, MATCH(V411, 'File Links'!C:C, 0))))</f>
        <v>https://drive.google.com/file/d/1pi6g99iJYyhyD_0jGvDca_hbleDdekCp/view?usp=drivesdk</v>
      </c>
      <c r="Y411" s="737"/>
      <c r="Z411" s="186" t="s">
        <v>241</v>
      </c>
      <c r="AA411" s="738" t="s">
        <v>2225</v>
      </c>
      <c r="AB411" s="739" t="s">
        <v>2226</v>
      </c>
      <c r="AC411" s="186" t="s">
        <v>2227</v>
      </c>
      <c r="AD411" s="737" t="s">
        <v>2245</v>
      </c>
      <c r="AE411" s="735">
        <v>9.0</v>
      </c>
      <c r="AF411" s="735">
        <v>202.0</v>
      </c>
      <c r="AG411" s="735">
        <v>0.02</v>
      </c>
      <c r="AH411" s="740" t="s">
        <v>874</v>
      </c>
      <c r="AI411" s="186" t="s">
        <v>624</v>
      </c>
      <c r="AJ411" s="735">
        <v>0.047</v>
      </c>
      <c r="AK411" s="180" t="s">
        <v>172</v>
      </c>
      <c r="AL411" s="737" t="s">
        <v>186</v>
      </c>
      <c r="AM411" s="737" t="s">
        <v>141</v>
      </c>
      <c r="AN411" s="175" t="s">
        <v>138</v>
      </c>
      <c r="AO411" s="735">
        <v>73.0</v>
      </c>
      <c r="AP411" s="197">
        <v>0.001</v>
      </c>
      <c r="AQ411" s="737" t="s">
        <v>874</v>
      </c>
      <c r="AR411" s="167" t="s">
        <v>2229</v>
      </c>
      <c r="AS411" s="735">
        <v>0.84</v>
      </c>
      <c r="AT411" s="180" t="s">
        <v>172</v>
      </c>
      <c r="AU411" s="741" t="s">
        <v>186</v>
      </c>
      <c r="AV411" s="738" t="s">
        <v>137</v>
      </c>
      <c r="AW411" s="175" t="s">
        <v>138</v>
      </c>
      <c r="AX411" s="180" t="s">
        <v>151</v>
      </c>
      <c r="AY411" s="61" t="str">
        <f>IFERROR(__xludf.DUMMYFUNCTION("vlookup(BB411,importrange(""https://docs.google.com/spreadsheets/d/1d2vevQ_7D_v35q4wCQ4RpQ_IPoTwEMB9Yp6ymwlPqew/edit?gid=984458430#gid=984458430"", ""'replication success'!A:K""), 11, FAlSE)"),"failed")</f>
        <v>failed</v>
      </c>
      <c r="AZ411" s="61" t="str">
        <f>IFERROR(__xludf.DUMMYFUNCTION("vlookup(BB411,importrange(""https://docs.google.com/spreadsheets/d/1d2vevQ_7D_v35q4wCQ4RpQ_IPoTwEMB9Yp6ymwlPqew/edit?gid=984458430#gid=984458430"",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1" s="61" t="str">
        <f>IFERROR(__xludf.DUMMYFUNCTION("vlookup(BB411,importrange(""https://docs.google.com/spreadsheets/d/1d2vevQ_7D_v35q4wCQ4RpQ_IPoTwEMB9Yp6ymwlPqew/edit?gid=984458430#gid=984458430"", ""'replication success'!A:M""), 13, FAlSE)"),"abstract")</f>
        <v>abstract</v>
      </c>
      <c r="BB411" s="61" t="str">
        <f>IFERROR(__xludf.DUMMYFUNCTION("REGEXREPLACE(G411, ""_[a-z]{1,2}$"", """")"),"additional_studies84")</f>
        <v>additional_studies84</v>
      </c>
      <c r="BC411" s="61"/>
      <c r="BD411" s="168" t="s">
        <v>144</v>
      </c>
      <c r="BE411" s="71"/>
      <c r="BF411" s="71"/>
      <c r="BG411" s="71"/>
      <c r="BH411" s="71"/>
      <c r="BI411" s="71"/>
      <c r="BJ411" s="71"/>
      <c r="BK411" s="71"/>
      <c r="BL411" s="71"/>
      <c r="BM411" s="71"/>
      <c r="BN411" s="71"/>
      <c r="BO411" s="71"/>
      <c r="BP411" s="71"/>
      <c r="BQ411" s="71"/>
      <c r="BR411" s="71"/>
      <c r="BS411" s="71"/>
      <c r="BT411" s="71"/>
      <c r="BU411" s="71"/>
      <c r="BV411" s="71"/>
      <c r="BW411" s="71"/>
      <c r="BX411" s="71"/>
      <c r="BY411" s="71"/>
      <c r="BZ411" s="71"/>
      <c r="CA411" s="71"/>
      <c r="CB411" s="71"/>
      <c r="CC411" s="71"/>
      <c r="CD411" s="71"/>
      <c r="CE411" s="71"/>
      <c r="CF411" s="71"/>
      <c r="CG411" s="71"/>
      <c r="CH411" s="71"/>
      <c r="CI411" s="71"/>
      <c r="CJ411" s="71"/>
      <c r="CK411" s="71"/>
      <c r="CL411" s="71"/>
      <c r="CM411" s="71"/>
      <c r="CN411" s="71"/>
      <c r="CO411" s="71"/>
      <c r="CP411" s="71"/>
      <c r="CQ411" s="71"/>
      <c r="CR411" s="71"/>
      <c r="CS411" s="71"/>
      <c r="CT411" s="71"/>
      <c r="CU411" s="71"/>
      <c r="CV411" s="71"/>
      <c r="CW411" s="71"/>
      <c r="CX411" s="71"/>
      <c r="CY411" s="71"/>
      <c r="CZ411" s="71"/>
      <c r="DA411" s="71"/>
      <c r="DB411" s="71"/>
      <c r="DC411" s="71"/>
      <c r="DD411" s="71"/>
      <c r="DE411" s="71"/>
      <c r="DF411" s="71"/>
      <c r="DG411" s="71"/>
      <c r="DH411" s="71"/>
      <c r="DI411" s="71"/>
      <c r="DJ411" s="71"/>
      <c r="DK411" s="71"/>
      <c r="DL411" s="71"/>
    </row>
    <row r="412" ht="20.25" customHeight="1">
      <c r="A412" s="44">
        <v>412.0</v>
      </c>
      <c r="B412" s="168" t="s">
        <v>152</v>
      </c>
      <c r="C412" s="742" t="s">
        <v>115</v>
      </c>
      <c r="D412" s="742" t="s">
        <v>2192</v>
      </c>
      <c r="E412" s="743"/>
      <c r="F412" s="738" t="s">
        <v>2216</v>
      </c>
      <c r="G412" s="744" t="s">
        <v>2244</v>
      </c>
      <c r="H412" s="738" t="s">
        <v>2193</v>
      </c>
      <c r="I412" s="745">
        <v>45662.0</v>
      </c>
      <c r="J412" s="746"/>
      <c r="K412" s="746"/>
      <c r="L412" s="746"/>
      <c r="M412" s="738" t="s">
        <v>2220</v>
      </c>
      <c r="N412" s="738" t="s">
        <v>2221</v>
      </c>
      <c r="O412" s="747">
        <v>1.0</v>
      </c>
      <c r="P412" s="738" t="str">
        <f t="shared" si="24"/>
        <v>10.1016--j.learninstruc.2014.08.004.pdf</v>
      </c>
      <c r="Q412" s="52" t="str">
        <f t="array" ref="Q412"> if(iserror(MATCH(V412, 'File Links'!C:C, 0)), "N/A", HYPERLINK(INDEX('File Links'!B:B, MATCH(P412, 'File Links'!C:C, 0))))</f>
        <v>https://drive.google.com/file/d/1dE7-AS0QPxKoPMyquy5WhD3ojjC80SWY/view?usp=drivesdk</v>
      </c>
      <c r="R412" s="738" t="s">
        <v>2222</v>
      </c>
      <c r="S412" s="738" t="s">
        <v>2223</v>
      </c>
      <c r="T412" s="746"/>
      <c r="U412" s="175">
        <v>1.0</v>
      </c>
      <c r="V412" s="738" t="str">
        <f t="shared" si="25"/>
        <v>10.1007--s11251-024-09670-y.pdf</v>
      </c>
      <c r="W412" s="186" t="s">
        <v>2224</v>
      </c>
      <c r="X412" s="54" t="str">
        <f t="array" ref="X412"> if(iserror(MATCH(V412, 'File Links'!C:C, 0)), "N/A", HYPERLINK(INDEX('File Links'!B:B, MATCH(V412, 'File Links'!C:C, 0))))</f>
        <v>https://drive.google.com/file/d/1pi6g99iJYyhyD_0jGvDca_hbleDdekCp/view?usp=drivesdk</v>
      </c>
      <c r="Y412" s="746"/>
      <c r="Z412" s="738" t="s">
        <v>241</v>
      </c>
      <c r="AA412" s="738" t="s">
        <v>2225</v>
      </c>
      <c r="AB412" s="739" t="s">
        <v>2226</v>
      </c>
      <c r="AC412" s="738" t="s">
        <v>2246</v>
      </c>
      <c r="AD412" s="738" t="s">
        <v>2247</v>
      </c>
      <c r="AE412" s="747">
        <v>6.0</v>
      </c>
      <c r="AF412" s="747">
        <v>98.0</v>
      </c>
      <c r="AG412" s="738" t="s">
        <v>2248</v>
      </c>
      <c r="AH412" s="757" t="s">
        <v>134</v>
      </c>
      <c r="AI412" s="744" t="s">
        <v>140</v>
      </c>
      <c r="AJ412" s="749">
        <v>0.72</v>
      </c>
      <c r="AK412" s="738" t="s">
        <v>2249</v>
      </c>
      <c r="AL412" s="744" t="s">
        <v>186</v>
      </c>
      <c r="AM412" s="746" t="s">
        <v>137</v>
      </c>
      <c r="AN412" s="175" t="s">
        <v>138</v>
      </c>
      <c r="AO412" s="747">
        <v>75.0</v>
      </c>
      <c r="AP412" s="758">
        <v>0.001</v>
      </c>
      <c r="AQ412" s="746" t="s">
        <v>139</v>
      </c>
      <c r="AR412" s="738" t="s">
        <v>2229</v>
      </c>
      <c r="AS412" s="747">
        <v>0.84</v>
      </c>
      <c r="AT412" s="738" t="s">
        <v>172</v>
      </c>
      <c r="AU412" s="738" t="s">
        <v>186</v>
      </c>
      <c r="AV412" s="738" t="s">
        <v>137</v>
      </c>
      <c r="AW412" s="175" t="s">
        <v>138</v>
      </c>
      <c r="AX412" s="180" t="s">
        <v>151</v>
      </c>
      <c r="AY412" s="61" t="str">
        <f>IFERROR(__xludf.DUMMYFUNCTION("vlookup(BB412,importrange(""https://docs.google.com/spreadsheets/d/1d2vevQ_7D_v35q4wCQ4RpQ_IPoTwEMB9Yp6ymwlPqew/edit?gid=984458430#gid=984458430"", ""'replication success'!A:K""), 11, FAlSE)"),"failed")</f>
        <v>failed</v>
      </c>
      <c r="AZ412" s="61" t="str">
        <f>IFERROR(__xludf.DUMMYFUNCTION("vlookup(BB412,importrange(""https://docs.google.com/spreadsheets/d/1d2vevQ_7D_v35q4wCQ4RpQ_IPoTwEMB9Yp6ymwlPqew/edit?gid=984458430#gid=984458430"",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2" s="61" t="str">
        <f>IFERROR(__xludf.DUMMYFUNCTION("vlookup(BB412,importrange(""https://docs.google.com/spreadsheets/d/1d2vevQ_7D_v35q4wCQ4RpQ_IPoTwEMB9Yp6ymwlPqew/edit?gid=984458430#gid=984458430"", ""'replication success'!A:M""), 13, FAlSE)"),"abstract")</f>
        <v>abstract</v>
      </c>
      <c r="BB412" s="61" t="str">
        <f>IFERROR(__xludf.DUMMYFUNCTION("REGEXREPLACE(G412, ""_[a-z]{1,2}$"", """")"),"additional_studies84")</f>
        <v>additional_studies84</v>
      </c>
      <c r="BC412" s="68"/>
      <c r="BD412" s="168" t="s">
        <v>144</v>
      </c>
      <c r="BE412" s="107"/>
      <c r="BF412" s="107"/>
      <c r="BG412" s="107"/>
      <c r="BH412" s="107"/>
      <c r="BI412" s="107"/>
      <c r="BJ412" s="107"/>
      <c r="BK412" s="107"/>
      <c r="BL412" s="107"/>
      <c r="BM412" s="107"/>
      <c r="BN412" s="107"/>
      <c r="BO412" s="107"/>
      <c r="BP412" s="107"/>
      <c r="BQ412" s="107"/>
      <c r="BR412" s="107"/>
      <c r="BS412" s="107"/>
      <c r="BT412" s="107"/>
      <c r="BU412" s="107"/>
      <c r="BV412" s="107"/>
      <c r="BW412" s="107"/>
      <c r="BX412" s="107"/>
      <c r="BY412" s="107"/>
      <c r="BZ412" s="107"/>
      <c r="CA412" s="107"/>
      <c r="CB412" s="107"/>
      <c r="CC412" s="107"/>
      <c r="CD412" s="107"/>
      <c r="CE412" s="107"/>
      <c r="CF412" s="107"/>
      <c r="CG412" s="107"/>
      <c r="CH412" s="107"/>
      <c r="CI412" s="107"/>
      <c r="CJ412" s="107"/>
      <c r="CK412" s="107"/>
      <c r="CL412" s="107"/>
      <c r="CM412" s="107"/>
      <c r="CN412" s="107"/>
      <c r="CO412" s="107"/>
      <c r="CP412" s="107"/>
      <c r="CQ412" s="107"/>
      <c r="CR412" s="107"/>
      <c r="CS412" s="107"/>
      <c r="CT412" s="107"/>
      <c r="CU412" s="107"/>
      <c r="CV412" s="107"/>
      <c r="CW412" s="107"/>
      <c r="CX412" s="107"/>
      <c r="CY412" s="107"/>
      <c r="CZ412" s="107"/>
      <c r="DA412" s="107"/>
      <c r="DB412" s="107"/>
      <c r="DC412" s="107"/>
      <c r="DD412" s="107"/>
      <c r="DE412" s="107"/>
      <c r="DF412" s="107"/>
      <c r="DG412" s="107"/>
      <c r="DH412" s="107"/>
      <c r="DI412" s="107"/>
      <c r="DJ412" s="107"/>
      <c r="DK412" s="107"/>
      <c r="DL412" s="107"/>
    </row>
    <row r="413" ht="20.25" customHeight="1">
      <c r="A413" s="44">
        <v>413.0</v>
      </c>
      <c r="B413" s="168" t="s">
        <v>152</v>
      </c>
      <c r="C413" s="168" t="s">
        <v>115</v>
      </c>
      <c r="D413" s="168" t="s">
        <v>1458</v>
      </c>
      <c r="E413" s="164"/>
      <c r="F413" s="738" t="s">
        <v>2216</v>
      </c>
      <c r="G413" s="186" t="s">
        <v>2250</v>
      </c>
      <c r="H413" s="186" t="s">
        <v>1518</v>
      </c>
      <c r="I413" s="733">
        <v>45489.0</v>
      </c>
      <c r="J413" s="734">
        <v>45641.0</v>
      </c>
      <c r="K413" s="186" t="s">
        <v>2218</v>
      </c>
      <c r="L413" s="737"/>
      <c r="M413" s="753" t="s">
        <v>2220</v>
      </c>
      <c r="N413" s="753" t="s">
        <v>2221</v>
      </c>
      <c r="O413" s="735">
        <v>2.0</v>
      </c>
      <c r="P413" s="736" t="str">
        <f t="shared" si="24"/>
        <v>10.1016--j.learninstruc.2014.08.004.pdf</v>
      </c>
      <c r="Q413" s="52" t="str">
        <f t="array" ref="Q413"> if(iserror(MATCH(V413, 'File Links'!C:C, 0)), "N/A", HYPERLINK(INDEX('File Links'!B:B, MATCH(P413, 'File Links'!C:C, 0))))</f>
        <v>https://drive.google.com/file/d/1dE7-AS0QPxKoPMyquy5WhD3ojjC80SWY/view?usp=drivesdk</v>
      </c>
      <c r="R413" s="186" t="s">
        <v>2222</v>
      </c>
      <c r="S413" s="186" t="s">
        <v>2223</v>
      </c>
      <c r="T413" s="737"/>
      <c r="U413" s="175">
        <v>1.0</v>
      </c>
      <c r="V413" s="186" t="str">
        <f t="shared" si="25"/>
        <v>10.1007--s11251-024-09670-y.pdf</v>
      </c>
      <c r="W413" s="186" t="s">
        <v>2224</v>
      </c>
      <c r="X413" s="54" t="str">
        <f t="array" ref="X413"> if(iserror(MATCH(V413, 'File Links'!C:C, 0)), "N/A", HYPERLINK(INDEX('File Links'!B:B, MATCH(V413, 'File Links'!C:C, 0))))</f>
        <v>https://drive.google.com/file/d/1pi6g99iJYyhyD_0jGvDca_hbleDdekCp/view?usp=drivesdk</v>
      </c>
      <c r="Y413" s="737"/>
      <c r="Z413" s="186" t="s">
        <v>241</v>
      </c>
      <c r="AA413" s="738" t="s">
        <v>2225</v>
      </c>
      <c r="AB413" s="739" t="s">
        <v>2226</v>
      </c>
      <c r="AC413" s="186" t="s">
        <v>2227</v>
      </c>
      <c r="AD413" s="737" t="s">
        <v>2251</v>
      </c>
      <c r="AE413" s="735">
        <v>9.0</v>
      </c>
      <c r="AF413" s="735">
        <v>202.0</v>
      </c>
      <c r="AG413" s="175" t="s">
        <v>2252</v>
      </c>
      <c r="AH413" s="754" t="s">
        <v>134</v>
      </c>
      <c r="AI413" s="186" t="s">
        <v>624</v>
      </c>
      <c r="AJ413" s="735">
        <v>0.53</v>
      </c>
      <c r="AK413" s="180" t="s">
        <v>172</v>
      </c>
      <c r="AL413" s="737" t="s">
        <v>186</v>
      </c>
      <c r="AM413" s="737" t="s">
        <v>141</v>
      </c>
      <c r="AN413" s="175" t="s">
        <v>138</v>
      </c>
      <c r="AO413" s="735">
        <v>73.0</v>
      </c>
      <c r="AP413" s="577">
        <v>0.005</v>
      </c>
      <c r="AQ413" s="737" t="s">
        <v>874</v>
      </c>
      <c r="AR413" s="167" t="s">
        <v>2229</v>
      </c>
      <c r="AS413" s="735">
        <v>0.55</v>
      </c>
      <c r="AT413" s="180" t="s">
        <v>172</v>
      </c>
      <c r="AU413" s="741" t="s">
        <v>186</v>
      </c>
      <c r="AV413" s="738" t="s">
        <v>137</v>
      </c>
      <c r="AW413" s="175" t="s">
        <v>138</v>
      </c>
      <c r="AX413" s="180" t="s">
        <v>151</v>
      </c>
      <c r="AY413" s="61" t="str">
        <f>IFERROR(__xludf.DUMMYFUNCTION("vlookup(BB413,importrange(""https://docs.google.com/spreadsheets/d/1d2vevQ_7D_v35q4wCQ4RpQ_IPoTwEMB9Yp6ymwlPqew/edit?gid=984458430#gid=984458430"", ""'replication success'!A:K""), 11, FAlSE)"),"failed")</f>
        <v>failed</v>
      </c>
      <c r="AZ413" s="61" t="str">
        <f>IFERROR(__xludf.DUMMYFUNCTION("vlookup(BB413,importrange(""https://docs.google.com/spreadsheets/d/1d2vevQ_7D_v35q4wCQ4RpQ_IPoTwEMB9Yp6ymwlPqew/edit?gid=984458430#gid=984458430"",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3" s="61" t="str">
        <f>IFERROR(__xludf.DUMMYFUNCTION("vlookup(BB413,importrange(""https://docs.google.com/spreadsheets/d/1d2vevQ_7D_v35q4wCQ4RpQ_IPoTwEMB9Yp6ymwlPqew/edit?gid=984458430#gid=984458430"", ""'replication success'!A:M""), 13, FAlSE)"),"abstract")</f>
        <v>abstract</v>
      </c>
      <c r="BB413" s="61" t="str">
        <f>IFERROR(__xludf.DUMMYFUNCTION("REGEXREPLACE(G413, ""_[a-z]{1,2}$"", """")"),"additional_studies84")</f>
        <v>additional_studies84</v>
      </c>
      <c r="BC413" s="61"/>
      <c r="BD413" s="168" t="s">
        <v>144</v>
      </c>
      <c r="BE413" s="107"/>
      <c r="BF413" s="107"/>
      <c r="BG413" s="107"/>
      <c r="BH413" s="107"/>
      <c r="BI413" s="107"/>
      <c r="BJ413" s="107"/>
      <c r="BK413" s="107"/>
      <c r="BL413" s="107"/>
      <c r="BM413" s="107"/>
      <c r="BN413" s="107"/>
      <c r="BO413" s="107"/>
      <c r="BP413" s="107"/>
      <c r="BQ413" s="107"/>
      <c r="BR413" s="107"/>
      <c r="BS413" s="107"/>
      <c r="BT413" s="107"/>
      <c r="BU413" s="107"/>
      <c r="BV413" s="107"/>
      <c r="BW413" s="107"/>
      <c r="BX413" s="107"/>
      <c r="BY413" s="107"/>
      <c r="BZ413" s="107"/>
      <c r="CA413" s="107"/>
      <c r="CB413" s="107"/>
      <c r="CC413" s="107"/>
      <c r="CD413" s="107"/>
      <c r="CE413" s="107"/>
      <c r="CF413" s="107"/>
      <c r="CG413" s="107"/>
      <c r="CH413" s="107"/>
      <c r="CI413" s="107"/>
      <c r="CJ413" s="107"/>
      <c r="CK413" s="107"/>
      <c r="CL413" s="107"/>
      <c r="CM413" s="107"/>
      <c r="CN413" s="107"/>
      <c r="CO413" s="107"/>
      <c r="CP413" s="107"/>
      <c r="CQ413" s="107"/>
      <c r="CR413" s="107"/>
      <c r="CS413" s="107"/>
      <c r="CT413" s="107"/>
      <c r="CU413" s="107"/>
      <c r="CV413" s="107"/>
      <c r="CW413" s="107"/>
      <c r="CX413" s="107"/>
      <c r="CY413" s="107"/>
      <c r="CZ413" s="107"/>
      <c r="DA413" s="107"/>
      <c r="DB413" s="107"/>
      <c r="DC413" s="107"/>
      <c r="DD413" s="107"/>
      <c r="DE413" s="107"/>
      <c r="DF413" s="107"/>
      <c r="DG413" s="107"/>
      <c r="DH413" s="107"/>
      <c r="DI413" s="107"/>
      <c r="DJ413" s="107"/>
      <c r="DK413" s="107"/>
      <c r="DL413" s="107"/>
    </row>
    <row r="414" ht="20.25" customHeight="1">
      <c r="A414" s="44">
        <v>414.0</v>
      </c>
      <c r="B414" s="168" t="s">
        <v>152</v>
      </c>
      <c r="C414" s="742" t="s">
        <v>115</v>
      </c>
      <c r="D414" s="742" t="s">
        <v>2192</v>
      </c>
      <c r="E414" s="743"/>
      <c r="F414" s="738" t="s">
        <v>2216</v>
      </c>
      <c r="G414" s="744" t="s">
        <v>2250</v>
      </c>
      <c r="H414" s="738" t="s">
        <v>2193</v>
      </c>
      <c r="I414" s="745">
        <v>45662.0</v>
      </c>
      <c r="J414" s="746"/>
      <c r="K414" s="746"/>
      <c r="L414" s="746"/>
      <c r="M414" s="738" t="s">
        <v>2220</v>
      </c>
      <c r="N414" s="738" t="s">
        <v>2221</v>
      </c>
      <c r="O414" s="747">
        <v>2.0</v>
      </c>
      <c r="P414" s="738" t="str">
        <f t="shared" si="24"/>
        <v>10.1016--j.learninstruc.2014.08.004.pdf</v>
      </c>
      <c r="Q414" s="52" t="str">
        <f t="array" ref="Q414"> if(iserror(MATCH(V414, 'File Links'!C:C, 0)), "N/A", HYPERLINK(INDEX('File Links'!B:B, MATCH(P414, 'File Links'!C:C, 0))))</f>
        <v>https://drive.google.com/file/d/1dE7-AS0QPxKoPMyquy5WhD3ojjC80SWY/view?usp=drivesdk</v>
      </c>
      <c r="R414" s="738" t="s">
        <v>2222</v>
      </c>
      <c r="S414" s="738" t="s">
        <v>2223</v>
      </c>
      <c r="T414" s="746"/>
      <c r="U414" s="175">
        <v>1.0</v>
      </c>
      <c r="V414" s="738" t="str">
        <f t="shared" si="25"/>
        <v>10.1007--s11251-024-09670-y.pdf</v>
      </c>
      <c r="W414" s="186" t="s">
        <v>2224</v>
      </c>
      <c r="X414" s="54" t="str">
        <f t="array" ref="X414"> if(iserror(MATCH(V414, 'File Links'!C:C, 0)), "N/A", HYPERLINK(INDEX('File Links'!B:B, MATCH(V414, 'File Links'!C:C, 0))))</f>
        <v>https://drive.google.com/file/d/1pi6g99iJYyhyD_0jGvDca_hbleDdekCp/view?usp=drivesdk</v>
      </c>
      <c r="Y414" s="746"/>
      <c r="Z414" s="738" t="s">
        <v>241</v>
      </c>
      <c r="AA414" s="738" t="s">
        <v>2225</v>
      </c>
      <c r="AB414" s="739" t="s">
        <v>2226</v>
      </c>
      <c r="AC414" s="738" t="s">
        <v>2231</v>
      </c>
      <c r="AD414" s="739" t="s">
        <v>2253</v>
      </c>
      <c r="AE414" s="747">
        <v>8.0</v>
      </c>
      <c r="AF414" s="747">
        <v>240.0</v>
      </c>
      <c r="AG414" s="747">
        <v>0.16</v>
      </c>
      <c r="AH414" s="748" t="s">
        <v>139</v>
      </c>
      <c r="AI414" s="744" t="s">
        <v>2254</v>
      </c>
      <c r="AJ414" s="749">
        <v>0.001</v>
      </c>
      <c r="AK414" s="738" t="s">
        <v>135</v>
      </c>
      <c r="AL414" s="744" t="s">
        <v>186</v>
      </c>
      <c r="AM414" s="746" t="s">
        <v>137</v>
      </c>
      <c r="AN414" s="175" t="s">
        <v>138</v>
      </c>
      <c r="AO414" s="747">
        <v>75.0</v>
      </c>
      <c r="AP414" s="759">
        <v>0.005</v>
      </c>
      <c r="AQ414" s="746" t="s">
        <v>139</v>
      </c>
      <c r="AR414" s="738" t="s">
        <v>2229</v>
      </c>
      <c r="AS414" s="751">
        <v>0.56</v>
      </c>
      <c r="AT414" s="738" t="s">
        <v>172</v>
      </c>
      <c r="AU414" s="738" t="s">
        <v>186</v>
      </c>
      <c r="AV414" s="738" t="s">
        <v>137</v>
      </c>
      <c r="AW414" s="175" t="s">
        <v>138</v>
      </c>
      <c r="AX414" s="180" t="s">
        <v>151</v>
      </c>
      <c r="AY414" s="61" t="str">
        <f>IFERROR(__xludf.DUMMYFUNCTION("vlookup(BB414,importrange(""https://docs.google.com/spreadsheets/d/1d2vevQ_7D_v35q4wCQ4RpQ_IPoTwEMB9Yp6ymwlPqew/edit?gid=984458430#gid=984458430"", ""'replication success'!A:K""), 11, FAlSE)"),"failed")</f>
        <v>failed</v>
      </c>
      <c r="AZ414" s="61" t="str">
        <f>IFERROR(__xludf.DUMMYFUNCTION("vlookup(BB414,importrange(""https://docs.google.com/spreadsheets/d/1d2vevQ_7D_v35q4wCQ4RpQ_IPoTwEMB9Yp6ymwlPqew/edit?gid=984458430#gid=984458430"",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4" s="61" t="str">
        <f>IFERROR(__xludf.DUMMYFUNCTION("vlookup(BB414,importrange(""https://docs.google.com/spreadsheets/d/1d2vevQ_7D_v35q4wCQ4RpQ_IPoTwEMB9Yp6ymwlPqew/edit?gid=984458430#gid=984458430"", ""'replication success'!A:M""), 13, FAlSE)"),"abstract")</f>
        <v>abstract</v>
      </c>
      <c r="BB414" s="61" t="str">
        <f>IFERROR(__xludf.DUMMYFUNCTION("REGEXREPLACE(G414, ""_[a-z]{1,2}$"", """")"),"additional_studies84")</f>
        <v>additional_studies84</v>
      </c>
      <c r="BC414" s="68"/>
      <c r="BD414" s="168" t="s">
        <v>144</v>
      </c>
      <c r="BE414" s="107"/>
      <c r="BF414" s="107"/>
      <c r="BG414" s="107"/>
      <c r="BH414" s="107"/>
      <c r="BI414" s="107"/>
      <c r="BJ414" s="107"/>
      <c r="BK414" s="107"/>
      <c r="BL414" s="107"/>
      <c r="BM414" s="107"/>
      <c r="BN414" s="107"/>
      <c r="BO414" s="107"/>
      <c r="BP414" s="107"/>
      <c r="BQ414" s="107"/>
      <c r="BR414" s="107"/>
      <c r="BS414" s="107"/>
      <c r="BT414" s="107"/>
      <c r="BU414" s="107"/>
      <c r="BV414" s="107"/>
      <c r="BW414" s="107"/>
      <c r="BX414" s="107"/>
      <c r="BY414" s="107"/>
      <c r="BZ414" s="107"/>
      <c r="CA414" s="107"/>
      <c r="CB414" s="107"/>
      <c r="CC414" s="107"/>
      <c r="CD414" s="107"/>
      <c r="CE414" s="107"/>
      <c r="CF414" s="107"/>
      <c r="CG414" s="107"/>
      <c r="CH414" s="107"/>
      <c r="CI414" s="107"/>
      <c r="CJ414" s="107"/>
      <c r="CK414" s="107"/>
      <c r="CL414" s="107"/>
      <c r="CM414" s="107"/>
      <c r="CN414" s="107"/>
      <c r="CO414" s="107"/>
      <c r="CP414" s="107"/>
      <c r="CQ414" s="107"/>
      <c r="CR414" s="107"/>
      <c r="CS414" s="107"/>
      <c r="CT414" s="107"/>
      <c r="CU414" s="107"/>
      <c r="CV414" s="107"/>
      <c r="CW414" s="107"/>
      <c r="CX414" s="107"/>
      <c r="CY414" s="107"/>
      <c r="CZ414" s="107"/>
      <c r="DA414" s="107"/>
      <c r="DB414" s="107"/>
      <c r="DC414" s="107"/>
      <c r="DD414" s="107"/>
      <c r="DE414" s="107"/>
      <c r="DF414" s="107"/>
      <c r="DG414" s="107"/>
      <c r="DH414" s="107"/>
      <c r="DI414" s="107"/>
      <c r="DJ414" s="107"/>
      <c r="DK414" s="107"/>
      <c r="DL414" s="107"/>
    </row>
    <row r="415" ht="20.25" customHeight="1">
      <c r="A415" s="44">
        <v>415.0</v>
      </c>
      <c r="B415" s="168" t="s">
        <v>152</v>
      </c>
      <c r="C415" s="168" t="s">
        <v>115</v>
      </c>
      <c r="D415" s="168" t="s">
        <v>1458</v>
      </c>
      <c r="E415" s="164"/>
      <c r="F415" s="738" t="s">
        <v>2216</v>
      </c>
      <c r="G415" s="186" t="s">
        <v>2255</v>
      </c>
      <c r="H415" s="186" t="s">
        <v>1518</v>
      </c>
      <c r="I415" s="733">
        <v>45489.0</v>
      </c>
      <c r="J415" s="734">
        <v>45641.0</v>
      </c>
      <c r="K415" s="186" t="s">
        <v>2218</v>
      </c>
      <c r="L415" s="737"/>
      <c r="M415" s="753" t="s">
        <v>2220</v>
      </c>
      <c r="N415" s="753" t="s">
        <v>2221</v>
      </c>
      <c r="O415" s="735">
        <v>2.0</v>
      </c>
      <c r="P415" s="736" t="str">
        <f t="shared" si="24"/>
        <v>10.1016--j.learninstruc.2014.08.004.pdf</v>
      </c>
      <c r="Q415" s="52" t="str">
        <f t="array" ref="Q415"> if(iserror(MATCH(V415, 'File Links'!C:C, 0)), "N/A", HYPERLINK(INDEX('File Links'!B:B, MATCH(P415, 'File Links'!C:C, 0))))</f>
        <v>https://drive.google.com/file/d/1dE7-AS0QPxKoPMyquy5WhD3ojjC80SWY/view?usp=drivesdk</v>
      </c>
      <c r="R415" s="186" t="s">
        <v>2222</v>
      </c>
      <c r="S415" s="186" t="s">
        <v>2223</v>
      </c>
      <c r="T415" s="737"/>
      <c r="U415" s="175">
        <v>1.0</v>
      </c>
      <c r="V415" s="186" t="str">
        <f t="shared" si="25"/>
        <v>10.1007--s11251-024-09670-y.pdf</v>
      </c>
      <c r="W415" s="186" t="s">
        <v>2224</v>
      </c>
      <c r="X415" s="54" t="str">
        <f t="array" ref="X415"> if(iserror(MATCH(V415, 'File Links'!C:C, 0)), "N/A", HYPERLINK(INDEX('File Links'!B:B, MATCH(V415, 'File Links'!C:C, 0))))</f>
        <v>https://drive.google.com/file/d/1pi6g99iJYyhyD_0jGvDca_hbleDdekCp/view?usp=drivesdk</v>
      </c>
      <c r="Y415" s="737"/>
      <c r="Z415" s="186" t="s">
        <v>241</v>
      </c>
      <c r="AA415" s="738" t="s">
        <v>2225</v>
      </c>
      <c r="AB415" s="739" t="s">
        <v>2226</v>
      </c>
      <c r="AC415" s="186" t="s">
        <v>2227</v>
      </c>
      <c r="AD415" s="186" t="s">
        <v>2256</v>
      </c>
      <c r="AE415" s="735">
        <v>9.0</v>
      </c>
      <c r="AF415" s="735">
        <v>202.0</v>
      </c>
      <c r="AG415" s="167" t="s">
        <v>2257</v>
      </c>
      <c r="AH415" s="754" t="s">
        <v>134</v>
      </c>
      <c r="AI415" s="186" t="s">
        <v>624</v>
      </c>
      <c r="AJ415" s="735">
        <v>0.25</v>
      </c>
      <c r="AK415" s="180" t="s">
        <v>172</v>
      </c>
      <c r="AL415" s="737" t="s">
        <v>186</v>
      </c>
      <c r="AM415" s="737" t="s">
        <v>141</v>
      </c>
      <c r="AN415" s="175" t="s">
        <v>138</v>
      </c>
      <c r="AO415" s="735">
        <v>73.0</v>
      </c>
      <c r="AP415" s="735">
        <v>0.001</v>
      </c>
      <c r="AQ415" s="737" t="s">
        <v>874</v>
      </c>
      <c r="AR415" s="167" t="s">
        <v>2229</v>
      </c>
      <c r="AS415" s="735">
        <v>0.94</v>
      </c>
      <c r="AT415" s="180" t="s">
        <v>172</v>
      </c>
      <c r="AU415" s="741" t="s">
        <v>186</v>
      </c>
      <c r="AV415" s="738" t="s">
        <v>137</v>
      </c>
      <c r="AW415" s="175" t="s">
        <v>138</v>
      </c>
      <c r="AX415" s="180" t="s">
        <v>151</v>
      </c>
      <c r="AY415" s="61" t="str">
        <f>IFERROR(__xludf.DUMMYFUNCTION("vlookup(BB415,importrange(""https://docs.google.com/spreadsheets/d/1d2vevQ_7D_v35q4wCQ4RpQ_IPoTwEMB9Yp6ymwlPqew/edit?gid=984458430#gid=984458430"", ""'replication success'!A:K""), 11, FAlSE)"),"failed")</f>
        <v>failed</v>
      </c>
      <c r="AZ415" s="61" t="str">
        <f>IFERROR(__xludf.DUMMYFUNCTION("vlookup(BB415,importrange(""https://docs.google.com/spreadsheets/d/1d2vevQ_7D_v35q4wCQ4RpQ_IPoTwEMB9Yp6ymwlPqew/edit?gid=984458430#gid=984458430"",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5" s="61" t="str">
        <f>IFERROR(__xludf.DUMMYFUNCTION("vlookup(BB415,importrange(""https://docs.google.com/spreadsheets/d/1d2vevQ_7D_v35q4wCQ4RpQ_IPoTwEMB9Yp6ymwlPqew/edit?gid=984458430#gid=984458430"", ""'replication success'!A:M""), 13, FAlSE)"),"abstract")</f>
        <v>abstract</v>
      </c>
      <c r="BB415" s="61" t="str">
        <f>IFERROR(__xludf.DUMMYFUNCTION("REGEXREPLACE(G415, ""_[a-z]{1,2}$"", """")"),"additional_studies84")</f>
        <v>additional_studies84</v>
      </c>
      <c r="BC415" s="61"/>
      <c r="BD415" s="168" t="s">
        <v>144</v>
      </c>
    </row>
    <row r="416" ht="20.25" customHeight="1">
      <c r="A416" s="44">
        <v>416.0</v>
      </c>
      <c r="B416" s="168" t="s">
        <v>152</v>
      </c>
      <c r="C416" s="742" t="s">
        <v>115</v>
      </c>
      <c r="D416" s="742" t="s">
        <v>2192</v>
      </c>
      <c r="E416" s="743"/>
      <c r="F416" s="738" t="s">
        <v>2216</v>
      </c>
      <c r="G416" s="744" t="s">
        <v>2255</v>
      </c>
      <c r="H416" s="738" t="s">
        <v>2193</v>
      </c>
      <c r="I416" s="745">
        <v>45662.0</v>
      </c>
      <c r="J416" s="746"/>
      <c r="K416" s="746"/>
      <c r="L416" s="746"/>
      <c r="M416" s="738" t="s">
        <v>2220</v>
      </c>
      <c r="N416" s="738" t="s">
        <v>2221</v>
      </c>
      <c r="O416" s="747">
        <v>2.0</v>
      </c>
      <c r="P416" s="738" t="str">
        <f t="shared" si="24"/>
        <v>10.1016--j.learninstruc.2014.08.004.pdf</v>
      </c>
      <c r="Q416" s="52" t="str">
        <f t="array" ref="Q416"> if(iserror(MATCH(V416, 'File Links'!C:C, 0)), "N/A", HYPERLINK(INDEX('File Links'!B:B, MATCH(P416, 'File Links'!C:C, 0))))</f>
        <v>https://drive.google.com/file/d/1dE7-AS0QPxKoPMyquy5WhD3ojjC80SWY/view?usp=drivesdk</v>
      </c>
      <c r="R416" s="738" t="s">
        <v>2222</v>
      </c>
      <c r="S416" s="738" t="s">
        <v>2223</v>
      </c>
      <c r="T416" s="746"/>
      <c r="U416" s="175">
        <v>1.0</v>
      </c>
      <c r="V416" s="738" t="str">
        <f t="shared" si="25"/>
        <v>10.1007--s11251-024-09670-y.pdf</v>
      </c>
      <c r="W416" s="186" t="s">
        <v>2224</v>
      </c>
      <c r="X416" s="54" t="str">
        <f t="array" ref="X416"> if(iserror(MATCH(V416, 'File Links'!C:C, 0)), "N/A", HYPERLINK(INDEX('File Links'!B:B, MATCH(V416, 'File Links'!C:C, 0))))</f>
        <v>https://drive.google.com/file/d/1pi6g99iJYyhyD_0jGvDca_hbleDdekCp/view?usp=drivesdk</v>
      </c>
      <c r="Y416" s="746"/>
      <c r="Z416" s="738" t="s">
        <v>241</v>
      </c>
      <c r="AA416" s="738" t="s">
        <v>2225</v>
      </c>
      <c r="AB416" s="739" t="s">
        <v>2226</v>
      </c>
      <c r="AC416" s="738" t="s">
        <v>2236</v>
      </c>
      <c r="AD416" s="739" t="s">
        <v>2258</v>
      </c>
      <c r="AE416" s="747">
        <v>8.0</v>
      </c>
      <c r="AF416" s="747">
        <v>240.0</v>
      </c>
      <c r="AG416" s="747">
        <v>0.08</v>
      </c>
      <c r="AH416" s="748" t="s">
        <v>139</v>
      </c>
      <c r="AI416" s="744" t="s">
        <v>2254</v>
      </c>
      <c r="AJ416" s="749">
        <v>0.001</v>
      </c>
      <c r="AK416" s="738" t="s">
        <v>135</v>
      </c>
      <c r="AL416" s="744" t="s">
        <v>186</v>
      </c>
      <c r="AM416" s="746" t="s">
        <v>141</v>
      </c>
      <c r="AN416" s="175" t="s">
        <v>138</v>
      </c>
      <c r="AO416" s="747">
        <v>75.0</v>
      </c>
      <c r="AP416" s="747">
        <v>0.002</v>
      </c>
      <c r="AQ416" s="746" t="s">
        <v>139</v>
      </c>
      <c r="AR416" s="738" t="s">
        <v>2229</v>
      </c>
      <c r="AS416" s="747">
        <v>0.73</v>
      </c>
      <c r="AT416" s="738" t="s">
        <v>172</v>
      </c>
      <c r="AU416" s="738" t="s">
        <v>186</v>
      </c>
      <c r="AV416" s="738" t="s">
        <v>137</v>
      </c>
      <c r="AW416" s="175" t="s">
        <v>138</v>
      </c>
      <c r="AX416" s="180" t="s">
        <v>151</v>
      </c>
      <c r="AY416" s="61" t="str">
        <f>IFERROR(__xludf.DUMMYFUNCTION("vlookup(BB416,importrange(""https://docs.google.com/spreadsheets/d/1d2vevQ_7D_v35q4wCQ4RpQ_IPoTwEMB9Yp6ymwlPqew/edit?gid=984458430#gid=984458430"", ""'replication success'!A:K""), 11, FAlSE)"),"failed")</f>
        <v>failed</v>
      </c>
      <c r="AZ416" s="61" t="str">
        <f>IFERROR(__xludf.DUMMYFUNCTION("vlookup(BB416,importrange(""https://docs.google.com/spreadsheets/d/1d2vevQ_7D_v35q4wCQ4RpQ_IPoTwEMB9Yp6ymwlPqew/edit?gid=984458430#gid=984458430"",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6" s="61" t="str">
        <f>IFERROR(__xludf.DUMMYFUNCTION("vlookup(BB416,importrange(""https://docs.google.com/spreadsheets/d/1d2vevQ_7D_v35q4wCQ4RpQ_IPoTwEMB9Yp6ymwlPqew/edit?gid=984458430#gid=984458430"", ""'replication success'!A:M""), 13, FAlSE)"),"abstract")</f>
        <v>abstract</v>
      </c>
      <c r="BB416" s="61" t="str">
        <f>IFERROR(__xludf.DUMMYFUNCTION("REGEXREPLACE(G416, ""_[a-z]{1,2}$"", """")"),"additional_studies84")</f>
        <v>additional_studies84</v>
      </c>
      <c r="BC416" s="68"/>
      <c r="BD416" s="168" t="s">
        <v>144</v>
      </c>
    </row>
    <row r="417" ht="20.25" customHeight="1">
      <c r="A417" s="44">
        <v>417.0</v>
      </c>
      <c r="B417" s="168" t="s">
        <v>152</v>
      </c>
      <c r="C417" s="742" t="s">
        <v>115</v>
      </c>
      <c r="D417" s="742" t="s">
        <v>2192</v>
      </c>
      <c r="E417" s="743"/>
      <c r="F417" s="738" t="s">
        <v>2216</v>
      </c>
      <c r="G417" s="744" t="s">
        <v>2259</v>
      </c>
      <c r="H417" s="738" t="s">
        <v>2193</v>
      </c>
      <c r="I417" s="745">
        <v>45662.0</v>
      </c>
      <c r="J417" s="746"/>
      <c r="K417" s="746"/>
      <c r="L417" s="746"/>
      <c r="M417" s="738" t="s">
        <v>2220</v>
      </c>
      <c r="N417" s="738" t="s">
        <v>2221</v>
      </c>
      <c r="O417" s="747">
        <v>2.0</v>
      </c>
      <c r="P417" s="738" t="str">
        <f t="shared" si="24"/>
        <v>10.1016--j.learninstruc.2014.08.004.pdf</v>
      </c>
      <c r="Q417" s="52" t="str">
        <f t="array" ref="Q417"> if(iserror(MATCH(V417, 'File Links'!C:C, 0)), "N/A", HYPERLINK(INDEX('File Links'!B:B, MATCH(P417, 'File Links'!C:C, 0))))</f>
        <v>https://drive.google.com/file/d/1dE7-AS0QPxKoPMyquy5WhD3ojjC80SWY/view?usp=drivesdk</v>
      </c>
      <c r="R417" s="738" t="s">
        <v>2222</v>
      </c>
      <c r="S417" s="738" t="s">
        <v>2223</v>
      </c>
      <c r="T417" s="746"/>
      <c r="U417" s="175">
        <v>1.0</v>
      </c>
      <c r="V417" s="738" t="str">
        <f t="shared" si="25"/>
        <v>10.1007--s11251-024-09670-y.pdf</v>
      </c>
      <c r="W417" s="186" t="s">
        <v>2224</v>
      </c>
      <c r="X417" s="54" t="str">
        <f t="array" ref="X417"> if(iserror(MATCH(V417, 'File Links'!C:C, 0)), "N/A", HYPERLINK(INDEX('File Links'!B:B, MATCH(V417, 'File Links'!C:C, 0))))</f>
        <v>https://drive.google.com/file/d/1pi6g99iJYyhyD_0jGvDca_hbleDdekCp/view?usp=drivesdk</v>
      </c>
      <c r="Y417" s="746"/>
      <c r="Z417" s="738" t="s">
        <v>241</v>
      </c>
      <c r="AA417" s="738" t="s">
        <v>2225</v>
      </c>
      <c r="AB417" s="739" t="s">
        <v>2226</v>
      </c>
      <c r="AC417" s="738" t="s">
        <v>2242</v>
      </c>
      <c r="AD417" s="738" t="s">
        <v>2260</v>
      </c>
      <c r="AE417" s="747">
        <v>9.0</v>
      </c>
      <c r="AF417" s="747">
        <v>240.0</v>
      </c>
      <c r="AG417" s="746" t="s">
        <v>2261</v>
      </c>
      <c r="AH417" s="739" t="s">
        <v>134</v>
      </c>
      <c r="AI417" s="744" t="s">
        <v>628</v>
      </c>
      <c r="AJ417" s="760">
        <v>0.97</v>
      </c>
      <c r="AK417" s="738" t="s">
        <v>172</v>
      </c>
      <c r="AL417" s="744" t="s">
        <v>186</v>
      </c>
      <c r="AM417" s="746" t="s">
        <v>141</v>
      </c>
      <c r="AN417" s="175" t="s">
        <v>138</v>
      </c>
      <c r="AO417" s="747">
        <v>75.0</v>
      </c>
      <c r="AP417" s="756">
        <v>0.005</v>
      </c>
      <c r="AQ417" s="746" t="s">
        <v>139</v>
      </c>
      <c r="AR417" s="738" t="s">
        <v>2229</v>
      </c>
      <c r="AS417" s="747">
        <v>0.55</v>
      </c>
      <c r="AT417" s="738" t="s">
        <v>172</v>
      </c>
      <c r="AU417" s="738" t="s">
        <v>186</v>
      </c>
      <c r="AV417" s="738" t="s">
        <v>137</v>
      </c>
      <c r="AW417" s="175" t="s">
        <v>138</v>
      </c>
      <c r="AX417" s="180" t="s">
        <v>151</v>
      </c>
      <c r="AY417" s="61" t="str">
        <f>IFERROR(__xludf.DUMMYFUNCTION("vlookup(BB417,importrange(""https://docs.google.com/spreadsheets/d/1d2vevQ_7D_v35q4wCQ4RpQ_IPoTwEMB9Yp6ymwlPqew/edit?gid=984458430#gid=984458430"", ""'replication success'!A:K""), 11, FAlSE)"),"failed")</f>
        <v>failed</v>
      </c>
      <c r="AZ417" s="61" t="str">
        <f>IFERROR(__xludf.DUMMYFUNCTION("vlookup(BB417,importrange(""https://docs.google.com/spreadsheets/d/1d2vevQ_7D_v35q4wCQ4RpQ_IPoTwEMB9Yp6ymwlPqew/edit?gid=984458430#gid=984458430"",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7" s="61" t="str">
        <f>IFERROR(__xludf.DUMMYFUNCTION("vlookup(BB417,importrange(""https://docs.google.com/spreadsheets/d/1d2vevQ_7D_v35q4wCQ4RpQ_IPoTwEMB9Yp6ymwlPqew/edit?gid=984458430#gid=984458430"", ""'replication success'!A:M""), 13, FAlSE)"),"abstract")</f>
        <v>abstract</v>
      </c>
      <c r="BB417" s="61" t="str">
        <f>IFERROR(__xludf.DUMMYFUNCTION("REGEXREPLACE(G417, ""_[a-z]{1,2}$"", """")"),"additional_studies84")</f>
        <v>additional_studies84</v>
      </c>
      <c r="BC417" s="68"/>
      <c r="BD417" s="168" t="s">
        <v>144</v>
      </c>
    </row>
    <row r="418" ht="20.25" customHeight="1">
      <c r="A418" s="44">
        <v>418.0</v>
      </c>
      <c r="B418" s="168" t="s">
        <v>152</v>
      </c>
      <c r="C418" s="742" t="s">
        <v>115</v>
      </c>
      <c r="D418" s="742" t="s">
        <v>2192</v>
      </c>
      <c r="E418" s="743"/>
      <c r="F418" s="738" t="s">
        <v>2216</v>
      </c>
      <c r="G418" s="744" t="s">
        <v>2259</v>
      </c>
      <c r="H418" s="738" t="s">
        <v>2193</v>
      </c>
      <c r="I418" s="745">
        <v>45662.0</v>
      </c>
      <c r="J418" s="746"/>
      <c r="K418" s="746"/>
      <c r="L418" s="746"/>
      <c r="M418" s="738" t="s">
        <v>2220</v>
      </c>
      <c r="N418" s="738" t="s">
        <v>2221</v>
      </c>
      <c r="O418" s="747">
        <v>2.0</v>
      </c>
      <c r="P418" s="738" t="s">
        <v>2262</v>
      </c>
      <c r="Q418" s="52" t="str">
        <f t="array" ref="Q418"> if(iserror(MATCH(V418, 'File Links'!C:C, 0)), "N/A", HYPERLINK(INDEX('File Links'!B:B, MATCH(P418, 'File Links'!C:C, 0))))</f>
        <v>https://drive.google.com/file/d/1dE7-AS0QPxKoPMyquy5WhD3ojjC80SWY/view?usp=drivesdk</v>
      </c>
      <c r="R418" s="738" t="s">
        <v>2222</v>
      </c>
      <c r="S418" s="738" t="s">
        <v>2223</v>
      </c>
      <c r="T418" s="746"/>
      <c r="U418" s="175">
        <v>1.0</v>
      </c>
      <c r="V418" s="738" t="str">
        <f t="shared" si="25"/>
        <v>10.1007--s11251-024-09670-y.pdf</v>
      </c>
      <c r="W418" s="186" t="s">
        <v>2224</v>
      </c>
      <c r="X418" s="54" t="str">
        <f t="array" ref="X418"> if(iserror(MATCH(V418, 'File Links'!C:C, 0)), "N/A", HYPERLINK(INDEX('File Links'!B:B, MATCH(V418, 'File Links'!C:C, 0))))</f>
        <v>https://drive.google.com/file/d/1pi6g99iJYyhyD_0jGvDca_hbleDdekCp/view?usp=drivesdk</v>
      </c>
      <c r="Y418" s="746"/>
      <c r="Z418" s="738" t="s">
        <v>241</v>
      </c>
      <c r="AA418" s="738" t="s">
        <v>2225</v>
      </c>
      <c r="AB418" s="739" t="s">
        <v>2226</v>
      </c>
      <c r="AC418" s="738" t="s">
        <v>2263</v>
      </c>
      <c r="AD418" s="738" t="s">
        <v>2264</v>
      </c>
      <c r="AE418" s="747">
        <v>9.0</v>
      </c>
      <c r="AF418" s="747">
        <v>240.0</v>
      </c>
      <c r="AG418" s="739" t="s">
        <v>2265</v>
      </c>
      <c r="AH418" s="119" t="s">
        <v>134</v>
      </c>
      <c r="AI418" s="744" t="s">
        <v>2266</v>
      </c>
      <c r="AJ418" s="749">
        <v>0.07</v>
      </c>
      <c r="AK418" s="738" t="s">
        <v>172</v>
      </c>
      <c r="AL418" s="744" t="s">
        <v>186</v>
      </c>
      <c r="AM418" s="746" t="s">
        <v>141</v>
      </c>
      <c r="AN418" s="175" t="s">
        <v>138</v>
      </c>
      <c r="AO418" s="747">
        <v>75.0</v>
      </c>
      <c r="AP418" s="738" t="s">
        <v>2267</v>
      </c>
      <c r="AQ418" s="739" t="s">
        <v>134</v>
      </c>
      <c r="AR418" s="738" t="s">
        <v>2229</v>
      </c>
      <c r="AS418" s="747">
        <v>0.94</v>
      </c>
      <c r="AT418" s="738" t="s">
        <v>172</v>
      </c>
      <c r="AU418" s="738" t="s">
        <v>186</v>
      </c>
      <c r="AV418" s="738" t="s">
        <v>137</v>
      </c>
      <c r="AW418" s="175" t="s">
        <v>138</v>
      </c>
      <c r="AX418" s="180" t="s">
        <v>151</v>
      </c>
      <c r="AY418" s="61" t="str">
        <f>IFERROR(__xludf.DUMMYFUNCTION("vlookup(BB418,importrange(""https://docs.google.com/spreadsheets/d/1d2vevQ_7D_v35q4wCQ4RpQ_IPoTwEMB9Yp6ymwlPqew/edit?gid=984458430#gid=984458430"", ""'replication success'!A:K""), 11, FAlSE)"),"failed")</f>
        <v>failed</v>
      </c>
      <c r="AZ418" s="61" t="str">
        <f>IFERROR(__xludf.DUMMYFUNCTION("vlookup(BB418,importrange(""https://docs.google.com/spreadsheets/d/1d2vevQ_7D_v35q4wCQ4RpQ_IPoTwEMB9Yp6ymwlPqew/edit?gid=984458430#gid=984458430"",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8" s="61" t="str">
        <f>IFERROR(__xludf.DUMMYFUNCTION("vlookup(BB418,importrange(""https://docs.google.com/spreadsheets/d/1d2vevQ_7D_v35q4wCQ4RpQ_IPoTwEMB9Yp6ymwlPqew/edit?gid=984458430#gid=984458430"", ""'replication success'!A:M""), 13, FAlSE)"),"abstract")</f>
        <v>abstract</v>
      </c>
      <c r="BB418" s="61" t="str">
        <f>IFERROR(__xludf.DUMMYFUNCTION("REGEXREPLACE(G418, ""_[a-z]{1,2}$"", """")"),"additional_studies84")</f>
        <v>additional_studies84</v>
      </c>
      <c r="BC418" s="68"/>
      <c r="BD418" s="168" t="s">
        <v>144</v>
      </c>
    </row>
    <row r="419" ht="20.25" customHeight="1">
      <c r="A419" s="44">
        <v>419.0</v>
      </c>
      <c r="B419" s="168" t="s">
        <v>152</v>
      </c>
      <c r="C419" s="742" t="s">
        <v>115</v>
      </c>
      <c r="D419" s="742" t="s">
        <v>2192</v>
      </c>
      <c r="E419" s="743"/>
      <c r="F419" s="738" t="s">
        <v>2216</v>
      </c>
      <c r="G419" s="744" t="s">
        <v>2268</v>
      </c>
      <c r="H419" s="738" t="s">
        <v>2193</v>
      </c>
      <c r="I419" s="745">
        <v>45662.0</v>
      </c>
      <c r="J419" s="746"/>
      <c r="K419" s="746"/>
      <c r="L419" s="746"/>
      <c r="M419" s="738" t="s">
        <v>2220</v>
      </c>
      <c r="N419" s="738" t="s">
        <v>2221</v>
      </c>
      <c r="O419" s="747">
        <v>2.0</v>
      </c>
      <c r="P419" s="738" t="str">
        <f t="shared" ref="P419:P464" si="26"> SUBSTITUTE(lower(N419), "/", "--") &amp;  ".pdf"</f>
        <v>10.1016--j.learninstruc.2014.08.004.pdf</v>
      </c>
      <c r="Q419" s="52" t="str">
        <f t="array" ref="Q419"> if(iserror(MATCH(V419, 'File Links'!C:C, 0)), "N/A", HYPERLINK(INDEX('File Links'!B:B, MATCH(P419, 'File Links'!C:C, 0))))</f>
        <v>https://drive.google.com/file/d/1dE7-AS0QPxKoPMyquy5WhD3ojjC80SWY/view?usp=drivesdk</v>
      </c>
      <c r="R419" s="738" t="s">
        <v>2222</v>
      </c>
      <c r="S419" s="738" t="s">
        <v>2223</v>
      </c>
      <c r="T419" s="746"/>
      <c r="U419" s="175">
        <v>1.0</v>
      </c>
      <c r="V419" s="738" t="str">
        <f t="shared" si="25"/>
        <v>10.1007--s11251-024-09670-y.pdf</v>
      </c>
      <c r="W419" s="186" t="s">
        <v>2224</v>
      </c>
      <c r="X419" s="54" t="str">
        <f t="array" ref="X419"> if(iserror(MATCH(V419, 'File Links'!C:C, 0)), "N/A", HYPERLINK(INDEX('File Links'!B:B, MATCH(V419, 'File Links'!C:C, 0))))</f>
        <v>https://drive.google.com/file/d/1pi6g99iJYyhyD_0jGvDca_hbleDdekCp/view?usp=drivesdk</v>
      </c>
      <c r="Y419" s="746"/>
      <c r="Z419" s="738" t="s">
        <v>241</v>
      </c>
      <c r="AA419" s="738" t="s">
        <v>2225</v>
      </c>
      <c r="AB419" s="739" t="s">
        <v>2226</v>
      </c>
      <c r="AC419" s="738" t="s">
        <v>2246</v>
      </c>
      <c r="AD419" s="738" t="s">
        <v>2269</v>
      </c>
      <c r="AE419" s="747">
        <v>9.0</v>
      </c>
      <c r="AF419" s="747">
        <v>240.0</v>
      </c>
      <c r="AG419" s="738" t="s">
        <v>2270</v>
      </c>
      <c r="AH419" s="739" t="s">
        <v>134</v>
      </c>
      <c r="AI419" s="744" t="s">
        <v>628</v>
      </c>
      <c r="AJ419" s="749">
        <v>0.25</v>
      </c>
      <c r="AK419" s="738" t="s">
        <v>2249</v>
      </c>
      <c r="AL419" s="744" t="s">
        <v>186</v>
      </c>
      <c r="AM419" s="746" t="s">
        <v>141</v>
      </c>
      <c r="AN419" s="175" t="s">
        <v>138</v>
      </c>
      <c r="AO419" s="747">
        <v>75.0</v>
      </c>
      <c r="AP419" s="747">
        <v>0.001</v>
      </c>
      <c r="AQ419" s="746" t="s">
        <v>139</v>
      </c>
      <c r="AR419" s="738" t="s">
        <v>2229</v>
      </c>
      <c r="AS419" s="747">
        <v>0.84</v>
      </c>
      <c r="AT419" s="738" t="s">
        <v>172</v>
      </c>
      <c r="AU419" s="738" t="s">
        <v>186</v>
      </c>
      <c r="AV419" s="738" t="s">
        <v>137</v>
      </c>
      <c r="AW419" s="175" t="s">
        <v>138</v>
      </c>
      <c r="AX419" s="180" t="s">
        <v>151</v>
      </c>
      <c r="AY419" s="61" t="str">
        <f>IFERROR(__xludf.DUMMYFUNCTION("vlookup(BB419,importrange(""https://docs.google.com/spreadsheets/d/1d2vevQ_7D_v35q4wCQ4RpQ_IPoTwEMB9Yp6ymwlPqew/edit?gid=984458430#gid=984458430"", ""'replication success'!A:K""), 11, FAlSE)"),"failed")</f>
        <v>failed</v>
      </c>
      <c r="AZ419" s="61" t="str">
        <f>IFERROR(__xludf.DUMMYFUNCTION("vlookup(BB419,importrange(""https://docs.google.com/spreadsheets/d/1d2vevQ_7D_v35q4wCQ4RpQ_IPoTwEMB9Yp6ymwlPqew/edit?gid=984458430#gid=984458430"",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19" s="61" t="str">
        <f>IFERROR(__xludf.DUMMYFUNCTION("vlookup(BB419,importrange(""https://docs.google.com/spreadsheets/d/1d2vevQ_7D_v35q4wCQ4RpQ_IPoTwEMB9Yp6ymwlPqew/edit?gid=984458430#gid=984458430"", ""'replication success'!A:M""), 13, FAlSE)"),"abstract")</f>
        <v>abstract</v>
      </c>
      <c r="BB419" s="61" t="str">
        <f>IFERROR(__xludf.DUMMYFUNCTION("REGEXREPLACE(G419, ""_[a-z]{1,2}$"", """")"),"additional_studies84")</f>
        <v>additional_studies84</v>
      </c>
      <c r="BC419" s="68"/>
      <c r="BD419" s="168" t="s">
        <v>144</v>
      </c>
    </row>
    <row r="420" ht="20.25" customHeight="1">
      <c r="A420" s="44">
        <v>420.0</v>
      </c>
      <c r="B420" s="168" t="s">
        <v>152</v>
      </c>
      <c r="C420" s="742" t="s">
        <v>115</v>
      </c>
      <c r="D420" s="742" t="s">
        <v>2192</v>
      </c>
      <c r="E420" s="743"/>
      <c r="F420" s="738" t="s">
        <v>2216</v>
      </c>
      <c r="G420" s="744" t="s">
        <v>2271</v>
      </c>
      <c r="H420" s="738" t="s">
        <v>2193</v>
      </c>
      <c r="I420" s="745">
        <v>45662.0</v>
      </c>
      <c r="J420" s="746"/>
      <c r="K420" s="746"/>
      <c r="L420" s="746"/>
      <c r="M420" s="738" t="s">
        <v>2220</v>
      </c>
      <c r="N420" s="738" t="s">
        <v>2221</v>
      </c>
      <c r="O420" s="747">
        <v>2.0</v>
      </c>
      <c r="P420" s="738" t="str">
        <f t="shared" si="26"/>
        <v>10.1016--j.learninstruc.2014.08.004.pdf</v>
      </c>
      <c r="Q420" s="52" t="str">
        <f t="array" ref="Q420"> if(iserror(MATCH(V420, 'File Links'!C:C, 0)), "N/A", HYPERLINK(INDEX('File Links'!B:B, MATCH(P420, 'File Links'!C:C, 0))))</f>
        <v>https://drive.google.com/file/d/1dE7-AS0QPxKoPMyquy5WhD3ojjC80SWY/view?usp=drivesdk</v>
      </c>
      <c r="R420" s="738" t="s">
        <v>2222</v>
      </c>
      <c r="S420" s="738" t="s">
        <v>2223</v>
      </c>
      <c r="T420" s="746"/>
      <c r="U420" s="175">
        <v>1.0</v>
      </c>
      <c r="V420" s="738" t="str">
        <f t="shared" si="25"/>
        <v>10.1007--s11251-024-09670-y.pdf</v>
      </c>
      <c r="W420" s="186" t="s">
        <v>2224</v>
      </c>
      <c r="X420" s="54" t="str">
        <f t="array" ref="X420"> if(iserror(MATCH(V420, 'File Links'!C:C, 0)), "N/A", HYPERLINK(INDEX('File Links'!B:B, MATCH(V420, 'File Links'!C:C, 0))))</f>
        <v>https://drive.google.com/file/d/1pi6g99iJYyhyD_0jGvDca_hbleDdekCp/view?usp=drivesdk</v>
      </c>
      <c r="Y420" s="746"/>
      <c r="Z420" s="738" t="s">
        <v>241</v>
      </c>
      <c r="AA420" s="738" t="s">
        <v>2225</v>
      </c>
      <c r="AB420" s="739" t="s">
        <v>2226</v>
      </c>
      <c r="AC420" s="738" t="s">
        <v>2272</v>
      </c>
      <c r="AD420" s="738" t="s">
        <v>2273</v>
      </c>
      <c r="AE420" s="747">
        <v>8.0</v>
      </c>
      <c r="AF420" s="747">
        <v>240.0</v>
      </c>
      <c r="AG420" s="747">
        <v>0.02</v>
      </c>
      <c r="AH420" s="748" t="s">
        <v>139</v>
      </c>
      <c r="AI420" s="744" t="s">
        <v>2254</v>
      </c>
      <c r="AJ420" s="749">
        <v>0.03</v>
      </c>
      <c r="AK420" s="738" t="s">
        <v>172</v>
      </c>
      <c r="AL420" s="744" t="s">
        <v>186</v>
      </c>
      <c r="AM420" s="746" t="s">
        <v>141</v>
      </c>
      <c r="AN420" s="175" t="s">
        <v>138</v>
      </c>
      <c r="AO420" s="747">
        <v>75.0</v>
      </c>
      <c r="AP420" s="738" t="s">
        <v>2274</v>
      </c>
      <c r="AQ420" s="739" t="s">
        <v>134</v>
      </c>
      <c r="AR420" s="738" t="s">
        <v>2229</v>
      </c>
      <c r="AS420" s="747">
        <v>0.36</v>
      </c>
      <c r="AT420" s="738" t="s">
        <v>172</v>
      </c>
      <c r="AU420" s="738" t="s">
        <v>186</v>
      </c>
      <c r="AV420" s="738" t="s">
        <v>137</v>
      </c>
      <c r="AW420" s="175" t="s">
        <v>138</v>
      </c>
      <c r="AX420" s="180" t="s">
        <v>151</v>
      </c>
      <c r="AY420" s="61" t="str">
        <f>IFERROR(__xludf.DUMMYFUNCTION("vlookup(BB420,importrange(""https://docs.google.com/spreadsheets/d/1d2vevQ_7D_v35q4wCQ4RpQ_IPoTwEMB9Yp6ymwlPqew/edit?gid=984458430#gid=984458430"", ""'replication success'!A:K""), 11, FAlSE)"),"failed")</f>
        <v>failed</v>
      </c>
      <c r="AZ420" s="61" t="str">
        <f>IFERROR(__xludf.DUMMYFUNCTION("vlookup(BB420,importrange(""https://docs.google.com/spreadsheets/d/1d2vevQ_7D_v35q4wCQ4RpQ_IPoTwEMB9Yp6ymwlPqew/edit?gid=984458430#gid=984458430"", ""'replication success'!A:M""), 12, FAlSE)"),"In contrast to Loibl and Rummel (2014a), we did
neither find a main effect for PS-I vs. I-PS, nor for building on typical student solutions.")</f>
        <v>In contrast to Loibl and Rummel (2014a), we did
neither find a main effect for PS-I vs. I-PS, nor for building on typical student solutions.</v>
      </c>
      <c r="BA420" s="61" t="str">
        <f>IFERROR(__xludf.DUMMYFUNCTION("vlookup(BB420,importrange(""https://docs.google.com/spreadsheets/d/1d2vevQ_7D_v35q4wCQ4RpQ_IPoTwEMB9Yp6ymwlPqew/edit?gid=984458430#gid=984458430"", ""'replication success'!A:M""), 13, FAlSE)"),"abstract")</f>
        <v>abstract</v>
      </c>
      <c r="BB420" s="61" t="str">
        <f>IFERROR(__xludf.DUMMYFUNCTION("REGEXREPLACE(G420, ""_[a-z]{1,2}$"", """")"),"additional_studies84")</f>
        <v>additional_studies84</v>
      </c>
      <c r="BC420" s="68"/>
      <c r="BD420" s="168" t="s">
        <v>144</v>
      </c>
    </row>
    <row r="421" ht="20.25" customHeight="1">
      <c r="A421" s="44">
        <v>421.0</v>
      </c>
      <c r="B421" s="124" t="s">
        <v>590</v>
      </c>
      <c r="C421" s="124" t="s">
        <v>115</v>
      </c>
      <c r="D421" s="124" t="s">
        <v>1810</v>
      </c>
      <c r="E421" s="107"/>
      <c r="F421" s="761" t="s">
        <v>2275</v>
      </c>
      <c r="G421" s="126" t="s">
        <v>2276</v>
      </c>
      <c r="H421" s="126" t="s">
        <v>1811</v>
      </c>
      <c r="I421" s="317">
        <v>45461.0</v>
      </c>
      <c r="J421" s="127">
        <v>45642.0</v>
      </c>
      <c r="K421" s="132"/>
      <c r="L421" s="212"/>
      <c r="M421" s="126" t="s">
        <v>2277</v>
      </c>
      <c r="N421" s="126" t="s">
        <v>2278</v>
      </c>
      <c r="O421" s="132"/>
      <c r="P421" s="223" t="str">
        <f t="shared" si="26"/>
        <v>10.1016--0030-5073(76)90005-2.pdf</v>
      </c>
      <c r="Q421" s="52" t="str">
        <f t="array" ref="Q421"> if(iserror(MATCH(V421, 'File Links'!C:C, 0)), "N/A", HYPERLINK(INDEX('File Links'!B:B, MATCH(P421, 'File Links'!C:C, 0))))</f>
        <v>https://drive.google.com/file/d/1ks4sYhMyRxNwDVYxivPVczl4gI-dQ94P/view?usp=drivesdk</v>
      </c>
      <c r="R421" s="126" t="s">
        <v>2279</v>
      </c>
      <c r="S421" s="126" t="s">
        <v>2280</v>
      </c>
      <c r="T421" s="132"/>
      <c r="U421" s="133">
        <v>1.0</v>
      </c>
      <c r="V421" s="126" t="str">
        <f t="shared" si="25"/>
        <v>10.1037--xap0000366.pdf</v>
      </c>
      <c r="W421" s="126" t="s">
        <v>2186</v>
      </c>
      <c r="X421" s="54" t="str">
        <f t="array" ref="X421"> if(iserror(MATCH(V421, 'File Links'!C:C, 0)), "N/A", HYPERLINK(INDEX('File Links'!B:B, MATCH(V421, 'File Links'!C:C, 0))))</f>
        <v>https://drive.google.com/file/d/1SZWqK44IKYVvgeBO_YR6iREgVqKc9hl7/view?usp=drivesdk</v>
      </c>
      <c r="Y421" s="132"/>
      <c r="Z421" s="126" t="s">
        <v>1576</v>
      </c>
      <c r="AA421" s="126" t="s">
        <v>2187</v>
      </c>
      <c r="AB421" s="126" t="s">
        <v>2281</v>
      </c>
      <c r="AC421" s="126" t="s">
        <v>2282</v>
      </c>
      <c r="AD421" s="132"/>
      <c r="AE421" s="132"/>
      <c r="AF421" s="130">
        <v>240.0</v>
      </c>
      <c r="AG421" s="130">
        <v>14.4</v>
      </c>
      <c r="AH421" s="223" t="s">
        <v>1031</v>
      </c>
      <c r="AI421" s="126" t="s">
        <v>2283</v>
      </c>
      <c r="AJ421" s="130">
        <v>0.001</v>
      </c>
      <c r="AK421" s="140" t="s">
        <v>135</v>
      </c>
      <c r="AL421" s="687" t="s">
        <v>138</v>
      </c>
      <c r="AM421" s="687" t="s">
        <v>138</v>
      </c>
      <c r="AN421" s="126" t="s">
        <v>138</v>
      </c>
      <c r="AO421" s="130">
        <v>152.0</v>
      </c>
      <c r="AP421" s="130">
        <v>4.4</v>
      </c>
      <c r="AQ421" s="126" t="s">
        <v>1031</v>
      </c>
      <c r="AR421" s="126" t="s">
        <v>2284</v>
      </c>
      <c r="AS421" s="130">
        <v>0.038</v>
      </c>
      <c r="AT421" s="140" t="s">
        <v>172</v>
      </c>
      <c r="AU421" s="688" t="s">
        <v>138</v>
      </c>
      <c r="AV421" s="688" t="s">
        <v>138</v>
      </c>
      <c r="AW421" s="140" t="s">
        <v>138</v>
      </c>
      <c r="AX421" s="140" t="s">
        <v>143</v>
      </c>
      <c r="AY421" s="61" t="str">
        <f>IFERROR(__xludf.DUMMYFUNCTION("vlookup(BB421,importrange(""https://docs.google.com/spreadsheets/d/1d2vevQ_7D_v35q4wCQ4RpQ_IPoTwEMB9Yp6ymwlPqew/edit?gid=984458430#gid=984458430"", ""'replication success'!A:K""), 11, FAlSE)"),"#N/A")</f>
        <v>#N/A</v>
      </c>
      <c r="AZ421" s="61" t="str">
        <f>IFERROR(__xludf.DUMMYFUNCTION("vlookup(BB421,importrange(""https://docs.google.com/spreadsheets/d/1d2vevQ_7D_v35q4wCQ4RpQ_IPoTwEMB9Yp6ymwlPqew/edit?gid=984458430#gid=984458430"", ""'replication success'!A:M""), 12, FAlSE)"),"#N/A")</f>
        <v>#N/A</v>
      </c>
      <c r="BA421" s="61" t="str">
        <f>IFERROR(__xludf.DUMMYFUNCTION("vlookup(BB421,importrange(""https://docs.google.com/spreadsheets/d/1d2vevQ_7D_v35q4wCQ4RpQ_IPoTwEMB9Yp6ymwlPqew/edit?gid=984458430#gid=984458430"", ""'replication success'!A:M""), 13, FAlSE)"),"#N/A")</f>
        <v>#N/A</v>
      </c>
      <c r="BB421" s="61" t="str">
        <f>IFERROR(__xludf.DUMMYFUNCTION("REGEXREPLACE(G421, ""_[a-z]{1,2}$"", """")"),"additional_studies58")</f>
        <v>additional_studies58</v>
      </c>
      <c r="BC421" s="129" t="s">
        <v>2285</v>
      </c>
      <c r="BD421" s="107"/>
    </row>
    <row r="422" ht="20.25" customHeight="1">
      <c r="A422" s="44">
        <v>422.0</v>
      </c>
      <c r="B422" s="124" t="s">
        <v>590</v>
      </c>
      <c r="C422" s="124" t="s">
        <v>115</v>
      </c>
      <c r="D422" s="124" t="s">
        <v>1810</v>
      </c>
      <c r="E422" s="107"/>
      <c r="F422" s="761" t="s">
        <v>2275</v>
      </c>
      <c r="G422" s="126" t="s">
        <v>2276</v>
      </c>
      <c r="H422" s="126" t="s">
        <v>1811</v>
      </c>
      <c r="I422" s="317">
        <v>45461.0</v>
      </c>
      <c r="J422" s="127">
        <v>45642.0</v>
      </c>
      <c r="K422" s="132"/>
      <c r="L422" s="132"/>
      <c r="M422" s="126" t="s">
        <v>2277</v>
      </c>
      <c r="N422" s="126" t="s">
        <v>2278</v>
      </c>
      <c r="O422" s="132"/>
      <c r="P422" s="223" t="str">
        <f t="shared" si="26"/>
        <v>10.1016--0030-5073(76)90005-2.pdf</v>
      </c>
      <c r="Q422" s="52" t="str">
        <f t="array" ref="Q422"> if(iserror(MATCH(V422, 'File Links'!C:C, 0)), "N/A", HYPERLINK(INDEX('File Links'!B:B, MATCH(P422, 'File Links'!C:C, 0))))</f>
        <v>https://drive.google.com/file/d/1ks4sYhMyRxNwDVYxivPVczl4gI-dQ94P/view?usp=drivesdk</v>
      </c>
      <c r="R422" s="126" t="s">
        <v>2279</v>
      </c>
      <c r="S422" s="126" t="s">
        <v>2280</v>
      </c>
      <c r="T422" s="132"/>
      <c r="U422" s="133">
        <v>2.0</v>
      </c>
      <c r="V422" s="126" t="str">
        <f t="shared" si="25"/>
        <v>10.1037--xap0000366.pdf</v>
      </c>
      <c r="W422" s="126" t="s">
        <v>2186</v>
      </c>
      <c r="X422" s="54" t="str">
        <f t="array" ref="X422"> if(iserror(MATCH(V422, 'File Links'!C:C, 0)), "N/A", HYPERLINK(INDEX('File Links'!B:B, MATCH(V422, 'File Links'!C:C, 0))))</f>
        <v>https://drive.google.com/file/d/1SZWqK44IKYVvgeBO_YR6iREgVqKc9hl7/view?usp=drivesdk</v>
      </c>
      <c r="Y422" s="132"/>
      <c r="Z422" s="126" t="s">
        <v>1576</v>
      </c>
      <c r="AA422" s="126" t="s">
        <v>2187</v>
      </c>
      <c r="AB422" s="126" t="s">
        <v>2281</v>
      </c>
      <c r="AC422" s="126" t="s">
        <v>2282</v>
      </c>
      <c r="AD422" s="132"/>
      <c r="AE422" s="132"/>
      <c r="AF422" s="130">
        <v>240.0</v>
      </c>
      <c r="AG422" s="130">
        <v>14.4</v>
      </c>
      <c r="AH422" s="223" t="s">
        <v>1031</v>
      </c>
      <c r="AI422" s="126" t="s">
        <v>2283</v>
      </c>
      <c r="AJ422" s="130">
        <v>0.001</v>
      </c>
      <c r="AK422" s="140" t="s">
        <v>135</v>
      </c>
      <c r="AL422" s="687" t="s">
        <v>138</v>
      </c>
      <c r="AM422" s="687" t="s">
        <v>138</v>
      </c>
      <c r="AN422" s="126" t="s">
        <v>138</v>
      </c>
      <c r="AO422" s="130">
        <v>161.0</v>
      </c>
      <c r="AP422" s="130">
        <v>6.75</v>
      </c>
      <c r="AQ422" s="126" t="s">
        <v>1031</v>
      </c>
      <c r="AR422" s="126" t="s">
        <v>2286</v>
      </c>
      <c r="AS422" s="130">
        <v>0.1</v>
      </c>
      <c r="AT422" s="140" t="s">
        <v>172</v>
      </c>
      <c r="AU422" s="688" t="s">
        <v>138</v>
      </c>
      <c r="AV422" s="688" t="s">
        <v>138</v>
      </c>
      <c r="AW422" s="140" t="s">
        <v>138</v>
      </c>
      <c r="AX422" s="140" t="s">
        <v>143</v>
      </c>
      <c r="AY422" s="61" t="str">
        <f>IFERROR(__xludf.DUMMYFUNCTION("vlookup(BB422,importrange(""https://docs.google.com/spreadsheets/d/1d2vevQ_7D_v35q4wCQ4RpQ_IPoTwEMB9Yp6ymwlPqew/edit?gid=984458430#gid=984458430"", ""'replication success'!A:K""), 11, FAlSE)"),"#N/A")</f>
        <v>#N/A</v>
      </c>
      <c r="AZ422" s="61" t="str">
        <f>IFERROR(__xludf.DUMMYFUNCTION("vlookup(BB422,importrange(""https://docs.google.com/spreadsheets/d/1d2vevQ_7D_v35q4wCQ4RpQ_IPoTwEMB9Yp6ymwlPqew/edit?gid=984458430#gid=984458430"", ""'replication success'!A:M""), 12, FAlSE)"),"#N/A")</f>
        <v>#N/A</v>
      </c>
      <c r="BA422" s="61" t="str">
        <f>IFERROR(__xludf.DUMMYFUNCTION("vlookup(BB422,importrange(""https://docs.google.com/spreadsheets/d/1d2vevQ_7D_v35q4wCQ4RpQ_IPoTwEMB9Yp6ymwlPqew/edit?gid=984458430#gid=984458430"", ""'replication success'!A:M""), 13, FAlSE)"),"#N/A")</f>
        <v>#N/A</v>
      </c>
      <c r="BB422" s="61" t="str">
        <f>IFERROR(__xludf.DUMMYFUNCTION("REGEXREPLACE(G422, ""_[a-z]{1,2}$"", """")"),"additional_studies58")</f>
        <v>additional_studies58</v>
      </c>
      <c r="BC422" s="61"/>
      <c r="BD422" s="107"/>
    </row>
    <row r="423" ht="20.25" customHeight="1">
      <c r="A423" s="44">
        <v>423.0</v>
      </c>
      <c r="B423" s="124" t="s">
        <v>590</v>
      </c>
      <c r="C423" s="124" t="s">
        <v>115</v>
      </c>
      <c r="D423" s="124" t="s">
        <v>1810</v>
      </c>
      <c r="E423" s="107"/>
      <c r="F423" s="761" t="s">
        <v>2275</v>
      </c>
      <c r="G423" s="126" t="s">
        <v>2276</v>
      </c>
      <c r="H423" s="126" t="s">
        <v>1811</v>
      </c>
      <c r="I423" s="317">
        <v>45461.0</v>
      </c>
      <c r="J423" s="127">
        <v>45642.0</v>
      </c>
      <c r="K423" s="132"/>
      <c r="L423" s="132"/>
      <c r="M423" s="126" t="s">
        <v>2277</v>
      </c>
      <c r="N423" s="126" t="s">
        <v>2278</v>
      </c>
      <c r="O423" s="132"/>
      <c r="P423" s="223" t="str">
        <f t="shared" si="26"/>
        <v>10.1016--0030-5073(76)90005-2.pdf</v>
      </c>
      <c r="Q423" s="52" t="str">
        <f t="array" ref="Q423"> if(iserror(MATCH(V423, 'File Links'!C:C, 0)), "N/A", HYPERLINK(INDEX('File Links'!B:B, MATCH(P423, 'File Links'!C:C, 0))))</f>
        <v>https://drive.google.com/file/d/1ks4sYhMyRxNwDVYxivPVczl4gI-dQ94P/view?usp=drivesdk</v>
      </c>
      <c r="R423" s="126" t="s">
        <v>2279</v>
      </c>
      <c r="S423" s="126" t="s">
        <v>2280</v>
      </c>
      <c r="T423" s="132"/>
      <c r="U423" s="133">
        <v>1.0</v>
      </c>
      <c r="V423" s="126" t="str">
        <f t="shared" si="25"/>
        <v>10.1037--xap0000366.pdf</v>
      </c>
      <c r="W423" s="126" t="s">
        <v>2186</v>
      </c>
      <c r="X423" s="54" t="str">
        <f t="array" ref="X423"> if(iserror(MATCH(V423, 'File Links'!C:C, 0)), "N/A", HYPERLINK(INDEX('File Links'!B:B, MATCH(V423, 'File Links'!C:C, 0))))</f>
        <v>https://drive.google.com/file/d/1SZWqK44IKYVvgeBO_YR6iREgVqKc9hl7/view?usp=drivesdk</v>
      </c>
      <c r="Y423" s="132"/>
      <c r="Z423" s="126" t="s">
        <v>1576</v>
      </c>
      <c r="AA423" s="126" t="s">
        <v>2187</v>
      </c>
      <c r="AB423" s="126" t="s">
        <v>2281</v>
      </c>
      <c r="AC423" s="126" t="s">
        <v>2282</v>
      </c>
      <c r="AD423" s="132"/>
      <c r="AE423" s="132"/>
      <c r="AF423" s="130">
        <v>240.0</v>
      </c>
      <c r="AG423" s="130">
        <v>17.93</v>
      </c>
      <c r="AH423" s="223" t="s">
        <v>1031</v>
      </c>
      <c r="AI423" s="126" t="s">
        <v>2283</v>
      </c>
      <c r="AJ423" s="130">
        <v>0.001</v>
      </c>
      <c r="AK423" s="140" t="s">
        <v>135</v>
      </c>
      <c r="AL423" s="687" t="s">
        <v>138</v>
      </c>
      <c r="AM423" s="687" t="s">
        <v>138</v>
      </c>
      <c r="AN423" s="126" t="s">
        <v>138</v>
      </c>
      <c r="AO423" s="130">
        <v>152.0</v>
      </c>
      <c r="AP423" s="130">
        <v>174.49</v>
      </c>
      <c r="AQ423" s="126" t="s">
        <v>1031</v>
      </c>
      <c r="AR423" s="126" t="s">
        <v>2287</v>
      </c>
      <c r="AS423" s="130">
        <v>0.001</v>
      </c>
      <c r="AT423" s="140" t="s">
        <v>2130</v>
      </c>
      <c r="AU423" s="688" t="s">
        <v>138</v>
      </c>
      <c r="AV423" s="688" t="s">
        <v>138</v>
      </c>
      <c r="AW423" s="140" t="s">
        <v>138</v>
      </c>
      <c r="AX423" s="140" t="s">
        <v>143</v>
      </c>
      <c r="AY423" s="61" t="str">
        <f>IFERROR(__xludf.DUMMYFUNCTION("vlookup(BB423,importrange(""https://docs.google.com/spreadsheets/d/1d2vevQ_7D_v35q4wCQ4RpQ_IPoTwEMB9Yp6ymwlPqew/edit?gid=984458430#gid=984458430"", ""'replication success'!A:K""), 11, FAlSE)"),"#N/A")</f>
        <v>#N/A</v>
      </c>
      <c r="AZ423" s="61" t="str">
        <f>IFERROR(__xludf.DUMMYFUNCTION("vlookup(BB423,importrange(""https://docs.google.com/spreadsheets/d/1d2vevQ_7D_v35q4wCQ4RpQ_IPoTwEMB9Yp6ymwlPqew/edit?gid=984458430#gid=984458430"", ""'replication success'!A:M""), 12, FAlSE)"),"#N/A")</f>
        <v>#N/A</v>
      </c>
      <c r="BA423" s="61" t="str">
        <f>IFERROR(__xludf.DUMMYFUNCTION("vlookup(BB423,importrange(""https://docs.google.com/spreadsheets/d/1d2vevQ_7D_v35q4wCQ4RpQ_IPoTwEMB9Yp6ymwlPqew/edit?gid=984458430#gid=984458430"", ""'replication success'!A:M""), 13, FAlSE)"),"#N/A")</f>
        <v>#N/A</v>
      </c>
      <c r="BB423" s="61" t="str">
        <f>IFERROR(__xludf.DUMMYFUNCTION("REGEXREPLACE(G423, ""_[a-z]{1,2}$"", """")"),"additional_studies58")</f>
        <v>additional_studies58</v>
      </c>
      <c r="BC423" s="61"/>
      <c r="BD423" s="107"/>
    </row>
    <row r="424" ht="20.25" customHeight="1">
      <c r="A424" s="44">
        <v>424.0</v>
      </c>
      <c r="B424" s="124" t="s">
        <v>590</v>
      </c>
      <c r="C424" s="124" t="s">
        <v>115</v>
      </c>
      <c r="D424" s="124" t="s">
        <v>1810</v>
      </c>
      <c r="E424" s="107"/>
      <c r="F424" s="761" t="s">
        <v>2275</v>
      </c>
      <c r="G424" s="126" t="s">
        <v>2276</v>
      </c>
      <c r="H424" s="126" t="s">
        <v>1811</v>
      </c>
      <c r="I424" s="317">
        <v>45461.0</v>
      </c>
      <c r="J424" s="127">
        <v>45642.0</v>
      </c>
      <c r="K424" s="132"/>
      <c r="L424" s="132"/>
      <c r="M424" s="126" t="s">
        <v>2277</v>
      </c>
      <c r="N424" s="126" t="s">
        <v>2278</v>
      </c>
      <c r="O424" s="132"/>
      <c r="P424" s="223" t="str">
        <f t="shared" si="26"/>
        <v>10.1016--0030-5073(76)90005-2.pdf</v>
      </c>
      <c r="Q424" s="52" t="str">
        <f t="array" ref="Q424"> if(iserror(MATCH(V424, 'File Links'!C:C, 0)), "N/A", HYPERLINK(INDEX('File Links'!B:B, MATCH(P424, 'File Links'!C:C, 0))))</f>
        <v>https://drive.google.com/file/d/1ks4sYhMyRxNwDVYxivPVczl4gI-dQ94P/view?usp=drivesdk</v>
      </c>
      <c r="R424" s="126" t="s">
        <v>2279</v>
      </c>
      <c r="S424" s="126" t="s">
        <v>2280</v>
      </c>
      <c r="T424" s="132"/>
      <c r="U424" s="133">
        <v>2.0</v>
      </c>
      <c r="V424" s="126" t="str">
        <f t="shared" si="25"/>
        <v>10.1037--xap0000366.pdf</v>
      </c>
      <c r="W424" s="126" t="s">
        <v>2186</v>
      </c>
      <c r="X424" s="54" t="str">
        <f t="array" ref="X424"> if(iserror(MATCH(V424, 'File Links'!C:C, 0)), "N/A", HYPERLINK(INDEX('File Links'!B:B, MATCH(V424, 'File Links'!C:C, 0))))</f>
        <v>https://drive.google.com/file/d/1SZWqK44IKYVvgeBO_YR6iREgVqKc9hl7/view?usp=drivesdk</v>
      </c>
      <c r="Y424" s="132"/>
      <c r="Z424" s="126" t="s">
        <v>1576</v>
      </c>
      <c r="AA424" s="126" t="s">
        <v>2187</v>
      </c>
      <c r="AB424" s="126" t="s">
        <v>2281</v>
      </c>
      <c r="AC424" s="126" t="s">
        <v>2282</v>
      </c>
      <c r="AD424" s="132"/>
      <c r="AE424" s="132"/>
      <c r="AF424" s="130">
        <v>240.0</v>
      </c>
      <c r="AG424" s="130">
        <v>17.93</v>
      </c>
      <c r="AH424" s="223" t="s">
        <v>1031</v>
      </c>
      <c r="AI424" s="126" t="s">
        <v>2283</v>
      </c>
      <c r="AJ424" s="130">
        <v>0.001</v>
      </c>
      <c r="AK424" s="140" t="s">
        <v>135</v>
      </c>
      <c r="AL424" s="687" t="s">
        <v>138</v>
      </c>
      <c r="AM424" s="687" t="s">
        <v>138</v>
      </c>
      <c r="AN424" s="126" t="s">
        <v>138</v>
      </c>
      <c r="AO424" s="130">
        <v>161.0</v>
      </c>
      <c r="AP424" s="130">
        <v>23.32</v>
      </c>
      <c r="AQ424" s="126" t="s">
        <v>1031</v>
      </c>
      <c r="AR424" s="126" t="s">
        <v>2286</v>
      </c>
      <c r="AS424" s="130">
        <v>0.001</v>
      </c>
      <c r="AT424" s="140" t="s">
        <v>2130</v>
      </c>
      <c r="AU424" s="688" t="s">
        <v>138</v>
      </c>
      <c r="AV424" s="688" t="s">
        <v>138</v>
      </c>
      <c r="AW424" s="140" t="s">
        <v>138</v>
      </c>
      <c r="AX424" s="140" t="s">
        <v>143</v>
      </c>
      <c r="AY424" s="61" t="str">
        <f>IFERROR(__xludf.DUMMYFUNCTION("vlookup(BB424,importrange(""https://docs.google.com/spreadsheets/d/1d2vevQ_7D_v35q4wCQ4RpQ_IPoTwEMB9Yp6ymwlPqew/edit?gid=984458430#gid=984458430"", ""'replication success'!A:K""), 11, FAlSE)"),"#N/A")</f>
        <v>#N/A</v>
      </c>
      <c r="AZ424" s="61" t="str">
        <f>IFERROR(__xludf.DUMMYFUNCTION("vlookup(BB424,importrange(""https://docs.google.com/spreadsheets/d/1d2vevQ_7D_v35q4wCQ4RpQ_IPoTwEMB9Yp6ymwlPqew/edit?gid=984458430#gid=984458430"", ""'replication success'!A:M""), 12, FAlSE)"),"#N/A")</f>
        <v>#N/A</v>
      </c>
      <c r="BA424" s="61" t="str">
        <f>IFERROR(__xludf.DUMMYFUNCTION("vlookup(BB424,importrange(""https://docs.google.com/spreadsheets/d/1d2vevQ_7D_v35q4wCQ4RpQ_IPoTwEMB9Yp6ymwlPqew/edit?gid=984458430#gid=984458430"", ""'replication success'!A:M""), 13, FAlSE)"),"#N/A")</f>
        <v>#N/A</v>
      </c>
      <c r="BB424" s="61" t="str">
        <f>IFERROR(__xludf.DUMMYFUNCTION("REGEXREPLACE(G424, ""_[a-z]{1,2}$"", """")"),"additional_studies58")</f>
        <v>additional_studies58</v>
      </c>
      <c r="BC424" s="61"/>
      <c r="BD424" s="107"/>
    </row>
    <row r="425" ht="20.25" customHeight="1">
      <c r="A425" s="44">
        <v>425.0</v>
      </c>
      <c r="B425" s="124" t="s">
        <v>590</v>
      </c>
      <c r="C425" s="149" t="s">
        <v>115</v>
      </c>
      <c r="D425" s="149" t="s">
        <v>2192</v>
      </c>
      <c r="E425" s="71"/>
      <c r="F425" s="122" t="s">
        <v>2275</v>
      </c>
      <c r="G425" s="112" t="s">
        <v>2276</v>
      </c>
      <c r="H425" s="122" t="s">
        <v>2193</v>
      </c>
      <c r="I425" s="417">
        <v>45461.0</v>
      </c>
      <c r="J425" s="113">
        <v>45641.0</v>
      </c>
      <c r="K425" s="122" t="s">
        <v>2288</v>
      </c>
      <c r="L425" s="111"/>
      <c r="M425" s="122" t="s">
        <v>2277</v>
      </c>
      <c r="N425" s="122" t="s">
        <v>2278</v>
      </c>
      <c r="O425" s="111"/>
      <c r="P425" s="122" t="str">
        <f t="shared" si="26"/>
        <v>10.1016--0030-5073(76)90005-2.pdf</v>
      </c>
      <c r="Q425" s="52" t="str">
        <f t="array" ref="Q425"> if(iserror(MATCH(V425, 'File Links'!C:C, 0)), "N/A", HYPERLINK(INDEX('File Links'!B:B, MATCH(P425, 'File Links'!C:C, 0))))</f>
        <v>https://drive.google.com/file/d/1ks4sYhMyRxNwDVYxivPVczl4gI-dQ94P/view?usp=drivesdk</v>
      </c>
      <c r="R425" s="122" t="s">
        <v>2279</v>
      </c>
      <c r="S425" s="122" t="s">
        <v>2280</v>
      </c>
      <c r="T425" s="111"/>
      <c r="U425" s="537">
        <v>1.0</v>
      </c>
      <c r="V425" s="122" t="str">
        <f t="shared" si="25"/>
        <v>10.1037--xap0000366.pdf</v>
      </c>
      <c r="W425" s="122" t="s">
        <v>2289</v>
      </c>
      <c r="X425" s="54" t="str">
        <f t="array" ref="X425"> if(iserror(MATCH(V425, 'File Links'!C:C, 0)), "N/A", HYPERLINK(INDEX('File Links'!B:B, MATCH(V425, 'File Links'!C:C, 0))))</f>
        <v>https://drive.google.com/file/d/1SZWqK44IKYVvgeBO_YR6iREgVqKc9hl7/view?usp=drivesdk</v>
      </c>
      <c r="Y425" s="111"/>
      <c r="Z425" s="122" t="s">
        <v>1809</v>
      </c>
      <c r="AA425" s="122" t="s">
        <v>2290</v>
      </c>
      <c r="AB425" s="122" t="s">
        <v>2291</v>
      </c>
      <c r="AC425" s="122" t="s">
        <v>2292</v>
      </c>
      <c r="AD425" s="122" t="s">
        <v>2293</v>
      </c>
      <c r="AE425" s="537">
        <v>11.0</v>
      </c>
      <c r="AF425" s="537">
        <v>240.0</v>
      </c>
      <c r="AG425" s="762" t="s">
        <v>2294</v>
      </c>
      <c r="AH425" s="119" t="s">
        <v>134</v>
      </c>
      <c r="AI425" s="112" t="s">
        <v>307</v>
      </c>
      <c r="AJ425" s="117">
        <v>0.001</v>
      </c>
      <c r="AK425" s="122" t="s">
        <v>135</v>
      </c>
      <c r="AL425" s="112" t="s">
        <v>186</v>
      </c>
      <c r="AM425" s="122" t="s">
        <v>137</v>
      </c>
      <c r="AN425" s="126" t="s">
        <v>138</v>
      </c>
      <c r="AO425" s="537">
        <v>152.0</v>
      </c>
      <c r="AP425" s="537">
        <v>0.03</v>
      </c>
      <c r="AQ425" s="111" t="s">
        <v>139</v>
      </c>
      <c r="AR425" s="122" t="s">
        <v>2295</v>
      </c>
      <c r="AS425" s="537">
        <v>0.038</v>
      </c>
      <c r="AT425" s="111" t="s">
        <v>172</v>
      </c>
      <c r="AU425" s="122" t="s">
        <v>186</v>
      </c>
      <c r="AV425" s="122" t="s">
        <v>137</v>
      </c>
      <c r="AW425" s="672" t="s">
        <v>2296</v>
      </c>
      <c r="AX425" s="420" t="s">
        <v>151</v>
      </c>
      <c r="AY425" s="61" t="str">
        <f>IFERROR(__xludf.DUMMYFUNCTION("vlookup(BB425,importrange(""https://docs.google.com/spreadsheets/d/1d2vevQ_7D_v35q4wCQ4RpQ_IPoTwEMB9Yp6ymwlPqew/edit?gid=984458430#gid=984458430"", ""'replication success'!A:K""), 11, FAlSE)"),"#N/A")</f>
        <v>#N/A</v>
      </c>
      <c r="AZ425" s="61" t="str">
        <f>IFERROR(__xludf.DUMMYFUNCTION("vlookup(BB425,importrange(""https://docs.google.com/spreadsheets/d/1d2vevQ_7D_v35q4wCQ4RpQ_IPoTwEMB9Yp6ymwlPqew/edit?gid=984458430#gid=984458430"", ""'replication success'!A:M""), 12, FAlSE)"),"#N/A")</f>
        <v>#N/A</v>
      </c>
      <c r="BA425" s="61" t="str">
        <f>IFERROR(__xludf.DUMMYFUNCTION("vlookup(BB425,importrange(""https://docs.google.com/spreadsheets/d/1d2vevQ_7D_v35q4wCQ4RpQ_IPoTwEMB9Yp6ymwlPqew/edit?gid=984458430#gid=984458430"", ""'replication success'!A:M""), 13, FAlSE)"),"#N/A")</f>
        <v>#N/A</v>
      </c>
      <c r="BB425" s="61" t="str">
        <f>IFERROR(__xludf.DUMMYFUNCTION("REGEXREPLACE(G425, ""_[a-z]{1,2}$"", """")"),"additional_studies58")</f>
        <v>additional_studies58</v>
      </c>
      <c r="BC425" s="68"/>
      <c r="BD425" s="71"/>
    </row>
    <row r="426" ht="20.25" customHeight="1">
      <c r="A426" s="44">
        <v>426.0</v>
      </c>
      <c r="B426" s="124" t="s">
        <v>590</v>
      </c>
      <c r="C426" s="149" t="s">
        <v>115</v>
      </c>
      <c r="D426" s="149" t="s">
        <v>2192</v>
      </c>
      <c r="E426" s="71"/>
      <c r="F426" s="122" t="s">
        <v>2275</v>
      </c>
      <c r="G426" s="112" t="s">
        <v>2297</v>
      </c>
      <c r="H426" s="122" t="s">
        <v>2193</v>
      </c>
      <c r="I426" s="113">
        <v>45641.0</v>
      </c>
      <c r="J426" s="113">
        <v>45643.0</v>
      </c>
      <c r="K426" s="122" t="s">
        <v>2288</v>
      </c>
      <c r="L426" s="111"/>
      <c r="M426" s="122" t="s">
        <v>2277</v>
      </c>
      <c r="N426" s="122" t="s">
        <v>2278</v>
      </c>
      <c r="O426" s="111"/>
      <c r="P426" s="122" t="str">
        <f t="shared" si="26"/>
        <v>10.1016--0030-5073(76)90005-2.pdf</v>
      </c>
      <c r="Q426" s="52" t="str">
        <f t="array" ref="Q426"> if(iserror(MATCH(V426, 'File Links'!C:C, 0)), "N/A", HYPERLINK(INDEX('File Links'!B:B, MATCH(P426, 'File Links'!C:C, 0))))</f>
        <v>https://drive.google.com/file/d/1ks4sYhMyRxNwDVYxivPVczl4gI-dQ94P/view?usp=drivesdk</v>
      </c>
      <c r="R426" s="122" t="s">
        <v>2279</v>
      </c>
      <c r="S426" s="122" t="s">
        <v>2280</v>
      </c>
      <c r="T426" s="111"/>
      <c r="U426" s="537">
        <v>1.0</v>
      </c>
      <c r="V426" s="122" t="str">
        <f t="shared" si="25"/>
        <v>10.1037--xap0000366.pdf</v>
      </c>
      <c r="W426" s="122" t="s">
        <v>2289</v>
      </c>
      <c r="X426" s="54" t="str">
        <f t="array" ref="X426"> if(iserror(MATCH(V426, 'File Links'!C:C, 0)), "N/A", HYPERLINK(INDEX('File Links'!B:B, MATCH(V426, 'File Links'!C:C, 0))))</f>
        <v>https://drive.google.com/file/d/1SZWqK44IKYVvgeBO_YR6iREgVqKc9hl7/view?usp=drivesdk</v>
      </c>
      <c r="Y426" s="111"/>
      <c r="Z426" s="122" t="s">
        <v>1809</v>
      </c>
      <c r="AA426" s="122" t="s">
        <v>2290</v>
      </c>
      <c r="AB426" s="122" t="s">
        <v>2291</v>
      </c>
      <c r="AC426" s="122" t="s">
        <v>2298</v>
      </c>
      <c r="AD426" s="122" t="s">
        <v>2299</v>
      </c>
      <c r="AE426" s="537">
        <v>11.0</v>
      </c>
      <c r="AF426" s="537">
        <v>240.0</v>
      </c>
      <c r="AG426" s="122" t="s">
        <v>2300</v>
      </c>
      <c r="AH426" s="119" t="s">
        <v>134</v>
      </c>
      <c r="AI426" s="112" t="s">
        <v>307</v>
      </c>
      <c r="AJ426" s="117">
        <v>0.001</v>
      </c>
      <c r="AK426" s="122" t="s">
        <v>135</v>
      </c>
      <c r="AL426" s="112" t="s">
        <v>186</v>
      </c>
      <c r="AM426" s="122" t="s">
        <v>137</v>
      </c>
      <c r="AN426" s="126" t="s">
        <v>138</v>
      </c>
      <c r="AO426" s="537">
        <v>152.0</v>
      </c>
      <c r="AP426" s="111"/>
      <c r="AQ426" s="111"/>
      <c r="AR426" s="122" t="s">
        <v>2301</v>
      </c>
      <c r="AS426" s="111"/>
      <c r="AT426" s="111"/>
      <c r="AU426" s="122" t="s">
        <v>186</v>
      </c>
      <c r="AV426" s="122" t="s">
        <v>137</v>
      </c>
      <c r="AW426" s="672" t="s">
        <v>2296</v>
      </c>
      <c r="AX426" s="420" t="s">
        <v>151</v>
      </c>
      <c r="AY426" s="61" t="str">
        <f>IFERROR(__xludf.DUMMYFUNCTION("vlookup(BB426,importrange(""https://docs.google.com/spreadsheets/d/1d2vevQ_7D_v35q4wCQ4RpQ_IPoTwEMB9Yp6ymwlPqew/edit?gid=984458430#gid=984458430"", ""'replication success'!A:K""), 11, FAlSE)"),"#N/A")</f>
        <v>#N/A</v>
      </c>
      <c r="AZ426" s="61" t="str">
        <f>IFERROR(__xludf.DUMMYFUNCTION("vlookup(BB426,importrange(""https://docs.google.com/spreadsheets/d/1d2vevQ_7D_v35q4wCQ4RpQ_IPoTwEMB9Yp6ymwlPqew/edit?gid=984458430#gid=984458430"", ""'replication success'!A:M""), 12, FAlSE)"),"#N/A")</f>
        <v>#N/A</v>
      </c>
      <c r="BA426" s="61" t="str">
        <f>IFERROR(__xludf.DUMMYFUNCTION("vlookup(BB426,importrange(""https://docs.google.com/spreadsheets/d/1d2vevQ_7D_v35q4wCQ4RpQ_IPoTwEMB9Yp6ymwlPqew/edit?gid=984458430#gid=984458430"", ""'replication success'!A:M""), 13, FAlSE)"),"#N/A")</f>
        <v>#N/A</v>
      </c>
      <c r="BB426" s="61" t="str">
        <f>IFERROR(__xludf.DUMMYFUNCTION("REGEXREPLACE(G426, ""_[a-z]{1,2}$"", """")"),"additional_studies58")</f>
        <v>additional_studies58</v>
      </c>
      <c r="BC426" s="68"/>
      <c r="BD426" s="71"/>
    </row>
    <row r="427" ht="20.25" customHeight="1">
      <c r="A427" s="44">
        <v>427.0</v>
      </c>
      <c r="B427" s="124" t="s">
        <v>590</v>
      </c>
      <c r="C427" s="149" t="s">
        <v>115</v>
      </c>
      <c r="D427" s="149" t="s">
        <v>2192</v>
      </c>
      <c r="E427" s="71"/>
      <c r="F427" s="122" t="s">
        <v>2275</v>
      </c>
      <c r="G427" s="112" t="s">
        <v>2302</v>
      </c>
      <c r="H427" s="122" t="s">
        <v>2193</v>
      </c>
      <c r="I427" s="113">
        <v>45641.0</v>
      </c>
      <c r="J427" s="113">
        <v>45643.0</v>
      </c>
      <c r="K427" s="122" t="s">
        <v>2288</v>
      </c>
      <c r="L427" s="111"/>
      <c r="M427" s="122" t="s">
        <v>2277</v>
      </c>
      <c r="N427" s="122" t="s">
        <v>2278</v>
      </c>
      <c r="O427" s="111"/>
      <c r="P427" s="122" t="str">
        <f t="shared" si="26"/>
        <v>10.1016--0030-5073(76)90005-2.pdf</v>
      </c>
      <c r="Q427" s="52" t="str">
        <f t="array" ref="Q427"> if(iserror(MATCH(V427, 'File Links'!C:C, 0)), "N/A", HYPERLINK(INDEX('File Links'!B:B, MATCH(P427, 'File Links'!C:C, 0))))</f>
        <v>https://drive.google.com/file/d/1ks4sYhMyRxNwDVYxivPVczl4gI-dQ94P/view?usp=drivesdk</v>
      </c>
      <c r="R427" s="122" t="s">
        <v>2279</v>
      </c>
      <c r="S427" s="122" t="s">
        <v>2280</v>
      </c>
      <c r="T427" s="111"/>
      <c r="U427" s="537">
        <v>1.0</v>
      </c>
      <c r="V427" s="122" t="str">
        <f t="shared" si="25"/>
        <v>10.1037--xap0000366.pdf</v>
      </c>
      <c r="W427" s="122" t="s">
        <v>2289</v>
      </c>
      <c r="X427" s="54" t="str">
        <f t="array" ref="X427"> if(iserror(MATCH(V427, 'File Links'!C:C, 0)), "N/A", HYPERLINK(INDEX('File Links'!B:B, MATCH(V427, 'File Links'!C:C, 0))))</f>
        <v>https://drive.google.com/file/d/1SZWqK44IKYVvgeBO_YR6iREgVqKc9hl7/view?usp=drivesdk</v>
      </c>
      <c r="Y427" s="111"/>
      <c r="Z427" s="122" t="s">
        <v>1809</v>
      </c>
      <c r="AA427" s="122" t="s">
        <v>2290</v>
      </c>
      <c r="AB427" s="122" t="s">
        <v>2291</v>
      </c>
      <c r="AC427" s="122" t="s">
        <v>2303</v>
      </c>
      <c r="AD427" s="122" t="s">
        <v>2304</v>
      </c>
      <c r="AE427" s="537">
        <v>11.0</v>
      </c>
      <c r="AF427" s="537">
        <v>240.0</v>
      </c>
      <c r="AG427" s="122" t="s">
        <v>2305</v>
      </c>
      <c r="AH427" s="119" t="s">
        <v>134</v>
      </c>
      <c r="AI427" s="112" t="s">
        <v>307</v>
      </c>
      <c r="AJ427" s="117">
        <v>0.019</v>
      </c>
      <c r="AK427" s="122" t="s">
        <v>135</v>
      </c>
      <c r="AL427" s="112" t="s">
        <v>186</v>
      </c>
      <c r="AM427" s="122" t="s">
        <v>137</v>
      </c>
      <c r="AN427" s="126" t="s">
        <v>138</v>
      </c>
      <c r="AO427" s="537">
        <v>152.0</v>
      </c>
      <c r="AP427" s="111"/>
      <c r="AQ427" s="111"/>
      <c r="AR427" s="122" t="s">
        <v>2301</v>
      </c>
      <c r="AS427" s="111"/>
      <c r="AT427" s="111"/>
      <c r="AU427" s="122" t="s">
        <v>186</v>
      </c>
      <c r="AV427" s="122" t="s">
        <v>137</v>
      </c>
      <c r="AW427" s="672" t="s">
        <v>2296</v>
      </c>
      <c r="AX427" s="420" t="s">
        <v>151</v>
      </c>
      <c r="AY427" s="61" t="str">
        <f>IFERROR(__xludf.DUMMYFUNCTION("vlookup(BB427,importrange(""https://docs.google.com/spreadsheets/d/1d2vevQ_7D_v35q4wCQ4RpQ_IPoTwEMB9Yp6ymwlPqew/edit?gid=984458430#gid=984458430"", ""'replication success'!A:K""), 11, FAlSE)"),"#N/A")</f>
        <v>#N/A</v>
      </c>
      <c r="AZ427" s="61" t="str">
        <f>IFERROR(__xludf.DUMMYFUNCTION("vlookup(BB427,importrange(""https://docs.google.com/spreadsheets/d/1d2vevQ_7D_v35q4wCQ4RpQ_IPoTwEMB9Yp6ymwlPqew/edit?gid=984458430#gid=984458430"", ""'replication success'!A:M""), 12, FAlSE)"),"#N/A")</f>
        <v>#N/A</v>
      </c>
      <c r="BA427" s="61" t="str">
        <f>IFERROR(__xludf.DUMMYFUNCTION("vlookup(BB427,importrange(""https://docs.google.com/spreadsheets/d/1d2vevQ_7D_v35q4wCQ4RpQ_IPoTwEMB9Yp6ymwlPqew/edit?gid=984458430#gid=984458430"", ""'replication success'!A:M""), 13, FAlSE)"),"#N/A")</f>
        <v>#N/A</v>
      </c>
      <c r="BB427" s="61" t="str">
        <f>IFERROR(__xludf.DUMMYFUNCTION("REGEXREPLACE(G427, ""_[a-z]{1,2}$"", """")"),"additional_studies58")</f>
        <v>additional_studies58</v>
      </c>
      <c r="BC427" s="68"/>
      <c r="BD427" s="71"/>
      <c r="BE427" s="226"/>
      <c r="BF427" s="226"/>
      <c r="BG427" s="226"/>
      <c r="BH427" s="226"/>
      <c r="BI427" s="226"/>
      <c r="BJ427" s="226"/>
      <c r="BK427" s="226"/>
      <c r="BL427" s="226"/>
      <c r="BM427" s="226"/>
      <c r="BN427" s="226"/>
      <c r="BO427" s="226"/>
      <c r="BP427" s="226"/>
      <c r="BQ427" s="226"/>
      <c r="BR427" s="226"/>
      <c r="BS427" s="226"/>
      <c r="BT427" s="226"/>
      <c r="BU427" s="226"/>
      <c r="BV427" s="226"/>
      <c r="BW427" s="226"/>
      <c r="BX427" s="226"/>
      <c r="BY427" s="226"/>
      <c r="BZ427" s="226"/>
      <c r="CA427" s="226"/>
      <c r="CB427" s="226"/>
      <c r="CC427" s="226"/>
      <c r="CD427" s="226"/>
      <c r="CE427" s="226"/>
      <c r="CF427" s="226"/>
      <c r="CG427" s="226"/>
      <c r="CH427" s="226"/>
      <c r="CI427" s="226"/>
      <c r="CJ427" s="226"/>
      <c r="CK427" s="226"/>
      <c r="CL427" s="226"/>
      <c r="CM427" s="226"/>
      <c r="CN427" s="226"/>
      <c r="CO427" s="226"/>
      <c r="CP427" s="226"/>
      <c r="CQ427" s="226"/>
      <c r="CR427" s="226"/>
      <c r="CS427" s="226"/>
      <c r="CT427" s="226"/>
      <c r="CU427" s="226"/>
      <c r="CV427" s="226"/>
      <c r="CW427" s="226"/>
      <c r="CX427" s="226"/>
      <c r="CY427" s="226"/>
      <c r="CZ427" s="226"/>
      <c r="DA427" s="226"/>
      <c r="DB427" s="226"/>
      <c r="DC427" s="226"/>
      <c r="DD427" s="226"/>
      <c r="DE427" s="226"/>
      <c r="DF427" s="226"/>
      <c r="DG427" s="226"/>
      <c r="DH427" s="226"/>
      <c r="DI427" s="226"/>
      <c r="DJ427" s="226"/>
      <c r="DK427" s="226"/>
      <c r="DL427" s="226"/>
    </row>
    <row r="428" ht="20.25" customHeight="1">
      <c r="A428" s="44">
        <v>428.0</v>
      </c>
      <c r="B428" s="124" t="s">
        <v>590</v>
      </c>
      <c r="C428" s="149" t="s">
        <v>115</v>
      </c>
      <c r="D428" s="149" t="s">
        <v>2192</v>
      </c>
      <c r="E428" s="71"/>
      <c r="F428" s="122" t="s">
        <v>2275</v>
      </c>
      <c r="G428" s="112" t="s">
        <v>2306</v>
      </c>
      <c r="H428" s="122" t="s">
        <v>2193</v>
      </c>
      <c r="I428" s="113">
        <v>45641.0</v>
      </c>
      <c r="J428" s="113">
        <v>45643.0</v>
      </c>
      <c r="K428" s="111"/>
      <c r="L428" s="111"/>
      <c r="M428" s="122" t="s">
        <v>2277</v>
      </c>
      <c r="N428" s="122" t="s">
        <v>2278</v>
      </c>
      <c r="O428" s="111"/>
      <c r="P428" s="122" t="str">
        <f t="shared" si="26"/>
        <v>10.1016--0030-5073(76)90005-2.pdf</v>
      </c>
      <c r="Q428" s="52" t="str">
        <f t="array" ref="Q428"> if(iserror(MATCH(V428, 'File Links'!C:C, 0)), "N/A", HYPERLINK(INDEX('File Links'!B:B, MATCH(P428, 'File Links'!C:C, 0))))</f>
        <v>https://drive.google.com/file/d/1ks4sYhMyRxNwDVYxivPVczl4gI-dQ94P/view?usp=drivesdk</v>
      </c>
      <c r="R428" s="122" t="s">
        <v>2279</v>
      </c>
      <c r="S428" s="122" t="s">
        <v>2280</v>
      </c>
      <c r="T428" s="111"/>
      <c r="U428" s="537">
        <v>2.0</v>
      </c>
      <c r="V428" s="122" t="str">
        <f t="shared" si="25"/>
        <v>10.1037--xap0000366.pdf</v>
      </c>
      <c r="W428" s="122" t="s">
        <v>2289</v>
      </c>
      <c r="X428" s="54" t="str">
        <f t="array" ref="X428"> if(iserror(MATCH(V428, 'File Links'!C:C, 0)), "N/A", HYPERLINK(INDEX('File Links'!B:B, MATCH(V428, 'File Links'!C:C, 0))))</f>
        <v>https://drive.google.com/file/d/1SZWqK44IKYVvgeBO_YR6iREgVqKc9hl7/view?usp=drivesdk</v>
      </c>
      <c r="Y428" s="111"/>
      <c r="Z428" s="122" t="s">
        <v>1809</v>
      </c>
      <c r="AA428" s="122" t="s">
        <v>2290</v>
      </c>
      <c r="AB428" s="122" t="s">
        <v>2291</v>
      </c>
      <c r="AC428" s="122" t="s">
        <v>2292</v>
      </c>
      <c r="AD428" s="122" t="s">
        <v>2293</v>
      </c>
      <c r="AE428" s="537">
        <v>11.0</v>
      </c>
      <c r="AF428" s="537">
        <v>240.0</v>
      </c>
      <c r="AG428" s="762" t="s">
        <v>2294</v>
      </c>
      <c r="AH428" s="119" t="s">
        <v>134</v>
      </c>
      <c r="AI428" s="112" t="s">
        <v>307</v>
      </c>
      <c r="AJ428" s="117">
        <v>0.001</v>
      </c>
      <c r="AK428" s="122" t="s">
        <v>135</v>
      </c>
      <c r="AL428" s="112" t="s">
        <v>186</v>
      </c>
      <c r="AM428" s="122" t="s">
        <v>137</v>
      </c>
      <c r="AN428" s="126" t="s">
        <v>138</v>
      </c>
      <c r="AO428" s="537">
        <v>161.0</v>
      </c>
      <c r="AP428" s="537">
        <v>0.05</v>
      </c>
      <c r="AQ428" s="111" t="s">
        <v>139</v>
      </c>
      <c r="AR428" s="122" t="s">
        <v>2307</v>
      </c>
      <c r="AS428" s="537">
        <v>0.003</v>
      </c>
      <c r="AT428" s="122" t="s">
        <v>172</v>
      </c>
      <c r="AU428" s="122" t="s">
        <v>186</v>
      </c>
      <c r="AV428" s="122" t="s">
        <v>137</v>
      </c>
      <c r="AW428" s="672" t="s">
        <v>2296</v>
      </c>
      <c r="AX428" s="420" t="s">
        <v>151</v>
      </c>
      <c r="AY428" s="61" t="str">
        <f>IFERROR(__xludf.DUMMYFUNCTION("vlookup(BB428,importrange(""https://docs.google.com/spreadsheets/d/1d2vevQ_7D_v35q4wCQ4RpQ_IPoTwEMB9Yp6ymwlPqew/edit?gid=984458430#gid=984458430"", ""'replication success'!A:K""), 11, FAlSE)"),"#N/A")</f>
        <v>#N/A</v>
      </c>
      <c r="AZ428" s="61" t="str">
        <f>IFERROR(__xludf.DUMMYFUNCTION("vlookup(BB428,importrange(""https://docs.google.com/spreadsheets/d/1d2vevQ_7D_v35q4wCQ4RpQ_IPoTwEMB9Yp6ymwlPqew/edit?gid=984458430#gid=984458430"", ""'replication success'!A:M""), 12, FAlSE)"),"#N/A")</f>
        <v>#N/A</v>
      </c>
      <c r="BA428" s="61" t="str">
        <f>IFERROR(__xludf.DUMMYFUNCTION("vlookup(BB428,importrange(""https://docs.google.com/spreadsheets/d/1d2vevQ_7D_v35q4wCQ4RpQ_IPoTwEMB9Yp6ymwlPqew/edit?gid=984458430#gid=984458430"", ""'replication success'!A:M""), 13, FAlSE)"),"#N/A")</f>
        <v>#N/A</v>
      </c>
      <c r="BB428" s="61" t="str">
        <f>IFERROR(__xludf.DUMMYFUNCTION("REGEXREPLACE(G428, ""_[a-z]{1,2}$"", """")"),"additional_studies58")</f>
        <v>additional_studies58</v>
      </c>
      <c r="BC428" s="68"/>
      <c r="BD428" s="71"/>
      <c r="BE428" s="226"/>
      <c r="BF428" s="226"/>
      <c r="BG428" s="226"/>
      <c r="BH428" s="226"/>
      <c r="BI428" s="226"/>
      <c r="BJ428" s="226"/>
      <c r="BK428" s="226"/>
      <c r="BL428" s="226"/>
      <c r="BM428" s="226"/>
      <c r="BN428" s="226"/>
      <c r="BO428" s="226"/>
      <c r="BP428" s="226"/>
      <c r="BQ428" s="226"/>
      <c r="BR428" s="226"/>
      <c r="BS428" s="226"/>
      <c r="BT428" s="226"/>
      <c r="BU428" s="226"/>
      <c r="BV428" s="226"/>
      <c r="BW428" s="226"/>
      <c r="BX428" s="226"/>
      <c r="BY428" s="226"/>
      <c r="BZ428" s="226"/>
      <c r="CA428" s="226"/>
      <c r="CB428" s="226"/>
      <c r="CC428" s="226"/>
      <c r="CD428" s="226"/>
      <c r="CE428" s="226"/>
      <c r="CF428" s="226"/>
      <c r="CG428" s="226"/>
      <c r="CH428" s="226"/>
      <c r="CI428" s="226"/>
      <c r="CJ428" s="226"/>
      <c r="CK428" s="226"/>
      <c r="CL428" s="226"/>
      <c r="CM428" s="226"/>
      <c r="CN428" s="226"/>
      <c r="CO428" s="226"/>
      <c r="CP428" s="226"/>
      <c r="CQ428" s="226"/>
      <c r="CR428" s="226"/>
      <c r="CS428" s="226"/>
      <c r="CT428" s="226"/>
      <c r="CU428" s="226"/>
      <c r="CV428" s="226"/>
      <c r="CW428" s="226"/>
      <c r="CX428" s="226"/>
      <c r="CY428" s="226"/>
      <c r="CZ428" s="226"/>
      <c r="DA428" s="226"/>
      <c r="DB428" s="226"/>
      <c r="DC428" s="226"/>
      <c r="DD428" s="226"/>
      <c r="DE428" s="226"/>
      <c r="DF428" s="226"/>
      <c r="DG428" s="226"/>
      <c r="DH428" s="226"/>
      <c r="DI428" s="226"/>
      <c r="DJ428" s="226"/>
      <c r="DK428" s="226"/>
      <c r="DL428" s="226"/>
    </row>
    <row r="429" ht="20.25" customHeight="1">
      <c r="A429" s="44">
        <v>429.0</v>
      </c>
      <c r="B429" s="124" t="s">
        <v>590</v>
      </c>
      <c r="C429" s="149" t="s">
        <v>115</v>
      </c>
      <c r="D429" s="149" t="s">
        <v>2192</v>
      </c>
      <c r="E429" s="71"/>
      <c r="F429" s="122" t="s">
        <v>2275</v>
      </c>
      <c r="G429" s="112" t="s">
        <v>2308</v>
      </c>
      <c r="H429" s="122" t="s">
        <v>2193</v>
      </c>
      <c r="I429" s="113">
        <v>45641.0</v>
      </c>
      <c r="J429" s="113">
        <v>45643.0</v>
      </c>
      <c r="K429" s="111"/>
      <c r="L429" s="111"/>
      <c r="M429" s="122" t="s">
        <v>2277</v>
      </c>
      <c r="N429" s="122" t="s">
        <v>2278</v>
      </c>
      <c r="O429" s="111"/>
      <c r="P429" s="122" t="str">
        <f t="shared" si="26"/>
        <v>10.1016--0030-5073(76)90005-2.pdf</v>
      </c>
      <c r="Q429" s="52" t="str">
        <f t="array" ref="Q429"> if(iserror(MATCH(V429, 'File Links'!C:C, 0)), "N/A", HYPERLINK(INDEX('File Links'!B:B, MATCH(P429, 'File Links'!C:C, 0))))</f>
        <v>https://drive.google.com/file/d/1ks4sYhMyRxNwDVYxivPVczl4gI-dQ94P/view?usp=drivesdk</v>
      </c>
      <c r="R429" s="122" t="s">
        <v>2279</v>
      </c>
      <c r="S429" s="122" t="s">
        <v>2280</v>
      </c>
      <c r="T429" s="111"/>
      <c r="U429" s="537">
        <v>2.0</v>
      </c>
      <c r="V429" s="122" t="str">
        <f t="shared" si="25"/>
        <v>10.1037--xap0000366.pdf</v>
      </c>
      <c r="W429" s="122" t="s">
        <v>2289</v>
      </c>
      <c r="X429" s="54" t="str">
        <f t="array" ref="X429"> if(iserror(MATCH(V429, 'File Links'!C:C, 0)), "N/A", HYPERLINK(INDEX('File Links'!B:B, MATCH(V429, 'File Links'!C:C, 0))))</f>
        <v>https://drive.google.com/file/d/1SZWqK44IKYVvgeBO_YR6iREgVqKc9hl7/view?usp=drivesdk</v>
      </c>
      <c r="Y429" s="111"/>
      <c r="Z429" s="122" t="s">
        <v>1809</v>
      </c>
      <c r="AA429" s="122" t="s">
        <v>2290</v>
      </c>
      <c r="AB429" s="122" t="s">
        <v>2291</v>
      </c>
      <c r="AC429" s="122" t="s">
        <v>2292</v>
      </c>
      <c r="AD429" s="122" t="s">
        <v>2299</v>
      </c>
      <c r="AE429" s="537">
        <v>11.0</v>
      </c>
      <c r="AF429" s="537">
        <v>240.0</v>
      </c>
      <c r="AG429" s="122" t="s">
        <v>2300</v>
      </c>
      <c r="AH429" s="119" t="s">
        <v>134</v>
      </c>
      <c r="AI429" s="112" t="s">
        <v>307</v>
      </c>
      <c r="AJ429" s="117">
        <v>0.001</v>
      </c>
      <c r="AK429" s="122" t="s">
        <v>135</v>
      </c>
      <c r="AL429" s="112" t="s">
        <v>186</v>
      </c>
      <c r="AM429" s="122" t="s">
        <v>137</v>
      </c>
      <c r="AN429" s="126" t="s">
        <v>138</v>
      </c>
      <c r="AO429" s="537">
        <v>161.0</v>
      </c>
      <c r="AP429" s="537">
        <v>0.13</v>
      </c>
      <c r="AQ429" s="111" t="s">
        <v>139</v>
      </c>
      <c r="AR429" s="122" t="s">
        <v>2307</v>
      </c>
      <c r="AS429" s="537">
        <v>0.001</v>
      </c>
      <c r="AT429" s="122" t="s">
        <v>135</v>
      </c>
      <c r="AU429" s="122" t="s">
        <v>186</v>
      </c>
      <c r="AV429" s="122" t="s">
        <v>137</v>
      </c>
      <c r="AW429" s="672" t="s">
        <v>2296</v>
      </c>
      <c r="AX429" s="420" t="s">
        <v>151</v>
      </c>
      <c r="AY429" s="61" t="str">
        <f>IFERROR(__xludf.DUMMYFUNCTION("vlookup(BB429,importrange(""https://docs.google.com/spreadsheets/d/1d2vevQ_7D_v35q4wCQ4RpQ_IPoTwEMB9Yp6ymwlPqew/edit?gid=984458430#gid=984458430"", ""'replication success'!A:K""), 11, FAlSE)"),"#N/A")</f>
        <v>#N/A</v>
      </c>
      <c r="AZ429" s="61" t="str">
        <f>IFERROR(__xludf.DUMMYFUNCTION("vlookup(BB429,importrange(""https://docs.google.com/spreadsheets/d/1d2vevQ_7D_v35q4wCQ4RpQ_IPoTwEMB9Yp6ymwlPqew/edit?gid=984458430#gid=984458430"", ""'replication success'!A:M""), 12, FAlSE)"),"#N/A")</f>
        <v>#N/A</v>
      </c>
      <c r="BA429" s="61" t="str">
        <f>IFERROR(__xludf.DUMMYFUNCTION("vlookup(BB429,importrange(""https://docs.google.com/spreadsheets/d/1d2vevQ_7D_v35q4wCQ4RpQ_IPoTwEMB9Yp6ymwlPqew/edit?gid=984458430#gid=984458430"", ""'replication success'!A:M""), 13, FAlSE)"),"#N/A")</f>
        <v>#N/A</v>
      </c>
      <c r="BB429" s="61" t="str">
        <f>IFERROR(__xludf.DUMMYFUNCTION("REGEXREPLACE(G429, ""_[a-z]{1,2}$"", """")"),"additional_studies58")</f>
        <v>additional_studies58</v>
      </c>
      <c r="BC429" s="68"/>
      <c r="BD429" s="71"/>
    </row>
    <row r="430" ht="20.25" customHeight="1">
      <c r="A430" s="44">
        <v>430.0</v>
      </c>
      <c r="B430" s="124" t="s">
        <v>590</v>
      </c>
      <c r="C430" s="149" t="s">
        <v>115</v>
      </c>
      <c r="D430" s="149" t="s">
        <v>2192</v>
      </c>
      <c r="E430" s="71"/>
      <c r="F430" s="122" t="s">
        <v>2275</v>
      </c>
      <c r="G430" s="112" t="s">
        <v>2309</v>
      </c>
      <c r="H430" s="122" t="s">
        <v>2193</v>
      </c>
      <c r="I430" s="113">
        <v>45641.0</v>
      </c>
      <c r="J430" s="113">
        <v>45643.0</v>
      </c>
      <c r="K430" s="111"/>
      <c r="L430" s="111"/>
      <c r="M430" s="122" t="s">
        <v>2277</v>
      </c>
      <c r="N430" s="122" t="s">
        <v>2278</v>
      </c>
      <c r="O430" s="111"/>
      <c r="P430" s="122" t="str">
        <f t="shared" si="26"/>
        <v>10.1016--0030-5073(76)90005-2.pdf</v>
      </c>
      <c r="Q430" s="52" t="str">
        <f t="array" ref="Q430"> if(iserror(MATCH(V430, 'File Links'!C:C, 0)), "N/A", HYPERLINK(INDEX('File Links'!B:B, MATCH(P430, 'File Links'!C:C, 0))))</f>
        <v>https://drive.google.com/file/d/1ks4sYhMyRxNwDVYxivPVczl4gI-dQ94P/view?usp=drivesdk</v>
      </c>
      <c r="R430" s="122" t="s">
        <v>2279</v>
      </c>
      <c r="S430" s="122" t="s">
        <v>2280</v>
      </c>
      <c r="T430" s="111"/>
      <c r="U430" s="537">
        <v>2.0</v>
      </c>
      <c r="V430" s="122" t="str">
        <f t="shared" si="25"/>
        <v>10.1037--xap0000366.pdf</v>
      </c>
      <c r="W430" s="122" t="s">
        <v>2289</v>
      </c>
      <c r="X430" s="54" t="str">
        <f t="array" ref="X430"> if(iserror(MATCH(V430, 'File Links'!C:C, 0)), "N/A", HYPERLINK(INDEX('File Links'!B:B, MATCH(V430, 'File Links'!C:C, 0))))</f>
        <v>https://drive.google.com/file/d/1SZWqK44IKYVvgeBO_YR6iREgVqKc9hl7/view?usp=drivesdk</v>
      </c>
      <c r="Y430" s="111"/>
      <c r="Z430" s="122" t="s">
        <v>1809</v>
      </c>
      <c r="AA430" s="122" t="s">
        <v>2290</v>
      </c>
      <c r="AB430" s="122" t="s">
        <v>2291</v>
      </c>
      <c r="AC430" s="122" t="s">
        <v>2303</v>
      </c>
      <c r="AD430" s="122" t="s">
        <v>2304</v>
      </c>
      <c r="AE430" s="537">
        <v>11.0</v>
      </c>
      <c r="AF430" s="537">
        <v>240.0</v>
      </c>
      <c r="AG430" s="122" t="s">
        <v>2305</v>
      </c>
      <c r="AH430" s="119" t="s">
        <v>134</v>
      </c>
      <c r="AI430" s="112" t="s">
        <v>307</v>
      </c>
      <c r="AJ430" s="117">
        <v>0.019</v>
      </c>
      <c r="AK430" s="122" t="s">
        <v>135</v>
      </c>
      <c r="AL430" s="112" t="s">
        <v>186</v>
      </c>
      <c r="AM430" s="122" t="s">
        <v>137</v>
      </c>
      <c r="AN430" s="126" t="s">
        <v>138</v>
      </c>
      <c r="AO430" s="537">
        <v>161.0</v>
      </c>
      <c r="AP430" s="537">
        <v>0.0</v>
      </c>
      <c r="AQ430" s="111" t="s">
        <v>139</v>
      </c>
      <c r="AR430" s="122" t="s">
        <v>2307</v>
      </c>
      <c r="AS430" s="537">
        <v>0.546</v>
      </c>
      <c r="AT430" s="122" t="s">
        <v>172</v>
      </c>
      <c r="AU430" s="122" t="s">
        <v>186</v>
      </c>
      <c r="AV430" s="122" t="s">
        <v>137</v>
      </c>
      <c r="AW430" s="672" t="s">
        <v>2296</v>
      </c>
      <c r="AX430" s="420" t="s">
        <v>151</v>
      </c>
      <c r="AY430" s="61" t="str">
        <f>IFERROR(__xludf.DUMMYFUNCTION("vlookup(BB430,importrange(""https://docs.google.com/spreadsheets/d/1d2vevQ_7D_v35q4wCQ4RpQ_IPoTwEMB9Yp6ymwlPqew/edit?gid=984458430#gid=984458430"", ""'replication success'!A:K""), 11, FAlSE)"),"#N/A")</f>
        <v>#N/A</v>
      </c>
      <c r="AZ430" s="61" t="str">
        <f>IFERROR(__xludf.DUMMYFUNCTION("vlookup(BB430,importrange(""https://docs.google.com/spreadsheets/d/1d2vevQ_7D_v35q4wCQ4RpQ_IPoTwEMB9Yp6ymwlPqew/edit?gid=984458430#gid=984458430"", ""'replication success'!A:M""), 12, FAlSE)"),"#N/A")</f>
        <v>#N/A</v>
      </c>
      <c r="BA430" s="61" t="str">
        <f>IFERROR(__xludf.DUMMYFUNCTION("vlookup(BB430,importrange(""https://docs.google.com/spreadsheets/d/1d2vevQ_7D_v35q4wCQ4RpQ_IPoTwEMB9Yp6ymwlPqew/edit?gid=984458430#gid=984458430"", ""'replication success'!A:M""), 13, FAlSE)"),"#N/A")</f>
        <v>#N/A</v>
      </c>
      <c r="BB430" s="61" t="str">
        <f>IFERROR(__xludf.DUMMYFUNCTION("REGEXREPLACE(G430, ""_[a-z]{1,2}$"", """")"),"additional_studies58")</f>
        <v>additional_studies58</v>
      </c>
      <c r="BC430" s="68"/>
      <c r="BD430" s="71"/>
    </row>
    <row r="431" ht="20.25" customHeight="1">
      <c r="A431" s="44">
        <v>431.0</v>
      </c>
      <c r="B431" s="716" t="s">
        <v>114</v>
      </c>
      <c r="C431" s="716" t="s">
        <v>115</v>
      </c>
      <c r="D431" s="716" t="s">
        <v>1810</v>
      </c>
      <c r="E431" s="697"/>
      <c r="F431" s="717" t="s">
        <v>2310</v>
      </c>
      <c r="G431" s="718" t="s">
        <v>2311</v>
      </c>
      <c r="H431" s="718" t="s">
        <v>1811</v>
      </c>
      <c r="I431" s="763">
        <v>45672.0</v>
      </c>
      <c r="J431" s="170">
        <v>45685.0</v>
      </c>
      <c r="K431" s="764" t="s">
        <v>2312</v>
      </c>
      <c r="L431" s="720" t="s">
        <v>2313</v>
      </c>
      <c r="M431" s="718" t="s">
        <v>2314</v>
      </c>
      <c r="N431" s="718" t="s">
        <v>2315</v>
      </c>
      <c r="O431" s="723"/>
      <c r="P431" s="721" t="str">
        <f t="shared" si="26"/>
        <v>10.1037--a0019006.pdf</v>
      </c>
      <c r="Q431" s="52" t="str">
        <f t="array" ref="Q431"> if(iserror(MATCH(V431, 'File Links'!C:C, 0)), "N/A", HYPERLINK(INDEX('File Links'!B:B, MATCH(P431, 'File Links'!C:C, 0))))</f>
        <v>https://drive.google.com/file/d/1PYhLwP6tdLfH-XKRuD0puhoFxy-sMmFS/view?usp=drivesdk</v>
      </c>
      <c r="R431" s="765" t="s">
        <v>2316</v>
      </c>
      <c r="S431" s="718" t="s">
        <v>2317</v>
      </c>
      <c r="T431" s="723"/>
      <c r="U431" s="766"/>
      <c r="V431" s="718" t="str">
        <f t="shared" si="25"/>
        <v>10.1037--emo0001389.pdf</v>
      </c>
      <c r="W431" s="718" t="s">
        <v>2084</v>
      </c>
      <c r="X431" s="54" t="str">
        <f t="array" ref="X431"> if(iserror(MATCH(V431, 'File Links'!C:C, 0)), "N/A", HYPERLINK(INDEX('File Links'!B:B, MATCH(V431, 'File Links'!C:C, 0))))</f>
        <v>https://drive.google.com/file/d/1EK0iig6kRzrCroz49dDEP_mf3A-HoVQR/view?usp=drivesdk</v>
      </c>
      <c r="Y431" s="723"/>
      <c r="Z431" s="398" t="s">
        <v>1079</v>
      </c>
      <c r="AA431" s="718" t="s">
        <v>2318</v>
      </c>
      <c r="AB431" s="718" t="s">
        <v>2319</v>
      </c>
      <c r="AC431" s="718" t="s">
        <v>2320</v>
      </c>
      <c r="AD431" s="718" t="s">
        <v>2321</v>
      </c>
      <c r="AE431" s="723"/>
      <c r="AF431" s="724">
        <v>226.0</v>
      </c>
      <c r="AG431" s="724">
        <v>0.1082</v>
      </c>
      <c r="AH431" s="721" t="s">
        <v>361</v>
      </c>
      <c r="AI431" s="718" t="s">
        <v>2322</v>
      </c>
      <c r="AJ431" s="724">
        <v>0.01</v>
      </c>
      <c r="AK431" s="717" t="s">
        <v>135</v>
      </c>
      <c r="AL431" s="767" t="s">
        <v>138</v>
      </c>
      <c r="AM431" s="767" t="s">
        <v>138</v>
      </c>
      <c r="AN431" s="718" t="s">
        <v>138</v>
      </c>
      <c r="AO431" s="724">
        <v>582.0</v>
      </c>
      <c r="AP431" s="724">
        <v>0.02</v>
      </c>
      <c r="AQ431" s="718" t="s">
        <v>361</v>
      </c>
      <c r="AR431" s="718" t="s">
        <v>2323</v>
      </c>
      <c r="AS431" s="724">
        <v>0.01</v>
      </c>
      <c r="AT431" s="717" t="s">
        <v>2130</v>
      </c>
      <c r="AU431" s="726" t="s">
        <v>138</v>
      </c>
      <c r="AV431" s="726" t="s">
        <v>138</v>
      </c>
      <c r="AW431" s="717" t="s">
        <v>138</v>
      </c>
      <c r="AX431" s="717" t="s">
        <v>151</v>
      </c>
      <c r="AY431" s="61" t="str">
        <f>IFERROR(__xludf.DUMMYFUNCTION("vlookup(BB431,importrange(""https://docs.google.com/spreadsheets/d/1d2vevQ_7D_v35q4wCQ4RpQ_IPoTwEMB9Yp6ymwlPqew/edit?gid=984458430#gid=984458430"", ""'replication success'!A:K""), 11, FAlSE)"),"successful")</f>
        <v>successful</v>
      </c>
      <c r="AZ431" s="61" t="str">
        <f>IFERROR(__xludf.DUMMYFUNCTION("vlookup(BB431,importrange(""https://docs.google.com/spreadsheets/d/1d2vevQ_7D_v35q4wCQ4RpQ_IPoTwEMB9Yp6ymwlPqew/edit?gid=984458430#gid=984458430"",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1" s="61" t="str">
        <f>IFERROR(__xludf.DUMMYFUNCTION("vlookup(BB431,importrange(""https://docs.google.com/spreadsheets/d/1d2vevQ_7D_v35q4wCQ4RpQ_IPoTwEMB9Yp6ymwlPqew/edit?gid=984458430#gid=984458430"", ""'replication success'!A:M""), 13, FAlSE)"),"abstract")</f>
        <v>abstract</v>
      </c>
      <c r="BB431" s="61" t="str">
        <f>IFERROR(__xludf.DUMMYFUNCTION("REGEXREPLACE(G431, ""_[a-z]{1,2}$"", """")"),"additional_studies61")</f>
        <v>additional_studies61</v>
      </c>
      <c r="BC431" s="129"/>
      <c r="BD431" s="62" t="s">
        <v>144</v>
      </c>
    </row>
    <row r="432" ht="20.25" customHeight="1">
      <c r="A432" s="44">
        <v>432.0</v>
      </c>
      <c r="B432" s="716" t="s">
        <v>114</v>
      </c>
      <c r="C432" s="716" t="s">
        <v>115</v>
      </c>
      <c r="D432" s="716" t="s">
        <v>1810</v>
      </c>
      <c r="E432" s="697"/>
      <c r="F432" s="717" t="s">
        <v>2310</v>
      </c>
      <c r="G432" s="718" t="s">
        <v>2311</v>
      </c>
      <c r="H432" s="718" t="s">
        <v>1811</v>
      </c>
      <c r="I432" s="763">
        <v>45672.0</v>
      </c>
      <c r="J432" s="170">
        <v>45685.0</v>
      </c>
      <c r="K432" s="764" t="s">
        <v>2324</v>
      </c>
      <c r="L432" s="212" t="s">
        <v>2325</v>
      </c>
      <c r="M432" s="718" t="s">
        <v>2314</v>
      </c>
      <c r="N432" s="718" t="s">
        <v>2315</v>
      </c>
      <c r="O432" s="723"/>
      <c r="P432" s="721" t="str">
        <f t="shared" si="26"/>
        <v>10.1037--a0019006.pdf</v>
      </c>
      <c r="Q432" s="52" t="str">
        <f t="array" ref="Q432"> if(iserror(MATCH(V432, 'File Links'!C:C, 0)), "N/A", HYPERLINK(INDEX('File Links'!B:B, MATCH(P432, 'File Links'!C:C, 0))))</f>
        <v>https://drive.google.com/file/d/1PYhLwP6tdLfH-XKRuD0puhoFxy-sMmFS/view?usp=drivesdk</v>
      </c>
      <c r="R432" s="765" t="s">
        <v>2326</v>
      </c>
      <c r="S432" s="718" t="s">
        <v>2317</v>
      </c>
      <c r="T432" s="723"/>
      <c r="U432" s="766"/>
      <c r="V432" s="718" t="str">
        <f t="shared" si="25"/>
        <v>10.1037--emo0001389.pdf</v>
      </c>
      <c r="W432" s="718" t="s">
        <v>2084</v>
      </c>
      <c r="X432" s="54" t="str">
        <f t="array" ref="X432"> if(iserror(MATCH(V432, 'File Links'!C:C, 0)), "N/A", HYPERLINK(INDEX('File Links'!B:B, MATCH(V432, 'File Links'!C:C, 0))))</f>
        <v>https://drive.google.com/file/d/1EK0iig6kRzrCroz49dDEP_mf3A-HoVQR/view?usp=drivesdk</v>
      </c>
      <c r="Y432" s="723"/>
      <c r="Z432" s="398" t="s">
        <v>1079</v>
      </c>
      <c r="AA432" s="718" t="s">
        <v>2318</v>
      </c>
      <c r="AB432" s="718" t="s">
        <v>2319</v>
      </c>
      <c r="AC432" s="718" t="s">
        <v>2320</v>
      </c>
      <c r="AD432" s="718" t="s">
        <v>2321</v>
      </c>
      <c r="AE432" s="723"/>
      <c r="AF432" s="724">
        <v>217.0</v>
      </c>
      <c r="AG432" s="724">
        <v>0.1116</v>
      </c>
      <c r="AH432" s="721" t="s">
        <v>361</v>
      </c>
      <c r="AI432" s="718" t="s">
        <v>2322</v>
      </c>
      <c r="AJ432" s="724">
        <v>0.01</v>
      </c>
      <c r="AK432" s="717" t="s">
        <v>135</v>
      </c>
      <c r="AL432" s="767" t="s">
        <v>138</v>
      </c>
      <c r="AM432" s="767" t="s">
        <v>138</v>
      </c>
      <c r="AN432" s="718" t="s">
        <v>138</v>
      </c>
      <c r="AO432" s="724">
        <v>582.0</v>
      </c>
      <c r="AP432" s="724">
        <v>0.19</v>
      </c>
      <c r="AQ432" s="718" t="s">
        <v>361</v>
      </c>
      <c r="AR432" s="718" t="s">
        <v>2323</v>
      </c>
      <c r="AS432" s="724">
        <v>0.01</v>
      </c>
      <c r="AT432" s="717" t="s">
        <v>2130</v>
      </c>
      <c r="AU432" s="726" t="s">
        <v>138</v>
      </c>
      <c r="AV432" s="726" t="s">
        <v>138</v>
      </c>
      <c r="AW432" s="717" t="s">
        <v>138</v>
      </c>
      <c r="AX432" s="717" t="s">
        <v>151</v>
      </c>
      <c r="AY432" s="61" t="str">
        <f>IFERROR(__xludf.DUMMYFUNCTION("vlookup(BB432,importrange(""https://docs.google.com/spreadsheets/d/1d2vevQ_7D_v35q4wCQ4RpQ_IPoTwEMB9Yp6ymwlPqew/edit?gid=984458430#gid=984458430"", ""'replication success'!A:K""), 11, FAlSE)"),"successful")</f>
        <v>successful</v>
      </c>
      <c r="AZ432" s="61" t="str">
        <f>IFERROR(__xludf.DUMMYFUNCTION("vlookup(BB432,importrange(""https://docs.google.com/spreadsheets/d/1d2vevQ_7D_v35q4wCQ4RpQ_IPoTwEMB9Yp6ymwlPqew/edit?gid=984458430#gid=984458430"",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2" s="61" t="str">
        <f>IFERROR(__xludf.DUMMYFUNCTION("vlookup(BB432,importrange(""https://docs.google.com/spreadsheets/d/1d2vevQ_7D_v35q4wCQ4RpQ_IPoTwEMB9Yp6ymwlPqew/edit?gid=984458430#gid=984458430"", ""'replication success'!A:M""), 13, FAlSE)"),"abstract")</f>
        <v>abstract</v>
      </c>
      <c r="BB432" s="61" t="str">
        <f>IFERROR(__xludf.DUMMYFUNCTION("REGEXREPLACE(G432, ""_[a-z]{1,2}$"", """")"),"additional_studies61")</f>
        <v>additional_studies61</v>
      </c>
      <c r="BC432" s="129" t="s">
        <v>2327</v>
      </c>
      <c r="BD432" s="62" t="s">
        <v>144</v>
      </c>
    </row>
    <row r="433" ht="20.25" customHeight="1">
      <c r="A433" s="44">
        <v>433.0</v>
      </c>
      <c r="B433" s="716" t="s">
        <v>152</v>
      </c>
      <c r="C433" s="397" t="s">
        <v>115</v>
      </c>
      <c r="D433" s="397" t="s">
        <v>2192</v>
      </c>
      <c r="E433" s="220"/>
      <c r="F433" s="407" t="s">
        <v>2310</v>
      </c>
      <c r="G433" s="399" t="s">
        <v>2311</v>
      </c>
      <c r="H433" s="407" t="s">
        <v>2193</v>
      </c>
      <c r="I433" s="727">
        <v>45641.0</v>
      </c>
      <c r="J433" s="170">
        <v>45685.0</v>
      </c>
      <c r="K433" s="398"/>
      <c r="L433" s="720" t="s">
        <v>2313</v>
      </c>
      <c r="M433" s="407" t="s">
        <v>2314</v>
      </c>
      <c r="N433" s="407" t="s">
        <v>2315</v>
      </c>
      <c r="O433" s="631">
        <v>1.0</v>
      </c>
      <c r="P433" s="407" t="str">
        <f t="shared" si="26"/>
        <v>10.1037--a0019006.pdf</v>
      </c>
      <c r="Q433" s="52" t="str">
        <f t="array" ref="Q433"> if(iserror(MATCH(V433, 'File Links'!C:C, 0)), "N/A", HYPERLINK(INDEX('File Links'!B:B, MATCH(P433, 'File Links'!C:C, 0))))</f>
        <v>https://drive.google.com/file/d/1PYhLwP6tdLfH-XKRuD0puhoFxy-sMmFS/view?usp=drivesdk</v>
      </c>
      <c r="R433" s="765" t="s">
        <v>2328</v>
      </c>
      <c r="S433" s="407" t="s">
        <v>2317</v>
      </c>
      <c r="T433" s="398"/>
      <c r="U433" s="631">
        <v>1.0</v>
      </c>
      <c r="V433" s="407" t="str">
        <f t="shared" si="25"/>
        <v>10.1037--emo0001389.pdf</v>
      </c>
      <c r="W433" s="768" t="s">
        <v>2084</v>
      </c>
      <c r="X433" s="54" t="str">
        <f t="array" ref="X433"> if(iserror(MATCH(V433, 'File Links'!C:C, 0)), "N/A", HYPERLINK(INDEX('File Links'!B:B, MATCH(V433, 'File Links'!C:C, 0))))</f>
        <v>https://drive.google.com/file/d/1EK0iig6kRzrCroz49dDEP_mf3A-HoVQR/view?usp=drivesdk</v>
      </c>
      <c r="Y433" s="398"/>
      <c r="Z433" s="398" t="s">
        <v>1079</v>
      </c>
      <c r="AA433" s="769" t="s">
        <v>2329</v>
      </c>
      <c r="AB433" s="407" t="s">
        <v>2319</v>
      </c>
      <c r="AC433" s="407" t="s">
        <v>2330</v>
      </c>
      <c r="AD433" s="407" t="s">
        <v>2331</v>
      </c>
      <c r="AE433" s="728">
        <v>5.0</v>
      </c>
      <c r="AF433" s="728">
        <v>226.0</v>
      </c>
      <c r="AG433" s="728">
        <v>0.1697</v>
      </c>
      <c r="AH433" s="194" t="s">
        <v>360</v>
      </c>
      <c r="AI433" s="399" t="s">
        <v>813</v>
      </c>
      <c r="AJ433" s="406">
        <v>1.0E-4</v>
      </c>
      <c r="AK433" s="407" t="s">
        <v>135</v>
      </c>
      <c r="AL433" s="399" t="s">
        <v>186</v>
      </c>
      <c r="AM433" s="407" t="s">
        <v>141</v>
      </c>
      <c r="AN433" s="219" t="s">
        <v>138</v>
      </c>
      <c r="AO433" s="728">
        <v>754.0</v>
      </c>
      <c r="AP433" s="770">
        <v>3.89</v>
      </c>
      <c r="AQ433" s="159" t="s">
        <v>360</v>
      </c>
      <c r="AR433" s="407" t="s">
        <v>2332</v>
      </c>
      <c r="AS433" s="728">
        <v>0.001</v>
      </c>
      <c r="AT433" s="407" t="s">
        <v>135</v>
      </c>
      <c r="AU433" s="407" t="s">
        <v>186</v>
      </c>
      <c r="AV433" s="407" t="s">
        <v>141</v>
      </c>
      <c r="AW433" s="771" t="s">
        <v>2296</v>
      </c>
      <c r="AX433" s="646" t="s">
        <v>151</v>
      </c>
      <c r="AY433" s="61" t="str">
        <f>IFERROR(__xludf.DUMMYFUNCTION("vlookup(BB433,importrange(""https://docs.google.com/spreadsheets/d/1d2vevQ_7D_v35q4wCQ4RpQ_IPoTwEMB9Yp6ymwlPqew/edit?gid=984458430#gid=984458430"", ""'replication success'!A:K""), 11, FAlSE)"),"successful")</f>
        <v>successful</v>
      </c>
      <c r="AZ433" s="61" t="str">
        <f>IFERROR(__xludf.DUMMYFUNCTION("vlookup(BB433,importrange(""https://docs.google.com/spreadsheets/d/1d2vevQ_7D_v35q4wCQ4RpQ_IPoTwEMB9Yp6ymwlPqew/edit?gid=984458430#gid=984458430"",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3" s="61" t="str">
        <f>IFERROR(__xludf.DUMMYFUNCTION("vlookup(BB433,importrange(""https://docs.google.com/spreadsheets/d/1d2vevQ_7D_v35q4wCQ4RpQ_IPoTwEMB9Yp6ymwlPqew/edit?gid=984458430#gid=984458430"", ""'replication success'!A:M""), 13, FAlSE)"),"abstract")</f>
        <v>abstract</v>
      </c>
      <c r="BB433" s="61" t="str">
        <f>IFERROR(__xludf.DUMMYFUNCTION("REGEXREPLACE(G433, ""_[a-z]{1,2}$"", """")"),"additional_studies61")</f>
        <v>additional_studies61</v>
      </c>
      <c r="BC433" s="129"/>
      <c r="BD433" s="62" t="s">
        <v>144</v>
      </c>
      <c r="BE433" s="71"/>
      <c r="BF433" s="71"/>
      <c r="BG433" s="71"/>
      <c r="BH433" s="71"/>
      <c r="BI433" s="71"/>
      <c r="BJ433" s="71"/>
      <c r="BK433" s="71"/>
      <c r="BL433" s="71"/>
      <c r="BM433" s="71"/>
      <c r="BN433" s="71"/>
      <c r="BO433" s="71"/>
      <c r="BP433" s="71"/>
      <c r="BQ433" s="71"/>
      <c r="BR433" s="71"/>
      <c r="BS433" s="71"/>
      <c r="BT433" s="71"/>
      <c r="BU433" s="71"/>
      <c r="BV433" s="71"/>
      <c r="BW433" s="71"/>
      <c r="BX433" s="71"/>
      <c r="BY433" s="71"/>
      <c r="BZ433" s="71"/>
      <c r="CA433" s="71"/>
      <c r="CB433" s="71"/>
      <c r="CC433" s="71"/>
      <c r="CD433" s="71"/>
      <c r="CE433" s="71"/>
      <c r="CF433" s="71"/>
      <c r="CG433" s="71"/>
      <c r="CH433" s="71"/>
      <c r="CI433" s="71"/>
      <c r="CJ433" s="71"/>
      <c r="CK433" s="71"/>
      <c r="CL433" s="71"/>
      <c r="CM433" s="71"/>
      <c r="CN433" s="71"/>
      <c r="CO433" s="71"/>
      <c r="CP433" s="71"/>
      <c r="CQ433" s="71"/>
      <c r="CR433" s="71"/>
      <c r="CS433" s="71"/>
      <c r="CT433" s="71"/>
      <c r="CU433" s="71"/>
      <c r="CV433" s="71"/>
      <c r="CW433" s="71"/>
      <c r="CX433" s="71"/>
      <c r="CY433" s="71"/>
      <c r="CZ433" s="71"/>
      <c r="DA433" s="71"/>
      <c r="DB433" s="71"/>
      <c r="DC433" s="71"/>
      <c r="DD433" s="71"/>
      <c r="DE433" s="71"/>
      <c r="DF433" s="71"/>
      <c r="DG433" s="71"/>
      <c r="DH433" s="71"/>
      <c r="DI433" s="71"/>
      <c r="DJ433" s="71"/>
      <c r="DK433" s="71"/>
      <c r="DL433" s="71"/>
    </row>
    <row r="434" ht="20.25" customHeight="1">
      <c r="A434" s="44">
        <v>434.0</v>
      </c>
      <c r="B434" s="716" t="s">
        <v>152</v>
      </c>
      <c r="C434" s="397" t="s">
        <v>115</v>
      </c>
      <c r="D434" s="397" t="s">
        <v>2192</v>
      </c>
      <c r="E434" s="220"/>
      <c r="F434" s="407" t="s">
        <v>2310</v>
      </c>
      <c r="G434" s="399" t="s">
        <v>2333</v>
      </c>
      <c r="H434" s="407" t="s">
        <v>2193</v>
      </c>
      <c r="I434" s="727">
        <v>45643.0</v>
      </c>
      <c r="J434" s="170">
        <v>45685.0</v>
      </c>
      <c r="K434" s="398"/>
      <c r="L434" s="720" t="s">
        <v>2313</v>
      </c>
      <c r="M434" s="407" t="s">
        <v>2314</v>
      </c>
      <c r="N434" s="407" t="s">
        <v>2315</v>
      </c>
      <c r="O434" s="631">
        <v>1.0</v>
      </c>
      <c r="P434" s="407" t="str">
        <f t="shared" si="26"/>
        <v>10.1037--a0019006.pdf</v>
      </c>
      <c r="Q434" s="52" t="str">
        <f t="array" ref="Q434"> if(iserror(MATCH(V434, 'File Links'!C:C, 0)), "N/A", HYPERLINK(INDEX('File Links'!B:B, MATCH(P434, 'File Links'!C:C, 0))))</f>
        <v>https://drive.google.com/file/d/1PYhLwP6tdLfH-XKRuD0puhoFxy-sMmFS/view?usp=drivesdk</v>
      </c>
      <c r="R434" s="765" t="s">
        <v>2334</v>
      </c>
      <c r="S434" s="407" t="s">
        <v>2317</v>
      </c>
      <c r="T434" s="398"/>
      <c r="U434" s="631">
        <v>1.0</v>
      </c>
      <c r="V434" s="407" t="str">
        <f t="shared" si="25"/>
        <v>10.1037--emo0001389.pdf</v>
      </c>
      <c r="W434" s="768" t="s">
        <v>2084</v>
      </c>
      <c r="X434" s="54" t="str">
        <f t="array" ref="X434"> if(iserror(MATCH(V434, 'File Links'!C:C, 0)), "N/A", HYPERLINK(INDEX('File Links'!B:B, MATCH(V434, 'File Links'!C:C, 0))))</f>
        <v>https://drive.google.com/file/d/1EK0iig6kRzrCroz49dDEP_mf3A-HoVQR/view?usp=drivesdk</v>
      </c>
      <c r="Y434" s="398"/>
      <c r="Z434" s="398" t="s">
        <v>1079</v>
      </c>
      <c r="AA434" s="769" t="s">
        <v>2329</v>
      </c>
      <c r="AB434" s="407" t="s">
        <v>2319</v>
      </c>
      <c r="AC434" s="407" t="s">
        <v>2335</v>
      </c>
      <c r="AD434" s="407" t="s">
        <v>2336</v>
      </c>
      <c r="AE434" s="728">
        <v>5.0</v>
      </c>
      <c r="AF434" s="728">
        <v>226.0</v>
      </c>
      <c r="AG434" s="728">
        <v>0.1348</v>
      </c>
      <c r="AH434" s="194" t="s">
        <v>360</v>
      </c>
      <c r="AI434" s="399" t="s">
        <v>813</v>
      </c>
      <c r="AJ434" s="406">
        <v>1.0E-4</v>
      </c>
      <c r="AK434" s="407" t="s">
        <v>135</v>
      </c>
      <c r="AL434" s="399" t="s">
        <v>186</v>
      </c>
      <c r="AM434" s="407" t="s">
        <v>141</v>
      </c>
      <c r="AN434" s="219" t="s">
        <v>138</v>
      </c>
      <c r="AO434" s="728">
        <v>754.0</v>
      </c>
      <c r="AP434" s="728">
        <v>3.94</v>
      </c>
      <c r="AQ434" s="159" t="s">
        <v>360</v>
      </c>
      <c r="AR434" s="407" t="s">
        <v>2332</v>
      </c>
      <c r="AS434" s="728">
        <v>0.001</v>
      </c>
      <c r="AT434" s="407" t="s">
        <v>135</v>
      </c>
      <c r="AU434" s="407" t="s">
        <v>186</v>
      </c>
      <c r="AV434" s="407" t="s">
        <v>141</v>
      </c>
      <c r="AW434" s="771" t="s">
        <v>2296</v>
      </c>
      <c r="AX434" s="646" t="s">
        <v>151</v>
      </c>
      <c r="AY434" s="61" t="str">
        <f>IFERROR(__xludf.DUMMYFUNCTION("vlookup(BB434,importrange(""https://docs.google.com/spreadsheets/d/1d2vevQ_7D_v35q4wCQ4RpQ_IPoTwEMB9Yp6ymwlPqew/edit?gid=984458430#gid=984458430"", ""'replication success'!A:K""), 11, FAlSE)"),"successful")</f>
        <v>successful</v>
      </c>
      <c r="AZ434" s="61" t="str">
        <f>IFERROR(__xludf.DUMMYFUNCTION("vlookup(BB434,importrange(""https://docs.google.com/spreadsheets/d/1d2vevQ_7D_v35q4wCQ4RpQ_IPoTwEMB9Yp6ymwlPqew/edit?gid=984458430#gid=984458430"",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4" s="61" t="str">
        <f>IFERROR(__xludf.DUMMYFUNCTION("vlookup(BB434,importrange(""https://docs.google.com/spreadsheets/d/1d2vevQ_7D_v35q4wCQ4RpQ_IPoTwEMB9Yp6ymwlPqew/edit?gid=984458430#gid=984458430"", ""'replication success'!A:M""), 13, FAlSE)"),"abstract")</f>
        <v>abstract</v>
      </c>
      <c r="BB434" s="61" t="str">
        <f>IFERROR(__xludf.DUMMYFUNCTION("REGEXREPLACE(G434, ""_[a-z]{1,2}$"", """")"),"additional_studies61")</f>
        <v>additional_studies61</v>
      </c>
      <c r="BC434" s="129"/>
      <c r="BD434" s="62" t="s">
        <v>144</v>
      </c>
      <c r="BE434" s="71"/>
      <c r="BF434" s="71"/>
      <c r="BG434" s="71"/>
      <c r="BH434" s="71"/>
      <c r="BI434" s="71"/>
      <c r="BJ434" s="71"/>
      <c r="BK434" s="71"/>
      <c r="BL434" s="71"/>
      <c r="BM434" s="71"/>
      <c r="BN434" s="71"/>
      <c r="BO434" s="71"/>
      <c r="BP434" s="71"/>
      <c r="BQ434" s="71"/>
      <c r="BR434" s="71"/>
      <c r="BS434" s="71"/>
      <c r="BT434" s="71"/>
      <c r="BU434" s="71"/>
      <c r="BV434" s="71"/>
      <c r="BW434" s="71"/>
      <c r="BX434" s="71"/>
      <c r="BY434" s="71"/>
      <c r="BZ434" s="71"/>
      <c r="CA434" s="71"/>
      <c r="CB434" s="71"/>
      <c r="CC434" s="71"/>
      <c r="CD434" s="71"/>
      <c r="CE434" s="71"/>
      <c r="CF434" s="71"/>
      <c r="CG434" s="71"/>
      <c r="CH434" s="71"/>
      <c r="CI434" s="71"/>
      <c r="CJ434" s="71"/>
      <c r="CK434" s="71"/>
      <c r="CL434" s="71"/>
      <c r="CM434" s="71"/>
      <c r="CN434" s="71"/>
      <c r="CO434" s="71"/>
      <c r="CP434" s="71"/>
      <c r="CQ434" s="71"/>
      <c r="CR434" s="71"/>
      <c r="CS434" s="71"/>
      <c r="CT434" s="71"/>
      <c r="CU434" s="71"/>
      <c r="CV434" s="71"/>
      <c r="CW434" s="71"/>
      <c r="CX434" s="71"/>
      <c r="CY434" s="71"/>
      <c r="CZ434" s="71"/>
      <c r="DA434" s="71"/>
      <c r="DB434" s="71"/>
      <c r="DC434" s="71"/>
      <c r="DD434" s="71"/>
      <c r="DE434" s="71"/>
      <c r="DF434" s="71"/>
      <c r="DG434" s="71"/>
      <c r="DH434" s="71"/>
      <c r="DI434" s="71"/>
      <c r="DJ434" s="71"/>
      <c r="DK434" s="71"/>
      <c r="DL434" s="71"/>
    </row>
    <row r="435" ht="20.25" customHeight="1">
      <c r="A435" s="44">
        <v>435.0</v>
      </c>
      <c r="B435" s="716" t="s">
        <v>152</v>
      </c>
      <c r="C435" s="397" t="s">
        <v>115</v>
      </c>
      <c r="D435" s="397" t="s">
        <v>2192</v>
      </c>
      <c r="E435" s="220"/>
      <c r="F435" s="407" t="s">
        <v>2310</v>
      </c>
      <c r="G435" s="399" t="s">
        <v>2337</v>
      </c>
      <c r="H435" s="407" t="s">
        <v>2193</v>
      </c>
      <c r="I435" s="727">
        <v>45643.0</v>
      </c>
      <c r="J435" s="170">
        <v>45685.0</v>
      </c>
      <c r="K435" s="398"/>
      <c r="L435" s="720" t="s">
        <v>2313</v>
      </c>
      <c r="M435" s="407" t="s">
        <v>2314</v>
      </c>
      <c r="N435" s="407" t="s">
        <v>2315</v>
      </c>
      <c r="O435" s="631">
        <v>1.0</v>
      </c>
      <c r="P435" s="407" t="str">
        <f t="shared" si="26"/>
        <v>10.1037--a0019006.pdf</v>
      </c>
      <c r="Q435" s="52" t="str">
        <f t="array" ref="Q435"> if(iserror(MATCH(V435, 'File Links'!C:C, 0)), "N/A", HYPERLINK(INDEX('File Links'!B:B, MATCH(P435, 'File Links'!C:C, 0))))</f>
        <v>https://drive.google.com/file/d/1PYhLwP6tdLfH-XKRuD0puhoFxy-sMmFS/view?usp=drivesdk</v>
      </c>
      <c r="R435" s="765" t="s">
        <v>2338</v>
      </c>
      <c r="S435" s="407" t="s">
        <v>2317</v>
      </c>
      <c r="T435" s="398"/>
      <c r="U435" s="631">
        <v>1.0</v>
      </c>
      <c r="V435" s="407" t="str">
        <f t="shared" si="25"/>
        <v>10.1037--emo0001389.pdf</v>
      </c>
      <c r="W435" s="768" t="s">
        <v>2084</v>
      </c>
      <c r="X435" s="54" t="str">
        <f t="array" ref="X435"> if(iserror(MATCH(V435, 'File Links'!C:C, 0)), "N/A", HYPERLINK(INDEX('File Links'!B:B, MATCH(V435, 'File Links'!C:C, 0))))</f>
        <v>https://drive.google.com/file/d/1EK0iig6kRzrCroz49dDEP_mf3A-HoVQR/view?usp=drivesdk</v>
      </c>
      <c r="Y435" s="398"/>
      <c r="Z435" s="398" t="s">
        <v>1079</v>
      </c>
      <c r="AA435" s="769" t="s">
        <v>2329</v>
      </c>
      <c r="AB435" s="407" t="s">
        <v>2319</v>
      </c>
      <c r="AC435" s="407" t="s">
        <v>2339</v>
      </c>
      <c r="AD435" s="407" t="s">
        <v>2340</v>
      </c>
      <c r="AE435" s="728">
        <v>5.0</v>
      </c>
      <c r="AF435" s="728">
        <v>226.0</v>
      </c>
      <c r="AG435" s="728">
        <v>0.0353</v>
      </c>
      <c r="AH435" s="194" t="s">
        <v>360</v>
      </c>
      <c r="AI435" s="399" t="s">
        <v>813</v>
      </c>
      <c r="AJ435" s="406">
        <v>0.0364</v>
      </c>
      <c r="AK435" s="407" t="s">
        <v>172</v>
      </c>
      <c r="AL435" s="399" t="s">
        <v>186</v>
      </c>
      <c r="AM435" s="407" t="s">
        <v>141</v>
      </c>
      <c r="AN435" s="219" t="s">
        <v>138</v>
      </c>
      <c r="AO435" s="728">
        <v>754.0</v>
      </c>
      <c r="AP435" s="728">
        <v>0.26</v>
      </c>
      <c r="AQ435" s="159" t="s">
        <v>360</v>
      </c>
      <c r="AR435" s="407" t="s">
        <v>2332</v>
      </c>
      <c r="AS435" s="728">
        <v>0.001</v>
      </c>
      <c r="AT435" s="407" t="s">
        <v>135</v>
      </c>
      <c r="AU435" s="407" t="s">
        <v>186</v>
      </c>
      <c r="AV435" s="407" t="s">
        <v>141</v>
      </c>
      <c r="AW435" s="771" t="s">
        <v>2296</v>
      </c>
      <c r="AX435" s="646" t="s">
        <v>151</v>
      </c>
      <c r="AY435" s="61" t="str">
        <f>IFERROR(__xludf.DUMMYFUNCTION("vlookup(BB435,importrange(""https://docs.google.com/spreadsheets/d/1d2vevQ_7D_v35q4wCQ4RpQ_IPoTwEMB9Yp6ymwlPqew/edit?gid=984458430#gid=984458430"", ""'replication success'!A:K""), 11, FAlSE)"),"successful")</f>
        <v>successful</v>
      </c>
      <c r="AZ435" s="61" t="str">
        <f>IFERROR(__xludf.DUMMYFUNCTION("vlookup(BB435,importrange(""https://docs.google.com/spreadsheets/d/1d2vevQ_7D_v35q4wCQ4RpQ_IPoTwEMB9Yp6ymwlPqew/edit?gid=984458430#gid=984458430"",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5" s="61" t="str">
        <f>IFERROR(__xludf.DUMMYFUNCTION("vlookup(BB435,importrange(""https://docs.google.com/spreadsheets/d/1d2vevQ_7D_v35q4wCQ4RpQ_IPoTwEMB9Yp6ymwlPqew/edit?gid=984458430#gid=984458430"", ""'replication success'!A:M""), 13, FAlSE)"),"abstract")</f>
        <v>abstract</v>
      </c>
      <c r="BB435" s="61" t="str">
        <f>IFERROR(__xludf.DUMMYFUNCTION("REGEXREPLACE(G435, ""_[a-z]{1,2}$"", """")"),"additional_studies61")</f>
        <v>additional_studies61</v>
      </c>
      <c r="BC435" s="129"/>
      <c r="BD435" s="62" t="s">
        <v>144</v>
      </c>
      <c r="BE435" s="71"/>
      <c r="BF435" s="71"/>
      <c r="BG435" s="71"/>
      <c r="BH435" s="71"/>
      <c r="BI435" s="71"/>
      <c r="BJ435" s="71"/>
      <c r="BK435" s="71"/>
      <c r="BL435" s="71"/>
      <c r="BM435" s="71"/>
      <c r="BN435" s="71"/>
      <c r="BO435" s="71"/>
      <c r="BP435" s="71"/>
      <c r="BQ435" s="71"/>
      <c r="BR435" s="71"/>
      <c r="BS435" s="71"/>
      <c r="BT435" s="71"/>
      <c r="BU435" s="71"/>
      <c r="BV435" s="71"/>
      <c r="BW435" s="71"/>
      <c r="BX435" s="71"/>
      <c r="BY435" s="71"/>
      <c r="BZ435" s="71"/>
      <c r="CA435" s="71"/>
      <c r="CB435" s="71"/>
      <c r="CC435" s="71"/>
      <c r="CD435" s="71"/>
      <c r="CE435" s="71"/>
      <c r="CF435" s="71"/>
      <c r="CG435" s="71"/>
      <c r="CH435" s="71"/>
      <c r="CI435" s="71"/>
      <c r="CJ435" s="71"/>
      <c r="CK435" s="71"/>
      <c r="CL435" s="71"/>
      <c r="CM435" s="71"/>
      <c r="CN435" s="71"/>
      <c r="CO435" s="71"/>
      <c r="CP435" s="71"/>
      <c r="CQ435" s="71"/>
      <c r="CR435" s="71"/>
      <c r="CS435" s="71"/>
      <c r="CT435" s="71"/>
      <c r="CU435" s="71"/>
      <c r="CV435" s="71"/>
      <c r="CW435" s="71"/>
      <c r="CX435" s="71"/>
      <c r="CY435" s="71"/>
      <c r="CZ435" s="71"/>
      <c r="DA435" s="71"/>
      <c r="DB435" s="71"/>
      <c r="DC435" s="71"/>
      <c r="DD435" s="71"/>
      <c r="DE435" s="71"/>
      <c r="DF435" s="71"/>
      <c r="DG435" s="71"/>
      <c r="DH435" s="71"/>
      <c r="DI435" s="71"/>
      <c r="DJ435" s="71"/>
      <c r="DK435" s="71"/>
      <c r="DL435" s="71"/>
    </row>
    <row r="436" ht="20.25" customHeight="1">
      <c r="A436" s="44">
        <v>436.0</v>
      </c>
      <c r="B436" s="716" t="s">
        <v>152</v>
      </c>
      <c r="C436" s="397" t="s">
        <v>115</v>
      </c>
      <c r="D436" s="397" t="s">
        <v>2192</v>
      </c>
      <c r="E436" s="220"/>
      <c r="F436" s="407" t="s">
        <v>2310</v>
      </c>
      <c r="G436" s="399" t="s">
        <v>2341</v>
      </c>
      <c r="H436" s="407" t="s">
        <v>2193</v>
      </c>
      <c r="I436" s="727">
        <v>45643.0</v>
      </c>
      <c r="J436" s="170">
        <v>45685.0</v>
      </c>
      <c r="K436" s="398"/>
      <c r="L436" s="720" t="s">
        <v>2313</v>
      </c>
      <c r="M436" s="407" t="s">
        <v>2314</v>
      </c>
      <c r="N436" s="407" t="s">
        <v>2315</v>
      </c>
      <c r="O436" s="631">
        <v>1.0</v>
      </c>
      <c r="P436" s="407" t="str">
        <f t="shared" si="26"/>
        <v>10.1037--a0019006.pdf</v>
      </c>
      <c r="Q436" s="52" t="str">
        <f t="array" ref="Q436"> if(iserror(MATCH(V436, 'File Links'!C:C, 0)), "N/A", HYPERLINK(INDEX('File Links'!B:B, MATCH(P436, 'File Links'!C:C, 0))))</f>
        <v>https://drive.google.com/file/d/1PYhLwP6tdLfH-XKRuD0puhoFxy-sMmFS/view?usp=drivesdk</v>
      </c>
      <c r="R436" s="765" t="s">
        <v>2342</v>
      </c>
      <c r="S436" s="407" t="s">
        <v>2317</v>
      </c>
      <c r="T436" s="398"/>
      <c r="U436" s="631">
        <v>1.0</v>
      </c>
      <c r="V436" s="407" t="str">
        <f t="shared" si="25"/>
        <v>10.1037--emo0001389.pdf</v>
      </c>
      <c r="W436" s="768" t="s">
        <v>2084</v>
      </c>
      <c r="X436" s="54" t="str">
        <f t="array" ref="X436"> if(iserror(MATCH(V436, 'File Links'!C:C, 0)), "N/A", HYPERLINK(INDEX('File Links'!B:B, MATCH(V436, 'File Links'!C:C, 0))))</f>
        <v>https://drive.google.com/file/d/1EK0iig6kRzrCroz49dDEP_mf3A-HoVQR/view?usp=drivesdk</v>
      </c>
      <c r="Y436" s="398"/>
      <c r="Z436" s="398" t="s">
        <v>1079</v>
      </c>
      <c r="AA436" s="407" t="s">
        <v>2329</v>
      </c>
      <c r="AB436" s="407" t="s">
        <v>2319</v>
      </c>
      <c r="AC436" s="407" t="s">
        <v>2343</v>
      </c>
      <c r="AD436" s="407" t="s">
        <v>2344</v>
      </c>
      <c r="AE436" s="728">
        <v>5.0</v>
      </c>
      <c r="AF436" s="728">
        <v>226.0</v>
      </c>
      <c r="AG436" s="728">
        <v>0.1116</v>
      </c>
      <c r="AH436" s="194" t="s">
        <v>360</v>
      </c>
      <c r="AI436" s="399" t="s">
        <v>813</v>
      </c>
      <c r="AJ436" s="406">
        <v>0.01</v>
      </c>
      <c r="AK436" s="407" t="s">
        <v>135</v>
      </c>
      <c r="AL436" s="399" t="s">
        <v>186</v>
      </c>
      <c r="AM436" s="407" t="s">
        <v>141</v>
      </c>
      <c r="AN436" s="219" t="s">
        <v>138</v>
      </c>
      <c r="AO436" s="728">
        <v>754.0</v>
      </c>
      <c r="AP436" s="728">
        <v>0.19</v>
      </c>
      <c r="AQ436" s="159" t="s">
        <v>360</v>
      </c>
      <c r="AR436" s="407" t="s">
        <v>813</v>
      </c>
      <c r="AS436" s="728">
        <v>0.01</v>
      </c>
      <c r="AT436" s="407" t="s">
        <v>135</v>
      </c>
      <c r="AU436" s="407" t="s">
        <v>186</v>
      </c>
      <c r="AV436" s="407" t="s">
        <v>141</v>
      </c>
      <c r="AW436" s="771" t="s">
        <v>2296</v>
      </c>
      <c r="AX436" s="646" t="s">
        <v>151</v>
      </c>
      <c r="AY436" s="61" t="str">
        <f>IFERROR(__xludf.DUMMYFUNCTION("vlookup(BB436,importrange(""https://docs.google.com/spreadsheets/d/1d2vevQ_7D_v35q4wCQ4RpQ_IPoTwEMB9Yp6ymwlPqew/edit?gid=984458430#gid=984458430"", ""'replication success'!A:K""), 11, FAlSE)"),"successful")</f>
        <v>successful</v>
      </c>
      <c r="AZ436" s="61" t="str">
        <f>IFERROR(__xludf.DUMMYFUNCTION("vlookup(BB436,importrange(""https://docs.google.com/spreadsheets/d/1d2vevQ_7D_v35q4wCQ4RpQ_IPoTwEMB9Yp6ymwlPqew/edit?gid=984458430#gid=984458430"",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6" s="61" t="str">
        <f>IFERROR(__xludf.DUMMYFUNCTION("vlookup(BB436,importrange(""https://docs.google.com/spreadsheets/d/1d2vevQ_7D_v35q4wCQ4RpQ_IPoTwEMB9Yp6ymwlPqew/edit?gid=984458430#gid=984458430"", ""'replication success'!A:M""), 13, FAlSE)"),"abstract")</f>
        <v>abstract</v>
      </c>
      <c r="BB436" s="61" t="str">
        <f>IFERROR(__xludf.DUMMYFUNCTION("REGEXREPLACE(G436, ""_[a-z]{1,2}$"", """")"),"additional_studies61")</f>
        <v>additional_studies61</v>
      </c>
      <c r="BC436" s="129"/>
      <c r="BD436" s="62" t="s">
        <v>144</v>
      </c>
    </row>
    <row r="437" ht="20.25" customHeight="1">
      <c r="A437" s="44">
        <v>437.0</v>
      </c>
      <c r="B437" s="716" t="s">
        <v>152</v>
      </c>
      <c r="C437" s="397" t="s">
        <v>115</v>
      </c>
      <c r="D437" s="397" t="s">
        <v>2192</v>
      </c>
      <c r="E437" s="220"/>
      <c r="F437" s="407" t="s">
        <v>2310</v>
      </c>
      <c r="G437" s="399" t="s">
        <v>2345</v>
      </c>
      <c r="H437" s="407" t="s">
        <v>2193</v>
      </c>
      <c r="I437" s="727">
        <v>45643.0</v>
      </c>
      <c r="J437" s="170">
        <v>45685.0</v>
      </c>
      <c r="K437" s="407" t="s">
        <v>2346</v>
      </c>
      <c r="L437" s="720" t="s">
        <v>2313</v>
      </c>
      <c r="M437" s="407" t="s">
        <v>2314</v>
      </c>
      <c r="N437" s="407" t="s">
        <v>2315</v>
      </c>
      <c r="O437" s="631">
        <v>1.0</v>
      </c>
      <c r="P437" s="407" t="str">
        <f t="shared" si="26"/>
        <v>10.1037--a0019006.pdf</v>
      </c>
      <c r="Q437" s="52" t="str">
        <f t="array" ref="Q437"> if(iserror(MATCH(V437, 'File Links'!C:C, 0)), "N/A", HYPERLINK(INDEX('File Links'!B:B, MATCH(P437, 'File Links'!C:C, 0))))</f>
        <v>https://drive.google.com/file/d/1PYhLwP6tdLfH-XKRuD0puhoFxy-sMmFS/view?usp=drivesdk</v>
      </c>
      <c r="R437" s="765" t="s">
        <v>2347</v>
      </c>
      <c r="S437" s="407" t="s">
        <v>2317</v>
      </c>
      <c r="T437" s="398"/>
      <c r="U437" s="631">
        <v>1.0</v>
      </c>
      <c r="V437" s="407" t="str">
        <f t="shared" si="25"/>
        <v>10.1037--emo0001389.pdf</v>
      </c>
      <c r="W437" s="768" t="s">
        <v>2084</v>
      </c>
      <c r="X437" s="54" t="str">
        <f t="array" ref="X437"> if(iserror(MATCH(V437, 'File Links'!C:C, 0)), "N/A", HYPERLINK(INDEX('File Links'!B:B, MATCH(V437, 'File Links'!C:C, 0))))</f>
        <v>https://drive.google.com/file/d/1EK0iig6kRzrCroz49dDEP_mf3A-HoVQR/view?usp=drivesdk</v>
      </c>
      <c r="Y437" s="398"/>
      <c r="Z437" s="398" t="s">
        <v>1079</v>
      </c>
      <c r="AA437" s="407" t="s">
        <v>2329</v>
      </c>
      <c r="AB437" s="407" t="s">
        <v>2319</v>
      </c>
      <c r="AC437" s="407" t="s">
        <v>2348</v>
      </c>
      <c r="AD437" s="640" t="s">
        <v>2349</v>
      </c>
      <c r="AE437" s="728">
        <v>6.0</v>
      </c>
      <c r="AF437" s="728">
        <v>226.0</v>
      </c>
      <c r="AG437" s="728">
        <v>0.0422</v>
      </c>
      <c r="AH437" s="194" t="s">
        <v>360</v>
      </c>
      <c r="AI437" s="399" t="s">
        <v>132</v>
      </c>
      <c r="AJ437" s="406">
        <v>0.0305</v>
      </c>
      <c r="AK437" s="407" t="s">
        <v>172</v>
      </c>
      <c r="AL437" s="399" t="s">
        <v>186</v>
      </c>
      <c r="AM437" s="407" t="s">
        <v>141</v>
      </c>
      <c r="AN437" s="219" t="s">
        <v>138</v>
      </c>
      <c r="AO437" s="728">
        <v>377.0</v>
      </c>
      <c r="AP437" s="728">
        <v>0.49</v>
      </c>
      <c r="AQ437" s="159" t="s">
        <v>360</v>
      </c>
      <c r="AR437" s="407" t="s">
        <v>613</v>
      </c>
      <c r="AS437" s="728">
        <v>0.01</v>
      </c>
      <c r="AT437" s="407" t="s">
        <v>135</v>
      </c>
      <c r="AU437" s="407" t="s">
        <v>186</v>
      </c>
      <c r="AV437" s="407" t="s">
        <v>141</v>
      </c>
      <c r="AW437" s="771" t="s">
        <v>2296</v>
      </c>
      <c r="AX437" s="646" t="s">
        <v>151</v>
      </c>
      <c r="AY437" s="61" t="str">
        <f>IFERROR(__xludf.DUMMYFUNCTION("vlookup(BB437,importrange(""https://docs.google.com/spreadsheets/d/1d2vevQ_7D_v35q4wCQ4RpQ_IPoTwEMB9Yp6ymwlPqew/edit?gid=984458430#gid=984458430"", ""'replication success'!A:K""), 11, FAlSE)"),"successful")</f>
        <v>successful</v>
      </c>
      <c r="AZ437" s="61" t="str">
        <f>IFERROR(__xludf.DUMMYFUNCTION("vlookup(BB437,importrange(""https://docs.google.com/spreadsheets/d/1d2vevQ_7D_v35q4wCQ4RpQ_IPoTwEMB9Yp6ymwlPqew/edit?gid=984458430#gid=984458430"", ""'replication success'!A:M""), 12, FAlSE)"),"We demonstrate affective and person-level
contributors to music-evoked nostalgia observed in Barrett et al.’s (2010) hold even when controlling for
familiarity and musical features.")</f>
        <v>We demonstrate affective and person-level
contributors to music-evoked nostalgia observed in Barrett et al.’s (2010) hold even when controlling for
familiarity and musical features.</v>
      </c>
      <c r="BA437" s="61" t="str">
        <f>IFERROR(__xludf.DUMMYFUNCTION("vlookup(BB437,importrange(""https://docs.google.com/spreadsheets/d/1d2vevQ_7D_v35q4wCQ4RpQ_IPoTwEMB9Yp6ymwlPqew/edit?gid=984458430#gid=984458430"", ""'replication success'!A:M""), 13, FAlSE)"),"abstract")</f>
        <v>abstract</v>
      </c>
      <c r="BB437" s="61" t="str">
        <f>IFERROR(__xludf.DUMMYFUNCTION("REGEXREPLACE(G437, ""_[a-z]{1,2}$"", """")"),"additional_studies61")</f>
        <v>additional_studies61</v>
      </c>
      <c r="BC437" s="129"/>
      <c r="BD437" s="62" t="s">
        <v>144</v>
      </c>
    </row>
    <row r="438" ht="20.25" customHeight="1">
      <c r="A438" s="44">
        <v>438.0</v>
      </c>
      <c r="B438" s="62" t="s">
        <v>114</v>
      </c>
      <c r="C438" s="62" t="s">
        <v>115</v>
      </c>
      <c r="D438" s="62" t="s">
        <v>1810</v>
      </c>
      <c r="F438" s="703" t="s">
        <v>2350</v>
      </c>
      <c r="G438" s="57" t="s">
        <v>2351</v>
      </c>
      <c r="H438" s="57" t="s">
        <v>1811</v>
      </c>
      <c r="I438" s="152">
        <v>45472.0</v>
      </c>
      <c r="J438" s="434">
        <v>45642.0</v>
      </c>
      <c r="K438" s="57" t="s">
        <v>2352</v>
      </c>
      <c r="L438" s="61"/>
      <c r="M438" s="57" t="s">
        <v>2353</v>
      </c>
      <c r="N438" s="57" t="s">
        <v>2354</v>
      </c>
      <c r="O438" s="57" t="s">
        <v>2355</v>
      </c>
      <c r="P438" s="377" t="str">
        <f t="shared" si="26"/>
        <v>10.1006--obhd.1994.1063.pdf</v>
      </c>
      <c r="Q438" s="52" t="str">
        <f t="array" ref="Q438"> if(iserror(MATCH(V438, 'File Links'!C:C, 0)), "N/A", HYPERLINK(INDEX('File Links'!B:B, MATCH(P438, 'File Links'!C:C, 0))))</f>
        <v>https://drive.google.com/file/d/1S6Y_7EBTIU64tChcmNNePtGMO2jWzVGk/view?usp=drivesdk</v>
      </c>
      <c r="R438" s="57" t="s">
        <v>2356</v>
      </c>
      <c r="S438" s="57" t="s">
        <v>2357</v>
      </c>
      <c r="T438" s="61"/>
      <c r="U438" s="338"/>
      <c r="V438" s="570" t="str">
        <f t="shared" si="25"/>
        <v>10.17605--osf.io--b25tr.pdf</v>
      </c>
      <c r="W438" s="61"/>
      <c r="X438" s="54" t="str">
        <f t="array" ref="X438"> if(iserror(MATCH(V438, 'File Links'!C:C, 0)), "N/A", HYPERLINK(INDEX('File Links'!B:B, MATCH(V438, 'File Links'!C:C, 0))))</f>
        <v>https://drive.google.com/file/d/1Z88YOxFUdjB_N8RWvlHzVruajODQTnic/view?usp=drivesdk</v>
      </c>
      <c r="Y438" s="57" t="s">
        <v>2358</v>
      </c>
      <c r="Z438" s="61"/>
      <c r="AA438" s="61"/>
      <c r="AB438" s="61"/>
      <c r="AC438" s="61"/>
      <c r="AD438" s="61"/>
      <c r="AE438" s="61"/>
      <c r="AF438" s="61"/>
      <c r="AG438" s="61"/>
      <c r="AH438" s="338"/>
      <c r="AI438" s="61"/>
      <c r="AJ438" s="61"/>
      <c r="AK438" s="68"/>
      <c r="AL438" s="677" t="s">
        <v>138</v>
      </c>
      <c r="AM438" s="677" t="s">
        <v>138</v>
      </c>
      <c r="AN438" s="219" t="s">
        <v>138</v>
      </c>
      <c r="AO438" s="61"/>
      <c r="AP438" s="61"/>
      <c r="AQ438" s="61"/>
      <c r="AR438" s="61"/>
      <c r="AS438" s="61"/>
      <c r="AT438" s="68"/>
      <c r="AU438" s="678" t="s">
        <v>138</v>
      </c>
      <c r="AV438" s="678" t="s">
        <v>138</v>
      </c>
      <c r="AW438" s="68"/>
      <c r="AX438" s="68"/>
      <c r="AY438" s="61" t="str">
        <f>IFERROR(__xludf.DUMMYFUNCTION("vlookup(BB438,importrange(""https://docs.google.com/spreadsheets/d/1d2vevQ_7D_v35q4wCQ4RpQ_IPoTwEMB9Yp6ymwlPqew/edit?gid=984458430#gid=984458430"", ""'replication success'!A:K""), 11, FAlSE)"),"#N/A")</f>
        <v>#N/A</v>
      </c>
      <c r="AZ438" s="61" t="str">
        <f>IFERROR(__xludf.DUMMYFUNCTION("vlookup(BB438,importrange(""https://docs.google.com/spreadsheets/d/1d2vevQ_7D_v35q4wCQ4RpQ_IPoTwEMB9Yp6ymwlPqew/edit?gid=984458430#gid=984458430"", ""'replication success'!A:M""), 12, FAlSE)"),"#N/A")</f>
        <v>#N/A</v>
      </c>
      <c r="BA438" s="61" t="str">
        <f>IFERROR(__xludf.DUMMYFUNCTION("vlookup(BB438,importrange(""https://docs.google.com/spreadsheets/d/1d2vevQ_7D_v35q4wCQ4RpQ_IPoTwEMB9Yp6ymwlPqew/edit?gid=984458430#gid=984458430"", ""'replication success'!A:M""), 13, FAlSE)"),"#N/A")</f>
        <v>#N/A</v>
      </c>
      <c r="BB438" s="61" t="str">
        <f>IFERROR(__xludf.DUMMYFUNCTION("REGEXREPLACE(G438, ""_[a-z]{1,2}$"", """")"),"additional_studies64")</f>
        <v>additional_studies64</v>
      </c>
      <c r="BC438" s="61"/>
      <c r="BE438" s="71"/>
      <c r="BF438" s="71"/>
      <c r="BG438" s="71"/>
      <c r="BH438" s="71"/>
      <c r="BI438" s="71"/>
      <c r="BJ438" s="71"/>
      <c r="BK438" s="71"/>
      <c r="BL438" s="71"/>
      <c r="BM438" s="71"/>
      <c r="BN438" s="71"/>
      <c r="BO438" s="71"/>
      <c r="BP438" s="71"/>
      <c r="BQ438" s="71"/>
      <c r="BR438" s="71"/>
      <c r="BS438" s="71"/>
      <c r="BT438" s="71"/>
      <c r="BU438" s="71"/>
      <c r="BV438" s="71"/>
      <c r="BW438" s="71"/>
      <c r="BX438" s="71"/>
      <c r="BY438" s="71"/>
      <c r="BZ438" s="71"/>
      <c r="CA438" s="71"/>
      <c r="CB438" s="71"/>
      <c r="CC438" s="71"/>
      <c r="CD438" s="71"/>
      <c r="CE438" s="71"/>
      <c r="CF438" s="71"/>
      <c r="CG438" s="71"/>
      <c r="CH438" s="71"/>
      <c r="CI438" s="71"/>
      <c r="CJ438" s="71"/>
      <c r="CK438" s="71"/>
      <c r="CL438" s="71"/>
      <c r="CM438" s="71"/>
      <c r="CN438" s="71"/>
      <c r="CO438" s="71"/>
      <c r="CP438" s="71"/>
      <c r="CQ438" s="71"/>
      <c r="CR438" s="71"/>
      <c r="CS438" s="71"/>
      <c r="CT438" s="71"/>
      <c r="CU438" s="71"/>
      <c r="CV438" s="71"/>
      <c r="CW438" s="71"/>
      <c r="CX438" s="71"/>
      <c r="CY438" s="71"/>
      <c r="CZ438" s="71"/>
      <c r="DA438" s="71"/>
      <c r="DB438" s="71"/>
      <c r="DC438" s="71"/>
      <c r="DD438" s="71"/>
      <c r="DE438" s="71"/>
      <c r="DF438" s="71"/>
      <c r="DG438" s="71"/>
      <c r="DH438" s="71"/>
      <c r="DI438" s="71"/>
      <c r="DJ438" s="71"/>
      <c r="DK438" s="71"/>
      <c r="DL438" s="71"/>
    </row>
    <row r="439" ht="20.25" customHeight="1">
      <c r="A439" s="44">
        <v>439.0</v>
      </c>
      <c r="B439" s="62" t="s">
        <v>114</v>
      </c>
      <c r="C439" s="62" t="s">
        <v>115</v>
      </c>
      <c r="D439" s="62" t="s">
        <v>2192</v>
      </c>
      <c r="F439" s="703" t="s">
        <v>2350</v>
      </c>
      <c r="G439" s="57" t="s">
        <v>2351</v>
      </c>
      <c r="H439" s="159" t="s">
        <v>2193</v>
      </c>
      <c r="I439" s="152">
        <v>45472.0</v>
      </c>
      <c r="J439" s="434">
        <v>45643.0</v>
      </c>
      <c r="K439" s="68"/>
      <c r="L439" s="212" t="s">
        <v>2359</v>
      </c>
      <c r="M439" s="159" t="s">
        <v>2353</v>
      </c>
      <c r="N439" s="159" t="s">
        <v>2354</v>
      </c>
      <c r="O439" s="156">
        <v>1.0</v>
      </c>
      <c r="P439" s="382" t="str">
        <f t="shared" si="26"/>
        <v>10.1006--obhd.1994.1063.pdf</v>
      </c>
      <c r="Q439" s="52" t="str">
        <f t="array" ref="Q439"> if(iserror(MATCH(V439, 'File Links'!C:C, 0)), "N/A", HYPERLINK(INDEX('File Links'!B:B, MATCH(P439, 'File Links'!C:C, 0))))</f>
        <v>https://drive.google.com/file/d/1S6Y_7EBTIU64tChcmNNePtGMO2jWzVGk/view?usp=drivesdk</v>
      </c>
      <c r="R439" s="159" t="s">
        <v>2356</v>
      </c>
      <c r="S439" s="159" t="s">
        <v>2357</v>
      </c>
      <c r="T439" s="68"/>
      <c r="U439" s="68"/>
      <c r="V439" s="382" t="str">
        <f t="shared" si="25"/>
        <v>10.17605--osf.io--b25tr.pdf</v>
      </c>
      <c r="W439" s="159" t="s">
        <v>2360</v>
      </c>
      <c r="X439" s="54" t="str">
        <f t="array" ref="X439"> if(iserror(MATCH(V439, 'File Links'!C:C, 0)), "N/A", HYPERLINK(INDEX('File Links'!B:B, MATCH(V439, 'File Links'!C:C, 0))))</f>
        <v>https://drive.google.com/file/d/1Z88YOxFUdjB_N8RWvlHzVruajODQTnic/view?usp=drivesdk</v>
      </c>
      <c r="Y439" s="68"/>
      <c r="Z439" s="159" t="s">
        <v>210</v>
      </c>
      <c r="AA439" s="159" t="s">
        <v>2361</v>
      </c>
      <c r="AB439" s="159" t="s">
        <v>2362</v>
      </c>
      <c r="AC439" s="159" t="s">
        <v>2363</v>
      </c>
      <c r="AD439" s="159" t="s">
        <v>2364</v>
      </c>
      <c r="AE439" s="156">
        <v>5.0</v>
      </c>
      <c r="AF439" s="156">
        <v>93.0</v>
      </c>
      <c r="AG439" s="159" t="s">
        <v>2365</v>
      </c>
      <c r="AH439" s="339" t="s">
        <v>134</v>
      </c>
      <c r="AI439" s="57" t="s">
        <v>813</v>
      </c>
      <c r="AJ439" s="379">
        <v>0.01</v>
      </c>
      <c r="AK439" s="159" t="s">
        <v>135</v>
      </c>
      <c r="AL439" s="57" t="s">
        <v>186</v>
      </c>
      <c r="AM439" s="159" t="s">
        <v>137</v>
      </c>
      <c r="AN439" s="219" t="s">
        <v>138</v>
      </c>
      <c r="AO439" s="496">
        <v>1000.0</v>
      </c>
      <c r="AP439" s="496">
        <v>-0.05</v>
      </c>
      <c r="AQ439" s="542" t="s">
        <v>602</v>
      </c>
      <c r="AR439" s="481" t="s">
        <v>2366</v>
      </c>
      <c r="AS439" s="496">
        <v>0.424</v>
      </c>
      <c r="AT439" s="481" t="s">
        <v>172</v>
      </c>
      <c r="AU439" s="481" t="s">
        <v>186</v>
      </c>
      <c r="AV439" s="159" t="s">
        <v>137</v>
      </c>
      <c r="AW439" s="310" t="s">
        <v>2367</v>
      </c>
      <c r="AX439" s="680" t="s">
        <v>143</v>
      </c>
      <c r="AY439" s="61" t="str">
        <f>IFERROR(__xludf.DUMMYFUNCTION("vlookup(BB439,importrange(""https://docs.google.com/spreadsheets/d/1d2vevQ_7D_v35q4wCQ4RpQ_IPoTwEMB9Yp6ymwlPqew/edit?gid=984458430#gid=984458430"", ""'replication success'!A:K""), 11, FAlSE)"),"#N/A")</f>
        <v>#N/A</v>
      </c>
      <c r="AZ439" s="61" t="str">
        <f>IFERROR(__xludf.DUMMYFUNCTION("vlookup(BB439,importrange(""https://docs.google.com/spreadsheets/d/1d2vevQ_7D_v35q4wCQ4RpQ_IPoTwEMB9Yp6ymwlPqew/edit?gid=984458430#gid=984458430"", ""'replication success'!A:M""), 12, FAlSE)"),"#N/A")</f>
        <v>#N/A</v>
      </c>
      <c r="BA439" s="61" t="str">
        <f>IFERROR(__xludf.DUMMYFUNCTION("vlookup(BB439,importrange(""https://docs.google.com/spreadsheets/d/1d2vevQ_7D_v35q4wCQ4RpQ_IPoTwEMB9Yp6ymwlPqew/edit?gid=984458430#gid=984458430"", ""'replication success'!A:M""), 13, FAlSE)"),"#N/A")</f>
        <v>#N/A</v>
      </c>
      <c r="BB439" s="61" t="str">
        <f>IFERROR(__xludf.DUMMYFUNCTION("REGEXREPLACE(G439, ""_[a-z]{1,2}$"", """")"),"additional_studies64")</f>
        <v>additional_studies64</v>
      </c>
      <c r="BC439" s="129" t="s">
        <v>2359</v>
      </c>
      <c r="BE439" s="107"/>
      <c r="BF439" s="107"/>
      <c r="BG439" s="107"/>
      <c r="BH439" s="107"/>
      <c r="BI439" s="107"/>
      <c r="BJ439" s="107"/>
      <c r="BK439" s="107"/>
      <c r="BL439" s="107"/>
      <c r="BM439" s="107"/>
      <c r="BN439" s="107"/>
      <c r="BO439" s="107"/>
      <c r="BP439" s="107"/>
      <c r="BQ439" s="107"/>
      <c r="BR439" s="107"/>
      <c r="BS439" s="107"/>
      <c r="BT439" s="107"/>
      <c r="BU439" s="107"/>
      <c r="BV439" s="107"/>
      <c r="BW439" s="107"/>
      <c r="BX439" s="107"/>
      <c r="BY439" s="107"/>
      <c r="BZ439" s="107"/>
      <c r="CA439" s="107"/>
      <c r="CB439" s="107"/>
      <c r="CC439" s="107"/>
      <c r="CD439" s="107"/>
      <c r="CE439" s="107"/>
      <c r="CF439" s="107"/>
      <c r="CG439" s="107"/>
      <c r="CH439" s="107"/>
      <c r="CI439" s="107"/>
      <c r="CJ439" s="107"/>
      <c r="CK439" s="107"/>
      <c r="CL439" s="107"/>
      <c r="CM439" s="107"/>
      <c r="CN439" s="107"/>
      <c r="CO439" s="107"/>
      <c r="CP439" s="107"/>
      <c r="CQ439" s="107"/>
      <c r="CR439" s="107"/>
      <c r="CS439" s="107"/>
      <c r="CT439" s="107"/>
      <c r="CU439" s="107"/>
      <c r="CV439" s="107"/>
      <c r="CW439" s="107"/>
      <c r="CX439" s="107"/>
      <c r="CY439" s="107"/>
      <c r="CZ439" s="107"/>
      <c r="DA439" s="107"/>
      <c r="DB439" s="107"/>
      <c r="DC439" s="107"/>
      <c r="DD439" s="107"/>
      <c r="DE439" s="107"/>
      <c r="DF439" s="107"/>
      <c r="DG439" s="107"/>
      <c r="DH439" s="107"/>
      <c r="DI439" s="107"/>
      <c r="DJ439" s="107"/>
      <c r="DK439" s="107"/>
      <c r="DL439" s="107"/>
    </row>
    <row r="440" ht="20.25" customHeight="1">
      <c r="A440" s="44">
        <v>440.0</v>
      </c>
      <c r="B440" s="62" t="s">
        <v>114</v>
      </c>
      <c r="C440" s="62" t="s">
        <v>115</v>
      </c>
      <c r="D440" s="62" t="s">
        <v>2192</v>
      </c>
      <c r="F440" s="703" t="s">
        <v>2350</v>
      </c>
      <c r="G440" s="57" t="s">
        <v>2368</v>
      </c>
      <c r="H440" s="159" t="s">
        <v>2193</v>
      </c>
      <c r="I440" s="434">
        <v>45643.0</v>
      </c>
      <c r="J440" s="772"/>
      <c r="K440" s="159" t="s">
        <v>2369</v>
      </c>
      <c r="L440" s="68"/>
      <c r="M440" s="159" t="s">
        <v>2353</v>
      </c>
      <c r="N440" s="159" t="s">
        <v>2354</v>
      </c>
      <c r="O440" s="156">
        <v>1.0</v>
      </c>
      <c r="P440" s="382" t="str">
        <f t="shared" si="26"/>
        <v>10.1006--obhd.1994.1063.pdf</v>
      </c>
      <c r="Q440" s="52" t="str">
        <f t="array" ref="Q440"> if(iserror(MATCH(V440, 'File Links'!C:C, 0)), "N/A", HYPERLINK(INDEX('File Links'!B:B, MATCH(P440, 'File Links'!C:C, 0))))</f>
        <v>https://drive.google.com/file/d/1S6Y_7EBTIU64tChcmNNePtGMO2jWzVGk/view?usp=drivesdk</v>
      </c>
      <c r="R440" s="159" t="s">
        <v>2356</v>
      </c>
      <c r="S440" s="159" t="s">
        <v>2357</v>
      </c>
      <c r="T440" s="68"/>
      <c r="U440" s="68"/>
      <c r="V440" s="382" t="str">
        <f t="shared" si="25"/>
        <v>10.17605--osf.io--b25tr.pdf</v>
      </c>
      <c r="W440" s="159" t="s">
        <v>2360</v>
      </c>
      <c r="X440" s="54" t="str">
        <f t="array" ref="X440"> if(iserror(MATCH(V440, 'File Links'!C:C, 0)), "N/A", HYPERLINK(INDEX('File Links'!B:B, MATCH(V440, 'File Links'!C:C, 0))))</f>
        <v>https://drive.google.com/file/d/1Z88YOxFUdjB_N8RWvlHzVruajODQTnic/view?usp=drivesdk</v>
      </c>
      <c r="Y440" s="68"/>
      <c r="Z440" s="159" t="s">
        <v>210</v>
      </c>
      <c r="AA440" s="159" t="s">
        <v>2361</v>
      </c>
      <c r="AB440" s="159" t="s">
        <v>2362</v>
      </c>
      <c r="AC440" s="68"/>
      <c r="AD440" s="159" t="s">
        <v>2370</v>
      </c>
      <c r="AE440" s="156">
        <v>5.0</v>
      </c>
      <c r="AF440" s="156">
        <v>93.0</v>
      </c>
      <c r="AG440" s="159" t="s">
        <v>2365</v>
      </c>
      <c r="AH440" s="339" t="s">
        <v>134</v>
      </c>
      <c r="AI440" s="57" t="s">
        <v>813</v>
      </c>
      <c r="AJ440" s="379">
        <v>0.01</v>
      </c>
      <c r="AK440" s="159" t="s">
        <v>135</v>
      </c>
      <c r="AL440" s="57" t="s">
        <v>186</v>
      </c>
      <c r="AM440" s="159" t="s">
        <v>137</v>
      </c>
      <c r="AN440" s="219" t="s">
        <v>138</v>
      </c>
      <c r="AO440" s="496">
        <v>1000.0</v>
      </c>
      <c r="AP440" s="496">
        <v>0.06</v>
      </c>
      <c r="AQ440" s="542" t="s">
        <v>2371</v>
      </c>
      <c r="AR440" s="481" t="s">
        <v>2372</v>
      </c>
      <c r="AS440" s="496">
        <v>0.058</v>
      </c>
      <c r="AT440" s="481" t="s">
        <v>172</v>
      </c>
      <c r="AU440" s="481" t="s">
        <v>186</v>
      </c>
      <c r="AV440" s="159" t="s">
        <v>137</v>
      </c>
      <c r="AW440" s="310" t="s">
        <v>2367</v>
      </c>
      <c r="AX440" s="680" t="s">
        <v>151</v>
      </c>
      <c r="AY440" s="61" t="str">
        <f>IFERROR(__xludf.DUMMYFUNCTION("vlookup(BB440,importrange(""https://docs.google.com/spreadsheets/d/1d2vevQ_7D_v35q4wCQ4RpQ_IPoTwEMB9Yp6ymwlPqew/edit?gid=984458430#gid=984458430"", ""'replication success'!A:K""), 11, FAlSE)"),"#N/A")</f>
        <v>#N/A</v>
      </c>
      <c r="AZ440" s="61" t="str">
        <f>IFERROR(__xludf.DUMMYFUNCTION("vlookup(BB440,importrange(""https://docs.google.com/spreadsheets/d/1d2vevQ_7D_v35q4wCQ4RpQ_IPoTwEMB9Yp6ymwlPqew/edit?gid=984458430#gid=984458430"", ""'replication success'!A:M""), 12, FAlSE)"),"#N/A")</f>
        <v>#N/A</v>
      </c>
      <c r="BA440" s="61" t="str">
        <f>IFERROR(__xludf.DUMMYFUNCTION("vlookup(BB440,importrange(""https://docs.google.com/spreadsheets/d/1d2vevQ_7D_v35q4wCQ4RpQ_IPoTwEMB9Yp6ymwlPqew/edit?gid=984458430#gid=984458430"", ""'replication success'!A:M""), 13, FAlSE)"),"#N/A")</f>
        <v>#N/A</v>
      </c>
      <c r="BB440" s="61" t="str">
        <f>IFERROR(__xludf.DUMMYFUNCTION("REGEXREPLACE(G440, ""_[a-z]{1,2}$"", """")"),"additional_studies64")</f>
        <v>additional_studies64</v>
      </c>
      <c r="BC440" s="68"/>
      <c r="BE440" s="71"/>
      <c r="BF440" s="71"/>
      <c r="BG440" s="71"/>
      <c r="BH440" s="71"/>
      <c r="BI440" s="71"/>
      <c r="BJ440" s="71"/>
      <c r="BK440" s="71"/>
      <c r="BL440" s="71"/>
      <c r="BM440" s="71"/>
      <c r="BN440" s="71"/>
      <c r="BO440" s="71"/>
      <c r="BP440" s="71"/>
      <c r="BQ440" s="71"/>
      <c r="BR440" s="71"/>
      <c r="BS440" s="71"/>
      <c r="BT440" s="71"/>
      <c r="BU440" s="71"/>
      <c r="BV440" s="71"/>
      <c r="BW440" s="71"/>
      <c r="BX440" s="71"/>
      <c r="BY440" s="71"/>
      <c r="BZ440" s="71"/>
      <c r="CA440" s="71"/>
      <c r="CB440" s="71"/>
      <c r="CC440" s="71"/>
      <c r="CD440" s="71"/>
      <c r="CE440" s="71"/>
      <c r="CF440" s="71"/>
      <c r="CG440" s="71"/>
      <c r="CH440" s="71"/>
      <c r="CI440" s="71"/>
      <c r="CJ440" s="71"/>
      <c r="CK440" s="71"/>
      <c r="CL440" s="71"/>
      <c r="CM440" s="71"/>
      <c r="CN440" s="71"/>
      <c r="CO440" s="71"/>
      <c r="CP440" s="71"/>
      <c r="CQ440" s="71"/>
      <c r="CR440" s="71"/>
      <c r="CS440" s="71"/>
      <c r="CT440" s="71"/>
      <c r="CU440" s="71"/>
      <c r="CV440" s="71"/>
      <c r="CW440" s="71"/>
      <c r="CX440" s="71"/>
      <c r="CY440" s="71"/>
      <c r="CZ440" s="71"/>
      <c r="DA440" s="71"/>
      <c r="DB440" s="71"/>
      <c r="DC440" s="71"/>
      <c r="DD440" s="71"/>
      <c r="DE440" s="71"/>
      <c r="DF440" s="71"/>
      <c r="DG440" s="71"/>
      <c r="DH440" s="71"/>
      <c r="DI440" s="71"/>
      <c r="DJ440" s="71"/>
      <c r="DK440" s="71"/>
      <c r="DL440" s="71"/>
    </row>
    <row r="441" ht="20.25" customHeight="1">
      <c r="A441" s="44">
        <v>441.0</v>
      </c>
      <c r="B441" s="62" t="s">
        <v>114</v>
      </c>
      <c r="C441" s="62" t="s">
        <v>115</v>
      </c>
      <c r="D441" s="62" t="s">
        <v>2192</v>
      </c>
      <c r="F441" s="703" t="s">
        <v>2350</v>
      </c>
      <c r="G441" s="57" t="s">
        <v>2373</v>
      </c>
      <c r="H441" s="159" t="s">
        <v>2193</v>
      </c>
      <c r="I441" s="434">
        <v>45643.0</v>
      </c>
      <c r="J441" s="772"/>
      <c r="K441" s="159" t="s">
        <v>2374</v>
      </c>
      <c r="L441" s="68"/>
      <c r="M441" s="159" t="s">
        <v>2353</v>
      </c>
      <c r="N441" s="159" t="s">
        <v>2354</v>
      </c>
      <c r="O441" s="156">
        <v>2.0</v>
      </c>
      <c r="P441" s="382" t="str">
        <f t="shared" si="26"/>
        <v>10.1006--obhd.1994.1063.pdf</v>
      </c>
      <c r="Q441" s="52" t="str">
        <f t="array" ref="Q441"> if(iserror(MATCH(V441, 'File Links'!C:C, 0)), "N/A", HYPERLINK(INDEX('File Links'!B:B, MATCH(P441, 'File Links'!C:C, 0))))</f>
        <v>https://drive.google.com/file/d/1S6Y_7EBTIU64tChcmNNePtGMO2jWzVGk/view?usp=drivesdk</v>
      </c>
      <c r="R441" s="159" t="s">
        <v>2356</v>
      </c>
      <c r="S441" s="159" t="s">
        <v>2357</v>
      </c>
      <c r="T441" s="68"/>
      <c r="U441" s="68"/>
      <c r="V441" s="382" t="str">
        <f t="shared" si="25"/>
        <v>10.17605--osf.io--b25tr.pdf</v>
      </c>
      <c r="W441" s="159" t="s">
        <v>2360</v>
      </c>
      <c r="X441" s="54" t="str">
        <f t="array" ref="X441"> if(iserror(MATCH(V441, 'File Links'!C:C, 0)), "N/A", HYPERLINK(INDEX('File Links'!B:B, MATCH(V441, 'File Links'!C:C, 0))))</f>
        <v>https://drive.google.com/file/d/1Z88YOxFUdjB_N8RWvlHzVruajODQTnic/view?usp=drivesdk</v>
      </c>
      <c r="Y441" s="68"/>
      <c r="Z441" s="159" t="s">
        <v>210</v>
      </c>
      <c r="AA441" s="159" t="s">
        <v>2361</v>
      </c>
      <c r="AB441" s="159" t="s">
        <v>2362</v>
      </c>
      <c r="AC441" s="159" t="s">
        <v>2363</v>
      </c>
      <c r="AD441" s="159" t="s">
        <v>2375</v>
      </c>
      <c r="AE441" s="156">
        <v>7.0</v>
      </c>
      <c r="AF441" s="156">
        <v>92.0</v>
      </c>
      <c r="AG441" s="156">
        <v>2.72</v>
      </c>
      <c r="AH441" s="339" t="s">
        <v>722</v>
      </c>
      <c r="AI441" s="49" t="str">
        <f t="shared" ref="AI441:AI442" si="27"> "=(" &amp; AI437 &amp; "/" &amp; AJ437 &amp; ")/(" &amp; AI438 &amp; "/" &amp; AJ438 &amp; ")"
</f>
        <v>=(p. 7/0.0305)/(/)</v>
      </c>
      <c r="AJ441" s="379">
        <v>0.025</v>
      </c>
      <c r="AK441" s="159" t="s">
        <v>135</v>
      </c>
      <c r="AL441" s="57" t="s">
        <v>186</v>
      </c>
      <c r="AM441" s="159" t="s">
        <v>137</v>
      </c>
      <c r="AN441" s="219" t="s">
        <v>138</v>
      </c>
      <c r="AO441" s="496">
        <v>1000.0</v>
      </c>
      <c r="AP441" s="496">
        <v>0.0</v>
      </c>
      <c r="AQ441" s="542" t="s">
        <v>2371</v>
      </c>
      <c r="AR441" s="481" t="s">
        <v>2366</v>
      </c>
      <c r="AS441" s="496">
        <v>1.0</v>
      </c>
      <c r="AT441" s="481" t="s">
        <v>172</v>
      </c>
      <c r="AU441" s="481" t="s">
        <v>186</v>
      </c>
      <c r="AV441" s="159" t="s">
        <v>137</v>
      </c>
      <c r="AW441" s="310" t="s">
        <v>2367</v>
      </c>
      <c r="AX441" s="680" t="s">
        <v>143</v>
      </c>
      <c r="AY441" s="61" t="str">
        <f>IFERROR(__xludf.DUMMYFUNCTION("vlookup(BB441,importrange(""https://docs.google.com/spreadsheets/d/1d2vevQ_7D_v35q4wCQ4RpQ_IPoTwEMB9Yp6ymwlPqew/edit?gid=984458430#gid=984458430"", ""'replication success'!A:K""), 11, FAlSE)"),"#N/A")</f>
        <v>#N/A</v>
      </c>
      <c r="AZ441" s="61" t="str">
        <f>IFERROR(__xludf.DUMMYFUNCTION("vlookup(BB441,importrange(""https://docs.google.com/spreadsheets/d/1d2vevQ_7D_v35q4wCQ4RpQ_IPoTwEMB9Yp6ymwlPqew/edit?gid=984458430#gid=984458430"", ""'replication success'!A:M""), 12, FAlSE)"),"#N/A")</f>
        <v>#N/A</v>
      </c>
      <c r="BA441" s="61" t="str">
        <f>IFERROR(__xludf.DUMMYFUNCTION("vlookup(BB441,importrange(""https://docs.google.com/spreadsheets/d/1d2vevQ_7D_v35q4wCQ4RpQ_IPoTwEMB9Yp6ymwlPqew/edit?gid=984458430#gid=984458430"", ""'replication success'!A:M""), 13, FAlSE)"),"#N/A")</f>
        <v>#N/A</v>
      </c>
      <c r="BB441" s="61" t="str">
        <f>IFERROR(__xludf.DUMMYFUNCTION("REGEXREPLACE(G441, ""_[a-z]{1,2}$"", """")"),"additional_studies64")</f>
        <v>additional_studies64</v>
      </c>
      <c r="BC441" s="68"/>
      <c r="BE441" s="107"/>
      <c r="BF441" s="107"/>
      <c r="BG441" s="107"/>
      <c r="BH441" s="107"/>
      <c r="BI441" s="107"/>
      <c r="BJ441" s="107"/>
      <c r="BK441" s="107"/>
      <c r="BL441" s="107"/>
      <c r="BM441" s="107"/>
      <c r="BN441" s="107"/>
      <c r="BO441" s="107"/>
      <c r="BP441" s="107"/>
      <c r="BQ441" s="107"/>
      <c r="BR441" s="107"/>
      <c r="BS441" s="107"/>
      <c r="BT441" s="107"/>
      <c r="BU441" s="107"/>
      <c r="BV441" s="107"/>
      <c r="BW441" s="107"/>
      <c r="BX441" s="107"/>
      <c r="BY441" s="107"/>
      <c r="BZ441" s="107"/>
      <c r="CA441" s="107"/>
      <c r="CB441" s="107"/>
      <c r="CC441" s="107"/>
      <c r="CD441" s="107"/>
      <c r="CE441" s="107"/>
      <c r="CF441" s="107"/>
      <c r="CG441" s="107"/>
      <c r="CH441" s="107"/>
      <c r="CI441" s="107"/>
      <c r="CJ441" s="107"/>
      <c r="CK441" s="107"/>
      <c r="CL441" s="107"/>
      <c r="CM441" s="107"/>
      <c r="CN441" s="107"/>
      <c r="CO441" s="107"/>
      <c r="CP441" s="107"/>
      <c r="CQ441" s="107"/>
      <c r="CR441" s="107"/>
      <c r="CS441" s="107"/>
      <c r="CT441" s="107"/>
      <c r="CU441" s="107"/>
      <c r="CV441" s="107"/>
      <c r="CW441" s="107"/>
      <c r="CX441" s="107"/>
      <c r="CY441" s="107"/>
      <c r="CZ441" s="107"/>
      <c r="DA441" s="107"/>
      <c r="DB441" s="107"/>
      <c r="DC441" s="107"/>
      <c r="DD441" s="107"/>
      <c r="DE441" s="107"/>
      <c r="DF441" s="107"/>
      <c r="DG441" s="107"/>
      <c r="DH441" s="107"/>
      <c r="DI441" s="107"/>
      <c r="DJ441" s="107"/>
      <c r="DK441" s="107"/>
      <c r="DL441" s="107"/>
    </row>
    <row r="442" ht="20.25" customHeight="1">
      <c r="A442" s="44">
        <v>442.0</v>
      </c>
      <c r="B442" s="62" t="s">
        <v>114</v>
      </c>
      <c r="C442" s="62" t="s">
        <v>115</v>
      </c>
      <c r="D442" s="62" t="s">
        <v>2192</v>
      </c>
      <c r="F442" s="703" t="s">
        <v>2350</v>
      </c>
      <c r="G442" s="57" t="s">
        <v>2376</v>
      </c>
      <c r="H442" s="159" t="s">
        <v>2193</v>
      </c>
      <c r="I442" s="434">
        <v>45643.0</v>
      </c>
      <c r="J442" s="772"/>
      <c r="K442" s="159" t="s">
        <v>2377</v>
      </c>
      <c r="L442" s="68"/>
      <c r="M442" s="159" t="s">
        <v>2353</v>
      </c>
      <c r="N442" s="159" t="s">
        <v>2354</v>
      </c>
      <c r="O442" s="156">
        <v>2.0</v>
      </c>
      <c r="P442" s="382" t="str">
        <f t="shared" si="26"/>
        <v>10.1006--obhd.1994.1063.pdf</v>
      </c>
      <c r="Q442" s="52" t="str">
        <f t="array" ref="Q442"> if(iserror(MATCH(V442, 'File Links'!C:C, 0)), "N/A", HYPERLINK(INDEX('File Links'!B:B, MATCH(P442, 'File Links'!C:C, 0))))</f>
        <v>https://drive.google.com/file/d/1S6Y_7EBTIU64tChcmNNePtGMO2jWzVGk/view?usp=drivesdk</v>
      </c>
      <c r="R442" s="159" t="s">
        <v>2356</v>
      </c>
      <c r="S442" s="159" t="s">
        <v>2357</v>
      </c>
      <c r="T442" s="68"/>
      <c r="U442" s="68"/>
      <c r="V442" s="382" t="str">
        <f t="shared" si="25"/>
        <v>10.17605--osf.io--b25tr.pdf</v>
      </c>
      <c r="W442" s="159" t="s">
        <v>2360</v>
      </c>
      <c r="X442" s="54" t="str">
        <f t="array" ref="X442"> if(iserror(MATCH(V442, 'File Links'!C:C, 0)), "N/A", HYPERLINK(INDEX('File Links'!B:B, MATCH(V442, 'File Links'!C:C, 0))))</f>
        <v>https://drive.google.com/file/d/1Z88YOxFUdjB_N8RWvlHzVruajODQTnic/view?usp=drivesdk</v>
      </c>
      <c r="Y442" s="68"/>
      <c r="Z442" s="159" t="s">
        <v>210</v>
      </c>
      <c r="AA442" s="159" t="s">
        <v>2361</v>
      </c>
      <c r="AB442" s="159" t="s">
        <v>2362</v>
      </c>
      <c r="AC442" s="68"/>
      <c r="AD442" s="159" t="s">
        <v>2375</v>
      </c>
      <c r="AE442" s="156">
        <v>7.0</v>
      </c>
      <c r="AF442" s="156">
        <v>92.0</v>
      </c>
      <c r="AG442" s="156">
        <v>2.72</v>
      </c>
      <c r="AH442" s="339" t="s">
        <v>722</v>
      </c>
      <c r="AI442" s="49" t="str">
        <f t="shared" si="27"/>
        <v>=(/)/(p. 5/0.01)</v>
      </c>
      <c r="AJ442" s="379">
        <v>0.025</v>
      </c>
      <c r="AK442" s="159" t="s">
        <v>135</v>
      </c>
      <c r="AL442" s="57" t="s">
        <v>186</v>
      </c>
      <c r="AM442" s="159" t="s">
        <v>137</v>
      </c>
      <c r="AN442" s="219" t="s">
        <v>138</v>
      </c>
      <c r="AO442" s="496">
        <v>1000.0</v>
      </c>
      <c r="AP442" s="496">
        <v>-0.14</v>
      </c>
      <c r="AQ442" s="542" t="s">
        <v>2371</v>
      </c>
      <c r="AR442" s="481" t="s">
        <v>2372</v>
      </c>
      <c r="AS442" s="496">
        <v>0.027</v>
      </c>
      <c r="AT442" s="481" t="s">
        <v>172</v>
      </c>
      <c r="AU442" s="481" t="s">
        <v>186</v>
      </c>
      <c r="AV442" s="159" t="s">
        <v>137</v>
      </c>
      <c r="AW442" s="310" t="s">
        <v>2367</v>
      </c>
      <c r="AX442" s="680" t="s">
        <v>151</v>
      </c>
      <c r="AY442" s="61" t="str">
        <f>IFERROR(__xludf.DUMMYFUNCTION("vlookup(BB442,importrange(""https://docs.google.com/spreadsheets/d/1d2vevQ_7D_v35q4wCQ4RpQ_IPoTwEMB9Yp6ymwlPqew/edit?gid=984458430#gid=984458430"", ""'replication success'!A:K""), 11, FAlSE)"),"#N/A")</f>
        <v>#N/A</v>
      </c>
      <c r="AZ442" s="61" t="str">
        <f>IFERROR(__xludf.DUMMYFUNCTION("vlookup(BB442,importrange(""https://docs.google.com/spreadsheets/d/1d2vevQ_7D_v35q4wCQ4RpQ_IPoTwEMB9Yp6ymwlPqew/edit?gid=984458430#gid=984458430"", ""'replication success'!A:M""), 12, FAlSE)"),"#N/A")</f>
        <v>#N/A</v>
      </c>
      <c r="BA442" s="61" t="str">
        <f>IFERROR(__xludf.DUMMYFUNCTION("vlookup(BB442,importrange(""https://docs.google.com/spreadsheets/d/1d2vevQ_7D_v35q4wCQ4RpQ_IPoTwEMB9Yp6ymwlPqew/edit?gid=984458430#gid=984458430"", ""'replication success'!A:M""), 13, FAlSE)"),"#N/A")</f>
        <v>#N/A</v>
      </c>
      <c r="BB442" s="61" t="str">
        <f>IFERROR(__xludf.DUMMYFUNCTION("REGEXREPLACE(G442, ""_[a-z]{1,2}$"", """")"),"additional_studies64")</f>
        <v>additional_studies64</v>
      </c>
      <c r="BC442" s="68"/>
      <c r="BE442" s="71"/>
      <c r="BF442" s="71"/>
      <c r="BG442" s="71"/>
      <c r="BH442" s="71"/>
      <c r="BI442" s="71"/>
      <c r="BJ442" s="71"/>
      <c r="BK442" s="71"/>
      <c r="BL442" s="71"/>
      <c r="BM442" s="71"/>
      <c r="BN442" s="71"/>
      <c r="BO442" s="71"/>
      <c r="BP442" s="71"/>
      <c r="BQ442" s="71"/>
      <c r="BR442" s="71"/>
      <c r="BS442" s="71"/>
      <c r="BT442" s="71"/>
      <c r="BU442" s="71"/>
      <c r="BV442" s="71"/>
      <c r="BW442" s="71"/>
      <c r="BX442" s="71"/>
      <c r="BY442" s="71"/>
      <c r="BZ442" s="71"/>
      <c r="CA442" s="71"/>
      <c r="CB442" s="71"/>
      <c r="CC442" s="71"/>
      <c r="CD442" s="71"/>
      <c r="CE442" s="71"/>
      <c r="CF442" s="71"/>
      <c r="CG442" s="71"/>
      <c r="CH442" s="71"/>
      <c r="CI442" s="71"/>
      <c r="CJ442" s="71"/>
      <c r="CK442" s="71"/>
      <c r="CL442" s="71"/>
      <c r="CM442" s="71"/>
      <c r="CN442" s="71"/>
      <c r="CO442" s="71"/>
      <c r="CP442" s="71"/>
      <c r="CQ442" s="71"/>
      <c r="CR442" s="71"/>
      <c r="CS442" s="71"/>
      <c r="CT442" s="71"/>
      <c r="CU442" s="71"/>
      <c r="CV442" s="71"/>
      <c r="CW442" s="71"/>
      <c r="CX442" s="71"/>
      <c r="CY442" s="71"/>
      <c r="CZ442" s="71"/>
      <c r="DA442" s="71"/>
      <c r="DB442" s="71"/>
      <c r="DC442" s="71"/>
      <c r="DD442" s="71"/>
      <c r="DE442" s="71"/>
      <c r="DF442" s="71"/>
      <c r="DG442" s="71"/>
      <c r="DH442" s="71"/>
      <c r="DI442" s="71"/>
      <c r="DJ442" s="71"/>
      <c r="DK442" s="71"/>
      <c r="DL442" s="71"/>
    </row>
    <row r="443" ht="20.25" customHeight="1">
      <c r="A443" s="44">
        <v>443.0</v>
      </c>
      <c r="B443" s="62" t="s">
        <v>114</v>
      </c>
      <c r="C443" s="62" t="s">
        <v>115</v>
      </c>
      <c r="D443" s="62" t="s">
        <v>2192</v>
      </c>
      <c r="F443" s="703" t="s">
        <v>2350</v>
      </c>
      <c r="G443" s="57" t="s">
        <v>2378</v>
      </c>
      <c r="H443" s="159" t="s">
        <v>2193</v>
      </c>
      <c r="I443" s="434">
        <v>45643.0</v>
      </c>
      <c r="J443" s="772"/>
      <c r="K443" s="159" t="s">
        <v>2379</v>
      </c>
      <c r="L443" s="68"/>
      <c r="M443" s="159" t="s">
        <v>2353</v>
      </c>
      <c r="N443" s="159" t="s">
        <v>2354</v>
      </c>
      <c r="O443" s="156">
        <v>3.0</v>
      </c>
      <c r="P443" s="382" t="str">
        <f t="shared" si="26"/>
        <v>10.1006--obhd.1994.1063.pdf</v>
      </c>
      <c r="Q443" s="52" t="str">
        <f t="array" ref="Q443"> if(iserror(MATCH(V443, 'File Links'!C:C, 0)), "N/A", HYPERLINK(INDEX('File Links'!B:B, MATCH(P443, 'File Links'!C:C, 0))))</f>
        <v>https://drive.google.com/file/d/1S6Y_7EBTIU64tChcmNNePtGMO2jWzVGk/view?usp=drivesdk</v>
      </c>
      <c r="R443" s="159" t="s">
        <v>2356</v>
      </c>
      <c r="S443" s="159" t="s">
        <v>2357</v>
      </c>
      <c r="T443" s="68"/>
      <c r="U443" s="68"/>
      <c r="V443" s="382" t="str">
        <f t="shared" si="25"/>
        <v>10.17605--osf.io--b25tr.pdf</v>
      </c>
      <c r="W443" s="159" t="s">
        <v>2360</v>
      </c>
      <c r="X443" s="54" t="str">
        <f t="array" ref="X443"> if(iserror(MATCH(V443, 'File Links'!C:C, 0)), "N/A", HYPERLINK(INDEX('File Links'!B:B, MATCH(V443, 'File Links'!C:C, 0))))</f>
        <v>https://drive.google.com/file/d/1Z88YOxFUdjB_N8RWvlHzVruajODQTnic/view?usp=drivesdk</v>
      </c>
      <c r="Y443" s="68"/>
      <c r="Z443" s="159" t="s">
        <v>210</v>
      </c>
      <c r="AA443" s="159" t="s">
        <v>2361</v>
      </c>
      <c r="AB443" s="159" t="s">
        <v>2362</v>
      </c>
      <c r="AC443" s="159" t="s">
        <v>2380</v>
      </c>
      <c r="AD443" s="159" t="s">
        <v>2381</v>
      </c>
      <c r="AE443" s="156">
        <v>8.0</v>
      </c>
      <c r="AF443" s="156">
        <v>67.0</v>
      </c>
      <c r="AG443" s="156">
        <v>1.195</v>
      </c>
      <c r="AH443" s="339" t="s">
        <v>722</v>
      </c>
      <c r="AI443" s="49" t="str">
        <f t="shared" ref="AI443:AI444" si="28"> "=(" &amp; AI438 &amp; "/" &amp; AJ438 &amp; ")/(" &amp; AI439 &amp; "/" &amp; AJ439 &amp; ")"
</f>
        <v>=(/)/(p. 5/0.01)</v>
      </c>
      <c r="AJ443" s="57" t="s">
        <v>2382</v>
      </c>
      <c r="AK443" s="68"/>
      <c r="AL443" s="57" t="s">
        <v>186</v>
      </c>
      <c r="AM443" s="159" t="s">
        <v>137</v>
      </c>
      <c r="AN443" s="219" t="s">
        <v>138</v>
      </c>
      <c r="AO443" s="496">
        <v>1000.0</v>
      </c>
      <c r="AP443" s="496">
        <v>0.05</v>
      </c>
      <c r="AQ443" s="542" t="s">
        <v>2371</v>
      </c>
      <c r="AR443" s="542" t="s">
        <v>2366</v>
      </c>
      <c r="AS443" s="496">
        <v>0.146</v>
      </c>
      <c r="AT443" s="481" t="s">
        <v>172</v>
      </c>
      <c r="AU443" s="481" t="s">
        <v>186</v>
      </c>
      <c r="AV443" s="159" t="s">
        <v>137</v>
      </c>
      <c r="AW443" s="310" t="s">
        <v>2367</v>
      </c>
      <c r="AX443" s="680" t="s">
        <v>143</v>
      </c>
      <c r="AY443" s="61" t="str">
        <f>IFERROR(__xludf.DUMMYFUNCTION("vlookup(BB443,importrange(""https://docs.google.com/spreadsheets/d/1d2vevQ_7D_v35q4wCQ4RpQ_IPoTwEMB9Yp6ymwlPqew/edit?gid=984458430#gid=984458430"", ""'replication success'!A:K""), 11, FAlSE)"),"#N/A")</f>
        <v>#N/A</v>
      </c>
      <c r="AZ443" s="61" t="str">
        <f>IFERROR(__xludf.DUMMYFUNCTION("vlookup(BB443,importrange(""https://docs.google.com/spreadsheets/d/1d2vevQ_7D_v35q4wCQ4RpQ_IPoTwEMB9Yp6ymwlPqew/edit?gid=984458430#gid=984458430"", ""'replication success'!A:M""), 12, FAlSE)"),"#N/A")</f>
        <v>#N/A</v>
      </c>
      <c r="BA443" s="61" t="str">
        <f>IFERROR(__xludf.DUMMYFUNCTION("vlookup(BB443,importrange(""https://docs.google.com/spreadsheets/d/1d2vevQ_7D_v35q4wCQ4RpQ_IPoTwEMB9Yp6ymwlPqew/edit?gid=984458430#gid=984458430"", ""'replication success'!A:M""), 13, FAlSE)"),"#N/A")</f>
        <v>#N/A</v>
      </c>
      <c r="BB443" s="61" t="str">
        <f>IFERROR(__xludf.DUMMYFUNCTION("REGEXREPLACE(G443, ""_[a-z]{1,2}$"", """")"),"additional_studies64")</f>
        <v>additional_studies64</v>
      </c>
      <c r="BC443" s="68"/>
    </row>
    <row r="444" ht="20.25" customHeight="1">
      <c r="A444" s="44">
        <v>444.0</v>
      </c>
      <c r="B444" s="62" t="s">
        <v>114</v>
      </c>
      <c r="C444" s="62" t="s">
        <v>115</v>
      </c>
      <c r="D444" s="62" t="s">
        <v>2192</v>
      </c>
      <c r="F444" s="703" t="s">
        <v>2350</v>
      </c>
      <c r="G444" s="57" t="s">
        <v>2383</v>
      </c>
      <c r="H444" s="159" t="s">
        <v>2193</v>
      </c>
      <c r="I444" s="434">
        <v>45643.0</v>
      </c>
      <c r="J444" s="772"/>
      <c r="K444" s="159" t="s">
        <v>2384</v>
      </c>
      <c r="L444" s="68"/>
      <c r="M444" s="159" t="s">
        <v>2353</v>
      </c>
      <c r="N444" s="159" t="s">
        <v>2354</v>
      </c>
      <c r="O444" s="156">
        <v>3.0</v>
      </c>
      <c r="P444" s="382" t="str">
        <f t="shared" si="26"/>
        <v>10.1006--obhd.1994.1063.pdf</v>
      </c>
      <c r="Q444" s="52" t="str">
        <f t="array" ref="Q444"> if(iserror(MATCH(V444, 'File Links'!C:C, 0)), "N/A", HYPERLINK(INDEX('File Links'!B:B, MATCH(P444, 'File Links'!C:C, 0))))</f>
        <v>https://drive.google.com/file/d/1S6Y_7EBTIU64tChcmNNePtGMO2jWzVGk/view?usp=drivesdk</v>
      </c>
      <c r="R444" s="159" t="s">
        <v>2356</v>
      </c>
      <c r="S444" s="159" t="s">
        <v>2357</v>
      </c>
      <c r="T444" s="68"/>
      <c r="U444" s="68"/>
      <c r="V444" s="382" t="str">
        <f t="shared" si="25"/>
        <v>10.17605--osf.io--b25tr.pdf</v>
      </c>
      <c r="W444" s="159" t="s">
        <v>2360</v>
      </c>
      <c r="X444" s="54" t="str">
        <f t="array" ref="X444"> if(iserror(MATCH(V444, 'File Links'!C:C, 0)), "N/A", HYPERLINK(INDEX('File Links'!B:B, MATCH(V444, 'File Links'!C:C, 0))))</f>
        <v>https://drive.google.com/file/d/1Z88YOxFUdjB_N8RWvlHzVruajODQTnic/view?usp=drivesdk</v>
      </c>
      <c r="Y444" s="68"/>
      <c r="Z444" s="159" t="s">
        <v>210</v>
      </c>
      <c r="AA444" s="159" t="s">
        <v>2361</v>
      </c>
      <c r="AB444" s="159" t="s">
        <v>2362</v>
      </c>
      <c r="AC444" s="159" t="s">
        <v>2380</v>
      </c>
      <c r="AD444" s="159" t="s">
        <v>2381</v>
      </c>
      <c r="AE444" s="156">
        <v>8.0</v>
      </c>
      <c r="AF444" s="156">
        <v>67.0</v>
      </c>
      <c r="AG444" s="156">
        <v>1.195</v>
      </c>
      <c r="AH444" s="339" t="s">
        <v>722</v>
      </c>
      <c r="AI444" s="49" t="str">
        <f t="shared" si="28"/>
        <v>=(p. 5/0.01)/(p. 5/0.01)</v>
      </c>
      <c r="AJ444" s="57" t="s">
        <v>2382</v>
      </c>
      <c r="AK444" s="68"/>
      <c r="AL444" s="57" t="s">
        <v>186</v>
      </c>
      <c r="AM444" s="159" t="s">
        <v>137</v>
      </c>
      <c r="AN444" s="219" t="s">
        <v>138</v>
      </c>
      <c r="AO444" s="496">
        <v>1000.0</v>
      </c>
      <c r="AP444" s="496">
        <v>0.06</v>
      </c>
      <c r="AQ444" s="542" t="s">
        <v>2371</v>
      </c>
      <c r="AR444" s="481" t="s">
        <v>2372</v>
      </c>
      <c r="AS444" s="496">
        <v>0.381</v>
      </c>
      <c r="AT444" s="481" t="s">
        <v>172</v>
      </c>
      <c r="AU444" s="481" t="s">
        <v>186</v>
      </c>
      <c r="AV444" s="159" t="s">
        <v>137</v>
      </c>
      <c r="AW444" s="310" t="s">
        <v>2367</v>
      </c>
      <c r="AX444" s="680" t="s">
        <v>151</v>
      </c>
      <c r="AY444" s="61" t="str">
        <f>IFERROR(__xludf.DUMMYFUNCTION("vlookup(BB444,importrange(""https://docs.google.com/spreadsheets/d/1d2vevQ_7D_v35q4wCQ4RpQ_IPoTwEMB9Yp6ymwlPqew/edit?gid=984458430#gid=984458430"", ""'replication success'!A:K""), 11, FAlSE)"),"#N/A")</f>
        <v>#N/A</v>
      </c>
      <c r="AZ444" s="61" t="str">
        <f>IFERROR(__xludf.DUMMYFUNCTION("vlookup(BB444,importrange(""https://docs.google.com/spreadsheets/d/1d2vevQ_7D_v35q4wCQ4RpQ_IPoTwEMB9Yp6ymwlPqew/edit?gid=984458430#gid=984458430"", ""'replication success'!A:M""), 12, FAlSE)"),"#N/A")</f>
        <v>#N/A</v>
      </c>
      <c r="BA444" s="61" t="str">
        <f>IFERROR(__xludf.DUMMYFUNCTION("vlookup(BB444,importrange(""https://docs.google.com/spreadsheets/d/1d2vevQ_7D_v35q4wCQ4RpQ_IPoTwEMB9Yp6ymwlPqew/edit?gid=984458430#gid=984458430"", ""'replication success'!A:M""), 13, FAlSE)"),"#N/A")</f>
        <v>#N/A</v>
      </c>
      <c r="BB444" s="61" t="str">
        <f>IFERROR(__xludf.DUMMYFUNCTION("REGEXREPLACE(G444, ""_[a-z]{1,2}$"", """")"),"additional_studies64")</f>
        <v>additional_studies64</v>
      </c>
      <c r="BC444" s="68"/>
    </row>
    <row r="445" ht="20.25" customHeight="1">
      <c r="A445" s="44">
        <v>445.0</v>
      </c>
      <c r="B445" s="325" t="s">
        <v>114</v>
      </c>
      <c r="C445" s="325" t="s">
        <v>115</v>
      </c>
      <c r="D445" s="325" t="s">
        <v>1810</v>
      </c>
      <c r="E445" s="226"/>
      <c r="F445" s="244" t="s">
        <v>2385</v>
      </c>
      <c r="G445" s="412" t="s">
        <v>2386</v>
      </c>
      <c r="H445" s="412" t="s">
        <v>1811</v>
      </c>
      <c r="I445" s="659">
        <v>45642.0</v>
      </c>
      <c r="J445" s="170">
        <v>45681.0</v>
      </c>
      <c r="K445" s="412" t="s">
        <v>2387</v>
      </c>
      <c r="L445" s="390"/>
      <c r="M445" s="412" t="s">
        <v>2388</v>
      </c>
      <c r="N445" s="412" t="s">
        <v>2389</v>
      </c>
      <c r="O445" s="390"/>
      <c r="P445" s="660" t="str">
        <f t="shared" si="26"/>
        <v>10.1007--s10857-015-9324-9.pdf</v>
      </c>
      <c r="Q445" s="52" t="str">
        <f t="array" ref="Q445"> if(iserror(MATCH(V445, 'File Links'!C:C, 0)), "N/A", HYPERLINK(INDEX('File Links'!B:B, MATCH(P445, 'File Links'!C:C, 0))))</f>
        <v>https://drive.google.com/file/d/1JnjkuBqFgDqAEzZj1VnXDDzpULzqwUY4/view?usp=drivesdk</v>
      </c>
      <c r="R445" s="412" t="s">
        <v>2390</v>
      </c>
      <c r="S445" s="412" t="s">
        <v>2391</v>
      </c>
      <c r="T445" s="390"/>
      <c r="U445" s="662"/>
      <c r="V445" s="412" t="str">
        <f t="shared" si="25"/>
        <v>10.1016--j.jmathb.2024.101174.pdf</v>
      </c>
      <c r="W445" s="390"/>
      <c r="X445" s="54" t="str">
        <f t="array" ref="X445"> if(iserror(MATCH(V445, 'File Links'!C:C, 0)), "N/A", HYPERLINK(INDEX('File Links'!B:B, MATCH(V445, 'File Links'!C:C, 0))))</f>
        <v>https://drive.google.com/file/d/1BxRopi0OntYhPQcXKMEC5xqZoDEptVYd/view?usp=drivesdk</v>
      </c>
      <c r="Z445" s="390"/>
      <c r="AA445" s="390"/>
      <c r="AB445" s="390"/>
      <c r="AC445" s="390"/>
      <c r="AD445" s="390"/>
      <c r="AE445" s="390"/>
      <c r="AF445" s="335">
        <v>13.0</v>
      </c>
      <c r="AG445" s="390"/>
      <c r="AH445" s="662"/>
      <c r="AI445" s="330"/>
      <c r="AJ445" s="390"/>
      <c r="AK445" s="331"/>
      <c r="AL445" s="773" t="s">
        <v>138</v>
      </c>
      <c r="AM445" s="773" t="s">
        <v>138</v>
      </c>
      <c r="AN445" s="219" t="s">
        <v>138</v>
      </c>
      <c r="AO445" s="390"/>
      <c r="AP445" s="390"/>
      <c r="AQ445" s="390"/>
      <c r="AR445" s="390"/>
      <c r="AS445" s="390"/>
      <c r="AT445" s="331"/>
      <c r="AU445" s="774" t="s">
        <v>138</v>
      </c>
      <c r="AV445" s="774" t="s">
        <v>138</v>
      </c>
      <c r="AW445" s="331"/>
      <c r="AX445" s="331"/>
      <c r="AY445" s="61" t="str">
        <f>IFERROR(__xludf.DUMMYFUNCTION("vlookup(BB445,importrange(""https://docs.google.com/spreadsheets/d/1d2vevQ_7D_v35q4wCQ4RpQ_IPoTwEMB9Yp6ymwlPqew/edit?gid=984458430#gid=984458430"", ""'replication success'!A:K""), 11, FAlSE)"),"#N/A")</f>
        <v>#N/A</v>
      </c>
      <c r="AZ445" s="61" t="str">
        <f>IFERROR(__xludf.DUMMYFUNCTION("vlookup(BB445,importrange(""https://docs.google.com/spreadsheets/d/1d2vevQ_7D_v35q4wCQ4RpQ_IPoTwEMB9Yp6ymwlPqew/edit?gid=984458430#gid=984458430"", ""'replication success'!A:M""), 12, FAlSE)"),"#N/A")</f>
        <v>#N/A</v>
      </c>
      <c r="BA445" s="61" t="str">
        <f>IFERROR(__xludf.DUMMYFUNCTION("vlookup(BB445,importrange(""https://docs.google.com/spreadsheets/d/1d2vevQ_7D_v35q4wCQ4RpQ_IPoTwEMB9Yp6ymwlPqew/edit?gid=984458430#gid=984458430"", ""'replication success'!A:M""), 13, FAlSE)"),"#N/A")</f>
        <v>#N/A</v>
      </c>
      <c r="BB445" s="61" t="str">
        <f>IFERROR(__xludf.DUMMYFUNCTION("REGEXREPLACE(G445, ""_[a-z]{1,2}$"", """")"),"additional_studies73")</f>
        <v>additional_studies73</v>
      </c>
      <c r="BC445" s="61"/>
      <c r="BD445" s="325" t="s">
        <v>144</v>
      </c>
      <c r="BE445" s="468"/>
      <c r="BF445" s="468"/>
      <c r="BG445" s="468"/>
      <c r="BH445" s="468"/>
      <c r="BI445" s="468"/>
      <c r="BJ445" s="468"/>
      <c r="BK445" s="468"/>
      <c r="BL445" s="468"/>
      <c r="BM445" s="468"/>
      <c r="BN445" s="468"/>
      <c r="BO445" s="468"/>
      <c r="BP445" s="468"/>
      <c r="BQ445" s="468"/>
      <c r="BR445" s="468"/>
      <c r="BS445" s="468"/>
      <c r="BT445" s="468"/>
      <c r="BU445" s="468"/>
      <c r="BV445" s="468"/>
      <c r="BW445" s="468"/>
      <c r="BX445" s="468"/>
      <c r="BY445" s="468"/>
      <c r="BZ445" s="468"/>
      <c r="CA445" s="468"/>
      <c r="CB445" s="468"/>
      <c r="CC445" s="468"/>
      <c r="CD445" s="468"/>
      <c r="CE445" s="468"/>
      <c r="CF445" s="468"/>
      <c r="CG445" s="468"/>
      <c r="CH445" s="468"/>
      <c r="CI445" s="468"/>
      <c r="CJ445" s="468"/>
      <c r="CK445" s="468"/>
      <c r="CL445" s="468"/>
      <c r="CM445" s="468"/>
      <c r="CN445" s="468"/>
      <c r="CO445" s="468"/>
      <c r="CP445" s="468"/>
      <c r="CQ445" s="468"/>
      <c r="CR445" s="468"/>
      <c r="CS445" s="468"/>
      <c r="CT445" s="468"/>
      <c r="CU445" s="468"/>
      <c r="CV445" s="468"/>
      <c r="CW445" s="468"/>
      <c r="CX445" s="468"/>
      <c r="CY445" s="468"/>
      <c r="CZ445" s="468"/>
      <c r="DA445" s="468"/>
      <c r="DB445" s="468"/>
      <c r="DC445" s="468"/>
      <c r="DD445" s="468"/>
      <c r="DE445" s="468"/>
      <c r="DF445" s="468"/>
      <c r="DG445" s="468"/>
      <c r="DH445" s="468"/>
      <c r="DI445" s="468"/>
      <c r="DJ445" s="468"/>
      <c r="DK445" s="468"/>
      <c r="DL445" s="468"/>
    </row>
    <row r="446" ht="20.25" customHeight="1">
      <c r="A446" s="44">
        <v>446.0</v>
      </c>
      <c r="B446" s="325" t="s">
        <v>2013</v>
      </c>
      <c r="C446" s="325" t="s">
        <v>115</v>
      </c>
      <c r="D446" s="325" t="s">
        <v>2192</v>
      </c>
      <c r="E446" s="226"/>
      <c r="F446" s="244" t="s">
        <v>2385</v>
      </c>
      <c r="G446" s="412" t="s">
        <v>2386</v>
      </c>
      <c r="H446" s="244" t="s">
        <v>2193</v>
      </c>
      <c r="I446" s="659">
        <v>45661.0</v>
      </c>
      <c r="J446" s="170">
        <v>45681.0</v>
      </c>
      <c r="K446" s="244" t="s">
        <v>2392</v>
      </c>
      <c r="L446" s="331"/>
      <c r="M446" s="411" t="s">
        <v>2393</v>
      </c>
      <c r="N446" s="244" t="s">
        <v>2389</v>
      </c>
      <c r="O446" s="331"/>
      <c r="P446" s="244" t="str">
        <f t="shared" si="26"/>
        <v>10.1007--s10857-015-9324-9.pdf</v>
      </c>
      <c r="Q446" s="52" t="str">
        <f t="array" ref="Q446"> if(iserror(MATCH(V446, 'File Links'!C:C, 0)), "N/A", HYPERLINK(INDEX('File Links'!B:B, MATCH(P446, 'File Links'!C:C, 0))))</f>
        <v>https://drive.google.com/file/d/1JnjkuBqFgDqAEzZj1VnXDDzpULzqwUY4/view?usp=drivesdk</v>
      </c>
      <c r="R446" s="244" t="s">
        <v>2390</v>
      </c>
      <c r="S446" s="244" t="s">
        <v>2391</v>
      </c>
      <c r="T446" s="331"/>
      <c r="U446" s="331"/>
      <c r="V446" s="244" t="str">
        <f t="shared" si="25"/>
        <v>10.1016--j.jmathb.2024.101174.pdf</v>
      </c>
      <c r="W446" s="244" t="s">
        <v>2394</v>
      </c>
      <c r="X446" s="54" t="str">
        <f t="array" ref="X446"> if(iserror(MATCH(V446, 'File Links'!C:C, 0)), "N/A", HYPERLINK(INDEX('File Links'!B:B, MATCH(V446, 'File Links'!C:C, 0))))</f>
        <v>https://drive.google.com/file/d/1BxRopi0OntYhPQcXKMEC5xqZoDEptVYd/view?usp=drivesdk</v>
      </c>
      <c r="Z446" s="244" t="s">
        <v>241</v>
      </c>
      <c r="AA446" s="244" t="s">
        <v>2395</v>
      </c>
      <c r="AB446" s="244" t="s">
        <v>2396</v>
      </c>
      <c r="AC446" s="331"/>
      <c r="AD446" s="330" t="s">
        <v>2397</v>
      </c>
      <c r="AE446" s="330" t="s">
        <v>2398</v>
      </c>
      <c r="AF446" s="334">
        <v>13.0</v>
      </c>
      <c r="AG446" s="335" t="s">
        <v>138</v>
      </c>
      <c r="AH446" s="167" t="s">
        <v>138</v>
      </c>
      <c r="AI446" s="335">
        <v>8.0</v>
      </c>
      <c r="AJ446" s="335" t="s">
        <v>138</v>
      </c>
      <c r="AK446" s="775" t="s">
        <v>138</v>
      </c>
      <c r="AL446" s="775" t="s">
        <v>138</v>
      </c>
      <c r="AM446" s="775" t="s">
        <v>138</v>
      </c>
      <c r="AN446" s="335" t="s">
        <v>138</v>
      </c>
      <c r="AO446" s="335">
        <v>15.0</v>
      </c>
      <c r="AP446" s="335" t="s">
        <v>138</v>
      </c>
      <c r="AQ446" s="335" t="s">
        <v>138</v>
      </c>
      <c r="AR446" s="335" t="s">
        <v>812</v>
      </c>
      <c r="AS446" s="335" t="s">
        <v>138</v>
      </c>
      <c r="AT446" s="776" t="s">
        <v>138</v>
      </c>
      <c r="AU446" s="776" t="s">
        <v>138</v>
      </c>
      <c r="AV446" s="776" t="s">
        <v>138</v>
      </c>
      <c r="AW446" s="335" t="s">
        <v>138</v>
      </c>
      <c r="AX446" s="777" t="s">
        <v>151</v>
      </c>
      <c r="AY446" s="61" t="str">
        <f>IFERROR(__xludf.DUMMYFUNCTION("vlookup(BB446,importrange(""https://docs.google.com/spreadsheets/d/1d2vevQ_7D_v35q4wCQ4RpQ_IPoTwEMB9Yp6ymwlPqew/edit?gid=984458430#gid=984458430"", ""'replication success'!A:K""), 11, FAlSE)"),"#N/A")</f>
        <v>#N/A</v>
      </c>
      <c r="AZ446" s="61" t="str">
        <f>IFERROR(__xludf.DUMMYFUNCTION("vlookup(BB446,importrange(""https://docs.google.com/spreadsheets/d/1d2vevQ_7D_v35q4wCQ4RpQ_IPoTwEMB9Yp6ymwlPqew/edit?gid=984458430#gid=984458430"", ""'replication success'!A:M""), 12, FAlSE)"),"#N/A")</f>
        <v>#N/A</v>
      </c>
      <c r="BA446" s="61" t="str">
        <f>IFERROR(__xludf.DUMMYFUNCTION("vlookup(BB446,importrange(""https://docs.google.com/spreadsheets/d/1d2vevQ_7D_v35q4wCQ4RpQ_IPoTwEMB9Yp6ymwlPqew/edit?gid=984458430#gid=984458430"", ""'replication success'!A:M""), 13, FAlSE)"),"#N/A")</f>
        <v>#N/A</v>
      </c>
      <c r="BB446" s="61" t="str">
        <f>IFERROR(__xludf.DUMMYFUNCTION("REGEXREPLACE(G446, ""_[a-z]{1,2}$"", """")"),"additional_studies73")</f>
        <v>additional_studies73</v>
      </c>
      <c r="BC446" s="68"/>
      <c r="BD446" s="325" t="s">
        <v>144</v>
      </c>
      <c r="BE446" s="484"/>
      <c r="BF446" s="484"/>
      <c r="BG446" s="484"/>
      <c r="BH446" s="484"/>
      <c r="BI446" s="484"/>
      <c r="BJ446" s="484"/>
      <c r="BK446" s="484"/>
      <c r="BL446" s="484"/>
      <c r="BM446" s="484"/>
      <c r="BN446" s="484"/>
      <c r="BO446" s="484"/>
      <c r="BP446" s="484"/>
      <c r="BQ446" s="484"/>
      <c r="BR446" s="484"/>
      <c r="BS446" s="484"/>
      <c r="BT446" s="484"/>
      <c r="BU446" s="484"/>
      <c r="BV446" s="484"/>
      <c r="BW446" s="484"/>
      <c r="BX446" s="484"/>
      <c r="BY446" s="484"/>
      <c r="BZ446" s="484"/>
      <c r="CA446" s="484"/>
      <c r="CB446" s="484"/>
      <c r="CC446" s="484"/>
      <c r="CD446" s="484"/>
      <c r="CE446" s="484"/>
      <c r="CF446" s="484"/>
      <c r="CG446" s="484"/>
      <c r="CH446" s="484"/>
      <c r="CI446" s="484"/>
      <c r="CJ446" s="484"/>
      <c r="CK446" s="484"/>
      <c r="CL446" s="484"/>
      <c r="CM446" s="484"/>
      <c r="CN446" s="484"/>
      <c r="CO446" s="484"/>
      <c r="CP446" s="484"/>
      <c r="CQ446" s="484"/>
      <c r="CR446" s="484"/>
      <c r="CS446" s="484"/>
      <c r="CT446" s="484"/>
      <c r="CU446" s="484"/>
      <c r="CV446" s="484"/>
      <c r="CW446" s="484"/>
      <c r="CX446" s="484"/>
      <c r="CY446" s="484"/>
      <c r="CZ446" s="484"/>
      <c r="DA446" s="484"/>
      <c r="DB446" s="484"/>
      <c r="DC446" s="484"/>
      <c r="DD446" s="484"/>
      <c r="DE446" s="484"/>
      <c r="DF446" s="484"/>
      <c r="DG446" s="484"/>
      <c r="DH446" s="484"/>
      <c r="DI446" s="484"/>
      <c r="DJ446" s="484"/>
      <c r="DK446" s="484"/>
      <c r="DL446" s="484"/>
    </row>
    <row r="447" ht="20.25" customHeight="1">
      <c r="A447" s="44">
        <v>447.0</v>
      </c>
      <c r="B447" s="421" t="s">
        <v>285</v>
      </c>
      <c r="C447" s="149" t="s">
        <v>115</v>
      </c>
      <c r="D447" s="149" t="s">
        <v>1458</v>
      </c>
      <c r="E447" s="71"/>
      <c r="F447" s="122" t="s">
        <v>2399</v>
      </c>
      <c r="G447" s="112" t="s">
        <v>2400</v>
      </c>
      <c r="H447" s="112" t="s">
        <v>144</v>
      </c>
      <c r="I447" s="417">
        <v>45478.0</v>
      </c>
      <c r="J447" s="113">
        <v>45641.0</v>
      </c>
      <c r="K447" s="380" t="s">
        <v>2401</v>
      </c>
      <c r="L447" s="114"/>
      <c r="M447" s="418" t="s">
        <v>2402</v>
      </c>
      <c r="N447" s="112" t="s">
        <v>2403</v>
      </c>
      <c r="O447" s="117">
        <v>3.0</v>
      </c>
      <c r="P447" s="121" t="str">
        <f t="shared" si="26"/>
        <v>10.1177--1948550611432938.pdf</v>
      </c>
      <c r="Q447" s="52" t="str">
        <f t="array" ref="Q447"> if(iserror(MATCH(V447, 'File Links'!C:C, 0)), "N/A", HYPERLINK(INDEX('File Links'!B:B, MATCH(P447, 'File Links'!C:C, 0))))</f>
        <v>https://drive.google.com/file/d/1H6qRZ24gIkLnBRWVbjI2jgKRf4KnrPQh/view?usp=drivesdk</v>
      </c>
      <c r="R447" s="112" t="s">
        <v>2404</v>
      </c>
      <c r="S447" s="112" t="s">
        <v>2405</v>
      </c>
      <c r="T447" s="114"/>
      <c r="U447" s="120"/>
      <c r="V447" s="112" t="str">
        <f t="shared" si="25"/>
        <v>10.31234--osf.io--esu9z.pdf</v>
      </c>
      <c r="W447" s="114"/>
      <c r="X447" s="54" t="str">
        <f t="array" ref="X447"> if(iserror(MATCH(V447, 'File Links'!C:C, 0)), "N/A", HYPERLINK(INDEX('File Links'!B:B, MATCH(V447, 'File Links'!C:C, 0))))</f>
        <v>https://drive.google.com/file/d/1dsS2Zz_SrKiR1Wr9BLFEXM-_iHqMxxPd/view?usp=drivesdk</v>
      </c>
      <c r="Y447" s="114"/>
      <c r="Z447" s="114"/>
      <c r="AA447" s="114"/>
      <c r="AB447" s="114"/>
      <c r="AC447" s="114"/>
      <c r="AD447" s="114"/>
      <c r="AE447" s="114"/>
      <c r="AF447" s="114"/>
      <c r="AG447" s="114"/>
      <c r="AH447" s="120"/>
      <c r="AI447" s="114"/>
      <c r="AJ447" s="114"/>
      <c r="AK447" s="111"/>
      <c r="AL447" s="114"/>
      <c r="AM447" s="114"/>
      <c r="AN447" s="219" t="s">
        <v>138</v>
      </c>
      <c r="AO447" s="114"/>
      <c r="AP447" s="114"/>
      <c r="AQ447" s="114"/>
      <c r="AR447" s="114"/>
      <c r="AS447" s="114"/>
      <c r="AT447" s="111"/>
      <c r="AU447" s="111"/>
      <c r="AV447" s="111"/>
      <c r="AW447" s="111"/>
      <c r="AX447" s="111"/>
      <c r="AY447" s="61" t="str">
        <f>IFERROR(__xludf.DUMMYFUNCTION("vlookup(BB447,importrange(""https://docs.google.com/spreadsheets/d/1d2vevQ_7D_v35q4wCQ4RpQ_IPoTwEMB9Yp6ymwlPqew/edit?gid=984458430#gid=984458430"", ""'replication success'!A:K""), 11, FAlSE)"),"#N/A")</f>
        <v>#N/A</v>
      </c>
      <c r="AZ447" s="61" t="str">
        <f>IFERROR(__xludf.DUMMYFUNCTION("vlookup(BB447,importrange(""https://docs.google.com/spreadsheets/d/1d2vevQ_7D_v35q4wCQ4RpQ_IPoTwEMB9Yp6ymwlPqew/edit?gid=984458430#gid=984458430"", ""'replication success'!A:M""), 12, FAlSE)"),"#N/A")</f>
        <v>#N/A</v>
      </c>
      <c r="BA447" s="61" t="str">
        <f>IFERROR(__xludf.DUMMYFUNCTION("vlookup(BB447,importrange(""https://docs.google.com/spreadsheets/d/1d2vevQ_7D_v35q4wCQ4RpQ_IPoTwEMB9Yp6ymwlPqew/edit?gid=984458430#gid=984458430"", ""'replication success'!A:M""), 13, FAlSE)"),"#N/A")</f>
        <v>#N/A</v>
      </c>
      <c r="BB447" s="61" t="str">
        <f>IFERROR(__xludf.DUMMYFUNCTION("REGEXREPLACE(G447, ""_[a-z]{1,2}$"", """")"),"additional_studies76")</f>
        <v>additional_studies76</v>
      </c>
      <c r="BC447" s="61"/>
      <c r="BD447" s="71"/>
      <c r="BE447" s="484"/>
      <c r="BF447" s="484"/>
      <c r="BG447" s="484"/>
      <c r="BH447" s="484"/>
      <c r="BI447" s="484"/>
      <c r="BJ447" s="484"/>
      <c r="BK447" s="484"/>
      <c r="BL447" s="484"/>
      <c r="BM447" s="484"/>
      <c r="BN447" s="484"/>
      <c r="BO447" s="484"/>
      <c r="BP447" s="484"/>
      <c r="BQ447" s="484"/>
      <c r="BR447" s="484"/>
      <c r="BS447" s="484"/>
      <c r="BT447" s="484"/>
      <c r="BU447" s="484"/>
      <c r="BV447" s="484"/>
      <c r="BW447" s="484"/>
      <c r="BX447" s="484"/>
      <c r="BY447" s="484"/>
      <c r="BZ447" s="484"/>
      <c r="CA447" s="484"/>
      <c r="CB447" s="484"/>
      <c r="CC447" s="484"/>
      <c r="CD447" s="484"/>
      <c r="CE447" s="484"/>
      <c r="CF447" s="484"/>
      <c r="CG447" s="484"/>
      <c r="CH447" s="484"/>
      <c r="CI447" s="484"/>
      <c r="CJ447" s="484"/>
      <c r="CK447" s="484"/>
      <c r="CL447" s="484"/>
      <c r="CM447" s="484"/>
      <c r="CN447" s="484"/>
      <c r="CO447" s="484"/>
      <c r="CP447" s="484"/>
      <c r="CQ447" s="484"/>
      <c r="CR447" s="484"/>
      <c r="CS447" s="484"/>
      <c r="CT447" s="484"/>
      <c r="CU447" s="484"/>
      <c r="CV447" s="484"/>
      <c r="CW447" s="484"/>
      <c r="CX447" s="484"/>
      <c r="CY447" s="484"/>
      <c r="CZ447" s="484"/>
      <c r="DA447" s="484"/>
      <c r="DB447" s="484"/>
      <c r="DC447" s="484"/>
      <c r="DD447" s="484"/>
      <c r="DE447" s="484"/>
      <c r="DF447" s="484"/>
      <c r="DG447" s="484"/>
      <c r="DH447" s="484"/>
      <c r="DI447" s="484"/>
      <c r="DJ447" s="484"/>
      <c r="DK447" s="484"/>
      <c r="DL447" s="484"/>
    </row>
    <row r="448" ht="20.25" customHeight="1">
      <c r="A448" s="44">
        <v>448.0</v>
      </c>
      <c r="B448" s="421" t="s">
        <v>285</v>
      </c>
      <c r="C448" s="149" t="s">
        <v>115</v>
      </c>
      <c r="D448" s="149" t="s">
        <v>2192</v>
      </c>
      <c r="E448" s="71"/>
      <c r="F448" s="122" t="s">
        <v>2399</v>
      </c>
      <c r="G448" s="112" t="s">
        <v>2400</v>
      </c>
      <c r="H448" s="122" t="s">
        <v>2193</v>
      </c>
      <c r="I448" s="417">
        <v>45478.0</v>
      </c>
      <c r="J448" s="113">
        <v>45661.0</v>
      </c>
      <c r="K448" s="481" t="s">
        <v>2406</v>
      </c>
      <c r="L448" s="111"/>
      <c r="M448" s="122" t="s">
        <v>2407</v>
      </c>
      <c r="N448" s="122" t="s">
        <v>2403</v>
      </c>
      <c r="O448" s="537">
        <v>3.0</v>
      </c>
      <c r="P448" s="122" t="str">
        <f t="shared" si="26"/>
        <v>10.1177--1948550611432938.pdf</v>
      </c>
      <c r="Q448" s="52" t="str">
        <f t="array" ref="Q448"> if(iserror(MATCH(V448, 'File Links'!C:C, 0)), "N/A", HYPERLINK(INDEX('File Links'!B:B, MATCH(P448, 'File Links'!C:C, 0))))</f>
        <v>https://drive.google.com/file/d/1H6qRZ24gIkLnBRWVbjI2jgKRf4KnrPQh/view?usp=drivesdk</v>
      </c>
      <c r="R448" s="122" t="s">
        <v>2404</v>
      </c>
      <c r="S448" s="122" t="s">
        <v>2405</v>
      </c>
      <c r="T448" s="111"/>
      <c r="U448" s="111"/>
      <c r="V448" s="122" t="str">
        <f t="shared" si="25"/>
        <v>10.31234--osf.io--esu9z.pdf</v>
      </c>
      <c r="W448" s="122" t="s">
        <v>2408</v>
      </c>
      <c r="X448" s="54" t="str">
        <f t="array" ref="X448"> if(iserror(MATCH(V448, 'File Links'!C:C, 0)), "N/A", HYPERLINK(INDEX('File Links'!B:B, MATCH(V448, 'File Links'!C:C, 0))))</f>
        <v>https://drive.google.com/file/d/1dsS2Zz_SrKiR1Wr9BLFEXM-_iHqMxxPd/view?usp=drivesdk</v>
      </c>
      <c r="Y448" s="111"/>
      <c r="Z448" s="122" t="s">
        <v>226</v>
      </c>
      <c r="AA448" s="122" t="s">
        <v>2409</v>
      </c>
      <c r="AB448" s="122" t="s">
        <v>2410</v>
      </c>
      <c r="AC448" s="122" t="s">
        <v>2411</v>
      </c>
      <c r="AD448" s="122" t="s">
        <v>2412</v>
      </c>
      <c r="AE448" s="537">
        <v>3.0</v>
      </c>
      <c r="AF448" s="537">
        <v>120.0</v>
      </c>
      <c r="AG448" s="537">
        <v>0.38</v>
      </c>
      <c r="AH448" s="120" t="s">
        <v>173</v>
      </c>
      <c r="AI448" s="112" t="s">
        <v>217</v>
      </c>
      <c r="AJ448" s="117">
        <v>0.045</v>
      </c>
      <c r="AK448" s="122" t="s">
        <v>172</v>
      </c>
      <c r="AL448" s="112" t="s">
        <v>186</v>
      </c>
      <c r="AM448" s="122" t="s">
        <v>137</v>
      </c>
      <c r="AN448" s="219" t="s">
        <v>138</v>
      </c>
      <c r="AO448" s="537">
        <v>3415.0</v>
      </c>
      <c r="AP448" s="537">
        <v>0.0</v>
      </c>
      <c r="AQ448" s="111"/>
      <c r="AR448" s="122" t="s">
        <v>2413</v>
      </c>
      <c r="AS448" s="111"/>
      <c r="AT448" s="111"/>
      <c r="AU448" s="122" t="s">
        <v>136</v>
      </c>
      <c r="AV448" s="122" t="s">
        <v>137</v>
      </c>
      <c r="AW448" s="672" t="s">
        <v>2414</v>
      </c>
      <c r="AX448" s="420" t="s">
        <v>143</v>
      </c>
      <c r="AY448" s="61" t="str">
        <f>IFERROR(__xludf.DUMMYFUNCTION("vlookup(BB448,importrange(""https://docs.google.com/spreadsheets/d/1d2vevQ_7D_v35q4wCQ4RpQ_IPoTwEMB9Yp6ymwlPqew/edit?gid=984458430#gid=984458430"", ""'replication success'!A:K""), 11, FAlSE)"),"#N/A")</f>
        <v>#N/A</v>
      </c>
      <c r="AZ448" s="61" t="str">
        <f>IFERROR(__xludf.DUMMYFUNCTION("vlookup(BB448,importrange(""https://docs.google.com/spreadsheets/d/1d2vevQ_7D_v35q4wCQ4RpQ_IPoTwEMB9Yp6ymwlPqew/edit?gid=984458430#gid=984458430"", ""'replication success'!A:M""), 12, FAlSE)"),"#N/A")</f>
        <v>#N/A</v>
      </c>
      <c r="BA448" s="61" t="str">
        <f>IFERROR(__xludf.DUMMYFUNCTION("vlookup(BB448,importrange(""https://docs.google.com/spreadsheets/d/1d2vevQ_7D_v35q4wCQ4RpQ_IPoTwEMB9Yp6ymwlPqew/edit?gid=984458430#gid=984458430"", ""'replication success'!A:M""), 13, FAlSE)"),"#N/A")</f>
        <v>#N/A</v>
      </c>
      <c r="BB448" s="61" t="str">
        <f>IFERROR(__xludf.DUMMYFUNCTION("REGEXREPLACE(G448, ""_[a-z]{1,2}$"", """")"),"additional_studies76")</f>
        <v>additional_studies76</v>
      </c>
      <c r="BC448" s="68"/>
      <c r="BD448" s="71"/>
      <c r="BE448" s="484"/>
      <c r="BF448" s="484"/>
      <c r="BG448" s="484"/>
      <c r="BH448" s="484"/>
      <c r="BI448" s="484"/>
      <c r="BJ448" s="484"/>
      <c r="BK448" s="484"/>
      <c r="BL448" s="484"/>
      <c r="BM448" s="484"/>
      <c r="BN448" s="484"/>
      <c r="BO448" s="484"/>
      <c r="BP448" s="484"/>
      <c r="BQ448" s="484"/>
      <c r="BR448" s="484"/>
      <c r="BS448" s="484"/>
      <c r="BT448" s="484"/>
      <c r="BU448" s="484"/>
      <c r="BV448" s="484"/>
      <c r="BW448" s="484"/>
      <c r="BX448" s="484"/>
      <c r="BY448" s="484"/>
      <c r="BZ448" s="484"/>
      <c r="CA448" s="484"/>
      <c r="CB448" s="484"/>
      <c r="CC448" s="484"/>
      <c r="CD448" s="484"/>
      <c r="CE448" s="484"/>
      <c r="CF448" s="484"/>
      <c r="CG448" s="484"/>
      <c r="CH448" s="484"/>
      <c r="CI448" s="484"/>
      <c r="CJ448" s="484"/>
      <c r="CK448" s="484"/>
      <c r="CL448" s="484"/>
      <c r="CM448" s="484"/>
      <c r="CN448" s="484"/>
      <c r="CO448" s="484"/>
      <c r="CP448" s="484"/>
      <c r="CQ448" s="484"/>
      <c r="CR448" s="484"/>
      <c r="CS448" s="484"/>
      <c r="CT448" s="484"/>
      <c r="CU448" s="484"/>
      <c r="CV448" s="484"/>
      <c r="CW448" s="484"/>
      <c r="CX448" s="484"/>
      <c r="CY448" s="484"/>
      <c r="CZ448" s="484"/>
      <c r="DA448" s="484"/>
      <c r="DB448" s="484"/>
      <c r="DC448" s="484"/>
      <c r="DD448" s="484"/>
      <c r="DE448" s="484"/>
      <c r="DF448" s="484"/>
      <c r="DG448" s="484"/>
      <c r="DH448" s="484"/>
      <c r="DI448" s="484"/>
      <c r="DJ448" s="484"/>
      <c r="DK448" s="484"/>
      <c r="DL448" s="484"/>
    </row>
    <row r="449" ht="20.25" customHeight="1">
      <c r="A449" s="44">
        <v>449.0</v>
      </c>
      <c r="B449" s="421" t="s">
        <v>285</v>
      </c>
      <c r="C449" s="149" t="s">
        <v>115</v>
      </c>
      <c r="D449" s="149" t="s">
        <v>2192</v>
      </c>
      <c r="E449" s="71"/>
      <c r="F449" s="122" t="s">
        <v>2399</v>
      </c>
      <c r="G449" s="112" t="s">
        <v>2415</v>
      </c>
      <c r="H449" s="122" t="s">
        <v>2193</v>
      </c>
      <c r="I449" s="417">
        <v>45662.0</v>
      </c>
      <c r="J449" s="778"/>
      <c r="K449" s="481" t="s">
        <v>2416</v>
      </c>
      <c r="L449" s="111"/>
      <c r="M449" s="122" t="s">
        <v>2407</v>
      </c>
      <c r="N449" s="122" t="s">
        <v>2403</v>
      </c>
      <c r="O449" s="537">
        <v>3.0</v>
      </c>
      <c r="P449" s="122" t="str">
        <f t="shared" si="26"/>
        <v>10.1177--1948550611432938.pdf</v>
      </c>
      <c r="Q449" s="52" t="str">
        <f t="array" ref="Q449"> if(iserror(MATCH(V449, 'File Links'!C:C, 0)), "N/A", HYPERLINK(INDEX('File Links'!B:B, MATCH(P449, 'File Links'!C:C, 0))))</f>
        <v>https://drive.google.com/file/d/1H6qRZ24gIkLnBRWVbjI2jgKRf4KnrPQh/view?usp=drivesdk</v>
      </c>
      <c r="R449" s="122" t="s">
        <v>2404</v>
      </c>
      <c r="S449" s="122" t="s">
        <v>2405</v>
      </c>
      <c r="T449" s="111"/>
      <c r="U449" s="111"/>
      <c r="V449" s="122" t="str">
        <f t="shared" si="25"/>
        <v>10.31234--osf.io--esu9z.pdf</v>
      </c>
      <c r="W449" s="122" t="s">
        <v>2408</v>
      </c>
      <c r="X449" s="54" t="str">
        <f t="array" ref="X449"> if(iserror(MATCH(V449, 'File Links'!C:C, 0)), "N/A", HYPERLINK(INDEX('File Links'!B:B, MATCH(V449, 'File Links'!C:C, 0))))</f>
        <v>https://drive.google.com/file/d/1dsS2Zz_SrKiR1Wr9BLFEXM-_iHqMxxPd/view?usp=drivesdk</v>
      </c>
      <c r="Y449" s="111"/>
      <c r="Z449" s="122" t="s">
        <v>226</v>
      </c>
      <c r="AA449" s="122" t="s">
        <v>2409</v>
      </c>
      <c r="AB449" s="122" t="s">
        <v>2410</v>
      </c>
      <c r="AC449" s="122" t="s">
        <v>2411</v>
      </c>
      <c r="AD449" s="122" t="s">
        <v>2412</v>
      </c>
      <c r="AE449" s="537">
        <v>3.0</v>
      </c>
      <c r="AF449" s="537">
        <v>120.0</v>
      </c>
      <c r="AG449" s="537">
        <v>0.38</v>
      </c>
      <c r="AH449" s="120" t="s">
        <v>173</v>
      </c>
      <c r="AI449" s="112" t="s">
        <v>217</v>
      </c>
      <c r="AJ449" s="117">
        <v>0.045</v>
      </c>
      <c r="AK449" s="122" t="s">
        <v>172</v>
      </c>
      <c r="AL449" s="112" t="s">
        <v>186</v>
      </c>
      <c r="AM449" s="122" t="s">
        <v>137</v>
      </c>
      <c r="AN449" s="219" t="s">
        <v>138</v>
      </c>
      <c r="AO449" s="537">
        <v>3415.0</v>
      </c>
      <c r="AP449" s="537">
        <v>-0.01</v>
      </c>
      <c r="AQ449" s="111"/>
      <c r="AR449" s="122" t="s">
        <v>2307</v>
      </c>
      <c r="AS449" s="111"/>
      <c r="AT449" s="111"/>
      <c r="AU449" s="122" t="s">
        <v>136</v>
      </c>
      <c r="AV449" s="122" t="s">
        <v>137</v>
      </c>
      <c r="AW449" s="672" t="s">
        <v>2414</v>
      </c>
      <c r="AX449" s="420" t="s">
        <v>143</v>
      </c>
      <c r="AY449" s="61" t="str">
        <f>IFERROR(__xludf.DUMMYFUNCTION("vlookup(BB449,importrange(""https://docs.google.com/spreadsheets/d/1d2vevQ_7D_v35q4wCQ4RpQ_IPoTwEMB9Yp6ymwlPqew/edit?gid=984458430#gid=984458430"", ""'replication success'!A:K""), 11, FAlSE)"),"#N/A")</f>
        <v>#N/A</v>
      </c>
      <c r="AZ449" s="61" t="str">
        <f>IFERROR(__xludf.DUMMYFUNCTION("vlookup(BB449,importrange(""https://docs.google.com/spreadsheets/d/1d2vevQ_7D_v35q4wCQ4RpQ_IPoTwEMB9Yp6ymwlPqew/edit?gid=984458430#gid=984458430"", ""'replication success'!A:M""), 12, FAlSE)"),"#N/A")</f>
        <v>#N/A</v>
      </c>
      <c r="BA449" s="61" t="str">
        <f>IFERROR(__xludf.DUMMYFUNCTION("vlookup(BB449,importrange(""https://docs.google.com/spreadsheets/d/1d2vevQ_7D_v35q4wCQ4RpQ_IPoTwEMB9Yp6ymwlPqew/edit?gid=984458430#gid=984458430"", ""'replication success'!A:M""), 13, FAlSE)"),"#N/A")</f>
        <v>#N/A</v>
      </c>
      <c r="BB449" s="61" t="str">
        <f>IFERROR(__xludf.DUMMYFUNCTION("REGEXREPLACE(G449, ""_[a-z]{1,2}$"", """")"),"additional_studies76")</f>
        <v>additional_studies76</v>
      </c>
      <c r="BC449" s="68"/>
      <c r="BD449" s="71"/>
      <c r="BE449" s="484"/>
      <c r="BF449" s="484"/>
      <c r="BG449" s="484"/>
      <c r="BH449" s="484"/>
      <c r="BI449" s="484"/>
      <c r="BJ449" s="484"/>
      <c r="BK449" s="484"/>
      <c r="BL449" s="484"/>
      <c r="BM449" s="484"/>
      <c r="BN449" s="484"/>
      <c r="BO449" s="484"/>
      <c r="BP449" s="484"/>
      <c r="BQ449" s="484"/>
      <c r="BR449" s="484"/>
      <c r="BS449" s="484"/>
      <c r="BT449" s="484"/>
      <c r="BU449" s="484"/>
      <c r="BV449" s="484"/>
      <c r="BW449" s="484"/>
      <c r="BX449" s="484"/>
      <c r="BY449" s="484"/>
      <c r="BZ449" s="484"/>
      <c r="CA449" s="484"/>
      <c r="CB449" s="484"/>
      <c r="CC449" s="484"/>
      <c r="CD449" s="484"/>
      <c r="CE449" s="484"/>
      <c r="CF449" s="484"/>
      <c r="CG449" s="484"/>
      <c r="CH449" s="484"/>
      <c r="CI449" s="484"/>
      <c r="CJ449" s="484"/>
      <c r="CK449" s="484"/>
      <c r="CL449" s="484"/>
      <c r="CM449" s="484"/>
      <c r="CN449" s="484"/>
      <c r="CO449" s="484"/>
      <c r="CP449" s="484"/>
      <c r="CQ449" s="484"/>
      <c r="CR449" s="484"/>
      <c r="CS449" s="484"/>
      <c r="CT449" s="484"/>
      <c r="CU449" s="484"/>
      <c r="CV449" s="484"/>
      <c r="CW449" s="484"/>
      <c r="CX449" s="484"/>
      <c r="CY449" s="484"/>
      <c r="CZ449" s="484"/>
      <c r="DA449" s="484"/>
      <c r="DB449" s="484"/>
      <c r="DC449" s="484"/>
      <c r="DD449" s="484"/>
      <c r="DE449" s="484"/>
      <c r="DF449" s="484"/>
      <c r="DG449" s="484"/>
      <c r="DH449" s="484"/>
      <c r="DI449" s="484"/>
      <c r="DJ449" s="484"/>
      <c r="DK449" s="484"/>
      <c r="DL449" s="484"/>
    </row>
    <row r="450" ht="20.25" customHeight="1">
      <c r="A450" s="44">
        <v>450.0</v>
      </c>
      <c r="B450" s="149" t="s">
        <v>152</v>
      </c>
      <c r="C450" s="149" t="s">
        <v>115</v>
      </c>
      <c r="D450" s="149" t="s">
        <v>1458</v>
      </c>
      <c r="E450" s="71"/>
      <c r="F450" s="779" t="s">
        <v>2417</v>
      </c>
      <c r="G450" s="112" t="s">
        <v>2418</v>
      </c>
      <c r="H450" s="112" t="s">
        <v>1518</v>
      </c>
      <c r="I450" s="417">
        <v>45489.0</v>
      </c>
      <c r="J450" s="113">
        <v>45641.0</v>
      </c>
      <c r="K450" s="112" t="s">
        <v>2419</v>
      </c>
      <c r="L450" s="114"/>
      <c r="M450" s="112" t="s">
        <v>2420</v>
      </c>
      <c r="N450" s="112" t="s">
        <v>2421</v>
      </c>
      <c r="O450" s="147">
        <v>1.0</v>
      </c>
      <c r="P450" s="121" t="str">
        <f t="shared" si="26"/>
        <v>10.1016--j.biopsycho.2018.08.007.pdf</v>
      </c>
      <c r="Q450" s="52" t="str">
        <f t="array" ref="Q450"> if(iserror(MATCH(V450, 'File Links'!C:C, 0)), "N/A", HYPERLINK(INDEX('File Links'!B:B, MATCH(P450, 'File Links'!C:C, 0))))</f>
        <v>https://drive.google.com/file/d/1V8lTfv6HJ8IMLiB5gYCuvj2XX1Nry6fh/view?usp=drivesdk</v>
      </c>
      <c r="R450" s="112" t="s">
        <v>2422</v>
      </c>
      <c r="S450" s="147" t="s">
        <v>2423</v>
      </c>
      <c r="T450" s="780" t="s">
        <v>2424</v>
      </c>
      <c r="U450" s="147">
        <v>1.0</v>
      </c>
      <c r="V450" s="112" t="str">
        <f t="shared" si="25"/>
        <v>bischoff_ma_bms.pdf</v>
      </c>
      <c r="W450" s="112" t="s">
        <v>2425</v>
      </c>
      <c r="X450" s="54" t="str">
        <f t="array" ref="X450"> if(iserror(MATCH(V450, 'File Links'!C:C, 0)), "N/A", HYPERLINK(INDEX('File Links'!B:B, MATCH(V450, 'File Links'!C:C, 0))))</f>
        <v>https://drive.google.com/file/d/11I9BYw-LgWPOfVM-roaK7IeDdor9cI5n/view?usp=drivesdk</v>
      </c>
      <c r="Y450" s="114"/>
      <c r="Z450" s="112" t="s">
        <v>2426</v>
      </c>
      <c r="AA450" s="114" t="s">
        <v>2427</v>
      </c>
      <c r="AB450" s="114" t="s">
        <v>2428</v>
      </c>
      <c r="AC450" s="116" t="s">
        <v>2429</v>
      </c>
      <c r="AD450" s="112" t="s">
        <v>2430</v>
      </c>
      <c r="AE450" s="117">
        <v>17.0</v>
      </c>
      <c r="AF450" s="117">
        <v>22.0</v>
      </c>
      <c r="AG450" s="116" t="s">
        <v>2431</v>
      </c>
      <c r="AH450" s="121" t="s">
        <v>134</v>
      </c>
      <c r="AI450" s="112" t="s">
        <v>1819</v>
      </c>
      <c r="AJ450" s="117">
        <v>0.073</v>
      </c>
      <c r="AK450" s="111" t="s">
        <v>172</v>
      </c>
      <c r="AL450" s="114" t="s">
        <v>186</v>
      </c>
      <c r="AM450" s="112" t="s">
        <v>141</v>
      </c>
      <c r="AN450" s="219" t="s">
        <v>138</v>
      </c>
      <c r="AO450" s="147">
        <v>32.0</v>
      </c>
      <c r="AP450" s="147" t="s">
        <v>138</v>
      </c>
      <c r="AQ450" s="147" t="s">
        <v>138</v>
      </c>
      <c r="AR450" s="147" t="s">
        <v>138</v>
      </c>
      <c r="AS450" s="147" t="s">
        <v>138</v>
      </c>
      <c r="AT450" s="147" t="s">
        <v>138</v>
      </c>
      <c r="AU450" s="762" t="s">
        <v>186</v>
      </c>
      <c r="AV450" s="122" t="s">
        <v>141</v>
      </c>
      <c r="AW450" s="68" t="s">
        <v>138</v>
      </c>
      <c r="AX450" s="762" t="s">
        <v>143</v>
      </c>
      <c r="AY450" s="61" t="str">
        <f>IFERROR(__xludf.DUMMYFUNCTION("vlookup(BB450,importrange(""https://docs.google.com/spreadsheets/d/1d2vevQ_7D_v35q4wCQ4RpQ_IPoTwEMB9Yp6ymwlPqew/edit?gid=984458430#gid=984458430"", ""'replication success'!A:K""), 11, FAlSE)"),"mixed")</f>
        <v>mixed</v>
      </c>
      <c r="AZ450" s="61" t="str">
        <f>IFERROR(__xludf.DUMMYFUNCTION("vlookup(BB450,importrange(""https://docs.google.com/spreadsheets/d/1d2vevQ_7D_v35q4wCQ4RpQ_IPoTwEMB9Yp6ymwlPqew/edit?gid=984458430#gid=984458430"", ""'replication success'!A:M""), 12, FAlSE)"),"Although the stress induction was
successful in both samples shown by increases of cortisol, heart rate, blood pressure and ratings of stress
and arousal absent in the control condition, no state-dependent shift of RFA during stress induction was
obser"&amp;"ved in either sample. The current study confirmed the relation between RFA at rest and cortisol, however the observed response pattern differed from the original study as RFA both pre-, and post-
stress was significantly correlated to cortisol.")</f>
        <v>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v>
      </c>
      <c r="BA450" s="61" t="str">
        <f>IFERROR(__xludf.DUMMYFUNCTION("vlookup(BB450,importrange(""https://docs.google.com/spreadsheets/d/1d2vevQ_7D_v35q4wCQ4RpQ_IPoTwEMB9Yp6ymwlPqew/edit?gid=984458430#gid=984458430"", ""'replication success'!A:M""), 13, FAlSE)"),"abstract")</f>
        <v>abstract</v>
      </c>
      <c r="BB450" s="61" t="str">
        <f>IFERROR(__xludf.DUMMYFUNCTION("REGEXREPLACE(G450, ""_[a-z]{1,2}$"", """")"),"additional_studies79")</f>
        <v>additional_studies79</v>
      </c>
      <c r="BC450" s="61"/>
      <c r="BD450" s="149" t="s">
        <v>144</v>
      </c>
      <c r="BE450" s="532"/>
    </row>
    <row r="451" ht="20.25" customHeight="1">
      <c r="A451" s="44">
        <v>451.0</v>
      </c>
      <c r="B451" s="124" t="s">
        <v>114</v>
      </c>
      <c r="C451" s="124" t="s">
        <v>115</v>
      </c>
      <c r="D451" s="124" t="s">
        <v>2192</v>
      </c>
      <c r="E451" s="107"/>
      <c r="F451" s="761" t="s">
        <v>2417</v>
      </c>
      <c r="G451" s="126" t="s">
        <v>2418</v>
      </c>
      <c r="H451" s="140" t="s">
        <v>2193</v>
      </c>
      <c r="I451" s="317">
        <v>45489.0</v>
      </c>
      <c r="J451" s="127">
        <v>45643.0</v>
      </c>
      <c r="K451" s="140" t="s">
        <v>2432</v>
      </c>
      <c r="L451" s="125"/>
      <c r="M451" s="140" t="s">
        <v>2420</v>
      </c>
      <c r="N451" s="140" t="s">
        <v>2421</v>
      </c>
      <c r="O451" s="125"/>
      <c r="P451" s="140" t="str">
        <f t="shared" si="26"/>
        <v>10.1016--j.biopsycho.2018.08.007.pdf</v>
      </c>
      <c r="Q451" s="52" t="str">
        <f t="array" ref="Q451"> if(iserror(MATCH(V451, 'File Links'!C:C, 0)), "N/A", HYPERLINK(INDEX('File Links'!B:B, MATCH(P451, 'File Links'!C:C, 0))))</f>
        <v>https://drive.google.com/file/d/1V8lTfv6HJ8IMLiB5gYCuvj2XX1Nry6fh/view?usp=drivesdk</v>
      </c>
      <c r="R451" s="670" t="s">
        <v>2433</v>
      </c>
      <c r="S451" s="219" t="s">
        <v>2423</v>
      </c>
      <c r="T451" s="781" t="s">
        <v>2424</v>
      </c>
      <c r="U451" s="125"/>
      <c r="V451" s="112" t="str">
        <f t="shared" si="25"/>
        <v>bischoff_ma_bms.pdf</v>
      </c>
      <c r="W451" s="140" t="s">
        <v>2425</v>
      </c>
      <c r="X451" s="54" t="str">
        <f t="array" ref="X451"> if(iserror(MATCH(V451, 'File Links'!C:C, 0)), "N/A", HYPERLINK(INDEX('File Links'!B:B, MATCH(V451, 'File Links'!C:C, 0))))</f>
        <v>https://drive.google.com/file/d/11I9BYw-LgWPOfVM-roaK7IeDdor9cI5n/view?usp=drivesdk</v>
      </c>
      <c r="Y451" s="125"/>
      <c r="Z451" s="140" t="s">
        <v>838</v>
      </c>
      <c r="AA451" s="140" t="s">
        <v>2434</v>
      </c>
      <c r="AB451" s="140" t="s">
        <v>2435</v>
      </c>
      <c r="AC451" s="140" t="s">
        <v>2436</v>
      </c>
      <c r="AD451" s="140" t="s">
        <v>2437</v>
      </c>
      <c r="AE451" s="782">
        <v>17.0</v>
      </c>
      <c r="AF451" s="782">
        <v>21.0</v>
      </c>
      <c r="AG451" s="782">
        <v>0.118</v>
      </c>
      <c r="AH451" s="318" t="s">
        <v>139</v>
      </c>
      <c r="AI451" s="126" t="s">
        <v>2413</v>
      </c>
      <c r="AJ451" s="130">
        <v>0.031</v>
      </c>
      <c r="AK451" s="140" t="s">
        <v>172</v>
      </c>
      <c r="AL451" s="126" t="s">
        <v>186</v>
      </c>
      <c r="AM451" s="140" t="s">
        <v>141</v>
      </c>
      <c r="AN451" s="219" t="s">
        <v>138</v>
      </c>
      <c r="AO451" s="782">
        <v>32.0</v>
      </c>
      <c r="AP451" s="125"/>
      <c r="AQ451" s="125"/>
      <c r="AR451" s="140" t="s">
        <v>305</v>
      </c>
      <c r="AS451" s="125"/>
      <c r="AT451" s="125"/>
      <c r="AU451" s="140" t="s">
        <v>186</v>
      </c>
      <c r="AV451" s="140" t="s">
        <v>141</v>
      </c>
      <c r="AW451" s="68" t="s">
        <v>138</v>
      </c>
      <c r="AX451" s="140" t="s">
        <v>143</v>
      </c>
      <c r="AY451" s="61" t="str">
        <f>IFERROR(__xludf.DUMMYFUNCTION("vlookup(BB451,importrange(""https://docs.google.com/spreadsheets/d/1d2vevQ_7D_v35q4wCQ4RpQ_IPoTwEMB9Yp6ymwlPqew/edit?gid=984458430#gid=984458430"", ""'replication success'!A:K""), 11, FAlSE)"),"mixed")</f>
        <v>mixed</v>
      </c>
      <c r="AZ451" s="61" t="str">
        <f>IFERROR(__xludf.DUMMYFUNCTION("vlookup(BB451,importrange(""https://docs.google.com/spreadsheets/d/1d2vevQ_7D_v35q4wCQ4RpQ_IPoTwEMB9Yp6ymwlPqew/edit?gid=984458430#gid=984458430"", ""'replication success'!A:M""), 12, FAlSE)"),"Although the stress induction was
successful in both samples shown by increases of cortisol, heart rate, blood pressure and ratings of stress
and arousal absent in the control condition, no state-dependent shift of RFA during stress induction was
obser"&amp;"ved in either sample. The current study confirmed the relation between RFA at rest and cortisol, however the observed response pattern differed from the original study as RFA both pre-, and post-
stress was significantly correlated to cortisol.")</f>
        <v>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v>
      </c>
      <c r="BA451" s="61" t="str">
        <f>IFERROR(__xludf.DUMMYFUNCTION("vlookup(BB451,importrange(""https://docs.google.com/spreadsheets/d/1d2vevQ_7D_v35q4wCQ4RpQ_IPoTwEMB9Yp6ymwlPqew/edit?gid=984458430#gid=984458430"", ""'replication success'!A:M""), 13, FAlSE)"),"abstract")</f>
        <v>abstract</v>
      </c>
      <c r="BB451" s="61" t="str">
        <f>IFERROR(__xludf.DUMMYFUNCTION("REGEXREPLACE(G451, ""_[a-z]{1,2}$"", """")"),"additional_studies79")</f>
        <v>additional_studies79</v>
      </c>
      <c r="BC451" s="68"/>
      <c r="BD451" s="149" t="s">
        <v>144</v>
      </c>
      <c r="BE451" s="532"/>
    </row>
    <row r="452" ht="20.25" customHeight="1">
      <c r="A452" s="44">
        <v>452.0</v>
      </c>
      <c r="B452" s="149" t="s">
        <v>152</v>
      </c>
      <c r="C452" s="149" t="s">
        <v>115</v>
      </c>
      <c r="D452" s="149" t="s">
        <v>1458</v>
      </c>
      <c r="E452" s="71"/>
      <c r="F452" s="761" t="s">
        <v>2417</v>
      </c>
      <c r="G452" s="112" t="s">
        <v>2438</v>
      </c>
      <c r="H452" s="112" t="s">
        <v>1518</v>
      </c>
      <c r="I452" s="417">
        <v>45489.0</v>
      </c>
      <c r="J452" s="113">
        <v>45641.0</v>
      </c>
      <c r="K452" s="114"/>
      <c r="L452" s="114"/>
      <c r="M452" s="112" t="s">
        <v>2420</v>
      </c>
      <c r="N452" s="676" t="s">
        <v>2421</v>
      </c>
      <c r="O452" s="147">
        <v>1.0</v>
      </c>
      <c r="P452" s="121" t="str">
        <f t="shared" si="26"/>
        <v>10.1016--j.biopsycho.2018.08.007.pdf</v>
      </c>
      <c r="Q452" s="52" t="str">
        <f t="array" ref="Q452"> if(iserror(MATCH(V452, 'File Links'!C:C, 0)), "N/A", HYPERLINK(INDEX('File Links'!B:B, MATCH(P452, 'File Links'!C:C, 0))))</f>
        <v>https://drive.google.com/file/d/1V8lTfv6HJ8IMLiB5gYCuvj2XX1Nry6fh/view?usp=drivesdk</v>
      </c>
      <c r="R452" s="116" t="s">
        <v>2422</v>
      </c>
      <c r="S452" s="147" t="s">
        <v>2423</v>
      </c>
      <c r="T452" s="780" t="s">
        <v>2424</v>
      </c>
      <c r="U452" s="147">
        <v>1.0</v>
      </c>
      <c r="V452" s="112" t="str">
        <f t="shared" si="25"/>
        <v>bischoff_ma_bms.pdf</v>
      </c>
      <c r="W452" s="112" t="s">
        <v>2425</v>
      </c>
      <c r="X452" s="54" t="str">
        <f t="array" ref="X452"> if(iserror(MATCH(V452, 'File Links'!C:C, 0)), "N/A", HYPERLINK(INDEX('File Links'!B:B, MATCH(V452, 'File Links'!C:C, 0))))</f>
        <v>https://drive.google.com/file/d/11I9BYw-LgWPOfVM-roaK7IeDdor9cI5n/view?usp=drivesdk</v>
      </c>
      <c r="Y452" s="114"/>
      <c r="Z452" s="112" t="s">
        <v>2426</v>
      </c>
      <c r="AA452" s="114" t="s">
        <v>2427</v>
      </c>
      <c r="AB452" s="114" t="s">
        <v>2428</v>
      </c>
      <c r="AC452" s="116" t="s">
        <v>2429</v>
      </c>
      <c r="AD452" s="112" t="s">
        <v>2439</v>
      </c>
      <c r="AE452" s="112" t="s">
        <v>2440</v>
      </c>
      <c r="AF452" s="117">
        <v>24.0</v>
      </c>
      <c r="AG452" s="117">
        <v>-0.204</v>
      </c>
      <c r="AH452" s="121" t="s">
        <v>215</v>
      </c>
      <c r="AI452" s="112" t="s">
        <v>2441</v>
      </c>
      <c r="AJ452" s="117">
        <v>0.375</v>
      </c>
      <c r="AK452" s="111" t="s">
        <v>172</v>
      </c>
      <c r="AL452" s="114" t="s">
        <v>186</v>
      </c>
      <c r="AM452" s="112" t="s">
        <v>141</v>
      </c>
      <c r="AN452" s="219" t="s">
        <v>138</v>
      </c>
      <c r="AO452" s="117">
        <v>32.0</v>
      </c>
      <c r="AP452" s="117">
        <v>0.382</v>
      </c>
      <c r="AQ452" s="112" t="s">
        <v>215</v>
      </c>
      <c r="AR452" s="112" t="s">
        <v>2442</v>
      </c>
      <c r="AS452" s="117">
        <v>0.031</v>
      </c>
      <c r="AT452" s="122" t="s">
        <v>172</v>
      </c>
      <c r="AU452" s="762" t="s">
        <v>186</v>
      </c>
      <c r="AV452" s="122" t="s">
        <v>141</v>
      </c>
      <c r="AW452" s="68" t="s">
        <v>138</v>
      </c>
      <c r="AX452" s="762" t="s">
        <v>143</v>
      </c>
      <c r="AY452" s="61" t="str">
        <f>IFERROR(__xludf.DUMMYFUNCTION("vlookup(BB452,importrange(""https://docs.google.com/spreadsheets/d/1d2vevQ_7D_v35q4wCQ4RpQ_IPoTwEMB9Yp6ymwlPqew/edit?gid=984458430#gid=984458430"", ""'replication success'!A:K""), 11, FAlSE)"),"mixed")</f>
        <v>mixed</v>
      </c>
      <c r="AZ452" s="61" t="str">
        <f>IFERROR(__xludf.DUMMYFUNCTION("vlookup(BB452,importrange(""https://docs.google.com/spreadsheets/d/1d2vevQ_7D_v35q4wCQ4RpQ_IPoTwEMB9Yp6ymwlPqew/edit?gid=984458430#gid=984458430"", ""'replication success'!A:M""), 12, FAlSE)"),"Although the stress induction was
successful in both samples shown by increases of cortisol, heart rate, blood pressure and ratings of stress
and arousal absent in the control condition, no state-dependent shift of RFA during stress induction was
obser"&amp;"ved in either sample. The current study confirmed the relation between RFA at rest and cortisol, however the observed response pattern differed from the original study as RFA both pre-, and post-
stress was significantly correlated to cortisol.")</f>
        <v>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v>
      </c>
      <c r="BA452" s="61" t="str">
        <f>IFERROR(__xludf.DUMMYFUNCTION("vlookup(BB452,importrange(""https://docs.google.com/spreadsheets/d/1d2vevQ_7D_v35q4wCQ4RpQ_IPoTwEMB9Yp6ymwlPqew/edit?gid=984458430#gid=984458430"", ""'replication success'!A:M""), 13, FAlSE)"),"abstract")</f>
        <v>abstract</v>
      </c>
      <c r="BB452" s="61" t="str">
        <f>IFERROR(__xludf.DUMMYFUNCTION("REGEXREPLACE(G452, ""_[a-z]{1,2}$"", """")"),"additional_studies79")</f>
        <v>additional_studies79</v>
      </c>
      <c r="BC452" s="61"/>
      <c r="BD452" s="149" t="s">
        <v>144</v>
      </c>
      <c r="BE452" s="532"/>
      <c r="BF452" s="189"/>
      <c r="BG452" s="189"/>
      <c r="BH452" s="189"/>
      <c r="BI452" s="189"/>
      <c r="BJ452" s="189"/>
      <c r="BK452" s="189"/>
      <c r="BL452" s="189"/>
      <c r="BM452" s="189"/>
      <c r="BN452" s="189"/>
      <c r="BO452" s="189"/>
      <c r="BP452" s="189"/>
      <c r="BQ452" s="189"/>
      <c r="BR452" s="189"/>
      <c r="BS452" s="189"/>
      <c r="BT452" s="189"/>
      <c r="BU452" s="189"/>
      <c r="BV452" s="189"/>
      <c r="BW452" s="189"/>
      <c r="BX452" s="189"/>
      <c r="BY452" s="189"/>
      <c r="BZ452" s="189"/>
      <c r="CA452" s="189"/>
      <c r="CB452" s="189"/>
      <c r="CC452" s="189"/>
      <c r="CD452" s="189"/>
      <c r="CE452" s="189"/>
      <c r="CF452" s="189"/>
      <c r="CG452" s="189"/>
      <c r="CH452" s="189"/>
      <c r="CI452" s="189"/>
      <c r="CJ452" s="189"/>
      <c r="CK452" s="189"/>
      <c r="CL452" s="189"/>
      <c r="CM452" s="189"/>
      <c r="CN452" s="189"/>
      <c r="CO452" s="189"/>
      <c r="CP452" s="189"/>
      <c r="CQ452" s="189"/>
      <c r="CR452" s="189"/>
      <c r="CS452" s="189"/>
      <c r="CT452" s="189"/>
      <c r="CU452" s="189"/>
      <c r="CV452" s="189"/>
      <c r="CW452" s="189"/>
      <c r="CX452" s="189"/>
      <c r="CY452" s="189"/>
      <c r="CZ452" s="189"/>
      <c r="DA452" s="189"/>
      <c r="DB452" s="189"/>
      <c r="DC452" s="189"/>
      <c r="DD452" s="189"/>
      <c r="DE452" s="189"/>
      <c r="DF452" s="189"/>
      <c r="DG452" s="189"/>
      <c r="DH452" s="189"/>
      <c r="DI452" s="189"/>
      <c r="DJ452" s="189"/>
      <c r="DK452" s="189"/>
      <c r="DL452" s="189"/>
    </row>
    <row r="453" ht="20.25" customHeight="1">
      <c r="A453" s="44">
        <v>453.0</v>
      </c>
      <c r="B453" s="124" t="s">
        <v>114</v>
      </c>
      <c r="C453" s="124" t="s">
        <v>115</v>
      </c>
      <c r="D453" s="124" t="s">
        <v>2192</v>
      </c>
      <c r="E453" s="107"/>
      <c r="F453" s="761" t="s">
        <v>2417</v>
      </c>
      <c r="G453" s="126" t="s">
        <v>2438</v>
      </c>
      <c r="H453" s="140" t="s">
        <v>2193</v>
      </c>
      <c r="I453" s="317">
        <v>45644.0</v>
      </c>
      <c r="J453" s="783"/>
      <c r="K453" s="140" t="s">
        <v>2443</v>
      </c>
      <c r="L453" s="125"/>
      <c r="M453" s="140" t="s">
        <v>2420</v>
      </c>
      <c r="N453" s="140" t="s">
        <v>2421</v>
      </c>
      <c r="O453" s="125"/>
      <c r="P453" s="140" t="str">
        <f t="shared" si="26"/>
        <v>10.1016--j.biopsycho.2018.08.007.pdf</v>
      </c>
      <c r="Q453" s="52" t="str">
        <f t="array" ref="Q453"> if(iserror(MATCH(V453, 'File Links'!C:C, 0)), "N/A", HYPERLINK(INDEX('File Links'!B:B, MATCH(P453, 'File Links'!C:C, 0))))</f>
        <v>https://drive.google.com/file/d/1V8lTfv6HJ8IMLiB5gYCuvj2XX1Nry6fh/view?usp=drivesdk</v>
      </c>
      <c r="R453" s="670" t="s">
        <v>2444</v>
      </c>
      <c r="S453" s="219" t="s">
        <v>2423</v>
      </c>
      <c r="T453" s="781" t="s">
        <v>2424</v>
      </c>
      <c r="U453" s="125"/>
      <c r="V453" s="112" t="str">
        <f t="shared" si="25"/>
        <v>bischoff_ma_bms.pdf</v>
      </c>
      <c r="W453" s="140" t="s">
        <v>2425</v>
      </c>
      <c r="X453" s="54" t="str">
        <f t="array" ref="X453"> if(iserror(MATCH(V453, 'File Links'!C:C, 0)), "N/A", HYPERLINK(INDEX('File Links'!B:B, MATCH(V453, 'File Links'!C:C, 0))))</f>
        <v>https://drive.google.com/file/d/11I9BYw-LgWPOfVM-roaK7IeDdor9cI5n/view?usp=drivesdk</v>
      </c>
      <c r="Y453" s="125"/>
      <c r="Z453" s="140" t="s">
        <v>838</v>
      </c>
      <c r="AA453" s="140" t="s">
        <v>2434</v>
      </c>
      <c r="AB453" s="140" t="s">
        <v>2435</v>
      </c>
      <c r="AC453" s="140" t="s">
        <v>2436</v>
      </c>
      <c r="AD453" s="140" t="s">
        <v>2437</v>
      </c>
      <c r="AE453" s="782">
        <v>17.0</v>
      </c>
      <c r="AF453" s="782">
        <v>21.0</v>
      </c>
      <c r="AG453" s="782">
        <v>0.118</v>
      </c>
      <c r="AH453" s="318" t="s">
        <v>139</v>
      </c>
      <c r="AI453" s="126" t="s">
        <v>2413</v>
      </c>
      <c r="AJ453" s="130">
        <v>0.031</v>
      </c>
      <c r="AK453" s="140" t="s">
        <v>172</v>
      </c>
      <c r="AL453" s="126" t="s">
        <v>186</v>
      </c>
      <c r="AM453" s="140" t="s">
        <v>141</v>
      </c>
      <c r="AN453" s="219" t="s">
        <v>138</v>
      </c>
      <c r="AO453" s="782">
        <v>68.0</v>
      </c>
      <c r="AP453" s="125"/>
      <c r="AQ453" s="125"/>
      <c r="AR453" s="140" t="s">
        <v>2413</v>
      </c>
      <c r="AS453" s="125"/>
      <c r="AT453" s="125"/>
      <c r="AU453" s="140" t="s">
        <v>186</v>
      </c>
      <c r="AV453" s="140" t="s">
        <v>141</v>
      </c>
      <c r="AW453" s="68" t="s">
        <v>138</v>
      </c>
      <c r="AX453" s="140" t="s">
        <v>143</v>
      </c>
      <c r="AY453" s="61" t="str">
        <f>IFERROR(__xludf.DUMMYFUNCTION("vlookup(BB453,importrange(""https://docs.google.com/spreadsheets/d/1d2vevQ_7D_v35q4wCQ4RpQ_IPoTwEMB9Yp6ymwlPqew/edit?gid=984458430#gid=984458430"", ""'replication success'!A:K""), 11, FAlSE)"),"mixed")</f>
        <v>mixed</v>
      </c>
      <c r="AZ453" s="61" t="str">
        <f>IFERROR(__xludf.DUMMYFUNCTION("vlookup(BB453,importrange(""https://docs.google.com/spreadsheets/d/1d2vevQ_7D_v35q4wCQ4RpQ_IPoTwEMB9Yp6ymwlPqew/edit?gid=984458430#gid=984458430"", ""'replication success'!A:M""), 12, FAlSE)"),"Although the stress induction was
successful in both samples shown by increases of cortisol, heart rate, blood pressure and ratings of stress
and arousal absent in the control condition, no state-dependent shift of RFA during stress induction was
obser"&amp;"ved in either sample. The current study confirmed the relation between RFA at rest and cortisol, however the observed response pattern differed from the original study as RFA both pre-, and post-
stress was significantly correlated to cortisol.")</f>
        <v>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v>
      </c>
      <c r="BA453" s="61" t="str">
        <f>IFERROR(__xludf.DUMMYFUNCTION("vlookup(BB453,importrange(""https://docs.google.com/spreadsheets/d/1d2vevQ_7D_v35q4wCQ4RpQ_IPoTwEMB9Yp6ymwlPqew/edit?gid=984458430#gid=984458430"", ""'replication success'!A:M""), 13, FAlSE)"),"abstract")</f>
        <v>abstract</v>
      </c>
      <c r="BB453" s="61" t="str">
        <f>IFERROR(__xludf.DUMMYFUNCTION("REGEXREPLACE(G453, ""_[a-z]{1,2}$"", """")"),"additional_studies79")</f>
        <v>additional_studies79</v>
      </c>
      <c r="BC453" s="68"/>
      <c r="BD453" s="149" t="s">
        <v>144</v>
      </c>
      <c r="BE453" s="532"/>
      <c r="BF453" s="189"/>
      <c r="BG453" s="189"/>
      <c r="BH453" s="189"/>
      <c r="BI453" s="189"/>
      <c r="BJ453" s="189"/>
      <c r="BK453" s="189"/>
      <c r="BL453" s="189"/>
      <c r="BM453" s="189"/>
      <c r="BN453" s="189"/>
      <c r="BO453" s="189"/>
      <c r="BP453" s="189"/>
      <c r="BQ453" s="189"/>
      <c r="BR453" s="189"/>
      <c r="BS453" s="189"/>
      <c r="BT453" s="189"/>
      <c r="BU453" s="189"/>
      <c r="BV453" s="189"/>
      <c r="BW453" s="189"/>
      <c r="BX453" s="189"/>
      <c r="BY453" s="189"/>
      <c r="BZ453" s="189"/>
      <c r="CA453" s="189"/>
      <c r="CB453" s="189"/>
      <c r="CC453" s="189"/>
      <c r="CD453" s="189"/>
      <c r="CE453" s="189"/>
      <c r="CF453" s="189"/>
      <c r="CG453" s="189"/>
      <c r="CH453" s="189"/>
      <c r="CI453" s="189"/>
      <c r="CJ453" s="189"/>
      <c r="CK453" s="189"/>
      <c r="CL453" s="189"/>
      <c r="CM453" s="189"/>
      <c r="CN453" s="189"/>
      <c r="CO453" s="189"/>
      <c r="CP453" s="189"/>
      <c r="CQ453" s="189"/>
      <c r="CR453" s="189"/>
      <c r="CS453" s="189"/>
      <c r="CT453" s="189"/>
      <c r="CU453" s="189"/>
      <c r="CV453" s="189"/>
      <c r="CW453" s="189"/>
      <c r="CX453" s="189"/>
      <c r="CY453" s="189"/>
      <c r="CZ453" s="189"/>
      <c r="DA453" s="189"/>
      <c r="DB453" s="189"/>
      <c r="DC453" s="189"/>
      <c r="DD453" s="189"/>
      <c r="DE453" s="189"/>
      <c r="DF453" s="189"/>
      <c r="DG453" s="189"/>
      <c r="DH453" s="189"/>
      <c r="DI453" s="189"/>
      <c r="DJ453" s="189"/>
      <c r="DK453" s="189"/>
      <c r="DL453" s="189"/>
    </row>
    <row r="454" ht="20.25" customHeight="1">
      <c r="A454" s="44">
        <v>454.0</v>
      </c>
      <c r="B454" s="149" t="s">
        <v>152</v>
      </c>
      <c r="C454" s="149" t="s">
        <v>115</v>
      </c>
      <c r="D454" s="149" t="s">
        <v>1458</v>
      </c>
      <c r="E454" s="71"/>
      <c r="F454" s="761" t="s">
        <v>2417</v>
      </c>
      <c r="G454" s="112" t="s">
        <v>2445</v>
      </c>
      <c r="H454" s="112" t="s">
        <v>1518</v>
      </c>
      <c r="I454" s="417">
        <v>45489.0</v>
      </c>
      <c r="J454" s="113">
        <v>45641.0</v>
      </c>
      <c r="K454" s="114"/>
      <c r="L454" s="114"/>
      <c r="M454" s="112" t="s">
        <v>2420</v>
      </c>
      <c r="N454" s="676" t="s">
        <v>2421</v>
      </c>
      <c r="O454" s="147">
        <v>1.0</v>
      </c>
      <c r="P454" s="121" t="str">
        <f t="shared" si="26"/>
        <v>10.1016--j.biopsycho.2018.08.007.pdf</v>
      </c>
      <c r="Q454" s="52" t="str">
        <f t="array" ref="Q454"> if(iserror(MATCH(V454, 'File Links'!C:C, 0)), "N/A", HYPERLINK(INDEX('File Links'!B:B, MATCH(P454, 'File Links'!C:C, 0))))</f>
        <v>https://drive.google.com/file/d/1V8lTfv6HJ8IMLiB5gYCuvj2XX1Nry6fh/view?usp=drivesdk</v>
      </c>
      <c r="R454" s="676" t="s">
        <v>2422</v>
      </c>
      <c r="S454" s="147" t="s">
        <v>2423</v>
      </c>
      <c r="T454" s="780" t="s">
        <v>2424</v>
      </c>
      <c r="U454" s="147">
        <v>1.0</v>
      </c>
      <c r="V454" s="112" t="str">
        <f t="shared" si="25"/>
        <v>bischoff_ma_bms.pdf</v>
      </c>
      <c r="W454" s="112" t="s">
        <v>2425</v>
      </c>
      <c r="X454" s="54" t="str">
        <f t="array" ref="X454"> if(iserror(MATCH(V454, 'File Links'!C:C, 0)), "N/A", HYPERLINK(INDEX('File Links'!B:B, MATCH(V454, 'File Links'!C:C, 0))))</f>
        <v>https://drive.google.com/file/d/11I9BYw-LgWPOfVM-roaK7IeDdor9cI5n/view?usp=drivesdk</v>
      </c>
      <c r="Y454" s="114"/>
      <c r="Z454" s="112" t="s">
        <v>2426</v>
      </c>
      <c r="AA454" s="114" t="s">
        <v>2427</v>
      </c>
      <c r="AB454" s="114" t="s">
        <v>2428</v>
      </c>
      <c r="AC454" s="116" t="s">
        <v>2429</v>
      </c>
      <c r="AD454" s="112" t="s">
        <v>2446</v>
      </c>
      <c r="AE454" s="112" t="s">
        <v>2447</v>
      </c>
      <c r="AF454" s="117">
        <v>24.0</v>
      </c>
      <c r="AG454" s="117">
        <v>-0.512</v>
      </c>
      <c r="AH454" s="121" t="s">
        <v>215</v>
      </c>
      <c r="AI454" s="112" t="s">
        <v>1819</v>
      </c>
      <c r="AJ454" s="117">
        <v>0.018</v>
      </c>
      <c r="AK454" s="111" t="s">
        <v>172</v>
      </c>
      <c r="AL454" s="114" t="s">
        <v>186</v>
      </c>
      <c r="AM454" s="112" t="s">
        <v>141</v>
      </c>
      <c r="AN454" s="219" t="s">
        <v>138</v>
      </c>
      <c r="AO454" s="117">
        <v>32.0</v>
      </c>
      <c r="AP454" s="117">
        <v>0.173</v>
      </c>
      <c r="AQ454" s="112" t="s">
        <v>215</v>
      </c>
      <c r="AR454" s="112" t="s">
        <v>2442</v>
      </c>
      <c r="AS454" s="117">
        <v>0.344</v>
      </c>
      <c r="AT454" s="111" t="s">
        <v>172</v>
      </c>
      <c r="AU454" s="122" t="s">
        <v>186</v>
      </c>
      <c r="AV454" s="122" t="s">
        <v>141</v>
      </c>
      <c r="AW454" s="68" t="s">
        <v>138</v>
      </c>
      <c r="AX454" s="762" t="s">
        <v>143</v>
      </c>
      <c r="AY454" s="61" t="str">
        <f>IFERROR(__xludf.DUMMYFUNCTION("vlookup(BB454,importrange(""https://docs.google.com/spreadsheets/d/1d2vevQ_7D_v35q4wCQ4RpQ_IPoTwEMB9Yp6ymwlPqew/edit?gid=984458430#gid=984458430"", ""'replication success'!A:K""), 11, FAlSE)"),"mixed")</f>
        <v>mixed</v>
      </c>
      <c r="AZ454" s="61" t="str">
        <f>IFERROR(__xludf.DUMMYFUNCTION("vlookup(BB454,importrange(""https://docs.google.com/spreadsheets/d/1d2vevQ_7D_v35q4wCQ4RpQ_IPoTwEMB9Yp6ymwlPqew/edit?gid=984458430#gid=984458430"", ""'replication success'!A:M""), 12, FAlSE)"),"Although the stress induction was
successful in both samples shown by increases of cortisol, heart rate, blood pressure and ratings of stress
and arousal absent in the control condition, no state-dependent shift of RFA during stress induction was
obser"&amp;"ved in either sample. The current study confirmed the relation between RFA at rest and cortisol, however the observed response pattern differed from the original study as RFA both pre-, and post-
stress was significantly correlated to cortisol.")</f>
        <v>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v>
      </c>
      <c r="BA454" s="61" t="str">
        <f>IFERROR(__xludf.DUMMYFUNCTION("vlookup(BB454,importrange(""https://docs.google.com/spreadsheets/d/1d2vevQ_7D_v35q4wCQ4RpQ_IPoTwEMB9Yp6ymwlPqew/edit?gid=984458430#gid=984458430"", ""'replication success'!A:M""), 13, FAlSE)"),"abstract")</f>
        <v>abstract</v>
      </c>
      <c r="BB454" s="61" t="str">
        <f>IFERROR(__xludf.DUMMYFUNCTION("REGEXREPLACE(G454, ""_[a-z]{1,2}$"", """")"),"additional_studies79")</f>
        <v>additional_studies79</v>
      </c>
      <c r="BC454" s="61"/>
      <c r="BD454" s="149" t="s">
        <v>144</v>
      </c>
      <c r="BE454" s="532"/>
      <c r="BF454" s="189"/>
      <c r="BG454" s="189"/>
      <c r="BH454" s="189"/>
      <c r="BI454" s="189"/>
      <c r="BJ454" s="189"/>
      <c r="BK454" s="189"/>
      <c r="BL454" s="189"/>
      <c r="BM454" s="189"/>
      <c r="BN454" s="189"/>
      <c r="BO454" s="189"/>
      <c r="BP454" s="189"/>
      <c r="BQ454" s="189"/>
      <c r="BR454" s="189"/>
      <c r="BS454" s="189"/>
      <c r="BT454" s="189"/>
      <c r="BU454" s="189"/>
      <c r="BV454" s="189"/>
      <c r="BW454" s="189"/>
      <c r="BX454" s="189"/>
      <c r="BY454" s="189"/>
      <c r="BZ454" s="189"/>
      <c r="CA454" s="189"/>
      <c r="CB454" s="189"/>
      <c r="CC454" s="189"/>
      <c r="CD454" s="189"/>
      <c r="CE454" s="189"/>
      <c r="CF454" s="189"/>
      <c r="CG454" s="189"/>
      <c r="CH454" s="189"/>
      <c r="CI454" s="189"/>
      <c r="CJ454" s="189"/>
      <c r="CK454" s="189"/>
      <c r="CL454" s="189"/>
      <c r="CM454" s="189"/>
      <c r="CN454" s="189"/>
      <c r="CO454" s="189"/>
      <c r="CP454" s="189"/>
      <c r="CQ454" s="189"/>
      <c r="CR454" s="189"/>
      <c r="CS454" s="189"/>
      <c r="CT454" s="189"/>
      <c r="CU454" s="189"/>
      <c r="CV454" s="189"/>
      <c r="CW454" s="189"/>
      <c r="CX454" s="189"/>
      <c r="CY454" s="189"/>
      <c r="CZ454" s="189"/>
      <c r="DA454" s="189"/>
      <c r="DB454" s="189"/>
      <c r="DC454" s="189"/>
      <c r="DD454" s="189"/>
      <c r="DE454" s="189"/>
      <c r="DF454" s="189"/>
      <c r="DG454" s="189"/>
      <c r="DH454" s="189"/>
      <c r="DI454" s="189"/>
      <c r="DJ454" s="189"/>
      <c r="DK454" s="189"/>
      <c r="DL454" s="189"/>
    </row>
    <row r="455" ht="20.25" customHeight="1">
      <c r="A455" s="44">
        <v>455.0</v>
      </c>
      <c r="B455" s="467" t="s">
        <v>114</v>
      </c>
      <c r="C455" s="467" t="s">
        <v>115</v>
      </c>
      <c r="D455" s="467" t="s">
        <v>1458</v>
      </c>
      <c r="E455" s="468"/>
      <c r="F455" s="469" t="s">
        <v>2448</v>
      </c>
      <c r="G455" s="470" t="s">
        <v>2449</v>
      </c>
      <c r="H455" s="470" t="s">
        <v>1518</v>
      </c>
      <c r="I455" s="784">
        <v>45641.0</v>
      </c>
      <c r="J455" s="785">
        <v>45673.0</v>
      </c>
      <c r="K455" s="470" t="s">
        <v>2450</v>
      </c>
      <c r="L455" s="488" t="s">
        <v>2451</v>
      </c>
      <c r="M455" s="470" t="s">
        <v>2452</v>
      </c>
      <c r="N455" s="470" t="s">
        <v>2453</v>
      </c>
      <c r="O455" s="476"/>
      <c r="P455" s="475" t="str">
        <f t="shared" si="26"/>
        <v>10.1145--3105726.3106182.pdf</v>
      </c>
      <c r="Q455" s="52" t="str">
        <f t="array" ref="Q455"> if(iserror(MATCH(V455, 'File Links'!C:C, 0)), "N/A", HYPERLINK(INDEX('File Links'!B:B, MATCH(P455, 'File Links'!C:C, 0))))</f>
        <v>https://drive.google.com/file/d/1wq7-2vqDvzteuPzlUspBQRdnaX3rmhA1/view?usp=drivesdk</v>
      </c>
      <c r="R455" s="786" t="s">
        <v>2454</v>
      </c>
      <c r="S455" s="786" t="s">
        <v>2455</v>
      </c>
      <c r="T455" s="476"/>
      <c r="U455" s="787"/>
      <c r="V455" s="470" t="str">
        <f t="shared" si="25"/>
        <v>10.1145--3649217.3653545.pdf</v>
      </c>
      <c r="W455" s="470" t="s">
        <v>2456</v>
      </c>
      <c r="X455" s="54" t="str">
        <f t="array" ref="X455"> if(iserror(MATCH(V455, 'File Links'!C:C, 0)), "N/A", HYPERLINK(INDEX('File Links'!B:B, MATCH(V455, 'File Links'!C:C, 0))))</f>
        <v>https://drive.google.com/file/d/1AeJCeDtR27X7LIlQj69LZhU8lw_irjTZ/view?usp=drivesdk</v>
      </c>
      <c r="Y455" s="476"/>
      <c r="Z455" s="470" t="s">
        <v>2457</v>
      </c>
      <c r="AA455" s="470" t="s">
        <v>2458</v>
      </c>
      <c r="AB455" s="476" t="s">
        <v>2459</v>
      </c>
      <c r="AC455" s="476" t="s">
        <v>2460</v>
      </c>
      <c r="AD455" s="480" t="s">
        <v>2461</v>
      </c>
      <c r="AE455" s="479">
        <v>6.0</v>
      </c>
      <c r="AF455" s="476"/>
      <c r="AG455" s="479">
        <v>-0.27</v>
      </c>
      <c r="AH455" s="480" t="s">
        <v>215</v>
      </c>
      <c r="AI455" s="470" t="s">
        <v>1042</v>
      </c>
      <c r="AJ455" s="476"/>
      <c r="AK455" s="482"/>
      <c r="AL455" s="470" t="s">
        <v>186</v>
      </c>
      <c r="AM455" s="485" t="s">
        <v>137</v>
      </c>
      <c r="AN455" s="474" t="s">
        <v>138</v>
      </c>
      <c r="AO455" s="476"/>
      <c r="AP455" s="479">
        <v>-0.53</v>
      </c>
      <c r="AQ455" s="480" t="s">
        <v>215</v>
      </c>
      <c r="AR455" s="470" t="s">
        <v>496</v>
      </c>
      <c r="AS455" s="479">
        <v>0.001</v>
      </c>
      <c r="AT455" s="469" t="s">
        <v>135</v>
      </c>
      <c r="AU455" s="469" t="s">
        <v>186</v>
      </c>
      <c r="AV455" s="469" t="s">
        <v>1905</v>
      </c>
      <c r="AW455" s="474" t="s">
        <v>138</v>
      </c>
      <c r="AX455" s="469" t="s">
        <v>151</v>
      </c>
      <c r="AY455" s="61" t="str">
        <f>IFERROR(__xludf.DUMMYFUNCTION("vlookup(BB455,importrange(""https://docs.google.com/spreadsheets/d/1d2vevQ_7D_v35q4wCQ4RpQ_IPoTwEMB9Yp6ymwlPqew/edit?gid=984458430#gid=984458430"", ""'replication success'!A:K""), 11, FAlSE)"),"successful")</f>
        <v>successful</v>
      </c>
      <c r="AZ455" s="61" t="str">
        <f>IFERROR(__xludf.DUMMYFUNCTION("vlookup(BB455,importrange(""https://docs.google.com/spreadsheets/d/1d2vevQ_7D_v35q4wCQ4RpQ_IPoTwEMB9Yp6ymwlPqew/edit?gid=984458430#gid=984458430"",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55" s="61" t="str">
        <f>IFERROR(__xludf.DUMMYFUNCTION("vlookup(BB455,importrange(""https://docs.google.com/spreadsheets/d/1d2vevQ_7D_v35q4wCQ4RpQ_IPoTwEMB9Yp6ymwlPqew/edit?gid=984458430#gid=984458430"", ""'replication success'!A:M""), 13, FAlSE)"),"abstract")</f>
        <v>abstract</v>
      </c>
      <c r="BB455" s="61" t="str">
        <f>IFERROR(__xludf.DUMMYFUNCTION("REGEXREPLACE(G455, ""_[a-z]{1,2}$"", """")"),"additional_studies81")</f>
        <v>additional_studies81</v>
      </c>
      <c r="BC455" s="129"/>
      <c r="BD455" s="149" t="s">
        <v>144</v>
      </c>
      <c r="BE455" s="189"/>
      <c r="BF455" s="189"/>
      <c r="BG455" s="189"/>
      <c r="BH455" s="189"/>
      <c r="BI455" s="189"/>
      <c r="BJ455" s="189"/>
      <c r="BK455" s="189"/>
      <c r="BL455" s="189"/>
      <c r="BM455" s="189"/>
      <c r="BN455" s="189"/>
      <c r="BO455" s="189"/>
      <c r="BP455" s="189"/>
      <c r="BQ455" s="189"/>
      <c r="BR455" s="189"/>
      <c r="BS455" s="189"/>
      <c r="BT455" s="189"/>
      <c r="BU455" s="189"/>
      <c r="BV455" s="189"/>
      <c r="BW455" s="189"/>
      <c r="BX455" s="189"/>
      <c r="BY455" s="189"/>
      <c r="BZ455" s="189"/>
      <c r="CA455" s="189"/>
      <c r="CB455" s="189"/>
      <c r="CC455" s="189"/>
      <c r="CD455" s="189"/>
      <c r="CE455" s="189"/>
      <c r="CF455" s="189"/>
      <c r="CG455" s="189"/>
      <c r="CH455" s="189"/>
      <c r="CI455" s="189"/>
      <c r="CJ455" s="189"/>
      <c r="CK455" s="189"/>
      <c r="CL455" s="189"/>
      <c r="CM455" s="189"/>
      <c r="CN455" s="189"/>
      <c r="CO455" s="189"/>
      <c r="CP455" s="189"/>
      <c r="CQ455" s="189"/>
      <c r="CR455" s="189"/>
      <c r="CS455" s="189"/>
      <c r="CT455" s="189"/>
      <c r="CU455" s="189"/>
      <c r="CV455" s="189"/>
      <c r="CW455" s="189"/>
      <c r="CX455" s="189"/>
      <c r="CY455" s="189"/>
      <c r="CZ455" s="189"/>
      <c r="DA455" s="189"/>
      <c r="DB455" s="189"/>
      <c r="DC455" s="189"/>
      <c r="DD455" s="189"/>
      <c r="DE455" s="189"/>
      <c r="DF455" s="189"/>
      <c r="DG455" s="189"/>
      <c r="DH455" s="189"/>
      <c r="DI455" s="189"/>
      <c r="DJ455" s="189"/>
      <c r="DK455" s="189"/>
      <c r="DL455" s="189"/>
    </row>
    <row r="456" ht="20.25" customHeight="1">
      <c r="A456" s="44">
        <v>456.0</v>
      </c>
      <c r="B456" s="381" t="s">
        <v>114</v>
      </c>
      <c r="C456" s="381" t="s">
        <v>115</v>
      </c>
      <c r="D456" s="381" t="s">
        <v>2192</v>
      </c>
      <c r="E456" s="484"/>
      <c r="F456" s="485" t="s">
        <v>2448</v>
      </c>
      <c r="G456" s="486" t="s">
        <v>2449</v>
      </c>
      <c r="H456" s="485" t="s">
        <v>2193</v>
      </c>
      <c r="I456" s="487">
        <v>45662.0</v>
      </c>
      <c r="J456" s="785">
        <v>45673.0</v>
      </c>
      <c r="K456" s="489"/>
      <c r="L456" s="488" t="s">
        <v>2451</v>
      </c>
      <c r="M456" s="485" t="s">
        <v>2452</v>
      </c>
      <c r="N456" s="485" t="s">
        <v>2453</v>
      </c>
      <c r="O456" s="489"/>
      <c r="P456" s="485" t="str">
        <f t="shared" si="26"/>
        <v>10.1145--3105726.3106182.pdf</v>
      </c>
      <c r="Q456" s="52" t="str">
        <f t="array" ref="Q456"> if(iserror(MATCH(V456, 'File Links'!C:C, 0)), "N/A", HYPERLINK(INDEX('File Links'!B:B, MATCH(P456, 'File Links'!C:C, 0))))</f>
        <v>https://drive.google.com/file/d/1wq7-2vqDvzteuPzlUspBQRdnaX3rmhA1/view?usp=drivesdk</v>
      </c>
      <c r="R456" s="485" t="s">
        <v>2462</v>
      </c>
      <c r="S456" s="485" t="s">
        <v>2455</v>
      </c>
      <c r="T456" s="489"/>
      <c r="U456" s="489"/>
      <c r="V456" s="485" t="str">
        <f t="shared" si="25"/>
        <v>10.1145--3649217.3653545.pdf</v>
      </c>
      <c r="W456" s="485" t="s">
        <v>2463</v>
      </c>
      <c r="X456" s="54" t="str">
        <f t="array" ref="X456"> if(iserror(MATCH(V456, 'File Links'!C:C, 0)), "N/A", HYPERLINK(INDEX('File Links'!B:B, MATCH(V456, 'File Links'!C:C, 0))))</f>
        <v>https://drive.google.com/file/d/1AeJCeDtR27X7LIlQj69LZhU8lw_irjTZ/view?usp=drivesdk</v>
      </c>
      <c r="Y456" s="489"/>
      <c r="Z456" s="485" t="s">
        <v>241</v>
      </c>
      <c r="AA456" s="485" t="s">
        <v>2464</v>
      </c>
      <c r="AB456" s="485" t="s">
        <v>2465</v>
      </c>
      <c r="AC456" s="485" t="s">
        <v>2466</v>
      </c>
      <c r="AD456" s="485" t="s">
        <v>2467</v>
      </c>
      <c r="AE456" s="495">
        <v>5.0</v>
      </c>
      <c r="AF456" s="756">
        <v>3691.0</v>
      </c>
      <c r="AG456" s="489"/>
      <c r="AH456" s="788"/>
      <c r="AI456" s="789"/>
      <c r="AJ456" s="789"/>
      <c r="AK456" s="489"/>
      <c r="AL456" s="789"/>
      <c r="AM456" s="489"/>
      <c r="AN456" s="488" t="s">
        <v>138</v>
      </c>
      <c r="AO456" s="495">
        <v>1270.0</v>
      </c>
      <c r="AP456" s="489"/>
      <c r="AQ456" s="489"/>
      <c r="AR456" s="489"/>
      <c r="AS456" s="489"/>
      <c r="AT456" s="489"/>
      <c r="AU456" s="489"/>
      <c r="AV456" s="489"/>
      <c r="AW456" s="488" t="s">
        <v>138</v>
      </c>
      <c r="AX456" s="485" t="s">
        <v>143</v>
      </c>
      <c r="AY456" s="61" t="str">
        <f>IFERROR(__xludf.DUMMYFUNCTION("vlookup(BB456,importrange(""https://docs.google.com/spreadsheets/d/1d2vevQ_7D_v35q4wCQ4RpQ_IPoTwEMB9Yp6ymwlPqew/edit?gid=984458430#gid=984458430"", ""'replication success'!A:K""), 11, FAlSE)"),"successful")</f>
        <v>successful</v>
      </c>
      <c r="AZ456" s="61" t="str">
        <f>IFERROR(__xludf.DUMMYFUNCTION("vlookup(BB456,importrange(""https://docs.google.com/spreadsheets/d/1d2vevQ_7D_v35q4wCQ4RpQ_IPoTwEMB9Yp6ymwlPqew/edit?gid=984458430#gid=984458430"",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56" s="61" t="str">
        <f>IFERROR(__xludf.DUMMYFUNCTION("vlookup(BB456,importrange(""https://docs.google.com/spreadsheets/d/1d2vevQ_7D_v35q4wCQ4RpQ_IPoTwEMB9Yp6ymwlPqew/edit?gid=984458430#gid=984458430"", ""'replication success'!A:M""), 13, FAlSE)"),"abstract")</f>
        <v>abstract</v>
      </c>
      <c r="BB456" s="61" t="str">
        <f>IFERROR(__xludf.DUMMYFUNCTION("REGEXREPLACE(G456, ""_[a-z]{1,2}$"", """")"),"additional_studies81")</f>
        <v>additional_studies81</v>
      </c>
      <c r="BC456" s="129"/>
      <c r="BD456" s="149" t="s">
        <v>144</v>
      </c>
      <c r="BE456" s="743"/>
      <c r="BF456" s="743"/>
      <c r="BG456" s="743"/>
      <c r="BH456" s="743"/>
      <c r="BI456" s="743"/>
      <c r="BJ456" s="743"/>
      <c r="BK456" s="743"/>
      <c r="BL456" s="743"/>
      <c r="BM456" s="743"/>
      <c r="BN456" s="743"/>
      <c r="BO456" s="743"/>
      <c r="BP456" s="743"/>
      <c r="BQ456" s="743"/>
      <c r="BR456" s="743"/>
      <c r="BS456" s="743"/>
      <c r="BT456" s="743"/>
      <c r="BU456" s="743"/>
      <c r="BV456" s="743"/>
      <c r="BW456" s="743"/>
      <c r="BX456" s="743"/>
      <c r="BY456" s="743"/>
      <c r="BZ456" s="743"/>
      <c r="CA456" s="743"/>
      <c r="CB456" s="743"/>
      <c r="CC456" s="743"/>
      <c r="CD456" s="743"/>
      <c r="CE456" s="743"/>
      <c r="CF456" s="743"/>
      <c r="CG456" s="743"/>
      <c r="CH456" s="743"/>
      <c r="CI456" s="743"/>
      <c r="CJ456" s="743"/>
      <c r="CK456" s="743"/>
      <c r="CL456" s="743"/>
      <c r="CM456" s="743"/>
      <c r="CN456" s="743"/>
      <c r="CO456" s="743"/>
      <c r="CP456" s="743"/>
      <c r="CQ456" s="743"/>
      <c r="CR456" s="743"/>
      <c r="CS456" s="743"/>
      <c r="CT456" s="743"/>
      <c r="CU456" s="743"/>
      <c r="CV456" s="743"/>
      <c r="CW456" s="743"/>
      <c r="CX456" s="743"/>
      <c r="CY456" s="743"/>
      <c r="CZ456" s="743"/>
      <c r="DA456" s="743"/>
      <c r="DB456" s="743"/>
      <c r="DC456" s="743"/>
      <c r="DD456" s="743"/>
      <c r="DE456" s="743"/>
      <c r="DF456" s="743"/>
      <c r="DG456" s="743"/>
      <c r="DH456" s="743"/>
      <c r="DI456" s="743"/>
      <c r="DJ456" s="743"/>
      <c r="DK456" s="743"/>
      <c r="DL456" s="743"/>
    </row>
    <row r="457" ht="20.25" customHeight="1">
      <c r="A457" s="44">
        <v>457.0</v>
      </c>
      <c r="B457" s="62" t="s">
        <v>285</v>
      </c>
      <c r="C457" s="62" t="s">
        <v>115</v>
      </c>
      <c r="D457" s="62" t="s">
        <v>1458</v>
      </c>
      <c r="F457" s="129" t="s">
        <v>2448</v>
      </c>
      <c r="G457" s="129" t="s">
        <v>2449</v>
      </c>
      <c r="H457" s="61"/>
      <c r="I457" s="152">
        <v>45489.0</v>
      </c>
      <c r="J457" s="790">
        <v>45641.0</v>
      </c>
      <c r="K457" s="57" t="s">
        <v>2450</v>
      </c>
      <c r="L457" s="61"/>
      <c r="M457" s="57" t="s">
        <v>2468</v>
      </c>
      <c r="N457" s="57" t="s">
        <v>2453</v>
      </c>
      <c r="O457" s="61"/>
      <c r="P457" s="339" t="str">
        <f t="shared" si="26"/>
        <v>10.1145--3105726.3106182.pdf</v>
      </c>
      <c r="Q457" s="52" t="str">
        <f t="array" ref="Q457"> if(iserror(MATCH(V457, 'File Links'!C:C, 0)), "N/A", HYPERLINK(INDEX('File Links'!B:B, MATCH(P457, 'File Links'!C:C, 0))))</f>
        <v>https://drive.google.com/file/d/1wq7-2vqDvzteuPzlUspBQRdnaX3rmhA1/view?usp=drivesdk</v>
      </c>
      <c r="R457" s="57" t="s">
        <v>2469</v>
      </c>
      <c r="S457" s="57" t="s">
        <v>2455</v>
      </c>
      <c r="T457" s="61"/>
      <c r="U457" s="338"/>
      <c r="V457" s="57" t="str">
        <f t="shared" si="25"/>
        <v>10.1145--3649217.3653545.pdf</v>
      </c>
      <c r="W457" s="57" t="s">
        <v>2456</v>
      </c>
      <c r="X457" s="54" t="str">
        <f t="array" ref="X457"> if(iserror(MATCH(V457, 'File Links'!C:C, 0)), "N/A", HYPERLINK(INDEX('File Links'!B:B, MATCH(V457, 'File Links'!C:C, 0))))</f>
        <v>https://drive.google.com/file/d/1AeJCeDtR27X7LIlQj69LZhU8lw_irjTZ/view?usp=drivesdk</v>
      </c>
      <c r="Y457" s="61"/>
      <c r="Z457" s="57" t="s">
        <v>2457</v>
      </c>
      <c r="AA457" s="57" t="s">
        <v>2458</v>
      </c>
      <c r="AB457" s="61" t="s">
        <v>2459</v>
      </c>
      <c r="AC457" s="61" t="s">
        <v>2460</v>
      </c>
      <c r="AD457" s="61" t="s">
        <v>2470</v>
      </c>
      <c r="AE457" s="379">
        <v>6.0</v>
      </c>
      <c r="AF457" s="61"/>
      <c r="AG457" s="57" t="s">
        <v>2471</v>
      </c>
      <c r="AH457" s="339" t="s">
        <v>134</v>
      </c>
      <c r="AI457" s="57" t="s">
        <v>1042</v>
      </c>
      <c r="AJ457" s="379">
        <v>1.0E-4</v>
      </c>
      <c r="AK457" s="68" t="s">
        <v>135</v>
      </c>
      <c r="AL457" s="57" t="s">
        <v>186</v>
      </c>
      <c r="AM457" s="57" t="s">
        <v>1905</v>
      </c>
      <c r="AN457" s="61"/>
      <c r="AO457" s="61"/>
      <c r="AP457" s="61" t="s">
        <v>2472</v>
      </c>
      <c r="AQ457" s="57" t="s">
        <v>134</v>
      </c>
      <c r="AR457" s="57" t="s">
        <v>882</v>
      </c>
      <c r="AS457" s="379">
        <v>0.001</v>
      </c>
      <c r="AT457" s="159" t="s">
        <v>135</v>
      </c>
      <c r="AU457" s="159" t="s">
        <v>218</v>
      </c>
      <c r="AV457" s="159" t="s">
        <v>1905</v>
      </c>
      <c r="AW457" s="68"/>
      <c r="AX457" s="159" t="s">
        <v>2473</v>
      </c>
      <c r="AY457" s="61" t="str">
        <f>IFERROR(__xludf.DUMMYFUNCTION("vlookup(BB457,importrange(""https://docs.google.com/spreadsheets/d/1d2vevQ_7D_v35q4wCQ4RpQ_IPoTwEMB9Yp6ymwlPqew/edit?gid=984458430#gid=984458430"", ""'replication success'!A:K""), 11, FAlSE)"),"successful")</f>
        <v>successful</v>
      </c>
      <c r="AZ457" s="61" t="str">
        <f>IFERROR(__xludf.DUMMYFUNCTION("vlookup(BB457,importrange(""https://docs.google.com/spreadsheets/d/1d2vevQ_7D_v35q4wCQ4RpQ_IPoTwEMB9Yp6ymwlPqew/edit?gid=984458430#gid=984458430"",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57" s="61" t="str">
        <f>IFERROR(__xludf.DUMMYFUNCTION("vlookup(BB457,importrange(""https://docs.google.com/spreadsheets/d/1d2vevQ_7D_v35q4wCQ4RpQ_IPoTwEMB9Yp6ymwlPqew/edit?gid=984458430#gid=984458430"", ""'replication success'!A:M""), 13, FAlSE)"),"abstract")</f>
        <v>abstract</v>
      </c>
      <c r="BB457" s="61" t="str">
        <f>IFERROR(__xludf.DUMMYFUNCTION("REGEXREPLACE(G457, ""_[a-z]{1,2}$"", """")"),"additional_studies81")</f>
        <v>additional_studies81</v>
      </c>
      <c r="BE457" s="164"/>
      <c r="BF457" s="164"/>
      <c r="BG457" s="164"/>
      <c r="BH457" s="164"/>
      <c r="BI457" s="164"/>
      <c r="BJ457" s="164"/>
      <c r="BK457" s="164"/>
      <c r="BL457" s="164"/>
      <c r="BM457" s="164"/>
      <c r="BN457" s="164"/>
      <c r="BO457" s="164"/>
      <c r="BP457" s="164"/>
      <c r="BQ457" s="164"/>
      <c r="BR457" s="164"/>
      <c r="BS457" s="164"/>
      <c r="BT457" s="164"/>
      <c r="BU457" s="164"/>
      <c r="BV457" s="164"/>
      <c r="BW457" s="164"/>
      <c r="BX457" s="164"/>
      <c r="BY457" s="164"/>
      <c r="BZ457" s="164"/>
      <c r="CA457" s="164"/>
      <c r="CB457" s="164"/>
      <c r="CC457" s="164"/>
      <c r="CD457" s="164"/>
      <c r="CE457" s="164"/>
      <c r="CF457" s="164"/>
      <c r="CG457" s="164"/>
      <c r="CH457" s="164"/>
      <c r="CI457" s="164"/>
      <c r="CJ457" s="164"/>
      <c r="CK457" s="164"/>
      <c r="CL457" s="164"/>
      <c r="CM457" s="164"/>
      <c r="CN457" s="164"/>
      <c r="CO457" s="164"/>
      <c r="CP457" s="164"/>
      <c r="CQ457" s="164"/>
      <c r="CR457" s="164"/>
      <c r="CS457" s="164"/>
      <c r="CT457" s="164"/>
      <c r="CU457" s="164"/>
      <c r="CV457" s="164"/>
      <c r="CW457" s="164"/>
      <c r="CX457" s="164"/>
      <c r="CY457" s="164"/>
      <c r="CZ457" s="164"/>
      <c r="DA457" s="164"/>
      <c r="DB457" s="164"/>
      <c r="DC457" s="164"/>
      <c r="DD457" s="164"/>
      <c r="DE457" s="164"/>
      <c r="DF457" s="164"/>
      <c r="DG457" s="164"/>
      <c r="DH457" s="164"/>
      <c r="DI457" s="164"/>
      <c r="DJ457" s="164"/>
      <c r="DK457" s="164"/>
      <c r="DL457" s="164"/>
    </row>
    <row r="458" ht="20.25" customHeight="1">
      <c r="A458" s="44">
        <v>458.0</v>
      </c>
      <c r="B458" s="381" t="s">
        <v>114</v>
      </c>
      <c r="C458" s="381" t="s">
        <v>115</v>
      </c>
      <c r="D458" s="381" t="s">
        <v>2192</v>
      </c>
      <c r="E458" s="484"/>
      <c r="F458" s="129" t="s">
        <v>2448</v>
      </c>
      <c r="G458" s="486" t="s">
        <v>2474</v>
      </c>
      <c r="H458" s="485" t="s">
        <v>2193</v>
      </c>
      <c r="I458" s="487">
        <v>45662.0</v>
      </c>
      <c r="J458" s="785">
        <v>45673.0</v>
      </c>
      <c r="K458" s="485" t="s">
        <v>2475</v>
      </c>
      <c r="L458" s="488" t="s">
        <v>2451</v>
      </c>
      <c r="M458" s="485" t="s">
        <v>2452</v>
      </c>
      <c r="N458" s="485" t="s">
        <v>2453</v>
      </c>
      <c r="O458" s="489"/>
      <c r="P458" s="485" t="str">
        <f t="shared" si="26"/>
        <v>10.1145--3105726.3106182.pdf</v>
      </c>
      <c r="Q458" s="52" t="str">
        <f t="array" ref="Q458"> if(iserror(MATCH(V458, 'File Links'!C:C, 0)), "N/A", HYPERLINK(INDEX('File Links'!B:B, MATCH(P458, 'File Links'!C:C, 0))))</f>
        <v>https://drive.google.com/file/d/1wq7-2vqDvzteuPzlUspBQRdnaX3rmhA1/view?usp=drivesdk</v>
      </c>
      <c r="R458" s="485" t="s">
        <v>2462</v>
      </c>
      <c r="S458" s="485" t="s">
        <v>2455</v>
      </c>
      <c r="T458" s="489"/>
      <c r="U458" s="489"/>
      <c r="V458" s="485" t="str">
        <f t="shared" si="25"/>
        <v>10.1145--3649217.3653545.pdf</v>
      </c>
      <c r="W458" s="485" t="s">
        <v>2463</v>
      </c>
      <c r="X458" s="54" t="str">
        <f t="array" ref="X458"> if(iserror(MATCH(V458, 'File Links'!C:C, 0)), "N/A", HYPERLINK(INDEX('File Links'!B:B, MATCH(V458, 'File Links'!C:C, 0))))</f>
        <v>https://drive.google.com/file/d/1AeJCeDtR27X7LIlQj69LZhU8lw_irjTZ/view?usp=drivesdk</v>
      </c>
      <c r="Y458" s="489"/>
      <c r="Z458" s="485" t="s">
        <v>241</v>
      </c>
      <c r="AA458" s="485" t="s">
        <v>2464</v>
      </c>
      <c r="AB458" s="485" t="s">
        <v>2465</v>
      </c>
      <c r="AC458" s="485" t="s">
        <v>2476</v>
      </c>
      <c r="AD458" s="349" t="s">
        <v>2477</v>
      </c>
      <c r="AE458" s="495">
        <v>5.0</v>
      </c>
      <c r="AF458" s="756">
        <v>3691.0</v>
      </c>
      <c r="AG458" s="791" t="s">
        <v>2478</v>
      </c>
      <c r="AH458" s="349" t="s">
        <v>134</v>
      </c>
      <c r="AI458" s="486" t="s">
        <v>813</v>
      </c>
      <c r="AJ458" s="792">
        <v>1.0E-4</v>
      </c>
      <c r="AK458" s="485" t="s">
        <v>135</v>
      </c>
      <c r="AL458" s="486" t="s">
        <v>186</v>
      </c>
      <c r="AM458" s="485" t="s">
        <v>141</v>
      </c>
      <c r="AN458" s="488" t="s">
        <v>138</v>
      </c>
      <c r="AO458" s="495">
        <v>1270.0</v>
      </c>
      <c r="AP458" s="489"/>
      <c r="AQ458" s="489"/>
      <c r="AR458" s="485" t="s">
        <v>217</v>
      </c>
      <c r="AS458" s="489"/>
      <c r="AT458" s="489"/>
      <c r="AU458" s="489"/>
      <c r="AV458" s="489"/>
      <c r="AW458" s="488" t="s">
        <v>138</v>
      </c>
      <c r="AX458" s="485" t="s">
        <v>151</v>
      </c>
      <c r="AY458" s="61" t="str">
        <f>IFERROR(__xludf.DUMMYFUNCTION("vlookup(BB458,importrange(""https://docs.google.com/spreadsheets/d/1d2vevQ_7D_v35q4wCQ4RpQ_IPoTwEMB9Yp6ymwlPqew/edit?gid=984458430#gid=984458430"", ""'replication success'!A:K""), 11, FAlSE)"),"successful")</f>
        <v>successful</v>
      </c>
      <c r="AZ458" s="61" t="str">
        <f>IFERROR(__xludf.DUMMYFUNCTION("vlookup(BB458,importrange(""https://docs.google.com/spreadsheets/d/1d2vevQ_7D_v35q4wCQ4RpQ_IPoTwEMB9Yp6ymwlPqew/edit?gid=984458430#gid=984458430"",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58" s="61" t="str">
        <f>IFERROR(__xludf.DUMMYFUNCTION("vlookup(BB458,importrange(""https://docs.google.com/spreadsheets/d/1d2vevQ_7D_v35q4wCQ4RpQ_IPoTwEMB9Yp6ymwlPqew/edit?gid=984458430#gid=984458430"", ""'replication success'!A:M""), 13, FAlSE)"),"abstract")</f>
        <v>abstract</v>
      </c>
      <c r="BB458" s="61" t="str">
        <f>IFERROR(__xludf.DUMMYFUNCTION("REGEXREPLACE(G458, ""_[a-z]{1,2}$"", """")"),"additional_studies81")</f>
        <v>additional_studies81</v>
      </c>
      <c r="BC458" s="129"/>
      <c r="BD458" s="149" t="s">
        <v>144</v>
      </c>
      <c r="BE458" s="743"/>
      <c r="BF458" s="743"/>
      <c r="BG458" s="743"/>
      <c r="BH458" s="743"/>
      <c r="BI458" s="743"/>
      <c r="BJ458" s="743"/>
      <c r="BK458" s="743"/>
      <c r="BL458" s="743"/>
      <c r="BM458" s="743"/>
      <c r="BN458" s="743"/>
      <c r="BO458" s="743"/>
      <c r="BP458" s="743"/>
      <c r="BQ458" s="743"/>
      <c r="BR458" s="743"/>
      <c r="BS458" s="743"/>
      <c r="BT458" s="743"/>
      <c r="BU458" s="743"/>
      <c r="BV458" s="743"/>
      <c r="BW458" s="743"/>
      <c r="BX458" s="743"/>
      <c r="BY458" s="743"/>
      <c r="BZ458" s="743"/>
      <c r="CA458" s="743"/>
      <c r="CB458" s="743"/>
      <c r="CC458" s="743"/>
      <c r="CD458" s="743"/>
      <c r="CE458" s="743"/>
      <c r="CF458" s="743"/>
      <c r="CG458" s="743"/>
      <c r="CH458" s="743"/>
      <c r="CI458" s="743"/>
      <c r="CJ458" s="743"/>
      <c r="CK458" s="743"/>
      <c r="CL458" s="743"/>
      <c r="CM458" s="743"/>
      <c r="CN458" s="743"/>
      <c r="CO458" s="743"/>
      <c r="CP458" s="743"/>
      <c r="CQ458" s="743"/>
      <c r="CR458" s="743"/>
      <c r="CS458" s="743"/>
      <c r="CT458" s="743"/>
      <c r="CU458" s="743"/>
      <c r="CV458" s="743"/>
      <c r="CW458" s="743"/>
      <c r="CX458" s="743"/>
      <c r="CY458" s="743"/>
      <c r="CZ458" s="743"/>
      <c r="DA458" s="743"/>
      <c r="DB458" s="743"/>
      <c r="DC458" s="743"/>
      <c r="DD458" s="743"/>
      <c r="DE458" s="743"/>
      <c r="DF458" s="743"/>
      <c r="DG458" s="743"/>
      <c r="DH458" s="743"/>
      <c r="DI458" s="743"/>
      <c r="DJ458" s="743"/>
      <c r="DK458" s="743"/>
      <c r="DL458" s="743"/>
    </row>
    <row r="459" ht="20.25" customHeight="1">
      <c r="A459" s="44">
        <v>459.0</v>
      </c>
      <c r="B459" s="381" t="s">
        <v>152</v>
      </c>
      <c r="C459" s="381" t="s">
        <v>115</v>
      </c>
      <c r="D459" s="381" t="s">
        <v>2192</v>
      </c>
      <c r="E459" s="484"/>
      <c r="F459" s="129" t="s">
        <v>2448</v>
      </c>
      <c r="G459" s="486" t="s">
        <v>2479</v>
      </c>
      <c r="H459" s="485" t="s">
        <v>2193</v>
      </c>
      <c r="I459" s="487">
        <v>45662.0</v>
      </c>
      <c r="J459" s="785">
        <v>45673.0</v>
      </c>
      <c r="K459" s="485" t="s">
        <v>2480</v>
      </c>
      <c r="L459" s="489"/>
      <c r="M459" s="485" t="s">
        <v>2452</v>
      </c>
      <c r="N459" s="485" t="s">
        <v>2453</v>
      </c>
      <c r="O459" s="488">
        <v>1.0</v>
      </c>
      <c r="P459" s="485" t="str">
        <f t="shared" si="26"/>
        <v>10.1145--3105726.3106182.pdf</v>
      </c>
      <c r="Q459" s="52" t="str">
        <f t="array" ref="Q459"> if(iserror(MATCH(V459, 'File Links'!C:C, 0)), "N/A", HYPERLINK(INDEX('File Links'!B:B, MATCH(P459, 'File Links'!C:C, 0))))</f>
        <v>https://drive.google.com/file/d/1wq7-2vqDvzteuPzlUspBQRdnaX3rmhA1/view?usp=drivesdk</v>
      </c>
      <c r="R459" s="485" t="s">
        <v>2462</v>
      </c>
      <c r="S459" s="485" t="s">
        <v>2455</v>
      </c>
      <c r="T459" s="489"/>
      <c r="U459" s="488">
        <v>1.0</v>
      </c>
      <c r="V459" s="485" t="str">
        <f t="shared" si="25"/>
        <v>10.1145--3649217.3653545.pdf</v>
      </c>
      <c r="W459" s="485" t="s">
        <v>2463</v>
      </c>
      <c r="X459" s="54" t="str">
        <f t="array" ref="X459"> if(iserror(MATCH(V459, 'File Links'!C:C, 0)), "N/A", HYPERLINK(INDEX('File Links'!B:B, MATCH(V459, 'File Links'!C:C, 0))))</f>
        <v>https://drive.google.com/file/d/1AeJCeDtR27X7LIlQj69LZhU8lw_irjTZ/view?usp=drivesdk</v>
      </c>
      <c r="Y459" s="489"/>
      <c r="Z459" s="485" t="s">
        <v>241</v>
      </c>
      <c r="AA459" s="485" t="s">
        <v>2464</v>
      </c>
      <c r="AB459" s="485" t="s">
        <v>2465</v>
      </c>
      <c r="AC459" s="485" t="s">
        <v>2481</v>
      </c>
      <c r="AD459" s="485" t="s">
        <v>2482</v>
      </c>
      <c r="AE459" s="495">
        <v>6.0</v>
      </c>
      <c r="AF459" s="756">
        <v>3691.0</v>
      </c>
      <c r="AG459" s="495">
        <v>-0.27</v>
      </c>
      <c r="AH459" s="788" t="s">
        <v>215</v>
      </c>
      <c r="AI459" s="486" t="s">
        <v>140</v>
      </c>
      <c r="AJ459" s="789"/>
      <c r="AK459" s="374" t="s">
        <v>138</v>
      </c>
      <c r="AL459" s="486" t="s">
        <v>186</v>
      </c>
      <c r="AM459" s="485" t="s">
        <v>137</v>
      </c>
      <c r="AN459" s="488" t="s">
        <v>138</v>
      </c>
      <c r="AO459" s="495">
        <v>1270.0</v>
      </c>
      <c r="AP459" s="495">
        <v>-0.53</v>
      </c>
      <c r="AQ459" s="485" t="s">
        <v>215</v>
      </c>
      <c r="AR459" s="485" t="s">
        <v>850</v>
      </c>
      <c r="AS459" s="495">
        <v>0.001</v>
      </c>
      <c r="AT459" s="485" t="s">
        <v>135</v>
      </c>
      <c r="AU459" s="485" t="s">
        <v>186</v>
      </c>
      <c r="AV459" s="485" t="s">
        <v>137</v>
      </c>
      <c r="AW459" s="488" t="s">
        <v>138</v>
      </c>
      <c r="AX459" s="485" t="s">
        <v>143</v>
      </c>
      <c r="AY459" s="61" t="str">
        <f>IFERROR(__xludf.DUMMYFUNCTION("vlookup(BB459,importrange(""https://docs.google.com/spreadsheets/d/1d2vevQ_7D_v35q4wCQ4RpQ_IPoTwEMB9Yp6ymwlPqew/edit?gid=984458430#gid=984458430"", ""'replication success'!A:K""), 11, FAlSE)"),"successful")</f>
        <v>successful</v>
      </c>
      <c r="AZ459" s="61" t="str">
        <f>IFERROR(__xludf.DUMMYFUNCTION("vlookup(BB459,importrange(""https://docs.google.com/spreadsheets/d/1d2vevQ_7D_v35q4wCQ4RpQ_IPoTwEMB9Yp6ymwlPqew/edit?gid=984458430#gid=984458430"",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59" s="61" t="str">
        <f>IFERROR(__xludf.DUMMYFUNCTION("vlookup(BB459,importrange(""https://docs.google.com/spreadsheets/d/1d2vevQ_7D_v35q4wCQ4RpQ_IPoTwEMB9Yp6ymwlPqew/edit?gid=984458430#gid=984458430"", ""'replication success'!A:M""), 13, FAlSE)"),"abstract")</f>
        <v>abstract</v>
      </c>
      <c r="BB459" s="61" t="str">
        <f>IFERROR(__xludf.DUMMYFUNCTION("REGEXREPLACE(G459, ""_[a-z]{1,2}$"", """")"),"additional_studies81")</f>
        <v>additional_studies81</v>
      </c>
      <c r="BC459" s="68"/>
      <c r="BD459" s="149" t="s">
        <v>144</v>
      </c>
      <c r="BE459" s="164"/>
      <c r="BF459" s="164"/>
      <c r="BG459" s="164"/>
      <c r="BH459" s="164"/>
      <c r="BI459" s="164"/>
      <c r="BJ459" s="164"/>
      <c r="BK459" s="164"/>
      <c r="BL459" s="164"/>
      <c r="BM459" s="164"/>
      <c r="BN459" s="164"/>
      <c r="BO459" s="164"/>
      <c r="BP459" s="164"/>
      <c r="BQ459" s="164"/>
      <c r="BR459" s="164"/>
      <c r="BS459" s="164"/>
      <c r="BT459" s="164"/>
      <c r="BU459" s="164"/>
      <c r="BV459" s="164"/>
      <c r="BW459" s="164"/>
      <c r="BX459" s="164"/>
      <c r="BY459" s="164"/>
      <c r="BZ459" s="164"/>
      <c r="CA459" s="164"/>
      <c r="CB459" s="164"/>
      <c r="CC459" s="164"/>
      <c r="CD459" s="164"/>
      <c r="CE459" s="164"/>
      <c r="CF459" s="164"/>
      <c r="CG459" s="164"/>
      <c r="CH459" s="164"/>
      <c r="CI459" s="164"/>
      <c r="CJ459" s="164"/>
      <c r="CK459" s="164"/>
      <c r="CL459" s="164"/>
      <c r="CM459" s="164"/>
      <c r="CN459" s="164"/>
      <c r="CO459" s="164"/>
      <c r="CP459" s="164"/>
      <c r="CQ459" s="164"/>
      <c r="CR459" s="164"/>
      <c r="CS459" s="164"/>
      <c r="CT459" s="164"/>
      <c r="CU459" s="164"/>
      <c r="CV459" s="164"/>
      <c r="CW459" s="164"/>
      <c r="CX459" s="164"/>
      <c r="CY459" s="164"/>
      <c r="CZ459" s="164"/>
      <c r="DA459" s="164"/>
      <c r="DB459" s="164"/>
      <c r="DC459" s="164"/>
      <c r="DD459" s="164"/>
      <c r="DE459" s="164"/>
      <c r="DF459" s="164"/>
      <c r="DG459" s="164"/>
      <c r="DH459" s="164"/>
      <c r="DI459" s="164"/>
      <c r="DJ459" s="164"/>
      <c r="DK459" s="164"/>
      <c r="DL459" s="164"/>
    </row>
    <row r="460" ht="20.25" customHeight="1">
      <c r="A460" s="44">
        <v>460.0</v>
      </c>
      <c r="B460" s="381" t="s">
        <v>152</v>
      </c>
      <c r="C460" s="381" t="s">
        <v>115</v>
      </c>
      <c r="D460" s="381" t="s">
        <v>2192</v>
      </c>
      <c r="E460" s="484"/>
      <c r="F460" s="129" t="s">
        <v>2448</v>
      </c>
      <c r="G460" s="486" t="s">
        <v>2483</v>
      </c>
      <c r="H460" s="485" t="s">
        <v>2193</v>
      </c>
      <c r="I460" s="487">
        <v>45662.0</v>
      </c>
      <c r="J460" s="785">
        <v>45673.0</v>
      </c>
      <c r="K460" s="485" t="s">
        <v>2484</v>
      </c>
      <c r="L460" s="212" t="s">
        <v>2485</v>
      </c>
      <c r="M460" s="485" t="s">
        <v>2452</v>
      </c>
      <c r="N460" s="485" t="s">
        <v>2453</v>
      </c>
      <c r="O460" s="488">
        <v>1.0</v>
      </c>
      <c r="P460" s="485" t="str">
        <f t="shared" si="26"/>
        <v>10.1145--3105726.3106182.pdf</v>
      </c>
      <c r="Q460" s="52" t="str">
        <f t="array" ref="Q460"> if(iserror(MATCH(V460, 'File Links'!C:C, 0)), "N/A", HYPERLINK(INDEX('File Links'!B:B, MATCH(P460, 'File Links'!C:C, 0))))</f>
        <v>https://drive.google.com/file/d/1wq7-2vqDvzteuPzlUspBQRdnaX3rmhA1/view?usp=drivesdk</v>
      </c>
      <c r="R460" s="485" t="s">
        <v>2462</v>
      </c>
      <c r="S460" s="485" t="s">
        <v>2455</v>
      </c>
      <c r="T460" s="489"/>
      <c r="U460" s="488">
        <v>1.0</v>
      </c>
      <c r="V460" s="485" t="str">
        <f t="shared" si="25"/>
        <v>10.1145--3649217.3653545.pdf</v>
      </c>
      <c r="W460" s="485" t="s">
        <v>2463</v>
      </c>
      <c r="X460" s="54" t="str">
        <f t="array" ref="X460"> if(iserror(MATCH(V460, 'File Links'!C:C, 0)), "N/A", HYPERLINK(INDEX('File Links'!B:B, MATCH(V460, 'File Links'!C:C, 0))))</f>
        <v>https://drive.google.com/file/d/1AeJCeDtR27X7LIlQj69LZhU8lw_irjTZ/view?usp=drivesdk</v>
      </c>
      <c r="Y460" s="489"/>
      <c r="Z460" s="485" t="s">
        <v>241</v>
      </c>
      <c r="AA460" s="485" t="s">
        <v>2464</v>
      </c>
      <c r="AB460" s="485" t="s">
        <v>2465</v>
      </c>
      <c r="AC460" s="485" t="s">
        <v>2486</v>
      </c>
      <c r="AD460" s="485" t="s">
        <v>2487</v>
      </c>
      <c r="AE460" s="495">
        <v>6.0</v>
      </c>
      <c r="AF460" s="756">
        <v>3691.0</v>
      </c>
      <c r="AG460" s="791" t="s">
        <v>2488</v>
      </c>
      <c r="AH460" s="349" t="s">
        <v>134</v>
      </c>
      <c r="AI460" s="486" t="s">
        <v>140</v>
      </c>
      <c r="AJ460" s="792">
        <v>1.0E-4</v>
      </c>
      <c r="AK460" s="485" t="s">
        <v>135</v>
      </c>
      <c r="AL460" s="486" t="s">
        <v>186</v>
      </c>
      <c r="AM460" s="485" t="s">
        <v>137</v>
      </c>
      <c r="AN460" s="488" t="s">
        <v>138</v>
      </c>
      <c r="AO460" s="495">
        <v>1270.0</v>
      </c>
      <c r="AP460" s="495">
        <v>-0.54</v>
      </c>
      <c r="AQ460" s="485" t="s">
        <v>215</v>
      </c>
      <c r="AR460" s="485" t="s">
        <v>850</v>
      </c>
      <c r="AS460" s="495">
        <v>0.001</v>
      </c>
      <c r="AT460" s="485" t="s">
        <v>135</v>
      </c>
      <c r="AU460" s="485" t="s">
        <v>186</v>
      </c>
      <c r="AV460" s="485" t="s">
        <v>137</v>
      </c>
      <c r="AW460" s="488" t="s">
        <v>138</v>
      </c>
      <c r="AX460" s="485" t="s">
        <v>151</v>
      </c>
      <c r="AY460" s="61" t="str">
        <f>IFERROR(__xludf.DUMMYFUNCTION("vlookup(BB460,importrange(""https://docs.google.com/spreadsheets/d/1d2vevQ_7D_v35q4wCQ4RpQ_IPoTwEMB9Yp6ymwlPqew/edit?gid=984458430#gid=984458430"", ""'replication success'!A:K""), 11, FAlSE)"),"successful")</f>
        <v>successful</v>
      </c>
      <c r="AZ460" s="61" t="str">
        <f>IFERROR(__xludf.DUMMYFUNCTION("vlookup(BB460,importrange(""https://docs.google.com/spreadsheets/d/1d2vevQ_7D_v35q4wCQ4RpQ_IPoTwEMB9Yp6ymwlPqew/edit?gid=984458430#gid=984458430"", ""'replication success'!A:M""), 12, FAlSE)"),"We confirm that almost a decade
later and even after being instructed to use the auto-formatting
options within their IDE, students still encounter mostly formatting errors when using a static analysis tool. We find that the second-
most common categor"&amp;"y of errors detected are “Coding Flaws”, and,
like Edwards et al., that the frequency of coding flaws identified by the static analysis tool correlates to program correctness.")</f>
        <v>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v>
      </c>
      <c r="BA460" s="61" t="str">
        <f>IFERROR(__xludf.DUMMYFUNCTION("vlookup(BB460,importrange(""https://docs.google.com/spreadsheets/d/1d2vevQ_7D_v35q4wCQ4RpQ_IPoTwEMB9Yp6ymwlPqew/edit?gid=984458430#gid=984458430"", ""'replication success'!A:M""), 13, FAlSE)"),"abstract")</f>
        <v>abstract</v>
      </c>
      <c r="BB460" s="61" t="str">
        <f>IFERROR(__xludf.DUMMYFUNCTION("REGEXREPLACE(G460, ""_[a-z]{1,2}$"", """")"),"additional_studies81")</f>
        <v>additional_studies81</v>
      </c>
      <c r="BC460" s="129" t="s">
        <v>2485</v>
      </c>
      <c r="BD460" s="149" t="s">
        <v>144</v>
      </c>
      <c r="BE460" s="743"/>
      <c r="BF460" s="743"/>
      <c r="BG460" s="743"/>
      <c r="BH460" s="743"/>
      <c r="BI460" s="743"/>
      <c r="BJ460" s="743"/>
      <c r="BK460" s="743"/>
      <c r="BL460" s="743"/>
      <c r="BM460" s="743"/>
      <c r="BN460" s="743"/>
      <c r="BO460" s="743"/>
      <c r="BP460" s="743"/>
      <c r="BQ460" s="743"/>
      <c r="BR460" s="743"/>
      <c r="BS460" s="743"/>
      <c r="BT460" s="743"/>
      <c r="BU460" s="743"/>
      <c r="BV460" s="743"/>
      <c r="BW460" s="743"/>
      <c r="BX460" s="743"/>
      <c r="BY460" s="743"/>
      <c r="BZ460" s="743"/>
      <c r="CA460" s="743"/>
      <c r="CB460" s="743"/>
      <c r="CC460" s="743"/>
      <c r="CD460" s="743"/>
      <c r="CE460" s="743"/>
      <c r="CF460" s="743"/>
      <c r="CG460" s="743"/>
      <c r="CH460" s="743"/>
      <c r="CI460" s="743"/>
      <c r="CJ460" s="743"/>
      <c r="CK460" s="743"/>
      <c r="CL460" s="743"/>
      <c r="CM460" s="743"/>
      <c r="CN460" s="743"/>
      <c r="CO460" s="743"/>
      <c r="CP460" s="743"/>
      <c r="CQ460" s="743"/>
      <c r="CR460" s="743"/>
      <c r="CS460" s="743"/>
      <c r="CT460" s="743"/>
      <c r="CU460" s="743"/>
      <c r="CV460" s="743"/>
      <c r="CW460" s="743"/>
      <c r="CX460" s="743"/>
      <c r="CY460" s="743"/>
      <c r="CZ460" s="743"/>
      <c r="DA460" s="743"/>
      <c r="DB460" s="743"/>
      <c r="DC460" s="743"/>
      <c r="DD460" s="743"/>
      <c r="DE460" s="743"/>
      <c r="DF460" s="743"/>
      <c r="DG460" s="743"/>
      <c r="DH460" s="743"/>
      <c r="DI460" s="743"/>
      <c r="DJ460" s="743"/>
      <c r="DK460" s="743"/>
      <c r="DL460" s="743"/>
    </row>
    <row r="461" ht="20.25" customHeight="1">
      <c r="A461" s="44">
        <v>461.0</v>
      </c>
      <c r="B461" s="188" t="s">
        <v>114</v>
      </c>
      <c r="C461" s="188" t="s">
        <v>115</v>
      </c>
      <c r="D461" s="188" t="s">
        <v>1458</v>
      </c>
      <c r="E461" s="189"/>
      <c r="F461" s="198" t="s">
        <v>2489</v>
      </c>
      <c r="G461" s="58" t="s">
        <v>2490</v>
      </c>
      <c r="H461" s="58" t="s">
        <v>1518</v>
      </c>
      <c r="I461" s="191">
        <v>45489.0</v>
      </c>
      <c r="J461" s="793">
        <v>45641.0</v>
      </c>
      <c r="K461" s="383" t="s">
        <v>2491</v>
      </c>
      <c r="L461" s="193"/>
      <c r="M461" s="58" t="s">
        <v>2492</v>
      </c>
      <c r="N461" s="58" t="s">
        <v>2493</v>
      </c>
      <c r="O461" s="193"/>
      <c r="P461" s="194" t="str">
        <f t="shared" si="26"/>
        <v>10.1109--tse.2016.2527791.pdf</v>
      </c>
      <c r="Q461" s="52" t="str">
        <f t="array" ref="Q461"> if(iserror(MATCH(V461, 'File Links'!C:C, 0)), "N/A", HYPERLINK(INDEX('File Links'!B:B, MATCH(P461, 'File Links'!C:C, 0))))</f>
        <v>https://drive.google.com/file/d/1NP74FAQ4UheeZ68AMDXl3P1f72HLwpaT/view?usp=drivesdk</v>
      </c>
      <c r="R461" s="375" t="s">
        <v>2494</v>
      </c>
      <c r="S461" s="575" t="s">
        <v>2495</v>
      </c>
      <c r="T461" s="193"/>
      <c r="U461" s="195"/>
      <c r="V461" s="58" t="str">
        <f t="shared" si="25"/>
        <v>10.1109--iccq60895.2024.10576941.pdf</v>
      </c>
      <c r="W461" s="193"/>
      <c r="X461" s="54" t="str">
        <f t="array" ref="X461"> if(iserror(MATCH(V461, 'File Links'!C:C, 0)), "N/A", HYPERLINK(INDEX('File Links'!B:B, MATCH(V461, 'File Links'!C:C, 0))))</f>
        <v>https://drive.google.com/file/d/1ljVoDtYBz0iPIIVFLmoGyAGWDfVCncq9/view?usp=drivesdk</v>
      </c>
      <c r="Y461" s="193"/>
      <c r="Z461" s="193"/>
      <c r="AA461" s="193"/>
      <c r="AB461" s="193"/>
      <c r="AC461" s="193"/>
      <c r="AD461" s="193"/>
      <c r="AE461" s="193"/>
      <c r="AF461" s="193"/>
      <c r="AG461" s="193"/>
      <c r="AH461" s="195"/>
      <c r="AI461" s="193"/>
      <c r="AJ461" s="193"/>
      <c r="AK461" s="190"/>
      <c r="AL461" s="193"/>
      <c r="AM461" s="193"/>
      <c r="AN461" s="374" t="s">
        <v>138</v>
      </c>
      <c r="AO461" s="193"/>
      <c r="AP461" s="193"/>
      <c r="AQ461" s="193"/>
      <c r="AR461" s="193"/>
      <c r="AS461" s="193"/>
      <c r="AT461" s="190"/>
      <c r="AU461" s="190"/>
      <c r="AV461" s="190"/>
      <c r="AW461" s="190"/>
      <c r="AX461" s="190"/>
      <c r="AY461" s="61" t="str">
        <f>IFERROR(__xludf.DUMMYFUNCTION("vlookup(BB461,importrange(""https://docs.google.com/spreadsheets/d/1d2vevQ_7D_v35q4wCQ4RpQ_IPoTwEMB9Yp6ymwlPqew/edit?gid=984458430#gid=984458430"", ""'replication success'!A:K""), 11, FAlSE)"),"mixed")</f>
        <v>mixed</v>
      </c>
      <c r="AZ461" s="61" t="str">
        <f>IFERROR(__xludf.DUMMYFUNCTION("vlookup(BB461,importrange(""https://docs.google.com/spreadsheets/d/1d2vevQ_7D_v35q4wCQ4RpQ_IPoTwEMB9Yp6ymwlPqew/edit?gid=984458430#gid=984458430"", ""'replication success'!A:M""), 12, FAlSE)"),"Concerning perceived readability, our study found no significant differences between method chaining variants and between comment variants. The original study did find a significant difference for comments variants. In the case of comprehension, we found "&amp;"no significant differences between the method chaining variants but found a significant difference for an α = 0.1% among comments variants, both as opposed to the original study.")</f>
        <v>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v>
      </c>
      <c r="BA461" s="61" t="str">
        <f>IFERROR(__xludf.DUMMYFUNCTION("vlookup(BB461,importrange(""https://docs.google.com/spreadsheets/d/1d2vevQ_7D_v35q4wCQ4RpQ_IPoTwEMB9Yp6ymwlPqew/edit?gid=984458430#gid=984458430"", ""'replication success'!A:M""), 13, FAlSE)"),"abstract")</f>
        <v>abstract</v>
      </c>
      <c r="BB461" s="61" t="str">
        <f>IFERROR(__xludf.DUMMYFUNCTION("REGEXREPLACE(G461, ""_[a-z]{1,2}$"", """")"),"additional_studies83")</f>
        <v>additional_studies83</v>
      </c>
      <c r="BC461" s="193"/>
      <c r="BD461" s="188" t="s">
        <v>144</v>
      </c>
      <c r="BE461" s="164"/>
      <c r="BF461" s="164"/>
      <c r="BG461" s="164"/>
      <c r="BH461" s="164"/>
      <c r="BI461" s="164"/>
      <c r="BJ461" s="164"/>
      <c r="BK461" s="164"/>
      <c r="BL461" s="164"/>
      <c r="BM461" s="164"/>
      <c r="BN461" s="164"/>
      <c r="BO461" s="164"/>
      <c r="BP461" s="164"/>
      <c r="BQ461" s="164"/>
      <c r="BR461" s="164"/>
      <c r="BS461" s="164"/>
      <c r="BT461" s="164"/>
      <c r="BU461" s="164"/>
      <c r="BV461" s="164"/>
      <c r="BW461" s="164"/>
      <c r="BX461" s="164"/>
      <c r="BY461" s="164"/>
      <c r="BZ461" s="164"/>
      <c r="CA461" s="164"/>
      <c r="CB461" s="164"/>
      <c r="CC461" s="164"/>
      <c r="CD461" s="164"/>
      <c r="CE461" s="164"/>
      <c r="CF461" s="164"/>
      <c r="CG461" s="164"/>
      <c r="CH461" s="164"/>
      <c r="CI461" s="164"/>
      <c r="CJ461" s="164"/>
      <c r="CK461" s="164"/>
      <c r="CL461" s="164"/>
      <c r="CM461" s="164"/>
      <c r="CN461" s="164"/>
      <c r="CO461" s="164"/>
      <c r="CP461" s="164"/>
      <c r="CQ461" s="164"/>
      <c r="CR461" s="164"/>
      <c r="CS461" s="164"/>
      <c r="CT461" s="164"/>
      <c r="CU461" s="164"/>
      <c r="CV461" s="164"/>
      <c r="CW461" s="164"/>
      <c r="CX461" s="164"/>
      <c r="CY461" s="164"/>
      <c r="CZ461" s="164"/>
      <c r="DA461" s="164"/>
      <c r="DB461" s="164"/>
      <c r="DC461" s="164"/>
      <c r="DD461" s="164"/>
      <c r="DE461" s="164"/>
      <c r="DF461" s="164"/>
      <c r="DG461" s="164"/>
      <c r="DH461" s="164"/>
      <c r="DI461" s="164"/>
      <c r="DJ461" s="164"/>
      <c r="DK461" s="164"/>
      <c r="DL461" s="164"/>
    </row>
    <row r="462" ht="20.25" customHeight="1">
      <c r="A462" s="44">
        <v>462.0</v>
      </c>
      <c r="B462" s="188" t="s">
        <v>152</v>
      </c>
      <c r="C462" s="188" t="s">
        <v>115</v>
      </c>
      <c r="D462" s="188" t="s">
        <v>2192</v>
      </c>
      <c r="E462" s="189"/>
      <c r="F462" s="198" t="s">
        <v>2489</v>
      </c>
      <c r="G462" s="58" t="s">
        <v>2490</v>
      </c>
      <c r="H462" s="198" t="s">
        <v>2193</v>
      </c>
      <c r="I462" s="191">
        <v>45489.0</v>
      </c>
      <c r="J462" s="191">
        <v>45662.0</v>
      </c>
      <c r="K462" s="198" t="s">
        <v>2496</v>
      </c>
      <c r="L462" s="794" t="s">
        <v>2497</v>
      </c>
      <c r="M462" s="198" t="s">
        <v>2492</v>
      </c>
      <c r="N462" s="198" t="s">
        <v>2493</v>
      </c>
      <c r="O462" s="374">
        <v>1.0</v>
      </c>
      <c r="P462" s="198" t="str">
        <f t="shared" si="26"/>
        <v>10.1109--tse.2016.2527791.pdf</v>
      </c>
      <c r="Q462" s="52" t="str">
        <f t="array" ref="Q462"> if(iserror(MATCH(V462, 'File Links'!C:C, 0)), "N/A", HYPERLINK(INDEX('File Links'!B:B, MATCH(P462, 'File Links'!C:C, 0))))</f>
        <v>https://drive.google.com/file/d/1NP74FAQ4UheeZ68AMDXl3P1f72HLwpaT/view?usp=drivesdk</v>
      </c>
      <c r="R462" s="198" t="s">
        <v>2498</v>
      </c>
      <c r="S462" s="198" t="s">
        <v>2495</v>
      </c>
      <c r="T462" s="190"/>
      <c r="U462" s="374">
        <v>1.0</v>
      </c>
      <c r="V462" s="198" t="str">
        <f t="shared" si="25"/>
        <v>10.1109--iccq60895.2024.10576941.pdf</v>
      </c>
      <c r="W462" s="198" t="s">
        <v>2499</v>
      </c>
      <c r="X462" s="54" t="str">
        <f t="array" ref="X462"> if(iserror(MATCH(V462, 'File Links'!C:C, 0)), "N/A", HYPERLINK(INDEX('File Links'!B:B, MATCH(V462, 'File Links'!C:C, 0))))</f>
        <v>https://drive.google.com/file/d/1ljVoDtYBz0iPIIVFLmoGyAGWDfVCncq9/view?usp=drivesdk</v>
      </c>
      <c r="Y462" s="190"/>
      <c r="Z462" s="198" t="s">
        <v>241</v>
      </c>
      <c r="AA462" s="198" t="s">
        <v>2500</v>
      </c>
      <c r="AB462" s="198" t="s">
        <v>2501</v>
      </c>
      <c r="AC462" s="198" t="s">
        <v>2502</v>
      </c>
      <c r="AD462" s="575" t="s">
        <v>2503</v>
      </c>
      <c r="AE462" s="758">
        <v>7.0</v>
      </c>
      <c r="AF462" s="758">
        <v>104.0</v>
      </c>
      <c r="AG462" s="575" t="s">
        <v>2504</v>
      </c>
      <c r="AH462" s="194" t="s">
        <v>134</v>
      </c>
      <c r="AI462" s="58" t="s">
        <v>132</v>
      </c>
      <c r="AJ462" s="374" t="s">
        <v>138</v>
      </c>
      <c r="AK462" s="374" t="s">
        <v>138</v>
      </c>
      <c r="AL462" s="58" t="s">
        <v>186</v>
      </c>
      <c r="AM462" s="198" t="s">
        <v>137</v>
      </c>
      <c r="AN462" s="374" t="s">
        <v>138</v>
      </c>
      <c r="AO462" s="758">
        <v>106.0</v>
      </c>
      <c r="AP462" s="198" t="s">
        <v>2505</v>
      </c>
      <c r="AQ462" s="57" t="s">
        <v>134</v>
      </c>
      <c r="AR462" s="198" t="s">
        <v>612</v>
      </c>
      <c r="AS462" s="795">
        <v>0.53895</v>
      </c>
      <c r="AT462" s="198" t="s">
        <v>2249</v>
      </c>
      <c r="AU462" s="198" t="s">
        <v>186</v>
      </c>
      <c r="AV462" s="198" t="s">
        <v>137</v>
      </c>
      <c r="AW462" s="374" t="s">
        <v>138</v>
      </c>
      <c r="AX462" s="198" t="s">
        <v>151</v>
      </c>
      <c r="AY462" s="61" t="str">
        <f>IFERROR(__xludf.DUMMYFUNCTION("vlookup(BB462,importrange(""https://docs.google.com/spreadsheets/d/1d2vevQ_7D_v35q4wCQ4RpQ_IPoTwEMB9Yp6ymwlPqew/edit?gid=984458430#gid=984458430"", ""'replication success'!A:K""), 11, FAlSE)"),"mixed")</f>
        <v>mixed</v>
      </c>
      <c r="AZ462" s="61" t="str">
        <f>IFERROR(__xludf.DUMMYFUNCTION("vlookup(BB462,importrange(""https://docs.google.com/spreadsheets/d/1d2vevQ_7D_v35q4wCQ4RpQ_IPoTwEMB9Yp6ymwlPqew/edit?gid=984458430#gid=984458430"", ""'replication success'!A:M""), 12, FAlSE)"),"Concerning perceived readability, our study found no significant differences between method chaining variants and between comment variants. The original study did find a significant difference for comments variants. In the case of comprehension, we found "&amp;"no significant differences between the method chaining variants but found a significant difference for an α = 0.1% among comments variants, both as opposed to the original study.")</f>
        <v>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v>
      </c>
      <c r="BA462" s="61" t="str">
        <f>IFERROR(__xludf.DUMMYFUNCTION("vlookup(BB462,importrange(""https://docs.google.com/spreadsheets/d/1d2vevQ_7D_v35q4wCQ4RpQ_IPoTwEMB9Yp6ymwlPqew/edit?gid=984458430#gid=984458430"", ""'replication success'!A:M""), 13, FAlSE)"),"abstract")</f>
        <v>abstract</v>
      </c>
      <c r="BB462" s="61" t="str">
        <f>IFERROR(__xludf.DUMMYFUNCTION("REGEXREPLACE(G462, ""_[a-z]{1,2}$"", """")"),"additional_studies83")</f>
        <v>additional_studies83</v>
      </c>
      <c r="BC462" s="374" t="s">
        <v>2506</v>
      </c>
      <c r="BD462" s="188" t="s">
        <v>144</v>
      </c>
      <c r="BE462" s="743"/>
      <c r="BF462" s="743"/>
      <c r="BG462" s="743"/>
      <c r="BH462" s="743"/>
      <c r="BI462" s="743"/>
      <c r="BJ462" s="743"/>
      <c r="BK462" s="743"/>
      <c r="BL462" s="743"/>
      <c r="BM462" s="743"/>
      <c r="BN462" s="743"/>
      <c r="BO462" s="743"/>
      <c r="BP462" s="743"/>
      <c r="BQ462" s="743"/>
      <c r="BR462" s="743"/>
      <c r="BS462" s="743"/>
      <c r="BT462" s="743"/>
      <c r="BU462" s="743"/>
      <c r="BV462" s="743"/>
      <c r="BW462" s="743"/>
      <c r="BX462" s="743"/>
      <c r="BY462" s="743"/>
      <c r="BZ462" s="743"/>
      <c r="CA462" s="743"/>
      <c r="CB462" s="743"/>
      <c r="CC462" s="743"/>
      <c r="CD462" s="743"/>
      <c r="CE462" s="743"/>
      <c r="CF462" s="743"/>
      <c r="CG462" s="743"/>
      <c r="CH462" s="743"/>
      <c r="CI462" s="743"/>
      <c r="CJ462" s="743"/>
      <c r="CK462" s="743"/>
      <c r="CL462" s="743"/>
      <c r="CM462" s="743"/>
      <c r="CN462" s="743"/>
      <c r="CO462" s="743"/>
      <c r="CP462" s="743"/>
      <c r="CQ462" s="743"/>
      <c r="CR462" s="743"/>
      <c r="CS462" s="743"/>
      <c r="CT462" s="743"/>
      <c r="CU462" s="743"/>
      <c r="CV462" s="743"/>
      <c r="CW462" s="743"/>
      <c r="CX462" s="743"/>
      <c r="CY462" s="743"/>
      <c r="CZ462" s="743"/>
      <c r="DA462" s="743"/>
      <c r="DB462" s="743"/>
      <c r="DC462" s="743"/>
      <c r="DD462" s="743"/>
      <c r="DE462" s="743"/>
      <c r="DF462" s="743"/>
      <c r="DG462" s="743"/>
      <c r="DH462" s="743"/>
      <c r="DI462" s="743"/>
      <c r="DJ462" s="743"/>
      <c r="DK462" s="743"/>
      <c r="DL462" s="743"/>
    </row>
    <row r="463" ht="20.25" customHeight="1">
      <c r="A463" s="44">
        <v>463.0</v>
      </c>
      <c r="B463" s="188" t="s">
        <v>152</v>
      </c>
      <c r="C463" s="188" t="s">
        <v>115</v>
      </c>
      <c r="D463" s="188" t="s">
        <v>2192</v>
      </c>
      <c r="E463" s="189"/>
      <c r="F463" s="198" t="s">
        <v>2489</v>
      </c>
      <c r="G463" s="58" t="s">
        <v>2507</v>
      </c>
      <c r="H463" s="198" t="s">
        <v>2193</v>
      </c>
      <c r="I463" s="191">
        <v>45662.0</v>
      </c>
      <c r="J463" s="796"/>
      <c r="K463" s="198" t="s">
        <v>2508</v>
      </c>
      <c r="L463" s="190"/>
      <c r="M463" s="198" t="s">
        <v>2492</v>
      </c>
      <c r="N463" s="198" t="s">
        <v>2493</v>
      </c>
      <c r="O463" s="374">
        <v>1.0</v>
      </c>
      <c r="P463" s="198" t="str">
        <f t="shared" si="26"/>
        <v>10.1109--tse.2016.2527791.pdf</v>
      </c>
      <c r="Q463" s="52" t="str">
        <f t="array" ref="Q463"> if(iserror(MATCH(V463, 'File Links'!C:C, 0)), "N/A", HYPERLINK(INDEX('File Links'!B:B, MATCH(P463, 'File Links'!C:C, 0))))</f>
        <v>https://drive.google.com/file/d/1NP74FAQ4UheeZ68AMDXl3P1f72HLwpaT/view?usp=drivesdk</v>
      </c>
      <c r="R463" s="198" t="s">
        <v>2498</v>
      </c>
      <c r="S463" s="198" t="s">
        <v>2495</v>
      </c>
      <c r="T463" s="190"/>
      <c r="U463" s="374">
        <v>1.0</v>
      </c>
      <c r="V463" s="198" t="str">
        <f t="shared" si="25"/>
        <v>10.1109--iccq60895.2024.10576941.pdf</v>
      </c>
      <c r="W463" s="198" t="s">
        <v>2499</v>
      </c>
      <c r="X463" s="54" t="str">
        <f t="array" ref="X463"> if(iserror(MATCH(V463, 'File Links'!C:C, 0)), "N/A", HYPERLINK(INDEX('File Links'!B:B, MATCH(V463, 'File Links'!C:C, 0))))</f>
        <v>https://drive.google.com/file/d/1ljVoDtYBz0iPIIVFLmoGyAGWDfVCncq9/view?usp=drivesdk</v>
      </c>
      <c r="Y463" s="190"/>
      <c r="Z463" s="198" t="s">
        <v>241</v>
      </c>
      <c r="AA463" s="198" t="s">
        <v>2500</v>
      </c>
      <c r="AB463" s="198" t="s">
        <v>2501</v>
      </c>
      <c r="AC463" s="198" t="s">
        <v>2509</v>
      </c>
      <c r="AD463" s="198" t="s">
        <v>2510</v>
      </c>
      <c r="AE463" s="758">
        <v>8.0</v>
      </c>
      <c r="AF463" s="758">
        <v>104.0</v>
      </c>
      <c r="AG463" s="374" t="s">
        <v>138</v>
      </c>
      <c r="AH463" s="167" t="s">
        <v>138</v>
      </c>
      <c r="AI463" s="58" t="s">
        <v>2254</v>
      </c>
      <c r="AJ463" s="197">
        <v>0.0013</v>
      </c>
      <c r="AK463" s="198" t="s">
        <v>172</v>
      </c>
      <c r="AL463" s="58" t="s">
        <v>186</v>
      </c>
      <c r="AM463" s="198" t="s">
        <v>137</v>
      </c>
      <c r="AN463" s="374" t="s">
        <v>138</v>
      </c>
      <c r="AO463" s="758">
        <v>106.0</v>
      </c>
      <c r="AP463" s="198" t="s">
        <v>2511</v>
      </c>
      <c r="AQ463" s="57" t="s">
        <v>134</v>
      </c>
      <c r="AR463" s="198" t="s">
        <v>612</v>
      </c>
      <c r="AS463" s="758">
        <v>0.101498</v>
      </c>
      <c r="AT463" s="198" t="s">
        <v>172</v>
      </c>
      <c r="AU463" s="198" t="s">
        <v>186</v>
      </c>
      <c r="AV463" s="198" t="s">
        <v>137</v>
      </c>
      <c r="AW463" s="374" t="s">
        <v>138</v>
      </c>
      <c r="AX463" s="198" t="s">
        <v>151</v>
      </c>
      <c r="AY463" s="61" t="str">
        <f>IFERROR(__xludf.DUMMYFUNCTION("vlookup(BB463,importrange(""https://docs.google.com/spreadsheets/d/1d2vevQ_7D_v35q4wCQ4RpQ_IPoTwEMB9Yp6ymwlPqew/edit?gid=984458430#gid=984458430"", ""'replication success'!A:K""), 11, FAlSE)"),"mixed")</f>
        <v>mixed</v>
      </c>
      <c r="AZ463" s="61" t="str">
        <f>IFERROR(__xludf.DUMMYFUNCTION("vlookup(BB463,importrange(""https://docs.google.com/spreadsheets/d/1d2vevQ_7D_v35q4wCQ4RpQ_IPoTwEMB9Yp6ymwlPqew/edit?gid=984458430#gid=984458430"", ""'replication success'!A:M""), 12, FAlSE)"),"Concerning perceived readability, our study found no significant differences between method chaining variants and between comment variants. The original study did find a significant difference for comments variants. In the case of comprehension, we found "&amp;"no significant differences between the method chaining variants but found a significant difference for an α = 0.1% among comments variants, both as opposed to the original study.")</f>
        <v>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v>
      </c>
      <c r="BA463" s="61" t="str">
        <f>IFERROR(__xludf.DUMMYFUNCTION("vlookup(BB463,importrange(""https://docs.google.com/spreadsheets/d/1d2vevQ_7D_v35q4wCQ4RpQ_IPoTwEMB9Yp6ymwlPqew/edit?gid=984458430#gid=984458430"", ""'replication success'!A:M""), 13, FAlSE)"),"abstract")</f>
        <v>abstract</v>
      </c>
      <c r="BB463" s="61" t="str">
        <f>IFERROR(__xludf.DUMMYFUNCTION("REGEXREPLACE(G463, ""_[a-z]{1,2}$"", """")"),"additional_studies83")</f>
        <v>additional_studies83</v>
      </c>
      <c r="BC463" s="190"/>
      <c r="BD463" s="188" t="s">
        <v>144</v>
      </c>
      <c r="BE463" s="164"/>
      <c r="BF463" s="164"/>
      <c r="BG463" s="164"/>
      <c r="BH463" s="164"/>
      <c r="BI463" s="164"/>
      <c r="BJ463" s="164"/>
      <c r="BK463" s="164"/>
      <c r="BL463" s="164"/>
      <c r="BM463" s="164"/>
      <c r="BN463" s="164"/>
      <c r="BO463" s="164"/>
      <c r="BP463" s="164"/>
      <c r="BQ463" s="164"/>
      <c r="BR463" s="164"/>
      <c r="BS463" s="164"/>
      <c r="BT463" s="164"/>
      <c r="BU463" s="164"/>
      <c r="BV463" s="164"/>
      <c r="BW463" s="164"/>
      <c r="BX463" s="164"/>
      <c r="BY463" s="164"/>
      <c r="BZ463" s="164"/>
      <c r="CA463" s="164"/>
      <c r="CB463" s="164"/>
      <c r="CC463" s="164"/>
      <c r="CD463" s="164"/>
      <c r="CE463" s="164"/>
      <c r="CF463" s="164"/>
      <c r="CG463" s="164"/>
      <c r="CH463" s="164"/>
      <c r="CI463" s="164"/>
      <c r="CJ463" s="164"/>
      <c r="CK463" s="164"/>
      <c r="CL463" s="164"/>
      <c r="CM463" s="164"/>
      <c r="CN463" s="164"/>
      <c r="CO463" s="164"/>
      <c r="CP463" s="164"/>
      <c r="CQ463" s="164"/>
      <c r="CR463" s="164"/>
      <c r="CS463" s="164"/>
      <c r="CT463" s="164"/>
      <c r="CU463" s="164"/>
      <c r="CV463" s="164"/>
      <c r="CW463" s="164"/>
      <c r="CX463" s="164"/>
      <c r="CY463" s="164"/>
      <c r="CZ463" s="164"/>
      <c r="DA463" s="164"/>
      <c r="DB463" s="164"/>
      <c r="DC463" s="164"/>
      <c r="DD463" s="164"/>
      <c r="DE463" s="164"/>
      <c r="DF463" s="164"/>
      <c r="DG463" s="164"/>
      <c r="DH463" s="164"/>
      <c r="DI463" s="164"/>
      <c r="DJ463" s="164"/>
      <c r="DK463" s="164"/>
      <c r="DL463" s="164"/>
    </row>
    <row r="464" ht="20.25" customHeight="1">
      <c r="A464" s="44">
        <v>464.0</v>
      </c>
      <c r="B464" s="188" t="s">
        <v>152</v>
      </c>
      <c r="C464" s="188" t="s">
        <v>115</v>
      </c>
      <c r="D464" s="188" t="s">
        <v>2192</v>
      </c>
      <c r="E464" s="189"/>
      <c r="F464" s="198" t="s">
        <v>2489</v>
      </c>
      <c r="G464" s="58" t="s">
        <v>2512</v>
      </c>
      <c r="H464" s="198" t="s">
        <v>2193</v>
      </c>
      <c r="I464" s="191">
        <v>45662.0</v>
      </c>
      <c r="J464" s="796"/>
      <c r="K464" s="198" t="s">
        <v>2508</v>
      </c>
      <c r="L464" s="190"/>
      <c r="M464" s="198" t="s">
        <v>2492</v>
      </c>
      <c r="N464" s="198" t="s">
        <v>2493</v>
      </c>
      <c r="O464" s="374">
        <v>1.0</v>
      </c>
      <c r="P464" s="198" t="str">
        <f t="shared" si="26"/>
        <v>10.1109--tse.2016.2527791.pdf</v>
      </c>
      <c r="Q464" s="52" t="str">
        <f t="array" ref="Q464"> if(iserror(MATCH(V464, 'File Links'!C:C, 0)), "N/A", HYPERLINK(INDEX('File Links'!B:B, MATCH(P464, 'File Links'!C:C, 0))))</f>
        <v>https://drive.google.com/file/d/1NP74FAQ4UheeZ68AMDXl3P1f72HLwpaT/view?usp=drivesdk</v>
      </c>
      <c r="R464" s="198" t="s">
        <v>2498</v>
      </c>
      <c r="S464" s="198" t="s">
        <v>2495</v>
      </c>
      <c r="T464" s="190"/>
      <c r="U464" s="374">
        <v>1.0</v>
      </c>
      <c r="V464" s="198" t="str">
        <f t="shared" si="25"/>
        <v>10.1109--iccq60895.2024.10576941.pdf</v>
      </c>
      <c r="W464" s="198" t="s">
        <v>2499</v>
      </c>
      <c r="X464" s="54" t="str">
        <f t="array" ref="X464"> if(iserror(MATCH(V464, 'File Links'!C:C, 0)), "N/A", HYPERLINK(INDEX('File Links'!B:B, MATCH(V464, 'File Links'!C:C, 0))))</f>
        <v>https://drive.google.com/file/d/1ljVoDtYBz0iPIIVFLmoGyAGWDfVCncq9/view?usp=drivesdk</v>
      </c>
      <c r="Y464" s="190"/>
      <c r="Z464" s="198" t="s">
        <v>241</v>
      </c>
      <c r="AA464" s="198" t="s">
        <v>2500</v>
      </c>
      <c r="AB464" s="198" t="s">
        <v>2501</v>
      </c>
      <c r="AC464" s="198" t="s">
        <v>2513</v>
      </c>
      <c r="AD464" s="198" t="s">
        <v>2514</v>
      </c>
      <c r="AE464" s="758">
        <v>7.0</v>
      </c>
      <c r="AF464" s="758">
        <v>104.0</v>
      </c>
      <c r="AG464" s="374" t="s">
        <v>138</v>
      </c>
      <c r="AH464" s="167" t="s">
        <v>138</v>
      </c>
      <c r="AI464" s="58" t="s">
        <v>132</v>
      </c>
      <c r="AJ464" s="374">
        <v>0.05</v>
      </c>
      <c r="AK464" s="180" t="s">
        <v>135</v>
      </c>
      <c r="AL464" s="58" t="s">
        <v>186</v>
      </c>
      <c r="AM464" s="198" t="s">
        <v>137</v>
      </c>
      <c r="AN464" s="374" t="s">
        <v>138</v>
      </c>
      <c r="AO464" s="758">
        <v>106.0</v>
      </c>
      <c r="AP464" s="198" t="s">
        <v>2515</v>
      </c>
      <c r="AQ464" s="57" t="s">
        <v>134</v>
      </c>
      <c r="AR464" s="198" t="s">
        <v>632</v>
      </c>
      <c r="AS464" s="758">
        <v>0.8926</v>
      </c>
      <c r="AT464" s="198" t="s">
        <v>172</v>
      </c>
      <c r="AU464" s="198" t="s">
        <v>186</v>
      </c>
      <c r="AV464" s="198" t="s">
        <v>137</v>
      </c>
      <c r="AW464" s="374" t="s">
        <v>138</v>
      </c>
      <c r="AX464" s="198" t="s">
        <v>151</v>
      </c>
      <c r="AY464" s="61" t="str">
        <f>IFERROR(__xludf.DUMMYFUNCTION("vlookup(BB464,importrange(""https://docs.google.com/spreadsheets/d/1d2vevQ_7D_v35q4wCQ4RpQ_IPoTwEMB9Yp6ymwlPqew/edit?gid=984458430#gid=984458430"", ""'replication success'!A:K""), 11, FAlSE)"),"mixed")</f>
        <v>mixed</v>
      </c>
      <c r="AZ464" s="61" t="str">
        <f>IFERROR(__xludf.DUMMYFUNCTION("vlookup(BB464,importrange(""https://docs.google.com/spreadsheets/d/1d2vevQ_7D_v35q4wCQ4RpQ_IPoTwEMB9Yp6ymwlPqew/edit?gid=984458430#gid=984458430"", ""'replication success'!A:M""), 12, FAlSE)"),"Concerning perceived readability, our study found no significant differences between method chaining variants and between comment variants. The original study did find a significant difference for comments variants. In the case of comprehension, we found "&amp;"no significant differences between the method chaining variants but found a significant difference for an α = 0.1% among comments variants, both as opposed to the original study.")</f>
        <v>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v>
      </c>
      <c r="BA464" s="61" t="str">
        <f>IFERROR(__xludf.DUMMYFUNCTION("vlookup(BB464,importrange(""https://docs.google.com/spreadsheets/d/1d2vevQ_7D_v35q4wCQ4RpQ_IPoTwEMB9Yp6ymwlPqew/edit?gid=984458430#gid=984458430"", ""'replication success'!A:M""), 13, FAlSE)"),"abstract")</f>
        <v>abstract</v>
      </c>
      <c r="BB464" s="61" t="str">
        <f>IFERROR(__xludf.DUMMYFUNCTION("REGEXREPLACE(G464, ""_[a-z]{1,2}$"", """")"),"additional_studies83")</f>
        <v>additional_studies83</v>
      </c>
      <c r="BC464" s="190"/>
      <c r="BD464" s="188" t="s">
        <v>144</v>
      </c>
      <c r="BE464" s="743"/>
      <c r="BF464" s="743"/>
      <c r="BG464" s="743"/>
      <c r="BH464" s="743"/>
      <c r="BI464" s="743"/>
      <c r="BJ464" s="743"/>
      <c r="BK464" s="743"/>
      <c r="BL464" s="743"/>
      <c r="BM464" s="743"/>
      <c r="BN464" s="743"/>
      <c r="BO464" s="743"/>
      <c r="BP464" s="743"/>
      <c r="BQ464" s="743"/>
      <c r="BR464" s="743"/>
      <c r="BS464" s="743"/>
      <c r="BT464" s="743"/>
      <c r="BU464" s="743"/>
      <c r="BV464" s="743"/>
      <c r="BW464" s="743"/>
      <c r="BX464" s="743"/>
      <c r="BY464" s="743"/>
      <c r="BZ464" s="743"/>
      <c r="CA464" s="743"/>
      <c r="CB464" s="743"/>
      <c r="CC464" s="743"/>
      <c r="CD464" s="743"/>
      <c r="CE464" s="743"/>
      <c r="CF464" s="743"/>
      <c r="CG464" s="743"/>
      <c r="CH464" s="743"/>
      <c r="CI464" s="743"/>
      <c r="CJ464" s="743"/>
      <c r="CK464" s="743"/>
      <c r="CL464" s="743"/>
      <c r="CM464" s="743"/>
      <c r="CN464" s="743"/>
      <c r="CO464" s="743"/>
      <c r="CP464" s="743"/>
      <c r="CQ464" s="743"/>
      <c r="CR464" s="743"/>
      <c r="CS464" s="743"/>
      <c r="CT464" s="743"/>
      <c r="CU464" s="743"/>
      <c r="CV464" s="743"/>
      <c r="CW464" s="743"/>
      <c r="CX464" s="743"/>
      <c r="CY464" s="743"/>
      <c r="CZ464" s="743"/>
      <c r="DA464" s="743"/>
      <c r="DB464" s="743"/>
      <c r="DC464" s="743"/>
      <c r="DD464" s="743"/>
      <c r="DE464" s="743"/>
      <c r="DF464" s="743"/>
      <c r="DG464" s="743"/>
      <c r="DH464" s="743"/>
      <c r="DI464" s="743"/>
      <c r="DJ464" s="743"/>
      <c r="DK464" s="743"/>
      <c r="DL464" s="743"/>
    </row>
    <row r="465" ht="20.25" customHeight="1">
      <c r="A465" s="44">
        <v>465.0</v>
      </c>
      <c r="B465" s="45" t="s">
        <v>152</v>
      </c>
      <c r="C465" s="45" t="s">
        <v>115</v>
      </c>
      <c r="D465" s="45" t="s">
        <v>199</v>
      </c>
      <c r="E465" s="65"/>
      <c r="F465" s="68" t="s">
        <v>2516</v>
      </c>
      <c r="G465" s="57" t="s">
        <v>2517</v>
      </c>
      <c r="H465" s="57" t="s">
        <v>202</v>
      </c>
      <c r="I465" s="434">
        <v>45639.0</v>
      </c>
      <c r="J465" s="569">
        <v>45671.0</v>
      </c>
      <c r="K465" s="61"/>
      <c r="L465" s="61"/>
      <c r="M465" s="57" t="s">
        <v>2518</v>
      </c>
      <c r="N465" s="57" t="s">
        <v>2519</v>
      </c>
      <c r="O465" s="379">
        <v>1.0</v>
      </c>
      <c r="P465" s="377" t="s">
        <v>2520</v>
      </c>
      <c r="Q465" s="52" t="str">
        <f t="array" ref="Q465"> if(iserror(MATCH(V465, 'File Links'!C:C, 0)), "N/A", HYPERLINK(INDEX('File Links'!B:B, MATCH(P465, 'File Links'!C:C, 0))))</f>
        <v>https://drive.google.com/file/d/1-hACoGBMYzWfW-abiG6hh6iaoZvehEax/view?usp=drivesdk</v>
      </c>
      <c r="R465" s="57" t="s">
        <v>2521</v>
      </c>
      <c r="S465" s="57" t="s">
        <v>2522</v>
      </c>
      <c r="T465" s="61"/>
      <c r="U465" s="129">
        <v>1.0</v>
      </c>
      <c r="V465" s="198" t="str">
        <f t="shared" si="25"/>
        <v>10.1016--j.xjmad.2024.100075.pdf</v>
      </c>
      <c r="W465" s="57" t="s">
        <v>209</v>
      </c>
      <c r="X465" s="54" t="str">
        <f t="array" ref="X465"> if(iserror(MATCH(V465, 'File Links'!C:C, 0)), "N/A", HYPERLINK(INDEX('File Links'!B:B, MATCH(V465, 'File Links'!C:C, 0))))</f>
        <v>https://drive.google.com/file/d/1VUyjspRteJ5gkjs-fbYxT0CLPJf7x2H-/view?usp=drivesdk</v>
      </c>
      <c r="Y465" s="61"/>
      <c r="Z465" s="57" t="s">
        <v>2010</v>
      </c>
      <c r="AA465" s="57" t="s">
        <v>2523</v>
      </c>
      <c r="AB465" s="57" t="s">
        <v>2524</v>
      </c>
      <c r="AC465" s="57" t="s">
        <v>2525</v>
      </c>
      <c r="AD465" s="57" t="s">
        <v>2526</v>
      </c>
      <c r="AE465" s="379">
        <v>6.0</v>
      </c>
      <c r="AF465" s="379">
        <v>53.0</v>
      </c>
      <c r="AG465" s="379">
        <v>0.65</v>
      </c>
      <c r="AH465" s="339" t="s">
        <v>173</v>
      </c>
      <c r="AI465" s="57" t="s">
        <v>140</v>
      </c>
      <c r="AJ465" s="379">
        <v>0.041</v>
      </c>
      <c r="AK465" s="159" t="s">
        <v>172</v>
      </c>
      <c r="AL465" s="57" t="s">
        <v>186</v>
      </c>
      <c r="AM465" s="129" t="s">
        <v>137</v>
      </c>
      <c r="AN465" s="718" t="s">
        <v>138</v>
      </c>
      <c r="AO465" s="379">
        <v>109.0</v>
      </c>
      <c r="AP465" s="151" t="s">
        <v>2527</v>
      </c>
      <c r="AQ465" s="57" t="s">
        <v>134</v>
      </c>
      <c r="AR465" s="57" t="s">
        <v>850</v>
      </c>
      <c r="AS465" s="379">
        <v>0.47</v>
      </c>
      <c r="AT465" s="159" t="s">
        <v>172</v>
      </c>
      <c r="AU465" s="159" t="s">
        <v>186</v>
      </c>
      <c r="AV465" s="129" t="s">
        <v>137</v>
      </c>
      <c r="AW465" s="129" t="s">
        <v>138</v>
      </c>
      <c r="AX465" s="68" t="s">
        <v>143</v>
      </c>
      <c r="AY465" s="61" t="str">
        <f>IFERROR(__xludf.DUMMYFUNCTION("vlookup(BB465,importrange(""https://docs.google.com/spreadsheets/d/1d2vevQ_7D_v35q4wCQ4RpQ_IPoTwEMB9Yp6ymwlPqew/edit?gid=984458430#gid=984458430"", ""'replication success'!A:K""), 11, FAlSE)"),"mixed")</f>
        <v>mixed</v>
      </c>
      <c r="AZ465" s="61" t="str">
        <f>IFERROR(__xludf.DUMMYFUNCTION("vlookup(BB465,importrange(""https://docs.google.com/spreadsheets/d/1d2vevQ_7D_v35q4wCQ4RpQ_IPoTwEMB9Yp6ymwlPqew/edit?gid=984458430#gid=984458430"", ""'replication success'!A:M""), 12, FAlSE)"),"While anxiety-related findings from the two previous studies were not replicated, the relationship between attention bias and facets of negative affect suggests a potential target for treatment.")</f>
        <v>While anxiety-related findings from the two previous studies were not replicated, the relationship between attention bias and facets of negative affect suggests a potential target for treatment.</v>
      </c>
      <c r="BA465" s="61" t="str">
        <f>IFERROR(__xludf.DUMMYFUNCTION("vlookup(BB465,importrange(""https://docs.google.com/spreadsheets/d/1d2vevQ_7D_v35q4wCQ4RpQ_IPoTwEMB9Yp6ymwlPqew/edit?gid=984458430#gid=984458430"", ""'replication success'!A:M""), 13, FAlSE)"),"abstract")</f>
        <v>abstract</v>
      </c>
      <c r="BB465" s="61" t="str">
        <f>IFERROR(__xludf.DUMMYFUNCTION("REGEXREPLACE(G465, ""_[a-z]{1,2}$"", """")"),"additional_studies59")</f>
        <v>additional_studies59</v>
      </c>
      <c r="BC465" s="61"/>
      <c r="BD465" s="62" t="s">
        <v>144</v>
      </c>
      <c r="BE465" s="164"/>
      <c r="BF465" s="164"/>
      <c r="BG465" s="164"/>
      <c r="BH465" s="164"/>
      <c r="BI465" s="164"/>
      <c r="BJ465" s="164"/>
      <c r="BK465" s="164"/>
      <c r="BL465" s="164"/>
      <c r="BM465" s="164"/>
      <c r="BN465" s="164"/>
      <c r="BO465" s="164"/>
      <c r="BP465" s="164"/>
      <c r="BQ465" s="164"/>
      <c r="BR465" s="164"/>
      <c r="BS465" s="164"/>
      <c r="BT465" s="164"/>
      <c r="BU465" s="164"/>
      <c r="BV465" s="164"/>
      <c r="BW465" s="164"/>
      <c r="BX465" s="164"/>
      <c r="BY465" s="164"/>
      <c r="BZ465" s="164"/>
      <c r="CA465" s="164"/>
      <c r="CB465" s="164"/>
      <c r="CC465" s="164"/>
      <c r="CD465" s="164"/>
      <c r="CE465" s="164"/>
      <c r="CF465" s="164"/>
      <c r="CG465" s="164"/>
      <c r="CH465" s="164"/>
      <c r="CI465" s="164"/>
      <c r="CJ465" s="164"/>
      <c r="CK465" s="164"/>
      <c r="CL465" s="164"/>
      <c r="CM465" s="164"/>
      <c r="CN465" s="164"/>
      <c r="CO465" s="164"/>
      <c r="CP465" s="164"/>
      <c r="CQ465" s="164"/>
      <c r="CR465" s="164"/>
      <c r="CS465" s="164"/>
      <c r="CT465" s="164"/>
      <c r="CU465" s="164"/>
      <c r="CV465" s="164"/>
      <c r="CW465" s="164"/>
      <c r="CX465" s="164"/>
      <c r="CY465" s="164"/>
      <c r="CZ465" s="164"/>
      <c r="DA465" s="164"/>
      <c r="DB465" s="164"/>
      <c r="DC465" s="164"/>
      <c r="DD465" s="164"/>
      <c r="DE465" s="164"/>
      <c r="DF465" s="164"/>
      <c r="DG465" s="164"/>
      <c r="DH465" s="164"/>
      <c r="DI465" s="164"/>
      <c r="DJ465" s="164"/>
      <c r="DK465" s="164"/>
      <c r="DL465" s="164"/>
    </row>
    <row r="466" ht="20.25" customHeight="1">
      <c r="A466" s="44">
        <v>466.0</v>
      </c>
      <c r="B466" s="62" t="s">
        <v>114</v>
      </c>
      <c r="C466" s="62" t="s">
        <v>115</v>
      </c>
      <c r="D466" s="62" t="s">
        <v>221</v>
      </c>
      <c r="F466" s="360" t="s">
        <v>2516</v>
      </c>
      <c r="G466" s="47" t="s">
        <v>2517</v>
      </c>
      <c r="H466" s="49" t="s">
        <v>222</v>
      </c>
      <c r="I466" s="344">
        <v>45641.0</v>
      </c>
      <c r="J466" s="569">
        <v>45671.0</v>
      </c>
      <c r="K466" s="49"/>
      <c r="L466" s="212" t="s">
        <v>2528</v>
      </c>
      <c r="M466" s="797" t="s">
        <v>2529</v>
      </c>
      <c r="N466" s="47" t="s">
        <v>2519</v>
      </c>
      <c r="O466" s="49"/>
      <c r="P466" s="51" t="s">
        <v>2520</v>
      </c>
      <c r="Q466" s="52" t="str">
        <f t="array" ref="Q466"> if(iserror(MATCH(V466, 'File Links'!C:C, 0)), "N/A", HYPERLINK(INDEX('File Links'!B:B, MATCH(P466, 'File Links'!C:C, 0))))</f>
        <v>https://drive.google.com/file/d/1-hACoGBMYzWfW-abiG6hh6iaoZvehEax/view?usp=drivesdk</v>
      </c>
      <c r="R466" s="797" t="s">
        <v>2530</v>
      </c>
      <c r="S466" s="797" t="s">
        <v>2522</v>
      </c>
      <c r="T466" s="49"/>
      <c r="U466" s="386">
        <v>1.0</v>
      </c>
      <c r="V466" s="198" t="str">
        <f t="shared" si="25"/>
        <v>10.1016--j.xjmad.2024.100075.pdf</v>
      </c>
      <c r="W466" s="47" t="s">
        <v>2531</v>
      </c>
      <c r="X466" s="54" t="str">
        <f t="array" ref="X466"> if(iserror(MATCH(V466, 'File Links'!C:C, 0)), "N/A", HYPERLINK(INDEX('File Links'!B:B, MATCH(V466, 'File Links'!C:C, 0))))</f>
        <v>https://drive.google.com/file/d/1VUyjspRteJ5gkjs-fbYxT0CLPJf7x2H-/view?usp=drivesdk</v>
      </c>
      <c r="Y466" s="49"/>
      <c r="Z466" s="47" t="s">
        <v>148</v>
      </c>
      <c r="AA466" s="47" t="s">
        <v>2532</v>
      </c>
      <c r="AB466" s="47" t="s">
        <v>2533</v>
      </c>
      <c r="AC466" s="47" t="s">
        <v>2534</v>
      </c>
      <c r="AD466" s="47" t="s">
        <v>2535</v>
      </c>
      <c r="AE466" s="508">
        <v>8.0</v>
      </c>
      <c r="AF466" s="508">
        <v>185.0</v>
      </c>
      <c r="AG466" s="798">
        <v>0.68</v>
      </c>
      <c r="AH466" s="799" t="s">
        <v>173</v>
      </c>
      <c r="AI466" s="800" t="s">
        <v>604</v>
      </c>
      <c r="AJ466" s="798">
        <v>0.001</v>
      </c>
      <c r="AK466" s="801" t="s">
        <v>172</v>
      </c>
      <c r="AL466" s="800" t="s">
        <v>136</v>
      </c>
      <c r="AM466" s="802" t="s">
        <v>137</v>
      </c>
      <c r="AN466" s="802"/>
      <c r="AO466" s="798">
        <v>120.0</v>
      </c>
      <c r="AP466" s="798">
        <v>0.41</v>
      </c>
      <c r="AQ466" s="800" t="s">
        <v>173</v>
      </c>
      <c r="AR466" s="47" t="s">
        <v>140</v>
      </c>
      <c r="AS466" s="508">
        <v>0.02</v>
      </c>
      <c r="AT466" s="360" t="s">
        <v>172</v>
      </c>
      <c r="AU466" s="360" t="s">
        <v>136</v>
      </c>
      <c r="AV466" s="46" t="s">
        <v>141</v>
      </c>
      <c r="AW466" s="59" t="s">
        <v>2536</v>
      </c>
      <c r="AX466" s="60" t="s">
        <v>143</v>
      </c>
      <c r="AY466" s="61" t="str">
        <f>IFERROR(__xludf.DUMMYFUNCTION("vlookup(BB466,importrange(""https://docs.google.com/spreadsheets/d/1d2vevQ_7D_v35q4wCQ4RpQ_IPoTwEMB9Yp6ymwlPqew/edit?gid=984458430#gid=984458430"", ""'replication success'!A:K""), 11, FAlSE)"),"mixed")</f>
        <v>mixed</v>
      </c>
      <c r="AZ466" s="61" t="str">
        <f>IFERROR(__xludf.DUMMYFUNCTION("vlookup(BB466,importrange(""https://docs.google.com/spreadsheets/d/1d2vevQ_7D_v35q4wCQ4RpQ_IPoTwEMB9Yp6ymwlPqew/edit?gid=984458430#gid=984458430"", ""'replication success'!A:M""), 12, FAlSE)"),"While anxiety-related findings from the two previous studies were not replicated, the relationship between attention bias and facets of negative affect suggests a potential target for treatment.")</f>
        <v>While anxiety-related findings from the two previous studies were not replicated, the relationship between attention bias and facets of negative affect suggests a potential target for treatment.</v>
      </c>
      <c r="BA466" s="61" t="str">
        <f>IFERROR(__xludf.DUMMYFUNCTION("vlookup(BB466,importrange(""https://docs.google.com/spreadsheets/d/1d2vevQ_7D_v35q4wCQ4RpQ_IPoTwEMB9Yp6ymwlPqew/edit?gid=984458430#gid=984458430"", ""'replication success'!A:M""), 13, FAlSE)"),"abstract")</f>
        <v>abstract</v>
      </c>
      <c r="BB466" s="61" t="str">
        <f>IFERROR(__xludf.DUMMYFUNCTION("REGEXREPLACE(G466, ""_[a-z]{1,2}$"", """")"),"additional_studies59")</f>
        <v>additional_studies59</v>
      </c>
      <c r="BC466" s="129" t="s">
        <v>2528</v>
      </c>
      <c r="BD466" s="62" t="s">
        <v>144</v>
      </c>
      <c r="BE466" s="743"/>
      <c r="BF466" s="743"/>
      <c r="BG466" s="743"/>
      <c r="BH466" s="743"/>
      <c r="BI466" s="743"/>
      <c r="BJ466" s="743"/>
      <c r="BK466" s="743"/>
      <c r="BL466" s="743"/>
      <c r="BM466" s="743"/>
      <c r="BN466" s="743"/>
      <c r="BO466" s="743"/>
      <c r="BP466" s="743"/>
      <c r="BQ466" s="743"/>
      <c r="BR466" s="743"/>
      <c r="BS466" s="743"/>
      <c r="BT466" s="743"/>
      <c r="BU466" s="743"/>
      <c r="BV466" s="743"/>
      <c r="BW466" s="743"/>
      <c r="BX466" s="743"/>
      <c r="BY466" s="743"/>
      <c r="BZ466" s="743"/>
      <c r="CA466" s="743"/>
      <c r="CB466" s="743"/>
      <c r="CC466" s="743"/>
      <c r="CD466" s="743"/>
      <c r="CE466" s="743"/>
      <c r="CF466" s="743"/>
      <c r="CG466" s="743"/>
      <c r="CH466" s="743"/>
      <c r="CI466" s="743"/>
      <c r="CJ466" s="743"/>
      <c r="CK466" s="743"/>
      <c r="CL466" s="743"/>
      <c r="CM466" s="743"/>
      <c r="CN466" s="743"/>
      <c r="CO466" s="743"/>
      <c r="CP466" s="743"/>
      <c r="CQ466" s="743"/>
      <c r="CR466" s="743"/>
      <c r="CS466" s="743"/>
      <c r="CT466" s="743"/>
      <c r="CU466" s="743"/>
      <c r="CV466" s="743"/>
      <c r="CW466" s="743"/>
      <c r="CX466" s="743"/>
      <c r="CY466" s="743"/>
      <c r="CZ466" s="743"/>
      <c r="DA466" s="743"/>
      <c r="DB466" s="743"/>
      <c r="DC466" s="743"/>
      <c r="DD466" s="743"/>
      <c r="DE466" s="743"/>
      <c r="DF466" s="743"/>
      <c r="DG466" s="743"/>
      <c r="DH466" s="743"/>
      <c r="DI466" s="743"/>
      <c r="DJ466" s="743"/>
      <c r="DK466" s="743"/>
      <c r="DL466" s="743"/>
    </row>
    <row r="467" ht="20.25" customHeight="1">
      <c r="A467" s="44">
        <v>467.0</v>
      </c>
      <c r="B467" s="45" t="s">
        <v>152</v>
      </c>
      <c r="C467" s="45" t="s">
        <v>115</v>
      </c>
      <c r="D467" s="45" t="s">
        <v>199</v>
      </c>
      <c r="E467" s="65"/>
      <c r="F467" s="360" t="s">
        <v>2516</v>
      </c>
      <c r="G467" s="57" t="s">
        <v>2537</v>
      </c>
      <c r="H467" s="57" t="s">
        <v>202</v>
      </c>
      <c r="I467" s="434">
        <v>45639.0</v>
      </c>
      <c r="J467" s="569">
        <v>45671.0</v>
      </c>
      <c r="K467" s="57" t="s">
        <v>2538</v>
      </c>
      <c r="L467" s="129" t="s">
        <v>2539</v>
      </c>
      <c r="M467" s="57" t="s">
        <v>2518</v>
      </c>
      <c r="N467" s="57" t="s">
        <v>2519</v>
      </c>
      <c r="O467" s="379">
        <v>1.0</v>
      </c>
      <c r="P467" s="377" t="s">
        <v>2520</v>
      </c>
      <c r="Q467" s="52" t="str">
        <f t="array" ref="Q467"> if(iserror(MATCH(V467, 'File Links'!C:C, 0)), "N/A", HYPERLINK(INDEX('File Links'!B:B, MATCH(P467, 'File Links'!C:C, 0))))</f>
        <v>https://drive.google.com/file/d/1-hACoGBMYzWfW-abiG6hh6iaoZvehEax/view?usp=drivesdk</v>
      </c>
      <c r="R467" s="57" t="s">
        <v>2521</v>
      </c>
      <c r="S467" s="57" t="s">
        <v>2522</v>
      </c>
      <c r="T467" s="61"/>
      <c r="U467" s="129">
        <v>1.0</v>
      </c>
      <c r="V467" s="198" t="str">
        <f t="shared" si="25"/>
        <v>10.1016--j.xjmad.2024.100075.pdf</v>
      </c>
      <c r="W467" s="57" t="s">
        <v>209</v>
      </c>
      <c r="X467" s="54" t="str">
        <f t="array" ref="X467"> if(iserror(MATCH(V467, 'File Links'!C:C, 0)), "N/A", HYPERLINK(INDEX('File Links'!B:B, MATCH(V467, 'File Links'!C:C, 0))))</f>
        <v>https://drive.google.com/file/d/1VUyjspRteJ5gkjs-fbYxT0CLPJf7x2H-/view?usp=drivesdk</v>
      </c>
      <c r="Y467" s="61"/>
      <c r="Z467" s="57" t="s">
        <v>2010</v>
      </c>
      <c r="AA467" s="57" t="s">
        <v>2523</v>
      </c>
      <c r="AB467" s="57" t="s">
        <v>2524</v>
      </c>
      <c r="AC467" s="57" t="s">
        <v>2525</v>
      </c>
      <c r="AD467" s="57" t="s">
        <v>2540</v>
      </c>
      <c r="AE467" s="379">
        <v>7.0</v>
      </c>
      <c r="AF467" s="379">
        <v>50.0</v>
      </c>
      <c r="AG467" s="379">
        <v>0.29</v>
      </c>
      <c r="AH467" s="339" t="s">
        <v>215</v>
      </c>
      <c r="AI467" s="57" t="s">
        <v>132</v>
      </c>
      <c r="AJ467" s="379">
        <v>0.043</v>
      </c>
      <c r="AK467" s="159" t="s">
        <v>172</v>
      </c>
      <c r="AL467" s="57" t="s">
        <v>186</v>
      </c>
      <c r="AM467" s="129" t="s">
        <v>137</v>
      </c>
      <c r="AN467" s="718" t="s">
        <v>138</v>
      </c>
      <c r="AO467" s="161">
        <v>106.0</v>
      </c>
      <c r="AP467" s="379">
        <v>-0.03</v>
      </c>
      <c r="AQ467" s="57" t="s">
        <v>215</v>
      </c>
      <c r="AR467" s="57" t="s">
        <v>850</v>
      </c>
      <c r="AS467" s="379">
        <v>0.74</v>
      </c>
      <c r="AT467" s="159" t="s">
        <v>172</v>
      </c>
      <c r="AU467" s="159" t="s">
        <v>186</v>
      </c>
      <c r="AV467" s="129" t="s">
        <v>137</v>
      </c>
      <c r="AW467" s="129" t="s">
        <v>138</v>
      </c>
      <c r="AX467" s="68"/>
      <c r="AY467" s="61" t="str">
        <f>IFERROR(__xludf.DUMMYFUNCTION("vlookup(BB467,importrange(""https://docs.google.com/spreadsheets/d/1d2vevQ_7D_v35q4wCQ4RpQ_IPoTwEMB9Yp6ymwlPqew/edit?gid=984458430#gid=984458430"", ""'replication success'!A:K""), 11, FAlSE)"),"mixed")</f>
        <v>mixed</v>
      </c>
      <c r="AZ467" s="61" t="str">
        <f>IFERROR(__xludf.DUMMYFUNCTION("vlookup(BB467,importrange(""https://docs.google.com/spreadsheets/d/1d2vevQ_7D_v35q4wCQ4RpQ_IPoTwEMB9Yp6ymwlPqew/edit?gid=984458430#gid=984458430"", ""'replication success'!A:M""), 12, FAlSE)"),"While anxiety-related findings from the two previous studies were not replicated, the relationship between attention bias and facets of negative affect suggests a potential target for treatment.")</f>
        <v>While anxiety-related findings from the two previous studies were not replicated, the relationship between attention bias and facets of negative affect suggests a potential target for treatment.</v>
      </c>
      <c r="BA467" s="61" t="str">
        <f>IFERROR(__xludf.DUMMYFUNCTION("vlookup(BB467,importrange(""https://docs.google.com/spreadsheets/d/1d2vevQ_7D_v35q4wCQ4RpQ_IPoTwEMB9Yp6ymwlPqew/edit?gid=984458430#gid=984458430"", ""'replication success'!A:M""), 13, FAlSE)"),"abstract")</f>
        <v>abstract</v>
      </c>
      <c r="BB467" s="61" t="str">
        <f>IFERROR(__xludf.DUMMYFUNCTION("REGEXREPLACE(G467, ""_[a-z]{1,2}$"", """")"),"additional_studies59")</f>
        <v>additional_studies59</v>
      </c>
      <c r="BC467" s="129"/>
      <c r="BD467" s="62" t="s">
        <v>144</v>
      </c>
      <c r="BE467" s="743"/>
      <c r="BF467" s="743"/>
      <c r="BG467" s="743"/>
      <c r="BH467" s="743"/>
      <c r="BI467" s="743"/>
      <c r="BJ467" s="743"/>
      <c r="BK467" s="743"/>
      <c r="BL467" s="743"/>
      <c r="BM467" s="743"/>
      <c r="BN467" s="743"/>
      <c r="BO467" s="743"/>
      <c r="BP467" s="743"/>
      <c r="BQ467" s="743"/>
      <c r="BR467" s="743"/>
      <c r="BS467" s="743"/>
      <c r="BT467" s="743"/>
      <c r="BU467" s="743"/>
      <c r="BV467" s="743"/>
      <c r="BW467" s="743"/>
      <c r="BX467" s="743"/>
      <c r="BY467" s="743"/>
      <c r="BZ467" s="743"/>
      <c r="CA467" s="743"/>
      <c r="CB467" s="743"/>
      <c r="CC467" s="743"/>
      <c r="CD467" s="743"/>
      <c r="CE467" s="743"/>
      <c r="CF467" s="743"/>
      <c r="CG467" s="743"/>
      <c r="CH467" s="743"/>
      <c r="CI467" s="743"/>
      <c r="CJ467" s="743"/>
      <c r="CK467" s="743"/>
      <c r="CL467" s="743"/>
      <c r="CM467" s="743"/>
      <c r="CN467" s="743"/>
      <c r="CO467" s="743"/>
      <c r="CP467" s="743"/>
      <c r="CQ467" s="743"/>
      <c r="CR467" s="743"/>
      <c r="CS467" s="743"/>
      <c r="CT467" s="743"/>
      <c r="CU467" s="743"/>
      <c r="CV467" s="743"/>
      <c r="CW467" s="743"/>
      <c r="CX467" s="743"/>
      <c r="CY467" s="743"/>
      <c r="CZ467" s="743"/>
      <c r="DA467" s="743"/>
      <c r="DB467" s="743"/>
      <c r="DC467" s="743"/>
      <c r="DD467" s="743"/>
      <c r="DE467" s="743"/>
      <c r="DF467" s="743"/>
      <c r="DG467" s="743"/>
      <c r="DH467" s="743"/>
      <c r="DI467" s="743"/>
      <c r="DJ467" s="743"/>
      <c r="DK467" s="743"/>
      <c r="DL467" s="743"/>
    </row>
    <row r="468" ht="20.25" customHeight="1">
      <c r="A468" s="44">
        <v>468.0</v>
      </c>
      <c r="B468" s="490" t="s">
        <v>114</v>
      </c>
      <c r="C468" s="490" t="s">
        <v>115</v>
      </c>
      <c r="D468" s="490" t="s">
        <v>232</v>
      </c>
      <c r="E468" s="803"/>
      <c r="F468" s="381" t="s">
        <v>2541</v>
      </c>
      <c r="G468" s="490" t="s">
        <v>2542</v>
      </c>
      <c r="H468" s="490" t="s">
        <v>235</v>
      </c>
      <c r="I468" s="804">
        <v>45626.0</v>
      </c>
      <c r="J468" s="170">
        <v>45786.0</v>
      </c>
      <c r="K468" s="490" t="s">
        <v>2543</v>
      </c>
      <c r="L468" s="490" t="s">
        <v>2544</v>
      </c>
      <c r="M468" s="490" t="s">
        <v>2545</v>
      </c>
      <c r="N468" s="490" t="s">
        <v>2546</v>
      </c>
      <c r="O468" s="805">
        <v>2.0</v>
      </c>
      <c r="P468" s="806" t="str">
        <f> hyperlink(vlookup(lower(N468),'File Links'!A:B, 2, FALSE), SUBSTITUTE(lower(N468), "/", "--") &amp;  ".pdf")</f>
        <v>10.1086--648381.pdf</v>
      </c>
      <c r="Q468" s="52" t="str">
        <f t="array" ref="Q468"> if(iserror(MATCH(V468, 'File Links'!C:C, 0)), "N/A", HYPERLINK(INDEX('File Links'!B:B, MATCH(P468, 'File Links'!C:C, 0))))</f>
        <v>https://drive.google.com/file/d/14GutnAtB1f13xcVqwnhfc_-RMT6AP_5B/view?usp=drivesdk</v>
      </c>
      <c r="R468" s="490" t="s">
        <v>2547</v>
      </c>
      <c r="S468" s="490" t="s">
        <v>2548</v>
      </c>
      <c r="T468" s="803"/>
      <c r="U468" s="490">
        <v>1.0</v>
      </c>
      <c r="V468" s="198" t="str">
        <f t="shared" si="25"/>
        <v>10.1016--j.jesp.2024.104619.pdf</v>
      </c>
      <c r="W468" s="490" t="s">
        <v>2549</v>
      </c>
      <c r="X468" s="54" t="str">
        <f t="array" ref="X468"> if(iserror(MATCH(V468, 'File Links'!C:C, 0)), "N/A", HYPERLINK(INDEX('File Links'!B:B, MATCH(V468, 'File Links'!C:C, 0))))</f>
        <v>https://drive.google.com/file/d/1CclKKmhEg4wBmEAHmGyg_rBfw2qqAy8s/view?usp=drivesdk</v>
      </c>
      <c r="Y468" s="803"/>
      <c r="Z468" s="490" t="s">
        <v>2550</v>
      </c>
      <c r="AA468" s="490" t="s">
        <v>2551</v>
      </c>
      <c r="AB468" s="805" t="s">
        <v>2552</v>
      </c>
      <c r="AC468" s="490" t="s">
        <v>2553</v>
      </c>
      <c r="AD468" s="490" t="s">
        <v>2554</v>
      </c>
      <c r="AE468" s="700" t="s">
        <v>613</v>
      </c>
      <c r="AF468" s="490">
        <v>68.0</v>
      </c>
      <c r="AG468" s="490" t="s">
        <v>2555</v>
      </c>
      <c r="AH468" s="700" t="s">
        <v>134</v>
      </c>
      <c r="AI468" s="700" t="s">
        <v>613</v>
      </c>
      <c r="AJ468" s="490" t="s">
        <v>2556</v>
      </c>
      <c r="AK468" s="490" t="s">
        <v>135</v>
      </c>
      <c r="AL468" s="490" t="s">
        <v>186</v>
      </c>
      <c r="AM468" s="531" t="s">
        <v>137</v>
      </c>
      <c r="AN468" s="718" t="s">
        <v>138</v>
      </c>
      <c r="AO468" s="490">
        <v>1018.0</v>
      </c>
      <c r="AP468" s="490" t="s">
        <v>2557</v>
      </c>
      <c r="AQ468" s="490" t="s">
        <v>139</v>
      </c>
      <c r="AR468" s="490" t="s">
        <v>132</v>
      </c>
      <c r="AS468" s="490" t="s">
        <v>2558</v>
      </c>
      <c r="AT468" s="490" t="s">
        <v>172</v>
      </c>
      <c r="AU468" s="490" t="s">
        <v>186</v>
      </c>
      <c r="AV468" s="531" t="s">
        <v>137</v>
      </c>
      <c r="AW468" s="807" t="s">
        <v>2559</v>
      </c>
      <c r="AX468" s="371" t="s">
        <v>143</v>
      </c>
      <c r="AY468" s="61" t="str">
        <f>IFERROR(__xludf.DUMMYFUNCTION("vlookup(BB468,importrange(""https://docs.google.com/spreadsheets/d/1d2vevQ_7D_v35q4wCQ4RpQ_IPoTwEMB9Yp6ymwlPqew/edit?gid=984458430#gid=984458430"", ""'replication success'!A:K""), 11, FAlSE)"),"failed")</f>
        <v>failed</v>
      </c>
      <c r="AZ468" s="61" t="str">
        <f>IFERROR(__xludf.DUMMYFUNCTION("vlookup(BB468,importrange(""https://docs.google.com/spreadsheets/d/1d2vevQ_7D_v35q4wCQ4RpQ_IPoTwEMB9Yp6ymwlPqew/edit?gid=984458430#gid=984458430"",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68" s="61" t="str">
        <f>IFERROR(__xludf.DUMMYFUNCTION("vlookup(BB468,importrange(""https://docs.google.com/spreadsheets/d/1d2vevQ_7D_v35q4wCQ4RpQ_IPoTwEMB9Yp6ymwlPqew/edit?gid=984458430#gid=984458430"", ""'replication success'!A:M""), 13, FAlSE)"),"abstract")</f>
        <v>abstract</v>
      </c>
      <c r="BB468" s="61" t="str">
        <f>IFERROR(__xludf.DUMMYFUNCTION("REGEXREPLACE(G468, ""_[a-z]{1,2}$"", """")"),"additional_studies6")</f>
        <v>additional_studies6</v>
      </c>
      <c r="BC468" s="803"/>
      <c r="BD468" s="381" t="s">
        <v>814</v>
      </c>
      <c r="BE468" s="743"/>
      <c r="BF468" s="743"/>
      <c r="BG468" s="743"/>
      <c r="BH468" s="743"/>
      <c r="BI468" s="743"/>
      <c r="BJ468" s="743"/>
      <c r="BK468" s="743"/>
      <c r="BL468" s="743"/>
      <c r="BM468" s="743"/>
      <c r="BN468" s="743"/>
      <c r="BO468" s="743"/>
      <c r="BP468" s="743"/>
      <c r="BQ468" s="743"/>
      <c r="BR468" s="743"/>
      <c r="BS468" s="743"/>
      <c r="BT468" s="743"/>
      <c r="BU468" s="743"/>
      <c r="BV468" s="743"/>
      <c r="BW468" s="743"/>
      <c r="BX468" s="743"/>
      <c r="BY468" s="743"/>
      <c r="BZ468" s="743"/>
      <c r="CA468" s="743"/>
      <c r="CB468" s="743"/>
      <c r="CC468" s="743"/>
      <c r="CD468" s="743"/>
      <c r="CE468" s="743"/>
      <c r="CF468" s="743"/>
      <c r="CG468" s="743"/>
      <c r="CH468" s="743"/>
      <c r="CI468" s="743"/>
      <c r="CJ468" s="743"/>
      <c r="CK468" s="743"/>
      <c r="CL468" s="743"/>
      <c r="CM468" s="743"/>
      <c r="CN468" s="743"/>
      <c r="CO468" s="743"/>
      <c r="CP468" s="743"/>
      <c r="CQ468" s="743"/>
      <c r="CR468" s="743"/>
      <c r="CS468" s="743"/>
      <c r="CT468" s="743"/>
      <c r="CU468" s="743"/>
      <c r="CV468" s="743"/>
      <c r="CW468" s="743"/>
      <c r="CX468" s="743"/>
      <c r="CY468" s="743"/>
      <c r="CZ468" s="743"/>
      <c r="DA468" s="743"/>
      <c r="DB468" s="743"/>
      <c r="DC468" s="743"/>
      <c r="DD468" s="743"/>
      <c r="DE468" s="743"/>
      <c r="DF468" s="743"/>
      <c r="DG468" s="743"/>
      <c r="DH468" s="743"/>
      <c r="DI468" s="743"/>
      <c r="DJ468" s="743"/>
      <c r="DK468" s="743"/>
      <c r="DL468" s="743"/>
    </row>
    <row r="469" ht="20.25" customHeight="1">
      <c r="A469" s="44">
        <v>469.0</v>
      </c>
      <c r="B469" s="490" t="s">
        <v>152</v>
      </c>
      <c r="C469" s="477" t="s">
        <v>115</v>
      </c>
      <c r="D469" s="477" t="s">
        <v>248</v>
      </c>
      <c r="E469" s="808"/>
      <c r="F469" s="467" t="s">
        <v>2541</v>
      </c>
      <c r="G469" s="477" t="s">
        <v>2560</v>
      </c>
      <c r="H469" s="477" t="s">
        <v>249</v>
      </c>
      <c r="I469" s="809">
        <v>45625.0</v>
      </c>
      <c r="J469" s="170">
        <v>45786.0</v>
      </c>
      <c r="K469" s="477" t="s">
        <v>2561</v>
      </c>
      <c r="L469" s="477" t="s">
        <v>2562</v>
      </c>
      <c r="M469" s="477" t="s">
        <v>2545</v>
      </c>
      <c r="N469" s="477" t="s">
        <v>2546</v>
      </c>
      <c r="O469" s="805">
        <v>2.0</v>
      </c>
      <c r="P469" s="810" t="str">
        <f> hyperlink(vlookup(lower(N469),'File Links'!A:B, 2, FALSE), SUBSTITUTE(lower(N469), "/", "--") &amp;  ".pdf")</f>
        <v>10.1086--648381.pdf</v>
      </c>
      <c r="Q469" s="52" t="str">
        <f t="array" ref="Q469"> if(iserror(MATCH(V469, 'File Links'!C:C, 0)), "N/A", HYPERLINK(INDEX('File Links'!B:B, MATCH(P469, 'File Links'!C:C, 0))))</f>
        <v>https://drive.google.com/file/d/14GutnAtB1f13xcVqwnhfc_-RMT6AP_5B/view?usp=drivesdk</v>
      </c>
      <c r="R469" s="477" t="s">
        <v>2547</v>
      </c>
      <c r="S469" s="477" t="s">
        <v>2548</v>
      </c>
      <c r="T469" s="808"/>
      <c r="U469" s="700">
        <v>1.0</v>
      </c>
      <c r="V469" s="198" t="str">
        <f t="shared" si="25"/>
        <v>10.1016--j.jesp.2024.104619.pdf</v>
      </c>
      <c r="W469" s="700" t="s">
        <v>2549</v>
      </c>
      <c r="X469" s="54" t="str">
        <f t="array" ref="X469"> if(iserror(MATCH(V469, 'File Links'!C:C, 0)), "N/A", HYPERLINK(INDEX('File Links'!B:B, MATCH(V469, 'File Links'!C:C, 0))))</f>
        <v>https://drive.google.com/file/d/1CclKKmhEg4wBmEAHmGyg_rBfw2qqAy8s/view?usp=drivesdk</v>
      </c>
      <c r="Y469" s="808"/>
      <c r="Z469" s="477" t="s">
        <v>2550</v>
      </c>
      <c r="AA469" s="700" t="s">
        <v>2551</v>
      </c>
      <c r="AB469" s="805" t="s">
        <v>2552</v>
      </c>
      <c r="AC469" s="700" t="s">
        <v>2553</v>
      </c>
      <c r="AD469" s="477" t="s">
        <v>2563</v>
      </c>
      <c r="AE469" s="700" t="s">
        <v>613</v>
      </c>
      <c r="AF469" s="477">
        <v>68.0</v>
      </c>
      <c r="AG469" s="811" t="s">
        <v>2564</v>
      </c>
      <c r="AH469" s="700" t="s">
        <v>134</v>
      </c>
      <c r="AI469" s="700" t="s">
        <v>613</v>
      </c>
      <c r="AJ469" s="477">
        <v>0.04</v>
      </c>
      <c r="AK469" s="477" t="s">
        <v>135</v>
      </c>
      <c r="AL469" s="477" t="s">
        <v>186</v>
      </c>
      <c r="AM469" s="531" t="s">
        <v>137</v>
      </c>
      <c r="AN469" s="718" t="s">
        <v>138</v>
      </c>
      <c r="AO469" s="477">
        <v>1018.0</v>
      </c>
      <c r="AP469" s="477">
        <v>0.25</v>
      </c>
      <c r="AQ469" s="700" t="s">
        <v>874</v>
      </c>
      <c r="AR469" s="700" t="s">
        <v>132</v>
      </c>
      <c r="AS469" s="477">
        <v>0.001</v>
      </c>
      <c r="AT469" s="477" t="s">
        <v>135</v>
      </c>
      <c r="AU469" s="477" t="s">
        <v>186</v>
      </c>
      <c r="AV469" s="531" t="s">
        <v>137</v>
      </c>
      <c r="AW469" s="807" t="s">
        <v>2559</v>
      </c>
      <c r="AX469" s="371" t="s">
        <v>143</v>
      </c>
      <c r="AY469" s="61" t="str">
        <f>IFERROR(__xludf.DUMMYFUNCTION("vlookup(BB469,importrange(""https://docs.google.com/spreadsheets/d/1d2vevQ_7D_v35q4wCQ4RpQ_IPoTwEMB9Yp6ymwlPqew/edit?gid=984458430#gid=984458430"", ""'replication success'!A:K""), 11, FAlSE)"),"failed")</f>
        <v>failed</v>
      </c>
      <c r="AZ469" s="61" t="str">
        <f>IFERROR(__xludf.DUMMYFUNCTION("vlookup(BB469,importrange(""https://docs.google.com/spreadsheets/d/1d2vevQ_7D_v35q4wCQ4RpQ_IPoTwEMB9Yp6ymwlPqew/edit?gid=984458430#gid=984458430"",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69" s="61" t="str">
        <f>IFERROR(__xludf.DUMMYFUNCTION("vlookup(BB469,importrange(""https://docs.google.com/spreadsheets/d/1d2vevQ_7D_v35q4wCQ4RpQ_IPoTwEMB9Yp6ymwlPqew/edit?gid=984458430#gid=984458430"", ""'replication success'!A:M""), 13, FAlSE)"),"abstract")</f>
        <v>abstract</v>
      </c>
      <c r="BB469" s="61" t="str">
        <f>IFERROR(__xludf.DUMMYFUNCTION("REGEXREPLACE(G469, ""_[a-z]{1,2}$"", """")"),"additional_studies6")</f>
        <v>additional_studies6</v>
      </c>
      <c r="BC469" s="808"/>
      <c r="BD469" s="381" t="s">
        <v>814</v>
      </c>
      <c r="BE469" s="743"/>
      <c r="BF469" s="743"/>
      <c r="BG469" s="743"/>
      <c r="BH469" s="743"/>
      <c r="BI469" s="743"/>
      <c r="BJ469" s="743"/>
      <c r="BK469" s="743"/>
      <c r="BL469" s="743"/>
      <c r="BM469" s="743"/>
      <c r="BN469" s="743"/>
      <c r="BO469" s="743"/>
      <c r="BP469" s="743"/>
      <c r="BQ469" s="743"/>
      <c r="BR469" s="743"/>
      <c r="BS469" s="743"/>
      <c r="BT469" s="743"/>
      <c r="BU469" s="743"/>
      <c r="BV469" s="743"/>
      <c r="BW469" s="743"/>
      <c r="BX469" s="743"/>
      <c r="BY469" s="743"/>
      <c r="BZ469" s="743"/>
      <c r="CA469" s="743"/>
      <c r="CB469" s="743"/>
      <c r="CC469" s="743"/>
      <c r="CD469" s="743"/>
      <c r="CE469" s="743"/>
      <c r="CF469" s="743"/>
      <c r="CG469" s="743"/>
      <c r="CH469" s="743"/>
      <c r="CI469" s="743"/>
      <c r="CJ469" s="743"/>
      <c r="CK469" s="743"/>
      <c r="CL469" s="743"/>
      <c r="CM469" s="743"/>
      <c r="CN469" s="743"/>
      <c r="CO469" s="743"/>
      <c r="CP469" s="743"/>
      <c r="CQ469" s="743"/>
      <c r="CR469" s="743"/>
      <c r="CS469" s="743"/>
      <c r="CT469" s="743"/>
      <c r="CU469" s="743"/>
      <c r="CV469" s="743"/>
      <c r="CW469" s="743"/>
      <c r="CX469" s="743"/>
      <c r="CY469" s="743"/>
      <c r="CZ469" s="743"/>
      <c r="DA469" s="743"/>
      <c r="DB469" s="743"/>
      <c r="DC469" s="743"/>
      <c r="DD469" s="743"/>
      <c r="DE469" s="743"/>
      <c r="DF469" s="743"/>
      <c r="DG469" s="743"/>
      <c r="DH469" s="743"/>
      <c r="DI469" s="743"/>
      <c r="DJ469" s="743"/>
      <c r="DK469" s="743"/>
      <c r="DL469" s="743"/>
    </row>
    <row r="470" ht="20.25" customHeight="1">
      <c r="A470" s="44">
        <v>470.0</v>
      </c>
      <c r="B470" s="490" t="s">
        <v>114</v>
      </c>
      <c r="C470" s="490" t="s">
        <v>115</v>
      </c>
      <c r="D470" s="490" t="s">
        <v>232</v>
      </c>
      <c r="E470" s="803"/>
      <c r="F470" s="381" t="s">
        <v>2541</v>
      </c>
      <c r="G470" s="490" t="s">
        <v>2565</v>
      </c>
      <c r="H470" s="490" t="s">
        <v>235</v>
      </c>
      <c r="I470" s="804">
        <v>45626.0</v>
      </c>
      <c r="J470" s="170">
        <v>45786.0</v>
      </c>
      <c r="K470" s="803"/>
      <c r="L470" s="490" t="s">
        <v>2566</v>
      </c>
      <c r="M470" s="490" t="s">
        <v>2545</v>
      </c>
      <c r="N470" s="490" t="s">
        <v>2546</v>
      </c>
      <c r="O470" s="805">
        <v>2.0</v>
      </c>
      <c r="P470" s="806" t="str">
        <f> hyperlink(vlookup(lower(N470),'File Links'!A:B, 2, FALSE), SUBSTITUTE(lower(N470), "/", "--") &amp;  ".pdf")</f>
        <v>10.1086--648381.pdf</v>
      </c>
      <c r="Q470" s="52" t="str">
        <f t="array" ref="Q470"> if(iserror(MATCH(V470, 'File Links'!C:C, 0)), "N/A", HYPERLINK(INDEX('File Links'!B:B, MATCH(P470, 'File Links'!C:C, 0))))</f>
        <v>https://drive.google.com/file/d/14GutnAtB1f13xcVqwnhfc_-RMT6AP_5B/view?usp=drivesdk</v>
      </c>
      <c r="R470" s="490" t="s">
        <v>2547</v>
      </c>
      <c r="S470" s="490" t="s">
        <v>2548</v>
      </c>
      <c r="T470" s="803"/>
      <c r="U470" s="490">
        <v>1.0</v>
      </c>
      <c r="V470" s="198" t="str">
        <f t="shared" si="25"/>
        <v>10.1016--j.jesp.2024.104619.pdf</v>
      </c>
      <c r="W470" s="490" t="s">
        <v>2549</v>
      </c>
      <c r="X470" s="54" t="str">
        <f t="array" ref="X470"> if(iserror(MATCH(V470, 'File Links'!C:C, 0)), "N/A", HYPERLINK(INDEX('File Links'!B:B, MATCH(V470, 'File Links'!C:C, 0))))</f>
        <v>https://drive.google.com/file/d/1CclKKmhEg4wBmEAHmGyg_rBfw2qqAy8s/view?usp=drivesdk</v>
      </c>
      <c r="Y470" s="803"/>
      <c r="Z470" s="490" t="s">
        <v>2550</v>
      </c>
      <c r="AA470" s="490" t="s">
        <v>2551</v>
      </c>
      <c r="AB470" s="805" t="s">
        <v>2552</v>
      </c>
      <c r="AC470" s="490" t="s">
        <v>2553</v>
      </c>
      <c r="AD470" s="490" t="s">
        <v>2567</v>
      </c>
      <c r="AE470" s="700" t="s">
        <v>613</v>
      </c>
      <c r="AF470" s="490">
        <v>68.0</v>
      </c>
      <c r="AG470" s="490" t="s">
        <v>2568</v>
      </c>
      <c r="AH470" s="700" t="s">
        <v>134</v>
      </c>
      <c r="AI470" s="700" t="s">
        <v>613</v>
      </c>
      <c r="AJ470" s="490" t="s">
        <v>2569</v>
      </c>
      <c r="AK470" s="490" t="s">
        <v>135</v>
      </c>
      <c r="AL470" s="490" t="s">
        <v>186</v>
      </c>
      <c r="AM470" s="531" t="s">
        <v>137</v>
      </c>
      <c r="AN470" s="718" t="s">
        <v>138</v>
      </c>
      <c r="AO470" s="490">
        <v>1018.0</v>
      </c>
      <c r="AP470" s="490" t="s">
        <v>2570</v>
      </c>
      <c r="AQ470" s="490" t="s">
        <v>139</v>
      </c>
      <c r="AR470" s="490" t="s">
        <v>613</v>
      </c>
      <c r="AS470" s="490" t="s">
        <v>2571</v>
      </c>
      <c r="AT470" s="490" t="s">
        <v>172</v>
      </c>
      <c r="AU470" s="490" t="s">
        <v>186</v>
      </c>
      <c r="AV470" s="531" t="s">
        <v>137</v>
      </c>
      <c r="AW470" s="807" t="s">
        <v>2559</v>
      </c>
      <c r="AX470" s="371" t="s">
        <v>143</v>
      </c>
      <c r="AY470" s="61" t="str">
        <f>IFERROR(__xludf.DUMMYFUNCTION("vlookup(BB470,importrange(""https://docs.google.com/spreadsheets/d/1d2vevQ_7D_v35q4wCQ4RpQ_IPoTwEMB9Yp6ymwlPqew/edit?gid=984458430#gid=984458430"", ""'replication success'!A:K""), 11, FAlSE)"),"failed")</f>
        <v>failed</v>
      </c>
      <c r="AZ470" s="61" t="str">
        <f>IFERROR(__xludf.DUMMYFUNCTION("vlookup(BB470,importrange(""https://docs.google.com/spreadsheets/d/1d2vevQ_7D_v35q4wCQ4RpQ_IPoTwEMB9Yp6ymwlPqew/edit?gid=984458430#gid=984458430"",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0" s="61" t="str">
        <f>IFERROR(__xludf.DUMMYFUNCTION("vlookup(BB470,importrange(""https://docs.google.com/spreadsheets/d/1d2vevQ_7D_v35q4wCQ4RpQ_IPoTwEMB9Yp6ymwlPqew/edit?gid=984458430#gid=984458430"", ""'replication success'!A:M""), 13, FAlSE)"),"abstract")</f>
        <v>abstract</v>
      </c>
      <c r="BB470" s="61" t="str">
        <f>IFERROR(__xludf.DUMMYFUNCTION("REGEXREPLACE(G470, ""_[a-z]{1,2}$"", """")"),"additional_studies6")</f>
        <v>additional_studies6</v>
      </c>
      <c r="BC470" s="803"/>
      <c r="BD470" s="381" t="s">
        <v>814</v>
      </c>
      <c r="BE470" s="743"/>
      <c r="BF470" s="743"/>
      <c r="BG470" s="743"/>
      <c r="BH470" s="743"/>
      <c r="BI470" s="743"/>
      <c r="BJ470" s="743"/>
      <c r="BK470" s="743"/>
      <c r="BL470" s="743"/>
      <c r="BM470" s="743"/>
      <c r="BN470" s="743"/>
      <c r="BO470" s="743"/>
      <c r="BP470" s="743"/>
      <c r="BQ470" s="743"/>
      <c r="BR470" s="743"/>
      <c r="BS470" s="743"/>
      <c r="BT470" s="743"/>
      <c r="BU470" s="743"/>
      <c r="BV470" s="743"/>
      <c r="BW470" s="743"/>
      <c r="BX470" s="743"/>
      <c r="BY470" s="743"/>
      <c r="BZ470" s="743"/>
      <c r="CA470" s="743"/>
      <c r="CB470" s="743"/>
      <c r="CC470" s="743"/>
      <c r="CD470" s="743"/>
      <c r="CE470" s="743"/>
      <c r="CF470" s="743"/>
      <c r="CG470" s="743"/>
      <c r="CH470" s="743"/>
      <c r="CI470" s="743"/>
      <c r="CJ470" s="743"/>
      <c r="CK470" s="743"/>
      <c r="CL470" s="743"/>
      <c r="CM470" s="743"/>
      <c r="CN470" s="743"/>
      <c r="CO470" s="743"/>
      <c r="CP470" s="743"/>
      <c r="CQ470" s="743"/>
      <c r="CR470" s="743"/>
      <c r="CS470" s="743"/>
      <c r="CT470" s="743"/>
      <c r="CU470" s="743"/>
      <c r="CV470" s="743"/>
      <c r="CW470" s="743"/>
      <c r="CX470" s="743"/>
      <c r="CY470" s="743"/>
      <c r="CZ470" s="743"/>
      <c r="DA470" s="743"/>
      <c r="DB470" s="743"/>
      <c r="DC470" s="743"/>
      <c r="DD470" s="743"/>
      <c r="DE470" s="743"/>
      <c r="DF470" s="743"/>
      <c r="DG470" s="743"/>
      <c r="DH470" s="743"/>
      <c r="DI470" s="743"/>
      <c r="DJ470" s="743"/>
      <c r="DK470" s="743"/>
      <c r="DL470" s="743"/>
    </row>
    <row r="471" ht="20.25" customHeight="1">
      <c r="A471" s="44">
        <v>471.0</v>
      </c>
      <c r="B471" s="490" t="s">
        <v>152</v>
      </c>
      <c r="C471" s="477" t="s">
        <v>115</v>
      </c>
      <c r="D471" s="477" t="s">
        <v>248</v>
      </c>
      <c r="E471" s="808"/>
      <c r="F471" s="467" t="s">
        <v>2541</v>
      </c>
      <c r="G471" s="477" t="s">
        <v>2565</v>
      </c>
      <c r="H471" s="477" t="s">
        <v>249</v>
      </c>
      <c r="I471" s="809">
        <v>45625.0</v>
      </c>
      <c r="J471" s="170">
        <v>45786.0</v>
      </c>
      <c r="K471" s="477" t="s">
        <v>2572</v>
      </c>
      <c r="L471" s="477" t="s">
        <v>2573</v>
      </c>
      <c r="M471" s="477" t="s">
        <v>2545</v>
      </c>
      <c r="N471" s="477" t="s">
        <v>2546</v>
      </c>
      <c r="O471" s="805">
        <v>2.0</v>
      </c>
      <c r="P471" s="810" t="str">
        <f> hyperlink(vlookup(lower(N471),'File Links'!A:B, 2, FALSE), SUBSTITUTE(lower(N471), "/", "--") &amp;  ".pdf")</f>
        <v>10.1086--648381.pdf</v>
      </c>
      <c r="Q471" s="52" t="str">
        <f t="array" ref="Q471"> if(iserror(MATCH(V471, 'File Links'!C:C, 0)), "N/A", HYPERLINK(INDEX('File Links'!B:B, MATCH(P471, 'File Links'!C:C, 0))))</f>
        <v>https://drive.google.com/file/d/14GutnAtB1f13xcVqwnhfc_-RMT6AP_5B/view?usp=drivesdk</v>
      </c>
      <c r="R471" s="477" t="s">
        <v>2547</v>
      </c>
      <c r="S471" s="477" t="s">
        <v>2548</v>
      </c>
      <c r="T471" s="808"/>
      <c r="U471" s="700">
        <v>1.0</v>
      </c>
      <c r="V471" s="198" t="str">
        <f t="shared" si="25"/>
        <v>10.1016--j.jesp.2024.104619.pdf</v>
      </c>
      <c r="W471" s="700" t="s">
        <v>2549</v>
      </c>
      <c r="X471" s="54" t="str">
        <f t="array" ref="X471"> if(iserror(MATCH(V471, 'File Links'!C:C, 0)), "N/A", HYPERLINK(INDEX('File Links'!B:B, MATCH(V471, 'File Links'!C:C, 0))))</f>
        <v>https://drive.google.com/file/d/1CclKKmhEg4wBmEAHmGyg_rBfw2qqAy8s/view?usp=drivesdk</v>
      </c>
      <c r="Y471" s="808"/>
      <c r="Z471" s="477" t="s">
        <v>2550</v>
      </c>
      <c r="AA471" s="490" t="s">
        <v>2551</v>
      </c>
      <c r="AB471" s="805" t="s">
        <v>2552</v>
      </c>
      <c r="AC471" s="811" t="s">
        <v>2574</v>
      </c>
      <c r="AD471" s="477" t="s">
        <v>2575</v>
      </c>
      <c r="AE471" s="700" t="s">
        <v>613</v>
      </c>
      <c r="AF471" s="477">
        <v>68.0</v>
      </c>
      <c r="AG471" s="700" t="s">
        <v>2576</v>
      </c>
      <c r="AH471" s="700" t="s">
        <v>134</v>
      </c>
      <c r="AI471" s="700" t="s">
        <v>613</v>
      </c>
      <c r="AJ471" s="477">
        <v>0.12</v>
      </c>
      <c r="AK471" s="477" t="s">
        <v>335</v>
      </c>
      <c r="AL471" s="477" t="s">
        <v>186</v>
      </c>
      <c r="AM471" s="531" t="s">
        <v>137</v>
      </c>
      <c r="AN471" s="718" t="s">
        <v>138</v>
      </c>
      <c r="AO471" s="477">
        <v>1018.0</v>
      </c>
      <c r="AP471" s="700">
        <v>0.01</v>
      </c>
      <c r="AQ471" s="700" t="s">
        <v>874</v>
      </c>
      <c r="AR471" s="700" t="s">
        <v>132</v>
      </c>
      <c r="AS471" s="700">
        <v>0.02</v>
      </c>
      <c r="AT471" s="477" t="s">
        <v>172</v>
      </c>
      <c r="AU471" s="477" t="s">
        <v>186</v>
      </c>
      <c r="AV471" s="531" t="s">
        <v>137</v>
      </c>
      <c r="AW471" s="807" t="s">
        <v>2559</v>
      </c>
      <c r="AX471" s="371" t="s">
        <v>143</v>
      </c>
      <c r="AY471" s="61" t="str">
        <f>IFERROR(__xludf.DUMMYFUNCTION("vlookup(BB471,importrange(""https://docs.google.com/spreadsheets/d/1d2vevQ_7D_v35q4wCQ4RpQ_IPoTwEMB9Yp6ymwlPqew/edit?gid=984458430#gid=984458430"", ""'replication success'!A:K""), 11, FAlSE)"),"failed")</f>
        <v>failed</v>
      </c>
      <c r="AZ471" s="61" t="str">
        <f>IFERROR(__xludf.DUMMYFUNCTION("vlookup(BB471,importrange(""https://docs.google.com/spreadsheets/d/1d2vevQ_7D_v35q4wCQ4RpQ_IPoTwEMB9Yp6ymwlPqew/edit?gid=984458430#gid=984458430"",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1" s="61" t="str">
        <f>IFERROR(__xludf.DUMMYFUNCTION("vlookup(BB471,importrange(""https://docs.google.com/spreadsheets/d/1d2vevQ_7D_v35q4wCQ4RpQ_IPoTwEMB9Yp6ymwlPqew/edit?gid=984458430#gid=984458430"", ""'replication success'!A:M""), 13, FAlSE)"),"abstract")</f>
        <v>abstract</v>
      </c>
      <c r="BB471" s="61" t="str">
        <f>IFERROR(__xludf.DUMMYFUNCTION("REGEXREPLACE(G471, ""_[a-z]{1,2}$"", """")"),"additional_studies6")</f>
        <v>additional_studies6</v>
      </c>
      <c r="BC471" s="808"/>
      <c r="BD471" s="381" t="s">
        <v>814</v>
      </c>
    </row>
    <row r="472" ht="20.25" customHeight="1">
      <c r="A472" s="44">
        <v>472.0</v>
      </c>
      <c r="B472" s="490" t="s">
        <v>114</v>
      </c>
      <c r="C472" s="490" t="s">
        <v>115</v>
      </c>
      <c r="D472" s="490" t="s">
        <v>232</v>
      </c>
      <c r="E472" s="803"/>
      <c r="F472" s="381" t="s">
        <v>2541</v>
      </c>
      <c r="G472" s="490" t="s">
        <v>2577</v>
      </c>
      <c r="H472" s="490" t="s">
        <v>235</v>
      </c>
      <c r="I472" s="804">
        <v>45626.0</v>
      </c>
      <c r="J472" s="170">
        <v>45786.0</v>
      </c>
      <c r="K472" s="490" t="s">
        <v>259</v>
      </c>
      <c r="L472" s="490" t="s">
        <v>2578</v>
      </c>
      <c r="M472" s="490" t="s">
        <v>2545</v>
      </c>
      <c r="N472" s="490" t="s">
        <v>2546</v>
      </c>
      <c r="O472" s="805">
        <v>2.0</v>
      </c>
      <c r="P472" s="806" t="str">
        <f> hyperlink(vlookup(lower(N472),'File Links'!A:B, 2, FALSE), SUBSTITUTE(lower(N472), "/", "--") &amp;  ".pdf")</f>
        <v>10.1086--648381.pdf</v>
      </c>
      <c r="Q472" s="52" t="str">
        <f t="array" ref="Q472"> if(iserror(MATCH(V472, 'File Links'!C:C, 0)), "N/A", HYPERLINK(INDEX('File Links'!B:B, MATCH(P472, 'File Links'!C:C, 0))))</f>
        <v>https://drive.google.com/file/d/14GutnAtB1f13xcVqwnhfc_-RMT6AP_5B/view?usp=drivesdk</v>
      </c>
      <c r="R472" s="490" t="s">
        <v>2547</v>
      </c>
      <c r="S472" s="490" t="s">
        <v>2548</v>
      </c>
      <c r="T472" s="803"/>
      <c r="U472" s="490">
        <v>1.0</v>
      </c>
      <c r="V472" s="198" t="str">
        <f t="shared" si="25"/>
        <v>10.1016--j.jesp.2024.104619.pdf</v>
      </c>
      <c r="W472" s="490" t="s">
        <v>2549</v>
      </c>
      <c r="X472" s="54" t="str">
        <f t="array" ref="X472"> if(iserror(MATCH(V472, 'File Links'!C:C, 0)), "N/A", HYPERLINK(INDEX('File Links'!B:B, MATCH(V472, 'File Links'!C:C, 0))))</f>
        <v>https://drive.google.com/file/d/1CclKKmhEg4wBmEAHmGyg_rBfw2qqAy8s/view?usp=drivesdk</v>
      </c>
      <c r="Y472" s="803"/>
      <c r="Z472" s="490" t="s">
        <v>2550</v>
      </c>
      <c r="AA472" s="490" t="s">
        <v>2551</v>
      </c>
      <c r="AB472" s="805" t="s">
        <v>2552</v>
      </c>
      <c r="AC472" s="490" t="s">
        <v>2553</v>
      </c>
      <c r="AD472" s="803"/>
      <c r="AE472" s="803"/>
      <c r="AF472" s="803"/>
      <c r="AG472" s="803"/>
      <c r="AH472" s="803"/>
      <c r="AI472" s="803"/>
      <c r="AJ472" s="490"/>
      <c r="AK472" s="803"/>
      <c r="AL472" s="803"/>
      <c r="AM472" s="484"/>
      <c r="AN472" s="718" t="s">
        <v>138</v>
      </c>
      <c r="AO472" s="490">
        <v>1018.0</v>
      </c>
      <c r="AP472" s="490" t="s">
        <v>2579</v>
      </c>
      <c r="AQ472" s="490" t="s">
        <v>139</v>
      </c>
      <c r="AR472" s="490" t="s">
        <v>628</v>
      </c>
      <c r="AS472" s="490" t="s">
        <v>2580</v>
      </c>
      <c r="AT472" s="490" t="s">
        <v>135</v>
      </c>
      <c r="AU472" s="490" t="s">
        <v>186</v>
      </c>
      <c r="AV472" s="531" t="s">
        <v>137</v>
      </c>
      <c r="AW472" s="807" t="s">
        <v>2559</v>
      </c>
      <c r="AX472" s="371" t="s">
        <v>143</v>
      </c>
      <c r="AY472" s="61" t="str">
        <f>IFERROR(__xludf.DUMMYFUNCTION("vlookup(BB472,importrange(""https://docs.google.com/spreadsheets/d/1d2vevQ_7D_v35q4wCQ4RpQ_IPoTwEMB9Yp6ymwlPqew/edit?gid=984458430#gid=984458430"", ""'replication success'!A:K""), 11, FAlSE)"),"failed")</f>
        <v>failed</v>
      </c>
      <c r="AZ472" s="61" t="str">
        <f>IFERROR(__xludf.DUMMYFUNCTION("vlookup(BB472,importrange(""https://docs.google.com/spreadsheets/d/1d2vevQ_7D_v35q4wCQ4RpQ_IPoTwEMB9Yp6ymwlPqew/edit?gid=984458430#gid=984458430"",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2" s="61" t="str">
        <f>IFERROR(__xludf.DUMMYFUNCTION("vlookup(BB472,importrange(""https://docs.google.com/spreadsheets/d/1d2vevQ_7D_v35q4wCQ4RpQ_IPoTwEMB9Yp6ymwlPqew/edit?gid=984458430#gid=984458430"", ""'replication success'!A:M""), 13, FAlSE)"),"abstract")</f>
        <v>abstract</v>
      </c>
      <c r="BB472" s="61" t="str">
        <f>IFERROR(__xludf.DUMMYFUNCTION("REGEXREPLACE(G472, ""_[a-z]{1,2}$"", """")"),"additional_studies6")</f>
        <v>additional_studies6</v>
      </c>
      <c r="BC472" s="803"/>
      <c r="BD472" s="381" t="s">
        <v>814</v>
      </c>
    </row>
    <row r="473" ht="20.25" customHeight="1">
      <c r="A473" s="44">
        <v>473.0</v>
      </c>
      <c r="B473" s="490" t="s">
        <v>152</v>
      </c>
      <c r="C473" s="477" t="s">
        <v>115</v>
      </c>
      <c r="D473" s="477" t="s">
        <v>248</v>
      </c>
      <c r="E473" s="808"/>
      <c r="F473" s="467" t="s">
        <v>2541</v>
      </c>
      <c r="G473" s="477" t="s">
        <v>2577</v>
      </c>
      <c r="H473" s="477" t="s">
        <v>249</v>
      </c>
      <c r="I473" s="809">
        <v>45625.0</v>
      </c>
      <c r="J473" s="170">
        <v>45786.0</v>
      </c>
      <c r="K473" s="477" t="s">
        <v>2581</v>
      </c>
      <c r="L473" s="477" t="s">
        <v>2582</v>
      </c>
      <c r="M473" s="477" t="s">
        <v>2545</v>
      </c>
      <c r="N473" s="477" t="s">
        <v>2546</v>
      </c>
      <c r="O473" s="805">
        <v>2.0</v>
      </c>
      <c r="P473" s="810" t="str">
        <f> hyperlink(vlookup(lower(N473),'File Links'!A:B, 2, FALSE), SUBSTITUTE(lower(N473), "/", "--") &amp;  ".pdf")</f>
        <v>10.1086--648381.pdf</v>
      </c>
      <c r="Q473" s="52" t="str">
        <f t="array" ref="Q473"> if(iserror(MATCH(V473, 'File Links'!C:C, 0)), "N/A", HYPERLINK(INDEX('File Links'!B:B, MATCH(P473, 'File Links'!C:C, 0))))</f>
        <v>https://drive.google.com/file/d/14GutnAtB1f13xcVqwnhfc_-RMT6AP_5B/view?usp=drivesdk</v>
      </c>
      <c r="R473" s="477" t="s">
        <v>2547</v>
      </c>
      <c r="S473" s="477" t="s">
        <v>2548</v>
      </c>
      <c r="T473" s="808"/>
      <c r="U473" s="700">
        <v>1.0</v>
      </c>
      <c r="V473" s="198" t="str">
        <f t="shared" si="25"/>
        <v>10.1016--j.jesp.2024.104619.pdf</v>
      </c>
      <c r="W473" s="700" t="s">
        <v>2549</v>
      </c>
      <c r="X473" s="54" t="str">
        <f t="array" ref="X473"> if(iserror(MATCH(V473, 'File Links'!C:C, 0)), "N/A", HYPERLINK(INDEX('File Links'!B:B, MATCH(V473, 'File Links'!C:C, 0))))</f>
        <v>https://drive.google.com/file/d/1CclKKmhEg4wBmEAHmGyg_rBfw2qqAy8s/view?usp=drivesdk</v>
      </c>
      <c r="Y473" s="808"/>
      <c r="Z473" s="477" t="s">
        <v>2550</v>
      </c>
      <c r="AA473" s="490" t="s">
        <v>2551</v>
      </c>
      <c r="AB473" s="805" t="s">
        <v>2552</v>
      </c>
      <c r="AC473" s="811" t="s">
        <v>2583</v>
      </c>
      <c r="AD473" s="477" t="s">
        <v>2584</v>
      </c>
      <c r="AE473" s="700" t="s">
        <v>613</v>
      </c>
      <c r="AF473" s="477">
        <v>68.0</v>
      </c>
      <c r="AG473" s="477" t="s">
        <v>1321</v>
      </c>
      <c r="AH473" s="119" t="s">
        <v>134</v>
      </c>
      <c r="AI473" s="808"/>
      <c r="AJ473" s="700">
        <v>0.05</v>
      </c>
      <c r="AK473" s="477" t="s">
        <v>335</v>
      </c>
      <c r="AL473" s="477" t="s">
        <v>186</v>
      </c>
      <c r="AM473" s="531" t="s">
        <v>137</v>
      </c>
      <c r="AN473" s="718" t="s">
        <v>138</v>
      </c>
      <c r="AO473" s="477">
        <v>1018.0</v>
      </c>
      <c r="AP473" s="700">
        <v>0.01</v>
      </c>
      <c r="AQ473" s="700" t="s">
        <v>874</v>
      </c>
      <c r="AR473" s="700" t="s">
        <v>132</v>
      </c>
      <c r="AS473" s="700">
        <v>0.39</v>
      </c>
      <c r="AT473" s="477" t="s">
        <v>172</v>
      </c>
      <c r="AU473" s="477" t="s">
        <v>186</v>
      </c>
      <c r="AV473" s="531" t="s">
        <v>137</v>
      </c>
      <c r="AW473" s="807" t="s">
        <v>2559</v>
      </c>
      <c r="AX473" s="371" t="s">
        <v>143</v>
      </c>
      <c r="AY473" s="61" t="str">
        <f>IFERROR(__xludf.DUMMYFUNCTION("vlookup(BB473,importrange(""https://docs.google.com/spreadsheets/d/1d2vevQ_7D_v35q4wCQ4RpQ_IPoTwEMB9Yp6ymwlPqew/edit?gid=984458430#gid=984458430"", ""'replication success'!A:K""), 11, FAlSE)"),"failed")</f>
        <v>failed</v>
      </c>
      <c r="AZ473" s="61" t="str">
        <f>IFERROR(__xludf.DUMMYFUNCTION("vlookup(BB473,importrange(""https://docs.google.com/spreadsheets/d/1d2vevQ_7D_v35q4wCQ4RpQ_IPoTwEMB9Yp6ymwlPqew/edit?gid=984458430#gid=984458430"",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3" s="61" t="str">
        <f>IFERROR(__xludf.DUMMYFUNCTION("vlookup(BB473,importrange(""https://docs.google.com/spreadsheets/d/1d2vevQ_7D_v35q4wCQ4RpQ_IPoTwEMB9Yp6ymwlPqew/edit?gid=984458430#gid=984458430"", ""'replication success'!A:M""), 13, FAlSE)"),"abstract")</f>
        <v>abstract</v>
      </c>
      <c r="BB473" s="61" t="str">
        <f>IFERROR(__xludf.DUMMYFUNCTION("REGEXREPLACE(G473, ""_[a-z]{1,2}$"", """")"),"additional_studies6")</f>
        <v>additional_studies6</v>
      </c>
      <c r="BC473" s="808"/>
      <c r="BD473" s="381" t="s">
        <v>814</v>
      </c>
      <c r="BE473" s="812"/>
      <c r="BF473" s="812"/>
      <c r="BG473" s="812"/>
      <c r="BH473" s="812"/>
      <c r="BI473" s="812"/>
      <c r="BJ473" s="812"/>
      <c r="BK473" s="812"/>
      <c r="BL473" s="812"/>
      <c r="BM473" s="812"/>
      <c r="BN473" s="812"/>
      <c r="BO473" s="812"/>
      <c r="BP473" s="812"/>
      <c r="BQ473" s="812"/>
      <c r="BR473" s="812"/>
      <c r="BS473" s="812"/>
      <c r="BT473" s="812"/>
      <c r="BU473" s="812"/>
      <c r="BV473" s="812"/>
      <c r="BW473" s="812"/>
      <c r="BX473" s="812"/>
      <c r="BY473" s="812"/>
      <c r="BZ473" s="812"/>
      <c r="CA473" s="812"/>
      <c r="CB473" s="812"/>
      <c r="CC473" s="812"/>
      <c r="CD473" s="812"/>
      <c r="CE473" s="812"/>
      <c r="CF473" s="812"/>
      <c r="CG473" s="812"/>
      <c r="CH473" s="812"/>
      <c r="CI473" s="812"/>
      <c r="CJ473" s="812"/>
      <c r="CK473" s="812"/>
      <c r="CL473" s="812"/>
      <c r="CM473" s="812"/>
      <c r="CN473" s="812"/>
      <c r="CO473" s="812"/>
      <c r="CP473" s="812"/>
      <c r="CQ473" s="812"/>
      <c r="CR473" s="812"/>
      <c r="CS473" s="812"/>
      <c r="CT473" s="812"/>
      <c r="CU473" s="812"/>
      <c r="CV473" s="812"/>
      <c r="CW473" s="812"/>
      <c r="CX473" s="812"/>
      <c r="CY473" s="812"/>
      <c r="CZ473" s="812"/>
      <c r="DA473" s="812"/>
      <c r="DB473" s="812"/>
      <c r="DC473" s="812"/>
      <c r="DD473" s="812"/>
      <c r="DE473" s="812"/>
      <c r="DF473" s="812"/>
      <c r="DG473" s="812"/>
      <c r="DH473" s="812"/>
      <c r="DI473" s="812"/>
      <c r="DJ473" s="812"/>
      <c r="DK473" s="812"/>
      <c r="DL473" s="812"/>
    </row>
    <row r="474" ht="20.25" customHeight="1">
      <c r="A474" s="44">
        <v>474.0</v>
      </c>
      <c r="B474" s="490" t="s">
        <v>523</v>
      </c>
      <c r="C474" s="490" t="s">
        <v>115</v>
      </c>
      <c r="D474" s="490" t="s">
        <v>232</v>
      </c>
      <c r="E474" s="803"/>
      <c r="F474" s="381" t="s">
        <v>2541</v>
      </c>
      <c r="G474" s="490" t="s">
        <v>2585</v>
      </c>
      <c r="H474" s="490" t="s">
        <v>235</v>
      </c>
      <c r="I474" s="804">
        <v>45626.0</v>
      </c>
      <c r="J474" s="170">
        <v>45786.0</v>
      </c>
      <c r="K474" s="490" t="s">
        <v>259</v>
      </c>
      <c r="L474" s="803"/>
      <c r="M474" s="490" t="s">
        <v>2545</v>
      </c>
      <c r="N474" s="490" t="s">
        <v>2546</v>
      </c>
      <c r="O474" s="805">
        <v>2.0</v>
      </c>
      <c r="P474" s="806" t="str">
        <f> hyperlink(vlookup(lower(N474),'File Links'!A:B, 2, FALSE), SUBSTITUTE(lower(N474), "/", "--") &amp;  ".pdf")</f>
        <v>10.1086--648381.pdf</v>
      </c>
      <c r="Q474" s="52" t="str">
        <f t="array" ref="Q474"> if(iserror(MATCH(V474, 'File Links'!C:C, 0)), "N/A", HYPERLINK(INDEX('File Links'!B:B, MATCH(P474, 'File Links'!C:C, 0))))</f>
        <v>https://drive.google.com/file/d/14GutnAtB1f13xcVqwnhfc_-RMT6AP_5B/view?usp=drivesdk</v>
      </c>
      <c r="R474" s="490" t="s">
        <v>2547</v>
      </c>
      <c r="S474" s="490" t="s">
        <v>2548</v>
      </c>
      <c r="T474" s="803"/>
      <c r="U474" s="490">
        <v>1.0</v>
      </c>
      <c r="V474" s="198" t="str">
        <f t="shared" si="25"/>
        <v>10.1016--j.jesp.2024.104619.pdf</v>
      </c>
      <c r="W474" s="490" t="s">
        <v>2549</v>
      </c>
      <c r="X474" s="54" t="str">
        <f t="array" ref="X474"> if(iserror(MATCH(V474, 'File Links'!C:C, 0)), "N/A", HYPERLINK(INDEX('File Links'!B:B, MATCH(V474, 'File Links'!C:C, 0))))</f>
        <v>https://drive.google.com/file/d/1CclKKmhEg4wBmEAHmGyg_rBfw2qqAy8s/view?usp=drivesdk</v>
      </c>
      <c r="Y474" s="803"/>
      <c r="Z474" s="490" t="s">
        <v>2550</v>
      </c>
      <c r="AA474" s="490" t="s">
        <v>2551</v>
      </c>
      <c r="AB474" s="805" t="s">
        <v>2552</v>
      </c>
      <c r="AC474" s="490" t="s">
        <v>2553</v>
      </c>
      <c r="AD474" s="803"/>
      <c r="AE474" s="803"/>
      <c r="AF474" s="803"/>
      <c r="AG474" s="803"/>
      <c r="AH474" s="803"/>
      <c r="AI474" s="803"/>
      <c r="AJ474" s="490"/>
      <c r="AK474" s="803"/>
      <c r="AL474" s="803"/>
      <c r="AM474" s="484"/>
      <c r="AN474" s="718" t="s">
        <v>138</v>
      </c>
      <c r="AO474" s="490">
        <v>1018.0</v>
      </c>
      <c r="AP474" s="490" t="s">
        <v>2586</v>
      </c>
      <c r="AQ474" s="803"/>
      <c r="AR474" s="803"/>
      <c r="AS474" s="490" t="s">
        <v>2587</v>
      </c>
      <c r="AT474" s="490" t="s">
        <v>172</v>
      </c>
      <c r="AU474" s="490" t="s">
        <v>186</v>
      </c>
      <c r="AV474" s="531" t="s">
        <v>137</v>
      </c>
      <c r="AW474" s="807" t="s">
        <v>2559</v>
      </c>
      <c r="AX474" s="371" t="s">
        <v>143</v>
      </c>
      <c r="AY474" s="61" t="str">
        <f>IFERROR(__xludf.DUMMYFUNCTION("vlookup(BB474,importrange(""https://docs.google.com/spreadsheets/d/1d2vevQ_7D_v35q4wCQ4RpQ_IPoTwEMB9Yp6ymwlPqew/edit?gid=984458430#gid=984458430"", ""'replication success'!A:K""), 11, FAlSE)"),"failed")</f>
        <v>failed</v>
      </c>
      <c r="AZ474" s="61" t="str">
        <f>IFERROR(__xludf.DUMMYFUNCTION("vlookup(BB474,importrange(""https://docs.google.com/spreadsheets/d/1d2vevQ_7D_v35q4wCQ4RpQ_IPoTwEMB9Yp6ymwlPqew/edit?gid=984458430#gid=984458430"",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4" s="61" t="str">
        <f>IFERROR(__xludf.DUMMYFUNCTION("vlookup(BB474,importrange(""https://docs.google.com/spreadsheets/d/1d2vevQ_7D_v35q4wCQ4RpQ_IPoTwEMB9Yp6ymwlPqew/edit?gid=984458430#gid=984458430"", ""'replication success'!A:M""), 13, FAlSE)"),"abstract")</f>
        <v>abstract</v>
      </c>
      <c r="BB474" s="61" t="str">
        <f>IFERROR(__xludf.DUMMYFUNCTION("REGEXREPLACE(G474, ""_[a-z]{1,2}$"", """")"),"additional_studies6")</f>
        <v>additional_studies6</v>
      </c>
      <c r="BC474" s="803"/>
      <c r="BD474" s="381" t="s">
        <v>814</v>
      </c>
      <c r="BE474" s="812"/>
      <c r="BF474" s="812"/>
      <c r="BG474" s="812"/>
      <c r="BH474" s="812"/>
      <c r="BI474" s="812"/>
      <c r="BJ474" s="812"/>
      <c r="BK474" s="812"/>
      <c r="BL474" s="812"/>
      <c r="BM474" s="812"/>
      <c r="BN474" s="812"/>
      <c r="BO474" s="812"/>
      <c r="BP474" s="812"/>
      <c r="BQ474" s="812"/>
      <c r="BR474" s="812"/>
      <c r="BS474" s="812"/>
      <c r="BT474" s="812"/>
      <c r="BU474" s="812"/>
      <c r="BV474" s="812"/>
      <c r="BW474" s="812"/>
      <c r="BX474" s="812"/>
      <c r="BY474" s="812"/>
      <c r="BZ474" s="812"/>
      <c r="CA474" s="812"/>
      <c r="CB474" s="812"/>
      <c r="CC474" s="812"/>
      <c r="CD474" s="812"/>
      <c r="CE474" s="812"/>
      <c r="CF474" s="812"/>
      <c r="CG474" s="812"/>
      <c r="CH474" s="812"/>
      <c r="CI474" s="812"/>
      <c r="CJ474" s="812"/>
      <c r="CK474" s="812"/>
      <c r="CL474" s="812"/>
      <c r="CM474" s="812"/>
      <c r="CN474" s="812"/>
      <c r="CO474" s="812"/>
      <c r="CP474" s="812"/>
      <c r="CQ474" s="812"/>
      <c r="CR474" s="812"/>
      <c r="CS474" s="812"/>
      <c r="CT474" s="812"/>
      <c r="CU474" s="812"/>
      <c r="CV474" s="812"/>
      <c r="CW474" s="812"/>
      <c r="CX474" s="812"/>
      <c r="CY474" s="812"/>
      <c r="CZ474" s="812"/>
      <c r="DA474" s="812"/>
      <c r="DB474" s="812"/>
      <c r="DC474" s="812"/>
      <c r="DD474" s="812"/>
      <c r="DE474" s="812"/>
      <c r="DF474" s="812"/>
      <c r="DG474" s="812"/>
      <c r="DH474" s="812"/>
      <c r="DI474" s="812"/>
      <c r="DJ474" s="812"/>
      <c r="DK474" s="812"/>
      <c r="DL474" s="812"/>
    </row>
    <row r="475" ht="20.25" customHeight="1">
      <c r="A475" s="44">
        <v>475.0</v>
      </c>
      <c r="B475" s="490" t="s">
        <v>152</v>
      </c>
      <c r="C475" s="477" t="s">
        <v>115</v>
      </c>
      <c r="D475" s="477" t="s">
        <v>248</v>
      </c>
      <c r="E475" s="808"/>
      <c r="F475" s="467" t="s">
        <v>2541</v>
      </c>
      <c r="G475" s="477" t="s">
        <v>2585</v>
      </c>
      <c r="H475" s="477" t="s">
        <v>249</v>
      </c>
      <c r="I475" s="809">
        <v>45625.0</v>
      </c>
      <c r="J475" s="170">
        <v>45786.0</v>
      </c>
      <c r="K475" s="477" t="s">
        <v>2588</v>
      </c>
      <c r="L475" s="477" t="s">
        <v>2589</v>
      </c>
      <c r="M475" s="477" t="s">
        <v>2545</v>
      </c>
      <c r="N475" s="477" t="s">
        <v>2546</v>
      </c>
      <c r="O475" s="805">
        <v>2.0</v>
      </c>
      <c r="P475" s="810" t="str">
        <f> hyperlink(vlookup(lower(N475),'File Links'!A:B, 2, FALSE), SUBSTITUTE(lower(N475), "/", "--") &amp;  ".pdf")</f>
        <v>10.1086--648381.pdf</v>
      </c>
      <c r="Q475" s="52" t="str">
        <f t="array" ref="Q475"> if(iserror(MATCH(V475, 'File Links'!C:C, 0)), "N/A", HYPERLINK(INDEX('File Links'!B:B, MATCH(P475, 'File Links'!C:C, 0))))</f>
        <v>https://drive.google.com/file/d/14GutnAtB1f13xcVqwnhfc_-RMT6AP_5B/view?usp=drivesdk</v>
      </c>
      <c r="R475" s="477" t="s">
        <v>2547</v>
      </c>
      <c r="S475" s="477" t="s">
        <v>2548</v>
      </c>
      <c r="T475" s="808"/>
      <c r="U475" s="700">
        <v>1.0</v>
      </c>
      <c r="V475" s="198" t="str">
        <f t="shared" si="25"/>
        <v>10.1016--j.jesp.2024.104619.pdf</v>
      </c>
      <c r="W475" s="700" t="s">
        <v>2549</v>
      </c>
      <c r="X475" s="54" t="str">
        <f t="array" ref="X475"> if(iserror(MATCH(V475, 'File Links'!C:C, 0)), "N/A", HYPERLINK(INDEX('File Links'!B:B, MATCH(V475, 'File Links'!C:C, 0))))</f>
        <v>https://drive.google.com/file/d/1CclKKmhEg4wBmEAHmGyg_rBfw2qqAy8s/view?usp=drivesdk</v>
      </c>
      <c r="Y475" s="808"/>
      <c r="Z475" s="477" t="s">
        <v>2550</v>
      </c>
      <c r="AA475" s="490" t="s">
        <v>2551</v>
      </c>
      <c r="AB475" s="805" t="s">
        <v>2552</v>
      </c>
      <c r="AC475" s="811" t="s">
        <v>2590</v>
      </c>
      <c r="AD475" s="477" t="s">
        <v>2591</v>
      </c>
      <c r="AE475" s="700" t="s">
        <v>613</v>
      </c>
      <c r="AF475" s="477">
        <v>68.0</v>
      </c>
      <c r="AG475" s="477" t="s">
        <v>2592</v>
      </c>
      <c r="AH475" s="700" t="s">
        <v>134</v>
      </c>
      <c r="AI475" s="700" t="s">
        <v>613</v>
      </c>
      <c r="AJ475" s="477">
        <v>0.04</v>
      </c>
      <c r="AK475" s="477" t="s">
        <v>135</v>
      </c>
      <c r="AL475" s="477" t="s">
        <v>186</v>
      </c>
      <c r="AM475" s="531" t="s">
        <v>137</v>
      </c>
      <c r="AN475" s="718" t="s">
        <v>138</v>
      </c>
      <c r="AO475" s="477">
        <v>1018.0</v>
      </c>
      <c r="AP475" s="477">
        <v>0.0</v>
      </c>
      <c r="AQ475" s="700" t="s">
        <v>874</v>
      </c>
      <c r="AR475" s="700" t="s">
        <v>132</v>
      </c>
      <c r="AS475" s="700">
        <v>0.247</v>
      </c>
      <c r="AT475" s="477" t="s">
        <v>172</v>
      </c>
      <c r="AU475" s="477" t="s">
        <v>186</v>
      </c>
      <c r="AV475" s="531" t="s">
        <v>137</v>
      </c>
      <c r="AW475" s="807" t="s">
        <v>2559</v>
      </c>
      <c r="AX475" s="371" t="s">
        <v>143</v>
      </c>
      <c r="AY475" s="61" t="str">
        <f>IFERROR(__xludf.DUMMYFUNCTION("vlookup(BB475,importrange(""https://docs.google.com/spreadsheets/d/1d2vevQ_7D_v35q4wCQ4RpQ_IPoTwEMB9Yp6ymwlPqew/edit?gid=984458430#gid=984458430"", ""'replication success'!A:K""), 11, FAlSE)"),"failed")</f>
        <v>failed</v>
      </c>
      <c r="AZ475" s="61" t="str">
        <f>IFERROR(__xludf.DUMMYFUNCTION("vlookup(BB475,importrange(""https://docs.google.com/spreadsheets/d/1d2vevQ_7D_v35q4wCQ4RpQ_IPoTwEMB9Yp6ymwlPqew/edit?gid=984458430#gid=984458430"",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5" s="61" t="str">
        <f>IFERROR(__xludf.DUMMYFUNCTION("vlookup(BB475,importrange(""https://docs.google.com/spreadsheets/d/1d2vevQ_7D_v35q4wCQ4RpQ_IPoTwEMB9Yp6ymwlPqew/edit?gid=984458430#gid=984458430"", ""'replication success'!A:M""), 13, FAlSE)"),"abstract")</f>
        <v>abstract</v>
      </c>
      <c r="BB475" s="61" t="str">
        <f>IFERROR(__xludf.DUMMYFUNCTION("REGEXREPLACE(G475, ""_[a-z]{1,2}$"", """")"),"additional_studies6")</f>
        <v>additional_studies6</v>
      </c>
      <c r="BC475" s="808"/>
      <c r="BD475" s="381" t="s">
        <v>814</v>
      </c>
      <c r="BE475" s="812"/>
      <c r="BF475" s="812"/>
      <c r="BG475" s="812"/>
      <c r="BH475" s="812"/>
      <c r="BI475" s="812"/>
      <c r="BJ475" s="812"/>
      <c r="BK475" s="812"/>
      <c r="BL475" s="812"/>
      <c r="BM475" s="812"/>
      <c r="BN475" s="812"/>
      <c r="BO475" s="812"/>
      <c r="BP475" s="812"/>
      <c r="BQ475" s="812"/>
      <c r="BR475" s="812"/>
      <c r="BS475" s="812"/>
      <c r="BT475" s="812"/>
      <c r="BU475" s="812"/>
      <c r="BV475" s="812"/>
      <c r="BW475" s="812"/>
      <c r="BX475" s="812"/>
      <c r="BY475" s="812"/>
      <c r="BZ475" s="812"/>
      <c r="CA475" s="812"/>
      <c r="CB475" s="812"/>
      <c r="CC475" s="812"/>
      <c r="CD475" s="812"/>
      <c r="CE475" s="812"/>
      <c r="CF475" s="812"/>
      <c r="CG475" s="812"/>
      <c r="CH475" s="812"/>
      <c r="CI475" s="812"/>
      <c r="CJ475" s="812"/>
      <c r="CK475" s="812"/>
      <c r="CL475" s="812"/>
      <c r="CM475" s="812"/>
      <c r="CN475" s="812"/>
      <c r="CO475" s="812"/>
      <c r="CP475" s="812"/>
      <c r="CQ475" s="812"/>
      <c r="CR475" s="812"/>
      <c r="CS475" s="812"/>
      <c r="CT475" s="812"/>
      <c r="CU475" s="812"/>
      <c r="CV475" s="812"/>
      <c r="CW475" s="812"/>
      <c r="CX475" s="812"/>
      <c r="CY475" s="812"/>
      <c r="CZ475" s="812"/>
      <c r="DA475" s="812"/>
      <c r="DB475" s="812"/>
      <c r="DC475" s="812"/>
      <c r="DD475" s="812"/>
      <c r="DE475" s="812"/>
      <c r="DF475" s="812"/>
      <c r="DG475" s="812"/>
      <c r="DH475" s="812"/>
      <c r="DI475" s="812"/>
      <c r="DJ475" s="812"/>
      <c r="DK475" s="812"/>
      <c r="DL475" s="812"/>
    </row>
    <row r="476" ht="20.25" customHeight="1">
      <c r="A476" s="44">
        <v>476.0</v>
      </c>
      <c r="B476" s="490" t="s">
        <v>152</v>
      </c>
      <c r="C476" s="477" t="s">
        <v>115</v>
      </c>
      <c r="D476" s="477" t="s">
        <v>248</v>
      </c>
      <c r="E476" s="808"/>
      <c r="F476" s="467" t="s">
        <v>2541</v>
      </c>
      <c r="G476" s="477" t="s">
        <v>2593</v>
      </c>
      <c r="H476" s="477" t="s">
        <v>249</v>
      </c>
      <c r="I476" s="809">
        <v>45625.0</v>
      </c>
      <c r="J476" s="170">
        <v>45786.0</v>
      </c>
      <c r="K476" s="477" t="s">
        <v>2594</v>
      </c>
      <c r="L476" s="477" t="s">
        <v>2595</v>
      </c>
      <c r="M476" s="477" t="s">
        <v>2545</v>
      </c>
      <c r="N476" s="477" t="s">
        <v>2546</v>
      </c>
      <c r="O476" s="805">
        <v>2.0</v>
      </c>
      <c r="P476" s="810" t="str">
        <f> hyperlink(vlookup(lower(N476),'File Links'!A:B, 2, FALSE), SUBSTITUTE(lower(N476), "/", "--") &amp;  ".pdf")</f>
        <v>10.1086--648381.pdf</v>
      </c>
      <c r="Q476" s="52" t="str">
        <f t="array" ref="Q476"> if(iserror(MATCH(V476, 'File Links'!C:C, 0)), "N/A", HYPERLINK(INDEX('File Links'!B:B, MATCH(P476, 'File Links'!C:C, 0))))</f>
        <v>https://drive.google.com/file/d/14GutnAtB1f13xcVqwnhfc_-RMT6AP_5B/view?usp=drivesdk</v>
      </c>
      <c r="R476" s="477" t="s">
        <v>2547</v>
      </c>
      <c r="S476" s="477" t="s">
        <v>2548</v>
      </c>
      <c r="T476" s="808"/>
      <c r="U476" s="700">
        <v>1.0</v>
      </c>
      <c r="V476" s="198" t="str">
        <f t="shared" si="25"/>
        <v>10.1016--j.jesp.2024.104619.pdf</v>
      </c>
      <c r="W476" s="700" t="s">
        <v>2549</v>
      </c>
      <c r="X476" s="54" t="str">
        <f t="array" ref="X476"> if(iserror(MATCH(V476, 'File Links'!C:C, 0)), "N/A", HYPERLINK(INDEX('File Links'!B:B, MATCH(V476, 'File Links'!C:C, 0))))</f>
        <v>https://drive.google.com/file/d/1CclKKmhEg4wBmEAHmGyg_rBfw2qqAy8s/view?usp=drivesdk</v>
      </c>
      <c r="Y476" s="808"/>
      <c r="Z476" s="477" t="s">
        <v>2550</v>
      </c>
      <c r="AA476" s="490" t="s">
        <v>2551</v>
      </c>
      <c r="AB476" s="805" t="s">
        <v>2552</v>
      </c>
      <c r="AC476" s="811" t="s">
        <v>2596</v>
      </c>
      <c r="AD476" s="477" t="s">
        <v>2597</v>
      </c>
      <c r="AE476" s="700" t="s">
        <v>613</v>
      </c>
      <c r="AF476" s="477">
        <v>68.0</v>
      </c>
      <c r="AG476" s="477" t="s">
        <v>1321</v>
      </c>
      <c r="AH476" s="119" t="s">
        <v>134</v>
      </c>
      <c r="AI476" s="700" t="s">
        <v>613</v>
      </c>
      <c r="AJ476" s="477">
        <v>0.05</v>
      </c>
      <c r="AK476" s="477" t="s">
        <v>335</v>
      </c>
      <c r="AL476" s="477" t="s">
        <v>186</v>
      </c>
      <c r="AM476" s="531" t="s">
        <v>137</v>
      </c>
      <c r="AN476" s="718" t="s">
        <v>138</v>
      </c>
      <c r="AO476" s="477">
        <v>1018.0</v>
      </c>
      <c r="AP476" s="477" t="s">
        <v>2598</v>
      </c>
      <c r="AQ476" s="477" t="s">
        <v>134</v>
      </c>
      <c r="AR476" s="700" t="s">
        <v>2254</v>
      </c>
      <c r="AS476" s="700">
        <v>0.05</v>
      </c>
      <c r="AT476" s="477" t="s">
        <v>335</v>
      </c>
      <c r="AU476" s="477" t="s">
        <v>186</v>
      </c>
      <c r="AV476" s="531" t="s">
        <v>137</v>
      </c>
      <c r="AW476" s="807" t="s">
        <v>2559</v>
      </c>
      <c r="AX476" s="371" t="s">
        <v>143</v>
      </c>
      <c r="AY476" s="61" t="str">
        <f>IFERROR(__xludf.DUMMYFUNCTION("vlookup(BB476,importrange(""https://docs.google.com/spreadsheets/d/1d2vevQ_7D_v35q4wCQ4RpQ_IPoTwEMB9Yp6ymwlPqew/edit?gid=984458430#gid=984458430"", ""'replication success'!A:K""), 11, FAlSE)"),"failed")</f>
        <v>failed</v>
      </c>
      <c r="AZ476" s="61" t="str">
        <f>IFERROR(__xludf.DUMMYFUNCTION("vlookup(BB476,importrange(""https://docs.google.com/spreadsheets/d/1d2vevQ_7D_v35q4wCQ4RpQ_IPoTwEMB9Yp6ymwlPqew/edit?gid=984458430#gid=984458430"",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6" s="61" t="str">
        <f>IFERROR(__xludf.DUMMYFUNCTION("vlookup(BB476,importrange(""https://docs.google.com/spreadsheets/d/1d2vevQ_7D_v35q4wCQ4RpQ_IPoTwEMB9Yp6ymwlPqew/edit?gid=984458430#gid=984458430"", ""'replication success'!A:M""), 13, FAlSE)"),"abstract")</f>
        <v>abstract</v>
      </c>
      <c r="BB476" s="61" t="str">
        <f>IFERROR(__xludf.DUMMYFUNCTION("REGEXREPLACE(G476, ""_[a-z]{1,2}$"", """")"),"additional_studies6")</f>
        <v>additional_studies6</v>
      </c>
      <c r="BC476" s="808"/>
      <c r="BD476" s="381" t="s">
        <v>814</v>
      </c>
      <c r="BE476" s="226"/>
      <c r="BF476" s="226"/>
      <c r="BG476" s="226"/>
      <c r="BH476" s="226"/>
      <c r="BI476" s="226"/>
      <c r="BJ476" s="226"/>
      <c r="BK476" s="226"/>
      <c r="BL476" s="226"/>
      <c r="BM476" s="226"/>
      <c r="BN476" s="226"/>
      <c r="BO476" s="226"/>
      <c r="BP476" s="226"/>
      <c r="BQ476" s="226"/>
      <c r="BR476" s="226"/>
      <c r="BS476" s="226"/>
      <c r="BT476" s="226"/>
      <c r="BU476" s="226"/>
      <c r="BV476" s="226"/>
      <c r="BW476" s="226"/>
      <c r="BX476" s="226"/>
      <c r="BY476" s="226"/>
      <c r="BZ476" s="226"/>
      <c r="CA476" s="226"/>
      <c r="CB476" s="226"/>
      <c r="CC476" s="226"/>
      <c r="CD476" s="226"/>
      <c r="CE476" s="226"/>
      <c r="CF476" s="226"/>
      <c r="CG476" s="226"/>
      <c r="CH476" s="226"/>
      <c r="CI476" s="226"/>
      <c r="CJ476" s="226"/>
      <c r="CK476" s="226"/>
      <c r="CL476" s="226"/>
      <c r="CM476" s="226"/>
      <c r="CN476" s="226"/>
      <c r="CO476" s="226"/>
      <c r="CP476" s="226"/>
      <c r="CQ476" s="226"/>
      <c r="CR476" s="226"/>
      <c r="CS476" s="226"/>
      <c r="CT476" s="226"/>
      <c r="CU476" s="226"/>
      <c r="CV476" s="226"/>
      <c r="CW476" s="226"/>
      <c r="CX476" s="226"/>
      <c r="CY476" s="226"/>
      <c r="CZ476" s="226"/>
      <c r="DA476" s="226"/>
      <c r="DB476" s="226"/>
      <c r="DC476" s="226"/>
      <c r="DD476" s="226"/>
      <c r="DE476" s="226"/>
      <c r="DF476" s="226"/>
      <c r="DG476" s="226"/>
      <c r="DH476" s="226"/>
      <c r="DI476" s="226"/>
      <c r="DJ476" s="226"/>
      <c r="DK476" s="226"/>
      <c r="DL476" s="226"/>
    </row>
    <row r="477" ht="20.25" customHeight="1">
      <c r="A477" s="44">
        <v>477.0</v>
      </c>
      <c r="B477" s="490" t="s">
        <v>152</v>
      </c>
      <c r="C477" s="477" t="s">
        <v>115</v>
      </c>
      <c r="D477" s="477" t="s">
        <v>248</v>
      </c>
      <c r="E477" s="808"/>
      <c r="F477" s="467" t="s">
        <v>2541</v>
      </c>
      <c r="G477" s="477" t="s">
        <v>2599</v>
      </c>
      <c r="H477" s="477" t="s">
        <v>249</v>
      </c>
      <c r="I477" s="809">
        <v>45625.0</v>
      </c>
      <c r="J477" s="170">
        <v>45786.0</v>
      </c>
      <c r="K477" s="477" t="s">
        <v>2600</v>
      </c>
      <c r="L477" s="477" t="s">
        <v>2601</v>
      </c>
      <c r="M477" s="477" t="s">
        <v>2545</v>
      </c>
      <c r="N477" s="477" t="s">
        <v>2546</v>
      </c>
      <c r="O477" s="805">
        <v>2.0</v>
      </c>
      <c r="P477" s="810" t="str">
        <f> hyperlink(vlookup(lower(N477),'File Links'!A:B, 2, FALSE), SUBSTITUTE(lower(N477), "/", "--") &amp;  ".pdf")</f>
        <v>10.1086--648381.pdf</v>
      </c>
      <c r="Q477" s="52" t="str">
        <f t="array" ref="Q477"> if(iserror(MATCH(V477, 'File Links'!C:C, 0)), "N/A", HYPERLINK(INDEX('File Links'!B:B, MATCH(P477, 'File Links'!C:C, 0))))</f>
        <v>https://drive.google.com/file/d/14GutnAtB1f13xcVqwnhfc_-RMT6AP_5B/view?usp=drivesdk</v>
      </c>
      <c r="R477" s="477" t="s">
        <v>2547</v>
      </c>
      <c r="S477" s="477" t="s">
        <v>2548</v>
      </c>
      <c r="T477" s="808"/>
      <c r="U477" s="700">
        <v>1.0</v>
      </c>
      <c r="V477" s="198" t="str">
        <f t="shared" si="25"/>
        <v>10.1016--j.jesp.2024.104619.pdf</v>
      </c>
      <c r="W477" s="700" t="s">
        <v>2549</v>
      </c>
      <c r="X477" s="54" t="str">
        <f t="array" ref="X477"> if(iserror(MATCH(V477, 'File Links'!C:C, 0)), "N/A", HYPERLINK(INDEX('File Links'!B:B, MATCH(V477, 'File Links'!C:C, 0))))</f>
        <v>https://drive.google.com/file/d/1CclKKmhEg4wBmEAHmGyg_rBfw2qqAy8s/view?usp=drivesdk</v>
      </c>
      <c r="Y477" s="808"/>
      <c r="Z477" s="477" t="s">
        <v>2550</v>
      </c>
      <c r="AA477" s="490" t="s">
        <v>2551</v>
      </c>
      <c r="AB477" s="805" t="s">
        <v>2552</v>
      </c>
      <c r="AC477" s="811" t="s">
        <v>2602</v>
      </c>
      <c r="AD477" s="700" t="s">
        <v>2603</v>
      </c>
      <c r="AE477" s="700" t="s">
        <v>613</v>
      </c>
      <c r="AF477" s="477">
        <v>68.0</v>
      </c>
      <c r="AG477" s="477" t="s">
        <v>2604</v>
      </c>
      <c r="AH477" s="119" t="s">
        <v>134</v>
      </c>
      <c r="AI477" s="700" t="s">
        <v>613</v>
      </c>
      <c r="AJ477" s="477">
        <v>0.02</v>
      </c>
      <c r="AK477" s="477" t="s">
        <v>135</v>
      </c>
      <c r="AL477" s="477" t="s">
        <v>186</v>
      </c>
      <c r="AM477" s="531" t="s">
        <v>137</v>
      </c>
      <c r="AN477" s="718" t="s">
        <v>138</v>
      </c>
      <c r="AO477" s="477">
        <v>1018.0</v>
      </c>
      <c r="AP477" s="700">
        <v>0.01</v>
      </c>
      <c r="AQ477" s="700" t="s">
        <v>874</v>
      </c>
      <c r="AR477" s="700" t="s">
        <v>2254</v>
      </c>
      <c r="AS477" s="700">
        <v>0.03</v>
      </c>
      <c r="AT477" s="477" t="s">
        <v>172</v>
      </c>
      <c r="AU477" s="477" t="s">
        <v>186</v>
      </c>
      <c r="AV477" s="531" t="s">
        <v>137</v>
      </c>
      <c r="AW477" s="807" t="s">
        <v>2559</v>
      </c>
      <c r="AX477" s="371" t="s">
        <v>143</v>
      </c>
      <c r="AY477" s="61" t="str">
        <f>IFERROR(__xludf.DUMMYFUNCTION("vlookup(BB477,importrange(""https://docs.google.com/spreadsheets/d/1d2vevQ_7D_v35q4wCQ4RpQ_IPoTwEMB9Yp6ymwlPqew/edit?gid=984458430#gid=984458430"", ""'replication success'!A:K""), 11, FAlSE)"),"failed")</f>
        <v>failed</v>
      </c>
      <c r="AZ477" s="61" t="str">
        <f>IFERROR(__xludf.DUMMYFUNCTION("vlookup(BB477,importrange(""https://docs.google.com/spreadsheets/d/1d2vevQ_7D_v35q4wCQ4RpQ_IPoTwEMB9Yp6ymwlPqew/edit?gid=984458430#gid=984458430"", ""'replication success'!A:M""), 12, FAlSE)"),"The present replication failed to find support for the incongruity hypothesis, ηp 2 = 0.00 [0.00, 0.02]: expressing certainty had a positive but non-significant effect for non-experts, d = 0.10 [− 0.10, 0.34], and a positive effect for experts, d = 0.28 ["&amp;"0.03, 0.52].")</f>
        <v>The present replication failed to find support for the incongruity hypothesis, ηp 2 = 0.00 [0.00, 0.02]: expressing certainty had a positive but non-significant effect for non-experts, d = 0.10 [− 0.10, 0.34], and a positive effect for experts, d = 0.28 [0.03, 0.52].</v>
      </c>
      <c r="BA477" s="61" t="str">
        <f>IFERROR(__xludf.DUMMYFUNCTION("vlookup(BB477,importrange(""https://docs.google.com/spreadsheets/d/1d2vevQ_7D_v35q4wCQ4RpQ_IPoTwEMB9Yp6ymwlPqew/edit?gid=984458430#gid=984458430"", ""'replication success'!A:M""), 13, FAlSE)"),"abstract")</f>
        <v>abstract</v>
      </c>
      <c r="BB477" s="61" t="str">
        <f>IFERROR(__xludf.DUMMYFUNCTION("REGEXREPLACE(G477, ""_[a-z]{1,2}$"", """")"),"additional_studies6")</f>
        <v>additional_studies6</v>
      </c>
      <c r="BC477" s="808"/>
      <c r="BD477" s="381" t="s">
        <v>814</v>
      </c>
      <c r="BE477" s="226"/>
      <c r="BF477" s="226"/>
      <c r="BG477" s="226"/>
      <c r="BH477" s="226"/>
      <c r="BI477" s="226"/>
      <c r="BJ477" s="226"/>
      <c r="BK477" s="226"/>
      <c r="BL477" s="226"/>
      <c r="BM477" s="226"/>
      <c r="BN477" s="226"/>
      <c r="BO477" s="226"/>
      <c r="BP477" s="226"/>
      <c r="BQ477" s="226"/>
      <c r="BR477" s="226"/>
      <c r="BS477" s="226"/>
      <c r="BT477" s="226"/>
      <c r="BU477" s="226"/>
      <c r="BV477" s="226"/>
      <c r="BW477" s="226"/>
      <c r="BX477" s="226"/>
      <c r="BY477" s="226"/>
      <c r="BZ477" s="226"/>
      <c r="CA477" s="226"/>
      <c r="CB477" s="226"/>
      <c r="CC477" s="226"/>
      <c r="CD477" s="226"/>
      <c r="CE477" s="226"/>
      <c r="CF477" s="226"/>
      <c r="CG477" s="226"/>
      <c r="CH477" s="226"/>
      <c r="CI477" s="226"/>
      <c r="CJ477" s="226"/>
      <c r="CK477" s="226"/>
      <c r="CL477" s="226"/>
      <c r="CM477" s="226"/>
      <c r="CN477" s="226"/>
      <c r="CO477" s="226"/>
      <c r="CP477" s="226"/>
      <c r="CQ477" s="226"/>
      <c r="CR477" s="226"/>
      <c r="CS477" s="226"/>
      <c r="CT477" s="226"/>
      <c r="CU477" s="226"/>
      <c r="CV477" s="226"/>
      <c r="CW477" s="226"/>
      <c r="CX477" s="226"/>
      <c r="CY477" s="226"/>
      <c r="CZ477" s="226"/>
      <c r="DA477" s="226"/>
      <c r="DB477" s="226"/>
      <c r="DC477" s="226"/>
      <c r="DD477" s="226"/>
      <c r="DE477" s="226"/>
      <c r="DF477" s="226"/>
      <c r="DG477" s="226"/>
      <c r="DH477" s="226"/>
      <c r="DI477" s="226"/>
      <c r="DJ477" s="226"/>
      <c r="DK477" s="226"/>
      <c r="DL477" s="226"/>
    </row>
    <row r="478" ht="20.25" customHeight="1">
      <c r="A478" s="44">
        <v>478.0</v>
      </c>
      <c r="B478" s="668" t="s">
        <v>152</v>
      </c>
      <c r="C478" s="668" t="s">
        <v>115</v>
      </c>
      <c r="D478" s="668" t="s">
        <v>199</v>
      </c>
      <c r="E478" s="813"/>
      <c r="F478" s="125" t="s">
        <v>2605</v>
      </c>
      <c r="G478" s="126" t="s">
        <v>2606</v>
      </c>
      <c r="H478" s="126" t="s">
        <v>202</v>
      </c>
      <c r="I478" s="127">
        <v>45639.0</v>
      </c>
      <c r="J478" s="128">
        <v>45672.0</v>
      </c>
      <c r="K478" s="126" t="s">
        <v>2607</v>
      </c>
      <c r="L478" s="212" t="s">
        <v>2608</v>
      </c>
      <c r="M478" s="814" t="s">
        <v>2609</v>
      </c>
      <c r="N478" s="815" t="s">
        <v>2610</v>
      </c>
      <c r="O478" s="219">
        <v>1.0</v>
      </c>
      <c r="P478" s="223" t="s">
        <v>2611</v>
      </c>
      <c r="Q478" s="52" t="str">
        <f t="array" ref="Q478"> if(iserror(MATCH(V478, 'File Links'!C:C, 0)), "N/A", HYPERLINK(INDEX('File Links'!B:B, MATCH(P478, 'File Links'!C:C, 0))))</f>
        <v>https://drive.google.com/file/d/1JkE16HX10SxkzianGctH-9nm-XFaoMsF/view?usp=drivesdk</v>
      </c>
      <c r="R478" s="126" t="s">
        <v>2612</v>
      </c>
      <c r="S478" s="126" t="s">
        <v>2613</v>
      </c>
      <c r="T478" s="132"/>
      <c r="U478" s="219">
        <v>1.0</v>
      </c>
      <c r="V478" s="198" t="str">
        <f t="shared" si="25"/>
        <v>10.1007--s40732-024-00601-4.pdf</v>
      </c>
      <c r="W478" s="112" t="s">
        <v>2614</v>
      </c>
      <c r="X478" s="54" t="str">
        <f t="array" ref="X478"> if(iserror(MATCH(V478, 'File Links'!C:C, 0)), "N/A", HYPERLINK(INDEX('File Links'!B:B, MATCH(V478, 'File Links'!C:C, 0))))</f>
        <v>https://drive.google.com/file/d/1AxhabG9V7_RjgC05iqRfwY_LBYsC-1Lv/view?usp=drivesdk</v>
      </c>
      <c r="Y478" s="132"/>
      <c r="Z478" s="112" t="s">
        <v>148</v>
      </c>
      <c r="AA478" s="112" t="s">
        <v>2615</v>
      </c>
      <c r="AB478" s="116" t="s">
        <v>2616</v>
      </c>
      <c r="AC478" s="147" t="s">
        <v>2617</v>
      </c>
      <c r="AD478" s="116" t="s">
        <v>2618</v>
      </c>
      <c r="AE478" s="219">
        <v>3.0</v>
      </c>
      <c r="AF478" s="219">
        <v>2.0</v>
      </c>
      <c r="AG478" s="219">
        <v>0.96</v>
      </c>
      <c r="AH478" s="219" t="s">
        <v>2619</v>
      </c>
      <c r="AI478" s="219" t="s">
        <v>2620</v>
      </c>
      <c r="AJ478" s="219">
        <v>0.001</v>
      </c>
      <c r="AK478" s="45" t="s">
        <v>135</v>
      </c>
      <c r="AL478" s="45" t="s">
        <v>186</v>
      </c>
      <c r="AM478" s="407" t="s">
        <v>141</v>
      </c>
      <c r="AN478" s="219" t="s">
        <v>138</v>
      </c>
      <c r="AO478" s="219">
        <v>1.0</v>
      </c>
      <c r="AP478" s="219">
        <v>0.85</v>
      </c>
      <c r="AQ478" s="219" t="s">
        <v>2619</v>
      </c>
      <c r="AR478" s="219" t="s">
        <v>2621</v>
      </c>
      <c r="AS478" s="219" t="s">
        <v>138</v>
      </c>
      <c r="AT478" s="219" t="s">
        <v>138</v>
      </c>
      <c r="AU478" s="219" t="s">
        <v>138</v>
      </c>
      <c r="AV478" s="219" t="s">
        <v>138</v>
      </c>
      <c r="AW478" s="219" t="s">
        <v>138</v>
      </c>
      <c r="AX478" s="717" t="s">
        <v>151</v>
      </c>
      <c r="AY478" s="61" t="str">
        <f>IFERROR(__xludf.DUMMYFUNCTION("vlookup(BB478,importrange(""https://docs.google.com/spreadsheets/d/1d2vevQ_7D_v35q4wCQ4RpQ_IPoTwEMB9Yp6ymwlPqew/edit?gid=984458430#gid=984458430"", ""'replication success'!A:K""), 11, FAlSE)"),"successful")</f>
        <v>successful</v>
      </c>
      <c r="AZ478" s="61" t="str">
        <f>IFERROR(__xludf.DUMMYFUNCTION("vlookup(BB478,importrange(""https://docs.google.com/spreadsheets/d/1d2vevQ_7D_v35q4wCQ4RpQ_IPoTwEMB9Yp6ymwlPqew/edit?gid=984458430#gid=984458430"", ""'replication success'!A:M""), 12, FAlSE)"),"Results of the current study align with prior research demonstrating the ability of the disequilibrium approach to quantify the magnitude and direction of predicted change in instrumental activities based on measures of free operant baseline responding")</f>
        <v>Results of the current study align with prior research demonstrating the ability of the disequilibrium approach to quantify the magnitude and direction of predicted change in instrumental activities based on measures of free operant baseline responding</v>
      </c>
      <c r="BA478" s="61" t="str">
        <f>IFERROR(__xludf.DUMMYFUNCTION("vlookup(BB478,importrange(""https://docs.google.com/spreadsheets/d/1d2vevQ_7D_v35q4wCQ4RpQ_IPoTwEMB9Yp6ymwlPqew/edit?gid=984458430#gid=984458430"", ""'replication success'!A:M""), 13, FAlSE)"),"abstract")</f>
        <v>abstract</v>
      </c>
      <c r="BB478" s="61" t="str">
        <f>IFERROR(__xludf.DUMMYFUNCTION("REGEXREPLACE(G478, ""_[a-z]{1,2}$"", """")"),"additional_studies60")</f>
        <v>additional_studies60</v>
      </c>
      <c r="BC478" s="129" t="s">
        <v>2608</v>
      </c>
      <c r="BD478" s="124" t="s">
        <v>144</v>
      </c>
      <c r="BE478" s="226"/>
      <c r="BF478" s="226"/>
      <c r="BG478" s="226"/>
      <c r="BH478" s="226"/>
      <c r="BI478" s="226"/>
      <c r="BJ478" s="226"/>
      <c r="BK478" s="226"/>
      <c r="BL478" s="226"/>
      <c r="BM478" s="226"/>
      <c r="BN478" s="226"/>
      <c r="BO478" s="226"/>
      <c r="BP478" s="226"/>
      <c r="BQ478" s="226"/>
      <c r="BR478" s="226"/>
      <c r="BS478" s="226"/>
      <c r="BT478" s="226"/>
      <c r="BU478" s="226"/>
      <c r="BV478" s="226"/>
      <c r="BW478" s="226"/>
      <c r="BX478" s="226"/>
      <c r="BY478" s="226"/>
      <c r="BZ478" s="226"/>
      <c r="CA478" s="226"/>
      <c r="CB478" s="226"/>
      <c r="CC478" s="226"/>
      <c r="CD478" s="226"/>
      <c r="CE478" s="226"/>
      <c r="CF478" s="226"/>
      <c r="CG478" s="226"/>
      <c r="CH478" s="226"/>
      <c r="CI478" s="226"/>
      <c r="CJ478" s="226"/>
      <c r="CK478" s="226"/>
      <c r="CL478" s="226"/>
      <c r="CM478" s="226"/>
      <c r="CN478" s="226"/>
      <c r="CO478" s="226"/>
      <c r="CP478" s="226"/>
      <c r="CQ478" s="226"/>
      <c r="CR478" s="226"/>
      <c r="CS478" s="226"/>
      <c r="CT478" s="226"/>
      <c r="CU478" s="226"/>
      <c r="CV478" s="226"/>
      <c r="CW478" s="226"/>
      <c r="CX478" s="226"/>
      <c r="CY478" s="226"/>
      <c r="CZ478" s="226"/>
      <c r="DA478" s="226"/>
      <c r="DB478" s="226"/>
      <c r="DC478" s="226"/>
      <c r="DD478" s="226"/>
      <c r="DE478" s="226"/>
      <c r="DF478" s="226"/>
      <c r="DG478" s="226"/>
      <c r="DH478" s="226"/>
      <c r="DI478" s="226"/>
      <c r="DJ478" s="226"/>
      <c r="DK478" s="226"/>
      <c r="DL478" s="226"/>
    </row>
    <row r="479" ht="20.25" customHeight="1">
      <c r="A479" s="44">
        <v>479.0</v>
      </c>
      <c r="B479" s="149" t="s">
        <v>114</v>
      </c>
      <c r="C479" s="149" t="s">
        <v>115</v>
      </c>
      <c r="D479" s="149" t="s">
        <v>221</v>
      </c>
      <c r="E479" s="71"/>
      <c r="F479" s="111" t="s">
        <v>2605</v>
      </c>
      <c r="G479" s="112" t="s">
        <v>2606</v>
      </c>
      <c r="H479" s="112" t="s">
        <v>222</v>
      </c>
      <c r="I479" s="417">
        <v>45641.0</v>
      </c>
      <c r="J479" s="128">
        <v>45672.0</v>
      </c>
      <c r="K479" s="112" t="s">
        <v>2622</v>
      </c>
      <c r="L479" s="114"/>
      <c r="M479" s="816" t="s">
        <v>2623</v>
      </c>
      <c r="N479" s="817" t="s">
        <v>2610</v>
      </c>
      <c r="O479" s="114"/>
      <c r="P479" s="121" t="s">
        <v>2611</v>
      </c>
      <c r="Q479" s="52" t="str">
        <f t="array" ref="Q479"> if(iserror(MATCH(V479, 'File Links'!C:C, 0)), "N/A", HYPERLINK(INDEX('File Links'!B:B, MATCH(P479, 'File Links'!C:C, 0))))</f>
        <v>https://drive.google.com/file/d/1JkE16HX10SxkzianGctH-9nm-XFaoMsF/view?usp=drivesdk</v>
      </c>
      <c r="R479" s="112" t="s">
        <v>2612</v>
      </c>
      <c r="S479" s="112" t="s">
        <v>2613</v>
      </c>
      <c r="T479" s="114"/>
      <c r="U479" s="120"/>
      <c r="V479" s="198" t="str">
        <f t="shared" si="25"/>
        <v>10.1007--s40732-024-00601-4.pdf</v>
      </c>
      <c r="W479" s="112" t="s">
        <v>2614</v>
      </c>
      <c r="X479" s="54" t="str">
        <f t="array" ref="X479"> if(iserror(MATCH(V479, 'File Links'!C:C, 0)), "N/A", HYPERLINK(INDEX('File Links'!B:B, MATCH(V479, 'File Links'!C:C, 0))))</f>
        <v>https://drive.google.com/file/d/1AxhabG9V7_RjgC05iqRfwY_LBYsC-1Lv/view?usp=drivesdk</v>
      </c>
      <c r="Y479" s="114"/>
      <c r="Z479" s="112" t="s">
        <v>148</v>
      </c>
      <c r="AA479" s="112" t="s">
        <v>2615</v>
      </c>
      <c r="AB479" s="112" t="s">
        <v>2624</v>
      </c>
      <c r="AC479" s="114"/>
      <c r="AD479" s="112" t="s">
        <v>2625</v>
      </c>
      <c r="AE479" s="114"/>
      <c r="AF479" s="114"/>
      <c r="AG479" s="114"/>
      <c r="AH479" s="120"/>
      <c r="AI479" s="114"/>
      <c r="AJ479" s="114"/>
      <c r="AK479" s="111"/>
      <c r="AL479" s="114"/>
      <c r="AM479" s="114"/>
      <c r="AN479" s="114"/>
      <c r="AO479" s="114"/>
      <c r="AP479" s="114"/>
      <c r="AQ479" s="114"/>
      <c r="AR479" s="114"/>
      <c r="AS479" s="114"/>
      <c r="AT479" s="111"/>
      <c r="AU479" s="111"/>
      <c r="AV479" s="111"/>
      <c r="AW479" s="111"/>
      <c r="AX479" s="111"/>
      <c r="AY479" s="61" t="str">
        <f>IFERROR(__xludf.DUMMYFUNCTION("vlookup(BB479,importrange(""https://docs.google.com/spreadsheets/d/1d2vevQ_7D_v35q4wCQ4RpQ_IPoTwEMB9Yp6ymwlPqew/edit?gid=984458430#gid=984458430"", ""'replication success'!A:K""), 11, FAlSE)"),"successful")</f>
        <v>successful</v>
      </c>
      <c r="AZ479" s="61" t="str">
        <f>IFERROR(__xludf.DUMMYFUNCTION("vlookup(BB479,importrange(""https://docs.google.com/spreadsheets/d/1d2vevQ_7D_v35q4wCQ4RpQ_IPoTwEMB9Yp6ymwlPqew/edit?gid=984458430#gid=984458430"", ""'replication success'!A:M""), 12, FAlSE)"),"Results of the current study align with prior research demonstrating the ability of the disequilibrium approach to quantify the magnitude and direction of predicted change in instrumental activities based on measures of free operant baseline responding")</f>
        <v>Results of the current study align with prior research demonstrating the ability of the disequilibrium approach to quantify the magnitude and direction of predicted change in instrumental activities based on measures of free operant baseline responding</v>
      </c>
      <c r="BA479" s="61" t="str">
        <f>IFERROR(__xludf.DUMMYFUNCTION("vlookup(BB479,importrange(""https://docs.google.com/spreadsheets/d/1d2vevQ_7D_v35q4wCQ4RpQ_IPoTwEMB9Yp6ymwlPqew/edit?gid=984458430#gid=984458430"", ""'replication success'!A:M""), 13, FAlSE)"),"abstract")</f>
        <v>abstract</v>
      </c>
      <c r="BB479" s="61" t="str">
        <f>IFERROR(__xludf.DUMMYFUNCTION("REGEXREPLACE(G479, ""_[a-z]{1,2}$"", """")"),"additional_studies60")</f>
        <v>additional_studies60</v>
      </c>
      <c r="BC479" s="61"/>
      <c r="BD479" s="149" t="s">
        <v>144</v>
      </c>
      <c r="BE479" s="226"/>
      <c r="BF479" s="226"/>
      <c r="BG479" s="226"/>
      <c r="BH479" s="226"/>
      <c r="BI479" s="226"/>
      <c r="BJ479" s="226"/>
      <c r="BK479" s="226"/>
      <c r="BL479" s="226"/>
      <c r="BM479" s="226"/>
      <c r="BN479" s="226"/>
      <c r="BO479" s="226"/>
      <c r="BP479" s="226"/>
      <c r="BQ479" s="226"/>
      <c r="BR479" s="226"/>
      <c r="BS479" s="226"/>
      <c r="BT479" s="226"/>
      <c r="BU479" s="226"/>
      <c r="BV479" s="226"/>
      <c r="BW479" s="226"/>
      <c r="BX479" s="226"/>
      <c r="BY479" s="226"/>
      <c r="BZ479" s="226"/>
      <c r="CA479" s="226"/>
      <c r="CB479" s="226"/>
      <c r="CC479" s="226"/>
      <c r="CD479" s="226"/>
      <c r="CE479" s="226"/>
      <c r="CF479" s="226"/>
      <c r="CG479" s="226"/>
      <c r="CH479" s="226"/>
      <c r="CI479" s="226"/>
      <c r="CJ479" s="226"/>
      <c r="CK479" s="226"/>
      <c r="CL479" s="226"/>
      <c r="CM479" s="226"/>
      <c r="CN479" s="226"/>
      <c r="CO479" s="226"/>
      <c r="CP479" s="226"/>
      <c r="CQ479" s="226"/>
      <c r="CR479" s="226"/>
      <c r="CS479" s="226"/>
      <c r="CT479" s="226"/>
      <c r="CU479" s="226"/>
      <c r="CV479" s="226"/>
      <c r="CW479" s="226"/>
      <c r="CX479" s="226"/>
      <c r="CY479" s="226"/>
      <c r="CZ479" s="226"/>
      <c r="DA479" s="226"/>
      <c r="DB479" s="226"/>
      <c r="DC479" s="226"/>
      <c r="DD479" s="226"/>
      <c r="DE479" s="226"/>
      <c r="DF479" s="226"/>
      <c r="DG479" s="226"/>
      <c r="DH479" s="226"/>
      <c r="DI479" s="226"/>
      <c r="DJ479" s="226"/>
      <c r="DK479" s="226"/>
      <c r="DL479" s="226"/>
    </row>
    <row r="480" ht="20.25" customHeight="1">
      <c r="A480" s="44">
        <v>480.0</v>
      </c>
      <c r="B480" s="668" t="s">
        <v>152</v>
      </c>
      <c r="C480" s="668" t="s">
        <v>115</v>
      </c>
      <c r="D480" s="668" t="s">
        <v>199</v>
      </c>
      <c r="E480" s="813"/>
      <c r="F480" s="125" t="s">
        <v>2605</v>
      </c>
      <c r="G480" s="119" t="s">
        <v>2626</v>
      </c>
      <c r="H480" s="126" t="s">
        <v>202</v>
      </c>
      <c r="I480" s="127">
        <v>45639.0</v>
      </c>
      <c r="J480" s="128">
        <v>45672.0</v>
      </c>
      <c r="K480" s="126" t="s">
        <v>2607</v>
      </c>
      <c r="L480" s="219" t="s">
        <v>2627</v>
      </c>
      <c r="M480" s="814" t="s">
        <v>2628</v>
      </c>
      <c r="N480" s="815" t="s">
        <v>2610</v>
      </c>
      <c r="O480" s="219">
        <v>1.0</v>
      </c>
      <c r="P480" s="223" t="s">
        <v>2611</v>
      </c>
      <c r="Q480" s="52" t="str">
        <f t="array" ref="Q480"> if(iserror(MATCH(V480, 'File Links'!C:C, 0)), "N/A", HYPERLINK(INDEX('File Links'!B:B, MATCH(P480, 'File Links'!C:C, 0))))</f>
        <v>https://drive.google.com/file/d/1JkE16HX10SxkzianGctH-9nm-XFaoMsF/view?usp=drivesdk</v>
      </c>
      <c r="R480" s="126" t="s">
        <v>2612</v>
      </c>
      <c r="S480" s="126" t="s">
        <v>2613</v>
      </c>
      <c r="T480" s="132"/>
      <c r="U480" s="219">
        <v>1.0</v>
      </c>
      <c r="V480" s="198" t="str">
        <f t="shared" si="25"/>
        <v>10.1007--s40732-024-00601-4.pdf</v>
      </c>
      <c r="W480" s="112" t="s">
        <v>2614</v>
      </c>
      <c r="X480" s="54" t="str">
        <f t="array" ref="X480"> if(iserror(MATCH(V480, 'File Links'!C:C, 0)), "N/A", HYPERLINK(INDEX('File Links'!B:B, MATCH(V480, 'File Links'!C:C, 0))))</f>
        <v>https://drive.google.com/file/d/1AxhabG9V7_RjgC05iqRfwY_LBYsC-1Lv/view?usp=drivesdk</v>
      </c>
      <c r="Y480" s="132"/>
      <c r="Z480" s="112" t="s">
        <v>148</v>
      </c>
      <c r="AA480" s="112" t="s">
        <v>2615</v>
      </c>
      <c r="AB480" s="116" t="s">
        <v>2616</v>
      </c>
      <c r="AC480" s="147" t="s">
        <v>2629</v>
      </c>
      <c r="AD480" s="116" t="s">
        <v>2618</v>
      </c>
      <c r="AE480" s="219">
        <v>3.0</v>
      </c>
      <c r="AF480" s="219">
        <v>2.0</v>
      </c>
      <c r="AG480" s="219">
        <v>0.8</v>
      </c>
      <c r="AH480" s="219" t="s">
        <v>2619</v>
      </c>
      <c r="AI480" s="219" t="s">
        <v>2620</v>
      </c>
      <c r="AJ480" s="219">
        <v>0.003</v>
      </c>
      <c r="AK480" s="407" t="s">
        <v>172</v>
      </c>
      <c r="AL480" s="45" t="s">
        <v>186</v>
      </c>
      <c r="AM480" s="407" t="s">
        <v>141</v>
      </c>
      <c r="AN480" s="219" t="s">
        <v>138</v>
      </c>
      <c r="AO480" s="219">
        <v>1.0</v>
      </c>
      <c r="AP480" s="219">
        <v>0.85</v>
      </c>
      <c r="AQ480" s="219" t="s">
        <v>2619</v>
      </c>
      <c r="AR480" s="219" t="s">
        <v>2621</v>
      </c>
      <c r="AS480" s="219" t="s">
        <v>138</v>
      </c>
      <c r="AT480" s="219" t="s">
        <v>138</v>
      </c>
      <c r="AU480" s="219" t="s">
        <v>138</v>
      </c>
      <c r="AV480" s="219" t="s">
        <v>138</v>
      </c>
      <c r="AW480" s="219" t="s">
        <v>138</v>
      </c>
      <c r="AX480" s="717" t="s">
        <v>151</v>
      </c>
      <c r="AY480" s="61" t="str">
        <f>IFERROR(__xludf.DUMMYFUNCTION("vlookup(BB480,importrange(""https://docs.google.com/spreadsheets/d/1d2vevQ_7D_v35q4wCQ4RpQ_IPoTwEMB9Yp6ymwlPqew/edit?gid=984458430#gid=984458430"", ""'replication success'!A:K""), 11, FAlSE)"),"successful")</f>
        <v>successful</v>
      </c>
      <c r="AZ480" s="61" t="str">
        <f>IFERROR(__xludf.DUMMYFUNCTION("vlookup(BB480,importrange(""https://docs.google.com/spreadsheets/d/1d2vevQ_7D_v35q4wCQ4RpQ_IPoTwEMB9Yp6ymwlPqew/edit?gid=984458430#gid=984458430"", ""'replication success'!A:M""), 12, FAlSE)"),"Results of the current study align with prior research demonstrating the ability of the disequilibrium approach to quantify the magnitude and direction of predicted change in instrumental activities based on measures of free operant baseline responding")</f>
        <v>Results of the current study align with prior research demonstrating the ability of the disequilibrium approach to quantify the magnitude and direction of predicted change in instrumental activities based on measures of free operant baseline responding</v>
      </c>
      <c r="BA480" s="61" t="str">
        <f>IFERROR(__xludf.DUMMYFUNCTION("vlookup(BB480,importrange(""https://docs.google.com/spreadsheets/d/1d2vevQ_7D_v35q4wCQ4RpQ_IPoTwEMB9Yp6ymwlPqew/edit?gid=984458430#gid=984458430"", ""'replication success'!A:M""), 13, FAlSE)"),"abstract")</f>
        <v>abstract</v>
      </c>
      <c r="BB480" s="61" t="str">
        <f>IFERROR(__xludf.DUMMYFUNCTION("REGEXREPLACE(G480, ""_[a-z]{1,2}$"", """")"),"additional_studies60")</f>
        <v>additional_studies60</v>
      </c>
      <c r="BC480" s="129"/>
      <c r="BD480" s="62" t="s">
        <v>144</v>
      </c>
      <c r="BE480" s="226"/>
      <c r="BF480" s="226"/>
      <c r="BG480" s="226"/>
      <c r="BH480" s="226"/>
      <c r="BI480" s="226"/>
      <c r="BJ480" s="226"/>
      <c r="BK480" s="226"/>
      <c r="BL480" s="226"/>
      <c r="BM480" s="226"/>
      <c r="BN480" s="226"/>
      <c r="BO480" s="226"/>
      <c r="BP480" s="226"/>
      <c r="BQ480" s="226"/>
      <c r="BR480" s="226"/>
      <c r="BS480" s="226"/>
      <c r="BT480" s="226"/>
      <c r="BU480" s="226"/>
      <c r="BV480" s="226"/>
      <c r="BW480" s="226"/>
      <c r="BX480" s="226"/>
      <c r="BY480" s="226"/>
      <c r="BZ480" s="226"/>
      <c r="CA480" s="226"/>
      <c r="CB480" s="226"/>
      <c r="CC480" s="226"/>
      <c r="CD480" s="226"/>
      <c r="CE480" s="226"/>
      <c r="CF480" s="226"/>
      <c r="CG480" s="226"/>
      <c r="CH480" s="226"/>
      <c r="CI480" s="226"/>
      <c r="CJ480" s="226"/>
      <c r="CK480" s="226"/>
      <c r="CL480" s="226"/>
      <c r="CM480" s="226"/>
      <c r="CN480" s="226"/>
      <c r="CO480" s="226"/>
      <c r="CP480" s="226"/>
      <c r="CQ480" s="226"/>
      <c r="CR480" s="226"/>
      <c r="CS480" s="226"/>
      <c r="CT480" s="226"/>
      <c r="CU480" s="226"/>
      <c r="CV480" s="226"/>
      <c r="CW480" s="226"/>
      <c r="CX480" s="226"/>
      <c r="CY480" s="226"/>
      <c r="CZ480" s="226"/>
      <c r="DA480" s="226"/>
      <c r="DB480" s="226"/>
      <c r="DC480" s="226"/>
      <c r="DD480" s="226"/>
      <c r="DE480" s="226"/>
      <c r="DF480" s="226"/>
      <c r="DG480" s="226"/>
      <c r="DH480" s="226"/>
      <c r="DI480" s="226"/>
      <c r="DJ480" s="226"/>
      <c r="DK480" s="226"/>
      <c r="DL480" s="226"/>
    </row>
    <row r="481" ht="20.25" customHeight="1">
      <c r="A481" s="44">
        <v>481.0</v>
      </c>
      <c r="B481" s="124" t="s">
        <v>590</v>
      </c>
      <c r="C481" s="124" t="s">
        <v>115</v>
      </c>
      <c r="D481" s="124" t="s">
        <v>2630</v>
      </c>
      <c r="E481" s="107"/>
      <c r="F481" s="140" t="s">
        <v>2631</v>
      </c>
      <c r="G481" s="126" t="s">
        <v>2632</v>
      </c>
      <c r="H481" s="140" t="s">
        <v>2633</v>
      </c>
      <c r="I481" s="127">
        <v>45654.0</v>
      </c>
      <c r="J481" s="818">
        <v>45673.0</v>
      </c>
      <c r="K481" s="125"/>
      <c r="L481" s="219" t="s">
        <v>2634</v>
      </c>
      <c r="M481" s="140" t="s">
        <v>2635</v>
      </c>
      <c r="N481" s="819" t="s">
        <v>2636</v>
      </c>
      <c r="O481" s="782"/>
      <c r="P481" s="140" t="s">
        <v>2637</v>
      </c>
      <c r="Q481" s="52" t="str">
        <f t="array" ref="Q481"> if(iserror(MATCH(V481, 'File Links'!C:C, 0)), "N/A", HYPERLINK(INDEX('File Links'!B:B, MATCH(P481, 'File Links'!C:C, 0))))</f>
        <v>https://drive.google.com/file/d/1qyGORRGdQy-kyOSM_2vtKP7-BEAhuKWX/view?usp=drivesdk</v>
      </c>
      <c r="R481" s="819" t="s">
        <v>2638</v>
      </c>
      <c r="S481" s="229" t="s">
        <v>2639</v>
      </c>
      <c r="T481" s="125"/>
      <c r="U481" s="119">
        <v>1.0</v>
      </c>
      <c r="V481" s="198" t="str">
        <f t="shared" si="25"/>
        <v>10.1016--j.appet.2023.106554.pdf</v>
      </c>
      <c r="W481" s="819" t="s">
        <v>164</v>
      </c>
      <c r="X481" s="54" t="str">
        <f t="array" ref="X481"> if(iserror(MATCH(V481, 'File Links'!C:C, 0)), "N/A", HYPERLINK(INDEX('File Links'!B:B, MATCH(V481, 'File Links'!C:C, 0))))</f>
        <v>https://drive.google.com/file/d/16j_GiBODVfACftG20Niq4aIRC_kU8qsZ/view?usp=drivesdk</v>
      </c>
      <c r="Y481" s="125"/>
      <c r="Z481" s="819" t="s">
        <v>226</v>
      </c>
      <c r="AA481" s="819" t="s">
        <v>2640</v>
      </c>
      <c r="AB481" s="819" t="s">
        <v>2641</v>
      </c>
      <c r="AC481" s="819" t="s">
        <v>2642</v>
      </c>
      <c r="AD481" s="819" t="s">
        <v>2643</v>
      </c>
      <c r="AE481" s="820">
        <v>4.0</v>
      </c>
      <c r="AF481" s="820">
        <v>1068.0</v>
      </c>
      <c r="AG481" s="820">
        <v>0.33</v>
      </c>
      <c r="AH481" s="821" t="s">
        <v>173</v>
      </c>
      <c r="AI481" s="822" t="s">
        <v>2644</v>
      </c>
      <c r="AJ481" s="823">
        <v>0.01</v>
      </c>
      <c r="AK481" s="819" t="s">
        <v>172</v>
      </c>
      <c r="AL481" s="222" t="s">
        <v>136</v>
      </c>
      <c r="AM481" s="824" t="s">
        <v>137</v>
      </c>
      <c r="AN481" s="219" t="s">
        <v>138</v>
      </c>
      <c r="AO481" s="820">
        <v>533.0</v>
      </c>
      <c r="AP481" s="820">
        <v>0.28</v>
      </c>
      <c r="AQ481" s="819" t="s">
        <v>173</v>
      </c>
      <c r="AR481" s="819" t="s">
        <v>2645</v>
      </c>
      <c r="AS481" s="820">
        <v>0.003</v>
      </c>
      <c r="AT481" s="819" t="s">
        <v>172</v>
      </c>
      <c r="AU481" s="819" t="s">
        <v>136</v>
      </c>
      <c r="AV481" s="824" t="s">
        <v>137</v>
      </c>
      <c r="AW481" s="125"/>
      <c r="AX481" s="824" t="s">
        <v>143</v>
      </c>
      <c r="AY481" s="61" t="str">
        <f>IFERROR(__xludf.DUMMYFUNCTION("vlookup(BB481,importrange(""https://docs.google.com/spreadsheets/d/1d2vevQ_7D_v35q4wCQ4RpQ_IPoTwEMB9Yp6ymwlPqew/edit?gid=984458430#gid=984458430"", ""'replication success'!A:K""), 11, FAlSE)"),"#N/A")</f>
        <v>#N/A</v>
      </c>
      <c r="AZ481" s="61" t="str">
        <f>IFERROR(__xludf.DUMMYFUNCTION("vlookup(BB481,importrange(""https://docs.google.com/spreadsheets/d/1d2vevQ_7D_v35q4wCQ4RpQ_IPoTwEMB9Yp6ymwlPqew/edit?gid=984458430#gid=984458430"", ""'replication success'!A:M""), 12, FAlSE)"),"#N/A")</f>
        <v>#N/A</v>
      </c>
      <c r="BA481" s="61" t="str">
        <f>IFERROR(__xludf.DUMMYFUNCTION("vlookup(BB481,importrange(""https://docs.google.com/spreadsheets/d/1d2vevQ_7D_v35q4wCQ4RpQ_IPoTwEMB9Yp6ymwlPqew/edit?gid=984458430#gid=984458430"", ""'replication success'!A:M""), 13, FAlSE)"),"#N/A")</f>
        <v>#N/A</v>
      </c>
      <c r="BB481" s="61" t="str">
        <f>IFERROR(__xludf.DUMMYFUNCTION("REGEXREPLACE(G481, ""_[a-z]{1,2}$"", """")"),"additional_studies62")</f>
        <v>additional_studies62</v>
      </c>
      <c r="BC481" s="129"/>
      <c r="BD481" s="107"/>
      <c r="BE481" s="226"/>
      <c r="BF481" s="226"/>
      <c r="BG481" s="226"/>
      <c r="BH481" s="226"/>
      <c r="BI481" s="226"/>
      <c r="BJ481" s="226"/>
      <c r="BK481" s="226"/>
      <c r="BL481" s="226"/>
      <c r="BM481" s="226"/>
      <c r="BN481" s="226"/>
      <c r="BO481" s="226"/>
      <c r="BP481" s="226"/>
      <c r="BQ481" s="226"/>
      <c r="BR481" s="226"/>
      <c r="BS481" s="226"/>
      <c r="BT481" s="226"/>
      <c r="BU481" s="226"/>
      <c r="BV481" s="226"/>
      <c r="BW481" s="226"/>
      <c r="BX481" s="226"/>
      <c r="BY481" s="226"/>
      <c r="BZ481" s="226"/>
      <c r="CA481" s="226"/>
      <c r="CB481" s="226"/>
      <c r="CC481" s="226"/>
      <c r="CD481" s="226"/>
      <c r="CE481" s="226"/>
      <c r="CF481" s="226"/>
      <c r="CG481" s="226"/>
      <c r="CH481" s="226"/>
      <c r="CI481" s="226"/>
      <c r="CJ481" s="226"/>
      <c r="CK481" s="226"/>
      <c r="CL481" s="226"/>
      <c r="CM481" s="226"/>
      <c r="CN481" s="226"/>
      <c r="CO481" s="226"/>
      <c r="CP481" s="226"/>
      <c r="CQ481" s="226"/>
      <c r="CR481" s="226"/>
      <c r="CS481" s="226"/>
      <c r="CT481" s="226"/>
      <c r="CU481" s="226"/>
      <c r="CV481" s="226"/>
      <c r="CW481" s="226"/>
      <c r="CX481" s="226"/>
      <c r="CY481" s="226"/>
      <c r="CZ481" s="226"/>
      <c r="DA481" s="226"/>
      <c r="DB481" s="226"/>
      <c r="DC481" s="226"/>
      <c r="DD481" s="226"/>
      <c r="DE481" s="226"/>
      <c r="DF481" s="226"/>
      <c r="DG481" s="226"/>
      <c r="DH481" s="226"/>
      <c r="DI481" s="226"/>
      <c r="DJ481" s="226"/>
      <c r="DK481" s="226"/>
      <c r="DL481" s="226"/>
    </row>
    <row r="482" ht="20.25" customHeight="1">
      <c r="A482" s="44">
        <v>482.0</v>
      </c>
      <c r="B482" s="124" t="s">
        <v>590</v>
      </c>
      <c r="C482" s="227" t="s">
        <v>115</v>
      </c>
      <c r="D482" s="227" t="s">
        <v>221</v>
      </c>
      <c r="E482" s="228"/>
      <c r="F482" s="237" t="s">
        <v>2631</v>
      </c>
      <c r="G482" s="229" t="s">
        <v>2646</v>
      </c>
      <c r="H482" s="231" t="s">
        <v>222</v>
      </c>
      <c r="I482" s="230">
        <v>45640.0</v>
      </c>
      <c r="J482" s="818">
        <v>45673.0</v>
      </c>
      <c r="K482" s="229" t="s">
        <v>2647</v>
      </c>
      <c r="L482" s="219" t="s">
        <v>2634</v>
      </c>
      <c r="M482" s="229" t="s">
        <v>2648</v>
      </c>
      <c r="N482" s="229" t="s">
        <v>2636</v>
      </c>
      <c r="O482" s="231"/>
      <c r="P482" s="233" t="s">
        <v>2637</v>
      </c>
      <c r="Q482" s="52" t="str">
        <f t="array" ref="Q482"> if(iserror(MATCH(V482, 'File Links'!C:C, 0)), "N/A", HYPERLINK(INDEX('File Links'!B:B, MATCH(P482, 'File Links'!C:C, 0))))</f>
        <v>https://drive.google.com/file/d/1qyGORRGdQy-kyOSM_2vtKP7-BEAhuKWX/view?usp=drivesdk</v>
      </c>
      <c r="R482" s="229" t="s">
        <v>2638</v>
      </c>
      <c r="S482" s="229" t="s">
        <v>2639</v>
      </c>
      <c r="T482" s="229"/>
      <c r="U482" s="695">
        <v>1.0</v>
      </c>
      <c r="V482" s="198" t="str">
        <f t="shared" si="25"/>
        <v>10.1016--j.appet.2023.106554.pdf</v>
      </c>
      <c r="W482" s="819" t="s">
        <v>164</v>
      </c>
      <c r="X482" s="54" t="str">
        <f t="array" ref="X482"> if(iserror(MATCH(V482, 'File Links'!C:C, 0)), "N/A", HYPERLINK(INDEX('File Links'!B:B, MATCH(V482, 'File Links'!C:C, 0))))</f>
        <v>https://drive.google.com/file/d/16j_GiBODVfACftG20Niq4aIRC_kU8qsZ/view?usp=drivesdk</v>
      </c>
      <c r="Y482" s="231"/>
      <c r="Z482" s="229" t="s">
        <v>226</v>
      </c>
      <c r="AA482" s="229" t="s">
        <v>2649</v>
      </c>
      <c r="AB482" s="229" t="s">
        <v>2650</v>
      </c>
      <c r="AC482" s="229" t="s">
        <v>2651</v>
      </c>
      <c r="AD482" s="229" t="s">
        <v>2652</v>
      </c>
      <c r="AE482" s="232">
        <v>4.0</v>
      </c>
      <c r="AF482" s="232">
        <v>395.0</v>
      </c>
      <c r="AG482" s="232">
        <v>0.0</v>
      </c>
      <c r="AH482" s="699"/>
      <c r="AI482" s="229" t="s">
        <v>496</v>
      </c>
      <c r="AJ482" s="232">
        <v>0.01</v>
      </c>
      <c r="AK482" s="235" t="s">
        <v>135</v>
      </c>
      <c r="AL482" s="229" t="s">
        <v>136</v>
      </c>
      <c r="AM482" s="231" t="s">
        <v>137</v>
      </c>
      <c r="AN482" s="219" t="s">
        <v>138</v>
      </c>
      <c r="AO482" s="232">
        <v>190.0</v>
      </c>
      <c r="AP482" s="232">
        <v>53.19</v>
      </c>
      <c r="AQ482" s="229" t="s">
        <v>134</v>
      </c>
      <c r="AR482" s="229" t="s">
        <v>132</v>
      </c>
      <c r="AS482" s="232">
        <v>0.01</v>
      </c>
      <c r="AT482" s="235" t="s">
        <v>135</v>
      </c>
      <c r="AU482" s="235" t="s">
        <v>136</v>
      </c>
      <c r="AV482" s="237" t="s">
        <v>137</v>
      </c>
      <c r="AW482" s="237"/>
      <c r="AX482" s="237" t="s">
        <v>143</v>
      </c>
      <c r="AY482" s="61" t="str">
        <f>IFERROR(__xludf.DUMMYFUNCTION("vlookup(BB482,importrange(""https://docs.google.com/spreadsheets/d/1d2vevQ_7D_v35q4wCQ4RpQ_IPoTwEMB9Yp6ymwlPqew/edit?gid=984458430#gid=984458430"", ""'replication success'!A:K""), 11, FAlSE)"),"#N/A")</f>
        <v>#N/A</v>
      </c>
      <c r="AZ482" s="61" t="str">
        <f>IFERROR(__xludf.DUMMYFUNCTION("vlookup(BB482,importrange(""https://docs.google.com/spreadsheets/d/1d2vevQ_7D_v35q4wCQ4RpQ_IPoTwEMB9Yp6ymwlPqew/edit?gid=984458430#gid=984458430"", ""'replication success'!A:M""), 12, FAlSE)"),"#N/A")</f>
        <v>#N/A</v>
      </c>
      <c r="BA482" s="61" t="str">
        <f>IFERROR(__xludf.DUMMYFUNCTION("vlookup(BB482,importrange(""https://docs.google.com/spreadsheets/d/1d2vevQ_7D_v35q4wCQ4RpQ_IPoTwEMB9Yp6ymwlPqew/edit?gid=984458430#gid=984458430"", ""'replication success'!A:M""), 13, FAlSE)"),"#N/A")</f>
        <v>#N/A</v>
      </c>
      <c r="BB482" s="61" t="str">
        <f>IFERROR(__xludf.DUMMYFUNCTION("REGEXREPLACE(G482, ""_[a-z]{1,2}$"", """")"),"additional_studies62")</f>
        <v>additional_studies62</v>
      </c>
      <c r="BC482" s="129"/>
      <c r="BD482" s="228"/>
      <c r="BE482" s="226"/>
      <c r="BF482" s="226"/>
      <c r="BG482" s="226"/>
      <c r="BH482" s="226"/>
      <c r="BI482" s="226"/>
      <c r="BJ482" s="226"/>
      <c r="BK482" s="226"/>
      <c r="BL482" s="226"/>
      <c r="BM482" s="226"/>
      <c r="BN482" s="226"/>
      <c r="BO482" s="226"/>
      <c r="BP482" s="226"/>
      <c r="BQ482" s="226"/>
      <c r="BR482" s="226"/>
      <c r="BS482" s="226"/>
      <c r="BT482" s="226"/>
      <c r="BU482" s="226"/>
      <c r="BV482" s="226"/>
      <c r="BW482" s="226"/>
      <c r="BX482" s="226"/>
      <c r="BY482" s="226"/>
      <c r="BZ482" s="226"/>
      <c r="CA482" s="226"/>
      <c r="CB482" s="226"/>
      <c r="CC482" s="226"/>
      <c r="CD482" s="226"/>
      <c r="CE482" s="226"/>
      <c r="CF482" s="226"/>
      <c r="CG482" s="226"/>
      <c r="CH482" s="226"/>
      <c r="CI482" s="226"/>
      <c r="CJ482" s="226"/>
      <c r="CK482" s="226"/>
      <c r="CL482" s="226"/>
      <c r="CM482" s="226"/>
      <c r="CN482" s="226"/>
      <c r="CO482" s="226"/>
      <c r="CP482" s="226"/>
      <c r="CQ482" s="226"/>
      <c r="CR482" s="226"/>
      <c r="CS482" s="226"/>
      <c r="CT482" s="226"/>
      <c r="CU482" s="226"/>
      <c r="CV482" s="226"/>
      <c r="CW482" s="226"/>
      <c r="CX482" s="226"/>
      <c r="CY482" s="226"/>
      <c r="CZ482" s="226"/>
      <c r="DA482" s="226"/>
      <c r="DB482" s="226"/>
      <c r="DC482" s="226"/>
      <c r="DD482" s="226"/>
      <c r="DE482" s="226"/>
      <c r="DF482" s="226"/>
      <c r="DG482" s="226"/>
      <c r="DH482" s="226"/>
      <c r="DI482" s="226"/>
      <c r="DJ482" s="226"/>
      <c r="DK482" s="226"/>
      <c r="DL482" s="226"/>
    </row>
    <row r="483" ht="20.25" customHeight="1">
      <c r="A483" s="44">
        <v>483.0</v>
      </c>
      <c r="B483" s="124" t="s">
        <v>590</v>
      </c>
      <c r="C483" s="227" t="s">
        <v>115</v>
      </c>
      <c r="D483" s="227" t="s">
        <v>221</v>
      </c>
      <c r="E483" s="228"/>
      <c r="F483" s="237" t="s">
        <v>2631</v>
      </c>
      <c r="G483" s="229" t="s">
        <v>2653</v>
      </c>
      <c r="H483" s="231" t="s">
        <v>222</v>
      </c>
      <c r="I483" s="230">
        <v>45639.0</v>
      </c>
      <c r="J483" s="818">
        <v>45673.0</v>
      </c>
      <c r="K483" s="229" t="s">
        <v>2647</v>
      </c>
      <c r="L483" s="219" t="s">
        <v>2634</v>
      </c>
      <c r="M483" s="229" t="s">
        <v>2648</v>
      </c>
      <c r="N483" s="229" t="s">
        <v>2636</v>
      </c>
      <c r="O483" s="231"/>
      <c r="P483" s="233" t="s">
        <v>2637</v>
      </c>
      <c r="Q483" s="52" t="str">
        <f t="array" ref="Q483"> if(iserror(MATCH(V483, 'File Links'!C:C, 0)), "N/A", HYPERLINK(INDEX('File Links'!B:B, MATCH(P483, 'File Links'!C:C, 0))))</f>
        <v>https://drive.google.com/file/d/1qyGORRGdQy-kyOSM_2vtKP7-BEAhuKWX/view?usp=drivesdk</v>
      </c>
      <c r="R483" s="229" t="s">
        <v>2638</v>
      </c>
      <c r="S483" s="229" t="s">
        <v>2639</v>
      </c>
      <c r="T483" s="229"/>
      <c r="U483" s="695">
        <v>1.0</v>
      </c>
      <c r="V483" s="198" t="str">
        <f t="shared" si="25"/>
        <v>10.1016--j.appet.2023.106554.pdf</v>
      </c>
      <c r="W483" s="819" t="s">
        <v>164</v>
      </c>
      <c r="X483" s="54" t="str">
        <f t="array" ref="X483"> if(iserror(MATCH(V483, 'File Links'!C:C, 0)), "N/A", HYPERLINK(INDEX('File Links'!B:B, MATCH(V483, 'File Links'!C:C, 0))))</f>
        <v>https://drive.google.com/file/d/16j_GiBODVfACftG20Niq4aIRC_kU8qsZ/view?usp=drivesdk</v>
      </c>
      <c r="Y483" s="231"/>
      <c r="Z483" s="229" t="s">
        <v>226</v>
      </c>
      <c r="AA483" s="229" t="s">
        <v>2649</v>
      </c>
      <c r="AB483" s="229" t="s">
        <v>2650</v>
      </c>
      <c r="AC483" s="229" t="s">
        <v>2654</v>
      </c>
      <c r="AD483" s="229" t="s">
        <v>2655</v>
      </c>
      <c r="AE483" s="232">
        <v>4.0</v>
      </c>
      <c r="AF483" s="232">
        <v>156.0</v>
      </c>
      <c r="AG483" s="232">
        <v>-0.49</v>
      </c>
      <c r="AH483" s="233" t="s">
        <v>173</v>
      </c>
      <c r="AI483" s="229" t="s">
        <v>496</v>
      </c>
      <c r="AJ483" s="232">
        <v>0.01</v>
      </c>
      <c r="AK483" s="235" t="s">
        <v>135</v>
      </c>
      <c r="AL483" s="229" t="s">
        <v>136</v>
      </c>
      <c r="AM483" s="231" t="s">
        <v>137</v>
      </c>
      <c r="AN483" s="219" t="s">
        <v>138</v>
      </c>
      <c r="AO483" s="232">
        <v>98.0</v>
      </c>
      <c r="AP483" s="232">
        <v>54.1</v>
      </c>
      <c r="AQ483" s="229" t="s">
        <v>134</v>
      </c>
      <c r="AR483" s="229" t="s">
        <v>132</v>
      </c>
      <c r="AS483" s="232">
        <v>0.01</v>
      </c>
      <c r="AT483" s="235" t="s">
        <v>135</v>
      </c>
      <c r="AU483" s="235" t="s">
        <v>136</v>
      </c>
      <c r="AV483" s="237" t="s">
        <v>137</v>
      </c>
      <c r="AW483" s="237"/>
      <c r="AX483" s="237" t="s">
        <v>143</v>
      </c>
      <c r="AY483" s="61" t="str">
        <f>IFERROR(__xludf.DUMMYFUNCTION("vlookup(BB483,importrange(""https://docs.google.com/spreadsheets/d/1d2vevQ_7D_v35q4wCQ4RpQ_IPoTwEMB9Yp6ymwlPqew/edit?gid=984458430#gid=984458430"", ""'replication success'!A:K""), 11, FAlSE)"),"#N/A")</f>
        <v>#N/A</v>
      </c>
      <c r="AZ483" s="61" t="str">
        <f>IFERROR(__xludf.DUMMYFUNCTION("vlookup(BB483,importrange(""https://docs.google.com/spreadsheets/d/1d2vevQ_7D_v35q4wCQ4RpQ_IPoTwEMB9Yp6ymwlPqew/edit?gid=984458430#gid=984458430"", ""'replication success'!A:M""), 12, FAlSE)"),"#N/A")</f>
        <v>#N/A</v>
      </c>
      <c r="BA483" s="61" t="str">
        <f>IFERROR(__xludf.DUMMYFUNCTION("vlookup(BB483,importrange(""https://docs.google.com/spreadsheets/d/1d2vevQ_7D_v35q4wCQ4RpQ_IPoTwEMB9Yp6ymwlPqew/edit?gid=984458430#gid=984458430"", ""'replication success'!A:M""), 13, FAlSE)"),"#N/A")</f>
        <v>#N/A</v>
      </c>
      <c r="BB483" s="61" t="str">
        <f>IFERROR(__xludf.DUMMYFUNCTION("REGEXREPLACE(G483, ""_[a-z]{1,2}$"", """")"),"additional_studies62")</f>
        <v>additional_studies62</v>
      </c>
      <c r="BC483" s="129"/>
      <c r="BD483" s="228"/>
      <c r="BE483" s="226"/>
      <c r="BF483" s="226"/>
      <c r="BG483" s="226"/>
      <c r="BH483" s="226"/>
      <c r="BI483" s="226"/>
      <c r="BJ483" s="226"/>
      <c r="BK483" s="226"/>
      <c r="BL483" s="226"/>
      <c r="BM483" s="226"/>
      <c r="BN483" s="226"/>
      <c r="BO483" s="226"/>
      <c r="BP483" s="226"/>
      <c r="BQ483" s="226"/>
      <c r="BR483" s="226"/>
      <c r="BS483" s="226"/>
      <c r="BT483" s="226"/>
      <c r="BU483" s="226"/>
      <c r="BV483" s="226"/>
      <c r="BW483" s="226"/>
      <c r="BX483" s="226"/>
      <c r="BY483" s="226"/>
      <c r="BZ483" s="226"/>
      <c r="CA483" s="226"/>
      <c r="CB483" s="226"/>
      <c r="CC483" s="226"/>
      <c r="CD483" s="226"/>
      <c r="CE483" s="226"/>
      <c r="CF483" s="226"/>
      <c r="CG483" s="226"/>
      <c r="CH483" s="226"/>
      <c r="CI483" s="226"/>
      <c r="CJ483" s="226"/>
      <c r="CK483" s="226"/>
      <c r="CL483" s="226"/>
      <c r="CM483" s="226"/>
      <c r="CN483" s="226"/>
      <c r="CO483" s="226"/>
      <c r="CP483" s="226"/>
      <c r="CQ483" s="226"/>
      <c r="CR483" s="226"/>
      <c r="CS483" s="226"/>
      <c r="CT483" s="226"/>
      <c r="CU483" s="226"/>
      <c r="CV483" s="226"/>
      <c r="CW483" s="226"/>
      <c r="CX483" s="226"/>
      <c r="CY483" s="226"/>
      <c r="CZ483" s="226"/>
      <c r="DA483" s="226"/>
      <c r="DB483" s="226"/>
      <c r="DC483" s="226"/>
      <c r="DD483" s="226"/>
      <c r="DE483" s="226"/>
      <c r="DF483" s="226"/>
      <c r="DG483" s="226"/>
      <c r="DH483" s="226"/>
      <c r="DI483" s="226"/>
      <c r="DJ483" s="226"/>
      <c r="DK483" s="226"/>
      <c r="DL483" s="226"/>
    </row>
    <row r="484" ht="20.25" customHeight="1">
      <c r="A484" s="44">
        <v>484.0</v>
      </c>
      <c r="B484" s="124" t="s">
        <v>590</v>
      </c>
      <c r="C484" s="227" t="s">
        <v>115</v>
      </c>
      <c r="D484" s="227" t="s">
        <v>221</v>
      </c>
      <c r="E484" s="228"/>
      <c r="F484" s="237" t="s">
        <v>2631</v>
      </c>
      <c r="G484" s="229" t="s">
        <v>2656</v>
      </c>
      <c r="H484" s="231" t="s">
        <v>222</v>
      </c>
      <c r="I484" s="230">
        <v>45639.0</v>
      </c>
      <c r="J484" s="818">
        <v>45673.0</v>
      </c>
      <c r="K484" s="229" t="s">
        <v>2647</v>
      </c>
      <c r="L484" s="219" t="s">
        <v>2634</v>
      </c>
      <c r="M484" s="229" t="s">
        <v>2648</v>
      </c>
      <c r="N484" s="229" t="s">
        <v>2636</v>
      </c>
      <c r="O484" s="231"/>
      <c r="P484" s="233" t="s">
        <v>2637</v>
      </c>
      <c r="Q484" s="52" t="str">
        <f t="array" ref="Q484"> if(iserror(MATCH(V484, 'File Links'!C:C, 0)), "N/A", HYPERLINK(INDEX('File Links'!B:B, MATCH(P484, 'File Links'!C:C, 0))))</f>
        <v>https://drive.google.com/file/d/1qyGORRGdQy-kyOSM_2vtKP7-BEAhuKWX/view?usp=drivesdk</v>
      </c>
      <c r="R484" s="229" t="s">
        <v>2638</v>
      </c>
      <c r="S484" s="229" t="s">
        <v>2639</v>
      </c>
      <c r="T484" s="229"/>
      <c r="U484" s="695">
        <v>1.0</v>
      </c>
      <c r="V484" s="198" t="str">
        <f t="shared" si="25"/>
        <v>10.1016--j.appet.2023.106554.pdf</v>
      </c>
      <c r="W484" s="819" t="s">
        <v>164</v>
      </c>
      <c r="X484" s="54" t="str">
        <f t="array" ref="X484"> if(iserror(MATCH(V484, 'File Links'!C:C, 0)), "N/A", HYPERLINK(INDEX('File Links'!B:B, MATCH(V484, 'File Links'!C:C, 0))))</f>
        <v>https://drive.google.com/file/d/16j_GiBODVfACftG20Niq4aIRC_kU8qsZ/view?usp=drivesdk</v>
      </c>
      <c r="Y484" s="231"/>
      <c r="Z484" s="229" t="s">
        <v>226</v>
      </c>
      <c r="AA484" s="229" t="s">
        <v>2649</v>
      </c>
      <c r="AB484" s="229" t="s">
        <v>2650</v>
      </c>
      <c r="AC484" s="229" t="s">
        <v>2657</v>
      </c>
      <c r="AD484" s="229" t="s">
        <v>2658</v>
      </c>
      <c r="AE484" s="232">
        <v>4.0</v>
      </c>
      <c r="AF484" s="232">
        <v>149.0</v>
      </c>
      <c r="AG484" s="232">
        <v>0.15</v>
      </c>
      <c r="AH484" s="233" t="s">
        <v>173</v>
      </c>
      <c r="AI484" s="229" t="s">
        <v>496</v>
      </c>
      <c r="AJ484" s="232">
        <v>0.01</v>
      </c>
      <c r="AK484" s="235" t="s">
        <v>135</v>
      </c>
      <c r="AL484" s="229" t="s">
        <v>136</v>
      </c>
      <c r="AM484" s="231" t="s">
        <v>137</v>
      </c>
      <c r="AN484" s="219" t="s">
        <v>138</v>
      </c>
      <c r="AO484" s="232">
        <v>97.0</v>
      </c>
      <c r="AP484" s="232">
        <v>32.76</v>
      </c>
      <c r="AQ484" s="229" t="s">
        <v>134</v>
      </c>
      <c r="AR484" s="229" t="s">
        <v>132</v>
      </c>
      <c r="AS484" s="232">
        <v>0.01</v>
      </c>
      <c r="AT484" s="235" t="s">
        <v>135</v>
      </c>
      <c r="AU484" s="235" t="s">
        <v>136</v>
      </c>
      <c r="AV484" s="237" t="s">
        <v>137</v>
      </c>
      <c r="AW484" s="237"/>
      <c r="AX484" s="237" t="s">
        <v>143</v>
      </c>
      <c r="AY484" s="61" t="str">
        <f>IFERROR(__xludf.DUMMYFUNCTION("vlookup(BB484,importrange(""https://docs.google.com/spreadsheets/d/1d2vevQ_7D_v35q4wCQ4RpQ_IPoTwEMB9Yp6ymwlPqew/edit?gid=984458430#gid=984458430"", ""'replication success'!A:K""), 11, FAlSE)"),"#N/A")</f>
        <v>#N/A</v>
      </c>
      <c r="AZ484" s="61" t="str">
        <f>IFERROR(__xludf.DUMMYFUNCTION("vlookup(BB484,importrange(""https://docs.google.com/spreadsheets/d/1d2vevQ_7D_v35q4wCQ4RpQ_IPoTwEMB9Yp6ymwlPqew/edit?gid=984458430#gid=984458430"", ""'replication success'!A:M""), 12, FAlSE)"),"#N/A")</f>
        <v>#N/A</v>
      </c>
      <c r="BA484" s="61" t="str">
        <f>IFERROR(__xludf.DUMMYFUNCTION("vlookup(BB484,importrange(""https://docs.google.com/spreadsheets/d/1d2vevQ_7D_v35q4wCQ4RpQ_IPoTwEMB9Yp6ymwlPqew/edit?gid=984458430#gid=984458430"", ""'replication success'!A:M""), 13, FAlSE)"),"#N/A")</f>
        <v>#N/A</v>
      </c>
      <c r="BB484" s="61" t="str">
        <f>IFERROR(__xludf.DUMMYFUNCTION("REGEXREPLACE(G484, ""_[a-z]{1,2}$"", """")"),"additional_studies62")</f>
        <v>additional_studies62</v>
      </c>
      <c r="BC484" s="129"/>
      <c r="BD484" s="228"/>
      <c r="BE484" s="226"/>
      <c r="BF484" s="226"/>
      <c r="BG484" s="226"/>
      <c r="BH484" s="226"/>
      <c r="BI484" s="226"/>
      <c r="BJ484" s="226"/>
      <c r="BK484" s="226"/>
      <c r="BL484" s="226"/>
      <c r="BM484" s="226"/>
      <c r="BN484" s="226"/>
      <c r="BO484" s="226"/>
      <c r="BP484" s="226"/>
      <c r="BQ484" s="226"/>
      <c r="BR484" s="226"/>
      <c r="BS484" s="226"/>
      <c r="BT484" s="226"/>
      <c r="BU484" s="226"/>
      <c r="BV484" s="226"/>
      <c r="BW484" s="226"/>
      <c r="BX484" s="226"/>
      <c r="BY484" s="226"/>
      <c r="BZ484" s="226"/>
      <c r="CA484" s="226"/>
      <c r="CB484" s="226"/>
      <c r="CC484" s="226"/>
      <c r="CD484" s="226"/>
      <c r="CE484" s="226"/>
      <c r="CF484" s="226"/>
      <c r="CG484" s="226"/>
      <c r="CH484" s="226"/>
      <c r="CI484" s="226"/>
      <c r="CJ484" s="226"/>
      <c r="CK484" s="226"/>
      <c r="CL484" s="226"/>
      <c r="CM484" s="226"/>
      <c r="CN484" s="226"/>
      <c r="CO484" s="226"/>
      <c r="CP484" s="226"/>
      <c r="CQ484" s="226"/>
      <c r="CR484" s="226"/>
      <c r="CS484" s="226"/>
      <c r="CT484" s="226"/>
      <c r="CU484" s="226"/>
      <c r="CV484" s="226"/>
      <c r="CW484" s="226"/>
      <c r="CX484" s="226"/>
      <c r="CY484" s="226"/>
      <c r="CZ484" s="226"/>
      <c r="DA484" s="226"/>
      <c r="DB484" s="226"/>
      <c r="DC484" s="226"/>
      <c r="DD484" s="226"/>
      <c r="DE484" s="226"/>
      <c r="DF484" s="226"/>
      <c r="DG484" s="226"/>
      <c r="DH484" s="226"/>
      <c r="DI484" s="226"/>
      <c r="DJ484" s="226"/>
      <c r="DK484" s="226"/>
      <c r="DL484" s="226"/>
    </row>
    <row r="485" ht="20.25" customHeight="1">
      <c r="A485" s="44">
        <v>485.0</v>
      </c>
      <c r="B485" s="124" t="s">
        <v>590</v>
      </c>
      <c r="C485" s="227" t="s">
        <v>115</v>
      </c>
      <c r="D485" s="227" t="s">
        <v>221</v>
      </c>
      <c r="E485" s="228"/>
      <c r="F485" s="237" t="s">
        <v>2631</v>
      </c>
      <c r="G485" s="229" t="s">
        <v>2659</v>
      </c>
      <c r="H485" s="231" t="s">
        <v>222</v>
      </c>
      <c r="I485" s="230">
        <v>45639.0</v>
      </c>
      <c r="J485" s="818">
        <v>45673.0</v>
      </c>
      <c r="K485" s="229" t="s">
        <v>2647</v>
      </c>
      <c r="L485" s="219" t="s">
        <v>2634</v>
      </c>
      <c r="M485" s="229" t="s">
        <v>2648</v>
      </c>
      <c r="N485" s="229" t="s">
        <v>2636</v>
      </c>
      <c r="O485" s="231"/>
      <c r="P485" s="233" t="s">
        <v>2637</v>
      </c>
      <c r="Q485" s="52" t="str">
        <f t="array" ref="Q485"> if(iserror(MATCH(V485, 'File Links'!C:C, 0)), "N/A", HYPERLINK(INDEX('File Links'!B:B, MATCH(P485, 'File Links'!C:C, 0))))</f>
        <v>https://drive.google.com/file/d/1qyGORRGdQy-kyOSM_2vtKP7-BEAhuKWX/view?usp=drivesdk</v>
      </c>
      <c r="R485" s="229" t="s">
        <v>2638</v>
      </c>
      <c r="S485" s="229" t="s">
        <v>2639</v>
      </c>
      <c r="T485" s="229"/>
      <c r="U485" s="695">
        <v>1.0</v>
      </c>
      <c r="V485" s="198" t="str">
        <f t="shared" si="25"/>
        <v>10.1016--j.appet.2023.106554.pdf</v>
      </c>
      <c r="W485" s="819" t="s">
        <v>164</v>
      </c>
      <c r="X485" s="54" t="str">
        <f t="array" ref="X485"> if(iserror(MATCH(V485, 'File Links'!C:C, 0)), "N/A", HYPERLINK(INDEX('File Links'!B:B, MATCH(V485, 'File Links'!C:C, 0))))</f>
        <v>https://drive.google.com/file/d/16j_GiBODVfACftG20Niq4aIRC_kU8qsZ/view?usp=drivesdk</v>
      </c>
      <c r="Y485" s="231"/>
      <c r="Z485" s="229" t="s">
        <v>226</v>
      </c>
      <c r="AA485" s="229" t="s">
        <v>2649</v>
      </c>
      <c r="AB485" s="229" t="s">
        <v>2650</v>
      </c>
      <c r="AC485" s="229" t="s">
        <v>2660</v>
      </c>
      <c r="AD485" s="229" t="s">
        <v>2661</v>
      </c>
      <c r="AE485" s="232">
        <v>4.0</v>
      </c>
      <c r="AF485" s="232">
        <v>316.0</v>
      </c>
      <c r="AG485" s="232">
        <v>-0.68</v>
      </c>
      <c r="AH485" s="233" t="s">
        <v>173</v>
      </c>
      <c r="AI485" s="229" t="s">
        <v>496</v>
      </c>
      <c r="AJ485" s="232">
        <v>0.01</v>
      </c>
      <c r="AK485" s="235" t="s">
        <v>135</v>
      </c>
      <c r="AL485" s="229" t="s">
        <v>136</v>
      </c>
      <c r="AM485" s="231" t="s">
        <v>137</v>
      </c>
      <c r="AN485" s="219" t="s">
        <v>138</v>
      </c>
      <c r="AO485" s="232">
        <v>148.0</v>
      </c>
      <c r="AP485" s="232">
        <v>2.35</v>
      </c>
      <c r="AQ485" s="229" t="s">
        <v>134</v>
      </c>
      <c r="AR485" s="229" t="s">
        <v>132</v>
      </c>
      <c r="AS485" s="232">
        <v>0.01</v>
      </c>
      <c r="AT485" s="235" t="s">
        <v>135</v>
      </c>
      <c r="AU485" s="235" t="s">
        <v>136</v>
      </c>
      <c r="AV485" s="237" t="s">
        <v>137</v>
      </c>
      <c r="AW485" s="237"/>
      <c r="AX485" s="237" t="s">
        <v>143</v>
      </c>
      <c r="AY485" s="61" t="str">
        <f>IFERROR(__xludf.DUMMYFUNCTION("vlookup(BB485,importrange(""https://docs.google.com/spreadsheets/d/1d2vevQ_7D_v35q4wCQ4RpQ_IPoTwEMB9Yp6ymwlPqew/edit?gid=984458430#gid=984458430"", ""'replication success'!A:K""), 11, FAlSE)"),"#N/A")</f>
        <v>#N/A</v>
      </c>
      <c r="AZ485" s="61" t="str">
        <f>IFERROR(__xludf.DUMMYFUNCTION("vlookup(BB485,importrange(""https://docs.google.com/spreadsheets/d/1d2vevQ_7D_v35q4wCQ4RpQ_IPoTwEMB9Yp6ymwlPqew/edit?gid=984458430#gid=984458430"", ""'replication success'!A:M""), 12, FAlSE)"),"#N/A")</f>
        <v>#N/A</v>
      </c>
      <c r="BA485" s="61" t="str">
        <f>IFERROR(__xludf.DUMMYFUNCTION("vlookup(BB485,importrange(""https://docs.google.com/spreadsheets/d/1d2vevQ_7D_v35q4wCQ4RpQ_IPoTwEMB9Yp6ymwlPqew/edit?gid=984458430#gid=984458430"", ""'replication success'!A:M""), 13, FAlSE)"),"#N/A")</f>
        <v>#N/A</v>
      </c>
      <c r="BB485" s="61" t="str">
        <f>IFERROR(__xludf.DUMMYFUNCTION("REGEXREPLACE(G485, ""_[a-z]{1,2}$"", """")"),"additional_studies62")</f>
        <v>additional_studies62</v>
      </c>
      <c r="BC485" s="129"/>
      <c r="BD485" s="228"/>
      <c r="BE485" s="226"/>
      <c r="BF485" s="226"/>
      <c r="BG485" s="226"/>
      <c r="BH485" s="226"/>
      <c r="BI485" s="226"/>
      <c r="BJ485" s="226"/>
      <c r="BK485" s="226"/>
      <c r="BL485" s="226"/>
      <c r="BM485" s="226"/>
      <c r="BN485" s="226"/>
      <c r="BO485" s="226"/>
      <c r="BP485" s="226"/>
      <c r="BQ485" s="226"/>
      <c r="BR485" s="226"/>
      <c r="BS485" s="226"/>
      <c r="BT485" s="226"/>
      <c r="BU485" s="226"/>
      <c r="BV485" s="226"/>
      <c r="BW485" s="226"/>
      <c r="BX485" s="226"/>
      <c r="BY485" s="226"/>
      <c r="BZ485" s="226"/>
      <c r="CA485" s="226"/>
      <c r="CB485" s="226"/>
      <c r="CC485" s="226"/>
      <c r="CD485" s="226"/>
      <c r="CE485" s="226"/>
      <c r="CF485" s="226"/>
      <c r="CG485" s="226"/>
      <c r="CH485" s="226"/>
      <c r="CI485" s="226"/>
      <c r="CJ485" s="226"/>
      <c r="CK485" s="226"/>
      <c r="CL485" s="226"/>
      <c r="CM485" s="226"/>
      <c r="CN485" s="226"/>
      <c r="CO485" s="226"/>
      <c r="CP485" s="226"/>
      <c r="CQ485" s="226"/>
      <c r="CR485" s="226"/>
      <c r="CS485" s="226"/>
      <c r="CT485" s="226"/>
      <c r="CU485" s="226"/>
      <c r="CV485" s="226"/>
      <c r="CW485" s="226"/>
      <c r="CX485" s="226"/>
      <c r="CY485" s="226"/>
      <c r="CZ485" s="226"/>
      <c r="DA485" s="226"/>
      <c r="DB485" s="226"/>
      <c r="DC485" s="226"/>
      <c r="DD485" s="226"/>
      <c r="DE485" s="226"/>
      <c r="DF485" s="226"/>
      <c r="DG485" s="226"/>
      <c r="DH485" s="226"/>
      <c r="DI485" s="226"/>
      <c r="DJ485" s="226"/>
      <c r="DK485" s="226"/>
      <c r="DL485" s="226"/>
    </row>
    <row r="486" ht="20.25" customHeight="1">
      <c r="A486" s="44">
        <v>486.0</v>
      </c>
      <c r="B486" s="62" t="s">
        <v>285</v>
      </c>
      <c r="C486" s="62" t="s">
        <v>115</v>
      </c>
      <c r="D486" s="62" t="s">
        <v>1458</v>
      </c>
      <c r="F486" s="485" t="s">
        <v>2631</v>
      </c>
      <c r="G486" s="486" t="s">
        <v>2632</v>
      </c>
      <c r="H486" s="485" t="s">
        <v>1518</v>
      </c>
      <c r="I486" s="487">
        <v>45472.0</v>
      </c>
      <c r="J486" s="487">
        <v>45685.0</v>
      </c>
      <c r="K486" s="485" t="s">
        <v>2662</v>
      </c>
      <c r="L486" s="489"/>
      <c r="M486" s="825" t="s">
        <v>2663</v>
      </c>
      <c r="N486" s="485" t="s">
        <v>2636</v>
      </c>
      <c r="O486" s="489"/>
      <c r="P486" s="485" t="s">
        <v>2637</v>
      </c>
      <c r="Q486" s="52" t="str">
        <f t="array" ref="Q486"> if(iserror(MATCH(V486, 'File Links'!C:C, 0)), "N/A", HYPERLINK(INDEX('File Links'!B:B, MATCH(P486, 'File Links'!C:C, 0))))</f>
        <v>https://drive.google.com/file/d/1qyGORRGdQy-kyOSM_2vtKP7-BEAhuKWX/view?usp=drivesdk</v>
      </c>
      <c r="R486" s="485" t="s">
        <v>2664</v>
      </c>
      <c r="S486" s="485" t="s">
        <v>2639</v>
      </c>
      <c r="T486" s="489"/>
      <c r="U486" s="489"/>
      <c r="V486" s="198" t="str">
        <f t="shared" si="25"/>
        <v>10.1016--j.appet.2023.106554.pdf</v>
      </c>
      <c r="W486" s="485" t="s">
        <v>209</v>
      </c>
      <c r="X486" s="54" t="str">
        <f t="array" ref="X486"> if(iserror(MATCH(V486, 'File Links'!C:C, 0)), "N/A", HYPERLINK(INDEX('File Links'!B:B, MATCH(V486, 'File Links'!C:C, 0))))</f>
        <v>https://drive.google.com/file/d/16j_GiBODVfACftG20Niq4aIRC_kU8qsZ/view?usp=drivesdk</v>
      </c>
      <c r="Y486" s="489"/>
      <c r="Z486" s="485" t="s">
        <v>226</v>
      </c>
      <c r="AA486" s="485" t="s">
        <v>2665</v>
      </c>
      <c r="AB486" s="485" t="s">
        <v>2641</v>
      </c>
      <c r="AC486" s="485" t="s">
        <v>2666</v>
      </c>
      <c r="AD486" s="349" t="s">
        <v>2667</v>
      </c>
      <c r="AE486" s="756">
        <v>4.0</v>
      </c>
      <c r="AF486" s="495">
        <v>1068.0</v>
      </c>
      <c r="AG486" s="349" t="s">
        <v>2668</v>
      </c>
      <c r="AH486" s="485" t="s">
        <v>134</v>
      </c>
      <c r="AI486" s="485" t="s">
        <v>496</v>
      </c>
      <c r="AJ486" s="494">
        <v>0.01</v>
      </c>
      <c r="AK486" s="486" t="s">
        <v>135</v>
      </c>
      <c r="AL486" s="486" t="s">
        <v>186</v>
      </c>
      <c r="AM486" s="489" t="s">
        <v>141</v>
      </c>
      <c r="AN486" s="219" t="s">
        <v>138</v>
      </c>
      <c r="AO486" s="495">
        <v>533.0</v>
      </c>
      <c r="AP486" s="488" t="s">
        <v>2669</v>
      </c>
      <c r="AQ486" s="485" t="s">
        <v>134</v>
      </c>
      <c r="AR486" s="485" t="s">
        <v>496</v>
      </c>
      <c r="AS486" s="495">
        <v>0.001</v>
      </c>
      <c r="AT486" s="485" t="s">
        <v>135</v>
      </c>
      <c r="AU486" s="485" t="s">
        <v>186</v>
      </c>
      <c r="AV486" s="489" t="s">
        <v>141</v>
      </c>
      <c r="AW486" s="489"/>
      <c r="AX486" s="489" t="s">
        <v>143</v>
      </c>
      <c r="AY486" s="61" t="str">
        <f>IFERROR(__xludf.DUMMYFUNCTION("vlookup(BB486,importrange(""https://docs.google.com/spreadsheets/d/1d2vevQ_7D_v35q4wCQ4RpQ_IPoTwEMB9Yp6ymwlPqew/edit?gid=984458430#gid=984458430"", ""'replication success'!A:K""), 11, FAlSE)"),"#N/A")</f>
        <v>#N/A</v>
      </c>
      <c r="AZ486" s="61" t="str">
        <f>IFERROR(__xludf.DUMMYFUNCTION("vlookup(BB486,importrange(""https://docs.google.com/spreadsheets/d/1d2vevQ_7D_v35q4wCQ4RpQ_IPoTwEMB9Yp6ymwlPqew/edit?gid=984458430#gid=984458430"", ""'replication success'!A:M""), 12, FAlSE)"),"#N/A")</f>
        <v>#N/A</v>
      </c>
      <c r="BA486" s="61" t="str">
        <f>IFERROR(__xludf.DUMMYFUNCTION("vlookup(BB486,importrange(""https://docs.google.com/spreadsheets/d/1d2vevQ_7D_v35q4wCQ4RpQ_IPoTwEMB9Yp6ymwlPqew/edit?gid=984458430#gid=984458430"", ""'replication success'!A:M""), 13, FAlSE)"),"#N/A")</f>
        <v>#N/A</v>
      </c>
      <c r="BB486" s="61" t="str">
        <f>IFERROR(__xludf.DUMMYFUNCTION("REGEXREPLACE(G486, ""_[a-z]{1,2}$"", """")"),"additional_studies62")</f>
        <v>additional_studies62</v>
      </c>
      <c r="BE486" s="226"/>
      <c r="BF486" s="226"/>
      <c r="BG486" s="226"/>
      <c r="BH486" s="226"/>
      <c r="BI486" s="226"/>
      <c r="BJ486" s="226"/>
      <c r="BK486" s="226"/>
      <c r="BL486" s="226"/>
      <c r="BM486" s="226"/>
      <c r="BN486" s="226"/>
      <c r="BO486" s="226"/>
      <c r="BP486" s="226"/>
      <c r="BQ486" s="226"/>
      <c r="BR486" s="226"/>
      <c r="BS486" s="226"/>
      <c r="BT486" s="226"/>
      <c r="BU486" s="226"/>
      <c r="BV486" s="226"/>
      <c r="BW486" s="226"/>
      <c r="BX486" s="226"/>
      <c r="BY486" s="226"/>
      <c r="BZ486" s="226"/>
      <c r="CA486" s="226"/>
      <c r="CB486" s="226"/>
      <c r="CC486" s="226"/>
      <c r="CD486" s="226"/>
      <c r="CE486" s="226"/>
      <c r="CF486" s="226"/>
      <c r="CG486" s="226"/>
      <c r="CH486" s="226"/>
      <c r="CI486" s="226"/>
      <c r="CJ486" s="226"/>
      <c r="CK486" s="226"/>
      <c r="CL486" s="226"/>
      <c r="CM486" s="226"/>
      <c r="CN486" s="226"/>
      <c r="CO486" s="226"/>
      <c r="CP486" s="226"/>
      <c r="CQ486" s="226"/>
      <c r="CR486" s="226"/>
      <c r="CS486" s="226"/>
      <c r="CT486" s="226"/>
      <c r="CU486" s="226"/>
      <c r="CV486" s="226"/>
      <c r="CW486" s="226"/>
      <c r="CX486" s="226"/>
      <c r="CY486" s="226"/>
      <c r="CZ486" s="226"/>
      <c r="DA486" s="226"/>
      <c r="DB486" s="226"/>
      <c r="DC486" s="226"/>
      <c r="DD486" s="226"/>
      <c r="DE486" s="226"/>
      <c r="DF486" s="226"/>
      <c r="DG486" s="226"/>
      <c r="DH486" s="226"/>
      <c r="DI486" s="226"/>
      <c r="DJ486" s="226"/>
      <c r="DK486" s="226"/>
      <c r="DL486" s="226"/>
    </row>
    <row r="487" ht="20.25" customHeight="1">
      <c r="A487" s="44">
        <v>487.0</v>
      </c>
      <c r="B487" s="62" t="s">
        <v>285</v>
      </c>
      <c r="C487" s="62" t="s">
        <v>115</v>
      </c>
      <c r="D487" s="62" t="s">
        <v>1458</v>
      </c>
      <c r="F487" s="485" t="s">
        <v>2631</v>
      </c>
      <c r="G487" s="486" t="s">
        <v>2653</v>
      </c>
      <c r="H487" s="485" t="s">
        <v>1518</v>
      </c>
      <c r="I487" s="826"/>
      <c r="J487" s="487">
        <v>45685.0</v>
      </c>
      <c r="K487" s="489"/>
      <c r="L487" s="489"/>
      <c r="M487" s="485" t="s">
        <v>2648</v>
      </c>
      <c r="N487" s="485" t="s">
        <v>2636</v>
      </c>
      <c r="O487" s="489"/>
      <c r="P487" s="485" t="s">
        <v>2637</v>
      </c>
      <c r="Q487" s="52" t="str">
        <f t="array" ref="Q487"> if(iserror(MATCH(V487, 'File Links'!C:C, 0)), "N/A", HYPERLINK(INDEX('File Links'!B:B, MATCH(P487, 'File Links'!C:C, 0))))</f>
        <v>https://drive.google.com/file/d/1qyGORRGdQy-kyOSM_2vtKP7-BEAhuKWX/view?usp=drivesdk</v>
      </c>
      <c r="R487" s="485" t="s">
        <v>2664</v>
      </c>
      <c r="S487" s="485" t="s">
        <v>2639</v>
      </c>
      <c r="T487" s="489"/>
      <c r="U487" s="489"/>
      <c r="V487" s="198" t="str">
        <f t="shared" si="25"/>
        <v>10.1016--j.appet.2023.106554.pdf</v>
      </c>
      <c r="W487" s="485" t="s">
        <v>209</v>
      </c>
      <c r="X487" s="54" t="str">
        <f t="array" ref="X487"> if(iserror(MATCH(V487, 'File Links'!C:C, 0)), "N/A", HYPERLINK(INDEX('File Links'!B:B, MATCH(V487, 'File Links'!C:C, 0))))</f>
        <v>https://drive.google.com/file/d/16j_GiBODVfACftG20Niq4aIRC_kU8qsZ/view?usp=drivesdk</v>
      </c>
      <c r="Y487" s="489"/>
      <c r="Z487" s="485" t="s">
        <v>226</v>
      </c>
      <c r="AA487" s="485" t="s">
        <v>2665</v>
      </c>
      <c r="AB487" s="485" t="s">
        <v>2641</v>
      </c>
      <c r="AC487" s="485" t="s">
        <v>2666</v>
      </c>
      <c r="AD487" s="349" t="s">
        <v>2670</v>
      </c>
      <c r="AE487" s="495">
        <v>4.0</v>
      </c>
      <c r="AF487" s="495">
        <v>1068.0</v>
      </c>
      <c r="AG487" s="349" t="s">
        <v>2671</v>
      </c>
      <c r="AH487" s="485" t="s">
        <v>134</v>
      </c>
      <c r="AI487" s="485" t="s">
        <v>496</v>
      </c>
      <c r="AJ487" s="494">
        <v>0.01</v>
      </c>
      <c r="AK487" s="486" t="s">
        <v>135</v>
      </c>
      <c r="AL487" s="486" t="s">
        <v>186</v>
      </c>
      <c r="AM487" s="489" t="s">
        <v>141</v>
      </c>
      <c r="AN487" s="219" t="s">
        <v>138</v>
      </c>
      <c r="AO487" s="495">
        <v>533.0</v>
      </c>
      <c r="AP487" s="349" t="s">
        <v>2672</v>
      </c>
      <c r="AQ487" s="485" t="s">
        <v>134</v>
      </c>
      <c r="AR487" s="485" t="s">
        <v>496</v>
      </c>
      <c r="AS487" s="495">
        <v>0.001</v>
      </c>
      <c r="AT487" s="485" t="s">
        <v>135</v>
      </c>
      <c r="AU487" s="485" t="s">
        <v>186</v>
      </c>
      <c r="AV487" s="489" t="s">
        <v>141</v>
      </c>
      <c r="AW487" s="489"/>
      <c r="AX487" s="489" t="s">
        <v>143</v>
      </c>
      <c r="AY487" s="61" t="str">
        <f>IFERROR(__xludf.DUMMYFUNCTION("vlookup(BB487,importrange(""https://docs.google.com/spreadsheets/d/1d2vevQ_7D_v35q4wCQ4RpQ_IPoTwEMB9Yp6ymwlPqew/edit?gid=984458430#gid=984458430"", ""'replication success'!A:K""), 11, FAlSE)"),"#N/A")</f>
        <v>#N/A</v>
      </c>
      <c r="AZ487" s="61" t="str">
        <f>IFERROR(__xludf.DUMMYFUNCTION("vlookup(BB487,importrange(""https://docs.google.com/spreadsheets/d/1d2vevQ_7D_v35q4wCQ4RpQ_IPoTwEMB9Yp6ymwlPqew/edit?gid=984458430#gid=984458430"", ""'replication success'!A:M""), 12, FAlSE)"),"#N/A")</f>
        <v>#N/A</v>
      </c>
      <c r="BA487" s="61" t="str">
        <f>IFERROR(__xludf.DUMMYFUNCTION("vlookup(BB487,importrange(""https://docs.google.com/spreadsheets/d/1d2vevQ_7D_v35q4wCQ4RpQ_IPoTwEMB9Yp6ymwlPqew/edit?gid=984458430#gid=984458430"", ""'replication success'!A:M""), 13, FAlSE)"),"#N/A")</f>
        <v>#N/A</v>
      </c>
      <c r="BB487" s="61" t="str">
        <f>IFERROR(__xludf.DUMMYFUNCTION("REGEXREPLACE(G487, ""_[a-z]{1,2}$"", """")"),"additional_studies62")</f>
        <v>additional_studies62</v>
      </c>
      <c r="BE487" s="226"/>
      <c r="BF487" s="226"/>
      <c r="BG487" s="226"/>
      <c r="BH487" s="226"/>
      <c r="BI487" s="226"/>
      <c r="BJ487" s="226"/>
      <c r="BK487" s="226"/>
      <c r="BL487" s="226"/>
      <c r="BM487" s="226"/>
      <c r="BN487" s="226"/>
      <c r="BO487" s="226"/>
      <c r="BP487" s="226"/>
      <c r="BQ487" s="226"/>
      <c r="BR487" s="226"/>
      <c r="BS487" s="226"/>
      <c r="BT487" s="226"/>
      <c r="BU487" s="226"/>
      <c r="BV487" s="226"/>
      <c r="BW487" s="226"/>
      <c r="BX487" s="226"/>
      <c r="BY487" s="226"/>
      <c r="BZ487" s="226"/>
      <c r="CA487" s="226"/>
      <c r="CB487" s="226"/>
      <c r="CC487" s="226"/>
      <c r="CD487" s="226"/>
      <c r="CE487" s="226"/>
      <c r="CF487" s="226"/>
      <c r="CG487" s="226"/>
      <c r="CH487" s="226"/>
      <c r="CI487" s="226"/>
      <c r="CJ487" s="226"/>
      <c r="CK487" s="226"/>
      <c r="CL487" s="226"/>
      <c r="CM487" s="226"/>
      <c r="CN487" s="226"/>
      <c r="CO487" s="226"/>
      <c r="CP487" s="226"/>
      <c r="CQ487" s="226"/>
      <c r="CR487" s="226"/>
      <c r="CS487" s="226"/>
      <c r="CT487" s="226"/>
      <c r="CU487" s="226"/>
      <c r="CV487" s="226"/>
      <c r="CW487" s="226"/>
      <c r="CX487" s="226"/>
      <c r="CY487" s="226"/>
      <c r="CZ487" s="226"/>
      <c r="DA487" s="226"/>
      <c r="DB487" s="226"/>
      <c r="DC487" s="226"/>
      <c r="DD487" s="226"/>
      <c r="DE487" s="226"/>
      <c r="DF487" s="226"/>
      <c r="DG487" s="226"/>
      <c r="DH487" s="226"/>
      <c r="DI487" s="226"/>
      <c r="DJ487" s="226"/>
      <c r="DK487" s="226"/>
      <c r="DL487" s="226"/>
    </row>
    <row r="488" ht="20.25" customHeight="1">
      <c r="A488" s="44">
        <v>488.0</v>
      </c>
      <c r="B488" s="62" t="s">
        <v>285</v>
      </c>
      <c r="C488" s="62" t="s">
        <v>115</v>
      </c>
      <c r="D488" s="62" t="s">
        <v>1458</v>
      </c>
      <c r="F488" s="485" t="s">
        <v>2631</v>
      </c>
      <c r="G488" s="486" t="s">
        <v>2656</v>
      </c>
      <c r="H488" s="485" t="s">
        <v>1518</v>
      </c>
      <c r="I488" s="826"/>
      <c r="J488" s="487">
        <v>45685.0</v>
      </c>
      <c r="K488" s="489"/>
      <c r="L488" s="489"/>
      <c r="M488" s="485" t="s">
        <v>2648</v>
      </c>
      <c r="N488" s="485" t="s">
        <v>2636</v>
      </c>
      <c r="O488" s="489"/>
      <c r="P488" s="485" t="s">
        <v>2637</v>
      </c>
      <c r="Q488" s="52" t="str">
        <f t="array" ref="Q488"> if(iserror(MATCH(V488, 'File Links'!C:C, 0)), "N/A", HYPERLINK(INDEX('File Links'!B:B, MATCH(P488, 'File Links'!C:C, 0))))</f>
        <v>https://drive.google.com/file/d/1qyGORRGdQy-kyOSM_2vtKP7-BEAhuKWX/view?usp=drivesdk</v>
      </c>
      <c r="R488" s="485" t="s">
        <v>2664</v>
      </c>
      <c r="S488" s="485" t="s">
        <v>2639</v>
      </c>
      <c r="T488" s="489"/>
      <c r="U488" s="489"/>
      <c r="V488" s="198" t="str">
        <f t="shared" si="25"/>
        <v>10.1016--j.appet.2023.106554.pdf</v>
      </c>
      <c r="W488" s="485" t="s">
        <v>209</v>
      </c>
      <c r="X488" s="54" t="str">
        <f t="array" ref="X488"> if(iserror(MATCH(V488, 'File Links'!C:C, 0)), "N/A", HYPERLINK(INDEX('File Links'!B:B, MATCH(V488, 'File Links'!C:C, 0))))</f>
        <v>https://drive.google.com/file/d/16j_GiBODVfACftG20Niq4aIRC_kU8qsZ/view?usp=drivesdk</v>
      </c>
      <c r="Y488" s="489"/>
      <c r="Z488" s="485" t="s">
        <v>226</v>
      </c>
      <c r="AA488" s="485" t="s">
        <v>2665</v>
      </c>
      <c r="AB488" s="485" t="s">
        <v>2641</v>
      </c>
      <c r="AC488" s="485" t="s">
        <v>2666</v>
      </c>
      <c r="AD488" s="349" t="s">
        <v>2673</v>
      </c>
      <c r="AE488" s="495">
        <v>4.0</v>
      </c>
      <c r="AF488" s="495">
        <v>1068.0</v>
      </c>
      <c r="AG488" s="349" t="s">
        <v>2674</v>
      </c>
      <c r="AH488" s="485" t="s">
        <v>134</v>
      </c>
      <c r="AI488" s="485" t="s">
        <v>496</v>
      </c>
      <c r="AJ488" s="494">
        <v>0.01</v>
      </c>
      <c r="AK488" s="486" t="s">
        <v>135</v>
      </c>
      <c r="AL488" s="486" t="s">
        <v>186</v>
      </c>
      <c r="AM488" s="489" t="s">
        <v>141</v>
      </c>
      <c r="AN488" s="219" t="s">
        <v>138</v>
      </c>
      <c r="AO488" s="495">
        <v>533.0</v>
      </c>
      <c r="AP488" s="488" t="s">
        <v>2675</v>
      </c>
      <c r="AQ488" s="485" t="s">
        <v>134</v>
      </c>
      <c r="AR488" s="485" t="s">
        <v>496</v>
      </c>
      <c r="AS488" s="495">
        <v>0.001</v>
      </c>
      <c r="AT488" s="485" t="s">
        <v>135</v>
      </c>
      <c r="AU488" s="485" t="s">
        <v>186</v>
      </c>
      <c r="AV488" s="489" t="s">
        <v>141</v>
      </c>
      <c r="AW488" s="489"/>
      <c r="AX488" s="489" t="s">
        <v>143</v>
      </c>
      <c r="AY488" s="61" t="str">
        <f>IFERROR(__xludf.DUMMYFUNCTION("vlookup(BB488,importrange(""https://docs.google.com/spreadsheets/d/1d2vevQ_7D_v35q4wCQ4RpQ_IPoTwEMB9Yp6ymwlPqew/edit?gid=984458430#gid=984458430"", ""'replication success'!A:K""), 11, FAlSE)"),"#N/A")</f>
        <v>#N/A</v>
      </c>
      <c r="AZ488" s="61" t="str">
        <f>IFERROR(__xludf.DUMMYFUNCTION("vlookup(BB488,importrange(""https://docs.google.com/spreadsheets/d/1d2vevQ_7D_v35q4wCQ4RpQ_IPoTwEMB9Yp6ymwlPqew/edit?gid=984458430#gid=984458430"", ""'replication success'!A:M""), 12, FAlSE)"),"#N/A")</f>
        <v>#N/A</v>
      </c>
      <c r="BA488" s="61" t="str">
        <f>IFERROR(__xludf.DUMMYFUNCTION("vlookup(BB488,importrange(""https://docs.google.com/spreadsheets/d/1d2vevQ_7D_v35q4wCQ4RpQ_IPoTwEMB9Yp6ymwlPqew/edit?gid=984458430#gid=984458430"", ""'replication success'!A:M""), 13, FAlSE)"),"#N/A")</f>
        <v>#N/A</v>
      </c>
      <c r="BB488" s="61" t="str">
        <f>IFERROR(__xludf.DUMMYFUNCTION("REGEXREPLACE(G488, ""_[a-z]{1,2}$"", """")"),"additional_studies62")</f>
        <v>additional_studies62</v>
      </c>
      <c r="BE488" s="226"/>
      <c r="BF488" s="226"/>
      <c r="BG488" s="226"/>
      <c r="BH488" s="226"/>
      <c r="BI488" s="226"/>
      <c r="BJ488" s="226"/>
      <c r="BK488" s="226"/>
      <c r="BL488" s="226"/>
      <c r="BM488" s="226"/>
      <c r="BN488" s="226"/>
      <c r="BO488" s="226"/>
      <c r="BP488" s="226"/>
      <c r="BQ488" s="226"/>
      <c r="BR488" s="226"/>
      <c r="BS488" s="226"/>
      <c r="BT488" s="226"/>
      <c r="BU488" s="226"/>
      <c r="BV488" s="226"/>
      <c r="BW488" s="226"/>
      <c r="BX488" s="226"/>
      <c r="BY488" s="226"/>
      <c r="BZ488" s="226"/>
      <c r="CA488" s="226"/>
      <c r="CB488" s="226"/>
      <c r="CC488" s="226"/>
      <c r="CD488" s="226"/>
      <c r="CE488" s="226"/>
      <c r="CF488" s="226"/>
      <c r="CG488" s="226"/>
      <c r="CH488" s="226"/>
      <c r="CI488" s="226"/>
      <c r="CJ488" s="226"/>
      <c r="CK488" s="226"/>
      <c r="CL488" s="226"/>
      <c r="CM488" s="226"/>
      <c r="CN488" s="226"/>
      <c r="CO488" s="226"/>
      <c r="CP488" s="226"/>
      <c r="CQ488" s="226"/>
      <c r="CR488" s="226"/>
      <c r="CS488" s="226"/>
      <c r="CT488" s="226"/>
      <c r="CU488" s="226"/>
      <c r="CV488" s="226"/>
      <c r="CW488" s="226"/>
      <c r="CX488" s="226"/>
      <c r="CY488" s="226"/>
      <c r="CZ488" s="226"/>
      <c r="DA488" s="226"/>
      <c r="DB488" s="226"/>
      <c r="DC488" s="226"/>
      <c r="DD488" s="226"/>
      <c r="DE488" s="226"/>
      <c r="DF488" s="226"/>
      <c r="DG488" s="226"/>
      <c r="DH488" s="226"/>
      <c r="DI488" s="226"/>
      <c r="DJ488" s="226"/>
      <c r="DK488" s="226"/>
      <c r="DL488" s="226"/>
    </row>
    <row r="489" ht="20.25" customHeight="1">
      <c r="A489" s="44">
        <v>489.0</v>
      </c>
      <c r="B489" s="62" t="s">
        <v>285</v>
      </c>
      <c r="C489" s="62" t="s">
        <v>115</v>
      </c>
      <c r="D489" s="62" t="s">
        <v>1458</v>
      </c>
      <c r="F489" s="485" t="s">
        <v>2631</v>
      </c>
      <c r="G489" s="486" t="s">
        <v>2659</v>
      </c>
      <c r="H489" s="485" t="s">
        <v>1518</v>
      </c>
      <c r="I489" s="826"/>
      <c r="J489" s="487">
        <v>45685.0</v>
      </c>
      <c r="K489" s="485" t="s">
        <v>2676</v>
      </c>
      <c r="L489" s="489"/>
      <c r="M489" s="485" t="s">
        <v>2648</v>
      </c>
      <c r="N489" s="485" t="s">
        <v>2636</v>
      </c>
      <c r="O489" s="489"/>
      <c r="P489" s="485" t="s">
        <v>2637</v>
      </c>
      <c r="Q489" s="52" t="str">
        <f t="array" ref="Q489"> if(iserror(MATCH(V489, 'File Links'!C:C, 0)), "N/A", HYPERLINK(INDEX('File Links'!B:B, MATCH(P489, 'File Links'!C:C, 0))))</f>
        <v>https://drive.google.com/file/d/1qyGORRGdQy-kyOSM_2vtKP7-BEAhuKWX/view?usp=drivesdk</v>
      </c>
      <c r="R489" s="485" t="s">
        <v>2664</v>
      </c>
      <c r="S489" s="485" t="s">
        <v>2639</v>
      </c>
      <c r="T489" s="489"/>
      <c r="U489" s="489"/>
      <c r="V489" s="198" t="str">
        <f t="shared" si="25"/>
        <v>10.1016--j.appet.2023.106554.pdf</v>
      </c>
      <c r="W489" s="485" t="s">
        <v>209</v>
      </c>
      <c r="X489" s="54" t="str">
        <f t="array" ref="X489"> if(iserror(MATCH(V489, 'File Links'!C:C, 0)), "N/A", HYPERLINK(INDEX('File Links'!B:B, MATCH(V489, 'File Links'!C:C, 0))))</f>
        <v>https://drive.google.com/file/d/16j_GiBODVfACftG20Niq4aIRC_kU8qsZ/view?usp=drivesdk</v>
      </c>
      <c r="Y489" s="489"/>
      <c r="Z489" s="485" t="s">
        <v>226</v>
      </c>
      <c r="AA489" s="485" t="s">
        <v>2665</v>
      </c>
      <c r="AB489" s="485" t="s">
        <v>2641</v>
      </c>
      <c r="AC489" s="485" t="s">
        <v>2666</v>
      </c>
      <c r="AD489" s="489"/>
      <c r="AE489" s="489"/>
      <c r="AF489" s="489"/>
      <c r="AG489" s="489"/>
      <c r="AH489" s="489"/>
      <c r="AI489" s="489"/>
      <c r="AJ489" s="788"/>
      <c r="AK489" s="789"/>
      <c r="AL489" s="789"/>
      <c r="AM489" s="489"/>
      <c r="AN489" s="219" t="s">
        <v>138</v>
      </c>
      <c r="AO489" s="495">
        <v>533.0</v>
      </c>
      <c r="AP489" s="488" t="s">
        <v>2677</v>
      </c>
      <c r="AQ489" s="485" t="s">
        <v>134</v>
      </c>
      <c r="AR489" s="485" t="s">
        <v>882</v>
      </c>
      <c r="AS489" s="495">
        <v>0.001</v>
      </c>
      <c r="AT489" s="485" t="s">
        <v>135</v>
      </c>
      <c r="AU489" s="485" t="s">
        <v>186</v>
      </c>
      <c r="AV489" s="489" t="s">
        <v>141</v>
      </c>
      <c r="AW489" s="489"/>
      <c r="AX489" s="489" t="s">
        <v>151</v>
      </c>
      <c r="AY489" s="61" t="str">
        <f>IFERROR(__xludf.DUMMYFUNCTION("vlookup(BB489,importrange(""https://docs.google.com/spreadsheets/d/1d2vevQ_7D_v35q4wCQ4RpQ_IPoTwEMB9Yp6ymwlPqew/edit?gid=984458430#gid=984458430"", ""'replication success'!A:K""), 11, FAlSE)"),"#N/A")</f>
        <v>#N/A</v>
      </c>
      <c r="AZ489" s="61" t="str">
        <f>IFERROR(__xludf.DUMMYFUNCTION("vlookup(BB489,importrange(""https://docs.google.com/spreadsheets/d/1d2vevQ_7D_v35q4wCQ4RpQ_IPoTwEMB9Yp6ymwlPqew/edit?gid=984458430#gid=984458430"", ""'replication success'!A:M""), 12, FAlSE)"),"#N/A")</f>
        <v>#N/A</v>
      </c>
      <c r="BA489" s="61" t="str">
        <f>IFERROR(__xludf.DUMMYFUNCTION("vlookup(BB489,importrange(""https://docs.google.com/spreadsheets/d/1d2vevQ_7D_v35q4wCQ4RpQ_IPoTwEMB9Yp6ymwlPqew/edit?gid=984458430#gid=984458430"", ""'replication success'!A:M""), 13, FAlSE)"),"#N/A")</f>
        <v>#N/A</v>
      </c>
      <c r="BB489" s="61" t="str">
        <f>IFERROR(__xludf.DUMMYFUNCTION("REGEXREPLACE(G489, ""_[a-z]{1,2}$"", """")"),"additional_studies62")</f>
        <v>additional_studies62</v>
      </c>
      <c r="BE489" s="226"/>
      <c r="BF489" s="226"/>
      <c r="BG489" s="226"/>
      <c r="BH489" s="226"/>
      <c r="BI489" s="226"/>
      <c r="BJ489" s="226"/>
      <c r="BK489" s="226"/>
      <c r="BL489" s="226"/>
      <c r="BM489" s="226"/>
      <c r="BN489" s="226"/>
      <c r="BO489" s="226"/>
      <c r="BP489" s="226"/>
      <c r="BQ489" s="226"/>
      <c r="BR489" s="226"/>
      <c r="BS489" s="226"/>
      <c r="BT489" s="226"/>
      <c r="BU489" s="226"/>
      <c r="BV489" s="226"/>
      <c r="BW489" s="226"/>
      <c r="BX489" s="226"/>
      <c r="BY489" s="226"/>
      <c r="BZ489" s="226"/>
      <c r="CA489" s="226"/>
      <c r="CB489" s="226"/>
      <c r="CC489" s="226"/>
      <c r="CD489" s="226"/>
      <c r="CE489" s="226"/>
      <c r="CF489" s="226"/>
      <c r="CG489" s="226"/>
      <c r="CH489" s="226"/>
      <c r="CI489" s="226"/>
      <c r="CJ489" s="226"/>
      <c r="CK489" s="226"/>
      <c r="CL489" s="226"/>
      <c r="CM489" s="226"/>
      <c r="CN489" s="226"/>
      <c r="CO489" s="226"/>
      <c r="CP489" s="226"/>
      <c r="CQ489" s="226"/>
      <c r="CR489" s="226"/>
      <c r="CS489" s="226"/>
      <c r="CT489" s="226"/>
      <c r="CU489" s="226"/>
      <c r="CV489" s="226"/>
      <c r="CW489" s="226"/>
      <c r="CX489" s="226"/>
      <c r="CY489" s="226"/>
      <c r="CZ489" s="226"/>
      <c r="DA489" s="226"/>
      <c r="DB489" s="226"/>
      <c r="DC489" s="226"/>
      <c r="DD489" s="226"/>
      <c r="DE489" s="226"/>
      <c r="DF489" s="226"/>
      <c r="DG489" s="226"/>
      <c r="DH489" s="226"/>
      <c r="DI489" s="226"/>
      <c r="DJ489" s="226"/>
      <c r="DK489" s="226"/>
      <c r="DL489" s="226"/>
    </row>
    <row r="490" ht="20.25" customHeight="1">
      <c r="A490" s="44">
        <v>490.0</v>
      </c>
      <c r="B490" s="62" t="s">
        <v>285</v>
      </c>
      <c r="C490" s="62" t="s">
        <v>115</v>
      </c>
      <c r="D490" s="62" t="s">
        <v>1458</v>
      </c>
      <c r="F490" s="485" t="s">
        <v>2631</v>
      </c>
      <c r="G490" s="486" t="s">
        <v>2678</v>
      </c>
      <c r="H490" s="485" t="s">
        <v>1518</v>
      </c>
      <c r="I490" s="826"/>
      <c r="J490" s="487">
        <v>45685.0</v>
      </c>
      <c r="K490" s="485" t="s">
        <v>2679</v>
      </c>
      <c r="L490" s="489"/>
      <c r="M490" s="485" t="s">
        <v>2648</v>
      </c>
      <c r="N490" s="485" t="s">
        <v>2636</v>
      </c>
      <c r="O490" s="489"/>
      <c r="P490" s="485" t="s">
        <v>2637</v>
      </c>
      <c r="Q490" s="52" t="str">
        <f t="array" ref="Q490"> if(iserror(MATCH(V490, 'File Links'!C:C, 0)), "N/A", HYPERLINK(INDEX('File Links'!B:B, MATCH(P490, 'File Links'!C:C, 0))))</f>
        <v>https://drive.google.com/file/d/1qyGORRGdQy-kyOSM_2vtKP7-BEAhuKWX/view?usp=drivesdk</v>
      </c>
      <c r="R490" s="485" t="s">
        <v>2664</v>
      </c>
      <c r="S490" s="485" t="s">
        <v>2639</v>
      </c>
      <c r="T490" s="489"/>
      <c r="U490" s="489"/>
      <c r="V490" s="198" t="str">
        <f t="shared" si="25"/>
        <v>10.1016--j.appet.2023.106554.pdf</v>
      </c>
      <c r="W490" s="485" t="s">
        <v>209</v>
      </c>
      <c r="X490" s="54" t="str">
        <f t="array" ref="X490"> if(iserror(MATCH(V490, 'File Links'!C:C, 0)), "N/A", HYPERLINK(INDEX('File Links'!B:B, MATCH(V490, 'File Links'!C:C, 0))))</f>
        <v>https://drive.google.com/file/d/16j_GiBODVfACftG20Niq4aIRC_kU8qsZ/view?usp=drivesdk</v>
      </c>
      <c r="Y490" s="489"/>
      <c r="Z490" s="485" t="s">
        <v>226</v>
      </c>
      <c r="AA490" s="485" t="s">
        <v>2665</v>
      </c>
      <c r="AB490" s="485" t="s">
        <v>2641</v>
      </c>
      <c r="AC490" s="485" t="s">
        <v>2666</v>
      </c>
      <c r="AD490" s="489"/>
      <c r="AE490" s="489"/>
      <c r="AF490" s="489"/>
      <c r="AG490" s="489"/>
      <c r="AH490" s="489"/>
      <c r="AI490" s="489"/>
      <c r="AJ490" s="788"/>
      <c r="AK490" s="789"/>
      <c r="AL490" s="789"/>
      <c r="AM490" s="489"/>
      <c r="AN490" s="219" t="s">
        <v>138</v>
      </c>
      <c r="AO490" s="495">
        <v>533.0</v>
      </c>
      <c r="AP490" s="488" t="s">
        <v>2680</v>
      </c>
      <c r="AQ490" s="485" t="s">
        <v>134</v>
      </c>
      <c r="AR490" s="485" t="s">
        <v>882</v>
      </c>
      <c r="AS490" s="495">
        <v>0.01</v>
      </c>
      <c r="AT490" s="485" t="s">
        <v>135</v>
      </c>
      <c r="AU490" s="485" t="s">
        <v>186</v>
      </c>
      <c r="AV490" s="489" t="s">
        <v>141</v>
      </c>
      <c r="AW490" s="489"/>
      <c r="AX490" s="489" t="s">
        <v>151</v>
      </c>
      <c r="AY490" s="61" t="str">
        <f>IFERROR(__xludf.DUMMYFUNCTION("vlookup(BB490,importrange(""https://docs.google.com/spreadsheets/d/1d2vevQ_7D_v35q4wCQ4RpQ_IPoTwEMB9Yp6ymwlPqew/edit?gid=984458430#gid=984458430"", ""'replication success'!A:K""), 11, FAlSE)"),"#N/A")</f>
        <v>#N/A</v>
      </c>
      <c r="AZ490" s="61" t="str">
        <f>IFERROR(__xludf.DUMMYFUNCTION("vlookup(BB490,importrange(""https://docs.google.com/spreadsheets/d/1d2vevQ_7D_v35q4wCQ4RpQ_IPoTwEMB9Yp6ymwlPqew/edit?gid=984458430#gid=984458430"", ""'replication success'!A:M""), 12, FAlSE)"),"#N/A")</f>
        <v>#N/A</v>
      </c>
      <c r="BA490" s="61" t="str">
        <f>IFERROR(__xludf.DUMMYFUNCTION("vlookup(BB490,importrange(""https://docs.google.com/spreadsheets/d/1d2vevQ_7D_v35q4wCQ4RpQ_IPoTwEMB9Yp6ymwlPqew/edit?gid=984458430#gid=984458430"", ""'replication success'!A:M""), 13, FAlSE)"),"#N/A")</f>
        <v>#N/A</v>
      </c>
      <c r="BB490" s="61" t="str">
        <f>IFERROR(__xludf.DUMMYFUNCTION("REGEXREPLACE(G490, ""_[a-z]{1,2}$"", """")"),"additional_studies62")</f>
        <v>additional_studies62</v>
      </c>
      <c r="BE490" s="226"/>
      <c r="BF490" s="226"/>
      <c r="BG490" s="226"/>
      <c r="BH490" s="226"/>
      <c r="BI490" s="226"/>
      <c r="BJ490" s="226"/>
      <c r="BK490" s="226"/>
      <c r="BL490" s="226"/>
      <c r="BM490" s="226"/>
      <c r="BN490" s="226"/>
      <c r="BO490" s="226"/>
      <c r="BP490" s="226"/>
      <c r="BQ490" s="226"/>
      <c r="BR490" s="226"/>
      <c r="BS490" s="226"/>
      <c r="BT490" s="226"/>
      <c r="BU490" s="226"/>
      <c r="BV490" s="226"/>
      <c r="BW490" s="226"/>
      <c r="BX490" s="226"/>
      <c r="BY490" s="226"/>
      <c r="BZ490" s="226"/>
      <c r="CA490" s="226"/>
      <c r="CB490" s="226"/>
      <c r="CC490" s="226"/>
      <c r="CD490" s="226"/>
      <c r="CE490" s="226"/>
      <c r="CF490" s="226"/>
      <c r="CG490" s="226"/>
      <c r="CH490" s="226"/>
      <c r="CI490" s="226"/>
      <c r="CJ490" s="226"/>
      <c r="CK490" s="226"/>
      <c r="CL490" s="226"/>
      <c r="CM490" s="226"/>
      <c r="CN490" s="226"/>
      <c r="CO490" s="226"/>
      <c r="CP490" s="226"/>
      <c r="CQ490" s="226"/>
      <c r="CR490" s="226"/>
      <c r="CS490" s="226"/>
      <c r="CT490" s="226"/>
      <c r="CU490" s="226"/>
      <c r="CV490" s="226"/>
      <c r="CW490" s="226"/>
      <c r="CX490" s="226"/>
      <c r="CY490" s="226"/>
      <c r="CZ490" s="226"/>
      <c r="DA490" s="226"/>
      <c r="DB490" s="226"/>
      <c r="DC490" s="226"/>
      <c r="DD490" s="226"/>
      <c r="DE490" s="226"/>
      <c r="DF490" s="226"/>
      <c r="DG490" s="226"/>
      <c r="DH490" s="226"/>
      <c r="DI490" s="226"/>
      <c r="DJ490" s="226"/>
      <c r="DK490" s="226"/>
      <c r="DL490" s="226"/>
    </row>
    <row r="491" ht="20.25" customHeight="1">
      <c r="A491" s="44">
        <v>491.0</v>
      </c>
      <c r="B491" s="62" t="s">
        <v>285</v>
      </c>
      <c r="C491" s="62" t="s">
        <v>115</v>
      </c>
      <c r="D491" s="62" t="s">
        <v>1458</v>
      </c>
      <c r="F491" s="485" t="s">
        <v>2631</v>
      </c>
      <c r="G491" s="486" t="s">
        <v>2681</v>
      </c>
      <c r="H491" s="485" t="s">
        <v>1518</v>
      </c>
      <c r="I491" s="826"/>
      <c r="J491" s="487">
        <v>45685.0</v>
      </c>
      <c r="K491" s="485" t="s">
        <v>2682</v>
      </c>
      <c r="L491" s="489"/>
      <c r="M491" s="485" t="s">
        <v>2648</v>
      </c>
      <c r="N491" s="485" t="s">
        <v>2636</v>
      </c>
      <c r="O491" s="489"/>
      <c r="P491" s="485" t="s">
        <v>2637</v>
      </c>
      <c r="Q491" s="52" t="str">
        <f t="array" ref="Q491"> if(iserror(MATCH(V491, 'File Links'!C:C, 0)), "N/A", HYPERLINK(INDEX('File Links'!B:B, MATCH(P491, 'File Links'!C:C, 0))))</f>
        <v>https://drive.google.com/file/d/1qyGORRGdQy-kyOSM_2vtKP7-BEAhuKWX/view?usp=drivesdk</v>
      </c>
      <c r="R491" s="485" t="s">
        <v>2664</v>
      </c>
      <c r="S491" s="485" t="s">
        <v>2639</v>
      </c>
      <c r="T491" s="489"/>
      <c r="U491" s="489"/>
      <c r="V491" s="198" t="str">
        <f t="shared" si="25"/>
        <v>10.1016--j.appet.2023.106554.pdf</v>
      </c>
      <c r="W491" s="485" t="s">
        <v>209</v>
      </c>
      <c r="X491" s="54" t="str">
        <f t="array" ref="X491"> if(iserror(MATCH(V491, 'File Links'!C:C, 0)), "N/A", HYPERLINK(INDEX('File Links'!B:B, MATCH(V491, 'File Links'!C:C, 0))))</f>
        <v>https://drive.google.com/file/d/16j_GiBODVfACftG20Niq4aIRC_kU8qsZ/view?usp=drivesdk</v>
      </c>
      <c r="Y491" s="489"/>
      <c r="Z491" s="485" t="s">
        <v>226</v>
      </c>
      <c r="AA491" s="485" t="s">
        <v>2665</v>
      </c>
      <c r="AB491" s="485" t="s">
        <v>2641</v>
      </c>
      <c r="AC491" s="485" t="s">
        <v>2666</v>
      </c>
      <c r="AD491" s="489"/>
      <c r="AE491" s="489"/>
      <c r="AF491" s="489"/>
      <c r="AG491" s="489"/>
      <c r="AH491" s="489"/>
      <c r="AI491" s="489"/>
      <c r="AJ491" s="788"/>
      <c r="AK491" s="789"/>
      <c r="AL491" s="789"/>
      <c r="AM491" s="489"/>
      <c r="AN491" s="219" t="s">
        <v>138</v>
      </c>
      <c r="AO491" s="495">
        <v>533.0</v>
      </c>
      <c r="AP491" s="488" t="s">
        <v>2683</v>
      </c>
      <c r="AQ491" s="485" t="s">
        <v>134</v>
      </c>
      <c r="AR491" s="485" t="s">
        <v>882</v>
      </c>
      <c r="AS491" s="495">
        <v>0.001</v>
      </c>
      <c r="AT491" s="485" t="s">
        <v>135</v>
      </c>
      <c r="AU491" s="485" t="s">
        <v>186</v>
      </c>
      <c r="AV491" s="489" t="s">
        <v>141</v>
      </c>
      <c r="AW491" s="489"/>
      <c r="AX491" s="489" t="s">
        <v>151</v>
      </c>
      <c r="AY491" s="61" t="str">
        <f>IFERROR(__xludf.DUMMYFUNCTION("vlookup(BB491,importrange(""https://docs.google.com/spreadsheets/d/1d2vevQ_7D_v35q4wCQ4RpQ_IPoTwEMB9Yp6ymwlPqew/edit?gid=984458430#gid=984458430"", ""'replication success'!A:K""), 11, FAlSE)"),"#N/A")</f>
        <v>#N/A</v>
      </c>
      <c r="AZ491" s="61" t="str">
        <f>IFERROR(__xludf.DUMMYFUNCTION("vlookup(BB491,importrange(""https://docs.google.com/spreadsheets/d/1d2vevQ_7D_v35q4wCQ4RpQ_IPoTwEMB9Yp6ymwlPqew/edit?gid=984458430#gid=984458430"", ""'replication success'!A:M""), 12, FAlSE)"),"#N/A")</f>
        <v>#N/A</v>
      </c>
      <c r="BA491" s="61" t="str">
        <f>IFERROR(__xludf.DUMMYFUNCTION("vlookup(BB491,importrange(""https://docs.google.com/spreadsheets/d/1d2vevQ_7D_v35q4wCQ4RpQ_IPoTwEMB9Yp6ymwlPqew/edit?gid=984458430#gid=984458430"", ""'replication success'!A:M""), 13, FAlSE)"),"#N/A")</f>
        <v>#N/A</v>
      </c>
      <c r="BB491" s="61" t="str">
        <f>IFERROR(__xludf.DUMMYFUNCTION("REGEXREPLACE(G491, ""_[a-z]{1,2}$"", """")"),"additional_studies62")</f>
        <v>additional_studies62</v>
      </c>
      <c r="BE491" s="484"/>
      <c r="BF491" s="484"/>
      <c r="BG491" s="484"/>
      <c r="BH491" s="484"/>
      <c r="BI491" s="484"/>
      <c r="BJ491" s="484"/>
      <c r="BK491" s="484"/>
      <c r="BL491" s="484"/>
      <c r="BM491" s="484"/>
      <c r="BN491" s="484"/>
      <c r="BO491" s="484"/>
      <c r="BP491" s="484"/>
      <c r="BQ491" s="484"/>
      <c r="BR491" s="484"/>
      <c r="BS491" s="484"/>
      <c r="BT491" s="484"/>
      <c r="BU491" s="484"/>
      <c r="BV491" s="484"/>
      <c r="BW491" s="484"/>
      <c r="BX491" s="484"/>
      <c r="BY491" s="484"/>
      <c r="BZ491" s="484"/>
      <c r="CA491" s="484"/>
      <c r="CB491" s="484"/>
      <c r="CC491" s="484"/>
      <c r="CD491" s="484"/>
      <c r="CE491" s="484"/>
      <c r="CF491" s="484"/>
      <c r="CG491" s="484"/>
      <c r="CH491" s="484"/>
      <c r="CI491" s="484"/>
      <c r="CJ491" s="484"/>
      <c r="CK491" s="484"/>
      <c r="CL491" s="484"/>
      <c r="CM491" s="484"/>
      <c r="CN491" s="484"/>
      <c r="CO491" s="484"/>
      <c r="CP491" s="484"/>
      <c r="CQ491" s="484"/>
      <c r="CR491" s="484"/>
      <c r="CS491" s="484"/>
      <c r="CT491" s="484"/>
      <c r="CU491" s="484"/>
      <c r="CV491" s="484"/>
      <c r="CW491" s="484"/>
      <c r="CX491" s="484"/>
      <c r="CY491" s="484"/>
      <c r="CZ491" s="484"/>
      <c r="DA491" s="484"/>
      <c r="DB491" s="484"/>
      <c r="DC491" s="484"/>
      <c r="DD491" s="484"/>
      <c r="DE491" s="484"/>
      <c r="DF491" s="484"/>
      <c r="DG491" s="484"/>
      <c r="DH491" s="484"/>
      <c r="DI491" s="484"/>
      <c r="DJ491" s="484"/>
      <c r="DK491" s="484"/>
      <c r="DL491" s="484"/>
    </row>
    <row r="492" ht="20.25" customHeight="1">
      <c r="A492" s="44">
        <v>492.0</v>
      </c>
      <c r="B492" s="124" t="s">
        <v>590</v>
      </c>
      <c r="C492" s="62" t="s">
        <v>115</v>
      </c>
      <c r="D492" s="62" t="s">
        <v>2630</v>
      </c>
      <c r="F492" s="159" t="s">
        <v>2684</v>
      </c>
      <c r="G492" s="57" t="s">
        <v>2685</v>
      </c>
      <c r="H492" s="159" t="s">
        <v>2633</v>
      </c>
      <c r="I492" s="152">
        <v>45472.0</v>
      </c>
      <c r="J492" s="434">
        <v>45654.0</v>
      </c>
      <c r="K492" s="68"/>
      <c r="L492" s="219" t="s">
        <v>2634</v>
      </c>
      <c r="M492" s="159" t="s">
        <v>2635</v>
      </c>
      <c r="N492" s="437" t="s">
        <v>2636</v>
      </c>
      <c r="O492" s="827">
        <v>1.0</v>
      </c>
      <c r="P492" s="382" t="s">
        <v>2637</v>
      </c>
      <c r="Q492" s="52" t="str">
        <f t="array" ref="Q492"> if(iserror(MATCH(V492, 'File Links'!C:C, 0)), "N/A", HYPERLINK(INDEX('File Links'!B:B, MATCH(P492, 'File Links'!C:C, 0))))</f>
        <v>https://drive.google.com/file/d/1qyGORRGdQy-kyOSM_2vtKP7-BEAhuKWX/view?usp=drivesdk</v>
      </c>
      <c r="R492" s="437" t="s">
        <v>2686</v>
      </c>
      <c r="S492" s="437" t="s">
        <v>2687</v>
      </c>
      <c r="T492" s="68"/>
      <c r="U492" s="159"/>
      <c r="V492" s="198" t="str">
        <f t="shared" si="25"/>
        <v>10.1016--j.eatbeh.2024.101899.pdf</v>
      </c>
      <c r="W492" s="437" t="s">
        <v>164</v>
      </c>
      <c r="X492" s="54" t="str">
        <f t="array" ref="X492"> if(iserror(MATCH(V492, 'File Links'!C:C, 0)), "N/A", HYPERLINK(INDEX('File Links'!B:B, MATCH(V492, 'File Links'!C:C, 0))))</f>
        <v>https://drive.google.com/file/d/1WGY3X69XpAQRsdLRgO8nrxWGp5CpwgZF/view?usp=drivesdk</v>
      </c>
      <c r="Y492" s="68"/>
      <c r="Z492" s="437" t="s">
        <v>226</v>
      </c>
      <c r="AA492" s="437" t="s">
        <v>2640</v>
      </c>
      <c r="AB492" s="437" t="s">
        <v>2641</v>
      </c>
      <c r="AC492" s="437" t="s">
        <v>2642</v>
      </c>
      <c r="AD492" s="437" t="s">
        <v>2643</v>
      </c>
      <c r="AE492" s="828">
        <v>4.0</v>
      </c>
      <c r="AF492" s="828">
        <v>1068.0</v>
      </c>
      <c r="AG492" s="828">
        <v>0.33</v>
      </c>
      <c r="AH492" s="829" t="s">
        <v>173</v>
      </c>
      <c r="AI492" s="830" t="s">
        <v>2644</v>
      </c>
      <c r="AJ492" s="831">
        <v>0.01</v>
      </c>
      <c r="AK492" s="437" t="s">
        <v>172</v>
      </c>
      <c r="AL492" s="376" t="s">
        <v>136</v>
      </c>
      <c r="AM492" s="832" t="s">
        <v>137</v>
      </c>
      <c r="AN492" s="219" t="s">
        <v>138</v>
      </c>
      <c r="AO492" s="828">
        <v>600.0</v>
      </c>
      <c r="AP492" s="828">
        <v>0.35</v>
      </c>
      <c r="AQ492" s="437" t="s">
        <v>173</v>
      </c>
      <c r="AR492" s="437" t="s">
        <v>2688</v>
      </c>
      <c r="AS492" s="828">
        <v>0.004</v>
      </c>
      <c r="AT492" s="437" t="s">
        <v>172</v>
      </c>
      <c r="AU492" s="437" t="s">
        <v>136</v>
      </c>
      <c r="AV492" s="832" t="s">
        <v>137</v>
      </c>
      <c r="AW492" s="68"/>
      <c r="AX492" s="832" t="s">
        <v>143</v>
      </c>
      <c r="AY492" s="61" t="str">
        <f>IFERROR(__xludf.DUMMYFUNCTION("vlookup(BB492,importrange(""https://docs.google.com/spreadsheets/d/1d2vevQ_7D_v35q4wCQ4RpQ_IPoTwEMB9Yp6ymwlPqew/edit?gid=984458430#gid=984458430"", ""'replication success'!A:K""), 11, FAlSE)"),"#N/A")</f>
        <v>#N/A</v>
      </c>
      <c r="AZ492" s="61" t="str">
        <f>IFERROR(__xludf.DUMMYFUNCTION("vlookup(BB492,importrange(""https://docs.google.com/spreadsheets/d/1d2vevQ_7D_v35q4wCQ4RpQ_IPoTwEMB9Yp6ymwlPqew/edit?gid=984458430#gid=984458430"", ""'replication success'!A:M""), 12, FAlSE)"),"#N/A")</f>
        <v>#N/A</v>
      </c>
      <c r="BA492" s="61" t="str">
        <f>IFERROR(__xludf.DUMMYFUNCTION("vlookup(BB492,importrange(""https://docs.google.com/spreadsheets/d/1d2vevQ_7D_v35q4wCQ4RpQ_IPoTwEMB9Yp6ymwlPqew/edit?gid=984458430#gid=984458430"", ""'replication success'!A:M""), 13, FAlSE)"),"#N/A")</f>
        <v>#N/A</v>
      </c>
      <c r="BB492" s="61" t="str">
        <f>IFERROR(__xludf.DUMMYFUNCTION("REGEXREPLACE(G492, ""_[a-z]{1,2}$"", """")"),"additional_studies63")</f>
        <v>additional_studies63</v>
      </c>
      <c r="BC492" s="129"/>
      <c r="BE492" s="484"/>
      <c r="BF492" s="484"/>
      <c r="BG492" s="484"/>
      <c r="BH492" s="484"/>
      <c r="BI492" s="484"/>
      <c r="BJ492" s="484"/>
      <c r="BK492" s="484"/>
      <c r="BL492" s="484"/>
      <c r="BM492" s="484"/>
      <c r="BN492" s="484"/>
      <c r="BO492" s="484"/>
      <c r="BP492" s="484"/>
      <c r="BQ492" s="484"/>
      <c r="BR492" s="484"/>
      <c r="BS492" s="484"/>
      <c r="BT492" s="484"/>
      <c r="BU492" s="484"/>
      <c r="BV492" s="484"/>
      <c r="BW492" s="484"/>
      <c r="BX492" s="484"/>
      <c r="BY492" s="484"/>
      <c r="BZ492" s="484"/>
      <c r="CA492" s="484"/>
      <c r="CB492" s="484"/>
      <c r="CC492" s="484"/>
      <c r="CD492" s="484"/>
      <c r="CE492" s="484"/>
      <c r="CF492" s="484"/>
      <c r="CG492" s="484"/>
      <c r="CH492" s="484"/>
      <c r="CI492" s="484"/>
      <c r="CJ492" s="484"/>
      <c r="CK492" s="484"/>
      <c r="CL492" s="484"/>
      <c r="CM492" s="484"/>
      <c r="CN492" s="484"/>
      <c r="CO492" s="484"/>
      <c r="CP492" s="484"/>
      <c r="CQ492" s="484"/>
      <c r="CR492" s="484"/>
      <c r="CS492" s="484"/>
      <c r="CT492" s="484"/>
      <c r="CU492" s="484"/>
      <c r="CV492" s="484"/>
      <c r="CW492" s="484"/>
      <c r="CX492" s="484"/>
      <c r="CY492" s="484"/>
      <c r="CZ492" s="484"/>
      <c r="DA492" s="484"/>
      <c r="DB492" s="484"/>
      <c r="DC492" s="484"/>
      <c r="DD492" s="484"/>
      <c r="DE492" s="484"/>
      <c r="DF492" s="484"/>
      <c r="DG492" s="484"/>
      <c r="DH492" s="484"/>
      <c r="DI492" s="484"/>
      <c r="DJ492" s="484"/>
      <c r="DK492" s="484"/>
      <c r="DL492" s="484"/>
    </row>
    <row r="493" ht="20.25" customHeight="1">
      <c r="A493" s="44">
        <v>493.0</v>
      </c>
      <c r="B493" s="62" t="s">
        <v>285</v>
      </c>
      <c r="C493" s="62" t="s">
        <v>115</v>
      </c>
      <c r="D493" s="62" t="s">
        <v>1458</v>
      </c>
      <c r="F493" s="732" t="s">
        <v>2684</v>
      </c>
      <c r="G493" s="186" t="s">
        <v>2685</v>
      </c>
      <c r="H493" s="732" t="s">
        <v>1518</v>
      </c>
      <c r="I493" s="733">
        <v>45472.0</v>
      </c>
      <c r="J493" s="733">
        <v>45685.0</v>
      </c>
      <c r="K493" s="732" t="s">
        <v>2662</v>
      </c>
      <c r="L493" s="180"/>
      <c r="M493" s="732" t="s">
        <v>2648</v>
      </c>
      <c r="N493" s="732" t="s">
        <v>2636</v>
      </c>
      <c r="O493" s="180"/>
      <c r="P493" s="732" t="s">
        <v>2637</v>
      </c>
      <c r="Q493" s="52" t="str">
        <f t="array" ref="Q493"> if(iserror(MATCH(V493, 'File Links'!C:C, 0)), "N/A", HYPERLINK(INDEX('File Links'!B:B, MATCH(P493, 'File Links'!C:C, 0))))</f>
        <v>https://drive.google.com/file/d/1qyGORRGdQy-kyOSM_2vtKP7-BEAhuKWX/view?usp=drivesdk</v>
      </c>
      <c r="R493" s="732" t="s">
        <v>2689</v>
      </c>
      <c r="S493" s="732" t="s">
        <v>2687</v>
      </c>
      <c r="T493" s="180"/>
      <c r="U493" s="732" t="s">
        <v>2687</v>
      </c>
      <c r="V493" s="198" t="str">
        <f t="shared" si="25"/>
        <v>10.1016--j.eatbeh.2024.101899.pdf</v>
      </c>
      <c r="W493" s="180" t="s">
        <v>2690</v>
      </c>
      <c r="X493" s="54" t="str">
        <f t="array" ref="X493"> if(iserror(MATCH(V493, 'File Links'!C:C, 0)), "N/A", HYPERLINK(INDEX('File Links'!B:B, MATCH(V493, 'File Links'!C:C, 0))))</f>
        <v>https://drive.google.com/file/d/1WGY3X69XpAQRsdLRgO8nrxWGp5CpwgZF/view?usp=drivesdk</v>
      </c>
      <c r="Y493" s="180"/>
      <c r="Z493" s="732" t="s">
        <v>226</v>
      </c>
      <c r="AA493" s="732" t="s">
        <v>2665</v>
      </c>
      <c r="AB493" s="732" t="s">
        <v>2641</v>
      </c>
      <c r="AC493" s="732" t="s">
        <v>2666</v>
      </c>
      <c r="AD493" s="167" t="s">
        <v>2670</v>
      </c>
      <c r="AE493" s="183">
        <v>4.0</v>
      </c>
      <c r="AF493" s="183">
        <v>1068.0</v>
      </c>
      <c r="AG493" s="167" t="s">
        <v>2671</v>
      </c>
      <c r="AH493" s="732" t="s">
        <v>134</v>
      </c>
      <c r="AI493" s="732" t="s">
        <v>496</v>
      </c>
      <c r="AJ493" s="833">
        <v>0.01</v>
      </c>
      <c r="AK493" s="186" t="s">
        <v>135</v>
      </c>
      <c r="AL493" s="186" t="s">
        <v>186</v>
      </c>
      <c r="AM493" s="180" t="s">
        <v>141</v>
      </c>
      <c r="AN493" s="219" t="s">
        <v>138</v>
      </c>
      <c r="AO493" s="183">
        <v>600.0</v>
      </c>
      <c r="AP493" s="167" t="s">
        <v>2691</v>
      </c>
      <c r="AQ493" s="732" t="s">
        <v>134</v>
      </c>
      <c r="AR493" s="732" t="s">
        <v>496</v>
      </c>
      <c r="AS493" s="183">
        <v>0.001</v>
      </c>
      <c r="AT493" s="732" t="s">
        <v>135</v>
      </c>
      <c r="AU493" s="732" t="s">
        <v>186</v>
      </c>
      <c r="AV493" s="180" t="s">
        <v>141</v>
      </c>
      <c r="AW493" s="180"/>
      <c r="AX493" s="180" t="s">
        <v>143</v>
      </c>
      <c r="AY493" s="61" t="str">
        <f>IFERROR(__xludf.DUMMYFUNCTION("vlookup(BB493,importrange(""https://docs.google.com/spreadsheets/d/1d2vevQ_7D_v35q4wCQ4RpQ_IPoTwEMB9Yp6ymwlPqew/edit?gid=984458430#gid=984458430"", ""'replication success'!A:K""), 11, FAlSE)"),"#N/A")</f>
        <v>#N/A</v>
      </c>
      <c r="AZ493" s="61" t="str">
        <f>IFERROR(__xludf.DUMMYFUNCTION("vlookup(BB493,importrange(""https://docs.google.com/spreadsheets/d/1d2vevQ_7D_v35q4wCQ4RpQ_IPoTwEMB9Yp6ymwlPqew/edit?gid=984458430#gid=984458430"", ""'replication success'!A:M""), 12, FAlSE)"),"#N/A")</f>
        <v>#N/A</v>
      </c>
      <c r="BA493" s="61" t="str">
        <f>IFERROR(__xludf.DUMMYFUNCTION("vlookup(BB493,importrange(""https://docs.google.com/spreadsheets/d/1d2vevQ_7D_v35q4wCQ4RpQ_IPoTwEMB9Yp6ymwlPqew/edit?gid=984458430#gid=984458430"", ""'replication success'!A:M""), 13, FAlSE)"),"#N/A")</f>
        <v>#N/A</v>
      </c>
      <c r="BB493" s="61" t="str">
        <f>IFERROR(__xludf.DUMMYFUNCTION("REGEXREPLACE(G493, ""_[a-z]{1,2}$"", """")"),"additional_studies63")</f>
        <v>additional_studies63</v>
      </c>
      <c r="BE493" s="189"/>
      <c r="BF493" s="189"/>
      <c r="BG493" s="189"/>
      <c r="BH493" s="189"/>
      <c r="BI493" s="189"/>
      <c r="BJ493" s="189"/>
      <c r="BK493" s="189"/>
      <c r="BL493" s="189"/>
      <c r="BM493" s="189"/>
      <c r="BN493" s="189"/>
      <c r="BO493" s="189"/>
      <c r="BP493" s="189"/>
      <c r="BQ493" s="189"/>
      <c r="BR493" s="189"/>
      <c r="BS493" s="189"/>
      <c r="BT493" s="189"/>
      <c r="BU493" s="189"/>
      <c r="BV493" s="189"/>
      <c r="BW493" s="189"/>
      <c r="BX493" s="189"/>
      <c r="BY493" s="189"/>
      <c r="BZ493" s="189"/>
      <c r="CA493" s="189"/>
      <c r="CB493" s="189"/>
      <c r="CC493" s="189"/>
      <c r="CD493" s="189"/>
      <c r="CE493" s="189"/>
      <c r="CF493" s="189"/>
      <c r="CG493" s="189"/>
      <c r="CH493" s="189"/>
      <c r="CI493" s="189"/>
      <c r="CJ493" s="189"/>
      <c r="CK493" s="189"/>
      <c r="CL493" s="189"/>
      <c r="CM493" s="189"/>
      <c r="CN493" s="189"/>
      <c r="CO493" s="189"/>
      <c r="CP493" s="189"/>
      <c r="CQ493" s="189"/>
      <c r="CR493" s="189"/>
      <c r="CS493" s="189"/>
      <c r="CT493" s="189"/>
      <c r="CU493" s="189"/>
      <c r="CV493" s="189"/>
      <c r="CW493" s="189"/>
      <c r="CX493" s="189"/>
      <c r="CY493" s="189"/>
      <c r="CZ493" s="189"/>
      <c r="DA493" s="189"/>
      <c r="DB493" s="189"/>
      <c r="DC493" s="189"/>
      <c r="DD493" s="189"/>
      <c r="DE493" s="189"/>
      <c r="DF493" s="189"/>
      <c r="DG493" s="189"/>
      <c r="DH493" s="189"/>
      <c r="DI493" s="189"/>
      <c r="DJ493" s="189"/>
      <c r="DK493" s="189"/>
      <c r="DL493" s="189"/>
    </row>
    <row r="494" ht="20.25" customHeight="1">
      <c r="A494" s="44">
        <v>494.0</v>
      </c>
      <c r="B494" s="62" t="s">
        <v>285</v>
      </c>
      <c r="C494" s="62" t="s">
        <v>115</v>
      </c>
      <c r="D494" s="62" t="s">
        <v>1458</v>
      </c>
      <c r="F494" s="732" t="s">
        <v>2684</v>
      </c>
      <c r="G494" s="186" t="s">
        <v>2692</v>
      </c>
      <c r="H494" s="732" t="s">
        <v>1518</v>
      </c>
      <c r="I494" s="834"/>
      <c r="J494" s="733">
        <v>45685.0</v>
      </c>
      <c r="K494" s="732" t="s">
        <v>2693</v>
      </c>
      <c r="L494" s="180"/>
      <c r="M494" s="732" t="s">
        <v>2648</v>
      </c>
      <c r="N494" s="732" t="s">
        <v>2636</v>
      </c>
      <c r="O494" s="180"/>
      <c r="P494" s="732" t="s">
        <v>2637</v>
      </c>
      <c r="Q494" s="52" t="str">
        <f t="array" ref="Q494"> if(iserror(MATCH(V494, 'File Links'!C:C, 0)), "N/A", HYPERLINK(INDEX('File Links'!B:B, MATCH(P494, 'File Links'!C:C, 0))))</f>
        <v>https://drive.google.com/file/d/1qyGORRGdQy-kyOSM_2vtKP7-BEAhuKWX/view?usp=drivesdk</v>
      </c>
      <c r="R494" s="732" t="s">
        <v>2689</v>
      </c>
      <c r="S494" s="732" t="s">
        <v>2687</v>
      </c>
      <c r="T494" s="180"/>
      <c r="U494" s="732" t="s">
        <v>2687</v>
      </c>
      <c r="V494" s="198" t="str">
        <f t="shared" si="25"/>
        <v>10.1016--j.eatbeh.2024.101899.pdf</v>
      </c>
      <c r="W494" s="180" t="s">
        <v>2690</v>
      </c>
      <c r="X494" s="54" t="str">
        <f t="array" ref="X494"> if(iserror(MATCH(V494, 'File Links'!C:C, 0)), "N/A", HYPERLINK(INDEX('File Links'!B:B, MATCH(V494, 'File Links'!C:C, 0))))</f>
        <v>https://drive.google.com/file/d/1WGY3X69XpAQRsdLRgO8nrxWGp5CpwgZF/view?usp=drivesdk</v>
      </c>
      <c r="Y494" s="180"/>
      <c r="Z494" s="732" t="s">
        <v>226</v>
      </c>
      <c r="AA494" s="732" t="s">
        <v>2665</v>
      </c>
      <c r="AB494" s="732" t="s">
        <v>2641</v>
      </c>
      <c r="AC494" s="732" t="s">
        <v>2666</v>
      </c>
      <c r="AD494" s="180"/>
      <c r="AE494" s="180"/>
      <c r="AF494" s="180"/>
      <c r="AG494" s="180"/>
      <c r="AH494" s="180"/>
      <c r="AI494" s="180"/>
      <c r="AJ494" s="740"/>
      <c r="AK494" s="737"/>
      <c r="AL494" s="737"/>
      <c r="AM494" s="180"/>
      <c r="AN494" s="219" t="s">
        <v>138</v>
      </c>
      <c r="AO494" s="183">
        <v>600.0</v>
      </c>
      <c r="AP494" s="167" t="s">
        <v>2694</v>
      </c>
      <c r="AQ494" s="732" t="s">
        <v>134</v>
      </c>
      <c r="AR494" s="732" t="s">
        <v>496</v>
      </c>
      <c r="AS494" s="183">
        <v>0.001</v>
      </c>
      <c r="AT494" s="732" t="s">
        <v>135</v>
      </c>
      <c r="AU494" s="732" t="s">
        <v>186</v>
      </c>
      <c r="AV494" s="180" t="s">
        <v>141</v>
      </c>
      <c r="AW494" s="180"/>
      <c r="AX494" s="180" t="s">
        <v>151</v>
      </c>
      <c r="AY494" s="61" t="str">
        <f>IFERROR(__xludf.DUMMYFUNCTION("vlookup(BB494,importrange(""https://docs.google.com/spreadsheets/d/1d2vevQ_7D_v35q4wCQ4RpQ_IPoTwEMB9Yp6ymwlPqew/edit?gid=984458430#gid=984458430"", ""'replication success'!A:K""), 11, FAlSE)"),"#N/A")</f>
        <v>#N/A</v>
      </c>
      <c r="AZ494" s="61" t="str">
        <f>IFERROR(__xludf.DUMMYFUNCTION("vlookup(BB494,importrange(""https://docs.google.com/spreadsheets/d/1d2vevQ_7D_v35q4wCQ4RpQ_IPoTwEMB9Yp6ymwlPqew/edit?gid=984458430#gid=984458430"", ""'replication success'!A:M""), 12, FAlSE)"),"#N/A")</f>
        <v>#N/A</v>
      </c>
      <c r="BA494" s="61" t="str">
        <f>IFERROR(__xludf.DUMMYFUNCTION("vlookup(BB494,importrange(""https://docs.google.com/spreadsheets/d/1d2vevQ_7D_v35q4wCQ4RpQ_IPoTwEMB9Yp6ymwlPqew/edit?gid=984458430#gid=984458430"", ""'replication success'!A:M""), 13, FAlSE)"),"#N/A")</f>
        <v>#N/A</v>
      </c>
      <c r="BB494" s="61" t="str">
        <f>IFERROR(__xludf.DUMMYFUNCTION("REGEXREPLACE(G494, ""_[a-z]{1,2}$"", """")"),"additional_studies63")</f>
        <v>additional_studies63</v>
      </c>
      <c r="BE494" s="189"/>
      <c r="BF494" s="189"/>
      <c r="BG494" s="189"/>
      <c r="BH494" s="189"/>
      <c r="BI494" s="189"/>
      <c r="BJ494" s="189"/>
      <c r="BK494" s="189"/>
      <c r="BL494" s="189"/>
      <c r="BM494" s="189"/>
      <c r="BN494" s="189"/>
      <c r="BO494" s="189"/>
      <c r="BP494" s="189"/>
      <c r="BQ494" s="189"/>
      <c r="BR494" s="189"/>
      <c r="BS494" s="189"/>
      <c r="BT494" s="189"/>
      <c r="BU494" s="189"/>
      <c r="BV494" s="189"/>
      <c r="BW494" s="189"/>
      <c r="BX494" s="189"/>
      <c r="BY494" s="189"/>
      <c r="BZ494" s="189"/>
      <c r="CA494" s="189"/>
      <c r="CB494" s="189"/>
      <c r="CC494" s="189"/>
      <c r="CD494" s="189"/>
      <c r="CE494" s="189"/>
      <c r="CF494" s="189"/>
      <c r="CG494" s="189"/>
      <c r="CH494" s="189"/>
      <c r="CI494" s="189"/>
      <c r="CJ494" s="189"/>
      <c r="CK494" s="189"/>
      <c r="CL494" s="189"/>
      <c r="CM494" s="189"/>
      <c r="CN494" s="189"/>
      <c r="CO494" s="189"/>
      <c r="CP494" s="189"/>
      <c r="CQ494" s="189"/>
      <c r="CR494" s="189"/>
      <c r="CS494" s="189"/>
      <c r="CT494" s="189"/>
      <c r="CU494" s="189"/>
      <c r="CV494" s="189"/>
      <c r="CW494" s="189"/>
      <c r="CX494" s="189"/>
      <c r="CY494" s="189"/>
      <c r="CZ494" s="189"/>
      <c r="DA494" s="189"/>
      <c r="DB494" s="189"/>
      <c r="DC494" s="189"/>
      <c r="DD494" s="189"/>
      <c r="DE494" s="189"/>
      <c r="DF494" s="189"/>
      <c r="DG494" s="189"/>
      <c r="DH494" s="189"/>
      <c r="DI494" s="189"/>
      <c r="DJ494" s="189"/>
      <c r="DK494" s="189"/>
      <c r="DL494" s="189"/>
    </row>
    <row r="495" ht="20.25" customHeight="1">
      <c r="A495" s="44">
        <v>495.0</v>
      </c>
      <c r="B495" s="62" t="s">
        <v>285</v>
      </c>
      <c r="C495" s="62" t="s">
        <v>115</v>
      </c>
      <c r="D495" s="62" t="s">
        <v>1458</v>
      </c>
      <c r="F495" s="732" t="s">
        <v>2684</v>
      </c>
      <c r="G495" s="186" t="s">
        <v>2695</v>
      </c>
      <c r="H495" s="732" t="s">
        <v>1518</v>
      </c>
      <c r="I495" s="834"/>
      <c r="J495" s="733">
        <v>45685.0</v>
      </c>
      <c r="K495" s="732" t="s">
        <v>2696</v>
      </c>
      <c r="L495" s="180"/>
      <c r="M495" s="732" t="s">
        <v>2648</v>
      </c>
      <c r="N495" s="732" t="s">
        <v>2636</v>
      </c>
      <c r="O495" s="180"/>
      <c r="P495" s="732" t="s">
        <v>2637</v>
      </c>
      <c r="Q495" s="52" t="str">
        <f t="array" ref="Q495"> if(iserror(MATCH(V495, 'File Links'!C:C, 0)), "N/A", HYPERLINK(INDEX('File Links'!B:B, MATCH(P495, 'File Links'!C:C, 0))))</f>
        <v>https://drive.google.com/file/d/1qyGORRGdQy-kyOSM_2vtKP7-BEAhuKWX/view?usp=drivesdk</v>
      </c>
      <c r="R495" s="732" t="s">
        <v>2689</v>
      </c>
      <c r="S495" s="732" t="s">
        <v>2687</v>
      </c>
      <c r="T495" s="180"/>
      <c r="U495" s="732" t="s">
        <v>2687</v>
      </c>
      <c r="V495" s="198" t="str">
        <f t="shared" si="25"/>
        <v>10.1016--j.eatbeh.2024.101899.pdf</v>
      </c>
      <c r="W495" s="180" t="s">
        <v>2690</v>
      </c>
      <c r="X495" s="54" t="str">
        <f t="array" ref="X495"> if(iserror(MATCH(V495, 'File Links'!C:C, 0)), "N/A", HYPERLINK(INDEX('File Links'!B:B, MATCH(V495, 'File Links'!C:C, 0))))</f>
        <v>https://drive.google.com/file/d/1WGY3X69XpAQRsdLRgO8nrxWGp5CpwgZF/view?usp=drivesdk</v>
      </c>
      <c r="Y495" s="180"/>
      <c r="Z495" s="732" t="s">
        <v>226</v>
      </c>
      <c r="AA495" s="732" t="s">
        <v>2665</v>
      </c>
      <c r="AB495" s="732" t="s">
        <v>2641</v>
      </c>
      <c r="AC495" s="732" t="s">
        <v>2666</v>
      </c>
      <c r="AD495" s="180"/>
      <c r="AE495" s="180"/>
      <c r="AF495" s="180"/>
      <c r="AG495" s="180"/>
      <c r="AH495" s="180"/>
      <c r="AI495" s="180"/>
      <c r="AJ495" s="740"/>
      <c r="AK495" s="737"/>
      <c r="AL495" s="737"/>
      <c r="AM495" s="180"/>
      <c r="AN495" s="219" t="s">
        <v>138</v>
      </c>
      <c r="AO495" s="183">
        <v>600.0</v>
      </c>
      <c r="AP495" s="167" t="s">
        <v>2697</v>
      </c>
      <c r="AQ495" s="732" t="s">
        <v>134</v>
      </c>
      <c r="AR495" s="732" t="s">
        <v>496</v>
      </c>
      <c r="AS495" s="183">
        <v>0.001</v>
      </c>
      <c r="AT495" s="732" t="s">
        <v>135</v>
      </c>
      <c r="AU495" s="732" t="s">
        <v>186</v>
      </c>
      <c r="AV495" s="180" t="s">
        <v>141</v>
      </c>
      <c r="AW495" s="180"/>
      <c r="AX495" s="180" t="s">
        <v>151</v>
      </c>
      <c r="AY495" s="61" t="str">
        <f>IFERROR(__xludf.DUMMYFUNCTION("vlookup(BB495,importrange(""https://docs.google.com/spreadsheets/d/1d2vevQ_7D_v35q4wCQ4RpQ_IPoTwEMB9Yp6ymwlPqew/edit?gid=984458430#gid=984458430"", ""'replication success'!A:K""), 11, FAlSE)"),"#N/A")</f>
        <v>#N/A</v>
      </c>
      <c r="AZ495" s="61" t="str">
        <f>IFERROR(__xludf.DUMMYFUNCTION("vlookup(BB495,importrange(""https://docs.google.com/spreadsheets/d/1d2vevQ_7D_v35q4wCQ4RpQ_IPoTwEMB9Yp6ymwlPqew/edit?gid=984458430#gid=984458430"", ""'replication success'!A:M""), 12, FAlSE)"),"#N/A")</f>
        <v>#N/A</v>
      </c>
      <c r="BA495" s="61" t="str">
        <f>IFERROR(__xludf.DUMMYFUNCTION("vlookup(BB495,importrange(""https://docs.google.com/spreadsheets/d/1d2vevQ_7D_v35q4wCQ4RpQ_IPoTwEMB9Yp6ymwlPqew/edit?gid=984458430#gid=984458430"", ""'replication success'!A:M""), 13, FAlSE)"),"#N/A")</f>
        <v>#N/A</v>
      </c>
      <c r="BB495" s="61" t="str">
        <f>IFERROR(__xludf.DUMMYFUNCTION("REGEXREPLACE(G495, ""_[a-z]{1,2}$"", """")"),"additional_studies63")</f>
        <v>additional_studies63</v>
      </c>
      <c r="BE495" s="92"/>
      <c r="BF495" s="92"/>
      <c r="BG495" s="92"/>
      <c r="BH495" s="92"/>
      <c r="BI495" s="92"/>
      <c r="BJ495" s="92"/>
      <c r="BK495" s="92"/>
      <c r="BL495" s="92"/>
      <c r="BM495" s="92"/>
      <c r="BN495" s="92"/>
      <c r="BO495" s="92"/>
      <c r="BP495" s="92"/>
      <c r="BQ495" s="92"/>
      <c r="BR495" s="92"/>
      <c r="BS495" s="92"/>
      <c r="BT495" s="92"/>
      <c r="BU495" s="92"/>
      <c r="BV495" s="92"/>
      <c r="BW495" s="92"/>
      <c r="BX495" s="92"/>
      <c r="BY495" s="92"/>
      <c r="BZ495" s="92"/>
      <c r="CA495" s="92"/>
      <c r="CB495" s="92"/>
      <c r="CC495" s="92"/>
      <c r="CD495" s="92"/>
      <c r="CE495" s="92"/>
      <c r="CF495" s="92"/>
      <c r="CG495" s="92"/>
      <c r="CH495" s="92"/>
      <c r="CI495" s="92"/>
      <c r="CJ495" s="92"/>
      <c r="CK495" s="92"/>
      <c r="CL495" s="92"/>
      <c r="CM495" s="92"/>
      <c r="CN495" s="92"/>
      <c r="CO495" s="92"/>
      <c r="CP495" s="92"/>
      <c r="CQ495" s="92"/>
      <c r="CR495" s="92"/>
      <c r="CS495" s="92"/>
      <c r="CT495" s="92"/>
      <c r="CU495" s="92"/>
      <c r="CV495" s="92"/>
      <c r="CW495" s="92"/>
      <c r="CX495" s="92"/>
      <c r="CY495" s="92"/>
      <c r="CZ495" s="92"/>
      <c r="DA495" s="92"/>
      <c r="DB495" s="92"/>
      <c r="DC495" s="92"/>
      <c r="DD495" s="92"/>
      <c r="DE495" s="92"/>
      <c r="DF495" s="92"/>
      <c r="DG495" s="92"/>
      <c r="DH495" s="92"/>
      <c r="DI495" s="92"/>
      <c r="DJ495" s="92"/>
      <c r="DK495" s="92"/>
      <c r="DL495" s="92"/>
    </row>
    <row r="496" ht="20.25" customHeight="1">
      <c r="A496" s="44">
        <v>496.0</v>
      </c>
      <c r="B496" s="62" t="s">
        <v>285</v>
      </c>
      <c r="C496" s="62" t="s">
        <v>115</v>
      </c>
      <c r="D496" s="62" t="s">
        <v>1458</v>
      </c>
      <c r="F496" s="732" t="s">
        <v>2684</v>
      </c>
      <c r="G496" s="186" t="s">
        <v>2698</v>
      </c>
      <c r="H496" s="732" t="s">
        <v>1518</v>
      </c>
      <c r="I496" s="834"/>
      <c r="J496" s="733">
        <v>45685.0</v>
      </c>
      <c r="K496" s="732" t="s">
        <v>2699</v>
      </c>
      <c r="L496" s="180"/>
      <c r="M496" s="732" t="s">
        <v>2648</v>
      </c>
      <c r="N496" s="732" t="s">
        <v>2636</v>
      </c>
      <c r="O496" s="180"/>
      <c r="P496" s="732" t="s">
        <v>2637</v>
      </c>
      <c r="Q496" s="52" t="str">
        <f t="array" ref="Q496"> if(iserror(MATCH(V496, 'File Links'!C:C, 0)), "N/A", HYPERLINK(INDEX('File Links'!B:B, MATCH(P496, 'File Links'!C:C, 0))))</f>
        <v>https://drive.google.com/file/d/1qyGORRGdQy-kyOSM_2vtKP7-BEAhuKWX/view?usp=drivesdk</v>
      </c>
      <c r="R496" s="732" t="s">
        <v>2689</v>
      </c>
      <c r="S496" s="732" t="s">
        <v>2687</v>
      </c>
      <c r="T496" s="180"/>
      <c r="U496" s="732" t="s">
        <v>2687</v>
      </c>
      <c r="V496" s="198" t="str">
        <f t="shared" si="25"/>
        <v>10.1016--j.eatbeh.2024.101899.pdf</v>
      </c>
      <c r="W496" s="180" t="s">
        <v>2690</v>
      </c>
      <c r="X496" s="54" t="str">
        <f t="array" ref="X496"> if(iserror(MATCH(V496, 'File Links'!C:C, 0)), "N/A", HYPERLINK(INDEX('File Links'!B:B, MATCH(V496, 'File Links'!C:C, 0))))</f>
        <v>https://drive.google.com/file/d/1WGY3X69XpAQRsdLRgO8nrxWGp5CpwgZF/view?usp=drivesdk</v>
      </c>
      <c r="Y496" s="180"/>
      <c r="Z496" s="732" t="s">
        <v>226</v>
      </c>
      <c r="AA496" s="732" t="s">
        <v>2665</v>
      </c>
      <c r="AB496" s="732" t="s">
        <v>2641</v>
      </c>
      <c r="AC496" s="732" t="s">
        <v>2666</v>
      </c>
      <c r="AD496" s="180"/>
      <c r="AE496" s="180"/>
      <c r="AF496" s="180"/>
      <c r="AG496" s="180"/>
      <c r="AH496" s="180"/>
      <c r="AI496" s="180"/>
      <c r="AJ496" s="740"/>
      <c r="AK496" s="737"/>
      <c r="AL496" s="737"/>
      <c r="AM496" s="180"/>
      <c r="AN496" s="219" t="s">
        <v>138</v>
      </c>
      <c r="AO496" s="183">
        <v>600.0</v>
      </c>
      <c r="AP496" s="167" t="s">
        <v>2700</v>
      </c>
      <c r="AQ496" s="732" t="s">
        <v>134</v>
      </c>
      <c r="AR496" s="732" t="s">
        <v>496</v>
      </c>
      <c r="AS496" s="183">
        <v>0.001</v>
      </c>
      <c r="AT496" s="732" t="s">
        <v>135</v>
      </c>
      <c r="AU496" s="732" t="s">
        <v>186</v>
      </c>
      <c r="AV496" s="180" t="s">
        <v>141</v>
      </c>
      <c r="AW496" s="180"/>
      <c r="AX496" s="180" t="s">
        <v>151</v>
      </c>
      <c r="AY496" s="61" t="str">
        <f>IFERROR(__xludf.DUMMYFUNCTION("vlookup(BB496,importrange(""https://docs.google.com/spreadsheets/d/1d2vevQ_7D_v35q4wCQ4RpQ_IPoTwEMB9Yp6ymwlPqew/edit?gid=984458430#gid=984458430"", ""'replication success'!A:K""), 11, FAlSE)"),"#N/A")</f>
        <v>#N/A</v>
      </c>
      <c r="AZ496" s="61" t="str">
        <f>IFERROR(__xludf.DUMMYFUNCTION("vlookup(BB496,importrange(""https://docs.google.com/spreadsheets/d/1d2vevQ_7D_v35q4wCQ4RpQ_IPoTwEMB9Yp6ymwlPqew/edit?gid=984458430#gid=984458430"", ""'replication success'!A:M""), 12, FAlSE)"),"#N/A")</f>
        <v>#N/A</v>
      </c>
      <c r="BA496" s="61" t="str">
        <f>IFERROR(__xludf.DUMMYFUNCTION("vlookup(BB496,importrange(""https://docs.google.com/spreadsheets/d/1d2vevQ_7D_v35q4wCQ4RpQ_IPoTwEMB9Yp6ymwlPqew/edit?gid=984458430#gid=984458430"", ""'replication success'!A:M""), 13, FAlSE)"),"#N/A")</f>
        <v>#N/A</v>
      </c>
      <c r="BB496" s="61" t="str">
        <f>IFERROR(__xludf.DUMMYFUNCTION("REGEXREPLACE(G496, ""_[a-z]{1,2}$"", """")"),"additional_studies63")</f>
        <v>additional_studies63</v>
      </c>
      <c r="BE496" s="92"/>
      <c r="BF496" s="92"/>
      <c r="BG496" s="92"/>
      <c r="BH496" s="92"/>
      <c r="BI496" s="92"/>
      <c r="BJ496" s="92"/>
      <c r="BK496" s="92"/>
      <c r="BL496" s="92"/>
      <c r="BM496" s="92"/>
      <c r="BN496" s="92"/>
      <c r="BO496" s="92"/>
      <c r="BP496" s="92"/>
      <c r="BQ496" s="92"/>
      <c r="BR496" s="92"/>
      <c r="BS496" s="92"/>
      <c r="BT496" s="92"/>
      <c r="BU496" s="92"/>
      <c r="BV496" s="92"/>
      <c r="BW496" s="92"/>
      <c r="BX496" s="92"/>
      <c r="BY496" s="92"/>
      <c r="BZ496" s="92"/>
      <c r="CA496" s="92"/>
      <c r="CB496" s="92"/>
      <c r="CC496" s="92"/>
      <c r="CD496" s="92"/>
      <c r="CE496" s="92"/>
      <c r="CF496" s="92"/>
      <c r="CG496" s="92"/>
      <c r="CH496" s="92"/>
      <c r="CI496" s="92"/>
      <c r="CJ496" s="92"/>
      <c r="CK496" s="92"/>
      <c r="CL496" s="92"/>
      <c r="CM496" s="92"/>
      <c r="CN496" s="92"/>
      <c r="CO496" s="92"/>
      <c r="CP496" s="92"/>
      <c r="CQ496" s="92"/>
      <c r="CR496" s="92"/>
      <c r="CS496" s="92"/>
      <c r="CT496" s="92"/>
      <c r="CU496" s="92"/>
      <c r="CV496" s="92"/>
      <c r="CW496" s="92"/>
      <c r="CX496" s="92"/>
      <c r="CY496" s="92"/>
      <c r="CZ496" s="92"/>
      <c r="DA496" s="92"/>
      <c r="DB496" s="92"/>
      <c r="DC496" s="92"/>
      <c r="DD496" s="92"/>
      <c r="DE496" s="92"/>
      <c r="DF496" s="92"/>
      <c r="DG496" s="92"/>
      <c r="DH496" s="92"/>
      <c r="DI496" s="92"/>
      <c r="DJ496" s="92"/>
      <c r="DK496" s="92"/>
      <c r="DL496" s="92"/>
    </row>
    <row r="497" ht="20.25" customHeight="1">
      <c r="A497" s="44">
        <v>497.0</v>
      </c>
      <c r="B497" s="149" t="s">
        <v>285</v>
      </c>
      <c r="C497" s="149" t="s">
        <v>115</v>
      </c>
      <c r="D497" s="149" t="s">
        <v>1234</v>
      </c>
      <c r="E497" s="71"/>
      <c r="F497" s="122" t="s">
        <v>2701</v>
      </c>
      <c r="G497" s="112" t="s">
        <v>2702</v>
      </c>
      <c r="H497" s="112" t="s">
        <v>1237</v>
      </c>
      <c r="I497" s="417">
        <v>45472.0</v>
      </c>
      <c r="J497" s="113">
        <v>45641.0</v>
      </c>
      <c r="K497" s="114"/>
      <c r="L497" s="114"/>
      <c r="M497" s="112" t="s">
        <v>2703</v>
      </c>
      <c r="N497" s="112" t="s">
        <v>2704</v>
      </c>
      <c r="O497" s="117">
        <v>1.0</v>
      </c>
      <c r="P497" s="121" t="s">
        <v>2705</v>
      </c>
      <c r="Q497" s="52" t="str">
        <f t="array" ref="Q497"> if(iserror(MATCH(V497, 'File Links'!C:C, 0)), "N/A", HYPERLINK(INDEX('File Links'!B:B, MATCH(P497, 'File Links'!C:C, 0))))</f>
        <v>https://drive.google.com/file/d/1v5DJu4qjqzVUJEfoj2GHrhMbmyHZ-m6z/view?usp=drivesdk</v>
      </c>
      <c r="R497" s="112" t="s">
        <v>2706</v>
      </c>
      <c r="S497" s="112" t="s">
        <v>2707</v>
      </c>
      <c r="U497" s="366">
        <v>1.0</v>
      </c>
      <c r="V497" s="198" t="str">
        <f t="shared" si="25"/>
        <v>10.1016--j.jrp.2024.104511.pdf</v>
      </c>
      <c r="W497" s="112" t="s">
        <v>2708</v>
      </c>
      <c r="X497" s="54" t="str">
        <f t="array" ref="X497"> if(iserror(MATCH(V497, 'File Links'!C:C, 0)), "N/A", HYPERLINK(INDEX('File Links'!B:B, MATCH(V497, 'File Links'!C:C, 0))))</f>
        <v>https://drive.google.com/file/d/1_wLROYuywRItyX2cFnsLf0N4QfaR5Z8L/view?usp=drivesdk</v>
      </c>
      <c r="Y497" s="112"/>
      <c r="Z497" s="112" t="s">
        <v>1600</v>
      </c>
      <c r="AB497" s="112" t="s">
        <v>2709</v>
      </c>
      <c r="AD497" s="112" t="s">
        <v>2710</v>
      </c>
      <c r="AF497" s="117">
        <v>674.0</v>
      </c>
      <c r="AG497" s="114"/>
      <c r="AH497" s="120"/>
      <c r="AI497" s="114"/>
      <c r="AJ497" s="117">
        <v>0.05</v>
      </c>
      <c r="AK497" s="122" t="s">
        <v>135</v>
      </c>
      <c r="AL497" s="112" t="s">
        <v>186</v>
      </c>
      <c r="AM497" s="114" t="s">
        <v>141</v>
      </c>
      <c r="AN497" s="835" t="s">
        <v>2711</v>
      </c>
      <c r="AO497" s="836">
        <v>451.0</v>
      </c>
      <c r="AP497" s="114"/>
      <c r="AQ497" s="114"/>
      <c r="AR497" s="114"/>
      <c r="AS497" s="114"/>
      <c r="AT497" s="111"/>
      <c r="AU497" s="111"/>
      <c r="AV497" s="111"/>
      <c r="AW497" s="837" t="s">
        <v>2712</v>
      </c>
      <c r="AX497" s="111"/>
      <c r="AY497" s="61" t="str">
        <f>IFERROR(__xludf.DUMMYFUNCTION("vlookup(BB497,importrange(""https://docs.google.com/spreadsheets/d/1d2vevQ_7D_v35q4wCQ4RpQ_IPoTwEMB9Yp6ymwlPqew/edit?gid=984458430#gid=984458430"", ""'replication success'!A:K""), 11, FAlSE)"),"#N/A")</f>
        <v>#N/A</v>
      </c>
      <c r="AZ497" s="61" t="str">
        <f>IFERROR(__xludf.DUMMYFUNCTION("vlookup(BB497,importrange(""https://docs.google.com/spreadsheets/d/1d2vevQ_7D_v35q4wCQ4RpQ_IPoTwEMB9Yp6ymwlPqew/edit?gid=984458430#gid=984458430"", ""'replication success'!A:M""), 12, FAlSE)"),"#N/A")</f>
        <v>#N/A</v>
      </c>
      <c r="BA497" s="61" t="str">
        <f>IFERROR(__xludf.DUMMYFUNCTION("vlookup(BB497,importrange(""https://docs.google.com/spreadsheets/d/1d2vevQ_7D_v35q4wCQ4RpQ_IPoTwEMB9Yp6ymwlPqew/edit?gid=984458430#gid=984458430"", ""'replication success'!A:M""), 13, FAlSE)"),"#N/A")</f>
        <v>#N/A</v>
      </c>
      <c r="BB497" s="61" t="str">
        <f>IFERROR(__xludf.DUMMYFUNCTION("REGEXREPLACE(G497, ""_[a-z]{1,2}$"", """")"),"additional_studies65")</f>
        <v>additional_studies65</v>
      </c>
      <c r="BC497" s="61"/>
      <c r="BD497" s="71"/>
      <c r="BE497" s="92"/>
      <c r="BF497" s="92"/>
      <c r="BG497" s="92"/>
      <c r="BH497" s="92"/>
      <c r="BI497" s="92"/>
      <c r="BJ497" s="92"/>
      <c r="BK497" s="92"/>
      <c r="BL497" s="92"/>
      <c r="BM497" s="92"/>
      <c r="BN497" s="92"/>
      <c r="BO497" s="92"/>
      <c r="BP497" s="92"/>
      <c r="BQ497" s="92"/>
      <c r="BR497" s="92"/>
      <c r="BS497" s="92"/>
      <c r="BT497" s="92"/>
      <c r="BU497" s="92"/>
      <c r="BV497" s="92"/>
      <c r="BW497" s="92"/>
      <c r="BX497" s="92"/>
      <c r="BY497" s="92"/>
      <c r="BZ497" s="92"/>
      <c r="CA497" s="92"/>
      <c r="CB497" s="92"/>
      <c r="CC497" s="92"/>
      <c r="CD497" s="92"/>
      <c r="CE497" s="92"/>
      <c r="CF497" s="92"/>
      <c r="CG497" s="92"/>
      <c r="CH497" s="92"/>
      <c r="CI497" s="92"/>
      <c r="CJ497" s="92"/>
      <c r="CK497" s="92"/>
      <c r="CL497" s="92"/>
      <c r="CM497" s="92"/>
      <c r="CN497" s="92"/>
      <c r="CO497" s="92"/>
      <c r="CP497" s="92"/>
      <c r="CQ497" s="92"/>
      <c r="CR497" s="92"/>
      <c r="CS497" s="92"/>
      <c r="CT497" s="92"/>
      <c r="CU497" s="92"/>
      <c r="CV497" s="92"/>
      <c r="CW497" s="92"/>
      <c r="CX497" s="92"/>
      <c r="CY497" s="92"/>
      <c r="CZ497" s="92"/>
      <c r="DA497" s="92"/>
      <c r="DB497" s="92"/>
      <c r="DC497" s="92"/>
      <c r="DD497" s="92"/>
      <c r="DE497" s="92"/>
      <c r="DF497" s="92"/>
      <c r="DG497" s="92"/>
      <c r="DH497" s="92"/>
      <c r="DI497" s="92"/>
      <c r="DJ497" s="92"/>
      <c r="DK497" s="92"/>
      <c r="DL497" s="92"/>
    </row>
    <row r="498" ht="20.25" customHeight="1">
      <c r="A498" s="44">
        <v>498.0</v>
      </c>
      <c r="B498" s="149" t="s">
        <v>285</v>
      </c>
      <c r="C498" s="149" t="s">
        <v>115</v>
      </c>
      <c r="D498" s="149" t="s">
        <v>221</v>
      </c>
      <c r="E498" s="71"/>
      <c r="F498" s="111" t="s">
        <v>2701</v>
      </c>
      <c r="G498" s="112" t="s">
        <v>2713</v>
      </c>
      <c r="H498" s="114" t="s">
        <v>222</v>
      </c>
      <c r="I498" s="417">
        <v>45640.0</v>
      </c>
      <c r="J498" s="114"/>
      <c r="K498" s="112" t="s">
        <v>1101</v>
      </c>
      <c r="L498" s="114"/>
      <c r="M498" s="418" t="s">
        <v>2714</v>
      </c>
      <c r="N498" s="112" t="s">
        <v>2704</v>
      </c>
      <c r="O498" s="114"/>
      <c r="P498" s="121" t="s">
        <v>2705</v>
      </c>
      <c r="Q498" s="52" t="str">
        <f t="array" ref="Q498"> if(iserror(MATCH(V498, 'File Links'!C:C, 0)), "N/A", HYPERLINK(INDEX('File Links'!B:B, MATCH(P498, 'File Links'!C:C, 0))))</f>
        <v>https://drive.google.com/file/d/1v5DJu4qjqzVUJEfoj2GHrhMbmyHZ-m6z/view?usp=drivesdk</v>
      </c>
      <c r="R498" s="112" t="s">
        <v>2706</v>
      </c>
      <c r="S498" s="112" t="s">
        <v>2707</v>
      </c>
      <c r="T498" s="114"/>
      <c r="U498" s="120"/>
      <c r="V498" s="198" t="str">
        <f t="shared" si="25"/>
        <v>10.1016--j.jrp.2024.104511.pdf</v>
      </c>
      <c r="W498" s="112" t="s">
        <v>2715</v>
      </c>
      <c r="X498" s="54" t="str">
        <f t="array" ref="X498"> if(iserror(MATCH(V498, 'File Links'!C:C, 0)), "N/A", HYPERLINK(INDEX('File Links'!B:B, MATCH(V498, 'File Links'!C:C, 0))))</f>
        <v>https://drive.google.com/file/d/1_wLROYuywRItyX2cFnsLf0N4QfaR5Z8L/view?usp=drivesdk</v>
      </c>
      <c r="Y498" s="114"/>
      <c r="Z498" s="112" t="s">
        <v>1600</v>
      </c>
      <c r="AA498" s="112" t="s">
        <v>2716</v>
      </c>
      <c r="AB498" s="112" t="s">
        <v>2717</v>
      </c>
      <c r="AC498" s="112" t="s">
        <v>2718</v>
      </c>
      <c r="AD498" s="112" t="s">
        <v>2719</v>
      </c>
      <c r="AE498" s="117">
        <v>18.0</v>
      </c>
      <c r="AF498" s="117">
        <v>674.0</v>
      </c>
      <c r="AG498" s="117">
        <v>-0.65</v>
      </c>
      <c r="AH498" s="121" t="s">
        <v>173</v>
      </c>
      <c r="AI498" s="112" t="s">
        <v>2720</v>
      </c>
      <c r="AJ498" s="117">
        <v>0.05</v>
      </c>
      <c r="AK498" s="122" t="s">
        <v>135</v>
      </c>
      <c r="AL498" s="112" t="s">
        <v>136</v>
      </c>
      <c r="AM498" s="114" t="s">
        <v>141</v>
      </c>
      <c r="AN498" s="653" t="s">
        <v>2711</v>
      </c>
      <c r="AO498" s="419">
        <v>404.0</v>
      </c>
      <c r="AP498" s="419">
        <v>0.1</v>
      </c>
      <c r="AQ498" s="112" t="s">
        <v>215</v>
      </c>
      <c r="AR498" s="112" t="s">
        <v>2720</v>
      </c>
      <c r="AS498" s="117">
        <v>0.05</v>
      </c>
      <c r="AT498" s="122" t="s">
        <v>135</v>
      </c>
      <c r="AU498" s="122" t="s">
        <v>136</v>
      </c>
      <c r="AV498" s="111" t="s">
        <v>141</v>
      </c>
      <c r="AW498" s="656" t="s">
        <v>2721</v>
      </c>
      <c r="AX498" s="838" t="s">
        <v>143</v>
      </c>
      <c r="AY498" s="61" t="str">
        <f>IFERROR(__xludf.DUMMYFUNCTION("vlookup(BB498,importrange(""https://docs.google.com/spreadsheets/d/1d2vevQ_7D_v35q4wCQ4RpQ_IPoTwEMB9Yp6ymwlPqew/edit?gid=984458430#gid=984458430"", ""'replication success'!A:K""), 11, FAlSE)"),"#N/A")</f>
        <v>#N/A</v>
      </c>
      <c r="AZ498" s="61" t="str">
        <f>IFERROR(__xludf.DUMMYFUNCTION("vlookup(BB498,importrange(""https://docs.google.com/spreadsheets/d/1d2vevQ_7D_v35q4wCQ4RpQ_IPoTwEMB9Yp6ymwlPqew/edit?gid=984458430#gid=984458430"", ""'replication success'!A:M""), 12, FAlSE)"),"#N/A")</f>
        <v>#N/A</v>
      </c>
      <c r="BA498" s="61" t="str">
        <f>IFERROR(__xludf.DUMMYFUNCTION("vlookup(BB498,importrange(""https://docs.google.com/spreadsheets/d/1d2vevQ_7D_v35q4wCQ4RpQ_IPoTwEMB9Yp6ymwlPqew/edit?gid=984458430#gid=984458430"", ""'replication success'!A:M""), 13, FAlSE)"),"#N/A")</f>
        <v>#N/A</v>
      </c>
      <c r="BB498" s="61" t="str">
        <f>IFERROR(__xludf.DUMMYFUNCTION("REGEXREPLACE(G498, ""_[a-z]{1,2}$"", """")"),"additional_studies65")</f>
        <v>additional_studies65</v>
      </c>
      <c r="BC498" s="61"/>
      <c r="BD498" s="71"/>
      <c r="BE498" s="92"/>
      <c r="BF498" s="92"/>
      <c r="BG498" s="92"/>
      <c r="BH498" s="92"/>
      <c r="BI498" s="92"/>
      <c r="BJ498" s="92"/>
      <c r="BK498" s="92"/>
      <c r="BL498" s="92"/>
      <c r="BM498" s="92"/>
      <c r="BN498" s="92"/>
      <c r="BO498" s="92"/>
      <c r="BP498" s="92"/>
      <c r="BQ498" s="92"/>
      <c r="BR498" s="92"/>
      <c r="BS498" s="92"/>
      <c r="BT498" s="92"/>
      <c r="BU498" s="92"/>
      <c r="BV498" s="92"/>
      <c r="BW498" s="92"/>
      <c r="BX498" s="92"/>
      <c r="BY498" s="92"/>
      <c r="BZ498" s="92"/>
      <c r="CA498" s="92"/>
      <c r="CB498" s="92"/>
      <c r="CC498" s="92"/>
      <c r="CD498" s="92"/>
      <c r="CE498" s="92"/>
      <c r="CF498" s="92"/>
      <c r="CG498" s="92"/>
      <c r="CH498" s="92"/>
      <c r="CI498" s="92"/>
      <c r="CJ498" s="92"/>
      <c r="CK498" s="92"/>
      <c r="CL498" s="92"/>
      <c r="CM498" s="92"/>
      <c r="CN498" s="92"/>
      <c r="CO498" s="92"/>
      <c r="CP498" s="92"/>
      <c r="CQ498" s="92"/>
      <c r="CR498" s="92"/>
      <c r="CS498" s="92"/>
      <c r="CT498" s="92"/>
      <c r="CU498" s="92"/>
      <c r="CV498" s="92"/>
      <c r="CW498" s="92"/>
      <c r="CX498" s="92"/>
      <c r="CY498" s="92"/>
      <c r="CZ498" s="92"/>
      <c r="DA498" s="92"/>
      <c r="DB498" s="92"/>
      <c r="DC498" s="92"/>
      <c r="DD498" s="92"/>
      <c r="DE498" s="92"/>
      <c r="DF498" s="92"/>
      <c r="DG498" s="92"/>
      <c r="DH498" s="92"/>
      <c r="DI498" s="92"/>
      <c r="DJ498" s="92"/>
      <c r="DK498" s="92"/>
      <c r="DL498" s="92"/>
    </row>
    <row r="499" ht="20.25" customHeight="1">
      <c r="A499" s="44">
        <v>499.0</v>
      </c>
      <c r="B499" s="149" t="s">
        <v>285</v>
      </c>
      <c r="C499" s="149" t="s">
        <v>115</v>
      </c>
      <c r="D499" s="149" t="s">
        <v>221</v>
      </c>
      <c r="E499" s="71"/>
      <c r="F499" s="111" t="s">
        <v>2701</v>
      </c>
      <c r="G499" s="112" t="s">
        <v>2722</v>
      </c>
      <c r="H499" s="114" t="s">
        <v>222</v>
      </c>
      <c r="I499" s="417">
        <v>45640.0</v>
      </c>
      <c r="J499" s="114"/>
      <c r="K499" s="112" t="s">
        <v>1101</v>
      </c>
      <c r="L499" s="114"/>
      <c r="M499" s="418" t="s">
        <v>2723</v>
      </c>
      <c r="N499" s="112" t="s">
        <v>2704</v>
      </c>
      <c r="O499" s="114"/>
      <c r="P499" s="121" t="s">
        <v>2705</v>
      </c>
      <c r="Q499" s="52" t="str">
        <f t="array" ref="Q499"> if(iserror(MATCH(V499, 'File Links'!C:C, 0)), "N/A", HYPERLINK(INDEX('File Links'!B:B, MATCH(P499, 'File Links'!C:C, 0))))</f>
        <v>https://drive.google.com/file/d/1v5DJu4qjqzVUJEfoj2GHrhMbmyHZ-m6z/view?usp=drivesdk</v>
      </c>
      <c r="R499" s="112" t="s">
        <v>2706</v>
      </c>
      <c r="S499" s="112" t="s">
        <v>2707</v>
      </c>
      <c r="T499" s="114"/>
      <c r="U499" s="120"/>
      <c r="V499" s="198" t="str">
        <f t="shared" si="25"/>
        <v>10.1016--j.jrp.2024.104511.pdf</v>
      </c>
      <c r="W499" s="112" t="s">
        <v>2715</v>
      </c>
      <c r="X499" s="54" t="str">
        <f t="array" ref="X499"> if(iserror(MATCH(V499, 'File Links'!C:C, 0)), "N/A", HYPERLINK(INDEX('File Links'!B:B, MATCH(V499, 'File Links'!C:C, 0))))</f>
        <v>https://drive.google.com/file/d/1_wLROYuywRItyX2cFnsLf0N4QfaR5Z8L/view?usp=drivesdk</v>
      </c>
      <c r="Y499" s="114"/>
      <c r="Z499" s="112" t="s">
        <v>1600</v>
      </c>
      <c r="AA499" s="112" t="s">
        <v>2716</v>
      </c>
      <c r="AB499" s="112" t="s">
        <v>2717</v>
      </c>
      <c r="AC499" s="112" t="s">
        <v>2724</v>
      </c>
      <c r="AD499" s="114"/>
      <c r="AE499" s="117">
        <v>37.0</v>
      </c>
      <c r="AF499" s="117">
        <v>674.0</v>
      </c>
      <c r="AG499" s="117">
        <v>-0.16</v>
      </c>
      <c r="AH499" s="121" t="s">
        <v>173</v>
      </c>
      <c r="AI499" s="112" t="s">
        <v>2720</v>
      </c>
      <c r="AJ499" s="117">
        <v>0.05</v>
      </c>
      <c r="AK499" s="122" t="s">
        <v>135</v>
      </c>
      <c r="AL499" s="112" t="s">
        <v>136</v>
      </c>
      <c r="AM499" s="114" t="s">
        <v>141</v>
      </c>
      <c r="AN499" s="653" t="s">
        <v>2711</v>
      </c>
      <c r="AO499" s="419">
        <v>404.0</v>
      </c>
      <c r="AP499" s="419">
        <v>0.1</v>
      </c>
      <c r="AQ499" s="112" t="s">
        <v>215</v>
      </c>
      <c r="AR499" s="112" t="s">
        <v>2720</v>
      </c>
      <c r="AS499" s="117">
        <v>0.05</v>
      </c>
      <c r="AT499" s="122" t="s">
        <v>135</v>
      </c>
      <c r="AU499" s="122" t="s">
        <v>136</v>
      </c>
      <c r="AV499" s="111" t="s">
        <v>141</v>
      </c>
      <c r="AW499" s="656" t="s">
        <v>2721</v>
      </c>
      <c r="AX499" s="838" t="s">
        <v>143</v>
      </c>
      <c r="AY499" s="61" t="str">
        <f>IFERROR(__xludf.DUMMYFUNCTION("vlookup(BB499,importrange(""https://docs.google.com/spreadsheets/d/1d2vevQ_7D_v35q4wCQ4RpQ_IPoTwEMB9Yp6ymwlPqew/edit?gid=984458430#gid=984458430"", ""'replication success'!A:K""), 11, FAlSE)"),"#N/A")</f>
        <v>#N/A</v>
      </c>
      <c r="AZ499" s="61" t="str">
        <f>IFERROR(__xludf.DUMMYFUNCTION("vlookup(BB499,importrange(""https://docs.google.com/spreadsheets/d/1d2vevQ_7D_v35q4wCQ4RpQ_IPoTwEMB9Yp6ymwlPqew/edit?gid=984458430#gid=984458430"", ""'replication success'!A:M""), 12, FAlSE)"),"#N/A")</f>
        <v>#N/A</v>
      </c>
      <c r="BA499" s="61" t="str">
        <f>IFERROR(__xludf.DUMMYFUNCTION("vlookup(BB499,importrange(""https://docs.google.com/spreadsheets/d/1d2vevQ_7D_v35q4wCQ4RpQ_IPoTwEMB9Yp6ymwlPqew/edit?gid=984458430#gid=984458430"", ""'replication success'!A:M""), 13, FAlSE)"),"#N/A")</f>
        <v>#N/A</v>
      </c>
      <c r="BB499" s="61" t="str">
        <f>IFERROR(__xludf.DUMMYFUNCTION("REGEXREPLACE(G499, ""_[a-z]{1,2}$"", """")"),"additional_studies65")</f>
        <v>additional_studies65</v>
      </c>
      <c r="BC499" s="61"/>
      <c r="BD499" s="71"/>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c r="CA499" s="92"/>
      <c r="CB499" s="92"/>
      <c r="CC499" s="92"/>
      <c r="CD499" s="92"/>
      <c r="CE499" s="92"/>
      <c r="CF499" s="92"/>
      <c r="CG499" s="92"/>
      <c r="CH499" s="92"/>
      <c r="CI499" s="92"/>
      <c r="CJ499" s="92"/>
      <c r="CK499" s="92"/>
      <c r="CL499" s="92"/>
      <c r="CM499" s="92"/>
      <c r="CN499" s="92"/>
      <c r="CO499" s="92"/>
      <c r="CP499" s="92"/>
      <c r="CQ499" s="92"/>
      <c r="CR499" s="92"/>
      <c r="CS499" s="92"/>
      <c r="CT499" s="92"/>
      <c r="CU499" s="92"/>
      <c r="CV499" s="92"/>
      <c r="CW499" s="92"/>
      <c r="CX499" s="92"/>
      <c r="CY499" s="92"/>
      <c r="CZ499" s="92"/>
      <c r="DA499" s="92"/>
      <c r="DB499" s="92"/>
      <c r="DC499" s="92"/>
      <c r="DD499" s="92"/>
      <c r="DE499" s="92"/>
      <c r="DF499" s="92"/>
      <c r="DG499" s="92"/>
      <c r="DH499" s="92"/>
      <c r="DI499" s="92"/>
      <c r="DJ499" s="92"/>
      <c r="DK499" s="92"/>
      <c r="DL499" s="92"/>
    </row>
    <row r="500" ht="20.25" customHeight="1">
      <c r="A500" s="44">
        <v>500.0</v>
      </c>
      <c r="B500" s="149" t="s">
        <v>285</v>
      </c>
      <c r="C500" s="149" t="s">
        <v>115</v>
      </c>
      <c r="D500" s="149" t="s">
        <v>221</v>
      </c>
      <c r="E500" s="71"/>
      <c r="F500" s="111" t="s">
        <v>2701</v>
      </c>
      <c r="G500" s="112" t="s">
        <v>2725</v>
      </c>
      <c r="H500" s="114" t="s">
        <v>222</v>
      </c>
      <c r="I500" s="417">
        <v>45640.0</v>
      </c>
      <c r="J500" s="114"/>
      <c r="K500" s="112" t="s">
        <v>1101</v>
      </c>
      <c r="L500" s="114"/>
      <c r="M500" s="418" t="s">
        <v>2726</v>
      </c>
      <c r="N500" s="112" t="s">
        <v>2704</v>
      </c>
      <c r="O500" s="114"/>
      <c r="P500" s="121" t="s">
        <v>2705</v>
      </c>
      <c r="Q500" s="52" t="str">
        <f t="array" ref="Q500"> if(iserror(MATCH(V500, 'File Links'!C:C, 0)), "N/A", HYPERLINK(INDEX('File Links'!B:B, MATCH(P500, 'File Links'!C:C, 0))))</f>
        <v>https://drive.google.com/file/d/1v5DJu4qjqzVUJEfoj2GHrhMbmyHZ-m6z/view?usp=drivesdk</v>
      </c>
      <c r="R500" s="112" t="s">
        <v>2706</v>
      </c>
      <c r="S500" s="112" t="s">
        <v>2707</v>
      </c>
      <c r="T500" s="114"/>
      <c r="U500" s="120"/>
      <c r="V500" s="198" t="str">
        <f t="shared" si="25"/>
        <v>10.1016--j.jrp.2024.104511.pdf</v>
      </c>
      <c r="W500" s="112" t="s">
        <v>2715</v>
      </c>
      <c r="X500" s="54" t="str">
        <f t="array" ref="X500"> if(iserror(MATCH(V500, 'File Links'!C:C, 0)), "N/A", HYPERLINK(INDEX('File Links'!B:B, MATCH(V500, 'File Links'!C:C, 0))))</f>
        <v>https://drive.google.com/file/d/1_wLROYuywRItyX2cFnsLf0N4QfaR5Z8L/view?usp=drivesdk</v>
      </c>
      <c r="Y500" s="114"/>
      <c r="Z500" s="112" t="s">
        <v>1600</v>
      </c>
      <c r="AA500" s="112" t="s">
        <v>2716</v>
      </c>
      <c r="AB500" s="112" t="s">
        <v>2717</v>
      </c>
      <c r="AC500" s="112" t="s">
        <v>2727</v>
      </c>
      <c r="AD500" s="114"/>
      <c r="AE500" s="117">
        <v>37.0</v>
      </c>
      <c r="AF500" s="117">
        <v>674.0</v>
      </c>
      <c r="AG500" s="117">
        <v>0.0</v>
      </c>
      <c r="AH500" s="120"/>
      <c r="AI500" s="112" t="s">
        <v>2720</v>
      </c>
      <c r="AJ500" s="117">
        <v>0.67</v>
      </c>
      <c r="AK500" s="122" t="s">
        <v>172</v>
      </c>
      <c r="AL500" s="112" t="s">
        <v>136</v>
      </c>
      <c r="AM500" s="114" t="s">
        <v>141</v>
      </c>
      <c r="AN500" s="418" t="s">
        <v>2711</v>
      </c>
      <c r="AO500" s="419">
        <v>404.0</v>
      </c>
      <c r="AP500" s="419">
        <v>-0.16</v>
      </c>
      <c r="AQ500" s="112" t="s">
        <v>215</v>
      </c>
      <c r="AR500" s="112" t="s">
        <v>2720</v>
      </c>
      <c r="AS500" s="117">
        <v>0.05</v>
      </c>
      <c r="AT500" s="122" t="s">
        <v>135</v>
      </c>
      <c r="AU500" s="122" t="s">
        <v>136</v>
      </c>
      <c r="AV500" s="111" t="s">
        <v>141</v>
      </c>
      <c r="AW500" s="656" t="s">
        <v>2721</v>
      </c>
      <c r="AX500" s="838" t="s">
        <v>143</v>
      </c>
      <c r="AY500" s="61" t="str">
        <f>IFERROR(__xludf.DUMMYFUNCTION("vlookup(BB500,importrange(""https://docs.google.com/spreadsheets/d/1d2vevQ_7D_v35q4wCQ4RpQ_IPoTwEMB9Yp6ymwlPqew/edit?gid=984458430#gid=984458430"", ""'replication success'!A:K""), 11, FAlSE)"),"#N/A")</f>
        <v>#N/A</v>
      </c>
      <c r="AZ500" s="61" t="str">
        <f>IFERROR(__xludf.DUMMYFUNCTION("vlookup(BB500,importrange(""https://docs.google.com/spreadsheets/d/1d2vevQ_7D_v35q4wCQ4RpQ_IPoTwEMB9Yp6ymwlPqew/edit?gid=984458430#gid=984458430"", ""'replication success'!A:M""), 12, FAlSE)"),"#N/A")</f>
        <v>#N/A</v>
      </c>
      <c r="BA500" s="61" t="str">
        <f>IFERROR(__xludf.DUMMYFUNCTION("vlookup(BB500,importrange(""https://docs.google.com/spreadsheets/d/1d2vevQ_7D_v35q4wCQ4RpQ_IPoTwEMB9Yp6ymwlPqew/edit?gid=984458430#gid=984458430"", ""'replication success'!A:M""), 13, FAlSE)"),"#N/A")</f>
        <v>#N/A</v>
      </c>
      <c r="BB500" s="61" t="str">
        <f>IFERROR(__xludf.DUMMYFUNCTION("REGEXREPLACE(G500, ""_[a-z]{1,2}$"", """")"),"additional_studies65")</f>
        <v>additional_studies65</v>
      </c>
      <c r="BC500" s="61"/>
      <c r="BD500" s="71"/>
      <c r="BE500" s="92"/>
      <c r="BF500" s="92"/>
      <c r="BG500" s="92"/>
      <c r="BH500" s="92"/>
      <c r="BI500" s="92"/>
      <c r="BJ500" s="92"/>
      <c r="BK500" s="92"/>
      <c r="BL500" s="92"/>
      <c r="BM500" s="92"/>
      <c r="BN500" s="92"/>
      <c r="BO500" s="92"/>
      <c r="BP500" s="92"/>
      <c r="BQ500" s="92"/>
      <c r="BR500" s="92"/>
      <c r="BS500" s="92"/>
      <c r="BT500" s="92"/>
      <c r="BU500" s="92"/>
      <c r="BV500" s="92"/>
      <c r="BW500" s="92"/>
      <c r="BX500" s="92"/>
      <c r="BY500" s="92"/>
      <c r="BZ500" s="92"/>
      <c r="CA500" s="92"/>
      <c r="CB500" s="92"/>
      <c r="CC500" s="92"/>
      <c r="CD500" s="92"/>
      <c r="CE500" s="92"/>
      <c r="CF500" s="92"/>
      <c r="CG500" s="92"/>
      <c r="CH500" s="92"/>
      <c r="CI500" s="92"/>
      <c r="CJ500" s="92"/>
      <c r="CK500" s="92"/>
      <c r="CL500" s="92"/>
      <c r="CM500" s="92"/>
      <c r="CN500" s="92"/>
      <c r="CO500" s="92"/>
      <c r="CP500" s="92"/>
      <c r="CQ500" s="92"/>
      <c r="CR500" s="92"/>
      <c r="CS500" s="92"/>
      <c r="CT500" s="92"/>
      <c r="CU500" s="92"/>
      <c r="CV500" s="92"/>
      <c r="CW500" s="92"/>
      <c r="CX500" s="92"/>
      <c r="CY500" s="92"/>
      <c r="CZ500" s="92"/>
      <c r="DA500" s="92"/>
      <c r="DB500" s="92"/>
      <c r="DC500" s="92"/>
      <c r="DD500" s="92"/>
      <c r="DE500" s="92"/>
      <c r="DF500" s="92"/>
      <c r="DG500" s="92"/>
      <c r="DH500" s="92"/>
      <c r="DI500" s="92"/>
      <c r="DJ500" s="92"/>
      <c r="DK500" s="92"/>
      <c r="DL500" s="92"/>
    </row>
    <row r="501" ht="20.25" customHeight="1">
      <c r="A501" s="44">
        <v>501.0</v>
      </c>
      <c r="B501" s="149" t="s">
        <v>285</v>
      </c>
      <c r="C501" s="149" t="s">
        <v>115</v>
      </c>
      <c r="D501" s="149" t="s">
        <v>221</v>
      </c>
      <c r="E501" s="71"/>
      <c r="F501" s="111" t="s">
        <v>2701</v>
      </c>
      <c r="G501" s="112" t="s">
        <v>2728</v>
      </c>
      <c r="H501" s="114" t="s">
        <v>222</v>
      </c>
      <c r="I501" s="417">
        <v>45640.0</v>
      </c>
      <c r="J501" s="114"/>
      <c r="K501" s="112" t="s">
        <v>1101</v>
      </c>
      <c r="L501" s="114"/>
      <c r="M501" s="418" t="s">
        <v>2729</v>
      </c>
      <c r="N501" s="112" t="s">
        <v>2704</v>
      </c>
      <c r="O501" s="114"/>
      <c r="P501" s="121" t="s">
        <v>2705</v>
      </c>
      <c r="Q501" s="52" t="str">
        <f t="array" ref="Q501"> if(iserror(MATCH(V501, 'File Links'!C:C, 0)), "N/A", HYPERLINK(INDEX('File Links'!B:B, MATCH(P501, 'File Links'!C:C, 0))))</f>
        <v>https://drive.google.com/file/d/1v5DJu4qjqzVUJEfoj2GHrhMbmyHZ-m6z/view?usp=drivesdk</v>
      </c>
      <c r="R501" s="112" t="s">
        <v>2706</v>
      </c>
      <c r="S501" s="112" t="s">
        <v>2707</v>
      </c>
      <c r="T501" s="114"/>
      <c r="U501" s="120"/>
      <c r="V501" s="198" t="str">
        <f t="shared" si="25"/>
        <v>10.1016--j.jrp.2024.104511.pdf</v>
      </c>
      <c r="W501" s="112" t="s">
        <v>2715</v>
      </c>
      <c r="X501" s="54" t="str">
        <f t="array" ref="X501"> if(iserror(MATCH(V501, 'File Links'!C:C, 0)), "N/A", HYPERLINK(INDEX('File Links'!B:B, MATCH(V501, 'File Links'!C:C, 0))))</f>
        <v>https://drive.google.com/file/d/1_wLROYuywRItyX2cFnsLf0N4QfaR5Z8L/view?usp=drivesdk</v>
      </c>
      <c r="Y501" s="114"/>
      <c r="Z501" s="112" t="s">
        <v>1600</v>
      </c>
      <c r="AA501" s="112" t="s">
        <v>2716</v>
      </c>
      <c r="AB501" s="112" t="s">
        <v>2717</v>
      </c>
      <c r="AC501" s="112" t="s">
        <v>2730</v>
      </c>
      <c r="AD501" s="114"/>
      <c r="AE501" s="117">
        <v>37.0</v>
      </c>
      <c r="AF501" s="117">
        <v>674.0</v>
      </c>
      <c r="AG501" s="117">
        <v>0.29</v>
      </c>
      <c r="AH501" s="121" t="s">
        <v>173</v>
      </c>
      <c r="AI501" s="112" t="s">
        <v>2720</v>
      </c>
      <c r="AJ501" s="117">
        <v>0.67</v>
      </c>
      <c r="AK501" s="122" t="s">
        <v>172</v>
      </c>
      <c r="AL501" s="112" t="s">
        <v>136</v>
      </c>
      <c r="AM501" s="114" t="s">
        <v>141</v>
      </c>
      <c r="AN501" s="653" t="s">
        <v>2711</v>
      </c>
      <c r="AO501" s="419">
        <v>404.0</v>
      </c>
      <c r="AP501" s="419">
        <v>-0.16</v>
      </c>
      <c r="AQ501" s="112" t="s">
        <v>215</v>
      </c>
      <c r="AR501" s="112" t="s">
        <v>2720</v>
      </c>
      <c r="AS501" s="117">
        <v>0.05</v>
      </c>
      <c r="AT501" s="122" t="s">
        <v>135</v>
      </c>
      <c r="AU501" s="122" t="s">
        <v>136</v>
      </c>
      <c r="AV501" s="111" t="s">
        <v>141</v>
      </c>
      <c r="AW501" s="656" t="s">
        <v>2721</v>
      </c>
      <c r="AX501" s="838" t="s">
        <v>143</v>
      </c>
      <c r="AY501" s="61" t="str">
        <f>IFERROR(__xludf.DUMMYFUNCTION("vlookup(BB501,importrange(""https://docs.google.com/spreadsheets/d/1d2vevQ_7D_v35q4wCQ4RpQ_IPoTwEMB9Yp6ymwlPqew/edit?gid=984458430#gid=984458430"", ""'replication success'!A:K""), 11, FAlSE)"),"#N/A")</f>
        <v>#N/A</v>
      </c>
      <c r="AZ501" s="61" t="str">
        <f>IFERROR(__xludf.DUMMYFUNCTION("vlookup(BB501,importrange(""https://docs.google.com/spreadsheets/d/1d2vevQ_7D_v35q4wCQ4RpQ_IPoTwEMB9Yp6ymwlPqew/edit?gid=984458430#gid=984458430"", ""'replication success'!A:M""), 12, FAlSE)"),"#N/A")</f>
        <v>#N/A</v>
      </c>
      <c r="BA501" s="61" t="str">
        <f>IFERROR(__xludf.DUMMYFUNCTION("vlookup(BB501,importrange(""https://docs.google.com/spreadsheets/d/1d2vevQ_7D_v35q4wCQ4RpQ_IPoTwEMB9Yp6ymwlPqew/edit?gid=984458430#gid=984458430"", ""'replication success'!A:M""), 13, FAlSE)"),"#N/A")</f>
        <v>#N/A</v>
      </c>
      <c r="BB501" s="61" t="str">
        <f>IFERROR(__xludf.DUMMYFUNCTION("REGEXREPLACE(G501, ""_[a-z]{1,2}$"", """")"),"additional_studies65")</f>
        <v>additional_studies65</v>
      </c>
      <c r="BC501" s="61"/>
      <c r="BD501" s="71"/>
      <c r="BE501" s="92"/>
      <c r="BF501" s="92"/>
      <c r="BG501" s="92"/>
      <c r="BH501" s="92"/>
      <c r="BI501" s="92"/>
      <c r="BJ501" s="92"/>
      <c r="BK501" s="92"/>
      <c r="BL501" s="92"/>
      <c r="BM501" s="92"/>
      <c r="BN501" s="92"/>
      <c r="BO501" s="92"/>
      <c r="BP501" s="92"/>
      <c r="BQ501" s="92"/>
      <c r="BR501" s="92"/>
      <c r="BS501" s="92"/>
      <c r="BT501" s="92"/>
      <c r="BU501" s="92"/>
      <c r="BV501" s="92"/>
      <c r="BW501" s="92"/>
      <c r="BX501" s="92"/>
      <c r="BY501" s="92"/>
      <c r="BZ501" s="92"/>
      <c r="CA501" s="92"/>
      <c r="CB501" s="92"/>
      <c r="CC501" s="92"/>
      <c r="CD501" s="92"/>
      <c r="CE501" s="92"/>
      <c r="CF501" s="92"/>
      <c r="CG501" s="92"/>
      <c r="CH501" s="92"/>
      <c r="CI501" s="92"/>
      <c r="CJ501" s="92"/>
      <c r="CK501" s="92"/>
      <c r="CL501" s="92"/>
      <c r="CM501" s="92"/>
      <c r="CN501" s="92"/>
      <c r="CO501" s="92"/>
      <c r="CP501" s="92"/>
      <c r="CQ501" s="92"/>
      <c r="CR501" s="92"/>
      <c r="CS501" s="92"/>
      <c r="CT501" s="92"/>
      <c r="CU501" s="92"/>
      <c r="CV501" s="92"/>
      <c r="CW501" s="92"/>
      <c r="CX501" s="92"/>
      <c r="CY501" s="92"/>
      <c r="CZ501" s="92"/>
      <c r="DA501" s="92"/>
      <c r="DB501" s="92"/>
      <c r="DC501" s="92"/>
      <c r="DD501" s="92"/>
      <c r="DE501" s="92"/>
      <c r="DF501" s="92"/>
      <c r="DG501" s="92"/>
      <c r="DH501" s="92"/>
      <c r="DI501" s="92"/>
      <c r="DJ501" s="92"/>
      <c r="DK501" s="92"/>
      <c r="DL501" s="92"/>
    </row>
    <row r="502" ht="20.25" customHeight="1">
      <c r="A502" s="44">
        <v>502.0</v>
      </c>
      <c r="B502" s="149" t="s">
        <v>285</v>
      </c>
      <c r="C502" s="149" t="s">
        <v>115</v>
      </c>
      <c r="D502" s="149" t="s">
        <v>221</v>
      </c>
      <c r="E502" s="71"/>
      <c r="F502" s="111" t="s">
        <v>2701</v>
      </c>
      <c r="G502" s="112" t="s">
        <v>2731</v>
      </c>
      <c r="H502" s="114" t="s">
        <v>222</v>
      </c>
      <c r="I502" s="417">
        <v>45640.0</v>
      </c>
      <c r="J502" s="114"/>
      <c r="K502" s="112" t="s">
        <v>1101</v>
      </c>
      <c r="L502" s="114"/>
      <c r="M502" s="418" t="s">
        <v>2732</v>
      </c>
      <c r="N502" s="112" t="s">
        <v>2704</v>
      </c>
      <c r="O502" s="114"/>
      <c r="P502" s="121" t="s">
        <v>2705</v>
      </c>
      <c r="Q502" s="52" t="str">
        <f t="array" ref="Q502"> if(iserror(MATCH(V502, 'File Links'!C:C, 0)), "N/A", HYPERLINK(INDEX('File Links'!B:B, MATCH(P502, 'File Links'!C:C, 0))))</f>
        <v>https://drive.google.com/file/d/1v5DJu4qjqzVUJEfoj2GHrhMbmyHZ-m6z/view?usp=drivesdk</v>
      </c>
      <c r="R502" s="112" t="s">
        <v>2706</v>
      </c>
      <c r="S502" s="112" t="s">
        <v>2707</v>
      </c>
      <c r="T502" s="114"/>
      <c r="U502" s="120"/>
      <c r="V502" s="198" t="str">
        <f t="shared" si="25"/>
        <v>10.1016--j.jrp.2024.104511.pdf</v>
      </c>
      <c r="W502" s="112" t="s">
        <v>2715</v>
      </c>
      <c r="X502" s="54" t="str">
        <f t="array" ref="X502"> if(iserror(MATCH(V502, 'File Links'!C:C, 0)), "N/A", HYPERLINK(INDEX('File Links'!B:B, MATCH(V502, 'File Links'!C:C, 0))))</f>
        <v>https://drive.google.com/file/d/1_wLROYuywRItyX2cFnsLf0N4QfaR5Z8L/view?usp=drivesdk</v>
      </c>
      <c r="Y502" s="114"/>
      <c r="Z502" s="112" t="s">
        <v>1600</v>
      </c>
      <c r="AA502" s="112" t="s">
        <v>2716</v>
      </c>
      <c r="AB502" s="112" t="s">
        <v>2717</v>
      </c>
      <c r="AC502" s="112" t="s">
        <v>2733</v>
      </c>
      <c r="AD502" s="114"/>
      <c r="AE502" s="117">
        <v>37.0</v>
      </c>
      <c r="AF502" s="117">
        <v>674.0</v>
      </c>
      <c r="AG502" s="117">
        <v>-0.41</v>
      </c>
      <c r="AH502" s="121" t="s">
        <v>173</v>
      </c>
      <c r="AI502" s="112" t="s">
        <v>2720</v>
      </c>
      <c r="AJ502" s="117">
        <v>0.05</v>
      </c>
      <c r="AK502" s="122" t="s">
        <v>135</v>
      </c>
      <c r="AL502" s="112" t="s">
        <v>136</v>
      </c>
      <c r="AM502" s="114" t="s">
        <v>141</v>
      </c>
      <c r="AN502" s="653" t="s">
        <v>2711</v>
      </c>
      <c r="AO502" s="419">
        <v>404.0</v>
      </c>
      <c r="AP502" s="419">
        <v>0.1</v>
      </c>
      <c r="AQ502" s="112" t="s">
        <v>215</v>
      </c>
      <c r="AR502" s="112" t="s">
        <v>2720</v>
      </c>
      <c r="AS502" s="117">
        <v>0.05</v>
      </c>
      <c r="AT502" s="122" t="s">
        <v>135</v>
      </c>
      <c r="AU502" s="122" t="s">
        <v>136</v>
      </c>
      <c r="AV502" s="111" t="s">
        <v>141</v>
      </c>
      <c r="AW502" s="656" t="s">
        <v>2721</v>
      </c>
      <c r="AX502" s="838" t="s">
        <v>143</v>
      </c>
      <c r="AY502" s="61" t="str">
        <f>IFERROR(__xludf.DUMMYFUNCTION("vlookup(BB502,importrange(""https://docs.google.com/spreadsheets/d/1d2vevQ_7D_v35q4wCQ4RpQ_IPoTwEMB9Yp6ymwlPqew/edit?gid=984458430#gid=984458430"", ""'replication success'!A:K""), 11, FAlSE)"),"#N/A")</f>
        <v>#N/A</v>
      </c>
      <c r="AZ502" s="61" t="str">
        <f>IFERROR(__xludf.DUMMYFUNCTION("vlookup(BB502,importrange(""https://docs.google.com/spreadsheets/d/1d2vevQ_7D_v35q4wCQ4RpQ_IPoTwEMB9Yp6ymwlPqew/edit?gid=984458430#gid=984458430"", ""'replication success'!A:M""), 12, FAlSE)"),"#N/A")</f>
        <v>#N/A</v>
      </c>
      <c r="BA502" s="61" t="str">
        <f>IFERROR(__xludf.DUMMYFUNCTION("vlookup(BB502,importrange(""https://docs.google.com/spreadsheets/d/1d2vevQ_7D_v35q4wCQ4RpQ_IPoTwEMB9Yp6ymwlPqew/edit?gid=984458430#gid=984458430"", ""'replication success'!A:M""), 13, FAlSE)"),"#N/A")</f>
        <v>#N/A</v>
      </c>
      <c r="BB502" s="61" t="str">
        <f>IFERROR(__xludf.DUMMYFUNCTION("REGEXREPLACE(G502, ""_[a-z]{1,2}$"", """")"),"additional_studies65")</f>
        <v>additional_studies65</v>
      </c>
      <c r="BC502" s="61"/>
      <c r="BD502" s="71"/>
    </row>
    <row r="503" ht="20.25" customHeight="1">
      <c r="A503" s="44">
        <v>503.0</v>
      </c>
      <c r="B503" s="149" t="s">
        <v>285</v>
      </c>
      <c r="C503" s="149" t="s">
        <v>115</v>
      </c>
      <c r="D503" s="149" t="s">
        <v>221</v>
      </c>
      <c r="E503" s="71"/>
      <c r="F503" s="111" t="s">
        <v>2701</v>
      </c>
      <c r="G503" s="112" t="s">
        <v>2734</v>
      </c>
      <c r="H503" s="114" t="s">
        <v>222</v>
      </c>
      <c r="I503" s="417">
        <v>45640.0</v>
      </c>
      <c r="J503" s="114"/>
      <c r="K503" s="112" t="s">
        <v>1101</v>
      </c>
      <c r="L503" s="114"/>
      <c r="M503" s="418" t="s">
        <v>2735</v>
      </c>
      <c r="N503" s="112" t="s">
        <v>2704</v>
      </c>
      <c r="O503" s="114"/>
      <c r="P503" s="121" t="s">
        <v>2705</v>
      </c>
      <c r="Q503" s="52" t="str">
        <f t="array" ref="Q503"> if(iserror(MATCH(V503, 'File Links'!C:C, 0)), "N/A", HYPERLINK(INDEX('File Links'!B:B, MATCH(P503, 'File Links'!C:C, 0))))</f>
        <v>https://drive.google.com/file/d/1v5DJu4qjqzVUJEfoj2GHrhMbmyHZ-m6z/view?usp=drivesdk</v>
      </c>
      <c r="R503" s="112" t="s">
        <v>2706</v>
      </c>
      <c r="S503" s="112" t="s">
        <v>2707</v>
      </c>
      <c r="T503" s="114"/>
      <c r="U503" s="120"/>
      <c r="V503" s="198" t="str">
        <f t="shared" si="25"/>
        <v>10.1016--j.jrp.2024.104511.pdf</v>
      </c>
      <c r="W503" s="112" t="s">
        <v>2715</v>
      </c>
      <c r="X503" s="54" t="str">
        <f t="array" ref="X503"> if(iserror(MATCH(V503, 'File Links'!C:C, 0)), "N/A", HYPERLINK(INDEX('File Links'!B:B, MATCH(V503, 'File Links'!C:C, 0))))</f>
        <v>https://drive.google.com/file/d/1_wLROYuywRItyX2cFnsLf0N4QfaR5Z8L/view?usp=drivesdk</v>
      </c>
      <c r="Y503" s="114"/>
      <c r="Z503" s="112" t="s">
        <v>1600</v>
      </c>
      <c r="AA503" s="112" t="s">
        <v>2716</v>
      </c>
      <c r="AB503" s="112" t="s">
        <v>2717</v>
      </c>
      <c r="AC503" s="112" t="s">
        <v>2736</v>
      </c>
      <c r="AD503" s="114"/>
      <c r="AE503" s="117">
        <v>37.0</v>
      </c>
      <c r="AF503" s="117">
        <v>674.0</v>
      </c>
      <c r="AG503" s="117">
        <v>-0.65</v>
      </c>
      <c r="AH503" s="121" t="s">
        <v>173</v>
      </c>
      <c r="AI503" s="112" t="s">
        <v>2720</v>
      </c>
      <c r="AJ503" s="117">
        <v>0.05</v>
      </c>
      <c r="AK503" s="122" t="s">
        <v>135</v>
      </c>
      <c r="AL503" s="112" t="s">
        <v>136</v>
      </c>
      <c r="AM503" s="114" t="s">
        <v>141</v>
      </c>
      <c r="AN503" s="653" t="s">
        <v>2711</v>
      </c>
      <c r="AO503" s="419">
        <v>404.0</v>
      </c>
      <c r="AP503" s="419">
        <v>0.1</v>
      </c>
      <c r="AQ503" s="112" t="s">
        <v>215</v>
      </c>
      <c r="AR503" s="112" t="s">
        <v>2720</v>
      </c>
      <c r="AS503" s="117">
        <v>0.05</v>
      </c>
      <c r="AT503" s="122" t="s">
        <v>135</v>
      </c>
      <c r="AU503" s="122" t="s">
        <v>136</v>
      </c>
      <c r="AV503" s="111" t="s">
        <v>141</v>
      </c>
      <c r="AW503" s="656" t="s">
        <v>2721</v>
      </c>
      <c r="AX503" s="838" t="s">
        <v>143</v>
      </c>
      <c r="AY503" s="61" t="str">
        <f>IFERROR(__xludf.DUMMYFUNCTION("vlookup(BB503,importrange(""https://docs.google.com/spreadsheets/d/1d2vevQ_7D_v35q4wCQ4RpQ_IPoTwEMB9Yp6ymwlPqew/edit?gid=984458430#gid=984458430"", ""'replication success'!A:K""), 11, FAlSE)"),"#N/A")</f>
        <v>#N/A</v>
      </c>
      <c r="AZ503" s="61" t="str">
        <f>IFERROR(__xludf.DUMMYFUNCTION("vlookup(BB503,importrange(""https://docs.google.com/spreadsheets/d/1d2vevQ_7D_v35q4wCQ4RpQ_IPoTwEMB9Yp6ymwlPqew/edit?gid=984458430#gid=984458430"", ""'replication success'!A:M""), 12, FAlSE)"),"#N/A")</f>
        <v>#N/A</v>
      </c>
      <c r="BA503" s="61" t="str">
        <f>IFERROR(__xludf.DUMMYFUNCTION("vlookup(BB503,importrange(""https://docs.google.com/spreadsheets/d/1d2vevQ_7D_v35q4wCQ4RpQ_IPoTwEMB9Yp6ymwlPqew/edit?gid=984458430#gid=984458430"", ""'replication success'!A:M""), 13, FAlSE)"),"#N/A")</f>
        <v>#N/A</v>
      </c>
      <c r="BB503" s="61" t="str">
        <f>IFERROR(__xludf.DUMMYFUNCTION("REGEXREPLACE(G503, ""_[a-z]{1,2}$"", """")"),"additional_studies65")</f>
        <v>additional_studies65</v>
      </c>
      <c r="BC503" s="61"/>
      <c r="BD503" s="71"/>
      <c r="BE503" s="164"/>
      <c r="BF503" s="164"/>
      <c r="BG503" s="164"/>
      <c r="BH503" s="164"/>
      <c r="BI503" s="164"/>
      <c r="BJ503" s="164"/>
      <c r="BK503" s="164"/>
      <c r="BL503" s="164"/>
      <c r="BM503" s="164"/>
      <c r="BN503" s="164"/>
      <c r="BO503" s="164"/>
      <c r="BP503" s="164"/>
      <c r="BQ503" s="164"/>
      <c r="BR503" s="164"/>
      <c r="BS503" s="164"/>
      <c r="BT503" s="164"/>
      <c r="BU503" s="164"/>
      <c r="BV503" s="164"/>
      <c r="BW503" s="164"/>
      <c r="BX503" s="164"/>
      <c r="BY503" s="164"/>
      <c r="BZ503" s="164"/>
      <c r="CA503" s="164"/>
      <c r="CB503" s="164"/>
      <c r="CC503" s="164"/>
      <c r="CD503" s="164"/>
      <c r="CE503" s="164"/>
      <c r="CF503" s="164"/>
      <c r="CG503" s="164"/>
      <c r="CH503" s="164"/>
      <c r="CI503" s="164"/>
      <c r="CJ503" s="164"/>
      <c r="CK503" s="164"/>
      <c r="CL503" s="164"/>
      <c r="CM503" s="164"/>
      <c r="CN503" s="164"/>
      <c r="CO503" s="164"/>
      <c r="CP503" s="164"/>
      <c r="CQ503" s="164"/>
      <c r="CR503" s="164"/>
      <c r="CS503" s="164"/>
      <c r="CT503" s="164"/>
      <c r="CU503" s="164"/>
      <c r="CV503" s="164"/>
      <c r="CW503" s="164"/>
      <c r="CX503" s="164"/>
      <c r="CY503" s="164"/>
      <c r="CZ503" s="164"/>
      <c r="DA503" s="164"/>
      <c r="DB503" s="164"/>
      <c r="DC503" s="164"/>
      <c r="DD503" s="164"/>
      <c r="DE503" s="164"/>
      <c r="DF503" s="164"/>
      <c r="DG503" s="164"/>
      <c r="DH503" s="164"/>
      <c r="DI503" s="164"/>
      <c r="DJ503" s="164"/>
      <c r="DK503" s="164"/>
      <c r="DL503" s="164"/>
    </row>
    <row r="504" ht="20.25" customHeight="1">
      <c r="A504" s="44">
        <v>504.0</v>
      </c>
      <c r="B504" s="149" t="s">
        <v>285</v>
      </c>
      <c r="C504" s="149" t="s">
        <v>115</v>
      </c>
      <c r="D504" s="149" t="s">
        <v>221</v>
      </c>
      <c r="E504" s="71"/>
      <c r="F504" s="111" t="s">
        <v>2701</v>
      </c>
      <c r="G504" s="112" t="s">
        <v>2737</v>
      </c>
      <c r="H504" s="114" t="s">
        <v>222</v>
      </c>
      <c r="I504" s="417">
        <v>45640.0</v>
      </c>
      <c r="J504" s="114"/>
      <c r="K504" s="112" t="s">
        <v>1101</v>
      </c>
      <c r="L504" s="114"/>
      <c r="M504" s="418" t="s">
        <v>2738</v>
      </c>
      <c r="N504" s="112" t="s">
        <v>2704</v>
      </c>
      <c r="O504" s="114"/>
      <c r="P504" s="121" t="s">
        <v>2705</v>
      </c>
      <c r="Q504" s="52" t="str">
        <f t="array" ref="Q504"> if(iserror(MATCH(V504, 'File Links'!C:C, 0)), "N/A", HYPERLINK(INDEX('File Links'!B:B, MATCH(P504, 'File Links'!C:C, 0))))</f>
        <v>https://drive.google.com/file/d/1v5DJu4qjqzVUJEfoj2GHrhMbmyHZ-m6z/view?usp=drivesdk</v>
      </c>
      <c r="R504" s="112" t="s">
        <v>2706</v>
      </c>
      <c r="S504" s="112" t="s">
        <v>2707</v>
      </c>
      <c r="T504" s="114"/>
      <c r="U504" s="120"/>
      <c r="V504" s="198" t="str">
        <f t="shared" si="25"/>
        <v>10.1016--j.jrp.2024.104511.pdf</v>
      </c>
      <c r="W504" s="112" t="s">
        <v>2715</v>
      </c>
      <c r="X504" s="54" t="str">
        <f t="array" ref="X504"> if(iserror(MATCH(V504, 'File Links'!C:C, 0)), "N/A", HYPERLINK(INDEX('File Links'!B:B, MATCH(V504, 'File Links'!C:C, 0))))</f>
        <v>https://drive.google.com/file/d/1_wLROYuywRItyX2cFnsLf0N4QfaR5Z8L/view?usp=drivesdk</v>
      </c>
      <c r="Y504" s="114"/>
      <c r="Z504" s="112" t="s">
        <v>1600</v>
      </c>
      <c r="AA504" s="112" t="s">
        <v>2716</v>
      </c>
      <c r="AB504" s="112" t="s">
        <v>2717</v>
      </c>
      <c r="AC504" s="112" t="s">
        <v>2739</v>
      </c>
      <c r="AD504" s="114"/>
      <c r="AE504" s="117">
        <v>37.0</v>
      </c>
      <c r="AF504" s="117">
        <v>674.0</v>
      </c>
      <c r="AG504" s="117">
        <v>-1.45</v>
      </c>
      <c r="AH504" s="121" t="s">
        <v>173</v>
      </c>
      <c r="AI504" s="112" t="s">
        <v>2720</v>
      </c>
      <c r="AJ504" s="117">
        <v>0.05</v>
      </c>
      <c r="AK504" s="122" t="s">
        <v>135</v>
      </c>
      <c r="AL504" s="112" t="s">
        <v>136</v>
      </c>
      <c r="AM504" s="114" t="s">
        <v>141</v>
      </c>
      <c r="AN504" s="653" t="s">
        <v>2711</v>
      </c>
      <c r="AO504" s="419">
        <v>404.0</v>
      </c>
      <c r="AP504" s="419">
        <v>0.05</v>
      </c>
      <c r="AQ504" s="112" t="s">
        <v>215</v>
      </c>
      <c r="AR504" s="112" t="s">
        <v>2720</v>
      </c>
      <c r="AS504" s="117">
        <v>0.06</v>
      </c>
      <c r="AT504" s="122" t="s">
        <v>172</v>
      </c>
      <c r="AU504" s="122" t="s">
        <v>136</v>
      </c>
      <c r="AV504" s="111" t="s">
        <v>141</v>
      </c>
      <c r="AW504" s="656" t="s">
        <v>2721</v>
      </c>
      <c r="AX504" s="838" t="s">
        <v>143</v>
      </c>
      <c r="AY504" s="61" t="str">
        <f>IFERROR(__xludf.DUMMYFUNCTION("vlookup(BB504,importrange(""https://docs.google.com/spreadsheets/d/1d2vevQ_7D_v35q4wCQ4RpQ_IPoTwEMB9Yp6ymwlPqew/edit?gid=984458430#gid=984458430"", ""'replication success'!A:K""), 11, FAlSE)"),"#N/A")</f>
        <v>#N/A</v>
      </c>
      <c r="AZ504" s="61" t="str">
        <f>IFERROR(__xludf.DUMMYFUNCTION("vlookup(BB504,importrange(""https://docs.google.com/spreadsheets/d/1d2vevQ_7D_v35q4wCQ4RpQ_IPoTwEMB9Yp6ymwlPqew/edit?gid=984458430#gid=984458430"", ""'replication success'!A:M""), 12, FAlSE)"),"#N/A")</f>
        <v>#N/A</v>
      </c>
      <c r="BA504" s="61" t="str">
        <f>IFERROR(__xludf.DUMMYFUNCTION("vlookup(BB504,importrange(""https://docs.google.com/spreadsheets/d/1d2vevQ_7D_v35q4wCQ4RpQ_IPoTwEMB9Yp6ymwlPqew/edit?gid=984458430#gid=984458430"", ""'replication success'!A:M""), 13, FAlSE)"),"#N/A")</f>
        <v>#N/A</v>
      </c>
      <c r="BB504" s="61" t="str">
        <f>IFERROR(__xludf.DUMMYFUNCTION("REGEXREPLACE(G504, ""_[a-z]{1,2}$"", """")"),"additional_studies65")</f>
        <v>additional_studies65</v>
      </c>
      <c r="BC504" s="61"/>
      <c r="BD504" s="71"/>
      <c r="BE504" s="164"/>
      <c r="BF504" s="164"/>
      <c r="BG504" s="164"/>
      <c r="BH504" s="164"/>
      <c r="BI504" s="164"/>
      <c r="BJ504" s="164"/>
      <c r="BK504" s="164"/>
      <c r="BL504" s="164"/>
      <c r="BM504" s="164"/>
      <c r="BN504" s="164"/>
      <c r="BO504" s="164"/>
      <c r="BP504" s="164"/>
      <c r="BQ504" s="164"/>
      <c r="BR504" s="164"/>
      <c r="BS504" s="164"/>
      <c r="BT504" s="164"/>
      <c r="BU504" s="164"/>
      <c r="BV504" s="164"/>
      <c r="BW504" s="164"/>
      <c r="BX504" s="164"/>
      <c r="BY504" s="164"/>
      <c r="BZ504" s="164"/>
      <c r="CA504" s="164"/>
      <c r="CB504" s="164"/>
      <c r="CC504" s="164"/>
      <c r="CD504" s="164"/>
      <c r="CE504" s="164"/>
      <c r="CF504" s="164"/>
      <c r="CG504" s="164"/>
      <c r="CH504" s="164"/>
      <c r="CI504" s="164"/>
      <c r="CJ504" s="164"/>
      <c r="CK504" s="164"/>
      <c r="CL504" s="164"/>
      <c r="CM504" s="164"/>
      <c r="CN504" s="164"/>
      <c r="CO504" s="164"/>
      <c r="CP504" s="164"/>
      <c r="CQ504" s="164"/>
      <c r="CR504" s="164"/>
      <c r="CS504" s="164"/>
      <c r="CT504" s="164"/>
      <c r="CU504" s="164"/>
      <c r="CV504" s="164"/>
      <c r="CW504" s="164"/>
      <c r="CX504" s="164"/>
      <c r="CY504" s="164"/>
      <c r="CZ504" s="164"/>
      <c r="DA504" s="164"/>
      <c r="DB504" s="164"/>
      <c r="DC504" s="164"/>
      <c r="DD504" s="164"/>
      <c r="DE504" s="164"/>
      <c r="DF504" s="164"/>
      <c r="DG504" s="164"/>
      <c r="DH504" s="164"/>
      <c r="DI504" s="164"/>
      <c r="DJ504" s="164"/>
      <c r="DK504" s="164"/>
      <c r="DL504" s="164"/>
    </row>
    <row r="505" ht="20.25" customHeight="1">
      <c r="A505" s="44">
        <v>505.0</v>
      </c>
      <c r="B505" s="149" t="s">
        <v>285</v>
      </c>
      <c r="C505" s="149" t="s">
        <v>115</v>
      </c>
      <c r="D505" s="149" t="s">
        <v>221</v>
      </c>
      <c r="E505" s="71"/>
      <c r="F505" s="111" t="s">
        <v>2701</v>
      </c>
      <c r="G505" s="112" t="s">
        <v>2740</v>
      </c>
      <c r="H505" s="114" t="s">
        <v>222</v>
      </c>
      <c r="I505" s="417">
        <v>45640.0</v>
      </c>
      <c r="J505" s="114"/>
      <c r="K505" s="112" t="s">
        <v>1101</v>
      </c>
      <c r="L505" s="114"/>
      <c r="M505" s="418" t="s">
        <v>2741</v>
      </c>
      <c r="N505" s="112" t="s">
        <v>2704</v>
      </c>
      <c r="O505" s="114"/>
      <c r="P505" s="121" t="s">
        <v>2705</v>
      </c>
      <c r="Q505" s="52" t="str">
        <f t="array" ref="Q505"> if(iserror(MATCH(V505, 'File Links'!C:C, 0)), "N/A", HYPERLINK(INDEX('File Links'!B:B, MATCH(P505, 'File Links'!C:C, 0))))</f>
        <v>https://drive.google.com/file/d/1v5DJu4qjqzVUJEfoj2GHrhMbmyHZ-m6z/view?usp=drivesdk</v>
      </c>
      <c r="R505" s="112" t="s">
        <v>2706</v>
      </c>
      <c r="S505" s="112" t="s">
        <v>2707</v>
      </c>
      <c r="T505" s="114"/>
      <c r="U505" s="120"/>
      <c r="V505" s="198" t="str">
        <f t="shared" si="25"/>
        <v>10.1016--j.jrp.2024.104511.pdf</v>
      </c>
      <c r="W505" s="112" t="s">
        <v>2715</v>
      </c>
      <c r="X505" s="54" t="str">
        <f t="array" ref="X505"> if(iserror(MATCH(V505, 'File Links'!C:C, 0)), "N/A", HYPERLINK(INDEX('File Links'!B:B, MATCH(V505, 'File Links'!C:C, 0))))</f>
        <v>https://drive.google.com/file/d/1_wLROYuywRItyX2cFnsLf0N4QfaR5Z8L/view?usp=drivesdk</v>
      </c>
      <c r="Y505" s="114"/>
      <c r="Z505" s="112" t="s">
        <v>1600</v>
      </c>
      <c r="AA505" s="112" t="s">
        <v>2716</v>
      </c>
      <c r="AB505" s="112" t="s">
        <v>2717</v>
      </c>
      <c r="AC505" s="112" t="s">
        <v>2742</v>
      </c>
      <c r="AD505" s="114"/>
      <c r="AE505" s="117">
        <v>37.0</v>
      </c>
      <c r="AF505" s="117">
        <v>674.0</v>
      </c>
      <c r="AG505" s="117">
        <v>-0.21</v>
      </c>
      <c r="AH505" s="121" t="s">
        <v>173</v>
      </c>
      <c r="AI505" s="112" t="s">
        <v>2720</v>
      </c>
      <c r="AJ505" s="117">
        <v>0.1</v>
      </c>
      <c r="AK505" s="122" t="s">
        <v>172</v>
      </c>
      <c r="AL505" s="112" t="s">
        <v>136</v>
      </c>
      <c r="AM505" s="114" t="s">
        <v>141</v>
      </c>
      <c r="AN505" s="653" t="s">
        <v>2711</v>
      </c>
      <c r="AO505" s="419">
        <v>404.0</v>
      </c>
      <c r="AP505" s="419">
        <v>0.18</v>
      </c>
      <c r="AQ505" s="112" t="s">
        <v>215</v>
      </c>
      <c r="AR505" s="112" t="s">
        <v>2720</v>
      </c>
      <c r="AS505" s="117">
        <v>0.08</v>
      </c>
      <c r="AT505" s="122" t="s">
        <v>172</v>
      </c>
      <c r="AU505" s="122" t="s">
        <v>136</v>
      </c>
      <c r="AV505" s="111" t="s">
        <v>141</v>
      </c>
      <c r="AW505" s="656" t="s">
        <v>2721</v>
      </c>
      <c r="AX505" s="838" t="s">
        <v>143</v>
      </c>
      <c r="AY505" s="61" t="str">
        <f>IFERROR(__xludf.DUMMYFUNCTION("vlookup(BB505,importrange(""https://docs.google.com/spreadsheets/d/1d2vevQ_7D_v35q4wCQ4RpQ_IPoTwEMB9Yp6ymwlPqew/edit?gid=984458430#gid=984458430"", ""'replication success'!A:K""), 11, FAlSE)"),"#N/A")</f>
        <v>#N/A</v>
      </c>
      <c r="AZ505" s="61" t="str">
        <f>IFERROR(__xludf.DUMMYFUNCTION("vlookup(BB505,importrange(""https://docs.google.com/spreadsheets/d/1d2vevQ_7D_v35q4wCQ4RpQ_IPoTwEMB9Yp6ymwlPqew/edit?gid=984458430#gid=984458430"", ""'replication success'!A:M""), 12, FAlSE)"),"#N/A")</f>
        <v>#N/A</v>
      </c>
      <c r="BA505" s="61" t="str">
        <f>IFERROR(__xludf.DUMMYFUNCTION("vlookup(BB505,importrange(""https://docs.google.com/spreadsheets/d/1d2vevQ_7D_v35q4wCQ4RpQ_IPoTwEMB9Yp6ymwlPqew/edit?gid=984458430#gid=984458430"", ""'replication success'!A:M""), 13, FAlSE)"),"#N/A")</f>
        <v>#N/A</v>
      </c>
      <c r="BB505" s="61" t="str">
        <f>IFERROR(__xludf.DUMMYFUNCTION("REGEXREPLACE(G505, ""_[a-z]{1,2}$"", """")"),"additional_studies65")</f>
        <v>additional_studies65</v>
      </c>
      <c r="BC505" s="61"/>
      <c r="BD505" s="71"/>
      <c r="BE505" s="484"/>
      <c r="BF505" s="484"/>
      <c r="BG505" s="484"/>
      <c r="BH505" s="484"/>
      <c r="BI505" s="484"/>
      <c r="BJ505" s="484"/>
      <c r="BK505" s="484"/>
      <c r="BL505" s="484"/>
      <c r="BM505" s="484"/>
      <c r="BN505" s="484"/>
      <c r="BO505" s="484"/>
      <c r="BP505" s="484"/>
      <c r="BQ505" s="484"/>
      <c r="BR505" s="484"/>
      <c r="BS505" s="484"/>
      <c r="BT505" s="484"/>
      <c r="BU505" s="484"/>
      <c r="BV505" s="484"/>
      <c r="BW505" s="484"/>
      <c r="BX505" s="484"/>
      <c r="BY505" s="484"/>
      <c r="BZ505" s="484"/>
      <c r="CA505" s="484"/>
      <c r="CB505" s="484"/>
      <c r="CC505" s="484"/>
      <c r="CD505" s="484"/>
      <c r="CE505" s="484"/>
      <c r="CF505" s="484"/>
      <c r="CG505" s="484"/>
      <c r="CH505" s="484"/>
      <c r="CI505" s="484"/>
      <c r="CJ505" s="484"/>
      <c r="CK505" s="484"/>
      <c r="CL505" s="484"/>
      <c r="CM505" s="484"/>
      <c r="CN505" s="484"/>
      <c r="CO505" s="484"/>
      <c r="CP505" s="484"/>
      <c r="CQ505" s="484"/>
      <c r="CR505" s="484"/>
      <c r="CS505" s="484"/>
      <c r="CT505" s="484"/>
      <c r="CU505" s="484"/>
      <c r="CV505" s="484"/>
      <c r="CW505" s="484"/>
      <c r="CX505" s="484"/>
      <c r="CY505" s="484"/>
      <c r="CZ505" s="484"/>
      <c r="DA505" s="484"/>
      <c r="DB505" s="484"/>
      <c r="DC505" s="484"/>
      <c r="DD505" s="484"/>
      <c r="DE505" s="484"/>
      <c r="DF505" s="484"/>
      <c r="DG505" s="484"/>
      <c r="DH505" s="484"/>
      <c r="DI505" s="484"/>
      <c r="DJ505" s="484"/>
      <c r="DK505" s="484"/>
      <c r="DL505" s="484"/>
    </row>
    <row r="506" ht="20.25" customHeight="1">
      <c r="A506" s="44">
        <v>506.0</v>
      </c>
      <c r="B506" s="149" t="s">
        <v>285</v>
      </c>
      <c r="C506" s="149" t="s">
        <v>115</v>
      </c>
      <c r="D506" s="149" t="s">
        <v>221</v>
      </c>
      <c r="E506" s="71"/>
      <c r="F506" s="111" t="s">
        <v>2701</v>
      </c>
      <c r="G506" s="112" t="s">
        <v>2743</v>
      </c>
      <c r="H506" s="114" t="s">
        <v>222</v>
      </c>
      <c r="I506" s="417">
        <v>45640.0</v>
      </c>
      <c r="J506" s="114"/>
      <c r="K506" s="112" t="s">
        <v>1101</v>
      </c>
      <c r="L506" s="114"/>
      <c r="M506" s="418" t="s">
        <v>2744</v>
      </c>
      <c r="N506" s="112" t="s">
        <v>2704</v>
      </c>
      <c r="O506" s="114"/>
      <c r="P506" s="121" t="s">
        <v>2705</v>
      </c>
      <c r="Q506" s="52" t="str">
        <f t="array" ref="Q506"> if(iserror(MATCH(V506, 'File Links'!C:C, 0)), "N/A", HYPERLINK(INDEX('File Links'!B:B, MATCH(P506, 'File Links'!C:C, 0))))</f>
        <v>https://drive.google.com/file/d/1v5DJu4qjqzVUJEfoj2GHrhMbmyHZ-m6z/view?usp=drivesdk</v>
      </c>
      <c r="R506" s="112" t="s">
        <v>2706</v>
      </c>
      <c r="S506" s="112" t="s">
        <v>2707</v>
      </c>
      <c r="T506" s="114"/>
      <c r="U506" s="120"/>
      <c r="V506" s="198" t="str">
        <f t="shared" si="25"/>
        <v>10.1016--j.jrp.2024.104511.pdf</v>
      </c>
      <c r="W506" s="112" t="s">
        <v>2715</v>
      </c>
      <c r="X506" s="54" t="str">
        <f t="array" ref="X506"> if(iserror(MATCH(V506, 'File Links'!C:C, 0)), "N/A", HYPERLINK(INDEX('File Links'!B:B, MATCH(V506, 'File Links'!C:C, 0))))</f>
        <v>https://drive.google.com/file/d/1_wLROYuywRItyX2cFnsLf0N4QfaR5Z8L/view?usp=drivesdk</v>
      </c>
      <c r="Y506" s="114"/>
      <c r="Z506" s="112" t="s">
        <v>1600</v>
      </c>
      <c r="AA506" s="112" t="s">
        <v>2716</v>
      </c>
      <c r="AB506" s="112" t="s">
        <v>2717</v>
      </c>
      <c r="AC506" s="112" t="s">
        <v>2745</v>
      </c>
      <c r="AD506" s="114"/>
      <c r="AE506" s="117">
        <v>37.0</v>
      </c>
      <c r="AF506" s="117">
        <v>674.0</v>
      </c>
      <c r="AG506" s="117">
        <v>-0.21</v>
      </c>
      <c r="AH506" s="121" t="s">
        <v>173</v>
      </c>
      <c r="AI506" s="112" t="s">
        <v>2720</v>
      </c>
      <c r="AJ506" s="117">
        <v>0.01</v>
      </c>
      <c r="AK506" s="122" t="s">
        <v>135</v>
      </c>
      <c r="AL506" s="112" t="s">
        <v>136</v>
      </c>
      <c r="AM506" s="114" t="s">
        <v>141</v>
      </c>
      <c r="AN506" s="653" t="s">
        <v>2711</v>
      </c>
      <c r="AO506" s="419">
        <v>404.0</v>
      </c>
      <c r="AP506" s="419">
        <v>-0.14</v>
      </c>
      <c r="AQ506" s="112" t="s">
        <v>215</v>
      </c>
      <c r="AR506" s="112" t="s">
        <v>2720</v>
      </c>
      <c r="AS506" s="117">
        <v>0.05</v>
      </c>
      <c r="AT506" s="122" t="s">
        <v>135</v>
      </c>
      <c r="AU506" s="122" t="s">
        <v>136</v>
      </c>
      <c r="AV506" s="111" t="s">
        <v>141</v>
      </c>
      <c r="AW506" s="656" t="s">
        <v>2721</v>
      </c>
      <c r="AX506" s="838" t="s">
        <v>143</v>
      </c>
      <c r="AY506" s="61" t="str">
        <f>IFERROR(__xludf.DUMMYFUNCTION("vlookup(BB506,importrange(""https://docs.google.com/spreadsheets/d/1d2vevQ_7D_v35q4wCQ4RpQ_IPoTwEMB9Yp6ymwlPqew/edit?gid=984458430#gid=984458430"", ""'replication success'!A:K""), 11, FAlSE)"),"#N/A")</f>
        <v>#N/A</v>
      </c>
      <c r="AZ506" s="61" t="str">
        <f>IFERROR(__xludf.DUMMYFUNCTION("vlookup(BB506,importrange(""https://docs.google.com/spreadsheets/d/1d2vevQ_7D_v35q4wCQ4RpQ_IPoTwEMB9Yp6ymwlPqew/edit?gid=984458430#gid=984458430"", ""'replication success'!A:M""), 12, FAlSE)"),"#N/A")</f>
        <v>#N/A</v>
      </c>
      <c r="BA506" s="61" t="str">
        <f>IFERROR(__xludf.DUMMYFUNCTION("vlookup(BB506,importrange(""https://docs.google.com/spreadsheets/d/1d2vevQ_7D_v35q4wCQ4RpQ_IPoTwEMB9Yp6ymwlPqew/edit?gid=984458430#gid=984458430"", ""'replication success'!A:M""), 13, FAlSE)"),"#N/A")</f>
        <v>#N/A</v>
      </c>
      <c r="BB506" s="61" t="str">
        <f>IFERROR(__xludf.DUMMYFUNCTION("REGEXREPLACE(G506, ""_[a-z]{1,2}$"", """")"),"additional_studies65")</f>
        <v>additional_studies65</v>
      </c>
      <c r="BC506" s="61"/>
      <c r="BD506" s="71"/>
      <c r="BE506" s="484"/>
      <c r="BF506" s="484"/>
      <c r="BG506" s="484"/>
      <c r="BH506" s="484"/>
      <c r="BI506" s="484"/>
      <c r="BJ506" s="484"/>
      <c r="BK506" s="484"/>
      <c r="BL506" s="484"/>
      <c r="BM506" s="484"/>
      <c r="BN506" s="484"/>
      <c r="BO506" s="484"/>
      <c r="BP506" s="484"/>
      <c r="BQ506" s="484"/>
      <c r="BR506" s="484"/>
      <c r="BS506" s="484"/>
      <c r="BT506" s="484"/>
      <c r="BU506" s="484"/>
      <c r="BV506" s="484"/>
      <c r="BW506" s="484"/>
      <c r="BX506" s="484"/>
      <c r="BY506" s="484"/>
      <c r="BZ506" s="484"/>
      <c r="CA506" s="484"/>
      <c r="CB506" s="484"/>
      <c r="CC506" s="484"/>
      <c r="CD506" s="484"/>
      <c r="CE506" s="484"/>
      <c r="CF506" s="484"/>
      <c r="CG506" s="484"/>
      <c r="CH506" s="484"/>
      <c r="CI506" s="484"/>
      <c r="CJ506" s="484"/>
      <c r="CK506" s="484"/>
      <c r="CL506" s="484"/>
      <c r="CM506" s="484"/>
      <c r="CN506" s="484"/>
      <c r="CO506" s="484"/>
      <c r="CP506" s="484"/>
      <c r="CQ506" s="484"/>
      <c r="CR506" s="484"/>
      <c r="CS506" s="484"/>
      <c r="CT506" s="484"/>
      <c r="CU506" s="484"/>
      <c r="CV506" s="484"/>
      <c r="CW506" s="484"/>
      <c r="CX506" s="484"/>
      <c r="CY506" s="484"/>
      <c r="CZ506" s="484"/>
      <c r="DA506" s="484"/>
      <c r="DB506" s="484"/>
      <c r="DC506" s="484"/>
      <c r="DD506" s="484"/>
      <c r="DE506" s="484"/>
      <c r="DF506" s="484"/>
      <c r="DG506" s="484"/>
      <c r="DH506" s="484"/>
      <c r="DI506" s="484"/>
      <c r="DJ506" s="484"/>
      <c r="DK506" s="484"/>
      <c r="DL506" s="484"/>
    </row>
    <row r="507" ht="20.25" customHeight="1">
      <c r="A507" s="44">
        <v>507.0</v>
      </c>
      <c r="B507" s="149" t="s">
        <v>285</v>
      </c>
      <c r="C507" s="149" t="s">
        <v>115</v>
      </c>
      <c r="D507" s="149" t="s">
        <v>221</v>
      </c>
      <c r="E507" s="71"/>
      <c r="F507" s="111" t="s">
        <v>2701</v>
      </c>
      <c r="G507" s="112" t="s">
        <v>2746</v>
      </c>
      <c r="H507" s="114" t="s">
        <v>222</v>
      </c>
      <c r="I507" s="417">
        <v>45640.0</v>
      </c>
      <c r="J507" s="114"/>
      <c r="K507" s="112" t="s">
        <v>1101</v>
      </c>
      <c r="L507" s="114"/>
      <c r="M507" s="418" t="s">
        <v>2747</v>
      </c>
      <c r="N507" s="112" t="s">
        <v>2704</v>
      </c>
      <c r="O507" s="114"/>
      <c r="P507" s="121" t="s">
        <v>2705</v>
      </c>
      <c r="Q507" s="52" t="str">
        <f t="array" ref="Q507"> if(iserror(MATCH(V507, 'File Links'!C:C, 0)), "N/A", HYPERLINK(INDEX('File Links'!B:B, MATCH(P507, 'File Links'!C:C, 0))))</f>
        <v>https://drive.google.com/file/d/1v5DJu4qjqzVUJEfoj2GHrhMbmyHZ-m6z/view?usp=drivesdk</v>
      </c>
      <c r="R507" s="112" t="s">
        <v>2706</v>
      </c>
      <c r="S507" s="112" t="s">
        <v>2707</v>
      </c>
      <c r="T507" s="114"/>
      <c r="U507" s="120"/>
      <c r="V507" s="198" t="str">
        <f t="shared" si="25"/>
        <v>10.1016--j.jrp.2024.104511.pdf</v>
      </c>
      <c r="W507" s="112" t="s">
        <v>2715</v>
      </c>
      <c r="X507" s="54" t="str">
        <f t="array" ref="X507"> if(iserror(MATCH(V507, 'File Links'!C:C, 0)), "N/A", HYPERLINK(INDEX('File Links'!B:B, MATCH(V507, 'File Links'!C:C, 0))))</f>
        <v>https://drive.google.com/file/d/1_wLROYuywRItyX2cFnsLf0N4QfaR5Z8L/view?usp=drivesdk</v>
      </c>
      <c r="Y507" s="114"/>
      <c r="Z507" s="112" t="s">
        <v>1600</v>
      </c>
      <c r="AA507" s="112" t="s">
        <v>2716</v>
      </c>
      <c r="AB507" s="112" t="s">
        <v>2717</v>
      </c>
      <c r="AC507" s="112" t="s">
        <v>2748</v>
      </c>
      <c r="AD507" s="114"/>
      <c r="AE507" s="117">
        <v>37.0</v>
      </c>
      <c r="AF507" s="117">
        <v>674.0</v>
      </c>
      <c r="AG507" s="117">
        <v>-0.11</v>
      </c>
      <c r="AH507" s="121" t="s">
        <v>173</v>
      </c>
      <c r="AI507" s="112" t="s">
        <v>2720</v>
      </c>
      <c r="AJ507" s="117">
        <v>0.05</v>
      </c>
      <c r="AK507" s="122" t="s">
        <v>172</v>
      </c>
      <c r="AL507" s="112" t="s">
        <v>136</v>
      </c>
      <c r="AM507" s="114" t="s">
        <v>141</v>
      </c>
      <c r="AN507" s="653" t="s">
        <v>2711</v>
      </c>
      <c r="AO507" s="419">
        <v>404.0</v>
      </c>
      <c r="AP507" s="419">
        <v>-0.14</v>
      </c>
      <c r="AQ507" s="112" t="s">
        <v>215</v>
      </c>
      <c r="AR507" s="112" t="s">
        <v>2720</v>
      </c>
      <c r="AS507" s="117">
        <v>0.07</v>
      </c>
      <c r="AT507" s="122" t="s">
        <v>172</v>
      </c>
      <c r="AU507" s="122" t="s">
        <v>136</v>
      </c>
      <c r="AV507" s="111" t="s">
        <v>141</v>
      </c>
      <c r="AW507" s="656" t="s">
        <v>2721</v>
      </c>
      <c r="AX507" s="838" t="s">
        <v>143</v>
      </c>
      <c r="AY507" s="61" t="str">
        <f>IFERROR(__xludf.DUMMYFUNCTION("vlookup(BB507,importrange(""https://docs.google.com/spreadsheets/d/1d2vevQ_7D_v35q4wCQ4RpQ_IPoTwEMB9Yp6ymwlPqew/edit?gid=984458430#gid=984458430"", ""'replication success'!A:K""), 11, FAlSE)"),"#N/A")</f>
        <v>#N/A</v>
      </c>
      <c r="AZ507" s="61" t="str">
        <f>IFERROR(__xludf.DUMMYFUNCTION("vlookup(BB507,importrange(""https://docs.google.com/spreadsheets/d/1d2vevQ_7D_v35q4wCQ4RpQ_IPoTwEMB9Yp6ymwlPqew/edit?gid=984458430#gid=984458430"", ""'replication success'!A:M""), 12, FAlSE)"),"#N/A")</f>
        <v>#N/A</v>
      </c>
      <c r="BA507" s="61" t="str">
        <f>IFERROR(__xludf.DUMMYFUNCTION("vlookup(BB507,importrange(""https://docs.google.com/spreadsheets/d/1d2vevQ_7D_v35q4wCQ4RpQ_IPoTwEMB9Yp6ymwlPqew/edit?gid=984458430#gid=984458430"", ""'replication success'!A:M""), 13, FAlSE)"),"#N/A")</f>
        <v>#N/A</v>
      </c>
      <c r="BB507" s="61" t="str">
        <f>IFERROR(__xludf.DUMMYFUNCTION("REGEXREPLACE(G507, ""_[a-z]{1,2}$"", """")"),"additional_studies65")</f>
        <v>additional_studies65</v>
      </c>
      <c r="BC507" s="61"/>
      <c r="BD507" s="71"/>
      <c r="BE507" s="484"/>
      <c r="BF507" s="484"/>
      <c r="BG507" s="484"/>
      <c r="BH507" s="484"/>
      <c r="BI507" s="484"/>
      <c r="BJ507" s="484"/>
      <c r="BK507" s="484"/>
      <c r="BL507" s="484"/>
      <c r="BM507" s="484"/>
      <c r="BN507" s="484"/>
      <c r="BO507" s="484"/>
      <c r="BP507" s="484"/>
      <c r="BQ507" s="484"/>
      <c r="BR507" s="484"/>
      <c r="BS507" s="484"/>
      <c r="BT507" s="484"/>
      <c r="BU507" s="484"/>
      <c r="BV507" s="484"/>
      <c r="BW507" s="484"/>
      <c r="BX507" s="484"/>
      <c r="BY507" s="484"/>
      <c r="BZ507" s="484"/>
      <c r="CA507" s="484"/>
      <c r="CB507" s="484"/>
      <c r="CC507" s="484"/>
      <c r="CD507" s="484"/>
      <c r="CE507" s="484"/>
      <c r="CF507" s="484"/>
      <c r="CG507" s="484"/>
      <c r="CH507" s="484"/>
      <c r="CI507" s="484"/>
      <c r="CJ507" s="484"/>
      <c r="CK507" s="484"/>
      <c r="CL507" s="484"/>
      <c r="CM507" s="484"/>
      <c r="CN507" s="484"/>
      <c r="CO507" s="484"/>
      <c r="CP507" s="484"/>
      <c r="CQ507" s="484"/>
      <c r="CR507" s="484"/>
      <c r="CS507" s="484"/>
      <c r="CT507" s="484"/>
      <c r="CU507" s="484"/>
      <c r="CV507" s="484"/>
      <c r="CW507" s="484"/>
      <c r="CX507" s="484"/>
      <c r="CY507" s="484"/>
      <c r="CZ507" s="484"/>
      <c r="DA507" s="484"/>
      <c r="DB507" s="484"/>
      <c r="DC507" s="484"/>
      <c r="DD507" s="484"/>
      <c r="DE507" s="484"/>
      <c r="DF507" s="484"/>
      <c r="DG507" s="484"/>
      <c r="DH507" s="484"/>
      <c r="DI507" s="484"/>
      <c r="DJ507" s="484"/>
      <c r="DK507" s="484"/>
      <c r="DL507" s="484"/>
    </row>
    <row r="508" ht="20.25" customHeight="1">
      <c r="A508" s="44">
        <v>508.0</v>
      </c>
      <c r="B508" s="149" t="s">
        <v>285</v>
      </c>
      <c r="C508" s="149" t="s">
        <v>115</v>
      </c>
      <c r="D508" s="149" t="s">
        <v>221</v>
      </c>
      <c r="E508" s="71"/>
      <c r="F508" s="111" t="s">
        <v>2701</v>
      </c>
      <c r="G508" s="112" t="s">
        <v>2749</v>
      </c>
      <c r="H508" s="114" t="s">
        <v>222</v>
      </c>
      <c r="I508" s="417">
        <v>45640.0</v>
      </c>
      <c r="J508" s="114"/>
      <c r="K508" s="112" t="s">
        <v>1101</v>
      </c>
      <c r="L508" s="114"/>
      <c r="M508" s="418" t="s">
        <v>2750</v>
      </c>
      <c r="N508" s="112" t="s">
        <v>2704</v>
      </c>
      <c r="O508" s="114"/>
      <c r="P508" s="121" t="s">
        <v>2705</v>
      </c>
      <c r="Q508" s="52" t="str">
        <f t="array" ref="Q508"> if(iserror(MATCH(V508, 'File Links'!C:C, 0)), "N/A", HYPERLINK(INDEX('File Links'!B:B, MATCH(P508, 'File Links'!C:C, 0))))</f>
        <v>https://drive.google.com/file/d/1v5DJu4qjqzVUJEfoj2GHrhMbmyHZ-m6z/view?usp=drivesdk</v>
      </c>
      <c r="R508" s="112" t="s">
        <v>2706</v>
      </c>
      <c r="S508" s="112" t="s">
        <v>2707</v>
      </c>
      <c r="T508" s="114"/>
      <c r="U508" s="120"/>
      <c r="V508" s="198" t="str">
        <f t="shared" si="25"/>
        <v>10.1016--j.jrp.2024.104511.pdf</v>
      </c>
      <c r="W508" s="112" t="s">
        <v>2715</v>
      </c>
      <c r="X508" s="54" t="str">
        <f t="array" ref="X508"> if(iserror(MATCH(V508, 'File Links'!C:C, 0)), "N/A", HYPERLINK(INDEX('File Links'!B:B, MATCH(V508, 'File Links'!C:C, 0))))</f>
        <v>https://drive.google.com/file/d/1_wLROYuywRItyX2cFnsLf0N4QfaR5Z8L/view?usp=drivesdk</v>
      </c>
      <c r="Y508" s="114"/>
      <c r="Z508" s="112" t="s">
        <v>1600</v>
      </c>
      <c r="AA508" s="112" t="s">
        <v>2716</v>
      </c>
      <c r="AB508" s="112" t="s">
        <v>2717</v>
      </c>
      <c r="AC508" s="112" t="s">
        <v>2751</v>
      </c>
      <c r="AD508" s="114"/>
      <c r="AE508" s="117">
        <v>37.0</v>
      </c>
      <c r="AF508" s="117">
        <v>674.0</v>
      </c>
      <c r="AG508" s="117">
        <v>-0.11</v>
      </c>
      <c r="AH508" s="121" t="s">
        <v>173</v>
      </c>
      <c r="AI508" s="112" t="s">
        <v>2720</v>
      </c>
      <c r="AJ508" s="117">
        <v>0.05</v>
      </c>
      <c r="AK508" s="122" t="s">
        <v>135</v>
      </c>
      <c r="AL508" s="112" t="s">
        <v>136</v>
      </c>
      <c r="AM508" s="114" t="s">
        <v>141</v>
      </c>
      <c r="AN508" s="653" t="s">
        <v>2711</v>
      </c>
      <c r="AO508" s="419">
        <v>404.0</v>
      </c>
      <c r="AP508" s="419">
        <v>0.3</v>
      </c>
      <c r="AQ508" s="112" t="s">
        <v>215</v>
      </c>
      <c r="AR508" s="112" t="s">
        <v>2720</v>
      </c>
      <c r="AS508" s="117">
        <v>0.05</v>
      </c>
      <c r="AT508" s="122" t="s">
        <v>135</v>
      </c>
      <c r="AU508" s="122" t="s">
        <v>136</v>
      </c>
      <c r="AV508" s="111" t="s">
        <v>141</v>
      </c>
      <c r="AW508" s="656" t="s">
        <v>2721</v>
      </c>
      <c r="AX508" s="838" t="s">
        <v>143</v>
      </c>
      <c r="AY508" s="61" t="str">
        <f>IFERROR(__xludf.DUMMYFUNCTION("vlookup(BB508,importrange(""https://docs.google.com/spreadsheets/d/1d2vevQ_7D_v35q4wCQ4RpQ_IPoTwEMB9Yp6ymwlPqew/edit?gid=984458430#gid=984458430"", ""'replication success'!A:K""), 11, FAlSE)"),"#N/A")</f>
        <v>#N/A</v>
      </c>
      <c r="AZ508" s="61" t="str">
        <f>IFERROR(__xludf.DUMMYFUNCTION("vlookup(BB508,importrange(""https://docs.google.com/spreadsheets/d/1d2vevQ_7D_v35q4wCQ4RpQ_IPoTwEMB9Yp6ymwlPqew/edit?gid=984458430#gid=984458430"", ""'replication success'!A:M""), 12, FAlSE)"),"#N/A")</f>
        <v>#N/A</v>
      </c>
      <c r="BA508" s="61" t="str">
        <f>IFERROR(__xludf.DUMMYFUNCTION("vlookup(BB508,importrange(""https://docs.google.com/spreadsheets/d/1d2vevQ_7D_v35q4wCQ4RpQ_IPoTwEMB9Yp6ymwlPqew/edit?gid=984458430#gid=984458430"", ""'replication success'!A:M""), 13, FAlSE)"),"#N/A")</f>
        <v>#N/A</v>
      </c>
      <c r="BB508" s="61" t="str">
        <f>IFERROR(__xludf.DUMMYFUNCTION("REGEXREPLACE(G508, ""_[a-z]{1,2}$"", """")"),"additional_studies65")</f>
        <v>additional_studies65</v>
      </c>
      <c r="BC508" s="61"/>
      <c r="BD508" s="71"/>
      <c r="BE508" s="484"/>
      <c r="BF508" s="484"/>
      <c r="BG508" s="484"/>
      <c r="BH508" s="484"/>
      <c r="BI508" s="484"/>
      <c r="BJ508" s="484"/>
      <c r="BK508" s="484"/>
      <c r="BL508" s="484"/>
      <c r="BM508" s="484"/>
      <c r="BN508" s="484"/>
      <c r="BO508" s="484"/>
      <c r="BP508" s="484"/>
      <c r="BQ508" s="484"/>
      <c r="BR508" s="484"/>
      <c r="BS508" s="484"/>
      <c r="BT508" s="484"/>
      <c r="BU508" s="484"/>
      <c r="BV508" s="484"/>
      <c r="BW508" s="484"/>
      <c r="BX508" s="484"/>
      <c r="BY508" s="484"/>
      <c r="BZ508" s="484"/>
      <c r="CA508" s="484"/>
      <c r="CB508" s="484"/>
      <c r="CC508" s="484"/>
      <c r="CD508" s="484"/>
      <c r="CE508" s="484"/>
      <c r="CF508" s="484"/>
      <c r="CG508" s="484"/>
      <c r="CH508" s="484"/>
      <c r="CI508" s="484"/>
      <c r="CJ508" s="484"/>
      <c r="CK508" s="484"/>
      <c r="CL508" s="484"/>
      <c r="CM508" s="484"/>
      <c r="CN508" s="484"/>
      <c r="CO508" s="484"/>
      <c r="CP508" s="484"/>
      <c r="CQ508" s="484"/>
      <c r="CR508" s="484"/>
      <c r="CS508" s="484"/>
      <c r="CT508" s="484"/>
      <c r="CU508" s="484"/>
      <c r="CV508" s="484"/>
      <c r="CW508" s="484"/>
      <c r="CX508" s="484"/>
      <c r="CY508" s="484"/>
      <c r="CZ508" s="484"/>
      <c r="DA508" s="484"/>
      <c r="DB508" s="484"/>
      <c r="DC508" s="484"/>
      <c r="DD508" s="484"/>
      <c r="DE508" s="484"/>
      <c r="DF508" s="484"/>
      <c r="DG508" s="484"/>
      <c r="DH508" s="484"/>
      <c r="DI508" s="484"/>
      <c r="DJ508" s="484"/>
      <c r="DK508" s="484"/>
      <c r="DL508" s="484"/>
    </row>
    <row r="509" ht="20.25" customHeight="1">
      <c r="A509" s="44">
        <v>509.0</v>
      </c>
      <c r="B509" s="839" t="s">
        <v>114</v>
      </c>
      <c r="C509" s="839" t="s">
        <v>115</v>
      </c>
      <c r="D509" s="839" t="s">
        <v>1234</v>
      </c>
      <c r="E509" s="752"/>
      <c r="F509" s="840" t="s">
        <v>2752</v>
      </c>
      <c r="G509" s="841" t="s">
        <v>2753</v>
      </c>
      <c r="H509" s="841" t="s">
        <v>1237</v>
      </c>
      <c r="I509" s="842">
        <v>45641.0</v>
      </c>
      <c r="J509" s="170">
        <v>45691.0</v>
      </c>
      <c r="K509" s="843"/>
      <c r="L509" s="843"/>
      <c r="M509" s="841" t="s">
        <v>2754</v>
      </c>
      <c r="N509" s="841" t="s">
        <v>2755</v>
      </c>
      <c r="O509" s="844">
        <v>1.0</v>
      </c>
      <c r="P509" s="845" t="s">
        <v>2756</v>
      </c>
      <c r="Q509" s="52" t="str">
        <f t="array" ref="Q509"> if(iserror(MATCH(V509, 'File Links'!C:C, 0)), "N/A", HYPERLINK(INDEX('File Links'!B:B, MATCH(P509, 'File Links'!C:C, 0))))</f>
        <v>https://drive.google.com/file/d/1mJVZEGRuGEHvjJLpaIkoRcJuDNXnANgI/view?usp=drivesdk</v>
      </c>
      <c r="R509" s="841" t="s">
        <v>2757</v>
      </c>
      <c r="S509" s="841" t="s">
        <v>2758</v>
      </c>
      <c r="U509" s="846">
        <v>1.0</v>
      </c>
      <c r="V509" s="198" t="str">
        <f t="shared" si="25"/>
        <v>10.1177--19485506241257971.pdf</v>
      </c>
      <c r="W509" s="847" t="s">
        <v>209</v>
      </c>
      <c r="X509" s="54" t="str">
        <f t="array" ref="X509"> if(iserror(MATCH(V509, 'File Links'!C:C, 0)), "N/A", HYPERLINK(INDEX('File Links'!B:B, MATCH(V509, 'File Links'!C:C, 0))))</f>
        <v>https://drive.google.com/file/d/1xNvXepqsFVWYkeFXaOCdP5f6pkQO7e5j/view?usp=drivesdk</v>
      </c>
      <c r="Y509" s="841"/>
      <c r="Z509" s="841" t="s">
        <v>226</v>
      </c>
      <c r="AA509" s="76"/>
      <c r="AB509" s="848" t="s">
        <v>2759</v>
      </c>
      <c r="AC509" s="841" t="s">
        <v>2760</v>
      </c>
      <c r="AD509" s="841" t="s">
        <v>2761</v>
      </c>
      <c r="AE509" s="841" t="s">
        <v>2762</v>
      </c>
      <c r="AF509" s="849">
        <v>4963.0</v>
      </c>
      <c r="AG509" s="843"/>
      <c r="AH509" s="850"/>
      <c r="AI509" s="843"/>
      <c r="AJ509" s="844">
        <v>0.001</v>
      </c>
      <c r="AK509" s="840" t="s">
        <v>135</v>
      </c>
      <c r="AL509" s="841" t="s">
        <v>186</v>
      </c>
      <c r="AM509" s="843" t="s">
        <v>137</v>
      </c>
      <c r="AN509" s="219" t="s">
        <v>138</v>
      </c>
      <c r="AO509" s="849">
        <v>4963.0</v>
      </c>
      <c r="AP509" s="843"/>
      <c r="AQ509" s="843"/>
      <c r="AR509" s="843"/>
      <c r="AS509" s="844">
        <v>0.001</v>
      </c>
      <c r="AT509" s="840" t="s">
        <v>135</v>
      </c>
      <c r="AU509" s="840" t="s">
        <v>186</v>
      </c>
      <c r="AV509" s="851" t="s">
        <v>137</v>
      </c>
      <c r="AW509" s="852" t="s">
        <v>2763</v>
      </c>
      <c r="AX509" s="851"/>
      <c r="AY509" s="61" t="str">
        <f>IFERROR(__xludf.DUMMYFUNCTION("vlookup(BB509,importrange(""https://docs.google.com/spreadsheets/d/1d2vevQ_7D_v35q4wCQ4RpQ_IPoTwEMB9Yp6ymwlPqew/edit?gid=984458430#gid=984458430"", ""'replication success'!A:K""), 11, FAlSE)"),"mixed")</f>
        <v>mixed</v>
      </c>
      <c r="AZ509" s="61" t="str">
        <f>IFERROR(__xludf.DUMMYFUNCTION("vlookup(BB509,importrange(""https://docs.google.com/spreadsheets/d/1d2vevQ_7D_v35q4wCQ4RpQ_IPoTwEMB9Yp6ymwlPqew/edit?gid=984458430#gid=984458430"", ""'replication success'!A:M""), 12, FAlSE)"),"We were able to reproduce and replicate the findings based on a difference-score approach. However, we did not find a similarity effect in either sample using more sophisticated approaches.")</f>
        <v>We were able to reproduce and replicate the findings based on a difference-score approach. However, we did not find a similarity effect in either sample using more sophisticated approaches.</v>
      </c>
      <c r="BA509" s="61" t="str">
        <f>IFERROR(__xludf.DUMMYFUNCTION("vlookup(BB509,importrange(""https://docs.google.com/spreadsheets/d/1d2vevQ_7D_v35q4wCQ4RpQ_IPoTwEMB9Yp6ymwlPqew/edit?gid=984458430#gid=984458430"", ""'replication success'!A:M""), 13, FAlSE)"),"abstract")</f>
        <v>abstract</v>
      </c>
      <c r="BB509" s="61" t="str">
        <f>IFERROR(__xludf.DUMMYFUNCTION("REGEXREPLACE(G509, ""_[a-z]{1,2}$"", """")"),"additional_studies66")</f>
        <v>additional_studies66</v>
      </c>
      <c r="BC509" s="129" t="s">
        <v>2764</v>
      </c>
      <c r="BD509" s="839" t="s">
        <v>144</v>
      </c>
    </row>
    <row r="510" ht="20.25" customHeight="1">
      <c r="A510" s="44">
        <v>510.0</v>
      </c>
      <c r="B510" s="839" t="s">
        <v>152</v>
      </c>
      <c r="C510" s="93" t="s">
        <v>115</v>
      </c>
      <c r="D510" s="93" t="s">
        <v>221</v>
      </c>
      <c r="E510" s="92"/>
      <c r="F510" s="94" t="s">
        <v>2752</v>
      </c>
      <c r="G510" s="76" t="s">
        <v>2765</v>
      </c>
      <c r="H510" s="76" t="s">
        <v>222</v>
      </c>
      <c r="I510" s="853">
        <v>45641.0</v>
      </c>
      <c r="J510" s="170">
        <v>45691.0</v>
      </c>
      <c r="K510" s="854" t="s">
        <v>2766</v>
      </c>
      <c r="L510" s="79" t="s">
        <v>2767</v>
      </c>
      <c r="M510" s="632" t="s">
        <v>2768</v>
      </c>
      <c r="N510" s="76" t="s">
        <v>2755</v>
      </c>
      <c r="O510" s="855">
        <v>1.0</v>
      </c>
      <c r="P510" s="99" t="s">
        <v>2756</v>
      </c>
      <c r="Q510" s="52" t="str">
        <f t="array" ref="Q510"> if(iserror(MATCH(V510, 'File Links'!C:C, 0)), "N/A", HYPERLINK(INDEX('File Links'!B:B, MATCH(P510, 'File Links'!C:C, 0))))</f>
        <v>https://drive.google.com/file/d/1mJVZEGRuGEHvjJLpaIkoRcJuDNXnANgI/view?usp=drivesdk</v>
      </c>
      <c r="R510" s="76" t="s">
        <v>2757</v>
      </c>
      <c r="S510" s="76" t="s">
        <v>2758</v>
      </c>
      <c r="T510" s="82"/>
      <c r="U510" s="856">
        <v>2.0</v>
      </c>
      <c r="V510" s="198" t="str">
        <f t="shared" si="25"/>
        <v>10.1177--19485506241257971.pdf</v>
      </c>
      <c r="W510" s="847" t="s">
        <v>209</v>
      </c>
      <c r="X510" s="54" t="str">
        <f t="array" ref="X510"> if(iserror(MATCH(V510, 'File Links'!C:C, 0)), "N/A", HYPERLINK(INDEX('File Links'!B:B, MATCH(V510, 'File Links'!C:C, 0))))</f>
        <v>https://drive.google.com/file/d/1xNvXepqsFVWYkeFXaOCdP5f6pkQO7e5j/view?usp=drivesdk</v>
      </c>
      <c r="Y510" s="82"/>
      <c r="Z510" s="76" t="s">
        <v>226</v>
      </c>
      <c r="AA510" s="76"/>
      <c r="AB510" s="76" t="s">
        <v>2759</v>
      </c>
      <c r="AC510" s="76" t="s">
        <v>2769</v>
      </c>
      <c r="AD510" s="76" t="s">
        <v>2770</v>
      </c>
      <c r="AE510" s="635">
        <v>2.0</v>
      </c>
      <c r="AF510" s="635">
        <v>3578.0</v>
      </c>
      <c r="AG510" s="635">
        <v>0.204</v>
      </c>
      <c r="AH510" s="99" t="s">
        <v>361</v>
      </c>
      <c r="AI510" s="76" t="s">
        <v>2771</v>
      </c>
      <c r="AJ510" s="635">
        <v>0.001</v>
      </c>
      <c r="AK510" s="95" t="s">
        <v>135</v>
      </c>
      <c r="AL510" s="76" t="s">
        <v>136</v>
      </c>
      <c r="AM510" s="82" t="s">
        <v>137</v>
      </c>
      <c r="AN510" s="857" t="s">
        <v>2772</v>
      </c>
      <c r="AO510" s="858">
        <v>1193.0</v>
      </c>
      <c r="AP510" s="858">
        <v>0.302</v>
      </c>
      <c r="AQ510" s="76" t="s">
        <v>361</v>
      </c>
      <c r="AR510" s="76" t="s">
        <v>624</v>
      </c>
      <c r="AS510" s="635">
        <v>0.01</v>
      </c>
      <c r="AT510" s="95" t="s">
        <v>135</v>
      </c>
      <c r="AU510" s="95" t="s">
        <v>136</v>
      </c>
      <c r="AV510" s="94" t="s">
        <v>137</v>
      </c>
      <c r="AW510" s="102" t="s">
        <v>2773</v>
      </c>
      <c r="AX510" s="103" t="s">
        <v>143</v>
      </c>
      <c r="AY510" s="61" t="str">
        <f>IFERROR(__xludf.DUMMYFUNCTION("vlookup(BB510,importrange(""https://docs.google.com/spreadsheets/d/1d2vevQ_7D_v35q4wCQ4RpQ_IPoTwEMB9Yp6ymwlPqew/edit?gid=984458430#gid=984458430"", ""'replication success'!A:K""), 11, FAlSE)"),"mixed")</f>
        <v>mixed</v>
      </c>
      <c r="AZ510" s="61" t="str">
        <f>IFERROR(__xludf.DUMMYFUNCTION("vlookup(BB510,importrange(""https://docs.google.com/spreadsheets/d/1d2vevQ_7D_v35q4wCQ4RpQ_IPoTwEMB9Yp6ymwlPqew/edit?gid=984458430#gid=984458430"", ""'replication success'!A:M""), 12, FAlSE)"),"We were able to reproduce and replicate the findings based on a difference-score approach. However, we did not find a similarity effect in either sample using more sophisticated approaches.")</f>
        <v>We were able to reproduce and replicate the findings based on a difference-score approach. However, we did not find a similarity effect in either sample using more sophisticated approaches.</v>
      </c>
      <c r="BA510" s="61" t="str">
        <f>IFERROR(__xludf.DUMMYFUNCTION("vlookup(BB510,importrange(""https://docs.google.com/spreadsheets/d/1d2vevQ_7D_v35q4wCQ4RpQ_IPoTwEMB9Yp6ymwlPqew/edit?gid=984458430#gid=984458430"", ""'replication success'!A:M""), 13, FAlSE)"),"abstract")</f>
        <v>abstract</v>
      </c>
      <c r="BB510" s="61" t="str">
        <f>IFERROR(__xludf.DUMMYFUNCTION("REGEXREPLACE(G510, ""_[a-z]{1,2}$"", """")"),"additional_studies66")</f>
        <v>additional_studies66</v>
      </c>
      <c r="BC510" s="123" t="s">
        <v>2774</v>
      </c>
      <c r="BD510" s="839" t="s">
        <v>144</v>
      </c>
    </row>
    <row r="511" ht="20.25" customHeight="1">
      <c r="A511" s="44">
        <v>511.0</v>
      </c>
      <c r="B511" s="839" t="s">
        <v>152</v>
      </c>
      <c r="C511" s="93" t="s">
        <v>115</v>
      </c>
      <c r="D511" s="93" t="s">
        <v>221</v>
      </c>
      <c r="E511" s="92"/>
      <c r="F511" s="94" t="s">
        <v>2752</v>
      </c>
      <c r="G511" s="76" t="s">
        <v>2775</v>
      </c>
      <c r="H511" s="76" t="s">
        <v>222</v>
      </c>
      <c r="I511" s="853">
        <v>45641.0</v>
      </c>
      <c r="J511" s="170">
        <v>45691.0</v>
      </c>
      <c r="K511" s="854" t="s">
        <v>2776</v>
      </c>
      <c r="L511" s="79" t="s">
        <v>2767</v>
      </c>
      <c r="M511" s="632" t="s">
        <v>2777</v>
      </c>
      <c r="N511" s="76" t="s">
        <v>2755</v>
      </c>
      <c r="O511" s="855">
        <v>1.0</v>
      </c>
      <c r="P511" s="99" t="s">
        <v>2756</v>
      </c>
      <c r="Q511" s="52" t="str">
        <f t="array" ref="Q511"> if(iserror(MATCH(V511, 'File Links'!C:C, 0)), "N/A", HYPERLINK(INDEX('File Links'!B:B, MATCH(P511, 'File Links'!C:C, 0))))</f>
        <v>https://drive.google.com/file/d/1mJVZEGRuGEHvjJLpaIkoRcJuDNXnANgI/view?usp=drivesdk</v>
      </c>
      <c r="R511" s="76" t="s">
        <v>2757</v>
      </c>
      <c r="S511" s="76" t="s">
        <v>2758</v>
      </c>
      <c r="T511" s="82"/>
      <c r="U511" s="856">
        <v>2.0</v>
      </c>
      <c r="V511" s="198" t="str">
        <f t="shared" si="25"/>
        <v>10.1177--19485506241257971.pdf</v>
      </c>
      <c r="W511" s="847" t="s">
        <v>209</v>
      </c>
      <c r="X511" s="54" t="str">
        <f t="array" ref="X511"> if(iserror(MATCH(V511, 'File Links'!C:C, 0)), "N/A", HYPERLINK(INDEX('File Links'!B:B, MATCH(V511, 'File Links'!C:C, 0))))</f>
        <v>https://drive.google.com/file/d/1xNvXepqsFVWYkeFXaOCdP5f6pkQO7e5j/view?usp=drivesdk</v>
      </c>
      <c r="Y511" s="82"/>
      <c r="Z511" s="76" t="s">
        <v>226</v>
      </c>
      <c r="AA511" s="76"/>
      <c r="AB511" s="76" t="s">
        <v>2759</v>
      </c>
      <c r="AC511" s="76" t="s">
        <v>2778</v>
      </c>
      <c r="AD511" s="76" t="s">
        <v>2779</v>
      </c>
      <c r="AE511" s="635">
        <v>2.0</v>
      </c>
      <c r="AF511" s="635">
        <v>3578.0</v>
      </c>
      <c r="AG511" s="635">
        <v>0.163</v>
      </c>
      <c r="AH511" s="99" t="s">
        <v>361</v>
      </c>
      <c r="AI511" s="76" t="s">
        <v>2771</v>
      </c>
      <c r="AJ511" s="635">
        <v>0.001</v>
      </c>
      <c r="AK511" s="95" t="s">
        <v>135</v>
      </c>
      <c r="AL511" s="76" t="s">
        <v>136</v>
      </c>
      <c r="AM511" s="82" t="s">
        <v>137</v>
      </c>
      <c r="AN511" s="857" t="s">
        <v>2772</v>
      </c>
      <c r="AO511" s="858">
        <v>1193.0</v>
      </c>
      <c r="AP511" s="858">
        <v>0.302</v>
      </c>
      <c r="AQ511" s="76" t="s">
        <v>361</v>
      </c>
      <c r="AR511" s="76" t="s">
        <v>624</v>
      </c>
      <c r="AS511" s="635">
        <v>0.01</v>
      </c>
      <c r="AT511" s="95" t="s">
        <v>135</v>
      </c>
      <c r="AU511" s="95" t="s">
        <v>136</v>
      </c>
      <c r="AV511" s="94" t="s">
        <v>137</v>
      </c>
      <c r="AW511" s="102" t="s">
        <v>2773</v>
      </c>
      <c r="AX511" s="103" t="s">
        <v>143</v>
      </c>
      <c r="AY511" s="61" t="str">
        <f>IFERROR(__xludf.DUMMYFUNCTION("vlookup(BB511,importrange(""https://docs.google.com/spreadsheets/d/1d2vevQ_7D_v35q4wCQ4RpQ_IPoTwEMB9Yp6ymwlPqew/edit?gid=984458430#gid=984458430"", ""'replication success'!A:K""), 11, FAlSE)"),"mixed")</f>
        <v>mixed</v>
      </c>
      <c r="AZ511" s="61" t="str">
        <f>IFERROR(__xludf.DUMMYFUNCTION("vlookup(BB511,importrange(""https://docs.google.com/spreadsheets/d/1d2vevQ_7D_v35q4wCQ4RpQ_IPoTwEMB9Yp6ymwlPqew/edit?gid=984458430#gid=984458430"", ""'replication success'!A:M""), 12, FAlSE)"),"We were able to reproduce and replicate the findings based on a difference-score approach. However, we did not find a similarity effect in either sample using more sophisticated approaches.")</f>
        <v>We were able to reproduce and replicate the findings based on a difference-score approach. However, we did not find a similarity effect in either sample using more sophisticated approaches.</v>
      </c>
      <c r="BA511" s="61" t="str">
        <f>IFERROR(__xludf.DUMMYFUNCTION("vlookup(BB511,importrange(""https://docs.google.com/spreadsheets/d/1d2vevQ_7D_v35q4wCQ4RpQ_IPoTwEMB9Yp6ymwlPqew/edit?gid=984458430#gid=984458430"", ""'replication success'!A:M""), 13, FAlSE)"),"abstract")</f>
        <v>abstract</v>
      </c>
      <c r="BB511" s="61" t="str">
        <f>IFERROR(__xludf.DUMMYFUNCTION("REGEXREPLACE(G511, ""_[a-z]{1,2}$"", """")"),"additional_studies66")</f>
        <v>additional_studies66</v>
      </c>
      <c r="BC511" s="61"/>
      <c r="BD511" s="839" t="s">
        <v>144</v>
      </c>
    </row>
    <row r="512" ht="20.25" customHeight="1">
      <c r="A512" s="44">
        <v>512.0</v>
      </c>
      <c r="B512" s="839" t="s">
        <v>114</v>
      </c>
      <c r="C512" s="839" t="s">
        <v>115</v>
      </c>
      <c r="D512" s="839" t="s">
        <v>1234</v>
      </c>
      <c r="E512" s="752"/>
      <c r="F512" s="94" t="s">
        <v>2752</v>
      </c>
      <c r="G512" s="841" t="s">
        <v>2775</v>
      </c>
      <c r="H512" s="843"/>
      <c r="I512" s="859"/>
      <c r="J512" s="170">
        <v>45691.0</v>
      </c>
      <c r="K512" s="843"/>
      <c r="L512" s="843"/>
      <c r="M512" s="841" t="s">
        <v>2754</v>
      </c>
      <c r="N512" s="841" t="s">
        <v>2755</v>
      </c>
      <c r="O512" s="844">
        <v>1.0</v>
      </c>
      <c r="P512" s="845" t="s">
        <v>2756</v>
      </c>
      <c r="Q512" s="52" t="str">
        <f t="array" ref="Q512"> if(iserror(MATCH(V512, 'File Links'!C:C, 0)), "N/A", HYPERLINK(INDEX('File Links'!B:B, MATCH(P512, 'File Links'!C:C, 0))))</f>
        <v>https://drive.google.com/file/d/1mJVZEGRuGEHvjJLpaIkoRcJuDNXnANgI/view?usp=drivesdk</v>
      </c>
      <c r="R512" s="841" t="s">
        <v>2757</v>
      </c>
      <c r="S512" s="841" t="s">
        <v>2758</v>
      </c>
      <c r="U512" s="860">
        <v>2.0</v>
      </c>
      <c r="V512" s="198" t="str">
        <f t="shared" si="25"/>
        <v>10.1177--19485506241257971.pdf</v>
      </c>
      <c r="W512" s="847" t="s">
        <v>209</v>
      </c>
      <c r="X512" s="54" t="str">
        <f t="array" ref="X512"> if(iserror(MATCH(V512, 'File Links'!C:C, 0)), "N/A", HYPERLINK(INDEX('File Links'!B:B, MATCH(V512, 'File Links'!C:C, 0))))</f>
        <v>https://drive.google.com/file/d/1xNvXepqsFVWYkeFXaOCdP5f6pkQO7e5j/view?usp=drivesdk</v>
      </c>
      <c r="Y512" s="841"/>
      <c r="Z512" s="841"/>
      <c r="AA512" s="841"/>
      <c r="AB512" s="848" t="s">
        <v>2759</v>
      </c>
      <c r="AC512" s="843"/>
      <c r="AD512" s="843"/>
      <c r="AE512" s="843"/>
      <c r="AF512" s="843"/>
      <c r="AG512" s="843"/>
      <c r="AH512" s="850"/>
      <c r="AI512" s="843"/>
      <c r="AJ512" s="843"/>
      <c r="AK512" s="851"/>
      <c r="AL512" s="843"/>
      <c r="AM512" s="843"/>
      <c r="AN512" s="219" t="s">
        <v>138</v>
      </c>
      <c r="AO512" s="844">
        <v>1250.0</v>
      </c>
      <c r="AP512" s="843"/>
      <c r="AQ512" s="843"/>
      <c r="AR512" s="843"/>
      <c r="AS512" s="844">
        <v>0.001</v>
      </c>
      <c r="AT512" s="840" t="s">
        <v>135</v>
      </c>
      <c r="AU512" s="840" t="s">
        <v>186</v>
      </c>
      <c r="AV512" s="840"/>
      <c r="AW512" s="852" t="s">
        <v>2780</v>
      </c>
      <c r="AX512" s="851"/>
      <c r="AY512" s="61" t="str">
        <f>IFERROR(__xludf.DUMMYFUNCTION("vlookup(BB512,importrange(""https://docs.google.com/spreadsheets/d/1d2vevQ_7D_v35q4wCQ4RpQ_IPoTwEMB9Yp6ymwlPqew/edit?gid=984458430#gid=984458430"", ""'replication success'!A:K""), 11, FAlSE)"),"mixed")</f>
        <v>mixed</v>
      </c>
      <c r="AZ512" s="61" t="str">
        <f>IFERROR(__xludf.DUMMYFUNCTION("vlookup(BB512,importrange(""https://docs.google.com/spreadsheets/d/1d2vevQ_7D_v35q4wCQ4RpQ_IPoTwEMB9Yp6ymwlPqew/edit?gid=984458430#gid=984458430"", ""'replication success'!A:M""), 12, FAlSE)"),"We were able to reproduce and replicate the findings based on a difference-score approach. However, we did not find a similarity effect in either sample using more sophisticated approaches.")</f>
        <v>We were able to reproduce and replicate the findings based on a difference-score approach. However, we did not find a similarity effect in either sample using more sophisticated approaches.</v>
      </c>
      <c r="BA512" s="61" t="str">
        <f>IFERROR(__xludf.DUMMYFUNCTION("vlookup(BB512,importrange(""https://docs.google.com/spreadsheets/d/1d2vevQ_7D_v35q4wCQ4RpQ_IPoTwEMB9Yp6ymwlPqew/edit?gid=984458430#gid=984458430"", ""'replication success'!A:M""), 13, FAlSE)"),"abstract")</f>
        <v>abstract</v>
      </c>
      <c r="BB512" s="61" t="str">
        <f>IFERROR(__xludf.DUMMYFUNCTION("REGEXREPLACE(G512, ""_[a-z]{1,2}$"", """")"),"additional_studies66")</f>
        <v>additional_studies66</v>
      </c>
      <c r="BC512" s="61"/>
      <c r="BD512" s="839" t="s">
        <v>144</v>
      </c>
    </row>
    <row r="513" ht="20.25" customHeight="1">
      <c r="A513" s="44">
        <v>513.0</v>
      </c>
      <c r="B513" s="839" t="s">
        <v>114</v>
      </c>
      <c r="C513" s="93" t="s">
        <v>115</v>
      </c>
      <c r="D513" s="93" t="s">
        <v>221</v>
      </c>
      <c r="E513" s="92"/>
      <c r="F513" s="94" t="s">
        <v>2752</v>
      </c>
      <c r="G513" s="76" t="s">
        <v>2781</v>
      </c>
      <c r="H513" s="76" t="s">
        <v>222</v>
      </c>
      <c r="I513" s="853">
        <v>45641.0</v>
      </c>
      <c r="J513" s="170">
        <v>45691.0</v>
      </c>
      <c r="K513" s="854" t="s">
        <v>2782</v>
      </c>
      <c r="L513" s="79" t="s">
        <v>2767</v>
      </c>
      <c r="M513" s="632" t="s">
        <v>2783</v>
      </c>
      <c r="N513" s="76" t="s">
        <v>2755</v>
      </c>
      <c r="O513" s="855">
        <v>1.0</v>
      </c>
      <c r="P513" s="99" t="s">
        <v>2756</v>
      </c>
      <c r="Q513" s="52" t="str">
        <f t="array" ref="Q513"> if(iserror(MATCH(V513, 'File Links'!C:C, 0)), "N/A", HYPERLINK(INDEX('File Links'!B:B, MATCH(P513, 'File Links'!C:C, 0))))</f>
        <v>https://drive.google.com/file/d/1mJVZEGRuGEHvjJLpaIkoRcJuDNXnANgI/view?usp=drivesdk</v>
      </c>
      <c r="R513" s="76" t="s">
        <v>2757</v>
      </c>
      <c r="S513" s="76" t="s">
        <v>2758</v>
      </c>
      <c r="T513" s="82"/>
      <c r="U513" s="856">
        <v>2.0</v>
      </c>
      <c r="V513" s="198" t="str">
        <f t="shared" si="25"/>
        <v>10.1177--19485506241257971.pdf</v>
      </c>
      <c r="W513" s="847" t="s">
        <v>209</v>
      </c>
      <c r="X513" s="54" t="str">
        <f t="array" ref="X513"> if(iserror(MATCH(V513, 'File Links'!C:C, 0)), "N/A", HYPERLINK(INDEX('File Links'!B:B, MATCH(V513, 'File Links'!C:C, 0))))</f>
        <v>https://drive.google.com/file/d/1xNvXepqsFVWYkeFXaOCdP5f6pkQO7e5j/view?usp=drivesdk</v>
      </c>
      <c r="Y513" s="82"/>
      <c r="Z513" s="76" t="s">
        <v>226</v>
      </c>
      <c r="AA513" s="76"/>
      <c r="AB513" s="76" t="s">
        <v>2759</v>
      </c>
      <c r="AC513" s="76" t="s">
        <v>2784</v>
      </c>
      <c r="AD513" s="76" t="s">
        <v>2785</v>
      </c>
      <c r="AE513" s="635">
        <v>2.0</v>
      </c>
      <c r="AF513" s="635">
        <v>3578.0</v>
      </c>
      <c r="AG513" s="635">
        <v>0.066</v>
      </c>
      <c r="AH513" s="99" t="s">
        <v>361</v>
      </c>
      <c r="AI513" s="76" t="s">
        <v>2771</v>
      </c>
      <c r="AJ513" s="635">
        <v>0.001</v>
      </c>
      <c r="AK513" s="95" t="s">
        <v>135</v>
      </c>
      <c r="AL513" s="76" t="s">
        <v>136</v>
      </c>
      <c r="AM513" s="82" t="s">
        <v>137</v>
      </c>
      <c r="AN513" s="857" t="s">
        <v>2772</v>
      </c>
      <c r="AO513" s="858">
        <v>1193.0</v>
      </c>
      <c r="AP513" s="79" t="s">
        <v>138</v>
      </c>
      <c r="AQ513" s="79" t="s">
        <v>138</v>
      </c>
      <c r="AR513" s="79" t="s">
        <v>138</v>
      </c>
      <c r="AS513" s="79" t="s">
        <v>138</v>
      </c>
      <c r="AT513" s="79" t="s">
        <v>138</v>
      </c>
      <c r="AU513" s="79" t="s">
        <v>186</v>
      </c>
      <c r="AV513" s="94" t="s">
        <v>137</v>
      </c>
      <c r="AW513" s="102" t="s">
        <v>2773</v>
      </c>
      <c r="AX513" s="103" t="s">
        <v>143</v>
      </c>
      <c r="AY513" s="61" t="str">
        <f>IFERROR(__xludf.DUMMYFUNCTION("vlookup(BB513,importrange(""https://docs.google.com/spreadsheets/d/1d2vevQ_7D_v35q4wCQ4RpQ_IPoTwEMB9Yp6ymwlPqew/edit?gid=984458430#gid=984458430"", ""'replication success'!A:K""), 11, FAlSE)"),"mixed")</f>
        <v>mixed</v>
      </c>
      <c r="AZ513" s="61" t="str">
        <f>IFERROR(__xludf.DUMMYFUNCTION("vlookup(BB513,importrange(""https://docs.google.com/spreadsheets/d/1d2vevQ_7D_v35q4wCQ4RpQ_IPoTwEMB9Yp6ymwlPqew/edit?gid=984458430#gid=984458430"", ""'replication success'!A:M""), 12, FAlSE)"),"We were able to reproduce and replicate the findings based on a difference-score approach. However, we did not find a similarity effect in either sample using more sophisticated approaches.")</f>
        <v>We were able to reproduce and replicate the findings based on a difference-score approach. However, we did not find a similarity effect in either sample using more sophisticated approaches.</v>
      </c>
      <c r="BA513" s="61" t="str">
        <f>IFERROR(__xludf.DUMMYFUNCTION("vlookup(BB513,importrange(""https://docs.google.com/spreadsheets/d/1d2vevQ_7D_v35q4wCQ4RpQ_IPoTwEMB9Yp6ymwlPqew/edit?gid=984458430#gid=984458430"", ""'replication success'!A:M""), 13, FAlSE)"),"abstract")</f>
        <v>abstract</v>
      </c>
      <c r="BB513" s="61" t="str">
        <f>IFERROR(__xludf.DUMMYFUNCTION("REGEXREPLACE(G513, ""_[a-z]{1,2}$"", """")"),"additional_studies66")</f>
        <v>additional_studies66</v>
      </c>
      <c r="BC513" s="61"/>
      <c r="BD513" s="839" t="s">
        <v>144</v>
      </c>
    </row>
    <row r="514" ht="20.25" customHeight="1">
      <c r="A514" s="44">
        <v>514.0</v>
      </c>
      <c r="B514" s="149" t="s">
        <v>590</v>
      </c>
      <c r="C514" s="149" t="s">
        <v>115</v>
      </c>
      <c r="D514" s="149" t="s">
        <v>1234</v>
      </c>
      <c r="E514" s="71"/>
      <c r="F514" s="111" t="s">
        <v>2786</v>
      </c>
      <c r="G514" s="112" t="s">
        <v>2787</v>
      </c>
      <c r="H514" s="112" t="s">
        <v>1237</v>
      </c>
      <c r="I514" s="417">
        <v>45472.0</v>
      </c>
      <c r="J514" s="113">
        <v>45641.0</v>
      </c>
      <c r="K514" s="114"/>
      <c r="L514" s="114"/>
      <c r="M514" s="112" t="s">
        <v>2788</v>
      </c>
      <c r="N514" s="112" t="s">
        <v>2789</v>
      </c>
      <c r="O514" s="117">
        <v>1.0</v>
      </c>
      <c r="P514" s="121" t="s">
        <v>2790</v>
      </c>
      <c r="Q514" s="52" t="str">
        <f t="array" ref="Q514"> if(iserror(MATCH(V514, 'File Links'!C:C, 0)), "N/A", HYPERLINK(INDEX('File Links'!B:B, MATCH(P514, 'File Links'!C:C, 0))))</f>
        <v>https://drive.google.com/file/d/1LJ0WrqBtVRCt68G-AduIa1fUKucFOQw4/view?usp=drivesdk</v>
      </c>
      <c r="R514" s="112" t="s">
        <v>2791</v>
      </c>
      <c r="S514" s="219" t="s">
        <v>2792</v>
      </c>
      <c r="T514" s="861" t="s">
        <v>2793</v>
      </c>
      <c r="U514" s="654">
        <v>1.0</v>
      </c>
      <c r="V514" s="198" t="str">
        <f t="shared" si="25"/>
        <v>patt_2024.pdf</v>
      </c>
      <c r="W514" s="112" t="s">
        <v>2794</v>
      </c>
      <c r="X514" s="54" t="str">
        <f t="array" ref="X514"> if(iserror(MATCH(V514, 'File Links'!C:C, 0)), "N/A", HYPERLINK(INDEX('File Links'!B:B, MATCH(V514, 'File Links'!C:C, 0))))</f>
        <v>https://drive.google.com/file/d/1ThlzA-VvGBDO4Se-yoayt4Mn-HEfjYUo/view?usp=drivesdk</v>
      </c>
      <c r="Y514" s="112"/>
      <c r="Z514" s="112" t="s">
        <v>2795</v>
      </c>
      <c r="AB514" s="112" t="s">
        <v>2796</v>
      </c>
      <c r="AC514" s="112" t="s">
        <v>2797</v>
      </c>
      <c r="AE514" s="117">
        <v>623.0</v>
      </c>
      <c r="AF514" s="117">
        <v>51.0</v>
      </c>
      <c r="AG514" s="114"/>
      <c r="AH514" s="120"/>
      <c r="AI514" s="114"/>
      <c r="AJ514" s="114"/>
      <c r="AK514" s="111"/>
      <c r="AL514" s="112" t="s">
        <v>186</v>
      </c>
      <c r="AM514" s="112"/>
      <c r="AN514" s="219" t="s">
        <v>138</v>
      </c>
      <c r="AO514" s="117">
        <v>303.0</v>
      </c>
      <c r="AP514" s="114"/>
      <c r="AQ514" s="114"/>
      <c r="AR514" s="112" t="s">
        <v>138</v>
      </c>
      <c r="AS514" s="114"/>
      <c r="AT514" s="111"/>
      <c r="AU514" s="122" t="s">
        <v>186</v>
      </c>
      <c r="AV514" s="122"/>
      <c r="AW514" s="111"/>
      <c r="AX514" s="111"/>
      <c r="AY514" s="61" t="str">
        <f>IFERROR(__xludf.DUMMYFUNCTION("vlookup(BB514,importrange(""https://docs.google.com/spreadsheets/d/1d2vevQ_7D_v35q4wCQ4RpQ_IPoTwEMB9Yp6ymwlPqew/edit?gid=984458430#gid=984458430"", ""'replication success'!A:K""), 11, FAlSE)"),"#N/A")</f>
        <v>#N/A</v>
      </c>
      <c r="AZ514" s="61" t="str">
        <f>IFERROR(__xludf.DUMMYFUNCTION("vlookup(BB514,importrange(""https://docs.google.com/spreadsheets/d/1d2vevQ_7D_v35q4wCQ4RpQ_IPoTwEMB9Yp6ymwlPqew/edit?gid=984458430#gid=984458430"", ""'replication success'!A:M""), 12, FAlSE)"),"#N/A")</f>
        <v>#N/A</v>
      </c>
      <c r="BA514" s="61" t="str">
        <f>IFERROR(__xludf.DUMMYFUNCTION("vlookup(BB514,importrange(""https://docs.google.com/spreadsheets/d/1d2vevQ_7D_v35q4wCQ4RpQ_IPoTwEMB9Yp6ymwlPqew/edit?gid=984458430#gid=984458430"", ""'replication success'!A:M""), 13, FAlSE)"),"#N/A")</f>
        <v>#N/A</v>
      </c>
      <c r="BB514" s="61" t="str">
        <f>IFERROR(__xludf.DUMMYFUNCTION("REGEXREPLACE(G514, ""_[a-z]{1,2}$"", """")"),"additional_studies67")</f>
        <v>additional_studies67</v>
      </c>
      <c r="BC514" s="61"/>
      <c r="BD514" s="71"/>
    </row>
    <row r="515" ht="20.25" customHeight="1">
      <c r="A515" s="44">
        <v>515.0</v>
      </c>
      <c r="B515" s="124" t="s">
        <v>285</v>
      </c>
      <c r="C515" s="124" t="s">
        <v>115</v>
      </c>
      <c r="D515" s="124" t="s">
        <v>221</v>
      </c>
      <c r="E515" s="107"/>
      <c r="F515" s="125" t="s">
        <v>2786</v>
      </c>
      <c r="G515" s="126" t="s">
        <v>2798</v>
      </c>
      <c r="H515" s="126" t="s">
        <v>222</v>
      </c>
      <c r="I515" s="317">
        <v>45641.0</v>
      </c>
      <c r="J515" s="132"/>
      <c r="K515" s="126" t="s">
        <v>2647</v>
      </c>
      <c r="L515" s="132"/>
      <c r="M515" s="126" t="s">
        <v>2799</v>
      </c>
      <c r="N515" s="126" t="s">
        <v>2789</v>
      </c>
      <c r="O515" s="132"/>
      <c r="P515" s="223" t="s">
        <v>2790</v>
      </c>
      <c r="Q515" s="52" t="str">
        <f t="array" ref="Q515"> if(iserror(MATCH(V515, 'File Links'!C:C, 0)), "N/A", HYPERLINK(INDEX('File Links'!B:B, MATCH(P515, 'File Links'!C:C, 0))))</f>
        <v>https://drive.google.com/file/d/1LJ0WrqBtVRCt68G-AduIa1fUKucFOQw4/view?usp=drivesdk</v>
      </c>
      <c r="R515" s="126" t="s">
        <v>2791</v>
      </c>
      <c r="S515" s="219" t="s">
        <v>2792</v>
      </c>
      <c r="T515" s="861" t="s">
        <v>2793</v>
      </c>
      <c r="U515" s="318"/>
      <c r="V515" s="198" t="str">
        <f t="shared" si="25"/>
        <v>patt_2024.pdf</v>
      </c>
      <c r="W515" s="126" t="s">
        <v>2800</v>
      </c>
      <c r="X515" s="54" t="str">
        <f t="array" ref="X515"> if(iserror(MATCH(V515, 'File Links'!C:C, 0)), "N/A", HYPERLINK(INDEX('File Links'!B:B, MATCH(V515, 'File Links'!C:C, 0))))</f>
        <v>https://drive.google.com/file/d/1ThlzA-VvGBDO4Se-yoayt4Mn-HEfjYUo/view?usp=drivesdk</v>
      </c>
      <c r="Y515" s="132"/>
      <c r="Z515" s="126" t="s">
        <v>226</v>
      </c>
      <c r="AA515" s="126" t="s">
        <v>2801</v>
      </c>
      <c r="AB515" s="126" t="s">
        <v>2802</v>
      </c>
      <c r="AC515" s="126" t="s">
        <v>2803</v>
      </c>
      <c r="AD515" s="126" t="s">
        <v>2804</v>
      </c>
      <c r="AE515" s="130">
        <v>827.0</v>
      </c>
      <c r="AF515" s="130">
        <v>126.0</v>
      </c>
      <c r="AG515" s="130">
        <v>11.83</v>
      </c>
      <c r="AH515" s="223" t="s">
        <v>2805</v>
      </c>
      <c r="AI515" s="130">
        <v>827.0</v>
      </c>
      <c r="AJ515" s="132"/>
      <c r="AK515" s="125"/>
      <c r="AL515" s="132"/>
      <c r="AM515" s="132"/>
      <c r="AN515" s="219" t="s">
        <v>138</v>
      </c>
      <c r="AO515" s="130">
        <v>254.0</v>
      </c>
      <c r="AP515" s="130">
        <v>2.05</v>
      </c>
      <c r="AQ515" s="126" t="s">
        <v>2805</v>
      </c>
      <c r="AR515" s="126" t="s">
        <v>305</v>
      </c>
      <c r="AS515" s="132"/>
      <c r="AT515" s="125"/>
      <c r="AU515" s="125"/>
      <c r="AV515" s="125"/>
      <c r="AW515" s="125"/>
      <c r="AX515" s="125" t="s">
        <v>151</v>
      </c>
      <c r="AY515" s="61" t="str">
        <f>IFERROR(__xludf.DUMMYFUNCTION("vlookup(BB515,importrange(""https://docs.google.com/spreadsheets/d/1d2vevQ_7D_v35q4wCQ4RpQ_IPoTwEMB9Yp6ymwlPqew/edit?gid=984458430#gid=984458430"", ""'replication success'!A:K""), 11, FAlSE)"),"#N/A")</f>
        <v>#N/A</v>
      </c>
      <c r="AZ515" s="61" t="str">
        <f>IFERROR(__xludf.DUMMYFUNCTION("vlookup(BB515,importrange(""https://docs.google.com/spreadsheets/d/1d2vevQ_7D_v35q4wCQ4RpQ_IPoTwEMB9Yp6ymwlPqew/edit?gid=984458430#gid=984458430"", ""'replication success'!A:M""), 12, FAlSE)"),"#N/A")</f>
        <v>#N/A</v>
      </c>
      <c r="BA515" s="61" t="str">
        <f>IFERROR(__xludf.DUMMYFUNCTION("vlookup(BB515,importrange(""https://docs.google.com/spreadsheets/d/1d2vevQ_7D_v35q4wCQ4RpQ_IPoTwEMB9Yp6ymwlPqew/edit?gid=984458430#gid=984458430"", ""'replication success'!A:M""), 13, FAlSE)"),"#N/A")</f>
        <v>#N/A</v>
      </c>
      <c r="BB515" s="61" t="str">
        <f>IFERROR(__xludf.DUMMYFUNCTION("REGEXREPLACE(G515, ""_[a-z]{1,2}$"", """")"),"additional_studies67")</f>
        <v>additional_studies67</v>
      </c>
      <c r="BC515" s="61"/>
      <c r="BD515" s="107"/>
    </row>
    <row r="516" ht="20.25" customHeight="1">
      <c r="A516" s="44">
        <v>516.0</v>
      </c>
      <c r="B516" s="124" t="s">
        <v>285</v>
      </c>
      <c r="C516" s="124" t="s">
        <v>115</v>
      </c>
      <c r="D516" s="124" t="s">
        <v>221</v>
      </c>
      <c r="E516" s="107"/>
      <c r="F516" s="125" t="s">
        <v>2786</v>
      </c>
      <c r="G516" s="126" t="s">
        <v>2806</v>
      </c>
      <c r="H516" s="126" t="s">
        <v>222</v>
      </c>
      <c r="I516" s="317">
        <v>45641.0</v>
      </c>
      <c r="J516" s="132"/>
      <c r="K516" s="126" t="s">
        <v>2647</v>
      </c>
      <c r="L516" s="132"/>
      <c r="M516" s="126" t="s">
        <v>2799</v>
      </c>
      <c r="N516" s="126" t="s">
        <v>2789</v>
      </c>
      <c r="O516" s="132"/>
      <c r="P516" s="223" t="s">
        <v>2790</v>
      </c>
      <c r="Q516" s="52" t="str">
        <f t="array" ref="Q516"> if(iserror(MATCH(V516, 'File Links'!C:C, 0)), "N/A", HYPERLINK(INDEX('File Links'!B:B, MATCH(P516, 'File Links'!C:C, 0))))</f>
        <v>https://drive.google.com/file/d/1LJ0WrqBtVRCt68G-AduIa1fUKucFOQw4/view?usp=drivesdk</v>
      </c>
      <c r="R516" s="126" t="s">
        <v>2791</v>
      </c>
      <c r="S516" s="219" t="s">
        <v>2792</v>
      </c>
      <c r="T516" s="861" t="s">
        <v>2793</v>
      </c>
      <c r="U516" s="318"/>
      <c r="V516" s="198" t="str">
        <f t="shared" si="25"/>
        <v>patt_2024.pdf</v>
      </c>
      <c r="W516" s="126" t="s">
        <v>2800</v>
      </c>
      <c r="X516" s="54" t="str">
        <f t="array" ref="X516"> if(iserror(MATCH(V516, 'File Links'!C:C, 0)), "N/A", HYPERLINK(INDEX('File Links'!B:B, MATCH(V516, 'File Links'!C:C, 0))))</f>
        <v>https://drive.google.com/file/d/1ThlzA-VvGBDO4Se-yoayt4Mn-HEfjYUo/view?usp=drivesdk</v>
      </c>
      <c r="Y516" s="132"/>
      <c r="Z516" s="126" t="s">
        <v>226</v>
      </c>
      <c r="AA516" s="126" t="s">
        <v>2801</v>
      </c>
      <c r="AB516" s="126" t="s">
        <v>2802</v>
      </c>
      <c r="AC516" s="126" t="s">
        <v>2807</v>
      </c>
      <c r="AD516" s="126" t="s">
        <v>2808</v>
      </c>
      <c r="AE516" s="130">
        <v>827.0</v>
      </c>
      <c r="AF516" s="130">
        <v>87.0</v>
      </c>
      <c r="AG516" s="130">
        <v>9.41</v>
      </c>
      <c r="AH516" s="223" t="s">
        <v>2805</v>
      </c>
      <c r="AI516" s="130">
        <v>827.0</v>
      </c>
      <c r="AJ516" s="132"/>
      <c r="AK516" s="125"/>
      <c r="AL516" s="132"/>
      <c r="AM516" s="132"/>
      <c r="AN516" s="219" t="s">
        <v>138</v>
      </c>
      <c r="AO516" s="130">
        <v>51.0</v>
      </c>
      <c r="AP516" s="130">
        <v>0.79</v>
      </c>
      <c r="AQ516" s="126" t="s">
        <v>2805</v>
      </c>
      <c r="AR516" s="126" t="s">
        <v>305</v>
      </c>
      <c r="AS516" s="132"/>
      <c r="AT516" s="125"/>
      <c r="AU516" s="125"/>
      <c r="AV516" s="125"/>
      <c r="AW516" s="125"/>
      <c r="AX516" s="125" t="s">
        <v>151</v>
      </c>
      <c r="AY516" s="61" t="str">
        <f>IFERROR(__xludf.DUMMYFUNCTION("vlookup(BB516,importrange(""https://docs.google.com/spreadsheets/d/1d2vevQ_7D_v35q4wCQ4RpQ_IPoTwEMB9Yp6ymwlPqew/edit?gid=984458430#gid=984458430"", ""'replication success'!A:K""), 11, FAlSE)"),"#N/A")</f>
        <v>#N/A</v>
      </c>
      <c r="AZ516" s="61" t="str">
        <f>IFERROR(__xludf.DUMMYFUNCTION("vlookup(BB516,importrange(""https://docs.google.com/spreadsheets/d/1d2vevQ_7D_v35q4wCQ4RpQ_IPoTwEMB9Yp6ymwlPqew/edit?gid=984458430#gid=984458430"", ""'replication success'!A:M""), 12, FAlSE)"),"#N/A")</f>
        <v>#N/A</v>
      </c>
      <c r="BA516" s="61" t="str">
        <f>IFERROR(__xludf.DUMMYFUNCTION("vlookup(BB516,importrange(""https://docs.google.com/spreadsheets/d/1d2vevQ_7D_v35q4wCQ4RpQ_IPoTwEMB9Yp6ymwlPqew/edit?gid=984458430#gid=984458430"", ""'replication success'!A:M""), 13, FAlSE)"),"#N/A")</f>
        <v>#N/A</v>
      </c>
      <c r="BB516" s="61" t="str">
        <f>IFERROR(__xludf.DUMMYFUNCTION("REGEXREPLACE(G516, ""_[a-z]{1,2}$"", """")"),"additional_studies67")</f>
        <v>additional_studies67</v>
      </c>
      <c r="BC516" s="61"/>
      <c r="BD516" s="107"/>
    </row>
    <row r="517" ht="20.25" customHeight="1">
      <c r="A517" s="44">
        <v>517.0</v>
      </c>
      <c r="B517" s="124" t="s">
        <v>285</v>
      </c>
      <c r="C517" s="124" t="s">
        <v>115</v>
      </c>
      <c r="D517" s="124" t="s">
        <v>221</v>
      </c>
      <c r="E517" s="107"/>
      <c r="F517" s="125" t="s">
        <v>2786</v>
      </c>
      <c r="G517" s="126" t="s">
        <v>2809</v>
      </c>
      <c r="H517" s="126" t="s">
        <v>222</v>
      </c>
      <c r="I517" s="317">
        <v>45641.0</v>
      </c>
      <c r="J517" s="132"/>
      <c r="K517" s="126" t="s">
        <v>2647</v>
      </c>
      <c r="L517" s="132"/>
      <c r="M517" s="126" t="s">
        <v>2799</v>
      </c>
      <c r="N517" s="126" t="s">
        <v>2789</v>
      </c>
      <c r="O517" s="132"/>
      <c r="P517" s="223" t="s">
        <v>2790</v>
      </c>
      <c r="Q517" s="52" t="str">
        <f t="array" ref="Q517"> if(iserror(MATCH(V517, 'File Links'!C:C, 0)), "N/A", HYPERLINK(INDEX('File Links'!B:B, MATCH(P517, 'File Links'!C:C, 0))))</f>
        <v>https://drive.google.com/file/d/1LJ0WrqBtVRCt68G-AduIa1fUKucFOQw4/view?usp=drivesdk</v>
      </c>
      <c r="R517" s="126" t="s">
        <v>2791</v>
      </c>
      <c r="S517" s="219" t="s">
        <v>2792</v>
      </c>
      <c r="T517" s="861" t="s">
        <v>2793</v>
      </c>
      <c r="U517" s="318"/>
      <c r="V517" s="198" t="str">
        <f t="shared" si="25"/>
        <v>patt_2024.pdf</v>
      </c>
      <c r="W517" s="126" t="s">
        <v>2800</v>
      </c>
      <c r="X517" s="54" t="str">
        <f t="array" ref="X517"> if(iserror(MATCH(V517, 'File Links'!C:C, 0)), "N/A", HYPERLINK(INDEX('File Links'!B:B, MATCH(V517, 'File Links'!C:C, 0))))</f>
        <v>https://drive.google.com/file/d/1ThlzA-VvGBDO4Se-yoayt4Mn-HEfjYUo/view?usp=drivesdk</v>
      </c>
      <c r="Y517" s="132"/>
      <c r="Z517" s="126" t="s">
        <v>226</v>
      </c>
      <c r="AA517" s="126" t="s">
        <v>2801</v>
      </c>
      <c r="AB517" s="126" t="s">
        <v>2802</v>
      </c>
      <c r="AC517" s="126" t="s">
        <v>2810</v>
      </c>
      <c r="AD517" s="126" t="s">
        <v>2811</v>
      </c>
      <c r="AE517" s="130">
        <v>827.0</v>
      </c>
      <c r="AF517" s="130">
        <v>19.0</v>
      </c>
      <c r="AG517" s="130">
        <v>4.1</v>
      </c>
      <c r="AH517" s="223" t="s">
        <v>2805</v>
      </c>
      <c r="AI517" s="130">
        <v>827.0</v>
      </c>
      <c r="AJ517" s="132"/>
      <c r="AK517" s="125"/>
      <c r="AL517" s="132"/>
      <c r="AM517" s="132"/>
      <c r="AN517" s="219" t="s">
        <v>138</v>
      </c>
      <c r="AO517" s="130">
        <v>36.0</v>
      </c>
      <c r="AP517" s="130">
        <v>0.65</v>
      </c>
      <c r="AQ517" s="126" t="s">
        <v>2805</v>
      </c>
      <c r="AR517" s="126" t="s">
        <v>2812</v>
      </c>
      <c r="AS517" s="132"/>
      <c r="AT517" s="125"/>
      <c r="AU517" s="125"/>
      <c r="AV517" s="125"/>
      <c r="AW517" s="125"/>
      <c r="AX517" s="125" t="s">
        <v>151</v>
      </c>
      <c r="AY517" s="61" t="str">
        <f>IFERROR(__xludf.DUMMYFUNCTION("vlookup(BB517,importrange(""https://docs.google.com/spreadsheets/d/1d2vevQ_7D_v35q4wCQ4RpQ_IPoTwEMB9Yp6ymwlPqew/edit?gid=984458430#gid=984458430"", ""'replication success'!A:K""), 11, FAlSE)"),"#N/A")</f>
        <v>#N/A</v>
      </c>
      <c r="AZ517" s="61" t="str">
        <f>IFERROR(__xludf.DUMMYFUNCTION("vlookup(BB517,importrange(""https://docs.google.com/spreadsheets/d/1d2vevQ_7D_v35q4wCQ4RpQ_IPoTwEMB9Yp6ymwlPqew/edit?gid=984458430#gid=984458430"", ""'replication success'!A:M""), 12, FAlSE)"),"#N/A")</f>
        <v>#N/A</v>
      </c>
      <c r="BA517" s="61" t="str">
        <f>IFERROR(__xludf.DUMMYFUNCTION("vlookup(BB517,importrange(""https://docs.google.com/spreadsheets/d/1d2vevQ_7D_v35q4wCQ4RpQ_IPoTwEMB9Yp6ymwlPqew/edit?gid=984458430#gid=984458430"", ""'replication success'!A:M""), 13, FAlSE)"),"#N/A")</f>
        <v>#N/A</v>
      </c>
      <c r="BB517" s="61" t="str">
        <f>IFERROR(__xludf.DUMMYFUNCTION("REGEXREPLACE(G517, ""_[a-z]{1,2}$"", """")"),"additional_studies67")</f>
        <v>additional_studies67</v>
      </c>
      <c r="BC517" s="61"/>
      <c r="BD517" s="107"/>
    </row>
    <row r="518" ht="20.25" customHeight="1">
      <c r="A518" s="44">
        <v>518.0</v>
      </c>
      <c r="B518" s="62" t="s">
        <v>285</v>
      </c>
      <c r="C518" s="62" t="s">
        <v>115</v>
      </c>
      <c r="D518" s="62" t="s">
        <v>1234</v>
      </c>
      <c r="F518" s="68" t="s">
        <v>2813</v>
      </c>
      <c r="G518" s="57" t="s">
        <v>2814</v>
      </c>
      <c r="H518" s="57" t="s">
        <v>1237</v>
      </c>
      <c r="I518" s="152">
        <v>45472.0</v>
      </c>
      <c r="J518" s="434">
        <v>45641.0</v>
      </c>
      <c r="K518" s="61"/>
      <c r="L518" s="61"/>
      <c r="M518" s="57" t="s">
        <v>2815</v>
      </c>
      <c r="N518" s="57" t="s">
        <v>2816</v>
      </c>
      <c r="O518" s="379">
        <v>2.0</v>
      </c>
      <c r="P518" s="377" t="s">
        <v>2817</v>
      </c>
      <c r="Q518" s="52" t="str">
        <f t="array" ref="Q518"> if(iserror(MATCH(V518, 'File Links'!C:C, 0)), "N/A", HYPERLINK(INDEX('File Links'!B:B, MATCH(P518, 'File Links'!C:C, 0))))</f>
        <v>https://drive.google.com/file/d/1U7jcEsjlgt0luv4Qd8Q7JmbBb7qRDTdD/view?usp=drivesdk</v>
      </c>
      <c r="R518" s="57" t="s">
        <v>2818</v>
      </c>
      <c r="S518" s="57" t="s">
        <v>2819</v>
      </c>
      <c r="U518" s="709">
        <v>1.0</v>
      </c>
      <c r="V518" s="198" t="str">
        <f t="shared" si="25"/>
        <v>10.1038--s41598-024-63724-2.pdf</v>
      </c>
      <c r="W518" s="57" t="s">
        <v>2820</v>
      </c>
      <c r="X518" s="54" t="str">
        <f t="array" ref="X518"> if(iserror(MATCH(V518, 'File Links'!C:C, 0)), "N/A", HYPERLINK(INDEX('File Links'!B:B, MATCH(V518, 'File Links'!C:C, 0))))</f>
        <v>https://drive.google.com/file/d/10CU4FiXsOc216jLudNBinSLadjKnYzKg/view?usp=drivesdk</v>
      </c>
      <c r="Y518" s="57"/>
      <c r="Z518" s="57" t="s">
        <v>226</v>
      </c>
      <c r="AB518" s="57" t="s">
        <v>2821</v>
      </c>
      <c r="AC518" s="57" t="s">
        <v>2822</v>
      </c>
      <c r="AD518" s="57" t="s">
        <v>2823</v>
      </c>
      <c r="AE518" s="502">
        <v>21693.0</v>
      </c>
      <c r="AF518" s="379">
        <v>37.0</v>
      </c>
      <c r="AG518" s="379">
        <v>0.853</v>
      </c>
      <c r="AH518" s="339" t="s">
        <v>139</v>
      </c>
      <c r="AI518" s="57" t="s">
        <v>2824</v>
      </c>
      <c r="AJ518" s="379">
        <v>0.001</v>
      </c>
      <c r="AK518" s="159" t="s">
        <v>135</v>
      </c>
      <c r="AL518" s="57" t="s">
        <v>186</v>
      </c>
      <c r="AM518" s="61" t="s">
        <v>137</v>
      </c>
      <c r="AN518" s="219" t="s">
        <v>138</v>
      </c>
      <c r="AO518" s="379">
        <v>37.0</v>
      </c>
      <c r="AP518" s="379">
        <v>0.739</v>
      </c>
      <c r="AQ518" s="57" t="s">
        <v>139</v>
      </c>
      <c r="AR518" s="57" t="s">
        <v>2824</v>
      </c>
      <c r="AS518" s="379">
        <v>0.001</v>
      </c>
      <c r="AT518" s="159" t="s">
        <v>135</v>
      </c>
      <c r="AU518" s="159" t="s">
        <v>186</v>
      </c>
      <c r="AW518" s="68"/>
      <c r="AX518" s="68"/>
      <c r="AY518" s="61" t="str">
        <f>IFERROR(__xludf.DUMMYFUNCTION("vlookup(BB518,importrange(""https://docs.google.com/spreadsheets/d/1d2vevQ_7D_v35q4wCQ4RpQ_IPoTwEMB9Yp6ymwlPqew/edit?gid=984458430#gid=984458430"", ""'replication success'!A:K""), 11, FAlSE)"),"#N/A")</f>
        <v>#N/A</v>
      </c>
      <c r="AZ518" s="61" t="str">
        <f>IFERROR(__xludf.DUMMYFUNCTION("vlookup(BB518,importrange(""https://docs.google.com/spreadsheets/d/1d2vevQ_7D_v35q4wCQ4RpQ_IPoTwEMB9Yp6ymwlPqew/edit?gid=984458430#gid=984458430"", ""'replication success'!A:M""), 12, FAlSE)"),"#N/A")</f>
        <v>#N/A</v>
      </c>
      <c r="BA518" s="61" t="str">
        <f>IFERROR(__xludf.DUMMYFUNCTION("vlookup(BB518,importrange(""https://docs.google.com/spreadsheets/d/1d2vevQ_7D_v35q4wCQ4RpQ_IPoTwEMB9Yp6ymwlPqew/edit?gid=984458430#gid=984458430"", ""'replication success'!A:M""), 13, FAlSE)"),"#N/A")</f>
        <v>#N/A</v>
      </c>
      <c r="BB518" s="61" t="str">
        <f>IFERROR(__xludf.DUMMYFUNCTION("REGEXREPLACE(G518, ""_[a-z]{1,2}$"", """")"),"additional_studies68")</f>
        <v>additional_studies68</v>
      </c>
      <c r="BC518" s="61"/>
    </row>
    <row r="519" ht="20.25" customHeight="1">
      <c r="A519" s="44">
        <v>519.0</v>
      </c>
      <c r="B519" s="62" t="s">
        <v>285</v>
      </c>
      <c r="C519" s="62" t="s">
        <v>115</v>
      </c>
      <c r="D519" s="62" t="s">
        <v>1234</v>
      </c>
      <c r="F519" s="68" t="s">
        <v>2813</v>
      </c>
      <c r="G519" s="57" t="s">
        <v>2825</v>
      </c>
      <c r="H519" s="61"/>
      <c r="I519" s="862"/>
      <c r="J519" s="772"/>
      <c r="K519" s="61"/>
      <c r="L519" s="61"/>
      <c r="M519" s="57" t="s">
        <v>2826</v>
      </c>
      <c r="N519" s="57" t="s">
        <v>2827</v>
      </c>
      <c r="O519" s="379">
        <v>2.0</v>
      </c>
      <c r="P519" s="377" t="s">
        <v>2817</v>
      </c>
      <c r="Q519" s="52" t="str">
        <f t="array" ref="Q519"> if(iserror(MATCH(V519, 'File Links'!C:C, 0)), "N/A", HYPERLINK(INDEX('File Links'!B:B, MATCH(P519, 'File Links'!C:C, 0))))</f>
        <v>https://drive.google.com/file/d/1U7jcEsjlgt0luv4Qd8Q7JmbBb7qRDTdD/view?usp=drivesdk</v>
      </c>
      <c r="R519" s="57" t="s">
        <v>2818</v>
      </c>
      <c r="S519" s="57" t="s">
        <v>2819</v>
      </c>
      <c r="U519" s="709">
        <v>1.0</v>
      </c>
      <c r="V519" s="198" t="str">
        <f t="shared" si="25"/>
        <v>10.1038--s41598-024-63724-2.pdf</v>
      </c>
      <c r="W519" s="57" t="s">
        <v>2820</v>
      </c>
      <c r="X519" s="54" t="str">
        <f t="array" ref="X519"> if(iserror(MATCH(V519, 'File Links'!C:C, 0)), "N/A", HYPERLINK(INDEX('File Links'!B:B, MATCH(V519, 'File Links'!C:C, 0))))</f>
        <v>https://drive.google.com/file/d/10CU4FiXsOc216jLudNBinSLadjKnYzKg/view?usp=drivesdk</v>
      </c>
      <c r="Y519" s="57"/>
      <c r="Z519" s="57" t="s">
        <v>226</v>
      </c>
      <c r="AB519" s="57" t="s">
        <v>2821</v>
      </c>
      <c r="AC519" s="57" t="s">
        <v>2822</v>
      </c>
      <c r="AE519" s="502">
        <v>21693.0</v>
      </c>
      <c r="AF519" s="379">
        <v>37.0</v>
      </c>
      <c r="AG519" s="379">
        <v>0.355</v>
      </c>
      <c r="AH519" s="339" t="s">
        <v>139</v>
      </c>
      <c r="AI519" s="57" t="s">
        <v>2824</v>
      </c>
      <c r="AJ519" s="379">
        <v>0.001</v>
      </c>
      <c r="AK519" s="159" t="s">
        <v>135</v>
      </c>
      <c r="AL519" s="57" t="s">
        <v>186</v>
      </c>
      <c r="AM519" s="61" t="s">
        <v>137</v>
      </c>
      <c r="AN519" s="219" t="s">
        <v>138</v>
      </c>
      <c r="AO519" s="379">
        <v>37.0</v>
      </c>
      <c r="AP519" s="379">
        <v>0.284</v>
      </c>
      <c r="AQ519" s="57" t="s">
        <v>139</v>
      </c>
      <c r="AR519" s="57" t="s">
        <v>2824</v>
      </c>
      <c r="AS519" s="379">
        <v>0.001</v>
      </c>
      <c r="AT519" s="159" t="s">
        <v>135</v>
      </c>
      <c r="AU519" s="159" t="s">
        <v>186</v>
      </c>
      <c r="AW519" s="68"/>
      <c r="AX519" s="68"/>
      <c r="AY519" s="61" t="str">
        <f>IFERROR(__xludf.DUMMYFUNCTION("vlookup(BB519,importrange(""https://docs.google.com/spreadsheets/d/1d2vevQ_7D_v35q4wCQ4RpQ_IPoTwEMB9Yp6ymwlPqew/edit?gid=984458430#gid=984458430"", ""'replication success'!A:K""), 11, FAlSE)"),"#N/A")</f>
        <v>#N/A</v>
      </c>
      <c r="AZ519" s="61" t="str">
        <f>IFERROR(__xludf.DUMMYFUNCTION("vlookup(BB519,importrange(""https://docs.google.com/spreadsheets/d/1d2vevQ_7D_v35q4wCQ4RpQ_IPoTwEMB9Yp6ymwlPqew/edit?gid=984458430#gid=984458430"", ""'replication success'!A:M""), 12, FAlSE)"),"#N/A")</f>
        <v>#N/A</v>
      </c>
      <c r="BA519" s="61" t="str">
        <f>IFERROR(__xludf.DUMMYFUNCTION("vlookup(BB519,importrange(""https://docs.google.com/spreadsheets/d/1d2vevQ_7D_v35q4wCQ4RpQ_IPoTwEMB9Yp6ymwlPqew/edit?gid=984458430#gid=984458430"", ""'replication success'!A:M""), 13, FAlSE)"),"#N/A")</f>
        <v>#N/A</v>
      </c>
      <c r="BB519" s="61" t="str">
        <f>IFERROR(__xludf.DUMMYFUNCTION("REGEXREPLACE(G519, ""_[a-z]{1,2}$"", """")"),"additional_studies68")</f>
        <v>additional_studies68</v>
      </c>
      <c r="BC519" s="61"/>
    </row>
    <row r="520" ht="20.25" customHeight="1">
      <c r="A520" s="44">
        <v>520.0</v>
      </c>
      <c r="B520" s="62" t="s">
        <v>285</v>
      </c>
      <c r="C520" s="62" t="s">
        <v>115</v>
      </c>
      <c r="D520" s="62" t="s">
        <v>1234</v>
      </c>
      <c r="F520" s="68" t="s">
        <v>2813</v>
      </c>
      <c r="G520" s="57" t="s">
        <v>2828</v>
      </c>
      <c r="H520" s="61"/>
      <c r="I520" s="862"/>
      <c r="J520" s="772"/>
      <c r="K520" s="61"/>
      <c r="L520" s="61"/>
      <c r="M520" s="57" t="s">
        <v>2829</v>
      </c>
      <c r="N520" s="57" t="s">
        <v>2830</v>
      </c>
      <c r="O520" s="379">
        <v>2.0</v>
      </c>
      <c r="P520" s="377" t="s">
        <v>2817</v>
      </c>
      <c r="Q520" s="52" t="str">
        <f t="array" ref="Q520"> if(iserror(MATCH(V520, 'File Links'!C:C, 0)), "N/A", HYPERLINK(INDEX('File Links'!B:B, MATCH(P520, 'File Links'!C:C, 0))))</f>
        <v>https://drive.google.com/file/d/1U7jcEsjlgt0luv4Qd8Q7JmbBb7qRDTdD/view?usp=drivesdk</v>
      </c>
      <c r="R520" s="57" t="s">
        <v>2818</v>
      </c>
      <c r="S520" s="57" t="s">
        <v>2819</v>
      </c>
      <c r="U520" s="709">
        <v>1.0</v>
      </c>
      <c r="V520" s="198" t="str">
        <f t="shared" si="25"/>
        <v>10.1038--s41598-024-63724-2.pdf</v>
      </c>
      <c r="W520" s="57" t="s">
        <v>2820</v>
      </c>
      <c r="X520" s="54" t="str">
        <f t="array" ref="X520"> if(iserror(MATCH(V520, 'File Links'!C:C, 0)), "N/A", HYPERLINK(INDEX('File Links'!B:B, MATCH(V520, 'File Links'!C:C, 0))))</f>
        <v>https://drive.google.com/file/d/10CU4FiXsOc216jLudNBinSLadjKnYzKg/view?usp=drivesdk</v>
      </c>
      <c r="Y520" s="57"/>
      <c r="Z520" s="57" t="s">
        <v>226</v>
      </c>
      <c r="AB520" s="57" t="s">
        <v>2821</v>
      </c>
      <c r="AC520" s="57" t="s">
        <v>2822</v>
      </c>
      <c r="AD520" s="57" t="s">
        <v>2831</v>
      </c>
      <c r="AE520" s="502">
        <v>21693.0</v>
      </c>
      <c r="AF520" s="379">
        <v>37.0</v>
      </c>
      <c r="AG520" s="379">
        <v>0.201</v>
      </c>
      <c r="AH520" s="339" t="s">
        <v>139</v>
      </c>
      <c r="AI520" s="57" t="s">
        <v>2824</v>
      </c>
      <c r="AJ520" s="379">
        <v>0.001</v>
      </c>
      <c r="AK520" s="159" t="s">
        <v>135</v>
      </c>
      <c r="AL520" s="57" t="s">
        <v>186</v>
      </c>
      <c r="AM520" s="61" t="s">
        <v>137</v>
      </c>
      <c r="AN520" s="219" t="s">
        <v>138</v>
      </c>
      <c r="AO520" s="379">
        <v>37.0</v>
      </c>
      <c r="AP520" s="379">
        <v>0.136</v>
      </c>
      <c r="AQ520" s="57" t="s">
        <v>139</v>
      </c>
      <c r="AR520" s="57" t="s">
        <v>2824</v>
      </c>
      <c r="AS520" s="379">
        <v>0.002</v>
      </c>
      <c r="AT520" s="159" t="s">
        <v>172</v>
      </c>
      <c r="AU520" s="159" t="s">
        <v>186</v>
      </c>
      <c r="AW520" s="68"/>
      <c r="AX520" s="68"/>
      <c r="AY520" s="61" t="str">
        <f>IFERROR(__xludf.DUMMYFUNCTION("vlookup(BB520,importrange(""https://docs.google.com/spreadsheets/d/1d2vevQ_7D_v35q4wCQ4RpQ_IPoTwEMB9Yp6ymwlPqew/edit?gid=984458430#gid=984458430"", ""'replication success'!A:K""), 11, FAlSE)"),"#N/A")</f>
        <v>#N/A</v>
      </c>
      <c r="AZ520" s="61" t="str">
        <f>IFERROR(__xludf.DUMMYFUNCTION("vlookup(BB520,importrange(""https://docs.google.com/spreadsheets/d/1d2vevQ_7D_v35q4wCQ4RpQ_IPoTwEMB9Yp6ymwlPqew/edit?gid=984458430#gid=984458430"", ""'replication success'!A:M""), 12, FAlSE)"),"#N/A")</f>
        <v>#N/A</v>
      </c>
      <c r="BA520" s="61" t="str">
        <f>IFERROR(__xludf.DUMMYFUNCTION("vlookup(BB520,importrange(""https://docs.google.com/spreadsheets/d/1d2vevQ_7D_v35q4wCQ4RpQ_IPoTwEMB9Yp6ymwlPqew/edit?gid=984458430#gid=984458430"", ""'replication success'!A:M""), 13, FAlSE)"),"#N/A")</f>
        <v>#N/A</v>
      </c>
      <c r="BB520" s="61" t="str">
        <f>IFERROR(__xludf.DUMMYFUNCTION("REGEXREPLACE(G520, ""_[a-z]{1,2}$"", """")"),"additional_studies68")</f>
        <v>additional_studies68</v>
      </c>
      <c r="BC520" s="61"/>
    </row>
    <row r="521" ht="20.25" customHeight="1">
      <c r="A521" s="44">
        <v>521.0</v>
      </c>
      <c r="B521" s="62" t="s">
        <v>285</v>
      </c>
      <c r="C521" s="62" t="s">
        <v>115</v>
      </c>
      <c r="D521" s="62" t="s">
        <v>1234</v>
      </c>
      <c r="F521" s="68" t="s">
        <v>2832</v>
      </c>
      <c r="G521" s="57" t="s">
        <v>2833</v>
      </c>
      <c r="H521" s="57" t="s">
        <v>1237</v>
      </c>
      <c r="I521" s="152">
        <v>45472.0</v>
      </c>
      <c r="J521" s="434">
        <v>45641.0</v>
      </c>
      <c r="K521" s="61"/>
      <c r="L521" s="61"/>
      <c r="M521" s="57" t="s">
        <v>2834</v>
      </c>
      <c r="N521" s="57" t="s">
        <v>2835</v>
      </c>
      <c r="O521" s="379">
        <v>3.0</v>
      </c>
      <c r="P521" s="377" t="s">
        <v>2836</v>
      </c>
      <c r="Q521" s="108" t="str">
        <f t="array" ref="Q521"> if(iserror(MATCH(V521, 'File Links'!C:C, 0)), "N/A", HYPERLINK(INDEX('File Links'!B:B, MATCH(P521, 'File Links'!C:C, 0))))</f>
        <v>N/A</v>
      </c>
      <c r="R521" s="57" t="s">
        <v>2837</v>
      </c>
      <c r="S521" s="57" t="s">
        <v>138</v>
      </c>
      <c r="T521" s="593" t="s">
        <v>2838</v>
      </c>
      <c r="U521" s="863">
        <v>3.0</v>
      </c>
      <c r="V521" s="198" t="str">
        <f t="shared" si="25"/>
        <v>na.pdf</v>
      </c>
      <c r="W521" s="57" t="s">
        <v>2839</v>
      </c>
      <c r="X521" s="49" t="str">
        <f t="array" ref="X521"> if(iserror(MATCH(V521, 'File Links'!C:C, 0)), "N/A", HYPERLINK(INDEX('File Links'!B:B, MATCH(V521, 'File Links'!C:C, 0))))</f>
        <v>N/A</v>
      </c>
      <c r="Y521" s="57"/>
      <c r="Z521" s="57" t="s">
        <v>226</v>
      </c>
      <c r="AB521" s="57" t="s">
        <v>2840</v>
      </c>
      <c r="AC521" s="57" t="s">
        <v>2841</v>
      </c>
      <c r="AE521" s="502">
        <v>403.0</v>
      </c>
      <c r="AF521" s="864">
        <v>1232.0</v>
      </c>
      <c r="AG521" s="61"/>
      <c r="AH521" s="338"/>
      <c r="AI521" s="61"/>
      <c r="AJ521" s="61"/>
      <c r="AK521" s="68"/>
      <c r="AL521" s="61"/>
      <c r="AM521" s="61"/>
      <c r="AN521" s="219" t="s">
        <v>138</v>
      </c>
      <c r="AO521" s="61"/>
      <c r="AP521" s="61"/>
      <c r="AQ521" s="61"/>
      <c r="AR521" s="61"/>
      <c r="AS521" s="61"/>
      <c r="AT521" s="68"/>
      <c r="AU521" s="68"/>
      <c r="AV521" s="68"/>
      <c r="AW521" s="68"/>
      <c r="AX521" s="68"/>
      <c r="AY521" s="61" t="str">
        <f>IFERROR(__xludf.DUMMYFUNCTION("vlookup(BB521,importrange(""https://docs.google.com/spreadsheets/d/1d2vevQ_7D_v35q4wCQ4RpQ_IPoTwEMB9Yp6ymwlPqew/edit?gid=984458430#gid=984458430"", ""'replication success'!A:K""), 11, FAlSE)"),"#N/A")</f>
        <v>#N/A</v>
      </c>
      <c r="AZ521" s="61" t="str">
        <f>IFERROR(__xludf.DUMMYFUNCTION("vlookup(BB521,importrange(""https://docs.google.com/spreadsheets/d/1d2vevQ_7D_v35q4wCQ4RpQ_IPoTwEMB9Yp6ymwlPqew/edit?gid=984458430#gid=984458430"", ""'replication success'!A:M""), 12, FAlSE)"),"#N/A")</f>
        <v>#N/A</v>
      </c>
      <c r="BA521" s="61" t="str">
        <f>IFERROR(__xludf.DUMMYFUNCTION("vlookup(BB521,importrange(""https://docs.google.com/spreadsheets/d/1d2vevQ_7D_v35q4wCQ4RpQ_IPoTwEMB9Yp6ymwlPqew/edit?gid=984458430#gid=984458430"", ""'replication success'!A:M""), 13, FAlSE)"),"#N/A")</f>
        <v>#N/A</v>
      </c>
      <c r="BB521" s="61" t="str">
        <f>IFERROR(__xludf.DUMMYFUNCTION("REGEXREPLACE(G521, ""_[a-z]{1,2}$"", """")"),"additional_studies69")</f>
        <v>additional_studies69</v>
      </c>
      <c r="BC521" s="61"/>
    </row>
    <row r="522" ht="20.25" customHeight="1">
      <c r="A522" s="44">
        <v>522.0</v>
      </c>
      <c r="B522" s="45" t="s">
        <v>285</v>
      </c>
      <c r="C522" s="45" t="s">
        <v>115</v>
      </c>
      <c r="D522" s="45" t="s">
        <v>248</v>
      </c>
      <c r="E522" s="65"/>
      <c r="F522" s="62" t="s">
        <v>2842</v>
      </c>
      <c r="G522" s="45" t="s">
        <v>2843</v>
      </c>
      <c r="H522" s="45" t="s">
        <v>249</v>
      </c>
      <c r="I522" s="63">
        <v>45427.0</v>
      </c>
      <c r="J522" s="64">
        <v>45625.0</v>
      </c>
      <c r="K522" s="45" t="s">
        <v>2844</v>
      </c>
      <c r="L522" s="65"/>
      <c r="M522" s="45" t="s">
        <v>2845</v>
      </c>
      <c r="N522" s="45" t="s">
        <v>2846</v>
      </c>
      <c r="O522" s="65"/>
      <c r="P522" s="118" t="str">
        <f> hyperlink(vlookup(lower(N522),'File Links'!A:B, 2, FALSE), SUBSTITUTE(lower(N522), "/", "--") &amp;  ".pdf")</f>
        <v>10.3233--jad-2009-1163.pdf</v>
      </c>
      <c r="Q522" s="52" t="str">
        <f t="array" ref="Q522"> if(iserror(MATCH(V522, 'File Links'!C:C, 0)), "N/A", HYPERLINK(INDEX('File Links'!B:B, MATCH(P522, 'File Links'!C:C, 0))))</f>
        <v>https://drive.google.com/file/d/10IpKBTm-TxBYPtbdDzTDyVDz6z5jT5CF/view?usp=drivesdk</v>
      </c>
      <c r="R522" s="45" t="s">
        <v>2847</v>
      </c>
      <c r="S522" s="45" t="s">
        <v>2848</v>
      </c>
      <c r="T522" s="65"/>
      <c r="U522" s="65"/>
      <c r="V522" s="198" t="str">
        <f t="shared" si="25"/>
        <v>10.1371--journal.pone.0292576.pdf</v>
      </c>
      <c r="W522" s="65"/>
      <c r="X522" s="54" t="str">
        <f t="array" ref="X522"> if(iserror(MATCH(V522, 'File Links'!C:C, 0)), "N/A", HYPERLINK(INDEX('File Links'!B:B, MATCH(V522, 'File Links'!C:C, 0))))</f>
        <v>https://drive.google.com/file/d/1ldrzAt88fRJBOsSbplqW2NG4M3-xxKlP/view?usp=drivesdk</v>
      </c>
      <c r="Y522" s="65"/>
      <c r="Z522" s="45" t="s">
        <v>503</v>
      </c>
      <c r="AA522" s="65"/>
      <c r="AB522" s="45" t="s">
        <v>2849</v>
      </c>
      <c r="AC522" s="45" t="s">
        <v>2850</v>
      </c>
      <c r="AD522" s="45" t="s">
        <v>2851</v>
      </c>
      <c r="AE522" s="45">
        <v>556.0</v>
      </c>
      <c r="AF522" s="45">
        <v>53.0</v>
      </c>
      <c r="AG522" s="414">
        <v>621.0</v>
      </c>
      <c r="AH522" s="45" t="s">
        <v>173</v>
      </c>
      <c r="AI522" s="45" t="s">
        <v>2852</v>
      </c>
      <c r="AJ522" s="45">
        <v>0.047</v>
      </c>
      <c r="AK522" s="45" t="s">
        <v>172</v>
      </c>
      <c r="AL522" s="45" t="s">
        <v>186</v>
      </c>
      <c r="AM522" s="67"/>
      <c r="AN522" s="219" t="s">
        <v>138</v>
      </c>
      <c r="AO522" s="45">
        <v>116.0</v>
      </c>
      <c r="AP522" s="45">
        <v>1.51</v>
      </c>
      <c r="AQ522" s="45" t="s">
        <v>1031</v>
      </c>
      <c r="AR522" s="65"/>
      <c r="AS522" s="45" t="s">
        <v>2853</v>
      </c>
      <c r="AT522" s="45" t="s">
        <v>172</v>
      </c>
      <c r="AU522" s="45" t="s">
        <v>186</v>
      </c>
      <c r="AV522" s="67"/>
      <c r="AX522" s="68"/>
      <c r="AY522" s="61" t="str">
        <f>IFERROR(__xludf.DUMMYFUNCTION("vlookup(BB522,importrange(""https://docs.google.com/spreadsheets/d/1d2vevQ_7D_v35q4wCQ4RpQ_IPoTwEMB9Yp6ymwlPqew/edit?gid=984458430#gid=984458430"", ""'replication success'!A:K""), 11, FAlSE)"),"#N/A")</f>
        <v>#N/A</v>
      </c>
      <c r="AZ522" s="61" t="str">
        <f>IFERROR(__xludf.DUMMYFUNCTION("vlookup(BB522,importrange(""https://docs.google.com/spreadsheets/d/1d2vevQ_7D_v35q4wCQ4RpQ_IPoTwEMB9Yp6ymwlPqew/edit?gid=984458430#gid=984458430"", ""'replication success'!A:M""), 12, FAlSE)"),"#N/A")</f>
        <v>#N/A</v>
      </c>
      <c r="BA522" s="61" t="str">
        <f>IFERROR(__xludf.DUMMYFUNCTION("vlookup(BB522,importrange(""https://docs.google.com/spreadsheets/d/1d2vevQ_7D_v35q4wCQ4RpQ_IPoTwEMB9Yp6ymwlPqew/edit?gid=984458430#gid=984458430"", ""'replication success'!A:M""), 13, FAlSE)"),"#N/A")</f>
        <v>#N/A</v>
      </c>
      <c r="BB522" s="61" t="str">
        <f>IFERROR(__xludf.DUMMYFUNCTION("REGEXREPLACE(G522, ""_[a-z]{1,2}$"", """")"),"additional_studies7")</f>
        <v>additional_studies7</v>
      </c>
      <c r="BC522" s="65"/>
    </row>
    <row r="523" ht="20.25" customHeight="1">
      <c r="A523" s="44">
        <v>523.0</v>
      </c>
      <c r="B523" s="45" t="s">
        <v>285</v>
      </c>
      <c r="C523" s="45" t="s">
        <v>115</v>
      </c>
      <c r="D523" s="45" t="s">
        <v>248</v>
      </c>
      <c r="E523" s="65"/>
      <c r="F523" s="62" t="s">
        <v>2842</v>
      </c>
      <c r="G523" s="45" t="s">
        <v>2854</v>
      </c>
      <c r="H523" s="45" t="s">
        <v>249</v>
      </c>
      <c r="I523" s="63">
        <v>45427.0</v>
      </c>
      <c r="J523" s="64">
        <v>45625.0</v>
      </c>
      <c r="K523" s="45" t="s">
        <v>2855</v>
      </c>
      <c r="L523" s="65"/>
      <c r="M523" s="45" t="s">
        <v>2845</v>
      </c>
      <c r="N523" s="45" t="s">
        <v>2846</v>
      </c>
      <c r="O523" s="65"/>
      <c r="P523" s="118" t="str">
        <f> hyperlink(vlookup(lower(N523),'File Links'!A:B, 2, FALSE), SUBSTITUTE(lower(N523), "/", "--") &amp;  ".pdf")</f>
        <v>10.3233--jad-2009-1163.pdf</v>
      </c>
      <c r="Q523" s="52" t="str">
        <f t="array" ref="Q523"> if(iserror(MATCH(V523, 'File Links'!C:C, 0)), "N/A", HYPERLINK(INDEX('File Links'!B:B, MATCH(P523, 'File Links'!C:C, 0))))</f>
        <v>https://drive.google.com/file/d/10IpKBTm-TxBYPtbdDzTDyVDz6z5jT5CF/view?usp=drivesdk</v>
      </c>
      <c r="R523" s="45" t="s">
        <v>2847</v>
      </c>
      <c r="S523" s="45" t="s">
        <v>2848</v>
      </c>
      <c r="T523" s="65"/>
      <c r="U523" s="65"/>
      <c r="V523" s="198" t="str">
        <f t="shared" si="25"/>
        <v>10.1371--journal.pone.0292576.pdf</v>
      </c>
      <c r="W523" s="65"/>
      <c r="X523" s="54" t="str">
        <f t="array" ref="X523"> if(iserror(MATCH(V523, 'File Links'!C:C, 0)), "N/A", HYPERLINK(INDEX('File Links'!B:B, MATCH(V523, 'File Links'!C:C, 0))))</f>
        <v>https://drive.google.com/file/d/1ldrzAt88fRJBOsSbplqW2NG4M3-xxKlP/view?usp=drivesdk</v>
      </c>
      <c r="Y523" s="65"/>
      <c r="Z523" s="45" t="s">
        <v>503</v>
      </c>
      <c r="AA523" s="65"/>
      <c r="AB523" s="45" t="s">
        <v>2856</v>
      </c>
      <c r="AC523" s="45" t="s">
        <v>2850</v>
      </c>
      <c r="AD523" s="45" t="s">
        <v>2857</v>
      </c>
      <c r="AE523" s="45">
        <v>556.0</v>
      </c>
      <c r="AF523" s="45">
        <v>53.0</v>
      </c>
      <c r="AG523" s="45">
        <v>3.23</v>
      </c>
      <c r="AH523" s="45" t="s">
        <v>173</v>
      </c>
      <c r="AI523" s="45" t="s">
        <v>2858</v>
      </c>
      <c r="AJ523" s="45">
        <v>0.001</v>
      </c>
      <c r="AK523" s="45" t="s">
        <v>135</v>
      </c>
      <c r="AL523" s="45" t="s">
        <v>186</v>
      </c>
      <c r="AM523" s="67"/>
      <c r="AN523" s="219" t="s">
        <v>138</v>
      </c>
      <c r="AO523" s="45">
        <v>116.0</v>
      </c>
      <c r="AP523" s="65"/>
      <c r="AQ523" s="65"/>
      <c r="AR523" s="65"/>
      <c r="AS523" s="45" t="s">
        <v>2859</v>
      </c>
      <c r="AT523" s="45" t="s">
        <v>335</v>
      </c>
      <c r="AU523" s="45" t="s">
        <v>186</v>
      </c>
      <c r="AV523" s="67"/>
      <c r="AX523" s="68"/>
      <c r="AY523" s="61" t="str">
        <f>IFERROR(__xludf.DUMMYFUNCTION("vlookup(BB523,importrange(""https://docs.google.com/spreadsheets/d/1d2vevQ_7D_v35q4wCQ4RpQ_IPoTwEMB9Yp6ymwlPqew/edit?gid=984458430#gid=984458430"", ""'replication success'!A:K""), 11, FAlSE)"),"#N/A")</f>
        <v>#N/A</v>
      </c>
      <c r="AZ523" s="61" t="str">
        <f>IFERROR(__xludf.DUMMYFUNCTION("vlookup(BB523,importrange(""https://docs.google.com/spreadsheets/d/1d2vevQ_7D_v35q4wCQ4RpQ_IPoTwEMB9Yp6ymwlPqew/edit?gid=984458430#gid=984458430"", ""'replication success'!A:M""), 12, FAlSE)"),"#N/A")</f>
        <v>#N/A</v>
      </c>
      <c r="BA523" s="61" t="str">
        <f>IFERROR(__xludf.DUMMYFUNCTION("vlookup(BB523,importrange(""https://docs.google.com/spreadsheets/d/1d2vevQ_7D_v35q4wCQ4RpQ_IPoTwEMB9Yp6ymwlPqew/edit?gid=984458430#gid=984458430"", ""'replication success'!A:M""), 13, FAlSE)"),"#N/A")</f>
        <v>#N/A</v>
      </c>
      <c r="BB523" s="61" t="str">
        <f>IFERROR(__xludf.DUMMYFUNCTION("REGEXREPLACE(G523, ""_[a-z]{1,2}$"", """")"),"additional_studies7")</f>
        <v>additional_studies7</v>
      </c>
      <c r="BC523" s="65"/>
      <c r="BE523" s="71"/>
      <c r="BF523" s="71"/>
      <c r="BG523" s="71"/>
      <c r="BH523" s="71"/>
      <c r="BI523" s="71"/>
      <c r="BJ523" s="71"/>
      <c r="BK523" s="71"/>
      <c r="BL523" s="71"/>
      <c r="BM523" s="71"/>
      <c r="BN523" s="71"/>
      <c r="BO523" s="71"/>
      <c r="BP523" s="71"/>
      <c r="BQ523" s="71"/>
      <c r="BR523" s="71"/>
      <c r="BS523" s="71"/>
      <c r="BT523" s="71"/>
      <c r="BU523" s="71"/>
      <c r="BV523" s="71"/>
      <c r="BW523" s="71"/>
      <c r="BX523" s="71"/>
      <c r="BY523" s="71"/>
      <c r="BZ523" s="71"/>
      <c r="CA523" s="71"/>
      <c r="CB523" s="71"/>
      <c r="CC523" s="71"/>
      <c r="CD523" s="71"/>
      <c r="CE523" s="71"/>
      <c r="CF523" s="71"/>
      <c r="CG523" s="71"/>
      <c r="CH523" s="71"/>
      <c r="CI523" s="71"/>
      <c r="CJ523" s="71"/>
      <c r="CK523" s="71"/>
      <c r="CL523" s="71"/>
      <c r="CM523" s="71"/>
      <c r="CN523" s="71"/>
      <c r="CO523" s="71"/>
      <c r="CP523" s="71"/>
      <c r="CQ523" s="71"/>
      <c r="CR523" s="71"/>
      <c r="CS523" s="71"/>
      <c r="CT523" s="71"/>
      <c r="CU523" s="71"/>
      <c r="CV523" s="71"/>
      <c r="CW523" s="71"/>
      <c r="CX523" s="71"/>
      <c r="CY523" s="71"/>
      <c r="CZ523" s="71"/>
      <c r="DA523" s="71"/>
      <c r="DB523" s="71"/>
      <c r="DC523" s="71"/>
      <c r="DD523" s="71"/>
      <c r="DE523" s="71"/>
      <c r="DF523" s="71"/>
      <c r="DG523" s="71"/>
      <c r="DH523" s="71"/>
      <c r="DI523" s="71"/>
      <c r="DJ523" s="71"/>
      <c r="DK523" s="71"/>
      <c r="DL523" s="71"/>
    </row>
    <row r="524" ht="20.25" customHeight="1">
      <c r="A524" s="44">
        <v>524.0</v>
      </c>
      <c r="B524" s="45" t="s">
        <v>285</v>
      </c>
      <c r="C524" s="45" t="s">
        <v>115</v>
      </c>
      <c r="D524" s="45" t="s">
        <v>248</v>
      </c>
      <c r="E524" s="65"/>
      <c r="F524" s="62" t="s">
        <v>2842</v>
      </c>
      <c r="G524" s="45" t="s">
        <v>2860</v>
      </c>
      <c r="H524" s="45" t="s">
        <v>249</v>
      </c>
      <c r="I524" s="63">
        <v>45427.0</v>
      </c>
      <c r="J524" s="64">
        <v>45625.0</v>
      </c>
      <c r="K524" s="45" t="s">
        <v>2861</v>
      </c>
      <c r="L524" s="65"/>
      <c r="M524" s="45" t="s">
        <v>2845</v>
      </c>
      <c r="N524" s="45" t="s">
        <v>2846</v>
      </c>
      <c r="O524" s="65"/>
      <c r="P524" s="118" t="str">
        <f> hyperlink(vlookup(lower(N524),'File Links'!A:B, 2, FALSE), SUBSTITUTE(lower(N524), "/", "--") &amp;  ".pdf")</f>
        <v>10.3233--jad-2009-1163.pdf</v>
      </c>
      <c r="Q524" s="52" t="str">
        <f t="array" ref="Q524"> if(iserror(MATCH(V524, 'File Links'!C:C, 0)), "N/A", HYPERLINK(INDEX('File Links'!B:B, MATCH(P524, 'File Links'!C:C, 0))))</f>
        <v>https://drive.google.com/file/d/10IpKBTm-TxBYPtbdDzTDyVDz6z5jT5CF/view?usp=drivesdk</v>
      </c>
      <c r="R524" s="45" t="s">
        <v>2847</v>
      </c>
      <c r="S524" s="45" t="s">
        <v>2848</v>
      </c>
      <c r="T524" s="65"/>
      <c r="U524" s="65"/>
      <c r="V524" s="198" t="str">
        <f t="shared" si="25"/>
        <v>10.1371--journal.pone.0292576.pdf</v>
      </c>
      <c r="W524" s="65"/>
      <c r="X524" s="54" t="str">
        <f t="array" ref="X524"> if(iserror(MATCH(V524, 'File Links'!C:C, 0)), "N/A", HYPERLINK(INDEX('File Links'!B:B, MATCH(V524, 'File Links'!C:C, 0))))</f>
        <v>https://drive.google.com/file/d/1ldrzAt88fRJBOsSbplqW2NG4M3-xxKlP/view?usp=drivesdk</v>
      </c>
      <c r="Y524" s="65"/>
      <c r="Z524" s="45" t="s">
        <v>503</v>
      </c>
      <c r="AA524" s="65"/>
      <c r="AB524" s="45" t="s">
        <v>2862</v>
      </c>
      <c r="AC524" s="45" t="s">
        <v>2850</v>
      </c>
      <c r="AD524" s="45" t="s">
        <v>2863</v>
      </c>
      <c r="AE524" s="45">
        <v>557.0</v>
      </c>
      <c r="AF524" s="45">
        <v>53.0</v>
      </c>
      <c r="AG524" s="65"/>
      <c r="AH524" s="65"/>
      <c r="AI524" s="45" t="s">
        <v>2864</v>
      </c>
      <c r="AJ524" s="45">
        <v>0.05</v>
      </c>
      <c r="AK524" s="45" t="s">
        <v>335</v>
      </c>
      <c r="AL524" s="45" t="s">
        <v>186</v>
      </c>
      <c r="AM524" s="67"/>
      <c r="AN524" s="219" t="s">
        <v>138</v>
      </c>
      <c r="AO524" s="45">
        <v>116.0</v>
      </c>
      <c r="AP524" s="65"/>
      <c r="AQ524" s="65"/>
      <c r="AR524" s="65"/>
      <c r="AS524" s="45" t="s">
        <v>2859</v>
      </c>
      <c r="AT524" s="45" t="s">
        <v>335</v>
      </c>
      <c r="AU524" s="45" t="s">
        <v>186</v>
      </c>
      <c r="AV524" s="67"/>
      <c r="AX524" s="68"/>
      <c r="AY524" s="61" t="str">
        <f>IFERROR(__xludf.DUMMYFUNCTION("vlookup(BB524,importrange(""https://docs.google.com/spreadsheets/d/1d2vevQ_7D_v35q4wCQ4RpQ_IPoTwEMB9Yp6ymwlPqew/edit?gid=984458430#gid=984458430"", ""'replication success'!A:K""), 11, FAlSE)"),"#N/A")</f>
        <v>#N/A</v>
      </c>
      <c r="AZ524" s="61" t="str">
        <f>IFERROR(__xludf.DUMMYFUNCTION("vlookup(BB524,importrange(""https://docs.google.com/spreadsheets/d/1d2vevQ_7D_v35q4wCQ4RpQ_IPoTwEMB9Yp6ymwlPqew/edit?gid=984458430#gid=984458430"", ""'replication success'!A:M""), 12, FAlSE)"),"#N/A")</f>
        <v>#N/A</v>
      </c>
      <c r="BA524" s="61" t="str">
        <f>IFERROR(__xludf.DUMMYFUNCTION("vlookup(BB524,importrange(""https://docs.google.com/spreadsheets/d/1d2vevQ_7D_v35q4wCQ4RpQ_IPoTwEMB9Yp6ymwlPqew/edit?gid=984458430#gid=984458430"", ""'replication success'!A:M""), 13, FAlSE)"),"#N/A")</f>
        <v>#N/A</v>
      </c>
      <c r="BB524" s="61" t="str">
        <f>IFERROR(__xludf.DUMMYFUNCTION("REGEXREPLACE(G524, ""_[a-z]{1,2}$"", """")"),"additional_studies7")</f>
        <v>additional_studies7</v>
      </c>
      <c r="BC524" s="65"/>
      <c r="BE524" s="71"/>
      <c r="BF524" s="71"/>
      <c r="BG524" s="71"/>
      <c r="BH524" s="71"/>
      <c r="BI524" s="71"/>
      <c r="BJ524" s="71"/>
      <c r="BK524" s="71"/>
      <c r="BL524" s="71"/>
      <c r="BM524" s="71"/>
      <c r="BN524" s="71"/>
      <c r="BO524" s="71"/>
      <c r="BP524" s="71"/>
      <c r="BQ524" s="71"/>
      <c r="BR524" s="71"/>
      <c r="BS524" s="71"/>
      <c r="BT524" s="71"/>
      <c r="BU524" s="71"/>
      <c r="BV524" s="71"/>
      <c r="BW524" s="71"/>
      <c r="BX524" s="71"/>
      <c r="BY524" s="71"/>
      <c r="BZ524" s="71"/>
      <c r="CA524" s="71"/>
      <c r="CB524" s="71"/>
      <c r="CC524" s="71"/>
      <c r="CD524" s="71"/>
      <c r="CE524" s="71"/>
      <c r="CF524" s="71"/>
      <c r="CG524" s="71"/>
      <c r="CH524" s="71"/>
      <c r="CI524" s="71"/>
      <c r="CJ524" s="71"/>
      <c r="CK524" s="71"/>
      <c r="CL524" s="71"/>
      <c r="CM524" s="71"/>
      <c r="CN524" s="71"/>
      <c r="CO524" s="71"/>
      <c r="CP524" s="71"/>
      <c r="CQ524" s="71"/>
      <c r="CR524" s="71"/>
      <c r="CS524" s="71"/>
      <c r="CT524" s="71"/>
      <c r="CU524" s="71"/>
      <c r="CV524" s="71"/>
      <c r="CW524" s="71"/>
      <c r="CX524" s="71"/>
      <c r="CY524" s="71"/>
      <c r="CZ524" s="71"/>
      <c r="DA524" s="71"/>
      <c r="DB524" s="71"/>
      <c r="DC524" s="71"/>
      <c r="DD524" s="71"/>
      <c r="DE524" s="71"/>
      <c r="DF524" s="71"/>
      <c r="DG524" s="71"/>
      <c r="DH524" s="71"/>
      <c r="DI524" s="71"/>
      <c r="DJ524" s="71"/>
      <c r="DK524" s="71"/>
      <c r="DL524" s="71"/>
    </row>
    <row r="525" ht="20.25" customHeight="1">
      <c r="A525" s="44">
        <v>525.0</v>
      </c>
      <c r="B525" s="62" t="s">
        <v>285</v>
      </c>
      <c r="C525" s="62" t="s">
        <v>115</v>
      </c>
      <c r="D525" s="62" t="s">
        <v>2056</v>
      </c>
      <c r="F525" s="159" t="s">
        <v>2865</v>
      </c>
      <c r="G525" s="57" t="s">
        <v>2866</v>
      </c>
      <c r="H525" s="159" t="s">
        <v>2059</v>
      </c>
      <c r="I525" s="152">
        <v>45473.0</v>
      </c>
      <c r="J525" s="152">
        <v>45633.0</v>
      </c>
      <c r="K525" s="159" t="s">
        <v>2867</v>
      </c>
      <c r="L525" s="68"/>
      <c r="M525" s="159" t="s">
        <v>2868</v>
      </c>
      <c r="N525" s="159" t="s">
        <v>2869</v>
      </c>
      <c r="O525" s="159" t="s">
        <v>2870</v>
      </c>
      <c r="P525" s="382" t="s">
        <v>2871</v>
      </c>
      <c r="Q525" s="52" t="str">
        <f t="array" ref="Q525"> if(iserror(MATCH(V525, 'File Links'!C:C, 0)), "N/A", HYPERLINK(INDEX('File Links'!B:B, MATCH(P525, 'File Links'!C:C, 0))))</f>
        <v>https://drive.google.com/file/d/1jpKVfN7bQV2qYmB0hMMFd61i7NfLKBWv/view?usp=drivesdk</v>
      </c>
      <c r="R525" s="159" t="s">
        <v>2872</v>
      </c>
      <c r="S525" s="159" t="s">
        <v>2873</v>
      </c>
      <c r="T525" s="68"/>
      <c r="U525" s="159" t="s">
        <v>2870</v>
      </c>
      <c r="V525" s="198" t="str">
        <f t="shared" si="25"/>
        <v>10.1080--15614263.2022.2102494.pdf</v>
      </c>
      <c r="W525" s="159" t="s">
        <v>2874</v>
      </c>
      <c r="X525" s="54" t="str">
        <f t="array" ref="X525"> if(iserror(MATCH(V525, 'File Links'!C:C, 0)), "N/A", HYPERLINK(INDEX('File Links'!B:B, MATCH(V525, 'File Links'!C:C, 0))))</f>
        <v>https://drive.google.com/file/d/1fq5OO2numDQgQa5kWKk3UimuJGG6cyLq/view?usp=drivesdk</v>
      </c>
      <c r="Y525" s="68"/>
      <c r="Z525" s="159" t="s">
        <v>128</v>
      </c>
      <c r="AA525" s="159" t="s">
        <v>2870</v>
      </c>
      <c r="AB525" s="159" t="s">
        <v>2875</v>
      </c>
      <c r="AC525" s="159" t="s">
        <v>2876</v>
      </c>
      <c r="AD525" s="159" t="s">
        <v>2877</v>
      </c>
      <c r="AE525" s="159" t="s">
        <v>2771</v>
      </c>
      <c r="AF525" s="864">
        <v>1065444.0</v>
      </c>
      <c r="AG525" s="339" t="s">
        <v>2870</v>
      </c>
      <c r="AH525" s="167" t="s">
        <v>138</v>
      </c>
      <c r="AI525" s="57" t="s">
        <v>2870</v>
      </c>
      <c r="AJ525" s="151" t="s">
        <v>138</v>
      </c>
      <c r="AK525" s="61"/>
      <c r="AL525" s="68"/>
      <c r="AM525" s="68"/>
      <c r="AN525" s="219" t="s">
        <v>138</v>
      </c>
      <c r="AO525" s="864">
        <v>258786.0</v>
      </c>
      <c r="AP525" s="159" t="s">
        <v>2870</v>
      </c>
      <c r="AQ525" s="68"/>
      <c r="AR525" s="159" t="s">
        <v>2870</v>
      </c>
      <c r="AS525" s="159" t="s">
        <v>2870</v>
      </c>
      <c r="AT525" s="68"/>
      <c r="AU525" s="68"/>
      <c r="AV525" s="68"/>
      <c r="AW525" s="68" t="s">
        <v>2870</v>
      </c>
      <c r="AX525" s="68" t="s">
        <v>151</v>
      </c>
      <c r="AY525" s="61" t="str">
        <f>IFERROR(__xludf.DUMMYFUNCTION("vlookup(BB525,importrange(""https://docs.google.com/spreadsheets/d/1d2vevQ_7D_v35q4wCQ4RpQ_IPoTwEMB9Yp6ymwlPqew/edit?gid=984458430#gid=984458430"", ""'replication success'!A:K""), 11, FAlSE)"),"#N/A")</f>
        <v>#N/A</v>
      </c>
      <c r="AZ525" s="61" t="str">
        <f>IFERROR(__xludf.DUMMYFUNCTION("vlookup(BB525,importrange(""https://docs.google.com/spreadsheets/d/1d2vevQ_7D_v35q4wCQ4RpQ_IPoTwEMB9Yp6ymwlPqew/edit?gid=984458430#gid=984458430"", ""'replication success'!A:M""), 12, FAlSE)"),"#N/A")</f>
        <v>#N/A</v>
      </c>
      <c r="BA525" s="61" t="str">
        <f>IFERROR(__xludf.DUMMYFUNCTION("vlookup(BB525,importrange(""https://docs.google.com/spreadsheets/d/1d2vevQ_7D_v35q4wCQ4RpQ_IPoTwEMB9Yp6ymwlPqew/edit?gid=984458430#gid=984458430"", ""'replication success'!A:M""), 13, FAlSE)"),"#N/A")</f>
        <v>#N/A</v>
      </c>
      <c r="BB525" s="61" t="str">
        <f>IFERROR(__xludf.DUMMYFUNCTION("REGEXREPLACE(G525, ""_[a-z]{1,2}$"", """")"),"additional_studies70")</f>
        <v>additional_studies70</v>
      </c>
      <c r="BC525" s="68"/>
      <c r="BE525" s="71"/>
      <c r="BF525" s="71"/>
      <c r="BG525" s="71"/>
      <c r="BH525" s="71"/>
      <c r="BI525" s="71"/>
      <c r="BJ525" s="71"/>
      <c r="BK525" s="71"/>
      <c r="BL525" s="71"/>
      <c r="BM525" s="71"/>
      <c r="BN525" s="71"/>
      <c r="BO525" s="71"/>
      <c r="BP525" s="71"/>
      <c r="BQ525" s="71"/>
      <c r="BR525" s="71"/>
      <c r="BS525" s="71"/>
      <c r="BT525" s="71"/>
      <c r="BU525" s="71"/>
      <c r="BV525" s="71"/>
      <c r="BW525" s="71"/>
      <c r="BX525" s="71"/>
      <c r="BY525" s="71"/>
      <c r="BZ525" s="71"/>
      <c r="CA525" s="71"/>
      <c r="CB525" s="71"/>
      <c r="CC525" s="71"/>
      <c r="CD525" s="71"/>
      <c r="CE525" s="71"/>
      <c r="CF525" s="71"/>
      <c r="CG525" s="71"/>
      <c r="CH525" s="71"/>
      <c r="CI525" s="71"/>
      <c r="CJ525" s="71"/>
      <c r="CK525" s="71"/>
      <c r="CL525" s="71"/>
      <c r="CM525" s="71"/>
      <c r="CN525" s="71"/>
      <c r="CO525" s="71"/>
      <c r="CP525" s="71"/>
      <c r="CQ525" s="71"/>
      <c r="CR525" s="71"/>
      <c r="CS525" s="71"/>
      <c r="CT525" s="71"/>
      <c r="CU525" s="71"/>
      <c r="CV525" s="71"/>
      <c r="CW525" s="71"/>
      <c r="CX525" s="71"/>
      <c r="CY525" s="71"/>
      <c r="CZ525" s="71"/>
      <c r="DA525" s="71"/>
      <c r="DB525" s="71"/>
      <c r="DC525" s="71"/>
      <c r="DD525" s="71"/>
      <c r="DE525" s="71"/>
      <c r="DF525" s="71"/>
      <c r="DG525" s="71"/>
      <c r="DH525" s="71"/>
      <c r="DI525" s="71"/>
      <c r="DJ525" s="71"/>
      <c r="DK525" s="71"/>
      <c r="DL525" s="71"/>
    </row>
    <row r="526" ht="20.25" customHeight="1">
      <c r="A526" s="44">
        <v>526.0</v>
      </c>
      <c r="B526" s="129" t="s">
        <v>523</v>
      </c>
      <c r="C526" s="62" t="s">
        <v>115</v>
      </c>
      <c r="D526" s="62" t="s">
        <v>1270</v>
      </c>
      <c r="F526" s="159" t="s">
        <v>2865</v>
      </c>
      <c r="G526" s="159" t="s">
        <v>2866</v>
      </c>
      <c r="H526" s="159" t="s">
        <v>2878</v>
      </c>
      <c r="I526" s="152">
        <v>45473.0</v>
      </c>
      <c r="J526" s="152">
        <v>45681.0</v>
      </c>
      <c r="K526" s="159" t="s">
        <v>2879</v>
      </c>
      <c r="L526" s="68"/>
      <c r="M526" s="310" t="s">
        <v>2880</v>
      </c>
      <c r="N526" s="159" t="s">
        <v>2869</v>
      </c>
      <c r="O526" s="68"/>
      <c r="P526" s="159" t="str">
        <f>SUBSTITUTE(LOWER(N526), "/", "--") &amp;  ".pdf"</f>
        <v>10.1186--s40163-021-00141-0.pdf</v>
      </c>
      <c r="Q526" s="52" t="str">
        <f t="array" ref="Q526"> if(iserror(MATCH(V526, 'File Links'!C:C, 0)), "N/A", HYPERLINK(INDEX('File Links'!B:B, MATCH(P526, 'File Links'!C:C, 0))))</f>
        <v>https://drive.google.com/file/d/1jpKVfN7bQV2qYmB0hMMFd61i7NfLKBWv/view?usp=drivesdk</v>
      </c>
      <c r="R526" s="159" t="s">
        <v>2872</v>
      </c>
      <c r="S526" s="159" t="s">
        <v>2873</v>
      </c>
      <c r="T526" s="68"/>
      <c r="U526" s="68"/>
      <c r="V526" s="198" t="str">
        <f t="shared" si="25"/>
        <v>10.1080--15614263.2022.2102494.pdf</v>
      </c>
      <c r="W526" s="159" t="s">
        <v>1122</v>
      </c>
      <c r="X526" s="54" t="str">
        <f t="array" ref="X526"> if(iserror(MATCH(V526, 'File Links'!C:C, 0)), "N/A", HYPERLINK(INDEX('File Links'!B:B, MATCH(V526, 'File Links'!C:C, 0))))</f>
        <v>https://drive.google.com/file/d/1fq5OO2numDQgQa5kWKk3UimuJGG6cyLq/view?usp=drivesdk</v>
      </c>
      <c r="Y526" s="68"/>
      <c r="Z526" s="159" t="s">
        <v>128</v>
      </c>
      <c r="AA526" s="338"/>
      <c r="AB526" s="159" t="s">
        <v>2881</v>
      </c>
      <c r="AC526" s="68"/>
      <c r="AD526" s="159" t="s">
        <v>2882</v>
      </c>
      <c r="AE526" s="156">
        <v>2.0</v>
      </c>
      <c r="AF526" s="156">
        <v>1065444.0</v>
      </c>
      <c r="AG526" s="68"/>
      <c r="AH526" s="68"/>
      <c r="AI526" s="159" t="s">
        <v>875</v>
      </c>
      <c r="AJ526" s="159" t="s">
        <v>138</v>
      </c>
      <c r="AK526" s="68"/>
      <c r="AL526" s="68"/>
      <c r="AM526" s="68"/>
      <c r="AN526" s="219" t="s">
        <v>138</v>
      </c>
      <c r="AO526" s="156">
        <v>258786.0</v>
      </c>
      <c r="AP526" s="68"/>
      <c r="AQ526" s="68"/>
      <c r="AR526" s="68"/>
      <c r="AS526" s="68"/>
      <c r="AT526" s="68"/>
      <c r="AU526" s="68"/>
      <c r="AV526" s="68"/>
      <c r="AW526" s="68"/>
      <c r="AX526" s="68" t="s">
        <v>143</v>
      </c>
      <c r="AY526" s="61" t="str">
        <f>IFERROR(__xludf.DUMMYFUNCTION("vlookup(BB526,importrange(""https://docs.google.com/spreadsheets/d/1d2vevQ_7D_v35q4wCQ4RpQ_IPoTwEMB9Yp6ymwlPqew/edit?gid=984458430#gid=984458430"", ""'replication success'!A:K""), 11, FAlSE)"),"#N/A")</f>
        <v>#N/A</v>
      </c>
      <c r="AZ526" s="61" t="str">
        <f>IFERROR(__xludf.DUMMYFUNCTION("vlookup(BB526,importrange(""https://docs.google.com/spreadsheets/d/1d2vevQ_7D_v35q4wCQ4RpQ_IPoTwEMB9Yp6ymwlPqew/edit?gid=984458430#gid=984458430"", ""'replication success'!A:M""), 12, FAlSE)"),"#N/A")</f>
        <v>#N/A</v>
      </c>
      <c r="BA526" s="61" t="str">
        <f>IFERROR(__xludf.DUMMYFUNCTION("vlookup(BB526,importrange(""https://docs.google.com/spreadsheets/d/1d2vevQ_7D_v35q4wCQ4RpQ_IPoTwEMB9Yp6ymwlPqew/edit?gid=984458430#gid=984458430"", ""'replication success'!A:M""), 13, FAlSE)"),"#N/A")</f>
        <v>#N/A</v>
      </c>
      <c r="BB526" s="61" t="str">
        <f>IFERROR(__xludf.DUMMYFUNCTION("REGEXREPLACE(G526, ""_[a-z]{1,2}$"", """")"),"additional_studies70")</f>
        <v>additional_studies70</v>
      </c>
      <c r="BE526" s="71"/>
      <c r="BF526" s="71"/>
      <c r="BG526" s="71"/>
      <c r="BH526" s="71"/>
      <c r="BI526" s="71"/>
      <c r="BJ526" s="71"/>
      <c r="BK526" s="71"/>
      <c r="BL526" s="71"/>
      <c r="BM526" s="71"/>
      <c r="BN526" s="71"/>
      <c r="BO526" s="71"/>
      <c r="BP526" s="71"/>
      <c r="BQ526" s="71"/>
      <c r="BR526" s="71"/>
      <c r="BS526" s="71"/>
      <c r="BT526" s="71"/>
      <c r="BU526" s="71"/>
      <c r="BV526" s="71"/>
      <c r="BW526" s="71"/>
      <c r="BX526" s="71"/>
      <c r="BY526" s="71"/>
      <c r="BZ526" s="71"/>
      <c r="CA526" s="71"/>
      <c r="CB526" s="71"/>
      <c r="CC526" s="71"/>
      <c r="CD526" s="71"/>
      <c r="CE526" s="71"/>
      <c r="CF526" s="71"/>
      <c r="CG526" s="71"/>
      <c r="CH526" s="71"/>
      <c r="CI526" s="71"/>
      <c r="CJ526" s="71"/>
      <c r="CK526" s="71"/>
      <c r="CL526" s="71"/>
      <c r="CM526" s="71"/>
      <c r="CN526" s="71"/>
      <c r="CO526" s="71"/>
      <c r="CP526" s="71"/>
      <c r="CQ526" s="71"/>
      <c r="CR526" s="71"/>
      <c r="CS526" s="71"/>
      <c r="CT526" s="71"/>
      <c r="CU526" s="71"/>
      <c r="CV526" s="71"/>
      <c r="CW526" s="71"/>
      <c r="CX526" s="71"/>
      <c r="CY526" s="71"/>
      <c r="CZ526" s="71"/>
      <c r="DA526" s="71"/>
      <c r="DB526" s="71"/>
      <c r="DC526" s="71"/>
      <c r="DD526" s="71"/>
      <c r="DE526" s="71"/>
      <c r="DF526" s="71"/>
      <c r="DG526" s="71"/>
      <c r="DH526" s="71"/>
      <c r="DI526" s="71"/>
      <c r="DJ526" s="71"/>
      <c r="DK526" s="71"/>
      <c r="DL526" s="71"/>
    </row>
    <row r="527" ht="20.25" customHeight="1">
      <c r="A527" s="44">
        <v>527.0</v>
      </c>
      <c r="B527" s="62" t="s">
        <v>285</v>
      </c>
      <c r="C527" s="62" t="s">
        <v>115</v>
      </c>
      <c r="D527" s="62" t="s">
        <v>2056</v>
      </c>
      <c r="F527" s="159" t="s">
        <v>2883</v>
      </c>
      <c r="G527" s="57" t="s">
        <v>2884</v>
      </c>
      <c r="H527" s="159" t="s">
        <v>2059</v>
      </c>
      <c r="I527" s="152">
        <v>45473.0</v>
      </c>
      <c r="J527" s="152">
        <v>45633.0</v>
      </c>
      <c r="K527" s="159" t="s">
        <v>2867</v>
      </c>
      <c r="L527" s="68"/>
      <c r="M527" s="159" t="s">
        <v>2885</v>
      </c>
      <c r="N527" s="159" t="s">
        <v>2886</v>
      </c>
      <c r="O527" s="159" t="s">
        <v>2870</v>
      </c>
      <c r="P527" s="382" t="s">
        <v>2887</v>
      </c>
      <c r="Q527" s="52" t="str">
        <f t="array" ref="Q527"> if(iserror(MATCH(V527, 'File Links'!C:C, 0)), "N/A", HYPERLINK(INDEX('File Links'!B:B, MATCH(P527, 'File Links'!C:C, 0))))</f>
        <v>https://drive.google.com/file/d/16pg9MWE7EmtXDgvjDW9mExWkGIxt2MYX/view?usp=drivesdk</v>
      </c>
      <c r="R527" s="159" t="s">
        <v>2872</v>
      </c>
      <c r="S527" s="159" t="s">
        <v>2873</v>
      </c>
      <c r="T527" s="68"/>
      <c r="U527" s="159" t="s">
        <v>2870</v>
      </c>
      <c r="V527" s="198" t="str">
        <f t="shared" si="25"/>
        <v>10.1080--15614263.2022.2102494.pdf</v>
      </c>
      <c r="W527" s="159" t="s">
        <v>2874</v>
      </c>
      <c r="X527" s="54" t="str">
        <f t="array" ref="X527"> if(iserror(MATCH(V527, 'File Links'!C:C, 0)), "N/A", HYPERLINK(INDEX('File Links'!B:B, MATCH(V527, 'File Links'!C:C, 0))))</f>
        <v>https://drive.google.com/file/d/1fq5OO2numDQgQa5kWKk3UimuJGG6cyLq/view?usp=drivesdk</v>
      </c>
      <c r="Y527" s="68"/>
      <c r="Z527" s="159" t="s">
        <v>128</v>
      </c>
      <c r="AA527" s="159" t="s">
        <v>2870</v>
      </c>
      <c r="AB527" s="159" t="s">
        <v>2875</v>
      </c>
      <c r="AC527" s="159" t="s">
        <v>2876</v>
      </c>
      <c r="AD527" s="159" t="s">
        <v>2888</v>
      </c>
      <c r="AE527" s="159" t="s">
        <v>2889</v>
      </c>
      <c r="AF527" s="864">
        <v>4300000.0</v>
      </c>
      <c r="AG527" s="159" t="s">
        <v>2870</v>
      </c>
      <c r="AH527" s="167" t="s">
        <v>138</v>
      </c>
      <c r="AI527" s="57" t="s">
        <v>2870</v>
      </c>
      <c r="AJ527" s="151" t="s">
        <v>138</v>
      </c>
      <c r="AK527" s="68"/>
      <c r="AL527" s="61"/>
      <c r="AM527" s="68"/>
      <c r="AN527" s="219" t="s">
        <v>138</v>
      </c>
      <c r="AO527" s="864">
        <v>258786.0</v>
      </c>
      <c r="AP527" s="159" t="s">
        <v>2870</v>
      </c>
      <c r="AQ527" s="68"/>
      <c r="AR527" s="159" t="s">
        <v>2870</v>
      </c>
      <c r="AS527" s="159" t="s">
        <v>2870</v>
      </c>
      <c r="AT527" s="68"/>
      <c r="AU527" s="68"/>
      <c r="AV527" s="68"/>
      <c r="AW527" s="68" t="s">
        <v>2870</v>
      </c>
      <c r="AX527" s="68" t="s">
        <v>151</v>
      </c>
      <c r="AY527" s="61" t="str">
        <f>IFERROR(__xludf.DUMMYFUNCTION("vlookup(BB527,importrange(""https://docs.google.com/spreadsheets/d/1d2vevQ_7D_v35q4wCQ4RpQ_IPoTwEMB9Yp6ymwlPqew/edit?gid=984458430#gid=984458430"", ""'replication success'!A:K""), 11, FAlSE)"),"#N/A")</f>
        <v>#N/A</v>
      </c>
      <c r="AZ527" s="61" t="str">
        <f>IFERROR(__xludf.DUMMYFUNCTION("vlookup(BB527,importrange(""https://docs.google.com/spreadsheets/d/1d2vevQ_7D_v35q4wCQ4RpQ_IPoTwEMB9Yp6ymwlPqew/edit?gid=984458430#gid=984458430"", ""'replication success'!A:M""), 12, FAlSE)"),"#N/A")</f>
        <v>#N/A</v>
      </c>
      <c r="BA527" s="61" t="str">
        <f>IFERROR(__xludf.DUMMYFUNCTION("vlookup(BB527,importrange(""https://docs.google.com/spreadsheets/d/1d2vevQ_7D_v35q4wCQ4RpQ_IPoTwEMB9Yp6ymwlPqew/edit?gid=984458430#gid=984458430"", ""'replication success'!A:M""), 13, FAlSE)"),"#N/A")</f>
        <v>#N/A</v>
      </c>
      <c r="BB527" s="61" t="str">
        <f>IFERROR(__xludf.DUMMYFUNCTION("REGEXREPLACE(G527, ""_[a-z]{1,2}$"", """")"),"additional_studies71")</f>
        <v>additional_studies71</v>
      </c>
      <c r="BC527" s="68"/>
      <c r="BE527" s="71"/>
      <c r="BF527" s="71"/>
      <c r="BG527" s="71"/>
      <c r="BH527" s="71"/>
      <c r="BI527" s="71"/>
      <c r="BJ527" s="71"/>
      <c r="BK527" s="71"/>
      <c r="BL527" s="71"/>
      <c r="BM527" s="71"/>
      <c r="BN527" s="71"/>
      <c r="BO527" s="71"/>
      <c r="BP527" s="71"/>
      <c r="BQ527" s="71"/>
      <c r="BR527" s="71"/>
      <c r="BS527" s="71"/>
      <c r="BT527" s="71"/>
      <c r="BU527" s="71"/>
      <c r="BV527" s="71"/>
      <c r="BW527" s="71"/>
      <c r="BX527" s="71"/>
      <c r="BY527" s="71"/>
      <c r="BZ527" s="71"/>
      <c r="CA527" s="71"/>
      <c r="CB527" s="71"/>
      <c r="CC527" s="71"/>
      <c r="CD527" s="71"/>
      <c r="CE527" s="71"/>
      <c r="CF527" s="71"/>
      <c r="CG527" s="71"/>
      <c r="CH527" s="71"/>
      <c r="CI527" s="71"/>
      <c r="CJ527" s="71"/>
      <c r="CK527" s="71"/>
      <c r="CL527" s="71"/>
      <c r="CM527" s="71"/>
      <c r="CN527" s="71"/>
      <c r="CO527" s="71"/>
      <c r="CP527" s="71"/>
      <c r="CQ527" s="71"/>
      <c r="CR527" s="71"/>
      <c r="CS527" s="71"/>
      <c r="CT527" s="71"/>
      <c r="CU527" s="71"/>
      <c r="CV527" s="71"/>
      <c r="CW527" s="71"/>
      <c r="CX527" s="71"/>
      <c r="CY527" s="71"/>
      <c r="CZ527" s="71"/>
      <c r="DA527" s="71"/>
      <c r="DB527" s="71"/>
      <c r="DC527" s="71"/>
      <c r="DD527" s="71"/>
      <c r="DE527" s="71"/>
      <c r="DF527" s="71"/>
      <c r="DG527" s="71"/>
      <c r="DH527" s="71"/>
      <c r="DI527" s="71"/>
      <c r="DJ527" s="71"/>
      <c r="DK527" s="71"/>
      <c r="DL527" s="71"/>
    </row>
    <row r="528" ht="20.25" customHeight="1">
      <c r="A528" s="44">
        <v>528.0</v>
      </c>
      <c r="B528" s="129" t="s">
        <v>523</v>
      </c>
      <c r="C528" s="62" t="s">
        <v>115</v>
      </c>
      <c r="D528" s="62" t="s">
        <v>1270</v>
      </c>
      <c r="F528" s="159" t="s">
        <v>2883</v>
      </c>
      <c r="G528" s="159" t="s">
        <v>2884</v>
      </c>
      <c r="H528" s="159" t="s">
        <v>2067</v>
      </c>
      <c r="I528" s="152">
        <v>45473.0</v>
      </c>
      <c r="J528" s="152">
        <v>45681.0</v>
      </c>
      <c r="K528" s="68" t="s">
        <v>2879</v>
      </c>
      <c r="L528" s="68"/>
      <c r="M528" s="159" t="s">
        <v>2885</v>
      </c>
      <c r="N528" s="159" t="s">
        <v>2886</v>
      </c>
      <c r="O528" s="68"/>
      <c r="P528" s="159" t="str">
        <f>SUBSTITUTE(LOWER(N528), "/", "--") &amp;  ".pdf"</f>
        <v>10.1177--2f10986111211035002.pdf</v>
      </c>
      <c r="Q528" s="52" t="str">
        <f t="array" ref="Q528"> if(iserror(MATCH(V528, 'File Links'!C:C, 0)), "N/A", HYPERLINK(INDEX('File Links'!B:B, MATCH(P528, 'File Links'!C:C, 0))))</f>
        <v>https://drive.google.com/file/d/16pg9MWE7EmtXDgvjDW9mExWkGIxt2MYX/view?usp=drivesdk</v>
      </c>
      <c r="R528" s="159" t="s">
        <v>2872</v>
      </c>
      <c r="S528" s="159" t="s">
        <v>2873</v>
      </c>
      <c r="T528" s="68"/>
      <c r="U528" s="68"/>
      <c r="V528" s="198" t="str">
        <f t="shared" si="25"/>
        <v>10.1080--15614263.2022.2102494.pdf</v>
      </c>
      <c r="W528" s="159" t="s">
        <v>1122</v>
      </c>
      <c r="X528" s="54" t="str">
        <f t="array" ref="X528"> if(iserror(MATCH(V528, 'File Links'!C:C, 0)), "N/A", HYPERLINK(INDEX('File Links'!B:B, MATCH(V528, 'File Links'!C:C, 0))))</f>
        <v>https://drive.google.com/file/d/1fq5OO2numDQgQa5kWKk3UimuJGG6cyLq/view?usp=drivesdk</v>
      </c>
      <c r="Y528" s="68"/>
      <c r="Z528" s="159" t="s">
        <v>128</v>
      </c>
      <c r="AA528" s="68"/>
      <c r="AB528" s="159" t="s">
        <v>2890</v>
      </c>
      <c r="AC528" s="129"/>
      <c r="AD528" s="159" t="s">
        <v>2891</v>
      </c>
      <c r="AE528" s="159" t="s">
        <v>2892</v>
      </c>
      <c r="AF528" s="156">
        <v>4300000.0</v>
      </c>
      <c r="AG528" s="68"/>
      <c r="AH528" s="68"/>
      <c r="AI528" s="159" t="s">
        <v>2893</v>
      </c>
      <c r="AJ528" s="159" t="s">
        <v>138</v>
      </c>
      <c r="AK528" s="68"/>
      <c r="AL528" s="68"/>
      <c r="AM528" s="68"/>
      <c r="AN528" s="219" t="s">
        <v>138</v>
      </c>
      <c r="AO528" s="156">
        <v>258786.0</v>
      </c>
      <c r="AP528" s="68"/>
      <c r="AQ528" s="68"/>
      <c r="AR528" s="68"/>
      <c r="AS528" s="68"/>
      <c r="AT528" s="68"/>
      <c r="AU528" s="68"/>
      <c r="AV528" s="68"/>
      <c r="AW528" s="68"/>
      <c r="AX528" s="68" t="s">
        <v>143</v>
      </c>
      <c r="AY528" s="61" t="str">
        <f>IFERROR(__xludf.DUMMYFUNCTION("vlookup(BB528,importrange(""https://docs.google.com/spreadsheets/d/1d2vevQ_7D_v35q4wCQ4RpQ_IPoTwEMB9Yp6ymwlPqew/edit?gid=984458430#gid=984458430"", ""'replication success'!A:K""), 11, FAlSE)"),"#N/A")</f>
        <v>#N/A</v>
      </c>
      <c r="AZ528" s="61" t="str">
        <f>IFERROR(__xludf.DUMMYFUNCTION("vlookup(BB528,importrange(""https://docs.google.com/spreadsheets/d/1d2vevQ_7D_v35q4wCQ4RpQ_IPoTwEMB9Yp6ymwlPqew/edit?gid=984458430#gid=984458430"", ""'replication success'!A:M""), 12, FAlSE)"),"#N/A")</f>
        <v>#N/A</v>
      </c>
      <c r="BA528" s="61" t="str">
        <f>IFERROR(__xludf.DUMMYFUNCTION("vlookup(BB528,importrange(""https://docs.google.com/spreadsheets/d/1d2vevQ_7D_v35q4wCQ4RpQ_IPoTwEMB9Yp6ymwlPqew/edit?gid=984458430#gid=984458430"", ""'replication success'!A:M""), 13, FAlSE)"),"#N/A")</f>
        <v>#N/A</v>
      </c>
      <c r="BB528" s="61" t="str">
        <f>IFERROR(__xludf.DUMMYFUNCTION("REGEXREPLACE(G528, ""_[a-z]{1,2}$"", """")"),"additional_studies71")</f>
        <v>additional_studies71</v>
      </c>
      <c r="BE528" s="71"/>
      <c r="BF528" s="71"/>
      <c r="BG528" s="71"/>
      <c r="BH528" s="71"/>
      <c r="BI528" s="71"/>
      <c r="BJ528" s="71"/>
      <c r="BK528" s="71"/>
      <c r="BL528" s="71"/>
      <c r="BM528" s="71"/>
      <c r="BN528" s="71"/>
      <c r="BO528" s="71"/>
      <c r="BP528" s="71"/>
      <c r="BQ528" s="71"/>
      <c r="BR528" s="71"/>
      <c r="BS528" s="71"/>
      <c r="BT528" s="71"/>
      <c r="BU528" s="71"/>
      <c r="BV528" s="71"/>
      <c r="BW528" s="71"/>
      <c r="BX528" s="71"/>
      <c r="BY528" s="71"/>
      <c r="BZ528" s="71"/>
      <c r="CA528" s="71"/>
      <c r="CB528" s="71"/>
      <c r="CC528" s="71"/>
      <c r="CD528" s="71"/>
      <c r="CE528" s="71"/>
      <c r="CF528" s="71"/>
      <c r="CG528" s="71"/>
      <c r="CH528" s="71"/>
      <c r="CI528" s="71"/>
      <c r="CJ528" s="71"/>
      <c r="CK528" s="71"/>
      <c r="CL528" s="71"/>
      <c r="CM528" s="71"/>
      <c r="CN528" s="71"/>
      <c r="CO528" s="71"/>
      <c r="CP528" s="71"/>
      <c r="CQ528" s="71"/>
      <c r="CR528" s="71"/>
      <c r="CS528" s="71"/>
      <c r="CT528" s="71"/>
      <c r="CU528" s="71"/>
      <c r="CV528" s="71"/>
      <c r="CW528" s="71"/>
      <c r="CX528" s="71"/>
      <c r="CY528" s="71"/>
      <c r="CZ528" s="71"/>
      <c r="DA528" s="71"/>
      <c r="DB528" s="71"/>
      <c r="DC528" s="71"/>
      <c r="DD528" s="71"/>
      <c r="DE528" s="71"/>
      <c r="DF528" s="71"/>
      <c r="DG528" s="71"/>
      <c r="DH528" s="71"/>
      <c r="DI528" s="71"/>
      <c r="DJ528" s="71"/>
      <c r="DK528" s="71"/>
      <c r="DL528" s="71"/>
    </row>
    <row r="529" ht="20.25" customHeight="1">
      <c r="A529" s="44">
        <v>529.0</v>
      </c>
      <c r="B529" s="62" t="s">
        <v>285</v>
      </c>
      <c r="C529" s="62" t="s">
        <v>115</v>
      </c>
      <c r="D529" s="62" t="s">
        <v>2056</v>
      </c>
      <c r="F529" s="68" t="s">
        <v>2894</v>
      </c>
      <c r="G529" s="57" t="s">
        <v>2895</v>
      </c>
      <c r="H529" s="159" t="s">
        <v>2059</v>
      </c>
      <c r="I529" s="152">
        <v>45473.0</v>
      </c>
      <c r="J529" s="152">
        <v>45633.0</v>
      </c>
      <c r="K529" s="159" t="s">
        <v>2896</v>
      </c>
      <c r="L529" s="68"/>
      <c r="M529" s="159" t="s">
        <v>2897</v>
      </c>
      <c r="N529" s="159" t="s">
        <v>2898</v>
      </c>
      <c r="O529" s="159" t="s">
        <v>2870</v>
      </c>
      <c r="P529" s="382" t="s">
        <v>2899</v>
      </c>
      <c r="Q529" s="52" t="str">
        <f t="array" ref="Q529"> if(iserror(MATCH(V529, 'File Links'!C:C, 0)), "N/A", HYPERLINK(INDEX('File Links'!B:B, MATCH(P529, 'File Links'!C:C, 0))))</f>
        <v>https://drive.google.com/file/d/1YQ1rwTK8fHHydlCOqvw62rr4BQnhJ7v4/view?usp=drivesdk</v>
      </c>
      <c r="R529" s="159" t="s">
        <v>2900</v>
      </c>
      <c r="S529" s="159" t="s">
        <v>2901</v>
      </c>
      <c r="T529" s="68"/>
      <c r="U529" s="159" t="s">
        <v>2870</v>
      </c>
      <c r="V529" s="198" t="str">
        <f t="shared" si="25"/>
        <v>10.1080--15614263.2023.2185241.pdf</v>
      </c>
      <c r="W529" s="159" t="s">
        <v>2902</v>
      </c>
      <c r="X529" s="54" t="str">
        <f t="array" ref="X529"> if(iserror(MATCH(V529, 'File Links'!C:C, 0)), "N/A", HYPERLINK(INDEX('File Links'!B:B, MATCH(V529, 'File Links'!C:C, 0))))</f>
        <v>https://drive.google.com/file/d/15ZlJQ8dYoTyaoh7HgVjWxbumKbhPC9XU/view?usp=drivesdk</v>
      </c>
      <c r="Y529" s="68"/>
      <c r="Z529" s="159" t="s">
        <v>226</v>
      </c>
      <c r="AA529" s="159" t="s">
        <v>2870</v>
      </c>
      <c r="AB529" s="159" t="s">
        <v>2903</v>
      </c>
      <c r="AC529" s="159" t="s">
        <v>2904</v>
      </c>
      <c r="AD529" s="159" t="s">
        <v>2905</v>
      </c>
      <c r="AE529" s="159" t="s">
        <v>2906</v>
      </c>
      <c r="AF529" s="156">
        <v>50.0</v>
      </c>
      <c r="AG529" s="159" t="s">
        <v>2907</v>
      </c>
      <c r="AH529" s="194" t="s">
        <v>360</v>
      </c>
      <c r="AI529" s="57" t="s">
        <v>2908</v>
      </c>
      <c r="AJ529" s="379">
        <v>0.01</v>
      </c>
      <c r="AK529" s="159" t="s">
        <v>172</v>
      </c>
      <c r="AL529" s="57" t="s">
        <v>186</v>
      </c>
      <c r="AM529" s="68" t="s">
        <v>141</v>
      </c>
      <c r="AN529" s="219" t="s">
        <v>138</v>
      </c>
      <c r="AO529" s="864">
        <v>152.0</v>
      </c>
      <c r="AP529" s="156">
        <v>-0.31</v>
      </c>
      <c r="AQ529" s="159" t="s">
        <v>360</v>
      </c>
      <c r="AR529" s="159" t="s">
        <v>2909</v>
      </c>
      <c r="AS529" s="156">
        <v>0.444</v>
      </c>
      <c r="AT529" s="159" t="s">
        <v>172</v>
      </c>
      <c r="AU529" s="159" t="s">
        <v>136</v>
      </c>
      <c r="AV529" s="68" t="s">
        <v>141</v>
      </c>
      <c r="AW529" s="435" t="s">
        <v>2910</v>
      </c>
      <c r="AX529" s="594" t="s">
        <v>143</v>
      </c>
      <c r="AY529" s="61" t="str">
        <f>IFERROR(__xludf.DUMMYFUNCTION("vlookup(BB529,importrange(""https://docs.google.com/spreadsheets/d/1d2vevQ_7D_v35q4wCQ4RpQ_IPoTwEMB9Yp6ymwlPqew/edit?gid=984458430#gid=984458430"", ""'replication success'!A:K""), 11, FAlSE)"),"#N/A")</f>
        <v>#N/A</v>
      </c>
      <c r="AZ529" s="61" t="str">
        <f>IFERROR(__xludf.DUMMYFUNCTION("vlookup(BB529,importrange(""https://docs.google.com/spreadsheets/d/1d2vevQ_7D_v35q4wCQ4RpQ_IPoTwEMB9Yp6ymwlPqew/edit?gid=984458430#gid=984458430"", ""'replication success'!A:M""), 12, FAlSE)"),"#N/A")</f>
        <v>#N/A</v>
      </c>
      <c r="BA529" s="61" t="str">
        <f>IFERROR(__xludf.DUMMYFUNCTION("vlookup(BB529,importrange(""https://docs.google.com/spreadsheets/d/1d2vevQ_7D_v35q4wCQ4RpQ_IPoTwEMB9Yp6ymwlPqew/edit?gid=984458430#gid=984458430"", ""'replication success'!A:M""), 13, FAlSE)"),"#N/A")</f>
        <v>#N/A</v>
      </c>
      <c r="BB529" s="61" t="str">
        <f>IFERROR(__xludf.DUMMYFUNCTION("REGEXREPLACE(G529, ""_[a-z]{1,2}$"", """")"),"additional_studies72")</f>
        <v>additional_studies72</v>
      </c>
      <c r="BC529" s="68"/>
      <c r="BE529" s="71"/>
      <c r="BF529" s="71"/>
      <c r="BG529" s="71"/>
      <c r="BH529" s="71"/>
      <c r="BI529" s="71"/>
      <c r="BJ529" s="71"/>
      <c r="BK529" s="71"/>
      <c r="BL529" s="71"/>
      <c r="BM529" s="71"/>
      <c r="BN529" s="71"/>
      <c r="BO529" s="71"/>
      <c r="BP529" s="71"/>
      <c r="BQ529" s="71"/>
      <c r="BR529" s="71"/>
      <c r="BS529" s="71"/>
      <c r="BT529" s="71"/>
      <c r="BU529" s="71"/>
      <c r="BV529" s="71"/>
      <c r="BW529" s="71"/>
      <c r="BX529" s="71"/>
      <c r="BY529" s="71"/>
      <c r="BZ529" s="71"/>
      <c r="CA529" s="71"/>
      <c r="CB529" s="71"/>
      <c r="CC529" s="71"/>
      <c r="CD529" s="71"/>
      <c r="CE529" s="71"/>
      <c r="CF529" s="71"/>
      <c r="CG529" s="71"/>
      <c r="CH529" s="71"/>
      <c r="CI529" s="71"/>
      <c r="CJ529" s="71"/>
      <c r="CK529" s="71"/>
      <c r="CL529" s="71"/>
      <c r="CM529" s="71"/>
      <c r="CN529" s="71"/>
      <c r="CO529" s="71"/>
      <c r="CP529" s="71"/>
      <c r="CQ529" s="71"/>
      <c r="CR529" s="71"/>
      <c r="CS529" s="71"/>
      <c r="CT529" s="71"/>
      <c r="CU529" s="71"/>
      <c r="CV529" s="71"/>
      <c r="CW529" s="71"/>
      <c r="CX529" s="71"/>
      <c r="CY529" s="71"/>
      <c r="CZ529" s="71"/>
      <c r="DA529" s="71"/>
      <c r="DB529" s="71"/>
      <c r="DC529" s="71"/>
      <c r="DD529" s="71"/>
      <c r="DE529" s="71"/>
      <c r="DF529" s="71"/>
      <c r="DG529" s="71"/>
      <c r="DH529" s="71"/>
      <c r="DI529" s="71"/>
      <c r="DJ529" s="71"/>
      <c r="DK529" s="71"/>
      <c r="DL529" s="71"/>
    </row>
    <row r="530" ht="20.25" customHeight="1">
      <c r="A530" s="44">
        <v>530.0</v>
      </c>
      <c r="B530" s="62" t="s">
        <v>285</v>
      </c>
      <c r="C530" s="62" t="s">
        <v>115</v>
      </c>
      <c r="D530" s="62" t="s">
        <v>2056</v>
      </c>
      <c r="F530" s="68" t="s">
        <v>2894</v>
      </c>
      <c r="G530" s="57" t="s">
        <v>2895</v>
      </c>
      <c r="H530" s="159" t="s">
        <v>2911</v>
      </c>
      <c r="I530" s="152">
        <v>45633.0</v>
      </c>
      <c r="J530" s="862"/>
      <c r="K530" s="159" t="s">
        <v>2912</v>
      </c>
      <c r="L530" s="68"/>
      <c r="M530" s="159" t="s">
        <v>2897</v>
      </c>
      <c r="N530" s="159" t="s">
        <v>2898</v>
      </c>
      <c r="O530" s="159" t="s">
        <v>2870</v>
      </c>
      <c r="P530" s="382" t="s">
        <v>2899</v>
      </c>
      <c r="Q530" s="52" t="str">
        <f t="array" ref="Q530"> if(iserror(MATCH(V530, 'File Links'!C:C, 0)), "N/A", HYPERLINK(INDEX('File Links'!B:B, MATCH(P530, 'File Links'!C:C, 0))))</f>
        <v>https://drive.google.com/file/d/1YQ1rwTK8fHHydlCOqvw62rr4BQnhJ7v4/view?usp=drivesdk</v>
      </c>
      <c r="R530" s="159" t="s">
        <v>2900</v>
      </c>
      <c r="S530" s="159" t="s">
        <v>2901</v>
      </c>
      <c r="T530" s="68"/>
      <c r="U530" s="159" t="s">
        <v>2870</v>
      </c>
      <c r="V530" s="198" t="str">
        <f t="shared" si="25"/>
        <v>10.1080--15614263.2023.2185241.pdf</v>
      </c>
      <c r="W530" s="159" t="s">
        <v>2902</v>
      </c>
      <c r="X530" s="54" t="str">
        <f t="array" ref="X530"> if(iserror(MATCH(V530, 'File Links'!C:C, 0)), "N/A", HYPERLINK(INDEX('File Links'!B:B, MATCH(V530, 'File Links'!C:C, 0))))</f>
        <v>https://drive.google.com/file/d/15ZlJQ8dYoTyaoh7HgVjWxbumKbhPC9XU/view?usp=drivesdk</v>
      </c>
      <c r="Y530" s="68"/>
      <c r="Z530" s="159" t="s">
        <v>226</v>
      </c>
      <c r="AA530" s="159" t="s">
        <v>2870</v>
      </c>
      <c r="AB530" s="159" t="s">
        <v>2903</v>
      </c>
      <c r="AC530" s="159" t="s">
        <v>2913</v>
      </c>
      <c r="AD530" s="159" t="s">
        <v>2914</v>
      </c>
      <c r="AE530" s="159" t="s">
        <v>2906</v>
      </c>
      <c r="AF530" s="156">
        <v>47.0</v>
      </c>
      <c r="AG530" s="159" t="s">
        <v>2915</v>
      </c>
      <c r="AH530" s="194" t="s">
        <v>360</v>
      </c>
      <c r="AI530" s="57" t="s">
        <v>2908</v>
      </c>
      <c r="AJ530" s="379">
        <v>0.05</v>
      </c>
      <c r="AK530" s="159" t="s">
        <v>172</v>
      </c>
      <c r="AL530" s="57" t="s">
        <v>186</v>
      </c>
      <c r="AM530" s="68" t="s">
        <v>141</v>
      </c>
      <c r="AN530" s="219" t="s">
        <v>138</v>
      </c>
      <c r="AO530" s="864">
        <v>132.0</v>
      </c>
      <c r="AP530" s="156">
        <v>0.45</v>
      </c>
      <c r="AQ530" s="159" t="s">
        <v>360</v>
      </c>
      <c r="AR530" s="159" t="s">
        <v>2909</v>
      </c>
      <c r="AS530" s="156">
        <v>0.422</v>
      </c>
      <c r="AT530" s="159" t="s">
        <v>172</v>
      </c>
      <c r="AU530" s="159" t="s">
        <v>136</v>
      </c>
      <c r="AV530" s="68" t="s">
        <v>141</v>
      </c>
      <c r="AW530" s="435" t="s">
        <v>2910</v>
      </c>
      <c r="AX530" s="594" t="s">
        <v>143</v>
      </c>
      <c r="AY530" s="61" t="str">
        <f>IFERROR(__xludf.DUMMYFUNCTION("vlookup(BB530,importrange(""https://docs.google.com/spreadsheets/d/1d2vevQ_7D_v35q4wCQ4RpQ_IPoTwEMB9Yp6ymwlPqew/edit?gid=984458430#gid=984458430"", ""'replication success'!A:K""), 11, FAlSE)"),"#N/A")</f>
        <v>#N/A</v>
      </c>
      <c r="AZ530" s="61" t="str">
        <f>IFERROR(__xludf.DUMMYFUNCTION("vlookup(BB530,importrange(""https://docs.google.com/spreadsheets/d/1d2vevQ_7D_v35q4wCQ4RpQ_IPoTwEMB9Yp6ymwlPqew/edit?gid=984458430#gid=984458430"", ""'replication success'!A:M""), 12, FAlSE)"),"#N/A")</f>
        <v>#N/A</v>
      </c>
      <c r="BA530" s="61" t="str">
        <f>IFERROR(__xludf.DUMMYFUNCTION("vlookup(BB530,importrange(""https://docs.google.com/spreadsheets/d/1d2vevQ_7D_v35q4wCQ4RpQ_IPoTwEMB9Yp6ymwlPqew/edit?gid=984458430#gid=984458430"", ""'replication success'!A:M""), 13, FAlSE)"),"#N/A")</f>
        <v>#N/A</v>
      </c>
      <c r="BB530" s="61" t="str">
        <f>IFERROR(__xludf.DUMMYFUNCTION("REGEXREPLACE(G530, ""_[a-z]{1,2}$"", """")"),"additional_studies72")</f>
        <v>additional_studies72</v>
      </c>
      <c r="BC530" s="68"/>
      <c r="BE530" s="71"/>
      <c r="BF530" s="71"/>
      <c r="BG530" s="71"/>
      <c r="BH530" s="71"/>
      <c r="BI530" s="71"/>
      <c r="BJ530" s="71"/>
      <c r="BK530" s="71"/>
      <c r="BL530" s="71"/>
      <c r="BM530" s="71"/>
      <c r="BN530" s="71"/>
      <c r="BO530" s="71"/>
      <c r="BP530" s="71"/>
      <c r="BQ530" s="71"/>
      <c r="BR530" s="71"/>
      <c r="BS530" s="71"/>
      <c r="BT530" s="71"/>
      <c r="BU530" s="71"/>
      <c r="BV530" s="71"/>
      <c r="BW530" s="71"/>
      <c r="BX530" s="71"/>
      <c r="BY530" s="71"/>
      <c r="BZ530" s="71"/>
      <c r="CA530" s="71"/>
      <c r="CB530" s="71"/>
      <c r="CC530" s="71"/>
      <c r="CD530" s="71"/>
      <c r="CE530" s="71"/>
      <c r="CF530" s="71"/>
      <c r="CG530" s="71"/>
      <c r="CH530" s="71"/>
      <c r="CI530" s="71"/>
      <c r="CJ530" s="71"/>
      <c r="CK530" s="71"/>
      <c r="CL530" s="71"/>
      <c r="CM530" s="71"/>
      <c r="CN530" s="71"/>
      <c r="CO530" s="71"/>
      <c r="CP530" s="71"/>
      <c r="CQ530" s="71"/>
      <c r="CR530" s="71"/>
      <c r="CS530" s="71"/>
      <c r="CT530" s="71"/>
      <c r="CU530" s="71"/>
      <c r="CV530" s="71"/>
      <c r="CW530" s="71"/>
      <c r="CX530" s="71"/>
      <c r="CY530" s="71"/>
      <c r="CZ530" s="71"/>
      <c r="DA530" s="71"/>
      <c r="DB530" s="71"/>
      <c r="DC530" s="71"/>
      <c r="DD530" s="71"/>
      <c r="DE530" s="71"/>
      <c r="DF530" s="71"/>
      <c r="DG530" s="71"/>
      <c r="DH530" s="71"/>
      <c r="DI530" s="71"/>
      <c r="DJ530" s="71"/>
      <c r="DK530" s="71"/>
      <c r="DL530" s="71"/>
    </row>
    <row r="531" ht="20.25" customHeight="1">
      <c r="A531" s="44">
        <v>531.0</v>
      </c>
      <c r="B531" s="62" t="s">
        <v>285</v>
      </c>
      <c r="C531" s="62" t="s">
        <v>115</v>
      </c>
      <c r="D531" s="62" t="s">
        <v>2056</v>
      </c>
      <c r="F531" s="68" t="s">
        <v>2894</v>
      </c>
      <c r="G531" s="57" t="s">
        <v>2895</v>
      </c>
      <c r="H531" s="159" t="s">
        <v>2911</v>
      </c>
      <c r="I531" s="152">
        <v>45633.0</v>
      </c>
      <c r="J531" s="862"/>
      <c r="K531" s="159" t="s">
        <v>2916</v>
      </c>
      <c r="L531" s="68"/>
      <c r="M531" s="159" t="s">
        <v>2897</v>
      </c>
      <c r="N531" s="159" t="s">
        <v>2898</v>
      </c>
      <c r="O531" s="159" t="s">
        <v>2870</v>
      </c>
      <c r="P531" s="382" t="s">
        <v>2899</v>
      </c>
      <c r="Q531" s="52" t="str">
        <f t="array" ref="Q531"> if(iserror(MATCH(V531, 'File Links'!C:C, 0)), "N/A", HYPERLINK(INDEX('File Links'!B:B, MATCH(P531, 'File Links'!C:C, 0))))</f>
        <v>https://drive.google.com/file/d/1YQ1rwTK8fHHydlCOqvw62rr4BQnhJ7v4/view?usp=drivesdk</v>
      </c>
      <c r="R531" s="159" t="s">
        <v>2900</v>
      </c>
      <c r="S531" s="159" t="s">
        <v>2901</v>
      </c>
      <c r="T531" s="68"/>
      <c r="U531" s="159" t="s">
        <v>2870</v>
      </c>
      <c r="V531" s="198" t="str">
        <f t="shared" si="25"/>
        <v>10.1080--15614263.2023.2185241.pdf</v>
      </c>
      <c r="W531" s="159" t="s">
        <v>2902</v>
      </c>
      <c r="X531" s="54" t="str">
        <f t="array" ref="X531"> if(iserror(MATCH(V531, 'File Links'!C:C, 0)), "N/A", HYPERLINK(INDEX('File Links'!B:B, MATCH(V531, 'File Links'!C:C, 0))))</f>
        <v>https://drive.google.com/file/d/15ZlJQ8dYoTyaoh7HgVjWxbumKbhPC9XU/view?usp=drivesdk</v>
      </c>
      <c r="Y531" s="68"/>
      <c r="Z531" s="159" t="s">
        <v>226</v>
      </c>
      <c r="AA531" s="159" t="s">
        <v>2870</v>
      </c>
      <c r="AB531" s="159" t="s">
        <v>2903</v>
      </c>
      <c r="AC531" s="159" t="s">
        <v>2917</v>
      </c>
      <c r="AD531" s="159" t="s">
        <v>2918</v>
      </c>
      <c r="AE531" s="159" t="s">
        <v>2906</v>
      </c>
      <c r="AF531" s="156">
        <v>47.0</v>
      </c>
      <c r="AG531" s="159" t="s">
        <v>2919</v>
      </c>
      <c r="AH531" s="194" t="s">
        <v>360</v>
      </c>
      <c r="AI531" s="57" t="s">
        <v>2908</v>
      </c>
      <c r="AJ531" s="379">
        <v>0.004</v>
      </c>
      <c r="AK531" s="159" t="s">
        <v>172</v>
      </c>
      <c r="AL531" s="57" t="s">
        <v>186</v>
      </c>
      <c r="AM531" s="68" t="s">
        <v>141</v>
      </c>
      <c r="AN531" s="219" t="s">
        <v>138</v>
      </c>
      <c r="AO531" s="864">
        <v>143.0</v>
      </c>
      <c r="AP531" s="156">
        <v>0.05</v>
      </c>
      <c r="AQ531" s="159" t="s">
        <v>360</v>
      </c>
      <c r="AR531" s="159" t="s">
        <v>2909</v>
      </c>
      <c r="AS531" s="156">
        <v>0.908</v>
      </c>
      <c r="AT531" s="159" t="s">
        <v>172</v>
      </c>
      <c r="AU531" s="159" t="s">
        <v>136</v>
      </c>
      <c r="AV531" s="68" t="s">
        <v>141</v>
      </c>
      <c r="AW531" s="435" t="s">
        <v>2910</v>
      </c>
      <c r="AX531" s="594" t="s">
        <v>143</v>
      </c>
      <c r="AY531" s="61" t="str">
        <f>IFERROR(__xludf.DUMMYFUNCTION("vlookup(BB531,importrange(""https://docs.google.com/spreadsheets/d/1d2vevQ_7D_v35q4wCQ4RpQ_IPoTwEMB9Yp6ymwlPqew/edit?gid=984458430#gid=984458430"", ""'replication success'!A:K""), 11, FAlSE)"),"#N/A")</f>
        <v>#N/A</v>
      </c>
      <c r="AZ531" s="61" t="str">
        <f>IFERROR(__xludf.DUMMYFUNCTION("vlookup(BB531,importrange(""https://docs.google.com/spreadsheets/d/1d2vevQ_7D_v35q4wCQ4RpQ_IPoTwEMB9Yp6ymwlPqew/edit?gid=984458430#gid=984458430"", ""'replication success'!A:M""), 12, FAlSE)"),"#N/A")</f>
        <v>#N/A</v>
      </c>
      <c r="BA531" s="61" t="str">
        <f>IFERROR(__xludf.DUMMYFUNCTION("vlookup(BB531,importrange(""https://docs.google.com/spreadsheets/d/1d2vevQ_7D_v35q4wCQ4RpQ_IPoTwEMB9Yp6ymwlPqew/edit?gid=984458430#gid=984458430"", ""'replication success'!A:M""), 13, FAlSE)"),"#N/A")</f>
        <v>#N/A</v>
      </c>
      <c r="BB531" s="61" t="str">
        <f>IFERROR(__xludf.DUMMYFUNCTION("REGEXREPLACE(G531, ""_[a-z]{1,2}$"", """")"),"additional_studies72")</f>
        <v>additional_studies72</v>
      </c>
      <c r="BC531" s="68"/>
      <c r="BE531" s="71"/>
      <c r="BF531" s="71"/>
      <c r="BG531" s="71"/>
      <c r="BH531" s="71"/>
      <c r="BI531" s="71"/>
      <c r="BJ531" s="71"/>
      <c r="BK531" s="71"/>
      <c r="BL531" s="71"/>
      <c r="BM531" s="71"/>
      <c r="BN531" s="71"/>
      <c r="BO531" s="71"/>
      <c r="BP531" s="71"/>
      <c r="BQ531" s="71"/>
      <c r="BR531" s="71"/>
      <c r="BS531" s="71"/>
      <c r="BT531" s="71"/>
      <c r="BU531" s="71"/>
      <c r="BV531" s="71"/>
      <c r="BW531" s="71"/>
      <c r="BX531" s="71"/>
      <c r="BY531" s="71"/>
      <c r="BZ531" s="71"/>
      <c r="CA531" s="71"/>
      <c r="CB531" s="71"/>
      <c r="CC531" s="71"/>
      <c r="CD531" s="71"/>
      <c r="CE531" s="71"/>
      <c r="CF531" s="71"/>
      <c r="CG531" s="71"/>
      <c r="CH531" s="71"/>
      <c r="CI531" s="71"/>
      <c r="CJ531" s="71"/>
      <c r="CK531" s="71"/>
      <c r="CL531" s="71"/>
      <c r="CM531" s="71"/>
      <c r="CN531" s="71"/>
      <c r="CO531" s="71"/>
      <c r="CP531" s="71"/>
      <c r="CQ531" s="71"/>
      <c r="CR531" s="71"/>
      <c r="CS531" s="71"/>
      <c r="CT531" s="71"/>
      <c r="CU531" s="71"/>
      <c r="CV531" s="71"/>
      <c r="CW531" s="71"/>
      <c r="CX531" s="71"/>
      <c r="CY531" s="71"/>
      <c r="CZ531" s="71"/>
      <c r="DA531" s="71"/>
      <c r="DB531" s="71"/>
      <c r="DC531" s="71"/>
      <c r="DD531" s="71"/>
      <c r="DE531" s="71"/>
      <c r="DF531" s="71"/>
      <c r="DG531" s="71"/>
      <c r="DH531" s="71"/>
      <c r="DI531" s="71"/>
      <c r="DJ531" s="71"/>
      <c r="DK531" s="71"/>
      <c r="DL531" s="71"/>
    </row>
    <row r="532" ht="20.25" customHeight="1">
      <c r="A532" s="44">
        <v>532.0</v>
      </c>
      <c r="B532" s="129" t="s">
        <v>523</v>
      </c>
      <c r="C532" s="62" t="s">
        <v>115</v>
      </c>
      <c r="D532" s="62" t="s">
        <v>1270</v>
      </c>
      <c r="F532" s="46" t="s">
        <v>2894</v>
      </c>
      <c r="G532" s="360" t="s">
        <v>2895</v>
      </c>
      <c r="H532" s="360" t="s">
        <v>2067</v>
      </c>
      <c r="I532" s="344">
        <v>45473.0</v>
      </c>
      <c r="J532" s="344">
        <v>45695.0</v>
      </c>
      <c r="K532" s="360" t="s">
        <v>2920</v>
      </c>
      <c r="L532" s="46"/>
      <c r="M532" s="360" t="s">
        <v>2897</v>
      </c>
      <c r="N532" s="360" t="s">
        <v>2898</v>
      </c>
      <c r="O532" s="46"/>
      <c r="P532" s="159" t="str">
        <f>SUBSTITUTE(LOWER(N532), "/", "--") &amp;  ".pdf"</f>
        <v>10.1017--s0007123421000557.pdf</v>
      </c>
      <c r="Q532" s="52" t="str">
        <f t="array" ref="Q532"> if(iserror(MATCH(V532, 'File Links'!C:C, 0)), "N/A", HYPERLINK(INDEX('File Links'!B:B, MATCH(P532, 'File Links'!C:C, 0))))</f>
        <v>https://drive.google.com/file/d/1YQ1rwTK8fHHydlCOqvw62rr4BQnhJ7v4/view?usp=drivesdk</v>
      </c>
      <c r="R532" s="360" t="s">
        <v>2900</v>
      </c>
      <c r="S532" s="360" t="s">
        <v>2901</v>
      </c>
      <c r="T532" s="46"/>
      <c r="U532" s="46"/>
      <c r="V532" s="198" t="str">
        <f t="shared" si="25"/>
        <v>10.1080--15614263.2023.2185241.pdf</v>
      </c>
      <c r="W532" s="360" t="s">
        <v>209</v>
      </c>
      <c r="X532" s="54" t="str">
        <f t="array" ref="X532"> if(iserror(MATCH(V532, 'File Links'!C:C, 0)), "N/A", HYPERLINK(INDEX('File Links'!B:B, MATCH(V532, 'File Links'!C:C, 0))))</f>
        <v>https://drive.google.com/file/d/15ZlJQ8dYoTyaoh7HgVjWxbumKbhPC9XU/view?usp=drivesdk</v>
      </c>
      <c r="Y532" s="46"/>
      <c r="Z532" s="360" t="s">
        <v>128</v>
      </c>
      <c r="AA532" s="360" t="s">
        <v>2921</v>
      </c>
      <c r="AB532" s="360" t="s">
        <v>2922</v>
      </c>
      <c r="AC532" s="360" t="s">
        <v>2923</v>
      </c>
      <c r="AD532" s="360" t="s">
        <v>2924</v>
      </c>
      <c r="AE532" s="360" t="s">
        <v>2925</v>
      </c>
      <c r="AF532" s="357">
        <v>50.0</v>
      </c>
      <c r="AG532" s="360" t="s">
        <v>2926</v>
      </c>
      <c r="AH532" s="46"/>
      <c r="AI532" s="360" t="s">
        <v>436</v>
      </c>
      <c r="AJ532" s="357">
        <v>0.01</v>
      </c>
      <c r="AK532" s="360" t="s">
        <v>172</v>
      </c>
      <c r="AL532" s="360" t="s">
        <v>186</v>
      </c>
      <c r="AM532" s="46" t="s">
        <v>141</v>
      </c>
      <c r="AN532" s="219" t="s">
        <v>138</v>
      </c>
      <c r="AO532" s="357">
        <v>152.0</v>
      </c>
      <c r="AP532" s="360" t="s">
        <v>2927</v>
      </c>
      <c r="AQ532" s="360" t="s">
        <v>134</v>
      </c>
      <c r="AR532" s="360" t="s">
        <v>2928</v>
      </c>
      <c r="AS532" s="357">
        <v>0.444</v>
      </c>
      <c r="AT532" s="360" t="s">
        <v>172</v>
      </c>
      <c r="AU532" s="360" t="s">
        <v>186</v>
      </c>
      <c r="AV532" s="46" t="s">
        <v>141</v>
      </c>
      <c r="AW532" s="59" t="s">
        <v>2929</v>
      </c>
      <c r="AX532" s="46" t="s">
        <v>151</v>
      </c>
      <c r="AY532" s="61" t="str">
        <f>IFERROR(__xludf.DUMMYFUNCTION("vlookup(BB532,importrange(""https://docs.google.com/spreadsheets/d/1d2vevQ_7D_v35q4wCQ4RpQ_IPoTwEMB9Yp6ymwlPqew/edit?gid=984458430#gid=984458430"", ""'replication success'!A:K""), 11, FAlSE)"),"#N/A")</f>
        <v>#N/A</v>
      </c>
      <c r="AZ532" s="61" t="str">
        <f>IFERROR(__xludf.DUMMYFUNCTION("vlookup(BB532,importrange(""https://docs.google.com/spreadsheets/d/1d2vevQ_7D_v35q4wCQ4RpQ_IPoTwEMB9Yp6ymwlPqew/edit?gid=984458430#gid=984458430"", ""'replication success'!A:M""), 12, FAlSE)"),"#N/A")</f>
        <v>#N/A</v>
      </c>
      <c r="BA532" s="61" t="str">
        <f>IFERROR(__xludf.DUMMYFUNCTION("vlookup(BB532,importrange(""https://docs.google.com/spreadsheets/d/1d2vevQ_7D_v35q4wCQ4RpQ_IPoTwEMB9Yp6ymwlPqew/edit?gid=984458430#gid=984458430"", ""'replication success'!A:M""), 13, FAlSE)"),"#N/A")</f>
        <v>#N/A</v>
      </c>
      <c r="BB532" s="61" t="str">
        <f>IFERROR(__xludf.DUMMYFUNCTION("REGEXREPLACE(G532, ""_[a-z]{1,2}$"", """")"),"additional_studies72")</f>
        <v>additional_studies72</v>
      </c>
      <c r="BE532" s="71"/>
      <c r="BF532" s="71"/>
      <c r="BG532" s="71"/>
      <c r="BH532" s="71"/>
      <c r="BI532" s="71"/>
      <c r="BJ532" s="71"/>
      <c r="BK532" s="71"/>
      <c r="BL532" s="71"/>
      <c r="BM532" s="71"/>
      <c r="BN532" s="71"/>
      <c r="BO532" s="71"/>
      <c r="BP532" s="71"/>
      <c r="BQ532" s="71"/>
      <c r="BR532" s="71"/>
      <c r="BS532" s="71"/>
      <c r="BT532" s="71"/>
      <c r="BU532" s="71"/>
      <c r="BV532" s="71"/>
      <c r="BW532" s="71"/>
      <c r="BX532" s="71"/>
      <c r="BY532" s="71"/>
      <c r="BZ532" s="71"/>
      <c r="CA532" s="71"/>
      <c r="CB532" s="71"/>
      <c r="CC532" s="71"/>
      <c r="CD532" s="71"/>
      <c r="CE532" s="71"/>
      <c r="CF532" s="71"/>
      <c r="CG532" s="71"/>
      <c r="CH532" s="71"/>
      <c r="CI532" s="71"/>
      <c r="CJ532" s="71"/>
      <c r="CK532" s="71"/>
      <c r="CL532" s="71"/>
      <c r="CM532" s="71"/>
      <c r="CN532" s="71"/>
      <c r="CO532" s="71"/>
      <c r="CP532" s="71"/>
      <c r="CQ532" s="71"/>
      <c r="CR532" s="71"/>
      <c r="CS532" s="71"/>
      <c r="CT532" s="71"/>
      <c r="CU532" s="71"/>
      <c r="CV532" s="71"/>
      <c r="CW532" s="71"/>
      <c r="CX532" s="71"/>
      <c r="CY532" s="71"/>
      <c r="CZ532" s="71"/>
      <c r="DA532" s="71"/>
      <c r="DB532" s="71"/>
      <c r="DC532" s="71"/>
      <c r="DD532" s="71"/>
      <c r="DE532" s="71"/>
      <c r="DF532" s="71"/>
      <c r="DG532" s="71"/>
      <c r="DH532" s="71"/>
      <c r="DI532" s="71"/>
      <c r="DJ532" s="71"/>
      <c r="DK532" s="71"/>
      <c r="DL532" s="71"/>
    </row>
    <row r="533" ht="20.25" customHeight="1">
      <c r="A533" s="354">
        <v>533.0</v>
      </c>
      <c r="B533" s="340" t="s">
        <v>152</v>
      </c>
      <c r="C533" s="340" t="s">
        <v>115</v>
      </c>
      <c r="D533" s="340" t="s">
        <v>2930</v>
      </c>
      <c r="E533" s="354"/>
      <c r="F533" s="341" t="s">
        <v>2931</v>
      </c>
      <c r="G533" s="340" t="s">
        <v>2932</v>
      </c>
      <c r="H533" s="340" t="s">
        <v>2933</v>
      </c>
      <c r="I533" s="352">
        <v>45478.0</v>
      </c>
      <c r="J533" s="353">
        <v>45636.0</v>
      </c>
      <c r="K533" s="340" t="s">
        <v>2934</v>
      </c>
      <c r="L533" s="354"/>
      <c r="M533" s="340" t="s">
        <v>2935</v>
      </c>
      <c r="N533" s="340" t="s">
        <v>2936</v>
      </c>
      <c r="O533" s="340">
        <v>1.0</v>
      </c>
      <c r="P533" s="340" t="s">
        <v>2937</v>
      </c>
      <c r="Q533" s="104" t="str">
        <f t="array" ref="Q533"> if(iserror(MATCH(V533, 'File Links'!C:C, 0)), "N/A", HYPERLINK(INDEX('File Links'!B:B, MATCH(P533, 'File Links'!C:C, 0))))</f>
        <v>https://drive.google.com/file/d/1IfVJze_D0VNVGP0qGB9jOH8T88AinA4X/view?usp=drivesdk</v>
      </c>
      <c r="R533" s="340" t="s">
        <v>2938</v>
      </c>
      <c r="S533" s="340" t="s">
        <v>2939</v>
      </c>
      <c r="T533" s="354"/>
      <c r="U533" s="340">
        <v>1.0</v>
      </c>
      <c r="V533" s="360" t="str">
        <f t="shared" si="25"/>
        <v>10.1007--s10834-024-09975-7.pdf</v>
      </c>
      <c r="W533" s="340" t="s">
        <v>209</v>
      </c>
      <c r="X533" s="54" t="str">
        <f t="array" ref="X533"> if(iserror(MATCH(V533, 'File Links'!C:C, 0)), "N/A", HYPERLINK(INDEX('File Links'!B:B, MATCH(V533, 'File Links'!C:C, 0))))</f>
        <v>https://drive.google.com/file/d/1kvzfXjBDZmFTCeJVlsPrywrDLzw17fXw/view?usp=drivesdk</v>
      </c>
      <c r="Y533" s="354"/>
      <c r="Z533" s="340" t="s">
        <v>2940</v>
      </c>
      <c r="AA533" s="865" t="s">
        <v>2941</v>
      </c>
      <c r="AB533" s="340" t="s">
        <v>2942</v>
      </c>
      <c r="AC533" s="340" t="s">
        <v>2943</v>
      </c>
      <c r="AD533" s="340" t="s">
        <v>2944</v>
      </c>
      <c r="AE533" s="340">
        <v>23.0</v>
      </c>
      <c r="AF533" s="340">
        <v>338.0</v>
      </c>
      <c r="AG533" s="340">
        <v>0.273</v>
      </c>
      <c r="AH533" s="340" t="s">
        <v>361</v>
      </c>
      <c r="AI533" s="340" t="s">
        <v>1257</v>
      </c>
      <c r="AJ533" s="340">
        <v>0.02</v>
      </c>
      <c r="AK533" s="341" t="s">
        <v>172</v>
      </c>
      <c r="AL533" s="340" t="s">
        <v>186</v>
      </c>
      <c r="AM533" s="340" t="s">
        <v>141</v>
      </c>
      <c r="AN533" s="355" t="s">
        <v>2945</v>
      </c>
      <c r="AO533" s="340">
        <v>590.0</v>
      </c>
      <c r="AP533" s="340">
        <v>0.014</v>
      </c>
      <c r="AQ533" s="340" t="s">
        <v>361</v>
      </c>
      <c r="AR533" s="340" t="s">
        <v>613</v>
      </c>
      <c r="AS533" s="340" t="s">
        <v>2946</v>
      </c>
      <c r="AT533" s="342"/>
      <c r="AU533" s="341" t="s">
        <v>186</v>
      </c>
      <c r="AV533" s="56" t="s">
        <v>141</v>
      </c>
      <c r="AW533" s="866" t="s">
        <v>138</v>
      </c>
      <c r="AX533" s="341" t="s">
        <v>151</v>
      </c>
      <c r="AY533" s="61" t="str">
        <f>IFERROR(__xludf.DUMMYFUNCTION("vlookup(BB533,importrange(""https://docs.google.com/spreadsheets/d/1d2vevQ_7D_v35q4wCQ4RpQ_IPoTwEMB9Yp6ymwlPqew/edit?gid=984458430#gid=984458430"", ""'replication success'!A:K""), 11, FAlSE)"),"#N/A")</f>
        <v>#N/A</v>
      </c>
      <c r="AZ533" s="61" t="str">
        <f>IFERROR(__xludf.DUMMYFUNCTION("vlookup(BB533,importrange(""https://docs.google.com/spreadsheets/d/1d2vevQ_7D_v35q4wCQ4RpQ_IPoTwEMB9Yp6ymwlPqew/edit?gid=984458430#gid=984458430"", ""'replication success'!A:M""), 12, FAlSE)"),"#N/A")</f>
        <v>#N/A</v>
      </c>
      <c r="BA533" s="61" t="str">
        <f>IFERROR(__xludf.DUMMYFUNCTION("vlookup(BB533,importrange(""https://docs.google.com/spreadsheets/d/1d2vevQ_7D_v35q4wCQ4RpQ_IPoTwEMB9Yp6ymwlPqew/edit?gid=984458430#gid=984458430"", ""'replication success'!A:M""), 13, FAlSE)"),"#N/A")</f>
        <v>#N/A</v>
      </c>
      <c r="BB533" s="61" t="str">
        <f>IFERROR(__xludf.DUMMYFUNCTION("REGEXREPLACE(G533, ""_[a-z]{1,2}$"", """")"),"additional_studies74")</f>
        <v>additional_studies74</v>
      </c>
      <c r="BC533" s="340" t="s">
        <v>2947</v>
      </c>
      <c r="BD533" s="341" t="s">
        <v>692</v>
      </c>
      <c r="BE533" s="342"/>
      <c r="BF533" s="342"/>
      <c r="BG533" s="342"/>
      <c r="BH533" s="342"/>
      <c r="BI533" s="342"/>
      <c r="BJ533" s="342"/>
      <c r="BK533" s="342"/>
      <c r="BL533" s="342"/>
      <c r="BM533" s="342"/>
      <c r="BN533" s="342"/>
      <c r="BO533" s="342"/>
      <c r="BP533" s="342"/>
      <c r="BQ533" s="342"/>
      <c r="BR533" s="342"/>
      <c r="BS533" s="342"/>
      <c r="BT533" s="342"/>
      <c r="BU533" s="342"/>
      <c r="BV533" s="342"/>
      <c r="BW533" s="342"/>
      <c r="BX533" s="342"/>
      <c r="BY533" s="342"/>
      <c r="BZ533" s="342"/>
      <c r="CA533" s="342"/>
      <c r="CB533" s="342"/>
      <c r="CC533" s="342"/>
      <c r="CD533" s="342"/>
      <c r="CE533" s="342"/>
      <c r="CF533" s="342"/>
      <c r="CG533" s="342"/>
      <c r="CH533" s="342"/>
      <c r="CI533" s="342"/>
      <c r="CJ533" s="342"/>
      <c r="CK533" s="342"/>
      <c r="CL533" s="342"/>
      <c r="CM533" s="342"/>
      <c r="CN533" s="342"/>
      <c r="CO533" s="342"/>
      <c r="CP533" s="342"/>
      <c r="CQ533" s="342"/>
      <c r="CR533" s="342"/>
      <c r="CS533" s="342"/>
      <c r="CT533" s="342"/>
      <c r="CU533" s="342"/>
      <c r="CV533" s="342"/>
      <c r="CW533" s="342"/>
      <c r="CX533" s="342"/>
      <c r="CY533" s="342"/>
      <c r="CZ533" s="342"/>
      <c r="DA533" s="342"/>
      <c r="DB533" s="342"/>
      <c r="DC533" s="342"/>
      <c r="DD533" s="342"/>
      <c r="DE533" s="342"/>
      <c r="DF533" s="342"/>
      <c r="DG533" s="342"/>
      <c r="DH533" s="342"/>
      <c r="DI533" s="342"/>
      <c r="DJ533" s="342"/>
      <c r="DK533" s="342"/>
      <c r="DL533" s="342"/>
    </row>
    <row r="534" ht="20.25" customHeight="1">
      <c r="A534" s="354">
        <v>534.0</v>
      </c>
      <c r="B534" s="340" t="s">
        <v>152</v>
      </c>
      <c r="C534" s="340" t="s">
        <v>115</v>
      </c>
      <c r="D534" s="340" t="s">
        <v>2930</v>
      </c>
      <c r="E534" s="354"/>
      <c r="F534" s="341" t="s">
        <v>2931</v>
      </c>
      <c r="G534" s="340" t="s">
        <v>2948</v>
      </c>
      <c r="H534" s="340" t="s">
        <v>2933</v>
      </c>
      <c r="I534" s="352">
        <v>45478.0</v>
      </c>
      <c r="J534" s="353">
        <v>45636.0</v>
      </c>
      <c r="K534" s="340" t="s">
        <v>2949</v>
      </c>
      <c r="L534" s="354"/>
      <c r="M534" s="340" t="s">
        <v>2935</v>
      </c>
      <c r="N534" s="340" t="s">
        <v>2936</v>
      </c>
      <c r="O534" s="340">
        <v>1.0</v>
      </c>
      <c r="P534" s="340" t="s">
        <v>2937</v>
      </c>
      <c r="Q534" s="104" t="str">
        <f t="array" ref="Q534"> if(iserror(MATCH(V534, 'File Links'!C:C, 0)), "N/A", HYPERLINK(INDEX('File Links'!B:B, MATCH(P534, 'File Links'!C:C, 0))))</f>
        <v>https://drive.google.com/file/d/1IfVJze_D0VNVGP0qGB9jOH8T88AinA4X/view?usp=drivesdk</v>
      </c>
      <c r="R534" s="340" t="s">
        <v>2938</v>
      </c>
      <c r="S534" s="340" t="s">
        <v>2939</v>
      </c>
      <c r="T534" s="354"/>
      <c r="U534" s="340">
        <v>1.0</v>
      </c>
      <c r="V534" s="360" t="str">
        <f t="shared" si="25"/>
        <v>10.1007--s10834-024-09975-7.pdf</v>
      </c>
      <c r="W534" s="340" t="s">
        <v>209</v>
      </c>
      <c r="X534" s="54" t="str">
        <f t="array" ref="X534"> if(iserror(MATCH(V534, 'File Links'!C:C, 0)), "N/A", HYPERLINK(INDEX('File Links'!B:B, MATCH(V534, 'File Links'!C:C, 0))))</f>
        <v>https://drive.google.com/file/d/1kvzfXjBDZmFTCeJVlsPrywrDLzw17fXw/view?usp=drivesdk</v>
      </c>
      <c r="Y534" s="354"/>
      <c r="Z534" s="340" t="s">
        <v>2940</v>
      </c>
      <c r="AA534" s="865" t="s">
        <v>2950</v>
      </c>
      <c r="AB534" s="340" t="s">
        <v>2942</v>
      </c>
      <c r="AC534" s="340" t="s">
        <v>2951</v>
      </c>
      <c r="AD534" s="340" t="s">
        <v>2952</v>
      </c>
      <c r="AE534" s="340">
        <v>23.0</v>
      </c>
      <c r="AF534" s="340">
        <v>358.0</v>
      </c>
      <c r="AG534" s="340">
        <v>0.292</v>
      </c>
      <c r="AH534" s="340" t="s">
        <v>361</v>
      </c>
      <c r="AI534" s="340" t="s">
        <v>1257</v>
      </c>
      <c r="AJ534" s="340">
        <v>0.02</v>
      </c>
      <c r="AK534" s="341" t="s">
        <v>172</v>
      </c>
      <c r="AL534" s="340" t="s">
        <v>186</v>
      </c>
      <c r="AM534" s="340" t="s">
        <v>141</v>
      </c>
      <c r="AN534" s="355" t="s">
        <v>2945</v>
      </c>
      <c r="AO534" s="340">
        <v>590.0</v>
      </c>
      <c r="AP534" s="340">
        <v>0.076</v>
      </c>
      <c r="AQ534" s="340" t="s">
        <v>361</v>
      </c>
      <c r="AR534" s="340" t="s">
        <v>613</v>
      </c>
      <c r="AS534" s="340" t="s">
        <v>2946</v>
      </c>
      <c r="AT534" s="342"/>
      <c r="AU534" s="341" t="s">
        <v>186</v>
      </c>
      <c r="AV534" s="56" t="s">
        <v>141</v>
      </c>
      <c r="AW534" s="866" t="s">
        <v>138</v>
      </c>
      <c r="AX534" s="341" t="s">
        <v>151</v>
      </c>
      <c r="AY534" s="61" t="str">
        <f>IFERROR(__xludf.DUMMYFUNCTION("vlookup(BB534,importrange(""https://docs.google.com/spreadsheets/d/1d2vevQ_7D_v35q4wCQ4RpQ_IPoTwEMB9Yp6ymwlPqew/edit?gid=984458430#gid=984458430"", ""'replication success'!A:K""), 11, FAlSE)"),"#N/A")</f>
        <v>#N/A</v>
      </c>
      <c r="AZ534" s="61" t="str">
        <f>IFERROR(__xludf.DUMMYFUNCTION("vlookup(BB534,importrange(""https://docs.google.com/spreadsheets/d/1d2vevQ_7D_v35q4wCQ4RpQ_IPoTwEMB9Yp6ymwlPqew/edit?gid=984458430#gid=984458430"", ""'replication success'!A:M""), 12, FAlSE)"),"#N/A")</f>
        <v>#N/A</v>
      </c>
      <c r="BA534" s="61" t="str">
        <f>IFERROR(__xludf.DUMMYFUNCTION("vlookup(BB534,importrange(""https://docs.google.com/spreadsheets/d/1d2vevQ_7D_v35q4wCQ4RpQ_IPoTwEMB9Yp6ymwlPqew/edit?gid=984458430#gid=984458430"", ""'replication success'!A:M""), 13, FAlSE)"),"#N/A")</f>
        <v>#N/A</v>
      </c>
      <c r="BB534" s="61" t="str">
        <f>IFERROR(__xludf.DUMMYFUNCTION("REGEXREPLACE(G534, ""_[a-z]{1,2}$"", """")"),"additional_studies74")</f>
        <v>additional_studies74</v>
      </c>
      <c r="BC534" s="340" t="s">
        <v>2947</v>
      </c>
      <c r="BD534" s="341" t="s">
        <v>692</v>
      </c>
      <c r="BE534" s="342"/>
      <c r="BF534" s="342"/>
      <c r="BG534" s="342"/>
      <c r="BH534" s="342"/>
      <c r="BI534" s="342"/>
      <c r="BJ534" s="342"/>
      <c r="BK534" s="342"/>
      <c r="BL534" s="342"/>
      <c r="BM534" s="342"/>
      <c r="BN534" s="342"/>
      <c r="BO534" s="342"/>
      <c r="BP534" s="342"/>
      <c r="BQ534" s="342"/>
      <c r="BR534" s="342"/>
      <c r="BS534" s="342"/>
      <c r="BT534" s="342"/>
      <c r="BU534" s="342"/>
      <c r="BV534" s="342"/>
      <c r="BW534" s="342"/>
      <c r="BX534" s="342"/>
      <c r="BY534" s="342"/>
      <c r="BZ534" s="342"/>
      <c r="CA534" s="342"/>
      <c r="CB534" s="342"/>
      <c r="CC534" s="342"/>
      <c r="CD534" s="342"/>
      <c r="CE534" s="342"/>
      <c r="CF534" s="342"/>
      <c r="CG534" s="342"/>
      <c r="CH534" s="342"/>
      <c r="CI534" s="342"/>
      <c r="CJ534" s="342"/>
      <c r="CK534" s="342"/>
      <c r="CL534" s="342"/>
      <c r="CM534" s="342"/>
      <c r="CN534" s="342"/>
      <c r="CO534" s="342"/>
      <c r="CP534" s="342"/>
      <c r="CQ534" s="342"/>
      <c r="CR534" s="342"/>
      <c r="CS534" s="342"/>
      <c r="CT534" s="342"/>
      <c r="CU534" s="342"/>
      <c r="CV534" s="342"/>
      <c r="CW534" s="342"/>
      <c r="CX534" s="342"/>
      <c r="CY534" s="342"/>
      <c r="CZ534" s="342"/>
      <c r="DA534" s="342"/>
      <c r="DB534" s="342"/>
      <c r="DC534" s="342"/>
      <c r="DD534" s="342"/>
      <c r="DE534" s="342"/>
      <c r="DF534" s="342"/>
      <c r="DG534" s="342"/>
      <c r="DH534" s="342"/>
      <c r="DI534" s="342"/>
      <c r="DJ534" s="342"/>
      <c r="DK534" s="342"/>
      <c r="DL534" s="342"/>
    </row>
    <row r="535" ht="20.25" customHeight="1">
      <c r="A535" s="354">
        <v>535.0</v>
      </c>
      <c r="B535" s="340" t="s">
        <v>152</v>
      </c>
      <c r="C535" s="340" t="s">
        <v>115</v>
      </c>
      <c r="D535" s="340" t="s">
        <v>2930</v>
      </c>
      <c r="E535" s="354"/>
      <c r="F535" s="341" t="s">
        <v>2931</v>
      </c>
      <c r="G535" s="340" t="s">
        <v>2953</v>
      </c>
      <c r="H535" s="340" t="s">
        <v>2933</v>
      </c>
      <c r="I535" s="352">
        <v>45478.0</v>
      </c>
      <c r="J535" s="353">
        <v>45636.0</v>
      </c>
      <c r="K535" s="340" t="s">
        <v>2954</v>
      </c>
      <c r="L535" s="354"/>
      <c r="M535" s="340" t="s">
        <v>2935</v>
      </c>
      <c r="N535" s="340" t="s">
        <v>2936</v>
      </c>
      <c r="O535" s="340">
        <v>1.0</v>
      </c>
      <c r="P535" s="340" t="s">
        <v>2937</v>
      </c>
      <c r="Q535" s="104" t="str">
        <f t="array" ref="Q535"> if(iserror(MATCH(V535, 'File Links'!C:C, 0)), "N/A", HYPERLINK(INDEX('File Links'!B:B, MATCH(P535, 'File Links'!C:C, 0))))</f>
        <v>https://drive.google.com/file/d/1IfVJze_D0VNVGP0qGB9jOH8T88AinA4X/view?usp=drivesdk</v>
      </c>
      <c r="R535" s="340" t="s">
        <v>2938</v>
      </c>
      <c r="S535" s="340" t="s">
        <v>2939</v>
      </c>
      <c r="T535" s="354"/>
      <c r="U535" s="340">
        <v>1.0</v>
      </c>
      <c r="V535" s="360" t="str">
        <f t="shared" si="25"/>
        <v>10.1007--s10834-024-09975-7.pdf</v>
      </c>
      <c r="W535" s="340" t="s">
        <v>209</v>
      </c>
      <c r="X535" s="54" t="str">
        <f t="array" ref="X535"> if(iserror(MATCH(V535, 'File Links'!C:C, 0)), "N/A", HYPERLINK(INDEX('File Links'!B:B, MATCH(V535, 'File Links'!C:C, 0))))</f>
        <v>https://drive.google.com/file/d/1kvzfXjBDZmFTCeJVlsPrywrDLzw17fXw/view?usp=drivesdk</v>
      </c>
      <c r="Y535" s="354"/>
      <c r="Z535" s="340" t="s">
        <v>2940</v>
      </c>
      <c r="AA535" s="865" t="s">
        <v>2950</v>
      </c>
      <c r="AB535" s="340" t="s">
        <v>2942</v>
      </c>
      <c r="AC535" s="340" t="s">
        <v>2955</v>
      </c>
      <c r="AD535" s="340" t="s">
        <v>2956</v>
      </c>
      <c r="AE535" s="340">
        <v>23.0</v>
      </c>
      <c r="AF535" s="340">
        <v>318.0</v>
      </c>
      <c r="AG535" s="340">
        <v>0.269</v>
      </c>
      <c r="AH535" s="340" t="s">
        <v>361</v>
      </c>
      <c r="AI535" s="340" t="s">
        <v>1257</v>
      </c>
      <c r="AJ535" s="340">
        <v>0.026</v>
      </c>
      <c r="AK535" s="341" t="s">
        <v>172</v>
      </c>
      <c r="AL535" s="340" t="s">
        <v>186</v>
      </c>
      <c r="AM535" s="340" t="s">
        <v>141</v>
      </c>
      <c r="AN535" s="355" t="s">
        <v>2945</v>
      </c>
      <c r="AO535" s="340">
        <v>590.0</v>
      </c>
      <c r="AP535" s="340">
        <v>-0.254</v>
      </c>
      <c r="AQ535" s="340" t="s">
        <v>361</v>
      </c>
      <c r="AR535" s="340" t="s">
        <v>613</v>
      </c>
      <c r="AS535" s="340">
        <v>0.1</v>
      </c>
      <c r="AT535" s="341" t="s">
        <v>135</v>
      </c>
      <c r="AU535" s="341" t="s">
        <v>186</v>
      </c>
      <c r="AV535" s="56" t="s">
        <v>141</v>
      </c>
      <c r="AW535" s="866" t="s">
        <v>138</v>
      </c>
      <c r="AX535" s="341" t="s">
        <v>151</v>
      </c>
      <c r="AY535" s="61" t="str">
        <f>IFERROR(__xludf.DUMMYFUNCTION("vlookup(BB535,importrange(""https://docs.google.com/spreadsheets/d/1d2vevQ_7D_v35q4wCQ4RpQ_IPoTwEMB9Yp6ymwlPqew/edit?gid=984458430#gid=984458430"", ""'replication success'!A:K""), 11, FAlSE)"),"#N/A")</f>
        <v>#N/A</v>
      </c>
      <c r="AZ535" s="61" t="str">
        <f>IFERROR(__xludf.DUMMYFUNCTION("vlookup(BB535,importrange(""https://docs.google.com/spreadsheets/d/1d2vevQ_7D_v35q4wCQ4RpQ_IPoTwEMB9Yp6ymwlPqew/edit?gid=984458430#gid=984458430"", ""'replication success'!A:M""), 12, FAlSE)"),"#N/A")</f>
        <v>#N/A</v>
      </c>
      <c r="BA535" s="61" t="str">
        <f>IFERROR(__xludf.DUMMYFUNCTION("vlookup(BB535,importrange(""https://docs.google.com/spreadsheets/d/1d2vevQ_7D_v35q4wCQ4RpQ_IPoTwEMB9Yp6ymwlPqew/edit?gid=984458430#gid=984458430"", ""'replication success'!A:M""), 13, FAlSE)"),"#N/A")</f>
        <v>#N/A</v>
      </c>
      <c r="BB535" s="61" t="str">
        <f>IFERROR(__xludf.DUMMYFUNCTION("REGEXREPLACE(G535, ""_[a-z]{1,2}$"", """")"),"additional_studies74")</f>
        <v>additional_studies74</v>
      </c>
      <c r="BC535" s="340" t="s">
        <v>2947</v>
      </c>
      <c r="BD535" s="341" t="s">
        <v>692</v>
      </c>
      <c r="BE535" s="342"/>
      <c r="BF535" s="342"/>
      <c r="BG535" s="342"/>
      <c r="BH535" s="342"/>
      <c r="BI535" s="342"/>
      <c r="BJ535" s="342"/>
      <c r="BK535" s="342"/>
      <c r="BL535" s="342"/>
      <c r="BM535" s="342"/>
      <c r="BN535" s="342"/>
      <c r="BO535" s="342"/>
      <c r="BP535" s="342"/>
      <c r="BQ535" s="342"/>
      <c r="BR535" s="342"/>
      <c r="BS535" s="342"/>
      <c r="BT535" s="342"/>
      <c r="BU535" s="342"/>
      <c r="BV535" s="342"/>
      <c r="BW535" s="342"/>
      <c r="BX535" s="342"/>
      <c r="BY535" s="342"/>
      <c r="BZ535" s="342"/>
      <c r="CA535" s="342"/>
      <c r="CB535" s="342"/>
      <c r="CC535" s="342"/>
      <c r="CD535" s="342"/>
      <c r="CE535" s="342"/>
      <c r="CF535" s="342"/>
      <c r="CG535" s="342"/>
      <c r="CH535" s="342"/>
      <c r="CI535" s="342"/>
      <c r="CJ535" s="342"/>
      <c r="CK535" s="342"/>
      <c r="CL535" s="342"/>
      <c r="CM535" s="342"/>
      <c r="CN535" s="342"/>
      <c r="CO535" s="342"/>
      <c r="CP535" s="342"/>
      <c r="CQ535" s="342"/>
      <c r="CR535" s="342"/>
      <c r="CS535" s="342"/>
      <c r="CT535" s="342"/>
      <c r="CU535" s="342"/>
      <c r="CV535" s="342"/>
      <c r="CW535" s="342"/>
      <c r="CX535" s="342"/>
      <c r="CY535" s="342"/>
      <c r="CZ535" s="342"/>
      <c r="DA535" s="342"/>
      <c r="DB535" s="342"/>
      <c r="DC535" s="342"/>
      <c r="DD535" s="342"/>
      <c r="DE535" s="342"/>
      <c r="DF535" s="342"/>
      <c r="DG535" s="342"/>
      <c r="DH535" s="342"/>
      <c r="DI535" s="342"/>
      <c r="DJ535" s="342"/>
      <c r="DK535" s="342"/>
      <c r="DL535" s="342"/>
    </row>
    <row r="536" ht="20.25" customHeight="1">
      <c r="A536" s="354">
        <v>536.0</v>
      </c>
      <c r="B536" s="340" t="s">
        <v>114</v>
      </c>
      <c r="C536" s="341" t="s">
        <v>115</v>
      </c>
      <c r="D536" s="341" t="s">
        <v>2957</v>
      </c>
      <c r="E536" s="342"/>
      <c r="F536" s="360" t="s">
        <v>2958</v>
      </c>
      <c r="G536" s="47" t="s">
        <v>2959</v>
      </c>
      <c r="H536" s="360" t="s">
        <v>2960</v>
      </c>
      <c r="I536" s="344">
        <v>45478.0</v>
      </c>
      <c r="J536" s="344">
        <v>45663.0</v>
      </c>
      <c r="K536" s="360" t="s">
        <v>2961</v>
      </c>
      <c r="L536" s="46"/>
      <c r="M536" s="360" t="s">
        <v>2935</v>
      </c>
      <c r="N536" s="360" t="s">
        <v>2936</v>
      </c>
      <c r="O536" s="46"/>
      <c r="P536" s="360" t="s">
        <v>2937</v>
      </c>
      <c r="Q536" s="104" t="str">
        <f t="array" ref="Q536"> if(iserror(MATCH(V536, 'File Links'!C:C, 0)), "N/A", HYPERLINK(INDEX('File Links'!B:B, MATCH(P536, 'File Links'!C:C, 0))))</f>
        <v>https://drive.google.com/file/d/1IfVJze_D0VNVGP0qGB9jOH8T88AinA4X/view?usp=drivesdk</v>
      </c>
      <c r="R536" s="360" t="s">
        <v>2938</v>
      </c>
      <c r="S536" s="360" t="s">
        <v>2939</v>
      </c>
      <c r="T536" s="46"/>
      <c r="U536" s="500">
        <v>1.0</v>
      </c>
      <c r="V536" s="360" t="str">
        <f t="shared" si="25"/>
        <v>10.1007--s10834-024-09975-7.pdf</v>
      </c>
      <c r="W536" s="360" t="s">
        <v>2962</v>
      </c>
      <c r="X536" s="54" t="str">
        <f t="array" ref="X536"> if(iserror(MATCH(V536, 'File Links'!C:C, 0)), "N/A", HYPERLINK(INDEX('File Links'!B:B, MATCH(V536, 'File Links'!C:C, 0))))</f>
        <v>https://drive.google.com/file/d/1kvzfXjBDZmFTCeJVlsPrywrDLzw17fXw/view?usp=drivesdk</v>
      </c>
      <c r="Y536" s="342"/>
      <c r="Z536" s="360" t="s">
        <v>226</v>
      </c>
      <c r="AA536" s="867" t="s">
        <v>2963</v>
      </c>
      <c r="AB536" s="46" t="s">
        <v>2964</v>
      </c>
      <c r="AC536" s="360" t="s">
        <v>2965</v>
      </c>
      <c r="AD536" s="360" t="s">
        <v>2966</v>
      </c>
      <c r="AE536" s="357">
        <v>23.0</v>
      </c>
      <c r="AF536" s="357">
        <v>272.0</v>
      </c>
      <c r="AG536" s="385">
        <v>0.273</v>
      </c>
      <c r="AH536" s="360" t="s">
        <v>987</v>
      </c>
      <c r="AI536" s="360" t="s">
        <v>2967</v>
      </c>
      <c r="AJ536" s="386">
        <v>0.053</v>
      </c>
      <c r="AK536" s="47" t="s">
        <v>172</v>
      </c>
      <c r="AL536" s="47" t="s">
        <v>186</v>
      </c>
      <c r="AM536" s="46" t="s">
        <v>141</v>
      </c>
      <c r="AN536" s="56" t="s">
        <v>138</v>
      </c>
      <c r="AO536" s="357">
        <v>590.0</v>
      </c>
      <c r="AP536" s="357">
        <v>0.012</v>
      </c>
      <c r="AQ536" s="360" t="s">
        <v>987</v>
      </c>
      <c r="AR536" s="360" t="s">
        <v>2968</v>
      </c>
      <c r="AS536" s="360" t="s">
        <v>2382</v>
      </c>
      <c r="AT536" s="46"/>
      <c r="AU536" s="360" t="s">
        <v>186</v>
      </c>
      <c r="AV536" s="46" t="s">
        <v>141</v>
      </c>
      <c r="AW536" s="866" t="s">
        <v>138</v>
      </c>
      <c r="AX536" s="46" t="s">
        <v>438</v>
      </c>
      <c r="AY536" s="61" t="str">
        <f>IFERROR(__xludf.DUMMYFUNCTION("vlookup(BB536,importrange(""https://docs.google.com/spreadsheets/d/1d2vevQ_7D_v35q4wCQ4RpQ_IPoTwEMB9Yp6ymwlPqew/edit?gid=984458430#gid=984458430"", ""'replication success'!A:K""), 11, FAlSE)"),"#N/A")</f>
        <v>#N/A</v>
      </c>
      <c r="AZ536" s="61" t="str">
        <f>IFERROR(__xludf.DUMMYFUNCTION("vlookup(BB536,importrange(""https://docs.google.com/spreadsheets/d/1d2vevQ_7D_v35q4wCQ4RpQ_IPoTwEMB9Yp6ymwlPqew/edit?gid=984458430#gid=984458430"", ""'replication success'!A:M""), 12, FAlSE)"),"#N/A")</f>
        <v>#N/A</v>
      </c>
      <c r="BA536" s="61" t="str">
        <f>IFERROR(__xludf.DUMMYFUNCTION("vlookup(BB536,importrange(""https://docs.google.com/spreadsheets/d/1d2vevQ_7D_v35q4wCQ4RpQ_IPoTwEMB9Yp6ymwlPqew/edit?gid=984458430#gid=984458430"", ""'replication success'!A:M""), 13, FAlSE)"),"#N/A")</f>
        <v>#N/A</v>
      </c>
      <c r="BB536" s="61" t="str">
        <f>IFERROR(__xludf.DUMMYFUNCTION("REGEXREPLACE(G536, ""_[a-z]{1,2}$"", """")"),"additional_studies74")</f>
        <v>additional_studies74</v>
      </c>
      <c r="BC536" s="340" t="s">
        <v>2947</v>
      </c>
      <c r="BD536" s="341" t="s">
        <v>692</v>
      </c>
      <c r="BE536" s="342"/>
      <c r="BF536" s="342"/>
      <c r="BG536" s="342"/>
      <c r="BH536" s="342"/>
      <c r="BI536" s="342"/>
      <c r="BJ536" s="342"/>
      <c r="BK536" s="342"/>
      <c r="BL536" s="342"/>
      <c r="BM536" s="342"/>
      <c r="BN536" s="342"/>
      <c r="BO536" s="342"/>
      <c r="BP536" s="342"/>
      <c r="BQ536" s="342"/>
      <c r="BR536" s="342"/>
      <c r="BS536" s="342"/>
      <c r="BT536" s="342"/>
      <c r="BU536" s="342"/>
      <c r="BV536" s="342"/>
      <c r="BW536" s="342"/>
      <c r="BX536" s="342"/>
      <c r="BY536" s="342"/>
      <c r="BZ536" s="342"/>
      <c r="CA536" s="342"/>
      <c r="CB536" s="342"/>
      <c r="CC536" s="342"/>
      <c r="CD536" s="342"/>
      <c r="CE536" s="342"/>
      <c r="CF536" s="342"/>
      <c r="CG536" s="342"/>
      <c r="CH536" s="342"/>
      <c r="CI536" s="342"/>
      <c r="CJ536" s="342"/>
      <c r="CK536" s="342"/>
      <c r="CL536" s="342"/>
      <c r="CM536" s="342"/>
      <c r="CN536" s="342"/>
      <c r="CO536" s="342"/>
      <c r="CP536" s="342"/>
      <c r="CQ536" s="342"/>
      <c r="CR536" s="342"/>
      <c r="CS536" s="342"/>
      <c r="CT536" s="342"/>
      <c r="CU536" s="342"/>
      <c r="CV536" s="342"/>
      <c r="CW536" s="342"/>
      <c r="CX536" s="342"/>
      <c r="CY536" s="342"/>
      <c r="CZ536" s="342"/>
      <c r="DA536" s="342"/>
      <c r="DB536" s="342"/>
      <c r="DC536" s="342"/>
      <c r="DD536" s="342"/>
      <c r="DE536" s="342"/>
      <c r="DF536" s="342"/>
      <c r="DG536" s="342"/>
      <c r="DH536" s="342"/>
      <c r="DI536" s="342"/>
      <c r="DJ536" s="342"/>
      <c r="DK536" s="342"/>
      <c r="DL536" s="342"/>
    </row>
    <row r="537" ht="20.25" customHeight="1">
      <c r="A537" s="354">
        <v>537.0</v>
      </c>
      <c r="B537" s="340" t="s">
        <v>114</v>
      </c>
      <c r="C537" s="341" t="s">
        <v>115</v>
      </c>
      <c r="D537" s="341" t="s">
        <v>2957</v>
      </c>
      <c r="E537" s="342"/>
      <c r="F537" s="360" t="s">
        <v>2969</v>
      </c>
      <c r="G537" s="47" t="s">
        <v>2959</v>
      </c>
      <c r="H537" s="360" t="s">
        <v>2960</v>
      </c>
      <c r="I537" s="344">
        <v>45478.0</v>
      </c>
      <c r="J537" s="344">
        <v>45663.0</v>
      </c>
      <c r="K537" s="46"/>
      <c r="L537" s="46"/>
      <c r="M537" s="360" t="s">
        <v>2970</v>
      </c>
      <c r="N537" s="360" t="s">
        <v>2971</v>
      </c>
      <c r="O537" s="46"/>
      <c r="P537" s="360" t="s">
        <v>2937</v>
      </c>
      <c r="Q537" s="104" t="str">
        <f t="array" ref="Q537"> if(iserror(MATCH(V537, 'File Links'!C:C, 0)), "N/A", HYPERLINK(INDEX('File Links'!B:B, MATCH(P537, 'File Links'!C:C, 0))))</f>
        <v>https://drive.google.com/file/d/1IfVJze_D0VNVGP0qGB9jOH8T88AinA4X/view?usp=drivesdk</v>
      </c>
      <c r="R537" s="360" t="s">
        <v>2972</v>
      </c>
      <c r="S537" s="360" t="s">
        <v>2939</v>
      </c>
      <c r="T537" s="46"/>
      <c r="U537" s="500">
        <v>1.0</v>
      </c>
      <c r="V537" s="360" t="str">
        <f t="shared" si="25"/>
        <v>10.1007--s10834-024-09975-7.pdf</v>
      </c>
      <c r="W537" s="360" t="s">
        <v>2962</v>
      </c>
      <c r="X537" s="54" t="str">
        <f t="array" ref="X537"> if(iserror(MATCH(V537, 'File Links'!C:C, 0)), "N/A", HYPERLINK(INDEX('File Links'!B:B, MATCH(V537, 'File Links'!C:C, 0))))</f>
        <v>https://drive.google.com/file/d/1kvzfXjBDZmFTCeJVlsPrywrDLzw17fXw/view?usp=drivesdk</v>
      </c>
      <c r="Y537" s="342"/>
      <c r="Z537" s="360" t="s">
        <v>226</v>
      </c>
      <c r="AA537" s="867" t="s">
        <v>2963</v>
      </c>
      <c r="AB537" s="46" t="s">
        <v>2964</v>
      </c>
      <c r="AC537" s="360" t="s">
        <v>2973</v>
      </c>
      <c r="AD537" s="360" t="s">
        <v>2974</v>
      </c>
      <c r="AE537" s="357">
        <v>23.0</v>
      </c>
      <c r="AF537" s="357">
        <v>358.0</v>
      </c>
      <c r="AG537" s="385">
        <v>0.292</v>
      </c>
      <c r="AH537" s="360" t="s">
        <v>987</v>
      </c>
      <c r="AI537" s="360" t="s">
        <v>2975</v>
      </c>
      <c r="AJ537" s="386">
        <v>0.012</v>
      </c>
      <c r="AK537" s="47" t="s">
        <v>172</v>
      </c>
      <c r="AL537" s="47" t="s">
        <v>186</v>
      </c>
      <c r="AM537" s="46" t="s">
        <v>141</v>
      </c>
      <c r="AN537" s="56" t="s">
        <v>138</v>
      </c>
      <c r="AO537" s="357">
        <v>590.0</v>
      </c>
      <c r="AP537" s="357">
        <v>0.062</v>
      </c>
      <c r="AQ537" s="360" t="s">
        <v>987</v>
      </c>
      <c r="AR537" s="360" t="s">
        <v>2968</v>
      </c>
      <c r="AS537" s="360" t="s">
        <v>2382</v>
      </c>
      <c r="AT537" s="46"/>
      <c r="AU537" s="360" t="s">
        <v>186</v>
      </c>
      <c r="AV537" s="46" t="s">
        <v>141</v>
      </c>
      <c r="AW537" s="866" t="s">
        <v>138</v>
      </c>
      <c r="AX537" s="46" t="s">
        <v>438</v>
      </c>
      <c r="AY537" s="61" t="str">
        <f>IFERROR(__xludf.DUMMYFUNCTION("vlookup(BB537,importrange(""https://docs.google.com/spreadsheets/d/1d2vevQ_7D_v35q4wCQ4RpQ_IPoTwEMB9Yp6ymwlPqew/edit?gid=984458430#gid=984458430"", ""'replication success'!A:K""), 11, FAlSE)"),"#N/A")</f>
        <v>#N/A</v>
      </c>
      <c r="AZ537" s="61" t="str">
        <f>IFERROR(__xludf.DUMMYFUNCTION("vlookup(BB537,importrange(""https://docs.google.com/spreadsheets/d/1d2vevQ_7D_v35q4wCQ4RpQ_IPoTwEMB9Yp6ymwlPqew/edit?gid=984458430#gid=984458430"", ""'replication success'!A:M""), 12, FAlSE)"),"#N/A")</f>
        <v>#N/A</v>
      </c>
      <c r="BA537" s="61" t="str">
        <f>IFERROR(__xludf.DUMMYFUNCTION("vlookup(BB537,importrange(""https://docs.google.com/spreadsheets/d/1d2vevQ_7D_v35q4wCQ4RpQ_IPoTwEMB9Yp6ymwlPqew/edit?gid=984458430#gid=984458430"", ""'replication success'!A:M""), 13, FAlSE)"),"#N/A")</f>
        <v>#N/A</v>
      </c>
      <c r="BB537" s="61" t="str">
        <f>IFERROR(__xludf.DUMMYFUNCTION("REGEXREPLACE(G537, ""_[a-z]{1,2}$"", """")"),"additional_studies74")</f>
        <v>additional_studies74</v>
      </c>
      <c r="BC537" s="340" t="s">
        <v>2947</v>
      </c>
      <c r="BD537" s="341" t="s">
        <v>692</v>
      </c>
      <c r="BE537" s="342"/>
      <c r="BF537" s="342"/>
      <c r="BG537" s="342"/>
      <c r="BH537" s="342"/>
      <c r="BI537" s="342"/>
      <c r="BJ537" s="342"/>
      <c r="BK537" s="342"/>
      <c r="BL537" s="342"/>
      <c r="BM537" s="342"/>
      <c r="BN537" s="342"/>
      <c r="BO537" s="342"/>
      <c r="BP537" s="342"/>
      <c r="BQ537" s="342"/>
      <c r="BR537" s="342"/>
      <c r="BS537" s="342"/>
      <c r="BT537" s="342"/>
      <c r="BU537" s="342"/>
      <c r="BV537" s="342"/>
      <c r="BW537" s="342"/>
      <c r="BX537" s="342"/>
      <c r="BY537" s="342"/>
      <c r="BZ537" s="342"/>
      <c r="CA537" s="342"/>
      <c r="CB537" s="342"/>
      <c r="CC537" s="342"/>
      <c r="CD537" s="342"/>
      <c r="CE537" s="342"/>
      <c r="CF537" s="342"/>
      <c r="CG537" s="342"/>
      <c r="CH537" s="342"/>
      <c r="CI537" s="342"/>
      <c r="CJ537" s="342"/>
      <c r="CK537" s="342"/>
      <c r="CL537" s="342"/>
      <c r="CM537" s="342"/>
      <c r="CN537" s="342"/>
      <c r="CO537" s="342"/>
      <c r="CP537" s="342"/>
      <c r="CQ537" s="342"/>
      <c r="CR537" s="342"/>
      <c r="CS537" s="342"/>
      <c r="CT537" s="342"/>
      <c r="CU537" s="342"/>
      <c r="CV537" s="342"/>
      <c r="CW537" s="342"/>
      <c r="CX537" s="342"/>
      <c r="CY537" s="342"/>
      <c r="CZ537" s="342"/>
      <c r="DA537" s="342"/>
      <c r="DB537" s="342"/>
      <c r="DC537" s="342"/>
      <c r="DD537" s="342"/>
      <c r="DE537" s="342"/>
      <c r="DF537" s="342"/>
      <c r="DG537" s="342"/>
      <c r="DH537" s="342"/>
      <c r="DI537" s="342"/>
      <c r="DJ537" s="342"/>
      <c r="DK537" s="342"/>
      <c r="DL537" s="342"/>
    </row>
    <row r="538" ht="20.25" customHeight="1">
      <c r="A538" s="354">
        <v>538.0</v>
      </c>
      <c r="B538" s="340" t="s">
        <v>114</v>
      </c>
      <c r="C538" s="341" t="s">
        <v>115</v>
      </c>
      <c r="D538" s="341" t="s">
        <v>2957</v>
      </c>
      <c r="E538" s="342"/>
      <c r="F538" s="360" t="s">
        <v>2976</v>
      </c>
      <c r="G538" s="47" t="s">
        <v>2959</v>
      </c>
      <c r="H538" s="360" t="s">
        <v>2960</v>
      </c>
      <c r="I538" s="344">
        <v>45478.0</v>
      </c>
      <c r="J538" s="344">
        <v>45663.0</v>
      </c>
      <c r="K538" s="46"/>
      <c r="L538" s="46"/>
      <c r="M538" s="868" t="s">
        <v>2977</v>
      </c>
      <c r="N538" s="360" t="s">
        <v>2978</v>
      </c>
      <c r="O538" s="46"/>
      <c r="P538" s="360" t="s">
        <v>2937</v>
      </c>
      <c r="Q538" s="104" t="str">
        <f t="array" ref="Q538"> if(iserror(MATCH(V538, 'File Links'!C:C, 0)), "N/A", HYPERLINK(INDEX('File Links'!B:B, MATCH(P538, 'File Links'!C:C, 0))))</f>
        <v>https://drive.google.com/file/d/1IfVJze_D0VNVGP0qGB9jOH8T88AinA4X/view?usp=drivesdk</v>
      </c>
      <c r="R538" s="868" t="s">
        <v>2979</v>
      </c>
      <c r="S538" s="360" t="s">
        <v>2939</v>
      </c>
      <c r="T538" s="46"/>
      <c r="U538" s="500">
        <v>1.0</v>
      </c>
      <c r="V538" s="360" t="str">
        <f t="shared" si="25"/>
        <v>10.1007--s10834-024-09975-7.pdf</v>
      </c>
      <c r="W538" s="360" t="s">
        <v>2962</v>
      </c>
      <c r="X538" s="54" t="str">
        <f t="array" ref="X538"> if(iserror(MATCH(V538, 'File Links'!C:C, 0)), "N/A", HYPERLINK(INDEX('File Links'!B:B, MATCH(V538, 'File Links'!C:C, 0))))</f>
        <v>https://drive.google.com/file/d/1kvzfXjBDZmFTCeJVlsPrywrDLzw17fXw/view?usp=drivesdk</v>
      </c>
      <c r="Y538" s="342"/>
      <c r="Z538" s="360" t="s">
        <v>226</v>
      </c>
      <c r="AA538" s="867" t="s">
        <v>2963</v>
      </c>
      <c r="AB538" s="46" t="s">
        <v>2964</v>
      </c>
      <c r="AC538" s="360" t="s">
        <v>2980</v>
      </c>
      <c r="AD538" s="360" t="s">
        <v>2981</v>
      </c>
      <c r="AE538" s="357">
        <v>23.0</v>
      </c>
      <c r="AF538" s="357">
        <v>318.0</v>
      </c>
      <c r="AG538" s="357">
        <v>0.269</v>
      </c>
      <c r="AH538" s="360" t="s">
        <v>987</v>
      </c>
      <c r="AI538" s="360" t="s">
        <v>2982</v>
      </c>
      <c r="AJ538" s="53">
        <v>0.037</v>
      </c>
      <c r="AK538" s="47" t="s">
        <v>172</v>
      </c>
      <c r="AL538" s="47" t="s">
        <v>186</v>
      </c>
      <c r="AM538" s="46" t="s">
        <v>141</v>
      </c>
      <c r="AN538" s="56" t="s">
        <v>138</v>
      </c>
      <c r="AO538" s="357">
        <v>590.0</v>
      </c>
      <c r="AP538" s="357">
        <v>0.124</v>
      </c>
      <c r="AQ538" s="360" t="s">
        <v>987</v>
      </c>
      <c r="AR538" s="360" t="s">
        <v>2968</v>
      </c>
      <c r="AS538" s="357">
        <v>0.1</v>
      </c>
      <c r="AT538" s="360" t="s">
        <v>135</v>
      </c>
      <c r="AU538" s="360" t="s">
        <v>186</v>
      </c>
      <c r="AV538" s="46" t="s">
        <v>141</v>
      </c>
      <c r="AW538" s="866" t="s">
        <v>138</v>
      </c>
      <c r="AX538" s="46" t="s">
        <v>438</v>
      </c>
      <c r="AY538" s="61" t="str">
        <f>IFERROR(__xludf.DUMMYFUNCTION("vlookup(BB538,importrange(""https://docs.google.com/spreadsheets/d/1d2vevQ_7D_v35q4wCQ4RpQ_IPoTwEMB9Yp6ymwlPqew/edit?gid=984458430#gid=984458430"", ""'replication success'!A:K""), 11, FAlSE)"),"#N/A")</f>
        <v>#N/A</v>
      </c>
      <c r="AZ538" s="61" t="str">
        <f>IFERROR(__xludf.DUMMYFUNCTION("vlookup(BB538,importrange(""https://docs.google.com/spreadsheets/d/1d2vevQ_7D_v35q4wCQ4RpQ_IPoTwEMB9Yp6ymwlPqew/edit?gid=984458430#gid=984458430"", ""'replication success'!A:M""), 12, FAlSE)"),"#N/A")</f>
        <v>#N/A</v>
      </c>
      <c r="BA538" s="61" t="str">
        <f>IFERROR(__xludf.DUMMYFUNCTION("vlookup(BB538,importrange(""https://docs.google.com/spreadsheets/d/1d2vevQ_7D_v35q4wCQ4RpQ_IPoTwEMB9Yp6ymwlPqew/edit?gid=984458430#gid=984458430"", ""'replication success'!A:M""), 13, FAlSE)"),"#N/A")</f>
        <v>#N/A</v>
      </c>
      <c r="BB538" s="61" t="str">
        <f>IFERROR(__xludf.DUMMYFUNCTION("REGEXREPLACE(G538, ""_[a-z]{1,2}$"", """")"),"additional_studies74")</f>
        <v>additional_studies74</v>
      </c>
      <c r="BC538" s="340" t="s">
        <v>2947</v>
      </c>
      <c r="BD538" s="341" t="s">
        <v>692</v>
      </c>
      <c r="BE538" s="342"/>
      <c r="BF538" s="342"/>
      <c r="BG538" s="342"/>
      <c r="BH538" s="342"/>
      <c r="BI538" s="342"/>
      <c r="BJ538" s="342"/>
      <c r="BK538" s="342"/>
      <c r="BL538" s="342"/>
      <c r="BM538" s="342"/>
      <c r="BN538" s="342"/>
      <c r="BO538" s="342"/>
      <c r="BP538" s="342"/>
      <c r="BQ538" s="342"/>
      <c r="BR538" s="342"/>
      <c r="BS538" s="342"/>
      <c r="BT538" s="342"/>
      <c r="BU538" s="342"/>
      <c r="BV538" s="342"/>
      <c r="BW538" s="342"/>
      <c r="BX538" s="342"/>
      <c r="BY538" s="342"/>
      <c r="BZ538" s="342"/>
      <c r="CA538" s="342"/>
      <c r="CB538" s="342"/>
      <c r="CC538" s="342"/>
      <c r="CD538" s="342"/>
      <c r="CE538" s="342"/>
      <c r="CF538" s="342"/>
      <c r="CG538" s="342"/>
      <c r="CH538" s="342"/>
      <c r="CI538" s="342"/>
      <c r="CJ538" s="342"/>
      <c r="CK538" s="342"/>
      <c r="CL538" s="342"/>
      <c r="CM538" s="342"/>
      <c r="CN538" s="342"/>
      <c r="CO538" s="342"/>
      <c r="CP538" s="342"/>
      <c r="CQ538" s="342"/>
      <c r="CR538" s="342"/>
      <c r="CS538" s="342"/>
      <c r="CT538" s="342"/>
      <c r="CU538" s="342"/>
      <c r="CV538" s="342"/>
      <c r="CW538" s="342"/>
      <c r="CX538" s="342"/>
      <c r="CY538" s="342"/>
      <c r="CZ538" s="342"/>
      <c r="DA538" s="342"/>
      <c r="DB538" s="342"/>
      <c r="DC538" s="342"/>
      <c r="DD538" s="342"/>
      <c r="DE538" s="342"/>
      <c r="DF538" s="342"/>
      <c r="DG538" s="342"/>
      <c r="DH538" s="342"/>
      <c r="DI538" s="342"/>
      <c r="DJ538" s="342"/>
      <c r="DK538" s="342"/>
      <c r="DL538" s="342"/>
    </row>
    <row r="539" ht="20.25" customHeight="1">
      <c r="A539" s="354">
        <v>539.0</v>
      </c>
      <c r="B539" s="340" t="s">
        <v>114</v>
      </c>
      <c r="C539" s="341" t="s">
        <v>115</v>
      </c>
      <c r="D539" s="341" t="s">
        <v>2957</v>
      </c>
      <c r="E539" s="342"/>
      <c r="F539" s="360" t="s">
        <v>2983</v>
      </c>
      <c r="G539" s="47" t="s">
        <v>2959</v>
      </c>
      <c r="H539" s="360" t="s">
        <v>2960</v>
      </c>
      <c r="I539" s="344">
        <v>45478.0</v>
      </c>
      <c r="J539" s="344">
        <v>45663.0</v>
      </c>
      <c r="K539" s="46"/>
      <c r="L539" s="46"/>
      <c r="M539" s="360" t="s">
        <v>2984</v>
      </c>
      <c r="N539" s="360" t="s">
        <v>2985</v>
      </c>
      <c r="O539" s="46"/>
      <c r="P539" s="360" t="s">
        <v>2937</v>
      </c>
      <c r="Q539" s="104" t="str">
        <f t="array" ref="Q539"> if(iserror(MATCH(V539, 'File Links'!C:C, 0)), "N/A", HYPERLINK(INDEX('File Links'!B:B, MATCH(P539, 'File Links'!C:C, 0))))</f>
        <v>https://drive.google.com/file/d/1IfVJze_D0VNVGP0qGB9jOH8T88AinA4X/view?usp=drivesdk</v>
      </c>
      <c r="R539" s="360" t="s">
        <v>2986</v>
      </c>
      <c r="S539" s="360" t="s">
        <v>2939</v>
      </c>
      <c r="T539" s="46"/>
      <c r="U539" s="46"/>
      <c r="V539" s="360" t="str">
        <f t="shared" si="25"/>
        <v>10.1007--s10834-024-09975-7.pdf</v>
      </c>
      <c r="W539" s="360" t="s">
        <v>2962</v>
      </c>
      <c r="X539" s="54" t="str">
        <f t="array" ref="X539"> if(iserror(MATCH(V539, 'File Links'!C:C, 0)), "N/A", HYPERLINK(INDEX('File Links'!B:B, MATCH(V539, 'File Links'!C:C, 0))))</f>
        <v>https://drive.google.com/file/d/1kvzfXjBDZmFTCeJVlsPrywrDLzw17fXw/view?usp=drivesdk</v>
      </c>
      <c r="Y539" s="342"/>
      <c r="Z539" s="360" t="s">
        <v>226</v>
      </c>
      <c r="AA539" s="867" t="s">
        <v>2963</v>
      </c>
      <c r="AB539" s="46" t="s">
        <v>2964</v>
      </c>
      <c r="AC539" s="360" t="s">
        <v>2987</v>
      </c>
      <c r="AD539" s="360" t="s">
        <v>2988</v>
      </c>
      <c r="AE539" s="357">
        <v>24.0</v>
      </c>
      <c r="AF539" s="357">
        <v>346.0</v>
      </c>
      <c r="AG539" s="385">
        <v>0.309</v>
      </c>
      <c r="AH539" s="360" t="s">
        <v>987</v>
      </c>
      <c r="AI539" s="360" t="s">
        <v>2989</v>
      </c>
      <c r="AJ539" s="386">
        <v>0.003</v>
      </c>
      <c r="AK539" s="47" t="s">
        <v>172</v>
      </c>
      <c r="AL539" s="47" t="s">
        <v>186</v>
      </c>
      <c r="AM539" s="46" t="s">
        <v>141</v>
      </c>
      <c r="AN539" s="56" t="s">
        <v>138</v>
      </c>
      <c r="AO539" s="357">
        <v>571.0</v>
      </c>
      <c r="AP539" s="357">
        <v>0.034</v>
      </c>
      <c r="AQ539" s="360" t="s">
        <v>987</v>
      </c>
      <c r="AR539" s="360" t="s">
        <v>2968</v>
      </c>
      <c r="AS539" s="360" t="s">
        <v>2382</v>
      </c>
      <c r="AT539" s="46"/>
      <c r="AU539" s="360" t="s">
        <v>186</v>
      </c>
      <c r="AV539" s="46" t="s">
        <v>141</v>
      </c>
      <c r="AW539" s="866" t="s">
        <v>138</v>
      </c>
      <c r="AX539" s="46" t="s">
        <v>438</v>
      </c>
      <c r="AY539" s="61" t="str">
        <f>IFERROR(__xludf.DUMMYFUNCTION("vlookup(BB539,importrange(""https://docs.google.com/spreadsheets/d/1d2vevQ_7D_v35q4wCQ4RpQ_IPoTwEMB9Yp6ymwlPqew/edit?gid=984458430#gid=984458430"", ""'replication success'!A:K""), 11, FAlSE)"),"#N/A")</f>
        <v>#N/A</v>
      </c>
      <c r="AZ539" s="61" t="str">
        <f>IFERROR(__xludf.DUMMYFUNCTION("vlookup(BB539,importrange(""https://docs.google.com/spreadsheets/d/1d2vevQ_7D_v35q4wCQ4RpQ_IPoTwEMB9Yp6ymwlPqew/edit?gid=984458430#gid=984458430"", ""'replication success'!A:M""), 12, FAlSE)"),"#N/A")</f>
        <v>#N/A</v>
      </c>
      <c r="BA539" s="61" t="str">
        <f>IFERROR(__xludf.DUMMYFUNCTION("vlookup(BB539,importrange(""https://docs.google.com/spreadsheets/d/1d2vevQ_7D_v35q4wCQ4RpQ_IPoTwEMB9Yp6ymwlPqew/edit?gid=984458430#gid=984458430"", ""'replication success'!A:M""), 13, FAlSE)"),"#N/A")</f>
        <v>#N/A</v>
      </c>
      <c r="BB539" s="61" t="str">
        <f>IFERROR(__xludf.DUMMYFUNCTION("REGEXREPLACE(G539, ""_[a-z]{1,2}$"", """")"),"additional_studies74")</f>
        <v>additional_studies74</v>
      </c>
      <c r="BC539" s="340" t="s">
        <v>2947</v>
      </c>
      <c r="BD539" s="341" t="s">
        <v>692</v>
      </c>
      <c r="BE539" s="342"/>
      <c r="BF539" s="342"/>
      <c r="BG539" s="342"/>
      <c r="BH539" s="342"/>
      <c r="BI539" s="342"/>
      <c r="BJ539" s="342"/>
      <c r="BK539" s="342"/>
      <c r="BL539" s="342"/>
      <c r="BM539" s="342"/>
      <c r="BN539" s="342"/>
      <c r="BO539" s="342"/>
      <c r="BP539" s="342"/>
      <c r="BQ539" s="342"/>
      <c r="BR539" s="342"/>
      <c r="BS539" s="342"/>
      <c r="BT539" s="342"/>
      <c r="BU539" s="342"/>
      <c r="BV539" s="342"/>
      <c r="BW539" s="342"/>
      <c r="BX539" s="342"/>
      <c r="BY539" s="342"/>
      <c r="BZ539" s="342"/>
      <c r="CA539" s="342"/>
      <c r="CB539" s="342"/>
      <c r="CC539" s="342"/>
      <c r="CD539" s="342"/>
      <c r="CE539" s="342"/>
      <c r="CF539" s="342"/>
      <c r="CG539" s="342"/>
      <c r="CH539" s="342"/>
      <c r="CI539" s="342"/>
      <c r="CJ539" s="342"/>
      <c r="CK539" s="342"/>
      <c r="CL539" s="342"/>
      <c r="CM539" s="342"/>
      <c r="CN539" s="342"/>
      <c r="CO539" s="342"/>
      <c r="CP539" s="342"/>
      <c r="CQ539" s="342"/>
      <c r="CR539" s="342"/>
      <c r="CS539" s="342"/>
      <c r="CT539" s="342"/>
      <c r="CU539" s="342"/>
      <c r="CV539" s="342"/>
      <c r="CW539" s="342"/>
      <c r="CX539" s="342"/>
      <c r="CY539" s="342"/>
      <c r="CZ539" s="342"/>
      <c r="DA539" s="342"/>
      <c r="DB539" s="342"/>
      <c r="DC539" s="342"/>
      <c r="DD539" s="342"/>
      <c r="DE539" s="342"/>
      <c r="DF539" s="342"/>
      <c r="DG539" s="342"/>
      <c r="DH539" s="342"/>
      <c r="DI539" s="342"/>
      <c r="DJ539" s="342"/>
      <c r="DK539" s="342"/>
      <c r="DL539" s="342"/>
    </row>
    <row r="540" ht="20.25" customHeight="1">
      <c r="A540" s="354">
        <v>540.0</v>
      </c>
      <c r="B540" s="340" t="s">
        <v>114</v>
      </c>
      <c r="C540" s="341" t="s">
        <v>115</v>
      </c>
      <c r="D540" s="341" t="s">
        <v>2957</v>
      </c>
      <c r="E540" s="342"/>
      <c r="F540" s="360" t="s">
        <v>2990</v>
      </c>
      <c r="G540" s="47" t="s">
        <v>2959</v>
      </c>
      <c r="H540" s="360" t="s">
        <v>2960</v>
      </c>
      <c r="I540" s="344">
        <v>45478.0</v>
      </c>
      <c r="J540" s="344">
        <v>45663.0</v>
      </c>
      <c r="K540" s="46"/>
      <c r="L540" s="46"/>
      <c r="M540" s="360" t="s">
        <v>2991</v>
      </c>
      <c r="N540" s="360" t="s">
        <v>2992</v>
      </c>
      <c r="O540" s="46"/>
      <c r="P540" s="360" t="s">
        <v>2937</v>
      </c>
      <c r="Q540" s="104" t="str">
        <f t="array" ref="Q540"> if(iserror(MATCH(V540, 'File Links'!C:C, 0)), "N/A", HYPERLINK(INDEX('File Links'!B:B, MATCH(P540, 'File Links'!C:C, 0))))</f>
        <v>https://drive.google.com/file/d/1IfVJze_D0VNVGP0qGB9jOH8T88AinA4X/view?usp=drivesdk</v>
      </c>
      <c r="R540" s="360" t="s">
        <v>2993</v>
      </c>
      <c r="S540" s="360" t="s">
        <v>2939</v>
      </c>
      <c r="T540" s="46"/>
      <c r="U540" s="46"/>
      <c r="V540" s="360" t="str">
        <f t="shared" si="25"/>
        <v>10.1007--s10834-024-09975-7.pdf</v>
      </c>
      <c r="W540" s="360" t="s">
        <v>2962</v>
      </c>
      <c r="X540" s="54" t="str">
        <f t="array" ref="X540"> if(iserror(MATCH(V540, 'File Links'!C:C, 0)), "N/A", HYPERLINK(INDEX('File Links'!B:B, MATCH(V540, 'File Links'!C:C, 0))))</f>
        <v>https://drive.google.com/file/d/1kvzfXjBDZmFTCeJVlsPrywrDLzw17fXw/view?usp=drivesdk</v>
      </c>
      <c r="Y540" s="342"/>
      <c r="Z540" s="360" t="s">
        <v>226</v>
      </c>
      <c r="AA540" s="867" t="s">
        <v>2963</v>
      </c>
      <c r="AB540" s="46" t="s">
        <v>2964</v>
      </c>
      <c r="AC540" s="360" t="s">
        <v>2994</v>
      </c>
      <c r="AD540" s="360" t="s">
        <v>2995</v>
      </c>
      <c r="AE540" s="357">
        <v>24.0</v>
      </c>
      <c r="AF540" s="357">
        <v>260.0</v>
      </c>
      <c r="AG540" s="385">
        <v>0.06</v>
      </c>
      <c r="AH540" s="360" t="s">
        <v>987</v>
      </c>
      <c r="AI540" s="360" t="s">
        <v>2996</v>
      </c>
      <c r="AJ540" s="386">
        <v>0.702</v>
      </c>
      <c r="AK540" s="47" t="s">
        <v>172</v>
      </c>
      <c r="AL540" s="47" t="s">
        <v>186</v>
      </c>
      <c r="AM540" s="46" t="s">
        <v>141</v>
      </c>
      <c r="AN540" s="56" t="s">
        <v>138</v>
      </c>
      <c r="AO540" s="357">
        <v>588.0</v>
      </c>
      <c r="AP540" s="357">
        <v>-0.075</v>
      </c>
      <c r="AQ540" s="360" t="s">
        <v>987</v>
      </c>
      <c r="AR540" s="360" t="s">
        <v>2968</v>
      </c>
      <c r="AS540" s="360" t="s">
        <v>2382</v>
      </c>
      <c r="AT540" s="46"/>
      <c r="AU540" s="360" t="s">
        <v>186</v>
      </c>
      <c r="AV540" s="46" t="s">
        <v>141</v>
      </c>
      <c r="AW540" s="866" t="s">
        <v>138</v>
      </c>
      <c r="AX540" s="46" t="s">
        <v>438</v>
      </c>
      <c r="AY540" s="61" t="str">
        <f>IFERROR(__xludf.DUMMYFUNCTION("vlookup(BB540,importrange(""https://docs.google.com/spreadsheets/d/1d2vevQ_7D_v35q4wCQ4RpQ_IPoTwEMB9Yp6ymwlPqew/edit?gid=984458430#gid=984458430"", ""'replication success'!A:K""), 11, FAlSE)"),"#N/A")</f>
        <v>#N/A</v>
      </c>
      <c r="AZ540" s="61" t="str">
        <f>IFERROR(__xludf.DUMMYFUNCTION("vlookup(BB540,importrange(""https://docs.google.com/spreadsheets/d/1d2vevQ_7D_v35q4wCQ4RpQ_IPoTwEMB9Yp6ymwlPqew/edit?gid=984458430#gid=984458430"", ""'replication success'!A:M""), 12, FAlSE)"),"#N/A")</f>
        <v>#N/A</v>
      </c>
      <c r="BA540" s="61" t="str">
        <f>IFERROR(__xludf.DUMMYFUNCTION("vlookup(BB540,importrange(""https://docs.google.com/spreadsheets/d/1d2vevQ_7D_v35q4wCQ4RpQ_IPoTwEMB9Yp6ymwlPqew/edit?gid=984458430#gid=984458430"", ""'replication success'!A:M""), 13, FAlSE)"),"#N/A")</f>
        <v>#N/A</v>
      </c>
      <c r="BB540" s="61" t="str">
        <f>IFERROR(__xludf.DUMMYFUNCTION("REGEXREPLACE(G540, ""_[a-z]{1,2}$"", """")"),"additional_studies74")</f>
        <v>additional_studies74</v>
      </c>
      <c r="BC540" s="340" t="s">
        <v>2947</v>
      </c>
      <c r="BD540" s="341" t="s">
        <v>692</v>
      </c>
      <c r="BE540" s="342"/>
      <c r="BF540" s="342"/>
      <c r="BG540" s="342"/>
      <c r="BH540" s="342"/>
      <c r="BI540" s="342"/>
      <c r="BJ540" s="342"/>
      <c r="BK540" s="342"/>
      <c r="BL540" s="342"/>
      <c r="BM540" s="342"/>
      <c r="BN540" s="342"/>
      <c r="BO540" s="342"/>
      <c r="BP540" s="342"/>
      <c r="BQ540" s="342"/>
      <c r="BR540" s="342"/>
      <c r="BS540" s="342"/>
      <c r="BT540" s="342"/>
      <c r="BU540" s="342"/>
      <c r="BV540" s="342"/>
      <c r="BW540" s="342"/>
      <c r="BX540" s="342"/>
      <c r="BY540" s="342"/>
      <c r="BZ540" s="342"/>
      <c r="CA540" s="342"/>
      <c r="CB540" s="342"/>
      <c r="CC540" s="342"/>
      <c r="CD540" s="342"/>
      <c r="CE540" s="342"/>
      <c r="CF540" s="342"/>
      <c r="CG540" s="342"/>
      <c r="CH540" s="342"/>
      <c r="CI540" s="342"/>
      <c r="CJ540" s="342"/>
      <c r="CK540" s="342"/>
      <c r="CL540" s="342"/>
      <c r="CM540" s="342"/>
      <c r="CN540" s="342"/>
      <c r="CO540" s="342"/>
      <c r="CP540" s="342"/>
      <c r="CQ540" s="342"/>
      <c r="CR540" s="342"/>
      <c r="CS540" s="342"/>
      <c r="CT540" s="342"/>
      <c r="CU540" s="342"/>
      <c r="CV540" s="342"/>
      <c r="CW540" s="342"/>
      <c r="CX540" s="342"/>
      <c r="CY540" s="342"/>
      <c r="CZ540" s="342"/>
      <c r="DA540" s="342"/>
      <c r="DB540" s="342"/>
      <c r="DC540" s="342"/>
      <c r="DD540" s="342"/>
      <c r="DE540" s="342"/>
      <c r="DF540" s="342"/>
      <c r="DG540" s="342"/>
      <c r="DH540" s="342"/>
      <c r="DI540" s="342"/>
      <c r="DJ540" s="342"/>
      <c r="DK540" s="342"/>
      <c r="DL540" s="342"/>
    </row>
    <row r="541" ht="20.25" customHeight="1">
      <c r="A541" s="354">
        <v>541.0</v>
      </c>
      <c r="B541" s="340" t="s">
        <v>114</v>
      </c>
      <c r="C541" s="341" t="s">
        <v>115</v>
      </c>
      <c r="D541" s="341" t="s">
        <v>2957</v>
      </c>
      <c r="E541" s="342"/>
      <c r="F541" s="360" t="s">
        <v>2997</v>
      </c>
      <c r="G541" s="47" t="s">
        <v>2959</v>
      </c>
      <c r="H541" s="360" t="s">
        <v>2960</v>
      </c>
      <c r="I541" s="344">
        <v>45478.0</v>
      </c>
      <c r="J541" s="344">
        <v>45663.0</v>
      </c>
      <c r="K541" s="360" t="s">
        <v>2998</v>
      </c>
      <c r="L541" s="46"/>
      <c r="M541" s="360" t="s">
        <v>2999</v>
      </c>
      <c r="N541" s="360" t="s">
        <v>3000</v>
      </c>
      <c r="O541" s="46"/>
      <c r="P541" s="360" t="s">
        <v>2937</v>
      </c>
      <c r="Q541" s="104" t="str">
        <f t="array" ref="Q541"> if(iserror(MATCH(V541, 'File Links'!C:C, 0)), "N/A", HYPERLINK(INDEX('File Links'!B:B, MATCH(P541, 'File Links'!C:C, 0))))</f>
        <v>https://drive.google.com/file/d/1IfVJze_D0VNVGP0qGB9jOH8T88AinA4X/view?usp=drivesdk</v>
      </c>
      <c r="R541" s="360" t="s">
        <v>3001</v>
      </c>
      <c r="S541" s="360" t="s">
        <v>2939</v>
      </c>
      <c r="T541" s="46"/>
      <c r="U541" s="46"/>
      <c r="V541" s="360" t="str">
        <f t="shared" si="25"/>
        <v>10.1007--s10834-024-09975-7.pdf</v>
      </c>
      <c r="W541" s="360" t="s">
        <v>2962</v>
      </c>
      <c r="X541" s="54" t="str">
        <f t="array" ref="X541"> if(iserror(MATCH(V541, 'File Links'!C:C, 0)), "N/A", HYPERLINK(INDEX('File Links'!B:B, MATCH(V541, 'File Links'!C:C, 0))))</f>
        <v>https://drive.google.com/file/d/1kvzfXjBDZmFTCeJVlsPrywrDLzw17fXw/view?usp=drivesdk</v>
      </c>
      <c r="Y541" s="342"/>
      <c r="Z541" s="360" t="s">
        <v>226</v>
      </c>
      <c r="AA541" s="867" t="s">
        <v>2963</v>
      </c>
      <c r="AB541" s="46" t="s">
        <v>2964</v>
      </c>
      <c r="AC541" s="360" t="s">
        <v>3002</v>
      </c>
      <c r="AD541" s="360" t="s">
        <v>3003</v>
      </c>
      <c r="AE541" s="357">
        <v>25.0</v>
      </c>
      <c r="AF541" s="357">
        <v>332.0</v>
      </c>
      <c r="AG541" s="385">
        <v>0.324</v>
      </c>
      <c r="AH541" s="360" t="s">
        <v>987</v>
      </c>
      <c r="AI541" s="360" t="s">
        <v>3004</v>
      </c>
      <c r="AJ541" s="386">
        <v>0.05</v>
      </c>
      <c r="AK541" s="47" t="s">
        <v>135</v>
      </c>
      <c r="AL541" s="47" t="s">
        <v>186</v>
      </c>
      <c r="AM541" s="46" t="s">
        <v>137</v>
      </c>
      <c r="AN541" s="56" t="s">
        <v>138</v>
      </c>
      <c r="AO541" s="46"/>
      <c r="AP541" s="357">
        <v>0.029</v>
      </c>
      <c r="AQ541" s="360" t="s">
        <v>987</v>
      </c>
      <c r="AR541" s="360" t="s">
        <v>2968</v>
      </c>
      <c r="AS541" s="360" t="s">
        <v>2382</v>
      </c>
      <c r="AT541" s="46"/>
      <c r="AU541" s="360" t="s">
        <v>186</v>
      </c>
      <c r="AV541" s="46" t="s">
        <v>137</v>
      </c>
      <c r="AW541" s="866" t="s">
        <v>138</v>
      </c>
      <c r="AX541" s="46" t="s">
        <v>438</v>
      </c>
      <c r="AY541" s="61" t="str">
        <f>IFERROR(__xludf.DUMMYFUNCTION("vlookup(BB541,importrange(""https://docs.google.com/spreadsheets/d/1d2vevQ_7D_v35q4wCQ4RpQ_IPoTwEMB9Yp6ymwlPqew/edit?gid=984458430#gid=984458430"", ""'replication success'!A:K""), 11, FAlSE)"),"#N/A")</f>
        <v>#N/A</v>
      </c>
      <c r="AZ541" s="61" t="str">
        <f>IFERROR(__xludf.DUMMYFUNCTION("vlookup(BB541,importrange(""https://docs.google.com/spreadsheets/d/1d2vevQ_7D_v35q4wCQ4RpQ_IPoTwEMB9Yp6ymwlPqew/edit?gid=984458430#gid=984458430"", ""'replication success'!A:M""), 12, FAlSE)"),"#N/A")</f>
        <v>#N/A</v>
      </c>
      <c r="BA541" s="61" t="str">
        <f>IFERROR(__xludf.DUMMYFUNCTION("vlookup(BB541,importrange(""https://docs.google.com/spreadsheets/d/1d2vevQ_7D_v35q4wCQ4RpQ_IPoTwEMB9Yp6ymwlPqew/edit?gid=984458430#gid=984458430"", ""'replication success'!A:M""), 13, FAlSE)"),"#N/A")</f>
        <v>#N/A</v>
      </c>
      <c r="BB541" s="61" t="str">
        <f>IFERROR(__xludf.DUMMYFUNCTION("REGEXREPLACE(G541, ""_[a-z]{1,2}$"", """")"),"additional_studies74")</f>
        <v>additional_studies74</v>
      </c>
      <c r="BC541" s="340" t="s">
        <v>2947</v>
      </c>
      <c r="BD541" s="341" t="s">
        <v>692</v>
      </c>
      <c r="BE541" s="342"/>
      <c r="BF541" s="342"/>
      <c r="BG541" s="342"/>
      <c r="BH541" s="342"/>
      <c r="BI541" s="342"/>
      <c r="BJ541" s="342"/>
      <c r="BK541" s="342"/>
      <c r="BL541" s="342"/>
      <c r="BM541" s="342"/>
      <c r="BN541" s="342"/>
      <c r="BO541" s="342"/>
      <c r="BP541" s="342"/>
      <c r="BQ541" s="342"/>
      <c r="BR541" s="342"/>
      <c r="BS541" s="342"/>
      <c r="BT541" s="342"/>
      <c r="BU541" s="342"/>
      <c r="BV541" s="342"/>
      <c r="BW541" s="342"/>
      <c r="BX541" s="342"/>
      <c r="BY541" s="342"/>
      <c r="BZ541" s="342"/>
      <c r="CA541" s="342"/>
      <c r="CB541" s="342"/>
      <c r="CC541" s="342"/>
      <c r="CD541" s="342"/>
      <c r="CE541" s="342"/>
      <c r="CF541" s="342"/>
      <c r="CG541" s="342"/>
      <c r="CH541" s="342"/>
      <c r="CI541" s="342"/>
      <c r="CJ541" s="342"/>
      <c r="CK541" s="342"/>
      <c r="CL541" s="342"/>
      <c r="CM541" s="342"/>
      <c r="CN541" s="342"/>
      <c r="CO541" s="342"/>
      <c r="CP541" s="342"/>
      <c r="CQ541" s="342"/>
      <c r="CR541" s="342"/>
      <c r="CS541" s="342"/>
      <c r="CT541" s="342"/>
      <c r="CU541" s="342"/>
      <c r="CV541" s="342"/>
      <c r="CW541" s="342"/>
      <c r="CX541" s="342"/>
      <c r="CY541" s="342"/>
      <c r="CZ541" s="342"/>
      <c r="DA541" s="342"/>
      <c r="DB541" s="342"/>
      <c r="DC541" s="342"/>
      <c r="DD541" s="342"/>
      <c r="DE541" s="342"/>
      <c r="DF541" s="342"/>
      <c r="DG541" s="342"/>
      <c r="DH541" s="342"/>
      <c r="DI541" s="342"/>
      <c r="DJ541" s="342"/>
      <c r="DK541" s="342"/>
      <c r="DL541" s="342"/>
    </row>
    <row r="542" ht="20.25" customHeight="1">
      <c r="A542" s="354">
        <v>542.0</v>
      </c>
      <c r="B542" s="340" t="s">
        <v>114</v>
      </c>
      <c r="C542" s="341" t="s">
        <v>115</v>
      </c>
      <c r="D542" s="341" t="s">
        <v>2957</v>
      </c>
      <c r="E542" s="342"/>
      <c r="F542" s="360" t="s">
        <v>3005</v>
      </c>
      <c r="G542" s="47" t="s">
        <v>2959</v>
      </c>
      <c r="H542" s="360" t="s">
        <v>2960</v>
      </c>
      <c r="I542" s="344">
        <v>45478.0</v>
      </c>
      <c r="J542" s="344">
        <v>45663.0</v>
      </c>
      <c r="K542" s="360" t="s">
        <v>2998</v>
      </c>
      <c r="L542" s="46"/>
      <c r="M542" s="360" t="s">
        <v>3006</v>
      </c>
      <c r="N542" s="360" t="s">
        <v>3007</v>
      </c>
      <c r="O542" s="46"/>
      <c r="P542" s="360" t="s">
        <v>2937</v>
      </c>
      <c r="Q542" s="104" t="str">
        <f t="array" ref="Q542"> if(iserror(MATCH(V542, 'File Links'!C:C, 0)), "N/A", HYPERLINK(INDEX('File Links'!B:B, MATCH(P542, 'File Links'!C:C, 0))))</f>
        <v>https://drive.google.com/file/d/1IfVJze_D0VNVGP0qGB9jOH8T88AinA4X/view?usp=drivesdk</v>
      </c>
      <c r="R542" s="360" t="s">
        <v>3008</v>
      </c>
      <c r="S542" s="360" t="s">
        <v>2939</v>
      </c>
      <c r="T542" s="46"/>
      <c r="U542" s="46"/>
      <c r="V542" s="360" t="str">
        <f t="shared" si="25"/>
        <v>10.1007--s10834-024-09975-7.pdf</v>
      </c>
      <c r="W542" s="360" t="s">
        <v>2962</v>
      </c>
      <c r="X542" s="54" t="str">
        <f t="array" ref="X542"> if(iserror(MATCH(V542, 'File Links'!C:C, 0)), "N/A", HYPERLINK(INDEX('File Links'!B:B, MATCH(V542, 'File Links'!C:C, 0))))</f>
        <v>https://drive.google.com/file/d/1kvzfXjBDZmFTCeJVlsPrywrDLzw17fXw/view?usp=drivesdk</v>
      </c>
      <c r="Y542" s="342"/>
      <c r="Z542" s="360" t="s">
        <v>226</v>
      </c>
      <c r="AA542" s="867" t="s">
        <v>2963</v>
      </c>
      <c r="AB542" s="46" t="s">
        <v>2964</v>
      </c>
      <c r="AC542" s="360" t="s">
        <v>3009</v>
      </c>
      <c r="AD542" s="360" t="s">
        <v>3003</v>
      </c>
      <c r="AE542" s="357">
        <v>25.0</v>
      </c>
      <c r="AF542" s="385">
        <v>332.0</v>
      </c>
      <c r="AG542" s="357">
        <v>-0.058</v>
      </c>
      <c r="AH542" s="360" t="s">
        <v>987</v>
      </c>
      <c r="AI542" s="360" t="s">
        <v>3010</v>
      </c>
      <c r="AJ542" s="51" t="s">
        <v>2382</v>
      </c>
      <c r="AK542" s="49"/>
      <c r="AL542" s="47" t="s">
        <v>186</v>
      </c>
      <c r="AM542" s="46" t="s">
        <v>137</v>
      </c>
      <c r="AN542" s="56" t="s">
        <v>138</v>
      </c>
      <c r="AO542" s="46"/>
      <c r="AP542" s="357">
        <v>-0.032</v>
      </c>
      <c r="AQ542" s="360" t="s">
        <v>987</v>
      </c>
      <c r="AR542" s="360" t="s">
        <v>2968</v>
      </c>
      <c r="AS542" s="360" t="s">
        <v>2382</v>
      </c>
      <c r="AT542" s="46"/>
      <c r="AU542" s="360" t="s">
        <v>186</v>
      </c>
      <c r="AV542" s="46" t="s">
        <v>137</v>
      </c>
      <c r="AW542" s="866" t="s">
        <v>138</v>
      </c>
      <c r="AX542" s="46" t="s">
        <v>438</v>
      </c>
      <c r="AY542" s="61" t="str">
        <f>IFERROR(__xludf.DUMMYFUNCTION("vlookup(BB542,importrange(""https://docs.google.com/spreadsheets/d/1d2vevQ_7D_v35q4wCQ4RpQ_IPoTwEMB9Yp6ymwlPqew/edit?gid=984458430#gid=984458430"", ""'replication success'!A:K""), 11, FAlSE)"),"#N/A")</f>
        <v>#N/A</v>
      </c>
      <c r="AZ542" s="61" t="str">
        <f>IFERROR(__xludf.DUMMYFUNCTION("vlookup(BB542,importrange(""https://docs.google.com/spreadsheets/d/1d2vevQ_7D_v35q4wCQ4RpQ_IPoTwEMB9Yp6ymwlPqew/edit?gid=984458430#gid=984458430"", ""'replication success'!A:M""), 12, FAlSE)"),"#N/A")</f>
        <v>#N/A</v>
      </c>
      <c r="BA542" s="61" t="str">
        <f>IFERROR(__xludf.DUMMYFUNCTION("vlookup(BB542,importrange(""https://docs.google.com/spreadsheets/d/1d2vevQ_7D_v35q4wCQ4RpQ_IPoTwEMB9Yp6ymwlPqew/edit?gid=984458430#gid=984458430"", ""'replication success'!A:M""), 13, FAlSE)"),"#N/A")</f>
        <v>#N/A</v>
      </c>
      <c r="BB542" s="61" t="str">
        <f>IFERROR(__xludf.DUMMYFUNCTION("REGEXREPLACE(G542, ""_[a-z]{1,2}$"", """")"),"additional_studies74")</f>
        <v>additional_studies74</v>
      </c>
      <c r="BC542" s="340" t="s">
        <v>2947</v>
      </c>
      <c r="BD542" s="341" t="s">
        <v>692</v>
      </c>
      <c r="BE542" s="342"/>
      <c r="BF542" s="342"/>
      <c r="BG542" s="342"/>
      <c r="BH542" s="342"/>
      <c r="BI542" s="342"/>
      <c r="BJ542" s="342"/>
      <c r="BK542" s="342"/>
      <c r="BL542" s="342"/>
      <c r="BM542" s="342"/>
      <c r="BN542" s="342"/>
      <c r="BO542" s="342"/>
      <c r="BP542" s="342"/>
      <c r="BQ542" s="342"/>
      <c r="BR542" s="342"/>
      <c r="BS542" s="342"/>
      <c r="BT542" s="342"/>
      <c r="BU542" s="342"/>
      <c r="BV542" s="342"/>
      <c r="BW542" s="342"/>
      <c r="BX542" s="342"/>
      <c r="BY542" s="342"/>
      <c r="BZ542" s="342"/>
      <c r="CA542" s="342"/>
      <c r="CB542" s="342"/>
      <c r="CC542" s="342"/>
      <c r="CD542" s="342"/>
      <c r="CE542" s="342"/>
      <c r="CF542" s="342"/>
      <c r="CG542" s="342"/>
      <c r="CH542" s="342"/>
      <c r="CI542" s="342"/>
      <c r="CJ542" s="342"/>
      <c r="CK542" s="342"/>
      <c r="CL542" s="342"/>
      <c r="CM542" s="342"/>
      <c r="CN542" s="342"/>
      <c r="CO542" s="342"/>
      <c r="CP542" s="342"/>
      <c r="CQ542" s="342"/>
      <c r="CR542" s="342"/>
      <c r="CS542" s="342"/>
      <c r="CT542" s="342"/>
      <c r="CU542" s="342"/>
      <c r="CV542" s="342"/>
      <c r="CW542" s="342"/>
      <c r="CX542" s="342"/>
      <c r="CY542" s="342"/>
      <c r="CZ542" s="342"/>
      <c r="DA542" s="342"/>
      <c r="DB542" s="342"/>
      <c r="DC542" s="342"/>
      <c r="DD542" s="342"/>
      <c r="DE542" s="342"/>
      <c r="DF542" s="342"/>
      <c r="DG542" s="342"/>
      <c r="DH542" s="342"/>
      <c r="DI542" s="342"/>
      <c r="DJ542" s="342"/>
      <c r="DK542" s="342"/>
      <c r="DL542" s="342"/>
    </row>
    <row r="543" ht="20.25" customHeight="1">
      <c r="A543" s="354">
        <v>543.0</v>
      </c>
      <c r="B543" s="340" t="s">
        <v>114</v>
      </c>
      <c r="C543" s="341" t="s">
        <v>115</v>
      </c>
      <c r="D543" s="341" t="s">
        <v>2957</v>
      </c>
      <c r="E543" s="342"/>
      <c r="F543" s="360" t="s">
        <v>3011</v>
      </c>
      <c r="G543" s="47" t="s">
        <v>2959</v>
      </c>
      <c r="H543" s="360" t="s">
        <v>2960</v>
      </c>
      <c r="I543" s="344">
        <v>45478.0</v>
      </c>
      <c r="J543" s="344">
        <v>45663.0</v>
      </c>
      <c r="K543" s="360" t="s">
        <v>2998</v>
      </c>
      <c r="L543" s="46"/>
      <c r="M543" s="360" t="s">
        <v>3012</v>
      </c>
      <c r="N543" s="360" t="s">
        <v>3013</v>
      </c>
      <c r="O543" s="46"/>
      <c r="P543" s="360" t="s">
        <v>2937</v>
      </c>
      <c r="Q543" s="104" t="str">
        <f t="array" ref="Q543"> if(iserror(MATCH(V543, 'File Links'!C:C, 0)), "N/A", HYPERLINK(INDEX('File Links'!B:B, MATCH(P543, 'File Links'!C:C, 0))))</f>
        <v>https://drive.google.com/file/d/1IfVJze_D0VNVGP0qGB9jOH8T88AinA4X/view?usp=drivesdk</v>
      </c>
      <c r="R543" s="360" t="s">
        <v>3014</v>
      </c>
      <c r="S543" s="360" t="s">
        <v>2939</v>
      </c>
      <c r="T543" s="46"/>
      <c r="U543" s="46"/>
      <c r="V543" s="360" t="str">
        <f t="shared" si="25"/>
        <v>10.1007--s10834-024-09975-7.pdf</v>
      </c>
      <c r="W543" s="360" t="s">
        <v>2962</v>
      </c>
      <c r="X543" s="54" t="str">
        <f t="array" ref="X543"> if(iserror(MATCH(V543, 'File Links'!C:C, 0)), "N/A", HYPERLINK(INDEX('File Links'!B:B, MATCH(V543, 'File Links'!C:C, 0))))</f>
        <v>https://drive.google.com/file/d/1kvzfXjBDZmFTCeJVlsPrywrDLzw17fXw/view?usp=drivesdk</v>
      </c>
      <c r="Y543" s="342"/>
      <c r="Z543" s="360" t="s">
        <v>226</v>
      </c>
      <c r="AA543" s="867" t="s">
        <v>2963</v>
      </c>
      <c r="AB543" s="46" t="s">
        <v>2964</v>
      </c>
      <c r="AC543" s="360" t="s">
        <v>3015</v>
      </c>
      <c r="AD543" s="360" t="s">
        <v>3003</v>
      </c>
      <c r="AE543" s="357">
        <v>25.0</v>
      </c>
      <c r="AF543" s="357">
        <v>344.0</v>
      </c>
      <c r="AG543" s="385">
        <v>0.26</v>
      </c>
      <c r="AH543" s="360" t="s">
        <v>987</v>
      </c>
      <c r="AI543" s="360" t="s">
        <v>3016</v>
      </c>
      <c r="AJ543" s="386">
        <v>0.05</v>
      </c>
      <c r="AK543" s="47" t="s">
        <v>135</v>
      </c>
      <c r="AL543" s="47" t="s">
        <v>186</v>
      </c>
      <c r="AM543" s="46" t="s">
        <v>137</v>
      </c>
      <c r="AN543" s="56" t="s">
        <v>138</v>
      </c>
      <c r="AO543" s="46"/>
      <c r="AP543" s="357">
        <v>0.136</v>
      </c>
      <c r="AQ543" s="360" t="s">
        <v>987</v>
      </c>
      <c r="AR543" s="360" t="s">
        <v>2968</v>
      </c>
      <c r="AS543" s="360" t="s">
        <v>2382</v>
      </c>
      <c r="AT543" s="46"/>
      <c r="AU543" s="360" t="s">
        <v>186</v>
      </c>
      <c r="AV543" s="46" t="s">
        <v>137</v>
      </c>
      <c r="AW543" s="866" t="s">
        <v>138</v>
      </c>
      <c r="AX543" s="46" t="s">
        <v>438</v>
      </c>
      <c r="AY543" s="61" t="str">
        <f>IFERROR(__xludf.DUMMYFUNCTION("vlookup(BB543,importrange(""https://docs.google.com/spreadsheets/d/1d2vevQ_7D_v35q4wCQ4RpQ_IPoTwEMB9Yp6ymwlPqew/edit?gid=984458430#gid=984458430"", ""'replication success'!A:K""), 11, FAlSE)"),"#N/A")</f>
        <v>#N/A</v>
      </c>
      <c r="AZ543" s="61" t="str">
        <f>IFERROR(__xludf.DUMMYFUNCTION("vlookup(BB543,importrange(""https://docs.google.com/spreadsheets/d/1d2vevQ_7D_v35q4wCQ4RpQ_IPoTwEMB9Yp6ymwlPqew/edit?gid=984458430#gid=984458430"", ""'replication success'!A:M""), 12, FAlSE)"),"#N/A")</f>
        <v>#N/A</v>
      </c>
      <c r="BA543" s="61" t="str">
        <f>IFERROR(__xludf.DUMMYFUNCTION("vlookup(BB543,importrange(""https://docs.google.com/spreadsheets/d/1d2vevQ_7D_v35q4wCQ4RpQ_IPoTwEMB9Yp6ymwlPqew/edit?gid=984458430#gid=984458430"", ""'replication success'!A:M""), 13, FAlSE)"),"#N/A")</f>
        <v>#N/A</v>
      </c>
      <c r="BB543" s="61" t="str">
        <f>IFERROR(__xludf.DUMMYFUNCTION("REGEXREPLACE(G543, ""_[a-z]{1,2}$"", """")"),"additional_studies74")</f>
        <v>additional_studies74</v>
      </c>
      <c r="BC543" s="340" t="s">
        <v>2947</v>
      </c>
      <c r="BD543" s="341" t="s">
        <v>692</v>
      </c>
      <c r="BE543" s="342"/>
      <c r="BF543" s="342"/>
      <c r="BG543" s="342"/>
      <c r="BH543" s="342"/>
      <c r="BI543" s="342"/>
      <c r="BJ543" s="342"/>
      <c r="BK543" s="342"/>
      <c r="BL543" s="342"/>
      <c r="BM543" s="342"/>
      <c r="BN543" s="342"/>
      <c r="BO543" s="342"/>
      <c r="BP543" s="342"/>
      <c r="BQ543" s="342"/>
      <c r="BR543" s="342"/>
      <c r="BS543" s="342"/>
      <c r="BT543" s="342"/>
      <c r="BU543" s="342"/>
      <c r="BV543" s="342"/>
      <c r="BW543" s="342"/>
      <c r="BX543" s="342"/>
      <c r="BY543" s="342"/>
      <c r="BZ543" s="342"/>
      <c r="CA543" s="342"/>
      <c r="CB543" s="342"/>
      <c r="CC543" s="342"/>
      <c r="CD543" s="342"/>
      <c r="CE543" s="342"/>
      <c r="CF543" s="342"/>
      <c r="CG543" s="342"/>
      <c r="CH543" s="342"/>
      <c r="CI543" s="342"/>
      <c r="CJ543" s="342"/>
      <c r="CK543" s="342"/>
      <c r="CL543" s="342"/>
      <c r="CM543" s="342"/>
      <c r="CN543" s="342"/>
      <c r="CO543" s="342"/>
      <c r="CP543" s="342"/>
      <c r="CQ543" s="342"/>
      <c r="CR543" s="342"/>
      <c r="CS543" s="342"/>
      <c r="CT543" s="342"/>
      <c r="CU543" s="342"/>
      <c r="CV543" s="342"/>
      <c r="CW543" s="342"/>
      <c r="CX543" s="342"/>
      <c r="CY543" s="342"/>
      <c r="CZ543" s="342"/>
      <c r="DA543" s="342"/>
      <c r="DB543" s="342"/>
      <c r="DC543" s="342"/>
      <c r="DD543" s="342"/>
      <c r="DE543" s="342"/>
      <c r="DF543" s="342"/>
      <c r="DG543" s="342"/>
      <c r="DH543" s="342"/>
      <c r="DI543" s="342"/>
      <c r="DJ543" s="342"/>
      <c r="DK543" s="342"/>
      <c r="DL543" s="342"/>
    </row>
    <row r="544" ht="20.25" customHeight="1">
      <c r="A544" s="354">
        <v>544.0</v>
      </c>
      <c r="B544" s="340" t="s">
        <v>114</v>
      </c>
      <c r="C544" s="341" t="s">
        <v>115</v>
      </c>
      <c r="D544" s="341" t="s">
        <v>2957</v>
      </c>
      <c r="E544" s="342"/>
      <c r="F544" s="360" t="s">
        <v>3017</v>
      </c>
      <c r="G544" s="47" t="s">
        <v>2959</v>
      </c>
      <c r="H544" s="360" t="s">
        <v>2960</v>
      </c>
      <c r="I544" s="344">
        <v>45478.0</v>
      </c>
      <c r="J544" s="344">
        <v>45663.0</v>
      </c>
      <c r="K544" s="360" t="s">
        <v>2998</v>
      </c>
      <c r="L544" s="46"/>
      <c r="M544" s="360" t="s">
        <v>3018</v>
      </c>
      <c r="N544" s="360" t="s">
        <v>3019</v>
      </c>
      <c r="O544" s="46"/>
      <c r="P544" s="360" t="s">
        <v>2937</v>
      </c>
      <c r="Q544" s="104" t="str">
        <f t="array" ref="Q544"> if(iserror(MATCH(V544, 'File Links'!C:C, 0)), "N/A", HYPERLINK(INDEX('File Links'!B:B, MATCH(P544, 'File Links'!C:C, 0))))</f>
        <v>https://drive.google.com/file/d/1IfVJze_D0VNVGP0qGB9jOH8T88AinA4X/view?usp=drivesdk</v>
      </c>
      <c r="R544" s="360" t="s">
        <v>3020</v>
      </c>
      <c r="S544" s="360" t="s">
        <v>2939</v>
      </c>
      <c r="T544" s="46"/>
      <c r="U544" s="46"/>
      <c r="V544" s="360" t="str">
        <f t="shared" si="25"/>
        <v>10.1007--s10834-024-09975-7.pdf</v>
      </c>
      <c r="W544" s="360" t="s">
        <v>2962</v>
      </c>
      <c r="X544" s="54" t="str">
        <f t="array" ref="X544"> if(iserror(MATCH(V544, 'File Links'!C:C, 0)), "N/A", HYPERLINK(INDEX('File Links'!B:B, MATCH(V544, 'File Links'!C:C, 0))))</f>
        <v>https://drive.google.com/file/d/1kvzfXjBDZmFTCeJVlsPrywrDLzw17fXw/view?usp=drivesdk</v>
      </c>
      <c r="Y544" s="342"/>
      <c r="Z544" s="360" t="s">
        <v>226</v>
      </c>
      <c r="AA544" s="867" t="s">
        <v>2963</v>
      </c>
      <c r="AB544" s="46" t="s">
        <v>2964</v>
      </c>
      <c r="AC544" s="360" t="s">
        <v>3021</v>
      </c>
      <c r="AD544" s="360" t="s">
        <v>3003</v>
      </c>
      <c r="AE544" s="357">
        <v>25.0</v>
      </c>
      <c r="AF544" s="357">
        <v>344.0</v>
      </c>
      <c r="AG544" s="385">
        <v>-0.005</v>
      </c>
      <c r="AH544" s="360" t="s">
        <v>987</v>
      </c>
      <c r="AI544" s="360" t="s">
        <v>3022</v>
      </c>
      <c r="AJ544" s="51" t="s">
        <v>2382</v>
      </c>
      <c r="AK544" s="49"/>
      <c r="AL544" s="47" t="s">
        <v>186</v>
      </c>
      <c r="AM544" s="46" t="s">
        <v>137</v>
      </c>
      <c r="AN544" s="56" t="s">
        <v>138</v>
      </c>
      <c r="AO544" s="46"/>
      <c r="AP544" s="357">
        <v>-0.131</v>
      </c>
      <c r="AQ544" s="360" t="s">
        <v>987</v>
      </c>
      <c r="AR544" s="360" t="s">
        <v>2968</v>
      </c>
      <c r="AS544" s="360" t="s">
        <v>2382</v>
      </c>
      <c r="AT544" s="46"/>
      <c r="AU544" s="360" t="s">
        <v>186</v>
      </c>
      <c r="AV544" s="46" t="s">
        <v>137</v>
      </c>
      <c r="AW544" s="866" t="s">
        <v>138</v>
      </c>
      <c r="AX544" s="46" t="s">
        <v>438</v>
      </c>
      <c r="AY544" s="61" t="str">
        <f>IFERROR(__xludf.DUMMYFUNCTION("vlookup(BB544,importrange(""https://docs.google.com/spreadsheets/d/1d2vevQ_7D_v35q4wCQ4RpQ_IPoTwEMB9Yp6ymwlPqew/edit?gid=984458430#gid=984458430"", ""'replication success'!A:K""), 11, FAlSE)"),"#N/A")</f>
        <v>#N/A</v>
      </c>
      <c r="AZ544" s="61" t="str">
        <f>IFERROR(__xludf.DUMMYFUNCTION("vlookup(BB544,importrange(""https://docs.google.com/spreadsheets/d/1d2vevQ_7D_v35q4wCQ4RpQ_IPoTwEMB9Yp6ymwlPqew/edit?gid=984458430#gid=984458430"", ""'replication success'!A:M""), 12, FAlSE)"),"#N/A")</f>
        <v>#N/A</v>
      </c>
      <c r="BA544" s="61" t="str">
        <f>IFERROR(__xludf.DUMMYFUNCTION("vlookup(BB544,importrange(""https://docs.google.com/spreadsheets/d/1d2vevQ_7D_v35q4wCQ4RpQ_IPoTwEMB9Yp6ymwlPqew/edit?gid=984458430#gid=984458430"", ""'replication success'!A:M""), 13, FAlSE)"),"#N/A")</f>
        <v>#N/A</v>
      </c>
      <c r="BB544" s="61" t="str">
        <f>IFERROR(__xludf.DUMMYFUNCTION("REGEXREPLACE(G544, ""_[a-z]{1,2}$"", """")"),"additional_studies74")</f>
        <v>additional_studies74</v>
      </c>
      <c r="BC544" s="340" t="s">
        <v>2947</v>
      </c>
      <c r="BD544" s="341" t="s">
        <v>692</v>
      </c>
      <c r="BE544" s="342"/>
      <c r="BF544" s="342"/>
      <c r="BG544" s="342"/>
      <c r="BH544" s="342"/>
      <c r="BI544" s="342"/>
      <c r="BJ544" s="342"/>
      <c r="BK544" s="342"/>
      <c r="BL544" s="342"/>
      <c r="BM544" s="342"/>
      <c r="BN544" s="342"/>
      <c r="BO544" s="342"/>
      <c r="BP544" s="342"/>
      <c r="BQ544" s="342"/>
      <c r="BR544" s="342"/>
      <c r="BS544" s="342"/>
      <c r="BT544" s="342"/>
      <c r="BU544" s="342"/>
      <c r="BV544" s="342"/>
      <c r="BW544" s="342"/>
      <c r="BX544" s="342"/>
      <c r="BY544" s="342"/>
      <c r="BZ544" s="342"/>
      <c r="CA544" s="342"/>
      <c r="CB544" s="342"/>
      <c r="CC544" s="342"/>
      <c r="CD544" s="342"/>
      <c r="CE544" s="342"/>
      <c r="CF544" s="342"/>
      <c r="CG544" s="342"/>
      <c r="CH544" s="342"/>
      <c r="CI544" s="342"/>
      <c r="CJ544" s="342"/>
      <c r="CK544" s="342"/>
      <c r="CL544" s="342"/>
      <c r="CM544" s="342"/>
      <c r="CN544" s="342"/>
      <c r="CO544" s="342"/>
      <c r="CP544" s="342"/>
      <c r="CQ544" s="342"/>
      <c r="CR544" s="342"/>
      <c r="CS544" s="342"/>
      <c r="CT544" s="342"/>
      <c r="CU544" s="342"/>
      <c r="CV544" s="342"/>
      <c r="CW544" s="342"/>
      <c r="CX544" s="342"/>
      <c r="CY544" s="342"/>
      <c r="CZ544" s="342"/>
      <c r="DA544" s="342"/>
      <c r="DB544" s="342"/>
      <c r="DC544" s="342"/>
      <c r="DD544" s="342"/>
      <c r="DE544" s="342"/>
      <c r="DF544" s="342"/>
      <c r="DG544" s="342"/>
      <c r="DH544" s="342"/>
      <c r="DI544" s="342"/>
      <c r="DJ544" s="342"/>
      <c r="DK544" s="342"/>
      <c r="DL544" s="342"/>
    </row>
    <row r="545" ht="20.25" customHeight="1">
      <c r="A545" s="354">
        <v>545.0</v>
      </c>
      <c r="B545" s="340" t="s">
        <v>114</v>
      </c>
      <c r="C545" s="341" t="s">
        <v>115</v>
      </c>
      <c r="D545" s="341" t="s">
        <v>2957</v>
      </c>
      <c r="E545" s="342"/>
      <c r="F545" s="360" t="s">
        <v>3023</v>
      </c>
      <c r="G545" s="47" t="s">
        <v>2959</v>
      </c>
      <c r="H545" s="360" t="s">
        <v>2960</v>
      </c>
      <c r="I545" s="344">
        <v>45478.0</v>
      </c>
      <c r="J545" s="344">
        <v>45663.0</v>
      </c>
      <c r="K545" s="360" t="s">
        <v>2998</v>
      </c>
      <c r="L545" s="46"/>
      <c r="M545" s="360" t="s">
        <v>3024</v>
      </c>
      <c r="N545" s="360" t="s">
        <v>3025</v>
      </c>
      <c r="O545" s="46"/>
      <c r="P545" s="360" t="s">
        <v>2937</v>
      </c>
      <c r="Q545" s="104" t="str">
        <f t="array" ref="Q545"> if(iserror(MATCH(V545, 'File Links'!C:C, 0)), "N/A", HYPERLINK(INDEX('File Links'!B:B, MATCH(P545, 'File Links'!C:C, 0))))</f>
        <v>https://drive.google.com/file/d/1IfVJze_D0VNVGP0qGB9jOH8T88AinA4X/view?usp=drivesdk</v>
      </c>
      <c r="R545" s="360" t="s">
        <v>3026</v>
      </c>
      <c r="S545" s="360" t="s">
        <v>2939</v>
      </c>
      <c r="T545" s="46"/>
      <c r="U545" s="46"/>
      <c r="V545" s="360" t="str">
        <f t="shared" si="25"/>
        <v>10.1007--s10834-024-09975-7.pdf</v>
      </c>
      <c r="W545" s="360" t="s">
        <v>2962</v>
      </c>
      <c r="X545" s="54" t="str">
        <f t="array" ref="X545"> if(iserror(MATCH(V545, 'File Links'!C:C, 0)), "N/A", HYPERLINK(INDEX('File Links'!B:B, MATCH(V545, 'File Links'!C:C, 0))))</f>
        <v>https://drive.google.com/file/d/1kvzfXjBDZmFTCeJVlsPrywrDLzw17fXw/view?usp=drivesdk</v>
      </c>
      <c r="Y545" s="342"/>
      <c r="Z545" s="360" t="s">
        <v>226</v>
      </c>
      <c r="AA545" s="867" t="s">
        <v>2963</v>
      </c>
      <c r="AB545" s="46" t="s">
        <v>2964</v>
      </c>
      <c r="AC545" s="360" t="s">
        <v>3027</v>
      </c>
      <c r="AD545" s="360" t="s">
        <v>3003</v>
      </c>
      <c r="AE545" s="357">
        <v>25.0</v>
      </c>
      <c r="AF545" s="357">
        <v>314.0</v>
      </c>
      <c r="AG545" s="385">
        <v>0.215</v>
      </c>
      <c r="AH545" s="360" t="s">
        <v>987</v>
      </c>
      <c r="AI545" s="360" t="s">
        <v>3028</v>
      </c>
      <c r="AJ545" s="51" t="s">
        <v>2382</v>
      </c>
      <c r="AK545" s="49"/>
      <c r="AL545" s="47" t="s">
        <v>186</v>
      </c>
      <c r="AM545" s="46" t="s">
        <v>137</v>
      </c>
      <c r="AN545" s="56" t="s">
        <v>138</v>
      </c>
      <c r="AO545" s="46"/>
      <c r="AP545" s="357">
        <v>-0.191</v>
      </c>
      <c r="AQ545" s="360" t="s">
        <v>987</v>
      </c>
      <c r="AR545" s="360" t="s">
        <v>2968</v>
      </c>
      <c r="AS545" s="360" t="s">
        <v>2382</v>
      </c>
      <c r="AT545" s="46"/>
      <c r="AU545" s="360" t="s">
        <v>186</v>
      </c>
      <c r="AV545" s="46" t="s">
        <v>137</v>
      </c>
      <c r="AW545" s="866" t="s">
        <v>138</v>
      </c>
      <c r="AX545" s="46" t="s">
        <v>438</v>
      </c>
      <c r="AY545" s="61" t="str">
        <f>IFERROR(__xludf.DUMMYFUNCTION("vlookup(BB545,importrange(""https://docs.google.com/spreadsheets/d/1d2vevQ_7D_v35q4wCQ4RpQ_IPoTwEMB9Yp6ymwlPqew/edit?gid=984458430#gid=984458430"", ""'replication success'!A:K""), 11, FAlSE)"),"#N/A")</f>
        <v>#N/A</v>
      </c>
      <c r="AZ545" s="61" t="str">
        <f>IFERROR(__xludf.DUMMYFUNCTION("vlookup(BB545,importrange(""https://docs.google.com/spreadsheets/d/1d2vevQ_7D_v35q4wCQ4RpQ_IPoTwEMB9Yp6ymwlPqew/edit?gid=984458430#gid=984458430"", ""'replication success'!A:M""), 12, FAlSE)"),"#N/A")</f>
        <v>#N/A</v>
      </c>
      <c r="BA545" s="61" t="str">
        <f>IFERROR(__xludf.DUMMYFUNCTION("vlookup(BB545,importrange(""https://docs.google.com/spreadsheets/d/1d2vevQ_7D_v35q4wCQ4RpQ_IPoTwEMB9Yp6ymwlPqew/edit?gid=984458430#gid=984458430"", ""'replication success'!A:M""), 13, FAlSE)"),"#N/A")</f>
        <v>#N/A</v>
      </c>
      <c r="BB545" s="61" t="str">
        <f>IFERROR(__xludf.DUMMYFUNCTION("REGEXREPLACE(G545, ""_[a-z]{1,2}$"", """")"),"additional_studies74")</f>
        <v>additional_studies74</v>
      </c>
      <c r="BC545" s="340" t="s">
        <v>2947</v>
      </c>
      <c r="BD545" s="341" t="s">
        <v>692</v>
      </c>
      <c r="BE545" s="342"/>
      <c r="BF545" s="342"/>
      <c r="BG545" s="342"/>
      <c r="BH545" s="342"/>
      <c r="BI545" s="342"/>
      <c r="BJ545" s="342"/>
      <c r="BK545" s="342"/>
      <c r="BL545" s="342"/>
      <c r="BM545" s="342"/>
      <c r="BN545" s="342"/>
      <c r="BO545" s="342"/>
      <c r="BP545" s="342"/>
      <c r="BQ545" s="342"/>
      <c r="BR545" s="342"/>
      <c r="BS545" s="342"/>
      <c r="BT545" s="342"/>
      <c r="BU545" s="342"/>
      <c r="BV545" s="342"/>
      <c r="BW545" s="342"/>
      <c r="BX545" s="342"/>
      <c r="BY545" s="342"/>
      <c r="BZ545" s="342"/>
      <c r="CA545" s="342"/>
      <c r="CB545" s="342"/>
      <c r="CC545" s="342"/>
      <c r="CD545" s="342"/>
      <c r="CE545" s="342"/>
      <c r="CF545" s="342"/>
      <c r="CG545" s="342"/>
      <c r="CH545" s="342"/>
      <c r="CI545" s="342"/>
      <c r="CJ545" s="342"/>
      <c r="CK545" s="342"/>
      <c r="CL545" s="342"/>
      <c r="CM545" s="342"/>
      <c r="CN545" s="342"/>
      <c r="CO545" s="342"/>
      <c r="CP545" s="342"/>
      <c r="CQ545" s="342"/>
      <c r="CR545" s="342"/>
      <c r="CS545" s="342"/>
      <c r="CT545" s="342"/>
      <c r="CU545" s="342"/>
      <c r="CV545" s="342"/>
      <c r="CW545" s="342"/>
      <c r="CX545" s="342"/>
      <c r="CY545" s="342"/>
      <c r="CZ545" s="342"/>
      <c r="DA545" s="342"/>
      <c r="DB545" s="342"/>
      <c r="DC545" s="342"/>
      <c r="DD545" s="342"/>
      <c r="DE545" s="342"/>
      <c r="DF545" s="342"/>
      <c r="DG545" s="342"/>
      <c r="DH545" s="342"/>
      <c r="DI545" s="342"/>
      <c r="DJ545" s="342"/>
      <c r="DK545" s="342"/>
      <c r="DL545" s="342"/>
    </row>
    <row r="546" ht="20.25" customHeight="1">
      <c r="A546" s="354">
        <v>546.0</v>
      </c>
      <c r="B546" s="340" t="s">
        <v>114</v>
      </c>
      <c r="C546" s="341" t="s">
        <v>115</v>
      </c>
      <c r="D546" s="341" t="s">
        <v>2957</v>
      </c>
      <c r="E546" s="342"/>
      <c r="F546" s="360" t="s">
        <v>3029</v>
      </c>
      <c r="G546" s="47" t="s">
        <v>2959</v>
      </c>
      <c r="H546" s="360" t="s">
        <v>2960</v>
      </c>
      <c r="I546" s="344">
        <v>45478.0</v>
      </c>
      <c r="J546" s="344">
        <v>45663.0</v>
      </c>
      <c r="K546" s="360" t="s">
        <v>2998</v>
      </c>
      <c r="L546" s="46"/>
      <c r="M546" s="360" t="s">
        <v>3024</v>
      </c>
      <c r="N546" s="360" t="s">
        <v>3025</v>
      </c>
      <c r="O546" s="46"/>
      <c r="P546" s="360" t="s">
        <v>2937</v>
      </c>
      <c r="Q546" s="104" t="str">
        <f t="array" ref="Q546"> if(iserror(MATCH(V546, 'File Links'!C:C, 0)), "N/A", HYPERLINK(INDEX('File Links'!B:B, MATCH(P546, 'File Links'!C:C, 0))))</f>
        <v>https://drive.google.com/file/d/1IfVJze_D0VNVGP0qGB9jOH8T88AinA4X/view?usp=drivesdk</v>
      </c>
      <c r="R546" s="360" t="s">
        <v>3026</v>
      </c>
      <c r="S546" s="360" t="s">
        <v>2939</v>
      </c>
      <c r="T546" s="46"/>
      <c r="U546" s="46"/>
      <c r="V546" s="360" t="str">
        <f t="shared" si="25"/>
        <v>10.1007--s10834-024-09975-7.pdf</v>
      </c>
      <c r="W546" s="360" t="s">
        <v>2962</v>
      </c>
      <c r="X546" s="54" t="str">
        <f t="array" ref="X546"> if(iserror(MATCH(V546, 'File Links'!C:C, 0)), "N/A", HYPERLINK(INDEX('File Links'!B:B, MATCH(V546, 'File Links'!C:C, 0))))</f>
        <v>https://drive.google.com/file/d/1kvzfXjBDZmFTCeJVlsPrywrDLzw17fXw/view?usp=drivesdk</v>
      </c>
      <c r="Y546" s="342"/>
      <c r="Z546" s="360" t="s">
        <v>226</v>
      </c>
      <c r="AA546" s="867" t="s">
        <v>2963</v>
      </c>
      <c r="AB546" s="46" t="s">
        <v>2964</v>
      </c>
      <c r="AC546" s="46" t="s">
        <v>3030</v>
      </c>
      <c r="AD546" s="360" t="s">
        <v>3003</v>
      </c>
      <c r="AE546" s="357">
        <v>25.0</v>
      </c>
      <c r="AF546" s="357">
        <v>314.0</v>
      </c>
      <c r="AG546" s="385">
        <v>-0.005</v>
      </c>
      <c r="AH546" s="360" t="s">
        <v>987</v>
      </c>
      <c r="AI546" s="360" t="s">
        <v>3028</v>
      </c>
      <c r="AJ546" s="51" t="s">
        <v>2382</v>
      </c>
      <c r="AK546" s="49"/>
      <c r="AL546" s="47" t="s">
        <v>186</v>
      </c>
      <c r="AM546" s="46" t="s">
        <v>137</v>
      </c>
      <c r="AN546" s="56" t="s">
        <v>138</v>
      </c>
      <c r="AO546" s="46"/>
      <c r="AP546" s="357">
        <v>-0.131</v>
      </c>
      <c r="AQ546" s="360" t="s">
        <v>987</v>
      </c>
      <c r="AR546" s="360" t="s">
        <v>2968</v>
      </c>
      <c r="AS546" s="360" t="s">
        <v>2382</v>
      </c>
      <c r="AT546" s="46"/>
      <c r="AU546" s="360" t="s">
        <v>186</v>
      </c>
      <c r="AV546" s="46" t="s">
        <v>137</v>
      </c>
      <c r="AW546" s="866" t="s">
        <v>138</v>
      </c>
      <c r="AX546" s="46" t="s">
        <v>438</v>
      </c>
      <c r="AY546" s="61" t="str">
        <f>IFERROR(__xludf.DUMMYFUNCTION("vlookup(BB546,importrange(""https://docs.google.com/spreadsheets/d/1d2vevQ_7D_v35q4wCQ4RpQ_IPoTwEMB9Yp6ymwlPqew/edit?gid=984458430#gid=984458430"", ""'replication success'!A:K""), 11, FAlSE)"),"#N/A")</f>
        <v>#N/A</v>
      </c>
      <c r="AZ546" s="61" t="str">
        <f>IFERROR(__xludf.DUMMYFUNCTION("vlookup(BB546,importrange(""https://docs.google.com/spreadsheets/d/1d2vevQ_7D_v35q4wCQ4RpQ_IPoTwEMB9Yp6ymwlPqew/edit?gid=984458430#gid=984458430"", ""'replication success'!A:M""), 12, FAlSE)"),"#N/A")</f>
        <v>#N/A</v>
      </c>
      <c r="BA546" s="61" t="str">
        <f>IFERROR(__xludf.DUMMYFUNCTION("vlookup(BB546,importrange(""https://docs.google.com/spreadsheets/d/1d2vevQ_7D_v35q4wCQ4RpQ_IPoTwEMB9Yp6ymwlPqew/edit?gid=984458430#gid=984458430"", ""'replication success'!A:M""), 13, FAlSE)"),"#N/A")</f>
        <v>#N/A</v>
      </c>
      <c r="BB546" s="61" t="str">
        <f>IFERROR(__xludf.DUMMYFUNCTION("REGEXREPLACE(G546, ""_[a-z]{1,2}$"", """")"),"additional_studies74")</f>
        <v>additional_studies74</v>
      </c>
      <c r="BC546" s="340" t="s">
        <v>2947</v>
      </c>
      <c r="BD546" s="341" t="s">
        <v>692</v>
      </c>
      <c r="BE546" s="342"/>
      <c r="BF546" s="342"/>
      <c r="BG546" s="342"/>
      <c r="BH546" s="342"/>
      <c r="BI546" s="342"/>
      <c r="BJ546" s="342"/>
      <c r="BK546" s="342"/>
      <c r="BL546" s="342"/>
      <c r="BM546" s="342"/>
      <c r="BN546" s="342"/>
      <c r="BO546" s="342"/>
      <c r="BP546" s="342"/>
      <c r="BQ546" s="342"/>
      <c r="BR546" s="342"/>
      <c r="BS546" s="342"/>
      <c r="BT546" s="342"/>
      <c r="BU546" s="342"/>
      <c r="BV546" s="342"/>
      <c r="BW546" s="342"/>
      <c r="BX546" s="342"/>
      <c r="BY546" s="342"/>
      <c r="BZ546" s="342"/>
      <c r="CA546" s="342"/>
      <c r="CB546" s="342"/>
      <c r="CC546" s="342"/>
      <c r="CD546" s="342"/>
      <c r="CE546" s="342"/>
      <c r="CF546" s="342"/>
      <c r="CG546" s="342"/>
      <c r="CH546" s="342"/>
      <c r="CI546" s="342"/>
      <c r="CJ546" s="342"/>
      <c r="CK546" s="342"/>
      <c r="CL546" s="342"/>
      <c r="CM546" s="342"/>
      <c r="CN546" s="342"/>
      <c r="CO546" s="342"/>
      <c r="CP546" s="342"/>
      <c r="CQ546" s="342"/>
      <c r="CR546" s="342"/>
      <c r="CS546" s="342"/>
      <c r="CT546" s="342"/>
      <c r="CU546" s="342"/>
      <c r="CV546" s="342"/>
      <c r="CW546" s="342"/>
      <c r="CX546" s="342"/>
      <c r="CY546" s="342"/>
      <c r="CZ546" s="342"/>
      <c r="DA546" s="342"/>
      <c r="DB546" s="342"/>
      <c r="DC546" s="342"/>
      <c r="DD546" s="342"/>
      <c r="DE546" s="342"/>
      <c r="DF546" s="342"/>
      <c r="DG546" s="342"/>
      <c r="DH546" s="342"/>
      <c r="DI546" s="342"/>
      <c r="DJ546" s="342"/>
      <c r="DK546" s="342"/>
      <c r="DL546" s="342"/>
    </row>
    <row r="547" ht="20.25" customHeight="1">
      <c r="A547" s="354">
        <v>547.0</v>
      </c>
      <c r="B547" s="340" t="s">
        <v>114</v>
      </c>
      <c r="C547" s="341" t="s">
        <v>115</v>
      </c>
      <c r="D547" s="341" t="s">
        <v>2957</v>
      </c>
      <c r="E547" s="342"/>
      <c r="F547" s="360" t="s">
        <v>3031</v>
      </c>
      <c r="G547" s="47" t="s">
        <v>2959</v>
      </c>
      <c r="H547" s="360" t="s">
        <v>2960</v>
      </c>
      <c r="I547" s="344">
        <v>45478.0</v>
      </c>
      <c r="J547" s="344">
        <v>45663.0</v>
      </c>
      <c r="K547" s="360" t="s">
        <v>2998</v>
      </c>
      <c r="L547" s="46"/>
      <c r="M547" s="360" t="s">
        <v>3024</v>
      </c>
      <c r="N547" s="360" t="s">
        <v>3025</v>
      </c>
      <c r="O547" s="46"/>
      <c r="P547" s="360" t="s">
        <v>2937</v>
      </c>
      <c r="Q547" s="104" t="str">
        <f t="array" ref="Q547"> if(iserror(MATCH(V547, 'File Links'!C:C, 0)), "N/A", HYPERLINK(INDEX('File Links'!B:B, MATCH(P547, 'File Links'!C:C, 0))))</f>
        <v>https://drive.google.com/file/d/1IfVJze_D0VNVGP0qGB9jOH8T88AinA4X/view?usp=drivesdk</v>
      </c>
      <c r="R547" s="360" t="s">
        <v>3026</v>
      </c>
      <c r="S547" s="360" t="s">
        <v>2939</v>
      </c>
      <c r="T547" s="46"/>
      <c r="U547" s="46"/>
      <c r="V547" s="360" t="str">
        <f t="shared" si="25"/>
        <v>10.1007--s10834-024-09975-7.pdf</v>
      </c>
      <c r="W547" s="360" t="s">
        <v>2962</v>
      </c>
      <c r="X547" s="54" t="str">
        <f t="array" ref="X547"> if(iserror(MATCH(V547, 'File Links'!C:C, 0)), "N/A", HYPERLINK(INDEX('File Links'!B:B, MATCH(V547, 'File Links'!C:C, 0))))</f>
        <v>https://drive.google.com/file/d/1kvzfXjBDZmFTCeJVlsPrywrDLzw17fXw/view?usp=drivesdk</v>
      </c>
      <c r="Y547" s="342"/>
      <c r="Z547" s="360" t="s">
        <v>226</v>
      </c>
      <c r="AA547" s="867" t="s">
        <v>2963</v>
      </c>
      <c r="AB547" s="46" t="s">
        <v>2964</v>
      </c>
      <c r="AC547" s="360" t="s">
        <v>3032</v>
      </c>
      <c r="AD547" s="360" t="s">
        <v>3003</v>
      </c>
      <c r="AE547" s="357">
        <v>25.0</v>
      </c>
      <c r="AF547" s="385">
        <v>380.0</v>
      </c>
      <c r="AG547" s="357">
        <v>-0.043</v>
      </c>
      <c r="AH547" s="360" t="s">
        <v>987</v>
      </c>
      <c r="AI547" s="360" t="s">
        <v>3028</v>
      </c>
      <c r="AJ547" s="51" t="s">
        <v>2382</v>
      </c>
      <c r="AK547" s="49"/>
      <c r="AL547" s="47" t="s">
        <v>186</v>
      </c>
      <c r="AM547" s="46" t="s">
        <v>137</v>
      </c>
      <c r="AN547" s="56" t="s">
        <v>138</v>
      </c>
      <c r="AO547" s="46"/>
      <c r="AP547" s="357">
        <v>-0.154</v>
      </c>
      <c r="AQ547" s="360" t="s">
        <v>987</v>
      </c>
      <c r="AR547" s="360" t="s">
        <v>2968</v>
      </c>
      <c r="AS547" s="360" t="s">
        <v>2382</v>
      </c>
      <c r="AT547" s="46"/>
      <c r="AU547" s="360" t="s">
        <v>186</v>
      </c>
      <c r="AV547" s="46" t="s">
        <v>137</v>
      </c>
      <c r="AW547" s="866" t="s">
        <v>138</v>
      </c>
      <c r="AX547" s="46" t="s">
        <v>438</v>
      </c>
      <c r="AY547" s="61" t="str">
        <f>IFERROR(__xludf.DUMMYFUNCTION("vlookup(BB547,importrange(""https://docs.google.com/spreadsheets/d/1d2vevQ_7D_v35q4wCQ4RpQ_IPoTwEMB9Yp6ymwlPqew/edit?gid=984458430#gid=984458430"", ""'replication success'!A:K""), 11, FAlSE)"),"#N/A")</f>
        <v>#N/A</v>
      </c>
      <c r="AZ547" s="61" t="str">
        <f>IFERROR(__xludf.DUMMYFUNCTION("vlookup(BB547,importrange(""https://docs.google.com/spreadsheets/d/1d2vevQ_7D_v35q4wCQ4RpQ_IPoTwEMB9Yp6ymwlPqew/edit?gid=984458430#gid=984458430"", ""'replication success'!A:M""), 12, FAlSE)"),"#N/A")</f>
        <v>#N/A</v>
      </c>
      <c r="BA547" s="61" t="str">
        <f>IFERROR(__xludf.DUMMYFUNCTION("vlookup(BB547,importrange(""https://docs.google.com/spreadsheets/d/1d2vevQ_7D_v35q4wCQ4RpQ_IPoTwEMB9Yp6ymwlPqew/edit?gid=984458430#gid=984458430"", ""'replication success'!A:M""), 13, FAlSE)"),"#N/A")</f>
        <v>#N/A</v>
      </c>
      <c r="BB547" s="61" t="str">
        <f>IFERROR(__xludf.DUMMYFUNCTION("REGEXREPLACE(G547, ""_[a-z]{1,2}$"", """")"),"additional_studies74")</f>
        <v>additional_studies74</v>
      </c>
      <c r="BC547" s="340" t="s">
        <v>2947</v>
      </c>
      <c r="BD547" s="341" t="s">
        <v>692</v>
      </c>
      <c r="BE547" s="342"/>
      <c r="BF547" s="342"/>
      <c r="BG547" s="342"/>
      <c r="BH547" s="342"/>
      <c r="BI547" s="342"/>
      <c r="BJ547" s="342"/>
      <c r="BK547" s="342"/>
      <c r="BL547" s="342"/>
      <c r="BM547" s="342"/>
      <c r="BN547" s="342"/>
      <c r="BO547" s="342"/>
      <c r="BP547" s="342"/>
      <c r="BQ547" s="342"/>
      <c r="BR547" s="342"/>
      <c r="BS547" s="342"/>
      <c r="BT547" s="342"/>
      <c r="BU547" s="342"/>
      <c r="BV547" s="342"/>
      <c r="BW547" s="342"/>
      <c r="BX547" s="342"/>
      <c r="BY547" s="342"/>
      <c r="BZ547" s="342"/>
      <c r="CA547" s="342"/>
      <c r="CB547" s="342"/>
      <c r="CC547" s="342"/>
      <c r="CD547" s="342"/>
      <c r="CE547" s="342"/>
      <c r="CF547" s="342"/>
      <c r="CG547" s="342"/>
      <c r="CH547" s="342"/>
      <c r="CI547" s="342"/>
      <c r="CJ547" s="342"/>
      <c r="CK547" s="342"/>
      <c r="CL547" s="342"/>
      <c r="CM547" s="342"/>
      <c r="CN547" s="342"/>
      <c r="CO547" s="342"/>
      <c r="CP547" s="342"/>
      <c r="CQ547" s="342"/>
      <c r="CR547" s="342"/>
      <c r="CS547" s="342"/>
      <c r="CT547" s="342"/>
      <c r="CU547" s="342"/>
      <c r="CV547" s="342"/>
      <c r="CW547" s="342"/>
      <c r="CX547" s="342"/>
      <c r="CY547" s="342"/>
      <c r="CZ547" s="342"/>
      <c r="DA547" s="342"/>
      <c r="DB547" s="342"/>
      <c r="DC547" s="342"/>
      <c r="DD547" s="342"/>
      <c r="DE547" s="342"/>
      <c r="DF547" s="342"/>
      <c r="DG547" s="342"/>
      <c r="DH547" s="342"/>
      <c r="DI547" s="342"/>
      <c r="DJ547" s="342"/>
      <c r="DK547" s="342"/>
      <c r="DL547" s="342"/>
    </row>
    <row r="548" ht="20.25" customHeight="1">
      <c r="A548" s="354">
        <v>548.0</v>
      </c>
      <c r="B548" s="340" t="s">
        <v>114</v>
      </c>
      <c r="C548" s="341" t="s">
        <v>115</v>
      </c>
      <c r="D548" s="341" t="s">
        <v>2957</v>
      </c>
      <c r="E548" s="342"/>
      <c r="F548" s="360" t="s">
        <v>3033</v>
      </c>
      <c r="G548" s="47" t="s">
        <v>2959</v>
      </c>
      <c r="H548" s="360" t="s">
        <v>2960</v>
      </c>
      <c r="I548" s="344">
        <v>45478.0</v>
      </c>
      <c r="J548" s="344">
        <v>45663.0</v>
      </c>
      <c r="K548" s="360" t="s">
        <v>2998</v>
      </c>
      <c r="L548" s="46"/>
      <c r="M548" s="360" t="s">
        <v>3024</v>
      </c>
      <c r="N548" s="360" t="s">
        <v>3025</v>
      </c>
      <c r="O548" s="46"/>
      <c r="P548" s="360" t="s">
        <v>2937</v>
      </c>
      <c r="Q548" s="104" t="str">
        <f t="array" ref="Q548"> if(iserror(MATCH(V548, 'File Links'!C:C, 0)), "N/A", HYPERLINK(INDEX('File Links'!B:B, MATCH(P548, 'File Links'!C:C, 0))))</f>
        <v>https://drive.google.com/file/d/1IfVJze_D0VNVGP0qGB9jOH8T88AinA4X/view?usp=drivesdk</v>
      </c>
      <c r="R548" s="360" t="s">
        <v>3026</v>
      </c>
      <c r="S548" s="360" t="s">
        <v>2939</v>
      </c>
      <c r="T548" s="46"/>
      <c r="U548" s="46"/>
      <c r="V548" s="360" t="str">
        <f t="shared" si="25"/>
        <v>10.1007--s10834-024-09975-7.pdf</v>
      </c>
      <c r="W548" s="360" t="s">
        <v>2962</v>
      </c>
      <c r="X548" s="54" t="str">
        <f t="array" ref="X548"> if(iserror(MATCH(V548, 'File Links'!C:C, 0)), "N/A", HYPERLINK(INDEX('File Links'!B:B, MATCH(V548, 'File Links'!C:C, 0))))</f>
        <v>https://drive.google.com/file/d/1kvzfXjBDZmFTCeJVlsPrywrDLzw17fXw/view?usp=drivesdk</v>
      </c>
      <c r="Y548" s="342"/>
      <c r="Z548" s="360" t="s">
        <v>226</v>
      </c>
      <c r="AA548" s="867" t="s">
        <v>2963</v>
      </c>
      <c r="AB548" s="46" t="s">
        <v>2964</v>
      </c>
      <c r="AC548" s="360" t="s">
        <v>3034</v>
      </c>
      <c r="AD548" s="360" t="s">
        <v>3003</v>
      </c>
      <c r="AE548" s="357">
        <v>25.0</v>
      </c>
      <c r="AF548" s="357">
        <v>380.0</v>
      </c>
      <c r="AG548" s="385">
        <v>-0.15</v>
      </c>
      <c r="AH548" s="360" t="s">
        <v>987</v>
      </c>
      <c r="AI548" s="360" t="s">
        <v>3028</v>
      </c>
      <c r="AJ548" s="51" t="s">
        <v>2382</v>
      </c>
      <c r="AK548" s="49"/>
      <c r="AL548" s="47" t="s">
        <v>186</v>
      </c>
      <c r="AM548" s="46" t="s">
        <v>137</v>
      </c>
      <c r="AN548" s="56" t="s">
        <v>138</v>
      </c>
      <c r="AO548" s="46"/>
      <c r="AP548" s="357">
        <v>0.334</v>
      </c>
      <c r="AQ548" s="360" t="s">
        <v>987</v>
      </c>
      <c r="AR548" s="360" t="s">
        <v>2968</v>
      </c>
      <c r="AS548" s="360" t="s">
        <v>2382</v>
      </c>
      <c r="AT548" s="46"/>
      <c r="AU548" s="360" t="s">
        <v>186</v>
      </c>
      <c r="AV548" s="46" t="s">
        <v>137</v>
      </c>
      <c r="AW548" s="866" t="s">
        <v>138</v>
      </c>
      <c r="AX548" s="46" t="s">
        <v>438</v>
      </c>
      <c r="AY548" s="61" t="str">
        <f>IFERROR(__xludf.DUMMYFUNCTION("vlookup(BB548,importrange(""https://docs.google.com/spreadsheets/d/1d2vevQ_7D_v35q4wCQ4RpQ_IPoTwEMB9Yp6ymwlPqew/edit?gid=984458430#gid=984458430"", ""'replication success'!A:K""), 11, FAlSE)"),"#N/A")</f>
        <v>#N/A</v>
      </c>
      <c r="AZ548" s="61" t="str">
        <f>IFERROR(__xludf.DUMMYFUNCTION("vlookup(BB548,importrange(""https://docs.google.com/spreadsheets/d/1d2vevQ_7D_v35q4wCQ4RpQ_IPoTwEMB9Yp6ymwlPqew/edit?gid=984458430#gid=984458430"", ""'replication success'!A:M""), 12, FAlSE)"),"#N/A")</f>
        <v>#N/A</v>
      </c>
      <c r="BA548" s="61" t="str">
        <f>IFERROR(__xludf.DUMMYFUNCTION("vlookup(BB548,importrange(""https://docs.google.com/spreadsheets/d/1d2vevQ_7D_v35q4wCQ4RpQ_IPoTwEMB9Yp6ymwlPqew/edit?gid=984458430#gid=984458430"", ""'replication success'!A:M""), 13, FAlSE)"),"#N/A")</f>
        <v>#N/A</v>
      </c>
      <c r="BB548" s="61" t="str">
        <f>IFERROR(__xludf.DUMMYFUNCTION("REGEXREPLACE(G548, ""_[a-z]{1,2}$"", """")"),"additional_studies74")</f>
        <v>additional_studies74</v>
      </c>
      <c r="BC548" s="340" t="s">
        <v>2947</v>
      </c>
      <c r="BD548" s="341" t="s">
        <v>692</v>
      </c>
      <c r="BE548" s="342"/>
      <c r="BF548" s="342"/>
      <c r="BG548" s="342"/>
      <c r="BH548" s="342"/>
      <c r="BI548" s="342"/>
      <c r="BJ548" s="342"/>
      <c r="BK548" s="342"/>
      <c r="BL548" s="342"/>
      <c r="BM548" s="342"/>
      <c r="BN548" s="342"/>
      <c r="BO548" s="342"/>
      <c r="BP548" s="342"/>
      <c r="BQ548" s="342"/>
      <c r="BR548" s="342"/>
      <c r="BS548" s="342"/>
      <c r="BT548" s="342"/>
      <c r="BU548" s="342"/>
      <c r="BV548" s="342"/>
      <c r="BW548" s="342"/>
      <c r="BX548" s="342"/>
      <c r="BY548" s="342"/>
      <c r="BZ548" s="342"/>
      <c r="CA548" s="342"/>
      <c r="CB548" s="342"/>
      <c r="CC548" s="342"/>
      <c r="CD548" s="342"/>
      <c r="CE548" s="342"/>
      <c r="CF548" s="342"/>
      <c r="CG548" s="342"/>
      <c r="CH548" s="342"/>
      <c r="CI548" s="342"/>
      <c r="CJ548" s="342"/>
      <c r="CK548" s="342"/>
      <c r="CL548" s="342"/>
      <c r="CM548" s="342"/>
      <c r="CN548" s="342"/>
      <c r="CO548" s="342"/>
      <c r="CP548" s="342"/>
      <c r="CQ548" s="342"/>
      <c r="CR548" s="342"/>
      <c r="CS548" s="342"/>
      <c r="CT548" s="342"/>
      <c r="CU548" s="342"/>
      <c r="CV548" s="342"/>
      <c r="CW548" s="342"/>
      <c r="CX548" s="342"/>
      <c r="CY548" s="342"/>
      <c r="CZ548" s="342"/>
      <c r="DA548" s="342"/>
      <c r="DB548" s="342"/>
      <c r="DC548" s="342"/>
      <c r="DD548" s="342"/>
      <c r="DE548" s="342"/>
      <c r="DF548" s="342"/>
      <c r="DG548" s="342"/>
      <c r="DH548" s="342"/>
      <c r="DI548" s="342"/>
      <c r="DJ548" s="342"/>
      <c r="DK548" s="342"/>
      <c r="DL548" s="342"/>
    </row>
    <row r="549" ht="20.25" customHeight="1">
      <c r="A549" s="354">
        <v>549.0</v>
      </c>
      <c r="B549" s="340" t="s">
        <v>114</v>
      </c>
      <c r="C549" s="341" t="s">
        <v>115</v>
      </c>
      <c r="D549" s="341" t="s">
        <v>2957</v>
      </c>
      <c r="E549" s="342"/>
      <c r="F549" s="360" t="s">
        <v>3035</v>
      </c>
      <c r="G549" s="47" t="s">
        <v>2959</v>
      </c>
      <c r="H549" s="360" t="s">
        <v>2960</v>
      </c>
      <c r="I549" s="344">
        <v>45478.0</v>
      </c>
      <c r="J549" s="344">
        <v>45663.0</v>
      </c>
      <c r="K549" s="360" t="s">
        <v>2998</v>
      </c>
      <c r="L549" s="46"/>
      <c r="M549" s="360" t="s">
        <v>3024</v>
      </c>
      <c r="N549" s="360" t="s">
        <v>3025</v>
      </c>
      <c r="O549" s="46"/>
      <c r="P549" s="360" t="s">
        <v>2937</v>
      </c>
      <c r="Q549" s="104" t="str">
        <f t="array" ref="Q549"> if(iserror(MATCH(V549, 'File Links'!C:C, 0)), "N/A", HYPERLINK(INDEX('File Links'!B:B, MATCH(P549, 'File Links'!C:C, 0))))</f>
        <v>https://drive.google.com/file/d/1IfVJze_D0VNVGP0qGB9jOH8T88AinA4X/view?usp=drivesdk</v>
      </c>
      <c r="R549" s="360" t="s">
        <v>3026</v>
      </c>
      <c r="S549" s="360" t="s">
        <v>2939</v>
      </c>
      <c r="T549" s="46"/>
      <c r="U549" s="46"/>
      <c r="V549" s="360" t="str">
        <f t="shared" si="25"/>
        <v>10.1007--s10834-024-09975-7.pdf</v>
      </c>
      <c r="W549" s="360" t="s">
        <v>2962</v>
      </c>
      <c r="X549" s="54" t="str">
        <f t="array" ref="X549"> if(iserror(MATCH(V549, 'File Links'!C:C, 0)), "N/A", HYPERLINK(INDEX('File Links'!B:B, MATCH(V549, 'File Links'!C:C, 0))))</f>
        <v>https://drive.google.com/file/d/1kvzfXjBDZmFTCeJVlsPrywrDLzw17fXw/view?usp=drivesdk</v>
      </c>
      <c r="Y549" s="342"/>
      <c r="Z549" s="360" t="s">
        <v>226</v>
      </c>
      <c r="AA549" s="867" t="s">
        <v>2963</v>
      </c>
      <c r="AB549" s="46" t="s">
        <v>2964</v>
      </c>
      <c r="AC549" s="360" t="s">
        <v>3036</v>
      </c>
      <c r="AD549" s="360" t="s">
        <v>3003</v>
      </c>
      <c r="AE549" s="357">
        <v>25.0</v>
      </c>
      <c r="AF549" s="357">
        <v>259.0</v>
      </c>
      <c r="AG549" s="385">
        <v>0.029</v>
      </c>
      <c r="AH549" s="360" t="s">
        <v>987</v>
      </c>
      <c r="AI549" s="360" t="s">
        <v>3028</v>
      </c>
      <c r="AJ549" s="51" t="s">
        <v>2382</v>
      </c>
      <c r="AK549" s="49"/>
      <c r="AL549" s="47" t="s">
        <v>186</v>
      </c>
      <c r="AM549" s="46" t="s">
        <v>137</v>
      </c>
      <c r="AN549" s="56" t="s">
        <v>138</v>
      </c>
      <c r="AO549" s="46"/>
      <c r="AP549" s="357">
        <v>-0.003</v>
      </c>
      <c r="AQ549" s="360" t="s">
        <v>987</v>
      </c>
      <c r="AR549" s="360" t="s">
        <v>2968</v>
      </c>
      <c r="AS549" s="360" t="s">
        <v>2382</v>
      </c>
      <c r="AT549" s="46"/>
      <c r="AU549" s="360" t="s">
        <v>186</v>
      </c>
      <c r="AV549" s="46" t="s">
        <v>137</v>
      </c>
      <c r="AW549" s="866" t="s">
        <v>138</v>
      </c>
      <c r="AX549" s="46" t="s">
        <v>438</v>
      </c>
      <c r="AY549" s="61" t="str">
        <f>IFERROR(__xludf.DUMMYFUNCTION("vlookup(BB549,importrange(""https://docs.google.com/spreadsheets/d/1d2vevQ_7D_v35q4wCQ4RpQ_IPoTwEMB9Yp6ymwlPqew/edit?gid=984458430#gid=984458430"", ""'replication success'!A:K""), 11, FAlSE)"),"#N/A")</f>
        <v>#N/A</v>
      </c>
      <c r="AZ549" s="61" t="str">
        <f>IFERROR(__xludf.DUMMYFUNCTION("vlookup(BB549,importrange(""https://docs.google.com/spreadsheets/d/1d2vevQ_7D_v35q4wCQ4RpQ_IPoTwEMB9Yp6ymwlPqew/edit?gid=984458430#gid=984458430"", ""'replication success'!A:M""), 12, FAlSE)"),"#N/A")</f>
        <v>#N/A</v>
      </c>
      <c r="BA549" s="61" t="str">
        <f>IFERROR(__xludf.DUMMYFUNCTION("vlookup(BB549,importrange(""https://docs.google.com/spreadsheets/d/1d2vevQ_7D_v35q4wCQ4RpQ_IPoTwEMB9Yp6ymwlPqew/edit?gid=984458430#gid=984458430"", ""'replication success'!A:M""), 13, FAlSE)"),"#N/A")</f>
        <v>#N/A</v>
      </c>
      <c r="BB549" s="61" t="str">
        <f>IFERROR(__xludf.DUMMYFUNCTION("REGEXREPLACE(G549, ""_[a-z]{1,2}$"", """")"),"additional_studies74")</f>
        <v>additional_studies74</v>
      </c>
      <c r="BC549" s="340" t="s">
        <v>2947</v>
      </c>
      <c r="BD549" s="341" t="s">
        <v>692</v>
      </c>
      <c r="BE549" s="342"/>
      <c r="BF549" s="342"/>
      <c r="BG549" s="342"/>
      <c r="BH549" s="342"/>
      <c r="BI549" s="342"/>
      <c r="BJ549" s="342"/>
      <c r="BK549" s="342"/>
      <c r="BL549" s="342"/>
      <c r="BM549" s="342"/>
      <c r="BN549" s="342"/>
      <c r="BO549" s="342"/>
      <c r="BP549" s="342"/>
      <c r="BQ549" s="342"/>
      <c r="BR549" s="342"/>
      <c r="BS549" s="342"/>
      <c r="BT549" s="342"/>
      <c r="BU549" s="342"/>
      <c r="BV549" s="342"/>
      <c r="BW549" s="342"/>
      <c r="BX549" s="342"/>
      <c r="BY549" s="342"/>
      <c r="BZ549" s="342"/>
      <c r="CA549" s="342"/>
      <c r="CB549" s="342"/>
      <c r="CC549" s="342"/>
      <c r="CD549" s="342"/>
      <c r="CE549" s="342"/>
      <c r="CF549" s="342"/>
      <c r="CG549" s="342"/>
      <c r="CH549" s="342"/>
      <c r="CI549" s="342"/>
      <c r="CJ549" s="342"/>
      <c r="CK549" s="342"/>
      <c r="CL549" s="342"/>
      <c r="CM549" s="342"/>
      <c r="CN549" s="342"/>
      <c r="CO549" s="342"/>
      <c r="CP549" s="342"/>
      <c r="CQ549" s="342"/>
      <c r="CR549" s="342"/>
      <c r="CS549" s="342"/>
      <c r="CT549" s="342"/>
      <c r="CU549" s="342"/>
      <c r="CV549" s="342"/>
      <c r="CW549" s="342"/>
      <c r="CX549" s="342"/>
      <c r="CY549" s="342"/>
      <c r="CZ549" s="342"/>
      <c r="DA549" s="342"/>
      <c r="DB549" s="342"/>
      <c r="DC549" s="342"/>
      <c r="DD549" s="342"/>
      <c r="DE549" s="342"/>
      <c r="DF549" s="342"/>
      <c r="DG549" s="342"/>
      <c r="DH549" s="342"/>
      <c r="DI549" s="342"/>
      <c r="DJ549" s="342"/>
      <c r="DK549" s="342"/>
      <c r="DL549" s="342"/>
    </row>
    <row r="550" ht="20.25" customHeight="1">
      <c r="A550" s="354">
        <v>550.0</v>
      </c>
      <c r="B550" s="340" t="s">
        <v>114</v>
      </c>
      <c r="C550" s="341" t="s">
        <v>115</v>
      </c>
      <c r="D550" s="341" t="s">
        <v>2957</v>
      </c>
      <c r="E550" s="342"/>
      <c r="F550" s="360" t="s">
        <v>3037</v>
      </c>
      <c r="G550" s="47" t="s">
        <v>2959</v>
      </c>
      <c r="H550" s="360" t="s">
        <v>2960</v>
      </c>
      <c r="I550" s="344">
        <v>45478.0</v>
      </c>
      <c r="J550" s="344">
        <v>45663.0</v>
      </c>
      <c r="K550" s="360" t="s">
        <v>2998</v>
      </c>
      <c r="L550" s="46"/>
      <c r="M550" s="360" t="s">
        <v>3024</v>
      </c>
      <c r="N550" s="360" t="s">
        <v>3025</v>
      </c>
      <c r="O550" s="46"/>
      <c r="P550" s="360" t="s">
        <v>2937</v>
      </c>
      <c r="Q550" s="104" t="str">
        <f t="array" ref="Q550"> if(iserror(MATCH(V550, 'File Links'!C:C, 0)), "N/A", HYPERLINK(INDEX('File Links'!B:B, MATCH(P550, 'File Links'!C:C, 0))))</f>
        <v>https://drive.google.com/file/d/1IfVJze_D0VNVGP0qGB9jOH8T88AinA4X/view?usp=drivesdk</v>
      </c>
      <c r="R550" s="360" t="s">
        <v>3026</v>
      </c>
      <c r="S550" s="360" t="s">
        <v>2939</v>
      </c>
      <c r="T550" s="46"/>
      <c r="U550" s="46"/>
      <c r="V550" s="360" t="str">
        <f t="shared" si="25"/>
        <v>10.1007--s10834-024-09975-7.pdf</v>
      </c>
      <c r="W550" s="360" t="s">
        <v>2962</v>
      </c>
      <c r="X550" s="54" t="str">
        <f t="array" ref="X550"> if(iserror(MATCH(V550, 'File Links'!C:C, 0)), "N/A", HYPERLINK(INDEX('File Links'!B:B, MATCH(V550, 'File Links'!C:C, 0))))</f>
        <v>https://drive.google.com/file/d/1kvzfXjBDZmFTCeJVlsPrywrDLzw17fXw/view?usp=drivesdk</v>
      </c>
      <c r="Y550" s="342"/>
      <c r="Z550" s="360" t="s">
        <v>226</v>
      </c>
      <c r="AA550" s="867" t="s">
        <v>2963</v>
      </c>
      <c r="AB550" s="46" t="s">
        <v>2964</v>
      </c>
      <c r="AC550" s="46" t="s">
        <v>3038</v>
      </c>
      <c r="AD550" s="360" t="s">
        <v>3003</v>
      </c>
      <c r="AE550" s="357">
        <v>25.0</v>
      </c>
      <c r="AF550" s="357">
        <v>259.0</v>
      </c>
      <c r="AG550" s="385">
        <v>0.062</v>
      </c>
      <c r="AH550" s="360" t="s">
        <v>987</v>
      </c>
      <c r="AI550" s="360" t="s">
        <v>3028</v>
      </c>
      <c r="AJ550" s="51" t="s">
        <v>2382</v>
      </c>
      <c r="AK550" s="49"/>
      <c r="AL550" s="47" t="s">
        <v>186</v>
      </c>
      <c r="AM550" s="46" t="s">
        <v>137</v>
      </c>
      <c r="AN550" s="56" t="s">
        <v>138</v>
      </c>
      <c r="AO550" s="46"/>
      <c r="AP550" s="357">
        <v>0.045</v>
      </c>
      <c r="AQ550" s="360" t="s">
        <v>987</v>
      </c>
      <c r="AR550" s="360" t="s">
        <v>2968</v>
      </c>
      <c r="AS550" s="360" t="s">
        <v>2382</v>
      </c>
      <c r="AT550" s="46"/>
      <c r="AU550" s="360" t="s">
        <v>186</v>
      </c>
      <c r="AV550" s="46" t="s">
        <v>137</v>
      </c>
      <c r="AW550" s="866" t="s">
        <v>138</v>
      </c>
      <c r="AX550" s="46" t="s">
        <v>438</v>
      </c>
      <c r="AY550" s="61" t="str">
        <f>IFERROR(__xludf.DUMMYFUNCTION("vlookup(BB550,importrange(""https://docs.google.com/spreadsheets/d/1d2vevQ_7D_v35q4wCQ4RpQ_IPoTwEMB9Yp6ymwlPqew/edit?gid=984458430#gid=984458430"", ""'replication success'!A:K""), 11, FAlSE)"),"#N/A")</f>
        <v>#N/A</v>
      </c>
      <c r="AZ550" s="61" t="str">
        <f>IFERROR(__xludf.DUMMYFUNCTION("vlookup(BB550,importrange(""https://docs.google.com/spreadsheets/d/1d2vevQ_7D_v35q4wCQ4RpQ_IPoTwEMB9Yp6ymwlPqew/edit?gid=984458430#gid=984458430"", ""'replication success'!A:M""), 12, FAlSE)"),"#N/A")</f>
        <v>#N/A</v>
      </c>
      <c r="BA550" s="61" t="str">
        <f>IFERROR(__xludf.DUMMYFUNCTION("vlookup(BB550,importrange(""https://docs.google.com/spreadsheets/d/1d2vevQ_7D_v35q4wCQ4RpQ_IPoTwEMB9Yp6ymwlPqew/edit?gid=984458430#gid=984458430"", ""'replication success'!A:M""), 13, FAlSE)"),"#N/A")</f>
        <v>#N/A</v>
      </c>
      <c r="BB550" s="61" t="str">
        <f>IFERROR(__xludf.DUMMYFUNCTION("REGEXREPLACE(G550, ""_[a-z]{1,2}$"", """")"),"additional_studies74")</f>
        <v>additional_studies74</v>
      </c>
      <c r="BC550" s="340" t="s">
        <v>2947</v>
      </c>
      <c r="BD550" s="341" t="s">
        <v>692</v>
      </c>
      <c r="BE550" s="342"/>
      <c r="BF550" s="342"/>
      <c r="BG550" s="342"/>
      <c r="BH550" s="342"/>
      <c r="BI550" s="342"/>
      <c r="BJ550" s="342"/>
      <c r="BK550" s="342"/>
      <c r="BL550" s="342"/>
      <c r="BM550" s="342"/>
      <c r="BN550" s="342"/>
      <c r="BO550" s="342"/>
      <c r="BP550" s="342"/>
      <c r="BQ550" s="342"/>
      <c r="BR550" s="342"/>
      <c r="BS550" s="342"/>
      <c r="BT550" s="342"/>
      <c r="BU550" s="342"/>
      <c r="BV550" s="342"/>
      <c r="BW550" s="342"/>
      <c r="BX550" s="342"/>
      <c r="BY550" s="342"/>
      <c r="BZ550" s="342"/>
      <c r="CA550" s="342"/>
      <c r="CB550" s="342"/>
      <c r="CC550" s="342"/>
      <c r="CD550" s="342"/>
      <c r="CE550" s="342"/>
      <c r="CF550" s="342"/>
      <c r="CG550" s="342"/>
      <c r="CH550" s="342"/>
      <c r="CI550" s="342"/>
      <c r="CJ550" s="342"/>
      <c r="CK550" s="342"/>
      <c r="CL550" s="342"/>
      <c r="CM550" s="342"/>
      <c r="CN550" s="342"/>
      <c r="CO550" s="342"/>
      <c r="CP550" s="342"/>
      <c r="CQ550" s="342"/>
      <c r="CR550" s="342"/>
      <c r="CS550" s="342"/>
      <c r="CT550" s="342"/>
      <c r="CU550" s="342"/>
      <c r="CV550" s="342"/>
      <c r="CW550" s="342"/>
      <c r="CX550" s="342"/>
      <c r="CY550" s="342"/>
      <c r="CZ550" s="342"/>
      <c r="DA550" s="342"/>
      <c r="DB550" s="342"/>
      <c r="DC550" s="342"/>
      <c r="DD550" s="342"/>
      <c r="DE550" s="342"/>
      <c r="DF550" s="342"/>
      <c r="DG550" s="342"/>
      <c r="DH550" s="342"/>
      <c r="DI550" s="342"/>
      <c r="DJ550" s="342"/>
      <c r="DK550" s="342"/>
      <c r="DL550" s="342"/>
    </row>
    <row r="551" ht="20.25" customHeight="1">
      <c r="A551" s="44">
        <v>551.0</v>
      </c>
      <c r="B551" s="340" t="s">
        <v>152</v>
      </c>
      <c r="C551" s="340" t="s">
        <v>115</v>
      </c>
      <c r="D551" s="340" t="s">
        <v>2930</v>
      </c>
      <c r="E551" s="354"/>
      <c r="F551" s="341" t="s">
        <v>3039</v>
      </c>
      <c r="G551" s="340" t="s">
        <v>3040</v>
      </c>
      <c r="H551" s="340" t="s">
        <v>2933</v>
      </c>
      <c r="I551" s="352">
        <v>45478.0</v>
      </c>
      <c r="J551" s="352">
        <v>45633.0</v>
      </c>
      <c r="K551" s="340" t="s">
        <v>3041</v>
      </c>
      <c r="L551" s="354"/>
      <c r="M551" s="340" t="s">
        <v>3042</v>
      </c>
      <c r="N551" s="340" t="s">
        <v>3043</v>
      </c>
      <c r="O551" s="340">
        <v>1.0</v>
      </c>
      <c r="P551" s="340" t="s">
        <v>3044</v>
      </c>
      <c r="Q551" s="104" t="str">
        <f t="array" ref="Q551"> if(iserror(MATCH(V551, 'File Links'!C:C, 0)), "N/A", HYPERLINK(INDEX('File Links'!B:B, MATCH(P551, 'File Links'!C:C, 0))))</f>
        <v>https://drive.google.com/file/d/1bQdPG6N4D0o1pKlwFaURIS3ouXnJPLk2/view?usp=drivesdk</v>
      </c>
      <c r="R551" s="340" t="s">
        <v>3045</v>
      </c>
      <c r="S551" s="340" t="s">
        <v>3046</v>
      </c>
      <c r="T551" s="354"/>
      <c r="U551" s="340">
        <v>1.0</v>
      </c>
      <c r="V551" s="340" t="s">
        <v>3047</v>
      </c>
      <c r="W551" s="340" t="s">
        <v>209</v>
      </c>
      <c r="X551" s="54" t="str">
        <f t="array" ref="X551"> if(iserror(MATCH(V551, 'File Links'!C:C, 0)), "N/A", HYPERLINK(INDEX('File Links'!B:B, MATCH(V551, 'File Links'!C:C, 0))))</f>
        <v>https://drive.google.com/file/d/1mAgtvtRNwI_LQ2ccnmAWuBfkaX8itu_d/view?usp=drivesdk</v>
      </c>
      <c r="Y551" s="340" t="s">
        <v>3048</v>
      </c>
      <c r="Z551" s="340" t="s">
        <v>241</v>
      </c>
      <c r="AA551" s="354"/>
      <c r="AB551" s="354"/>
      <c r="AC551" s="354"/>
      <c r="AD551" s="354"/>
      <c r="AE551" s="354"/>
      <c r="AF551" s="354"/>
      <c r="AG551" s="354"/>
      <c r="AH551" s="340"/>
      <c r="AI551" s="354"/>
      <c r="AJ551" s="354"/>
      <c r="AK551" s="342"/>
      <c r="AL551" s="354"/>
      <c r="AM551" s="354"/>
      <c r="AN551" s="56" t="s">
        <v>138</v>
      </c>
      <c r="AO551" s="354"/>
      <c r="AP551" s="354"/>
      <c r="AQ551" s="354"/>
      <c r="AR551" s="354"/>
      <c r="AS551" s="354"/>
      <c r="AT551" s="342"/>
      <c r="AU551" s="342"/>
      <c r="AV551" s="46"/>
      <c r="AW551" s="342"/>
      <c r="AX551" s="342"/>
      <c r="AY551" s="61" t="str">
        <f>IFERROR(__xludf.DUMMYFUNCTION("vlookup(BB551,importrange(""https://docs.google.com/spreadsheets/d/1d2vevQ_7D_v35q4wCQ4RpQ_IPoTwEMB9Yp6ymwlPqew/edit?gid=984458430#gid=984458430"", ""'replication success'!A:K""), 11, FAlSE)"),"uninformative")</f>
        <v>uninformative</v>
      </c>
      <c r="AZ551" s="61" t="str">
        <f>IFERROR(__xludf.DUMMYFUNCTION("vlookup(BB551,importrange(""https://docs.google.com/spreadsheets/d/1d2vevQ_7D_v35q4wCQ4RpQ_IPoTwEMB9Yp6ymwlPqew/edit?gid=984458430#gid=984458430"", ""'replication success'!A:M""), 12, FAlSE)"),"")</f>
        <v/>
      </c>
      <c r="BA551" s="61" t="str">
        <f>IFERROR(__xludf.DUMMYFUNCTION("vlookup(BB551,importrange(""https://docs.google.com/spreadsheets/d/1d2vevQ_7D_v35q4wCQ4RpQ_IPoTwEMB9Yp6ymwlPqew/edit?gid=984458430#gid=984458430"", ""'replication success'!A:M""), 13, FAlSE)"),"abstract")</f>
        <v>abstract</v>
      </c>
      <c r="BB551" s="61" t="str">
        <f>IFERROR(__xludf.DUMMYFUNCTION("REGEXREPLACE(G551, ""_[a-z]{1,2}$"", """")"),"additional_studies75")</f>
        <v>additional_studies75</v>
      </c>
      <c r="BC551" s="340" t="s">
        <v>2947</v>
      </c>
      <c r="BD551" s="341" t="s">
        <v>692</v>
      </c>
      <c r="BE551" s="342"/>
      <c r="BF551" s="342"/>
      <c r="BG551" s="342"/>
      <c r="BH551" s="342"/>
      <c r="BI551" s="342"/>
      <c r="BJ551" s="342"/>
      <c r="BK551" s="342"/>
      <c r="BL551" s="342"/>
      <c r="BM551" s="342"/>
      <c r="BN551" s="342"/>
      <c r="BO551" s="342"/>
      <c r="BP551" s="342"/>
      <c r="BQ551" s="342"/>
      <c r="BR551" s="342"/>
      <c r="BS551" s="342"/>
      <c r="BT551" s="342"/>
      <c r="BU551" s="342"/>
      <c r="BV551" s="342"/>
      <c r="BW551" s="342"/>
      <c r="BX551" s="342"/>
      <c r="BY551" s="342"/>
      <c r="BZ551" s="342"/>
      <c r="CA551" s="342"/>
      <c r="CB551" s="342"/>
      <c r="CC551" s="342"/>
      <c r="CD551" s="342"/>
      <c r="CE551" s="342"/>
      <c r="CF551" s="342"/>
      <c r="CG551" s="342"/>
      <c r="CH551" s="342"/>
      <c r="CI551" s="342"/>
      <c r="CJ551" s="342"/>
      <c r="CK551" s="342"/>
      <c r="CL551" s="342"/>
      <c r="CM551" s="342"/>
      <c r="CN551" s="342"/>
      <c r="CO551" s="342"/>
      <c r="CP551" s="342"/>
      <c r="CQ551" s="342"/>
      <c r="CR551" s="342"/>
      <c r="CS551" s="342"/>
      <c r="CT551" s="342"/>
      <c r="CU551" s="342"/>
      <c r="CV551" s="342"/>
      <c r="CW551" s="342"/>
      <c r="CX551" s="342"/>
      <c r="CY551" s="342"/>
      <c r="CZ551" s="342"/>
      <c r="DA551" s="342"/>
      <c r="DB551" s="342"/>
      <c r="DC551" s="342"/>
      <c r="DD551" s="342"/>
      <c r="DE551" s="342"/>
      <c r="DF551" s="342"/>
      <c r="DG551" s="342"/>
      <c r="DH551" s="342"/>
      <c r="DI551" s="342"/>
      <c r="DJ551" s="342"/>
      <c r="DK551" s="342"/>
      <c r="DL551" s="342"/>
    </row>
    <row r="552" ht="20.25" customHeight="1">
      <c r="A552" s="44">
        <v>552.0</v>
      </c>
      <c r="B552" s="341" t="s">
        <v>114</v>
      </c>
      <c r="C552" s="341" t="s">
        <v>115</v>
      </c>
      <c r="D552" s="341" t="s">
        <v>2957</v>
      </c>
      <c r="E552" s="342"/>
      <c r="F552" s="360" t="s">
        <v>3039</v>
      </c>
      <c r="G552" s="47" t="s">
        <v>3040</v>
      </c>
      <c r="H552" s="360" t="s">
        <v>2960</v>
      </c>
      <c r="I552" s="344">
        <v>45478.0</v>
      </c>
      <c r="J552" s="344">
        <v>45660.0</v>
      </c>
      <c r="K552" s="360" t="s">
        <v>3049</v>
      </c>
      <c r="L552" s="46"/>
      <c r="M552" s="360" t="s">
        <v>3042</v>
      </c>
      <c r="N552" s="360" t="s">
        <v>3043</v>
      </c>
      <c r="O552" s="46"/>
      <c r="P552" s="360" t="s">
        <v>3044</v>
      </c>
      <c r="Q552" s="104" t="str">
        <f t="array" ref="Q552"> if(iserror(MATCH(V552, 'File Links'!C:C, 0)), "N/A", HYPERLINK(INDEX('File Links'!B:B, MATCH(P552, 'File Links'!C:C, 0))))</f>
        <v>https://drive.google.com/file/d/1bQdPG6N4D0o1pKlwFaURIS3ouXnJPLk2/view?usp=drivesdk</v>
      </c>
      <c r="R552" s="360" t="s">
        <v>3050</v>
      </c>
      <c r="S552" s="360" t="s">
        <v>3046</v>
      </c>
      <c r="T552" s="46"/>
      <c r="U552" s="46"/>
      <c r="V552" s="360" t="str">
        <f t="shared" ref="V552:V561" si="29"> hyperlink(vlookup(lower(S552),#REF!, 2, FALSE), SUBSTITUTE(lower(S552), "/", "--") &amp;  ".pdf")</f>
        <v>10.37237--150205.pdf</v>
      </c>
      <c r="W552" s="360" t="s">
        <v>3051</v>
      </c>
      <c r="X552" s="54" t="str">
        <f t="array" ref="X552"> if(iserror(MATCH(V552, 'File Links'!C:C, 0)), "N/A", HYPERLINK(INDEX('File Links'!B:B, MATCH(V552, 'File Links'!C:C, 0))))</f>
        <v>https://drive.google.com/file/d/1mAgtvtRNwI_LQ2ccnmAWuBfkaX8itu_d/view?usp=drivesdk</v>
      </c>
      <c r="Y552" s="342"/>
      <c r="Z552" s="360" t="s">
        <v>241</v>
      </c>
      <c r="AA552" s="46" t="s">
        <v>3052</v>
      </c>
      <c r="AB552" s="360" t="s">
        <v>3053</v>
      </c>
      <c r="AC552" s="360" t="s">
        <v>3054</v>
      </c>
      <c r="AD552" s="503" t="s">
        <v>3055</v>
      </c>
      <c r="AE552" s="360" t="s">
        <v>3056</v>
      </c>
      <c r="AF552" s="357">
        <v>39.0</v>
      </c>
      <c r="AG552" s="46"/>
      <c r="AH552" s="46"/>
      <c r="AI552" s="360" t="s">
        <v>3057</v>
      </c>
      <c r="AJ552" s="105"/>
      <c r="AK552" s="49"/>
      <c r="AL552" s="49"/>
      <c r="AM552" s="46"/>
      <c r="AN552" s="56" t="s">
        <v>138</v>
      </c>
      <c r="AO552" s="357">
        <v>42.0</v>
      </c>
      <c r="AP552" s="46"/>
      <c r="AQ552" s="46"/>
      <c r="AR552" s="360" t="s">
        <v>3058</v>
      </c>
      <c r="AS552" s="46"/>
      <c r="AT552" s="46"/>
      <c r="AU552" s="46"/>
      <c r="AV552" s="46"/>
      <c r="AW552" s="46"/>
      <c r="AX552" s="46" t="s">
        <v>143</v>
      </c>
      <c r="AY552" s="61" t="str">
        <f>IFERROR(__xludf.DUMMYFUNCTION("vlookup(BB552,importrange(""https://docs.google.com/spreadsheets/d/1d2vevQ_7D_v35q4wCQ4RpQ_IPoTwEMB9Yp6ymwlPqew/edit?gid=984458430#gid=984458430"", ""'replication success'!A:K""), 11, FAlSE)"),"uninformative")</f>
        <v>uninformative</v>
      </c>
      <c r="AZ552" s="61" t="str">
        <f>IFERROR(__xludf.DUMMYFUNCTION("vlookup(BB552,importrange(""https://docs.google.com/spreadsheets/d/1d2vevQ_7D_v35q4wCQ4RpQ_IPoTwEMB9Yp6ymwlPqew/edit?gid=984458430#gid=984458430"", ""'replication success'!A:M""), 12, FAlSE)"),"")</f>
        <v/>
      </c>
      <c r="BA552" s="61" t="str">
        <f>IFERROR(__xludf.DUMMYFUNCTION("vlookup(BB552,importrange(""https://docs.google.com/spreadsheets/d/1d2vevQ_7D_v35q4wCQ4RpQ_IPoTwEMB9Yp6ymwlPqew/edit?gid=984458430#gid=984458430"", ""'replication success'!A:M""), 13, FAlSE)"),"abstract")</f>
        <v>abstract</v>
      </c>
      <c r="BB552" s="61" t="str">
        <f>IFERROR(__xludf.DUMMYFUNCTION("REGEXREPLACE(G552, ""_[a-z]{1,2}$"", """")"),"additional_studies75")</f>
        <v>additional_studies75</v>
      </c>
      <c r="BC552" s="340" t="s">
        <v>2947</v>
      </c>
      <c r="BD552" s="341" t="s">
        <v>692</v>
      </c>
      <c r="BE552" s="342"/>
      <c r="BF552" s="342"/>
      <c r="BG552" s="342"/>
      <c r="BH552" s="342"/>
      <c r="BI552" s="342"/>
      <c r="BJ552" s="342"/>
      <c r="BK552" s="342"/>
      <c r="BL552" s="342"/>
      <c r="BM552" s="342"/>
      <c r="BN552" s="342"/>
      <c r="BO552" s="342"/>
      <c r="BP552" s="342"/>
      <c r="BQ552" s="342"/>
      <c r="BR552" s="342"/>
      <c r="BS552" s="342"/>
      <c r="BT552" s="342"/>
      <c r="BU552" s="342"/>
      <c r="BV552" s="342"/>
      <c r="BW552" s="342"/>
      <c r="BX552" s="342"/>
      <c r="BY552" s="342"/>
      <c r="BZ552" s="342"/>
      <c r="CA552" s="342"/>
      <c r="CB552" s="342"/>
      <c r="CC552" s="342"/>
      <c r="CD552" s="342"/>
      <c r="CE552" s="342"/>
      <c r="CF552" s="342"/>
      <c r="CG552" s="342"/>
      <c r="CH552" s="342"/>
      <c r="CI552" s="342"/>
      <c r="CJ552" s="342"/>
      <c r="CK552" s="342"/>
      <c r="CL552" s="342"/>
      <c r="CM552" s="342"/>
      <c r="CN552" s="342"/>
      <c r="CO552" s="342"/>
      <c r="CP552" s="342"/>
      <c r="CQ552" s="342"/>
      <c r="CR552" s="342"/>
      <c r="CS552" s="342"/>
      <c r="CT552" s="342"/>
      <c r="CU552" s="342"/>
      <c r="CV552" s="342"/>
      <c r="CW552" s="342"/>
      <c r="CX552" s="342"/>
      <c r="CY552" s="342"/>
      <c r="CZ552" s="342"/>
      <c r="DA552" s="342"/>
      <c r="DB552" s="342"/>
      <c r="DC552" s="342"/>
      <c r="DD552" s="342"/>
      <c r="DE552" s="342"/>
      <c r="DF552" s="342"/>
      <c r="DG552" s="342"/>
      <c r="DH552" s="342"/>
      <c r="DI552" s="342"/>
      <c r="DJ552" s="342"/>
      <c r="DK552" s="342"/>
      <c r="DL552" s="342"/>
    </row>
    <row r="553" ht="20.25" customHeight="1">
      <c r="A553" s="44">
        <v>553.0</v>
      </c>
      <c r="B553" s="368" t="s">
        <v>114</v>
      </c>
      <c r="C553" s="368" t="s">
        <v>115</v>
      </c>
      <c r="D553" s="368" t="s">
        <v>2930</v>
      </c>
      <c r="E553" s="689"/>
      <c r="F553" s="188" t="s">
        <v>3059</v>
      </c>
      <c r="G553" s="368" t="s">
        <v>3060</v>
      </c>
      <c r="H553" s="368" t="s">
        <v>2933</v>
      </c>
      <c r="I553" s="869">
        <v>45633.0</v>
      </c>
      <c r="J553" s="170">
        <v>45688.0</v>
      </c>
      <c r="K553" s="689"/>
      <c r="L553" s="689"/>
      <c r="M553" s="870" t="s">
        <v>3061</v>
      </c>
      <c r="N553" s="368" t="s">
        <v>3062</v>
      </c>
      <c r="O553" s="368">
        <v>1.0</v>
      </c>
      <c r="P553" s="368" t="s">
        <v>3063</v>
      </c>
      <c r="Q553" s="52" t="str">
        <f t="array" ref="Q553"> if(iserror(MATCH(V553, 'File Links'!C:C, 0)), "N/A", HYPERLINK(INDEX('File Links'!B:B, MATCH(P553, 'File Links'!C:C, 0))))</f>
        <v>https://drive.google.com/file/d/1EOobtRYPjKeO9_gYW4bu-_TIpK_PjuLA/view?usp=drivesdk</v>
      </c>
      <c r="R553" s="368" t="s">
        <v>3064</v>
      </c>
      <c r="S553" s="368" t="s">
        <v>3065</v>
      </c>
      <c r="T553" s="689"/>
      <c r="U553" s="368">
        <v>1.0</v>
      </c>
      <c r="V553" s="198" t="str">
        <f t="shared" si="29"/>
        <v>10.31234--osf.io--jfmsz.pdf</v>
      </c>
      <c r="W553" s="368" t="s">
        <v>209</v>
      </c>
      <c r="X553" s="54" t="str">
        <f t="array" ref="X553"> if(iserror(MATCH(V553, 'File Links'!C:C, 0)), "N/A", HYPERLINK(INDEX('File Links'!B:B, MATCH(V553, 'File Links'!C:C, 0))))</f>
        <v>https://drive.google.com/file/d/1VVeqTkEjSzuu9KSkYUb2Q1_BeFG8ZFes/view?usp=drivesdk</v>
      </c>
      <c r="Y553" s="689"/>
      <c r="Z553" s="368" t="s">
        <v>226</v>
      </c>
      <c r="AA553" s="871" t="s">
        <v>3066</v>
      </c>
      <c r="AB553" s="368" t="s">
        <v>3067</v>
      </c>
      <c r="AC553" s="871" t="s">
        <v>3068</v>
      </c>
      <c r="AD553" s="368" t="s">
        <v>3069</v>
      </c>
      <c r="AE553" s="368">
        <v>2.0</v>
      </c>
      <c r="AF553" s="368">
        <v>576.0</v>
      </c>
      <c r="AG553" s="368">
        <v>0.13</v>
      </c>
      <c r="AH553" s="368" t="s">
        <v>361</v>
      </c>
      <c r="AI553" s="368" t="s">
        <v>875</v>
      </c>
      <c r="AJ553" s="368">
        <v>0.007</v>
      </c>
      <c r="AK553" s="188" t="s">
        <v>172</v>
      </c>
      <c r="AL553" s="368" t="s">
        <v>186</v>
      </c>
      <c r="AM553" s="368" t="s">
        <v>137</v>
      </c>
      <c r="AN553" s="872" t="s">
        <v>3070</v>
      </c>
      <c r="AO553" s="368">
        <v>961.0</v>
      </c>
      <c r="AP553" s="368">
        <v>0.095</v>
      </c>
      <c r="AQ553" s="368" t="s">
        <v>361</v>
      </c>
      <c r="AR553" s="368" t="s">
        <v>850</v>
      </c>
      <c r="AS553" s="368">
        <v>0.014</v>
      </c>
      <c r="AT553" s="188" t="s">
        <v>172</v>
      </c>
      <c r="AU553" s="188" t="s">
        <v>186</v>
      </c>
      <c r="AV553" s="374" t="s">
        <v>137</v>
      </c>
      <c r="AW553" s="873" t="s">
        <v>3071</v>
      </c>
      <c r="AX553" s="188" t="s">
        <v>143</v>
      </c>
      <c r="AY553" s="61" t="str">
        <f>IFERROR(__xludf.DUMMYFUNCTION("vlookup(BB553,importrange(""https://docs.google.com/spreadsheets/d/1d2vevQ_7D_v35q4wCQ4RpQ_IPoTwEMB9Yp6ymwlPqew/edit?gid=984458430#gid=984458430"", ""'replication success'!A:K""), 11, FAlSE)"),"successful")</f>
        <v>successful</v>
      </c>
      <c r="AZ553" s="61" t="str">
        <f>IFERROR(__xludf.DUMMYFUNCTION("vlookup(BB553,importrange(""https://docs.google.com/spreadsheets/d/1d2vevQ_7D_v35q4wCQ4RpQ_IPoTwEMB9Yp6ymwlPqew/edit?gid=984458430#gid=984458430"", ""'replication success'!A:M""), 12, FAlSE)"),"We ran a replication of study 1 from this paper, which found that the variety in a person’s social interactions predicts greater well-being, even when
controlling for their amount of in-person social interaction. This finding was replicated in our study.")</f>
        <v>We ran a replication of study 1 from this paper, which found that the variety in a person’s social interactions predicts greater well-being, even when
controlling for their amount of in-person social interaction. This finding was replicated in our study.</v>
      </c>
      <c r="BA553" s="61" t="str">
        <f>IFERROR(__xludf.DUMMYFUNCTION("vlookup(BB553,importrange(""https://docs.google.com/spreadsheets/d/1d2vevQ_7D_v35q4wCQ4RpQ_IPoTwEMB9Yp6ymwlPqew/edit?gid=984458430#gid=984458430"", ""'replication success'!A:M""), 13, FAlSE)"),"abstract")</f>
        <v>abstract</v>
      </c>
      <c r="BB553" s="61" t="str">
        <f>IFERROR(__xludf.DUMMYFUNCTION("REGEXREPLACE(G553, ""_[a-z]{1,2}$"", """")"),"additional_studies77")</f>
        <v>additional_studies77</v>
      </c>
      <c r="BC553" s="368" t="s">
        <v>3072</v>
      </c>
      <c r="BD553" s="188" t="s">
        <v>144</v>
      </c>
      <c r="BE553" s="92"/>
      <c r="BF553" s="92"/>
      <c r="BG553" s="92"/>
      <c r="BH553" s="92"/>
      <c r="BI553" s="92"/>
      <c r="BJ553" s="92"/>
      <c r="BK553" s="92"/>
      <c r="BL553" s="92"/>
      <c r="BM553" s="92"/>
      <c r="BN553" s="92"/>
      <c r="BO553" s="92"/>
      <c r="BP553" s="92"/>
      <c r="BQ553" s="92"/>
      <c r="BR553" s="92"/>
      <c r="BS553" s="92"/>
      <c r="BT553" s="92"/>
      <c r="BU553" s="92"/>
      <c r="BV553" s="92"/>
      <c r="BW553" s="92"/>
      <c r="BX553" s="92"/>
      <c r="BY553" s="92"/>
      <c r="BZ553" s="92"/>
      <c r="CA553" s="92"/>
      <c r="CB553" s="92"/>
      <c r="CC553" s="92"/>
      <c r="CD553" s="92"/>
      <c r="CE553" s="92"/>
      <c r="CF553" s="92"/>
      <c r="CG553" s="92"/>
      <c r="CH553" s="92"/>
      <c r="CI553" s="92"/>
      <c r="CJ553" s="92"/>
      <c r="CK553" s="92"/>
      <c r="CL553" s="92"/>
      <c r="CM553" s="92"/>
      <c r="CN553" s="92"/>
      <c r="CO553" s="92"/>
      <c r="CP553" s="92"/>
      <c r="CQ553" s="92"/>
      <c r="CR553" s="92"/>
      <c r="CS553" s="92"/>
      <c r="CT553" s="92"/>
      <c r="CU553" s="92"/>
      <c r="CV553" s="92"/>
      <c r="CW553" s="92"/>
      <c r="CX553" s="92"/>
      <c r="CY553" s="92"/>
      <c r="CZ553" s="92"/>
      <c r="DA553" s="92"/>
      <c r="DB553" s="92"/>
      <c r="DC553" s="92"/>
      <c r="DD553" s="92"/>
      <c r="DE553" s="92"/>
      <c r="DF553" s="92"/>
      <c r="DG553" s="92"/>
      <c r="DH553" s="92"/>
      <c r="DI553" s="92"/>
      <c r="DJ553" s="92"/>
      <c r="DK553" s="92"/>
      <c r="DL553" s="92"/>
    </row>
    <row r="554" ht="20.25" customHeight="1">
      <c r="A554" s="44">
        <v>554.0</v>
      </c>
      <c r="B554" s="368" t="s">
        <v>152</v>
      </c>
      <c r="C554" s="188" t="s">
        <v>115</v>
      </c>
      <c r="D554" s="188" t="s">
        <v>2957</v>
      </c>
      <c r="E554" s="189"/>
      <c r="F554" s="190" t="s">
        <v>3059</v>
      </c>
      <c r="G554" s="58" t="s">
        <v>3060</v>
      </c>
      <c r="H554" s="198" t="s">
        <v>2960</v>
      </c>
      <c r="I554" s="191">
        <v>45635.0</v>
      </c>
      <c r="J554" s="170">
        <v>45688.0</v>
      </c>
      <c r="K554" s="198" t="s">
        <v>3073</v>
      </c>
      <c r="L554" s="190"/>
      <c r="M554" s="870" t="s">
        <v>3074</v>
      </c>
      <c r="N554" s="368" t="s">
        <v>3062</v>
      </c>
      <c r="O554" s="758">
        <v>1.0</v>
      </c>
      <c r="P554" s="198" t="s">
        <v>3063</v>
      </c>
      <c r="Q554" s="52" t="str">
        <f t="array" ref="Q554"> if(iserror(MATCH(V554, 'File Links'!C:C, 0)), "N/A", HYPERLINK(INDEX('File Links'!B:B, MATCH(P554, 'File Links'!C:C, 0))))</f>
        <v>https://drive.google.com/file/d/1EOobtRYPjKeO9_gYW4bu-_TIpK_PjuLA/view?usp=drivesdk</v>
      </c>
      <c r="R554" s="368" t="s">
        <v>3064</v>
      </c>
      <c r="S554" s="198" t="s">
        <v>3065</v>
      </c>
      <c r="T554" s="190"/>
      <c r="U554" s="368">
        <v>1.0</v>
      </c>
      <c r="V554" s="198" t="str">
        <f t="shared" si="29"/>
        <v>10.31234--osf.io--jfmsz.pdf</v>
      </c>
      <c r="W554" s="368" t="s">
        <v>209</v>
      </c>
      <c r="X554" s="54" t="str">
        <f t="array" ref="X554"> if(iserror(MATCH(V554, 'File Links'!C:C, 0)), "N/A", HYPERLINK(INDEX('File Links'!B:B, MATCH(V554, 'File Links'!C:C, 0))))</f>
        <v>https://drive.google.com/file/d/1VVeqTkEjSzuu9KSkYUb2Q1_BeFG8ZFes/view?usp=drivesdk</v>
      </c>
      <c r="Y554" s="189"/>
      <c r="Z554" s="368" t="s">
        <v>226</v>
      </c>
      <c r="AA554" s="198" t="s">
        <v>3066</v>
      </c>
      <c r="AB554" s="874" t="s">
        <v>3067</v>
      </c>
      <c r="AC554" s="198" t="s">
        <v>3068</v>
      </c>
      <c r="AD554" s="368" t="s">
        <v>3069</v>
      </c>
      <c r="AE554" s="758">
        <v>2.0</v>
      </c>
      <c r="AF554" s="874">
        <v>576.0</v>
      </c>
      <c r="AG554" s="758">
        <v>0.13</v>
      </c>
      <c r="AH554" s="198" t="s">
        <v>361</v>
      </c>
      <c r="AI554" s="368" t="s">
        <v>875</v>
      </c>
      <c r="AJ554" s="875">
        <v>0.007</v>
      </c>
      <c r="AK554" s="58" t="s">
        <v>172</v>
      </c>
      <c r="AL554" s="58" t="s">
        <v>186</v>
      </c>
      <c r="AM554" s="190" t="s">
        <v>137</v>
      </c>
      <c r="AN554" s="876" t="s">
        <v>3070</v>
      </c>
      <c r="AO554" s="758">
        <v>961.0</v>
      </c>
      <c r="AP554" s="758">
        <v>0.095</v>
      </c>
      <c r="AQ554" s="198" t="s">
        <v>361</v>
      </c>
      <c r="AR554" s="368" t="s">
        <v>850</v>
      </c>
      <c r="AS554" s="874">
        <v>0.014</v>
      </c>
      <c r="AT554" s="198" t="s">
        <v>172</v>
      </c>
      <c r="AU554" s="198" t="s">
        <v>186</v>
      </c>
      <c r="AV554" s="190" t="s">
        <v>137</v>
      </c>
      <c r="AW554" s="877" t="s">
        <v>3071</v>
      </c>
      <c r="AX554" s="190" t="s">
        <v>143</v>
      </c>
      <c r="AY554" s="61" t="str">
        <f>IFERROR(__xludf.DUMMYFUNCTION("vlookup(BB554,importrange(""https://docs.google.com/spreadsheets/d/1d2vevQ_7D_v35q4wCQ4RpQ_IPoTwEMB9Yp6ymwlPqew/edit?gid=984458430#gid=984458430"", ""'replication success'!A:K""), 11, FAlSE)"),"successful")</f>
        <v>successful</v>
      </c>
      <c r="AZ554" s="61" t="str">
        <f>IFERROR(__xludf.DUMMYFUNCTION("vlookup(BB554,importrange(""https://docs.google.com/spreadsheets/d/1d2vevQ_7D_v35q4wCQ4RpQ_IPoTwEMB9Yp6ymwlPqew/edit?gid=984458430#gid=984458430"", ""'replication success'!A:M""), 12, FAlSE)"),"We ran a replication of study 1 from this paper, which found that the variety in a person’s social interactions predicts greater well-being, even when
controlling for their amount of in-person social interaction. This finding was replicated in our study.")</f>
        <v>We ran a replication of study 1 from this paper, which found that the variety in a person’s social interactions predicts greater well-being, even when
controlling for their amount of in-person social interaction. This finding was replicated in our study.</v>
      </c>
      <c r="BA554" s="61" t="str">
        <f>IFERROR(__xludf.DUMMYFUNCTION("vlookup(BB554,importrange(""https://docs.google.com/spreadsheets/d/1d2vevQ_7D_v35q4wCQ4RpQ_IPoTwEMB9Yp6ymwlPqew/edit?gid=984458430#gid=984458430"", ""'replication success'!A:M""), 13, FAlSE)"),"abstract")</f>
        <v>abstract</v>
      </c>
      <c r="BB554" s="61" t="str">
        <f>IFERROR(__xludf.DUMMYFUNCTION("REGEXREPLACE(G554, ""_[a-z]{1,2}$"", """")"),"additional_studies77")</f>
        <v>additional_studies77</v>
      </c>
      <c r="BC554" s="368" t="s">
        <v>3072</v>
      </c>
      <c r="BD554" s="188" t="s">
        <v>144</v>
      </c>
      <c r="BE554" s="92"/>
      <c r="BF554" s="92"/>
      <c r="BG554" s="92"/>
      <c r="BH554" s="92"/>
      <c r="BI554" s="92"/>
      <c r="BJ554" s="92"/>
      <c r="BK554" s="92"/>
      <c r="BL554" s="92"/>
      <c r="BM554" s="92"/>
      <c r="BN554" s="92"/>
      <c r="BO554" s="92"/>
      <c r="BP554" s="92"/>
      <c r="BQ554" s="92"/>
      <c r="BR554" s="92"/>
      <c r="BS554" s="92"/>
      <c r="BT554" s="92"/>
      <c r="BU554" s="92"/>
      <c r="BV554" s="92"/>
      <c r="BW554" s="92"/>
      <c r="BX554" s="92"/>
      <c r="BY554" s="92"/>
      <c r="BZ554" s="92"/>
      <c r="CA554" s="92"/>
      <c r="CB554" s="92"/>
      <c r="CC554" s="92"/>
      <c r="CD554" s="92"/>
      <c r="CE554" s="92"/>
      <c r="CF554" s="92"/>
      <c r="CG554" s="92"/>
      <c r="CH554" s="92"/>
      <c r="CI554" s="92"/>
      <c r="CJ554" s="92"/>
      <c r="CK554" s="92"/>
      <c r="CL554" s="92"/>
      <c r="CM554" s="92"/>
      <c r="CN554" s="92"/>
      <c r="CO554" s="92"/>
      <c r="CP554" s="92"/>
      <c r="CQ554" s="92"/>
      <c r="CR554" s="92"/>
      <c r="CS554" s="92"/>
      <c r="CT554" s="92"/>
      <c r="CU554" s="92"/>
      <c r="CV554" s="92"/>
      <c r="CW554" s="92"/>
      <c r="CX554" s="92"/>
      <c r="CY554" s="92"/>
      <c r="CZ554" s="92"/>
      <c r="DA554" s="92"/>
      <c r="DB554" s="92"/>
      <c r="DC554" s="92"/>
      <c r="DD554" s="92"/>
      <c r="DE554" s="92"/>
      <c r="DF554" s="92"/>
      <c r="DG554" s="92"/>
      <c r="DH554" s="92"/>
      <c r="DI554" s="92"/>
      <c r="DJ554" s="92"/>
      <c r="DK554" s="92"/>
      <c r="DL554" s="92"/>
    </row>
    <row r="555" ht="20.25" customHeight="1">
      <c r="A555" s="44">
        <v>555.0</v>
      </c>
      <c r="B555" s="340" t="s">
        <v>152</v>
      </c>
      <c r="C555" s="340" t="s">
        <v>115</v>
      </c>
      <c r="D555" s="340" t="s">
        <v>2930</v>
      </c>
      <c r="E555" s="354"/>
      <c r="F555" s="341" t="s">
        <v>3075</v>
      </c>
      <c r="G555" s="340" t="s">
        <v>3076</v>
      </c>
      <c r="H555" s="340" t="s">
        <v>2933</v>
      </c>
      <c r="I555" s="352">
        <v>45489.0</v>
      </c>
      <c r="J555" s="352">
        <v>45634.0</v>
      </c>
      <c r="K555" s="354"/>
      <c r="L555" s="354"/>
      <c r="M555" s="340" t="s">
        <v>3077</v>
      </c>
      <c r="N555" s="340" t="s">
        <v>3078</v>
      </c>
      <c r="O555" s="340" t="s">
        <v>3079</v>
      </c>
      <c r="P555" s="340" t="s">
        <v>3080</v>
      </c>
      <c r="Q555" s="104" t="str">
        <f t="array" ref="Q555"> if(iserror(MATCH(V555, 'File Links'!C:C, 0)), "N/A", HYPERLINK(INDEX('File Links'!B:B, MATCH(P555, 'File Links'!C:C, 0))))</f>
        <v>https://drive.google.com/file/d/1Dle9tBaQJnicGTbi-WNIWZLHBhpRMBFu/view?usp=drivesdk</v>
      </c>
      <c r="R555" s="340" t="s">
        <v>3081</v>
      </c>
      <c r="S555" s="340" t="s">
        <v>3082</v>
      </c>
      <c r="T555" s="354"/>
      <c r="U555" s="340"/>
      <c r="V555" s="360" t="str">
        <f t="shared" si="29"/>
        <v>10.31234--osf.io--xjaty.pdf</v>
      </c>
      <c r="W555" s="340" t="s">
        <v>209</v>
      </c>
      <c r="X555" s="54" t="str">
        <f t="array" ref="X555"> if(iserror(MATCH(V555, 'File Links'!C:C, 0)), "N/A", HYPERLINK(INDEX('File Links'!B:B, MATCH(V555, 'File Links'!C:C, 0))))</f>
        <v>https://drive.google.com/file/d/1DMMXxQwzUbOxshIWiT8AwdGZ588_WZ8b/view?usp=drivesdk</v>
      </c>
      <c r="Y555" s="354"/>
      <c r="Z555" s="340" t="s">
        <v>148</v>
      </c>
      <c r="AA555" s="878" t="s">
        <v>3083</v>
      </c>
      <c r="AB555" s="340" t="s">
        <v>3084</v>
      </c>
      <c r="AC555" s="340" t="s">
        <v>3085</v>
      </c>
      <c r="AD555" s="340" t="s">
        <v>3086</v>
      </c>
      <c r="AE555" s="340">
        <v>3.0</v>
      </c>
      <c r="AF555" s="340">
        <v>462.0</v>
      </c>
      <c r="AG555" s="340">
        <v>0.32</v>
      </c>
      <c r="AH555" s="340" t="s">
        <v>173</v>
      </c>
      <c r="AI555" s="340" t="s">
        <v>875</v>
      </c>
      <c r="AJ555" s="340">
        <v>0.001</v>
      </c>
      <c r="AK555" s="341" t="s">
        <v>135</v>
      </c>
      <c r="AL555" s="340" t="s">
        <v>136</v>
      </c>
      <c r="AM555" s="340" t="s">
        <v>137</v>
      </c>
      <c r="AN555" s="56" t="s">
        <v>138</v>
      </c>
      <c r="AO555" s="340">
        <v>475.0</v>
      </c>
      <c r="AP555" s="340">
        <v>0.009</v>
      </c>
      <c r="AQ555" s="340" t="s">
        <v>173</v>
      </c>
      <c r="AR555" s="340" t="s">
        <v>850</v>
      </c>
      <c r="AS555" s="340">
        <v>0.924</v>
      </c>
      <c r="AT555" s="341" t="s">
        <v>172</v>
      </c>
      <c r="AU555" s="341" t="s">
        <v>136</v>
      </c>
      <c r="AV555" s="56" t="s">
        <v>137</v>
      </c>
      <c r="AW555" s="879" t="s">
        <v>3087</v>
      </c>
      <c r="AX555" s="341" t="s">
        <v>143</v>
      </c>
      <c r="AY555" s="61" t="str">
        <f>IFERROR(__xludf.DUMMYFUNCTION("vlookup(BB555,importrange(""https://docs.google.com/spreadsheets/d/1d2vevQ_7D_v35q4wCQ4RpQ_IPoTwEMB9Yp6ymwlPqew/edit?gid=984458430#gid=984458430"", ""'replication success'!A:K""), 11, FAlSE)"),"failed")</f>
        <v>failed</v>
      </c>
      <c r="AZ555" s="61" t="str">
        <f>IFERROR(__xludf.DUMMYFUNCTION("vlookup(BB555,importrange(""https://docs.google.com/spreadsheets/d/1d2vevQ_7D_v35q4wCQ4RpQ_IPoTwEMB9Yp6ymwlPqew/edit?gid=984458430#gid=984458430"",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55" s="61" t="str">
        <f>IFERROR(__xludf.DUMMYFUNCTION("vlookup(BB555,importrange(""https://docs.google.com/spreadsheets/d/1d2vevQ_7D_v35q4wCQ4RpQ_IPoTwEMB9Yp6ymwlPqew/edit?gid=984458430#gid=984458430"", ""'replication success'!A:M""), 13, FAlSE)"),"abstract")</f>
        <v>abstract</v>
      </c>
      <c r="BB555" s="61" t="str">
        <f>IFERROR(__xludf.DUMMYFUNCTION("REGEXREPLACE(G555, ""_[a-z]{1,2}$"", """")"),"additional_studies78")</f>
        <v>additional_studies78</v>
      </c>
      <c r="BC555" s="354"/>
      <c r="BD555" s="341" t="s">
        <v>692</v>
      </c>
      <c r="BE555" s="342"/>
      <c r="BF555" s="342"/>
      <c r="BG555" s="342"/>
      <c r="BH555" s="342"/>
      <c r="BI555" s="342"/>
      <c r="BJ555" s="342"/>
      <c r="BK555" s="342"/>
      <c r="BL555" s="342"/>
      <c r="BM555" s="342"/>
      <c r="BN555" s="342"/>
      <c r="BO555" s="342"/>
      <c r="BP555" s="342"/>
      <c r="BQ555" s="342"/>
      <c r="BR555" s="342"/>
      <c r="BS555" s="342"/>
      <c r="BT555" s="342"/>
      <c r="BU555" s="342"/>
      <c r="BV555" s="342"/>
      <c r="BW555" s="342"/>
      <c r="BX555" s="342"/>
      <c r="BY555" s="342"/>
      <c r="BZ555" s="342"/>
      <c r="CA555" s="342"/>
      <c r="CB555" s="342"/>
      <c r="CC555" s="342"/>
      <c r="CD555" s="342"/>
      <c r="CE555" s="342"/>
      <c r="CF555" s="342"/>
      <c r="CG555" s="342"/>
      <c r="CH555" s="342"/>
      <c r="CI555" s="342"/>
      <c r="CJ555" s="342"/>
      <c r="CK555" s="342"/>
      <c r="CL555" s="342"/>
      <c r="CM555" s="342"/>
      <c r="CN555" s="342"/>
      <c r="CO555" s="342"/>
      <c r="CP555" s="342"/>
      <c r="CQ555" s="342"/>
      <c r="CR555" s="342"/>
      <c r="CS555" s="342"/>
      <c r="CT555" s="342"/>
      <c r="CU555" s="342"/>
      <c r="CV555" s="342"/>
      <c r="CW555" s="342"/>
      <c r="CX555" s="342"/>
      <c r="CY555" s="342"/>
      <c r="CZ555" s="342"/>
      <c r="DA555" s="342"/>
      <c r="DB555" s="342"/>
      <c r="DC555" s="342"/>
      <c r="DD555" s="342"/>
      <c r="DE555" s="342"/>
      <c r="DF555" s="342"/>
      <c r="DG555" s="342"/>
      <c r="DH555" s="342"/>
      <c r="DI555" s="342"/>
      <c r="DJ555" s="342"/>
      <c r="DK555" s="342"/>
      <c r="DL555" s="342"/>
    </row>
    <row r="556" ht="20.25" customHeight="1">
      <c r="A556" s="44">
        <v>556.0</v>
      </c>
      <c r="B556" s="340" t="s">
        <v>114</v>
      </c>
      <c r="C556" s="341" t="s">
        <v>115</v>
      </c>
      <c r="D556" s="341" t="s">
        <v>2957</v>
      </c>
      <c r="E556" s="342"/>
      <c r="F556" s="46" t="s">
        <v>3088</v>
      </c>
      <c r="G556" s="47" t="s">
        <v>3076</v>
      </c>
      <c r="H556" s="360" t="s">
        <v>2960</v>
      </c>
      <c r="I556" s="344">
        <v>45489.0</v>
      </c>
      <c r="J556" s="344">
        <v>45663.0</v>
      </c>
      <c r="K556" s="360" t="s">
        <v>3089</v>
      </c>
      <c r="L556" s="46"/>
      <c r="M556" s="360" t="s">
        <v>3077</v>
      </c>
      <c r="N556" s="360" t="s">
        <v>3078</v>
      </c>
      <c r="O556" s="360" t="s">
        <v>3079</v>
      </c>
      <c r="P556" s="360" t="s">
        <v>3080</v>
      </c>
      <c r="Q556" s="104" t="str">
        <f t="array" ref="Q556"> if(iserror(MATCH(V556, 'File Links'!C:C, 0)), "N/A", HYPERLINK(INDEX('File Links'!B:B, MATCH(P556, 'File Links'!C:C, 0))))</f>
        <v>https://drive.google.com/file/d/1Dle9tBaQJnicGTbi-WNIWZLHBhpRMBFu/view?usp=drivesdk</v>
      </c>
      <c r="R556" s="360" t="s">
        <v>3081</v>
      </c>
      <c r="S556" s="360" t="s">
        <v>3082</v>
      </c>
      <c r="T556" s="46"/>
      <c r="U556" s="46"/>
      <c r="V556" s="360" t="str">
        <f t="shared" si="29"/>
        <v>10.31234--osf.io--xjaty.pdf</v>
      </c>
      <c r="W556" s="360" t="s">
        <v>3051</v>
      </c>
      <c r="X556" s="54" t="str">
        <f t="array" ref="X556"> if(iserror(MATCH(V556, 'File Links'!C:C, 0)), "N/A", HYPERLINK(INDEX('File Links'!B:B, MATCH(V556, 'File Links'!C:C, 0))))</f>
        <v>https://drive.google.com/file/d/1DMMXxQwzUbOxshIWiT8AwdGZ588_WZ8b/view?usp=drivesdk</v>
      </c>
      <c r="Y556" s="342"/>
      <c r="Z556" s="360" t="s">
        <v>226</v>
      </c>
      <c r="AA556" s="360" t="s">
        <v>3083</v>
      </c>
      <c r="AB556" s="360" t="s">
        <v>3090</v>
      </c>
      <c r="AC556" s="880" t="s">
        <v>3091</v>
      </c>
      <c r="AD556" s="343" t="s">
        <v>3092</v>
      </c>
      <c r="AE556" s="357">
        <v>3.0</v>
      </c>
      <c r="AF556" s="357">
        <f t="shared" ref="AF556:AF557" si="30">228+234</f>
        <v>462</v>
      </c>
      <c r="AG556" s="385">
        <v>0.32</v>
      </c>
      <c r="AH556" s="360" t="s">
        <v>173</v>
      </c>
      <c r="AI556" s="360" t="s">
        <v>3093</v>
      </c>
      <c r="AJ556" s="386">
        <v>0.001</v>
      </c>
      <c r="AK556" s="47" t="s">
        <v>135</v>
      </c>
      <c r="AL556" s="47" t="s">
        <v>186</v>
      </c>
      <c r="AM556" s="46" t="s">
        <v>137</v>
      </c>
      <c r="AN556" s="56" t="s">
        <v>138</v>
      </c>
      <c r="AO556" s="357">
        <f t="shared" ref="AO556:AO557" si="31">236+239</f>
        <v>475</v>
      </c>
      <c r="AP556" s="357">
        <v>0.009</v>
      </c>
      <c r="AQ556" s="360" t="s">
        <v>173</v>
      </c>
      <c r="AR556" s="360" t="s">
        <v>3094</v>
      </c>
      <c r="AS556" s="357">
        <v>0.924</v>
      </c>
      <c r="AT556" s="360" t="s">
        <v>172</v>
      </c>
      <c r="AU556" s="360" t="s">
        <v>136</v>
      </c>
      <c r="AV556" s="46" t="s">
        <v>137</v>
      </c>
      <c r="AW556" s="59" t="s">
        <v>3087</v>
      </c>
      <c r="AX556" s="46" t="s">
        <v>143</v>
      </c>
      <c r="AY556" s="61" t="str">
        <f>IFERROR(__xludf.DUMMYFUNCTION("vlookup(BB556,importrange(""https://docs.google.com/spreadsheets/d/1d2vevQ_7D_v35q4wCQ4RpQ_IPoTwEMB9Yp6ymwlPqew/edit?gid=984458430#gid=984458430"", ""'replication success'!A:K""), 11, FAlSE)"),"failed")</f>
        <v>failed</v>
      </c>
      <c r="AZ556" s="61" t="str">
        <f>IFERROR(__xludf.DUMMYFUNCTION("vlookup(BB556,importrange(""https://docs.google.com/spreadsheets/d/1d2vevQ_7D_v35q4wCQ4RpQ_IPoTwEMB9Yp6ymwlPqew/edit?gid=984458430#gid=984458430"",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56" s="61" t="str">
        <f>IFERROR(__xludf.DUMMYFUNCTION("vlookup(BB556,importrange(""https://docs.google.com/spreadsheets/d/1d2vevQ_7D_v35q4wCQ4RpQ_IPoTwEMB9Yp6ymwlPqew/edit?gid=984458430#gid=984458430"", ""'replication success'!A:M""), 13, FAlSE)"),"abstract")</f>
        <v>abstract</v>
      </c>
      <c r="BB556" s="61" t="str">
        <f>IFERROR(__xludf.DUMMYFUNCTION("REGEXREPLACE(G556, ""_[a-z]{1,2}$"", """")"),"additional_studies78")</f>
        <v>additional_studies78</v>
      </c>
      <c r="BC556" s="341" t="s">
        <v>3095</v>
      </c>
      <c r="BD556" s="341" t="s">
        <v>692</v>
      </c>
      <c r="BE556" s="342"/>
      <c r="BF556" s="342"/>
      <c r="BG556" s="342"/>
      <c r="BH556" s="342"/>
      <c r="BI556" s="342"/>
      <c r="BJ556" s="342"/>
      <c r="BK556" s="342"/>
      <c r="BL556" s="342"/>
      <c r="BM556" s="342"/>
      <c r="BN556" s="342"/>
      <c r="BO556" s="342"/>
      <c r="BP556" s="342"/>
      <c r="BQ556" s="342"/>
      <c r="BR556" s="342"/>
      <c r="BS556" s="342"/>
      <c r="BT556" s="342"/>
      <c r="BU556" s="342"/>
      <c r="BV556" s="342"/>
      <c r="BW556" s="342"/>
      <c r="BX556" s="342"/>
      <c r="BY556" s="342"/>
      <c r="BZ556" s="342"/>
      <c r="CA556" s="342"/>
      <c r="CB556" s="342"/>
      <c r="CC556" s="342"/>
      <c r="CD556" s="342"/>
      <c r="CE556" s="342"/>
      <c r="CF556" s="342"/>
      <c r="CG556" s="342"/>
      <c r="CH556" s="342"/>
      <c r="CI556" s="342"/>
      <c r="CJ556" s="342"/>
      <c r="CK556" s="342"/>
      <c r="CL556" s="342"/>
      <c r="CM556" s="342"/>
      <c r="CN556" s="342"/>
      <c r="CO556" s="342"/>
      <c r="CP556" s="342"/>
      <c r="CQ556" s="342"/>
      <c r="CR556" s="342"/>
      <c r="CS556" s="342"/>
      <c r="CT556" s="342"/>
      <c r="CU556" s="342"/>
      <c r="CV556" s="342"/>
      <c r="CW556" s="342"/>
      <c r="CX556" s="342"/>
      <c r="CY556" s="342"/>
      <c r="CZ556" s="342"/>
      <c r="DA556" s="342"/>
      <c r="DB556" s="342"/>
      <c r="DC556" s="342"/>
      <c r="DD556" s="342"/>
      <c r="DE556" s="342"/>
      <c r="DF556" s="342"/>
      <c r="DG556" s="342"/>
      <c r="DH556" s="342"/>
      <c r="DI556" s="342"/>
      <c r="DJ556" s="342"/>
      <c r="DK556" s="342"/>
      <c r="DL556" s="342"/>
    </row>
    <row r="557" ht="20.25" customHeight="1">
      <c r="A557" s="44">
        <v>557.0</v>
      </c>
      <c r="B557" s="340" t="s">
        <v>152</v>
      </c>
      <c r="C557" s="341" t="s">
        <v>115</v>
      </c>
      <c r="D557" s="341" t="s">
        <v>2957</v>
      </c>
      <c r="E557" s="342"/>
      <c r="F557" s="46" t="s">
        <v>3096</v>
      </c>
      <c r="G557" s="47" t="s">
        <v>3076</v>
      </c>
      <c r="H557" s="360" t="s">
        <v>2960</v>
      </c>
      <c r="I557" s="344">
        <v>45489.0</v>
      </c>
      <c r="J557" s="344">
        <v>45663.0</v>
      </c>
      <c r="K557" s="360" t="s">
        <v>3089</v>
      </c>
      <c r="L557" s="46"/>
      <c r="M557" s="360" t="s">
        <v>3077</v>
      </c>
      <c r="N557" s="360" t="s">
        <v>3078</v>
      </c>
      <c r="O557" s="360" t="s">
        <v>3079</v>
      </c>
      <c r="P557" s="360" t="s">
        <v>3080</v>
      </c>
      <c r="Q557" s="104" t="str">
        <f t="array" ref="Q557"> if(iserror(MATCH(V557, 'File Links'!C:C, 0)), "N/A", HYPERLINK(INDEX('File Links'!B:B, MATCH(P557, 'File Links'!C:C, 0))))</f>
        <v>https://drive.google.com/file/d/1Dle9tBaQJnicGTbi-WNIWZLHBhpRMBFu/view?usp=drivesdk</v>
      </c>
      <c r="R557" s="360" t="s">
        <v>3081</v>
      </c>
      <c r="S557" s="360" t="s">
        <v>3082</v>
      </c>
      <c r="T557" s="46"/>
      <c r="U557" s="46"/>
      <c r="V557" s="360" t="str">
        <f t="shared" si="29"/>
        <v>10.31234--osf.io--xjaty.pdf</v>
      </c>
      <c r="W557" s="360" t="s">
        <v>3051</v>
      </c>
      <c r="X557" s="54" t="str">
        <f t="array" ref="X557"> if(iserror(MATCH(V557, 'File Links'!C:C, 0)), "N/A", HYPERLINK(INDEX('File Links'!B:B, MATCH(V557, 'File Links'!C:C, 0))))</f>
        <v>https://drive.google.com/file/d/1DMMXxQwzUbOxshIWiT8AwdGZ588_WZ8b/view?usp=drivesdk</v>
      </c>
      <c r="Y557" s="342"/>
      <c r="Z557" s="360" t="s">
        <v>226</v>
      </c>
      <c r="AA557" s="360" t="s">
        <v>3083</v>
      </c>
      <c r="AB557" s="360" t="s">
        <v>3090</v>
      </c>
      <c r="AC557" s="880" t="s">
        <v>3097</v>
      </c>
      <c r="AD557" s="360" t="s">
        <v>3098</v>
      </c>
      <c r="AE557" s="357">
        <v>3.0</v>
      </c>
      <c r="AF557" s="357">
        <f t="shared" si="30"/>
        <v>462</v>
      </c>
      <c r="AG557" s="385">
        <v>0.72</v>
      </c>
      <c r="AH557" s="360" t="s">
        <v>173</v>
      </c>
      <c r="AI557" s="360" t="s">
        <v>3099</v>
      </c>
      <c r="AJ557" s="386">
        <v>0.001</v>
      </c>
      <c r="AK557" s="47" t="s">
        <v>135</v>
      </c>
      <c r="AL557" s="47" t="s">
        <v>186</v>
      </c>
      <c r="AM557" s="46" t="s">
        <v>137</v>
      </c>
      <c r="AN557" s="56" t="s">
        <v>138</v>
      </c>
      <c r="AO557" s="357">
        <f t="shared" si="31"/>
        <v>475</v>
      </c>
      <c r="AP557" s="357">
        <v>0.77</v>
      </c>
      <c r="AQ557" s="360" t="s">
        <v>173</v>
      </c>
      <c r="AR557" s="360" t="s">
        <v>3100</v>
      </c>
      <c r="AS557" s="357">
        <v>0.001</v>
      </c>
      <c r="AT557" s="360" t="s">
        <v>135</v>
      </c>
      <c r="AU557" s="360" t="s">
        <v>186</v>
      </c>
      <c r="AV557" s="46" t="s">
        <v>137</v>
      </c>
      <c r="AW557" s="46"/>
      <c r="AX557" s="46" t="s">
        <v>143</v>
      </c>
      <c r="AY557" s="61" t="str">
        <f>IFERROR(__xludf.DUMMYFUNCTION("vlookup(BB557,importrange(""https://docs.google.com/spreadsheets/d/1d2vevQ_7D_v35q4wCQ4RpQ_IPoTwEMB9Yp6ymwlPqew/edit?gid=984458430#gid=984458430"", ""'replication success'!A:K""), 11, FAlSE)"),"failed")</f>
        <v>failed</v>
      </c>
      <c r="AZ557" s="61" t="str">
        <f>IFERROR(__xludf.DUMMYFUNCTION("vlookup(BB557,importrange(""https://docs.google.com/spreadsheets/d/1d2vevQ_7D_v35q4wCQ4RpQ_IPoTwEMB9Yp6ymwlPqew/edit?gid=984458430#gid=984458430"",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57" s="61" t="str">
        <f>IFERROR(__xludf.DUMMYFUNCTION("vlookup(BB557,importrange(""https://docs.google.com/spreadsheets/d/1d2vevQ_7D_v35q4wCQ4RpQ_IPoTwEMB9Yp6ymwlPqew/edit?gid=984458430#gid=984458430"", ""'replication success'!A:M""), 13, FAlSE)"),"abstract")</f>
        <v>abstract</v>
      </c>
      <c r="BB557" s="61" t="str">
        <f>IFERROR(__xludf.DUMMYFUNCTION("REGEXREPLACE(G557, ""_[a-z]{1,2}$"", """")"),"additional_studies78")</f>
        <v>additional_studies78</v>
      </c>
      <c r="BC557" s="342"/>
      <c r="BD557" s="341" t="s">
        <v>692</v>
      </c>
      <c r="BE557" s="342"/>
      <c r="BF557" s="342"/>
      <c r="BG557" s="342"/>
      <c r="BH557" s="342"/>
      <c r="BI557" s="342"/>
      <c r="BJ557" s="342"/>
      <c r="BK557" s="342"/>
      <c r="BL557" s="342"/>
      <c r="BM557" s="342"/>
      <c r="BN557" s="342"/>
      <c r="BO557" s="342"/>
      <c r="BP557" s="342"/>
      <c r="BQ557" s="342"/>
      <c r="BR557" s="342"/>
      <c r="BS557" s="342"/>
      <c r="BT557" s="342"/>
      <c r="BU557" s="342"/>
      <c r="BV557" s="342"/>
      <c r="BW557" s="342"/>
      <c r="BX557" s="342"/>
      <c r="BY557" s="342"/>
      <c r="BZ557" s="342"/>
      <c r="CA557" s="342"/>
      <c r="CB557" s="342"/>
      <c r="CC557" s="342"/>
      <c r="CD557" s="342"/>
      <c r="CE557" s="342"/>
      <c r="CF557" s="342"/>
      <c r="CG557" s="342"/>
      <c r="CH557" s="342"/>
      <c r="CI557" s="342"/>
      <c r="CJ557" s="342"/>
      <c r="CK557" s="342"/>
      <c r="CL557" s="342"/>
      <c r="CM557" s="342"/>
      <c r="CN557" s="342"/>
      <c r="CO557" s="342"/>
      <c r="CP557" s="342"/>
      <c r="CQ557" s="342"/>
      <c r="CR557" s="342"/>
      <c r="CS557" s="342"/>
      <c r="CT557" s="342"/>
      <c r="CU557" s="342"/>
      <c r="CV557" s="342"/>
      <c r="CW557" s="342"/>
      <c r="CX557" s="342"/>
      <c r="CY557" s="342"/>
      <c r="CZ557" s="342"/>
      <c r="DA557" s="342"/>
      <c r="DB557" s="342"/>
      <c r="DC557" s="342"/>
      <c r="DD557" s="342"/>
      <c r="DE557" s="342"/>
      <c r="DF557" s="342"/>
      <c r="DG557" s="342"/>
      <c r="DH557" s="342"/>
      <c r="DI557" s="342"/>
      <c r="DJ557" s="342"/>
      <c r="DK557" s="342"/>
      <c r="DL557" s="342"/>
    </row>
    <row r="558" ht="20.25" customHeight="1">
      <c r="A558" s="44">
        <v>558.0</v>
      </c>
      <c r="B558" s="340" t="s">
        <v>114</v>
      </c>
      <c r="C558" s="341" t="s">
        <v>115</v>
      </c>
      <c r="D558" s="341" t="s">
        <v>2957</v>
      </c>
      <c r="E558" s="342"/>
      <c r="F558" s="46" t="s">
        <v>3101</v>
      </c>
      <c r="G558" s="47" t="s">
        <v>3076</v>
      </c>
      <c r="H558" s="360" t="s">
        <v>2960</v>
      </c>
      <c r="I558" s="344">
        <v>45489.0</v>
      </c>
      <c r="J558" s="344">
        <v>45663.0</v>
      </c>
      <c r="K558" s="360" t="s">
        <v>3102</v>
      </c>
      <c r="L558" s="46"/>
      <c r="M558" s="360" t="s">
        <v>3077</v>
      </c>
      <c r="N558" s="360" t="s">
        <v>3078</v>
      </c>
      <c r="O558" s="360" t="s">
        <v>3079</v>
      </c>
      <c r="P558" s="360" t="s">
        <v>3080</v>
      </c>
      <c r="Q558" s="104" t="str">
        <f t="array" ref="Q558"> if(iserror(MATCH(V558, 'File Links'!C:C, 0)), "N/A", HYPERLINK(INDEX('File Links'!B:B, MATCH(P558, 'File Links'!C:C, 0))))</f>
        <v>https://drive.google.com/file/d/1Dle9tBaQJnicGTbi-WNIWZLHBhpRMBFu/view?usp=drivesdk</v>
      </c>
      <c r="R558" s="360" t="s">
        <v>3081</v>
      </c>
      <c r="S558" s="360" t="s">
        <v>3082</v>
      </c>
      <c r="T558" s="46"/>
      <c r="U558" s="46"/>
      <c r="V558" s="360" t="str">
        <f t="shared" si="29"/>
        <v>10.31234--osf.io--xjaty.pdf</v>
      </c>
      <c r="W558" s="360" t="s">
        <v>3051</v>
      </c>
      <c r="X558" s="54" t="str">
        <f t="array" ref="X558"> if(iserror(MATCH(V558, 'File Links'!C:C, 0)), "N/A", HYPERLINK(INDEX('File Links'!B:B, MATCH(V558, 'File Links'!C:C, 0))))</f>
        <v>https://drive.google.com/file/d/1DMMXxQwzUbOxshIWiT8AwdGZ588_WZ8b/view?usp=drivesdk</v>
      </c>
      <c r="Y558" s="342"/>
      <c r="Z558" s="360" t="s">
        <v>226</v>
      </c>
      <c r="AA558" s="360" t="s">
        <v>3083</v>
      </c>
      <c r="AB558" s="360" t="s">
        <v>3090</v>
      </c>
      <c r="AC558" s="880" t="s">
        <v>3103</v>
      </c>
      <c r="AD558" s="360" t="s">
        <v>3098</v>
      </c>
      <c r="AE558" s="357">
        <v>3.0</v>
      </c>
      <c r="AF558" s="357">
        <v>462.0</v>
      </c>
      <c r="AG558" s="385">
        <v>3.83</v>
      </c>
      <c r="AH558" s="360" t="s">
        <v>134</v>
      </c>
      <c r="AI558" s="360" t="s">
        <v>3104</v>
      </c>
      <c r="AJ558" s="343" t="s">
        <v>138</v>
      </c>
      <c r="AK558" s="49"/>
      <c r="AL558" s="49"/>
      <c r="AM558" s="46"/>
      <c r="AN558" s="56" t="s">
        <v>138</v>
      </c>
      <c r="AO558" s="357">
        <v>475.0</v>
      </c>
      <c r="AP558" s="357">
        <v>2.83</v>
      </c>
      <c r="AQ558" s="46" t="s">
        <v>134</v>
      </c>
      <c r="AR558" s="360" t="s">
        <v>3105</v>
      </c>
      <c r="AS558" s="360" t="s">
        <v>3106</v>
      </c>
      <c r="AT558" s="46"/>
      <c r="AU558" s="46"/>
      <c r="AV558" s="46"/>
      <c r="AW558" s="46"/>
      <c r="AX558" s="46" t="s">
        <v>143</v>
      </c>
      <c r="AY558" s="61" t="str">
        <f>IFERROR(__xludf.DUMMYFUNCTION("vlookup(BB558,importrange(""https://docs.google.com/spreadsheets/d/1d2vevQ_7D_v35q4wCQ4RpQ_IPoTwEMB9Yp6ymwlPqew/edit?gid=984458430#gid=984458430"", ""'replication success'!A:K""), 11, FAlSE)"),"failed")</f>
        <v>failed</v>
      </c>
      <c r="AZ558" s="61" t="str">
        <f>IFERROR(__xludf.DUMMYFUNCTION("vlookup(BB558,importrange(""https://docs.google.com/spreadsheets/d/1d2vevQ_7D_v35q4wCQ4RpQ_IPoTwEMB9Yp6ymwlPqew/edit?gid=984458430#gid=984458430"",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58" s="61" t="str">
        <f>IFERROR(__xludf.DUMMYFUNCTION("vlookup(BB558,importrange(""https://docs.google.com/spreadsheets/d/1d2vevQ_7D_v35q4wCQ4RpQ_IPoTwEMB9Yp6ymwlPqew/edit?gid=984458430#gid=984458430"", ""'replication success'!A:M""), 13, FAlSE)"),"abstract")</f>
        <v>abstract</v>
      </c>
      <c r="BB558" s="61" t="str">
        <f>IFERROR(__xludf.DUMMYFUNCTION("REGEXREPLACE(G558, ""_[a-z]{1,2}$"", """")"),"additional_studies78")</f>
        <v>additional_studies78</v>
      </c>
      <c r="BC558" s="342"/>
      <c r="BD558" s="341" t="s">
        <v>692</v>
      </c>
      <c r="BE558" s="342"/>
      <c r="BF558" s="342"/>
      <c r="BG558" s="342"/>
      <c r="BH558" s="342"/>
      <c r="BI558" s="342"/>
      <c r="BJ558" s="342"/>
      <c r="BK558" s="342"/>
      <c r="BL558" s="342"/>
      <c r="BM558" s="342"/>
      <c r="BN558" s="342"/>
      <c r="BO558" s="342"/>
      <c r="BP558" s="342"/>
      <c r="BQ558" s="342"/>
      <c r="BR558" s="342"/>
      <c r="BS558" s="342"/>
      <c r="BT558" s="342"/>
      <c r="BU558" s="342"/>
      <c r="BV558" s="342"/>
      <c r="BW558" s="342"/>
      <c r="BX558" s="342"/>
      <c r="BY558" s="342"/>
      <c r="BZ558" s="342"/>
      <c r="CA558" s="342"/>
      <c r="CB558" s="342"/>
      <c r="CC558" s="342"/>
      <c r="CD558" s="342"/>
      <c r="CE558" s="342"/>
      <c r="CF558" s="342"/>
      <c r="CG558" s="342"/>
      <c r="CH558" s="342"/>
      <c r="CI558" s="342"/>
      <c r="CJ558" s="342"/>
      <c r="CK558" s="342"/>
      <c r="CL558" s="342"/>
      <c r="CM558" s="342"/>
      <c r="CN558" s="342"/>
      <c r="CO558" s="342"/>
      <c r="CP558" s="342"/>
      <c r="CQ558" s="342"/>
      <c r="CR558" s="342"/>
      <c r="CS558" s="342"/>
      <c r="CT558" s="342"/>
      <c r="CU558" s="342"/>
      <c r="CV558" s="342"/>
      <c r="CW558" s="342"/>
      <c r="CX558" s="342"/>
      <c r="CY558" s="342"/>
      <c r="CZ558" s="342"/>
      <c r="DA558" s="342"/>
      <c r="DB558" s="342"/>
      <c r="DC558" s="342"/>
      <c r="DD558" s="342"/>
      <c r="DE558" s="342"/>
      <c r="DF558" s="342"/>
      <c r="DG558" s="342"/>
      <c r="DH558" s="342"/>
      <c r="DI558" s="342"/>
      <c r="DJ558" s="342"/>
      <c r="DK558" s="342"/>
      <c r="DL558" s="342"/>
    </row>
    <row r="559" ht="20.25" customHeight="1">
      <c r="A559" s="44">
        <v>559.0</v>
      </c>
      <c r="B559" s="340" t="s">
        <v>152</v>
      </c>
      <c r="C559" s="341" t="s">
        <v>115</v>
      </c>
      <c r="D559" s="341" t="s">
        <v>2957</v>
      </c>
      <c r="E559" s="342"/>
      <c r="F559" s="46" t="s">
        <v>3107</v>
      </c>
      <c r="G559" s="47" t="s">
        <v>3076</v>
      </c>
      <c r="H559" s="360" t="s">
        <v>2960</v>
      </c>
      <c r="I559" s="344">
        <v>45489.0</v>
      </c>
      <c r="J559" s="344">
        <v>45663.0</v>
      </c>
      <c r="K559" s="360" t="s">
        <v>3108</v>
      </c>
      <c r="L559" s="46"/>
      <c r="M559" s="360" t="s">
        <v>3077</v>
      </c>
      <c r="N559" s="360" t="s">
        <v>3078</v>
      </c>
      <c r="O559" s="360" t="s">
        <v>3079</v>
      </c>
      <c r="P559" s="360" t="s">
        <v>3080</v>
      </c>
      <c r="Q559" s="104" t="str">
        <f t="array" ref="Q559"> if(iserror(MATCH(V559, 'File Links'!C:C, 0)), "N/A", HYPERLINK(INDEX('File Links'!B:B, MATCH(P559, 'File Links'!C:C, 0))))</f>
        <v>https://drive.google.com/file/d/1Dle9tBaQJnicGTbi-WNIWZLHBhpRMBFu/view?usp=drivesdk</v>
      </c>
      <c r="R559" s="360" t="s">
        <v>3081</v>
      </c>
      <c r="S559" s="360" t="s">
        <v>3082</v>
      </c>
      <c r="T559" s="46"/>
      <c r="U559" s="46"/>
      <c r="V559" s="360" t="str">
        <f t="shared" si="29"/>
        <v>10.31234--osf.io--xjaty.pdf</v>
      </c>
      <c r="W559" s="360" t="s">
        <v>3051</v>
      </c>
      <c r="X559" s="54" t="str">
        <f t="array" ref="X559"> if(iserror(MATCH(V559, 'File Links'!C:C, 0)), "N/A", HYPERLINK(INDEX('File Links'!B:B, MATCH(V559, 'File Links'!C:C, 0))))</f>
        <v>https://drive.google.com/file/d/1DMMXxQwzUbOxshIWiT8AwdGZ588_WZ8b/view?usp=drivesdk</v>
      </c>
      <c r="Y559" s="342"/>
      <c r="Z559" s="360" t="s">
        <v>226</v>
      </c>
      <c r="AA559" s="360" t="s">
        <v>3083</v>
      </c>
      <c r="AB559" s="360" t="s">
        <v>3090</v>
      </c>
      <c r="AC559" s="880" t="s">
        <v>3109</v>
      </c>
      <c r="AD559" s="46" t="s">
        <v>3110</v>
      </c>
      <c r="AE559" s="357">
        <v>3.0</v>
      </c>
      <c r="AF559" s="357">
        <f t="shared" ref="AF559:AF561" si="32">133+95</f>
        <v>228</v>
      </c>
      <c r="AG559" s="385">
        <v>0.36</v>
      </c>
      <c r="AH559" s="360" t="s">
        <v>173</v>
      </c>
      <c r="AI559" s="360" t="s">
        <v>3099</v>
      </c>
      <c r="AJ559" s="386">
        <v>0.008</v>
      </c>
      <c r="AK559" s="47" t="s">
        <v>172</v>
      </c>
      <c r="AL559" s="47" t="s">
        <v>186</v>
      </c>
      <c r="AM559" s="46" t="s">
        <v>137</v>
      </c>
      <c r="AN559" s="56" t="s">
        <v>138</v>
      </c>
      <c r="AO559" s="357">
        <f t="shared" ref="AO559:AO561" si="33">140+130</f>
        <v>270</v>
      </c>
      <c r="AP559" s="357">
        <v>-0.008</v>
      </c>
      <c r="AQ559" s="46" t="s">
        <v>173</v>
      </c>
      <c r="AR559" s="360" t="s">
        <v>3100</v>
      </c>
      <c r="AS559" s="357">
        <v>0.95</v>
      </c>
      <c r="AT559" s="360" t="s">
        <v>172</v>
      </c>
      <c r="AU559" s="360" t="s">
        <v>186</v>
      </c>
      <c r="AV559" s="46" t="s">
        <v>137</v>
      </c>
      <c r="AW559" s="46"/>
      <c r="AX559" s="46" t="s">
        <v>143</v>
      </c>
      <c r="AY559" s="61" t="str">
        <f>IFERROR(__xludf.DUMMYFUNCTION("vlookup(BB559,importrange(""https://docs.google.com/spreadsheets/d/1d2vevQ_7D_v35q4wCQ4RpQ_IPoTwEMB9Yp6ymwlPqew/edit?gid=984458430#gid=984458430"", ""'replication success'!A:K""), 11, FAlSE)"),"failed")</f>
        <v>failed</v>
      </c>
      <c r="AZ559" s="61" t="str">
        <f>IFERROR(__xludf.DUMMYFUNCTION("vlookup(BB559,importrange(""https://docs.google.com/spreadsheets/d/1d2vevQ_7D_v35q4wCQ4RpQ_IPoTwEMB9Yp6ymwlPqew/edit?gid=984458430#gid=984458430"",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59" s="61" t="str">
        <f>IFERROR(__xludf.DUMMYFUNCTION("vlookup(BB559,importrange(""https://docs.google.com/spreadsheets/d/1d2vevQ_7D_v35q4wCQ4RpQ_IPoTwEMB9Yp6ymwlPqew/edit?gid=984458430#gid=984458430"", ""'replication success'!A:M""), 13, FAlSE)"),"abstract")</f>
        <v>abstract</v>
      </c>
      <c r="BB559" s="61" t="str">
        <f>IFERROR(__xludf.DUMMYFUNCTION("REGEXREPLACE(G559, ""_[a-z]{1,2}$"", """")"),"additional_studies78")</f>
        <v>additional_studies78</v>
      </c>
      <c r="BC559" s="342"/>
      <c r="BD559" s="341" t="s">
        <v>692</v>
      </c>
      <c r="BE559" s="342"/>
      <c r="BF559" s="342"/>
      <c r="BG559" s="342"/>
      <c r="BH559" s="342"/>
      <c r="BI559" s="342"/>
      <c r="BJ559" s="342"/>
      <c r="BK559" s="342"/>
      <c r="BL559" s="342"/>
      <c r="BM559" s="342"/>
      <c r="BN559" s="342"/>
      <c r="BO559" s="342"/>
      <c r="BP559" s="342"/>
      <c r="BQ559" s="342"/>
      <c r="BR559" s="342"/>
      <c r="BS559" s="342"/>
      <c r="BT559" s="342"/>
      <c r="BU559" s="342"/>
      <c r="BV559" s="342"/>
      <c r="BW559" s="342"/>
      <c r="BX559" s="342"/>
      <c r="BY559" s="342"/>
      <c r="BZ559" s="342"/>
      <c r="CA559" s="342"/>
      <c r="CB559" s="342"/>
      <c r="CC559" s="342"/>
      <c r="CD559" s="342"/>
      <c r="CE559" s="342"/>
      <c r="CF559" s="342"/>
      <c r="CG559" s="342"/>
      <c r="CH559" s="342"/>
      <c r="CI559" s="342"/>
      <c r="CJ559" s="342"/>
      <c r="CK559" s="342"/>
      <c r="CL559" s="342"/>
      <c r="CM559" s="342"/>
      <c r="CN559" s="342"/>
      <c r="CO559" s="342"/>
      <c r="CP559" s="342"/>
      <c r="CQ559" s="342"/>
      <c r="CR559" s="342"/>
      <c r="CS559" s="342"/>
      <c r="CT559" s="342"/>
      <c r="CU559" s="342"/>
      <c r="CV559" s="342"/>
      <c r="CW559" s="342"/>
      <c r="CX559" s="342"/>
      <c r="CY559" s="342"/>
      <c r="CZ559" s="342"/>
      <c r="DA559" s="342"/>
      <c r="DB559" s="342"/>
      <c r="DC559" s="342"/>
      <c r="DD559" s="342"/>
      <c r="DE559" s="342"/>
      <c r="DF559" s="342"/>
      <c r="DG559" s="342"/>
      <c r="DH559" s="342"/>
      <c r="DI559" s="342"/>
      <c r="DJ559" s="342"/>
      <c r="DK559" s="342"/>
      <c r="DL559" s="342"/>
    </row>
    <row r="560" ht="20.25" customHeight="1">
      <c r="A560" s="44">
        <v>560.0</v>
      </c>
      <c r="B560" s="340" t="s">
        <v>114</v>
      </c>
      <c r="C560" s="341" t="s">
        <v>115</v>
      </c>
      <c r="D560" s="341" t="s">
        <v>2957</v>
      </c>
      <c r="E560" s="342"/>
      <c r="F560" s="46" t="s">
        <v>3111</v>
      </c>
      <c r="G560" s="47" t="s">
        <v>3076</v>
      </c>
      <c r="H560" s="360" t="s">
        <v>2960</v>
      </c>
      <c r="I560" s="344">
        <v>45489.0</v>
      </c>
      <c r="J560" s="344">
        <v>45663.0</v>
      </c>
      <c r="K560" s="360" t="s">
        <v>3108</v>
      </c>
      <c r="L560" s="46"/>
      <c r="M560" s="360" t="s">
        <v>3077</v>
      </c>
      <c r="N560" s="360" t="s">
        <v>3078</v>
      </c>
      <c r="O560" s="360" t="s">
        <v>3079</v>
      </c>
      <c r="P560" s="360" t="s">
        <v>3080</v>
      </c>
      <c r="Q560" s="104" t="str">
        <f t="array" ref="Q560"> if(iserror(MATCH(V560, 'File Links'!C:C, 0)), "N/A", HYPERLINK(INDEX('File Links'!B:B, MATCH(P560, 'File Links'!C:C, 0))))</f>
        <v>https://drive.google.com/file/d/1Dle9tBaQJnicGTbi-WNIWZLHBhpRMBFu/view?usp=drivesdk</v>
      </c>
      <c r="R560" s="360" t="s">
        <v>3081</v>
      </c>
      <c r="S560" s="360" t="s">
        <v>3082</v>
      </c>
      <c r="T560" s="46"/>
      <c r="U560" s="46"/>
      <c r="V560" s="360" t="str">
        <f t="shared" si="29"/>
        <v>10.31234--osf.io--xjaty.pdf</v>
      </c>
      <c r="W560" s="360" t="s">
        <v>3051</v>
      </c>
      <c r="X560" s="54" t="str">
        <f t="array" ref="X560"> if(iserror(MATCH(V560, 'File Links'!C:C, 0)), "N/A", HYPERLINK(INDEX('File Links'!B:B, MATCH(V560, 'File Links'!C:C, 0))))</f>
        <v>https://drive.google.com/file/d/1DMMXxQwzUbOxshIWiT8AwdGZ588_WZ8b/view?usp=drivesdk</v>
      </c>
      <c r="Y560" s="342"/>
      <c r="Z560" s="360" t="s">
        <v>226</v>
      </c>
      <c r="AA560" s="360" t="s">
        <v>3083</v>
      </c>
      <c r="AB560" s="360" t="s">
        <v>3090</v>
      </c>
      <c r="AC560" s="880" t="s">
        <v>3112</v>
      </c>
      <c r="AD560" s="360" t="s">
        <v>3113</v>
      </c>
      <c r="AE560" s="357">
        <v>3.0</v>
      </c>
      <c r="AF560" s="357">
        <f t="shared" si="32"/>
        <v>228</v>
      </c>
      <c r="AG560" s="385">
        <v>0.5</v>
      </c>
      <c r="AH560" s="360" t="s">
        <v>173</v>
      </c>
      <c r="AI560" s="360" t="s">
        <v>3114</v>
      </c>
      <c r="AJ560" s="386">
        <v>0.001</v>
      </c>
      <c r="AK560" s="47" t="s">
        <v>135</v>
      </c>
      <c r="AL560" s="47" t="s">
        <v>186</v>
      </c>
      <c r="AM560" s="46" t="s">
        <v>137</v>
      </c>
      <c r="AN560" s="56" t="s">
        <v>138</v>
      </c>
      <c r="AO560" s="357">
        <f t="shared" si="33"/>
        <v>270</v>
      </c>
      <c r="AP560" s="357">
        <v>0.689</v>
      </c>
      <c r="AQ560" s="46" t="s">
        <v>173</v>
      </c>
      <c r="AR560" s="360" t="s">
        <v>3094</v>
      </c>
      <c r="AS560" s="357">
        <v>0.001</v>
      </c>
      <c r="AT560" s="360" t="s">
        <v>135</v>
      </c>
      <c r="AU560" s="360" t="s">
        <v>186</v>
      </c>
      <c r="AV560" s="46" t="s">
        <v>137</v>
      </c>
      <c r="AW560" s="46"/>
      <c r="AX560" s="46" t="s">
        <v>143</v>
      </c>
      <c r="AY560" s="61" t="str">
        <f>IFERROR(__xludf.DUMMYFUNCTION("vlookup(BB560,importrange(""https://docs.google.com/spreadsheets/d/1d2vevQ_7D_v35q4wCQ4RpQ_IPoTwEMB9Yp6ymwlPqew/edit?gid=984458430#gid=984458430"", ""'replication success'!A:K""), 11, FAlSE)"),"failed")</f>
        <v>failed</v>
      </c>
      <c r="AZ560" s="61" t="str">
        <f>IFERROR(__xludf.DUMMYFUNCTION("vlookup(BB560,importrange(""https://docs.google.com/spreadsheets/d/1d2vevQ_7D_v35q4wCQ4RpQ_IPoTwEMB9Yp6ymwlPqew/edit?gid=984458430#gid=984458430"",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60" s="61" t="str">
        <f>IFERROR(__xludf.DUMMYFUNCTION("vlookup(BB560,importrange(""https://docs.google.com/spreadsheets/d/1d2vevQ_7D_v35q4wCQ4RpQ_IPoTwEMB9Yp6ymwlPqew/edit?gid=984458430#gid=984458430"", ""'replication success'!A:M""), 13, FAlSE)"),"abstract")</f>
        <v>abstract</v>
      </c>
      <c r="BB560" s="61" t="str">
        <f>IFERROR(__xludf.DUMMYFUNCTION("REGEXREPLACE(G560, ""_[a-z]{1,2}$"", """")"),"additional_studies78")</f>
        <v>additional_studies78</v>
      </c>
      <c r="BC560" s="342"/>
      <c r="BD560" s="341" t="s">
        <v>692</v>
      </c>
      <c r="BE560" s="342"/>
      <c r="BF560" s="342"/>
      <c r="BG560" s="342"/>
      <c r="BH560" s="342"/>
      <c r="BI560" s="342"/>
      <c r="BJ560" s="342"/>
      <c r="BK560" s="342"/>
      <c r="BL560" s="342"/>
      <c r="BM560" s="342"/>
      <c r="BN560" s="342"/>
      <c r="BO560" s="342"/>
      <c r="BP560" s="342"/>
      <c r="BQ560" s="342"/>
      <c r="BR560" s="342"/>
      <c r="BS560" s="342"/>
      <c r="BT560" s="342"/>
      <c r="BU560" s="342"/>
      <c r="BV560" s="342"/>
      <c r="BW560" s="342"/>
      <c r="BX560" s="342"/>
      <c r="BY560" s="342"/>
      <c r="BZ560" s="342"/>
      <c r="CA560" s="342"/>
      <c r="CB560" s="342"/>
      <c r="CC560" s="342"/>
      <c r="CD560" s="342"/>
      <c r="CE560" s="342"/>
      <c r="CF560" s="342"/>
      <c r="CG560" s="342"/>
      <c r="CH560" s="342"/>
      <c r="CI560" s="342"/>
      <c r="CJ560" s="342"/>
      <c r="CK560" s="342"/>
      <c r="CL560" s="342"/>
      <c r="CM560" s="342"/>
      <c r="CN560" s="342"/>
      <c r="CO560" s="342"/>
      <c r="CP560" s="342"/>
      <c r="CQ560" s="342"/>
      <c r="CR560" s="342"/>
      <c r="CS560" s="342"/>
      <c r="CT560" s="342"/>
      <c r="CU560" s="342"/>
      <c r="CV560" s="342"/>
      <c r="CW560" s="342"/>
      <c r="CX560" s="342"/>
      <c r="CY560" s="342"/>
      <c r="CZ560" s="342"/>
      <c r="DA560" s="342"/>
      <c r="DB560" s="342"/>
      <c r="DC560" s="342"/>
      <c r="DD560" s="342"/>
      <c r="DE560" s="342"/>
      <c r="DF560" s="342"/>
      <c r="DG560" s="342"/>
      <c r="DH560" s="342"/>
      <c r="DI560" s="342"/>
      <c r="DJ560" s="342"/>
      <c r="DK560" s="342"/>
      <c r="DL560" s="342"/>
    </row>
    <row r="561" ht="20.25" customHeight="1">
      <c r="A561" s="44">
        <v>561.0</v>
      </c>
      <c r="B561" s="340" t="s">
        <v>152</v>
      </c>
      <c r="C561" s="341" t="s">
        <v>115</v>
      </c>
      <c r="D561" s="341" t="s">
        <v>2957</v>
      </c>
      <c r="E561" s="342"/>
      <c r="F561" s="46" t="s">
        <v>3115</v>
      </c>
      <c r="G561" s="47" t="s">
        <v>3076</v>
      </c>
      <c r="H561" s="360" t="s">
        <v>2960</v>
      </c>
      <c r="I561" s="344">
        <v>45489.0</v>
      </c>
      <c r="J561" s="344">
        <v>45663.0</v>
      </c>
      <c r="K561" s="360" t="s">
        <v>3116</v>
      </c>
      <c r="L561" s="46"/>
      <c r="M561" s="360" t="s">
        <v>3077</v>
      </c>
      <c r="N561" s="360" t="s">
        <v>3078</v>
      </c>
      <c r="O561" s="360" t="s">
        <v>3079</v>
      </c>
      <c r="P561" s="360" t="s">
        <v>3080</v>
      </c>
      <c r="Q561" s="104" t="str">
        <f t="array" ref="Q561"> if(iserror(MATCH(V561, 'File Links'!C:C, 0)), "N/A", HYPERLINK(INDEX('File Links'!B:B, MATCH(P561, 'File Links'!C:C, 0))))</f>
        <v>https://drive.google.com/file/d/1Dle9tBaQJnicGTbi-WNIWZLHBhpRMBFu/view?usp=drivesdk</v>
      </c>
      <c r="R561" s="360" t="s">
        <v>3081</v>
      </c>
      <c r="S561" s="360" t="s">
        <v>3082</v>
      </c>
      <c r="T561" s="46"/>
      <c r="U561" s="46"/>
      <c r="V561" s="360" t="str">
        <f t="shared" si="29"/>
        <v>10.31234--osf.io--xjaty.pdf</v>
      </c>
      <c r="W561" s="360" t="s">
        <v>3051</v>
      </c>
      <c r="X561" s="54" t="str">
        <f t="array" ref="X561"> if(iserror(MATCH(V561, 'File Links'!C:C, 0)), "N/A", HYPERLINK(INDEX('File Links'!B:B, MATCH(V561, 'File Links'!C:C, 0))))</f>
        <v>https://drive.google.com/file/d/1DMMXxQwzUbOxshIWiT8AwdGZ588_WZ8b/view?usp=drivesdk</v>
      </c>
      <c r="Y561" s="342"/>
      <c r="Z561" s="360" t="s">
        <v>226</v>
      </c>
      <c r="AA561" s="360" t="s">
        <v>3083</v>
      </c>
      <c r="AB561" s="360" t="s">
        <v>3090</v>
      </c>
      <c r="AC561" s="880" t="s">
        <v>3117</v>
      </c>
      <c r="AD561" s="360" t="s">
        <v>3118</v>
      </c>
      <c r="AE561" s="357">
        <v>3.0</v>
      </c>
      <c r="AF561" s="357">
        <f t="shared" si="32"/>
        <v>228</v>
      </c>
      <c r="AG561" s="385">
        <v>4.18</v>
      </c>
      <c r="AH561" s="360" t="s">
        <v>134</v>
      </c>
      <c r="AI561" s="360" t="s">
        <v>3104</v>
      </c>
      <c r="AJ561" s="343" t="s">
        <v>138</v>
      </c>
      <c r="AK561" s="49"/>
      <c r="AL561" s="49"/>
      <c r="AM561" s="46"/>
      <c r="AN561" s="56" t="s">
        <v>138</v>
      </c>
      <c r="AO561" s="357">
        <f t="shared" si="33"/>
        <v>270</v>
      </c>
      <c r="AP561" s="357">
        <v>3.25</v>
      </c>
      <c r="AQ561" s="46" t="s">
        <v>134</v>
      </c>
      <c r="AR561" s="360" t="s">
        <v>3105</v>
      </c>
      <c r="AS561" s="360" t="s">
        <v>3119</v>
      </c>
      <c r="AT561" s="46"/>
      <c r="AU561" s="46"/>
      <c r="AV561" s="46"/>
      <c r="AW561" s="46"/>
      <c r="AX561" s="46" t="s">
        <v>143</v>
      </c>
      <c r="AY561" s="61" t="str">
        <f>IFERROR(__xludf.DUMMYFUNCTION("vlookup(BB561,importrange(""https://docs.google.com/spreadsheets/d/1d2vevQ_7D_v35q4wCQ4RpQ_IPoTwEMB9Yp6ymwlPqew/edit?gid=984458430#gid=984458430"", ""'replication success'!A:K""), 11, FAlSE)"),"failed")</f>
        <v>failed</v>
      </c>
      <c r="AZ561" s="61" t="str">
        <f>IFERROR(__xludf.DUMMYFUNCTION("vlookup(BB561,importrange(""https://docs.google.com/spreadsheets/d/1d2vevQ_7D_v35q4wCQ4RpQ_IPoTwEMB9Yp6ymwlPqew/edit?gid=984458430#gid=984458430"", ""'replication success'!A:M""), 12, FAlSE)"),"We ran a replication of study 2A from this paper, which tested whether knowing additional information about another person changed what participants
thought the other person would know about them. The primary result in the original study failed to replic"&amp;"ate. There was no relationship between whether
participants were given information about their ‘partner’ and how likely the participants thought their ‘partner’ would be to detect a lie the participant told.")</f>
        <v>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v>
      </c>
      <c r="BA561" s="61" t="str">
        <f>IFERROR(__xludf.DUMMYFUNCTION("vlookup(BB561,importrange(""https://docs.google.com/spreadsheets/d/1d2vevQ_7D_v35q4wCQ4RpQ_IPoTwEMB9Yp6ymwlPqew/edit?gid=984458430#gid=984458430"", ""'replication success'!A:M""), 13, FAlSE)"),"abstract")</f>
        <v>abstract</v>
      </c>
      <c r="BB561" s="61" t="str">
        <f>IFERROR(__xludf.DUMMYFUNCTION("REGEXREPLACE(G561, ""_[a-z]{1,2}$"", """")"),"additional_studies78")</f>
        <v>additional_studies78</v>
      </c>
      <c r="BC561" s="342"/>
      <c r="BD561" s="341" t="s">
        <v>692</v>
      </c>
      <c r="BE561" s="342"/>
      <c r="BF561" s="342"/>
      <c r="BG561" s="342"/>
      <c r="BH561" s="342"/>
      <c r="BI561" s="342"/>
      <c r="BJ561" s="342"/>
      <c r="BK561" s="342"/>
      <c r="BL561" s="342"/>
      <c r="BM561" s="342"/>
      <c r="BN561" s="342"/>
      <c r="BO561" s="342"/>
      <c r="BP561" s="342"/>
      <c r="BQ561" s="342"/>
      <c r="BR561" s="342"/>
      <c r="BS561" s="342"/>
      <c r="BT561" s="342"/>
      <c r="BU561" s="342"/>
      <c r="BV561" s="342"/>
      <c r="BW561" s="342"/>
      <c r="BX561" s="342"/>
      <c r="BY561" s="342"/>
      <c r="BZ561" s="342"/>
      <c r="CA561" s="342"/>
      <c r="CB561" s="342"/>
      <c r="CC561" s="342"/>
      <c r="CD561" s="342"/>
      <c r="CE561" s="342"/>
      <c r="CF561" s="342"/>
      <c r="CG561" s="342"/>
      <c r="CH561" s="342"/>
      <c r="CI561" s="342"/>
      <c r="CJ561" s="342"/>
      <c r="CK561" s="342"/>
      <c r="CL561" s="342"/>
      <c r="CM561" s="342"/>
      <c r="CN561" s="342"/>
      <c r="CO561" s="342"/>
      <c r="CP561" s="342"/>
      <c r="CQ561" s="342"/>
      <c r="CR561" s="342"/>
      <c r="CS561" s="342"/>
      <c r="CT561" s="342"/>
      <c r="CU561" s="342"/>
      <c r="CV561" s="342"/>
      <c r="CW561" s="342"/>
      <c r="CX561" s="342"/>
      <c r="CY561" s="342"/>
      <c r="CZ561" s="342"/>
      <c r="DA561" s="342"/>
      <c r="DB561" s="342"/>
      <c r="DC561" s="342"/>
      <c r="DD561" s="342"/>
      <c r="DE561" s="342"/>
      <c r="DF561" s="342"/>
      <c r="DG561" s="342"/>
      <c r="DH561" s="342"/>
      <c r="DI561" s="342"/>
      <c r="DJ561" s="342"/>
      <c r="DK561" s="342"/>
      <c r="DL561" s="342"/>
    </row>
    <row r="562" ht="20.25" customHeight="1">
      <c r="A562" s="44">
        <v>562.0</v>
      </c>
      <c r="B562" s="397" t="s">
        <v>152</v>
      </c>
      <c r="C562" s="397" t="s">
        <v>115</v>
      </c>
      <c r="D562" s="397" t="s">
        <v>346</v>
      </c>
      <c r="E562" s="220"/>
      <c r="F562" s="398" t="s">
        <v>3120</v>
      </c>
      <c r="G562" s="399" t="s">
        <v>3121</v>
      </c>
      <c r="H562" s="399" t="s">
        <v>349</v>
      </c>
      <c r="I562" s="400">
        <v>45427.0</v>
      </c>
      <c r="J562" s="400">
        <v>45636.0</v>
      </c>
      <c r="K562" s="401" t="s">
        <v>3122</v>
      </c>
      <c r="L562" s="402"/>
      <c r="M562" s="399" t="s">
        <v>3123</v>
      </c>
      <c r="N562" s="401" t="s">
        <v>3124</v>
      </c>
      <c r="O562" s="402"/>
      <c r="P562" s="403" t="s">
        <v>3125</v>
      </c>
      <c r="Q562" s="881" t="str">
        <f t="array" ref="Q562"> if(iserror(MATCH(V562, 'File Links'!C:C, 0)), "N/A", HYPERLINK(INDEX('File Links'!B:B, MATCH(P562, 'File Links'!C:C, 0))))</f>
        <v>N/A</v>
      </c>
      <c r="R562" s="399" t="s">
        <v>3126</v>
      </c>
      <c r="S562" s="399" t="s">
        <v>3127</v>
      </c>
      <c r="T562" s="402"/>
      <c r="U562" s="405"/>
      <c r="V562" s="399" t="s">
        <v>577</v>
      </c>
      <c r="W562" s="399" t="s">
        <v>607</v>
      </c>
      <c r="X562" s="402" t="str">
        <f t="array" ref="X562"> if(iserror(MATCH(V562, 'File Links'!C:C, 0)), "N/A", HYPERLINK(INDEX('File Links'!B:B, MATCH(V562, 'File Links'!C:C, 0))))</f>
        <v>N/A</v>
      </c>
      <c r="Y562" s="399" t="s">
        <v>3128</v>
      </c>
      <c r="Z562" s="399" t="s">
        <v>226</v>
      </c>
      <c r="AA562" s="402"/>
      <c r="AB562" s="401" t="s">
        <v>3129</v>
      </c>
      <c r="AC562" s="402"/>
      <c r="AD562" s="402"/>
      <c r="AE562" s="402"/>
      <c r="AF562" s="402"/>
      <c r="AG562" s="402"/>
      <c r="AH562" s="405"/>
      <c r="AI562" s="402"/>
      <c r="AJ562" s="402"/>
      <c r="AK562" s="398"/>
      <c r="AL562" s="402"/>
      <c r="AM562" s="402"/>
      <c r="AN562" s="631" t="s">
        <v>138</v>
      </c>
      <c r="AO562" s="402"/>
      <c r="AP562" s="402"/>
      <c r="AQ562" s="402"/>
      <c r="AR562" s="402"/>
      <c r="AS562" s="402"/>
      <c r="AT562" s="398"/>
      <c r="AU562" s="398"/>
      <c r="AV562" s="398"/>
      <c r="AW562" s="398" t="s">
        <v>138</v>
      </c>
      <c r="AX562" s="398"/>
      <c r="AY562" s="61" t="str">
        <f>IFERROR(__xludf.DUMMYFUNCTION("vlookup(BB562,importrange(""https://docs.google.com/spreadsheets/d/1d2vevQ_7D_v35q4wCQ4RpQ_IPoTwEMB9Yp6ymwlPqew/edit?gid=984458430#gid=984458430"", ""'replication success'!A:K""), 11, FAlSE)"),"#N/A")</f>
        <v>#N/A</v>
      </c>
      <c r="AZ562" s="61" t="str">
        <f>IFERROR(__xludf.DUMMYFUNCTION("vlookup(BB562,importrange(""https://docs.google.com/spreadsheets/d/1d2vevQ_7D_v35q4wCQ4RpQ_IPoTwEMB9Yp6ymwlPqew/edit?gid=984458430#gid=984458430"", ""'replication success'!A:M""), 12, FAlSE)"),"#N/A")</f>
        <v>#N/A</v>
      </c>
      <c r="BA562" s="61" t="str">
        <f>IFERROR(__xludf.DUMMYFUNCTION("vlookup(BB562,importrange(""https://docs.google.com/spreadsheets/d/1d2vevQ_7D_v35q4wCQ4RpQ_IPoTwEMB9Yp6ymwlPqew/edit?gid=984458430#gid=984458430"", ""'replication success'!A:M""), 13, FAlSE)"),"#N/A")</f>
        <v>#N/A</v>
      </c>
      <c r="BB562" s="61" t="str">
        <f>IFERROR(__xludf.DUMMYFUNCTION("REGEXREPLACE(G562, ""_[a-z]{1,2}$"", """")"),"additional_studies8")</f>
        <v>additional_studies8</v>
      </c>
      <c r="BC562" s="402"/>
      <c r="BD562" s="397" t="s">
        <v>3130</v>
      </c>
      <c r="BE562" s="220"/>
      <c r="BF562" s="220"/>
      <c r="BG562" s="220"/>
      <c r="BH562" s="220"/>
      <c r="BI562" s="220"/>
      <c r="BJ562" s="220"/>
      <c r="BK562" s="220"/>
      <c r="BL562" s="220"/>
      <c r="BM562" s="220"/>
      <c r="BN562" s="220"/>
      <c r="BO562" s="220"/>
      <c r="BP562" s="220"/>
      <c r="BQ562" s="220"/>
      <c r="BR562" s="220"/>
      <c r="BS562" s="220"/>
      <c r="BT562" s="220"/>
      <c r="BU562" s="220"/>
      <c r="BV562" s="220"/>
      <c r="BW562" s="220"/>
      <c r="BX562" s="220"/>
      <c r="BY562" s="220"/>
      <c r="BZ562" s="220"/>
      <c r="CA562" s="220"/>
      <c r="CB562" s="220"/>
      <c r="CC562" s="220"/>
      <c r="CD562" s="220"/>
      <c r="CE562" s="220"/>
      <c r="CF562" s="220"/>
      <c r="CG562" s="220"/>
      <c r="CH562" s="220"/>
      <c r="CI562" s="220"/>
      <c r="CJ562" s="220"/>
      <c r="CK562" s="220"/>
      <c r="CL562" s="220"/>
      <c r="CM562" s="220"/>
      <c r="CN562" s="220"/>
      <c r="CO562" s="220"/>
      <c r="CP562" s="220"/>
      <c r="CQ562" s="220"/>
      <c r="CR562" s="220"/>
      <c r="CS562" s="220"/>
      <c r="CT562" s="220"/>
      <c r="CU562" s="220"/>
      <c r="CV562" s="220"/>
      <c r="CW562" s="220"/>
      <c r="CX562" s="220"/>
      <c r="CY562" s="220"/>
      <c r="CZ562" s="220"/>
      <c r="DA562" s="220"/>
      <c r="DB562" s="220"/>
      <c r="DC562" s="220"/>
      <c r="DD562" s="220"/>
      <c r="DE562" s="220"/>
      <c r="DF562" s="220"/>
      <c r="DG562" s="220"/>
      <c r="DH562" s="220"/>
      <c r="DI562" s="220"/>
      <c r="DJ562" s="220"/>
      <c r="DK562" s="220"/>
      <c r="DL562" s="220"/>
    </row>
    <row r="563" ht="20.25" customHeight="1">
      <c r="A563" s="44">
        <v>563.0</v>
      </c>
      <c r="B563" s="397" t="s">
        <v>523</v>
      </c>
      <c r="C563" s="397" t="s">
        <v>115</v>
      </c>
      <c r="D563" s="397" t="s">
        <v>221</v>
      </c>
      <c r="E563" s="220"/>
      <c r="F563" s="407" t="s">
        <v>3120</v>
      </c>
      <c r="G563" s="399" t="s">
        <v>3121</v>
      </c>
      <c r="H563" s="407" t="s">
        <v>221</v>
      </c>
      <c r="I563" s="400">
        <v>45686.0</v>
      </c>
      <c r="J563" s="400">
        <v>45687.0</v>
      </c>
      <c r="K563" s="407" t="s">
        <v>3131</v>
      </c>
      <c r="L563" s="398"/>
      <c r="M563" s="407" t="s">
        <v>3123</v>
      </c>
      <c r="N563" s="407" t="s">
        <v>3124</v>
      </c>
      <c r="O563" s="398"/>
      <c r="P563" s="407" t="s">
        <v>3125</v>
      </c>
      <c r="Q563" s="882" t="str">
        <f t="array" ref="Q563"> if(iserror(MATCH(V563, 'File Links'!C:C, 0)), "N/A", HYPERLINK(INDEX('File Links'!B:B, MATCH(P563, 'File Links'!C:C, 0))))</f>
        <v>https://drive.google.com/file/d/1NONRrVPLj3_SNxu7Ptx53k4VBPMr7tIo/view?usp=drivesdk</v>
      </c>
      <c r="R563" s="407" t="s">
        <v>3126</v>
      </c>
      <c r="S563" s="631" t="s">
        <v>3127</v>
      </c>
      <c r="T563" s="398"/>
      <c r="U563" s="398"/>
      <c r="V563" s="407" t="str">
        <f t="shared" ref="V563:V565" si="34"> hyperlink(vlookup(lower(S563),#REF!, 2, FALSE), SUBSTITUTE(lower(S563), "/", "--") &amp;  ".pdf")</f>
        <v>10.1111--famp.12997.pdf</v>
      </c>
      <c r="W563" s="407" t="s">
        <v>164</v>
      </c>
      <c r="X563" s="883" t="str">
        <f t="array" ref="X563"> if(iserror(MATCH(V563, 'File Links'!C:C, 0)), "N/A", HYPERLINK(INDEX('File Links'!B:B, MATCH(V563, 'File Links'!C:C, 0))))</f>
        <v>https://drive.google.com/file/d/1ULfnDtv84kgeFXRyMCCLbY1RRcrTQDB8/view?usp=drivesdk</v>
      </c>
      <c r="Y563" s="398"/>
      <c r="Z563" s="407" t="s">
        <v>226</v>
      </c>
      <c r="AA563" s="407" t="s">
        <v>3132</v>
      </c>
      <c r="AB563" s="407" t="s">
        <v>3133</v>
      </c>
      <c r="AC563" s="398" t="s">
        <v>3134</v>
      </c>
      <c r="AD563" s="398"/>
      <c r="AE563" s="728">
        <v>8.0</v>
      </c>
      <c r="AF563" s="728">
        <v>252.0</v>
      </c>
      <c r="AG563" s="728">
        <v>-0.5</v>
      </c>
      <c r="AH563" s="407" t="s">
        <v>173</v>
      </c>
      <c r="AI563" s="407" t="s">
        <v>613</v>
      </c>
      <c r="AJ563" s="405"/>
      <c r="AK563" s="399" t="s">
        <v>135</v>
      </c>
      <c r="AL563" s="402"/>
      <c r="AM563" s="398"/>
      <c r="AN563" s="399" t="s">
        <v>138</v>
      </c>
      <c r="AO563" s="728">
        <v>729.0</v>
      </c>
      <c r="AP563" s="728">
        <v>-0.32</v>
      </c>
      <c r="AQ563" s="407" t="s">
        <v>173</v>
      </c>
      <c r="AR563" s="407" t="s">
        <v>140</v>
      </c>
      <c r="AS563" s="398"/>
      <c r="AT563" s="407" t="s">
        <v>135</v>
      </c>
      <c r="AU563" s="398"/>
      <c r="AV563" s="398"/>
      <c r="AW563" s="407" t="s">
        <v>138</v>
      </c>
      <c r="AX563" s="407" t="s">
        <v>438</v>
      </c>
      <c r="AY563" s="61" t="str">
        <f>IFERROR(__xludf.DUMMYFUNCTION("vlookup(BB563,importrange(""https://docs.google.com/spreadsheets/d/1d2vevQ_7D_v35q4wCQ4RpQ_IPoTwEMB9Yp6ymwlPqew/edit?gid=984458430#gid=984458430"", ""'replication success'!A:K""), 11, FAlSE)"),"#N/A")</f>
        <v>#N/A</v>
      </c>
      <c r="AZ563" s="61" t="str">
        <f>IFERROR(__xludf.DUMMYFUNCTION("vlookup(BB563,importrange(""https://docs.google.com/spreadsheets/d/1d2vevQ_7D_v35q4wCQ4RpQ_IPoTwEMB9Yp6ymwlPqew/edit?gid=984458430#gid=984458430"", ""'replication success'!A:M""), 12, FAlSE)"),"#N/A")</f>
        <v>#N/A</v>
      </c>
      <c r="BA563" s="61" t="str">
        <f>IFERROR(__xludf.DUMMYFUNCTION("vlookup(BB563,importrange(""https://docs.google.com/spreadsheets/d/1d2vevQ_7D_v35q4wCQ4RpQ_IPoTwEMB9Yp6ymwlPqew/edit?gid=984458430#gid=984458430"", ""'replication success'!A:M""), 13, FAlSE)"),"#N/A")</f>
        <v>#N/A</v>
      </c>
      <c r="BB563" s="61" t="str">
        <f>IFERROR(__xludf.DUMMYFUNCTION("REGEXREPLACE(G563, ""_[a-z]{1,2}$"", """")"),"additional_studies8")</f>
        <v>additional_studies8</v>
      </c>
      <c r="BC563" s="220"/>
      <c r="BD563" s="397" t="s">
        <v>3130</v>
      </c>
      <c r="BE563" s="220"/>
      <c r="BF563" s="220"/>
      <c r="BG563" s="220"/>
      <c r="BH563" s="220"/>
      <c r="BI563" s="220"/>
      <c r="BJ563" s="220"/>
      <c r="BK563" s="220"/>
      <c r="BL563" s="220"/>
      <c r="BM563" s="220"/>
      <c r="BN563" s="220"/>
      <c r="BO563" s="220"/>
      <c r="BP563" s="220"/>
      <c r="BQ563" s="220"/>
      <c r="BR563" s="220"/>
      <c r="BS563" s="220"/>
      <c r="BT563" s="220"/>
      <c r="BU563" s="220"/>
      <c r="BV563" s="220"/>
      <c r="BW563" s="220"/>
      <c r="BX563" s="220"/>
      <c r="BY563" s="220"/>
      <c r="BZ563" s="220"/>
      <c r="CA563" s="220"/>
      <c r="CB563" s="220"/>
      <c r="CC563" s="220"/>
      <c r="CD563" s="220"/>
      <c r="CE563" s="220"/>
      <c r="CF563" s="220"/>
      <c r="CG563" s="220"/>
      <c r="CH563" s="220"/>
      <c r="CI563" s="220"/>
      <c r="CJ563" s="220"/>
      <c r="CK563" s="220"/>
      <c r="CL563" s="220"/>
      <c r="CM563" s="220"/>
      <c r="CN563" s="220"/>
      <c r="CO563" s="220"/>
      <c r="CP563" s="220"/>
      <c r="CQ563" s="220"/>
      <c r="CR563" s="220"/>
      <c r="CS563" s="220"/>
      <c r="CT563" s="220"/>
      <c r="CU563" s="220"/>
      <c r="CV563" s="220"/>
      <c r="CW563" s="220"/>
      <c r="CX563" s="220"/>
      <c r="CY563" s="220"/>
      <c r="CZ563" s="220"/>
      <c r="DA563" s="220"/>
      <c r="DB563" s="220"/>
      <c r="DC563" s="220"/>
      <c r="DD563" s="220"/>
      <c r="DE563" s="220"/>
      <c r="DF563" s="220"/>
      <c r="DG563" s="220"/>
      <c r="DH563" s="220"/>
      <c r="DI563" s="220"/>
      <c r="DJ563" s="220"/>
      <c r="DK563" s="220"/>
      <c r="DL563" s="220"/>
    </row>
    <row r="564" ht="20.25" customHeight="1">
      <c r="A564" s="44">
        <v>564.0</v>
      </c>
      <c r="B564" s="157" t="s">
        <v>2013</v>
      </c>
      <c r="C564" s="157" t="s">
        <v>115</v>
      </c>
      <c r="D564" s="157" t="s">
        <v>2930</v>
      </c>
      <c r="E564" s="171"/>
      <c r="F564" s="168" t="s">
        <v>3135</v>
      </c>
      <c r="G564" s="157" t="s">
        <v>3136</v>
      </c>
      <c r="H564" s="157" t="s">
        <v>2933</v>
      </c>
      <c r="I564" s="884">
        <v>45634.0</v>
      </c>
      <c r="J564" s="170">
        <v>45691.0</v>
      </c>
      <c r="K564" s="157" t="s">
        <v>3137</v>
      </c>
      <c r="L564" s="171"/>
      <c r="M564" s="157" t="s">
        <v>3138</v>
      </c>
      <c r="N564" s="157" t="s">
        <v>3139</v>
      </c>
      <c r="O564" s="157">
        <v>1.0</v>
      </c>
      <c r="P564" s="157" t="s">
        <v>3140</v>
      </c>
      <c r="Q564" s="52" t="str">
        <f t="array" ref="Q564"> if(iserror(MATCH(V564, 'File Links'!C:C, 0)), "N/A", HYPERLINK(INDEX('File Links'!B:B, MATCH(P564, 'File Links'!C:C, 0))))</f>
        <v>https://drive.google.com/file/d/1_lgC5OmIfmdyPUatcoMBb50JoLNHFpBH/view?usp=drivesdk</v>
      </c>
      <c r="R564" s="157" t="s">
        <v>3141</v>
      </c>
      <c r="S564" s="157" t="s">
        <v>3142</v>
      </c>
      <c r="T564" s="171"/>
      <c r="U564" s="157">
        <v>1.0</v>
      </c>
      <c r="V564" s="198" t="str">
        <f t="shared" si="34"/>
        <v>10.1002--jaba.1098.pdf</v>
      </c>
      <c r="W564" s="157" t="s">
        <v>209</v>
      </c>
      <c r="X564" s="54" t="str">
        <f t="array" ref="X564"> if(iserror(MATCH(V564, 'File Links'!C:C, 0)), "N/A", HYPERLINK(INDEX('File Links'!B:B, MATCH(V564, 'File Links'!C:C, 0))))</f>
        <v>https://drive.google.com/file/d/14qlQgDUVz3KRZQVXwZQMkCR0K1msJHmK/view?usp=drivesdk</v>
      </c>
      <c r="Y564" s="157"/>
      <c r="Z564" s="157" t="s">
        <v>226</v>
      </c>
      <c r="AA564" s="157" t="s">
        <v>138</v>
      </c>
      <c r="AB564" s="157" t="s">
        <v>3143</v>
      </c>
      <c r="AC564" s="157" t="s">
        <v>3144</v>
      </c>
      <c r="AD564" s="157" t="s">
        <v>3145</v>
      </c>
      <c r="AE564" s="157">
        <v>1.0</v>
      </c>
      <c r="AF564" s="157">
        <v>10.0</v>
      </c>
      <c r="AG564" s="157" t="s">
        <v>138</v>
      </c>
      <c r="AH564" s="167" t="s">
        <v>138</v>
      </c>
      <c r="AI564" s="157" t="s">
        <v>138</v>
      </c>
      <c r="AJ564" s="157" t="s">
        <v>138</v>
      </c>
      <c r="AK564" s="168" t="s">
        <v>138</v>
      </c>
      <c r="AL564" s="157" t="s">
        <v>186</v>
      </c>
      <c r="AM564" s="157" t="s">
        <v>137</v>
      </c>
      <c r="AN564" s="219" t="s">
        <v>138</v>
      </c>
      <c r="AO564" s="157">
        <v>9.0</v>
      </c>
      <c r="AP564" s="157" t="s">
        <v>138</v>
      </c>
      <c r="AQ564" s="157" t="s">
        <v>138</v>
      </c>
      <c r="AR564" s="157" t="s">
        <v>138</v>
      </c>
      <c r="AS564" s="157" t="s">
        <v>138</v>
      </c>
      <c r="AT564" s="168" t="s">
        <v>138</v>
      </c>
      <c r="AU564" s="168" t="s">
        <v>186</v>
      </c>
      <c r="AV564" s="175" t="s">
        <v>137</v>
      </c>
      <c r="AW564" s="168" t="s">
        <v>138</v>
      </c>
      <c r="AX564" s="168" t="s">
        <v>438</v>
      </c>
      <c r="AY564" s="61" t="str">
        <f>IFERROR(__xludf.DUMMYFUNCTION("vlookup(BB564,importrange(""https://docs.google.com/spreadsheets/d/1d2vevQ_7D_v35q4wCQ4RpQ_IPoTwEMB9Yp6ymwlPqew/edit?gid=984458430#gid=984458430"", ""'replication success'!A:K""), 11, FAlSE)"),"#N/A")</f>
        <v>#N/A</v>
      </c>
      <c r="AZ564" s="61" t="str">
        <f>IFERROR(__xludf.DUMMYFUNCTION("vlookup(BB564,importrange(""https://docs.google.com/spreadsheets/d/1d2vevQ_7D_v35q4wCQ4RpQ_IPoTwEMB9Yp6ymwlPqew/edit?gid=984458430#gid=984458430"", ""'replication success'!A:M""), 12, FAlSE)"),"#N/A")</f>
        <v>#N/A</v>
      </c>
      <c r="BA564" s="61" t="str">
        <f>IFERROR(__xludf.DUMMYFUNCTION("vlookup(BB564,importrange(""https://docs.google.com/spreadsheets/d/1d2vevQ_7D_v35q4wCQ4RpQ_IPoTwEMB9Yp6ymwlPqew/edit?gid=984458430#gid=984458430"", ""'replication success'!A:M""), 13, FAlSE)"),"#N/A")</f>
        <v>#N/A</v>
      </c>
      <c r="BB564" s="61" t="str">
        <f>IFERROR(__xludf.DUMMYFUNCTION("REGEXREPLACE(G564, ""_[a-z]{1,2}$"", """")"),"additional_studies80")</f>
        <v>additional_studies80</v>
      </c>
      <c r="BC564" s="171"/>
      <c r="BD564" s="168" t="s">
        <v>144</v>
      </c>
    </row>
    <row r="565" ht="20.25" customHeight="1">
      <c r="A565" s="44">
        <v>565.0</v>
      </c>
      <c r="B565" s="157" t="s">
        <v>114</v>
      </c>
      <c r="C565" s="168" t="s">
        <v>115</v>
      </c>
      <c r="D565" s="168" t="s">
        <v>2957</v>
      </c>
      <c r="E565" s="164"/>
      <c r="F565" s="180" t="s">
        <v>3135</v>
      </c>
      <c r="G565" s="186" t="s">
        <v>3136</v>
      </c>
      <c r="H565" s="732" t="s">
        <v>2960</v>
      </c>
      <c r="I565" s="733">
        <v>45660.0</v>
      </c>
      <c r="J565" s="170">
        <v>45691.0</v>
      </c>
      <c r="K565" s="732" t="s">
        <v>3146</v>
      </c>
      <c r="L565" s="180"/>
      <c r="M565" s="732" t="s">
        <v>3138</v>
      </c>
      <c r="N565" s="732" t="s">
        <v>3139</v>
      </c>
      <c r="O565" s="180"/>
      <c r="P565" s="732" t="s">
        <v>3140</v>
      </c>
      <c r="Q565" s="52" t="str">
        <f t="array" ref="Q565"> if(iserror(MATCH(V565, 'File Links'!C:C, 0)), "N/A", HYPERLINK(INDEX('File Links'!B:B, MATCH(P565, 'File Links'!C:C, 0))))</f>
        <v>https://drive.google.com/file/d/1_lgC5OmIfmdyPUatcoMBb50JoLNHFpBH/view?usp=drivesdk</v>
      </c>
      <c r="R565" s="732" t="s">
        <v>3141</v>
      </c>
      <c r="S565" s="732" t="s">
        <v>3142</v>
      </c>
      <c r="T565" s="180"/>
      <c r="U565" s="183">
        <v>1.0</v>
      </c>
      <c r="V565" s="198" t="str">
        <f t="shared" si="34"/>
        <v>10.1002--jaba.1098.pdf</v>
      </c>
      <c r="W565" s="732" t="s">
        <v>3051</v>
      </c>
      <c r="X565" s="54" t="str">
        <f t="array" ref="X565"> if(iserror(MATCH(V565, 'File Links'!C:C, 0)), "N/A", HYPERLINK(INDEX('File Links'!B:B, MATCH(V565, 'File Links'!C:C, 0))))</f>
        <v>https://drive.google.com/file/d/14qlQgDUVz3KRZQVXwZQMkCR0K1msJHmK/view?usp=drivesdk</v>
      </c>
      <c r="Y565" s="164"/>
      <c r="Z565" s="732" t="s">
        <v>226</v>
      </c>
      <c r="AA565" s="732" t="s">
        <v>3147</v>
      </c>
      <c r="AB565" s="732" t="s">
        <v>3148</v>
      </c>
      <c r="AC565" s="180"/>
      <c r="AD565" s="732" t="s">
        <v>3149</v>
      </c>
      <c r="AE565" s="183">
        <v>238.0</v>
      </c>
      <c r="AF565" s="183">
        <v>10.0</v>
      </c>
      <c r="AG565" s="183">
        <v>30.41</v>
      </c>
      <c r="AH565" s="732" t="s">
        <v>134</v>
      </c>
      <c r="AI565" s="732" t="s">
        <v>3150</v>
      </c>
      <c r="AJ565" s="740"/>
      <c r="AK565" s="737"/>
      <c r="AL565" s="737"/>
      <c r="AM565" s="180"/>
      <c r="AN565" s="219" t="s">
        <v>138</v>
      </c>
      <c r="AO565" s="183">
        <v>9.0</v>
      </c>
      <c r="AP565" s="885">
        <v>35.08</v>
      </c>
      <c r="AQ565" s="180" t="s">
        <v>134</v>
      </c>
      <c r="AR565" s="180" t="s">
        <v>3151</v>
      </c>
      <c r="AS565" s="180"/>
      <c r="AT565" s="180"/>
      <c r="AU565" s="180"/>
      <c r="AV565" s="180"/>
      <c r="AW565" s="180"/>
      <c r="AX565" s="168" t="s">
        <v>438</v>
      </c>
      <c r="AY565" s="61" t="str">
        <f>IFERROR(__xludf.DUMMYFUNCTION("vlookup(BB565,importrange(""https://docs.google.com/spreadsheets/d/1d2vevQ_7D_v35q4wCQ4RpQ_IPoTwEMB9Yp6ymwlPqew/edit?gid=984458430#gid=984458430"", ""'replication success'!A:K""), 11, FAlSE)"),"#N/A")</f>
        <v>#N/A</v>
      </c>
      <c r="AZ565" s="61" t="str">
        <f>IFERROR(__xludf.DUMMYFUNCTION("vlookup(BB565,importrange(""https://docs.google.com/spreadsheets/d/1d2vevQ_7D_v35q4wCQ4RpQ_IPoTwEMB9Yp6ymwlPqew/edit?gid=984458430#gid=984458430"", ""'replication success'!A:M""), 12, FAlSE)"),"#N/A")</f>
        <v>#N/A</v>
      </c>
      <c r="BA565" s="61" t="str">
        <f>IFERROR(__xludf.DUMMYFUNCTION("vlookup(BB565,importrange(""https://docs.google.com/spreadsheets/d/1d2vevQ_7D_v35q4wCQ4RpQ_IPoTwEMB9Yp6ymwlPqew/edit?gid=984458430#gid=984458430"", ""'replication success'!A:M""), 13, FAlSE)"),"#N/A")</f>
        <v>#N/A</v>
      </c>
      <c r="BB565" s="61" t="str">
        <f>IFERROR(__xludf.DUMMYFUNCTION("REGEXREPLACE(G565, ""_[a-z]{1,2}$"", """")"),"additional_studies80")</f>
        <v>additional_studies80</v>
      </c>
      <c r="BC565" s="168" t="s">
        <v>3152</v>
      </c>
      <c r="BD565" s="168" t="s">
        <v>144</v>
      </c>
    </row>
    <row r="566" ht="20.25" customHeight="1">
      <c r="A566" s="44">
        <v>566.0</v>
      </c>
      <c r="B566" s="490" t="s">
        <v>114</v>
      </c>
      <c r="C566" s="490" t="s">
        <v>115</v>
      </c>
      <c r="D566" s="490" t="s">
        <v>2930</v>
      </c>
      <c r="E566" s="803"/>
      <c r="F566" s="381" t="s">
        <v>3153</v>
      </c>
      <c r="G566" s="490" t="s">
        <v>3154</v>
      </c>
      <c r="H566" s="490" t="s">
        <v>2933</v>
      </c>
      <c r="I566" s="886">
        <v>45634.0</v>
      </c>
      <c r="J566" s="170">
        <v>45691.0</v>
      </c>
      <c r="K566" s="490" t="s">
        <v>3155</v>
      </c>
      <c r="L566" s="803"/>
      <c r="M566" s="490" t="s">
        <v>3156</v>
      </c>
      <c r="N566" s="490" t="s">
        <v>3157</v>
      </c>
      <c r="O566" s="490">
        <v>1.0</v>
      </c>
      <c r="P566" s="490" t="s">
        <v>3158</v>
      </c>
      <c r="Q566" s="108" t="str">
        <f t="array" ref="Q566"> if(iserror(MATCH(V566, 'File Links'!C:C, 0)), "N/A", HYPERLINK(INDEX('File Links'!B:B, MATCH(P566, 'File Links'!C:C, 0))))</f>
        <v>N/A</v>
      </c>
      <c r="R566" s="490" t="s">
        <v>3159</v>
      </c>
      <c r="S566" s="490" t="s">
        <v>3160</v>
      </c>
      <c r="T566" s="803"/>
      <c r="U566" s="490">
        <v>1.0</v>
      </c>
      <c r="V566" s="490" t="s">
        <v>3161</v>
      </c>
      <c r="W566" s="490" t="s">
        <v>209</v>
      </c>
      <c r="X566" s="49" t="str">
        <f t="array" ref="X566"> if(iserror(MATCH(V566, 'File Links'!C:C, 0)), "N/A", HYPERLINK(INDEX('File Links'!B:B, MATCH(V566, 'File Links'!C:C, 0))))</f>
        <v>N/A</v>
      </c>
      <c r="Y566" s="490" t="s">
        <v>3162</v>
      </c>
      <c r="Z566" s="485" t="s">
        <v>128</v>
      </c>
      <c r="AA566" s="805" t="s">
        <v>3163</v>
      </c>
      <c r="AB566" s="485" t="s">
        <v>3164</v>
      </c>
      <c r="AC566" s="490" t="s">
        <v>3165</v>
      </c>
      <c r="AD566" s="490" t="s">
        <v>3166</v>
      </c>
      <c r="AE566" s="490">
        <v>11.0</v>
      </c>
      <c r="AF566" s="490">
        <v>862.0</v>
      </c>
      <c r="AG566" s="490">
        <v>0.23</v>
      </c>
      <c r="AH566" s="490" t="s">
        <v>361</v>
      </c>
      <c r="AI566" s="490" t="s">
        <v>132</v>
      </c>
      <c r="AJ566" s="490">
        <v>0.05</v>
      </c>
      <c r="AK566" s="381" t="s">
        <v>135</v>
      </c>
      <c r="AL566" s="490" t="s">
        <v>186</v>
      </c>
      <c r="AM566" s="490" t="s">
        <v>141</v>
      </c>
      <c r="AN566" s="490" t="s">
        <v>138</v>
      </c>
      <c r="AO566" s="490">
        <v>862.0</v>
      </c>
      <c r="AP566" s="490">
        <v>0.23</v>
      </c>
      <c r="AQ566" s="490" t="s">
        <v>361</v>
      </c>
      <c r="AR566" s="490" t="s">
        <v>140</v>
      </c>
      <c r="AS566" s="490">
        <v>0.05</v>
      </c>
      <c r="AT566" s="381" t="s">
        <v>135</v>
      </c>
      <c r="AU566" s="381" t="s">
        <v>186</v>
      </c>
      <c r="AV566" s="488" t="s">
        <v>141</v>
      </c>
      <c r="AW566" s="484"/>
      <c r="AX566" s="381" t="s">
        <v>143</v>
      </c>
      <c r="AY566" s="61" t="str">
        <f>IFERROR(__xludf.DUMMYFUNCTION("vlookup(BB566,importrange(""https://docs.google.com/spreadsheets/d/1d2vevQ_7D_v35q4wCQ4RpQ_IPoTwEMB9Yp6ymwlPqew/edit?gid=984458430#gid=984458430"", ""'replication success'!A:K""), 11, FAlSE)"),"#N/A")</f>
        <v>#N/A</v>
      </c>
      <c r="AZ566" s="61" t="str">
        <f>IFERROR(__xludf.DUMMYFUNCTION("vlookup(BB566,importrange(""https://docs.google.com/spreadsheets/d/1d2vevQ_7D_v35q4wCQ4RpQ_IPoTwEMB9Yp6ymwlPqew/edit?gid=984458430#gid=984458430"", ""'replication success'!A:M""), 12, FAlSE)"),"#N/A")</f>
        <v>#N/A</v>
      </c>
      <c r="BA566" s="61" t="str">
        <f>IFERROR(__xludf.DUMMYFUNCTION("vlookup(BB566,importrange(""https://docs.google.com/spreadsheets/d/1d2vevQ_7D_v35q4wCQ4RpQ_IPoTwEMB9Yp6ymwlPqew/edit?gid=984458430#gid=984458430"", ""'replication success'!A:M""), 13, FAlSE)"),"#N/A")</f>
        <v>#N/A</v>
      </c>
      <c r="BB566" s="61" t="str">
        <f>IFERROR(__xludf.DUMMYFUNCTION("REGEXREPLACE(G566, ""_[a-z]{1,2}$"", """")"),"additional_studies82")</f>
        <v>additional_studies82</v>
      </c>
      <c r="BC566" s="887" t="s">
        <v>3167</v>
      </c>
      <c r="BD566" s="381" t="s">
        <v>144</v>
      </c>
    </row>
    <row r="567" ht="20.25" customHeight="1">
      <c r="A567" s="44">
        <v>567.0</v>
      </c>
      <c r="B567" s="490" t="s">
        <v>114</v>
      </c>
      <c r="C567" s="381" t="s">
        <v>115</v>
      </c>
      <c r="D567" s="381" t="s">
        <v>2957</v>
      </c>
      <c r="E567" s="484"/>
      <c r="F567" s="489" t="s">
        <v>3168</v>
      </c>
      <c r="G567" s="486" t="s">
        <v>3154</v>
      </c>
      <c r="H567" s="485" t="s">
        <v>2960</v>
      </c>
      <c r="I567" s="487">
        <v>45663.0</v>
      </c>
      <c r="J567" s="170">
        <v>45691.0</v>
      </c>
      <c r="K567" s="485" t="s">
        <v>3169</v>
      </c>
      <c r="L567" s="489"/>
      <c r="M567" s="485" t="s">
        <v>3170</v>
      </c>
      <c r="N567" s="485" t="s">
        <v>3157</v>
      </c>
      <c r="O567" s="490">
        <v>1.0</v>
      </c>
      <c r="P567" s="485" t="s">
        <v>3158</v>
      </c>
      <c r="Q567" s="108" t="str">
        <f t="array" ref="Q567"> if(iserror(MATCH(V567, 'File Links'!C:C, 0)), "N/A", HYPERLINK(INDEX('File Links'!B:B, MATCH(P567, 'File Links'!C:C, 0))))</f>
        <v>N/A</v>
      </c>
      <c r="R567" s="485" t="s">
        <v>3159</v>
      </c>
      <c r="S567" s="485" t="s">
        <v>3160</v>
      </c>
      <c r="T567" s="489"/>
      <c r="U567" s="490">
        <v>1.0</v>
      </c>
      <c r="V567" s="485" t="s">
        <v>3161</v>
      </c>
      <c r="W567" s="490" t="s">
        <v>209</v>
      </c>
      <c r="X567" s="49" t="str">
        <f t="array" ref="X567"> if(iserror(MATCH(V567, 'File Links'!C:C, 0)), "N/A", HYPERLINK(INDEX('File Links'!B:B, MATCH(V567, 'File Links'!C:C, 0))))</f>
        <v>N/A</v>
      </c>
      <c r="Y567" s="490" t="s">
        <v>3162</v>
      </c>
      <c r="Z567" s="485" t="s">
        <v>128</v>
      </c>
      <c r="AA567" s="805" t="s">
        <v>3163</v>
      </c>
      <c r="AB567" s="485" t="s">
        <v>3164</v>
      </c>
      <c r="AC567" s="485" t="s">
        <v>3171</v>
      </c>
      <c r="AD567" s="805" t="s">
        <v>3166</v>
      </c>
      <c r="AE567" s="490">
        <v>11.0</v>
      </c>
      <c r="AF567" s="888">
        <v>1000.0</v>
      </c>
      <c r="AG567" s="495">
        <v>2.84</v>
      </c>
      <c r="AH567" s="485" t="s">
        <v>1031</v>
      </c>
      <c r="AI567" s="485" t="s">
        <v>3172</v>
      </c>
      <c r="AJ567" s="494">
        <v>0.1</v>
      </c>
      <c r="AK567" s="486" t="s">
        <v>135</v>
      </c>
      <c r="AL567" s="486" t="s">
        <v>186</v>
      </c>
      <c r="AM567" s="489" t="s">
        <v>137</v>
      </c>
      <c r="AN567" s="490" t="s">
        <v>138</v>
      </c>
      <c r="AO567" s="495">
        <v>1000.0</v>
      </c>
      <c r="AP567" s="495">
        <v>-0.04</v>
      </c>
      <c r="AQ567" s="485" t="s">
        <v>1031</v>
      </c>
      <c r="AR567" s="485" t="s">
        <v>3173</v>
      </c>
      <c r="AS567" s="485" t="s">
        <v>2382</v>
      </c>
      <c r="AT567" s="489"/>
      <c r="AU567" s="489"/>
      <c r="AV567" s="489"/>
      <c r="AW567" s="489"/>
      <c r="AX567" s="489" t="s">
        <v>143</v>
      </c>
      <c r="AY567" s="61" t="str">
        <f>IFERROR(__xludf.DUMMYFUNCTION("vlookup(BB567,importrange(""https://docs.google.com/spreadsheets/d/1d2vevQ_7D_v35q4wCQ4RpQ_IPoTwEMB9Yp6ymwlPqew/edit?gid=984458430#gid=984458430"", ""'replication success'!A:K""), 11, FAlSE)"),"#N/A")</f>
        <v>#N/A</v>
      </c>
      <c r="AZ567" s="61" t="str">
        <f>IFERROR(__xludf.DUMMYFUNCTION("vlookup(BB567,importrange(""https://docs.google.com/spreadsheets/d/1d2vevQ_7D_v35q4wCQ4RpQ_IPoTwEMB9Yp6ymwlPqew/edit?gid=984458430#gid=984458430"", ""'replication success'!A:M""), 12, FAlSE)"),"#N/A")</f>
        <v>#N/A</v>
      </c>
      <c r="BA567" s="61" t="str">
        <f>IFERROR(__xludf.DUMMYFUNCTION("vlookup(BB567,importrange(""https://docs.google.com/spreadsheets/d/1d2vevQ_7D_v35q4wCQ4RpQ_IPoTwEMB9Yp6ymwlPqew/edit?gid=984458430#gid=984458430"", ""'replication success'!A:M""), 13, FAlSE)"),"#N/A")</f>
        <v>#N/A</v>
      </c>
      <c r="BB567" s="61" t="str">
        <f>IFERROR(__xludf.DUMMYFUNCTION("REGEXREPLACE(G567, ""_[a-z]{1,2}$"", """")"),"additional_studies82")</f>
        <v>additional_studies82</v>
      </c>
      <c r="BC567" s="889" t="s">
        <v>3174</v>
      </c>
      <c r="BD567" s="381" t="s">
        <v>144</v>
      </c>
    </row>
    <row r="568" ht="20.25" customHeight="1">
      <c r="A568" s="44">
        <v>568.0</v>
      </c>
      <c r="B568" s="490" t="s">
        <v>114</v>
      </c>
      <c r="C568" s="381" t="s">
        <v>115</v>
      </c>
      <c r="D568" s="381" t="s">
        <v>2957</v>
      </c>
      <c r="E568" s="484"/>
      <c r="F568" s="489" t="s">
        <v>3175</v>
      </c>
      <c r="G568" s="486" t="s">
        <v>3154</v>
      </c>
      <c r="H568" s="485" t="s">
        <v>2960</v>
      </c>
      <c r="I568" s="487">
        <v>45663.0</v>
      </c>
      <c r="J568" s="170">
        <v>45691.0</v>
      </c>
      <c r="K568" s="485" t="s">
        <v>3176</v>
      </c>
      <c r="L568" s="489"/>
      <c r="M568" s="485" t="s">
        <v>3170</v>
      </c>
      <c r="N568" s="485" t="s">
        <v>3157</v>
      </c>
      <c r="O568" s="490">
        <v>1.0</v>
      </c>
      <c r="P568" s="485" t="s">
        <v>3158</v>
      </c>
      <c r="Q568" s="108" t="str">
        <f t="array" ref="Q568"> if(iserror(MATCH(V568, 'File Links'!C:C, 0)), "N/A", HYPERLINK(INDEX('File Links'!B:B, MATCH(P568, 'File Links'!C:C, 0))))</f>
        <v>N/A</v>
      </c>
      <c r="R568" s="485" t="s">
        <v>3159</v>
      </c>
      <c r="S568" s="485" t="s">
        <v>3160</v>
      </c>
      <c r="T568" s="489"/>
      <c r="U568" s="490">
        <v>1.0</v>
      </c>
      <c r="V568" s="485" t="s">
        <v>3161</v>
      </c>
      <c r="W568" s="490" t="s">
        <v>209</v>
      </c>
      <c r="X568" s="49" t="str">
        <f t="array" ref="X568"> if(iserror(MATCH(V568, 'File Links'!C:C, 0)), "N/A", HYPERLINK(INDEX('File Links'!B:B, MATCH(V568, 'File Links'!C:C, 0))))</f>
        <v>N/A</v>
      </c>
      <c r="Y568" s="490" t="s">
        <v>3162</v>
      </c>
      <c r="Z568" s="485" t="s">
        <v>128</v>
      </c>
      <c r="AA568" s="805" t="s">
        <v>3163</v>
      </c>
      <c r="AB568" s="485" t="s">
        <v>3164</v>
      </c>
      <c r="AC568" s="485" t="s">
        <v>3171</v>
      </c>
      <c r="AD568" s="805" t="s">
        <v>3166</v>
      </c>
      <c r="AE568" s="490">
        <v>11.0</v>
      </c>
      <c r="AF568" s="888">
        <v>1000.0</v>
      </c>
      <c r="AG568" s="495">
        <v>24.6</v>
      </c>
      <c r="AH568" s="485" t="s">
        <v>1031</v>
      </c>
      <c r="AI568" s="485" t="s">
        <v>3172</v>
      </c>
      <c r="AJ568" s="494">
        <v>0.05</v>
      </c>
      <c r="AK568" s="486" t="s">
        <v>135</v>
      </c>
      <c r="AL568" s="486" t="s">
        <v>186</v>
      </c>
      <c r="AM568" s="489" t="s">
        <v>137</v>
      </c>
      <c r="AN568" s="490" t="s">
        <v>138</v>
      </c>
      <c r="AO568" s="495">
        <v>1000.0</v>
      </c>
      <c r="AP568" s="495">
        <v>-0.11</v>
      </c>
      <c r="AQ568" s="485" t="s">
        <v>1031</v>
      </c>
      <c r="AR568" s="489"/>
      <c r="AS568" s="485" t="s">
        <v>2382</v>
      </c>
      <c r="AT568" s="489"/>
      <c r="AU568" s="489"/>
      <c r="AV568" s="489"/>
      <c r="AW568" s="489"/>
      <c r="AX568" s="489" t="s">
        <v>143</v>
      </c>
      <c r="AY568" s="61" t="str">
        <f>IFERROR(__xludf.DUMMYFUNCTION("vlookup(BB568,importrange(""https://docs.google.com/spreadsheets/d/1d2vevQ_7D_v35q4wCQ4RpQ_IPoTwEMB9Yp6ymwlPqew/edit?gid=984458430#gid=984458430"", ""'replication success'!A:K""), 11, FAlSE)"),"#N/A")</f>
        <v>#N/A</v>
      </c>
      <c r="AZ568" s="61" t="str">
        <f>IFERROR(__xludf.DUMMYFUNCTION("vlookup(BB568,importrange(""https://docs.google.com/spreadsheets/d/1d2vevQ_7D_v35q4wCQ4RpQ_IPoTwEMB9Yp6ymwlPqew/edit?gid=984458430#gid=984458430"", ""'replication success'!A:M""), 12, FAlSE)"),"#N/A")</f>
        <v>#N/A</v>
      </c>
      <c r="BA568" s="61" t="str">
        <f>IFERROR(__xludf.DUMMYFUNCTION("vlookup(BB568,importrange(""https://docs.google.com/spreadsheets/d/1d2vevQ_7D_v35q4wCQ4RpQ_IPoTwEMB9Yp6ymwlPqew/edit?gid=984458430#gid=984458430"", ""'replication success'!A:M""), 13, FAlSE)"),"#N/A")</f>
        <v>#N/A</v>
      </c>
      <c r="BB568" s="61" t="str">
        <f>IFERROR(__xludf.DUMMYFUNCTION("REGEXREPLACE(G568, ""_[a-z]{1,2}$"", """")"),"additional_studies82")</f>
        <v>additional_studies82</v>
      </c>
      <c r="BC568" s="484"/>
      <c r="BD568" s="381" t="s">
        <v>144</v>
      </c>
    </row>
    <row r="569" ht="20.25" customHeight="1">
      <c r="A569" s="44">
        <v>569.0</v>
      </c>
      <c r="B569" s="490" t="s">
        <v>114</v>
      </c>
      <c r="C569" s="381" t="s">
        <v>115</v>
      </c>
      <c r="D569" s="381" t="s">
        <v>2957</v>
      </c>
      <c r="E569" s="484"/>
      <c r="F569" s="489" t="s">
        <v>3177</v>
      </c>
      <c r="G569" s="486" t="s">
        <v>3154</v>
      </c>
      <c r="H569" s="485" t="s">
        <v>2960</v>
      </c>
      <c r="I569" s="487">
        <v>45663.0</v>
      </c>
      <c r="J569" s="170">
        <v>45691.0</v>
      </c>
      <c r="K569" s="485" t="s">
        <v>3178</v>
      </c>
      <c r="L569" s="489"/>
      <c r="M569" s="485" t="s">
        <v>3170</v>
      </c>
      <c r="N569" s="485" t="s">
        <v>3157</v>
      </c>
      <c r="O569" s="490">
        <v>1.0</v>
      </c>
      <c r="P569" s="485" t="s">
        <v>3158</v>
      </c>
      <c r="Q569" s="108" t="str">
        <f t="array" ref="Q569"> if(iserror(MATCH(V569, 'File Links'!C:C, 0)), "N/A", HYPERLINK(INDEX('File Links'!B:B, MATCH(P569, 'File Links'!C:C, 0))))</f>
        <v>N/A</v>
      </c>
      <c r="R569" s="485" t="s">
        <v>3159</v>
      </c>
      <c r="S569" s="485" t="s">
        <v>3160</v>
      </c>
      <c r="T569" s="489"/>
      <c r="U569" s="490">
        <v>1.0</v>
      </c>
      <c r="V569" s="485" t="s">
        <v>3161</v>
      </c>
      <c r="W569" s="490" t="s">
        <v>209</v>
      </c>
      <c r="X569" s="49" t="str">
        <f t="array" ref="X569"> if(iserror(MATCH(V569, 'File Links'!C:C, 0)), "N/A", HYPERLINK(INDEX('File Links'!B:B, MATCH(V569, 'File Links'!C:C, 0))))</f>
        <v>N/A</v>
      </c>
      <c r="Y569" s="490" t="s">
        <v>3162</v>
      </c>
      <c r="Z569" s="485" t="s">
        <v>128</v>
      </c>
      <c r="AA569" s="805" t="s">
        <v>3163</v>
      </c>
      <c r="AB569" s="485" t="s">
        <v>3164</v>
      </c>
      <c r="AC569" s="485" t="s">
        <v>3171</v>
      </c>
      <c r="AD569" s="805" t="s">
        <v>3166</v>
      </c>
      <c r="AE569" s="490">
        <v>11.0</v>
      </c>
      <c r="AF569" s="888">
        <v>1000.0</v>
      </c>
      <c r="AG569" s="495">
        <v>683.5</v>
      </c>
      <c r="AH569" s="485" t="s">
        <v>1031</v>
      </c>
      <c r="AI569" s="485" t="s">
        <v>3172</v>
      </c>
      <c r="AJ569" s="494">
        <v>0.05</v>
      </c>
      <c r="AK569" s="486" t="s">
        <v>135</v>
      </c>
      <c r="AL569" s="486" t="s">
        <v>186</v>
      </c>
      <c r="AM569" s="489" t="s">
        <v>137</v>
      </c>
      <c r="AN569" s="490" t="s">
        <v>138</v>
      </c>
      <c r="AO569" s="495">
        <v>1000.0</v>
      </c>
      <c r="AP569" s="495">
        <v>0.08</v>
      </c>
      <c r="AQ569" s="485" t="s">
        <v>1031</v>
      </c>
      <c r="AR569" s="489"/>
      <c r="AS569" s="485" t="s">
        <v>2382</v>
      </c>
      <c r="AT569" s="489"/>
      <c r="AU569" s="489"/>
      <c r="AV569" s="489"/>
      <c r="AW569" s="489"/>
      <c r="AX569" s="489" t="s">
        <v>143</v>
      </c>
      <c r="AY569" s="61" t="str">
        <f>IFERROR(__xludf.DUMMYFUNCTION("vlookup(BB569,importrange(""https://docs.google.com/spreadsheets/d/1d2vevQ_7D_v35q4wCQ4RpQ_IPoTwEMB9Yp6ymwlPqew/edit?gid=984458430#gid=984458430"", ""'replication success'!A:K""), 11, FAlSE)"),"#N/A")</f>
        <v>#N/A</v>
      </c>
      <c r="AZ569" s="61" t="str">
        <f>IFERROR(__xludf.DUMMYFUNCTION("vlookup(BB569,importrange(""https://docs.google.com/spreadsheets/d/1d2vevQ_7D_v35q4wCQ4RpQ_IPoTwEMB9Yp6ymwlPqew/edit?gid=984458430#gid=984458430"", ""'replication success'!A:M""), 12, FAlSE)"),"#N/A")</f>
        <v>#N/A</v>
      </c>
      <c r="BA569" s="61" t="str">
        <f>IFERROR(__xludf.DUMMYFUNCTION("vlookup(BB569,importrange(""https://docs.google.com/spreadsheets/d/1d2vevQ_7D_v35q4wCQ4RpQ_IPoTwEMB9Yp6ymwlPqew/edit?gid=984458430#gid=984458430"", ""'replication success'!A:M""), 13, FAlSE)"),"#N/A")</f>
        <v>#N/A</v>
      </c>
      <c r="BB569" s="61" t="str">
        <f>IFERROR(__xludf.DUMMYFUNCTION("REGEXREPLACE(G569, ""_[a-z]{1,2}$"", """")"),"additional_studies82")</f>
        <v>additional_studies82</v>
      </c>
      <c r="BC569" s="484"/>
      <c r="BD569" s="381" t="s">
        <v>144</v>
      </c>
    </row>
    <row r="570" ht="20.25" customHeight="1">
      <c r="A570" s="354">
        <v>570.0</v>
      </c>
      <c r="B570" s="341" t="s">
        <v>114</v>
      </c>
      <c r="C570" s="341" t="s">
        <v>115</v>
      </c>
      <c r="D570" s="341" t="s">
        <v>221</v>
      </c>
      <c r="E570" s="342"/>
      <c r="F570" s="343" t="s">
        <v>3179</v>
      </c>
      <c r="G570" s="47" t="s">
        <v>3180</v>
      </c>
      <c r="H570" s="360" t="s">
        <v>221</v>
      </c>
      <c r="I570" s="344">
        <v>45684.0</v>
      </c>
      <c r="J570" s="344">
        <v>45684.0</v>
      </c>
      <c r="K570" s="46"/>
      <c r="L570" s="46"/>
      <c r="M570" s="360" t="s">
        <v>3181</v>
      </c>
      <c r="N570" s="360" t="s">
        <v>3182</v>
      </c>
      <c r="O570" s="46"/>
      <c r="P570" s="360" t="s">
        <v>3183</v>
      </c>
      <c r="Q570" s="104" t="str">
        <f t="array" ref="Q570"> if(iserror(MATCH(V570, 'File Links'!C:C, 0)), "N/A", HYPERLINK(INDEX('File Links'!B:B, MATCH(P570, 'File Links'!C:C, 0))))</f>
        <v>https://drive.google.com/file/d/1BtYypYyY-PzT4y8FLAgHXAyFQwMz4y2O/view?usp=drivesdk</v>
      </c>
      <c r="R570" s="360" t="s">
        <v>3184</v>
      </c>
      <c r="S570" s="360" t="s">
        <v>3185</v>
      </c>
      <c r="T570" s="46"/>
      <c r="U570" s="500">
        <v>1.0</v>
      </c>
      <c r="V570" s="360" t="str">
        <f t="shared" ref="V570:V608" si="35"> hyperlink(vlookup(lower(S570),#REF!, 2, FALSE), SUBSTITUTE(lower(S570), "/", "--") &amp;  ".pdf")</f>
        <v>10.20982--tqmp.20.1.r001.pdf</v>
      </c>
      <c r="W570" s="360" t="s">
        <v>209</v>
      </c>
      <c r="X570" s="54" t="str">
        <f t="array" ref="X570"> if(iserror(MATCH(V570, 'File Links'!C:C, 0)), "N/A", HYPERLINK(INDEX('File Links'!B:B, MATCH(V570, 'File Links'!C:C, 0))))</f>
        <v>https://drive.google.com/file/d/1vDgLj9eoT-VnSILsFHRQ12VvtSFTsWUV/view?usp=drivesdk</v>
      </c>
      <c r="Y570" s="46"/>
      <c r="Z570" s="360" t="s">
        <v>148</v>
      </c>
      <c r="AA570" s="360" t="s">
        <v>3186</v>
      </c>
      <c r="AB570" s="360" t="s">
        <v>3187</v>
      </c>
      <c r="AC570" s="360" t="s">
        <v>3188</v>
      </c>
      <c r="AD570" s="360" t="s">
        <v>3189</v>
      </c>
      <c r="AE570" s="357">
        <v>13.0</v>
      </c>
      <c r="AF570" s="357">
        <v>24.0</v>
      </c>
      <c r="AG570" s="357">
        <v>0.62</v>
      </c>
      <c r="AH570" s="360" t="s">
        <v>139</v>
      </c>
      <c r="AI570" s="360" t="s">
        <v>2022</v>
      </c>
      <c r="AJ570" s="386">
        <v>0.001</v>
      </c>
      <c r="AK570" s="47" t="s">
        <v>135</v>
      </c>
      <c r="AL570" s="47" t="s">
        <v>136</v>
      </c>
      <c r="AM570" s="360" t="s">
        <v>137</v>
      </c>
      <c r="AN570" s="47" t="s">
        <v>138</v>
      </c>
      <c r="AO570" s="357">
        <v>30.0</v>
      </c>
      <c r="AP570" s="357">
        <v>0.12</v>
      </c>
      <c r="AQ570" s="360" t="s">
        <v>139</v>
      </c>
      <c r="AR570" s="360" t="s">
        <v>3190</v>
      </c>
      <c r="AS570" s="357">
        <v>0.001</v>
      </c>
      <c r="AT570" s="360" t="s">
        <v>135</v>
      </c>
      <c r="AU570" s="360" t="s">
        <v>136</v>
      </c>
      <c r="AV570" s="360" t="s">
        <v>137</v>
      </c>
      <c r="AW570" s="360" t="s">
        <v>138</v>
      </c>
      <c r="AX570" s="360" t="s">
        <v>143</v>
      </c>
      <c r="AY570" s="61" t="str">
        <f>IFERROR(__xludf.DUMMYFUNCTION("vlookup(BB570,importrange(""https://docs.google.com/spreadsheets/d/1d2vevQ_7D_v35q4wCQ4RpQ_IPoTwEMB9Yp6ymwlPqew/edit?gid=984458430#gid=984458430"", ""'replication success'!A:K""), 11, FAlSE)"),"#N/A")</f>
        <v>#N/A</v>
      </c>
      <c r="AZ570" s="61" t="str">
        <f>IFERROR(__xludf.DUMMYFUNCTION("vlookup(BB570,importrange(""https://docs.google.com/spreadsheets/d/1d2vevQ_7D_v35q4wCQ4RpQ_IPoTwEMB9Yp6ymwlPqew/edit?gid=984458430#gid=984458430"", ""'replication success'!A:M""), 12, FAlSE)"),"#N/A")</f>
        <v>#N/A</v>
      </c>
      <c r="BA570" s="61" t="str">
        <f>IFERROR(__xludf.DUMMYFUNCTION("vlookup(BB570,importrange(""https://docs.google.com/spreadsheets/d/1d2vevQ_7D_v35q4wCQ4RpQ_IPoTwEMB9Yp6ymwlPqew/edit?gid=984458430#gid=984458430"", ""'replication success'!A:M""), 13, FAlSE)"),"#N/A")</f>
        <v>#N/A</v>
      </c>
      <c r="BB570" s="61" t="str">
        <f>IFERROR(__xludf.DUMMYFUNCTION("REGEXREPLACE(G570, ""_[a-z]{1,2}$"", """")"),"additional_studies85")</f>
        <v>additional_studies85</v>
      </c>
      <c r="BC570" s="342"/>
      <c r="BD570" s="341" t="s">
        <v>692</v>
      </c>
      <c r="BE570" s="342"/>
      <c r="BF570" s="342"/>
      <c r="BG570" s="342"/>
      <c r="BH570" s="342"/>
      <c r="BI570" s="342"/>
      <c r="BJ570" s="342"/>
      <c r="BK570" s="342"/>
      <c r="BL570" s="342"/>
      <c r="BM570" s="342"/>
      <c r="BN570" s="342"/>
      <c r="BO570" s="342"/>
      <c r="BP570" s="342"/>
      <c r="BQ570" s="342"/>
      <c r="BR570" s="342"/>
      <c r="BS570" s="342"/>
      <c r="BT570" s="342"/>
      <c r="BU570" s="342"/>
      <c r="BV570" s="342"/>
      <c r="BW570" s="342"/>
      <c r="BX570" s="342"/>
      <c r="BY570" s="342"/>
      <c r="BZ570" s="342"/>
      <c r="CA570" s="342"/>
      <c r="CB570" s="342"/>
      <c r="CC570" s="342"/>
      <c r="CD570" s="342"/>
      <c r="CE570" s="342"/>
      <c r="CF570" s="342"/>
      <c r="CG570" s="342"/>
      <c r="CH570" s="342"/>
      <c r="CI570" s="342"/>
      <c r="CJ570" s="342"/>
      <c r="CK570" s="342"/>
      <c r="CL570" s="342"/>
      <c r="CM570" s="342"/>
      <c r="CN570" s="342"/>
      <c r="CO570" s="342"/>
      <c r="CP570" s="342"/>
      <c r="CQ570" s="342"/>
      <c r="CR570" s="342"/>
      <c r="CS570" s="342"/>
      <c r="CT570" s="342"/>
      <c r="CU570" s="342"/>
      <c r="CV570" s="342"/>
      <c r="CW570" s="342"/>
      <c r="CX570" s="342"/>
      <c r="CY570" s="342"/>
      <c r="CZ570" s="342"/>
      <c r="DA570" s="342"/>
      <c r="DB570" s="342"/>
      <c r="DC570" s="342"/>
      <c r="DD570" s="342"/>
      <c r="DE570" s="342"/>
      <c r="DF570" s="342"/>
      <c r="DG570" s="342"/>
      <c r="DH570" s="342"/>
      <c r="DI570" s="342"/>
      <c r="DJ570" s="342"/>
      <c r="DK570" s="342"/>
      <c r="DL570" s="342"/>
    </row>
    <row r="571" ht="20.25" customHeight="1">
      <c r="A571" s="354">
        <v>571.0</v>
      </c>
      <c r="B571" s="341" t="s">
        <v>114</v>
      </c>
      <c r="C571" s="341" t="s">
        <v>115</v>
      </c>
      <c r="D571" s="341" t="s">
        <v>221</v>
      </c>
      <c r="E571" s="342"/>
      <c r="F571" s="343" t="s">
        <v>3179</v>
      </c>
      <c r="G571" s="47" t="s">
        <v>3191</v>
      </c>
      <c r="H571" s="360" t="s">
        <v>221</v>
      </c>
      <c r="I571" s="344">
        <v>45684.0</v>
      </c>
      <c r="J571" s="344">
        <v>45684.0</v>
      </c>
      <c r="K571" s="46"/>
      <c r="L571" s="46"/>
      <c r="M571" s="360" t="s">
        <v>3181</v>
      </c>
      <c r="N571" s="360" t="s">
        <v>3182</v>
      </c>
      <c r="O571" s="46"/>
      <c r="P571" s="360" t="s">
        <v>3183</v>
      </c>
      <c r="Q571" s="104" t="str">
        <f t="array" ref="Q571"> if(iserror(MATCH(V571, 'File Links'!C:C, 0)), "N/A", HYPERLINK(INDEX('File Links'!B:B, MATCH(P571, 'File Links'!C:C, 0))))</f>
        <v>https://drive.google.com/file/d/1BtYypYyY-PzT4y8FLAgHXAyFQwMz4y2O/view?usp=drivesdk</v>
      </c>
      <c r="R571" s="360" t="s">
        <v>3184</v>
      </c>
      <c r="S571" s="360" t="s">
        <v>3185</v>
      </c>
      <c r="T571" s="46"/>
      <c r="U571" s="500">
        <v>1.0</v>
      </c>
      <c r="V571" s="360" t="str">
        <f t="shared" si="35"/>
        <v>10.20982--tqmp.20.1.r001.pdf</v>
      </c>
      <c r="W571" s="360" t="s">
        <v>209</v>
      </c>
      <c r="X571" s="54" t="str">
        <f t="array" ref="X571"> if(iserror(MATCH(V571, 'File Links'!C:C, 0)), "N/A", HYPERLINK(INDEX('File Links'!B:B, MATCH(V571, 'File Links'!C:C, 0))))</f>
        <v>https://drive.google.com/file/d/1vDgLj9eoT-VnSILsFHRQ12VvtSFTsWUV/view?usp=drivesdk</v>
      </c>
      <c r="Y571" s="46"/>
      <c r="Z571" s="360" t="s">
        <v>3192</v>
      </c>
      <c r="AA571" s="360" t="s">
        <v>3186</v>
      </c>
      <c r="AB571" s="360" t="s">
        <v>3187</v>
      </c>
      <c r="AC571" s="46" t="s">
        <v>3193</v>
      </c>
      <c r="AD571" s="360" t="s">
        <v>3194</v>
      </c>
      <c r="AE571" s="357">
        <v>13.0</v>
      </c>
      <c r="AF571" s="357">
        <v>24.0</v>
      </c>
      <c r="AG571" s="357">
        <v>0.85</v>
      </c>
      <c r="AH571" s="360" t="s">
        <v>139</v>
      </c>
      <c r="AI571" s="360" t="s">
        <v>2022</v>
      </c>
      <c r="AJ571" s="386">
        <v>0.001</v>
      </c>
      <c r="AK571" s="47" t="s">
        <v>135</v>
      </c>
      <c r="AL571" s="47" t="s">
        <v>136</v>
      </c>
      <c r="AM571" s="360" t="s">
        <v>137</v>
      </c>
      <c r="AN571" s="47" t="s">
        <v>138</v>
      </c>
      <c r="AO571" s="357">
        <v>30.0</v>
      </c>
      <c r="AP571" s="357">
        <v>0.67</v>
      </c>
      <c r="AQ571" s="360" t="s">
        <v>139</v>
      </c>
      <c r="AR571" s="360" t="s">
        <v>3190</v>
      </c>
      <c r="AS571" s="357">
        <v>0.001</v>
      </c>
      <c r="AT571" s="360" t="s">
        <v>135</v>
      </c>
      <c r="AU571" s="360" t="s">
        <v>136</v>
      </c>
      <c r="AV571" s="360" t="s">
        <v>137</v>
      </c>
      <c r="AW571" s="360" t="s">
        <v>138</v>
      </c>
      <c r="AX571" s="360" t="s">
        <v>143</v>
      </c>
      <c r="AY571" s="61" t="str">
        <f>IFERROR(__xludf.DUMMYFUNCTION("vlookup(BB571,importrange(""https://docs.google.com/spreadsheets/d/1d2vevQ_7D_v35q4wCQ4RpQ_IPoTwEMB9Yp6ymwlPqew/edit?gid=984458430#gid=984458430"", ""'replication success'!A:K""), 11, FAlSE)"),"#N/A")</f>
        <v>#N/A</v>
      </c>
      <c r="AZ571" s="61" t="str">
        <f>IFERROR(__xludf.DUMMYFUNCTION("vlookup(BB571,importrange(""https://docs.google.com/spreadsheets/d/1d2vevQ_7D_v35q4wCQ4RpQ_IPoTwEMB9Yp6ymwlPqew/edit?gid=984458430#gid=984458430"", ""'replication success'!A:M""), 12, FAlSE)"),"#N/A")</f>
        <v>#N/A</v>
      </c>
      <c r="BA571" s="61" t="str">
        <f>IFERROR(__xludf.DUMMYFUNCTION("vlookup(BB571,importrange(""https://docs.google.com/spreadsheets/d/1d2vevQ_7D_v35q4wCQ4RpQ_IPoTwEMB9Yp6ymwlPqew/edit?gid=984458430#gid=984458430"", ""'replication success'!A:M""), 13, FAlSE)"),"#N/A")</f>
        <v>#N/A</v>
      </c>
      <c r="BB571" s="61" t="str">
        <f>IFERROR(__xludf.DUMMYFUNCTION("REGEXREPLACE(G571, ""_[a-z]{1,2}$"", """")"),"additional_studies85")</f>
        <v>additional_studies85</v>
      </c>
      <c r="BC571" s="342"/>
      <c r="BD571" s="341" t="s">
        <v>692</v>
      </c>
      <c r="BE571" s="342"/>
      <c r="BF571" s="342"/>
      <c r="BG571" s="342"/>
      <c r="BH571" s="342"/>
      <c r="BI571" s="342"/>
      <c r="BJ571" s="342"/>
      <c r="BK571" s="342"/>
      <c r="BL571" s="342"/>
      <c r="BM571" s="342"/>
      <c r="BN571" s="342"/>
      <c r="BO571" s="342"/>
      <c r="BP571" s="342"/>
      <c r="BQ571" s="342"/>
      <c r="BR571" s="342"/>
      <c r="BS571" s="342"/>
      <c r="BT571" s="342"/>
      <c r="BU571" s="342"/>
      <c r="BV571" s="342"/>
      <c r="BW571" s="342"/>
      <c r="BX571" s="342"/>
      <c r="BY571" s="342"/>
      <c r="BZ571" s="342"/>
      <c r="CA571" s="342"/>
      <c r="CB571" s="342"/>
      <c r="CC571" s="342"/>
      <c r="CD571" s="342"/>
      <c r="CE571" s="342"/>
      <c r="CF571" s="342"/>
      <c r="CG571" s="342"/>
      <c r="CH571" s="342"/>
      <c r="CI571" s="342"/>
      <c r="CJ571" s="342"/>
      <c r="CK571" s="342"/>
      <c r="CL571" s="342"/>
      <c r="CM571" s="342"/>
      <c r="CN571" s="342"/>
      <c r="CO571" s="342"/>
      <c r="CP571" s="342"/>
      <c r="CQ571" s="342"/>
      <c r="CR571" s="342"/>
      <c r="CS571" s="342"/>
      <c r="CT571" s="342"/>
      <c r="CU571" s="342"/>
      <c r="CV571" s="342"/>
      <c r="CW571" s="342"/>
      <c r="CX571" s="342"/>
      <c r="CY571" s="342"/>
      <c r="CZ571" s="342"/>
      <c r="DA571" s="342"/>
      <c r="DB571" s="342"/>
      <c r="DC571" s="342"/>
      <c r="DD571" s="342"/>
      <c r="DE571" s="342"/>
      <c r="DF571" s="342"/>
      <c r="DG571" s="342"/>
      <c r="DH571" s="342"/>
      <c r="DI571" s="342"/>
      <c r="DJ571" s="342"/>
      <c r="DK571" s="342"/>
      <c r="DL571" s="342"/>
    </row>
    <row r="572" ht="20.25" customHeight="1">
      <c r="A572" s="354">
        <v>572.0</v>
      </c>
      <c r="B572" s="341" t="s">
        <v>114</v>
      </c>
      <c r="C572" s="341" t="s">
        <v>115</v>
      </c>
      <c r="D572" s="341" t="s">
        <v>221</v>
      </c>
      <c r="E572" s="342"/>
      <c r="F572" s="343" t="s">
        <v>3179</v>
      </c>
      <c r="G572" s="47" t="s">
        <v>3195</v>
      </c>
      <c r="H572" s="360" t="s">
        <v>221</v>
      </c>
      <c r="I572" s="344">
        <v>45684.0</v>
      </c>
      <c r="J572" s="344">
        <v>45684.0</v>
      </c>
      <c r="K572" s="46"/>
      <c r="L572" s="46"/>
      <c r="M572" s="360" t="s">
        <v>3181</v>
      </c>
      <c r="N572" s="360" t="s">
        <v>3182</v>
      </c>
      <c r="O572" s="46"/>
      <c r="P572" s="360" t="s">
        <v>3183</v>
      </c>
      <c r="Q572" s="104" t="str">
        <f t="array" ref="Q572"> if(iserror(MATCH(V572, 'File Links'!C:C, 0)), "N/A", HYPERLINK(INDEX('File Links'!B:B, MATCH(P572, 'File Links'!C:C, 0))))</f>
        <v>https://drive.google.com/file/d/1BtYypYyY-PzT4y8FLAgHXAyFQwMz4y2O/view?usp=drivesdk</v>
      </c>
      <c r="R572" s="360" t="s">
        <v>3184</v>
      </c>
      <c r="S572" s="360" t="s">
        <v>3185</v>
      </c>
      <c r="T572" s="46"/>
      <c r="U572" s="500">
        <v>1.0</v>
      </c>
      <c r="V572" s="360" t="str">
        <f t="shared" si="35"/>
        <v>10.20982--tqmp.20.1.r001.pdf</v>
      </c>
      <c r="W572" s="360" t="s">
        <v>209</v>
      </c>
      <c r="X572" s="54" t="str">
        <f t="array" ref="X572"> if(iserror(MATCH(V572, 'File Links'!C:C, 0)), "N/A", HYPERLINK(INDEX('File Links'!B:B, MATCH(V572, 'File Links'!C:C, 0))))</f>
        <v>https://drive.google.com/file/d/1vDgLj9eoT-VnSILsFHRQ12VvtSFTsWUV/view?usp=drivesdk</v>
      </c>
      <c r="Y572" s="46"/>
      <c r="Z572" s="360" t="s">
        <v>3192</v>
      </c>
      <c r="AA572" s="360" t="s">
        <v>3186</v>
      </c>
      <c r="AB572" s="360" t="s">
        <v>3187</v>
      </c>
      <c r="AC572" s="46" t="s">
        <v>3196</v>
      </c>
      <c r="AD572" s="360" t="s">
        <v>3197</v>
      </c>
      <c r="AE572" s="357">
        <v>13.0</v>
      </c>
      <c r="AF572" s="357">
        <v>24.0</v>
      </c>
      <c r="AG572" s="357">
        <v>0.44</v>
      </c>
      <c r="AH572" s="360" t="s">
        <v>139</v>
      </c>
      <c r="AI572" s="360" t="s">
        <v>2022</v>
      </c>
      <c r="AJ572" s="386">
        <v>0.001</v>
      </c>
      <c r="AK572" s="47" t="s">
        <v>135</v>
      </c>
      <c r="AL572" s="47" t="s">
        <v>136</v>
      </c>
      <c r="AM572" s="360" t="s">
        <v>137</v>
      </c>
      <c r="AN572" s="47" t="s">
        <v>138</v>
      </c>
      <c r="AO572" s="357">
        <v>30.0</v>
      </c>
      <c r="AP572" s="357">
        <v>0.1</v>
      </c>
      <c r="AQ572" s="360" t="s">
        <v>139</v>
      </c>
      <c r="AR572" s="360" t="s">
        <v>3190</v>
      </c>
      <c r="AS572" s="357">
        <v>0.08</v>
      </c>
      <c r="AT572" s="360" t="s">
        <v>172</v>
      </c>
      <c r="AU572" s="360" t="s">
        <v>136</v>
      </c>
      <c r="AV572" s="360" t="s">
        <v>137</v>
      </c>
      <c r="AW572" s="360" t="s">
        <v>138</v>
      </c>
      <c r="AX572" s="360" t="s">
        <v>143</v>
      </c>
      <c r="AY572" s="61" t="str">
        <f>IFERROR(__xludf.DUMMYFUNCTION("vlookup(BB572,importrange(""https://docs.google.com/spreadsheets/d/1d2vevQ_7D_v35q4wCQ4RpQ_IPoTwEMB9Yp6ymwlPqew/edit?gid=984458430#gid=984458430"", ""'replication success'!A:K""), 11, FAlSE)"),"#N/A")</f>
        <v>#N/A</v>
      </c>
      <c r="AZ572" s="61" t="str">
        <f>IFERROR(__xludf.DUMMYFUNCTION("vlookup(BB572,importrange(""https://docs.google.com/spreadsheets/d/1d2vevQ_7D_v35q4wCQ4RpQ_IPoTwEMB9Yp6ymwlPqew/edit?gid=984458430#gid=984458430"", ""'replication success'!A:M""), 12, FAlSE)"),"#N/A")</f>
        <v>#N/A</v>
      </c>
      <c r="BA572" s="61" t="str">
        <f>IFERROR(__xludf.DUMMYFUNCTION("vlookup(BB572,importrange(""https://docs.google.com/spreadsheets/d/1d2vevQ_7D_v35q4wCQ4RpQ_IPoTwEMB9Yp6ymwlPqew/edit?gid=984458430#gid=984458430"", ""'replication success'!A:M""), 13, FAlSE)"),"#N/A")</f>
        <v>#N/A</v>
      </c>
      <c r="BB572" s="61" t="str">
        <f>IFERROR(__xludf.DUMMYFUNCTION("REGEXREPLACE(G572, ""_[a-z]{1,2}$"", """")"),"additional_studies85")</f>
        <v>additional_studies85</v>
      </c>
      <c r="BC572" s="342"/>
      <c r="BD572" s="341" t="s">
        <v>692</v>
      </c>
      <c r="BE572" s="342"/>
      <c r="BF572" s="342"/>
      <c r="BG572" s="342"/>
      <c r="BH572" s="342"/>
      <c r="BI572" s="342"/>
      <c r="BJ572" s="342"/>
      <c r="BK572" s="342"/>
      <c r="BL572" s="342"/>
      <c r="BM572" s="342"/>
      <c r="BN572" s="342"/>
      <c r="BO572" s="342"/>
      <c r="BP572" s="342"/>
      <c r="BQ572" s="342"/>
      <c r="BR572" s="342"/>
      <c r="BS572" s="342"/>
      <c r="BT572" s="342"/>
      <c r="BU572" s="342"/>
      <c r="BV572" s="342"/>
      <c r="BW572" s="342"/>
      <c r="BX572" s="342"/>
      <c r="BY572" s="342"/>
      <c r="BZ572" s="342"/>
      <c r="CA572" s="342"/>
      <c r="CB572" s="342"/>
      <c r="CC572" s="342"/>
      <c r="CD572" s="342"/>
      <c r="CE572" s="342"/>
      <c r="CF572" s="342"/>
      <c r="CG572" s="342"/>
      <c r="CH572" s="342"/>
      <c r="CI572" s="342"/>
      <c r="CJ572" s="342"/>
      <c r="CK572" s="342"/>
      <c r="CL572" s="342"/>
      <c r="CM572" s="342"/>
      <c r="CN572" s="342"/>
      <c r="CO572" s="342"/>
      <c r="CP572" s="342"/>
      <c r="CQ572" s="342"/>
      <c r="CR572" s="342"/>
      <c r="CS572" s="342"/>
      <c r="CT572" s="342"/>
      <c r="CU572" s="342"/>
      <c r="CV572" s="342"/>
      <c r="CW572" s="342"/>
      <c r="CX572" s="342"/>
      <c r="CY572" s="342"/>
      <c r="CZ572" s="342"/>
      <c r="DA572" s="342"/>
      <c r="DB572" s="342"/>
      <c r="DC572" s="342"/>
      <c r="DD572" s="342"/>
      <c r="DE572" s="342"/>
      <c r="DF572" s="342"/>
      <c r="DG572" s="342"/>
      <c r="DH572" s="342"/>
      <c r="DI572" s="342"/>
      <c r="DJ572" s="342"/>
      <c r="DK572" s="342"/>
      <c r="DL572" s="342"/>
    </row>
    <row r="573" ht="20.25" customHeight="1">
      <c r="A573" s="354">
        <v>573.0</v>
      </c>
      <c r="B573" s="341" t="s">
        <v>152</v>
      </c>
      <c r="C573" s="341" t="s">
        <v>115</v>
      </c>
      <c r="D573" s="341" t="s">
        <v>990</v>
      </c>
      <c r="E573" s="342"/>
      <c r="F573" s="360" t="s">
        <v>3198</v>
      </c>
      <c r="G573" s="47" t="s">
        <v>3180</v>
      </c>
      <c r="H573" s="47" t="s">
        <v>144</v>
      </c>
      <c r="I573" s="344">
        <v>45489.0</v>
      </c>
      <c r="J573" s="511">
        <v>45636.0</v>
      </c>
      <c r="K573" s="49"/>
      <c r="L573" s="56" t="s">
        <v>3199</v>
      </c>
      <c r="M573" s="47" t="s">
        <v>3181</v>
      </c>
      <c r="N573" s="47" t="s">
        <v>3182</v>
      </c>
      <c r="O573" s="508">
        <v>1.0</v>
      </c>
      <c r="P573" s="51" t="s">
        <v>3183</v>
      </c>
      <c r="Q573" s="104" t="str">
        <f t="array" ref="Q573"> if(iserror(MATCH(V573, 'File Links'!C:C, 0)), "N/A", HYPERLINK(INDEX('File Links'!B:B, MATCH(P573, 'File Links'!C:C, 0))))</f>
        <v>https://drive.google.com/file/d/1BtYypYyY-PzT4y8FLAgHXAyFQwMz4y2O/view?usp=drivesdk</v>
      </c>
      <c r="R573" s="47" t="s">
        <v>3184</v>
      </c>
      <c r="S573" s="47" t="s">
        <v>3185</v>
      </c>
      <c r="T573" s="49"/>
      <c r="U573" s="386">
        <v>1.0</v>
      </c>
      <c r="V573" s="360" t="str">
        <f t="shared" si="35"/>
        <v>10.20982--tqmp.20.1.r001.pdf</v>
      </c>
      <c r="W573" s="47" t="s">
        <v>209</v>
      </c>
      <c r="X573" s="54" t="str">
        <f t="array" ref="X573"> if(iserror(MATCH(V573, 'File Links'!C:C, 0)), "N/A", HYPERLINK(INDEX('File Links'!B:B, MATCH(V573, 'File Links'!C:C, 0))))</f>
        <v>https://drive.google.com/file/d/1vDgLj9eoT-VnSILsFHRQ12VvtSFTsWUV/view?usp=drivesdk</v>
      </c>
      <c r="Y573" s="49"/>
      <c r="Z573" s="47" t="s">
        <v>148</v>
      </c>
      <c r="AA573" s="49" t="s">
        <v>3200</v>
      </c>
      <c r="AB573" s="49" t="s">
        <v>3187</v>
      </c>
      <c r="AC573" s="47" t="s">
        <v>3201</v>
      </c>
      <c r="AD573" s="47" t="s">
        <v>3202</v>
      </c>
      <c r="AE573" s="508">
        <v>3.0</v>
      </c>
      <c r="AF573" s="508">
        <v>24.0</v>
      </c>
      <c r="AG573" s="55" t="s">
        <v>3203</v>
      </c>
      <c r="AH573" s="343" t="s">
        <v>134</v>
      </c>
      <c r="AI573" s="500" t="s">
        <v>436</v>
      </c>
      <c r="AJ573" s="508">
        <v>0.001</v>
      </c>
      <c r="AK573" s="360" t="s">
        <v>135</v>
      </c>
      <c r="AL573" s="47" t="s">
        <v>186</v>
      </c>
      <c r="AM573" s="49" t="s">
        <v>137</v>
      </c>
      <c r="AN573" s="500" t="s">
        <v>138</v>
      </c>
      <c r="AO573" s="508">
        <v>30.0</v>
      </c>
      <c r="AP573" s="508">
        <v>0.1</v>
      </c>
      <c r="AQ573" s="47" t="s">
        <v>139</v>
      </c>
      <c r="AR573" s="50">
        <v>3.0</v>
      </c>
      <c r="AS573" s="508">
        <v>0.08</v>
      </c>
      <c r="AT573" s="360" t="s">
        <v>172</v>
      </c>
      <c r="AU573" s="56" t="s">
        <v>186</v>
      </c>
      <c r="AV573" s="46" t="s">
        <v>137</v>
      </c>
      <c r="AW573" s="56" t="s">
        <v>138</v>
      </c>
      <c r="AX573" s="46" t="s">
        <v>143</v>
      </c>
      <c r="AY573" s="61" t="str">
        <f>IFERROR(__xludf.DUMMYFUNCTION("vlookup(BB573,importrange(""https://docs.google.com/spreadsheets/d/1d2vevQ_7D_v35q4wCQ4RpQ_IPoTwEMB9Yp6ymwlPqew/edit?gid=984458430#gid=984458430"", ""'replication success'!A:K""), 11, FAlSE)"),"#N/A")</f>
        <v>#N/A</v>
      </c>
      <c r="AZ573" s="61" t="str">
        <f>IFERROR(__xludf.DUMMYFUNCTION("vlookup(BB573,importrange(""https://docs.google.com/spreadsheets/d/1d2vevQ_7D_v35q4wCQ4RpQ_IPoTwEMB9Yp6ymwlPqew/edit?gid=984458430#gid=984458430"", ""'replication success'!A:M""), 12, FAlSE)"),"#N/A")</f>
        <v>#N/A</v>
      </c>
      <c r="BA573" s="61" t="str">
        <f>IFERROR(__xludf.DUMMYFUNCTION("vlookup(BB573,importrange(""https://docs.google.com/spreadsheets/d/1d2vevQ_7D_v35q4wCQ4RpQ_IPoTwEMB9Yp6ymwlPqew/edit?gid=984458430#gid=984458430"", ""'replication success'!A:M""), 13, FAlSE)"),"#N/A")</f>
        <v>#N/A</v>
      </c>
      <c r="BB573" s="61" t="str">
        <f>IFERROR(__xludf.DUMMYFUNCTION("REGEXREPLACE(G573, ""_[a-z]{1,2}$"", """")"),"additional_studies85")</f>
        <v>additional_studies85</v>
      </c>
      <c r="BC573" s="56" t="s">
        <v>3204</v>
      </c>
      <c r="BD573" s="341" t="s">
        <v>692</v>
      </c>
      <c r="BE573" s="342"/>
      <c r="BF573" s="342"/>
      <c r="BG573" s="342"/>
      <c r="BH573" s="342"/>
      <c r="BI573" s="342"/>
      <c r="BJ573" s="342"/>
      <c r="BK573" s="342"/>
      <c r="BL573" s="342"/>
      <c r="BM573" s="342"/>
      <c r="BN573" s="342"/>
      <c r="BO573" s="342"/>
      <c r="BP573" s="342"/>
      <c r="BQ573" s="342"/>
      <c r="BR573" s="342"/>
      <c r="BS573" s="342"/>
      <c r="BT573" s="342"/>
      <c r="BU573" s="342"/>
      <c r="BV573" s="342"/>
      <c r="BW573" s="342"/>
      <c r="BX573" s="342"/>
      <c r="BY573" s="342"/>
      <c r="BZ573" s="342"/>
      <c r="CA573" s="342"/>
      <c r="CB573" s="342"/>
      <c r="CC573" s="342"/>
      <c r="CD573" s="342"/>
      <c r="CE573" s="342"/>
      <c r="CF573" s="342"/>
      <c r="CG573" s="342"/>
      <c r="CH573" s="342"/>
      <c r="CI573" s="342"/>
      <c r="CJ573" s="342"/>
      <c r="CK573" s="342"/>
      <c r="CL573" s="342"/>
      <c r="CM573" s="342"/>
      <c r="CN573" s="342"/>
      <c r="CO573" s="342"/>
      <c r="CP573" s="342"/>
      <c r="CQ573" s="342"/>
      <c r="CR573" s="342"/>
      <c r="CS573" s="342"/>
      <c r="CT573" s="342"/>
      <c r="CU573" s="342"/>
      <c r="CV573" s="342"/>
      <c r="CW573" s="342"/>
      <c r="CX573" s="342"/>
      <c r="CY573" s="342"/>
      <c r="CZ573" s="342"/>
      <c r="DA573" s="342"/>
      <c r="DB573" s="342"/>
      <c r="DC573" s="342"/>
      <c r="DD573" s="342"/>
      <c r="DE573" s="342"/>
      <c r="DF573" s="342"/>
      <c r="DG573" s="342"/>
      <c r="DH573" s="342"/>
      <c r="DI573" s="342"/>
      <c r="DJ573" s="342"/>
      <c r="DK573" s="342"/>
      <c r="DL573" s="342"/>
    </row>
    <row r="574" ht="20.25" customHeight="1">
      <c r="A574" s="354">
        <v>574.0</v>
      </c>
      <c r="B574" s="341" t="s">
        <v>152</v>
      </c>
      <c r="C574" s="341" t="s">
        <v>115</v>
      </c>
      <c r="D574" s="341" t="s">
        <v>990</v>
      </c>
      <c r="E574" s="342"/>
      <c r="F574" s="360" t="s">
        <v>3198</v>
      </c>
      <c r="G574" s="47" t="s">
        <v>3191</v>
      </c>
      <c r="H574" s="47" t="s">
        <v>144</v>
      </c>
      <c r="I574" s="344">
        <v>45489.0</v>
      </c>
      <c r="J574" s="511">
        <v>45636.0</v>
      </c>
      <c r="K574" s="49"/>
      <c r="L574" s="56" t="s">
        <v>3199</v>
      </c>
      <c r="M574" s="47" t="s">
        <v>3181</v>
      </c>
      <c r="N574" s="47" t="s">
        <v>3182</v>
      </c>
      <c r="O574" s="508">
        <v>1.0</v>
      </c>
      <c r="P574" s="51" t="s">
        <v>3183</v>
      </c>
      <c r="Q574" s="104" t="str">
        <f t="array" ref="Q574"> if(iserror(MATCH(V574, 'File Links'!C:C, 0)), "N/A", HYPERLINK(INDEX('File Links'!B:B, MATCH(P574, 'File Links'!C:C, 0))))</f>
        <v>https://drive.google.com/file/d/1BtYypYyY-PzT4y8FLAgHXAyFQwMz4y2O/view?usp=drivesdk</v>
      </c>
      <c r="R574" s="47" t="s">
        <v>3184</v>
      </c>
      <c r="S574" s="47" t="s">
        <v>3185</v>
      </c>
      <c r="T574" s="49"/>
      <c r="U574" s="386">
        <v>1.0</v>
      </c>
      <c r="V574" s="360" t="str">
        <f t="shared" si="35"/>
        <v>10.20982--tqmp.20.1.r001.pdf</v>
      </c>
      <c r="W574" s="47" t="s">
        <v>209</v>
      </c>
      <c r="X574" s="54" t="str">
        <f t="array" ref="X574"> if(iserror(MATCH(V574, 'File Links'!C:C, 0)), "N/A", HYPERLINK(INDEX('File Links'!B:B, MATCH(V574, 'File Links'!C:C, 0))))</f>
        <v>https://drive.google.com/file/d/1vDgLj9eoT-VnSILsFHRQ12VvtSFTsWUV/view?usp=drivesdk</v>
      </c>
      <c r="Y574" s="49"/>
      <c r="Z574" s="47" t="s">
        <v>148</v>
      </c>
      <c r="AA574" s="49" t="s">
        <v>3200</v>
      </c>
      <c r="AB574" s="49" t="s">
        <v>3187</v>
      </c>
      <c r="AC574" s="47" t="s">
        <v>3205</v>
      </c>
      <c r="AD574" s="47" t="s">
        <v>3206</v>
      </c>
      <c r="AE574" s="508">
        <v>3.0</v>
      </c>
      <c r="AF574" s="508">
        <v>24.0</v>
      </c>
      <c r="AG574" s="890" t="s">
        <v>3207</v>
      </c>
      <c r="AH574" s="343" t="s">
        <v>134</v>
      </c>
      <c r="AI574" s="500" t="s">
        <v>436</v>
      </c>
      <c r="AJ574" s="508">
        <v>0.001</v>
      </c>
      <c r="AK574" s="360" t="s">
        <v>135</v>
      </c>
      <c r="AL574" s="47" t="s">
        <v>186</v>
      </c>
      <c r="AM574" s="49" t="s">
        <v>137</v>
      </c>
      <c r="AN574" s="500" t="s">
        <v>138</v>
      </c>
      <c r="AO574" s="508">
        <v>30.0</v>
      </c>
      <c r="AP574" s="508">
        <v>0.67</v>
      </c>
      <c r="AQ574" s="47" t="s">
        <v>139</v>
      </c>
      <c r="AR574" s="508">
        <v>3.0</v>
      </c>
      <c r="AS574" s="508">
        <v>0.001</v>
      </c>
      <c r="AT574" s="360" t="s">
        <v>135</v>
      </c>
      <c r="AU574" s="360" t="s">
        <v>186</v>
      </c>
      <c r="AV574" s="46" t="s">
        <v>137</v>
      </c>
      <c r="AW574" s="56" t="s">
        <v>138</v>
      </c>
      <c r="AX574" s="46" t="s">
        <v>143</v>
      </c>
      <c r="AY574" s="61" t="str">
        <f>IFERROR(__xludf.DUMMYFUNCTION("vlookup(BB574,importrange(""https://docs.google.com/spreadsheets/d/1d2vevQ_7D_v35q4wCQ4RpQ_IPoTwEMB9Yp6ymwlPqew/edit?gid=984458430#gid=984458430"", ""'replication success'!A:K""), 11, FAlSE)"),"#N/A")</f>
        <v>#N/A</v>
      </c>
      <c r="AZ574" s="61" t="str">
        <f>IFERROR(__xludf.DUMMYFUNCTION("vlookup(BB574,importrange(""https://docs.google.com/spreadsheets/d/1d2vevQ_7D_v35q4wCQ4RpQ_IPoTwEMB9Yp6ymwlPqew/edit?gid=984458430#gid=984458430"", ""'replication success'!A:M""), 12, FAlSE)"),"#N/A")</f>
        <v>#N/A</v>
      </c>
      <c r="BA574" s="61" t="str">
        <f>IFERROR(__xludf.DUMMYFUNCTION("vlookup(BB574,importrange(""https://docs.google.com/spreadsheets/d/1d2vevQ_7D_v35q4wCQ4RpQ_IPoTwEMB9Yp6ymwlPqew/edit?gid=984458430#gid=984458430"", ""'replication success'!A:M""), 13, FAlSE)"),"#N/A")</f>
        <v>#N/A</v>
      </c>
      <c r="BB574" s="61" t="str">
        <f>IFERROR(__xludf.DUMMYFUNCTION("REGEXREPLACE(G574, ""_[a-z]{1,2}$"", """")"),"additional_studies85")</f>
        <v>additional_studies85</v>
      </c>
      <c r="BC574" s="49"/>
      <c r="BD574" s="341" t="s">
        <v>692</v>
      </c>
      <c r="BE574" s="342"/>
      <c r="BF574" s="342"/>
      <c r="BG574" s="342"/>
      <c r="BH574" s="342"/>
      <c r="BI574" s="342"/>
      <c r="BJ574" s="342"/>
      <c r="BK574" s="342"/>
      <c r="BL574" s="342"/>
      <c r="BM574" s="342"/>
      <c r="BN574" s="342"/>
      <c r="BO574" s="342"/>
      <c r="BP574" s="342"/>
      <c r="BQ574" s="342"/>
      <c r="BR574" s="342"/>
      <c r="BS574" s="342"/>
      <c r="BT574" s="342"/>
      <c r="BU574" s="342"/>
      <c r="BV574" s="342"/>
      <c r="BW574" s="342"/>
      <c r="BX574" s="342"/>
      <c r="BY574" s="342"/>
      <c r="BZ574" s="342"/>
      <c r="CA574" s="342"/>
      <c r="CB574" s="342"/>
      <c r="CC574" s="342"/>
      <c r="CD574" s="342"/>
      <c r="CE574" s="342"/>
      <c r="CF574" s="342"/>
      <c r="CG574" s="342"/>
      <c r="CH574" s="342"/>
      <c r="CI574" s="342"/>
      <c r="CJ574" s="342"/>
      <c r="CK574" s="342"/>
      <c r="CL574" s="342"/>
      <c r="CM574" s="342"/>
      <c r="CN574" s="342"/>
      <c r="CO574" s="342"/>
      <c r="CP574" s="342"/>
      <c r="CQ574" s="342"/>
      <c r="CR574" s="342"/>
      <c r="CS574" s="342"/>
      <c r="CT574" s="342"/>
      <c r="CU574" s="342"/>
      <c r="CV574" s="342"/>
      <c r="CW574" s="342"/>
      <c r="CX574" s="342"/>
      <c r="CY574" s="342"/>
      <c r="CZ574" s="342"/>
      <c r="DA574" s="342"/>
      <c r="DB574" s="342"/>
      <c r="DC574" s="342"/>
      <c r="DD574" s="342"/>
      <c r="DE574" s="342"/>
      <c r="DF574" s="342"/>
      <c r="DG574" s="342"/>
      <c r="DH574" s="342"/>
      <c r="DI574" s="342"/>
      <c r="DJ574" s="342"/>
      <c r="DK574" s="342"/>
      <c r="DL574" s="342"/>
    </row>
    <row r="575" ht="20.25" customHeight="1">
      <c r="A575" s="354">
        <v>575.0</v>
      </c>
      <c r="B575" s="341" t="s">
        <v>152</v>
      </c>
      <c r="C575" s="341" t="s">
        <v>115</v>
      </c>
      <c r="D575" s="341" t="s">
        <v>990</v>
      </c>
      <c r="E575" s="342"/>
      <c r="F575" s="360" t="s">
        <v>3198</v>
      </c>
      <c r="G575" s="47" t="s">
        <v>3195</v>
      </c>
      <c r="H575" s="47" t="s">
        <v>144</v>
      </c>
      <c r="I575" s="344">
        <v>45489.0</v>
      </c>
      <c r="J575" s="511">
        <v>45636.0</v>
      </c>
      <c r="K575" s="49"/>
      <c r="L575" s="56" t="s">
        <v>3208</v>
      </c>
      <c r="M575" s="47" t="s">
        <v>3181</v>
      </c>
      <c r="N575" s="47" t="s">
        <v>3182</v>
      </c>
      <c r="O575" s="508">
        <v>1.0</v>
      </c>
      <c r="P575" s="51" t="s">
        <v>3183</v>
      </c>
      <c r="Q575" s="104" t="str">
        <f t="array" ref="Q575"> if(iserror(MATCH(V575, 'File Links'!C:C, 0)), "N/A", HYPERLINK(INDEX('File Links'!B:B, MATCH(P575, 'File Links'!C:C, 0))))</f>
        <v>https://drive.google.com/file/d/1BtYypYyY-PzT4y8FLAgHXAyFQwMz4y2O/view?usp=drivesdk</v>
      </c>
      <c r="R575" s="47" t="s">
        <v>3184</v>
      </c>
      <c r="S575" s="47" t="s">
        <v>3185</v>
      </c>
      <c r="T575" s="49"/>
      <c r="U575" s="386">
        <v>1.0</v>
      </c>
      <c r="V575" s="360" t="str">
        <f t="shared" si="35"/>
        <v>10.20982--tqmp.20.1.r001.pdf</v>
      </c>
      <c r="W575" s="47" t="s">
        <v>209</v>
      </c>
      <c r="X575" s="54" t="str">
        <f t="array" ref="X575"> if(iserror(MATCH(V575, 'File Links'!C:C, 0)), "N/A", HYPERLINK(INDEX('File Links'!B:B, MATCH(V575, 'File Links'!C:C, 0))))</f>
        <v>https://drive.google.com/file/d/1vDgLj9eoT-VnSILsFHRQ12VvtSFTsWUV/view?usp=drivesdk</v>
      </c>
      <c r="Y575" s="49"/>
      <c r="Z575" s="47" t="s">
        <v>148</v>
      </c>
      <c r="AA575" s="49" t="s">
        <v>3200</v>
      </c>
      <c r="AB575" s="49" t="s">
        <v>3187</v>
      </c>
      <c r="AC575" s="47" t="s">
        <v>3209</v>
      </c>
      <c r="AD575" s="47" t="s">
        <v>3210</v>
      </c>
      <c r="AE575" s="508">
        <v>3.0</v>
      </c>
      <c r="AF575" s="508">
        <v>24.0</v>
      </c>
      <c r="AG575" s="890" t="s">
        <v>3211</v>
      </c>
      <c r="AH575" s="343" t="s">
        <v>134</v>
      </c>
      <c r="AI575" s="500" t="s">
        <v>436</v>
      </c>
      <c r="AJ575" s="508">
        <v>0.001</v>
      </c>
      <c r="AK575" s="360" t="s">
        <v>135</v>
      </c>
      <c r="AL575" s="47" t="s">
        <v>186</v>
      </c>
      <c r="AM575" s="49" t="s">
        <v>137</v>
      </c>
      <c r="AN575" s="500" t="s">
        <v>138</v>
      </c>
      <c r="AO575" s="508">
        <v>30.0</v>
      </c>
      <c r="AP575" s="508">
        <v>0.12</v>
      </c>
      <c r="AQ575" s="47" t="s">
        <v>139</v>
      </c>
      <c r="AR575" s="508">
        <v>3.0</v>
      </c>
      <c r="AS575" s="508">
        <v>0.001</v>
      </c>
      <c r="AT575" s="360" t="s">
        <v>135</v>
      </c>
      <c r="AU575" s="360" t="s">
        <v>186</v>
      </c>
      <c r="AV575" s="46" t="s">
        <v>137</v>
      </c>
      <c r="AW575" s="56" t="s">
        <v>138</v>
      </c>
      <c r="AX575" s="46" t="s">
        <v>143</v>
      </c>
      <c r="AY575" s="61" t="str">
        <f>IFERROR(__xludf.DUMMYFUNCTION("vlookup(BB575,importrange(""https://docs.google.com/spreadsheets/d/1d2vevQ_7D_v35q4wCQ4RpQ_IPoTwEMB9Yp6ymwlPqew/edit?gid=984458430#gid=984458430"", ""'replication success'!A:K""), 11, FAlSE)"),"#N/A")</f>
        <v>#N/A</v>
      </c>
      <c r="AZ575" s="61" t="str">
        <f>IFERROR(__xludf.DUMMYFUNCTION("vlookup(BB575,importrange(""https://docs.google.com/spreadsheets/d/1d2vevQ_7D_v35q4wCQ4RpQ_IPoTwEMB9Yp6ymwlPqew/edit?gid=984458430#gid=984458430"", ""'replication success'!A:M""), 12, FAlSE)"),"#N/A")</f>
        <v>#N/A</v>
      </c>
      <c r="BA575" s="61" t="str">
        <f>IFERROR(__xludf.DUMMYFUNCTION("vlookup(BB575,importrange(""https://docs.google.com/spreadsheets/d/1d2vevQ_7D_v35q4wCQ4RpQ_IPoTwEMB9Yp6ymwlPqew/edit?gid=984458430#gid=984458430"", ""'replication success'!A:M""), 13, FAlSE)"),"#N/A")</f>
        <v>#N/A</v>
      </c>
      <c r="BB575" s="61" t="str">
        <f>IFERROR(__xludf.DUMMYFUNCTION("REGEXREPLACE(G575, ""_[a-z]{1,2}$"", """")"),"additional_studies85")</f>
        <v>additional_studies85</v>
      </c>
      <c r="BC575" s="49"/>
      <c r="BD575" s="341" t="s">
        <v>692</v>
      </c>
      <c r="BE575" s="342"/>
      <c r="BF575" s="342"/>
      <c r="BG575" s="342"/>
      <c r="BH575" s="342"/>
      <c r="BI575" s="342"/>
      <c r="BJ575" s="342"/>
      <c r="BK575" s="342"/>
      <c r="BL575" s="342"/>
      <c r="BM575" s="342"/>
      <c r="BN575" s="342"/>
      <c r="BO575" s="342"/>
      <c r="BP575" s="342"/>
      <c r="BQ575" s="342"/>
      <c r="BR575" s="342"/>
      <c r="BS575" s="342"/>
      <c r="BT575" s="342"/>
      <c r="BU575" s="342"/>
      <c r="BV575" s="342"/>
      <c r="BW575" s="342"/>
      <c r="BX575" s="342"/>
      <c r="BY575" s="342"/>
      <c r="BZ575" s="342"/>
      <c r="CA575" s="342"/>
      <c r="CB575" s="342"/>
      <c r="CC575" s="342"/>
      <c r="CD575" s="342"/>
      <c r="CE575" s="342"/>
      <c r="CF575" s="342"/>
      <c r="CG575" s="342"/>
      <c r="CH575" s="342"/>
      <c r="CI575" s="342"/>
      <c r="CJ575" s="342"/>
      <c r="CK575" s="342"/>
      <c r="CL575" s="342"/>
      <c r="CM575" s="342"/>
      <c r="CN575" s="342"/>
      <c r="CO575" s="342"/>
      <c r="CP575" s="342"/>
      <c r="CQ575" s="342"/>
      <c r="CR575" s="342"/>
      <c r="CS575" s="342"/>
      <c r="CT575" s="342"/>
      <c r="CU575" s="342"/>
      <c r="CV575" s="342"/>
      <c r="CW575" s="342"/>
      <c r="CX575" s="342"/>
      <c r="CY575" s="342"/>
      <c r="CZ575" s="342"/>
      <c r="DA575" s="342"/>
      <c r="DB575" s="342"/>
      <c r="DC575" s="342"/>
      <c r="DD575" s="342"/>
      <c r="DE575" s="342"/>
      <c r="DF575" s="342"/>
      <c r="DG575" s="342"/>
      <c r="DH575" s="342"/>
      <c r="DI575" s="342"/>
      <c r="DJ575" s="342"/>
      <c r="DK575" s="342"/>
      <c r="DL575" s="342"/>
    </row>
    <row r="576" ht="20.25" customHeight="1">
      <c r="A576" s="354">
        <v>576.0</v>
      </c>
      <c r="B576" s="341" t="s">
        <v>152</v>
      </c>
      <c r="C576" s="341" t="s">
        <v>115</v>
      </c>
      <c r="D576" s="341" t="s">
        <v>990</v>
      </c>
      <c r="E576" s="342"/>
      <c r="F576" s="360" t="s">
        <v>3198</v>
      </c>
      <c r="G576" s="47" t="s">
        <v>3212</v>
      </c>
      <c r="H576" s="47" t="s">
        <v>144</v>
      </c>
      <c r="I576" s="344">
        <v>45489.0</v>
      </c>
      <c r="J576" s="511">
        <v>45636.0</v>
      </c>
      <c r="K576" s="49"/>
      <c r="L576" s="56" t="s">
        <v>3213</v>
      </c>
      <c r="M576" s="47" t="s">
        <v>3181</v>
      </c>
      <c r="N576" s="47" t="s">
        <v>3182</v>
      </c>
      <c r="O576" s="508">
        <v>2.0</v>
      </c>
      <c r="P576" s="51" t="s">
        <v>3183</v>
      </c>
      <c r="Q576" s="104" t="str">
        <f t="array" ref="Q576"> if(iserror(MATCH(V576, 'File Links'!C:C, 0)), "N/A", HYPERLINK(INDEX('File Links'!B:B, MATCH(P576, 'File Links'!C:C, 0))))</f>
        <v>https://drive.google.com/file/d/1BtYypYyY-PzT4y8FLAgHXAyFQwMz4y2O/view?usp=drivesdk</v>
      </c>
      <c r="R576" s="47" t="s">
        <v>3184</v>
      </c>
      <c r="S576" s="47" t="s">
        <v>3185</v>
      </c>
      <c r="T576" s="49"/>
      <c r="U576" s="386">
        <v>2.0</v>
      </c>
      <c r="V576" s="360" t="str">
        <f t="shared" si="35"/>
        <v>10.20982--tqmp.20.1.r001.pdf</v>
      </c>
      <c r="W576" s="47" t="s">
        <v>209</v>
      </c>
      <c r="X576" s="54" t="str">
        <f t="array" ref="X576"> if(iserror(MATCH(V576, 'File Links'!C:C, 0)), "N/A", HYPERLINK(INDEX('File Links'!B:B, MATCH(V576, 'File Links'!C:C, 0))))</f>
        <v>https://drive.google.com/file/d/1vDgLj9eoT-VnSILsFHRQ12VvtSFTsWUV/view?usp=drivesdk</v>
      </c>
      <c r="Y576" s="49"/>
      <c r="Z576" s="47" t="s">
        <v>148</v>
      </c>
      <c r="AA576" s="49" t="s">
        <v>3200</v>
      </c>
      <c r="AB576" s="49" t="s">
        <v>3187</v>
      </c>
      <c r="AC576" s="47" t="s">
        <v>3214</v>
      </c>
      <c r="AD576" s="47" t="s">
        <v>3215</v>
      </c>
      <c r="AE576" s="508">
        <v>4.0</v>
      </c>
      <c r="AF576" s="508">
        <v>16.0</v>
      </c>
      <c r="AG576" s="347" t="s">
        <v>3216</v>
      </c>
      <c r="AH576" s="343" t="s">
        <v>134</v>
      </c>
      <c r="AI576" s="500" t="s">
        <v>2229</v>
      </c>
      <c r="AJ576" s="508">
        <v>0.001</v>
      </c>
      <c r="AK576" s="360" t="s">
        <v>135</v>
      </c>
      <c r="AL576" s="47" t="s">
        <v>186</v>
      </c>
      <c r="AM576" s="49" t="s">
        <v>137</v>
      </c>
      <c r="AN576" s="500" t="s">
        <v>138</v>
      </c>
      <c r="AO576" s="508">
        <v>18.0</v>
      </c>
      <c r="AP576" s="508">
        <v>0.98</v>
      </c>
      <c r="AQ576" s="47" t="s">
        <v>139</v>
      </c>
      <c r="AR576" s="508">
        <v>4.0</v>
      </c>
      <c r="AS576" s="508">
        <v>0.001</v>
      </c>
      <c r="AT576" s="360" t="s">
        <v>135</v>
      </c>
      <c r="AU576" s="360" t="s">
        <v>186</v>
      </c>
      <c r="AV576" s="46" t="s">
        <v>137</v>
      </c>
      <c r="AW576" s="56" t="s">
        <v>138</v>
      </c>
      <c r="AX576" s="46" t="s">
        <v>143</v>
      </c>
      <c r="AY576" s="61" t="str">
        <f>IFERROR(__xludf.DUMMYFUNCTION("vlookup(BB576,importrange(""https://docs.google.com/spreadsheets/d/1d2vevQ_7D_v35q4wCQ4RpQ_IPoTwEMB9Yp6ymwlPqew/edit?gid=984458430#gid=984458430"", ""'replication success'!A:K""), 11, FAlSE)"),"#N/A")</f>
        <v>#N/A</v>
      </c>
      <c r="AZ576" s="61" t="str">
        <f>IFERROR(__xludf.DUMMYFUNCTION("vlookup(BB576,importrange(""https://docs.google.com/spreadsheets/d/1d2vevQ_7D_v35q4wCQ4RpQ_IPoTwEMB9Yp6ymwlPqew/edit?gid=984458430#gid=984458430"", ""'replication success'!A:M""), 12, FAlSE)"),"#N/A")</f>
        <v>#N/A</v>
      </c>
      <c r="BA576" s="61" t="str">
        <f>IFERROR(__xludf.DUMMYFUNCTION("vlookup(BB576,importrange(""https://docs.google.com/spreadsheets/d/1d2vevQ_7D_v35q4wCQ4RpQ_IPoTwEMB9Yp6ymwlPqew/edit?gid=984458430#gid=984458430"", ""'replication success'!A:M""), 13, FAlSE)"),"#N/A")</f>
        <v>#N/A</v>
      </c>
      <c r="BB576" s="61" t="str">
        <f>IFERROR(__xludf.DUMMYFUNCTION("REGEXREPLACE(G576, ""_[a-z]{1,2}$"", """")"),"additional_studies85")</f>
        <v>additional_studies85</v>
      </c>
      <c r="BC576" s="49"/>
      <c r="BD576" s="341" t="s">
        <v>692</v>
      </c>
      <c r="BE576" s="342"/>
      <c r="BF576" s="342"/>
      <c r="BG576" s="342"/>
      <c r="BH576" s="342"/>
      <c r="BI576" s="342"/>
      <c r="BJ576" s="342"/>
      <c r="BK576" s="342"/>
      <c r="BL576" s="342"/>
      <c r="BM576" s="342"/>
      <c r="BN576" s="342"/>
      <c r="BO576" s="342"/>
      <c r="BP576" s="342"/>
      <c r="BQ576" s="342"/>
      <c r="BR576" s="342"/>
      <c r="BS576" s="342"/>
      <c r="BT576" s="342"/>
      <c r="BU576" s="342"/>
      <c r="BV576" s="342"/>
      <c r="BW576" s="342"/>
      <c r="BX576" s="342"/>
      <c r="BY576" s="342"/>
      <c r="BZ576" s="342"/>
      <c r="CA576" s="342"/>
      <c r="CB576" s="342"/>
      <c r="CC576" s="342"/>
      <c r="CD576" s="342"/>
      <c r="CE576" s="342"/>
      <c r="CF576" s="342"/>
      <c r="CG576" s="342"/>
      <c r="CH576" s="342"/>
      <c r="CI576" s="342"/>
      <c r="CJ576" s="342"/>
      <c r="CK576" s="342"/>
      <c r="CL576" s="342"/>
      <c r="CM576" s="342"/>
      <c r="CN576" s="342"/>
      <c r="CO576" s="342"/>
      <c r="CP576" s="342"/>
      <c r="CQ576" s="342"/>
      <c r="CR576" s="342"/>
      <c r="CS576" s="342"/>
      <c r="CT576" s="342"/>
      <c r="CU576" s="342"/>
      <c r="CV576" s="342"/>
      <c r="CW576" s="342"/>
      <c r="CX576" s="342"/>
      <c r="CY576" s="342"/>
      <c r="CZ576" s="342"/>
      <c r="DA576" s="342"/>
      <c r="DB576" s="342"/>
      <c r="DC576" s="342"/>
      <c r="DD576" s="342"/>
      <c r="DE576" s="342"/>
      <c r="DF576" s="342"/>
      <c r="DG576" s="342"/>
      <c r="DH576" s="342"/>
      <c r="DI576" s="342"/>
      <c r="DJ576" s="342"/>
      <c r="DK576" s="342"/>
      <c r="DL576" s="342"/>
    </row>
    <row r="577" ht="20.25" customHeight="1">
      <c r="A577" s="354">
        <v>577.0</v>
      </c>
      <c r="B577" s="341" t="s">
        <v>152</v>
      </c>
      <c r="C577" s="341" t="s">
        <v>115</v>
      </c>
      <c r="D577" s="341" t="s">
        <v>990</v>
      </c>
      <c r="E577" s="342"/>
      <c r="F577" s="360" t="s">
        <v>3198</v>
      </c>
      <c r="G577" s="47" t="s">
        <v>3217</v>
      </c>
      <c r="H577" s="47" t="s">
        <v>144</v>
      </c>
      <c r="I577" s="344">
        <v>45489.0</v>
      </c>
      <c r="J577" s="511">
        <v>45636.0</v>
      </c>
      <c r="K577" s="49"/>
      <c r="L577" s="56" t="s">
        <v>3213</v>
      </c>
      <c r="M577" s="47" t="s">
        <v>3181</v>
      </c>
      <c r="N577" s="47" t="s">
        <v>3182</v>
      </c>
      <c r="O577" s="508">
        <v>2.0</v>
      </c>
      <c r="P577" s="51" t="s">
        <v>3183</v>
      </c>
      <c r="Q577" s="104" t="str">
        <f t="array" ref="Q577"> if(iserror(MATCH(V577, 'File Links'!C:C, 0)), "N/A", HYPERLINK(INDEX('File Links'!B:B, MATCH(P577, 'File Links'!C:C, 0))))</f>
        <v>https://drive.google.com/file/d/1BtYypYyY-PzT4y8FLAgHXAyFQwMz4y2O/view?usp=drivesdk</v>
      </c>
      <c r="R577" s="47" t="s">
        <v>3184</v>
      </c>
      <c r="S577" s="47" t="s">
        <v>3185</v>
      </c>
      <c r="T577" s="49"/>
      <c r="U577" s="386">
        <v>2.0</v>
      </c>
      <c r="V577" s="360" t="str">
        <f t="shared" si="35"/>
        <v>10.20982--tqmp.20.1.r001.pdf</v>
      </c>
      <c r="W577" s="47" t="s">
        <v>209</v>
      </c>
      <c r="X577" s="54" t="str">
        <f t="array" ref="X577"> if(iserror(MATCH(V577, 'File Links'!C:C, 0)), "N/A", HYPERLINK(INDEX('File Links'!B:B, MATCH(V577, 'File Links'!C:C, 0))))</f>
        <v>https://drive.google.com/file/d/1vDgLj9eoT-VnSILsFHRQ12VvtSFTsWUV/view?usp=drivesdk</v>
      </c>
      <c r="Y577" s="49"/>
      <c r="Z577" s="47" t="s">
        <v>148</v>
      </c>
      <c r="AA577" s="49" t="s">
        <v>3200</v>
      </c>
      <c r="AB577" s="49" t="s">
        <v>3187</v>
      </c>
      <c r="AC577" s="47" t="s">
        <v>3218</v>
      </c>
      <c r="AD577" s="47" t="s">
        <v>3219</v>
      </c>
      <c r="AE577" s="508">
        <v>4.0</v>
      </c>
      <c r="AF577" s="508">
        <v>16.0</v>
      </c>
      <c r="AG577" s="347" t="s">
        <v>3220</v>
      </c>
      <c r="AH577" s="343" t="s">
        <v>134</v>
      </c>
      <c r="AI577" s="500" t="s">
        <v>2229</v>
      </c>
      <c r="AJ577" s="508">
        <v>0.001</v>
      </c>
      <c r="AK577" s="360" t="s">
        <v>135</v>
      </c>
      <c r="AL577" s="47" t="s">
        <v>186</v>
      </c>
      <c r="AM577" s="49" t="s">
        <v>137</v>
      </c>
      <c r="AN577" s="500" t="s">
        <v>138</v>
      </c>
      <c r="AO577" s="508">
        <v>18.0</v>
      </c>
      <c r="AP577" s="508">
        <v>0.36</v>
      </c>
      <c r="AQ577" s="47" t="s">
        <v>139</v>
      </c>
      <c r="AR577" s="49"/>
      <c r="AS577" s="508">
        <v>0.007</v>
      </c>
      <c r="AT577" s="360" t="s">
        <v>172</v>
      </c>
      <c r="AU577" s="360" t="s">
        <v>186</v>
      </c>
      <c r="AV577" s="46" t="s">
        <v>137</v>
      </c>
      <c r="AW577" s="56" t="s">
        <v>138</v>
      </c>
      <c r="AX577" s="46" t="s">
        <v>143</v>
      </c>
      <c r="AY577" s="61" t="str">
        <f>IFERROR(__xludf.DUMMYFUNCTION("vlookup(BB577,importrange(""https://docs.google.com/spreadsheets/d/1d2vevQ_7D_v35q4wCQ4RpQ_IPoTwEMB9Yp6ymwlPqew/edit?gid=984458430#gid=984458430"", ""'replication success'!A:K""), 11, FAlSE)"),"#N/A")</f>
        <v>#N/A</v>
      </c>
      <c r="AZ577" s="61" t="str">
        <f>IFERROR(__xludf.DUMMYFUNCTION("vlookup(BB577,importrange(""https://docs.google.com/spreadsheets/d/1d2vevQ_7D_v35q4wCQ4RpQ_IPoTwEMB9Yp6ymwlPqew/edit?gid=984458430#gid=984458430"", ""'replication success'!A:M""), 12, FAlSE)"),"#N/A")</f>
        <v>#N/A</v>
      </c>
      <c r="BA577" s="61" t="str">
        <f>IFERROR(__xludf.DUMMYFUNCTION("vlookup(BB577,importrange(""https://docs.google.com/spreadsheets/d/1d2vevQ_7D_v35q4wCQ4RpQ_IPoTwEMB9Yp6ymwlPqew/edit?gid=984458430#gid=984458430"", ""'replication success'!A:M""), 13, FAlSE)"),"#N/A")</f>
        <v>#N/A</v>
      </c>
      <c r="BB577" s="61" t="str">
        <f>IFERROR(__xludf.DUMMYFUNCTION("REGEXREPLACE(G577, ""_[a-z]{1,2}$"", """")"),"additional_studies85")</f>
        <v>additional_studies85</v>
      </c>
      <c r="BC577" s="49"/>
      <c r="BD577" s="341" t="s">
        <v>692</v>
      </c>
      <c r="BE577" s="342"/>
      <c r="BF577" s="342"/>
      <c r="BG577" s="342"/>
      <c r="BH577" s="342"/>
      <c r="BI577" s="342"/>
      <c r="BJ577" s="342"/>
      <c r="BK577" s="342"/>
      <c r="BL577" s="342"/>
      <c r="BM577" s="342"/>
      <c r="BN577" s="342"/>
      <c r="BO577" s="342"/>
      <c r="BP577" s="342"/>
      <c r="BQ577" s="342"/>
      <c r="BR577" s="342"/>
      <c r="BS577" s="342"/>
      <c r="BT577" s="342"/>
      <c r="BU577" s="342"/>
      <c r="BV577" s="342"/>
      <c r="BW577" s="342"/>
      <c r="BX577" s="342"/>
      <c r="BY577" s="342"/>
      <c r="BZ577" s="342"/>
      <c r="CA577" s="342"/>
      <c r="CB577" s="342"/>
      <c r="CC577" s="342"/>
      <c r="CD577" s="342"/>
      <c r="CE577" s="342"/>
      <c r="CF577" s="342"/>
      <c r="CG577" s="342"/>
      <c r="CH577" s="342"/>
      <c r="CI577" s="342"/>
      <c r="CJ577" s="342"/>
      <c r="CK577" s="342"/>
      <c r="CL577" s="342"/>
      <c r="CM577" s="342"/>
      <c r="CN577" s="342"/>
      <c r="CO577" s="342"/>
      <c r="CP577" s="342"/>
      <c r="CQ577" s="342"/>
      <c r="CR577" s="342"/>
      <c r="CS577" s="342"/>
      <c r="CT577" s="342"/>
      <c r="CU577" s="342"/>
      <c r="CV577" s="342"/>
      <c r="CW577" s="342"/>
      <c r="CX577" s="342"/>
      <c r="CY577" s="342"/>
      <c r="CZ577" s="342"/>
      <c r="DA577" s="342"/>
      <c r="DB577" s="342"/>
      <c r="DC577" s="342"/>
      <c r="DD577" s="342"/>
      <c r="DE577" s="342"/>
      <c r="DF577" s="342"/>
      <c r="DG577" s="342"/>
      <c r="DH577" s="342"/>
      <c r="DI577" s="342"/>
      <c r="DJ577" s="342"/>
      <c r="DK577" s="342"/>
      <c r="DL577" s="342"/>
    </row>
    <row r="578" ht="20.25" customHeight="1">
      <c r="A578" s="354">
        <v>578.0</v>
      </c>
      <c r="B578" s="341" t="s">
        <v>114</v>
      </c>
      <c r="C578" s="341" t="s">
        <v>115</v>
      </c>
      <c r="D578" s="341" t="s">
        <v>990</v>
      </c>
      <c r="E578" s="342"/>
      <c r="F578" s="360" t="s">
        <v>3198</v>
      </c>
      <c r="G578" s="47" t="s">
        <v>3221</v>
      </c>
      <c r="H578" s="47" t="s">
        <v>144</v>
      </c>
      <c r="I578" s="344">
        <v>45489.0</v>
      </c>
      <c r="J578" s="511">
        <v>45636.0</v>
      </c>
      <c r="K578" s="49"/>
      <c r="L578" s="56" t="s">
        <v>3222</v>
      </c>
      <c r="M578" s="47" t="s">
        <v>3181</v>
      </c>
      <c r="N578" s="47" t="s">
        <v>3182</v>
      </c>
      <c r="O578" s="508">
        <v>3.0</v>
      </c>
      <c r="P578" s="51" t="s">
        <v>3183</v>
      </c>
      <c r="Q578" s="104" t="str">
        <f t="array" ref="Q578"> if(iserror(MATCH(V578, 'File Links'!C:C, 0)), "N/A", HYPERLINK(INDEX('File Links'!B:B, MATCH(P578, 'File Links'!C:C, 0))))</f>
        <v>https://drive.google.com/file/d/1BtYypYyY-PzT4y8FLAgHXAyFQwMz4y2O/view?usp=drivesdk</v>
      </c>
      <c r="R578" s="47" t="s">
        <v>3184</v>
      </c>
      <c r="S578" s="47" t="s">
        <v>3185</v>
      </c>
      <c r="T578" s="49"/>
      <c r="U578" s="386">
        <v>3.0</v>
      </c>
      <c r="V578" s="360" t="str">
        <f t="shared" si="35"/>
        <v>10.20982--tqmp.20.1.r001.pdf</v>
      </c>
      <c r="W578" s="47" t="s">
        <v>209</v>
      </c>
      <c r="X578" s="54" t="str">
        <f t="array" ref="X578"> if(iserror(MATCH(V578, 'File Links'!C:C, 0)), "N/A", HYPERLINK(INDEX('File Links'!B:B, MATCH(V578, 'File Links'!C:C, 0))))</f>
        <v>https://drive.google.com/file/d/1vDgLj9eoT-VnSILsFHRQ12VvtSFTsWUV/view?usp=drivesdk</v>
      </c>
      <c r="Y578" s="49"/>
      <c r="Z578" s="47" t="s">
        <v>148</v>
      </c>
      <c r="AA578" s="49" t="s">
        <v>3200</v>
      </c>
      <c r="AB578" s="49" t="s">
        <v>3187</v>
      </c>
      <c r="AC578" s="47" t="s">
        <v>3223</v>
      </c>
      <c r="AD578" s="47" t="s">
        <v>3224</v>
      </c>
      <c r="AE578" s="508">
        <v>6.0</v>
      </c>
      <c r="AF578" s="508">
        <v>24.0</v>
      </c>
      <c r="AG578" s="347" t="s">
        <v>3225</v>
      </c>
      <c r="AH578" s="343" t="s">
        <v>134</v>
      </c>
      <c r="AI578" s="500" t="s">
        <v>182</v>
      </c>
      <c r="AJ578" s="508">
        <v>0.005</v>
      </c>
      <c r="AK578" s="360" t="s">
        <v>135</v>
      </c>
      <c r="AL578" s="47" t="s">
        <v>186</v>
      </c>
      <c r="AM578" s="49" t="s">
        <v>137</v>
      </c>
      <c r="AN578" s="500" t="s">
        <v>138</v>
      </c>
      <c r="AO578" s="508">
        <v>28.0</v>
      </c>
      <c r="AP578" s="49"/>
      <c r="AQ578" s="49"/>
      <c r="AR578" s="49"/>
      <c r="AS578" s="49"/>
      <c r="AT578" s="46"/>
      <c r="AU578" s="46"/>
      <c r="AV578" s="46"/>
      <c r="AW578" s="56" t="s">
        <v>138</v>
      </c>
      <c r="AX578" s="46"/>
      <c r="AY578" s="61" t="str">
        <f>IFERROR(__xludf.DUMMYFUNCTION("vlookup(BB578,importrange(""https://docs.google.com/spreadsheets/d/1d2vevQ_7D_v35q4wCQ4RpQ_IPoTwEMB9Yp6ymwlPqew/edit?gid=984458430#gid=984458430"", ""'replication success'!A:K""), 11, FAlSE)"),"#N/A")</f>
        <v>#N/A</v>
      </c>
      <c r="AZ578" s="61" t="str">
        <f>IFERROR(__xludf.DUMMYFUNCTION("vlookup(BB578,importrange(""https://docs.google.com/spreadsheets/d/1d2vevQ_7D_v35q4wCQ4RpQ_IPoTwEMB9Yp6ymwlPqew/edit?gid=984458430#gid=984458430"", ""'replication success'!A:M""), 12, FAlSE)"),"#N/A")</f>
        <v>#N/A</v>
      </c>
      <c r="BA578" s="61" t="str">
        <f>IFERROR(__xludf.DUMMYFUNCTION("vlookup(BB578,importrange(""https://docs.google.com/spreadsheets/d/1d2vevQ_7D_v35q4wCQ4RpQ_IPoTwEMB9Yp6ymwlPqew/edit?gid=984458430#gid=984458430"", ""'replication success'!A:M""), 13, FAlSE)"),"#N/A")</f>
        <v>#N/A</v>
      </c>
      <c r="BB578" s="61" t="str">
        <f>IFERROR(__xludf.DUMMYFUNCTION("REGEXREPLACE(G578, ""_[a-z]{1,2}$"", """")"),"additional_studies85")</f>
        <v>additional_studies85</v>
      </c>
      <c r="BC578" s="49"/>
      <c r="BD578" s="341" t="s">
        <v>692</v>
      </c>
      <c r="BE578" s="342"/>
      <c r="BF578" s="342"/>
      <c r="BG578" s="342"/>
      <c r="BH578" s="342"/>
      <c r="BI578" s="342"/>
      <c r="BJ578" s="342"/>
      <c r="BK578" s="342"/>
      <c r="BL578" s="342"/>
      <c r="BM578" s="342"/>
      <c r="BN578" s="342"/>
      <c r="BO578" s="342"/>
      <c r="BP578" s="342"/>
      <c r="BQ578" s="342"/>
      <c r="BR578" s="342"/>
      <c r="BS578" s="342"/>
      <c r="BT578" s="342"/>
      <c r="BU578" s="342"/>
      <c r="BV578" s="342"/>
      <c r="BW578" s="342"/>
      <c r="BX578" s="342"/>
      <c r="BY578" s="342"/>
      <c r="BZ578" s="342"/>
      <c r="CA578" s="342"/>
      <c r="CB578" s="342"/>
      <c r="CC578" s="342"/>
      <c r="CD578" s="342"/>
      <c r="CE578" s="342"/>
      <c r="CF578" s="342"/>
      <c r="CG578" s="342"/>
      <c r="CH578" s="342"/>
      <c r="CI578" s="342"/>
      <c r="CJ578" s="342"/>
      <c r="CK578" s="342"/>
      <c r="CL578" s="342"/>
      <c r="CM578" s="342"/>
      <c r="CN578" s="342"/>
      <c r="CO578" s="342"/>
      <c r="CP578" s="342"/>
      <c r="CQ578" s="342"/>
      <c r="CR578" s="342"/>
      <c r="CS578" s="342"/>
      <c r="CT578" s="342"/>
      <c r="CU578" s="342"/>
      <c r="CV578" s="342"/>
      <c r="CW578" s="342"/>
      <c r="CX578" s="342"/>
      <c r="CY578" s="342"/>
      <c r="CZ578" s="342"/>
      <c r="DA578" s="342"/>
      <c r="DB578" s="342"/>
      <c r="DC578" s="342"/>
      <c r="DD578" s="342"/>
      <c r="DE578" s="342"/>
      <c r="DF578" s="342"/>
      <c r="DG578" s="342"/>
      <c r="DH578" s="342"/>
      <c r="DI578" s="342"/>
      <c r="DJ578" s="342"/>
      <c r="DK578" s="342"/>
      <c r="DL578" s="342"/>
    </row>
    <row r="579" ht="20.25" customHeight="1">
      <c r="A579" s="354">
        <v>579.0</v>
      </c>
      <c r="B579" s="341" t="s">
        <v>152</v>
      </c>
      <c r="C579" s="341" t="s">
        <v>115</v>
      </c>
      <c r="D579" s="341" t="s">
        <v>990</v>
      </c>
      <c r="E579" s="342"/>
      <c r="F579" s="360" t="s">
        <v>3198</v>
      </c>
      <c r="G579" s="47" t="s">
        <v>3226</v>
      </c>
      <c r="H579" s="47" t="s">
        <v>144</v>
      </c>
      <c r="I579" s="344">
        <v>45489.0</v>
      </c>
      <c r="J579" s="511">
        <v>45636.0</v>
      </c>
      <c r="K579" s="49"/>
      <c r="L579" s="56" t="s">
        <v>3213</v>
      </c>
      <c r="M579" s="47" t="s">
        <v>3181</v>
      </c>
      <c r="N579" s="47" t="s">
        <v>3182</v>
      </c>
      <c r="O579" s="508">
        <v>3.0</v>
      </c>
      <c r="P579" s="51" t="s">
        <v>3183</v>
      </c>
      <c r="Q579" s="104" t="str">
        <f t="array" ref="Q579"> if(iserror(MATCH(V579, 'File Links'!C:C, 0)), "N/A", HYPERLINK(INDEX('File Links'!B:B, MATCH(P579, 'File Links'!C:C, 0))))</f>
        <v>https://drive.google.com/file/d/1BtYypYyY-PzT4y8FLAgHXAyFQwMz4y2O/view?usp=drivesdk</v>
      </c>
      <c r="R579" s="47" t="s">
        <v>3184</v>
      </c>
      <c r="S579" s="47" t="s">
        <v>3185</v>
      </c>
      <c r="T579" s="49"/>
      <c r="U579" s="386">
        <v>3.0</v>
      </c>
      <c r="V579" s="360" t="str">
        <f t="shared" si="35"/>
        <v>10.20982--tqmp.20.1.r001.pdf</v>
      </c>
      <c r="W579" s="47" t="s">
        <v>209</v>
      </c>
      <c r="X579" s="54" t="str">
        <f t="array" ref="X579"> if(iserror(MATCH(V579, 'File Links'!C:C, 0)), "N/A", HYPERLINK(INDEX('File Links'!B:B, MATCH(V579, 'File Links'!C:C, 0))))</f>
        <v>https://drive.google.com/file/d/1vDgLj9eoT-VnSILsFHRQ12VvtSFTsWUV/view?usp=drivesdk</v>
      </c>
      <c r="Y579" s="49"/>
      <c r="Z579" s="47" t="s">
        <v>148</v>
      </c>
      <c r="AA579" s="49" t="s">
        <v>3200</v>
      </c>
      <c r="AB579" s="49" t="s">
        <v>3187</v>
      </c>
      <c r="AC579" s="47" t="s">
        <v>3227</v>
      </c>
      <c r="AD579" s="47" t="s">
        <v>3228</v>
      </c>
      <c r="AE579" s="508">
        <v>6.0</v>
      </c>
      <c r="AF579" s="508">
        <v>24.0</v>
      </c>
      <c r="AG579" s="347" t="s">
        <v>3229</v>
      </c>
      <c r="AH579" s="343" t="s">
        <v>134</v>
      </c>
      <c r="AI579" s="500" t="s">
        <v>182</v>
      </c>
      <c r="AJ579" s="508">
        <v>0.001</v>
      </c>
      <c r="AK579" s="360" t="s">
        <v>135</v>
      </c>
      <c r="AL579" s="47" t="s">
        <v>186</v>
      </c>
      <c r="AM579" s="49" t="s">
        <v>137</v>
      </c>
      <c r="AN579" s="500" t="s">
        <v>138</v>
      </c>
      <c r="AO579" s="508">
        <v>28.0</v>
      </c>
      <c r="AP579" s="508">
        <v>0.02</v>
      </c>
      <c r="AQ579" s="47" t="s">
        <v>139</v>
      </c>
      <c r="AR579" s="508">
        <v>5.0</v>
      </c>
      <c r="AS579" s="508">
        <v>0.46</v>
      </c>
      <c r="AT579" s="360" t="s">
        <v>172</v>
      </c>
      <c r="AU579" s="360" t="s">
        <v>186</v>
      </c>
      <c r="AV579" s="46" t="s">
        <v>137</v>
      </c>
      <c r="AW579" s="56" t="s">
        <v>138</v>
      </c>
      <c r="AX579" s="46" t="s">
        <v>143</v>
      </c>
      <c r="AY579" s="61" t="str">
        <f>IFERROR(__xludf.DUMMYFUNCTION("vlookup(BB579,importrange(""https://docs.google.com/spreadsheets/d/1d2vevQ_7D_v35q4wCQ4RpQ_IPoTwEMB9Yp6ymwlPqew/edit?gid=984458430#gid=984458430"", ""'replication success'!A:K""), 11, FAlSE)"),"#N/A")</f>
        <v>#N/A</v>
      </c>
      <c r="AZ579" s="61" t="str">
        <f>IFERROR(__xludf.DUMMYFUNCTION("vlookup(BB579,importrange(""https://docs.google.com/spreadsheets/d/1d2vevQ_7D_v35q4wCQ4RpQ_IPoTwEMB9Yp6ymwlPqew/edit?gid=984458430#gid=984458430"", ""'replication success'!A:M""), 12, FAlSE)"),"#N/A")</f>
        <v>#N/A</v>
      </c>
      <c r="BA579" s="61" t="str">
        <f>IFERROR(__xludf.DUMMYFUNCTION("vlookup(BB579,importrange(""https://docs.google.com/spreadsheets/d/1d2vevQ_7D_v35q4wCQ4RpQ_IPoTwEMB9Yp6ymwlPqew/edit?gid=984458430#gid=984458430"", ""'replication success'!A:M""), 13, FAlSE)"),"#N/A")</f>
        <v>#N/A</v>
      </c>
      <c r="BB579" s="61" t="str">
        <f>IFERROR(__xludf.DUMMYFUNCTION("REGEXREPLACE(G579, ""_[a-z]{1,2}$"", """")"),"additional_studies85")</f>
        <v>additional_studies85</v>
      </c>
      <c r="BC579" s="49"/>
      <c r="BD579" s="341" t="s">
        <v>692</v>
      </c>
      <c r="BE579" s="342"/>
      <c r="BF579" s="342"/>
      <c r="BG579" s="342"/>
      <c r="BH579" s="342"/>
      <c r="BI579" s="342"/>
      <c r="BJ579" s="342"/>
      <c r="BK579" s="342"/>
      <c r="BL579" s="342"/>
      <c r="BM579" s="342"/>
      <c r="BN579" s="342"/>
      <c r="BO579" s="342"/>
      <c r="BP579" s="342"/>
      <c r="BQ579" s="342"/>
      <c r="BR579" s="342"/>
      <c r="BS579" s="342"/>
      <c r="BT579" s="342"/>
      <c r="BU579" s="342"/>
      <c r="BV579" s="342"/>
      <c r="BW579" s="342"/>
      <c r="BX579" s="342"/>
      <c r="BY579" s="342"/>
      <c r="BZ579" s="342"/>
      <c r="CA579" s="342"/>
      <c r="CB579" s="342"/>
      <c r="CC579" s="342"/>
      <c r="CD579" s="342"/>
      <c r="CE579" s="342"/>
      <c r="CF579" s="342"/>
      <c r="CG579" s="342"/>
      <c r="CH579" s="342"/>
      <c r="CI579" s="342"/>
      <c r="CJ579" s="342"/>
      <c r="CK579" s="342"/>
      <c r="CL579" s="342"/>
      <c r="CM579" s="342"/>
      <c r="CN579" s="342"/>
      <c r="CO579" s="342"/>
      <c r="CP579" s="342"/>
      <c r="CQ579" s="342"/>
      <c r="CR579" s="342"/>
      <c r="CS579" s="342"/>
      <c r="CT579" s="342"/>
      <c r="CU579" s="342"/>
      <c r="CV579" s="342"/>
      <c r="CW579" s="342"/>
      <c r="CX579" s="342"/>
      <c r="CY579" s="342"/>
      <c r="CZ579" s="342"/>
      <c r="DA579" s="342"/>
      <c r="DB579" s="342"/>
      <c r="DC579" s="342"/>
      <c r="DD579" s="342"/>
      <c r="DE579" s="342"/>
      <c r="DF579" s="342"/>
      <c r="DG579" s="342"/>
      <c r="DH579" s="342"/>
      <c r="DI579" s="342"/>
      <c r="DJ579" s="342"/>
      <c r="DK579" s="342"/>
      <c r="DL579" s="342"/>
    </row>
    <row r="580" ht="20.25" customHeight="1">
      <c r="A580" s="354">
        <v>580.0</v>
      </c>
      <c r="B580" s="341" t="s">
        <v>152</v>
      </c>
      <c r="C580" s="341" t="s">
        <v>115</v>
      </c>
      <c r="D580" s="341" t="s">
        <v>990</v>
      </c>
      <c r="E580" s="342"/>
      <c r="F580" s="360" t="s">
        <v>3198</v>
      </c>
      <c r="G580" s="47" t="s">
        <v>3230</v>
      </c>
      <c r="H580" s="47" t="s">
        <v>144</v>
      </c>
      <c r="I580" s="344">
        <v>45489.0</v>
      </c>
      <c r="J580" s="511">
        <v>45636.0</v>
      </c>
      <c r="K580" s="49"/>
      <c r="L580" s="56" t="s">
        <v>3213</v>
      </c>
      <c r="M580" s="47" t="s">
        <v>3181</v>
      </c>
      <c r="N580" s="47" t="s">
        <v>3182</v>
      </c>
      <c r="O580" s="508">
        <v>3.0</v>
      </c>
      <c r="P580" s="51" t="s">
        <v>3183</v>
      </c>
      <c r="Q580" s="104" t="str">
        <f t="array" ref="Q580"> if(iserror(MATCH(V580, 'File Links'!C:C, 0)), "N/A", HYPERLINK(INDEX('File Links'!B:B, MATCH(P580, 'File Links'!C:C, 0))))</f>
        <v>https://drive.google.com/file/d/1BtYypYyY-PzT4y8FLAgHXAyFQwMz4y2O/view?usp=drivesdk</v>
      </c>
      <c r="R580" s="47" t="s">
        <v>3184</v>
      </c>
      <c r="S580" s="47" t="s">
        <v>3185</v>
      </c>
      <c r="T580" s="49"/>
      <c r="U580" s="386">
        <v>3.0</v>
      </c>
      <c r="V580" s="360" t="str">
        <f t="shared" si="35"/>
        <v>10.20982--tqmp.20.1.r001.pdf</v>
      </c>
      <c r="W580" s="47" t="s">
        <v>209</v>
      </c>
      <c r="X580" s="54" t="str">
        <f t="array" ref="X580"> if(iserror(MATCH(V580, 'File Links'!C:C, 0)), "N/A", HYPERLINK(INDEX('File Links'!B:B, MATCH(V580, 'File Links'!C:C, 0))))</f>
        <v>https://drive.google.com/file/d/1vDgLj9eoT-VnSILsFHRQ12VvtSFTsWUV/view?usp=drivesdk</v>
      </c>
      <c r="Y580" s="49"/>
      <c r="Z580" s="47" t="s">
        <v>148</v>
      </c>
      <c r="AA580" s="49" t="s">
        <v>3200</v>
      </c>
      <c r="AB580" s="49" t="s">
        <v>3187</v>
      </c>
      <c r="AC580" s="47" t="s">
        <v>3231</v>
      </c>
      <c r="AD580" s="47" t="s">
        <v>3232</v>
      </c>
      <c r="AE580" s="508">
        <v>6.0</v>
      </c>
      <c r="AF580" s="508">
        <v>24.0</v>
      </c>
      <c r="AG580" s="347" t="s">
        <v>3233</v>
      </c>
      <c r="AH580" s="343" t="s">
        <v>134</v>
      </c>
      <c r="AI580" s="500" t="s">
        <v>182</v>
      </c>
      <c r="AJ580" s="508">
        <v>0.001</v>
      </c>
      <c r="AK580" s="360" t="s">
        <v>135</v>
      </c>
      <c r="AL580" s="47" t="s">
        <v>186</v>
      </c>
      <c r="AM580" s="49" t="s">
        <v>137</v>
      </c>
      <c r="AN580" s="500" t="s">
        <v>138</v>
      </c>
      <c r="AO580" s="508">
        <v>28.0</v>
      </c>
      <c r="AP580" s="508">
        <v>0.28</v>
      </c>
      <c r="AQ580" s="47" t="s">
        <v>139</v>
      </c>
      <c r="AR580" s="508">
        <v>5.0</v>
      </c>
      <c r="AS580" s="508">
        <v>0.004</v>
      </c>
      <c r="AT580" s="360" t="s">
        <v>172</v>
      </c>
      <c r="AU580" s="360" t="s">
        <v>186</v>
      </c>
      <c r="AV580" s="46" t="s">
        <v>137</v>
      </c>
      <c r="AW580" s="56" t="s">
        <v>138</v>
      </c>
      <c r="AX580" s="46" t="s">
        <v>143</v>
      </c>
      <c r="AY580" s="61" t="str">
        <f>IFERROR(__xludf.DUMMYFUNCTION("vlookup(BB580,importrange(""https://docs.google.com/spreadsheets/d/1d2vevQ_7D_v35q4wCQ4RpQ_IPoTwEMB9Yp6ymwlPqew/edit?gid=984458430#gid=984458430"", ""'replication success'!A:K""), 11, FAlSE)"),"#N/A")</f>
        <v>#N/A</v>
      </c>
      <c r="AZ580" s="61" t="str">
        <f>IFERROR(__xludf.DUMMYFUNCTION("vlookup(BB580,importrange(""https://docs.google.com/spreadsheets/d/1d2vevQ_7D_v35q4wCQ4RpQ_IPoTwEMB9Yp6ymwlPqew/edit?gid=984458430#gid=984458430"", ""'replication success'!A:M""), 12, FAlSE)"),"#N/A")</f>
        <v>#N/A</v>
      </c>
      <c r="BA580" s="61" t="str">
        <f>IFERROR(__xludf.DUMMYFUNCTION("vlookup(BB580,importrange(""https://docs.google.com/spreadsheets/d/1d2vevQ_7D_v35q4wCQ4RpQ_IPoTwEMB9Yp6ymwlPqew/edit?gid=984458430#gid=984458430"", ""'replication success'!A:M""), 13, FAlSE)"),"#N/A")</f>
        <v>#N/A</v>
      </c>
      <c r="BB580" s="61" t="str">
        <f>IFERROR(__xludf.DUMMYFUNCTION("REGEXREPLACE(G580, ""_[a-z]{1,2}$"", """")"),"additional_studies85")</f>
        <v>additional_studies85</v>
      </c>
      <c r="BC580" s="49"/>
      <c r="BD580" s="341" t="s">
        <v>692</v>
      </c>
      <c r="BE580" s="342"/>
      <c r="BF580" s="342"/>
      <c r="BG580" s="342"/>
      <c r="BH580" s="342"/>
      <c r="BI580" s="342"/>
      <c r="BJ580" s="342"/>
      <c r="BK580" s="342"/>
      <c r="BL580" s="342"/>
      <c r="BM580" s="342"/>
      <c r="BN580" s="342"/>
      <c r="BO580" s="342"/>
      <c r="BP580" s="342"/>
      <c r="BQ580" s="342"/>
      <c r="BR580" s="342"/>
      <c r="BS580" s="342"/>
      <c r="BT580" s="342"/>
      <c r="BU580" s="342"/>
      <c r="BV580" s="342"/>
      <c r="BW580" s="342"/>
      <c r="BX580" s="342"/>
      <c r="BY580" s="342"/>
      <c r="BZ580" s="342"/>
      <c r="CA580" s="342"/>
      <c r="CB580" s="342"/>
      <c r="CC580" s="342"/>
      <c r="CD580" s="342"/>
      <c r="CE580" s="342"/>
      <c r="CF580" s="342"/>
      <c r="CG580" s="342"/>
      <c r="CH580" s="342"/>
      <c r="CI580" s="342"/>
      <c r="CJ580" s="342"/>
      <c r="CK580" s="342"/>
      <c r="CL580" s="342"/>
      <c r="CM580" s="342"/>
      <c r="CN580" s="342"/>
      <c r="CO580" s="342"/>
      <c r="CP580" s="342"/>
      <c r="CQ580" s="342"/>
      <c r="CR580" s="342"/>
      <c r="CS580" s="342"/>
      <c r="CT580" s="342"/>
      <c r="CU580" s="342"/>
      <c r="CV580" s="342"/>
      <c r="CW580" s="342"/>
      <c r="CX580" s="342"/>
      <c r="CY580" s="342"/>
      <c r="CZ580" s="342"/>
      <c r="DA580" s="342"/>
      <c r="DB580" s="342"/>
      <c r="DC580" s="342"/>
      <c r="DD580" s="342"/>
      <c r="DE580" s="342"/>
      <c r="DF580" s="342"/>
      <c r="DG580" s="342"/>
      <c r="DH580" s="342"/>
      <c r="DI580" s="342"/>
      <c r="DJ580" s="342"/>
      <c r="DK580" s="342"/>
      <c r="DL580" s="342"/>
    </row>
    <row r="581" ht="20.25" customHeight="1">
      <c r="A581" s="354">
        <v>581.0</v>
      </c>
      <c r="B581" s="341" t="s">
        <v>152</v>
      </c>
      <c r="C581" s="341" t="s">
        <v>115</v>
      </c>
      <c r="D581" s="341" t="s">
        <v>990</v>
      </c>
      <c r="E581" s="342"/>
      <c r="F581" s="360" t="s">
        <v>3198</v>
      </c>
      <c r="G581" s="47" t="s">
        <v>3234</v>
      </c>
      <c r="H581" s="47" t="s">
        <v>144</v>
      </c>
      <c r="I581" s="344">
        <v>45489.0</v>
      </c>
      <c r="J581" s="511">
        <v>45636.0</v>
      </c>
      <c r="K581" s="49"/>
      <c r="L581" s="56" t="s">
        <v>3235</v>
      </c>
      <c r="M581" s="47" t="s">
        <v>3181</v>
      </c>
      <c r="N581" s="47" t="s">
        <v>3182</v>
      </c>
      <c r="O581" s="508">
        <v>4.0</v>
      </c>
      <c r="P581" s="51" t="s">
        <v>3183</v>
      </c>
      <c r="Q581" s="104" t="str">
        <f t="array" ref="Q581"> if(iserror(MATCH(V581, 'File Links'!C:C, 0)), "N/A", HYPERLINK(INDEX('File Links'!B:B, MATCH(P581, 'File Links'!C:C, 0))))</f>
        <v>https://drive.google.com/file/d/1BtYypYyY-PzT4y8FLAgHXAyFQwMz4y2O/view?usp=drivesdk</v>
      </c>
      <c r="R581" s="47" t="s">
        <v>3184</v>
      </c>
      <c r="S581" s="47" t="s">
        <v>3185</v>
      </c>
      <c r="T581" s="49"/>
      <c r="U581" s="386">
        <v>4.0</v>
      </c>
      <c r="V581" s="360" t="str">
        <f t="shared" si="35"/>
        <v>10.20982--tqmp.20.1.r001.pdf</v>
      </c>
      <c r="W581" s="47" t="s">
        <v>209</v>
      </c>
      <c r="X581" s="54" t="str">
        <f t="array" ref="X581"> if(iserror(MATCH(V581, 'File Links'!C:C, 0)), "N/A", HYPERLINK(INDEX('File Links'!B:B, MATCH(V581, 'File Links'!C:C, 0))))</f>
        <v>https://drive.google.com/file/d/1vDgLj9eoT-VnSILsFHRQ12VvtSFTsWUV/view?usp=drivesdk</v>
      </c>
      <c r="Y581" s="49"/>
      <c r="Z581" s="47" t="s">
        <v>148</v>
      </c>
      <c r="AA581" s="49" t="s">
        <v>3200</v>
      </c>
      <c r="AB581" s="49" t="s">
        <v>3187</v>
      </c>
      <c r="AC581" s="47" t="s">
        <v>3236</v>
      </c>
      <c r="AD581" s="47" t="s">
        <v>3237</v>
      </c>
      <c r="AE581" s="508">
        <v>7.0</v>
      </c>
      <c r="AF581" s="508">
        <v>24.0</v>
      </c>
      <c r="AG581" s="347" t="s">
        <v>3238</v>
      </c>
      <c r="AH581" s="343" t="s">
        <v>134</v>
      </c>
      <c r="AI581" s="500" t="s">
        <v>305</v>
      </c>
      <c r="AJ581" s="508">
        <v>0.001</v>
      </c>
      <c r="AK581" s="360" t="s">
        <v>135</v>
      </c>
      <c r="AL581" s="47" t="s">
        <v>218</v>
      </c>
      <c r="AM581" s="49" t="s">
        <v>137</v>
      </c>
      <c r="AN581" s="500" t="s">
        <v>138</v>
      </c>
      <c r="AO581" s="508">
        <v>24.0</v>
      </c>
      <c r="AP581" s="891" t="s">
        <v>3239</v>
      </c>
      <c r="AQ581" s="47" t="s">
        <v>1031</v>
      </c>
      <c r="AR581" s="508">
        <v>6.0</v>
      </c>
      <c r="AS581" s="508">
        <v>0.79</v>
      </c>
      <c r="AT581" s="360" t="s">
        <v>172</v>
      </c>
      <c r="AU581" s="360" t="s">
        <v>186</v>
      </c>
      <c r="AV581" s="46" t="s">
        <v>137</v>
      </c>
      <c r="AW581" s="56" t="s">
        <v>138</v>
      </c>
      <c r="AX581" s="46" t="s">
        <v>143</v>
      </c>
      <c r="AY581" s="61" t="str">
        <f>IFERROR(__xludf.DUMMYFUNCTION("vlookup(BB581,importrange(""https://docs.google.com/spreadsheets/d/1d2vevQ_7D_v35q4wCQ4RpQ_IPoTwEMB9Yp6ymwlPqew/edit?gid=984458430#gid=984458430"", ""'replication success'!A:K""), 11, FAlSE)"),"#N/A")</f>
        <v>#N/A</v>
      </c>
      <c r="AZ581" s="61" t="str">
        <f>IFERROR(__xludf.DUMMYFUNCTION("vlookup(BB581,importrange(""https://docs.google.com/spreadsheets/d/1d2vevQ_7D_v35q4wCQ4RpQ_IPoTwEMB9Yp6ymwlPqew/edit?gid=984458430#gid=984458430"", ""'replication success'!A:M""), 12, FAlSE)"),"#N/A")</f>
        <v>#N/A</v>
      </c>
      <c r="BA581" s="61" t="str">
        <f>IFERROR(__xludf.DUMMYFUNCTION("vlookup(BB581,importrange(""https://docs.google.com/spreadsheets/d/1d2vevQ_7D_v35q4wCQ4RpQ_IPoTwEMB9Yp6ymwlPqew/edit?gid=984458430#gid=984458430"", ""'replication success'!A:M""), 13, FAlSE)"),"#N/A")</f>
        <v>#N/A</v>
      </c>
      <c r="BB581" s="61" t="str">
        <f>IFERROR(__xludf.DUMMYFUNCTION("REGEXREPLACE(G581, ""_[a-z]{1,2}$"", """")"),"additional_studies85")</f>
        <v>additional_studies85</v>
      </c>
      <c r="BC581" s="56" t="s">
        <v>3204</v>
      </c>
      <c r="BD581" s="341" t="s">
        <v>692</v>
      </c>
      <c r="BE581" s="342"/>
      <c r="BF581" s="342"/>
      <c r="BG581" s="342"/>
      <c r="BH581" s="342"/>
      <c r="BI581" s="342"/>
      <c r="BJ581" s="342"/>
      <c r="BK581" s="342"/>
      <c r="BL581" s="342"/>
      <c r="BM581" s="342"/>
      <c r="BN581" s="342"/>
      <c r="BO581" s="342"/>
      <c r="BP581" s="342"/>
      <c r="BQ581" s="342"/>
      <c r="BR581" s="342"/>
      <c r="BS581" s="342"/>
      <c r="BT581" s="342"/>
      <c r="BU581" s="342"/>
      <c r="BV581" s="342"/>
      <c r="BW581" s="342"/>
      <c r="BX581" s="342"/>
      <c r="BY581" s="342"/>
      <c r="BZ581" s="342"/>
      <c r="CA581" s="342"/>
      <c r="CB581" s="342"/>
      <c r="CC581" s="342"/>
      <c r="CD581" s="342"/>
      <c r="CE581" s="342"/>
      <c r="CF581" s="342"/>
      <c r="CG581" s="342"/>
      <c r="CH581" s="342"/>
      <c r="CI581" s="342"/>
      <c r="CJ581" s="342"/>
      <c r="CK581" s="342"/>
      <c r="CL581" s="342"/>
      <c r="CM581" s="342"/>
      <c r="CN581" s="342"/>
      <c r="CO581" s="342"/>
      <c r="CP581" s="342"/>
      <c r="CQ581" s="342"/>
      <c r="CR581" s="342"/>
      <c r="CS581" s="342"/>
      <c r="CT581" s="342"/>
      <c r="CU581" s="342"/>
      <c r="CV581" s="342"/>
      <c r="CW581" s="342"/>
      <c r="CX581" s="342"/>
      <c r="CY581" s="342"/>
      <c r="CZ581" s="342"/>
      <c r="DA581" s="342"/>
      <c r="DB581" s="342"/>
      <c r="DC581" s="342"/>
      <c r="DD581" s="342"/>
      <c r="DE581" s="342"/>
      <c r="DF581" s="342"/>
      <c r="DG581" s="342"/>
      <c r="DH581" s="342"/>
      <c r="DI581" s="342"/>
      <c r="DJ581" s="342"/>
      <c r="DK581" s="342"/>
      <c r="DL581" s="342"/>
    </row>
    <row r="582" ht="20.25" customHeight="1">
      <c r="A582" s="354">
        <v>582.0</v>
      </c>
      <c r="B582" s="341" t="s">
        <v>152</v>
      </c>
      <c r="C582" s="341" t="s">
        <v>115</v>
      </c>
      <c r="D582" s="341" t="s">
        <v>990</v>
      </c>
      <c r="E582" s="342"/>
      <c r="F582" s="360" t="s">
        <v>3198</v>
      </c>
      <c r="G582" s="47" t="s">
        <v>3240</v>
      </c>
      <c r="H582" s="47" t="s">
        <v>144</v>
      </c>
      <c r="I582" s="344">
        <v>45489.0</v>
      </c>
      <c r="J582" s="511">
        <v>45636.0</v>
      </c>
      <c r="K582" s="49"/>
      <c r="L582" s="56" t="s">
        <v>3235</v>
      </c>
      <c r="M582" s="47" t="s">
        <v>3181</v>
      </c>
      <c r="N582" s="47" t="s">
        <v>3182</v>
      </c>
      <c r="O582" s="508">
        <v>4.0</v>
      </c>
      <c r="P582" s="51" t="s">
        <v>3183</v>
      </c>
      <c r="Q582" s="104" t="str">
        <f t="array" ref="Q582"> if(iserror(MATCH(V582, 'File Links'!C:C, 0)), "N/A", HYPERLINK(INDEX('File Links'!B:B, MATCH(P582, 'File Links'!C:C, 0))))</f>
        <v>https://drive.google.com/file/d/1BtYypYyY-PzT4y8FLAgHXAyFQwMz4y2O/view?usp=drivesdk</v>
      </c>
      <c r="R582" s="47" t="s">
        <v>3184</v>
      </c>
      <c r="S582" s="47" t="s">
        <v>3185</v>
      </c>
      <c r="T582" s="49"/>
      <c r="U582" s="386">
        <v>4.0</v>
      </c>
      <c r="V582" s="360" t="str">
        <f t="shared" si="35"/>
        <v>10.20982--tqmp.20.1.r001.pdf</v>
      </c>
      <c r="W582" s="47" t="s">
        <v>209</v>
      </c>
      <c r="X582" s="54" t="str">
        <f t="array" ref="X582"> if(iserror(MATCH(V582, 'File Links'!C:C, 0)), "N/A", HYPERLINK(INDEX('File Links'!B:B, MATCH(V582, 'File Links'!C:C, 0))))</f>
        <v>https://drive.google.com/file/d/1vDgLj9eoT-VnSILsFHRQ12VvtSFTsWUV/view?usp=drivesdk</v>
      </c>
      <c r="Y582" s="49"/>
      <c r="Z582" s="47" t="s">
        <v>148</v>
      </c>
      <c r="AA582" s="49" t="s">
        <v>3200</v>
      </c>
      <c r="AB582" s="49" t="s">
        <v>3187</v>
      </c>
      <c r="AC582" s="47" t="s">
        <v>3241</v>
      </c>
      <c r="AD582" s="47" t="s">
        <v>3242</v>
      </c>
      <c r="AE582" s="508">
        <v>7.0</v>
      </c>
      <c r="AF582" s="508">
        <v>24.0</v>
      </c>
      <c r="AG582" s="347" t="s">
        <v>3243</v>
      </c>
      <c r="AH582" s="343" t="s">
        <v>134</v>
      </c>
      <c r="AI582" s="500" t="s">
        <v>305</v>
      </c>
      <c r="AJ582" s="508">
        <v>0.001</v>
      </c>
      <c r="AK582" s="360" t="s">
        <v>135</v>
      </c>
      <c r="AL582" s="47" t="s">
        <v>218</v>
      </c>
      <c r="AM582" s="49" t="s">
        <v>137</v>
      </c>
      <c r="AN582" s="500" t="s">
        <v>138</v>
      </c>
      <c r="AO582" s="508">
        <v>24.0</v>
      </c>
      <c r="AP582" s="891" t="s">
        <v>3244</v>
      </c>
      <c r="AQ582" s="47" t="s">
        <v>1031</v>
      </c>
      <c r="AR582" s="508">
        <v>6.0</v>
      </c>
      <c r="AS582" s="508">
        <v>0.001</v>
      </c>
      <c r="AT582" s="360" t="s">
        <v>135</v>
      </c>
      <c r="AU582" s="360" t="s">
        <v>186</v>
      </c>
      <c r="AV582" s="46" t="s">
        <v>137</v>
      </c>
      <c r="AW582" s="56" t="s">
        <v>138</v>
      </c>
      <c r="AX582" s="46" t="s">
        <v>143</v>
      </c>
      <c r="AY582" s="61" t="str">
        <f>IFERROR(__xludf.DUMMYFUNCTION("vlookup(BB582,importrange(""https://docs.google.com/spreadsheets/d/1d2vevQ_7D_v35q4wCQ4RpQ_IPoTwEMB9Yp6ymwlPqew/edit?gid=984458430#gid=984458430"", ""'replication success'!A:K""), 11, FAlSE)"),"#N/A")</f>
        <v>#N/A</v>
      </c>
      <c r="AZ582" s="61" t="str">
        <f>IFERROR(__xludf.DUMMYFUNCTION("vlookup(BB582,importrange(""https://docs.google.com/spreadsheets/d/1d2vevQ_7D_v35q4wCQ4RpQ_IPoTwEMB9Yp6ymwlPqew/edit?gid=984458430#gid=984458430"", ""'replication success'!A:M""), 12, FAlSE)"),"#N/A")</f>
        <v>#N/A</v>
      </c>
      <c r="BA582" s="61" t="str">
        <f>IFERROR(__xludf.DUMMYFUNCTION("vlookup(BB582,importrange(""https://docs.google.com/spreadsheets/d/1d2vevQ_7D_v35q4wCQ4RpQ_IPoTwEMB9Yp6ymwlPqew/edit?gid=984458430#gid=984458430"", ""'replication success'!A:M""), 13, FAlSE)"),"#N/A")</f>
        <v>#N/A</v>
      </c>
      <c r="BB582" s="61" t="str">
        <f>IFERROR(__xludf.DUMMYFUNCTION("REGEXREPLACE(G582, ""_[a-z]{1,2}$"", """")"),"additional_studies85")</f>
        <v>additional_studies85</v>
      </c>
      <c r="BC582" s="56" t="s">
        <v>3204</v>
      </c>
      <c r="BD582" s="341" t="s">
        <v>692</v>
      </c>
      <c r="BE582" s="342"/>
      <c r="BF582" s="342"/>
      <c r="BG582" s="342"/>
      <c r="BH582" s="342"/>
      <c r="BI582" s="342"/>
      <c r="BJ582" s="342"/>
      <c r="BK582" s="342"/>
      <c r="BL582" s="342"/>
      <c r="BM582" s="342"/>
      <c r="BN582" s="342"/>
      <c r="BO582" s="342"/>
      <c r="BP582" s="342"/>
      <c r="BQ582" s="342"/>
      <c r="BR582" s="342"/>
      <c r="BS582" s="342"/>
      <c r="BT582" s="342"/>
      <c r="BU582" s="342"/>
      <c r="BV582" s="342"/>
      <c r="BW582" s="342"/>
      <c r="BX582" s="342"/>
      <c r="BY582" s="342"/>
      <c r="BZ582" s="342"/>
      <c r="CA582" s="342"/>
      <c r="CB582" s="342"/>
      <c r="CC582" s="342"/>
      <c r="CD582" s="342"/>
      <c r="CE582" s="342"/>
      <c r="CF582" s="342"/>
      <c r="CG582" s="342"/>
      <c r="CH582" s="342"/>
      <c r="CI582" s="342"/>
      <c r="CJ582" s="342"/>
      <c r="CK582" s="342"/>
      <c r="CL582" s="342"/>
      <c r="CM582" s="342"/>
      <c r="CN582" s="342"/>
      <c r="CO582" s="342"/>
      <c r="CP582" s="342"/>
      <c r="CQ582" s="342"/>
      <c r="CR582" s="342"/>
      <c r="CS582" s="342"/>
      <c r="CT582" s="342"/>
      <c r="CU582" s="342"/>
      <c r="CV582" s="342"/>
      <c r="CW582" s="342"/>
      <c r="CX582" s="342"/>
      <c r="CY582" s="342"/>
      <c r="CZ582" s="342"/>
      <c r="DA582" s="342"/>
      <c r="DB582" s="342"/>
      <c r="DC582" s="342"/>
      <c r="DD582" s="342"/>
      <c r="DE582" s="342"/>
      <c r="DF582" s="342"/>
      <c r="DG582" s="342"/>
      <c r="DH582" s="342"/>
      <c r="DI582" s="342"/>
      <c r="DJ582" s="342"/>
      <c r="DK582" s="342"/>
      <c r="DL582" s="342"/>
    </row>
    <row r="583" ht="20.25" customHeight="1">
      <c r="A583" s="354">
        <v>583.0</v>
      </c>
      <c r="B583" s="341" t="s">
        <v>152</v>
      </c>
      <c r="C583" s="341" t="s">
        <v>115</v>
      </c>
      <c r="D583" s="341" t="s">
        <v>990</v>
      </c>
      <c r="E583" s="342"/>
      <c r="F583" s="360" t="s">
        <v>3198</v>
      </c>
      <c r="G583" s="47" t="s">
        <v>3245</v>
      </c>
      <c r="H583" s="47" t="s">
        <v>144</v>
      </c>
      <c r="I583" s="344">
        <v>45489.0</v>
      </c>
      <c r="J583" s="511">
        <v>45636.0</v>
      </c>
      <c r="K583" s="49"/>
      <c r="L583" s="56" t="s">
        <v>3246</v>
      </c>
      <c r="M583" s="47" t="s">
        <v>3181</v>
      </c>
      <c r="N583" s="47" t="s">
        <v>3182</v>
      </c>
      <c r="O583" s="508">
        <v>4.0</v>
      </c>
      <c r="P583" s="51" t="s">
        <v>3183</v>
      </c>
      <c r="Q583" s="104" t="str">
        <f t="array" ref="Q583"> if(iserror(MATCH(V583, 'File Links'!C:C, 0)), "N/A", HYPERLINK(INDEX('File Links'!B:B, MATCH(P583, 'File Links'!C:C, 0))))</f>
        <v>https://drive.google.com/file/d/1BtYypYyY-PzT4y8FLAgHXAyFQwMz4y2O/view?usp=drivesdk</v>
      </c>
      <c r="R583" s="47" t="s">
        <v>3184</v>
      </c>
      <c r="S583" s="47" t="s">
        <v>3185</v>
      </c>
      <c r="T583" s="49"/>
      <c r="U583" s="386">
        <v>4.0</v>
      </c>
      <c r="V583" s="360" t="str">
        <f t="shared" si="35"/>
        <v>10.20982--tqmp.20.1.r001.pdf</v>
      </c>
      <c r="W583" s="47" t="s">
        <v>209</v>
      </c>
      <c r="X583" s="54" t="str">
        <f t="array" ref="X583"> if(iserror(MATCH(V583, 'File Links'!C:C, 0)), "N/A", HYPERLINK(INDEX('File Links'!B:B, MATCH(V583, 'File Links'!C:C, 0))))</f>
        <v>https://drive.google.com/file/d/1vDgLj9eoT-VnSILsFHRQ12VvtSFTsWUV/view?usp=drivesdk</v>
      </c>
      <c r="Y583" s="49"/>
      <c r="Z583" s="47" t="s">
        <v>148</v>
      </c>
      <c r="AA583" s="49" t="s">
        <v>3200</v>
      </c>
      <c r="AB583" s="49" t="s">
        <v>3187</v>
      </c>
      <c r="AC583" s="47" t="s">
        <v>3247</v>
      </c>
      <c r="AD583" s="47" t="s">
        <v>3248</v>
      </c>
      <c r="AE583" s="508">
        <v>7.0</v>
      </c>
      <c r="AF583" s="508">
        <v>24.0</v>
      </c>
      <c r="AG583" s="347" t="s">
        <v>3249</v>
      </c>
      <c r="AH583" s="343" t="s">
        <v>134</v>
      </c>
      <c r="AI583" s="500" t="s">
        <v>305</v>
      </c>
      <c r="AJ583" s="508">
        <v>0.001</v>
      </c>
      <c r="AK583" s="360" t="s">
        <v>135</v>
      </c>
      <c r="AL583" s="47" t="s">
        <v>218</v>
      </c>
      <c r="AM583" s="49" t="s">
        <v>137</v>
      </c>
      <c r="AN583" s="500" t="s">
        <v>138</v>
      </c>
      <c r="AO583" s="508">
        <v>24.0</v>
      </c>
      <c r="AP583" s="891" t="s">
        <v>3250</v>
      </c>
      <c r="AQ583" s="47" t="s">
        <v>1031</v>
      </c>
      <c r="AR583" s="508">
        <v>7.0</v>
      </c>
      <c r="AS583" s="508">
        <v>0.54</v>
      </c>
      <c r="AT583" s="360" t="s">
        <v>172</v>
      </c>
      <c r="AU583" s="360" t="s">
        <v>186</v>
      </c>
      <c r="AV583" s="46" t="s">
        <v>137</v>
      </c>
      <c r="AW583" s="56" t="s">
        <v>138</v>
      </c>
      <c r="AX583" s="46" t="s">
        <v>143</v>
      </c>
      <c r="AY583" s="61" t="str">
        <f>IFERROR(__xludf.DUMMYFUNCTION("vlookup(BB583,importrange(""https://docs.google.com/spreadsheets/d/1d2vevQ_7D_v35q4wCQ4RpQ_IPoTwEMB9Yp6ymwlPqew/edit?gid=984458430#gid=984458430"", ""'replication success'!A:K""), 11, FAlSE)"),"#N/A")</f>
        <v>#N/A</v>
      </c>
      <c r="AZ583" s="61" t="str">
        <f>IFERROR(__xludf.DUMMYFUNCTION("vlookup(BB583,importrange(""https://docs.google.com/spreadsheets/d/1d2vevQ_7D_v35q4wCQ4RpQ_IPoTwEMB9Yp6ymwlPqew/edit?gid=984458430#gid=984458430"", ""'replication success'!A:M""), 12, FAlSE)"),"#N/A")</f>
        <v>#N/A</v>
      </c>
      <c r="BA583" s="61" t="str">
        <f>IFERROR(__xludf.DUMMYFUNCTION("vlookup(BB583,importrange(""https://docs.google.com/spreadsheets/d/1d2vevQ_7D_v35q4wCQ4RpQ_IPoTwEMB9Yp6ymwlPqew/edit?gid=984458430#gid=984458430"", ""'replication success'!A:M""), 13, FAlSE)"),"#N/A")</f>
        <v>#N/A</v>
      </c>
      <c r="BB583" s="61" t="str">
        <f>IFERROR(__xludf.DUMMYFUNCTION("REGEXREPLACE(G583, ""_[a-z]{1,2}$"", """")"),"additional_studies85")</f>
        <v>additional_studies85</v>
      </c>
      <c r="BC583" s="56" t="s">
        <v>3204</v>
      </c>
      <c r="BD583" s="341" t="s">
        <v>692</v>
      </c>
      <c r="BE583" s="342"/>
      <c r="BF583" s="342"/>
      <c r="BG583" s="342"/>
      <c r="BH583" s="342"/>
      <c r="BI583" s="342"/>
      <c r="BJ583" s="342"/>
      <c r="BK583" s="342"/>
      <c r="BL583" s="342"/>
      <c r="BM583" s="342"/>
      <c r="BN583" s="342"/>
      <c r="BO583" s="342"/>
      <c r="BP583" s="342"/>
      <c r="BQ583" s="342"/>
      <c r="BR583" s="342"/>
      <c r="BS583" s="342"/>
      <c r="BT583" s="342"/>
      <c r="BU583" s="342"/>
      <c r="BV583" s="342"/>
      <c r="BW583" s="342"/>
      <c r="BX583" s="342"/>
      <c r="BY583" s="342"/>
      <c r="BZ583" s="342"/>
      <c r="CA583" s="342"/>
      <c r="CB583" s="342"/>
      <c r="CC583" s="342"/>
      <c r="CD583" s="342"/>
      <c r="CE583" s="342"/>
      <c r="CF583" s="342"/>
      <c r="CG583" s="342"/>
      <c r="CH583" s="342"/>
      <c r="CI583" s="342"/>
      <c r="CJ583" s="342"/>
      <c r="CK583" s="342"/>
      <c r="CL583" s="342"/>
      <c r="CM583" s="342"/>
      <c r="CN583" s="342"/>
      <c r="CO583" s="342"/>
      <c r="CP583" s="342"/>
      <c r="CQ583" s="342"/>
      <c r="CR583" s="342"/>
      <c r="CS583" s="342"/>
      <c r="CT583" s="342"/>
      <c r="CU583" s="342"/>
      <c r="CV583" s="342"/>
      <c r="CW583" s="342"/>
      <c r="CX583" s="342"/>
      <c r="CY583" s="342"/>
      <c r="CZ583" s="342"/>
      <c r="DA583" s="342"/>
      <c r="DB583" s="342"/>
      <c r="DC583" s="342"/>
      <c r="DD583" s="342"/>
      <c r="DE583" s="342"/>
      <c r="DF583" s="342"/>
      <c r="DG583" s="342"/>
      <c r="DH583" s="342"/>
      <c r="DI583" s="342"/>
      <c r="DJ583" s="342"/>
      <c r="DK583" s="342"/>
      <c r="DL583" s="342"/>
    </row>
    <row r="584" ht="20.25" customHeight="1">
      <c r="A584" s="354">
        <v>584.0</v>
      </c>
      <c r="B584" s="341" t="s">
        <v>152</v>
      </c>
      <c r="C584" s="341" t="s">
        <v>115</v>
      </c>
      <c r="D584" s="341" t="s">
        <v>990</v>
      </c>
      <c r="E584" s="342"/>
      <c r="F584" s="360" t="s">
        <v>3198</v>
      </c>
      <c r="G584" s="47" t="s">
        <v>3251</v>
      </c>
      <c r="H584" s="47" t="s">
        <v>144</v>
      </c>
      <c r="I584" s="344">
        <v>45489.0</v>
      </c>
      <c r="J584" s="511">
        <v>45636.0</v>
      </c>
      <c r="K584" s="49"/>
      <c r="L584" s="56" t="s">
        <v>3246</v>
      </c>
      <c r="M584" s="47" t="s">
        <v>3181</v>
      </c>
      <c r="N584" s="47" t="s">
        <v>3182</v>
      </c>
      <c r="O584" s="508">
        <v>5.0</v>
      </c>
      <c r="P584" s="51" t="s">
        <v>3183</v>
      </c>
      <c r="Q584" s="104" t="str">
        <f t="array" ref="Q584"> if(iserror(MATCH(V584, 'File Links'!C:C, 0)), "N/A", HYPERLINK(INDEX('File Links'!B:B, MATCH(P584, 'File Links'!C:C, 0))))</f>
        <v>https://drive.google.com/file/d/1BtYypYyY-PzT4y8FLAgHXAyFQwMz4y2O/view?usp=drivesdk</v>
      </c>
      <c r="R584" s="47" t="s">
        <v>3184</v>
      </c>
      <c r="S584" s="47" t="s">
        <v>3185</v>
      </c>
      <c r="T584" s="49"/>
      <c r="U584" s="386">
        <v>5.0</v>
      </c>
      <c r="V584" s="360" t="str">
        <f t="shared" si="35"/>
        <v>10.20982--tqmp.20.1.r001.pdf</v>
      </c>
      <c r="W584" s="47" t="s">
        <v>209</v>
      </c>
      <c r="X584" s="54" t="str">
        <f t="array" ref="X584"> if(iserror(MATCH(V584, 'File Links'!C:C, 0)), "N/A", HYPERLINK(INDEX('File Links'!B:B, MATCH(V584, 'File Links'!C:C, 0))))</f>
        <v>https://drive.google.com/file/d/1vDgLj9eoT-VnSILsFHRQ12VvtSFTsWUV/view?usp=drivesdk</v>
      </c>
      <c r="Y584" s="49"/>
      <c r="Z584" s="47" t="s">
        <v>148</v>
      </c>
      <c r="AA584" s="49" t="s">
        <v>3200</v>
      </c>
      <c r="AB584" s="49" t="s">
        <v>3187</v>
      </c>
      <c r="AC584" s="47" t="s">
        <v>3252</v>
      </c>
      <c r="AD584" s="47" t="s">
        <v>3253</v>
      </c>
      <c r="AE584" s="508">
        <v>8.0</v>
      </c>
      <c r="AF584" s="508">
        <v>24.0</v>
      </c>
      <c r="AG584" s="347" t="s">
        <v>3254</v>
      </c>
      <c r="AH584" s="343" t="s">
        <v>134</v>
      </c>
      <c r="AI584" s="500" t="s">
        <v>3255</v>
      </c>
      <c r="AJ584" s="508">
        <v>0.001</v>
      </c>
      <c r="AK584" s="360" t="s">
        <v>135</v>
      </c>
      <c r="AL584" s="47" t="s">
        <v>218</v>
      </c>
      <c r="AM584" s="49" t="s">
        <v>137</v>
      </c>
      <c r="AN584" s="500" t="s">
        <v>138</v>
      </c>
      <c r="AO584" s="508">
        <v>24.0</v>
      </c>
      <c r="AP584" s="891" t="s">
        <v>3256</v>
      </c>
      <c r="AQ584" s="47" t="s">
        <v>1031</v>
      </c>
      <c r="AR584" s="508">
        <v>7.0</v>
      </c>
      <c r="AS584" s="508">
        <v>0.001</v>
      </c>
      <c r="AT584" s="360" t="s">
        <v>135</v>
      </c>
      <c r="AU584" s="360" t="s">
        <v>186</v>
      </c>
      <c r="AV584" s="46" t="s">
        <v>137</v>
      </c>
      <c r="AW584" s="56" t="s">
        <v>138</v>
      </c>
      <c r="AX584" s="46" t="s">
        <v>143</v>
      </c>
      <c r="AY584" s="61" t="str">
        <f>IFERROR(__xludf.DUMMYFUNCTION("vlookup(BB584,importrange(""https://docs.google.com/spreadsheets/d/1d2vevQ_7D_v35q4wCQ4RpQ_IPoTwEMB9Yp6ymwlPqew/edit?gid=984458430#gid=984458430"", ""'replication success'!A:K""), 11, FAlSE)"),"#N/A")</f>
        <v>#N/A</v>
      </c>
      <c r="AZ584" s="61" t="str">
        <f>IFERROR(__xludf.DUMMYFUNCTION("vlookup(BB584,importrange(""https://docs.google.com/spreadsheets/d/1d2vevQ_7D_v35q4wCQ4RpQ_IPoTwEMB9Yp6ymwlPqew/edit?gid=984458430#gid=984458430"", ""'replication success'!A:M""), 12, FAlSE)"),"#N/A")</f>
        <v>#N/A</v>
      </c>
      <c r="BA584" s="61" t="str">
        <f>IFERROR(__xludf.DUMMYFUNCTION("vlookup(BB584,importrange(""https://docs.google.com/spreadsheets/d/1d2vevQ_7D_v35q4wCQ4RpQ_IPoTwEMB9Yp6ymwlPqew/edit?gid=984458430#gid=984458430"", ""'replication success'!A:M""), 13, FAlSE)"),"#N/A")</f>
        <v>#N/A</v>
      </c>
      <c r="BB584" s="61" t="str">
        <f>IFERROR(__xludf.DUMMYFUNCTION("REGEXREPLACE(G584, ""_[a-z]{1,2}$"", """")"),"additional_studies85")</f>
        <v>additional_studies85</v>
      </c>
      <c r="BC584" s="56" t="s">
        <v>3204</v>
      </c>
      <c r="BD584" s="341" t="s">
        <v>692</v>
      </c>
      <c r="BE584" s="342"/>
      <c r="BF584" s="342"/>
      <c r="BG584" s="342"/>
      <c r="BH584" s="342"/>
      <c r="BI584" s="342"/>
      <c r="BJ584" s="342"/>
      <c r="BK584" s="342"/>
      <c r="BL584" s="342"/>
      <c r="BM584" s="342"/>
      <c r="BN584" s="342"/>
      <c r="BO584" s="342"/>
      <c r="BP584" s="342"/>
      <c r="BQ584" s="342"/>
      <c r="BR584" s="342"/>
      <c r="BS584" s="342"/>
      <c r="BT584" s="342"/>
      <c r="BU584" s="342"/>
      <c r="BV584" s="342"/>
      <c r="BW584" s="342"/>
      <c r="BX584" s="342"/>
      <c r="BY584" s="342"/>
      <c r="BZ584" s="342"/>
      <c r="CA584" s="342"/>
      <c r="CB584" s="342"/>
      <c r="CC584" s="342"/>
      <c r="CD584" s="342"/>
      <c r="CE584" s="342"/>
      <c r="CF584" s="342"/>
      <c r="CG584" s="342"/>
      <c r="CH584" s="342"/>
      <c r="CI584" s="342"/>
      <c r="CJ584" s="342"/>
      <c r="CK584" s="342"/>
      <c r="CL584" s="342"/>
      <c r="CM584" s="342"/>
      <c r="CN584" s="342"/>
      <c r="CO584" s="342"/>
      <c r="CP584" s="342"/>
      <c r="CQ584" s="342"/>
      <c r="CR584" s="342"/>
      <c r="CS584" s="342"/>
      <c r="CT584" s="342"/>
      <c r="CU584" s="342"/>
      <c r="CV584" s="342"/>
      <c r="CW584" s="342"/>
      <c r="CX584" s="342"/>
      <c r="CY584" s="342"/>
      <c r="CZ584" s="342"/>
      <c r="DA584" s="342"/>
      <c r="DB584" s="342"/>
      <c r="DC584" s="342"/>
      <c r="DD584" s="342"/>
      <c r="DE584" s="342"/>
      <c r="DF584" s="342"/>
      <c r="DG584" s="342"/>
      <c r="DH584" s="342"/>
      <c r="DI584" s="342"/>
      <c r="DJ584" s="342"/>
      <c r="DK584" s="342"/>
      <c r="DL584" s="342"/>
    </row>
    <row r="585" ht="20.25" customHeight="1">
      <c r="A585" s="354">
        <v>585.0</v>
      </c>
      <c r="B585" s="341" t="s">
        <v>152</v>
      </c>
      <c r="C585" s="341" t="s">
        <v>115</v>
      </c>
      <c r="D585" s="341" t="s">
        <v>990</v>
      </c>
      <c r="E585" s="342"/>
      <c r="F585" s="360" t="s">
        <v>3198</v>
      </c>
      <c r="G585" s="47" t="s">
        <v>3257</v>
      </c>
      <c r="H585" s="47" t="s">
        <v>144</v>
      </c>
      <c r="I585" s="344">
        <v>45489.0</v>
      </c>
      <c r="J585" s="511">
        <v>45636.0</v>
      </c>
      <c r="K585" s="49"/>
      <c r="L585" s="56" t="s">
        <v>3246</v>
      </c>
      <c r="M585" s="47" t="s">
        <v>3181</v>
      </c>
      <c r="N585" s="47" t="s">
        <v>3182</v>
      </c>
      <c r="O585" s="508">
        <v>5.0</v>
      </c>
      <c r="P585" s="51" t="s">
        <v>3183</v>
      </c>
      <c r="Q585" s="104" t="str">
        <f t="array" ref="Q585"> if(iserror(MATCH(V585, 'File Links'!C:C, 0)), "N/A", HYPERLINK(INDEX('File Links'!B:B, MATCH(P585, 'File Links'!C:C, 0))))</f>
        <v>https://drive.google.com/file/d/1BtYypYyY-PzT4y8FLAgHXAyFQwMz4y2O/view?usp=drivesdk</v>
      </c>
      <c r="R585" s="47" t="s">
        <v>3184</v>
      </c>
      <c r="S585" s="47" t="s">
        <v>3185</v>
      </c>
      <c r="T585" s="49"/>
      <c r="U585" s="386">
        <v>5.0</v>
      </c>
      <c r="V585" s="360" t="str">
        <f t="shared" si="35"/>
        <v>10.20982--tqmp.20.1.r001.pdf</v>
      </c>
      <c r="W585" s="47" t="s">
        <v>209</v>
      </c>
      <c r="X585" s="54" t="str">
        <f t="array" ref="X585"> if(iserror(MATCH(V585, 'File Links'!C:C, 0)), "N/A", HYPERLINK(INDEX('File Links'!B:B, MATCH(V585, 'File Links'!C:C, 0))))</f>
        <v>https://drive.google.com/file/d/1vDgLj9eoT-VnSILsFHRQ12VvtSFTsWUV/view?usp=drivesdk</v>
      </c>
      <c r="Y585" s="49"/>
      <c r="Z585" s="47" t="s">
        <v>148</v>
      </c>
      <c r="AA585" s="49" t="s">
        <v>3200</v>
      </c>
      <c r="AB585" s="49" t="s">
        <v>3187</v>
      </c>
      <c r="AC585" s="47" t="s">
        <v>3258</v>
      </c>
      <c r="AD585" s="47" t="s">
        <v>3259</v>
      </c>
      <c r="AE585" s="508">
        <v>8.0</v>
      </c>
      <c r="AF585" s="508">
        <v>24.0</v>
      </c>
      <c r="AG585" s="347" t="s">
        <v>3260</v>
      </c>
      <c r="AH585" s="343" t="s">
        <v>134</v>
      </c>
      <c r="AI585" s="500" t="s">
        <v>3255</v>
      </c>
      <c r="AJ585" s="508">
        <v>0.001</v>
      </c>
      <c r="AK585" s="360" t="s">
        <v>135</v>
      </c>
      <c r="AL585" s="47" t="s">
        <v>218</v>
      </c>
      <c r="AM585" s="49" t="s">
        <v>137</v>
      </c>
      <c r="AN585" s="500" t="s">
        <v>138</v>
      </c>
      <c r="AO585" s="508">
        <v>24.0</v>
      </c>
      <c r="AP585" s="891" t="s">
        <v>3261</v>
      </c>
      <c r="AQ585" s="47" t="s">
        <v>1031</v>
      </c>
      <c r="AR585" s="508">
        <v>8.0</v>
      </c>
      <c r="AS585" s="508">
        <v>0.37</v>
      </c>
      <c r="AT585" s="360" t="s">
        <v>172</v>
      </c>
      <c r="AU585" s="360" t="s">
        <v>186</v>
      </c>
      <c r="AV585" s="46" t="s">
        <v>137</v>
      </c>
      <c r="AW585" s="56" t="s">
        <v>138</v>
      </c>
      <c r="AX585" s="46" t="s">
        <v>143</v>
      </c>
      <c r="AY585" s="61" t="str">
        <f>IFERROR(__xludf.DUMMYFUNCTION("vlookup(BB585,importrange(""https://docs.google.com/spreadsheets/d/1d2vevQ_7D_v35q4wCQ4RpQ_IPoTwEMB9Yp6ymwlPqew/edit?gid=984458430#gid=984458430"", ""'replication success'!A:K""), 11, FAlSE)"),"#N/A")</f>
        <v>#N/A</v>
      </c>
      <c r="AZ585" s="61" t="str">
        <f>IFERROR(__xludf.DUMMYFUNCTION("vlookup(BB585,importrange(""https://docs.google.com/spreadsheets/d/1d2vevQ_7D_v35q4wCQ4RpQ_IPoTwEMB9Yp6ymwlPqew/edit?gid=984458430#gid=984458430"", ""'replication success'!A:M""), 12, FAlSE)"),"#N/A")</f>
        <v>#N/A</v>
      </c>
      <c r="BA585" s="61" t="str">
        <f>IFERROR(__xludf.DUMMYFUNCTION("vlookup(BB585,importrange(""https://docs.google.com/spreadsheets/d/1d2vevQ_7D_v35q4wCQ4RpQ_IPoTwEMB9Yp6ymwlPqew/edit?gid=984458430#gid=984458430"", ""'replication success'!A:M""), 13, FAlSE)"),"#N/A")</f>
        <v>#N/A</v>
      </c>
      <c r="BB585" s="61" t="str">
        <f>IFERROR(__xludf.DUMMYFUNCTION("REGEXREPLACE(G585, ""_[a-z]{1,2}$"", """")"),"additional_studies85")</f>
        <v>additional_studies85</v>
      </c>
      <c r="BC585" s="56" t="s">
        <v>3204</v>
      </c>
      <c r="BD585" s="341" t="s">
        <v>692</v>
      </c>
      <c r="BE585" s="342"/>
      <c r="BF585" s="342"/>
      <c r="BG585" s="342"/>
      <c r="BH585" s="342"/>
      <c r="BI585" s="342"/>
      <c r="BJ585" s="342"/>
      <c r="BK585" s="342"/>
      <c r="BL585" s="342"/>
      <c r="BM585" s="342"/>
      <c r="BN585" s="342"/>
      <c r="BO585" s="342"/>
      <c r="BP585" s="342"/>
      <c r="BQ585" s="342"/>
      <c r="BR585" s="342"/>
      <c r="BS585" s="342"/>
      <c r="BT585" s="342"/>
      <c r="BU585" s="342"/>
      <c r="BV585" s="342"/>
      <c r="BW585" s="342"/>
      <c r="BX585" s="342"/>
      <c r="BY585" s="342"/>
      <c r="BZ585" s="342"/>
      <c r="CA585" s="342"/>
      <c r="CB585" s="342"/>
      <c r="CC585" s="342"/>
      <c r="CD585" s="342"/>
      <c r="CE585" s="342"/>
      <c r="CF585" s="342"/>
      <c r="CG585" s="342"/>
      <c r="CH585" s="342"/>
      <c r="CI585" s="342"/>
      <c r="CJ585" s="342"/>
      <c r="CK585" s="342"/>
      <c r="CL585" s="342"/>
      <c r="CM585" s="342"/>
      <c r="CN585" s="342"/>
      <c r="CO585" s="342"/>
      <c r="CP585" s="342"/>
      <c r="CQ585" s="342"/>
      <c r="CR585" s="342"/>
      <c r="CS585" s="342"/>
      <c r="CT585" s="342"/>
      <c r="CU585" s="342"/>
      <c r="CV585" s="342"/>
      <c r="CW585" s="342"/>
      <c r="CX585" s="342"/>
      <c r="CY585" s="342"/>
      <c r="CZ585" s="342"/>
      <c r="DA585" s="342"/>
      <c r="DB585" s="342"/>
      <c r="DC585" s="342"/>
      <c r="DD585" s="342"/>
      <c r="DE585" s="342"/>
      <c r="DF585" s="342"/>
      <c r="DG585" s="342"/>
      <c r="DH585" s="342"/>
      <c r="DI585" s="342"/>
      <c r="DJ585" s="342"/>
      <c r="DK585" s="342"/>
      <c r="DL585" s="342"/>
    </row>
    <row r="586" ht="20.25" customHeight="1">
      <c r="A586" s="354">
        <v>586.0</v>
      </c>
      <c r="B586" s="341" t="s">
        <v>152</v>
      </c>
      <c r="C586" s="341" t="s">
        <v>115</v>
      </c>
      <c r="D586" s="341" t="s">
        <v>990</v>
      </c>
      <c r="E586" s="342"/>
      <c r="F586" s="360" t="s">
        <v>3198</v>
      </c>
      <c r="G586" s="47" t="s">
        <v>3262</v>
      </c>
      <c r="H586" s="47" t="s">
        <v>144</v>
      </c>
      <c r="I586" s="344">
        <v>45489.0</v>
      </c>
      <c r="J586" s="511">
        <v>45636.0</v>
      </c>
      <c r="K586" s="49"/>
      <c r="L586" s="56" t="s">
        <v>3246</v>
      </c>
      <c r="M586" s="47" t="s">
        <v>3181</v>
      </c>
      <c r="N586" s="47" t="s">
        <v>3182</v>
      </c>
      <c r="O586" s="508">
        <v>5.0</v>
      </c>
      <c r="P586" s="51" t="s">
        <v>3183</v>
      </c>
      <c r="Q586" s="104" t="str">
        <f t="array" ref="Q586"> if(iserror(MATCH(V586, 'File Links'!C:C, 0)), "N/A", HYPERLINK(INDEX('File Links'!B:B, MATCH(P586, 'File Links'!C:C, 0))))</f>
        <v>https://drive.google.com/file/d/1BtYypYyY-PzT4y8FLAgHXAyFQwMz4y2O/view?usp=drivesdk</v>
      </c>
      <c r="R586" s="47" t="s">
        <v>3184</v>
      </c>
      <c r="S586" s="47" t="s">
        <v>3185</v>
      </c>
      <c r="T586" s="49"/>
      <c r="U586" s="386">
        <v>5.0</v>
      </c>
      <c r="V586" s="360" t="str">
        <f t="shared" si="35"/>
        <v>10.20982--tqmp.20.1.r001.pdf</v>
      </c>
      <c r="W586" s="47" t="s">
        <v>209</v>
      </c>
      <c r="X586" s="54" t="str">
        <f t="array" ref="X586"> if(iserror(MATCH(V586, 'File Links'!C:C, 0)), "N/A", HYPERLINK(INDEX('File Links'!B:B, MATCH(V586, 'File Links'!C:C, 0))))</f>
        <v>https://drive.google.com/file/d/1vDgLj9eoT-VnSILsFHRQ12VvtSFTsWUV/view?usp=drivesdk</v>
      </c>
      <c r="Y586" s="49"/>
      <c r="Z586" s="47" t="s">
        <v>148</v>
      </c>
      <c r="AA586" s="49" t="s">
        <v>3200</v>
      </c>
      <c r="AB586" s="49" t="s">
        <v>3187</v>
      </c>
      <c r="AC586" s="47" t="s">
        <v>3263</v>
      </c>
      <c r="AD586" s="47" t="s">
        <v>3264</v>
      </c>
      <c r="AE586" s="508">
        <v>8.0</v>
      </c>
      <c r="AF586" s="508">
        <v>24.0</v>
      </c>
      <c r="AG586" s="347" t="s">
        <v>3265</v>
      </c>
      <c r="AH586" s="343" t="s">
        <v>134</v>
      </c>
      <c r="AI586" s="500" t="s">
        <v>3255</v>
      </c>
      <c r="AJ586" s="508">
        <v>0.02</v>
      </c>
      <c r="AK586" s="360" t="s">
        <v>135</v>
      </c>
      <c r="AL586" s="47" t="s">
        <v>218</v>
      </c>
      <c r="AM586" s="49" t="s">
        <v>137</v>
      </c>
      <c r="AN586" s="500" t="s">
        <v>138</v>
      </c>
      <c r="AO586" s="508">
        <v>24.0</v>
      </c>
      <c r="AP586" s="891" t="s">
        <v>3266</v>
      </c>
      <c r="AQ586" s="47" t="s">
        <v>1031</v>
      </c>
      <c r="AR586" s="508">
        <v>8.0</v>
      </c>
      <c r="AS586" s="508">
        <v>0.42</v>
      </c>
      <c r="AT586" s="360" t="s">
        <v>172</v>
      </c>
      <c r="AU586" s="360" t="s">
        <v>186</v>
      </c>
      <c r="AV586" s="46" t="s">
        <v>137</v>
      </c>
      <c r="AW586" s="56" t="s">
        <v>138</v>
      </c>
      <c r="AX586" s="46" t="s">
        <v>143</v>
      </c>
      <c r="AY586" s="61" t="str">
        <f>IFERROR(__xludf.DUMMYFUNCTION("vlookup(BB586,importrange(""https://docs.google.com/spreadsheets/d/1d2vevQ_7D_v35q4wCQ4RpQ_IPoTwEMB9Yp6ymwlPqew/edit?gid=984458430#gid=984458430"", ""'replication success'!A:K""), 11, FAlSE)"),"#N/A")</f>
        <v>#N/A</v>
      </c>
      <c r="AZ586" s="61" t="str">
        <f>IFERROR(__xludf.DUMMYFUNCTION("vlookup(BB586,importrange(""https://docs.google.com/spreadsheets/d/1d2vevQ_7D_v35q4wCQ4RpQ_IPoTwEMB9Yp6ymwlPqew/edit?gid=984458430#gid=984458430"", ""'replication success'!A:M""), 12, FAlSE)"),"#N/A")</f>
        <v>#N/A</v>
      </c>
      <c r="BA586" s="61" t="str">
        <f>IFERROR(__xludf.DUMMYFUNCTION("vlookup(BB586,importrange(""https://docs.google.com/spreadsheets/d/1d2vevQ_7D_v35q4wCQ4RpQ_IPoTwEMB9Yp6ymwlPqew/edit?gid=984458430#gid=984458430"", ""'replication success'!A:M""), 13, FAlSE)"),"#N/A")</f>
        <v>#N/A</v>
      </c>
      <c r="BB586" s="61" t="str">
        <f>IFERROR(__xludf.DUMMYFUNCTION("REGEXREPLACE(G586, ""_[a-z]{1,2}$"", """")"),"additional_studies85")</f>
        <v>additional_studies85</v>
      </c>
      <c r="BC586" s="56" t="s">
        <v>3204</v>
      </c>
      <c r="BD586" s="341" t="s">
        <v>692</v>
      </c>
      <c r="BE586" s="342"/>
      <c r="BF586" s="342"/>
      <c r="BG586" s="342"/>
      <c r="BH586" s="342"/>
      <c r="BI586" s="342"/>
      <c r="BJ586" s="342"/>
      <c r="BK586" s="342"/>
      <c r="BL586" s="342"/>
      <c r="BM586" s="342"/>
      <c r="BN586" s="342"/>
      <c r="BO586" s="342"/>
      <c r="BP586" s="342"/>
      <c r="BQ586" s="342"/>
      <c r="BR586" s="342"/>
      <c r="BS586" s="342"/>
      <c r="BT586" s="342"/>
      <c r="BU586" s="342"/>
      <c r="BV586" s="342"/>
      <c r="BW586" s="342"/>
      <c r="BX586" s="342"/>
      <c r="BY586" s="342"/>
      <c r="BZ586" s="342"/>
      <c r="CA586" s="342"/>
      <c r="CB586" s="342"/>
      <c r="CC586" s="342"/>
      <c r="CD586" s="342"/>
      <c r="CE586" s="342"/>
      <c r="CF586" s="342"/>
      <c r="CG586" s="342"/>
      <c r="CH586" s="342"/>
      <c r="CI586" s="342"/>
      <c r="CJ586" s="342"/>
      <c r="CK586" s="342"/>
      <c r="CL586" s="342"/>
      <c r="CM586" s="342"/>
      <c r="CN586" s="342"/>
      <c r="CO586" s="342"/>
      <c r="CP586" s="342"/>
      <c r="CQ586" s="342"/>
      <c r="CR586" s="342"/>
      <c r="CS586" s="342"/>
      <c r="CT586" s="342"/>
      <c r="CU586" s="342"/>
      <c r="CV586" s="342"/>
      <c r="CW586" s="342"/>
      <c r="CX586" s="342"/>
      <c r="CY586" s="342"/>
      <c r="CZ586" s="342"/>
      <c r="DA586" s="342"/>
      <c r="DB586" s="342"/>
      <c r="DC586" s="342"/>
      <c r="DD586" s="342"/>
      <c r="DE586" s="342"/>
      <c r="DF586" s="342"/>
      <c r="DG586" s="342"/>
      <c r="DH586" s="342"/>
      <c r="DI586" s="342"/>
      <c r="DJ586" s="342"/>
      <c r="DK586" s="342"/>
      <c r="DL586" s="342"/>
    </row>
    <row r="587" ht="20.25" customHeight="1">
      <c r="A587" s="73">
        <v>587.0</v>
      </c>
      <c r="B587" s="72" t="s">
        <v>152</v>
      </c>
      <c r="C587" s="72" t="s">
        <v>115</v>
      </c>
      <c r="D587" s="72" t="s">
        <v>2930</v>
      </c>
      <c r="E587" s="73"/>
      <c r="F587" s="93" t="s">
        <v>3267</v>
      </c>
      <c r="G587" s="72" t="s">
        <v>3268</v>
      </c>
      <c r="H587" s="72" t="s">
        <v>2933</v>
      </c>
      <c r="I587" s="892">
        <v>45489.0</v>
      </c>
      <c r="J587" s="892">
        <v>45635.0</v>
      </c>
      <c r="K587" s="72" t="s">
        <v>3269</v>
      </c>
      <c r="L587" s="73"/>
      <c r="M587" s="72" t="s">
        <v>3270</v>
      </c>
      <c r="N587" s="72" t="s">
        <v>3271</v>
      </c>
      <c r="O587" s="72">
        <v>1.0</v>
      </c>
      <c r="P587" s="72" t="s">
        <v>3272</v>
      </c>
      <c r="Q587" s="893" t="str">
        <f t="array" ref="Q587"> if(iserror(MATCH(V587, 'File Links'!C:C, 0)), "N/A", HYPERLINK(INDEX('File Links'!B:B, MATCH(P587, 'File Links'!C:C, 0))))</f>
        <v>https://drive.google.com/file/d/1UoK9lGyVfG2aSVu9UX62d1KXmmkZeMsj/view?usp=drivesdk</v>
      </c>
      <c r="R587" s="72" t="s">
        <v>3273</v>
      </c>
      <c r="S587" s="72" t="s">
        <v>3274</v>
      </c>
      <c r="T587" s="73"/>
      <c r="U587" s="72">
        <v>1.0</v>
      </c>
      <c r="V587" s="95" t="str">
        <f t="shared" si="35"/>
        <v>10.1093--applin--amae042.pdf</v>
      </c>
      <c r="W587" s="72" t="s">
        <v>209</v>
      </c>
      <c r="X587" s="894" t="str">
        <f t="array" ref="X587"> if(iserror(MATCH(V587, 'File Links'!C:C, 0)), "N/A", HYPERLINK(INDEX('File Links'!B:B, MATCH(V587, 'File Links'!C:C, 0))))</f>
        <v>https://drive.google.com/file/d/1VIxHSn4IKzp_dw4xNX6RMxFlMFrB02Na/view?usp=drivesdk</v>
      </c>
      <c r="Y587" s="73"/>
      <c r="Z587" s="72" t="s">
        <v>295</v>
      </c>
      <c r="AA587" s="72" t="s">
        <v>3275</v>
      </c>
      <c r="AB587" s="72" t="s">
        <v>3276</v>
      </c>
      <c r="AC587" s="72" t="s">
        <v>3277</v>
      </c>
      <c r="AD587" s="72" t="s">
        <v>3278</v>
      </c>
      <c r="AE587" s="72">
        <v>16.0</v>
      </c>
      <c r="AF587" s="72">
        <v>551.0</v>
      </c>
      <c r="AG587" s="72">
        <v>-3.22</v>
      </c>
      <c r="AH587" s="72" t="s">
        <v>361</v>
      </c>
      <c r="AI587" s="72" t="s">
        <v>182</v>
      </c>
      <c r="AJ587" s="72">
        <v>0.001</v>
      </c>
      <c r="AK587" s="93" t="s">
        <v>135</v>
      </c>
      <c r="AL587" s="72" t="s">
        <v>186</v>
      </c>
      <c r="AM587" s="72" t="s">
        <v>141</v>
      </c>
      <c r="AN587" s="79" t="s">
        <v>138</v>
      </c>
      <c r="AO587" s="72">
        <v>351.0</v>
      </c>
      <c r="AP587" s="72">
        <v>-0.15</v>
      </c>
      <c r="AQ587" s="72" t="s">
        <v>361</v>
      </c>
      <c r="AR587" s="72" t="s">
        <v>132</v>
      </c>
      <c r="AS587" s="72">
        <v>0.607</v>
      </c>
      <c r="AT587" s="93" t="s">
        <v>172</v>
      </c>
      <c r="AU587" s="93" t="s">
        <v>186</v>
      </c>
      <c r="AV587" s="79" t="s">
        <v>141</v>
      </c>
      <c r="AW587" s="92"/>
      <c r="AX587" s="93" t="s">
        <v>438</v>
      </c>
      <c r="AY587" s="61" t="str">
        <f>IFERROR(__xludf.DUMMYFUNCTION("vlookup(BB587,importrange(""https://docs.google.com/spreadsheets/d/1d2vevQ_7D_v35q4wCQ4RpQ_IPoTwEMB9Yp6ymwlPqew/edit?gid=984458430#gid=984458430"", ""'replication success'!A:K""), 11, FAlSE)"),"#N/A")</f>
        <v>#N/A</v>
      </c>
      <c r="AZ587" s="61" t="str">
        <f>IFERROR(__xludf.DUMMYFUNCTION("vlookup(BB587,importrange(""https://docs.google.com/spreadsheets/d/1d2vevQ_7D_v35q4wCQ4RpQ_IPoTwEMB9Yp6ymwlPqew/edit?gid=984458430#gid=984458430"", ""'replication success'!A:M""), 12, FAlSE)"),"#N/A")</f>
        <v>#N/A</v>
      </c>
      <c r="BA587" s="61" t="str">
        <f>IFERROR(__xludf.DUMMYFUNCTION("vlookup(BB587,importrange(""https://docs.google.com/spreadsheets/d/1d2vevQ_7D_v35q4wCQ4RpQ_IPoTwEMB9Yp6ymwlPqew/edit?gid=984458430#gid=984458430"", ""'replication success'!A:M""), 13, FAlSE)"),"#N/A")</f>
        <v>#N/A</v>
      </c>
      <c r="BB587" s="61" t="str">
        <f>IFERROR(__xludf.DUMMYFUNCTION("REGEXREPLACE(G587, ""_[a-z]{1,2}$"", """")"),"additional_studies86")</f>
        <v>additional_studies86</v>
      </c>
      <c r="BC587" s="73"/>
      <c r="BD587" s="93" t="s">
        <v>692</v>
      </c>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c r="CA587" s="92"/>
      <c r="CB587" s="92"/>
      <c r="CC587" s="92"/>
      <c r="CD587" s="92"/>
      <c r="CE587" s="92"/>
      <c r="CF587" s="92"/>
      <c r="CG587" s="92"/>
      <c r="CH587" s="92"/>
      <c r="CI587" s="92"/>
      <c r="CJ587" s="92"/>
      <c r="CK587" s="92"/>
      <c r="CL587" s="92"/>
      <c r="CM587" s="92"/>
      <c r="CN587" s="92"/>
      <c r="CO587" s="92"/>
      <c r="CP587" s="92"/>
      <c r="CQ587" s="92"/>
      <c r="CR587" s="92"/>
      <c r="CS587" s="92"/>
      <c r="CT587" s="92"/>
      <c r="CU587" s="92"/>
      <c r="CV587" s="92"/>
      <c r="CW587" s="92"/>
      <c r="CX587" s="92"/>
      <c r="CY587" s="92"/>
      <c r="CZ587" s="92"/>
      <c r="DA587" s="92"/>
      <c r="DB587" s="92"/>
      <c r="DC587" s="92"/>
      <c r="DD587" s="92"/>
      <c r="DE587" s="92"/>
      <c r="DF587" s="92"/>
      <c r="DG587" s="92"/>
      <c r="DH587" s="92"/>
      <c r="DI587" s="92"/>
      <c r="DJ587" s="92"/>
      <c r="DK587" s="92"/>
      <c r="DL587" s="92"/>
    </row>
    <row r="588" ht="20.25" customHeight="1">
      <c r="A588" s="73">
        <v>588.0</v>
      </c>
      <c r="B588" s="72" t="s">
        <v>152</v>
      </c>
      <c r="C588" s="72" t="s">
        <v>115</v>
      </c>
      <c r="D588" s="72" t="s">
        <v>2930</v>
      </c>
      <c r="E588" s="73"/>
      <c r="F588" s="93" t="s">
        <v>3267</v>
      </c>
      <c r="G588" s="72" t="s">
        <v>3279</v>
      </c>
      <c r="H588" s="72" t="s">
        <v>2933</v>
      </c>
      <c r="I588" s="892">
        <v>45489.0</v>
      </c>
      <c r="J588" s="892">
        <v>45635.0</v>
      </c>
      <c r="K588" s="72" t="s">
        <v>3280</v>
      </c>
      <c r="L588" s="73"/>
      <c r="M588" s="72" t="s">
        <v>3270</v>
      </c>
      <c r="N588" s="72" t="s">
        <v>3271</v>
      </c>
      <c r="O588" s="72">
        <v>1.0</v>
      </c>
      <c r="P588" s="72" t="s">
        <v>3272</v>
      </c>
      <c r="Q588" s="893" t="str">
        <f t="array" ref="Q588"> if(iserror(MATCH(V588, 'File Links'!C:C, 0)), "N/A", HYPERLINK(INDEX('File Links'!B:B, MATCH(P588, 'File Links'!C:C, 0))))</f>
        <v>https://drive.google.com/file/d/1UoK9lGyVfG2aSVu9UX62d1KXmmkZeMsj/view?usp=drivesdk</v>
      </c>
      <c r="R588" s="72" t="s">
        <v>3281</v>
      </c>
      <c r="S588" s="72" t="s">
        <v>3274</v>
      </c>
      <c r="T588" s="73"/>
      <c r="U588" s="72">
        <v>1.0</v>
      </c>
      <c r="V588" s="95" t="str">
        <f t="shared" si="35"/>
        <v>10.1093--applin--amae042.pdf</v>
      </c>
      <c r="W588" s="72" t="s">
        <v>209</v>
      </c>
      <c r="X588" s="894" t="str">
        <f t="array" ref="X588"> if(iserror(MATCH(V588, 'File Links'!C:C, 0)), "N/A", HYPERLINK(INDEX('File Links'!B:B, MATCH(V588, 'File Links'!C:C, 0))))</f>
        <v>https://drive.google.com/file/d/1VIxHSn4IKzp_dw4xNX6RMxFlMFrB02Na/view?usp=drivesdk</v>
      </c>
      <c r="Y588" s="73"/>
      <c r="Z588" s="72" t="s">
        <v>295</v>
      </c>
      <c r="AA588" s="72" t="s">
        <v>3275</v>
      </c>
      <c r="AB588" s="72" t="s">
        <v>3276</v>
      </c>
      <c r="AC588" s="72" t="s">
        <v>3282</v>
      </c>
      <c r="AD588" s="72" t="s">
        <v>3282</v>
      </c>
      <c r="AE588" s="72">
        <v>17.0</v>
      </c>
      <c r="AF588" s="72">
        <v>551.0</v>
      </c>
      <c r="AG588" s="72">
        <v>-0.99</v>
      </c>
      <c r="AH588" s="72" t="s">
        <v>361</v>
      </c>
      <c r="AI588" s="72" t="s">
        <v>182</v>
      </c>
      <c r="AJ588" s="72">
        <v>0.001</v>
      </c>
      <c r="AK588" s="93" t="s">
        <v>135</v>
      </c>
      <c r="AL588" s="72" t="s">
        <v>186</v>
      </c>
      <c r="AM588" s="72" t="s">
        <v>141</v>
      </c>
      <c r="AN588" s="79" t="s">
        <v>138</v>
      </c>
      <c r="AO588" s="72">
        <v>351.0</v>
      </c>
      <c r="AP588" s="72">
        <v>-1.01</v>
      </c>
      <c r="AQ588" s="72" t="s">
        <v>361</v>
      </c>
      <c r="AR588" s="72" t="s">
        <v>132</v>
      </c>
      <c r="AS588" s="72">
        <v>0.001</v>
      </c>
      <c r="AT588" s="93" t="s">
        <v>135</v>
      </c>
      <c r="AU588" s="93" t="s">
        <v>186</v>
      </c>
      <c r="AV588" s="79" t="s">
        <v>141</v>
      </c>
      <c r="AW588" s="92"/>
      <c r="AX588" s="93" t="s">
        <v>438</v>
      </c>
      <c r="AY588" s="61" t="str">
        <f>IFERROR(__xludf.DUMMYFUNCTION("vlookup(BB588,importrange(""https://docs.google.com/spreadsheets/d/1d2vevQ_7D_v35q4wCQ4RpQ_IPoTwEMB9Yp6ymwlPqew/edit?gid=984458430#gid=984458430"", ""'replication success'!A:K""), 11, FAlSE)"),"#N/A")</f>
        <v>#N/A</v>
      </c>
      <c r="AZ588" s="61" t="str">
        <f>IFERROR(__xludf.DUMMYFUNCTION("vlookup(BB588,importrange(""https://docs.google.com/spreadsheets/d/1d2vevQ_7D_v35q4wCQ4RpQ_IPoTwEMB9Yp6ymwlPqew/edit?gid=984458430#gid=984458430"", ""'replication success'!A:M""), 12, FAlSE)"),"#N/A")</f>
        <v>#N/A</v>
      </c>
      <c r="BA588" s="61" t="str">
        <f>IFERROR(__xludf.DUMMYFUNCTION("vlookup(BB588,importrange(""https://docs.google.com/spreadsheets/d/1d2vevQ_7D_v35q4wCQ4RpQ_IPoTwEMB9Yp6ymwlPqew/edit?gid=984458430#gid=984458430"", ""'replication success'!A:M""), 13, FAlSE)"),"#N/A")</f>
        <v>#N/A</v>
      </c>
      <c r="BB588" s="61" t="str">
        <f>IFERROR(__xludf.DUMMYFUNCTION("REGEXREPLACE(G588, ""_[a-z]{1,2}$"", """")"),"additional_studies86")</f>
        <v>additional_studies86</v>
      </c>
      <c r="BC588" s="73"/>
      <c r="BD588" s="93" t="s">
        <v>692</v>
      </c>
      <c r="BE588" s="92"/>
      <c r="BF588" s="92"/>
      <c r="BG588" s="92"/>
      <c r="BH588" s="92"/>
      <c r="BI588" s="92"/>
      <c r="BJ588" s="92"/>
      <c r="BK588" s="92"/>
      <c r="BL588" s="92"/>
      <c r="BM588" s="92"/>
      <c r="BN588" s="92"/>
      <c r="BO588" s="92"/>
      <c r="BP588" s="92"/>
      <c r="BQ588" s="92"/>
      <c r="BR588" s="92"/>
      <c r="BS588" s="92"/>
      <c r="BT588" s="92"/>
      <c r="BU588" s="92"/>
      <c r="BV588" s="92"/>
      <c r="BW588" s="92"/>
      <c r="BX588" s="92"/>
      <c r="BY588" s="92"/>
      <c r="BZ588" s="92"/>
      <c r="CA588" s="92"/>
      <c r="CB588" s="92"/>
      <c r="CC588" s="92"/>
      <c r="CD588" s="92"/>
      <c r="CE588" s="92"/>
      <c r="CF588" s="92"/>
      <c r="CG588" s="92"/>
      <c r="CH588" s="92"/>
      <c r="CI588" s="92"/>
      <c r="CJ588" s="92"/>
      <c r="CK588" s="92"/>
      <c r="CL588" s="92"/>
      <c r="CM588" s="92"/>
      <c r="CN588" s="92"/>
      <c r="CO588" s="92"/>
      <c r="CP588" s="92"/>
      <c r="CQ588" s="92"/>
      <c r="CR588" s="92"/>
      <c r="CS588" s="92"/>
      <c r="CT588" s="92"/>
      <c r="CU588" s="92"/>
      <c r="CV588" s="92"/>
      <c r="CW588" s="92"/>
      <c r="CX588" s="92"/>
      <c r="CY588" s="92"/>
      <c r="CZ588" s="92"/>
      <c r="DA588" s="92"/>
      <c r="DB588" s="92"/>
      <c r="DC588" s="92"/>
      <c r="DD588" s="92"/>
      <c r="DE588" s="92"/>
      <c r="DF588" s="92"/>
      <c r="DG588" s="92"/>
      <c r="DH588" s="92"/>
      <c r="DI588" s="92"/>
      <c r="DJ588" s="92"/>
      <c r="DK588" s="92"/>
      <c r="DL588" s="92"/>
    </row>
    <row r="589" ht="20.25" customHeight="1">
      <c r="A589" s="73">
        <v>589.0</v>
      </c>
      <c r="B589" s="72" t="s">
        <v>152</v>
      </c>
      <c r="C589" s="72" t="s">
        <v>115</v>
      </c>
      <c r="D589" s="72" t="s">
        <v>2930</v>
      </c>
      <c r="E589" s="73"/>
      <c r="F589" s="93" t="s">
        <v>3267</v>
      </c>
      <c r="G589" s="72" t="s">
        <v>3283</v>
      </c>
      <c r="H589" s="72" t="s">
        <v>2933</v>
      </c>
      <c r="I589" s="892">
        <v>45489.0</v>
      </c>
      <c r="J589" s="892">
        <v>45635.0</v>
      </c>
      <c r="K589" s="72" t="s">
        <v>3284</v>
      </c>
      <c r="L589" s="73"/>
      <c r="M589" s="72" t="s">
        <v>3270</v>
      </c>
      <c r="N589" s="72" t="s">
        <v>3271</v>
      </c>
      <c r="O589" s="72">
        <v>1.0</v>
      </c>
      <c r="P589" s="72" t="s">
        <v>3272</v>
      </c>
      <c r="Q589" s="893" t="str">
        <f t="array" ref="Q589"> if(iserror(MATCH(V589, 'File Links'!C:C, 0)), "N/A", HYPERLINK(INDEX('File Links'!B:B, MATCH(P589, 'File Links'!C:C, 0))))</f>
        <v>https://drive.google.com/file/d/1UoK9lGyVfG2aSVu9UX62d1KXmmkZeMsj/view?usp=drivesdk</v>
      </c>
      <c r="R589" s="72" t="s">
        <v>3285</v>
      </c>
      <c r="S589" s="72" t="s">
        <v>3274</v>
      </c>
      <c r="T589" s="73"/>
      <c r="U589" s="72">
        <v>1.0</v>
      </c>
      <c r="V589" s="95" t="str">
        <f t="shared" si="35"/>
        <v>10.1093--applin--amae042.pdf</v>
      </c>
      <c r="W589" s="72" t="s">
        <v>209</v>
      </c>
      <c r="X589" s="894" t="str">
        <f t="array" ref="X589"> if(iserror(MATCH(V589, 'File Links'!C:C, 0)), "N/A", HYPERLINK(INDEX('File Links'!B:B, MATCH(V589, 'File Links'!C:C, 0))))</f>
        <v>https://drive.google.com/file/d/1VIxHSn4IKzp_dw4xNX6RMxFlMFrB02Na/view?usp=drivesdk</v>
      </c>
      <c r="Y589" s="73"/>
      <c r="Z589" s="72" t="s">
        <v>295</v>
      </c>
      <c r="AA589" s="72" t="s">
        <v>3275</v>
      </c>
      <c r="AB589" s="72" t="s">
        <v>3276</v>
      </c>
      <c r="AC589" s="72" t="s">
        <v>3286</v>
      </c>
      <c r="AD589" s="72" t="s">
        <v>3287</v>
      </c>
      <c r="AE589" s="72">
        <v>18.0</v>
      </c>
      <c r="AF589" s="72">
        <v>556.0</v>
      </c>
      <c r="AG589" s="72">
        <v>-3.56</v>
      </c>
      <c r="AH589" s="72" t="s">
        <v>361</v>
      </c>
      <c r="AI589" s="72" t="s">
        <v>3255</v>
      </c>
      <c r="AJ589" s="72">
        <v>0.001</v>
      </c>
      <c r="AK589" s="93" t="s">
        <v>135</v>
      </c>
      <c r="AL589" s="72" t="s">
        <v>186</v>
      </c>
      <c r="AM589" s="72" t="s">
        <v>141</v>
      </c>
      <c r="AN589" s="79" t="s">
        <v>138</v>
      </c>
      <c r="AO589" s="72">
        <v>351.0</v>
      </c>
      <c r="AP589" s="72">
        <v>1.2</v>
      </c>
      <c r="AQ589" s="72" t="s">
        <v>361</v>
      </c>
      <c r="AR589" s="72" t="s">
        <v>628</v>
      </c>
      <c r="AS589" s="72">
        <v>0.001</v>
      </c>
      <c r="AT589" s="93" t="s">
        <v>135</v>
      </c>
      <c r="AU589" s="93" t="s">
        <v>186</v>
      </c>
      <c r="AV589" s="79" t="s">
        <v>141</v>
      </c>
      <c r="AW589" s="92"/>
      <c r="AX589" s="93" t="s">
        <v>438</v>
      </c>
      <c r="AY589" s="61" t="str">
        <f>IFERROR(__xludf.DUMMYFUNCTION("vlookup(BB589,importrange(""https://docs.google.com/spreadsheets/d/1d2vevQ_7D_v35q4wCQ4RpQ_IPoTwEMB9Yp6ymwlPqew/edit?gid=984458430#gid=984458430"", ""'replication success'!A:K""), 11, FAlSE)"),"#N/A")</f>
        <v>#N/A</v>
      </c>
      <c r="AZ589" s="61" t="str">
        <f>IFERROR(__xludf.DUMMYFUNCTION("vlookup(BB589,importrange(""https://docs.google.com/spreadsheets/d/1d2vevQ_7D_v35q4wCQ4RpQ_IPoTwEMB9Yp6ymwlPqew/edit?gid=984458430#gid=984458430"", ""'replication success'!A:M""), 12, FAlSE)"),"#N/A")</f>
        <v>#N/A</v>
      </c>
      <c r="BA589" s="61" t="str">
        <f>IFERROR(__xludf.DUMMYFUNCTION("vlookup(BB589,importrange(""https://docs.google.com/spreadsheets/d/1d2vevQ_7D_v35q4wCQ4RpQ_IPoTwEMB9Yp6ymwlPqew/edit?gid=984458430#gid=984458430"", ""'replication success'!A:M""), 13, FAlSE)"),"#N/A")</f>
        <v>#N/A</v>
      </c>
      <c r="BB589" s="61" t="str">
        <f>IFERROR(__xludf.DUMMYFUNCTION("REGEXREPLACE(G589, ""_[a-z]{1,2}$"", """")"),"additional_studies86")</f>
        <v>additional_studies86</v>
      </c>
      <c r="BC589" s="73"/>
      <c r="BD589" s="93" t="s">
        <v>692</v>
      </c>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c r="CA589" s="92"/>
      <c r="CB589" s="92"/>
      <c r="CC589" s="92"/>
      <c r="CD589" s="92"/>
      <c r="CE589" s="92"/>
      <c r="CF589" s="92"/>
      <c r="CG589" s="92"/>
      <c r="CH589" s="92"/>
      <c r="CI589" s="92"/>
      <c r="CJ589" s="92"/>
      <c r="CK589" s="92"/>
      <c r="CL589" s="92"/>
      <c r="CM589" s="92"/>
      <c r="CN589" s="92"/>
      <c r="CO589" s="92"/>
      <c r="CP589" s="92"/>
      <c r="CQ589" s="92"/>
      <c r="CR589" s="92"/>
      <c r="CS589" s="92"/>
      <c r="CT589" s="92"/>
      <c r="CU589" s="92"/>
      <c r="CV589" s="92"/>
      <c r="CW589" s="92"/>
      <c r="CX589" s="92"/>
      <c r="CY589" s="92"/>
      <c r="CZ589" s="92"/>
      <c r="DA589" s="92"/>
      <c r="DB589" s="92"/>
      <c r="DC589" s="92"/>
      <c r="DD589" s="92"/>
      <c r="DE589" s="92"/>
      <c r="DF589" s="92"/>
      <c r="DG589" s="92"/>
      <c r="DH589" s="92"/>
      <c r="DI589" s="92"/>
      <c r="DJ589" s="92"/>
      <c r="DK589" s="92"/>
      <c r="DL589" s="92"/>
    </row>
    <row r="590" ht="20.25" customHeight="1">
      <c r="A590" s="73">
        <v>590.0</v>
      </c>
      <c r="B590" s="72" t="s">
        <v>152</v>
      </c>
      <c r="C590" s="72" t="s">
        <v>115</v>
      </c>
      <c r="D590" s="72" t="s">
        <v>2930</v>
      </c>
      <c r="E590" s="73"/>
      <c r="F590" s="93" t="s">
        <v>3267</v>
      </c>
      <c r="G590" s="72" t="s">
        <v>3288</v>
      </c>
      <c r="H590" s="72" t="s">
        <v>2933</v>
      </c>
      <c r="I590" s="892">
        <v>45489.0</v>
      </c>
      <c r="J590" s="892">
        <v>45635.0</v>
      </c>
      <c r="K590" s="72" t="s">
        <v>3280</v>
      </c>
      <c r="L590" s="73"/>
      <c r="M590" s="72" t="s">
        <v>3270</v>
      </c>
      <c r="N590" s="72" t="s">
        <v>3271</v>
      </c>
      <c r="O590" s="72">
        <v>1.0</v>
      </c>
      <c r="P590" s="72" t="s">
        <v>3272</v>
      </c>
      <c r="Q590" s="893" t="str">
        <f t="array" ref="Q590"> if(iserror(MATCH(V590, 'File Links'!C:C, 0)), "N/A", HYPERLINK(INDEX('File Links'!B:B, MATCH(P590, 'File Links'!C:C, 0))))</f>
        <v>https://drive.google.com/file/d/1UoK9lGyVfG2aSVu9UX62d1KXmmkZeMsj/view?usp=drivesdk</v>
      </c>
      <c r="R590" s="72" t="s">
        <v>3285</v>
      </c>
      <c r="S590" s="72" t="s">
        <v>3274</v>
      </c>
      <c r="T590" s="73"/>
      <c r="U590" s="72">
        <v>1.0</v>
      </c>
      <c r="V590" s="95" t="str">
        <f t="shared" si="35"/>
        <v>10.1093--applin--amae042.pdf</v>
      </c>
      <c r="W590" s="72" t="s">
        <v>209</v>
      </c>
      <c r="X590" s="894" t="str">
        <f t="array" ref="X590"> if(iserror(MATCH(V590, 'File Links'!C:C, 0)), "N/A", HYPERLINK(INDEX('File Links'!B:B, MATCH(V590, 'File Links'!C:C, 0))))</f>
        <v>https://drive.google.com/file/d/1VIxHSn4IKzp_dw4xNX6RMxFlMFrB02Na/view?usp=drivesdk</v>
      </c>
      <c r="Y590" s="73"/>
      <c r="Z590" s="72" t="s">
        <v>295</v>
      </c>
      <c r="AA590" s="72" t="s">
        <v>3275</v>
      </c>
      <c r="AB590" s="72" t="s">
        <v>3276</v>
      </c>
      <c r="AC590" s="72" t="s">
        <v>3289</v>
      </c>
      <c r="AD590" s="72" t="s">
        <v>3289</v>
      </c>
      <c r="AE590" s="72">
        <v>19.0</v>
      </c>
      <c r="AF590" s="72">
        <v>556.0</v>
      </c>
      <c r="AG590" s="72">
        <v>1.26</v>
      </c>
      <c r="AH590" s="72" t="s">
        <v>361</v>
      </c>
      <c r="AI590" s="72" t="s">
        <v>3255</v>
      </c>
      <c r="AJ590" s="72">
        <v>0.001</v>
      </c>
      <c r="AK590" s="93" t="s">
        <v>135</v>
      </c>
      <c r="AL590" s="72" t="s">
        <v>186</v>
      </c>
      <c r="AM590" s="72" t="s">
        <v>141</v>
      </c>
      <c r="AN590" s="79" t="s">
        <v>138</v>
      </c>
      <c r="AO590" s="72">
        <v>351.0</v>
      </c>
      <c r="AP590" s="72">
        <v>-0.66</v>
      </c>
      <c r="AQ590" s="72" t="s">
        <v>361</v>
      </c>
      <c r="AR590" s="72" t="s">
        <v>628</v>
      </c>
      <c r="AS590" s="72">
        <v>0.001</v>
      </c>
      <c r="AT590" s="93" t="s">
        <v>135</v>
      </c>
      <c r="AU590" s="93" t="s">
        <v>186</v>
      </c>
      <c r="AV590" s="79" t="s">
        <v>141</v>
      </c>
      <c r="AW590" s="92"/>
      <c r="AX590" s="93" t="s">
        <v>438</v>
      </c>
      <c r="AY590" s="61" t="str">
        <f>IFERROR(__xludf.DUMMYFUNCTION("vlookup(BB590,importrange(""https://docs.google.com/spreadsheets/d/1d2vevQ_7D_v35q4wCQ4RpQ_IPoTwEMB9Yp6ymwlPqew/edit?gid=984458430#gid=984458430"", ""'replication success'!A:K""), 11, FAlSE)"),"#N/A")</f>
        <v>#N/A</v>
      </c>
      <c r="AZ590" s="61" t="str">
        <f>IFERROR(__xludf.DUMMYFUNCTION("vlookup(BB590,importrange(""https://docs.google.com/spreadsheets/d/1d2vevQ_7D_v35q4wCQ4RpQ_IPoTwEMB9Yp6ymwlPqew/edit?gid=984458430#gid=984458430"", ""'replication success'!A:M""), 12, FAlSE)"),"#N/A")</f>
        <v>#N/A</v>
      </c>
      <c r="BA590" s="61" t="str">
        <f>IFERROR(__xludf.DUMMYFUNCTION("vlookup(BB590,importrange(""https://docs.google.com/spreadsheets/d/1d2vevQ_7D_v35q4wCQ4RpQ_IPoTwEMB9Yp6ymwlPqew/edit?gid=984458430#gid=984458430"", ""'replication success'!A:M""), 13, FAlSE)"),"#N/A")</f>
        <v>#N/A</v>
      </c>
      <c r="BB590" s="61" t="str">
        <f>IFERROR(__xludf.DUMMYFUNCTION("REGEXREPLACE(G590, ""_[a-z]{1,2}$"", """")"),"additional_studies86")</f>
        <v>additional_studies86</v>
      </c>
      <c r="BC590" s="73"/>
      <c r="BD590" s="93" t="s">
        <v>692</v>
      </c>
      <c r="BE590" s="92"/>
      <c r="BF590" s="92"/>
      <c r="BG590" s="92"/>
      <c r="BH590" s="92"/>
      <c r="BI590" s="92"/>
      <c r="BJ590" s="92"/>
      <c r="BK590" s="92"/>
      <c r="BL590" s="92"/>
      <c r="BM590" s="92"/>
      <c r="BN590" s="92"/>
      <c r="BO590" s="92"/>
      <c r="BP590" s="92"/>
      <c r="BQ590" s="92"/>
      <c r="BR590" s="92"/>
      <c r="BS590" s="92"/>
      <c r="BT590" s="92"/>
      <c r="BU590" s="92"/>
      <c r="BV590" s="92"/>
      <c r="BW590" s="92"/>
      <c r="BX590" s="92"/>
      <c r="BY590" s="92"/>
      <c r="BZ590" s="92"/>
      <c r="CA590" s="92"/>
      <c r="CB590" s="92"/>
      <c r="CC590" s="92"/>
      <c r="CD590" s="92"/>
      <c r="CE590" s="92"/>
      <c r="CF590" s="92"/>
      <c r="CG590" s="92"/>
      <c r="CH590" s="92"/>
      <c r="CI590" s="92"/>
      <c r="CJ590" s="92"/>
      <c r="CK590" s="92"/>
      <c r="CL590" s="92"/>
      <c r="CM590" s="92"/>
      <c r="CN590" s="92"/>
      <c r="CO590" s="92"/>
      <c r="CP590" s="92"/>
      <c r="CQ590" s="92"/>
      <c r="CR590" s="92"/>
      <c r="CS590" s="92"/>
      <c r="CT590" s="92"/>
      <c r="CU590" s="92"/>
      <c r="CV590" s="92"/>
      <c r="CW590" s="92"/>
      <c r="CX590" s="92"/>
      <c r="CY590" s="92"/>
      <c r="CZ590" s="92"/>
      <c r="DA590" s="92"/>
      <c r="DB590" s="92"/>
      <c r="DC590" s="92"/>
      <c r="DD590" s="92"/>
      <c r="DE590" s="92"/>
      <c r="DF590" s="92"/>
      <c r="DG590" s="92"/>
      <c r="DH590" s="92"/>
      <c r="DI590" s="92"/>
      <c r="DJ590" s="92"/>
      <c r="DK590" s="92"/>
      <c r="DL590" s="92"/>
    </row>
    <row r="591" ht="20.25" customHeight="1">
      <c r="A591" s="73">
        <v>591.0</v>
      </c>
      <c r="B591" s="72" t="s">
        <v>152</v>
      </c>
      <c r="C591" s="72" t="s">
        <v>115</v>
      </c>
      <c r="D591" s="72" t="s">
        <v>2930</v>
      </c>
      <c r="E591" s="73"/>
      <c r="F591" s="93" t="s">
        <v>3267</v>
      </c>
      <c r="G591" s="72" t="s">
        <v>3290</v>
      </c>
      <c r="H591" s="72" t="s">
        <v>2933</v>
      </c>
      <c r="I591" s="892">
        <v>45489.0</v>
      </c>
      <c r="J591" s="892">
        <v>45635.0</v>
      </c>
      <c r="K591" s="72" t="s">
        <v>3291</v>
      </c>
      <c r="L591" s="73"/>
      <c r="M591" s="72" t="s">
        <v>3270</v>
      </c>
      <c r="N591" s="72" t="s">
        <v>3271</v>
      </c>
      <c r="O591" s="72">
        <v>1.0</v>
      </c>
      <c r="P591" s="72" t="s">
        <v>3272</v>
      </c>
      <c r="Q591" s="893" t="str">
        <f t="array" ref="Q591"> if(iserror(MATCH(V591, 'File Links'!C:C, 0)), "N/A", HYPERLINK(INDEX('File Links'!B:B, MATCH(P591, 'File Links'!C:C, 0))))</f>
        <v>https://drive.google.com/file/d/1UoK9lGyVfG2aSVu9UX62d1KXmmkZeMsj/view?usp=drivesdk</v>
      </c>
      <c r="R591" s="72" t="s">
        <v>3285</v>
      </c>
      <c r="S591" s="72" t="s">
        <v>3274</v>
      </c>
      <c r="T591" s="73"/>
      <c r="U591" s="72">
        <v>1.0</v>
      </c>
      <c r="V591" s="95" t="str">
        <f t="shared" si="35"/>
        <v>10.1093--applin--amae042.pdf</v>
      </c>
      <c r="W591" s="72" t="s">
        <v>209</v>
      </c>
      <c r="X591" s="894" t="str">
        <f t="array" ref="X591"> if(iserror(MATCH(V591, 'File Links'!C:C, 0)), "N/A", HYPERLINK(INDEX('File Links'!B:B, MATCH(V591, 'File Links'!C:C, 0))))</f>
        <v>https://drive.google.com/file/d/1VIxHSn4IKzp_dw4xNX6RMxFlMFrB02Na/view?usp=drivesdk</v>
      </c>
      <c r="Y591" s="73"/>
      <c r="Z591" s="72" t="s">
        <v>295</v>
      </c>
      <c r="AA591" s="72" t="s">
        <v>3275</v>
      </c>
      <c r="AB591" s="72" t="s">
        <v>3276</v>
      </c>
      <c r="AC591" s="72" t="s">
        <v>3292</v>
      </c>
      <c r="AD591" s="72" t="s">
        <v>3293</v>
      </c>
      <c r="AE591" s="72">
        <v>20.0</v>
      </c>
      <c r="AF591" s="72">
        <v>564.0</v>
      </c>
      <c r="AG591" s="72">
        <v>1.53</v>
      </c>
      <c r="AH591" s="72" t="s">
        <v>361</v>
      </c>
      <c r="AI591" s="72" t="s">
        <v>2413</v>
      </c>
      <c r="AJ591" s="72">
        <v>0.006</v>
      </c>
      <c r="AK591" s="93" t="s">
        <v>172</v>
      </c>
      <c r="AL591" s="72" t="s">
        <v>186</v>
      </c>
      <c r="AM591" s="72" t="s">
        <v>141</v>
      </c>
      <c r="AN591" s="79" t="s">
        <v>138</v>
      </c>
      <c r="AO591" s="72">
        <v>351.0</v>
      </c>
      <c r="AP591" s="72">
        <v>-0.43</v>
      </c>
      <c r="AQ591" s="72" t="s">
        <v>361</v>
      </c>
      <c r="AR591" s="72" t="s">
        <v>307</v>
      </c>
      <c r="AS591" s="72">
        <v>0.151</v>
      </c>
      <c r="AT591" s="93" t="s">
        <v>172</v>
      </c>
      <c r="AU591" s="93" t="s">
        <v>186</v>
      </c>
      <c r="AV591" s="79" t="s">
        <v>141</v>
      </c>
      <c r="AW591" s="92"/>
      <c r="AX591" s="93" t="s">
        <v>438</v>
      </c>
      <c r="AY591" s="61" t="str">
        <f>IFERROR(__xludf.DUMMYFUNCTION("vlookup(BB591,importrange(""https://docs.google.com/spreadsheets/d/1d2vevQ_7D_v35q4wCQ4RpQ_IPoTwEMB9Yp6ymwlPqew/edit?gid=984458430#gid=984458430"", ""'replication success'!A:K""), 11, FAlSE)"),"#N/A")</f>
        <v>#N/A</v>
      </c>
      <c r="AZ591" s="61" t="str">
        <f>IFERROR(__xludf.DUMMYFUNCTION("vlookup(BB591,importrange(""https://docs.google.com/spreadsheets/d/1d2vevQ_7D_v35q4wCQ4RpQ_IPoTwEMB9Yp6ymwlPqew/edit?gid=984458430#gid=984458430"", ""'replication success'!A:M""), 12, FAlSE)"),"#N/A")</f>
        <v>#N/A</v>
      </c>
      <c r="BA591" s="61" t="str">
        <f>IFERROR(__xludf.DUMMYFUNCTION("vlookup(BB591,importrange(""https://docs.google.com/spreadsheets/d/1d2vevQ_7D_v35q4wCQ4RpQ_IPoTwEMB9Yp6ymwlPqew/edit?gid=984458430#gid=984458430"", ""'replication success'!A:M""), 13, FAlSE)"),"#N/A")</f>
        <v>#N/A</v>
      </c>
      <c r="BB591" s="61" t="str">
        <f>IFERROR(__xludf.DUMMYFUNCTION("REGEXREPLACE(G591, ""_[a-z]{1,2}$"", """")"),"additional_studies86")</f>
        <v>additional_studies86</v>
      </c>
      <c r="BC591" s="73"/>
      <c r="BD591" s="93" t="s">
        <v>692</v>
      </c>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c r="CA591" s="92"/>
      <c r="CB591" s="92"/>
      <c r="CC591" s="92"/>
      <c r="CD591" s="92"/>
      <c r="CE591" s="92"/>
      <c r="CF591" s="92"/>
      <c r="CG591" s="92"/>
      <c r="CH591" s="92"/>
      <c r="CI591" s="92"/>
      <c r="CJ591" s="92"/>
      <c r="CK591" s="92"/>
      <c r="CL591" s="92"/>
      <c r="CM591" s="92"/>
      <c r="CN591" s="92"/>
      <c r="CO591" s="92"/>
      <c r="CP591" s="92"/>
      <c r="CQ591" s="92"/>
      <c r="CR591" s="92"/>
      <c r="CS591" s="92"/>
      <c r="CT591" s="92"/>
      <c r="CU591" s="92"/>
      <c r="CV591" s="92"/>
      <c r="CW591" s="92"/>
      <c r="CX591" s="92"/>
      <c r="CY591" s="92"/>
      <c r="CZ591" s="92"/>
      <c r="DA591" s="92"/>
      <c r="DB591" s="92"/>
      <c r="DC591" s="92"/>
      <c r="DD591" s="92"/>
      <c r="DE591" s="92"/>
      <c r="DF591" s="92"/>
      <c r="DG591" s="92"/>
      <c r="DH591" s="92"/>
      <c r="DI591" s="92"/>
      <c r="DJ591" s="92"/>
      <c r="DK591" s="92"/>
      <c r="DL591" s="92"/>
    </row>
    <row r="592" ht="20.25" customHeight="1">
      <c r="A592" s="73">
        <v>592.0</v>
      </c>
      <c r="B592" s="72" t="s">
        <v>152</v>
      </c>
      <c r="C592" s="72" t="s">
        <v>115</v>
      </c>
      <c r="D592" s="72" t="s">
        <v>2930</v>
      </c>
      <c r="E592" s="73"/>
      <c r="F592" s="93" t="s">
        <v>3267</v>
      </c>
      <c r="G592" s="72" t="s">
        <v>3294</v>
      </c>
      <c r="H592" s="72" t="s">
        <v>2933</v>
      </c>
      <c r="I592" s="892">
        <v>45489.0</v>
      </c>
      <c r="J592" s="892">
        <v>45635.0</v>
      </c>
      <c r="K592" s="72" t="s">
        <v>3280</v>
      </c>
      <c r="L592" s="73"/>
      <c r="M592" s="72" t="s">
        <v>3270</v>
      </c>
      <c r="N592" s="72" t="s">
        <v>3271</v>
      </c>
      <c r="O592" s="72">
        <v>1.0</v>
      </c>
      <c r="P592" s="72" t="s">
        <v>3272</v>
      </c>
      <c r="Q592" s="893" t="str">
        <f t="array" ref="Q592"> if(iserror(MATCH(V592, 'File Links'!C:C, 0)), "N/A", HYPERLINK(INDEX('File Links'!B:B, MATCH(P592, 'File Links'!C:C, 0))))</f>
        <v>https://drive.google.com/file/d/1UoK9lGyVfG2aSVu9UX62d1KXmmkZeMsj/view?usp=drivesdk</v>
      </c>
      <c r="R592" s="72" t="s">
        <v>3285</v>
      </c>
      <c r="S592" s="72" t="s">
        <v>3274</v>
      </c>
      <c r="T592" s="73"/>
      <c r="U592" s="72">
        <v>1.0</v>
      </c>
      <c r="V592" s="95" t="str">
        <f t="shared" si="35"/>
        <v>10.1093--applin--amae042.pdf</v>
      </c>
      <c r="W592" s="72" t="s">
        <v>209</v>
      </c>
      <c r="X592" s="894" t="str">
        <f t="array" ref="X592"> if(iserror(MATCH(V592, 'File Links'!C:C, 0)), "N/A", HYPERLINK(INDEX('File Links'!B:B, MATCH(V592, 'File Links'!C:C, 0))))</f>
        <v>https://drive.google.com/file/d/1VIxHSn4IKzp_dw4xNX6RMxFlMFrB02Na/view?usp=drivesdk</v>
      </c>
      <c r="Y592" s="73"/>
      <c r="Z592" s="72" t="s">
        <v>295</v>
      </c>
      <c r="AA592" s="72" t="s">
        <v>3275</v>
      </c>
      <c r="AB592" s="72" t="s">
        <v>3276</v>
      </c>
      <c r="AC592" s="72" t="s">
        <v>3295</v>
      </c>
      <c r="AD592" s="72" t="s">
        <v>3295</v>
      </c>
      <c r="AE592" s="72">
        <v>21.0</v>
      </c>
      <c r="AF592" s="72">
        <v>564.0</v>
      </c>
      <c r="AG592" s="72">
        <v>-0.84</v>
      </c>
      <c r="AH592" s="72" t="s">
        <v>361</v>
      </c>
      <c r="AI592" s="72" t="s">
        <v>2413</v>
      </c>
      <c r="AJ592" s="72">
        <v>0.001</v>
      </c>
      <c r="AK592" s="93" t="s">
        <v>135</v>
      </c>
      <c r="AL592" s="72" t="s">
        <v>186</v>
      </c>
      <c r="AM592" s="72" t="s">
        <v>141</v>
      </c>
      <c r="AN592" s="79" t="s">
        <v>138</v>
      </c>
      <c r="AO592" s="72">
        <v>351.0</v>
      </c>
      <c r="AP592" s="72">
        <v>0.02</v>
      </c>
      <c r="AQ592" s="72" t="s">
        <v>361</v>
      </c>
      <c r="AR592" s="72" t="s">
        <v>307</v>
      </c>
      <c r="AS592" s="72">
        <v>0.928</v>
      </c>
      <c r="AT592" s="93" t="s">
        <v>172</v>
      </c>
      <c r="AU592" s="93" t="s">
        <v>186</v>
      </c>
      <c r="AV592" s="79" t="s">
        <v>141</v>
      </c>
      <c r="AW592" s="92"/>
      <c r="AX592" s="93" t="s">
        <v>438</v>
      </c>
      <c r="AY592" s="61" t="str">
        <f>IFERROR(__xludf.DUMMYFUNCTION("vlookup(BB592,importrange(""https://docs.google.com/spreadsheets/d/1d2vevQ_7D_v35q4wCQ4RpQ_IPoTwEMB9Yp6ymwlPqew/edit?gid=984458430#gid=984458430"", ""'replication success'!A:K""), 11, FAlSE)"),"#N/A")</f>
        <v>#N/A</v>
      </c>
      <c r="AZ592" s="61" t="str">
        <f>IFERROR(__xludf.DUMMYFUNCTION("vlookup(BB592,importrange(""https://docs.google.com/spreadsheets/d/1d2vevQ_7D_v35q4wCQ4RpQ_IPoTwEMB9Yp6ymwlPqew/edit?gid=984458430#gid=984458430"", ""'replication success'!A:M""), 12, FAlSE)"),"#N/A")</f>
        <v>#N/A</v>
      </c>
      <c r="BA592" s="61" t="str">
        <f>IFERROR(__xludf.DUMMYFUNCTION("vlookup(BB592,importrange(""https://docs.google.com/spreadsheets/d/1d2vevQ_7D_v35q4wCQ4RpQ_IPoTwEMB9Yp6ymwlPqew/edit?gid=984458430#gid=984458430"", ""'replication success'!A:M""), 13, FAlSE)"),"#N/A")</f>
        <v>#N/A</v>
      </c>
      <c r="BB592" s="61" t="str">
        <f>IFERROR(__xludf.DUMMYFUNCTION("REGEXREPLACE(G592, ""_[a-z]{1,2}$"", """")"),"additional_studies86")</f>
        <v>additional_studies86</v>
      </c>
      <c r="BC592" s="73"/>
      <c r="BD592" s="93" t="s">
        <v>692</v>
      </c>
      <c r="BE592" s="92"/>
      <c r="BF592" s="92"/>
      <c r="BG592" s="92"/>
      <c r="BH592" s="92"/>
      <c r="BI592" s="92"/>
      <c r="BJ592" s="92"/>
      <c r="BK592" s="92"/>
      <c r="BL592" s="92"/>
      <c r="BM592" s="92"/>
      <c r="BN592" s="92"/>
      <c r="BO592" s="92"/>
      <c r="BP592" s="92"/>
      <c r="BQ592" s="92"/>
      <c r="BR592" s="92"/>
      <c r="BS592" s="92"/>
      <c r="BT592" s="92"/>
      <c r="BU592" s="92"/>
      <c r="BV592" s="92"/>
      <c r="BW592" s="92"/>
      <c r="BX592" s="92"/>
      <c r="BY592" s="92"/>
      <c r="BZ592" s="92"/>
      <c r="CA592" s="92"/>
      <c r="CB592" s="92"/>
      <c r="CC592" s="92"/>
      <c r="CD592" s="92"/>
      <c r="CE592" s="92"/>
      <c r="CF592" s="92"/>
      <c r="CG592" s="92"/>
      <c r="CH592" s="92"/>
      <c r="CI592" s="92"/>
      <c r="CJ592" s="92"/>
      <c r="CK592" s="92"/>
      <c r="CL592" s="92"/>
      <c r="CM592" s="92"/>
      <c r="CN592" s="92"/>
      <c r="CO592" s="92"/>
      <c r="CP592" s="92"/>
      <c r="CQ592" s="92"/>
      <c r="CR592" s="92"/>
      <c r="CS592" s="92"/>
      <c r="CT592" s="92"/>
      <c r="CU592" s="92"/>
      <c r="CV592" s="92"/>
      <c r="CW592" s="92"/>
      <c r="CX592" s="92"/>
      <c r="CY592" s="92"/>
      <c r="CZ592" s="92"/>
      <c r="DA592" s="92"/>
      <c r="DB592" s="92"/>
      <c r="DC592" s="92"/>
      <c r="DD592" s="92"/>
      <c r="DE592" s="92"/>
      <c r="DF592" s="92"/>
      <c r="DG592" s="92"/>
      <c r="DH592" s="92"/>
      <c r="DI592" s="92"/>
      <c r="DJ592" s="92"/>
      <c r="DK592" s="92"/>
      <c r="DL592" s="92"/>
    </row>
    <row r="593" ht="20.25" customHeight="1">
      <c r="A593" s="895">
        <v>593.0</v>
      </c>
      <c r="B593" s="896" t="s">
        <v>114</v>
      </c>
      <c r="C593" s="839" t="s">
        <v>115</v>
      </c>
      <c r="D593" s="839" t="s">
        <v>2957</v>
      </c>
      <c r="E593" s="752"/>
      <c r="F593" s="851" t="s">
        <v>3296</v>
      </c>
      <c r="G593" s="897" t="s">
        <v>3297</v>
      </c>
      <c r="H593" s="898" t="s">
        <v>2960</v>
      </c>
      <c r="I593" s="899">
        <v>45489.0</v>
      </c>
      <c r="J593" s="899">
        <v>45660.0</v>
      </c>
      <c r="K593" s="840" t="s">
        <v>3298</v>
      </c>
      <c r="L593" s="851"/>
      <c r="M593" s="898" t="s">
        <v>3299</v>
      </c>
      <c r="N593" s="898" t="s">
        <v>3271</v>
      </c>
      <c r="O593" s="900">
        <v>1.0</v>
      </c>
      <c r="P593" s="898" t="s">
        <v>3272</v>
      </c>
      <c r="Q593" s="901" t="str">
        <f t="array" ref="Q593"> if(iserror(MATCH(V593, 'File Links'!C:C, 0)), "N/A", HYPERLINK(INDEX('File Links'!B:B, MATCH(P593, 'File Links'!C:C, 0))))</f>
        <v>https://drive.google.com/file/d/1UoK9lGyVfG2aSVu9UX62d1KXmmkZeMsj/view?usp=drivesdk</v>
      </c>
      <c r="R593" s="898" t="s">
        <v>3273</v>
      </c>
      <c r="S593" s="898" t="s">
        <v>3274</v>
      </c>
      <c r="T593" s="851"/>
      <c r="U593" s="902">
        <v>1.0</v>
      </c>
      <c r="V593" s="840" t="str">
        <f t="shared" si="35"/>
        <v>10.1093--applin--amae042.pdf</v>
      </c>
      <c r="W593" s="898" t="s">
        <v>2962</v>
      </c>
      <c r="X593" s="903" t="str">
        <f t="array" ref="X593"> if(iserror(MATCH(V593, 'File Links'!C:C, 0)), "N/A", HYPERLINK(INDEX('File Links'!B:B, MATCH(V593, 'File Links'!C:C, 0))))</f>
        <v>https://drive.google.com/file/d/1VIxHSn4IKzp_dw4xNX6RMxFlMFrB02Na/view?usp=drivesdk</v>
      </c>
      <c r="Y593" s="752"/>
      <c r="Z593" s="898" t="s">
        <v>295</v>
      </c>
      <c r="AA593" s="840" t="s">
        <v>3300</v>
      </c>
      <c r="AB593" s="840" t="s">
        <v>3301</v>
      </c>
      <c r="AC593" s="851"/>
      <c r="AD593" s="840" t="s">
        <v>3302</v>
      </c>
      <c r="AE593" s="840">
        <v>15.0</v>
      </c>
      <c r="AF593" s="904">
        <v>96.0</v>
      </c>
      <c r="AG593" s="840">
        <v>-3.22</v>
      </c>
      <c r="AH593" s="840" t="s">
        <v>134</v>
      </c>
      <c r="AI593" s="840" t="s">
        <v>3303</v>
      </c>
      <c r="AJ593" s="845">
        <v>0.001</v>
      </c>
      <c r="AK593" s="841" t="s">
        <v>135</v>
      </c>
      <c r="AL593" s="841" t="s">
        <v>186</v>
      </c>
      <c r="AM593" s="851" t="s">
        <v>137</v>
      </c>
      <c r="AN593" s="905" t="s">
        <v>138</v>
      </c>
      <c r="AO593" s="840">
        <v>60.0</v>
      </c>
      <c r="AP593" s="840">
        <v>-0.15</v>
      </c>
      <c r="AQ593" s="840" t="s">
        <v>134</v>
      </c>
      <c r="AR593" s="840" t="s">
        <v>3304</v>
      </c>
      <c r="AS593" s="904">
        <v>0.607</v>
      </c>
      <c r="AT593" s="840" t="s">
        <v>172</v>
      </c>
      <c r="AU593" s="840" t="s">
        <v>186</v>
      </c>
      <c r="AV593" s="851" t="s">
        <v>137</v>
      </c>
      <c r="AW593" s="851"/>
      <c r="AX593" s="851" t="s">
        <v>143</v>
      </c>
      <c r="AY593" s="61" t="str">
        <f>IFERROR(__xludf.DUMMYFUNCTION("vlookup(BB593,importrange(""https://docs.google.com/spreadsheets/d/1d2vevQ_7D_v35q4wCQ4RpQ_IPoTwEMB9Yp6ymwlPqew/edit?gid=984458430#gid=984458430"", ""'replication success'!A:K""), 11, FAlSE)"),"#N/A")</f>
        <v>#N/A</v>
      </c>
      <c r="AZ593" s="61" t="str">
        <f>IFERROR(__xludf.DUMMYFUNCTION("vlookup(BB593,importrange(""https://docs.google.com/spreadsheets/d/1d2vevQ_7D_v35q4wCQ4RpQ_IPoTwEMB9Yp6ymwlPqew/edit?gid=984458430#gid=984458430"", ""'replication success'!A:M""), 12, FAlSE)"),"#N/A")</f>
        <v>#N/A</v>
      </c>
      <c r="BA593" s="61" t="str">
        <f>IFERROR(__xludf.DUMMYFUNCTION("vlookup(BB593,importrange(""https://docs.google.com/spreadsheets/d/1d2vevQ_7D_v35q4wCQ4RpQ_IPoTwEMB9Yp6ymwlPqew/edit?gid=984458430#gid=984458430"", ""'replication success'!A:M""), 13, FAlSE)"),"#N/A")</f>
        <v>#N/A</v>
      </c>
      <c r="BB593" s="61" t="str">
        <f>IFERROR(__xludf.DUMMYFUNCTION("REGEXREPLACE(G593, ""_[a-z]{1,2}$"", """")"),"additional_studies86")</f>
        <v>additional_studies86</v>
      </c>
      <c r="BC593" s="752"/>
      <c r="BD593" s="839" t="s">
        <v>692</v>
      </c>
      <c r="BE593" s="752"/>
      <c r="BF593" s="752"/>
      <c r="BG593" s="752"/>
      <c r="BH593" s="752"/>
      <c r="BI593" s="752"/>
      <c r="BJ593" s="752"/>
      <c r="BK593" s="752"/>
      <c r="BL593" s="752"/>
      <c r="BM593" s="752"/>
      <c r="BN593" s="752"/>
      <c r="BO593" s="752"/>
      <c r="BP593" s="752"/>
      <c r="BQ593" s="752"/>
      <c r="BR593" s="752"/>
      <c r="BS593" s="752"/>
      <c r="BT593" s="752"/>
      <c r="BU593" s="752"/>
      <c r="BV593" s="752"/>
      <c r="BW593" s="752"/>
      <c r="BX593" s="752"/>
      <c r="BY593" s="752"/>
      <c r="BZ593" s="752"/>
      <c r="CA593" s="752"/>
      <c r="CB593" s="752"/>
      <c r="CC593" s="752"/>
      <c r="CD593" s="752"/>
      <c r="CE593" s="752"/>
      <c r="CF593" s="752"/>
      <c r="CG593" s="752"/>
      <c r="CH593" s="752"/>
      <c r="CI593" s="752"/>
      <c r="CJ593" s="752"/>
      <c r="CK593" s="752"/>
      <c r="CL593" s="752"/>
      <c r="CM593" s="752"/>
      <c r="CN593" s="752"/>
      <c r="CO593" s="752"/>
      <c r="CP593" s="752"/>
      <c r="CQ593" s="752"/>
      <c r="CR593" s="752"/>
      <c r="CS593" s="752"/>
      <c r="CT593" s="752"/>
      <c r="CU593" s="752"/>
      <c r="CV593" s="752"/>
      <c r="CW593" s="752"/>
      <c r="CX593" s="752"/>
      <c r="CY593" s="752"/>
      <c r="CZ593" s="752"/>
      <c r="DA593" s="752"/>
      <c r="DB593" s="752"/>
      <c r="DC593" s="752"/>
      <c r="DD593" s="752"/>
      <c r="DE593" s="752"/>
      <c r="DF593" s="752"/>
      <c r="DG593" s="752"/>
      <c r="DH593" s="752"/>
      <c r="DI593" s="752"/>
      <c r="DJ593" s="752"/>
      <c r="DK593" s="752"/>
      <c r="DL593" s="752"/>
    </row>
    <row r="594" ht="20.25" customHeight="1">
      <c r="A594" s="895">
        <v>594.0</v>
      </c>
      <c r="B594" s="896" t="s">
        <v>114</v>
      </c>
      <c r="C594" s="839" t="s">
        <v>115</v>
      </c>
      <c r="D594" s="839" t="s">
        <v>2957</v>
      </c>
      <c r="E594" s="752"/>
      <c r="F594" s="851" t="s">
        <v>3305</v>
      </c>
      <c r="G594" s="897" t="s">
        <v>3297</v>
      </c>
      <c r="H594" s="898" t="s">
        <v>2960</v>
      </c>
      <c r="I594" s="899">
        <v>45489.0</v>
      </c>
      <c r="J594" s="899">
        <v>45660.0</v>
      </c>
      <c r="K594" s="840" t="s">
        <v>3298</v>
      </c>
      <c r="L594" s="851"/>
      <c r="M594" s="898" t="s">
        <v>3299</v>
      </c>
      <c r="N594" s="898" t="s">
        <v>3271</v>
      </c>
      <c r="O594" s="900">
        <v>1.0</v>
      </c>
      <c r="P594" s="898" t="s">
        <v>3272</v>
      </c>
      <c r="Q594" s="901" t="str">
        <f t="array" ref="Q594"> if(iserror(MATCH(V594, 'File Links'!C:C, 0)), "N/A", HYPERLINK(INDEX('File Links'!B:B, MATCH(P594, 'File Links'!C:C, 0))))</f>
        <v>https://drive.google.com/file/d/1UoK9lGyVfG2aSVu9UX62d1KXmmkZeMsj/view?usp=drivesdk</v>
      </c>
      <c r="R594" s="898" t="s">
        <v>3273</v>
      </c>
      <c r="S594" s="898" t="s">
        <v>3274</v>
      </c>
      <c r="T594" s="851"/>
      <c r="U594" s="902">
        <v>1.0</v>
      </c>
      <c r="V594" s="840" t="str">
        <f t="shared" si="35"/>
        <v>10.1093--applin--amae042.pdf</v>
      </c>
      <c r="W594" s="898" t="s">
        <v>2962</v>
      </c>
      <c r="X594" s="903" t="str">
        <f t="array" ref="X594"> if(iserror(MATCH(V594, 'File Links'!C:C, 0)), "N/A", HYPERLINK(INDEX('File Links'!B:B, MATCH(V594, 'File Links'!C:C, 0))))</f>
        <v>https://drive.google.com/file/d/1VIxHSn4IKzp_dw4xNX6RMxFlMFrB02Na/view?usp=drivesdk</v>
      </c>
      <c r="Y594" s="752"/>
      <c r="Z594" s="898" t="s">
        <v>295</v>
      </c>
      <c r="AA594" s="840" t="s">
        <v>3300</v>
      </c>
      <c r="AB594" s="840" t="s">
        <v>3301</v>
      </c>
      <c r="AC594" s="851"/>
      <c r="AD594" s="840" t="s">
        <v>3306</v>
      </c>
      <c r="AE594" s="840">
        <v>17.0</v>
      </c>
      <c r="AF594" s="840">
        <v>96.0</v>
      </c>
      <c r="AG594" s="840">
        <v>7.13</v>
      </c>
      <c r="AH594" s="840" t="s">
        <v>722</v>
      </c>
      <c r="AI594" s="840" t="s">
        <v>3303</v>
      </c>
      <c r="AJ594" s="845">
        <v>0.001</v>
      </c>
      <c r="AK594" s="841" t="s">
        <v>135</v>
      </c>
      <c r="AL594" s="841" t="s">
        <v>186</v>
      </c>
      <c r="AM594" s="851" t="s">
        <v>137</v>
      </c>
      <c r="AN594" s="905" t="s">
        <v>138</v>
      </c>
      <c r="AO594" s="840">
        <v>60.0</v>
      </c>
      <c r="AP594" s="851"/>
      <c r="AQ594" s="851"/>
      <c r="AR594" s="851"/>
      <c r="AS594" s="851"/>
      <c r="AT594" s="851"/>
      <c r="AU594" s="851"/>
      <c r="AV594" s="851"/>
      <c r="AW594" s="851"/>
      <c r="AX594" s="851" t="s">
        <v>143</v>
      </c>
      <c r="AY594" s="61" t="str">
        <f>IFERROR(__xludf.DUMMYFUNCTION("vlookup(BB594,importrange(""https://docs.google.com/spreadsheets/d/1d2vevQ_7D_v35q4wCQ4RpQ_IPoTwEMB9Yp6ymwlPqew/edit?gid=984458430#gid=984458430"", ""'replication success'!A:K""), 11, FAlSE)"),"#N/A")</f>
        <v>#N/A</v>
      </c>
      <c r="AZ594" s="61" t="str">
        <f>IFERROR(__xludf.DUMMYFUNCTION("vlookup(BB594,importrange(""https://docs.google.com/spreadsheets/d/1d2vevQ_7D_v35q4wCQ4RpQ_IPoTwEMB9Yp6ymwlPqew/edit?gid=984458430#gid=984458430"", ""'replication success'!A:M""), 12, FAlSE)"),"#N/A")</f>
        <v>#N/A</v>
      </c>
      <c r="BA594" s="61" t="str">
        <f>IFERROR(__xludf.DUMMYFUNCTION("vlookup(BB594,importrange(""https://docs.google.com/spreadsheets/d/1d2vevQ_7D_v35q4wCQ4RpQ_IPoTwEMB9Yp6ymwlPqew/edit?gid=984458430#gid=984458430"", ""'replication success'!A:M""), 13, FAlSE)"),"#N/A")</f>
        <v>#N/A</v>
      </c>
      <c r="BB594" s="61" t="str">
        <f>IFERROR(__xludf.DUMMYFUNCTION("REGEXREPLACE(G594, ""_[a-z]{1,2}$"", """")"),"additional_studies86")</f>
        <v>additional_studies86</v>
      </c>
      <c r="BC594" s="752"/>
      <c r="BD594" s="839" t="s">
        <v>692</v>
      </c>
      <c r="BE594" s="752"/>
      <c r="BF594" s="752"/>
      <c r="BG594" s="752"/>
      <c r="BH594" s="752"/>
      <c r="BI594" s="752"/>
      <c r="BJ594" s="752"/>
      <c r="BK594" s="752"/>
      <c r="BL594" s="752"/>
      <c r="BM594" s="752"/>
      <c r="BN594" s="752"/>
      <c r="BO594" s="752"/>
      <c r="BP594" s="752"/>
      <c r="BQ594" s="752"/>
      <c r="BR594" s="752"/>
      <c r="BS594" s="752"/>
      <c r="BT594" s="752"/>
      <c r="BU594" s="752"/>
      <c r="BV594" s="752"/>
      <c r="BW594" s="752"/>
      <c r="BX594" s="752"/>
      <c r="BY594" s="752"/>
      <c r="BZ594" s="752"/>
      <c r="CA594" s="752"/>
      <c r="CB594" s="752"/>
      <c r="CC594" s="752"/>
      <c r="CD594" s="752"/>
      <c r="CE594" s="752"/>
      <c r="CF594" s="752"/>
      <c r="CG594" s="752"/>
      <c r="CH594" s="752"/>
      <c r="CI594" s="752"/>
      <c r="CJ594" s="752"/>
      <c r="CK594" s="752"/>
      <c r="CL594" s="752"/>
      <c r="CM594" s="752"/>
      <c r="CN594" s="752"/>
      <c r="CO594" s="752"/>
      <c r="CP594" s="752"/>
      <c r="CQ594" s="752"/>
      <c r="CR594" s="752"/>
      <c r="CS594" s="752"/>
      <c r="CT594" s="752"/>
      <c r="CU594" s="752"/>
      <c r="CV594" s="752"/>
      <c r="CW594" s="752"/>
      <c r="CX594" s="752"/>
      <c r="CY594" s="752"/>
      <c r="CZ594" s="752"/>
      <c r="DA594" s="752"/>
      <c r="DB594" s="752"/>
      <c r="DC594" s="752"/>
      <c r="DD594" s="752"/>
      <c r="DE594" s="752"/>
      <c r="DF594" s="752"/>
      <c r="DG594" s="752"/>
      <c r="DH594" s="752"/>
      <c r="DI594" s="752"/>
      <c r="DJ594" s="752"/>
      <c r="DK594" s="752"/>
      <c r="DL594" s="752"/>
    </row>
    <row r="595" ht="20.25" customHeight="1">
      <c r="A595" s="895">
        <v>595.0</v>
      </c>
      <c r="B595" s="896" t="s">
        <v>114</v>
      </c>
      <c r="C595" s="839" t="s">
        <v>115</v>
      </c>
      <c r="D595" s="839" t="s">
        <v>2957</v>
      </c>
      <c r="E595" s="752"/>
      <c r="F595" s="851" t="s">
        <v>3307</v>
      </c>
      <c r="G595" s="897" t="s">
        <v>3297</v>
      </c>
      <c r="H595" s="898" t="s">
        <v>2960</v>
      </c>
      <c r="I595" s="899">
        <v>45489.0</v>
      </c>
      <c r="J595" s="899">
        <v>45660.0</v>
      </c>
      <c r="K595" s="840" t="s">
        <v>3298</v>
      </c>
      <c r="L595" s="851"/>
      <c r="M595" s="898" t="s">
        <v>3299</v>
      </c>
      <c r="N595" s="898" t="s">
        <v>3271</v>
      </c>
      <c r="O595" s="900">
        <v>1.0</v>
      </c>
      <c r="P595" s="898" t="s">
        <v>3272</v>
      </c>
      <c r="Q595" s="901" t="str">
        <f t="array" ref="Q595"> if(iserror(MATCH(V595, 'File Links'!C:C, 0)), "N/A", HYPERLINK(INDEX('File Links'!B:B, MATCH(P595, 'File Links'!C:C, 0))))</f>
        <v>https://drive.google.com/file/d/1UoK9lGyVfG2aSVu9UX62d1KXmmkZeMsj/view?usp=drivesdk</v>
      </c>
      <c r="R595" s="898" t="s">
        <v>3273</v>
      </c>
      <c r="S595" s="898" t="s">
        <v>3274</v>
      </c>
      <c r="T595" s="851"/>
      <c r="U595" s="902">
        <v>1.0</v>
      </c>
      <c r="V595" s="840" t="str">
        <f t="shared" si="35"/>
        <v>10.1093--applin--amae042.pdf</v>
      </c>
      <c r="W595" s="898" t="s">
        <v>2962</v>
      </c>
      <c r="X595" s="903" t="str">
        <f t="array" ref="X595"> if(iserror(MATCH(V595, 'File Links'!C:C, 0)), "N/A", HYPERLINK(INDEX('File Links'!B:B, MATCH(V595, 'File Links'!C:C, 0))))</f>
        <v>https://drive.google.com/file/d/1VIxHSn4IKzp_dw4xNX6RMxFlMFrB02Na/view?usp=drivesdk</v>
      </c>
      <c r="Y595" s="752"/>
      <c r="Z595" s="898" t="s">
        <v>295</v>
      </c>
      <c r="AA595" s="840" t="s">
        <v>3300</v>
      </c>
      <c r="AB595" s="840" t="s">
        <v>3301</v>
      </c>
      <c r="AC595" s="851"/>
      <c r="AD595" s="840" t="s">
        <v>3308</v>
      </c>
      <c r="AE595" s="840">
        <v>17.0</v>
      </c>
      <c r="AF595" s="840">
        <v>96.0</v>
      </c>
      <c r="AG595" s="840">
        <v>1.14</v>
      </c>
      <c r="AH595" s="840" t="s">
        <v>722</v>
      </c>
      <c r="AI595" s="840" t="s">
        <v>3303</v>
      </c>
      <c r="AJ595" s="845">
        <v>0.001</v>
      </c>
      <c r="AK595" s="841" t="s">
        <v>135</v>
      </c>
      <c r="AL595" s="841" t="s">
        <v>186</v>
      </c>
      <c r="AM595" s="851" t="s">
        <v>137</v>
      </c>
      <c r="AN595" s="905" t="s">
        <v>138</v>
      </c>
      <c r="AO595" s="840">
        <v>60.0</v>
      </c>
      <c r="AP595" s="851"/>
      <c r="AQ595" s="851"/>
      <c r="AR595" s="851"/>
      <c r="AS595" s="851"/>
      <c r="AT595" s="851"/>
      <c r="AU595" s="851"/>
      <c r="AV595" s="851"/>
      <c r="AW595" s="851"/>
      <c r="AX595" s="851" t="s">
        <v>143</v>
      </c>
      <c r="AY595" s="61" t="str">
        <f>IFERROR(__xludf.DUMMYFUNCTION("vlookup(BB595,importrange(""https://docs.google.com/spreadsheets/d/1d2vevQ_7D_v35q4wCQ4RpQ_IPoTwEMB9Yp6ymwlPqew/edit?gid=984458430#gid=984458430"", ""'replication success'!A:K""), 11, FAlSE)"),"#N/A")</f>
        <v>#N/A</v>
      </c>
      <c r="AZ595" s="61" t="str">
        <f>IFERROR(__xludf.DUMMYFUNCTION("vlookup(BB595,importrange(""https://docs.google.com/spreadsheets/d/1d2vevQ_7D_v35q4wCQ4RpQ_IPoTwEMB9Yp6ymwlPqew/edit?gid=984458430#gid=984458430"", ""'replication success'!A:M""), 12, FAlSE)"),"#N/A")</f>
        <v>#N/A</v>
      </c>
      <c r="BA595" s="61" t="str">
        <f>IFERROR(__xludf.DUMMYFUNCTION("vlookup(BB595,importrange(""https://docs.google.com/spreadsheets/d/1d2vevQ_7D_v35q4wCQ4RpQ_IPoTwEMB9Yp6ymwlPqew/edit?gid=984458430#gid=984458430"", ""'replication success'!A:M""), 13, FAlSE)"),"#N/A")</f>
        <v>#N/A</v>
      </c>
      <c r="BB595" s="61" t="str">
        <f>IFERROR(__xludf.DUMMYFUNCTION("REGEXREPLACE(G595, ""_[a-z]{1,2}$"", """")"),"additional_studies86")</f>
        <v>additional_studies86</v>
      </c>
      <c r="BC595" s="752"/>
      <c r="BD595" s="839" t="s">
        <v>692</v>
      </c>
      <c r="BE595" s="752"/>
      <c r="BF595" s="752"/>
      <c r="BG595" s="752"/>
      <c r="BH595" s="752"/>
      <c r="BI595" s="752"/>
      <c r="BJ595" s="752"/>
      <c r="BK595" s="752"/>
      <c r="BL595" s="752"/>
      <c r="BM595" s="752"/>
      <c r="BN595" s="752"/>
      <c r="BO595" s="752"/>
      <c r="BP595" s="752"/>
      <c r="BQ595" s="752"/>
      <c r="BR595" s="752"/>
      <c r="BS595" s="752"/>
      <c r="BT595" s="752"/>
      <c r="BU595" s="752"/>
      <c r="BV595" s="752"/>
      <c r="BW595" s="752"/>
      <c r="BX595" s="752"/>
      <c r="BY595" s="752"/>
      <c r="BZ595" s="752"/>
      <c r="CA595" s="752"/>
      <c r="CB595" s="752"/>
      <c r="CC595" s="752"/>
      <c r="CD595" s="752"/>
      <c r="CE595" s="752"/>
      <c r="CF595" s="752"/>
      <c r="CG595" s="752"/>
      <c r="CH595" s="752"/>
      <c r="CI595" s="752"/>
      <c r="CJ595" s="752"/>
      <c r="CK595" s="752"/>
      <c r="CL595" s="752"/>
      <c r="CM595" s="752"/>
      <c r="CN595" s="752"/>
      <c r="CO595" s="752"/>
      <c r="CP595" s="752"/>
      <c r="CQ595" s="752"/>
      <c r="CR595" s="752"/>
      <c r="CS595" s="752"/>
      <c r="CT595" s="752"/>
      <c r="CU595" s="752"/>
      <c r="CV595" s="752"/>
      <c r="CW595" s="752"/>
      <c r="CX595" s="752"/>
      <c r="CY595" s="752"/>
      <c r="CZ595" s="752"/>
      <c r="DA595" s="752"/>
      <c r="DB595" s="752"/>
      <c r="DC595" s="752"/>
      <c r="DD595" s="752"/>
      <c r="DE595" s="752"/>
      <c r="DF595" s="752"/>
      <c r="DG595" s="752"/>
      <c r="DH595" s="752"/>
      <c r="DI595" s="752"/>
      <c r="DJ595" s="752"/>
      <c r="DK595" s="752"/>
      <c r="DL595" s="752"/>
    </row>
    <row r="596" ht="20.25" customHeight="1">
      <c r="A596" s="895">
        <v>596.0</v>
      </c>
      <c r="B596" s="896" t="s">
        <v>114</v>
      </c>
      <c r="C596" s="839" t="s">
        <v>115</v>
      </c>
      <c r="D596" s="839" t="s">
        <v>2957</v>
      </c>
      <c r="E596" s="752"/>
      <c r="F596" s="851" t="s">
        <v>3309</v>
      </c>
      <c r="G596" s="897" t="s">
        <v>3297</v>
      </c>
      <c r="H596" s="898" t="s">
        <v>2960</v>
      </c>
      <c r="I596" s="899">
        <v>45489.0</v>
      </c>
      <c r="J596" s="899">
        <v>45660.0</v>
      </c>
      <c r="K596" s="840" t="s">
        <v>3298</v>
      </c>
      <c r="L596" s="851"/>
      <c r="M596" s="898" t="s">
        <v>3299</v>
      </c>
      <c r="N596" s="898" t="s">
        <v>3271</v>
      </c>
      <c r="O596" s="900">
        <v>1.0</v>
      </c>
      <c r="P596" s="898" t="s">
        <v>3272</v>
      </c>
      <c r="Q596" s="901" t="str">
        <f t="array" ref="Q596"> if(iserror(MATCH(V596, 'File Links'!C:C, 0)), "N/A", HYPERLINK(INDEX('File Links'!B:B, MATCH(P596, 'File Links'!C:C, 0))))</f>
        <v>https://drive.google.com/file/d/1UoK9lGyVfG2aSVu9UX62d1KXmmkZeMsj/view?usp=drivesdk</v>
      </c>
      <c r="R596" s="898" t="s">
        <v>3273</v>
      </c>
      <c r="S596" s="898" t="s">
        <v>3274</v>
      </c>
      <c r="T596" s="851"/>
      <c r="U596" s="902">
        <v>1.0</v>
      </c>
      <c r="V596" s="840" t="str">
        <f t="shared" si="35"/>
        <v>10.1093--applin--amae042.pdf</v>
      </c>
      <c r="W596" s="898" t="s">
        <v>2962</v>
      </c>
      <c r="X596" s="903" t="str">
        <f t="array" ref="X596"> if(iserror(MATCH(V596, 'File Links'!C:C, 0)), "N/A", HYPERLINK(INDEX('File Links'!B:B, MATCH(V596, 'File Links'!C:C, 0))))</f>
        <v>https://drive.google.com/file/d/1VIxHSn4IKzp_dw4xNX6RMxFlMFrB02Na/view?usp=drivesdk</v>
      </c>
      <c r="Y596" s="752"/>
      <c r="Z596" s="898" t="s">
        <v>295</v>
      </c>
      <c r="AA596" s="840" t="s">
        <v>3300</v>
      </c>
      <c r="AB596" s="840" t="s">
        <v>3301</v>
      </c>
      <c r="AC596" s="851"/>
      <c r="AD596" s="840" t="s">
        <v>3310</v>
      </c>
      <c r="AE596" s="840">
        <v>17.0</v>
      </c>
      <c r="AF596" s="840">
        <v>96.0</v>
      </c>
      <c r="AG596" s="840">
        <v>2.16</v>
      </c>
      <c r="AH596" s="840" t="s">
        <v>722</v>
      </c>
      <c r="AI596" s="840" t="s">
        <v>3303</v>
      </c>
      <c r="AJ596" s="845">
        <v>0.001</v>
      </c>
      <c r="AK596" s="841" t="s">
        <v>135</v>
      </c>
      <c r="AL596" s="841" t="s">
        <v>186</v>
      </c>
      <c r="AM596" s="851" t="s">
        <v>137</v>
      </c>
      <c r="AN596" s="905" t="s">
        <v>138</v>
      </c>
      <c r="AO596" s="840">
        <v>60.0</v>
      </c>
      <c r="AP596" s="840">
        <v>-9.91</v>
      </c>
      <c r="AQ596" s="840" t="s">
        <v>3311</v>
      </c>
      <c r="AR596" s="840" t="s">
        <v>3304</v>
      </c>
      <c r="AS596" s="904">
        <v>0.001</v>
      </c>
      <c r="AT596" s="840" t="s">
        <v>135</v>
      </c>
      <c r="AU596" s="840" t="s">
        <v>186</v>
      </c>
      <c r="AV596" s="851" t="s">
        <v>137</v>
      </c>
      <c r="AW596" s="851"/>
      <c r="AX596" s="851" t="s">
        <v>143</v>
      </c>
      <c r="AY596" s="61" t="str">
        <f>IFERROR(__xludf.DUMMYFUNCTION("vlookup(BB596,importrange(""https://docs.google.com/spreadsheets/d/1d2vevQ_7D_v35q4wCQ4RpQ_IPoTwEMB9Yp6ymwlPqew/edit?gid=984458430#gid=984458430"", ""'replication success'!A:K""), 11, FAlSE)"),"#N/A")</f>
        <v>#N/A</v>
      </c>
      <c r="AZ596" s="61" t="str">
        <f>IFERROR(__xludf.DUMMYFUNCTION("vlookup(BB596,importrange(""https://docs.google.com/spreadsheets/d/1d2vevQ_7D_v35q4wCQ4RpQ_IPoTwEMB9Yp6ymwlPqew/edit?gid=984458430#gid=984458430"", ""'replication success'!A:M""), 12, FAlSE)"),"#N/A")</f>
        <v>#N/A</v>
      </c>
      <c r="BA596" s="61" t="str">
        <f>IFERROR(__xludf.DUMMYFUNCTION("vlookup(BB596,importrange(""https://docs.google.com/spreadsheets/d/1d2vevQ_7D_v35q4wCQ4RpQ_IPoTwEMB9Yp6ymwlPqew/edit?gid=984458430#gid=984458430"", ""'replication success'!A:M""), 13, FAlSE)"),"#N/A")</f>
        <v>#N/A</v>
      </c>
      <c r="BB596" s="61" t="str">
        <f>IFERROR(__xludf.DUMMYFUNCTION("REGEXREPLACE(G596, ""_[a-z]{1,2}$"", """")"),"additional_studies86")</f>
        <v>additional_studies86</v>
      </c>
      <c r="BC596" s="752"/>
      <c r="BD596" s="839" t="s">
        <v>692</v>
      </c>
      <c r="BE596" s="752"/>
      <c r="BF596" s="752"/>
      <c r="BG596" s="752"/>
      <c r="BH596" s="752"/>
      <c r="BI596" s="752"/>
      <c r="BJ596" s="752"/>
      <c r="BK596" s="752"/>
      <c r="BL596" s="752"/>
      <c r="BM596" s="752"/>
      <c r="BN596" s="752"/>
      <c r="BO596" s="752"/>
      <c r="BP596" s="752"/>
      <c r="BQ596" s="752"/>
      <c r="BR596" s="752"/>
      <c r="BS596" s="752"/>
      <c r="BT596" s="752"/>
      <c r="BU596" s="752"/>
      <c r="BV596" s="752"/>
      <c r="BW596" s="752"/>
      <c r="BX596" s="752"/>
      <c r="BY596" s="752"/>
      <c r="BZ596" s="752"/>
      <c r="CA596" s="752"/>
      <c r="CB596" s="752"/>
      <c r="CC596" s="752"/>
      <c r="CD596" s="752"/>
      <c r="CE596" s="752"/>
      <c r="CF596" s="752"/>
      <c r="CG596" s="752"/>
      <c r="CH596" s="752"/>
      <c r="CI596" s="752"/>
      <c r="CJ596" s="752"/>
      <c r="CK596" s="752"/>
      <c r="CL596" s="752"/>
      <c r="CM596" s="752"/>
      <c r="CN596" s="752"/>
      <c r="CO596" s="752"/>
      <c r="CP596" s="752"/>
      <c r="CQ596" s="752"/>
      <c r="CR596" s="752"/>
      <c r="CS596" s="752"/>
      <c r="CT596" s="752"/>
      <c r="CU596" s="752"/>
      <c r="CV596" s="752"/>
      <c r="CW596" s="752"/>
      <c r="CX596" s="752"/>
      <c r="CY596" s="752"/>
      <c r="CZ596" s="752"/>
      <c r="DA596" s="752"/>
      <c r="DB596" s="752"/>
      <c r="DC596" s="752"/>
      <c r="DD596" s="752"/>
      <c r="DE596" s="752"/>
      <c r="DF596" s="752"/>
      <c r="DG596" s="752"/>
      <c r="DH596" s="752"/>
      <c r="DI596" s="752"/>
      <c r="DJ596" s="752"/>
      <c r="DK596" s="752"/>
      <c r="DL596" s="752"/>
    </row>
    <row r="597" ht="20.25" customHeight="1">
      <c r="A597" s="895">
        <v>597.0</v>
      </c>
      <c r="B597" s="896" t="s">
        <v>114</v>
      </c>
      <c r="C597" s="839" t="s">
        <v>115</v>
      </c>
      <c r="D597" s="839" t="s">
        <v>2957</v>
      </c>
      <c r="E597" s="752"/>
      <c r="F597" s="851" t="s">
        <v>3312</v>
      </c>
      <c r="G597" s="897" t="s">
        <v>3297</v>
      </c>
      <c r="H597" s="898" t="s">
        <v>2960</v>
      </c>
      <c r="I597" s="899">
        <v>45489.0</v>
      </c>
      <c r="J597" s="899">
        <v>45660.0</v>
      </c>
      <c r="K597" s="840" t="s">
        <v>3298</v>
      </c>
      <c r="L597" s="851"/>
      <c r="M597" s="898" t="s">
        <v>3299</v>
      </c>
      <c r="N597" s="898" t="s">
        <v>3271</v>
      </c>
      <c r="O597" s="900">
        <v>1.0</v>
      </c>
      <c r="P597" s="898" t="s">
        <v>3272</v>
      </c>
      <c r="Q597" s="901" t="str">
        <f t="array" ref="Q597"> if(iserror(MATCH(V597, 'File Links'!C:C, 0)), "N/A", HYPERLINK(INDEX('File Links'!B:B, MATCH(P597, 'File Links'!C:C, 0))))</f>
        <v>https://drive.google.com/file/d/1UoK9lGyVfG2aSVu9UX62d1KXmmkZeMsj/view?usp=drivesdk</v>
      </c>
      <c r="R597" s="898" t="s">
        <v>3273</v>
      </c>
      <c r="S597" s="898" t="s">
        <v>3274</v>
      </c>
      <c r="T597" s="851"/>
      <c r="U597" s="902">
        <v>1.0</v>
      </c>
      <c r="V597" s="840" t="str">
        <f t="shared" si="35"/>
        <v>10.1093--applin--amae042.pdf</v>
      </c>
      <c r="W597" s="898" t="s">
        <v>2962</v>
      </c>
      <c r="X597" s="903" t="str">
        <f t="array" ref="X597"> if(iserror(MATCH(V597, 'File Links'!C:C, 0)), "N/A", HYPERLINK(INDEX('File Links'!B:B, MATCH(V597, 'File Links'!C:C, 0))))</f>
        <v>https://drive.google.com/file/d/1VIxHSn4IKzp_dw4xNX6RMxFlMFrB02Na/view?usp=drivesdk</v>
      </c>
      <c r="Y597" s="752"/>
      <c r="Z597" s="898" t="s">
        <v>295</v>
      </c>
      <c r="AA597" s="840" t="s">
        <v>3300</v>
      </c>
      <c r="AB597" s="840" t="s">
        <v>3301</v>
      </c>
      <c r="AC597" s="851"/>
      <c r="AD597" s="840" t="s">
        <v>3310</v>
      </c>
      <c r="AE597" s="840">
        <v>17.0</v>
      </c>
      <c r="AF597" s="840">
        <v>96.0</v>
      </c>
      <c r="AG597" s="840">
        <v>1.59</v>
      </c>
      <c r="AH597" s="840" t="s">
        <v>722</v>
      </c>
      <c r="AI597" s="840" t="s">
        <v>3303</v>
      </c>
      <c r="AJ597" s="845">
        <v>0.001</v>
      </c>
      <c r="AK597" s="841" t="s">
        <v>135</v>
      </c>
      <c r="AL597" s="841" t="s">
        <v>186</v>
      </c>
      <c r="AM597" s="851" t="s">
        <v>137</v>
      </c>
      <c r="AN597" s="905" t="s">
        <v>138</v>
      </c>
      <c r="AO597" s="840">
        <v>60.0</v>
      </c>
      <c r="AP597" s="851"/>
      <c r="AQ597" s="851"/>
      <c r="AR597" s="851"/>
      <c r="AS597" s="851"/>
      <c r="AT597" s="851"/>
      <c r="AU597" s="851"/>
      <c r="AV597" s="851"/>
      <c r="AW597" s="851"/>
      <c r="AX597" s="851" t="s">
        <v>143</v>
      </c>
      <c r="AY597" s="61" t="str">
        <f>IFERROR(__xludf.DUMMYFUNCTION("vlookup(BB597,importrange(""https://docs.google.com/spreadsheets/d/1d2vevQ_7D_v35q4wCQ4RpQ_IPoTwEMB9Yp6ymwlPqew/edit?gid=984458430#gid=984458430"", ""'replication success'!A:K""), 11, FAlSE)"),"#N/A")</f>
        <v>#N/A</v>
      </c>
      <c r="AZ597" s="61" t="str">
        <f>IFERROR(__xludf.DUMMYFUNCTION("vlookup(BB597,importrange(""https://docs.google.com/spreadsheets/d/1d2vevQ_7D_v35q4wCQ4RpQ_IPoTwEMB9Yp6ymwlPqew/edit?gid=984458430#gid=984458430"", ""'replication success'!A:M""), 12, FAlSE)"),"#N/A")</f>
        <v>#N/A</v>
      </c>
      <c r="BA597" s="61" t="str">
        <f>IFERROR(__xludf.DUMMYFUNCTION("vlookup(BB597,importrange(""https://docs.google.com/spreadsheets/d/1d2vevQ_7D_v35q4wCQ4RpQ_IPoTwEMB9Yp6ymwlPqew/edit?gid=984458430#gid=984458430"", ""'replication success'!A:M""), 13, FAlSE)"),"#N/A")</f>
        <v>#N/A</v>
      </c>
      <c r="BB597" s="61" t="str">
        <f>IFERROR(__xludf.DUMMYFUNCTION("REGEXREPLACE(G597, ""_[a-z]{1,2}$"", """")"),"additional_studies86")</f>
        <v>additional_studies86</v>
      </c>
      <c r="BC597" s="752"/>
      <c r="BD597" s="839" t="s">
        <v>692</v>
      </c>
      <c r="BE597" s="752"/>
      <c r="BF597" s="752"/>
      <c r="BG597" s="752"/>
      <c r="BH597" s="752"/>
      <c r="BI597" s="752"/>
      <c r="BJ597" s="752"/>
      <c r="BK597" s="752"/>
      <c r="BL597" s="752"/>
      <c r="BM597" s="752"/>
      <c r="BN597" s="752"/>
      <c r="BO597" s="752"/>
      <c r="BP597" s="752"/>
      <c r="BQ597" s="752"/>
      <c r="BR597" s="752"/>
      <c r="BS597" s="752"/>
      <c r="BT597" s="752"/>
      <c r="BU597" s="752"/>
      <c r="BV597" s="752"/>
      <c r="BW597" s="752"/>
      <c r="BX597" s="752"/>
      <c r="BY597" s="752"/>
      <c r="BZ597" s="752"/>
      <c r="CA597" s="752"/>
      <c r="CB597" s="752"/>
      <c r="CC597" s="752"/>
      <c r="CD597" s="752"/>
      <c r="CE597" s="752"/>
      <c r="CF597" s="752"/>
      <c r="CG597" s="752"/>
      <c r="CH597" s="752"/>
      <c r="CI597" s="752"/>
      <c r="CJ597" s="752"/>
      <c r="CK597" s="752"/>
      <c r="CL597" s="752"/>
      <c r="CM597" s="752"/>
      <c r="CN597" s="752"/>
      <c r="CO597" s="752"/>
      <c r="CP597" s="752"/>
      <c r="CQ597" s="752"/>
      <c r="CR597" s="752"/>
      <c r="CS597" s="752"/>
      <c r="CT597" s="752"/>
      <c r="CU597" s="752"/>
      <c r="CV597" s="752"/>
      <c r="CW597" s="752"/>
      <c r="CX597" s="752"/>
      <c r="CY597" s="752"/>
      <c r="CZ597" s="752"/>
      <c r="DA597" s="752"/>
      <c r="DB597" s="752"/>
      <c r="DC597" s="752"/>
      <c r="DD597" s="752"/>
      <c r="DE597" s="752"/>
      <c r="DF597" s="752"/>
      <c r="DG597" s="752"/>
      <c r="DH597" s="752"/>
      <c r="DI597" s="752"/>
      <c r="DJ597" s="752"/>
      <c r="DK597" s="752"/>
      <c r="DL597" s="752"/>
    </row>
    <row r="598" ht="20.25" customHeight="1">
      <c r="A598" s="44">
        <v>598.0</v>
      </c>
      <c r="B598" s="45" t="s">
        <v>285</v>
      </c>
      <c r="C598" s="45" t="s">
        <v>115</v>
      </c>
      <c r="D598" s="45" t="s">
        <v>2930</v>
      </c>
      <c r="E598" s="65"/>
      <c r="F598" s="62" t="s">
        <v>3313</v>
      </c>
      <c r="G598" s="45" t="s">
        <v>3314</v>
      </c>
      <c r="H598" s="45" t="s">
        <v>2933</v>
      </c>
      <c r="I598" s="63">
        <v>45489.0</v>
      </c>
      <c r="J598" s="64">
        <v>45636.0</v>
      </c>
      <c r="K598" s="45" t="s">
        <v>3315</v>
      </c>
      <c r="L598" s="65"/>
      <c r="M598" s="45" t="s">
        <v>3316</v>
      </c>
      <c r="N598" s="45" t="s">
        <v>3317</v>
      </c>
      <c r="O598" s="65"/>
      <c r="P598" s="66" t="s">
        <v>3318</v>
      </c>
      <c r="Q598" s="52" t="str">
        <f t="array" ref="Q598"> if(iserror(MATCH(V598, 'File Links'!C:C, 0)), "N/A", HYPERLINK(INDEX('File Links'!B:B, MATCH(P598, 'File Links'!C:C, 0))))</f>
        <v>https://drive.google.com/file/d/19vVZNnZqbHViA7ik9IZlctpt3T8O8e-i/view?usp=drivesdk</v>
      </c>
      <c r="R598" s="45" t="s">
        <v>3319</v>
      </c>
      <c r="S598" s="45" t="s">
        <v>3320</v>
      </c>
      <c r="T598" s="65"/>
      <c r="U598" s="45"/>
      <c r="V598" s="198" t="str">
        <f t="shared" si="35"/>
        <v>10.1080--13527266.2024.2376918.pdf</v>
      </c>
      <c r="W598" s="65"/>
      <c r="X598" s="54" t="str">
        <f t="array" ref="X598"> if(iserror(MATCH(V598, 'File Links'!C:C, 0)), "N/A", HYPERLINK(INDEX('File Links'!B:B, MATCH(V598, 'File Links'!C:C, 0))))</f>
        <v>https://drive.google.com/file/d/1lBAeCGIckBPanOLBGZwhA7XjuahS_0Dx/view?usp=drivesdk</v>
      </c>
      <c r="Y598" s="65"/>
      <c r="Z598" s="65"/>
      <c r="AA598" s="65"/>
      <c r="AB598" s="65"/>
      <c r="AC598" s="65"/>
      <c r="AD598" s="65"/>
      <c r="AE598" s="65"/>
      <c r="AF598" s="65"/>
      <c r="AG598" s="65"/>
      <c r="AH598" s="45"/>
      <c r="AI598" s="65"/>
      <c r="AJ598" s="65"/>
      <c r="AK598" s="67"/>
      <c r="AL598" s="65"/>
      <c r="AM598" s="65"/>
      <c r="AN598" s="219" t="s">
        <v>138</v>
      </c>
      <c r="AO598" s="65"/>
      <c r="AP598" s="65"/>
      <c r="AQ598" s="65"/>
      <c r="AR598" s="65"/>
      <c r="AS598" s="65"/>
      <c r="AT598" s="67"/>
      <c r="AU598" s="67"/>
      <c r="AV598" s="68"/>
      <c r="AX598" s="67"/>
      <c r="AY598" s="61" t="str">
        <f>IFERROR(__xludf.DUMMYFUNCTION("vlookup(BB598,importrange(""https://docs.google.com/spreadsheets/d/1d2vevQ_7D_v35q4wCQ4RpQ_IPoTwEMB9Yp6ymwlPqew/edit?gid=984458430#gid=984458430"", ""'replication success'!A:K""), 11, FAlSE)"),"#N/A")</f>
        <v>#N/A</v>
      </c>
      <c r="AZ598" s="61" t="str">
        <f>IFERROR(__xludf.DUMMYFUNCTION("vlookup(BB598,importrange(""https://docs.google.com/spreadsheets/d/1d2vevQ_7D_v35q4wCQ4RpQ_IPoTwEMB9Yp6ymwlPqew/edit?gid=984458430#gid=984458430"", ""'replication success'!A:M""), 12, FAlSE)"),"#N/A")</f>
        <v>#N/A</v>
      </c>
      <c r="BA598" s="61" t="str">
        <f>IFERROR(__xludf.DUMMYFUNCTION("vlookup(BB598,importrange(""https://docs.google.com/spreadsheets/d/1d2vevQ_7D_v35q4wCQ4RpQ_IPoTwEMB9Yp6ymwlPqew/edit?gid=984458430#gid=984458430"", ""'replication success'!A:M""), 13, FAlSE)"),"#N/A")</f>
        <v>#N/A</v>
      </c>
      <c r="BB598" s="61" t="str">
        <f>IFERROR(__xludf.DUMMYFUNCTION("REGEXREPLACE(G598, ""_[a-z]{1,2}$"", """")"),"additional_studies87")</f>
        <v>additional_studies87</v>
      </c>
      <c r="BC598" s="65"/>
      <c r="BE598" s="107"/>
      <c r="BF598" s="107"/>
      <c r="BG598" s="107"/>
      <c r="BH598" s="107"/>
      <c r="BI598" s="107"/>
      <c r="BJ598" s="107"/>
      <c r="BK598" s="107"/>
      <c r="BL598" s="107"/>
      <c r="BM598" s="107"/>
      <c r="BN598" s="107"/>
      <c r="BO598" s="107"/>
      <c r="BP598" s="107"/>
      <c r="BQ598" s="107"/>
      <c r="BR598" s="107"/>
      <c r="BS598" s="107"/>
      <c r="BT598" s="107"/>
      <c r="BU598" s="107"/>
      <c r="BV598" s="107"/>
      <c r="BW598" s="107"/>
      <c r="BX598" s="107"/>
      <c r="BY598" s="107"/>
      <c r="BZ598" s="107"/>
      <c r="CA598" s="107"/>
      <c r="CB598" s="107"/>
      <c r="CC598" s="107"/>
      <c r="CD598" s="107"/>
      <c r="CE598" s="107"/>
      <c r="CF598" s="107"/>
      <c r="CG598" s="107"/>
      <c r="CH598" s="107"/>
      <c r="CI598" s="107"/>
      <c r="CJ598" s="107"/>
      <c r="CK598" s="107"/>
      <c r="CL598" s="107"/>
      <c r="CM598" s="107"/>
      <c r="CN598" s="107"/>
      <c r="CO598" s="107"/>
      <c r="CP598" s="107"/>
      <c r="CQ598" s="107"/>
      <c r="CR598" s="107"/>
      <c r="CS598" s="107"/>
      <c r="CT598" s="107"/>
      <c r="CU598" s="107"/>
      <c r="CV598" s="107"/>
      <c r="CW598" s="107"/>
      <c r="CX598" s="107"/>
      <c r="CY598" s="107"/>
      <c r="CZ598" s="107"/>
      <c r="DA598" s="107"/>
      <c r="DB598" s="107"/>
      <c r="DC598" s="107"/>
      <c r="DD598" s="107"/>
      <c r="DE598" s="107"/>
      <c r="DF598" s="107"/>
      <c r="DG598" s="107"/>
      <c r="DH598" s="107"/>
      <c r="DI598" s="107"/>
      <c r="DJ598" s="107"/>
      <c r="DK598" s="107"/>
      <c r="DL598" s="107"/>
    </row>
    <row r="599" ht="20.25" customHeight="1">
      <c r="A599" s="354">
        <v>599.0</v>
      </c>
      <c r="B599" s="124" t="s">
        <v>114</v>
      </c>
      <c r="C599" s="124" t="s">
        <v>115</v>
      </c>
      <c r="D599" s="124" t="s">
        <v>990</v>
      </c>
      <c r="E599" s="107"/>
      <c r="F599" s="140" t="s">
        <v>3321</v>
      </c>
      <c r="G599" s="126" t="s">
        <v>3322</v>
      </c>
      <c r="H599" s="126" t="s">
        <v>144</v>
      </c>
      <c r="I599" s="317">
        <v>45489.0</v>
      </c>
      <c r="J599" s="127">
        <v>45636.0</v>
      </c>
      <c r="K599" s="132"/>
      <c r="L599" s="132"/>
      <c r="M599" s="126" t="s">
        <v>3323</v>
      </c>
      <c r="N599" s="126" t="s">
        <v>3324</v>
      </c>
      <c r="O599" s="130">
        <v>1.0</v>
      </c>
      <c r="P599" s="223" t="s">
        <v>3325</v>
      </c>
      <c r="Q599" s="906" t="str">
        <f t="array" ref="Q599"> if(iserror(MATCH(V599, 'File Links'!C:C, 0)), "N/A", HYPERLINK(INDEX('File Links'!B:B, MATCH(P599, 'File Links'!C:C, 0))))</f>
        <v>https://drive.google.com/file/d/1-cST4Xer2glOXMG5eTrJVkRfofzfqFTW/view?usp=drivesdk</v>
      </c>
      <c r="R599" s="126" t="s">
        <v>3326</v>
      </c>
      <c r="S599" s="126" t="s">
        <v>3327</v>
      </c>
      <c r="T599" s="132"/>
      <c r="U599" s="133">
        <v>1.0</v>
      </c>
      <c r="V599" s="140" t="str">
        <f t="shared" si="35"/>
        <v>10.31234--osf.io--xr6bn.pdf</v>
      </c>
      <c r="W599" s="907" t="s">
        <v>672</v>
      </c>
      <c r="X599" s="908" t="str">
        <f t="array" ref="X599"> if(iserror(MATCH(V599, 'File Links'!C:C, 0)), "N/A", HYPERLINK(INDEX('File Links'!B:B, MATCH(V599, 'File Links'!C:C, 0))))</f>
        <v>https://drive.google.com/file/d/1JQppLKOXxrmIyxFhDZtY85ZoIv_TVdh_/view?usp=drivesdk</v>
      </c>
      <c r="Y599" s="132"/>
      <c r="Z599" s="126" t="s">
        <v>148</v>
      </c>
      <c r="AA599" s="126" t="s">
        <v>3328</v>
      </c>
      <c r="AB599" s="126" t="s">
        <v>3329</v>
      </c>
      <c r="AC599" s="126" t="s">
        <v>3330</v>
      </c>
      <c r="AD599" s="126" t="s">
        <v>3331</v>
      </c>
      <c r="AE599" s="130">
        <v>3.0</v>
      </c>
      <c r="AF599" s="130">
        <v>41.0</v>
      </c>
      <c r="AG599" s="130">
        <v>0.6</v>
      </c>
      <c r="AH599" s="223" t="s">
        <v>3332</v>
      </c>
      <c r="AI599" s="132"/>
      <c r="AJ599" s="132"/>
      <c r="AK599" s="125"/>
      <c r="AL599" s="132"/>
      <c r="AM599" s="132"/>
      <c r="AN599" s="219" t="s">
        <v>138</v>
      </c>
      <c r="AO599" s="130">
        <v>182.0</v>
      </c>
      <c r="AP599" s="130">
        <v>0.45</v>
      </c>
      <c r="AQ599" s="126" t="s">
        <v>3332</v>
      </c>
      <c r="AR599" s="130">
        <v>19.0</v>
      </c>
      <c r="AS599" s="132"/>
      <c r="AT599" s="125"/>
      <c r="AU599" s="140" t="s">
        <v>186</v>
      </c>
      <c r="AV599" s="125" t="s">
        <v>137</v>
      </c>
      <c r="AW599" s="670" t="s">
        <v>3333</v>
      </c>
      <c r="AX599" s="909" t="s">
        <v>143</v>
      </c>
      <c r="AY599" s="61" t="str">
        <f>IFERROR(__xludf.DUMMYFUNCTION("vlookup(BB599,importrange(""https://docs.google.com/spreadsheets/d/1d2vevQ_7D_v35q4wCQ4RpQ_IPoTwEMB9Yp6ymwlPqew/edit?gid=984458430#gid=984458430"", ""'replication success'!A:K""), 11, FAlSE)"),"#N/A")</f>
        <v>#N/A</v>
      </c>
      <c r="AZ599" s="61" t="str">
        <f>IFERROR(__xludf.DUMMYFUNCTION("vlookup(BB599,importrange(""https://docs.google.com/spreadsheets/d/1d2vevQ_7D_v35q4wCQ4RpQ_IPoTwEMB9Yp6ymwlPqew/edit?gid=984458430#gid=984458430"", ""'replication success'!A:M""), 12, FAlSE)"),"#N/A")</f>
        <v>#N/A</v>
      </c>
      <c r="BA599" s="61" t="str">
        <f>IFERROR(__xludf.DUMMYFUNCTION("vlookup(BB599,importrange(""https://docs.google.com/spreadsheets/d/1d2vevQ_7D_v35q4wCQ4RpQ_IPoTwEMB9Yp6ymwlPqew/edit?gid=984458430#gid=984458430"", ""'replication success'!A:M""), 13, FAlSE)"),"#N/A")</f>
        <v>#N/A</v>
      </c>
      <c r="BB599" s="61" t="str">
        <f>IFERROR(__xludf.DUMMYFUNCTION("REGEXREPLACE(G599, ""_[a-z]{1,2}$"", """")"),"additional_studies88")</f>
        <v>additional_studies88</v>
      </c>
      <c r="BC599" s="132"/>
      <c r="BD599" s="124" t="s">
        <v>692</v>
      </c>
      <c r="BE599" s="107"/>
      <c r="BF599" s="107"/>
      <c r="BG599" s="107"/>
      <c r="BH599" s="107"/>
      <c r="BI599" s="107"/>
      <c r="BJ599" s="107"/>
      <c r="BK599" s="107"/>
      <c r="BL599" s="107"/>
      <c r="BM599" s="107"/>
      <c r="BN599" s="107"/>
      <c r="BO599" s="107"/>
      <c r="BP599" s="107"/>
      <c r="BQ599" s="107"/>
      <c r="BR599" s="107"/>
      <c r="BS599" s="107"/>
      <c r="BT599" s="107"/>
      <c r="BU599" s="107"/>
      <c r="BV599" s="107"/>
      <c r="BW599" s="107"/>
      <c r="BX599" s="107"/>
      <c r="BY599" s="107"/>
      <c r="BZ599" s="107"/>
      <c r="CA599" s="107"/>
      <c r="CB599" s="107"/>
      <c r="CC599" s="107"/>
      <c r="CD599" s="107"/>
      <c r="CE599" s="107"/>
      <c r="CF599" s="107"/>
      <c r="CG599" s="107"/>
      <c r="CH599" s="107"/>
      <c r="CI599" s="107"/>
      <c r="CJ599" s="107"/>
      <c r="CK599" s="107"/>
      <c r="CL599" s="107"/>
      <c r="CM599" s="107"/>
      <c r="CN599" s="107"/>
      <c r="CO599" s="107"/>
      <c r="CP599" s="107"/>
      <c r="CQ599" s="107"/>
      <c r="CR599" s="107"/>
      <c r="CS599" s="107"/>
      <c r="CT599" s="107"/>
      <c r="CU599" s="107"/>
      <c r="CV599" s="107"/>
      <c r="CW599" s="107"/>
      <c r="CX599" s="107"/>
      <c r="CY599" s="107"/>
      <c r="CZ599" s="107"/>
      <c r="DA599" s="107"/>
      <c r="DB599" s="107"/>
      <c r="DC599" s="107"/>
      <c r="DD599" s="107"/>
      <c r="DE599" s="107"/>
      <c r="DF599" s="107"/>
      <c r="DG599" s="107"/>
      <c r="DH599" s="107"/>
      <c r="DI599" s="107"/>
      <c r="DJ599" s="107"/>
      <c r="DK599" s="107"/>
      <c r="DL599" s="107"/>
    </row>
    <row r="600" ht="20.25" customHeight="1">
      <c r="A600" s="354">
        <v>600.0</v>
      </c>
      <c r="B600" s="124" t="s">
        <v>114</v>
      </c>
      <c r="C600" s="124" t="s">
        <v>115</v>
      </c>
      <c r="D600" s="124" t="s">
        <v>990</v>
      </c>
      <c r="E600" s="107"/>
      <c r="F600" s="140" t="s">
        <v>3321</v>
      </c>
      <c r="G600" s="126" t="s">
        <v>3334</v>
      </c>
      <c r="H600" s="126" t="s">
        <v>144</v>
      </c>
      <c r="I600" s="317">
        <v>45489.0</v>
      </c>
      <c r="J600" s="127">
        <v>45636.0</v>
      </c>
      <c r="K600" s="132"/>
      <c r="L600" s="132"/>
      <c r="M600" s="126" t="s">
        <v>3323</v>
      </c>
      <c r="N600" s="126" t="s">
        <v>3324</v>
      </c>
      <c r="O600" s="130">
        <v>1.0</v>
      </c>
      <c r="P600" s="223" t="s">
        <v>3325</v>
      </c>
      <c r="Q600" s="906" t="str">
        <f t="array" ref="Q600"> if(iserror(MATCH(V600, 'File Links'!C:C, 0)), "N/A", HYPERLINK(INDEX('File Links'!B:B, MATCH(P600, 'File Links'!C:C, 0))))</f>
        <v>https://drive.google.com/file/d/1-cST4Xer2glOXMG5eTrJVkRfofzfqFTW/view?usp=drivesdk</v>
      </c>
      <c r="R600" s="126" t="s">
        <v>3326</v>
      </c>
      <c r="S600" s="126" t="s">
        <v>3327</v>
      </c>
      <c r="T600" s="132"/>
      <c r="U600" s="105"/>
      <c r="V600" s="140" t="str">
        <f t="shared" si="35"/>
        <v>10.31234--osf.io--xr6bn.pdf</v>
      </c>
      <c r="W600" s="907" t="s">
        <v>672</v>
      </c>
      <c r="X600" s="908" t="str">
        <f t="array" ref="X600"> if(iserror(MATCH(V600, 'File Links'!C:C, 0)), "N/A", HYPERLINK(INDEX('File Links'!B:B, MATCH(V600, 'File Links'!C:C, 0))))</f>
        <v>https://drive.google.com/file/d/1JQppLKOXxrmIyxFhDZtY85ZoIv_TVdh_/view?usp=drivesdk</v>
      </c>
      <c r="Y600" s="132"/>
      <c r="Z600" s="126" t="s">
        <v>148</v>
      </c>
      <c r="AA600" s="126" t="s">
        <v>3328</v>
      </c>
      <c r="AB600" s="126" t="s">
        <v>3329</v>
      </c>
      <c r="AC600" s="126" t="s">
        <v>3335</v>
      </c>
      <c r="AD600" s="126" t="s">
        <v>3336</v>
      </c>
      <c r="AE600" s="130">
        <v>3.0</v>
      </c>
      <c r="AF600" s="130">
        <v>40.0</v>
      </c>
      <c r="AG600" s="130">
        <v>0.5</v>
      </c>
      <c r="AH600" s="223" t="s">
        <v>3332</v>
      </c>
      <c r="AI600" s="132"/>
      <c r="AJ600" s="132"/>
      <c r="AK600" s="125"/>
      <c r="AL600" s="132"/>
      <c r="AM600" s="132"/>
      <c r="AN600" s="219" t="s">
        <v>138</v>
      </c>
      <c r="AO600" s="130">
        <v>182.0</v>
      </c>
      <c r="AP600" s="130">
        <v>0.61</v>
      </c>
      <c r="AQ600" s="126" t="s">
        <v>3332</v>
      </c>
      <c r="AR600" s="130">
        <v>19.0</v>
      </c>
      <c r="AS600" s="132"/>
      <c r="AT600" s="125"/>
      <c r="AU600" s="140" t="s">
        <v>186</v>
      </c>
      <c r="AV600" s="125" t="s">
        <v>137</v>
      </c>
      <c r="AW600" s="670" t="s">
        <v>3333</v>
      </c>
      <c r="AX600" s="909" t="s">
        <v>143</v>
      </c>
      <c r="AY600" s="61" t="str">
        <f>IFERROR(__xludf.DUMMYFUNCTION("vlookup(BB600,importrange(""https://docs.google.com/spreadsheets/d/1d2vevQ_7D_v35q4wCQ4RpQ_IPoTwEMB9Yp6ymwlPqew/edit?gid=984458430#gid=984458430"", ""'replication success'!A:K""), 11, FAlSE)"),"#N/A")</f>
        <v>#N/A</v>
      </c>
      <c r="AZ600" s="61" t="str">
        <f>IFERROR(__xludf.DUMMYFUNCTION("vlookup(BB600,importrange(""https://docs.google.com/spreadsheets/d/1d2vevQ_7D_v35q4wCQ4RpQ_IPoTwEMB9Yp6ymwlPqew/edit?gid=984458430#gid=984458430"", ""'replication success'!A:M""), 12, FAlSE)"),"#N/A")</f>
        <v>#N/A</v>
      </c>
      <c r="BA600" s="61" t="str">
        <f>IFERROR(__xludf.DUMMYFUNCTION("vlookup(BB600,importrange(""https://docs.google.com/spreadsheets/d/1d2vevQ_7D_v35q4wCQ4RpQ_IPoTwEMB9Yp6ymwlPqew/edit?gid=984458430#gid=984458430"", ""'replication success'!A:M""), 13, FAlSE)"),"#N/A")</f>
        <v>#N/A</v>
      </c>
      <c r="BB600" s="61" t="str">
        <f>IFERROR(__xludf.DUMMYFUNCTION("REGEXREPLACE(G600, ""_[a-z]{1,2}$"", """")"),"additional_studies88")</f>
        <v>additional_studies88</v>
      </c>
      <c r="BC600" s="132"/>
      <c r="BD600" s="124" t="s">
        <v>692</v>
      </c>
      <c r="BE600" s="107"/>
      <c r="BF600" s="107"/>
      <c r="BG600" s="107"/>
      <c r="BH600" s="107"/>
      <c r="BI600" s="107"/>
      <c r="BJ600" s="107"/>
      <c r="BK600" s="107"/>
      <c r="BL600" s="107"/>
      <c r="BM600" s="107"/>
      <c r="BN600" s="107"/>
      <c r="BO600" s="107"/>
      <c r="BP600" s="107"/>
      <c r="BQ600" s="107"/>
      <c r="BR600" s="107"/>
      <c r="BS600" s="107"/>
      <c r="BT600" s="107"/>
      <c r="BU600" s="107"/>
      <c r="BV600" s="107"/>
      <c r="BW600" s="107"/>
      <c r="BX600" s="107"/>
      <c r="BY600" s="107"/>
      <c r="BZ600" s="107"/>
      <c r="CA600" s="107"/>
      <c r="CB600" s="107"/>
      <c r="CC600" s="107"/>
      <c r="CD600" s="107"/>
      <c r="CE600" s="107"/>
      <c r="CF600" s="107"/>
      <c r="CG600" s="107"/>
      <c r="CH600" s="107"/>
      <c r="CI600" s="107"/>
      <c r="CJ600" s="107"/>
      <c r="CK600" s="107"/>
      <c r="CL600" s="107"/>
      <c r="CM600" s="107"/>
      <c r="CN600" s="107"/>
      <c r="CO600" s="107"/>
      <c r="CP600" s="107"/>
      <c r="CQ600" s="107"/>
      <c r="CR600" s="107"/>
      <c r="CS600" s="107"/>
      <c r="CT600" s="107"/>
      <c r="CU600" s="107"/>
      <c r="CV600" s="107"/>
      <c r="CW600" s="107"/>
      <c r="CX600" s="107"/>
      <c r="CY600" s="107"/>
      <c r="CZ600" s="107"/>
      <c r="DA600" s="107"/>
      <c r="DB600" s="107"/>
      <c r="DC600" s="107"/>
      <c r="DD600" s="107"/>
      <c r="DE600" s="107"/>
      <c r="DF600" s="107"/>
      <c r="DG600" s="107"/>
      <c r="DH600" s="107"/>
      <c r="DI600" s="107"/>
      <c r="DJ600" s="107"/>
      <c r="DK600" s="107"/>
      <c r="DL600" s="107"/>
    </row>
    <row r="601" ht="20.25" customHeight="1">
      <c r="A601" s="354">
        <v>601.0</v>
      </c>
      <c r="B601" s="124" t="s">
        <v>114</v>
      </c>
      <c r="C601" s="124" t="s">
        <v>115</v>
      </c>
      <c r="D601" s="124" t="s">
        <v>990</v>
      </c>
      <c r="E601" s="107"/>
      <c r="F601" s="140" t="s">
        <v>3321</v>
      </c>
      <c r="G601" s="126" t="s">
        <v>3337</v>
      </c>
      <c r="H601" s="126" t="s">
        <v>144</v>
      </c>
      <c r="I601" s="317">
        <v>45489.0</v>
      </c>
      <c r="J601" s="127">
        <v>45636.0</v>
      </c>
      <c r="K601" s="132"/>
      <c r="L601" s="132"/>
      <c r="M601" s="126" t="s">
        <v>3323</v>
      </c>
      <c r="N601" s="126" t="s">
        <v>3324</v>
      </c>
      <c r="O601" s="130">
        <v>1.0</v>
      </c>
      <c r="P601" s="223" t="s">
        <v>3325</v>
      </c>
      <c r="Q601" s="906" t="str">
        <f t="array" ref="Q601"> if(iserror(MATCH(V601, 'File Links'!C:C, 0)), "N/A", HYPERLINK(INDEX('File Links'!B:B, MATCH(P601, 'File Links'!C:C, 0))))</f>
        <v>https://drive.google.com/file/d/1-cST4Xer2glOXMG5eTrJVkRfofzfqFTW/view?usp=drivesdk</v>
      </c>
      <c r="R601" s="126" t="s">
        <v>3326</v>
      </c>
      <c r="S601" s="126" t="s">
        <v>3327</v>
      </c>
      <c r="T601" s="132"/>
      <c r="U601" s="133">
        <v>1.0</v>
      </c>
      <c r="V601" s="140" t="str">
        <f t="shared" si="35"/>
        <v>10.31234--osf.io--xr6bn.pdf</v>
      </c>
      <c r="W601" s="907" t="s">
        <v>672</v>
      </c>
      <c r="X601" s="908" t="str">
        <f t="array" ref="X601"> if(iserror(MATCH(V601, 'File Links'!C:C, 0)), "N/A", HYPERLINK(INDEX('File Links'!B:B, MATCH(V601, 'File Links'!C:C, 0))))</f>
        <v>https://drive.google.com/file/d/1JQppLKOXxrmIyxFhDZtY85ZoIv_TVdh_/view?usp=drivesdk</v>
      </c>
      <c r="Y601" s="132"/>
      <c r="Z601" s="126" t="s">
        <v>148</v>
      </c>
      <c r="AA601" s="126" t="s">
        <v>3328</v>
      </c>
      <c r="AB601" s="126" t="s">
        <v>3329</v>
      </c>
      <c r="AC601" s="126" t="s">
        <v>3338</v>
      </c>
      <c r="AD601" s="126" t="s">
        <v>3339</v>
      </c>
      <c r="AE601" s="130">
        <v>3.0</v>
      </c>
      <c r="AF601" s="130">
        <v>40.0</v>
      </c>
      <c r="AG601" s="130">
        <v>0.6</v>
      </c>
      <c r="AH601" s="223" t="s">
        <v>3332</v>
      </c>
      <c r="AI601" s="132"/>
      <c r="AJ601" s="132"/>
      <c r="AK601" s="125"/>
      <c r="AL601" s="132"/>
      <c r="AM601" s="132"/>
      <c r="AN601" s="219" t="s">
        <v>138</v>
      </c>
      <c r="AO601" s="130">
        <v>182.0</v>
      </c>
      <c r="AP601" s="130">
        <v>0.61</v>
      </c>
      <c r="AQ601" s="126" t="s">
        <v>3332</v>
      </c>
      <c r="AR601" s="130">
        <v>19.0</v>
      </c>
      <c r="AS601" s="132"/>
      <c r="AT601" s="125"/>
      <c r="AU601" s="140" t="s">
        <v>186</v>
      </c>
      <c r="AV601" s="125" t="s">
        <v>137</v>
      </c>
      <c r="AW601" s="670" t="s">
        <v>3333</v>
      </c>
      <c r="AX601" s="909" t="s">
        <v>143</v>
      </c>
      <c r="AY601" s="61" t="str">
        <f>IFERROR(__xludf.DUMMYFUNCTION("vlookup(BB601,importrange(""https://docs.google.com/spreadsheets/d/1d2vevQ_7D_v35q4wCQ4RpQ_IPoTwEMB9Yp6ymwlPqew/edit?gid=984458430#gid=984458430"", ""'replication success'!A:K""), 11, FAlSE)"),"#N/A")</f>
        <v>#N/A</v>
      </c>
      <c r="AZ601" s="61" t="str">
        <f>IFERROR(__xludf.DUMMYFUNCTION("vlookup(BB601,importrange(""https://docs.google.com/spreadsheets/d/1d2vevQ_7D_v35q4wCQ4RpQ_IPoTwEMB9Yp6ymwlPqew/edit?gid=984458430#gid=984458430"", ""'replication success'!A:M""), 12, FAlSE)"),"#N/A")</f>
        <v>#N/A</v>
      </c>
      <c r="BA601" s="61" t="str">
        <f>IFERROR(__xludf.DUMMYFUNCTION("vlookup(BB601,importrange(""https://docs.google.com/spreadsheets/d/1d2vevQ_7D_v35q4wCQ4RpQ_IPoTwEMB9Yp6ymwlPqew/edit?gid=984458430#gid=984458430"", ""'replication success'!A:M""), 13, FAlSE)"),"#N/A")</f>
        <v>#N/A</v>
      </c>
      <c r="BB601" s="61" t="str">
        <f>IFERROR(__xludf.DUMMYFUNCTION("REGEXREPLACE(G601, ""_[a-z]{1,2}$"", """")"),"additional_studies88")</f>
        <v>additional_studies88</v>
      </c>
      <c r="BC601" s="132"/>
      <c r="BD601" s="124" t="s">
        <v>692</v>
      </c>
      <c r="BE601" s="107"/>
      <c r="BF601" s="107"/>
      <c r="BG601" s="107"/>
      <c r="BH601" s="107"/>
      <c r="BI601" s="107"/>
      <c r="BJ601" s="107"/>
      <c r="BK601" s="107"/>
      <c r="BL601" s="107"/>
      <c r="BM601" s="107"/>
      <c r="BN601" s="107"/>
      <c r="BO601" s="107"/>
      <c r="BP601" s="107"/>
      <c r="BQ601" s="107"/>
      <c r="BR601" s="107"/>
      <c r="BS601" s="107"/>
      <c r="BT601" s="107"/>
      <c r="BU601" s="107"/>
      <c r="BV601" s="107"/>
      <c r="BW601" s="107"/>
      <c r="BX601" s="107"/>
      <c r="BY601" s="107"/>
      <c r="BZ601" s="107"/>
      <c r="CA601" s="107"/>
      <c r="CB601" s="107"/>
      <c r="CC601" s="107"/>
      <c r="CD601" s="107"/>
      <c r="CE601" s="107"/>
      <c r="CF601" s="107"/>
      <c r="CG601" s="107"/>
      <c r="CH601" s="107"/>
      <c r="CI601" s="107"/>
      <c r="CJ601" s="107"/>
      <c r="CK601" s="107"/>
      <c r="CL601" s="107"/>
      <c r="CM601" s="107"/>
      <c r="CN601" s="107"/>
      <c r="CO601" s="107"/>
      <c r="CP601" s="107"/>
      <c r="CQ601" s="107"/>
      <c r="CR601" s="107"/>
      <c r="CS601" s="107"/>
      <c r="CT601" s="107"/>
      <c r="CU601" s="107"/>
      <c r="CV601" s="107"/>
      <c r="CW601" s="107"/>
      <c r="CX601" s="107"/>
      <c r="CY601" s="107"/>
      <c r="CZ601" s="107"/>
      <c r="DA601" s="107"/>
      <c r="DB601" s="107"/>
      <c r="DC601" s="107"/>
      <c r="DD601" s="107"/>
      <c r="DE601" s="107"/>
      <c r="DF601" s="107"/>
      <c r="DG601" s="107"/>
      <c r="DH601" s="107"/>
      <c r="DI601" s="107"/>
      <c r="DJ601" s="107"/>
      <c r="DK601" s="107"/>
      <c r="DL601" s="107"/>
    </row>
    <row r="602" ht="20.25" customHeight="1">
      <c r="A602" s="354">
        <v>602.0</v>
      </c>
      <c r="B602" s="124" t="s">
        <v>114</v>
      </c>
      <c r="C602" s="124" t="s">
        <v>115</v>
      </c>
      <c r="D602" s="124" t="s">
        <v>990</v>
      </c>
      <c r="E602" s="107"/>
      <c r="F602" s="140" t="s">
        <v>3321</v>
      </c>
      <c r="G602" s="126" t="s">
        <v>3340</v>
      </c>
      <c r="H602" s="126" t="s">
        <v>144</v>
      </c>
      <c r="I602" s="317">
        <v>45489.0</v>
      </c>
      <c r="J602" s="127">
        <v>45637.0</v>
      </c>
      <c r="K602" s="132"/>
      <c r="L602" s="132"/>
      <c r="M602" s="126" t="s">
        <v>3323</v>
      </c>
      <c r="N602" s="126" t="s">
        <v>3324</v>
      </c>
      <c r="O602" s="130">
        <v>1.0</v>
      </c>
      <c r="P602" s="223" t="s">
        <v>3325</v>
      </c>
      <c r="Q602" s="906" t="str">
        <f t="array" ref="Q602"> if(iserror(MATCH(V602, 'File Links'!C:C, 0)), "N/A", HYPERLINK(INDEX('File Links'!B:B, MATCH(P602, 'File Links'!C:C, 0))))</f>
        <v>https://drive.google.com/file/d/1-cST4Xer2glOXMG5eTrJVkRfofzfqFTW/view?usp=drivesdk</v>
      </c>
      <c r="R602" s="126" t="s">
        <v>3326</v>
      </c>
      <c r="S602" s="126" t="s">
        <v>3327</v>
      </c>
      <c r="T602" s="132"/>
      <c r="U602" s="133">
        <v>1.0</v>
      </c>
      <c r="V602" s="140" t="str">
        <f t="shared" si="35"/>
        <v>10.31234--osf.io--xr6bn.pdf</v>
      </c>
      <c r="W602" s="907" t="s">
        <v>672</v>
      </c>
      <c r="X602" s="908" t="str">
        <f t="array" ref="X602"> if(iserror(MATCH(V602, 'File Links'!C:C, 0)), "N/A", HYPERLINK(INDEX('File Links'!B:B, MATCH(V602, 'File Links'!C:C, 0))))</f>
        <v>https://drive.google.com/file/d/1JQppLKOXxrmIyxFhDZtY85ZoIv_TVdh_/view?usp=drivesdk</v>
      </c>
      <c r="Y602" s="132"/>
      <c r="Z602" s="126" t="s">
        <v>148</v>
      </c>
      <c r="AA602" s="126" t="s">
        <v>3328</v>
      </c>
      <c r="AB602" s="126" t="s">
        <v>3329</v>
      </c>
      <c r="AC602" s="126" t="s">
        <v>3330</v>
      </c>
      <c r="AD602" s="126" t="s">
        <v>3331</v>
      </c>
      <c r="AE602" s="130">
        <v>3.0</v>
      </c>
      <c r="AF602" s="130">
        <v>41.0</v>
      </c>
      <c r="AG602" s="130">
        <v>0.6</v>
      </c>
      <c r="AH602" s="223" t="s">
        <v>3332</v>
      </c>
      <c r="AI602" s="132"/>
      <c r="AJ602" s="132"/>
      <c r="AK602" s="125"/>
      <c r="AL602" s="132"/>
      <c r="AM602" s="132"/>
      <c r="AN602" s="219" t="s">
        <v>138</v>
      </c>
      <c r="AO602" s="130">
        <v>182.0</v>
      </c>
      <c r="AP602" s="130">
        <v>0.43</v>
      </c>
      <c r="AQ602" s="132" t="s">
        <v>3341</v>
      </c>
      <c r="AR602" s="130">
        <v>20.0</v>
      </c>
      <c r="AS602" s="132"/>
      <c r="AT602" s="125"/>
      <c r="AU602" s="140" t="s">
        <v>186</v>
      </c>
      <c r="AV602" s="125" t="s">
        <v>137</v>
      </c>
      <c r="AW602" s="670" t="s">
        <v>3333</v>
      </c>
      <c r="AX602" s="909" t="s">
        <v>151</v>
      </c>
      <c r="AY602" s="61" t="str">
        <f>IFERROR(__xludf.DUMMYFUNCTION("vlookup(BB602,importrange(""https://docs.google.com/spreadsheets/d/1d2vevQ_7D_v35q4wCQ4RpQ_IPoTwEMB9Yp6ymwlPqew/edit?gid=984458430#gid=984458430"", ""'replication success'!A:K""), 11, FAlSE)"),"#N/A")</f>
        <v>#N/A</v>
      </c>
      <c r="AZ602" s="61" t="str">
        <f>IFERROR(__xludf.DUMMYFUNCTION("vlookup(BB602,importrange(""https://docs.google.com/spreadsheets/d/1d2vevQ_7D_v35q4wCQ4RpQ_IPoTwEMB9Yp6ymwlPqew/edit?gid=984458430#gid=984458430"", ""'replication success'!A:M""), 12, FAlSE)"),"#N/A")</f>
        <v>#N/A</v>
      </c>
      <c r="BA602" s="61" t="str">
        <f>IFERROR(__xludf.DUMMYFUNCTION("vlookup(BB602,importrange(""https://docs.google.com/spreadsheets/d/1d2vevQ_7D_v35q4wCQ4RpQ_IPoTwEMB9Yp6ymwlPqew/edit?gid=984458430#gid=984458430"", ""'replication success'!A:M""), 13, FAlSE)"),"#N/A")</f>
        <v>#N/A</v>
      </c>
      <c r="BB602" s="61" t="str">
        <f>IFERROR(__xludf.DUMMYFUNCTION("REGEXREPLACE(G602, ""_[a-z]{1,2}$"", """")"),"additional_studies88")</f>
        <v>additional_studies88</v>
      </c>
      <c r="BC602" s="132"/>
      <c r="BD602" s="124" t="s">
        <v>692</v>
      </c>
      <c r="BE602" s="107"/>
      <c r="BF602" s="107"/>
      <c r="BG602" s="107"/>
      <c r="BH602" s="107"/>
      <c r="BI602" s="107"/>
      <c r="BJ602" s="107"/>
      <c r="BK602" s="107"/>
      <c r="BL602" s="107"/>
      <c r="BM602" s="107"/>
      <c r="BN602" s="107"/>
      <c r="BO602" s="107"/>
      <c r="BP602" s="107"/>
      <c r="BQ602" s="107"/>
      <c r="BR602" s="107"/>
      <c r="BS602" s="107"/>
      <c r="BT602" s="107"/>
      <c r="BU602" s="107"/>
      <c r="BV602" s="107"/>
      <c r="BW602" s="107"/>
      <c r="BX602" s="107"/>
      <c r="BY602" s="107"/>
      <c r="BZ602" s="107"/>
      <c r="CA602" s="107"/>
      <c r="CB602" s="107"/>
      <c r="CC602" s="107"/>
      <c r="CD602" s="107"/>
      <c r="CE602" s="107"/>
      <c r="CF602" s="107"/>
      <c r="CG602" s="107"/>
      <c r="CH602" s="107"/>
      <c r="CI602" s="107"/>
      <c r="CJ602" s="107"/>
      <c r="CK602" s="107"/>
      <c r="CL602" s="107"/>
      <c r="CM602" s="107"/>
      <c r="CN602" s="107"/>
      <c r="CO602" s="107"/>
      <c r="CP602" s="107"/>
      <c r="CQ602" s="107"/>
      <c r="CR602" s="107"/>
      <c r="CS602" s="107"/>
      <c r="CT602" s="107"/>
      <c r="CU602" s="107"/>
      <c r="CV602" s="107"/>
      <c r="CW602" s="107"/>
      <c r="CX602" s="107"/>
      <c r="CY602" s="107"/>
      <c r="CZ602" s="107"/>
      <c r="DA602" s="107"/>
      <c r="DB602" s="107"/>
      <c r="DC602" s="107"/>
      <c r="DD602" s="107"/>
      <c r="DE602" s="107"/>
      <c r="DF602" s="107"/>
      <c r="DG602" s="107"/>
      <c r="DH602" s="107"/>
      <c r="DI602" s="107"/>
      <c r="DJ602" s="107"/>
      <c r="DK602" s="107"/>
      <c r="DL602" s="107"/>
    </row>
    <row r="603" ht="20.25" customHeight="1">
      <c r="A603" s="354">
        <v>603.0</v>
      </c>
      <c r="B603" s="124" t="s">
        <v>114</v>
      </c>
      <c r="C603" s="124" t="s">
        <v>115</v>
      </c>
      <c r="D603" s="124" t="s">
        <v>990</v>
      </c>
      <c r="E603" s="107"/>
      <c r="F603" s="140" t="s">
        <v>3321</v>
      </c>
      <c r="G603" s="126" t="s">
        <v>3342</v>
      </c>
      <c r="H603" s="126" t="s">
        <v>144</v>
      </c>
      <c r="I603" s="317">
        <v>45489.0</v>
      </c>
      <c r="J603" s="127">
        <v>45637.0</v>
      </c>
      <c r="K603" s="132"/>
      <c r="L603" s="132"/>
      <c r="M603" s="126" t="s">
        <v>3323</v>
      </c>
      <c r="N603" s="126" t="s">
        <v>3324</v>
      </c>
      <c r="O603" s="130">
        <v>1.0</v>
      </c>
      <c r="P603" s="223" t="s">
        <v>3325</v>
      </c>
      <c r="Q603" s="906" t="str">
        <f t="array" ref="Q603"> if(iserror(MATCH(V603, 'File Links'!C:C, 0)), "N/A", HYPERLINK(INDEX('File Links'!B:B, MATCH(P603, 'File Links'!C:C, 0))))</f>
        <v>https://drive.google.com/file/d/1-cST4Xer2glOXMG5eTrJVkRfofzfqFTW/view?usp=drivesdk</v>
      </c>
      <c r="R603" s="126" t="s">
        <v>3326</v>
      </c>
      <c r="S603" s="126" t="s">
        <v>3327</v>
      </c>
      <c r="T603" s="132"/>
      <c r="U603" s="133">
        <v>1.0</v>
      </c>
      <c r="V603" s="140" t="str">
        <f t="shared" si="35"/>
        <v>10.31234--osf.io--xr6bn.pdf</v>
      </c>
      <c r="W603" s="907" t="s">
        <v>672</v>
      </c>
      <c r="X603" s="908" t="str">
        <f t="array" ref="X603"> if(iserror(MATCH(V603, 'File Links'!C:C, 0)), "N/A", HYPERLINK(INDEX('File Links'!B:B, MATCH(V603, 'File Links'!C:C, 0))))</f>
        <v>https://drive.google.com/file/d/1JQppLKOXxrmIyxFhDZtY85ZoIv_TVdh_/view?usp=drivesdk</v>
      </c>
      <c r="Y603" s="132"/>
      <c r="Z603" s="126" t="s">
        <v>148</v>
      </c>
      <c r="AA603" s="126" t="s">
        <v>3328</v>
      </c>
      <c r="AB603" s="126" t="s">
        <v>3329</v>
      </c>
      <c r="AC603" s="126" t="s">
        <v>3335</v>
      </c>
      <c r="AD603" s="126" t="s">
        <v>3336</v>
      </c>
      <c r="AE603" s="130">
        <v>3.0</v>
      </c>
      <c r="AF603" s="130">
        <v>40.0</v>
      </c>
      <c r="AG603" s="130">
        <v>0.5</v>
      </c>
      <c r="AH603" s="223" t="s">
        <v>3332</v>
      </c>
      <c r="AI603" s="132"/>
      <c r="AJ603" s="132"/>
      <c r="AK603" s="125"/>
      <c r="AL603" s="132"/>
      <c r="AM603" s="132"/>
      <c r="AN603" s="219" t="s">
        <v>138</v>
      </c>
      <c r="AO603" s="130">
        <v>182.0</v>
      </c>
      <c r="AP603" s="130">
        <v>0.64</v>
      </c>
      <c r="AQ603" s="132" t="s">
        <v>3341</v>
      </c>
      <c r="AR603" s="130">
        <v>20.0</v>
      </c>
      <c r="AS603" s="132"/>
      <c r="AT603" s="125"/>
      <c r="AU603" s="140" t="s">
        <v>186</v>
      </c>
      <c r="AV603" s="125" t="s">
        <v>137</v>
      </c>
      <c r="AW603" s="670" t="s">
        <v>3333</v>
      </c>
      <c r="AX603" s="909" t="s">
        <v>151</v>
      </c>
      <c r="AY603" s="61" t="str">
        <f>IFERROR(__xludf.DUMMYFUNCTION("vlookup(BB603,importrange(""https://docs.google.com/spreadsheets/d/1d2vevQ_7D_v35q4wCQ4RpQ_IPoTwEMB9Yp6ymwlPqew/edit?gid=984458430#gid=984458430"", ""'replication success'!A:K""), 11, FAlSE)"),"#N/A")</f>
        <v>#N/A</v>
      </c>
      <c r="AZ603" s="61" t="str">
        <f>IFERROR(__xludf.DUMMYFUNCTION("vlookup(BB603,importrange(""https://docs.google.com/spreadsheets/d/1d2vevQ_7D_v35q4wCQ4RpQ_IPoTwEMB9Yp6ymwlPqew/edit?gid=984458430#gid=984458430"", ""'replication success'!A:M""), 12, FAlSE)"),"#N/A")</f>
        <v>#N/A</v>
      </c>
      <c r="BA603" s="61" t="str">
        <f>IFERROR(__xludf.DUMMYFUNCTION("vlookup(BB603,importrange(""https://docs.google.com/spreadsheets/d/1d2vevQ_7D_v35q4wCQ4RpQ_IPoTwEMB9Yp6ymwlPqew/edit?gid=984458430#gid=984458430"", ""'replication success'!A:M""), 13, FAlSE)"),"#N/A")</f>
        <v>#N/A</v>
      </c>
      <c r="BB603" s="61" t="str">
        <f>IFERROR(__xludf.DUMMYFUNCTION("REGEXREPLACE(G603, ""_[a-z]{1,2}$"", """")"),"additional_studies88")</f>
        <v>additional_studies88</v>
      </c>
      <c r="BC603" s="132"/>
      <c r="BD603" s="124" t="s">
        <v>692</v>
      </c>
      <c r="BE603" s="107"/>
      <c r="BF603" s="107"/>
      <c r="BG603" s="107"/>
      <c r="BH603" s="107"/>
      <c r="BI603" s="107"/>
      <c r="BJ603" s="107"/>
      <c r="BK603" s="107"/>
      <c r="BL603" s="107"/>
      <c r="BM603" s="107"/>
      <c r="BN603" s="107"/>
      <c r="BO603" s="107"/>
      <c r="BP603" s="107"/>
      <c r="BQ603" s="107"/>
      <c r="BR603" s="107"/>
      <c r="BS603" s="107"/>
      <c r="BT603" s="107"/>
      <c r="BU603" s="107"/>
      <c r="BV603" s="107"/>
      <c r="BW603" s="107"/>
      <c r="BX603" s="107"/>
      <c r="BY603" s="107"/>
      <c r="BZ603" s="107"/>
      <c r="CA603" s="107"/>
      <c r="CB603" s="107"/>
      <c r="CC603" s="107"/>
      <c r="CD603" s="107"/>
      <c r="CE603" s="107"/>
      <c r="CF603" s="107"/>
      <c r="CG603" s="107"/>
      <c r="CH603" s="107"/>
      <c r="CI603" s="107"/>
      <c r="CJ603" s="107"/>
      <c r="CK603" s="107"/>
      <c r="CL603" s="107"/>
      <c r="CM603" s="107"/>
      <c r="CN603" s="107"/>
      <c r="CO603" s="107"/>
      <c r="CP603" s="107"/>
      <c r="CQ603" s="107"/>
      <c r="CR603" s="107"/>
      <c r="CS603" s="107"/>
      <c r="CT603" s="107"/>
      <c r="CU603" s="107"/>
      <c r="CV603" s="107"/>
      <c r="CW603" s="107"/>
      <c r="CX603" s="107"/>
      <c r="CY603" s="107"/>
      <c r="CZ603" s="107"/>
      <c r="DA603" s="107"/>
      <c r="DB603" s="107"/>
      <c r="DC603" s="107"/>
      <c r="DD603" s="107"/>
      <c r="DE603" s="107"/>
      <c r="DF603" s="107"/>
      <c r="DG603" s="107"/>
      <c r="DH603" s="107"/>
      <c r="DI603" s="107"/>
      <c r="DJ603" s="107"/>
      <c r="DK603" s="107"/>
      <c r="DL603" s="107"/>
    </row>
    <row r="604" ht="20.25" customHeight="1">
      <c r="A604" s="354">
        <v>604.0</v>
      </c>
      <c r="B604" s="124" t="s">
        <v>114</v>
      </c>
      <c r="C604" s="124" t="s">
        <v>115</v>
      </c>
      <c r="D604" s="124" t="s">
        <v>990</v>
      </c>
      <c r="E604" s="107"/>
      <c r="F604" s="140" t="s">
        <v>3321</v>
      </c>
      <c r="G604" s="126" t="s">
        <v>3343</v>
      </c>
      <c r="H604" s="126" t="s">
        <v>144</v>
      </c>
      <c r="I604" s="317">
        <v>45489.0</v>
      </c>
      <c r="J604" s="127">
        <v>45637.0</v>
      </c>
      <c r="K604" s="132"/>
      <c r="L604" s="132"/>
      <c r="M604" s="126" t="s">
        <v>3323</v>
      </c>
      <c r="N604" s="126" t="s">
        <v>3324</v>
      </c>
      <c r="O604" s="130">
        <v>1.0</v>
      </c>
      <c r="P604" s="223" t="s">
        <v>3325</v>
      </c>
      <c r="Q604" s="906" t="str">
        <f t="array" ref="Q604"> if(iserror(MATCH(V604, 'File Links'!C:C, 0)), "N/A", HYPERLINK(INDEX('File Links'!B:B, MATCH(P604, 'File Links'!C:C, 0))))</f>
        <v>https://drive.google.com/file/d/1-cST4Xer2glOXMG5eTrJVkRfofzfqFTW/view?usp=drivesdk</v>
      </c>
      <c r="R604" s="126" t="s">
        <v>3326</v>
      </c>
      <c r="S604" s="126" t="s">
        <v>3327</v>
      </c>
      <c r="T604" s="132"/>
      <c r="U604" s="133">
        <v>1.0</v>
      </c>
      <c r="V604" s="140" t="str">
        <f t="shared" si="35"/>
        <v>10.31234--osf.io--xr6bn.pdf</v>
      </c>
      <c r="W604" s="907" t="s">
        <v>672</v>
      </c>
      <c r="X604" s="908" t="str">
        <f t="array" ref="X604"> if(iserror(MATCH(V604, 'File Links'!C:C, 0)), "N/A", HYPERLINK(INDEX('File Links'!B:B, MATCH(V604, 'File Links'!C:C, 0))))</f>
        <v>https://drive.google.com/file/d/1JQppLKOXxrmIyxFhDZtY85ZoIv_TVdh_/view?usp=drivesdk</v>
      </c>
      <c r="Y604" s="132"/>
      <c r="Z604" s="126" t="s">
        <v>148</v>
      </c>
      <c r="AA604" s="126" t="s">
        <v>3328</v>
      </c>
      <c r="AB604" s="126" t="s">
        <v>3329</v>
      </c>
      <c r="AC604" s="126" t="s">
        <v>3338</v>
      </c>
      <c r="AD604" s="126" t="s">
        <v>3339</v>
      </c>
      <c r="AE604" s="130">
        <v>3.0</v>
      </c>
      <c r="AF604" s="130">
        <v>40.0</v>
      </c>
      <c r="AG604" s="130">
        <v>0.6</v>
      </c>
      <c r="AH604" s="223" t="s">
        <v>3332</v>
      </c>
      <c r="AI604" s="132"/>
      <c r="AJ604" s="132"/>
      <c r="AK604" s="125"/>
      <c r="AL604" s="132"/>
      <c r="AM604" s="132"/>
      <c r="AN604" s="219" t="s">
        <v>138</v>
      </c>
      <c r="AO604" s="130">
        <v>182.0</v>
      </c>
      <c r="AP604" s="130">
        <v>0.61</v>
      </c>
      <c r="AQ604" s="132" t="s">
        <v>3341</v>
      </c>
      <c r="AR604" s="130">
        <v>20.0</v>
      </c>
      <c r="AS604" s="132"/>
      <c r="AT604" s="125"/>
      <c r="AU604" s="140" t="s">
        <v>186</v>
      </c>
      <c r="AV604" s="125" t="s">
        <v>137</v>
      </c>
      <c r="AW604" s="670" t="s">
        <v>3333</v>
      </c>
      <c r="AX604" s="909" t="s">
        <v>151</v>
      </c>
      <c r="AY604" s="61" t="str">
        <f>IFERROR(__xludf.DUMMYFUNCTION("vlookup(BB604,importrange(""https://docs.google.com/spreadsheets/d/1d2vevQ_7D_v35q4wCQ4RpQ_IPoTwEMB9Yp6ymwlPqew/edit?gid=984458430#gid=984458430"", ""'replication success'!A:K""), 11, FAlSE)"),"#N/A")</f>
        <v>#N/A</v>
      </c>
      <c r="AZ604" s="61" t="str">
        <f>IFERROR(__xludf.DUMMYFUNCTION("vlookup(BB604,importrange(""https://docs.google.com/spreadsheets/d/1d2vevQ_7D_v35q4wCQ4RpQ_IPoTwEMB9Yp6ymwlPqew/edit?gid=984458430#gid=984458430"", ""'replication success'!A:M""), 12, FAlSE)"),"#N/A")</f>
        <v>#N/A</v>
      </c>
      <c r="BA604" s="61" t="str">
        <f>IFERROR(__xludf.DUMMYFUNCTION("vlookup(BB604,importrange(""https://docs.google.com/spreadsheets/d/1d2vevQ_7D_v35q4wCQ4RpQ_IPoTwEMB9Yp6ymwlPqew/edit?gid=984458430#gid=984458430"", ""'replication success'!A:M""), 13, FAlSE)"),"#N/A")</f>
        <v>#N/A</v>
      </c>
      <c r="BB604" s="61" t="str">
        <f>IFERROR(__xludf.DUMMYFUNCTION("REGEXREPLACE(G604, ""_[a-z]{1,2}$"", """")"),"additional_studies88")</f>
        <v>additional_studies88</v>
      </c>
      <c r="BC604" s="132"/>
      <c r="BD604" s="124" t="s">
        <v>692</v>
      </c>
      <c r="BE604" s="107"/>
      <c r="BF604" s="107"/>
      <c r="BG604" s="107"/>
      <c r="BH604" s="107"/>
      <c r="BI604" s="107"/>
      <c r="BJ604" s="107"/>
      <c r="BK604" s="107"/>
      <c r="BL604" s="107"/>
      <c r="BM604" s="107"/>
      <c r="BN604" s="107"/>
      <c r="BO604" s="107"/>
      <c r="BP604" s="107"/>
      <c r="BQ604" s="107"/>
      <c r="BR604" s="107"/>
      <c r="BS604" s="107"/>
      <c r="BT604" s="107"/>
      <c r="BU604" s="107"/>
      <c r="BV604" s="107"/>
      <c r="BW604" s="107"/>
      <c r="BX604" s="107"/>
      <c r="BY604" s="107"/>
      <c r="BZ604" s="107"/>
      <c r="CA604" s="107"/>
      <c r="CB604" s="107"/>
      <c r="CC604" s="107"/>
      <c r="CD604" s="107"/>
      <c r="CE604" s="107"/>
      <c r="CF604" s="107"/>
      <c r="CG604" s="107"/>
      <c r="CH604" s="107"/>
      <c r="CI604" s="107"/>
      <c r="CJ604" s="107"/>
      <c r="CK604" s="107"/>
      <c r="CL604" s="107"/>
      <c r="CM604" s="107"/>
      <c r="CN604" s="107"/>
      <c r="CO604" s="107"/>
      <c r="CP604" s="107"/>
      <c r="CQ604" s="107"/>
      <c r="CR604" s="107"/>
      <c r="CS604" s="107"/>
      <c r="CT604" s="107"/>
      <c r="CU604" s="107"/>
      <c r="CV604" s="107"/>
      <c r="CW604" s="107"/>
      <c r="CX604" s="107"/>
      <c r="CY604" s="107"/>
      <c r="CZ604" s="107"/>
      <c r="DA604" s="107"/>
      <c r="DB604" s="107"/>
      <c r="DC604" s="107"/>
      <c r="DD604" s="107"/>
      <c r="DE604" s="107"/>
      <c r="DF604" s="107"/>
      <c r="DG604" s="107"/>
      <c r="DH604" s="107"/>
      <c r="DI604" s="107"/>
      <c r="DJ604" s="107"/>
      <c r="DK604" s="107"/>
      <c r="DL604" s="107"/>
    </row>
    <row r="605" ht="20.25" customHeight="1">
      <c r="A605" s="354">
        <v>605.0</v>
      </c>
      <c r="B605" s="910" t="s">
        <v>152</v>
      </c>
      <c r="C605" s="910" t="s">
        <v>115</v>
      </c>
      <c r="D605" s="910" t="s">
        <v>221</v>
      </c>
      <c r="E605" s="911"/>
      <c r="F605" s="912" t="s">
        <v>3321</v>
      </c>
      <c r="G605" s="913" t="s">
        <v>3322</v>
      </c>
      <c r="H605" s="912" t="s">
        <v>221</v>
      </c>
      <c r="I605" s="914">
        <v>45684.0</v>
      </c>
      <c r="J605" s="914">
        <v>45684.0</v>
      </c>
      <c r="K605" s="912" t="s">
        <v>1101</v>
      </c>
      <c r="L605" s="915"/>
      <c r="M605" s="912" t="s">
        <v>3323</v>
      </c>
      <c r="N605" s="912" t="s">
        <v>3324</v>
      </c>
      <c r="O605" s="500">
        <v>1.0</v>
      </c>
      <c r="P605" s="912" t="s">
        <v>3325</v>
      </c>
      <c r="Q605" s="916" t="str">
        <f t="array" ref="Q605"> if(iserror(MATCH(V605, 'File Links'!C:C, 0)), "N/A", HYPERLINK(INDEX('File Links'!B:B, MATCH(P605, 'File Links'!C:C, 0))))</f>
        <v>https://drive.google.com/file/d/1-cST4Xer2glOXMG5eTrJVkRfofzfqFTW/view?usp=drivesdk</v>
      </c>
      <c r="R605" s="912" t="s">
        <v>3326</v>
      </c>
      <c r="S605" s="912" t="s">
        <v>3327</v>
      </c>
      <c r="T605" s="915"/>
      <c r="U605" s="500">
        <v>1.0</v>
      </c>
      <c r="V605" s="912" t="str">
        <f t="shared" si="35"/>
        <v>10.31234--osf.io--xr6bn.pdf</v>
      </c>
      <c r="W605" s="912" t="s">
        <v>672</v>
      </c>
      <c r="X605" s="917" t="str">
        <f t="array" ref="X605"> if(iserror(MATCH(V605, 'File Links'!C:C, 0)), "N/A", HYPERLINK(INDEX('File Links'!B:B, MATCH(V605, 'File Links'!C:C, 0))))</f>
        <v>https://drive.google.com/file/d/1JQppLKOXxrmIyxFhDZtY85ZoIv_TVdh_/view?usp=drivesdk</v>
      </c>
      <c r="Y605" s="915"/>
      <c r="Z605" s="912" t="s">
        <v>148</v>
      </c>
      <c r="AA605" s="912" t="s">
        <v>3344</v>
      </c>
      <c r="AB605" s="912" t="s">
        <v>3329</v>
      </c>
      <c r="AC605" s="912" t="s">
        <v>3345</v>
      </c>
      <c r="AD605" s="912" t="s">
        <v>3346</v>
      </c>
      <c r="AE605" s="918">
        <v>1223.0</v>
      </c>
      <c r="AF605" s="918">
        <v>43.0</v>
      </c>
      <c r="AG605" s="918">
        <v>0.74</v>
      </c>
      <c r="AH605" s="912" t="s">
        <v>173</v>
      </c>
      <c r="AI605" s="912" t="s">
        <v>3347</v>
      </c>
      <c r="AJ605" s="919">
        <v>0.84</v>
      </c>
      <c r="AK605" s="913" t="s">
        <v>172</v>
      </c>
      <c r="AL605" s="913" t="s">
        <v>136</v>
      </c>
      <c r="AM605" s="912" t="s">
        <v>137</v>
      </c>
      <c r="AN605" s="913" t="s">
        <v>138</v>
      </c>
      <c r="AO605" s="918">
        <v>182.0</v>
      </c>
      <c r="AP605" s="918">
        <v>0.32</v>
      </c>
      <c r="AQ605" s="912" t="s">
        <v>173</v>
      </c>
      <c r="AR605" s="912" t="s">
        <v>3348</v>
      </c>
      <c r="AS605" s="912" t="s">
        <v>138</v>
      </c>
      <c r="AT605" s="915"/>
      <c r="AU605" s="912" t="s">
        <v>136</v>
      </c>
      <c r="AV605" s="912" t="s">
        <v>137</v>
      </c>
      <c r="AW605" s="920" t="s">
        <v>3349</v>
      </c>
      <c r="AX605" s="921" t="s">
        <v>143</v>
      </c>
      <c r="AY605" s="61" t="str">
        <f>IFERROR(__xludf.DUMMYFUNCTION("vlookup(BB605,importrange(""https://docs.google.com/spreadsheets/d/1d2vevQ_7D_v35q4wCQ4RpQ_IPoTwEMB9Yp6ymwlPqew/edit?gid=984458430#gid=984458430"", ""'replication success'!A:K""), 11, FAlSE)"),"#N/A")</f>
        <v>#N/A</v>
      </c>
      <c r="AZ605" s="61" t="str">
        <f>IFERROR(__xludf.DUMMYFUNCTION("vlookup(BB605,importrange(""https://docs.google.com/spreadsheets/d/1d2vevQ_7D_v35q4wCQ4RpQ_IPoTwEMB9Yp6ymwlPqew/edit?gid=984458430#gid=984458430"", ""'replication success'!A:M""), 12, FAlSE)"),"#N/A")</f>
        <v>#N/A</v>
      </c>
      <c r="BA605" s="61" t="str">
        <f>IFERROR(__xludf.DUMMYFUNCTION("vlookup(BB605,importrange(""https://docs.google.com/spreadsheets/d/1d2vevQ_7D_v35q4wCQ4RpQ_IPoTwEMB9Yp6ymwlPqew/edit?gid=984458430#gid=984458430"", ""'replication success'!A:M""), 13, FAlSE)"),"#N/A")</f>
        <v>#N/A</v>
      </c>
      <c r="BB605" s="61" t="str">
        <f>IFERROR(__xludf.DUMMYFUNCTION("REGEXREPLACE(G605, ""_[a-z]{1,2}$"", """")"),"additional_studies88")</f>
        <v>additional_studies88</v>
      </c>
      <c r="BC605" s="910" t="s">
        <v>3350</v>
      </c>
      <c r="BD605" s="124" t="s">
        <v>692</v>
      </c>
      <c r="BE605" s="911"/>
      <c r="BF605" s="911"/>
      <c r="BG605" s="911"/>
      <c r="BH605" s="911"/>
      <c r="BI605" s="911"/>
      <c r="BJ605" s="911"/>
      <c r="BK605" s="911"/>
      <c r="BL605" s="911"/>
      <c r="BM605" s="911"/>
      <c r="BN605" s="911"/>
      <c r="BO605" s="911"/>
      <c r="BP605" s="911"/>
      <c r="BQ605" s="911"/>
      <c r="BR605" s="911"/>
      <c r="BS605" s="911"/>
      <c r="BT605" s="911"/>
      <c r="BU605" s="911"/>
      <c r="BV605" s="911"/>
      <c r="BW605" s="911"/>
      <c r="BX605" s="911"/>
      <c r="BY605" s="911"/>
      <c r="BZ605" s="911"/>
      <c r="CA605" s="911"/>
      <c r="CB605" s="911"/>
      <c r="CC605" s="911"/>
      <c r="CD605" s="911"/>
      <c r="CE605" s="911"/>
      <c r="CF605" s="911"/>
      <c r="CG605" s="911"/>
      <c r="CH605" s="911"/>
      <c r="CI605" s="911"/>
      <c r="CJ605" s="911"/>
      <c r="CK605" s="911"/>
      <c r="CL605" s="911"/>
      <c r="CM605" s="911"/>
      <c r="CN605" s="911"/>
      <c r="CO605" s="911"/>
      <c r="CP605" s="911"/>
      <c r="CQ605" s="911"/>
      <c r="CR605" s="911"/>
      <c r="CS605" s="911"/>
      <c r="CT605" s="911"/>
      <c r="CU605" s="911"/>
      <c r="CV605" s="911"/>
      <c r="CW605" s="911"/>
      <c r="CX605" s="911"/>
      <c r="CY605" s="911"/>
      <c r="CZ605" s="911"/>
      <c r="DA605" s="911"/>
      <c r="DB605" s="911"/>
      <c r="DC605" s="911"/>
      <c r="DD605" s="911"/>
      <c r="DE605" s="911"/>
      <c r="DF605" s="911"/>
      <c r="DG605" s="911"/>
      <c r="DH605" s="911"/>
      <c r="DI605" s="911"/>
      <c r="DJ605" s="911"/>
      <c r="DK605" s="911"/>
      <c r="DL605" s="911"/>
    </row>
    <row r="606" ht="20.25" customHeight="1">
      <c r="A606" s="354">
        <v>606.0</v>
      </c>
      <c r="B606" s="910" t="s">
        <v>152</v>
      </c>
      <c r="C606" s="910" t="s">
        <v>115</v>
      </c>
      <c r="D606" s="910" t="s">
        <v>221</v>
      </c>
      <c r="E606" s="911"/>
      <c r="F606" s="912" t="s">
        <v>3321</v>
      </c>
      <c r="G606" s="913" t="s">
        <v>3334</v>
      </c>
      <c r="H606" s="912" t="s">
        <v>221</v>
      </c>
      <c r="I606" s="914">
        <v>45684.0</v>
      </c>
      <c r="J606" s="914">
        <v>45684.0</v>
      </c>
      <c r="K606" s="912" t="s">
        <v>1101</v>
      </c>
      <c r="L606" s="915"/>
      <c r="M606" s="912" t="s">
        <v>3323</v>
      </c>
      <c r="N606" s="912" t="s">
        <v>3324</v>
      </c>
      <c r="O606" s="500">
        <v>1.0</v>
      </c>
      <c r="P606" s="912" t="s">
        <v>3325</v>
      </c>
      <c r="Q606" s="916" t="str">
        <f t="array" ref="Q606"> if(iserror(MATCH(V606, 'File Links'!C:C, 0)), "N/A", HYPERLINK(INDEX('File Links'!B:B, MATCH(P606, 'File Links'!C:C, 0))))</f>
        <v>https://drive.google.com/file/d/1-cST4Xer2glOXMG5eTrJVkRfofzfqFTW/view?usp=drivesdk</v>
      </c>
      <c r="R606" s="912" t="s">
        <v>3326</v>
      </c>
      <c r="S606" s="912" t="s">
        <v>3327</v>
      </c>
      <c r="T606" s="915"/>
      <c r="U606" s="500">
        <v>1.0</v>
      </c>
      <c r="V606" s="912" t="str">
        <f t="shared" si="35"/>
        <v>10.31234--osf.io--xr6bn.pdf</v>
      </c>
      <c r="W606" s="912" t="s">
        <v>672</v>
      </c>
      <c r="X606" s="917" t="str">
        <f t="array" ref="X606"> if(iserror(MATCH(V606, 'File Links'!C:C, 0)), "N/A", HYPERLINK(INDEX('File Links'!B:B, MATCH(V606, 'File Links'!C:C, 0))))</f>
        <v>https://drive.google.com/file/d/1JQppLKOXxrmIyxFhDZtY85ZoIv_TVdh_/view?usp=drivesdk</v>
      </c>
      <c r="Y606" s="915"/>
      <c r="Z606" s="912" t="s">
        <v>148</v>
      </c>
      <c r="AA606" s="912" t="s">
        <v>3344</v>
      </c>
      <c r="AB606" s="912" t="s">
        <v>3329</v>
      </c>
      <c r="AC606" s="912" t="s">
        <v>3351</v>
      </c>
      <c r="AD606" s="912" t="s">
        <v>3352</v>
      </c>
      <c r="AE606" s="918">
        <v>1223.0</v>
      </c>
      <c r="AF606" s="918">
        <v>43.0</v>
      </c>
      <c r="AG606" s="918">
        <v>0.34</v>
      </c>
      <c r="AH606" s="912" t="s">
        <v>173</v>
      </c>
      <c r="AI606" s="912" t="s">
        <v>3347</v>
      </c>
      <c r="AJ606" s="919">
        <v>0.01</v>
      </c>
      <c r="AK606" s="913" t="s">
        <v>135</v>
      </c>
      <c r="AL606" s="913" t="s">
        <v>136</v>
      </c>
      <c r="AM606" s="912" t="s">
        <v>137</v>
      </c>
      <c r="AN606" s="913" t="s">
        <v>138</v>
      </c>
      <c r="AO606" s="918">
        <v>182.0</v>
      </c>
      <c r="AP606" s="918">
        <v>0.21</v>
      </c>
      <c r="AQ606" s="912" t="s">
        <v>173</v>
      </c>
      <c r="AR606" s="912" t="s">
        <v>3348</v>
      </c>
      <c r="AS606" s="912" t="s">
        <v>138</v>
      </c>
      <c r="AT606" s="915"/>
      <c r="AU606" s="912" t="s">
        <v>136</v>
      </c>
      <c r="AV606" s="912" t="s">
        <v>137</v>
      </c>
      <c r="AW606" s="920" t="s">
        <v>3349</v>
      </c>
      <c r="AX606" s="921" t="s">
        <v>143</v>
      </c>
      <c r="AY606" s="61" t="str">
        <f>IFERROR(__xludf.DUMMYFUNCTION("vlookup(BB606,importrange(""https://docs.google.com/spreadsheets/d/1d2vevQ_7D_v35q4wCQ4RpQ_IPoTwEMB9Yp6ymwlPqew/edit?gid=984458430#gid=984458430"", ""'replication success'!A:K""), 11, FAlSE)"),"#N/A")</f>
        <v>#N/A</v>
      </c>
      <c r="AZ606" s="61" t="str">
        <f>IFERROR(__xludf.DUMMYFUNCTION("vlookup(BB606,importrange(""https://docs.google.com/spreadsheets/d/1d2vevQ_7D_v35q4wCQ4RpQ_IPoTwEMB9Yp6ymwlPqew/edit?gid=984458430#gid=984458430"", ""'replication success'!A:M""), 12, FAlSE)"),"#N/A")</f>
        <v>#N/A</v>
      </c>
      <c r="BA606" s="61" t="str">
        <f>IFERROR(__xludf.DUMMYFUNCTION("vlookup(BB606,importrange(""https://docs.google.com/spreadsheets/d/1d2vevQ_7D_v35q4wCQ4RpQ_IPoTwEMB9Yp6ymwlPqew/edit?gid=984458430#gid=984458430"", ""'replication success'!A:M""), 13, FAlSE)"),"#N/A")</f>
        <v>#N/A</v>
      </c>
      <c r="BB606" s="61" t="str">
        <f>IFERROR(__xludf.DUMMYFUNCTION("REGEXREPLACE(G606, ""_[a-z]{1,2}$"", """")"),"additional_studies88")</f>
        <v>additional_studies88</v>
      </c>
      <c r="BC606" s="911"/>
      <c r="BD606" s="124" t="s">
        <v>692</v>
      </c>
      <c r="BE606" s="911"/>
      <c r="BF606" s="911"/>
      <c r="BG606" s="911"/>
      <c r="BH606" s="911"/>
      <c r="BI606" s="911"/>
      <c r="BJ606" s="911"/>
      <c r="BK606" s="911"/>
      <c r="BL606" s="911"/>
      <c r="BM606" s="911"/>
      <c r="BN606" s="911"/>
      <c r="BO606" s="911"/>
      <c r="BP606" s="911"/>
      <c r="BQ606" s="911"/>
      <c r="BR606" s="911"/>
      <c r="BS606" s="911"/>
      <c r="BT606" s="911"/>
      <c r="BU606" s="911"/>
      <c r="BV606" s="911"/>
      <c r="BW606" s="911"/>
      <c r="BX606" s="911"/>
      <c r="BY606" s="911"/>
      <c r="BZ606" s="911"/>
      <c r="CA606" s="911"/>
      <c r="CB606" s="911"/>
      <c r="CC606" s="911"/>
      <c r="CD606" s="911"/>
      <c r="CE606" s="911"/>
      <c r="CF606" s="911"/>
      <c r="CG606" s="911"/>
      <c r="CH606" s="911"/>
      <c r="CI606" s="911"/>
      <c r="CJ606" s="911"/>
      <c r="CK606" s="911"/>
      <c r="CL606" s="911"/>
      <c r="CM606" s="911"/>
      <c r="CN606" s="911"/>
      <c r="CO606" s="911"/>
      <c r="CP606" s="911"/>
      <c r="CQ606" s="911"/>
      <c r="CR606" s="911"/>
      <c r="CS606" s="911"/>
      <c r="CT606" s="911"/>
      <c r="CU606" s="911"/>
      <c r="CV606" s="911"/>
      <c r="CW606" s="911"/>
      <c r="CX606" s="911"/>
      <c r="CY606" s="911"/>
      <c r="CZ606" s="911"/>
      <c r="DA606" s="911"/>
      <c r="DB606" s="911"/>
      <c r="DC606" s="911"/>
      <c r="DD606" s="911"/>
      <c r="DE606" s="911"/>
      <c r="DF606" s="911"/>
      <c r="DG606" s="911"/>
      <c r="DH606" s="911"/>
      <c r="DI606" s="911"/>
      <c r="DJ606" s="911"/>
      <c r="DK606" s="911"/>
      <c r="DL606" s="911"/>
    </row>
    <row r="607" ht="20.25" customHeight="1">
      <c r="A607" s="354">
        <v>607.0</v>
      </c>
      <c r="B607" s="910" t="s">
        <v>152</v>
      </c>
      <c r="C607" s="910" t="s">
        <v>115</v>
      </c>
      <c r="D607" s="910" t="s">
        <v>221</v>
      </c>
      <c r="E607" s="911"/>
      <c r="F607" s="912" t="s">
        <v>3321</v>
      </c>
      <c r="G607" s="913" t="s">
        <v>3337</v>
      </c>
      <c r="H607" s="912" t="s">
        <v>221</v>
      </c>
      <c r="I607" s="914">
        <v>45684.0</v>
      </c>
      <c r="J607" s="914">
        <v>45684.0</v>
      </c>
      <c r="K607" s="912" t="s">
        <v>1101</v>
      </c>
      <c r="L607" s="915"/>
      <c r="M607" s="912" t="s">
        <v>3323</v>
      </c>
      <c r="N607" s="912" t="s">
        <v>3324</v>
      </c>
      <c r="O607" s="500">
        <v>1.0</v>
      </c>
      <c r="P607" s="912" t="s">
        <v>3325</v>
      </c>
      <c r="Q607" s="916" t="str">
        <f t="array" ref="Q607"> if(iserror(MATCH(V607, 'File Links'!C:C, 0)), "N/A", HYPERLINK(INDEX('File Links'!B:B, MATCH(P607, 'File Links'!C:C, 0))))</f>
        <v>https://drive.google.com/file/d/1-cST4Xer2glOXMG5eTrJVkRfofzfqFTW/view?usp=drivesdk</v>
      </c>
      <c r="R607" s="912" t="s">
        <v>3326</v>
      </c>
      <c r="S607" s="912" t="s">
        <v>3327</v>
      </c>
      <c r="T607" s="915"/>
      <c r="U607" s="500">
        <v>1.0</v>
      </c>
      <c r="V607" s="912" t="str">
        <f t="shared" si="35"/>
        <v>10.31234--osf.io--xr6bn.pdf</v>
      </c>
      <c r="W607" s="912" t="s">
        <v>672</v>
      </c>
      <c r="X607" s="917" t="str">
        <f t="array" ref="X607"> if(iserror(MATCH(V607, 'File Links'!C:C, 0)), "N/A", HYPERLINK(INDEX('File Links'!B:B, MATCH(V607, 'File Links'!C:C, 0))))</f>
        <v>https://drive.google.com/file/d/1JQppLKOXxrmIyxFhDZtY85ZoIv_TVdh_/view?usp=drivesdk</v>
      </c>
      <c r="Y607" s="915"/>
      <c r="Z607" s="912" t="s">
        <v>148</v>
      </c>
      <c r="AA607" s="912" t="s">
        <v>3344</v>
      </c>
      <c r="AB607" s="912" t="s">
        <v>3329</v>
      </c>
      <c r="AC607" s="912" t="s">
        <v>3353</v>
      </c>
      <c r="AD607" s="912" t="s">
        <v>3354</v>
      </c>
      <c r="AE607" s="918">
        <v>1223.0</v>
      </c>
      <c r="AF607" s="918">
        <v>43.0</v>
      </c>
      <c r="AG607" s="918">
        <v>0.31</v>
      </c>
      <c r="AH607" s="912" t="s">
        <v>173</v>
      </c>
      <c r="AI607" s="912" t="s">
        <v>3347</v>
      </c>
      <c r="AJ607" s="919">
        <v>0.46</v>
      </c>
      <c r="AK607" s="913" t="s">
        <v>172</v>
      </c>
      <c r="AL607" s="913" t="s">
        <v>136</v>
      </c>
      <c r="AM607" s="912" t="s">
        <v>137</v>
      </c>
      <c r="AN607" s="913" t="s">
        <v>138</v>
      </c>
      <c r="AO607" s="918">
        <v>182.0</v>
      </c>
      <c r="AP607" s="918">
        <v>-0.13</v>
      </c>
      <c r="AQ607" s="912" t="s">
        <v>173</v>
      </c>
      <c r="AR607" s="912" t="s">
        <v>3348</v>
      </c>
      <c r="AS607" s="912" t="s">
        <v>138</v>
      </c>
      <c r="AT607" s="915"/>
      <c r="AU607" s="912" t="s">
        <v>136</v>
      </c>
      <c r="AV607" s="912" t="s">
        <v>137</v>
      </c>
      <c r="AW607" s="920" t="s">
        <v>3349</v>
      </c>
      <c r="AX607" s="921" t="s">
        <v>143</v>
      </c>
      <c r="AY607" s="61" t="str">
        <f>IFERROR(__xludf.DUMMYFUNCTION("vlookup(BB607,importrange(""https://docs.google.com/spreadsheets/d/1d2vevQ_7D_v35q4wCQ4RpQ_IPoTwEMB9Yp6ymwlPqew/edit?gid=984458430#gid=984458430"", ""'replication success'!A:K""), 11, FAlSE)"),"#N/A")</f>
        <v>#N/A</v>
      </c>
      <c r="AZ607" s="61" t="str">
        <f>IFERROR(__xludf.DUMMYFUNCTION("vlookup(BB607,importrange(""https://docs.google.com/spreadsheets/d/1d2vevQ_7D_v35q4wCQ4RpQ_IPoTwEMB9Yp6ymwlPqew/edit?gid=984458430#gid=984458430"", ""'replication success'!A:M""), 12, FAlSE)"),"#N/A")</f>
        <v>#N/A</v>
      </c>
      <c r="BA607" s="61" t="str">
        <f>IFERROR(__xludf.DUMMYFUNCTION("vlookup(BB607,importrange(""https://docs.google.com/spreadsheets/d/1d2vevQ_7D_v35q4wCQ4RpQ_IPoTwEMB9Yp6ymwlPqew/edit?gid=984458430#gid=984458430"", ""'replication success'!A:M""), 13, FAlSE)"),"#N/A")</f>
        <v>#N/A</v>
      </c>
      <c r="BB607" s="61" t="str">
        <f>IFERROR(__xludf.DUMMYFUNCTION("REGEXREPLACE(G607, ""_[a-z]{1,2}$"", """")"),"additional_studies88")</f>
        <v>additional_studies88</v>
      </c>
      <c r="BC607" s="911"/>
      <c r="BD607" s="124" t="s">
        <v>692</v>
      </c>
      <c r="BE607" s="911"/>
      <c r="BF607" s="911"/>
      <c r="BG607" s="911"/>
      <c r="BH607" s="911"/>
      <c r="BI607" s="911"/>
      <c r="BJ607" s="911"/>
      <c r="BK607" s="911"/>
      <c r="BL607" s="911"/>
      <c r="BM607" s="911"/>
      <c r="BN607" s="911"/>
      <c r="BO607" s="911"/>
      <c r="BP607" s="911"/>
      <c r="BQ607" s="911"/>
      <c r="BR607" s="911"/>
      <c r="BS607" s="911"/>
      <c r="BT607" s="911"/>
      <c r="BU607" s="911"/>
      <c r="BV607" s="911"/>
      <c r="BW607" s="911"/>
      <c r="BX607" s="911"/>
      <c r="BY607" s="911"/>
      <c r="BZ607" s="911"/>
      <c r="CA607" s="911"/>
      <c r="CB607" s="911"/>
      <c r="CC607" s="911"/>
      <c r="CD607" s="911"/>
      <c r="CE607" s="911"/>
      <c r="CF607" s="911"/>
      <c r="CG607" s="911"/>
      <c r="CH607" s="911"/>
      <c r="CI607" s="911"/>
      <c r="CJ607" s="911"/>
      <c r="CK607" s="911"/>
      <c r="CL607" s="911"/>
      <c r="CM607" s="911"/>
      <c r="CN607" s="911"/>
      <c r="CO607" s="911"/>
      <c r="CP607" s="911"/>
      <c r="CQ607" s="911"/>
      <c r="CR607" s="911"/>
      <c r="CS607" s="911"/>
      <c r="CT607" s="911"/>
      <c r="CU607" s="911"/>
      <c r="CV607" s="911"/>
      <c r="CW607" s="911"/>
      <c r="CX607" s="911"/>
      <c r="CY607" s="911"/>
      <c r="CZ607" s="911"/>
      <c r="DA607" s="911"/>
      <c r="DB607" s="911"/>
      <c r="DC607" s="911"/>
      <c r="DD607" s="911"/>
      <c r="DE607" s="911"/>
      <c r="DF607" s="911"/>
      <c r="DG607" s="911"/>
      <c r="DH607" s="911"/>
      <c r="DI607" s="911"/>
      <c r="DJ607" s="911"/>
      <c r="DK607" s="911"/>
      <c r="DL607" s="911"/>
    </row>
    <row r="608" ht="20.25" customHeight="1">
      <c r="A608" s="44">
        <v>608.0</v>
      </c>
      <c r="B608" s="62" t="s">
        <v>285</v>
      </c>
      <c r="C608" s="62" t="s">
        <v>115</v>
      </c>
      <c r="D608" s="62" t="s">
        <v>990</v>
      </c>
      <c r="F608" s="68" t="s">
        <v>3355</v>
      </c>
      <c r="G608" s="57" t="s">
        <v>3356</v>
      </c>
      <c r="H608" s="57" t="s">
        <v>144</v>
      </c>
      <c r="I608" s="152">
        <v>45489.0</v>
      </c>
      <c r="J608" s="434">
        <v>45637.0</v>
      </c>
      <c r="K608" s="57" t="s">
        <v>3357</v>
      </c>
      <c r="L608" s="61"/>
      <c r="M608" s="57" t="s">
        <v>3358</v>
      </c>
      <c r="N608" s="57" t="s">
        <v>3359</v>
      </c>
      <c r="O608" s="61"/>
      <c r="P608" s="377" t="s">
        <v>3360</v>
      </c>
      <c r="Q608" s="52" t="str">
        <f t="array" ref="Q608"> if(iserror(MATCH(V608, 'File Links'!C:C, 0)), "N/A", HYPERLINK(INDEX('File Links'!B:B, MATCH(P608, 'File Links'!C:C, 0))))</f>
        <v>https://drive.google.com/file/d/1QkWM8jiVqpN5vc_zuD8HexJx-ED2mGF0/view?usp=drivesdk</v>
      </c>
      <c r="R608" s="57" t="s">
        <v>3361</v>
      </c>
      <c r="S608" s="57" t="s">
        <v>3362</v>
      </c>
      <c r="T608" s="61"/>
      <c r="U608" s="338"/>
      <c r="V608" s="198" t="str">
        <f t="shared" si="35"/>
        <v>10.5465--amproc.2024.19578abstract.pdf</v>
      </c>
      <c r="W608" s="61"/>
      <c r="X608" s="54" t="str">
        <f t="array" ref="X608"> if(iserror(MATCH(V608, 'File Links'!C:C, 0)), "N/A", HYPERLINK(INDEX('File Links'!B:B, MATCH(V608, 'File Links'!C:C, 0))))</f>
        <v>https://drive.google.com/file/d/1H6X8VsyVixAViuUZ-S2dfj2OJm-VwYrl/view?usp=drivesdk</v>
      </c>
      <c r="Y608" s="61"/>
      <c r="Z608" s="61"/>
      <c r="AA608" s="61"/>
      <c r="AB608" s="61"/>
      <c r="AC608" s="61"/>
      <c r="AD608" s="61"/>
      <c r="AE608" s="61"/>
      <c r="AF608" s="61"/>
      <c r="AG608" s="61"/>
      <c r="AH608" s="338"/>
      <c r="AI608" s="61"/>
      <c r="AJ608" s="61"/>
      <c r="AK608" s="68"/>
      <c r="AL608" s="61"/>
      <c r="AM608" s="61"/>
      <c r="AN608" s="219" t="s">
        <v>138</v>
      </c>
      <c r="AO608" s="61"/>
      <c r="AP608" s="61"/>
      <c r="AQ608" s="61"/>
      <c r="AR608" s="61"/>
      <c r="AS608" s="61"/>
      <c r="AT608" s="68"/>
      <c r="AU608" s="159" t="s">
        <v>186</v>
      </c>
      <c r="AV608" s="68" t="s">
        <v>137</v>
      </c>
      <c r="AW608" s="68"/>
      <c r="AX608" s="68"/>
      <c r="AY608" s="61" t="str">
        <f>IFERROR(__xludf.DUMMYFUNCTION("vlookup(BB608,importrange(""https://docs.google.com/spreadsheets/d/1d2vevQ_7D_v35q4wCQ4RpQ_IPoTwEMB9Yp6ymwlPqew/edit?gid=984458430#gid=984458430"", ""'replication success'!A:K""), 11, FAlSE)"),"#N/A")</f>
        <v>#N/A</v>
      </c>
      <c r="AZ608" s="61" t="str">
        <f>IFERROR(__xludf.DUMMYFUNCTION("vlookup(BB608,importrange(""https://docs.google.com/spreadsheets/d/1d2vevQ_7D_v35q4wCQ4RpQ_IPoTwEMB9Yp6ymwlPqew/edit?gid=984458430#gid=984458430"", ""'replication success'!A:M""), 12, FAlSE)"),"#N/A")</f>
        <v>#N/A</v>
      </c>
      <c r="BA608" s="61" t="str">
        <f>IFERROR(__xludf.DUMMYFUNCTION("vlookup(BB608,importrange(""https://docs.google.com/spreadsheets/d/1d2vevQ_7D_v35q4wCQ4RpQ_IPoTwEMB9Yp6ymwlPqew/edit?gid=984458430#gid=984458430"", ""'replication success'!A:M""), 13, FAlSE)"),"#N/A")</f>
        <v>#N/A</v>
      </c>
      <c r="BB608" s="61" t="str">
        <f>IFERROR(__xludf.DUMMYFUNCTION("REGEXREPLACE(G608, ""_[a-z]{1,2}$"", """")"),"additional_studies89")</f>
        <v>additional_studies89</v>
      </c>
      <c r="BC608" s="61"/>
      <c r="BE608" s="812"/>
      <c r="BF608" s="812"/>
      <c r="BG608" s="812"/>
      <c r="BH608" s="812"/>
      <c r="BI608" s="812"/>
      <c r="BJ608" s="812"/>
      <c r="BK608" s="812"/>
      <c r="BL608" s="812"/>
      <c r="BM608" s="812"/>
      <c r="BN608" s="812"/>
      <c r="BO608" s="812"/>
      <c r="BP608" s="812"/>
      <c r="BQ608" s="812"/>
      <c r="BR608" s="812"/>
      <c r="BS608" s="812"/>
      <c r="BT608" s="812"/>
      <c r="BU608" s="812"/>
      <c r="BV608" s="812"/>
      <c r="BW608" s="812"/>
      <c r="BX608" s="812"/>
      <c r="BY608" s="812"/>
      <c r="BZ608" s="812"/>
      <c r="CA608" s="812"/>
      <c r="CB608" s="812"/>
      <c r="CC608" s="812"/>
      <c r="CD608" s="812"/>
      <c r="CE608" s="812"/>
      <c r="CF608" s="812"/>
      <c r="CG608" s="812"/>
      <c r="CH608" s="812"/>
      <c r="CI608" s="812"/>
      <c r="CJ608" s="812"/>
      <c r="CK608" s="812"/>
      <c r="CL608" s="812"/>
      <c r="CM608" s="812"/>
      <c r="CN608" s="812"/>
      <c r="CO608" s="812"/>
      <c r="CP608" s="812"/>
      <c r="CQ608" s="812"/>
      <c r="CR608" s="812"/>
      <c r="CS608" s="812"/>
      <c r="CT608" s="812"/>
      <c r="CU608" s="812"/>
      <c r="CV608" s="812"/>
      <c r="CW608" s="812"/>
      <c r="CX608" s="812"/>
      <c r="CY608" s="812"/>
      <c r="CZ608" s="812"/>
      <c r="DA608" s="812"/>
      <c r="DB608" s="812"/>
      <c r="DC608" s="812"/>
      <c r="DD608" s="812"/>
      <c r="DE608" s="812"/>
      <c r="DF608" s="812"/>
      <c r="DG608" s="812"/>
      <c r="DH608" s="812"/>
      <c r="DI608" s="812"/>
      <c r="DJ608" s="812"/>
      <c r="DK608" s="812"/>
      <c r="DL608" s="812"/>
    </row>
    <row r="609" ht="20.25" customHeight="1">
      <c r="A609" s="44">
        <v>609.0</v>
      </c>
      <c r="B609" s="62" t="s">
        <v>285</v>
      </c>
      <c r="C609" s="62" t="s">
        <v>115</v>
      </c>
      <c r="D609" s="62" t="s">
        <v>221</v>
      </c>
      <c r="F609" s="265" t="s">
        <v>3355</v>
      </c>
      <c r="G609" s="47" t="s">
        <v>3356</v>
      </c>
      <c r="H609" s="360" t="s">
        <v>221</v>
      </c>
      <c r="I609" s="344">
        <v>45684.0</v>
      </c>
      <c r="J609" s="344">
        <v>45684.0</v>
      </c>
      <c r="K609" s="360" t="s">
        <v>3363</v>
      </c>
      <c r="L609" s="46"/>
      <c r="M609" s="360" t="s">
        <v>3358</v>
      </c>
      <c r="N609" s="360" t="s">
        <v>3359</v>
      </c>
      <c r="O609" s="46"/>
      <c r="P609" s="360" t="s">
        <v>3360</v>
      </c>
      <c r="Q609" s="52" t="str">
        <f t="array" ref="Q609"> if(iserror(MATCH(V609, 'File Links'!C:C, 0)), "N/A", HYPERLINK(INDEX('File Links'!B:B, MATCH(P609, 'File Links'!C:C, 0))))</f>
        <v>https://drive.google.com/file/d/1QkWM8jiVqpN5vc_zuD8HexJx-ED2mGF0/view?usp=drivesdk</v>
      </c>
      <c r="R609" s="509" t="s">
        <v>3364</v>
      </c>
      <c r="S609" s="360" t="s">
        <v>3362</v>
      </c>
      <c r="T609" s="46"/>
      <c r="U609" s="46"/>
      <c r="V609" s="360" t="s">
        <v>3365</v>
      </c>
      <c r="W609" s="360" t="s">
        <v>3366</v>
      </c>
      <c r="X609" s="54" t="str">
        <f t="array" ref="X609"> if(iserror(MATCH(V609, 'File Links'!C:C, 0)), "N/A", HYPERLINK(INDEX('File Links'!B:B, MATCH(V609, 'File Links'!C:C, 0))))</f>
        <v>https://drive.google.com/file/d/1H6X8VsyVixAViuUZ-S2dfj2OJm-VwYrl/view?usp=drivesdk</v>
      </c>
      <c r="Y609" s="704" t="s">
        <v>3363</v>
      </c>
      <c r="Z609" s="360" t="s">
        <v>1679</v>
      </c>
      <c r="AA609" s="360" t="s">
        <v>3367</v>
      </c>
      <c r="AB609" s="360" t="s">
        <v>3368</v>
      </c>
      <c r="AC609" s="46"/>
      <c r="AD609" s="46"/>
      <c r="AE609" s="46"/>
      <c r="AF609" s="46"/>
      <c r="AG609" s="46"/>
      <c r="AH609" s="46"/>
      <c r="AI609" s="46"/>
      <c r="AJ609" s="105"/>
      <c r="AK609" s="49"/>
      <c r="AL609" s="49"/>
      <c r="AM609" s="46"/>
      <c r="AN609" s="219" t="s">
        <v>138</v>
      </c>
      <c r="AO609" s="46"/>
      <c r="AP609" s="46"/>
      <c r="AQ609" s="46"/>
      <c r="AR609" s="46"/>
      <c r="AS609" s="46"/>
      <c r="AT609" s="46"/>
      <c r="AU609" s="46"/>
      <c r="AV609" s="46"/>
      <c r="AW609" s="46"/>
      <c r="AX609" s="46"/>
      <c r="AY609" s="61" t="str">
        <f>IFERROR(__xludf.DUMMYFUNCTION("vlookup(BB609,importrange(""https://docs.google.com/spreadsheets/d/1d2vevQ_7D_v35q4wCQ4RpQ_IPoTwEMB9Yp6ymwlPqew/edit?gid=984458430#gid=984458430"", ""'replication success'!A:K""), 11, FAlSE)"),"#N/A")</f>
        <v>#N/A</v>
      </c>
      <c r="AZ609" s="61" t="str">
        <f>IFERROR(__xludf.DUMMYFUNCTION("vlookup(BB609,importrange(""https://docs.google.com/spreadsheets/d/1d2vevQ_7D_v35q4wCQ4RpQ_IPoTwEMB9Yp6ymwlPqew/edit?gid=984458430#gid=984458430"", ""'replication success'!A:M""), 12, FAlSE)"),"#N/A")</f>
        <v>#N/A</v>
      </c>
      <c r="BA609" s="61" t="str">
        <f>IFERROR(__xludf.DUMMYFUNCTION("vlookup(BB609,importrange(""https://docs.google.com/spreadsheets/d/1d2vevQ_7D_v35q4wCQ4RpQ_IPoTwEMB9Yp6ymwlPqew/edit?gid=984458430#gid=984458430"", ""'replication success'!A:M""), 13, FAlSE)"),"#N/A")</f>
        <v>#N/A</v>
      </c>
      <c r="BB609" s="61" t="str">
        <f>IFERROR(__xludf.DUMMYFUNCTION("REGEXREPLACE(G609, ""_[a-z]{1,2}$"", """")"),"additional_studies89")</f>
        <v>additional_studies89</v>
      </c>
      <c r="BE609" s="812"/>
      <c r="BF609" s="812"/>
      <c r="BG609" s="812"/>
      <c r="BH609" s="812"/>
      <c r="BI609" s="812"/>
      <c r="BJ609" s="812"/>
      <c r="BK609" s="812"/>
      <c r="BL609" s="812"/>
      <c r="BM609" s="812"/>
      <c r="BN609" s="812"/>
      <c r="BO609" s="812"/>
      <c r="BP609" s="812"/>
      <c r="BQ609" s="812"/>
      <c r="BR609" s="812"/>
      <c r="BS609" s="812"/>
      <c r="BT609" s="812"/>
      <c r="BU609" s="812"/>
      <c r="BV609" s="812"/>
      <c r="BW609" s="812"/>
      <c r="BX609" s="812"/>
      <c r="BY609" s="812"/>
      <c r="BZ609" s="812"/>
      <c r="CA609" s="812"/>
      <c r="CB609" s="812"/>
      <c r="CC609" s="812"/>
      <c r="CD609" s="812"/>
      <c r="CE609" s="812"/>
      <c r="CF609" s="812"/>
      <c r="CG609" s="812"/>
      <c r="CH609" s="812"/>
      <c r="CI609" s="812"/>
      <c r="CJ609" s="812"/>
      <c r="CK609" s="812"/>
      <c r="CL609" s="812"/>
      <c r="CM609" s="812"/>
      <c r="CN609" s="812"/>
      <c r="CO609" s="812"/>
      <c r="CP609" s="812"/>
      <c r="CQ609" s="812"/>
      <c r="CR609" s="812"/>
      <c r="CS609" s="812"/>
      <c r="CT609" s="812"/>
      <c r="CU609" s="812"/>
      <c r="CV609" s="812"/>
      <c r="CW609" s="812"/>
      <c r="CX609" s="812"/>
      <c r="CY609" s="812"/>
      <c r="CZ609" s="812"/>
      <c r="DA609" s="812"/>
      <c r="DB609" s="812"/>
      <c r="DC609" s="812"/>
      <c r="DD609" s="812"/>
      <c r="DE609" s="812"/>
      <c r="DF609" s="812"/>
      <c r="DG609" s="812"/>
      <c r="DH609" s="812"/>
      <c r="DI609" s="812"/>
      <c r="DJ609" s="812"/>
      <c r="DK609" s="812"/>
      <c r="DL609" s="812"/>
    </row>
    <row r="610" ht="20.25" customHeight="1">
      <c r="A610" s="44">
        <v>610.0</v>
      </c>
      <c r="B610" s="45" t="s">
        <v>285</v>
      </c>
      <c r="C610" s="45" t="s">
        <v>115</v>
      </c>
      <c r="D610" s="45" t="s">
        <v>248</v>
      </c>
      <c r="E610" s="65"/>
      <c r="F610" s="62" t="s">
        <v>3369</v>
      </c>
      <c r="G610" s="45" t="s">
        <v>3370</v>
      </c>
      <c r="H610" s="45" t="s">
        <v>249</v>
      </c>
      <c r="I610" s="63">
        <v>45427.0</v>
      </c>
      <c r="J610" s="64">
        <v>45625.0</v>
      </c>
      <c r="K610" s="45" t="s">
        <v>3371</v>
      </c>
      <c r="L610" s="65"/>
      <c r="M610" s="45" t="s">
        <v>3372</v>
      </c>
      <c r="N610" s="45" t="s">
        <v>3373</v>
      </c>
      <c r="O610" s="65"/>
      <c r="P610" s="118" t="str">
        <f> hyperlink(vlookup(lower(N610),'File Links'!A:B, 2, FALSE), SUBSTITUTE(lower(N610), "/", "--") &amp;  ".pdf")</f>
        <v>10.1177--2167702614545216.pdf</v>
      </c>
      <c r="Q610" s="108" t="str">
        <f t="array" ref="Q610"> if(iserror(MATCH(V610, 'File Links'!C:C, 0)), "N/A", HYPERLINK(INDEX('File Links'!B:B, MATCH(P610, 'File Links'!C:C, 0))))</f>
        <v>N/A</v>
      </c>
      <c r="R610" s="45" t="s">
        <v>3374</v>
      </c>
      <c r="S610" s="45" t="s">
        <v>3375</v>
      </c>
      <c r="T610" s="65"/>
      <c r="U610" s="65"/>
      <c r="V610" s="66" t="str">
        <f> hyperlink(vlookup(lower(S610),'File Links'!E:F, 2, FALSE), SUBSTITUTE(lower(S610), "/", "--") &amp;  ".pdf")</f>
        <v>10.1080--13506285.2024.2343157.pdf</v>
      </c>
      <c r="W610" s="65"/>
      <c r="X610" s="49" t="str">
        <f t="array" ref="X610"> if(iserror(MATCH(V610, 'File Links'!C:C, 0)), "N/A", HYPERLINK(INDEX('File Links'!B:B, MATCH(V610, 'File Links'!C:C, 0))))</f>
        <v>N/A</v>
      </c>
      <c r="Y610" s="45" t="s">
        <v>3376</v>
      </c>
      <c r="Z610" s="45" t="s">
        <v>947</v>
      </c>
      <c r="AA610" s="65"/>
      <c r="AB610" s="45" t="s">
        <v>3377</v>
      </c>
      <c r="AC610" s="45" t="s">
        <v>3378</v>
      </c>
      <c r="AD610" s="45" t="s">
        <v>3379</v>
      </c>
      <c r="AE610" s="45">
        <v>6.0</v>
      </c>
      <c r="AF610" s="45">
        <v>14.0</v>
      </c>
      <c r="AG610" s="45" t="s">
        <v>3380</v>
      </c>
      <c r="AH610" s="151" t="s">
        <v>134</v>
      </c>
      <c r="AI610" s="65"/>
      <c r="AJ610" s="45">
        <v>0.01</v>
      </c>
      <c r="AK610" s="45" t="s">
        <v>135</v>
      </c>
      <c r="AL610" s="45" t="s">
        <v>186</v>
      </c>
      <c r="AM610" s="67"/>
      <c r="AN610" s="219" t="s">
        <v>138</v>
      </c>
      <c r="AO610" s="45">
        <v>63.0</v>
      </c>
      <c r="AP610" s="45">
        <v>0.02</v>
      </c>
      <c r="AQ610" s="45" t="s">
        <v>1031</v>
      </c>
      <c r="AR610" s="65"/>
      <c r="AS610" s="45" t="s">
        <v>2859</v>
      </c>
      <c r="AT610" s="45" t="s">
        <v>335</v>
      </c>
      <c r="AU610" s="45" t="s">
        <v>186</v>
      </c>
      <c r="AV610" s="67"/>
      <c r="AX610" s="68"/>
      <c r="AY610" s="61" t="str">
        <f>IFERROR(__xludf.DUMMYFUNCTION("vlookup(BB610,importrange(""https://docs.google.com/spreadsheets/d/1d2vevQ_7D_v35q4wCQ4RpQ_IPoTwEMB9Yp6ymwlPqew/edit?gid=984458430#gid=984458430"", ""'replication success'!A:K""), 11, FAlSE)"),"#N/A")</f>
        <v>#N/A</v>
      </c>
      <c r="AZ610" s="61" t="str">
        <f>IFERROR(__xludf.DUMMYFUNCTION("vlookup(BB610,importrange(""https://docs.google.com/spreadsheets/d/1d2vevQ_7D_v35q4wCQ4RpQ_IPoTwEMB9Yp6ymwlPqew/edit?gid=984458430#gid=984458430"", ""'replication success'!A:M""), 12, FAlSE)"),"#N/A")</f>
        <v>#N/A</v>
      </c>
      <c r="BA610" s="61" t="str">
        <f>IFERROR(__xludf.DUMMYFUNCTION("vlookup(BB610,importrange(""https://docs.google.com/spreadsheets/d/1d2vevQ_7D_v35q4wCQ4RpQ_IPoTwEMB9Yp6ymwlPqew/edit?gid=984458430#gid=984458430"", ""'replication success'!A:M""), 13, FAlSE)"),"#N/A")</f>
        <v>#N/A</v>
      </c>
      <c r="BB610" s="61" t="str">
        <f>IFERROR(__xludf.DUMMYFUNCTION("REGEXREPLACE(G610, ""_[a-z]{1,2}$"", """")"),"additional_studies9")</f>
        <v>additional_studies9</v>
      </c>
      <c r="BC610" s="65"/>
      <c r="BE610" s="812"/>
      <c r="BF610" s="812"/>
      <c r="BG610" s="812"/>
      <c r="BH610" s="812"/>
      <c r="BI610" s="812"/>
      <c r="BJ610" s="812"/>
      <c r="BK610" s="812"/>
      <c r="BL610" s="812"/>
      <c r="BM610" s="812"/>
      <c r="BN610" s="812"/>
      <c r="BO610" s="812"/>
      <c r="BP610" s="812"/>
      <c r="BQ610" s="812"/>
      <c r="BR610" s="812"/>
      <c r="BS610" s="812"/>
      <c r="BT610" s="812"/>
      <c r="BU610" s="812"/>
      <c r="BV610" s="812"/>
      <c r="BW610" s="812"/>
      <c r="BX610" s="812"/>
      <c r="BY610" s="812"/>
      <c r="BZ610" s="812"/>
      <c r="CA610" s="812"/>
      <c r="CB610" s="812"/>
      <c r="CC610" s="812"/>
      <c r="CD610" s="812"/>
      <c r="CE610" s="812"/>
      <c r="CF610" s="812"/>
      <c r="CG610" s="812"/>
      <c r="CH610" s="812"/>
      <c r="CI610" s="812"/>
      <c r="CJ610" s="812"/>
      <c r="CK610" s="812"/>
      <c r="CL610" s="812"/>
      <c r="CM610" s="812"/>
      <c r="CN610" s="812"/>
      <c r="CO610" s="812"/>
      <c r="CP610" s="812"/>
      <c r="CQ610" s="812"/>
      <c r="CR610" s="812"/>
      <c r="CS610" s="812"/>
      <c r="CT610" s="812"/>
      <c r="CU610" s="812"/>
      <c r="CV610" s="812"/>
      <c r="CW610" s="812"/>
      <c r="CX610" s="812"/>
      <c r="CY610" s="812"/>
      <c r="CZ610" s="812"/>
      <c r="DA610" s="812"/>
      <c r="DB610" s="812"/>
      <c r="DC610" s="812"/>
      <c r="DD610" s="812"/>
      <c r="DE610" s="812"/>
      <c r="DF610" s="812"/>
      <c r="DG610" s="812"/>
      <c r="DH610" s="812"/>
      <c r="DI610" s="812"/>
      <c r="DJ610" s="812"/>
      <c r="DK610" s="812"/>
      <c r="DL610" s="812"/>
    </row>
    <row r="611" ht="20.25" customHeight="1">
      <c r="A611" s="44">
        <v>611.0</v>
      </c>
      <c r="B611" s="45" t="s">
        <v>285</v>
      </c>
      <c r="C611" s="45" t="s">
        <v>115</v>
      </c>
      <c r="D611" s="45" t="s">
        <v>248</v>
      </c>
      <c r="E611" s="65"/>
      <c r="F611" s="62" t="s">
        <v>3369</v>
      </c>
      <c r="G611" s="45" t="s">
        <v>3381</v>
      </c>
      <c r="H611" s="45" t="s">
        <v>249</v>
      </c>
      <c r="I611" s="63">
        <v>45427.0</v>
      </c>
      <c r="J611" s="64">
        <v>45625.0</v>
      </c>
      <c r="K611" s="45" t="s">
        <v>3382</v>
      </c>
      <c r="L611" s="65"/>
      <c r="M611" s="45" t="s">
        <v>3372</v>
      </c>
      <c r="N611" s="45" t="s">
        <v>3373</v>
      </c>
      <c r="O611" s="65"/>
      <c r="P611" s="118" t="str">
        <f> hyperlink(vlookup(lower(N611),'File Links'!A:B, 2, FALSE), SUBSTITUTE(lower(N611), "/", "--") &amp;  ".pdf")</f>
        <v>10.1177--2167702614545216.pdf</v>
      </c>
      <c r="Q611" s="108" t="str">
        <f t="array" ref="Q611"> if(iserror(MATCH(V611, 'File Links'!C:C, 0)), "N/A", HYPERLINK(INDEX('File Links'!B:B, MATCH(P611, 'File Links'!C:C, 0))))</f>
        <v>N/A</v>
      </c>
      <c r="R611" s="45" t="s">
        <v>3374</v>
      </c>
      <c r="S611" s="45" t="s">
        <v>3375</v>
      </c>
      <c r="T611" s="65"/>
      <c r="U611" s="65"/>
      <c r="V611" s="66" t="str">
        <f> hyperlink(vlookup(lower(S611),'File Links'!E:F, 2, FALSE), SUBSTITUTE(lower(S611), "/", "--") &amp;  ".pdf")</f>
        <v>10.1080--13506285.2024.2343157.pdf</v>
      </c>
      <c r="W611" s="65"/>
      <c r="X611" s="49" t="str">
        <f t="array" ref="X611"> if(iserror(MATCH(V611, 'File Links'!C:C, 0)), "N/A", HYPERLINK(INDEX('File Links'!B:B, MATCH(V611, 'File Links'!C:C, 0))))</f>
        <v>N/A</v>
      </c>
      <c r="Y611" s="45" t="s">
        <v>3376</v>
      </c>
      <c r="Z611" s="45" t="s">
        <v>947</v>
      </c>
      <c r="AA611" s="65"/>
      <c r="AB611" s="45" t="s">
        <v>3383</v>
      </c>
      <c r="AC611" s="45" t="s">
        <v>3378</v>
      </c>
      <c r="AD611" s="45" t="s">
        <v>3384</v>
      </c>
      <c r="AE611" s="45">
        <v>6.0</v>
      </c>
      <c r="AF611" s="45">
        <v>14.0</v>
      </c>
      <c r="AG611" s="45" t="s">
        <v>3385</v>
      </c>
      <c r="AH611" s="151" t="s">
        <v>134</v>
      </c>
      <c r="AI611" s="65"/>
      <c r="AJ611" s="45">
        <v>0.24</v>
      </c>
      <c r="AK611" s="45" t="s">
        <v>172</v>
      </c>
      <c r="AL611" s="45" t="s">
        <v>186</v>
      </c>
      <c r="AM611" s="67"/>
      <c r="AN611" s="219" t="s">
        <v>138</v>
      </c>
      <c r="AO611" s="45">
        <v>41.0</v>
      </c>
      <c r="AP611" s="414">
        <v>92.0</v>
      </c>
      <c r="AQ611" s="45" t="s">
        <v>1031</v>
      </c>
      <c r="AR611" s="45" t="s">
        <v>3386</v>
      </c>
      <c r="AS611" s="45" t="s">
        <v>2859</v>
      </c>
      <c r="AT611" s="45" t="s">
        <v>335</v>
      </c>
      <c r="AU611" s="45" t="s">
        <v>186</v>
      </c>
      <c r="AV611" s="67"/>
      <c r="AX611" s="68"/>
      <c r="AY611" s="61" t="str">
        <f>IFERROR(__xludf.DUMMYFUNCTION("vlookup(BB611,importrange(""https://docs.google.com/spreadsheets/d/1d2vevQ_7D_v35q4wCQ4RpQ_IPoTwEMB9Yp6ymwlPqew/edit?gid=984458430#gid=984458430"", ""'replication success'!A:K""), 11, FAlSE)"),"#N/A")</f>
        <v>#N/A</v>
      </c>
      <c r="AZ611" s="61" t="str">
        <f>IFERROR(__xludf.DUMMYFUNCTION("vlookup(BB611,importrange(""https://docs.google.com/spreadsheets/d/1d2vevQ_7D_v35q4wCQ4RpQ_IPoTwEMB9Yp6ymwlPqew/edit?gid=984458430#gid=984458430"", ""'replication success'!A:M""), 12, FAlSE)"),"#N/A")</f>
        <v>#N/A</v>
      </c>
      <c r="BA611" s="61" t="str">
        <f>IFERROR(__xludf.DUMMYFUNCTION("vlookup(BB611,importrange(""https://docs.google.com/spreadsheets/d/1d2vevQ_7D_v35q4wCQ4RpQ_IPoTwEMB9Yp6ymwlPqew/edit?gid=984458430#gid=984458430"", ""'replication success'!A:M""), 13, FAlSE)"),"#N/A")</f>
        <v>#N/A</v>
      </c>
      <c r="BB611" s="61" t="str">
        <f>IFERROR(__xludf.DUMMYFUNCTION("REGEXREPLACE(G611, ""_[a-z]{1,2}$"", """")"),"additional_studies9")</f>
        <v>additional_studies9</v>
      </c>
      <c r="BC611" s="65"/>
      <c r="BE611" s="226"/>
      <c r="BF611" s="226"/>
      <c r="BG611" s="226"/>
      <c r="BH611" s="226"/>
      <c r="BI611" s="226"/>
      <c r="BJ611" s="226"/>
      <c r="BK611" s="226"/>
      <c r="BL611" s="226"/>
      <c r="BM611" s="226"/>
      <c r="BN611" s="226"/>
      <c r="BO611" s="226"/>
      <c r="BP611" s="226"/>
      <c r="BQ611" s="226"/>
      <c r="BR611" s="226"/>
      <c r="BS611" s="226"/>
      <c r="BT611" s="226"/>
      <c r="BU611" s="226"/>
      <c r="BV611" s="226"/>
      <c r="BW611" s="226"/>
      <c r="BX611" s="226"/>
      <c r="BY611" s="226"/>
      <c r="BZ611" s="226"/>
      <c r="CA611" s="226"/>
      <c r="CB611" s="226"/>
      <c r="CC611" s="226"/>
      <c r="CD611" s="226"/>
      <c r="CE611" s="226"/>
      <c r="CF611" s="226"/>
      <c r="CG611" s="226"/>
      <c r="CH611" s="226"/>
      <c r="CI611" s="226"/>
      <c r="CJ611" s="226"/>
      <c r="CK611" s="226"/>
      <c r="CL611" s="226"/>
      <c r="CM611" s="226"/>
      <c r="CN611" s="226"/>
      <c r="CO611" s="226"/>
      <c r="CP611" s="226"/>
      <c r="CQ611" s="226"/>
      <c r="CR611" s="226"/>
      <c r="CS611" s="226"/>
      <c r="CT611" s="226"/>
      <c r="CU611" s="226"/>
      <c r="CV611" s="226"/>
      <c r="CW611" s="226"/>
      <c r="CX611" s="226"/>
      <c r="CY611" s="226"/>
      <c r="CZ611" s="226"/>
      <c r="DA611" s="226"/>
      <c r="DB611" s="226"/>
      <c r="DC611" s="226"/>
      <c r="DD611" s="226"/>
      <c r="DE611" s="226"/>
      <c r="DF611" s="226"/>
      <c r="DG611" s="226"/>
      <c r="DH611" s="226"/>
      <c r="DI611" s="226"/>
      <c r="DJ611" s="226"/>
      <c r="DK611" s="226"/>
      <c r="DL611" s="226"/>
    </row>
    <row r="612" ht="20.25" customHeight="1">
      <c r="A612" s="44">
        <v>612.0</v>
      </c>
      <c r="B612" s="45" t="s">
        <v>285</v>
      </c>
      <c r="C612" s="45" t="s">
        <v>115</v>
      </c>
      <c r="D612" s="45" t="s">
        <v>248</v>
      </c>
      <c r="E612" s="65"/>
      <c r="F612" s="62" t="s">
        <v>3369</v>
      </c>
      <c r="G612" s="45" t="s">
        <v>3387</v>
      </c>
      <c r="H612" s="45" t="s">
        <v>249</v>
      </c>
      <c r="I612" s="63">
        <v>45427.0</v>
      </c>
      <c r="J612" s="64">
        <v>45625.0</v>
      </c>
      <c r="K612" s="45" t="s">
        <v>3382</v>
      </c>
      <c r="L612" s="65"/>
      <c r="M612" s="45" t="s">
        <v>3372</v>
      </c>
      <c r="N612" s="45" t="s">
        <v>3373</v>
      </c>
      <c r="O612" s="65"/>
      <c r="P612" s="118" t="str">
        <f> hyperlink(vlookup(lower(N612),'File Links'!A:B, 2, FALSE), SUBSTITUTE(lower(N612), "/", "--") &amp;  ".pdf")</f>
        <v>10.1177--2167702614545216.pdf</v>
      </c>
      <c r="Q612" s="108" t="str">
        <f t="array" ref="Q612"> if(iserror(MATCH(V612, 'File Links'!C:C, 0)), "N/A", HYPERLINK(INDEX('File Links'!B:B, MATCH(P612, 'File Links'!C:C, 0))))</f>
        <v>N/A</v>
      </c>
      <c r="R612" s="45" t="s">
        <v>3374</v>
      </c>
      <c r="S612" s="45" t="s">
        <v>3375</v>
      </c>
      <c r="T612" s="65"/>
      <c r="U612" s="65"/>
      <c r="V612" s="66" t="str">
        <f> hyperlink(vlookup(lower(S612),'File Links'!E:F, 2, FALSE), SUBSTITUTE(lower(S612), "/", "--") &amp;  ".pdf")</f>
        <v>10.1080--13506285.2024.2343157.pdf</v>
      </c>
      <c r="W612" s="65"/>
      <c r="X612" s="49" t="str">
        <f t="array" ref="X612"> if(iserror(MATCH(V612, 'File Links'!C:C, 0)), "N/A", HYPERLINK(INDEX('File Links'!B:B, MATCH(V612, 'File Links'!C:C, 0))))</f>
        <v>N/A</v>
      </c>
      <c r="Y612" s="45" t="s">
        <v>3376</v>
      </c>
      <c r="Z612" s="45" t="s">
        <v>947</v>
      </c>
      <c r="AA612" s="65"/>
      <c r="AB612" s="45" t="s">
        <v>3388</v>
      </c>
      <c r="AC612" s="45" t="s">
        <v>3378</v>
      </c>
      <c r="AD612" s="45" t="s">
        <v>3389</v>
      </c>
      <c r="AE612" s="45">
        <v>6.0</v>
      </c>
      <c r="AF612" s="45">
        <v>14.0</v>
      </c>
      <c r="AG612" s="45" t="s">
        <v>3390</v>
      </c>
      <c r="AH612" s="151" t="s">
        <v>134</v>
      </c>
      <c r="AI612" s="65"/>
      <c r="AJ612" s="45">
        <v>0.2</v>
      </c>
      <c r="AK612" s="45" t="s">
        <v>172</v>
      </c>
      <c r="AL612" s="45" t="s">
        <v>186</v>
      </c>
      <c r="AM612" s="67"/>
      <c r="AN612" s="219" t="s">
        <v>138</v>
      </c>
      <c r="AO612" s="45">
        <v>29.0</v>
      </c>
      <c r="AP612" s="414">
        <v>92.0</v>
      </c>
      <c r="AQ612" s="45" t="s">
        <v>1031</v>
      </c>
      <c r="AR612" s="45" t="s">
        <v>3386</v>
      </c>
      <c r="AS612" s="45" t="s">
        <v>2859</v>
      </c>
      <c r="AT612" s="45" t="s">
        <v>335</v>
      </c>
      <c r="AU612" s="45" t="s">
        <v>186</v>
      </c>
      <c r="AV612" s="67"/>
      <c r="AX612" s="68"/>
      <c r="AY612" s="61" t="str">
        <f>IFERROR(__xludf.DUMMYFUNCTION("vlookup(BB612,importrange(""https://docs.google.com/spreadsheets/d/1d2vevQ_7D_v35q4wCQ4RpQ_IPoTwEMB9Yp6ymwlPqew/edit?gid=984458430#gid=984458430"", ""'replication success'!A:K""), 11, FAlSE)"),"#N/A")</f>
        <v>#N/A</v>
      </c>
      <c r="AZ612" s="61" t="str">
        <f>IFERROR(__xludf.DUMMYFUNCTION("vlookup(BB612,importrange(""https://docs.google.com/spreadsheets/d/1d2vevQ_7D_v35q4wCQ4RpQ_IPoTwEMB9Yp6ymwlPqew/edit?gid=984458430#gid=984458430"", ""'replication success'!A:M""), 12, FAlSE)"),"#N/A")</f>
        <v>#N/A</v>
      </c>
      <c r="BA612" s="61" t="str">
        <f>IFERROR(__xludf.DUMMYFUNCTION("vlookup(BB612,importrange(""https://docs.google.com/spreadsheets/d/1d2vevQ_7D_v35q4wCQ4RpQ_IPoTwEMB9Yp6ymwlPqew/edit?gid=984458430#gid=984458430"", ""'replication success'!A:M""), 13, FAlSE)"),"#N/A")</f>
        <v>#N/A</v>
      </c>
      <c r="BB612" s="61" t="str">
        <f>IFERROR(__xludf.DUMMYFUNCTION("REGEXREPLACE(G612, ""_[a-z]{1,2}$"", """")"),"additional_studies9")</f>
        <v>additional_studies9</v>
      </c>
      <c r="BC612" s="65"/>
      <c r="BE612" s="107"/>
      <c r="BF612" s="107"/>
      <c r="BG612" s="107"/>
      <c r="BH612" s="107"/>
      <c r="BI612" s="107"/>
      <c r="BJ612" s="107"/>
      <c r="BK612" s="107"/>
      <c r="BL612" s="107"/>
      <c r="BM612" s="107"/>
      <c r="BN612" s="107"/>
      <c r="BO612" s="107"/>
      <c r="BP612" s="107"/>
      <c r="BQ612" s="107"/>
      <c r="BR612" s="107"/>
      <c r="BS612" s="107"/>
      <c r="BT612" s="107"/>
      <c r="BU612" s="107"/>
      <c r="BV612" s="107"/>
      <c r="BW612" s="107"/>
      <c r="BX612" s="107"/>
      <c r="BY612" s="107"/>
      <c r="BZ612" s="107"/>
      <c r="CA612" s="107"/>
      <c r="CB612" s="107"/>
      <c r="CC612" s="107"/>
      <c r="CD612" s="107"/>
      <c r="CE612" s="107"/>
      <c r="CF612" s="107"/>
      <c r="CG612" s="107"/>
      <c r="CH612" s="107"/>
      <c r="CI612" s="107"/>
      <c r="CJ612" s="107"/>
      <c r="CK612" s="107"/>
      <c r="CL612" s="107"/>
      <c r="CM612" s="107"/>
      <c r="CN612" s="107"/>
      <c r="CO612" s="107"/>
      <c r="CP612" s="107"/>
      <c r="CQ612" s="107"/>
      <c r="CR612" s="107"/>
      <c r="CS612" s="107"/>
      <c r="CT612" s="107"/>
      <c r="CU612" s="107"/>
      <c r="CV612" s="107"/>
      <c r="CW612" s="107"/>
      <c r="CX612" s="107"/>
      <c r="CY612" s="107"/>
      <c r="CZ612" s="107"/>
      <c r="DA612" s="107"/>
      <c r="DB612" s="107"/>
      <c r="DC612" s="107"/>
      <c r="DD612" s="107"/>
      <c r="DE612" s="107"/>
      <c r="DF612" s="107"/>
      <c r="DG612" s="107"/>
      <c r="DH612" s="107"/>
      <c r="DI612" s="107"/>
      <c r="DJ612" s="107"/>
      <c r="DK612" s="107"/>
      <c r="DL612" s="107"/>
    </row>
    <row r="613" ht="20.25" customHeight="1">
      <c r="A613" s="73">
        <v>613.0</v>
      </c>
      <c r="B613" s="93" t="s">
        <v>152</v>
      </c>
      <c r="C613" s="93" t="s">
        <v>115</v>
      </c>
      <c r="D613" s="93" t="s">
        <v>990</v>
      </c>
      <c r="E613" s="92"/>
      <c r="F613" s="94" t="s">
        <v>3391</v>
      </c>
      <c r="G613" s="922" t="s">
        <v>3392</v>
      </c>
      <c r="H613" s="76" t="s">
        <v>144</v>
      </c>
      <c r="I613" s="853">
        <v>45489.0</v>
      </c>
      <c r="J613" s="629">
        <v>45638.0</v>
      </c>
      <c r="K613" s="82"/>
      <c r="L613" s="82"/>
      <c r="M613" s="76" t="s">
        <v>3393</v>
      </c>
      <c r="N613" s="76" t="s">
        <v>3394</v>
      </c>
      <c r="O613" s="635">
        <v>1.0</v>
      </c>
      <c r="P613" s="99" t="s">
        <v>3395</v>
      </c>
      <c r="Q613" s="893" t="str">
        <f t="array" ref="Q613"> if(iserror(MATCH(V613, 'File Links'!C:C, 0)), "N/A", HYPERLINK(INDEX('File Links'!B:B, MATCH(P613, 'File Links'!C:C, 0))))</f>
        <v>https://drive.google.com/file/d/13vglHZTPgv6z9W5xPGWG5OyE_h91M3UK/view?usp=drivesdk</v>
      </c>
      <c r="R613" s="76" t="s">
        <v>3396</v>
      </c>
      <c r="S613" s="76" t="s">
        <v>3397</v>
      </c>
      <c r="T613" s="82"/>
      <c r="U613" s="633">
        <v>1.0</v>
      </c>
      <c r="V613" s="95" t="str">
        <f t="shared" ref="V613:V679" si="36"> hyperlink(vlookup(lower(S613),#REF!, 2, FALSE), SUBSTITUTE(lower(S613), "/", "--") &amp;  ".pdf")</f>
        <v>10.12688--openreseurope.17749.1.pdf</v>
      </c>
      <c r="W613" s="76" t="s">
        <v>209</v>
      </c>
      <c r="X613" s="894" t="str">
        <f t="array" ref="X613"> if(iserror(MATCH(V613, 'File Links'!C:C, 0)), "N/A", HYPERLINK(INDEX('File Links'!B:B, MATCH(V613, 'File Links'!C:C, 0))))</f>
        <v>https://drive.google.com/file/d/17sgB6ScmXf8Wli1_dKWf0wpvxkNJRZtC/view?usp=drivesdk</v>
      </c>
      <c r="Y613" s="82"/>
      <c r="Z613" s="76" t="s">
        <v>148</v>
      </c>
      <c r="AA613" s="82" t="s">
        <v>3398</v>
      </c>
      <c r="AB613" s="82" t="s">
        <v>3399</v>
      </c>
      <c r="AC613" s="76" t="s">
        <v>3400</v>
      </c>
      <c r="AD613" s="923" t="s">
        <v>3401</v>
      </c>
      <c r="AE613" s="635">
        <v>5.0</v>
      </c>
      <c r="AF613" s="635">
        <v>27.0</v>
      </c>
      <c r="AG613" s="635">
        <v>5.93</v>
      </c>
      <c r="AH613" s="99" t="s">
        <v>134</v>
      </c>
      <c r="AI613" s="923" t="s">
        <v>3402</v>
      </c>
      <c r="AJ613" s="635">
        <v>0.022</v>
      </c>
      <c r="AK613" s="95" t="s">
        <v>172</v>
      </c>
      <c r="AL613" s="76" t="s">
        <v>186</v>
      </c>
      <c r="AM613" s="82" t="s">
        <v>137</v>
      </c>
      <c r="AN613" s="79" t="s">
        <v>138</v>
      </c>
      <c r="AO613" s="635">
        <v>32.0</v>
      </c>
      <c r="AP613" s="635">
        <v>1.78</v>
      </c>
      <c r="AQ613" s="76" t="s">
        <v>134</v>
      </c>
      <c r="AR613" s="635">
        <v>9.0</v>
      </c>
      <c r="AS613" s="635">
        <v>0.156</v>
      </c>
      <c r="AT613" s="95" t="s">
        <v>172</v>
      </c>
      <c r="AU613" s="95" t="s">
        <v>186</v>
      </c>
      <c r="AV613" s="94" t="s">
        <v>137</v>
      </c>
      <c r="AW613" s="923" t="s">
        <v>138</v>
      </c>
      <c r="AX613" s="94" t="s">
        <v>143</v>
      </c>
      <c r="AY613" s="61" t="str">
        <f>IFERROR(__xludf.DUMMYFUNCTION("vlookup(BB613,importrange(""https://docs.google.com/spreadsheets/d/1d2vevQ_7D_v35q4wCQ4RpQ_IPoTwEMB9Yp6ymwlPqew/edit?gid=984458430#gid=984458430"", ""'replication success'!A:K""), 11, FAlSE)"),"#N/A")</f>
        <v>#N/A</v>
      </c>
      <c r="AZ613" s="61" t="str">
        <f>IFERROR(__xludf.DUMMYFUNCTION("vlookup(BB613,importrange(""https://docs.google.com/spreadsheets/d/1d2vevQ_7D_v35q4wCQ4RpQ_IPoTwEMB9Yp6ymwlPqew/edit?gid=984458430#gid=984458430"", ""'replication success'!A:M""), 12, FAlSE)"),"#N/A")</f>
        <v>#N/A</v>
      </c>
      <c r="BA613" s="61" t="str">
        <f>IFERROR(__xludf.DUMMYFUNCTION("vlookup(BB613,importrange(""https://docs.google.com/spreadsheets/d/1d2vevQ_7D_v35q4wCQ4RpQ_IPoTwEMB9Yp6ymwlPqew/edit?gid=984458430#gid=984458430"", ""'replication success'!A:M""), 13, FAlSE)"),"#N/A")</f>
        <v>#N/A</v>
      </c>
      <c r="BB613" s="61" t="str">
        <f>IFERROR(__xludf.DUMMYFUNCTION("REGEXREPLACE(G613, ""_[a-z]{1,2}$"", """")"),"additional_studies90")</f>
        <v>additional_studies90</v>
      </c>
      <c r="BC613" s="79" t="s">
        <v>3403</v>
      </c>
      <c r="BD613" s="924" t="s">
        <v>692</v>
      </c>
      <c r="BE613" s="92"/>
      <c r="BF613" s="92"/>
      <c r="BG613" s="92"/>
      <c r="BH613" s="92"/>
      <c r="BI613" s="92"/>
      <c r="BJ613" s="92"/>
      <c r="BK613" s="92"/>
      <c r="BL613" s="92"/>
      <c r="BM613" s="92"/>
      <c r="BN613" s="92"/>
      <c r="BO613" s="92"/>
      <c r="BP613" s="92"/>
      <c r="BQ613" s="92"/>
      <c r="BR613" s="92"/>
      <c r="BS613" s="92"/>
      <c r="BT613" s="92"/>
      <c r="BU613" s="92"/>
      <c r="BV613" s="92"/>
      <c r="BW613" s="92"/>
      <c r="BX613" s="92"/>
      <c r="BY613" s="92"/>
      <c r="BZ613" s="92"/>
      <c r="CA613" s="92"/>
      <c r="CB613" s="92"/>
      <c r="CC613" s="92"/>
      <c r="CD613" s="92"/>
      <c r="CE613" s="92"/>
      <c r="CF613" s="92"/>
      <c r="CG613" s="92"/>
      <c r="CH613" s="92"/>
      <c r="CI613" s="92"/>
      <c r="CJ613" s="92"/>
      <c r="CK613" s="92"/>
      <c r="CL613" s="92"/>
      <c r="CM613" s="92"/>
      <c r="CN613" s="92"/>
      <c r="CO613" s="92"/>
      <c r="CP613" s="92"/>
      <c r="CQ613" s="92"/>
      <c r="CR613" s="92"/>
      <c r="CS613" s="92"/>
      <c r="CT613" s="92"/>
      <c r="CU613" s="92"/>
      <c r="CV613" s="92"/>
      <c r="CW613" s="92"/>
      <c r="CX613" s="92"/>
      <c r="CY613" s="92"/>
      <c r="CZ613" s="92"/>
      <c r="DA613" s="92"/>
      <c r="DB613" s="92"/>
      <c r="DC613" s="92"/>
      <c r="DD613" s="92"/>
      <c r="DE613" s="92"/>
      <c r="DF613" s="92"/>
      <c r="DG613" s="92"/>
      <c r="DH613" s="92"/>
      <c r="DI613" s="92"/>
      <c r="DJ613" s="92"/>
      <c r="DK613" s="92"/>
      <c r="DL613" s="92"/>
    </row>
    <row r="614" ht="20.25" customHeight="1">
      <c r="A614" s="73">
        <v>614.0</v>
      </c>
      <c r="B614" s="93" t="s">
        <v>152</v>
      </c>
      <c r="C614" s="93" t="s">
        <v>115</v>
      </c>
      <c r="D614" s="93" t="s">
        <v>990</v>
      </c>
      <c r="E614" s="92"/>
      <c r="F614" s="94" t="s">
        <v>3391</v>
      </c>
      <c r="G614" s="922" t="s">
        <v>3404</v>
      </c>
      <c r="H614" s="95" t="s">
        <v>144</v>
      </c>
      <c r="I614" s="853">
        <v>45489.0</v>
      </c>
      <c r="J614" s="629">
        <v>45638.0</v>
      </c>
      <c r="K614" s="94"/>
      <c r="L614" s="94"/>
      <c r="M614" s="95" t="s">
        <v>3393</v>
      </c>
      <c r="N614" s="95" t="s">
        <v>3394</v>
      </c>
      <c r="O614" s="98">
        <v>1.0</v>
      </c>
      <c r="P614" s="95" t="s">
        <v>3395</v>
      </c>
      <c r="Q614" s="893" t="str">
        <f t="array" ref="Q614"> if(iserror(MATCH(V614, 'File Links'!C:C, 0)), "N/A", HYPERLINK(INDEX('File Links'!B:B, MATCH(P614, 'File Links'!C:C, 0))))</f>
        <v>https://drive.google.com/file/d/13vglHZTPgv6z9W5xPGWG5OyE_h91M3UK/view?usp=drivesdk</v>
      </c>
      <c r="R614" s="95" t="s">
        <v>3396</v>
      </c>
      <c r="S614" s="95" t="s">
        <v>3397</v>
      </c>
      <c r="T614" s="94"/>
      <c r="U614" s="98">
        <v>1.0</v>
      </c>
      <c r="V614" s="95" t="str">
        <f t="shared" si="36"/>
        <v>10.12688--openreseurope.17749.1.pdf</v>
      </c>
      <c r="W614" s="95" t="s">
        <v>209</v>
      </c>
      <c r="X614" s="894" t="str">
        <f t="array" ref="X614"> if(iserror(MATCH(V614, 'File Links'!C:C, 0)), "N/A", HYPERLINK(INDEX('File Links'!B:B, MATCH(V614, 'File Links'!C:C, 0))))</f>
        <v>https://drive.google.com/file/d/17sgB6ScmXf8Wli1_dKWf0wpvxkNJRZtC/view?usp=drivesdk</v>
      </c>
      <c r="Y614" s="94"/>
      <c r="Z614" s="95" t="s">
        <v>148</v>
      </c>
      <c r="AA614" s="94" t="s">
        <v>3398</v>
      </c>
      <c r="AB614" s="94" t="s">
        <v>3399</v>
      </c>
      <c r="AC614" s="95" t="s">
        <v>3405</v>
      </c>
      <c r="AD614" s="94"/>
      <c r="AE614" s="98">
        <v>5.0</v>
      </c>
      <c r="AF614" s="98">
        <v>27.0</v>
      </c>
      <c r="AG614" s="98">
        <v>4.0</v>
      </c>
      <c r="AH614" s="99" t="s">
        <v>134</v>
      </c>
      <c r="AI614" s="923">
        <v>5.0</v>
      </c>
      <c r="AJ614" s="635">
        <v>0.056</v>
      </c>
      <c r="AK614" s="95" t="s">
        <v>172</v>
      </c>
      <c r="AL614" s="76" t="s">
        <v>186</v>
      </c>
      <c r="AM614" s="94" t="s">
        <v>137</v>
      </c>
      <c r="AN614" s="79" t="s">
        <v>138</v>
      </c>
      <c r="AO614" s="98">
        <v>32.0</v>
      </c>
      <c r="AP614" s="98">
        <v>37.31</v>
      </c>
      <c r="AQ614" s="95" t="s">
        <v>134</v>
      </c>
      <c r="AR614" s="98">
        <v>9.0</v>
      </c>
      <c r="AS614" s="98">
        <v>0.001</v>
      </c>
      <c r="AT614" s="95" t="s">
        <v>135</v>
      </c>
      <c r="AU614" s="95" t="s">
        <v>186</v>
      </c>
      <c r="AV614" s="94" t="s">
        <v>137</v>
      </c>
      <c r="AW614" s="923" t="s">
        <v>138</v>
      </c>
      <c r="AX614" s="94" t="s">
        <v>143</v>
      </c>
      <c r="AY614" s="61" t="str">
        <f>IFERROR(__xludf.DUMMYFUNCTION("vlookup(BB614,importrange(""https://docs.google.com/spreadsheets/d/1d2vevQ_7D_v35q4wCQ4RpQ_IPoTwEMB9Yp6ymwlPqew/edit?gid=984458430#gid=984458430"", ""'replication success'!A:K""), 11, FAlSE)"),"#N/A")</f>
        <v>#N/A</v>
      </c>
      <c r="AZ614" s="61" t="str">
        <f>IFERROR(__xludf.DUMMYFUNCTION("vlookup(BB614,importrange(""https://docs.google.com/spreadsheets/d/1d2vevQ_7D_v35q4wCQ4RpQ_IPoTwEMB9Yp6ymwlPqew/edit?gid=984458430#gid=984458430"", ""'replication success'!A:M""), 12, FAlSE)"),"#N/A")</f>
        <v>#N/A</v>
      </c>
      <c r="BA614" s="61" t="str">
        <f>IFERROR(__xludf.DUMMYFUNCTION("vlookup(BB614,importrange(""https://docs.google.com/spreadsheets/d/1d2vevQ_7D_v35q4wCQ4RpQ_IPoTwEMB9Yp6ymwlPqew/edit?gid=984458430#gid=984458430"", ""'replication success'!A:M""), 13, FAlSE)"),"#N/A")</f>
        <v>#N/A</v>
      </c>
      <c r="BB614" s="61" t="str">
        <f>IFERROR(__xludf.DUMMYFUNCTION("REGEXREPLACE(G614, ""_[a-z]{1,2}$"", """")"),"additional_studies90_a1")</f>
        <v>additional_studies90_a1</v>
      </c>
      <c r="BC614" s="94"/>
      <c r="BD614" s="924" t="s">
        <v>692</v>
      </c>
      <c r="BE614" s="92"/>
      <c r="BF614" s="92"/>
      <c r="BG614" s="92"/>
      <c r="BH614" s="92"/>
      <c r="BI614" s="92"/>
      <c r="BJ614" s="92"/>
      <c r="BK614" s="92"/>
      <c r="BL614" s="92"/>
      <c r="BM614" s="92"/>
      <c r="BN614" s="92"/>
      <c r="BO614" s="92"/>
      <c r="BP614" s="92"/>
      <c r="BQ614" s="92"/>
      <c r="BR614" s="92"/>
      <c r="BS614" s="92"/>
      <c r="BT614" s="92"/>
      <c r="BU614" s="92"/>
      <c r="BV614" s="92"/>
      <c r="BW614" s="92"/>
      <c r="BX614" s="92"/>
      <c r="BY614" s="92"/>
      <c r="BZ614" s="92"/>
      <c r="CA614" s="92"/>
      <c r="CB614" s="92"/>
      <c r="CC614" s="92"/>
      <c r="CD614" s="92"/>
      <c r="CE614" s="92"/>
      <c r="CF614" s="92"/>
      <c r="CG614" s="92"/>
      <c r="CH614" s="92"/>
      <c r="CI614" s="92"/>
      <c r="CJ614" s="92"/>
      <c r="CK614" s="92"/>
      <c r="CL614" s="92"/>
      <c r="CM614" s="92"/>
      <c r="CN614" s="92"/>
      <c r="CO614" s="92"/>
      <c r="CP614" s="92"/>
      <c r="CQ614" s="92"/>
      <c r="CR614" s="92"/>
      <c r="CS614" s="92"/>
      <c r="CT614" s="92"/>
      <c r="CU614" s="92"/>
      <c r="CV614" s="92"/>
      <c r="CW614" s="92"/>
      <c r="CX614" s="92"/>
      <c r="CY614" s="92"/>
      <c r="CZ614" s="92"/>
      <c r="DA614" s="92"/>
      <c r="DB614" s="92"/>
      <c r="DC614" s="92"/>
      <c r="DD614" s="92"/>
      <c r="DE614" s="92"/>
      <c r="DF614" s="92"/>
      <c r="DG614" s="92"/>
      <c r="DH614" s="92"/>
      <c r="DI614" s="92"/>
      <c r="DJ614" s="92"/>
      <c r="DK614" s="92"/>
      <c r="DL614" s="92"/>
    </row>
    <row r="615" ht="20.25" customHeight="1">
      <c r="A615" s="73">
        <v>615.0</v>
      </c>
      <c r="B615" s="93" t="s">
        <v>152</v>
      </c>
      <c r="C615" s="93" t="s">
        <v>115</v>
      </c>
      <c r="D615" s="93" t="s">
        <v>990</v>
      </c>
      <c r="E615" s="92"/>
      <c r="F615" s="94" t="s">
        <v>3391</v>
      </c>
      <c r="G615" s="922" t="s">
        <v>3406</v>
      </c>
      <c r="H615" s="76" t="s">
        <v>144</v>
      </c>
      <c r="I615" s="853">
        <v>45489.0</v>
      </c>
      <c r="J615" s="629">
        <v>45638.0</v>
      </c>
      <c r="K615" s="82"/>
      <c r="L615" s="82"/>
      <c r="M615" s="76" t="s">
        <v>3393</v>
      </c>
      <c r="N615" s="76" t="s">
        <v>3394</v>
      </c>
      <c r="O615" s="635">
        <v>1.0</v>
      </c>
      <c r="P615" s="99" t="s">
        <v>3395</v>
      </c>
      <c r="Q615" s="893" t="str">
        <f t="array" ref="Q615"> if(iserror(MATCH(V615, 'File Links'!C:C, 0)), "N/A", HYPERLINK(INDEX('File Links'!B:B, MATCH(P615, 'File Links'!C:C, 0))))</f>
        <v>https://drive.google.com/file/d/13vglHZTPgv6z9W5xPGWG5OyE_h91M3UK/view?usp=drivesdk</v>
      </c>
      <c r="R615" s="76" t="s">
        <v>3396</v>
      </c>
      <c r="S615" s="76" t="s">
        <v>3397</v>
      </c>
      <c r="T615" s="82"/>
      <c r="U615" s="633">
        <v>1.0</v>
      </c>
      <c r="V615" s="95" t="str">
        <f t="shared" si="36"/>
        <v>10.12688--openreseurope.17749.1.pdf</v>
      </c>
      <c r="W615" s="76" t="s">
        <v>209</v>
      </c>
      <c r="X615" s="894" t="str">
        <f t="array" ref="X615"> if(iserror(MATCH(V615, 'File Links'!C:C, 0)), "N/A", HYPERLINK(INDEX('File Links'!B:B, MATCH(V615, 'File Links'!C:C, 0))))</f>
        <v>https://drive.google.com/file/d/17sgB6ScmXf8Wli1_dKWf0wpvxkNJRZtC/view?usp=drivesdk</v>
      </c>
      <c r="Y615" s="82"/>
      <c r="Z615" s="76" t="s">
        <v>148</v>
      </c>
      <c r="AA615" s="82" t="s">
        <v>3398</v>
      </c>
      <c r="AB615" s="82" t="s">
        <v>3399</v>
      </c>
      <c r="AC615" s="76" t="s">
        <v>3407</v>
      </c>
      <c r="AD615" s="82"/>
      <c r="AE615" s="635">
        <v>5.0</v>
      </c>
      <c r="AF615" s="635">
        <v>27.0</v>
      </c>
      <c r="AG615" s="635">
        <v>6.12</v>
      </c>
      <c r="AH615" s="99" t="s">
        <v>134</v>
      </c>
      <c r="AI615" s="923">
        <v>5.0</v>
      </c>
      <c r="AJ615" s="635">
        <v>0.02</v>
      </c>
      <c r="AK615" s="95" t="s">
        <v>172</v>
      </c>
      <c r="AL615" s="76" t="s">
        <v>186</v>
      </c>
      <c r="AM615" s="82" t="s">
        <v>137</v>
      </c>
      <c r="AN615" s="79" t="s">
        <v>138</v>
      </c>
      <c r="AO615" s="635">
        <v>32.0</v>
      </c>
      <c r="AP615" s="635">
        <v>1.12</v>
      </c>
      <c r="AQ615" s="76" t="s">
        <v>134</v>
      </c>
      <c r="AR615" s="635">
        <v>9.0</v>
      </c>
      <c r="AS615" s="635">
        <v>0.332</v>
      </c>
      <c r="AT615" s="95" t="s">
        <v>172</v>
      </c>
      <c r="AU615" s="95" t="s">
        <v>186</v>
      </c>
      <c r="AV615" s="94" t="s">
        <v>137</v>
      </c>
      <c r="AW615" s="923" t="s">
        <v>138</v>
      </c>
      <c r="AX615" s="94" t="s">
        <v>143</v>
      </c>
      <c r="AY615" s="61" t="str">
        <f>IFERROR(__xludf.DUMMYFUNCTION("vlookup(BB615,importrange(""https://docs.google.com/spreadsheets/d/1d2vevQ_7D_v35q4wCQ4RpQ_IPoTwEMB9Yp6ymwlPqew/edit?gid=984458430#gid=984458430"", ""'replication success'!A:K""), 11, FAlSE)"),"#N/A")</f>
        <v>#N/A</v>
      </c>
      <c r="AZ615" s="61" t="str">
        <f>IFERROR(__xludf.DUMMYFUNCTION("vlookup(BB615,importrange(""https://docs.google.com/spreadsheets/d/1d2vevQ_7D_v35q4wCQ4RpQ_IPoTwEMB9Yp6ymwlPqew/edit?gid=984458430#gid=984458430"", ""'replication success'!A:M""), 12, FAlSE)"),"#N/A")</f>
        <v>#N/A</v>
      </c>
      <c r="BA615" s="61" t="str">
        <f>IFERROR(__xludf.DUMMYFUNCTION("vlookup(BB615,importrange(""https://docs.google.com/spreadsheets/d/1d2vevQ_7D_v35q4wCQ4RpQ_IPoTwEMB9Yp6ymwlPqew/edit?gid=984458430#gid=984458430"", ""'replication success'!A:M""), 13, FAlSE)"),"#N/A")</f>
        <v>#N/A</v>
      </c>
      <c r="BB615" s="61" t="str">
        <f>IFERROR(__xludf.DUMMYFUNCTION("REGEXREPLACE(G615, ""_[a-z]{1,2}$"", """")"),"additional_studies90")</f>
        <v>additional_studies90</v>
      </c>
      <c r="BC615" s="82"/>
      <c r="BD615" s="924" t="s">
        <v>692</v>
      </c>
      <c r="BE615" s="92"/>
      <c r="BF615" s="92"/>
      <c r="BG615" s="92"/>
      <c r="BH615" s="92"/>
      <c r="BI615" s="92"/>
      <c r="BJ615" s="92"/>
      <c r="BK615" s="92"/>
      <c r="BL615" s="92"/>
      <c r="BM615" s="92"/>
      <c r="BN615" s="92"/>
      <c r="BO615" s="92"/>
      <c r="BP615" s="92"/>
      <c r="BQ615" s="92"/>
      <c r="BR615" s="92"/>
      <c r="BS615" s="92"/>
      <c r="BT615" s="92"/>
      <c r="BU615" s="92"/>
      <c r="BV615" s="92"/>
      <c r="BW615" s="92"/>
      <c r="BX615" s="92"/>
      <c r="BY615" s="92"/>
      <c r="BZ615" s="92"/>
      <c r="CA615" s="92"/>
      <c r="CB615" s="92"/>
      <c r="CC615" s="92"/>
      <c r="CD615" s="92"/>
      <c r="CE615" s="92"/>
      <c r="CF615" s="92"/>
      <c r="CG615" s="92"/>
      <c r="CH615" s="92"/>
      <c r="CI615" s="92"/>
      <c r="CJ615" s="92"/>
      <c r="CK615" s="92"/>
      <c r="CL615" s="92"/>
      <c r="CM615" s="92"/>
      <c r="CN615" s="92"/>
      <c r="CO615" s="92"/>
      <c r="CP615" s="92"/>
      <c r="CQ615" s="92"/>
      <c r="CR615" s="92"/>
      <c r="CS615" s="92"/>
      <c r="CT615" s="92"/>
      <c r="CU615" s="92"/>
      <c r="CV615" s="92"/>
      <c r="CW615" s="92"/>
      <c r="CX615" s="92"/>
      <c r="CY615" s="92"/>
      <c r="CZ615" s="92"/>
      <c r="DA615" s="92"/>
      <c r="DB615" s="92"/>
      <c r="DC615" s="92"/>
      <c r="DD615" s="92"/>
      <c r="DE615" s="92"/>
      <c r="DF615" s="92"/>
      <c r="DG615" s="92"/>
      <c r="DH615" s="92"/>
      <c r="DI615" s="92"/>
      <c r="DJ615" s="92"/>
      <c r="DK615" s="92"/>
      <c r="DL615" s="92"/>
    </row>
    <row r="616" ht="20.25" customHeight="1">
      <c r="A616" s="73">
        <v>616.0</v>
      </c>
      <c r="B616" s="93" t="s">
        <v>152</v>
      </c>
      <c r="C616" s="93" t="s">
        <v>115</v>
      </c>
      <c r="D616" s="93" t="s">
        <v>990</v>
      </c>
      <c r="E616" s="92"/>
      <c r="F616" s="94" t="s">
        <v>3391</v>
      </c>
      <c r="G616" s="922" t="s">
        <v>3408</v>
      </c>
      <c r="H616" s="95" t="s">
        <v>144</v>
      </c>
      <c r="I616" s="853">
        <v>45489.0</v>
      </c>
      <c r="J616" s="629">
        <v>45638.0</v>
      </c>
      <c r="K616" s="94"/>
      <c r="L616" s="94"/>
      <c r="M616" s="95" t="s">
        <v>3393</v>
      </c>
      <c r="N616" s="95" t="s">
        <v>3394</v>
      </c>
      <c r="O616" s="98">
        <v>1.0</v>
      </c>
      <c r="P616" s="95" t="s">
        <v>3395</v>
      </c>
      <c r="Q616" s="893" t="str">
        <f t="array" ref="Q616"> if(iserror(MATCH(V616, 'File Links'!C:C, 0)), "N/A", HYPERLINK(INDEX('File Links'!B:B, MATCH(P616, 'File Links'!C:C, 0))))</f>
        <v>https://drive.google.com/file/d/13vglHZTPgv6z9W5xPGWG5OyE_h91M3UK/view?usp=drivesdk</v>
      </c>
      <c r="R616" s="95" t="s">
        <v>3396</v>
      </c>
      <c r="S616" s="95" t="s">
        <v>3397</v>
      </c>
      <c r="T616" s="94"/>
      <c r="U616" s="98">
        <v>1.0</v>
      </c>
      <c r="V616" s="95" t="str">
        <f t="shared" si="36"/>
        <v>10.12688--openreseurope.17749.1.pdf</v>
      </c>
      <c r="W616" s="95" t="s">
        <v>209</v>
      </c>
      <c r="X616" s="894" t="str">
        <f t="array" ref="X616"> if(iserror(MATCH(V616, 'File Links'!C:C, 0)), "N/A", HYPERLINK(INDEX('File Links'!B:B, MATCH(V616, 'File Links'!C:C, 0))))</f>
        <v>https://drive.google.com/file/d/17sgB6ScmXf8Wli1_dKWf0wpvxkNJRZtC/view?usp=drivesdk</v>
      </c>
      <c r="Y616" s="94"/>
      <c r="Z616" s="95" t="s">
        <v>148</v>
      </c>
      <c r="AA616" s="94" t="s">
        <v>3398</v>
      </c>
      <c r="AB616" s="94" t="s">
        <v>3399</v>
      </c>
      <c r="AC616" s="95" t="s">
        <v>3409</v>
      </c>
      <c r="AD616" s="94"/>
      <c r="AE616" s="98">
        <v>5.0</v>
      </c>
      <c r="AF616" s="98">
        <v>27.0</v>
      </c>
      <c r="AG616" s="98">
        <v>7.17</v>
      </c>
      <c r="AH616" s="99" t="s">
        <v>134</v>
      </c>
      <c r="AI616" s="923">
        <v>5.0</v>
      </c>
      <c r="AJ616" s="635">
        <v>0.013</v>
      </c>
      <c r="AK616" s="95" t="s">
        <v>172</v>
      </c>
      <c r="AL616" s="76" t="s">
        <v>186</v>
      </c>
      <c r="AM616" s="94" t="s">
        <v>137</v>
      </c>
      <c r="AN616" s="79" t="s">
        <v>138</v>
      </c>
      <c r="AO616" s="98">
        <v>32.0</v>
      </c>
      <c r="AP616" s="98">
        <v>31.02</v>
      </c>
      <c r="AQ616" s="95" t="s">
        <v>134</v>
      </c>
      <c r="AR616" s="98">
        <v>9.0</v>
      </c>
      <c r="AS616" s="98">
        <v>0.001</v>
      </c>
      <c r="AT616" s="95" t="s">
        <v>135</v>
      </c>
      <c r="AU616" s="95" t="s">
        <v>186</v>
      </c>
      <c r="AV616" s="94" t="s">
        <v>137</v>
      </c>
      <c r="AW616" s="923" t="s">
        <v>138</v>
      </c>
      <c r="AX616" s="94" t="s">
        <v>143</v>
      </c>
      <c r="AY616" s="61" t="str">
        <f>IFERROR(__xludf.DUMMYFUNCTION("vlookup(BB616,importrange(""https://docs.google.com/spreadsheets/d/1d2vevQ_7D_v35q4wCQ4RpQ_IPoTwEMB9Yp6ymwlPqew/edit?gid=984458430#gid=984458430"", ""'replication success'!A:K""), 11, FAlSE)"),"#N/A")</f>
        <v>#N/A</v>
      </c>
      <c r="AZ616" s="61" t="str">
        <f>IFERROR(__xludf.DUMMYFUNCTION("vlookup(BB616,importrange(""https://docs.google.com/spreadsheets/d/1d2vevQ_7D_v35q4wCQ4RpQ_IPoTwEMB9Yp6ymwlPqew/edit?gid=984458430#gid=984458430"", ""'replication success'!A:M""), 12, FAlSE)"),"#N/A")</f>
        <v>#N/A</v>
      </c>
      <c r="BA616" s="61" t="str">
        <f>IFERROR(__xludf.DUMMYFUNCTION("vlookup(BB616,importrange(""https://docs.google.com/spreadsheets/d/1d2vevQ_7D_v35q4wCQ4RpQ_IPoTwEMB9Yp6ymwlPqew/edit?gid=984458430#gid=984458430"", ""'replication success'!A:M""), 13, FAlSE)"),"#N/A")</f>
        <v>#N/A</v>
      </c>
      <c r="BB616" s="61" t="str">
        <f>IFERROR(__xludf.DUMMYFUNCTION("REGEXREPLACE(G616, ""_[a-z]{1,2}$"", """")"),"additional_studies90_b1")</f>
        <v>additional_studies90_b1</v>
      </c>
      <c r="BC616" s="94"/>
      <c r="BD616" s="924" t="s">
        <v>692</v>
      </c>
      <c r="BE616" s="92"/>
      <c r="BF616" s="92"/>
      <c r="BG616" s="92"/>
      <c r="BH616" s="92"/>
      <c r="BI616" s="92"/>
      <c r="BJ616" s="92"/>
      <c r="BK616" s="92"/>
      <c r="BL616" s="92"/>
      <c r="BM616" s="92"/>
      <c r="BN616" s="92"/>
      <c r="BO616" s="92"/>
      <c r="BP616" s="92"/>
      <c r="BQ616" s="92"/>
      <c r="BR616" s="92"/>
      <c r="BS616" s="92"/>
      <c r="BT616" s="92"/>
      <c r="BU616" s="92"/>
      <c r="BV616" s="92"/>
      <c r="BW616" s="92"/>
      <c r="BX616" s="92"/>
      <c r="BY616" s="92"/>
      <c r="BZ616" s="92"/>
      <c r="CA616" s="92"/>
      <c r="CB616" s="92"/>
      <c r="CC616" s="92"/>
      <c r="CD616" s="92"/>
      <c r="CE616" s="92"/>
      <c r="CF616" s="92"/>
      <c r="CG616" s="92"/>
      <c r="CH616" s="92"/>
      <c r="CI616" s="92"/>
      <c r="CJ616" s="92"/>
      <c r="CK616" s="92"/>
      <c r="CL616" s="92"/>
      <c r="CM616" s="92"/>
      <c r="CN616" s="92"/>
      <c r="CO616" s="92"/>
      <c r="CP616" s="92"/>
      <c r="CQ616" s="92"/>
      <c r="CR616" s="92"/>
      <c r="CS616" s="92"/>
      <c r="CT616" s="92"/>
      <c r="CU616" s="92"/>
      <c r="CV616" s="92"/>
      <c r="CW616" s="92"/>
      <c r="CX616" s="92"/>
      <c r="CY616" s="92"/>
      <c r="CZ616" s="92"/>
      <c r="DA616" s="92"/>
      <c r="DB616" s="92"/>
      <c r="DC616" s="92"/>
      <c r="DD616" s="92"/>
      <c r="DE616" s="92"/>
      <c r="DF616" s="92"/>
      <c r="DG616" s="92"/>
      <c r="DH616" s="92"/>
      <c r="DI616" s="92"/>
      <c r="DJ616" s="92"/>
      <c r="DK616" s="92"/>
      <c r="DL616" s="92"/>
    </row>
    <row r="617" ht="20.25" customHeight="1">
      <c r="A617" s="73">
        <v>617.0</v>
      </c>
      <c r="B617" s="93" t="s">
        <v>152</v>
      </c>
      <c r="C617" s="93" t="s">
        <v>115</v>
      </c>
      <c r="D617" s="93" t="s">
        <v>990</v>
      </c>
      <c r="E617" s="92"/>
      <c r="F617" s="94" t="s">
        <v>3391</v>
      </c>
      <c r="G617" s="922" t="s">
        <v>3410</v>
      </c>
      <c r="H617" s="76" t="s">
        <v>144</v>
      </c>
      <c r="I617" s="853">
        <v>45489.0</v>
      </c>
      <c r="J617" s="629">
        <v>45638.0</v>
      </c>
      <c r="K617" s="82"/>
      <c r="L617" s="82"/>
      <c r="M617" s="76" t="s">
        <v>3393</v>
      </c>
      <c r="N617" s="76" t="s">
        <v>3394</v>
      </c>
      <c r="O617" s="635">
        <v>1.0</v>
      </c>
      <c r="P617" s="99" t="s">
        <v>3395</v>
      </c>
      <c r="Q617" s="893" t="str">
        <f t="array" ref="Q617"> if(iserror(MATCH(V617, 'File Links'!C:C, 0)), "N/A", HYPERLINK(INDEX('File Links'!B:B, MATCH(P617, 'File Links'!C:C, 0))))</f>
        <v>https://drive.google.com/file/d/13vglHZTPgv6z9W5xPGWG5OyE_h91M3UK/view?usp=drivesdk</v>
      </c>
      <c r="R617" s="76" t="s">
        <v>3396</v>
      </c>
      <c r="S617" s="76" t="s">
        <v>3397</v>
      </c>
      <c r="T617" s="82"/>
      <c r="U617" s="633">
        <v>1.0</v>
      </c>
      <c r="V617" s="95" t="str">
        <f t="shared" si="36"/>
        <v>10.12688--openreseurope.17749.1.pdf</v>
      </c>
      <c r="W617" s="76" t="s">
        <v>209</v>
      </c>
      <c r="X617" s="894" t="str">
        <f t="array" ref="X617"> if(iserror(MATCH(V617, 'File Links'!C:C, 0)), "N/A", HYPERLINK(INDEX('File Links'!B:B, MATCH(V617, 'File Links'!C:C, 0))))</f>
        <v>https://drive.google.com/file/d/17sgB6ScmXf8Wli1_dKWf0wpvxkNJRZtC/view?usp=drivesdk</v>
      </c>
      <c r="Y617" s="82"/>
      <c r="Z617" s="76" t="s">
        <v>148</v>
      </c>
      <c r="AA617" s="82" t="s">
        <v>3398</v>
      </c>
      <c r="AB617" s="82" t="s">
        <v>3399</v>
      </c>
      <c r="AC617" s="76" t="s">
        <v>3411</v>
      </c>
      <c r="AD617" s="82"/>
      <c r="AE617" s="635">
        <v>5.0</v>
      </c>
      <c r="AF617" s="635">
        <v>27.0</v>
      </c>
      <c r="AG617" s="635">
        <v>5.16</v>
      </c>
      <c r="AH617" s="99" t="s">
        <v>134</v>
      </c>
      <c r="AI617" s="923">
        <v>5.0</v>
      </c>
      <c r="AJ617" s="635">
        <v>0.032</v>
      </c>
      <c r="AK617" s="95" t="s">
        <v>172</v>
      </c>
      <c r="AL617" s="76" t="s">
        <v>186</v>
      </c>
      <c r="AM617" s="82" t="s">
        <v>137</v>
      </c>
      <c r="AN617" s="79" t="s">
        <v>138</v>
      </c>
      <c r="AO617" s="635">
        <v>32.0</v>
      </c>
      <c r="AP617" s="635">
        <v>1.04</v>
      </c>
      <c r="AQ617" s="76" t="s">
        <v>134</v>
      </c>
      <c r="AR617" s="635">
        <v>9.0</v>
      </c>
      <c r="AS617" s="635">
        <v>0.315</v>
      </c>
      <c r="AT617" s="95" t="s">
        <v>172</v>
      </c>
      <c r="AU617" s="95" t="s">
        <v>186</v>
      </c>
      <c r="AV617" s="94" t="s">
        <v>137</v>
      </c>
      <c r="AW617" s="923" t="s">
        <v>138</v>
      </c>
      <c r="AX617" s="94" t="s">
        <v>143</v>
      </c>
      <c r="AY617" s="61" t="str">
        <f>IFERROR(__xludf.DUMMYFUNCTION("vlookup(BB617,importrange(""https://docs.google.com/spreadsheets/d/1d2vevQ_7D_v35q4wCQ4RpQ_IPoTwEMB9Yp6ymwlPqew/edit?gid=984458430#gid=984458430"", ""'replication success'!A:K""), 11, FAlSE)"),"#N/A")</f>
        <v>#N/A</v>
      </c>
      <c r="AZ617" s="61" t="str">
        <f>IFERROR(__xludf.DUMMYFUNCTION("vlookup(BB617,importrange(""https://docs.google.com/spreadsheets/d/1d2vevQ_7D_v35q4wCQ4RpQ_IPoTwEMB9Yp6ymwlPqew/edit?gid=984458430#gid=984458430"", ""'replication success'!A:M""), 12, FAlSE)"),"#N/A")</f>
        <v>#N/A</v>
      </c>
      <c r="BA617" s="61" t="str">
        <f>IFERROR(__xludf.DUMMYFUNCTION("vlookup(BB617,importrange(""https://docs.google.com/spreadsheets/d/1d2vevQ_7D_v35q4wCQ4RpQ_IPoTwEMB9Yp6ymwlPqew/edit?gid=984458430#gid=984458430"", ""'replication success'!A:M""), 13, FAlSE)"),"#N/A")</f>
        <v>#N/A</v>
      </c>
      <c r="BB617" s="61" t="str">
        <f>IFERROR(__xludf.DUMMYFUNCTION("REGEXREPLACE(G617, ""_[a-z]{1,2}$"", """")"),"additional_studies90")</f>
        <v>additional_studies90</v>
      </c>
      <c r="BC617" s="82"/>
      <c r="BD617" s="924" t="s">
        <v>692</v>
      </c>
      <c r="BE617" s="92"/>
      <c r="BF617" s="92"/>
      <c r="BG617" s="92"/>
      <c r="BH617" s="92"/>
      <c r="BI617" s="92"/>
      <c r="BJ617" s="92"/>
      <c r="BK617" s="92"/>
      <c r="BL617" s="92"/>
      <c r="BM617" s="92"/>
      <c r="BN617" s="92"/>
      <c r="BO617" s="92"/>
      <c r="BP617" s="92"/>
      <c r="BQ617" s="92"/>
      <c r="BR617" s="92"/>
      <c r="BS617" s="92"/>
      <c r="BT617" s="92"/>
      <c r="BU617" s="92"/>
      <c r="BV617" s="92"/>
      <c r="BW617" s="92"/>
      <c r="BX617" s="92"/>
      <c r="BY617" s="92"/>
      <c r="BZ617" s="92"/>
      <c r="CA617" s="92"/>
      <c r="CB617" s="92"/>
      <c r="CC617" s="92"/>
      <c r="CD617" s="92"/>
      <c r="CE617" s="92"/>
      <c r="CF617" s="92"/>
      <c r="CG617" s="92"/>
      <c r="CH617" s="92"/>
      <c r="CI617" s="92"/>
      <c r="CJ617" s="92"/>
      <c r="CK617" s="92"/>
      <c r="CL617" s="92"/>
      <c r="CM617" s="92"/>
      <c r="CN617" s="92"/>
      <c r="CO617" s="92"/>
      <c r="CP617" s="92"/>
      <c r="CQ617" s="92"/>
      <c r="CR617" s="92"/>
      <c r="CS617" s="92"/>
      <c r="CT617" s="92"/>
      <c r="CU617" s="92"/>
      <c r="CV617" s="92"/>
      <c r="CW617" s="92"/>
      <c r="CX617" s="92"/>
      <c r="CY617" s="92"/>
      <c r="CZ617" s="92"/>
      <c r="DA617" s="92"/>
      <c r="DB617" s="92"/>
      <c r="DC617" s="92"/>
      <c r="DD617" s="92"/>
      <c r="DE617" s="92"/>
      <c r="DF617" s="92"/>
      <c r="DG617" s="92"/>
      <c r="DH617" s="92"/>
      <c r="DI617" s="92"/>
      <c r="DJ617" s="92"/>
      <c r="DK617" s="92"/>
      <c r="DL617" s="92"/>
    </row>
    <row r="618" ht="20.25" customHeight="1">
      <c r="A618" s="808">
        <v>618.0</v>
      </c>
      <c r="B618" s="467" t="s">
        <v>152</v>
      </c>
      <c r="C618" s="467" t="s">
        <v>115</v>
      </c>
      <c r="D618" s="467" t="s">
        <v>990</v>
      </c>
      <c r="E618" s="468"/>
      <c r="F618" s="482" t="s">
        <v>3391</v>
      </c>
      <c r="G618" s="925" t="s">
        <v>3412</v>
      </c>
      <c r="H618" s="469" t="s">
        <v>144</v>
      </c>
      <c r="I618" s="471">
        <v>45489.0</v>
      </c>
      <c r="J618" s="784">
        <v>45638.0</v>
      </c>
      <c r="K618" s="482"/>
      <c r="L618" s="482"/>
      <c r="M618" s="469" t="s">
        <v>3393</v>
      </c>
      <c r="N618" s="469" t="s">
        <v>3394</v>
      </c>
      <c r="O618" s="926">
        <v>1.0</v>
      </c>
      <c r="P618" s="469" t="s">
        <v>3395</v>
      </c>
      <c r="Q618" s="927" t="str">
        <f t="array" ref="Q618"> if(iserror(MATCH(V618, 'File Links'!C:C, 0)), "N/A", HYPERLINK(INDEX('File Links'!B:B, MATCH(P618, 'File Links'!C:C, 0))))</f>
        <v>https://drive.google.com/file/d/13vglHZTPgv6z9W5xPGWG5OyE_h91M3UK/view?usp=drivesdk</v>
      </c>
      <c r="R618" s="469" t="s">
        <v>3396</v>
      </c>
      <c r="S618" s="469" t="s">
        <v>3397</v>
      </c>
      <c r="T618" s="482"/>
      <c r="U618" s="926">
        <v>1.0</v>
      </c>
      <c r="V618" s="469" t="str">
        <f t="shared" si="36"/>
        <v>10.12688--openreseurope.17749.1.pdf</v>
      </c>
      <c r="W618" s="469" t="s">
        <v>209</v>
      </c>
      <c r="X618" s="928" t="str">
        <f t="array" ref="X618"> if(iserror(MATCH(V618, 'File Links'!C:C, 0)), "N/A", HYPERLINK(INDEX('File Links'!B:B, MATCH(V618, 'File Links'!C:C, 0))))</f>
        <v>https://drive.google.com/file/d/17sgB6ScmXf8Wli1_dKWf0wpvxkNJRZtC/view?usp=drivesdk</v>
      </c>
      <c r="Y618" s="482"/>
      <c r="Z618" s="469" t="s">
        <v>148</v>
      </c>
      <c r="AA618" s="482" t="s">
        <v>3398</v>
      </c>
      <c r="AB618" s="482" t="s">
        <v>3399</v>
      </c>
      <c r="AC618" s="469" t="s">
        <v>3413</v>
      </c>
      <c r="AD618" s="482"/>
      <c r="AE618" s="926">
        <v>5.0</v>
      </c>
      <c r="AF618" s="926">
        <v>27.0</v>
      </c>
      <c r="AG618" s="929" t="s">
        <v>138</v>
      </c>
      <c r="AH618" s="475" t="s">
        <v>134</v>
      </c>
      <c r="AI618" s="923">
        <v>5.0</v>
      </c>
      <c r="AJ618" s="479">
        <v>0.001</v>
      </c>
      <c r="AK618" s="469" t="s">
        <v>135</v>
      </c>
      <c r="AL618" s="470" t="s">
        <v>186</v>
      </c>
      <c r="AM618" s="482" t="s">
        <v>137</v>
      </c>
      <c r="AN618" s="474" t="s">
        <v>138</v>
      </c>
      <c r="AO618" s="926">
        <v>32.0</v>
      </c>
      <c r="AP618" s="482"/>
      <c r="AQ618" s="469" t="s">
        <v>134</v>
      </c>
      <c r="AR618" s="926">
        <v>9.0</v>
      </c>
      <c r="AS618" s="926">
        <v>0.001</v>
      </c>
      <c r="AT618" s="469" t="s">
        <v>135</v>
      </c>
      <c r="AU618" s="469" t="s">
        <v>186</v>
      </c>
      <c r="AV618" s="482" t="s">
        <v>137</v>
      </c>
      <c r="AW618" s="923" t="s">
        <v>138</v>
      </c>
      <c r="AX618" s="482" t="s">
        <v>143</v>
      </c>
      <c r="AY618" s="61" t="str">
        <f>IFERROR(__xludf.DUMMYFUNCTION("vlookup(BB618,importrange(""https://docs.google.com/spreadsheets/d/1d2vevQ_7D_v35q4wCQ4RpQ_IPoTwEMB9Yp6ymwlPqew/edit?gid=984458430#gid=984458430"", ""'replication success'!A:K""), 11, FAlSE)"),"#N/A")</f>
        <v>#N/A</v>
      </c>
      <c r="AZ618" s="61" t="str">
        <f>IFERROR(__xludf.DUMMYFUNCTION("vlookup(BB618,importrange(""https://docs.google.com/spreadsheets/d/1d2vevQ_7D_v35q4wCQ4RpQ_IPoTwEMB9Yp6ymwlPqew/edit?gid=984458430#gid=984458430"", ""'replication success'!A:M""), 12, FAlSE)"),"#N/A")</f>
        <v>#N/A</v>
      </c>
      <c r="BA618" s="61" t="str">
        <f>IFERROR(__xludf.DUMMYFUNCTION("vlookup(BB618,importrange(""https://docs.google.com/spreadsheets/d/1d2vevQ_7D_v35q4wCQ4RpQ_IPoTwEMB9Yp6ymwlPqew/edit?gid=984458430#gid=984458430"", ""'replication success'!A:M""), 13, FAlSE)"),"#N/A")</f>
        <v>#N/A</v>
      </c>
      <c r="BB618" s="61" t="str">
        <f>IFERROR(__xludf.DUMMYFUNCTION("REGEXREPLACE(G618, ""_[a-z]{1,2}$"", """")"),"additional_studies90_c1")</f>
        <v>additional_studies90_c1</v>
      </c>
      <c r="BC618" s="482"/>
      <c r="BD618" s="924" t="s">
        <v>692</v>
      </c>
      <c r="BE618" s="468"/>
      <c r="BF618" s="468"/>
      <c r="BG618" s="468"/>
      <c r="BH618" s="468"/>
      <c r="BI618" s="468"/>
      <c r="BJ618" s="468"/>
      <c r="BK618" s="468"/>
      <c r="BL618" s="468"/>
      <c r="BM618" s="468"/>
      <c r="BN618" s="468"/>
      <c r="BO618" s="468"/>
      <c r="BP618" s="468"/>
      <c r="BQ618" s="468"/>
      <c r="BR618" s="468"/>
      <c r="BS618" s="468"/>
      <c r="BT618" s="468"/>
      <c r="BU618" s="468"/>
      <c r="BV618" s="468"/>
      <c r="BW618" s="468"/>
      <c r="BX618" s="468"/>
      <c r="BY618" s="468"/>
      <c r="BZ618" s="468"/>
      <c r="CA618" s="468"/>
      <c r="CB618" s="468"/>
      <c r="CC618" s="468"/>
      <c r="CD618" s="468"/>
      <c r="CE618" s="468"/>
      <c r="CF618" s="468"/>
      <c r="CG618" s="468"/>
      <c r="CH618" s="468"/>
      <c r="CI618" s="468"/>
      <c r="CJ618" s="468"/>
      <c r="CK618" s="468"/>
      <c r="CL618" s="468"/>
      <c r="CM618" s="468"/>
      <c r="CN618" s="468"/>
      <c r="CO618" s="468"/>
      <c r="CP618" s="468"/>
      <c r="CQ618" s="468"/>
      <c r="CR618" s="468"/>
      <c r="CS618" s="468"/>
      <c r="CT618" s="468"/>
      <c r="CU618" s="468"/>
      <c r="CV618" s="468"/>
      <c r="CW618" s="468"/>
      <c r="CX618" s="468"/>
      <c r="CY618" s="468"/>
      <c r="CZ618" s="468"/>
      <c r="DA618" s="468"/>
      <c r="DB618" s="468"/>
      <c r="DC618" s="468"/>
      <c r="DD618" s="468"/>
      <c r="DE618" s="468"/>
      <c r="DF618" s="468"/>
      <c r="DG618" s="468"/>
      <c r="DH618" s="468"/>
      <c r="DI618" s="468"/>
      <c r="DJ618" s="468"/>
      <c r="DK618" s="468"/>
      <c r="DL618" s="468"/>
    </row>
    <row r="619" ht="20.25" customHeight="1">
      <c r="A619" s="808">
        <v>619.0</v>
      </c>
      <c r="B619" s="467" t="s">
        <v>152</v>
      </c>
      <c r="C619" s="467" t="s">
        <v>115</v>
      </c>
      <c r="D619" s="467" t="s">
        <v>990</v>
      </c>
      <c r="E619" s="468"/>
      <c r="F619" s="482" t="s">
        <v>3391</v>
      </c>
      <c r="G619" s="925" t="s">
        <v>3414</v>
      </c>
      <c r="H619" s="470" t="s">
        <v>144</v>
      </c>
      <c r="I619" s="471">
        <v>45489.0</v>
      </c>
      <c r="J619" s="784">
        <v>45638.0</v>
      </c>
      <c r="K619" s="476"/>
      <c r="L619" s="476"/>
      <c r="M619" s="470" t="s">
        <v>3393</v>
      </c>
      <c r="N619" s="470" t="s">
        <v>3394</v>
      </c>
      <c r="O619" s="479">
        <v>1.0</v>
      </c>
      <c r="P619" s="475" t="s">
        <v>3395</v>
      </c>
      <c r="Q619" s="927" t="str">
        <f t="array" ref="Q619"> if(iserror(MATCH(V619, 'File Links'!C:C, 0)), "N/A", HYPERLINK(INDEX('File Links'!B:B, MATCH(P619, 'File Links'!C:C, 0))))</f>
        <v>https://drive.google.com/file/d/13vglHZTPgv6z9W5xPGWG5OyE_h91M3UK/view?usp=drivesdk</v>
      </c>
      <c r="R619" s="470" t="s">
        <v>3396</v>
      </c>
      <c r="S619" s="470" t="s">
        <v>3397</v>
      </c>
      <c r="T619" s="476"/>
      <c r="U619" s="930">
        <v>1.0</v>
      </c>
      <c r="V619" s="469" t="str">
        <f t="shared" si="36"/>
        <v>10.12688--openreseurope.17749.1.pdf</v>
      </c>
      <c r="W619" s="470" t="s">
        <v>209</v>
      </c>
      <c r="X619" s="928" t="str">
        <f t="array" ref="X619"> if(iserror(MATCH(V619, 'File Links'!C:C, 0)), "N/A", HYPERLINK(INDEX('File Links'!B:B, MATCH(V619, 'File Links'!C:C, 0))))</f>
        <v>https://drive.google.com/file/d/17sgB6ScmXf8Wli1_dKWf0wpvxkNJRZtC/view?usp=drivesdk</v>
      </c>
      <c r="Y619" s="476"/>
      <c r="Z619" s="470" t="s">
        <v>148</v>
      </c>
      <c r="AA619" s="476" t="s">
        <v>3398</v>
      </c>
      <c r="AB619" s="476" t="s">
        <v>3399</v>
      </c>
      <c r="AC619" s="470" t="s">
        <v>3415</v>
      </c>
      <c r="AD619" s="476"/>
      <c r="AE619" s="479">
        <v>5.0</v>
      </c>
      <c r="AF619" s="479">
        <v>27.0</v>
      </c>
      <c r="AG619" s="929" t="s">
        <v>138</v>
      </c>
      <c r="AH619" s="475" t="s">
        <v>134</v>
      </c>
      <c r="AI619" s="923">
        <v>5.0</v>
      </c>
      <c r="AJ619" s="479">
        <v>0.001</v>
      </c>
      <c r="AK619" s="469" t="s">
        <v>135</v>
      </c>
      <c r="AL619" s="470" t="s">
        <v>186</v>
      </c>
      <c r="AM619" s="476" t="s">
        <v>137</v>
      </c>
      <c r="AN619" s="474" t="s">
        <v>138</v>
      </c>
      <c r="AO619" s="479">
        <v>32.0</v>
      </c>
      <c r="AP619" s="476"/>
      <c r="AQ619" s="470" t="s">
        <v>134</v>
      </c>
      <c r="AR619" s="479">
        <v>9.0</v>
      </c>
      <c r="AS619" s="479">
        <v>0.133</v>
      </c>
      <c r="AT619" s="469" t="s">
        <v>172</v>
      </c>
      <c r="AU619" s="469" t="s">
        <v>186</v>
      </c>
      <c r="AV619" s="482" t="s">
        <v>137</v>
      </c>
      <c r="AW619" s="923" t="s">
        <v>138</v>
      </c>
      <c r="AX619" s="482" t="s">
        <v>143</v>
      </c>
      <c r="AY619" s="61" t="str">
        <f>IFERROR(__xludf.DUMMYFUNCTION("vlookup(BB619,importrange(""https://docs.google.com/spreadsheets/d/1d2vevQ_7D_v35q4wCQ4RpQ_IPoTwEMB9Yp6ymwlPqew/edit?gid=984458430#gid=984458430"", ""'replication success'!A:K""), 11, FAlSE)"),"#N/A")</f>
        <v>#N/A</v>
      </c>
      <c r="AZ619" s="61" t="str">
        <f>IFERROR(__xludf.DUMMYFUNCTION("vlookup(BB619,importrange(""https://docs.google.com/spreadsheets/d/1d2vevQ_7D_v35q4wCQ4RpQ_IPoTwEMB9Yp6ymwlPqew/edit?gid=984458430#gid=984458430"", ""'replication success'!A:M""), 12, FAlSE)"),"#N/A")</f>
        <v>#N/A</v>
      </c>
      <c r="BA619" s="61" t="str">
        <f>IFERROR(__xludf.DUMMYFUNCTION("vlookup(BB619,importrange(""https://docs.google.com/spreadsheets/d/1d2vevQ_7D_v35q4wCQ4RpQ_IPoTwEMB9Yp6ymwlPqew/edit?gid=984458430#gid=984458430"", ""'replication success'!A:M""), 13, FAlSE)"),"#N/A")</f>
        <v>#N/A</v>
      </c>
      <c r="BB619" s="61" t="str">
        <f>IFERROR(__xludf.DUMMYFUNCTION("REGEXREPLACE(G619, ""_[a-z]{1,2}$"", """")"),"additional_studies90")</f>
        <v>additional_studies90</v>
      </c>
      <c r="BC619" s="476"/>
      <c r="BD619" s="924" t="s">
        <v>692</v>
      </c>
      <c r="BE619" s="468"/>
      <c r="BF619" s="468"/>
      <c r="BG619" s="468"/>
      <c r="BH619" s="468"/>
      <c r="BI619" s="468"/>
      <c r="BJ619" s="468"/>
      <c r="BK619" s="468"/>
      <c r="BL619" s="468"/>
      <c r="BM619" s="468"/>
      <c r="BN619" s="468"/>
      <c r="BO619" s="468"/>
      <c r="BP619" s="468"/>
      <c r="BQ619" s="468"/>
      <c r="BR619" s="468"/>
      <c r="BS619" s="468"/>
      <c r="BT619" s="468"/>
      <c r="BU619" s="468"/>
      <c r="BV619" s="468"/>
      <c r="BW619" s="468"/>
      <c r="BX619" s="468"/>
      <c r="BY619" s="468"/>
      <c r="BZ619" s="468"/>
      <c r="CA619" s="468"/>
      <c r="CB619" s="468"/>
      <c r="CC619" s="468"/>
      <c r="CD619" s="468"/>
      <c r="CE619" s="468"/>
      <c r="CF619" s="468"/>
      <c r="CG619" s="468"/>
      <c r="CH619" s="468"/>
      <c r="CI619" s="468"/>
      <c r="CJ619" s="468"/>
      <c r="CK619" s="468"/>
      <c r="CL619" s="468"/>
      <c r="CM619" s="468"/>
      <c r="CN619" s="468"/>
      <c r="CO619" s="468"/>
      <c r="CP619" s="468"/>
      <c r="CQ619" s="468"/>
      <c r="CR619" s="468"/>
      <c r="CS619" s="468"/>
      <c r="CT619" s="468"/>
      <c r="CU619" s="468"/>
      <c r="CV619" s="468"/>
      <c r="CW619" s="468"/>
      <c r="CX619" s="468"/>
      <c r="CY619" s="468"/>
      <c r="CZ619" s="468"/>
      <c r="DA619" s="468"/>
      <c r="DB619" s="468"/>
      <c r="DC619" s="468"/>
      <c r="DD619" s="468"/>
      <c r="DE619" s="468"/>
      <c r="DF619" s="468"/>
      <c r="DG619" s="468"/>
      <c r="DH619" s="468"/>
      <c r="DI619" s="468"/>
      <c r="DJ619" s="468"/>
      <c r="DK619" s="468"/>
      <c r="DL619" s="468"/>
    </row>
    <row r="620" ht="20.25" customHeight="1">
      <c r="A620" s="73">
        <v>620.0</v>
      </c>
      <c r="B620" s="93" t="s">
        <v>152</v>
      </c>
      <c r="C620" s="93" t="s">
        <v>115</v>
      </c>
      <c r="D620" s="93" t="s">
        <v>990</v>
      </c>
      <c r="E620" s="92"/>
      <c r="F620" s="94" t="s">
        <v>3391</v>
      </c>
      <c r="G620" s="922" t="s">
        <v>3416</v>
      </c>
      <c r="H620" s="95" t="s">
        <v>144</v>
      </c>
      <c r="I620" s="853">
        <v>45489.0</v>
      </c>
      <c r="J620" s="629">
        <v>45638.0</v>
      </c>
      <c r="K620" s="94"/>
      <c r="L620" s="94"/>
      <c r="M620" s="95" t="s">
        <v>3393</v>
      </c>
      <c r="N620" s="95" t="s">
        <v>3394</v>
      </c>
      <c r="O620" s="98">
        <v>1.0</v>
      </c>
      <c r="P620" s="95" t="s">
        <v>3395</v>
      </c>
      <c r="Q620" s="893" t="str">
        <f t="array" ref="Q620"> if(iserror(MATCH(V620, 'File Links'!C:C, 0)), "N/A", HYPERLINK(INDEX('File Links'!B:B, MATCH(P620, 'File Links'!C:C, 0))))</f>
        <v>https://drive.google.com/file/d/13vglHZTPgv6z9W5xPGWG5OyE_h91M3UK/view?usp=drivesdk</v>
      </c>
      <c r="R620" s="95" t="s">
        <v>3396</v>
      </c>
      <c r="S620" s="95" t="s">
        <v>3397</v>
      </c>
      <c r="T620" s="94"/>
      <c r="U620" s="98">
        <v>1.0</v>
      </c>
      <c r="V620" s="95" t="str">
        <f t="shared" si="36"/>
        <v>10.12688--openreseurope.17749.1.pdf</v>
      </c>
      <c r="W620" s="95" t="s">
        <v>209</v>
      </c>
      <c r="X620" s="894" t="str">
        <f t="array" ref="X620"> if(iserror(MATCH(V620, 'File Links'!C:C, 0)), "N/A", HYPERLINK(INDEX('File Links'!B:B, MATCH(V620, 'File Links'!C:C, 0))))</f>
        <v>https://drive.google.com/file/d/17sgB6ScmXf8Wli1_dKWf0wpvxkNJRZtC/view?usp=drivesdk</v>
      </c>
      <c r="Y620" s="94"/>
      <c r="Z620" s="95" t="s">
        <v>148</v>
      </c>
      <c r="AA620" s="94" t="s">
        <v>3398</v>
      </c>
      <c r="AB620" s="94" t="s">
        <v>3399</v>
      </c>
      <c r="AC620" s="95" t="s">
        <v>3417</v>
      </c>
      <c r="AD620" s="94"/>
      <c r="AE620" s="98">
        <v>5.0</v>
      </c>
      <c r="AF620" s="98">
        <v>27.0</v>
      </c>
      <c r="AG620" s="98">
        <v>16.69</v>
      </c>
      <c r="AH620" s="99" t="s">
        <v>134</v>
      </c>
      <c r="AI620" s="923">
        <v>5.0</v>
      </c>
      <c r="AJ620" s="635">
        <v>0.001</v>
      </c>
      <c r="AK620" s="95" t="s">
        <v>135</v>
      </c>
      <c r="AL620" s="76" t="s">
        <v>186</v>
      </c>
      <c r="AM620" s="94" t="s">
        <v>137</v>
      </c>
      <c r="AN620" s="79" t="s">
        <v>138</v>
      </c>
      <c r="AO620" s="98">
        <v>32.0</v>
      </c>
      <c r="AP620" s="98">
        <v>3.64</v>
      </c>
      <c r="AQ620" s="95" t="s">
        <v>134</v>
      </c>
      <c r="AR620" s="98">
        <v>9.0</v>
      </c>
      <c r="AS620" s="98">
        <v>0.015</v>
      </c>
      <c r="AT620" s="95" t="s">
        <v>172</v>
      </c>
      <c r="AU620" s="95" t="s">
        <v>186</v>
      </c>
      <c r="AV620" s="94" t="s">
        <v>137</v>
      </c>
      <c r="AW620" s="923" t="s">
        <v>138</v>
      </c>
      <c r="AX620" s="94" t="s">
        <v>143</v>
      </c>
      <c r="AY620" s="61" t="str">
        <f>IFERROR(__xludf.DUMMYFUNCTION("vlookup(BB620,importrange(""https://docs.google.com/spreadsheets/d/1d2vevQ_7D_v35q4wCQ4RpQ_IPoTwEMB9Yp6ymwlPqew/edit?gid=984458430#gid=984458430"", ""'replication success'!A:K""), 11, FAlSE)"),"#N/A")</f>
        <v>#N/A</v>
      </c>
      <c r="AZ620" s="61" t="str">
        <f>IFERROR(__xludf.DUMMYFUNCTION("vlookup(BB620,importrange(""https://docs.google.com/spreadsheets/d/1d2vevQ_7D_v35q4wCQ4RpQ_IPoTwEMB9Yp6ymwlPqew/edit?gid=984458430#gid=984458430"", ""'replication success'!A:M""), 12, FAlSE)"),"#N/A")</f>
        <v>#N/A</v>
      </c>
      <c r="BA620" s="61" t="str">
        <f>IFERROR(__xludf.DUMMYFUNCTION("vlookup(BB620,importrange(""https://docs.google.com/spreadsheets/d/1d2vevQ_7D_v35q4wCQ4RpQ_IPoTwEMB9Yp6ymwlPqew/edit?gid=984458430#gid=984458430"", ""'replication success'!A:M""), 13, FAlSE)"),"#N/A")</f>
        <v>#N/A</v>
      </c>
      <c r="BB620" s="61" t="str">
        <f>IFERROR(__xludf.DUMMYFUNCTION("REGEXREPLACE(G620, ""_[a-z]{1,2}$"", """")"),"additional_studies90_d1")</f>
        <v>additional_studies90_d1</v>
      </c>
      <c r="BC620" s="94"/>
      <c r="BD620" s="924" t="s">
        <v>692</v>
      </c>
      <c r="BE620" s="92"/>
      <c r="BF620" s="92"/>
      <c r="BG620" s="92"/>
      <c r="BH620" s="92"/>
      <c r="BI620" s="92"/>
      <c r="BJ620" s="92"/>
      <c r="BK620" s="92"/>
      <c r="BL620" s="92"/>
      <c r="BM620" s="92"/>
      <c r="BN620" s="92"/>
      <c r="BO620" s="92"/>
      <c r="BP620" s="92"/>
      <c r="BQ620" s="92"/>
      <c r="BR620" s="92"/>
      <c r="BS620" s="92"/>
      <c r="BT620" s="92"/>
      <c r="BU620" s="92"/>
      <c r="BV620" s="92"/>
      <c r="BW620" s="92"/>
      <c r="BX620" s="92"/>
      <c r="BY620" s="92"/>
      <c r="BZ620" s="92"/>
      <c r="CA620" s="92"/>
      <c r="CB620" s="92"/>
      <c r="CC620" s="92"/>
      <c r="CD620" s="92"/>
      <c r="CE620" s="92"/>
      <c r="CF620" s="92"/>
      <c r="CG620" s="92"/>
      <c r="CH620" s="92"/>
      <c r="CI620" s="92"/>
      <c r="CJ620" s="92"/>
      <c r="CK620" s="92"/>
      <c r="CL620" s="92"/>
      <c r="CM620" s="92"/>
      <c r="CN620" s="92"/>
      <c r="CO620" s="92"/>
      <c r="CP620" s="92"/>
      <c r="CQ620" s="92"/>
      <c r="CR620" s="92"/>
      <c r="CS620" s="92"/>
      <c r="CT620" s="92"/>
      <c r="CU620" s="92"/>
      <c r="CV620" s="92"/>
      <c r="CW620" s="92"/>
      <c r="CX620" s="92"/>
      <c r="CY620" s="92"/>
      <c r="CZ620" s="92"/>
      <c r="DA620" s="92"/>
      <c r="DB620" s="92"/>
      <c r="DC620" s="92"/>
      <c r="DD620" s="92"/>
      <c r="DE620" s="92"/>
      <c r="DF620" s="92"/>
      <c r="DG620" s="92"/>
      <c r="DH620" s="92"/>
      <c r="DI620" s="92"/>
      <c r="DJ620" s="92"/>
      <c r="DK620" s="92"/>
      <c r="DL620" s="92"/>
    </row>
    <row r="621" ht="20.25" customHeight="1">
      <c r="A621" s="73">
        <v>621.0</v>
      </c>
      <c r="B621" s="93" t="s">
        <v>152</v>
      </c>
      <c r="C621" s="93" t="s">
        <v>115</v>
      </c>
      <c r="D621" s="93" t="s">
        <v>990</v>
      </c>
      <c r="E621" s="92"/>
      <c r="F621" s="94" t="s">
        <v>3391</v>
      </c>
      <c r="G621" s="922" t="s">
        <v>3418</v>
      </c>
      <c r="H621" s="76" t="s">
        <v>144</v>
      </c>
      <c r="I621" s="853">
        <v>45489.0</v>
      </c>
      <c r="J621" s="629">
        <v>45638.0</v>
      </c>
      <c r="K621" s="82"/>
      <c r="L621" s="82"/>
      <c r="M621" s="76" t="s">
        <v>3393</v>
      </c>
      <c r="N621" s="76" t="s">
        <v>3394</v>
      </c>
      <c r="O621" s="635">
        <v>1.0</v>
      </c>
      <c r="P621" s="99" t="s">
        <v>3395</v>
      </c>
      <c r="Q621" s="893" t="str">
        <f t="array" ref="Q621"> if(iserror(MATCH(V621, 'File Links'!C:C, 0)), "N/A", HYPERLINK(INDEX('File Links'!B:B, MATCH(P621, 'File Links'!C:C, 0))))</f>
        <v>https://drive.google.com/file/d/13vglHZTPgv6z9W5xPGWG5OyE_h91M3UK/view?usp=drivesdk</v>
      </c>
      <c r="R621" s="76" t="s">
        <v>3396</v>
      </c>
      <c r="S621" s="76" t="s">
        <v>3397</v>
      </c>
      <c r="T621" s="82"/>
      <c r="U621" s="633">
        <v>1.0</v>
      </c>
      <c r="V621" s="95" t="str">
        <f t="shared" si="36"/>
        <v>10.12688--openreseurope.17749.1.pdf</v>
      </c>
      <c r="W621" s="76" t="s">
        <v>209</v>
      </c>
      <c r="X621" s="894" t="str">
        <f t="array" ref="X621"> if(iserror(MATCH(V621, 'File Links'!C:C, 0)), "N/A", HYPERLINK(INDEX('File Links'!B:B, MATCH(V621, 'File Links'!C:C, 0))))</f>
        <v>https://drive.google.com/file/d/17sgB6ScmXf8Wli1_dKWf0wpvxkNJRZtC/view?usp=drivesdk</v>
      </c>
      <c r="Y621" s="82"/>
      <c r="Z621" s="76" t="s">
        <v>148</v>
      </c>
      <c r="AA621" s="82" t="s">
        <v>3398</v>
      </c>
      <c r="AB621" s="82" t="s">
        <v>3399</v>
      </c>
      <c r="AC621" s="76" t="s">
        <v>3419</v>
      </c>
      <c r="AD621" s="82"/>
      <c r="AE621" s="635">
        <v>5.0</v>
      </c>
      <c r="AF621" s="635">
        <v>27.0</v>
      </c>
      <c r="AG621" s="635">
        <v>2.34</v>
      </c>
      <c r="AH621" s="99" t="s">
        <v>134</v>
      </c>
      <c r="AI621" s="923">
        <v>5.0</v>
      </c>
      <c r="AJ621" s="635">
        <v>0.139</v>
      </c>
      <c r="AK621" s="95" t="s">
        <v>172</v>
      </c>
      <c r="AL621" s="76" t="s">
        <v>186</v>
      </c>
      <c r="AM621" s="82" t="s">
        <v>137</v>
      </c>
      <c r="AN621" s="79" t="s">
        <v>138</v>
      </c>
      <c r="AO621" s="635">
        <v>32.0</v>
      </c>
      <c r="AP621" s="635">
        <v>0.68</v>
      </c>
      <c r="AQ621" s="76" t="s">
        <v>134</v>
      </c>
      <c r="AR621" s="635">
        <v>9.0</v>
      </c>
      <c r="AS621" s="635">
        <v>0.564</v>
      </c>
      <c r="AT621" s="95" t="s">
        <v>172</v>
      </c>
      <c r="AU621" s="95" t="s">
        <v>186</v>
      </c>
      <c r="AV621" s="94" t="s">
        <v>137</v>
      </c>
      <c r="AW621" s="923" t="s">
        <v>138</v>
      </c>
      <c r="AX621" s="94" t="s">
        <v>143</v>
      </c>
      <c r="AY621" s="61" t="str">
        <f>IFERROR(__xludf.DUMMYFUNCTION("vlookup(BB621,importrange(""https://docs.google.com/spreadsheets/d/1d2vevQ_7D_v35q4wCQ4RpQ_IPoTwEMB9Yp6ymwlPqew/edit?gid=984458430#gid=984458430"", ""'replication success'!A:K""), 11, FAlSE)"),"#N/A")</f>
        <v>#N/A</v>
      </c>
      <c r="AZ621" s="61" t="str">
        <f>IFERROR(__xludf.DUMMYFUNCTION("vlookup(BB621,importrange(""https://docs.google.com/spreadsheets/d/1d2vevQ_7D_v35q4wCQ4RpQ_IPoTwEMB9Yp6ymwlPqew/edit?gid=984458430#gid=984458430"", ""'replication success'!A:M""), 12, FAlSE)"),"#N/A")</f>
        <v>#N/A</v>
      </c>
      <c r="BA621" s="61" t="str">
        <f>IFERROR(__xludf.DUMMYFUNCTION("vlookup(BB621,importrange(""https://docs.google.com/spreadsheets/d/1d2vevQ_7D_v35q4wCQ4RpQ_IPoTwEMB9Yp6ymwlPqew/edit?gid=984458430#gid=984458430"", ""'replication success'!A:M""), 13, FAlSE)"),"#N/A")</f>
        <v>#N/A</v>
      </c>
      <c r="BB621" s="61" t="str">
        <f>IFERROR(__xludf.DUMMYFUNCTION("REGEXREPLACE(G621, ""_[a-z]{1,2}$"", """")"),"additional_studies90")</f>
        <v>additional_studies90</v>
      </c>
      <c r="BC621" s="82"/>
      <c r="BD621" s="924" t="s">
        <v>692</v>
      </c>
      <c r="BE621" s="92"/>
      <c r="BF621" s="92"/>
      <c r="BG621" s="92"/>
      <c r="BH621" s="92"/>
      <c r="BI621" s="92"/>
      <c r="BJ621" s="92"/>
      <c r="BK621" s="92"/>
      <c r="BL621" s="92"/>
      <c r="BM621" s="92"/>
      <c r="BN621" s="92"/>
      <c r="BO621" s="92"/>
      <c r="BP621" s="92"/>
      <c r="BQ621" s="92"/>
      <c r="BR621" s="92"/>
      <c r="BS621" s="92"/>
      <c r="BT621" s="92"/>
      <c r="BU621" s="92"/>
      <c r="BV621" s="92"/>
      <c r="BW621" s="92"/>
      <c r="BX621" s="92"/>
      <c r="BY621" s="92"/>
      <c r="BZ621" s="92"/>
      <c r="CA621" s="92"/>
      <c r="CB621" s="92"/>
      <c r="CC621" s="92"/>
      <c r="CD621" s="92"/>
      <c r="CE621" s="92"/>
      <c r="CF621" s="92"/>
      <c r="CG621" s="92"/>
      <c r="CH621" s="92"/>
      <c r="CI621" s="92"/>
      <c r="CJ621" s="92"/>
      <c r="CK621" s="92"/>
      <c r="CL621" s="92"/>
      <c r="CM621" s="92"/>
      <c r="CN621" s="92"/>
      <c r="CO621" s="92"/>
      <c r="CP621" s="92"/>
      <c r="CQ621" s="92"/>
      <c r="CR621" s="92"/>
      <c r="CS621" s="92"/>
      <c r="CT621" s="92"/>
      <c r="CU621" s="92"/>
      <c r="CV621" s="92"/>
      <c r="CW621" s="92"/>
      <c r="CX621" s="92"/>
      <c r="CY621" s="92"/>
      <c r="CZ621" s="92"/>
      <c r="DA621" s="92"/>
      <c r="DB621" s="92"/>
      <c r="DC621" s="92"/>
      <c r="DD621" s="92"/>
      <c r="DE621" s="92"/>
      <c r="DF621" s="92"/>
      <c r="DG621" s="92"/>
      <c r="DH621" s="92"/>
      <c r="DI621" s="92"/>
      <c r="DJ621" s="92"/>
      <c r="DK621" s="92"/>
      <c r="DL621" s="92"/>
    </row>
    <row r="622" ht="20.25" customHeight="1">
      <c r="A622" s="73">
        <v>622.0</v>
      </c>
      <c r="B622" s="93" t="s">
        <v>152</v>
      </c>
      <c r="C622" s="93" t="s">
        <v>115</v>
      </c>
      <c r="D622" s="93" t="s">
        <v>990</v>
      </c>
      <c r="E622" s="92"/>
      <c r="F622" s="94" t="s">
        <v>3391</v>
      </c>
      <c r="G622" s="922" t="s">
        <v>3420</v>
      </c>
      <c r="H622" s="95" t="s">
        <v>144</v>
      </c>
      <c r="I622" s="853">
        <v>45489.0</v>
      </c>
      <c r="J622" s="629">
        <v>45638.0</v>
      </c>
      <c r="K622" s="94"/>
      <c r="L622" s="94"/>
      <c r="M622" s="95" t="s">
        <v>3393</v>
      </c>
      <c r="N622" s="95" t="s">
        <v>3394</v>
      </c>
      <c r="O622" s="98">
        <v>1.0</v>
      </c>
      <c r="P622" s="95" t="s">
        <v>3395</v>
      </c>
      <c r="Q622" s="893" t="str">
        <f t="array" ref="Q622"> if(iserror(MATCH(V622, 'File Links'!C:C, 0)), "N/A", HYPERLINK(INDEX('File Links'!B:B, MATCH(P622, 'File Links'!C:C, 0))))</f>
        <v>https://drive.google.com/file/d/13vglHZTPgv6z9W5xPGWG5OyE_h91M3UK/view?usp=drivesdk</v>
      </c>
      <c r="R622" s="95" t="s">
        <v>3396</v>
      </c>
      <c r="S622" s="95" t="s">
        <v>3397</v>
      </c>
      <c r="T622" s="94"/>
      <c r="U622" s="98">
        <v>1.0</v>
      </c>
      <c r="V622" s="95" t="str">
        <f t="shared" si="36"/>
        <v>10.12688--openreseurope.17749.1.pdf</v>
      </c>
      <c r="W622" s="95" t="s">
        <v>209</v>
      </c>
      <c r="X622" s="894" t="str">
        <f t="array" ref="X622"> if(iserror(MATCH(V622, 'File Links'!C:C, 0)), "N/A", HYPERLINK(INDEX('File Links'!B:B, MATCH(V622, 'File Links'!C:C, 0))))</f>
        <v>https://drive.google.com/file/d/17sgB6ScmXf8Wli1_dKWf0wpvxkNJRZtC/view?usp=drivesdk</v>
      </c>
      <c r="Y622" s="94"/>
      <c r="Z622" s="95" t="s">
        <v>148</v>
      </c>
      <c r="AA622" s="94" t="s">
        <v>3398</v>
      </c>
      <c r="AB622" s="94" t="s">
        <v>3399</v>
      </c>
      <c r="AC622" s="95" t="s">
        <v>3421</v>
      </c>
      <c r="AD622" s="94"/>
      <c r="AE622" s="98">
        <v>5.0</v>
      </c>
      <c r="AF622" s="98">
        <v>27.0</v>
      </c>
      <c r="AG622" s="98">
        <v>27.5</v>
      </c>
      <c r="AH622" s="99" t="s">
        <v>134</v>
      </c>
      <c r="AI622" s="923">
        <v>5.0</v>
      </c>
      <c r="AJ622" s="635">
        <v>0.001</v>
      </c>
      <c r="AK622" s="95" t="s">
        <v>135</v>
      </c>
      <c r="AL622" s="76" t="s">
        <v>186</v>
      </c>
      <c r="AM622" s="94" t="s">
        <v>137</v>
      </c>
      <c r="AN622" s="79" t="s">
        <v>138</v>
      </c>
      <c r="AO622" s="98">
        <v>32.0</v>
      </c>
      <c r="AP622" s="98">
        <v>4.35</v>
      </c>
      <c r="AQ622" s="95" t="s">
        <v>134</v>
      </c>
      <c r="AR622" s="98">
        <v>9.0</v>
      </c>
      <c r="AS622" s="98">
        <v>0.017</v>
      </c>
      <c r="AT622" s="95" t="s">
        <v>172</v>
      </c>
      <c r="AU622" s="95" t="s">
        <v>186</v>
      </c>
      <c r="AV622" s="94" t="s">
        <v>137</v>
      </c>
      <c r="AW622" s="923" t="s">
        <v>138</v>
      </c>
      <c r="AX622" s="94" t="s">
        <v>143</v>
      </c>
      <c r="AY622" s="61" t="str">
        <f>IFERROR(__xludf.DUMMYFUNCTION("vlookup(BB622,importrange(""https://docs.google.com/spreadsheets/d/1d2vevQ_7D_v35q4wCQ4RpQ_IPoTwEMB9Yp6ymwlPqew/edit?gid=984458430#gid=984458430"", ""'replication success'!A:K""), 11, FAlSE)"),"#N/A")</f>
        <v>#N/A</v>
      </c>
      <c r="AZ622" s="61" t="str">
        <f>IFERROR(__xludf.DUMMYFUNCTION("vlookup(BB622,importrange(""https://docs.google.com/spreadsheets/d/1d2vevQ_7D_v35q4wCQ4RpQ_IPoTwEMB9Yp6ymwlPqew/edit?gid=984458430#gid=984458430"", ""'replication success'!A:M""), 12, FAlSE)"),"#N/A")</f>
        <v>#N/A</v>
      </c>
      <c r="BA622" s="61" t="str">
        <f>IFERROR(__xludf.DUMMYFUNCTION("vlookup(BB622,importrange(""https://docs.google.com/spreadsheets/d/1d2vevQ_7D_v35q4wCQ4RpQ_IPoTwEMB9Yp6ymwlPqew/edit?gid=984458430#gid=984458430"", ""'replication success'!A:M""), 13, FAlSE)"),"#N/A")</f>
        <v>#N/A</v>
      </c>
      <c r="BB622" s="61" t="str">
        <f>IFERROR(__xludf.DUMMYFUNCTION("REGEXREPLACE(G622, ""_[a-z]{1,2}$"", """")"),"additional_studies90_e1")</f>
        <v>additional_studies90_e1</v>
      </c>
      <c r="BC622" s="94"/>
      <c r="BD622" s="924" t="s">
        <v>692</v>
      </c>
      <c r="BE622" s="92"/>
      <c r="BF622" s="92"/>
      <c r="BG622" s="92"/>
      <c r="BH622" s="92"/>
      <c r="BI622" s="92"/>
      <c r="BJ622" s="92"/>
      <c r="BK622" s="92"/>
      <c r="BL622" s="92"/>
      <c r="BM622" s="92"/>
      <c r="BN622" s="92"/>
      <c r="BO622" s="92"/>
      <c r="BP622" s="92"/>
      <c r="BQ622" s="92"/>
      <c r="BR622" s="92"/>
      <c r="BS622" s="92"/>
      <c r="BT622" s="92"/>
      <c r="BU622" s="92"/>
      <c r="BV622" s="92"/>
      <c r="BW622" s="92"/>
      <c r="BX622" s="92"/>
      <c r="BY622" s="92"/>
      <c r="BZ622" s="92"/>
      <c r="CA622" s="92"/>
      <c r="CB622" s="92"/>
      <c r="CC622" s="92"/>
      <c r="CD622" s="92"/>
      <c r="CE622" s="92"/>
      <c r="CF622" s="92"/>
      <c r="CG622" s="92"/>
      <c r="CH622" s="92"/>
      <c r="CI622" s="92"/>
      <c r="CJ622" s="92"/>
      <c r="CK622" s="92"/>
      <c r="CL622" s="92"/>
      <c r="CM622" s="92"/>
      <c r="CN622" s="92"/>
      <c r="CO622" s="92"/>
      <c r="CP622" s="92"/>
      <c r="CQ622" s="92"/>
      <c r="CR622" s="92"/>
      <c r="CS622" s="92"/>
      <c r="CT622" s="92"/>
      <c r="CU622" s="92"/>
      <c r="CV622" s="92"/>
      <c r="CW622" s="92"/>
      <c r="CX622" s="92"/>
      <c r="CY622" s="92"/>
      <c r="CZ622" s="92"/>
      <c r="DA622" s="92"/>
      <c r="DB622" s="92"/>
      <c r="DC622" s="92"/>
      <c r="DD622" s="92"/>
      <c r="DE622" s="92"/>
      <c r="DF622" s="92"/>
      <c r="DG622" s="92"/>
      <c r="DH622" s="92"/>
      <c r="DI622" s="92"/>
      <c r="DJ622" s="92"/>
      <c r="DK622" s="92"/>
      <c r="DL622" s="92"/>
    </row>
    <row r="623" ht="20.25" customHeight="1">
      <c r="A623" s="73">
        <v>623.0</v>
      </c>
      <c r="B623" s="93" t="s">
        <v>152</v>
      </c>
      <c r="C623" s="93" t="s">
        <v>115</v>
      </c>
      <c r="D623" s="93" t="s">
        <v>990</v>
      </c>
      <c r="E623" s="92"/>
      <c r="F623" s="94" t="s">
        <v>3391</v>
      </c>
      <c r="G623" s="922" t="s">
        <v>3422</v>
      </c>
      <c r="H623" s="76" t="s">
        <v>144</v>
      </c>
      <c r="I623" s="853">
        <v>45489.0</v>
      </c>
      <c r="J623" s="629">
        <v>45638.0</v>
      </c>
      <c r="K623" s="82"/>
      <c r="L623" s="82"/>
      <c r="M623" s="76" t="s">
        <v>3393</v>
      </c>
      <c r="N623" s="76" t="s">
        <v>3394</v>
      </c>
      <c r="O623" s="635">
        <v>1.0</v>
      </c>
      <c r="P623" s="99" t="s">
        <v>3395</v>
      </c>
      <c r="Q623" s="893" t="str">
        <f t="array" ref="Q623"> if(iserror(MATCH(V623, 'File Links'!C:C, 0)), "N/A", HYPERLINK(INDEX('File Links'!B:B, MATCH(P623, 'File Links'!C:C, 0))))</f>
        <v>https://drive.google.com/file/d/13vglHZTPgv6z9W5xPGWG5OyE_h91M3UK/view?usp=drivesdk</v>
      </c>
      <c r="R623" s="76" t="s">
        <v>3396</v>
      </c>
      <c r="S623" s="76" t="s">
        <v>3397</v>
      </c>
      <c r="T623" s="82"/>
      <c r="U623" s="633">
        <v>1.0</v>
      </c>
      <c r="V623" s="95" t="str">
        <f t="shared" si="36"/>
        <v>10.12688--openreseurope.17749.1.pdf</v>
      </c>
      <c r="W623" s="76" t="s">
        <v>209</v>
      </c>
      <c r="X623" s="894" t="str">
        <f t="array" ref="X623"> if(iserror(MATCH(V623, 'File Links'!C:C, 0)), "N/A", HYPERLINK(INDEX('File Links'!B:B, MATCH(V623, 'File Links'!C:C, 0))))</f>
        <v>https://drive.google.com/file/d/17sgB6ScmXf8Wli1_dKWf0wpvxkNJRZtC/view?usp=drivesdk</v>
      </c>
      <c r="Y623" s="82"/>
      <c r="Z623" s="76" t="s">
        <v>148</v>
      </c>
      <c r="AA623" s="82" t="s">
        <v>3398</v>
      </c>
      <c r="AB623" s="82" t="s">
        <v>3399</v>
      </c>
      <c r="AC623" s="76" t="s">
        <v>3423</v>
      </c>
      <c r="AD623" s="82"/>
      <c r="AE623" s="635">
        <v>5.0</v>
      </c>
      <c r="AF623" s="635">
        <v>27.0</v>
      </c>
      <c r="AG623" s="635">
        <v>9.26</v>
      </c>
      <c r="AH623" s="99" t="s">
        <v>134</v>
      </c>
      <c r="AI623" s="923">
        <v>5.0</v>
      </c>
      <c r="AJ623" s="635">
        <v>0.005</v>
      </c>
      <c r="AK623" s="95" t="s">
        <v>172</v>
      </c>
      <c r="AL623" s="76" t="s">
        <v>186</v>
      </c>
      <c r="AM623" s="82" t="s">
        <v>137</v>
      </c>
      <c r="AN623" s="79" t="s">
        <v>138</v>
      </c>
      <c r="AO623" s="635">
        <v>32.0</v>
      </c>
      <c r="AP623" s="635">
        <v>3.88</v>
      </c>
      <c r="AQ623" s="76" t="s">
        <v>134</v>
      </c>
      <c r="AR623" s="635">
        <v>9.0</v>
      </c>
      <c r="AS623" s="635">
        <v>0.026</v>
      </c>
      <c r="AT623" s="95" t="s">
        <v>172</v>
      </c>
      <c r="AU623" s="95" t="s">
        <v>186</v>
      </c>
      <c r="AV623" s="94" t="s">
        <v>137</v>
      </c>
      <c r="AW623" s="923" t="s">
        <v>138</v>
      </c>
      <c r="AX623" s="94" t="s">
        <v>143</v>
      </c>
      <c r="AY623" s="61" t="str">
        <f>IFERROR(__xludf.DUMMYFUNCTION("vlookup(BB623,importrange(""https://docs.google.com/spreadsheets/d/1d2vevQ_7D_v35q4wCQ4RpQ_IPoTwEMB9Yp6ymwlPqew/edit?gid=984458430#gid=984458430"", ""'replication success'!A:K""), 11, FAlSE)"),"#N/A")</f>
        <v>#N/A</v>
      </c>
      <c r="AZ623" s="61" t="str">
        <f>IFERROR(__xludf.DUMMYFUNCTION("vlookup(BB623,importrange(""https://docs.google.com/spreadsheets/d/1d2vevQ_7D_v35q4wCQ4RpQ_IPoTwEMB9Yp6ymwlPqew/edit?gid=984458430#gid=984458430"", ""'replication success'!A:M""), 12, FAlSE)"),"#N/A")</f>
        <v>#N/A</v>
      </c>
      <c r="BA623" s="61" t="str">
        <f>IFERROR(__xludf.DUMMYFUNCTION("vlookup(BB623,importrange(""https://docs.google.com/spreadsheets/d/1d2vevQ_7D_v35q4wCQ4RpQ_IPoTwEMB9Yp6ymwlPqew/edit?gid=984458430#gid=984458430"", ""'replication success'!A:M""), 13, FAlSE)"),"#N/A")</f>
        <v>#N/A</v>
      </c>
      <c r="BB623" s="61" t="str">
        <f>IFERROR(__xludf.DUMMYFUNCTION("REGEXREPLACE(G623, ""_[a-z]{1,2}$"", """")"),"additional_studies90")</f>
        <v>additional_studies90</v>
      </c>
      <c r="BC623" s="82"/>
      <c r="BD623" s="924" t="s">
        <v>692</v>
      </c>
      <c r="BE623" s="92"/>
      <c r="BF623" s="92"/>
      <c r="BG623" s="92"/>
      <c r="BH623" s="92"/>
      <c r="BI623" s="92"/>
      <c r="BJ623" s="92"/>
      <c r="BK623" s="92"/>
      <c r="BL623" s="92"/>
      <c r="BM623" s="92"/>
      <c r="BN623" s="92"/>
      <c r="BO623" s="92"/>
      <c r="BP623" s="92"/>
      <c r="BQ623" s="92"/>
      <c r="BR623" s="92"/>
      <c r="BS623" s="92"/>
      <c r="BT623" s="92"/>
      <c r="BU623" s="92"/>
      <c r="BV623" s="92"/>
      <c r="BW623" s="92"/>
      <c r="BX623" s="92"/>
      <c r="BY623" s="92"/>
      <c r="BZ623" s="92"/>
      <c r="CA623" s="92"/>
      <c r="CB623" s="92"/>
      <c r="CC623" s="92"/>
      <c r="CD623" s="92"/>
      <c r="CE623" s="92"/>
      <c r="CF623" s="92"/>
      <c r="CG623" s="92"/>
      <c r="CH623" s="92"/>
      <c r="CI623" s="92"/>
      <c r="CJ623" s="92"/>
      <c r="CK623" s="92"/>
      <c r="CL623" s="92"/>
      <c r="CM623" s="92"/>
      <c r="CN623" s="92"/>
      <c r="CO623" s="92"/>
      <c r="CP623" s="92"/>
      <c r="CQ623" s="92"/>
      <c r="CR623" s="92"/>
      <c r="CS623" s="92"/>
      <c r="CT623" s="92"/>
      <c r="CU623" s="92"/>
      <c r="CV623" s="92"/>
      <c r="CW623" s="92"/>
      <c r="CX623" s="92"/>
      <c r="CY623" s="92"/>
      <c r="CZ623" s="92"/>
      <c r="DA623" s="92"/>
      <c r="DB623" s="92"/>
      <c r="DC623" s="92"/>
      <c r="DD623" s="92"/>
      <c r="DE623" s="92"/>
      <c r="DF623" s="92"/>
      <c r="DG623" s="92"/>
      <c r="DH623" s="92"/>
      <c r="DI623" s="92"/>
      <c r="DJ623" s="92"/>
      <c r="DK623" s="92"/>
      <c r="DL623" s="92"/>
    </row>
    <row r="624" ht="20.25" customHeight="1">
      <c r="A624" s="73">
        <v>624.0</v>
      </c>
      <c r="B624" s="93" t="s">
        <v>152</v>
      </c>
      <c r="C624" s="93" t="s">
        <v>115</v>
      </c>
      <c r="D624" s="93" t="s">
        <v>990</v>
      </c>
      <c r="E624" s="92"/>
      <c r="F624" s="94" t="s">
        <v>3391</v>
      </c>
      <c r="G624" s="922" t="s">
        <v>3424</v>
      </c>
      <c r="H624" s="95" t="s">
        <v>144</v>
      </c>
      <c r="I624" s="853">
        <v>45489.0</v>
      </c>
      <c r="J624" s="629">
        <v>45638.0</v>
      </c>
      <c r="K624" s="94"/>
      <c r="L624" s="94"/>
      <c r="M624" s="95" t="s">
        <v>3393</v>
      </c>
      <c r="N624" s="95" t="s">
        <v>3394</v>
      </c>
      <c r="O624" s="98">
        <v>1.0</v>
      </c>
      <c r="P624" s="95" t="s">
        <v>3395</v>
      </c>
      <c r="Q624" s="893" t="str">
        <f t="array" ref="Q624"> if(iserror(MATCH(V624, 'File Links'!C:C, 0)), "N/A", HYPERLINK(INDEX('File Links'!B:B, MATCH(P624, 'File Links'!C:C, 0))))</f>
        <v>https://drive.google.com/file/d/13vglHZTPgv6z9W5xPGWG5OyE_h91M3UK/view?usp=drivesdk</v>
      </c>
      <c r="R624" s="95" t="s">
        <v>3396</v>
      </c>
      <c r="S624" s="95" t="s">
        <v>3397</v>
      </c>
      <c r="T624" s="94"/>
      <c r="U624" s="98">
        <v>1.0</v>
      </c>
      <c r="V624" s="95" t="str">
        <f t="shared" si="36"/>
        <v>10.12688--openreseurope.17749.1.pdf</v>
      </c>
      <c r="W624" s="95" t="s">
        <v>209</v>
      </c>
      <c r="X624" s="894" t="str">
        <f t="array" ref="X624"> if(iserror(MATCH(V624, 'File Links'!C:C, 0)), "N/A", HYPERLINK(INDEX('File Links'!B:B, MATCH(V624, 'File Links'!C:C, 0))))</f>
        <v>https://drive.google.com/file/d/17sgB6ScmXf8Wli1_dKWf0wpvxkNJRZtC/view?usp=drivesdk</v>
      </c>
      <c r="Y624" s="94"/>
      <c r="Z624" s="95" t="s">
        <v>148</v>
      </c>
      <c r="AA624" s="94" t="s">
        <v>3398</v>
      </c>
      <c r="AB624" s="94" t="s">
        <v>3399</v>
      </c>
      <c r="AC624" s="95" t="s">
        <v>3425</v>
      </c>
      <c r="AD624" s="94"/>
      <c r="AE624" s="98">
        <v>5.0</v>
      </c>
      <c r="AF624" s="98">
        <v>27.0</v>
      </c>
      <c r="AG624" s="98">
        <v>20.47</v>
      </c>
      <c r="AH624" s="99" t="s">
        <v>134</v>
      </c>
      <c r="AI624" s="923">
        <v>5.0</v>
      </c>
      <c r="AJ624" s="635">
        <v>0.001</v>
      </c>
      <c r="AK624" s="95" t="s">
        <v>135</v>
      </c>
      <c r="AL624" s="76" t="s">
        <v>186</v>
      </c>
      <c r="AM624" s="94" t="s">
        <v>137</v>
      </c>
      <c r="AN624" s="79" t="s">
        <v>138</v>
      </c>
      <c r="AO624" s="98">
        <v>32.0</v>
      </c>
      <c r="AP624" s="98">
        <v>7.29</v>
      </c>
      <c r="AQ624" s="95" t="s">
        <v>134</v>
      </c>
      <c r="AR624" s="98">
        <v>9.0</v>
      </c>
      <c r="AS624" s="98">
        <v>0.011</v>
      </c>
      <c r="AT624" s="95" t="s">
        <v>172</v>
      </c>
      <c r="AU624" s="95" t="s">
        <v>186</v>
      </c>
      <c r="AV624" s="94" t="s">
        <v>137</v>
      </c>
      <c r="AW624" s="923" t="s">
        <v>138</v>
      </c>
      <c r="AX624" s="94" t="s">
        <v>143</v>
      </c>
      <c r="AY624" s="61" t="str">
        <f>IFERROR(__xludf.DUMMYFUNCTION("vlookup(BB624,importrange(""https://docs.google.com/spreadsheets/d/1d2vevQ_7D_v35q4wCQ4RpQ_IPoTwEMB9Yp6ymwlPqew/edit?gid=984458430#gid=984458430"", ""'replication success'!A:K""), 11, FAlSE)"),"#N/A")</f>
        <v>#N/A</v>
      </c>
      <c r="AZ624" s="61" t="str">
        <f>IFERROR(__xludf.DUMMYFUNCTION("vlookup(BB624,importrange(""https://docs.google.com/spreadsheets/d/1d2vevQ_7D_v35q4wCQ4RpQ_IPoTwEMB9Yp6ymwlPqew/edit?gid=984458430#gid=984458430"", ""'replication success'!A:M""), 12, FAlSE)"),"#N/A")</f>
        <v>#N/A</v>
      </c>
      <c r="BA624" s="61" t="str">
        <f>IFERROR(__xludf.DUMMYFUNCTION("vlookup(BB624,importrange(""https://docs.google.com/spreadsheets/d/1d2vevQ_7D_v35q4wCQ4RpQ_IPoTwEMB9Yp6ymwlPqew/edit?gid=984458430#gid=984458430"", ""'replication success'!A:M""), 13, FAlSE)"),"#N/A")</f>
        <v>#N/A</v>
      </c>
      <c r="BB624" s="61" t="str">
        <f>IFERROR(__xludf.DUMMYFUNCTION("REGEXREPLACE(G624, ""_[a-z]{1,2}$"", """")"),"additional_studies90_f1")</f>
        <v>additional_studies90_f1</v>
      </c>
      <c r="BC624" s="94"/>
      <c r="BD624" s="924" t="s">
        <v>692</v>
      </c>
      <c r="BE624" s="92"/>
      <c r="BF624" s="92"/>
      <c r="BG624" s="92"/>
      <c r="BH624" s="92"/>
      <c r="BI624" s="92"/>
      <c r="BJ624" s="92"/>
      <c r="BK624" s="92"/>
      <c r="BL624" s="92"/>
      <c r="BM624" s="92"/>
      <c r="BN624" s="92"/>
      <c r="BO624" s="92"/>
      <c r="BP624" s="92"/>
      <c r="BQ624" s="92"/>
      <c r="BR624" s="92"/>
      <c r="BS624" s="92"/>
      <c r="BT624" s="92"/>
      <c r="BU624" s="92"/>
      <c r="BV624" s="92"/>
      <c r="BW624" s="92"/>
      <c r="BX624" s="92"/>
      <c r="BY624" s="92"/>
      <c r="BZ624" s="92"/>
      <c r="CA624" s="92"/>
      <c r="CB624" s="92"/>
      <c r="CC624" s="92"/>
      <c r="CD624" s="92"/>
      <c r="CE624" s="92"/>
      <c r="CF624" s="92"/>
      <c r="CG624" s="92"/>
      <c r="CH624" s="92"/>
      <c r="CI624" s="92"/>
      <c r="CJ624" s="92"/>
      <c r="CK624" s="92"/>
      <c r="CL624" s="92"/>
      <c r="CM624" s="92"/>
      <c r="CN624" s="92"/>
      <c r="CO624" s="92"/>
      <c r="CP624" s="92"/>
      <c r="CQ624" s="92"/>
      <c r="CR624" s="92"/>
      <c r="CS624" s="92"/>
      <c r="CT624" s="92"/>
      <c r="CU624" s="92"/>
      <c r="CV624" s="92"/>
      <c r="CW624" s="92"/>
      <c r="CX624" s="92"/>
      <c r="CY624" s="92"/>
      <c r="CZ624" s="92"/>
      <c r="DA624" s="92"/>
      <c r="DB624" s="92"/>
      <c r="DC624" s="92"/>
      <c r="DD624" s="92"/>
      <c r="DE624" s="92"/>
      <c r="DF624" s="92"/>
      <c r="DG624" s="92"/>
      <c r="DH624" s="92"/>
      <c r="DI624" s="92"/>
      <c r="DJ624" s="92"/>
      <c r="DK624" s="92"/>
      <c r="DL624" s="92"/>
    </row>
    <row r="625" ht="20.25" customHeight="1">
      <c r="A625" s="73">
        <v>625.0</v>
      </c>
      <c r="B625" s="93" t="s">
        <v>152</v>
      </c>
      <c r="C625" s="93" t="s">
        <v>115</v>
      </c>
      <c r="D625" s="93" t="s">
        <v>990</v>
      </c>
      <c r="E625" s="92"/>
      <c r="F625" s="94" t="s">
        <v>3391</v>
      </c>
      <c r="G625" s="922" t="s">
        <v>3426</v>
      </c>
      <c r="H625" s="76" t="s">
        <v>144</v>
      </c>
      <c r="I625" s="853">
        <v>45489.0</v>
      </c>
      <c r="J625" s="629">
        <v>45638.0</v>
      </c>
      <c r="K625" s="82"/>
      <c r="L625" s="82"/>
      <c r="M625" s="76" t="s">
        <v>3393</v>
      </c>
      <c r="N625" s="76" t="s">
        <v>3394</v>
      </c>
      <c r="O625" s="635">
        <v>1.0</v>
      </c>
      <c r="P625" s="99" t="s">
        <v>3395</v>
      </c>
      <c r="Q625" s="893" t="str">
        <f t="array" ref="Q625"> if(iserror(MATCH(V625, 'File Links'!C:C, 0)), "N/A", HYPERLINK(INDEX('File Links'!B:B, MATCH(P625, 'File Links'!C:C, 0))))</f>
        <v>https://drive.google.com/file/d/13vglHZTPgv6z9W5xPGWG5OyE_h91M3UK/view?usp=drivesdk</v>
      </c>
      <c r="R625" s="76" t="s">
        <v>3396</v>
      </c>
      <c r="S625" s="76" t="s">
        <v>3397</v>
      </c>
      <c r="T625" s="82"/>
      <c r="U625" s="633">
        <v>1.0</v>
      </c>
      <c r="V625" s="95" t="str">
        <f t="shared" si="36"/>
        <v>10.12688--openreseurope.17749.1.pdf</v>
      </c>
      <c r="W625" s="76" t="s">
        <v>209</v>
      </c>
      <c r="X625" s="894" t="str">
        <f t="array" ref="X625"> if(iserror(MATCH(V625, 'File Links'!C:C, 0)), "N/A", HYPERLINK(INDEX('File Links'!B:B, MATCH(V625, 'File Links'!C:C, 0))))</f>
        <v>https://drive.google.com/file/d/17sgB6ScmXf8Wli1_dKWf0wpvxkNJRZtC/view?usp=drivesdk</v>
      </c>
      <c r="Y625" s="82"/>
      <c r="Z625" s="76" t="s">
        <v>148</v>
      </c>
      <c r="AA625" s="82" t="s">
        <v>3398</v>
      </c>
      <c r="AB625" s="82" t="s">
        <v>3399</v>
      </c>
      <c r="AC625" s="76" t="s">
        <v>3427</v>
      </c>
      <c r="AD625" s="82"/>
      <c r="AE625" s="635">
        <v>5.0</v>
      </c>
      <c r="AF625" s="635">
        <v>27.0</v>
      </c>
      <c r="AG625" s="635">
        <v>3.97</v>
      </c>
      <c r="AH625" s="99" t="s">
        <v>134</v>
      </c>
      <c r="AI625" s="923">
        <v>5.0</v>
      </c>
      <c r="AJ625" s="635">
        <v>0.057</v>
      </c>
      <c r="AK625" s="95" t="s">
        <v>172</v>
      </c>
      <c r="AL625" s="76" t="s">
        <v>186</v>
      </c>
      <c r="AM625" s="82" t="s">
        <v>137</v>
      </c>
      <c r="AN625" s="79" t="s">
        <v>138</v>
      </c>
      <c r="AO625" s="635">
        <v>32.0</v>
      </c>
      <c r="AP625" s="635">
        <v>0.07</v>
      </c>
      <c r="AQ625" s="76" t="s">
        <v>134</v>
      </c>
      <c r="AR625" s="635">
        <v>9.0</v>
      </c>
      <c r="AS625" s="635">
        <v>0.792</v>
      </c>
      <c r="AT625" s="95" t="s">
        <v>172</v>
      </c>
      <c r="AU625" s="95" t="s">
        <v>186</v>
      </c>
      <c r="AV625" s="94" t="s">
        <v>137</v>
      </c>
      <c r="AW625" s="923" t="s">
        <v>138</v>
      </c>
      <c r="AX625" s="94" t="s">
        <v>143</v>
      </c>
      <c r="AY625" s="61" t="str">
        <f>IFERROR(__xludf.DUMMYFUNCTION("vlookup(BB625,importrange(""https://docs.google.com/spreadsheets/d/1d2vevQ_7D_v35q4wCQ4RpQ_IPoTwEMB9Yp6ymwlPqew/edit?gid=984458430#gid=984458430"", ""'replication success'!A:K""), 11, FAlSE)"),"#N/A")</f>
        <v>#N/A</v>
      </c>
      <c r="AZ625" s="61" t="str">
        <f>IFERROR(__xludf.DUMMYFUNCTION("vlookup(BB625,importrange(""https://docs.google.com/spreadsheets/d/1d2vevQ_7D_v35q4wCQ4RpQ_IPoTwEMB9Yp6ymwlPqew/edit?gid=984458430#gid=984458430"", ""'replication success'!A:M""), 12, FAlSE)"),"#N/A")</f>
        <v>#N/A</v>
      </c>
      <c r="BA625" s="61" t="str">
        <f>IFERROR(__xludf.DUMMYFUNCTION("vlookup(BB625,importrange(""https://docs.google.com/spreadsheets/d/1d2vevQ_7D_v35q4wCQ4RpQ_IPoTwEMB9Yp6ymwlPqew/edit?gid=984458430#gid=984458430"", ""'replication success'!A:M""), 13, FAlSE)"),"#N/A")</f>
        <v>#N/A</v>
      </c>
      <c r="BB625" s="61" t="str">
        <f>IFERROR(__xludf.DUMMYFUNCTION("REGEXREPLACE(G625, ""_[a-z]{1,2}$"", """")"),"additional_studies90")</f>
        <v>additional_studies90</v>
      </c>
      <c r="BC625" s="82"/>
      <c r="BD625" s="924" t="s">
        <v>692</v>
      </c>
      <c r="BE625" s="92"/>
      <c r="BF625" s="92"/>
      <c r="BG625" s="92"/>
      <c r="BH625" s="92"/>
      <c r="BI625" s="92"/>
      <c r="BJ625" s="92"/>
      <c r="BK625" s="92"/>
      <c r="BL625" s="92"/>
      <c r="BM625" s="92"/>
      <c r="BN625" s="92"/>
      <c r="BO625" s="92"/>
      <c r="BP625" s="92"/>
      <c r="BQ625" s="92"/>
      <c r="BR625" s="92"/>
      <c r="BS625" s="92"/>
      <c r="BT625" s="92"/>
      <c r="BU625" s="92"/>
      <c r="BV625" s="92"/>
      <c r="BW625" s="92"/>
      <c r="BX625" s="92"/>
      <c r="BY625" s="92"/>
      <c r="BZ625" s="92"/>
      <c r="CA625" s="92"/>
      <c r="CB625" s="92"/>
      <c r="CC625" s="92"/>
      <c r="CD625" s="92"/>
      <c r="CE625" s="92"/>
      <c r="CF625" s="92"/>
      <c r="CG625" s="92"/>
      <c r="CH625" s="92"/>
      <c r="CI625" s="92"/>
      <c r="CJ625" s="92"/>
      <c r="CK625" s="92"/>
      <c r="CL625" s="92"/>
      <c r="CM625" s="92"/>
      <c r="CN625" s="92"/>
      <c r="CO625" s="92"/>
      <c r="CP625" s="92"/>
      <c r="CQ625" s="92"/>
      <c r="CR625" s="92"/>
      <c r="CS625" s="92"/>
      <c r="CT625" s="92"/>
      <c r="CU625" s="92"/>
      <c r="CV625" s="92"/>
      <c r="CW625" s="92"/>
      <c r="CX625" s="92"/>
      <c r="CY625" s="92"/>
      <c r="CZ625" s="92"/>
      <c r="DA625" s="92"/>
      <c r="DB625" s="92"/>
      <c r="DC625" s="92"/>
      <c r="DD625" s="92"/>
      <c r="DE625" s="92"/>
      <c r="DF625" s="92"/>
      <c r="DG625" s="92"/>
      <c r="DH625" s="92"/>
      <c r="DI625" s="92"/>
      <c r="DJ625" s="92"/>
      <c r="DK625" s="92"/>
      <c r="DL625" s="92"/>
    </row>
    <row r="626" ht="20.25" customHeight="1">
      <c r="A626" s="808">
        <v>626.0</v>
      </c>
      <c r="B626" s="467" t="s">
        <v>152</v>
      </c>
      <c r="C626" s="467" t="s">
        <v>115</v>
      </c>
      <c r="D626" s="467" t="s">
        <v>990</v>
      </c>
      <c r="E626" s="468"/>
      <c r="F626" s="482" t="s">
        <v>3391</v>
      </c>
      <c r="G626" s="925" t="s">
        <v>3428</v>
      </c>
      <c r="H626" s="469" t="s">
        <v>144</v>
      </c>
      <c r="I626" s="471">
        <v>45489.0</v>
      </c>
      <c r="J626" s="784">
        <v>45638.0</v>
      </c>
      <c r="K626" s="482"/>
      <c r="L626" s="482"/>
      <c r="M626" s="469" t="s">
        <v>3393</v>
      </c>
      <c r="N626" s="469" t="s">
        <v>3394</v>
      </c>
      <c r="O626" s="926">
        <v>1.0</v>
      </c>
      <c r="P626" s="469" t="s">
        <v>3395</v>
      </c>
      <c r="Q626" s="927" t="str">
        <f t="array" ref="Q626"> if(iserror(MATCH(V626, 'File Links'!C:C, 0)), "N/A", HYPERLINK(INDEX('File Links'!B:B, MATCH(P626, 'File Links'!C:C, 0))))</f>
        <v>https://drive.google.com/file/d/13vglHZTPgv6z9W5xPGWG5OyE_h91M3UK/view?usp=drivesdk</v>
      </c>
      <c r="R626" s="469" t="s">
        <v>3396</v>
      </c>
      <c r="S626" s="469" t="s">
        <v>3397</v>
      </c>
      <c r="T626" s="482"/>
      <c r="U626" s="926">
        <v>1.0</v>
      </c>
      <c r="V626" s="469" t="str">
        <f t="shared" si="36"/>
        <v>10.12688--openreseurope.17749.1.pdf</v>
      </c>
      <c r="W626" s="469" t="s">
        <v>209</v>
      </c>
      <c r="X626" s="928" t="str">
        <f t="array" ref="X626"> if(iserror(MATCH(V626, 'File Links'!C:C, 0)), "N/A", HYPERLINK(INDEX('File Links'!B:B, MATCH(V626, 'File Links'!C:C, 0))))</f>
        <v>https://drive.google.com/file/d/17sgB6ScmXf8Wli1_dKWf0wpvxkNJRZtC/view?usp=drivesdk</v>
      </c>
      <c r="Y626" s="482"/>
      <c r="Z626" s="469" t="s">
        <v>148</v>
      </c>
      <c r="AA626" s="482" t="s">
        <v>3398</v>
      </c>
      <c r="AB626" s="482" t="s">
        <v>3399</v>
      </c>
      <c r="AC626" s="469" t="s">
        <v>3429</v>
      </c>
      <c r="AD626" s="482"/>
      <c r="AE626" s="482"/>
      <c r="AF626" s="482"/>
      <c r="AG626" s="929" t="s">
        <v>138</v>
      </c>
      <c r="AH626" s="475" t="s">
        <v>134</v>
      </c>
      <c r="AI626" s="923">
        <v>5.0</v>
      </c>
      <c r="AJ626" s="479">
        <v>0.001</v>
      </c>
      <c r="AK626" s="469" t="s">
        <v>135</v>
      </c>
      <c r="AL626" s="470" t="s">
        <v>186</v>
      </c>
      <c r="AM626" s="482" t="s">
        <v>137</v>
      </c>
      <c r="AN626" s="474" t="s">
        <v>138</v>
      </c>
      <c r="AO626" s="926">
        <v>32.0</v>
      </c>
      <c r="AP626" s="482"/>
      <c r="AQ626" s="469" t="s">
        <v>134</v>
      </c>
      <c r="AR626" s="926">
        <v>9.0</v>
      </c>
      <c r="AS626" s="926">
        <v>0.001</v>
      </c>
      <c r="AT626" s="469" t="s">
        <v>135</v>
      </c>
      <c r="AU626" s="469" t="s">
        <v>186</v>
      </c>
      <c r="AV626" s="482" t="s">
        <v>137</v>
      </c>
      <c r="AW626" s="923" t="s">
        <v>138</v>
      </c>
      <c r="AX626" s="482" t="s">
        <v>143</v>
      </c>
      <c r="AY626" s="61" t="str">
        <f>IFERROR(__xludf.DUMMYFUNCTION("vlookup(BB626,importrange(""https://docs.google.com/spreadsheets/d/1d2vevQ_7D_v35q4wCQ4RpQ_IPoTwEMB9Yp6ymwlPqew/edit?gid=984458430#gid=984458430"", ""'replication success'!A:K""), 11, FAlSE)"),"#N/A")</f>
        <v>#N/A</v>
      </c>
      <c r="AZ626" s="61" t="str">
        <f>IFERROR(__xludf.DUMMYFUNCTION("vlookup(BB626,importrange(""https://docs.google.com/spreadsheets/d/1d2vevQ_7D_v35q4wCQ4RpQ_IPoTwEMB9Yp6ymwlPqew/edit?gid=984458430#gid=984458430"", ""'replication success'!A:M""), 12, FAlSE)"),"#N/A")</f>
        <v>#N/A</v>
      </c>
      <c r="BA626" s="61" t="str">
        <f>IFERROR(__xludf.DUMMYFUNCTION("vlookup(BB626,importrange(""https://docs.google.com/spreadsheets/d/1d2vevQ_7D_v35q4wCQ4RpQ_IPoTwEMB9Yp6ymwlPqew/edit?gid=984458430#gid=984458430"", ""'replication success'!A:M""), 13, FAlSE)"),"#N/A")</f>
        <v>#N/A</v>
      </c>
      <c r="BB626" s="61" t="str">
        <f>IFERROR(__xludf.DUMMYFUNCTION("REGEXREPLACE(G626, ""_[a-z]{1,2}$"", """")"),"additional_studies90_g1")</f>
        <v>additional_studies90_g1</v>
      </c>
      <c r="BC626" s="482"/>
      <c r="BD626" s="924" t="s">
        <v>692</v>
      </c>
      <c r="BE626" s="468"/>
      <c r="BF626" s="468"/>
      <c r="BG626" s="468"/>
      <c r="BH626" s="468"/>
      <c r="BI626" s="468"/>
      <c r="BJ626" s="468"/>
      <c r="BK626" s="468"/>
      <c r="BL626" s="468"/>
      <c r="BM626" s="468"/>
      <c r="BN626" s="468"/>
      <c r="BO626" s="468"/>
      <c r="BP626" s="468"/>
      <c r="BQ626" s="468"/>
      <c r="BR626" s="468"/>
      <c r="BS626" s="468"/>
      <c r="BT626" s="468"/>
      <c r="BU626" s="468"/>
      <c r="BV626" s="468"/>
      <c r="BW626" s="468"/>
      <c r="BX626" s="468"/>
      <c r="BY626" s="468"/>
      <c r="BZ626" s="468"/>
      <c r="CA626" s="468"/>
      <c r="CB626" s="468"/>
      <c r="CC626" s="468"/>
      <c r="CD626" s="468"/>
      <c r="CE626" s="468"/>
      <c r="CF626" s="468"/>
      <c r="CG626" s="468"/>
      <c r="CH626" s="468"/>
      <c r="CI626" s="468"/>
      <c r="CJ626" s="468"/>
      <c r="CK626" s="468"/>
      <c r="CL626" s="468"/>
      <c r="CM626" s="468"/>
      <c r="CN626" s="468"/>
      <c r="CO626" s="468"/>
      <c r="CP626" s="468"/>
      <c r="CQ626" s="468"/>
      <c r="CR626" s="468"/>
      <c r="CS626" s="468"/>
      <c r="CT626" s="468"/>
      <c r="CU626" s="468"/>
      <c r="CV626" s="468"/>
      <c r="CW626" s="468"/>
      <c r="CX626" s="468"/>
      <c r="CY626" s="468"/>
      <c r="CZ626" s="468"/>
      <c r="DA626" s="468"/>
      <c r="DB626" s="468"/>
      <c r="DC626" s="468"/>
      <c r="DD626" s="468"/>
      <c r="DE626" s="468"/>
      <c r="DF626" s="468"/>
      <c r="DG626" s="468"/>
      <c r="DH626" s="468"/>
      <c r="DI626" s="468"/>
      <c r="DJ626" s="468"/>
      <c r="DK626" s="468"/>
      <c r="DL626" s="468"/>
    </row>
    <row r="627" ht="20.25" customHeight="1">
      <c r="A627" s="73">
        <v>627.0</v>
      </c>
      <c r="B627" s="93" t="s">
        <v>152</v>
      </c>
      <c r="C627" s="93" t="s">
        <v>115</v>
      </c>
      <c r="D627" s="93" t="s">
        <v>990</v>
      </c>
      <c r="E627" s="92"/>
      <c r="F627" s="94" t="s">
        <v>3391</v>
      </c>
      <c r="G627" s="922" t="s">
        <v>3430</v>
      </c>
      <c r="H627" s="76" t="s">
        <v>144</v>
      </c>
      <c r="I627" s="853">
        <v>45489.0</v>
      </c>
      <c r="J627" s="629">
        <v>45638.0</v>
      </c>
      <c r="K627" s="82"/>
      <c r="L627" s="82"/>
      <c r="M627" s="76" t="s">
        <v>3393</v>
      </c>
      <c r="N627" s="76" t="s">
        <v>3394</v>
      </c>
      <c r="O627" s="635">
        <v>1.0</v>
      </c>
      <c r="P627" s="99" t="s">
        <v>3395</v>
      </c>
      <c r="Q627" s="893" t="str">
        <f t="array" ref="Q627"> if(iserror(MATCH(V627, 'File Links'!C:C, 0)), "N/A", HYPERLINK(INDEX('File Links'!B:B, MATCH(P627, 'File Links'!C:C, 0))))</f>
        <v>https://drive.google.com/file/d/13vglHZTPgv6z9W5xPGWG5OyE_h91M3UK/view?usp=drivesdk</v>
      </c>
      <c r="R627" s="76" t="s">
        <v>3396</v>
      </c>
      <c r="S627" s="76" t="s">
        <v>3397</v>
      </c>
      <c r="T627" s="82"/>
      <c r="U627" s="633">
        <v>1.0</v>
      </c>
      <c r="V627" s="95" t="str">
        <f t="shared" si="36"/>
        <v>10.12688--openreseurope.17749.1.pdf</v>
      </c>
      <c r="W627" s="76" t="s">
        <v>209</v>
      </c>
      <c r="X627" s="894" t="str">
        <f t="array" ref="X627"> if(iserror(MATCH(V627, 'File Links'!C:C, 0)), "N/A", HYPERLINK(INDEX('File Links'!B:B, MATCH(V627, 'File Links'!C:C, 0))))</f>
        <v>https://drive.google.com/file/d/17sgB6ScmXf8Wli1_dKWf0wpvxkNJRZtC/view?usp=drivesdk</v>
      </c>
      <c r="Y627" s="82"/>
      <c r="Z627" s="76" t="s">
        <v>148</v>
      </c>
      <c r="AA627" s="82" t="s">
        <v>3398</v>
      </c>
      <c r="AB627" s="82" t="s">
        <v>3399</v>
      </c>
      <c r="AC627" s="76" t="s">
        <v>3431</v>
      </c>
      <c r="AD627" s="82"/>
      <c r="AE627" s="635">
        <v>5.0</v>
      </c>
      <c r="AF627" s="635">
        <v>27.0</v>
      </c>
      <c r="AG627" s="82"/>
      <c r="AH627" s="99" t="s">
        <v>134</v>
      </c>
      <c r="AI627" s="923">
        <v>5.0</v>
      </c>
      <c r="AJ627" s="635">
        <v>0.001</v>
      </c>
      <c r="AK627" s="95" t="s">
        <v>135</v>
      </c>
      <c r="AL627" s="76" t="s">
        <v>186</v>
      </c>
      <c r="AM627" s="82" t="s">
        <v>137</v>
      </c>
      <c r="AN627" s="79" t="s">
        <v>138</v>
      </c>
      <c r="AO627" s="635">
        <v>32.0</v>
      </c>
      <c r="AP627" s="82"/>
      <c r="AQ627" s="76" t="s">
        <v>134</v>
      </c>
      <c r="AR627" s="635">
        <v>9.0</v>
      </c>
      <c r="AS627" s="635">
        <v>0.287</v>
      </c>
      <c r="AT627" s="95" t="s">
        <v>172</v>
      </c>
      <c r="AU627" s="95" t="s">
        <v>186</v>
      </c>
      <c r="AV627" s="94" t="s">
        <v>137</v>
      </c>
      <c r="AW627" s="923" t="s">
        <v>138</v>
      </c>
      <c r="AX627" s="94" t="s">
        <v>143</v>
      </c>
      <c r="AY627" s="61" t="str">
        <f>IFERROR(__xludf.DUMMYFUNCTION("vlookup(BB627,importrange(""https://docs.google.com/spreadsheets/d/1d2vevQ_7D_v35q4wCQ4RpQ_IPoTwEMB9Yp6ymwlPqew/edit?gid=984458430#gid=984458430"", ""'replication success'!A:K""), 11, FAlSE)"),"#N/A")</f>
        <v>#N/A</v>
      </c>
      <c r="AZ627" s="61" t="str">
        <f>IFERROR(__xludf.DUMMYFUNCTION("vlookup(BB627,importrange(""https://docs.google.com/spreadsheets/d/1d2vevQ_7D_v35q4wCQ4RpQ_IPoTwEMB9Yp6ymwlPqew/edit?gid=984458430#gid=984458430"", ""'replication success'!A:M""), 12, FAlSE)"),"#N/A")</f>
        <v>#N/A</v>
      </c>
      <c r="BA627" s="61" t="str">
        <f>IFERROR(__xludf.DUMMYFUNCTION("vlookup(BB627,importrange(""https://docs.google.com/spreadsheets/d/1d2vevQ_7D_v35q4wCQ4RpQ_IPoTwEMB9Yp6ymwlPqew/edit?gid=984458430#gid=984458430"", ""'replication success'!A:M""), 13, FAlSE)"),"#N/A")</f>
        <v>#N/A</v>
      </c>
      <c r="BB627" s="61" t="str">
        <f>IFERROR(__xludf.DUMMYFUNCTION("REGEXREPLACE(G627, ""_[a-z]{1,2}$"", """")"),"additional_studies90")</f>
        <v>additional_studies90</v>
      </c>
      <c r="BC627" s="82"/>
      <c r="BD627" s="924" t="s">
        <v>692</v>
      </c>
      <c r="BE627" s="92"/>
      <c r="BF627" s="92"/>
      <c r="BG627" s="92"/>
      <c r="BH627" s="92"/>
      <c r="BI627" s="92"/>
      <c r="BJ627" s="92"/>
      <c r="BK627" s="92"/>
      <c r="BL627" s="92"/>
      <c r="BM627" s="92"/>
      <c r="BN627" s="92"/>
      <c r="BO627" s="92"/>
      <c r="BP627" s="92"/>
      <c r="BQ627" s="92"/>
      <c r="BR627" s="92"/>
      <c r="BS627" s="92"/>
      <c r="BT627" s="92"/>
      <c r="BU627" s="92"/>
      <c r="BV627" s="92"/>
      <c r="BW627" s="92"/>
      <c r="BX627" s="92"/>
      <c r="BY627" s="92"/>
      <c r="BZ627" s="92"/>
      <c r="CA627" s="92"/>
      <c r="CB627" s="92"/>
      <c r="CC627" s="92"/>
      <c r="CD627" s="92"/>
      <c r="CE627" s="92"/>
      <c r="CF627" s="92"/>
      <c r="CG627" s="92"/>
      <c r="CH627" s="92"/>
      <c r="CI627" s="92"/>
      <c r="CJ627" s="92"/>
      <c r="CK627" s="92"/>
      <c r="CL627" s="92"/>
      <c r="CM627" s="92"/>
      <c r="CN627" s="92"/>
      <c r="CO627" s="92"/>
      <c r="CP627" s="92"/>
      <c r="CQ627" s="92"/>
      <c r="CR627" s="92"/>
      <c r="CS627" s="92"/>
      <c r="CT627" s="92"/>
      <c r="CU627" s="92"/>
      <c r="CV627" s="92"/>
      <c r="CW627" s="92"/>
      <c r="CX627" s="92"/>
      <c r="CY627" s="92"/>
      <c r="CZ627" s="92"/>
      <c r="DA627" s="92"/>
      <c r="DB627" s="92"/>
      <c r="DC627" s="92"/>
      <c r="DD627" s="92"/>
      <c r="DE627" s="92"/>
      <c r="DF627" s="92"/>
      <c r="DG627" s="92"/>
      <c r="DH627" s="92"/>
      <c r="DI627" s="92"/>
      <c r="DJ627" s="92"/>
      <c r="DK627" s="92"/>
      <c r="DL627" s="92"/>
    </row>
    <row r="628" ht="20.25" customHeight="1">
      <c r="A628" s="73">
        <v>628.0</v>
      </c>
      <c r="B628" s="93" t="s">
        <v>152</v>
      </c>
      <c r="C628" s="93" t="s">
        <v>115</v>
      </c>
      <c r="D628" s="93" t="s">
        <v>990</v>
      </c>
      <c r="E628" s="92"/>
      <c r="F628" s="94" t="s">
        <v>3391</v>
      </c>
      <c r="G628" s="922" t="s">
        <v>3432</v>
      </c>
      <c r="H628" s="76" t="s">
        <v>144</v>
      </c>
      <c r="I628" s="853">
        <v>45489.0</v>
      </c>
      <c r="J628" s="629">
        <v>45638.0</v>
      </c>
      <c r="K628" s="82"/>
      <c r="L628" s="82"/>
      <c r="M628" s="76" t="s">
        <v>3393</v>
      </c>
      <c r="N628" s="76" t="s">
        <v>3394</v>
      </c>
      <c r="O628" s="635">
        <v>1.0</v>
      </c>
      <c r="P628" s="99" t="s">
        <v>3395</v>
      </c>
      <c r="Q628" s="893" t="str">
        <f t="array" ref="Q628"> if(iserror(MATCH(V628, 'File Links'!C:C, 0)), "N/A", HYPERLINK(INDEX('File Links'!B:B, MATCH(P628, 'File Links'!C:C, 0))))</f>
        <v>https://drive.google.com/file/d/13vglHZTPgv6z9W5xPGWG5OyE_h91M3UK/view?usp=drivesdk</v>
      </c>
      <c r="R628" s="76" t="s">
        <v>3396</v>
      </c>
      <c r="S628" s="76" t="s">
        <v>3397</v>
      </c>
      <c r="T628" s="82"/>
      <c r="U628" s="633">
        <v>1.0</v>
      </c>
      <c r="V628" s="95" t="str">
        <f t="shared" si="36"/>
        <v>10.12688--openreseurope.17749.1.pdf</v>
      </c>
      <c r="W628" s="76" t="s">
        <v>209</v>
      </c>
      <c r="X628" s="894" t="str">
        <f t="array" ref="X628"> if(iserror(MATCH(V628, 'File Links'!C:C, 0)), "N/A", HYPERLINK(INDEX('File Links'!B:B, MATCH(V628, 'File Links'!C:C, 0))))</f>
        <v>https://drive.google.com/file/d/17sgB6ScmXf8Wli1_dKWf0wpvxkNJRZtC/view?usp=drivesdk</v>
      </c>
      <c r="Y628" s="82"/>
      <c r="Z628" s="76" t="s">
        <v>148</v>
      </c>
      <c r="AA628" s="82" t="s">
        <v>3398</v>
      </c>
      <c r="AB628" s="82" t="s">
        <v>3399</v>
      </c>
      <c r="AC628" s="76" t="s">
        <v>3433</v>
      </c>
      <c r="AD628" s="82"/>
      <c r="AE628" s="635">
        <v>5.0</v>
      </c>
      <c r="AF628" s="635">
        <v>27.0</v>
      </c>
      <c r="AG628" s="635">
        <v>9.4</v>
      </c>
      <c r="AH628" s="99" t="s">
        <v>134</v>
      </c>
      <c r="AI628" s="923">
        <v>5.0</v>
      </c>
      <c r="AJ628" s="635">
        <v>0.005</v>
      </c>
      <c r="AK628" s="95" t="s">
        <v>172</v>
      </c>
      <c r="AL628" s="76" t="s">
        <v>186</v>
      </c>
      <c r="AM628" s="82" t="s">
        <v>137</v>
      </c>
      <c r="AN628" s="79" t="s">
        <v>138</v>
      </c>
      <c r="AO628" s="635">
        <v>32.0</v>
      </c>
      <c r="AP628" s="635">
        <v>24.42</v>
      </c>
      <c r="AQ628" s="76" t="s">
        <v>134</v>
      </c>
      <c r="AR628" s="635">
        <v>9.0</v>
      </c>
      <c r="AS628" s="635">
        <v>0.001</v>
      </c>
      <c r="AT628" s="95" t="s">
        <v>135</v>
      </c>
      <c r="AU628" s="95" t="s">
        <v>186</v>
      </c>
      <c r="AV628" s="94" t="s">
        <v>137</v>
      </c>
      <c r="AW628" s="923" t="s">
        <v>138</v>
      </c>
      <c r="AX628" s="94" t="s">
        <v>143</v>
      </c>
      <c r="AY628" s="61" t="str">
        <f>IFERROR(__xludf.DUMMYFUNCTION("vlookup(BB628,importrange(""https://docs.google.com/spreadsheets/d/1d2vevQ_7D_v35q4wCQ4RpQ_IPoTwEMB9Yp6ymwlPqew/edit?gid=984458430#gid=984458430"", ""'replication success'!A:K""), 11, FAlSE)"),"#N/A")</f>
        <v>#N/A</v>
      </c>
      <c r="AZ628" s="61" t="str">
        <f>IFERROR(__xludf.DUMMYFUNCTION("vlookup(BB628,importrange(""https://docs.google.com/spreadsheets/d/1d2vevQ_7D_v35q4wCQ4RpQ_IPoTwEMB9Yp6ymwlPqew/edit?gid=984458430#gid=984458430"", ""'replication success'!A:M""), 12, FAlSE)"),"#N/A")</f>
        <v>#N/A</v>
      </c>
      <c r="BA628" s="61" t="str">
        <f>IFERROR(__xludf.DUMMYFUNCTION("vlookup(BB628,importrange(""https://docs.google.com/spreadsheets/d/1d2vevQ_7D_v35q4wCQ4RpQ_IPoTwEMB9Yp6ymwlPqew/edit?gid=984458430#gid=984458430"", ""'replication success'!A:M""), 13, FAlSE)"),"#N/A")</f>
        <v>#N/A</v>
      </c>
      <c r="BB628" s="61" t="str">
        <f>IFERROR(__xludf.DUMMYFUNCTION("REGEXREPLACE(G628, ""_[a-z]{1,2}$"", """")"),"additional_studies90")</f>
        <v>additional_studies90</v>
      </c>
      <c r="BC628" s="82"/>
      <c r="BD628" s="924" t="s">
        <v>692</v>
      </c>
      <c r="BE628" s="92"/>
      <c r="BF628" s="92"/>
      <c r="BG628" s="92"/>
      <c r="BH628" s="92"/>
      <c r="BI628" s="92"/>
      <c r="BJ628" s="92"/>
      <c r="BK628" s="92"/>
      <c r="BL628" s="92"/>
      <c r="BM628" s="92"/>
      <c r="BN628" s="92"/>
      <c r="BO628" s="92"/>
      <c r="BP628" s="92"/>
      <c r="BQ628" s="92"/>
      <c r="BR628" s="92"/>
      <c r="BS628" s="92"/>
      <c r="BT628" s="92"/>
      <c r="BU628" s="92"/>
      <c r="BV628" s="92"/>
      <c r="BW628" s="92"/>
      <c r="BX628" s="92"/>
      <c r="BY628" s="92"/>
      <c r="BZ628" s="92"/>
      <c r="CA628" s="92"/>
      <c r="CB628" s="92"/>
      <c r="CC628" s="92"/>
      <c r="CD628" s="92"/>
      <c r="CE628" s="92"/>
      <c r="CF628" s="92"/>
      <c r="CG628" s="92"/>
      <c r="CH628" s="92"/>
      <c r="CI628" s="92"/>
      <c r="CJ628" s="92"/>
      <c r="CK628" s="92"/>
      <c r="CL628" s="92"/>
      <c r="CM628" s="92"/>
      <c r="CN628" s="92"/>
      <c r="CO628" s="92"/>
      <c r="CP628" s="92"/>
      <c r="CQ628" s="92"/>
      <c r="CR628" s="92"/>
      <c r="CS628" s="92"/>
      <c r="CT628" s="92"/>
      <c r="CU628" s="92"/>
      <c r="CV628" s="92"/>
      <c r="CW628" s="92"/>
      <c r="CX628" s="92"/>
      <c r="CY628" s="92"/>
      <c r="CZ628" s="92"/>
      <c r="DA628" s="92"/>
      <c r="DB628" s="92"/>
      <c r="DC628" s="92"/>
      <c r="DD628" s="92"/>
      <c r="DE628" s="92"/>
      <c r="DF628" s="92"/>
      <c r="DG628" s="92"/>
      <c r="DH628" s="92"/>
      <c r="DI628" s="92"/>
      <c r="DJ628" s="92"/>
      <c r="DK628" s="92"/>
      <c r="DL628" s="92"/>
    </row>
    <row r="629" ht="20.25" customHeight="1">
      <c r="A629" s="73">
        <v>629.0</v>
      </c>
      <c r="B629" s="93" t="s">
        <v>152</v>
      </c>
      <c r="C629" s="93" t="s">
        <v>115</v>
      </c>
      <c r="D629" s="93" t="s">
        <v>990</v>
      </c>
      <c r="E629" s="92"/>
      <c r="F629" s="94" t="s">
        <v>3391</v>
      </c>
      <c r="G629" s="922" t="s">
        <v>3434</v>
      </c>
      <c r="H629" s="76" t="s">
        <v>144</v>
      </c>
      <c r="I629" s="853">
        <v>45489.0</v>
      </c>
      <c r="J629" s="629">
        <v>45638.0</v>
      </c>
      <c r="K629" s="82"/>
      <c r="L629" s="82"/>
      <c r="M629" s="76" t="s">
        <v>3393</v>
      </c>
      <c r="N629" s="76" t="s">
        <v>3394</v>
      </c>
      <c r="O629" s="635">
        <v>1.0</v>
      </c>
      <c r="P629" s="99" t="s">
        <v>3395</v>
      </c>
      <c r="Q629" s="893" t="str">
        <f t="array" ref="Q629"> if(iserror(MATCH(V629, 'File Links'!C:C, 0)), "N/A", HYPERLINK(INDEX('File Links'!B:B, MATCH(P629, 'File Links'!C:C, 0))))</f>
        <v>https://drive.google.com/file/d/13vglHZTPgv6z9W5xPGWG5OyE_h91M3UK/view?usp=drivesdk</v>
      </c>
      <c r="R629" s="76" t="s">
        <v>3396</v>
      </c>
      <c r="S629" s="76" t="s">
        <v>3397</v>
      </c>
      <c r="T629" s="82"/>
      <c r="U629" s="633">
        <v>1.0</v>
      </c>
      <c r="V629" s="95" t="str">
        <f t="shared" si="36"/>
        <v>10.12688--openreseurope.17749.1.pdf</v>
      </c>
      <c r="W629" s="76" t="s">
        <v>209</v>
      </c>
      <c r="X629" s="894" t="str">
        <f t="array" ref="X629"> if(iserror(MATCH(V629, 'File Links'!C:C, 0)), "N/A", HYPERLINK(INDEX('File Links'!B:B, MATCH(V629, 'File Links'!C:C, 0))))</f>
        <v>https://drive.google.com/file/d/17sgB6ScmXf8Wli1_dKWf0wpvxkNJRZtC/view?usp=drivesdk</v>
      </c>
      <c r="Y629" s="82"/>
      <c r="Z629" s="76" t="s">
        <v>148</v>
      </c>
      <c r="AA629" s="82" t="s">
        <v>3398</v>
      </c>
      <c r="AB629" s="82" t="s">
        <v>3399</v>
      </c>
      <c r="AC629" s="76" t="s">
        <v>3435</v>
      </c>
      <c r="AD629" s="82"/>
      <c r="AE629" s="635">
        <v>5.0</v>
      </c>
      <c r="AF629" s="635">
        <v>27.0</v>
      </c>
      <c r="AG629" s="635">
        <v>24.91</v>
      </c>
      <c r="AH629" s="99" t="s">
        <v>134</v>
      </c>
      <c r="AI629" s="923">
        <v>5.0</v>
      </c>
      <c r="AJ629" s="635">
        <v>0.001</v>
      </c>
      <c r="AK629" s="95" t="s">
        <v>135</v>
      </c>
      <c r="AL629" s="76" t="s">
        <v>186</v>
      </c>
      <c r="AM629" s="82" t="s">
        <v>137</v>
      </c>
      <c r="AN629" s="79" t="s">
        <v>138</v>
      </c>
      <c r="AO629" s="635">
        <v>32.0</v>
      </c>
      <c r="AP629" s="635">
        <v>49.99</v>
      </c>
      <c r="AQ629" s="76" t="s">
        <v>134</v>
      </c>
      <c r="AR629" s="635">
        <v>9.0</v>
      </c>
      <c r="AS629" s="635">
        <v>0.001</v>
      </c>
      <c r="AT629" s="95" t="s">
        <v>135</v>
      </c>
      <c r="AU629" s="95" t="s">
        <v>186</v>
      </c>
      <c r="AV629" s="94" t="s">
        <v>137</v>
      </c>
      <c r="AW629" s="923" t="s">
        <v>138</v>
      </c>
      <c r="AX629" s="94" t="s">
        <v>143</v>
      </c>
      <c r="AY629" s="61" t="str">
        <f>IFERROR(__xludf.DUMMYFUNCTION("vlookup(BB629,importrange(""https://docs.google.com/spreadsheets/d/1d2vevQ_7D_v35q4wCQ4RpQ_IPoTwEMB9Yp6ymwlPqew/edit?gid=984458430#gid=984458430"", ""'replication success'!A:K""), 11, FAlSE)"),"#N/A")</f>
        <v>#N/A</v>
      </c>
      <c r="AZ629" s="61" t="str">
        <f>IFERROR(__xludf.DUMMYFUNCTION("vlookup(BB629,importrange(""https://docs.google.com/spreadsheets/d/1d2vevQ_7D_v35q4wCQ4RpQ_IPoTwEMB9Yp6ymwlPqew/edit?gid=984458430#gid=984458430"", ""'replication success'!A:M""), 12, FAlSE)"),"#N/A")</f>
        <v>#N/A</v>
      </c>
      <c r="BA629" s="61" t="str">
        <f>IFERROR(__xludf.DUMMYFUNCTION("vlookup(BB629,importrange(""https://docs.google.com/spreadsheets/d/1d2vevQ_7D_v35q4wCQ4RpQ_IPoTwEMB9Yp6ymwlPqew/edit?gid=984458430#gid=984458430"", ""'replication success'!A:M""), 13, FAlSE)"),"#N/A")</f>
        <v>#N/A</v>
      </c>
      <c r="BB629" s="61" t="str">
        <f>IFERROR(__xludf.DUMMYFUNCTION("REGEXREPLACE(G629, ""_[a-z]{1,2}$"", """")"),"additional_studies90")</f>
        <v>additional_studies90</v>
      </c>
      <c r="BC629" s="82"/>
      <c r="BD629" s="924" t="s">
        <v>692</v>
      </c>
      <c r="BE629" s="92"/>
      <c r="BF629" s="92"/>
      <c r="BG629" s="92"/>
      <c r="BH629" s="92"/>
      <c r="BI629" s="92"/>
      <c r="BJ629" s="92"/>
      <c r="BK629" s="92"/>
      <c r="BL629" s="92"/>
      <c r="BM629" s="92"/>
      <c r="BN629" s="92"/>
      <c r="BO629" s="92"/>
      <c r="BP629" s="92"/>
      <c r="BQ629" s="92"/>
      <c r="BR629" s="92"/>
      <c r="BS629" s="92"/>
      <c r="BT629" s="92"/>
      <c r="BU629" s="92"/>
      <c r="BV629" s="92"/>
      <c r="BW629" s="92"/>
      <c r="BX629" s="92"/>
      <c r="BY629" s="92"/>
      <c r="BZ629" s="92"/>
      <c r="CA629" s="92"/>
      <c r="CB629" s="92"/>
      <c r="CC629" s="92"/>
      <c r="CD629" s="92"/>
      <c r="CE629" s="92"/>
      <c r="CF629" s="92"/>
      <c r="CG629" s="92"/>
      <c r="CH629" s="92"/>
      <c r="CI629" s="92"/>
      <c r="CJ629" s="92"/>
      <c r="CK629" s="92"/>
      <c r="CL629" s="92"/>
      <c r="CM629" s="92"/>
      <c r="CN629" s="92"/>
      <c r="CO629" s="92"/>
      <c r="CP629" s="92"/>
      <c r="CQ629" s="92"/>
      <c r="CR629" s="92"/>
      <c r="CS629" s="92"/>
      <c r="CT629" s="92"/>
      <c r="CU629" s="92"/>
      <c r="CV629" s="92"/>
      <c r="CW629" s="92"/>
      <c r="CX629" s="92"/>
      <c r="CY629" s="92"/>
      <c r="CZ629" s="92"/>
      <c r="DA629" s="92"/>
      <c r="DB629" s="92"/>
      <c r="DC629" s="92"/>
      <c r="DD629" s="92"/>
      <c r="DE629" s="92"/>
      <c r="DF629" s="92"/>
      <c r="DG629" s="92"/>
      <c r="DH629" s="92"/>
      <c r="DI629" s="92"/>
      <c r="DJ629" s="92"/>
      <c r="DK629" s="92"/>
      <c r="DL629" s="92"/>
    </row>
    <row r="630" ht="20.25" customHeight="1">
      <c r="A630" s="73">
        <v>630.0</v>
      </c>
      <c r="B630" s="93" t="s">
        <v>152</v>
      </c>
      <c r="C630" s="93" t="s">
        <v>115</v>
      </c>
      <c r="D630" s="93" t="s">
        <v>990</v>
      </c>
      <c r="E630" s="92"/>
      <c r="F630" s="94" t="s">
        <v>3391</v>
      </c>
      <c r="G630" s="922" t="s">
        <v>3436</v>
      </c>
      <c r="H630" s="76" t="s">
        <v>144</v>
      </c>
      <c r="I630" s="853">
        <v>45489.0</v>
      </c>
      <c r="J630" s="629">
        <v>45638.0</v>
      </c>
      <c r="K630" s="82"/>
      <c r="L630" s="82"/>
      <c r="M630" s="76" t="s">
        <v>3393</v>
      </c>
      <c r="N630" s="76" t="s">
        <v>3394</v>
      </c>
      <c r="O630" s="635">
        <v>1.0</v>
      </c>
      <c r="P630" s="99" t="s">
        <v>3395</v>
      </c>
      <c r="Q630" s="893" t="str">
        <f t="array" ref="Q630"> if(iserror(MATCH(V630, 'File Links'!C:C, 0)), "N/A", HYPERLINK(INDEX('File Links'!B:B, MATCH(P630, 'File Links'!C:C, 0))))</f>
        <v>https://drive.google.com/file/d/13vglHZTPgv6z9W5xPGWG5OyE_h91M3UK/view?usp=drivesdk</v>
      </c>
      <c r="R630" s="76" t="s">
        <v>3396</v>
      </c>
      <c r="S630" s="76" t="s">
        <v>3397</v>
      </c>
      <c r="T630" s="82"/>
      <c r="U630" s="633">
        <v>1.0</v>
      </c>
      <c r="V630" s="95" t="str">
        <f t="shared" si="36"/>
        <v>10.12688--openreseurope.17749.1.pdf</v>
      </c>
      <c r="W630" s="76" t="s">
        <v>209</v>
      </c>
      <c r="X630" s="894" t="str">
        <f t="array" ref="X630"> if(iserror(MATCH(V630, 'File Links'!C:C, 0)), "N/A", HYPERLINK(INDEX('File Links'!B:B, MATCH(V630, 'File Links'!C:C, 0))))</f>
        <v>https://drive.google.com/file/d/17sgB6ScmXf8Wli1_dKWf0wpvxkNJRZtC/view?usp=drivesdk</v>
      </c>
      <c r="Y630" s="82"/>
      <c r="Z630" s="76" t="s">
        <v>148</v>
      </c>
      <c r="AA630" s="82" t="s">
        <v>3398</v>
      </c>
      <c r="AB630" s="82" t="s">
        <v>3399</v>
      </c>
      <c r="AC630" s="76" t="s">
        <v>3437</v>
      </c>
      <c r="AD630" s="82"/>
      <c r="AE630" s="635">
        <v>5.0</v>
      </c>
      <c r="AF630" s="635">
        <v>27.0</v>
      </c>
      <c r="AG630" s="635">
        <v>51.07</v>
      </c>
      <c r="AH630" s="99" t="s">
        <v>134</v>
      </c>
      <c r="AI630" s="923">
        <v>5.0</v>
      </c>
      <c r="AJ630" s="635">
        <v>0.001</v>
      </c>
      <c r="AK630" s="95" t="s">
        <v>135</v>
      </c>
      <c r="AL630" s="76" t="s">
        <v>186</v>
      </c>
      <c r="AM630" s="82" t="s">
        <v>137</v>
      </c>
      <c r="AN630" s="79" t="s">
        <v>138</v>
      </c>
      <c r="AO630" s="635">
        <v>32.0</v>
      </c>
      <c r="AP630" s="635">
        <v>53.18</v>
      </c>
      <c r="AQ630" s="76" t="s">
        <v>134</v>
      </c>
      <c r="AR630" s="635">
        <v>9.0</v>
      </c>
      <c r="AS630" s="635">
        <v>0.001</v>
      </c>
      <c r="AT630" s="95" t="s">
        <v>135</v>
      </c>
      <c r="AU630" s="95" t="s">
        <v>186</v>
      </c>
      <c r="AV630" s="94" t="s">
        <v>137</v>
      </c>
      <c r="AW630" s="923" t="s">
        <v>138</v>
      </c>
      <c r="AX630" s="94" t="s">
        <v>143</v>
      </c>
      <c r="AY630" s="61" t="str">
        <f>IFERROR(__xludf.DUMMYFUNCTION("vlookup(BB630,importrange(""https://docs.google.com/spreadsheets/d/1d2vevQ_7D_v35q4wCQ4RpQ_IPoTwEMB9Yp6ymwlPqew/edit?gid=984458430#gid=984458430"", ""'replication success'!A:K""), 11, FAlSE)"),"#N/A")</f>
        <v>#N/A</v>
      </c>
      <c r="AZ630" s="61" t="str">
        <f>IFERROR(__xludf.DUMMYFUNCTION("vlookup(BB630,importrange(""https://docs.google.com/spreadsheets/d/1d2vevQ_7D_v35q4wCQ4RpQ_IPoTwEMB9Yp6ymwlPqew/edit?gid=984458430#gid=984458430"", ""'replication success'!A:M""), 12, FAlSE)"),"#N/A")</f>
        <v>#N/A</v>
      </c>
      <c r="BA630" s="61" t="str">
        <f>IFERROR(__xludf.DUMMYFUNCTION("vlookup(BB630,importrange(""https://docs.google.com/spreadsheets/d/1d2vevQ_7D_v35q4wCQ4RpQ_IPoTwEMB9Yp6ymwlPqew/edit?gid=984458430#gid=984458430"", ""'replication success'!A:M""), 13, FAlSE)"),"#N/A")</f>
        <v>#N/A</v>
      </c>
      <c r="BB630" s="61" t="str">
        <f>IFERROR(__xludf.DUMMYFUNCTION("REGEXREPLACE(G630, ""_[a-z]{1,2}$"", """")"),"additional_studies90")</f>
        <v>additional_studies90</v>
      </c>
      <c r="BC630" s="82"/>
      <c r="BD630" s="924" t="s">
        <v>692</v>
      </c>
      <c r="BE630" s="92"/>
      <c r="BF630" s="92"/>
      <c r="BG630" s="92"/>
      <c r="BH630" s="92"/>
      <c r="BI630" s="92"/>
      <c r="BJ630" s="92"/>
      <c r="BK630" s="92"/>
      <c r="BL630" s="92"/>
      <c r="BM630" s="92"/>
      <c r="BN630" s="92"/>
      <c r="BO630" s="92"/>
      <c r="BP630" s="92"/>
      <c r="BQ630" s="92"/>
      <c r="BR630" s="92"/>
      <c r="BS630" s="92"/>
      <c r="BT630" s="92"/>
      <c r="BU630" s="92"/>
      <c r="BV630" s="92"/>
      <c r="BW630" s="92"/>
      <c r="BX630" s="92"/>
      <c r="BY630" s="92"/>
      <c r="BZ630" s="92"/>
      <c r="CA630" s="92"/>
      <c r="CB630" s="92"/>
      <c r="CC630" s="92"/>
      <c r="CD630" s="92"/>
      <c r="CE630" s="92"/>
      <c r="CF630" s="92"/>
      <c r="CG630" s="92"/>
      <c r="CH630" s="92"/>
      <c r="CI630" s="92"/>
      <c r="CJ630" s="92"/>
      <c r="CK630" s="92"/>
      <c r="CL630" s="92"/>
      <c r="CM630" s="92"/>
      <c r="CN630" s="92"/>
      <c r="CO630" s="92"/>
      <c r="CP630" s="92"/>
      <c r="CQ630" s="92"/>
      <c r="CR630" s="92"/>
      <c r="CS630" s="92"/>
      <c r="CT630" s="92"/>
      <c r="CU630" s="92"/>
      <c r="CV630" s="92"/>
      <c r="CW630" s="92"/>
      <c r="CX630" s="92"/>
      <c r="CY630" s="92"/>
      <c r="CZ630" s="92"/>
      <c r="DA630" s="92"/>
      <c r="DB630" s="92"/>
      <c r="DC630" s="92"/>
      <c r="DD630" s="92"/>
      <c r="DE630" s="92"/>
      <c r="DF630" s="92"/>
      <c r="DG630" s="92"/>
      <c r="DH630" s="92"/>
      <c r="DI630" s="92"/>
      <c r="DJ630" s="92"/>
      <c r="DK630" s="92"/>
      <c r="DL630" s="92"/>
    </row>
    <row r="631" ht="20.25" customHeight="1">
      <c r="A631" s="808">
        <v>631.0</v>
      </c>
      <c r="B631" s="467" t="s">
        <v>152</v>
      </c>
      <c r="C631" s="467" t="s">
        <v>115</v>
      </c>
      <c r="D631" s="467" t="s">
        <v>990</v>
      </c>
      <c r="E631" s="468"/>
      <c r="F631" s="482" t="s">
        <v>3391</v>
      </c>
      <c r="G631" s="925" t="s">
        <v>3438</v>
      </c>
      <c r="H631" s="470" t="s">
        <v>144</v>
      </c>
      <c r="I631" s="471">
        <v>45489.0</v>
      </c>
      <c r="J631" s="784">
        <v>45638.0</v>
      </c>
      <c r="K631" s="476"/>
      <c r="L631" s="476"/>
      <c r="M631" s="470" t="s">
        <v>3393</v>
      </c>
      <c r="N631" s="470" t="s">
        <v>3394</v>
      </c>
      <c r="O631" s="479">
        <v>1.0</v>
      </c>
      <c r="P631" s="475" t="s">
        <v>3395</v>
      </c>
      <c r="Q631" s="927" t="str">
        <f t="array" ref="Q631"> if(iserror(MATCH(V631, 'File Links'!C:C, 0)), "N/A", HYPERLINK(INDEX('File Links'!B:B, MATCH(P631, 'File Links'!C:C, 0))))</f>
        <v>https://drive.google.com/file/d/13vglHZTPgv6z9W5xPGWG5OyE_h91M3UK/view?usp=drivesdk</v>
      </c>
      <c r="R631" s="470" t="s">
        <v>3396</v>
      </c>
      <c r="S631" s="470" t="s">
        <v>3397</v>
      </c>
      <c r="T631" s="476"/>
      <c r="U631" s="930">
        <v>1.0</v>
      </c>
      <c r="V631" s="469" t="str">
        <f t="shared" si="36"/>
        <v>10.12688--openreseurope.17749.1.pdf</v>
      </c>
      <c r="W631" s="470" t="s">
        <v>209</v>
      </c>
      <c r="X631" s="928" t="str">
        <f t="array" ref="X631"> if(iserror(MATCH(V631, 'File Links'!C:C, 0)), "N/A", HYPERLINK(INDEX('File Links'!B:B, MATCH(V631, 'File Links'!C:C, 0))))</f>
        <v>https://drive.google.com/file/d/17sgB6ScmXf8Wli1_dKWf0wpvxkNJRZtC/view?usp=drivesdk</v>
      </c>
      <c r="Y631" s="476"/>
      <c r="Z631" s="470" t="s">
        <v>148</v>
      </c>
      <c r="AA631" s="476" t="s">
        <v>3398</v>
      </c>
      <c r="AB631" s="476" t="s">
        <v>3399</v>
      </c>
      <c r="AC631" s="470" t="s">
        <v>3439</v>
      </c>
      <c r="AD631" s="476"/>
      <c r="AE631" s="479">
        <v>5.0</v>
      </c>
      <c r="AF631" s="479">
        <v>27.0</v>
      </c>
      <c r="AG631" s="929" t="s">
        <v>138</v>
      </c>
      <c r="AH631" s="475" t="s">
        <v>134</v>
      </c>
      <c r="AI631" s="929">
        <v>5.0</v>
      </c>
      <c r="AJ631" s="479">
        <v>0.001</v>
      </c>
      <c r="AK631" s="469" t="s">
        <v>135</v>
      </c>
      <c r="AL631" s="470" t="s">
        <v>186</v>
      </c>
      <c r="AM631" s="476" t="s">
        <v>137</v>
      </c>
      <c r="AN631" s="474" t="s">
        <v>138</v>
      </c>
      <c r="AO631" s="479">
        <v>32.0</v>
      </c>
      <c r="AP631" s="476"/>
      <c r="AQ631" s="470" t="s">
        <v>134</v>
      </c>
      <c r="AR631" s="479">
        <v>9.0</v>
      </c>
      <c r="AS631" s="479">
        <v>0.001</v>
      </c>
      <c r="AT631" s="469" t="s">
        <v>135</v>
      </c>
      <c r="AU631" s="469" t="s">
        <v>186</v>
      </c>
      <c r="AV631" s="482" t="s">
        <v>137</v>
      </c>
      <c r="AW631" s="923" t="s">
        <v>138</v>
      </c>
      <c r="AX631" s="482" t="s">
        <v>143</v>
      </c>
      <c r="AY631" s="61" t="str">
        <f>IFERROR(__xludf.DUMMYFUNCTION("vlookup(BB631,importrange(""https://docs.google.com/spreadsheets/d/1d2vevQ_7D_v35q4wCQ4RpQ_IPoTwEMB9Yp6ymwlPqew/edit?gid=984458430#gid=984458430"", ""'replication success'!A:K""), 11, FAlSE)"),"#N/A")</f>
        <v>#N/A</v>
      </c>
      <c r="AZ631" s="61" t="str">
        <f>IFERROR(__xludf.DUMMYFUNCTION("vlookup(BB631,importrange(""https://docs.google.com/spreadsheets/d/1d2vevQ_7D_v35q4wCQ4RpQ_IPoTwEMB9Yp6ymwlPqew/edit?gid=984458430#gid=984458430"", ""'replication success'!A:M""), 12, FAlSE)"),"#N/A")</f>
        <v>#N/A</v>
      </c>
      <c r="BA631" s="61" t="str">
        <f>IFERROR(__xludf.DUMMYFUNCTION("vlookup(BB631,importrange(""https://docs.google.com/spreadsheets/d/1d2vevQ_7D_v35q4wCQ4RpQ_IPoTwEMB9Yp6ymwlPqew/edit?gid=984458430#gid=984458430"", ""'replication success'!A:M""), 13, FAlSE)"),"#N/A")</f>
        <v>#N/A</v>
      </c>
      <c r="BB631" s="61" t="str">
        <f>IFERROR(__xludf.DUMMYFUNCTION("REGEXREPLACE(G631, ""_[a-z]{1,2}$"", """")"),"additional_studies90")</f>
        <v>additional_studies90</v>
      </c>
      <c r="BC631" s="476"/>
      <c r="BD631" s="924" t="s">
        <v>692</v>
      </c>
      <c r="BE631" s="468"/>
      <c r="BF631" s="468"/>
      <c r="BG631" s="468"/>
      <c r="BH631" s="468"/>
      <c r="BI631" s="468"/>
      <c r="BJ631" s="468"/>
      <c r="BK631" s="468"/>
      <c r="BL631" s="468"/>
      <c r="BM631" s="468"/>
      <c r="BN631" s="468"/>
      <c r="BO631" s="468"/>
      <c r="BP631" s="468"/>
      <c r="BQ631" s="468"/>
      <c r="BR631" s="468"/>
      <c r="BS631" s="468"/>
      <c r="BT631" s="468"/>
      <c r="BU631" s="468"/>
      <c r="BV631" s="468"/>
      <c r="BW631" s="468"/>
      <c r="BX631" s="468"/>
      <c r="BY631" s="468"/>
      <c r="BZ631" s="468"/>
      <c r="CA631" s="468"/>
      <c r="CB631" s="468"/>
      <c r="CC631" s="468"/>
      <c r="CD631" s="468"/>
      <c r="CE631" s="468"/>
      <c r="CF631" s="468"/>
      <c r="CG631" s="468"/>
      <c r="CH631" s="468"/>
      <c r="CI631" s="468"/>
      <c r="CJ631" s="468"/>
      <c r="CK631" s="468"/>
      <c r="CL631" s="468"/>
      <c r="CM631" s="468"/>
      <c r="CN631" s="468"/>
      <c r="CO631" s="468"/>
      <c r="CP631" s="468"/>
      <c r="CQ631" s="468"/>
      <c r="CR631" s="468"/>
      <c r="CS631" s="468"/>
      <c r="CT631" s="468"/>
      <c r="CU631" s="468"/>
      <c r="CV631" s="468"/>
      <c r="CW631" s="468"/>
      <c r="CX631" s="468"/>
      <c r="CY631" s="468"/>
      <c r="CZ631" s="468"/>
      <c r="DA631" s="468"/>
      <c r="DB631" s="468"/>
      <c r="DC631" s="468"/>
      <c r="DD631" s="468"/>
      <c r="DE631" s="468"/>
      <c r="DF631" s="468"/>
      <c r="DG631" s="468"/>
      <c r="DH631" s="468"/>
      <c r="DI631" s="468"/>
      <c r="DJ631" s="468"/>
      <c r="DK631" s="468"/>
      <c r="DL631" s="468"/>
    </row>
    <row r="632" ht="20.25" customHeight="1">
      <c r="A632" s="73">
        <v>632.0</v>
      </c>
      <c r="B632" s="93" t="s">
        <v>152</v>
      </c>
      <c r="C632" s="93" t="s">
        <v>115</v>
      </c>
      <c r="D632" s="93" t="s">
        <v>990</v>
      </c>
      <c r="E632" s="92"/>
      <c r="F632" s="94" t="s">
        <v>3391</v>
      </c>
      <c r="G632" s="922" t="s">
        <v>3440</v>
      </c>
      <c r="H632" s="76" t="s">
        <v>144</v>
      </c>
      <c r="I632" s="853">
        <v>45489.0</v>
      </c>
      <c r="J632" s="629">
        <v>45638.0</v>
      </c>
      <c r="K632" s="82"/>
      <c r="L632" s="82"/>
      <c r="M632" s="76" t="s">
        <v>3393</v>
      </c>
      <c r="N632" s="76" t="s">
        <v>3394</v>
      </c>
      <c r="O632" s="635">
        <v>1.0</v>
      </c>
      <c r="P632" s="931" t="s">
        <v>3395</v>
      </c>
      <c r="Q632" s="893" t="str">
        <f t="array" ref="Q632"> if(iserror(MATCH(V632, 'File Links'!C:C, 0)), "N/A", HYPERLINK(INDEX('File Links'!B:B, MATCH(P632, 'File Links'!C:C, 0))))</f>
        <v>https://drive.google.com/file/d/13vglHZTPgv6z9W5xPGWG5OyE_h91M3UK/view?usp=drivesdk</v>
      </c>
      <c r="R632" s="76" t="s">
        <v>3396</v>
      </c>
      <c r="S632" s="76" t="s">
        <v>3397</v>
      </c>
      <c r="T632" s="82"/>
      <c r="U632" s="633">
        <v>1.0</v>
      </c>
      <c r="V632" s="95" t="str">
        <f t="shared" si="36"/>
        <v>10.12688--openreseurope.17749.1.pdf</v>
      </c>
      <c r="W632" s="76" t="s">
        <v>209</v>
      </c>
      <c r="X632" s="894" t="str">
        <f t="array" ref="X632"> if(iserror(MATCH(V632, 'File Links'!C:C, 0)), "N/A", HYPERLINK(INDEX('File Links'!B:B, MATCH(V632, 'File Links'!C:C, 0))))</f>
        <v>https://drive.google.com/file/d/17sgB6ScmXf8Wli1_dKWf0wpvxkNJRZtC/view?usp=drivesdk</v>
      </c>
      <c r="Y632" s="82"/>
      <c r="Z632" s="76" t="s">
        <v>148</v>
      </c>
      <c r="AA632" s="82" t="s">
        <v>3398</v>
      </c>
      <c r="AB632" s="82" t="s">
        <v>3399</v>
      </c>
      <c r="AC632" s="76" t="s">
        <v>3441</v>
      </c>
      <c r="AD632" s="82"/>
      <c r="AE632" s="635">
        <v>5.0</v>
      </c>
      <c r="AF632" s="635">
        <v>27.0</v>
      </c>
      <c r="AG632" s="635">
        <v>9.2</v>
      </c>
      <c r="AH632" s="99" t="s">
        <v>134</v>
      </c>
      <c r="AI632" s="923">
        <v>5.0</v>
      </c>
      <c r="AJ632" s="635">
        <v>0.005</v>
      </c>
      <c r="AK632" s="95" t="s">
        <v>172</v>
      </c>
      <c r="AL632" s="76" t="s">
        <v>186</v>
      </c>
      <c r="AM632" s="82" t="s">
        <v>137</v>
      </c>
      <c r="AN632" s="79" t="s">
        <v>138</v>
      </c>
      <c r="AO632" s="635">
        <v>32.0</v>
      </c>
      <c r="AP632" s="635">
        <v>9.46</v>
      </c>
      <c r="AQ632" s="76" t="s">
        <v>134</v>
      </c>
      <c r="AR632" s="635">
        <v>9.0</v>
      </c>
      <c r="AS632" s="635">
        <v>0.001</v>
      </c>
      <c r="AT632" s="95" t="s">
        <v>135</v>
      </c>
      <c r="AU632" s="95" t="s">
        <v>186</v>
      </c>
      <c r="AV632" s="94" t="s">
        <v>137</v>
      </c>
      <c r="AW632" s="923" t="s">
        <v>138</v>
      </c>
      <c r="AX632" s="94" t="s">
        <v>143</v>
      </c>
      <c r="AY632" s="61" t="str">
        <f>IFERROR(__xludf.DUMMYFUNCTION("vlookup(BB632,importrange(""https://docs.google.com/spreadsheets/d/1d2vevQ_7D_v35q4wCQ4RpQ_IPoTwEMB9Yp6ymwlPqew/edit?gid=984458430#gid=984458430"", ""'replication success'!A:K""), 11, FAlSE)"),"#N/A")</f>
        <v>#N/A</v>
      </c>
      <c r="AZ632" s="61" t="str">
        <f>IFERROR(__xludf.DUMMYFUNCTION("vlookup(BB632,importrange(""https://docs.google.com/spreadsheets/d/1d2vevQ_7D_v35q4wCQ4RpQ_IPoTwEMB9Yp6ymwlPqew/edit?gid=984458430#gid=984458430"", ""'replication success'!A:M""), 12, FAlSE)"),"#N/A")</f>
        <v>#N/A</v>
      </c>
      <c r="BA632" s="61" t="str">
        <f>IFERROR(__xludf.DUMMYFUNCTION("vlookup(BB632,importrange(""https://docs.google.com/spreadsheets/d/1d2vevQ_7D_v35q4wCQ4RpQ_IPoTwEMB9Yp6ymwlPqew/edit?gid=984458430#gid=984458430"", ""'replication success'!A:M""), 13, FAlSE)"),"#N/A")</f>
        <v>#N/A</v>
      </c>
      <c r="BB632" s="61" t="str">
        <f>IFERROR(__xludf.DUMMYFUNCTION("REGEXREPLACE(G632, ""_[a-z]{1,2}$"", """")"),"additional_studies90")</f>
        <v>additional_studies90</v>
      </c>
      <c r="BC632" s="82"/>
      <c r="BD632" s="924" t="s">
        <v>692</v>
      </c>
      <c r="BE632" s="92"/>
      <c r="BF632" s="92"/>
      <c r="BG632" s="92"/>
      <c r="BH632" s="92"/>
      <c r="BI632" s="92"/>
      <c r="BJ632" s="92"/>
      <c r="BK632" s="92"/>
      <c r="BL632" s="92"/>
      <c r="BM632" s="92"/>
      <c r="BN632" s="92"/>
      <c r="BO632" s="92"/>
      <c r="BP632" s="92"/>
      <c r="BQ632" s="92"/>
      <c r="BR632" s="92"/>
      <c r="BS632" s="92"/>
      <c r="BT632" s="92"/>
      <c r="BU632" s="92"/>
      <c r="BV632" s="92"/>
      <c r="BW632" s="92"/>
      <c r="BX632" s="92"/>
      <c r="BY632" s="92"/>
      <c r="BZ632" s="92"/>
      <c r="CA632" s="92"/>
      <c r="CB632" s="92"/>
      <c r="CC632" s="92"/>
      <c r="CD632" s="92"/>
      <c r="CE632" s="92"/>
      <c r="CF632" s="92"/>
      <c r="CG632" s="92"/>
      <c r="CH632" s="92"/>
      <c r="CI632" s="92"/>
      <c r="CJ632" s="92"/>
      <c r="CK632" s="92"/>
      <c r="CL632" s="92"/>
      <c r="CM632" s="92"/>
      <c r="CN632" s="92"/>
      <c r="CO632" s="92"/>
      <c r="CP632" s="92"/>
      <c r="CQ632" s="92"/>
      <c r="CR632" s="92"/>
      <c r="CS632" s="92"/>
      <c r="CT632" s="92"/>
      <c r="CU632" s="92"/>
      <c r="CV632" s="92"/>
      <c r="CW632" s="92"/>
      <c r="CX632" s="92"/>
      <c r="CY632" s="92"/>
      <c r="CZ632" s="92"/>
      <c r="DA632" s="92"/>
      <c r="DB632" s="92"/>
      <c r="DC632" s="92"/>
      <c r="DD632" s="92"/>
      <c r="DE632" s="92"/>
      <c r="DF632" s="92"/>
      <c r="DG632" s="92"/>
      <c r="DH632" s="92"/>
      <c r="DI632" s="92"/>
      <c r="DJ632" s="92"/>
      <c r="DK632" s="92"/>
      <c r="DL632" s="92"/>
    </row>
    <row r="633" ht="20.25" customHeight="1">
      <c r="A633" s="73">
        <v>633.0</v>
      </c>
      <c r="B633" s="93" t="s">
        <v>152</v>
      </c>
      <c r="C633" s="93" t="s">
        <v>115</v>
      </c>
      <c r="D633" s="93" t="s">
        <v>990</v>
      </c>
      <c r="E633" s="92"/>
      <c r="F633" s="94" t="s">
        <v>3391</v>
      </c>
      <c r="G633" s="922" t="s">
        <v>3442</v>
      </c>
      <c r="H633" s="76" t="s">
        <v>144</v>
      </c>
      <c r="I633" s="853">
        <v>45489.0</v>
      </c>
      <c r="J633" s="629">
        <v>45638.0</v>
      </c>
      <c r="K633" s="82"/>
      <c r="L633" s="82"/>
      <c r="M633" s="76" t="s">
        <v>3393</v>
      </c>
      <c r="N633" s="76" t="s">
        <v>3394</v>
      </c>
      <c r="O633" s="635">
        <v>1.0</v>
      </c>
      <c r="P633" s="931" t="s">
        <v>3395</v>
      </c>
      <c r="Q633" s="893" t="str">
        <f t="array" ref="Q633"> if(iserror(MATCH(V633, 'File Links'!C:C, 0)), "N/A", HYPERLINK(INDEX('File Links'!B:B, MATCH(P633, 'File Links'!C:C, 0))))</f>
        <v>https://drive.google.com/file/d/13vglHZTPgv6z9W5xPGWG5OyE_h91M3UK/view?usp=drivesdk</v>
      </c>
      <c r="R633" s="76" t="s">
        <v>3396</v>
      </c>
      <c r="S633" s="76" t="s">
        <v>3397</v>
      </c>
      <c r="T633" s="82"/>
      <c r="U633" s="633">
        <v>1.0</v>
      </c>
      <c r="V633" s="95" t="str">
        <f t="shared" si="36"/>
        <v>10.12688--openreseurope.17749.1.pdf</v>
      </c>
      <c r="W633" s="76" t="s">
        <v>209</v>
      </c>
      <c r="X633" s="894" t="str">
        <f t="array" ref="X633"> if(iserror(MATCH(V633, 'File Links'!C:C, 0)), "N/A", HYPERLINK(INDEX('File Links'!B:B, MATCH(V633, 'File Links'!C:C, 0))))</f>
        <v>https://drive.google.com/file/d/17sgB6ScmXf8Wli1_dKWf0wpvxkNJRZtC/view?usp=drivesdk</v>
      </c>
      <c r="Y633" s="82"/>
      <c r="Z633" s="76" t="s">
        <v>148</v>
      </c>
      <c r="AA633" s="82" t="s">
        <v>3398</v>
      </c>
      <c r="AB633" s="82" t="s">
        <v>3399</v>
      </c>
      <c r="AC633" s="76" t="s">
        <v>3443</v>
      </c>
      <c r="AD633" s="82"/>
      <c r="AE633" s="635">
        <v>5.0</v>
      </c>
      <c r="AF633" s="635">
        <v>27.0</v>
      </c>
      <c r="AG633" s="635">
        <v>10.35</v>
      </c>
      <c r="AH633" s="99" t="s">
        <v>134</v>
      </c>
      <c r="AI633" s="923">
        <v>5.0</v>
      </c>
      <c r="AJ633" s="635">
        <v>0.003</v>
      </c>
      <c r="AK633" s="95" t="s">
        <v>172</v>
      </c>
      <c r="AL633" s="76" t="s">
        <v>186</v>
      </c>
      <c r="AM633" s="82" t="s">
        <v>137</v>
      </c>
      <c r="AN633" s="79" t="s">
        <v>138</v>
      </c>
      <c r="AO633" s="635">
        <v>32.0</v>
      </c>
      <c r="AP633" s="635">
        <v>2.63</v>
      </c>
      <c r="AQ633" s="76" t="s">
        <v>134</v>
      </c>
      <c r="AR633" s="635">
        <v>9.0</v>
      </c>
      <c r="AS633" s="635">
        <v>0.08</v>
      </c>
      <c r="AT633" s="95" t="s">
        <v>172</v>
      </c>
      <c r="AU633" s="95" t="s">
        <v>186</v>
      </c>
      <c r="AV633" s="94" t="s">
        <v>137</v>
      </c>
      <c r="AW633" s="923" t="s">
        <v>138</v>
      </c>
      <c r="AX633" s="94" t="s">
        <v>143</v>
      </c>
      <c r="AY633" s="61" t="str">
        <f>IFERROR(__xludf.DUMMYFUNCTION("vlookup(BB633,importrange(""https://docs.google.com/spreadsheets/d/1d2vevQ_7D_v35q4wCQ4RpQ_IPoTwEMB9Yp6ymwlPqew/edit?gid=984458430#gid=984458430"", ""'replication success'!A:K""), 11, FAlSE)"),"#N/A")</f>
        <v>#N/A</v>
      </c>
      <c r="AZ633" s="61" t="str">
        <f>IFERROR(__xludf.DUMMYFUNCTION("vlookup(BB633,importrange(""https://docs.google.com/spreadsheets/d/1d2vevQ_7D_v35q4wCQ4RpQ_IPoTwEMB9Yp6ymwlPqew/edit?gid=984458430#gid=984458430"", ""'replication success'!A:M""), 12, FAlSE)"),"#N/A")</f>
        <v>#N/A</v>
      </c>
      <c r="BA633" s="61" t="str">
        <f>IFERROR(__xludf.DUMMYFUNCTION("vlookup(BB633,importrange(""https://docs.google.com/spreadsheets/d/1d2vevQ_7D_v35q4wCQ4RpQ_IPoTwEMB9Yp6ymwlPqew/edit?gid=984458430#gid=984458430"", ""'replication success'!A:M""), 13, FAlSE)"),"#N/A")</f>
        <v>#N/A</v>
      </c>
      <c r="BB633" s="61" t="str">
        <f>IFERROR(__xludf.DUMMYFUNCTION("REGEXREPLACE(G633, ""_[a-z]{1,2}$"", """")"),"additional_studies90")</f>
        <v>additional_studies90</v>
      </c>
      <c r="BC633" s="82"/>
      <c r="BD633" s="924" t="s">
        <v>692</v>
      </c>
      <c r="BE633" s="92"/>
      <c r="BF633" s="92"/>
      <c r="BG633" s="92"/>
      <c r="BH633" s="92"/>
      <c r="BI633" s="92"/>
      <c r="BJ633" s="92"/>
      <c r="BK633" s="92"/>
      <c r="BL633" s="92"/>
      <c r="BM633" s="92"/>
      <c r="BN633" s="92"/>
      <c r="BO633" s="92"/>
      <c r="BP633" s="92"/>
      <c r="BQ633" s="92"/>
      <c r="BR633" s="92"/>
      <c r="BS633" s="92"/>
      <c r="BT633" s="92"/>
      <c r="BU633" s="92"/>
      <c r="BV633" s="92"/>
      <c r="BW633" s="92"/>
      <c r="BX633" s="92"/>
      <c r="BY633" s="92"/>
      <c r="BZ633" s="92"/>
      <c r="CA633" s="92"/>
      <c r="CB633" s="92"/>
      <c r="CC633" s="92"/>
      <c r="CD633" s="92"/>
      <c r="CE633" s="92"/>
      <c r="CF633" s="92"/>
      <c r="CG633" s="92"/>
      <c r="CH633" s="92"/>
      <c r="CI633" s="92"/>
      <c r="CJ633" s="92"/>
      <c r="CK633" s="92"/>
      <c r="CL633" s="92"/>
      <c r="CM633" s="92"/>
      <c r="CN633" s="92"/>
      <c r="CO633" s="92"/>
      <c r="CP633" s="92"/>
      <c r="CQ633" s="92"/>
      <c r="CR633" s="92"/>
      <c r="CS633" s="92"/>
      <c r="CT633" s="92"/>
      <c r="CU633" s="92"/>
      <c r="CV633" s="92"/>
      <c r="CW633" s="92"/>
      <c r="CX633" s="92"/>
      <c r="CY633" s="92"/>
      <c r="CZ633" s="92"/>
      <c r="DA633" s="92"/>
      <c r="DB633" s="92"/>
      <c r="DC633" s="92"/>
      <c r="DD633" s="92"/>
      <c r="DE633" s="92"/>
      <c r="DF633" s="92"/>
      <c r="DG633" s="92"/>
      <c r="DH633" s="92"/>
      <c r="DI633" s="92"/>
      <c r="DJ633" s="92"/>
      <c r="DK633" s="92"/>
      <c r="DL633" s="92"/>
    </row>
    <row r="634" ht="20.25" customHeight="1">
      <c r="A634" s="73">
        <v>634.0</v>
      </c>
      <c r="B634" s="93" t="s">
        <v>152</v>
      </c>
      <c r="C634" s="93" t="s">
        <v>115</v>
      </c>
      <c r="D634" s="93" t="s">
        <v>990</v>
      </c>
      <c r="E634" s="92"/>
      <c r="F634" s="94" t="s">
        <v>3391</v>
      </c>
      <c r="G634" s="922" t="s">
        <v>3444</v>
      </c>
      <c r="H634" s="76" t="s">
        <v>144</v>
      </c>
      <c r="I634" s="853">
        <v>45489.0</v>
      </c>
      <c r="J634" s="629">
        <v>45638.0</v>
      </c>
      <c r="K634" s="82"/>
      <c r="L634" s="82"/>
      <c r="M634" s="76" t="s">
        <v>3393</v>
      </c>
      <c r="N634" s="76" t="s">
        <v>3394</v>
      </c>
      <c r="O634" s="635">
        <v>1.0</v>
      </c>
      <c r="P634" s="931" t="s">
        <v>3395</v>
      </c>
      <c r="Q634" s="893" t="str">
        <f t="array" ref="Q634"> if(iserror(MATCH(V634, 'File Links'!C:C, 0)), "N/A", HYPERLINK(INDEX('File Links'!B:B, MATCH(P634, 'File Links'!C:C, 0))))</f>
        <v>https://drive.google.com/file/d/13vglHZTPgv6z9W5xPGWG5OyE_h91M3UK/view?usp=drivesdk</v>
      </c>
      <c r="R634" s="76" t="s">
        <v>3396</v>
      </c>
      <c r="S634" s="76" t="s">
        <v>3397</v>
      </c>
      <c r="T634" s="82"/>
      <c r="U634" s="633">
        <v>1.0</v>
      </c>
      <c r="V634" s="95" t="str">
        <f t="shared" si="36"/>
        <v>10.12688--openreseurope.17749.1.pdf</v>
      </c>
      <c r="W634" s="76" t="s">
        <v>209</v>
      </c>
      <c r="X634" s="894" t="str">
        <f t="array" ref="X634"> if(iserror(MATCH(V634, 'File Links'!C:C, 0)), "N/A", HYPERLINK(INDEX('File Links'!B:B, MATCH(V634, 'File Links'!C:C, 0))))</f>
        <v>https://drive.google.com/file/d/17sgB6ScmXf8Wli1_dKWf0wpvxkNJRZtC/view?usp=drivesdk</v>
      </c>
      <c r="Y634" s="82"/>
      <c r="Z634" s="76" t="s">
        <v>148</v>
      </c>
      <c r="AA634" s="82" t="s">
        <v>3398</v>
      </c>
      <c r="AB634" s="82" t="s">
        <v>3399</v>
      </c>
      <c r="AC634" s="76" t="s">
        <v>3445</v>
      </c>
      <c r="AD634" s="82"/>
      <c r="AE634" s="635">
        <v>5.0</v>
      </c>
      <c r="AF634" s="635">
        <v>27.0</v>
      </c>
      <c r="AG634" s="635">
        <v>1.56</v>
      </c>
      <c r="AH634" s="99" t="s">
        <v>134</v>
      </c>
      <c r="AI634" s="923">
        <v>5.0</v>
      </c>
      <c r="AJ634" s="635">
        <v>0.223</v>
      </c>
      <c r="AK634" s="95" t="s">
        <v>172</v>
      </c>
      <c r="AL634" s="76" t="s">
        <v>186</v>
      </c>
      <c r="AM634" s="82" t="s">
        <v>137</v>
      </c>
      <c r="AN634" s="79" t="s">
        <v>138</v>
      </c>
      <c r="AO634" s="635">
        <v>32.0</v>
      </c>
      <c r="AP634" s="635">
        <v>0.42</v>
      </c>
      <c r="AQ634" s="76" t="s">
        <v>134</v>
      </c>
      <c r="AR634" s="635">
        <v>9.0</v>
      </c>
      <c r="AS634" s="635">
        <v>0.523</v>
      </c>
      <c r="AT634" s="95" t="s">
        <v>172</v>
      </c>
      <c r="AU634" s="95" t="s">
        <v>186</v>
      </c>
      <c r="AV634" s="94" t="s">
        <v>137</v>
      </c>
      <c r="AW634" s="923" t="s">
        <v>138</v>
      </c>
      <c r="AX634" s="94" t="s">
        <v>143</v>
      </c>
      <c r="AY634" s="61" t="str">
        <f>IFERROR(__xludf.DUMMYFUNCTION("vlookup(BB634,importrange(""https://docs.google.com/spreadsheets/d/1d2vevQ_7D_v35q4wCQ4RpQ_IPoTwEMB9Yp6ymwlPqew/edit?gid=984458430#gid=984458430"", ""'replication success'!A:K""), 11, FAlSE)"),"#N/A")</f>
        <v>#N/A</v>
      </c>
      <c r="AZ634" s="61" t="str">
        <f>IFERROR(__xludf.DUMMYFUNCTION("vlookup(BB634,importrange(""https://docs.google.com/spreadsheets/d/1d2vevQ_7D_v35q4wCQ4RpQ_IPoTwEMB9Yp6ymwlPqew/edit?gid=984458430#gid=984458430"", ""'replication success'!A:M""), 12, FAlSE)"),"#N/A")</f>
        <v>#N/A</v>
      </c>
      <c r="BA634" s="61" t="str">
        <f>IFERROR(__xludf.DUMMYFUNCTION("vlookup(BB634,importrange(""https://docs.google.com/spreadsheets/d/1d2vevQ_7D_v35q4wCQ4RpQ_IPoTwEMB9Yp6ymwlPqew/edit?gid=984458430#gid=984458430"", ""'replication success'!A:M""), 13, FAlSE)"),"#N/A")</f>
        <v>#N/A</v>
      </c>
      <c r="BB634" s="61" t="str">
        <f>IFERROR(__xludf.DUMMYFUNCTION("REGEXREPLACE(G634, ""_[a-z]{1,2}$"", """")"),"additional_studies90")</f>
        <v>additional_studies90</v>
      </c>
      <c r="BC634" s="82"/>
      <c r="BD634" s="924" t="s">
        <v>692</v>
      </c>
      <c r="BE634" s="92"/>
      <c r="BF634" s="92"/>
      <c r="BG634" s="92"/>
      <c r="BH634" s="92"/>
      <c r="BI634" s="92"/>
      <c r="BJ634" s="92"/>
      <c r="BK634" s="92"/>
      <c r="BL634" s="92"/>
      <c r="BM634" s="92"/>
      <c r="BN634" s="92"/>
      <c r="BO634" s="92"/>
      <c r="BP634" s="92"/>
      <c r="BQ634" s="92"/>
      <c r="BR634" s="92"/>
      <c r="BS634" s="92"/>
      <c r="BT634" s="92"/>
      <c r="BU634" s="92"/>
      <c r="BV634" s="92"/>
      <c r="BW634" s="92"/>
      <c r="BX634" s="92"/>
      <c r="BY634" s="92"/>
      <c r="BZ634" s="92"/>
      <c r="CA634" s="92"/>
      <c r="CB634" s="92"/>
      <c r="CC634" s="92"/>
      <c r="CD634" s="92"/>
      <c r="CE634" s="92"/>
      <c r="CF634" s="92"/>
      <c r="CG634" s="92"/>
      <c r="CH634" s="92"/>
      <c r="CI634" s="92"/>
      <c r="CJ634" s="92"/>
      <c r="CK634" s="92"/>
      <c r="CL634" s="92"/>
      <c r="CM634" s="92"/>
      <c r="CN634" s="92"/>
      <c r="CO634" s="92"/>
      <c r="CP634" s="92"/>
      <c r="CQ634" s="92"/>
      <c r="CR634" s="92"/>
      <c r="CS634" s="92"/>
      <c r="CT634" s="92"/>
      <c r="CU634" s="92"/>
      <c r="CV634" s="92"/>
      <c r="CW634" s="92"/>
      <c r="CX634" s="92"/>
      <c r="CY634" s="92"/>
      <c r="CZ634" s="92"/>
      <c r="DA634" s="92"/>
      <c r="DB634" s="92"/>
      <c r="DC634" s="92"/>
      <c r="DD634" s="92"/>
      <c r="DE634" s="92"/>
      <c r="DF634" s="92"/>
      <c r="DG634" s="92"/>
      <c r="DH634" s="92"/>
      <c r="DI634" s="92"/>
      <c r="DJ634" s="92"/>
      <c r="DK634" s="92"/>
      <c r="DL634" s="92"/>
    </row>
    <row r="635" ht="20.25" customHeight="1">
      <c r="A635" s="808">
        <v>635.0</v>
      </c>
      <c r="B635" s="467" t="s">
        <v>152</v>
      </c>
      <c r="C635" s="467" t="s">
        <v>115</v>
      </c>
      <c r="D635" s="467" t="s">
        <v>990</v>
      </c>
      <c r="E635" s="468"/>
      <c r="F635" s="482" t="s">
        <v>3391</v>
      </c>
      <c r="G635" s="925" t="s">
        <v>3446</v>
      </c>
      <c r="H635" s="470" t="s">
        <v>144</v>
      </c>
      <c r="I635" s="471">
        <v>45489.0</v>
      </c>
      <c r="J635" s="784">
        <v>45638.0</v>
      </c>
      <c r="K635" s="476"/>
      <c r="L635" s="476"/>
      <c r="M635" s="470" t="s">
        <v>3393</v>
      </c>
      <c r="N635" s="470" t="s">
        <v>3394</v>
      </c>
      <c r="O635" s="479">
        <v>1.0</v>
      </c>
      <c r="P635" s="932" t="s">
        <v>3395</v>
      </c>
      <c r="Q635" s="927" t="str">
        <f t="array" ref="Q635"> if(iserror(MATCH(V635, 'File Links'!C:C, 0)), "N/A", HYPERLINK(INDEX('File Links'!B:B, MATCH(P635, 'File Links'!C:C, 0))))</f>
        <v>https://drive.google.com/file/d/13vglHZTPgv6z9W5xPGWG5OyE_h91M3UK/view?usp=drivesdk</v>
      </c>
      <c r="R635" s="470" t="s">
        <v>3396</v>
      </c>
      <c r="S635" s="470" t="s">
        <v>3397</v>
      </c>
      <c r="T635" s="476"/>
      <c r="U635" s="930">
        <v>1.0</v>
      </c>
      <c r="V635" s="469" t="str">
        <f t="shared" si="36"/>
        <v>10.12688--openreseurope.17749.1.pdf</v>
      </c>
      <c r="W635" s="470" t="s">
        <v>209</v>
      </c>
      <c r="X635" s="928" t="str">
        <f t="array" ref="X635"> if(iserror(MATCH(V635, 'File Links'!C:C, 0)), "N/A", HYPERLINK(INDEX('File Links'!B:B, MATCH(V635, 'File Links'!C:C, 0))))</f>
        <v>https://drive.google.com/file/d/17sgB6ScmXf8Wli1_dKWf0wpvxkNJRZtC/view?usp=drivesdk</v>
      </c>
      <c r="Y635" s="476"/>
      <c r="Z635" s="470" t="s">
        <v>148</v>
      </c>
      <c r="AA635" s="476" t="s">
        <v>3398</v>
      </c>
      <c r="AB635" s="476" t="s">
        <v>3399</v>
      </c>
      <c r="AC635" s="470" t="s">
        <v>3447</v>
      </c>
      <c r="AD635" s="476"/>
      <c r="AE635" s="479">
        <v>5.0</v>
      </c>
      <c r="AF635" s="479">
        <v>27.0</v>
      </c>
      <c r="AG635" s="929" t="s">
        <v>138</v>
      </c>
      <c r="AH635" s="475" t="s">
        <v>134</v>
      </c>
      <c r="AI635" s="923">
        <v>5.0</v>
      </c>
      <c r="AJ635" s="479">
        <v>0.001</v>
      </c>
      <c r="AK635" s="469" t="s">
        <v>135</v>
      </c>
      <c r="AL635" s="470" t="s">
        <v>186</v>
      </c>
      <c r="AM635" s="476" t="s">
        <v>137</v>
      </c>
      <c r="AN635" s="474" t="s">
        <v>138</v>
      </c>
      <c r="AO635" s="479">
        <v>32.0</v>
      </c>
      <c r="AP635" s="476"/>
      <c r="AQ635" s="470" t="s">
        <v>134</v>
      </c>
      <c r="AR635" s="479">
        <v>9.0</v>
      </c>
      <c r="AS635" s="479">
        <v>0.001</v>
      </c>
      <c r="AT635" s="469" t="s">
        <v>135</v>
      </c>
      <c r="AU635" s="469" t="s">
        <v>186</v>
      </c>
      <c r="AV635" s="482" t="s">
        <v>137</v>
      </c>
      <c r="AW635" s="923" t="s">
        <v>138</v>
      </c>
      <c r="AX635" s="482" t="s">
        <v>143</v>
      </c>
      <c r="AY635" s="61" t="str">
        <f>IFERROR(__xludf.DUMMYFUNCTION("vlookup(BB635,importrange(""https://docs.google.com/spreadsheets/d/1d2vevQ_7D_v35q4wCQ4RpQ_IPoTwEMB9Yp6ymwlPqew/edit?gid=984458430#gid=984458430"", ""'replication success'!A:K""), 11, FAlSE)"),"#N/A")</f>
        <v>#N/A</v>
      </c>
      <c r="AZ635" s="61" t="str">
        <f>IFERROR(__xludf.DUMMYFUNCTION("vlookup(BB635,importrange(""https://docs.google.com/spreadsheets/d/1d2vevQ_7D_v35q4wCQ4RpQ_IPoTwEMB9Yp6ymwlPqew/edit?gid=984458430#gid=984458430"", ""'replication success'!A:M""), 12, FAlSE)"),"#N/A")</f>
        <v>#N/A</v>
      </c>
      <c r="BA635" s="61" t="str">
        <f>IFERROR(__xludf.DUMMYFUNCTION("vlookup(BB635,importrange(""https://docs.google.com/spreadsheets/d/1d2vevQ_7D_v35q4wCQ4RpQ_IPoTwEMB9Yp6ymwlPqew/edit?gid=984458430#gid=984458430"", ""'replication success'!A:M""), 13, FAlSE)"),"#N/A")</f>
        <v>#N/A</v>
      </c>
      <c r="BB635" s="61" t="str">
        <f>IFERROR(__xludf.DUMMYFUNCTION("REGEXREPLACE(G635, ""_[a-z]{1,2}$"", """")"),"additional_studies90")</f>
        <v>additional_studies90</v>
      </c>
      <c r="BC635" s="476"/>
      <c r="BD635" s="924" t="s">
        <v>692</v>
      </c>
      <c r="BE635" s="468"/>
      <c r="BF635" s="468"/>
      <c r="BG635" s="468"/>
      <c r="BH635" s="468"/>
      <c r="BI635" s="468"/>
      <c r="BJ635" s="468"/>
      <c r="BK635" s="468"/>
      <c r="BL635" s="468"/>
      <c r="BM635" s="468"/>
      <c r="BN635" s="468"/>
      <c r="BO635" s="468"/>
      <c r="BP635" s="468"/>
      <c r="BQ635" s="468"/>
      <c r="BR635" s="468"/>
      <c r="BS635" s="468"/>
      <c r="BT635" s="468"/>
      <c r="BU635" s="468"/>
      <c r="BV635" s="468"/>
      <c r="BW635" s="468"/>
      <c r="BX635" s="468"/>
      <c r="BY635" s="468"/>
      <c r="BZ635" s="468"/>
      <c r="CA635" s="468"/>
      <c r="CB635" s="468"/>
      <c r="CC635" s="468"/>
      <c r="CD635" s="468"/>
      <c r="CE635" s="468"/>
      <c r="CF635" s="468"/>
      <c r="CG635" s="468"/>
      <c r="CH635" s="468"/>
      <c r="CI635" s="468"/>
      <c r="CJ635" s="468"/>
      <c r="CK635" s="468"/>
      <c r="CL635" s="468"/>
      <c r="CM635" s="468"/>
      <c r="CN635" s="468"/>
      <c r="CO635" s="468"/>
      <c r="CP635" s="468"/>
      <c r="CQ635" s="468"/>
      <c r="CR635" s="468"/>
      <c r="CS635" s="468"/>
      <c r="CT635" s="468"/>
      <c r="CU635" s="468"/>
      <c r="CV635" s="468"/>
      <c r="CW635" s="468"/>
      <c r="CX635" s="468"/>
      <c r="CY635" s="468"/>
      <c r="CZ635" s="468"/>
      <c r="DA635" s="468"/>
      <c r="DB635" s="468"/>
      <c r="DC635" s="468"/>
      <c r="DD635" s="468"/>
      <c r="DE635" s="468"/>
      <c r="DF635" s="468"/>
      <c r="DG635" s="468"/>
      <c r="DH635" s="468"/>
      <c r="DI635" s="468"/>
      <c r="DJ635" s="468"/>
      <c r="DK635" s="468"/>
      <c r="DL635" s="468"/>
    </row>
    <row r="636" ht="20.25" customHeight="1">
      <c r="A636" s="73">
        <v>636.0</v>
      </c>
      <c r="B636" s="93" t="s">
        <v>152</v>
      </c>
      <c r="C636" s="93" t="s">
        <v>115</v>
      </c>
      <c r="D636" s="93" t="s">
        <v>990</v>
      </c>
      <c r="E636" s="92"/>
      <c r="F636" s="94" t="s">
        <v>3391</v>
      </c>
      <c r="G636" s="922" t="s">
        <v>3448</v>
      </c>
      <c r="H636" s="76" t="s">
        <v>144</v>
      </c>
      <c r="I636" s="853">
        <v>45489.0</v>
      </c>
      <c r="J636" s="629">
        <v>45638.0</v>
      </c>
      <c r="K636" s="82"/>
      <c r="L636" s="82"/>
      <c r="M636" s="76" t="s">
        <v>3393</v>
      </c>
      <c r="N636" s="76" t="s">
        <v>3394</v>
      </c>
      <c r="O636" s="635">
        <v>1.0</v>
      </c>
      <c r="P636" s="931" t="s">
        <v>3395</v>
      </c>
      <c r="Q636" s="893" t="str">
        <f t="array" ref="Q636"> if(iserror(MATCH(V636, 'File Links'!C:C, 0)), "N/A", HYPERLINK(INDEX('File Links'!B:B, MATCH(P636, 'File Links'!C:C, 0))))</f>
        <v>https://drive.google.com/file/d/13vglHZTPgv6z9W5xPGWG5OyE_h91M3UK/view?usp=drivesdk</v>
      </c>
      <c r="R636" s="76" t="s">
        <v>3396</v>
      </c>
      <c r="S636" s="76" t="s">
        <v>3397</v>
      </c>
      <c r="T636" s="82"/>
      <c r="U636" s="633">
        <v>1.0</v>
      </c>
      <c r="V636" s="95" t="str">
        <f t="shared" si="36"/>
        <v>10.12688--openreseurope.17749.1.pdf</v>
      </c>
      <c r="W636" s="76" t="s">
        <v>209</v>
      </c>
      <c r="X636" s="894" t="str">
        <f t="array" ref="X636"> if(iserror(MATCH(V636, 'File Links'!C:C, 0)), "N/A", HYPERLINK(INDEX('File Links'!B:B, MATCH(V636, 'File Links'!C:C, 0))))</f>
        <v>https://drive.google.com/file/d/17sgB6ScmXf8Wli1_dKWf0wpvxkNJRZtC/view?usp=drivesdk</v>
      </c>
      <c r="Y636" s="82"/>
      <c r="Z636" s="76" t="s">
        <v>148</v>
      </c>
      <c r="AA636" s="82" t="s">
        <v>3398</v>
      </c>
      <c r="AB636" s="82" t="s">
        <v>3399</v>
      </c>
      <c r="AC636" s="76" t="s">
        <v>3449</v>
      </c>
      <c r="AD636" s="82"/>
      <c r="AE636" s="635">
        <v>5.0</v>
      </c>
      <c r="AF636" s="635">
        <v>27.0</v>
      </c>
      <c r="AG636" s="635">
        <v>3.85</v>
      </c>
      <c r="AH636" s="99" t="s">
        <v>134</v>
      </c>
      <c r="AI636" s="923">
        <v>5.0</v>
      </c>
      <c r="AJ636" s="635">
        <v>0.051</v>
      </c>
      <c r="AK636" s="95" t="s">
        <v>172</v>
      </c>
      <c r="AL636" s="76" t="s">
        <v>186</v>
      </c>
      <c r="AM636" s="82" t="s">
        <v>137</v>
      </c>
      <c r="AN636" s="79" t="s">
        <v>138</v>
      </c>
      <c r="AO636" s="635">
        <v>32.0</v>
      </c>
      <c r="AP636" s="635">
        <v>10.15</v>
      </c>
      <c r="AQ636" s="76" t="s">
        <v>134</v>
      </c>
      <c r="AR636" s="635">
        <v>9.0</v>
      </c>
      <c r="AS636" s="635">
        <v>0.001</v>
      </c>
      <c r="AT636" s="95" t="s">
        <v>135</v>
      </c>
      <c r="AU636" s="95" t="s">
        <v>186</v>
      </c>
      <c r="AV636" s="94" t="s">
        <v>137</v>
      </c>
      <c r="AW636" s="923" t="s">
        <v>138</v>
      </c>
      <c r="AX636" s="94" t="s">
        <v>143</v>
      </c>
      <c r="AY636" s="61" t="str">
        <f>IFERROR(__xludf.DUMMYFUNCTION("vlookup(BB636,importrange(""https://docs.google.com/spreadsheets/d/1d2vevQ_7D_v35q4wCQ4RpQ_IPoTwEMB9Yp6ymwlPqew/edit?gid=984458430#gid=984458430"", ""'replication success'!A:K""), 11, FAlSE)"),"#N/A")</f>
        <v>#N/A</v>
      </c>
      <c r="AZ636" s="61" t="str">
        <f>IFERROR(__xludf.DUMMYFUNCTION("vlookup(BB636,importrange(""https://docs.google.com/spreadsheets/d/1d2vevQ_7D_v35q4wCQ4RpQ_IPoTwEMB9Yp6ymwlPqew/edit?gid=984458430#gid=984458430"", ""'replication success'!A:M""), 12, FAlSE)"),"#N/A")</f>
        <v>#N/A</v>
      </c>
      <c r="BA636" s="61" t="str">
        <f>IFERROR(__xludf.DUMMYFUNCTION("vlookup(BB636,importrange(""https://docs.google.com/spreadsheets/d/1d2vevQ_7D_v35q4wCQ4RpQ_IPoTwEMB9Yp6ymwlPqew/edit?gid=984458430#gid=984458430"", ""'replication success'!A:M""), 13, FAlSE)"),"#N/A")</f>
        <v>#N/A</v>
      </c>
      <c r="BB636" s="61" t="str">
        <f>IFERROR(__xludf.DUMMYFUNCTION("REGEXREPLACE(G636, ""_[a-z]{1,2}$"", """")"),"additional_studies90")</f>
        <v>additional_studies90</v>
      </c>
      <c r="BC636" s="82"/>
      <c r="BD636" s="924" t="s">
        <v>692</v>
      </c>
      <c r="BE636" s="92"/>
      <c r="BF636" s="92"/>
      <c r="BG636" s="92"/>
      <c r="BH636" s="92"/>
      <c r="BI636" s="92"/>
      <c r="BJ636" s="92"/>
      <c r="BK636" s="92"/>
      <c r="BL636" s="92"/>
      <c r="BM636" s="92"/>
      <c r="BN636" s="92"/>
      <c r="BO636" s="92"/>
      <c r="BP636" s="92"/>
      <c r="BQ636" s="92"/>
      <c r="BR636" s="92"/>
      <c r="BS636" s="92"/>
      <c r="BT636" s="92"/>
      <c r="BU636" s="92"/>
      <c r="BV636" s="92"/>
      <c r="BW636" s="92"/>
      <c r="BX636" s="92"/>
      <c r="BY636" s="92"/>
      <c r="BZ636" s="92"/>
      <c r="CA636" s="92"/>
      <c r="CB636" s="92"/>
      <c r="CC636" s="92"/>
      <c r="CD636" s="92"/>
      <c r="CE636" s="92"/>
      <c r="CF636" s="92"/>
      <c r="CG636" s="92"/>
      <c r="CH636" s="92"/>
      <c r="CI636" s="92"/>
      <c r="CJ636" s="92"/>
      <c r="CK636" s="92"/>
      <c r="CL636" s="92"/>
      <c r="CM636" s="92"/>
      <c r="CN636" s="92"/>
      <c r="CO636" s="92"/>
      <c r="CP636" s="92"/>
      <c r="CQ636" s="92"/>
      <c r="CR636" s="92"/>
      <c r="CS636" s="92"/>
      <c r="CT636" s="92"/>
      <c r="CU636" s="92"/>
      <c r="CV636" s="92"/>
      <c r="CW636" s="92"/>
      <c r="CX636" s="92"/>
      <c r="CY636" s="92"/>
      <c r="CZ636" s="92"/>
      <c r="DA636" s="92"/>
      <c r="DB636" s="92"/>
      <c r="DC636" s="92"/>
      <c r="DD636" s="92"/>
      <c r="DE636" s="92"/>
      <c r="DF636" s="92"/>
      <c r="DG636" s="92"/>
      <c r="DH636" s="92"/>
      <c r="DI636" s="92"/>
      <c r="DJ636" s="92"/>
      <c r="DK636" s="92"/>
      <c r="DL636" s="92"/>
    </row>
    <row r="637" ht="20.25" customHeight="1">
      <c r="A637" s="73">
        <v>637.0</v>
      </c>
      <c r="B637" s="93" t="s">
        <v>152</v>
      </c>
      <c r="C637" s="93" t="s">
        <v>115</v>
      </c>
      <c r="D637" s="93" t="s">
        <v>990</v>
      </c>
      <c r="E637" s="92"/>
      <c r="F637" s="933" t="s">
        <v>3391</v>
      </c>
      <c r="G637" s="934" t="s">
        <v>3450</v>
      </c>
      <c r="H637" s="95" t="s">
        <v>144</v>
      </c>
      <c r="I637" s="935">
        <v>45489.0</v>
      </c>
      <c r="J637" s="936">
        <v>45638.0</v>
      </c>
      <c r="K637" s="933"/>
      <c r="L637" s="933"/>
      <c r="M637" s="937" t="s">
        <v>3393</v>
      </c>
      <c r="N637" s="937" t="s">
        <v>3394</v>
      </c>
      <c r="O637" s="938">
        <v>1.0</v>
      </c>
      <c r="P637" s="937" t="s">
        <v>3395</v>
      </c>
      <c r="Q637" s="893" t="str">
        <f t="array" ref="Q637"> if(iserror(MATCH(V637, 'File Links'!C:C, 0)), "N/A", HYPERLINK(INDEX('File Links'!B:B, MATCH(P637, 'File Links'!C:C, 0))))</f>
        <v>https://drive.google.com/file/d/13vglHZTPgv6z9W5xPGWG5OyE_h91M3UK/view?usp=drivesdk</v>
      </c>
      <c r="R637" s="937" t="s">
        <v>3396</v>
      </c>
      <c r="S637" s="937" t="s">
        <v>3397</v>
      </c>
      <c r="T637" s="933"/>
      <c r="U637" s="938">
        <v>1.0</v>
      </c>
      <c r="V637" s="95" t="str">
        <f t="shared" si="36"/>
        <v>10.12688--openreseurope.17749.1.pdf</v>
      </c>
      <c r="W637" s="95" t="s">
        <v>209</v>
      </c>
      <c r="X637" s="894" t="str">
        <f t="array" ref="X637"> if(iserror(MATCH(V637, 'File Links'!C:C, 0)), "N/A", HYPERLINK(INDEX('File Links'!B:B, MATCH(V637, 'File Links'!C:C, 0))))</f>
        <v>https://drive.google.com/file/d/17sgB6ScmXf8Wli1_dKWf0wpvxkNJRZtC/view?usp=drivesdk</v>
      </c>
      <c r="Y637" s="933"/>
      <c r="Z637" s="937" t="s">
        <v>148</v>
      </c>
      <c r="AA637" s="933" t="s">
        <v>3398</v>
      </c>
      <c r="AB637" s="933" t="s">
        <v>3399</v>
      </c>
      <c r="AC637" s="95" t="s">
        <v>3451</v>
      </c>
      <c r="AD637" s="933"/>
      <c r="AE637" s="938">
        <v>5.0</v>
      </c>
      <c r="AF637" s="938">
        <v>27.0</v>
      </c>
      <c r="AG637" s="938">
        <v>0.37</v>
      </c>
      <c r="AH637" s="931" t="s">
        <v>134</v>
      </c>
      <c r="AI637" s="923">
        <v>5.0</v>
      </c>
      <c r="AJ637" s="939">
        <v>0.592</v>
      </c>
      <c r="AK637" s="937" t="s">
        <v>172</v>
      </c>
      <c r="AL637" s="940" t="s">
        <v>186</v>
      </c>
      <c r="AM637" s="933" t="s">
        <v>137</v>
      </c>
      <c r="AN637" s="79" t="s">
        <v>138</v>
      </c>
      <c r="AO637" s="938">
        <v>32.0</v>
      </c>
      <c r="AP637" s="938">
        <v>14.69</v>
      </c>
      <c r="AQ637" s="937" t="s">
        <v>134</v>
      </c>
      <c r="AR637" s="938">
        <v>9.0</v>
      </c>
      <c r="AS637" s="938">
        <v>0.001</v>
      </c>
      <c r="AT637" s="937" t="s">
        <v>135</v>
      </c>
      <c r="AU637" s="937" t="s">
        <v>186</v>
      </c>
      <c r="AV637" s="933" t="s">
        <v>137</v>
      </c>
      <c r="AW637" s="923" t="s">
        <v>138</v>
      </c>
      <c r="AX637" s="933" t="s">
        <v>143</v>
      </c>
      <c r="AY637" s="61" t="str">
        <f>IFERROR(__xludf.DUMMYFUNCTION("vlookup(BB637,importrange(""https://docs.google.com/spreadsheets/d/1d2vevQ_7D_v35q4wCQ4RpQ_IPoTwEMB9Yp6ymwlPqew/edit?gid=984458430#gid=984458430"", ""'replication success'!A:K""), 11, FAlSE)"),"#N/A")</f>
        <v>#N/A</v>
      </c>
      <c r="AZ637" s="61" t="str">
        <f>IFERROR(__xludf.DUMMYFUNCTION("vlookup(BB637,importrange(""https://docs.google.com/spreadsheets/d/1d2vevQ_7D_v35q4wCQ4RpQ_IPoTwEMB9Yp6ymwlPqew/edit?gid=984458430#gid=984458430"", ""'replication success'!A:M""), 12, FAlSE)"),"#N/A")</f>
        <v>#N/A</v>
      </c>
      <c r="BA637" s="61" t="str">
        <f>IFERROR(__xludf.DUMMYFUNCTION("vlookup(BB637,importrange(""https://docs.google.com/spreadsheets/d/1d2vevQ_7D_v35q4wCQ4RpQ_IPoTwEMB9Yp6ymwlPqew/edit?gid=984458430#gid=984458430"", ""'replication success'!A:M""), 13, FAlSE)"),"#N/A")</f>
        <v>#N/A</v>
      </c>
      <c r="BB637" s="61" t="str">
        <f>IFERROR(__xludf.DUMMYFUNCTION("REGEXREPLACE(G637, ""_[a-z]{1,2}$"", """")"),"additional_studies90")</f>
        <v>additional_studies90</v>
      </c>
      <c r="BC637" s="94"/>
      <c r="BD637" s="924" t="s">
        <v>692</v>
      </c>
      <c r="BE637" s="92"/>
      <c r="BF637" s="92"/>
      <c r="BG637" s="92"/>
      <c r="BH637" s="92"/>
      <c r="BI637" s="92"/>
      <c r="BJ637" s="92"/>
      <c r="BK637" s="92"/>
      <c r="BL637" s="92"/>
      <c r="BM637" s="92"/>
      <c r="BN637" s="92"/>
      <c r="BO637" s="92"/>
      <c r="BP637" s="92"/>
      <c r="BQ637" s="92"/>
      <c r="BR637" s="92"/>
      <c r="BS637" s="92"/>
      <c r="BT637" s="92"/>
      <c r="BU637" s="92"/>
      <c r="BV637" s="92"/>
      <c r="BW637" s="92"/>
      <c r="BX637" s="92"/>
      <c r="BY637" s="92"/>
      <c r="BZ637" s="92"/>
      <c r="CA637" s="92"/>
      <c r="CB637" s="92"/>
      <c r="CC637" s="92"/>
      <c r="CD637" s="92"/>
      <c r="CE637" s="92"/>
      <c r="CF637" s="92"/>
      <c r="CG637" s="92"/>
      <c r="CH637" s="92"/>
      <c r="CI637" s="92"/>
      <c r="CJ637" s="92"/>
      <c r="CK637" s="92"/>
      <c r="CL637" s="92"/>
      <c r="CM637" s="92"/>
      <c r="CN637" s="92"/>
      <c r="CO637" s="92"/>
      <c r="CP637" s="92"/>
      <c r="CQ637" s="92"/>
      <c r="CR637" s="92"/>
      <c r="CS637" s="92"/>
      <c r="CT637" s="92"/>
      <c r="CU637" s="92"/>
      <c r="CV637" s="92"/>
      <c r="CW637" s="92"/>
      <c r="CX637" s="92"/>
      <c r="CY637" s="92"/>
      <c r="CZ637" s="92"/>
      <c r="DA637" s="92"/>
      <c r="DB637" s="92"/>
      <c r="DC637" s="92"/>
      <c r="DD637" s="92"/>
      <c r="DE637" s="92"/>
      <c r="DF637" s="92"/>
      <c r="DG637" s="92"/>
      <c r="DH637" s="92"/>
      <c r="DI637" s="92"/>
      <c r="DJ637" s="92"/>
      <c r="DK637" s="92"/>
      <c r="DL637" s="92"/>
    </row>
    <row r="638" ht="20.25" customHeight="1">
      <c r="A638" s="73">
        <v>638.0</v>
      </c>
      <c r="B638" s="93" t="s">
        <v>152</v>
      </c>
      <c r="C638" s="93" t="s">
        <v>115</v>
      </c>
      <c r="D638" s="93" t="s">
        <v>990</v>
      </c>
      <c r="E638" s="92"/>
      <c r="F638" s="94" t="s">
        <v>3391</v>
      </c>
      <c r="G638" s="922" t="s">
        <v>3452</v>
      </c>
      <c r="H638" s="95" t="s">
        <v>144</v>
      </c>
      <c r="I638" s="853">
        <v>45489.0</v>
      </c>
      <c r="J638" s="629">
        <v>45638.0</v>
      </c>
      <c r="K638" s="94"/>
      <c r="L638" s="94"/>
      <c r="M638" s="95" t="s">
        <v>3393</v>
      </c>
      <c r="N638" s="95" t="s">
        <v>3394</v>
      </c>
      <c r="O638" s="98">
        <v>1.0</v>
      </c>
      <c r="P638" s="937" t="s">
        <v>3395</v>
      </c>
      <c r="Q638" s="893" t="str">
        <f t="array" ref="Q638"> if(iserror(MATCH(V638, 'File Links'!C:C, 0)), "N/A", HYPERLINK(INDEX('File Links'!B:B, MATCH(P638, 'File Links'!C:C, 0))))</f>
        <v>https://drive.google.com/file/d/13vglHZTPgv6z9W5xPGWG5OyE_h91M3UK/view?usp=drivesdk</v>
      </c>
      <c r="R638" s="95" t="s">
        <v>3396</v>
      </c>
      <c r="S638" s="95" t="s">
        <v>3397</v>
      </c>
      <c r="T638" s="94"/>
      <c r="U638" s="98">
        <v>1.0</v>
      </c>
      <c r="V638" s="95" t="str">
        <f t="shared" si="36"/>
        <v>10.12688--openreseurope.17749.1.pdf</v>
      </c>
      <c r="W638" s="95" t="s">
        <v>209</v>
      </c>
      <c r="X638" s="894" t="str">
        <f t="array" ref="X638"> if(iserror(MATCH(V638, 'File Links'!C:C, 0)), "N/A", HYPERLINK(INDEX('File Links'!B:B, MATCH(V638, 'File Links'!C:C, 0))))</f>
        <v>https://drive.google.com/file/d/17sgB6ScmXf8Wli1_dKWf0wpvxkNJRZtC/view?usp=drivesdk</v>
      </c>
      <c r="Y638" s="94"/>
      <c r="Z638" s="95" t="s">
        <v>148</v>
      </c>
      <c r="AA638" s="94" t="s">
        <v>3398</v>
      </c>
      <c r="AB638" s="94" t="s">
        <v>3399</v>
      </c>
      <c r="AC638" s="95" t="s">
        <v>3453</v>
      </c>
      <c r="AD638" s="94"/>
      <c r="AE638" s="98">
        <v>5.0</v>
      </c>
      <c r="AF638" s="98">
        <v>27.0</v>
      </c>
      <c r="AG638" s="98">
        <v>0.15</v>
      </c>
      <c r="AH638" s="99" t="s">
        <v>134</v>
      </c>
      <c r="AI638" s="923">
        <v>5.0</v>
      </c>
      <c r="AJ638" s="635">
        <v>0.886</v>
      </c>
      <c r="AK638" s="95" t="s">
        <v>172</v>
      </c>
      <c r="AL638" s="76" t="s">
        <v>186</v>
      </c>
      <c r="AM638" s="94" t="s">
        <v>137</v>
      </c>
      <c r="AN638" s="79" t="s">
        <v>138</v>
      </c>
      <c r="AO638" s="98">
        <v>32.0</v>
      </c>
      <c r="AP638" s="98">
        <v>57.29</v>
      </c>
      <c r="AQ638" s="95" t="s">
        <v>134</v>
      </c>
      <c r="AR638" s="98">
        <v>9.0</v>
      </c>
      <c r="AS638" s="98">
        <v>0.001</v>
      </c>
      <c r="AT638" s="95" t="s">
        <v>135</v>
      </c>
      <c r="AU638" s="95" t="s">
        <v>186</v>
      </c>
      <c r="AV638" s="94" t="s">
        <v>137</v>
      </c>
      <c r="AW638" s="923" t="s">
        <v>138</v>
      </c>
      <c r="AX638" s="94" t="s">
        <v>143</v>
      </c>
      <c r="AY638" s="61" t="str">
        <f>IFERROR(__xludf.DUMMYFUNCTION("vlookup(BB638,importrange(""https://docs.google.com/spreadsheets/d/1d2vevQ_7D_v35q4wCQ4RpQ_IPoTwEMB9Yp6ymwlPqew/edit?gid=984458430#gid=984458430"", ""'replication success'!A:K""), 11, FAlSE)"),"#N/A")</f>
        <v>#N/A</v>
      </c>
      <c r="AZ638" s="61" t="str">
        <f>IFERROR(__xludf.DUMMYFUNCTION("vlookup(BB638,importrange(""https://docs.google.com/spreadsheets/d/1d2vevQ_7D_v35q4wCQ4RpQ_IPoTwEMB9Yp6ymwlPqew/edit?gid=984458430#gid=984458430"", ""'replication success'!A:M""), 12, FAlSE)"),"#N/A")</f>
        <v>#N/A</v>
      </c>
      <c r="BA638" s="61" t="str">
        <f>IFERROR(__xludf.DUMMYFUNCTION("vlookup(BB638,importrange(""https://docs.google.com/spreadsheets/d/1d2vevQ_7D_v35q4wCQ4RpQ_IPoTwEMB9Yp6ymwlPqew/edit?gid=984458430#gid=984458430"", ""'replication success'!A:M""), 13, FAlSE)"),"#N/A")</f>
        <v>#N/A</v>
      </c>
      <c r="BB638" s="61" t="str">
        <f>IFERROR(__xludf.DUMMYFUNCTION("REGEXREPLACE(G638, ""_[a-z]{1,2}$"", """")"),"additional_studies90")</f>
        <v>additional_studies90</v>
      </c>
      <c r="BC638" s="94"/>
      <c r="BD638" s="924" t="s">
        <v>692</v>
      </c>
      <c r="BE638" s="92"/>
      <c r="BF638" s="92"/>
      <c r="BG638" s="92"/>
      <c r="BH638" s="92"/>
      <c r="BI638" s="92"/>
      <c r="BJ638" s="92"/>
      <c r="BK638" s="92"/>
      <c r="BL638" s="92"/>
      <c r="BM638" s="92"/>
      <c r="BN638" s="92"/>
      <c r="BO638" s="92"/>
      <c r="BP638" s="92"/>
      <c r="BQ638" s="92"/>
      <c r="BR638" s="92"/>
      <c r="BS638" s="92"/>
      <c r="BT638" s="92"/>
      <c r="BU638" s="92"/>
      <c r="BV638" s="92"/>
      <c r="BW638" s="92"/>
      <c r="BX638" s="92"/>
      <c r="BY638" s="92"/>
      <c r="BZ638" s="92"/>
      <c r="CA638" s="92"/>
      <c r="CB638" s="92"/>
      <c r="CC638" s="92"/>
      <c r="CD638" s="92"/>
      <c r="CE638" s="92"/>
      <c r="CF638" s="92"/>
      <c r="CG638" s="92"/>
      <c r="CH638" s="92"/>
      <c r="CI638" s="92"/>
      <c r="CJ638" s="92"/>
      <c r="CK638" s="92"/>
      <c r="CL638" s="92"/>
      <c r="CM638" s="92"/>
      <c r="CN638" s="92"/>
      <c r="CO638" s="92"/>
      <c r="CP638" s="92"/>
      <c r="CQ638" s="92"/>
      <c r="CR638" s="92"/>
      <c r="CS638" s="92"/>
      <c r="CT638" s="92"/>
      <c r="CU638" s="92"/>
      <c r="CV638" s="92"/>
      <c r="CW638" s="92"/>
      <c r="CX638" s="92"/>
      <c r="CY638" s="92"/>
      <c r="CZ638" s="92"/>
      <c r="DA638" s="92"/>
      <c r="DB638" s="92"/>
      <c r="DC638" s="92"/>
      <c r="DD638" s="92"/>
      <c r="DE638" s="92"/>
      <c r="DF638" s="92"/>
      <c r="DG638" s="92"/>
      <c r="DH638" s="92"/>
      <c r="DI638" s="92"/>
      <c r="DJ638" s="92"/>
      <c r="DK638" s="92"/>
      <c r="DL638" s="92"/>
    </row>
    <row r="639" ht="20.25" customHeight="1">
      <c r="A639" s="808">
        <v>639.0</v>
      </c>
      <c r="B639" s="467" t="s">
        <v>152</v>
      </c>
      <c r="C639" s="467" t="s">
        <v>115</v>
      </c>
      <c r="D639" s="467" t="s">
        <v>990</v>
      </c>
      <c r="E639" s="468"/>
      <c r="F639" s="482" t="s">
        <v>3391</v>
      </c>
      <c r="G639" s="925" t="s">
        <v>3454</v>
      </c>
      <c r="H639" s="469" t="s">
        <v>144</v>
      </c>
      <c r="I639" s="471">
        <v>45489.0</v>
      </c>
      <c r="J639" s="784">
        <v>45638.0</v>
      </c>
      <c r="K639" s="482"/>
      <c r="L639" s="482"/>
      <c r="M639" s="469" t="s">
        <v>3393</v>
      </c>
      <c r="N639" s="469" t="s">
        <v>3394</v>
      </c>
      <c r="O639" s="926">
        <v>1.0</v>
      </c>
      <c r="P639" s="941" t="s">
        <v>3395</v>
      </c>
      <c r="Q639" s="927" t="str">
        <f t="array" ref="Q639"> if(iserror(MATCH(V639, 'File Links'!C:C, 0)), "N/A", HYPERLINK(INDEX('File Links'!B:B, MATCH(P639, 'File Links'!C:C, 0))))</f>
        <v>https://drive.google.com/file/d/13vglHZTPgv6z9W5xPGWG5OyE_h91M3UK/view?usp=drivesdk</v>
      </c>
      <c r="R639" s="469" t="s">
        <v>3396</v>
      </c>
      <c r="S639" s="469" t="s">
        <v>3397</v>
      </c>
      <c r="T639" s="482"/>
      <c r="U639" s="926">
        <v>1.0</v>
      </c>
      <c r="V639" s="469" t="str">
        <f t="shared" si="36"/>
        <v>10.12688--openreseurope.17749.1.pdf</v>
      </c>
      <c r="W639" s="469" t="s">
        <v>209</v>
      </c>
      <c r="X639" s="928" t="str">
        <f t="array" ref="X639"> if(iserror(MATCH(V639, 'File Links'!C:C, 0)), "N/A", HYPERLINK(INDEX('File Links'!B:B, MATCH(V639, 'File Links'!C:C, 0))))</f>
        <v>https://drive.google.com/file/d/17sgB6ScmXf8Wli1_dKWf0wpvxkNJRZtC/view?usp=drivesdk</v>
      </c>
      <c r="Y639" s="482"/>
      <c r="Z639" s="469" t="s">
        <v>148</v>
      </c>
      <c r="AA639" s="482" t="s">
        <v>3398</v>
      </c>
      <c r="AB639" s="482" t="s">
        <v>3399</v>
      </c>
      <c r="AC639" s="469" t="s">
        <v>3455</v>
      </c>
      <c r="AD639" s="482"/>
      <c r="AE639" s="926">
        <v>5.0</v>
      </c>
      <c r="AF639" s="926">
        <v>27.0</v>
      </c>
      <c r="AG639" s="929" t="s">
        <v>138</v>
      </c>
      <c r="AH639" s="475" t="s">
        <v>134</v>
      </c>
      <c r="AI639" s="923">
        <v>5.0</v>
      </c>
      <c r="AJ639" s="479">
        <v>0.455</v>
      </c>
      <c r="AK639" s="469" t="s">
        <v>172</v>
      </c>
      <c r="AL639" s="470" t="s">
        <v>186</v>
      </c>
      <c r="AM639" s="482" t="s">
        <v>137</v>
      </c>
      <c r="AN639" s="474" t="s">
        <v>138</v>
      </c>
      <c r="AO639" s="926">
        <v>32.0</v>
      </c>
      <c r="AP639" s="482"/>
      <c r="AQ639" s="469" t="s">
        <v>134</v>
      </c>
      <c r="AR639" s="926">
        <v>9.0</v>
      </c>
      <c r="AS639" s="926">
        <v>0.001</v>
      </c>
      <c r="AT639" s="469" t="s">
        <v>135</v>
      </c>
      <c r="AU639" s="469" t="s">
        <v>186</v>
      </c>
      <c r="AV639" s="482" t="s">
        <v>137</v>
      </c>
      <c r="AW639" s="923" t="s">
        <v>138</v>
      </c>
      <c r="AX639" s="482" t="s">
        <v>143</v>
      </c>
      <c r="AY639" s="61" t="str">
        <f>IFERROR(__xludf.DUMMYFUNCTION("vlookup(BB639,importrange(""https://docs.google.com/spreadsheets/d/1d2vevQ_7D_v35q4wCQ4RpQ_IPoTwEMB9Yp6ymwlPqew/edit?gid=984458430#gid=984458430"", ""'replication success'!A:K""), 11, FAlSE)"),"#N/A")</f>
        <v>#N/A</v>
      </c>
      <c r="AZ639" s="61" t="str">
        <f>IFERROR(__xludf.DUMMYFUNCTION("vlookup(BB639,importrange(""https://docs.google.com/spreadsheets/d/1d2vevQ_7D_v35q4wCQ4RpQ_IPoTwEMB9Yp6ymwlPqew/edit?gid=984458430#gid=984458430"", ""'replication success'!A:M""), 12, FAlSE)"),"#N/A")</f>
        <v>#N/A</v>
      </c>
      <c r="BA639" s="61" t="str">
        <f>IFERROR(__xludf.DUMMYFUNCTION("vlookup(BB639,importrange(""https://docs.google.com/spreadsheets/d/1d2vevQ_7D_v35q4wCQ4RpQ_IPoTwEMB9Yp6ymwlPqew/edit?gid=984458430#gid=984458430"", ""'replication success'!A:M""), 13, FAlSE)"),"#N/A")</f>
        <v>#N/A</v>
      </c>
      <c r="BB639" s="61" t="str">
        <f>IFERROR(__xludf.DUMMYFUNCTION("REGEXREPLACE(G639, ""_[a-z]{1,2}$"", """")"),"additional_studies90")</f>
        <v>additional_studies90</v>
      </c>
      <c r="BC639" s="482"/>
      <c r="BD639" s="924" t="s">
        <v>692</v>
      </c>
      <c r="BE639" s="468"/>
      <c r="BF639" s="468"/>
      <c r="BG639" s="468"/>
      <c r="BH639" s="468"/>
      <c r="BI639" s="468"/>
      <c r="BJ639" s="468"/>
      <c r="BK639" s="468"/>
      <c r="BL639" s="468"/>
      <c r="BM639" s="468"/>
      <c r="BN639" s="468"/>
      <c r="BO639" s="468"/>
      <c r="BP639" s="468"/>
      <c r="BQ639" s="468"/>
      <c r="BR639" s="468"/>
      <c r="BS639" s="468"/>
      <c r="BT639" s="468"/>
      <c r="BU639" s="468"/>
      <c r="BV639" s="468"/>
      <c r="BW639" s="468"/>
      <c r="BX639" s="468"/>
      <c r="BY639" s="468"/>
      <c r="BZ639" s="468"/>
      <c r="CA639" s="468"/>
      <c r="CB639" s="468"/>
      <c r="CC639" s="468"/>
      <c r="CD639" s="468"/>
      <c r="CE639" s="468"/>
      <c r="CF639" s="468"/>
      <c r="CG639" s="468"/>
      <c r="CH639" s="468"/>
      <c r="CI639" s="468"/>
      <c r="CJ639" s="468"/>
      <c r="CK639" s="468"/>
      <c r="CL639" s="468"/>
      <c r="CM639" s="468"/>
      <c r="CN639" s="468"/>
      <c r="CO639" s="468"/>
      <c r="CP639" s="468"/>
      <c r="CQ639" s="468"/>
      <c r="CR639" s="468"/>
      <c r="CS639" s="468"/>
      <c r="CT639" s="468"/>
      <c r="CU639" s="468"/>
      <c r="CV639" s="468"/>
      <c r="CW639" s="468"/>
      <c r="CX639" s="468"/>
      <c r="CY639" s="468"/>
      <c r="CZ639" s="468"/>
      <c r="DA639" s="468"/>
      <c r="DB639" s="468"/>
      <c r="DC639" s="468"/>
      <c r="DD639" s="468"/>
      <c r="DE639" s="468"/>
      <c r="DF639" s="468"/>
      <c r="DG639" s="468"/>
      <c r="DH639" s="468"/>
      <c r="DI639" s="468"/>
      <c r="DJ639" s="468"/>
      <c r="DK639" s="468"/>
      <c r="DL639" s="468"/>
    </row>
    <row r="640" ht="20.25" customHeight="1">
      <c r="A640" s="73">
        <v>640.0</v>
      </c>
      <c r="B640" s="93" t="s">
        <v>152</v>
      </c>
      <c r="C640" s="93" t="s">
        <v>115</v>
      </c>
      <c r="D640" s="93" t="s">
        <v>990</v>
      </c>
      <c r="E640" s="92"/>
      <c r="F640" s="94" t="s">
        <v>3391</v>
      </c>
      <c r="G640" s="922" t="s">
        <v>3456</v>
      </c>
      <c r="H640" s="95" t="s">
        <v>144</v>
      </c>
      <c r="I640" s="853">
        <v>45489.0</v>
      </c>
      <c r="J640" s="629">
        <v>45638.0</v>
      </c>
      <c r="K640" s="94"/>
      <c r="L640" s="94"/>
      <c r="M640" s="95" t="s">
        <v>3393</v>
      </c>
      <c r="N640" s="95" t="s">
        <v>3394</v>
      </c>
      <c r="O640" s="98">
        <v>1.0</v>
      </c>
      <c r="P640" s="937" t="s">
        <v>3395</v>
      </c>
      <c r="Q640" s="893" t="str">
        <f t="array" ref="Q640"> if(iserror(MATCH(V640, 'File Links'!C:C, 0)), "N/A", HYPERLINK(INDEX('File Links'!B:B, MATCH(P640, 'File Links'!C:C, 0))))</f>
        <v>https://drive.google.com/file/d/13vglHZTPgv6z9W5xPGWG5OyE_h91M3UK/view?usp=drivesdk</v>
      </c>
      <c r="R640" s="95" t="s">
        <v>3396</v>
      </c>
      <c r="S640" s="95" t="s">
        <v>3397</v>
      </c>
      <c r="T640" s="94"/>
      <c r="U640" s="98">
        <v>1.0</v>
      </c>
      <c r="V640" s="95" t="str">
        <f t="shared" si="36"/>
        <v>10.12688--openreseurope.17749.1.pdf</v>
      </c>
      <c r="W640" s="95" t="s">
        <v>209</v>
      </c>
      <c r="X640" s="894" t="str">
        <f t="array" ref="X640"> if(iserror(MATCH(V640, 'File Links'!C:C, 0)), "N/A", HYPERLINK(INDEX('File Links'!B:B, MATCH(V640, 'File Links'!C:C, 0))))</f>
        <v>https://drive.google.com/file/d/17sgB6ScmXf8Wli1_dKWf0wpvxkNJRZtC/view?usp=drivesdk</v>
      </c>
      <c r="Y640" s="94"/>
      <c r="Z640" s="95" t="s">
        <v>148</v>
      </c>
      <c r="AA640" s="94" t="s">
        <v>3398</v>
      </c>
      <c r="AB640" s="94" t="s">
        <v>3399</v>
      </c>
      <c r="AC640" s="95" t="s">
        <v>3457</v>
      </c>
      <c r="AD640" s="94"/>
      <c r="AE640" s="98">
        <v>5.0</v>
      </c>
      <c r="AF640" s="98">
        <v>27.0</v>
      </c>
      <c r="AG640" s="98">
        <v>2.87</v>
      </c>
      <c r="AH640" s="99" t="s">
        <v>134</v>
      </c>
      <c r="AI640" s="923">
        <v>5.0</v>
      </c>
      <c r="AJ640" s="635">
        <v>0.072</v>
      </c>
      <c r="AK640" s="95" t="s">
        <v>172</v>
      </c>
      <c r="AL640" s="76" t="s">
        <v>186</v>
      </c>
      <c r="AM640" s="94" t="s">
        <v>137</v>
      </c>
      <c r="AN640" s="79" t="s">
        <v>138</v>
      </c>
      <c r="AO640" s="98">
        <v>32.0</v>
      </c>
      <c r="AP640" s="98">
        <v>5.39</v>
      </c>
      <c r="AQ640" s="95" t="s">
        <v>134</v>
      </c>
      <c r="AR640" s="98">
        <v>9.0</v>
      </c>
      <c r="AS640" s="98">
        <v>0.001</v>
      </c>
      <c r="AT640" s="95" t="s">
        <v>135</v>
      </c>
      <c r="AU640" s="95" t="s">
        <v>186</v>
      </c>
      <c r="AV640" s="94" t="s">
        <v>137</v>
      </c>
      <c r="AW640" s="923" t="s">
        <v>138</v>
      </c>
      <c r="AX640" s="94" t="s">
        <v>143</v>
      </c>
      <c r="AY640" s="61" t="str">
        <f>IFERROR(__xludf.DUMMYFUNCTION("vlookup(BB640,importrange(""https://docs.google.com/spreadsheets/d/1d2vevQ_7D_v35q4wCQ4RpQ_IPoTwEMB9Yp6ymwlPqew/edit?gid=984458430#gid=984458430"", ""'replication success'!A:K""), 11, FAlSE)"),"#N/A")</f>
        <v>#N/A</v>
      </c>
      <c r="AZ640" s="61" t="str">
        <f>IFERROR(__xludf.DUMMYFUNCTION("vlookup(BB640,importrange(""https://docs.google.com/spreadsheets/d/1d2vevQ_7D_v35q4wCQ4RpQ_IPoTwEMB9Yp6ymwlPqew/edit?gid=984458430#gid=984458430"", ""'replication success'!A:M""), 12, FAlSE)"),"#N/A")</f>
        <v>#N/A</v>
      </c>
      <c r="BA640" s="61" t="str">
        <f>IFERROR(__xludf.DUMMYFUNCTION("vlookup(BB640,importrange(""https://docs.google.com/spreadsheets/d/1d2vevQ_7D_v35q4wCQ4RpQ_IPoTwEMB9Yp6ymwlPqew/edit?gid=984458430#gid=984458430"", ""'replication success'!A:M""), 13, FAlSE)"),"#N/A")</f>
        <v>#N/A</v>
      </c>
      <c r="BB640" s="61" t="str">
        <f>IFERROR(__xludf.DUMMYFUNCTION("REGEXREPLACE(G640, ""_[a-z]{1,2}$"", """")"),"additional_studies90")</f>
        <v>additional_studies90</v>
      </c>
      <c r="BC640" s="94"/>
      <c r="BD640" s="924" t="s">
        <v>692</v>
      </c>
      <c r="BE640" s="92"/>
      <c r="BF640" s="92"/>
      <c r="BG640" s="92"/>
      <c r="BH640" s="92"/>
      <c r="BI640" s="92"/>
      <c r="BJ640" s="92"/>
      <c r="BK640" s="92"/>
      <c r="BL640" s="92"/>
      <c r="BM640" s="92"/>
      <c r="BN640" s="92"/>
      <c r="BO640" s="92"/>
      <c r="BP640" s="92"/>
      <c r="BQ640" s="92"/>
      <c r="BR640" s="92"/>
      <c r="BS640" s="92"/>
      <c r="BT640" s="92"/>
      <c r="BU640" s="92"/>
      <c r="BV640" s="92"/>
      <c r="BW640" s="92"/>
      <c r="BX640" s="92"/>
      <c r="BY640" s="92"/>
      <c r="BZ640" s="92"/>
      <c r="CA640" s="92"/>
      <c r="CB640" s="92"/>
      <c r="CC640" s="92"/>
      <c r="CD640" s="92"/>
      <c r="CE640" s="92"/>
      <c r="CF640" s="92"/>
      <c r="CG640" s="92"/>
      <c r="CH640" s="92"/>
      <c r="CI640" s="92"/>
      <c r="CJ640" s="92"/>
      <c r="CK640" s="92"/>
      <c r="CL640" s="92"/>
      <c r="CM640" s="92"/>
      <c r="CN640" s="92"/>
      <c r="CO640" s="92"/>
      <c r="CP640" s="92"/>
      <c r="CQ640" s="92"/>
      <c r="CR640" s="92"/>
      <c r="CS640" s="92"/>
      <c r="CT640" s="92"/>
      <c r="CU640" s="92"/>
      <c r="CV640" s="92"/>
      <c r="CW640" s="92"/>
      <c r="CX640" s="92"/>
      <c r="CY640" s="92"/>
      <c r="CZ640" s="92"/>
      <c r="DA640" s="92"/>
      <c r="DB640" s="92"/>
      <c r="DC640" s="92"/>
      <c r="DD640" s="92"/>
      <c r="DE640" s="92"/>
      <c r="DF640" s="92"/>
      <c r="DG640" s="92"/>
      <c r="DH640" s="92"/>
      <c r="DI640" s="92"/>
      <c r="DJ640" s="92"/>
      <c r="DK640" s="92"/>
      <c r="DL640" s="92"/>
    </row>
    <row r="641" ht="20.25" customHeight="1">
      <c r="A641" s="73">
        <v>641.0</v>
      </c>
      <c r="B641" s="93" t="s">
        <v>152</v>
      </c>
      <c r="C641" s="93" t="s">
        <v>115</v>
      </c>
      <c r="D641" s="93" t="s">
        <v>990</v>
      </c>
      <c r="E641" s="92"/>
      <c r="F641" s="94" t="s">
        <v>3391</v>
      </c>
      <c r="G641" s="922" t="s">
        <v>3458</v>
      </c>
      <c r="H641" s="95" t="s">
        <v>144</v>
      </c>
      <c r="I641" s="853">
        <v>45489.0</v>
      </c>
      <c r="J641" s="629">
        <v>45638.0</v>
      </c>
      <c r="K641" s="94"/>
      <c r="L641" s="94"/>
      <c r="M641" s="95" t="s">
        <v>3393</v>
      </c>
      <c r="N641" s="95" t="s">
        <v>3394</v>
      </c>
      <c r="O641" s="98">
        <v>1.0</v>
      </c>
      <c r="P641" s="937" t="s">
        <v>3395</v>
      </c>
      <c r="Q641" s="893" t="str">
        <f t="array" ref="Q641"> if(iserror(MATCH(V641, 'File Links'!C:C, 0)), "N/A", HYPERLINK(INDEX('File Links'!B:B, MATCH(P641, 'File Links'!C:C, 0))))</f>
        <v>https://drive.google.com/file/d/13vglHZTPgv6z9W5xPGWG5OyE_h91M3UK/view?usp=drivesdk</v>
      </c>
      <c r="R641" s="95" t="s">
        <v>3396</v>
      </c>
      <c r="S641" s="95" t="s">
        <v>3397</v>
      </c>
      <c r="T641" s="94"/>
      <c r="U641" s="98">
        <v>1.0</v>
      </c>
      <c r="V641" s="95" t="str">
        <f t="shared" si="36"/>
        <v>10.12688--openreseurope.17749.1.pdf</v>
      </c>
      <c r="W641" s="95" t="s">
        <v>209</v>
      </c>
      <c r="X641" s="894" t="str">
        <f t="array" ref="X641"> if(iserror(MATCH(V641, 'File Links'!C:C, 0)), "N/A", HYPERLINK(INDEX('File Links'!B:B, MATCH(V641, 'File Links'!C:C, 0))))</f>
        <v>https://drive.google.com/file/d/17sgB6ScmXf8Wli1_dKWf0wpvxkNJRZtC/view?usp=drivesdk</v>
      </c>
      <c r="Y641" s="94"/>
      <c r="Z641" s="95" t="s">
        <v>148</v>
      </c>
      <c r="AA641" s="94" t="s">
        <v>3398</v>
      </c>
      <c r="AB641" s="94" t="s">
        <v>3399</v>
      </c>
      <c r="AC641" s="95" t="s">
        <v>3459</v>
      </c>
      <c r="AD641" s="94"/>
      <c r="AE641" s="98">
        <v>5.0</v>
      </c>
      <c r="AF641" s="98">
        <v>27.0</v>
      </c>
      <c r="AG641" s="98">
        <v>0.811</v>
      </c>
      <c r="AH641" s="99" t="s">
        <v>134</v>
      </c>
      <c r="AI641" s="923">
        <v>5.0</v>
      </c>
      <c r="AJ641" s="635">
        <v>0.421</v>
      </c>
      <c r="AK641" s="95" t="s">
        <v>172</v>
      </c>
      <c r="AL641" s="76" t="s">
        <v>186</v>
      </c>
      <c r="AM641" s="94" t="s">
        <v>137</v>
      </c>
      <c r="AN641" s="79" t="s">
        <v>138</v>
      </c>
      <c r="AO641" s="98">
        <v>32.0</v>
      </c>
      <c r="AP641" s="98">
        <v>1.33</v>
      </c>
      <c r="AQ641" s="95" t="s">
        <v>134</v>
      </c>
      <c r="AR641" s="98">
        <v>9.0</v>
      </c>
      <c r="AS641" s="98">
        <v>0.272</v>
      </c>
      <c r="AT641" s="95" t="s">
        <v>172</v>
      </c>
      <c r="AU641" s="95" t="s">
        <v>186</v>
      </c>
      <c r="AV641" s="94" t="s">
        <v>137</v>
      </c>
      <c r="AW641" s="923" t="s">
        <v>138</v>
      </c>
      <c r="AX641" s="94" t="s">
        <v>143</v>
      </c>
      <c r="AY641" s="61" t="str">
        <f>IFERROR(__xludf.DUMMYFUNCTION("vlookup(BB641,importrange(""https://docs.google.com/spreadsheets/d/1d2vevQ_7D_v35q4wCQ4RpQ_IPoTwEMB9Yp6ymwlPqew/edit?gid=984458430#gid=984458430"", ""'replication success'!A:K""), 11, FAlSE)"),"#N/A")</f>
        <v>#N/A</v>
      </c>
      <c r="AZ641" s="61" t="str">
        <f>IFERROR(__xludf.DUMMYFUNCTION("vlookup(BB641,importrange(""https://docs.google.com/spreadsheets/d/1d2vevQ_7D_v35q4wCQ4RpQ_IPoTwEMB9Yp6ymwlPqew/edit?gid=984458430#gid=984458430"", ""'replication success'!A:M""), 12, FAlSE)"),"#N/A")</f>
        <v>#N/A</v>
      </c>
      <c r="BA641" s="61" t="str">
        <f>IFERROR(__xludf.DUMMYFUNCTION("vlookup(BB641,importrange(""https://docs.google.com/spreadsheets/d/1d2vevQ_7D_v35q4wCQ4RpQ_IPoTwEMB9Yp6ymwlPqew/edit?gid=984458430#gid=984458430"", ""'replication success'!A:M""), 13, FAlSE)"),"#N/A")</f>
        <v>#N/A</v>
      </c>
      <c r="BB641" s="61" t="str">
        <f>IFERROR(__xludf.DUMMYFUNCTION("REGEXREPLACE(G641, ""_[a-z]{1,2}$"", """")"),"additional_studies90")</f>
        <v>additional_studies90</v>
      </c>
      <c r="BC641" s="94"/>
      <c r="BD641" s="924" t="s">
        <v>692</v>
      </c>
      <c r="BE641" s="92"/>
      <c r="BF641" s="92"/>
      <c r="BG641" s="92"/>
      <c r="BH641" s="92"/>
      <c r="BI641" s="92"/>
      <c r="BJ641" s="92"/>
      <c r="BK641" s="92"/>
      <c r="BL641" s="92"/>
      <c r="BM641" s="92"/>
      <c r="BN641" s="92"/>
      <c r="BO641" s="92"/>
      <c r="BP641" s="92"/>
      <c r="BQ641" s="92"/>
      <c r="BR641" s="92"/>
      <c r="BS641" s="92"/>
      <c r="BT641" s="92"/>
      <c r="BU641" s="92"/>
      <c r="BV641" s="92"/>
      <c r="BW641" s="92"/>
      <c r="BX641" s="92"/>
      <c r="BY641" s="92"/>
      <c r="BZ641" s="92"/>
      <c r="CA641" s="92"/>
      <c r="CB641" s="92"/>
      <c r="CC641" s="92"/>
      <c r="CD641" s="92"/>
      <c r="CE641" s="92"/>
      <c r="CF641" s="92"/>
      <c r="CG641" s="92"/>
      <c r="CH641" s="92"/>
      <c r="CI641" s="92"/>
      <c r="CJ641" s="92"/>
      <c r="CK641" s="92"/>
      <c r="CL641" s="92"/>
      <c r="CM641" s="92"/>
      <c r="CN641" s="92"/>
      <c r="CO641" s="92"/>
      <c r="CP641" s="92"/>
      <c r="CQ641" s="92"/>
      <c r="CR641" s="92"/>
      <c r="CS641" s="92"/>
      <c r="CT641" s="92"/>
      <c r="CU641" s="92"/>
      <c r="CV641" s="92"/>
      <c r="CW641" s="92"/>
      <c r="CX641" s="92"/>
      <c r="CY641" s="92"/>
      <c r="CZ641" s="92"/>
      <c r="DA641" s="92"/>
      <c r="DB641" s="92"/>
      <c r="DC641" s="92"/>
      <c r="DD641" s="92"/>
      <c r="DE641" s="92"/>
      <c r="DF641" s="92"/>
      <c r="DG641" s="92"/>
      <c r="DH641" s="92"/>
      <c r="DI641" s="92"/>
      <c r="DJ641" s="92"/>
      <c r="DK641" s="92"/>
      <c r="DL641" s="92"/>
    </row>
    <row r="642" ht="20.25" customHeight="1">
      <c r="A642" s="73">
        <v>642.0</v>
      </c>
      <c r="B642" s="93" t="s">
        <v>152</v>
      </c>
      <c r="C642" s="93" t="s">
        <v>115</v>
      </c>
      <c r="D642" s="93" t="s">
        <v>990</v>
      </c>
      <c r="E642" s="92"/>
      <c r="F642" s="94" t="s">
        <v>3391</v>
      </c>
      <c r="G642" s="922" t="s">
        <v>3460</v>
      </c>
      <c r="H642" s="95" t="s">
        <v>144</v>
      </c>
      <c r="I642" s="853">
        <v>45489.0</v>
      </c>
      <c r="J642" s="629">
        <v>45638.0</v>
      </c>
      <c r="K642" s="94"/>
      <c r="L642" s="94"/>
      <c r="M642" s="95" t="s">
        <v>3393</v>
      </c>
      <c r="N642" s="95" t="s">
        <v>3394</v>
      </c>
      <c r="O642" s="98">
        <v>1.0</v>
      </c>
      <c r="P642" s="937" t="s">
        <v>3395</v>
      </c>
      <c r="Q642" s="893" t="str">
        <f t="array" ref="Q642"> if(iserror(MATCH(V642, 'File Links'!C:C, 0)), "N/A", HYPERLINK(INDEX('File Links'!B:B, MATCH(P642, 'File Links'!C:C, 0))))</f>
        <v>https://drive.google.com/file/d/13vglHZTPgv6z9W5xPGWG5OyE_h91M3UK/view?usp=drivesdk</v>
      </c>
      <c r="R642" s="95" t="s">
        <v>3396</v>
      </c>
      <c r="S642" s="95" t="s">
        <v>3397</v>
      </c>
      <c r="T642" s="94"/>
      <c r="U642" s="98">
        <v>1.0</v>
      </c>
      <c r="V642" s="95" t="str">
        <f t="shared" si="36"/>
        <v>10.12688--openreseurope.17749.1.pdf</v>
      </c>
      <c r="W642" s="95" t="s">
        <v>209</v>
      </c>
      <c r="X642" s="894" t="str">
        <f t="array" ref="X642"> if(iserror(MATCH(V642, 'File Links'!C:C, 0)), "N/A", HYPERLINK(INDEX('File Links'!B:B, MATCH(V642, 'File Links'!C:C, 0))))</f>
        <v>https://drive.google.com/file/d/17sgB6ScmXf8Wli1_dKWf0wpvxkNJRZtC/view?usp=drivesdk</v>
      </c>
      <c r="Y642" s="94"/>
      <c r="Z642" s="95" t="s">
        <v>148</v>
      </c>
      <c r="AA642" s="94" t="s">
        <v>3398</v>
      </c>
      <c r="AB642" s="94" t="s">
        <v>3399</v>
      </c>
      <c r="AC642" s="95" t="s">
        <v>3461</v>
      </c>
      <c r="AD642" s="94"/>
      <c r="AE642" s="98">
        <v>5.0</v>
      </c>
      <c r="AF642" s="98">
        <v>27.0</v>
      </c>
      <c r="AG642" s="98">
        <v>0.47</v>
      </c>
      <c r="AH642" s="99" t="s">
        <v>134</v>
      </c>
      <c r="AI642" s="923">
        <v>5.0</v>
      </c>
      <c r="AJ642" s="635">
        <v>0.644</v>
      </c>
      <c r="AK642" s="95" t="s">
        <v>172</v>
      </c>
      <c r="AL642" s="76" t="s">
        <v>186</v>
      </c>
      <c r="AM642" s="94" t="s">
        <v>137</v>
      </c>
      <c r="AN642" s="79" t="s">
        <v>138</v>
      </c>
      <c r="AO642" s="98">
        <v>32.0</v>
      </c>
      <c r="AP642" s="98">
        <v>0.01</v>
      </c>
      <c r="AQ642" s="95" t="s">
        <v>134</v>
      </c>
      <c r="AR642" s="98">
        <v>9.0</v>
      </c>
      <c r="AS642" s="98">
        <v>0.999</v>
      </c>
      <c r="AT642" s="95" t="s">
        <v>335</v>
      </c>
      <c r="AU642" s="95" t="s">
        <v>186</v>
      </c>
      <c r="AV642" s="94" t="s">
        <v>137</v>
      </c>
      <c r="AW642" s="923" t="s">
        <v>138</v>
      </c>
      <c r="AX642" s="94" t="s">
        <v>143</v>
      </c>
      <c r="AY642" s="61" t="str">
        <f>IFERROR(__xludf.DUMMYFUNCTION("vlookup(BB642,importrange(""https://docs.google.com/spreadsheets/d/1d2vevQ_7D_v35q4wCQ4RpQ_IPoTwEMB9Yp6ymwlPqew/edit?gid=984458430#gid=984458430"", ""'replication success'!A:K""), 11, FAlSE)"),"#N/A")</f>
        <v>#N/A</v>
      </c>
      <c r="AZ642" s="61" t="str">
        <f>IFERROR(__xludf.DUMMYFUNCTION("vlookup(BB642,importrange(""https://docs.google.com/spreadsheets/d/1d2vevQ_7D_v35q4wCQ4RpQ_IPoTwEMB9Yp6ymwlPqew/edit?gid=984458430#gid=984458430"", ""'replication success'!A:M""), 12, FAlSE)"),"#N/A")</f>
        <v>#N/A</v>
      </c>
      <c r="BA642" s="61" t="str">
        <f>IFERROR(__xludf.DUMMYFUNCTION("vlookup(BB642,importrange(""https://docs.google.com/spreadsheets/d/1d2vevQ_7D_v35q4wCQ4RpQ_IPoTwEMB9Yp6ymwlPqew/edit?gid=984458430#gid=984458430"", ""'replication success'!A:M""), 13, FAlSE)"),"#N/A")</f>
        <v>#N/A</v>
      </c>
      <c r="BB642" s="61" t="str">
        <f>IFERROR(__xludf.DUMMYFUNCTION("REGEXREPLACE(G642, ""_[a-z]{1,2}$"", """")"),"additional_studies90")</f>
        <v>additional_studies90</v>
      </c>
      <c r="BC642" s="94"/>
      <c r="BD642" s="924" t="s">
        <v>692</v>
      </c>
      <c r="BE642" s="92"/>
      <c r="BF642" s="92"/>
      <c r="BG642" s="92"/>
      <c r="BH642" s="92"/>
      <c r="BI642" s="92"/>
      <c r="BJ642" s="92"/>
      <c r="BK642" s="92"/>
      <c r="BL642" s="92"/>
      <c r="BM642" s="92"/>
      <c r="BN642" s="92"/>
      <c r="BO642" s="92"/>
      <c r="BP642" s="92"/>
      <c r="BQ642" s="92"/>
      <c r="BR642" s="92"/>
      <c r="BS642" s="92"/>
      <c r="BT642" s="92"/>
      <c r="BU642" s="92"/>
      <c r="BV642" s="92"/>
      <c r="BW642" s="92"/>
      <c r="BX642" s="92"/>
      <c r="BY642" s="92"/>
      <c r="BZ642" s="92"/>
      <c r="CA642" s="92"/>
      <c r="CB642" s="92"/>
      <c r="CC642" s="92"/>
      <c r="CD642" s="92"/>
      <c r="CE642" s="92"/>
      <c r="CF642" s="92"/>
      <c r="CG642" s="92"/>
      <c r="CH642" s="92"/>
      <c r="CI642" s="92"/>
      <c r="CJ642" s="92"/>
      <c r="CK642" s="92"/>
      <c r="CL642" s="92"/>
      <c r="CM642" s="92"/>
      <c r="CN642" s="92"/>
      <c r="CO642" s="92"/>
      <c r="CP642" s="92"/>
      <c r="CQ642" s="92"/>
      <c r="CR642" s="92"/>
      <c r="CS642" s="92"/>
      <c r="CT642" s="92"/>
      <c r="CU642" s="92"/>
      <c r="CV642" s="92"/>
      <c r="CW642" s="92"/>
      <c r="CX642" s="92"/>
      <c r="CY642" s="92"/>
      <c r="CZ642" s="92"/>
      <c r="DA642" s="92"/>
      <c r="DB642" s="92"/>
      <c r="DC642" s="92"/>
      <c r="DD642" s="92"/>
      <c r="DE642" s="92"/>
      <c r="DF642" s="92"/>
      <c r="DG642" s="92"/>
      <c r="DH642" s="92"/>
      <c r="DI642" s="92"/>
      <c r="DJ642" s="92"/>
      <c r="DK642" s="92"/>
      <c r="DL642" s="92"/>
    </row>
    <row r="643" ht="20.25" customHeight="1">
      <c r="A643" s="808">
        <v>643.0</v>
      </c>
      <c r="B643" s="467" t="s">
        <v>152</v>
      </c>
      <c r="C643" s="467" t="s">
        <v>115</v>
      </c>
      <c r="D643" s="467" t="s">
        <v>990</v>
      </c>
      <c r="E643" s="468"/>
      <c r="F643" s="482" t="s">
        <v>3391</v>
      </c>
      <c r="G643" s="925" t="s">
        <v>3462</v>
      </c>
      <c r="H643" s="469" t="s">
        <v>144</v>
      </c>
      <c r="I643" s="471">
        <v>45489.0</v>
      </c>
      <c r="J643" s="784">
        <v>45638.0</v>
      </c>
      <c r="K643" s="482"/>
      <c r="L643" s="482"/>
      <c r="M643" s="469" t="s">
        <v>3393</v>
      </c>
      <c r="N643" s="469" t="s">
        <v>3394</v>
      </c>
      <c r="O643" s="926">
        <v>1.0</v>
      </c>
      <c r="P643" s="941" t="s">
        <v>3395</v>
      </c>
      <c r="Q643" s="927" t="str">
        <f t="array" ref="Q643"> if(iserror(MATCH(V643, 'File Links'!C:C, 0)), "N/A", HYPERLINK(INDEX('File Links'!B:B, MATCH(P643, 'File Links'!C:C, 0))))</f>
        <v>https://drive.google.com/file/d/13vglHZTPgv6z9W5xPGWG5OyE_h91M3UK/view?usp=drivesdk</v>
      </c>
      <c r="R643" s="469" t="s">
        <v>3396</v>
      </c>
      <c r="S643" s="469" t="s">
        <v>3397</v>
      </c>
      <c r="T643" s="482"/>
      <c r="U643" s="926">
        <v>1.0</v>
      </c>
      <c r="V643" s="469" t="str">
        <f t="shared" si="36"/>
        <v>10.12688--openreseurope.17749.1.pdf</v>
      </c>
      <c r="W643" s="469" t="s">
        <v>209</v>
      </c>
      <c r="X643" s="928" t="str">
        <f t="array" ref="X643"> if(iserror(MATCH(V643, 'File Links'!C:C, 0)), "N/A", HYPERLINK(INDEX('File Links'!B:B, MATCH(V643, 'File Links'!C:C, 0))))</f>
        <v>https://drive.google.com/file/d/17sgB6ScmXf8Wli1_dKWf0wpvxkNJRZtC/view?usp=drivesdk</v>
      </c>
      <c r="Y643" s="482"/>
      <c r="Z643" s="469" t="s">
        <v>148</v>
      </c>
      <c r="AA643" s="482" t="s">
        <v>3398</v>
      </c>
      <c r="AB643" s="482" t="s">
        <v>3399</v>
      </c>
      <c r="AC643" s="469" t="s">
        <v>3463</v>
      </c>
      <c r="AD643" s="482"/>
      <c r="AE643" s="926">
        <v>5.0</v>
      </c>
      <c r="AF643" s="926">
        <v>27.0</v>
      </c>
      <c r="AG643" s="929" t="s">
        <v>138</v>
      </c>
      <c r="AH643" s="475" t="s">
        <v>134</v>
      </c>
      <c r="AI643" s="923">
        <v>5.0</v>
      </c>
      <c r="AJ643" s="479">
        <v>0.227</v>
      </c>
      <c r="AK643" s="469" t="s">
        <v>172</v>
      </c>
      <c r="AL643" s="470" t="s">
        <v>186</v>
      </c>
      <c r="AM643" s="482" t="s">
        <v>137</v>
      </c>
      <c r="AN643" s="474" t="s">
        <v>138</v>
      </c>
      <c r="AO643" s="926">
        <v>32.0</v>
      </c>
      <c r="AP643" s="482"/>
      <c r="AQ643" s="469" t="s">
        <v>134</v>
      </c>
      <c r="AR643" s="926">
        <v>9.0</v>
      </c>
      <c r="AS643" s="926">
        <v>0.993</v>
      </c>
      <c r="AT643" s="469" t="s">
        <v>172</v>
      </c>
      <c r="AU643" s="469" t="s">
        <v>186</v>
      </c>
      <c r="AV643" s="482" t="s">
        <v>137</v>
      </c>
      <c r="AW643" s="923" t="s">
        <v>138</v>
      </c>
      <c r="AX643" s="482" t="s">
        <v>143</v>
      </c>
      <c r="AY643" s="61" t="str">
        <f>IFERROR(__xludf.DUMMYFUNCTION("vlookup(BB643,importrange(""https://docs.google.com/spreadsheets/d/1d2vevQ_7D_v35q4wCQ4RpQ_IPoTwEMB9Yp6ymwlPqew/edit?gid=984458430#gid=984458430"", ""'replication success'!A:K""), 11, FAlSE)"),"#N/A")</f>
        <v>#N/A</v>
      </c>
      <c r="AZ643" s="61" t="str">
        <f>IFERROR(__xludf.DUMMYFUNCTION("vlookup(BB643,importrange(""https://docs.google.com/spreadsheets/d/1d2vevQ_7D_v35q4wCQ4RpQ_IPoTwEMB9Yp6ymwlPqew/edit?gid=984458430#gid=984458430"", ""'replication success'!A:M""), 12, FAlSE)"),"#N/A")</f>
        <v>#N/A</v>
      </c>
      <c r="BA643" s="61" t="str">
        <f>IFERROR(__xludf.DUMMYFUNCTION("vlookup(BB643,importrange(""https://docs.google.com/spreadsheets/d/1d2vevQ_7D_v35q4wCQ4RpQ_IPoTwEMB9Yp6ymwlPqew/edit?gid=984458430#gid=984458430"", ""'replication success'!A:M""), 13, FAlSE)"),"#N/A")</f>
        <v>#N/A</v>
      </c>
      <c r="BB643" s="61" t="str">
        <f>IFERROR(__xludf.DUMMYFUNCTION("REGEXREPLACE(G643, ""_[a-z]{1,2}$"", """")"),"additional_studies90")</f>
        <v>additional_studies90</v>
      </c>
      <c r="BC643" s="482"/>
      <c r="BD643" s="924" t="s">
        <v>692</v>
      </c>
      <c r="BE643" s="468"/>
      <c r="BF643" s="468"/>
      <c r="BG643" s="468"/>
      <c r="BH643" s="468"/>
      <c r="BI643" s="468"/>
      <c r="BJ643" s="468"/>
      <c r="BK643" s="468"/>
      <c r="BL643" s="468"/>
      <c r="BM643" s="468"/>
      <c r="BN643" s="468"/>
      <c r="BO643" s="468"/>
      <c r="BP643" s="468"/>
      <c r="BQ643" s="468"/>
      <c r="BR643" s="468"/>
      <c r="BS643" s="468"/>
      <c r="BT643" s="468"/>
      <c r="BU643" s="468"/>
      <c r="BV643" s="468"/>
      <c r="BW643" s="468"/>
      <c r="BX643" s="468"/>
      <c r="BY643" s="468"/>
      <c r="BZ643" s="468"/>
      <c r="CA643" s="468"/>
      <c r="CB643" s="468"/>
      <c r="CC643" s="468"/>
      <c r="CD643" s="468"/>
      <c r="CE643" s="468"/>
      <c r="CF643" s="468"/>
      <c r="CG643" s="468"/>
      <c r="CH643" s="468"/>
      <c r="CI643" s="468"/>
      <c r="CJ643" s="468"/>
      <c r="CK643" s="468"/>
      <c r="CL643" s="468"/>
      <c r="CM643" s="468"/>
      <c r="CN643" s="468"/>
      <c r="CO643" s="468"/>
      <c r="CP643" s="468"/>
      <c r="CQ643" s="468"/>
      <c r="CR643" s="468"/>
      <c r="CS643" s="468"/>
      <c r="CT643" s="468"/>
      <c r="CU643" s="468"/>
      <c r="CV643" s="468"/>
      <c r="CW643" s="468"/>
      <c r="CX643" s="468"/>
      <c r="CY643" s="468"/>
      <c r="CZ643" s="468"/>
      <c r="DA643" s="468"/>
      <c r="DB643" s="468"/>
      <c r="DC643" s="468"/>
      <c r="DD643" s="468"/>
      <c r="DE643" s="468"/>
      <c r="DF643" s="468"/>
      <c r="DG643" s="468"/>
      <c r="DH643" s="468"/>
      <c r="DI643" s="468"/>
      <c r="DJ643" s="468"/>
      <c r="DK643" s="468"/>
      <c r="DL643" s="468"/>
    </row>
    <row r="644" ht="20.25" customHeight="1">
      <c r="A644" s="73">
        <v>644.0</v>
      </c>
      <c r="B644" s="93" t="s">
        <v>152</v>
      </c>
      <c r="C644" s="93" t="s">
        <v>115</v>
      </c>
      <c r="D644" s="93" t="s">
        <v>990</v>
      </c>
      <c r="E644" s="92"/>
      <c r="F644" s="94" t="s">
        <v>3391</v>
      </c>
      <c r="G644" s="922" t="s">
        <v>3464</v>
      </c>
      <c r="H644" s="95" t="s">
        <v>144</v>
      </c>
      <c r="I644" s="853">
        <v>45489.0</v>
      </c>
      <c r="J644" s="629">
        <v>45638.0</v>
      </c>
      <c r="K644" s="94"/>
      <c r="L644" s="94"/>
      <c r="M644" s="95" t="s">
        <v>3393</v>
      </c>
      <c r="N644" s="95" t="s">
        <v>3394</v>
      </c>
      <c r="O644" s="98">
        <v>1.0</v>
      </c>
      <c r="P644" s="937" t="s">
        <v>3395</v>
      </c>
      <c r="Q644" s="893" t="str">
        <f t="array" ref="Q644"> if(iserror(MATCH(V644, 'File Links'!C:C, 0)), "N/A", HYPERLINK(INDEX('File Links'!B:B, MATCH(P644, 'File Links'!C:C, 0))))</f>
        <v>https://drive.google.com/file/d/13vglHZTPgv6z9W5xPGWG5OyE_h91M3UK/view?usp=drivesdk</v>
      </c>
      <c r="R644" s="95" t="s">
        <v>3396</v>
      </c>
      <c r="S644" s="95" t="s">
        <v>3397</v>
      </c>
      <c r="T644" s="94"/>
      <c r="U644" s="98">
        <v>1.0</v>
      </c>
      <c r="V644" s="95" t="str">
        <f t="shared" si="36"/>
        <v>10.12688--openreseurope.17749.1.pdf</v>
      </c>
      <c r="W644" s="95" t="s">
        <v>209</v>
      </c>
      <c r="X644" s="894" t="str">
        <f t="array" ref="X644"> if(iserror(MATCH(V644, 'File Links'!C:C, 0)), "N/A", HYPERLINK(INDEX('File Links'!B:B, MATCH(V644, 'File Links'!C:C, 0))))</f>
        <v>https://drive.google.com/file/d/17sgB6ScmXf8Wli1_dKWf0wpvxkNJRZtC/view?usp=drivesdk</v>
      </c>
      <c r="Y644" s="94"/>
      <c r="Z644" s="95" t="s">
        <v>148</v>
      </c>
      <c r="AA644" s="94" t="s">
        <v>3398</v>
      </c>
      <c r="AB644" s="94" t="s">
        <v>3399</v>
      </c>
      <c r="AC644" s="95" t="s">
        <v>3465</v>
      </c>
      <c r="AD644" s="94"/>
      <c r="AE644" s="98">
        <v>5.0</v>
      </c>
      <c r="AF644" s="98">
        <v>27.0</v>
      </c>
      <c r="AG644" s="98">
        <v>10.76</v>
      </c>
      <c r="AH644" s="99" t="s">
        <v>134</v>
      </c>
      <c r="AI644" s="923">
        <v>5.0</v>
      </c>
      <c r="AJ644" s="635">
        <v>0.003</v>
      </c>
      <c r="AK644" s="95" t="s">
        <v>172</v>
      </c>
      <c r="AL644" s="76" t="s">
        <v>186</v>
      </c>
      <c r="AM644" s="94" t="s">
        <v>137</v>
      </c>
      <c r="AN644" s="79" t="s">
        <v>138</v>
      </c>
      <c r="AO644" s="98">
        <v>32.0</v>
      </c>
      <c r="AP644" s="98">
        <v>27.62</v>
      </c>
      <c r="AQ644" s="95" t="s">
        <v>134</v>
      </c>
      <c r="AR644" s="98">
        <v>9.0</v>
      </c>
      <c r="AS644" s="98">
        <v>0.001</v>
      </c>
      <c r="AT644" s="95" t="s">
        <v>135</v>
      </c>
      <c r="AU644" s="95" t="s">
        <v>186</v>
      </c>
      <c r="AV644" s="94" t="s">
        <v>137</v>
      </c>
      <c r="AW644" s="923" t="s">
        <v>138</v>
      </c>
      <c r="AX644" s="94" t="s">
        <v>143</v>
      </c>
      <c r="AY644" s="61" t="str">
        <f>IFERROR(__xludf.DUMMYFUNCTION("vlookup(BB644,importrange(""https://docs.google.com/spreadsheets/d/1d2vevQ_7D_v35q4wCQ4RpQ_IPoTwEMB9Yp6ymwlPqew/edit?gid=984458430#gid=984458430"", ""'replication success'!A:K""), 11, FAlSE)"),"#N/A")</f>
        <v>#N/A</v>
      </c>
      <c r="AZ644" s="61" t="str">
        <f>IFERROR(__xludf.DUMMYFUNCTION("vlookup(BB644,importrange(""https://docs.google.com/spreadsheets/d/1d2vevQ_7D_v35q4wCQ4RpQ_IPoTwEMB9Yp6ymwlPqew/edit?gid=984458430#gid=984458430"", ""'replication success'!A:M""), 12, FAlSE)"),"#N/A")</f>
        <v>#N/A</v>
      </c>
      <c r="BA644" s="61" t="str">
        <f>IFERROR(__xludf.DUMMYFUNCTION("vlookup(BB644,importrange(""https://docs.google.com/spreadsheets/d/1d2vevQ_7D_v35q4wCQ4RpQ_IPoTwEMB9Yp6ymwlPqew/edit?gid=984458430#gid=984458430"", ""'replication success'!A:M""), 13, FAlSE)"),"#N/A")</f>
        <v>#N/A</v>
      </c>
      <c r="BB644" s="61" t="str">
        <f>IFERROR(__xludf.DUMMYFUNCTION("REGEXREPLACE(G644, ""_[a-z]{1,2}$"", """")"),"additional_studies90")</f>
        <v>additional_studies90</v>
      </c>
      <c r="BC644" s="94"/>
      <c r="BD644" s="924" t="s">
        <v>692</v>
      </c>
      <c r="BE644" s="92"/>
      <c r="BF644" s="92"/>
      <c r="BG644" s="92"/>
      <c r="BH644" s="92"/>
      <c r="BI644" s="92"/>
      <c r="BJ644" s="92"/>
      <c r="BK644" s="92"/>
      <c r="BL644" s="92"/>
      <c r="BM644" s="92"/>
      <c r="BN644" s="92"/>
      <c r="BO644" s="92"/>
      <c r="BP644" s="92"/>
      <c r="BQ644" s="92"/>
      <c r="BR644" s="92"/>
      <c r="BS644" s="92"/>
      <c r="BT644" s="92"/>
      <c r="BU644" s="92"/>
      <c r="BV644" s="92"/>
      <c r="BW644" s="92"/>
      <c r="BX644" s="92"/>
      <c r="BY644" s="92"/>
      <c r="BZ644" s="92"/>
      <c r="CA644" s="92"/>
      <c r="CB644" s="92"/>
      <c r="CC644" s="92"/>
      <c r="CD644" s="92"/>
      <c r="CE644" s="92"/>
      <c r="CF644" s="92"/>
      <c r="CG644" s="92"/>
      <c r="CH644" s="92"/>
      <c r="CI644" s="92"/>
      <c r="CJ644" s="92"/>
      <c r="CK644" s="92"/>
      <c r="CL644" s="92"/>
      <c r="CM644" s="92"/>
      <c r="CN644" s="92"/>
      <c r="CO644" s="92"/>
      <c r="CP644" s="92"/>
      <c r="CQ644" s="92"/>
      <c r="CR644" s="92"/>
      <c r="CS644" s="92"/>
      <c r="CT644" s="92"/>
      <c r="CU644" s="92"/>
      <c r="CV644" s="92"/>
      <c r="CW644" s="92"/>
      <c r="CX644" s="92"/>
      <c r="CY644" s="92"/>
      <c r="CZ644" s="92"/>
      <c r="DA644" s="92"/>
      <c r="DB644" s="92"/>
      <c r="DC644" s="92"/>
      <c r="DD644" s="92"/>
      <c r="DE644" s="92"/>
      <c r="DF644" s="92"/>
      <c r="DG644" s="92"/>
      <c r="DH644" s="92"/>
      <c r="DI644" s="92"/>
      <c r="DJ644" s="92"/>
      <c r="DK644" s="92"/>
      <c r="DL644" s="92"/>
    </row>
    <row r="645" ht="20.25" customHeight="1">
      <c r="A645" s="808">
        <v>645.0</v>
      </c>
      <c r="B645" s="467" t="s">
        <v>114</v>
      </c>
      <c r="C645" s="467" t="s">
        <v>115</v>
      </c>
      <c r="D645" s="467" t="s">
        <v>221</v>
      </c>
      <c r="E645" s="468"/>
      <c r="F645" s="469" t="s">
        <v>3391</v>
      </c>
      <c r="G645" s="470" t="s">
        <v>3466</v>
      </c>
      <c r="H645" s="469" t="s">
        <v>221</v>
      </c>
      <c r="I645" s="471">
        <v>45684.0</v>
      </c>
      <c r="J645" s="471">
        <v>45684.0</v>
      </c>
      <c r="K645" s="469" t="s">
        <v>3467</v>
      </c>
      <c r="L645" s="482"/>
      <c r="M645" s="469" t="s">
        <v>3393</v>
      </c>
      <c r="N645" s="469" t="s">
        <v>3394</v>
      </c>
      <c r="O645" s="482"/>
      <c r="P645" s="941" t="s">
        <v>3395</v>
      </c>
      <c r="Q645" s="927" t="str">
        <f t="array" ref="Q645"> if(iserror(MATCH(V645, 'File Links'!C:C, 0)), "N/A", HYPERLINK(INDEX('File Links'!B:B, MATCH(P645, 'File Links'!C:C, 0))))</f>
        <v>https://drive.google.com/file/d/13vglHZTPgv6z9W5xPGWG5OyE_h91M3UK/view?usp=drivesdk</v>
      </c>
      <c r="R645" s="469" t="s">
        <v>3396</v>
      </c>
      <c r="S645" s="469" t="s">
        <v>3397</v>
      </c>
      <c r="T645" s="482"/>
      <c r="U645" s="929">
        <v>1.0</v>
      </c>
      <c r="V645" s="469" t="str">
        <f t="shared" si="36"/>
        <v>10.12688--openreseurope.17749.1.pdf</v>
      </c>
      <c r="W645" s="469" t="s">
        <v>3468</v>
      </c>
      <c r="X645" s="928" t="str">
        <f t="array" ref="X645"> if(iserror(MATCH(V645, 'File Links'!C:C, 0)), "N/A", HYPERLINK(INDEX('File Links'!B:B, MATCH(V645, 'File Links'!C:C, 0))))</f>
        <v>https://drive.google.com/file/d/17sgB6ScmXf8Wli1_dKWf0wpvxkNJRZtC/view?usp=drivesdk</v>
      </c>
      <c r="Y645" s="482"/>
      <c r="Z645" s="469" t="s">
        <v>838</v>
      </c>
      <c r="AA645" s="469" t="s">
        <v>3469</v>
      </c>
      <c r="AB645" s="469" t="s">
        <v>3399</v>
      </c>
      <c r="AC645" s="469" t="s">
        <v>3470</v>
      </c>
      <c r="AD645" s="482" t="s">
        <v>3471</v>
      </c>
      <c r="AE645" s="926">
        <v>165.0</v>
      </c>
      <c r="AF645" s="926">
        <v>68.0</v>
      </c>
      <c r="AG645" s="482"/>
      <c r="AH645" s="482"/>
      <c r="AI645" s="482"/>
      <c r="AJ645" s="930">
        <v>0.05</v>
      </c>
      <c r="AK645" s="470" t="s">
        <v>135</v>
      </c>
      <c r="AL645" s="470" t="s">
        <v>136</v>
      </c>
      <c r="AM645" s="469" t="s">
        <v>141</v>
      </c>
      <c r="AN645" s="474" t="s">
        <v>138</v>
      </c>
      <c r="AO645" s="926">
        <v>32.0</v>
      </c>
      <c r="AP645" s="926">
        <v>0.5</v>
      </c>
      <c r="AQ645" s="469" t="s">
        <v>173</v>
      </c>
      <c r="AR645" s="469" t="s">
        <v>3472</v>
      </c>
      <c r="AS645" s="926">
        <v>0.001</v>
      </c>
      <c r="AT645" s="469" t="s">
        <v>135</v>
      </c>
      <c r="AU645" s="469" t="s">
        <v>136</v>
      </c>
      <c r="AV645" s="469" t="s">
        <v>141</v>
      </c>
      <c r="AW645" s="469" t="s">
        <v>138</v>
      </c>
      <c r="AX645" s="469" t="s">
        <v>143</v>
      </c>
      <c r="AY645" s="61" t="str">
        <f>IFERROR(__xludf.DUMMYFUNCTION("vlookup(BB645,importrange(""https://docs.google.com/spreadsheets/d/1d2vevQ_7D_v35q4wCQ4RpQ_IPoTwEMB9Yp6ymwlPqew/edit?gid=984458430#gid=984458430"", ""'replication success'!A:K""), 11, FAlSE)"),"#N/A")</f>
        <v>#N/A</v>
      </c>
      <c r="AZ645" s="61" t="str">
        <f>IFERROR(__xludf.DUMMYFUNCTION("vlookup(BB645,importrange(""https://docs.google.com/spreadsheets/d/1d2vevQ_7D_v35q4wCQ4RpQ_IPoTwEMB9Yp6ymwlPqew/edit?gid=984458430#gid=984458430"", ""'replication success'!A:M""), 12, FAlSE)"),"#N/A")</f>
        <v>#N/A</v>
      </c>
      <c r="BA645" s="61" t="str">
        <f>IFERROR(__xludf.DUMMYFUNCTION("vlookup(BB645,importrange(""https://docs.google.com/spreadsheets/d/1d2vevQ_7D_v35q4wCQ4RpQ_IPoTwEMB9Yp6ymwlPqew/edit?gid=984458430#gid=984458430"", ""'replication success'!A:M""), 13, FAlSE)"),"#N/A")</f>
        <v>#N/A</v>
      </c>
      <c r="BB645" s="61" t="str">
        <f>IFERROR(__xludf.DUMMYFUNCTION("REGEXREPLACE(G645, ""_[a-z]{1,2}$"", """")"),"additional_studies90")</f>
        <v>additional_studies90</v>
      </c>
      <c r="BC645" s="468"/>
      <c r="BD645" s="924" t="s">
        <v>692</v>
      </c>
      <c r="BE645" s="468"/>
      <c r="BF645" s="468"/>
      <c r="BG645" s="468"/>
      <c r="BH645" s="468"/>
      <c r="BI645" s="468"/>
      <c r="BJ645" s="468"/>
      <c r="BK645" s="468"/>
      <c r="BL645" s="468"/>
      <c r="BM645" s="468"/>
      <c r="BN645" s="468"/>
      <c r="BO645" s="468"/>
      <c r="BP645" s="468"/>
      <c r="BQ645" s="468"/>
      <c r="BR645" s="468"/>
      <c r="BS645" s="468"/>
      <c r="BT645" s="468"/>
      <c r="BU645" s="468"/>
      <c r="BV645" s="468"/>
      <c r="BW645" s="468"/>
      <c r="BX645" s="468"/>
      <c r="BY645" s="468"/>
      <c r="BZ645" s="468"/>
      <c r="CA645" s="468"/>
      <c r="CB645" s="468"/>
      <c r="CC645" s="468"/>
      <c r="CD645" s="468"/>
      <c r="CE645" s="468"/>
      <c r="CF645" s="468"/>
      <c r="CG645" s="468"/>
      <c r="CH645" s="468"/>
      <c r="CI645" s="468"/>
      <c r="CJ645" s="468"/>
      <c r="CK645" s="468"/>
      <c r="CL645" s="468"/>
      <c r="CM645" s="468"/>
      <c r="CN645" s="468"/>
      <c r="CO645" s="468"/>
      <c r="CP645" s="468"/>
      <c r="CQ645" s="468"/>
      <c r="CR645" s="468"/>
      <c r="CS645" s="468"/>
      <c r="CT645" s="468"/>
      <c r="CU645" s="468"/>
      <c r="CV645" s="468"/>
      <c r="CW645" s="468"/>
      <c r="CX645" s="468"/>
      <c r="CY645" s="468"/>
      <c r="CZ645" s="468"/>
      <c r="DA645" s="468"/>
      <c r="DB645" s="468"/>
      <c r="DC645" s="468"/>
      <c r="DD645" s="468"/>
      <c r="DE645" s="468"/>
      <c r="DF645" s="468"/>
      <c r="DG645" s="468"/>
      <c r="DH645" s="468"/>
      <c r="DI645" s="468"/>
      <c r="DJ645" s="468"/>
      <c r="DK645" s="468"/>
      <c r="DL645" s="468"/>
    </row>
    <row r="646" ht="20.25" customHeight="1">
      <c r="A646" s="44">
        <v>646.0</v>
      </c>
      <c r="B646" s="45" t="s">
        <v>285</v>
      </c>
      <c r="C646" s="45" t="s">
        <v>115</v>
      </c>
      <c r="D646" s="45" t="s">
        <v>2930</v>
      </c>
      <c r="E646" s="65"/>
      <c r="F646" s="62" t="s">
        <v>3473</v>
      </c>
      <c r="G646" s="45" t="s">
        <v>3474</v>
      </c>
      <c r="H646" s="45" t="s">
        <v>2933</v>
      </c>
      <c r="I646" s="63">
        <v>45489.0</v>
      </c>
      <c r="J646" s="64">
        <v>45636.0</v>
      </c>
      <c r="K646" s="45" t="s">
        <v>3475</v>
      </c>
      <c r="L646" s="65"/>
      <c r="M646" s="45" t="s">
        <v>3476</v>
      </c>
      <c r="N646" s="45" t="s">
        <v>3477</v>
      </c>
      <c r="O646" s="45">
        <v>1.0</v>
      </c>
      <c r="P646" s="942" t="s">
        <v>3478</v>
      </c>
      <c r="Q646" s="52" t="str">
        <f t="array" ref="Q646"> if(iserror(MATCH(V646, 'File Links'!C:C, 0)), "N/A", HYPERLINK(INDEX('File Links'!B:B, MATCH(P646, 'File Links'!C:C, 0))))</f>
        <v>https://drive.google.com/file/d/11B6RDsDdpDnOGVv1Bafc4t3LGTugpLfW/view?usp=drivesdk</v>
      </c>
      <c r="R646" s="45" t="s">
        <v>3479</v>
      </c>
      <c r="S646" s="45" t="s">
        <v>3480</v>
      </c>
      <c r="T646" s="65"/>
      <c r="U646" s="45">
        <v>1.0</v>
      </c>
      <c r="V646" s="198" t="str">
        <f t="shared" si="36"/>
        <v>vonpruski_2024.pdf</v>
      </c>
      <c r="W646" s="45" t="s">
        <v>209</v>
      </c>
      <c r="X646" s="54" t="str">
        <f t="array" ref="X646"> if(iserror(MATCH(V646, 'File Links'!C:C, 0)), "N/A", HYPERLINK(INDEX('File Links'!B:B, MATCH(V646, 'File Links'!C:C, 0))))</f>
        <v>https://drive.google.com/file/d/1QDSkRCnuunpKbwNck3pYI8NlktZFtjZd/view?usp=drivesdk</v>
      </c>
      <c r="Y646" s="65"/>
      <c r="Z646" s="45" t="s">
        <v>226</v>
      </c>
      <c r="AA646" s="65"/>
      <c r="AB646" s="45" t="s">
        <v>3481</v>
      </c>
      <c r="AC646" s="45" t="s">
        <v>3482</v>
      </c>
      <c r="AD646" s="45" t="s">
        <v>3483</v>
      </c>
      <c r="AE646" s="45">
        <v>15.0</v>
      </c>
      <c r="AF646" s="45">
        <v>304.0</v>
      </c>
      <c r="AG646" s="45">
        <v>0.241</v>
      </c>
      <c r="AH646" s="45" t="s">
        <v>361</v>
      </c>
      <c r="AI646" s="45" t="s">
        <v>627</v>
      </c>
      <c r="AJ646" s="45">
        <v>0.05</v>
      </c>
      <c r="AK646" s="62" t="s">
        <v>135</v>
      </c>
      <c r="AL646" s="45" t="s">
        <v>186</v>
      </c>
      <c r="AM646" s="45" t="s">
        <v>137</v>
      </c>
      <c r="AN646" s="219" t="s">
        <v>138</v>
      </c>
      <c r="AO646" s="45">
        <v>149.0</v>
      </c>
      <c r="AP646" s="45">
        <v>-0.41</v>
      </c>
      <c r="AQ646" s="45" t="s">
        <v>361</v>
      </c>
      <c r="AR646" s="45" t="s">
        <v>3484</v>
      </c>
      <c r="AS646" s="45">
        <v>0.05</v>
      </c>
      <c r="AT646" s="62" t="s">
        <v>135</v>
      </c>
      <c r="AU646" s="62" t="s">
        <v>186</v>
      </c>
      <c r="AV646" s="129" t="s">
        <v>137</v>
      </c>
      <c r="AX646" s="62" t="s">
        <v>151</v>
      </c>
      <c r="AY646" s="61" t="str">
        <f>IFERROR(__xludf.DUMMYFUNCTION("vlookup(BB646,importrange(""https://docs.google.com/spreadsheets/d/1d2vevQ_7D_v35q4wCQ4RpQ_IPoTwEMB9Yp6ymwlPqew/edit?gid=984458430#gid=984458430"", ""'replication success'!A:K""), 11, FAlSE)"),"#N/A")</f>
        <v>#N/A</v>
      </c>
      <c r="AZ646" s="61" t="str">
        <f>IFERROR(__xludf.DUMMYFUNCTION("vlookup(BB646,importrange(""https://docs.google.com/spreadsheets/d/1d2vevQ_7D_v35q4wCQ4RpQ_IPoTwEMB9Yp6ymwlPqew/edit?gid=984458430#gid=984458430"", ""'replication success'!A:M""), 12, FAlSE)"),"#N/A")</f>
        <v>#N/A</v>
      </c>
      <c r="BA646" s="61" t="str">
        <f>IFERROR(__xludf.DUMMYFUNCTION("vlookup(BB646,importrange(""https://docs.google.com/spreadsheets/d/1d2vevQ_7D_v35q4wCQ4RpQ_IPoTwEMB9Yp6ymwlPqew/edit?gid=984458430#gid=984458430"", ""'replication success'!A:M""), 13, FAlSE)"),"#N/A")</f>
        <v>#N/A</v>
      </c>
      <c r="BB646" s="61" t="str">
        <f>IFERROR(__xludf.DUMMYFUNCTION("REGEXREPLACE(G646, ""_[a-z]{1,2}$"", """")"),"additional_studies91")</f>
        <v>additional_studies91</v>
      </c>
      <c r="BC646" s="65"/>
    </row>
    <row r="647" ht="20.25" customHeight="1">
      <c r="A647" s="44">
        <v>647.0</v>
      </c>
      <c r="B647" s="45" t="s">
        <v>285</v>
      </c>
      <c r="C647" s="45" t="s">
        <v>115</v>
      </c>
      <c r="D647" s="45" t="s">
        <v>2930</v>
      </c>
      <c r="E647" s="65"/>
      <c r="F647" s="159" t="s">
        <v>3485</v>
      </c>
      <c r="G647" s="57" t="s">
        <v>3486</v>
      </c>
      <c r="H647" s="57" t="s">
        <v>2933</v>
      </c>
      <c r="I647" s="152">
        <v>45489.0</v>
      </c>
      <c r="J647" s="152">
        <v>45634.0</v>
      </c>
      <c r="K647" s="57" t="s">
        <v>3487</v>
      </c>
      <c r="L647" s="61"/>
      <c r="M647" s="57" t="s">
        <v>3488</v>
      </c>
      <c r="N647" s="57" t="s">
        <v>3489</v>
      </c>
      <c r="O647" s="379">
        <v>1.0</v>
      </c>
      <c r="P647" s="943" t="s">
        <v>3490</v>
      </c>
      <c r="Q647" s="52" t="str">
        <f t="array" ref="Q647"> if(iserror(MATCH(V647, 'File Links'!C:C, 0)), "N/A", HYPERLINK(INDEX('File Links'!B:B, MATCH(P647, 'File Links'!C:C, 0))))</f>
        <v>https://drive.google.com/file/d/1MFrh4TN71i6T_XH6VvEuarZ-bkTQmkjp/view?usp=drivesdk</v>
      </c>
      <c r="R647" s="57" t="s">
        <v>3491</v>
      </c>
      <c r="S647" s="57" t="s">
        <v>3492</v>
      </c>
      <c r="T647" s="441" t="s">
        <v>3493</v>
      </c>
      <c r="U647" s="709">
        <v>1.0</v>
      </c>
      <c r="V647" s="198" t="str">
        <f t="shared" si="36"/>
        <v>10.1002--jae.3082.pdf</v>
      </c>
      <c r="W647" s="57" t="s">
        <v>209</v>
      </c>
      <c r="X647" s="54" t="str">
        <f t="array" ref="X647"> if(iserror(MATCH(V647, 'File Links'!C:C, 0)), "N/A", HYPERLINK(INDEX('File Links'!B:B, MATCH(V647, 'File Links'!C:C, 0))))</f>
        <v>https://drive.google.com/file/d/1LvmKgU-0Swex9jXhSh89rVHkVzeNMucB/view?usp=drivesdk</v>
      </c>
      <c r="Y647" s="61"/>
      <c r="Z647" s="57" t="s">
        <v>1809</v>
      </c>
      <c r="AA647" s="61"/>
      <c r="AB647" s="57" t="s">
        <v>3494</v>
      </c>
      <c r="AC647" s="57" t="s">
        <v>3495</v>
      </c>
      <c r="AD647" s="57" t="s">
        <v>3496</v>
      </c>
      <c r="AE647" s="379">
        <v>24.0</v>
      </c>
      <c r="AF647" s="61"/>
      <c r="AG647" s="61"/>
      <c r="AH647" s="338"/>
      <c r="AI647" s="61"/>
      <c r="AJ647" s="61"/>
      <c r="AK647" s="68"/>
      <c r="AL647" s="61"/>
      <c r="AM647" s="61"/>
      <c r="AN647" s="219" t="s">
        <v>138</v>
      </c>
      <c r="AO647" s="61"/>
      <c r="AP647" s="61"/>
      <c r="AQ647" s="61"/>
      <c r="AR647" s="61"/>
      <c r="AS647" s="61"/>
      <c r="AT647" s="68"/>
      <c r="AU647" s="68"/>
      <c r="AV647" s="68"/>
      <c r="AW647" s="68"/>
      <c r="AX647" s="68"/>
      <c r="AY647" s="61" t="str">
        <f>IFERROR(__xludf.DUMMYFUNCTION("vlookup(BB647,importrange(""https://docs.google.com/spreadsheets/d/1d2vevQ_7D_v35q4wCQ4RpQ_IPoTwEMB9Yp6ymwlPqew/edit?gid=984458430#gid=984458430"", ""'replication success'!A:K""), 11, FAlSE)"),"#N/A")</f>
        <v>#N/A</v>
      </c>
      <c r="AZ647" s="61" t="str">
        <f>IFERROR(__xludf.DUMMYFUNCTION("vlookup(BB647,importrange(""https://docs.google.com/spreadsheets/d/1d2vevQ_7D_v35q4wCQ4RpQ_IPoTwEMB9Yp6ymwlPqew/edit?gid=984458430#gid=984458430"", ""'replication success'!A:M""), 12, FAlSE)"),"#N/A")</f>
        <v>#N/A</v>
      </c>
      <c r="BA647" s="61" t="str">
        <f>IFERROR(__xludf.DUMMYFUNCTION("vlookup(BB647,importrange(""https://docs.google.com/spreadsheets/d/1d2vevQ_7D_v35q4wCQ4RpQ_IPoTwEMB9Yp6ymwlPqew/edit?gid=984458430#gid=984458430"", ""'replication success'!A:M""), 13, FAlSE)"),"#N/A")</f>
        <v>#N/A</v>
      </c>
      <c r="BB647" s="61" t="str">
        <f>IFERROR(__xludf.DUMMYFUNCTION("REGEXREPLACE(G647, ""_[a-z]{1,2}$"", """")"),"additional_studies92")</f>
        <v>additional_studies92</v>
      </c>
      <c r="BC647" s="61"/>
    </row>
    <row r="648" ht="20.25" customHeight="1">
      <c r="A648" s="451">
        <v>648.0</v>
      </c>
      <c r="B648" s="199" t="s">
        <v>152</v>
      </c>
      <c r="C648" s="199" t="s">
        <v>115</v>
      </c>
      <c r="D648" s="199" t="s">
        <v>990</v>
      </c>
      <c r="E648" s="200"/>
      <c r="F648" s="204" t="s">
        <v>3497</v>
      </c>
      <c r="G648" s="944" t="s">
        <v>3498</v>
      </c>
      <c r="H648" s="201" t="s">
        <v>144</v>
      </c>
      <c r="I648" s="203">
        <v>45489.0</v>
      </c>
      <c r="J648" s="533">
        <v>45639.0</v>
      </c>
      <c r="K648" s="204"/>
      <c r="L648" s="205" t="s">
        <v>3499</v>
      </c>
      <c r="M648" s="201" t="s">
        <v>3500</v>
      </c>
      <c r="N648" s="201" t="s">
        <v>3501</v>
      </c>
      <c r="O648" s="208">
        <v>1.0</v>
      </c>
      <c r="P648" s="945" t="s">
        <v>3502</v>
      </c>
      <c r="Q648" s="946" t="str">
        <f t="array" ref="Q648"> if(iserror(MATCH(V648, 'File Links'!C:C, 0)), "N/A", HYPERLINK(INDEX('File Links'!B:B, MATCH(P648, 'File Links'!C:C, 0))))</f>
        <v>N/A</v>
      </c>
      <c r="R648" s="201" t="s">
        <v>3503</v>
      </c>
      <c r="S648" s="201" t="s">
        <v>3504</v>
      </c>
      <c r="T648" s="947" t="s">
        <v>3493</v>
      </c>
      <c r="U648" s="208">
        <v>1.0</v>
      </c>
      <c r="V648" s="201" t="str">
        <f t="shared" si="36"/>
        <v>10.17605--osf.io--e5k4j.pdf</v>
      </c>
      <c r="W648" s="201" t="s">
        <v>209</v>
      </c>
      <c r="X648" s="454" t="str">
        <f t="array" ref="X648"> if(iserror(MATCH(V648, 'File Links'!C:C, 0)), "N/A", HYPERLINK(INDEX('File Links'!B:B, MATCH(V648, 'File Links'!C:C, 0))))</f>
        <v>N/A</v>
      </c>
      <c r="Y648" s="204"/>
      <c r="Z648" s="201" t="s">
        <v>2045</v>
      </c>
      <c r="AA648" s="201" t="s">
        <v>3505</v>
      </c>
      <c r="AB648" s="204" t="s">
        <v>3506</v>
      </c>
      <c r="AC648" s="201" t="s">
        <v>3507</v>
      </c>
      <c r="AD648" s="201" t="s">
        <v>3508</v>
      </c>
      <c r="AE648" s="208">
        <v>2.0</v>
      </c>
      <c r="AF648" s="208">
        <v>102.0</v>
      </c>
      <c r="AG648" s="948">
        <v>0.28</v>
      </c>
      <c r="AH648" s="206" t="s">
        <v>1256</v>
      </c>
      <c r="AI648" s="207" t="s">
        <v>3509</v>
      </c>
      <c r="AJ648" s="949">
        <v>0.018</v>
      </c>
      <c r="AK648" s="201" t="s">
        <v>172</v>
      </c>
      <c r="AL648" s="202" t="s">
        <v>186</v>
      </c>
      <c r="AM648" s="204" t="s">
        <v>137</v>
      </c>
      <c r="AN648" s="205" t="s">
        <v>138</v>
      </c>
      <c r="AO648" s="208">
        <v>600.0</v>
      </c>
      <c r="AP648" s="208">
        <v>0.04</v>
      </c>
      <c r="AQ648" s="206" t="s">
        <v>1256</v>
      </c>
      <c r="AR648" s="948" t="s">
        <v>3510</v>
      </c>
      <c r="AS648" s="208">
        <v>0.658</v>
      </c>
      <c r="AT648" s="201" t="s">
        <v>172</v>
      </c>
      <c r="AU648" s="201" t="s">
        <v>186</v>
      </c>
      <c r="AV648" s="204" t="s">
        <v>137</v>
      </c>
      <c r="AW648" s="950" t="s">
        <v>3511</v>
      </c>
      <c r="AX648" s="204" t="s">
        <v>143</v>
      </c>
      <c r="AY648" s="61" t="str">
        <f>IFERROR(__xludf.DUMMYFUNCTION("vlookup(BB648,importrange(""https://docs.google.com/spreadsheets/d/1d2vevQ_7D_v35q4wCQ4RpQ_IPoTwEMB9Yp6ymwlPqew/edit?gid=984458430#gid=984458430"", ""'replication success'!A:K""), 11, FAlSE)"),"#N/A")</f>
        <v>#N/A</v>
      </c>
      <c r="AZ648" s="61" t="str">
        <f>IFERROR(__xludf.DUMMYFUNCTION("vlookup(BB648,importrange(""https://docs.google.com/spreadsheets/d/1d2vevQ_7D_v35q4wCQ4RpQ_IPoTwEMB9Yp6ymwlPqew/edit?gid=984458430#gid=984458430"", ""'replication success'!A:M""), 12, FAlSE)"),"#N/A")</f>
        <v>#N/A</v>
      </c>
      <c r="BA648" s="61" t="str">
        <f>IFERROR(__xludf.DUMMYFUNCTION("vlookup(BB648,importrange(""https://docs.google.com/spreadsheets/d/1d2vevQ_7D_v35q4wCQ4RpQ_IPoTwEMB9Yp6ymwlPqew/edit?gid=984458430#gid=984458430"", ""'replication success'!A:M""), 13, FAlSE)"),"#N/A")</f>
        <v>#N/A</v>
      </c>
      <c r="BB648" s="61" t="str">
        <f>IFERROR(__xludf.DUMMYFUNCTION("REGEXREPLACE(G648, ""_[a-z]{1,2}$"", """")"),"additional_studies93")</f>
        <v>additional_studies93</v>
      </c>
      <c r="BC648" s="204"/>
      <c r="BD648" s="199" t="s">
        <v>692</v>
      </c>
      <c r="BE648" s="200"/>
      <c r="BF648" s="200"/>
      <c r="BG648" s="200"/>
      <c r="BH648" s="200"/>
      <c r="BI648" s="200"/>
      <c r="BJ648" s="200"/>
      <c r="BK648" s="200"/>
      <c r="BL648" s="200"/>
      <c r="BM648" s="200"/>
      <c r="BN648" s="200"/>
      <c r="BO648" s="200"/>
      <c r="BP648" s="200"/>
      <c r="BQ648" s="200"/>
      <c r="BR648" s="200"/>
      <c r="BS648" s="200"/>
      <c r="BT648" s="200"/>
      <c r="BU648" s="200"/>
      <c r="BV648" s="200"/>
      <c r="BW648" s="200"/>
      <c r="BX648" s="200"/>
      <c r="BY648" s="200"/>
      <c r="BZ648" s="200"/>
      <c r="CA648" s="200"/>
      <c r="CB648" s="200"/>
      <c r="CC648" s="200"/>
      <c r="CD648" s="200"/>
      <c r="CE648" s="200"/>
      <c r="CF648" s="200"/>
      <c r="CG648" s="200"/>
      <c r="CH648" s="200"/>
      <c r="CI648" s="200"/>
      <c r="CJ648" s="200"/>
      <c r="CK648" s="200"/>
      <c r="CL648" s="200"/>
      <c r="CM648" s="200"/>
      <c r="CN648" s="200"/>
      <c r="CO648" s="200"/>
      <c r="CP648" s="200"/>
      <c r="CQ648" s="200"/>
      <c r="CR648" s="200"/>
      <c r="CS648" s="200"/>
      <c r="CT648" s="200"/>
      <c r="CU648" s="200"/>
      <c r="CV648" s="200"/>
      <c r="CW648" s="200"/>
      <c r="CX648" s="200"/>
      <c r="CY648" s="200"/>
      <c r="CZ648" s="200"/>
      <c r="DA648" s="200"/>
      <c r="DB648" s="200"/>
      <c r="DC648" s="200"/>
      <c r="DD648" s="200"/>
      <c r="DE648" s="200"/>
      <c r="DF648" s="200"/>
      <c r="DG648" s="200"/>
      <c r="DH648" s="200"/>
      <c r="DI648" s="200"/>
      <c r="DJ648" s="200"/>
      <c r="DK648" s="200"/>
      <c r="DL648" s="200"/>
    </row>
    <row r="649" ht="20.25" customHeight="1">
      <c r="A649" s="451">
        <v>649.0</v>
      </c>
      <c r="B649" s="199" t="s">
        <v>152</v>
      </c>
      <c r="C649" s="199" t="s">
        <v>115</v>
      </c>
      <c r="D649" s="199" t="s">
        <v>990</v>
      </c>
      <c r="E649" s="200"/>
      <c r="F649" s="204" t="s">
        <v>3497</v>
      </c>
      <c r="G649" s="944" t="s">
        <v>3512</v>
      </c>
      <c r="H649" s="201" t="s">
        <v>144</v>
      </c>
      <c r="I649" s="203">
        <v>45489.0</v>
      </c>
      <c r="J649" s="533">
        <v>45639.0</v>
      </c>
      <c r="K649" s="204"/>
      <c r="L649" s="205" t="s">
        <v>3513</v>
      </c>
      <c r="M649" s="201" t="s">
        <v>3500</v>
      </c>
      <c r="N649" s="201" t="s">
        <v>3501</v>
      </c>
      <c r="O649" s="208">
        <v>1.0</v>
      </c>
      <c r="P649" s="945" t="s">
        <v>3502</v>
      </c>
      <c r="Q649" s="946" t="str">
        <f t="array" ref="Q649"> if(iserror(MATCH(V649, 'File Links'!C:C, 0)), "N/A", HYPERLINK(INDEX('File Links'!B:B, MATCH(P649, 'File Links'!C:C, 0))))</f>
        <v>N/A</v>
      </c>
      <c r="R649" s="951" t="s">
        <v>3514</v>
      </c>
      <c r="S649" s="201" t="s">
        <v>3504</v>
      </c>
      <c r="T649" s="947" t="s">
        <v>3493</v>
      </c>
      <c r="U649" s="208">
        <v>1.0</v>
      </c>
      <c r="V649" s="201" t="str">
        <f t="shared" si="36"/>
        <v>10.17605--osf.io--e5k4j.pdf</v>
      </c>
      <c r="W649" s="201" t="s">
        <v>209</v>
      </c>
      <c r="X649" s="454" t="str">
        <f t="array" ref="X649"> if(iserror(MATCH(V649, 'File Links'!C:C, 0)), "N/A", HYPERLINK(INDEX('File Links'!B:B, MATCH(V649, 'File Links'!C:C, 0))))</f>
        <v>N/A</v>
      </c>
      <c r="Y649" s="204"/>
      <c r="Z649" s="201" t="s">
        <v>2045</v>
      </c>
      <c r="AA649" s="201" t="s">
        <v>3505</v>
      </c>
      <c r="AB649" s="204" t="s">
        <v>3506</v>
      </c>
      <c r="AC649" s="201" t="s">
        <v>3515</v>
      </c>
      <c r="AD649" s="201" t="s">
        <v>3516</v>
      </c>
      <c r="AE649" s="208">
        <v>2.0</v>
      </c>
      <c r="AF649" s="208">
        <v>102.0</v>
      </c>
      <c r="AG649" s="948">
        <v>0.31</v>
      </c>
      <c r="AH649" s="206" t="s">
        <v>1256</v>
      </c>
      <c r="AI649" s="207" t="s">
        <v>3509</v>
      </c>
      <c r="AJ649" s="948">
        <v>0.008</v>
      </c>
      <c r="AK649" s="201" t="s">
        <v>172</v>
      </c>
      <c r="AL649" s="202" t="s">
        <v>186</v>
      </c>
      <c r="AM649" s="204" t="s">
        <v>137</v>
      </c>
      <c r="AN649" s="205" t="s">
        <v>138</v>
      </c>
      <c r="AO649" s="208">
        <v>600.0</v>
      </c>
      <c r="AP649" s="208">
        <v>0.07</v>
      </c>
      <c r="AQ649" s="206" t="s">
        <v>1256</v>
      </c>
      <c r="AR649" s="948" t="s">
        <v>3510</v>
      </c>
      <c r="AS649" s="208">
        <v>0.217</v>
      </c>
      <c r="AT649" s="201" t="s">
        <v>172</v>
      </c>
      <c r="AU649" s="201" t="s">
        <v>186</v>
      </c>
      <c r="AV649" s="204" t="s">
        <v>137</v>
      </c>
      <c r="AW649" s="950" t="s">
        <v>3511</v>
      </c>
      <c r="AX649" s="204" t="s">
        <v>143</v>
      </c>
      <c r="AY649" s="61" t="str">
        <f>IFERROR(__xludf.DUMMYFUNCTION("vlookup(BB649,importrange(""https://docs.google.com/spreadsheets/d/1d2vevQ_7D_v35q4wCQ4RpQ_IPoTwEMB9Yp6ymwlPqew/edit?gid=984458430#gid=984458430"", ""'replication success'!A:K""), 11, FAlSE)"),"#N/A")</f>
        <v>#N/A</v>
      </c>
      <c r="AZ649" s="61" t="str">
        <f>IFERROR(__xludf.DUMMYFUNCTION("vlookup(BB649,importrange(""https://docs.google.com/spreadsheets/d/1d2vevQ_7D_v35q4wCQ4RpQ_IPoTwEMB9Yp6ymwlPqew/edit?gid=984458430#gid=984458430"", ""'replication success'!A:M""), 12, FAlSE)"),"#N/A")</f>
        <v>#N/A</v>
      </c>
      <c r="BA649" s="61" t="str">
        <f>IFERROR(__xludf.DUMMYFUNCTION("vlookup(BB649,importrange(""https://docs.google.com/spreadsheets/d/1d2vevQ_7D_v35q4wCQ4RpQ_IPoTwEMB9Yp6ymwlPqew/edit?gid=984458430#gid=984458430"", ""'replication success'!A:M""), 13, FAlSE)"),"#N/A")</f>
        <v>#N/A</v>
      </c>
      <c r="BB649" s="61" t="str">
        <f>IFERROR(__xludf.DUMMYFUNCTION("REGEXREPLACE(G649, ""_[a-z]{1,2}$"", """")"),"additional_studies93")</f>
        <v>additional_studies93</v>
      </c>
      <c r="BC649" s="204"/>
      <c r="BD649" s="199" t="s">
        <v>692</v>
      </c>
      <c r="BE649" s="200"/>
      <c r="BF649" s="200"/>
      <c r="BG649" s="200"/>
      <c r="BH649" s="200"/>
      <c r="BI649" s="200"/>
      <c r="BJ649" s="200"/>
      <c r="BK649" s="200"/>
      <c r="BL649" s="200"/>
      <c r="BM649" s="200"/>
      <c r="BN649" s="200"/>
      <c r="BO649" s="200"/>
      <c r="BP649" s="200"/>
      <c r="BQ649" s="200"/>
      <c r="BR649" s="200"/>
      <c r="BS649" s="200"/>
      <c r="BT649" s="200"/>
      <c r="BU649" s="200"/>
      <c r="BV649" s="200"/>
      <c r="BW649" s="200"/>
      <c r="BX649" s="200"/>
      <c r="BY649" s="200"/>
      <c r="BZ649" s="200"/>
      <c r="CA649" s="200"/>
      <c r="CB649" s="200"/>
      <c r="CC649" s="200"/>
      <c r="CD649" s="200"/>
      <c r="CE649" s="200"/>
      <c r="CF649" s="200"/>
      <c r="CG649" s="200"/>
      <c r="CH649" s="200"/>
      <c r="CI649" s="200"/>
      <c r="CJ649" s="200"/>
      <c r="CK649" s="200"/>
      <c r="CL649" s="200"/>
      <c r="CM649" s="200"/>
      <c r="CN649" s="200"/>
      <c r="CO649" s="200"/>
      <c r="CP649" s="200"/>
      <c r="CQ649" s="200"/>
      <c r="CR649" s="200"/>
      <c r="CS649" s="200"/>
      <c r="CT649" s="200"/>
      <c r="CU649" s="200"/>
      <c r="CV649" s="200"/>
      <c r="CW649" s="200"/>
      <c r="CX649" s="200"/>
      <c r="CY649" s="200"/>
      <c r="CZ649" s="200"/>
      <c r="DA649" s="200"/>
      <c r="DB649" s="200"/>
      <c r="DC649" s="200"/>
      <c r="DD649" s="200"/>
      <c r="DE649" s="200"/>
      <c r="DF649" s="200"/>
      <c r="DG649" s="200"/>
      <c r="DH649" s="200"/>
      <c r="DI649" s="200"/>
      <c r="DJ649" s="200"/>
      <c r="DK649" s="200"/>
      <c r="DL649" s="200"/>
    </row>
    <row r="650" ht="20.25" customHeight="1">
      <c r="A650" s="451">
        <v>650.0</v>
      </c>
      <c r="B650" s="199" t="s">
        <v>152</v>
      </c>
      <c r="C650" s="199" t="s">
        <v>115</v>
      </c>
      <c r="D650" s="199" t="s">
        <v>990</v>
      </c>
      <c r="E650" s="200"/>
      <c r="F650" s="204" t="s">
        <v>3497</v>
      </c>
      <c r="G650" s="944" t="s">
        <v>3517</v>
      </c>
      <c r="H650" s="201" t="s">
        <v>144</v>
      </c>
      <c r="I650" s="203">
        <v>45489.0</v>
      </c>
      <c r="J650" s="533">
        <v>45639.0</v>
      </c>
      <c r="K650" s="204"/>
      <c r="L650" s="205" t="s">
        <v>3513</v>
      </c>
      <c r="M650" s="201" t="s">
        <v>3500</v>
      </c>
      <c r="N650" s="201" t="s">
        <v>3501</v>
      </c>
      <c r="O650" s="208">
        <v>2.0</v>
      </c>
      <c r="P650" s="945" t="s">
        <v>3502</v>
      </c>
      <c r="Q650" s="946" t="str">
        <f t="array" ref="Q650"> if(iserror(MATCH(V650, 'File Links'!C:C, 0)), "N/A", HYPERLINK(INDEX('File Links'!B:B, MATCH(P650, 'File Links'!C:C, 0))))</f>
        <v>N/A</v>
      </c>
      <c r="R650" s="201" t="s">
        <v>3503</v>
      </c>
      <c r="S650" s="201" t="s">
        <v>3504</v>
      </c>
      <c r="T650" s="947" t="s">
        <v>3493</v>
      </c>
      <c r="U650" s="208">
        <v>2.0</v>
      </c>
      <c r="V650" s="201" t="str">
        <f t="shared" si="36"/>
        <v>10.17605--osf.io--e5k4j.pdf</v>
      </c>
      <c r="W650" s="201" t="s">
        <v>209</v>
      </c>
      <c r="X650" s="454" t="str">
        <f t="array" ref="X650"> if(iserror(MATCH(V650, 'File Links'!C:C, 0)), "N/A", HYPERLINK(INDEX('File Links'!B:B, MATCH(V650, 'File Links'!C:C, 0))))</f>
        <v>N/A</v>
      </c>
      <c r="Y650" s="204"/>
      <c r="Z650" s="201" t="s">
        <v>2045</v>
      </c>
      <c r="AA650" s="201" t="s">
        <v>3505</v>
      </c>
      <c r="AB650" s="204" t="s">
        <v>3506</v>
      </c>
      <c r="AC650" s="201" t="s">
        <v>3518</v>
      </c>
      <c r="AD650" s="201" t="s">
        <v>3519</v>
      </c>
      <c r="AE650" s="208">
        <v>3.0</v>
      </c>
      <c r="AF650" s="208">
        <v>103.0</v>
      </c>
      <c r="AG650" s="948">
        <v>0.71</v>
      </c>
      <c r="AH650" s="206" t="s">
        <v>1256</v>
      </c>
      <c r="AI650" s="207" t="s">
        <v>3509</v>
      </c>
      <c r="AJ650" s="949">
        <v>0.001</v>
      </c>
      <c r="AK650" s="201" t="s">
        <v>135</v>
      </c>
      <c r="AL650" s="202" t="s">
        <v>186</v>
      </c>
      <c r="AM650" s="204" t="s">
        <v>137</v>
      </c>
      <c r="AN650" s="205" t="s">
        <v>138</v>
      </c>
      <c r="AO650" s="208">
        <v>600.0</v>
      </c>
      <c r="AP650" s="208">
        <v>0.07</v>
      </c>
      <c r="AQ650" s="206" t="s">
        <v>1256</v>
      </c>
      <c r="AR650" s="948" t="s">
        <v>3510</v>
      </c>
      <c r="AS650" s="208">
        <v>0.247</v>
      </c>
      <c r="AT650" s="201" t="s">
        <v>172</v>
      </c>
      <c r="AU650" s="201" t="s">
        <v>186</v>
      </c>
      <c r="AV650" s="204" t="s">
        <v>137</v>
      </c>
      <c r="AW650" s="950" t="s">
        <v>3511</v>
      </c>
      <c r="AX650" s="204" t="s">
        <v>143</v>
      </c>
      <c r="AY650" s="61" t="str">
        <f>IFERROR(__xludf.DUMMYFUNCTION("vlookup(BB650,importrange(""https://docs.google.com/spreadsheets/d/1d2vevQ_7D_v35q4wCQ4RpQ_IPoTwEMB9Yp6ymwlPqew/edit?gid=984458430#gid=984458430"", ""'replication success'!A:K""), 11, FAlSE)"),"#N/A")</f>
        <v>#N/A</v>
      </c>
      <c r="AZ650" s="61" t="str">
        <f>IFERROR(__xludf.DUMMYFUNCTION("vlookup(BB650,importrange(""https://docs.google.com/spreadsheets/d/1d2vevQ_7D_v35q4wCQ4RpQ_IPoTwEMB9Yp6ymwlPqew/edit?gid=984458430#gid=984458430"", ""'replication success'!A:M""), 12, FAlSE)"),"#N/A")</f>
        <v>#N/A</v>
      </c>
      <c r="BA650" s="61" t="str">
        <f>IFERROR(__xludf.DUMMYFUNCTION("vlookup(BB650,importrange(""https://docs.google.com/spreadsheets/d/1d2vevQ_7D_v35q4wCQ4RpQ_IPoTwEMB9Yp6ymwlPqew/edit?gid=984458430#gid=984458430"", ""'replication success'!A:M""), 13, FAlSE)"),"#N/A")</f>
        <v>#N/A</v>
      </c>
      <c r="BB650" s="61" t="str">
        <f>IFERROR(__xludf.DUMMYFUNCTION("REGEXREPLACE(G650, ""_[a-z]{1,2}$"", """")"),"additional_studies93")</f>
        <v>additional_studies93</v>
      </c>
      <c r="BC650" s="204"/>
      <c r="BD650" s="199" t="s">
        <v>692</v>
      </c>
      <c r="BE650" s="200"/>
      <c r="BF650" s="200"/>
      <c r="BG650" s="200"/>
      <c r="BH650" s="200"/>
      <c r="BI650" s="200"/>
      <c r="BJ650" s="200"/>
      <c r="BK650" s="200"/>
      <c r="BL650" s="200"/>
      <c r="BM650" s="200"/>
      <c r="BN650" s="200"/>
      <c r="BO650" s="200"/>
      <c r="BP650" s="200"/>
      <c r="BQ650" s="200"/>
      <c r="BR650" s="200"/>
      <c r="BS650" s="200"/>
      <c r="BT650" s="200"/>
      <c r="BU650" s="200"/>
      <c r="BV650" s="200"/>
      <c r="BW650" s="200"/>
      <c r="BX650" s="200"/>
      <c r="BY650" s="200"/>
      <c r="BZ650" s="200"/>
      <c r="CA650" s="200"/>
      <c r="CB650" s="200"/>
      <c r="CC650" s="200"/>
      <c r="CD650" s="200"/>
      <c r="CE650" s="200"/>
      <c r="CF650" s="200"/>
      <c r="CG650" s="200"/>
      <c r="CH650" s="200"/>
      <c r="CI650" s="200"/>
      <c r="CJ650" s="200"/>
      <c r="CK650" s="200"/>
      <c r="CL650" s="200"/>
      <c r="CM650" s="200"/>
      <c r="CN650" s="200"/>
      <c r="CO650" s="200"/>
      <c r="CP650" s="200"/>
      <c r="CQ650" s="200"/>
      <c r="CR650" s="200"/>
      <c r="CS650" s="200"/>
      <c r="CT650" s="200"/>
      <c r="CU650" s="200"/>
      <c r="CV650" s="200"/>
      <c r="CW650" s="200"/>
      <c r="CX650" s="200"/>
      <c r="CY650" s="200"/>
      <c r="CZ650" s="200"/>
      <c r="DA650" s="200"/>
      <c r="DB650" s="200"/>
      <c r="DC650" s="200"/>
      <c r="DD650" s="200"/>
      <c r="DE650" s="200"/>
      <c r="DF650" s="200"/>
      <c r="DG650" s="200"/>
      <c r="DH650" s="200"/>
      <c r="DI650" s="200"/>
      <c r="DJ650" s="200"/>
      <c r="DK650" s="200"/>
      <c r="DL650" s="200"/>
    </row>
    <row r="651" ht="20.25" customHeight="1">
      <c r="A651" s="451">
        <v>651.0</v>
      </c>
      <c r="B651" s="199" t="s">
        <v>152</v>
      </c>
      <c r="C651" s="199" t="s">
        <v>115</v>
      </c>
      <c r="D651" s="199" t="s">
        <v>990</v>
      </c>
      <c r="E651" s="200"/>
      <c r="F651" s="204" t="s">
        <v>3497</v>
      </c>
      <c r="G651" s="944" t="s">
        <v>3520</v>
      </c>
      <c r="H651" s="201" t="s">
        <v>144</v>
      </c>
      <c r="I651" s="203">
        <v>45489.0</v>
      </c>
      <c r="J651" s="533">
        <v>45639.0</v>
      </c>
      <c r="K651" s="204"/>
      <c r="L651" s="205" t="s">
        <v>3513</v>
      </c>
      <c r="M651" s="201" t="s">
        <v>3500</v>
      </c>
      <c r="N651" s="201" t="s">
        <v>3501</v>
      </c>
      <c r="O651" s="208">
        <v>2.0</v>
      </c>
      <c r="P651" s="945" t="s">
        <v>3502</v>
      </c>
      <c r="Q651" s="946" t="str">
        <f t="array" ref="Q651"> if(iserror(MATCH(V651, 'File Links'!C:C, 0)), "N/A", HYPERLINK(INDEX('File Links'!B:B, MATCH(P651, 'File Links'!C:C, 0))))</f>
        <v>N/A</v>
      </c>
      <c r="R651" s="201" t="s">
        <v>3503</v>
      </c>
      <c r="S651" s="201" t="s">
        <v>3504</v>
      </c>
      <c r="T651" s="947" t="s">
        <v>3493</v>
      </c>
      <c r="U651" s="208">
        <v>2.0</v>
      </c>
      <c r="V651" s="201" t="str">
        <f t="shared" si="36"/>
        <v>10.17605--osf.io--e5k4j.pdf</v>
      </c>
      <c r="W651" s="201" t="s">
        <v>209</v>
      </c>
      <c r="X651" s="454" t="str">
        <f t="array" ref="X651"> if(iserror(MATCH(V651, 'File Links'!C:C, 0)), "N/A", HYPERLINK(INDEX('File Links'!B:B, MATCH(V651, 'File Links'!C:C, 0))))</f>
        <v>N/A</v>
      </c>
      <c r="Y651" s="204"/>
      <c r="Z651" s="201" t="s">
        <v>2045</v>
      </c>
      <c r="AA651" s="201" t="s">
        <v>3505</v>
      </c>
      <c r="AB651" s="204" t="s">
        <v>3506</v>
      </c>
      <c r="AC651" s="201" t="s">
        <v>3521</v>
      </c>
      <c r="AD651" s="201" t="s">
        <v>3522</v>
      </c>
      <c r="AE651" s="208">
        <v>3.0</v>
      </c>
      <c r="AF651" s="208">
        <v>103.0</v>
      </c>
      <c r="AG651" s="948">
        <v>0.78</v>
      </c>
      <c r="AH651" s="206" t="s">
        <v>1256</v>
      </c>
      <c r="AI651" s="207" t="s">
        <v>3509</v>
      </c>
      <c r="AJ651" s="949">
        <v>0.001</v>
      </c>
      <c r="AK651" s="201" t="s">
        <v>135</v>
      </c>
      <c r="AL651" s="202" t="s">
        <v>186</v>
      </c>
      <c r="AM651" s="204" t="s">
        <v>137</v>
      </c>
      <c r="AN651" s="205" t="s">
        <v>138</v>
      </c>
      <c r="AO651" s="208">
        <v>600.0</v>
      </c>
      <c r="AP651" s="207">
        <v>0.0</v>
      </c>
      <c r="AQ651" s="206" t="s">
        <v>1256</v>
      </c>
      <c r="AR651" s="948" t="s">
        <v>3510</v>
      </c>
      <c r="AS651" s="208">
        <v>0.995</v>
      </c>
      <c r="AT651" s="201" t="s">
        <v>172</v>
      </c>
      <c r="AU651" s="201" t="s">
        <v>186</v>
      </c>
      <c r="AV651" s="204" t="s">
        <v>137</v>
      </c>
      <c r="AW651" s="950" t="s">
        <v>3511</v>
      </c>
      <c r="AX651" s="204" t="s">
        <v>143</v>
      </c>
      <c r="AY651" s="61" t="str">
        <f>IFERROR(__xludf.DUMMYFUNCTION("vlookup(BB651,importrange(""https://docs.google.com/spreadsheets/d/1d2vevQ_7D_v35q4wCQ4RpQ_IPoTwEMB9Yp6ymwlPqew/edit?gid=984458430#gid=984458430"", ""'replication success'!A:K""), 11, FAlSE)"),"#N/A")</f>
        <v>#N/A</v>
      </c>
      <c r="AZ651" s="61" t="str">
        <f>IFERROR(__xludf.DUMMYFUNCTION("vlookup(BB651,importrange(""https://docs.google.com/spreadsheets/d/1d2vevQ_7D_v35q4wCQ4RpQ_IPoTwEMB9Yp6ymwlPqew/edit?gid=984458430#gid=984458430"", ""'replication success'!A:M""), 12, FAlSE)"),"#N/A")</f>
        <v>#N/A</v>
      </c>
      <c r="BA651" s="61" t="str">
        <f>IFERROR(__xludf.DUMMYFUNCTION("vlookup(BB651,importrange(""https://docs.google.com/spreadsheets/d/1d2vevQ_7D_v35q4wCQ4RpQ_IPoTwEMB9Yp6ymwlPqew/edit?gid=984458430#gid=984458430"", ""'replication success'!A:M""), 13, FAlSE)"),"#N/A")</f>
        <v>#N/A</v>
      </c>
      <c r="BB651" s="61" t="str">
        <f>IFERROR(__xludf.DUMMYFUNCTION("REGEXREPLACE(G651, ""_[a-z]{1,2}$"", """")"),"additional_studies93")</f>
        <v>additional_studies93</v>
      </c>
      <c r="BC651" s="204"/>
      <c r="BD651" s="199" t="s">
        <v>692</v>
      </c>
      <c r="BE651" s="200"/>
      <c r="BF651" s="200"/>
      <c r="BG651" s="200"/>
      <c r="BH651" s="200"/>
      <c r="BI651" s="200"/>
      <c r="BJ651" s="200"/>
      <c r="BK651" s="200"/>
      <c r="BL651" s="200"/>
      <c r="BM651" s="200"/>
      <c r="BN651" s="200"/>
      <c r="BO651" s="200"/>
      <c r="BP651" s="200"/>
      <c r="BQ651" s="200"/>
      <c r="BR651" s="200"/>
      <c r="BS651" s="200"/>
      <c r="BT651" s="200"/>
      <c r="BU651" s="200"/>
      <c r="BV651" s="200"/>
      <c r="BW651" s="200"/>
      <c r="BX651" s="200"/>
      <c r="BY651" s="200"/>
      <c r="BZ651" s="200"/>
      <c r="CA651" s="200"/>
      <c r="CB651" s="200"/>
      <c r="CC651" s="200"/>
      <c r="CD651" s="200"/>
      <c r="CE651" s="200"/>
      <c r="CF651" s="200"/>
      <c r="CG651" s="200"/>
      <c r="CH651" s="200"/>
      <c r="CI651" s="200"/>
      <c r="CJ651" s="200"/>
      <c r="CK651" s="200"/>
      <c r="CL651" s="200"/>
      <c r="CM651" s="200"/>
      <c r="CN651" s="200"/>
      <c r="CO651" s="200"/>
      <c r="CP651" s="200"/>
      <c r="CQ651" s="200"/>
      <c r="CR651" s="200"/>
      <c r="CS651" s="200"/>
      <c r="CT651" s="200"/>
      <c r="CU651" s="200"/>
      <c r="CV651" s="200"/>
      <c r="CW651" s="200"/>
      <c r="CX651" s="200"/>
      <c r="CY651" s="200"/>
      <c r="CZ651" s="200"/>
      <c r="DA651" s="200"/>
      <c r="DB651" s="200"/>
      <c r="DC651" s="200"/>
      <c r="DD651" s="200"/>
      <c r="DE651" s="200"/>
      <c r="DF651" s="200"/>
      <c r="DG651" s="200"/>
      <c r="DH651" s="200"/>
      <c r="DI651" s="200"/>
      <c r="DJ651" s="200"/>
      <c r="DK651" s="200"/>
      <c r="DL651" s="200"/>
    </row>
    <row r="652" ht="20.25" customHeight="1">
      <c r="A652" s="171">
        <v>652.0</v>
      </c>
      <c r="B652" s="168" t="s">
        <v>152</v>
      </c>
      <c r="C652" s="168" t="s">
        <v>115</v>
      </c>
      <c r="D652" s="168" t="s">
        <v>990</v>
      </c>
      <c r="E652" s="164"/>
      <c r="F652" s="952" t="s">
        <v>3497</v>
      </c>
      <c r="G652" s="953" t="s">
        <v>3523</v>
      </c>
      <c r="H652" s="954" t="s">
        <v>144</v>
      </c>
      <c r="I652" s="955">
        <v>45489.0</v>
      </c>
      <c r="J652" s="956">
        <v>45639.0</v>
      </c>
      <c r="K652" s="954" t="s">
        <v>3524</v>
      </c>
      <c r="L652" s="952"/>
      <c r="M652" s="954" t="s">
        <v>3500</v>
      </c>
      <c r="N652" s="954" t="s">
        <v>3501</v>
      </c>
      <c r="O652" s="957">
        <v>3.0</v>
      </c>
      <c r="P652" s="954" t="s">
        <v>3502</v>
      </c>
      <c r="Q652" s="958" t="str">
        <f t="array" ref="Q652"> if(iserror(MATCH(V652, 'File Links'!C:C, 0)), "N/A", HYPERLINK(INDEX('File Links'!B:B, MATCH(P652, 'File Links'!C:C, 0))))</f>
        <v>N/A</v>
      </c>
      <c r="R652" s="954" t="s">
        <v>3503</v>
      </c>
      <c r="S652" s="954" t="s">
        <v>3504</v>
      </c>
      <c r="T652" s="959" t="s">
        <v>3493</v>
      </c>
      <c r="U652" s="957">
        <v>3.0</v>
      </c>
      <c r="V652" s="732" t="str">
        <f t="shared" si="36"/>
        <v>10.17605--osf.io--e5k4j.pdf</v>
      </c>
      <c r="W652" s="732" t="s">
        <v>209</v>
      </c>
      <c r="X652" s="737" t="str">
        <f t="array" ref="X652"> if(iserror(MATCH(V652, 'File Links'!C:C, 0)), "N/A", HYPERLINK(INDEX('File Links'!B:B, MATCH(V652, 'File Links'!C:C, 0))))</f>
        <v>N/A</v>
      </c>
      <c r="Y652" s="952"/>
      <c r="Z652" s="954" t="s">
        <v>2045</v>
      </c>
      <c r="AA652" s="954" t="s">
        <v>3505</v>
      </c>
      <c r="AB652" s="952" t="s">
        <v>3506</v>
      </c>
      <c r="AC652" s="954" t="s">
        <v>3525</v>
      </c>
      <c r="AD652" s="952"/>
      <c r="AE652" s="957">
        <v>4.0</v>
      </c>
      <c r="AF652" s="957">
        <v>70.0</v>
      </c>
      <c r="AG652" s="960">
        <v>0.83</v>
      </c>
      <c r="AH652" s="961" t="s">
        <v>1256</v>
      </c>
      <c r="AI652" s="184" t="s">
        <v>3509</v>
      </c>
      <c r="AJ652" s="960">
        <v>0.001</v>
      </c>
      <c r="AK652" s="954" t="s">
        <v>135</v>
      </c>
      <c r="AL652" s="962" t="s">
        <v>186</v>
      </c>
      <c r="AM652" s="952" t="s">
        <v>137</v>
      </c>
      <c r="AN652" s="175" t="s">
        <v>138</v>
      </c>
      <c r="AO652" s="957">
        <v>600.0</v>
      </c>
      <c r="AP652" s="960">
        <v>0.06</v>
      </c>
      <c r="AQ652" s="961" t="s">
        <v>1256</v>
      </c>
      <c r="AR652" s="963" t="s">
        <v>3510</v>
      </c>
      <c r="AS652" s="957">
        <v>0.3</v>
      </c>
      <c r="AT652" s="954" t="s">
        <v>172</v>
      </c>
      <c r="AU652" s="954" t="s">
        <v>186</v>
      </c>
      <c r="AV652" s="952" t="s">
        <v>137</v>
      </c>
      <c r="AW652" s="964" t="s">
        <v>3511</v>
      </c>
      <c r="AX652" s="952" t="s">
        <v>143</v>
      </c>
      <c r="AY652" s="61" t="str">
        <f>IFERROR(__xludf.DUMMYFUNCTION("vlookup(BB652,importrange(""https://docs.google.com/spreadsheets/d/1d2vevQ_7D_v35q4wCQ4RpQ_IPoTwEMB9Yp6ymwlPqew/edit?gid=984458430#gid=984458430"", ""'replication success'!A:K""), 11, FAlSE)"),"#N/A")</f>
        <v>#N/A</v>
      </c>
      <c r="AZ652" s="61" t="str">
        <f>IFERROR(__xludf.DUMMYFUNCTION("vlookup(BB652,importrange(""https://docs.google.com/spreadsheets/d/1d2vevQ_7D_v35q4wCQ4RpQ_IPoTwEMB9Yp6ymwlPqew/edit?gid=984458430#gid=984458430"", ""'replication success'!A:M""), 12, FAlSE)"),"#N/A")</f>
        <v>#N/A</v>
      </c>
      <c r="BA652" s="61" t="str">
        <f>IFERROR(__xludf.DUMMYFUNCTION("vlookup(BB652,importrange(""https://docs.google.com/spreadsheets/d/1d2vevQ_7D_v35q4wCQ4RpQ_IPoTwEMB9Yp6ymwlPqew/edit?gid=984458430#gid=984458430"", ""'replication success'!A:M""), 13, FAlSE)"),"#N/A")</f>
        <v>#N/A</v>
      </c>
      <c r="BB652" s="61" t="str">
        <f>IFERROR(__xludf.DUMMYFUNCTION("REGEXREPLACE(G652, ""_[a-z]{1,2}$"", """")"),"additional_studies93")</f>
        <v>additional_studies93</v>
      </c>
      <c r="BC652" s="180"/>
      <c r="BD652" s="168" t="s">
        <v>692</v>
      </c>
      <c r="BE652" s="164"/>
      <c r="BF652" s="164"/>
      <c r="BG652" s="164"/>
      <c r="BH652" s="164"/>
      <c r="BI652" s="164"/>
      <c r="BJ652" s="164"/>
      <c r="BK652" s="164"/>
      <c r="BL652" s="164"/>
      <c r="BM652" s="164"/>
      <c r="BN652" s="164"/>
      <c r="BO652" s="164"/>
      <c r="BP652" s="164"/>
      <c r="BQ652" s="164"/>
      <c r="BR652" s="164"/>
      <c r="BS652" s="164"/>
      <c r="BT652" s="164"/>
      <c r="BU652" s="164"/>
      <c r="BV652" s="164"/>
      <c r="BW652" s="164"/>
      <c r="BX652" s="164"/>
      <c r="BY652" s="164"/>
      <c r="BZ652" s="164"/>
      <c r="CA652" s="164"/>
      <c r="CB652" s="164"/>
      <c r="CC652" s="164"/>
      <c r="CD652" s="164"/>
      <c r="CE652" s="164"/>
      <c r="CF652" s="164"/>
      <c r="CG652" s="164"/>
      <c r="CH652" s="164"/>
      <c r="CI652" s="164"/>
      <c r="CJ652" s="164"/>
      <c r="CK652" s="164"/>
      <c r="CL652" s="164"/>
      <c r="CM652" s="164"/>
      <c r="CN652" s="164"/>
      <c r="CO652" s="164"/>
      <c r="CP652" s="164"/>
      <c r="CQ652" s="164"/>
      <c r="CR652" s="164"/>
      <c r="CS652" s="164"/>
      <c r="CT652" s="164"/>
      <c r="CU652" s="164"/>
      <c r="CV652" s="164"/>
      <c r="CW652" s="164"/>
      <c r="CX652" s="164"/>
      <c r="CY652" s="164"/>
      <c r="CZ652" s="164"/>
      <c r="DA652" s="164"/>
      <c r="DB652" s="164"/>
      <c r="DC652" s="164"/>
      <c r="DD652" s="164"/>
      <c r="DE652" s="164"/>
      <c r="DF652" s="164"/>
      <c r="DG652" s="164"/>
      <c r="DH652" s="164"/>
      <c r="DI652" s="164"/>
      <c r="DJ652" s="164"/>
      <c r="DK652" s="164"/>
      <c r="DL652" s="164"/>
    </row>
    <row r="653" ht="20.25" customHeight="1">
      <c r="A653" s="451">
        <v>653.0</v>
      </c>
      <c r="B653" s="199" t="s">
        <v>152</v>
      </c>
      <c r="C653" s="199" t="s">
        <v>115</v>
      </c>
      <c r="D653" s="199" t="s">
        <v>990</v>
      </c>
      <c r="E653" s="200"/>
      <c r="F653" s="965" t="s">
        <v>3497</v>
      </c>
      <c r="G653" s="966" t="s">
        <v>3526</v>
      </c>
      <c r="H653" s="945" t="s">
        <v>144</v>
      </c>
      <c r="I653" s="967">
        <v>45489.0</v>
      </c>
      <c r="J653" s="968">
        <v>45639.0</v>
      </c>
      <c r="K653" s="945" t="s">
        <v>3524</v>
      </c>
      <c r="L653" s="965"/>
      <c r="M653" s="945" t="s">
        <v>3500</v>
      </c>
      <c r="N653" s="945" t="s">
        <v>3501</v>
      </c>
      <c r="O653" s="969">
        <v>3.0</v>
      </c>
      <c r="P653" s="945" t="s">
        <v>3502</v>
      </c>
      <c r="Q653" s="946" t="str">
        <f t="array" ref="Q653"> if(iserror(MATCH(V653, 'File Links'!C:C, 0)), "N/A", HYPERLINK(INDEX('File Links'!B:B, MATCH(P653, 'File Links'!C:C, 0))))</f>
        <v>N/A</v>
      </c>
      <c r="R653" s="945" t="s">
        <v>3503</v>
      </c>
      <c r="S653" s="945" t="s">
        <v>3504</v>
      </c>
      <c r="T653" s="970" t="s">
        <v>3493</v>
      </c>
      <c r="U653" s="969">
        <v>3.0</v>
      </c>
      <c r="V653" s="201" t="str">
        <f t="shared" si="36"/>
        <v>10.17605--osf.io--e5k4j.pdf</v>
      </c>
      <c r="W653" s="201" t="s">
        <v>209</v>
      </c>
      <c r="X653" s="454" t="str">
        <f t="array" ref="X653"> if(iserror(MATCH(V653, 'File Links'!C:C, 0)), "N/A", HYPERLINK(INDEX('File Links'!B:B, MATCH(V653, 'File Links'!C:C, 0))))</f>
        <v>N/A</v>
      </c>
      <c r="Y653" s="965"/>
      <c r="Z653" s="945" t="s">
        <v>2045</v>
      </c>
      <c r="AA653" s="945" t="s">
        <v>3505</v>
      </c>
      <c r="AB653" s="965" t="s">
        <v>3506</v>
      </c>
      <c r="AC653" s="945" t="s">
        <v>3527</v>
      </c>
      <c r="AD653" s="965"/>
      <c r="AE653" s="969">
        <v>4.0</v>
      </c>
      <c r="AF653" s="969">
        <v>70.0</v>
      </c>
      <c r="AG653" s="971">
        <v>0.75</v>
      </c>
      <c r="AH653" s="972" t="s">
        <v>1256</v>
      </c>
      <c r="AI653" s="207" t="s">
        <v>3509</v>
      </c>
      <c r="AJ653" s="949">
        <v>0.001</v>
      </c>
      <c r="AK653" s="945" t="s">
        <v>135</v>
      </c>
      <c r="AL653" s="973" t="s">
        <v>186</v>
      </c>
      <c r="AM653" s="965" t="s">
        <v>137</v>
      </c>
      <c r="AN653" s="205" t="s">
        <v>138</v>
      </c>
      <c r="AO653" s="969">
        <v>600.0</v>
      </c>
      <c r="AP653" s="971">
        <v>0.06</v>
      </c>
      <c r="AQ653" s="972" t="s">
        <v>1256</v>
      </c>
      <c r="AR653" s="948" t="s">
        <v>3510</v>
      </c>
      <c r="AS653" s="969">
        <v>0.455</v>
      </c>
      <c r="AT653" s="945" t="s">
        <v>172</v>
      </c>
      <c r="AU653" s="945" t="s">
        <v>186</v>
      </c>
      <c r="AV653" s="965" t="s">
        <v>137</v>
      </c>
      <c r="AW653" s="950" t="s">
        <v>3511</v>
      </c>
      <c r="AX653" s="965" t="s">
        <v>143</v>
      </c>
      <c r="AY653" s="61" t="str">
        <f>IFERROR(__xludf.DUMMYFUNCTION("vlookup(BB653,importrange(""https://docs.google.com/spreadsheets/d/1d2vevQ_7D_v35q4wCQ4RpQ_IPoTwEMB9Yp6ymwlPqew/edit?gid=984458430#gid=984458430"", ""'replication success'!A:K""), 11, FAlSE)"),"#N/A")</f>
        <v>#N/A</v>
      </c>
      <c r="AZ653" s="61" t="str">
        <f>IFERROR(__xludf.DUMMYFUNCTION("vlookup(BB653,importrange(""https://docs.google.com/spreadsheets/d/1d2vevQ_7D_v35q4wCQ4RpQ_IPoTwEMB9Yp6ymwlPqew/edit?gid=984458430#gid=984458430"", ""'replication success'!A:M""), 12, FAlSE)"),"#N/A")</f>
        <v>#N/A</v>
      </c>
      <c r="BA653" s="61" t="str">
        <f>IFERROR(__xludf.DUMMYFUNCTION("vlookup(BB653,importrange(""https://docs.google.com/spreadsheets/d/1d2vevQ_7D_v35q4wCQ4RpQ_IPoTwEMB9Yp6ymwlPqew/edit?gid=984458430#gid=984458430"", ""'replication success'!A:M""), 13, FAlSE)"),"#N/A")</f>
        <v>#N/A</v>
      </c>
      <c r="BB653" s="61" t="str">
        <f>IFERROR(__xludf.DUMMYFUNCTION("REGEXREPLACE(G653, ""_[a-z]{1,2}$"", """")"),"additional_studies93")</f>
        <v>additional_studies93</v>
      </c>
      <c r="BC653" s="204"/>
      <c r="BD653" s="199" t="s">
        <v>692</v>
      </c>
      <c r="BE653" s="200"/>
      <c r="BF653" s="200"/>
      <c r="BG653" s="200"/>
      <c r="BH653" s="200"/>
      <c r="BI653" s="200"/>
      <c r="BJ653" s="200"/>
      <c r="BK653" s="200"/>
      <c r="BL653" s="200"/>
      <c r="BM653" s="200"/>
      <c r="BN653" s="200"/>
      <c r="BO653" s="200"/>
      <c r="BP653" s="200"/>
      <c r="BQ653" s="200"/>
      <c r="BR653" s="200"/>
      <c r="BS653" s="200"/>
      <c r="BT653" s="200"/>
      <c r="BU653" s="200"/>
      <c r="BV653" s="200"/>
      <c r="BW653" s="200"/>
      <c r="BX653" s="200"/>
      <c r="BY653" s="200"/>
      <c r="BZ653" s="200"/>
      <c r="CA653" s="200"/>
      <c r="CB653" s="200"/>
      <c r="CC653" s="200"/>
      <c r="CD653" s="200"/>
      <c r="CE653" s="200"/>
      <c r="CF653" s="200"/>
      <c r="CG653" s="200"/>
      <c r="CH653" s="200"/>
      <c r="CI653" s="200"/>
      <c r="CJ653" s="200"/>
      <c r="CK653" s="200"/>
      <c r="CL653" s="200"/>
      <c r="CM653" s="200"/>
      <c r="CN653" s="200"/>
      <c r="CO653" s="200"/>
      <c r="CP653" s="200"/>
      <c r="CQ653" s="200"/>
      <c r="CR653" s="200"/>
      <c r="CS653" s="200"/>
      <c r="CT653" s="200"/>
      <c r="CU653" s="200"/>
      <c r="CV653" s="200"/>
      <c r="CW653" s="200"/>
      <c r="CX653" s="200"/>
      <c r="CY653" s="200"/>
      <c r="CZ653" s="200"/>
      <c r="DA653" s="200"/>
      <c r="DB653" s="200"/>
      <c r="DC653" s="200"/>
      <c r="DD653" s="200"/>
      <c r="DE653" s="200"/>
      <c r="DF653" s="200"/>
      <c r="DG653" s="200"/>
      <c r="DH653" s="200"/>
      <c r="DI653" s="200"/>
      <c r="DJ653" s="200"/>
      <c r="DK653" s="200"/>
      <c r="DL653" s="200"/>
    </row>
    <row r="654" ht="20.25" customHeight="1">
      <c r="A654" s="451">
        <v>654.0</v>
      </c>
      <c r="B654" s="199" t="s">
        <v>152</v>
      </c>
      <c r="C654" s="199" t="s">
        <v>115</v>
      </c>
      <c r="D654" s="199" t="s">
        <v>990</v>
      </c>
      <c r="E654" s="200"/>
      <c r="F654" s="965" t="s">
        <v>3497</v>
      </c>
      <c r="G654" s="966" t="s">
        <v>3528</v>
      </c>
      <c r="H654" s="945" t="s">
        <v>144</v>
      </c>
      <c r="I654" s="967">
        <v>45489.0</v>
      </c>
      <c r="J654" s="968">
        <v>45639.0</v>
      </c>
      <c r="K654" s="945" t="s">
        <v>3524</v>
      </c>
      <c r="L654" s="965"/>
      <c r="M654" s="945" t="s">
        <v>3500</v>
      </c>
      <c r="N654" s="945" t="s">
        <v>3501</v>
      </c>
      <c r="O654" s="969">
        <v>3.0</v>
      </c>
      <c r="P654" s="945" t="s">
        <v>3502</v>
      </c>
      <c r="Q654" s="946" t="str">
        <f t="array" ref="Q654"> if(iserror(MATCH(V654, 'File Links'!C:C, 0)), "N/A", HYPERLINK(INDEX('File Links'!B:B, MATCH(P654, 'File Links'!C:C, 0))))</f>
        <v>N/A</v>
      </c>
      <c r="R654" s="945" t="s">
        <v>3503</v>
      </c>
      <c r="S654" s="945" t="s">
        <v>3504</v>
      </c>
      <c r="T654" s="970" t="s">
        <v>3493</v>
      </c>
      <c r="U654" s="969">
        <v>3.0</v>
      </c>
      <c r="V654" s="201" t="str">
        <f t="shared" si="36"/>
        <v>10.17605--osf.io--e5k4j.pdf</v>
      </c>
      <c r="W654" s="201" t="s">
        <v>209</v>
      </c>
      <c r="X654" s="454" t="str">
        <f t="array" ref="X654"> if(iserror(MATCH(V654, 'File Links'!C:C, 0)), "N/A", HYPERLINK(INDEX('File Links'!B:B, MATCH(V654, 'File Links'!C:C, 0))))</f>
        <v>N/A</v>
      </c>
      <c r="Y654" s="965"/>
      <c r="Z654" s="945" t="s">
        <v>2045</v>
      </c>
      <c r="AA654" s="945" t="s">
        <v>3505</v>
      </c>
      <c r="AB654" s="965" t="s">
        <v>3506</v>
      </c>
      <c r="AC654" s="945" t="s">
        <v>3529</v>
      </c>
      <c r="AD654" s="965"/>
      <c r="AE654" s="969">
        <v>4.0</v>
      </c>
      <c r="AF654" s="969">
        <v>70.0</v>
      </c>
      <c r="AG654" s="971">
        <v>0.3</v>
      </c>
      <c r="AH654" s="972" t="s">
        <v>1256</v>
      </c>
      <c r="AI654" s="207" t="s">
        <v>3509</v>
      </c>
      <c r="AJ654" s="971">
        <v>0.47</v>
      </c>
      <c r="AK654" s="972" t="s">
        <v>172</v>
      </c>
      <c r="AL654" s="973" t="s">
        <v>186</v>
      </c>
      <c r="AM654" s="965" t="s">
        <v>137</v>
      </c>
      <c r="AN654" s="205" t="s">
        <v>138</v>
      </c>
      <c r="AO654" s="969">
        <v>600.0</v>
      </c>
      <c r="AP654" s="971">
        <v>0.06</v>
      </c>
      <c r="AQ654" s="972" t="s">
        <v>1256</v>
      </c>
      <c r="AR654" s="948" t="s">
        <v>3510</v>
      </c>
      <c r="AS654" s="969">
        <v>0.328</v>
      </c>
      <c r="AT654" s="945" t="s">
        <v>172</v>
      </c>
      <c r="AU654" s="945" t="s">
        <v>186</v>
      </c>
      <c r="AV654" s="965" t="s">
        <v>137</v>
      </c>
      <c r="AW654" s="950" t="s">
        <v>3511</v>
      </c>
      <c r="AX654" s="965" t="s">
        <v>143</v>
      </c>
      <c r="AY654" s="61" t="str">
        <f>IFERROR(__xludf.DUMMYFUNCTION("vlookup(BB654,importrange(""https://docs.google.com/spreadsheets/d/1d2vevQ_7D_v35q4wCQ4RpQ_IPoTwEMB9Yp6ymwlPqew/edit?gid=984458430#gid=984458430"", ""'replication success'!A:K""), 11, FAlSE)"),"#N/A")</f>
        <v>#N/A</v>
      </c>
      <c r="AZ654" s="61" t="str">
        <f>IFERROR(__xludf.DUMMYFUNCTION("vlookup(BB654,importrange(""https://docs.google.com/spreadsheets/d/1d2vevQ_7D_v35q4wCQ4RpQ_IPoTwEMB9Yp6ymwlPqew/edit?gid=984458430#gid=984458430"", ""'replication success'!A:M""), 12, FAlSE)"),"#N/A")</f>
        <v>#N/A</v>
      </c>
      <c r="BA654" s="61" t="str">
        <f>IFERROR(__xludf.DUMMYFUNCTION("vlookup(BB654,importrange(""https://docs.google.com/spreadsheets/d/1d2vevQ_7D_v35q4wCQ4RpQ_IPoTwEMB9Yp6ymwlPqew/edit?gid=984458430#gid=984458430"", ""'replication success'!A:M""), 13, FAlSE)"),"#N/A")</f>
        <v>#N/A</v>
      </c>
      <c r="BB654" s="61" t="str">
        <f>IFERROR(__xludf.DUMMYFUNCTION("REGEXREPLACE(G654, ""_[a-z]{1,2}$"", """")"),"additional_studies93")</f>
        <v>additional_studies93</v>
      </c>
      <c r="BC654" s="204"/>
      <c r="BD654" s="199" t="s">
        <v>692</v>
      </c>
      <c r="BE654" s="200"/>
      <c r="BF654" s="200"/>
      <c r="BG654" s="200"/>
      <c r="BH654" s="200"/>
      <c r="BI654" s="200"/>
      <c r="BJ654" s="200"/>
      <c r="BK654" s="200"/>
      <c r="BL654" s="200"/>
      <c r="BM654" s="200"/>
      <c r="BN654" s="200"/>
      <c r="BO654" s="200"/>
      <c r="BP654" s="200"/>
      <c r="BQ654" s="200"/>
      <c r="BR654" s="200"/>
      <c r="BS654" s="200"/>
      <c r="BT654" s="200"/>
      <c r="BU654" s="200"/>
      <c r="BV654" s="200"/>
      <c r="BW654" s="200"/>
      <c r="BX654" s="200"/>
      <c r="BY654" s="200"/>
      <c r="BZ654" s="200"/>
      <c r="CA654" s="200"/>
      <c r="CB654" s="200"/>
      <c r="CC654" s="200"/>
      <c r="CD654" s="200"/>
      <c r="CE654" s="200"/>
      <c r="CF654" s="200"/>
      <c r="CG654" s="200"/>
      <c r="CH654" s="200"/>
      <c r="CI654" s="200"/>
      <c r="CJ654" s="200"/>
      <c r="CK654" s="200"/>
      <c r="CL654" s="200"/>
      <c r="CM654" s="200"/>
      <c r="CN654" s="200"/>
      <c r="CO654" s="200"/>
      <c r="CP654" s="200"/>
      <c r="CQ654" s="200"/>
      <c r="CR654" s="200"/>
      <c r="CS654" s="200"/>
      <c r="CT654" s="200"/>
      <c r="CU654" s="200"/>
      <c r="CV654" s="200"/>
      <c r="CW654" s="200"/>
      <c r="CX654" s="200"/>
      <c r="CY654" s="200"/>
      <c r="CZ654" s="200"/>
      <c r="DA654" s="200"/>
      <c r="DB654" s="200"/>
      <c r="DC654" s="200"/>
      <c r="DD654" s="200"/>
      <c r="DE654" s="200"/>
      <c r="DF654" s="200"/>
      <c r="DG654" s="200"/>
      <c r="DH654" s="200"/>
      <c r="DI654" s="200"/>
      <c r="DJ654" s="200"/>
      <c r="DK654" s="200"/>
      <c r="DL654" s="200"/>
    </row>
    <row r="655" ht="20.25" customHeight="1">
      <c r="A655" s="451">
        <v>655.0</v>
      </c>
      <c r="B655" s="199" t="s">
        <v>152</v>
      </c>
      <c r="C655" s="199" t="s">
        <v>115</v>
      </c>
      <c r="D655" s="199" t="s">
        <v>990</v>
      </c>
      <c r="E655" s="200"/>
      <c r="F655" s="965" t="s">
        <v>3497</v>
      </c>
      <c r="G655" s="966" t="s">
        <v>3530</v>
      </c>
      <c r="H655" s="945" t="s">
        <v>144</v>
      </c>
      <c r="I655" s="967">
        <v>45489.0</v>
      </c>
      <c r="J655" s="968">
        <v>45639.0</v>
      </c>
      <c r="K655" s="965"/>
      <c r="L655" s="965"/>
      <c r="M655" s="945" t="s">
        <v>3500</v>
      </c>
      <c r="N655" s="945" t="s">
        <v>3501</v>
      </c>
      <c r="O655" s="969">
        <v>3.0</v>
      </c>
      <c r="P655" s="945" t="s">
        <v>3502</v>
      </c>
      <c r="Q655" s="946" t="str">
        <f t="array" ref="Q655"> if(iserror(MATCH(V655, 'File Links'!C:C, 0)), "N/A", HYPERLINK(INDEX('File Links'!B:B, MATCH(P655, 'File Links'!C:C, 0))))</f>
        <v>N/A</v>
      </c>
      <c r="R655" s="945" t="s">
        <v>3503</v>
      </c>
      <c r="S655" s="945" t="s">
        <v>3504</v>
      </c>
      <c r="T655" s="970" t="s">
        <v>3493</v>
      </c>
      <c r="U655" s="969">
        <v>3.0</v>
      </c>
      <c r="V655" s="201" t="str">
        <f t="shared" si="36"/>
        <v>10.17605--osf.io--e5k4j.pdf</v>
      </c>
      <c r="W655" s="201" t="s">
        <v>209</v>
      </c>
      <c r="X655" s="454" t="str">
        <f t="array" ref="X655"> if(iserror(MATCH(V655, 'File Links'!C:C, 0)), "N/A", HYPERLINK(INDEX('File Links'!B:B, MATCH(V655, 'File Links'!C:C, 0))))</f>
        <v>N/A</v>
      </c>
      <c r="Y655" s="965"/>
      <c r="Z655" s="945" t="s">
        <v>2045</v>
      </c>
      <c r="AA655" s="945" t="s">
        <v>3505</v>
      </c>
      <c r="AB655" s="965" t="s">
        <v>3506</v>
      </c>
      <c r="AC655" s="945" t="s">
        <v>3531</v>
      </c>
      <c r="AD655" s="965"/>
      <c r="AE655" s="969">
        <v>4.0</v>
      </c>
      <c r="AF655" s="969">
        <v>70.0</v>
      </c>
      <c r="AG655" s="974">
        <v>0.87</v>
      </c>
      <c r="AH655" s="975" t="s">
        <v>1256</v>
      </c>
      <c r="AI655" s="207" t="s">
        <v>3509</v>
      </c>
      <c r="AJ655" s="976">
        <v>0.001</v>
      </c>
      <c r="AK655" s="975" t="s">
        <v>135</v>
      </c>
      <c r="AL655" s="975" t="s">
        <v>186</v>
      </c>
      <c r="AM655" s="975" t="s">
        <v>137</v>
      </c>
      <c r="AN655" s="205" t="s">
        <v>138</v>
      </c>
      <c r="AO655" s="969">
        <v>600.0</v>
      </c>
      <c r="AP655" s="971">
        <v>0.03</v>
      </c>
      <c r="AQ655" s="972" t="s">
        <v>1256</v>
      </c>
      <c r="AR655" s="948" t="s">
        <v>3510</v>
      </c>
      <c r="AS655" s="969">
        <v>0.861</v>
      </c>
      <c r="AT655" s="945" t="s">
        <v>172</v>
      </c>
      <c r="AU655" s="945" t="s">
        <v>186</v>
      </c>
      <c r="AV655" s="965" t="s">
        <v>137</v>
      </c>
      <c r="AW655" s="950" t="s">
        <v>3511</v>
      </c>
      <c r="AX655" s="965" t="s">
        <v>143</v>
      </c>
      <c r="AY655" s="61" t="str">
        <f>IFERROR(__xludf.DUMMYFUNCTION("vlookup(BB655,importrange(""https://docs.google.com/spreadsheets/d/1d2vevQ_7D_v35q4wCQ4RpQ_IPoTwEMB9Yp6ymwlPqew/edit?gid=984458430#gid=984458430"", ""'replication success'!A:K""), 11, FAlSE)"),"#N/A")</f>
        <v>#N/A</v>
      </c>
      <c r="AZ655" s="61" t="str">
        <f>IFERROR(__xludf.DUMMYFUNCTION("vlookup(BB655,importrange(""https://docs.google.com/spreadsheets/d/1d2vevQ_7D_v35q4wCQ4RpQ_IPoTwEMB9Yp6ymwlPqew/edit?gid=984458430#gid=984458430"", ""'replication success'!A:M""), 12, FAlSE)"),"#N/A")</f>
        <v>#N/A</v>
      </c>
      <c r="BA655" s="61" t="str">
        <f>IFERROR(__xludf.DUMMYFUNCTION("vlookup(BB655,importrange(""https://docs.google.com/spreadsheets/d/1d2vevQ_7D_v35q4wCQ4RpQ_IPoTwEMB9Yp6ymwlPqew/edit?gid=984458430#gid=984458430"", ""'replication success'!A:M""), 13, FAlSE)"),"#N/A")</f>
        <v>#N/A</v>
      </c>
      <c r="BB655" s="61" t="str">
        <f>IFERROR(__xludf.DUMMYFUNCTION("REGEXREPLACE(G655, ""_[a-z]{1,2}$"", """")"),"additional_studies93")</f>
        <v>additional_studies93</v>
      </c>
      <c r="BC655" s="204"/>
      <c r="BD655" s="199" t="s">
        <v>692</v>
      </c>
      <c r="BE655" s="200"/>
      <c r="BF655" s="200"/>
      <c r="BG655" s="200"/>
      <c r="BH655" s="200"/>
      <c r="BI655" s="200"/>
      <c r="BJ655" s="200"/>
      <c r="BK655" s="200"/>
      <c r="BL655" s="200"/>
      <c r="BM655" s="200"/>
      <c r="BN655" s="200"/>
      <c r="BO655" s="200"/>
      <c r="BP655" s="200"/>
      <c r="BQ655" s="200"/>
      <c r="BR655" s="200"/>
      <c r="BS655" s="200"/>
      <c r="BT655" s="200"/>
      <c r="BU655" s="200"/>
      <c r="BV655" s="200"/>
      <c r="BW655" s="200"/>
      <c r="BX655" s="200"/>
      <c r="BY655" s="200"/>
      <c r="BZ655" s="200"/>
      <c r="CA655" s="200"/>
      <c r="CB655" s="200"/>
      <c r="CC655" s="200"/>
      <c r="CD655" s="200"/>
      <c r="CE655" s="200"/>
      <c r="CF655" s="200"/>
      <c r="CG655" s="200"/>
      <c r="CH655" s="200"/>
      <c r="CI655" s="200"/>
      <c r="CJ655" s="200"/>
      <c r="CK655" s="200"/>
      <c r="CL655" s="200"/>
      <c r="CM655" s="200"/>
      <c r="CN655" s="200"/>
      <c r="CO655" s="200"/>
      <c r="CP655" s="200"/>
      <c r="CQ655" s="200"/>
      <c r="CR655" s="200"/>
      <c r="CS655" s="200"/>
      <c r="CT655" s="200"/>
      <c r="CU655" s="200"/>
      <c r="CV655" s="200"/>
      <c r="CW655" s="200"/>
      <c r="CX655" s="200"/>
      <c r="CY655" s="200"/>
      <c r="CZ655" s="200"/>
      <c r="DA655" s="200"/>
      <c r="DB655" s="200"/>
      <c r="DC655" s="200"/>
      <c r="DD655" s="200"/>
      <c r="DE655" s="200"/>
      <c r="DF655" s="200"/>
      <c r="DG655" s="200"/>
      <c r="DH655" s="200"/>
      <c r="DI655" s="200"/>
      <c r="DJ655" s="200"/>
      <c r="DK655" s="200"/>
      <c r="DL655" s="200"/>
    </row>
    <row r="656" ht="20.25" customHeight="1">
      <c r="A656" s="451">
        <v>656.0</v>
      </c>
      <c r="B656" s="199" t="s">
        <v>152</v>
      </c>
      <c r="C656" s="199" t="s">
        <v>115</v>
      </c>
      <c r="D656" s="199" t="s">
        <v>990</v>
      </c>
      <c r="E656" s="200"/>
      <c r="F656" s="965" t="s">
        <v>3497</v>
      </c>
      <c r="G656" s="966" t="s">
        <v>3532</v>
      </c>
      <c r="H656" s="945" t="s">
        <v>144</v>
      </c>
      <c r="I656" s="967">
        <v>45489.0</v>
      </c>
      <c r="J656" s="968">
        <v>45639.0</v>
      </c>
      <c r="K656" s="945" t="s">
        <v>3524</v>
      </c>
      <c r="L656" s="965"/>
      <c r="M656" s="945" t="s">
        <v>3500</v>
      </c>
      <c r="N656" s="945" t="s">
        <v>3501</v>
      </c>
      <c r="O656" s="969">
        <v>3.0</v>
      </c>
      <c r="P656" s="945" t="s">
        <v>3502</v>
      </c>
      <c r="Q656" s="946" t="str">
        <f t="array" ref="Q656"> if(iserror(MATCH(V656, 'File Links'!C:C, 0)), "N/A", HYPERLINK(INDEX('File Links'!B:B, MATCH(P656, 'File Links'!C:C, 0))))</f>
        <v>N/A</v>
      </c>
      <c r="R656" s="945" t="s">
        <v>3503</v>
      </c>
      <c r="S656" s="945" t="s">
        <v>3504</v>
      </c>
      <c r="T656" s="970" t="s">
        <v>3493</v>
      </c>
      <c r="U656" s="969">
        <v>3.0</v>
      </c>
      <c r="V656" s="201" t="str">
        <f t="shared" si="36"/>
        <v>10.17605--osf.io--e5k4j.pdf</v>
      </c>
      <c r="W656" s="201" t="s">
        <v>209</v>
      </c>
      <c r="X656" s="454" t="str">
        <f t="array" ref="X656"> if(iserror(MATCH(V656, 'File Links'!C:C, 0)), "N/A", HYPERLINK(INDEX('File Links'!B:B, MATCH(V656, 'File Links'!C:C, 0))))</f>
        <v>N/A</v>
      </c>
      <c r="Y656" s="965"/>
      <c r="Z656" s="945" t="s">
        <v>2045</v>
      </c>
      <c r="AA656" s="945" t="s">
        <v>3505</v>
      </c>
      <c r="AB656" s="965" t="s">
        <v>3506</v>
      </c>
      <c r="AC656" s="945" t="s">
        <v>3533</v>
      </c>
      <c r="AD656" s="965"/>
      <c r="AE656" s="969">
        <v>4.0</v>
      </c>
      <c r="AF656" s="969">
        <v>70.0</v>
      </c>
      <c r="AG656" s="971">
        <v>0.65</v>
      </c>
      <c r="AH656" s="972" t="s">
        <v>1256</v>
      </c>
      <c r="AI656" s="207" t="s">
        <v>3509</v>
      </c>
      <c r="AJ656" s="976">
        <v>0.001</v>
      </c>
      <c r="AK656" s="945" t="s">
        <v>135</v>
      </c>
      <c r="AL656" s="973" t="s">
        <v>186</v>
      </c>
      <c r="AM656" s="965" t="s">
        <v>137</v>
      </c>
      <c r="AN656" s="205" t="s">
        <v>138</v>
      </c>
      <c r="AO656" s="969">
        <v>600.0</v>
      </c>
      <c r="AP656" s="971">
        <v>0.06</v>
      </c>
      <c r="AQ656" s="972" t="s">
        <v>1256</v>
      </c>
      <c r="AR656" s="948" t="s">
        <v>3510</v>
      </c>
      <c r="AS656" s="969">
        <v>0.292</v>
      </c>
      <c r="AT656" s="945" t="s">
        <v>172</v>
      </c>
      <c r="AU656" s="945" t="s">
        <v>186</v>
      </c>
      <c r="AV656" s="965" t="s">
        <v>137</v>
      </c>
      <c r="AW656" s="950" t="s">
        <v>3511</v>
      </c>
      <c r="AX656" s="965" t="s">
        <v>143</v>
      </c>
      <c r="AY656" s="61" t="str">
        <f>IFERROR(__xludf.DUMMYFUNCTION("vlookup(BB656,importrange(""https://docs.google.com/spreadsheets/d/1d2vevQ_7D_v35q4wCQ4RpQ_IPoTwEMB9Yp6ymwlPqew/edit?gid=984458430#gid=984458430"", ""'replication success'!A:K""), 11, FAlSE)"),"#N/A")</f>
        <v>#N/A</v>
      </c>
      <c r="AZ656" s="61" t="str">
        <f>IFERROR(__xludf.DUMMYFUNCTION("vlookup(BB656,importrange(""https://docs.google.com/spreadsheets/d/1d2vevQ_7D_v35q4wCQ4RpQ_IPoTwEMB9Yp6ymwlPqew/edit?gid=984458430#gid=984458430"", ""'replication success'!A:M""), 12, FAlSE)"),"#N/A")</f>
        <v>#N/A</v>
      </c>
      <c r="BA656" s="61" t="str">
        <f>IFERROR(__xludf.DUMMYFUNCTION("vlookup(BB656,importrange(""https://docs.google.com/spreadsheets/d/1d2vevQ_7D_v35q4wCQ4RpQ_IPoTwEMB9Yp6ymwlPqew/edit?gid=984458430#gid=984458430"", ""'replication success'!A:M""), 13, FAlSE)"),"#N/A")</f>
        <v>#N/A</v>
      </c>
      <c r="BB656" s="61" t="str">
        <f>IFERROR(__xludf.DUMMYFUNCTION("REGEXREPLACE(G656, ""_[a-z]{1,2}$"", """")"),"additional_studies93")</f>
        <v>additional_studies93</v>
      </c>
      <c r="BC656" s="204"/>
      <c r="BD656" s="199" t="s">
        <v>692</v>
      </c>
      <c r="BE656" s="200"/>
      <c r="BF656" s="200"/>
      <c r="BG656" s="200"/>
      <c r="BH656" s="200"/>
      <c r="BI656" s="200"/>
      <c r="BJ656" s="200"/>
      <c r="BK656" s="200"/>
      <c r="BL656" s="200"/>
      <c r="BM656" s="200"/>
      <c r="BN656" s="200"/>
      <c r="BO656" s="200"/>
      <c r="BP656" s="200"/>
      <c r="BQ656" s="200"/>
      <c r="BR656" s="200"/>
      <c r="BS656" s="200"/>
      <c r="BT656" s="200"/>
      <c r="BU656" s="200"/>
      <c r="BV656" s="200"/>
      <c r="BW656" s="200"/>
      <c r="BX656" s="200"/>
      <c r="BY656" s="200"/>
      <c r="BZ656" s="200"/>
      <c r="CA656" s="200"/>
      <c r="CB656" s="200"/>
      <c r="CC656" s="200"/>
      <c r="CD656" s="200"/>
      <c r="CE656" s="200"/>
      <c r="CF656" s="200"/>
      <c r="CG656" s="200"/>
      <c r="CH656" s="200"/>
      <c r="CI656" s="200"/>
      <c r="CJ656" s="200"/>
      <c r="CK656" s="200"/>
      <c r="CL656" s="200"/>
      <c r="CM656" s="200"/>
      <c r="CN656" s="200"/>
      <c r="CO656" s="200"/>
      <c r="CP656" s="200"/>
      <c r="CQ656" s="200"/>
      <c r="CR656" s="200"/>
      <c r="CS656" s="200"/>
      <c r="CT656" s="200"/>
      <c r="CU656" s="200"/>
      <c r="CV656" s="200"/>
      <c r="CW656" s="200"/>
      <c r="CX656" s="200"/>
      <c r="CY656" s="200"/>
      <c r="CZ656" s="200"/>
      <c r="DA656" s="200"/>
      <c r="DB656" s="200"/>
      <c r="DC656" s="200"/>
      <c r="DD656" s="200"/>
      <c r="DE656" s="200"/>
      <c r="DF656" s="200"/>
      <c r="DG656" s="200"/>
      <c r="DH656" s="200"/>
      <c r="DI656" s="200"/>
      <c r="DJ656" s="200"/>
      <c r="DK656" s="200"/>
      <c r="DL656" s="200"/>
    </row>
    <row r="657" ht="20.25" customHeight="1">
      <c r="A657" s="689">
        <v>657.0</v>
      </c>
      <c r="B657" s="188" t="s">
        <v>114</v>
      </c>
      <c r="C657" s="188" t="s">
        <v>115</v>
      </c>
      <c r="D657" s="188" t="s">
        <v>221</v>
      </c>
      <c r="E657" s="189"/>
      <c r="F657" s="977" t="s">
        <v>3497</v>
      </c>
      <c r="G657" s="978" t="s">
        <v>3498</v>
      </c>
      <c r="H657" s="977" t="s">
        <v>221</v>
      </c>
      <c r="I657" s="979">
        <v>45684.0</v>
      </c>
      <c r="J657" s="979">
        <v>45685.0</v>
      </c>
      <c r="K657" s="977" t="s">
        <v>1101</v>
      </c>
      <c r="L657" s="980"/>
      <c r="M657" s="977" t="s">
        <v>3500</v>
      </c>
      <c r="N657" s="977" t="s">
        <v>3501</v>
      </c>
      <c r="O657" s="981"/>
      <c r="P657" s="977" t="s">
        <v>3502</v>
      </c>
      <c r="Q657" s="982" t="str">
        <f t="array" ref="Q657"> if(iserror(MATCH(V657, 'File Links'!C:C, 0)), "N/A", HYPERLINK(INDEX('File Links'!B:B, MATCH(P657, 'File Links'!C:C, 0))))</f>
        <v>N/A</v>
      </c>
      <c r="R657" s="977" t="s">
        <v>3503</v>
      </c>
      <c r="S657" s="977" t="s">
        <v>3504</v>
      </c>
      <c r="T657" s="983" t="s">
        <v>3493</v>
      </c>
      <c r="U657" s="981"/>
      <c r="V657" s="198" t="str">
        <f t="shared" si="36"/>
        <v>10.17605--osf.io--e5k4j.pdf</v>
      </c>
      <c r="W657" s="198" t="s">
        <v>1103</v>
      </c>
      <c r="X657" s="193" t="str">
        <f t="array" ref="X657"> if(iserror(MATCH(V657, 'File Links'!C:C, 0)), "N/A", HYPERLINK(INDEX('File Links'!B:B, MATCH(V657, 'File Links'!C:C, 0))))</f>
        <v>N/A</v>
      </c>
      <c r="Y657" s="980"/>
      <c r="Z657" s="977" t="s">
        <v>210</v>
      </c>
      <c r="AA657" s="977" t="s">
        <v>3534</v>
      </c>
      <c r="AB657" s="977" t="s">
        <v>3535</v>
      </c>
      <c r="AC657" s="977" t="s">
        <v>3536</v>
      </c>
      <c r="AD657" s="977" t="s">
        <v>3537</v>
      </c>
      <c r="AE657" s="984">
        <v>415.0</v>
      </c>
      <c r="AF657" s="985">
        <v>31.0</v>
      </c>
      <c r="AG657" s="984">
        <v>0.198</v>
      </c>
      <c r="AH657" s="977" t="s">
        <v>1256</v>
      </c>
      <c r="AI657" s="977" t="s">
        <v>3538</v>
      </c>
      <c r="AJ657" s="986">
        <v>0.018</v>
      </c>
      <c r="AK657" s="978" t="s">
        <v>172</v>
      </c>
      <c r="AL657" s="978" t="s">
        <v>136</v>
      </c>
      <c r="AM657" s="977" t="s">
        <v>137</v>
      </c>
      <c r="AN657" s="978" t="s">
        <v>138</v>
      </c>
      <c r="AO657" s="984">
        <v>8.0</v>
      </c>
      <c r="AP657" s="984">
        <v>0.28</v>
      </c>
      <c r="AQ657" s="977" t="s">
        <v>2805</v>
      </c>
      <c r="AR657" s="977" t="s">
        <v>613</v>
      </c>
      <c r="AS657" s="984">
        <v>0.658</v>
      </c>
      <c r="AT657" s="977" t="s">
        <v>172</v>
      </c>
      <c r="AU657" s="977" t="s">
        <v>136</v>
      </c>
      <c r="AV657" s="977" t="s">
        <v>137</v>
      </c>
      <c r="AW657" s="987" t="s">
        <v>3511</v>
      </c>
      <c r="AX657" s="988" t="s">
        <v>151</v>
      </c>
      <c r="AY657" s="61" t="str">
        <f>IFERROR(__xludf.DUMMYFUNCTION("vlookup(BB657,importrange(""https://docs.google.com/spreadsheets/d/1d2vevQ_7D_v35q4wCQ4RpQ_IPoTwEMB9Yp6ymwlPqew/edit?gid=984458430#gid=984458430"", ""'replication success'!A:K""), 11, FAlSE)"),"#N/A")</f>
        <v>#N/A</v>
      </c>
      <c r="AZ657" s="61" t="str">
        <f>IFERROR(__xludf.DUMMYFUNCTION("vlookup(BB657,importrange(""https://docs.google.com/spreadsheets/d/1d2vevQ_7D_v35q4wCQ4RpQ_IPoTwEMB9Yp6ymwlPqew/edit?gid=984458430#gid=984458430"", ""'replication success'!A:M""), 12, FAlSE)"),"#N/A")</f>
        <v>#N/A</v>
      </c>
      <c r="BA657" s="61" t="str">
        <f>IFERROR(__xludf.DUMMYFUNCTION("vlookup(BB657,importrange(""https://docs.google.com/spreadsheets/d/1d2vevQ_7D_v35q4wCQ4RpQ_IPoTwEMB9Yp6ymwlPqew/edit?gid=984458430#gid=984458430"", ""'replication success'!A:M""), 13, FAlSE)"),"#N/A")</f>
        <v>#N/A</v>
      </c>
      <c r="BB657" s="61" t="str">
        <f>IFERROR(__xludf.DUMMYFUNCTION("REGEXREPLACE(G657, ""_[a-z]{1,2}$"", """")"),"additional_studies93")</f>
        <v>additional_studies93</v>
      </c>
      <c r="BC657" s="189"/>
      <c r="BD657" s="199" t="s">
        <v>692</v>
      </c>
      <c r="BE657" s="189"/>
      <c r="BF657" s="189"/>
      <c r="BG657" s="189"/>
      <c r="BH657" s="189"/>
      <c r="BI657" s="189"/>
      <c r="BJ657" s="189"/>
      <c r="BK657" s="189"/>
      <c r="BL657" s="189"/>
      <c r="BM657" s="189"/>
      <c r="BN657" s="189"/>
      <c r="BO657" s="189"/>
      <c r="BP657" s="189"/>
      <c r="BQ657" s="189"/>
      <c r="BR657" s="189"/>
      <c r="BS657" s="189"/>
      <c r="BT657" s="189"/>
      <c r="BU657" s="189"/>
      <c r="BV657" s="189"/>
      <c r="BW657" s="189"/>
      <c r="BX657" s="189"/>
      <c r="BY657" s="189"/>
      <c r="BZ657" s="189"/>
      <c r="CA657" s="189"/>
      <c r="CB657" s="189"/>
      <c r="CC657" s="189"/>
      <c r="CD657" s="189"/>
      <c r="CE657" s="189"/>
      <c r="CF657" s="189"/>
      <c r="CG657" s="189"/>
      <c r="CH657" s="189"/>
      <c r="CI657" s="189"/>
      <c r="CJ657" s="189"/>
      <c r="CK657" s="189"/>
      <c r="CL657" s="189"/>
      <c r="CM657" s="189"/>
      <c r="CN657" s="189"/>
      <c r="CO657" s="189"/>
      <c r="CP657" s="189"/>
      <c r="CQ657" s="189"/>
      <c r="CR657" s="189"/>
      <c r="CS657" s="189"/>
      <c r="CT657" s="189"/>
      <c r="CU657" s="189"/>
      <c r="CV657" s="189"/>
      <c r="CW657" s="189"/>
      <c r="CX657" s="189"/>
      <c r="CY657" s="189"/>
      <c r="CZ657" s="189"/>
      <c r="DA657" s="189"/>
      <c r="DB657" s="189"/>
      <c r="DC657" s="189"/>
      <c r="DD657" s="189"/>
      <c r="DE657" s="189"/>
      <c r="DF657" s="189"/>
      <c r="DG657" s="189"/>
      <c r="DH657" s="189"/>
      <c r="DI657" s="189"/>
      <c r="DJ657" s="189"/>
      <c r="DK657" s="189"/>
      <c r="DL657" s="189"/>
    </row>
    <row r="658" ht="20.25" customHeight="1">
      <c r="A658" s="689">
        <v>658.0</v>
      </c>
      <c r="B658" s="188" t="s">
        <v>114</v>
      </c>
      <c r="C658" s="188" t="s">
        <v>115</v>
      </c>
      <c r="D658" s="188" t="s">
        <v>221</v>
      </c>
      <c r="E658" s="189"/>
      <c r="F658" s="977" t="s">
        <v>3497</v>
      </c>
      <c r="G658" s="978" t="s">
        <v>3512</v>
      </c>
      <c r="H658" s="977" t="s">
        <v>221</v>
      </c>
      <c r="I658" s="979">
        <v>45684.0</v>
      </c>
      <c r="J658" s="979">
        <v>45685.0</v>
      </c>
      <c r="K658" s="977" t="s">
        <v>1101</v>
      </c>
      <c r="L658" s="980"/>
      <c r="M658" s="977" t="s">
        <v>3500</v>
      </c>
      <c r="N658" s="977" t="s">
        <v>3501</v>
      </c>
      <c r="O658" s="981"/>
      <c r="P658" s="977" t="s">
        <v>3502</v>
      </c>
      <c r="Q658" s="982" t="str">
        <f t="array" ref="Q658"> if(iserror(MATCH(V658, 'File Links'!C:C, 0)), "N/A", HYPERLINK(INDEX('File Links'!B:B, MATCH(P658, 'File Links'!C:C, 0))))</f>
        <v>N/A</v>
      </c>
      <c r="R658" s="977" t="s">
        <v>3503</v>
      </c>
      <c r="S658" s="977" t="s">
        <v>3504</v>
      </c>
      <c r="T658" s="983" t="s">
        <v>3493</v>
      </c>
      <c r="U658" s="981"/>
      <c r="V658" s="198" t="str">
        <f t="shared" si="36"/>
        <v>10.17605--osf.io--e5k4j.pdf</v>
      </c>
      <c r="W658" s="198" t="s">
        <v>1103</v>
      </c>
      <c r="X658" s="193" t="str">
        <f t="array" ref="X658"> if(iserror(MATCH(V658, 'File Links'!C:C, 0)), "N/A", HYPERLINK(INDEX('File Links'!B:B, MATCH(V658, 'File Links'!C:C, 0))))</f>
        <v>N/A</v>
      </c>
      <c r="Y658" s="980"/>
      <c r="Z658" s="977" t="s">
        <v>210</v>
      </c>
      <c r="AA658" s="977" t="s">
        <v>3534</v>
      </c>
      <c r="AB658" s="977" t="s">
        <v>3535</v>
      </c>
      <c r="AC658" s="977" t="s">
        <v>3539</v>
      </c>
      <c r="AD658" s="977" t="s">
        <v>3540</v>
      </c>
      <c r="AE658" s="984">
        <v>415.0</v>
      </c>
      <c r="AF658" s="985">
        <v>71.0</v>
      </c>
      <c r="AG658" s="984">
        <v>0.217</v>
      </c>
      <c r="AH658" s="977" t="s">
        <v>1256</v>
      </c>
      <c r="AI658" s="977" t="s">
        <v>3538</v>
      </c>
      <c r="AJ658" s="986">
        <v>0.008</v>
      </c>
      <c r="AK658" s="978" t="s">
        <v>172</v>
      </c>
      <c r="AL658" s="978" t="s">
        <v>136</v>
      </c>
      <c r="AM658" s="977" t="s">
        <v>137</v>
      </c>
      <c r="AN658" s="978" t="s">
        <v>138</v>
      </c>
      <c r="AO658" s="984">
        <v>8.0</v>
      </c>
      <c r="AP658" s="984">
        <v>0.31</v>
      </c>
      <c r="AQ658" s="977" t="s">
        <v>2805</v>
      </c>
      <c r="AR658" s="977" t="s">
        <v>613</v>
      </c>
      <c r="AS658" s="984">
        <v>0.217</v>
      </c>
      <c r="AT658" s="977" t="s">
        <v>172</v>
      </c>
      <c r="AU658" s="977" t="s">
        <v>136</v>
      </c>
      <c r="AV658" s="977" t="s">
        <v>137</v>
      </c>
      <c r="AW658" s="987" t="s">
        <v>3511</v>
      </c>
      <c r="AX658" s="988" t="s">
        <v>151</v>
      </c>
      <c r="AY658" s="61" t="str">
        <f>IFERROR(__xludf.DUMMYFUNCTION("vlookup(BB658,importrange(""https://docs.google.com/spreadsheets/d/1d2vevQ_7D_v35q4wCQ4RpQ_IPoTwEMB9Yp6ymwlPqew/edit?gid=984458430#gid=984458430"", ""'replication success'!A:K""), 11, FAlSE)"),"#N/A")</f>
        <v>#N/A</v>
      </c>
      <c r="AZ658" s="61" t="str">
        <f>IFERROR(__xludf.DUMMYFUNCTION("vlookup(BB658,importrange(""https://docs.google.com/spreadsheets/d/1d2vevQ_7D_v35q4wCQ4RpQ_IPoTwEMB9Yp6ymwlPqew/edit?gid=984458430#gid=984458430"", ""'replication success'!A:M""), 12, FAlSE)"),"#N/A")</f>
        <v>#N/A</v>
      </c>
      <c r="BA658" s="61" t="str">
        <f>IFERROR(__xludf.DUMMYFUNCTION("vlookup(BB658,importrange(""https://docs.google.com/spreadsheets/d/1d2vevQ_7D_v35q4wCQ4RpQ_IPoTwEMB9Yp6ymwlPqew/edit?gid=984458430#gid=984458430"", ""'replication success'!A:M""), 13, FAlSE)"),"#N/A")</f>
        <v>#N/A</v>
      </c>
      <c r="BB658" s="61" t="str">
        <f>IFERROR(__xludf.DUMMYFUNCTION("REGEXREPLACE(G658, ""_[a-z]{1,2}$"", """")"),"additional_studies93")</f>
        <v>additional_studies93</v>
      </c>
      <c r="BC658" s="189"/>
      <c r="BD658" s="199" t="s">
        <v>692</v>
      </c>
      <c r="BE658" s="189"/>
      <c r="BF658" s="189"/>
      <c r="BG658" s="189"/>
      <c r="BH658" s="189"/>
      <c r="BI658" s="189"/>
      <c r="BJ658" s="189"/>
      <c r="BK658" s="189"/>
      <c r="BL658" s="189"/>
      <c r="BM658" s="189"/>
      <c r="BN658" s="189"/>
      <c r="BO658" s="189"/>
      <c r="BP658" s="189"/>
      <c r="BQ658" s="189"/>
      <c r="BR658" s="189"/>
      <c r="BS658" s="189"/>
      <c r="BT658" s="189"/>
      <c r="BU658" s="189"/>
      <c r="BV658" s="189"/>
      <c r="BW658" s="189"/>
      <c r="BX658" s="189"/>
      <c r="BY658" s="189"/>
      <c r="BZ658" s="189"/>
      <c r="CA658" s="189"/>
      <c r="CB658" s="189"/>
      <c r="CC658" s="189"/>
      <c r="CD658" s="189"/>
      <c r="CE658" s="189"/>
      <c r="CF658" s="189"/>
      <c r="CG658" s="189"/>
      <c r="CH658" s="189"/>
      <c r="CI658" s="189"/>
      <c r="CJ658" s="189"/>
      <c r="CK658" s="189"/>
      <c r="CL658" s="189"/>
      <c r="CM658" s="189"/>
      <c r="CN658" s="189"/>
      <c r="CO658" s="189"/>
      <c r="CP658" s="189"/>
      <c r="CQ658" s="189"/>
      <c r="CR658" s="189"/>
      <c r="CS658" s="189"/>
      <c r="CT658" s="189"/>
      <c r="CU658" s="189"/>
      <c r="CV658" s="189"/>
      <c r="CW658" s="189"/>
      <c r="CX658" s="189"/>
      <c r="CY658" s="189"/>
      <c r="CZ658" s="189"/>
      <c r="DA658" s="189"/>
      <c r="DB658" s="189"/>
      <c r="DC658" s="189"/>
      <c r="DD658" s="189"/>
      <c r="DE658" s="189"/>
      <c r="DF658" s="189"/>
      <c r="DG658" s="189"/>
      <c r="DH658" s="189"/>
      <c r="DI658" s="189"/>
      <c r="DJ658" s="189"/>
      <c r="DK658" s="189"/>
      <c r="DL658" s="189"/>
    </row>
    <row r="659" ht="20.25" customHeight="1">
      <c r="A659" s="689">
        <v>659.0</v>
      </c>
      <c r="B659" s="188" t="s">
        <v>114</v>
      </c>
      <c r="C659" s="188" t="s">
        <v>115</v>
      </c>
      <c r="D659" s="188" t="s">
        <v>221</v>
      </c>
      <c r="E659" s="189"/>
      <c r="F659" s="198" t="s">
        <v>3497</v>
      </c>
      <c r="G659" s="58" t="s">
        <v>3517</v>
      </c>
      <c r="H659" s="198" t="s">
        <v>221</v>
      </c>
      <c r="I659" s="191">
        <v>45684.0</v>
      </c>
      <c r="J659" s="191">
        <v>45685.0</v>
      </c>
      <c r="K659" s="198" t="s">
        <v>1101</v>
      </c>
      <c r="L659" s="190"/>
      <c r="M659" s="198" t="s">
        <v>3500</v>
      </c>
      <c r="N659" s="198" t="s">
        <v>3501</v>
      </c>
      <c r="O659" s="542"/>
      <c r="P659" s="977" t="s">
        <v>3502</v>
      </c>
      <c r="Q659" s="982" t="str">
        <f t="array" ref="Q659"> if(iserror(MATCH(V659, 'File Links'!C:C, 0)), "N/A", HYPERLINK(INDEX('File Links'!B:B, MATCH(P659, 'File Links'!C:C, 0))))</f>
        <v>N/A</v>
      </c>
      <c r="R659" s="198" t="s">
        <v>3503</v>
      </c>
      <c r="S659" s="977" t="s">
        <v>3504</v>
      </c>
      <c r="T659" s="989" t="s">
        <v>3493</v>
      </c>
      <c r="U659" s="542"/>
      <c r="V659" s="198" t="str">
        <f t="shared" si="36"/>
        <v>10.17605--osf.io--e5k4j.pdf</v>
      </c>
      <c r="W659" s="198" t="s">
        <v>1103</v>
      </c>
      <c r="X659" s="193" t="str">
        <f t="array" ref="X659"> if(iserror(MATCH(V659, 'File Links'!C:C, 0)), "N/A", HYPERLINK(INDEX('File Links'!B:B, MATCH(V659, 'File Links'!C:C, 0))))</f>
        <v>N/A</v>
      </c>
      <c r="Y659" s="190"/>
      <c r="Z659" s="198" t="s">
        <v>210</v>
      </c>
      <c r="AA659" s="198" t="s">
        <v>3534</v>
      </c>
      <c r="AB659" s="198" t="s">
        <v>3535</v>
      </c>
      <c r="AC659" s="977" t="s">
        <v>3541</v>
      </c>
      <c r="AD659" s="198" t="s">
        <v>3542</v>
      </c>
      <c r="AE659" s="758">
        <v>416.0</v>
      </c>
      <c r="AF659" s="990">
        <v>51.0</v>
      </c>
      <c r="AG659" s="758">
        <v>0.5</v>
      </c>
      <c r="AH659" s="198" t="s">
        <v>1256</v>
      </c>
      <c r="AI659" s="198" t="s">
        <v>3543</v>
      </c>
      <c r="AJ659" s="991">
        <v>0.001</v>
      </c>
      <c r="AK659" s="58" t="s">
        <v>135</v>
      </c>
      <c r="AL659" s="58" t="s">
        <v>136</v>
      </c>
      <c r="AM659" s="198" t="s">
        <v>137</v>
      </c>
      <c r="AN659" s="58" t="s">
        <v>138</v>
      </c>
      <c r="AO659" s="758">
        <v>9.0</v>
      </c>
      <c r="AP659" s="758">
        <v>0.71</v>
      </c>
      <c r="AQ659" s="198" t="s">
        <v>2805</v>
      </c>
      <c r="AR659" s="198" t="s">
        <v>628</v>
      </c>
      <c r="AS659" s="758">
        <v>0.247</v>
      </c>
      <c r="AT659" s="198" t="s">
        <v>172</v>
      </c>
      <c r="AU659" s="198" t="s">
        <v>136</v>
      </c>
      <c r="AV659" s="198" t="s">
        <v>137</v>
      </c>
      <c r="AW659" s="992" t="s">
        <v>3511</v>
      </c>
      <c r="AX659" s="993" t="s">
        <v>151</v>
      </c>
      <c r="AY659" s="61" t="str">
        <f>IFERROR(__xludf.DUMMYFUNCTION("vlookup(BB659,importrange(""https://docs.google.com/spreadsheets/d/1d2vevQ_7D_v35q4wCQ4RpQ_IPoTwEMB9Yp6ymwlPqew/edit?gid=984458430#gid=984458430"", ""'replication success'!A:K""), 11, FAlSE)"),"#N/A")</f>
        <v>#N/A</v>
      </c>
      <c r="AZ659" s="61" t="str">
        <f>IFERROR(__xludf.DUMMYFUNCTION("vlookup(BB659,importrange(""https://docs.google.com/spreadsheets/d/1d2vevQ_7D_v35q4wCQ4RpQ_IPoTwEMB9Yp6ymwlPqew/edit?gid=984458430#gid=984458430"", ""'replication success'!A:M""), 12, FAlSE)"),"#N/A")</f>
        <v>#N/A</v>
      </c>
      <c r="BA659" s="61" t="str">
        <f>IFERROR(__xludf.DUMMYFUNCTION("vlookup(BB659,importrange(""https://docs.google.com/spreadsheets/d/1d2vevQ_7D_v35q4wCQ4RpQ_IPoTwEMB9Yp6ymwlPqew/edit?gid=984458430#gid=984458430"", ""'replication success'!A:M""), 13, FAlSE)"),"#N/A")</f>
        <v>#N/A</v>
      </c>
      <c r="BB659" s="61" t="str">
        <f>IFERROR(__xludf.DUMMYFUNCTION("REGEXREPLACE(G659, ""_[a-z]{1,2}$"", """")"),"additional_studies93")</f>
        <v>additional_studies93</v>
      </c>
      <c r="BC659" s="189"/>
      <c r="BD659" s="199" t="s">
        <v>692</v>
      </c>
      <c r="BE659" s="189"/>
      <c r="BF659" s="189"/>
      <c r="BG659" s="189"/>
      <c r="BH659" s="189"/>
      <c r="BI659" s="189"/>
      <c r="BJ659" s="189"/>
      <c r="BK659" s="189"/>
      <c r="BL659" s="189"/>
      <c r="BM659" s="189"/>
      <c r="BN659" s="189"/>
      <c r="BO659" s="189"/>
      <c r="BP659" s="189"/>
      <c r="BQ659" s="189"/>
      <c r="BR659" s="189"/>
      <c r="BS659" s="189"/>
      <c r="BT659" s="189"/>
      <c r="BU659" s="189"/>
      <c r="BV659" s="189"/>
      <c r="BW659" s="189"/>
      <c r="BX659" s="189"/>
      <c r="BY659" s="189"/>
      <c r="BZ659" s="189"/>
      <c r="CA659" s="189"/>
      <c r="CB659" s="189"/>
      <c r="CC659" s="189"/>
      <c r="CD659" s="189"/>
      <c r="CE659" s="189"/>
      <c r="CF659" s="189"/>
      <c r="CG659" s="189"/>
      <c r="CH659" s="189"/>
      <c r="CI659" s="189"/>
      <c r="CJ659" s="189"/>
      <c r="CK659" s="189"/>
      <c r="CL659" s="189"/>
      <c r="CM659" s="189"/>
      <c r="CN659" s="189"/>
      <c r="CO659" s="189"/>
      <c r="CP659" s="189"/>
      <c r="CQ659" s="189"/>
      <c r="CR659" s="189"/>
      <c r="CS659" s="189"/>
      <c r="CT659" s="189"/>
      <c r="CU659" s="189"/>
      <c r="CV659" s="189"/>
      <c r="CW659" s="189"/>
      <c r="CX659" s="189"/>
      <c r="CY659" s="189"/>
      <c r="CZ659" s="189"/>
      <c r="DA659" s="189"/>
      <c r="DB659" s="189"/>
      <c r="DC659" s="189"/>
      <c r="DD659" s="189"/>
      <c r="DE659" s="189"/>
      <c r="DF659" s="189"/>
      <c r="DG659" s="189"/>
      <c r="DH659" s="189"/>
      <c r="DI659" s="189"/>
      <c r="DJ659" s="189"/>
      <c r="DK659" s="189"/>
      <c r="DL659" s="189"/>
    </row>
    <row r="660" ht="20.25" customHeight="1">
      <c r="A660" s="689">
        <v>660.0</v>
      </c>
      <c r="B660" s="188" t="s">
        <v>114</v>
      </c>
      <c r="C660" s="188" t="s">
        <v>115</v>
      </c>
      <c r="D660" s="188" t="s">
        <v>221</v>
      </c>
      <c r="E660" s="189"/>
      <c r="F660" s="198" t="s">
        <v>3497</v>
      </c>
      <c r="G660" s="58" t="s">
        <v>3520</v>
      </c>
      <c r="H660" s="198" t="s">
        <v>221</v>
      </c>
      <c r="I660" s="191">
        <v>45684.0</v>
      </c>
      <c r="J660" s="191">
        <v>45685.0</v>
      </c>
      <c r="K660" s="198" t="s">
        <v>1101</v>
      </c>
      <c r="L660" s="190"/>
      <c r="M660" s="198" t="s">
        <v>3500</v>
      </c>
      <c r="N660" s="198" t="s">
        <v>3501</v>
      </c>
      <c r="O660" s="542"/>
      <c r="P660" s="977" t="s">
        <v>3502</v>
      </c>
      <c r="Q660" s="982" t="str">
        <f t="array" ref="Q660"> if(iserror(MATCH(V660, 'File Links'!C:C, 0)), "N/A", HYPERLINK(INDEX('File Links'!B:B, MATCH(P660, 'File Links'!C:C, 0))))</f>
        <v>N/A</v>
      </c>
      <c r="R660" s="198" t="s">
        <v>3503</v>
      </c>
      <c r="S660" s="977" t="s">
        <v>3504</v>
      </c>
      <c r="T660" s="989" t="s">
        <v>3493</v>
      </c>
      <c r="U660" s="542"/>
      <c r="V660" s="198" t="str">
        <f t="shared" si="36"/>
        <v>10.17605--osf.io--e5k4j.pdf</v>
      </c>
      <c r="W660" s="198" t="s">
        <v>1103</v>
      </c>
      <c r="X660" s="193" t="str">
        <f t="array" ref="X660"> if(iserror(MATCH(V660, 'File Links'!C:C, 0)), "N/A", HYPERLINK(INDEX('File Links'!B:B, MATCH(V660, 'File Links'!C:C, 0))))</f>
        <v>N/A</v>
      </c>
      <c r="Y660" s="190"/>
      <c r="Z660" s="198" t="s">
        <v>210</v>
      </c>
      <c r="AA660" s="198" t="s">
        <v>3534</v>
      </c>
      <c r="AB660" s="198" t="s">
        <v>3535</v>
      </c>
      <c r="AC660" s="198" t="s">
        <v>3544</v>
      </c>
      <c r="AD660" s="190"/>
      <c r="AE660" s="758">
        <v>416.0</v>
      </c>
      <c r="AF660" s="990">
        <v>52.0</v>
      </c>
      <c r="AG660" s="758">
        <v>0.55</v>
      </c>
      <c r="AH660" s="198" t="s">
        <v>1256</v>
      </c>
      <c r="AI660" s="198" t="s">
        <v>3543</v>
      </c>
      <c r="AJ660" s="991">
        <v>0.001</v>
      </c>
      <c r="AK660" s="58" t="s">
        <v>135</v>
      </c>
      <c r="AL660" s="58" t="s">
        <v>136</v>
      </c>
      <c r="AM660" s="198" t="s">
        <v>137</v>
      </c>
      <c r="AN660" s="58" t="s">
        <v>138</v>
      </c>
      <c r="AO660" s="758">
        <v>9.0</v>
      </c>
      <c r="AP660" s="750">
        <v>0.78</v>
      </c>
      <c r="AQ660" s="198" t="s">
        <v>2805</v>
      </c>
      <c r="AR660" s="198" t="s">
        <v>628</v>
      </c>
      <c r="AS660" s="758">
        <v>0.995</v>
      </c>
      <c r="AT660" s="198" t="s">
        <v>172</v>
      </c>
      <c r="AU660" s="198" t="s">
        <v>136</v>
      </c>
      <c r="AV660" s="198" t="s">
        <v>137</v>
      </c>
      <c r="AW660" s="992" t="s">
        <v>3511</v>
      </c>
      <c r="AX660" s="993" t="s">
        <v>151</v>
      </c>
      <c r="AY660" s="61" t="str">
        <f>IFERROR(__xludf.DUMMYFUNCTION("vlookup(BB660,importrange(""https://docs.google.com/spreadsheets/d/1d2vevQ_7D_v35q4wCQ4RpQ_IPoTwEMB9Yp6ymwlPqew/edit?gid=984458430#gid=984458430"", ""'replication success'!A:K""), 11, FAlSE)"),"#N/A")</f>
        <v>#N/A</v>
      </c>
      <c r="AZ660" s="61" t="str">
        <f>IFERROR(__xludf.DUMMYFUNCTION("vlookup(BB660,importrange(""https://docs.google.com/spreadsheets/d/1d2vevQ_7D_v35q4wCQ4RpQ_IPoTwEMB9Yp6ymwlPqew/edit?gid=984458430#gid=984458430"", ""'replication success'!A:M""), 12, FAlSE)"),"#N/A")</f>
        <v>#N/A</v>
      </c>
      <c r="BA660" s="61" t="str">
        <f>IFERROR(__xludf.DUMMYFUNCTION("vlookup(BB660,importrange(""https://docs.google.com/spreadsheets/d/1d2vevQ_7D_v35q4wCQ4RpQ_IPoTwEMB9Yp6ymwlPqew/edit?gid=984458430#gid=984458430"", ""'replication success'!A:M""), 13, FAlSE)"),"#N/A")</f>
        <v>#N/A</v>
      </c>
      <c r="BB660" s="61" t="str">
        <f>IFERROR(__xludf.DUMMYFUNCTION("REGEXREPLACE(G660, ""_[a-z]{1,2}$"", """")"),"additional_studies93")</f>
        <v>additional_studies93</v>
      </c>
      <c r="BC660" s="189"/>
      <c r="BD660" s="199" t="s">
        <v>692</v>
      </c>
      <c r="BE660" s="189"/>
      <c r="BF660" s="189"/>
      <c r="BG660" s="189"/>
      <c r="BH660" s="189"/>
      <c r="BI660" s="189"/>
      <c r="BJ660" s="189"/>
      <c r="BK660" s="189"/>
      <c r="BL660" s="189"/>
      <c r="BM660" s="189"/>
      <c r="BN660" s="189"/>
      <c r="BO660" s="189"/>
      <c r="BP660" s="189"/>
      <c r="BQ660" s="189"/>
      <c r="BR660" s="189"/>
      <c r="BS660" s="189"/>
      <c r="BT660" s="189"/>
      <c r="BU660" s="189"/>
      <c r="BV660" s="189"/>
      <c r="BW660" s="189"/>
      <c r="BX660" s="189"/>
      <c r="BY660" s="189"/>
      <c r="BZ660" s="189"/>
      <c r="CA660" s="189"/>
      <c r="CB660" s="189"/>
      <c r="CC660" s="189"/>
      <c r="CD660" s="189"/>
      <c r="CE660" s="189"/>
      <c r="CF660" s="189"/>
      <c r="CG660" s="189"/>
      <c r="CH660" s="189"/>
      <c r="CI660" s="189"/>
      <c r="CJ660" s="189"/>
      <c r="CK660" s="189"/>
      <c r="CL660" s="189"/>
      <c r="CM660" s="189"/>
      <c r="CN660" s="189"/>
      <c r="CO660" s="189"/>
      <c r="CP660" s="189"/>
      <c r="CQ660" s="189"/>
      <c r="CR660" s="189"/>
      <c r="CS660" s="189"/>
      <c r="CT660" s="189"/>
      <c r="CU660" s="189"/>
      <c r="CV660" s="189"/>
      <c r="CW660" s="189"/>
      <c r="CX660" s="189"/>
      <c r="CY660" s="189"/>
      <c r="CZ660" s="189"/>
      <c r="DA660" s="189"/>
      <c r="DB660" s="189"/>
      <c r="DC660" s="189"/>
      <c r="DD660" s="189"/>
      <c r="DE660" s="189"/>
      <c r="DF660" s="189"/>
      <c r="DG660" s="189"/>
      <c r="DH660" s="189"/>
      <c r="DI660" s="189"/>
      <c r="DJ660" s="189"/>
      <c r="DK660" s="189"/>
      <c r="DL660" s="189"/>
    </row>
    <row r="661" ht="20.25" customHeight="1">
      <c r="A661" s="689">
        <v>661.0</v>
      </c>
      <c r="B661" s="188" t="s">
        <v>114</v>
      </c>
      <c r="C661" s="188" t="s">
        <v>115</v>
      </c>
      <c r="D661" s="188" t="s">
        <v>221</v>
      </c>
      <c r="E661" s="189"/>
      <c r="F661" s="198" t="s">
        <v>3497</v>
      </c>
      <c r="G661" s="58" t="s">
        <v>3523</v>
      </c>
      <c r="H661" s="198" t="s">
        <v>221</v>
      </c>
      <c r="I661" s="191">
        <v>45684.0</v>
      </c>
      <c r="J661" s="191">
        <v>45685.0</v>
      </c>
      <c r="K661" s="198" t="s">
        <v>1101</v>
      </c>
      <c r="L661" s="190"/>
      <c r="M661" s="198" t="s">
        <v>3500</v>
      </c>
      <c r="N661" s="198" t="s">
        <v>3501</v>
      </c>
      <c r="O661" s="542"/>
      <c r="P661" s="977" t="s">
        <v>3502</v>
      </c>
      <c r="Q661" s="982" t="str">
        <f t="array" ref="Q661"> if(iserror(MATCH(V661, 'File Links'!C:C, 0)), "N/A", HYPERLINK(INDEX('File Links'!B:B, MATCH(P661, 'File Links'!C:C, 0))))</f>
        <v>N/A</v>
      </c>
      <c r="R661" s="198" t="s">
        <v>3503</v>
      </c>
      <c r="S661" s="977" t="s">
        <v>3504</v>
      </c>
      <c r="T661" s="989" t="s">
        <v>3493</v>
      </c>
      <c r="U661" s="542"/>
      <c r="V661" s="198" t="str">
        <f t="shared" si="36"/>
        <v>10.17605--osf.io--e5k4j.pdf</v>
      </c>
      <c r="W661" s="198" t="s">
        <v>1103</v>
      </c>
      <c r="X661" s="193" t="str">
        <f t="array" ref="X661"> if(iserror(MATCH(V661, 'File Links'!C:C, 0)), "N/A", HYPERLINK(INDEX('File Links'!B:B, MATCH(V661, 'File Links'!C:C, 0))))</f>
        <v>N/A</v>
      </c>
      <c r="Y661" s="190"/>
      <c r="Z661" s="198" t="s">
        <v>210</v>
      </c>
      <c r="AA661" s="198" t="s">
        <v>3534</v>
      </c>
      <c r="AB661" s="198" t="s">
        <v>3535</v>
      </c>
      <c r="AC661" s="198" t="s">
        <v>3545</v>
      </c>
      <c r="AD661" s="190" t="s">
        <v>3546</v>
      </c>
      <c r="AE661" s="758">
        <v>416.0</v>
      </c>
      <c r="AF661" s="990">
        <v>35.0</v>
      </c>
      <c r="AG661" s="758">
        <v>0.21</v>
      </c>
      <c r="AH661" s="198" t="s">
        <v>1256</v>
      </c>
      <c r="AI661" s="198" t="s">
        <v>3547</v>
      </c>
      <c r="AJ661" s="991">
        <v>0.05</v>
      </c>
      <c r="AK661" s="58" t="s">
        <v>135</v>
      </c>
      <c r="AL661" s="58" t="s">
        <v>136</v>
      </c>
      <c r="AM661" s="198" t="s">
        <v>137</v>
      </c>
      <c r="AN661" s="58" t="s">
        <v>138</v>
      </c>
      <c r="AO661" s="758">
        <v>10.0</v>
      </c>
      <c r="AP661" s="758">
        <v>0.29</v>
      </c>
      <c r="AQ661" s="198" t="s">
        <v>2805</v>
      </c>
      <c r="AR661" s="198" t="s">
        <v>632</v>
      </c>
      <c r="AS661" s="758">
        <v>0.3</v>
      </c>
      <c r="AT661" s="198" t="s">
        <v>172</v>
      </c>
      <c r="AU661" s="198" t="s">
        <v>136</v>
      </c>
      <c r="AV661" s="198" t="s">
        <v>137</v>
      </c>
      <c r="AW661" s="992" t="s">
        <v>3511</v>
      </c>
      <c r="AX661" s="993" t="s">
        <v>151</v>
      </c>
      <c r="AY661" s="61" t="str">
        <f>IFERROR(__xludf.DUMMYFUNCTION("vlookup(BB661,importrange(""https://docs.google.com/spreadsheets/d/1d2vevQ_7D_v35q4wCQ4RpQ_IPoTwEMB9Yp6ymwlPqew/edit?gid=984458430#gid=984458430"", ""'replication success'!A:K""), 11, FAlSE)"),"#N/A")</f>
        <v>#N/A</v>
      </c>
      <c r="AZ661" s="61" t="str">
        <f>IFERROR(__xludf.DUMMYFUNCTION("vlookup(BB661,importrange(""https://docs.google.com/spreadsheets/d/1d2vevQ_7D_v35q4wCQ4RpQ_IPoTwEMB9Yp6ymwlPqew/edit?gid=984458430#gid=984458430"", ""'replication success'!A:M""), 12, FAlSE)"),"#N/A")</f>
        <v>#N/A</v>
      </c>
      <c r="BA661" s="61" t="str">
        <f>IFERROR(__xludf.DUMMYFUNCTION("vlookup(BB661,importrange(""https://docs.google.com/spreadsheets/d/1d2vevQ_7D_v35q4wCQ4RpQ_IPoTwEMB9Yp6ymwlPqew/edit?gid=984458430#gid=984458430"", ""'replication success'!A:M""), 13, FAlSE)"),"#N/A")</f>
        <v>#N/A</v>
      </c>
      <c r="BB661" s="61" t="str">
        <f>IFERROR(__xludf.DUMMYFUNCTION("REGEXREPLACE(G661, ""_[a-z]{1,2}$"", """")"),"additional_studies93")</f>
        <v>additional_studies93</v>
      </c>
      <c r="BC661" s="189"/>
      <c r="BD661" s="199" t="s">
        <v>692</v>
      </c>
      <c r="BE661" s="189"/>
      <c r="BF661" s="189"/>
      <c r="BG661" s="189"/>
      <c r="BH661" s="189"/>
      <c r="BI661" s="189"/>
      <c r="BJ661" s="189"/>
      <c r="BK661" s="189"/>
      <c r="BL661" s="189"/>
      <c r="BM661" s="189"/>
      <c r="BN661" s="189"/>
      <c r="BO661" s="189"/>
      <c r="BP661" s="189"/>
      <c r="BQ661" s="189"/>
      <c r="BR661" s="189"/>
      <c r="BS661" s="189"/>
      <c r="BT661" s="189"/>
      <c r="BU661" s="189"/>
      <c r="BV661" s="189"/>
      <c r="BW661" s="189"/>
      <c r="BX661" s="189"/>
      <c r="BY661" s="189"/>
      <c r="BZ661" s="189"/>
      <c r="CA661" s="189"/>
      <c r="CB661" s="189"/>
      <c r="CC661" s="189"/>
      <c r="CD661" s="189"/>
      <c r="CE661" s="189"/>
      <c r="CF661" s="189"/>
      <c r="CG661" s="189"/>
      <c r="CH661" s="189"/>
      <c r="CI661" s="189"/>
      <c r="CJ661" s="189"/>
      <c r="CK661" s="189"/>
      <c r="CL661" s="189"/>
      <c r="CM661" s="189"/>
      <c r="CN661" s="189"/>
      <c r="CO661" s="189"/>
      <c r="CP661" s="189"/>
      <c r="CQ661" s="189"/>
      <c r="CR661" s="189"/>
      <c r="CS661" s="189"/>
      <c r="CT661" s="189"/>
      <c r="CU661" s="189"/>
      <c r="CV661" s="189"/>
      <c r="CW661" s="189"/>
      <c r="CX661" s="189"/>
      <c r="CY661" s="189"/>
      <c r="CZ661" s="189"/>
      <c r="DA661" s="189"/>
      <c r="DB661" s="189"/>
      <c r="DC661" s="189"/>
      <c r="DD661" s="189"/>
      <c r="DE661" s="189"/>
      <c r="DF661" s="189"/>
      <c r="DG661" s="189"/>
      <c r="DH661" s="189"/>
      <c r="DI661" s="189"/>
      <c r="DJ661" s="189"/>
      <c r="DK661" s="189"/>
      <c r="DL661" s="189"/>
    </row>
    <row r="662" ht="20.25" customHeight="1">
      <c r="A662" s="689">
        <v>662.0</v>
      </c>
      <c r="B662" s="188" t="s">
        <v>114</v>
      </c>
      <c r="C662" s="188" t="s">
        <v>115</v>
      </c>
      <c r="D662" s="188" t="s">
        <v>221</v>
      </c>
      <c r="E662" s="189"/>
      <c r="F662" s="198" t="s">
        <v>3497</v>
      </c>
      <c r="G662" s="58" t="s">
        <v>3526</v>
      </c>
      <c r="H662" s="198" t="s">
        <v>221</v>
      </c>
      <c r="I662" s="191">
        <v>45684.0</v>
      </c>
      <c r="J662" s="191">
        <v>45685.0</v>
      </c>
      <c r="K662" s="198" t="s">
        <v>1101</v>
      </c>
      <c r="L662" s="190"/>
      <c r="M662" s="198" t="s">
        <v>3500</v>
      </c>
      <c r="N662" s="198" t="s">
        <v>3501</v>
      </c>
      <c r="O662" s="542"/>
      <c r="P662" s="977" t="s">
        <v>3502</v>
      </c>
      <c r="Q662" s="982" t="str">
        <f t="array" ref="Q662"> if(iserror(MATCH(V662, 'File Links'!C:C, 0)), "N/A", HYPERLINK(INDEX('File Links'!B:B, MATCH(P662, 'File Links'!C:C, 0))))</f>
        <v>N/A</v>
      </c>
      <c r="R662" s="198" t="s">
        <v>3503</v>
      </c>
      <c r="S662" s="977" t="s">
        <v>3504</v>
      </c>
      <c r="T662" s="989" t="s">
        <v>3493</v>
      </c>
      <c r="U662" s="542"/>
      <c r="V662" s="198" t="str">
        <f t="shared" si="36"/>
        <v>10.17605--osf.io--e5k4j.pdf</v>
      </c>
      <c r="W662" s="198" t="s">
        <v>1103</v>
      </c>
      <c r="X662" s="193" t="str">
        <f t="array" ref="X662"> if(iserror(MATCH(V662, 'File Links'!C:C, 0)), "N/A", HYPERLINK(INDEX('File Links'!B:B, MATCH(V662, 'File Links'!C:C, 0))))</f>
        <v>N/A</v>
      </c>
      <c r="Y662" s="190"/>
      <c r="Z662" s="198" t="s">
        <v>210</v>
      </c>
      <c r="AA662" s="198" t="s">
        <v>3534</v>
      </c>
      <c r="AB662" s="198" t="s">
        <v>3535</v>
      </c>
      <c r="AC662" s="977" t="s">
        <v>3548</v>
      </c>
      <c r="AD662" s="190" t="s">
        <v>3549</v>
      </c>
      <c r="AE662" s="758">
        <v>417.0</v>
      </c>
      <c r="AF662" s="990">
        <v>35.0</v>
      </c>
      <c r="AG662" s="758">
        <v>0.46</v>
      </c>
      <c r="AH662" s="198" t="s">
        <v>1256</v>
      </c>
      <c r="AI662" s="198" t="s">
        <v>3547</v>
      </c>
      <c r="AJ662" s="991">
        <v>0.001</v>
      </c>
      <c r="AK662" s="58" t="s">
        <v>135</v>
      </c>
      <c r="AL662" s="58" t="s">
        <v>136</v>
      </c>
      <c r="AM662" s="198" t="s">
        <v>137</v>
      </c>
      <c r="AN662" s="58" t="s">
        <v>138</v>
      </c>
      <c r="AO662" s="758">
        <v>10.0</v>
      </c>
      <c r="AP662" s="758">
        <v>0.32</v>
      </c>
      <c r="AQ662" s="198" t="s">
        <v>2805</v>
      </c>
      <c r="AR662" s="198" t="s">
        <v>632</v>
      </c>
      <c r="AS662" s="758">
        <v>0.455</v>
      </c>
      <c r="AT662" s="198" t="s">
        <v>172</v>
      </c>
      <c r="AU662" s="198" t="s">
        <v>136</v>
      </c>
      <c r="AV662" s="198" t="s">
        <v>137</v>
      </c>
      <c r="AW662" s="992" t="s">
        <v>3511</v>
      </c>
      <c r="AX662" s="993" t="s">
        <v>151</v>
      </c>
      <c r="AY662" s="61" t="str">
        <f>IFERROR(__xludf.DUMMYFUNCTION("vlookup(BB662,importrange(""https://docs.google.com/spreadsheets/d/1d2vevQ_7D_v35q4wCQ4RpQ_IPoTwEMB9Yp6ymwlPqew/edit?gid=984458430#gid=984458430"", ""'replication success'!A:K""), 11, FAlSE)"),"#N/A")</f>
        <v>#N/A</v>
      </c>
      <c r="AZ662" s="61" t="str">
        <f>IFERROR(__xludf.DUMMYFUNCTION("vlookup(BB662,importrange(""https://docs.google.com/spreadsheets/d/1d2vevQ_7D_v35q4wCQ4RpQ_IPoTwEMB9Yp6ymwlPqew/edit?gid=984458430#gid=984458430"", ""'replication success'!A:M""), 12, FAlSE)"),"#N/A")</f>
        <v>#N/A</v>
      </c>
      <c r="BA662" s="61" t="str">
        <f>IFERROR(__xludf.DUMMYFUNCTION("vlookup(BB662,importrange(""https://docs.google.com/spreadsheets/d/1d2vevQ_7D_v35q4wCQ4RpQ_IPoTwEMB9Yp6ymwlPqew/edit?gid=984458430#gid=984458430"", ""'replication success'!A:M""), 13, FAlSE)"),"#N/A")</f>
        <v>#N/A</v>
      </c>
      <c r="BB662" s="61" t="str">
        <f>IFERROR(__xludf.DUMMYFUNCTION("REGEXREPLACE(G662, ""_[a-z]{1,2}$"", """")"),"additional_studies93")</f>
        <v>additional_studies93</v>
      </c>
      <c r="BC662" s="189"/>
      <c r="BD662" s="199" t="s">
        <v>692</v>
      </c>
      <c r="BE662" s="189"/>
      <c r="BF662" s="189"/>
      <c r="BG662" s="189"/>
      <c r="BH662" s="189"/>
      <c r="BI662" s="189"/>
      <c r="BJ662" s="189"/>
      <c r="BK662" s="189"/>
      <c r="BL662" s="189"/>
      <c r="BM662" s="189"/>
      <c r="BN662" s="189"/>
      <c r="BO662" s="189"/>
      <c r="BP662" s="189"/>
      <c r="BQ662" s="189"/>
      <c r="BR662" s="189"/>
      <c r="BS662" s="189"/>
      <c r="BT662" s="189"/>
      <c r="BU662" s="189"/>
      <c r="BV662" s="189"/>
      <c r="BW662" s="189"/>
      <c r="BX662" s="189"/>
      <c r="BY662" s="189"/>
      <c r="BZ662" s="189"/>
      <c r="CA662" s="189"/>
      <c r="CB662" s="189"/>
      <c r="CC662" s="189"/>
      <c r="CD662" s="189"/>
      <c r="CE662" s="189"/>
      <c r="CF662" s="189"/>
      <c r="CG662" s="189"/>
      <c r="CH662" s="189"/>
      <c r="CI662" s="189"/>
      <c r="CJ662" s="189"/>
      <c r="CK662" s="189"/>
      <c r="CL662" s="189"/>
      <c r="CM662" s="189"/>
      <c r="CN662" s="189"/>
      <c r="CO662" s="189"/>
      <c r="CP662" s="189"/>
      <c r="CQ662" s="189"/>
      <c r="CR662" s="189"/>
      <c r="CS662" s="189"/>
      <c r="CT662" s="189"/>
      <c r="CU662" s="189"/>
      <c r="CV662" s="189"/>
      <c r="CW662" s="189"/>
      <c r="CX662" s="189"/>
      <c r="CY662" s="189"/>
      <c r="CZ662" s="189"/>
      <c r="DA662" s="189"/>
      <c r="DB662" s="189"/>
      <c r="DC662" s="189"/>
      <c r="DD662" s="189"/>
      <c r="DE662" s="189"/>
      <c r="DF662" s="189"/>
      <c r="DG662" s="189"/>
      <c r="DH662" s="189"/>
      <c r="DI662" s="189"/>
      <c r="DJ662" s="189"/>
      <c r="DK662" s="189"/>
      <c r="DL662" s="189"/>
    </row>
    <row r="663" ht="20.25" customHeight="1">
      <c r="A663" s="44">
        <v>663.0</v>
      </c>
      <c r="B663" s="839" t="s">
        <v>152</v>
      </c>
      <c r="C663" s="839" t="s">
        <v>115</v>
      </c>
      <c r="D663" s="839" t="s">
        <v>176</v>
      </c>
      <c r="E663" s="752"/>
      <c r="F663" s="840" t="s">
        <v>3550</v>
      </c>
      <c r="G663" s="841" t="s">
        <v>3551</v>
      </c>
      <c r="H663" s="840" t="s">
        <v>176</v>
      </c>
      <c r="I663" s="994">
        <v>45636.0</v>
      </c>
      <c r="J663" s="995">
        <v>45673.0</v>
      </c>
      <c r="K663" s="851"/>
      <c r="L663" s="851"/>
      <c r="M663" s="840" t="s">
        <v>3552</v>
      </c>
      <c r="N663" s="840" t="s">
        <v>3553</v>
      </c>
      <c r="O663" s="996">
        <v>1.0</v>
      </c>
      <c r="P663" s="997" t="s">
        <v>3554</v>
      </c>
      <c r="Q663" s="52" t="str">
        <f t="array" ref="Q663"> if(iserror(MATCH(V663, 'File Links'!C:C, 0)), "N/A", HYPERLINK(INDEX('File Links'!B:B, MATCH(P663, 'File Links'!C:C, 0))))</f>
        <v>https://drive.google.com/file/d/1y96i0hMyOppZ0ZOc68SfdS2QELKNre-8/view?usp=drivesdk</v>
      </c>
      <c r="R663" s="840" t="s">
        <v>3555</v>
      </c>
      <c r="S663" s="997" t="s">
        <v>3556</v>
      </c>
      <c r="T663" s="851"/>
      <c r="U663" s="996">
        <v>1.0</v>
      </c>
      <c r="V663" s="198" t="str">
        <f t="shared" si="36"/>
        <v>10.1073--pnas.2402315121.pdf</v>
      </c>
      <c r="W663" s="840" t="s">
        <v>2125</v>
      </c>
      <c r="X663" s="54" t="str">
        <f t="array" ref="X663"> if(iserror(MATCH(V663, 'File Links'!C:C, 0)), "N/A", HYPERLINK(INDEX('File Links'!B:B, MATCH(V663, 'File Links'!C:C, 0))))</f>
        <v>https://drive.google.com/file/d/1Mxrn43qE4Nlk4SUVbyTVjT4uEEPF5pZu/view?usp=drivesdk</v>
      </c>
      <c r="Y663" s="851"/>
      <c r="Z663" s="840" t="s">
        <v>148</v>
      </c>
      <c r="AA663" s="840" t="s">
        <v>3557</v>
      </c>
      <c r="AB663" s="840" t="s">
        <v>3558</v>
      </c>
      <c r="AC663" s="840" t="s">
        <v>3559</v>
      </c>
      <c r="AD663" s="998" t="s">
        <v>3560</v>
      </c>
      <c r="AE663" s="840" t="s">
        <v>3561</v>
      </c>
      <c r="AF663" s="904">
        <v>321.0</v>
      </c>
      <c r="AG663" s="840" t="s">
        <v>3562</v>
      </c>
      <c r="AH663" s="999" t="s">
        <v>3563</v>
      </c>
      <c r="AI663" s="841" t="s">
        <v>3564</v>
      </c>
      <c r="AJ663" s="841" t="s">
        <v>185</v>
      </c>
      <c r="AK663" s="840" t="s">
        <v>135</v>
      </c>
      <c r="AL663" s="841" t="s">
        <v>186</v>
      </c>
      <c r="AM663" s="851" t="s">
        <v>141</v>
      </c>
      <c r="AN663" s="1000" t="s">
        <v>3565</v>
      </c>
      <c r="AO663" s="1001">
        <v>755.0</v>
      </c>
      <c r="AP663" s="1002" t="s">
        <v>3566</v>
      </c>
      <c r="AQ663" s="840" t="s">
        <v>215</v>
      </c>
      <c r="AR663" s="840" t="s">
        <v>850</v>
      </c>
      <c r="AS663" s="840" t="s">
        <v>3567</v>
      </c>
      <c r="AT663" s="840" t="s">
        <v>172</v>
      </c>
      <c r="AU663" s="840" t="s">
        <v>186</v>
      </c>
      <c r="AV663" s="851" t="s">
        <v>141</v>
      </c>
      <c r="AW663" s="1000" t="s">
        <v>3568</v>
      </c>
      <c r="AX663" s="1003" t="s">
        <v>143</v>
      </c>
      <c r="AY663" s="61" t="str">
        <f>IFERROR(__xludf.DUMMYFUNCTION("vlookup(BB663,importrange(""https://docs.google.com/spreadsheets/d/1d2vevQ_7D_v35q4wCQ4RpQ_IPoTwEMB9Yp6ymwlPqew/edit?gid=984458430#gid=984458430"", ""'replication success'!A:K""), 11, FAlSE)"),"failed")</f>
        <v>failed</v>
      </c>
      <c r="AZ663" s="61" t="str">
        <f>IFERROR(__xludf.DUMMYFUNCTION("vlookup(BB663,importrange(""https://docs.google.com/spreadsheets/d/1d2vevQ_7D_v35q4wCQ4RpQ_IPoTwEMB9Yp6ymwlPqew/edit?gid=984458430#gid=984458430"",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 Fig. 1 omits a conceptual replication of Study 1 that
produce"&amp;"d a nonsignificant effect in the opposite direction of
the original Study 1, t(279) = −1.78, P = 0.077, r = −0.10.....Although the majority of our replications produced results directionally
consistent with those of Karataş and Cutright, our results
imply"&amp;"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v>
      </c>
      <c r="BA663" s="61" t="str">
        <f>IFERROR(__xludf.DUMMYFUNCTION("vlookup(BB663,importrange(""https://docs.google.com/spreadsheets/d/1d2vevQ_7D_v35q4wCQ4RpQ_IPoTwEMB9Yp6ymwlPqew/edit?gid=984458430#gid=984458430"", ""'replication success'!A:M""), 13, FAlSE)"),"abstract")</f>
        <v>abstract</v>
      </c>
      <c r="BB663" s="61" t="str">
        <f>IFERROR(__xludf.DUMMYFUNCTION("REGEXREPLACE(G663, ""_[a-z]{1,2}$"", """")"),"additional_studies94")</f>
        <v>additional_studies94</v>
      </c>
      <c r="BC663" s="68"/>
      <c r="BD663" s="62" t="s">
        <v>144</v>
      </c>
    </row>
    <row r="664" ht="20.25" customHeight="1">
      <c r="A664" s="44">
        <v>664.0</v>
      </c>
      <c r="B664" s="72" t="s">
        <v>114</v>
      </c>
      <c r="C664" s="72" t="s">
        <v>115</v>
      </c>
      <c r="D664" s="72" t="s">
        <v>153</v>
      </c>
      <c r="E664" s="73"/>
      <c r="F664" s="95" t="s">
        <v>3550</v>
      </c>
      <c r="G664" s="76" t="s">
        <v>3550</v>
      </c>
      <c r="H664" s="76" t="s">
        <v>153</v>
      </c>
      <c r="I664" s="629">
        <v>45638.0</v>
      </c>
      <c r="J664" s="995">
        <v>45673.0</v>
      </c>
      <c r="K664" s="75" t="s">
        <v>3569</v>
      </c>
      <c r="L664" s="82"/>
      <c r="M664" s="76" t="s">
        <v>3552</v>
      </c>
      <c r="N664" s="76" t="s">
        <v>3553</v>
      </c>
      <c r="O664" s="1004">
        <v>1.0</v>
      </c>
      <c r="P664" s="931" t="s">
        <v>3554</v>
      </c>
      <c r="Q664" s="52" t="str">
        <f t="array" ref="Q664"> if(iserror(MATCH(V664, 'File Links'!C:C, 0)), "N/A", HYPERLINK(INDEX('File Links'!B:B, MATCH(P664, 'File Links'!C:C, 0))))</f>
        <v>https://drive.google.com/file/d/1y96i0hMyOppZ0ZOc68SfdS2QELKNre-8/view?usp=drivesdk</v>
      </c>
      <c r="R664" s="76" t="s">
        <v>3555</v>
      </c>
      <c r="S664" s="940" t="s">
        <v>3556</v>
      </c>
      <c r="T664" s="82"/>
      <c r="U664" s="1005">
        <v>1.0</v>
      </c>
      <c r="V664" s="198" t="str">
        <f t="shared" si="36"/>
        <v>10.1073--pnas.2402315121.pdf</v>
      </c>
      <c r="W664" s="76" t="s">
        <v>3570</v>
      </c>
      <c r="X664" s="54" t="str">
        <f t="array" ref="X664"> if(iserror(MATCH(V664, 'File Links'!C:C, 0)), "N/A", HYPERLINK(INDEX('File Links'!B:B, MATCH(V664, 'File Links'!C:C, 0))))</f>
        <v>https://drive.google.com/file/d/1Mxrn43qE4Nlk4SUVbyTVjT4uEEPF5pZu/view?usp=drivesdk</v>
      </c>
      <c r="Y664" s="82"/>
      <c r="Z664" s="76" t="s">
        <v>148</v>
      </c>
      <c r="AA664" s="75" t="s">
        <v>3571</v>
      </c>
      <c r="AB664" s="75" t="s">
        <v>3572</v>
      </c>
      <c r="AC664" s="75" t="s">
        <v>3573</v>
      </c>
      <c r="AD664" s="101" t="s">
        <v>3574</v>
      </c>
      <c r="AE664" s="635">
        <v>3.0</v>
      </c>
      <c r="AF664" s="635">
        <v>321.0</v>
      </c>
      <c r="AG664" s="635">
        <v>0.2</v>
      </c>
      <c r="AH664" s="999" t="s">
        <v>3563</v>
      </c>
      <c r="AI664" s="76" t="s">
        <v>507</v>
      </c>
      <c r="AJ664" s="635">
        <v>0.001</v>
      </c>
      <c r="AK664" s="95" t="s">
        <v>135</v>
      </c>
      <c r="AL664" s="841" t="s">
        <v>186</v>
      </c>
      <c r="AM664" s="82" t="s">
        <v>137</v>
      </c>
      <c r="AN664" s="632" t="s">
        <v>3575</v>
      </c>
      <c r="AO664" s="858">
        <v>755.0</v>
      </c>
      <c r="AP664" s="858">
        <v>0.03</v>
      </c>
      <c r="AQ664" s="76" t="s">
        <v>215</v>
      </c>
      <c r="AR664" s="76" t="s">
        <v>2771</v>
      </c>
      <c r="AS664" s="635">
        <v>0.38</v>
      </c>
      <c r="AT664" s="95" t="s">
        <v>172</v>
      </c>
      <c r="AU664" s="95" t="s">
        <v>218</v>
      </c>
      <c r="AV664" s="94" t="s">
        <v>137</v>
      </c>
      <c r="AW664" s="102" t="s">
        <v>3568</v>
      </c>
      <c r="AX664" s="103" t="s">
        <v>143</v>
      </c>
      <c r="AY664" s="61" t="str">
        <f>IFERROR(__xludf.DUMMYFUNCTION("vlookup(BB664,importrange(""https://docs.google.com/spreadsheets/d/1d2vevQ_7D_v35q4wCQ4RpQ_IPoTwEMB9Yp6ymwlPqew/edit?gid=984458430#gid=984458430"", ""'replication success'!A:K""), 11, FAlSE)"),"#N/A")</f>
        <v>#N/A</v>
      </c>
      <c r="AZ664" s="61" t="str">
        <f>IFERROR(__xludf.DUMMYFUNCTION("vlookup(BB664,importrange(""https://docs.google.com/spreadsheets/d/1d2vevQ_7D_v35q4wCQ4RpQ_IPoTwEMB9Yp6ymwlPqew/edit?gid=984458430#gid=984458430"", ""'replication success'!A:M""), 12, FAlSE)"),"#N/A")</f>
        <v>#N/A</v>
      </c>
      <c r="BA664" s="61" t="str">
        <f>IFERROR(__xludf.DUMMYFUNCTION("vlookup(BB664,importrange(""https://docs.google.com/spreadsheets/d/1d2vevQ_7D_v35q4wCQ4RpQ_IPoTwEMB9Yp6ymwlPqew/edit?gid=984458430#gid=984458430"", ""'replication success'!A:M""), 13, FAlSE)"),"#N/A")</f>
        <v>#N/A</v>
      </c>
      <c r="BB664" s="61" t="str">
        <f>IFERROR(__xludf.DUMMYFUNCTION("REGEXREPLACE(G664, ""_[a-z]{1,2}$"", """")"),"additional_studies94_1")</f>
        <v>additional_studies94_1</v>
      </c>
      <c r="BC664" s="61"/>
      <c r="BD664" s="62" t="s">
        <v>144</v>
      </c>
    </row>
    <row r="665" ht="20.25" customHeight="1">
      <c r="A665" s="44">
        <v>665.0</v>
      </c>
      <c r="B665" s="72" t="s">
        <v>114</v>
      </c>
      <c r="C665" s="72" t="s">
        <v>115</v>
      </c>
      <c r="D665" s="72" t="s">
        <v>153</v>
      </c>
      <c r="E665" s="73"/>
      <c r="F665" s="95" t="s">
        <v>3550</v>
      </c>
      <c r="G665" s="76" t="s">
        <v>3576</v>
      </c>
      <c r="H665" s="76" t="s">
        <v>153</v>
      </c>
      <c r="I665" s="629">
        <v>45638.0</v>
      </c>
      <c r="J665" s="995">
        <v>45673.0</v>
      </c>
      <c r="K665" s="75" t="s">
        <v>3569</v>
      </c>
      <c r="L665" s="82"/>
      <c r="M665" s="76" t="s">
        <v>3552</v>
      </c>
      <c r="N665" s="76" t="s">
        <v>3553</v>
      </c>
      <c r="O665" s="1004">
        <v>1.0</v>
      </c>
      <c r="P665" s="931" t="s">
        <v>3554</v>
      </c>
      <c r="Q665" s="52" t="str">
        <f t="array" ref="Q665"> if(iserror(MATCH(V665, 'File Links'!C:C, 0)), "N/A", HYPERLINK(INDEX('File Links'!B:B, MATCH(P665, 'File Links'!C:C, 0))))</f>
        <v>https://drive.google.com/file/d/1y96i0hMyOppZ0ZOc68SfdS2QELKNre-8/view?usp=drivesdk</v>
      </c>
      <c r="R665" s="940" t="s">
        <v>3555</v>
      </c>
      <c r="S665" s="76" t="s">
        <v>3556</v>
      </c>
      <c r="T665" s="82"/>
      <c r="U665" s="1005">
        <v>1.0</v>
      </c>
      <c r="V665" s="198" t="str">
        <f t="shared" si="36"/>
        <v>10.1073--pnas.2402315121.pdf</v>
      </c>
      <c r="W665" s="76" t="s">
        <v>3570</v>
      </c>
      <c r="X665" s="54" t="str">
        <f t="array" ref="X665"> if(iserror(MATCH(V665, 'File Links'!C:C, 0)), "N/A", HYPERLINK(INDEX('File Links'!B:B, MATCH(V665, 'File Links'!C:C, 0))))</f>
        <v>https://drive.google.com/file/d/1Mxrn43qE4Nlk4SUVbyTVjT4uEEPF5pZu/view?usp=drivesdk</v>
      </c>
      <c r="Y665" s="82"/>
      <c r="Z665" s="76" t="s">
        <v>148</v>
      </c>
      <c r="AA665" s="75" t="s">
        <v>3571</v>
      </c>
      <c r="AB665" s="75" t="s">
        <v>3572</v>
      </c>
      <c r="AC665" s="75" t="s">
        <v>3573</v>
      </c>
      <c r="AD665" s="76" t="s">
        <v>3577</v>
      </c>
      <c r="AE665" s="635">
        <v>3.0</v>
      </c>
      <c r="AF665" s="635">
        <v>321.0</v>
      </c>
      <c r="AG665" s="635">
        <v>0.2</v>
      </c>
      <c r="AH665" s="999" t="s">
        <v>3563</v>
      </c>
      <c r="AI665" s="76" t="s">
        <v>507</v>
      </c>
      <c r="AJ665" s="635">
        <v>0.001</v>
      </c>
      <c r="AK665" s="95" t="s">
        <v>135</v>
      </c>
      <c r="AL665" s="841" t="s">
        <v>186</v>
      </c>
      <c r="AM665" s="82" t="s">
        <v>137</v>
      </c>
      <c r="AN665" s="632" t="s">
        <v>3575</v>
      </c>
      <c r="AO665" s="858">
        <v>297.0</v>
      </c>
      <c r="AP665" s="858">
        <v>-0.1</v>
      </c>
      <c r="AQ665" s="76" t="s">
        <v>215</v>
      </c>
      <c r="AR665" s="76" t="s">
        <v>2771</v>
      </c>
      <c r="AS665" s="635">
        <v>0.077</v>
      </c>
      <c r="AT665" s="95" t="s">
        <v>172</v>
      </c>
      <c r="AU665" s="95" t="s">
        <v>218</v>
      </c>
      <c r="AV665" s="94" t="s">
        <v>137</v>
      </c>
      <c r="AW665" s="102" t="s">
        <v>3578</v>
      </c>
      <c r="AX665" s="103" t="s">
        <v>151</v>
      </c>
      <c r="AY665" s="61" t="str">
        <f>IFERROR(__xludf.DUMMYFUNCTION("vlookup(BB665,importrange(""https://docs.google.com/spreadsheets/d/1d2vevQ_7D_v35q4wCQ4RpQ_IPoTwEMB9Yp6ymwlPqew/edit?gid=984458430#gid=984458430"", ""'replication success'!A:K""), 11, FAlSE)"),"#N/A")</f>
        <v>#N/A</v>
      </c>
      <c r="AZ665" s="61" t="str">
        <f>IFERROR(__xludf.DUMMYFUNCTION("vlookup(BB665,importrange(""https://docs.google.com/spreadsheets/d/1d2vevQ_7D_v35q4wCQ4RpQ_IPoTwEMB9Yp6ymwlPqew/edit?gid=984458430#gid=984458430"", ""'replication success'!A:M""), 12, FAlSE)"),"#N/A")</f>
        <v>#N/A</v>
      </c>
      <c r="BA665" s="61" t="str">
        <f>IFERROR(__xludf.DUMMYFUNCTION("vlookup(BB665,importrange(""https://docs.google.com/spreadsheets/d/1d2vevQ_7D_v35q4wCQ4RpQ_IPoTwEMB9Yp6ymwlPqew/edit?gid=984458430#gid=984458430"", ""'replication success'!A:M""), 13, FAlSE)"),"#N/A")</f>
        <v>#N/A</v>
      </c>
      <c r="BB665" s="61" t="str">
        <f>IFERROR(__xludf.DUMMYFUNCTION("REGEXREPLACE(G665, ""_[a-z]{1,2}$"", """")"),"additional_studies94_1a")</f>
        <v>additional_studies94_1a</v>
      </c>
      <c r="BC665" s="61"/>
      <c r="BD665" s="62" t="s">
        <v>144</v>
      </c>
      <c r="BE665" s="71"/>
    </row>
    <row r="666" ht="20.25" customHeight="1">
      <c r="A666" s="44">
        <v>666.0</v>
      </c>
      <c r="B666" s="72" t="s">
        <v>114</v>
      </c>
      <c r="C666" s="490" t="s">
        <v>115</v>
      </c>
      <c r="D666" s="490" t="s">
        <v>153</v>
      </c>
      <c r="E666" s="803"/>
      <c r="F666" s="485" t="s">
        <v>3550</v>
      </c>
      <c r="G666" s="486" t="s">
        <v>3579</v>
      </c>
      <c r="H666" s="486" t="s">
        <v>153</v>
      </c>
      <c r="I666" s="1006">
        <v>45638.0</v>
      </c>
      <c r="J666" s="1007">
        <v>45673.0</v>
      </c>
      <c r="K666" s="1008" t="s">
        <v>3569</v>
      </c>
      <c r="L666" s="789"/>
      <c r="M666" s="486" t="s">
        <v>3552</v>
      </c>
      <c r="N666" s="486" t="s">
        <v>3553</v>
      </c>
      <c r="O666" s="1009" t="s">
        <v>3580</v>
      </c>
      <c r="P666" s="1010" t="s">
        <v>3554</v>
      </c>
      <c r="Q666" s="52" t="str">
        <f t="array" ref="Q666"> if(iserror(MATCH(V666, 'File Links'!C:C, 0)), "N/A", HYPERLINK(INDEX('File Links'!B:B, MATCH(P666, 'File Links'!C:C, 0))))</f>
        <v>https://drive.google.com/file/d/1y96i0hMyOppZ0ZOc68SfdS2QELKNre-8/view?usp=drivesdk</v>
      </c>
      <c r="R666" s="1011" t="s">
        <v>3555</v>
      </c>
      <c r="S666" s="486" t="s">
        <v>3556</v>
      </c>
      <c r="T666" s="789"/>
      <c r="U666" s="1012" t="s">
        <v>3580</v>
      </c>
      <c r="V666" s="977" t="str">
        <f t="shared" si="36"/>
        <v>10.1073--pnas.2402315121.pdf</v>
      </c>
      <c r="W666" s="486" t="s">
        <v>3570</v>
      </c>
      <c r="X666" s="54" t="str">
        <f t="array" ref="X666"> if(iserror(MATCH(V666, 'File Links'!C:C, 0)), "N/A", HYPERLINK(INDEX('File Links'!B:B, MATCH(V666, 'File Links'!C:C, 0))))</f>
        <v>https://drive.google.com/file/d/1Mxrn43qE4Nlk4SUVbyTVjT4uEEPF5pZu/view?usp=drivesdk</v>
      </c>
      <c r="Y666" s="789"/>
      <c r="Z666" s="486" t="s">
        <v>148</v>
      </c>
      <c r="AA666" s="1008" t="s">
        <v>3571</v>
      </c>
      <c r="AB666" s="1008" t="s">
        <v>3572</v>
      </c>
      <c r="AC666" s="1008" t="s">
        <v>3581</v>
      </c>
      <c r="AD666" s="349" t="s">
        <v>3582</v>
      </c>
      <c r="AE666" s="792">
        <v>3.0</v>
      </c>
      <c r="AF666" s="792">
        <v>201.0</v>
      </c>
      <c r="AG666" s="792">
        <v>0.15</v>
      </c>
      <c r="AH666" s="1013" t="s">
        <v>1256</v>
      </c>
      <c r="AI666" s="486" t="s">
        <v>507</v>
      </c>
      <c r="AJ666" s="792">
        <v>0.035</v>
      </c>
      <c r="AK666" s="485" t="s">
        <v>172</v>
      </c>
      <c r="AL666" s="841" t="s">
        <v>186</v>
      </c>
      <c r="AM666" s="789" t="s">
        <v>137</v>
      </c>
      <c r="AN666" s="1014" t="s">
        <v>3583</v>
      </c>
      <c r="AO666" s="1015">
        <v>601.0</v>
      </c>
      <c r="AP666" s="1015">
        <v>0.01</v>
      </c>
      <c r="AQ666" s="486" t="s">
        <v>215</v>
      </c>
      <c r="AR666" s="486" t="s">
        <v>507</v>
      </c>
      <c r="AS666" s="792">
        <v>0.547</v>
      </c>
      <c r="AT666" s="485" t="s">
        <v>172</v>
      </c>
      <c r="AU666" s="485" t="s">
        <v>218</v>
      </c>
      <c r="AV666" s="489" t="s">
        <v>137</v>
      </c>
      <c r="AW666" s="1016" t="s">
        <v>3584</v>
      </c>
      <c r="AX666" s="1017" t="s">
        <v>143</v>
      </c>
      <c r="AY666" s="61" t="str">
        <f>IFERROR(__xludf.DUMMYFUNCTION("vlookup(BB666,importrange(""https://docs.google.com/spreadsheets/d/1d2vevQ_7D_v35q4wCQ4RpQ_IPoTwEMB9Yp6ymwlPqew/edit?gid=984458430#gid=984458430"", ""'replication success'!A:K""), 11, FAlSE)"),"#N/A")</f>
        <v>#N/A</v>
      </c>
      <c r="AZ666" s="61" t="str">
        <f>IFERROR(__xludf.DUMMYFUNCTION("vlookup(BB666,importrange(""https://docs.google.com/spreadsheets/d/1d2vevQ_7D_v35q4wCQ4RpQ_IPoTwEMB9Yp6ymwlPqew/edit?gid=984458430#gid=984458430"", ""'replication success'!A:M""), 12, FAlSE)"),"#N/A")</f>
        <v>#N/A</v>
      </c>
      <c r="BA666" s="61" t="str">
        <f>IFERROR(__xludf.DUMMYFUNCTION("vlookup(BB666,importrange(""https://docs.google.com/spreadsheets/d/1d2vevQ_7D_v35q4wCQ4RpQ_IPoTwEMB9Yp6ymwlPqew/edit?gid=984458430#gid=984458430"", ""'replication success'!A:M""), 13, FAlSE)"),"#N/A")</f>
        <v>#N/A</v>
      </c>
      <c r="BB666" s="61" t="str">
        <f>IFERROR(__xludf.DUMMYFUNCTION("REGEXREPLACE(G666, ""_[a-z]{1,2}$"", """")"),"additional_studies94_2a")</f>
        <v>additional_studies94_2a</v>
      </c>
      <c r="BC666" s="61"/>
      <c r="BD666" s="62" t="s">
        <v>144</v>
      </c>
      <c r="BE666" s="71"/>
    </row>
    <row r="667" ht="20.25" customHeight="1">
      <c r="A667" s="44">
        <v>667.0</v>
      </c>
      <c r="B667" s="72" t="s">
        <v>114</v>
      </c>
      <c r="C667" s="560" t="s">
        <v>115</v>
      </c>
      <c r="D667" s="560" t="s">
        <v>153</v>
      </c>
      <c r="E667" s="561"/>
      <c r="F667" s="1018" t="s">
        <v>3550</v>
      </c>
      <c r="G667" s="1019" t="s">
        <v>3585</v>
      </c>
      <c r="H667" s="1019" t="s">
        <v>153</v>
      </c>
      <c r="I667" s="1020">
        <v>45638.0</v>
      </c>
      <c r="J667" s="1021">
        <v>45673.0</v>
      </c>
      <c r="K667" s="1022" t="s">
        <v>3569</v>
      </c>
      <c r="L667" s="1023"/>
      <c r="M667" s="1019" t="s">
        <v>3552</v>
      </c>
      <c r="N667" s="1019" t="s">
        <v>3553</v>
      </c>
      <c r="O667" s="1024" t="s">
        <v>3586</v>
      </c>
      <c r="P667" s="1025" t="s">
        <v>3554</v>
      </c>
      <c r="Q667" s="52" t="str">
        <f t="array" ref="Q667"> if(iserror(MATCH(V667, 'File Links'!C:C, 0)), "N/A", HYPERLINK(INDEX('File Links'!B:B, MATCH(P667, 'File Links'!C:C, 0))))</f>
        <v>https://drive.google.com/file/d/1y96i0hMyOppZ0ZOc68SfdS2QELKNre-8/view?usp=drivesdk</v>
      </c>
      <c r="R667" s="1019" t="s">
        <v>3555</v>
      </c>
      <c r="S667" s="1019" t="s">
        <v>3556</v>
      </c>
      <c r="T667" s="1023"/>
      <c r="U667" s="1026" t="s">
        <v>3586</v>
      </c>
      <c r="V667" s="198" t="str">
        <f t="shared" si="36"/>
        <v>10.1073--pnas.2402315121.pdf</v>
      </c>
      <c r="W667" s="1019" t="s">
        <v>3570</v>
      </c>
      <c r="X667" s="54" t="str">
        <f t="array" ref="X667"> if(iserror(MATCH(V667, 'File Links'!C:C, 0)), "N/A", HYPERLINK(INDEX('File Links'!B:B, MATCH(V667, 'File Links'!C:C, 0))))</f>
        <v>https://drive.google.com/file/d/1Mxrn43qE4Nlk4SUVbyTVjT4uEEPF5pZu/view?usp=drivesdk</v>
      </c>
      <c r="Y667" s="1023"/>
      <c r="Z667" s="1019" t="s">
        <v>148</v>
      </c>
      <c r="AA667" s="1022" t="s">
        <v>3571</v>
      </c>
      <c r="AB667" s="1022" t="s">
        <v>3572</v>
      </c>
      <c r="AC667" s="1022" t="s">
        <v>3587</v>
      </c>
      <c r="AD667" s="1027" t="s">
        <v>3588</v>
      </c>
      <c r="AE667" s="1028">
        <v>3.0</v>
      </c>
      <c r="AF667" s="1028">
        <v>349.0</v>
      </c>
      <c r="AG667" s="1028">
        <v>0.14</v>
      </c>
      <c r="AH667" s="1025" t="s">
        <v>1256</v>
      </c>
      <c r="AI667" s="1019" t="s">
        <v>507</v>
      </c>
      <c r="AJ667" s="1029">
        <v>0.009</v>
      </c>
      <c r="AK667" s="1018" t="s">
        <v>172</v>
      </c>
      <c r="AL667" s="841" t="s">
        <v>186</v>
      </c>
      <c r="AM667" s="1023" t="s">
        <v>137</v>
      </c>
      <c r="AN667" s="1030" t="s">
        <v>3589</v>
      </c>
      <c r="AO667" s="1031">
        <v>1036.0</v>
      </c>
      <c r="AP667" s="1031">
        <v>0.03</v>
      </c>
      <c r="AQ667" s="1019" t="s">
        <v>215</v>
      </c>
      <c r="AR667" s="1019" t="s">
        <v>507</v>
      </c>
      <c r="AS667" s="1028">
        <v>0.375</v>
      </c>
      <c r="AT667" s="1018" t="s">
        <v>172</v>
      </c>
      <c r="AU667" s="1018" t="s">
        <v>218</v>
      </c>
      <c r="AV667" s="1032" t="s">
        <v>137</v>
      </c>
      <c r="AW667" s="1033" t="s">
        <v>3590</v>
      </c>
      <c r="AX667" s="1034" t="s">
        <v>143</v>
      </c>
      <c r="AY667" s="61" t="str">
        <f>IFERROR(__xludf.DUMMYFUNCTION("vlookup(BB667,importrange(""https://docs.google.com/spreadsheets/d/1d2vevQ_7D_v35q4wCQ4RpQ_IPoTwEMB9Yp6ymwlPqew/edit?gid=984458430#gid=984458430"", ""'replication success'!A:K""), 11, FAlSE)"),"#N/A")</f>
        <v>#N/A</v>
      </c>
      <c r="AZ667" s="61" t="str">
        <f>IFERROR(__xludf.DUMMYFUNCTION("vlookup(BB667,importrange(""https://docs.google.com/spreadsheets/d/1d2vevQ_7D_v35q4wCQ4RpQ_IPoTwEMB9Yp6ymwlPqew/edit?gid=984458430#gid=984458430"", ""'replication success'!A:M""), 12, FAlSE)"),"#N/A")</f>
        <v>#N/A</v>
      </c>
      <c r="BA667" s="61" t="str">
        <f>IFERROR(__xludf.DUMMYFUNCTION("vlookup(BB667,importrange(""https://docs.google.com/spreadsheets/d/1d2vevQ_7D_v35q4wCQ4RpQ_IPoTwEMB9Yp6ymwlPqew/edit?gid=984458430#gid=984458430"", ""'replication success'!A:M""), 13, FAlSE)"),"#N/A")</f>
        <v>#N/A</v>
      </c>
      <c r="BB667" s="61" t="str">
        <f>IFERROR(__xludf.DUMMYFUNCTION("REGEXREPLACE(G667, ""_[a-z]{1,2}$"", """")"),"additional_studies94_2b")</f>
        <v>additional_studies94_2b</v>
      </c>
      <c r="BC667" s="61"/>
      <c r="BD667" s="62" t="s">
        <v>144</v>
      </c>
    </row>
    <row r="668" ht="20.25" customHeight="1">
      <c r="A668" s="44">
        <v>668.0</v>
      </c>
      <c r="B668" s="72" t="s">
        <v>114</v>
      </c>
      <c r="C668" s="322" t="s">
        <v>115</v>
      </c>
      <c r="D668" s="322" t="s">
        <v>153</v>
      </c>
      <c r="E668" s="328"/>
      <c r="F668" s="244" t="s">
        <v>3550</v>
      </c>
      <c r="G668" s="412" t="s">
        <v>3591</v>
      </c>
      <c r="H668" s="412" t="s">
        <v>153</v>
      </c>
      <c r="I668" s="659">
        <v>45638.0</v>
      </c>
      <c r="J668" s="1035">
        <v>45673.0</v>
      </c>
      <c r="K668" s="388" t="s">
        <v>3569</v>
      </c>
      <c r="L668" s="390"/>
      <c r="M668" s="412" t="s">
        <v>3552</v>
      </c>
      <c r="N668" s="412" t="s">
        <v>3553</v>
      </c>
      <c r="O668" s="1036">
        <v>3.0</v>
      </c>
      <c r="P668" s="660" t="s">
        <v>3554</v>
      </c>
      <c r="Q668" s="52" t="str">
        <f t="array" ref="Q668"> if(iserror(MATCH(V668, 'File Links'!C:C, 0)), "N/A", HYPERLINK(INDEX('File Links'!B:B, MATCH(P668, 'File Links'!C:C, 0))))</f>
        <v>https://drive.google.com/file/d/1y96i0hMyOppZ0ZOc68SfdS2QELKNre-8/view?usp=drivesdk</v>
      </c>
      <c r="R668" s="412" t="s">
        <v>3555</v>
      </c>
      <c r="S668" s="412" t="s">
        <v>3556</v>
      </c>
      <c r="T668" s="390"/>
      <c r="U668" s="1037">
        <v>3.0</v>
      </c>
      <c r="V668" s="198" t="str">
        <f t="shared" si="36"/>
        <v>10.1073--pnas.2402315121.pdf</v>
      </c>
      <c r="W668" s="412" t="s">
        <v>3570</v>
      </c>
      <c r="X668" s="54" t="str">
        <f t="array" ref="X668"> if(iserror(MATCH(V668, 'File Links'!C:C, 0)), "N/A", HYPERLINK(INDEX('File Links'!B:B, MATCH(V668, 'File Links'!C:C, 0))))</f>
        <v>https://drive.google.com/file/d/1Mxrn43qE4Nlk4SUVbyTVjT4uEEPF5pZu/view?usp=drivesdk</v>
      </c>
      <c r="Y668" s="390"/>
      <c r="Z668" s="412" t="s">
        <v>148</v>
      </c>
      <c r="AA668" s="388" t="s">
        <v>3571</v>
      </c>
      <c r="AB668" s="388" t="s">
        <v>3572</v>
      </c>
      <c r="AC668" s="388" t="s">
        <v>3592</v>
      </c>
      <c r="AD668" s="324" t="s">
        <v>3593</v>
      </c>
      <c r="AE668" s="394">
        <v>4.0</v>
      </c>
      <c r="AF668" s="394">
        <v>340.0</v>
      </c>
      <c r="AG668" s="394">
        <v>0.11</v>
      </c>
      <c r="AH668" s="660" t="s">
        <v>1256</v>
      </c>
      <c r="AI668" s="412" t="s">
        <v>496</v>
      </c>
      <c r="AJ668" s="394">
        <v>0.042</v>
      </c>
      <c r="AK668" s="244" t="s">
        <v>172</v>
      </c>
      <c r="AL668" s="841" t="s">
        <v>186</v>
      </c>
      <c r="AM668" s="390" t="s">
        <v>137</v>
      </c>
      <c r="AN668" s="1038" t="s">
        <v>3594</v>
      </c>
      <c r="AO668" s="1039">
        <v>881.0</v>
      </c>
      <c r="AP668" s="1039">
        <v>0.002</v>
      </c>
      <c r="AQ668" s="412" t="s">
        <v>215</v>
      </c>
      <c r="AR668" s="412" t="s">
        <v>507</v>
      </c>
      <c r="AS668" s="394">
        <v>0.96</v>
      </c>
      <c r="AT668" s="244" t="s">
        <v>172</v>
      </c>
      <c r="AU668" s="244" t="s">
        <v>218</v>
      </c>
      <c r="AV668" s="331" t="s">
        <v>137</v>
      </c>
      <c r="AW668" s="1040" t="s">
        <v>3595</v>
      </c>
      <c r="AX668" s="1041" t="s">
        <v>143</v>
      </c>
      <c r="AY668" s="61" t="str">
        <f>IFERROR(__xludf.DUMMYFUNCTION("vlookup(BB668,importrange(""https://docs.google.com/spreadsheets/d/1d2vevQ_7D_v35q4wCQ4RpQ_IPoTwEMB9Yp6ymwlPqew/edit?gid=984458430#gid=984458430"", ""'replication success'!A:K""), 11, FAlSE)"),"#N/A")</f>
        <v>#N/A</v>
      </c>
      <c r="AZ668" s="61" t="str">
        <f>IFERROR(__xludf.DUMMYFUNCTION("vlookup(BB668,importrange(""https://docs.google.com/spreadsheets/d/1d2vevQ_7D_v35q4wCQ4RpQ_IPoTwEMB9Yp6ymwlPqew/edit?gid=984458430#gid=984458430"", ""'replication success'!A:M""), 12, FAlSE)"),"#N/A")</f>
        <v>#N/A</v>
      </c>
      <c r="BA668" s="61" t="str">
        <f>IFERROR(__xludf.DUMMYFUNCTION("vlookup(BB668,importrange(""https://docs.google.com/spreadsheets/d/1d2vevQ_7D_v35q4wCQ4RpQ_IPoTwEMB9Yp6ymwlPqew/edit?gid=984458430#gid=984458430"", ""'replication success'!A:M""), 13, FAlSE)"),"#N/A")</f>
        <v>#N/A</v>
      </c>
      <c r="BB668" s="61" t="str">
        <f>IFERROR(__xludf.DUMMYFUNCTION("REGEXREPLACE(G668, ""_[a-z]{1,2}$"", """")"),"additional_studies94_3")</f>
        <v>additional_studies94_3</v>
      </c>
      <c r="BC668" s="61"/>
      <c r="BD668" s="62" t="s">
        <v>144</v>
      </c>
    </row>
    <row r="669" ht="20.25" customHeight="1">
      <c r="A669" s="44">
        <v>669.0</v>
      </c>
      <c r="B669" s="72" t="s">
        <v>114</v>
      </c>
      <c r="C669" s="72" t="s">
        <v>115</v>
      </c>
      <c r="D669" s="72" t="s">
        <v>153</v>
      </c>
      <c r="E669" s="73"/>
      <c r="F669" s="95" t="s">
        <v>3550</v>
      </c>
      <c r="G669" s="76" t="s">
        <v>3596</v>
      </c>
      <c r="H669" s="76" t="s">
        <v>153</v>
      </c>
      <c r="I669" s="629">
        <v>45638.0</v>
      </c>
      <c r="J669" s="995">
        <v>45673.0</v>
      </c>
      <c r="K669" s="75" t="s">
        <v>3569</v>
      </c>
      <c r="L669" s="82"/>
      <c r="M669" s="76" t="s">
        <v>3552</v>
      </c>
      <c r="N669" s="76" t="s">
        <v>3553</v>
      </c>
      <c r="O669" s="1004">
        <v>5.0</v>
      </c>
      <c r="P669" s="99" t="s">
        <v>3554</v>
      </c>
      <c r="Q669" s="52" t="str">
        <f t="array" ref="Q669"> if(iserror(MATCH(V669, 'File Links'!C:C, 0)), "N/A", HYPERLINK(INDEX('File Links'!B:B, MATCH(P669, 'File Links'!C:C, 0))))</f>
        <v>https://drive.google.com/file/d/1y96i0hMyOppZ0ZOc68SfdS2QELKNre-8/view?usp=drivesdk</v>
      </c>
      <c r="R669" s="76" t="s">
        <v>3555</v>
      </c>
      <c r="S669" s="76" t="s">
        <v>3556</v>
      </c>
      <c r="T669" s="82"/>
      <c r="U669" s="1005">
        <v>5.0</v>
      </c>
      <c r="V669" s="198" t="str">
        <f t="shared" si="36"/>
        <v>10.1073--pnas.2402315121.pdf</v>
      </c>
      <c r="W669" s="76" t="s">
        <v>3570</v>
      </c>
      <c r="X669" s="54" t="str">
        <f t="array" ref="X669"> if(iserror(MATCH(V669, 'File Links'!C:C, 0)), "N/A", HYPERLINK(INDEX('File Links'!B:B, MATCH(V669, 'File Links'!C:C, 0))))</f>
        <v>https://drive.google.com/file/d/1Mxrn43qE4Nlk4SUVbyTVjT4uEEPF5pZu/view?usp=drivesdk</v>
      </c>
      <c r="Y669" s="82"/>
      <c r="Z669" s="76" t="s">
        <v>148</v>
      </c>
      <c r="AA669" s="75" t="s">
        <v>3571</v>
      </c>
      <c r="AB669" s="75" t="s">
        <v>3572</v>
      </c>
      <c r="AC669" s="75" t="s">
        <v>3597</v>
      </c>
      <c r="AD669" s="76" t="s">
        <v>3598</v>
      </c>
      <c r="AE669" s="635">
        <v>5.0</v>
      </c>
      <c r="AF669" s="635">
        <v>240.0</v>
      </c>
      <c r="AG669" s="76" t="s">
        <v>3599</v>
      </c>
      <c r="AH669" s="99" t="s">
        <v>134</v>
      </c>
      <c r="AI669" s="76" t="s">
        <v>882</v>
      </c>
      <c r="AJ669" s="635">
        <v>0.003</v>
      </c>
      <c r="AK669" s="95" t="s">
        <v>172</v>
      </c>
      <c r="AL669" s="841" t="s">
        <v>186</v>
      </c>
      <c r="AM669" s="82" t="s">
        <v>137</v>
      </c>
      <c r="AN669" s="632" t="s">
        <v>3600</v>
      </c>
      <c r="AO669" s="858">
        <v>882.0</v>
      </c>
      <c r="AP669" s="858">
        <v>0.01</v>
      </c>
      <c r="AQ669" s="76" t="s">
        <v>215</v>
      </c>
      <c r="AR669" s="76" t="s">
        <v>507</v>
      </c>
      <c r="AS669" s="635">
        <v>0.76</v>
      </c>
      <c r="AT669" s="95" t="s">
        <v>172</v>
      </c>
      <c r="AU669" s="95" t="s">
        <v>218</v>
      </c>
      <c r="AV669" s="94" t="s">
        <v>137</v>
      </c>
      <c r="AW669" s="102" t="s">
        <v>3601</v>
      </c>
      <c r="AX669" s="103" t="s">
        <v>143</v>
      </c>
      <c r="AY669" s="61" t="str">
        <f>IFERROR(__xludf.DUMMYFUNCTION("vlookup(BB669,importrange(""https://docs.google.com/spreadsheets/d/1d2vevQ_7D_v35q4wCQ4RpQ_IPoTwEMB9Yp6ymwlPqew/edit?gid=984458430#gid=984458430"", ""'replication success'!A:K""), 11, FAlSE)"),"#N/A")</f>
        <v>#N/A</v>
      </c>
      <c r="AZ669" s="61" t="str">
        <f>IFERROR(__xludf.DUMMYFUNCTION("vlookup(BB669,importrange(""https://docs.google.com/spreadsheets/d/1d2vevQ_7D_v35q4wCQ4RpQ_IPoTwEMB9Yp6ymwlPqew/edit?gid=984458430#gid=984458430"", ""'replication success'!A:M""), 12, FAlSE)"),"#N/A")</f>
        <v>#N/A</v>
      </c>
      <c r="BA669" s="61" t="str">
        <f>IFERROR(__xludf.DUMMYFUNCTION("vlookup(BB669,importrange(""https://docs.google.com/spreadsheets/d/1d2vevQ_7D_v35q4wCQ4RpQ_IPoTwEMB9Yp6ymwlPqew/edit?gid=984458430#gid=984458430"", ""'replication success'!A:M""), 13, FAlSE)"),"#N/A")</f>
        <v>#N/A</v>
      </c>
      <c r="BB669" s="61" t="str">
        <f>IFERROR(__xludf.DUMMYFUNCTION("REGEXREPLACE(G669, ""_[a-z]{1,2}$"", """")"),"additional_studies94_5a")</f>
        <v>additional_studies94_5a</v>
      </c>
      <c r="BC669" s="61"/>
      <c r="BD669" s="62" t="s">
        <v>144</v>
      </c>
    </row>
    <row r="670" ht="20.25" customHeight="1">
      <c r="A670" s="44">
        <v>670.0</v>
      </c>
      <c r="B670" s="72" t="s">
        <v>114</v>
      </c>
      <c r="C670" s="72" t="s">
        <v>115</v>
      </c>
      <c r="D670" s="72" t="s">
        <v>153</v>
      </c>
      <c r="E670" s="73"/>
      <c r="F670" s="95" t="s">
        <v>3550</v>
      </c>
      <c r="G670" s="76" t="s">
        <v>3602</v>
      </c>
      <c r="H670" s="76" t="s">
        <v>153</v>
      </c>
      <c r="I670" s="629">
        <v>45638.0</v>
      </c>
      <c r="J670" s="995">
        <v>45673.0</v>
      </c>
      <c r="K670" s="75" t="s">
        <v>3569</v>
      </c>
      <c r="L670" s="82"/>
      <c r="M670" s="76" t="s">
        <v>3552</v>
      </c>
      <c r="N670" s="76" t="s">
        <v>3553</v>
      </c>
      <c r="O670" s="1004">
        <v>5.0</v>
      </c>
      <c r="P670" s="99" t="s">
        <v>3554</v>
      </c>
      <c r="Q670" s="52" t="str">
        <f t="array" ref="Q670"> if(iserror(MATCH(V670, 'File Links'!C:C, 0)), "N/A", HYPERLINK(INDEX('File Links'!B:B, MATCH(P670, 'File Links'!C:C, 0))))</f>
        <v>https://drive.google.com/file/d/1y96i0hMyOppZ0ZOc68SfdS2QELKNre-8/view?usp=drivesdk</v>
      </c>
      <c r="R670" s="76" t="s">
        <v>3555</v>
      </c>
      <c r="S670" s="76" t="s">
        <v>3556</v>
      </c>
      <c r="T670" s="82"/>
      <c r="U670" s="1005">
        <v>5.0</v>
      </c>
      <c r="V670" s="198" t="str">
        <f t="shared" si="36"/>
        <v>10.1073--pnas.2402315121.pdf</v>
      </c>
      <c r="W670" s="76" t="s">
        <v>3570</v>
      </c>
      <c r="X670" s="54" t="str">
        <f t="array" ref="X670"> if(iserror(MATCH(V670, 'File Links'!C:C, 0)), "N/A", HYPERLINK(INDEX('File Links'!B:B, MATCH(V670, 'File Links'!C:C, 0))))</f>
        <v>https://drive.google.com/file/d/1Mxrn43qE4Nlk4SUVbyTVjT4uEEPF5pZu/view?usp=drivesdk</v>
      </c>
      <c r="Y670" s="82"/>
      <c r="Z670" s="76" t="s">
        <v>148</v>
      </c>
      <c r="AA670" s="75" t="s">
        <v>3571</v>
      </c>
      <c r="AB670" s="75" t="s">
        <v>3572</v>
      </c>
      <c r="AC670" s="75" t="s">
        <v>3597</v>
      </c>
      <c r="AD670" s="76" t="s">
        <v>3603</v>
      </c>
      <c r="AE670" s="635">
        <v>5.0</v>
      </c>
      <c r="AF670" s="635">
        <v>240.0</v>
      </c>
      <c r="AG670" s="76" t="s">
        <v>3604</v>
      </c>
      <c r="AH670" s="99" t="s">
        <v>134</v>
      </c>
      <c r="AI670" s="76" t="s">
        <v>882</v>
      </c>
      <c r="AJ670" s="635">
        <v>0.9</v>
      </c>
      <c r="AK670" s="95" t="s">
        <v>335</v>
      </c>
      <c r="AL670" s="841" t="s">
        <v>186</v>
      </c>
      <c r="AM670" s="82" t="s">
        <v>137</v>
      </c>
      <c r="AN670" s="632" t="s">
        <v>3600</v>
      </c>
      <c r="AO670" s="858">
        <v>882.0</v>
      </c>
      <c r="AP670" s="858">
        <v>-0.031</v>
      </c>
      <c r="AQ670" s="76" t="s">
        <v>987</v>
      </c>
      <c r="AR670" s="76" t="s">
        <v>2441</v>
      </c>
      <c r="AS670" s="635">
        <v>0.38</v>
      </c>
      <c r="AT670" s="95" t="s">
        <v>172</v>
      </c>
      <c r="AU670" s="95" t="s">
        <v>218</v>
      </c>
      <c r="AV670" s="94" t="s">
        <v>137</v>
      </c>
      <c r="AW670" s="102" t="s">
        <v>3601</v>
      </c>
      <c r="AX670" s="103" t="s">
        <v>143</v>
      </c>
      <c r="AY670" s="61" t="str">
        <f>IFERROR(__xludf.DUMMYFUNCTION("vlookup(BB670,importrange(""https://docs.google.com/spreadsheets/d/1d2vevQ_7D_v35q4wCQ4RpQ_IPoTwEMB9Yp6ymwlPqew/edit?gid=984458430#gid=984458430"", ""'replication success'!A:K""), 11, FAlSE)"),"#N/A")</f>
        <v>#N/A</v>
      </c>
      <c r="AZ670" s="61" t="str">
        <f>IFERROR(__xludf.DUMMYFUNCTION("vlookup(BB670,importrange(""https://docs.google.com/spreadsheets/d/1d2vevQ_7D_v35q4wCQ4RpQ_IPoTwEMB9Yp6ymwlPqew/edit?gid=984458430#gid=984458430"", ""'replication success'!A:M""), 12, FAlSE)"),"#N/A")</f>
        <v>#N/A</v>
      </c>
      <c r="BA670" s="61" t="str">
        <f>IFERROR(__xludf.DUMMYFUNCTION("vlookup(BB670,importrange(""https://docs.google.com/spreadsheets/d/1d2vevQ_7D_v35q4wCQ4RpQ_IPoTwEMB9Yp6ymwlPqew/edit?gid=984458430#gid=984458430"", ""'replication success'!A:M""), 13, FAlSE)"),"#N/A")</f>
        <v>#N/A</v>
      </c>
      <c r="BB670" s="61" t="str">
        <f>IFERROR(__xludf.DUMMYFUNCTION("REGEXREPLACE(G670, ""_[a-z]{1,2}$"", """")"),"additional_studies94_5b")</f>
        <v>additional_studies94_5b</v>
      </c>
      <c r="BC670" s="61"/>
      <c r="BD670" s="62" t="s">
        <v>144</v>
      </c>
    </row>
    <row r="671" ht="20.25" customHeight="1">
      <c r="A671" s="44">
        <v>671.0</v>
      </c>
      <c r="B671" s="72" t="s">
        <v>114</v>
      </c>
      <c r="C671" s="72" t="s">
        <v>115</v>
      </c>
      <c r="D671" s="72" t="s">
        <v>153</v>
      </c>
      <c r="E671" s="73"/>
      <c r="F671" s="95" t="s">
        <v>3550</v>
      </c>
      <c r="G671" s="76" t="s">
        <v>3605</v>
      </c>
      <c r="H671" s="76" t="s">
        <v>153</v>
      </c>
      <c r="I671" s="629">
        <v>45638.0</v>
      </c>
      <c r="J671" s="995">
        <v>45673.0</v>
      </c>
      <c r="K671" s="75" t="s">
        <v>3569</v>
      </c>
      <c r="L671" s="82"/>
      <c r="M671" s="76" t="s">
        <v>3552</v>
      </c>
      <c r="N671" s="76" t="s">
        <v>3553</v>
      </c>
      <c r="O671" s="1004">
        <v>5.0</v>
      </c>
      <c r="P671" s="99" t="s">
        <v>3554</v>
      </c>
      <c r="Q671" s="52" t="str">
        <f t="array" ref="Q671"> if(iserror(MATCH(V671, 'File Links'!C:C, 0)), "N/A", HYPERLINK(INDEX('File Links'!B:B, MATCH(P671, 'File Links'!C:C, 0))))</f>
        <v>https://drive.google.com/file/d/1y96i0hMyOppZ0ZOc68SfdS2QELKNre-8/view?usp=drivesdk</v>
      </c>
      <c r="R671" s="76" t="s">
        <v>3555</v>
      </c>
      <c r="S671" s="76" t="s">
        <v>3556</v>
      </c>
      <c r="T671" s="82"/>
      <c r="U671" s="1005">
        <v>5.0</v>
      </c>
      <c r="V671" s="198" t="str">
        <f t="shared" si="36"/>
        <v>10.1073--pnas.2402315121.pdf</v>
      </c>
      <c r="W671" s="76" t="s">
        <v>3570</v>
      </c>
      <c r="X671" s="54" t="str">
        <f t="array" ref="X671"> if(iserror(MATCH(V671, 'File Links'!C:C, 0)), "N/A", HYPERLINK(INDEX('File Links'!B:B, MATCH(V671, 'File Links'!C:C, 0))))</f>
        <v>https://drive.google.com/file/d/1Mxrn43qE4Nlk4SUVbyTVjT4uEEPF5pZu/view?usp=drivesdk</v>
      </c>
      <c r="Y671" s="82"/>
      <c r="Z671" s="76" t="s">
        <v>148</v>
      </c>
      <c r="AA671" s="75" t="s">
        <v>3571</v>
      </c>
      <c r="AB671" s="75" t="s">
        <v>3572</v>
      </c>
      <c r="AC671" s="75" t="s">
        <v>3597</v>
      </c>
      <c r="AD671" s="76" t="s">
        <v>3598</v>
      </c>
      <c r="AE671" s="635">
        <v>5.0</v>
      </c>
      <c r="AF671" s="635">
        <v>240.0</v>
      </c>
      <c r="AG671" s="648" t="s">
        <v>3599</v>
      </c>
      <c r="AH671" s="99" t="s">
        <v>134</v>
      </c>
      <c r="AI671" s="76" t="s">
        <v>882</v>
      </c>
      <c r="AJ671" s="635">
        <v>0.003</v>
      </c>
      <c r="AK671" s="95" t="s">
        <v>172</v>
      </c>
      <c r="AL671" s="841" t="s">
        <v>186</v>
      </c>
      <c r="AM671" s="82" t="s">
        <v>137</v>
      </c>
      <c r="AN671" s="632" t="s">
        <v>3600</v>
      </c>
      <c r="AO671" s="858">
        <v>879.0</v>
      </c>
      <c r="AP671" s="858">
        <v>0.09</v>
      </c>
      <c r="AQ671" s="76" t="s">
        <v>215</v>
      </c>
      <c r="AR671" s="76" t="s">
        <v>496</v>
      </c>
      <c r="AS671" s="635">
        <v>0.009</v>
      </c>
      <c r="AT671" s="95" t="s">
        <v>172</v>
      </c>
      <c r="AU671" s="95" t="s">
        <v>218</v>
      </c>
      <c r="AV671" s="94" t="s">
        <v>137</v>
      </c>
      <c r="AW671" s="102" t="s">
        <v>3601</v>
      </c>
      <c r="AX671" s="103" t="s">
        <v>151</v>
      </c>
      <c r="AY671" s="61" t="str">
        <f>IFERROR(__xludf.DUMMYFUNCTION("vlookup(BB671,importrange(""https://docs.google.com/spreadsheets/d/1d2vevQ_7D_v35q4wCQ4RpQ_IPoTwEMB9Yp6ymwlPqew/edit?gid=984458430#gid=984458430"", ""'replication success'!A:K""), 11, FAlSE)"),"#N/A")</f>
        <v>#N/A</v>
      </c>
      <c r="AZ671" s="61" t="str">
        <f>IFERROR(__xludf.DUMMYFUNCTION("vlookup(BB671,importrange(""https://docs.google.com/spreadsheets/d/1d2vevQ_7D_v35q4wCQ4RpQ_IPoTwEMB9Yp6ymwlPqew/edit?gid=984458430#gid=984458430"", ""'replication success'!A:M""), 12, FAlSE)"),"#N/A")</f>
        <v>#N/A</v>
      </c>
      <c r="BA671" s="61" t="str">
        <f>IFERROR(__xludf.DUMMYFUNCTION("vlookup(BB671,importrange(""https://docs.google.com/spreadsheets/d/1d2vevQ_7D_v35q4wCQ4RpQ_IPoTwEMB9Yp6ymwlPqew/edit?gid=984458430#gid=984458430"", ""'replication success'!A:M""), 13, FAlSE)"),"#N/A")</f>
        <v>#N/A</v>
      </c>
      <c r="BB671" s="61" t="str">
        <f>IFERROR(__xludf.DUMMYFUNCTION("REGEXREPLACE(G671, ""_[a-z]{1,2}$"", """")"),"additional_studies94_5c")</f>
        <v>additional_studies94_5c</v>
      </c>
      <c r="BC671" s="61"/>
      <c r="BD671" s="62" t="s">
        <v>144</v>
      </c>
    </row>
    <row r="672" ht="20.25" customHeight="1">
      <c r="A672" s="44">
        <v>672.0</v>
      </c>
      <c r="B672" s="72" t="s">
        <v>114</v>
      </c>
      <c r="C672" s="72" t="s">
        <v>115</v>
      </c>
      <c r="D672" s="72" t="s">
        <v>153</v>
      </c>
      <c r="E672" s="73"/>
      <c r="F672" s="95" t="s">
        <v>3550</v>
      </c>
      <c r="G672" s="76" t="s">
        <v>3606</v>
      </c>
      <c r="H672" s="76" t="s">
        <v>153</v>
      </c>
      <c r="I672" s="629">
        <v>45638.0</v>
      </c>
      <c r="J672" s="995">
        <v>45673.0</v>
      </c>
      <c r="K672" s="75" t="s">
        <v>3569</v>
      </c>
      <c r="L672" s="82"/>
      <c r="M672" s="840" t="s">
        <v>3552</v>
      </c>
      <c r="N672" s="76" t="s">
        <v>3553</v>
      </c>
      <c r="O672" s="1004">
        <v>5.0</v>
      </c>
      <c r="P672" s="99" t="s">
        <v>3554</v>
      </c>
      <c r="Q672" s="52" t="str">
        <f t="array" ref="Q672"> if(iserror(MATCH(V672, 'File Links'!C:C, 0)), "N/A", HYPERLINK(INDEX('File Links'!B:B, MATCH(P672, 'File Links'!C:C, 0))))</f>
        <v>https://drive.google.com/file/d/1y96i0hMyOppZ0ZOc68SfdS2QELKNre-8/view?usp=drivesdk</v>
      </c>
      <c r="R672" s="76" t="s">
        <v>3555</v>
      </c>
      <c r="S672" s="76" t="s">
        <v>3556</v>
      </c>
      <c r="T672" s="82"/>
      <c r="U672" s="1005">
        <v>5.0</v>
      </c>
      <c r="V672" s="198" t="str">
        <f t="shared" si="36"/>
        <v>10.1073--pnas.2402315121.pdf</v>
      </c>
      <c r="W672" s="76" t="s">
        <v>3570</v>
      </c>
      <c r="X672" s="54" t="str">
        <f t="array" ref="X672"> if(iserror(MATCH(V672, 'File Links'!C:C, 0)), "N/A", HYPERLINK(INDEX('File Links'!B:B, MATCH(V672, 'File Links'!C:C, 0))))</f>
        <v>https://drive.google.com/file/d/1Mxrn43qE4Nlk4SUVbyTVjT4uEEPF5pZu/view?usp=drivesdk</v>
      </c>
      <c r="Y672" s="82"/>
      <c r="Z672" s="76" t="s">
        <v>148</v>
      </c>
      <c r="AA672" s="75" t="s">
        <v>3571</v>
      </c>
      <c r="AB672" s="75" t="s">
        <v>3572</v>
      </c>
      <c r="AC672" s="75" t="s">
        <v>3597</v>
      </c>
      <c r="AD672" s="76" t="s">
        <v>3603</v>
      </c>
      <c r="AE672" s="635">
        <v>5.0</v>
      </c>
      <c r="AF672" s="635">
        <v>240.0</v>
      </c>
      <c r="AG672" s="76" t="s">
        <v>3604</v>
      </c>
      <c r="AH672" s="99" t="s">
        <v>134</v>
      </c>
      <c r="AI672" s="76" t="s">
        <v>882</v>
      </c>
      <c r="AJ672" s="635">
        <v>0.9</v>
      </c>
      <c r="AK672" s="95" t="s">
        <v>335</v>
      </c>
      <c r="AL672" s="841" t="s">
        <v>186</v>
      </c>
      <c r="AM672" s="82" t="s">
        <v>137</v>
      </c>
      <c r="AN672" s="632" t="s">
        <v>3600</v>
      </c>
      <c r="AO672" s="858">
        <v>879.0</v>
      </c>
      <c r="AP672" s="858">
        <v>-0.016</v>
      </c>
      <c r="AQ672" s="76" t="s">
        <v>987</v>
      </c>
      <c r="AR672" s="76" t="s">
        <v>3607</v>
      </c>
      <c r="AS672" s="635">
        <v>0.651</v>
      </c>
      <c r="AT672" s="95" t="s">
        <v>172</v>
      </c>
      <c r="AU672" s="95" t="s">
        <v>218</v>
      </c>
      <c r="AV672" s="94" t="s">
        <v>137</v>
      </c>
      <c r="AW672" s="102" t="s">
        <v>3601</v>
      </c>
      <c r="AX672" s="103" t="s">
        <v>151</v>
      </c>
      <c r="AY672" s="61" t="str">
        <f>IFERROR(__xludf.DUMMYFUNCTION("vlookup(BB672,importrange(""https://docs.google.com/spreadsheets/d/1d2vevQ_7D_v35q4wCQ4RpQ_IPoTwEMB9Yp6ymwlPqew/edit?gid=984458430#gid=984458430"", ""'replication success'!A:K""), 11, FAlSE)"),"#N/A")</f>
        <v>#N/A</v>
      </c>
      <c r="AZ672" s="61" t="str">
        <f>IFERROR(__xludf.DUMMYFUNCTION("vlookup(BB672,importrange(""https://docs.google.com/spreadsheets/d/1d2vevQ_7D_v35q4wCQ4RpQ_IPoTwEMB9Yp6ymwlPqew/edit?gid=984458430#gid=984458430"", ""'replication success'!A:M""), 12, FAlSE)"),"#N/A")</f>
        <v>#N/A</v>
      </c>
      <c r="BA672" s="61" t="str">
        <f>IFERROR(__xludf.DUMMYFUNCTION("vlookup(BB672,importrange(""https://docs.google.com/spreadsheets/d/1d2vevQ_7D_v35q4wCQ4RpQ_IPoTwEMB9Yp6ymwlPqew/edit?gid=984458430#gid=984458430"", ""'replication success'!A:M""), 13, FAlSE)"),"#N/A")</f>
        <v>#N/A</v>
      </c>
      <c r="BB672" s="61" t="str">
        <f>IFERROR(__xludf.DUMMYFUNCTION("REGEXREPLACE(G672, ""_[a-z]{1,2}$"", """")"),"additional_studies94_5d")</f>
        <v>additional_studies94_5d</v>
      </c>
      <c r="BC672" s="61"/>
      <c r="BD672" s="62" t="s">
        <v>144</v>
      </c>
    </row>
    <row r="673" ht="20.25" customHeight="1">
      <c r="A673" s="44">
        <v>673.0</v>
      </c>
      <c r="B673" s="839" t="s">
        <v>152</v>
      </c>
      <c r="C673" s="839" t="s">
        <v>115</v>
      </c>
      <c r="D673" s="839" t="s">
        <v>176</v>
      </c>
      <c r="E673" s="752"/>
      <c r="F673" s="95" t="s">
        <v>3550</v>
      </c>
      <c r="G673" s="841" t="s">
        <v>3608</v>
      </c>
      <c r="H673" s="840" t="s">
        <v>176</v>
      </c>
      <c r="I673" s="994">
        <v>45636.0</v>
      </c>
      <c r="J673" s="995">
        <v>45673.0</v>
      </c>
      <c r="K673" s="840" t="s">
        <v>3609</v>
      </c>
      <c r="L673" s="212" t="s">
        <v>3610</v>
      </c>
      <c r="M673" s="840" t="s">
        <v>3552</v>
      </c>
      <c r="N673" s="840" t="s">
        <v>3553</v>
      </c>
      <c r="O673" s="996">
        <v>1.0</v>
      </c>
      <c r="P673" s="840" t="s">
        <v>3554</v>
      </c>
      <c r="Q673" s="52" t="str">
        <f t="array" ref="Q673"> if(iserror(MATCH(V673, 'File Links'!C:C, 0)), "N/A", HYPERLINK(INDEX('File Links'!B:B, MATCH(P673, 'File Links'!C:C, 0))))</f>
        <v>https://drive.google.com/file/d/1y96i0hMyOppZ0ZOc68SfdS2QELKNre-8/view?usp=drivesdk</v>
      </c>
      <c r="R673" s="840" t="s">
        <v>3555</v>
      </c>
      <c r="S673" s="76" t="s">
        <v>3556</v>
      </c>
      <c r="T673" s="851"/>
      <c r="U673" s="996">
        <v>1.0</v>
      </c>
      <c r="V673" s="198" t="str">
        <f t="shared" si="36"/>
        <v>10.1073--pnas.2402315121.pdf</v>
      </c>
      <c r="W673" s="840" t="s">
        <v>2456</v>
      </c>
      <c r="X673" s="54" t="str">
        <f t="array" ref="X673"> if(iserror(MATCH(V673, 'File Links'!C:C, 0)), "N/A", HYPERLINK(INDEX('File Links'!B:B, MATCH(V673, 'File Links'!C:C, 0))))</f>
        <v>https://drive.google.com/file/d/1Mxrn43qE4Nlk4SUVbyTVjT4uEEPF5pZu/view?usp=drivesdk</v>
      </c>
      <c r="Y673" s="851"/>
      <c r="Z673" s="840" t="s">
        <v>148</v>
      </c>
      <c r="AA673" s="840" t="s">
        <v>3557</v>
      </c>
      <c r="AB673" s="840" t="s">
        <v>3558</v>
      </c>
      <c r="AC673" s="840" t="s">
        <v>3559</v>
      </c>
      <c r="AD673" s="998" t="s">
        <v>3560</v>
      </c>
      <c r="AE673" s="840" t="s">
        <v>3561</v>
      </c>
      <c r="AF673" s="904">
        <v>321.0</v>
      </c>
      <c r="AG673" s="840" t="s">
        <v>3562</v>
      </c>
      <c r="AH673" s="999" t="s">
        <v>3563</v>
      </c>
      <c r="AI673" s="841" t="s">
        <v>3564</v>
      </c>
      <c r="AJ673" s="841" t="s">
        <v>185</v>
      </c>
      <c r="AK673" s="840" t="s">
        <v>135</v>
      </c>
      <c r="AL673" s="841" t="s">
        <v>186</v>
      </c>
      <c r="AM673" s="851" t="s">
        <v>141</v>
      </c>
      <c r="AN673" s="1000" t="s">
        <v>3565</v>
      </c>
      <c r="AO673" s="1001">
        <v>297.0</v>
      </c>
      <c r="AP673" s="1042">
        <v>-0.1</v>
      </c>
      <c r="AQ673" s="840" t="s">
        <v>215</v>
      </c>
      <c r="AR673" s="840" t="s">
        <v>3611</v>
      </c>
      <c r="AS673" s="840" t="s">
        <v>3612</v>
      </c>
      <c r="AT673" s="840" t="s">
        <v>172</v>
      </c>
      <c r="AU673" s="840" t="s">
        <v>186</v>
      </c>
      <c r="AV673" s="851" t="s">
        <v>141</v>
      </c>
      <c r="AW673" s="1000" t="s">
        <v>3578</v>
      </c>
      <c r="AX673" s="1003" t="s">
        <v>151</v>
      </c>
      <c r="AY673" s="61" t="str">
        <f>IFERROR(__xludf.DUMMYFUNCTION("vlookup(BB673,importrange(""https://docs.google.com/spreadsheets/d/1d2vevQ_7D_v35q4wCQ4RpQ_IPoTwEMB9Yp6ymwlPqew/edit?gid=984458430#gid=984458430"", ""'replication success'!A:K""), 11, FAlSE)"),"failed")</f>
        <v>failed</v>
      </c>
      <c r="AZ673" s="61" t="str">
        <f>IFERROR(__xludf.DUMMYFUNCTION("vlookup(BB673,importrange(""https://docs.google.com/spreadsheets/d/1d2vevQ_7D_v35q4wCQ4RpQ_IPoTwEMB9Yp6ymwlPqew/edit?gid=984458430#gid=984458430"",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 Fig. 1 omits a conceptual replication of Study 1 that
produce"&amp;"d a nonsignificant effect in the opposite direction of
the original Study 1, t(279) = −1.78, P = 0.077, r = −0.10.....Although the majority of our replications produced results directionally
consistent with those of Karataş and Cutright, our results
imply"&amp;"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v>
      </c>
      <c r="BA673" s="61" t="str">
        <f>IFERROR(__xludf.DUMMYFUNCTION("vlookup(BB673,importrange(""https://docs.google.com/spreadsheets/d/1d2vevQ_7D_v35q4wCQ4RpQ_IPoTwEMB9Yp6ymwlPqew/edit?gid=984458430#gid=984458430"", ""'replication success'!A:M""), 13, FAlSE)"),"abstract")</f>
        <v>abstract</v>
      </c>
      <c r="BB673" s="61" t="str">
        <f>IFERROR(__xludf.DUMMYFUNCTION("REGEXREPLACE(G673, ""_[a-z]{1,2}$"", """")"),"additional_studies94")</f>
        <v>additional_studies94</v>
      </c>
      <c r="BC673" s="129" t="s">
        <v>3610</v>
      </c>
      <c r="BD673" s="62" t="s">
        <v>144</v>
      </c>
    </row>
    <row r="674" ht="20.25" customHeight="1">
      <c r="A674" s="44">
        <v>674.0</v>
      </c>
      <c r="B674" s="839" t="s">
        <v>152</v>
      </c>
      <c r="C674" s="381" t="s">
        <v>115</v>
      </c>
      <c r="D674" s="381" t="s">
        <v>176</v>
      </c>
      <c r="E674" s="484"/>
      <c r="F674" s="95" t="s">
        <v>3550</v>
      </c>
      <c r="G674" s="486" t="s">
        <v>3613</v>
      </c>
      <c r="H674" s="485" t="s">
        <v>176</v>
      </c>
      <c r="I674" s="487">
        <v>45636.0</v>
      </c>
      <c r="J674" s="995">
        <v>45673.0</v>
      </c>
      <c r="K674" s="349" t="s">
        <v>3614</v>
      </c>
      <c r="L674" s="489"/>
      <c r="M674" s="840" t="s">
        <v>3552</v>
      </c>
      <c r="N674" s="840" t="s">
        <v>3553</v>
      </c>
      <c r="O674" s="1043" t="s">
        <v>3580</v>
      </c>
      <c r="P674" s="485" t="s">
        <v>3554</v>
      </c>
      <c r="Q674" s="52" t="str">
        <f t="array" ref="Q674"> if(iserror(MATCH(V674, 'File Links'!C:C, 0)), "N/A", HYPERLINK(INDEX('File Links'!B:B, MATCH(P674, 'File Links'!C:C, 0))))</f>
        <v>https://drive.google.com/file/d/1y96i0hMyOppZ0ZOc68SfdS2QELKNre-8/view?usp=drivesdk</v>
      </c>
      <c r="R674" s="485" t="s">
        <v>3555</v>
      </c>
      <c r="S674" s="76" t="s">
        <v>3556</v>
      </c>
      <c r="T674" s="489"/>
      <c r="U674" s="1043" t="s">
        <v>3580</v>
      </c>
      <c r="V674" s="198" t="str">
        <f t="shared" si="36"/>
        <v>10.1073--pnas.2402315121.pdf</v>
      </c>
      <c r="W674" s="485" t="s">
        <v>2125</v>
      </c>
      <c r="X674" s="54" t="str">
        <f t="array" ref="X674"> if(iserror(MATCH(V674, 'File Links'!C:C, 0)), "N/A", HYPERLINK(INDEX('File Links'!B:B, MATCH(V674, 'File Links'!C:C, 0))))</f>
        <v>https://drive.google.com/file/d/1Mxrn43qE4Nlk4SUVbyTVjT4uEEPF5pZu/view?usp=drivesdk</v>
      </c>
      <c r="Y674" s="489"/>
      <c r="Z674" s="485" t="s">
        <v>148</v>
      </c>
      <c r="AA674" s="485" t="s">
        <v>3557</v>
      </c>
      <c r="AB674" s="485" t="s">
        <v>3558</v>
      </c>
      <c r="AC674" s="485" t="s">
        <v>3615</v>
      </c>
      <c r="AD674" s="349" t="s">
        <v>3616</v>
      </c>
      <c r="AE674" s="485" t="s">
        <v>217</v>
      </c>
      <c r="AF674" s="495">
        <v>201.0</v>
      </c>
      <c r="AG674" s="349" t="s">
        <v>3617</v>
      </c>
      <c r="AH674" s="349" t="s">
        <v>134</v>
      </c>
      <c r="AI674" s="486" t="s">
        <v>132</v>
      </c>
      <c r="AJ674" s="486" t="s">
        <v>3618</v>
      </c>
      <c r="AK674" s="485" t="s">
        <v>172</v>
      </c>
      <c r="AL674" s="486" t="s">
        <v>186</v>
      </c>
      <c r="AM674" s="489" t="s">
        <v>137</v>
      </c>
      <c r="AN674" s="1016" t="s">
        <v>3565</v>
      </c>
      <c r="AO674" s="1044">
        <v>601.0</v>
      </c>
      <c r="AP674" s="825" t="s">
        <v>3619</v>
      </c>
      <c r="AQ674" s="485" t="s">
        <v>215</v>
      </c>
      <c r="AR674" s="485" t="s">
        <v>3620</v>
      </c>
      <c r="AS674" s="485" t="s">
        <v>3621</v>
      </c>
      <c r="AT674" s="485" t="s">
        <v>172</v>
      </c>
      <c r="AU674" s="485" t="s">
        <v>186</v>
      </c>
      <c r="AV674" s="489" t="s">
        <v>137</v>
      </c>
      <c r="AW674" s="1016" t="s">
        <v>3584</v>
      </c>
      <c r="AX674" s="1017" t="s">
        <v>143</v>
      </c>
      <c r="AY674" s="61" t="str">
        <f>IFERROR(__xludf.DUMMYFUNCTION("vlookup(BB674,importrange(""https://docs.google.com/spreadsheets/d/1d2vevQ_7D_v35q4wCQ4RpQ_IPoTwEMB9Yp6ymwlPqew/edit?gid=984458430#gid=984458430"", ""'replication success'!A:K""), 11, FAlSE)"),"failed")</f>
        <v>failed</v>
      </c>
      <c r="AZ674" s="61" t="str">
        <f>IFERROR(__xludf.DUMMYFUNCTION("vlookup(BB674,importrange(""https://docs.google.com/spreadsheets/d/1d2vevQ_7D_v35q4wCQ4RpQ_IPoTwEMB9Yp6ymwlPqew/edit?gid=984458430#gid=984458430"",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0.19)....Although the majority of our replications produced results "&amp;"directionally
consistent with those of Karataş and Cutright, our results
imply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v>
      </c>
      <c r="BA674" s="61" t="str">
        <f>IFERROR(__xludf.DUMMYFUNCTION("vlookup(BB674,importrange(""https://docs.google.com/spreadsheets/d/1d2vevQ_7D_v35q4wCQ4RpQ_IPoTwEMB9Yp6ymwlPqew/edit?gid=984458430#gid=984458430"", ""'replication success'!A:M""), 13, FAlSE)"),"abstract")</f>
        <v>abstract</v>
      </c>
      <c r="BB674" s="61" t="str">
        <f>IFERROR(__xludf.DUMMYFUNCTION("REGEXREPLACE(G674, ""_[a-z]{1,2}$"", """")"),"additional_studies95")</f>
        <v>additional_studies95</v>
      </c>
      <c r="BC674" s="68"/>
      <c r="BD674" s="62" t="s">
        <v>144</v>
      </c>
    </row>
    <row r="675" ht="20.25" customHeight="1">
      <c r="A675" s="44">
        <v>675.0</v>
      </c>
      <c r="B675" s="839" t="s">
        <v>152</v>
      </c>
      <c r="C675" s="538" t="s">
        <v>115</v>
      </c>
      <c r="D675" s="538" t="s">
        <v>176</v>
      </c>
      <c r="E675" s="539"/>
      <c r="F675" s="95" t="s">
        <v>3550</v>
      </c>
      <c r="G675" s="1019" t="s">
        <v>3622</v>
      </c>
      <c r="H675" s="1018" t="s">
        <v>176</v>
      </c>
      <c r="I675" s="1045">
        <v>45636.0</v>
      </c>
      <c r="J675" s="995">
        <v>45673.0</v>
      </c>
      <c r="K675" s="1027" t="s">
        <v>3623</v>
      </c>
      <c r="L675" s="1032"/>
      <c r="M675" s="840" t="s">
        <v>3552</v>
      </c>
      <c r="N675" s="840" t="s">
        <v>3553</v>
      </c>
      <c r="O675" s="1046" t="s">
        <v>3586</v>
      </c>
      <c r="P675" s="1018" t="s">
        <v>3554</v>
      </c>
      <c r="Q675" s="52" t="str">
        <f t="array" ref="Q675"> if(iserror(MATCH(V675, 'File Links'!C:C, 0)), "N/A", HYPERLINK(INDEX('File Links'!B:B, MATCH(P675, 'File Links'!C:C, 0))))</f>
        <v>https://drive.google.com/file/d/1y96i0hMyOppZ0ZOc68SfdS2QELKNre-8/view?usp=drivesdk</v>
      </c>
      <c r="R675" s="1018" t="s">
        <v>3555</v>
      </c>
      <c r="S675" s="76" t="s">
        <v>3556</v>
      </c>
      <c r="T675" s="1032"/>
      <c r="U675" s="1046" t="s">
        <v>3586</v>
      </c>
      <c r="V675" s="198" t="str">
        <f t="shared" si="36"/>
        <v>10.1073--pnas.2402315121.pdf</v>
      </c>
      <c r="W675" s="1018" t="s">
        <v>2125</v>
      </c>
      <c r="X675" s="54" t="str">
        <f t="array" ref="X675"> if(iserror(MATCH(V675, 'File Links'!C:C, 0)), "N/A", HYPERLINK(INDEX('File Links'!B:B, MATCH(V675, 'File Links'!C:C, 0))))</f>
        <v>https://drive.google.com/file/d/1Mxrn43qE4Nlk4SUVbyTVjT4uEEPF5pZu/view?usp=drivesdk</v>
      </c>
      <c r="Y675" s="1032"/>
      <c r="Z675" s="1018" t="s">
        <v>148</v>
      </c>
      <c r="AA675" s="1018" t="s">
        <v>3557</v>
      </c>
      <c r="AB675" s="1018" t="s">
        <v>3558</v>
      </c>
      <c r="AC675" s="1018" t="s">
        <v>3624</v>
      </c>
      <c r="AD675" s="1027" t="s">
        <v>3625</v>
      </c>
      <c r="AE675" s="1018" t="s">
        <v>3626</v>
      </c>
      <c r="AF675" s="1047">
        <v>349.0</v>
      </c>
      <c r="AG675" s="1027" t="s">
        <v>3627</v>
      </c>
      <c r="AH675" s="349" t="s">
        <v>134</v>
      </c>
      <c r="AI675" s="1019" t="s">
        <v>613</v>
      </c>
      <c r="AJ675" s="1019" t="s">
        <v>3628</v>
      </c>
      <c r="AK675" s="1018" t="s">
        <v>172</v>
      </c>
      <c r="AL675" s="1019" t="s">
        <v>186</v>
      </c>
      <c r="AM675" s="1032" t="s">
        <v>137</v>
      </c>
      <c r="AN675" s="1033" t="s">
        <v>3565</v>
      </c>
      <c r="AO675" s="1048">
        <v>1036.0</v>
      </c>
      <c r="AP675" s="1049" t="s">
        <v>3566</v>
      </c>
      <c r="AQ675" s="1018" t="s">
        <v>215</v>
      </c>
      <c r="AR675" s="1018" t="s">
        <v>3629</v>
      </c>
      <c r="AS675" s="1018" t="s">
        <v>3630</v>
      </c>
      <c r="AT675" s="1018" t="s">
        <v>172</v>
      </c>
      <c r="AU675" s="1018" t="s">
        <v>186</v>
      </c>
      <c r="AV675" s="1032" t="s">
        <v>137</v>
      </c>
      <c r="AW675" s="1033" t="s">
        <v>3590</v>
      </c>
      <c r="AX675" s="1034" t="s">
        <v>143</v>
      </c>
      <c r="AY675" s="61" t="str">
        <f>IFERROR(__xludf.DUMMYFUNCTION("vlookup(BB675,importrange(""https://docs.google.com/spreadsheets/d/1d2vevQ_7D_v35q4wCQ4RpQ_IPoTwEMB9Yp6ymwlPqew/edit?gid=984458430#gid=984458430"", ""'replication success'!A:K""), 11, FAlSE)"),"failed")</f>
        <v>failed</v>
      </c>
      <c r="AZ675" s="61" t="str">
        <f>IFERROR(__xludf.DUMMYFUNCTION("vlookup(BB675,importrange(""https://docs.google.com/spreadsheets/d/1d2vevQ_7D_v35q4wCQ4RpQ_IPoTwEMB9Yp6ymwlPqew/edit?gid=984458430#gid=984458430"",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0.19)....Although the majority of our replications produced results "&amp;"directionally
consistent with those of Karataş and Cutright, our results
imply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v>
      </c>
      <c r="BA675" s="61" t="str">
        <f>IFERROR(__xludf.DUMMYFUNCTION("vlookup(BB675,importrange(""https://docs.google.com/spreadsheets/d/1d2vevQ_7D_v35q4wCQ4RpQ_IPoTwEMB9Yp6ymwlPqew/edit?gid=984458430#gid=984458430"", ""'replication success'!A:M""), 13, FAlSE)"),"abstract")</f>
        <v>abstract</v>
      </c>
      <c r="BB675" s="61" t="str">
        <f>IFERROR(__xludf.DUMMYFUNCTION("REGEXREPLACE(G675, ""_[a-z]{1,2}$"", """")"),"additional_studies96")</f>
        <v>additional_studies96</v>
      </c>
      <c r="BC675" s="68"/>
      <c r="BD675" s="62" t="s">
        <v>144</v>
      </c>
    </row>
    <row r="676" ht="20.25" customHeight="1">
      <c r="A676" s="44">
        <v>676.0</v>
      </c>
      <c r="B676" s="839" t="s">
        <v>152</v>
      </c>
      <c r="C676" s="325" t="s">
        <v>115</v>
      </c>
      <c r="D676" s="325" t="s">
        <v>176</v>
      </c>
      <c r="E676" s="226"/>
      <c r="F676" s="95" t="s">
        <v>3550</v>
      </c>
      <c r="G676" s="412" t="s">
        <v>3631</v>
      </c>
      <c r="H676" s="244" t="s">
        <v>176</v>
      </c>
      <c r="I676" s="658">
        <v>45636.0</v>
      </c>
      <c r="J676" s="995">
        <v>45673.0</v>
      </c>
      <c r="K676" s="324" t="s">
        <v>3614</v>
      </c>
      <c r="L676" s="331"/>
      <c r="M676" s="840" t="s">
        <v>3552</v>
      </c>
      <c r="N676" s="840" t="s">
        <v>3553</v>
      </c>
      <c r="O676" s="1050">
        <v>3.0</v>
      </c>
      <c r="P676" s="244" t="s">
        <v>3554</v>
      </c>
      <c r="Q676" s="52" t="str">
        <f t="array" ref="Q676"> if(iserror(MATCH(V676, 'File Links'!C:C, 0)), "N/A", HYPERLINK(INDEX('File Links'!B:B, MATCH(P676, 'File Links'!C:C, 0))))</f>
        <v>https://drive.google.com/file/d/1y96i0hMyOppZ0ZOc68SfdS2QELKNre-8/view?usp=drivesdk</v>
      </c>
      <c r="R676" s="244" t="s">
        <v>3555</v>
      </c>
      <c r="S676" s="76" t="s">
        <v>3556</v>
      </c>
      <c r="T676" s="331"/>
      <c r="U676" s="1050">
        <v>3.0</v>
      </c>
      <c r="V676" s="198" t="str">
        <f t="shared" si="36"/>
        <v>10.1073--pnas.2402315121.pdf</v>
      </c>
      <c r="W676" s="244" t="s">
        <v>2125</v>
      </c>
      <c r="X676" s="54" t="str">
        <f t="array" ref="X676"> if(iserror(MATCH(V676, 'File Links'!C:C, 0)), "N/A", HYPERLINK(INDEX('File Links'!B:B, MATCH(V676, 'File Links'!C:C, 0))))</f>
        <v>https://drive.google.com/file/d/1Mxrn43qE4Nlk4SUVbyTVjT4uEEPF5pZu/view?usp=drivesdk</v>
      </c>
      <c r="Y676" s="331"/>
      <c r="Z676" s="244" t="s">
        <v>148</v>
      </c>
      <c r="AA676" s="244" t="s">
        <v>3557</v>
      </c>
      <c r="AB676" s="244" t="s">
        <v>3558</v>
      </c>
      <c r="AC676" s="244" t="s">
        <v>3632</v>
      </c>
      <c r="AD676" s="324" t="s">
        <v>3633</v>
      </c>
      <c r="AE676" s="244" t="s">
        <v>850</v>
      </c>
      <c r="AF676" s="334">
        <v>340.0</v>
      </c>
      <c r="AG676" s="324" t="s">
        <v>3634</v>
      </c>
      <c r="AH676" s="349" t="s">
        <v>134</v>
      </c>
      <c r="AI676" s="412" t="s">
        <v>613</v>
      </c>
      <c r="AJ676" s="412" t="s">
        <v>3635</v>
      </c>
      <c r="AK676" s="244" t="s">
        <v>172</v>
      </c>
      <c r="AL676" s="412" t="s">
        <v>186</v>
      </c>
      <c r="AM676" s="331" t="s">
        <v>137</v>
      </c>
      <c r="AN676" s="1040" t="s">
        <v>3565</v>
      </c>
      <c r="AO676" s="1051">
        <v>881.0</v>
      </c>
      <c r="AP676" s="411" t="s">
        <v>497</v>
      </c>
      <c r="AQ676" s="244" t="s">
        <v>215</v>
      </c>
      <c r="AR676" s="244" t="s">
        <v>3636</v>
      </c>
      <c r="AS676" s="244" t="s">
        <v>3637</v>
      </c>
      <c r="AT676" s="244" t="s">
        <v>172</v>
      </c>
      <c r="AU676" s="244" t="s">
        <v>186</v>
      </c>
      <c r="AV676" s="331" t="s">
        <v>137</v>
      </c>
      <c r="AW676" s="1040" t="s">
        <v>3595</v>
      </c>
      <c r="AX676" s="1041" t="s">
        <v>143</v>
      </c>
      <c r="AY676" s="61" t="str">
        <f>IFERROR(__xludf.DUMMYFUNCTION("vlookup(BB676,importrange(""https://docs.google.com/spreadsheets/d/1d2vevQ_7D_v35q4wCQ4RpQ_IPoTwEMB9Yp6ymwlPqew/edit?gid=984458430#gid=984458430"", ""'replication success'!A:K""), 11, FAlSE)"),"failed")</f>
        <v>failed</v>
      </c>
      <c r="AZ676" s="61" t="str">
        <f>IFERROR(__xludf.DUMMYFUNCTION("vlookup(BB676,importrange(""https://docs.google.com/spreadsheets/d/1d2vevQ_7D_v35q4wCQ4RpQ_IPoTwEMB9Yp6ymwlPqew/edit?gid=984458430#gid=984458430"",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0.19)....Although the majority of our replications produced results "&amp;"directionally
consistent with those of Karataş and Cutright, our results
imply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v>
      </c>
      <c r="BA676" s="61" t="str">
        <f>IFERROR(__xludf.DUMMYFUNCTION("vlookup(BB676,importrange(""https://docs.google.com/spreadsheets/d/1d2vevQ_7D_v35q4wCQ4RpQ_IPoTwEMB9Yp6ymwlPqew/edit?gid=984458430#gid=984458430"", ""'replication success'!A:M""), 13, FAlSE)"),"abstract")</f>
        <v>abstract</v>
      </c>
      <c r="BB676" s="61" t="str">
        <f>IFERROR(__xludf.DUMMYFUNCTION("REGEXREPLACE(G676, ""_[a-z]{1,2}$"", """")"),"additional_studies99")</f>
        <v>additional_studies99</v>
      </c>
      <c r="BC676" s="68"/>
      <c r="BD676" s="62" t="s">
        <v>144</v>
      </c>
    </row>
    <row r="677" ht="20.25" customHeight="1">
      <c r="A677" s="44">
        <v>677.0</v>
      </c>
      <c r="B677" s="839" t="s">
        <v>152</v>
      </c>
      <c r="C677" s="397" t="s">
        <v>115</v>
      </c>
      <c r="D677" s="397" t="s">
        <v>176</v>
      </c>
      <c r="E677" s="220"/>
      <c r="F677" s="95" t="s">
        <v>3550</v>
      </c>
      <c r="G677" s="399" t="s">
        <v>3638</v>
      </c>
      <c r="H677" s="407" t="s">
        <v>176</v>
      </c>
      <c r="I677" s="400">
        <v>45636.0</v>
      </c>
      <c r="J677" s="995">
        <v>45673.0</v>
      </c>
      <c r="K677" s="407" t="s">
        <v>3639</v>
      </c>
      <c r="L677" s="398"/>
      <c r="M677" s="840" t="s">
        <v>3552</v>
      </c>
      <c r="N677" s="840" t="s">
        <v>3553</v>
      </c>
      <c r="O677" s="1052">
        <v>5.0</v>
      </c>
      <c r="P677" s="407" t="s">
        <v>3554</v>
      </c>
      <c r="Q677" s="52" t="str">
        <f t="array" ref="Q677"> if(iserror(MATCH(V677, 'File Links'!C:C, 0)), "N/A", HYPERLINK(INDEX('File Links'!B:B, MATCH(P677, 'File Links'!C:C, 0))))</f>
        <v>https://drive.google.com/file/d/1y96i0hMyOppZ0ZOc68SfdS2QELKNre-8/view?usp=drivesdk</v>
      </c>
      <c r="R677" s="407" t="s">
        <v>3555</v>
      </c>
      <c r="S677" s="76" t="s">
        <v>3556</v>
      </c>
      <c r="T677" s="398"/>
      <c r="U677" s="1052">
        <v>5.0</v>
      </c>
      <c r="V677" s="198" t="str">
        <f t="shared" si="36"/>
        <v>10.1073--pnas.2402315121.pdf</v>
      </c>
      <c r="W677" s="407" t="s">
        <v>2125</v>
      </c>
      <c r="X677" s="54" t="str">
        <f t="array" ref="X677"> if(iserror(MATCH(V677, 'File Links'!C:C, 0)), "N/A", HYPERLINK(INDEX('File Links'!B:B, MATCH(V677, 'File Links'!C:C, 0))))</f>
        <v>https://drive.google.com/file/d/1Mxrn43qE4Nlk4SUVbyTVjT4uEEPF5pZu/view?usp=drivesdk</v>
      </c>
      <c r="Y677" s="398"/>
      <c r="Z677" s="407" t="s">
        <v>148</v>
      </c>
      <c r="AA677" s="407" t="s">
        <v>3557</v>
      </c>
      <c r="AB677" s="407" t="s">
        <v>3558</v>
      </c>
      <c r="AC677" s="407" t="s">
        <v>3640</v>
      </c>
      <c r="AD677" s="407" t="s">
        <v>3641</v>
      </c>
      <c r="AE677" s="407" t="s">
        <v>140</v>
      </c>
      <c r="AF677" s="728">
        <v>240.0</v>
      </c>
      <c r="AG677" s="648" t="s">
        <v>3599</v>
      </c>
      <c r="AH677" s="99" t="s">
        <v>134</v>
      </c>
      <c r="AI677" s="399" t="s">
        <v>613</v>
      </c>
      <c r="AJ677" s="399" t="s">
        <v>522</v>
      </c>
      <c r="AK677" s="407" t="s">
        <v>172</v>
      </c>
      <c r="AL677" s="399" t="s">
        <v>186</v>
      </c>
      <c r="AM677" s="398" t="s">
        <v>137</v>
      </c>
      <c r="AN677" s="409" t="s">
        <v>3565</v>
      </c>
      <c r="AO677" s="1053">
        <v>882.0</v>
      </c>
      <c r="AP677" s="646" t="s">
        <v>3619</v>
      </c>
      <c r="AQ677" s="407" t="s">
        <v>215</v>
      </c>
      <c r="AR677" s="407" t="s">
        <v>3642</v>
      </c>
      <c r="AS677" s="407" t="s">
        <v>3643</v>
      </c>
      <c r="AT677" s="407" t="s">
        <v>172</v>
      </c>
      <c r="AU677" s="407" t="s">
        <v>186</v>
      </c>
      <c r="AV677" s="398" t="s">
        <v>137</v>
      </c>
      <c r="AW677" s="409" t="s">
        <v>3601</v>
      </c>
      <c r="AX677" s="410" t="s">
        <v>143</v>
      </c>
      <c r="AY677" s="61" t="str">
        <f>IFERROR(__xludf.DUMMYFUNCTION("vlookup(BB677,importrange(""https://docs.google.com/spreadsheets/d/1d2vevQ_7D_v35q4wCQ4RpQ_IPoTwEMB9Yp6ymwlPqew/edit?gid=984458430#gid=984458430"", ""'replication success'!A:K""), 11, FAlSE)"),"failed")</f>
        <v>failed</v>
      </c>
      <c r="AZ677" s="61" t="str">
        <f>IFERROR(__xludf.DUMMYFUNCTION("vlookup(BB677,importrange(""https://docs.google.com/spreadsheets/d/1d2vevQ_7D_v35q4wCQ4RpQ_IPoTwEMB9Yp6ymwlPqew/edit?gid=984458430#gid=984458430"",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0.19)....Although the majority of our replications produced results "&amp;"directionally
consistent with those of Karataş and Cutright, our results
imply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v>
      </c>
      <c r="BA677" s="61" t="str">
        <f>IFERROR(__xludf.DUMMYFUNCTION("vlookup(BB677,importrange(""https://docs.google.com/spreadsheets/d/1d2vevQ_7D_v35q4wCQ4RpQ_IPoTwEMB9Yp6ymwlPqew/edit?gid=984458430#gid=984458430"", ""'replication success'!A:M""), 13, FAlSE)"),"abstract")</f>
        <v>abstract</v>
      </c>
      <c r="BB677" s="61" t="str">
        <f>IFERROR(__xludf.DUMMYFUNCTION("REGEXREPLACE(G677, ""_[a-z]{1,2}$"", """")"),"additional_studies99")</f>
        <v>additional_studies99</v>
      </c>
      <c r="BC677" s="68"/>
      <c r="BD677" s="62" t="s">
        <v>144</v>
      </c>
    </row>
    <row r="678" ht="20.25" customHeight="1">
      <c r="A678" s="44">
        <v>678.0</v>
      </c>
      <c r="B678" s="839" t="s">
        <v>152</v>
      </c>
      <c r="C678" s="397" t="s">
        <v>115</v>
      </c>
      <c r="D678" s="397" t="s">
        <v>176</v>
      </c>
      <c r="E678" s="220"/>
      <c r="F678" s="95" t="s">
        <v>3550</v>
      </c>
      <c r="G678" s="399" t="s">
        <v>3644</v>
      </c>
      <c r="H678" s="407" t="s">
        <v>176</v>
      </c>
      <c r="I678" s="400">
        <v>45636.0</v>
      </c>
      <c r="J678" s="995">
        <v>45673.0</v>
      </c>
      <c r="K678" s="407" t="s">
        <v>3645</v>
      </c>
      <c r="L678" s="398"/>
      <c r="M678" s="840" t="s">
        <v>3552</v>
      </c>
      <c r="N678" s="840" t="s">
        <v>3553</v>
      </c>
      <c r="O678" s="1052">
        <v>5.0</v>
      </c>
      <c r="P678" s="407" t="s">
        <v>3554</v>
      </c>
      <c r="Q678" s="52" t="str">
        <f t="array" ref="Q678"> if(iserror(MATCH(V678, 'File Links'!C:C, 0)), "N/A", HYPERLINK(INDEX('File Links'!B:B, MATCH(P678, 'File Links'!C:C, 0))))</f>
        <v>https://drive.google.com/file/d/1y96i0hMyOppZ0ZOc68SfdS2QELKNre-8/view?usp=drivesdk</v>
      </c>
      <c r="R678" s="407" t="s">
        <v>3555</v>
      </c>
      <c r="S678" s="76" t="s">
        <v>3556</v>
      </c>
      <c r="T678" s="398"/>
      <c r="U678" s="1054">
        <v>5.0</v>
      </c>
      <c r="V678" s="198" t="str">
        <f t="shared" si="36"/>
        <v>10.1073--pnas.2402315121.pdf</v>
      </c>
      <c r="W678" s="398"/>
      <c r="X678" s="54" t="str">
        <f t="array" ref="X678"> if(iserror(MATCH(V678, 'File Links'!C:C, 0)), "N/A", HYPERLINK(INDEX('File Links'!B:B, MATCH(V678, 'File Links'!C:C, 0))))</f>
        <v>https://drive.google.com/file/d/1Mxrn43qE4Nlk4SUVbyTVjT4uEEPF5pZu/view?usp=drivesdk</v>
      </c>
      <c r="Y678" s="398"/>
      <c r="Z678" s="407" t="s">
        <v>148</v>
      </c>
      <c r="AA678" s="407" t="s">
        <v>3557</v>
      </c>
      <c r="AB678" s="407" t="s">
        <v>3558</v>
      </c>
      <c r="AC678" s="407" t="s">
        <v>3640</v>
      </c>
      <c r="AD678" s="407" t="s">
        <v>3641</v>
      </c>
      <c r="AE678" s="407" t="s">
        <v>140</v>
      </c>
      <c r="AF678" s="728">
        <v>240.0</v>
      </c>
      <c r="AG678" s="648" t="s">
        <v>3599</v>
      </c>
      <c r="AH678" s="99" t="s">
        <v>134</v>
      </c>
      <c r="AI678" s="399" t="s">
        <v>613</v>
      </c>
      <c r="AJ678" s="399" t="s">
        <v>522</v>
      </c>
      <c r="AK678" s="407" t="s">
        <v>172</v>
      </c>
      <c r="AL678" s="399" t="s">
        <v>186</v>
      </c>
      <c r="AM678" s="398" t="s">
        <v>137</v>
      </c>
      <c r="AN678" s="409" t="s">
        <v>3565</v>
      </c>
      <c r="AO678" s="1053">
        <v>879.0</v>
      </c>
      <c r="AP678" s="646" t="s">
        <v>3646</v>
      </c>
      <c r="AQ678" s="407" t="s">
        <v>215</v>
      </c>
      <c r="AR678" s="407" t="s">
        <v>2413</v>
      </c>
      <c r="AS678" s="407" t="s">
        <v>3628</v>
      </c>
      <c r="AT678" s="407" t="s">
        <v>172</v>
      </c>
      <c r="AU678" s="407" t="s">
        <v>186</v>
      </c>
      <c r="AV678" s="398" t="s">
        <v>137</v>
      </c>
      <c r="AW678" s="409" t="s">
        <v>3647</v>
      </c>
      <c r="AX678" s="410" t="s">
        <v>151</v>
      </c>
      <c r="AY678" s="61" t="str">
        <f>IFERROR(__xludf.DUMMYFUNCTION("vlookup(BB678,importrange(""https://docs.google.com/spreadsheets/d/1d2vevQ_7D_v35q4wCQ4RpQ_IPoTwEMB9Yp6ymwlPqew/edit?gid=984458430#gid=984458430"", ""'replication success'!A:K""), 11, FAlSE)"),"failed")</f>
        <v>failed</v>
      </c>
      <c r="AZ678" s="61" t="str">
        <f>IFERROR(__xludf.DUMMYFUNCTION("vlookup(BB678,importrange(""https://docs.google.com/spreadsheets/d/1d2vevQ_7D_v35q4wCQ4RpQ_IPoTwEMB9Yp6ymwlPqew/edit?gid=984458430#gid=984458430"", ""'replication success'!A:M""), 12, FAlSE)"),"Fig. 1 shows that our replications produced weaker results
than those reported in the original studies. In our replications,
the effect of God salience on AI reliance is not statistically
different from zero (Studies 1, 2a, 2b, 3, and 5 produced effect
si"&amp;"zes, measured by r, of 0.03, 0.02, 0.03, 0.002, and 0.01,
respectively—in contrast to the original effect sizes reported
for each of the respective studies of 0.19, 0.15, 0.14, 0.11, and
0.19)....Although the majority of our replications produced results "&amp;"directionally
consistent with those of Karataş and Cutright, our results
imply that if the effect exists, it is so small that the original
studies lacked the power to detect it.")</f>
        <v>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v>
      </c>
      <c r="BA678" s="61" t="str">
        <f>IFERROR(__xludf.DUMMYFUNCTION("vlookup(BB678,importrange(""https://docs.google.com/spreadsheets/d/1d2vevQ_7D_v35q4wCQ4RpQ_IPoTwEMB9Yp6ymwlPqew/edit?gid=984458430#gid=984458430"", ""'replication success'!A:M""), 13, FAlSE)"),"abstract")</f>
        <v>abstract</v>
      </c>
      <c r="BB678" s="61" t="str">
        <f>IFERROR(__xludf.DUMMYFUNCTION("REGEXREPLACE(G678, ""_[a-z]{1,2}$"", """")"),"additional_studies99")</f>
        <v>additional_studies99</v>
      </c>
      <c r="BC678" s="68"/>
      <c r="BD678" s="62" t="s">
        <v>144</v>
      </c>
      <c r="BE678" s="71"/>
    </row>
    <row r="679" ht="20.25" customHeight="1">
      <c r="A679" s="44">
        <v>679.0</v>
      </c>
      <c r="B679" s="68" t="s">
        <v>114</v>
      </c>
      <c r="C679" s="62" t="s">
        <v>115</v>
      </c>
      <c r="D679" s="62" t="s">
        <v>248</v>
      </c>
      <c r="F679" s="159" t="s">
        <v>3648</v>
      </c>
      <c r="G679" s="57" t="s">
        <v>3649</v>
      </c>
      <c r="H679" s="159" t="s">
        <v>249</v>
      </c>
      <c r="I679" s="152">
        <v>45663.0</v>
      </c>
      <c r="J679" s="152">
        <v>45692.0</v>
      </c>
      <c r="K679" s="437" t="s">
        <v>3650</v>
      </c>
      <c r="L679" s="68"/>
      <c r="M679" s="159" t="s">
        <v>3651</v>
      </c>
      <c r="N679" s="159" t="s">
        <v>3652</v>
      </c>
      <c r="O679" s="68"/>
      <c r="P679" s="159" t="str">
        <f t="shared" ref="P679:P922" si="37">SUBSTITUTE(LOWER(N679), "/", "--") &amp;  ".pdf"</f>
        <v>10.1016--j.cub.2004.01.029.pdf</v>
      </c>
      <c r="Q679" s="52" t="str">
        <f t="array" ref="Q679"> if(iserror(MATCH(V679, 'File Links'!C:C, 0)), "N/A", HYPERLINK(INDEX('File Links'!B:B, MATCH(P679, 'File Links'!C:C, 0))))</f>
        <v>https://drive.google.com/file/d/1oLyXVFY64dU4qE6_b-iVXYa7asikLA1e/view?usp=drivesdk</v>
      </c>
      <c r="R679" s="159" t="s">
        <v>3653</v>
      </c>
      <c r="S679" s="159" t="s">
        <v>3654</v>
      </c>
      <c r="T679" s="68"/>
      <c r="U679" s="156">
        <v>1.0</v>
      </c>
      <c r="V679" s="198" t="str">
        <f t="shared" si="36"/>
        <v>10.1098--rsos.231240.pdf</v>
      </c>
      <c r="W679" s="159" t="s">
        <v>324</v>
      </c>
      <c r="X679" s="54" t="str">
        <f t="array" ref="X679"> if(iserror(MATCH(V679, 'File Links'!C:C, 0)), "N/A", HYPERLINK(INDEX('File Links'!B:B, MATCH(V679, 'File Links'!C:C, 0))))</f>
        <v>https://drive.google.com/file/d/17gaf2Zy_ljFfcAEDk5L8GBnTl5i7RGJE/view?usp=drivesdk</v>
      </c>
      <c r="Y679" s="68"/>
      <c r="Z679" s="159" t="s">
        <v>148</v>
      </c>
      <c r="AA679" s="68"/>
      <c r="AB679" s="68"/>
      <c r="AC679" s="68"/>
      <c r="AD679" s="159" t="s">
        <v>3655</v>
      </c>
      <c r="AE679" s="156">
        <v>261.0</v>
      </c>
      <c r="AF679" s="156">
        <v>5.0</v>
      </c>
      <c r="AG679" s="159" t="s">
        <v>138</v>
      </c>
      <c r="AH679" s="167" t="s">
        <v>138</v>
      </c>
      <c r="AI679" s="159" t="s">
        <v>138</v>
      </c>
      <c r="AJ679" s="709">
        <v>0.01</v>
      </c>
      <c r="AK679" s="57" t="s">
        <v>135</v>
      </c>
      <c r="AL679" s="57" t="s">
        <v>218</v>
      </c>
      <c r="AM679" s="159" t="s">
        <v>141</v>
      </c>
      <c r="AN679" s="219" t="s">
        <v>138</v>
      </c>
      <c r="AO679" s="156">
        <v>3.0</v>
      </c>
      <c r="AP679" s="159" t="s">
        <v>138</v>
      </c>
      <c r="AQ679" s="68"/>
      <c r="AR679" s="68"/>
      <c r="AS679" s="159" t="s">
        <v>138</v>
      </c>
      <c r="AT679" s="68"/>
      <c r="AU679" s="159" t="s">
        <v>186</v>
      </c>
      <c r="AV679" s="159" t="s">
        <v>1905</v>
      </c>
      <c r="AW679" s="68"/>
      <c r="AX679" s="159" t="s">
        <v>143</v>
      </c>
      <c r="AY679" s="61" t="str">
        <f>IFERROR(__xludf.DUMMYFUNCTION("vlookup(BB679,importrange(""https://docs.google.com/spreadsheets/d/1d2vevQ_7D_v35q4wCQ4RpQ_IPoTwEMB9Yp6ymwlPqew/edit?gid=984458430#gid=984458430"", ""'replication success'!A:K""), 11, FAlSE)"),"#N/A")</f>
        <v>#N/A</v>
      </c>
      <c r="AZ679" s="61" t="str">
        <f>IFERROR(__xludf.DUMMYFUNCTION("vlookup(BB679,importrange(""https://docs.google.com/spreadsheets/d/1d2vevQ_7D_v35q4wCQ4RpQ_IPoTwEMB9Yp6ymwlPqew/edit?gid=984458430#gid=984458430"", ""'replication success'!A:M""), 12, FAlSE)"),"#N/A")</f>
        <v>#N/A</v>
      </c>
      <c r="BA679" s="61" t="str">
        <f>IFERROR(__xludf.DUMMYFUNCTION("vlookup(BB679,importrange(""https://docs.google.com/spreadsheets/d/1d2vevQ_7D_v35q4wCQ4RpQ_IPoTwEMB9Yp6ymwlPqew/edit?gid=984458430#gid=984458430"", ""'replication success'!A:M""), 13, FAlSE)"),"#N/A")</f>
        <v>#N/A</v>
      </c>
      <c r="BB679" s="61" t="str">
        <f>IFERROR(__xludf.DUMMYFUNCTION("REGEXREPLACE(G679, ""_[a-z]{1,2}$"", """")"),"Boyce_etal20231_1")</f>
        <v>Boyce_etal20231_1</v>
      </c>
      <c r="BD679" s="68" t="s">
        <v>153</v>
      </c>
      <c r="BE679" s="71"/>
    </row>
    <row r="680" ht="20.25" customHeight="1">
      <c r="A680" s="44">
        <v>680.0</v>
      </c>
      <c r="B680" s="129" t="s">
        <v>114</v>
      </c>
      <c r="C680" s="62" t="s">
        <v>115</v>
      </c>
      <c r="D680" s="62" t="s">
        <v>153</v>
      </c>
      <c r="F680" s="68" t="s">
        <v>3649</v>
      </c>
      <c r="G680" s="57" t="s">
        <v>3648</v>
      </c>
      <c r="H680" s="159" t="s">
        <v>153</v>
      </c>
      <c r="I680" s="152">
        <v>45687.0</v>
      </c>
      <c r="J680" s="152">
        <v>45692.0</v>
      </c>
      <c r="K680" s="1055" t="s">
        <v>3656</v>
      </c>
      <c r="L680" s="159" t="s">
        <v>3657</v>
      </c>
      <c r="M680" s="159" t="s">
        <v>3651</v>
      </c>
      <c r="N680" s="159" t="s">
        <v>3652</v>
      </c>
      <c r="O680" s="156">
        <v>1.0</v>
      </c>
      <c r="P680" s="606" t="str">
        <f t="shared" si="37"/>
        <v>10.1016--j.cub.2004.01.029.pdf</v>
      </c>
      <c r="Q680" s="52" t="str">
        <f t="array" ref="Q680"> if(iserror(MATCH(V680, 'File Links'!C:C, 0)), "N/A", HYPERLINK(INDEX('File Links'!B:B, MATCH(P680, 'File Links'!C:C, 0))))</f>
        <v>https://drive.google.com/file/d/1oLyXVFY64dU4qE6_b-iVXYa7asikLA1e/view?usp=drivesdk</v>
      </c>
      <c r="R680" s="159" t="s">
        <v>3653</v>
      </c>
      <c r="S680" s="159" t="s">
        <v>3654</v>
      </c>
      <c r="T680" s="68"/>
      <c r="U680" s="156">
        <v>1.0</v>
      </c>
      <c r="V680" s="382" t="s">
        <v>3658</v>
      </c>
      <c r="W680" s="159"/>
      <c r="X680" s="54" t="str">
        <f t="array" ref="X680"> if(iserror(MATCH(V680, 'File Links'!C:C, 0)), "N/A", HYPERLINK(INDEX('File Links'!B:B, MATCH(V680, 'File Links'!C:C, 0))))</f>
        <v>https://drive.google.com/file/d/17gaf2Zy_ljFfcAEDk5L8GBnTl5i7RGJE/view?usp=drivesdk</v>
      </c>
      <c r="Y680" s="159" t="s">
        <v>3659</v>
      </c>
      <c r="Z680" s="68"/>
      <c r="AA680" s="68"/>
      <c r="AB680" s="68"/>
      <c r="AC680" s="68"/>
      <c r="AD680" s="68"/>
      <c r="AE680" s="68"/>
      <c r="AF680" s="68"/>
      <c r="AG680" s="68"/>
      <c r="AH680" s="68"/>
      <c r="AI680" s="68"/>
      <c r="AJ680" s="338"/>
      <c r="AK680" s="61"/>
      <c r="AL680" s="61"/>
      <c r="AM680" s="68"/>
      <c r="AN680" s="219" t="s">
        <v>138</v>
      </c>
      <c r="AO680" s="68"/>
      <c r="AP680" s="68"/>
      <c r="AQ680" s="68"/>
      <c r="AR680" s="68"/>
      <c r="AS680" s="68"/>
      <c r="AT680" s="68"/>
      <c r="AU680" s="68"/>
      <c r="AV680" s="68"/>
      <c r="AW680" s="68"/>
      <c r="AX680" s="68"/>
      <c r="AY680" s="61" t="str">
        <f>IFERROR(__xludf.DUMMYFUNCTION("vlookup(BB680,importrange(""https://docs.google.com/spreadsheets/d/1d2vevQ_7D_v35q4wCQ4RpQ_IPoTwEMB9Yp6ymwlPqew/edit?gid=984458430#gid=984458430"", ""'replication success'!A:K""), 11, FAlSE)"),"#N/A")</f>
        <v>#N/A</v>
      </c>
      <c r="AZ680" s="61" t="str">
        <f>IFERROR(__xludf.DUMMYFUNCTION("vlookup(BB680,importrange(""https://docs.google.com/spreadsheets/d/1d2vevQ_7D_v35q4wCQ4RpQ_IPoTwEMB9Yp6ymwlPqew/edit?gid=984458430#gid=984458430"", ""'replication success'!A:M""), 12, FAlSE)"),"#N/A")</f>
        <v>#N/A</v>
      </c>
      <c r="BA680" s="61" t="str">
        <f>IFERROR(__xludf.DUMMYFUNCTION("vlookup(BB680,importrange(""https://docs.google.com/spreadsheets/d/1d2vevQ_7D_v35q4wCQ4RpQ_IPoTwEMB9Yp6ymwlPqew/edit?gid=984458430#gid=984458430"", ""'replication success'!A:M""), 13, FAlSE)"),"#N/A")</f>
        <v>#N/A</v>
      </c>
      <c r="BB680" s="61" t="str">
        <f>IFERROR(__xludf.DUMMYFUNCTION("REGEXREPLACE(G680, ""_[a-z]{1,2}$"", """")"),"Boyce_etal20231")</f>
        <v>Boyce_etal20231</v>
      </c>
      <c r="BC680" s="62" t="s">
        <v>3660</v>
      </c>
      <c r="BD680" s="68" t="s">
        <v>153</v>
      </c>
      <c r="BE680" s="226"/>
    </row>
    <row r="681" ht="20.25" customHeight="1">
      <c r="A681" s="44">
        <v>681.0</v>
      </c>
      <c r="B681" s="68" t="s">
        <v>114</v>
      </c>
      <c r="C681" s="62" t="s">
        <v>115</v>
      </c>
      <c r="D681" s="62" t="s">
        <v>248</v>
      </c>
      <c r="F681" s="159" t="s">
        <v>3661</v>
      </c>
      <c r="G681" s="57" t="s">
        <v>3662</v>
      </c>
      <c r="H681" s="159" t="s">
        <v>249</v>
      </c>
      <c r="I681" s="152">
        <v>45663.0</v>
      </c>
      <c r="J681" s="152">
        <v>45692.0</v>
      </c>
      <c r="K681" s="68"/>
      <c r="L681" s="68"/>
      <c r="M681" s="159" t="s">
        <v>3663</v>
      </c>
      <c r="N681" s="159" t="s">
        <v>3664</v>
      </c>
      <c r="O681" s="68"/>
      <c r="P681" s="606" t="str">
        <f t="shared" si="37"/>
        <v>10.1016--j.neuroimage.2006.11.048.pdf</v>
      </c>
      <c r="Q681" s="52" t="str">
        <f t="array" ref="Q681"> if(iserror(MATCH(V681, 'File Links'!C:C, 0)), "N/A", HYPERLINK(INDEX('File Links'!B:B, MATCH(P681, 'File Links'!C:C, 0))))</f>
        <v>https://drive.google.com/file/d/1M2npXIoOra27xHNDnCsNwFJwuHLFn-QY/view?usp=drivesdk</v>
      </c>
      <c r="R681" s="159" t="s">
        <v>3653</v>
      </c>
      <c r="S681" s="159" t="s">
        <v>3654</v>
      </c>
      <c r="T681" s="68"/>
      <c r="U681" s="156">
        <v>1.0</v>
      </c>
      <c r="V681" s="198" t="str">
        <f t="shared" ref="V681:V683" si="38"> hyperlink(vlookup(lower(S681),#REF!, 2, FALSE), SUBSTITUTE(lower(S681), "/", "--") &amp;  ".pdf")</f>
        <v>10.1098--rsos.231240.pdf</v>
      </c>
      <c r="W681" s="159" t="s">
        <v>3665</v>
      </c>
      <c r="X681" s="54" t="str">
        <f t="array" ref="X681"> if(iserror(MATCH(V681, 'File Links'!C:C, 0)), "N/A", HYPERLINK(INDEX('File Links'!B:B, MATCH(V681, 'File Links'!C:C, 0))))</f>
        <v>https://drive.google.com/file/d/17gaf2Zy_ljFfcAEDk5L8GBnTl5i7RGJE/view?usp=drivesdk</v>
      </c>
      <c r="Y681" s="68"/>
      <c r="Z681" s="159" t="s">
        <v>148</v>
      </c>
      <c r="AA681" s="68"/>
      <c r="AB681" s="68"/>
      <c r="AC681" s="68"/>
      <c r="AD681" s="159" t="s">
        <v>3666</v>
      </c>
      <c r="AE681" s="156">
        <v>534.0</v>
      </c>
      <c r="AF681" s="156">
        <v>22.0</v>
      </c>
      <c r="AG681" s="1056" t="s">
        <v>3667</v>
      </c>
      <c r="AH681" s="151" t="s">
        <v>134</v>
      </c>
      <c r="AI681" s="159" t="s">
        <v>3668</v>
      </c>
      <c r="AJ681" s="709">
        <v>0.001</v>
      </c>
      <c r="AK681" s="57" t="s">
        <v>135</v>
      </c>
      <c r="AL681" s="57" t="s">
        <v>186</v>
      </c>
      <c r="AM681" s="159" t="s">
        <v>141</v>
      </c>
      <c r="AN681" s="1057" t="s">
        <v>138</v>
      </c>
      <c r="AO681" s="156">
        <v>40.0</v>
      </c>
      <c r="AP681" s="496">
        <v>3.49</v>
      </c>
      <c r="AQ681" s="159" t="s">
        <v>1031</v>
      </c>
      <c r="AR681" s="68"/>
      <c r="AS681" s="156">
        <v>0.0618253867610742</v>
      </c>
      <c r="AT681" s="159" t="s">
        <v>172</v>
      </c>
      <c r="AU681" s="159" t="s">
        <v>186</v>
      </c>
      <c r="AV681" s="159" t="s">
        <v>141</v>
      </c>
      <c r="AW681" s="68"/>
      <c r="AX681" s="159" t="s">
        <v>143</v>
      </c>
      <c r="AY681" s="61" t="str">
        <f>IFERROR(__xludf.DUMMYFUNCTION("vlookup(BB681,importrange(""https://docs.google.com/spreadsheets/d/1d2vevQ_7D_v35q4wCQ4RpQ_IPoTwEMB9Yp6ymwlPqew/edit?gid=984458430#gid=984458430"", ""'replication success'!A:K""), 11, FAlSE)"),"#N/A")</f>
        <v>#N/A</v>
      </c>
      <c r="AZ681" s="61" t="str">
        <f>IFERROR(__xludf.DUMMYFUNCTION("vlookup(BB681,importrange(""https://docs.google.com/spreadsheets/d/1d2vevQ_7D_v35q4wCQ4RpQ_IPoTwEMB9Yp6ymwlPqew/edit?gid=984458430#gid=984458430"", ""'replication success'!A:M""), 12, FAlSE)"),"#N/A")</f>
        <v>#N/A</v>
      </c>
      <c r="BA681" s="61" t="str">
        <f>IFERROR(__xludf.DUMMYFUNCTION("vlookup(BB681,importrange(""https://docs.google.com/spreadsheets/d/1d2vevQ_7D_v35q4wCQ4RpQ_IPoTwEMB9Yp6ymwlPqew/edit?gid=984458430#gid=984458430"", ""'replication success'!A:M""), 13, FAlSE)"),"#N/A")</f>
        <v>#N/A</v>
      </c>
      <c r="BB681" s="61" t="str">
        <f>IFERROR(__xludf.DUMMYFUNCTION("REGEXREPLACE(G681, ""_[a-z]{1,2}$"", """")"),"Boyce_etal202310_1")</f>
        <v>Boyce_etal202310_1</v>
      </c>
      <c r="BD681" s="68" t="s">
        <v>153</v>
      </c>
      <c r="BE681" s="812"/>
    </row>
    <row r="682" ht="20.25" customHeight="1">
      <c r="A682" s="44">
        <v>682.0</v>
      </c>
      <c r="B682" s="129" t="s">
        <v>152</v>
      </c>
      <c r="C682" s="62" t="s">
        <v>115</v>
      </c>
      <c r="D682" s="62" t="s">
        <v>153</v>
      </c>
      <c r="F682" s="68" t="s">
        <v>3662</v>
      </c>
      <c r="G682" s="57" t="s">
        <v>3661</v>
      </c>
      <c r="H682" s="159" t="s">
        <v>153</v>
      </c>
      <c r="I682" s="152">
        <v>45687.0</v>
      </c>
      <c r="J682" s="152">
        <v>45692.0</v>
      </c>
      <c r="K682" s="439" t="s">
        <v>3669</v>
      </c>
      <c r="L682" s="129" t="s">
        <v>3670</v>
      </c>
      <c r="M682" s="159" t="s">
        <v>3663</v>
      </c>
      <c r="N682" s="159" t="s">
        <v>3664</v>
      </c>
      <c r="O682" s="156">
        <v>1.0</v>
      </c>
      <c r="P682" s="606" t="str">
        <f t="shared" si="37"/>
        <v>10.1016--j.neuroimage.2006.11.048.pdf</v>
      </c>
      <c r="Q682" s="52" t="str">
        <f t="array" ref="Q682"> if(iserror(MATCH(V682, 'File Links'!C:C, 0)), "N/A", HYPERLINK(INDEX('File Links'!B:B, MATCH(P682, 'File Links'!C:C, 0))))</f>
        <v>https://drive.google.com/file/d/1M2npXIoOra27xHNDnCsNwFJwuHLFn-QY/view?usp=drivesdk</v>
      </c>
      <c r="R682" s="159" t="s">
        <v>3653</v>
      </c>
      <c r="S682" s="159" t="s">
        <v>3654</v>
      </c>
      <c r="T682" s="68"/>
      <c r="U682" s="156">
        <v>1.0</v>
      </c>
      <c r="V682" s="198" t="str">
        <f t="shared" si="38"/>
        <v>10.1098--rsos.231240.pdf</v>
      </c>
      <c r="W682" s="159" t="s">
        <v>3671</v>
      </c>
      <c r="X682" s="54" t="str">
        <f t="array" ref="X682"> if(iserror(MATCH(V682, 'File Links'!C:C, 0)), "N/A", HYPERLINK(INDEX('File Links'!B:B, MATCH(V682, 'File Links'!C:C, 0))))</f>
        <v>https://drive.google.com/file/d/17gaf2Zy_ljFfcAEDk5L8GBnTl5i7RGJE/view?usp=drivesdk</v>
      </c>
      <c r="Y682" s="68"/>
      <c r="Z682" s="159" t="s">
        <v>148</v>
      </c>
      <c r="AA682" s="159" t="s">
        <v>3672</v>
      </c>
      <c r="AB682" s="159" t="s">
        <v>3673</v>
      </c>
      <c r="AC682" s="159" t="s">
        <v>3674</v>
      </c>
      <c r="AD682" s="159" t="s">
        <v>3675</v>
      </c>
      <c r="AE682" s="336">
        <v>5.0</v>
      </c>
      <c r="AF682" s="156">
        <v>22.0</v>
      </c>
      <c r="AG682" s="161">
        <v>1.523</v>
      </c>
      <c r="AH682" s="161" t="s">
        <v>173</v>
      </c>
      <c r="AI682" s="161" t="s">
        <v>3676</v>
      </c>
      <c r="AJ682" s="709">
        <v>0.001</v>
      </c>
      <c r="AK682" s="57" t="s">
        <v>135</v>
      </c>
      <c r="AL682" s="57" t="s">
        <v>186</v>
      </c>
      <c r="AM682" s="159" t="s">
        <v>141</v>
      </c>
      <c r="AN682" s="1058" t="s">
        <v>138</v>
      </c>
      <c r="AO682" s="156">
        <v>40.0</v>
      </c>
      <c r="AP682" s="161" t="s">
        <v>3677</v>
      </c>
      <c r="AQ682" s="161" t="s">
        <v>134</v>
      </c>
      <c r="AR682" s="441" t="s">
        <v>3678</v>
      </c>
      <c r="AS682" s="156"/>
      <c r="AT682" s="151" t="s">
        <v>138</v>
      </c>
      <c r="AU682" s="159" t="s">
        <v>186</v>
      </c>
      <c r="AV682" s="159" t="s">
        <v>141</v>
      </c>
      <c r="AW682" s="68"/>
      <c r="AX682" s="68" t="s">
        <v>143</v>
      </c>
      <c r="AY682" s="61" t="str">
        <f>IFERROR(__xludf.DUMMYFUNCTION("vlookup(BB682,importrange(""https://docs.google.com/spreadsheets/d/1d2vevQ_7D_v35q4wCQ4RpQ_IPoTwEMB9Yp6ymwlPqew/edit?gid=984458430#gid=984458430"", ""'replication success'!A:K""), 11, FAlSE)"),"failed")</f>
        <v>failed</v>
      </c>
      <c r="AZ682" s="61" t="str">
        <f>IFERROR(__xludf.DUMMYFUNCTION("vlookup(BB682,importrange(""https://docs.google.com/spreadsheets/d/1d2vevQ_7D_v35q4wCQ4RpQ_IPoTwEMB9Yp6ymwlPqew/edit?gid=984458430#gid=984458430"",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682" s="61" t="str">
        <f>IFERROR(__xludf.DUMMYFUNCTION("vlookup(BB682,importrange(""https://docs.google.com/spreadsheets/d/1d2vevQ_7D_v35q4wCQ4RpQ_IPoTwEMB9Yp6ymwlPqew/edit?gid=984458430#gid=984458430"",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v>
      </c>
      <c r="BB682" s="61" t="str">
        <f>IFERROR(__xludf.DUMMYFUNCTION("REGEXREPLACE(G682, ""_[a-z]{1,2}$"", """")"),"Boyce_etal202310")</f>
        <v>Boyce_etal202310</v>
      </c>
      <c r="BC682" s="62" t="s">
        <v>3679</v>
      </c>
      <c r="BD682" s="129" t="s">
        <v>3680</v>
      </c>
      <c r="BE682" s="226"/>
    </row>
    <row r="683" ht="20.25" customHeight="1">
      <c r="A683" s="44">
        <v>683.0</v>
      </c>
      <c r="B683" s="68" t="s">
        <v>114</v>
      </c>
      <c r="C683" s="62" t="s">
        <v>115</v>
      </c>
      <c r="D683" s="62" t="s">
        <v>248</v>
      </c>
      <c r="F683" s="159" t="s">
        <v>3681</v>
      </c>
      <c r="G683" s="57" t="s">
        <v>3682</v>
      </c>
      <c r="H683" s="159" t="s">
        <v>249</v>
      </c>
      <c r="I683" s="152">
        <v>45669.0</v>
      </c>
      <c r="J683" s="152">
        <v>45692.0</v>
      </c>
      <c r="K683" s="437" t="s">
        <v>3683</v>
      </c>
      <c r="L683" s="68"/>
      <c r="M683" s="159" t="s">
        <v>3684</v>
      </c>
      <c r="N683" s="159" t="s">
        <v>3685</v>
      </c>
      <c r="O683" s="68"/>
      <c r="P683" s="606" t="str">
        <f t="shared" si="37"/>
        <v>10.1038--nature03390.pdf</v>
      </c>
      <c r="Q683" s="52" t="str">
        <f t="array" ref="Q683"> if(iserror(MATCH(V683, 'File Links'!C:C, 0)), "N/A", HYPERLINK(INDEX('File Links'!B:B, MATCH(P683, 'File Links'!C:C, 0))))</f>
        <v>https://drive.google.com/file/d/1SrRdwzLZMo2zK6deXcTRyDZ9oh1TesUR/view?usp=drivesdk</v>
      </c>
      <c r="R683" s="159" t="s">
        <v>3653</v>
      </c>
      <c r="S683" s="159" t="s">
        <v>3654</v>
      </c>
      <c r="T683" s="68"/>
      <c r="U683" s="156">
        <v>1.0</v>
      </c>
      <c r="V683" s="198" t="str">
        <f t="shared" si="38"/>
        <v>10.1098--rsos.231240.pdf</v>
      </c>
      <c r="W683" s="159" t="s">
        <v>324</v>
      </c>
      <c r="X683" s="54" t="str">
        <f t="array" ref="X683"> if(iserror(MATCH(V683, 'File Links'!C:C, 0)), "N/A", HYPERLINK(INDEX('File Links'!B:B, MATCH(V683, 'File Links'!C:C, 0))))</f>
        <v>https://drive.google.com/file/d/17gaf2Zy_ljFfcAEDk5L8GBnTl5i7RGJE/view?usp=drivesdk</v>
      </c>
      <c r="Y683" s="68"/>
      <c r="Z683" s="159" t="s">
        <v>148</v>
      </c>
      <c r="AA683" s="68"/>
      <c r="AB683" s="68"/>
      <c r="AC683" s="68"/>
      <c r="AD683" s="159" t="s">
        <v>138</v>
      </c>
      <c r="AE683" s="159" t="s">
        <v>138</v>
      </c>
      <c r="AF683" s="159" t="s">
        <v>138</v>
      </c>
      <c r="AG683" s="159" t="s">
        <v>138</v>
      </c>
      <c r="AH683" s="167" t="s">
        <v>138</v>
      </c>
      <c r="AI683" s="159" t="s">
        <v>138</v>
      </c>
      <c r="AJ683" s="338"/>
      <c r="AK683" s="61"/>
      <c r="AL683" s="57" t="s">
        <v>186</v>
      </c>
      <c r="AM683" s="159" t="s">
        <v>1905</v>
      </c>
      <c r="AN683" s="1057" t="s">
        <v>138</v>
      </c>
      <c r="AO683" s="156">
        <v>2.0</v>
      </c>
      <c r="AP683" s="159" t="s">
        <v>138</v>
      </c>
      <c r="AQ683" s="68"/>
      <c r="AR683" s="68"/>
      <c r="AS683" s="159" t="s">
        <v>138</v>
      </c>
      <c r="AT683" s="68"/>
      <c r="AU683" s="68"/>
      <c r="AV683" s="159" t="s">
        <v>1905</v>
      </c>
      <c r="AW683" s="68"/>
      <c r="AX683" s="159" t="s">
        <v>143</v>
      </c>
      <c r="AY683" s="61" t="str">
        <f>IFERROR(__xludf.DUMMYFUNCTION("vlookup(BB683,importrange(""https://docs.google.com/spreadsheets/d/1d2vevQ_7D_v35q4wCQ4RpQ_IPoTwEMB9Yp6ymwlPqew/edit?gid=984458430#gid=984458430"", ""'replication success'!A:K""), 11, FAlSE)"),"#N/A")</f>
        <v>#N/A</v>
      </c>
      <c r="AZ683" s="61" t="str">
        <f>IFERROR(__xludf.DUMMYFUNCTION("vlookup(BB683,importrange(""https://docs.google.com/spreadsheets/d/1d2vevQ_7D_v35q4wCQ4RpQ_IPoTwEMB9Yp6ymwlPqew/edit?gid=984458430#gid=984458430"", ""'replication success'!A:M""), 12, FAlSE)"),"#N/A")</f>
        <v>#N/A</v>
      </c>
      <c r="BA683" s="61" t="str">
        <f>IFERROR(__xludf.DUMMYFUNCTION("vlookup(BB683,importrange(""https://docs.google.com/spreadsheets/d/1d2vevQ_7D_v35q4wCQ4RpQ_IPoTwEMB9Yp6ymwlPqew/edit?gid=984458430#gid=984458430"", ""'replication success'!A:M""), 13, FAlSE)"),"#N/A")</f>
        <v>#N/A</v>
      </c>
      <c r="BB683" s="61" t="str">
        <f>IFERROR(__xludf.DUMMYFUNCTION("REGEXREPLACE(G683, ""_[a-z]{1,2}$"", """")"),"Boyce_etal2023100_1")</f>
        <v>Boyce_etal2023100_1</v>
      </c>
      <c r="BD683" s="68" t="s">
        <v>153</v>
      </c>
      <c r="BE683" s="226"/>
    </row>
    <row r="684" ht="20.25" customHeight="1">
      <c r="A684" s="44">
        <v>684.0</v>
      </c>
      <c r="B684" s="129" t="s">
        <v>2013</v>
      </c>
      <c r="C684" s="62" t="s">
        <v>115</v>
      </c>
      <c r="D684" s="62" t="s">
        <v>153</v>
      </c>
      <c r="F684" s="68" t="s">
        <v>3682</v>
      </c>
      <c r="G684" s="57" t="s">
        <v>3681</v>
      </c>
      <c r="H684" s="159" t="s">
        <v>153</v>
      </c>
      <c r="I684" s="152">
        <v>45687.0</v>
      </c>
      <c r="J684" s="152">
        <v>45692.0</v>
      </c>
      <c r="K684" s="437" t="s">
        <v>3686</v>
      </c>
      <c r="L684" s="68"/>
      <c r="M684" s="159" t="s">
        <v>3684</v>
      </c>
      <c r="N684" s="159" t="s">
        <v>3685</v>
      </c>
      <c r="O684" s="156">
        <v>2.0</v>
      </c>
      <c r="P684" s="606" t="str">
        <f t="shared" si="37"/>
        <v>10.1038--nature03390.pdf</v>
      </c>
      <c r="Q684" s="52" t="str">
        <f t="array" ref="Q684"> if(iserror(MATCH(V684, 'File Links'!C:C, 0)), "N/A", HYPERLINK(INDEX('File Links'!B:B, MATCH(P684, 'File Links'!C:C, 0))))</f>
        <v>https://drive.google.com/file/d/1SrRdwzLZMo2zK6deXcTRyDZ9oh1TesUR/view?usp=drivesdk</v>
      </c>
      <c r="R684" s="159" t="s">
        <v>3653</v>
      </c>
      <c r="S684" s="159" t="s">
        <v>3654</v>
      </c>
      <c r="T684" s="68"/>
      <c r="U684" s="156">
        <v>1.0</v>
      </c>
      <c r="V684" s="382" t="s">
        <v>3658</v>
      </c>
      <c r="W684" s="68"/>
      <c r="X684" s="54" t="str">
        <f t="array" ref="X684"> if(iserror(MATCH(V684, 'File Links'!C:C, 0)), "N/A", HYPERLINK(INDEX('File Links'!B:B, MATCH(V684, 'File Links'!C:C, 0))))</f>
        <v>https://drive.google.com/file/d/17gaf2Zy_ljFfcAEDk5L8GBnTl5i7RGJE/view?usp=drivesdk</v>
      </c>
      <c r="Y684" s="159" t="s">
        <v>3687</v>
      </c>
      <c r="Z684" s="68"/>
      <c r="AA684" s="68"/>
      <c r="AB684" s="68"/>
      <c r="AC684" s="68"/>
      <c r="AD684" s="68"/>
      <c r="AE684" s="68"/>
      <c r="AF684" s="68"/>
      <c r="AG684" s="68"/>
      <c r="AH684" s="68"/>
      <c r="AI684" s="68"/>
      <c r="AJ684" s="338"/>
      <c r="AK684" s="61"/>
      <c r="AL684" s="61"/>
      <c r="AM684" s="68"/>
      <c r="AN684" s="1057" t="s">
        <v>138</v>
      </c>
      <c r="AO684" s="68"/>
      <c r="AP684" s="68"/>
      <c r="AQ684" s="68"/>
      <c r="AR684" s="68"/>
      <c r="AS684" s="68"/>
      <c r="AT684" s="68"/>
      <c r="AU684" s="68"/>
      <c r="AV684" s="68"/>
      <c r="AW684" s="68"/>
      <c r="AX684" s="68"/>
      <c r="AY684" s="61" t="str">
        <f>IFERROR(__xludf.DUMMYFUNCTION("vlookup(BB684,importrange(""https://docs.google.com/spreadsheets/d/1d2vevQ_7D_v35q4wCQ4RpQ_IPoTwEMB9Yp6ymwlPqew/edit?gid=984458430#gid=984458430"", ""'replication success'!A:K""), 11, FAlSE)"),"#N/A")</f>
        <v>#N/A</v>
      </c>
      <c r="AZ684" s="61" t="str">
        <f>IFERROR(__xludf.DUMMYFUNCTION("vlookup(BB684,importrange(""https://docs.google.com/spreadsheets/d/1d2vevQ_7D_v35q4wCQ4RpQ_IPoTwEMB9Yp6ymwlPqew/edit?gid=984458430#gid=984458430"", ""'replication success'!A:M""), 12, FAlSE)"),"#N/A")</f>
        <v>#N/A</v>
      </c>
      <c r="BA684" s="61" t="str">
        <f>IFERROR(__xludf.DUMMYFUNCTION("vlookup(BB684,importrange(""https://docs.google.com/spreadsheets/d/1d2vevQ_7D_v35q4wCQ4RpQ_IPoTwEMB9Yp6ymwlPqew/edit?gid=984458430#gid=984458430"", ""'replication success'!A:M""), 13, FAlSE)"),"#N/A")</f>
        <v>#N/A</v>
      </c>
      <c r="BB684" s="61" t="str">
        <f>IFERROR(__xludf.DUMMYFUNCTION("REGEXREPLACE(G684, ""_[a-z]{1,2}$"", """")"),"Boyce_etal2023100")</f>
        <v>Boyce_etal2023100</v>
      </c>
      <c r="BD684" s="68" t="s">
        <v>153</v>
      </c>
    </row>
    <row r="685" ht="20.25" customHeight="1">
      <c r="A685" s="44">
        <v>685.0</v>
      </c>
      <c r="B685" s="68" t="s">
        <v>114</v>
      </c>
      <c r="C685" s="62" t="s">
        <v>115</v>
      </c>
      <c r="D685" s="62" t="s">
        <v>248</v>
      </c>
      <c r="F685" s="159" t="s">
        <v>3688</v>
      </c>
      <c r="G685" s="57" t="s">
        <v>3689</v>
      </c>
      <c r="H685" s="159" t="s">
        <v>249</v>
      </c>
      <c r="I685" s="152">
        <v>45669.0</v>
      </c>
      <c r="J685" s="152">
        <v>45692.0</v>
      </c>
      <c r="K685" s="68"/>
      <c r="L685" s="159" t="s">
        <v>3690</v>
      </c>
      <c r="M685" s="159" t="s">
        <v>3691</v>
      </c>
      <c r="N685" s="159" t="s">
        <v>3692</v>
      </c>
      <c r="O685" s="68"/>
      <c r="P685" s="606" t="str">
        <f t="shared" si="37"/>
        <v>10.1177--0093650215609676.pdf</v>
      </c>
      <c r="Q685" s="52" t="str">
        <f t="array" ref="Q685"> if(iserror(MATCH(V685, 'File Links'!C:C, 0)), "N/A", HYPERLINK(INDEX('File Links'!B:B, MATCH(P685, 'File Links'!C:C, 0))))</f>
        <v>https://drive.google.com/file/d/1XTFfWFGSOorXaSHUTepn_NywZP0WRrna/view?usp=drivesdk</v>
      </c>
      <c r="R685" s="159" t="s">
        <v>3653</v>
      </c>
      <c r="S685" s="159" t="s">
        <v>3654</v>
      </c>
      <c r="T685" s="68"/>
      <c r="U685" s="156">
        <v>1.0</v>
      </c>
      <c r="V685" s="198" t="str">
        <f t="shared" ref="V685:V700" si="39"> hyperlink(vlookup(lower(S685),#REF!, 2, FALSE), SUBSTITUTE(lower(S685), "/", "--") &amp;  ".pdf")</f>
        <v>10.1098--rsos.231240.pdf</v>
      </c>
      <c r="W685" s="159" t="s">
        <v>3693</v>
      </c>
      <c r="X685" s="54" t="str">
        <f t="array" ref="X685"> if(iserror(MATCH(V685, 'File Links'!C:C, 0)), "N/A", HYPERLINK(INDEX('File Links'!B:B, MATCH(V685, 'File Links'!C:C, 0))))</f>
        <v>https://drive.google.com/file/d/17gaf2Zy_ljFfcAEDk5L8GBnTl5i7RGJE/view?usp=drivesdk</v>
      </c>
      <c r="Y685" s="68"/>
      <c r="Z685" s="159" t="s">
        <v>226</v>
      </c>
      <c r="AA685" s="68"/>
      <c r="AB685" s="68"/>
      <c r="AC685" s="68"/>
      <c r="AD685" s="159" t="s">
        <v>3694</v>
      </c>
      <c r="AE685" s="1059">
        <v>12.0</v>
      </c>
      <c r="AF685" s="156">
        <v>208.0</v>
      </c>
      <c r="AG685" s="156">
        <v>0.44</v>
      </c>
      <c r="AH685" s="151" t="s">
        <v>361</v>
      </c>
      <c r="AI685" s="159" t="s">
        <v>2022</v>
      </c>
      <c r="AJ685" s="709">
        <v>0.001</v>
      </c>
      <c r="AK685" s="57" t="s">
        <v>135</v>
      </c>
      <c r="AL685" s="57" t="s">
        <v>136</v>
      </c>
      <c r="AM685" s="159" t="s">
        <v>141</v>
      </c>
      <c r="AN685" s="1057" t="s">
        <v>138</v>
      </c>
      <c r="AO685" s="156">
        <v>58.0</v>
      </c>
      <c r="AP685" s="156">
        <v>0.135010281081558</v>
      </c>
      <c r="AQ685" s="159" t="s">
        <v>173</v>
      </c>
      <c r="AR685" s="68"/>
      <c r="AS685" s="156">
        <v>0.312441601669666</v>
      </c>
      <c r="AT685" s="159" t="s">
        <v>172</v>
      </c>
      <c r="AU685" s="159" t="s">
        <v>186</v>
      </c>
      <c r="AV685" s="159" t="s">
        <v>141</v>
      </c>
      <c r="AW685" s="68"/>
      <c r="AX685" s="159" t="s">
        <v>151</v>
      </c>
      <c r="AY685" s="61" t="str">
        <f>IFERROR(__xludf.DUMMYFUNCTION("vlookup(BB685,importrange(""https://docs.google.com/spreadsheets/d/1d2vevQ_7D_v35q4wCQ4RpQ_IPoTwEMB9Yp6ymwlPqew/edit?gid=984458430#gid=984458430"", ""'replication success'!A:K""), 11, FAlSE)"),"#N/A")</f>
        <v>#N/A</v>
      </c>
      <c r="AZ685" s="61" t="str">
        <f>IFERROR(__xludf.DUMMYFUNCTION("vlookup(BB685,importrange(""https://docs.google.com/spreadsheets/d/1d2vevQ_7D_v35q4wCQ4RpQ_IPoTwEMB9Yp6ymwlPqew/edit?gid=984458430#gid=984458430"", ""'replication success'!A:M""), 12, FAlSE)"),"#N/A")</f>
        <v>#N/A</v>
      </c>
      <c r="BA685" s="61" t="str">
        <f>IFERROR(__xludf.DUMMYFUNCTION("vlookup(BB685,importrange(""https://docs.google.com/spreadsheets/d/1d2vevQ_7D_v35q4wCQ4RpQ_IPoTwEMB9Yp6ymwlPqew/edit?gid=984458430#gid=984458430"", ""'replication success'!A:M""), 13, FAlSE)"),"#N/A")</f>
        <v>#N/A</v>
      </c>
      <c r="BB685" s="61" t="str">
        <f>IFERROR(__xludf.DUMMYFUNCTION("REGEXREPLACE(G685, ""_[a-z]{1,2}$"", """")"),"Boyce_etal2023101_1")</f>
        <v>Boyce_etal2023101_1</v>
      </c>
      <c r="BD685" s="68" t="s">
        <v>153</v>
      </c>
      <c r="BE685" s="189"/>
    </row>
    <row r="686" ht="20.25" customHeight="1">
      <c r="A686" s="44">
        <v>686.0</v>
      </c>
      <c r="B686" s="129" t="s">
        <v>152</v>
      </c>
      <c r="C686" s="62" t="s">
        <v>115</v>
      </c>
      <c r="D686" s="62" t="s">
        <v>153</v>
      </c>
      <c r="F686" s="68" t="s">
        <v>3689</v>
      </c>
      <c r="G686" s="57" t="s">
        <v>3688</v>
      </c>
      <c r="H686" s="159" t="s">
        <v>153</v>
      </c>
      <c r="I686" s="152">
        <v>45687.0</v>
      </c>
      <c r="J686" s="152">
        <v>45692.0</v>
      </c>
      <c r="K686" s="437" t="s">
        <v>3695</v>
      </c>
      <c r="L686" s="68"/>
      <c r="M686" s="159" t="s">
        <v>3691</v>
      </c>
      <c r="N686" s="159" t="s">
        <v>3692</v>
      </c>
      <c r="O686" s="156">
        <v>1.0</v>
      </c>
      <c r="P686" s="606" t="str">
        <f t="shared" si="37"/>
        <v>10.1177--0093650215609676.pdf</v>
      </c>
      <c r="Q686" s="52" t="str">
        <f t="array" ref="Q686"> if(iserror(MATCH(V686, 'File Links'!C:C, 0)), "N/A", HYPERLINK(INDEX('File Links'!B:B, MATCH(P686, 'File Links'!C:C, 0))))</f>
        <v>https://drive.google.com/file/d/1XTFfWFGSOorXaSHUTepn_NywZP0WRrna/view?usp=drivesdk</v>
      </c>
      <c r="R686" s="159" t="s">
        <v>3653</v>
      </c>
      <c r="S686" s="159" t="s">
        <v>3654</v>
      </c>
      <c r="T686" s="68"/>
      <c r="U686" s="156">
        <v>1.0</v>
      </c>
      <c r="V686" s="198" t="str">
        <f t="shared" si="39"/>
        <v>10.1098--rsos.231240.pdf</v>
      </c>
      <c r="W686" s="159" t="s">
        <v>3696</v>
      </c>
      <c r="X686" s="54" t="str">
        <f t="array" ref="X686"> if(iserror(MATCH(V686, 'File Links'!C:C, 0)), "N/A", HYPERLINK(INDEX('File Links'!B:B, MATCH(V686, 'File Links'!C:C, 0))))</f>
        <v>https://drive.google.com/file/d/17gaf2Zy_ljFfcAEDk5L8GBnTl5i7RGJE/view?usp=drivesdk</v>
      </c>
      <c r="Y686" s="68"/>
      <c r="Z686" s="159" t="s">
        <v>226</v>
      </c>
      <c r="AA686" s="159" t="s">
        <v>3697</v>
      </c>
      <c r="AB686" s="159" t="s">
        <v>3698</v>
      </c>
      <c r="AC686" s="159" t="s">
        <v>3699</v>
      </c>
      <c r="AD686" s="159" t="s">
        <v>3700</v>
      </c>
      <c r="AE686" s="156" t="s">
        <v>3701</v>
      </c>
      <c r="AF686" s="156">
        <v>208.0</v>
      </c>
      <c r="AG686" s="156">
        <v>0.44</v>
      </c>
      <c r="AH686" s="758" t="s">
        <v>361</v>
      </c>
      <c r="AI686" s="156" t="s">
        <v>436</v>
      </c>
      <c r="AJ686" s="709">
        <v>0.001</v>
      </c>
      <c r="AK686" s="57" t="s">
        <v>135</v>
      </c>
      <c r="AL686" s="57" t="s">
        <v>136</v>
      </c>
      <c r="AM686" s="68" t="s">
        <v>141</v>
      </c>
      <c r="AN686" s="1057" t="s">
        <v>138</v>
      </c>
      <c r="AO686" s="156">
        <v>58.0</v>
      </c>
      <c r="AP686" s="156">
        <v>0.135010281081558</v>
      </c>
      <c r="AQ686" s="156" t="s">
        <v>173</v>
      </c>
      <c r="AR686" s="1058" t="s">
        <v>138</v>
      </c>
      <c r="AS686" s="156">
        <v>0.312441601669666</v>
      </c>
      <c r="AT686" s="159" t="s">
        <v>172</v>
      </c>
      <c r="AU686" s="159" t="s">
        <v>186</v>
      </c>
      <c r="AV686" s="68" t="s">
        <v>141</v>
      </c>
      <c r="AW686" s="1058" t="s">
        <v>138</v>
      </c>
      <c r="AX686" s="68" t="s">
        <v>151</v>
      </c>
      <c r="AY686" s="61" t="str">
        <f>IFERROR(__xludf.DUMMYFUNCTION("vlookup(BB686,importrange(""https://docs.google.com/spreadsheets/d/1d2vevQ_7D_v35q4wCQ4RpQ_IPoTwEMB9Yp6ymwlPqew/edit?gid=984458430#gid=984458430"", ""'replication success'!A:K""), 11, FAlSE)"),"failed")</f>
        <v>failed</v>
      </c>
      <c r="AZ686" s="61" t="str">
        <f>IFERROR(__xludf.DUMMYFUNCTION("vlookup(BB686,importrange(""https://docs.google.com/spreadsheets/d/1d2vevQ_7D_v35q4wCQ4RpQ_IPoTwEMB9Yp6ymwlPqew/edit?gid=984458430#gid=984458430"",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686" s="61" t="str">
        <f>IFERROR(__xludf.DUMMYFUNCTION("vlookup(BB686,importrange(""https://docs.google.com/spreadsheets/d/1d2vevQ_7D_v35q4wCQ4RpQ_IPoTwEMB9Yp6ymwlPqew/edit?gid=984458430#gid=984458430"",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v>
      </c>
      <c r="BB686" s="61" t="str">
        <f>IFERROR(__xludf.DUMMYFUNCTION("REGEXREPLACE(G686, ""_[a-z]{1,2}$"", """")"),"Boyce_etal2023101")</f>
        <v>Boyce_etal2023101</v>
      </c>
      <c r="BD686" s="68" t="s">
        <v>153</v>
      </c>
    </row>
    <row r="687" ht="20.25" customHeight="1">
      <c r="A687" s="44">
        <v>687.0</v>
      </c>
      <c r="B687" s="68" t="s">
        <v>114</v>
      </c>
      <c r="C687" s="62" t="s">
        <v>115</v>
      </c>
      <c r="D687" s="62" t="s">
        <v>248</v>
      </c>
      <c r="F687" s="159" t="s">
        <v>3702</v>
      </c>
      <c r="G687" s="57" t="s">
        <v>3703</v>
      </c>
      <c r="H687" s="159" t="s">
        <v>249</v>
      </c>
      <c r="I687" s="152">
        <v>45669.0</v>
      </c>
      <c r="J687" s="152">
        <v>45692.0</v>
      </c>
      <c r="K687" s="68"/>
      <c r="L687" s="68"/>
      <c r="M687" s="159" t="s">
        <v>3704</v>
      </c>
      <c r="N687" s="159" t="s">
        <v>3705</v>
      </c>
      <c r="O687" s="68"/>
      <c r="P687" s="606" t="str">
        <f t="shared" si="37"/>
        <v>10.1177--0956797619879441.pdf</v>
      </c>
      <c r="Q687" s="52" t="str">
        <f t="array" ref="Q687"> if(iserror(MATCH(V687, 'File Links'!C:C, 0)), "N/A", HYPERLINK(INDEX('File Links'!B:B, MATCH(P687, 'File Links'!C:C, 0))))</f>
        <v>https://drive.google.com/file/d/1dyQ7iPpa5tauqQ87v1ICVpmTb96xwrHK/view?usp=drivesdk</v>
      </c>
      <c r="R687" s="159" t="s">
        <v>3653</v>
      </c>
      <c r="S687" s="159" t="s">
        <v>3654</v>
      </c>
      <c r="T687" s="68"/>
      <c r="U687" s="156">
        <v>1.0</v>
      </c>
      <c r="V687" s="198" t="str">
        <f t="shared" si="39"/>
        <v>10.1098--rsos.231240.pdf</v>
      </c>
      <c r="W687" s="159" t="s">
        <v>3665</v>
      </c>
      <c r="X687" s="54" t="str">
        <f t="array" ref="X687"> if(iserror(MATCH(V687, 'File Links'!C:C, 0)), "N/A", HYPERLINK(INDEX('File Links'!B:B, MATCH(V687, 'File Links'!C:C, 0))))</f>
        <v>https://drive.google.com/file/d/17gaf2Zy_ljFfcAEDk5L8GBnTl5i7RGJE/view?usp=drivesdk</v>
      </c>
      <c r="Y687" s="68"/>
      <c r="Z687" s="159" t="s">
        <v>148</v>
      </c>
      <c r="AA687" s="68"/>
      <c r="AB687" s="68"/>
      <c r="AC687" s="68"/>
      <c r="AD687" s="159" t="s">
        <v>3706</v>
      </c>
      <c r="AE687" s="156">
        <v>6.0</v>
      </c>
      <c r="AF687" s="156">
        <v>31.0</v>
      </c>
      <c r="AG687" s="156">
        <v>1.32</v>
      </c>
      <c r="AH687" s="159" t="s">
        <v>173</v>
      </c>
      <c r="AI687" s="159" t="s">
        <v>1042</v>
      </c>
      <c r="AJ687" s="709">
        <v>0.001</v>
      </c>
      <c r="AK687" s="57" t="s">
        <v>135</v>
      </c>
      <c r="AL687" s="57" t="s">
        <v>186</v>
      </c>
      <c r="AM687" s="159" t="s">
        <v>1905</v>
      </c>
      <c r="AN687" s="1057" t="s">
        <v>138</v>
      </c>
      <c r="AO687" s="156">
        <v>12.0</v>
      </c>
      <c r="AP687" s="156">
        <v>0.172292196901579</v>
      </c>
      <c r="AQ687" s="159" t="s">
        <v>173</v>
      </c>
      <c r="AR687" s="68"/>
      <c r="AS687" s="156">
        <v>0.579197556876244</v>
      </c>
      <c r="AT687" s="159" t="s">
        <v>172</v>
      </c>
      <c r="AU687" s="159" t="s">
        <v>186</v>
      </c>
      <c r="AV687" s="159" t="s">
        <v>1905</v>
      </c>
      <c r="AW687" s="68"/>
      <c r="AX687" s="159" t="s">
        <v>143</v>
      </c>
      <c r="AY687" s="61" t="str">
        <f>IFERROR(__xludf.DUMMYFUNCTION("vlookup(BB687,importrange(""https://docs.google.com/spreadsheets/d/1d2vevQ_7D_v35q4wCQ4RpQ_IPoTwEMB9Yp6ymwlPqew/edit?gid=984458430#gid=984458430"", ""'replication success'!A:K""), 11, FAlSE)"),"#N/A")</f>
        <v>#N/A</v>
      </c>
      <c r="AZ687" s="61" t="str">
        <f>IFERROR(__xludf.DUMMYFUNCTION("vlookup(BB687,importrange(""https://docs.google.com/spreadsheets/d/1d2vevQ_7D_v35q4wCQ4RpQ_IPoTwEMB9Yp6ymwlPqew/edit?gid=984458430#gid=984458430"", ""'replication success'!A:M""), 12, FAlSE)"),"#N/A")</f>
        <v>#N/A</v>
      </c>
      <c r="BA687" s="61" t="str">
        <f>IFERROR(__xludf.DUMMYFUNCTION("vlookup(BB687,importrange(""https://docs.google.com/spreadsheets/d/1d2vevQ_7D_v35q4wCQ4RpQ_IPoTwEMB9Yp6ymwlPqew/edit?gid=984458430#gid=984458430"", ""'replication success'!A:M""), 13, FAlSE)"),"#N/A")</f>
        <v>#N/A</v>
      </c>
      <c r="BB687" s="61" t="str">
        <f>IFERROR(__xludf.DUMMYFUNCTION("REGEXREPLACE(G687, ""_[a-z]{1,2}$"", """")"),"Boyce_etal2023102_1")</f>
        <v>Boyce_etal2023102_1</v>
      </c>
      <c r="BD687" s="68" t="s">
        <v>153</v>
      </c>
      <c r="BE687" s="189"/>
    </row>
    <row r="688" ht="20.25" customHeight="1">
      <c r="A688" s="44">
        <v>688.0</v>
      </c>
      <c r="B688" s="129" t="s">
        <v>152</v>
      </c>
      <c r="C688" s="62" t="s">
        <v>115</v>
      </c>
      <c r="D688" s="62" t="s">
        <v>153</v>
      </c>
      <c r="F688" s="68" t="s">
        <v>3703</v>
      </c>
      <c r="G688" s="57" t="s">
        <v>3702</v>
      </c>
      <c r="H688" s="159" t="s">
        <v>153</v>
      </c>
      <c r="I688" s="152">
        <v>45687.0</v>
      </c>
      <c r="J688" s="152">
        <v>45692.0</v>
      </c>
      <c r="K688" s="1055" t="s">
        <v>3707</v>
      </c>
      <c r="L688" s="68"/>
      <c r="M688" s="159" t="s">
        <v>3704</v>
      </c>
      <c r="N688" s="159" t="s">
        <v>3705</v>
      </c>
      <c r="O688" s="159" t="s">
        <v>3708</v>
      </c>
      <c r="P688" s="606" t="str">
        <f t="shared" si="37"/>
        <v>10.1177--0956797619879441.pdf</v>
      </c>
      <c r="Q688" s="52" t="str">
        <f t="array" ref="Q688"> if(iserror(MATCH(V688, 'File Links'!C:C, 0)), "N/A", HYPERLINK(INDEX('File Links'!B:B, MATCH(P688, 'File Links'!C:C, 0))))</f>
        <v>https://drive.google.com/file/d/1dyQ7iPpa5tauqQ87v1ICVpmTb96xwrHK/view?usp=drivesdk</v>
      </c>
      <c r="R688" s="159" t="s">
        <v>3653</v>
      </c>
      <c r="S688" s="159" t="s">
        <v>3654</v>
      </c>
      <c r="T688" s="441" t="s">
        <v>3709</v>
      </c>
      <c r="U688" s="156">
        <v>1.0</v>
      </c>
      <c r="V688" s="198" t="str">
        <f t="shared" si="39"/>
        <v>10.1098--rsos.231240.pdf</v>
      </c>
      <c r="W688" s="159" t="s">
        <v>3671</v>
      </c>
      <c r="X688" s="54" t="str">
        <f t="array" ref="X688"> if(iserror(MATCH(V688, 'File Links'!C:C, 0)), "N/A", HYPERLINK(INDEX('File Links'!B:B, MATCH(V688, 'File Links'!C:C, 0))))</f>
        <v>https://drive.google.com/file/d/17gaf2Zy_ljFfcAEDk5L8GBnTl5i7RGJE/view?usp=drivesdk</v>
      </c>
      <c r="Y688" s="68"/>
      <c r="Z688" s="159" t="s">
        <v>148</v>
      </c>
      <c r="AA688" s="159" t="s">
        <v>3710</v>
      </c>
      <c r="AB688" s="159" t="s">
        <v>3711</v>
      </c>
      <c r="AC688" s="159" t="s">
        <v>3712</v>
      </c>
      <c r="AD688" s="159" t="s">
        <v>3713</v>
      </c>
      <c r="AE688" s="161" t="s">
        <v>140</v>
      </c>
      <c r="AF688" s="156">
        <v>31.0</v>
      </c>
      <c r="AG688" s="156">
        <v>1.32</v>
      </c>
      <c r="AH688" s="156" t="s">
        <v>173</v>
      </c>
      <c r="AI688" s="156" t="s">
        <v>140</v>
      </c>
      <c r="AJ688" s="709">
        <v>0.001</v>
      </c>
      <c r="AK688" s="57" t="s">
        <v>135</v>
      </c>
      <c r="AL688" s="57" t="s">
        <v>186</v>
      </c>
      <c r="AM688" s="151" t="s">
        <v>137</v>
      </c>
      <c r="AN688" s="1057" t="s">
        <v>138</v>
      </c>
      <c r="AO688" s="156">
        <v>12.0</v>
      </c>
      <c r="AP688" s="156">
        <v>0.15</v>
      </c>
      <c r="AQ688" s="156" t="s">
        <v>173</v>
      </c>
      <c r="AR688" s="68"/>
      <c r="AS688" s="161">
        <v>0.303</v>
      </c>
      <c r="AT688" s="159" t="s">
        <v>172</v>
      </c>
      <c r="AU688" s="159" t="s">
        <v>186</v>
      </c>
      <c r="AV688" s="151" t="s">
        <v>137</v>
      </c>
      <c r="AW688" s="435" t="s">
        <v>3714</v>
      </c>
      <c r="AX688" s="68" t="s">
        <v>143</v>
      </c>
      <c r="AY688" s="61" t="str">
        <f>IFERROR(__xludf.DUMMYFUNCTION("vlookup(BB688,importrange(""https://docs.google.com/spreadsheets/d/1d2vevQ_7D_v35q4wCQ4RpQ_IPoTwEMB9Yp6ymwlPqew/edit?gid=984458430#gid=984458430"", ""'replication success'!A:K""), 11, FAlSE)"),"failed")</f>
        <v>failed</v>
      </c>
      <c r="AZ688" s="61" t="str">
        <f>IFERROR(__xludf.DUMMYFUNCTION("vlookup(BB688,importrange(""https://docs.google.com/spreadsheets/d/1d2vevQ_7D_v35q4wCQ4RpQ_IPoTwEMB9Yp6ymwlPqew/edit?gid=984458430#gid=984458430"",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688" s="61" t="str">
        <f>IFERROR(__xludf.DUMMYFUNCTION("vlookup(BB688,importrange(""https://docs.google.com/spreadsheets/d/1d2vevQ_7D_v35q4wCQ4RpQ_IPoTwEMB9Yp6ymwlPqew/edit?gid=984458430#gid=984458430"",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v>
      </c>
      <c r="BB688" s="61" t="str">
        <f>IFERROR(__xludf.DUMMYFUNCTION("REGEXREPLACE(G688, ""_[a-z]{1,2}$"", """")"),"Boyce_etal2023102")</f>
        <v>Boyce_etal2023102</v>
      </c>
      <c r="BD688" s="129" t="s">
        <v>3680</v>
      </c>
    </row>
    <row r="689" ht="20.25" customHeight="1">
      <c r="A689" s="44">
        <v>689.0</v>
      </c>
      <c r="B689" s="68" t="s">
        <v>114</v>
      </c>
      <c r="C689" s="62" t="s">
        <v>115</v>
      </c>
      <c r="D689" s="62" t="s">
        <v>248</v>
      </c>
      <c r="F689" s="159" t="s">
        <v>3715</v>
      </c>
      <c r="G689" s="57" t="s">
        <v>3716</v>
      </c>
      <c r="H689" s="159" t="s">
        <v>249</v>
      </c>
      <c r="I689" s="152">
        <v>45669.0</v>
      </c>
      <c r="J689" s="152">
        <v>45692.0</v>
      </c>
      <c r="K689" s="68"/>
      <c r="L689" s="159" t="s">
        <v>3690</v>
      </c>
      <c r="M689" s="159" t="s">
        <v>3717</v>
      </c>
      <c r="N689" s="159" t="s">
        <v>3718</v>
      </c>
      <c r="O689" s="68"/>
      <c r="P689" s="606" t="str">
        <f t="shared" si="37"/>
        <v>10.1037--xge0000263.pdf</v>
      </c>
      <c r="Q689" s="52" t="str">
        <f t="array" ref="Q689"> if(iserror(MATCH(V689, 'File Links'!C:C, 0)), "N/A", HYPERLINK(INDEX('File Links'!B:B, MATCH(P689, 'File Links'!C:C, 0))))</f>
        <v>https://drive.google.com/file/d/1dqZfs8CV4bFuIXsJrOSHM-_BKTXKhfGR/view?usp=drivesdk</v>
      </c>
      <c r="R689" s="159" t="s">
        <v>3653</v>
      </c>
      <c r="S689" s="159" t="s">
        <v>3654</v>
      </c>
      <c r="T689" s="68"/>
      <c r="U689" s="156">
        <v>1.0</v>
      </c>
      <c r="V689" s="198" t="str">
        <f t="shared" si="39"/>
        <v>10.1098--rsos.231240.pdf</v>
      </c>
      <c r="W689" s="159" t="s">
        <v>324</v>
      </c>
      <c r="X689" s="54" t="str">
        <f t="array" ref="X689"> if(iserror(MATCH(V689, 'File Links'!C:C, 0)), "N/A", HYPERLINK(INDEX('File Links'!B:B, MATCH(V689, 'File Links'!C:C, 0))))</f>
        <v>https://drive.google.com/file/d/17gaf2Zy_ljFfcAEDk5L8GBnTl5i7RGJE/view?usp=drivesdk</v>
      </c>
      <c r="Y689" s="68"/>
      <c r="Z689" s="159" t="s">
        <v>148</v>
      </c>
      <c r="AA689" s="68"/>
      <c r="AB689" s="159" t="s">
        <v>3719</v>
      </c>
      <c r="AC689" s="68"/>
      <c r="AD689" s="159" t="s">
        <v>3720</v>
      </c>
      <c r="AE689" s="1059">
        <v>12.0</v>
      </c>
      <c r="AF689" s="156">
        <v>107.0</v>
      </c>
      <c r="AG689" s="156">
        <v>0.72</v>
      </c>
      <c r="AH689" s="159" t="s">
        <v>173</v>
      </c>
      <c r="AI689" s="1060" t="s">
        <v>3721</v>
      </c>
      <c r="AJ689" s="709">
        <v>0.001</v>
      </c>
      <c r="AK689" s="57" t="s">
        <v>135</v>
      </c>
      <c r="AL689" s="57" t="s">
        <v>186</v>
      </c>
      <c r="AM689" s="159" t="s">
        <v>137</v>
      </c>
      <c r="AN689" s="1057" t="s">
        <v>138</v>
      </c>
      <c r="AO689" s="156">
        <v>56.0</v>
      </c>
      <c r="AP689" s="156">
        <v>0.107320283791479</v>
      </c>
      <c r="AQ689" s="159" t="s">
        <v>173</v>
      </c>
      <c r="AR689" s="68"/>
      <c r="AS689" s="1061">
        <v>3.80739424115181E-4</v>
      </c>
      <c r="AT689" s="159" t="s">
        <v>172</v>
      </c>
      <c r="AU689" s="159" t="s">
        <v>186</v>
      </c>
      <c r="AV689" s="159" t="s">
        <v>137</v>
      </c>
      <c r="AW689" s="68"/>
      <c r="AX689" s="159" t="s">
        <v>143</v>
      </c>
      <c r="AY689" s="61" t="str">
        <f>IFERROR(__xludf.DUMMYFUNCTION("vlookup(BB689,importrange(""https://docs.google.com/spreadsheets/d/1d2vevQ_7D_v35q4wCQ4RpQ_IPoTwEMB9Yp6ymwlPqew/edit?gid=984458430#gid=984458430"", ""'replication success'!A:K""), 11, FAlSE)"),"#N/A")</f>
        <v>#N/A</v>
      </c>
      <c r="AZ689" s="61" t="str">
        <f>IFERROR(__xludf.DUMMYFUNCTION("vlookup(BB689,importrange(""https://docs.google.com/spreadsheets/d/1d2vevQ_7D_v35q4wCQ4RpQ_IPoTwEMB9Yp6ymwlPqew/edit?gid=984458430#gid=984458430"", ""'replication success'!A:M""), 12, FAlSE)"),"#N/A")</f>
        <v>#N/A</v>
      </c>
      <c r="BA689" s="61" t="str">
        <f>IFERROR(__xludf.DUMMYFUNCTION("vlookup(BB689,importrange(""https://docs.google.com/spreadsheets/d/1d2vevQ_7D_v35q4wCQ4RpQ_IPoTwEMB9Yp6ymwlPqew/edit?gid=984458430#gid=984458430"", ""'replication success'!A:M""), 13, FAlSE)"),"#N/A")</f>
        <v>#N/A</v>
      </c>
      <c r="BB689" s="61" t="str">
        <f>IFERROR(__xludf.DUMMYFUNCTION("REGEXREPLACE(G689, ""_[a-z]{1,2}$"", """")"),"Boyce_etal2023103_1")</f>
        <v>Boyce_etal2023103_1</v>
      </c>
      <c r="BD689" s="68" t="s">
        <v>153</v>
      </c>
      <c r="BE689" s="189"/>
    </row>
    <row r="690" ht="20.25" customHeight="1">
      <c r="A690" s="44">
        <v>690.0</v>
      </c>
      <c r="B690" s="1062" t="s">
        <v>152</v>
      </c>
      <c r="C690" s="1063" t="s">
        <v>115</v>
      </c>
      <c r="D690" s="1063" t="s">
        <v>153</v>
      </c>
      <c r="E690" s="1064"/>
      <c r="F690" s="1065" t="s">
        <v>3716</v>
      </c>
      <c r="G690" s="1066" t="s">
        <v>3722</v>
      </c>
      <c r="H690" s="704" t="s">
        <v>153</v>
      </c>
      <c r="I690" s="1067">
        <v>45722.0</v>
      </c>
      <c r="J690" s="1068">
        <v>45692.0</v>
      </c>
      <c r="K690" s="1069" t="s">
        <v>3723</v>
      </c>
      <c r="L690" s="1062" t="s">
        <v>3724</v>
      </c>
      <c r="M690" s="704" t="s">
        <v>3717</v>
      </c>
      <c r="N690" s="704" t="s">
        <v>3718</v>
      </c>
      <c r="O690" s="1070">
        <v>1.0</v>
      </c>
      <c r="P690" s="1071" t="str">
        <f t="shared" si="37"/>
        <v>10.1037--xge0000263.pdf</v>
      </c>
      <c r="Q690" s="52" t="str">
        <f t="array" ref="Q690"> if(iserror(MATCH(V690, 'File Links'!C:C, 0)), "N/A", HYPERLINK(INDEX('File Links'!B:B, MATCH(P690, 'File Links'!C:C, 0))))</f>
        <v>https://drive.google.com/file/d/1dqZfs8CV4bFuIXsJrOSHM-_BKTXKhfGR/view?usp=drivesdk</v>
      </c>
      <c r="R690" s="1072" t="s">
        <v>3725</v>
      </c>
      <c r="S690" s="704" t="s">
        <v>3654</v>
      </c>
      <c r="T690" s="1065"/>
      <c r="U690" s="156">
        <v>1.0</v>
      </c>
      <c r="V690" s="704" t="str">
        <f t="shared" si="39"/>
        <v>10.1098--rsos.231240.pdf</v>
      </c>
      <c r="W690" s="704" t="s">
        <v>3726</v>
      </c>
      <c r="X690" s="54" t="str">
        <f t="array" ref="X690"> if(iserror(MATCH(V690, 'File Links'!C:C, 0)), "N/A", HYPERLINK(INDEX('File Links'!B:B, MATCH(V690, 'File Links'!C:C, 0))))</f>
        <v>https://drive.google.com/file/d/17gaf2Zy_ljFfcAEDk5L8GBnTl5i7RGJE/view?usp=drivesdk</v>
      </c>
      <c r="Y690" s="1065"/>
      <c r="Z690" s="704" t="s">
        <v>148</v>
      </c>
      <c r="AA690" s="704" t="s">
        <v>3727</v>
      </c>
      <c r="AB690" s="704" t="s">
        <v>3728</v>
      </c>
      <c r="AC690" s="704" t="s">
        <v>3729</v>
      </c>
      <c r="AD690" s="704" t="s">
        <v>3730</v>
      </c>
      <c r="AE690" s="1073">
        <v>12.0</v>
      </c>
      <c r="AF690" s="1070">
        <v>107.0</v>
      </c>
      <c r="AG690" s="1070">
        <v>0.72</v>
      </c>
      <c r="AH690" s="1070" t="s">
        <v>173</v>
      </c>
      <c r="AI690" s="1073">
        <v>12.0</v>
      </c>
      <c r="AJ690" s="1074">
        <v>0.001</v>
      </c>
      <c r="AK690" s="1066" t="s">
        <v>135</v>
      </c>
      <c r="AL690" s="1066" t="s">
        <v>186</v>
      </c>
      <c r="AM690" s="704" t="s">
        <v>137</v>
      </c>
      <c r="AN690" s="1075" t="s">
        <v>138</v>
      </c>
      <c r="AO690" s="1070">
        <v>56.0</v>
      </c>
      <c r="AP690" s="1070">
        <v>0.107320283791479</v>
      </c>
      <c r="AQ690" s="1070" t="s">
        <v>173</v>
      </c>
      <c r="AR690" s="1076" t="s">
        <v>3731</v>
      </c>
      <c r="AS690" s="1070">
        <v>3.807E-4</v>
      </c>
      <c r="AT690" s="704" t="s">
        <v>172</v>
      </c>
      <c r="AU690" s="704" t="s">
        <v>186</v>
      </c>
      <c r="AV690" s="704" t="s">
        <v>137</v>
      </c>
      <c r="AW690" s="1077" t="s">
        <v>3732</v>
      </c>
      <c r="AX690" s="1062" t="s">
        <v>143</v>
      </c>
      <c r="AY690" s="61" t="str">
        <f>IFERROR(__xludf.DUMMYFUNCTION("vlookup(BB690,importrange(""https://docs.google.com/spreadsheets/d/1d2vevQ_7D_v35q4wCQ4RpQ_IPoTwEMB9Yp6ymwlPqew/edit?gid=984458430#gid=984458430"", ""'replication success'!A:K""), 11, FAlSE)"),"mixed")</f>
        <v>mixed</v>
      </c>
      <c r="AZ690" s="61" t="str">
        <f>IFERROR(__xludf.DUMMYFUNCTION("vlookup(BB690,importrange(""https://docs.google.com/spreadsheets/d/1d2vevQ_7D_v35q4wCQ4RpQ_IPoTwEMB9Yp6ymwlPqew/edit?gid=984458430#gid=984458430"",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0" s="61" t="str">
        <f>IFERROR(__xludf.DUMMYFUNCTION("vlookup(BB690,importrange(""https://docs.google.com/spreadsheets/d/1d2vevQ_7D_v35q4wCQ4RpQ_IPoTwEMB9Yp6ymwlPqew/edit?gid=984458430#gid=984458430"",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0" s="61" t="str">
        <f>IFERROR(__xludf.DUMMYFUNCTION("REGEXREPLACE(G690, ""_[a-z]{1,2}$"", """")"),"Boyce_etal2023103")</f>
        <v>Boyce_etal2023103</v>
      </c>
      <c r="BC690" s="1063" t="s">
        <v>3733</v>
      </c>
      <c r="BD690" s="1062" t="s">
        <v>3734</v>
      </c>
      <c r="BE690" s="1064"/>
      <c r="BF690" s="1064"/>
      <c r="BG690" s="1064"/>
      <c r="BH690" s="1064"/>
      <c r="BI690" s="1064"/>
      <c r="BJ690" s="1064"/>
      <c r="BK690" s="1064"/>
      <c r="BL690" s="1064"/>
      <c r="BM690" s="1064"/>
      <c r="BN690" s="1064"/>
      <c r="BO690" s="1064"/>
      <c r="BP690" s="1064"/>
      <c r="BQ690" s="1064"/>
      <c r="BR690" s="1064"/>
      <c r="BS690" s="1064"/>
      <c r="BT690" s="1064"/>
      <c r="BU690" s="1064"/>
      <c r="BV690" s="1064"/>
      <c r="BW690" s="1064"/>
      <c r="BX690" s="1064"/>
      <c r="BY690" s="1064"/>
      <c r="BZ690" s="1064"/>
      <c r="CA690" s="1064"/>
      <c r="CB690" s="1064"/>
      <c r="CC690" s="1064"/>
      <c r="CD690" s="1064"/>
      <c r="CE690" s="1064"/>
      <c r="CF690" s="1064"/>
      <c r="CG690" s="1064"/>
      <c r="CH690" s="1064"/>
      <c r="CI690" s="1064"/>
      <c r="CJ690" s="1064"/>
      <c r="CK690" s="1064"/>
      <c r="CL690" s="1064"/>
      <c r="CM690" s="1064"/>
      <c r="CN690" s="1064"/>
      <c r="CO690" s="1064"/>
      <c r="CP690" s="1064"/>
      <c r="CQ690" s="1064"/>
      <c r="CR690" s="1064"/>
      <c r="CS690" s="1064"/>
      <c r="CT690" s="1064"/>
      <c r="CU690" s="1064"/>
      <c r="CV690" s="1064"/>
      <c r="CW690" s="1064"/>
      <c r="CX690" s="1064"/>
      <c r="CY690" s="1064"/>
      <c r="CZ690" s="1064"/>
      <c r="DA690" s="1064"/>
      <c r="DB690" s="1064"/>
      <c r="DC690" s="1064"/>
      <c r="DD690" s="1064"/>
      <c r="DE690" s="1064"/>
      <c r="DF690" s="1064"/>
      <c r="DG690" s="1064"/>
      <c r="DH690" s="1064"/>
      <c r="DI690" s="1064"/>
      <c r="DJ690" s="1064"/>
      <c r="DK690" s="1064"/>
      <c r="DL690" s="1064"/>
    </row>
    <row r="691" ht="20.25" customHeight="1">
      <c r="A691" s="44">
        <v>691.0</v>
      </c>
      <c r="B691" s="1078" t="s">
        <v>152</v>
      </c>
      <c r="C691" s="341" t="s">
        <v>115</v>
      </c>
      <c r="D691" s="341" t="s">
        <v>153</v>
      </c>
      <c r="E691" s="342"/>
      <c r="F691" s="46" t="s">
        <v>3716</v>
      </c>
      <c r="G691" s="47" t="s">
        <v>3735</v>
      </c>
      <c r="H691" s="360" t="s">
        <v>153</v>
      </c>
      <c r="I691" s="345">
        <v>45722.0</v>
      </c>
      <c r="J691" s="344">
        <v>45692.0</v>
      </c>
      <c r="K691" s="510" t="s">
        <v>3736</v>
      </c>
      <c r="L691" s="56" t="s">
        <v>3737</v>
      </c>
      <c r="M691" s="360" t="s">
        <v>3717</v>
      </c>
      <c r="N691" s="360" t="s">
        <v>3718</v>
      </c>
      <c r="O691" s="357">
        <v>1.0</v>
      </c>
      <c r="P691" s="517" t="str">
        <f t="shared" si="37"/>
        <v>10.1037--xge0000263.pdf</v>
      </c>
      <c r="Q691" s="52" t="str">
        <f t="array" ref="Q691"> if(iserror(MATCH(V691, 'File Links'!C:C, 0)), "N/A", HYPERLINK(INDEX('File Links'!B:B, MATCH(P691, 'File Links'!C:C, 0))))</f>
        <v>https://drive.google.com/file/d/1dqZfs8CV4bFuIXsJrOSHM-_BKTXKhfGR/view?usp=drivesdk</v>
      </c>
      <c r="R691" s="509" t="s">
        <v>3738</v>
      </c>
      <c r="S691" s="360" t="s">
        <v>3654</v>
      </c>
      <c r="T691" s="46"/>
      <c r="U691" s="156">
        <v>1.0</v>
      </c>
      <c r="V691" s="360" t="str">
        <f t="shared" si="39"/>
        <v>10.1098--rsos.231240.pdf</v>
      </c>
      <c r="W691" s="360" t="s">
        <v>3726</v>
      </c>
      <c r="X691" s="54" t="str">
        <f t="array" ref="X691"> if(iserror(MATCH(V691, 'File Links'!C:C, 0)), "N/A", HYPERLINK(INDEX('File Links'!B:B, MATCH(V691, 'File Links'!C:C, 0))))</f>
        <v>https://drive.google.com/file/d/17gaf2Zy_ljFfcAEDk5L8GBnTl5i7RGJE/view?usp=drivesdk</v>
      </c>
      <c r="Y691" s="46"/>
      <c r="Z691" s="360" t="s">
        <v>148</v>
      </c>
      <c r="AA691" s="360" t="s">
        <v>3727</v>
      </c>
      <c r="AB691" s="360" t="s">
        <v>3728</v>
      </c>
      <c r="AC691" s="360" t="s">
        <v>3739</v>
      </c>
      <c r="AD691" s="360" t="s">
        <v>3740</v>
      </c>
      <c r="AE691" s="351">
        <v>13.0</v>
      </c>
      <c r="AF691" s="357">
        <v>107.0</v>
      </c>
      <c r="AG691" s="357">
        <v>0.28</v>
      </c>
      <c r="AH691" s="357" t="s">
        <v>215</v>
      </c>
      <c r="AI691" s="351" t="s">
        <v>436</v>
      </c>
      <c r="AJ691" s="386">
        <v>0.004</v>
      </c>
      <c r="AK691" s="47" t="s">
        <v>172</v>
      </c>
      <c r="AL691" s="47" t="s">
        <v>186</v>
      </c>
      <c r="AM691" s="360" t="s">
        <v>137</v>
      </c>
      <c r="AN691" s="1057" t="s">
        <v>138</v>
      </c>
      <c r="AO691" s="357">
        <v>56.0</v>
      </c>
      <c r="AP691" s="357">
        <v>-0.07617286</v>
      </c>
      <c r="AQ691" s="357" t="s">
        <v>215</v>
      </c>
      <c r="AR691" s="1079" t="s">
        <v>3741</v>
      </c>
      <c r="AS691" s="357">
        <v>0.01077</v>
      </c>
      <c r="AT691" s="360" t="s">
        <v>172</v>
      </c>
      <c r="AU691" s="360" t="s">
        <v>186</v>
      </c>
      <c r="AV691" s="46" t="s">
        <v>137</v>
      </c>
      <c r="AW691" s="59" t="s">
        <v>3732</v>
      </c>
      <c r="AX691" s="488" t="s">
        <v>143</v>
      </c>
      <c r="AY691" s="61" t="str">
        <f>IFERROR(__xludf.DUMMYFUNCTION("vlookup(BB691,importrange(""https://docs.google.com/spreadsheets/d/1d2vevQ_7D_v35q4wCQ4RpQ_IPoTwEMB9Yp6ymwlPqew/edit?gid=984458430#gid=984458430"", ""'replication success'!A:K""), 11, FAlSE)"),"mixed")</f>
        <v>mixed</v>
      </c>
      <c r="AZ691" s="61" t="str">
        <f>IFERROR(__xludf.DUMMYFUNCTION("vlookup(BB691,importrange(""https://docs.google.com/spreadsheets/d/1d2vevQ_7D_v35q4wCQ4RpQ_IPoTwEMB9Yp6ymwlPqew/edit?gid=984458430#gid=984458430"",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1" s="61" t="str">
        <f>IFERROR(__xludf.DUMMYFUNCTION("vlookup(BB691,importrange(""https://docs.google.com/spreadsheets/d/1d2vevQ_7D_v35q4wCQ4RpQ_IPoTwEMB9Yp6ymwlPqew/edit?gid=984458430#gid=984458430"",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1" s="61" t="str">
        <f>IFERROR(__xludf.DUMMYFUNCTION("REGEXREPLACE(G691, ""_[a-z]{1,2}$"", """")"),"Boyce_etal2023103")</f>
        <v>Boyce_etal2023103</v>
      </c>
      <c r="BC691" s="341" t="s">
        <v>3742</v>
      </c>
      <c r="BD691" s="56" t="s">
        <v>3734</v>
      </c>
      <c r="BE691" s="189"/>
    </row>
    <row r="692" ht="20.25" customHeight="1">
      <c r="A692" s="44">
        <v>692.0</v>
      </c>
      <c r="B692" s="1080" t="s">
        <v>152</v>
      </c>
      <c r="C692" s="341" t="s">
        <v>115</v>
      </c>
      <c r="D692" s="341" t="s">
        <v>153</v>
      </c>
      <c r="E692" s="342"/>
      <c r="F692" s="46" t="s">
        <v>3716</v>
      </c>
      <c r="G692" s="47" t="s">
        <v>3743</v>
      </c>
      <c r="H692" s="360" t="s">
        <v>153</v>
      </c>
      <c r="I692" s="345">
        <v>45722.0</v>
      </c>
      <c r="J692" s="344">
        <v>45692.0</v>
      </c>
      <c r="K692" s="510" t="s">
        <v>3744</v>
      </c>
      <c r="L692" s="56" t="s">
        <v>3745</v>
      </c>
      <c r="M692" s="360" t="s">
        <v>3717</v>
      </c>
      <c r="N692" s="360" t="s">
        <v>3718</v>
      </c>
      <c r="O692" s="357">
        <v>1.0</v>
      </c>
      <c r="P692" s="517" t="str">
        <f t="shared" si="37"/>
        <v>10.1037--xge0000263.pdf</v>
      </c>
      <c r="Q692" s="52" t="str">
        <f t="array" ref="Q692"> if(iserror(MATCH(V692, 'File Links'!C:C, 0)), "N/A", HYPERLINK(INDEX('File Links'!B:B, MATCH(P692, 'File Links'!C:C, 0))))</f>
        <v>https://drive.google.com/file/d/1dqZfs8CV4bFuIXsJrOSHM-_BKTXKhfGR/view?usp=drivesdk</v>
      </c>
      <c r="R692" s="509" t="s">
        <v>3746</v>
      </c>
      <c r="S692" s="360" t="s">
        <v>3654</v>
      </c>
      <c r="T692" s="46"/>
      <c r="U692" s="156">
        <v>1.0</v>
      </c>
      <c r="V692" s="360" t="str">
        <f t="shared" si="39"/>
        <v>10.1098--rsos.231240.pdf</v>
      </c>
      <c r="W692" s="360" t="s">
        <v>3726</v>
      </c>
      <c r="X692" s="54" t="str">
        <f t="array" ref="X692"> if(iserror(MATCH(V692, 'File Links'!C:C, 0)), "N/A", HYPERLINK(INDEX('File Links'!B:B, MATCH(V692, 'File Links'!C:C, 0))))</f>
        <v>https://drive.google.com/file/d/17gaf2Zy_ljFfcAEDk5L8GBnTl5i7RGJE/view?usp=drivesdk</v>
      </c>
      <c r="Y692" s="46"/>
      <c r="Z692" s="360" t="s">
        <v>148</v>
      </c>
      <c r="AA692" s="360" t="s">
        <v>3727</v>
      </c>
      <c r="AB692" s="360" t="s">
        <v>3728</v>
      </c>
      <c r="AC692" s="360" t="s">
        <v>3747</v>
      </c>
      <c r="AD692" s="360" t="s">
        <v>3748</v>
      </c>
      <c r="AE692" s="351">
        <v>13.0</v>
      </c>
      <c r="AF692" s="357">
        <v>107.0</v>
      </c>
      <c r="AG692" s="357">
        <v>0.06</v>
      </c>
      <c r="AH692" s="357" t="s">
        <v>215</v>
      </c>
      <c r="AI692" s="351" t="s">
        <v>436</v>
      </c>
      <c r="AJ692" s="386">
        <v>0.56</v>
      </c>
      <c r="AK692" s="47" t="s">
        <v>172</v>
      </c>
      <c r="AL692" s="47" t="s">
        <v>186</v>
      </c>
      <c r="AM692" s="360" t="s">
        <v>137</v>
      </c>
      <c r="AN692" s="1057" t="s">
        <v>138</v>
      </c>
      <c r="AO692" s="357">
        <v>56.0</v>
      </c>
      <c r="AP692" s="357">
        <v>-0.03345847</v>
      </c>
      <c r="AQ692" s="357" t="s">
        <v>215</v>
      </c>
      <c r="AR692" s="1079" t="s">
        <v>3741</v>
      </c>
      <c r="AS692" s="357">
        <v>0.2632</v>
      </c>
      <c r="AT692" s="360" t="s">
        <v>172</v>
      </c>
      <c r="AU692" s="360" t="s">
        <v>186</v>
      </c>
      <c r="AV692" s="46" t="s">
        <v>137</v>
      </c>
      <c r="AW692" s="59" t="s">
        <v>3732</v>
      </c>
      <c r="AX692" s="488" t="s">
        <v>143</v>
      </c>
      <c r="AY692" s="61" t="str">
        <f>IFERROR(__xludf.DUMMYFUNCTION("vlookup(BB692,importrange(""https://docs.google.com/spreadsheets/d/1d2vevQ_7D_v35q4wCQ4RpQ_IPoTwEMB9Yp6ymwlPqew/edit?gid=984458430#gid=984458430"", ""'replication success'!A:K""), 11, FAlSE)"),"mixed")</f>
        <v>mixed</v>
      </c>
      <c r="AZ692" s="61" t="str">
        <f>IFERROR(__xludf.DUMMYFUNCTION("vlookup(BB692,importrange(""https://docs.google.com/spreadsheets/d/1d2vevQ_7D_v35q4wCQ4RpQ_IPoTwEMB9Yp6ymwlPqew/edit?gid=984458430#gid=984458430"",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2" s="61" t="str">
        <f>IFERROR(__xludf.DUMMYFUNCTION("vlookup(BB692,importrange(""https://docs.google.com/spreadsheets/d/1d2vevQ_7D_v35q4wCQ4RpQ_IPoTwEMB9Yp6ymwlPqew/edit?gid=984458430#gid=984458430"",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2" s="61" t="str">
        <f>IFERROR(__xludf.DUMMYFUNCTION("REGEXREPLACE(G692, ""_[a-z]{1,2}$"", """")"),"Boyce_etal2023103")</f>
        <v>Boyce_etal2023103</v>
      </c>
      <c r="BC692" s="341" t="s">
        <v>3742</v>
      </c>
      <c r="BD692" s="56" t="s">
        <v>3734</v>
      </c>
    </row>
    <row r="693" ht="20.25" customHeight="1">
      <c r="A693" s="44">
        <v>693.0</v>
      </c>
      <c r="B693" s="1081" t="s">
        <v>152</v>
      </c>
      <c r="C693" s="341" t="s">
        <v>115</v>
      </c>
      <c r="D693" s="341" t="s">
        <v>153</v>
      </c>
      <c r="E693" s="342"/>
      <c r="F693" s="46" t="s">
        <v>3716</v>
      </c>
      <c r="G693" s="47" t="s">
        <v>3749</v>
      </c>
      <c r="H693" s="360" t="s">
        <v>153</v>
      </c>
      <c r="I693" s="345">
        <v>45722.0</v>
      </c>
      <c r="J693" s="344">
        <v>45692.0</v>
      </c>
      <c r="K693" s="510" t="s">
        <v>3750</v>
      </c>
      <c r="L693" s="56" t="s">
        <v>3751</v>
      </c>
      <c r="M693" s="360" t="s">
        <v>3717</v>
      </c>
      <c r="N693" s="360" t="s">
        <v>3718</v>
      </c>
      <c r="O693" s="357">
        <v>1.0</v>
      </c>
      <c r="P693" s="517" t="str">
        <f t="shared" si="37"/>
        <v>10.1037--xge0000263.pdf</v>
      </c>
      <c r="Q693" s="52" t="str">
        <f t="array" ref="Q693"> if(iserror(MATCH(V693, 'File Links'!C:C, 0)), "N/A", HYPERLINK(INDEX('File Links'!B:B, MATCH(P693, 'File Links'!C:C, 0))))</f>
        <v>https://drive.google.com/file/d/1dqZfs8CV4bFuIXsJrOSHM-_BKTXKhfGR/view?usp=drivesdk</v>
      </c>
      <c r="R693" s="509" t="s">
        <v>3752</v>
      </c>
      <c r="S693" s="360" t="s">
        <v>3654</v>
      </c>
      <c r="T693" s="46"/>
      <c r="U693" s="156">
        <v>1.0</v>
      </c>
      <c r="V693" s="360" t="str">
        <f t="shared" si="39"/>
        <v>10.1098--rsos.231240.pdf</v>
      </c>
      <c r="W693" s="360" t="s">
        <v>3726</v>
      </c>
      <c r="X693" s="54" t="str">
        <f t="array" ref="X693"> if(iserror(MATCH(V693, 'File Links'!C:C, 0)), "N/A", HYPERLINK(INDEX('File Links'!B:B, MATCH(V693, 'File Links'!C:C, 0))))</f>
        <v>https://drive.google.com/file/d/17gaf2Zy_ljFfcAEDk5L8GBnTl5i7RGJE/view?usp=drivesdk</v>
      </c>
      <c r="Y693" s="46"/>
      <c r="Z693" s="360" t="s">
        <v>148</v>
      </c>
      <c r="AA693" s="360" t="s">
        <v>3727</v>
      </c>
      <c r="AB693" s="360" t="s">
        <v>3728</v>
      </c>
      <c r="AC693" s="360" t="s">
        <v>3753</v>
      </c>
      <c r="AD693" s="360" t="s">
        <v>3754</v>
      </c>
      <c r="AE693" s="351">
        <v>13.0</v>
      </c>
      <c r="AF693" s="357">
        <v>107.0</v>
      </c>
      <c r="AG693" s="357">
        <v>-0.32</v>
      </c>
      <c r="AH693" s="357" t="s">
        <v>215</v>
      </c>
      <c r="AI693" s="351" t="s">
        <v>436</v>
      </c>
      <c r="AJ693" s="386">
        <v>0.001</v>
      </c>
      <c r="AK693" s="47" t="s">
        <v>135</v>
      </c>
      <c r="AL693" s="47" t="s">
        <v>186</v>
      </c>
      <c r="AM693" s="360" t="s">
        <v>137</v>
      </c>
      <c r="AN693" s="1057" t="s">
        <v>138</v>
      </c>
      <c r="AO693" s="357">
        <v>56.0</v>
      </c>
      <c r="AP693" s="357">
        <v>-0.04</v>
      </c>
      <c r="AQ693" s="357" t="s">
        <v>215</v>
      </c>
      <c r="AR693" s="1079" t="s">
        <v>3741</v>
      </c>
      <c r="AS693" s="357">
        <v>0.1238</v>
      </c>
      <c r="AT693" s="360" t="s">
        <v>172</v>
      </c>
      <c r="AU693" s="360" t="s">
        <v>186</v>
      </c>
      <c r="AV693" s="46" t="s">
        <v>137</v>
      </c>
      <c r="AW693" s="59" t="s">
        <v>3732</v>
      </c>
      <c r="AX693" s="56" t="s">
        <v>143</v>
      </c>
      <c r="AY693" s="61" t="str">
        <f>IFERROR(__xludf.DUMMYFUNCTION("vlookup(BB693,importrange(""https://docs.google.com/spreadsheets/d/1d2vevQ_7D_v35q4wCQ4RpQ_IPoTwEMB9Yp6ymwlPqew/edit?gid=984458430#gid=984458430"", ""'replication success'!A:K""), 11, FAlSE)"),"mixed")</f>
        <v>mixed</v>
      </c>
      <c r="AZ693" s="61" t="str">
        <f>IFERROR(__xludf.DUMMYFUNCTION("vlookup(BB693,importrange(""https://docs.google.com/spreadsheets/d/1d2vevQ_7D_v35q4wCQ4RpQ_IPoTwEMB9Yp6ymwlPqew/edit?gid=984458430#gid=984458430"",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3" s="61" t="str">
        <f>IFERROR(__xludf.DUMMYFUNCTION("vlookup(BB693,importrange(""https://docs.google.com/spreadsheets/d/1d2vevQ_7D_v35q4wCQ4RpQ_IPoTwEMB9Yp6ymwlPqew/edit?gid=984458430#gid=984458430"",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3" s="61" t="str">
        <f>IFERROR(__xludf.DUMMYFUNCTION("REGEXREPLACE(G693, ""_[a-z]{1,2}$"", """")"),"Boyce_etal2023103")</f>
        <v>Boyce_etal2023103</v>
      </c>
      <c r="BC693" s="342"/>
      <c r="BD693" s="56" t="s">
        <v>3734</v>
      </c>
      <c r="BE693" s="189"/>
    </row>
    <row r="694" ht="20.25" customHeight="1">
      <c r="A694" s="44">
        <v>694.0</v>
      </c>
      <c r="B694" s="631" t="s">
        <v>152</v>
      </c>
      <c r="C694" s="397" t="s">
        <v>115</v>
      </c>
      <c r="D694" s="397" t="s">
        <v>153</v>
      </c>
      <c r="E694" s="220"/>
      <c r="F694" s="398" t="s">
        <v>3716</v>
      </c>
      <c r="G694" s="399" t="s">
        <v>3755</v>
      </c>
      <c r="H694" s="407" t="s">
        <v>153</v>
      </c>
      <c r="I694" s="345">
        <v>45722.0</v>
      </c>
      <c r="J694" s="400">
        <v>45692.0</v>
      </c>
      <c r="K694" s="1082" t="s">
        <v>3756</v>
      </c>
      <c r="L694" s="631" t="s">
        <v>3757</v>
      </c>
      <c r="M694" s="407" t="s">
        <v>3717</v>
      </c>
      <c r="N694" s="407" t="s">
        <v>3718</v>
      </c>
      <c r="O694" s="728">
        <v>1.0</v>
      </c>
      <c r="P694" s="1083" t="str">
        <f t="shared" si="37"/>
        <v>10.1037--xge0000263.pdf</v>
      </c>
      <c r="Q694" s="52" t="str">
        <f t="array" ref="Q694"> if(iserror(MATCH(V694, 'File Links'!C:C, 0)), "N/A", HYPERLINK(INDEX('File Links'!B:B, MATCH(P694, 'File Links'!C:C, 0))))</f>
        <v>https://drive.google.com/file/d/1dqZfs8CV4bFuIXsJrOSHM-_BKTXKhfGR/view?usp=drivesdk</v>
      </c>
      <c r="R694" s="646" t="s">
        <v>3758</v>
      </c>
      <c r="S694" s="407" t="s">
        <v>3654</v>
      </c>
      <c r="T694" s="398"/>
      <c r="U694" s="156">
        <v>1.0</v>
      </c>
      <c r="V694" s="407" t="str">
        <f t="shared" si="39"/>
        <v>10.1098--rsos.231240.pdf</v>
      </c>
      <c r="W694" s="407" t="s">
        <v>3726</v>
      </c>
      <c r="X694" s="54" t="str">
        <f t="array" ref="X694"> if(iserror(MATCH(V694, 'File Links'!C:C, 0)), "N/A", HYPERLINK(INDEX('File Links'!B:B, MATCH(V694, 'File Links'!C:C, 0))))</f>
        <v>https://drive.google.com/file/d/17gaf2Zy_ljFfcAEDk5L8GBnTl5i7RGJE/view?usp=drivesdk</v>
      </c>
      <c r="Y694" s="398"/>
      <c r="Z694" s="407" t="s">
        <v>148</v>
      </c>
      <c r="AA694" s="407" t="s">
        <v>3727</v>
      </c>
      <c r="AB694" s="407" t="s">
        <v>3728</v>
      </c>
      <c r="AC694" s="407" t="s">
        <v>3759</v>
      </c>
      <c r="AD694" s="407" t="s">
        <v>3760</v>
      </c>
      <c r="AE694" s="1084">
        <v>11.0</v>
      </c>
      <c r="AF694" s="728">
        <v>107.0</v>
      </c>
      <c r="AG694" s="644" t="s">
        <v>3761</v>
      </c>
      <c r="AH694" s="644" t="s">
        <v>134</v>
      </c>
      <c r="AI694" s="1084" t="s">
        <v>307</v>
      </c>
      <c r="AJ694" s="1085">
        <v>0.001</v>
      </c>
      <c r="AK694" s="399" t="s">
        <v>135</v>
      </c>
      <c r="AL694" s="399" t="s">
        <v>186</v>
      </c>
      <c r="AM694" s="407" t="s">
        <v>137</v>
      </c>
      <c r="AN694" s="1057" t="s">
        <v>138</v>
      </c>
      <c r="AO694" s="728">
        <v>56.0</v>
      </c>
      <c r="AP694" s="208" t="s">
        <v>3762</v>
      </c>
      <c r="AQ694" s="208" t="s">
        <v>134</v>
      </c>
      <c r="AR694" s="1079" t="s">
        <v>3741</v>
      </c>
      <c r="AS694" s="728">
        <v>6.056E-4</v>
      </c>
      <c r="AT694" s="407" t="s">
        <v>172</v>
      </c>
      <c r="AU694" s="407" t="s">
        <v>186</v>
      </c>
      <c r="AV694" s="398" t="s">
        <v>137</v>
      </c>
      <c r="AW694" s="409" t="s">
        <v>3732</v>
      </c>
      <c r="AX694" s="631" t="s">
        <v>143</v>
      </c>
      <c r="AY694" s="61" t="str">
        <f>IFERROR(__xludf.DUMMYFUNCTION("vlookup(BB694,importrange(""https://docs.google.com/spreadsheets/d/1d2vevQ_7D_v35q4wCQ4RpQ_IPoTwEMB9Yp6ymwlPqew/edit?gid=984458430#gid=984458430"", ""'replication success'!A:K""), 11, FAlSE)"),"mixed")</f>
        <v>mixed</v>
      </c>
      <c r="AZ694" s="61" t="str">
        <f>IFERROR(__xludf.DUMMYFUNCTION("vlookup(BB694,importrange(""https://docs.google.com/spreadsheets/d/1d2vevQ_7D_v35q4wCQ4RpQ_IPoTwEMB9Yp6ymwlPqew/edit?gid=984458430#gid=984458430"",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4" s="61" t="str">
        <f>IFERROR(__xludf.DUMMYFUNCTION("vlookup(BB694,importrange(""https://docs.google.com/spreadsheets/d/1d2vevQ_7D_v35q4wCQ4RpQ_IPoTwEMB9Yp6ymwlPqew/edit?gid=984458430#gid=984458430"",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4" s="61" t="str">
        <f>IFERROR(__xludf.DUMMYFUNCTION("REGEXREPLACE(G694, ""_[a-z]{1,2}$"", """")"),"Boyce_etal2023103")</f>
        <v>Boyce_etal2023103</v>
      </c>
      <c r="BC694" s="220"/>
      <c r="BD694" s="631" t="s">
        <v>3763</v>
      </c>
    </row>
    <row r="695" ht="20.25" customHeight="1">
      <c r="A695" s="44">
        <v>695.0</v>
      </c>
      <c r="B695" s="631" t="s">
        <v>152</v>
      </c>
      <c r="C695" s="397" t="s">
        <v>115</v>
      </c>
      <c r="D695" s="397" t="s">
        <v>153</v>
      </c>
      <c r="E695" s="220"/>
      <c r="F695" s="398" t="s">
        <v>3716</v>
      </c>
      <c r="G695" s="399" t="s">
        <v>3764</v>
      </c>
      <c r="H695" s="407" t="s">
        <v>153</v>
      </c>
      <c r="I695" s="345">
        <v>45722.0</v>
      </c>
      <c r="J695" s="400">
        <v>45692.0</v>
      </c>
      <c r="K695" s="1082" t="s">
        <v>3765</v>
      </c>
      <c r="L695" s="631" t="s">
        <v>3766</v>
      </c>
      <c r="M695" s="407" t="s">
        <v>3717</v>
      </c>
      <c r="N695" s="407" t="s">
        <v>3718</v>
      </c>
      <c r="O695" s="728">
        <v>1.0</v>
      </c>
      <c r="P695" s="1083" t="str">
        <f t="shared" si="37"/>
        <v>10.1037--xge0000263.pdf</v>
      </c>
      <c r="Q695" s="52" t="str">
        <f t="array" ref="Q695"> if(iserror(MATCH(V695, 'File Links'!C:C, 0)), "N/A", HYPERLINK(INDEX('File Links'!B:B, MATCH(P695, 'File Links'!C:C, 0))))</f>
        <v>https://drive.google.com/file/d/1dqZfs8CV4bFuIXsJrOSHM-_BKTXKhfGR/view?usp=drivesdk</v>
      </c>
      <c r="R695" s="646" t="s">
        <v>3767</v>
      </c>
      <c r="S695" s="407" t="s">
        <v>3654</v>
      </c>
      <c r="T695" s="398"/>
      <c r="U695" s="156">
        <v>1.0</v>
      </c>
      <c r="V695" s="407" t="str">
        <f t="shared" si="39"/>
        <v>10.1098--rsos.231240.pdf</v>
      </c>
      <c r="W695" s="407" t="s">
        <v>3726</v>
      </c>
      <c r="X695" s="54" t="str">
        <f t="array" ref="X695"> if(iserror(MATCH(V695, 'File Links'!C:C, 0)), "N/A", HYPERLINK(INDEX('File Links'!B:B, MATCH(V695, 'File Links'!C:C, 0))))</f>
        <v>https://drive.google.com/file/d/17gaf2Zy_ljFfcAEDk5L8GBnTl5i7RGJE/view?usp=drivesdk</v>
      </c>
      <c r="Y695" s="398"/>
      <c r="Z695" s="407" t="s">
        <v>148</v>
      </c>
      <c r="AA695" s="407" t="s">
        <v>3727</v>
      </c>
      <c r="AB695" s="407" t="s">
        <v>3728</v>
      </c>
      <c r="AC695" s="407" t="s">
        <v>3768</v>
      </c>
      <c r="AD695" s="407" t="s">
        <v>3769</v>
      </c>
      <c r="AE695" s="1084">
        <v>12.0</v>
      </c>
      <c r="AF695" s="728">
        <v>107.0</v>
      </c>
      <c r="AG695" s="644" t="s">
        <v>3770</v>
      </c>
      <c r="AH695" s="644" t="s">
        <v>134</v>
      </c>
      <c r="AI695" s="1084" t="s">
        <v>612</v>
      </c>
      <c r="AJ695" s="1085">
        <v>0.001</v>
      </c>
      <c r="AK695" s="399" t="s">
        <v>135</v>
      </c>
      <c r="AL695" s="399" t="s">
        <v>186</v>
      </c>
      <c r="AM695" s="407" t="s">
        <v>137</v>
      </c>
      <c r="AN695" s="1057" t="s">
        <v>138</v>
      </c>
      <c r="AO695" s="728">
        <v>56.0</v>
      </c>
      <c r="AP695" s="208" t="s">
        <v>3771</v>
      </c>
      <c r="AQ695" s="208" t="s">
        <v>134</v>
      </c>
      <c r="AR695" s="1079" t="s">
        <v>3741</v>
      </c>
      <c r="AS695" s="728">
        <v>0.7857</v>
      </c>
      <c r="AT695" s="407" t="s">
        <v>172</v>
      </c>
      <c r="AU695" s="407" t="s">
        <v>186</v>
      </c>
      <c r="AV695" s="398" t="s">
        <v>137</v>
      </c>
      <c r="AW695" s="409" t="s">
        <v>3732</v>
      </c>
      <c r="AX695" s="631" t="s">
        <v>143</v>
      </c>
      <c r="AY695" s="61" t="str">
        <f>IFERROR(__xludf.DUMMYFUNCTION("vlookup(BB695,importrange(""https://docs.google.com/spreadsheets/d/1d2vevQ_7D_v35q4wCQ4RpQ_IPoTwEMB9Yp6ymwlPqew/edit?gid=984458430#gid=984458430"", ""'replication success'!A:K""), 11, FAlSE)"),"mixed")</f>
        <v>mixed</v>
      </c>
      <c r="AZ695" s="61" t="str">
        <f>IFERROR(__xludf.DUMMYFUNCTION("vlookup(BB695,importrange(""https://docs.google.com/spreadsheets/d/1d2vevQ_7D_v35q4wCQ4RpQ_IPoTwEMB9Yp6ymwlPqew/edit?gid=984458430#gid=984458430"",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5" s="61" t="str">
        <f>IFERROR(__xludf.DUMMYFUNCTION("vlookup(BB695,importrange(""https://docs.google.com/spreadsheets/d/1d2vevQ_7D_v35q4wCQ4RpQ_IPoTwEMB9Yp6ymwlPqew/edit?gid=984458430#gid=984458430"",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5" s="61" t="str">
        <f>IFERROR(__xludf.DUMMYFUNCTION("REGEXREPLACE(G695, ""_[a-z]{1,2}$"", """")"),"Boyce_etal2023103")</f>
        <v>Boyce_etal2023103</v>
      </c>
      <c r="BC695" s="220"/>
      <c r="BD695" s="631" t="s">
        <v>3763</v>
      </c>
      <c r="BE695" s="189"/>
    </row>
    <row r="696" ht="20.25" customHeight="1">
      <c r="A696" s="44">
        <v>696.0</v>
      </c>
      <c r="B696" s="79" t="s">
        <v>152</v>
      </c>
      <c r="C696" s="93" t="s">
        <v>115</v>
      </c>
      <c r="D696" s="93" t="s">
        <v>153</v>
      </c>
      <c r="E696" s="92"/>
      <c r="F696" s="94" t="s">
        <v>3716</v>
      </c>
      <c r="G696" s="76" t="s">
        <v>3772</v>
      </c>
      <c r="H696" s="95" t="s">
        <v>153</v>
      </c>
      <c r="I696" s="853">
        <v>45687.0</v>
      </c>
      <c r="J696" s="1086">
        <v>45722.0</v>
      </c>
      <c r="K696" s="1087" t="s">
        <v>3773</v>
      </c>
      <c r="L696" s="94"/>
      <c r="M696" s="95" t="s">
        <v>3717</v>
      </c>
      <c r="N696" s="95" t="s">
        <v>3718</v>
      </c>
      <c r="O696" s="98">
        <v>1.0</v>
      </c>
      <c r="P696" s="937" t="str">
        <f t="shared" si="37"/>
        <v>10.1037--xge0000263.pdf</v>
      </c>
      <c r="Q696" s="52" t="str">
        <f t="array" ref="Q696"> if(iserror(MATCH(V696, 'File Links'!C:C, 0)), "N/A", HYPERLINK(INDEX('File Links'!B:B, MATCH(P696, 'File Links'!C:C, 0))))</f>
        <v>https://drive.google.com/file/d/1dqZfs8CV4bFuIXsJrOSHM-_BKTXKhfGR/view?usp=drivesdk</v>
      </c>
      <c r="R696" s="1088" t="s">
        <v>3774</v>
      </c>
      <c r="S696" s="95" t="s">
        <v>3654</v>
      </c>
      <c r="T696" s="94"/>
      <c r="U696" s="156">
        <v>1.0</v>
      </c>
      <c r="V696" s="95" t="str">
        <f t="shared" si="39"/>
        <v>10.1098--rsos.231240.pdf</v>
      </c>
      <c r="W696" s="95" t="s">
        <v>3726</v>
      </c>
      <c r="X696" s="54" t="str">
        <f t="array" ref="X696"> if(iserror(MATCH(V696, 'File Links'!C:C, 0)), "N/A", HYPERLINK(INDEX('File Links'!B:B, MATCH(V696, 'File Links'!C:C, 0))))</f>
        <v>https://drive.google.com/file/d/17gaf2Zy_ljFfcAEDk5L8GBnTl5i7RGJE/view?usp=drivesdk</v>
      </c>
      <c r="Y696" s="94"/>
      <c r="Z696" s="95" t="s">
        <v>148</v>
      </c>
      <c r="AA696" s="95" t="s">
        <v>3727</v>
      </c>
      <c r="AB696" s="95" t="s">
        <v>3728</v>
      </c>
      <c r="AC696" s="95" t="s">
        <v>3775</v>
      </c>
      <c r="AD696" s="95" t="s">
        <v>3776</v>
      </c>
      <c r="AE696" s="98">
        <v>13.0</v>
      </c>
      <c r="AF696" s="98">
        <v>107.0</v>
      </c>
      <c r="AG696" s="98">
        <v>0.25</v>
      </c>
      <c r="AH696" s="98" t="s">
        <v>874</v>
      </c>
      <c r="AI696" s="98" t="s">
        <v>436</v>
      </c>
      <c r="AJ696" s="633">
        <v>0.001</v>
      </c>
      <c r="AK696" s="76" t="s">
        <v>135</v>
      </c>
      <c r="AL696" s="76" t="s">
        <v>186</v>
      </c>
      <c r="AM696" s="95" t="s">
        <v>137</v>
      </c>
      <c r="AN696" s="219" t="s">
        <v>138</v>
      </c>
      <c r="AO696" s="98">
        <v>56.0</v>
      </c>
      <c r="AP696" s="1089">
        <v>-0.03345847</v>
      </c>
      <c r="AQ696" s="1089" t="s">
        <v>215</v>
      </c>
      <c r="AR696" s="1090" t="s">
        <v>3741</v>
      </c>
      <c r="AS696" s="1089">
        <v>0.2632</v>
      </c>
      <c r="AT696" s="95" t="s">
        <v>172</v>
      </c>
      <c r="AU696" s="95" t="s">
        <v>186</v>
      </c>
      <c r="AV696" s="94" t="s">
        <v>137</v>
      </c>
      <c r="AW696" s="102" t="s">
        <v>3732</v>
      </c>
      <c r="AX696" s="94" t="s">
        <v>151</v>
      </c>
      <c r="AY696" s="61" t="str">
        <f>IFERROR(__xludf.DUMMYFUNCTION("vlookup(BB696,importrange(""https://docs.google.com/spreadsheets/d/1d2vevQ_7D_v35q4wCQ4RpQ_IPoTwEMB9Yp6ymwlPqew/edit?gid=984458430#gid=984458430"", ""'replication success'!A:K""), 11, FAlSE)"),"mixed")</f>
        <v>mixed</v>
      </c>
      <c r="AZ696" s="61" t="str">
        <f>IFERROR(__xludf.DUMMYFUNCTION("vlookup(BB696,importrange(""https://docs.google.com/spreadsheets/d/1d2vevQ_7D_v35q4wCQ4RpQ_IPoTwEMB9Yp6ymwlPqew/edit?gid=984458430#gid=984458430"",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696" s="61" t="str">
        <f>IFERROR(__xludf.DUMMYFUNCTION("vlookup(BB696,importrange(""https://docs.google.com/spreadsheets/d/1d2vevQ_7D_v35q4wCQ4RpQ_IPoTwEMB9Yp6ymwlPqew/edit?gid=984458430#gid=984458430"",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v>
      </c>
      <c r="BB696" s="61" t="str">
        <f>IFERROR(__xludf.DUMMYFUNCTION("REGEXREPLACE(G696, ""_[a-z]{1,2}$"", """")"),"Boyce_etal2023103")</f>
        <v>Boyce_etal2023103</v>
      </c>
      <c r="BC696" s="92"/>
      <c r="BD696" s="79" t="s">
        <v>3763</v>
      </c>
    </row>
    <row r="697" ht="20.25" customHeight="1">
      <c r="A697" s="44">
        <v>697.0</v>
      </c>
      <c r="B697" s="68" t="s">
        <v>590</v>
      </c>
      <c r="C697" s="62" t="s">
        <v>115</v>
      </c>
      <c r="D697" s="62" t="s">
        <v>248</v>
      </c>
      <c r="F697" s="159" t="s">
        <v>3777</v>
      </c>
      <c r="G697" s="57" t="s">
        <v>3778</v>
      </c>
      <c r="H697" s="159" t="s">
        <v>249</v>
      </c>
      <c r="I697" s="152">
        <v>45669.0</v>
      </c>
      <c r="J697" s="1086">
        <v>45722.0</v>
      </c>
      <c r="K697" s="68"/>
      <c r="L697" s="68" t="s">
        <v>3779</v>
      </c>
      <c r="M697" s="159" t="s">
        <v>3780</v>
      </c>
      <c r="N697" s="159" t="s">
        <v>3718</v>
      </c>
      <c r="O697" s="68"/>
      <c r="P697" s="606" t="str">
        <f t="shared" si="37"/>
        <v>10.1037--xge0000263.pdf</v>
      </c>
      <c r="Q697" s="52" t="str">
        <f t="array" ref="Q697"> if(iserror(MATCH(V697, 'File Links'!C:C, 0)), "N/A", HYPERLINK(INDEX('File Links'!B:B, MATCH(P697, 'File Links'!C:C, 0))))</f>
        <v>https://drive.google.com/file/d/1dqZfs8CV4bFuIXsJrOSHM-_BKTXKhfGR/view?usp=drivesdk</v>
      </c>
      <c r="R697" s="159" t="s">
        <v>3653</v>
      </c>
      <c r="S697" s="159" t="s">
        <v>3654</v>
      </c>
      <c r="T697" s="68"/>
      <c r="U697" s="156">
        <v>1.0</v>
      </c>
      <c r="V697" s="198" t="str">
        <f t="shared" si="39"/>
        <v>10.1098--rsos.231240.pdf</v>
      </c>
      <c r="W697" s="159" t="s">
        <v>324</v>
      </c>
      <c r="X697" s="54" t="str">
        <f t="array" ref="X697"> if(iserror(MATCH(V697, 'File Links'!C:C, 0)), "N/A", HYPERLINK(INDEX('File Links'!B:B, MATCH(V697, 'File Links'!C:C, 0))))</f>
        <v>https://drive.google.com/file/d/17gaf2Zy_ljFfcAEDk5L8GBnTl5i7RGJE/view?usp=drivesdk</v>
      </c>
      <c r="Y697" s="68"/>
      <c r="Z697" s="159" t="s">
        <v>226</v>
      </c>
      <c r="AA697" s="68"/>
      <c r="AB697" s="159" t="s">
        <v>3781</v>
      </c>
      <c r="AC697" s="68"/>
      <c r="AD697" s="159" t="s">
        <v>3782</v>
      </c>
      <c r="AE697" s="1060" t="s">
        <v>3783</v>
      </c>
      <c r="AF697" s="156">
        <v>224.0</v>
      </c>
      <c r="AG697" s="156">
        <v>0.04</v>
      </c>
      <c r="AH697" s="159" t="s">
        <v>139</v>
      </c>
      <c r="AI697" s="1060" t="s">
        <v>3784</v>
      </c>
      <c r="AJ697" s="709">
        <v>0.002</v>
      </c>
      <c r="AK697" s="57" t="s">
        <v>172</v>
      </c>
      <c r="AL697" s="57" t="s">
        <v>186</v>
      </c>
      <c r="AM697" s="159" t="s">
        <v>141</v>
      </c>
      <c r="AN697" s="219" t="s">
        <v>138</v>
      </c>
      <c r="AO697" s="156">
        <v>148.0</v>
      </c>
      <c r="AP697" s="156">
        <v>-0.241428656113382</v>
      </c>
      <c r="AQ697" s="159" t="s">
        <v>173</v>
      </c>
      <c r="AR697" s="68"/>
      <c r="AS697" s="156">
        <v>0.0039689311852333</v>
      </c>
      <c r="AT697" s="159" t="s">
        <v>172</v>
      </c>
      <c r="AU697" s="159" t="s">
        <v>186</v>
      </c>
      <c r="AV697" s="159" t="s">
        <v>141</v>
      </c>
      <c r="AW697" s="68"/>
      <c r="AX697" s="159" t="s">
        <v>143</v>
      </c>
      <c r="AY697" s="61" t="str">
        <f>IFERROR(__xludf.DUMMYFUNCTION("vlookup(BB697,importrange(""https://docs.google.com/spreadsheets/d/1d2vevQ_7D_v35q4wCQ4RpQ_IPoTwEMB9Yp6ymwlPqew/edit?gid=984458430#gid=984458430"", ""'replication success'!A:K""), 11, FAlSE)"),"#N/A")</f>
        <v>#N/A</v>
      </c>
      <c r="AZ697" s="61" t="str">
        <f>IFERROR(__xludf.DUMMYFUNCTION("vlookup(BB697,importrange(""https://docs.google.com/spreadsheets/d/1d2vevQ_7D_v35q4wCQ4RpQ_IPoTwEMB9Yp6ymwlPqew/edit?gid=984458430#gid=984458430"", ""'replication success'!A:M""), 12, FAlSE)"),"#N/A")</f>
        <v>#N/A</v>
      </c>
      <c r="BA697" s="61" t="str">
        <f>IFERROR(__xludf.DUMMYFUNCTION("vlookup(BB697,importrange(""https://docs.google.com/spreadsheets/d/1d2vevQ_7D_v35q4wCQ4RpQ_IPoTwEMB9Yp6ymwlPqew/edit?gid=984458430#gid=984458430"", ""'replication success'!A:M""), 13, FAlSE)"),"#N/A")</f>
        <v>#N/A</v>
      </c>
      <c r="BB697" s="61" t="str">
        <f>IFERROR(__xludf.DUMMYFUNCTION("REGEXREPLACE(G697, ""_[a-z]{1,2}$"", """")"),"Boyce_etal2023104_1")</f>
        <v>Boyce_etal2023104_1</v>
      </c>
      <c r="BD697" s="129" t="s">
        <v>3763</v>
      </c>
      <c r="BE697" s="189"/>
    </row>
    <row r="698" ht="20.25" customHeight="1">
      <c r="A698" s="44">
        <v>698.0</v>
      </c>
      <c r="B698" s="79" t="s">
        <v>152</v>
      </c>
      <c r="C698" s="93" t="s">
        <v>115</v>
      </c>
      <c r="D698" s="93" t="s">
        <v>153</v>
      </c>
      <c r="E698" s="92"/>
      <c r="F698" s="94" t="s">
        <v>3778</v>
      </c>
      <c r="G698" s="76" t="s">
        <v>3785</v>
      </c>
      <c r="H698" s="95" t="s">
        <v>153</v>
      </c>
      <c r="I698" s="853">
        <v>45687.0</v>
      </c>
      <c r="J698" s="1086">
        <v>45722.0</v>
      </c>
      <c r="K698" s="1087" t="s">
        <v>3786</v>
      </c>
      <c r="L698" s="95" t="s">
        <v>3787</v>
      </c>
      <c r="M698" s="95" t="s">
        <v>3780</v>
      </c>
      <c r="N698" s="95" t="s">
        <v>3718</v>
      </c>
      <c r="O698" s="98">
        <v>4.0</v>
      </c>
      <c r="P698" s="937" t="str">
        <f t="shared" si="37"/>
        <v>10.1037--xge0000263.pdf</v>
      </c>
      <c r="Q698" s="52" t="str">
        <f t="array" ref="Q698"> if(iserror(MATCH(V698, 'File Links'!C:C, 0)), "N/A", HYPERLINK(INDEX('File Links'!B:B, MATCH(P698, 'File Links'!C:C, 0))))</f>
        <v>https://drive.google.com/file/d/1dqZfs8CV4bFuIXsJrOSHM-_BKTXKhfGR/view?usp=drivesdk</v>
      </c>
      <c r="R698" s="95" t="s">
        <v>3653</v>
      </c>
      <c r="S698" s="95" t="s">
        <v>3654</v>
      </c>
      <c r="T698" s="94"/>
      <c r="U698" s="156">
        <v>1.0</v>
      </c>
      <c r="V698" s="937" t="str">
        <f t="shared" si="39"/>
        <v>10.1098--rsos.231240.pdf</v>
      </c>
      <c r="W698" s="95" t="s">
        <v>3726</v>
      </c>
      <c r="X698" s="54" t="str">
        <f t="array" ref="X698"> if(iserror(MATCH(V698, 'File Links'!C:C, 0)), "N/A", HYPERLINK(INDEX('File Links'!B:B, MATCH(V698, 'File Links'!C:C, 0))))</f>
        <v>https://drive.google.com/file/d/17gaf2Zy_ljFfcAEDk5L8GBnTl5i7RGJE/view?usp=drivesdk</v>
      </c>
      <c r="Y698" s="94"/>
      <c r="Z698" s="95" t="s">
        <v>226</v>
      </c>
      <c r="AA698" s="95" t="s">
        <v>3788</v>
      </c>
      <c r="AB698" s="95" t="s">
        <v>3789</v>
      </c>
      <c r="AC698" s="95" t="s">
        <v>3790</v>
      </c>
      <c r="AD698" s="95" t="s">
        <v>3791</v>
      </c>
      <c r="AE698" s="1091">
        <v>9.0</v>
      </c>
      <c r="AF698" s="98">
        <v>224.0</v>
      </c>
      <c r="AG698" s="98">
        <v>0.08</v>
      </c>
      <c r="AH698" s="98" t="s">
        <v>139</v>
      </c>
      <c r="AI698" s="1091" t="s">
        <v>628</v>
      </c>
      <c r="AJ698" s="633">
        <v>0.001</v>
      </c>
      <c r="AK698" s="76" t="s">
        <v>135</v>
      </c>
      <c r="AL698" s="76" t="s">
        <v>186</v>
      </c>
      <c r="AM698" s="95" t="s">
        <v>141</v>
      </c>
      <c r="AN698" s="219" t="s">
        <v>138</v>
      </c>
      <c r="AO698" s="98">
        <v>148.0</v>
      </c>
      <c r="AP698" s="1092" t="s">
        <v>3792</v>
      </c>
      <c r="AQ698" s="98" t="s">
        <v>134</v>
      </c>
      <c r="AR698" s="98" t="s">
        <v>628</v>
      </c>
      <c r="AS698" s="98">
        <v>0.15</v>
      </c>
      <c r="AT698" s="95" t="s">
        <v>172</v>
      </c>
      <c r="AU698" s="95" t="s">
        <v>186</v>
      </c>
      <c r="AV698" s="94" t="s">
        <v>141</v>
      </c>
      <c r="AW698" s="102" t="s">
        <v>3793</v>
      </c>
      <c r="AX698" s="94" t="s">
        <v>151</v>
      </c>
      <c r="AY698" s="61" t="str">
        <f>IFERROR(__xludf.DUMMYFUNCTION("vlookup(BB698,importrange(""https://docs.google.com/spreadsheets/d/1d2vevQ_7D_v35q4wCQ4RpQ_IPoTwEMB9Yp6ymwlPqew/edit?gid=984458430#gid=984458430"", ""'replication success'!A:K""), 11, FAlSE)"),"#N/A")</f>
        <v>#N/A</v>
      </c>
      <c r="AZ698" s="61" t="str">
        <f>IFERROR(__xludf.DUMMYFUNCTION("vlookup(BB698,importrange(""https://docs.google.com/spreadsheets/d/1d2vevQ_7D_v35q4wCQ4RpQ_IPoTwEMB9Yp6ymwlPqew/edit?gid=984458430#gid=984458430"", ""'replication success'!A:M""), 12, FAlSE)"),"#N/A")</f>
        <v>#N/A</v>
      </c>
      <c r="BA698" s="61" t="str">
        <f>IFERROR(__xludf.DUMMYFUNCTION("vlookup(BB698,importrange(""https://docs.google.com/spreadsheets/d/1d2vevQ_7D_v35q4wCQ4RpQ_IPoTwEMB9Yp6ymwlPqew/edit?gid=984458430#gid=984458430"", ""'replication success'!A:M""), 13, FAlSE)"),"#N/A")</f>
        <v>#N/A</v>
      </c>
      <c r="BB698" s="61" t="str">
        <f>IFERROR(__xludf.DUMMYFUNCTION("REGEXREPLACE(G698, ""_[a-z]{1,2}$"", """")"),"Boyce_etal2023104")</f>
        <v>Boyce_etal2023104</v>
      </c>
      <c r="BC698" s="92"/>
      <c r="BD698" s="129" t="s">
        <v>3763</v>
      </c>
    </row>
    <row r="699" ht="20.25" customHeight="1">
      <c r="A699" s="44">
        <v>699.0</v>
      </c>
      <c r="B699" s="129" t="s">
        <v>152</v>
      </c>
      <c r="C699" s="62" t="s">
        <v>115</v>
      </c>
      <c r="D699" s="62" t="s">
        <v>153</v>
      </c>
      <c r="F699" s="68" t="s">
        <v>3778</v>
      </c>
      <c r="G699" s="57" t="s">
        <v>3794</v>
      </c>
      <c r="H699" s="159" t="s">
        <v>153</v>
      </c>
      <c r="I699" s="152">
        <v>45687.0</v>
      </c>
      <c r="J699" s="1086">
        <v>45722.0</v>
      </c>
      <c r="K699" s="1055" t="s">
        <v>3795</v>
      </c>
      <c r="L699" s="159" t="s">
        <v>3787</v>
      </c>
      <c r="M699" s="159" t="s">
        <v>3780</v>
      </c>
      <c r="N699" s="159" t="s">
        <v>3718</v>
      </c>
      <c r="O699" s="156">
        <v>4.0</v>
      </c>
      <c r="P699" s="606" t="str">
        <f t="shared" si="37"/>
        <v>10.1037--xge0000263.pdf</v>
      </c>
      <c r="Q699" s="52" t="str">
        <f t="array" ref="Q699"> if(iserror(MATCH(V699, 'File Links'!C:C, 0)), "N/A", HYPERLINK(INDEX('File Links'!B:B, MATCH(P699, 'File Links'!C:C, 0))))</f>
        <v>https://drive.google.com/file/d/1dqZfs8CV4bFuIXsJrOSHM-_BKTXKhfGR/view?usp=drivesdk</v>
      </c>
      <c r="R699" s="159" t="s">
        <v>3653</v>
      </c>
      <c r="S699" s="159" t="s">
        <v>3654</v>
      </c>
      <c r="T699" s="68"/>
      <c r="U699" s="156">
        <v>1.0</v>
      </c>
      <c r="V699" s="198" t="str">
        <f t="shared" si="39"/>
        <v>10.1098--rsos.231240.pdf</v>
      </c>
      <c r="W699" s="159" t="s">
        <v>3726</v>
      </c>
      <c r="X699" s="54" t="str">
        <f t="array" ref="X699"> if(iserror(MATCH(V699, 'File Links'!C:C, 0)), "N/A", HYPERLINK(INDEX('File Links'!B:B, MATCH(V699, 'File Links'!C:C, 0))))</f>
        <v>https://drive.google.com/file/d/17gaf2Zy_ljFfcAEDk5L8GBnTl5i7RGJE/view?usp=drivesdk</v>
      </c>
      <c r="Y699" s="68"/>
      <c r="Z699" s="159" t="s">
        <v>226</v>
      </c>
      <c r="AA699" s="159" t="s">
        <v>3788</v>
      </c>
      <c r="AB699" s="159" t="s">
        <v>3789</v>
      </c>
      <c r="AC699" s="159" t="s">
        <v>3796</v>
      </c>
      <c r="AD699" s="159" t="s">
        <v>3797</v>
      </c>
      <c r="AE699" s="1093">
        <v>9.0</v>
      </c>
      <c r="AF699" s="156">
        <v>224.0</v>
      </c>
      <c r="AG699" s="156">
        <v>0.05</v>
      </c>
      <c r="AH699" s="156" t="s">
        <v>139</v>
      </c>
      <c r="AI699" s="1093" t="s">
        <v>628</v>
      </c>
      <c r="AJ699" s="709">
        <v>0.001</v>
      </c>
      <c r="AK699" s="57" t="s">
        <v>135</v>
      </c>
      <c r="AL699" s="57" t="s">
        <v>186</v>
      </c>
      <c r="AM699" s="159" t="s">
        <v>141</v>
      </c>
      <c r="AN699" s="219" t="s">
        <v>138</v>
      </c>
      <c r="AO699" s="156">
        <v>148.0</v>
      </c>
      <c r="AP699" s="1092" t="s">
        <v>3798</v>
      </c>
      <c r="AQ699" s="156" t="s">
        <v>134</v>
      </c>
      <c r="AR699" s="156" t="s">
        <v>628</v>
      </c>
      <c r="AS699" s="156">
        <v>0.29</v>
      </c>
      <c r="AT699" s="159" t="s">
        <v>172</v>
      </c>
      <c r="AU699" s="159" t="s">
        <v>186</v>
      </c>
      <c r="AV699" s="68" t="s">
        <v>141</v>
      </c>
      <c r="AW699" s="435" t="s">
        <v>3793</v>
      </c>
      <c r="AX699" s="68" t="s">
        <v>151</v>
      </c>
      <c r="AY699" s="61" t="str">
        <f>IFERROR(__xludf.DUMMYFUNCTION("vlookup(BB699,importrange(""https://docs.google.com/spreadsheets/d/1d2vevQ_7D_v35q4wCQ4RpQ_IPoTwEMB9Yp6ymwlPqew/edit?gid=984458430#gid=984458430"", ""'replication success'!A:K""), 11, FAlSE)"),"#N/A")</f>
        <v>#N/A</v>
      </c>
      <c r="AZ699" s="61" t="str">
        <f>IFERROR(__xludf.DUMMYFUNCTION("vlookup(BB699,importrange(""https://docs.google.com/spreadsheets/d/1d2vevQ_7D_v35q4wCQ4RpQ_IPoTwEMB9Yp6ymwlPqew/edit?gid=984458430#gid=984458430"", ""'replication success'!A:M""), 12, FAlSE)"),"#N/A")</f>
        <v>#N/A</v>
      </c>
      <c r="BA699" s="61" t="str">
        <f>IFERROR(__xludf.DUMMYFUNCTION("vlookup(BB699,importrange(""https://docs.google.com/spreadsheets/d/1d2vevQ_7D_v35q4wCQ4RpQ_IPoTwEMB9Yp6ymwlPqew/edit?gid=984458430#gid=984458430"", ""'replication success'!A:M""), 13, FAlSE)"),"#N/A")</f>
        <v>#N/A</v>
      </c>
      <c r="BB699" s="61" t="str">
        <f>IFERROR(__xludf.DUMMYFUNCTION("REGEXREPLACE(G699, ""_[a-z]{1,2}$"", """")"),"Boyce_etal2023104")</f>
        <v>Boyce_etal2023104</v>
      </c>
      <c r="BD699" s="129" t="s">
        <v>3763</v>
      </c>
      <c r="BE699" s="189"/>
    </row>
    <row r="700" ht="20.25" customHeight="1">
      <c r="A700" s="44">
        <v>700.0</v>
      </c>
      <c r="B700" s="68" t="s">
        <v>114</v>
      </c>
      <c r="C700" s="62" t="s">
        <v>115</v>
      </c>
      <c r="D700" s="62" t="s">
        <v>248</v>
      </c>
      <c r="F700" s="159" t="s">
        <v>3799</v>
      </c>
      <c r="G700" s="57" t="s">
        <v>3800</v>
      </c>
      <c r="H700" s="159" t="s">
        <v>249</v>
      </c>
      <c r="I700" s="152">
        <v>45669.0</v>
      </c>
      <c r="J700" s="1086">
        <v>45722.0</v>
      </c>
      <c r="K700" s="437" t="s">
        <v>3801</v>
      </c>
      <c r="L700" s="68"/>
      <c r="M700" s="159" t="s">
        <v>3802</v>
      </c>
      <c r="N700" s="159" t="s">
        <v>3803</v>
      </c>
      <c r="O700" s="129"/>
      <c r="P700" s="606" t="str">
        <f t="shared" si="37"/>
        <v>10.1177--0956797618813092.pdf</v>
      </c>
      <c r="Q700" s="52" t="str">
        <f t="array" ref="Q700"> if(iserror(MATCH(V700, 'File Links'!C:C, 0)), "N/A", HYPERLINK(INDEX('File Links'!B:B, MATCH(P700, 'File Links'!C:C, 0))))</f>
        <v>https://drive.google.com/file/d/1Ql7nMbQXZeIyS5tduYv7gRTiVRXJB9Dk/view?usp=drivesdk</v>
      </c>
      <c r="R700" s="159" t="s">
        <v>3653</v>
      </c>
      <c r="S700" s="159" t="s">
        <v>3654</v>
      </c>
      <c r="T700" s="68"/>
      <c r="U700" s="156">
        <v>1.0</v>
      </c>
      <c r="V700" s="198" t="str">
        <f t="shared" si="39"/>
        <v>10.1098--rsos.231240.pdf</v>
      </c>
      <c r="W700" s="159" t="s">
        <v>3804</v>
      </c>
      <c r="X700" s="54" t="str">
        <f t="array" ref="X700"> if(iserror(MATCH(V700, 'File Links'!C:C, 0)), "N/A", HYPERLINK(INDEX('File Links'!B:B, MATCH(V700, 'File Links'!C:C, 0))))</f>
        <v>https://drive.google.com/file/d/17gaf2Zy_ljFfcAEDk5L8GBnTl5i7RGJE/view?usp=drivesdk</v>
      </c>
      <c r="Y700" s="68"/>
      <c r="Z700" s="159" t="s">
        <v>226</v>
      </c>
      <c r="AA700" s="68"/>
      <c r="AB700" s="159" t="s">
        <v>3805</v>
      </c>
      <c r="AC700" s="68"/>
      <c r="AD700" s="159" t="s">
        <v>138</v>
      </c>
      <c r="AE700" s="159" t="s">
        <v>138</v>
      </c>
      <c r="AF700" s="156">
        <v>30.0</v>
      </c>
      <c r="AG700" s="68"/>
      <c r="AH700" s="167" t="s">
        <v>138</v>
      </c>
      <c r="AI700" s="159" t="s">
        <v>138</v>
      </c>
      <c r="AJ700" s="339" t="s">
        <v>138</v>
      </c>
      <c r="AK700" s="61"/>
      <c r="AL700" s="57" t="s">
        <v>186</v>
      </c>
      <c r="AM700" s="159" t="s">
        <v>1905</v>
      </c>
      <c r="AN700" s="219" t="s">
        <v>138</v>
      </c>
      <c r="AO700" s="156">
        <v>27.0</v>
      </c>
      <c r="AP700" s="156">
        <v>1.23873102223789</v>
      </c>
      <c r="AQ700" s="159" t="s">
        <v>173</v>
      </c>
      <c r="AR700" s="68"/>
      <c r="AS700" s="156">
        <v>0.00173447003936064</v>
      </c>
      <c r="AT700" s="159" t="s">
        <v>172</v>
      </c>
      <c r="AU700" s="159" t="s">
        <v>186</v>
      </c>
      <c r="AV700" s="159" t="s">
        <v>1905</v>
      </c>
      <c r="AW700" s="68"/>
      <c r="AX700" s="159" t="s">
        <v>143</v>
      </c>
      <c r="AY700" s="61" t="str">
        <f>IFERROR(__xludf.DUMMYFUNCTION("vlookup(BB700,importrange(""https://docs.google.com/spreadsheets/d/1d2vevQ_7D_v35q4wCQ4RpQ_IPoTwEMB9Yp6ymwlPqew/edit?gid=984458430#gid=984458430"", ""'replication success'!A:K""), 11, FAlSE)"),"#N/A")</f>
        <v>#N/A</v>
      </c>
      <c r="AZ700" s="61" t="str">
        <f>IFERROR(__xludf.DUMMYFUNCTION("vlookup(BB700,importrange(""https://docs.google.com/spreadsheets/d/1d2vevQ_7D_v35q4wCQ4RpQ_IPoTwEMB9Yp6ymwlPqew/edit?gid=984458430#gid=984458430"", ""'replication success'!A:M""), 12, FAlSE)"),"#N/A")</f>
        <v>#N/A</v>
      </c>
      <c r="BA700" s="61" t="str">
        <f>IFERROR(__xludf.DUMMYFUNCTION("vlookup(BB700,importrange(""https://docs.google.com/spreadsheets/d/1d2vevQ_7D_v35q4wCQ4RpQ_IPoTwEMB9Yp6ymwlPqew/edit?gid=984458430#gid=984458430"", ""'replication success'!A:M""), 13, FAlSE)"),"#N/A")</f>
        <v>#N/A</v>
      </c>
      <c r="BB700" s="61" t="str">
        <f>IFERROR(__xludf.DUMMYFUNCTION("REGEXREPLACE(G700, ""_[a-z]{1,2}$"", """")"),"Boyce_etal2023105_1")</f>
        <v>Boyce_etal2023105_1</v>
      </c>
      <c r="BD700" s="129" t="s">
        <v>3763</v>
      </c>
    </row>
    <row r="701" ht="20.25" customHeight="1">
      <c r="A701" s="44">
        <v>701.0</v>
      </c>
      <c r="B701" s="129" t="s">
        <v>114</v>
      </c>
      <c r="C701" s="62" t="s">
        <v>115</v>
      </c>
      <c r="D701" s="62" t="s">
        <v>153</v>
      </c>
      <c r="F701" s="68" t="s">
        <v>3800</v>
      </c>
      <c r="G701" s="57" t="s">
        <v>3799</v>
      </c>
      <c r="H701" s="159" t="s">
        <v>153</v>
      </c>
      <c r="I701" s="152">
        <v>45687.0</v>
      </c>
      <c r="J701" s="1086">
        <v>45722.0</v>
      </c>
      <c r="K701" s="439" t="s">
        <v>3806</v>
      </c>
      <c r="L701" s="68"/>
      <c r="M701" s="159" t="s">
        <v>3802</v>
      </c>
      <c r="N701" s="159" t="s">
        <v>3803</v>
      </c>
      <c r="O701" s="156">
        <v>3.0</v>
      </c>
      <c r="P701" s="606" t="str">
        <f t="shared" si="37"/>
        <v>10.1177--0956797618813092.pdf</v>
      </c>
      <c r="Q701" s="52" t="str">
        <f t="array" ref="Q701"> if(iserror(MATCH(V701, 'File Links'!C:C, 0)), "N/A", HYPERLINK(INDEX('File Links'!B:B, MATCH(P701, 'File Links'!C:C, 0))))</f>
        <v>https://drive.google.com/file/d/1Ql7nMbQXZeIyS5tduYv7gRTiVRXJB9Dk/view?usp=drivesdk</v>
      </c>
      <c r="R701" s="159" t="s">
        <v>3653</v>
      </c>
      <c r="S701" s="159" t="s">
        <v>3654</v>
      </c>
      <c r="T701" s="68"/>
      <c r="U701" s="156">
        <v>1.0</v>
      </c>
      <c r="V701" s="382" t="s">
        <v>3658</v>
      </c>
      <c r="W701" s="159" t="s">
        <v>3807</v>
      </c>
      <c r="X701" s="54" t="str">
        <f t="array" ref="X701"> if(iserror(MATCH(V701, 'File Links'!C:C, 0)), "N/A", HYPERLINK(INDEX('File Links'!B:B, MATCH(V701, 'File Links'!C:C, 0))))</f>
        <v>https://drive.google.com/file/d/17gaf2Zy_ljFfcAEDk5L8GBnTl5i7RGJE/view?usp=drivesdk</v>
      </c>
      <c r="Y701" s="159" t="s">
        <v>3808</v>
      </c>
      <c r="Z701" s="68"/>
      <c r="AA701" s="68"/>
      <c r="AB701" s="68"/>
      <c r="AC701" s="68"/>
      <c r="AD701" s="68"/>
      <c r="AE701" s="68"/>
      <c r="AF701" s="68"/>
      <c r="AG701" s="68"/>
      <c r="AH701" s="68"/>
      <c r="AI701" s="68"/>
      <c r="AJ701" s="338"/>
      <c r="AK701" s="61"/>
      <c r="AL701" s="61"/>
      <c r="AM701" s="68"/>
      <c r="AN701" s="219" t="s">
        <v>138</v>
      </c>
      <c r="AO701" s="68"/>
      <c r="AP701" s="68"/>
      <c r="AQ701" s="68"/>
      <c r="AR701" s="68"/>
      <c r="AS701" s="68"/>
      <c r="AT701" s="68"/>
      <c r="AU701" s="68"/>
      <c r="AV701" s="68"/>
      <c r="AW701" s="68"/>
      <c r="AX701" s="68"/>
      <c r="AY701" s="61" t="str">
        <f>IFERROR(__xludf.DUMMYFUNCTION("vlookup(BB701,importrange(""https://docs.google.com/spreadsheets/d/1d2vevQ_7D_v35q4wCQ4RpQ_IPoTwEMB9Yp6ymwlPqew/edit?gid=984458430#gid=984458430"", ""'replication success'!A:K""), 11, FAlSE)"),"#N/A")</f>
        <v>#N/A</v>
      </c>
      <c r="AZ701" s="61" t="str">
        <f>IFERROR(__xludf.DUMMYFUNCTION("vlookup(BB701,importrange(""https://docs.google.com/spreadsheets/d/1d2vevQ_7D_v35q4wCQ4RpQ_IPoTwEMB9Yp6ymwlPqew/edit?gid=984458430#gid=984458430"", ""'replication success'!A:M""), 12, FAlSE)"),"#N/A")</f>
        <v>#N/A</v>
      </c>
      <c r="BA701" s="61" t="str">
        <f>IFERROR(__xludf.DUMMYFUNCTION("vlookup(BB701,importrange(""https://docs.google.com/spreadsheets/d/1d2vevQ_7D_v35q4wCQ4RpQ_IPoTwEMB9Yp6ymwlPqew/edit?gid=984458430#gid=984458430"", ""'replication success'!A:M""), 13, FAlSE)"),"#N/A")</f>
        <v>#N/A</v>
      </c>
      <c r="BB701" s="61" t="str">
        <f>IFERROR(__xludf.DUMMYFUNCTION("REGEXREPLACE(G701, ""_[a-z]{1,2}$"", """")"),"Boyce_etal2023105")</f>
        <v>Boyce_etal2023105</v>
      </c>
      <c r="BD701" s="129" t="s">
        <v>3763</v>
      </c>
      <c r="BE701" s="189"/>
    </row>
    <row r="702" ht="20.25" customHeight="1">
      <c r="A702" s="44">
        <v>702.0</v>
      </c>
      <c r="B702" s="374" t="s">
        <v>114</v>
      </c>
      <c r="C702" s="188" t="s">
        <v>115</v>
      </c>
      <c r="D702" s="188" t="s">
        <v>248</v>
      </c>
      <c r="E702" s="189"/>
      <c r="F702" s="198" t="s">
        <v>3809</v>
      </c>
      <c r="G702" s="58" t="s">
        <v>3810</v>
      </c>
      <c r="H702" s="198" t="s">
        <v>249</v>
      </c>
      <c r="I702" s="191">
        <v>45669.0</v>
      </c>
      <c r="J702" s="1086">
        <v>45722.0</v>
      </c>
      <c r="K702" s="190"/>
      <c r="L702" s="198" t="s">
        <v>3811</v>
      </c>
      <c r="M702" s="198" t="s">
        <v>3812</v>
      </c>
      <c r="N702" s="198" t="s">
        <v>3813</v>
      </c>
      <c r="O702" s="1094">
        <v>3.0</v>
      </c>
      <c r="P702" s="977" t="str">
        <f t="shared" si="37"/>
        <v>10.1177--1747021817744546.pdf</v>
      </c>
      <c r="Q702" s="52" t="str">
        <f t="array" ref="Q702"> if(iserror(MATCH(V702, 'File Links'!C:C, 0)), "N/A", HYPERLINK(INDEX('File Links'!B:B, MATCH(P702, 'File Links'!C:C, 0))))</f>
        <v>https://drive.google.com/file/d/12tiBV9g0PDIUv5jLNU3H9ESLvqe3_su6/view?usp=drivesdk</v>
      </c>
      <c r="R702" s="198" t="s">
        <v>3653</v>
      </c>
      <c r="S702" s="198" t="s">
        <v>3654</v>
      </c>
      <c r="T702" s="190"/>
      <c r="U702" s="156">
        <v>1.0</v>
      </c>
      <c r="V702" s="198" t="str">
        <f t="shared" ref="V702:V740" si="40"> hyperlink(vlookup(lower(S702),#REF!, 2, FALSE), SUBSTITUTE(lower(S702), "/", "--") &amp;  ".pdf")</f>
        <v>10.1098--rsos.231240.pdf</v>
      </c>
      <c r="W702" s="871" t="s">
        <v>3671</v>
      </c>
      <c r="X702" s="54" t="str">
        <f t="array" ref="X702"> if(iserror(MATCH(V702, 'File Links'!C:C, 0)), "N/A", HYPERLINK(INDEX('File Links'!B:B, MATCH(V702, 'File Links'!C:C, 0))))</f>
        <v>https://drive.google.com/file/d/17gaf2Zy_ljFfcAEDk5L8GBnTl5i7RGJE/view?usp=drivesdk</v>
      </c>
      <c r="Y702" s="190"/>
      <c r="Z702" s="198" t="s">
        <v>148</v>
      </c>
      <c r="AA702" s="1095" t="s">
        <v>3814</v>
      </c>
      <c r="AB702" s="1095" t="s">
        <v>3815</v>
      </c>
      <c r="AC702" s="1095" t="s">
        <v>3816</v>
      </c>
      <c r="AD702" s="871" t="s">
        <v>3817</v>
      </c>
      <c r="AE702" s="758">
        <v>10.0</v>
      </c>
      <c r="AF702" s="758">
        <v>611.0</v>
      </c>
      <c r="AG702" s="758">
        <v>1.4</v>
      </c>
      <c r="AH702" s="1096" t="s">
        <v>173</v>
      </c>
      <c r="AI702" s="198" t="s">
        <v>630</v>
      </c>
      <c r="AJ702" s="875">
        <v>0.001</v>
      </c>
      <c r="AK702" s="58" t="s">
        <v>135</v>
      </c>
      <c r="AL702" s="58" t="s">
        <v>186</v>
      </c>
      <c r="AM702" s="198" t="s">
        <v>141</v>
      </c>
      <c r="AN702" s="575" t="s">
        <v>138</v>
      </c>
      <c r="AO702" s="758">
        <v>81.0</v>
      </c>
      <c r="AP702" s="758">
        <v>0.606295070252775</v>
      </c>
      <c r="AQ702" s="198" t="s">
        <v>173</v>
      </c>
      <c r="AR702" s="190"/>
      <c r="AS702" s="758">
        <f>IFERROR(__xludf.DUMMYFUNCTION("6.21*10^-7"),6.21E-7)</f>
        <v>0.000000621</v>
      </c>
      <c r="AT702" s="198" t="s">
        <v>172</v>
      </c>
      <c r="AU702" s="198" t="s">
        <v>186</v>
      </c>
      <c r="AV702" s="198" t="s">
        <v>141</v>
      </c>
      <c r="AW702" s="1097" t="s">
        <v>3818</v>
      </c>
      <c r="AX702" s="198" t="s">
        <v>143</v>
      </c>
      <c r="AY702" s="61" t="str">
        <f>IFERROR(__xludf.DUMMYFUNCTION("vlookup(BB702,importrange(""https://docs.google.com/spreadsheets/d/1d2vevQ_7D_v35q4wCQ4RpQ_IPoTwEMB9Yp6ymwlPqew/edit?gid=984458430#gid=984458430"", ""'replication success'!A:K""), 11, FAlSE)"),"#N/A")</f>
        <v>#N/A</v>
      </c>
      <c r="AZ702" s="61" t="str">
        <f>IFERROR(__xludf.DUMMYFUNCTION("vlookup(BB702,importrange(""https://docs.google.com/spreadsheets/d/1d2vevQ_7D_v35q4wCQ4RpQ_IPoTwEMB9Yp6ymwlPqew/edit?gid=984458430#gid=984458430"", ""'replication success'!A:M""), 12, FAlSE)"),"#N/A")</f>
        <v>#N/A</v>
      </c>
      <c r="BA702" s="61" t="str">
        <f>IFERROR(__xludf.DUMMYFUNCTION("vlookup(BB702,importrange(""https://docs.google.com/spreadsheets/d/1d2vevQ_7D_v35q4wCQ4RpQ_IPoTwEMB9Yp6ymwlPqew/edit?gid=984458430#gid=984458430"", ""'replication success'!A:M""), 13, FAlSE)"),"#N/A")</f>
        <v>#N/A</v>
      </c>
      <c r="BB702" s="61" t="str">
        <f>IFERROR(__xludf.DUMMYFUNCTION("REGEXREPLACE(G702, ""_[a-z]{1,2}$"", """")"),"Boyce_etal2023106_1")</f>
        <v>Boyce_etal2023106_1</v>
      </c>
      <c r="BC702" s="189"/>
      <c r="BD702" s="129" t="s">
        <v>3763</v>
      </c>
    </row>
    <row r="703" ht="20.25" customHeight="1">
      <c r="A703" s="44">
        <v>703.0</v>
      </c>
      <c r="B703" s="374" t="s">
        <v>152</v>
      </c>
      <c r="C703" s="188" t="s">
        <v>115</v>
      </c>
      <c r="D703" s="188" t="s">
        <v>153</v>
      </c>
      <c r="E703" s="189"/>
      <c r="F703" s="190" t="s">
        <v>3810</v>
      </c>
      <c r="G703" s="58" t="s">
        <v>3819</v>
      </c>
      <c r="H703" s="198" t="s">
        <v>153</v>
      </c>
      <c r="I703" s="191">
        <v>45687.0</v>
      </c>
      <c r="J703" s="1086">
        <v>45722.0</v>
      </c>
      <c r="K703" s="1098" t="s">
        <v>3820</v>
      </c>
      <c r="L703" s="198" t="s">
        <v>3811</v>
      </c>
      <c r="M703" s="198" t="s">
        <v>3812</v>
      </c>
      <c r="N703" s="198" t="s">
        <v>3813</v>
      </c>
      <c r="O703" s="758">
        <v>3.0</v>
      </c>
      <c r="P703" s="977" t="str">
        <f t="shared" si="37"/>
        <v>10.1177--1747021817744546.pdf</v>
      </c>
      <c r="Q703" s="52" t="str">
        <f t="array" ref="Q703"> if(iserror(MATCH(V703, 'File Links'!C:C, 0)), "N/A", HYPERLINK(INDEX('File Links'!B:B, MATCH(P703, 'File Links'!C:C, 0))))</f>
        <v>https://drive.google.com/file/d/12tiBV9g0PDIUv5jLNU3H9ESLvqe3_su6/view?usp=drivesdk</v>
      </c>
      <c r="R703" s="198" t="s">
        <v>3653</v>
      </c>
      <c r="S703" s="198" t="s">
        <v>3654</v>
      </c>
      <c r="T703" s="190"/>
      <c r="U703" s="156">
        <v>1.0</v>
      </c>
      <c r="V703" s="198" t="str">
        <f t="shared" si="40"/>
        <v>10.1098--rsos.231240.pdf</v>
      </c>
      <c r="W703" s="198" t="s">
        <v>3671</v>
      </c>
      <c r="X703" s="54" t="str">
        <f t="array" ref="X703"> if(iserror(MATCH(V703, 'File Links'!C:C, 0)), "N/A", HYPERLINK(INDEX('File Links'!B:B, MATCH(V703, 'File Links'!C:C, 0))))</f>
        <v>https://drive.google.com/file/d/17gaf2Zy_ljFfcAEDk5L8GBnTl5i7RGJE/view?usp=drivesdk</v>
      </c>
      <c r="Y703" s="190"/>
      <c r="Z703" s="198" t="s">
        <v>148</v>
      </c>
      <c r="AA703" s="198" t="s">
        <v>3814</v>
      </c>
      <c r="AB703" s="198" t="s">
        <v>3815</v>
      </c>
      <c r="AC703" s="198" t="s">
        <v>3816</v>
      </c>
      <c r="AD703" s="198" t="s">
        <v>3817</v>
      </c>
      <c r="AE703" s="758">
        <v>10.0</v>
      </c>
      <c r="AF703" s="758">
        <v>611.0</v>
      </c>
      <c r="AG703" s="758">
        <v>1.4</v>
      </c>
      <c r="AH703" s="758" t="s">
        <v>173</v>
      </c>
      <c r="AI703" s="758" t="s">
        <v>632</v>
      </c>
      <c r="AJ703" s="875">
        <v>0.001</v>
      </c>
      <c r="AK703" s="58" t="s">
        <v>135</v>
      </c>
      <c r="AL703" s="58" t="s">
        <v>186</v>
      </c>
      <c r="AM703" s="198" t="s">
        <v>141</v>
      </c>
      <c r="AN703" s="575" t="s">
        <v>138</v>
      </c>
      <c r="AO703" s="758">
        <v>81.0</v>
      </c>
      <c r="AP703" s="378" t="s">
        <v>3821</v>
      </c>
      <c r="AQ703" s="758" t="s">
        <v>134</v>
      </c>
      <c r="AR703" s="794" t="s">
        <v>3822</v>
      </c>
      <c r="AS703" s="758">
        <f>IFERROR(__xludf.DUMMYFUNCTION("9.322*10^-6"),9.321999999999998E-6)</f>
        <v>0.000009322</v>
      </c>
      <c r="AT703" s="198" t="s">
        <v>172</v>
      </c>
      <c r="AU703" s="198" t="s">
        <v>186</v>
      </c>
      <c r="AV703" s="198" t="s">
        <v>141</v>
      </c>
      <c r="AW703" s="877" t="s">
        <v>3818</v>
      </c>
      <c r="AX703" s="190" t="s">
        <v>143</v>
      </c>
      <c r="AY703" s="61" t="str">
        <f>IFERROR(__xludf.DUMMYFUNCTION("vlookup(BB703,importrange(""https://docs.google.com/spreadsheets/d/1d2vevQ_7D_v35q4wCQ4RpQ_IPoTwEMB9Yp6ymwlPqew/edit?gid=984458430#gid=984458430"", ""'replication success'!A:K""), 11, FAlSE)"),"mixed")</f>
        <v>mixed</v>
      </c>
      <c r="AZ703" s="61" t="str">
        <f>IFERROR(__xludf.DUMMYFUNCTION("vlookup(BB703,importrange(""https://docs.google.com/spreadsheets/d/1d2vevQ_7D_v35q4wCQ4RpQ_IPoTwEMB9Yp6ymwlPqew/edit?gid=984458430#gid=984458430"",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3" s="61" t="str">
        <f>IFERROR(__xludf.DUMMYFUNCTION("vlookup(BB703,importrange(""https://docs.google.com/spreadsheets/d/1d2vevQ_7D_v35q4wCQ4RpQ_IPoTwEMB9Yp6ymwlPqew/edit?gid=984458430#gid=984458430"",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3" s="61" t="str">
        <f>IFERROR(__xludf.DUMMYFUNCTION("REGEXREPLACE(G703, ""_[a-z]{1,2}$"", """")"),"Boyce_etal2023106")</f>
        <v>Boyce_etal2023106</v>
      </c>
      <c r="BC703" s="189"/>
      <c r="BD703" s="129" t="s">
        <v>3763</v>
      </c>
      <c r="BE703" s="189"/>
    </row>
    <row r="704" ht="20.25" customHeight="1">
      <c r="A704" s="44">
        <v>704.0</v>
      </c>
      <c r="B704" s="374" t="s">
        <v>152</v>
      </c>
      <c r="C704" s="188" t="s">
        <v>115</v>
      </c>
      <c r="D704" s="188" t="s">
        <v>153</v>
      </c>
      <c r="E704" s="189"/>
      <c r="F704" s="190" t="s">
        <v>3810</v>
      </c>
      <c r="G704" s="58" t="s">
        <v>3823</v>
      </c>
      <c r="H704" s="198" t="s">
        <v>153</v>
      </c>
      <c r="I704" s="191">
        <v>45687.0</v>
      </c>
      <c r="J704" s="1086">
        <v>45722.0</v>
      </c>
      <c r="K704" s="1098" t="s">
        <v>3824</v>
      </c>
      <c r="L704" s="190"/>
      <c r="M704" s="198" t="s">
        <v>3812</v>
      </c>
      <c r="N704" s="198" t="s">
        <v>3813</v>
      </c>
      <c r="O704" s="758">
        <v>3.0</v>
      </c>
      <c r="P704" s="977" t="str">
        <f t="shared" si="37"/>
        <v>10.1177--1747021817744546.pdf</v>
      </c>
      <c r="Q704" s="52" t="str">
        <f t="array" ref="Q704"> if(iserror(MATCH(V704, 'File Links'!C:C, 0)), "N/A", HYPERLINK(INDEX('File Links'!B:B, MATCH(P704, 'File Links'!C:C, 0))))</f>
        <v>https://drive.google.com/file/d/12tiBV9g0PDIUv5jLNU3H9ESLvqe3_su6/view?usp=drivesdk</v>
      </c>
      <c r="R704" s="198" t="s">
        <v>3653</v>
      </c>
      <c r="S704" s="198" t="s">
        <v>3654</v>
      </c>
      <c r="T704" s="190"/>
      <c r="U704" s="156">
        <v>1.0</v>
      </c>
      <c r="V704" s="198" t="str">
        <f t="shared" si="40"/>
        <v>10.1098--rsos.231240.pdf</v>
      </c>
      <c r="W704" s="198" t="s">
        <v>3671</v>
      </c>
      <c r="X704" s="54" t="str">
        <f t="array" ref="X704"> if(iserror(MATCH(V704, 'File Links'!C:C, 0)), "N/A", HYPERLINK(INDEX('File Links'!B:B, MATCH(V704, 'File Links'!C:C, 0))))</f>
        <v>https://drive.google.com/file/d/17gaf2Zy_ljFfcAEDk5L8GBnTl5i7RGJE/view?usp=drivesdk</v>
      </c>
      <c r="Y704" s="190"/>
      <c r="Z704" s="198" t="s">
        <v>148</v>
      </c>
      <c r="AA704" s="198" t="s">
        <v>3814</v>
      </c>
      <c r="AB704" s="198" t="s">
        <v>3815</v>
      </c>
      <c r="AC704" s="198" t="s">
        <v>3825</v>
      </c>
      <c r="AD704" s="198" t="s">
        <v>3826</v>
      </c>
      <c r="AE704" s="758">
        <v>10.0</v>
      </c>
      <c r="AF704" s="758">
        <v>611.0</v>
      </c>
      <c r="AG704" s="758">
        <v>0.863</v>
      </c>
      <c r="AH704" s="758" t="s">
        <v>134</v>
      </c>
      <c r="AI704" s="758" t="s">
        <v>632</v>
      </c>
      <c r="AJ704" s="875">
        <v>0.1</v>
      </c>
      <c r="AK704" s="58" t="s">
        <v>135</v>
      </c>
      <c r="AL704" s="58" t="s">
        <v>186</v>
      </c>
      <c r="AM704" s="198" t="s">
        <v>141</v>
      </c>
      <c r="AN704" s="575" t="s">
        <v>138</v>
      </c>
      <c r="AO704" s="758">
        <v>81.0</v>
      </c>
      <c r="AP704" s="758" t="s">
        <v>3827</v>
      </c>
      <c r="AQ704" s="758" t="s">
        <v>134</v>
      </c>
      <c r="AR704" s="794" t="s">
        <v>3822</v>
      </c>
      <c r="AS704" s="758">
        <v>0.01454</v>
      </c>
      <c r="AT704" s="198" t="s">
        <v>172</v>
      </c>
      <c r="AU704" s="198" t="s">
        <v>186</v>
      </c>
      <c r="AV704" s="198" t="s">
        <v>141</v>
      </c>
      <c r="AW704" s="877" t="s">
        <v>3818</v>
      </c>
      <c r="AX704" s="190" t="s">
        <v>143</v>
      </c>
      <c r="AY704" s="61" t="str">
        <f>IFERROR(__xludf.DUMMYFUNCTION("vlookup(BB704,importrange(""https://docs.google.com/spreadsheets/d/1d2vevQ_7D_v35q4wCQ4RpQ_IPoTwEMB9Yp6ymwlPqew/edit?gid=984458430#gid=984458430"", ""'replication success'!A:K""), 11, FAlSE)"),"mixed")</f>
        <v>mixed</v>
      </c>
      <c r="AZ704" s="61" t="str">
        <f>IFERROR(__xludf.DUMMYFUNCTION("vlookup(BB704,importrange(""https://docs.google.com/spreadsheets/d/1d2vevQ_7D_v35q4wCQ4RpQ_IPoTwEMB9Yp6ymwlPqew/edit?gid=984458430#gid=984458430"",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4" s="61" t="str">
        <f>IFERROR(__xludf.DUMMYFUNCTION("vlookup(BB704,importrange(""https://docs.google.com/spreadsheets/d/1d2vevQ_7D_v35q4wCQ4RpQ_IPoTwEMB9Yp6ymwlPqew/edit?gid=984458430#gid=984458430"",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4" s="61" t="str">
        <f>IFERROR(__xludf.DUMMYFUNCTION("REGEXREPLACE(G704, ""_[a-z]{1,2}$"", """")"),"Boyce_etal2023106")</f>
        <v>Boyce_etal2023106</v>
      </c>
      <c r="BC704" s="189"/>
      <c r="BD704" s="129" t="s">
        <v>3763</v>
      </c>
    </row>
    <row r="705" ht="20.25" customHeight="1">
      <c r="A705" s="44">
        <v>705.0</v>
      </c>
      <c r="B705" s="374" t="s">
        <v>152</v>
      </c>
      <c r="C705" s="188" t="s">
        <v>115</v>
      </c>
      <c r="D705" s="188" t="s">
        <v>153</v>
      </c>
      <c r="E705" s="189"/>
      <c r="F705" s="190" t="s">
        <v>3810</v>
      </c>
      <c r="G705" s="58" t="s">
        <v>3828</v>
      </c>
      <c r="H705" s="198" t="s">
        <v>153</v>
      </c>
      <c r="I705" s="191">
        <v>45687.0</v>
      </c>
      <c r="J705" s="1086">
        <v>45722.0</v>
      </c>
      <c r="K705" s="1098" t="s">
        <v>3829</v>
      </c>
      <c r="L705" s="190"/>
      <c r="M705" s="198" t="s">
        <v>3812</v>
      </c>
      <c r="N705" s="198" t="s">
        <v>3813</v>
      </c>
      <c r="O705" s="758">
        <v>3.0</v>
      </c>
      <c r="P705" s="977" t="str">
        <f t="shared" si="37"/>
        <v>10.1177--1747021817744546.pdf</v>
      </c>
      <c r="Q705" s="52" t="str">
        <f t="array" ref="Q705"> if(iserror(MATCH(V705, 'File Links'!C:C, 0)), "N/A", HYPERLINK(INDEX('File Links'!B:B, MATCH(P705, 'File Links'!C:C, 0))))</f>
        <v>https://drive.google.com/file/d/12tiBV9g0PDIUv5jLNU3H9ESLvqe3_su6/view?usp=drivesdk</v>
      </c>
      <c r="R705" s="198" t="s">
        <v>3653</v>
      </c>
      <c r="S705" s="198" t="s">
        <v>3654</v>
      </c>
      <c r="T705" s="190"/>
      <c r="U705" s="156">
        <v>1.0</v>
      </c>
      <c r="V705" s="198" t="str">
        <f t="shared" si="40"/>
        <v>10.1098--rsos.231240.pdf</v>
      </c>
      <c r="W705" s="198" t="s">
        <v>3671</v>
      </c>
      <c r="X705" s="54" t="str">
        <f t="array" ref="X705"> if(iserror(MATCH(V705, 'File Links'!C:C, 0)), "N/A", HYPERLINK(INDEX('File Links'!B:B, MATCH(V705, 'File Links'!C:C, 0))))</f>
        <v>https://drive.google.com/file/d/17gaf2Zy_ljFfcAEDk5L8GBnTl5i7RGJE/view?usp=drivesdk</v>
      </c>
      <c r="Y705" s="190"/>
      <c r="Z705" s="198" t="s">
        <v>148</v>
      </c>
      <c r="AA705" s="198" t="s">
        <v>3814</v>
      </c>
      <c r="AB705" s="198" t="s">
        <v>3815</v>
      </c>
      <c r="AC705" s="198" t="s">
        <v>3830</v>
      </c>
      <c r="AD705" s="198" t="s">
        <v>3831</v>
      </c>
      <c r="AE705" s="758">
        <v>10.0</v>
      </c>
      <c r="AF705" s="758">
        <v>611.0</v>
      </c>
      <c r="AG705" s="758">
        <v>0.05</v>
      </c>
      <c r="AH705" s="219" t="s">
        <v>2619</v>
      </c>
      <c r="AI705" s="758" t="s">
        <v>632</v>
      </c>
      <c r="AJ705" s="875">
        <v>0.001</v>
      </c>
      <c r="AK705" s="58" t="s">
        <v>135</v>
      </c>
      <c r="AL705" s="58" t="s">
        <v>186</v>
      </c>
      <c r="AM705" s="198" t="s">
        <v>141</v>
      </c>
      <c r="AN705" s="575" t="s">
        <v>138</v>
      </c>
      <c r="AO705" s="758">
        <v>81.0</v>
      </c>
      <c r="AP705" s="758">
        <v>0.26</v>
      </c>
      <c r="AQ705" s="219" t="s">
        <v>2619</v>
      </c>
      <c r="AR705" s="794" t="s">
        <v>3822</v>
      </c>
      <c r="AS705" s="758">
        <v>0.001</v>
      </c>
      <c r="AT705" s="198" t="s">
        <v>135</v>
      </c>
      <c r="AU705" s="198" t="s">
        <v>186</v>
      </c>
      <c r="AV705" s="198" t="s">
        <v>141</v>
      </c>
      <c r="AW705" s="877" t="s">
        <v>3818</v>
      </c>
      <c r="AX705" s="190" t="s">
        <v>143</v>
      </c>
      <c r="AY705" s="61" t="str">
        <f>IFERROR(__xludf.DUMMYFUNCTION("vlookup(BB705,importrange(""https://docs.google.com/spreadsheets/d/1d2vevQ_7D_v35q4wCQ4RpQ_IPoTwEMB9Yp6ymwlPqew/edit?gid=984458430#gid=984458430"", ""'replication success'!A:K""), 11, FAlSE)"),"mixed")</f>
        <v>mixed</v>
      </c>
      <c r="AZ705" s="61" t="str">
        <f>IFERROR(__xludf.DUMMYFUNCTION("vlookup(BB705,importrange(""https://docs.google.com/spreadsheets/d/1d2vevQ_7D_v35q4wCQ4RpQ_IPoTwEMB9Yp6ymwlPqew/edit?gid=984458430#gid=984458430"",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5" s="61" t="str">
        <f>IFERROR(__xludf.DUMMYFUNCTION("vlookup(BB705,importrange(""https://docs.google.com/spreadsheets/d/1d2vevQ_7D_v35q4wCQ4RpQ_IPoTwEMB9Yp6ymwlPqew/edit?gid=984458430#gid=984458430"",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5" s="61" t="str">
        <f>IFERROR(__xludf.DUMMYFUNCTION("REGEXREPLACE(G705, ""_[a-z]{1,2}$"", """")"),"Boyce_etal2023106")</f>
        <v>Boyce_etal2023106</v>
      </c>
      <c r="BC705" s="189"/>
      <c r="BD705" s="129" t="s">
        <v>3763</v>
      </c>
      <c r="BE705" s="189"/>
    </row>
    <row r="706" ht="20.25" customHeight="1">
      <c r="A706" s="44">
        <v>706.0</v>
      </c>
      <c r="B706" s="374" t="s">
        <v>152</v>
      </c>
      <c r="C706" s="188" t="s">
        <v>115</v>
      </c>
      <c r="D706" s="188" t="s">
        <v>153</v>
      </c>
      <c r="E706" s="189"/>
      <c r="F706" s="190" t="s">
        <v>3810</v>
      </c>
      <c r="G706" s="58" t="s">
        <v>3832</v>
      </c>
      <c r="H706" s="198" t="s">
        <v>153</v>
      </c>
      <c r="I706" s="191">
        <v>45687.0</v>
      </c>
      <c r="J706" s="1086">
        <v>45722.0</v>
      </c>
      <c r="K706" s="369" t="s">
        <v>3833</v>
      </c>
      <c r="L706" s="190"/>
      <c r="M706" s="198" t="s">
        <v>3812</v>
      </c>
      <c r="N706" s="198" t="s">
        <v>3813</v>
      </c>
      <c r="O706" s="758">
        <v>3.0</v>
      </c>
      <c r="P706" s="198" t="str">
        <f t="shared" si="37"/>
        <v>10.1177--1747021817744546.pdf</v>
      </c>
      <c r="Q706" s="52" t="str">
        <f t="array" ref="Q706"> if(iserror(MATCH(V706, 'File Links'!C:C, 0)), "N/A", HYPERLINK(INDEX('File Links'!B:B, MATCH(P706, 'File Links'!C:C, 0))))</f>
        <v>https://drive.google.com/file/d/12tiBV9g0PDIUv5jLNU3H9ESLvqe3_su6/view?usp=drivesdk</v>
      </c>
      <c r="R706" s="198" t="s">
        <v>3653</v>
      </c>
      <c r="S706" s="198" t="s">
        <v>3654</v>
      </c>
      <c r="T706" s="190"/>
      <c r="U706" s="156">
        <v>1.0</v>
      </c>
      <c r="V706" s="198" t="str">
        <f t="shared" si="40"/>
        <v>10.1098--rsos.231240.pdf</v>
      </c>
      <c r="W706" s="198" t="s">
        <v>3671</v>
      </c>
      <c r="X706" s="54" t="str">
        <f t="array" ref="X706"> if(iserror(MATCH(V706, 'File Links'!C:C, 0)), "N/A", HYPERLINK(INDEX('File Links'!B:B, MATCH(V706, 'File Links'!C:C, 0))))</f>
        <v>https://drive.google.com/file/d/17gaf2Zy_ljFfcAEDk5L8GBnTl5i7RGJE/view?usp=drivesdk</v>
      </c>
      <c r="Y706" s="190"/>
      <c r="Z706" s="198" t="s">
        <v>148</v>
      </c>
      <c r="AA706" s="198" t="s">
        <v>3814</v>
      </c>
      <c r="AB706" s="198" t="s">
        <v>3815</v>
      </c>
      <c r="AC706" s="198" t="s">
        <v>3834</v>
      </c>
      <c r="AD706" s="198" t="s">
        <v>3835</v>
      </c>
      <c r="AE706" s="758">
        <v>10.0</v>
      </c>
      <c r="AF706" s="758">
        <v>611.0</v>
      </c>
      <c r="AG706" s="758">
        <v>-0.17</v>
      </c>
      <c r="AH706" s="758" t="s">
        <v>361</v>
      </c>
      <c r="AI706" s="758" t="s">
        <v>632</v>
      </c>
      <c r="AJ706" s="875">
        <v>0.001</v>
      </c>
      <c r="AK706" s="58" t="s">
        <v>135</v>
      </c>
      <c r="AL706" s="58" t="s">
        <v>186</v>
      </c>
      <c r="AM706" s="198" t="s">
        <v>141</v>
      </c>
      <c r="AN706" s="575" t="s">
        <v>138</v>
      </c>
      <c r="AO706" s="758">
        <v>81.0</v>
      </c>
      <c r="AP706" s="758">
        <v>-0.22</v>
      </c>
      <c r="AQ706" s="758" t="s">
        <v>361</v>
      </c>
      <c r="AR706" s="794" t="s">
        <v>3822</v>
      </c>
      <c r="AS706" s="758">
        <v>0.87</v>
      </c>
      <c r="AT706" s="198" t="s">
        <v>172</v>
      </c>
      <c r="AU706" s="198" t="s">
        <v>186</v>
      </c>
      <c r="AV706" s="198" t="s">
        <v>141</v>
      </c>
      <c r="AW706" s="877" t="s">
        <v>3818</v>
      </c>
      <c r="AX706" s="190" t="s">
        <v>143</v>
      </c>
      <c r="AY706" s="61" t="str">
        <f>IFERROR(__xludf.DUMMYFUNCTION("vlookup(BB706,importrange(""https://docs.google.com/spreadsheets/d/1d2vevQ_7D_v35q4wCQ4RpQ_IPoTwEMB9Yp6ymwlPqew/edit?gid=984458430#gid=984458430"", ""'replication success'!A:K""), 11, FAlSE)"),"mixed")</f>
        <v>mixed</v>
      </c>
      <c r="AZ706" s="61" t="str">
        <f>IFERROR(__xludf.DUMMYFUNCTION("vlookup(BB706,importrange(""https://docs.google.com/spreadsheets/d/1d2vevQ_7D_v35q4wCQ4RpQ_IPoTwEMB9Yp6ymwlPqew/edit?gid=984458430#gid=984458430"",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6" s="61" t="str">
        <f>IFERROR(__xludf.DUMMYFUNCTION("vlookup(BB706,importrange(""https://docs.google.com/spreadsheets/d/1d2vevQ_7D_v35q4wCQ4RpQ_IPoTwEMB9Yp6ymwlPqew/edit?gid=984458430#gid=984458430"",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6" s="61" t="str">
        <f>IFERROR(__xludf.DUMMYFUNCTION("REGEXREPLACE(G706, ""_[a-z]{1,2}$"", """")"),"Boyce_etal2023106")</f>
        <v>Boyce_etal2023106</v>
      </c>
      <c r="BC706" s="189"/>
      <c r="BD706" s="129" t="s">
        <v>3763</v>
      </c>
    </row>
    <row r="707" ht="20.25" customHeight="1">
      <c r="A707" s="44">
        <v>707.0</v>
      </c>
      <c r="B707" s="374" t="s">
        <v>152</v>
      </c>
      <c r="C707" s="188" t="s">
        <v>115</v>
      </c>
      <c r="D707" s="188" t="s">
        <v>153</v>
      </c>
      <c r="E707" s="189"/>
      <c r="F707" s="190" t="s">
        <v>3810</v>
      </c>
      <c r="G707" s="58" t="s">
        <v>3836</v>
      </c>
      <c r="H707" s="198" t="s">
        <v>153</v>
      </c>
      <c r="I707" s="191">
        <v>45687.0</v>
      </c>
      <c r="J707" s="1086">
        <v>45722.0</v>
      </c>
      <c r="K707" s="1098" t="s">
        <v>3837</v>
      </c>
      <c r="L707" s="190"/>
      <c r="M707" s="198" t="s">
        <v>3812</v>
      </c>
      <c r="N707" s="198" t="s">
        <v>3813</v>
      </c>
      <c r="O707" s="758">
        <v>3.0</v>
      </c>
      <c r="P707" s="198" t="str">
        <f t="shared" si="37"/>
        <v>10.1177--1747021817744546.pdf</v>
      </c>
      <c r="Q707" s="52" t="str">
        <f t="array" ref="Q707"> if(iserror(MATCH(V707, 'File Links'!C:C, 0)), "N/A", HYPERLINK(INDEX('File Links'!B:B, MATCH(P707, 'File Links'!C:C, 0))))</f>
        <v>https://drive.google.com/file/d/12tiBV9g0PDIUv5jLNU3H9ESLvqe3_su6/view?usp=drivesdk</v>
      </c>
      <c r="R707" s="198" t="s">
        <v>3653</v>
      </c>
      <c r="S707" s="198" t="s">
        <v>3654</v>
      </c>
      <c r="T707" s="190"/>
      <c r="U707" s="156">
        <v>1.0</v>
      </c>
      <c r="V707" s="198" t="str">
        <f t="shared" si="40"/>
        <v>10.1098--rsos.231240.pdf</v>
      </c>
      <c r="W707" s="198" t="s">
        <v>3671</v>
      </c>
      <c r="X707" s="54" t="str">
        <f t="array" ref="X707"> if(iserror(MATCH(V707, 'File Links'!C:C, 0)), "N/A", HYPERLINK(INDEX('File Links'!B:B, MATCH(V707, 'File Links'!C:C, 0))))</f>
        <v>https://drive.google.com/file/d/17gaf2Zy_ljFfcAEDk5L8GBnTl5i7RGJE/view?usp=drivesdk</v>
      </c>
      <c r="Y707" s="190"/>
      <c r="Z707" s="198" t="s">
        <v>148</v>
      </c>
      <c r="AA707" s="198" t="s">
        <v>3814</v>
      </c>
      <c r="AB707" s="198" t="s">
        <v>3815</v>
      </c>
      <c r="AC707" s="198" t="s">
        <v>3838</v>
      </c>
      <c r="AD707" s="198" t="s">
        <v>3839</v>
      </c>
      <c r="AE707" s="758">
        <v>10.0</v>
      </c>
      <c r="AF707" s="758">
        <v>611.0</v>
      </c>
      <c r="AG707" s="758">
        <v>0.22</v>
      </c>
      <c r="AH707" s="758" t="s">
        <v>361</v>
      </c>
      <c r="AI707" s="758" t="s">
        <v>632</v>
      </c>
      <c r="AJ707" s="875">
        <v>0.001</v>
      </c>
      <c r="AK707" s="58" t="s">
        <v>172</v>
      </c>
      <c r="AL707" s="58" t="s">
        <v>186</v>
      </c>
      <c r="AM707" s="198" t="s">
        <v>141</v>
      </c>
      <c r="AN707" s="575" t="s">
        <v>138</v>
      </c>
      <c r="AO707" s="758">
        <v>81.0</v>
      </c>
      <c r="AP707" s="758">
        <v>0.4</v>
      </c>
      <c r="AQ707" s="758" t="s">
        <v>361</v>
      </c>
      <c r="AR707" s="794" t="s">
        <v>3822</v>
      </c>
      <c r="AS707" s="758">
        <v>0.001</v>
      </c>
      <c r="AT707" s="198" t="s">
        <v>135</v>
      </c>
      <c r="AU707" s="198" t="s">
        <v>186</v>
      </c>
      <c r="AV707" s="198" t="s">
        <v>141</v>
      </c>
      <c r="AW707" s="877" t="s">
        <v>3818</v>
      </c>
      <c r="AX707" s="190" t="s">
        <v>143</v>
      </c>
      <c r="AY707" s="61" t="str">
        <f>IFERROR(__xludf.DUMMYFUNCTION("vlookup(BB707,importrange(""https://docs.google.com/spreadsheets/d/1d2vevQ_7D_v35q4wCQ4RpQ_IPoTwEMB9Yp6ymwlPqew/edit?gid=984458430#gid=984458430"", ""'replication success'!A:K""), 11, FAlSE)"),"mixed")</f>
        <v>mixed</v>
      </c>
      <c r="AZ707" s="61" t="str">
        <f>IFERROR(__xludf.DUMMYFUNCTION("vlookup(BB707,importrange(""https://docs.google.com/spreadsheets/d/1d2vevQ_7D_v35q4wCQ4RpQ_IPoTwEMB9Yp6ymwlPqew/edit?gid=984458430#gid=984458430"",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7" s="61" t="str">
        <f>IFERROR(__xludf.DUMMYFUNCTION("vlookup(BB707,importrange(""https://docs.google.com/spreadsheets/d/1d2vevQ_7D_v35q4wCQ4RpQ_IPoTwEMB9Yp6ymwlPqew/edit?gid=984458430#gid=984458430"",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7" s="61" t="str">
        <f>IFERROR(__xludf.DUMMYFUNCTION("REGEXREPLACE(G707, ""_[a-z]{1,2}$"", """")"),"Boyce_etal2023106")</f>
        <v>Boyce_etal2023106</v>
      </c>
      <c r="BC707" s="189"/>
      <c r="BD707" s="129" t="s">
        <v>3763</v>
      </c>
      <c r="BE707" s="189"/>
    </row>
    <row r="708" ht="20.25" customHeight="1">
      <c r="A708" s="44">
        <v>708.0</v>
      </c>
      <c r="B708" s="374" t="s">
        <v>152</v>
      </c>
      <c r="C708" s="188" t="s">
        <v>115</v>
      </c>
      <c r="D708" s="188" t="s">
        <v>153</v>
      </c>
      <c r="E708" s="189"/>
      <c r="F708" s="190" t="s">
        <v>3810</v>
      </c>
      <c r="G708" s="58" t="s">
        <v>3840</v>
      </c>
      <c r="H708" s="198" t="s">
        <v>153</v>
      </c>
      <c r="I708" s="191">
        <v>45687.0</v>
      </c>
      <c r="J708" s="1086">
        <v>45722.0</v>
      </c>
      <c r="K708" s="1098" t="s">
        <v>3841</v>
      </c>
      <c r="L708" s="190"/>
      <c r="M708" s="198" t="s">
        <v>3812</v>
      </c>
      <c r="N708" s="198" t="s">
        <v>3813</v>
      </c>
      <c r="O708" s="758">
        <v>3.0</v>
      </c>
      <c r="P708" s="198" t="str">
        <f t="shared" si="37"/>
        <v>10.1177--1747021817744546.pdf</v>
      </c>
      <c r="Q708" s="52" t="str">
        <f t="array" ref="Q708"> if(iserror(MATCH(V708, 'File Links'!C:C, 0)), "N/A", HYPERLINK(INDEX('File Links'!B:B, MATCH(P708, 'File Links'!C:C, 0))))</f>
        <v>https://drive.google.com/file/d/12tiBV9g0PDIUv5jLNU3H9ESLvqe3_su6/view?usp=drivesdk</v>
      </c>
      <c r="R708" s="198" t="s">
        <v>3653</v>
      </c>
      <c r="S708" s="198" t="s">
        <v>3654</v>
      </c>
      <c r="T708" s="190"/>
      <c r="U708" s="156">
        <v>1.0</v>
      </c>
      <c r="V708" s="198" t="str">
        <f t="shared" si="40"/>
        <v>10.1098--rsos.231240.pdf</v>
      </c>
      <c r="W708" s="198" t="s">
        <v>3671</v>
      </c>
      <c r="X708" s="54" t="str">
        <f t="array" ref="X708"> if(iserror(MATCH(V708, 'File Links'!C:C, 0)), "N/A", HYPERLINK(INDEX('File Links'!B:B, MATCH(V708, 'File Links'!C:C, 0))))</f>
        <v>https://drive.google.com/file/d/17gaf2Zy_ljFfcAEDk5L8GBnTl5i7RGJE/view?usp=drivesdk</v>
      </c>
      <c r="Y708" s="190"/>
      <c r="Z708" s="198" t="s">
        <v>148</v>
      </c>
      <c r="AA708" s="198" t="s">
        <v>3814</v>
      </c>
      <c r="AB708" s="198" t="s">
        <v>3815</v>
      </c>
      <c r="AC708" s="198" t="s">
        <v>3842</v>
      </c>
      <c r="AD708" s="198" t="s">
        <v>3843</v>
      </c>
      <c r="AE708" s="758">
        <v>10.0</v>
      </c>
      <c r="AF708" s="758">
        <v>611.0</v>
      </c>
      <c r="AG708" s="758">
        <v>-0.1</v>
      </c>
      <c r="AH708" s="758" t="s">
        <v>361</v>
      </c>
      <c r="AI708" s="758" t="s">
        <v>632</v>
      </c>
      <c r="AJ708" s="875">
        <v>0.07</v>
      </c>
      <c r="AK708" s="58" t="s">
        <v>172</v>
      </c>
      <c r="AL708" s="58" t="s">
        <v>186</v>
      </c>
      <c r="AM708" s="198" t="s">
        <v>141</v>
      </c>
      <c r="AN708" s="575" t="s">
        <v>138</v>
      </c>
      <c r="AO708" s="758">
        <v>81.0</v>
      </c>
      <c r="AP708" s="758">
        <v>-0.12</v>
      </c>
      <c r="AQ708" s="758" t="s">
        <v>361</v>
      </c>
      <c r="AR708" s="794" t="s">
        <v>3822</v>
      </c>
      <c r="AS708" s="758">
        <v>0.4</v>
      </c>
      <c r="AT708" s="198" t="s">
        <v>172</v>
      </c>
      <c r="AU708" s="198" t="s">
        <v>186</v>
      </c>
      <c r="AV708" s="198" t="s">
        <v>141</v>
      </c>
      <c r="AW708" s="877" t="s">
        <v>3818</v>
      </c>
      <c r="AX708" s="190" t="s">
        <v>143</v>
      </c>
      <c r="AY708" s="61" t="str">
        <f>IFERROR(__xludf.DUMMYFUNCTION("vlookup(BB708,importrange(""https://docs.google.com/spreadsheets/d/1d2vevQ_7D_v35q4wCQ4RpQ_IPoTwEMB9Yp6ymwlPqew/edit?gid=984458430#gid=984458430"", ""'replication success'!A:K""), 11, FAlSE)"),"mixed")</f>
        <v>mixed</v>
      </c>
      <c r="AZ708" s="61" t="str">
        <f>IFERROR(__xludf.DUMMYFUNCTION("vlookup(BB708,importrange(""https://docs.google.com/spreadsheets/d/1d2vevQ_7D_v35q4wCQ4RpQ_IPoTwEMB9Yp6ymwlPqew/edit?gid=984458430#gid=984458430"",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08" s="61" t="str">
        <f>IFERROR(__xludf.DUMMYFUNCTION("vlookup(BB708,importrange(""https://docs.google.com/spreadsheets/d/1d2vevQ_7D_v35q4wCQ4RpQ_IPoTwEMB9Yp6ymwlPqew/edit?gid=984458430#gid=984458430"",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v>
      </c>
      <c r="BB708" s="61" t="str">
        <f>IFERROR(__xludf.DUMMYFUNCTION("REGEXREPLACE(G708, ""_[a-z]{1,2}$"", """")"),"Boyce_etal2023106")</f>
        <v>Boyce_etal2023106</v>
      </c>
      <c r="BC708" s="189"/>
      <c r="BD708" s="129" t="s">
        <v>3763</v>
      </c>
    </row>
    <row r="709" ht="20.25" customHeight="1">
      <c r="A709" s="44">
        <v>709.0</v>
      </c>
      <c r="B709" s="68" t="s">
        <v>114</v>
      </c>
      <c r="C709" s="62" t="s">
        <v>115</v>
      </c>
      <c r="D709" s="62" t="s">
        <v>248</v>
      </c>
      <c r="F709" s="159" t="s">
        <v>3844</v>
      </c>
      <c r="G709" s="57" t="s">
        <v>3845</v>
      </c>
      <c r="H709" s="159" t="s">
        <v>249</v>
      </c>
      <c r="I709" s="152">
        <v>45669.0</v>
      </c>
      <c r="J709" s="152">
        <v>45692.0</v>
      </c>
      <c r="K709" s="68"/>
      <c r="L709" s="68"/>
      <c r="M709" s="159" t="s">
        <v>3846</v>
      </c>
      <c r="N709" s="159" t="s">
        <v>3847</v>
      </c>
      <c r="O709" s="68"/>
      <c r="P709" s="159" t="str">
        <f t="shared" si="37"/>
        <v>10.1177--0956797618780643.pdf</v>
      </c>
      <c r="Q709" s="52" t="str">
        <f t="array" ref="Q709"> if(iserror(MATCH(V709, 'File Links'!C:C, 0)), "N/A", HYPERLINK(INDEX('File Links'!B:B, MATCH(P709, 'File Links'!C:C, 0))))</f>
        <v>https://drive.google.com/file/d/13EC3dwbwBg7gIijxdeeANvWmpAfQ8_ke/view?usp=drivesdk</v>
      </c>
      <c r="R709" s="159" t="s">
        <v>3653</v>
      </c>
      <c r="S709" s="159" t="s">
        <v>3654</v>
      </c>
      <c r="T709" s="68"/>
      <c r="U709" s="156">
        <v>1.0</v>
      </c>
      <c r="V709" s="198" t="str">
        <f t="shared" si="40"/>
        <v>10.1098--rsos.231240.pdf</v>
      </c>
      <c r="W709" s="159" t="s">
        <v>324</v>
      </c>
      <c r="X709" s="54" t="str">
        <f t="array" ref="X709"> if(iserror(MATCH(V709, 'File Links'!C:C, 0)), "N/A", HYPERLINK(INDEX('File Links'!B:B, MATCH(V709, 'File Links'!C:C, 0))))</f>
        <v>https://drive.google.com/file/d/17gaf2Zy_ljFfcAEDk5L8GBnTl5i7RGJE/view?usp=drivesdk</v>
      </c>
      <c r="Y709" s="68"/>
      <c r="Z709" s="159" t="s">
        <v>226</v>
      </c>
      <c r="AA709" s="68"/>
      <c r="AB709" s="159" t="s">
        <v>3848</v>
      </c>
      <c r="AC709" s="68"/>
      <c r="AD709" s="159" t="s">
        <v>3849</v>
      </c>
      <c r="AE709" s="156">
        <v>5.0</v>
      </c>
      <c r="AF709" s="156">
        <v>141.0</v>
      </c>
      <c r="AG709" s="156">
        <v>7.46</v>
      </c>
      <c r="AH709" s="159" t="s">
        <v>1031</v>
      </c>
      <c r="AI709" s="159" t="s">
        <v>882</v>
      </c>
      <c r="AJ709" s="709">
        <v>0.007</v>
      </c>
      <c r="AK709" s="57" t="s">
        <v>172</v>
      </c>
      <c r="AL709" s="57" t="s">
        <v>186</v>
      </c>
      <c r="AM709" s="159" t="s">
        <v>141</v>
      </c>
      <c r="AN709" s="575" t="s">
        <v>138</v>
      </c>
      <c r="AO709" s="156">
        <v>74.0</v>
      </c>
      <c r="AP709" s="156">
        <v>0.187471902656676</v>
      </c>
      <c r="AQ709" s="159" t="s">
        <v>173</v>
      </c>
      <c r="AR709" s="68"/>
      <c r="AS709" s="156">
        <v>0.121273607571615</v>
      </c>
      <c r="AT709" s="159" t="s">
        <v>172</v>
      </c>
      <c r="AU709" s="159" t="s">
        <v>186</v>
      </c>
      <c r="AV709" s="159" t="s">
        <v>141</v>
      </c>
      <c r="AW709" s="1099" t="s">
        <v>3850</v>
      </c>
      <c r="AX709" s="159" t="s">
        <v>143</v>
      </c>
      <c r="AY709" s="61" t="str">
        <f>IFERROR(__xludf.DUMMYFUNCTION("vlookup(BB709,importrange(""https://docs.google.com/spreadsheets/d/1d2vevQ_7D_v35q4wCQ4RpQ_IPoTwEMB9Yp6ymwlPqew/edit?gid=984458430#gid=984458430"", ""'replication success'!A:K""), 11, FAlSE)"),"#N/A")</f>
        <v>#N/A</v>
      </c>
      <c r="AZ709" s="61" t="str">
        <f>IFERROR(__xludf.DUMMYFUNCTION("vlookup(BB709,importrange(""https://docs.google.com/spreadsheets/d/1d2vevQ_7D_v35q4wCQ4RpQ_IPoTwEMB9Yp6ymwlPqew/edit?gid=984458430#gid=984458430"", ""'replication success'!A:M""), 12, FAlSE)"),"#N/A")</f>
        <v>#N/A</v>
      </c>
      <c r="BA709" s="61" t="str">
        <f>IFERROR(__xludf.DUMMYFUNCTION("vlookup(BB709,importrange(""https://docs.google.com/spreadsheets/d/1d2vevQ_7D_v35q4wCQ4RpQ_IPoTwEMB9Yp6ymwlPqew/edit?gid=984458430#gid=984458430"", ""'replication success'!A:M""), 13, FAlSE)"),"#N/A")</f>
        <v>#N/A</v>
      </c>
      <c r="BB709" s="61" t="str">
        <f>IFERROR(__xludf.DUMMYFUNCTION("REGEXREPLACE(G709, ""_[a-z]{1,2}$"", """")"),"Boyce_etal2023107_1")</f>
        <v>Boyce_etal2023107_1</v>
      </c>
      <c r="BD709" s="68" t="s">
        <v>153</v>
      </c>
      <c r="BE709" s="189"/>
    </row>
    <row r="710" ht="20.25" customHeight="1">
      <c r="A710" s="44">
        <v>710.0</v>
      </c>
      <c r="B710" s="129" t="s">
        <v>152</v>
      </c>
      <c r="C710" s="62" t="s">
        <v>115</v>
      </c>
      <c r="D710" s="62" t="s">
        <v>153</v>
      </c>
      <c r="F710" s="68" t="s">
        <v>3845</v>
      </c>
      <c r="G710" s="57" t="s">
        <v>3844</v>
      </c>
      <c r="H710" s="159" t="s">
        <v>153</v>
      </c>
      <c r="I710" s="152">
        <v>45687.0</v>
      </c>
      <c r="J710" s="152">
        <v>45692.0</v>
      </c>
      <c r="K710" s="437"/>
      <c r="L710" s="68"/>
      <c r="M710" s="159" t="s">
        <v>3846</v>
      </c>
      <c r="N710" s="159" t="s">
        <v>3847</v>
      </c>
      <c r="O710" s="156">
        <v>2.0</v>
      </c>
      <c r="P710" s="159" t="str">
        <f t="shared" si="37"/>
        <v>10.1177--0956797618780643.pdf</v>
      </c>
      <c r="Q710" s="52" t="str">
        <f t="array" ref="Q710"> if(iserror(MATCH(V710, 'File Links'!C:C, 0)), "N/A", HYPERLINK(INDEX('File Links'!B:B, MATCH(P710, 'File Links'!C:C, 0))))</f>
        <v>https://drive.google.com/file/d/13EC3dwbwBg7gIijxdeeANvWmpAfQ8_ke/view?usp=drivesdk</v>
      </c>
      <c r="R710" s="159" t="s">
        <v>3653</v>
      </c>
      <c r="S710" s="159" t="s">
        <v>3654</v>
      </c>
      <c r="T710" s="68"/>
      <c r="U710" s="156">
        <v>1.0</v>
      </c>
      <c r="V710" s="198" t="str">
        <f t="shared" si="40"/>
        <v>10.1098--rsos.231240.pdf</v>
      </c>
      <c r="W710" s="159" t="s">
        <v>3726</v>
      </c>
      <c r="X710" s="54" t="str">
        <f t="array" ref="X710"> if(iserror(MATCH(V710, 'File Links'!C:C, 0)), "N/A", HYPERLINK(INDEX('File Links'!B:B, MATCH(V710, 'File Links'!C:C, 0))))</f>
        <v>https://drive.google.com/file/d/17gaf2Zy_ljFfcAEDk5L8GBnTl5i7RGJE/view?usp=drivesdk</v>
      </c>
      <c r="Y710" s="68"/>
      <c r="Z710" s="159" t="s">
        <v>226</v>
      </c>
      <c r="AA710" s="151" t="s">
        <v>3851</v>
      </c>
      <c r="AB710" s="151" t="s">
        <v>3852</v>
      </c>
      <c r="AC710" s="159" t="s">
        <v>3853</v>
      </c>
      <c r="AD710" s="151" t="s">
        <v>3854</v>
      </c>
      <c r="AE710" s="156" t="s">
        <v>813</v>
      </c>
      <c r="AF710" s="156">
        <v>141.0</v>
      </c>
      <c r="AG710" s="161" t="s">
        <v>3855</v>
      </c>
      <c r="AH710" s="161" t="s">
        <v>134</v>
      </c>
      <c r="AI710" s="156" t="s">
        <v>813</v>
      </c>
      <c r="AJ710" s="709">
        <v>0.007</v>
      </c>
      <c r="AK710" s="57" t="s">
        <v>172</v>
      </c>
      <c r="AL710" s="57" t="s">
        <v>186</v>
      </c>
      <c r="AM710" s="159" t="s">
        <v>141</v>
      </c>
      <c r="AN710" s="575" t="s">
        <v>138</v>
      </c>
      <c r="AO710" s="156">
        <v>74.0</v>
      </c>
      <c r="AP710" s="161" t="s">
        <v>3856</v>
      </c>
      <c r="AQ710" s="161" t="s">
        <v>134</v>
      </c>
      <c r="AR710" s="123" t="s">
        <v>3857</v>
      </c>
      <c r="AS710" s="161" t="s">
        <v>138</v>
      </c>
      <c r="AT710" s="151" t="s">
        <v>138</v>
      </c>
      <c r="AU710" s="159" t="s">
        <v>186</v>
      </c>
      <c r="AV710" s="68" t="s">
        <v>141</v>
      </c>
      <c r="AW710" s="593" t="s">
        <v>3858</v>
      </c>
      <c r="AX710" s="68" t="s">
        <v>143</v>
      </c>
      <c r="AY710" s="61" t="str">
        <f>IFERROR(__xludf.DUMMYFUNCTION("vlookup(BB710,importrange(""https://docs.google.com/spreadsheets/d/1d2vevQ_7D_v35q4wCQ4RpQ_IPoTwEMB9Yp6ymwlPqew/edit?gid=984458430#gid=984458430"", ""'replication success'!A:K""), 11, FAlSE)"),"failed")</f>
        <v>failed</v>
      </c>
      <c r="AZ710" s="61" t="str">
        <f>IFERROR(__xludf.DUMMYFUNCTION("vlookup(BB710,importrange(""https://docs.google.com/spreadsheets/d/1d2vevQ_7D_v35q4wCQ4RpQ_IPoTwEMB9Yp6ymwlPqew/edit?gid=984458430#gid=984458430"",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10" s="61" t="str">
        <f>IFERROR(__xludf.DUMMYFUNCTION("vlookup(BB710,importrange(""https://docs.google.com/spreadsheets/d/1d2vevQ_7D_v35q4wCQ4RpQ_IPoTwEMB9Yp6ymwlPqew/edit?gid=984458430#gid=984458430"",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43041539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v>
      </c>
      <c r="BB710" s="61" t="str">
        <f>IFERROR(__xludf.DUMMYFUNCTION("REGEXREPLACE(G710, ""_[a-z]{1,2}$"", """")"),"Boyce_etal2023107")</f>
        <v>Boyce_etal2023107</v>
      </c>
      <c r="BC710" s="62" t="s">
        <v>3859</v>
      </c>
      <c r="BD710" s="129" t="s">
        <v>3680</v>
      </c>
    </row>
    <row r="711" ht="20.25" customHeight="1">
      <c r="A711" s="44">
        <v>711.0</v>
      </c>
      <c r="B711" s="68" t="s">
        <v>590</v>
      </c>
      <c r="C711" s="62" t="s">
        <v>115</v>
      </c>
      <c r="D711" s="62" t="s">
        <v>248</v>
      </c>
      <c r="F711" s="159" t="s">
        <v>3860</v>
      </c>
      <c r="G711" s="57" t="s">
        <v>3861</v>
      </c>
      <c r="H711" s="159" t="s">
        <v>249</v>
      </c>
      <c r="I711" s="152">
        <v>45669.0</v>
      </c>
      <c r="J711" s="152">
        <v>45692.0</v>
      </c>
      <c r="K711" s="437" t="s">
        <v>3862</v>
      </c>
      <c r="L711" s="68" t="s">
        <v>3863</v>
      </c>
      <c r="M711" s="159" t="s">
        <v>3864</v>
      </c>
      <c r="N711" s="159" t="s">
        <v>3865</v>
      </c>
      <c r="O711" s="68"/>
      <c r="P711" s="159" t="str">
        <f t="shared" si="37"/>
        <v>10.1073--pnas.1523698113.pdf</v>
      </c>
      <c r="Q711" s="52" t="str">
        <f t="array" ref="Q711"> if(iserror(MATCH(V711, 'File Links'!C:C, 0)), "N/A", HYPERLINK(INDEX('File Links'!B:B, MATCH(P711, 'File Links'!C:C, 0))))</f>
        <v>https://drive.google.com/file/d/1zRO2wTJdLmK-BV5hxThrZO8prUdJXbH2/view?usp=drivesdk</v>
      </c>
      <c r="R711" s="159" t="s">
        <v>3653</v>
      </c>
      <c r="S711" s="159" t="s">
        <v>3654</v>
      </c>
      <c r="T711" s="68"/>
      <c r="U711" s="156">
        <v>1.0</v>
      </c>
      <c r="V711" s="198" t="str">
        <f t="shared" si="40"/>
        <v>10.1098--rsos.231240.pdf</v>
      </c>
      <c r="W711" s="159" t="s">
        <v>3665</v>
      </c>
      <c r="X711" s="54" t="str">
        <f t="array" ref="X711"> if(iserror(MATCH(V711, 'File Links'!C:C, 0)), "N/A", HYPERLINK(INDEX('File Links'!B:B, MATCH(V711, 'File Links'!C:C, 0))))</f>
        <v>https://drive.google.com/file/d/17gaf2Zy_ljFfcAEDk5L8GBnTl5i7RGJE/view?usp=drivesdk</v>
      </c>
      <c r="Y711" s="68"/>
      <c r="Z711" s="159" t="s">
        <v>226</v>
      </c>
      <c r="AA711" s="68"/>
      <c r="AB711" s="68"/>
      <c r="AC711" s="68"/>
      <c r="AD711" s="159" t="s">
        <v>3866</v>
      </c>
      <c r="AE711" s="156">
        <v>2.0</v>
      </c>
      <c r="AF711" s="156">
        <v>302.0</v>
      </c>
      <c r="AG711" s="156">
        <v>2.42</v>
      </c>
      <c r="AH711" s="159" t="s">
        <v>173</v>
      </c>
      <c r="AI711" s="159" t="s">
        <v>2771</v>
      </c>
      <c r="AJ711" s="709">
        <v>0.001</v>
      </c>
      <c r="AK711" s="57" t="s">
        <v>135</v>
      </c>
      <c r="AL711" s="57" t="s">
        <v>186</v>
      </c>
      <c r="AM711" s="159" t="s">
        <v>1905</v>
      </c>
      <c r="AN711" s="575" t="s">
        <v>138</v>
      </c>
      <c r="AO711" s="156">
        <v>12.0</v>
      </c>
      <c r="AP711" s="156">
        <v>0.82579130976575</v>
      </c>
      <c r="AQ711" s="159" t="s">
        <v>173</v>
      </c>
      <c r="AR711" s="68"/>
      <c r="AS711" s="156">
        <v>0.0208742712467195</v>
      </c>
      <c r="AT711" s="159" t="s">
        <v>172</v>
      </c>
      <c r="AU711" s="159" t="s">
        <v>186</v>
      </c>
      <c r="AV711" s="159" t="s">
        <v>1905</v>
      </c>
      <c r="AW711" s="68"/>
      <c r="AX711" s="159" t="s">
        <v>143</v>
      </c>
      <c r="AY711" s="61" t="str">
        <f>IFERROR(__xludf.DUMMYFUNCTION("vlookup(BB711,importrange(""https://docs.google.com/spreadsheets/d/1d2vevQ_7D_v35q4wCQ4RpQ_IPoTwEMB9Yp6ymwlPqew/edit?gid=984458430#gid=984458430"", ""'replication success'!A:K""), 11, FAlSE)"),"#N/A")</f>
        <v>#N/A</v>
      </c>
      <c r="AZ711" s="61" t="str">
        <f>IFERROR(__xludf.DUMMYFUNCTION("vlookup(BB711,importrange(""https://docs.google.com/spreadsheets/d/1d2vevQ_7D_v35q4wCQ4RpQ_IPoTwEMB9Yp6ymwlPqew/edit?gid=984458430#gid=984458430"", ""'replication success'!A:M""), 12, FAlSE)"),"#N/A")</f>
        <v>#N/A</v>
      </c>
      <c r="BA711" s="61" t="str">
        <f>IFERROR(__xludf.DUMMYFUNCTION("vlookup(BB711,importrange(""https://docs.google.com/spreadsheets/d/1d2vevQ_7D_v35q4wCQ4RpQ_IPoTwEMB9Yp6ymwlPqew/edit?gid=984458430#gid=984458430"", ""'replication success'!A:M""), 13, FAlSE)"),"#N/A")</f>
        <v>#N/A</v>
      </c>
      <c r="BB711" s="61" t="str">
        <f>IFERROR(__xludf.DUMMYFUNCTION("REGEXREPLACE(G711, ""_[a-z]{1,2}$"", """")"),"Boyce_etal2023108_1")</f>
        <v>Boyce_etal2023108_1</v>
      </c>
      <c r="BD711" s="68" t="s">
        <v>153</v>
      </c>
      <c r="BE711" s="189"/>
    </row>
    <row r="712" ht="20.25" customHeight="1">
      <c r="A712" s="44">
        <v>712.0</v>
      </c>
      <c r="B712" s="68" t="s">
        <v>590</v>
      </c>
      <c r="C712" s="62" t="s">
        <v>115</v>
      </c>
      <c r="D712" s="62" t="s">
        <v>153</v>
      </c>
      <c r="F712" s="68" t="s">
        <v>3861</v>
      </c>
      <c r="G712" s="57" t="s">
        <v>3860</v>
      </c>
      <c r="H712" s="159" t="s">
        <v>153</v>
      </c>
      <c r="I712" s="152">
        <v>45687.0</v>
      </c>
      <c r="J712" s="152">
        <v>45692.0</v>
      </c>
      <c r="K712" s="437" t="s">
        <v>3867</v>
      </c>
      <c r="L712" s="159" t="s">
        <v>3863</v>
      </c>
      <c r="M712" s="159" t="s">
        <v>3864</v>
      </c>
      <c r="N712" s="159" t="s">
        <v>3865</v>
      </c>
      <c r="O712" s="156">
        <v>2.0</v>
      </c>
      <c r="P712" s="159" t="str">
        <f t="shared" si="37"/>
        <v>10.1073--pnas.1523698113.pdf</v>
      </c>
      <c r="Q712" s="52" t="str">
        <f t="array" ref="Q712"> if(iserror(MATCH(V712, 'File Links'!C:C, 0)), "N/A", HYPERLINK(INDEX('File Links'!B:B, MATCH(P712, 'File Links'!C:C, 0))))</f>
        <v>https://drive.google.com/file/d/1zRO2wTJdLmK-BV5hxThrZO8prUdJXbH2/view?usp=drivesdk</v>
      </c>
      <c r="R712" s="159" t="s">
        <v>3653</v>
      </c>
      <c r="S712" s="159" t="s">
        <v>3654</v>
      </c>
      <c r="T712" s="68"/>
      <c r="U712" s="156">
        <v>1.0</v>
      </c>
      <c r="V712" s="198" t="str">
        <f t="shared" si="40"/>
        <v>10.1098--rsos.231240.pdf</v>
      </c>
      <c r="W712" s="159" t="s">
        <v>3671</v>
      </c>
      <c r="X712" s="54" t="str">
        <f t="array" ref="X712"> if(iserror(MATCH(V712, 'File Links'!C:C, 0)), "N/A", HYPERLINK(INDEX('File Links'!B:B, MATCH(V712, 'File Links'!C:C, 0))))</f>
        <v>https://drive.google.com/file/d/17gaf2Zy_ljFfcAEDk5L8GBnTl5i7RGJE/view?usp=drivesdk</v>
      </c>
      <c r="Y712" s="68"/>
      <c r="Z712" s="159" t="s">
        <v>226</v>
      </c>
      <c r="AA712" s="159" t="s">
        <v>3868</v>
      </c>
      <c r="AB712" s="159" t="s">
        <v>3869</v>
      </c>
      <c r="AC712" s="159" t="s">
        <v>3870</v>
      </c>
      <c r="AD712" s="159" t="s">
        <v>3871</v>
      </c>
      <c r="AE712" s="156">
        <v>2.0</v>
      </c>
      <c r="AF712" s="156">
        <v>300.0</v>
      </c>
      <c r="AG712" s="156">
        <v>2.42</v>
      </c>
      <c r="AH712" s="156" t="s">
        <v>173</v>
      </c>
      <c r="AI712" s="156" t="s">
        <v>875</v>
      </c>
      <c r="AJ712" s="709">
        <v>0.001</v>
      </c>
      <c r="AK712" s="57" t="s">
        <v>135</v>
      </c>
      <c r="AL712" s="57" t="s">
        <v>186</v>
      </c>
      <c r="AM712" s="159" t="s">
        <v>1905</v>
      </c>
      <c r="AN712" s="575" t="s">
        <v>138</v>
      </c>
      <c r="AO712" s="156">
        <v>12.0</v>
      </c>
      <c r="AP712" s="156">
        <v>0.82579130976575</v>
      </c>
      <c r="AQ712" s="156" t="s">
        <v>173</v>
      </c>
      <c r="AR712" s="68"/>
      <c r="AS712" s="156">
        <v>0.0208742712467195</v>
      </c>
      <c r="AT712" s="159" t="s">
        <v>172</v>
      </c>
      <c r="AU712" s="159" t="s">
        <v>186</v>
      </c>
      <c r="AV712" s="159" t="s">
        <v>1905</v>
      </c>
      <c r="AW712" s="68"/>
      <c r="AX712" s="68" t="s">
        <v>143</v>
      </c>
      <c r="AY712" s="61" t="str">
        <f>IFERROR(__xludf.DUMMYFUNCTION("vlookup(BB712,importrange(""https://docs.google.com/spreadsheets/d/1d2vevQ_7D_v35q4wCQ4RpQ_IPoTwEMB9Yp6ymwlPqew/edit?gid=984458430#gid=984458430"", ""'replication success'!A:K""), 11, FAlSE)"),"#N/A")</f>
        <v>#N/A</v>
      </c>
      <c r="AZ712" s="61" t="str">
        <f>IFERROR(__xludf.DUMMYFUNCTION("vlookup(BB712,importrange(""https://docs.google.com/spreadsheets/d/1d2vevQ_7D_v35q4wCQ4RpQ_IPoTwEMB9Yp6ymwlPqew/edit?gid=984458430#gid=984458430"", ""'replication success'!A:M""), 12, FAlSE)"),"#N/A")</f>
        <v>#N/A</v>
      </c>
      <c r="BA712" s="61" t="str">
        <f>IFERROR(__xludf.DUMMYFUNCTION("vlookup(BB712,importrange(""https://docs.google.com/spreadsheets/d/1d2vevQ_7D_v35q4wCQ4RpQ_IPoTwEMB9Yp6ymwlPqew/edit?gid=984458430#gid=984458430"", ""'replication success'!A:M""), 13, FAlSE)"),"#N/A")</f>
        <v>#N/A</v>
      </c>
      <c r="BB712" s="61" t="str">
        <f>IFERROR(__xludf.DUMMYFUNCTION("REGEXREPLACE(G712, ""_[a-z]{1,2}$"", """")"),"Boyce_etal2023108")</f>
        <v>Boyce_etal2023108</v>
      </c>
      <c r="BD712" s="68" t="s">
        <v>153</v>
      </c>
    </row>
    <row r="713" ht="20.25" customHeight="1">
      <c r="A713" s="44">
        <v>713.0</v>
      </c>
      <c r="B713" s="94" t="s">
        <v>114</v>
      </c>
      <c r="C713" s="93" t="s">
        <v>115</v>
      </c>
      <c r="D713" s="93" t="s">
        <v>248</v>
      </c>
      <c r="E713" s="92"/>
      <c r="F713" s="95" t="s">
        <v>3872</v>
      </c>
      <c r="G713" s="76" t="s">
        <v>3873</v>
      </c>
      <c r="H713" s="95" t="s">
        <v>249</v>
      </c>
      <c r="I713" s="853">
        <v>45669.0</v>
      </c>
      <c r="J713" s="853">
        <v>45692.0</v>
      </c>
      <c r="K713" s="85" t="s">
        <v>3874</v>
      </c>
      <c r="L713" s="95" t="s">
        <v>3875</v>
      </c>
      <c r="M713" s="95" t="s">
        <v>3876</v>
      </c>
      <c r="N713" s="95" t="s">
        <v>3877</v>
      </c>
      <c r="O713" s="94"/>
      <c r="P713" s="95" t="str">
        <f t="shared" si="37"/>
        <v>10.1162--jocn_a_00709.pdf</v>
      </c>
      <c r="Q713" s="52" t="str">
        <f t="array" ref="Q713"> if(iserror(MATCH(V713, 'File Links'!C:C, 0)), "N/A", HYPERLINK(INDEX('File Links'!B:B, MATCH(P713, 'File Links'!C:C, 0))))</f>
        <v>https://drive.google.com/file/d/1PBsIeDN2jr1Pq3CNrSLb1Xsyr21P2pXL/view?usp=drivesdk</v>
      </c>
      <c r="R713" s="95" t="s">
        <v>3653</v>
      </c>
      <c r="S713" s="95" t="s">
        <v>3654</v>
      </c>
      <c r="T713" s="94"/>
      <c r="U713" s="156">
        <v>1.0</v>
      </c>
      <c r="V713" s="95" t="str">
        <f t="shared" si="40"/>
        <v>10.1098--rsos.231240.pdf</v>
      </c>
      <c r="W713" s="95" t="s">
        <v>324</v>
      </c>
      <c r="X713" s="54" t="str">
        <f t="array" ref="X713"> if(iserror(MATCH(V713, 'File Links'!C:C, 0)), "N/A", HYPERLINK(INDEX('File Links'!B:B, MATCH(V713, 'File Links'!C:C, 0))))</f>
        <v>https://drive.google.com/file/d/17gaf2Zy_ljFfcAEDk5L8GBnTl5i7RGJE/view?usp=drivesdk</v>
      </c>
      <c r="Y713" s="94"/>
      <c r="Z713" s="95" t="s">
        <v>148</v>
      </c>
      <c r="AA713" s="94"/>
      <c r="AB713" s="95" t="s">
        <v>3878</v>
      </c>
      <c r="AC713" s="94"/>
      <c r="AD713" s="95" t="s">
        <v>3879</v>
      </c>
      <c r="AE713" s="1100">
        <v>325.0</v>
      </c>
      <c r="AF713" s="98">
        <v>45.0</v>
      </c>
      <c r="AG713" s="1101">
        <v>0.6</v>
      </c>
      <c r="AH713" s="95" t="s">
        <v>173</v>
      </c>
      <c r="AI713" s="1102" t="s">
        <v>3880</v>
      </c>
      <c r="AJ713" s="633">
        <v>0.031</v>
      </c>
      <c r="AK713" s="76" t="s">
        <v>172</v>
      </c>
      <c r="AL713" s="76" t="s">
        <v>186</v>
      </c>
      <c r="AM713" s="196" t="s">
        <v>141</v>
      </c>
      <c r="AN713" s="79" t="s">
        <v>138</v>
      </c>
      <c r="AO713" s="1101">
        <v>45.0</v>
      </c>
      <c r="AP713" s="1059">
        <v>-0.03</v>
      </c>
      <c r="AQ713" s="1060" t="s">
        <v>361</v>
      </c>
      <c r="AR713" s="94"/>
      <c r="AS713" s="1101">
        <v>0.06</v>
      </c>
      <c r="AT713" s="95" t="s">
        <v>172</v>
      </c>
      <c r="AU713" s="95" t="s">
        <v>186</v>
      </c>
      <c r="AV713" s="1103" t="s">
        <v>1905</v>
      </c>
      <c r="AW713" s="79" t="s">
        <v>138</v>
      </c>
      <c r="AX713" s="95" t="s">
        <v>143</v>
      </c>
      <c r="AY713" s="61" t="str">
        <f>IFERROR(__xludf.DUMMYFUNCTION("vlookup(BB713,importrange(""https://docs.google.com/spreadsheets/d/1d2vevQ_7D_v35q4wCQ4RpQ_IPoTwEMB9Yp6ymwlPqew/edit?gid=984458430#gid=984458430"", ""'replication success'!A:K""), 11, FAlSE)"),"successful")</f>
        <v>successful</v>
      </c>
      <c r="AZ713" s="61" t="str">
        <f>IFERROR(__xludf.DUMMYFUNCTION("vlookup(BB713,importrange(""https://docs.google.com/spreadsheets/d/1d2vevQ_7D_v35q4wCQ4RpQ_IPoTwEMB9Yp6ymwlPqew/edit?gid=984458430#gid=984458430"",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3" s="91" t="str">
        <f>IFERROR(__xludf.DUMMYFUNCTION("vlookup(BB713,importrange(""https://docs.google.com/spreadsheets/d/1d2vevQ_7D_v35q4wCQ4RpQ_IPoTwEMB9Yp6ymwlPqew/edit?gid=984458430#gid=984458430"",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3" s="61" t="str">
        <f>IFERROR(__xludf.DUMMYFUNCTION("REGEXREPLACE(G713, ""_[a-z]{1,2}$"", """")"),"Boyce_etal2023109_1")</f>
        <v>Boyce_etal2023109_1</v>
      </c>
      <c r="BC713" s="92"/>
      <c r="BD713" s="79" t="s">
        <v>3763</v>
      </c>
      <c r="BE713" s="189"/>
    </row>
    <row r="714" ht="20.25" customHeight="1">
      <c r="A714" s="44">
        <v>714.0</v>
      </c>
      <c r="B714" s="79" t="s">
        <v>152</v>
      </c>
      <c r="C714" s="93" t="s">
        <v>115</v>
      </c>
      <c r="D714" s="93" t="s">
        <v>153</v>
      </c>
      <c r="E714" s="92"/>
      <c r="F714" s="94" t="s">
        <v>3873</v>
      </c>
      <c r="G714" s="76" t="s">
        <v>3881</v>
      </c>
      <c r="H714" s="95" t="s">
        <v>153</v>
      </c>
      <c r="I714" s="853">
        <v>45687.0</v>
      </c>
      <c r="J714" s="853">
        <v>45692.0</v>
      </c>
      <c r="K714" s="1087" t="s">
        <v>3882</v>
      </c>
      <c r="L714" s="94"/>
      <c r="M714" s="95" t="s">
        <v>3876</v>
      </c>
      <c r="N714" s="95" t="s">
        <v>3877</v>
      </c>
      <c r="O714" s="98">
        <v>1.0</v>
      </c>
      <c r="P714" s="95" t="str">
        <f t="shared" si="37"/>
        <v>10.1162--jocn_a_00709.pdf</v>
      </c>
      <c r="Q714" s="52" t="str">
        <f t="array" ref="Q714"> if(iserror(MATCH(V714, 'File Links'!C:C, 0)), "N/A", HYPERLINK(INDEX('File Links'!B:B, MATCH(P714, 'File Links'!C:C, 0))))</f>
        <v>https://drive.google.com/file/d/1PBsIeDN2jr1Pq3CNrSLb1Xsyr21P2pXL/view?usp=drivesdk</v>
      </c>
      <c r="R714" s="95" t="s">
        <v>3653</v>
      </c>
      <c r="S714" s="95" t="s">
        <v>3654</v>
      </c>
      <c r="T714" s="94"/>
      <c r="U714" s="156">
        <v>1.0</v>
      </c>
      <c r="V714" s="95" t="str">
        <f t="shared" si="40"/>
        <v>10.1098--rsos.231240.pdf</v>
      </c>
      <c r="W714" s="95" t="s">
        <v>3726</v>
      </c>
      <c r="X714" s="54" t="str">
        <f t="array" ref="X714"> if(iserror(MATCH(V714, 'File Links'!C:C, 0)), "N/A", HYPERLINK(INDEX('File Links'!B:B, MATCH(V714, 'File Links'!C:C, 0))))</f>
        <v>https://drive.google.com/file/d/17gaf2Zy_ljFfcAEDk5L8GBnTl5i7RGJE/view?usp=drivesdk</v>
      </c>
      <c r="Y714" s="94"/>
      <c r="Z714" s="1104" t="s">
        <v>148</v>
      </c>
      <c r="AA714" s="95" t="s">
        <v>3883</v>
      </c>
      <c r="AB714" s="85" t="s">
        <v>3884</v>
      </c>
      <c r="AC714" s="95" t="s">
        <v>3885</v>
      </c>
      <c r="AD714" s="95" t="s">
        <v>3886</v>
      </c>
      <c r="AE714" s="98">
        <v>7.0</v>
      </c>
      <c r="AF714" s="98">
        <v>45.0</v>
      </c>
      <c r="AG714" s="98">
        <v>-0.06</v>
      </c>
      <c r="AH714" s="98" t="s">
        <v>987</v>
      </c>
      <c r="AI714" s="98" t="s">
        <v>132</v>
      </c>
      <c r="AJ714" s="633">
        <v>0.031</v>
      </c>
      <c r="AK714" s="76" t="s">
        <v>172</v>
      </c>
      <c r="AL714" s="76" t="s">
        <v>186</v>
      </c>
      <c r="AM714" s="196" t="s">
        <v>141</v>
      </c>
      <c r="AN714" s="79" t="s">
        <v>138</v>
      </c>
      <c r="AO714" s="98">
        <v>25.0</v>
      </c>
      <c r="AP714" s="156">
        <v>-0.3</v>
      </c>
      <c r="AQ714" s="156" t="s">
        <v>987</v>
      </c>
      <c r="AR714" s="1089" t="s">
        <v>3887</v>
      </c>
      <c r="AS714" s="98">
        <v>0.6</v>
      </c>
      <c r="AT714" s="95" t="s">
        <v>172</v>
      </c>
      <c r="AU714" s="95" t="s">
        <v>186</v>
      </c>
      <c r="AV714" s="151" t="s">
        <v>141</v>
      </c>
      <c r="AW714" s="79" t="s">
        <v>138</v>
      </c>
      <c r="AX714" s="94" t="s">
        <v>143</v>
      </c>
      <c r="AY714" s="61" t="str">
        <f>IFERROR(__xludf.DUMMYFUNCTION("vlookup(BB714,importrange(""https://docs.google.com/spreadsheets/d/1d2vevQ_7D_v35q4wCQ4RpQ_IPoTwEMB9Yp6ymwlPqew/edit?gid=984458430#gid=984458430"", ""'replication success'!A:K""), 11, FAlSE)"),"successful")</f>
        <v>successful</v>
      </c>
      <c r="AZ714" s="61" t="str">
        <f>IFERROR(__xludf.DUMMYFUNCTION("vlookup(BB714,importrange(""https://docs.google.com/spreadsheets/d/1d2vevQ_7D_v35q4wCQ4RpQ_IPoTwEMB9Yp6ymwlPqew/edit?gid=984458430#gid=984458430"",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4" s="91" t="str">
        <f>IFERROR(__xludf.DUMMYFUNCTION("vlookup(BB714,importrange(""https://docs.google.com/spreadsheets/d/1d2vevQ_7D_v35q4wCQ4RpQ_IPoTwEMB9Yp6ymwlPqew/edit?gid=984458430#gid=984458430"",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4" s="61" t="str">
        <f>IFERROR(__xludf.DUMMYFUNCTION("REGEXREPLACE(G714, ""_[a-z]{1,2}$"", """")"),"Boyce_etal2023109_1")</f>
        <v>Boyce_etal2023109_1</v>
      </c>
      <c r="BC714" s="92"/>
      <c r="BD714" s="79" t="s">
        <v>3763</v>
      </c>
    </row>
    <row r="715" ht="20.25" customHeight="1">
      <c r="A715" s="44">
        <v>715.0</v>
      </c>
      <c r="B715" s="79" t="s">
        <v>152</v>
      </c>
      <c r="C715" s="93" t="s">
        <v>115</v>
      </c>
      <c r="D715" s="93" t="s">
        <v>153</v>
      </c>
      <c r="E715" s="92"/>
      <c r="F715" s="94" t="s">
        <v>3873</v>
      </c>
      <c r="G715" s="76" t="s">
        <v>3888</v>
      </c>
      <c r="H715" s="95" t="s">
        <v>153</v>
      </c>
      <c r="I715" s="853">
        <v>45687.0</v>
      </c>
      <c r="J715" s="853">
        <v>45692.0</v>
      </c>
      <c r="K715" s="1087" t="s">
        <v>3889</v>
      </c>
      <c r="L715" s="94"/>
      <c r="M715" s="95" t="s">
        <v>3876</v>
      </c>
      <c r="N715" s="95" t="s">
        <v>3877</v>
      </c>
      <c r="O715" s="98">
        <v>1.0</v>
      </c>
      <c r="P715" s="95" t="str">
        <f t="shared" si="37"/>
        <v>10.1162--jocn_a_00709.pdf</v>
      </c>
      <c r="Q715" s="52" t="str">
        <f t="array" ref="Q715"> if(iserror(MATCH(V715, 'File Links'!C:C, 0)), "N/A", HYPERLINK(INDEX('File Links'!B:B, MATCH(P715, 'File Links'!C:C, 0))))</f>
        <v>https://drive.google.com/file/d/1PBsIeDN2jr1Pq3CNrSLb1Xsyr21P2pXL/view?usp=drivesdk</v>
      </c>
      <c r="R715" s="95" t="s">
        <v>3653</v>
      </c>
      <c r="S715" s="95" t="s">
        <v>3654</v>
      </c>
      <c r="T715" s="94"/>
      <c r="U715" s="156">
        <v>1.0</v>
      </c>
      <c r="V715" s="95" t="str">
        <f t="shared" si="40"/>
        <v>10.1098--rsos.231240.pdf</v>
      </c>
      <c r="W715" s="95" t="s">
        <v>164</v>
      </c>
      <c r="X715" s="54" t="str">
        <f t="array" ref="X715"> if(iserror(MATCH(V715, 'File Links'!C:C, 0)), "N/A", HYPERLINK(INDEX('File Links'!B:B, MATCH(V715, 'File Links'!C:C, 0))))</f>
        <v>https://drive.google.com/file/d/17gaf2Zy_ljFfcAEDk5L8GBnTl5i7RGJE/view?usp=drivesdk</v>
      </c>
      <c r="Y715" s="94"/>
      <c r="Z715" s="1104" t="s">
        <v>148</v>
      </c>
      <c r="AA715" s="95" t="s">
        <v>3883</v>
      </c>
      <c r="AB715" s="85" t="s">
        <v>3884</v>
      </c>
      <c r="AC715" s="95" t="s">
        <v>3890</v>
      </c>
      <c r="AD715" s="95" t="s">
        <v>3891</v>
      </c>
      <c r="AE715" s="1105">
        <v>45908.0</v>
      </c>
      <c r="AF715" s="98">
        <v>45.0</v>
      </c>
      <c r="AG715" s="98">
        <v>-0.02</v>
      </c>
      <c r="AH715" s="98" t="s">
        <v>987</v>
      </c>
      <c r="AI715" s="98" t="s">
        <v>3892</v>
      </c>
      <c r="AJ715" s="633">
        <v>0.307</v>
      </c>
      <c r="AK715" s="76" t="s">
        <v>172</v>
      </c>
      <c r="AL715" s="76" t="s">
        <v>186</v>
      </c>
      <c r="AM715" s="196" t="s">
        <v>141</v>
      </c>
      <c r="AN715" s="79" t="s">
        <v>138</v>
      </c>
      <c r="AO715" s="98">
        <v>25.0</v>
      </c>
      <c r="AP715" s="129" t="s">
        <v>138</v>
      </c>
      <c r="AQ715" s="129" t="s">
        <v>138</v>
      </c>
      <c r="AR715" s="1089" t="s">
        <v>3893</v>
      </c>
      <c r="AS715" s="98">
        <v>0.01</v>
      </c>
      <c r="AT715" s="95" t="s">
        <v>135</v>
      </c>
      <c r="AU715" s="95" t="s">
        <v>136</v>
      </c>
      <c r="AV715" s="94" t="s">
        <v>137</v>
      </c>
      <c r="AW715" s="79" t="s">
        <v>138</v>
      </c>
      <c r="AX715" s="94" t="s">
        <v>143</v>
      </c>
      <c r="AY715" s="61" t="str">
        <f>IFERROR(__xludf.DUMMYFUNCTION("vlookup(BB715,importrange(""https://docs.google.com/spreadsheets/d/1d2vevQ_7D_v35q4wCQ4RpQ_IPoTwEMB9Yp6ymwlPqew/edit?gid=984458430#gid=984458430"", ""'replication success'!A:K""), 11, FAlSE)"),"successful")</f>
        <v>successful</v>
      </c>
      <c r="AZ715" s="61" t="str">
        <f>IFERROR(__xludf.DUMMYFUNCTION("vlookup(BB715,importrange(""https://docs.google.com/spreadsheets/d/1d2vevQ_7D_v35q4wCQ4RpQ_IPoTwEMB9Yp6ymwlPqew/edit?gid=984458430#gid=984458430"",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5" s="91" t="str">
        <f>IFERROR(__xludf.DUMMYFUNCTION("vlookup(BB715,importrange(""https://docs.google.com/spreadsheets/d/1d2vevQ_7D_v35q4wCQ4RpQ_IPoTwEMB9Yp6ymwlPqew/edit?gid=984458430#gid=984458430"",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5" s="61" t="str">
        <f>IFERROR(__xludf.DUMMYFUNCTION("REGEXREPLACE(G715, ""_[a-z]{1,2}$"", """")"),"Boyce_etal2023109_1")</f>
        <v>Boyce_etal2023109_1</v>
      </c>
      <c r="BC715" s="92"/>
      <c r="BD715" s="79" t="s">
        <v>3763</v>
      </c>
      <c r="BE715" s="189"/>
    </row>
    <row r="716" ht="20.25" customHeight="1">
      <c r="A716" s="44">
        <v>716.0</v>
      </c>
      <c r="B716" s="79" t="s">
        <v>152</v>
      </c>
      <c r="C716" s="93" t="s">
        <v>115</v>
      </c>
      <c r="D716" s="93" t="s">
        <v>153</v>
      </c>
      <c r="E716" s="92"/>
      <c r="F716" s="94" t="s">
        <v>3873</v>
      </c>
      <c r="G716" s="76" t="s">
        <v>3894</v>
      </c>
      <c r="H716" s="95" t="s">
        <v>153</v>
      </c>
      <c r="I716" s="853">
        <v>45687.0</v>
      </c>
      <c r="J716" s="853">
        <v>45692.0</v>
      </c>
      <c r="K716" s="1087" t="s">
        <v>3895</v>
      </c>
      <c r="L716" s="94"/>
      <c r="M716" s="95" t="s">
        <v>3876</v>
      </c>
      <c r="N716" s="95" t="s">
        <v>3877</v>
      </c>
      <c r="O716" s="98">
        <v>1.0</v>
      </c>
      <c r="P716" s="95" t="str">
        <f t="shared" si="37"/>
        <v>10.1162--jocn_a_00709.pdf</v>
      </c>
      <c r="Q716" s="52" t="str">
        <f t="array" ref="Q716"> if(iserror(MATCH(V716, 'File Links'!C:C, 0)), "N/A", HYPERLINK(INDEX('File Links'!B:B, MATCH(P716, 'File Links'!C:C, 0))))</f>
        <v>https://drive.google.com/file/d/1PBsIeDN2jr1Pq3CNrSLb1Xsyr21P2pXL/view?usp=drivesdk</v>
      </c>
      <c r="R716" s="95" t="s">
        <v>3653</v>
      </c>
      <c r="S716" s="95" t="s">
        <v>3654</v>
      </c>
      <c r="T716" s="94"/>
      <c r="U716" s="156">
        <v>1.0</v>
      </c>
      <c r="V716" s="95" t="str">
        <f t="shared" si="40"/>
        <v>10.1098--rsos.231240.pdf</v>
      </c>
      <c r="W716" s="95" t="s">
        <v>164</v>
      </c>
      <c r="X716" s="54" t="str">
        <f t="array" ref="X716"> if(iserror(MATCH(V716, 'File Links'!C:C, 0)), "N/A", HYPERLINK(INDEX('File Links'!B:B, MATCH(V716, 'File Links'!C:C, 0))))</f>
        <v>https://drive.google.com/file/d/17gaf2Zy_ljFfcAEDk5L8GBnTl5i7RGJE/view?usp=drivesdk</v>
      </c>
      <c r="Y716" s="94"/>
      <c r="Z716" s="1104" t="s">
        <v>148</v>
      </c>
      <c r="AA716" s="95" t="s">
        <v>3883</v>
      </c>
      <c r="AB716" s="85" t="s">
        <v>3884</v>
      </c>
      <c r="AC716" s="95" t="s">
        <v>3896</v>
      </c>
      <c r="AD716" s="95" t="s">
        <v>3897</v>
      </c>
      <c r="AE716" s="98">
        <v>8.0</v>
      </c>
      <c r="AF716" s="98">
        <v>45.0</v>
      </c>
      <c r="AG716" s="98">
        <v>0.16</v>
      </c>
      <c r="AH716" s="98" t="s">
        <v>987</v>
      </c>
      <c r="AI716" s="98" t="s">
        <v>3892</v>
      </c>
      <c r="AJ716" s="633">
        <v>1.0E-4</v>
      </c>
      <c r="AK716" s="76" t="s">
        <v>135</v>
      </c>
      <c r="AL716" s="76" t="s">
        <v>186</v>
      </c>
      <c r="AM716" s="196" t="s">
        <v>141</v>
      </c>
      <c r="AN716" s="79" t="s">
        <v>138</v>
      </c>
      <c r="AO716" s="98">
        <v>25.0</v>
      </c>
      <c r="AP716" s="156" t="s">
        <v>3898</v>
      </c>
      <c r="AQ716" s="156" t="s">
        <v>134</v>
      </c>
      <c r="AR716" s="1089" t="s">
        <v>3899</v>
      </c>
      <c r="AS716" s="856" t="s">
        <v>138</v>
      </c>
      <c r="AT716" s="856" t="s">
        <v>138</v>
      </c>
      <c r="AU716" s="95" t="s">
        <v>136</v>
      </c>
      <c r="AV716" s="94" t="s">
        <v>137</v>
      </c>
      <c r="AW716" s="79" t="s">
        <v>138</v>
      </c>
      <c r="AX716" s="94" t="s">
        <v>143</v>
      </c>
      <c r="AY716" s="61" t="str">
        <f>IFERROR(__xludf.DUMMYFUNCTION("vlookup(BB716,importrange(""https://docs.google.com/spreadsheets/d/1d2vevQ_7D_v35q4wCQ4RpQ_IPoTwEMB9Yp6ymwlPqew/edit?gid=984458430#gid=984458430"", ""'replication success'!A:K""), 11, FAlSE)"),"successful")</f>
        <v>successful</v>
      </c>
      <c r="AZ716" s="61" t="str">
        <f>IFERROR(__xludf.DUMMYFUNCTION("vlookup(BB716,importrange(""https://docs.google.com/spreadsheets/d/1d2vevQ_7D_v35q4wCQ4RpQ_IPoTwEMB9Yp6ymwlPqew/edit?gid=984458430#gid=984458430"",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6" s="91" t="str">
        <f>IFERROR(__xludf.DUMMYFUNCTION("vlookup(BB716,importrange(""https://docs.google.com/spreadsheets/d/1d2vevQ_7D_v35q4wCQ4RpQ_IPoTwEMB9Yp6ymwlPqew/edit?gid=984458430#gid=984458430"",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6" s="61" t="str">
        <f>IFERROR(__xludf.DUMMYFUNCTION("REGEXREPLACE(G716, ""_[a-z]{1,2}$"", """")"),"Boyce_etal2023109_1")</f>
        <v>Boyce_etal2023109_1</v>
      </c>
      <c r="BC716" s="92"/>
      <c r="BD716" s="79" t="s">
        <v>3763</v>
      </c>
    </row>
    <row r="717" ht="20.25" customHeight="1">
      <c r="A717" s="44">
        <v>717.0</v>
      </c>
      <c r="B717" s="79" t="s">
        <v>152</v>
      </c>
      <c r="C717" s="93" t="s">
        <v>115</v>
      </c>
      <c r="D717" s="93" t="s">
        <v>153</v>
      </c>
      <c r="E717" s="92"/>
      <c r="F717" s="94" t="s">
        <v>3873</v>
      </c>
      <c r="G717" s="76" t="s">
        <v>3900</v>
      </c>
      <c r="H717" s="95" t="s">
        <v>153</v>
      </c>
      <c r="I717" s="853">
        <v>45687.0</v>
      </c>
      <c r="J717" s="853">
        <v>45692.0</v>
      </c>
      <c r="K717" s="1087" t="s">
        <v>3901</v>
      </c>
      <c r="L717" s="94"/>
      <c r="M717" s="95" t="s">
        <v>3876</v>
      </c>
      <c r="N717" s="95" t="s">
        <v>3877</v>
      </c>
      <c r="O717" s="98">
        <v>1.0</v>
      </c>
      <c r="P717" s="95" t="str">
        <f t="shared" si="37"/>
        <v>10.1162--jocn_a_00709.pdf</v>
      </c>
      <c r="Q717" s="52" t="str">
        <f t="array" ref="Q717"> if(iserror(MATCH(V717, 'File Links'!C:C, 0)), "N/A", HYPERLINK(INDEX('File Links'!B:B, MATCH(P717, 'File Links'!C:C, 0))))</f>
        <v>https://drive.google.com/file/d/1PBsIeDN2jr1Pq3CNrSLb1Xsyr21P2pXL/view?usp=drivesdk</v>
      </c>
      <c r="R717" s="95" t="s">
        <v>3653</v>
      </c>
      <c r="S717" s="95" t="s">
        <v>3654</v>
      </c>
      <c r="T717" s="94"/>
      <c r="U717" s="156">
        <v>1.0</v>
      </c>
      <c r="V717" s="95" t="str">
        <f t="shared" si="40"/>
        <v>10.1098--rsos.231240.pdf</v>
      </c>
      <c r="W717" s="95" t="s">
        <v>164</v>
      </c>
      <c r="X717" s="54" t="str">
        <f t="array" ref="X717"> if(iserror(MATCH(V717, 'File Links'!C:C, 0)), "N/A", HYPERLINK(INDEX('File Links'!B:B, MATCH(V717, 'File Links'!C:C, 0))))</f>
        <v>https://drive.google.com/file/d/17gaf2Zy_ljFfcAEDk5L8GBnTl5i7RGJE/view?usp=drivesdk</v>
      </c>
      <c r="Y717" s="94"/>
      <c r="Z717" s="1104" t="s">
        <v>148</v>
      </c>
      <c r="AA717" s="95" t="s">
        <v>3883</v>
      </c>
      <c r="AB717" s="85" t="s">
        <v>3884</v>
      </c>
      <c r="AC717" s="95" t="s">
        <v>3902</v>
      </c>
      <c r="AD717" s="95" t="s">
        <v>3903</v>
      </c>
      <c r="AE717" s="98">
        <v>8.0</v>
      </c>
      <c r="AF717" s="98">
        <v>45.0</v>
      </c>
      <c r="AG717" s="98">
        <v>0.08</v>
      </c>
      <c r="AH717" s="98" t="s">
        <v>987</v>
      </c>
      <c r="AI717" s="98" t="s">
        <v>3892</v>
      </c>
      <c r="AJ717" s="633">
        <v>0.001</v>
      </c>
      <c r="AK717" s="76" t="s">
        <v>172</v>
      </c>
      <c r="AL717" s="76" t="s">
        <v>186</v>
      </c>
      <c r="AM717" s="196" t="s">
        <v>141</v>
      </c>
      <c r="AN717" s="79" t="s">
        <v>138</v>
      </c>
      <c r="AO717" s="98">
        <v>25.0</v>
      </c>
      <c r="AP717" s="156" t="s">
        <v>3904</v>
      </c>
      <c r="AQ717" s="156" t="s">
        <v>134</v>
      </c>
      <c r="AR717" s="1089" t="s">
        <v>3899</v>
      </c>
      <c r="AS717" s="98">
        <v>0.05</v>
      </c>
      <c r="AT717" s="95" t="s">
        <v>135</v>
      </c>
      <c r="AU717" s="95" t="s">
        <v>136</v>
      </c>
      <c r="AV717" s="94" t="s">
        <v>137</v>
      </c>
      <c r="AW717" s="79" t="s">
        <v>138</v>
      </c>
      <c r="AX717" s="94" t="s">
        <v>143</v>
      </c>
      <c r="AY717" s="61" t="str">
        <f>IFERROR(__xludf.DUMMYFUNCTION("vlookup(BB717,importrange(""https://docs.google.com/spreadsheets/d/1d2vevQ_7D_v35q4wCQ4RpQ_IPoTwEMB9Yp6ymwlPqew/edit?gid=984458430#gid=984458430"", ""'replication success'!A:K""), 11, FAlSE)"),"successful")</f>
        <v>successful</v>
      </c>
      <c r="AZ717" s="61" t="str">
        <f>IFERROR(__xludf.DUMMYFUNCTION("vlookup(BB717,importrange(""https://docs.google.com/spreadsheets/d/1d2vevQ_7D_v35q4wCQ4RpQ_IPoTwEMB9Yp6ymwlPqew/edit?gid=984458430#gid=984458430"",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7" s="91" t="str">
        <f>IFERROR(__xludf.DUMMYFUNCTION("vlookup(BB717,importrange(""https://docs.google.com/spreadsheets/d/1d2vevQ_7D_v35q4wCQ4RpQ_IPoTwEMB9Yp6ymwlPqew/edit?gid=984458430#gid=984458430"",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7" s="61" t="str">
        <f>IFERROR(__xludf.DUMMYFUNCTION("REGEXREPLACE(G717, ""_[a-z]{1,2}$"", """")"),"Boyce_etal2023109_1")</f>
        <v>Boyce_etal2023109_1</v>
      </c>
      <c r="BC717" s="92"/>
      <c r="BD717" s="79" t="s">
        <v>3763</v>
      </c>
      <c r="BE717" s="189"/>
    </row>
    <row r="718" ht="20.25" customHeight="1">
      <c r="A718" s="44">
        <v>718.0</v>
      </c>
      <c r="B718" s="79" t="s">
        <v>152</v>
      </c>
      <c r="C718" s="93" t="s">
        <v>115</v>
      </c>
      <c r="D718" s="93" t="s">
        <v>153</v>
      </c>
      <c r="E718" s="92"/>
      <c r="F718" s="94" t="s">
        <v>3873</v>
      </c>
      <c r="G718" s="76" t="s">
        <v>3905</v>
      </c>
      <c r="H718" s="95" t="s">
        <v>153</v>
      </c>
      <c r="I718" s="853">
        <v>45687.0</v>
      </c>
      <c r="J718" s="853">
        <v>45692.0</v>
      </c>
      <c r="K718" s="1087" t="s">
        <v>3906</v>
      </c>
      <c r="L718" s="94"/>
      <c r="M718" s="95" t="s">
        <v>3876</v>
      </c>
      <c r="N718" s="95" t="s">
        <v>3877</v>
      </c>
      <c r="O718" s="98">
        <v>1.0</v>
      </c>
      <c r="P718" s="95" t="str">
        <f t="shared" si="37"/>
        <v>10.1162--jocn_a_00709.pdf</v>
      </c>
      <c r="Q718" s="52" t="str">
        <f t="array" ref="Q718"> if(iserror(MATCH(V718, 'File Links'!C:C, 0)), "N/A", HYPERLINK(INDEX('File Links'!B:B, MATCH(P718, 'File Links'!C:C, 0))))</f>
        <v>https://drive.google.com/file/d/1PBsIeDN2jr1Pq3CNrSLb1Xsyr21P2pXL/view?usp=drivesdk</v>
      </c>
      <c r="R718" s="95" t="s">
        <v>3653</v>
      </c>
      <c r="S718" s="95" t="s">
        <v>3654</v>
      </c>
      <c r="T718" s="94"/>
      <c r="U718" s="156">
        <v>1.0</v>
      </c>
      <c r="V718" s="95" t="str">
        <f t="shared" si="40"/>
        <v>10.1098--rsos.231240.pdf</v>
      </c>
      <c r="W718" s="95" t="s">
        <v>164</v>
      </c>
      <c r="X718" s="54" t="str">
        <f t="array" ref="X718"> if(iserror(MATCH(V718, 'File Links'!C:C, 0)), "N/A", HYPERLINK(INDEX('File Links'!B:B, MATCH(V718, 'File Links'!C:C, 0))))</f>
        <v>https://drive.google.com/file/d/17gaf2Zy_ljFfcAEDk5L8GBnTl5i7RGJE/view?usp=drivesdk</v>
      </c>
      <c r="Y718" s="94"/>
      <c r="Z718" s="1104" t="s">
        <v>148</v>
      </c>
      <c r="AA718" s="95" t="s">
        <v>3883</v>
      </c>
      <c r="AB718" s="85" t="s">
        <v>3884</v>
      </c>
      <c r="AC718" s="95" t="s">
        <v>3907</v>
      </c>
      <c r="AD718" s="95" t="s">
        <v>3908</v>
      </c>
      <c r="AE718" s="98">
        <v>8.0</v>
      </c>
      <c r="AF718" s="98">
        <v>45.0</v>
      </c>
      <c r="AG718" s="98">
        <v>0.04</v>
      </c>
      <c r="AH718" s="98" t="s">
        <v>987</v>
      </c>
      <c r="AI718" s="98" t="s">
        <v>3892</v>
      </c>
      <c r="AJ718" s="633">
        <v>0.116</v>
      </c>
      <c r="AK718" s="76" t="s">
        <v>172</v>
      </c>
      <c r="AL718" s="76" t="s">
        <v>186</v>
      </c>
      <c r="AM718" s="196" t="s">
        <v>141</v>
      </c>
      <c r="AN718" s="79" t="s">
        <v>138</v>
      </c>
      <c r="AO718" s="98">
        <v>25.0</v>
      </c>
      <c r="AP718" s="156" t="s">
        <v>3909</v>
      </c>
      <c r="AQ718" s="156" t="s">
        <v>134</v>
      </c>
      <c r="AR718" s="1089" t="s">
        <v>3899</v>
      </c>
      <c r="AS718" s="98">
        <v>0.05</v>
      </c>
      <c r="AT718" s="95" t="s">
        <v>135</v>
      </c>
      <c r="AU718" s="95" t="s">
        <v>136</v>
      </c>
      <c r="AV718" s="94" t="s">
        <v>137</v>
      </c>
      <c r="AW718" s="79" t="s">
        <v>138</v>
      </c>
      <c r="AX718" s="94" t="s">
        <v>143</v>
      </c>
      <c r="AY718" s="61" t="str">
        <f>IFERROR(__xludf.DUMMYFUNCTION("vlookup(BB718,importrange(""https://docs.google.com/spreadsheets/d/1d2vevQ_7D_v35q4wCQ4RpQ_IPoTwEMB9Yp6ymwlPqew/edit?gid=984458430#gid=984458430"", ""'replication success'!A:K""), 11, FAlSE)"),"successful")</f>
        <v>successful</v>
      </c>
      <c r="AZ718" s="61" t="str">
        <f>IFERROR(__xludf.DUMMYFUNCTION("vlookup(BB718,importrange(""https://docs.google.com/spreadsheets/d/1d2vevQ_7D_v35q4wCQ4RpQ_IPoTwEMB9Yp6ymwlPqew/edit?gid=984458430#gid=984458430"",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8" s="91" t="str">
        <f>IFERROR(__xludf.DUMMYFUNCTION("vlookup(BB718,importrange(""https://docs.google.com/spreadsheets/d/1d2vevQ_7D_v35q4wCQ4RpQ_IPoTwEMB9Yp6ymwlPqew/edit?gid=984458430#gid=984458430"",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8" s="61" t="str">
        <f>IFERROR(__xludf.DUMMYFUNCTION("REGEXREPLACE(G718, ""_[a-z]{1,2}$"", """")"),"Boyce_etal2023109_1")</f>
        <v>Boyce_etal2023109_1</v>
      </c>
      <c r="BC718" s="92"/>
      <c r="BD718" s="79" t="s">
        <v>3763</v>
      </c>
    </row>
    <row r="719" ht="20.25" customHeight="1">
      <c r="A719" s="44">
        <v>719.0</v>
      </c>
      <c r="B719" s="79" t="s">
        <v>152</v>
      </c>
      <c r="C719" s="93" t="s">
        <v>115</v>
      </c>
      <c r="D719" s="93" t="s">
        <v>153</v>
      </c>
      <c r="E719" s="92"/>
      <c r="F719" s="94" t="s">
        <v>3873</v>
      </c>
      <c r="G719" s="76" t="s">
        <v>3910</v>
      </c>
      <c r="H719" s="95" t="s">
        <v>153</v>
      </c>
      <c r="I719" s="853">
        <v>45687.0</v>
      </c>
      <c r="J719" s="853">
        <v>45692.0</v>
      </c>
      <c r="K719" s="1087" t="s">
        <v>3911</v>
      </c>
      <c r="L719" s="94"/>
      <c r="M719" s="95" t="s">
        <v>3876</v>
      </c>
      <c r="N719" s="95" t="s">
        <v>3877</v>
      </c>
      <c r="O719" s="98">
        <v>1.0</v>
      </c>
      <c r="P719" s="95" t="str">
        <f t="shared" si="37"/>
        <v>10.1162--jocn_a_00709.pdf</v>
      </c>
      <c r="Q719" s="52" t="str">
        <f t="array" ref="Q719"> if(iserror(MATCH(V719, 'File Links'!C:C, 0)), "N/A", HYPERLINK(INDEX('File Links'!B:B, MATCH(P719, 'File Links'!C:C, 0))))</f>
        <v>https://drive.google.com/file/d/1PBsIeDN2jr1Pq3CNrSLb1Xsyr21P2pXL/view?usp=drivesdk</v>
      </c>
      <c r="R719" s="95" t="s">
        <v>3653</v>
      </c>
      <c r="S719" s="95" t="s">
        <v>3654</v>
      </c>
      <c r="T719" s="94"/>
      <c r="U719" s="156">
        <v>1.0</v>
      </c>
      <c r="V719" s="95" t="str">
        <f t="shared" si="40"/>
        <v>10.1098--rsos.231240.pdf</v>
      </c>
      <c r="W719" s="95" t="s">
        <v>164</v>
      </c>
      <c r="X719" s="54" t="str">
        <f t="array" ref="X719"> if(iserror(MATCH(V719, 'File Links'!C:C, 0)), "N/A", HYPERLINK(INDEX('File Links'!B:B, MATCH(V719, 'File Links'!C:C, 0))))</f>
        <v>https://drive.google.com/file/d/17gaf2Zy_ljFfcAEDk5L8GBnTl5i7RGJE/view?usp=drivesdk</v>
      </c>
      <c r="Y719" s="94"/>
      <c r="Z719" s="1104" t="s">
        <v>148</v>
      </c>
      <c r="AA719" s="95" t="s">
        <v>3883</v>
      </c>
      <c r="AB719" s="85" t="s">
        <v>3884</v>
      </c>
      <c r="AC719" s="95" t="s">
        <v>3912</v>
      </c>
      <c r="AD719" s="95" t="s">
        <v>3913</v>
      </c>
      <c r="AE719" s="98">
        <v>9.0</v>
      </c>
      <c r="AF719" s="98">
        <v>45.0</v>
      </c>
      <c r="AG719" s="98">
        <v>0.04</v>
      </c>
      <c r="AH719" s="98" t="s">
        <v>987</v>
      </c>
      <c r="AI719" s="98" t="s">
        <v>3892</v>
      </c>
      <c r="AJ719" s="633">
        <v>0.143</v>
      </c>
      <c r="AK719" s="76" t="s">
        <v>172</v>
      </c>
      <c r="AL719" s="76" t="s">
        <v>186</v>
      </c>
      <c r="AM719" s="196" t="s">
        <v>141</v>
      </c>
      <c r="AN719" s="79" t="s">
        <v>138</v>
      </c>
      <c r="AO719" s="98">
        <v>25.0</v>
      </c>
      <c r="AP719" s="156">
        <v>0.13</v>
      </c>
      <c r="AQ719" s="156" t="s">
        <v>987</v>
      </c>
      <c r="AR719" s="1089" t="s">
        <v>3887</v>
      </c>
      <c r="AS719" s="98">
        <v>0.15</v>
      </c>
      <c r="AT719" s="95" t="s">
        <v>335</v>
      </c>
      <c r="AU719" s="95" t="s">
        <v>136</v>
      </c>
      <c r="AV719" s="94" t="s">
        <v>137</v>
      </c>
      <c r="AW719" s="79" t="s">
        <v>138</v>
      </c>
      <c r="AX719" s="94" t="s">
        <v>143</v>
      </c>
      <c r="AY719" s="61" t="str">
        <f>IFERROR(__xludf.DUMMYFUNCTION("vlookup(BB719,importrange(""https://docs.google.com/spreadsheets/d/1d2vevQ_7D_v35q4wCQ4RpQ_IPoTwEMB9Yp6ymwlPqew/edit?gid=984458430#gid=984458430"", ""'replication success'!A:K""), 11, FAlSE)"),"successful")</f>
        <v>successful</v>
      </c>
      <c r="AZ719" s="61" t="str">
        <f>IFERROR(__xludf.DUMMYFUNCTION("vlookup(BB719,importrange(""https://docs.google.com/spreadsheets/d/1d2vevQ_7D_v35q4wCQ4RpQ_IPoTwEMB9Yp6ymwlPqew/edit?gid=984458430#gid=984458430"", ""'replication success'!A:M""), 12, FAlSE)")," The reduced sample size limits our statistical power, but all results trend towards a
 successful replication of the main effects first reported by Otto et al.")</f>
        <v> The reduced sample size limits our statistical power, but all results trend towards a
 successful replication of the main effects first reported by Otto et al.</v>
      </c>
      <c r="BA719" s="91" t="str">
        <f>IFERROR(__xludf.DUMMYFUNCTION("vlookup(BB719,importrange(""https://docs.google.com/spreadsheets/d/1d2vevQ_7D_v35q4wCQ4RpQ_IPoTwEMB9Yp6ymwlPqew/edit?gid=984458430#gid=984458430"", ""'replication success'!A:M""), 13, FAlSE)"),"pg. 11 of https://github.com/vboyce/251-254-MA/blob/main/reports/otto2014.pdf ")</f>
        <v>pg. 11 of https://github.com/vboyce/251-254-MA/blob/main/reports/otto2014.pdf </v>
      </c>
      <c r="BB719" s="61" t="str">
        <f>IFERROR(__xludf.DUMMYFUNCTION("REGEXREPLACE(G719, ""_[a-z]{1,2}$"", """")"),"Boyce_etal2023109_1")</f>
        <v>Boyce_etal2023109_1</v>
      </c>
      <c r="BC719" s="92"/>
      <c r="BD719" s="79" t="s">
        <v>3763</v>
      </c>
      <c r="BE719" s="189"/>
    </row>
    <row r="720" ht="20.25" customHeight="1">
      <c r="A720" s="44">
        <v>720.0</v>
      </c>
      <c r="B720" s="68" t="s">
        <v>114</v>
      </c>
      <c r="C720" s="62" t="s">
        <v>115</v>
      </c>
      <c r="D720" s="62" t="s">
        <v>248</v>
      </c>
      <c r="F720" s="159" t="s">
        <v>3914</v>
      </c>
      <c r="G720" s="57" t="s">
        <v>3915</v>
      </c>
      <c r="H720" s="159" t="s">
        <v>249</v>
      </c>
      <c r="I720" s="152">
        <v>45663.0</v>
      </c>
      <c r="J720" s="152">
        <v>45692.0</v>
      </c>
      <c r="K720" s="68"/>
      <c r="L720" s="68"/>
      <c r="M720" s="159" t="s">
        <v>3916</v>
      </c>
      <c r="N720" s="159" t="s">
        <v>3917</v>
      </c>
      <c r="O720" s="68"/>
      <c r="P720" s="159" t="str">
        <f t="shared" si="37"/>
        <v>10.1037--0022-3514.94.2.94.2.196.pdf</v>
      </c>
      <c r="Q720" s="52" t="str">
        <f t="array" ref="Q720"> if(iserror(MATCH(V720, 'File Links'!C:C, 0)), "N/A", HYPERLINK(INDEX('File Links'!B:B, MATCH(P720, 'File Links'!C:C, 0))))</f>
        <v>https://drive.google.com/file/d/1UKyZSyadeWWKlD03-UFjhlFvSy-jY0H-/view?usp=drivesdk</v>
      </c>
      <c r="R720" s="159" t="s">
        <v>3653</v>
      </c>
      <c r="S720" s="159" t="s">
        <v>3654</v>
      </c>
      <c r="T720" s="68"/>
      <c r="U720" s="156">
        <v>1.0</v>
      </c>
      <c r="V720" s="198" t="str">
        <f t="shared" si="40"/>
        <v>10.1098--rsos.231240.pdf</v>
      </c>
      <c r="W720" s="159" t="s">
        <v>324</v>
      </c>
      <c r="X720" s="54" t="str">
        <f t="array" ref="X720"> if(iserror(MATCH(V720, 'File Links'!C:C, 0)), "N/A", HYPERLINK(INDEX('File Links'!B:B, MATCH(V720, 'File Links'!C:C, 0))))</f>
        <v>https://drive.google.com/file/d/17gaf2Zy_ljFfcAEDk5L8GBnTl5i7RGJE/view?usp=drivesdk</v>
      </c>
      <c r="Y720" s="68"/>
      <c r="Z720" s="159" t="s">
        <v>226</v>
      </c>
      <c r="AA720" s="68"/>
      <c r="AB720" s="68"/>
      <c r="AC720" s="68"/>
      <c r="AD720" s="159" t="s">
        <v>3918</v>
      </c>
      <c r="AE720" s="156">
        <v>208.0</v>
      </c>
      <c r="AF720" s="156">
        <v>124.0</v>
      </c>
      <c r="AG720" s="156">
        <v>5.12</v>
      </c>
      <c r="AH720" s="159" t="s">
        <v>1031</v>
      </c>
      <c r="AI720" s="159" t="s">
        <v>3919</v>
      </c>
      <c r="AJ720" s="709">
        <v>0.025</v>
      </c>
      <c r="AK720" s="57" t="s">
        <v>172</v>
      </c>
      <c r="AL720" s="57" t="s">
        <v>186</v>
      </c>
      <c r="AM720" s="159" t="s">
        <v>141</v>
      </c>
      <c r="AN720" s="129" t="s">
        <v>138</v>
      </c>
      <c r="AO720" s="156">
        <v>209.0</v>
      </c>
      <c r="AP720" s="156">
        <v>0.0506346969034163</v>
      </c>
      <c r="AQ720" s="159" t="s">
        <v>173</v>
      </c>
      <c r="AR720" s="68"/>
      <c r="AS720" s="156">
        <v>0.466054495151454</v>
      </c>
      <c r="AT720" s="159" t="s">
        <v>172</v>
      </c>
      <c r="AU720" s="159" t="s">
        <v>186</v>
      </c>
      <c r="AV720" s="1060" t="s">
        <v>141</v>
      </c>
      <c r="AW720" s="68"/>
      <c r="AX720" s="159" t="s">
        <v>143</v>
      </c>
      <c r="AY720" s="61" t="str">
        <f>IFERROR(__xludf.DUMMYFUNCTION("vlookup(BB720,importrange(""https://docs.google.com/spreadsheets/d/1d2vevQ_7D_v35q4wCQ4RpQ_IPoTwEMB9Yp6ymwlPqew/edit?gid=984458430#gid=984458430"", ""'replication success'!A:K""), 11, FAlSE)"),"#N/A")</f>
        <v>#N/A</v>
      </c>
      <c r="AZ720" s="61" t="str">
        <f>IFERROR(__xludf.DUMMYFUNCTION("vlookup(BB720,importrange(""https://docs.google.com/spreadsheets/d/1d2vevQ_7D_v35q4wCQ4RpQ_IPoTwEMB9Yp6ymwlPqew/edit?gid=984458430#gid=984458430"", ""'replication success'!A:M""), 12, FAlSE)"),"#N/A")</f>
        <v>#N/A</v>
      </c>
      <c r="BA720" s="61" t="str">
        <f>IFERROR(__xludf.DUMMYFUNCTION("vlookup(BB720,importrange(""https://docs.google.com/spreadsheets/d/1d2vevQ_7D_v35q4wCQ4RpQ_IPoTwEMB9Yp6ymwlPqew/edit?gid=984458430#gid=984458430"", ""'replication success'!A:M""), 13, FAlSE)"),"#N/A")</f>
        <v>#N/A</v>
      </c>
      <c r="BB720" s="61" t="str">
        <f>IFERROR(__xludf.DUMMYFUNCTION("REGEXREPLACE(G720, ""_[a-z]{1,2}$"", """")"),"Boyce_etal202311_1")</f>
        <v>Boyce_etal202311_1</v>
      </c>
      <c r="BD720" s="68" t="s">
        <v>153</v>
      </c>
    </row>
    <row r="721" ht="20.25" customHeight="1">
      <c r="A721" s="44">
        <v>721.0</v>
      </c>
      <c r="B721" s="129" t="s">
        <v>152</v>
      </c>
      <c r="C721" s="62" t="s">
        <v>115</v>
      </c>
      <c r="D721" s="1063" t="s">
        <v>153</v>
      </c>
      <c r="E721" s="1063" t="s">
        <v>3920</v>
      </c>
      <c r="F721" s="68" t="s">
        <v>3915</v>
      </c>
      <c r="G721" s="57" t="s">
        <v>3914</v>
      </c>
      <c r="H721" s="704" t="s">
        <v>3921</v>
      </c>
      <c r="I721" s="152">
        <v>45687.0</v>
      </c>
      <c r="J721" s="152">
        <v>45692.0</v>
      </c>
      <c r="K721" s="437"/>
      <c r="L721" s="68"/>
      <c r="M721" s="159" t="s">
        <v>3916</v>
      </c>
      <c r="N721" s="159" t="s">
        <v>3917</v>
      </c>
      <c r="O721" s="161" t="s">
        <v>3922</v>
      </c>
      <c r="P721" s="159" t="str">
        <f t="shared" si="37"/>
        <v>10.1037--0022-3514.94.2.94.2.196.pdf</v>
      </c>
      <c r="Q721" s="52" t="str">
        <f t="array" ref="Q721"> if(iserror(MATCH(V721, 'File Links'!C:C, 0)), "N/A", HYPERLINK(INDEX('File Links'!B:B, MATCH(P721, 'File Links'!C:C, 0))))</f>
        <v>https://drive.google.com/file/d/1UKyZSyadeWWKlD03-UFjhlFvSy-jY0H-/view?usp=drivesdk</v>
      </c>
      <c r="R721" s="159" t="s">
        <v>3653</v>
      </c>
      <c r="S721" s="159" t="s">
        <v>3654</v>
      </c>
      <c r="T721" s="441" t="s">
        <v>3923</v>
      </c>
      <c r="U721" s="156">
        <v>1.0</v>
      </c>
      <c r="V721" s="198" t="str">
        <f t="shared" si="40"/>
        <v>10.1098--rsos.231240.pdf</v>
      </c>
      <c r="W721" s="159" t="s">
        <v>3726</v>
      </c>
      <c r="X721" s="54" t="str">
        <f t="array" ref="X721"> if(iserror(MATCH(V721, 'File Links'!C:C, 0)), "N/A", HYPERLINK(INDEX('File Links'!B:B, MATCH(V721, 'File Links'!C:C, 0))))</f>
        <v>https://drive.google.com/file/d/17gaf2Zy_ljFfcAEDk5L8GBnTl5i7RGJE/view?usp=drivesdk</v>
      </c>
      <c r="Y721" s="68"/>
      <c r="Z721" s="159" t="s">
        <v>226</v>
      </c>
      <c r="AA721" s="159" t="s">
        <v>3924</v>
      </c>
      <c r="AB721" s="159" t="s">
        <v>3925</v>
      </c>
      <c r="AC721" s="159" t="s">
        <v>3926</v>
      </c>
      <c r="AD721" s="151" t="s">
        <v>3927</v>
      </c>
      <c r="AE721" s="161" t="s">
        <v>3919</v>
      </c>
      <c r="AF721" s="156">
        <v>124.0</v>
      </c>
      <c r="AG721" s="161" t="s">
        <v>3928</v>
      </c>
      <c r="AH721" s="161" t="s">
        <v>134</v>
      </c>
      <c r="AI721" s="161" t="s">
        <v>3919</v>
      </c>
      <c r="AJ721" s="161">
        <v>0.002</v>
      </c>
      <c r="AK721" s="57" t="s">
        <v>172</v>
      </c>
      <c r="AL721" s="57" t="s">
        <v>186</v>
      </c>
      <c r="AM721" s="151" t="s">
        <v>137</v>
      </c>
      <c r="AN721" s="129" t="s">
        <v>138</v>
      </c>
      <c r="AO721" s="156">
        <v>209.0</v>
      </c>
      <c r="AP721" s="501" t="s">
        <v>3929</v>
      </c>
      <c r="AQ721" s="161" t="s">
        <v>134</v>
      </c>
      <c r="AR721" s="129" t="s">
        <v>850</v>
      </c>
      <c r="AS721" s="161">
        <v>0.49</v>
      </c>
      <c r="AT721" s="159" t="s">
        <v>172</v>
      </c>
      <c r="AU721" s="159" t="s">
        <v>186</v>
      </c>
      <c r="AV721" s="129" t="s">
        <v>137</v>
      </c>
      <c r="AW721" s="129" t="s">
        <v>138</v>
      </c>
      <c r="AX721" s="68" t="s">
        <v>143</v>
      </c>
      <c r="AY721" s="61" t="str">
        <f>IFERROR(__xludf.DUMMYFUNCTION("vlookup(BB721,importrange(""https://docs.google.com/spreadsheets/d/1d2vevQ_7D_v35q4wCQ4RpQ_IPoTwEMB9Yp6ymwlPqew/edit?gid=984458430#gid=984458430"", ""'replication success'!A:K""), 11, FAlSE)"),"failed")</f>
        <v>failed</v>
      </c>
      <c r="AZ721" s="61" t="str">
        <f>IFERROR(__xludf.DUMMYFUNCTION("vlookup(BB721,importrange(""https://docs.google.com/spreadsheets/d/1d2vevQ_7D_v35q4wCQ4RpQ_IPoTwEMB9Yp6ymwlPqew/edit?gid=984458430#gid=984458430"",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21" s="61" t="str">
        <f>IFERROR(__xludf.DUMMYFUNCTION("vlookup(BB721,importrange(""https://docs.google.com/spreadsheets/d/1d2vevQ_7D_v35q4wCQ4RpQ_IPoTwEMB9Yp6ymwlPqew/edit?gid=984458430#gid=984458430"",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v>
      </c>
      <c r="BB721" s="61" t="str">
        <f>IFERROR(__xludf.DUMMYFUNCTION("REGEXREPLACE(G721, ""_[a-z]{1,2}$"", """")"),"Boyce_etal202311")</f>
        <v>Boyce_etal202311</v>
      </c>
      <c r="BD721" s="129" t="s">
        <v>3930</v>
      </c>
      <c r="BE721" s="189"/>
    </row>
    <row r="722" ht="20.25" customHeight="1">
      <c r="A722" s="44">
        <v>722.0</v>
      </c>
      <c r="B722" s="68" t="s">
        <v>114</v>
      </c>
      <c r="C722" s="62" t="s">
        <v>115</v>
      </c>
      <c r="D722" s="62" t="s">
        <v>153</v>
      </c>
      <c r="F722" s="68" t="s">
        <v>3915</v>
      </c>
      <c r="G722" s="57" t="s">
        <v>3914</v>
      </c>
      <c r="H722" s="159" t="s">
        <v>153</v>
      </c>
      <c r="I722" s="152">
        <v>45687.0</v>
      </c>
      <c r="J722" s="152">
        <v>45692.0</v>
      </c>
      <c r="K722" s="1055" t="s">
        <v>3931</v>
      </c>
      <c r="L722" s="68"/>
      <c r="M722" s="159" t="s">
        <v>3916</v>
      </c>
      <c r="N722" s="159" t="s">
        <v>3917</v>
      </c>
      <c r="O722" s="156" t="s">
        <v>3932</v>
      </c>
      <c r="P722" s="159" t="str">
        <f t="shared" si="37"/>
        <v>10.1037--0022-3514.94.2.94.2.196.pdf</v>
      </c>
      <c r="Q722" s="52" t="str">
        <f t="array" ref="Q722"> if(iserror(MATCH(V722, 'File Links'!C:C, 0)), "N/A", HYPERLINK(INDEX('File Links'!B:B, MATCH(P722, 'File Links'!C:C, 0))))</f>
        <v>https://drive.google.com/file/d/1UKyZSyadeWWKlD03-UFjhlFvSy-jY0H-/view?usp=drivesdk</v>
      </c>
      <c r="R722" s="159" t="s">
        <v>3653</v>
      </c>
      <c r="S722" s="159" t="s">
        <v>3654</v>
      </c>
      <c r="T722" s="68"/>
      <c r="U722" s="156">
        <v>1.0</v>
      </c>
      <c r="V722" s="198" t="str">
        <f t="shared" si="40"/>
        <v>10.1098--rsos.231240.pdf</v>
      </c>
      <c r="W722" s="159" t="s">
        <v>3726</v>
      </c>
      <c r="X722" s="54" t="str">
        <f t="array" ref="X722"> if(iserror(MATCH(V722, 'File Links'!C:C, 0)), "N/A", HYPERLINK(INDEX('File Links'!B:B, MATCH(V722, 'File Links'!C:C, 0))))</f>
        <v>https://drive.google.com/file/d/17gaf2Zy_ljFfcAEDk5L8GBnTl5i7RGJE/view?usp=drivesdk</v>
      </c>
      <c r="Y722" s="68"/>
      <c r="Z722" s="159" t="s">
        <v>226</v>
      </c>
      <c r="AA722" s="159" t="s">
        <v>3924</v>
      </c>
      <c r="AB722" s="159" t="s">
        <v>3925</v>
      </c>
      <c r="AC722" s="159" t="s">
        <v>3926</v>
      </c>
      <c r="AD722" s="159" t="s">
        <v>3933</v>
      </c>
      <c r="AE722" s="156">
        <v>13.0</v>
      </c>
      <c r="AF722" s="156">
        <v>124.0</v>
      </c>
      <c r="AG722" s="156">
        <v>0.40700273690976</v>
      </c>
      <c r="AH722" s="156" t="s">
        <v>173</v>
      </c>
      <c r="AI722" s="156" t="s">
        <v>436</v>
      </c>
      <c r="AJ722" s="1061">
        <v>1.47769853598369E-5</v>
      </c>
      <c r="AK722" s="57" t="s">
        <v>172</v>
      </c>
      <c r="AL722" s="57" t="s">
        <v>186</v>
      </c>
      <c r="AM722" s="159" t="s">
        <v>141</v>
      </c>
      <c r="AN722" s="129" t="s">
        <v>138</v>
      </c>
      <c r="AO722" s="156">
        <v>209.0</v>
      </c>
      <c r="AP722" s="336" t="s">
        <v>3934</v>
      </c>
      <c r="AQ722" s="156" t="s">
        <v>173</v>
      </c>
      <c r="AR722" s="68"/>
      <c r="AS722" s="156" t="s">
        <v>3935</v>
      </c>
      <c r="AT722" s="159" t="s">
        <v>172</v>
      </c>
      <c r="AU722" s="159" t="s">
        <v>186</v>
      </c>
      <c r="AV722" s="68" t="s">
        <v>1905</v>
      </c>
      <c r="AW722" s="68"/>
      <c r="AX722" s="68" t="s">
        <v>143</v>
      </c>
      <c r="AY722" s="61" t="str">
        <f>IFERROR(__xludf.DUMMYFUNCTION("vlookup(BB722,importrange(""https://docs.google.com/spreadsheets/d/1d2vevQ_7D_v35q4wCQ4RpQ_IPoTwEMB9Yp6ymwlPqew/edit?gid=984458430#gid=984458430"", ""'replication success'!A:K""), 11, FAlSE)"),"failed")</f>
        <v>failed</v>
      </c>
      <c r="AZ722" s="61" t="str">
        <f>IFERROR(__xludf.DUMMYFUNCTION("vlookup(BB722,importrange(""https://docs.google.com/spreadsheets/d/1d2vevQ_7D_v35q4wCQ4RpQ_IPoTwEMB9Yp6ymwlPqew/edit?gid=984458430#gid=984458430"",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22" s="61" t="str">
        <f>IFERROR(__xludf.DUMMYFUNCTION("vlookup(BB722,importrange(""https://docs.google.com/spreadsheets/d/1d2vevQ_7D_v35q4wCQ4RpQ_IPoTwEMB9Yp6ymwlPqew/edit?gid=984458430#gid=984458430"",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v>
      </c>
      <c r="BB722" s="61" t="str">
        <f>IFERROR(__xludf.DUMMYFUNCTION("REGEXREPLACE(G722, ""_[a-z]{1,2}$"", """")"),"Boyce_etal202311")</f>
        <v>Boyce_etal202311</v>
      </c>
      <c r="BD722" s="68" t="s">
        <v>153</v>
      </c>
    </row>
    <row r="723" ht="20.25" customHeight="1">
      <c r="A723" s="44">
        <v>723.0</v>
      </c>
      <c r="B723" s="68" t="s">
        <v>590</v>
      </c>
      <c r="C723" s="62" t="s">
        <v>115</v>
      </c>
      <c r="D723" s="62" t="s">
        <v>153</v>
      </c>
      <c r="F723" s="68" t="s">
        <v>3936</v>
      </c>
      <c r="G723" s="57" t="s">
        <v>3937</v>
      </c>
      <c r="H723" s="159" t="s">
        <v>153</v>
      </c>
      <c r="I723" s="152">
        <v>45687.0</v>
      </c>
      <c r="J723" s="152">
        <v>45692.0</v>
      </c>
      <c r="K723" s="68"/>
      <c r="L723" s="159" t="s">
        <v>3938</v>
      </c>
      <c r="M723" s="159" t="s">
        <v>3939</v>
      </c>
      <c r="N723" s="159" t="s">
        <v>3940</v>
      </c>
      <c r="O723" s="156">
        <v>1.0</v>
      </c>
      <c r="P723" s="159" t="str">
        <f t="shared" si="37"/>
        <v>10.1111--j.1551-6709.2011.01210.x.pdf</v>
      </c>
      <c r="Q723" s="52" t="str">
        <f t="array" ref="Q723"> if(iserror(MATCH(V723, 'File Links'!C:C, 0)), "N/A", HYPERLINK(INDEX('File Links'!B:B, MATCH(P723, 'File Links'!C:C, 0))))</f>
        <v>https://drive.google.com/file/d/1peHj2qn55XShERDto7FmUKmKRW04vw25/view?usp=drivesdk</v>
      </c>
      <c r="R723" s="159" t="s">
        <v>3653</v>
      </c>
      <c r="S723" s="159" t="s">
        <v>3654</v>
      </c>
      <c r="T723" s="68"/>
      <c r="U723" s="156">
        <v>1.0</v>
      </c>
      <c r="V723" s="198" t="str">
        <f t="shared" si="40"/>
        <v>10.1098--rsos.231240.pdf</v>
      </c>
      <c r="W723" s="159" t="s">
        <v>164</v>
      </c>
      <c r="X723" s="54" t="str">
        <f t="array" ref="X723"> if(iserror(MATCH(V723, 'File Links'!C:C, 0)), "N/A", HYPERLINK(INDEX('File Links'!B:B, MATCH(V723, 'File Links'!C:C, 0))))</f>
        <v>https://drive.google.com/file/d/17gaf2Zy_ljFfcAEDk5L8GBnTl5i7RGJE/view?usp=drivesdk</v>
      </c>
      <c r="Y723" s="68"/>
      <c r="Z723" s="159" t="s">
        <v>148</v>
      </c>
      <c r="AA723" s="437" t="s">
        <v>3941</v>
      </c>
      <c r="AB723" s="437" t="s">
        <v>3942</v>
      </c>
      <c r="AC723" s="159" t="s">
        <v>3943</v>
      </c>
      <c r="AD723" s="159" t="s">
        <v>3944</v>
      </c>
      <c r="AE723" s="156">
        <v>4.0</v>
      </c>
      <c r="AF723" s="156">
        <v>92.0</v>
      </c>
      <c r="AG723" s="156" t="s">
        <v>3945</v>
      </c>
      <c r="AH723" s="156" t="s">
        <v>134</v>
      </c>
      <c r="AI723" s="156" t="s">
        <v>850</v>
      </c>
      <c r="AJ723" s="709">
        <v>0.96</v>
      </c>
      <c r="AK723" s="57" t="s">
        <v>172</v>
      </c>
      <c r="AL723" s="57" t="s">
        <v>136</v>
      </c>
      <c r="AM723" s="68" t="s">
        <v>137</v>
      </c>
      <c r="AN723" s="129" t="s">
        <v>138</v>
      </c>
      <c r="AO723" s="156">
        <v>82.0</v>
      </c>
      <c r="AP723" s="161" t="s">
        <v>3946</v>
      </c>
      <c r="AQ723" s="156" t="s">
        <v>134</v>
      </c>
      <c r="AR723" s="156" t="s">
        <v>307</v>
      </c>
      <c r="AS723" s="156">
        <v>0.633</v>
      </c>
      <c r="AT723" s="159" t="s">
        <v>172</v>
      </c>
      <c r="AU723" s="159" t="s">
        <v>136</v>
      </c>
      <c r="AV723" s="68" t="s">
        <v>137</v>
      </c>
      <c r="AW723" s="68"/>
      <c r="AX723" s="68" t="s">
        <v>143</v>
      </c>
      <c r="AY723" s="61" t="str">
        <f>IFERROR(__xludf.DUMMYFUNCTION("vlookup(BB723,importrange(""https://docs.google.com/spreadsheets/d/1d2vevQ_7D_v35q4wCQ4RpQ_IPoTwEMB9Yp6ymwlPqew/edit?gid=984458430#gid=984458430"", ""'replication success'!A:K""), 11, FAlSE)"),"#N/A")</f>
        <v>#N/A</v>
      </c>
      <c r="AZ723" s="61" t="str">
        <f>IFERROR(__xludf.DUMMYFUNCTION("vlookup(BB723,importrange(""https://docs.google.com/spreadsheets/d/1d2vevQ_7D_v35q4wCQ4RpQ_IPoTwEMB9Yp6ymwlPqew/edit?gid=984458430#gid=984458430"", ""'replication success'!A:M""), 12, FAlSE)"),"#N/A")</f>
        <v>#N/A</v>
      </c>
      <c r="BA723" s="61" t="str">
        <f>IFERROR(__xludf.DUMMYFUNCTION("vlookup(BB723,importrange(""https://docs.google.com/spreadsheets/d/1d2vevQ_7D_v35q4wCQ4RpQ_IPoTwEMB9Yp6ymwlPqew/edit?gid=984458430#gid=984458430"", ""'replication success'!A:M""), 13, FAlSE)"),"#N/A")</f>
        <v>#N/A</v>
      </c>
      <c r="BB723" s="61" t="str">
        <f>IFERROR(__xludf.DUMMYFUNCTION("REGEXREPLACE(G723, ""_[a-z]{1,2}$"", """")"),"Boyce_etal2023110_1")</f>
        <v>Boyce_etal2023110_1</v>
      </c>
      <c r="BD723" s="68" t="s">
        <v>153</v>
      </c>
      <c r="BE723" s="189"/>
    </row>
    <row r="724" ht="20.25" customHeight="1">
      <c r="A724" s="44">
        <v>724.0</v>
      </c>
      <c r="B724" s="68" t="s">
        <v>590</v>
      </c>
      <c r="C724" s="62" t="s">
        <v>115</v>
      </c>
      <c r="D724" s="62" t="s">
        <v>153</v>
      </c>
      <c r="F724" s="68" t="s">
        <v>3936</v>
      </c>
      <c r="G724" s="57" t="s">
        <v>3947</v>
      </c>
      <c r="H724" s="159" t="s">
        <v>153</v>
      </c>
      <c r="I724" s="152">
        <v>45687.0</v>
      </c>
      <c r="J724" s="152">
        <v>45692.0</v>
      </c>
      <c r="K724" s="68"/>
      <c r="L724" s="159" t="s">
        <v>3938</v>
      </c>
      <c r="M724" s="159" t="s">
        <v>3939</v>
      </c>
      <c r="N724" s="159" t="s">
        <v>3940</v>
      </c>
      <c r="O724" s="156">
        <v>1.0</v>
      </c>
      <c r="P724" s="159" t="str">
        <f t="shared" si="37"/>
        <v>10.1111--j.1551-6709.2011.01210.x.pdf</v>
      </c>
      <c r="Q724" s="52" t="str">
        <f t="array" ref="Q724"> if(iserror(MATCH(V724, 'File Links'!C:C, 0)), "N/A", HYPERLINK(INDEX('File Links'!B:B, MATCH(P724, 'File Links'!C:C, 0))))</f>
        <v>https://drive.google.com/file/d/1peHj2qn55XShERDto7FmUKmKRW04vw25/view?usp=drivesdk</v>
      </c>
      <c r="R724" s="159" t="s">
        <v>3653</v>
      </c>
      <c r="S724" s="159" t="s">
        <v>3654</v>
      </c>
      <c r="T724" s="68"/>
      <c r="U724" s="156">
        <v>1.0</v>
      </c>
      <c r="V724" s="198" t="str">
        <f t="shared" si="40"/>
        <v>10.1098--rsos.231240.pdf</v>
      </c>
      <c r="W724" s="159" t="s">
        <v>164</v>
      </c>
      <c r="X724" s="54" t="str">
        <f t="array" ref="X724"> if(iserror(MATCH(V724, 'File Links'!C:C, 0)), "N/A", HYPERLINK(INDEX('File Links'!B:B, MATCH(V724, 'File Links'!C:C, 0))))</f>
        <v>https://drive.google.com/file/d/17gaf2Zy_ljFfcAEDk5L8GBnTl5i7RGJE/view?usp=drivesdk</v>
      </c>
      <c r="Y724" s="68"/>
      <c r="Z724" s="159" t="s">
        <v>148</v>
      </c>
      <c r="AA724" s="437" t="s">
        <v>3941</v>
      </c>
      <c r="AB724" s="437" t="s">
        <v>3942</v>
      </c>
      <c r="AC724" s="159" t="s">
        <v>3948</v>
      </c>
      <c r="AD724" s="159" t="s">
        <v>3949</v>
      </c>
      <c r="AE724" s="156">
        <v>4.0</v>
      </c>
      <c r="AF724" s="156">
        <v>92.0</v>
      </c>
      <c r="AG724" s="156">
        <v>0.43</v>
      </c>
      <c r="AH724" s="156" t="s">
        <v>173</v>
      </c>
      <c r="AI724" s="156" t="s">
        <v>850</v>
      </c>
      <c r="AJ724" s="709">
        <v>0.05</v>
      </c>
      <c r="AK724" s="57" t="s">
        <v>172</v>
      </c>
      <c r="AL724" s="57" t="s">
        <v>136</v>
      </c>
      <c r="AM724" s="68" t="s">
        <v>137</v>
      </c>
      <c r="AN724" s="129" t="s">
        <v>138</v>
      </c>
      <c r="AO724" s="156">
        <v>82.0</v>
      </c>
      <c r="AP724" s="156" t="s">
        <v>3950</v>
      </c>
      <c r="AQ724" s="156" t="s">
        <v>134</v>
      </c>
      <c r="AR724" s="156" t="s">
        <v>307</v>
      </c>
      <c r="AS724" s="156">
        <v>0.723</v>
      </c>
      <c r="AT724" s="159" t="s">
        <v>172</v>
      </c>
      <c r="AU724" s="159" t="s">
        <v>136</v>
      </c>
      <c r="AV724" s="68" t="s">
        <v>137</v>
      </c>
      <c r="AW724" s="68"/>
      <c r="AX724" s="68" t="s">
        <v>143</v>
      </c>
      <c r="AY724" s="61" t="str">
        <f>IFERROR(__xludf.DUMMYFUNCTION("vlookup(BB724,importrange(""https://docs.google.com/spreadsheets/d/1d2vevQ_7D_v35q4wCQ4RpQ_IPoTwEMB9Yp6ymwlPqew/edit?gid=984458430#gid=984458430"", ""'replication success'!A:K""), 11, FAlSE)"),"#N/A")</f>
        <v>#N/A</v>
      </c>
      <c r="AZ724" s="61" t="str">
        <f>IFERROR(__xludf.DUMMYFUNCTION("vlookup(BB724,importrange(""https://docs.google.com/spreadsheets/d/1d2vevQ_7D_v35q4wCQ4RpQ_IPoTwEMB9Yp6ymwlPqew/edit?gid=984458430#gid=984458430"", ""'replication success'!A:M""), 12, FAlSE)"),"#N/A")</f>
        <v>#N/A</v>
      </c>
      <c r="BA724" s="61" t="str">
        <f>IFERROR(__xludf.DUMMYFUNCTION("vlookup(BB724,importrange(""https://docs.google.com/spreadsheets/d/1d2vevQ_7D_v35q4wCQ4RpQ_IPoTwEMB9Yp6ymwlPqew/edit?gid=984458430#gid=984458430"", ""'replication success'!A:M""), 13, FAlSE)"),"#N/A")</f>
        <v>#N/A</v>
      </c>
      <c r="BB724" s="61" t="str">
        <f>IFERROR(__xludf.DUMMYFUNCTION("REGEXREPLACE(G724, ""_[a-z]{1,2}$"", """")"),"Boyce_etal2023110_1")</f>
        <v>Boyce_etal2023110_1</v>
      </c>
      <c r="BD724" s="68" t="s">
        <v>153</v>
      </c>
    </row>
    <row r="725" ht="20.25" customHeight="1">
      <c r="A725" s="44">
        <v>725.0</v>
      </c>
      <c r="B725" s="68" t="s">
        <v>590</v>
      </c>
      <c r="C725" s="62" t="s">
        <v>115</v>
      </c>
      <c r="D725" s="62" t="s">
        <v>153</v>
      </c>
      <c r="F725" s="68" t="s">
        <v>3936</v>
      </c>
      <c r="G725" s="57" t="s">
        <v>3951</v>
      </c>
      <c r="H725" s="159" t="s">
        <v>153</v>
      </c>
      <c r="I725" s="152">
        <v>45687.0</v>
      </c>
      <c r="J725" s="152">
        <v>45692.0</v>
      </c>
      <c r="K725" s="68"/>
      <c r="L725" s="159" t="s">
        <v>3938</v>
      </c>
      <c r="M725" s="159" t="s">
        <v>3939</v>
      </c>
      <c r="N725" s="159" t="s">
        <v>3940</v>
      </c>
      <c r="O725" s="156">
        <v>1.0</v>
      </c>
      <c r="P725" s="159" t="str">
        <f t="shared" si="37"/>
        <v>10.1111--j.1551-6709.2011.01210.x.pdf</v>
      </c>
      <c r="Q725" s="52" t="str">
        <f t="array" ref="Q725"> if(iserror(MATCH(V725, 'File Links'!C:C, 0)), "N/A", HYPERLINK(INDEX('File Links'!B:B, MATCH(P725, 'File Links'!C:C, 0))))</f>
        <v>https://drive.google.com/file/d/1peHj2qn55XShERDto7FmUKmKRW04vw25/view?usp=drivesdk</v>
      </c>
      <c r="R725" s="159" t="s">
        <v>3653</v>
      </c>
      <c r="S725" s="159" t="s">
        <v>3654</v>
      </c>
      <c r="T725" s="68"/>
      <c r="U725" s="156">
        <v>1.0</v>
      </c>
      <c r="V725" s="198" t="str">
        <f t="shared" si="40"/>
        <v>10.1098--rsos.231240.pdf</v>
      </c>
      <c r="W725" s="159" t="s">
        <v>164</v>
      </c>
      <c r="X725" s="54" t="str">
        <f t="array" ref="X725"> if(iserror(MATCH(V725, 'File Links'!C:C, 0)), "N/A", HYPERLINK(INDEX('File Links'!B:B, MATCH(V725, 'File Links'!C:C, 0))))</f>
        <v>https://drive.google.com/file/d/17gaf2Zy_ljFfcAEDk5L8GBnTl5i7RGJE/view?usp=drivesdk</v>
      </c>
      <c r="Y725" s="68"/>
      <c r="Z725" s="159" t="s">
        <v>148</v>
      </c>
      <c r="AA725" s="437" t="s">
        <v>3941</v>
      </c>
      <c r="AB725" s="437" t="s">
        <v>3942</v>
      </c>
      <c r="AC725" s="159" t="s">
        <v>3952</v>
      </c>
      <c r="AD725" s="159" t="s">
        <v>3953</v>
      </c>
      <c r="AE725" s="156">
        <v>4.0</v>
      </c>
      <c r="AF725" s="156">
        <v>92.0</v>
      </c>
      <c r="AG725" s="156">
        <v>0.39</v>
      </c>
      <c r="AH725" s="156" t="s">
        <v>215</v>
      </c>
      <c r="AI725" s="156" t="s">
        <v>850</v>
      </c>
      <c r="AJ725" s="709">
        <v>0.001</v>
      </c>
      <c r="AK725" s="57" t="s">
        <v>172</v>
      </c>
      <c r="AL725" s="57" t="s">
        <v>136</v>
      </c>
      <c r="AM725" s="68" t="s">
        <v>137</v>
      </c>
      <c r="AN725" s="129" t="s">
        <v>138</v>
      </c>
      <c r="AO725" s="156">
        <v>82.0</v>
      </c>
      <c r="AP725" s="156" t="s">
        <v>3954</v>
      </c>
      <c r="AQ725" s="156" t="s">
        <v>134</v>
      </c>
      <c r="AR725" s="156" t="s">
        <v>612</v>
      </c>
      <c r="AS725" s="156">
        <v>0.3155</v>
      </c>
      <c r="AT725" s="159" t="s">
        <v>172</v>
      </c>
      <c r="AU725" s="159" t="s">
        <v>136</v>
      </c>
      <c r="AV725" s="68" t="s">
        <v>137</v>
      </c>
      <c r="AW725" s="68"/>
      <c r="AX725" s="68" t="s">
        <v>143</v>
      </c>
      <c r="AY725" s="61" t="str">
        <f>IFERROR(__xludf.DUMMYFUNCTION("vlookup(BB725,importrange(""https://docs.google.com/spreadsheets/d/1d2vevQ_7D_v35q4wCQ4RpQ_IPoTwEMB9Yp6ymwlPqew/edit?gid=984458430#gid=984458430"", ""'replication success'!A:K""), 11, FAlSE)"),"#N/A")</f>
        <v>#N/A</v>
      </c>
      <c r="AZ725" s="61" t="str">
        <f>IFERROR(__xludf.DUMMYFUNCTION("vlookup(BB725,importrange(""https://docs.google.com/spreadsheets/d/1d2vevQ_7D_v35q4wCQ4RpQ_IPoTwEMB9Yp6ymwlPqew/edit?gid=984458430#gid=984458430"", ""'replication success'!A:M""), 12, FAlSE)"),"#N/A")</f>
        <v>#N/A</v>
      </c>
      <c r="BA725" s="61" t="str">
        <f>IFERROR(__xludf.DUMMYFUNCTION("vlookup(BB725,importrange(""https://docs.google.com/spreadsheets/d/1d2vevQ_7D_v35q4wCQ4RpQ_IPoTwEMB9Yp6ymwlPqew/edit?gid=984458430#gid=984458430"", ""'replication success'!A:M""), 13, FAlSE)"),"#N/A")</f>
        <v>#N/A</v>
      </c>
      <c r="BB725" s="61" t="str">
        <f>IFERROR(__xludf.DUMMYFUNCTION("REGEXREPLACE(G725, ""_[a-z]{1,2}$"", """")"),"Boyce_etal2023110_1")</f>
        <v>Boyce_etal2023110_1</v>
      </c>
      <c r="BD725" s="68" t="s">
        <v>153</v>
      </c>
      <c r="BE725" s="189"/>
    </row>
    <row r="726" ht="20.25" customHeight="1">
      <c r="A726" s="44">
        <v>726.0</v>
      </c>
      <c r="B726" s="68" t="s">
        <v>590</v>
      </c>
      <c r="C726" s="62" t="s">
        <v>115</v>
      </c>
      <c r="D726" s="338" t="s">
        <v>153</v>
      </c>
      <c r="F726" s="68" t="s">
        <v>3936</v>
      </c>
      <c r="G726" s="57" t="s">
        <v>3955</v>
      </c>
      <c r="H726" s="159" t="s">
        <v>153</v>
      </c>
      <c r="I726" s="152">
        <v>45687.0</v>
      </c>
      <c r="J726" s="152">
        <v>45692.0</v>
      </c>
      <c r="K726" s="68"/>
      <c r="L726" s="159" t="s">
        <v>3938</v>
      </c>
      <c r="M726" s="159" t="s">
        <v>3939</v>
      </c>
      <c r="N726" s="159" t="s">
        <v>3940</v>
      </c>
      <c r="O726" s="156">
        <v>1.0</v>
      </c>
      <c r="P726" s="159" t="str">
        <f t="shared" si="37"/>
        <v>10.1111--j.1551-6709.2011.01210.x.pdf</v>
      </c>
      <c r="Q726" s="52" t="str">
        <f t="array" ref="Q726"> if(iserror(MATCH(V726, 'File Links'!C:C, 0)), "N/A", HYPERLINK(INDEX('File Links'!B:B, MATCH(P726, 'File Links'!C:C, 0))))</f>
        <v>https://drive.google.com/file/d/1peHj2qn55XShERDto7FmUKmKRW04vw25/view?usp=drivesdk</v>
      </c>
      <c r="R726" s="159" t="s">
        <v>3653</v>
      </c>
      <c r="S726" s="159" t="s">
        <v>3654</v>
      </c>
      <c r="T726" s="68"/>
      <c r="U726" s="156">
        <v>1.0</v>
      </c>
      <c r="V726" s="198" t="str">
        <f t="shared" si="40"/>
        <v>10.1098--rsos.231240.pdf</v>
      </c>
      <c r="W726" s="159" t="s">
        <v>164</v>
      </c>
      <c r="X726" s="54" t="str">
        <f t="array" ref="X726"> if(iserror(MATCH(V726, 'File Links'!C:C, 0)), "N/A", HYPERLINK(INDEX('File Links'!B:B, MATCH(V726, 'File Links'!C:C, 0))))</f>
        <v>https://drive.google.com/file/d/17gaf2Zy_ljFfcAEDk5L8GBnTl5i7RGJE/view?usp=drivesdk</v>
      </c>
      <c r="Y726" s="68"/>
      <c r="Z726" s="159" t="s">
        <v>148</v>
      </c>
      <c r="AA726" s="437" t="s">
        <v>3941</v>
      </c>
      <c r="AB726" s="437" t="s">
        <v>3942</v>
      </c>
      <c r="AC726" s="159" t="s">
        <v>3956</v>
      </c>
      <c r="AD726" s="159" t="s">
        <v>3957</v>
      </c>
      <c r="AE726" s="156">
        <v>4.0</v>
      </c>
      <c r="AF726" s="156">
        <v>92.0</v>
      </c>
      <c r="AG726" s="156" t="s">
        <v>3958</v>
      </c>
      <c r="AH726" s="156" t="s">
        <v>134</v>
      </c>
      <c r="AI726" s="156" t="s">
        <v>850</v>
      </c>
      <c r="AJ726" s="709">
        <v>0.01</v>
      </c>
      <c r="AK726" s="57" t="s">
        <v>172</v>
      </c>
      <c r="AL726" s="57" t="s">
        <v>136</v>
      </c>
      <c r="AM726" s="68" t="s">
        <v>137</v>
      </c>
      <c r="AN726" s="129" t="s">
        <v>138</v>
      </c>
      <c r="AO726" s="156">
        <v>82.0</v>
      </c>
      <c r="AP726" s="156" t="s">
        <v>3959</v>
      </c>
      <c r="AQ726" s="156" t="s">
        <v>134</v>
      </c>
      <c r="AR726" s="156" t="s">
        <v>436</v>
      </c>
      <c r="AS726" s="68"/>
      <c r="AT726" s="68"/>
      <c r="AU726" s="159" t="s">
        <v>136</v>
      </c>
      <c r="AV726" s="68" t="s">
        <v>137</v>
      </c>
      <c r="AW726" s="68"/>
      <c r="AX726" s="68" t="s">
        <v>143</v>
      </c>
      <c r="AY726" s="61" t="str">
        <f>IFERROR(__xludf.DUMMYFUNCTION("vlookup(BB726,importrange(""https://docs.google.com/spreadsheets/d/1d2vevQ_7D_v35q4wCQ4RpQ_IPoTwEMB9Yp6ymwlPqew/edit?gid=984458430#gid=984458430"", ""'replication success'!A:K""), 11, FAlSE)"),"#N/A")</f>
        <v>#N/A</v>
      </c>
      <c r="AZ726" s="61" t="str">
        <f>IFERROR(__xludf.DUMMYFUNCTION("vlookup(BB726,importrange(""https://docs.google.com/spreadsheets/d/1d2vevQ_7D_v35q4wCQ4RpQ_IPoTwEMB9Yp6ymwlPqew/edit?gid=984458430#gid=984458430"", ""'replication success'!A:M""), 12, FAlSE)"),"#N/A")</f>
        <v>#N/A</v>
      </c>
      <c r="BA726" s="61" t="str">
        <f>IFERROR(__xludf.DUMMYFUNCTION("vlookup(BB726,importrange(""https://docs.google.com/spreadsheets/d/1d2vevQ_7D_v35q4wCQ4RpQ_IPoTwEMB9Yp6ymwlPqew/edit?gid=984458430#gid=984458430"", ""'replication success'!A:M""), 13, FAlSE)"),"#N/A")</f>
        <v>#N/A</v>
      </c>
      <c r="BB726" s="61" t="str">
        <f>IFERROR(__xludf.DUMMYFUNCTION("REGEXREPLACE(G726, ""_[a-z]{1,2}$"", """")"),"Boyce_etal2023110_1")</f>
        <v>Boyce_etal2023110_1</v>
      </c>
      <c r="BD726" s="68" t="s">
        <v>153</v>
      </c>
    </row>
    <row r="727" ht="20.25" customHeight="1">
      <c r="A727" s="44">
        <v>727.0</v>
      </c>
      <c r="B727" s="68" t="s">
        <v>590</v>
      </c>
      <c r="C727" s="62" t="s">
        <v>115</v>
      </c>
      <c r="D727" s="62" t="s">
        <v>153</v>
      </c>
      <c r="F727" s="68" t="s">
        <v>3936</v>
      </c>
      <c r="G727" s="57" t="s">
        <v>3960</v>
      </c>
      <c r="H727" s="159" t="s">
        <v>153</v>
      </c>
      <c r="I727" s="152">
        <v>45687.0</v>
      </c>
      <c r="J727" s="152">
        <v>45692.0</v>
      </c>
      <c r="K727" s="68"/>
      <c r="L727" s="159" t="s">
        <v>3938</v>
      </c>
      <c r="M727" s="159" t="s">
        <v>3939</v>
      </c>
      <c r="N727" s="159" t="s">
        <v>3940</v>
      </c>
      <c r="O727" s="156">
        <v>1.0</v>
      </c>
      <c r="P727" s="159" t="str">
        <f t="shared" si="37"/>
        <v>10.1111--j.1551-6709.2011.01210.x.pdf</v>
      </c>
      <c r="Q727" s="52" t="str">
        <f t="array" ref="Q727"> if(iserror(MATCH(V727, 'File Links'!C:C, 0)), "N/A", HYPERLINK(INDEX('File Links'!B:B, MATCH(P727, 'File Links'!C:C, 0))))</f>
        <v>https://drive.google.com/file/d/1peHj2qn55XShERDto7FmUKmKRW04vw25/view?usp=drivesdk</v>
      </c>
      <c r="R727" s="159" t="s">
        <v>3653</v>
      </c>
      <c r="S727" s="159" t="s">
        <v>3654</v>
      </c>
      <c r="T727" s="68"/>
      <c r="U727" s="156">
        <v>1.0</v>
      </c>
      <c r="V727" s="198" t="str">
        <f t="shared" si="40"/>
        <v>10.1098--rsos.231240.pdf</v>
      </c>
      <c r="W727" s="159" t="s">
        <v>164</v>
      </c>
      <c r="X727" s="54" t="str">
        <f t="array" ref="X727"> if(iserror(MATCH(V727, 'File Links'!C:C, 0)), "N/A", HYPERLINK(INDEX('File Links'!B:B, MATCH(V727, 'File Links'!C:C, 0))))</f>
        <v>https://drive.google.com/file/d/17gaf2Zy_ljFfcAEDk5L8GBnTl5i7RGJE/view?usp=drivesdk</v>
      </c>
      <c r="Y727" s="68"/>
      <c r="Z727" s="159" t="s">
        <v>148</v>
      </c>
      <c r="AA727" s="437" t="s">
        <v>3941</v>
      </c>
      <c r="AB727" s="437" t="s">
        <v>3942</v>
      </c>
      <c r="AC727" s="159" t="s">
        <v>3961</v>
      </c>
      <c r="AD727" s="159" t="s">
        <v>3962</v>
      </c>
      <c r="AE727" s="156">
        <v>5.0</v>
      </c>
      <c r="AF727" s="156">
        <v>92.0</v>
      </c>
      <c r="AG727" s="156" t="s">
        <v>3963</v>
      </c>
      <c r="AH727" s="156" t="s">
        <v>134</v>
      </c>
      <c r="AI727" s="156" t="s">
        <v>813</v>
      </c>
      <c r="AJ727" s="709">
        <v>0.41</v>
      </c>
      <c r="AK727" s="57" t="s">
        <v>172</v>
      </c>
      <c r="AL727" s="57" t="s">
        <v>136</v>
      </c>
      <c r="AM727" s="68" t="s">
        <v>137</v>
      </c>
      <c r="AN727" s="129" t="s">
        <v>138</v>
      </c>
      <c r="AO727" s="156">
        <v>82.0</v>
      </c>
      <c r="AP727" s="156" t="s">
        <v>3964</v>
      </c>
      <c r="AQ727" s="156" t="s">
        <v>134</v>
      </c>
      <c r="AR727" s="156" t="s">
        <v>2229</v>
      </c>
      <c r="AS727" s="156">
        <v>0.1847</v>
      </c>
      <c r="AT727" s="159" t="s">
        <v>172</v>
      </c>
      <c r="AU727" s="159" t="s">
        <v>136</v>
      </c>
      <c r="AV727" s="68" t="s">
        <v>137</v>
      </c>
      <c r="AW727" s="68"/>
      <c r="AX727" s="68" t="s">
        <v>143</v>
      </c>
      <c r="AY727" s="61" t="str">
        <f>IFERROR(__xludf.DUMMYFUNCTION("vlookup(BB727,importrange(""https://docs.google.com/spreadsheets/d/1d2vevQ_7D_v35q4wCQ4RpQ_IPoTwEMB9Yp6ymwlPqew/edit?gid=984458430#gid=984458430"", ""'replication success'!A:K""), 11, FAlSE)"),"#N/A")</f>
        <v>#N/A</v>
      </c>
      <c r="AZ727" s="61" t="str">
        <f>IFERROR(__xludf.DUMMYFUNCTION("vlookup(BB727,importrange(""https://docs.google.com/spreadsheets/d/1d2vevQ_7D_v35q4wCQ4RpQ_IPoTwEMB9Yp6ymwlPqew/edit?gid=984458430#gid=984458430"", ""'replication success'!A:M""), 12, FAlSE)"),"#N/A")</f>
        <v>#N/A</v>
      </c>
      <c r="BA727" s="61" t="str">
        <f>IFERROR(__xludf.DUMMYFUNCTION("vlookup(BB727,importrange(""https://docs.google.com/spreadsheets/d/1d2vevQ_7D_v35q4wCQ4RpQ_IPoTwEMB9Yp6ymwlPqew/edit?gid=984458430#gid=984458430"", ""'replication success'!A:M""), 13, FAlSE)"),"#N/A")</f>
        <v>#N/A</v>
      </c>
      <c r="BB727" s="61" t="str">
        <f>IFERROR(__xludf.DUMMYFUNCTION("REGEXREPLACE(G727, ""_[a-z]{1,2}$"", """")"),"Boyce_etal2023110_1")</f>
        <v>Boyce_etal2023110_1</v>
      </c>
      <c r="BD727" s="68" t="s">
        <v>153</v>
      </c>
      <c r="BE727" s="189"/>
    </row>
    <row r="728" ht="20.25" customHeight="1">
      <c r="A728" s="44">
        <v>728.0</v>
      </c>
      <c r="B728" s="111" t="s">
        <v>114</v>
      </c>
      <c r="C728" s="149" t="s">
        <v>115</v>
      </c>
      <c r="D728" s="149" t="s">
        <v>248</v>
      </c>
      <c r="E728" s="71"/>
      <c r="F728" s="122" t="s">
        <v>3965</v>
      </c>
      <c r="G728" s="112" t="s">
        <v>3966</v>
      </c>
      <c r="H728" s="122" t="s">
        <v>249</v>
      </c>
      <c r="I728" s="417">
        <v>45669.0</v>
      </c>
      <c r="J728" s="1086">
        <v>45722.0</v>
      </c>
      <c r="K728" s="111"/>
      <c r="L728" s="122" t="s">
        <v>3875</v>
      </c>
      <c r="M728" s="122" t="s">
        <v>3967</v>
      </c>
      <c r="N728" s="122" t="s">
        <v>3968</v>
      </c>
      <c r="O728" s="111"/>
      <c r="P728" s="122" t="str">
        <f t="shared" si="37"/>
        <v>10.1111--j.1467-9280.2008.02157.x.pdf</v>
      </c>
      <c r="Q728" s="52" t="str">
        <f t="array" ref="Q728"> if(iserror(MATCH(V728, 'File Links'!C:C, 0)), "N/A", HYPERLINK(INDEX('File Links'!B:B, MATCH(P728, 'File Links'!C:C, 0))))</f>
        <v>https://drive.google.com/file/d/1VNZVfi392roXkffFia5wqQeCQjwEpyCc/view?usp=drivesdk</v>
      </c>
      <c r="R728" s="122" t="s">
        <v>3653</v>
      </c>
      <c r="S728" s="122" t="s">
        <v>3654</v>
      </c>
      <c r="T728" s="780" t="s">
        <v>3969</v>
      </c>
      <c r="U728" s="156">
        <v>1.0</v>
      </c>
      <c r="V728" s="122" t="str">
        <f t="shared" si="40"/>
        <v>10.1098--rsos.231240.pdf</v>
      </c>
      <c r="W728" s="122" t="s">
        <v>3693</v>
      </c>
      <c r="X728" s="54" t="str">
        <f t="array" ref="X728"> if(iserror(MATCH(V728, 'File Links'!C:C, 0)), "N/A", HYPERLINK(INDEX('File Links'!B:B, MATCH(V728, 'File Links'!C:C, 0))))</f>
        <v>https://drive.google.com/file/d/17gaf2Zy_ljFfcAEDk5L8GBnTl5i7RGJE/view?usp=drivesdk</v>
      </c>
      <c r="Y728" s="111"/>
      <c r="Z728" s="122" t="s">
        <v>148</v>
      </c>
      <c r="AA728" s="111"/>
      <c r="AB728" s="122" t="s">
        <v>3970</v>
      </c>
      <c r="AC728" s="111"/>
      <c r="AD728" s="122" t="s">
        <v>3971</v>
      </c>
      <c r="AE728" s="1106">
        <v>785.0</v>
      </c>
      <c r="AF728" s="537">
        <v>48.0</v>
      </c>
      <c r="AG728" s="1106">
        <v>11.5</v>
      </c>
      <c r="AH728" s="779" t="s">
        <v>1031</v>
      </c>
      <c r="AI728" s="779" t="s">
        <v>3972</v>
      </c>
      <c r="AJ728" s="366">
        <v>0.001</v>
      </c>
      <c r="AK728" s="1107" t="s">
        <v>135</v>
      </c>
      <c r="AL728" s="112" t="s">
        <v>186</v>
      </c>
      <c r="AM728" s="122" t="s">
        <v>141</v>
      </c>
      <c r="AN728" s="817" t="s">
        <v>138</v>
      </c>
      <c r="AO728" s="537">
        <v>23.0</v>
      </c>
      <c r="AP728" s="537">
        <v>0.637931439685434</v>
      </c>
      <c r="AQ728" s="122" t="s">
        <v>173</v>
      </c>
      <c r="AR728" s="780" t="s">
        <v>3678</v>
      </c>
      <c r="AS728" s="1108">
        <v>0.141014403121108</v>
      </c>
      <c r="AT728" s="122" t="s">
        <v>172</v>
      </c>
      <c r="AU728" s="122" t="s">
        <v>186</v>
      </c>
      <c r="AV728" s="122" t="s">
        <v>141</v>
      </c>
      <c r="AW728" s="111"/>
      <c r="AX728" s="122" t="s">
        <v>151</v>
      </c>
      <c r="AY728" s="61" t="str">
        <f>IFERROR(__xludf.DUMMYFUNCTION("vlookup(BB728,importrange(""https://docs.google.com/spreadsheets/d/1d2vevQ_7D_v35q4wCQ4RpQ_IPoTwEMB9Yp6ymwlPqew/edit?gid=984458430#gid=984458430"", ""'replication success'!A:K""), 11, FAlSE)"),"failed")</f>
        <v>failed</v>
      </c>
      <c r="AZ728" s="61" t="str">
        <f>IFERROR(__xludf.DUMMYFUNCTION("vlookup(BB728,importrange(""https://docs.google.com/spreadsheets/d/1d2vevQ_7D_v35q4wCQ4RpQ_IPoTwEMB9Yp6ymwlPqew/edit?gid=984458430#gid=984458430"",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28" s="61" t="str">
        <f>IFERROR(__xludf.DUMMYFUNCTION("vlookup(BB728,importrange(""https://docs.google.com/spreadsheets/d/1d2vevQ_7D_v35q4wCQ4RpQ_IPoTwEMB9Yp6ymwlPqew/edit?gid=984458430#gid=984458430"",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28" s="61" t="str">
        <f>IFERROR(__xludf.DUMMYFUNCTION("REGEXREPLACE(G728, ""_[a-z]{1,2}$"", """")"),"Boyce_etal2023111_1")</f>
        <v>Boyce_etal2023111_1</v>
      </c>
      <c r="BC728" s="71"/>
      <c r="BD728" s="147" t="s">
        <v>3763</v>
      </c>
    </row>
    <row r="729" ht="20.25" customHeight="1">
      <c r="A729" s="44">
        <v>729.0</v>
      </c>
      <c r="B729" s="147" t="s">
        <v>152</v>
      </c>
      <c r="C729" s="149" t="s">
        <v>115</v>
      </c>
      <c r="D729" s="149" t="s">
        <v>153</v>
      </c>
      <c r="E729" s="71"/>
      <c r="F729" s="111" t="s">
        <v>3966</v>
      </c>
      <c r="G729" s="112" t="s">
        <v>3973</v>
      </c>
      <c r="H729" s="122" t="s">
        <v>153</v>
      </c>
      <c r="I729" s="417">
        <v>45687.0</v>
      </c>
      <c r="J729" s="1086">
        <v>45722.0</v>
      </c>
      <c r="K729" s="218" t="s">
        <v>3974</v>
      </c>
      <c r="L729" s="111"/>
      <c r="M729" s="122" t="s">
        <v>3967</v>
      </c>
      <c r="N729" s="122" t="s">
        <v>3968</v>
      </c>
      <c r="O729" s="537">
        <v>1.0</v>
      </c>
      <c r="P729" s="122" t="str">
        <f t="shared" si="37"/>
        <v>10.1111--j.1467-9280.2008.02157.x.pdf</v>
      </c>
      <c r="Q729" s="52" t="str">
        <f t="array" ref="Q729"> if(iserror(MATCH(V729, 'File Links'!C:C, 0)), "N/A", HYPERLINK(INDEX('File Links'!B:B, MATCH(P729, 'File Links'!C:C, 0))))</f>
        <v>https://drive.google.com/file/d/1VNZVfi392roXkffFia5wqQeCQjwEpyCc/view?usp=drivesdk</v>
      </c>
      <c r="R729" s="122" t="s">
        <v>3653</v>
      </c>
      <c r="S729" s="122" t="s">
        <v>3654</v>
      </c>
      <c r="T729" s="780" t="s">
        <v>3969</v>
      </c>
      <c r="U729" s="156">
        <v>1.0</v>
      </c>
      <c r="V729" s="122" t="str">
        <f t="shared" si="40"/>
        <v>10.1098--rsos.231240.pdf</v>
      </c>
      <c r="W729" s="122" t="s">
        <v>3696</v>
      </c>
      <c r="X729" s="54" t="str">
        <f t="array" ref="X729"> if(iserror(MATCH(V729, 'File Links'!C:C, 0)), "N/A", HYPERLINK(INDEX('File Links'!B:B, MATCH(V729, 'File Links'!C:C, 0))))</f>
        <v>https://drive.google.com/file/d/17gaf2Zy_ljFfcAEDk5L8GBnTl5i7RGJE/view?usp=drivesdk</v>
      </c>
      <c r="Y729" s="111"/>
      <c r="Z729" s="122" t="s">
        <v>148</v>
      </c>
      <c r="AA729" s="122" t="s">
        <v>3975</v>
      </c>
      <c r="AB729" s="218" t="s">
        <v>3976</v>
      </c>
      <c r="AC729" s="122" t="s">
        <v>3977</v>
      </c>
      <c r="AD729" s="122" t="s">
        <v>3978</v>
      </c>
      <c r="AE729" s="1109">
        <v>5.0</v>
      </c>
      <c r="AF729" s="537">
        <v>48.0</v>
      </c>
      <c r="AG729" s="1109">
        <v>0.14</v>
      </c>
      <c r="AH729" s="537" t="s">
        <v>874</v>
      </c>
      <c r="AI729" s="1109" t="s">
        <v>813</v>
      </c>
      <c r="AJ729" s="1110">
        <v>0.008</v>
      </c>
      <c r="AK729" s="112" t="s">
        <v>172</v>
      </c>
      <c r="AL729" s="112" t="s">
        <v>186</v>
      </c>
      <c r="AM729" s="122" t="s">
        <v>141</v>
      </c>
      <c r="AN729" s="817" t="s">
        <v>138</v>
      </c>
      <c r="AO729" s="537">
        <v>23.0</v>
      </c>
      <c r="AP729" s="1111">
        <v>0.002712308</v>
      </c>
      <c r="AQ729" s="156" t="s">
        <v>874</v>
      </c>
      <c r="AR729" s="1112" t="s">
        <v>3979</v>
      </c>
      <c r="AS729" s="156">
        <v>0.640291853</v>
      </c>
      <c r="AT729" s="122" t="s">
        <v>172</v>
      </c>
      <c r="AU729" s="122" t="s">
        <v>186</v>
      </c>
      <c r="AV729" s="122" t="s">
        <v>141</v>
      </c>
      <c r="AW729" s="838" t="s">
        <v>3980</v>
      </c>
      <c r="AX729" s="111" t="s">
        <v>151</v>
      </c>
      <c r="AY729" s="61" t="str">
        <f>IFERROR(__xludf.DUMMYFUNCTION("vlookup(BB729,importrange(""https://docs.google.com/spreadsheets/d/1d2vevQ_7D_v35q4wCQ4RpQ_IPoTwEMB9Yp6ymwlPqew/edit?gid=984458430#gid=984458430"", ""'replication success'!A:K""), 11, FAlSE)"),"failed")</f>
        <v>failed</v>
      </c>
      <c r="AZ729" s="61" t="str">
        <f>IFERROR(__xludf.DUMMYFUNCTION("vlookup(BB729,importrange(""https://docs.google.com/spreadsheets/d/1d2vevQ_7D_v35q4wCQ4RpQ_IPoTwEMB9Yp6ymwlPqew/edit?gid=984458430#gid=984458430"",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29" s="61" t="str">
        <f>IFERROR(__xludf.DUMMYFUNCTION("vlookup(BB729,importrange(""https://docs.google.com/spreadsheets/d/1d2vevQ_7D_v35q4wCQ4RpQ_IPoTwEMB9Yp6ymwlPqew/edit?gid=984458430#gid=984458430"",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29" s="61" t="str">
        <f>IFERROR(__xludf.DUMMYFUNCTION("REGEXREPLACE(G729, ""_[a-z]{1,2}$"", """")"),"Boyce_etal2023111_1")</f>
        <v>Boyce_etal2023111_1</v>
      </c>
      <c r="BC729" s="71"/>
      <c r="BD729" s="147" t="s">
        <v>3763</v>
      </c>
      <c r="BE729" s="189"/>
    </row>
    <row r="730" ht="20.25" customHeight="1">
      <c r="A730" s="44">
        <v>730.0</v>
      </c>
      <c r="B730" s="147" t="s">
        <v>152</v>
      </c>
      <c r="C730" s="149" t="s">
        <v>115</v>
      </c>
      <c r="D730" s="149" t="s">
        <v>153</v>
      </c>
      <c r="E730" s="71"/>
      <c r="F730" s="111" t="s">
        <v>3966</v>
      </c>
      <c r="G730" s="112" t="s">
        <v>3981</v>
      </c>
      <c r="H730" s="122" t="s">
        <v>153</v>
      </c>
      <c r="I730" s="417">
        <v>45687.0</v>
      </c>
      <c r="J730" s="1086">
        <v>45722.0</v>
      </c>
      <c r="K730" s="218" t="s">
        <v>3974</v>
      </c>
      <c r="L730" s="111"/>
      <c r="M730" s="122" t="s">
        <v>3967</v>
      </c>
      <c r="N730" s="122" t="s">
        <v>3968</v>
      </c>
      <c r="O730" s="537">
        <v>1.0</v>
      </c>
      <c r="P730" s="122" t="str">
        <f t="shared" si="37"/>
        <v>10.1111--j.1467-9280.2008.02157.x.pdf</v>
      </c>
      <c r="Q730" s="52" t="str">
        <f t="array" ref="Q730"> if(iserror(MATCH(V730, 'File Links'!C:C, 0)), "N/A", HYPERLINK(INDEX('File Links'!B:B, MATCH(P730, 'File Links'!C:C, 0))))</f>
        <v>https://drive.google.com/file/d/1VNZVfi392roXkffFia5wqQeCQjwEpyCc/view?usp=drivesdk</v>
      </c>
      <c r="R730" s="122" t="s">
        <v>3653</v>
      </c>
      <c r="S730" s="122" t="s">
        <v>3654</v>
      </c>
      <c r="T730" s="780" t="s">
        <v>3969</v>
      </c>
      <c r="U730" s="156">
        <v>1.0</v>
      </c>
      <c r="V730" s="122" t="str">
        <f t="shared" si="40"/>
        <v>10.1098--rsos.231240.pdf</v>
      </c>
      <c r="W730" s="122" t="s">
        <v>3696</v>
      </c>
      <c r="X730" s="54" t="str">
        <f t="array" ref="X730"> if(iserror(MATCH(V730, 'File Links'!C:C, 0)), "N/A", HYPERLINK(INDEX('File Links'!B:B, MATCH(V730, 'File Links'!C:C, 0))))</f>
        <v>https://drive.google.com/file/d/17gaf2Zy_ljFfcAEDk5L8GBnTl5i7RGJE/view?usp=drivesdk</v>
      </c>
      <c r="Y730" s="111"/>
      <c r="Z730" s="122" t="s">
        <v>148</v>
      </c>
      <c r="AA730" s="122" t="s">
        <v>3975</v>
      </c>
      <c r="AB730" s="218" t="s">
        <v>3976</v>
      </c>
      <c r="AC730" s="122" t="s">
        <v>3982</v>
      </c>
      <c r="AD730" s="122" t="s">
        <v>3983</v>
      </c>
      <c r="AE730" s="1109">
        <v>5.0</v>
      </c>
      <c r="AF730" s="537">
        <v>48.0</v>
      </c>
      <c r="AG730" s="1109">
        <v>0.2</v>
      </c>
      <c r="AH730" s="537" t="s">
        <v>874</v>
      </c>
      <c r="AI730" s="1109" t="s">
        <v>813</v>
      </c>
      <c r="AJ730" s="1110">
        <v>0.001</v>
      </c>
      <c r="AK730" s="112" t="s">
        <v>172</v>
      </c>
      <c r="AL730" s="112" t="s">
        <v>186</v>
      </c>
      <c r="AM730" s="122" t="s">
        <v>141</v>
      </c>
      <c r="AN730" s="817" t="s">
        <v>138</v>
      </c>
      <c r="AO730" s="537">
        <v>23.0</v>
      </c>
      <c r="AP730" s="1111">
        <v>0.008920207</v>
      </c>
      <c r="AQ730" s="156" t="s">
        <v>874</v>
      </c>
      <c r="AR730" s="1112" t="s">
        <v>3984</v>
      </c>
      <c r="AS730" s="156">
        <v>0.144231002</v>
      </c>
      <c r="AT730" s="122" t="s">
        <v>172</v>
      </c>
      <c r="AU730" s="122" t="s">
        <v>186</v>
      </c>
      <c r="AV730" s="122" t="s">
        <v>141</v>
      </c>
      <c r="AW730" s="656" t="s">
        <v>3980</v>
      </c>
      <c r="AX730" s="111" t="s">
        <v>151</v>
      </c>
      <c r="AY730" s="61" t="str">
        <f>IFERROR(__xludf.DUMMYFUNCTION("vlookup(BB730,importrange(""https://docs.google.com/spreadsheets/d/1d2vevQ_7D_v35q4wCQ4RpQ_IPoTwEMB9Yp6ymwlPqew/edit?gid=984458430#gid=984458430"", ""'replication success'!A:K""), 11, FAlSE)"),"failed")</f>
        <v>failed</v>
      </c>
      <c r="AZ730" s="61" t="str">
        <f>IFERROR(__xludf.DUMMYFUNCTION("vlookup(BB730,importrange(""https://docs.google.com/spreadsheets/d/1d2vevQ_7D_v35q4wCQ4RpQ_IPoTwEMB9Yp6ymwlPqew/edit?gid=984458430#gid=984458430"",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30" s="61" t="str">
        <f>IFERROR(__xludf.DUMMYFUNCTION("vlookup(BB730,importrange(""https://docs.google.com/spreadsheets/d/1d2vevQ_7D_v35q4wCQ4RpQ_IPoTwEMB9Yp6ymwlPqew/edit?gid=984458430#gid=984458430"",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30" s="61" t="str">
        <f>IFERROR(__xludf.DUMMYFUNCTION("REGEXREPLACE(G730, ""_[a-z]{1,2}$"", """")"),"Boyce_etal2023111_1")</f>
        <v>Boyce_etal2023111_1</v>
      </c>
      <c r="BC730" s="71"/>
      <c r="BD730" s="147" t="s">
        <v>3763</v>
      </c>
    </row>
    <row r="731" ht="20.25" customHeight="1">
      <c r="A731" s="44">
        <v>731.0</v>
      </c>
      <c r="B731" s="147" t="s">
        <v>152</v>
      </c>
      <c r="C731" s="149" t="s">
        <v>115</v>
      </c>
      <c r="D731" s="149" t="s">
        <v>153</v>
      </c>
      <c r="E731" s="71"/>
      <c r="F731" s="111" t="s">
        <v>3966</v>
      </c>
      <c r="G731" s="112" t="s">
        <v>3985</v>
      </c>
      <c r="H731" s="122" t="s">
        <v>153</v>
      </c>
      <c r="I731" s="417">
        <v>45687.0</v>
      </c>
      <c r="J731" s="1086">
        <v>45722.0</v>
      </c>
      <c r="K731" s="218" t="s">
        <v>3974</v>
      </c>
      <c r="L731" s="111"/>
      <c r="M731" s="122" t="s">
        <v>3967</v>
      </c>
      <c r="N731" s="122" t="s">
        <v>3968</v>
      </c>
      <c r="O731" s="537">
        <v>1.0</v>
      </c>
      <c r="P731" s="122" t="str">
        <f t="shared" si="37"/>
        <v>10.1111--j.1467-9280.2008.02157.x.pdf</v>
      </c>
      <c r="Q731" s="52" t="str">
        <f t="array" ref="Q731"> if(iserror(MATCH(V731, 'File Links'!C:C, 0)), "N/A", HYPERLINK(INDEX('File Links'!B:B, MATCH(P731, 'File Links'!C:C, 0))))</f>
        <v>https://drive.google.com/file/d/1VNZVfi392roXkffFia5wqQeCQjwEpyCc/view?usp=drivesdk</v>
      </c>
      <c r="R731" s="122" t="s">
        <v>3653</v>
      </c>
      <c r="S731" s="122" t="s">
        <v>3654</v>
      </c>
      <c r="T731" s="780" t="s">
        <v>3969</v>
      </c>
      <c r="U731" s="156">
        <v>1.0</v>
      </c>
      <c r="V731" s="122" t="str">
        <f t="shared" si="40"/>
        <v>10.1098--rsos.231240.pdf</v>
      </c>
      <c r="W731" s="122" t="s">
        <v>3696</v>
      </c>
      <c r="X731" s="54" t="str">
        <f t="array" ref="X731"> if(iserror(MATCH(V731, 'File Links'!C:C, 0)), "N/A", HYPERLINK(INDEX('File Links'!B:B, MATCH(V731, 'File Links'!C:C, 0))))</f>
        <v>https://drive.google.com/file/d/17gaf2Zy_ljFfcAEDk5L8GBnTl5i7RGJE/view?usp=drivesdk</v>
      </c>
      <c r="Y731" s="111"/>
      <c r="Z731" s="122" t="s">
        <v>148</v>
      </c>
      <c r="AA731" s="122" t="s">
        <v>3975</v>
      </c>
      <c r="AB731" s="218" t="s">
        <v>3976</v>
      </c>
      <c r="AC731" s="122" t="s">
        <v>3986</v>
      </c>
      <c r="AD731" s="122" t="s">
        <v>3987</v>
      </c>
      <c r="AE731" s="1109">
        <v>5.0</v>
      </c>
      <c r="AF731" s="537">
        <v>48.0</v>
      </c>
      <c r="AG731" s="1109">
        <v>0.1</v>
      </c>
      <c r="AH731" s="537" t="s">
        <v>874</v>
      </c>
      <c r="AI731" s="1109" t="s">
        <v>813</v>
      </c>
      <c r="AJ731" s="1110">
        <v>0.03</v>
      </c>
      <c r="AK731" s="112" t="s">
        <v>172</v>
      </c>
      <c r="AL731" s="112" t="s">
        <v>186</v>
      </c>
      <c r="AM731" s="122" t="s">
        <v>141</v>
      </c>
      <c r="AN731" s="817" t="s">
        <v>138</v>
      </c>
      <c r="AO731" s="537">
        <v>23.0</v>
      </c>
      <c r="AP731" s="1111">
        <v>0.004606713</v>
      </c>
      <c r="AQ731" s="156" t="s">
        <v>874</v>
      </c>
      <c r="AR731" s="1112" t="s">
        <v>3988</v>
      </c>
      <c r="AS731" s="156">
        <v>0.371</v>
      </c>
      <c r="AT731" s="122" t="s">
        <v>172</v>
      </c>
      <c r="AU731" s="122" t="s">
        <v>186</v>
      </c>
      <c r="AV731" s="122" t="s">
        <v>141</v>
      </c>
      <c r="AW731" s="656" t="s">
        <v>3980</v>
      </c>
      <c r="AX731" s="111" t="s">
        <v>151</v>
      </c>
      <c r="AY731" s="61" t="str">
        <f>IFERROR(__xludf.DUMMYFUNCTION("vlookup(BB731,importrange(""https://docs.google.com/spreadsheets/d/1d2vevQ_7D_v35q4wCQ4RpQ_IPoTwEMB9Yp6ymwlPqew/edit?gid=984458430#gid=984458430"", ""'replication success'!A:K""), 11, FAlSE)"),"failed")</f>
        <v>failed</v>
      </c>
      <c r="AZ731" s="61" t="str">
        <f>IFERROR(__xludf.DUMMYFUNCTION("vlookup(BB731,importrange(""https://docs.google.com/spreadsheets/d/1d2vevQ_7D_v35q4wCQ4RpQ_IPoTwEMB9Yp6ymwlPqew/edit?gid=984458430#gid=984458430"",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31" s="61" t="str">
        <f>IFERROR(__xludf.DUMMYFUNCTION("vlookup(BB731,importrange(""https://docs.google.com/spreadsheets/d/1d2vevQ_7D_v35q4wCQ4RpQ_IPoTwEMB9Yp6ymwlPqew/edit?gid=984458430#gid=984458430"",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31" s="61" t="str">
        <f>IFERROR(__xludf.DUMMYFUNCTION("REGEXREPLACE(G731, ""_[a-z]{1,2}$"", """")"),"Boyce_etal2023111_1")</f>
        <v>Boyce_etal2023111_1</v>
      </c>
      <c r="BC731" s="71"/>
      <c r="BD731" s="147" t="s">
        <v>3763</v>
      </c>
      <c r="BE731" s="189"/>
    </row>
    <row r="732" ht="20.25" customHeight="1">
      <c r="A732" s="44">
        <v>732.0</v>
      </c>
      <c r="B732" s="147" t="s">
        <v>152</v>
      </c>
      <c r="C732" s="149" t="s">
        <v>115</v>
      </c>
      <c r="D732" s="149" t="s">
        <v>153</v>
      </c>
      <c r="E732" s="71"/>
      <c r="F732" s="111" t="s">
        <v>3966</v>
      </c>
      <c r="G732" s="112" t="s">
        <v>3989</v>
      </c>
      <c r="H732" s="122" t="s">
        <v>153</v>
      </c>
      <c r="I732" s="417">
        <v>45687.0</v>
      </c>
      <c r="J732" s="1086">
        <v>45722.0</v>
      </c>
      <c r="K732" s="218" t="s">
        <v>3974</v>
      </c>
      <c r="L732" s="111"/>
      <c r="M732" s="122" t="s">
        <v>3967</v>
      </c>
      <c r="N732" s="122" t="s">
        <v>3968</v>
      </c>
      <c r="O732" s="537">
        <v>1.0</v>
      </c>
      <c r="P732" s="122" t="str">
        <f t="shared" si="37"/>
        <v>10.1111--j.1467-9280.2008.02157.x.pdf</v>
      </c>
      <c r="Q732" s="52" t="str">
        <f t="array" ref="Q732"> if(iserror(MATCH(V732, 'File Links'!C:C, 0)), "N/A", HYPERLINK(INDEX('File Links'!B:B, MATCH(P732, 'File Links'!C:C, 0))))</f>
        <v>https://drive.google.com/file/d/1VNZVfi392roXkffFia5wqQeCQjwEpyCc/view?usp=drivesdk</v>
      </c>
      <c r="R732" s="122" t="s">
        <v>3653</v>
      </c>
      <c r="S732" s="122" t="s">
        <v>3654</v>
      </c>
      <c r="T732" s="780" t="s">
        <v>3969</v>
      </c>
      <c r="U732" s="156">
        <v>1.0</v>
      </c>
      <c r="V732" s="122" t="str">
        <f t="shared" si="40"/>
        <v>10.1098--rsos.231240.pdf</v>
      </c>
      <c r="W732" s="122" t="s">
        <v>3696</v>
      </c>
      <c r="X732" s="54" t="str">
        <f t="array" ref="X732"> if(iserror(MATCH(V732, 'File Links'!C:C, 0)), "N/A", HYPERLINK(INDEX('File Links'!B:B, MATCH(V732, 'File Links'!C:C, 0))))</f>
        <v>https://drive.google.com/file/d/17gaf2Zy_ljFfcAEDk5L8GBnTl5i7RGJE/view?usp=drivesdk</v>
      </c>
      <c r="Y732" s="111"/>
      <c r="Z732" s="122" t="s">
        <v>148</v>
      </c>
      <c r="AA732" s="122" t="s">
        <v>3975</v>
      </c>
      <c r="AB732" s="218" t="s">
        <v>3976</v>
      </c>
      <c r="AC732" s="122" t="s">
        <v>3990</v>
      </c>
      <c r="AD732" s="122" t="s">
        <v>3991</v>
      </c>
      <c r="AE732" s="1109">
        <v>5.0</v>
      </c>
      <c r="AF732" s="537">
        <v>48.0</v>
      </c>
      <c r="AG732" s="1109">
        <v>0.2</v>
      </c>
      <c r="AH732" s="537" t="s">
        <v>874</v>
      </c>
      <c r="AI732" s="1109" t="s">
        <v>813</v>
      </c>
      <c r="AJ732" s="1110">
        <v>0.001</v>
      </c>
      <c r="AK732" s="112" t="s">
        <v>172</v>
      </c>
      <c r="AL732" s="112" t="s">
        <v>186</v>
      </c>
      <c r="AM732" s="122" t="s">
        <v>141</v>
      </c>
      <c r="AN732" s="817" t="s">
        <v>138</v>
      </c>
      <c r="AO732" s="537">
        <v>23.0</v>
      </c>
      <c r="AP732" s="336">
        <v>0.025</v>
      </c>
      <c r="AQ732" s="156" t="s">
        <v>874</v>
      </c>
      <c r="AR732" s="1112" t="s">
        <v>3992</v>
      </c>
      <c r="AS732" s="156">
        <v>0.141</v>
      </c>
      <c r="AT732" s="122" t="s">
        <v>172</v>
      </c>
      <c r="AU732" s="122" t="s">
        <v>186</v>
      </c>
      <c r="AV732" s="122" t="s">
        <v>141</v>
      </c>
      <c r="AW732" s="656" t="s">
        <v>3980</v>
      </c>
      <c r="AX732" s="111" t="s">
        <v>151</v>
      </c>
      <c r="AY732" s="61" t="str">
        <f>IFERROR(__xludf.DUMMYFUNCTION("vlookup(BB732,importrange(""https://docs.google.com/spreadsheets/d/1d2vevQ_7D_v35q4wCQ4RpQ_IPoTwEMB9Yp6ymwlPqew/edit?gid=984458430#gid=984458430"", ""'replication success'!A:K""), 11, FAlSE)"),"failed")</f>
        <v>failed</v>
      </c>
      <c r="AZ732" s="61" t="str">
        <f>IFERROR(__xludf.DUMMYFUNCTION("vlookup(BB732,importrange(""https://docs.google.com/spreadsheets/d/1d2vevQ_7D_v35q4wCQ4RpQ_IPoTwEMB9Yp6ymwlPqew/edit?gid=984458430#gid=984458430"",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32" s="61" t="str">
        <f>IFERROR(__xludf.DUMMYFUNCTION("vlookup(BB732,importrange(""https://docs.google.com/spreadsheets/d/1d2vevQ_7D_v35q4wCQ4RpQ_IPoTwEMB9Yp6ymwlPqew/edit?gid=984458430#gid=984458430"",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32" s="61" t="str">
        <f>IFERROR(__xludf.DUMMYFUNCTION("REGEXREPLACE(G732, ""_[a-z]{1,2}$"", """")"),"Boyce_etal2023111_1")</f>
        <v>Boyce_etal2023111_1</v>
      </c>
      <c r="BC732" s="71"/>
      <c r="BD732" s="147" t="s">
        <v>3763</v>
      </c>
      <c r="BE732" s="1113"/>
      <c r="BF732" s="1113"/>
      <c r="BG732" s="1113"/>
      <c r="BH732" s="1113"/>
      <c r="BI732" s="1113"/>
      <c r="BJ732" s="1113"/>
      <c r="BK732" s="1113"/>
      <c r="BL732" s="1113"/>
      <c r="BM732" s="1113"/>
      <c r="BN732" s="1113"/>
      <c r="BO732" s="1113"/>
      <c r="BP732" s="1113"/>
      <c r="BQ732" s="1113"/>
      <c r="BR732" s="1113"/>
      <c r="BS732" s="1113"/>
      <c r="BT732" s="1113"/>
      <c r="BU732" s="1113"/>
      <c r="BV732" s="1113"/>
      <c r="BW732" s="1113"/>
      <c r="BX732" s="1113"/>
      <c r="BY732" s="1113"/>
      <c r="BZ732" s="1113"/>
      <c r="CA732" s="1113"/>
      <c r="CB732" s="1113"/>
      <c r="CC732" s="1113"/>
      <c r="CD732" s="1113"/>
      <c r="CE732" s="1113"/>
      <c r="CF732" s="1113"/>
      <c r="CG732" s="1113"/>
      <c r="CH732" s="1113"/>
      <c r="CI732" s="1113"/>
      <c r="CJ732" s="1113"/>
      <c r="CK732" s="1113"/>
      <c r="CL732" s="1113"/>
      <c r="CM732" s="1113"/>
      <c r="CN732" s="1113"/>
      <c r="CO732" s="1113"/>
      <c r="CP732" s="1113"/>
      <c r="CQ732" s="1113"/>
      <c r="CR732" s="1113"/>
      <c r="CS732" s="1113"/>
      <c r="CT732" s="1113"/>
      <c r="CU732" s="1113"/>
      <c r="CV732" s="1113"/>
      <c r="CW732" s="1113"/>
      <c r="CX732" s="1113"/>
      <c r="CY732" s="1113"/>
      <c r="CZ732" s="1113"/>
      <c r="DA732" s="1113"/>
      <c r="DB732" s="1113"/>
      <c r="DC732" s="1113"/>
      <c r="DD732" s="1113"/>
      <c r="DE732" s="1113"/>
      <c r="DF732" s="1113"/>
      <c r="DG732" s="1113"/>
    </row>
    <row r="733" ht="20.25" customHeight="1">
      <c r="A733" s="44">
        <v>733.0</v>
      </c>
      <c r="B733" s="147" t="s">
        <v>152</v>
      </c>
      <c r="C733" s="149" t="s">
        <v>115</v>
      </c>
      <c r="D733" s="149" t="s">
        <v>153</v>
      </c>
      <c r="E733" s="71"/>
      <c r="F733" s="111" t="s">
        <v>3966</v>
      </c>
      <c r="G733" s="112" t="s">
        <v>3993</v>
      </c>
      <c r="H733" s="122" t="s">
        <v>153</v>
      </c>
      <c r="I733" s="417">
        <v>45687.0</v>
      </c>
      <c r="J733" s="1086">
        <v>45722.0</v>
      </c>
      <c r="K733" s="218" t="s">
        <v>3974</v>
      </c>
      <c r="L733" s="111"/>
      <c r="M733" s="122" t="s">
        <v>3967</v>
      </c>
      <c r="N733" s="122" t="s">
        <v>3968</v>
      </c>
      <c r="O733" s="537">
        <v>1.0</v>
      </c>
      <c r="P733" s="122" t="str">
        <f t="shared" si="37"/>
        <v>10.1111--j.1467-9280.2008.02157.x.pdf</v>
      </c>
      <c r="Q733" s="52" t="str">
        <f t="array" ref="Q733"> if(iserror(MATCH(V733, 'File Links'!C:C, 0)), "N/A", HYPERLINK(INDEX('File Links'!B:B, MATCH(P733, 'File Links'!C:C, 0))))</f>
        <v>https://drive.google.com/file/d/1VNZVfi392roXkffFia5wqQeCQjwEpyCc/view?usp=drivesdk</v>
      </c>
      <c r="R733" s="122" t="s">
        <v>3653</v>
      </c>
      <c r="S733" s="122" t="s">
        <v>3654</v>
      </c>
      <c r="T733" s="780" t="s">
        <v>3969</v>
      </c>
      <c r="U733" s="156">
        <v>1.0</v>
      </c>
      <c r="V733" s="122" t="str">
        <f t="shared" si="40"/>
        <v>10.1098--rsos.231240.pdf</v>
      </c>
      <c r="W733" s="122" t="s">
        <v>3696</v>
      </c>
      <c r="X733" s="54" t="str">
        <f t="array" ref="X733"> if(iserror(MATCH(V733, 'File Links'!C:C, 0)), "N/A", HYPERLINK(INDEX('File Links'!B:B, MATCH(V733, 'File Links'!C:C, 0))))</f>
        <v>https://drive.google.com/file/d/17gaf2Zy_ljFfcAEDk5L8GBnTl5i7RGJE/view?usp=drivesdk</v>
      </c>
      <c r="Y733" s="111"/>
      <c r="Z733" s="122" t="s">
        <v>148</v>
      </c>
      <c r="AA733" s="122" t="s">
        <v>3975</v>
      </c>
      <c r="AB733" s="218" t="s">
        <v>3976</v>
      </c>
      <c r="AC733" s="122" t="s">
        <v>3994</v>
      </c>
      <c r="AD733" s="122" t="s">
        <v>3995</v>
      </c>
      <c r="AE733" s="1109">
        <v>5.0</v>
      </c>
      <c r="AF733" s="537">
        <v>48.0</v>
      </c>
      <c r="AG733" s="147" t="s">
        <v>138</v>
      </c>
      <c r="AH733" s="167" t="s">
        <v>138</v>
      </c>
      <c r="AI733" s="1109" t="s">
        <v>813</v>
      </c>
      <c r="AJ733" s="1110">
        <v>0.1</v>
      </c>
      <c r="AK733" s="112" t="s">
        <v>335</v>
      </c>
      <c r="AL733" s="112" t="s">
        <v>186</v>
      </c>
      <c r="AM733" s="122" t="s">
        <v>141</v>
      </c>
      <c r="AN733" s="817" t="s">
        <v>138</v>
      </c>
      <c r="AO733" s="537">
        <v>23.0</v>
      </c>
      <c r="AP733" s="1114">
        <v>0.001</v>
      </c>
      <c r="AQ733" s="156" t="s">
        <v>874</v>
      </c>
      <c r="AR733" s="1112" t="s">
        <v>3996</v>
      </c>
      <c r="AS733" s="156">
        <v>0.761</v>
      </c>
      <c r="AT733" s="122" t="s">
        <v>172</v>
      </c>
      <c r="AU733" s="122" t="s">
        <v>186</v>
      </c>
      <c r="AV733" s="122" t="s">
        <v>141</v>
      </c>
      <c r="AW733" s="656" t="s">
        <v>3980</v>
      </c>
      <c r="AX733" s="111" t="s">
        <v>151</v>
      </c>
      <c r="AY733" s="61" t="str">
        <f>IFERROR(__xludf.DUMMYFUNCTION("vlookup(BB733,importrange(""https://docs.google.com/spreadsheets/d/1d2vevQ_7D_v35q4wCQ4RpQ_IPoTwEMB9Yp6ymwlPqew/edit?gid=984458430#gid=984458430"", ""'replication success'!A:K""), 11, FAlSE)"),"failed")</f>
        <v>failed</v>
      </c>
      <c r="AZ733" s="61" t="str">
        <f>IFERROR(__xludf.DUMMYFUNCTION("vlookup(BB733,importrange(""https://docs.google.com/spreadsheets/d/1d2vevQ_7D_v35q4wCQ4RpQ_IPoTwEMB9Yp6ymwlPqew/edit?gid=984458430#gid=984458430"",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33" s="61" t="str">
        <f>IFERROR(__xludf.DUMMYFUNCTION("vlookup(BB733,importrange(""https://docs.google.com/spreadsheets/d/1d2vevQ_7D_v35q4wCQ4RpQ_IPoTwEMB9Yp6ymwlPqew/edit?gid=984458430#gid=984458430"",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v>
      </c>
      <c r="BB733" s="61" t="str">
        <f>IFERROR(__xludf.DUMMYFUNCTION("REGEXREPLACE(G733, ""_[a-z]{1,2}$"", """")"),"Boyce_etal2023111_1")</f>
        <v>Boyce_etal2023111_1</v>
      </c>
      <c r="BC733" s="71"/>
      <c r="BD733" s="147" t="s">
        <v>3763</v>
      </c>
      <c r="BE733" s="1113"/>
      <c r="BF733" s="1113"/>
      <c r="BG733" s="1113"/>
      <c r="BH733" s="1113"/>
      <c r="BI733" s="1113"/>
      <c r="BJ733" s="1113"/>
      <c r="BK733" s="1113"/>
      <c r="BL733" s="1113"/>
      <c r="BM733" s="1113"/>
      <c r="BN733" s="1113"/>
      <c r="BO733" s="1113"/>
      <c r="BP733" s="1113"/>
      <c r="BQ733" s="1113"/>
      <c r="BR733" s="1113"/>
      <c r="BS733" s="1113"/>
      <c r="BT733" s="1113"/>
      <c r="BU733" s="1113"/>
      <c r="BV733" s="1113"/>
      <c r="BW733" s="1113"/>
      <c r="BX733" s="1113"/>
      <c r="BY733" s="1113"/>
      <c r="BZ733" s="1113"/>
      <c r="CA733" s="1113"/>
      <c r="CB733" s="1113"/>
      <c r="CC733" s="1113"/>
      <c r="CD733" s="1113"/>
      <c r="CE733" s="1113"/>
      <c r="CF733" s="1113"/>
      <c r="CG733" s="1113"/>
      <c r="CH733" s="1113"/>
      <c r="CI733" s="1113"/>
      <c r="CJ733" s="1113"/>
      <c r="CK733" s="1113"/>
      <c r="CL733" s="1113"/>
      <c r="CM733" s="1113"/>
      <c r="CN733" s="1113"/>
      <c r="CO733" s="1113"/>
      <c r="CP733" s="1113"/>
      <c r="CQ733" s="1113"/>
      <c r="CR733" s="1113"/>
      <c r="CS733" s="1113"/>
      <c r="CT733" s="1113"/>
      <c r="CU733" s="1113"/>
      <c r="CV733" s="1113"/>
      <c r="CW733" s="1113"/>
      <c r="CX733" s="1113"/>
      <c r="CY733" s="1113"/>
      <c r="CZ733" s="1113"/>
      <c r="DA733" s="1113"/>
      <c r="DB733" s="1113"/>
      <c r="DC733" s="1113"/>
      <c r="DD733" s="1113"/>
      <c r="DE733" s="1113"/>
      <c r="DF733" s="1113"/>
      <c r="DG733" s="1113"/>
    </row>
    <row r="734" ht="20.25" customHeight="1">
      <c r="A734" s="44">
        <v>734.0</v>
      </c>
      <c r="B734" s="129" t="s">
        <v>152</v>
      </c>
      <c r="C734" s="62" t="s">
        <v>115</v>
      </c>
      <c r="D734" s="62" t="s">
        <v>248</v>
      </c>
      <c r="F734" s="159" t="s">
        <v>3997</v>
      </c>
      <c r="G734" s="57" t="s">
        <v>3998</v>
      </c>
      <c r="H734" s="159" t="s">
        <v>249</v>
      </c>
      <c r="I734" s="152">
        <v>45669.0</v>
      </c>
      <c r="J734" s="152">
        <v>45692.0</v>
      </c>
      <c r="K734" s="437" t="s">
        <v>3999</v>
      </c>
      <c r="L734" s="151" t="s">
        <v>4000</v>
      </c>
      <c r="M734" s="159" t="s">
        <v>4001</v>
      </c>
      <c r="N734" s="159" t="s">
        <v>4002</v>
      </c>
      <c r="O734" s="129">
        <v>2.0</v>
      </c>
      <c r="P734" s="159" t="str">
        <f t="shared" si="37"/>
        <v>10.3758--s13428-021-01694-3.pdf</v>
      </c>
      <c r="Q734" s="52" t="str">
        <f t="array" ref="Q734"> if(iserror(MATCH(V734, 'File Links'!C:C, 0)), "N/A", HYPERLINK(INDEX('File Links'!B:B, MATCH(P734, 'File Links'!C:C, 0))))</f>
        <v>https://drive.google.com/file/d/1pWRSPkrpkB4P8JrAypP4cdltGfovv0wT/view?usp=drivesdk</v>
      </c>
      <c r="R734" s="159" t="s">
        <v>3653</v>
      </c>
      <c r="S734" s="159" t="s">
        <v>3654</v>
      </c>
      <c r="T734" s="441" t="s">
        <v>4003</v>
      </c>
      <c r="U734" s="156">
        <v>1.0</v>
      </c>
      <c r="V734" s="198" t="str">
        <f t="shared" si="40"/>
        <v>10.1098--rsos.231240.pdf</v>
      </c>
      <c r="W734" s="1115" t="s">
        <v>3807</v>
      </c>
      <c r="X734" s="54" t="str">
        <f t="array" ref="X734"> if(iserror(MATCH(V734, 'File Links'!C:C, 0)), "N/A", HYPERLINK(INDEX('File Links'!B:B, MATCH(V734, 'File Links'!C:C, 0))))</f>
        <v>https://drive.google.com/file/d/17gaf2Zy_ljFfcAEDk5L8GBnTl5i7RGJE/view?usp=drivesdk</v>
      </c>
      <c r="Y734" s="68"/>
      <c r="Z734" s="159" t="s">
        <v>148</v>
      </c>
      <c r="AA734" s="1116" t="s">
        <v>4004</v>
      </c>
      <c r="AB734" s="1115" t="s">
        <v>4005</v>
      </c>
      <c r="AC734" s="68"/>
      <c r="AD734" s="1116" t="s">
        <v>4006</v>
      </c>
      <c r="AE734" s="1117" t="s">
        <v>4007</v>
      </c>
      <c r="AF734" s="161">
        <v>972.0</v>
      </c>
      <c r="AG734" s="161">
        <v>0.869</v>
      </c>
      <c r="AH734" s="159" t="s">
        <v>173</v>
      </c>
      <c r="AI734" s="1116" t="s">
        <v>4008</v>
      </c>
      <c r="AJ734" s="161" t="s">
        <v>138</v>
      </c>
      <c r="AK734" s="151" t="s">
        <v>138</v>
      </c>
      <c r="AL734" s="57" t="s">
        <v>186</v>
      </c>
      <c r="AM734" s="159" t="s">
        <v>137</v>
      </c>
      <c r="AN734" s="1118" t="s">
        <v>4009</v>
      </c>
      <c r="AO734" s="161">
        <v>108.0</v>
      </c>
      <c r="AP734" s="161">
        <v>0.751</v>
      </c>
      <c r="AQ734" s="159" t="s">
        <v>173</v>
      </c>
      <c r="AR734" s="129" t="s">
        <v>4010</v>
      </c>
      <c r="AS734" s="501" t="s">
        <v>138</v>
      </c>
      <c r="AT734" s="151" t="s">
        <v>138</v>
      </c>
      <c r="AU734" s="159" t="s">
        <v>186</v>
      </c>
      <c r="AV734" s="159" t="s">
        <v>137</v>
      </c>
      <c r="AW734" s="1119" t="s">
        <v>4011</v>
      </c>
      <c r="AX734" s="159" t="s">
        <v>143</v>
      </c>
      <c r="AY734" s="61" t="str">
        <f>IFERROR(__xludf.DUMMYFUNCTION("vlookup(BB734,importrange(""https://docs.google.com/spreadsheets/d/1d2vevQ_7D_v35q4wCQ4RpQ_IPoTwEMB9Yp6ymwlPqew/edit?gid=984458430#gid=984458430"", ""'replication success'!A:K""), 11, FAlSE)"),"mixed")</f>
        <v>mixed</v>
      </c>
      <c r="AZ734" s="61" t="str">
        <f>IFERROR(__xludf.DUMMYFUNCTION("vlookup(BB734,importrange(""https://docs.google.com/spreadsheets/d/1d2vevQ_7D_v35q4wCQ4RpQ_IPoTwEMB9Yp6ymwlPqew/edit?gid=984458430#gid=984458430"",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34" s="61" t="str">
        <f>IFERROR(__xludf.DUMMYFUNCTION("vlookup(BB734,importrange(""https://docs.google.com/spreadsheets/d/1d2vevQ_7D_v35q4wCQ4RpQ_IPoTwEMB9Yp6ymwlPqew/edit?gid=984458430#gid=984458430"",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v>
      </c>
      <c r="BB734" s="61" t="str">
        <f>IFERROR(__xludf.DUMMYFUNCTION("REGEXREPLACE(G734, ""_[a-z]{1,2}$"", """")"),"Boyce_etal2023112_1")</f>
        <v>Boyce_etal2023112_1</v>
      </c>
      <c r="BD734" s="129" t="s">
        <v>3680</v>
      </c>
    </row>
    <row r="735" ht="20.25" customHeight="1">
      <c r="A735" s="44">
        <v>735.0</v>
      </c>
      <c r="B735" s="129" t="s">
        <v>152</v>
      </c>
      <c r="C735" s="62" t="s">
        <v>115</v>
      </c>
      <c r="D735" s="62" t="s">
        <v>248</v>
      </c>
      <c r="F735" s="159" t="s">
        <v>3997</v>
      </c>
      <c r="G735" s="57" t="s">
        <v>3998</v>
      </c>
      <c r="H735" s="159" t="s">
        <v>249</v>
      </c>
      <c r="I735" s="152">
        <v>45669.0</v>
      </c>
      <c r="J735" s="152">
        <v>45692.0</v>
      </c>
      <c r="K735" s="437" t="s">
        <v>3999</v>
      </c>
      <c r="L735" s="151" t="s">
        <v>4000</v>
      </c>
      <c r="M735" s="159" t="s">
        <v>4001</v>
      </c>
      <c r="N735" s="159" t="s">
        <v>4002</v>
      </c>
      <c r="O735" s="129">
        <v>2.0</v>
      </c>
      <c r="P735" s="159" t="str">
        <f t="shared" si="37"/>
        <v>10.3758--s13428-021-01694-3.pdf</v>
      </c>
      <c r="Q735" s="52" t="str">
        <f t="array" ref="Q735"> if(iserror(MATCH(V735, 'File Links'!C:C, 0)), "N/A", HYPERLINK(INDEX('File Links'!B:B, MATCH(P735, 'File Links'!C:C, 0))))</f>
        <v>https://drive.google.com/file/d/1pWRSPkrpkB4P8JrAypP4cdltGfovv0wT/view?usp=drivesdk</v>
      </c>
      <c r="R735" s="159" t="s">
        <v>3653</v>
      </c>
      <c r="S735" s="159" t="s">
        <v>3654</v>
      </c>
      <c r="T735" s="441" t="s">
        <v>4003</v>
      </c>
      <c r="U735" s="156">
        <v>1.0</v>
      </c>
      <c r="V735" s="198" t="str">
        <f t="shared" si="40"/>
        <v>10.1098--rsos.231240.pdf</v>
      </c>
      <c r="W735" s="1115" t="s">
        <v>3807</v>
      </c>
      <c r="X735" s="54" t="str">
        <f t="array" ref="X735"> if(iserror(MATCH(V735, 'File Links'!C:C, 0)), "N/A", HYPERLINK(INDEX('File Links'!B:B, MATCH(V735, 'File Links'!C:C, 0))))</f>
        <v>https://drive.google.com/file/d/17gaf2Zy_ljFfcAEDk5L8GBnTl5i7RGJE/view?usp=drivesdk</v>
      </c>
      <c r="Y735" s="68"/>
      <c r="Z735" s="159" t="s">
        <v>148</v>
      </c>
      <c r="AA735" s="1116" t="s">
        <v>4012</v>
      </c>
      <c r="AB735" s="1115" t="s">
        <v>4005</v>
      </c>
      <c r="AC735" s="68"/>
      <c r="AD735" s="1116" t="s">
        <v>4013</v>
      </c>
      <c r="AE735" s="1117" t="s">
        <v>4007</v>
      </c>
      <c r="AF735" s="161">
        <v>661.0</v>
      </c>
      <c r="AG735" s="161">
        <v>0.792</v>
      </c>
      <c r="AH735" s="159" t="s">
        <v>173</v>
      </c>
      <c r="AI735" s="1116" t="s">
        <v>4014</v>
      </c>
      <c r="AJ735" s="161" t="s">
        <v>138</v>
      </c>
      <c r="AK735" s="151" t="s">
        <v>138</v>
      </c>
      <c r="AL735" s="57" t="s">
        <v>186</v>
      </c>
      <c r="AM735" s="159" t="s">
        <v>137</v>
      </c>
      <c r="AN735" s="1118" t="s">
        <v>4009</v>
      </c>
      <c r="AO735" s="161">
        <v>108.0</v>
      </c>
      <c r="AP735" s="1120">
        <v>-0.4249782071450829</v>
      </c>
      <c r="AQ735" s="159" t="s">
        <v>173</v>
      </c>
      <c r="AR735" s="129" t="s">
        <v>4015</v>
      </c>
      <c r="AS735" s="501" t="s">
        <v>138</v>
      </c>
      <c r="AT735" s="151" t="s">
        <v>138</v>
      </c>
      <c r="AU735" s="159" t="s">
        <v>186</v>
      </c>
      <c r="AV735" s="159" t="s">
        <v>137</v>
      </c>
      <c r="AW735" s="1119" t="s">
        <v>4011</v>
      </c>
      <c r="AX735" s="159" t="s">
        <v>143</v>
      </c>
      <c r="AY735" s="61" t="str">
        <f>IFERROR(__xludf.DUMMYFUNCTION("vlookup(BB735,importrange(""https://docs.google.com/spreadsheets/d/1d2vevQ_7D_v35q4wCQ4RpQ_IPoTwEMB9Yp6ymwlPqew/edit?gid=984458430#gid=984458430"", ""'replication success'!A:K""), 11, FAlSE)"),"mixed")</f>
        <v>mixed</v>
      </c>
      <c r="AZ735" s="61" t="str">
        <f>IFERROR(__xludf.DUMMYFUNCTION("vlookup(BB735,importrange(""https://docs.google.com/spreadsheets/d/1d2vevQ_7D_v35q4wCQ4RpQ_IPoTwEMB9Yp6ymwlPqew/edit?gid=984458430#gid=984458430"",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735" s="61" t="str">
        <f>IFERROR(__xludf.DUMMYFUNCTION("vlookup(BB735,importrange(""https://docs.google.com/spreadsheets/d/1d2vevQ_7D_v35q4wCQ4RpQ_IPoTwEMB9Yp6ymwlPqew/edit?gid=984458430#gid=984458430"",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v>
      </c>
      <c r="BB735" s="61" t="str">
        <f>IFERROR(__xludf.DUMMYFUNCTION("REGEXREPLACE(G735, ""_[a-z]{1,2}$"", """")"),"Boyce_etal2023112_1")</f>
        <v>Boyce_etal2023112_1</v>
      </c>
      <c r="BD735" s="129" t="s">
        <v>3680</v>
      </c>
    </row>
    <row r="736" ht="20.25" customHeight="1">
      <c r="A736" s="44">
        <v>736.0</v>
      </c>
      <c r="B736" s="68" t="s">
        <v>114</v>
      </c>
      <c r="C736" s="62" t="s">
        <v>115</v>
      </c>
      <c r="D736" s="62" t="s">
        <v>153</v>
      </c>
      <c r="F736" s="68" t="s">
        <v>3998</v>
      </c>
      <c r="G736" s="57" t="s">
        <v>3997</v>
      </c>
      <c r="H736" s="159" t="s">
        <v>153</v>
      </c>
      <c r="I736" s="152">
        <v>45687.0</v>
      </c>
      <c r="J736" s="152">
        <v>45692.0</v>
      </c>
      <c r="K736" s="1055" t="s">
        <v>4016</v>
      </c>
      <c r="L736" s="68"/>
      <c r="M736" s="159" t="s">
        <v>4001</v>
      </c>
      <c r="N736" s="159" t="s">
        <v>4002</v>
      </c>
      <c r="O736" s="156">
        <v>2.0</v>
      </c>
      <c r="P736" s="159" t="str">
        <f t="shared" si="37"/>
        <v>10.3758--s13428-021-01694-3.pdf</v>
      </c>
      <c r="Q736" s="52" t="str">
        <f t="array" ref="Q736"> if(iserror(MATCH(V736, 'File Links'!C:C, 0)), "N/A", HYPERLINK(INDEX('File Links'!B:B, MATCH(P736, 'File Links'!C:C, 0))))</f>
        <v>https://drive.google.com/file/d/1pWRSPkrpkB4P8JrAypP4cdltGfovv0wT/view?usp=drivesdk</v>
      </c>
      <c r="R736" s="159" t="s">
        <v>3653</v>
      </c>
      <c r="S736" s="159" t="s">
        <v>3654</v>
      </c>
      <c r="T736" s="68"/>
      <c r="U736" s="156">
        <v>1.0</v>
      </c>
      <c r="V736" s="198" t="str">
        <f t="shared" si="40"/>
        <v>10.1098--rsos.231240.pdf</v>
      </c>
      <c r="W736" s="159" t="s">
        <v>3807</v>
      </c>
      <c r="X736" s="54" t="str">
        <f t="array" ref="X736"> if(iserror(MATCH(V736, 'File Links'!C:C, 0)), "N/A", HYPERLINK(INDEX('File Links'!B:B, MATCH(V736, 'File Links'!C:C, 0))))</f>
        <v>https://drive.google.com/file/d/17gaf2Zy_ljFfcAEDk5L8GBnTl5i7RGJE/view?usp=drivesdk</v>
      </c>
      <c r="Y736" s="46"/>
      <c r="Z736" s="159" t="s">
        <v>148</v>
      </c>
      <c r="AA736" s="159" t="s">
        <v>4017</v>
      </c>
      <c r="AB736" s="159" t="s">
        <v>4005</v>
      </c>
      <c r="AC736" s="68"/>
      <c r="AD736" s="159" t="s">
        <v>4018</v>
      </c>
      <c r="AE736" s="156">
        <v>13.0</v>
      </c>
      <c r="AF736" s="156">
        <v>500.0</v>
      </c>
      <c r="AG736" s="156" t="s">
        <v>4019</v>
      </c>
      <c r="AH736" s="156" t="s">
        <v>134</v>
      </c>
      <c r="AI736" s="156" t="s">
        <v>436</v>
      </c>
      <c r="AJ736" s="709">
        <v>0.001</v>
      </c>
      <c r="AK736" s="57" t="s">
        <v>135</v>
      </c>
      <c r="AL736" s="57" t="s">
        <v>186</v>
      </c>
      <c r="AM736" s="159" t="s">
        <v>137</v>
      </c>
      <c r="AN736" s="593" t="s">
        <v>4009</v>
      </c>
      <c r="AO736" s="156">
        <v>235.0</v>
      </c>
      <c r="AP736" s="156" t="s">
        <v>4020</v>
      </c>
      <c r="AQ736" s="156" t="s">
        <v>134</v>
      </c>
      <c r="AR736" s="156" t="s">
        <v>4021</v>
      </c>
      <c r="AS736" s="156">
        <f>IFERROR(__xludf.DUMMYFUNCTION("3.44*10^-6 "),3.4399999999999997E-6)</f>
        <v>0.00000344</v>
      </c>
      <c r="AT736" s="159" t="s">
        <v>172</v>
      </c>
      <c r="AU736" s="159" t="s">
        <v>186</v>
      </c>
      <c r="AV736" s="159" t="s">
        <v>137</v>
      </c>
      <c r="AW736" s="435" t="s">
        <v>4011</v>
      </c>
      <c r="AX736" s="68" t="s">
        <v>143</v>
      </c>
      <c r="AY736" s="61" t="str">
        <f>IFERROR(__xludf.DUMMYFUNCTION("vlookup(BB736,importrange(""https://docs.google.com/spreadsheets/d/1d2vevQ_7D_v35q4wCQ4RpQ_IPoTwEMB9Yp6ymwlPqew/edit?gid=984458430#gid=984458430"", ""'replication success'!A:K""), 11, FAlSE)"),"#N/A")</f>
        <v>#N/A</v>
      </c>
      <c r="AZ736" s="61" t="str">
        <f>IFERROR(__xludf.DUMMYFUNCTION("vlookup(BB736,importrange(""https://docs.google.com/spreadsheets/d/1d2vevQ_7D_v35q4wCQ4RpQ_IPoTwEMB9Yp6ymwlPqew/edit?gid=984458430#gid=984458430"", ""'replication success'!A:M""), 12, FAlSE)"),"#N/A")</f>
        <v>#N/A</v>
      </c>
      <c r="BA736" s="61" t="str">
        <f>IFERROR(__xludf.DUMMYFUNCTION("vlookup(BB736,importrange(""https://docs.google.com/spreadsheets/d/1d2vevQ_7D_v35q4wCQ4RpQ_IPoTwEMB9Yp6ymwlPqew/edit?gid=984458430#gid=984458430"", ""'replication success'!A:M""), 13, FAlSE)"),"#N/A")</f>
        <v>#N/A</v>
      </c>
      <c r="BB736" s="61" t="str">
        <f>IFERROR(__xludf.DUMMYFUNCTION("REGEXREPLACE(G736, ""_[a-z]{1,2}$"", """")"),"Boyce_etal2023112")</f>
        <v>Boyce_etal2023112</v>
      </c>
      <c r="BD736" s="68" t="s">
        <v>153</v>
      </c>
    </row>
    <row r="737" ht="20.25" customHeight="1">
      <c r="A737" s="44">
        <v>737.0</v>
      </c>
      <c r="B737" s="111" t="s">
        <v>590</v>
      </c>
      <c r="C737" s="149" t="s">
        <v>115</v>
      </c>
      <c r="D737" s="149" t="s">
        <v>248</v>
      </c>
      <c r="E737" s="71"/>
      <c r="F737" s="122" t="s">
        <v>4022</v>
      </c>
      <c r="G737" s="112" t="s">
        <v>4023</v>
      </c>
      <c r="H737" s="122" t="s">
        <v>249</v>
      </c>
      <c r="I737" s="417">
        <v>45669.0</v>
      </c>
      <c r="J737" s="417">
        <v>45692.0</v>
      </c>
      <c r="K737" s="218" t="s">
        <v>4024</v>
      </c>
      <c r="L737" s="122" t="s">
        <v>4025</v>
      </c>
      <c r="M737" s="122" t="s">
        <v>4026</v>
      </c>
      <c r="N737" s="122" t="s">
        <v>4027</v>
      </c>
      <c r="O737" s="111"/>
      <c r="P737" s="122" t="str">
        <f t="shared" si="37"/>
        <v>10.1177--0956797617728270.pdf</v>
      </c>
      <c r="Q737" s="52" t="str">
        <f t="array" ref="Q737"> if(iserror(MATCH(V737, 'File Links'!C:C, 0)), "N/A", HYPERLINK(INDEX('File Links'!B:B, MATCH(P737, 'File Links'!C:C, 0))))</f>
        <v>https://drive.google.com/file/d/1Oz7Zj6fZnvvCizj-IHEQF-K0o27fi6QN/view?usp=drivesdk</v>
      </c>
      <c r="R737" s="122" t="s">
        <v>3653</v>
      </c>
      <c r="S737" s="122" t="s">
        <v>3654</v>
      </c>
      <c r="T737" s="111"/>
      <c r="U737" s="156">
        <v>1.0</v>
      </c>
      <c r="V737" s="122" t="str">
        <f t="shared" si="40"/>
        <v>10.1098--rsos.231240.pdf</v>
      </c>
      <c r="W737" s="122" t="s">
        <v>3804</v>
      </c>
      <c r="X737" s="54" t="str">
        <f t="array" ref="X737"> if(iserror(MATCH(V737, 'File Links'!C:C, 0)), "N/A", HYPERLINK(INDEX('File Links'!B:B, MATCH(V737, 'File Links'!C:C, 0))))</f>
        <v>https://drive.google.com/file/d/17gaf2Zy_ljFfcAEDk5L8GBnTl5i7RGJE/view?usp=drivesdk</v>
      </c>
      <c r="Y737" s="111"/>
      <c r="Z737" s="122" t="s">
        <v>226</v>
      </c>
      <c r="AA737" s="111"/>
      <c r="AB737" s="111"/>
      <c r="AC737" s="111"/>
      <c r="AD737" s="122" t="s">
        <v>4028</v>
      </c>
      <c r="AE737" s="537">
        <v>5.0</v>
      </c>
      <c r="AF737" s="537">
        <v>600.0</v>
      </c>
      <c r="AG737" s="537">
        <v>0.34</v>
      </c>
      <c r="AH737" s="758" t="s">
        <v>361</v>
      </c>
      <c r="AI737" s="122" t="s">
        <v>882</v>
      </c>
      <c r="AJ737" s="366">
        <v>0.007</v>
      </c>
      <c r="AK737" s="112" t="s">
        <v>172</v>
      </c>
      <c r="AL737" s="112" t="s">
        <v>186</v>
      </c>
      <c r="AM737" s="122" t="s">
        <v>141</v>
      </c>
      <c r="AN737" s="129" t="s">
        <v>138</v>
      </c>
      <c r="AO737" s="537">
        <v>224.0</v>
      </c>
      <c r="AP737" s="122" t="s">
        <v>138</v>
      </c>
      <c r="AQ737" s="111"/>
      <c r="AR737" s="111"/>
      <c r="AS737" s="122" t="s">
        <v>138</v>
      </c>
      <c r="AT737" s="111"/>
      <c r="AU737" s="122" t="s">
        <v>186</v>
      </c>
      <c r="AV737" s="122" t="s">
        <v>141</v>
      </c>
      <c r="AW737" s="111"/>
      <c r="AX737" s="122" t="s">
        <v>143</v>
      </c>
      <c r="AY737" s="61" t="str">
        <f>IFERROR(__xludf.DUMMYFUNCTION("vlookup(BB737,importrange(""https://docs.google.com/spreadsheets/d/1d2vevQ_7D_v35q4wCQ4RpQ_IPoTwEMB9Yp6ymwlPqew/edit?gid=984458430#gid=984458430"", ""'replication success'!A:K""), 11, FAlSE)"),"#N/A")</f>
        <v>#N/A</v>
      </c>
      <c r="AZ737" s="61" t="str">
        <f>IFERROR(__xludf.DUMMYFUNCTION("vlookup(BB737,importrange(""https://docs.google.com/spreadsheets/d/1d2vevQ_7D_v35q4wCQ4RpQ_IPoTwEMB9Yp6ymwlPqew/edit?gid=984458430#gid=984458430"", ""'replication success'!A:M""), 12, FAlSE)"),"#N/A")</f>
        <v>#N/A</v>
      </c>
      <c r="BA737" s="61" t="str">
        <f>IFERROR(__xludf.DUMMYFUNCTION("vlookup(BB737,importrange(""https://docs.google.com/spreadsheets/d/1d2vevQ_7D_v35q4wCQ4RpQ_IPoTwEMB9Yp6ymwlPqew/edit?gid=984458430#gid=984458430"", ""'replication success'!A:M""), 13, FAlSE)"),"#N/A")</f>
        <v>#N/A</v>
      </c>
      <c r="BB737" s="61" t="str">
        <f>IFERROR(__xludf.DUMMYFUNCTION("REGEXREPLACE(G737, ""_[a-z]{1,2}$"", """")"),"Boyce_etal2023113_1")</f>
        <v>Boyce_etal2023113_1</v>
      </c>
      <c r="BC737" s="71"/>
      <c r="BD737" s="111" t="s">
        <v>153</v>
      </c>
      <c r="BE737" s="68"/>
      <c r="BF737" s="68"/>
      <c r="BG737" s="68"/>
      <c r="BH737" s="68"/>
    </row>
    <row r="738" ht="20.25" customHeight="1">
      <c r="A738" s="44">
        <v>738.0</v>
      </c>
      <c r="B738" s="111" t="s">
        <v>590</v>
      </c>
      <c r="C738" s="149" t="s">
        <v>115</v>
      </c>
      <c r="D738" s="149" t="s">
        <v>153</v>
      </c>
      <c r="E738" s="71"/>
      <c r="F738" s="111" t="s">
        <v>4023</v>
      </c>
      <c r="G738" s="112" t="s">
        <v>4029</v>
      </c>
      <c r="H738" s="122" t="s">
        <v>153</v>
      </c>
      <c r="I738" s="417">
        <v>45687.0</v>
      </c>
      <c r="J738" s="417">
        <v>45692.0</v>
      </c>
      <c r="K738" s="1121" t="s">
        <v>4030</v>
      </c>
      <c r="L738" s="122" t="s">
        <v>4025</v>
      </c>
      <c r="M738" s="122" t="s">
        <v>4026</v>
      </c>
      <c r="N738" s="122" t="s">
        <v>4027</v>
      </c>
      <c r="O738" s="537">
        <v>1.0</v>
      </c>
      <c r="P738" s="122" t="str">
        <f t="shared" si="37"/>
        <v>10.1177--0956797617728270.pdf</v>
      </c>
      <c r="Q738" s="52" t="str">
        <f t="array" ref="Q738"> if(iserror(MATCH(V738, 'File Links'!C:C, 0)), "N/A", HYPERLINK(INDEX('File Links'!B:B, MATCH(P738, 'File Links'!C:C, 0))))</f>
        <v>https://drive.google.com/file/d/1Oz7Zj6fZnvvCizj-IHEQF-K0o27fi6QN/view?usp=drivesdk</v>
      </c>
      <c r="R738" s="122" t="s">
        <v>3653</v>
      </c>
      <c r="S738" s="122" t="s">
        <v>3654</v>
      </c>
      <c r="T738" s="111"/>
      <c r="U738" s="156">
        <v>1.0</v>
      </c>
      <c r="V738" s="122" t="str">
        <f t="shared" si="40"/>
        <v>10.1098--rsos.231240.pdf</v>
      </c>
      <c r="W738" s="122" t="s">
        <v>3807</v>
      </c>
      <c r="X738" s="54" t="str">
        <f t="array" ref="X738"> if(iserror(MATCH(V738, 'File Links'!C:C, 0)), "N/A", HYPERLINK(INDEX('File Links'!B:B, MATCH(V738, 'File Links'!C:C, 0))))</f>
        <v>https://drive.google.com/file/d/17gaf2Zy_ljFfcAEDk5L8GBnTl5i7RGJE/view?usp=drivesdk</v>
      </c>
      <c r="Y738" s="111"/>
      <c r="Z738" s="122" t="s">
        <v>226</v>
      </c>
      <c r="AA738" s="122" t="s">
        <v>4031</v>
      </c>
      <c r="AB738" s="122" t="s">
        <v>4032</v>
      </c>
      <c r="AC738" s="122" t="s">
        <v>4033</v>
      </c>
      <c r="AD738" s="122" t="s">
        <v>4034</v>
      </c>
      <c r="AE738" s="537">
        <v>5.0</v>
      </c>
      <c r="AF738" s="537">
        <v>600.0</v>
      </c>
      <c r="AG738" s="537">
        <v>0.34</v>
      </c>
      <c r="AH738" s="537" t="s">
        <v>987</v>
      </c>
      <c r="AI738" s="537" t="s">
        <v>813</v>
      </c>
      <c r="AJ738" s="366">
        <v>0.007</v>
      </c>
      <c r="AK738" s="112" t="s">
        <v>172</v>
      </c>
      <c r="AL738" s="112" t="s">
        <v>186</v>
      </c>
      <c r="AM738" s="122" t="s">
        <v>141</v>
      </c>
      <c r="AN738" s="129" t="s">
        <v>138</v>
      </c>
      <c r="AO738" s="537">
        <v>224.0</v>
      </c>
      <c r="AP738" s="537">
        <v>0.37</v>
      </c>
      <c r="AQ738" s="537" t="s">
        <v>987</v>
      </c>
      <c r="AR738" s="111"/>
      <c r="AS738" s="537">
        <v>0.13</v>
      </c>
      <c r="AT738" s="122" t="s">
        <v>172</v>
      </c>
      <c r="AU738" s="122" t="s">
        <v>186</v>
      </c>
      <c r="AV738" s="122" t="s">
        <v>141</v>
      </c>
      <c r="AW738" s="656" t="s">
        <v>4035</v>
      </c>
      <c r="AX738" s="111" t="s">
        <v>143</v>
      </c>
      <c r="AY738" s="61" t="str">
        <f>IFERROR(__xludf.DUMMYFUNCTION("vlookup(BB738,importrange(""https://docs.google.com/spreadsheets/d/1d2vevQ_7D_v35q4wCQ4RpQ_IPoTwEMB9Yp6ymwlPqew/edit?gid=984458430#gid=984458430"", ""'replication success'!A:K""), 11, FAlSE)"),"#N/A")</f>
        <v>#N/A</v>
      </c>
      <c r="AZ738" s="61" t="str">
        <f>IFERROR(__xludf.DUMMYFUNCTION("vlookup(BB738,importrange(""https://docs.google.com/spreadsheets/d/1d2vevQ_7D_v35q4wCQ4RpQ_IPoTwEMB9Yp6ymwlPqew/edit?gid=984458430#gid=984458430"", ""'replication success'!A:M""), 12, FAlSE)"),"#N/A")</f>
        <v>#N/A</v>
      </c>
      <c r="BA738" s="61" t="str">
        <f>IFERROR(__xludf.DUMMYFUNCTION("vlookup(BB738,importrange(""https://docs.google.com/spreadsheets/d/1d2vevQ_7D_v35q4wCQ4RpQ_IPoTwEMB9Yp6ymwlPqew/edit?gid=984458430#gid=984458430"", ""'replication success'!A:M""), 13, FAlSE)"),"#N/A")</f>
        <v>#N/A</v>
      </c>
      <c r="BB738" s="61" t="str">
        <f>IFERROR(__xludf.DUMMYFUNCTION("REGEXREPLACE(G738, ""_[a-z]{1,2}$"", """")"),"Boyce_etal2023113")</f>
        <v>Boyce_etal2023113</v>
      </c>
      <c r="BC738" s="71"/>
      <c r="BD738" s="111" t="s">
        <v>153</v>
      </c>
    </row>
    <row r="739" ht="20.25" customHeight="1">
      <c r="A739" s="44">
        <v>739.0</v>
      </c>
      <c r="B739" s="111" t="s">
        <v>114</v>
      </c>
      <c r="C739" s="149" t="s">
        <v>115</v>
      </c>
      <c r="D739" s="149" t="s">
        <v>153</v>
      </c>
      <c r="E739" s="71"/>
      <c r="F739" s="111" t="s">
        <v>4023</v>
      </c>
      <c r="G739" s="112" t="s">
        <v>4036</v>
      </c>
      <c r="H739" s="122" t="s">
        <v>153</v>
      </c>
      <c r="I739" s="417">
        <v>45687.0</v>
      </c>
      <c r="J739" s="417">
        <v>45692.0</v>
      </c>
      <c r="K739" s="1121" t="s">
        <v>4037</v>
      </c>
      <c r="L739" s="111"/>
      <c r="M739" s="122" t="s">
        <v>4026</v>
      </c>
      <c r="N739" s="122" t="s">
        <v>4027</v>
      </c>
      <c r="O739" s="537">
        <v>1.0</v>
      </c>
      <c r="P739" s="122" t="str">
        <f t="shared" si="37"/>
        <v>10.1177--0956797617728270.pdf</v>
      </c>
      <c r="Q739" s="52" t="str">
        <f t="array" ref="Q739"> if(iserror(MATCH(V739, 'File Links'!C:C, 0)), "N/A", HYPERLINK(INDEX('File Links'!B:B, MATCH(P739, 'File Links'!C:C, 0))))</f>
        <v>https://drive.google.com/file/d/1Oz7Zj6fZnvvCizj-IHEQF-K0o27fi6QN/view?usp=drivesdk</v>
      </c>
      <c r="R739" s="122" t="s">
        <v>3653</v>
      </c>
      <c r="S739" s="122" t="s">
        <v>3654</v>
      </c>
      <c r="T739" s="111"/>
      <c r="U739" s="156">
        <v>1.0</v>
      </c>
      <c r="V739" s="122" t="str">
        <f t="shared" si="40"/>
        <v>10.1098--rsos.231240.pdf</v>
      </c>
      <c r="W739" s="122" t="s">
        <v>3807</v>
      </c>
      <c r="X739" s="54" t="str">
        <f t="array" ref="X739"> if(iserror(MATCH(V739, 'File Links'!C:C, 0)), "N/A", HYPERLINK(INDEX('File Links'!B:B, MATCH(V739, 'File Links'!C:C, 0))))</f>
        <v>https://drive.google.com/file/d/17gaf2Zy_ljFfcAEDk5L8GBnTl5i7RGJE/view?usp=drivesdk</v>
      </c>
      <c r="Y739" s="111"/>
      <c r="Z739" s="122" t="s">
        <v>226</v>
      </c>
      <c r="AA739" s="122" t="s">
        <v>4031</v>
      </c>
      <c r="AB739" s="122" t="s">
        <v>4032</v>
      </c>
      <c r="AC739" s="122" t="s">
        <v>4038</v>
      </c>
      <c r="AD739" s="122" t="s">
        <v>4039</v>
      </c>
      <c r="AE739" s="1109">
        <v>5.0</v>
      </c>
      <c r="AF739" s="537">
        <v>600.0</v>
      </c>
      <c r="AG739" s="1109">
        <v>0.8</v>
      </c>
      <c r="AH739" s="537" t="s">
        <v>987</v>
      </c>
      <c r="AI739" s="1109" t="s">
        <v>813</v>
      </c>
      <c r="AJ739" s="1110">
        <v>0.001</v>
      </c>
      <c r="AK739" s="112" t="s">
        <v>135</v>
      </c>
      <c r="AL739" s="112" t="s">
        <v>186</v>
      </c>
      <c r="AM739" s="122" t="s">
        <v>141</v>
      </c>
      <c r="AN739" s="129" t="s">
        <v>138</v>
      </c>
      <c r="AO739" s="537">
        <v>224.0</v>
      </c>
      <c r="AP739" s="1109">
        <v>0.24</v>
      </c>
      <c r="AQ739" s="537" t="s">
        <v>987</v>
      </c>
      <c r="AR739" s="111"/>
      <c r="AS739" s="537">
        <v>0.21</v>
      </c>
      <c r="AT739" s="122" t="s">
        <v>172</v>
      </c>
      <c r="AU739" s="122" t="s">
        <v>136</v>
      </c>
      <c r="AV739" s="111" t="s">
        <v>137</v>
      </c>
      <c r="AW739" s="656" t="s">
        <v>4035</v>
      </c>
      <c r="AX739" s="111" t="s">
        <v>143</v>
      </c>
      <c r="AY739" s="61" t="str">
        <f>IFERROR(__xludf.DUMMYFUNCTION("vlookup(BB739,importrange(""https://docs.google.com/spreadsheets/d/1d2vevQ_7D_v35q4wCQ4RpQ_IPoTwEMB9Yp6ymwlPqew/edit?gid=984458430#gid=984458430"", ""'replication success'!A:K""), 11, FAlSE)"),"#N/A")</f>
        <v>#N/A</v>
      </c>
      <c r="AZ739" s="61" t="str">
        <f>IFERROR(__xludf.DUMMYFUNCTION("vlookup(BB739,importrange(""https://docs.google.com/spreadsheets/d/1d2vevQ_7D_v35q4wCQ4RpQ_IPoTwEMB9Yp6ymwlPqew/edit?gid=984458430#gid=984458430"", ""'replication success'!A:M""), 12, FAlSE)"),"#N/A")</f>
        <v>#N/A</v>
      </c>
      <c r="BA739" s="61" t="str">
        <f>IFERROR(__xludf.DUMMYFUNCTION("vlookup(BB739,importrange(""https://docs.google.com/spreadsheets/d/1d2vevQ_7D_v35q4wCQ4RpQ_IPoTwEMB9Yp6ymwlPqew/edit?gid=984458430#gid=984458430"", ""'replication success'!A:M""), 13, FAlSE)"),"#N/A")</f>
        <v>#N/A</v>
      </c>
      <c r="BB739" s="61" t="str">
        <f>IFERROR(__xludf.DUMMYFUNCTION("REGEXREPLACE(G739, ""_[a-z]{1,2}$"", """")"),"Boyce_etal2023113")</f>
        <v>Boyce_etal2023113</v>
      </c>
      <c r="BC739" s="71"/>
      <c r="BD739" s="111" t="s">
        <v>153</v>
      </c>
      <c r="BE739" s="468"/>
    </row>
    <row r="740" ht="20.25" customHeight="1">
      <c r="A740" s="44">
        <v>740.0</v>
      </c>
      <c r="B740" s="190" t="s">
        <v>114</v>
      </c>
      <c r="C740" s="188" t="s">
        <v>115</v>
      </c>
      <c r="D740" s="188" t="s">
        <v>248</v>
      </c>
      <c r="E740" s="189"/>
      <c r="F740" s="198" t="s">
        <v>4040</v>
      </c>
      <c r="G740" s="58" t="s">
        <v>4041</v>
      </c>
      <c r="H740" s="198" t="s">
        <v>249</v>
      </c>
      <c r="I740" s="191">
        <v>45669.0</v>
      </c>
      <c r="J740" s="1086">
        <v>45722.0</v>
      </c>
      <c r="K740" s="369" t="s">
        <v>4042</v>
      </c>
      <c r="L740" s="198" t="s">
        <v>3690</v>
      </c>
      <c r="M740" s="198" t="s">
        <v>4043</v>
      </c>
      <c r="N740" s="198" t="s">
        <v>4044</v>
      </c>
      <c r="O740" s="190"/>
      <c r="P740" s="198" t="str">
        <f t="shared" si="37"/>
        <v>10.1073--pnas.1118373109.pdf</v>
      </c>
      <c r="Q740" s="52" t="str">
        <f t="array" ref="Q740"> if(iserror(MATCH(V740, 'File Links'!C:C, 0)), "N/A", HYPERLINK(INDEX('File Links'!B:B, MATCH(P740, 'File Links'!C:C, 0))))</f>
        <v>https://drive.google.com/file/d/1Q984rmQXqbwrrnMY-wB5jcpYKEpb-2Qg/view?usp=drivesdk</v>
      </c>
      <c r="R740" s="198" t="s">
        <v>3653</v>
      </c>
      <c r="S740" s="198" t="s">
        <v>3654</v>
      </c>
      <c r="T740" s="190"/>
      <c r="U740" s="156">
        <v>1.0</v>
      </c>
      <c r="V740" s="198" t="str">
        <f t="shared" si="40"/>
        <v>10.1098--rsos.231240.pdf</v>
      </c>
      <c r="W740" s="198" t="s">
        <v>3804</v>
      </c>
      <c r="X740" s="54" t="str">
        <f t="array" ref="X740"> if(iserror(MATCH(V740, 'File Links'!C:C, 0)), "N/A", HYPERLINK(INDEX('File Links'!B:B, MATCH(V740, 'File Links'!C:C, 0))))</f>
        <v>https://drive.google.com/file/d/17gaf2Zy_ljFfcAEDk5L8GBnTl5i7RGJE/view?usp=drivesdk</v>
      </c>
      <c r="Y740" s="190"/>
      <c r="Z740" s="198" t="s">
        <v>226</v>
      </c>
      <c r="AA740" s="190"/>
      <c r="AB740" s="190"/>
      <c r="AC740" s="190"/>
      <c r="AD740" s="198" t="s">
        <v>4045</v>
      </c>
      <c r="AE740" s="758">
        <v>4088.0</v>
      </c>
      <c r="AF740" s="758">
        <v>80.0</v>
      </c>
      <c r="AG740" s="758">
        <v>-0.24</v>
      </c>
      <c r="AH740" s="198" t="s">
        <v>987</v>
      </c>
      <c r="AI740" s="198" t="s">
        <v>4046</v>
      </c>
      <c r="AJ740" s="1122">
        <v>0.003</v>
      </c>
      <c r="AK740" s="58" t="s">
        <v>135</v>
      </c>
      <c r="AL740" s="58" t="s">
        <v>186</v>
      </c>
      <c r="AM740" s="198" t="s">
        <v>141</v>
      </c>
      <c r="AN740" s="129" t="s">
        <v>138</v>
      </c>
      <c r="AO740" s="758">
        <v>84.0</v>
      </c>
      <c r="AP740" s="198" t="s">
        <v>138</v>
      </c>
      <c r="AQ740" s="190"/>
      <c r="AR740" s="190"/>
      <c r="AS740" s="198" t="s">
        <v>138</v>
      </c>
      <c r="AT740" s="190"/>
      <c r="AU740" s="198" t="s">
        <v>186</v>
      </c>
      <c r="AV740" s="198" t="s">
        <v>141</v>
      </c>
      <c r="AW740" s="374" t="s">
        <v>138</v>
      </c>
      <c r="AX740" s="198" t="s">
        <v>143</v>
      </c>
      <c r="AY740" s="61" t="str">
        <f>IFERROR(__xludf.DUMMYFUNCTION("vlookup(BB740,importrange(""https://docs.google.com/spreadsheets/d/1d2vevQ_7D_v35q4wCQ4RpQ_IPoTwEMB9Yp6ymwlPqew/edit?gid=984458430#gid=984458430"", ""'replication success'!A:K""), 11, FAlSE)"),"#N/A")</f>
        <v>#N/A</v>
      </c>
      <c r="AZ740" s="61" t="str">
        <f>IFERROR(__xludf.DUMMYFUNCTION("vlookup(BB740,importrange(""https://docs.google.com/spreadsheets/d/1d2vevQ_7D_v35q4wCQ4RpQ_IPoTwEMB9Yp6ymwlPqew/edit?gid=984458430#gid=984458430"", ""'replication success'!A:M""), 12, FAlSE)"),"#N/A")</f>
        <v>#N/A</v>
      </c>
      <c r="BA740" s="61" t="str">
        <f>IFERROR(__xludf.DUMMYFUNCTION("vlookup(BB740,importrange(""https://docs.google.com/spreadsheets/d/1d2vevQ_7D_v35q4wCQ4RpQ_IPoTwEMB9Yp6ymwlPqew/edit?gid=984458430#gid=984458430"", ""'replication success'!A:M""), 13, FAlSE)"),"#N/A")</f>
        <v>#N/A</v>
      </c>
      <c r="BB740" s="61" t="str">
        <f>IFERROR(__xludf.DUMMYFUNCTION("REGEXREPLACE(G740, ""_[a-z]{1,2}$"", """")"),"Boyce_etal2023114_1")</f>
        <v>Boyce_etal2023114_1</v>
      </c>
      <c r="BC740" s="189"/>
      <c r="BD740" s="374" t="s">
        <v>3763</v>
      </c>
      <c r="BE740" s="484"/>
    </row>
    <row r="741" ht="20.25" customHeight="1">
      <c r="A741" s="44">
        <v>741.0</v>
      </c>
      <c r="B741" s="374" t="s">
        <v>114</v>
      </c>
      <c r="C741" s="188" t="s">
        <v>115</v>
      </c>
      <c r="D741" s="188" t="s">
        <v>153</v>
      </c>
      <c r="E741" s="1063" t="s">
        <v>3920</v>
      </c>
      <c r="F741" s="198" t="s">
        <v>4040</v>
      </c>
      <c r="G741" s="58" t="s">
        <v>4041</v>
      </c>
      <c r="H741" s="704" t="s">
        <v>3921</v>
      </c>
      <c r="I741" s="191">
        <v>45669.0</v>
      </c>
      <c r="J741" s="1086">
        <v>45722.0</v>
      </c>
      <c r="K741" s="369" t="s">
        <v>4047</v>
      </c>
      <c r="L741" s="198" t="s">
        <v>3690</v>
      </c>
      <c r="M741" s="198" t="s">
        <v>4043</v>
      </c>
      <c r="N741" s="198" t="s">
        <v>4044</v>
      </c>
      <c r="O741" s="190"/>
      <c r="P741" s="198" t="str">
        <f t="shared" si="37"/>
        <v>10.1073--pnas.1118373109.pdf</v>
      </c>
      <c r="Q741" s="52" t="str">
        <f t="array" ref="Q741"> if(iserror(MATCH(V741, 'File Links'!C:C, 0)), "N/A", HYPERLINK(INDEX('File Links'!B:B, MATCH(P741, 'File Links'!C:C, 0))))</f>
        <v>https://drive.google.com/file/d/1Q984rmQXqbwrrnMY-wB5jcpYKEpb-2Qg/view?usp=drivesdk</v>
      </c>
      <c r="R741" s="198" t="s">
        <v>4048</v>
      </c>
      <c r="S741" s="198" t="s">
        <v>4049</v>
      </c>
      <c r="T741" s="190"/>
      <c r="U741" s="156">
        <v>1.0</v>
      </c>
      <c r="V741" s="198" t="s">
        <v>3658</v>
      </c>
      <c r="W741" s="198" t="s">
        <v>3804</v>
      </c>
      <c r="X741" s="54" t="str">
        <f t="array" ref="X741"> if(iserror(MATCH(V741, 'File Links'!C:C, 0)), "N/A", HYPERLINK(INDEX('File Links'!B:B, MATCH(V741, 'File Links'!C:C, 0))))</f>
        <v>https://drive.google.com/file/d/17gaf2Zy_ljFfcAEDk5L8GBnTl5i7RGJE/view?usp=drivesdk</v>
      </c>
      <c r="Y741" s="190" t="s">
        <v>4050</v>
      </c>
      <c r="Z741" s="190"/>
      <c r="AA741" s="190"/>
      <c r="AB741" s="190"/>
      <c r="AC741" s="190"/>
      <c r="AD741" s="190"/>
      <c r="AE741" s="190"/>
      <c r="AF741" s="190"/>
      <c r="AG741" s="190"/>
      <c r="AH741" s="190"/>
      <c r="AI741" s="190"/>
      <c r="AJ741" s="195"/>
      <c r="AK741" s="193"/>
      <c r="AL741" s="193"/>
      <c r="AM741" s="190"/>
      <c r="AN741" s="129" t="s">
        <v>138</v>
      </c>
      <c r="AO741" s="190"/>
      <c r="AP741" s="190"/>
      <c r="AQ741" s="190"/>
      <c r="AR741" s="190"/>
      <c r="AS741" s="190"/>
      <c r="AT741" s="190"/>
      <c r="AU741" s="190"/>
      <c r="AV741" s="190"/>
      <c r="AW741" s="374" t="s">
        <v>138</v>
      </c>
      <c r="AX741" s="190"/>
      <c r="AY741" s="61" t="str">
        <f>IFERROR(__xludf.DUMMYFUNCTION("vlookup(BB741,importrange(""https://docs.google.com/spreadsheets/d/1d2vevQ_7D_v35q4wCQ4RpQ_IPoTwEMB9Yp6ymwlPqew/edit?gid=984458430#gid=984458430"", ""'replication success'!A:K""), 11, FAlSE)"),"#N/A")</f>
        <v>#N/A</v>
      </c>
      <c r="AZ741" s="61" t="str">
        <f>IFERROR(__xludf.DUMMYFUNCTION("vlookup(BB741,importrange(""https://docs.google.com/spreadsheets/d/1d2vevQ_7D_v35q4wCQ4RpQ_IPoTwEMB9Yp6ymwlPqew/edit?gid=984458430#gid=984458430"", ""'replication success'!A:M""), 12, FAlSE)"),"#N/A")</f>
        <v>#N/A</v>
      </c>
      <c r="BA741" s="61" t="str">
        <f>IFERROR(__xludf.DUMMYFUNCTION("vlookup(BB741,importrange(""https://docs.google.com/spreadsheets/d/1d2vevQ_7D_v35q4wCQ4RpQ_IPoTwEMB9Yp6ymwlPqew/edit?gid=984458430#gid=984458430"", ""'replication success'!A:M""), 13, FAlSE)"),"#N/A")</f>
        <v>#N/A</v>
      </c>
      <c r="BB741" s="61" t="str">
        <f>IFERROR(__xludf.DUMMYFUNCTION("REGEXREPLACE(G741, ""_[a-z]{1,2}$"", """")"),"Boyce_etal2023114_1")</f>
        <v>Boyce_etal2023114_1</v>
      </c>
      <c r="BC741" s="189"/>
      <c r="BD741" s="374" t="s">
        <v>3763</v>
      </c>
      <c r="BE741" s="1123"/>
      <c r="BF741" s="1123"/>
      <c r="BG741" s="1123"/>
      <c r="BH741" s="1123"/>
      <c r="BI741" s="1123"/>
      <c r="BJ741" s="1123"/>
      <c r="BK741" s="1123"/>
      <c r="BL741" s="1123"/>
      <c r="BM741" s="1123"/>
      <c r="BN741" s="1123"/>
      <c r="BO741" s="1123"/>
      <c r="BP741" s="1123"/>
      <c r="BQ741" s="1123"/>
      <c r="BR741" s="1123"/>
      <c r="BS741" s="1123"/>
      <c r="BT741" s="1123"/>
      <c r="BU741" s="1123"/>
      <c r="BV741" s="1123"/>
      <c r="BW741" s="1123"/>
      <c r="BX741" s="1123"/>
      <c r="BY741" s="1123"/>
      <c r="BZ741" s="1123"/>
      <c r="CA741" s="1123"/>
      <c r="CB741" s="1123"/>
      <c r="CC741" s="1123"/>
      <c r="CD741" s="1123"/>
      <c r="CE741" s="1123"/>
      <c r="CF741" s="1123"/>
      <c r="CG741" s="1123"/>
      <c r="CH741" s="1123"/>
      <c r="CI741" s="1123"/>
      <c r="CJ741" s="1123"/>
      <c r="CK741" s="1123"/>
      <c r="CL741" s="1123"/>
      <c r="CM741" s="1123"/>
      <c r="CN741" s="1123"/>
      <c r="CO741" s="1123"/>
      <c r="CP741" s="1123"/>
      <c r="CQ741" s="1123"/>
      <c r="CR741" s="1123"/>
      <c r="CS741" s="1123"/>
      <c r="CT741" s="1123"/>
      <c r="CU741" s="1123"/>
      <c r="CV741" s="1123"/>
      <c r="CW741" s="1123"/>
      <c r="CX741" s="1123"/>
      <c r="CY741" s="1123"/>
      <c r="CZ741" s="1123"/>
      <c r="DA741" s="1123"/>
      <c r="DB741" s="1123"/>
      <c r="DC741" s="1123"/>
      <c r="DD741" s="1123"/>
      <c r="DE741" s="1123"/>
      <c r="DF741" s="1123"/>
      <c r="DG741" s="1123"/>
      <c r="DH741" s="1123"/>
      <c r="DI741" s="1123"/>
      <c r="DJ741" s="1123"/>
      <c r="DK741" s="1123"/>
      <c r="DL741" s="1123"/>
    </row>
    <row r="742" ht="20.25" customHeight="1">
      <c r="A742" s="44">
        <v>742.0</v>
      </c>
      <c r="B742" s="1124" t="s">
        <v>152</v>
      </c>
      <c r="C742" s="188" t="s">
        <v>115</v>
      </c>
      <c r="D742" s="188" t="s">
        <v>153</v>
      </c>
      <c r="E742" s="189"/>
      <c r="F742" s="190" t="s">
        <v>4041</v>
      </c>
      <c r="G742" s="58" t="s">
        <v>4040</v>
      </c>
      <c r="H742" s="198" t="s">
        <v>153</v>
      </c>
      <c r="I742" s="191">
        <v>45687.0</v>
      </c>
      <c r="J742" s="1086">
        <v>45722.0</v>
      </c>
      <c r="K742" s="190"/>
      <c r="L742" s="794" t="s">
        <v>4051</v>
      </c>
      <c r="M742" s="198" t="s">
        <v>4043</v>
      </c>
      <c r="N742" s="198" t="s">
        <v>4044</v>
      </c>
      <c r="O742" s="758">
        <v>7.0</v>
      </c>
      <c r="P742" s="198" t="str">
        <f t="shared" si="37"/>
        <v>10.1073--pnas.1118373109.pdf</v>
      </c>
      <c r="Q742" s="52" t="str">
        <f t="array" ref="Q742"> if(iserror(MATCH(V742, 'File Links'!C:C, 0)), "N/A", HYPERLINK(INDEX('File Links'!B:B, MATCH(P742, 'File Links'!C:C, 0))))</f>
        <v>https://drive.google.com/file/d/1Q984rmQXqbwrrnMY-wB5jcpYKEpb-2Qg/view?usp=drivesdk</v>
      </c>
      <c r="R742" s="198" t="s">
        <v>3653</v>
      </c>
      <c r="S742" s="198" t="s">
        <v>3654</v>
      </c>
      <c r="T742" s="190"/>
      <c r="U742" s="156">
        <v>1.0</v>
      </c>
      <c r="V742" s="198" t="str">
        <f t="shared" ref="V742:V760" si="41"> hyperlink(vlookup(lower(S742),#REF!, 2, FALSE), SUBSTITUTE(lower(S742), "/", "--") &amp;  ".pdf")</f>
        <v>10.1098--rsos.231240.pdf</v>
      </c>
      <c r="W742" s="198" t="s">
        <v>3807</v>
      </c>
      <c r="X742" s="54" t="str">
        <f t="array" ref="X742"> if(iserror(MATCH(V742, 'File Links'!C:C, 0)), "N/A", HYPERLINK(INDEX('File Links'!B:B, MATCH(V742, 'File Links'!C:C, 0))))</f>
        <v>https://drive.google.com/file/d/17gaf2Zy_ljFfcAEDk5L8GBnTl5i7RGJE/view?usp=drivesdk</v>
      </c>
      <c r="Y742" s="190"/>
      <c r="Z742" s="198" t="s">
        <v>226</v>
      </c>
      <c r="AA742" s="198" t="s">
        <v>4052</v>
      </c>
      <c r="AB742" s="198" t="s">
        <v>4053</v>
      </c>
      <c r="AC742" s="198" t="s">
        <v>4054</v>
      </c>
      <c r="AD742" s="198" t="s">
        <v>4055</v>
      </c>
      <c r="AE742" s="758">
        <v>3.0</v>
      </c>
      <c r="AF742" s="758">
        <v>90.0</v>
      </c>
      <c r="AG742" s="758">
        <v>0.58</v>
      </c>
      <c r="AH742" s="758" t="s">
        <v>173</v>
      </c>
      <c r="AI742" s="758" t="s">
        <v>217</v>
      </c>
      <c r="AJ742" s="875">
        <v>0.58</v>
      </c>
      <c r="AK742" s="58" t="s">
        <v>172</v>
      </c>
      <c r="AL742" s="58" t="s">
        <v>186</v>
      </c>
      <c r="AM742" s="198" t="s">
        <v>141</v>
      </c>
      <c r="AN742" s="374" t="s">
        <v>138</v>
      </c>
      <c r="AO742" s="758">
        <v>84.0</v>
      </c>
      <c r="AP742" s="758" t="s">
        <v>4056</v>
      </c>
      <c r="AQ742" s="758" t="s">
        <v>134</v>
      </c>
      <c r="AR742" s="1125" t="s">
        <v>4057</v>
      </c>
      <c r="AS742" s="758">
        <v>0.66</v>
      </c>
      <c r="AT742" s="198" t="s">
        <v>172</v>
      </c>
      <c r="AU742" s="198" t="s">
        <v>186</v>
      </c>
      <c r="AV742" s="198" t="s">
        <v>141</v>
      </c>
      <c r="AW742" s="1126" t="s">
        <v>138</v>
      </c>
      <c r="AX742" s="190" t="s">
        <v>143</v>
      </c>
      <c r="AY742" s="61" t="str">
        <f>IFERROR(__xludf.DUMMYFUNCTION("vlookup(BB742,importrange(""https://docs.google.com/spreadsheets/d/1d2vevQ_7D_v35q4wCQ4RpQ_IPoTwEMB9Yp6ymwlPqew/edit?gid=984458430#gid=984458430"", ""'replication success'!A:K""), 11, FAlSE)"),"failed")</f>
        <v>failed</v>
      </c>
      <c r="AZ742" s="61" t="str">
        <f>IFERROR(__xludf.DUMMYFUNCTION("vlookup(BB742,importrange(""https://docs.google.com/spreadsheets/d/1d2vevQ_7D_v35q4wCQ4RpQ_IPoTwEMB9Yp6ymwlPqew/edit?gid=984458430#gid=984458430"", ""'replication success'!A:M""), 12, FAlSE)"),"The current study did not replicate Piff et al.’s findings, which may be a 
reflection of the reliability of measures or the generalizability to other populations.  ")</f>
        <v>The current study did not replicate Piff et al.’s findings, which may be a 
reflection of the reliability of measures or the generalizability to other populations.  </v>
      </c>
      <c r="BA742" s="91" t="str">
        <f>IFERROR(__xludf.DUMMYFUNCTION("vlookup(BB742,importrange(""https://docs.google.com/spreadsheets/d/1d2vevQ_7D_v35q4wCQ4RpQ_IPoTwEMB9Yp6ymwlPqew/edit?gid=984458430#gid=984458430"", ""'replication success'!A:M""), 13, FAlSE)"),"Abstract of https://osf.io/rjxwe")</f>
        <v>Abstract of https://osf.io/rjxwe</v>
      </c>
      <c r="BB742" s="61" t="str">
        <f>IFERROR(__xludf.DUMMYFUNCTION("REGEXREPLACE(G742, ""_[a-z]{1,2}$"", """")"),"Boyce_etal2023114")</f>
        <v>Boyce_etal2023114</v>
      </c>
      <c r="BC742" s="189"/>
      <c r="BD742" s="374" t="s">
        <v>3763</v>
      </c>
      <c r="BE742" s="342"/>
      <c r="BF742" s="342"/>
      <c r="BG742" s="342"/>
      <c r="BH742" s="342"/>
      <c r="BI742" s="342"/>
      <c r="BJ742" s="342"/>
      <c r="BK742" s="342"/>
      <c r="BL742" s="342"/>
      <c r="BM742" s="342"/>
      <c r="BN742" s="342"/>
      <c r="BO742" s="342"/>
      <c r="BP742" s="342"/>
      <c r="BQ742" s="342"/>
      <c r="BR742" s="342"/>
      <c r="BS742" s="342"/>
      <c r="BT742" s="342"/>
      <c r="BU742" s="342"/>
      <c r="BV742" s="342"/>
      <c r="BW742" s="342"/>
      <c r="BX742" s="342"/>
      <c r="BY742" s="342"/>
      <c r="BZ742" s="342"/>
      <c r="CA742" s="342"/>
      <c r="CB742" s="342"/>
      <c r="CC742" s="342"/>
      <c r="CD742" s="342"/>
      <c r="CE742" s="342"/>
      <c r="CF742" s="342"/>
      <c r="CG742" s="342"/>
      <c r="CH742" s="342"/>
      <c r="CI742" s="342"/>
      <c r="CJ742" s="342"/>
      <c r="CK742" s="342"/>
      <c r="CL742" s="342"/>
      <c r="CM742" s="342"/>
      <c r="CN742" s="342"/>
      <c r="CO742" s="342"/>
      <c r="CP742" s="342"/>
      <c r="CQ742" s="342"/>
      <c r="CR742" s="342"/>
      <c r="CS742" s="342"/>
      <c r="CT742" s="342"/>
      <c r="CU742" s="342"/>
      <c r="CV742" s="342"/>
      <c r="CW742" s="342"/>
      <c r="CX742" s="342"/>
      <c r="CY742" s="342"/>
      <c r="CZ742" s="342"/>
      <c r="DA742" s="342"/>
      <c r="DB742" s="342"/>
      <c r="DC742" s="342"/>
      <c r="DD742" s="342"/>
      <c r="DE742" s="342"/>
      <c r="DF742" s="342"/>
      <c r="DG742" s="342"/>
      <c r="DH742" s="342"/>
      <c r="DI742" s="342"/>
      <c r="DJ742" s="342"/>
      <c r="DK742" s="342"/>
      <c r="DL742" s="342"/>
    </row>
    <row r="743" ht="20.25" customHeight="1">
      <c r="A743" s="44">
        <v>743.0</v>
      </c>
      <c r="B743" s="1127" t="s">
        <v>152</v>
      </c>
      <c r="C743" s="188" t="s">
        <v>115</v>
      </c>
      <c r="D743" s="188" t="s">
        <v>153</v>
      </c>
      <c r="E743" s="189"/>
      <c r="F743" s="190" t="s">
        <v>4041</v>
      </c>
      <c r="G743" s="58" t="s">
        <v>4058</v>
      </c>
      <c r="H743" s="198" t="s">
        <v>153</v>
      </c>
      <c r="I743" s="191">
        <v>45687.0</v>
      </c>
      <c r="J743" s="1086">
        <v>45722.0</v>
      </c>
      <c r="K743" s="190"/>
      <c r="L743" s="794" t="s">
        <v>4059</v>
      </c>
      <c r="M743" s="198" t="s">
        <v>4043</v>
      </c>
      <c r="N743" s="198" t="s">
        <v>4044</v>
      </c>
      <c r="O743" s="758">
        <v>7.0</v>
      </c>
      <c r="P743" s="198" t="str">
        <f t="shared" si="37"/>
        <v>10.1073--pnas.1118373109.pdf</v>
      </c>
      <c r="Q743" s="52" t="str">
        <f t="array" ref="Q743"> if(iserror(MATCH(V743, 'File Links'!C:C, 0)), "N/A", HYPERLINK(INDEX('File Links'!B:B, MATCH(P743, 'File Links'!C:C, 0))))</f>
        <v>https://drive.google.com/file/d/1Q984rmQXqbwrrnMY-wB5jcpYKEpb-2Qg/view?usp=drivesdk</v>
      </c>
      <c r="R743" s="198" t="s">
        <v>3653</v>
      </c>
      <c r="S743" s="198" t="s">
        <v>3654</v>
      </c>
      <c r="T743" s="190"/>
      <c r="U743" s="156">
        <v>1.0</v>
      </c>
      <c r="V743" s="198" t="str">
        <f t="shared" si="41"/>
        <v>10.1098--rsos.231240.pdf</v>
      </c>
      <c r="W743" s="198" t="s">
        <v>3807</v>
      </c>
      <c r="X743" s="54" t="str">
        <f t="array" ref="X743"> if(iserror(MATCH(V743, 'File Links'!C:C, 0)), "N/A", HYPERLINK(INDEX('File Links'!B:B, MATCH(V743, 'File Links'!C:C, 0))))</f>
        <v>https://drive.google.com/file/d/17gaf2Zy_ljFfcAEDk5L8GBnTl5i7RGJE/view?usp=drivesdk</v>
      </c>
      <c r="Y743" s="190"/>
      <c r="Z743" s="198" t="s">
        <v>226</v>
      </c>
      <c r="AA743" s="198" t="s">
        <v>4052</v>
      </c>
      <c r="AB743" s="198" t="s">
        <v>4053</v>
      </c>
      <c r="AC743" s="198" t="s">
        <v>4060</v>
      </c>
      <c r="AD743" s="198" t="s">
        <v>4061</v>
      </c>
      <c r="AE743" s="750">
        <v>3.0</v>
      </c>
      <c r="AF743" s="758">
        <v>90.0</v>
      </c>
      <c r="AG743" s="750">
        <v>0.13</v>
      </c>
      <c r="AH743" s="758" t="s">
        <v>987</v>
      </c>
      <c r="AI743" s="750" t="s">
        <v>217</v>
      </c>
      <c r="AJ743" s="1128">
        <v>0.05</v>
      </c>
      <c r="AK743" s="58" t="s">
        <v>135</v>
      </c>
      <c r="AL743" s="58" t="s">
        <v>186</v>
      </c>
      <c r="AM743" s="198" t="s">
        <v>141</v>
      </c>
      <c r="AN743" s="374" t="s">
        <v>138</v>
      </c>
      <c r="AO743" s="758">
        <v>84.0</v>
      </c>
      <c r="AP743" s="750" t="s">
        <v>4062</v>
      </c>
      <c r="AQ743" s="758" t="s">
        <v>134</v>
      </c>
      <c r="AR743" s="1125" t="s">
        <v>4063</v>
      </c>
      <c r="AS743" s="758">
        <v>0.08</v>
      </c>
      <c r="AT743" s="198" t="s">
        <v>172</v>
      </c>
      <c r="AU743" s="198" t="s">
        <v>186</v>
      </c>
      <c r="AV743" s="198" t="s">
        <v>141</v>
      </c>
      <c r="AW743" s="1126" t="s">
        <v>138</v>
      </c>
      <c r="AX743" s="190" t="s">
        <v>143</v>
      </c>
      <c r="AY743" s="61" t="str">
        <f>IFERROR(__xludf.DUMMYFUNCTION("vlookup(BB743,importrange(""https://docs.google.com/spreadsheets/d/1d2vevQ_7D_v35q4wCQ4RpQ_IPoTwEMB9Yp6ymwlPqew/edit?gid=984458430#gid=984458430"", ""'replication success'!A:K""), 11, FAlSE)"),"failed")</f>
        <v>failed</v>
      </c>
      <c r="AZ743" s="61" t="str">
        <f>IFERROR(__xludf.DUMMYFUNCTION("vlookup(BB743,importrange(""https://docs.google.com/spreadsheets/d/1d2vevQ_7D_v35q4wCQ4RpQ_IPoTwEMB9Yp6ymwlPqew/edit?gid=984458430#gid=984458430"", ""'replication success'!A:M""), 12, FAlSE)"),"The current study did not replicate Piff et al.’s findings, which may be a 
reflection of the reliability of measures or the generalizability to other populations.  ")</f>
        <v>The current study did not replicate Piff et al.’s findings, which may be a 
reflection of the reliability of measures or the generalizability to other populations.  </v>
      </c>
      <c r="BA743" s="91" t="str">
        <f>IFERROR(__xludf.DUMMYFUNCTION("vlookup(BB743,importrange(""https://docs.google.com/spreadsheets/d/1d2vevQ_7D_v35q4wCQ4RpQ_IPoTwEMB9Yp6ymwlPqew/edit?gid=984458430#gid=984458430"", ""'replication success'!A:M""), 13, FAlSE)"),"Abstract of https://osf.io/rjxwe")</f>
        <v>Abstract of https://osf.io/rjxwe</v>
      </c>
      <c r="BB743" s="61" t="str">
        <f>IFERROR(__xludf.DUMMYFUNCTION("REGEXREPLACE(G743, ""_[a-z]{1,2}$"", """")"),"Boyce_etal2023114")</f>
        <v>Boyce_etal2023114</v>
      </c>
      <c r="BC743" s="189"/>
      <c r="BD743" s="374" t="s">
        <v>3763</v>
      </c>
      <c r="BE743" s="342"/>
      <c r="BF743" s="342"/>
      <c r="BG743" s="342"/>
      <c r="BH743" s="342"/>
      <c r="BI743" s="342"/>
      <c r="BJ743" s="342"/>
      <c r="BK743" s="342"/>
      <c r="BL743" s="342"/>
      <c r="BM743" s="342"/>
      <c r="BN743" s="342"/>
      <c r="BO743" s="342"/>
      <c r="BP743" s="342"/>
      <c r="BQ743" s="342"/>
      <c r="BR743" s="342"/>
      <c r="BS743" s="342"/>
      <c r="BT743" s="342"/>
      <c r="BU743" s="342"/>
      <c r="BV743" s="342"/>
      <c r="BW743" s="342"/>
      <c r="BX743" s="342"/>
      <c r="BY743" s="342"/>
      <c r="BZ743" s="342"/>
      <c r="CA743" s="342"/>
      <c r="CB743" s="342"/>
      <c r="CC743" s="342"/>
      <c r="CD743" s="342"/>
      <c r="CE743" s="342"/>
      <c r="CF743" s="342"/>
      <c r="CG743" s="342"/>
      <c r="CH743" s="342"/>
      <c r="CI743" s="342"/>
      <c r="CJ743" s="342"/>
      <c r="CK743" s="342"/>
      <c r="CL743" s="342"/>
      <c r="CM743" s="342"/>
      <c r="CN743" s="342"/>
      <c r="CO743" s="342"/>
      <c r="CP743" s="342"/>
      <c r="CQ743" s="342"/>
      <c r="CR743" s="342"/>
      <c r="CS743" s="342"/>
      <c r="CT743" s="342"/>
      <c r="CU743" s="342"/>
      <c r="CV743" s="342"/>
      <c r="CW743" s="342"/>
      <c r="CX743" s="342"/>
      <c r="CY743" s="342"/>
      <c r="CZ743" s="342"/>
      <c r="DA743" s="342"/>
      <c r="DB743" s="342"/>
      <c r="DC743" s="342"/>
      <c r="DD743" s="342"/>
      <c r="DE743" s="342"/>
      <c r="DF743" s="342"/>
      <c r="DG743" s="342"/>
      <c r="DH743" s="342"/>
      <c r="DI743" s="342"/>
      <c r="DJ743" s="342"/>
      <c r="DK743" s="342"/>
      <c r="DL743" s="342"/>
    </row>
    <row r="744" ht="20.25" customHeight="1">
      <c r="A744" s="44">
        <v>744.0</v>
      </c>
      <c r="B744" s="1127" t="s">
        <v>152</v>
      </c>
      <c r="C744" s="188" t="s">
        <v>115</v>
      </c>
      <c r="D744" s="188" t="s">
        <v>153</v>
      </c>
      <c r="E744" s="189"/>
      <c r="F744" s="190" t="s">
        <v>4041</v>
      </c>
      <c r="G744" s="58" t="s">
        <v>4064</v>
      </c>
      <c r="H744" s="198" t="s">
        <v>153</v>
      </c>
      <c r="I744" s="191">
        <v>45687.0</v>
      </c>
      <c r="J744" s="1086">
        <v>45722.0</v>
      </c>
      <c r="K744" s="190"/>
      <c r="L744" s="794" t="s">
        <v>4065</v>
      </c>
      <c r="M744" s="198" t="s">
        <v>4043</v>
      </c>
      <c r="N744" s="198" t="s">
        <v>4044</v>
      </c>
      <c r="O744" s="758">
        <v>7.0</v>
      </c>
      <c r="P744" s="198" t="str">
        <f t="shared" si="37"/>
        <v>10.1073--pnas.1118373109.pdf</v>
      </c>
      <c r="Q744" s="52" t="str">
        <f t="array" ref="Q744"> if(iserror(MATCH(V744, 'File Links'!C:C, 0)), "N/A", HYPERLINK(INDEX('File Links'!B:B, MATCH(P744, 'File Links'!C:C, 0))))</f>
        <v>https://drive.google.com/file/d/1Q984rmQXqbwrrnMY-wB5jcpYKEpb-2Qg/view?usp=drivesdk</v>
      </c>
      <c r="R744" s="198" t="s">
        <v>3653</v>
      </c>
      <c r="S744" s="198" t="s">
        <v>3654</v>
      </c>
      <c r="T744" s="190"/>
      <c r="U744" s="156">
        <v>1.0</v>
      </c>
      <c r="V744" s="198" t="str">
        <f t="shared" si="41"/>
        <v>10.1098--rsos.231240.pdf</v>
      </c>
      <c r="W744" s="198" t="s">
        <v>3807</v>
      </c>
      <c r="X744" s="54" t="str">
        <f t="array" ref="X744"> if(iserror(MATCH(V744, 'File Links'!C:C, 0)), "N/A", HYPERLINK(INDEX('File Links'!B:B, MATCH(V744, 'File Links'!C:C, 0))))</f>
        <v>https://drive.google.com/file/d/17gaf2Zy_ljFfcAEDk5L8GBnTl5i7RGJE/view?usp=drivesdk</v>
      </c>
      <c r="Y744" s="190"/>
      <c r="Z744" s="198" t="s">
        <v>226</v>
      </c>
      <c r="AA744" s="198" t="s">
        <v>4052</v>
      </c>
      <c r="AB744" s="198" t="s">
        <v>4053</v>
      </c>
      <c r="AC744" s="198" t="s">
        <v>4066</v>
      </c>
      <c r="AD744" s="198" t="s">
        <v>4067</v>
      </c>
      <c r="AE744" s="1129">
        <v>3.0</v>
      </c>
      <c r="AF744" s="758">
        <v>90.0</v>
      </c>
      <c r="AG744" s="750">
        <v>-0.24</v>
      </c>
      <c r="AH744" s="758" t="s">
        <v>987</v>
      </c>
      <c r="AI744" s="1129" t="s">
        <v>217</v>
      </c>
      <c r="AJ744" s="1128">
        <v>0.03</v>
      </c>
      <c r="AK744" s="58" t="s">
        <v>135</v>
      </c>
      <c r="AL744" s="58" t="s">
        <v>186</v>
      </c>
      <c r="AM744" s="198" t="s">
        <v>141</v>
      </c>
      <c r="AN744" s="374" t="s">
        <v>138</v>
      </c>
      <c r="AO744" s="758">
        <v>84.0</v>
      </c>
      <c r="AP744" s="750" t="s">
        <v>4068</v>
      </c>
      <c r="AQ744" s="758" t="s">
        <v>134</v>
      </c>
      <c r="AR744" s="1125" t="s">
        <v>4069</v>
      </c>
      <c r="AS744" s="758">
        <v>0.35</v>
      </c>
      <c r="AT744" s="198" t="s">
        <v>172</v>
      </c>
      <c r="AU744" s="198" t="s">
        <v>186</v>
      </c>
      <c r="AV744" s="198" t="s">
        <v>141</v>
      </c>
      <c r="AW744" s="1126" t="s">
        <v>138</v>
      </c>
      <c r="AX744" s="190" t="s">
        <v>143</v>
      </c>
      <c r="AY744" s="61" t="str">
        <f>IFERROR(__xludf.DUMMYFUNCTION("vlookup(BB744,importrange(""https://docs.google.com/spreadsheets/d/1d2vevQ_7D_v35q4wCQ4RpQ_IPoTwEMB9Yp6ymwlPqew/edit?gid=984458430#gid=984458430"", ""'replication success'!A:K""), 11, FAlSE)"),"failed")</f>
        <v>failed</v>
      </c>
      <c r="AZ744" s="61" t="str">
        <f>IFERROR(__xludf.DUMMYFUNCTION("vlookup(BB744,importrange(""https://docs.google.com/spreadsheets/d/1d2vevQ_7D_v35q4wCQ4RpQ_IPoTwEMB9Yp6ymwlPqew/edit?gid=984458430#gid=984458430"", ""'replication success'!A:M""), 12, FAlSE)"),"The current study did not replicate Piff et al.’s findings, which may be a 
reflection of the reliability of measures or the generalizability to other populations.  ")</f>
        <v>The current study did not replicate Piff et al.’s findings, which may be a 
reflection of the reliability of measures or the generalizability to other populations.  </v>
      </c>
      <c r="BA744" s="91" t="str">
        <f>IFERROR(__xludf.DUMMYFUNCTION("vlookup(BB744,importrange(""https://docs.google.com/spreadsheets/d/1d2vevQ_7D_v35q4wCQ4RpQ_IPoTwEMB9Yp6ymwlPqew/edit?gid=984458430#gid=984458430"", ""'replication success'!A:M""), 13, FAlSE)"),"Abstract of https://osf.io/rjxwe")</f>
        <v>Abstract of https://osf.io/rjxwe</v>
      </c>
      <c r="BB744" s="61" t="str">
        <f>IFERROR(__xludf.DUMMYFUNCTION("REGEXREPLACE(G744, ""_[a-z]{1,2}$"", """")"),"Boyce_etal2023114")</f>
        <v>Boyce_etal2023114</v>
      </c>
      <c r="BC744" s="189"/>
      <c r="BD744" s="374" t="s">
        <v>3763</v>
      </c>
      <c r="BE744" s="342"/>
      <c r="BF744" s="342"/>
      <c r="BG744" s="342"/>
      <c r="BH744" s="342"/>
      <c r="BI744" s="342"/>
      <c r="BJ744" s="342"/>
      <c r="BK744" s="342"/>
      <c r="BL744" s="342"/>
      <c r="BM744" s="342"/>
      <c r="BN744" s="342"/>
      <c r="BO744" s="342"/>
      <c r="BP744" s="342"/>
      <c r="BQ744" s="342"/>
      <c r="BR744" s="342"/>
      <c r="BS744" s="342"/>
      <c r="BT744" s="342"/>
      <c r="BU744" s="342"/>
      <c r="BV744" s="342"/>
      <c r="BW744" s="342"/>
      <c r="BX744" s="342"/>
      <c r="BY744" s="342"/>
      <c r="BZ744" s="342"/>
      <c r="CA744" s="342"/>
      <c r="CB744" s="342"/>
      <c r="CC744" s="342"/>
      <c r="CD744" s="342"/>
      <c r="CE744" s="342"/>
      <c r="CF744" s="342"/>
      <c r="CG744" s="342"/>
      <c r="CH744" s="342"/>
      <c r="CI744" s="342"/>
      <c r="CJ744" s="342"/>
      <c r="CK744" s="342"/>
      <c r="CL744" s="342"/>
      <c r="CM744" s="342"/>
      <c r="CN744" s="342"/>
      <c r="CO744" s="342"/>
      <c r="CP744" s="342"/>
      <c r="CQ744" s="342"/>
      <c r="CR744" s="342"/>
      <c r="CS744" s="342"/>
      <c r="CT744" s="342"/>
      <c r="CU744" s="342"/>
      <c r="CV744" s="342"/>
      <c r="CW744" s="342"/>
      <c r="CX744" s="342"/>
      <c r="CY744" s="342"/>
      <c r="CZ744" s="342"/>
      <c r="DA744" s="342"/>
      <c r="DB744" s="342"/>
      <c r="DC744" s="342"/>
      <c r="DD744" s="342"/>
      <c r="DE744" s="342"/>
      <c r="DF744" s="342"/>
      <c r="DG744" s="342"/>
      <c r="DH744" s="342"/>
      <c r="DI744" s="342"/>
      <c r="DJ744" s="342"/>
      <c r="DK744" s="342"/>
      <c r="DL744" s="342"/>
    </row>
    <row r="745" ht="20.25" customHeight="1">
      <c r="A745" s="44">
        <v>745.0</v>
      </c>
      <c r="B745" s="1130" t="s">
        <v>114</v>
      </c>
      <c r="C745" s="62" t="s">
        <v>115</v>
      </c>
      <c r="D745" s="62" t="s">
        <v>248</v>
      </c>
      <c r="F745" s="159" t="s">
        <v>4070</v>
      </c>
      <c r="G745" s="57" t="s">
        <v>4071</v>
      </c>
      <c r="H745" s="159" t="s">
        <v>249</v>
      </c>
      <c r="I745" s="152">
        <v>45669.0</v>
      </c>
      <c r="J745" s="1086">
        <v>45722.0</v>
      </c>
      <c r="K745" s="437" t="s">
        <v>4072</v>
      </c>
      <c r="L745" s="68"/>
      <c r="M745" s="159" t="s">
        <v>4073</v>
      </c>
      <c r="N745" s="159" t="s">
        <v>4074</v>
      </c>
      <c r="O745" s="68"/>
      <c r="P745" s="159" t="str">
        <f t="shared" si="37"/>
        <v>10.1177--0956797618818484.pdf</v>
      </c>
      <c r="Q745" s="52" t="str">
        <f t="array" ref="Q745"> if(iserror(MATCH(V745, 'File Links'!C:C, 0)), "N/A", HYPERLINK(INDEX('File Links'!B:B, MATCH(P745, 'File Links'!C:C, 0))))</f>
        <v>https://drive.google.com/file/d/1-BRDJtnfY2i7YBG-IeupwHTxHic0hQnP/view?usp=drivesdk</v>
      </c>
      <c r="R745" s="159" t="s">
        <v>3653</v>
      </c>
      <c r="S745" s="159" t="s">
        <v>3654</v>
      </c>
      <c r="T745" s="68"/>
      <c r="U745" s="156">
        <v>1.0</v>
      </c>
      <c r="V745" s="198" t="str">
        <f t="shared" si="41"/>
        <v>10.1098--rsos.231240.pdf</v>
      </c>
      <c r="W745" s="159" t="s">
        <v>3804</v>
      </c>
      <c r="X745" s="54" t="str">
        <f t="array" ref="X745"> if(iserror(MATCH(V745, 'File Links'!C:C, 0)), "N/A", HYPERLINK(INDEX('File Links'!B:B, MATCH(V745, 'File Links'!C:C, 0))))</f>
        <v>https://drive.google.com/file/d/17gaf2Zy_ljFfcAEDk5L8GBnTl5i7RGJE/view?usp=drivesdk</v>
      </c>
      <c r="Y745" s="68"/>
      <c r="Z745" s="159" t="s">
        <v>148</v>
      </c>
      <c r="AA745" s="68"/>
      <c r="AB745" s="159" t="s">
        <v>4075</v>
      </c>
      <c r="AC745" s="68"/>
      <c r="AD745" s="159" t="s">
        <v>138</v>
      </c>
      <c r="AE745" s="156">
        <v>6.0</v>
      </c>
      <c r="AF745" s="156">
        <v>193.0</v>
      </c>
      <c r="AG745" s="156">
        <v>0.612803903785751</v>
      </c>
      <c r="AH745" s="159" t="s">
        <v>173</v>
      </c>
      <c r="AI745" s="159" t="s">
        <v>4076</v>
      </c>
      <c r="AJ745" s="1061">
        <v>5.66347582420852E-15</v>
      </c>
      <c r="AK745" s="57" t="s">
        <v>172</v>
      </c>
      <c r="AL745" s="57" t="s">
        <v>186</v>
      </c>
      <c r="AM745" s="1131" t="s">
        <v>137</v>
      </c>
      <c r="AN745" s="129" t="s">
        <v>138</v>
      </c>
      <c r="AO745" s="156">
        <v>58.0</v>
      </c>
      <c r="AP745" s="156">
        <v>0.92897291317576</v>
      </c>
      <c r="AQ745" s="159" t="s">
        <v>173</v>
      </c>
      <c r="AR745" s="68"/>
      <c r="AS745" s="1061">
        <v>3.28644168173073E-9</v>
      </c>
      <c r="AT745" s="159" t="s">
        <v>172</v>
      </c>
      <c r="AU745" s="159" t="s">
        <v>186</v>
      </c>
      <c r="AV745" s="1131" t="s">
        <v>137</v>
      </c>
      <c r="AW745" s="68"/>
      <c r="AX745" s="159" t="s">
        <v>143</v>
      </c>
      <c r="AY745" s="61" t="str">
        <f>IFERROR(__xludf.DUMMYFUNCTION("vlookup(BB745,importrange(""https://docs.google.com/spreadsheets/d/1d2vevQ_7D_v35q4wCQ4RpQ_IPoTwEMB9Yp6ymwlPqew/edit?gid=984458430#gid=984458430"", ""'replication success'!A:K""), 11, FAlSE)"),"#N/A")</f>
        <v>#N/A</v>
      </c>
      <c r="AZ745" s="61" t="str">
        <f>IFERROR(__xludf.DUMMYFUNCTION("vlookup(BB745,importrange(""https://docs.google.com/spreadsheets/d/1d2vevQ_7D_v35q4wCQ4RpQ_IPoTwEMB9Yp6ymwlPqew/edit?gid=984458430#gid=984458430"", ""'replication success'!A:M""), 12, FAlSE)"),"#N/A")</f>
        <v>#N/A</v>
      </c>
      <c r="BA745" s="61" t="str">
        <f>IFERROR(__xludf.DUMMYFUNCTION("vlookup(BB745,importrange(""https://docs.google.com/spreadsheets/d/1d2vevQ_7D_v35q4wCQ4RpQ_IPoTwEMB9Yp6ymwlPqew/edit?gid=984458430#gid=984458430"", ""'replication success'!A:M""), 13, FAlSE)"),"#N/A")</f>
        <v>#N/A</v>
      </c>
      <c r="BB745" s="61" t="str">
        <f>IFERROR(__xludf.DUMMYFUNCTION("REGEXREPLACE(G745, ""_[a-z]{1,2}$"", """")"),"Boyce_etal2023115_1")</f>
        <v>Boyce_etal2023115_1</v>
      </c>
      <c r="BD745" s="374" t="s">
        <v>3763</v>
      </c>
      <c r="BE745" s="342"/>
      <c r="BF745" s="342"/>
      <c r="BG745" s="342"/>
      <c r="BH745" s="342"/>
      <c r="BI745" s="342"/>
      <c r="BJ745" s="342"/>
      <c r="BK745" s="342"/>
      <c r="BL745" s="342"/>
      <c r="BM745" s="342"/>
      <c r="BN745" s="342"/>
      <c r="BO745" s="342"/>
      <c r="BP745" s="342"/>
      <c r="BQ745" s="342"/>
      <c r="BR745" s="342"/>
      <c r="BS745" s="342"/>
      <c r="BT745" s="342"/>
      <c r="BU745" s="342"/>
      <c r="BV745" s="342"/>
      <c r="BW745" s="342"/>
      <c r="BX745" s="342"/>
      <c r="BY745" s="342"/>
      <c r="BZ745" s="342"/>
      <c r="CA745" s="342"/>
      <c r="CB745" s="342"/>
      <c r="CC745" s="342"/>
      <c r="CD745" s="342"/>
      <c r="CE745" s="342"/>
      <c r="CF745" s="342"/>
      <c r="CG745" s="342"/>
      <c r="CH745" s="342"/>
      <c r="CI745" s="342"/>
      <c r="CJ745" s="342"/>
      <c r="CK745" s="342"/>
      <c r="CL745" s="342"/>
      <c r="CM745" s="342"/>
      <c r="CN745" s="342"/>
      <c r="CO745" s="342"/>
      <c r="CP745" s="342"/>
      <c r="CQ745" s="342"/>
      <c r="CR745" s="342"/>
      <c r="CS745" s="342"/>
      <c r="CT745" s="342"/>
      <c r="CU745" s="342"/>
      <c r="CV745" s="342"/>
      <c r="CW745" s="342"/>
      <c r="CX745" s="342"/>
      <c r="CY745" s="342"/>
      <c r="CZ745" s="342"/>
      <c r="DA745" s="342"/>
      <c r="DB745" s="342"/>
      <c r="DC745" s="342"/>
      <c r="DD745" s="342"/>
      <c r="DE745" s="342"/>
      <c r="DF745" s="342"/>
      <c r="DG745" s="342"/>
      <c r="DH745" s="342"/>
      <c r="DI745" s="342"/>
      <c r="DJ745" s="342"/>
      <c r="DK745" s="342"/>
      <c r="DL745" s="342"/>
    </row>
    <row r="746" ht="20.25" customHeight="1">
      <c r="A746" s="44">
        <v>746.0</v>
      </c>
      <c r="B746" s="1132" t="s">
        <v>152</v>
      </c>
      <c r="C746" s="62" t="s">
        <v>115</v>
      </c>
      <c r="D746" s="62" t="s">
        <v>153</v>
      </c>
      <c r="F746" s="68" t="s">
        <v>4071</v>
      </c>
      <c r="G746" s="57" t="s">
        <v>4070</v>
      </c>
      <c r="H746" s="159" t="s">
        <v>153</v>
      </c>
      <c r="I746" s="152">
        <v>45687.0</v>
      </c>
      <c r="J746" s="1086">
        <v>45722.0</v>
      </c>
      <c r="K746" s="437" t="s">
        <v>4077</v>
      </c>
      <c r="L746" s="129" t="s">
        <v>4078</v>
      </c>
      <c r="M746" s="159" t="s">
        <v>4073</v>
      </c>
      <c r="N746" s="159" t="s">
        <v>4074</v>
      </c>
      <c r="O746" s="156">
        <v>2.0</v>
      </c>
      <c r="P746" s="159" t="str">
        <f t="shared" si="37"/>
        <v>10.1177--0956797618818484.pdf</v>
      </c>
      <c r="Q746" s="52" t="str">
        <f t="array" ref="Q746"> if(iserror(MATCH(V746, 'File Links'!C:C, 0)), "N/A", HYPERLINK(INDEX('File Links'!B:B, MATCH(P746, 'File Links'!C:C, 0))))</f>
        <v>https://drive.google.com/file/d/1-BRDJtnfY2i7YBG-IeupwHTxHic0hQnP/view?usp=drivesdk</v>
      </c>
      <c r="R746" s="159" t="s">
        <v>3653</v>
      </c>
      <c r="S746" s="159" t="s">
        <v>3654</v>
      </c>
      <c r="T746" s="68"/>
      <c r="U746" s="156">
        <v>1.0</v>
      </c>
      <c r="V746" s="198" t="str">
        <f t="shared" si="41"/>
        <v>10.1098--rsos.231240.pdf</v>
      </c>
      <c r="W746" s="159" t="s">
        <v>3807</v>
      </c>
      <c r="X746" s="54" t="str">
        <f t="array" ref="X746"> if(iserror(MATCH(V746, 'File Links'!C:C, 0)), "N/A", HYPERLINK(INDEX('File Links'!B:B, MATCH(V746, 'File Links'!C:C, 0))))</f>
        <v>https://drive.google.com/file/d/17gaf2Zy_ljFfcAEDk5L8GBnTl5i7RGJE/view?usp=drivesdk</v>
      </c>
      <c r="Y746" s="46"/>
      <c r="Z746" s="159" t="s">
        <v>148</v>
      </c>
      <c r="AA746" s="159" t="s">
        <v>4079</v>
      </c>
      <c r="AB746" s="159" t="s">
        <v>4080</v>
      </c>
      <c r="AC746" s="159" t="s">
        <v>4081</v>
      </c>
      <c r="AD746" s="159" t="s">
        <v>4082</v>
      </c>
      <c r="AE746" s="156">
        <v>5.0</v>
      </c>
      <c r="AF746" s="156">
        <v>193.0</v>
      </c>
      <c r="AG746" s="156" t="s">
        <v>4083</v>
      </c>
      <c r="AH746" s="156" t="s">
        <v>173</v>
      </c>
      <c r="AI746" s="690" t="s">
        <v>4084</v>
      </c>
      <c r="AJ746" s="1133">
        <v>5.66347582420852E-15</v>
      </c>
      <c r="AK746" s="57" t="s">
        <v>172</v>
      </c>
      <c r="AL746" s="57" t="s">
        <v>186</v>
      </c>
      <c r="AM746" s="1131" t="s">
        <v>137</v>
      </c>
      <c r="AN746" s="129" t="s">
        <v>138</v>
      </c>
      <c r="AO746" s="336">
        <v>58.0</v>
      </c>
      <c r="AP746" s="68" t="s">
        <v>4085</v>
      </c>
      <c r="AQ746" s="156" t="s">
        <v>173</v>
      </c>
      <c r="AR746" s="336" t="s">
        <v>182</v>
      </c>
      <c r="AS746" s="336">
        <f>IFERROR(__xludf.DUMMYFUNCTION("3.28644168173073*10^-9"),3.2864416817307304E-9)</f>
        <v>0.000000003286441682</v>
      </c>
      <c r="AT746" s="159" t="s">
        <v>172</v>
      </c>
      <c r="AU746" s="159" t="s">
        <v>186</v>
      </c>
      <c r="AV746" s="1131" t="s">
        <v>137</v>
      </c>
      <c r="AW746" s="129" t="s">
        <v>138</v>
      </c>
      <c r="AX746" s="68" t="s">
        <v>143</v>
      </c>
      <c r="AY746" s="61" t="str">
        <f>IFERROR(__xludf.DUMMYFUNCTION("vlookup(BB746,importrange(""https://docs.google.com/spreadsheets/d/1d2vevQ_7D_v35q4wCQ4RpQ_IPoTwEMB9Yp6ymwlPqew/edit?gid=984458430#gid=984458430"", ""'replication success'!A:K""), 11, FAlSE)"),"mixed")</f>
        <v>mixed</v>
      </c>
      <c r="AZ746" s="61" t="str">
        <f>IFERROR(__xludf.DUMMYFUNCTION("vlookup(BB746,importrange(""https://docs.google.com/spreadsheets/d/1d2vevQ_7D_v35q4wCQ4RpQ_IPoTwEMB9Yp6ymwlPqew/edit?gid=984458430#gid=984458430"",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746" s="61" t="str">
        <f>IFERROR(__xludf.DUMMYFUNCTION("vlookup(BB746,importrange(""https://docs.google.com/spreadsheets/d/1d2vevQ_7D_v35q4wCQ4RpQ_IPoTwEMB9Yp6ymwlPqew/edit?gid=984458430#gid=984458430"",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v>
      </c>
      <c r="BB746" s="61" t="str">
        <f>IFERROR(__xludf.DUMMYFUNCTION("REGEXREPLACE(G746, ""_[a-z]{1,2}$"", """")"),"Boyce_etal2023115")</f>
        <v>Boyce_etal2023115</v>
      </c>
      <c r="BD746" s="374" t="s">
        <v>3763</v>
      </c>
      <c r="BE746" s="342"/>
      <c r="BF746" s="342"/>
      <c r="BG746" s="342"/>
      <c r="BH746" s="342"/>
      <c r="BI746" s="342"/>
      <c r="BJ746" s="342"/>
      <c r="BK746" s="342"/>
      <c r="BL746" s="342"/>
      <c r="BM746" s="342"/>
      <c r="BN746" s="342"/>
      <c r="BO746" s="342"/>
      <c r="BP746" s="342"/>
      <c r="BQ746" s="342"/>
      <c r="BR746" s="342"/>
      <c r="BS746" s="342"/>
      <c r="BT746" s="342"/>
      <c r="BU746" s="342"/>
      <c r="BV746" s="342"/>
      <c r="BW746" s="342"/>
      <c r="BX746" s="342"/>
      <c r="BY746" s="342"/>
      <c r="BZ746" s="342"/>
      <c r="CA746" s="342"/>
      <c r="CB746" s="342"/>
      <c r="CC746" s="342"/>
      <c r="CD746" s="342"/>
      <c r="CE746" s="342"/>
      <c r="CF746" s="342"/>
      <c r="CG746" s="342"/>
      <c r="CH746" s="342"/>
      <c r="CI746" s="342"/>
      <c r="CJ746" s="342"/>
      <c r="CK746" s="342"/>
      <c r="CL746" s="342"/>
      <c r="CM746" s="342"/>
      <c r="CN746" s="342"/>
      <c r="CO746" s="342"/>
      <c r="CP746" s="342"/>
      <c r="CQ746" s="342"/>
      <c r="CR746" s="342"/>
      <c r="CS746" s="342"/>
      <c r="CT746" s="342"/>
      <c r="CU746" s="342"/>
      <c r="CV746" s="342"/>
      <c r="CW746" s="342"/>
      <c r="CX746" s="342"/>
      <c r="CY746" s="342"/>
      <c r="CZ746" s="342"/>
      <c r="DA746" s="342"/>
      <c r="DB746" s="342"/>
      <c r="DC746" s="342"/>
      <c r="DD746" s="342"/>
      <c r="DE746" s="342"/>
      <c r="DF746" s="342"/>
      <c r="DG746" s="342"/>
      <c r="DH746" s="342"/>
      <c r="DI746" s="342"/>
      <c r="DJ746" s="342"/>
      <c r="DK746" s="342"/>
      <c r="DL746" s="342"/>
    </row>
    <row r="747" ht="20.25" customHeight="1">
      <c r="A747" s="44">
        <v>747.0</v>
      </c>
      <c r="B747" s="1134" t="s">
        <v>152</v>
      </c>
      <c r="C747" s="421" t="s">
        <v>115</v>
      </c>
      <c r="D747" s="421" t="s">
        <v>248</v>
      </c>
      <c r="E747" s="365"/>
      <c r="F747" s="1135" t="s">
        <v>4086</v>
      </c>
      <c r="G747" s="430" t="s">
        <v>4087</v>
      </c>
      <c r="H747" s="1103" t="s">
        <v>249</v>
      </c>
      <c r="I747" s="1136">
        <v>45670.0</v>
      </c>
      <c r="J747" s="1136">
        <v>45692.0</v>
      </c>
      <c r="K747" s="422" t="s">
        <v>4088</v>
      </c>
      <c r="L747" s="1135" t="s">
        <v>4089</v>
      </c>
      <c r="M747" s="1103" t="s">
        <v>4090</v>
      </c>
      <c r="N747" s="1103" t="s">
        <v>4091</v>
      </c>
      <c r="O747" s="1135" t="s">
        <v>4092</v>
      </c>
      <c r="P747" s="1103" t="str">
        <f t="shared" si="37"/>
        <v>10.1177--0956797615612202.pdf</v>
      </c>
      <c r="Q747" s="52" t="str">
        <f t="array" ref="Q747"> if(iserror(MATCH(V747, 'File Links'!C:C, 0)), "N/A", HYPERLINK(INDEX('File Links'!B:B, MATCH(P747, 'File Links'!C:C, 0))))</f>
        <v>https://drive.google.com/file/d/1d70WNl03Y6R-FQ2zFUG_7JzLtb7KIhMn/view?usp=drivesdk</v>
      </c>
      <c r="R747" s="1103" t="s">
        <v>3653</v>
      </c>
      <c r="S747" s="1103" t="s">
        <v>3654</v>
      </c>
      <c r="T747" s="436"/>
      <c r="U747" s="156">
        <v>1.0</v>
      </c>
      <c r="V747" s="1103" t="str">
        <f t="shared" si="41"/>
        <v>10.1098--rsos.231240.pdf</v>
      </c>
      <c r="W747" s="1103" t="s">
        <v>324</v>
      </c>
      <c r="X747" s="54" t="str">
        <f t="array" ref="X747"> if(iserror(MATCH(V747, 'File Links'!C:C, 0)), "N/A", HYPERLINK(INDEX('File Links'!B:B, MATCH(V747, 'File Links'!C:C, 0))))</f>
        <v>https://drive.google.com/file/d/17gaf2Zy_ljFfcAEDk5L8GBnTl5i7RGJE/view?usp=drivesdk</v>
      </c>
      <c r="Y747" s="436"/>
      <c r="Z747" s="1103" t="s">
        <v>226</v>
      </c>
      <c r="AA747" s="1103" t="s">
        <v>4093</v>
      </c>
      <c r="AB747" s="1103" t="s">
        <v>4094</v>
      </c>
      <c r="AC747" s="1135" t="s">
        <v>4095</v>
      </c>
      <c r="AD747" s="1103" t="s">
        <v>4096</v>
      </c>
      <c r="AE747" s="1137">
        <v>3.0</v>
      </c>
      <c r="AF747" s="1137">
        <v>88.0</v>
      </c>
      <c r="AG747" s="1137">
        <v>0.62</v>
      </c>
      <c r="AH747" s="1103" t="s">
        <v>173</v>
      </c>
      <c r="AI747" s="1103" t="s">
        <v>217</v>
      </c>
      <c r="AJ747" s="1138">
        <v>0.005</v>
      </c>
      <c r="AK747" s="430" t="s">
        <v>172</v>
      </c>
      <c r="AL747" s="430" t="s">
        <v>186</v>
      </c>
      <c r="AM747" s="1103" t="s">
        <v>141</v>
      </c>
      <c r="AN747" s="1135" t="s">
        <v>138</v>
      </c>
      <c r="AO747" s="1137">
        <v>119.0</v>
      </c>
      <c r="AP747" s="1137">
        <v>0.720525018664174</v>
      </c>
      <c r="AQ747" s="1103" t="s">
        <v>173</v>
      </c>
      <c r="AR747" s="1139" t="s">
        <v>4097</v>
      </c>
      <c r="AS747" s="1140">
        <v>1.44241082036131E-4</v>
      </c>
      <c r="AT747" s="1103" t="s">
        <v>172</v>
      </c>
      <c r="AU747" s="1103" t="s">
        <v>186</v>
      </c>
      <c r="AV747" s="1103" t="s">
        <v>141</v>
      </c>
      <c r="AW747" s="1135" t="s">
        <v>138</v>
      </c>
      <c r="AX747" s="1103" t="s">
        <v>143</v>
      </c>
      <c r="AY747" s="61" t="str">
        <f>IFERROR(__xludf.DUMMYFUNCTION("vlookup(BB747,importrange(""https://docs.google.com/spreadsheets/d/1d2vevQ_7D_v35q4wCQ4RpQ_IPoTwEMB9Yp6ymwlPqew/edit?gid=984458430#gid=984458430"", ""'replication success'!A:K""), 11, FAlSE)"),"failed")</f>
        <v>failed</v>
      </c>
      <c r="AZ747" s="61" t="str">
        <f>IFERROR(__xludf.DUMMYFUNCTION("vlookup(BB747,importrange(""https://docs.google.com/spreadsheets/d/1d2vevQ_7D_v35q4wCQ4RpQ_IPoTwEMB9Yp6ymwlPqew/edit?gid=984458430#gid=984458430"",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47" s="61" t="str">
        <f>IFERROR(__xludf.DUMMYFUNCTION("vlookup(BB747,importrange(""https://docs.google.com/spreadsheets/d/1d2vevQ_7D_v35q4wCQ4RpQ_IPoTwEMB9Yp6ymwlPqew/edit?gid=984458430#gid=984458430"",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v>
      </c>
      <c r="BB747" s="61" t="str">
        <f>IFERROR(__xludf.DUMMYFUNCTION("REGEXREPLACE(G747, ""_[a-z]{1,2}$"", """")"),"Boyce_etal2023116_1")</f>
        <v>Boyce_etal2023116_1</v>
      </c>
      <c r="BC747" s="421" t="s">
        <v>4098</v>
      </c>
      <c r="BD747" s="1135" t="s">
        <v>4099</v>
      </c>
      <c r="BE747" s="365"/>
      <c r="BF747" s="365"/>
      <c r="BG747" s="365"/>
      <c r="BH747" s="365"/>
      <c r="BI747" s="365"/>
      <c r="BJ747" s="365"/>
      <c r="BK747" s="365"/>
      <c r="BL747" s="365"/>
      <c r="BM747" s="365"/>
      <c r="BN747" s="365"/>
      <c r="BO747" s="365"/>
      <c r="BP747" s="365"/>
      <c r="BQ747" s="365"/>
      <c r="BR747" s="365"/>
      <c r="BS747" s="365"/>
      <c r="BT747" s="365"/>
      <c r="BU747" s="365"/>
      <c r="BV747" s="365"/>
      <c r="BW747" s="365"/>
      <c r="BX747" s="365"/>
      <c r="BY747" s="365"/>
      <c r="BZ747" s="365"/>
      <c r="CA747" s="365"/>
      <c r="CB747" s="365"/>
      <c r="CC747" s="365"/>
      <c r="CD747" s="365"/>
      <c r="CE747" s="365"/>
      <c r="CF747" s="365"/>
      <c r="CG747" s="365"/>
      <c r="CH747" s="365"/>
      <c r="CI747" s="365"/>
      <c r="CJ747" s="365"/>
      <c r="CK747" s="365"/>
      <c r="CL747" s="365"/>
      <c r="CM747" s="365"/>
      <c r="CN747" s="365"/>
      <c r="CO747" s="365"/>
      <c r="CP747" s="365"/>
      <c r="CQ747" s="365"/>
      <c r="CR747" s="365"/>
      <c r="CS747" s="365"/>
      <c r="CT747" s="365"/>
      <c r="CU747" s="365"/>
      <c r="CV747" s="365"/>
      <c r="CW747" s="365"/>
      <c r="CX747" s="365"/>
      <c r="CY747" s="365"/>
      <c r="CZ747" s="365"/>
      <c r="DA747" s="365"/>
      <c r="DB747" s="365"/>
      <c r="DC747" s="365"/>
      <c r="DD747" s="365"/>
      <c r="DE747" s="365"/>
      <c r="DF747" s="365"/>
      <c r="DG747" s="365"/>
      <c r="DH747" s="365"/>
      <c r="DI747" s="365"/>
      <c r="DJ747" s="365"/>
      <c r="DK747" s="365"/>
      <c r="DL747" s="365"/>
    </row>
    <row r="748" ht="20.25" customHeight="1">
      <c r="A748" s="44">
        <v>748.0</v>
      </c>
      <c r="B748" s="1134" t="s">
        <v>152</v>
      </c>
      <c r="C748" s="421" t="s">
        <v>115</v>
      </c>
      <c r="D748" s="421" t="s">
        <v>248</v>
      </c>
      <c r="E748" s="365"/>
      <c r="F748" s="1135" t="s">
        <v>4086</v>
      </c>
      <c r="G748" s="430" t="s">
        <v>4100</v>
      </c>
      <c r="H748" s="1103" t="s">
        <v>249</v>
      </c>
      <c r="I748" s="1136">
        <v>45670.0</v>
      </c>
      <c r="J748" s="1136">
        <v>45692.0</v>
      </c>
      <c r="K748" s="422" t="s">
        <v>4101</v>
      </c>
      <c r="L748" s="1135" t="s">
        <v>4089</v>
      </c>
      <c r="M748" s="1103" t="s">
        <v>4090</v>
      </c>
      <c r="N748" s="1103" t="s">
        <v>4091</v>
      </c>
      <c r="O748" s="1135" t="s">
        <v>4092</v>
      </c>
      <c r="P748" s="1103" t="str">
        <f t="shared" si="37"/>
        <v>10.1177--0956797615612202.pdf</v>
      </c>
      <c r="Q748" s="52" t="str">
        <f t="array" ref="Q748"> if(iserror(MATCH(V748, 'File Links'!C:C, 0)), "N/A", HYPERLINK(INDEX('File Links'!B:B, MATCH(P748, 'File Links'!C:C, 0))))</f>
        <v>https://drive.google.com/file/d/1d70WNl03Y6R-FQ2zFUG_7JzLtb7KIhMn/view?usp=drivesdk</v>
      </c>
      <c r="R748" s="1103" t="s">
        <v>3653</v>
      </c>
      <c r="S748" s="1103" t="s">
        <v>3654</v>
      </c>
      <c r="T748" s="436"/>
      <c r="U748" s="156">
        <v>1.0</v>
      </c>
      <c r="V748" s="1103" t="str">
        <f t="shared" si="41"/>
        <v>10.1098--rsos.231240.pdf</v>
      </c>
      <c r="W748" s="1103" t="s">
        <v>3804</v>
      </c>
      <c r="X748" s="54" t="str">
        <f t="array" ref="X748"> if(iserror(MATCH(V748, 'File Links'!C:C, 0)), "N/A", HYPERLINK(INDEX('File Links'!B:B, MATCH(V748, 'File Links'!C:C, 0))))</f>
        <v>https://drive.google.com/file/d/17gaf2Zy_ljFfcAEDk5L8GBnTl5i7RGJE/view?usp=drivesdk</v>
      </c>
      <c r="Y748" s="436"/>
      <c r="Z748" s="1103" t="s">
        <v>226</v>
      </c>
      <c r="AA748" s="1103" t="s">
        <v>4093</v>
      </c>
      <c r="AB748" s="1103" t="s">
        <v>4094</v>
      </c>
      <c r="AC748" s="1135" t="s">
        <v>4095</v>
      </c>
      <c r="AD748" s="1103" t="s">
        <v>4096</v>
      </c>
      <c r="AE748" s="1137">
        <v>3.0</v>
      </c>
      <c r="AF748" s="1137">
        <v>88.0</v>
      </c>
      <c r="AG748" s="1137">
        <v>0.62</v>
      </c>
      <c r="AH748" s="1103" t="s">
        <v>173</v>
      </c>
      <c r="AI748" s="1103" t="s">
        <v>217</v>
      </c>
      <c r="AJ748" s="1138">
        <v>0.005</v>
      </c>
      <c r="AK748" s="430" t="s">
        <v>172</v>
      </c>
      <c r="AL748" s="430" t="s">
        <v>186</v>
      </c>
      <c r="AM748" s="1103" t="s">
        <v>141</v>
      </c>
      <c r="AN748" s="1135" t="s">
        <v>138</v>
      </c>
      <c r="AO748" s="1137">
        <v>87.0</v>
      </c>
      <c r="AP748" s="1137">
        <v>0.141071199656719</v>
      </c>
      <c r="AQ748" s="1103" t="s">
        <v>173</v>
      </c>
      <c r="AR748" s="1139" t="s">
        <v>4097</v>
      </c>
      <c r="AS748" s="1140">
        <v>0.517488992438142</v>
      </c>
      <c r="AT748" s="1103" t="s">
        <v>172</v>
      </c>
      <c r="AU748" s="1103" t="s">
        <v>186</v>
      </c>
      <c r="AV748" s="1103" t="s">
        <v>141</v>
      </c>
      <c r="AW748" s="1139" t="s">
        <v>4102</v>
      </c>
      <c r="AX748" s="1103" t="s">
        <v>143</v>
      </c>
      <c r="AY748" s="61" t="str">
        <f>IFERROR(__xludf.DUMMYFUNCTION("vlookup(BB748,importrange(""https://docs.google.com/spreadsheets/d/1d2vevQ_7D_v35q4wCQ4RpQ_IPoTwEMB9Yp6ymwlPqew/edit?gid=984458430#gid=984458430"", ""'replication success'!A:K""), 11, FAlSE)"),"failed")</f>
        <v>failed</v>
      </c>
      <c r="AZ748" s="61" t="str">
        <f>IFERROR(__xludf.DUMMYFUNCTION("vlookup(BB748,importrange(""https://docs.google.com/spreadsheets/d/1d2vevQ_7D_v35q4wCQ4RpQ_IPoTwEMB9Yp6ymwlPqew/edit?gid=984458430#gid=984458430"",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48" s="61" t="str">
        <f>IFERROR(__xludf.DUMMYFUNCTION("vlookup(BB748,importrange(""https://docs.google.com/spreadsheets/d/1d2vevQ_7D_v35q4wCQ4RpQ_IPoTwEMB9Yp6ymwlPqew/edit?gid=984458430#gid=984458430"",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v>
      </c>
      <c r="BB748" s="61" t="str">
        <f>IFERROR(__xludf.DUMMYFUNCTION("REGEXREPLACE(G748, ""_[a-z]{1,2}$"", """")"),"Boyce_etal2023116_1")</f>
        <v>Boyce_etal2023116_1</v>
      </c>
      <c r="BC748" s="421" t="s">
        <v>4098</v>
      </c>
      <c r="BD748" s="1135" t="s">
        <v>4099</v>
      </c>
      <c r="BE748" s="365"/>
      <c r="BF748" s="365"/>
      <c r="BG748" s="365"/>
      <c r="BH748" s="365"/>
      <c r="BI748" s="365"/>
      <c r="BJ748" s="365"/>
      <c r="BK748" s="365"/>
      <c r="BL748" s="365"/>
      <c r="BM748" s="365"/>
      <c r="BN748" s="365"/>
      <c r="BO748" s="365"/>
      <c r="BP748" s="365"/>
      <c r="BQ748" s="365"/>
      <c r="BR748" s="365"/>
      <c r="BS748" s="365"/>
      <c r="BT748" s="365"/>
      <c r="BU748" s="365"/>
      <c r="BV748" s="365"/>
      <c r="BW748" s="365"/>
      <c r="BX748" s="365"/>
      <c r="BY748" s="365"/>
      <c r="BZ748" s="365"/>
      <c r="CA748" s="365"/>
      <c r="CB748" s="365"/>
      <c r="CC748" s="365"/>
      <c r="CD748" s="365"/>
      <c r="CE748" s="365"/>
      <c r="CF748" s="365"/>
      <c r="CG748" s="365"/>
      <c r="CH748" s="365"/>
      <c r="CI748" s="365"/>
      <c r="CJ748" s="365"/>
      <c r="CK748" s="365"/>
      <c r="CL748" s="365"/>
      <c r="CM748" s="365"/>
      <c r="CN748" s="365"/>
      <c r="CO748" s="365"/>
      <c r="CP748" s="365"/>
      <c r="CQ748" s="365"/>
      <c r="CR748" s="365"/>
      <c r="CS748" s="365"/>
      <c r="CT748" s="365"/>
      <c r="CU748" s="365"/>
      <c r="CV748" s="365"/>
      <c r="CW748" s="365"/>
      <c r="CX748" s="365"/>
      <c r="CY748" s="365"/>
      <c r="CZ748" s="365"/>
      <c r="DA748" s="365"/>
      <c r="DB748" s="365"/>
      <c r="DC748" s="365"/>
      <c r="DD748" s="365"/>
      <c r="DE748" s="365"/>
      <c r="DF748" s="365"/>
      <c r="DG748" s="365"/>
      <c r="DH748" s="365"/>
      <c r="DI748" s="365"/>
      <c r="DJ748" s="365"/>
      <c r="DK748" s="365"/>
      <c r="DL748" s="365"/>
    </row>
    <row r="749" ht="20.25" customHeight="1">
      <c r="A749" s="44">
        <v>749.0</v>
      </c>
      <c r="B749" s="1141" t="s">
        <v>152</v>
      </c>
      <c r="C749" s="421" t="s">
        <v>115</v>
      </c>
      <c r="D749" s="421" t="s">
        <v>248</v>
      </c>
      <c r="E749" s="365"/>
      <c r="F749" s="1135" t="s">
        <v>4086</v>
      </c>
      <c r="G749" s="430" t="s">
        <v>4103</v>
      </c>
      <c r="H749" s="1103" t="s">
        <v>249</v>
      </c>
      <c r="I749" s="1136">
        <v>45670.0</v>
      </c>
      <c r="J749" s="1136">
        <v>45692.0</v>
      </c>
      <c r="K749" s="422" t="s">
        <v>4104</v>
      </c>
      <c r="L749" s="436"/>
      <c r="M749" s="1103" t="s">
        <v>4090</v>
      </c>
      <c r="N749" s="1103" t="s">
        <v>4091</v>
      </c>
      <c r="O749" s="1135">
        <v>2.0</v>
      </c>
      <c r="P749" s="1103" t="str">
        <f t="shared" si="37"/>
        <v>10.1177--0956797615612202.pdf</v>
      </c>
      <c r="Q749" s="52" t="str">
        <f t="array" ref="Q749"> if(iserror(MATCH(V749, 'File Links'!C:C, 0)), "N/A", HYPERLINK(INDEX('File Links'!B:B, MATCH(P749, 'File Links'!C:C, 0))))</f>
        <v>https://drive.google.com/file/d/1d70WNl03Y6R-FQ2zFUG_7JzLtb7KIhMn/view?usp=drivesdk</v>
      </c>
      <c r="R749" s="1103" t="s">
        <v>3653</v>
      </c>
      <c r="S749" s="1103" t="s">
        <v>3654</v>
      </c>
      <c r="T749" s="436"/>
      <c r="U749" s="156">
        <v>1.0</v>
      </c>
      <c r="V749" s="1103" t="str">
        <f t="shared" si="41"/>
        <v>10.1098--rsos.231240.pdf</v>
      </c>
      <c r="W749" s="1103" t="s">
        <v>3804</v>
      </c>
      <c r="X749" s="54" t="str">
        <f t="array" ref="X749"> if(iserror(MATCH(V749, 'File Links'!C:C, 0)), "N/A", HYPERLINK(INDEX('File Links'!B:B, MATCH(V749, 'File Links'!C:C, 0))))</f>
        <v>https://drive.google.com/file/d/17gaf2Zy_ljFfcAEDk5L8GBnTl5i7RGJE/view?usp=drivesdk</v>
      </c>
      <c r="Y749" s="436"/>
      <c r="Z749" s="1103" t="s">
        <v>226</v>
      </c>
      <c r="AA749" s="1103" t="s">
        <v>4093</v>
      </c>
      <c r="AB749" s="1103" t="s">
        <v>4105</v>
      </c>
      <c r="AC749" s="1135" t="s">
        <v>4106</v>
      </c>
      <c r="AD749" s="1142" t="s">
        <v>4107</v>
      </c>
      <c r="AE749" s="1137">
        <v>4.0</v>
      </c>
      <c r="AF749" s="1137">
        <v>118.0</v>
      </c>
      <c r="AG749" s="1137">
        <v>0.6</v>
      </c>
      <c r="AH749" s="1103" t="s">
        <v>173</v>
      </c>
      <c r="AI749" s="1103" t="s">
        <v>496</v>
      </c>
      <c r="AJ749" s="1138">
        <v>0.002</v>
      </c>
      <c r="AK749" s="430" t="s">
        <v>172</v>
      </c>
      <c r="AL749" s="430" t="s">
        <v>186</v>
      </c>
      <c r="AM749" s="1103" t="s">
        <v>141</v>
      </c>
      <c r="AN749" s="1135" t="s">
        <v>138</v>
      </c>
      <c r="AO749" s="1137">
        <v>78.0</v>
      </c>
      <c r="AP749" s="1137">
        <v>0.562417563503757</v>
      </c>
      <c r="AQ749" s="1103" t="s">
        <v>173</v>
      </c>
      <c r="AR749" s="1139" t="s">
        <v>4097</v>
      </c>
      <c r="AS749" s="1140">
        <v>4.61188901659452E-6</v>
      </c>
      <c r="AT749" s="1103" t="s">
        <v>172</v>
      </c>
      <c r="AU749" s="1103" t="s">
        <v>186</v>
      </c>
      <c r="AV749" s="1103" t="s">
        <v>141</v>
      </c>
      <c r="AW749" s="1139" t="s">
        <v>4102</v>
      </c>
      <c r="AX749" s="1103" t="s">
        <v>143</v>
      </c>
      <c r="AY749" s="61" t="str">
        <f>IFERROR(__xludf.DUMMYFUNCTION("vlookup(BB749,importrange(""https://docs.google.com/spreadsheets/d/1d2vevQ_7D_v35q4wCQ4RpQ_IPoTwEMB9Yp6ymwlPqew/edit?gid=984458430#gid=984458430"", ""'replication success'!A:K""), 11, FAlSE)"),"failed")</f>
        <v>failed</v>
      </c>
      <c r="AZ749" s="61" t="str">
        <f>IFERROR(__xludf.DUMMYFUNCTION("vlookup(BB749,importrange(""https://docs.google.com/spreadsheets/d/1d2vevQ_7D_v35q4wCQ4RpQ_IPoTwEMB9Yp6ymwlPqew/edit?gid=984458430#gid=984458430"",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49" s="61" t="str">
        <f>IFERROR(__xludf.DUMMYFUNCTION("vlookup(BB749,importrange(""https://docs.google.com/spreadsheets/d/1d2vevQ_7D_v35q4wCQ4RpQ_IPoTwEMB9Yp6ymwlPqew/edit?gid=984458430#gid=984458430"",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v>
      </c>
      <c r="BB749" s="61" t="str">
        <f>IFERROR(__xludf.DUMMYFUNCTION("REGEXREPLACE(G749, ""_[a-z]{1,2}$"", """")"),"Boyce_etal2023116_1")</f>
        <v>Boyce_etal2023116_1</v>
      </c>
      <c r="BC749" s="421" t="s">
        <v>4098</v>
      </c>
      <c r="BD749" s="1135" t="s">
        <v>4099</v>
      </c>
      <c r="BE749" s="365"/>
      <c r="BF749" s="365"/>
      <c r="BG749" s="365"/>
      <c r="BH749" s="365"/>
      <c r="BI749" s="365"/>
      <c r="BJ749" s="365"/>
      <c r="BK749" s="365"/>
      <c r="BL749" s="365"/>
      <c r="BM749" s="365"/>
      <c r="BN749" s="365"/>
      <c r="BO749" s="365"/>
      <c r="BP749" s="365"/>
      <c r="BQ749" s="365"/>
      <c r="BR749" s="365"/>
      <c r="BS749" s="365"/>
      <c r="BT749" s="365"/>
      <c r="BU749" s="365"/>
      <c r="BV749" s="365"/>
      <c r="BW749" s="365"/>
      <c r="BX749" s="365"/>
      <c r="BY749" s="365"/>
      <c r="BZ749" s="365"/>
      <c r="CA749" s="365"/>
      <c r="CB749" s="365"/>
      <c r="CC749" s="365"/>
      <c r="CD749" s="365"/>
      <c r="CE749" s="365"/>
      <c r="CF749" s="365"/>
      <c r="CG749" s="365"/>
      <c r="CH749" s="365"/>
      <c r="CI749" s="365"/>
      <c r="CJ749" s="365"/>
      <c r="CK749" s="365"/>
      <c r="CL749" s="365"/>
      <c r="CM749" s="365"/>
      <c r="CN749" s="365"/>
      <c r="CO749" s="365"/>
      <c r="CP749" s="365"/>
      <c r="CQ749" s="365"/>
      <c r="CR749" s="365"/>
      <c r="CS749" s="365"/>
      <c r="CT749" s="365"/>
      <c r="CU749" s="365"/>
      <c r="CV749" s="365"/>
      <c r="CW749" s="365"/>
      <c r="CX749" s="365"/>
      <c r="CY749" s="365"/>
      <c r="CZ749" s="365"/>
      <c r="DA749" s="365"/>
      <c r="DB749" s="365"/>
      <c r="DC749" s="365"/>
      <c r="DD749" s="365"/>
      <c r="DE749" s="365"/>
      <c r="DF749" s="365"/>
      <c r="DG749" s="365"/>
      <c r="DH749" s="365"/>
      <c r="DI749" s="365"/>
      <c r="DJ749" s="365"/>
      <c r="DK749" s="365"/>
      <c r="DL749" s="365"/>
    </row>
    <row r="750" ht="20.25" customHeight="1">
      <c r="A750" s="44">
        <v>750.0</v>
      </c>
      <c r="B750" s="436" t="s">
        <v>114</v>
      </c>
      <c r="C750" s="421" t="s">
        <v>115</v>
      </c>
      <c r="D750" s="421" t="s">
        <v>248</v>
      </c>
      <c r="E750" s="365"/>
      <c r="F750" s="1103" t="s">
        <v>4086</v>
      </c>
      <c r="G750" s="430" t="s">
        <v>4108</v>
      </c>
      <c r="H750" s="1103" t="s">
        <v>249</v>
      </c>
      <c r="I750" s="1136">
        <v>45670.0</v>
      </c>
      <c r="J750" s="1136">
        <v>45692.0</v>
      </c>
      <c r="K750" s="436"/>
      <c r="L750" s="436"/>
      <c r="M750" s="1103" t="s">
        <v>4090</v>
      </c>
      <c r="N750" s="1103" t="s">
        <v>4091</v>
      </c>
      <c r="O750" s="436"/>
      <c r="P750" s="1103" t="str">
        <f t="shared" si="37"/>
        <v>10.1177--0956797615612202.pdf</v>
      </c>
      <c r="Q750" s="52" t="str">
        <f t="array" ref="Q750"> if(iserror(MATCH(V750, 'File Links'!C:C, 0)), "N/A", HYPERLINK(INDEX('File Links'!B:B, MATCH(P750, 'File Links'!C:C, 0))))</f>
        <v>https://drive.google.com/file/d/1d70WNl03Y6R-FQ2zFUG_7JzLtb7KIhMn/view?usp=drivesdk</v>
      </c>
      <c r="R750" s="1103" t="s">
        <v>3653</v>
      </c>
      <c r="S750" s="1103" t="s">
        <v>3654</v>
      </c>
      <c r="T750" s="436"/>
      <c r="U750" s="156">
        <v>1.0</v>
      </c>
      <c r="V750" s="1103" t="str">
        <f t="shared" si="41"/>
        <v>10.1098--rsos.231240.pdf</v>
      </c>
      <c r="W750" s="1103" t="s">
        <v>324</v>
      </c>
      <c r="X750" s="54" t="str">
        <f t="array" ref="X750"> if(iserror(MATCH(V750, 'File Links'!C:C, 0)), "N/A", HYPERLINK(INDEX('File Links'!B:B, MATCH(V750, 'File Links'!C:C, 0))))</f>
        <v>https://drive.google.com/file/d/17gaf2Zy_ljFfcAEDk5L8GBnTl5i7RGJE/view?usp=drivesdk</v>
      </c>
      <c r="Y750" s="436"/>
      <c r="Z750" s="1103" t="s">
        <v>226</v>
      </c>
      <c r="AA750" s="436"/>
      <c r="AB750" s="436"/>
      <c r="AC750" s="436"/>
      <c r="AD750" s="1103" t="s">
        <v>138</v>
      </c>
      <c r="AE750" s="1103" t="s">
        <v>138</v>
      </c>
      <c r="AF750" s="1137">
        <v>145.0</v>
      </c>
      <c r="AG750" s="1103" t="s">
        <v>138</v>
      </c>
      <c r="AH750" s="167" t="s">
        <v>138</v>
      </c>
      <c r="AI750" s="1103" t="s">
        <v>138</v>
      </c>
      <c r="AJ750" s="1143" t="s">
        <v>138</v>
      </c>
      <c r="AK750" s="426"/>
      <c r="AL750" s="430" t="s">
        <v>186</v>
      </c>
      <c r="AM750" s="1103" t="s">
        <v>141</v>
      </c>
      <c r="AN750" s="1135" t="s">
        <v>138</v>
      </c>
      <c r="AO750" s="1137">
        <v>168.0</v>
      </c>
      <c r="AP750" s="1103" t="s">
        <v>138</v>
      </c>
      <c r="AQ750" s="436"/>
      <c r="AR750" s="436"/>
      <c r="AS750" s="1103" t="s">
        <v>138</v>
      </c>
      <c r="AT750" s="436"/>
      <c r="AU750" s="1103" t="s">
        <v>186</v>
      </c>
      <c r="AV750" s="1103" t="s">
        <v>1905</v>
      </c>
      <c r="AW750" s="436"/>
      <c r="AX750" s="1103" t="s">
        <v>143</v>
      </c>
      <c r="AY750" s="61" t="str">
        <f>IFERROR(__xludf.DUMMYFUNCTION("vlookup(BB750,importrange(""https://docs.google.com/spreadsheets/d/1d2vevQ_7D_v35q4wCQ4RpQ_IPoTwEMB9Yp6ymwlPqew/edit?gid=984458430#gid=984458430"", ""'replication success'!A:K""), 11, FAlSE)"),"failed")</f>
        <v>failed</v>
      </c>
      <c r="AZ750" s="61" t="str">
        <f>IFERROR(__xludf.DUMMYFUNCTION("vlookup(BB750,importrange(""https://docs.google.com/spreadsheets/d/1d2vevQ_7D_v35q4wCQ4RpQ_IPoTwEMB9Yp6ymwlPqew/edit?gid=984458430#gid=984458430"",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50" s="61" t="str">
        <f>IFERROR(__xludf.DUMMYFUNCTION("vlookup(BB750,importrange(""https://docs.google.com/spreadsheets/d/1d2vevQ_7D_v35q4wCQ4RpQ_IPoTwEMB9Yp6ymwlPqew/edit?gid=984458430#gid=984458430"",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v>
      </c>
      <c r="BB750" s="61" t="str">
        <f>IFERROR(__xludf.DUMMYFUNCTION("REGEXREPLACE(G750, ""_[a-z]{1,2}$"", """")"),"Boyce_etal2023116_1")</f>
        <v>Boyce_etal2023116_1</v>
      </c>
      <c r="BC750" s="365"/>
      <c r="BD750" s="1135" t="s">
        <v>4099</v>
      </c>
      <c r="BE750" s="365"/>
      <c r="BF750" s="365"/>
      <c r="BG750" s="365"/>
      <c r="BH750" s="365"/>
      <c r="BI750" s="365"/>
      <c r="BJ750" s="365"/>
      <c r="BK750" s="365"/>
      <c r="BL750" s="365"/>
      <c r="BM750" s="365"/>
      <c r="BN750" s="365"/>
      <c r="BO750" s="365"/>
      <c r="BP750" s="365"/>
      <c r="BQ750" s="365"/>
      <c r="BR750" s="365"/>
      <c r="BS750" s="365"/>
      <c r="BT750" s="365"/>
      <c r="BU750" s="365"/>
      <c r="BV750" s="365"/>
      <c r="BW750" s="365"/>
      <c r="BX750" s="365"/>
      <c r="BY750" s="365"/>
      <c r="BZ750" s="365"/>
      <c r="CA750" s="365"/>
      <c r="CB750" s="365"/>
      <c r="CC750" s="365"/>
      <c r="CD750" s="365"/>
      <c r="CE750" s="365"/>
      <c r="CF750" s="365"/>
      <c r="CG750" s="365"/>
      <c r="CH750" s="365"/>
      <c r="CI750" s="365"/>
      <c r="CJ750" s="365"/>
      <c r="CK750" s="365"/>
      <c r="CL750" s="365"/>
      <c r="CM750" s="365"/>
      <c r="CN750" s="365"/>
      <c r="CO750" s="365"/>
      <c r="CP750" s="365"/>
      <c r="CQ750" s="365"/>
      <c r="CR750" s="365"/>
      <c r="CS750" s="365"/>
      <c r="CT750" s="365"/>
      <c r="CU750" s="365"/>
      <c r="CV750" s="365"/>
      <c r="CW750" s="365"/>
      <c r="CX750" s="365"/>
      <c r="CY750" s="365"/>
      <c r="CZ750" s="365"/>
      <c r="DA750" s="365"/>
      <c r="DB750" s="365"/>
      <c r="DC750" s="365"/>
      <c r="DD750" s="365"/>
      <c r="DE750" s="365"/>
      <c r="DF750" s="365"/>
      <c r="DG750" s="365"/>
      <c r="DH750" s="365"/>
      <c r="DI750" s="365"/>
      <c r="DJ750" s="365"/>
      <c r="DK750" s="365"/>
      <c r="DL750" s="365"/>
    </row>
    <row r="751" ht="20.25" customHeight="1">
      <c r="A751" s="44">
        <v>751.0</v>
      </c>
      <c r="B751" s="1135" t="s">
        <v>152</v>
      </c>
      <c r="C751" s="421" t="s">
        <v>115</v>
      </c>
      <c r="D751" s="421" t="s">
        <v>153</v>
      </c>
      <c r="E751" s="365"/>
      <c r="F751" s="436" t="s">
        <v>4108</v>
      </c>
      <c r="G751" s="430" t="s">
        <v>4086</v>
      </c>
      <c r="H751" s="1103" t="s">
        <v>153</v>
      </c>
      <c r="I751" s="1136">
        <v>45687.0</v>
      </c>
      <c r="J751" s="1136">
        <v>45692.0</v>
      </c>
      <c r="K751" s="433" t="s">
        <v>4109</v>
      </c>
      <c r="L751" s="1144" t="s">
        <v>4110</v>
      </c>
      <c r="M751" s="1103" t="s">
        <v>4090</v>
      </c>
      <c r="N751" s="1103" t="s">
        <v>4091</v>
      </c>
      <c r="O751" s="1137">
        <v>3.0</v>
      </c>
      <c r="P751" s="1103" t="str">
        <f t="shared" si="37"/>
        <v>10.1177--0956797615612202.pdf</v>
      </c>
      <c r="Q751" s="52" t="str">
        <f t="array" ref="Q751"> if(iserror(MATCH(V751, 'File Links'!C:C, 0)), "N/A", HYPERLINK(INDEX('File Links'!B:B, MATCH(P751, 'File Links'!C:C, 0))))</f>
        <v>https://drive.google.com/file/d/1d70WNl03Y6R-FQ2zFUG_7JzLtb7KIhMn/view?usp=drivesdk</v>
      </c>
      <c r="R751" s="1103" t="s">
        <v>3653</v>
      </c>
      <c r="S751" s="1103" t="s">
        <v>3654</v>
      </c>
      <c r="T751" s="436"/>
      <c r="U751" s="156">
        <v>1.0</v>
      </c>
      <c r="V751" s="1103" t="str">
        <f t="shared" si="41"/>
        <v>10.1098--rsos.231240.pdf</v>
      </c>
      <c r="W751" s="1103" t="s">
        <v>164</v>
      </c>
      <c r="X751" s="54" t="str">
        <f t="array" ref="X751"> if(iserror(MATCH(V751, 'File Links'!C:C, 0)), "N/A", HYPERLINK(INDEX('File Links'!B:B, MATCH(V751, 'File Links'!C:C, 0))))</f>
        <v>https://drive.google.com/file/d/17gaf2Zy_ljFfcAEDk5L8GBnTl5i7RGJE/view?usp=drivesdk</v>
      </c>
      <c r="Y751" s="436"/>
      <c r="Z751" s="1103" t="s">
        <v>226</v>
      </c>
      <c r="AA751" s="1103" t="s">
        <v>4093</v>
      </c>
      <c r="AB751" s="1103" t="s">
        <v>4111</v>
      </c>
      <c r="AC751" s="1103" t="s">
        <v>4112</v>
      </c>
      <c r="AD751" s="1103" t="s">
        <v>4113</v>
      </c>
      <c r="AE751" s="1145">
        <v>5.0</v>
      </c>
      <c r="AF751" s="1137">
        <v>145.0</v>
      </c>
      <c r="AG751" s="1145">
        <v>0.56</v>
      </c>
      <c r="AH751" s="1137" t="s">
        <v>173</v>
      </c>
      <c r="AI751" s="1145" t="s">
        <v>813</v>
      </c>
      <c r="AJ751" s="1146">
        <v>0.01</v>
      </c>
      <c r="AK751" s="430" t="s">
        <v>135</v>
      </c>
      <c r="AL751" s="430" t="s">
        <v>186</v>
      </c>
      <c r="AM751" s="1103" t="s">
        <v>141</v>
      </c>
      <c r="AN751" s="1135" t="s">
        <v>138</v>
      </c>
      <c r="AO751" s="1147">
        <v>128.0</v>
      </c>
      <c r="AP751" s="1148">
        <v>0.2079</v>
      </c>
      <c r="AQ751" s="219" t="s">
        <v>2619</v>
      </c>
      <c r="AR751" s="1149" t="s">
        <v>4114</v>
      </c>
      <c r="AS751" s="1137">
        <v>0.159</v>
      </c>
      <c r="AT751" s="1103" t="s">
        <v>172</v>
      </c>
      <c r="AU751" s="1103" t="s">
        <v>186</v>
      </c>
      <c r="AV751" s="1103" t="s">
        <v>141</v>
      </c>
      <c r="AW751" s="1139" t="s">
        <v>4102</v>
      </c>
      <c r="AX751" s="436" t="s">
        <v>151</v>
      </c>
      <c r="AY751" s="61" t="str">
        <f>IFERROR(__xludf.DUMMYFUNCTION("vlookup(BB751,importrange(""https://docs.google.com/spreadsheets/d/1d2vevQ_7D_v35q4wCQ4RpQ_IPoTwEMB9Yp6ymwlPqew/edit?gid=984458430#gid=984458430"", ""'replication success'!A:K""), 11, FAlSE)"),"successful")</f>
        <v>successful</v>
      </c>
      <c r="AZ751" s="61" t="str">
        <f>IFERROR(__xludf.DUMMYFUNCTION("vlookup(BB751,importrange(""https://docs.google.com/spreadsheets/d/1d2vevQ_7D_v35q4wCQ4RpQ_IPoTwEMB9Yp6ymwlPqew/edit?gid=984458430#gid=984458430"",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751" s="61" t="str">
        <f>IFERROR(__xludf.DUMMYFUNCTION("vlookup(BB751,importrange(""https://docs.google.com/spreadsheets/d/1d2vevQ_7D_v35q4wCQ4RpQ_IPoTwEMB9Yp6ymwlPqew/edit?gid=984458430#gid=984458430"",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v>
      </c>
      <c r="BB751" s="61" t="str">
        <f>IFERROR(__xludf.DUMMYFUNCTION("REGEXREPLACE(G751, ""_[a-z]{1,2}$"", """")"),"Boyce_etal2023116")</f>
        <v>Boyce_etal2023116</v>
      </c>
      <c r="BC751" s="1135" t="s">
        <v>4115</v>
      </c>
      <c r="BD751" s="1135" t="s">
        <v>4099</v>
      </c>
      <c r="BE751" s="365"/>
      <c r="BF751" s="365"/>
      <c r="BG751" s="365"/>
      <c r="BH751" s="365"/>
      <c r="BI751" s="365"/>
      <c r="BJ751" s="365"/>
      <c r="BK751" s="365"/>
      <c r="BL751" s="365"/>
      <c r="BM751" s="365"/>
      <c r="BN751" s="365"/>
      <c r="BO751" s="365"/>
      <c r="BP751" s="365"/>
      <c r="BQ751" s="365"/>
      <c r="BR751" s="365"/>
      <c r="BS751" s="365"/>
      <c r="BT751" s="365"/>
      <c r="BU751" s="365"/>
      <c r="BV751" s="365"/>
      <c r="BW751" s="365"/>
      <c r="BX751" s="365"/>
      <c r="BY751" s="365"/>
      <c r="BZ751" s="365"/>
      <c r="CA751" s="365"/>
      <c r="CB751" s="365"/>
      <c r="CC751" s="365"/>
      <c r="CD751" s="365"/>
      <c r="CE751" s="365"/>
      <c r="CF751" s="365"/>
      <c r="CG751" s="365"/>
      <c r="CH751" s="365"/>
      <c r="CI751" s="365"/>
      <c r="CJ751" s="365"/>
      <c r="CK751" s="365"/>
      <c r="CL751" s="365"/>
      <c r="CM751" s="365"/>
      <c r="CN751" s="365"/>
      <c r="CO751" s="365"/>
      <c r="CP751" s="365"/>
      <c r="CQ751" s="365"/>
      <c r="CR751" s="365"/>
      <c r="CS751" s="365"/>
      <c r="CT751" s="365"/>
      <c r="CU751" s="365"/>
      <c r="CV751" s="365"/>
      <c r="CW751" s="365"/>
      <c r="CX751" s="365"/>
      <c r="CY751" s="365"/>
      <c r="CZ751" s="365"/>
      <c r="DA751" s="365"/>
      <c r="DB751" s="365"/>
      <c r="DC751" s="365"/>
      <c r="DD751" s="365"/>
      <c r="DE751" s="365"/>
      <c r="DF751" s="365"/>
      <c r="DG751" s="365"/>
      <c r="DH751" s="365"/>
      <c r="DI751" s="365"/>
      <c r="DJ751" s="365"/>
      <c r="DK751" s="365"/>
      <c r="DL751" s="365"/>
    </row>
    <row r="752" ht="20.25" customHeight="1">
      <c r="A752" s="44">
        <v>752.0</v>
      </c>
      <c r="B752" s="1135" t="s">
        <v>152</v>
      </c>
      <c r="C752" s="421" t="s">
        <v>115</v>
      </c>
      <c r="D752" s="421" t="s">
        <v>153</v>
      </c>
      <c r="E752" s="365"/>
      <c r="F752" s="436" t="s">
        <v>4108</v>
      </c>
      <c r="G752" s="430" t="s">
        <v>4086</v>
      </c>
      <c r="H752" s="1103" t="s">
        <v>153</v>
      </c>
      <c r="I752" s="1136">
        <v>45687.0</v>
      </c>
      <c r="J752" s="1136">
        <v>45692.0</v>
      </c>
      <c r="K752" s="433" t="s">
        <v>4116</v>
      </c>
      <c r="L752" s="1135" t="s">
        <v>4117</v>
      </c>
      <c r="M752" s="1150" t="s">
        <v>4090</v>
      </c>
      <c r="N752" s="1103" t="s">
        <v>4091</v>
      </c>
      <c r="O752" s="1137">
        <v>3.0</v>
      </c>
      <c r="P752" s="1103" t="str">
        <f t="shared" si="37"/>
        <v>10.1177--0956797615612202.pdf</v>
      </c>
      <c r="Q752" s="52" t="str">
        <f t="array" ref="Q752"> if(iserror(MATCH(V752, 'File Links'!C:C, 0)), "N/A", HYPERLINK(INDEX('File Links'!B:B, MATCH(P752, 'File Links'!C:C, 0))))</f>
        <v>https://drive.google.com/file/d/1d70WNl03Y6R-FQ2zFUG_7JzLtb7KIhMn/view?usp=drivesdk</v>
      </c>
      <c r="R752" s="1103" t="s">
        <v>3653</v>
      </c>
      <c r="S752" s="1103" t="s">
        <v>3654</v>
      </c>
      <c r="T752" s="436"/>
      <c r="U752" s="156">
        <v>1.0</v>
      </c>
      <c r="V752" s="1103" t="str">
        <f t="shared" si="41"/>
        <v>10.1098--rsos.231240.pdf</v>
      </c>
      <c r="W752" s="1103" t="s">
        <v>164</v>
      </c>
      <c r="X752" s="54" t="str">
        <f t="array" ref="X752"> if(iserror(MATCH(V752, 'File Links'!C:C, 0)), "N/A", HYPERLINK(INDEX('File Links'!B:B, MATCH(V752, 'File Links'!C:C, 0))))</f>
        <v>https://drive.google.com/file/d/17gaf2Zy_ljFfcAEDk5L8GBnTl5i7RGJE/view?usp=drivesdk</v>
      </c>
      <c r="Y752" s="436"/>
      <c r="Z752" s="1103" t="s">
        <v>226</v>
      </c>
      <c r="AA752" s="1103" t="s">
        <v>4093</v>
      </c>
      <c r="AB752" s="1103" t="s">
        <v>4111</v>
      </c>
      <c r="AC752" s="1103" t="s">
        <v>4118</v>
      </c>
      <c r="AD752" s="1103" t="s">
        <v>4119</v>
      </c>
      <c r="AE752" s="1145">
        <v>6.0</v>
      </c>
      <c r="AF752" s="1151">
        <v>133.0</v>
      </c>
      <c r="AG752" s="1145">
        <v>0.51</v>
      </c>
      <c r="AH752" s="1137" t="s">
        <v>173</v>
      </c>
      <c r="AI752" s="1145" t="s">
        <v>140</v>
      </c>
      <c r="AJ752" s="1146">
        <v>0.01</v>
      </c>
      <c r="AK752" s="430" t="s">
        <v>135</v>
      </c>
      <c r="AL752" s="430" t="s">
        <v>186</v>
      </c>
      <c r="AM752" s="1103" t="s">
        <v>141</v>
      </c>
      <c r="AN752" s="1135" t="s">
        <v>138</v>
      </c>
      <c r="AO752" s="1152">
        <v>126.0</v>
      </c>
      <c r="AP752" s="1152">
        <v>0.370016595170749</v>
      </c>
      <c r="AQ752" s="1144" t="s">
        <v>173</v>
      </c>
      <c r="AR752" s="1153" t="s">
        <v>4120</v>
      </c>
      <c r="AS752" s="1151">
        <v>0.0506886504493445</v>
      </c>
      <c r="AT752" s="1103" t="s">
        <v>172</v>
      </c>
      <c r="AU752" s="1103" t="s">
        <v>186</v>
      </c>
      <c r="AV752" s="1103" t="s">
        <v>141</v>
      </c>
      <c r="AW752" s="1139" t="s">
        <v>4102</v>
      </c>
      <c r="AX752" s="436" t="s">
        <v>151</v>
      </c>
      <c r="AY752" s="61" t="str">
        <f>IFERROR(__xludf.DUMMYFUNCTION("vlookup(BB752,importrange(""https://docs.google.com/spreadsheets/d/1d2vevQ_7D_v35q4wCQ4RpQ_IPoTwEMB9Yp6ymwlPqew/edit?gid=984458430#gid=984458430"", ""'replication success'!A:K""), 11, FAlSE)"),"successful")</f>
        <v>successful</v>
      </c>
      <c r="AZ752" s="61" t="str">
        <f>IFERROR(__xludf.DUMMYFUNCTION("vlookup(BB752,importrange(""https://docs.google.com/spreadsheets/d/1d2vevQ_7D_v35q4wCQ4RpQ_IPoTwEMB9Yp6ymwlPqew/edit?gid=984458430#gid=984458430"",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752" s="61" t="str">
        <f>IFERROR(__xludf.DUMMYFUNCTION("vlookup(BB752,importrange(""https://docs.google.com/spreadsheets/d/1d2vevQ_7D_v35q4wCQ4RpQ_IPoTwEMB9Yp6ymwlPqew/edit?gid=984458430#gid=984458430"",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v>
      </c>
      <c r="BB752" s="61" t="str">
        <f>IFERROR(__xludf.DUMMYFUNCTION("REGEXREPLACE(G752, ""_[a-z]{1,2}$"", """")"),"Boyce_etal2023116")</f>
        <v>Boyce_etal2023116</v>
      </c>
      <c r="BC752" s="421" t="s">
        <v>4121</v>
      </c>
      <c r="BD752" s="1135" t="s">
        <v>4099</v>
      </c>
      <c r="BE752" s="365"/>
      <c r="BF752" s="365"/>
      <c r="BG752" s="365"/>
      <c r="BH752" s="365"/>
      <c r="BI752" s="365"/>
      <c r="BJ752" s="365"/>
      <c r="BK752" s="365"/>
      <c r="BL752" s="365"/>
      <c r="BM752" s="365"/>
      <c r="BN752" s="365"/>
      <c r="BO752" s="365"/>
      <c r="BP752" s="365"/>
      <c r="BQ752" s="365"/>
      <c r="BR752" s="365"/>
      <c r="BS752" s="365"/>
      <c r="BT752" s="365"/>
      <c r="BU752" s="365"/>
      <c r="BV752" s="365"/>
      <c r="BW752" s="365"/>
      <c r="BX752" s="365"/>
      <c r="BY752" s="365"/>
      <c r="BZ752" s="365"/>
      <c r="CA752" s="365"/>
      <c r="CB752" s="365"/>
      <c r="CC752" s="365"/>
      <c r="CD752" s="365"/>
      <c r="CE752" s="365"/>
      <c r="CF752" s="365"/>
      <c r="CG752" s="365"/>
      <c r="CH752" s="365"/>
      <c r="CI752" s="365"/>
      <c r="CJ752" s="365"/>
      <c r="CK752" s="365"/>
      <c r="CL752" s="365"/>
      <c r="CM752" s="365"/>
      <c r="CN752" s="365"/>
      <c r="CO752" s="365"/>
      <c r="CP752" s="365"/>
      <c r="CQ752" s="365"/>
      <c r="CR752" s="365"/>
      <c r="CS752" s="365"/>
      <c r="CT752" s="365"/>
      <c r="CU752" s="365"/>
      <c r="CV752" s="365"/>
      <c r="CW752" s="365"/>
      <c r="CX752" s="365"/>
      <c r="CY752" s="365"/>
      <c r="CZ752" s="365"/>
      <c r="DA752" s="365"/>
      <c r="DB752" s="365"/>
      <c r="DC752" s="365"/>
      <c r="DD752" s="365"/>
      <c r="DE752" s="365"/>
      <c r="DF752" s="365"/>
      <c r="DG752" s="365"/>
      <c r="DH752" s="365"/>
      <c r="DI752" s="365"/>
      <c r="DJ752" s="365"/>
      <c r="DK752" s="365"/>
      <c r="DL752" s="365"/>
    </row>
    <row r="753" ht="20.25" customHeight="1">
      <c r="A753" s="44">
        <v>753.0</v>
      </c>
      <c r="B753" s="1135" t="s">
        <v>114</v>
      </c>
      <c r="C753" s="421" t="s">
        <v>115</v>
      </c>
      <c r="D753" s="421" t="s">
        <v>248</v>
      </c>
      <c r="E753" s="365"/>
      <c r="F753" s="436" t="s">
        <v>4108</v>
      </c>
      <c r="G753" s="430" t="s">
        <v>4122</v>
      </c>
      <c r="H753" s="1103" t="s">
        <v>249</v>
      </c>
      <c r="I753" s="1136">
        <v>45670.0</v>
      </c>
      <c r="J753" s="1136">
        <v>45692.0</v>
      </c>
      <c r="K753" s="436"/>
      <c r="L753" s="1135" t="s">
        <v>4123</v>
      </c>
      <c r="M753" s="1103" t="s">
        <v>4090</v>
      </c>
      <c r="N753" s="1103" t="s">
        <v>4091</v>
      </c>
      <c r="O753" s="1135">
        <v>3.0</v>
      </c>
      <c r="P753" s="1103" t="str">
        <f t="shared" si="37"/>
        <v>10.1177--0956797615612202.pdf</v>
      </c>
      <c r="Q753" s="52" t="str">
        <f t="array" ref="Q753"> if(iserror(MATCH(V753, 'File Links'!C:C, 0)), "N/A", HYPERLINK(INDEX('File Links'!B:B, MATCH(P753, 'File Links'!C:C, 0))))</f>
        <v>https://drive.google.com/file/d/1d70WNl03Y6R-FQ2zFUG_7JzLtb7KIhMn/view?usp=drivesdk</v>
      </c>
      <c r="R753" s="1103" t="s">
        <v>3653</v>
      </c>
      <c r="S753" s="1103" t="s">
        <v>3654</v>
      </c>
      <c r="T753" s="436"/>
      <c r="U753" s="156">
        <v>1.0</v>
      </c>
      <c r="V753" s="1103" t="str">
        <f t="shared" si="41"/>
        <v>10.1098--rsos.231240.pdf</v>
      </c>
      <c r="W753" s="1103" t="s">
        <v>3665</v>
      </c>
      <c r="X753" s="54" t="str">
        <f t="array" ref="X753"> if(iserror(MATCH(V753, 'File Links'!C:C, 0)), "N/A", HYPERLINK(INDEX('File Links'!B:B, MATCH(V753, 'File Links'!C:C, 0))))</f>
        <v>https://drive.google.com/file/d/17gaf2Zy_ljFfcAEDk5L8GBnTl5i7RGJE/view?usp=drivesdk</v>
      </c>
      <c r="Y753" s="436"/>
      <c r="Z753" s="1103" t="s">
        <v>226</v>
      </c>
      <c r="AA753" s="436"/>
      <c r="AB753" s="1103" t="s">
        <v>4094</v>
      </c>
      <c r="AC753" s="436"/>
      <c r="AD753" s="1103" t="s">
        <v>4124</v>
      </c>
      <c r="AE753" s="1137">
        <v>6.0</v>
      </c>
      <c r="AF753" s="1151">
        <v>133.0</v>
      </c>
      <c r="AG753" s="1137">
        <v>0.51</v>
      </c>
      <c r="AH753" s="1103" t="s">
        <v>173</v>
      </c>
      <c r="AI753" s="1103" t="s">
        <v>140</v>
      </c>
      <c r="AJ753" s="1138">
        <v>0.01</v>
      </c>
      <c r="AK753" s="430" t="s">
        <v>135</v>
      </c>
      <c r="AL753" s="430" t="s">
        <v>186</v>
      </c>
      <c r="AM753" s="1103" t="s">
        <v>141</v>
      </c>
      <c r="AN753" s="1135" t="s">
        <v>138</v>
      </c>
      <c r="AO753" s="1137">
        <v>126.0</v>
      </c>
      <c r="AP753" s="1137">
        <v>0.370016595170749</v>
      </c>
      <c r="AQ753" s="1103" t="s">
        <v>173</v>
      </c>
      <c r="AR753" s="1153" t="s">
        <v>4120</v>
      </c>
      <c r="AS753" s="1140">
        <v>0.0506886504493445</v>
      </c>
      <c r="AT753" s="1103" t="s">
        <v>172</v>
      </c>
      <c r="AU753" s="1103" t="s">
        <v>186</v>
      </c>
      <c r="AV753" s="1103" t="s">
        <v>141</v>
      </c>
      <c r="AW753" s="1139" t="s">
        <v>4102</v>
      </c>
      <c r="AX753" s="1103" t="s">
        <v>143</v>
      </c>
      <c r="AY753" s="61" t="str">
        <f>IFERROR(__xludf.DUMMYFUNCTION("vlookup(BB753,importrange(""https://docs.google.com/spreadsheets/d/1d2vevQ_7D_v35q4wCQ4RpQ_IPoTwEMB9Yp6ymwlPqew/edit?gid=984458430#gid=984458430"", ""'replication success'!A:K""), 11, FAlSE)"),"failed")</f>
        <v>failed</v>
      </c>
      <c r="AZ753" s="61" t="str">
        <f>IFERROR(__xludf.DUMMYFUNCTION("vlookup(BB753,importrange(""https://docs.google.com/spreadsheets/d/1d2vevQ_7D_v35q4wCQ4RpQ_IPoTwEMB9Yp6ymwlPqew/edit?gid=984458430#gid=984458430"",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53" s="61" t="str">
        <f>IFERROR(__xludf.DUMMYFUNCTION("vlookup(BB753,importrange(""https://docs.google.com/spreadsheets/d/1d2vevQ_7D_v35q4wCQ4RpQ_IPoTwEMB9Yp6ymwlPqew/edit?gid=984458430#gid=984458430"",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v>
      </c>
      <c r="BB753" s="61" t="str">
        <f>IFERROR(__xludf.DUMMYFUNCTION("REGEXREPLACE(G753, ""_[a-z]{1,2}$"", """")"),"Boyce_etal2023116_1")</f>
        <v>Boyce_etal2023116_1</v>
      </c>
      <c r="BC753" s="365"/>
      <c r="BD753" s="1135" t="s">
        <v>4099</v>
      </c>
      <c r="BE753" s="365"/>
      <c r="BF753" s="365"/>
      <c r="BG753" s="365"/>
      <c r="BH753" s="365"/>
      <c r="BI753" s="365"/>
      <c r="BJ753" s="365"/>
      <c r="BK753" s="365"/>
      <c r="BL753" s="365"/>
      <c r="BM753" s="365"/>
      <c r="BN753" s="365"/>
      <c r="BO753" s="365"/>
      <c r="BP753" s="365"/>
      <c r="BQ753" s="365"/>
      <c r="BR753" s="365"/>
      <c r="BS753" s="365"/>
      <c r="BT753" s="365"/>
      <c r="BU753" s="365"/>
      <c r="BV753" s="365"/>
      <c r="BW753" s="365"/>
      <c r="BX753" s="365"/>
      <c r="BY753" s="365"/>
      <c r="BZ753" s="365"/>
      <c r="CA753" s="365"/>
      <c r="CB753" s="365"/>
      <c r="CC753" s="365"/>
      <c r="CD753" s="365"/>
      <c r="CE753" s="365"/>
      <c r="CF753" s="365"/>
      <c r="CG753" s="365"/>
      <c r="CH753" s="365"/>
      <c r="CI753" s="365"/>
      <c r="CJ753" s="365"/>
      <c r="CK753" s="365"/>
      <c r="CL753" s="365"/>
      <c r="CM753" s="365"/>
      <c r="CN753" s="365"/>
      <c r="CO753" s="365"/>
      <c r="CP753" s="365"/>
      <c r="CQ753" s="365"/>
      <c r="CR753" s="365"/>
      <c r="CS753" s="365"/>
      <c r="CT753" s="365"/>
      <c r="CU753" s="365"/>
      <c r="CV753" s="365"/>
      <c r="CW753" s="365"/>
      <c r="CX753" s="365"/>
      <c r="CY753" s="365"/>
      <c r="CZ753" s="365"/>
      <c r="DA753" s="365"/>
      <c r="DB753" s="365"/>
      <c r="DC753" s="365"/>
      <c r="DD753" s="365"/>
      <c r="DE753" s="365"/>
      <c r="DF753" s="365"/>
      <c r="DG753" s="365"/>
      <c r="DH753" s="365"/>
      <c r="DI753" s="365"/>
      <c r="DJ753" s="365"/>
      <c r="DK753" s="365"/>
      <c r="DL753" s="365"/>
    </row>
    <row r="754" ht="20.25" customHeight="1">
      <c r="A754" s="44">
        <v>754.0</v>
      </c>
      <c r="B754" s="1135" t="s">
        <v>152</v>
      </c>
      <c r="C754" s="421" t="s">
        <v>115</v>
      </c>
      <c r="D754" s="421" t="s">
        <v>153</v>
      </c>
      <c r="E754" s="365"/>
      <c r="F754" s="436" t="s">
        <v>4108</v>
      </c>
      <c r="G754" s="430" t="s">
        <v>4086</v>
      </c>
      <c r="H754" s="1103" t="s">
        <v>153</v>
      </c>
      <c r="I754" s="1136">
        <v>45687.0</v>
      </c>
      <c r="J754" s="1136">
        <v>45692.0</v>
      </c>
      <c r="K754" s="433" t="s">
        <v>4125</v>
      </c>
      <c r="L754" s="1135" t="s">
        <v>4126</v>
      </c>
      <c r="M754" s="1103" t="s">
        <v>4090</v>
      </c>
      <c r="N754" s="1103" t="s">
        <v>4091</v>
      </c>
      <c r="O754" s="1137">
        <v>3.0</v>
      </c>
      <c r="P754" s="1103" t="str">
        <f t="shared" si="37"/>
        <v>10.1177--0956797615612202.pdf</v>
      </c>
      <c r="Q754" s="52" t="str">
        <f t="array" ref="Q754"> if(iserror(MATCH(V754, 'File Links'!C:C, 0)), "N/A", HYPERLINK(INDEX('File Links'!B:B, MATCH(P754, 'File Links'!C:C, 0))))</f>
        <v>https://drive.google.com/file/d/1d70WNl03Y6R-FQ2zFUG_7JzLtb7KIhMn/view?usp=drivesdk</v>
      </c>
      <c r="R754" s="1103" t="s">
        <v>3653</v>
      </c>
      <c r="S754" s="1103" t="s">
        <v>3654</v>
      </c>
      <c r="T754" s="436"/>
      <c r="U754" s="156">
        <v>1.0</v>
      </c>
      <c r="V754" s="1103" t="str">
        <f t="shared" si="41"/>
        <v>10.1098--rsos.231240.pdf</v>
      </c>
      <c r="W754" s="1103" t="s">
        <v>164</v>
      </c>
      <c r="X754" s="54" t="str">
        <f t="array" ref="X754"> if(iserror(MATCH(V754, 'File Links'!C:C, 0)), "N/A", HYPERLINK(INDEX('File Links'!B:B, MATCH(V754, 'File Links'!C:C, 0))))</f>
        <v>https://drive.google.com/file/d/17gaf2Zy_ljFfcAEDk5L8GBnTl5i7RGJE/view?usp=drivesdk</v>
      </c>
      <c r="Y754" s="436"/>
      <c r="Z754" s="1103" t="s">
        <v>226</v>
      </c>
      <c r="AA754" s="1103" t="s">
        <v>4093</v>
      </c>
      <c r="AB754" s="1103" t="s">
        <v>4111</v>
      </c>
      <c r="AC754" s="1103" t="s">
        <v>4127</v>
      </c>
      <c r="AD754" s="1103" t="s">
        <v>4128</v>
      </c>
      <c r="AE754" s="1145">
        <v>6.0</v>
      </c>
      <c r="AF754" s="1151">
        <v>133.0</v>
      </c>
      <c r="AG754" s="1145" t="s">
        <v>4129</v>
      </c>
      <c r="AH754" s="1137" t="s">
        <v>134</v>
      </c>
      <c r="AI754" s="1145" t="s">
        <v>140</v>
      </c>
      <c r="AJ754" s="1154" t="s">
        <v>138</v>
      </c>
      <c r="AK754" s="1135" t="s">
        <v>138</v>
      </c>
      <c r="AL754" s="430" t="s">
        <v>186</v>
      </c>
      <c r="AM754" s="1103" t="s">
        <v>141</v>
      </c>
      <c r="AN754" s="1135" t="s">
        <v>138</v>
      </c>
      <c r="AO754" s="1145">
        <v>128.0</v>
      </c>
      <c r="AP754" s="1145">
        <v>-9.25</v>
      </c>
      <c r="AQ754" s="1137" t="s">
        <v>987</v>
      </c>
      <c r="AR754" s="1139" t="s">
        <v>4130</v>
      </c>
      <c r="AS754" s="1137">
        <v>5.85E-4</v>
      </c>
      <c r="AT754" s="1103" t="s">
        <v>172</v>
      </c>
      <c r="AU754" s="1103" t="s">
        <v>186</v>
      </c>
      <c r="AV754" s="1103" t="s">
        <v>141</v>
      </c>
      <c r="AW754" s="1139" t="s">
        <v>4102</v>
      </c>
      <c r="AX754" s="436" t="s">
        <v>151</v>
      </c>
      <c r="AY754" s="61" t="str">
        <f>IFERROR(__xludf.DUMMYFUNCTION("vlookup(BB754,importrange(""https://docs.google.com/spreadsheets/d/1d2vevQ_7D_v35q4wCQ4RpQ_IPoTwEMB9Yp6ymwlPqew/edit?gid=984458430#gid=984458430"", ""'replication success'!A:K""), 11, FAlSE)"),"successful")</f>
        <v>successful</v>
      </c>
      <c r="AZ754" s="61" t="str">
        <f>IFERROR(__xludf.DUMMYFUNCTION("vlookup(BB754,importrange(""https://docs.google.com/spreadsheets/d/1d2vevQ_7D_v35q4wCQ4RpQ_IPoTwEMB9Yp6ymwlPqew/edit?gid=984458430#gid=984458430"",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754" s="61" t="str">
        <f>IFERROR(__xludf.DUMMYFUNCTION("vlookup(BB754,importrange(""https://docs.google.com/spreadsheets/d/1d2vevQ_7D_v35q4wCQ4RpQ_IPoTwEMB9Yp6ymwlPqew/edit?gid=984458430#gid=984458430"",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v>
      </c>
      <c r="BB754" s="61" t="str">
        <f>IFERROR(__xludf.DUMMYFUNCTION("REGEXREPLACE(G754, ""_[a-z]{1,2}$"", """")"),"Boyce_etal2023116")</f>
        <v>Boyce_etal2023116</v>
      </c>
      <c r="BC754" s="421" t="s">
        <v>4131</v>
      </c>
      <c r="BD754" s="1135" t="s">
        <v>4099</v>
      </c>
      <c r="BE754" s="365"/>
      <c r="BF754" s="365"/>
      <c r="BG754" s="365"/>
      <c r="BH754" s="365"/>
      <c r="BI754" s="365"/>
      <c r="BJ754" s="365"/>
      <c r="BK754" s="365"/>
      <c r="BL754" s="365"/>
      <c r="BM754" s="365"/>
      <c r="BN754" s="365"/>
      <c r="BO754" s="365"/>
      <c r="BP754" s="365"/>
      <c r="BQ754" s="365"/>
      <c r="BR754" s="365"/>
      <c r="BS754" s="365"/>
      <c r="BT754" s="365"/>
      <c r="BU754" s="365"/>
      <c r="BV754" s="365"/>
      <c r="BW754" s="365"/>
      <c r="BX754" s="365"/>
      <c r="BY754" s="365"/>
      <c r="BZ754" s="365"/>
      <c r="CA754" s="365"/>
      <c r="CB754" s="365"/>
      <c r="CC754" s="365"/>
      <c r="CD754" s="365"/>
      <c r="CE754" s="365"/>
      <c r="CF754" s="365"/>
      <c r="CG754" s="365"/>
      <c r="CH754" s="365"/>
      <c r="CI754" s="365"/>
      <c r="CJ754" s="365"/>
      <c r="CK754" s="365"/>
      <c r="CL754" s="365"/>
      <c r="CM754" s="365"/>
      <c r="CN754" s="365"/>
      <c r="CO754" s="365"/>
      <c r="CP754" s="365"/>
      <c r="CQ754" s="365"/>
      <c r="CR754" s="365"/>
      <c r="CS754" s="365"/>
      <c r="CT754" s="365"/>
      <c r="CU754" s="365"/>
      <c r="CV754" s="365"/>
      <c r="CW754" s="365"/>
      <c r="CX754" s="365"/>
      <c r="CY754" s="365"/>
      <c r="CZ754" s="365"/>
      <c r="DA754" s="365"/>
      <c r="DB754" s="365"/>
      <c r="DC754" s="365"/>
      <c r="DD754" s="365"/>
      <c r="DE754" s="365"/>
      <c r="DF754" s="365"/>
      <c r="DG754" s="365"/>
      <c r="DH754" s="365"/>
      <c r="DI754" s="365"/>
      <c r="DJ754" s="365"/>
      <c r="DK754" s="365"/>
      <c r="DL754" s="365"/>
    </row>
    <row r="755" ht="20.25" customHeight="1">
      <c r="A755" s="44">
        <v>755.0</v>
      </c>
      <c r="B755" s="1135" t="s">
        <v>152</v>
      </c>
      <c r="C755" s="421" t="s">
        <v>115</v>
      </c>
      <c r="D755" s="421" t="s">
        <v>153</v>
      </c>
      <c r="E755" s="365"/>
      <c r="F755" s="436" t="s">
        <v>4132</v>
      </c>
      <c r="G755" s="430" t="s">
        <v>4133</v>
      </c>
      <c r="H755" s="1103" t="s">
        <v>153</v>
      </c>
      <c r="I755" s="1136">
        <v>45687.0</v>
      </c>
      <c r="J755" s="1155">
        <v>45722.0</v>
      </c>
      <c r="K755" s="433" t="s">
        <v>4134</v>
      </c>
      <c r="L755" s="1153" t="s">
        <v>4135</v>
      </c>
      <c r="M755" s="1103" t="s">
        <v>4090</v>
      </c>
      <c r="N755" s="1103" t="s">
        <v>4091</v>
      </c>
      <c r="O755" s="1137" t="s">
        <v>4092</v>
      </c>
      <c r="P755" s="1103" t="str">
        <f t="shared" si="37"/>
        <v>10.1177--0956797615612202.pdf</v>
      </c>
      <c r="Q755" s="52" t="str">
        <f t="array" ref="Q755"> if(iserror(MATCH(V755, 'File Links'!C:C, 0)), "N/A", HYPERLINK(INDEX('File Links'!B:B, MATCH(P755, 'File Links'!C:C, 0))))</f>
        <v>https://drive.google.com/file/d/1d70WNl03Y6R-FQ2zFUG_7JzLtb7KIhMn/view?usp=drivesdk</v>
      </c>
      <c r="R755" s="1103" t="s">
        <v>3653</v>
      </c>
      <c r="S755" s="1103" t="s">
        <v>3654</v>
      </c>
      <c r="T755" s="436"/>
      <c r="U755" s="156">
        <v>1.0</v>
      </c>
      <c r="V755" s="1103" t="str">
        <f t="shared" si="41"/>
        <v>10.1098--rsos.231240.pdf</v>
      </c>
      <c r="W755" s="1103" t="s">
        <v>164</v>
      </c>
      <c r="X755" s="54" t="str">
        <f t="array" ref="X755"> if(iserror(MATCH(V755, 'File Links'!C:C, 0)), "N/A", HYPERLINK(INDEX('File Links'!B:B, MATCH(V755, 'File Links'!C:C, 0))))</f>
        <v>https://drive.google.com/file/d/17gaf2Zy_ljFfcAEDk5L8GBnTl5i7RGJE/view?usp=drivesdk</v>
      </c>
      <c r="Y755" s="436"/>
      <c r="Z755" s="1103" t="s">
        <v>226</v>
      </c>
      <c r="AA755" s="1103" t="s">
        <v>4093</v>
      </c>
      <c r="AB755" s="1103" t="s">
        <v>4111</v>
      </c>
      <c r="AC755" s="1103" t="s">
        <v>4136</v>
      </c>
      <c r="AD755" s="1103" t="s">
        <v>4137</v>
      </c>
      <c r="AE755" s="1137">
        <v>3.0</v>
      </c>
      <c r="AF755" s="1137">
        <v>88.0</v>
      </c>
      <c r="AG755" s="1137">
        <v>0.53</v>
      </c>
      <c r="AH755" s="1137" t="s">
        <v>173</v>
      </c>
      <c r="AI755" s="1137" t="s">
        <v>217</v>
      </c>
      <c r="AJ755" s="1138">
        <v>0.016</v>
      </c>
      <c r="AK755" s="430" t="s">
        <v>135</v>
      </c>
      <c r="AL755" s="430" t="s">
        <v>186</v>
      </c>
      <c r="AM755" s="1103" t="s">
        <v>141</v>
      </c>
      <c r="AN755" s="1135" t="s">
        <v>138</v>
      </c>
      <c r="AO755" s="1137">
        <v>119.0</v>
      </c>
      <c r="AP755" s="1137">
        <v>0.64</v>
      </c>
      <c r="AQ755" s="1137" t="s">
        <v>173</v>
      </c>
      <c r="AR755" s="1156" t="s">
        <v>813</v>
      </c>
      <c r="AS755" s="1137">
        <v>0.001</v>
      </c>
      <c r="AT755" s="1103" t="s">
        <v>135</v>
      </c>
      <c r="AU755" s="1103" t="s">
        <v>186</v>
      </c>
      <c r="AV755" s="1103" t="s">
        <v>141</v>
      </c>
      <c r="AW755" s="1135" t="s">
        <v>138</v>
      </c>
      <c r="AX755" s="436" t="s">
        <v>143</v>
      </c>
      <c r="AY755" s="61" t="str">
        <f>IFERROR(__xludf.DUMMYFUNCTION("vlookup(BB755,importrange(""https://docs.google.com/spreadsheets/d/1d2vevQ_7D_v35q4wCQ4RpQ_IPoTwEMB9Yp6ymwlPqew/edit?gid=984458430#gid=984458430"", ""'replication success'!A:K""), 11, FAlSE)"),"#N/A")</f>
        <v>#N/A</v>
      </c>
      <c r="AZ755" s="61" t="str">
        <f>IFERROR(__xludf.DUMMYFUNCTION("vlookup(BB755,importrange(""https://docs.google.com/spreadsheets/d/1d2vevQ_7D_v35q4wCQ4RpQ_IPoTwEMB9Yp6ymwlPqew/edit?gid=984458430#gid=984458430"", ""'replication success'!A:M""), 12, FAlSE)"),"#N/A")</f>
        <v>#N/A</v>
      </c>
      <c r="BA755" s="61" t="str">
        <f>IFERROR(__xludf.DUMMYFUNCTION("vlookup(BB755,importrange(""https://docs.google.com/spreadsheets/d/1d2vevQ_7D_v35q4wCQ4RpQ_IPoTwEMB9Yp6ymwlPqew/edit?gid=984458430#gid=984458430"", ""'replication success'!A:M""), 13, FAlSE)"),"#N/A")</f>
        <v>#N/A</v>
      </c>
      <c r="BB755" s="61" t="str">
        <f>IFERROR(__xludf.DUMMYFUNCTION("REGEXREPLACE(G755, ""_[a-z]{1,2}$"", """")"),"Boyce_etal2023117")</f>
        <v>Boyce_etal2023117</v>
      </c>
      <c r="BC755" s="421" t="s">
        <v>4138</v>
      </c>
      <c r="BD755" s="1135" t="s">
        <v>4139</v>
      </c>
      <c r="BE755" s="365"/>
      <c r="BF755" s="365"/>
      <c r="BG755" s="365"/>
      <c r="BH755" s="365"/>
      <c r="BI755" s="365"/>
      <c r="BJ755" s="365"/>
      <c r="BK755" s="365"/>
      <c r="BL755" s="365"/>
      <c r="BM755" s="365"/>
      <c r="BN755" s="365"/>
      <c r="BO755" s="365"/>
      <c r="BP755" s="365"/>
      <c r="BQ755" s="365"/>
      <c r="BR755" s="365"/>
      <c r="BS755" s="365"/>
      <c r="BT755" s="365"/>
      <c r="BU755" s="365"/>
      <c r="BV755" s="365"/>
      <c r="BW755" s="365"/>
      <c r="BX755" s="365"/>
      <c r="BY755" s="365"/>
      <c r="BZ755" s="365"/>
      <c r="CA755" s="365"/>
      <c r="CB755" s="365"/>
      <c r="CC755" s="365"/>
      <c r="CD755" s="365"/>
      <c r="CE755" s="365"/>
      <c r="CF755" s="365"/>
      <c r="CG755" s="365"/>
      <c r="CH755" s="365"/>
      <c r="CI755" s="365"/>
      <c r="CJ755" s="365"/>
      <c r="CK755" s="365"/>
      <c r="CL755" s="365"/>
      <c r="CM755" s="365"/>
      <c r="CN755" s="365"/>
      <c r="CO755" s="365"/>
      <c r="CP755" s="365"/>
      <c r="CQ755" s="365"/>
      <c r="CR755" s="365"/>
      <c r="CS755" s="365"/>
      <c r="CT755" s="365"/>
      <c r="CU755" s="365"/>
      <c r="CV755" s="365"/>
      <c r="CW755" s="365"/>
      <c r="CX755" s="365"/>
      <c r="CY755" s="365"/>
      <c r="CZ755" s="365"/>
      <c r="DA755" s="365"/>
      <c r="DB755" s="365"/>
      <c r="DC755" s="365"/>
      <c r="DD755" s="365"/>
      <c r="DE755" s="365"/>
      <c r="DF755" s="365"/>
      <c r="DG755" s="365"/>
      <c r="DH755" s="365"/>
      <c r="DI755" s="365"/>
      <c r="DJ755" s="365"/>
      <c r="DK755" s="365"/>
      <c r="DL755" s="365"/>
    </row>
    <row r="756" ht="20.25" customHeight="1">
      <c r="A756" s="44">
        <v>756.0</v>
      </c>
      <c r="B756" s="1135" t="s">
        <v>152</v>
      </c>
      <c r="C756" s="421" t="s">
        <v>115</v>
      </c>
      <c r="D756" s="421" t="s">
        <v>153</v>
      </c>
      <c r="E756" s="365"/>
      <c r="F756" s="436" t="s">
        <v>4132</v>
      </c>
      <c r="G756" s="430" t="s">
        <v>4140</v>
      </c>
      <c r="H756" s="1103" t="s">
        <v>153</v>
      </c>
      <c r="I756" s="1136">
        <v>45687.0</v>
      </c>
      <c r="J756" s="1155">
        <v>45722.0</v>
      </c>
      <c r="K756" s="433" t="s">
        <v>4141</v>
      </c>
      <c r="L756" s="1153" t="s">
        <v>4142</v>
      </c>
      <c r="M756" s="1103" t="s">
        <v>4090</v>
      </c>
      <c r="N756" s="1103" t="s">
        <v>4091</v>
      </c>
      <c r="O756" s="1137" t="s">
        <v>4092</v>
      </c>
      <c r="P756" s="1103" t="str">
        <f t="shared" si="37"/>
        <v>10.1177--0956797615612202.pdf</v>
      </c>
      <c r="Q756" s="52" t="str">
        <f t="array" ref="Q756"> if(iserror(MATCH(V756, 'File Links'!C:C, 0)), "N/A", HYPERLINK(INDEX('File Links'!B:B, MATCH(P756, 'File Links'!C:C, 0))))</f>
        <v>https://drive.google.com/file/d/1d70WNl03Y6R-FQ2zFUG_7JzLtb7KIhMn/view?usp=drivesdk</v>
      </c>
      <c r="R756" s="1103" t="s">
        <v>3653</v>
      </c>
      <c r="S756" s="1103" t="s">
        <v>3654</v>
      </c>
      <c r="T756" s="436"/>
      <c r="U756" s="156">
        <v>1.0</v>
      </c>
      <c r="V756" s="1103" t="str">
        <f t="shared" si="41"/>
        <v>10.1098--rsos.231240.pdf</v>
      </c>
      <c r="W756" s="1103" t="s">
        <v>164</v>
      </c>
      <c r="X756" s="54" t="str">
        <f t="array" ref="X756"> if(iserror(MATCH(V756, 'File Links'!C:C, 0)), "N/A", HYPERLINK(INDEX('File Links'!B:B, MATCH(V756, 'File Links'!C:C, 0))))</f>
        <v>https://drive.google.com/file/d/17gaf2Zy_ljFfcAEDk5L8GBnTl5i7RGJE/view?usp=drivesdk</v>
      </c>
      <c r="Y756" s="436"/>
      <c r="Z756" s="1103" t="s">
        <v>226</v>
      </c>
      <c r="AA756" s="1103" t="s">
        <v>4093</v>
      </c>
      <c r="AB756" s="1103" t="s">
        <v>4111</v>
      </c>
      <c r="AC756" s="1103" t="s">
        <v>4143</v>
      </c>
      <c r="AD756" s="1103" t="s">
        <v>4144</v>
      </c>
      <c r="AE756" s="1137">
        <v>3.0</v>
      </c>
      <c r="AF756" s="1137">
        <v>88.0</v>
      </c>
      <c r="AG756" s="1137">
        <v>0.8</v>
      </c>
      <c r="AH756" s="1137" t="s">
        <v>173</v>
      </c>
      <c r="AI756" s="1137" t="s">
        <v>217</v>
      </c>
      <c r="AJ756" s="1138">
        <v>0.001</v>
      </c>
      <c r="AK756" s="430" t="s">
        <v>135</v>
      </c>
      <c r="AL756" s="430" t="s">
        <v>186</v>
      </c>
      <c r="AM756" s="1103" t="s">
        <v>141</v>
      </c>
      <c r="AN756" s="1135" t="s">
        <v>138</v>
      </c>
      <c r="AO756" s="1137">
        <v>119.0</v>
      </c>
      <c r="AP756" s="1137">
        <v>0.96</v>
      </c>
      <c r="AQ756" s="1137" t="s">
        <v>173</v>
      </c>
      <c r="AR756" s="1156" t="s">
        <v>813</v>
      </c>
      <c r="AS756" s="1137">
        <v>0.001</v>
      </c>
      <c r="AT756" s="1103" t="s">
        <v>135</v>
      </c>
      <c r="AU756" s="1103" t="s">
        <v>186</v>
      </c>
      <c r="AV756" s="1103" t="s">
        <v>141</v>
      </c>
      <c r="AW756" s="1135" t="s">
        <v>138</v>
      </c>
      <c r="AX756" s="436" t="s">
        <v>143</v>
      </c>
      <c r="AY756" s="61" t="str">
        <f>IFERROR(__xludf.DUMMYFUNCTION("vlookup(BB756,importrange(""https://docs.google.com/spreadsheets/d/1d2vevQ_7D_v35q4wCQ4RpQ_IPoTwEMB9Yp6ymwlPqew/edit?gid=984458430#gid=984458430"", ""'replication success'!A:K""), 11, FAlSE)"),"#N/A")</f>
        <v>#N/A</v>
      </c>
      <c r="AZ756" s="61" t="str">
        <f>IFERROR(__xludf.DUMMYFUNCTION("vlookup(BB756,importrange(""https://docs.google.com/spreadsheets/d/1d2vevQ_7D_v35q4wCQ4RpQ_IPoTwEMB9Yp6ymwlPqew/edit?gid=984458430#gid=984458430"", ""'replication success'!A:M""), 12, FAlSE)"),"#N/A")</f>
        <v>#N/A</v>
      </c>
      <c r="BA756" s="61" t="str">
        <f>IFERROR(__xludf.DUMMYFUNCTION("vlookup(BB756,importrange(""https://docs.google.com/spreadsheets/d/1d2vevQ_7D_v35q4wCQ4RpQ_IPoTwEMB9Yp6ymwlPqew/edit?gid=984458430#gid=984458430"", ""'replication success'!A:M""), 13, FAlSE)"),"#N/A")</f>
        <v>#N/A</v>
      </c>
      <c r="BB756" s="61" t="str">
        <f>IFERROR(__xludf.DUMMYFUNCTION("REGEXREPLACE(G756, ""_[a-z]{1,2}$"", """")"),"Boyce_etal2023117")</f>
        <v>Boyce_etal2023117</v>
      </c>
      <c r="BC756" s="365"/>
      <c r="BD756" s="1135" t="s">
        <v>4139</v>
      </c>
      <c r="BE756" s="365"/>
      <c r="BF756" s="365"/>
      <c r="BG756" s="365"/>
      <c r="BH756" s="365"/>
      <c r="BI756" s="365"/>
      <c r="BJ756" s="365"/>
      <c r="BK756" s="365"/>
      <c r="BL756" s="365"/>
      <c r="BM756" s="365"/>
      <c r="BN756" s="365"/>
      <c r="BO756" s="365"/>
      <c r="BP756" s="365"/>
      <c r="BQ756" s="365"/>
      <c r="BR756" s="365"/>
      <c r="BS756" s="365"/>
      <c r="BT756" s="365"/>
      <c r="BU756" s="365"/>
      <c r="BV756" s="365"/>
      <c r="BW756" s="365"/>
      <c r="BX756" s="365"/>
      <c r="BY756" s="365"/>
      <c r="BZ756" s="365"/>
      <c r="CA756" s="365"/>
      <c r="CB756" s="365"/>
      <c r="CC756" s="365"/>
      <c r="CD756" s="365"/>
      <c r="CE756" s="365"/>
      <c r="CF756" s="365"/>
      <c r="CG756" s="365"/>
      <c r="CH756" s="365"/>
      <c r="CI756" s="365"/>
      <c r="CJ756" s="365"/>
      <c r="CK756" s="365"/>
      <c r="CL756" s="365"/>
      <c r="CM756" s="365"/>
      <c r="CN756" s="365"/>
      <c r="CO756" s="365"/>
      <c r="CP756" s="365"/>
      <c r="CQ756" s="365"/>
      <c r="CR756" s="365"/>
      <c r="CS756" s="365"/>
      <c r="CT756" s="365"/>
      <c r="CU756" s="365"/>
      <c r="CV756" s="365"/>
      <c r="CW756" s="365"/>
      <c r="CX756" s="365"/>
      <c r="CY756" s="365"/>
      <c r="CZ756" s="365"/>
      <c r="DA756" s="365"/>
      <c r="DB756" s="365"/>
      <c r="DC756" s="365"/>
      <c r="DD756" s="365"/>
      <c r="DE756" s="365"/>
      <c r="DF756" s="365"/>
      <c r="DG756" s="365"/>
      <c r="DH756" s="365"/>
      <c r="DI756" s="365"/>
      <c r="DJ756" s="365"/>
      <c r="DK756" s="365"/>
      <c r="DL756" s="365"/>
    </row>
    <row r="757">
      <c r="A757" s="44">
        <v>757.0</v>
      </c>
      <c r="B757" s="1135" t="s">
        <v>152</v>
      </c>
      <c r="C757" s="421" t="s">
        <v>115</v>
      </c>
      <c r="D757" s="421" t="s">
        <v>153</v>
      </c>
      <c r="E757" s="365"/>
      <c r="F757" s="436" t="s">
        <v>4132</v>
      </c>
      <c r="G757" s="430" t="s">
        <v>4145</v>
      </c>
      <c r="H757" s="1103" t="s">
        <v>153</v>
      </c>
      <c r="I757" s="1136">
        <v>45687.0</v>
      </c>
      <c r="J757" s="1155">
        <v>45722.0</v>
      </c>
      <c r="K757" s="433" t="s">
        <v>4146</v>
      </c>
      <c r="L757" s="1153" t="s">
        <v>4147</v>
      </c>
      <c r="M757" s="1103" t="s">
        <v>4090</v>
      </c>
      <c r="N757" s="1103" t="s">
        <v>4091</v>
      </c>
      <c r="O757" s="1137" t="s">
        <v>4092</v>
      </c>
      <c r="P757" s="1103" t="str">
        <f t="shared" si="37"/>
        <v>10.1177--0956797615612202.pdf</v>
      </c>
      <c r="Q757" s="52" t="str">
        <f t="array" ref="Q757"> if(iserror(MATCH(V757, 'File Links'!C:C, 0)), "N/A", HYPERLINK(INDEX('File Links'!B:B, MATCH(P757, 'File Links'!C:C, 0))))</f>
        <v>https://drive.google.com/file/d/1d70WNl03Y6R-FQ2zFUG_7JzLtb7KIhMn/view?usp=drivesdk</v>
      </c>
      <c r="R757" s="1103" t="s">
        <v>3653</v>
      </c>
      <c r="S757" s="1103" t="s">
        <v>3654</v>
      </c>
      <c r="T757" s="436"/>
      <c r="U757" s="156">
        <v>1.0</v>
      </c>
      <c r="V757" s="1103" t="str">
        <f t="shared" si="41"/>
        <v>10.1098--rsos.231240.pdf</v>
      </c>
      <c r="W757" s="1103" t="s">
        <v>164</v>
      </c>
      <c r="X757" s="54" t="str">
        <f t="array" ref="X757"> if(iserror(MATCH(V757, 'File Links'!C:C, 0)), "N/A", HYPERLINK(INDEX('File Links'!B:B, MATCH(V757, 'File Links'!C:C, 0))))</f>
        <v>https://drive.google.com/file/d/17gaf2Zy_ljFfcAEDk5L8GBnTl5i7RGJE/view?usp=drivesdk</v>
      </c>
      <c r="Y757" s="436"/>
      <c r="Z757" s="1103" t="s">
        <v>226</v>
      </c>
      <c r="AA757" s="1103" t="s">
        <v>4093</v>
      </c>
      <c r="AB757" s="1103" t="s">
        <v>4111</v>
      </c>
      <c r="AC757" s="1103" t="s">
        <v>4148</v>
      </c>
      <c r="AD757" s="1103" t="s">
        <v>4149</v>
      </c>
      <c r="AE757" s="1137">
        <v>3.0</v>
      </c>
      <c r="AF757" s="1137">
        <v>88.0</v>
      </c>
      <c r="AG757" s="1137">
        <v>0.62</v>
      </c>
      <c r="AH757" s="1137" t="s">
        <v>173</v>
      </c>
      <c r="AI757" s="1137" t="s">
        <v>217</v>
      </c>
      <c r="AJ757" s="1138">
        <v>0.005</v>
      </c>
      <c r="AK757" s="430" t="s">
        <v>172</v>
      </c>
      <c r="AL757" s="430" t="s">
        <v>186</v>
      </c>
      <c r="AM757" s="1103" t="s">
        <v>141</v>
      </c>
      <c r="AN757" s="1135" t="s">
        <v>138</v>
      </c>
      <c r="AO757" s="1137">
        <v>119.0</v>
      </c>
      <c r="AP757" s="1137">
        <v>0.72</v>
      </c>
      <c r="AQ757" s="1137" t="s">
        <v>173</v>
      </c>
      <c r="AR757" s="1156" t="s">
        <v>132</v>
      </c>
      <c r="AS757" s="1137">
        <v>0.001</v>
      </c>
      <c r="AT757" s="1103" t="s">
        <v>135</v>
      </c>
      <c r="AU757" s="1103" t="s">
        <v>186</v>
      </c>
      <c r="AV757" s="1103" t="s">
        <v>141</v>
      </c>
      <c r="AW757" s="1135" t="s">
        <v>138</v>
      </c>
      <c r="AX757" s="436" t="s">
        <v>143</v>
      </c>
      <c r="AY757" s="61" t="str">
        <f>IFERROR(__xludf.DUMMYFUNCTION("vlookup(BB757,importrange(""https://docs.google.com/spreadsheets/d/1d2vevQ_7D_v35q4wCQ4RpQ_IPoTwEMB9Yp6ymwlPqew/edit?gid=984458430#gid=984458430"", ""'replication success'!A:K""), 11, FAlSE)"),"#N/A")</f>
        <v>#N/A</v>
      </c>
      <c r="AZ757" s="61" t="str">
        <f>IFERROR(__xludf.DUMMYFUNCTION("vlookup(BB757,importrange(""https://docs.google.com/spreadsheets/d/1d2vevQ_7D_v35q4wCQ4RpQ_IPoTwEMB9Yp6ymwlPqew/edit?gid=984458430#gid=984458430"", ""'replication success'!A:M""), 12, FAlSE)"),"#N/A")</f>
        <v>#N/A</v>
      </c>
      <c r="BA757" s="61" t="str">
        <f>IFERROR(__xludf.DUMMYFUNCTION("vlookup(BB757,importrange(""https://docs.google.com/spreadsheets/d/1d2vevQ_7D_v35q4wCQ4RpQ_IPoTwEMB9Yp6ymwlPqew/edit?gid=984458430#gid=984458430"", ""'replication success'!A:M""), 13, FAlSE)"),"#N/A")</f>
        <v>#N/A</v>
      </c>
      <c r="BB757" s="61" t="str">
        <f>IFERROR(__xludf.DUMMYFUNCTION("REGEXREPLACE(G757, ""_[a-z]{1,2}$"", """")"),"Boyce_etal2023117")</f>
        <v>Boyce_etal2023117</v>
      </c>
      <c r="BC757" s="365"/>
      <c r="BD757" s="1135" t="s">
        <v>4139</v>
      </c>
      <c r="BE757" s="365"/>
      <c r="BF757" s="365"/>
      <c r="BG757" s="365"/>
      <c r="BH757" s="365"/>
      <c r="BI757" s="365"/>
      <c r="BJ757" s="365"/>
      <c r="BK757" s="365"/>
      <c r="BL757" s="365"/>
      <c r="BM757" s="365"/>
      <c r="BN757" s="365"/>
      <c r="BO757" s="365"/>
      <c r="BP757" s="365"/>
      <c r="BQ757" s="365"/>
      <c r="BR757" s="365"/>
      <c r="BS757" s="365"/>
      <c r="BT757" s="365"/>
      <c r="BU757" s="365"/>
      <c r="BV757" s="365"/>
      <c r="BW757" s="365"/>
      <c r="BX757" s="365"/>
      <c r="BY757" s="365"/>
      <c r="BZ757" s="365"/>
      <c r="CA757" s="365"/>
      <c r="CB757" s="365"/>
      <c r="CC757" s="365"/>
      <c r="CD757" s="365"/>
      <c r="CE757" s="365"/>
      <c r="CF757" s="365"/>
      <c r="CG757" s="365"/>
      <c r="CH757" s="365"/>
      <c r="CI757" s="365"/>
      <c r="CJ757" s="365"/>
      <c r="CK757" s="365"/>
      <c r="CL757" s="365"/>
      <c r="CM757" s="365"/>
      <c r="CN757" s="365"/>
      <c r="CO757" s="365"/>
      <c r="CP757" s="365"/>
      <c r="CQ757" s="365"/>
      <c r="CR757" s="365"/>
      <c r="CS757" s="365"/>
      <c r="CT757" s="365"/>
      <c r="CU757" s="365"/>
      <c r="CV757" s="365"/>
      <c r="CW757" s="365"/>
      <c r="CX757" s="365"/>
      <c r="CY757" s="365"/>
      <c r="CZ757" s="365"/>
      <c r="DA757" s="365"/>
      <c r="DB757" s="365"/>
      <c r="DC757" s="365"/>
      <c r="DD757" s="365"/>
      <c r="DE757" s="365"/>
      <c r="DF757" s="365"/>
      <c r="DG757" s="365"/>
      <c r="DH757" s="365"/>
      <c r="DI757" s="365"/>
      <c r="DJ757" s="365"/>
      <c r="DK757" s="365"/>
      <c r="DL757" s="365"/>
    </row>
    <row r="758">
      <c r="A758" s="44">
        <v>758.0</v>
      </c>
      <c r="B758" s="1135" t="s">
        <v>152</v>
      </c>
      <c r="C758" s="421" t="s">
        <v>115</v>
      </c>
      <c r="D758" s="421" t="s">
        <v>153</v>
      </c>
      <c r="E758" s="365"/>
      <c r="F758" s="436" t="s">
        <v>4150</v>
      </c>
      <c r="G758" s="430" t="s">
        <v>4151</v>
      </c>
      <c r="H758" s="1103" t="s">
        <v>153</v>
      </c>
      <c r="I758" s="1136">
        <v>45687.0</v>
      </c>
      <c r="J758" s="1136">
        <v>45692.0</v>
      </c>
      <c r="K758" s="433" t="s">
        <v>4152</v>
      </c>
      <c r="L758" s="1135" t="s">
        <v>4153</v>
      </c>
      <c r="M758" s="1103" t="s">
        <v>4090</v>
      </c>
      <c r="N758" s="1103" t="s">
        <v>4091</v>
      </c>
      <c r="O758" s="1137">
        <v>2.0</v>
      </c>
      <c r="P758" s="1103" t="str">
        <f t="shared" si="37"/>
        <v>10.1177--0956797615612202.pdf</v>
      </c>
      <c r="Q758" s="52" t="str">
        <f t="array" ref="Q758"> if(iserror(MATCH(V758, 'File Links'!C:C, 0)), "N/A", HYPERLINK(INDEX('File Links'!B:B, MATCH(P758, 'File Links'!C:C, 0))))</f>
        <v>https://drive.google.com/file/d/1d70WNl03Y6R-FQ2zFUG_7JzLtb7KIhMn/view?usp=drivesdk</v>
      </c>
      <c r="R758" s="1103" t="s">
        <v>3653</v>
      </c>
      <c r="S758" s="1103" t="s">
        <v>3654</v>
      </c>
      <c r="T758" s="436"/>
      <c r="U758" s="156">
        <v>1.0</v>
      </c>
      <c r="V758" s="1103" t="str">
        <f t="shared" si="41"/>
        <v>10.1098--rsos.231240.pdf</v>
      </c>
      <c r="W758" s="1103" t="s">
        <v>164</v>
      </c>
      <c r="X758" s="54" t="str">
        <f t="array" ref="X758"> if(iserror(MATCH(V758, 'File Links'!C:C, 0)), "N/A", HYPERLINK(INDEX('File Links'!B:B, MATCH(V758, 'File Links'!C:C, 0))))</f>
        <v>https://drive.google.com/file/d/17gaf2Zy_ljFfcAEDk5L8GBnTl5i7RGJE/view?usp=drivesdk</v>
      </c>
      <c r="Y758" s="436"/>
      <c r="Z758" s="1103" t="s">
        <v>226</v>
      </c>
      <c r="AA758" s="1103" t="s">
        <v>4093</v>
      </c>
      <c r="AB758" s="1103" t="s">
        <v>4111</v>
      </c>
      <c r="AC758" s="1103" t="s">
        <v>4154</v>
      </c>
      <c r="AD758" s="1103" t="s">
        <v>4155</v>
      </c>
      <c r="AE758" s="1145">
        <v>8.0</v>
      </c>
      <c r="AF758" s="1137">
        <v>118.0</v>
      </c>
      <c r="AG758" s="1145" t="s">
        <v>4156</v>
      </c>
      <c r="AH758" s="1137" t="s">
        <v>134</v>
      </c>
      <c r="AI758" s="1145" t="s">
        <v>613</v>
      </c>
      <c r="AJ758" s="1146">
        <v>0.01</v>
      </c>
      <c r="AK758" s="430" t="s">
        <v>172</v>
      </c>
      <c r="AL758" s="430" t="s">
        <v>186</v>
      </c>
      <c r="AM758" s="1103" t="s">
        <v>141</v>
      </c>
      <c r="AN758" s="1157" t="s">
        <v>138</v>
      </c>
      <c r="AO758" s="1137">
        <v>78.0</v>
      </c>
      <c r="AP758" s="1145">
        <v>0.56</v>
      </c>
      <c r="AQ758" s="1145" t="s">
        <v>173</v>
      </c>
      <c r="AR758" s="1158" t="s">
        <v>4157</v>
      </c>
      <c r="AS758" s="1137">
        <v>0.014</v>
      </c>
      <c r="AT758" s="1103" t="s">
        <v>172</v>
      </c>
      <c r="AU758" s="1103" t="s">
        <v>186</v>
      </c>
      <c r="AV758" s="1103" t="s">
        <v>141</v>
      </c>
      <c r="AW758" s="436"/>
      <c r="AX758" s="436" t="s">
        <v>143</v>
      </c>
      <c r="AY758" s="61" t="str">
        <f>IFERROR(__xludf.DUMMYFUNCTION("vlookup(BB758,importrange(""https://docs.google.com/spreadsheets/d/1d2vevQ_7D_v35q4wCQ4RpQ_IPoTwEMB9Yp6ymwlPqew/edit?gid=984458430#gid=984458430"", ""'replication success'!A:K""), 11, FAlSE)"),"#N/A")</f>
        <v>#N/A</v>
      </c>
      <c r="AZ758" s="61" t="str">
        <f>IFERROR(__xludf.DUMMYFUNCTION("vlookup(BB758,importrange(""https://docs.google.com/spreadsheets/d/1d2vevQ_7D_v35q4wCQ4RpQ_IPoTwEMB9Yp6ymwlPqew/edit?gid=984458430#gid=984458430"", ""'replication success'!A:M""), 12, FAlSE)"),"#N/A")</f>
        <v>#N/A</v>
      </c>
      <c r="BA758" s="61" t="str">
        <f>IFERROR(__xludf.DUMMYFUNCTION("vlookup(BB758,importrange(""https://docs.google.com/spreadsheets/d/1d2vevQ_7D_v35q4wCQ4RpQ_IPoTwEMB9Yp6ymwlPqew/edit?gid=984458430#gid=984458430"", ""'replication success'!A:M""), 13, FAlSE)"),"#N/A")</f>
        <v>#N/A</v>
      </c>
      <c r="BB758" s="61" t="str">
        <f>IFERROR(__xludf.DUMMYFUNCTION("REGEXREPLACE(G758, ""_[a-z]{1,2}$"", """")"),"Boyce_etal2023118")</f>
        <v>Boyce_etal2023118</v>
      </c>
      <c r="BC758" s="365"/>
      <c r="BD758" s="1135" t="s">
        <v>4099</v>
      </c>
      <c r="BE758" s="365"/>
      <c r="BF758" s="365"/>
      <c r="BG758" s="365"/>
      <c r="BH758" s="365"/>
      <c r="BI758" s="365"/>
      <c r="BJ758" s="365"/>
      <c r="BK758" s="365"/>
      <c r="BL758" s="365"/>
      <c r="BM758" s="365"/>
      <c r="BN758" s="365"/>
      <c r="BO758" s="365"/>
      <c r="BP758" s="365"/>
      <c r="BQ758" s="365"/>
      <c r="BR758" s="365"/>
      <c r="BS758" s="365"/>
      <c r="BT758" s="365"/>
      <c r="BU758" s="365"/>
      <c r="BV758" s="365"/>
      <c r="BW758" s="365"/>
      <c r="BX758" s="365"/>
      <c r="BY758" s="365"/>
      <c r="BZ758" s="365"/>
      <c r="CA758" s="365"/>
      <c r="CB758" s="365"/>
      <c r="CC758" s="365"/>
      <c r="CD758" s="365"/>
      <c r="CE758" s="365"/>
      <c r="CF758" s="365"/>
      <c r="CG758" s="365"/>
      <c r="CH758" s="365"/>
      <c r="CI758" s="365"/>
      <c r="CJ758" s="365"/>
      <c r="CK758" s="365"/>
      <c r="CL758" s="365"/>
      <c r="CM758" s="365"/>
      <c r="CN758" s="365"/>
      <c r="CO758" s="365"/>
      <c r="CP758" s="365"/>
      <c r="CQ758" s="365"/>
      <c r="CR758" s="365"/>
      <c r="CS758" s="365"/>
      <c r="CT758" s="365"/>
      <c r="CU758" s="365"/>
      <c r="CV758" s="365"/>
      <c r="CW758" s="365"/>
      <c r="CX758" s="365"/>
      <c r="CY758" s="365"/>
      <c r="CZ758" s="365"/>
      <c r="DA758" s="365"/>
      <c r="DB758" s="365"/>
      <c r="DC758" s="365"/>
      <c r="DD758" s="365"/>
      <c r="DE758" s="365"/>
      <c r="DF758" s="365"/>
      <c r="DG758" s="365"/>
      <c r="DH758" s="365"/>
      <c r="DI758" s="365"/>
      <c r="DJ758" s="365"/>
      <c r="DK758" s="365"/>
      <c r="DL758" s="365"/>
    </row>
    <row r="759">
      <c r="A759" s="44">
        <v>759.0</v>
      </c>
      <c r="B759" s="1135" t="s">
        <v>114</v>
      </c>
      <c r="C759" s="421" t="s">
        <v>115</v>
      </c>
      <c r="D759" s="421" t="s">
        <v>153</v>
      </c>
      <c r="E759" s="365"/>
      <c r="F759" s="436" t="s">
        <v>4158</v>
      </c>
      <c r="G759" s="430" t="s">
        <v>4159</v>
      </c>
      <c r="H759" s="1103" t="s">
        <v>153</v>
      </c>
      <c r="I759" s="1136">
        <v>45687.0</v>
      </c>
      <c r="J759" s="1136">
        <v>45692.0</v>
      </c>
      <c r="K759" s="433" t="s">
        <v>4160</v>
      </c>
      <c r="L759" s="1135" t="s">
        <v>4161</v>
      </c>
      <c r="M759" s="1103" t="s">
        <v>4090</v>
      </c>
      <c r="N759" s="1103" t="s">
        <v>4091</v>
      </c>
      <c r="O759" s="1137">
        <v>2.0</v>
      </c>
      <c r="P759" s="1103" t="str">
        <f t="shared" si="37"/>
        <v>10.1177--0956797615612202.pdf</v>
      </c>
      <c r="Q759" s="52" t="str">
        <f t="array" ref="Q759"> if(iserror(MATCH(V759, 'File Links'!C:C, 0)), "N/A", HYPERLINK(INDEX('File Links'!B:B, MATCH(P759, 'File Links'!C:C, 0))))</f>
        <v>https://drive.google.com/file/d/1d70WNl03Y6R-FQ2zFUG_7JzLtb7KIhMn/view?usp=drivesdk</v>
      </c>
      <c r="R759" s="1103" t="s">
        <v>3653</v>
      </c>
      <c r="S759" s="1103" t="s">
        <v>3654</v>
      </c>
      <c r="T759" s="436"/>
      <c r="U759" s="156">
        <v>1.0</v>
      </c>
      <c r="V759" s="1103" t="str">
        <f t="shared" si="41"/>
        <v>10.1098--rsos.231240.pdf</v>
      </c>
      <c r="W759" s="1103" t="s">
        <v>164</v>
      </c>
      <c r="X759" s="54" t="str">
        <f t="array" ref="X759"> if(iserror(MATCH(V759, 'File Links'!C:C, 0)), "N/A", HYPERLINK(INDEX('File Links'!B:B, MATCH(V759, 'File Links'!C:C, 0))))</f>
        <v>https://drive.google.com/file/d/17gaf2Zy_ljFfcAEDk5L8GBnTl5i7RGJE/view?usp=drivesdk</v>
      </c>
      <c r="Y759" s="436"/>
      <c r="Z759" s="1103" t="s">
        <v>226</v>
      </c>
      <c r="AA759" s="1103" t="s">
        <v>4093</v>
      </c>
      <c r="AB759" s="1103" t="s">
        <v>4111</v>
      </c>
      <c r="AC759" s="1103" t="s">
        <v>4162</v>
      </c>
      <c r="AD759" s="1103" t="s">
        <v>4163</v>
      </c>
      <c r="AE759" s="1145">
        <v>4.0</v>
      </c>
      <c r="AF759" s="1137">
        <v>118.0</v>
      </c>
      <c r="AG759" s="1145">
        <v>0.6</v>
      </c>
      <c r="AH759" s="1137" t="s">
        <v>173</v>
      </c>
      <c r="AI759" s="1145" t="s">
        <v>850</v>
      </c>
      <c r="AJ759" s="1146">
        <v>0.002</v>
      </c>
      <c r="AK759" s="430" t="s">
        <v>172</v>
      </c>
      <c r="AL759" s="430" t="s">
        <v>186</v>
      </c>
      <c r="AM759" s="1103" t="s">
        <v>141</v>
      </c>
      <c r="AN759" s="1157" t="s">
        <v>138</v>
      </c>
      <c r="AO759" s="1137">
        <v>78.0</v>
      </c>
      <c r="AP759" s="1145">
        <v>0.56</v>
      </c>
      <c r="AQ759" s="1145" t="s">
        <v>173</v>
      </c>
      <c r="AR759" s="1145" t="s">
        <v>632</v>
      </c>
      <c r="AS759" s="1137">
        <v>0.014</v>
      </c>
      <c r="AT759" s="1103" t="s">
        <v>172</v>
      </c>
      <c r="AU759" s="1103" t="s">
        <v>186</v>
      </c>
      <c r="AV759" s="1103" t="s">
        <v>141</v>
      </c>
      <c r="AW759" s="436"/>
      <c r="AX759" s="436" t="s">
        <v>143</v>
      </c>
      <c r="AY759" s="61" t="str">
        <f>IFERROR(__xludf.DUMMYFUNCTION("vlookup(BB759,importrange(""https://docs.google.com/spreadsheets/d/1d2vevQ_7D_v35q4wCQ4RpQ_IPoTwEMB9Yp6ymwlPqew/edit?gid=984458430#gid=984458430"", ""'replication success'!A:K""), 11, FAlSE)"),"#N/A")</f>
        <v>#N/A</v>
      </c>
      <c r="AZ759" s="61" t="str">
        <f>IFERROR(__xludf.DUMMYFUNCTION("vlookup(BB759,importrange(""https://docs.google.com/spreadsheets/d/1d2vevQ_7D_v35q4wCQ4RpQ_IPoTwEMB9Yp6ymwlPqew/edit?gid=984458430#gid=984458430"", ""'replication success'!A:M""), 12, FAlSE)"),"#N/A")</f>
        <v>#N/A</v>
      </c>
      <c r="BA759" s="61" t="str">
        <f>IFERROR(__xludf.DUMMYFUNCTION("vlookup(BB759,importrange(""https://docs.google.com/spreadsheets/d/1d2vevQ_7D_v35q4wCQ4RpQ_IPoTwEMB9Yp6ymwlPqew/edit?gid=984458430#gid=984458430"", ""'replication success'!A:M""), 13, FAlSE)"),"#N/A")</f>
        <v>#N/A</v>
      </c>
      <c r="BB759" s="61" t="str">
        <f>IFERROR(__xludf.DUMMYFUNCTION("REGEXREPLACE(G759, ""_[a-z]{1,2}$"", """")"),"Boyce_etal2023119")</f>
        <v>Boyce_etal2023119</v>
      </c>
      <c r="BC759" s="365"/>
      <c r="BD759" s="1135" t="s">
        <v>4099</v>
      </c>
      <c r="BE759" s="365"/>
      <c r="BF759" s="365"/>
      <c r="BG759" s="365"/>
      <c r="BH759" s="365"/>
      <c r="BI759" s="365"/>
      <c r="BJ759" s="365"/>
      <c r="BK759" s="365"/>
      <c r="BL759" s="365"/>
      <c r="BM759" s="365"/>
      <c r="BN759" s="365"/>
      <c r="BO759" s="365"/>
      <c r="BP759" s="365"/>
      <c r="BQ759" s="365"/>
      <c r="BR759" s="365"/>
      <c r="BS759" s="365"/>
      <c r="BT759" s="365"/>
      <c r="BU759" s="365"/>
      <c r="BV759" s="365"/>
      <c r="BW759" s="365"/>
      <c r="BX759" s="365"/>
      <c r="BY759" s="365"/>
      <c r="BZ759" s="365"/>
      <c r="CA759" s="365"/>
      <c r="CB759" s="365"/>
      <c r="CC759" s="365"/>
      <c r="CD759" s="365"/>
      <c r="CE759" s="365"/>
      <c r="CF759" s="365"/>
      <c r="CG759" s="365"/>
      <c r="CH759" s="365"/>
      <c r="CI759" s="365"/>
      <c r="CJ759" s="365"/>
      <c r="CK759" s="365"/>
      <c r="CL759" s="365"/>
      <c r="CM759" s="365"/>
      <c r="CN759" s="365"/>
      <c r="CO759" s="365"/>
      <c r="CP759" s="365"/>
      <c r="CQ759" s="365"/>
      <c r="CR759" s="365"/>
      <c r="CS759" s="365"/>
      <c r="CT759" s="365"/>
      <c r="CU759" s="365"/>
      <c r="CV759" s="365"/>
      <c r="CW759" s="365"/>
      <c r="CX759" s="365"/>
      <c r="CY759" s="365"/>
      <c r="CZ759" s="365"/>
      <c r="DA759" s="365"/>
      <c r="DB759" s="365"/>
      <c r="DC759" s="365"/>
      <c r="DD759" s="365"/>
      <c r="DE759" s="365"/>
      <c r="DF759" s="365"/>
      <c r="DG759" s="365"/>
      <c r="DH759" s="365"/>
      <c r="DI759" s="365"/>
      <c r="DJ759" s="365"/>
      <c r="DK759" s="365"/>
      <c r="DL759" s="365"/>
    </row>
    <row r="760">
      <c r="A760" s="44">
        <v>760.0</v>
      </c>
      <c r="B760" s="94" t="s">
        <v>114</v>
      </c>
      <c r="C760" s="93" t="s">
        <v>115</v>
      </c>
      <c r="D760" s="93" t="s">
        <v>248</v>
      </c>
      <c r="E760" s="92"/>
      <c r="F760" s="95" t="s">
        <v>4164</v>
      </c>
      <c r="G760" s="76" t="s">
        <v>4165</v>
      </c>
      <c r="H760" s="95" t="s">
        <v>249</v>
      </c>
      <c r="I760" s="853">
        <v>45663.0</v>
      </c>
      <c r="J760" s="853">
        <v>45692.0</v>
      </c>
      <c r="K760" s="85" t="s">
        <v>3683</v>
      </c>
      <c r="L760" s="1135" t="s">
        <v>4161</v>
      </c>
      <c r="M760" s="95" t="s">
        <v>4166</v>
      </c>
      <c r="N760" s="95" t="s">
        <v>4167</v>
      </c>
      <c r="O760" s="94"/>
      <c r="P760" s="95" t="str">
        <f t="shared" si="37"/>
        <v>10.1177--147470491100900206.pdf</v>
      </c>
      <c r="Q760" s="52" t="str">
        <f t="array" ref="Q760"> if(iserror(MATCH(V760, 'File Links'!C:C, 0)), "N/A", HYPERLINK(INDEX('File Links'!B:B, MATCH(P760, 'File Links'!C:C, 0))))</f>
        <v>https://drive.google.com/file/d/1VohCyZYrYeQ8wnGKTyDD2fOk8y16yZw3/view?usp=drivesdk</v>
      </c>
      <c r="R760" s="95" t="s">
        <v>3653</v>
      </c>
      <c r="S760" s="95" t="s">
        <v>3654</v>
      </c>
      <c r="T760" s="94"/>
      <c r="U760" s="156">
        <v>1.0</v>
      </c>
      <c r="V760" s="95" t="str">
        <f t="shared" si="41"/>
        <v>10.1098--rsos.231240.pdf</v>
      </c>
      <c r="W760" s="95" t="s">
        <v>324</v>
      </c>
      <c r="X760" s="54" t="str">
        <f t="array" ref="X760"> if(iserror(MATCH(V760, 'File Links'!C:C, 0)), "N/A", HYPERLINK(INDEX('File Links'!B:B, MATCH(V760, 'File Links'!C:C, 0))))</f>
        <v>https://drive.google.com/file/d/17gaf2Zy_ljFfcAEDk5L8GBnTl5i7RGJE/view?usp=drivesdk</v>
      </c>
      <c r="Y760" s="94"/>
      <c r="Z760" s="95" t="s">
        <v>2940</v>
      </c>
      <c r="AA760" s="94"/>
      <c r="AB760" s="94"/>
      <c r="AC760" s="94"/>
      <c r="AD760" s="95" t="s">
        <v>138</v>
      </c>
      <c r="AE760" s="95" t="s">
        <v>138</v>
      </c>
      <c r="AF760" s="98">
        <v>91.0</v>
      </c>
      <c r="AG760" s="95" t="s">
        <v>138</v>
      </c>
      <c r="AH760" s="167" t="s">
        <v>138</v>
      </c>
      <c r="AI760" s="95" t="s">
        <v>138</v>
      </c>
      <c r="AJ760" s="99" t="s">
        <v>138</v>
      </c>
      <c r="AK760" s="82"/>
      <c r="AL760" s="76" t="s">
        <v>186</v>
      </c>
      <c r="AM760" s="95" t="s">
        <v>1905</v>
      </c>
      <c r="AN760" s="129" t="s">
        <v>138</v>
      </c>
      <c r="AO760" s="98">
        <v>90.0</v>
      </c>
      <c r="AP760" s="95" t="s">
        <v>138</v>
      </c>
      <c r="AQ760" s="94"/>
      <c r="AR760" s="94"/>
      <c r="AS760" s="95" t="s">
        <v>138</v>
      </c>
      <c r="AT760" s="94"/>
      <c r="AU760" s="95" t="s">
        <v>186</v>
      </c>
      <c r="AV760" s="95" t="s">
        <v>1905</v>
      </c>
      <c r="AW760" s="94"/>
      <c r="AX760" s="95" t="s">
        <v>143</v>
      </c>
      <c r="AY760" s="61" t="str">
        <f>IFERROR(__xludf.DUMMYFUNCTION("vlookup(BB760,importrange(""https://docs.google.com/spreadsheets/d/1d2vevQ_7D_v35q4wCQ4RpQ_IPoTwEMB9Yp6ymwlPqew/edit?gid=984458430#gid=984458430"", ""'replication success'!A:K""), 11, FAlSE)"),"#N/A")</f>
        <v>#N/A</v>
      </c>
      <c r="AZ760" s="61" t="str">
        <f>IFERROR(__xludf.DUMMYFUNCTION("vlookup(BB760,importrange(""https://docs.google.com/spreadsheets/d/1d2vevQ_7D_v35q4wCQ4RpQ_IPoTwEMB9Yp6ymwlPqew/edit?gid=984458430#gid=984458430"", ""'replication success'!A:M""), 12, FAlSE)"),"#N/A")</f>
        <v>#N/A</v>
      </c>
      <c r="BA760" s="61" t="str">
        <f>IFERROR(__xludf.DUMMYFUNCTION("vlookup(BB760,importrange(""https://docs.google.com/spreadsheets/d/1d2vevQ_7D_v35q4wCQ4RpQ_IPoTwEMB9Yp6ymwlPqew/edit?gid=984458430#gid=984458430"", ""'replication success'!A:M""), 13, FAlSE)"),"#N/A")</f>
        <v>#N/A</v>
      </c>
      <c r="BB760" s="61" t="str">
        <f>IFERROR(__xludf.DUMMYFUNCTION("REGEXREPLACE(G760, ""_[a-z]{1,2}$"", """")"),"Boyce_etal202312_1")</f>
        <v>Boyce_etal202312_1</v>
      </c>
      <c r="BC760" s="92"/>
      <c r="BD760" s="94" t="s">
        <v>153</v>
      </c>
      <c r="BE760" s="92"/>
      <c r="BF760" s="92"/>
      <c r="BG760" s="92"/>
      <c r="BH760" s="92"/>
      <c r="BI760" s="92"/>
      <c r="BJ760" s="92"/>
      <c r="BK760" s="92"/>
      <c r="BL760" s="92"/>
      <c r="BM760" s="92"/>
      <c r="BN760" s="92"/>
      <c r="BO760" s="92"/>
      <c r="BP760" s="92"/>
      <c r="BQ760" s="92"/>
      <c r="BR760" s="92"/>
      <c r="BS760" s="92"/>
      <c r="BT760" s="92"/>
      <c r="BU760" s="92"/>
      <c r="BV760" s="92"/>
      <c r="BW760" s="92"/>
      <c r="BX760" s="92"/>
      <c r="BY760" s="92"/>
      <c r="BZ760" s="92"/>
      <c r="CA760" s="92"/>
      <c r="CB760" s="92"/>
      <c r="CC760" s="92"/>
      <c r="CD760" s="92"/>
      <c r="CE760" s="92"/>
      <c r="CF760" s="92"/>
      <c r="CG760" s="92"/>
      <c r="CH760" s="92"/>
      <c r="CI760" s="92"/>
      <c r="CJ760" s="92"/>
      <c r="CK760" s="92"/>
      <c r="CL760" s="92"/>
      <c r="CM760" s="92"/>
      <c r="CN760" s="92"/>
      <c r="CO760" s="92"/>
      <c r="CP760" s="92"/>
      <c r="CQ760" s="92"/>
      <c r="CR760" s="92"/>
      <c r="CS760" s="92"/>
      <c r="CT760" s="92"/>
      <c r="CU760" s="92"/>
      <c r="CV760" s="92"/>
      <c r="CW760" s="92"/>
      <c r="CX760" s="92"/>
      <c r="CY760" s="92"/>
      <c r="CZ760" s="92"/>
      <c r="DA760" s="92"/>
      <c r="DB760" s="92"/>
      <c r="DC760" s="92"/>
      <c r="DD760" s="92"/>
      <c r="DE760" s="92"/>
      <c r="DF760" s="92"/>
      <c r="DG760" s="92"/>
      <c r="DH760" s="92"/>
      <c r="DI760" s="92"/>
      <c r="DJ760" s="92"/>
      <c r="DK760" s="92"/>
      <c r="DL760" s="92"/>
    </row>
    <row r="761">
      <c r="A761" s="44">
        <v>761.0</v>
      </c>
      <c r="B761" s="79" t="s">
        <v>114</v>
      </c>
      <c r="C761" s="93" t="s">
        <v>115</v>
      </c>
      <c r="D761" s="93" t="s">
        <v>153</v>
      </c>
      <c r="E761" s="92"/>
      <c r="F761" s="94" t="s">
        <v>4165</v>
      </c>
      <c r="G761" s="76" t="s">
        <v>4164</v>
      </c>
      <c r="H761" s="95" t="s">
        <v>153</v>
      </c>
      <c r="I761" s="853">
        <v>45687.0</v>
      </c>
      <c r="J761" s="853">
        <v>45692.0</v>
      </c>
      <c r="K761" s="85" t="s">
        <v>4168</v>
      </c>
      <c r="L761" s="1135" t="s">
        <v>4161</v>
      </c>
      <c r="M761" s="95" t="s">
        <v>4166</v>
      </c>
      <c r="N761" s="95" t="s">
        <v>4167</v>
      </c>
      <c r="O761" s="98">
        <v>1.0</v>
      </c>
      <c r="P761" s="95" t="str">
        <f t="shared" si="37"/>
        <v>10.1177--147470491100900206.pdf</v>
      </c>
      <c r="Q761" s="52" t="str">
        <f t="array" ref="Q761"> if(iserror(MATCH(V761, 'File Links'!C:C, 0)), "N/A", HYPERLINK(INDEX('File Links'!B:B, MATCH(P761, 'File Links'!C:C, 0))))</f>
        <v>https://drive.google.com/file/d/1VohCyZYrYeQ8wnGKTyDD2fOk8y16yZw3/view?usp=drivesdk</v>
      </c>
      <c r="R761" s="95" t="s">
        <v>3653</v>
      </c>
      <c r="S761" s="95" t="s">
        <v>3654</v>
      </c>
      <c r="T761" s="94"/>
      <c r="U761" s="156">
        <v>1.0</v>
      </c>
      <c r="V761" s="95" t="s">
        <v>3658</v>
      </c>
      <c r="W761" s="95" t="s">
        <v>164</v>
      </c>
      <c r="X761" s="54" t="str">
        <f t="array" ref="X761"> if(iserror(MATCH(V761, 'File Links'!C:C, 0)), "N/A", HYPERLINK(INDEX('File Links'!B:B, MATCH(V761, 'File Links'!C:C, 0))))</f>
        <v>https://drive.google.com/file/d/17gaf2Zy_ljFfcAEDk5L8GBnTl5i7RGJE/view?usp=drivesdk</v>
      </c>
      <c r="Y761" s="95" t="s">
        <v>4169</v>
      </c>
      <c r="Z761" s="94"/>
      <c r="AA761" s="94"/>
      <c r="AB761" s="94"/>
      <c r="AC761" s="94"/>
      <c r="AD761" s="94"/>
      <c r="AE761" s="94"/>
      <c r="AF761" s="94"/>
      <c r="AG761" s="94"/>
      <c r="AH761" s="94"/>
      <c r="AI761" s="94"/>
      <c r="AJ761" s="595"/>
      <c r="AK761" s="82"/>
      <c r="AL761" s="82"/>
      <c r="AM761" s="94"/>
      <c r="AN761" s="129" t="s">
        <v>138</v>
      </c>
      <c r="AO761" s="94"/>
      <c r="AP761" s="94"/>
      <c r="AQ761" s="94"/>
      <c r="AR761" s="94"/>
      <c r="AS761" s="94"/>
      <c r="AT761" s="94"/>
      <c r="AU761" s="94"/>
      <c r="AV761" s="94"/>
      <c r="AW761" s="94"/>
      <c r="AX761" s="94"/>
      <c r="AY761" s="61" t="str">
        <f>IFERROR(__xludf.DUMMYFUNCTION("vlookup(BB761,importrange(""https://docs.google.com/spreadsheets/d/1d2vevQ_7D_v35q4wCQ4RpQ_IPoTwEMB9Yp6ymwlPqew/edit?gid=984458430#gid=984458430"", ""'replication success'!A:K""), 11, FAlSE)"),"#N/A")</f>
        <v>#N/A</v>
      </c>
      <c r="AZ761" s="61" t="str">
        <f>IFERROR(__xludf.DUMMYFUNCTION("vlookup(BB761,importrange(""https://docs.google.com/spreadsheets/d/1d2vevQ_7D_v35q4wCQ4RpQ_IPoTwEMB9Yp6ymwlPqew/edit?gid=984458430#gid=984458430"", ""'replication success'!A:M""), 12, FAlSE)"),"#N/A")</f>
        <v>#N/A</v>
      </c>
      <c r="BA761" s="61" t="str">
        <f>IFERROR(__xludf.DUMMYFUNCTION("vlookup(BB761,importrange(""https://docs.google.com/spreadsheets/d/1d2vevQ_7D_v35q4wCQ4RpQ_IPoTwEMB9Yp6ymwlPqew/edit?gid=984458430#gid=984458430"", ""'replication success'!A:M""), 13, FAlSE)"),"#N/A")</f>
        <v>#N/A</v>
      </c>
      <c r="BB761" s="61" t="str">
        <f>IFERROR(__xludf.DUMMYFUNCTION("REGEXREPLACE(G761, ""_[a-z]{1,2}$"", """")"),"Boyce_etal202312")</f>
        <v>Boyce_etal202312</v>
      </c>
      <c r="BC761" s="92"/>
      <c r="BD761" s="94" t="s">
        <v>153</v>
      </c>
      <c r="BE761" s="92"/>
      <c r="BF761" s="92"/>
      <c r="BG761" s="92"/>
      <c r="BH761" s="92"/>
      <c r="BI761" s="92"/>
      <c r="BJ761" s="92"/>
      <c r="BK761" s="92"/>
      <c r="BL761" s="92"/>
      <c r="BM761" s="92"/>
      <c r="BN761" s="92"/>
      <c r="BO761" s="92"/>
      <c r="BP761" s="92"/>
      <c r="BQ761" s="92"/>
      <c r="BR761" s="92"/>
      <c r="BS761" s="92"/>
      <c r="BT761" s="92"/>
      <c r="BU761" s="92"/>
      <c r="BV761" s="92"/>
      <c r="BW761" s="92"/>
      <c r="BX761" s="92"/>
      <c r="BY761" s="92"/>
      <c r="BZ761" s="92"/>
      <c r="CA761" s="92"/>
      <c r="CB761" s="92"/>
      <c r="CC761" s="92"/>
      <c r="CD761" s="92"/>
      <c r="CE761" s="92"/>
      <c r="CF761" s="92"/>
      <c r="CG761" s="92"/>
      <c r="CH761" s="92"/>
      <c r="CI761" s="92"/>
      <c r="CJ761" s="92"/>
      <c r="CK761" s="92"/>
      <c r="CL761" s="92"/>
      <c r="CM761" s="92"/>
      <c r="CN761" s="92"/>
      <c r="CO761" s="92"/>
      <c r="CP761" s="92"/>
      <c r="CQ761" s="92"/>
      <c r="CR761" s="92"/>
      <c r="CS761" s="92"/>
      <c r="CT761" s="92"/>
      <c r="CU761" s="92"/>
      <c r="CV761" s="92"/>
      <c r="CW761" s="92"/>
      <c r="CX761" s="92"/>
      <c r="CY761" s="92"/>
      <c r="CZ761" s="92"/>
      <c r="DA761" s="92"/>
      <c r="DB761" s="92"/>
      <c r="DC761" s="92"/>
      <c r="DD761" s="92"/>
      <c r="DE761" s="92"/>
      <c r="DF761" s="92"/>
      <c r="DG761" s="92"/>
      <c r="DH761" s="92"/>
      <c r="DI761" s="92"/>
      <c r="DJ761" s="92"/>
      <c r="DK761" s="92"/>
      <c r="DL761" s="92"/>
    </row>
    <row r="762" ht="18.75" customHeight="1">
      <c r="A762" s="44">
        <v>762.0</v>
      </c>
      <c r="B762" s="79" t="s">
        <v>114</v>
      </c>
      <c r="C762" s="421" t="s">
        <v>115</v>
      </c>
      <c r="D762" s="421" t="s">
        <v>153</v>
      </c>
      <c r="E762" s="365"/>
      <c r="F762" s="436" t="s">
        <v>4170</v>
      </c>
      <c r="G762" s="430" t="s">
        <v>4171</v>
      </c>
      <c r="H762" s="1103" t="s">
        <v>153</v>
      </c>
      <c r="I762" s="1136">
        <v>45687.0</v>
      </c>
      <c r="J762" s="1136">
        <v>45692.0</v>
      </c>
      <c r="K762" s="433" t="s">
        <v>4172</v>
      </c>
      <c r="L762" s="1135" t="s">
        <v>4173</v>
      </c>
      <c r="M762" s="1103" t="s">
        <v>4090</v>
      </c>
      <c r="N762" s="1103" t="s">
        <v>4091</v>
      </c>
      <c r="O762" s="1137">
        <v>3.0</v>
      </c>
      <c r="P762" s="1103" t="str">
        <f t="shared" si="37"/>
        <v>10.1177--0956797615612202.pdf</v>
      </c>
      <c r="Q762" s="52" t="str">
        <f t="array" ref="Q762"> if(iserror(MATCH(V762, 'File Links'!C:C, 0)), "N/A", HYPERLINK(INDEX('File Links'!B:B, MATCH(P762, 'File Links'!C:C, 0))))</f>
        <v>https://drive.google.com/file/d/1d70WNl03Y6R-FQ2zFUG_7JzLtb7KIhMn/view?usp=drivesdk</v>
      </c>
      <c r="R762" s="1103" t="s">
        <v>3653</v>
      </c>
      <c r="S762" s="1103" t="s">
        <v>3654</v>
      </c>
      <c r="T762" s="436"/>
      <c r="U762" s="156">
        <v>1.0</v>
      </c>
      <c r="V762" s="1103" t="str">
        <f t="shared" ref="V762:V780" si="42"> hyperlink(vlookup(lower(S762),#REF!, 2, FALSE), SUBSTITUTE(lower(S762), "/", "--") &amp;  ".pdf")</f>
        <v>10.1098--rsos.231240.pdf</v>
      </c>
      <c r="W762" s="1103" t="s">
        <v>164</v>
      </c>
      <c r="X762" s="54" t="str">
        <f t="array" ref="X762"> if(iserror(MATCH(V762, 'File Links'!C:C, 0)), "N/A", HYPERLINK(INDEX('File Links'!B:B, MATCH(V762, 'File Links'!C:C, 0))))</f>
        <v>https://drive.google.com/file/d/17gaf2Zy_ljFfcAEDk5L8GBnTl5i7RGJE/view?usp=drivesdk</v>
      </c>
      <c r="Y762" s="436"/>
      <c r="Z762" s="1103" t="s">
        <v>226</v>
      </c>
      <c r="AA762" s="1103" t="s">
        <v>4093</v>
      </c>
      <c r="AB762" s="1103" t="s">
        <v>4111</v>
      </c>
      <c r="AC762" s="436"/>
      <c r="AD762" s="1103" t="s">
        <v>4174</v>
      </c>
      <c r="AE762" s="1159">
        <v>45813.0</v>
      </c>
      <c r="AF762" s="1151">
        <v>133.0</v>
      </c>
      <c r="AG762" s="1145">
        <v>0.53</v>
      </c>
      <c r="AH762" s="1137" t="s">
        <v>173</v>
      </c>
      <c r="AI762" s="1145" t="s">
        <v>140</v>
      </c>
      <c r="AJ762" s="1146">
        <v>0.01</v>
      </c>
      <c r="AK762" s="430" t="s">
        <v>135</v>
      </c>
      <c r="AL762" s="430" t="s">
        <v>186</v>
      </c>
      <c r="AM762" s="1103" t="s">
        <v>141</v>
      </c>
      <c r="AN762" s="1135" t="s">
        <v>138</v>
      </c>
      <c r="AO762" s="1145">
        <v>128.0</v>
      </c>
      <c r="AP762" s="1160">
        <v>24.0</v>
      </c>
      <c r="AQ762" s="1137" t="s">
        <v>987</v>
      </c>
      <c r="AR762" s="436"/>
      <c r="AS762" s="1137">
        <v>0.0126</v>
      </c>
      <c r="AT762" s="1103" t="s">
        <v>172</v>
      </c>
      <c r="AU762" s="1103" t="s">
        <v>186</v>
      </c>
      <c r="AV762" s="1103" t="s">
        <v>141</v>
      </c>
      <c r="AW762" s="436"/>
      <c r="AX762" s="436" t="s">
        <v>151</v>
      </c>
      <c r="AY762" s="61" t="str">
        <f>IFERROR(__xludf.DUMMYFUNCTION("vlookup(BB762,importrange(""https://docs.google.com/spreadsheets/d/1d2vevQ_7D_v35q4wCQ4RpQ_IPoTwEMB9Yp6ymwlPqew/edit?gid=984458430#gid=984458430"", ""'replication success'!A:K""), 11, FAlSE)"),"#N/A")</f>
        <v>#N/A</v>
      </c>
      <c r="AZ762" s="61" t="str">
        <f>IFERROR(__xludf.DUMMYFUNCTION("vlookup(BB762,importrange(""https://docs.google.com/spreadsheets/d/1d2vevQ_7D_v35q4wCQ4RpQ_IPoTwEMB9Yp6ymwlPqew/edit?gid=984458430#gid=984458430"", ""'replication success'!A:M""), 12, FAlSE)"),"#N/A")</f>
        <v>#N/A</v>
      </c>
      <c r="BA762" s="61" t="str">
        <f>IFERROR(__xludf.DUMMYFUNCTION("vlookup(BB762,importrange(""https://docs.google.com/spreadsheets/d/1d2vevQ_7D_v35q4wCQ4RpQ_IPoTwEMB9Yp6ymwlPqew/edit?gid=984458430#gid=984458430"", ""'replication success'!A:M""), 13, FAlSE)"),"#N/A")</f>
        <v>#N/A</v>
      </c>
      <c r="BB762" s="61" t="str">
        <f>IFERROR(__xludf.DUMMYFUNCTION("REGEXREPLACE(G762, ""_[a-z]{1,2}$"", """")"),"Boyce_etal2023120")</f>
        <v>Boyce_etal2023120</v>
      </c>
      <c r="BC762" s="365"/>
      <c r="BD762" s="1135" t="s">
        <v>4099</v>
      </c>
      <c r="BE762" s="365"/>
      <c r="BF762" s="365"/>
      <c r="BG762" s="365"/>
      <c r="BH762" s="365"/>
      <c r="BI762" s="365"/>
      <c r="BJ762" s="365"/>
      <c r="BK762" s="365"/>
      <c r="BL762" s="365"/>
      <c r="BM762" s="365"/>
      <c r="BN762" s="365"/>
      <c r="BO762" s="365"/>
      <c r="BP762" s="365"/>
      <c r="BQ762" s="365"/>
      <c r="BR762" s="365"/>
      <c r="BS762" s="365"/>
      <c r="BT762" s="365"/>
      <c r="BU762" s="365"/>
      <c r="BV762" s="365"/>
      <c r="BW762" s="365"/>
      <c r="BX762" s="365"/>
      <c r="BY762" s="365"/>
      <c r="BZ762" s="365"/>
      <c r="CA762" s="365"/>
      <c r="CB762" s="365"/>
      <c r="CC762" s="365"/>
      <c r="CD762" s="365"/>
      <c r="CE762" s="365"/>
      <c r="CF762" s="365"/>
      <c r="CG762" s="365"/>
      <c r="CH762" s="365"/>
      <c r="CI762" s="365"/>
      <c r="CJ762" s="365"/>
      <c r="CK762" s="365"/>
      <c r="CL762" s="365"/>
      <c r="CM762" s="365"/>
      <c r="CN762" s="365"/>
      <c r="CO762" s="365"/>
      <c r="CP762" s="365"/>
      <c r="CQ762" s="365"/>
      <c r="CR762" s="365"/>
      <c r="CS762" s="365"/>
      <c r="CT762" s="365"/>
      <c r="CU762" s="365"/>
      <c r="CV762" s="365"/>
      <c r="CW762" s="365"/>
      <c r="CX762" s="365"/>
      <c r="CY762" s="365"/>
      <c r="CZ762" s="365"/>
      <c r="DA762" s="365"/>
      <c r="DB762" s="365"/>
      <c r="DC762" s="365"/>
      <c r="DD762" s="365"/>
      <c r="DE762" s="365"/>
      <c r="DF762" s="365"/>
      <c r="DG762" s="365"/>
      <c r="DH762" s="365"/>
      <c r="DI762" s="365"/>
      <c r="DJ762" s="365"/>
      <c r="DK762" s="365"/>
      <c r="DL762" s="365"/>
    </row>
    <row r="763" ht="25.5" customHeight="1">
      <c r="A763" s="44">
        <v>763.0</v>
      </c>
      <c r="B763" s="79" t="s">
        <v>114</v>
      </c>
      <c r="C763" s="421" t="s">
        <v>115</v>
      </c>
      <c r="D763" s="421" t="s">
        <v>153</v>
      </c>
      <c r="E763" s="365"/>
      <c r="F763" s="436" t="s">
        <v>4170</v>
      </c>
      <c r="G763" s="430" t="s">
        <v>4171</v>
      </c>
      <c r="H763" s="1103" t="s">
        <v>153</v>
      </c>
      <c r="I763" s="1136">
        <v>45687.0</v>
      </c>
      <c r="J763" s="1136">
        <v>45692.0</v>
      </c>
      <c r="K763" s="433" t="s">
        <v>4175</v>
      </c>
      <c r="L763" s="1135" t="s">
        <v>4161</v>
      </c>
      <c r="M763" s="1103" t="s">
        <v>4090</v>
      </c>
      <c r="N763" s="1103" t="s">
        <v>4091</v>
      </c>
      <c r="O763" s="1137">
        <v>3.0</v>
      </c>
      <c r="P763" s="1103" t="str">
        <f t="shared" si="37"/>
        <v>10.1177--0956797615612202.pdf</v>
      </c>
      <c r="Q763" s="52" t="str">
        <f t="array" ref="Q763"> if(iserror(MATCH(V763, 'File Links'!C:C, 0)), "N/A", HYPERLINK(INDEX('File Links'!B:B, MATCH(P763, 'File Links'!C:C, 0))))</f>
        <v>https://drive.google.com/file/d/1d70WNl03Y6R-FQ2zFUG_7JzLtb7KIhMn/view?usp=drivesdk</v>
      </c>
      <c r="R763" s="1103" t="s">
        <v>3653</v>
      </c>
      <c r="S763" s="1103" t="s">
        <v>3654</v>
      </c>
      <c r="T763" s="436"/>
      <c r="U763" s="156">
        <v>1.0</v>
      </c>
      <c r="V763" s="1103" t="str">
        <f t="shared" si="42"/>
        <v>10.1098--rsos.231240.pdf</v>
      </c>
      <c r="W763" s="1103" t="s">
        <v>164</v>
      </c>
      <c r="X763" s="54" t="str">
        <f t="array" ref="X763"> if(iserror(MATCH(V763, 'File Links'!C:C, 0)), "N/A", HYPERLINK(INDEX('File Links'!B:B, MATCH(V763, 'File Links'!C:C, 0))))</f>
        <v>https://drive.google.com/file/d/17gaf2Zy_ljFfcAEDk5L8GBnTl5i7RGJE/view?usp=drivesdk</v>
      </c>
      <c r="Y763" s="436"/>
      <c r="Z763" s="1103" t="s">
        <v>226</v>
      </c>
      <c r="AA763" s="1103" t="s">
        <v>4093</v>
      </c>
      <c r="AB763" s="1103" t="s">
        <v>4111</v>
      </c>
      <c r="AC763" s="1103" t="s">
        <v>4176</v>
      </c>
      <c r="AD763" s="1103" t="s">
        <v>4177</v>
      </c>
      <c r="AE763" s="1145">
        <v>6.0</v>
      </c>
      <c r="AF763" s="1137">
        <v>145.0</v>
      </c>
      <c r="AG763" s="1145" t="s">
        <v>4178</v>
      </c>
      <c r="AH763" s="1137" t="s">
        <v>134</v>
      </c>
      <c r="AI763" s="1145" t="s">
        <v>140</v>
      </c>
      <c r="AJ763" s="428"/>
      <c r="AK763" s="426"/>
      <c r="AL763" s="430" t="s">
        <v>186</v>
      </c>
      <c r="AM763" s="1103" t="s">
        <v>141</v>
      </c>
      <c r="AN763" s="1135" t="s">
        <v>138</v>
      </c>
      <c r="AO763" s="1145">
        <v>128.0</v>
      </c>
      <c r="AP763" s="1145">
        <v>0.3</v>
      </c>
      <c r="AQ763" s="1137" t="s">
        <v>987</v>
      </c>
      <c r="AR763" s="436"/>
      <c r="AS763" s="1137">
        <v>0.88295</v>
      </c>
      <c r="AT763" s="1103" t="s">
        <v>172</v>
      </c>
      <c r="AU763" s="1103" t="s">
        <v>186</v>
      </c>
      <c r="AV763" s="1103" t="s">
        <v>141</v>
      </c>
      <c r="AW763" s="436"/>
      <c r="AX763" s="436" t="s">
        <v>151</v>
      </c>
      <c r="AY763" s="61" t="str">
        <f>IFERROR(__xludf.DUMMYFUNCTION("vlookup(BB763,importrange(""https://docs.google.com/spreadsheets/d/1d2vevQ_7D_v35q4wCQ4RpQ_IPoTwEMB9Yp6ymwlPqew/edit?gid=984458430#gid=984458430"", ""'replication success'!A:K""), 11, FAlSE)"),"#N/A")</f>
        <v>#N/A</v>
      </c>
      <c r="AZ763" s="61" t="str">
        <f>IFERROR(__xludf.DUMMYFUNCTION("vlookup(BB763,importrange(""https://docs.google.com/spreadsheets/d/1d2vevQ_7D_v35q4wCQ4RpQ_IPoTwEMB9Yp6ymwlPqew/edit?gid=984458430#gid=984458430"", ""'replication success'!A:M""), 12, FAlSE)"),"#N/A")</f>
        <v>#N/A</v>
      </c>
      <c r="BA763" s="61" t="str">
        <f>IFERROR(__xludf.DUMMYFUNCTION("vlookup(BB763,importrange(""https://docs.google.com/spreadsheets/d/1d2vevQ_7D_v35q4wCQ4RpQ_IPoTwEMB9Yp6ymwlPqew/edit?gid=984458430#gid=984458430"", ""'replication success'!A:M""), 13, FAlSE)"),"#N/A")</f>
        <v>#N/A</v>
      </c>
      <c r="BB763" s="61" t="str">
        <f>IFERROR(__xludf.DUMMYFUNCTION("REGEXREPLACE(G763, ""_[a-z]{1,2}$"", """")"),"Boyce_etal2023120")</f>
        <v>Boyce_etal2023120</v>
      </c>
      <c r="BC763" s="365"/>
      <c r="BD763" s="1135" t="s">
        <v>4099</v>
      </c>
      <c r="BE763" s="365"/>
      <c r="BF763" s="365"/>
      <c r="BG763" s="365"/>
      <c r="BH763" s="365"/>
      <c r="BI763" s="365"/>
      <c r="BJ763" s="365"/>
      <c r="BK763" s="365"/>
      <c r="BL763" s="365"/>
      <c r="BM763" s="365"/>
      <c r="BN763" s="365"/>
      <c r="BO763" s="365"/>
      <c r="BP763" s="365"/>
      <c r="BQ763" s="365"/>
      <c r="BR763" s="365"/>
      <c r="BS763" s="365"/>
      <c r="BT763" s="365"/>
      <c r="BU763" s="365"/>
      <c r="BV763" s="365"/>
      <c r="BW763" s="365"/>
      <c r="BX763" s="365"/>
      <c r="BY763" s="365"/>
      <c r="BZ763" s="365"/>
      <c r="CA763" s="365"/>
      <c r="CB763" s="365"/>
      <c r="CC763" s="365"/>
      <c r="CD763" s="365"/>
      <c r="CE763" s="365"/>
      <c r="CF763" s="365"/>
      <c r="CG763" s="365"/>
      <c r="CH763" s="365"/>
      <c r="CI763" s="365"/>
      <c r="CJ763" s="365"/>
      <c r="CK763" s="365"/>
      <c r="CL763" s="365"/>
      <c r="CM763" s="365"/>
      <c r="CN763" s="365"/>
      <c r="CO763" s="365"/>
      <c r="CP763" s="365"/>
      <c r="CQ763" s="365"/>
      <c r="CR763" s="365"/>
      <c r="CS763" s="365"/>
      <c r="CT763" s="365"/>
      <c r="CU763" s="365"/>
      <c r="CV763" s="365"/>
      <c r="CW763" s="365"/>
      <c r="CX763" s="365"/>
      <c r="CY763" s="365"/>
      <c r="CZ763" s="365"/>
      <c r="DA763" s="365"/>
      <c r="DB763" s="365"/>
      <c r="DC763" s="365"/>
      <c r="DD763" s="365"/>
      <c r="DE763" s="365"/>
      <c r="DF763" s="365"/>
      <c r="DG763" s="365"/>
      <c r="DH763" s="365"/>
      <c r="DI763" s="365"/>
      <c r="DJ763" s="365"/>
      <c r="DK763" s="365"/>
      <c r="DL763" s="365"/>
    </row>
    <row r="764">
      <c r="A764" s="44">
        <v>764.0</v>
      </c>
      <c r="B764" s="79" t="s">
        <v>114</v>
      </c>
      <c r="C764" s="421" t="s">
        <v>115</v>
      </c>
      <c r="D764" s="421" t="s">
        <v>153</v>
      </c>
      <c r="E764" s="365"/>
      <c r="F764" s="436" t="s">
        <v>4170</v>
      </c>
      <c r="G764" s="430" t="s">
        <v>4171</v>
      </c>
      <c r="H764" s="1103" t="s">
        <v>153</v>
      </c>
      <c r="I764" s="1136">
        <v>45687.0</v>
      </c>
      <c r="J764" s="1136">
        <v>45692.0</v>
      </c>
      <c r="K764" s="433" t="s">
        <v>4179</v>
      </c>
      <c r="L764" s="1135" t="s">
        <v>4161</v>
      </c>
      <c r="M764" s="1103" t="s">
        <v>4090</v>
      </c>
      <c r="N764" s="1103" t="s">
        <v>4091</v>
      </c>
      <c r="O764" s="1137">
        <v>3.0</v>
      </c>
      <c r="P764" s="1103" t="str">
        <f t="shared" si="37"/>
        <v>10.1177--0956797615612202.pdf</v>
      </c>
      <c r="Q764" s="52" t="str">
        <f t="array" ref="Q764"> if(iserror(MATCH(V764, 'File Links'!C:C, 0)), "N/A", HYPERLINK(INDEX('File Links'!B:B, MATCH(P764, 'File Links'!C:C, 0))))</f>
        <v>https://drive.google.com/file/d/1d70WNl03Y6R-FQ2zFUG_7JzLtb7KIhMn/view?usp=drivesdk</v>
      </c>
      <c r="R764" s="1103" t="s">
        <v>3653</v>
      </c>
      <c r="S764" s="1103" t="s">
        <v>3654</v>
      </c>
      <c r="T764" s="436"/>
      <c r="U764" s="156">
        <v>1.0</v>
      </c>
      <c r="V764" s="1103" t="str">
        <f t="shared" si="42"/>
        <v>10.1098--rsos.231240.pdf</v>
      </c>
      <c r="W764" s="1103" t="s">
        <v>164</v>
      </c>
      <c r="X764" s="54" t="str">
        <f t="array" ref="X764"> if(iserror(MATCH(V764, 'File Links'!C:C, 0)), "N/A", HYPERLINK(INDEX('File Links'!B:B, MATCH(V764, 'File Links'!C:C, 0))))</f>
        <v>https://drive.google.com/file/d/17gaf2Zy_ljFfcAEDk5L8GBnTl5i7RGJE/view?usp=drivesdk</v>
      </c>
      <c r="Y764" s="436"/>
      <c r="Z764" s="1103" t="s">
        <v>226</v>
      </c>
      <c r="AA764" s="1103" t="s">
        <v>4093</v>
      </c>
      <c r="AB764" s="1103" t="s">
        <v>4111</v>
      </c>
      <c r="AC764" s="1103" t="s">
        <v>4180</v>
      </c>
      <c r="AD764" s="1103" t="s">
        <v>4181</v>
      </c>
      <c r="AE764" s="1145">
        <v>6.0</v>
      </c>
      <c r="AF764" s="1137">
        <v>145.0</v>
      </c>
      <c r="AG764" s="1145" t="s">
        <v>4182</v>
      </c>
      <c r="AH764" s="1137" t="s">
        <v>134</v>
      </c>
      <c r="AI764" s="1145" t="s">
        <v>140</v>
      </c>
      <c r="AJ764" s="428"/>
      <c r="AK764" s="426"/>
      <c r="AL764" s="430" t="s">
        <v>186</v>
      </c>
      <c r="AM764" s="1103" t="s">
        <v>141</v>
      </c>
      <c r="AN764" s="1135" t="s">
        <v>138</v>
      </c>
      <c r="AO764" s="1145">
        <v>128.0</v>
      </c>
      <c r="AP764" s="1160">
        <v>3.222</v>
      </c>
      <c r="AQ764" s="1137" t="s">
        <v>987</v>
      </c>
      <c r="AR764" s="436"/>
      <c r="AS764" s="1137">
        <v>0.199011</v>
      </c>
      <c r="AT764" s="1103" t="s">
        <v>172</v>
      </c>
      <c r="AU764" s="1103" t="s">
        <v>186</v>
      </c>
      <c r="AV764" s="1103" t="s">
        <v>141</v>
      </c>
      <c r="AW764" s="436"/>
      <c r="AX764" s="436" t="s">
        <v>151</v>
      </c>
      <c r="AY764" s="61" t="str">
        <f>IFERROR(__xludf.DUMMYFUNCTION("vlookup(BB764,importrange(""https://docs.google.com/spreadsheets/d/1d2vevQ_7D_v35q4wCQ4RpQ_IPoTwEMB9Yp6ymwlPqew/edit?gid=984458430#gid=984458430"", ""'replication success'!A:K""), 11, FAlSE)"),"#N/A")</f>
        <v>#N/A</v>
      </c>
      <c r="AZ764" s="61" t="str">
        <f>IFERROR(__xludf.DUMMYFUNCTION("vlookup(BB764,importrange(""https://docs.google.com/spreadsheets/d/1d2vevQ_7D_v35q4wCQ4RpQ_IPoTwEMB9Yp6ymwlPqew/edit?gid=984458430#gid=984458430"", ""'replication success'!A:M""), 12, FAlSE)"),"#N/A")</f>
        <v>#N/A</v>
      </c>
      <c r="BA764" s="61" t="str">
        <f>IFERROR(__xludf.DUMMYFUNCTION("vlookup(BB764,importrange(""https://docs.google.com/spreadsheets/d/1d2vevQ_7D_v35q4wCQ4RpQ_IPoTwEMB9Yp6ymwlPqew/edit?gid=984458430#gid=984458430"", ""'replication success'!A:M""), 13, FAlSE)"),"#N/A")</f>
        <v>#N/A</v>
      </c>
      <c r="BB764" s="61" t="str">
        <f>IFERROR(__xludf.DUMMYFUNCTION("REGEXREPLACE(G764, ""_[a-z]{1,2}$"", """")"),"Boyce_etal2023120")</f>
        <v>Boyce_etal2023120</v>
      </c>
      <c r="BC764" s="365"/>
      <c r="BD764" s="1135" t="s">
        <v>4099</v>
      </c>
      <c r="BE764" s="365"/>
      <c r="BF764" s="365"/>
      <c r="BG764" s="365"/>
      <c r="BH764" s="365"/>
      <c r="BI764" s="365"/>
      <c r="BJ764" s="365"/>
      <c r="BK764" s="365"/>
      <c r="BL764" s="365"/>
      <c r="BM764" s="365"/>
      <c r="BN764" s="365"/>
      <c r="BO764" s="365"/>
      <c r="BP764" s="365"/>
      <c r="BQ764" s="365"/>
      <c r="BR764" s="365"/>
      <c r="BS764" s="365"/>
      <c r="BT764" s="365"/>
      <c r="BU764" s="365"/>
      <c r="BV764" s="365"/>
      <c r="BW764" s="365"/>
      <c r="BX764" s="365"/>
      <c r="BY764" s="365"/>
      <c r="BZ764" s="365"/>
      <c r="CA764" s="365"/>
      <c r="CB764" s="365"/>
      <c r="CC764" s="365"/>
      <c r="CD764" s="365"/>
      <c r="CE764" s="365"/>
      <c r="CF764" s="365"/>
      <c r="CG764" s="365"/>
      <c r="CH764" s="365"/>
      <c r="CI764" s="365"/>
      <c r="CJ764" s="365"/>
      <c r="CK764" s="365"/>
      <c r="CL764" s="365"/>
      <c r="CM764" s="365"/>
      <c r="CN764" s="365"/>
      <c r="CO764" s="365"/>
      <c r="CP764" s="365"/>
      <c r="CQ764" s="365"/>
      <c r="CR764" s="365"/>
      <c r="CS764" s="365"/>
      <c r="CT764" s="365"/>
      <c r="CU764" s="365"/>
      <c r="CV764" s="365"/>
      <c r="CW764" s="365"/>
      <c r="CX764" s="365"/>
      <c r="CY764" s="365"/>
      <c r="CZ764" s="365"/>
      <c r="DA764" s="365"/>
      <c r="DB764" s="365"/>
      <c r="DC764" s="365"/>
      <c r="DD764" s="365"/>
      <c r="DE764" s="365"/>
      <c r="DF764" s="365"/>
      <c r="DG764" s="365"/>
      <c r="DH764" s="365"/>
      <c r="DI764" s="365"/>
      <c r="DJ764" s="365"/>
      <c r="DK764" s="365"/>
      <c r="DL764" s="365"/>
    </row>
    <row r="765">
      <c r="A765" s="44">
        <v>765.0</v>
      </c>
      <c r="B765" s="68" t="s">
        <v>114</v>
      </c>
      <c r="C765" s="62" t="s">
        <v>115</v>
      </c>
      <c r="D765" s="62" t="s">
        <v>248</v>
      </c>
      <c r="F765" s="159" t="s">
        <v>4183</v>
      </c>
      <c r="G765" s="57" t="s">
        <v>4184</v>
      </c>
      <c r="H765" s="159" t="s">
        <v>249</v>
      </c>
      <c r="I765" s="152">
        <v>45670.0</v>
      </c>
      <c r="J765" s="152">
        <v>45692.0</v>
      </c>
      <c r="K765" s="68"/>
      <c r="L765" s="159" t="s">
        <v>3690</v>
      </c>
      <c r="M765" s="159" t="s">
        <v>4185</v>
      </c>
      <c r="N765" s="159" t="s">
        <v>4186</v>
      </c>
      <c r="O765" s="68"/>
      <c r="P765" s="159" t="str">
        <f t="shared" si="37"/>
        <v>10.1177--0956797615598739.pdf</v>
      </c>
      <c r="Q765" s="52" t="str">
        <f t="array" ref="Q765"> if(iserror(MATCH(V765, 'File Links'!C:C, 0)), "N/A", HYPERLINK(INDEX('File Links'!B:B, MATCH(P765, 'File Links'!C:C, 0))))</f>
        <v>https://drive.google.com/file/d/1pCInedMgb6ub4Ncim1wJ4bHJ2ouwc85m/view?usp=drivesdk</v>
      </c>
      <c r="R765" s="159" t="s">
        <v>3653</v>
      </c>
      <c r="S765" s="159" t="s">
        <v>3654</v>
      </c>
      <c r="T765" s="68"/>
      <c r="U765" s="156">
        <v>1.0</v>
      </c>
      <c r="V765" s="198" t="str">
        <f t="shared" si="42"/>
        <v>10.1098--rsos.231240.pdf</v>
      </c>
      <c r="W765" s="159" t="s">
        <v>324</v>
      </c>
      <c r="X765" s="54" t="str">
        <f t="array" ref="X765"> if(iserror(MATCH(V765, 'File Links'!C:C, 0)), "N/A", HYPERLINK(INDEX('File Links'!B:B, MATCH(V765, 'File Links'!C:C, 0))))</f>
        <v>https://drive.google.com/file/d/17gaf2Zy_ljFfcAEDk5L8GBnTl5i7RGJE/view?usp=drivesdk</v>
      </c>
      <c r="Y765" s="68"/>
      <c r="Z765" s="159" t="s">
        <v>226</v>
      </c>
      <c r="AA765" s="68"/>
      <c r="AB765" s="159" t="s">
        <v>4187</v>
      </c>
      <c r="AC765" s="68"/>
      <c r="AD765" s="159" t="s">
        <v>4188</v>
      </c>
      <c r="AE765" s="1059">
        <v>3.0</v>
      </c>
      <c r="AF765" s="156">
        <v>80.0</v>
      </c>
      <c r="AG765" s="156">
        <v>75.02</v>
      </c>
      <c r="AH765" s="159" t="s">
        <v>1031</v>
      </c>
      <c r="AI765" s="159" t="s">
        <v>496</v>
      </c>
      <c r="AJ765" s="709">
        <v>0.001</v>
      </c>
      <c r="AK765" s="57" t="s">
        <v>135</v>
      </c>
      <c r="AL765" s="57" t="s">
        <v>186</v>
      </c>
      <c r="AM765" s="159" t="s">
        <v>141</v>
      </c>
      <c r="AN765" s="129" t="s">
        <v>138</v>
      </c>
      <c r="AO765" s="156">
        <v>84.0</v>
      </c>
      <c r="AP765" s="156">
        <v>1.91434434878218</v>
      </c>
      <c r="AQ765" s="159" t="s">
        <v>173</v>
      </c>
      <c r="AR765" s="68"/>
      <c r="AS765" s="1061">
        <v>2.03963080148808E-13</v>
      </c>
      <c r="AT765" s="159" t="s">
        <v>172</v>
      </c>
      <c r="AU765" s="159" t="s">
        <v>186</v>
      </c>
      <c r="AV765" s="159" t="s">
        <v>141</v>
      </c>
      <c r="AW765" s="68"/>
      <c r="AX765" s="159" t="s">
        <v>143</v>
      </c>
      <c r="AY765" s="61" t="str">
        <f>IFERROR(__xludf.DUMMYFUNCTION("vlookup(BB765,importrange(""https://docs.google.com/spreadsheets/d/1d2vevQ_7D_v35q4wCQ4RpQ_IPoTwEMB9Yp6ymwlPqew/edit?gid=984458430#gid=984458430"", ""'replication success'!A:K""), 11, FAlSE)"),"#N/A")</f>
        <v>#N/A</v>
      </c>
      <c r="AZ765" s="61" t="str">
        <f>IFERROR(__xludf.DUMMYFUNCTION("vlookup(BB765,importrange(""https://docs.google.com/spreadsheets/d/1d2vevQ_7D_v35q4wCQ4RpQ_IPoTwEMB9Yp6ymwlPqew/edit?gid=984458430#gid=984458430"", ""'replication success'!A:M""), 12, FAlSE)"),"#N/A")</f>
        <v>#N/A</v>
      </c>
      <c r="BA765" s="61" t="str">
        <f>IFERROR(__xludf.DUMMYFUNCTION("vlookup(BB765,importrange(""https://docs.google.com/spreadsheets/d/1d2vevQ_7D_v35q4wCQ4RpQ_IPoTwEMB9Yp6ymwlPqew/edit?gid=984458430#gid=984458430"", ""'replication success'!A:M""), 13, FAlSE)"),"#N/A")</f>
        <v>#N/A</v>
      </c>
      <c r="BB765" s="61" t="str">
        <f>IFERROR(__xludf.DUMMYFUNCTION("REGEXREPLACE(G765, ""_[a-z]{1,2}$"", """")"),"Boyce_etal2023121_1")</f>
        <v>Boyce_etal2023121_1</v>
      </c>
      <c r="BD765" s="68" t="s">
        <v>153</v>
      </c>
      <c r="BE765" s="92"/>
    </row>
    <row r="766">
      <c r="A766" s="110">
        <v>766.0</v>
      </c>
      <c r="B766" s="147" t="s">
        <v>152</v>
      </c>
      <c r="C766" s="149" t="s">
        <v>115</v>
      </c>
      <c r="D766" s="149" t="s">
        <v>153</v>
      </c>
      <c r="E766" s="71"/>
      <c r="F766" s="111" t="s">
        <v>4184</v>
      </c>
      <c r="G766" s="112" t="s">
        <v>4189</v>
      </c>
      <c r="H766" s="122" t="s">
        <v>153</v>
      </c>
      <c r="I766" s="417">
        <v>45687.0</v>
      </c>
      <c r="J766" s="417">
        <v>45692.0</v>
      </c>
      <c r="K766" s="1121" t="s">
        <v>4190</v>
      </c>
      <c r="L766" s="116" t="s">
        <v>4191</v>
      </c>
      <c r="M766" s="122" t="s">
        <v>4185</v>
      </c>
      <c r="N766" s="122" t="s">
        <v>4186</v>
      </c>
      <c r="O766" s="537">
        <v>1.0</v>
      </c>
      <c r="P766" s="122" t="str">
        <f t="shared" si="37"/>
        <v>10.1177--0956797615598739.pdf</v>
      </c>
      <c r="Q766" s="1161" t="str">
        <f t="array" ref="Q766"> if(iserror(MATCH(V766, 'File Links'!C:C, 0)), "N/A", HYPERLINK(INDEX('File Links'!B:B, MATCH(P766, 'File Links'!C:C, 0))))</f>
        <v>https://drive.google.com/file/d/1pCInedMgb6ub4Ncim1wJ4bHJ2ouwc85m/view?usp=drivesdk</v>
      </c>
      <c r="R766" s="122" t="s">
        <v>3653</v>
      </c>
      <c r="S766" s="122" t="s">
        <v>3654</v>
      </c>
      <c r="T766" s="780" t="s">
        <v>4192</v>
      </c>
      <c r="U766" s="537">
        <v>1.0</v>
      </c>
      <c r="V766" s="122" t="str">
        <f t="shared" si="42"/>
        <v>10.1098--rsos.231240.pdf</v>
      </c>
      <c r="W766" s="122" t="s">
        <v>3726</v>
      </c>
      <c r="X766" s="1162" t="str">
        <f t="array" ref="X766"> if(iserror(MATCH(V766, 'File Links'!C:C, 0)), "N/A", HYPERLINK(INDEX('File Links'!B:B, MATCH(V766, 'File Links'!C:C, 0))))</f>
        <v>https://drive.google.com/file/d/17gaf2Zy_ljFfcAEDk5L8GBnTl5i7RGJE/view?usp=drivesdk</v>
      </c>
      <c r="Y766" s="111"/>
      <c r="Z766" s="122" t="s">
        <v>226</v>
      </c>
      <c r="AA766" s="122" t="s">
        <v>4193</v>
      </c>
      <c r="AB766" s="218" t="s">
        <v>4194</v>
      </c>
      <c r="AC766" s="122" t="s">
        <v>4195</v>
      </c>
      <c r="AD766" s="122" t="s">
        <v>4196</v>
      </c>
      <c r="AE766" s="537">
        <v>4.0</v>
      </c>
      <c r="AF766" s="537">
        <v>80.0</v>
      </c>
      <c r="AG766" s="537">
        <v>0.49</v>
      </c>
      <c r="AH766" s="537" t="s">
        <v>874</v>
      </c>
      <c r="AI766" s="537" t="s">
        <v>850</v>
      </c>
      <c r="AJ766" s="366">
        <v>0.001</v>
      </c>
      <c r="AK766" s="112" t="s">
        <v>135</v>
      </c>
      <c r="AL766" s="112" t="s">
        <v>186</v>
      </c>
      <c r="AM766" s="122" t="s">
        <v>141</v>
      </c>
      <c r="AN766" s="147" t="s">
        <v>138</v>
      </c>
      <c r="AO766" s="683">
        <v>64.0</v>
      </c>
      <c r="AP766" s="683" t="s">
        <v>4197</v>
      </c>
      <c r="AQ766" s="537" t="s">
        <v>134</v>
      </c>
      <c r="AR766" s="1163" t="s">
        <v>4192</v>
      </c>
      <c r="AS766" s="537">
        <v>0.0169</v>
      </c>
      <c r="AT766" s="122" t="s">
        <v>172</v>
      </c>
      <c r="AU766" s="122" t="s">
        <v>186</v>
      </c>
      <c r="AV766" s="122" t="s">
        <v>141</v>
      </c>
      <c r="AW766" s="147" t="s">
        <v>138</v>
      </c>
      <c r="AX766" s="111" t="s">
        <v>151</v>
      </c>
      <c r="AY766" s="61" t="str">
        <f>IFERROR(__xludf.DUMMYFUNCTION("vlookup(BB766,importrange(""https://docs.google.com/spreadsheets/d/1d2vevQ_7D_v35q4wCQ4RpQ_IPoTwEMB9Yp6ymwlPqew/edit?gid=984458430#gid=984458430"", ""'replication success'!A:K""), 11, FAlSE)"),"#N/A")</f>
        <v>#N/A</v>
      </c>
      <c r="AZ766" s="61" t="str">
        <f>IFERROR(__xludf.DUMMYFUNCTION("vlookup(BB766,importrange(""https://docs.google.com/spreadsheets/d/1d2vevQ_7D_v35q4wCQ4RpQ_IPoTwEMB9Yp6ymwlPqew/edit?gid=984458430#gid=984458430"", ""'replication success'!A:M""), 12, FAlSE)"),"#N/A")</f>
        <v>#N/A</v>
      </c>
      <c r="BA766" s="61" t="str">
        <f>IFERROR(__xludf.DUMMYFUNCTION("vlookup(BB766,importrange(""https://docs.google.com/spreadsheets/d/1d2vevQ_7D_v35q4wCQ4RpQ_IPoTwEMB9Yp6ymwlPqew/edit?gid=984458430#gid=984458430"", ""'replication success'!A:M""), 13, FAlSE)"),"#N/A")</f>
        <v>#N/A</v>
      </c>
      <c r="BB766" s="61" t="str">
        <f>IFERROR(__xludf.DUMMYFUNCTION("REGEXREPLACE(G766, ""_[a-z]{1,2}$"", """")"),"Boyce_etal2023121_1")</f>
        <v>Boyce_etal2023121_1</v>
      </c>
      <c r="BC766" s="71"/>
      <c r="BD766" s="147" t="s">
        <v>3763</v>
      </c>
      <c r="BE766" s="71"/>
      <c r="BF766" s="71"/>
      <c r="BG766" s="71"/>
      <c r="BH766" s="71"/>
      <c r="BI766" s="71"/>
      <c r="BJ766" s="71"/>
      <c r="BK766" s="71"/>
      <c r="BL766" s="71"/>
      <c r="BM766" s="71"/>
      <c r="BN766" s="71"/>
      <c r="BO766" s="71"/>
      <c r="BP766" s="71"/>
      <c r="BQ766" s="71"/>
      <c r="BR766" s="71"/>
      <c r="BS766" s="71"/>
      <c r="BT766" s="71"/>
      <c r="BU766" s="71"/>
      <c r="BV766" s="71"/>
      <c r="BW766" s="71"/>
      <c r="BX766" s="71"/>
      <c r="BY766" s="71"/>
      <c r="BZ766" s="71"/>
      <c r="CA766" s="71"/>
      <c r="CB766" s="71"/>
      <c r="CC766" s="71"/>
      <c r="CD766" s="71"/>
      <c r="CE766" s="71"/>
      <c r="CF766" s="71"/>
      <c r="CG766" s="71"/>
      <c r="CH766" s="71"/>
      <c r="CI766" s="71"/>
      <c r="CJ766" s="71"/>
      <c r="CK766" s="71"/>
      <c r="CL766" s="71"/>
      <c r="CM766" s="71"/>
      <c r="CN766" s="71"/>
      <c r="CO766" s="71"/>
      <c r="CP766" s="71"/>
      <c r="CQ766" s="71"/>
      <c r="CR766" s="71"/>
      <c r="CS766" s="71"/>
      <c r="CT766" s="71"/>
      <c r="CU766" s="71"/>
      <c r="CV766" s="71"/>
      <c r="CW766" s="71"/>
      <c r="CX766" s="71"/>
      <c r="CY766" s="71"/>
      <c r="CZ766" s="71"/>
      <c r="DA766" s="71"/>
      <c r="DB766" s="71"/>
      <c r="DC766" s="71"/>
      <c r="DD766" s="71"/>
      <c r="DE766" s="71"/>
      <c r="DF766" s="71"/>
      <c r="DG766" s="71"/>
      <c r="DH766" s="71"/>
      <c r="DI766" s="71"/>
      <c r="DJ766" s="71"/>
      <c r="DK766" s="71"/>
      <c r="DL766" s="71"/>
    </row>
    <row r="767">
      <c r="A767" s="110">
        <v>767.0</v>
      </c>
      <c r="B767" s="147" t="s">
        <v>152</v>
      </c>
      <c r="C767" s="149" t="s">
        <v>115</v>
      </c>
      <c r="D767" s="149" t="s">
        <v>153</v>
      </c>
      <c r="E767" s="71"/>
      <c r="F767" s="111" t="s">
        <v>4184</v>
      </c>
      <c r="G767" s="112" t="s">
        <v>4198</v>
      </c>
      <c r="H767" s="122" t="s">
        <v>153</v>
      </c>
      <c r="I767" s="417">
        <v>45687.0</v>
      </c>
      <c r="J767" s="417">
        <v>45692.0</v>
      </c>
      <c r="K767" s="1121" t="s">
        <v>4199</v>
      </c>
      <c r="L767" s="116" t="s">
        <v>4191</v>
      </c>
      <c r="M767" s="122" t="s">
        <v>4185</v>
      </c>
      <c r="N767" s="122" t="s">
        <v>4186</v>
      </c>
      <c r="O767" s="537">
        <v>1.0</v>
      </c>
      <c r="P767" s="122" t="str">
        <f t="shared" si="37"/>
        <v>10.1177--0956797615598739.pdf</v>
      </c>
      <c r="Q767" s="1161" t="str">
        <f t="array" ref="Q767"> if(iserror(MATCH(V767, 'File Links'!C:C, 0)), "N/A", HYPERLINK(INDEX('File Links'!B:B, MATCH(P767, 'File Links'!C:C, 0))))</f>
        <v>https://drive.google.com/file/d/1pCInedMgb6ub4Ncim1wJ4bHJ2ouwc85m/view?usp=drivesdk</v>
      </c>
      <c r="R767" s="122" t="s">
        <v>3653</v>
      </c>
      <c r="S767" s="122" t="s">
        <v>3654</v>
      </c>
      <c r="T767" s="780" t="s">
        <v>4192</v>
      </c>
      <c r="U767" s="537">
        <v>1.0</v>
      </c>
      <c r="V767" s="122" t="str">
        <f t="shared" si="42"/>
        <v>10.1098--rsos.231240.pdf</v>
      </c>
      <c r="W767" s="122" t="s">
        <v>3726</v>
      </c>
      <c r="X767" s="1162" t="str">
        <f t="array" ref="X767"> if(iserror(MATCH(V767, 'File Links'!C:C, 0)), "N/A", HYPERLINK(INDEX('File Links'!B:B, MATCH(V767, 'File Links'!C:C, 0))))</f>
        <v>https://drive.google.com/file/d/17gaf2Zy_ljFfcAEDk5L8GBnTl5i7RGJE/view?usp=drivesdk</v>
      </c>
      <c r="Y767" s="111"/>
      <c r="Z767" s="122" t="s">
        <v>226</v>
      </c>
      <c r="AA767" s="122" t="s">
        <v>4193</v>
      </c>
      <c r="AB767" s="218" t="s">
        <v>4194</v>
      </c>
      <c r="AC767" s="122" t="s">
        <v>4200</v>
      </c>
      <c r="AD767" s="122" t="s">
        <v>4201</v>
      </c>
      <c r="AE767" s="1109">
        <v>4.0</v>
      </c>
      <c r="AF767" s="537">
        <v>80.0</v>
      </c>
      <c r="AG767" s="1109">
        <v>0.04</v>
      </c>
      <c r="AH767" s="537" t="s">
        <v>874</v>
      </c>
      <c r="AI767" s="1109" t="s">
        <v>850</v>
      </c>
      <c r="AJ767" s="1110">
        <v>0.84</v>
      </c>
      <c r="AK767" s="112" t="s">
        <v>172</v>
      </c>
      <c r="AL767" s="112" t="s">
        <v>186</v>
      </c>
      <c r="AM767" s="122" t="s">
        <v>141</v>
      </c>
      <c r="AN767" s="147" t="s">
        <v>138</v>
      </c>
      <c r="AO767" s="683">
        <v>64.0</v>
      </c>
      <c r="AP767" s="1164" t="s">
        <v>4202</v>
      </c>
      <c r="AQ767" s="537" t="s">
        <v>134</v>
      </c>
      <c r="AR767" s="1163" t="s">
        <v>4192</v>
      </c>
      <c r="AS767" s="537">
        <v>0.8952</v>
      </c>
      <c r="AT767" s="122" t="s">
        <v>172</v>
      </c>
      <c r="AU767" s="122" t="s">
        <v>186</v>
      </c>
      <c r="AV767" s="122" t="s">
        <v>141</v>
      </c>
      <c r="AW767" s="147" t="s">
        <v>138</v>
      </c>
      <c r="AX767" s="111" t="s">
        <v>151</v>
      </c>
      <c r="AY767" s="61" t="str">
        <f>IFERROR(__xludf.DUMMYFUNCTION("vlookup(BB767,importrange(""https://docs.google.com/spreadsheets/d/1d2vevQ_7D_v35q4wCQ4RpQ_IPoTwEMB9Yp6ymwlPqew/edit?gid=984458430#gid=984458430"", ""'replication success'!A:K""), 11, FAlSE)"),"#N/A")</f>
        <v>#N/A</v>
      </c>
      <c r="AZ767" s="61" t="str">
        <f>IFERROR(__xludf.DUMMYFUNCTION("vlookup(BB767,importrange(""https://docs.google.com/spreadsheets/d/1d2vevQ_7D_v35q4wCQ4RpQ_IPoTwEMB9Yp6ymwlPqew/edit?gid=984458430#gid=984458430"", ""'replication success'!A:M""), 12, FAlSE)"),"#N/A")</f>
        <v>#N/A</v>
      </c>
      <c r="BA767" s="61" t="str">
        <f>IFERROR(__xludf.DUMMYFUNCTION("vlookup(BB767,importrange(""https://docs.google.com/spreadsheets/d/1d2vevQ_7D_v35q4wCQ4RpQ_IPoTwEMB9Yp6ymwlPqew/edit?gid=984458430#gid=984458430"", ""'replication success'!A:M""), 13, FAlSE)"),"#N/A")</f>
        <v>#N/A</v>
      </c>
      <c r="BB767" s="61" t="str">
        <f>IFERROR(__xludf.DUMMYFUNCTION("REGEXREPLACE(G767, ""_[a-z]{1,2}$"", """")"),"Boyce_etal2023121_1")</f>
        <v>Boyce_etal2023121_1</v>
      </c>
      <c r="BC767" s="71"/>
      <c r="BD767" s="147" t="s">
        <v>3763</v>
      </c>
      <c r="BE767" s="71"/>
      <c r="BF767" s="71"/>
      <c r="BG767" s="71"/>
      <c r="BH767" s="71"/>
      <c r="BI767" s="71"/>
      <c r="BJ767" s="71"/>
      <c r="BK767" s="71"/>
      <c r="BL767" s="71"/>
      <c r="BM767" s="71"/>
      <c r="BN767" s="71"/>
      <c r="BO767" s="71"/>
      <c r="BP767" s="71"/>
      <c r="BQ767" s="71"/>
      <c r="BR767" s="71"/>
      <c r="BS767" s="71"/>
      <c r="BT767" s="71"/>
      <c r="BU767" s="71"/>
      <c r="BV767" s="71"/>
      <c r="BW767" s="71"/>
      <c r="BX767" s="71"/>
      <c r="BY767" s="71"/>
      <c r="BZ767" s="71"/>
      <c r="CA767" s="71"/>
      <c r="CB767" s="71"/>
      <c r="CC767" s="71"/>
      <c r="CD767" s="71"/>
      <c r="CE767" s="71"/>
      <c r="CF767" s="71"/>
      <c r="CG767" s="71"/>
      <c r="CH767" s="71"/>
      <c r="CI767" s="71"/>
      <c r="CJ767" s="71"/>
      <c r="CK767" s="71"/>
      <c r="CL767" s="71"/>
      <c r="CM767" s="71"/>
      <c r="CN767" s="71"/>
      <c r="CO767" s="71"/>
      <c r="CP767" s="71"/>
      <c r="CQ767" s="71"/>
      <c r="CR767" s="71"/>
      <c r="CS767" s="71"/>
      <c r="CT767" s="71"/>
      <c r="CU767" s="71"/>
      <c r="CV767" s="71"/>
      <c r="CW767" s="71"/>
      <c r="CX767" s="71"/>
      <c r="CY767" s="71"/>
      <c r="CZ767" s="71"/>
      <c r="DA767" s="71"/>
      <c r="DB767" s="71"/>
      <c r="DC767" s="71"/>
      <c r="DD767" s="71"/>
      <c r="DE767" s="71"/>
      <c r="DF767" s="71"/>
      <c r="DG767" s="71"/>
      <c r="DH767" s="71"/>
      <c r="DI767" s="71"/>
      <c r="DJ767" s="71"/>
      <c r="DK767" s="71"/>
      <c r="DL767" s="71"/>
    </row>
    <row r="768">
      <c r="A768" s="110">
        <v>768.0</v>
      </c>
      <c r="B768" s="147" t="s">
        <v>152</v>
      </c>
      <c r="C768" s="149" t="s">
        <v>115</v>
      </c>
      <c r="D768" s="149" t="s">
        <v>153</v>
      </c>
      <c r="E768" s="71"/>
      <c r="F768" s="111" t="s">
        <v>4184</v>
      </c>
      <c r="G768" s="112" t="s">
        <v>4203</v>
      </c>
      <c r="H768" s="122" t="s">
        <v>153</v>
      </c>
      <c r="I768" s="417">
        <v>45687.0</v>
      </c>
      <c r="J768" s="417">
        <v>45692.0</v>
      </c>
      <c r="K768" s="1121" t="s">
        <v>4204</v>
      </c>
      <c r="L768" s="116" t="s">
        <v>4191</v>
      </c>
      <c r="M768" s="122" t="s">
        <v>4185</v>
      </c>
      <c r="N768" s="122" t="s">
        <v>4186</v>
      </c>
      <c r="O768" s="537">
        <v>1.0</v>
      </c>
      <c r="P768" s="122" t="str">
        <f t="shared" si="37"/>
        <v>10.1177--0956797615598739.pdf</v>
      </c>
      <c r="Q768" s="1161" t="str">
        <f t="array" ref="Q768"> if(iserror(MATCH(V768, 'File Links'!C:C, 0)), "N/A", HYPERLINK(INDEX('File Links'!B:B, MATCH(P768, 'File Links'!C:C, 0))))</f>
        <v>https://drive.google.com/file/d/1pCInedMgb6ub4Ncim1wJ4bHJ2ouwc85m/view?usp=drivesdk</v>
      </c>
      <c r="R768" s="122" t="s">
        <v>3653</v>
      </c>
      <c r="S768" s="122" t="s">
        <v>3654</v>
      </c>
      <c r="T768" s="780" t="s">
        <v>4192</v>
      </c>
      <c r="U768" s="537">
        <v>1.0</v>
      </c>
      <c r="V768" s="122" t="str">
        <f t="shared" si="42"/>
        <v>10.1098--rsos.231240.pdf</v>
      </c>
      <c r="W768" s="122" t="s">
        <v>3726</v>
      </c>
      <c r="X768" s="1162" t="str">
        <f t="array" ref="X768"> if(iserror(MATCH(V768, 'File Links'!C:C, 0)), "N/A", HYPERLINK(INDEX('File Links'!B:B, MATCH(V768, 'File Links'!C:C, 0))))</f>
        <v>https://drive.google.com/file/d/17gaf2Zy_ljFfcAEDk5L8GBnTl5i7RGJE/view?usp=drivesdk</v>
      </c>
      <c r="Y768" s="111"/>
      <c r="Z768" s="122" t="s">
        <v>226</v>
      </c>
      <c r="AA768" s="122" t="s">
        <v>4193</v>
      </c>
      <c r="AB768" s="218" t="s">
        <v>4194</v>
      </c>
      <c r="AC768" s="122" t="s">
        <v>4205</v>
      </c>
      <c r="AD768" s="122" t="s">
        <v>4206</v>
      </c>
      <c r="AE768" s="1109">
        <v>4.0</v>
      </c>
      <c r="AF768" s="537">
        <v>80.0</v>
      </c>
      <c r="AG768" s="1109">
        <v>1.25</v>
      </c>
      <c r="AH768" s="537" t="s">
        <v>173</v>
      </c>
      <c r="AI768" s="1109" t="s">
        <v>850</v>
      </c>
      <c r="AJ768" s="1110">
        <v>0.001</v>
      </c>
      <c r="AK768" s="112" t="s">
        <v>135</v>
      </c>
      <c r="AL768" s="112" t="s">
        <v>186</v>
      </c>
      <c r="AM768" s="122" t="s">
        <v>141</v>
      </c>
      <c r="AN768" s="147" t="s">
        <v>138</v>
      </c>
      <c r="AO768" s="683">
        <v>64.0</v>
      </c>
      <c r="AP768" s="1109">
        <v>0.7293456</v>
      </c>
      <c r="AQ768" s="1109" t="s">
        <v>173</v>
      </c>
      <c r="AR768" s="1163" t="s">
        <v>4192</v>
      </c>
      <c r="AS768" s="537">
        <v>0.076</v>
      </c>
      <c r="AT768" s="122" t="s">
        <v>172</v>
      </c>
      <c r="AU768" s="122" t="s">
        <v>186</v>
      </c>
      <c r="AV768" s="122" t="s">
        <v>141</v>
      </c>
      <c r="AW768" s="147" t="s">
        <v>138</v>
      </c>
      <c r="AX768" s="111" t="s">
        <v>151</v>
      </c>
      <c r="AY768" s="61" t="str">
        <f>IFERROR(__xludf.DUMMYFUNCTION("vlookup(BB768,importrange(""https://docs.google.com/spreadsheets/d/1d2vevQ_7D_v35q4wCQ4RpQ_IPoTwEMB9Yp6ymwlPqew/edit?gid=984458430#gid=984458430"", ""'replication success'!A:K""), 11, FAlSE)"),"#N/A")</f>
        <v>#N/A</v>
      </c>
      <c r="AZ768" s="61" t="str">
        <f>IFERROR(__xludf.DUMMYFUNCTION("vlookup(BB768,importrange(""https://docs.google.com/spreadsheets/d/1d2vevQ_7D_v35q4wCQ4RpQ_IPoTwEMB9Yp6ymwlPqew/edit?gid=984458430#gid=984458430"", ""'replication success'!A:M""), 12, FAlSE)"),"#N/A")</f>
        <v>#N/A</v>
      </c>
      <c r="BA768" s="61" t="str">
        <f>IFERROR(__xludf.DUMMYFUNCTION("vlookup(BB768,importrange(""https://docs.google.com/spreadsheets/d/1d2vevQ_7D_v35q4wCQ4RpQ_IPoTwEMB9Yp6ymwlPqew/edit?gid=984458430#gid=984458430"", ""'replication success'!A:M""), 13, FAlSE)"),"#N/A")</f>
        <v>#N/A</v>
      </c>
      <c r="BB768" s="61" t="str">
        <f>IFERROR(__xludf.DUMMYFUNCTION("REGEXREPLACE(G768, ""_[a-z]{1,2}$"", """")"),"Boyce_etal2023121_1")</f>
        <v>Boyce_etal2023121_1</v>
      </c>
      <c r="BC768" s="71"/>
      <c r="BD768" s="147" t="s">
        <v>3763</v>
      </c>
      <c r="BE768" s="71"/>
      <c r="BF768" s="71"/>
      <c r="BG768" s="71"/>
      <c r="BH768" s="71"/>
      <c r="BI768" s="71"/>
      <c r="BJ768" s="71"/>
      <c r="BK768" s="71"/>
      <c r="BL768" s="71"/>
      <c r="BM768" s="71"/>
      <c r="BN768" s="71"/>
      <c r="BO768" s="71"/>
      <c r="BP768" s="71"/>
      <c r="BQ768" s="71"/>
      <c r="BR768" s="71"/>
      <c r="BS768" s="71"/>
      <c r="BT768" s="71"/>
      <c r="BU768" s="71"/>
      <c r="BV768" s="71"/>
      <c r="BW768" s="71"/>
      <c r="BX768" s="71"/>
      <c r="BY768" s="71"/>
      <c r="BZ768" s="71"/>
      <c r="CA768" s="71"/>
      <c r="CB768" s="71"/>
      <c r="CC768" s="71"/>
      <c r="CD768" s="71"/>
      <c r="CE768" s="71"/>
      <c r="CF768" s="71"/>
      <c r="CG768" s="71"/>
      <c r="CH768" s="71"/>
      <c r="CI768" s="71"/>
      <c r="CJ768" s="71"/>
      <c r="CK768" s="71"/>
      <c r="CL768" s="71"/>
      <c r="CM768" s="71"/>
      <c r="CN768" s="71"/>
      <c r="CO768" s="71"/>
      <c r="CP768" s="71"/>
      <c r="CQ768" s="71"/>
      <c r="CR768" s="71"/>
      <c r="CS768" s="71"/>
      <c r="CT768" s="71"/>
      <c r="CU768" s="71"/>
      <c r="CV768" s="71"/>
      <c r="CW768" s="71"/>
      <c r="CX768" s="71"/>
      <c r="CY768" s="71"/>
      <c r="CZ768" s="71"/>
      <c r="DA768" s="71"/>
      <c r="DB768" s="71"/>
      <c r="DC768" s="71"/>
      <c r="DD768" s="71"/>
      <c r="DE768" s="71"/>
      <c r="DF768" s="71"/>
      <c r="DG768" s="71"/>
      <c r="DH768" s="71"/>
      <c r="DI768" s="71"/>
      <c r="DJ768" s="71"/>
      <c r="DK768" s="71"/>
      <c r="DL768" s="71"/>
    </row>
    <row r="769">
      <c r="A769" s="110">
        <v>769.0</v>
      </c>
      <c r="B769" s="147" t="s">
        <v>152</v>
      </c>
      <c r="C769" s="149" t="s">
        <v>115</v>
      </c>
      <c r="D769" s="149" t="s">
        <v>153</v>
      </c>
      <c r="E769" s="71"/>
      <c r="F769" s="111" t="s">
        <v>4184</v>
      </c>
      <c r="G769" s="112" t="s">
        <v>4207</v>
      </c>
      <c r="H769" s="122" t="s">
        <v>153</v>
      </c>
      <c r="I769" s="417">
        <v>45687.0</v>
      </c>
      <c r="J769" s="417">
        <v>45692.0</v>
      </c>
      <c r="K769" s="1121" t="s">
        <v>4208</v>
      </c>
      <c r="L769" s="116" t="s">
        <v>4191</v>
      </c>
      <c r="M769" s="122" t="s">
        <v>4185</v>
      </c>
      <c r="N769" s="122" t="s">
        <v>4186</v>
      </c>
      <c r="O769" s="537">
        <v>1.0</v>
      </c>
      <c r="P769" s="122" t="str">
        <f t="shared" si="37"/>
        <v>10.1177--0956797615598739.pdf</v>
      </c>
      <c r="Q769" s="1161" t="str">
        <f t="array" ref="Q769"> if(iserror(MATCH(V769, 'File Links'!C:C, 0)), "N/A", HYPERLINK(INDEX('File Links'!B:B, MATCH(P769, 'File Links'!C:C, 0))))</f>
        <v>https://drive.google.com/file/d/1pCInedMgb6ub4Ncim1wJ4bHJ2ouwc85m/view?usp=drivesdk</v>
      </c>
      <c r="R769" s="122" t="s">
        <v>3653</v>
      </c>
      <c r="S769" s="122" t="s">
        <v>3654</v>
      </c>
      <c r="T769" s="780" t="s">
        <v>4192</v>
      </c>
      <c r="U769" s="537">
        <v>1.0</v>
      </c>
      <c r="V769" s="122" t="str">
        <f t="shared" si="42"/>
        <v>10.1098--rsos.231240.pdf</v>
      </c>
      <c r="W769" s="122" t="s">
        <v>3726</v>
      </c>
      <c r="X769" s="1162" t="str">
        <f t="array" ref="X769"> if(iserror(MATCH(V769, 'File Links'!C:C, 0)), "N/A", HYPERLINK(INDEX('File Links'!B:B, MATCH(V769, 'File Links'!C:C, 0))))</f>
        <v>https://drive.google.com/file/d/17gaf2Zy_ljFfcAEDk5L8GBnTl5i7RGJE/view?usp=drivesdk</v>
      </c>
      <c r="Y769" s="111"/>
      <c r="Z769" s="122" t="s">
        <v>226</v>
      </c>
      <c r="AA769" s="122" t="s">
        <v>4193</v>
      </c>
      <c r="AB769" s="218" t="s">
        <v>4194</v>
      </c>
      <c r="AC769" s="122" t="s">
        <v>4209</v>
      </c>
      <c r="AD769" s="122" t="s">
        <v>4210</v>
      </c>
      <c r="AE769" s="1109">
        <v>4.0</v>
      </c>
      <c r="AF769" s="537">
        <v>80.0</v>
      </c>
      <c r="AG769" s="1109">
        <v>0.94</v>
      </c>
      <c r="AH769" s="537" t="s">
        <v>173</v>
      </c>
      <c r="AI769" s="1109" t="s">
        <v>850</v>
      </c>
      <c r="AJ769" s="1110">
        <v>0.001</v>
      </c>
      <c r="AK769" s="112" t="s">
        <v>135</v>
      </c>
      <c r="AL769" s="112" t="s">
        <v>186</v>
      </c>
      <c r="AM769" s="122" t="s">
        <v>141</v>
      </c>
      <c r="AN769" s="147" t="s">
        <v>138</v>
      </c>
      <c r="AO769" s="683">
        <v>64.0</v>
      </c>
      <c r="AP769" s="1109">
        <v>0.9725716</v>
      </c>
      <c r="AQ769" s="1109" t="s">
        <v>173</v>
      </c>
      <c r="AR769" s="1163" t="s">
        <v>4192</v>
      </c>
      <c r="AS769" s="537">
        <v>0.144</v>
      </c>
      <c r="AT769" s="122" t="s">
        <v>172</v>
      </c>
      <c r="AU769" s="122" t="s">
        <v>186</v>
      </c>
      <c r="AV769" s="122" t="s">
        <v>141</v>
      </c>
      <c r="AW769" s="147" t="s">
        <v>138</v>
      </c>
      <c r="AX769" s="111" t="s">
        <v>151</v>
      </c>
      <c r="AY769" s="61" t="str">
        <f>IFERROR(__xludf.DUMMYFUNCTION("vlookup(BB769,importrange(""https://docs.google.com/spreadsheets/d/1d2vevQ_7D_v35q4wCQ4RpQ_IPoTwEMB9Yp6ymwlPqew/edit?gid=984458430#gid=984458430"", ""'replication success'!A:K""), 11, FAlSE)"),"#N/A")</f>
        <v>#N/A</v>
      </c>
      <c r="AZ769" s="61" t="str">
        <f>IFERROR(__xludf.DUMMYFUNCTION("vlookup(BB769,importrange(""https://docs.google.com/spreadsheets/d/1d2vevQ_7D_v35q4wCQ4RpQ_IPoTwEMB9Yp6ymwlPqew/edit?gid=984458430#gid=984458430"", ""'replication success'!A:M""), 12, FAlSE)"),"#N/A")</f>
        <v>#N/A</v>
      </c>
      <c r="BA769" s="61" t="str">
        <f>IFERROR(__xludf.DUMMYFUNCTION("vlookup(BB769,importrange(""https://docs.google.com/spreadsheets/d/1d2vevQ_7D_v35q4wCQ4RpQ_IPoTwEMB9Yp6ymwlPqew/edit?gid=984458430#gid=984458430"", ""'replication success'!A:M""), 13, FAlSE)"),"#N/A")</f>
        <v>#N/A</v>
      </c>
      <c r="BB769" s="61" t="str">
        <f>IFERROR(__xludf.DUMMYFUNCTION("REGEXREPLACE(G769, ""_[a-z]{1,2}$"", """")"),"Boyce_etal2023121_1")</f>
        <v>Boyce_etal2023121_1</v>
      </c>
      <c r="BC769" s="71"/>
      <c r="BD769" s="147" t="s">
        <v>3763</v>
      </c>
      <c r="BE769" s="71"/>
      <c r="BF769" s="71"/>
      <c r="BG769" s="71"/>
      <c r="BH769" s="71"/>
      <c r="BI769" s="71"/>
      <c r="BJ769" s="71"/>
      <c r="BK769" s="71"/>
      <c r="BL769" s="71"/>
      <c r="BM769" s="71"/>
      <c r="BN769" s="71"/>
      <c r="BO769" s="71"/>
      <c r="BP769" s="71"/>
      <c r="BQ769" s="71"/>
      <c r="BR769" s="71"/>
      <c r="BS769" s="71"/>
      <c r="BT769" s="71"/>
      <c r="BU769" s="71"/>
      <c r="BV769" s="71"/>
      <c r="BW769" s="71"/>
      <c r="BX769" s="71"/>
      <c r="BY769" s="71"/>
      <c r="BZ769" s="71"/>
      <c r="CA769" s="71"/>
      <c r="CB769" s="71"/>
      <c r="CC769" s="71"/>
      <c r="CD769" s="71"/>
      <c r="CE769" s="71"/>
      <c r="CF769" s="71"/>
      <c r="CG769" s="71"/>
      <c r="CH769" s="71"/>
      <c r="CI769" s="71"/>
      <c r="CJ769" s="71"/>
      <c r="CK769" s="71"/>
      <c r="CL769" s="71"/>
      <c r="CM769" s="71"/>
      <c r="CN769" s="71"/>
      <c r="CO769" s="71"/>
      <c r="CP769" s="71"/>
      <c r="CQ769" s="71"/>
      <c r="CR769" s="71"/>
      <c r="CS769" s="71"/>
      <c r="CT769" s="71"/>
      <c r="CU769" s="71"/>
      <c r="CV769" s="71"/>
      <c r="CW769" s="71"/>
      <c r="CX769" s="71"/>
      <c r="CY769" s="71"/>
      <c r="CZ769" s="71"/>
      <c r="DA769" s="71"/>
      <c r="DB769" s="71"/>
      <c r="DC769" s="71"/>
      <c r="DD769" s="71"/>
      <c r="DE769" s="71"/>
      <c r="DF769" s="71"/>
      <c r="DG769" s="71"/>
      <c r="DH769" s="71"/>
      <c r="DI769" s="71"/>
      <c r="DJ769" s="71"/>
      <c r="DK769" s="71"/>
      <c r="DL769" s="71"/>
    </row>
    <row r="770">
      <c r="A770" s="110">
        <v>770.0</v>
      </c>
      <c r="B770" s="147" t="s">
        <v>152</v>
      </c>
      <c r="C770" s="149" t="s">
        <v>115</v>
      </c>
      <c r="D770" s="149" t="s">
        <v>153</v>
      </c>
      <c r="E770" s="71"/>
      <c r="F770" s="111" t="s">
        <v>4184</v>
      </c>
      <c r="G770" s="112" t="s">
        <v>4211</v>
      </c>
      <c r="H770" s="122" t="s">
        <v>153</v>
      </c>
      <c r="I770" s="417">
        <v>45687.0</v>
      </c>
      <c r="J770" s="417">
        <v>45692.0</v>
      </c>
      <c r="K770" s="1121" t="s">
        <v>4212</v>
      </c>
      <c r="L770" s="116" t="s">
        <v>4191</v>
      </c>
      <c r="M770" s="122" t="s">
        <v>4185</v>
      </c>
      <c r="N770" s="122" t="s">
        <v>4186</v>
      </c>
      <c r="O770" s="537">
        <v>1.0</v>
      </c>
      <c r="P770" s="122" t="str">
        <f t="shared" si="37"/>
        <v>10.1177--0956797615598739.pdf</v>
      </c>
      <c r="Q770" s="1161" t="str">
        <f t="array" ref="Q770"> if(iserror(MATCH(V770, 'File Links'!C:C, 0)), "N/A", HYPERLINK(INDEX('File Links'!B:B, MATCH(P770, 'File Links'!C:C, 0))))</f>
        <v>https://drive.google.com/file/d/1pCInedMgb6ub4Ncim1wJ4bHJ2ouwc85m/view?usp=drivesdk</v>
      </c>
      <c r="R770" s="122" t="s">
        <v>3653</v>
      </c>
      <c r="S770" s="122" t="s">
        <v>3654</v>
      </c>
      <c r="T770" s="780" t="s">
        <v>4192</v>
      </c>
      <c r="U770" s="537">
        <v>1.0</v>
      </c>
      <c r="V770" s="122" t="str">
        <f t="shared" si="42"/>
        <v>10.1098--rsos.231240.pdf</v>
      </c>
      <c r="W770" s="122" t="s">
        <v>3726</v>
      </c>
      <c r="X770" s="1162" t="str">
        <f t="array" ref="X770"> if(iserror(MATCH(V770, 'File Links'!C:C, 0)), "N/A", HYPERLINK(INDEX('File Links'!B:B, MATCH(V770, 'File Links'!C:C, 0))))</f>
        <v>https://drive.google.com/file/d/17gaf2Zy_ljFfcAEDk5L8GBnTl5i7RGJE/view?usp=drivesdk</v>
      </c>
      <c r="Y770" s="111"/>
      <c r="Z770" s="122" t="s">
        <v>226</v>
      </c>
      <c r="AA770" s="122" t="s">
        <v>4193</v>
      </c>
      <c r="AB770" s="218" t="s">
        <v>4194</v>
      </c>
      <c r="AC770" s="122" t="s">
        <v>4213</v>
      </c>
      <c r="AD770" s="122" t="s">
        <v>4214</v>
      </c>
      <c r="AE770" s="1109">
        <v>4.0</v>
      </c>
      <c r="AF770" s="537">
        <v>80.0</v>
      </c>
      <c r="AG770" s="1109">
        <v>0.71</v>
      </c>
      <c r="AH770" s="537" t="s">
        <v>173</v>
      </c>
      <c r="AI770" s="1109" t="s">
        <v>850</v>
      </c>
      <c r="AJ770" s="1110">
        <v>0.002</v>
      </c>
      <c r="AK770" s="112" t="s">
        <v>172</v>
      </c>
      <c r="AL770" s="112" t="s">
        <v>186</v>
      </c>
      <c r="AM770" s="122" t="s">
        <v>141</v>
      </c>
      <c r="AN770" s="147" t="s">
        <v>138</v>
      </c>
      <c r="AO770" s="683">
        <v>64.0</v>
      </c>
      <c r="AP770" s="1109">
        <v>0.1427911</v>
      </c>
      <c r="AQ770" s="1109" t="s">
        <v>173</v>
      </c>
      <c r="AR770" s="1163" t="s">
        <v>4192</v>
      </c>
      <c r="AS770" s="537">
        <v>0.689</v>
      </c>
      <c r="AT770" s="122" t="s">
        <v>172</v>
      </c>
      <c r="AU770" s="122" t="s">
        <v>186</v>
      </c>
      <c r="AV770" s="122" t="s">
        <v>141</v>
      </c>
      <c r="AW770" s="147" t="s">
        <v>138</v>
      </c>
      <c r="AX770" s="111" t="s">
        <v>151</v>
      </c>
      <c r="AY770" s="61" t="str">
        <f>IFERROR(__xludf.DUMMYFUNCTION("vlookup(BB770,importrange(""https://docs.google.com/spreadsheets/d/1d2vevQ_7D_v35q4wCQ4RpQ_IPoTwEMB9Yp6ymwlPqew/edit?gid=984458430#gid=984458430"", ""'replication success'!A:K""), 11, FAlSE)"),"#N/A")</f>
        <v>#N/A</v>
      </c>
      <c r="AZ770" s="61" t="str">
        <f>IFERROR(__xludf.DUMMYFUNCTION("vlookup(BB770,importrange(""https://docs.google.com/spreadsheets/d/1d2vevQ_7D_v35q4wCQ4RpQ_IPoTwEMB9Yp6ymwlPqew/edit?gid=984458430#gid=984458430"", ""'replication success'!A:M""), 12, FAlSE)"),"#N/A")</f>
        <v>#N/A</v>
      </c>
      <c r="BA770" s="61" t="str">
        <f>IFERROR(__xludf.DUMMYFUNCTION("vlookup(BB770,importrange(""https://docs.google.com/spreadsheets/d/1d2vevQ_7D_v35q4wCQ4RpQ_IPoTwEMB9Yp6ymwlPqew/edit?gid=984458430#gid=984458430"", ""'replication success'!A:M""), 13, FAlSE)"),"#N/A")</f>
        <v>#N/A</v>
      </c>
      <c r="BB770" s="61" t="str">
        <f>IFERROR(__xludf.DUMMYFUNCTION("REGEXREPLACE(G770, ""_[a-z]{1,2}$"", """")"),"Boyce_etal2023121_1")</f>
        <v>Boyce_etal2023121_1</v>
      </c>
      <c r="BC770" s="71"/>
      <c r="BD770" s="147" t="s">
        <v>3763</v>
      </c>
      <c r="BE770" s="71"/>
      <c r="BF770" s="71"/>
      <c r="BG770" s="71"/>
      <c r="BH770" s="71"/>
      <c r="BI770" s="71"/>
      <c r="BJ770" s="71"/>
      <c r="BK770" s="71"/>
      <c r="BL770" s="71"/>
      <c r="BM770" s="71"/>
      <c r="BN770" s="71"/>
      <c r="BO770" s="71"/>
      <c r="BP770" s="71"/>
      <c r="BQ770" s="71"/>
      <c r="BR770" s="71"/>
      <c r="BS770" s="71"/>
      <c r="BT770" s="71"/>
      <c r="BU770" s="71"/>
      <c r="BV770" s="71"/>
      <c r="BW770" s="71"/>
      <c r="BX770" s="71"/>
      <c r="BY770" s="71"/>
      <c r="BZ770" s="71"/>
      <c r="CA770" s="71"/>
      <c r="CB770" s="71"/>
      <c r="CC770" s="71"/>
      <c r="CD770" s="71"/>
      <c r="CE770" s="71"/>
      <c r="CF770" s="71"/>
      <c r="CG770" s="71"/>
      <c r="CH770" s="71"/>
      <c r="CI770" s="71"/>
      <c r="CJ770" s="71"/>
      <c r="CK770" s="71"/>
      <c r="CL770" s="71"/>
      <c r="CM770" s="71"/>
      <c r="CN770" s="71"/>
      <c r="CO770" s="71"/>
      <c r="CP770" s="71"/>
      <c r="CQ770" s="71"/>
      <c r="CR770" s="71"/>
      <c r="CS770" s="71"/>
      <c r="CT770" s="71"/>
      <c r="CU770" s="71"/>
      <c r="CV770" s="71"/>
      <c r="CW770" s="71"/>
      <c r="CX770" s="71"/>
      <c r="CY770" s="71"/>
      <c r="CZ770" s="71"/>
      <c r="DA770" s="71"/>
      <c r="DB770" s="71"/>
      <c r="DC770" s="71"/>
      <c r="DD770" s="71"/>
      <c r="DE770" s="71"/>
      <c r="DF770" s="71"/>
      <c r="DG770" s="71"/>
      <c r="DH770" s="71"/>
      <c r="DI770" s="71"/>
      <c r="DJ770" s="71"/>
      <c r="DK770" s="71"/>
      <c r="DL770" s="71"/>
    </row>
    <row r="771">
      <c r="A771" s="110">
        <v>771.0</v>
      </c>
      <c r="B771" s="147" t="s">
        <v>152</v>
      </c>
      <c r="C771" s="149" t="s">
        <v>115</v>
      </c>
      <c r="D771" s="149" t="s">
        <v>153</v>
      </c>
      <c r="E771" s="71"/>
      <c r="F771" s="111" t="s">
        <v>4184</v>
      </c>
      <c r="G771" s="112" t="s">
        <v>4215</v>
      </c>
      <c r="H771" s="122" t="s">
        <v>153</v>
      </c>
      <c r="I771" s="417">
        <v>45687.0</v>
      </c>
      <c r="J771" s="417">
        <v>45692.0</v>
      </c>
      <c r="K771" s="1121" t="s">
        <v>4216</v>
      </c>
      <c r="L771" s="116" t="s">
        <v>4191</v>
      </c>
      <c r="M771" s="122" t="s">
        <v>4185</v>
      </c>
      <c r="N771" s="122" t="s">
        <v>4186</v>
      </c>
      <c r="O771" s="537">
        <v>1.0</v>
      </c>
      <c r="P771" s="122" t="str">
        <f t="shared" si="37"/>
        <v>10.1177--0956797615598739.pdf</v>
      </c>
      <c r="Q771" s="1161" t="str">
        <f t="array" ref="Q771"> if(iserror(MATCH(V771, 'File Links'!C:C, 0)), "N/A", HYPERLINK(INDEX('File Links'!B:B, MATCH(P771, 'File Links'!C:C, 0))))</f>
        <v>https://drive.google.com/file/d/1pCInedMgb6ub4Ncim1wJ4bHJ2ouwc85m/view?usp=drivesdk</v>
      </c>
      <c r="R771" s="122" t="s">
        <v>3653</v>
      </c>
      <c r="S771" s="122" t="s">
        <v>3654</v>
      </c>
      <c r="T771" s="780" t="s">
        <v>4192</v>
      </c>
      <c r="U771" s="537">
        <v>1.0</v>
      </c>
      <c r="V771" s="122" t="str">
        <f t="shared" si="42"/>
        <v>10.1098--rsos.231240.pdf</v>
      </c>
      <c r="W771" s="122" t="s">
        <v>3726</v>
      </c>
      <c r="X771" s="1162" t="str">
        <f t="array" ref="X771"> if(iserror(MATCH(V771, 'File Links'!C:C, 0)), "N/A", HYPERLINK(INDEX('File Links'!B:B, MATCH(V771, 'File Links'!C:C, 0))))</f>
        <v>https://drive.google.com/file/d/17gaf2Zy_ljFfcAEDk5L8GBnTl5i7RGJE/view?usp=drivesdk</v>
      </c>
      <c r="Y771" s="111"/>
      <c r="Z771" s="122" t="s">
        <v>226</v>
      </c>
      <c r="AA771" s="122" t="s">
        <v>4193</v>
      </c>
      <c r="AB771" s="218" t="s">
        <v>4194</v>
      </c>
      <c r="AC771" s="122" t="s">
        <v>4217</v>
      </c>
      <c r="AD771" s="122" t="s">
        <v>4218</v>
      </c>
      <c r="AE771" s="1109">
        <v>4.0</v>
      </c>
      <c r="AF771" s="537">
        <v>80.0</v>
      </c>
      <c r="AG771" s="1109" t="s">
        <v>4219</v>
      </c>
      <c r="AH771" s="537" t="s">
        <v>134</v>
      </c>
      <c r="AI771" s="1109" t="s">
        <v>850</v>
      </c>
      <c r="AJ771" s="1110">
        <v>0.536</v>
      </c>
      <c r="AK771" s="112" t="s">
        <v>172</v>
      </c>
      <c r="AL771" s="112" t="s">
        <v>186</v>
      </c>
      <c r="AM771" s="122" t="s">
        <v>141</v>
      </c>
      <c r="AN771" s="147" t="s">
        <v>138</v>
      </c>
      <c r="AO771" s="683">
        <v>64.0</v>
      </c>
      <c r="AP771" s="1109">
        <v>0.23</v>
      </c>
      <c r="AQ771" s="1109" t="s">
        <v>173</v>
      </c>
      <c r="AR771" s="1163" t="s">
        <v>4192</v>
      </c>
      <c r="AS771" s="537">
        <v>0.52</v>
      </c>
      <c r="AT771" s="122" t="s">
        <v>172</v>
      </c>
      <c r="AU771" s="122" t="s">
        <v>186</v>
      </c>
      <c r="AV771" s="122" t="s">
        <v>141</v>
      </c>
      <c r="AW771" s="147" t="s">
        <v>138</v>
      </c>
      <c r="AX771" s="111" t="s">
        <v>151</v>
      </c>
      <c r="AY771" s="61" t="str">
        <f>IFERROR(__xludf.DUMMYFUNCTION("vlookup(BB771,importrange(""https://docs.google.com/spreadsheets/d/1d2vevQ_7D_v35q4wCQ4RpQ_IPoTwEMB9Yp6ymwlPqew/edit?gid=984458430#gid=984458430"", ""'replication success'!A:K""), 11, FAlSE)"),"#N/A")</f>
        <v>#N/A</v>
      </c>
      <c r="AZ771" s="61" t="str">
        <f>IFERROR(__xludf.DUMMYFUNCTION("vlookup(BB771,importrange(""https://docs.google.com/spreadsheets/d/1d2vevQ_7D_v35q4wCQ4RpQ_IPoTwEMB9Yp6ymwlPqew/edit?gid=984458430#gid=984458430"", ""'replication success'!A:M""), 12, FAlSE)"),"#N/A")</f>
        <v>#N/A</v>
      </c>
      <c r="BA771" s="61" t="str">
        <f>IFERROR(__xludf.DUMMYFUNCTION("vlookup(BB771,importrange(""https://docs.google.com/spreadsheets/d/1d2vevQ_7D_v35q4wCQ4RpQ_IPoTwEMB9Yp6ymwlPqew/edit?gid=984458430#gid=984458430"", ""'replication success'!A:M""), 13, FAlSE)"),"#N/A")</f>
        <v>#N/A</v>
      </c>
      <c r="BB771" s="61" t="str">
        <f>IFERROR(__xludf.DUMMYFUNCTION("REGEXREPLACE(G771, ""_[a-z]{1,2}$"", """")"),"Boyce_etal2023121_1")</f>
        <v>Boyce_etal2023121_1</v>
      </c>
      <c r="BC771" s="71"/>
      <c r="BD771" s="147" t="s">
        <v>3763</v>
      </c>
      <c r="BE771" s="71"/>
      <c r="BF771" s="71"/>
      <c r="BG771" s="71"/>
      <c r="BH771" s="71"/>
      <c r="BI771" s="71"/>
      <c r="BJ771" s="71"/>
      <c r="BK771" s="71"/>
      <c r="BL771" s="71"/>
      <c r="BM771" s="71"/>
      <c r="BN771" s="71"/>
      <c r="BO771" s="71"/>
      <c r="BP771" s="71"/>
      <c r="BQ771" s="71"/>
      <c r="BR771" s="71"/>
      <c r="BS771" s="71"/>
      <c r="BT771" s="71"/>
      <c r="BU771" s="71"/>
      <c r="BV771" s="71"/>
      <c r="BW771" s="71"/>
      <c r="BX771" s="71"/>
      <c r="BY771" s="71"/>
      <c r="BZ771" s="71"/>
      <c r="CA771" s="71"/>
      <c r="CB771" s="71"/>
      <c r="CC771" s="71"/>
      <c r="CD771" s="71"/>
      <c r="CE771" s="71"/>
      <c r="CF771" s="71"/>
      <c r="CG771" s="71"/>
      <c r="CH771" s="71"/>
      <c r="CI771" s="71"/>
      <c r="CJ771" s="71"/>
      <c r="CK771" s="71"/>
      <c r="CL771" s="71"/>
      <c r="CM771" s="71"/>
      <c r="CN771" s="71"/>
      <c r="CO771" s="71"/>
      <c r="CP771" s="71"/>
      <c r="CQ771" s="71"/>
      <c r="CR771" s="71"/>
      <c r="CS771" s="71"/>
      <c r="CT771" s="71"/>
      <c r="CU771" s="71"/>
      <c r="CV771" s="71"/>
      <c r="CW771" s="71"/>
      <c r="CX771" s="71"/>
      <c r="CY771" s="71"/>
      <c r="CZ771" s="71"/>
      <c r="DA771" s="71"/>
      <c r="DB771" s="71"/>
      <c r="DC771" s="71"/>
      <c r="DD771" s="71"/>
      <c r="DE771" s="71"/>
      <c r="DF771" s="71"/>
      <c r="DG771" s="71"/>
      <c r="DH771" s="71"/>
      <c r="DI771" s="71"/>
      <c r="DJ771" s="71"/>
      <c r="DK771" s="71"/>
      <c r="DL771" s="71"/>
    </row>
    <row r="772">
      <c r="A772" s="44">
        <v>772.0</v>
      </c>
      <c r="B772" s="68" t="s">
        <v>114</v>
      </c>
      <c r="C772" s="62" t="s">
        <v>115</v>
      </c>
      <c r="D772" s="62" t="s">
        <v>248</v>
      </c>
      <c r="F772" s="159" t="s">
        <v>4220</v>
      </c>
      <c r="G772" s="57" t="s">
        <v>4221</v>
      </c>
      <c r="H772" s="159" t="s">
        <v>249</v>
      </c>
      <c r="I772" s="152">
        <v>45670.0</v>
      </c>
      <c r="J772" s="152">
        <v>45692.0</v>
      </c>
      <c r="K772" s="437" t="s">
        <v>4222</v>
      </c>
      <c r="L772" s="159" t="s">
        <v>3690</v>
      </c>
      <c r="M772" s="159" t="s">
        <v>4223</v>
      </c>
      <c r="N772" s="159" t="s">
        <v>4224</v>
      </c>
      <c r="O772" s="68"/>
      <c r="P772" s="159" t="str">
        <f t="shared" si="37"/>
        <v>10.1016--j.neuropsychologia.2009.05.011.pdf</v>
      </c>
      <c r="Q772" s="52" t="str">
        <f t="array" ref="Q772"> if(iserror(MATCH(V772, 'File Links'!C:C, 0)), "N/A", HYPERLINK(INDEX('File Links'!B:B, MATCH(P772, 'File Links'!C:C, 0))))</f>
        <v>https://drive.google.com/file/d/1Wo_ZWAFaujgNZeZ0tdEdLIIUT-PUrDAy/view?usp=drivesdk</v>
      </c>
      <c r="R772" s="159" t="s">
        <v>3653</v>
      </c>
      <c r="S772" s="159" t="s">
        <v>3654</v>
      </c>
      <c r="T772" s="68"/>
      <c r="U772" s="156">
        <v>1.0</v>
      </c>
      <c r="V772" s="198" t="str">
        <f t="shared" si="42"/>
        <v>10.1098--rsos.231240.pdf</v>
      </c>
      <c r="W772" s="159" t="s">
        <v>3726</v>
      </c>
      <c r="X772" s="54" t="str">
        <f t="array" ref="X772"> if(iserror(MATCH(V772, 'File Links'!C:C, 0)), "N/A", HYPERLINK(INDEX('File Links'!B:B, MATCH(V772, 'File Links'!C:C, 0))))</f>
        <v>https://drive.google.com/file/d/17gaf2Zy_ljFfcAEDk5L8GBnTl5i7RGJE/view?usp=drivesdk</v>
      </c>
      <c r="Y772" s="68"/>
      <c r="Z772" s="159" t="s">
        <v>148</v>
      </c>
      <c r="AA772" s="68"/>
      <c r="AB772" s="68"/>
      <c r="AC772" s="68"/>
      <c r="AD772" s="159" t="s">
        <v>4225</v>
      </c>
      <c r="AE772" s="1059">
        <v>2617.0</v>
      </c>
      <c r="AF772" s="156">
        <v>15.0</v>
      </c>
      <c r="AG772" s="129" t="s">
        <v>4226</v>
      </c>
      <c r="AH772" s="119" t="s">
        <v>134</v>
      </c>
      <c r="AI772" s="1060" t="s">
        <v>4227</v>
      </c>
      <c r="AJ772" s="709">
        <v>0.06</v>
      </c>
      <c r="AK772" s="57" t="s">
        <v>172</v>
      </c>
      <c r="AL772" s="57" t="s">
        <v>186</v>
      </c>
      <c r="AM772" s="159" t="s">
        <v>141</v>
      </c>
      <c r="AN772" s="129" t="s">
        <v>138</v>
      </c>
      <c r="AO772" s="156">
        <v>17.0</v>
      </c>
      <c r="AP772" s="156">
        <v>0.24</v>
      </c>
      <c r="AQ772" s="159" t="s">
        <v>1031</v>
      </c>
      <c r="AR772" s="68"/>
      <c r="AS772" s="156">
        <v>0.63</v>
      </c>
      <c r="AT772" s="159" t="s">
        <v>172</v>
      </c>
      <c r="AU772" s="159" t="s">
        <v>186</v>
      </c>
      <c r="AV772" s="159" t="s">
        <v>141</v>
      </c>
      <c r="AW772" s="68"/>
      <c r="AX772" s="159" t="s">
        <v>143</v>
      </c>
      <c r="AY772" s="61" t="str">
        <f>IFERROR(__xludf.DUMMYFUNCTION("vlookup(BB772,importrange(""https://docs.google.com/spreadsheets/d/1d2vevQ_7D_v35q4wCQ4RpQ_IPoTwEMB9Yp6ymwlPqew/edit?gid=984458430#gid=984458430"", ""'replication success'!A:K""), 11, FAlSE)"),"#N/A")</f>
        <v>#N/A</v>
      </c>
      <c r="AZ772" s="61" t="str">
        <f>IFERROR(__xludf.DUMMYFUNCTION("vlookup(BB772,importrange(""https://docs.google.com/spreadsheets/d/1d2vevQ_7D_v35q4wCQ4RpQ_IPoTwEMB9Yp6ymwlPqew/edit?gid=984458430#gid=984458430"", ""'replication success'!A:M""), 12, FAlSE)"),"#N/A")</f>
        <v>#N/A</v>
      </c>
      <c r="BA772" s="61" t="str">
        <f>IFERROR(__xludf.DUMMYFUNCTION("vlookup(BB772,importrange(""https://docs.google.com/spreadsheets/d/1d2vevQ_7D_v35q4wCQ4RpQ_IPoTwEMB9Yp6ymwlPqew/edit?gid=984458430#gid=984458430"", ""'replication success'!A:M""), 13, FAlSE)"),"#N/A")</f>
        <v>#N/A</v>
      </c>
      <c r="BB772" s="61" t="str">
        <f>IFERROR(__xludf.DUMMYFUNCTION("REGEXREPLACE(G772, ""_[a-z]{1,2}$"", """")"),"Boyce_etal2023122_1")</f>
        <v>Boyce_etal2023122_1</v>
      </c>
      <c r="BD772" s="68" t="s">
        <v>153</v>
      </c>
      <c r="BE772" s="92"/>
    </row>
    <row r="773">
      <c r="A773" s="44">
        <v>773.0</v>
      </c>
      <c r="B773" s="129" t="s">
        <v>152</v>
      </c>
      <c r="C773" s="62" t="s">
        <v>115</v>
      </c>
      <c r="D773" s="62" t="s">
        <v>153</v>
      </c>
      <c r="F773" s="68" t="s">
        <v>4221</v>
      </c>
      <c r="G773" s="57" t="s">
        <v>4220</v>
      </c>
      <c r="H773" s="159" t="s">
        <v>153</v>
      </c>
      <c r="I773" s="152">
        <v>45687.0</v>
      </c>
      <c r="J773" s="152">
        <v>45692.0</v>
      </c>
      <c r="K773" s="437" t="s">
        <v>4228</v>
      </c>
      <c r="L773" s="68"/>
      <c r="M773" s="159" t="s">
        <v>4223</v>
      </c>
      <c r="N773" s="159" t="s">
        <v>4224</v>
      </c>
      <c r="O773" s="156">
        <v>1.0</v>
      </c>
      <c r="P773" s="159" t="str">
        <f t="shared" si="37"/>
        <v>10.1016--j.neuropsychologia.2009.05.011.pdf</v>
      </c>
      <c r="Q773" s="52" t="str">
        <f t="array" ref="Q773"> if(iserror(MATCH(V773, 'File Links'!C:C, 0)), "N/A", HYPERLINK(INDEX('File Links'!B:B, MATCH(P773, 'File Links'!C:C, 0))))</f>
        <v>https://drive.google.com/file/d/1Wo_ZWAFaujgNZeZ0tdEdLIIUT-PUrDAy/view?usp=drivesdk</v>
      </c>
      <c r="R773" s="159" t="s">
        <v>3653</v>
      </c>
      <c r="S773" s="159" t="s">
        <v>3654</v>
      </c>
      <c r="T773" s="68"/>
      <c r="U773" s="156">
        <v>1.0</v>
      </c>
      <c r="V773" s="198" t="str">
        <f t="shared" si="42"/>
        <v>10.1098--rsos.231240.pdf</v>
      </c>
      <c r="W773" s="159" t="s">
        <v>3726</v>
      </c>
      <c r="X773" s="54" t="str">
        <f t="array" ref="X773"> if(iserror(MATCH(V773, 'File Links'!C:C, 0)), "N/A", HYPERLINK(INDEX('File Links'!B:B, MATCH(V773, 'File Links'!C:C, 0))))</f>
        <v>https://drive.google.com/file/d/17gaf2Zy_ljFfcAEDk5L8GBnTl5i7RGJE/view?usp=drivesdk</v>
      </c>
      <c r="Y773" s="68"/>
      <c r="Z773" s="159" t="s">
        <v>148</v>
      </c>
      <c r="AA773" s="159" t="s">
        <v>4229</v>
      </c>
      <c r="AB773" s="159" t="s">
        <v>4230</v>
      </c>
      <c r="AC773" s="159" t="s">
        <v>4231</v>
      </c>
      <c r="AD773" s="151" t="s">
        <v>4232</v>
      </c>
      <c r="AE773" s="161" t="s">
        <v>4233</v>
      </c>
      <c r="AF773" s="156">
        <v>15.0</v>
      </c>
      <c r="AG773" s="161" t="s">
        <v>4234</v>
      </c>
      <c r="AH773" s="156" t="s">
        <v>134</v>
      </c>
      <c r="AI773" s="161" t="s">
        <v>4233</v>
      </c>
      <c r="AJ773" s="709">
        <v>0.06</v>
      </c>
      <c r="AK773" s="57" t="s">
        <v>172</v>
      </c>
      <c r="AL773" s="57" t="s">
        <v>186</v>
      </c>
      <c r="AM773" s="159" t="s">
        <v>141</v>
      </c>
      <c r="AN773" s="129" t="s">
        <v>138</v>
      </c>
      <c r="AO773" s="156">
        <v>17.0</v>
      </c>
      <c r="AP773" s="161" t="s">
        <v>4235</v>
      </c>
      <c r="AQ773" s="156" t="s">
        <v>134</v>
      </c>
      <c r="AR773" s="156" t="s">
        <v>850</v>
      </c>
      <c r="AS773" s="156">
        <v>0.63</v>
      </c>
      <c r="AT773" s="159" t="s">
        <v>172</v>
      </c>
      <c r="AU773" s="159" t="s">
        <v>186</v>
      </c>
      <c r="AV773" s="159" t="s">
        <v>141</v>
      </c>
      <c r="AW773" s="68"/>
      <c r="AX773" s="68" t="s">
        <v>151</v>
      </c>
      <c r="AY773" s="61" t="str">
        <f>IFERROR(__xludf.DUMMYFUNCTION("vlookup(BB773,importrange(""https://docs.google.com/spreadsheets/d/1d2vevQ_7D_v35q4wCQ4RpQ_IPoTwEMB9Yp6ymwlPqew/edit?gid=984458430#gid=984458430"", ""'replication success'!A:K""), 11, FAlSE)"),"")</f>
        <v/>
      </c>
      <c r="AZ773" s="61" t="str">
        <f>IFERROR(__xludf.DUMMYFUNCTION("vlookup(BB773,importrange(""https://docs.google.com/spreadsheets/d/1d2vevQ_7D_v35q4wCQ4RpQ_IPoTwEMB9Yp6ymwlPqew/edit?gid=984458430#gid=984458430"", ""'replication success'!A:M""), 12, FAlSE)"),"")</f>
        <v/>
      </c>
      <c r="BA773" s="61" t="str">
        <f>IFERROR(__xludf.DUMMYFUNCTION("vlookup(BB773,importrange(""https://docs.google.com/spreadsheets/d/1d2vevQ_7D_v35q4wCQ4RpQ_IPoTwEMB9Yp6ymwlPqew/edit?gid=984458430#gid=984458430"",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v>
      </c>
      <c r="BB773" s="61" t="str">
        <f>IFERROR(__xludf.DUMMYFUNCTION("REGEXREPLACE(G773, ""_[a-z]{1,2}$"", """")"),"Boyce_etal2023122")</f>
        <v>Boyce_etal2023122</v>
      </c>
      <c r="BD773" s="129" t="s">
        <v>3680</v>
      </c>
      <c r="BE773" s="92"/>
    </row>
    <row r="774">
      <c r="A774" s="110">
        <v>774.0</v>
      </c>
      <c r="B774" s="111" t="s">
        <v>114</v>
      </c>
      <c r="C774" s="149" t="s">
        <v>115</v>
      </c>
      <c r="D774" s="149" t="s">
        <v>248</v>
      </c>
      <c r="E774" s="71"/>
      <c r="F774" s="122" t="s">
        <v>4236</v>
      </c>
      <c r="G774" s="112" t="s">
        <v>4237</v>
      </c>
      <c r="H774" s="122" t="s">
        <v>249</v>
      </c>
      <c r="I774" s="417">
        <v>45670.0</v>
      </c>
      <c r="J774" s="417">
        <v>45692.0</v>
      </c>
      <c r="K774" s="218" t="s">
        <v>4222</v>
      </c>
      <c r="L774" s="122" t="s">
        <v>3690</v>
      </c>
      <c r="M774" s="122" t="s">
        <v>4238</v>
      </c>
      <c r="N774" s="122" t="s">
        <v>4239</v>
      </c>
      <c r="O774" s="111"/>
      <c r="P774" s="122" t="str">
        <f t="shared" si="37"/>
        <v>10.1037--a0028216.pdf</v>
      </c>
      <c r="Q774" s="1161" t="str">
        <f t="array" ref="Q774"> if(iserror(MATCH(V774, 'File Links'!C:C, 0)), "N/A", HYPERLINK(INDEX('File Links'!B:B, MATCH(P774, 'File Links'!C:C, 0))))</f>
        <v>https://drive.google.com/file/d/1IK98kxqzXUKr6oiSy5Yh1iZIS2v8ZtnC/view?usp=drivesdk</v>
      </c>
      <c r="R774" s="122" t="s">
        <v>3653</v>
      </c>
      <c r="S774" s="122" t="s">
        <v>3654</v>
      </c>
      <c r="T774" s="780" t="s">
        <v>4240</v>
      </c>
      <c r="U774" s="537">
        <v>1.0</v>
      </c>
      <c r="V774" s="122" t="str">
        <f t="shared" si="42"/>
        <v>10.1098--rsos.231240.pdf</v>
      </c>
      <c r="W774" s="122" t="s">
        <v>3726</v>
      </c>
      <c r="X774" s="1162" t="str">
        <f t="array" ref="X774"> if(iserror(MATCH(V774, 'File Links'!C:C, 0)), "N/A", HYPERLINK(INDEX('File Links'!B:B, MATCH(V774, 'File Links'!C:C, 0))))</f>
        <v>https://drive.google.com/file/d/17gaf2Zy_ljFfcAEDk5L8GBnTl5i7RGJE/view?usp=drivesdk</v>
      </c>
      <c r="Y774" s="111"/>
      <c r="Z774" s="122" t="s">
        <v>210</v>
      </c>
      <c r="AA774" s="111"/>
      <c r="AB774" s="122" t="s">
        <v>4241</v>
      </c>
      <c r="AC774" s="111"/>
      <c r="AD774" s="116" t="s">
        <v>4242</v>
      </c>
      <c r="AE774" s="1106">
        <v>1680.0</v>
      </c>
      <c r="AF774" s="537">
        <v>277.0</v>
      </c>
      <c r="AG774" s="683" t="s">
        <v>4243</v>
      </c>
      <c r="AH774" s="116" t="s">
        <v>134</v>
      </c>
      <c r="AI774" s="779" t="s">
        <v>4244</v>
      </c>
      <c r="AJ774" s="366">
        <v>0.005</v>
      </c>
      <c r="AK774" s="112" t="s">
        <v>135</v>
      </c>
      <c r="AL774" s="112" t="s">
        <v>186</v>
      </c>
      <c r="AM774" s="122" t="s">
        <v>141</v>
      </c>
      <c r="AN774" s="147" t="s">
        <v>138</v>
      </c>
      <c r="AO774" s="537">
        <v>292.0</v>
      </c>
      <c r="AP774" s="537">
        <v>203.397</v>
      </c>
      <c r="AQ774" s="122" t="s">
        <v>1031</v>
      </c>
      <c r="AR774" s="111"/>
      <c r="AS774" s="537">
        <v>0.001</v>
      </c>
      <c r="AT774" s="122" t="s">
        <v>135</v>
      </c>
      <c r="AU774" s="122" t="s">
        <v>218</v>
      </c>
      <c r="AV774" s="122" t="s">
        <v>141</v>
      </c>
      <c r="AW774" s="147" t="s">
        <v>138</v>
      </c>
      <c r="AX774" s="122" t="s">
        <v>143</v>
      </c>
      <c r="AY774" s="61" t="str">
        <f>IFERROR(__xludf.DUMMYFUNCTION("vlookup(BB774,importrange(""https://docs.google.com/spreadsheets/d/1d2vevQ_7D_v35q4wCQ4RpQ_IPoTwEMB9Yp6ymwlPqew/edit?gid=984458430#gid=984458430"", ""'replication success'!A:K""), 11, FAlSE)"),"#N/A")</f>
        <v>#N/A</v>
      </c>
      <c r="AZ774" s="61" t="str">
        <f>IFERROR(__xludf.DUMMYFUNCTION("vlookup(BB774,importrange(""https://docs.google.com/spreadsheets/d/1d2vevQ_7D_v35q4wCQ4RpQ_IPoTwEMB9Yp6ymwlPqew/edit?gid=984458430#gid=984458430"", ""'replication success'!A:M""), 12, FAlSE)"),"#N/A")</f>
        <v>#N/A</v>
      </c>
      <c r="BA774" s="61" t="str">
        <f>IFERROR(__xludf.DUMMYFUNCTION("vlookup(BB774,importrange(""https://docs.google.com/spreadsheets/d/1d2vevQ_7D_v35q4wCQ4RpQ_IPoTwEMB9Yp6ymwlPqew/edit?gid=984458430#gid=984458430"", ""'replication success'!A:M""), 13, FAlSE)"),"#N/A")</f>
        <v>#N/A</v>
      </c>
      <c r="BB774" s="61" t="str">
        <f>IFERROR(__xludf.DUMMYFUNCTION("REGEXREPLACE(G774, ""_[a-z]{1,2}$"", """")"),"Boyce_etal2023123_1")</f>
        <v>Boyce_etal2023123_1</v>
      </c>
      <c r="BC774" s="71"/>
      <c r="BD774" s="111" t="s">
        <v>153</v>
      </c>
      <c r="BE774" s="71"/>
      <c r="BF774" s="71"/>
      <c r="BG774" s="71"/>
      <c r="BH774" s="71"/>
      <c r="BI774" s="71"/>
      <c r="BJ774" s="71"/>
      <c r="BK774" s="71"/>
      <c r="BL774" s="71"/>
      <c r="BM774" s="71"/>
      <c r="BN774" s="71"/>
      <c r="BO774" s="71"/>
      <c r="BP774" s="71"/>
      <c r="BQ774" s="71"/>
      <c r="BR774" s="71"/>
      <c r="BS774" s="71"/>
      <c r="BT774" s="71"/>
      <c r="BU774" s="71"/>
      <c r="BV774" s="71"/>
      <c r="BW774" s="71"/>
      <c r="BX774" s="71"/>
      <c r="BY774" s="71"/>
      <c r="BZ774" s="71"/>
      <c r="CA774" s="71"/>
      <c r="CB774" s="71"/>
      <c r="CC774" s="71"/>
      <c r="CD774" s="71"/>
      <c r="CE774" s="71"/>
      <c r="CF774" s="71"/>
      <c r="CG774" s="71"/>
      <c r="CH774" s="71"/>
      <c r="CI774" s="71"/>
      <c r="CJ774" s="71"/>
      <c r="CK774" s="71"/>
      <c r="CL774" s="71"/>
      <c r="CM774" s="71"/>
      <c r="CN774" s="71"/>
      <c r="CO774" s="71"/>
      <c r="CP774" s="71"/>
      <c r="CQ774" s="71"/>
      <c r="CR774" s="71"/>
      <c r="CS774" s="71"/>
      <c r="CT774" s="71"/>
      <c r="CU774" s="71"/>
      <c r="CV774" s="71"/>
      <c r="CW774" s="71"/>
      <c r="CX774" s="71"/>
      <c r="CY774" s="71"/>
      <c r="CZ774" s="71"/>
      <c r="DA774" s="71"/>
      <c r="DB774" s="71"/>
      <c r="DC774" s="71"/>
      <c r="DD774" s="71"/>
      <c r="DE774" s="71"/>
      <c r="DF774" s="71"/>
      <c r="DG774" s="71"/>
      <c r="DH774" s="71"/>
      <c r="DI774" s="71"/>
      <c r="DJ774" s="71"/>
      <c r="DK774" s="71"/>
      <c r="DL774" s="71"/>
    </row>
    <row r="775">
      <c r="A775" s="110">
        <v>775.0</v>
      </c>
      <c r="B775" s="129" t="s">
        <v>152</v>
      </c>
      <c r="C775" s="149" t="s">
        <v>115</v>
      </c>
      <c r="D775" s="149" t="s">
        <v>153</v>
      </c>
      <c r="E775" s="71"/>
      <c r="F775" s="111" t="s">
        <v>4237</v>
      </c>
      <c r="G775" s="112" t="s">
        <v>4245</v>
      </c>
      <c r="H775" s="122" t="s">
        <v>153</v>
      </c>
      <c r="I775" s="417">
        <v>45687.0</v>
      </c>
      <c r="J775" s="417">
        <v>45692.0</v>
      </c>
      <c r="K775" s="218" t="s">
        <v>4246</v>
      </c>
      <c r="L775" s="111"/>
      <c r="M775" s="122" t="s">
        <v>4238</v>
      </c>
      <c r="N775" s="122" t="s">
        <v>4239</v>
      </c>
      <c r="O775" s="537">
        <v>2.0</v>
      </c>
      <c r="P775" s="122" t="str">
        <f t="shared" si="37"/>
        <v>10.1037--a0028216.pdf</v>
      </c>
      <c r="Q775" s="1161" t="str">
        <f t="array" ref="Q775"> if(iserror(MATCH(V775, 'File Links'!C:C, 0)), "N/A", HYPERLINK(INDEX('File Links'!B:B, MATCH(P775, 'File Links'!C:C, 0))))</f>
        <v>https://drive.google.com/file/d/1IK98kxqzXUKr6oiSy5Yh1iZIS2v8ZtnC/view?usp=drivesdk</v>
      </c>
      <c r="R775" s="122" t="s">
        <v>3653</v>
      </c>
      <c r="S775" s="122" t="s">
        <v>3654</v>
      </c>
      <c r="T775" s="780" t="s">
        <v>4240</v>
      </c>
      <c r="U775" s="537">
        <v>1.0</v>
      </c>
      <c r="V775" s="122" t="str">
        <f t="shared" si="42"/>
        <v>10.1098--rsos.231240.pdf</v>
      </c>
      <c r="W775" s="122" t="s">
        <v>3726</v>
      </c>
      <c r="X775" s="1162" t="str">
        <f t="array" ref="X775"> if(iserror(MATCH(V775, 'File Links'!C:C, 0)), "N/A", HYPERLINK(INDEX('File Links'!B:B, MATCH(V775, 'File Links'!C:C, 0))))</f>
        <v>https://drive.google.com/file/d/17gaf2Zy_ljFfcAEDk5L8GBnTl5i7RGJE/view?usp=drivesdk</v>
      </c>
      <c r="Y775" s="111"/>
      <c r="Z775" s="122" t="s">
        <v>148</v>
      </c>
      <c r="AA775" s="122" t="s">
        <v>4247</v>
      </c>
      <c r="AB775" s="122" t="s">
        <v>4248</v>
      </c>
      <c r="AC775" s="122" t="s">
        <v>4249</v>
      </c>
      <c r="AD775" s="122" t="s">
        <v>4250</v>
      </c>
      <c r="AE775" s="537">
        <v>6.0</v>
      </c>
      <c r="AF775" s="537">
        <v>277.0</v>
      </c>
      <c r="AG775" s="537">
        <v>0.31</v>
      </c>
      <c r="AH775" s="537" t="s">
        <v>874</v>
      </c>
      <c r="AI775" s="537" t="s">
        <v>140</v>
      </c>
      <c r="AJ775" s="366">
        <v>0.005</v>
      </c>
      <c r="AK775" s="112" t="s">
        <v>135</v>
      </c>
      <c r="AL775" s="112" t="s">
        <v>186</v>
      </c>
      <c r="AM775" s="122" t="s">
        <v>141</v>
      </c>
      <c r="AN775" s="147" t="s">
        <v>138</v>
      </c>
      <c r="AO775" s="537">
        <v>292.0</v>
      </c>
      <c r="AP775" s="537">
        <v>0.4</v>
      </c>
      <c r="AQ775" s="537" t="s">
        <v>874</v>
      </c>
      <c r="AR775" s="537" t="s">
        <v>813</v>
      </c>
      <c r="AS775" s="537">
        <v>0.001</v>
      </c>
      <c r="AT775" s="122" t="s">
        <v>135</v>
      </c>
      <c r="AU775" s="122" t="s">
        <v>218</v>
      </c>
      <c r="AV775" s="122" t="s">
        <v>141</v>
      </c>
      <c r="AW775" s="147" t="s">
        <v>138</v>
      </c>
      <c r="AX775" s="111" t="s">
        <v>151</v>
      </c>
      <c r="AY775" s="61" t="str">
        <f>IFERROR(__xludf.DUMMYFUNCTION("vlookup(BB775,importrange(""https://docs.google.com/spreadsheets/d/1d2vevQ_7D_v35q4wCQ4RpQ_IPoTwEMB9Yp6ymwlPqew/edit?gid=984458430#gid=984458430"", ""'replication success'!A:K""), 11, FAlSE)"),"#N/A")</f>
        <v>#N/A</v>
      </c>
      <c r="AZ775" s="61" t="str">
        <f>IFERROR(__xludf.DUMMYFUNCTION("vlookup(BB775,importrange(""https://docs.google.com/spreadsheets/d/1d2vevQ_7D_v35q4wCQ4RpQ_IPoTwEMB9Yp6ymwlPqew/edit?gid=984458430#gid=984458430"", ""'replication success'!A:M""), 12, FAlSE)"),"#N/A")</f>
        <v>#N/A</v>
      </c>
      <c r="BA775" s="61" t="str">
        <f>IFERROR(__xludf.DUMMYFUNCTION("vlookup(BB775,importrange(""https://docs.google.com/spreadsheets/d/1d2vevQ_7D_v35q4wCQ4RpQ_IPoTwEMB9Yp6ymwlPqew/edit?gid=984458430#gid=984458430"", ""'replication success'!A:M""), 13, FAlSE)"),"#N/A")</f>
        <v>#N/A</v>
      </c>
      <c r="BB775" s="61" t="str">
        <f>IFERROR(__xludf.DUMMYFUNCTION("REGEXREPLACE(G775, ""_[a-z]{1,2}$"", """")"),"Boyce_etal2023123_1")</f>
        <v>Boyce_etal2023123_1</v>
      </c>
      <c r="BC775" s="71"/>
      <c r="BD775" s="111" t="s">
        <v>153</v>
      </c>
      <c r="BE775" s="71"/>
      <c r="BF775" s="71"/>
      <c r="BG775" s="71"/>
      <c r="BH775" s="71"/>
      <c r="BI775" s="71"/>
      <c r="BJ775" s="71"/>
      <c r="BK775" s="71"/>
      <c r="BL775" s="71"/>
      <c r="BM775" s="71"/>
      <c r="BN775" s="71"/>
      <c r="BO775" s="71"/>
      <c r="BP775" s="71"/>
      <c r="BQ775" s="71"/>
      <c r="BR775" s="71"/>
      <c r="BS775" s="71"/>
      <c r="BT775" s="71"/>
      <c r="BU775" s="71"/>
      <c r="BV775" s="71"/>
      <c r="BW775" s="71"/>
      <c r="BX775" s="71"/>
      <c r="BY775" s="71"/>
      <c r="BZ775" s="71"/>
      <c r="CA775" s="71"/>
      <c r="CB775" s="71"/>
      <c r="CC775" s="71"/>
      <c r="CD775" s="71"/>
      <c r="CE775" s="71"/>
      <c r="CF775" s="71"/>
      <c r="CG775" s="71"/>
      <c r="CH775" s="71"/>
      <c r="CI775" s="71"/>
      <c r="CJ775" s="71"/>
      <c r="CK775" s="71"/>
      <c r="CL775" s="71"/>
      <c r="CM775" s="71"/>
      <c r="CN775" s="71"/>
      <c r="CO775" s="71"/>
      <c r="CP775" s="71"/>
      <c r="CQ775" s="71"/>
      <c r="CR775" s="71"/>
      <c r="CS775" s="71"/>
      <c r="CT775" s="71"/>
      <c r="CU775" s="71"/>
      <c r="CV775" s="71"/>
      <c r="CW775" s="71"/>
      <c r="CX775" s="71"/>
      <c r="CY775" s="71"/>
      <c r="CZ775" s="71"/>
      <c r="DA775" s="71"/>
      <c r="DB775" s="71"/>
      <c r="DC775" s="71"/>
      <c r="DD775" s="71"/>
      <c r="DE775" s="71"/>
      <c r="DF775" s="71"/>
      <c r="DG775" s="71"/>
      <c r="DH775" s="71"/>
      <c r="DI775" s="71"/>
      <c r="DJ775" s="71"/>
      <c r="DK775" s="71"/>
      <c r="DL775" s="71"/>
    </row>
    <row r="776">
      <c r="A776" s="110">
        <v>776.0</v>
      </c>
      <c r="B776" s="129" t="s">
        <v>152</v>
      </c>
      <c r="C776" s="149" t="s">
        <v>115</v>
      </c>
      <c r="D776" s="149" t="s">
        <v>153</v>
      </c>
      <c r="E776" s="71"/>
      <c r="F776" s="111" t="s">
        <v>4237</v>
      </c>
      <c r="G776" s="112" t="s">
        <v>4251</v>
      </c>
      <c r="H776" s="122" t="s">
        <v>153</v>
      </c>
      <c r="I776" s="417">
        <v>45687.0</v>
      </c>
      <c r="J776" s="417">
        <v>45692.0</v>
      </c>
      <c r="K776" s="218" t="s">
        <v>4246</v>
      </c>
      <c r="L776" s="111"/>
      <c r="M776" s="122" t="s">
        <v>4238</v>
      </c>
      <c r="N776" s="122" t="s">
        <v>4239</v>
      </c>
      <c r="O776" s="537">
        <v>2.0</v>
      </c>
      <c r="P776" s="122" t="str">
        <f t="shared" si="37"/>
        <v>10.1037--a0028216.pdf</v>
      </c>
      <c r="Q776" s="1161" t="str">
        <f t="array" ref="Q776"> if(iserror(MATCH(V776, 'File Links'!C:C, 0)), "N/A", HYPERLINK(INDEX('File Links'!B:B, MATCH(P776, 'File Links'!C:C, 0))))</f>
        <v>https://drive.google.com/file/d/1IK98kxqzXUKr6oiSy5Yh1iZIS2v8ZtnC/view?usp=drivesdk</v>
      </c>
      <c r="R776" s="122" t="s">
        <v>3653</v>
      </c>
      <c r="S776" s="122" t="s">
        <v>3654</v>
      </c>
      <c r="T776" s="780" t="s">
        <v>4240</v>
      </c>
      <c r="U776" s="537">
        <v>1.0</v>
      </c>
      <c r="V776" s="122" t="str">
        <f t="shared" si="42"/>
        <v>10.1098--rsos.231240.pdf</v>
      </c>
      <c r="W776" s="122" t="s">
        <v>3726</v>
      </c>
      <c r="X776" s="1162" t="str">
        <f t="array" ref="X776"> if(iserror(MATCH(V776, 'File Links'!C:C, 0)), "N/A", HYPERLINK(INDEX('File Links'!B:B, MATCH(V776, 'File Links'!C:C, 0))))</f>
        <v>https://drive.google.com/file/d/17gaf2Zy_ljFfcAEDk5L8GBnTl5i7RGJE/view?usp=drivesdk</v>
      </c>
      <c r="Y776" s="111"/>
      <c r="Z776" s="122" t="s">
        <v>148</v>
      </c>
      <c r="AA776" s="122" t="s">
        <v>4247</v>
      </c>
      <c r="AB776" s="122" t="s">
        <v>4248</v>
      </c>
      <c r="AC776" s="122" t="s">
        <v>4252</v>
      </c>
      <c r="AD776" s="122" t="s">
        <v>4253</v>
      </c>
      <c r="AE776" s="537">
        <v>6.0</v>
      </c>
      <c r="AF776" s="537">
        <v>277.0</v>
      </c>
      <c r="AG776" s="1109">
        <v>0.13</v>
      </c>
      <c r="AH776" s="537" t="s">
        <v>874</v>
      </c>
      <c r="AI776" s="537" t="s">
        <v>140</v>
      </c>
      <c r="AJ776" s="366">
        <v>0.005</v>
      </c>
      <c r="AK776" s="112" t="s">
        <v>135</v>
      </c>
      <c r="AL776" s="112" t="s">
        <v>186</v>
      </c>
      <c r="AM776" s="122" t="s">
        <v>141</v>
      </c>
      <c r="AN776" s="147" t="s">
        <v>138</v>
      </c>
      <c r="AO776" s="537">
        <v>292.0</v>
      </c>
      <c r="AP776" s="1109">
        <v>0.006</v>
      </c>
      <c r="AQ776" s="537" t="s">
        <v>874</v>
      </c>
      <c r="AR776" s="537" t="s">
        <v>813</v>
      </c>
      <c r="AS776" s="537">
        <v>0.169</v>
      </c>
      <c r="AT776" s="122" t="s">
        <v>172</v>
      </c>
      <c r="AU776" s="122" t="s">
        <v>218</v>
      </c>
      <c r="AV776" s="122" t="s">
        <v>141</v>
      </c>
      <c r="AW776" s="147" t="s">
        <v>138</v>
      </c>
      <c r="AX776" s="111" t="s">
        <v>151</v>
      </c>
      <c r="AY776" s="61" t="str">
        <f>IFERROR(__xludf.DUMMYFUNCTION("vlookup(BB776,importrange(""https://docs.google.com/spreadsheets/d/1d2vevQ_7D_v35q4wCQ4RpQ_IPoTwEMB9Yp6ymwlPqew/edit?gid=984458430#gid=984458430"", ""'replication success'!A:K""), 11, FAlSE)"),"#N/A")</f>
        <v>#N/A</v>
      </c>
      <c r="AZ776" s="61" t="str">
        <f>IFERROR(__xludf.DUMMYFUNCTION("vlookup(BB776,importrange(""https://docs.google.com/spreadsheets/d/1d2vevQ_7D_v35q4wCQ4RpQ_IPoTwEMB9Yp6ymwlPqew/edit?gid=984458430#gid=984458430"", ""'replication success'!A:M""), 12, FAlSE)"),"#N/A")</f>
        <v>#N/A</v>
      </c>
      <c r="BA776" s="61" t="str">
        <f>IFERROR(__xludf.DUMMYFUNCTION("vlookup(BB776,importrange(""https://docs.google.com/spreadsheets/d/1d2vevQ_7D_v35q4wCQ4RpQ_IPoTwEMB9Yp6ymwlPqew/edit?gid=984458430#gid=984458430"", ""'replication success'!A:M""), 13, FAlSE)"),"#N/A")</f>
        <v>#N/A</v>
      </c>
      <c r="BB776" s="61" t="str">
        <f>IFERROR(__xludf.DUMMYFUNCTION("REGEXREPLACE(G776, ""_[a-z]{1,2}$"", """")"),"Boyce_etal2023123_1")</f>
        <v>Boyce_etal2023123_1</v>
      </c>
      <c r="BC776" s="71"/>
      <c r="BD776" s="111" t="s">
        <v>153</v>
      </c>
      <c r="BE776" s="71"/>
      <c r="BF776" s="71"/>
      <c r="BG776" s="71"/>
      <c r="BH776" s="71"/>
      <c r="BI776" s="71"/>
      <c r="BJ776" s="71"/>
      <c r="BK776" s="71"/>
      <c r="BL776" s="71"/>
      <c r="BM776" s="71"/>
      <c r="BN776" s="71"/>
      <c r="BO776" s="71"/>
      <c r="BP776" s="71"/>
      <c r="BQ776" s="71"/>
      <c r="BR776" s="71"/>
      <c r="BS776" s="71"/>
      <c r="BT776" s="71"/>
      <c r="BU776" s="71"/>
      <c r="BV776" s="71"/>
      <c r="BW776" s="71"/>
      <c r="BX776" s="71"/>
      <c r="BY776" s="71"/>
      <c r="BZ776" s="71"/>
      <c r="CA776" s="71"/>
      <c r="CB776" s="71"/>
      <c r="CC776" s="71"/>
      <c r="CD776" s="71"/>
      <c r="CE776" s="71"/>
      <c r="CF776" s="71"/>
      <c r="CG776" s="71"/>
      <c r="CH776" s="71"/>
      <c r="CI776" s="71"/>
      <c r="CJ776" s="71"/>
      <c r="CK776" s="71"/>
      <c r="CL776" s="71"/>
      <c r="CM776" s="71"/>
      <c r="CN776" s="71"/>
      <c r="CO776" s="71"/>
      <c r="CP776" s="71"/>
      <c r="CQ776" s="71"/>
      <c r="CR776" s="71"/>
      <c r="CS776" s="71"/>
      <c r="CT776" s="71"/>
      <c r="CU776" s="71"/>
      <c r="CV776" s="71"/>
      <c r="CW776" s="71"/>
      <c r="CX776" s="71"/>
      <c r="CY776" s="71"/>
      <c r="CZ776" s="71"/>
      <c r="DA776" s="71"/>
      <c r="DB776" s="71"/>
      <c r="DC776" s="71"/>
      <c r="DD776" s="71"/>
      <c r="DE776" s="71"/>
      <c r="DF776" s="71"/>
      <c r="DG776" s="71"/>
      <c r="DH776" s="71"/>
      <c r="DI776" s="71"/>
      <c r="DJ776" s="71"/>
      <c r="DK776" s="71"/>
      <c r="DL776" s="71"/>
    </row>
    <row r="777">
      <c r="A777" s="110">
        <v>777.0</v>
      </c>
      <c r="B777" s="129" t="s">
        <v>152</v>
      </c>
      <c r="C777" s="149" t="s">
        <v>115</v>
      </c>
      <c r="D777" s="149" t="s">
        <v>153</v>
      </c>
      <c r="E777" s="71"/>
      <c r="F777" s="111" t="s">
        <v>4237</v>
      </c>
      <c r="G777" s="112" t="s">
        <v>4254</v>
      </c>
      <c r="H777" s="122" t="s">
        <v>153</v>
      </c>
      <c r="I777" s="417">
        <v>45687.0</v>
      </c>
      <c r="J777" s="417">
        <v>45692.0</v>
      </c>
      <c r="K777" s="218" t="s">
        <v>4246</v>
      </c>
      <c r="L777" s="111"/>
      <c r="M777" s="122" t="s">
        <v>4238</v>
      </c>
      <c r="N777" s="122" t="s">
        <v>4239</v>
      </c>
      <c r="O777" s="537">
        <v>2.0</v>
      </c>
      <c r="P777" s="122" t="str">
        <f t="shared" si="37"/>
        <v>10.1037--a0028216.pdf</v>
      </c>
      <c r="Q777" s="1161" t="str">
        <f t="array" ref="Q777"> if(iserror(MATCH(V777, 'File Links'!C:C, 0)), "N/A", HYPERLINK(INDEX('File Links'!B:B, MATCH(P777, 'File Links'!C:C, 0))))</f>
        <v>https://drive.google.com/file/d/1IK98kxqzXUKr6oiSy5Yh1iZIS2v8ZtnC/view?usp=drivesdk</v>
      </c>
      <c r="R777" s="122" t="s">
        <v>3653</v>
      </c>
      <c r="S777" s="122" t="s">
        <v>3654</v>
      </c>
      <c r="T777" s="780" t="s">
        <v>4240</v>
      </c>
      <c r="U777" s="537">
        <v>1.0</v>
      </c>
      <c r="V777" s="122" t="str">
        <f t="shared" si="42"/>
        <v>10.1098--rsos.231240.pdf</v>
      </c>
      <c r="W777" s="122" t="s">
        <v>3726</v>
      </c>
      <c r="X777" s="1162" t="str">
        <f t="array" ref="X777"> if(iserror(MATCH(V777, 'File Links'!C:C, 0)), "N/A", HYPERLINK(INDEX('File Links'!B:B, MATCH(V777, 'File Links'!C:C, 0))))</f>
        <v>https://drive.google.com/file/d/17gaf2Zy_ljFfcAEDk5L8GBnTl5i7RGJE/view?usp=drivesdk</v>
      </c>
      <c r="Y777" s="111"/>
      <c r="Z777" s="122" t="s">
        <v>148</v>
      </c>
      <c r="AA777" s="122" t="s">
        <v>4247</v>
      </c>
      <c r="AB777" s="122" t="s">
        <v>4248</v>
      </c>
      <c r="AC777" s="122" t="s">
        <v>4255</v>
      </c>
      <c r="AD777" s="122" t="s">
        <v>4256</v>
      </c>
      <c r="AE777" s="537">
        <v>6.0</v>
      </c>
      <c r="AF777" s="537">
        <v>277.0</v>
      </c>
      <c r="AG777" s="1109">
        <v>0.06</v>
      </c>
      <c r="AH777" s="537" t="s">
        <v>874</v>
      </c>
      <c r="AI777" s="537" t="s">
        <v>140</v>
      </c>
      <c r="AJ777" s="366">
        <v>0.005</v>
      </c>
      <c r="AK777" s="112" t="s">
        <v>135</v>
      </c>
      <c r="AL777" s="112" t="s">
        <v>186</v>
      </c>
      <c r="AM777" s="122" t="s">
        <v>141</v>
      </c>
      <c r="AN777" s="147" t="s">
        <v>138</v>
      </c>
      <c r="AO777" s="537">
        <v>292.0</v>
      </c>
      <c r="AP777" s="1109">
        <v>0.05</v>
      </c>
      <c r="AQ777" s="537" t="s">
        <v>874</v>
      </c>
      <c r="AR777" s="537" t="s">
        <v>813</v>
      </c>
      <c r="AS777" s="537">
        <v>0.001</v>
      </c>
      <c r="AT777" s="122" t="s">
        <v>135</v>
      </c>
      <c r="AU777" s="122" t="s">
        <v>218</v>
      </c>
      <c r="AV777" s="122" t="s">
        <v>141</v>
      </c>
      <c r="AW777" s="147" t="s">
        <v>138</v>
      </c>
      <c r="AX777" s="111" t="s">
        <v>151</v>
      </c>
      <c r="AY777" s="61" t="str">
        <f>IFERROR(__xludf.DUMMYFUNCTION("vlookup(BB777,importrange(""https://docs.google.com/spreadsheets/d/1d2vevQ_7D_v35q4wCQ4RpQ_IPoTwEMB9Yp6ymwlPqew/edit?gid=984458430#gid=984458430"", ""'replication success'!A:K""), 11, FAlSE)"),"#N/A")</f>
        <v>#N/A</v>
      </c>
      <c r="AZ777" s="61" t="str">
        <f>IFERROR(__xludf.DUMMYFUNCTION("vlookup(BB777,importrange(""https://docs.google.com/spreadsheets/d/1d2vevQ_7D_v35q4wCQ4RpQ_IPoTwEMB9Yp6ymwlPqew/edit?gid=984458430#gid=984458430"", ""'replication success'!A:M""), 12, FAlSE)"),"#N/A")</f>
        <v>#N/A</v>
      </c>
      <c r="BA777" s="61" t="str">
        <f>IFERROR(__xludf.DUMMYFUNCTION("vlookup(BB777,importrange(""https://docs.google.com/spreadsheets/d/1d2vevQ_7D_v35q4wCQ4RpQ_IPoTwEMB9Yp6ymwlPqew/edit?gid=984458430#gid=984458430"", ""'replication success'!A:M""), 13, FAlSE)"),"#N/A")</f>
        <v>#N/A</v>
      </c>
      <c r="BB777" s="61" t="str">
        <f>IFERROR(__xludf.DUMMYFUNCTION("REGEXREPLACE(G777, ""_[a-z]{1,2}$"", """")"),"Boyce_etal2023123_1")</f>
        <v>Boyce_etal2023123_1</v>
      </c>
      <c r="BC777" s="71"/>
      <c r="BD777" s="111" t="s">
        <v>153</v>
      </c>
      <c r="BE777" s="71"/>
      <c r="BF777" s="71"/>
      <c r="BG777" s="71"/>
      <c r="BH777" s="71"/>
      <c r="BI777" s="71"/>
      <c r="BJ777" s="71"/>
      <c r="BK777" s="71"/>
      <c r="BL777" s="71"/>
      <c r="BM777" s="71"/>
      <c r="BN777" s="71"/>
      <c r="BO777" s="71"/>
      <c r="BP777" s="71"/>
      <c r="BQ777" s="71"/>
      <c r="BR777" s="71"/>
      <c r="BS777" s="71"/>
      <c r="BT777" s="71"/>
      <c r="BU777" s="71"/>
      <c r="BV777" s="71"/>
      <c r="BW777" s="71"/>
      <c r="BX777" s="71"/>
      <c r="BY777" s="71"/>
      <c r="BZ777" s="71"/>
      <c r="CA777" s="71"/>
      <c r="CB777" s="71"/>
      <c r="CC777" s="71"/>
      <c r="CD777" s="71"/>
      <c r="CE777" s="71"/>
      <c r="CF777" s="71"/>
      <c r="CG777" s="71"/>
      <c r="CH777" s="71"/>
      <c r="CI777" s="71"/>
      <c r="CJ777" s="71"/>
      <c r="CK777" s="71"/>
      <c r="CL777" s="71"/>
      <c r="CM777" s="71"/>
      <c r="CN777" s="71"/>
      <c r="CO777" s="71"/>
      <c r="CP777" s="71"/>
      <c r="CQ777" s="71"/>
      <c r="CR777" s="71"/>
      <c r="CS777" s="71"/>
      <c r="CT777" s="71"/>
      <c r="CU777" s="71"/>
      <c r="CV777" s="71"/>
      <c r="CW777" s="71"/>
      <c r="CX777" s="71"/>
      <c r="CY777" s="71"/>
      <c r="CZ777" s="71"/>
      <c r="DA777" s="71"/>
      <c r="DB777" s="71"/>
      <c r="DC777" s="71"/>
      <c r="DD777" s="71"/>
      <c r="DE777" s="71"/>
      <c r="DF777" s="71"/>
      <c r="DG777" s="71"/>
      <c r="DH777" s="71"/>
      <c r="DI777" s="71"/>
      <c r="DJ777" s="71"/>
      <c r="DK777" s="71"/>
      <c r="DL777" s="71"/>
    </row>
    <row r="778">
      <c r="A778" s="110">
        <v>778.0</v>
      </c>
      <c r="B778" s="129" t="s">
        <v>152</v>
      </c>
      <c r="C778" s="149" t="s">
        <v>115</v>
      </c>
      <c r="D778" s="149" t="s">
        <v>153</v>
      </c>
      <c r="E778" s="71"/>
      <c r="F778" s="111" t="s">
        <v>4237</v>
      </c>
      <c r="G778" s="112" t="s">
        <v>4257</v>
      </c>
      <c r="H778" s="122" t="s">
        <v>153</v>
      </c>
      <c r="I778" s="417">
        <v>45687.0</v>
      </c>
      <c r="J778" s="417">
        <v>45692.0</v>
      </c>
      <c r="K778" s="218" t="s">
        <v>4246</v>
      </c>
      <c r="L778" s="111"/>
      <c r="M778" s="122" t="s">
        <v>4238</v>
      </c>
      <c r="N778" s="122" t="s">
        <v>4239</v>
      </c>
      <c r="O778" s="537">
        <v>2.0</v>
      </c>
      <c r="P778" s="122" t="str">
        <f t="shared" si="37"/>
        <v>10.1037--a0028216.pdf</v>
      </c>
      <c r="Q778" s="1161" t="str">
        <f t="array" ref="Q778"> if(iserror(MATCH(V778, 'File Links'!C:C, 0)), "N/A", HYPERLINK(INDEX('File Links'!B:B, MATCH(P778, 'File Links'!C:C, 0))))</f>
        <v>https://drive.google.com/file/d/1IK98kxqzXUKr6oiSy5Yh1iZIS2v8ZtnC/view?usp=drivesdk</v>
      </c>
      <c r="R778" s="122" t="s">
        <v>3653</v>
      </c>
      <c r="S778" s="122" t="s">
        <v>3654</v>
      </c>
      <c r="T778" s="780" t="s">
        <v>4240</v>
      </c>
      <c r="U778" s="537">
        <v>1.0</v>
      </c>
      <c r="V778" s="122" t="str">
        <f t="shared" si="42"/>
        <v>10.1098--rsos.231240.pdf</v>
      </c>
      <c r="W778" s="122" t="s">
        <v>3726</v>
      </c>
      <c r="X778" s="1162" t="str">
        <f t="array" ref="X778"> if(iserror(MATCH(V778, 'File Links'!C:C, 0)), "N/A", HYPERLINK(INDEX('File Links'!B:B, MATCH(V778, 'File Links'!C:C, 0))))</f>
        <v>https://drive.google.com/file/d/17gaf2Zy_ljFfcAEDk5L8GBnTl5i7RGJE/view?usp=drivesdk</v>
      </c>
      <c r="Y778" s="111"/>
      <c r="Z778" s="122" t="s">
        <v>148</v>
      </c>
      <c r="AA778" s="122" t="s">
        <v>4247</v>
      </c>
      <c r="AB778" s="122" t="s">
        <v>4248</v>
      </c>
      <c r="AC778" s="122" t="s">
        <v>4258</v>
      </c>
      <c r="AD778" s="122" t="s">
        <v>4259</v>
      </c>
      <c r="AE778" s="537">
        <v>6.0</v>
      </c>
      <c r="AF778" s="537">
        <v>277.0</v>
      </c>
      <c r="AG778" s="1109">
        <v>0.18</v>
      </c>
      <c r="AH778" s="537" t="s">
        <v>874</v>
      </c>
      <c r="AI778" s="537" t="s">
        <v>140</v>
      </c>
      <c r="AJ778" s="366">
        <v>0.005</v>
      </c>
      <c r="AK778" s="112" t="s">
        <v>135</v>
      </c>
      <c r="AL778" s="112" t="s">
        <v>186</v>
      </c>
      <c r="AM778" s="122" t="s">
        <v>141</v>
      </c>
      <c r="AN778" s="147" t="s">
        <v>138</v>
      </c>
      <c r="AO778" s="537">
        <v>292.0</v>
      </c>
      <c r="AP778" s="1109">
        <v>0.1</v>
      </c>
      <c r="AQ778" s="537" t="s">
        <v>874</v>
      </c>
      <c r="AR778" s="537" t="s">
        <v>813</v>
      </c>
      <c r="AS778" s="537">
        <v>0.001</v>
      </c>
      <c r="AT778" s="122" t="s">
        <v>135</v>
      </c>
      <c r="AU778" s="122" t="s">
        <v>218</v>
      </c>
      <c r="AV778" s="122" t="s">
        <v>141</v>
      </c>
      <c r="AW778" s="147" t="s">
        <v>138</v>
      </c>
      <c r="AX778" s="111" t="s">
        <v>151</v>
      </c>
      <c r="AY778" s="61" t="str">
        <f>IFERROR(__xludf.DUMMYFUNCTION("vlookup(BB778,importrange(""https://docs.google.com/spreadsheets/d/1d2vevQ_7D_v35q4wCQ4RpQ_IPoTwEMB9Yp6ymwlPqew/edit?gid=984458430#gid=984458430"", ""'replication success'!A:K""), 11, FAlSE)"),"#N/A")</f>
        <v>#N/A</v>
      </c>
      <c r="AZ778" s="61" t="str">
        <f>IFERROR(__xludf.DUMMYFUNCTION("vlookup(BB778,importrange(""https://docs.google.com/spreadsheets/d/1d2vevQ_7D_v35q4wCQ4RpQ_IPoTwEMB9Yp6ymwlPqew/edit?gid=984458430#gid=984458430"", ""'replication success'!A:M""), 12, FAlSE)"),"#N/A")</f>
        <v>#N/A</v>
      </c>
      <c r="BA778" s="61" t="str">
        <f>IFERROR(__xludf.DUMMYFUNCTION("vlookup(BB778,importrange(""https://docs.google.com/spreadsheets/d/1d2vevQ_7D_v35q4wCQ4RpQ_IPoTwEMB9Yp6ymwlPqew/edit?gid=984458430#gid=984458430"", ""'replication success'!A:M""), 13, FAlSE)"),"#N/A")</f>
        <v>#N/A</v>
      </c>
      <c r="BB778" s="61" t="str">
        <f>IFERROR(__xludf.DUMMYFUNCTION("REGEXREPLACE(G778, ""_[a-z]{1,2}$"", """")"),"Boyce_etal2023123_1")</f>
        <v>Boyce_etal2023123_1</v>
      </c>
      <c r="BC778" s="71"/>
      <c r="BD778" s="111" t="s">
        <v>153</v>
      </c>
      <c r="BE778" s="71"/>
      <c r="BF778" s="71"/>
      <c r="BG778" s="71"/>
      <c r="BH778" s="71"/>
      <c r="BI778" s="71"/>
      <c r="BJ778" s="71"/>
      <c r="BK778" s="71"/>
      <c r="BL778" s="71"/>
      <c r="BM778" s="71"/>
      <c r="BN778" s="71"/>
      <c r="BO778" s="71"/>
      <c r="BP778" s="71"/>
      <c r="BQ778" s="71"/>
      <c r="BR778" s="71"/>
      <c r="BS778" s="71"/>
      <c r="BT778" s="71"/>
      <c r="BU778" s="71"/>
      <c r="BV778" s="71"/>
      <c r="BW778" s="71"/>
      <c r="BX778" s="71"/>
      <c r="BY778" s="71"/>
      <c r="BZ778" s="71"/>
      <c r="CA778" s="71"/>
      <c r="CB778" s="71"/>
      <c r="CC778" s="71"/>
      <c r="CD778" s="71"/>
      <c r="CE778" s="71"/>
      <c r="CF778" s="71"/>
      <c r="CG778" s="71"/>
      <c r="CH778" s="71"/>
      <c r="CI778" s="71"/>
      <c r="CJ778" s="71"/>
      <c r="CK778" s="71"/>
      <c r="CL778" s="71"/>
      <c r="CM778" s="71"/>
      <c r="CN778" s="71"/>
      <c r="CO778" s="71"/>
      <c r="CP778" s="71"/>
      <c r="CQ778" s="71"/>
      <c r="CR778" s="71"/>
      <c r="CS778" s="71"/>
      <c r="CT778" s="71"/>
      <c r="CU778" s="71"/>
      <c r="CV778" s="71"/>
      <c r="CW778" s="71"/>
      <c r="CX778" s="71"/>
      <c r="CY778" s="71"/>
      <c r="CZ778" s="71"/>
      <c r="DA778" s="71"/>
      <c r="DB778" s="71"/>
      <c r="DC778" s="71"/>
      <c r="DD778" s="71"/>
      <c r="DE778" s="71"/>
      <c r="DF778" s="71"/>
      <c r="DG778" s="71"/>
      <c r="DH778" s="71"/>
      <c r="DI778" s="71"/>
      <c r="DJ778" s="71"/>
      <c r="DK778" s="71"/>
      <c r="DL778" s="71"/>
    </row>
    <row r="779">
      <c r="A779" s="110">
        <v>779.0</v>
      </c>
      <c r="B779" s="129" t="s">
        <v>152</v>
      </c>
      <c r="C779" s="149" t="s">
        <v>115</v>
      </c>
      <c r="D779" s="149" t="s">
        <v>153</v>
      </c>
      <c r="E779" s="71"/>
      <c r="F779" s="111" t="s">
        <v>4237</v>
      </c>
      <c r="G779" s="112" t="s">
        <v>4260</v>
      </c>
      <c r="H779" s="122" t="s">
        <v>153</v>
      </c>
      <c r="I779" s="417">
        <v>45687.0</v>
      </c>
      <c r="J779" s="417">
        <v>45692.0</v>
      </c>
      <c r="K779" s="218" t="s">
        <v>4261</v>
      </c>
      <c r="L779" s="147" t="s">
        <v>4262</v>
      </c>
      <c r="M779" s="122" t="s">
        <v>4238</v>
      </c>
      <c r="N779" s="122" t="s">
        <v>4239</v>
      </c>
      <c r="O779" s="537">
        <v>2.0</v>
      </c>
      <c r="P779" s="122" t="str">
        <f t="shared" si="37"/>
        <v>10.1037--a0028216.pdf</v>
      </c>
      <c r="Q779" s="1161" t="str">
        <f t="array" ref="Q779"> if(iserror(MATCH(V779, 'File Links'!C:C, 0)), "N/A", HYPERLINK(INDEX('File Links'!B:B, MATCH(P779, 'File Links'!C:C, 0))))</f>
        <v>https://drive.google.com/file/d/1IK98kxqzXUKr6oiSy5Yh1iZIS2v8ZtnC/view?usp=drivesdk</v>
      </c>
      <c r="R779" s="122" t="s">
        <v>3653</v>
      </c>
      <c r="S779" s="122" t="s">
        <v>3654</v>
      </c>
      <c r="T779" s="780" t="s">
        <v>4240</v>
      </c>
      <c r="U779" s="537">
        <v>1.0</v>
      </c>
      <c r="V779" s="122" t="str">
        <f t="shared" si="42"/>
        <v>10.1098--rsos.231240.pdf</v>
      </c>
      <c r="W779" s="122" t="s">
        <v>3726</v>
      </c>
      <c r="X779" s="1162" t="str">
        <f t="array" ref="X779"> if(iserror(MATCH(V779, 'File Links'!C:C, 0)), "N/A", HYPERLINK(INDEX('File Links'!B:B, MATCH(V779, 'File Links'!C:C, 0))))</f>
        <v>https://drive.google.com/file/d/17gaf2Zy_ljFfcAEDk5L8GBnTl5i7RGJE/view?usp=drivesdk</v>
      </c>
      <c r="Y779" s="111"/>
      <c r="Z779" s="122" t="s">
        <v>148</v>
      </c>
      <c r="AA779" s="122" t="s">
        <v>4247</v>
      </c>
      <c r="AB779" s="122" t="s">
        <v>4248</v>
      </c>
      <c r="AC779" s="122" t="s">
        <v>4263</v>
      </c>
      <c r="AD779" s="122" t="s">
        <v>4264</v>
      </c>
      <c r="AE779" s="537">
        <v>6.0</v>
      </c>
      <c r="AF779" s="537">
        <v>277.0</v>
      </c>
      <c r="AG779" s="1109">
        <v>0.15</v>
      </c>
      <c r="AH779" s="537" t="s">
        <v>874</v>
      </c>
      <c r="AI779" s="537" t="s">
        <v>140</v>
      </c>
      <c r="AJ779" s="366">
        <v>0.005</v>
      </c>
      <c r="AK779" s="112" t="s">
        <v>135</v>
      </c>
      <c r="AL779" s="112" t="s">
        <v>186</v>
      </c>
      <c r="AM779" s="122" t="s">
        <v>141</v>
      </c>
      <c r="AN779" s="147" t="s">
        <v>138</v>
      </c>
      <c r="AO779" s="537">
        <v>292.0</v>
      </c>
      <c r="AP779" s="1109">
        <v>0.029</v>
      </c>
      <c r="AQ779" s="537" t="s">
        <v>874</v>
      </c>
      <c r="AR779" s="537" t="s">
        <v>813</v>
      </c>
      <c r="AS779" s="537">
        <v>0.001</v>
      </c>
      <c r="AT779" s="122" t="s">
        <v>135</v>
      </c>
      <c r="AU779" s="122" t="s">
        <v>218</v>
      </c>
      <c r="AV779" s="122" t="s">
        <v>141</v>
      </c>
      <c r="AW779" s="147" t="s">
        <v>138</v>
      </c>
      <c r="AX779" s="111" t="s">
        <v>151</v>
      </c>
      <c r="AY779" s="61" t="str">
        <f>IFERROR(__xludf.DUMMYFUNCTION("vlookup(BB779,importrange(""https://docs.google.com/spreadsheets/d/1d2vevQ_7D_v35q4wCQ4RpQ_IPoTwEMB9Yp6ymwlPqew/edit?gid=984458430#gid=984458430"", ""'replication success'!A:K""), 11, FAlSE)"),"#N/A")</f>
        <v>#N/A</v>
      </c>
      <c r="AZ779" s="61" t="str">
        <f>IFERROR(__xludf.DUMMYFUNCTION("vlookup(BB779,importrange(""https://docs.google.com/spreadsheets/d/1d2vevQ_7D_v35q4wCQ4RpQ_IPoTwEMB9Yp6ymwlPqew/edit?gid=984458430#gid=984458430"", ""'replication success'!A:M""), 12, FAlSE)"),"#N/A")</f>
        <v>#N/A</v>
      </c>
      <c r="BA779" s="61" t="str">
        <f>IFERROR(__xludf.DUMMYFUNCTION("vlookup(BB779,importrange(""https://docs.google.com/spreadsheets/d/1d2vevQ_7D_v35q4wCQ4RpQ_IPoTwEMB9Yp6ymwlPqew/edit?gid=984458430#gid=984458430"", ""'replication success'!A:M""), 13, FAlSE)"),"#N/A")</f>
        <v>#N/A</v>
      </c>
      <c r="BB779" s="61" t="str">
        <f>IFERROR(__xludf.DUMMYFUNCTION("REGEXREPLACE(G779, ""_[a-z]{1,2}$"", """")"),"Boyce_etal2023123_1")</f>
        <v>Boyce_etal2023123_1</v>
      </c>
      <c r="BC779" s="71"/>
      <c r="BD779" s="147" t="s">
        <v>3763</v>
      </c>
      <c r="BE779" s="71"/>
      <c r="BF779" s="71"/>
      <c r="BG779" s="71"/>
      <c r="BH779" s="71"/>
      <c r="BI779" s="71"/>
      <c r="BJ779" s="71"/>
      <c r="BK779" s="71"/>
      <c r="BL779" s="71"/>
      <c r="BM779" s="71"/>
      <c r="BN779" s="71"/>
      <c r="BO779" s="71"/>
      <c r="BP779" s="71"/>
      <c r="BQ779" s="71"/>
      <c r="BR779" s="71"/>
      <c r="BS779" s="71"/>
      <c r="BT779" s="71"/>
      <c r="BU779" s="71"/>
      <c r="BV779" s="71"/>
      <c r="BW779" s="71"/>
      <c r="BX779" s="71"/>
      <c r="BY779" s="71"/>
      <c r="BZ779" s="71"/>
      <c r="CA779" s="71"/>
      <c r="CB779" s="71"/>
      <c r="CC779" s="71"/>
      <c r="CD779" s="71"/>
      <c r="CE779" s="71"/>
      <c r="CF779" s="71"/>
      <c r="CG779" s="71"/>
      <c r="CH779" s="71"/>
      <c r="CI779" s="71"/>
      <c r="CJ779" s="71"/>
      <c r="CK779" s="71"/>
      <c r="CL779" s="71"/>
      <c r="CM779" s="71"/>
      <c r="CN779" s="71"/>
      <c r="CO779" s="71"/>
      <c r="CP779" s="71"/>
      <c r="CQ779" s="71"/>
      <c r="CR779" s="71"/>
      <c r="CS779" s="71"/>
      <c r="CT779" s="71"/>
      <c r="CU779" s="71"/>
      <c r="CV779" s="71"/>
      <c r="CW779" s="71"/>
      <c r="CX779" s="71"/>
      <c r="CY779" s="71"/>
      <c r="CZ779" s="71"/>
      <c r="DA779" s="71"/>
      <c r="DB779" s="71"/>
      <c r="DC779" s="71"/>
      <c r="DD779" s="71"/>
      <c r="DE779" s="71"/>
      <c r="DF779" s="71"/>
      <c r="DG779" s="71"/>
      <c r="DH779" s="71"/>
      <c r="DI779" s="71"/>
      <c r="DJ779" s="71"/>
      <c r="DK779" s="71"/>
      <c r="DL779" s="71"/>
    </row>
    <row r="780">
      <c r="A780" s="171">
        <v>780.0</v>
      </c>
      <c r="B780" s="180" t="s">
        <v>114</v>
      </c>
      <c r="C780" s="168" t="s">
        <v>115</v>
      </c>
      <c r="D780" s="168" t="s">
        <v>248</v>
      </c>
      <c r="E780" s="164"/>
      <c r="F780" s="732" t="s">
        <v>4265</v>
      </c>
      <c r="G780" s="186" t="s">
        <v>4266</v>
      </c>
      <c r="H780" s="732" t="s">
        <v>249</v>
      </c>
      <c r="I780" s="733">
        <v>45670.0</v>
      </c>
      <c r="J780" s="733">
        <v>45692.0</v>
      </c>
      <c r="K780" s="1165" t="s">
        <v>3683</v>
      </c>
      <c r="L780" s="180"/>
      <c r="M780" s="732" t="s">
        <v>4267</v>
      </c>
      <c r="N780" s="732" t="s">
        <v>4268</v>
      </c>
      <c r="O780" s="180"/>
      <c r="P780" s="732" t="str">
        <f t="shared" si="37"/>
        <v>10.1145--2470654.2481281.pdf</v>
      </c>
      <c r="Q780" s="1166" t="str">
        <f t="array" ref="Q780"> if(iserror(MATCH(V780, 'File Links'!C:C, 0)), "N/A", HYPERLINK(INDEX('File Links'!B:B, MATCH(P780, 'File Links'!C:C, 0))))</f>
        <v>https://drive.google.com/file/d/1gQEP5IJLffmqgeBD8cJqZD1njhiICXaO/view?usp=drivesdk</v>
      </c>
      <c r="R780" s="732" t="s">
        <v>3653</v>
      </c>
      <c r="S780" s="732" t="s">
        <v>3654</v>
      </c>
      <c r="T780" s="180"/>
      <c r="U780" s="183">
        <v>1.0</v>
      </c>
      <c r="V780" s="732" t="str">
        <f t="shared" si="42"/>
        <v>10.1098--rsos.231240.pdf</v>
      </c>
      <c r="W780" s="732" t="s">
        <v>3665</v>
      </c>
      <c r="X780" s="1167" t="str">
        <f t="array" ref="X780"> if(iserror(MATCH(V780, 'File Links'!C:C, 0)), "N/A", HYPERLINK(INDEX('File Links'!B:B, MATCH(V780, 'File Links'!C:C, 0))))</f>
        <v>https://drive.google.com/file/d/17gaf2Zy_ljFfcAEDk5L8GBnTl5i7RGJE/view?usp=drivesdk</v>
      </c>
      <c r="Y780" s="180"/>
      <c r="Z780" s="732" t="s">
        <v>2079</v>
      </c>
      <c r="AA780" s="180"/>
      <c r="AB780" s="180"/>
      <c r="AC780" s="180"/>
      <c r="AD780" s="732" t="s">
        <v>138</v>
      </c>
      <c r="AE780" s="732" t="s">
        <v>138</v>
      </c>
      <c r="AF780" s="183">
        <v>184.0</v>
      </c>
      <c r="AG780" s="732" t="s">
        <v>138</v>
      </c>
      <c r="AH780" s="167" t="s">
        <v>138</v>
      </c>
      <c r="AI780" s="732" t="s">
        <v>138</v>
      </c>
      <c r="AJ780" s="736" t="s">
        <v>138</v>
      </c>
      <c r="AK780" s="737"/>
      <c r="AL780" s="186" t="s">
        <v>186</v>
      </c>
      <c r="AM780" s="732" t="s">
        <v>1905</v>
      </c>
      <c r="AN780" s="175" t="s">
        <v>138</v>
      </c>
      <c r="AO780" s="183">
        <v>82.0</v>
      </c>
      <c r="AP780" s="732" t="s">
        <v>138</v>
      </c>
      <c r="AQ780" s="180"/>
      <c r="AR780" s="180"/>
      <c r="AS780" s="732" t="s">
        <v>138</v>
      </c>
      <c r="AT780" s="180"/>
      <c r="AU780" s="732" t="s">
        <v>186</v>
      </c>
      <c r="AV780" s="732" t="s">
        <v>1905</v>
      </c>
      <c r="AW780" s="147" t="s">
        <v>138</v>
      </c>
      <c r="AX780" s="732" t="s">
        <v>143</v>
      </c>
      <c r="AY780" s="61" t="str">
        <f>IFERROR(__xludf.DUMMYFUNCTION("vlookup(BB780,importrange(""https://docs.google.com/spreadsheets/d/1d2vevQ_7D_v35q4wCQ4RpQ_IPoTwEMB9Yp6ymwlPqew/edit?gid=984458430#gid=984458430"", ""'replication success'!A:K""), 11, FAlSE)"),"#N/A")</f>
        <v>#N/A</v>
      </c>
      <c r="AZ780" s="61" t="str">
        <f>IFERROR(__xludf.DUMMYFUNCTION("vlookup(BB780,importrange(""https://docs.google.com/spreadsheets/d/1d2vevQ_7D_v35q4wCQ4RpQ_IPoTwEMB9Yp6ymwlPqew/edit?gid=984458430#gid=984458430"", ""'replication success'!A:M""), 12, FAlSE)"),"#N/A")</f>
        <v>#N/A</v>
      </c>
      <c r="BA780" s="61" t="str">
        <f>IFERROR(__xludf.DUMMYFUNCTION("vlookup(BB780,importrange(""https://docs.google.com/spreadsheets/d/1d2vevQ_7D_v35q4wCQ4RpQ_IPoTwEMB9Yp6ymwlPqew/edit?gid=984458430#gid=984458430"", ""'replication success'!A:M""), 13, FAlSE)"),"#N/A")</f>
        <v>#N/A</v>
      </c>
      <c r="BB780" s="61" t="str">
        <f>IFERROR(__xludf.DUMMYFUNCTION("REGEXREPLACE(G780, ""_[a-z]{1,2}$"", """")"),"Boyce_etal2023124_1")</f>
        <v>Boyce_etal2023124_1</v>
      </c>
      <c r="BC780" s="164"/>
      <c r="BD780" s="180" t="s">
        <v>153</v>
      </c>
      <c r="BE780" s="164"/>
      <c r="BF780" s="164"/>
      <c r="BG780" s="164"/>
      <c r="BH780" s="164"/>
      <c r="BI780" s="164"/>
      <c r="BJ780" s="164"/>
      <c r="BK780" s="164"/>
      <c r="BL780" s="164"/>
      <c r="BM780" s="164"/>
      <c r="BN780" s="164"/>
      <c r="BO780" s="164"/>
      <c r="BP780" s="164"/>
      <c r="BQ780" s="164"/>
      <c r="BR780" s="164"/>
      <c r="BS780" s="164"/>
      <c r="BT780" s="164"/>
      <c r="BU780" s="164"/>
      <c r="BV780" s="164"/>
      <c r="BW780" s="164"/>
      <c r="BX780" s="164"/>
      <c r="BY780" s="164"/>
      <c r="BZ780" s="164"/>
      <c r="CA780" s="164"/>
      <c r="CB780" s="164"/>
      <c r="CC780" s="164"/>
      <c r="CD780" s="164"/>
      <c r="CE780" s="164"/>
      <c r="CF780" s="164"/>
      <c r="CG780" s="164"/>
      <c r="CH780" s="164"/>
      <c r="CI780" s="164"/>
      <c r="CJ780" s="164"/>
      <c r="CK780" s="164"/>
      <c r="CL780" s="164"/>
      <c r="CM780" s="164"/>
      <c r="CN780" s="164"/>
      <c r="CO780" s="164"/>
      <c r="CP780" s="164"/>
      <c r="CQ780" s="164"/>
      <c r="CR780" s="164"/>
      <c r="CS780" s="164"/>
      <c r="CT780" s="164"/>
      <c r="CU780" s="164"/>
      <c r="CV780" s="164"/>
      <c r="CW780" s="164"/>
      <c r="CX780" s="164"/>
      <c r="CY780" s="164"/>
      <c r="CZ780" s="164"/>
      <c r="DA780" s="164"/>
      <c r="DB780" s="164"/>
      <c r="DC780" s="164"/>
      <c r="DD780" s="164"/>
      <c r="DE780" s="164"/>
      <c r="DF780" s="164"/>
      <c r="DG780" s="164"/>
      <c r="DH780" s="164"/>
      <c r="DI780" s="164"/>
      <c r="DJ780" s="164"/>
      <c r="DK780" s="164"/>
      <c r="DL780" s="164"/>
    </row>
    <row r="781">
      <c r="A781" s="171">
        <v>781.0</v>
      </c>
      <c r="B781" s="175" t="s">
        <v>114</v>
      </c>
      <c r="C781" s="168" t="s">
        <v>115</v>
      </c>
      <c r="D781" s="168" t="s">
        <v>153</v>
      </c>
      <c r="E781" s="164"/>
      <c r="F781" s="180" t="s">
        <v>4266</v>
      </c>
      <c r="G781" s="186" t="s">
        <v>4265</v>
      </c>
      <c r="H781" s="732" t="s">
        <v>153</v>
      </c>
      <c r="I781" s="733">
        <v>45687.0</v>
      </c>
      <c r="J781" s="733">
        <v>45692.0</v>
      </c>
      <c r="K781" s="1165" t="s">
        <v>4246</v>
      </c>
      <c r="L781" s="180"/>
      <c r="M781" s="732" t="s">
        <v>4267</v>
      </c>
      <c r="N781" s="732" t="s">
        <v>4268</v>
      </c>
      <c r="O781" s="183">
        <v>1.0</v>
      </c>
      <c r="P781" s="732" t="str">
        <f t="shared" si="37"/>
        <v>10.1145--2470654.2481281.pdf</v>
      </c>
      <c r="Q781" s="1166" t="str">
        <f t="array" ref="Q781"> if(iserror(MATCH(V781, 'File Links'!C:C, 0)), "N/A", HYPERLINK(INDEX('File Links'!B:B, MATCH(P781, 'File Links'!C:C, 0))))</f>
        <v>https://drive.google.com/file/d/1gQEP5IJLffmqgeBD8cJqZD1njhiICXaO/view?usp=drivesdk</v>
      </c>
      <c r="R781" s="732" t="s">
        <v>3653</v>
      </c>
      <c r="S781" s="732" t="s">
        <v>3654</v>
      </c>
      <c r="T781" s="180"/>
      <c r="U781" s="183">
        <v>1.0</v>
      </c>
      <c r="V781" s="732" t="s">
        <v>3658</v>
      </c>
      <c r="W781" s="180"/>
      <c r="X781" s="1167" t="str">
        <f t="array" ref="X781"> if(iserror(MATCH(V781, 'File Links'!C:C, 0)), "N/A", HYPERLINK(INDEX('File Links'!B:B, MATCH(V781, 'File Links'!C:C, 0))))</f>
        <v>https://drive.google.com/file/d/17gaf2Zy_ljFfcAEDk5L8GBnTl5i7RGJE/view?usp=drivesdk</v>
      </c>
      <c r="Y781" s="732" t="s">
        <v>3659</v>
      </c>
      <c r="Z781" s="180"/>
      <c r="AA781" s="180"/>
      <c r="AB781" s="180"/>
      <c r="AC781" s="180"/>
      <c r="AD781" s="180"/>
      <c r="AE781" s="180"/>
      <c r="AF781" s="180"/>
      <c r="AG781" s="180"/>
      <c r="AH781" s="180"/>
      <c r="AI781" s="180"/>
      <c r="AJ781" s="740"/>
      <c r="AK781" s="737"/>
      <c r="AL781" s="737"/>
      <c r="AM781" s="180"/>
      <c r="AN781" s="175" t="s">
        <v>138</v>
      </c>
      <c r="AO781" s="180"/>
      <c r="AP781" s="180"/>
      <c r="AQ781" s="180"/>
      <c r="AR781" s="180"/>
      <c r="AS781" s="180"/>
      <c r="AT781" s="180"/>
      <c r="AU781" s="180"/>
      <c r="AV781" s="180"/>
      <c r="AW781" s="147" t="s">
        <v>138</v>
      </c>
      <c r="AX781" s="180"/>
      <c r="AY781" s="61" t="str">
        <f>IFERROR(__xludf.DUMMYFUNCTION("vlookup(BB781,importrange(""https://docs.google.com/spreadsheets/d/1d2vevQ_7D_v35q4wCQ4RpQ_IPoTwEMB9Yp6ymwlPqew/edit?gid=984458430#gid=984458430"", ""'replication success'!A:K""), 11, FAlSE)"),"#N/A")</f>
        <v>#N/A</v>
      </c>
      <c r="AZ781" s="61" t="str">
        <f>IFERROR(__xludf.DUMMYFUNCTION("vlookup(BB781,importrange(""https://docs.google.com/spreadsheets/d/1d2vevQ_7D_v35q4wCQ4RpQ_IPoTwEMB9Yp6ymwlPqew/edit?gid=984458430#gid=984458430"", ""'replication success'!A:M""), 12, FAlSE)"),"#N/A")</f>
        <v>#N/A</v>
      </c>
      <c r="BA781" s="61" t="str">
        <f>IFERROR(__xludf.DUMMYFUNCTION("vlookup(BB781,importrange(""https://docs.google.com/spreadsheets/d/1d2vevQ_7D_v35q4wCQ4RpQ_IPoTwEMB9Yp6ymwlPqew/edit?gid=984458430#gid=984458430"", ""'replication success'!A:M""), 13, FAlSE)"),"#N/A")</f>
        <v>#N/A</v>
      </c>
      <c r="BB781" s="61" t="str">
        <f>IFERROR(__xludf.DUMMYFUNCTION("REGEXREPLACE(G781, ""_[a-z]{1,2}$"", """")"),"Boyce_etal2023124")</f>
        <v>Boyce_etal2023124</v>
      </c>
      <c r="BC781" s="164"/>
      <c r="BD781" s="180" t="s">
        <v>153</v>
      </c>
      <c r="BE781" s="164"/>
      <c r="BF781" s="164"/>
      <c r="BG781" s="164"/>
      <c r="BH781" s="164"/>
      <c r="BI781" s="164"/>
      <c r="BJ781" s="164"/>
      <c r="BK781" s="164"/>
      <c r="BL781" s="164"/>
      <c r="BM781" s="164"/>
      <c r="BN781" s="164"/>
      <c r="BO781" s="164"/>
      <c r="BP781" s="164"/>
      <c r="BQ781" s="164"/>
      <c r="BR781" s="164"/>
      <c r="BS781" s="164"/>
      <c r="BT781" s="164"/>
      <c r="BU781" s="164"/>
      <c r="BV781" s="164"/>
      <c r="BW781" s="164"/>
      <c r="BX781" s="164"/>
      <c r="BY781" s="164"/>
      <c r="BZ781" s="164"/>
      <c r="CA781" s="164"/>
      <c r="CB781" s="164"/>
      <c r="CC781" s="164"/>
      <c r="CD781" s="164"/>
      <c r="CE781" s="164"/>
      <c r="CF781" s="164"/>
      <c r="CG781" s="164"/>
      <c r="CH781" s="164"/>
      <c r="CI781" s="164"/>
      <c r="CJ781" s="164"/>
      <c r="CK781" s="164"/>
      <c r="CL781" s="164"/>
      <c r="CM781" s="164"/>
      <c r="CN781" s="164"/>
      <c r="CO781" s="164"/>
      <c r="CP781" s="164"/>
      <c r="CQ781" s="164"/>
      <c r="CR781" s="164"/>
      <c r="CS781" s="164"/>
      <c r="CT781" s="164"/>
      <c r="CU781" s="164"/>
      <c r="CV781" s="164"/>
      <c r="CW781" s="164"/>
      <c r="CX781" s="164"/>
      <c r="CY781" s="164"/>
      <c r="CZ781" s="164"/>
      <c r="DA781" s="164"/>
      <c r="DB781" s="164"/>
      <c r="DC781" s="164"/>
      <c r="DD781" s="164"/>
      <c r="DE781" s="164"/>
      <c r="DF781" s="164"/>
      <c r="DG781" s="164"/>
      <c r="DH781" s="164"/>
      <c r="DI781" s="164"/>
      <c r="DJ781" s="164"/>
      <c r="DK781" s="164"/>
      <c r="DL781" s="164"/>
    </row>
    <row r="782">
      <c r="A782" s="689">
        <v>782.0</v>
      </c>
      <c r="B782" s="190" t="s">
        <v>114</v>
      </c>
      <c r="C782" s="188" t="s">
        <v>115</v>
      </c>
      <c r="D782" s="188" t="s">
        <v>248</v>
      </c>
      <c r="E782" s="189"/>
      <c r="F782" s="198" t="s">
        <v>4269</v>
      </c>
      <c r="G782" s="58" t="s">
        <v>4270</v>
      </c>
      <c r="H782" s="198" t="s">
        <v>249</v>
      </c>
      <c r="I782" s="191">
        <v>45670.0</v>
      </c>
      <c r="J782" s="191">
        <v>45692.0</v>
      </c>
      <c r="K782" s="190"/>
      <c r="L782" s="198" t="s">
        <v>3690</v>
      </c>
      <c r="M782" s="198" t="s">
        <v>4271</v>
      </c>
      <c r="N782" s="198" t="s">
        <v>4272</v>
      </c>
      <c r="O782" s="190"/>
      <c r="P782" s="198" t="str">
        <f t="shared" si="37"/>
        <v>10.1016--j.jesp.2018.05.006.pdf</v>
      </c>
      <c r="Q782" s="1168" t="str">
        <f t="array" ref="Q782"> if(iserror(MATCH(V782, 'File Links'!C:C, 0)), "N/A", HYPERLINK(INDEX('File Links'!B:B, MATCH(P782, 'File Links'!C:C, 0))))</f>
        <v>https://drive.google.com/file/d/1bbOr5sJJaSFgt-aKadq5yMvKA8ywD97U/view?usp=drivesdk</v>
      </c>
      <c r="R782" s="198" t="s">
        <v>3653</v>
      </c>
      <c r="S782" s="198" t="s">
        <v>3654</v>
      </c>
      <c r="T782" s="190"/>
      <c r="U782" s="758">
        <v>1.0</v>
      </c>
      <c r="V782" s="198" t="str">
        <f t="shared" ref="V782:V809" si="43"> hyperlink(vlookup(lower(S782),#REF!, 2, FALSE), SUBSTITUTE(lower(S782), "/", "--") &amp;  ".pdf")</f>
        <v>10.1098--rsos.231240.pdf</v>
      </c>
      <c r="W782" s="198" t="s">
        <v>3726</v>
      </c>
      <c r="X782" s="1169" t="str">
        <f t="array" ref="X782"> if(iserror(MATCH(V782, 'File Links'!C:C, 0)), "N/A", HYPERLINK(INDEX('File Links'!B:B, MATCH(V782, 'File Links'!C:C, 0))))</f>
        <v>https://drive.google.com/file/d/17gaf2Zy_ljFfcAEDk5L8GBnTl5i7RGJE/view?usp=drivesdk</v>
      </c>
      <c r="Y782" s="190"/>
      <c r="Z782" s="198" t="s">
        <v>226</v>
      </c>
      <c r="AA782" s="190"/>
      <c r="AB782" s="190"/>
      <c r="AC782" s="190"/>
      <c r="AD782" s="198" t="s">
        <v>4273</v>
      </c>
      <c r="AE782" s="990">
        <v>29.0</v>
      </c>
      <c r="AF782" s="758">
        <v>350.0</v>
      </c>
      <c r="AG782" s="758">
        <v>0.024</v>
      </c>
      <c r="AH782" s="575" t="s">
        <v>173</v>
      </c>
      <c r="AI782" s="1170" t="s">
        <v>4274</v>
      </c>
      <c r="AJ782" s="875">
        <v>0.003</v>
      </c>
      <c r="AK782" s="58" t="s">
        <v>172</v>
      </c>
      <c r="AL782" s="58" t="s">
        <v>218</v>
      </c>
      <c r="AM782" s="198" t="s">
        <v>141</v>
      </c>
      <c r="AN782" s="374" t="s">
        <v>138</v>
      </c>
      <c r="AO782" s="758">
        <v>208.0</v>
      </c>
      <c r="AP782" s="758">
        <v>-0.38123103406236</v>
      </c>
      <c r="AQ782" s="198" t="s">
        <v>173</v>
      </c>
      <c r="AR782" s="190"/>
      <c r="AS782" s="1171">
        <v>1.20468940918332E-7</v>
      </c>
      <c r="AT782" s="198" t="s">
        <v>172</v>
      </c>
      <c r="AU782" s="198" t="s">
        <v>186</v>
      </c>
      <c r="AV782" s="198" t="s">
        <v>141</v>
      </c>
      <c r="AW782" s="147" t="s">
        <v>138</v>
      </c>
      <c r="AX782" s="198" t="s">
        <v>143</v>
      </c>
      <c r="AY782" s="61" t="str">
        <f>IFERROR(__xludf.DUMMYFUNCTION("vlookup(BB782,importrange(""https://docs.google.com/spreadsheets/d/1d2vevQ_7D_v35q4wCQ4RpQ_IPoTwEMB9Yp6ymwlPqew/edit?gid=984458430#gid=984458430"", ""'replication success'!A:K""), 11, FAlSE)"),"failed")</f>
        <v>failed</v>
      </c>
      <c r="AZ782" s="61" t="str">
        <f>IFERROR(__xludf.DUMMYFUNCTION("vlookup(BB782,importrange(""https://docs.google.com/spreadsheets/d/1d2vevQ_7D_v35q4wCQ4RpQ_IPoTwEMB9Yp6ymwlPqew/edit?gid=984458430#gid=984458430"",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82" s="61" t="str">
        <f>IFERROR(__xludf.DUMMYFUNCTION("vlookup(BB782,importrange(""https://docs.google.com/spreadsheets/d/1d2vevQ_7D_v35q4wCQ4RpQ_IPoTwEMB9Yp6ymwlPqew/edit?gid=984458430#gid=984458430"",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v>
      </c>
      <c r="BB782" s="61" t="str">
        <f>IFERROR(__xludf.DUMMYFUNCTION("REGEXREPLACE(G782, ""_[a-z]{1,2}$"", """")"),"Boyce_etal2023125_1")</f>
        <v>Boyce_etal2023125_1</v>
      </c>
      <c r="BC782" s="189"/>
      <c r="BD782" s="190" t="s">
        <v>153</v>
      </c>
      <c r="BE782" s="189"/>
      <c r="BF782" s="189"/>
      <c r="BG782" s="189"/>
      <c r="BH782" s="189"/>
      <c r="BI782" s="189"/>
      <c r="BJ782" s="189"/>
      <c r="BK782" s="189"/>
      <c r="BL782" s="189"/>
      <c r="BM782" s="189"/>
      <c r="BN782" s="189"/>
      <c r="BO782" s="189"/>
      <c r="BP782" s="189"/>
      <c r="BQ782" s="189"/>
      <c r="BR782" s="189"/>
      <c r="BS782" s="189"/>
      <c r="BT782" s="189"/>
      <c r="BU782" s="189"/>
      <c r="BV782" s="189"/>
      <c r="BW782" s="189"/>
      <c r="BX782" s="189"/>
      <c r="BY782" s="189"/>
      <c r="BZ782" s="189"/>
      <c r="CA782" s="189"/>
      <c r="CB782" s="189"/>
      <c r="CC782" s="189"/>
      <c r="CD782" s="189"/>
      <c r="CE782" s="189"/>
      <c r="CF782" s="189"/>
      <c r="CG782" s="189"/>
      <c r="CH782" s="189"/>
      <c r="CI782" s="189"/>
      <c r="CJ782" s="189"/>
      <c r="CK782" s="189"/>
      <c r="CL782" s="189"/>
      <c r="CM782" s="189"/>
      <c r="CN782" s="189"/>
      <c r="CO782" s="189"/>
      <c r="CP782" s="189"/>
      <c r="CQ782" s="189"/>
      <c r="CR782" s="189"/>
      <c r="CS782" s="189"/>
      <c r="CT782" s="189"/>
      <c r="CU782" s="189"/>
      <c r="CV782" s="189"/>
      <c r="CW782" s="189"/>
      <c r="CX782" s="189"/>
      <c r="CY782" s="189"/>
      <c r="CZ782" s="189"/>
      <c r="DA782" s="189"/>
      <c r="DB782" s="189"/>
      <c r="DC782" s="189"/>
      <c r="DD782" s="189"/>
      <c r="DE782" s="189"/>
      <c r="DF782" s="189"/>
      <c r="DG782" s="189"/>
      <c r="DH782" s="189"/>
      <c r="DI782" s="189"/>
      <c r="DJ782" s="189"/>
      <c r="DK782" s="189"/>
      <c r="DL782" s="189"/>
    </row>
    <row r="783">
      <c r="A783" s="689">
        <v>783.0</v>
      </c>
      <c r="B783" s="374" t="s">
        <v>152</v>
      </c>
      <c r="C783" s="188" t="s">
        <v>115</v>
      </c>
      <c r="D783" s="188" t="s">
        <v>153</v>
      </c>
      <c r="E783" s="189"/>
      <c r="F783" s="190" t="s">
        <v>4270</v>
      </c>
      <c r="G783" s="58" t="s">
        <v>4275</v>
      </c>
      <c r="H783" s="198" t="s">
        <v>153</v>
      </c>
      <c r="I783" s="191">
        <v>45687.0</v>
      </c>
      <c r="J783" s="191">
        <v>45692.0</v>
      </c>
      <c r="K783" s="369" t="s">
        <v>4276</v>
      </c>
      <c r="L783" s="190"/>
      <c r="M783" s="198" t="s">
        <v>4271</v>
      </c>
      <c r="N783" s="198" t="s">
        <v>4272</v>
      </c>
      <c r="O783" s="758">
        <v>5.0</v>
      </c>
      <c r="P783" s="198" t="str">
        <f t="shared" si="37"/>
        <v>10.1016--j.jesp.2018.05.006.pdf</v>
      </c>
      <c r="Q783" s="1168" t="str">
        <f t="array" ref="Q783"> if(iserror(MATCH(V783, 'File Links'!C:C, 0)), "N/A", HYPERLINK(INDEX('File Links'!B:B, MATCH(P783, 'File Links'!C:C, 0))))</f>
        <v>https://drive.google.com/file/d/1bbOr5sJJaSFgt-aKadq5yMvKA8ywD97U/view?usp=drivesdk</v>
      </c>
      <c r="R783" s="198" t="s">
        <v>3653</v>
      </c>
      <c r="S783" s="198" t="s">
        <v>3654</v>
      </c>
      <c r="T783" s="989" t="s">
        <v>4277</v>
      </c>
      <c r="U783" s="758">
        <v>1.0</v>
      </c>
      <c r="V783" s="198" t="str">
        <f t="shared" si="43"/>
        <v>10.1098--rsos.231240.pdf</v>
      </c>
      <c r="W783" s="198" t="s">
        <v>3726</v>
      </c>
      <c r="X783" s="1169" t="str">
        <f t="array" ref="X783"> if(iserror(MATCH(V783, 'File Links'!C:C, 0)), "N/A", HYPERLINK(INDEX('File Links'!B:B, MATCH(V783, 'File Links'!C:C, 0))))</f>
        <v>https://drive.google.com/file/d/17gaf2Zy_ljFfcAEDk5L8GBnTl5i7RGJE/view?usp=drivesdk</v>
      </c>
      <c r="Y783" s="190"/>
      <c r="Z783" s="198" t="s">
        <v>226</v>
      </c>
      <c r="AA783" s="198" t="s">
        <v>4278</v>
      </c>
      <c r="AB783" s="198" t="s">
        <v>4279</v>
      </c>
      <c r="AC783" s="198" t="s">
        <v>4280</v>
      </c>
      <c r="AD783" s="575" t="s">
        <v>4281</v>
      </c>
      <c r="AE783" s="795" t="s">
        <v>4282</v>
      </c>
      <c r="AF783" s="758">
        <v>350.0</v>
      </c>
      <c r="AG783" s="795">
        <v>0.373</v>
      </c>
      <c r="AH783" s="795" t="s">
        <v>173</v>
      </c>
      <c r="AI783" s="795" t="s">
        <v>4283</v>
      </c>
      <c r="AJ783" s="875">
        <v>0.003</v>
      </c>
      <c r="AK783" s="58" t="s">
        <v>172</v>
      </c>
      <c r="AL783" s="575" t="s">
        <v>186</v>
      </c>
      <c r="AM783" s="575" t="s">
        <v>137</v>
      </c>
      <c r="AN783" s="374" t="s">
        <v>138</v>
      </c>
      <c r="AO783" s="758">
        <v>208.0</v>
      </c>
      <c r="AP783" s="795">
        <v>-0.193</v>
      </c>
      <c r="AQ783" s="795" t="s">
        <v>173</v>
      </c>
      <c r="AR783" s="795" t="s">
        <v>4284</v>
      </c>
      <c r="AS783" s="795">
        <v>0.1663</v>
      </c>
      <c r="AT783" s="198" t="s">
        <v>172</v>
      </c>
      <c r="AU783" s="575" t="s">
        <v>136</v>
      </c>
      <c r="AV783" s="575" t="s">
        <v>137</v>
      </c>
      <c r="AW783" s="147" t="s">
        <v>138</v>
      </c>
      <c r="AX783" s="190" t="s">
        <v>143</v>
      </c>
      <c r="AY783" s="61" t="str">
        <f>IFERROR(__xludf.DUMMYFUNCTION("vlookup(BB783,importrange(""https://docs.google.com/spreadsheets/d/1d2vevQ_7D_v35q4wCQ4RpQ_IPoTwEMB9Yp6ymwlPqew/edit?gid=984458430#gid=984458430"", ""'replication success'!A:K""), 11, FAlSE)"),"failed")</f>
        <v>failed</v>
      </c>
      <c r="AZ783" s="61" t="str">
        <f>IFERROR(__xludf.DUMMYFUNCTION("vlookup(BB783,importrange(""https://docs.google.com/spreadsheets/d/1d2vevQ_7D_v35q4wCQ4RpQ_IPoTwEMB9Yp6ymwlPqew/edit?gid=984458430#gid=984458430"",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83" s="61" t="str">
        <f>IFERROR(__xludf.DUMMYFUNCTION("vlookup(BB783,importrange(""https://docs.google.com/spreadsheets/d/1d2vevQ_7D_v35q4wCQ4RpQ_IPoTwEMB9Yp6ymwlPqew/edit?gid=984458430#gid=984458430"",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v>
      </c>
      <c r="BB783" s="61" t="str">
        <f>IFERROR(__xludf.DUMMYFUNCTION("REGEXREPLACE(G783, ""_[a-z]{1,2}$"", """")"),"Boyce_etal2023125_1")</f>
        <v>Boyce_etal2023125_1</v>
      </c>
      <c r="BC783" s="189"/>
      <c r="BD783" s="374" t="s">
        <v>3680</v>
      </c>
      <c r="BE783" s="189"/>
      <c r="BF783" s="189"/>
      <c r="BG783" s="189"/>
      <c r="BH783" s="189"/>
      <c r="BI783" s="189"/>
      <c r="BJ783" s="189"/>
      <c r="BK783" s="189"/>
      <c r="BL783" s="189"/>
      <c r="BM783" s="189"/>
      <c r="BN783" s="189"/>
      <c r="BO783" s="189"/>
      <c r="BP783" s="189"/>
      <c r="BQ783" s="189"/>
      <c r="BR783" s="189"/>
      <c r="BS783" s="189"/>
      <c r="BT783" s="189"/>
      <c r="BU783" s="189"/>
      <c r="BV783" s="189"/>
      <c r="BW783" s="189"/>
      <c r="BX783" s="189"/>
      <c r="BY783" s="189"/>
      <c r="BZ783" s="189"/>
      <c r="CA783" s="189"/>
      <c r="CB783" s="189"/>
      <c r="CC783" s="189"/>
      <c r="CD783" s="189"/>
      <c r="CE783" s="189"/>
      <c r="CF783" s="189"/>
      <c r="CG783" s="189"/>
      <c r="CH783" s="189"/>
      <c r="CI783" s="189"/>
      <c r="CJ783" s="189"/>
      <c r="CK783" s="189"/>
      <c r="CL783" s="189"/>
      <c r="CM783" s="189"/>
      <c r="CN783" s="189"/>
      <c r="CO783" s="189"/>
      <c r="CP783" s="189"/>
      <c r="CQ783" s="189"/>
      <c r="CR783" s="189"/>
      <c r="CS783" s="189"/>
      <c r="CT783" s="189"/>
      <c r="CU783" s="189"/>
      <c r="CV783" s="189"/>
      <c r="CW783" s="189"/>
      <c r="CX783" s="189"/>
      <c r="CY783" s="189"/>
      <c r="CZ783" s="189"/>
      <c r="DA783" s="189"/>
      <c r="DB783" s="189"/>
      <c r="DC783" s="189"/>
      <c r="DD783" s="189"/>
      <c r="DE783" s="189"/>
      <c r="DF783" s="189"/>
      <c r="DG783" s="189"/>
      <c r="DH783" s="189"/>
      <c r="DI783" s="189"/>
      <c r="DJ783" s="189"/>
      <c r="DK783" s="189"/>
      <c r="DL783" s="189"/>
    </row>
    <row r="784">
      <c r="A784" s="689">
        <v>784.0</v>
      </c>
      <c r="B784" s="374" t="s">
        <v>152</v>
      </c>
      <c r="C784" s="188" t="s">
        <v>115</v>
      </c>
      <c r="D784" s="188" t="s">
        <v>153</v>
      </c>
      <c r="E784" s="189"/>
      <c r="F784" s="190" t="s">
        <v>4270</v>
      </c>
      <c r="G784" s="58" t="s">
        <v>4285</v>
      </c>
      <c r="H784" s="198" t="s">
        <v>153</v>
      </c>
      <c r="I784" s="191">
        <v>45687.0</v>
      </c>
      <c r="J784" s="191">
        <v>45692.0</v>
      </c>
      <c r="K784" s="369" t="s">
        <v>4286</v>
      </c>
      <c r="L784" s="190"/>
      <c r="M784" s="198" t="s">
        <v>4271</v>
      </c>
      <c r="N784" s="198" t="s">
        <v>4272</v>
      </c>
      <c r="O784" s="758">
        <v>5.0</v>
      </c>
      <c r="P784" s="198" t="str">
        <f t="shared" si="37"/>
        <v>10.1016--j.jesp.2018.05.006.pdf</v>
      </c>
      <c r="Q784" s="1168" t="str">
        <f t="array" ref="Q784"> if(iserror(MATCH(V784, 'File Links'!C:C, 0)), "N/A", HYPERLINK(INDEX('File Links'!B:B, MATCH(P784, 'File Links'!C:C, 0))))</f>
        <v>https://drive.google.com/file/d/1bbOr5sJJaSFgt-aKadq5yMvKA8ywD97U/view?usp=drivesdk</v>
      </c>
      <c r="R784" s="198" t="s">
        <v>3653</v>
      </c>
      <c r="S784" s="198" t="s">
        <v>3654</v>
      </c>
      <c r="T784" s="190"/>
      <c r="U784" s="758">
        <v>1.0</v>
      </c>
      <c r="V784" s="198" t="str">
        <f t="shared" si="43"/>
        <v>10.1098--rsos.231240.pdf</v>
      </c>
      <c r="W784" s="198" t="s">
        <v>3726</v>
      </c>
      <c r="X784" s="1169" t="str">
        <f t="array" ref="X784"> if(iserror(MATCH(V784, 'File Links'!C:C, 0)), "N/A", HYPERLINK(INDEX('File Links'!B:B, MATCH(V784, 'File Links'!C:C, 0))))</f>
        <v>https://drive.google.com/file/d/17gaf2Zy_ljFfcAEDk5L8GBnTl5i7RGJE/view?usp=drivesdk</v>
      </c>
      <c r="Y784" s="190"/>
      <c r="Z784" s="198" t="s">
        <v>226</v>
      </c>
      <c r="AA784" s="198" t="s">
        <v>4278</v>
      </c>
      <c r="AB784" s="198" t="s">
        <v>4279</v>
      </c>
      <c r="AC784" s="198" t="s">
        <v>4287</v>
      </c>
      <c r="AD784" s="198" t="s">
        <v>4288</v>
      </c>
      <c r="AE784" s="758">
        <v>9.0</v>
      </c>
      <c r="AF784" s="758">
        <v>350.0</v>
      </c>
      <c r="AG784" s="750">
        <v>0.004</v>
      </c>
      <c r="AH784" s="758" t="s">
        <v>139</v>
      </c>
      <c r="AI784" s="758" t="s">
        <v>628</v>
      </c>
      <c r="AJ784" s="1128">
        <v>0.187</v>
      </c>
      <c r="AK784" s="58" t="s">
        <v>172</v>
      </c>
      <c r="AL784" s="58" t="s">
        <v>218</v>
      </c>
      <c r="AM784" s="198" t="s">
        <v>141</v>
      </c>
      <c r="AN784" s="374" t="s">
        <v>138</v>
      </c>
      <c r="AO784" s="758">
        <v>208.0</v>
      </c>
      <c r="AP784" s="750">
        <v>-0.3473</v>
      </c>
      <c r="AQ784" s="758" t="s">
        <v>987</v>
      </c>
      <c r="AR784" s="750" t="s">
        <v>2229</v>
      </c>
      <c r="AS784" s="758">
        <v>0.635</v>
      </c>
      <c r="AT784" s="198" t="s">
        <v>172</v>
      </c>
      <c r="AU784" s="198" t="s">
        <v>186</v>
      </c>
      <c r="AV784" s="198" t="s">
        <v>141</v>
      </c>
      <c r="AW784" s="147" t="s">
        <v>138</v>
      </c>
      <c r="AX784" s="190" t="s">
        <v>143</v>
      </c>
      <c r="AY784" s="61" t="str">
        <f>IFERROR(__xludf.DUMMYFUNCTION("vlookup(BB784,importrange(""https://docs.google.com/spreadsheets/d/1d2vevQ_7D_v35q4wCQ4RpQ_IPoTwEMB9Yp6ymwlPqew/edit?gid=984458430#gid=984458430"", ""'replication success'!A:K""), 11, FAlSE)"),"failed")</f>
        <v>failed</v>
      </c>
      <c r="AZ784" s="61" t="str">
        <f>IFERROR(__xludf.DUMMYFUNCTION("vlookup(BB784,importrange(""https://docs.google.com/spreadsheets/d/1d2vevQ_7D_v35q4wCQ4RpQ_IPoTwEMB9Yp6ymwlPqew/edit?gid=984458430#gid=984458430"",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84" s="61" t="str">
        <f>IFERROR(__xludf.DUMMYFUNCTION("vlookup(BB784,importrange(""https://docs.google.com/spreadsheets/d/1d2vevQ_7D_v35q4wCQ4RpQ_IPoTwEMB9Yp6ymwlPqew/edit?gid=984458430#gid=984458430"",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v>
      </c>
      <c r="BB784" s="61" t="str">
        <f>IFERROR(__xludf.DUMMYFUNCTION("REGEXREPLACE(G784, ""_[a-z]{1,2}$"", """")"),"Boyce_etal2023125_1")</f>
        <v>Boyce_etal2023125_1</v>
      </c>
      <c r="BC784" s="189"/>
      <c r="BD784" s="190" t="s">
        <v>153</v>
      </c>
      <c r="BE784" s="189"/>
      <c r="BF784" s="189"/>
      <c r="BG784" s="189"/>
      <c r="BH784" s="189"/>
      <c r="BI784" s="189"/>
      <c r="BJ784" s="189"/>
      <c r="BK784" s="189"/>
      <c r="BL784" s="189"/>
      <c r="BM784" s="189"/>
      <c r="BN784" s="189"/>
      <c r="BO784" s="189"/>
      <c r="BP784" s="189"/>
      <c r="BQ784" s="189"/>
      <c r="BR784" s="189"/>
      <c r="BS784" s="189"/>
      <c r="BT784" s="189"/>
      <c r="BU784" s="189"/>
      <c r="BV784" s="189"/>
      <c r="BW784" s="189"/>
      <c r="BX784" s="189"/>
      <c r="BY784" s="189"/>
      <c r="BZ784" s="189"/>
      <c r="CA784" s="189"/>
      <c r="CB784" s="189"/>
      <c r="CC784" s="189"/>
      <c r="CD784" s="189"/>
      <c r="CE784" s="189"/>
      <c r="CF784" s="189"/>
      <c r="CG784" s="189"/>
      <c r="CH784" s="189"/>
      <c r="CI784" s="189"/>
      <c r="CJ784" s="189"/>
      <c r="CK784" s="189"/>
      <c r="CL784" s="189"/>
      <c r="CM784" s="189"/>
      <c r="CN784" s="189"/>
      <c r="CO784" s="189"/>
      <c r="CP784" s="189"/>
      <c r="CQ784" s="189"/>
      <c r="CR784" s="189"/>
      <c r="CS784" s="189"/>
      <c r="CT784" s="189"/>
      <c r="CU784" s="189"/>
      <c r="CV784" s="189"/>
      <c r="CW784" s="189"/>
      <c r="CX784" s="189"/>
      <c r="CY784" s="189"/>
      <c r="CZ784" s="189"/>
      <c r="DA784" s="189"/>
      <c r="DB784" s="189"/>
      <c r="DC784" s="189"/>
      <c r="DD784" s="189"/>
      <c r="DE784" s="189"/>
      <c r="DF784" s="189"/>
      <c r="DG784" s="189"/>
      <c r="DH784" s="189"/>
      <c r="DI784" s="189"/>
      <c r="DJ784" s="189"/>
      <c r="DK784" s="189"/>
      <c r="DL784" s="189"/>
    </row>
    <row r="785">
      <c r="A785" s="689">
        <v>785.0</v>
      </c>
      <c r="B785" s="374" t="s">
        <v>152</v>
      </c>
      <c r="C785" s="188" t="s">
        <v>115</v>
      </c>
      <c r="D785" s="188" t="s">
        <v>153</v>
      </c>
      <c r="E785" s="189"/>
      <c r="F785" s="190" t="s">
        <v>4270</v>
      </c>
      <c r="G785" s="58" t="s">
        <v>4289</v>
      </c>
      <c r="H785" s="198" t="s">
        <v>153</v>
      </c>
      <c r="I785" s="191">
        <v>45687.0</v>
      </c>
      <c r="J785" s="191">
        <v>45692.0</v>
      </c>
      <c r="K785" s="369" t="s">
        <v>4286</v>
      </c>
      <c r="L785" s="190"/>
      <c r="M785" s="198" t="s">
        <v>4271</v>
      </c>
      <c r="N785" s="198" t="s">
        <v>4272</v>
      </c>
      <c r="O785" s="758">
        <v>5.0</v>
      </c>
      <c r="P785" s="198" t="str">
        <f t="shared" si="37"/>
        <v>10.1016--j.jesp.2018.05.006.pdf</v>
      </c>
      <c r="Q785" s="1168" t="str">
        <f t="array" ref="Q785"> if(iserror(MATCH(V785, 'File Links'!C:C, 0)), "N/A", HYPERLINK(INDEX('File Links'!B:B, MATCH(P785, 'File Links'!C:C, 0))))</f>
        <v>https://drive.google.com/file/d/1bbOr5sJJaSFgt-aKadq5yMvKA8ywD97U/view?usp=drivesdk</v>
      </c>
      <c r="R785" s="198" t="s">
        <v>3653</v>
      </c>
      <c r="S785" s="198" t="s">
        <v>3654</v>
      </c>
      <c r="T785" s="190"/>
      <c r="U785" s="758">
        <v>1.0</v>
      </c>
      <c r="V785" s="198" t="str">
        <f t="shared" si="43"/>
        <v>10.1098--rsos.231240.pdf</v>
      </c>
      <c r="W785" s="198" t="s">
        <v>3726</v>
      </c>
      <c r="X785" s="1169" t="str">
        <f t="array" ref="X785"> if(iserror(MATCH(V785, 'File Links'!C:C, 0)), "N/A", HYPERLINK(INDEX('File Links'!B:B, MATCH(V785, 'File Links'!C:C, 0))))</f>
        <v>https://drive.google.com/file/d/17gaf2Zy_ljFfcAEDk5L8GBnTl5i7RGJE/view?usp=drivesdk</v>
      </c>
      <c r="Y785" s="190"/>
      <c r="Z785" s="198" t="s">
        <v>226</v>
      </c>
      <c r="AA785" s="198" t="s">
        <v>4278</v>
      </c>
      <c r="AB785" s="198" t="s">
        <v>4279</v>
      </c>
      <c r="AC785" s="198" t="s">
        <v>4290</v>
      </c>
      <c r="AD785" s="198" t="s">
        <v>4291</v>
      </c>
      <c r="AE785" s="1172">
        <v>45908.0</v>
      </c>
      <c r="AF785" s="758">
        <v>350.0</v>
      </c>
      <c r="AG785" s="750">
        <v>0.029</v>
      </c>
      <c r="AH785" s="758" t="s">
        <v>139</v>
      </c>
      <c r="AI785" s="750" t="s">
        <v>628</v>
      </c>
      <c r="AJ785" s="1128">
        <v>0.001</v>
      </c>
      <c r="AK785" s="58" t="s">
        <v>172</v>
      </c>
      <c r="AL785" s="58" t="s">
        <v>218</v>
      </c>
      <c r="AM785" s="198" t="s">
        <v>141</v>
      </c>
      <c r="AN785" s="374" t="s">
        <v>138</v>
      </c>
      <c r="AO785" s="758">
        <v>208.0</v>
      </c>
      <c r="AP785" s="750">
        <v>0.849</v>
      </c>
      <c r="AQ785" s="758" t="s">
        <v>987</v>
      </c>
      <c r="AR785" s="750" t="s">
        <v>2229</v>
      </c>
      <c r="AS785" s="758">
        <v>0.191</v>
      </c>
      <c r="AT785" s="198" t="s">
        <v>172</v>
      </c>
      <c r="AU785" s="198" t="s">
        <v>186</v>
      </c>
      <c r="AV785" s="198" t="s">
        <v>141</v>
      </c>
      <c r="AW785" s="147" t="s">
        <v>138</v>
      </c>
      <c r="AX785" s="190" t="s">
        <v>143</v>
      </c>
      <c r="AY785" s="61" t="str">
        <f>IFERROR(__xludf.DUMMYFUNCTION("vlookup(BB785,importrange(""https://docs.google.com/spreadsheets/d/1d2vevQ_7D_v35q4wCQ4RpQ_IPoTwEMB9Yp6ymwlPqew/edit?gid=984458430#gid=984458430"", ""'replication success'!A:K""), 11, FAlSE)"),"failed")</f>
        <v>failed</v>
      </c>
      <c r="AZ785" s="61" t="str">
        <f>IFERROR(__xludf.DUMMYFUNCTION("vlookup(BB785,importrange(""https://docs.google.com/spreadsheets/d/1d2vevQ_7D_v35q4wCQ4RpQ_IPoTwEMB9Yp6ymwlPqew/edit?gid=984458430#gid=984458430"",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785" s="61" t="str">
        <f>IFERROR(__xludf.DUMMYFUNCTION("vlookup(BB785,importrange(""https://docs.google.com/spreadsheets/d/1d2vevQ_7D_v35q4wCQ4RpQ_IPoTwEMB9Yp6ymwlPqew/edit?gid=984458430#gid=984458430"",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43041549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v>
      </c>
      <c r="BB785" s="61" t="str">
        <f>IFERROR(__xludf.DUMMYFUNCTION("REGEXREPLACE(G785, ""_[a-z]{1,2}$"", """")"),"Boyce_etal2023125_1")</f>
        <v>Boyce_etal2023125_1</v>
      </c>
      <c r="BC785" s="189"/>
      <c r="BD785" s="190" t="s">
        <v>153</v>
      </c>
      <c r="BE785" s="189"/>
      <c r="BF785" s="189"/>
      <c r="BG785" s="189"/>
      <c r="BH785" s="189"/>
      <c r="BI785" s="189"/>
      <c r="BJ785" s="189"/>
      <c r="BK785" s="189"/>
      <c r="BL785" s="189"/>
      <c r="BM785" s="189"/>
      <c r="BN785" s="189"/>
      <c r="BO785" s="189"/>
      <c r="BP785" s="189"/>
      <c r="BQ785" s="189"/>
      <c r="BR785" s="189"/>
      <c r="BS785" s="189"/>
      <c r="BT785" s="189"/>
      <c r="BU785" s="189"/>
      <c r="BV785" s="189"/>
      <c r="BW785" s="189"/>
      <c r="BX785" s="189"/>
      <c r="BY785" s="189"/>
      <c r="BZ785" s="189"/>
      <c r="CA785" s="189"/>
      <c r="CB785" s="189"/>
      <c r="CC785" s="189"/>
      <c r="CD785" s="189"/>
      <c r="CE785" s="189"/>
      <c r="CF785" s="189"/>
      <c r="CG785" s="189"/>
      <c r="CH785" s="189"/>
      <c r="CI785" s="189"/>
      <c r="CJ785" s="189"/>
      <c r="CK785" s="189"/>
      <c r="CL785" s="189"/>
      <c r="CM785" s="189"/>
      <c r="CN785" s="189"/>
      <c r="CO785" s="189"/>
      <c r="CP785" s="189"/>
      <c r="CQ785" s="189"/>
      <c r="CR785" s="189"/>
      <c r="CS785" s="189"/>
      <c r="CT785" s="189"/>
      <c r="CU785" s="189"/>
      <c r="CV785" s="189"/>
      <c r="CW785" s="189"/>
      <c r="CX785" s="189"/>
      <c r="CY785" s="189"/>
      <c r="CZ785" s="189"/>
      <c r="DA785" s="189"/>
      <c r="DB785" s="189"/>
      <c r="DC785" s="189"/>
      <c r="DD785" s="189"/>
      <c r="DE785" s="189"/>
      <c r="DF785" s="189"/>
      <c r="DG785" s="189"/>
      <c r="DH785" s="189"/>
      <c r="DI785" s="189"/>
      <c r="DJ785" s="189"/>
      <c r="DK785" s="189"/>
      <c r="DL785" s="189"/>
    </row>
    <row r="786">
      <c r="A786" s="328">
        <v>786.0</v>
      </c>
      <c r="B786" s="331" t="s">
        <v>114</v>
      </c>
      <c r="C786" s="325" t="s">
        <v>115</v>
      </c>
      <c r="D786" s="325" t="s">
        <v>248</v>
      </c>
      <c r="E786" s="226"/>
      <c r="F786" s="244" t="s">
        <v>4292</v>
      </c>
      <c r="G786" s="412" t="s">
        <v>4293</v>
      </c>
      <c r="H786" s="244" t="s">
        <v>249</v>
      </c>
      <c r="I786" s="658">
        <v>45670.0</v>
      </c>
      <c r="J786" s="658">
        <v>45692.0</v>
      </c>
      <c r="K786" s="331"/>
      <c r="L786" s="244" t="s">
        <v>3690</v>
      </c>
      <c r="M786" s="244" t="s">
        <v>4294</v>
      </c>
      <c r="N786" s="244" t="s">
        <v>4295</v>
      </c>
      <c r="O786" s="331"/>
      <c r="P786" s="244" t="str">
        <f t="shared" si="37"/>
        <v>10.1177--0956797612444613.pdf</v>
      </c>
      <c r="Q786" s="661" t="str">
        <f t="array" ref="Q786"> if(iserror(MATCH(V786, 'File Links'!C:C, 0)), "N/A", HYPERLINK(INDEX('File Links'!B:B, MATCH(P786, 'File Links'!C:C, 0))))</f>
        <v>https://drive.google.com/file/d/1YxSLKvJhCAZvjLwh2Dxi3CO9YKNSkWkP/view?usp=drivesdk</v>
      </c>
      <c r="R786" s="244" t="s">
        <v>3653</v>
      </c>
      <c r="S786" s="244" t="s">
        <v>3654</v>
      </c>
      <c r="T786" s="331"/>
      <c r="U786" s="334">
        <v>1.0</v>
      </c>
      <c r="V786" s="244" t="str">
        <f t="shared" si="43"/>
        <v>10.1098--rsos.231240.pdf</v>
      </c>
      <c r="W786" s="324" t="s">
        <v>4296</v>
      </c>
      <c r="X786" s="1173" t="str">
        <f t="array" ref="X786"> if(iserror(MATCH(V786, 'File Links'!C:C, 0)), "N/A", HYPERLINK(INDEX('File Links'!B:B, MATCH(V786, 'File Links'!C:C, 0))))</f>
        <v>https://drive.google.com/file/d/17gaf2Zy_ljFfcAEDk5L8GBnTl5i7RGJE/view?usp=drivesdk</v>
      </c>
      <c r="Y786" s="331"/>
      <c r="Z786" s="244" t="s">
        <v>148</v>
      </c>
      <c r="AA786" s="331"/>
      <c r="AB786" s="244" t="s">
        <v>4297</v>
      </c>
      <c r="AC786" s="331"/>
      <c r="AD786" s="244" t="s">
        <v>4298</v>
      </c>
      <c r="AE786" s="1174">
        <v>1259.0</v>
      </c>
      <c r="AF786" s="334">
        <v>18.0</v>
      </c>
      <c r="AG786" s="244" t="s">
        <v>4299</v>
      </c>
      <c r="AH786" s="244" t="s">
        <v>173</v>
      </c>
      <c r="AI786" s="1175" t="s">
        <v>4300</v>
      </c>
      <c r="AJ786" s="1176">
        <v>0.05</v>
      </c>
      <c r="AK786" s="412" t="s">
        <v>135</v>
      </c>
      <c r="AL786" s="412" t="s">
        <v>186</v>
      </c>
      <c r="AM786" s="244" t="s">
        <v>141</v>
      </c>
      <c r="AN786" s="330" t="s">
        <v>138</v>
      </c>
      <c r="AO786" s="334">
        <v>45.0</v>
      </c>
      <c r="AP786" s="334">
        <v>0.494916379019953</v>
      </c>
      <c r="AQ786" s="244" t="s">
        <v>173</v>
      </c>
      <c r="AR786" s="331"/>
      <c r="AS786" s="334">
        <v>0.00181562866269216</v>
      </c>
      <c r="AT786" s="244" t="s">
        <v>172</v>
      </c>
      <c r="AU786" s="244" t="s">
        <v>186</v>
      </c>
      <c r="AV786" s="244" t="s">
        <v>141</v>
      </c>
      <c r="AW786" s="147" t="s">
        <v>138</v>
      </c>
      <c r="AX786" s="244" t="s">
        <v>143</v>
      </c>
      <c r="AY786" s="61" t="str">
        <f>IFERROR(__xludf.DUMMYFUNCTION("vlookup(BB786,importrange(""https://docs.google.com/spreadsheets/d/1d2vevQ_7D_v35q4wCQ4RpQ_IPoTwEMB9Yp6ymwlPqew/edit?gid=984458430#gid=984458430"", ""'replication success'!A:K""), 11, FAlSE)"),"#N/A")</f>
        <v>#N/A</v>
      </c>
      <c r="AZ786" s="61" t="str">
        <f>IFERROR(__xludf.DUMMYFUNCTION("vlookup(BB786,importrange(""https://docs.google.com/spreadsheets/d/1d2vevQ_7D_v35q4wCQ4RpQ_IPoTwEMB9Yp6ymwlPqew/edit?gid=984458430#gid=984458430"", ""'replication success'!A:M""), 12, FAlSE)"),"#N/A")</f>
        <v>#N/A</v>
      </c>
      <c r="BA786" s="61" t="str">
        <f>IFERROR(__xludf.DUMMYFUNCTION("vlookup(BB786,importrange(""https://docs.google.com/spreadsheets/d/1d2vevQ_7D_v35q4wCQ4RpQ_IPoTwEMB9Yp6ymwlPqew/edit?gid=984458430#gid=984458430"", ""'replication success'!A:M""), 13, FAlSE)"),"#N/A")</f>
        <v>#N/A</v>
      </c>
      <c r="BB786" s="61" t="str">
        <f>IFERROR(__xludf.DUMMYFUNCTION("REGEXREPLACE(G786, ""_[a-z]{1,2}$"", """")"),"Boyce_etal2023126_1")</f>
        <v>Boyce_etal2023126_1</v>
      </c>
      <c r="BC786" s="226"/>
      <c r="BD786" s="331" t="s">
        <v>153</v>
      </c>
      <c r="BE786" s="226"/>
      <c r="BF786" s="226"/>
      <c r="BG786" s="226"/>
      <c r="BH786" s="226"/>
      <c r="BI786" s="226"/>
      <c r="BJ786" s="226"/>
      <c r="BK786" s="226"/>
      <c r="BL786" s="226"/>
      <c r="BM786" s="226"/>
      <c r="BN786" s="226"/>
      <c r="BO786" s="226"/>
      <c r="BP786" s="226"/>
      <c r="BQ786" s="226"/>
      <c r="BR786" s="226"/>
      <c r="BS786" s="226"/>
      <c r="BT786" s="226"/>
      <c r="BU786" s="226"/>
      <c r="BV786" s="226"/>
      <c r="BW786" s="226"/>
      <c r="BX786" s="226"/>
      <c r="BY786" s="226"/>
      <c r="BZ786" s="226"/>
      <c r="CA786" s="226"/>
      <c r="CB786" s="226"/>
      <c r="CC786" s="226"/>
      <c r="CD786" s="226"/>
      <c r="CE786" s="226"/>
      <c r="CF786" s="226"/>
      <c r="CG786" s="226"/>
      <c r="CH786" s="226"/>
      <c r="CI786" s="226"/>
      <c r="CJ786" s="226"/>
      <c r="CK786" s="226"/>
      <c r="CL786" s="226"/>
      <c r="CM786" s="226"/>
      <c r="CN786" s="226"/>
      <c r="CO786" s="226"/>
      <c r="CP786" s="226"/>
      <c r="CQ786" s="226"/>
      <c r="CR786" s="226"/>
      <c r="CS786" s="226"/>
      <c r="CT786" s="226"/>
      <c r="CU786" s="226"/>
      <c r="CV786" s="226"/>
      <c r="CW786" s="226"/>
      <c r="CX786" s="226"/>
      <c r="CY786" s="226"/>
      <c r="CZ786" s="226"/>
      <c r="DA786" s="226"/>
      <c r="DB786" s="226"/>
      <c r="DC786" s="226"/>
      <c r="DD786" s="226"/>
      <c r="DE786" s="226"/>
      <c r="DF786" s="226"/>
      <c r="DG786" s="226"/>
      <c r="DH786" s="226"/>
      <c r="DI786" s="226"/>
      <c r="DJ786" s="226"/>
      <c r="DK786" s="226"/>
      <c r="DL786" s="226"/>
    </row>
    <row r="787">
      <c r="A787" s="328">
        <v>787.0</v>
      </c>
      <c r="B787" s="331" t="s">
        <v>114</v>
      </c>
      <c r="C787" s="325" t="s">
        <v>115</v>
      </c>
      <c r="D787" s="325" t="s">
        <v>153</v>
      </c>
      <c r="E787" s="226"/>
      <c r="F787" s="331" t="s">
        <v>4293</v>
      </c>
      <c r="G787" s="412" t="s">
        <v>4292</v>
      </c>
      <c r="H787" s="244" t="s">
        <v>153</v>
      </c>
      <c r="I787" s="658">
        <v>45687.0</v>
      </c>
      <c r="J787" s="658">
        <v>45692.0</v>
      </c>
      <c r="K787" s="387" t="s">
        <v>4301</v>
      </c>
      <c r="L787" s="331"/>
      <c r="M787" s="244" t="s">
        <v>4294</v>
      </c>
      <c r="N787" s="244" t="s">
        <v>4295</v>
      </c>
      <c r="O787" s="334">
        <v>1.0</v>
      </c>
      <c r="P787" s="244" t="str">
        <f t="shared" si="37"/>
        <v>10.1177--0956797612444613.pdf</v>
      </c>
      <c r="Q787" s="661" t="str">
        <f t="array" ref="Q787"> if(iserror(MATCH(V787, 'File Links'!C:C, 0)), "N/A", HYPERLINK(INDEX('File Links'!B:B, MATCH(P787, 'File Links'!C:C, 0))))</f>
        <v>https://drive.google.com/file/d/1YxSLKvJhCAZvjLwh2Dxi3CO9YKNSkWkP/view?usp=drivesdk</v>
      </c>
      <c r="R787" s="244" t="s">
        <v>3653</v>
      </c>
      <c r="S787" s="244" t="s">
        <v>3654</v>
      </c>
      <c r="T787" s="331"/>
      <c r="U787" s="334">
        <v>1.0</v>
      </c>
      <c r="V787" s="244" t="str">
        <f t="shared" si="43"/>
        <v>10.1098--rsos.231240.pdf</v>
      </c>
      <c r="W787" s="324" t="s">
        <v>4296</v>
      </c>
      <c r="X787" s="1173" t="str">
        <f t="array" ref="X787"> if(iserror(MATCH(V787, 'File Links'!C:C, 0)), "N/A", HYPERLINK(INDEX('File Links'!B:B, MATCH(V787, 'File Links'!C:C, 0))))</f>
        <v>https://drive.google.com/file/d/17gaf2Zy_ljFfcAEDk5L8GBnTl5i7RGJE/view?usp=drivesdk</v>
      </c>
      <c r="Y787" s="331"/>
      <c r="Z787" s="244" t="s">
        <v>148</v>
      </c>
      <c r="AA787" s="244" t="s">
        <v>4302</v>
      </c>
      <c r="AB787" s="244" t="s">
        <v>4303</v>
      </c>
      <c r="AC787" s="244" t="s">
        <v>4304</v>
      </c>
      <c r="AD787" s="244" t="s">
        <v>4305</v>
      </c>
      <c r="AE787" s="334">
        <v>5.0</v>
      </c>
      <c r="AF787" s="334">
        <v>18.0</v>
      </c>
      <c r="AG787" s="1177">
        <v>0.612825877028341</v>
      </c>
      <c r="AH787" s="334" t="s">
        <v>173</v>
      </c>
      <c r="AI787" s="334" t="s">
        <v>813</v>
      </c>
      <c r="AJ787" s="1176">
        <v>0.05</v>
      </c>
      <c r="AK787" s="412" t="s">
        <v>135</v>
      </c>
      <c r="AL787" s="412" t="s">
        <v>186</v>
      </c>
      <c r="AM787" s="244" t="s">
        <v>141</v>
      </c>
      <c r="AN787" s="330" t="s">
        <v>138</v>
      </c>
      <c r="AO787" s="334">
        <v>45.0</v>
      </c>
      <c r="AP787" s="1178">
        <v>0.494916379019953</v>
      </c>
      <c r="AQ787" s="334" t="s">
        <v>173</v>
      </c>
      <c r="AR787" s="331"/>
      <c r="AS787" s="334">
        <v>0.00181562866269216</v>
      </c>
      <c r="AT787" s="244" t="s">
        <v>172</v>
      </c>
      <c r="AU787" s="244" t="s">
        <v>186</v>
      </c>
      <c r="AV787" s="244" t="s">
        <v>141</v>
      </c>
      <c r="AW787" s="147" t="s">
        <v>138</v>
      </c>
      <c r="AX787" s="331" t="s">
        <v>143</v>
      </c>
      <c r="AY787" s="61" t="str">
        <f>IFERROR(__xludf.DUMMYFUNCTION("vlookup(BB787,importrange(""https://docs.google.com/spreadsheets/d/1d2vevQ_7D_v35q4wCQ4RpQ_IPoTwEMB9Yp6ymwlPqew/edit?gid=984458430#gid=984458430"", ""'replication success'!A:K""), 11, FAlSE)"),"#N/A")</f>
        <v>#N/A</v>
      </c>
      <c r="AZ787" s="61" t="str">
        <f>IFERROR(__xludf.DUMMYFUNCTION("vlookup(BB787,importrange(""https://docs.google.com/spreadsheets/d/1d2vevQ_7D_v35q4wCQ4RpQ_IPoTwEMB9Yp6ymwlPqew/edit?gid=984458430#gid=984458430"", ""'replication success'!A:M""), 12, FAlSE)"),"#N/A")</f>
        <v>#N/A</v>
      </c>
      <c r="BA787" s="61" t="str">
        <f>IFERROR(__xludf.DUMMYFUNCTION("vlookup(BB787,importrange(""https://docs.google.com/spreadsheets/d/1d2vevQ_7D_v35q4wCQ4RpQ_IPoTwEMB9Yp6ymwlPqew/edit?gid=984458430#gid=984458430"", ""'replication success'!A:M""), 13, FAlSE)"),"#N/A")</f>
        <v>#N/A</v>
      </c>
      <c r="BB787" s="61" t="str">
        <f>IFERROR(__xludf.DUMMYFUNCTION("REGEXREPLACE(G787, ""_[a-z]{1,2}$"", """")"),"Boyce_etal2023126")</f>
        <v>Boyce_etal2023126</v>
      </c>
      <c r="BC787" s="226"/>
      <c r="BD787" s="331" t="s">
        <v>153</v>
      </c>
      <c r="BE787" s="226"/>
      <c r="BF787" s="226"/>
      <c r="BG787" s="226"/>
      <c r="BH787" s="226"/>
      <c r="BI787" s="226"/>
      <c r="BJ787" s="226"/>
      <c r="BK787" s="226"/>
      <c r="BL787" s="226"/>
      <c r="BM787" s="226"/>
      <c r="BN787" s="226"/>
      <c r="BO787" s="226"/>
      <c r="BP787" s="226"/>
      <c r="BQ787" s="226"/>
      <c r="BR787" s="226"/>
      <c r="BS787" s="226"/>
      <c r="BT787" s="226"/>
      <c r="BU787" s="226"/>
      <c r="BV787" s="226"/>
      <c r="BW787" s="226"/>
      <c r="BX787" s="226"/>
      <c r="BY787" s="226"/>
      <c r="BZ787" s="226"/>
      <c r="CA787" s="226"/>
      <c r="CB787" s="226"/>
      <c r="CC787" s="226"/>
      <c r="CD787" s="226"/>
      <c r="CE787" s="226"/>
      <c r="CF787" s="226"/>
      <c r="CG787" s="226"/>
      <c r="CH787" s="226"/>
      <c r="CI787" s="226"/>
      <c r="CJ787" s="226"/>
      <c r="CK787" s="226"/>
      <c r="CL787" s="226"/>
      <c r="CM787" s="226"/>
      <c r="CN787" s="226"/>
      <c r="CO787" s="226"/>
      <c r="CP787" s="226"/>
      <c r="CQ787" s="226"/>
      <c r="CR787" s="226"/>
      <c r="CS787" s="226"/>
      <c r="CT787" s="226"/>
      <c r="CU787" s="226"/>
      <c r="CV787" s="226"/>
      <c r="CW787" s="226"/>
      <c r="CX787" s="226"/>
      <c r="CY787" s="226"/>
      <c r="CZ787" s="226"/>
      <c r="DA787" s="226"/>
      <c r="DB787" s="226"/>
      <c r="DC787" s="226"/>
      <c r="DD787" s="226"/>
      <c r="DE787" s="226"/>
      <c r="DF787" s="226"/>
      <c r="DG787" s="226"/>
      <c r="DH787" s="226"/>
      <c r="DI787" s="226"/>
      <c r="DJ787" s="226"/>
      <c r="DK787" s="226"/>
      <c r="DL787" s="226"/>
    </row>
    <row r="788">
      <c r="A788" s="110">
        <v>788.0</v>
      </c>
      <c r="B788" s="111" t="s">
        <v>590</v>
      </c>
      <c r="C788" s="149" t="s">
        <v>115</v>
      </c>
      <c r="D788" s="149" t="s">
        <v>248</v>
      </c>
      <c r="E788" s="71"/>
      <c r="F788" s="122" t="s">
        <v>4306</v>
      </c>
      <c r="G788" s="112" t="s">
        <v>4307</v>
      </c>
      <c r="H788" s="122" t="s">
        <v>249</v>
      </c>
      <c r="I788" s="417">
        <v>45670.0</v>
      </c>
      <c r="J788" s="417">
        <v>45692.0</v>
      </c>
      <c r="K788" s="218" t="s">
        <v>4308</v>
      </c>
      <c r="L788" s="122" t="s">
        <v>4309</v>
      </c>
      <c r="M788" s="122" t="s">
        <v>4310</v>
      </c>
      <c r="N788" s="122" t="s">
        <v>4311</v>
      </c>
      <c r="O788" s="147">
        <v>6.0</v>
      </c>
      <c r="P788" s="122" t="str">
        <f t="shared" si="37"/>
        <v>10.1037--0022-3514.95.2.293.pdf</v>
      </c>
      <c r="Q788" s="1161" t="str">
        <f t="array" ref="Q788"> if(iserror(MATCH(V788, 'File Links'!C:C, 0)), "N/A", HYPERLINK(INDEX('File Links'!B:B, MATCH(P788, 'File Links'!C:C, 0))))</f>
        <v>https://drive.google.com/file/d/1Gkz07e_5xnoHy7zdKAHfWY6layqbA2lX/view?usp=drivesdk</v>
      </c>
      <c r="R788" s="122" t="s">
        <v>3653</v>
      </c>
      <c r="S788" s="122" t="s">
        <v>3654</v>
      </c>
      <c r="T788" s="111"/>
      <c r="U788" s="537">
        <v>1.0</v>
      </c>
      <c r="V788" s="122" t="str">
        <f t="shared" si="43"/>
        <v>10.1098--rsos.231240.pdf</v>
      </c>
      <c r="W788" s="116" t="s">
        <v>3726</v>
      </c>
      <c r="X788" s="1162" t="str">
        <f t="array" ref="X788"> if(iserror(MATCH(V788, 'File Links'!C:C, 0)), "N/A", HYPERLINK(INDEX('File Links'!B:B, MATCH(V788, 'File Links'!C:C, 0))))</f>
        <v>https://drive.google.com/file/d/17gaf2Zy_ljFfcAEDk5L8GBnTl5i7RGJE/view?usp=drivesdk</v>
      </c>
      <c r="Y788" s="111"/>
      <c r="Z788" s="122" t="s">
        <v>226</v>
      </c>
      <c r="AA788" s="1179" t="s">
        <v>4312</v>
      </c>
      <c r="AB788" s="122" t="s">
        <v>4313</v>
      </c>
      <c r="AC788" s="111"/>
      <c r="AD788" s="122" t="s">
        <v>4314</v>
      </c>
      <c r="AE788" s="1106">
        <v>302.0</v>
      </c>
      <c r="AF788" s="537">
        <v>120.0</v>
      </c>
      <c r="AG788" s="537">
        <v>4.15</v>
      </c>
      <c r="AH788" s="122" t="s">
        <v>1031</v>
      </c>
      <c r="AI788" s="779" t="s">
        <v>4315</v>
      </c>
      <c r="AJ788" s="366">
        <v>0.05</v>
      </c>
      <c r="AK788" s="112" t="s">
        <v>135</v>
      </c>
      <c r="AL788" s="112" t="s">
        <v>136</v>
      </c>
      <c r="AM788" s="122" t="s">
        <v>141</v>
      </c>
      <c r="AN788" s="147" t="s">
        <v>138</v>
      </c>
      <c r="AO788" s="537">
        <v>226.0</v>
      </c>
      <c r="AP788" s="1106">
        <v>10.275</v>
      </c>
      <c r="AQ788" s="779" t="s">
        <v>1031</v>
      </c>
      <c r="AR788" s="111"/>
      <c r="AS788" s="537">
        <v>0.002</v>
      </c>
      <c r="AT788" s="122" t="s">
        <v>172</v>
      </c>
      <c r="AU788" s="122" t="s">
        <v>136</v>
      </c>
      <c r="AV788" s="122" t="s">
        <v>141</v>
      </c>
      <c r="AW788" s="129" t="s">
        <v>138</v>
      </c>
      <c r="AX788" s="779" t="s">
        <v>143</v>
      </c>
      <c r="AY788" s="61" t="str">
        <f>IFERROR(__xludf.DUMMYFUNCTION("vlookup(BB788,importrange(""https://docs.google.com/spreadsheets/d/1d2vevQ_7D_v35q4wCQ4RpQ_IPoTwEMB9Yp6ymwlPqew/edit?gid=984458430#gid=984458430"", ""'replication success'!A:K""), 11, FAlSE)"),"#N/A")</f>
        <v>#N/A</v>
      </c>
      <c r="AZ788" s="61" t="str">
        <f>IFERROR(__xludf.DUMMYFUNCTION("vlookup(BB788,importrange(""https://docs.google.com/spreadsheets/d/1d2vevQ_7D_v35q4wCQ4RpQ_IPoTwEMB9Yp6ymwlPqew/edit?gid=984458430#gid=984458430"", ""'replication success'!A:M""), 12, FAlSE)"),"#N/A")</f>
        <v>#N/A</v>
      </c>
      <c r="BA788" s="61" t="str">
        <f>IFERROR(__xludf.DUMMYFUNCTION("vlookup(BB788,importrange(""https://docs.google.com/spreadsheets/d/1d2vevQ_7D_v35q4wCQ4RpQ_IPoTwEMB9Yp6ymwlPqew/edit?gid=984458430#gid=984458430"", ""'replication success'!A:M""), 13, FAlSE)"),"#N/A")</f>
        <v>#N/A</v>
      </c>
      <c r="BB788" s="61" t="str">
        <f>IFERROR(__xludf.DUMMYFUNCTION("REGEXREPLACE(G788, ""_[a-z]{1,2}$"", """")"),"Boyce_etal2023127_1")</f>
        <v>Boyce_etal2023127_1</v>
      </c>
      <c r="BC788" s="71"/>
      <c r="BD788" s="111" t="s">
        <v>153</v>
      </c>
      <c r="BE788" s="71"/>
      <c r="BF788" s="71"/>
      <c r="BG788" s="71"/>
      <c r="BH788" s="71"/>
      <c r="BI788" s="71"/>
      <c r="BJ788" s="71"/>
      <c r="BK788" s="71"/>
      <c r="BL788" s="71"/>
      <c r="BM788" s="71"/>
      <c r="BN788" s="71"/>
      <c r="BO788" s="71"/>
      <c r="BP788" s="71"/>
      <c r="BQ788" s="71"/>
      <c r="BR788" s="71"/>
      <c r="BS788" s="71"/>
      <c r="BT788" s="71"/>
      <c r="BU788" s="71"/>
      <c r="BV788" s="71"/>
      <c r="BW788" s="71"/>
      <c r="BX788" s="71"/>
      <c r="BY788" s="71"/>
      <c r="BZ788" s="71"/>
      <c r="CA788" s="71"/>
      <c r="CB788" s="71"/>
      <c r="CC788" s="71"/>
      <c r="CD788" s="71"/>
      <c r="CE788" s="71"/>
      <c r="CF788" s="71"/>
      <c r="CG788" s="71"/>
      <c r="CH788" s="71"/>
      <c r="CI788" s="71"/>
      <c r="CJ788" s="71"/>
      <c r="CK788" s="71"/>
      <c r="CL788" s="71"/>
      <c r="CM788" s="71"/>
      <c r="CN788" s="71"/>
      <c r="CO788" s="71"/>
      <c r="CP788" s="71"/>
      <c r="CQ788" s="71"/>
      <c r="CR788" s="71"/>
      <c r="CS788" s="71"/>
      <c r="CT788" s="71"/>
      <c r="CU788" s="71"/>
      <c r="CV788" s="71"/>
      <c r="CW788" s="71"/>
      <c r="CX788" s="71"/>
      <c r="CY788" s="71"/>
      <c r="CZ788" s="71"/>
      <c r="DA788" s="71"/>
      <c r="DB788" s="71"/>
      <c r="DC788" s="71"/>
      <c r="DD788" s="71"/>
      <c r="DE788" s="71"/>
      <c r="DF788" s="71"/>
      <c r="DG788" s="71"/>
      <c r="DH788" s="71"/>
      <c r="DI788" s="71"/>
      <c r="DJ788" s="71"/>
      <c r="DK788" s="71"/>
      <c r="DL788" s="71"/>
    </row>
    <row r="789">
      <c r="A789" s="110">
        <v>789.0</v>
      </c>
      <c r="B789" s="147" t="s">
        <v>152</v>
      </c>
      <c r="C789" s="149" t="s">
        <v>115</v>
      </c>
      <c r="D789" s="149" t="s">
        <v>153</v>
      </c>
      <c r="E789" s="71"/>
      <c r="F789" s="111" t="s">
        <v>4307</v>
      </c>
      <c r="G789" s="112" t="s">
        <v>4316</v>
      </c>
      <c r="H789" s="122" t="s">
        <v>153</v>
      </c>
      <c r="I789" s="417">
        <v>45687.0</v>
      </c>
      <c r="J789" s="417">
        <v>45692.0</v>
      </c>
      <c r="K789" s="218" t="s">
        <v>4317</v>
      </c>
      <c r="L789" s="111"/>
      <c r="M789" s="122" t="s">
        <v>4310</v>
      </c>
      <c r="N789" s="122" t="s">
        <v>4311</v>
      </c>
      <c r="O789" s="537">
        <v>6.0</v>
      </c>
      <c r="P789" s="122" t="str">
        <f t="shared" si="37"/>
        <v>10.1037--0022-3514.95.2.293.pdf</v>
      </c>
      <c r="Q789" s="1161" t="str">
        <f t="array" ref="Q789"> if(iserror(MATCH(V789, 'File Links'!C:C, 0)), "N/A", HYPERLINK(INDEX('File Links'!B:B, MATCH(P789, 'File Links'!C:C, 0))))</f>
        <v>https://drive.google.com/file/d/1Gkz07e_5xnoHy7zdKAHfWY6layqbA2lX/view?usp=drivesdk</v>
      </c>
      <c r="R789" s="122" t="s">
        <v>3653</v>
      </c>
      <c r="S789" s="122" t="s">
        <v>3654</v>
      </c>
      <c r="T789" s="780" t="s">
        <v>4318</v>
      </c>
      <c r="U789" s="537">
        <v>1.0</v>
      </c>
      <c r="V789" s="122" t="str">
        <f t="shared" si="43"/>
        <v>10.1098--rsos.231240.pdf</v>
      </c>
      <c r="W789" s="116" t="s">
        <v>3726</v>
      </c>
      <c r="X789" s="1162" t="str">
        <f t="array" ref="X789"> if(iserror(MATCH(V789, 'File Links'!C:C, 0)), "N/A", HYPERLINK(INDEX('File Links'!B:B, MATCH(V789, 'File Links'!C:C, 0))))</f>
        <v>https://drive.google.com/file/d/17gaf2Zy_ljFfcAEDk5L8GBnTl5i7RGJE/view?usp=drivesdk</v>
      </c>
      <c r="Y789" s="111"/>
      <c r="Z789" s="122" t="s">
        <v>226</v>
      </c>
      <c r="AA789" s="1179" t="s">
        <v>4312</v>
      </c>
      <c r="AB789" s="122" t="s">
        <v>4313</v>
      </c>
      <c r="AC789" s="122" t="s">
        <v>4319</v>
      </c>
      <c r="AD789" s="122" t="s">
        <v>4320</v>
      </c>
      <c r="AE789" s="537">
        <v>10.0</v>
      </c>
      <c r="AF789" s="537">
        <v>120.0</v>
      </c>
      <c r="AG789" s="537" t="s">
        <v>4321</v>
      </c>
      <c r="AH789" s="537" t="s">
        <v>134</v>
      </c>
      <c r="AI789" s="537" t="s">
        <v>632</v>
      </c>
      <c r="AJ789" s="366">
        <v>0.001</v>
      </c>
      <c r="AK789" s="112" t="s">
        <v>135</v>
      </c>
      <c r="AL789" s="112" t="s">
        <v>136</v>
      </c>
      <c r="AM789" s="122" t="s">
        <v>141</v>
      </c>
      <c r="AN789" s="147" t="s">
        <v>138</v>
      </c>
      <c r="AO789" s="537">
        <v>226.0</v>
      </c>
      <c r="AP789" s="537" t="s">
        <v>4322</v>
      </c>
      <c r="AQ789" s="537" t="s">
        <v>134</v>
      </c>
      <c r="AR789" s="1180" t="s">
        <v>4323</v>
      </c>
      <c r="AS789" s="537">
        <v>0.002</v>
      </c>
      <c r="AT789" s="122" t="s">
        <v>172</v>
      </c>
      <c r="AU789" s="122" t="s">
        <v>136</v>
      </c>
      <c r="AV789" s="122" t="s">
        <v>141</v>
      </c>
      <c r="AW789" s="129" t="s">
        <v>138</v>
      </c>
      <c r="AX789" s="111" t="s">
        <v>151</v>
      </c>
      <c r="AY789" s="61" t="str">
        <f>IFERROR(__xludf.DUMMYFUNCTION("vlookup(BB789,importrange(""https://docs.google.com/spreadsheets/d/1d2vevQ_7D_v35q4wCQ4RpQ_IPoTwEMB9Yp6ymwlPqew/edit?gid=984458430#gid=984458430"", ""'replication success'!A:K""), 11, FAlSE)"),"#N/A")</f>
        <v>#N/A</v>
      </c>
      <c r="AZ789" s="61" t="str">
        <f>IFERROR(__xludf.DUMMYFUNCTION("vlookup(BB789,importrange(""https://docs.google.com/spreadsheets/d/1d2vevQ_7D_v35q4wCQ4RpQ_IPoTwEMB9Yp6ymwlPqew/edit?gid=984458430#gid=984458430"", ""'replication success'!A:M""), 12, FAlSE)"),"#N/A")</f>
        <v>#N/A</v>
      </c>
      <c r="BA789" s="61" t="str">
        <f>IFERROR(__xludf.DUMMYFUNCTION("vlookup(BB789,importrange(""https://docs.google.com/spreadsheets/d/1d2vevQ_7D_v35q4wCQ4RpQ_IPoTwEMB9Yp6ymwlPqew/edit?gid=984458430#gid=984458430"", ""'replication success'!A:M""), 13, FAlSE)"),"#N/A")</f>
        <v>#N/A</v>
      </c>
      <c r="BB789" s="61" t="str">
        <f>IFERROR(__xludf.DUMMYFUNCTION("REGEXREPLACE(G789, ""_[a-z]{1,2}$"", """")"),"Boyce_etal2023127_1")</f>
        <v>Boyce_etal2023127_1</v>
      </c>
      <c r="BC789" s="71"/>
      <c r="BD789" s="111" t="s">
        <v>153</v>
      </c>
      <c r="BE789" s="71"/>
      <c r="BF789" s="71"/>
      <c r="BG789" s="71"/>
      <c r="BH789" s="71"/>
      <c r="BI789" s="71"/>
      <c r="BJ789" s="71"/>
      <c r="BK789" s="71"/>
      <c r="BL789" s="71"/>
      <c r="BM789" s="71"/>
      <c r="BN789" s="71"/>
      <c r="BO789" s="71"/>
      <c r="BP789" s="71"/>
      <c r="BQ789" s="71"/>
      <c r="BR789" s="71"/>
      <c r="BS789" s="71"/>
      <c r="BT789" s="71"/>
      <c r="BU789" s="71"/>
      <c r="BV789" s="71"/>
      <c r="BW789" s="71"/>
      <c r="BX789" s="71"/>
      <c r="BY789" s="71"/>
      <c r="BZ789" s="71"/>
      <c r="CA789" s="71"/>
      <c r="CB789" s="71"/>
      <c r="CC789" s="71"/>
      <c r="CD789" s="71"/>
      <c r="CE789" s="71"/>
      <c r="CF789" s="71"/>
      <c r="CG789" s="71"/>
      <c r="CH789" s="71"/>
      <c r="CI789" s="71"/>
      <c r="CJ789" s="71"/>
      <c r="CK789" s="71"/>
      <c r="CL789" s="71"/>
      <c r="CM789" s="71"/>
      <c r="CN789" s="71"/>
      <c r="CO789" s="71"/>
      <c r="CP789" s="71"/>
      <c r="CQ789" s="71"/>
      <c r="CR789" s="71"/>
      <c r="CS789" s="71"/>
      <c r="CT789" s="71"/>
      <c r="CU789" s="71"/>
      <c r="CV789" s="71"/>
      <c r="CW789" s="71"/>
      <c r="CX789" s="71"/>
      <c r="CY789" s="71"/>
      <c r="CZ789" s="71"/>
      <c r="DA789" s="71"/>
      <c r="DB789" s="71"/>
      <c r="DC789" s="71"/>
      <c r="DD789" s="71"/>
      <c r="DE789" s="71"/>
      <c r="DF789" s="71"/>
      <c r="DG789" s="71"/>
      <c r="DH789" s="71"/>
      <c r="DI789" s="71"/>
      <c r="DJ789" s="71"/>
      <c r="DK789" s="71"/>
      <c r="DL789" s="71"/>
    </row>
    <row r="790">
      <c r="A790" s="110">
        <v>790.0</v>
      </c>
      <c r="B790" s="147" t="s">
        <v>152</v>
      </c>
      <c r="C790" s="149" t="s">
        <v>115</v>
      </c>
      <c r="D790" s="149" t="s">
        <v>153</v>
      </c>
      <c r="E790" s="71"/>
      <c r="F790" s="111" t="s">
        <v>4307</v>
      </c>
      <c r="G790" s="112" t="s">
        <v>4324</v>
      </c>
      <c r="H790" s="122" t="s">
        <v>153</v>
      </c>
      <c r="I790" s="417">
        <v>45687.0</v>
      </c>
      <c r="J790" s="417">
        <v>45692.0</v>
      </c>
      <c r="K790" s="218" t="s">
        <v>4317</v>
      </c>
      <c r="L790" s="111"/>
      <c r="M790" s="122" t="s">
        <v>4310</v>
      </c>
      <c r="N790" s="147" t="s">
        <v>4311</v>
      </c>
      <c r="O790" s="537">
        <v>6.0</v>
      </c>
      <c r="P790" s="122" t="str">
        <f t="shared" si="37"/>
        <v>10.1037--0022-3514.95.2.293.pdf</v>
      </c>
      <c r="Q790" s="1161" t="str">
        <f t="array" ref="Q790"> if(iserror(MATCH(V790, 'File Links'!C:C, 0)), "N/A", HYPERLINK(INDEX('File Links'!B:B, MATCH(P790, 'File Links'!C:C, 0))))</f>
        <v>https://drive.google.com/file/d/1Gkz07e_5xnoHy7zdKAHfWY6layqbA2lX/view?usp=drivesdk</v>
      </c>
      <c r="R790" s="122" t="s">
        <v>3653</v>
      </c>
      <c r="S790" s="122" t="s">
        <v>3654</v>
      </c>
      <c r="T790" s="780" t="s">
        <v>4318</v>
      </c>
      <c r="U790" s="537">
        <v>1.0</v>
      </c>
      <c r="V790" s="122" t="str">
        <f t="shared" si="43"/>
        <v>10.1098--rsos.231240.pdf</v>
      </c>
      <c r="W790" s="116" t="s">
        <v>3726</v>
      </c>
      <c r="X790" s="1162" t="str">
        <f t="array" ref="X790"> if(iserror(MATCH(V790, 'File Links'!C:C, 0)), "N/A", HYPERLINK(INDEX('File Links'!B:B, MATCH(V790, 'File Links'!C:C, 0))))</f>
        <v>https://drive.google.com/file/d/17gaf2Zy_ljFfcAEDk5L8GBnTl5i7RGJE/view?usp=drivesdk</v>
      </c>
      <c r="Y790" s="111"/>
      <c r="Z790" s="122" t="s">
        <v>226</v>
      </c>
      <c r="AA790" s="1179" t="s">
        <v>4312</v>
      </c>
      <c r="AB790" s="122" t="s">
        <v>4313</v>
      </c>
      <c r="AC790" s="122" t="s">
        <v>4325</v>
      </c>
      <c r="AD790" s="122" t="s">
        <v>4326</v>
      </c>
      <c r="AE790" s="537">
        <v>10.0</v>
      </c>
      <c r="AF790" s="537">
        <v>120.0</v>
      </c>
      <c r="AG790" s="1109" t="s">
        <v>4327</v>
      </c>
      <c r="AH790" s="537" t="s">
        <v>134</v>
      </c>
      <c r="AI790" s="537" t="s">
        <v>632</v>
      </c>
      <c r="AJ790" s="366">
        <v>0.001</v>
      </c>
      <c r="AK790" s="112" t="s">
        <v>135</v>
      </c>
      <c r="AL790" s="112" t="s">
        <v>136</v>
      </c>
      <c r="AM790" s="122" t="s">
        <v>141</v>
      </c>
      <c r="AN790" s="147" t="s">
        <v>138</v>
      </c>
      <c r="AO790" s="537">
        <v>226.0</v>
      </c>
      <c r="AP790" s="1109" t="s">
        <v>4328</v>
      </c>
      <c r="AQ790" s="537" t="s">
        <v>134</v>
      </c>
      <c r="AR790" s="1180" t="s">
        <v>4329</v>
      </c>
      <c r="AS790" s="537">
        <v>0.48</v>
      </c>
      <c r="AT790" s="122" t="s">
        <v>172</v>
      </c>
      <c r="AU790" s="122" t="s">
        <v>136</v>
      </c>
      <c r="AV790" s="122" t="s">
        <v>141</v>
      </c>
      <c r="AW790" s="129" t="s">
        <v>138</v>
      </c>
      <c r="AX790" s="111" t="s">
        <v>151</v>
      </c>
      <c r="AY790" s="61" t="str">
        <f>IFERROR(__xludf.DUMMYFUNCTION("vlookup(BB790,importrange(""https://docs.google.com/spreadsheets/d/1d2vevQ_7D_v35q4wCQ4RpQ_IPoTwEMB9Yp6ymwlPqew/edit?gid=984458430#gid=984458430"", ""'replication success'!A:K""), 11, FAlSE)"),"#N/A")</f>
        <v>#N/A</v>
      </c>
      <c r="AZ790" s="61" t="str">
        <f>IFERROR(__xludf.DUMMYFUNCTION("vlookup(BB790,importrange(""https://docs.google.com/spreadsheets/d/1d2vevQ_7D_v35q4wCQ4RpQ_IPoTwEMB9Yp6ymwlPqew/edit?gid=984458430#gid=984458430"", ""'replication success'!A:M""), 12, FAlSE)"),"#N/A")</f>
        <v>#N/A</v>
      </c>
      <c r="BA790" s="61" t="str">
        <f>IFERROR(__xludf.DUMMYFUNCTION("vlookup(BB790,importrange(""https://docs.google.com/spreadsheets/d/1d2vevQ_7D_v35q4wCQ4RpQ_IPoTwEMB9Yp6ymwlPqew/edit?gid=984458430#gid=984458430"", ""'replication success'!A:M""), 13, FAlSE)"),"#N/A")</f>
        <v>#N/A</v>
      </c>
      <c r="BB790" s="61" t="str">
        <f>IFERROR(__xludf.DUMMYFUNCTION("REGEXREPLACE(G790, ""_[a-z]{1,2}$"", """")"),"Boyce_etal2023127_1")</f>
        <v>Boyce_etal2023127_1</v>
      </c>
      <c r="BC790" s="71"/>
      <c r="BD790" s="111" t="s">
        <v>153</v>
      </c>
      <c r="BE790" s="71"/>
      <c r="BF790" s="71"/>
      <c r="BG790" s="71"/>
      <c r="BH790" s="71"/>
      <c r="BI790" s="71"/>
      <c r="BJ790" s="71"/>
      <c r="BK790" s="71"/>
      <c r="BL790" s="71"/>
      <c r="BM790" s="71"/>
      <c r="BN790" s="71"/>
      <c r="BO790" s="71"/>
      <c r="BP790" s="71"/>
      <c r="BQ790" s="71"/>
      <c r="BR790" s="71"/>
      <c r="BS790" s="71"/>
      <c r="BT790" s="71"/>
      <c r="BU790" s="71"/>
      <c r="BV790" s="71"/>
      <c r="BW790" s="71"/>
      <c r="BX790" s="71"/>
      <c r="BY790" s="71"/>
      <c r="BZ790" s="71"/>
      <c r="CA790" s="71"/>
      <c r="CB790" s="71"/>
      <c r="CC790" s="71"/>
      <c r="CD790" s="71"/>
      <c r="CE790" s="71"/>
      <c r="CF790" s="71"/>
      <c r="CG790" s="71"/>
      <c r="CH790" s="71"/>
      <c r="CI790" s="71"/>
      <c r="CJ790" s="71"/>
      <c r="CK790" s="71"/>
      <c r="CL790" s="71"/>
      <c r="CM790" s="71"/>
      <c r="CN790" s="71"/>
      <c r="CO790" s="71"/>
      <c r="CP790" s="71"/>
      <c r="CQ790" s="71"/>
      <c r="CR790" s="71"/>
      <c r="CS790" s="71"/>
      <c r="CT790" s="71"/>
      <c r="CU790" s="71"/>
      <c r="CV790" s="71"/>
      <c r="CW790" s="71"/>
      <c r="CX790" s="71"/>
      <c r="CY790" s="71"/>
      <c r="CZ790" s="71"/>
      <c r="DA790" s="71"/>
      <c r="DB790" s="71"/>
      <c r="DC790" s="71"/>
      <c r="DD790" s="71"/>
      <c r="DE790" s="71"/>
      <c r="DF790" s="71"/>
      <c r="DG790" s="71"/>
      <c r="DH790" s="71"/>
      <c r="DI790" s="71"/>
      <c r="DJ790" s="71"/>
      <c r="DK790" s="71"/>
      <c r="DL790" s="71"/>
    </row>
    <row r="791">
      <c r="A791" s="110">
        <v>791.0</v>
      </c>
      <c r="B791" s="147" t="s">
        <v>152</v>
      </c>
      <c r="C791" s="149" t="s">
        <v>115</v>
      </c>
      <c r="D791" s="149" t="s">
        <v>153</v>
      </c>
      <c r="E791" s="71"/>
      <c r="F791" s="111" t="s">
        <v>4307</v>
      </c>
      <c r="G791" s="112" t="s">
        <v>4330</v>
      </c>
      <c r="H791" s="122" t="s">
        <v>153</v>
      </c>
      <c r="I791" s="417">
        <v>45687.0</v>
      </c>
      <c r="J791" s="417">
        <v>45692.0</v>
      </c>
      <c r="K791" s="218" t="s">
        <v>4331</v>
      </c>
      <c r="L791" s="122" t="s">
        <v>4332</v>
      </c>
      <c r="M791" s="122" t="s">
        <v>4310</v>
      </c>
      <c r="N791" s="122" t="s">
        <v>4333</v>
      </c>
      <c r="O791" s="537">
        <v>6.0</v>
      </c>
      <c r="P791" s="122" t="str">
        <f t="shared" si="37"/>
        <v>10.1037--pspi0000081.pdf</v>
      </c>
      <c r="Q791" s="1161" t="str">
        <f t="array" ref="Q791"> if(iserror(MATCH(V791, 'File Links'!C:C, 0)), "N/A", HYPERLINK(INDEX('File Links'!B:B, MATCH(P791, 'File Links'!C:C, 0))))</f>
        <v>https://drive.google.com/file/d/1GTnjtSM79S6hEZLXrpWxGtZd34NCBmBN/view?usp=drivesdk</v>
      </c>
      <c r="R791" s="122" t="s">
        <v>3653</v>
      </c>
      <c r="S791" s="122" t="s">
        <v>3654</v>
      </c>
      <c r="T791" s="780" t="s">
        <v>4318</v>
      </c>
      <c r="U791" s="537">
        <v>1.0</v>
      </c>
      <c r="V791" s="122" t="str">
        <f t="shared" si="43"/>
        <v>10.1098--rsos.231240.pdf</v>
      </c>
      <c r="W791" s="116" t="s">
        <v>3726</v>
      </c>
      <c r="X791" s="1162" t="str">
        <f t="array" ref="X791"> if(iserror(MATCH(V791, 'File Links'!C:C, 0)), "N/A", HYPERLINK(INDEX('File Links'!B:B, MATCH(V791, 'File Links'!C:C, 0))))</f>
        <v>https://drive.google.com/file/d/17gaf2Zy_ljFfcAEDk5L8GBnTl5i7RGJE/view?usp=drivesdk</v>
      </c>
      <c r="Y791" s="111"/>
      <c r="Z791" s="122" t="s">
        <v>226</v>
      </c>
      <c r="AA791" s="1179" t="s">
        <v>4312</v>
      </c>
      <c r="AB791" s="122" t="s">
        <v>4313</v>
      </c>
      <c r="AC791" s="122" t="s">
        <v>4334</v>
      </c>
      <c r="AD791" s="122" t="s">
        <v>4335</v>
      </c>
      <c r="AE791" s="537">
        <v>10.0</v>
      </c>
      <c r="AF791" s="537">
        <v>120.0</v>
      </c>
      <c r="AG791" s="1109" t="s">
        <v>4336</v>
      </c>
      <c r="AH791" s="537" t="s">
        <v>134</v>
      </c>
      <c r="AI791" s="537" t="s">
        <v>632</v>
      </c>
      <c r="AJ791" s="366">
        <v>0.05</v>
      </c>
      <c r="AK791" s="112" t="s">
        <v>135</v>
      </c>
      <c r="AL791" s="112" t="s">
        <v>136</v>
      </c>
      <c r="AM791" s="122" t="s">
        <v>141</v>
      </c>
      <c r="AN791" s="147" t="s">
        <v>138</v>
      </c>
      <c r="AO791" s="537">
        <v>226.0</v>
      </c>
      <c r="AP791" s="1109" t="s">
        <v>4337</v>
      </c>
      <c r="AQ791" s="537" t="s">
        <v>134</v>
      </c>
      <c r="AR791" s="1180" t="s">
        <v>4338</v>
      </c>
      <c r="AS791" s="537">
        <v>0.961</v>
      </c>
      <c r="AT791" s="122" t="s">
        <v>172</v>
      </c>
      <c r="AU791" s="122" t="s">
        <v>136</v>
      </c>
      <c r="AV791" s="122" t="s">
        <v>141</v>
      </c>
      <c r="AW791" s="129" t="s">
        <v>138</v>
      </c>
      <c r="AX791" s="111" t="s">
        <v>151</v>
      </c>
      <c r="AY791" s="61" t="str">
        <f>IFERROR(__xludf.DUMMYFUNCTION("vlookup(BB791,importrange(""https://docs.google.com/spreadsheets/d/1d2vevQ_7D_v35q4wCQ4RpQ_IPoTwEMB9Yp6ymwlPqew/edit?gid=984458430#gid=984458430"", ""'replication success'!A:K""), 11, FAlSE)"),"#N/A")</f>
        <v>#N/A</v>
      </c>
      <c r="AZ791" s="61" t="str">
        <f>IFERROR(__xludf.DUMMYFUNCTION("vlookup(BB791,importrange(""https://docs.google.com/spreadsheets/d/1d2vevQ_7D_v35q4wCQ4RpQ_IPoTwEMB9Yp6ymwlPqew/edit?gid=984458430#gid=984458430"", ""'replication success'!A:M""), 12, FAlSE)"),"#N/A")</f>
        <v>#N/A</v>
      </c>
      <c r="BA791" s="61" t="str">
        <f>IFERROR(__xludf.DUMMYFUNCTION("vlookup(BB791,importrange(""https://docs.google.com/spreadsheets/d/1d2vevQ_7D_v35q4wCQ4RpQ_IPoTwEMB9Yp6ymwlPqew/edit?gid=984458430#gid=984458430"", ""'replication success'!A:M""), 13, FAlSE)"),"#N/A")</f>
        <v>#N/A</v>
      </c>
      <c r="BB791" s="61" t="str">
        <f>IFERROR(__xludf.DUMMYFUNCTION("REGEXREPLACE(G791, ""_[a-z]{1,2}$"", """")"),"Boyce_etal2023127_1")</f>
        <v>Boyce_etal2023127_1</v>
      </c>
      <c r="BC791" s="71"/>
      <c r="BD791" s="111" t="s">
        <v>153</v>
      </c>
      <c r="BE791" s="71"/>
      <c r="BF791" s="71"/>
      <c r="BG791" s="71"/>
      <c r="BH791" s="71"/>
      <c r="BI791" s="71"/>
      <c r="BJ791" s="71"/>
      <c r="BK791" s="71"/>
      <c r="BL791" s="71"/>
      <c r="BM791" s="71"/>
      <c r="BN791" s="71"/>
      <c r="BO791" s="71"/>
      <c r="BP791" s="71"/>
      <c r="BQ791" s="71"/>
      <c r="BR791" s="71"/>
      <c r="BS791" s="71"/>
      <c r="BT791" s="71"/>
      <c r="BU791" s="71"/>
      <c r="BV791" s="71"/>
      <c r="BW791" s="71"/>
      <c r="BX791" s="71"/>
      <c r="BY791" s="71"/>
      <c r="BZ791" s="71"/>
      <c r="CA791" s="71"/>
      <c r="CB791" s="71"/>
      <c r="CC791" s="71"/>
      <c r="CD791" s="71"/>
      <c r="CE791" s="71"/>
      <c r="CF791" s="71"/>
      <c r="CG791" s="71"/>
      <c r="CH791" s="71"/>
      <c r="CI791" s="71"/>
      <c r="CJ791" s="71"/>
      <c r="CK791" s="71"/>
      <c r="CL791" s="71"/>
      <c r="CM791" s="71"/>
      <c r="CN791" s="71"/>
      <c r="CO791" s="71"/>
      <c r="CP791" s="71"/>
      <c r="CQ791" s="71"/>
      <c r="CR791" s="71"/>
      <c r="CS791" s="71"/>
      <c r="CT791" s="71"/>
      <c r="CU791" s="71"/>
      <c r="CV791" s="71"/>
      <c r="CW791" s="71"/>
      <c r="CX791" s="71"/>
      <c r="CY791" s="71"/>
      <c r="CZ791" s="71"/>
      <c r="DA791" s="71"/>
      <c r="DB791" s="71"/>
      <c r="DC791" s="71"/>
      <c r="DD791" s="71"/>
      <c r="DE791" s="71"/>
      <c r="DF791" s="71"/>
      <c r="DG791" s="71"/>
      <c r="DH791" s="71"/>
      <c r="DI791" s="71"/>
      <c r="DJ791" s="71"/>
      <c r="DK791" s="71"/>
      <c r="DL791" s="71"/>
    </row>
    <row r="792">
      <c r="A792" s="328">
        <v>792.0</v>
      </c>
      <c r="B792" s="331" t="s">
        <v>114</v>
      </c>
      <c r="C792" s="325" t="s">
        <v>115</v>
      </c>
      <c r="D792" s="325" t="s">
        <v>248</v>
      </c>
      <c r="E792" s="226"/>
      <c r="F792" s="244" t="s">
        <v>4339</v>
      </c>
      <c r="G792" s="412" t="s">
        <v>4340</v>
      </c>
      <c r="H792" s="244" t="s">
        <v>249</v>
      </c>
      <c r="I792" s="658">
        <v>45670.0</v>
      </c>
      <c r="J792" s="658">
        <v>45692.0</v>
      </c>
      <c r="K792" s="331"/>
      <c r="L792" s="331"/>
      <c r="M792" s="244" t="s">
        <v>4341</v>
      </c>
      <c r="N792" s="244" t="s">
        <v>4333</v>
      </c>
      <c r="O792" s="331"/>
      <c r="P792" s="244" t="str">
        <f t="shared" si="37"/>
        <v>10.1037--pspi0000081.pdf</v>
      </c>
      <c r="Q792" s="661" t="str">
        <f t="array" ref="Q792"> if(iserror(MATCH(V792, 'File Links'!C:C, 0)), "N/A", HYPERLINK(INDEX('File Links'!B:B, MATCH(P792, 'File Links'!C:C, 0))))</f>
        <v>https://drive.google.com/file/d/1GTnjtSM79S6hEZLXrpWxGtZd34NCBmBN/view?usp=drivesdk</v>
      </c>
      <c r="R792" s="244" t="s">
        <v>3653</v>
      </c>
      <c r="S792" s="244" t="s">
        <v>3654</v>
      </c>
      <c r="T792" s="663" t="s">
        <v>4342</v>
      </c>
      <c r="U792" s="334">
        <v>1.0</v>
      </c>
      <c r="V792" s="244" t="str">
        <f t="shared" si="43"/>
        <v>10.1098--rsos.231240.pdf</v>
      </c>
      <c r="W792" s="244" t="s">
        <v>3665</v>
      </c>
      <c r="X792" s="1173" t="str">
        <f t="array" ref="X792"> if(iserror(MATCH(V792, 'File Links'!C:C, 0)), "N/A", HYPERLINK(INDEX('File Links'!B:B, MATCH(V792, 'File Links'!C:C, 0))))</f>
        <v>https://drive.google.com/file/d/17gaf2Zy_ljFfcAEDk5L8GBnTl5i7RGJE/view?usp=drivesdk</v>
      </c>
      <c r="Y792" s="331"/>
      <c r="Z792" s="244" t="s">
        <v>226</v>
      </c>
      <c r="AA792" s="331"/>
      <c r="AB792" s="244" t="s">
        <v>4343</v>
      </c>
      <c r="AC792" s="331"/>
      <c r="AD792" s="244" t="s">
        <v>4344</v>
      </c>
      <c r="AE792" s="334">
        <v>466.0</v>
      </c>
      <c r="AF792" s="334">
        <v>155.0</v>
      </c>
      <c r="AG792" s="244" t="s">
        <v>138</v>
      </c>
      <c r="AH792" s="324" t="s">
        <v>138</v>
      </c>
      <c r="AI792" s="244" t="s">
        <v>4345</v>
      </c>
      <c r="AJ792" s="1176">
        <v>0.91</v>
      </c>
      <c r="AK792" s="412" t="s">
        <v>172</v>
      </c>
      <c r="AL792" s="412" t="s">
        <v>186</v>
      </c>
      <c r="AM792" s="324" t="s">
        <v>137</v>
      </c>
      <c r="AN792" s="666" t="s">
        <v>4346</v>
      </c>
      <c r="AO792" s="334">
        <v>152.0</v>
      </c>
      <c r="AP792" s="244" t="s">
        <v>138</v>
      </c>
      <c r="AQ792" s="331"/>
      <c r="AR792" s="331"/>
      <c r="AS792" s="334">
        <v>0.09</v>
      </c>
      <c r="AT792" s="244" t="s">
        <v>172</v>
      </c>
      <c r="AU792" s="244" t="s">
        <v>186</v>
      </c>
      <c r="AV792" s="324" t="s">
        <v>137</v>
      </c>
      <c r="AW792" s="129" t="s">
        <v>138</v>
      </c>
      <c r="AX792" s="244" t="s">
        <v>143</v>
      </c>
      <c r="AY792" s="61" t="str">
        <f>IFERROR(__xludf.DUMMYFUNCTION("vlookup(BB792,importrange(""https://docs.google.com/spreadsheets/d/1d2vevQ_7D_v35q4wCQ4RpQ_IPoTwEMB9Yp6ymwlPqew/edit?gid=984458430#gid=984458430"", ""'replication success'!A:K""), 11, FAlSE)"),"#N/A")</f>
        <v>#N/A</v>
      </c>
      <c r="AZ792" s="61" t="str">
        <f>IFERROR(__xludf.DUMMYFUNCTION("vlookup(BB792,importrange(""https://docs.google.com/spreadsheets/d/1d2vevQ_7D_v35q4wCQ4RpQ_IPoTwEMB9Yp6ymwlPqew/edit?gid=984458430#gid=984458430"", ""'replication success'!A:M""), 12, FAlSE)"),"#N/A")</f>
        <v>#N/A</v>
      </c>
      <c r="BA792" s="61" t="str">
        <f>IFERROR(__xludf.DUMMYFUNCTION("vlookup(BB792,importrange(""https://docs.google.com/spreadsheets/d/1d2vevQ_7D_v35q4wCQ4RpQ_IPoTwEMB9Yp6ymwlPqew/edit?gid=984458430#gid=984458430"", ""'replication success'!A:M""), 13, FAlSE)"),"#N/A")</f>
        <v>#N/A</v>
      </c>
      <c r="BB792" s="61" t="str">
        <f>IFERROR(__xludf.DUMMYFUNCTION("REGEXREPLACE(G792, ""_[a-z]{1,2}$"", """")"),"Boyce_etal2023128_1")</f>
        <v>Boyce_etal2023128_1</v>
      </c>
      <c r="BC792" s="226"/>
      <c r="BD792" s="331" t="s">
        <v>153</v>
      </c>
      <c r="BE792" s="226"/>
      <c r="BF792" s="226"/>
      <c r="BG792" s="226"/>
      <c r="BH792" s="226"/>
      <c r="BI792" s="226"/>
      <c r="BJ792" s="226"/>
      <c r="BK792" s="226"/>
      <c r="BL792" s="226"/>
      <c r="BM792" s="226"/>
      <c r="BN792" s="226"/>
      <c r="BO792" s="226"/>
      <c r="BP792" s="226"/>
      <c r="BQ792" s="226"/>
      <c r="BR792" s="226"/>
      <c r="BS792" s="226"/>
      <c r="BT792" s="226"/>
      <c r="BU792" s="226"/>
      <c r="BV792" s="226"/>
      <c r="BW792" s="226"/>
      <c r="BX792" s="226"/>
      <c r="BY792" s="226"/>
      <c r="BZ792" s="226"/>
      <c r="CA792" s="226"/>
      <c r="CB792" s="226"/>
      <c r="CC792" s="226"/>
      <c r="CD792" s="226"/>
      <c r="CE792" s="226"/>
      <c r="CF792" s="226"/>
      <c r="CG792" s="226"/>
      <c r="CH792" s="226"/>
      <c r="CI792" s="226"/>
      <c r="CJ792" s="226"/>
      <c r="CK792" s="226"/>
      <c r="CL792" s="226"/>
      <c r="CM792" s="226"/>
      <c r="CN792" s="226"/>
      <c r="CO792" s="226"/>
      <c r="CP792" s="226"/>
      <c r="CQ792" s="226"/>
      <c r="CR792" s="226"/>
      <c r="CS792" s="226"/>
      <c r="CT792" s="226"/>
      <c r="CU792" s="226"/>
      <c r="CV792" s="226"/>
      <c r="CW792" s="226"/>
      <c r="CX792" s="226"/>
      <c r="CY792" s="226"/>
      <c r="CZ792" s="226"/>
      <c r="DA792" s="226"/>
      <c r="DB792" s="226"/>
      <c r="DC792" s="226"/>
      <c r="DD792" s="226"/>
      <c r="DE792" s="226"/>
      <c r="DF792" s="226"/>
      <c r="DG792" s="226"/>
      <c r="DH792" s="226"/>
      <c r="DI792" s="226"/>
      <c r="DJ792" s="226"/>
      <c r="DK792" s="226"/>
      <c r="DL792" s="226"/>
    </row>
    <row r="793">
      <c r="A793" s="328">
        <v>793.0</v>
      </c>
      <c r="B793" s="330" t="s">
        <v>152</v>
      </c>
      <c r="C793" s="325" t="s">
        <v>115</v>
      </c>
      <c r="D793" s="325" t="s">
        <v>153</v>
      </c>
      <c r="E793" s="226"/>
      <c r="F793" s="331" t="s">
        <v>4340</v>
      </c>
      <c r="G793" s="412" t="s">
        <v>4347</v>
      </c>
      <c r="H793" s="244" t="s">
        <v>153</v>
      </c>
      <c r="I793" s="658">
        <v>45687.0</v>
      </c>
      <c r="J793" s="658">
        <v>45692.0</v>
      </c>
      <c r="K793" s="387" t="s">
        <v>4348</v>
      </c>
      <c r="L793" s="1181" t="s">
        <v>4349</v>
      </c>
      <c r="M793" s="244" t="s">
        <v>4341</v>
      </c>
      <c r="N793" s="244" t="s">
        <v>4333</v>
      </c>
      <c r="O793" s="334">
        <v>3.0</v>
      </c>
      <c r="P793" s="244" t="str">
        <f t="shared" si="37"/>
        <v>10.1037--pspi0000081.pdf</v>
      </c>
      <c r="Q793" s="661" t="str">
        <f t="array" ref="Q793"> if(iserror(MATCH(V793, 'File Links'!C:C, 0)), "N/A", HYPERLINK(INDEX('File Links'!B:B, MATCH(P793, 'File Links'!C:C, 0))))</f>
        <v>https://drive.google.com/file/d/1GTnjtSM79S6hEZLXrpWxGtZd34NCBmBN/view?usp=drivesdk</v>
      </c>
      <c r="R793" s="244" t="s">
        <v>3653</v>
      </c>
      <c r="S793" s="244" t="s">
        <v>3654</v>
      </c>
      <c r="T793" s="663" t="s">
        <v>4342</v>
      </c>
      <c r="U793" s="334">
        <v>1.0</v>
      </c>
      <c r="V793" s="244" t="str">
        <f t="shared" si="43"/>
        <v>10.1098--rsos.231240.pdf</v>
      </c>
      <c r="W793" s="244" t="s">
        <v>3671</v>
      </c>
      <c r="X793" s="1173" t="str">
        <f t="array" ref="X793"> if(iserror(MATCH(V793, 'File Links'!C:C, 0)), "N/A", HYPERLINK(INDEX('File Links'!B:B, MATCH(V793, 'File Links'!C:C, 0))))</f>
        <v>https://drive.google.com/file/d/17gaf2Zy_ljFfcAEDk5L8GBnTl5i7RGJE/view?usp=drivesdk</v>
      </c>
      <c r="Y793" s="331"/>
      <c r="Z793" s="244" t="s">
        <v>226</v>
      </c>
      <c r="AA793" s="244" t="s">
        <v>4350</v>
      </c>
      <c r="AB793" s="244" t="s">
        <v>4351</v>
      </c>
      <c r="AC793" s="244" t="s">
        <v>4352</v>
      </c>
      <c r="AD793" s="244" t="s">
        <v>4353</v>
      </c>
      <c r="AE793" s="1178">
        <v>11.0</v>
      </c>
      <c r="AF793" s="334">
        <v>155.0</v>
      </c>
      <c r="AG793" s="1178">
        <v>1.06</v>
      </c>
      <c r="AH793" s="334" t="s">
        <v>987</v>
      </c>
      <c r="AI793" s="1178" t="s">
        <v>307</v>
      </c>
      <c r="AJ793" s="1182">
        <v>0.002</v>
      </c>
      <c r="AK793" s="412" t="s">
        <v>172</v>
      </c>
      <c r="AL793" s="412" t="s">
        <v>186</v>
      </c>
      <c r="AM793" s="324" t="s">
        <v>137</v>
      </c>
      <c r="AN793" s="330" t="s">
        <v>138</v>
      </c>
      <c r="AO793" s="334">
        <v>152.0</v>
      </c>
      <c r="AP793" s="1178">
        <v>-0.9943</v>
      </c>
      <c r="AQ793" s="334" t="s">
        <v>987</v>
      </c>
      <c r="AR793" s="1183" t="s">
        <v>4354</v>
      </c>
      <c r="AS793" s="334">
        <v>0.00662</v>
      </c>
      <c r="AT793" s="244" t="s">
        <v>172</v>
      </c>
      <c r="AU793" s="244" t="s">
        <v>186</v>
      </c>
      <c r="AV793" s="324" t="s">
        <v>137</v>
      </c>
      <c r="AW793" s="129" t="s">
        <v>138</v>
      </c>
      <c r="AX793" s="331" t="s">
        <v>143</v>
      </c>
      <c r="AY793" s="61" t="str">
        <f>IFERROR(__xludf.DUMMYFUNCTION("vlookup(BB793,importrange(""https://docs.google.com/spreadsheets/d/1d2vevQ_7D_v35q4wCQ4RpQ_IPoTwEMB9Yp6ymwlPqew/edit?gid=984458430#gid=984458430"", ""'replication success'!A:K""), 11, FAlSE)"),"#N/A")</f>
        <v>#N/A</v>
      </c>
      <c r="AZ793" s="61" t="str">
        <f>IFERROR(__xludf.DUMMYFUNCTION("vlookup(BB793,importrange(""https://docs.google.com/spreadsheets/d/1d2vevQ_7D_v35q4wCQ4RpQ_IPoTwEMB9Yp6ymwlPqew/edit?gid=984458430#gid=984458430"", ""'replication success'!A:M""), 12, FAlSE)"),"#N/A")</f>
        <v>#N/A</v>
      </c>
      <c r="BA793" s="61" t="str">
        <f>IFERROR(__xludf.DUMMYFUNCTION("vlookup(BB793,importrange(""https://docs.google.com/spreadsheets/d/1d2vevQ_7D_v35q4wCQ4RpQ_IPoTwEMB9Yp6ymwlPqew/edit?gid=984458430#gid=984458430"", ""'replication success'!A:M""), 13, FAlSE)"),"#N/A")</f>
        <v>#N/A</v>
      </c>
      <c r="BB793" s="61" t="str">
        <f>IFERROR(__xludf.DUMMYFUNCTION("REGEXREPLACE(G793, ""_[a-z]{1,2}$"", """")"),"Boyce_etal2023128_1")</f>
        <v>Boyce_etal2023128_1</v>
      </c>
      <c r="BC793" s="226"/>
      <c r="BD793" s="331" t="s">
        <v>153</v>
      </c>
      <c r="BE793" s="226"/>
      <c r="BF793" s="226"/>
      <c r="BG793" s="226"/>
      <c r="BH793" s="226"/>
      <c r="BI793" s="226"/>
      <c r="BJ793" s="226"/>
      <c r="BK793" s="226"/>
      <c r="BL793" s="226"/>
      <c r="BM793" s="226"/>
      <c r="BN793" s="226"/>
      <c r="BO793" s="226"/>
      <c r="BP793" s="226"/>
      <c r="BQ793" s="226"/>
      <c r="BR793" s="226"/>
      <c r="BS793" s="226"/>
      <c r="BT793" s="226"/>
      <c r="BU793" s="226"/>
      <c r="BV793" s="226"/>
      <c r="BW793" s="226"/>
      <c r="BX793" s="226"/>
      <c r="BY793" s="226"/>
      <c r="BZ793" s="226"/>
      <c r="CA793" s="226"/>
      <c r="CB793" s="226"/>
      <c r="CC793" s="226"/>
      <c r="CD793" s="226"/>
      <c r="CE793" s="226"/>
      <c r="CF793" s="226"/>
      <c r="CG793" s="226"/>
      <c r="CH793" s="226"/>
      <c r="CI793" s="226"/>
      <c r="CJ793" s="226"/>
      <c r="CK793" s="226"/>
      <c r="CL793" s="226"/>
      <c r="CM793" s="226"/>
      <c r="CN793" s="226"/>
      <c r="CO793" s="226"/>
      <c r="CP793" s="226"/>
      <c r="CQ793" s="226"/>
      <c r="CR793" s="226"/>
      <c r="CS793" s="226"/>
      <c r="CT793" s="226"/>
      <c r="CU793" s="226"/>
      <c r="CV793" s="226"/>
      <c r="CW793" s="226"/>
      <c r="CX793" s="226"/>
      <c r="CY793" s="226"/>
      <c r="CZ793" s="226"/>
      <c r="DA793" s="226"/>
      <c r="DB793" s="226"/>
      <c r="DC793" s="226"/>
      <c r="DD793" s="226"/>
      <c r="DE793" s="226"/>
      <c r="DF793" s="226"/>
      <c r="DG793" s="226"/>
      <c r="DH793" s="226"/>
      <c r="DI793" s="226"/>
      <c r="DJ793" s="226"/>
      <c r="DK793" s="226"/>
      <c r="DL793" s="226"/>
    </row>
    <row r="794">
      <c r="A794" s="328">
        <v>794.0</v>
      </c>
      <c r="B794" s="330" t="s">
        <v>152</v>
      </c>
      <c r="C794" s="325" t="s">
        <v>115</v>
      </c>
      <c r="D794" s="325" t="s">
        <v>153</v>
      </c>
      <c r="E794" s="226"/>
      <c r="F794" s="331" t="s">
        <v>4340</v>
      </c>
      <c r="G794" s="412" t="s">
        <v>4355</v>
      </c>
      <c r="H794" s="244" t="s">
        <v>153</v>
      </c>
      <c r="I794" s="658">
        <v>45687.0</v>
      </c>
      <c r="J794" s="658">
        <v>45692.0</v>
      </c>
      <c r="K794" s="387" t="s">
        <v>4348</v>
      </c>
      <c r="L794" s="1181" t="s">
        <v>4356</v>
      </c>
      <c r="M794" s="244" t="s">
        <v>4341</v>
      </c>
      <c r="N794" s="244" t="s">
        <v>4333</v>
      </c>
      <c r="O794" s="334">
        <v>3.0</v>
      </c>
      <c r="P794" s="244" t="str">
        <f t="shared" si="37"/>
        <v>10.1037--pspi0000081.pdf</v>
      </c>
      <c r="Q794" s="661" t="str">
        <f t="array" ref="Q794"> if(iserror(MATCH(V794, 'File Links'!C:C, 0)), "N/A", HYPERLINK(INDEX('File Links'!B:B, MATCH(P794, 'File Links'!C:C, 0))))</f>
        <v>https://drive.google.com/file/d/1GTnjtSM79S6hEZLXrpWxGtZd34NCBmBN/view?usp=drivesdk</v>
      </c>
      <c r="R794" s="244" t="s">
        <v>3653</v>
      </c>
      <c r="S794" s="244" t="s">
        <v>3654</v>
      </c>
      <c r="T794" s="663" t="s">
        <v>4342</v>
      </c>
      <c r="U794" s="334">
        <v>1.0</v>
      </c>
      <c r="V794" s="244" t="str">
        <f t="shared" si="43"/>
        <v>10.1098--rsos.231240.pdf</v>
      </c>
      <c r="W794" s="244" t="s">
        <v>3671</v>
      </c>
      <c r="X794" s="1173" t="str">
        <f t="array" ref="X794"> if(iserror(MATCH(V794, 'File Links'!C:C, 0)), "N/A", HYPERLINK(INDEX('File Links'!B:B, MATCH(V794, 'File Links'!C:C, 0))))</f>
        <v>https://drive.google.com/file/d/17gaf2Zy_ljFfcAEDk5L8GBnTl5i7RGJE/view?usp=drivesdk</v>
      </c>
      <c r="Y794" s="331"/>
      <c r="Z794" s="244" t="s">
        <v>226</v>
      </c>
      <c r="AA794" s="244" t="s">
        <v>4350</v>
      </c>
      <c r="AB794" s="244" t="s">
        <v>4351</v>
      </c>
      <c r="AC794" s="244" t="s">
        <v>4357</v>
      </c>
      <c r="AD794" s="244" t="s">
        <v>4358</v>
      </c>
      <c r="AE794" s="1178">
        <v>11.0</v>
      </c>
      <c r="AF794" s="334">
        <v>155.0</v>
      </c>
      <c r="AG794" s="1178">
        <v>-0.31</v>
      </c>
      <c r="AH794" s="334" t="s">
        <v>987</v>
      </c>
      <c r="AI794" s="1178" t="s">
        <v>307</v>
      </c>
      <c r="AJ794" s="1182">
        <v>0.36</v>
      </c>
      <c r="AK794" s="412" t="s">
        <v>172</v>
      </c>
      <c r="AL794" s="412" t="s">
        <v>186</v>
      </c>
      <c r="AM794" s="324" t="s">
        <v>137</v>
      </c>
      <c r="AN794" s="330" t="s">
        <v>138</v>
      </c>
      <c r="AO794" s="334">
        <v>152.0</v>
      </c>
      <c r="AP794" s="1178">
        <v>0.04378</v>
      </c>
      <c r="AQ794" s="334" t="s">
        <v>987</v>
      </c>
      <c r="AR794" s="1184" t="s">
        <v>4359</v>
      </c>
      <c r="AS794" s="334">
        <v>0.90065</v>
      </c>
      <c r="AT794" s="244" t="s">
        <v>172</v>
      </c>
      <c r="AU794" s="244" t="s">
        <v>186</v>
      </c>
      <c r="AV794" s="324" t="s">
        <v>137</v>
      </c>
      <c r="AW794" s="129" t="s">
        <v>138</v>
      </c>
      <c r="AX794" s="331" t="s">
        <v>143</v>
      </c>
      <c r="AY794" s="61" t="str">
        <f>IFERROR(__xludf.DUMMYFUNCTION("vlookup(BB794,importrange(""https://docs.google.com/spreadsheets/d/1d2vevQ_7D_v35q4wCQ4RpQ_IPoTwEMB9Yp6ymwlPqew/edit?gid=984458430#gid=984458430"", ""'replication success'!A:K""), 11, FAlSE)"),"#N/A")</f>
        <v>#N/A</v>
      </c>
      <c r="AZ794" s="61" t="str">
        <f>IFERROR(__xludf.DUMMYFUNCTION("vlookup(BB794,importrange(""https://docs.google.com/spreadsheets/d/1d2vevQ_7D_v35q4wCQ4RpQ_IPoTwEMB9Yp6ymwlPqew/edit?gid=984458430#gid=984458430"", ""'replication success'!A:M""), 12, FAlSE)"),"#N/A")</f>
        <v>#N/A</v>
      </c>
      <c r="BA794" s="61" t="str">
        <f>IFERROR(__xludf.DUMMYFUNCTION("vlookup(BB794,importrange(""https://docs.google.com/spreadsheets/d/1d2vevQ_7D_v35q4wCQ4RpQ_IPoTwEMB9Yp6ymwlPqew/edit?gid=984458430#gid=984458430"", ""'replication success'!A:M""), 13, FAlSE)"),"#N/A")</f>
        <v>#N/A</v>
      </c>
      <c r="BB794" s="61" t="str">
        <f>IFERROR(__xludf.DUMMYFUNCTION("REGEXREPLACE(G794, ""_[a-z]{1,2}$"", """")"),"Boyce_etal2023128_1")</f>
        <v>Boyce_etal2023128_1</v>
      </c>
      <c r="BC794" s="226"/>
      <c r="BD794" s="331" t="s">
        <v>153</v>
      </c>
      <c r="BE794" s="226"/>
      <c r="BF794" s="226"/>
      <c r="BG794" s="226"/>
      <c r="BH794" s="226"/>
      <c r="BI794" s="226"/>
      <c r="BJ794" s="226"/>
      <c r="BK794" s="226"/>
      <c r="BL794" s="226"/>
      <c r="BM794" s="226"/>
      <c r="BN794" s="226"/>
      <c r="BO794" s="226"/>
      <c r="BP794" s="226"/>
      <c r="BQ794" s="226"/>
      <c r="BR794" s="226"/>
      <c r="BS794" s="226"/>
      <c r="BT794" s="226"/>
      <c r="BU794" s="226"/>
      <c r="BV794" s="226"/>
      <c r="BW794" s="226"/>
      <c r="BX794" s="226"/>
      <c r="BY794" s="226"/>
      <c r="BZ794" s="226"/>
      <c r="CA794" s="226"/>
      <c r="CB794" s="226"/>
      <c r="CC794" s="226"/>
      <c r="CD794" s="226"/>
      <c r="CE794" s="226"/>
      <c r="CF794" s="226"/>
      <c r="CG794" s="226"/>
      <c r="CH794" s="226"/>
      <c r="CI794" s="226"/>
      <c r="CJ794" s="226"/>
      <c r="CK794" s="226"/>
      <c r="CL794" s="226"/>
      <c r="CM794" s="226"/>
      <c r="CN794" s="226"/>
      <c r="CO794" s="226"/>
      <c r="CP794" s="226"/>
      <c r="CQ794" s="226"/>
      <c r="CR794" s="226"/>
      <c r="CS794" s="226"/>
      <c r="CT794" s="226"/>
      <c r="CU794" s="226"/>
      <c r="CV794" s="226"/>
      <c r="CW794" s="226"/>
      <c r="CX794" s="226"/>
      <c r="CY794" s="226"/>
      <c r="CZ794" s="226"/>
      <c r="DA794" s="226"/>
      <c r="DB794" s="226"/>
      <c r="DC794" s="226"/>
      <c r="DD794" s="226"/>
      <c r="DE794" s="226"/>
      <c r="DF794" s="226"/>
      <c r="DG794" s="226"/>
      <c r="DH794" s="226"/>
      <c r="DI794" s="226"/>
      <c r="DJ794" s="226"/>
      <c r="DK794" s="226"/>
      <c r="DL794" s="226"/>
    </row>
    <row r="795">
      <c r="A795" s="328">
        <v>795.0</v>
      </c>
      <c r="B795" s="330" t="s">
        <v>152</v>
      </c>
      <c r="C795" s="325" t="s">
        <v>115</v>
      </c>
      <c r="D795" s="325" t="s">
        <v>153</v>
      </c>
      <c r="E795" s="226"/>
      <c r="F795" s="331" t="s">
        <v>4340</v>
      </c>
      <c r="G795" s="412" t="s">
        <v>4360</v>
      </c>
      <c r="H795" s="244" t="s">
        <v>153</v>
      </c>
      <c r="I795" s="658">
        <v>45687.0</v>
      </c>
      <c r="J795" s="658">
        <v>45692.0</v>
      </c>
      <c r="K795" s="387" t="s">
        <v>4348</v>
      </c>
      <c r="L795" s="1181" t="s">
        <v>4361</v>
      </c>
      <c r="M795" s="244" t="s">
        <v>4341</v>
      </c>
      <c r="N795" s="244" t="s">
        <v>4333</v>
      </c>
      <c r="O795" s="334">
        <v>3.0</v>
      </c>
      <c r="P795" s="244" t="str">
        <f t="shared" si="37"/>
        <v>10.1037--pspi0000081.pdf</v>
      </c>
      <c r="Q795" s="661" t="str">
        <f t="array" ref="Q795"> if(iserror(MATCH(V795, 'File Links'!C:C, 0)), "N/A", HYPERLINK(INDEX('File Links'!B:B, MATCH(P795, 'File Links'!C:C, 0))))</f>
        <v>https://drive.google.com/file/d/1GTnjtSM79S6hEZLXrpWxGtZd34NCBmBN/view?usp=drivesdk</v>
      </c>
      <c r="R795" s="244" t="s">
        <v>3653</v>
      </c>
      <c r="S795" s="244" t="s">
        <v>3654</v>
      </c>
      <c r="T795" s="663" t="s">
        <v>4342</v>
      </c>
      <c r="U795" s="334">
        <v>1.0</v>
      </c>
      <c r="V795" s="244" t="str">
        <f t="shared" si="43"/>
        <v>10.1098--rsos.231240.pdf</v>
      </c>
      <c r="W795" s="244" t="s">
        <v>3671</v>
      </c>
      <c r="X795" s="1173" t="str">
        <f t="array" ref="X795"> if(iserror(MATCH(V795, 'File Links'!C:C, 0)), "N/A", HYPERLINK(INDEX('File Links'!B:B, MATCH(V795, 'File Links'!C:C, 0))))</f>
        <v>https://drive.google.com/file/d/17gaf2Zy_ljFfcAEDk5L8GBnTl5i7RGJE/view?usp=drivesdk</v>
      </c>
      <c r="Y795" s="331"/>
      <c r="Z795" s="244" t="s">
        <v>226</v>
      </c>
      <c r="AA795" s="244" t="s">
        <v>4350</v>
      </c>
      <c r="AB795" s="244" t="s">
        <v>4351</v>
      </c>
      <c r="AC795" s="244" t="s">
        <v>4362</v>
      </c>
      <c r="AD795" s="244" t="s">
        <v>4363</v>
      </c>
      <c r="AE795" s="1178">
        <v>11.0</v>
      </c>
      <c r="AF795" s="334">
        <v>155.0</v>
      </c>
      <c r="AG795" s="1178">
        <v>0.87</v>
      </c>
      <c r="AH795" s="334" t="s">
        <v>987</v>
      </c>
      <c r="AI795" s="1178" t="s">
        <v>307</v>
      </c>
      <c r="AJ795" s="1182">
        <v>0.01</v>
      </c>
      <c r="AK795" s="412" t="s">
        <v>172</v>
      </c>
      <c r="AL795" s="412" t="s">
        <v>186</v>
      </c>
      <c r="AM795" s="324" t="s">
        <v>137</v>
      </c>
      <c r="AN795" s="330" t="s">
        <v>138</v>
      </c>
      <c r="AO795" s="334">
        <v>152.0</v>
      </c>
      <c r="AP795" s="1178">
        <v>0.9505</v>
      </c>
      <c r="AQ795" s="334" t="s">
        <v>987</v>
      </c>
      <c r="AR795" s="1184" t="s">
        <v>4364</v>
      </c>
      <c r="AS795" s="334">
        <v>0.00905</v>
      </c>
      <c r="AT795" s="244" t="s">
        <v>172</v>
      </c>
      <c r="AU795" s="244" t="s">
        <v>186</v>
      </c>
      <c r="AV795" s="324" t="s">
        <v>137</v>
      </c>
      <c r="AW795" s="129" t="s">
        <v>138</v>
      </c>
      <c r="AX795" s="331" t="s">
        <v>143</v>
      </c>
      <c r="AY795" s="61" t="str">
        <f>IFERROR(__xludf.DUMMYFUNCTION("vlookup(BB795,importrange(""https://docs.google.com/spreadsheets/d/1d2vevQ_7D_v35q4wCQ4RpQ_IPoTwEMB9Yp6ymwlPqew/edit?gid=984458430#gid=984458430"", ""'replication success'!A:K""), 11, FAlSE)"),"#N/A")</f>
        <v>#N/A</v>
      </c>
      <c r="AZ795" s="61" t="str">
        <f>IFERROR(__xludf.DUMMYFUNCTION("vlookup(BB795,importrange(""https://docs.google.com/spreadsheets/d/1d2vevQ_7D_v35q4wCQ4RpQ_IPoTwEMB9Yp6ymwlPqew/edit?gid=984458430#gid=984458430"", ""'replication success'!A:M""), 12, FAlSE)"),"#N/A")</f>
        <v>#N/A</v>
      </c>
      <c r="BA795" s="61" t="str">
        <f>IFERROR(__xludf.DUMMYFUNCTION("vlookup(BB795,importrange(""https://docs.google.com/spreadsheets/d/1d2vevQ_7D_v35q4wCQ4RpQ_IPoTwEMB9Yp6ymwlPqew/edit?gid=984458430#gid=984458430"", ""'replication success'!A:M""), 13, FAlSE)"),"#N/A")</f>
        <v>#N/A</v>
      </c>
      <c r="BB795" s="61" t="str">
        <f>IFERROR(__xludf.DUMMYFUNCTION("REGEXREPLACE(G795, ""_[a-z]{1,2}$"", """")"),"Boyce_etal2023128_1")</f>
        <v>Boyce_etal2023128_1</v>
      </c>
      <c r="BC795" s="226"/>
      <c r="BD795" s="331" t="s">
        <v>153</v>
      </c>
      <c r="BE795" s="226"/>
      <c r="BF795" s="226"/>
      <c r="BG795" s="226"/>
      <c r="BH795" s="226"/>
      <c r="BI795" s="226"/>
      <c r="BJ795" s="226"/>
      <c r="BK795" s="226"/>
      <c r="BL795" s="226"/>
      <c r="BM795" s="226"/>
      <c r="BN795" s="226"/>
      <c r="BO795" s="226"/>
      <c r="BP795" s="226"/>
      <c r="BQ795" s="226"/>
      <c r="BR795" s="226"/>
      <c r="BS795" s="226"/>
      <c r="BT795" s="226"/>
      <c r="BU795" s="226"/>
      <c r="BV795" s="226"/>
      <c r="BW795" s="226"/>
      <c r="BX795" s="226"/>
      <c r="BY795" s="226"/>
      <c r="BZ795" s="226"/>
      <c r="CA795" s="226"/>
      <c r="CB795" s="226"/>
      <c r="CC795" s="226"/>
      <c r="CD795" s="226"/>
      <c r="CE795" s="226"/>
      <c r="CF795" s="226"/>
      <c r="CG795" s="226"/>
      <c r="CH795" s="226"/>
      <c r="CI795" s="226"/>
      <c r="CJ795" s="226"/>
      <c r="CK795" s="226"/>
      <c r="CL795" s="226"/>
      <c r="CM795" s="226"/>
      <c r="CN795" s="226"/>
      <c r="CO795" s="226"/>
      <c r="CP795" s="226"/>
      <c r="CQ795" s="226"/>
      <c r="CR795" s="226"/>
      <c r="CS795" s="226"/>
      <c r="CT795" s="226"/>
      <c r="CU795" s="226"/>
      <c r="CV795" s="226"/>
      <c r="CW795" s="226"/>
      <c r="CX795" s="226"/>
      <c r="CY795" s="226"/>
      <c r="CZ795" s="226"/>
      <c r="DA795" s="226"/>
      <c r="DB795" s="226"/>
      <c r="DC795" s="226"/>
      <c r="DD795" s="226"/>
      <c r="DE795" s="226"/>
      <c r="DF795" s="226"/>
      <c r="DG795" s="226"/>
      <c r="DH795" s="226"/>
      <c r="DI795" s="226"/>
      <c r="DJ795" s="226"/>
      <c r="DK795" s="226"/>
      <c r="DL795" s="226"/>
    </row>
    <row r="796">
      <c r="A796" s="328">
        <v>796.0</v>
      </c>
      <c r="B796" s="330" t="s">
        <v>152</v>
      </c>
      <c r="C796" s="325" t="s">
        <v>115</v>
      </c>
      <c r="D796" s="325" t="s">
        <v>153</v>
      </c>
      <c r="E796" s="226"/>
      <c r="F796" s="331" t="s">
        <v>4340</v>
      </c>
      <c r="G796" s="412" t="s">
        <v>4365</v>
      </c>
      <c r="H796" s="244" t="s">
        <v>153</v>
      </c>
      <c r="I796" s="658">
        <v>45687.0</v>
      </c>
      <c r="J796" s="658">
        <v>45692.0</v>
      </c>
      <c r="K796" s="387" t="s">
        <v>4348</v>
      </c>
      <c r="L796" s="1181" t="s">
        <v>4366</v>
      </c>
      <c r="M796" s="244" t="s">
        <v>4341</v>
      </c>
      <c r="N796" s="244" t="s">
        <v>4333</v>
      </c>
      <c r="O796" s="334">
        <v>3.0</v>
      </c>
      <c r="P796" s="244" t="str">
        <f t="shared" si="37"/>
        <v>10.1037--pspi0000081.pdf</v>
      </c>
      <c r="Q796" s="661" t="str">
        <f t="array" ref="Q796"> if(iserror(MATCH(V796, 'File Links'!C:C, 0)), "N/A", HYPERLINK(INDEX('File Links'!B:B, MATCH(P796, 'File Links'!C:C, 0))))</f>
        <v>https://drive.google.com/file/d/1GTnjtSM79S6hEZLXrpWxGtZd34NCBmBN/view?usp=drivesdk</v>
      </c>
      <c r="R796" s="244" t="s">
        <v>3653</v>
      </c>
      <c r="S796" s="244" t="s">
        <v>3654</v>
      </c>
      <c r="T796" s="663" t="s">
        <v>4342</v>
      </c>
      <c r="U796" s="334">
        <v>1.0</v>
      </c>
      <c r="V796" s="244" t="str">
        <f t="shared" si="43"/>
        <v>10.1098--rsos.231240.pdf</v>
      </c>
      <c r="W796" s="244" t="s">
        <v>3671</v>
      </c>
      <c r="X796" s="1173" t="str">
        <f t="array" ref="X796"> if(iserror(MATCH(V796, 'File Links'!C:C, 0)), "N/A", HYPERLINK(INDEX('File Links'!B:B, MATCH(V796, 'File Links'!C:C, 0))))</f>
        <v>https://drive.google.com/file/d/17gaf2Zy_ljFfcAEDk5L8GBnTl5i7RGJE/view?usp=drivesdk</v>
      </c>
      <c r="Y796" s="331"/>
      <c r="Z796" s="244" t="s">
        <v>226</v>
      </c>
      <c r="AA796" s="244" t="s">
        <v>4350</v>
      </c>
      <c r="AB796" s="244" t="s">
        <v>4351</v>
      </c>
      <c r="AC796" s="244" t="s">
        <v>4367</v>
      </c>
      <c r="AD796" s="244" t="s">
        <v>4368</v>
      </c>
      <c r="AE796" s="1178">
        <v>11.0</v>
      </c>
      <c r="AF796" s="334">
        <v>155.0</v>
      </c>
      <c r="AG796" s="1178">
        <v>0.04</v>
      </c>
      <c r="AH796" s="334" t="s">
        <v>987</v>
      </c>
      <c r="AI796" s="1178" t="s">
        <v>307</v>
      </c>
      <c r="AJ796" s="1182">
        <v>0.91</v>
      </c>
      <c r="AK796" s="412" t="s">
        <v>172</v>
      </c>
      <c r="AL796" s="412" t="s">
        <v>186</v>
      </c>
      <c r="AM796" s="324" t="s">
        <v>137</v>
      </c>
      <c r="AN796" s="330" t="s">
        <v>138</v>
      </c>
      <c r="AO796" s="334">
        <v>152.0</v>
      </c>
      <c r="AP796" s="1178">
        <v>-0.04378</v>
      </c>
      <c r="AQ796" s="334" t="s">
        <v>987</v>
      </c>
      <c r="AR796" s="1184" t="s">
        <v>4369</v>
      </c>
      <c r="AS796" s="334">
        <v>0.90065</v>
      </c>
      <c r="AT796" s="244" t="s">
        <v>172</v>
      </c>
      <c r="AU796" s="244" t="s">
        <v>186</v>
      </c>
      <c r="AV796" s="324" t="s">
        <v>137</v>
      </c>
      <c r="AW796" s="129" t="s">
        <v>138</v>
      </c>
      <c r="AX796" s="331" t="s">
        <v>143</v>
      </c>
      <c r="AY796" s="61" t="str">
        <f>IFERROR(__xludf.DUMMYFUNCTION("vlookup(BB796,importrange(""https://docs.google.com/spreadsheets/d/1d2vevQ_7D_v35q4wCQ4RpQ_IPoTwEMB9Yp6ymwlPqew/edit?gid=984458430#gid=984458430"", ""'replication success'!A:K""), 11, FAlSE)"),"#N/A")</f>
        <v>#N/A</v>
      </c>
      <c r="AZ796" s="61" t="str">
        <f>IFERROR(__xludf.DUMMYFUNCTION("vlookup(BB796,importrange(""https://docs.google.com/spreadsheets/d/1d2vevQ_7D_v35q4wCQ4RpQ_IPoTwEMB9Yp6ymwlPqew/edit?gid=984458430#gid=984458430"", ""'replication success'!A:M""), 12, FAlSE)"),"#N/A")</f>
        <v>#N/A</v>
      </c>
      <c r="BA796" s="61" t="str">
        <f>IFERROR(__xludf.DUMMYFUNCTION("vlookup(BB796,importrange(""https://docs.google.com/spreadsheets/d/1d2vevQ_7D_v35q4wCQ4RpQ_IPoTwEMB9Yp6ymwlPqew/edit?gid=984458430#gid=984458430"", ""'replication success'!A:M""), 13, FAlSE)"),"#N/A")</f>
        <v>#N/A</v>
      </c>
      <c r="BB796" s="61" t="str">
        <f>IFERROR(__xludf.DUMMYFUNCTION("REGEXREPLACE(G796, ""_[a-z]{1,2}$"", """")"),"Boyce_etal2023128_1")</f>
        <v>Boyce_etal2023128_1</v>
      </c>
      <c r="BC796" s="226"/>
      <c r="BD796" s="331" t="s">
        <v>153</v>
      </c>
      <c r="BE796" s="226"/>
      <c r="BF796" s="226"/>
      <c r="BG796" s="226"/>
      <c r="BH796" s="226"/>
      <c r="BI796" s="226"/>
      <c r="BJ796" s="226"/>
      <c r="BK796" s="226"/>
      <c r="BL796" s="226"/>
      <c r="BM796" s="226"/>
      <c r="BN796" s="226"/>
      <c r="BO796" s="226"/>
      <c r="BP796" s="226"/>
      <c r="BQ796" s="226"/>
      <c r="BR796" s="226"/>
      <c r="BS796" s="226"/>
      <c r="BT796" s="226"/>
      <c r="BU796" s="226"/>
      <c r="BV796" s="226"/>
      <c r="BW796" s="226"/>
      <c r="BX796" s="226"/>
      <c r="BY796" s="226"/>
      <c r="BZ796" s="226"/>
      <c r="CA796" s="226"/>
      <c r="CB796" s="226"/>
      <c r="CC796" s="226"/>
      <c r="CD796" s="226"/>
      <c r="CE796" s="226"/>
      <c r="CF796" s="226"/>
      <c r="CG796" s="226"/>
      <c r="CH796" s="226"/>
      <c r="CI796" s="226"/>
      <c r="CJ796" s="226"/>
      <c r="CK796" s="226"/>
      <c r="CL796" s="226"/>
      <c r="CM796" s="226"/>
      <c r="CN796" s="226"/>
      <c r="CO796" s="226"/>
      <c r="CP796" s="226"/>
      <c r="CQ796" s="226"/>
      <c r="CR796" s="226"/>
      <c r="CS796" s="226"/>
      <c r="CT796" s="226"/>
      <c r="CU796" s="226"/>
      <c r="CV796" s="226"/>
      <c r="CW796" s="226"/>
      <c r="CX796" s="226"/>
      <c r="CY796" s="226"/>
      <c r="CZ796" s="226"/>
      <c r="DA796" s="226"/>
      <c r="DB796" s="226"/>
      <c r="DC796" s="226"/>
      <c r="DD796" s="226"/>
      <c r="DE796" s="226"/>
      <c r="DF796" s="226"/>
      <c r="DG796" s="226"/>
      <c r="DH796" s="226"/>
      <c r="DI796" s="226"/>
      <c r="DJ796" s="226"/>
      <c r="DK796" s="226"/>
      <c r="DL796" s="226"/>
    </row>
    <row r="797">
      <c r="A797" s="328">
        <v>797.0</v>
      </c>
      <c r="B797" s="330" t="s">
        <v>152</v>
      </c>
      <c r="C797" s="325" t="s">
        <v>115</v>
      </c>
      <c r="D797" s="325" t="s">
        <v>153</v>
      </c>
      <c r="E797" s="226"/>
      <c r="F797" s="331" t="s">
        <v>4340</v>
      </c>
      <c r="G797" s="412" t="s">
        <v>4370</v>
      </c>
      <c r="H797" s="244" t="s">
        <v>153</v>
      </c>
      <c r="I797" s="658">
        <v>45687.0</v>
      </c>
      <c r="J797" s="658">
        <v>45692.0</v>
      </c>
      <c r="K797" s="387" t="s">
        <v>4348</v>
      </c>
      <c r="L797" s="1181" t="s">
        <v>4371</v>
      </c>
      <c r="M797" s="244" t="s">
        <v>4341</v>
      </c>
      <c r="N797" s="244" t="s">
        <v>4333</v>
      </c>
      <c r="O797" s="334">
        <v>3.0</v>
      </c>
      <c r="P797" s="244" t="str">
        <f t="shared" si="37"/>
        <v>10.1037--pspi0000081.pdf</v>
      </c>
      <c r="Q797" s="661" t="str">
        <f t="array" ref="Q797"> if(iserror(MATCH(V797, 'File Links'!C:C, 0)), "N/A", HYPERLINK(INDEX('File Links'!B:B, MATCH(P797, 'File Links'!C:C, 0))))</f>
        <v>https://drive.google.com/file/d/1GTnjtSM79S6hEZLXrpWxGtZd34NCBmBN/view?usp=drivesdk</v>
      </c>
      <c r="R797" s="244" t="s">
        <v>3653</v>
      </c>
      <c r="S797" s="244" t="s">
        <v>3654</v>
      </c>
      <c r="T797" s="663" t="s">
        <v>4342</v>
      </c>
      <c r="U797" s="334">
        <v>1.0</v>
      </c>
      <c r="V797" s="244" t="str">
        <f t="shared" si="43"/>
        <v>10.1098--rsos.231240.pdf</v>
      </c>
      <c r="W797" s="244" t="s">
        <v>3671</v>
      </c>
      <c r="X797" s="1173" t="str">
        <f t="array" ref="X797"> if(iserror(MATCH(V797, 'File Links'!C:C, 0)), "N/A", HYPERLINK(INDEX('File Links'!B:B, MATCH(V797, 'File Links'!C:C, 0))))</f>
        <v>https://drive.google.com/file/d/17gaf2Zy_ljFfcAEDk5L8GBnTl5i7RGJE/view?usp=drivesdk</v>
      </c>
      <c r="Y797" s="331"/>
      <c r="Z797" s="244" t="s">
        <v>226</v>
      </c>
      <c r="AA797" s="244" t="s">
        <v>4350</v>
      </c>
      <c r="AB797" s="244" t="s">
        <v>4351</v>
      </c>
      <c r="AC797" s="244" t="s">
        <v>4372</v>
      </c>
      <c r="AD797" s="244" t="s">
        <v>4373</v>
      </c>
      <c r="AE797" s="1178">
        <v>11.0</v>
      </c>
      <c r="AF797" s="334">
        <v>155.0</v>
      </c>
      <c r="AG797" s="1178">
        <v>-1.0</v>
      </c>
      <c r="AH797" s="334" t="s">
        <v>987</v>
      </c>
      <c r="AI797" s="1178" t="s">
        <v>307</v>
      </c>
      <c r="AJ797" s="1182">
        <v>0.002</v>
      </c>
      <c r="AK797" s="412" t="s">
        <v>172</v>
      </c>
      <c r="AL797" s="412" t="s">
        <v>186</v>
      </c>
      <c r="AM797" s="324" t="s">
        <v>137</v>
      </c>
      <c r="AN797" s="330" t="s">
        <v>138</v>
      </c>
      <c r="AO797" s="334">
        <v>152.0</v>
      </c>
      <c r="AP797" s="1178">
        <v>-2.0041</v>
      </c>
      <c r="AQ797" s="334" t="s">
        <v>987</v>
      </c>
      <c r="AR797" s="1184" t="s">
        <v>4374</v>
      </c>
      <c r="AS797" s="334">
        <f>IFERROR(__xludf.DUMMYFUNCTION("4.42 * 10^-9"),4.42E-9)</f>
        <v>0.00000000442</v>
      </c>
      <c r="AT797" s="244" t="s">
        <v>172</v>
      </c>
      <c r="AU797" s="244" t="s">
        <v>186</v>
      </c>
      <c r="AV797" s="324" t="s">
        <v>137</v>
      </c>
      <c r="AW797" s="129" t="s">
        <v>138</v>
      </c>
      <c r="AX797" s="331" t="s">
        <v>143</v>
      </c>
      <c r="AY797" s="61" t="str">
        <f>IFERROR(__xludf.DUMMYFUNCTION("vlookup(BB797,importrange(""https://docs.google.com/spreadsheets/d/1d2vevQ_7D_v35q4wCQ4RpQ_IPoTwEMB9Yp6ymwlPqew/edit?gid=984458430#gid=984458430"", ""'replication success'!A:K""), 11, FAlSE)"),"#N/A")</f>
        <v>#N/A</v>
      </c>
      <c r="AZ797" s="61" t="str">
        <f>IFERROR(__xludf.DUMMYFUNCTION("vlookup(BB797,importrange(""https://docs.google.com/spreadsheets/d/1d2vevQ_7D_v35q4wCQ4RpQ_IPoTwEMB9Yp6ymwlPqew/edit?gid=984458430#gid=984458430"", ""'replication success'!A:M""), 12, FAlSE)"),"#N/A")</f>
        <v>#N/A</v>
      </c>
      <c r="BA797" s="61" t="str">
        <f>IFERROR(__xludf.DUMMYFUNCTION("vlookup(BB797,importrange(""https://docs.google.com/spreadsheets/d/1d2vevQ_7D_v35q4wCQ4RpQ_IPoTwEMB9Yp6ymwlPqew/edit?gid=984458430#gid=984458430"", ""'replication success'!A:M""), 13, FAlSE)"),"#N/A")</f>
        <v>#N/A</v>
      </c>
      <c r="BB797" s="61" t="str">
        <f>IFERROR(__xludf.DUMMYFUNCTION("REGEXREPLACE(G797, ""_[a-z]{1,2}$"", """")"),"Boyce_etal2023128_1")</f>
        <v>Boyce_etal2023128_1</v>
      </c>
      <c r="BC797" s="226"/>
      <c r="BD797" s="331" t="s">
        <v>153</v>
      </c>
      <c r="BE797" s="226"/>
      <c r="BF797" s="226"/>
      <c r="BG797" s="226"/>
      <c r="BH797" s="226"/>
      <c r="BI797" s="226"/>
      <c r="BJ797" s="226"/>
      <c r="BK797" s="226"/>
      <c r="BL797" s="226"/>
      <c r="BM797" s="226"/>
      <c r="BN797" s="226"/>
      <c r="BO797" s="226"/>
      <c r="BP797" s="226"/>
      <c r="BQ797" s="226"/>
      <c r="BR797" s="226"/>
      <c r="BS797" s="226"/>
      <c r="BT797" s="226"/>
      <c r="BU797" s="226"/>
      <c r="BV797" s="226"/>
      <c r="BW797" s="226"/>
      <c r="BX797" s="226"/>
      <c r="BY797" s="226"/>
      <c r="BZ797" s="226"/>
      <c r="CA797" s="226"/>
      <c r="CB797" s="226"/>
      <c r="CC797" s="226"/>
      <c r="CD797" s="226"/>
      <c r="CE797" s="226"/>
      <c r="CF797" s="226"/>
      <c r="CG797" s="226"/>
      <c r="CH797" s="226"/>
      <c r="CI797" s="226"/>
      <c r="CJ797" s="226"/>
      <c r="CK797" s="226"/>
      <c r="CL797" s="226"/>
      <c r="CM797" s="226"/>
      <c r="CN797" s="226"/>
      <c r="CO797" s="226"/>
      <c r="CP797" s="226"/>
      <c r="CQ797" s="226"/>
      <c r="CR797" s="226"/>
      <c r="CS797" s="226"/>
      <c r="CT797" s="226"/>
      <c r="CU797" s="226"/>
      <c r="CV797" s="226"/>
      <c r="CW797" s="226"/>
      <c r="CX797" s="226"/>
      <c r="CY797" s="226"/>
      <c r="CZ797" s="226"/>
      <c r="DA797" s="226"/>
      <c r="DB797" s="226"/>
      <c r="DC797" s="226"/>
      <c r="DD797" s="226"/>
      <c r="DE797" s="226"/>
      <c r="DF797" s="226"/>
      <c r="DG797" s="226"/>
      <c r="DH797" s="226"/>
      <c r="DI797" s="226"/>
      <c r="DJ797" s="226"/>
      <c r="DK797" s="226"/>
      <c r="DL797" s="226"/>
    </row>
    <row r="798">
      <c r="A798" s="328">
        <v>798.0</v>
      </c>
      <c r="B798" s="330" t="s">
        <v>152</v>
      </c>
      <c r="C798" s="325" t="s">
        <v>115</v>
      </c>
      <c r="D798" s="325" t="s">
        <v>153</v>
      </c>
      <c r="E798" s="226"/>
      <c r="F798" s="331" t="s">
        <v>4340</v>
      </c>
      <c r="G798" s="412" t="s">
        <v>4375</v>
      </c>
      <c r="H798" s="244" t="s">
        <v>153</v>
      </c>
      <c r="I798" s="658">
        <v>45687.0</v>
      </c>
      <c r="J798" s="658">
        <v>45692.0</v>
      </c>
      <c r="K798" s="387" t="s">
        <v>4348</v>
      </c>
      <c r="L798" s="1181" t="s">
        <v>4376</v>
      </c>
      <c r="M798" s="244" t="s">
        <v>4341</v>
      </c>
      <c r="N798" s="244" t="s">
        <v>4333</v>
      </c>
      <c r="O798" s="334">
        <v>3.0</v>
      </c>
      <c r="P798" s="244" t="str">
        <f t="shared" si="37"/>
        <v>10.1037--pspi0000081.pdf</v>
      </c>
      <c r="Q798" s="661" t="str">
        <f t="array" ref="Q798"> if(iserror(MATCH(V798, 'File Links'!C:C, 0)), "N/A", HYPERLINK(INDEX('File Links'!B:B, MATCH(P798, 'File Links'!C:C, 0))))</f>
        <v>https://drive.google.com/file/d/1GTnjtSM79S6hEZLXrpWxGtZd34NCBmBN/view?usp=drivesdk</v>
      </c>
      <c r="R798" s="244" t="s">
        <v>3653</v>
      </c>
      <c r="S798" s="244" t="s">
        <v>3654</v>
      </c>
      <c r="T798" s="663" t="s">
        <v>4342</v>
      </c>
      <c r="U798" s="334">
        <v>1.0</v>
      </c>
      <c r="V798" s="244" t="str">
        <f t="shared" si="43"/>
        <v>10.1098--rsos.231240.pdf</v>
      </c>
      <c r="W798" s="244" t="s">
        <v>3671</v>
      </c>
      <c r="X798" s="1173" t="str">
        <f t="array" ref="X798"> if(iserror(MATCH(V798, 'File Links'!C:C, 0)), "N/A", HYPERLINK(INDEX('File Links'!B:B, MATCH(V798, 'File Links'!C:C, 0))))</f>
        <v>https://drive.google.com/file/d/17gaf2Zy_ljFfcAEDk5L8GBnTl5i7RGJE/view?usp=drivesdk</v>
      </c>
      <c r="Y798" s="331"/>
      <c r="Z798" s="244" t="s">
        <v>226</v>
      </c>
      <c r="AA798" s="244" t="s">
        <v>4350</v>
      </c>
      <c r="AB798" s="244" t="s">
        <v>4351</v>
      </c>
      <c r="AC798" s="244" t="s">
        <v>4377</v>
      </c>
      <c r="AD798" s="244" t="s">
        <v>4378</v>
      </c>
      <c r="AE798" s="1178">
        <v>11.0</v>
      </c>
      <c r="AF798" s="334">
        <v>155.0</v>
      </c>
      <c r="AG798" s="1178">
        <v>-1.36</v>
      </c>
      <c r="AH798" s="334" t="s">
        <v>987</v>
      </c>
      <c r="AI798" s="1178" t="s">
        <v>307</v>
      </c>
      <c r="AJ798" s="1182">
        <v>0.001</v>
      </c>
      <c r="AK798" s="412" t="s">
        <v>135</v>
      </c>
      <c r="AL798" s="412" t="s">
        <v>186</v>
      </c>
      <c r="AM798" s="324" t="s">
        <v>137</v>
      </c>
      <c r="AN798" s="330" t="s">
        <v>138</v>
      </c>
      <c r="AO798" s="334">
        <v>152.0</v>
      </c>
      <c r="AP798" s="1178">
        <v>-1.401</v>
      </c>
      <c r="AQ798" s="334" t="s">
        <v>987</v>
      </c>
      <c r="AR798" s="1184" t="s">
        <v>4374</v>
      </c>
      <c r="AS798" s="334">
        <f>IFERROR(__xludf.DUMMYFUNCTION("2.24 * 10^-5"),2.2400000000000002E-5)</f>
        <v>0.0000224</v>
      </c>
      <c r="AT798" s="244" t="s">
        <v>172</v>
      </c>
      <c r="AU798" s="244" t="s">
        <v>186</v>
      </c>
      <c r="AV798" s="324" t="s">
        <v>137</v>
      </c>
      <c r="AW798" s="129" t="s">
        <v>138</v>
      </c>
      <c r="AX798" s="331" t="s">
        <v>143</v>
      </c>
      <c r="AY798" s="61" t="str">
        <f>IFERROR(__xludf.DUMMYFUNCTION("vlookup(BB798,importrange(""https://docs.google.com/spreadsheets/d/1d2vevQ_7D_v35q4wCQ4RpQ_IPoTwEMB9Yp6ymwlPqew/edit?gid=984458430#gid=984458430"", ""'replication success'!A:K""), 11, FAlSE)"),"#N/A")</f>
        <v>#N/A</v>
      </c>
      <c r="AZ798" s="61" t="str">
        <f>IFERROR(__xludf.DUMMYFUNCTION("vlookup(BB798,importrange(""https://docs.google.com/spreadsheets/d/1d2vevQ_7D_v35q4wCQ4RpQ_IPoTwEMB9Yp6ymwlPqew/edit?gid=984458430#gid=984458430"", ""'replication success'!A:M""), 12, FAlSE)"),"#N/A")</f>
        <v>#N/A</v>
      </c>
      <c r="BA798" s="61" t="str">
        <f>IFERROR(__xludf.DUMMYFUNCTION("vlookup(BB798,importrange(""https://docs.google.com/spreadsheets/d/1d2vevQ_7D_v35q4wCQ4RpQ_IPoTwEMB9Yp6ymwlPqew/edit?gid=984458430#gid=984458430"", ""'replication success'!A:M""), 13, FAlSE)"),"#N/A")</f>
        <v>#N/A</v>
      </c>
      <c r="BB798" s="61" t="str">
        <f>IFERROR(__xludf.DUMMYFUNCTION("REGEXREPLACE(G798, ""_[a-z]{1,2}$"", """")"),"Boyce_etal2023128_1")</f>
        <v>Boyce_etal2023128_1</v>
      </c>
      <c r="BC798" s="226"/>
      <c r="BD798" s="331" t="s">
        <v>153</v>
      </c>
      <c r="BE798" s="226"/>
      <c r="BF798" s="226"/>
      <c r="BG798" s="226"/>
      <c r="BH798" s="226"/>
      <c r="BI798" s="226"/>
      <c r="BJ798" s="226"/>
      <c r="BK798" s="226"/>
      <c r="BL798" s="226"/>
      <c r="BM798" s="226"/>
      <c r="BN798" s="226"/>
      <c r="BO798" s="226"/>
      <c r="BP798" s="226"/>
      <c r="BQ798" s="226"/>
      <c r="BR798" s="226"/>
      <c r="BS798" s="226"/>
      <c r="BT798" s="226"/>
      <c r="BU798" s="226"/>
      <c r="BV798" s="226"/>
      <c r="BW798" s="226"/>
      <c r="BX798" s="226"/>
      <c r="BY798" s="226"/>
      <c r="BZ798" s="226"/>
      <c r="CA798" s="226"/>
      <c r="CB798" s="226"/>
      <c r="CC798" s="226"/>
      <c r="CD798" s="226"/>
      <c r="CE798" s="226"/>
      <c r="CF798" s="226"/>
      <c r="CG798" s="226"/>
      <c r="CH798" s="226"/>
      <c r="CI798" s="226"/>
      <c r="CJ798" s="226"/>
      <c r="CK798" s="226"/>
      <c r="CL798" s="226"/>
      <c r="CM798" s="226"/>
      <c r="CN798" s="226"/>
      <c r="CO798" s="226"/>
      <c r="CP798" s="226"/>
      <c r="CQ798" s="226"/>
      <c r="CR798" s="226"/>
      <c r="CS798" s="226"/>
      <c r="CT798" s="226"/>
      <c r="CU798" s="226"/>
      <c r="CV798" s="226"/>
      <c r="CW798" s="226"/>
      <c r="CX798" s="226"/>
      <c r="CY798" s="226"/>
      <c r="CZ798" s="226"/>
      <c r="DA798" s="226"/>
      <c r="DB798" s="226"/>
      <c r="DC798" s="226"/>
      <c r="DD798" s="226"/>
      <c r="DE798" s="226"/>
      <c r="DF798" s="226"/>
      <c r="DG798" s="226"/>
      <c r="DH798" s="226"/>
      <c r="DI798" s="226"/>
      <c r="DJ798" s="226"/>
      <c r="DK798" s="226"/>
      <c r="DL798" s="226"/>
    </row>
    <row r="799">
      <c r="A799" s="328">
        <v>799.0</v>
      </c>
      <c r="B799" s="330" t="s">
        <v>152</v>
      </c>
      <c r="C799" s="325" t="s">
        <v>115</v>
      </c>
      <c r="D799" s="325" t="s">
        <v>153</v>
      </c>
      <c r="E799" s="226"/>
      <c r="F799" s="331" t="s">
        <v>4340</v>
      </c>
      <c r="G799" s="412" t="s">
        <v>4379</v>
      </c>
      <c r="H799" s="244" t="s">
        <v>153</v>
      </c>
      <c r="I799" s="658">
        <v>45687.0</v>
      </c>
      <c r="J799" s="658">
        <v>45692.0</v>
      </c>
      <c r="K799" s="387" t="s">
        <v>4348</v>
      </c>
      <c r="L799" s="1181" t="s">
        <v>4380</v>
      </c>
      <c r="M799" s="244" t="s">
        <v>4341</v>
      </c>
      <c r="N799" s="244" t="s">
        <v>4333</v>
      </c>
      <c r="O799" s="334">
        <v>3.0</v>
      </c>
      <c r="P799" s="244" t="str">
        <f t="shared" si="37"/>
        <v>10.1037--pspi0000081.pdf</v>
      </c>
      <c r="Q799" s="661" t="str">
        <f t="array" ref="Q799"> if(iserror(MATCH(V799, 'File Links'!C:C, 0)), "N/A", HYPERLINK(INDEX('File Links'!B:B, MATCH(P799, 'File Links'!C:C, 0))))</f>
        <v>https://drive.google.com/file/d/1GTnjtSM79S6hEZLXrpWxGtZd34NCBmBN/view?usp=drivesdk</v>
      </c>
      <c r="R799" s="244" t="s">
        <v>3653</v>
      </c>
      <c r="S799" s="244" t="s">
        <v>3654</v>
      </c>
      <c r="T799" s="663" t="s">
        <v>4342</v>
      </c>
      <c r="U799" s="334">
        <v>1.0</v>
      </c>
      <c r="V799" s="244" t="str">
        <f t="shared" si="43"/>
        <v>10.1098--rsos.231240.pdf</v>
      </c>
      <c r="W799" s="244" t="s">
        <v>3671</v>
      </c>
      <c r="X799" s="1173" t="str">
        <f t="array" ref="X799"> if(iserror(MATCH(V799, 'File Links'!C:C, 0)), "N/A", HYPERLINK(INDEX('File Links'!B:B, MATCH(V799, 'File Links'!C:C, 0))))</f>
        <v>https://drive.google.com/file/d/17gaf2Zy_ljFfcAEDk5L8GBnTl5i7RGJE/view?usp=drivesdk</v>
      </c>
      <c r="Y799" s="331"/>
      <c r="Z799" s="244" t="s">
        <v>226</v>
      </c>
      <c r="AA799" s="244" t="s">
        <v>4350</v>
      </c>
      <c r="AB799" s="244" t="s">
        <v>4351</v>
      </c>
      <c r="AC799" s="244" t="s">
        <v>4381</v>
      </c>
      <c r="AD799" s="244" t="s">
        <v>4382</v>
      </c>
      <c r="AE799" s="1178">
        <v>11.0</v>
      </c>
      <c r="AF799" s="334">
        <v>155.0</v>
      </c>
      <c r="AG799" s="1178">
        <v>0.36</v>
      </c>
      <c r="AH799" s="334" t="s">
        <v>987</v>
      </c>
      <c r="AI799" s="1178" t="s">
        <v>307</v>
      </c>
      <c r="AJ799" s="1182">
        <v>0.26</v>
      </c>
      <c r="AK799" s="412" t="s">
        <v>172</v>
      </c>
      <c r="AL799" s="412" t="s">
        <v>186</v>
      </c>
      <c r="AM799" s="324" t="s">
        <v>137</v>
      </c>
      <c r="AN799" s="330" t="s">
        <v>138</v>
      </c>
      <c r="AO799" s="334">
        <v>152.0</v>
      </c>
      <c r="AP799" s="1178">
        <v>-0.603</v>
      </c>
      <c r="AQ799" s="334" t="s">
        <v>987</v>
      </c>
      <c r="AR799" s="1184" t="s">
        <v>4374</v>
      </c>
      <c r="AS799" s="334">
        <v>0.0549</v>
      </c>
      <c r="AT799" s="244" t="s">
        <v>172</v>
      </c>
      <c r="AU799" s="244" t="s">
        <v>186</v>
      </c>
      <c r="AV799" s="324" t="s">
        <v>137</v>
      </c>
      <c r="AW799" s="129" t="s">
        <v>138</v>
      </c>
      <c r="AX799" s="331" t="s">
        <v>143</v>
      </c>
      <c r="AY799" s="61" t="str">
        <f>IFERROR(__xludf.DUMMYFUNCTION("vlookup(BB799,importrange(""https://docs.google.com/spreadsheets/d/1d2vevQ_7D_v35q4wCQ4RpQ_IPoTwEMB9Yp6ymwlPqew/edit?gid=984458430#gid=984458430"", ""'replication success'!A:K""), 11, FAlSE)"),"#N/A")</f>
        <v>#N/A</v>
      </c>
      <c r="AZ799" s="61" t="str">
        <f>IFERROR(__xludf.DUMMYFUNCTION("vlookup(BB799,importrange(""https://docs.google.com/spreadsheets/d/1d2vevQ_7D_v35q4wCQ4RpQ_IPoTwEMB9Yp6ymwlPqew/edit?gid=984458430#gid=984458430"", ""'replication success'!A:M""), 12, FAlSE)"),"#N/A")</f>
        <v>#N/A</v>
      </c>
      <c r="BA799" s="61" t="str">
        <f>IFERROR(__xludf.DUMMYFUNCTION("vlookup(BB799,importrange(""https://docs.google.com/spreadsheets/d/1d2vevQ_7D_v35q4wCQ4RpQ_IPoTwEMB9Yp6ymwlPqew/edit?gid=984458430#gid=984458430"", ""'replication success'!A:M""), 13, FAlSE)"),"#N/A")</f>
        <v>#N/A</v>
      </c>
      <c r="BB799" s="61" t="str">
        <f>IFERROR(__xludf.DUMMYFUNCTION("REGEXREPLACE(G799, ""_[a-z]{1,2}$"", """")"),"Boyce_etal2023128_1")</f>
        <v>Boyce_etal2023128_1</v>
      </c>
      <c r="BC799" s="226"/>
      <c r="BD799" s="331" t="s">
        <v>153</v>
      </c>
      <c r="BE799" s="226"/>
      <c r="BF799" s="226"/>
      <c r="BG799" s="226"/>
      <c r="BH799" s="226"/>
      <c r="BI799" s="226"/>
      <c r="BJ799" s="226"/>
      <c r="BK799" s="226"/>
      <c r="BL799" s="226"/>
      <c r="BM799" s="226"/>
      <c r="BN799" s="226"/>
      <c r="BO799" s="226"/>
      <c r="BP799" s="226"/>
      <c r="BQ799" s="226"/>
      <c r="BR799" s="226"/>
      <c r="BS799" s="226"/>
      <c r="BT799" s="226"/>
      <c r="BU799" s="226"/>
      <c r="BV799" s="226"/>
      <c r="BW799" s="226"/>
      <c r="BX799" s="226"/>
      <c r="BY799" s="226"/>
      <c r="BZ799" s="226"/>
      <c r="CA799" s="226"/>
      <c r="CB799" s="226"/>
      <c r="CC799" s="226"/>
      <c r="CD799" s="226"/>
      <c r="CE799" s="226"/>
      <c r="CF799" s="226"/>
      <c r="CG799" s="226"/>
      <c r="CH799" s="226"/>
      <c r="CI799" s="226"/>
      <c r="CJ799" s="226"/>
      <c r="CK799" s="226"/>
      <c r="CL799" s="226"/>
      <c r="CM799" s="226"/>
      <c r="CN799" s="226"/>
      <c r="CO799" s="226"/>
      <c r="CP799" s="226"/>
      <c r="CQ799" s="226"/>
      <c r="CR799" s="226"/>
      <c r="CS799" s="226"/>
      <c r="CT799" s="226"/>
      <c r="CU799" s="226"/>
      <c r="CV799" s="226"/>
      <c r="CW799" s="226"/>
      <c r="CX799" s="226"/>
      <c r="CY799" s="226"/>
      <c r="CZ799" s="226"/>
      <c r="DA799" s="226"/>
      <c r="DB799" s="226"/>
      <c r="DC799" s="226"/>
      <c r="DD799" s="226"/>
      <c r="DE799" s="226"/>
      <c r="DF799" s="226"/>
      <c r="DG799" s="226"/>
      <c r="DH799" s="226"/>
      <c r="DI799" s="226"/>
      <c r="DJ799" s="226"/>
      <c r="DK799" s="226"/>
      <c r="DL799" s="226"/>
    </row>
    <row r="800">
      <c r="A800" s="328">
        <v>800.0</v>
      </c>
      <c r="B800" s="330" t="s">
        <v>152</v>
      </c>
      <c r="C800" s="325" t="s">
        <v>115</v>
      </c>
      <c r="D800" s="325" t="s">
        <v>153</v>
      </c>
      <c r="E800" s="226"/>
      <c r="F800" s="331" t="s">
        <v>4340</v>
      </c>
      <c r="G800" s="412" t="s">
        <v>4383</v>
      </c>
      <c r="H800" s="244" t="s">
        <v>153</v>
      </c>
      <c r="I800" s="658">
        <v>45687.0</v>
      </c>
      <c r="J800" s="658">
        <v>45692.0</v>
      </c>
      <c r="K800" s="387" t="s">
        <v>4348</v>
      </c>
      <c r="L800" s="1181" t="s">
        <v>4384</v>
      </c>
      <c r="M800" s="244" t="s">
        <v>4341</v>
      </c>
      <c r="N800" s="244" t="s">
        <v>4333</v>
      </c>
      <c r="O800" s="334">
        <v>3.0</v>
      </c>
      <c r="P800" s="244" t="str">
        <f t="shared" si="37"/>
        <v>10.1037--pspi0000081.pdf</v>
      </c>
      <c r="Q800" s="661" t="str">
        <f t="array" ref="Q800"> if(iserror(MATCH(V800, 'File Links'!C:C, 0)), "N/A", HYPERLINK(INDEX('File Links'!B:B, MATCH(P800, 'File Links'!C:C, 0))))</f>
        <v>https://drive.google.com/file/d/1GTnjtSM79S6hEZLXrpWxGtZd34NCBmBN/view?usp=drivesdk</v>
      </c>
      <c r="R800" s="244" t="s">
        <v>3653</v>
      </c>
      <c r="S800" s="244" t="s">
        <v>3654</v>
      </c>
      <c r="T800" s="663" t="s">
        <v>4342</v>
      </c>
      <c r="U800" s="334">
        <v>1.0</v>
      </c>
      <c r="V800" s="244" t="str">
        <f t="shared" si="43"/>
        <v>10.1098--rsos.231240.pdf</v>
      </c>
      <c r="W800" s="244" t="s">
        <v>3671</v>
      </c>
      <c r="X800" s="1173" t="str">
        <f t="array" ref="X800"> if(iserror(MATCH(V800, 'File Links'!C:C, 0)), "N/A", HYPERLINK(INDEX('File Links'!B:B, MATCH(V800, 'File Links'!C:C, 0))))</f>
        <v>https://drive.google.com/file/d/17gaf2Zy_ljFfcAEDk5L8GBnTl5i7RGJE/view?usp=drivesdk</v>
      </c>
      <c r="Y800" s="331"/>
      <c r="Z800" s="244" t="s">
        <v>226</v>
      </c>
      <c r="AA800" s="244" t="s">
        <v>4350</v>
      </c>
      <c r="AB800" s="244" t="s">
        <v>4351</v>
      </c>
      <c r="AC800" s="244" t="s">
        <v>4385</v>
      </c>
      <c r="AD800" s="244" t="s">
        <v>4386</v>
      </c>
      <c r="AE800" s="1178">
        <v>11.0</v>
      </c>
      <c r="AF800" s="334">
        <v>155.0</v>
      </c>
      <c r="AG800" s="1178">
        <v>-0.78</v>
      </c>
      <c r="AH800" s="334" t="s">
        <v>987</v>
      </c>
      <c r="AI800" s="1178" t="s">
        <v>307</v>
      </c>
      <c r="AJ800" s="1182">
        <v>0.02</v>
      </c>
      <c r="AK800" s="412" t="s">
        <v>172</v>
      </c>
      <c r="AL800" s="412" t="s">
        <v>186</v>
      </c>
      <c r="AM800" s="324" t="s">
        <v>137</v>
      </c>
      <c r="AN800" s="330" t="s">
        <v>138</v>
      </c>
      <c r="AO800" s="334">
        <v>152.0</v>
      </c>
      <c r="AP800" s="1178">
        <v>-1.48</v>
      </c>
      <c r="AQ800" s="334" t="s">
        <v>987</v>
      </c>
      <c r="AR800" s="1184" t="s">
        <v>4387</v>
      </c>
      <c r="AS800" s="334">
        <f>IFERROR(__xludf.DUMMYFUNCTION("1.06 * 10^-5"),1.0600000000000002E-5)</f>
        <v>0.0000106</v>
      </c>
      <c r="AT800" s="244" t="s">
        <v>172</v>
      </c>
      <c r="AU800" s="244" t="s">
        <v>186</v>
      </c>
      <c r="AV800" s="324" t="s">
        <v>137</v>
      </c>
      <c r="AW800" s="129" t="s">
        <v>138</v>
      </c>
      <c r="AX800" s="331" t="s">
        <v>143</v>
      </c>
      <c r="AY800" s="61" t="str">
        <f>IFERROR(__xludf.DUMMYFUNCTION("vlookup(BB800,importrange(""https://docs.google.com/spreadsheets/d/1d2vevQ_7D_v35q4wCQ4RpQ_IPoTwEMB9Yp6ymwlPqew/edit?gid=984458430#gid=984458430"", ""'replication success'!A:K""), 11, FAlSE)"),"#N/A")</f>
        <v>#N/A</v>
      </c>
      <c r="AZ800" s="61" t="str">
        <f>IFERROR(__xludf.DUMMYFUNCTION("vlookup(BB800,importrange(""https://docs.google.com/spreadsheets/d/1d2vevQ_7D_v35q4wCQ4RpQ_IPoTwEMB9Yp6ymwlPqew/edit?gid=984458430#gid=984458430"", ""'replication success'!A:M""), 12, FAlSE)"),"#N/A")</f>
        <v>#N/A</v>
      </c>
      <c r="BA800" s="61" t="str">
        <f>IFERROR(__xludf.DUMMYFUNCTION("vlookup(BB800,importrange(""https://docs.google.com/spreadsheets/d/1d2vevQ_7D_v35q4wCQ4RpQ_IPoTwEMB9Yp6ymwlPqew/edit?gid=984458430#gid=984458430"", ""'replication success'!A:M""), 13, FAlSE)"),"#N/A")</f>
        <v>#N/A</v>
      </c>
      <c r="BB800" s="61" t="str">
        <f>IFERROR(__xludf.DUMMYFUNCTION("REGEXREPLACE(G800, ""_[a-z]{1,2}$"", """")"),"Boyce_etal2023128_1")</f>
        <v>Boyce_etal2023128_1</v>
      </c>
      <c r="BC800" s="226"/>
      <c r="BD800" s="331" t="s">
        <v>153</v>
      </c>
      <c r="BE800" s="226"/>
      <c r="BF800" s="226"/>
      <c r="BG800" s="226"/>
      <c r="BH800" s="226"/>
      <c r="BI800" s="226"/>
      <c r="BJ800" s="226"/>
      <c r="BK800" s="226"/>
      <c r="BL800" s="226"/>
      <c r="BM800" s="226"/>
      <c r="BN800" s="226"/>
      <c r="BO800" s="226"/>
      <c r="BP800" s="226"/>
      <c r="BQ800" s="226"/>
      <c r="BR800" s="226"/>
      <c r="BS800" s="226"/>
      <c r="BT800" s="226"/>
      <c r="BU800" s="226"/>
      <c r="BV800" s="226"/>
      <c r="BW800" s="226"/>
      <c r="BX800" s="226"/>
      <c r="BY800" s="226"/>
      <c r="BZ800" s="226"/>
      <c r="CA800" s="226"/>
      <c r="CB800" s="226"/>
      <c r="CC800" s="226"/>
      <c r="CD800" s="226"/>
      <c r="CE800" s="226"/>
      <c r="CF800" s="226"/>
      <c r="CG800" s="226"/>
      <c r="CH800" s="226"/>
      <c r="CI800" s="226"/>
      <c r="CJ800" s="226"/>
      <c r="CK800" s="226"/>
      <c r="CL800" s="226"/>
      <c r="CM800" s="226"/>
      <c r="CN800" s="226"/>
      <c r="CO800" s="226"/>
      <c r="CP800" s="226"/>
      <c r="CQ800" s="226"/>
      <c r="CR800" s="226"/>
      <c r="CS800" s="226"/>
      <c r="CT800" s="226"/>
      <c r="CU800" s="226"/>
      <c r="CV800" s="226"/>
      <c r="CW800" s="226"/>
      <c r="CX800" s="226"/>
      <c r="CY800" s="226"/>
      <c r="CZ800" s="226"/>
      <c r="DA800" s="226"/>
      <c r="DB800" s="226"/>
      <c r="DC800" s="226"/>
      <c r="DD800" s="226"/>
      <c r="DE800" s="226"/>
      <c r="DF800" s="226"/>
      <c r="DG800" s="226"/>
      <c r="DH800" s="226"/>
      <c r="DI800" s="226"/>
      <c r="DJ800" s="226"/>
      <c r="DK800" s="226"/>
      <c r="DL800" s="226"/>
    </row>
    <row r="801">
      <c r="A801" s="328">
        <v>801.0</v>
      </c>
      <c r="B801" s="330" t="s">
        <v>152</v>
      </c>
      <c r="C801" s="325" t="s">
        <v>115</v>
      </c>
      <c r="D801" s="325" t="s">
        <v>153</v>
      </c>
      <c r="E801" s="226"/>
      <c r="F801" s="331" t="s">
        <v>4340</v>
      </c>
      <c r="G801" s="412" t="s">
        <v>4388</v>
      </c>
      <c r="H801" s="244" t="s">
        <v>153</v>
      </c>
      <c r="I801" s="658">
        <v>45687.0</v>
      </c>
      <c r="J801" s="658">
        <v>45692.0</v>
      </c>
      <c r="K801" s="387" t="s">
        <v>4348</v>
      </c>
      <c r="L801" s="1181" t="s">
        <v>4389</v>
      </c>
      <c r="M801" s="244" t="s">
        <v>4341</v>
      </c>
      <c r="N801" s="244" t="s">
        <v>4333</v>
      </c>
      <c r="O801" s="334">
        <v>3.0</v>
      </c>
      <c r="P801" s="244" t="str">
        <f t="shared" si="37"/>
        <v>10.1037--pspi0000081.pdf</v>
      </c>
      <c r="Q801" s="661" t="str">
        <f t="array" ref="Q801"> if(iserror(MATCH(V801, 'File Links'!C:C, 0)), "N/A", HYPERLINK(INDEX('File Links'!B:B, MATCH(P801, 'File Links'!C:C, 0))))</f>
        <v>https://drive.google.com/file/d/1GTnjtSM79S6hEZLXrpWxGtZd34NCBmBN/view?usp=drivesdk</v>
      </c>
      <c r="R801" s="244" t="s">
        <v>3653</v>
      </c>
      <c r="S801" s="244" t="s">
        <v>3654</v>
      </c>
      <c r="T801" s="663" t="s">
        <v>4342</v>
      </c>
      <c r="U801" s="334">
        <v>1.0</v>
      </c>
      <c r="V801" s="244" t="str">
        <f t="shared" si="43"/>
        <v>10.1098--rsos.231240.pdf</v>
      </c>
      <c r="W801" s="244" t="s">
        <v>3671</v>
      </c>
      <c r="X801" s="1173" t="str">
        <f t="array" ref="X801"> if(iserror(MATCH(V801, 'File Links'!C:C, 0)), "N/A", HYPERLINK(INDEX('File Links'!B:B, MATCH(V801, 'File Links'!C:C, 0))))</f>
        <v>https://drive.google.com/file/d/17gaf2Zy_ljFfcAEDk5L8GBnTl5i7RGJE/view?usp=drivesdk</v>
      </c>
      <c r="Y801" s="331"/>
      <c r="Z801" s="244" t="s">
        <v>226</v>
      </c>
      <c r="AA801" s="244" t="s">
        <v>4350</v>
      </c>
      <c r="AB801" s="244" t="s">
        <v>4351</v>
      </c>
      <c r="AC801" s="244" t="s">
        <v>4390</v>
      </c>
      <c r="AD801" s="244" t="s">
        <v>4391</v>
      </c>
      <c r="AE801" s="1178">
        <v>11.0</v>
      </c>
      <c r="AF801" s="334">
        <v>155.0</v>
      </c>
      <c r="AG801" s="1178">
        <v>-0.77</v>
      </c>
      <c r="AH801" s="334" t="s">
        <v>987</v>
      </c>
      <c r="AI801" s="1178" t="s">
        <v>307</v>
      </c>
      <c r="AJ801" s="1182">
        <v>0.03</v>
      </c>
      <c r="AK801" s="412" t="s">
        <v>172</v>
      </c>
      <c r="AL801" s="412" t="s">
        <v>186</v>
      </c>
      <c r="AM801" s="324" t="s">
        <v>137</v>
      </c>
      <c r="AN801" s="330" t="s">
        <v>138</v>
      </c>
      <c r="AO801" s="334">
        <v>152.0</v>
      </c>
      <c r="AP801" s="1178">
        <v>-1.0783</v>
      </c>
      <c r="AQ801" s="334" t="s">
        <v>987</v>
      </c>
      <c r="AR801" s="1184" t="s">
        <v>4387</v>
      </c>
      <c r="AS801" s="334">
        <v>0.00107</v>
      </c>
      <c r="AT801" s="244" t="s">
        <v>172</v>
      </c>
      <c r="AU801" s="244" t="s">
        <v>186</v>
      </c>
      <c r="AV801" s="324" t="s">
        <v>137</v>
      </c>
      <c r="AW801" s="129" t="s">
        <v>138</v>
      </c>
      <c r="AX801" s="331" t="s">
        <v>143</v>
      </c>
      <c r="AY801" s="61" t="str">
        <f>IFERROR(__xludf.DUMMYFUNCTION("vlookup(BB801,importrange(""https://docs.google.com/spreadsheets/d/1d2vevQ_7D_v35q4wCQ4RpQ_IPoTwEMB9Yp6ymwlPqew/edit?gid=984458430#gid=984458430"", ""'replication success'!A:K""), 11, FAlSE)"),"#N/A")</f>
        <v>#N/A</v>
      </c>
      <c r="AZ801" s="61" t="str">
        <f>IFERROR(__xludf.DUMMYFUNCTION("vlookup(BB801,importrange(""https://docs.google.com/spreadsheets/d/1d2vevQ_7D_v35q4wCQ4RpQ_IPoTwEMB9Yp6ymwlPqew/edit?gid=984458430#gid=984458430"", ""'replication success'!A:M""), 12, FAlSE)"),"#N/A")</f>
        <v>#N/A</v>
      </c>
      <c r="BA801" s="61" t="str">
        <f>IFERROR(__xludf.DUMMYFUNCTION("vlookup(BB801,importrange(""https://docs.google.com/spreadsheets/d/1d2vevQ_7D_v35q4wCQ4RpQ_IPoTwEMB9Yp6ymwlPqew/edit?gid=984458430#gid=984458430"", ""'replication success'!A:M""), 13, FAlSE)"),"#N/A")</f>
        <v>#N/A</v>
      </c>
      <c r="BB801" s="61" t="str">
        <f>IFERROR(__xludf.DUMMYFUNCTION("REGEXREPLACE(G801, ""_[a-z]{1,2}$"", """")"),"Boyce_etal2023128_1")</f>
        <v>Boyce_etal2023128_1</v>
      </c>
      <c r="BC801" s="226"/>
      <c r="BD801" s="331" t="s">
        <v>153</v>
      </c>
      <c r="BE801" s="226"/>
      <c r="BF801" s="226"/>
      <c r="BG801" s="226"/>
      <c r="BH801" s="226"/>
      <c r="BI801" s="226"/>
      <c r="BJ801" s="226"/>
      <c r="BK801" s="226"/>
      <c r="BL801" s="226"/>
      <c r="BM801" s="226"/>
      <c r="BN801" s="226"/>
      <c r="BO801" s="226"/>
      <c r="BP801" s="226"/>
      <c r="BQ801" s="226"/>
      <c r="BR801" s="226"/>
      <c r="BS801" s="226"/>
      <c r="BT801" s="226"/>
      <c r="BU801" s="226"/>
      <c r="BV801" s="226"/>
      <c r="BW801" s="226"/>
      <c r="BX801" s="226"/>
      <c r="BY801" s="226"/>
      <c r="BZ801" s="226"/>
      <c r="CA801" s="226"/>
      <c r="CB801" s="226"/>
      <c r="CC801" s="226"/>
      <c r="CD801" s="226"/>
      <c r="CE801" s="226"/>
      <c r="CF801" s="226"/>
      <c r="CG801" s="226"/>
      <c r="CH801" s="226"/>
      <c r="CI801" s="226"/>
      <c r="CJ801" s="226"/>
      <c r="CK801" s="226"/>
      <c r="CL801" s="226"/>
      <c r="CM801" s="226"/>
      <c r="CN801" s="226"/>
      <c r="CO801" s="226"/>
      <c r="CP801" s="226"/>
      <c r="CQ801" s="226"/>
      <c r="CR801" s="226"/>
      <c r="CS801" s="226"/>
      <c r="CT801" s="226"/>
      <c r="CU801" s="226"/>
      <c r="CV801" s="226"/>
      <c r="CW801" s="226"/>
      <c r="CX801" s="226"/>
      <c r="CY801" s="226"/>
      <c r="CZ801" s="226"/>
      <c r="DA801" s="226"/>
      <c r="DB801" s="226"/>
      <c r="DC801" s="226"/>
      <c r="DD801" s="226"/>
      <c r="DE801" s="226"/>
      <c r="DF801" s="226"/>
      <c r="DG801" s="226"/>
      <c r="DH801" s="226"/>
      <c r="DI801" s="226"/>
      <c r="DJ801" s="226"/>
      <c r="DK801" s="226"/>
      <c r="DL801" s="226"/>
    </row>
    <row r="802">
      <c r="A802" s="328">
        <v>802.0</v>
      </c>
      <c r="B802" s="330" t="s">
        <v>152</v>
      </c>
      <c r="C802" s="325" t="s">
        <v>115</v>
      </c>
      <c r="D802" s="325" t="s">
        <v>153</v>
      </c>
      <c r="E802" s="226"/>
      <c r="F802" s="331" t="s">
        <v>4340</v>
      </c>
      <c r="G802" s="412" t="s">
        <v>4392</v>
      </c>
      <c r="H802" s="244" t="s">
        <v>153</v>
      </c>
      <c r="I802" s="658">
        <v>45687.0</v>
      </c>
      <c r="J802" s="658">
        <v>45692.0</v>
      </c>
      <c r="K802" s="387" t="s">
        <v>4348</v>
      </c>
      <c r="L802" s="1181" t="s">
        <v>4393</v>
      </c>
      <c r="M802" s="244" t="s">
        <v>4341</v>
      </c>
      <c r="N802" s="244" t="s">
        <v>4333</v>
      </c>
      <c r="O802" s="334">
        <v>3.0</v>
      </c>
      <c r="P802" s="244" t="str">
        <f t="shared" si="37"/>
        <v>10.1037--pspi0000081.pdf</v>
      </c>
      <c r="Q802" s="661" t="str">
        <f t="array" ref="Q802"> if(iserror(MATCH(V802, 'File Links'!C:C, 0)), "N/A", HYPERLINK(INDEX('File Links'!B:B, MATCH(P802, 'File Links'!C:C, 0))))</f>
        <v>https://drive.google.com/file/d/1GTnjtSM79S6hEZLXrpWxGtZd34NCBmBN/view?usp=drivesdk</v>
      </c>
      <c r="R802" s="244" t="s">
        <v>3653</v>
      </c>
      <c r="S802" s="244" t="s">
        <v>3654</v>
      </c>
      <c r="T802" s="663" t="s">
        <v>4342</v>
      </c>
      <c r="U802" s="334">
        <v>1.0</v>
      </c>
      <c r="V802" s="244" t="str">
        <f t="shared" si="43"/>
        <v>10.1098--rsos.231240.pdf</v>
      </c>
      <c r="W802" s="244" t="s">
        <v>3671</v>
      </c>
      <c r="X802" s="1173" t="str">
        <f t="array" ref="X802"> if(iserror(MATCH(V802, 'File Links'!C:C, 0)), "N/A", HYPERLINK(INDEX('File Links'!B:B, MATCH(V802, 'File Links'!C:C, 0))))</f>
        <v>https://drive.google.com/file/d/17gaf2Zy_ljFfcAEDk5L8GBnTl5i7RGJE/view?usp=drivesdk</v>
      </c>
      <c r="Y802" s="331"/>
      <c r="Z802" s="244" t="s">
        <v>226</v>
      </c>
      <c r="AA802" s="244" t="s">
        <v>4350</v>
      </c>
      <c r="AB802" s="244" t="s">
        <v>4351</v>
      </c>
      <c r="AC802" s="244" t="s">
        <v>4394</v>
      </c>
      <c r="AD802" s="244" t="s">
        <v>4395</v>
      </c>
      <c r="AE802" s="1178">
        <v>11.0</v>
      </c>
      <c r="AF802" s="334">
        <v>155.0</v>
      </c>
      <c r="AG802" s="1178">
        <v>-0.01</v>
      </c>
      <c r="AH802" s="334" t="s">
        <v>987</v>
      </c>
      <c r="AI802" s="1178" t="s">
        <v>307</v>
      </c>
      <c r="AJ802" s="1182">
        <v>0.97</v>
      </c>
      <c r="AK802" s="412" t="s">
        <v>172</v>
      </c>
      <c r="AL802" s="412" t="s">
        <v>186</v>
      </c>
      <c r="AM802" s="324" t="s">
        <v>137</v>
      </c>
      <c r="AN802" s="330" t="s">
        <v>138</v>
      </c>
      <c r="AO802" s="334">
        <v>152.0</v>
      </c>
      <c r="AP802" s="1178">
        <v>-0.4017</v>
      </c>
      <c r="AQ802" s="334" t="s">
        <v>987</v>
      </c>
      <c r="AR802" s="1184" t="s">
        <v>4387</v>
      </c>
      <c r="AS802" s="334">
        <v>0.20379</v>
      </c>
      <c r="AT802" s="244" t="s">
        <v>172</v>
      </c>
      <c r="AU802" s="244" t="s">
        <v>186</v>
      </c>
      <c r="AV802" s="324" t="s">
        <v>137</v>
      </c>
      <c r="AW802" s="129" t="s">
        <v>138</v>
      </c>
      <c r="AX802" s="331" t="s">
        <v>143</v>
      </c>
      <c r="AY802" s="61" t="str">
        <f>IFERROR(__xludf.DUMMYFUNCTION("vlookup(BB802,importrange(""https://docs.google.com/spreadsheets/d/1d2vevQ_7D_v35q4wCQ4RpQ_IPoTwEMB9Yp6ymwlPqew/edit?gid=984458430#gid=984458430"", ""'replication success'!A:K""), 11, FAlSE)"),"#N/A")</f>
        <v>#N/A</v>
      </c>
      <c r="AZ802" s="61" t="str">
        <f>IFERROR(__xludf.DUMMYFUNCTION("vlookup(BB802,importrange(""https://docs.google.com/spreadsheets/d/1d2vevQ_7D_v35q4wCQ4RpQ_IPoTwEMB9Yp6ymwlPqew/edit?gid=984458430#gid=984458430"", ""'replication success'!A:M""), 12, FAlSE)"),"#N/A")</f>
        <v>#N/A</v>
      </c>
      <c r="BA802" s="61" t="str">
        <f>IFERROR(__xludf.DUMMYFUNCTION("vlookup(BB802,importrange(""https://docs.google.com/spreadsheets/d/1d2vevQ_7D_v35q4wCQ4RpQ_IPoTwEMB9Yp6ymwlPqew/edit?gid=984458430#gid=984458430"", ""'replication success'!A:M""), 13, FAlSE)"),"#N/A")</f>
        <v>#N/A</v>
      </c>
      <c r="BB802" s="61" t="str">
        <f>IFERROR(__xludf.DUMMYFUNCTION("REGEXREPLACE(G802, ""_[a-z]{1,2}$"", """")"),"Boyce_etal2023128_1")</f>
        <v>Boyce_etal2023128_1</v>
      </c>
      <c r="BC802" s="226"/>
      <c r="BD802" s="331" t="s">
        <v>153</v>
      </c>
      <c r="BE802" s="226"/>
      <c r="BF802" s="226"/>
      <c r="BG802" s="226"/>
      <c r="BH802" s="226"/>
      <c r="BI802" s="226"/>
      <c r="BJ802" s="226"/>
      <c r="BK802" s="226"/>
      <c r="BL802" s="226"/>
      <c r="BM802" s="226"/>
      <c r="BN802" s="226"/>
      <c r="BO802" s="226"/>
      <c r="BP802" s="226"/>
      <c r="BQ802" s="226"/>
      <c r="BR802" s="226"/>
      <c r="BS802" s="226"/>
      <c r="BT802" s="226"/>
      <c r="BU802" s="226"/>
      <c r="BV802" s="226"/>
      <c r="BW802" s="226"/>
      <c r="BX802" s="226"/>
      <c r="BY802" s="226"/>
      <c r="BZ802" s="226"/>
      <c r="CA802" s="226"/>
      <c r="CB802" s="226"/>
      <c r="CC802" s="226"/>
      <c r="CD802" s="226"/>
      <c r="CE802" s="226"/>
      <c r="CF802" s="226"/>
      <c r="CG802" s="226"/>
      <c r="CH802" s="226"/>
      <c r="CI802" s="226"/>
      <c r="CJ802" s="226"/>
      <c r="CK802" s="226"/>
      <c r="CL802" s="226"/>
      <c r="CM802" s="226"/>
      <c r="CN802" s="226"/>
      <c r="CO802" s="226"/>
      <c r="CP802" s="226"/>
      <c r="CQ802" s="226"/>
      <c r="CR802" s="226"/>
      <c r="CS802" s="226"/>
      <c r="CT802" s="226"/>
      <c r="CU802" s="226"/>
      <c r="CV802" s="226"/>
      <c r="CW802" s="226"/>
      <c r="CX802" s="226"/>
      <c r="CY802" s="226"/>
      <c r="CZ802" s="226"/>
      <c r="DA802" s="226"/>
      <c r="DB802" s="226"/>
      <c r="DC802" s="226"/>
      <c r="DD802" s="226"/>
      <c r="DE802" s="226"/>
      <c r="DF802" s="226"/>
      <c r="DG802" s="226"/>
      <c r="DH802" s="226"/>
      <c r="DI802" s="226"/>
      <c r="DJ802" s="226"/>
      <c r="DK802" s="226"/>
      <c r="DL802" s="226"/>
    </row>
    <row r="803">
      <c r="A803" s="689">
        <v>803.0</v>
      </c>
      <c r="B803" s="68" t="s">
        <v>114</v>
      </c>
      <c r="C803" s="188" t="s">
        <v>115</v>
      </c>
      <c r="D803" s="188" t="s">
        <v>248</v>
      </c>
      <c r="E803" s="189"/>
      <c r="F803" s="198" t="s">
        <v>4396</v>
      </c>
      <c r="G803" s="58" t="s">
        <v>4397</v>
      </c>
      <c r="H803" s="198" t="s">
        <v>249</v>
      </c>
      <c r="I803" s="191">
        <v>45670.0</v>
      </c>
      <c r="J803" s="191">
        <v>45692.0</v>
      </c>
      <c r="K803" s="369" t="s">
        <v>4398</v>
      </c>
      <c r="L803" s="198" t="s">
        <v>4399</v>
      </c>
      <c r="M803" s="198" t="s">
        <v>4400</v>
      </c>
      <c r="N803" s="198" t="s">
        <v>4401</v>
      </c>
      <c r="O803" s="190"/>
      <c r="P803" s="198" t="str">
        <f t="shared" si="37"/>
        <v>10.1177--0956797619855382.pdf</v>
      </c>
      <c r="Q803" s="1168" t="str">
        <f t="array" ref="Q803"> if(iserror(MATCH(V803, 'File Links'!C:C, 0)), "N/A", HYPERLINK(INDEX('File Links'!B:B, MATCH(P803, 'File Links'!C:C, 0))))</f>
        <v>https://drive.google.com/file/d/1ITD043otUXSzSXwJBI77ZEGc7YfO0lXl/view?usp=drivesdk</v>
      </c>
      <c r="R803" s="198" t="s">
        <v>3653</v>
      </c>
      <c r="S803" s="198" t="s">
        <v>3654</v>
      </c>
      <c r="T803" s="989" t="s">
        <v>4402</v>
      </c>
      <c r="U803" s="758">
        <v>1.0</v>
      </c>
      <c r="V803" s="198" t="str">
        <f t="shared" si="43"/>
        <v>10.1098--rsos.231240.pdf</v>
      </c>
      <c r="W803" s="198" t="s">
        <v>3807</v>
      </c>
      <c r="X803" s="1169" t="str">
        <f t="array" ref="X803"> if(iserror(MATCH(V803, 'File Links'!C:C, 0)), "N/A", HYPERLINK(INDEX('File Links'!B:B, MATCH(V803, 'File Links'!C:C, 0))))</f>
        <v>https://drive.google.com/file/d/17gaf2Zy_ljFfcAEDk5L8GBnTl5i7RGJE/view?usp=drivesdk</v>
      </c>
      <c r="Y803" s="190"/>
      <c r="Z803" s="1170" t="s">
        <v>503</v>
      </c>
      <c r="AA803" s="198" t="s">
        <v>4403</v>
      </c>
      <c r="AB803" s="198" t="s">
        <v>4404</v>
      </c>
      <c r="AC803" s="198" t="s">
        <v>4405</v>
      </c>
      <c r="AD803" s="198" t="s">
        <v>4406</v>
      </c>
      <c r="AE803" s="758">
        <v>3.0</v>
      </c>
      <c r="AF803" s="758">
        <v>177.0</v>
      </c>
      <c r="AG803" s="758">
        <v>0.56766426264502</v>
      </c>
      <c r="AH803" s="198" t="s">
        <v>173</v>
      </c>
      <c r="AI803" s="758" t="s">
        <v>507</v>
      </c>
      <c r="AJ803" s="1185">
        <f>IFERROR(__xludf.DUMMYFUNCTION("2.52625057832611*10^-12"),2.52625057832611E-12)</f>
        <v>0</v>
      </c>
      <c r="AK803" s="58" t="s">
        <v>172</v>
      </c>
      <c r="AL803" s="58" t="s">
        <v>186</v>
      </c>
      <c r="AM803" s="198" t="s">
        <v>137</v>
      </c>
      <c r="AN803" s="1186" t="s">
        <v>4407</v>
      </c>
      <c r="AO803" s="758">
        <v>157.0</v>
      </c>
      <c r="AP803" s="758">
        <v>0.398805704566971</v>
      </c>
      <c r="AQ803" s="198" t="s">
        <v>173</v>
      </c>
      <c r="AR803" s="989" t="s">
        <v>4402</v>
      </c>
      <c r="AS803" s="1187">
        <f>IFERROR(__xludf.DUMMYFUNCTION("1.66062956998421*10^-6"),1.66062956998421E-6)</f>
        <v>0.00000166062957</v>
      </c>
      <c r="AT803" s="198" t="s">
        <v>172</v>
      </c>
      <c r="AU803" s="198" t="s">
        <v>186</v>
      </c>
      <c r="AV803" s="198" t="s">
        <v>137</v>
      </c>
      <c r="AW803" s="374" t="s">
        <v>138</v>
      </c>
      <c r="AX803" s="198" t="s">
        <v>143</v>
      </c>
      <c r="AY803" s="61" t="str">
        <f>IFERROR(__xludf.DUMMYFUNCTION("vlookup(BB803,importrange(""https://docs.google.com/spreadsheets/d/1d2vevQ_7D_v35q4wCQ4RpQ_IPoTwEMB9Yp6ymwlPqew/edit?gid=984458430#gid=984458430"", ""'replication success'!A:K""), 11, FAlSE)"),"#N/A")</f>
        <v>#N/A</v>
      </c>
      <c r="AZ803" s="61" t="str">
        <f>IFERROR(__xludf.DUMMYFUNCTION("vlookup(BB803,importrange(""https://docs.google.com/spreadsheets/d/1d2vevQ_7D_v35q4wCQ4RpQ_IPoTwEMB9Yp6ymwlPqew/edit?gid=984458430#gid=984458430"", ""'replication success'!A:M""), 12, FAlSE)"),"#N/A")</f>
        <v>#N/A</v>
      </c>
      <c r="BA803" s="61" t="str">
        <f>IFERROR(__xludf.DUMMYFUNCTION("vlookup(BB803,importrange(""https://docs.google.com/spreadsheets/d/1d2vevQ_7D_v35q4wCQ4RpQ_IPoTwEMB9Yp6ymwlPqew/edit?gid=984458430#gid=984458430"", ""'replication success'!A:M""), 13, FAlSE)"),"#N/A")</f>
        <v>#N/A</v>
      </c>
      <c r="BB803" s="61" t="str">
        <f>IFERROR(__xludf.DUMMYFUNCTION("REGEXREPLACE(G803, ""_[a-z]{1,2}$"", """")"),"Boyce_etal2023129_1")</f>
        <v>Boyce_etal2023129_1</v>
      </c>
      <c r="BC803" s="189"/>
      <c r="BD803" s="190" t="s">
        <v>153</v>
      </c>
      <c r="BE803" s="189"/>
      <c r="BF803" s="189"/>
      <c r="BG803" s="189"/>
      <c r="BH803" s="189"/>
      <c r="BI803" s="189"/>
      <c r="BJ803" s="189"/>
      <c r="BK803" s="189"/>
      <c r="BL803" s="189"/>
      <c r="BM803" s="189"/>
      <c r="BN803" s="189"/>
      <c r="BO803" s="189"/>
      <c r="BP803" s="189"/>
      <c r="BQ803" s="189"/>
      <c r="BR803" s="189"/>
      <c r="BS803" s="189"/>
      <c r="BT803" s="189"/>
      <c r="BU803" s="189"/>
      <c r="BV803" s="189"/>
      <c r="BW803" s="189"/>
      <c r="BX803" s="189"/>
      <c r="BY803" s="189"/>
      <c r="BZ803" s="189"/>
      <c r="CA803" s="189"/>
      <c r="CB803" s="189"/>
      <c r="CC803" s="189"/>
      <c r="CD803" s="189"/>
      <c r="CE803" s="189"/>
      <c r="CF803" s="189"/>
      <c r="CG803" s="189"/>
      <c r="CH803" s="189"/>
      <c r="CI803" s="189"/>
      <c r="CJ803" s="189"/>
      <c r="CK803" s="189"/>
      <c r="CL803" s="189"/>
      <c r="CM803" s="189"/>
      <c r="CN803" s="189"/>
      <c r="CO803" s="189"/>
      <c r="CP803" s="189"/>
      <c r="CQ803" s="189"/>
      <c r="CR803" s="189"/>
      <c r="CS803" s="189"/>
      <c r="CT803" s="189"/>
      <c r="CU803" s="189"/>
      <c r="CV803" s="189"/>
      <c r="CW803" s="189"/>
      <c r="CX803" s="189"/>
      <c r="CY803" s="189"/>
      <c r="CZ803" s="189"/>
      <c r="DA803" s="189"/>
      <c r="DB803" s="189"/>
      <c r="DC803" s="189"/>
      <c r="DD803" s="189"/>
      <c r="DE803" s="189"/>
      <c r="DF803" s="189"/>
      <c r="DG803" s="189"/>
      <c r="DH803" s="189"/>
      <c r="DI803" s="189"/>
      <c r="DJ803" s="189"/>
      <c r="DK803" s="189"/>
      <c r="DL803" s="189"/>
    </row>
    <row r="804">
      <c r="A804" s="689">
        <v>804.0</v>
      </c>
      <c r="B804" s="330" t="s">
        <v>152</v>
      </c>
      <c r="C804" s="188" t="s">
        <v>115</v>
      </c>
      <c r="D804" s="188" t="s">
        <v>153</v>
      </c>
      <c r="E804" s="189"/>
      <c r="F804" s="190" t="s">
        <v>4397</v>
      </c>
      <c r="G804" s="58" t="s">
        <v>4408</v>
      </c>
      <c r="H804" s="198" t="s">
        <v>153</v>
      </c>
      <c r="I804" s="191">
        <v>45687.0</v>
      </c>
      <c r="J804" s="191">
        <v>45692.0</v>
      </c>
      <c r="K804" s="1098" t="s">
        <v>4409</v>
      </c>
      <c r="L804" s="190"/>
      <c r="M804" s="198" t="s">
        <v>4400</v>
      </c>
      <c r="N804" s="198" t="s">
        <v>4401</v>
      </c>
      <c r="O804" s="758">
        <v>1.0</v>
      </c>
      <c r="P804" s="198" t="str">
        <f t="shared" si="37"/>
        <v>10.1177--0956797619855382.pdf</v>
      </c>
      <c r="Q804" s="1168" t="str">
        <f t="array" ref="Q804"> if(iserror(MATCH(V804, 'File Links'!C:C, 0)), "N/A", HYPERLINK(INDEX('File Links'!B:B, MATCH(P804, 'File Links'!C:C, 0))))</f>
        <v>https://drive.google.com/file/d/1ITD043otUXSzSXwJBI77ZEGc7YfO0lXl/view?usp=drivesdk</v>
      </c>
      <c r="R804" s="198" t="s">
        <v>3653</v>
      </c>
      <c r="S804" s="198" t="s">
        <v>3654</v>
      </c>
      <c r="T804" s="989" t="s">
        <v>4402</v>
      </c>
      <c r="U804" s="758">
        <v>1.0</v>
      </c>
      <c r="V804" s="198" t="str">
        <f t="shared" si="43"/>
        <v>10.1098--rsos.231240.pdf</v>
      </c>
      <c r="W804" s="198" t="s">
        <v>3807</v>
      </c>
      <c r="X804" s="1169" t="str">
        <f t="array" ref="X804"> if(iserror(MATCH(V804, 'File Links'!C:C, 0)), "N/A", HYPERLINK(INDEX('File Links'!B:B, MATCH(V804, 'File Links'!C:C, 0))))</f>
        <v>https://drive.google.com/file/d/17gaf2Zy_ljFfcAEDk5L8GBnTl5i7RGJE/view?usp=drivesdk</v>
      </c>
      <c r="Y804" s="190"/>
      <c r="Z804" s="198" t="s">
        <v>947</v>
      </c>
      <c r="AA804" s="198" t="s">
        <v>4403</v>
      </c>
      <c r="AB804" s="198" t="s">
        <v>4404</v>
      </c>
      <c r="AC804" s="198" t="s">
        <v>4410</v>
      </c>
      <c r="AD804" s="198" t="s">
        <v>4411</v>
      </c>
      <c r="AE804" s="758">
        <v>4.0</v>
      </c>
      <c r="AF804" s="758">
        <v>177.0</v>
      </c>
      <c r="AG804" s="758">
        <v>9.599</v>
      </c>
      <c r="AH804" s="758" t="s">
        <v>987</v>
      </c>
      <c r="AI804" s="758" t="s">
        <v>850</v>
      </c>
      <c r="AJ804" s="875">
        <v>0.001</v>
      </c>
      <c r="AK804" s="58" t="s">
        <v>135</v>
      </c>
      <c r="AL804" s="58" t="s">
        <v>186</v>
      </c>
      <c r="AM804" s="198" t="s">
        <v>137</v>
      </c>
      <c r="AN804" s="374" t="s">
        <v>138</v>
      </c>
      <c r="AO804" s="758">
        <v>157.0</v>
      </c>
      <c r="AP804" s="758">
        <v>-6.8322</v>
      </c>
      <c r="AQ804" s="758" t="s">
        <v>987</v>
      </c>
      <c r="AR804" s="989" t="s">
        <v>4402</v>
      </c>
      <c r="AS804" s="374" t="s">
        <v>138</v>
      </c>
      <c r="AT804" s="190"/>
      <c r="AU804" s="198" t="s">
        <v>186</v>
      </c>
      <c r="AV804" s="198" t="s">
        <v>137</v>
      </c>
      <c r="AW804" s="877" t="s">
        <v>4412</v>
      </c>
      <c r="AX804" s="190" t="s">
        <v>143</v>
      </c>
      <c r="AY804" s="61" t="str">
        <f>IFERROR(__xludf.DUMMYFUNCTION("vlookup(BB804,importrange(""https://docs.google.com/spreadsheets/d/1d2vevQ_7D_v35q4wCQ4RpQ_IPoTwEMB9Yp6ymwlPqew/edit?gid=984458430#gid=984458430"", ""'replication success'!A:K""), 11, FAlSE)"),"#N/A")</f>
        <v>#N/A</v>
      </c>
      <c r="AZ804" s="61" t="str">
        <f>IFERROR(__xludf.DUMMYFUNCTION("vlookup(BB804,importrange(""https://docs.google.com/spreadsheets/d/1d2vevQ_7D_v35q4wCQ4RpQ_IPoTwEMB9Yp6ymwlPqew/edit?gid=984458430#gid=984458430"", ""'replication success'!A:M""), 12, FAlSE)"),"#N/A")</f>
        <v>#N/A</v>
      </c>
      <c r="BA804" s="61" t="str">
        <f>IFERROR(__xludf.DUMMYFUNCTION("vlookup(BB804,importrange(""https://docs.google.com/spreadsheets/d/1d2vevQ_7D_v35q4wCQ4RpQ_IPoTwEMB9Yp6ymwlPqew/edit?gid=984458430#gid=984458430"", ""'replication success'!A:M""), 13, FAlSE)"),"#N/A")</f>
        <v>#N/A</v>
      </c>
      <c r="BB804" s="61" t="str">
        <f>IFERROR(__xludf.DUMMYFUNCTION("REGEXREPLACE(G804, ""_[a-z]{1,2}$"", """")"),"Boyce_etal2023129_1")</f>
        <v>Boyce_etal2023129_1</v>
      </c>
      <c r="BC804" s="189"/>
      <c r="BD804" s="190" t="s">
        <v>153</v>
      </c>
      <c r="BE804" s="189"/>
      <c r="BF804" s="189"/>
      <c r="BG804" s="189"/>
      <c r="BH804" s="189"/>
      <c r="BI804" s="189"/>
      <c r="BJ804" s="189"/>
      <c r="BK804" s="189"/>
      <c r="BL804" s="189"/>
      <c r="BM804" s="189"/>
      <c r="BN804" s="189"/>
      <c r="BO804" s="189"/>
      <c r="BP804" s="189"/>
      <c r="BQ804" s="189"/>
      <c r="BR804" s="189"/>
      <c r="BS804" s="189"/>
      <c r="BT804" s="189"/>
      <c r="BU804" s="189"/>
      <c r="BV804" s="189"/>
      <c r="BW804" s="189"/>
      <c r="BX804" s="189"/>
      <c r="BY804" s="189"/>
      <c r="BZ804" s="189"/>
      <c r="CA804" s="189"/>
      <c r="CB804" s="189"/>
      <c r="CC804" s="189"/>
      <c r="CD804" s="189"/>
      <c r="CE804" s="189"/>
      <c r="CF804" s="189"/>
      <c r="CG804" s="189"/>
      <c r="CH804" s="189"/>
      <c r="CI804" s="189"/>
      <c r="CJ804" s="189"/>
      <c r="CK804" s="189"/>
      <c r="CL804" s="189"/>
      <c r="CM804" s="189"/>
      <c r="CN804" s="189"/>
      <c r="CO804" s="189"/>
      <c r="CP804" s="189"/>
      <c r="CQ804" s="189"/>
      <c r="CR804" s="189"/>
      <c r="CS804" s="189"/>
      <c r="CT804" s="189"/>
      <c r="CU804" s="189"/>
      <c r="CV804" s="189"/>
      <c r="CW804" s="189"/>
      <c r="CX804" s="189"/>
      <c r="CY804" s="189"/>
      <c r="CZ804" s="189"/>
      <c r="DA804" s="189"/>
      <c r="DB804" s="189"/>
      <c r="DC804" s="189"/>
      <c r="DD804" s="189"/>
      <c r="DE804" s="189"/>
      <c r="DF804" s="189"/>
      <c r="DG804" s="189"/>
      <c r="DH804" s="189"/>
      <c r="DI804" s="189"/>
      <c r="DJ804" s="189"/>
      <c r="DK804" s="189"/>
      <c r="DL804" s="189"/>
    </row>
    <row r="805" ht="36.75" customHeight="1">
      <c r="A805" s="689">
        <v>805.0</v>
      </c>
      <c r="B805" s="330" t="s">
        <v>152</v>
      </c>
      <c r="C805" s="188" t="s">
        <v>115</v>
      </c>
      <c r="D805" s="188" t="s">
        <v>153</v>
      </c>
      <c r="E805" s="189"/>
      <c r="F805" s="190" t="s">
        <v>4397</v>
      </c>
      <c r="G805" s="58" t="s">
        <v>4413</v>
      </c>
      <c r="H805" s="198" t="s">
        <v>153</v>
      </c>
      <c r="I805" s="191">
        <v>45687.0</v>
      </c>
      <c r="J805" s="191">
        <v>45692.0</v>
      </c>
      <c r="K805" s="1098" t="s">
        <v>4414</v>
      </c>
      <c r="L805" s="190"/>
      <c r="M805" s="198" t="s">
        <v>4400</v>
      </c>
      <c r="N805" s="198" t="s">
        <v>4401</v>
      </c>
      <c r="O805" s="758">
        <v>1.0</v>
      </c>
      <c r="P805" s="198" t="str">
        <f t="shared" si="37"/>
        <v>10.1177--0956797619855382.pdf</v>
      </c>
      <c r="Q805" s="1168" t="str">
        <f t="array" ref="Q805"> if(iserror(MATCH(V805, 'File Links'!C:C, 0)), "N/A", HYPERLINK(INDEX('File Links'!B:B, MATCH(P805, 'File Links'!C:C, 0))))</f>
        <v>https://drive.google.com/file/d/1ITD043otUXSzSXwJBI77ZEGc7YfO0lXl/view?usp=drivesdk</v>
      </c>
      <c r="R805" s="198" t="s">
        <v>3653</v>
      </c>
      <c r="S805" s="198" t="s">
        <v>3654</v>
      </c>
      <c r="T805" s="989" t="s">
        <v>4402</v>
      </c>
      <c r="U805" s="758">
        <v>1.0</v>
      </c>
      <c r="V805" s="198" t="str">
        <f t="shared" si="43"/>
        <v>10.1098--rsos.231240.pdf</v>
      </c>
      <c r="W805" s="198" t="s">
        <v>3807</v>
      </c>
      <c r="X805" s="1169" t="str">
        <f t="array" ref="X805"> if(iserror(MATCH(V805, 'File Links'!C:C, 0)), "N/A", HYPERLINK(INDEX('File Links'!B:B, MATCH(V805, 'File Links'!C:C, 0))))</f>
        <v>https://drive.google.com/file/d/17gaf2Zy_ljFfcAEDk5L8GBnTl5i7RGJE/view?usp=drivesdk</v>
      </c>
      <c r="Y805" s="190"/>
      <c r="Z805" s="198" t="s">
        <v>947</v>
      </c>
      <c r="AA805" s="198" t="s">
        <v>4403</v>
      </c>
      <c r="AB805" s="198" t="s">
        <v>4404</v>
      </c>
      <c r="AC805" s="198" t="s">
        <v>4415</v>
      </c>
      <c r="AD805" s="198" t="s">
        <v>4416</v>
      </c>
      <c r="AE805" s="758">
        <v>4.0</v>
      </c>
      <c r="AF805" s="758">
        <v>177.0</v>
      </c>
      <c r="AG805" s="750">
        <v>9.199</v>
      </c>
      <c r="AH805" s="758" t="s">
        <v>987</v>
      </c>
      <c r="AI805" s="758" t="s">
        <v>850</v>
      </c>
      <c r="AJ805" s="1128">
        <v>0.001</v>
      </c>
      <c r="AK805" s="58" t="s">
        <v>135</v>
      </c>
      <c r="AL805" s="58" t="s">
        <v>186</v>
      </c>
      <c r="AM805" s="198" t="s">
        <v>137</v>
      </c>
      <c r="AN805" s="374" t="s">
        <v>138</v>
      </c>
      <c r="AO805" s="758">
        <v>157.0</v>
      </c>
      <c r="AP805" s="758">
        <v>7.356</v>
      </c>
      <c r="AQ805" s="758" t="s">
        <v>987</v>
      </c>
      <c r="AR805" s="989" t="s">
        <v>4402</v>
      </c>
      <c r="AS805" s="374" t="s">
        <v>138</v>
      </c>
      <c r="AT805" s="190"/>
      <c r="AU805" s="198" t="s">
        <v>186</v>
      </c>
      <c r="AV805" s="198" t="s">
        <v>137</v>
      </c>
      <c r="AW805" s="877" t="s">
        <v>4412</v>
      </c>
      <c r="AX805" s="190" t="s">
        <v>143</v>
      </c>
      <c r="AY805" s="61" t="str">
        <f>IFERROR(__xludf.DUMMYFUNCTION("vlookup(BB805,importrange(""https://docs.google.com/spreadsheets/d/1d2vevQ_7D_v35q4wCQ4RpQ_IPoTwEMB9Yp6ymwlPqew/edit?gid=984458430#gid=984458430"", ""'replication success'!A:K""), 11, FAlSE)"),"#N/A")</f>
        <v>#N/A</v>
      </c>
      <c r="AZ805" s="61" t="str">
        <f>IFERROR(__xludf.DUMMYFUNCTION("vlookup(BB805,importrange(""https://docs.google.com/spreadsheets/d/1d2vevQ_7D_v35q4wCQ4RpQ_IPoTwEMB9Yp6ymwlPqew/edit?gid=984458430#gid=984458430"", ""'replication success'!A:M""), 12, FAlSE)"),"#N/A")</f>
        <v>#N/A</v>
      </c>
      <c r="BA805" s="61" t="str">
        <f>IFERROR(__xludf.DUMMYFUNCTION("vlookup(BB805,importrange(""https://docs.google.com/spreadsheets/d/1d2vevQ_7D_v35q4wCQ4RpQ_IPoTwEMB9Yp6ymwlPqew/edit?gid=984458430#gid=984458430"", ""'replication success'!A:M""), 13, FAlSE)"),"#N/A")</f>
        <v>#N/A</v>
      </c>
      <c r="BB805" s="61" t="str">
        <f>IFERROR(__xludf.DUMMYFUNCTION("REGEXREPLACE(G805, ""_[a-z]{1,2}$"", """")"),"Boyce_etal2023129_1")</f>
        <v>Boyce_etal2023129_1</v>
      </c>
      <c r="BC805" s="189"/>
      <c r="BD805" s="190" t="s">
        <v>153</v>
      </c>
      <c r="BE805" s="189"/>
      <c r="BF805" s="189"/>
      <c r="BG805" s="189"/>
      <c r="BH805" s="189"/>
      <c r="BI805" s="189"/>
      <c r="BJ805" s="189"/>
      <c r="BK805" s="189"/>
      <c r="BL805" s="189"/>
      <c r="BM805" s="189"/>
      <c r="BN805" s="189"/>
      <c r="BO805" s="189"/>
      <c r="BP805" s="189"/>
      <c r="BQ805" s="189"/>
      <c r="BR805" s="189"/>
      <c r="BS805" s="189"/>
      <c r="BT805" s="189"/>
      <c r="BU805" s="189"/>
      <c r="BV805" s="189"/>
      <c r="BW805" s="189"/>
      <c r="BX805" s="189"/>
      <c r="BY805" s="189"/>
      <c r="BZ805" s="189"/>
      <c r="CA805" s="189"/>
      <c r="CB805" s="189"/>
      <c r="CC805" s="189"/>
      <c r="CD805" s="189"/>
      <c r="CE805" s="189"/>
      <c r="CF805" s="189"/>
      <c r="CG805" s="189"/>
      <c r="CH805" s="189"/>
      <c r="CI805" s="189"/>
      <c r="CJ805" s="189"/>
      <c r="CK805" s="189"/>
      <c r="CL805" s="189"/>
      <c r="CM805" s="189"/>
      <c r="CN805" s="189"/>
      <c r="CO805" s="189"/>
      <c r="CP805" s="189"/>
      <c r="CQ805" s="189"/>
      <c r="CR805" s="189"/>
      <c r="CS805" s="189"/>
      <c r="CT805" s="189"/>
      <c r="CU805" s="189"/>
      <c r="CV805" s="189"/>
      <c r="CW805" s="189"/>
      <c r="CX805" s="189"/>
      <c r="CY805" s="189"/>
      <c r="CZ805" s="189"/>
      <c r="DA805" s="189"/>
      <c r="DB805" s="189"/>
      <c r="DC805" s="189"/>
      <c r="DD805" s="189"/>
      <c r="DE805" s="189"/>
      <c r="DF805" s="189"/>
      <c r="DG805" s="189"/>
      <c r="DH805" s="189"/>
      <c r="DI805" s="189"/>
      <c r="DJ805" s="189"/>
      <c r="DK805" s="189"/>
      <c r="DL805" s="189"/>
    </row>
    <row r="806">
      <c r="A806" s="689">
        <v>806.0</v>
      </c>
      <c r="B806" s="330" t="s">
        <v>152</v>
      </c>
      <c r="C806" s="188" t="s">
        <v>115</v>
      </c>
      <c r="D806" s="188" t="s">
        <v>153</v>
      </c>
      <c r="E806" s="189"/>
      <c r="F806" s="190" t="s">
        <v>4397</v>
      </c>
      <c r="G806" s="58" t="s">
        <v>4417</v>
      </c>
      <c r="H806" s="198" t="s">
        <v>153</v>
      </c>
      <c r="I806" s="191">
        <v>45687.0</v>
      </c>
      <c r="J806" s="191">
        <v>45692.0</v>
      </c>
      <c r="K806" s="1098" t="s">
        <v>4418</v>
      </c>
      <c r="L806" s="190"/>
      <c r="M806" s="198" t="s">
        <v>4400</v>
      </c>
      <c r="N806" s="198" t="s">
        <v>4401</v>
      </c>
      <c r="O806" s="758">
        <v>1.0</v>
      </c>
      <c r="P806" s="198" t="str">
        <f t="shared" si="37"/>
        <v>10.1177--0956797619855382.pdf</v>
      </c>
      <c r="Q806" s="1168" t="str">
        <f t="array" ref="Q806"> if(iserror(MATCH(V806, 'File Links'!C:C, 0)), "N/A", HYPERLINK(INDEX('File Links'!B:B, MATCH(P806, 'File Links'!C:C, 0))))</f>
        <v>https://drive.google.com/file/d/1ITD043otUXSzSXwJBI77ZEGc7YfO0lXl/view?usp=drivesdk</v>
      </c>
      <c r="R806" s="198" t="s">
        <v>3653</v>
      </c>
      <c r="S806" s="198" t="s">
        <v>3654</v>
      </c>
      <c r="T806" s="989" t="s">
        <v>4402</v>
      </c>
      <c r="U806" s="758">
        <v>1.0</v>
      </c>
      <c r="V806" s="198" t="str">
        <f t="shared" si="43"/>
        <v>10.1098--rsos.231240.pdf</v>
      </c>
      <c r="W806" s="198" t="s">
        <v>3807</v>
      </c>
      <c r="X806" s="1169" t="str">
        <f t="array" ref="X806"> if(iserror(MATCH(V806, 'File Links'!C:C, 0)), "N/A", HYPERLINK(INDEX('File Links'!B:B, MATCH(V806, 'File Links'!C:C, 0))))</f>
        <v>https://drive.google.com/file/d/17gaf2Zy_ljFfcAEDk5L8GBnTl5i7RGJE/view?usp=drivesdk</v>
      </c>
      <c r="Y806" s="190"/>
      <c r="Z806" s="198" t="s">
        <v>947</v>
      </c>
      <c r="AA806" s="198" t="s">
        <v>4403</v>
      </c>
      <c r="AB806" s="198" t="s">
        <v>4404</v>
      </c>
      <c r="AC806" s="198" t="s">
        <v>4419</v>
      </c>
      <c r="AD806" s="198" t="s">
        <v>4420</v>
      </c>
      <c r="AE806" s="758">
        <v>4.0</v>
      </c>
      <c r="AF806" s="758">
        <v>177.0</v>
      </c>
      <c r="AG806" s="750">
        <v>3.4</v>
      </c>
      <c r="AH806" s="758" t="s">
        <v>987</v>
      </c>
      <c r="AI806" s="758" t="s">
        <v>850</v>
      </c>
      <c r="AJ806" s="1128">
        <v>0.625</v>
      </c>
      <c r="AK806" s="58" t="s">
        <v>172</v>
      </c>
      <c r="AL806" s="58" t="s">
        <v>186</v>
      </c>
      <c r="AM806" s="198" t="s">
        <v>137</v>
      </c>
      <c r="AN806" s="374" t="s">
        <v>138</v>
      </c>
      <c r="AO806" s="758">
        <v>157.0</v>
      </c>
      <c r="AP806" s="758">
        <v>-3.523</v>
      </c>
      <c r="AQ806" s="758" t="s">
        <v>987</v>
      </c>
      <c r="AR806" s="989" t="s">
        <v>4402</v>
      </c>
      <c r="AS806" s="374" t="s">
        <v>138</v>
      </c>
      <c r="AT806" s="190"/>
      <c r="AU806" s="198" t="s">
        <v>186</v>
      </c>
      <c r="AV806" s="198" t="s">
        <v>137</v>
      </c>
      <c r="AW806" s="877" t="s">
        <v>4412</v>
      </c>
      <c r="AX806" s="190" t="s">
        <v>143</v>
      </c>
      <c r="AY806" s="61" t="str">
        <f>IFERROR(__xludf.DUMMYFUNCTION("vlookup(BB806,importrange(""https://docs.google.com/spreadsheets/d/1d2vevQ_7D_v35q4wCQ4RpQ_IPoTwEMB9Yp6ymwlPqew/edit?gid=984458430#gid=984458430"", ""'replication success'!A:K""), 11, FAlSE)"),"#N/A")</f>
        <v>#N/A</v>
      </c>
      <c r="AZ806" s="61" t="str">
        <f>IFERROR(__xludf.DUMMYFUNCTION("vlookup(BB806,importrange(""https://docs.google.com/spreadsheets/d/1d2vevQ_7D_v35q4wCQ4RpQ_IPoTwEMB9Yp6ymwlPqew/edit?gid=984458430#gid=984458430"", ""'replication success'!A:M""), 12, FAlSE)"),"#N/A")</f>
        <v>#N/A</v>
      </c>
      <c r="BA806" s="61" t="str">
        <f>IFERROR(__xludf.DUMMYFUNCTION("vlookup(BB806,importrange(""https://docs.google.com/spreadsheets/d/1d2vevQ_7D_v35q4wCQ4RpQ_IPoTwEMB9Yp6ymwlPqew/edit?gid=984458430#gid=984458430"", ""'replication success'!A:M""), 13, FAlSE)"),"#N/A")</f>
        <v>#N/A</v>
      </c>
      <c r="BB806" s="61" t="str">
        <f>IFERROR(__xludf.DUMMYFUNCTION("REGEXREPLACE(G806, ""_[a-z]{1,2}$"", """")"),"Boyce_etal2023129_1")</f>
        <v>Boyce_etal2023129_1</v>
      </c>
      <c r="BC806" s="189"/>
      <c r="BD806" s="190" t="s">
        <v>153</v>
      </c>
      <c r="BE806" s="189"/>
      <c r="BF806" s="189"/>
      <c r="BG806" s="189"/>
      <c r="BH806" s="189"/>
      <c r="BI806" s="189"/>
      <c r="BJ806" s="189"/>
      <c r="BK806" s="189"/>
      <c r="BL806" s="189"/>
      <c r="BM806" s="189"/>
      <c r="BN806" s="189"/>
      <c r="BO806" s="189"/>
      <c r="BP806" s="189"/>
      <c r="BQ806" s="189"/>
      <c r="BR806" s="189"/>
      <c r="BS806" s="189"/>
      <c r="BT806" s="189"/>
      <c r="BU806" s="189"/>
      <c r="BV806" s="189"/>
      <c r="BW806" s="189"/>
      <c r="BX806" s="189"/>
      <c r="BY806" s="189"/>
      <c r="BZ806" s="189"/>
      <c r="CA806" s="189"/>
      <c r="CB806" s="189"/>
      <c r="CC806" s="189"/>
      <c r="CD806" s="189"/>
      <c r="CE806" s="189"/>
      <c r="CF806" s="189"/>
      <c r="CG806" s="189"/>
      <c r="CH806" s="189"/>
      <c r="CI806" s="189"/>
      <c r="CJ806" s="189"/>
      <c r="CK806" s="189"/>
      <c r="CL806" s="189"/>
      <c r="CM806" s="189"/>
      <c r="CN806" s="189"/>
      <c r="CO806" s="189"/>
      <c r="CP806" s="189"/>
      <c r="CQ806" s="189"/>
      <c r="CR806" s="189"/>
      <c r="CS806" s="189"/>
      <c r="CT806" s="189"/>
      <c r="CU806" s="189"/>
      <c r="CV806" s="189"/>
      <c r="CW806" s="189"/>
      <c r="CX806" s="189"/>
      <c r="CY806" s="189"/>
      <c r="CZ806" s="189"/>
      <c r="DA806" s="189"/>
      <c r="DB806" s="189"/>
      <c r="DC806" s="189"/>
      <c r="DD806" s="189"/>
      <c r="DE806" s="189"/>
      <c r="DF806" s="189"/>
      <c r="DG806" s="189"/>
      <c r="DH806" s="189"/>
      <c r="DI806" s="189"/>
      <c r="DJ806" s="189"/>
      <c r="DK806" s="189"/>
      <c r="DL806" s="189"/>
    </row>
    <row r="807">
      <c r="A807" s="44">
        <v>807.0</v>
      </c>
      <c r="B807" s="68" t="s">
        <v>114</v>
      </c>
      <c r="C807" s="62" t="s">
        <v>115</v>
      </c>
      <c r="D807" s="62" t="s">
        <v>248</v>
      </c>
      <c r="F807" s="159" t="s">
        <v>4421</v>
      </c>
      <c r="G807" s="57" t="s">
        <v>4422</v>
      </c>
      <c r="H807" s="159" t="s">
        <v>249</v>
      </c>
      <c r="I807" s="152">
        <v>45663.0</v>
      </c>
      <c r="J807" s="152">
        <v>45692.0</v>
      </c>
      <c r="K807" s="68"/>
      <c r="L807" s="159" t="s">
        <v>3690</v>
      </c>
      <c r="M807" s="159" t="s">
        <v>4423</v>
      </c>
      <c r="N807" s="159" t="s">
        <v>4424</v>
      </c>
      <c r="O807" s="68"/>
      <c r="P807" s="159" t="str">
        <f t="shared" si="37"/>
        <v>10.1177--0956797610397956.pdf</v>
      </c>
      <c r="Q807" s="52" t="str">
        <f t="array" ref="Q807"> if(iserror(MATCH(V807, 'File Links'!C:C, 0)), "N/A", HYPERLINK(INDEX('File Links'!B:B, MATCH(P807, 'File Links'!C:C, 0))))</f>
        <v>https://drive.google.com/file/d/10j2TatiM7HXzQ8gGJAAToPEOpY8k8IgA/view?usp=drivesdk</v>
      </c>
      <c r="R807" s="159" t="s">
        <v>3653</v>
      </c>
      <c r="S807" s="159" t="s">
        <v>3654</v>
      </c>
      <c r="T807" s="123" t="s">
        <v>4425</v>
      </c>
      <c r="U807" s="156">
        <v>1.0</v>
      </c>
      <c r="V807" s="198" t="str">
        <f t="shared" si="43"/>
        <v>10.1098--rsos.231240.pdf</v>
      </c>
      <c r="W807" s="159" t="s">
        <v>324</v>
      </c>
      <c r="X807" s="54" t="str">
        <f t="array" ref="X807"> if(iserror(MATCH(V807, 'File Links'!C:C, 0)), "N/A", HYPERLINK(INDEX('File Links'!B:B, MATCH(V807, 'File Links'!C:C, 0))))</f>
        <v>https://drive.google.com/file/d/17gaf2Zy_ljFfcAEDk5L8GBnTl5i7RGJE/view?usp=drivesdk</v>
      </c>
      <c r="Y807" s="68"/>
      <c r="Z807" s="159" t="s">
        <v>148</v>
      </c>
      <c r="AA807" s="68"/>
      <c r="AB807" s="159" t="s">
        <v>4426</v>
      </c>
      <c r="AC807" s="68"/>
      <c r="AD807" s="159" t="s">
        <v>4427</v>
      </c>
      <c r="AE807" s="1059">
        <v>386.0</v>
      </c>
      <c r="AF807" s="1059">
        <v>20.0</v>
      </c>
      <c r="AG807" s="156">
        <v>0.909968602284088</v>
      </c>
      <c r="AH807" s="159" t="s">
        <v>173</v>
      </c>
      <c r="AI807" s="1060" t="s">
        <v>4428</v>
      </c>
      <c r="AJ807" s="709">
        <v>4.0E-4</v>
      </c>
      <c r="AK807" s="57" t="s">
        <v>172</v>
      </c>
      <c r="AL807" s="57" t="s">
        <v>186</v>
      </c>
      <c r="AM807" s="159" t="s">
        <v>137</v>
      </c>
      <c r="AN807" s="129" t="s">
        <v>138</v>
      </c>
      <c r="AO807" s="156">
        <v>19.0</v>
      </c>
      <c r="AP807" s="156">
        <v>1.16543192806245</v>
      </c>
      <c r="AQ807" s="159" t="s">
        <v>173</v>
      </c>
      <c r="AR807" s="68"/>
      <c r="AS807" s="1188">
        <v>7.8106E-5</v>
      </c>
      <c r="AT807" s="159" t="s">
        <v>172</v>
      </c>
      <c r="AU807" s="159" t="s">
        <v>186</v>
      </c>
      <c r="AV807" s="159" t="s">
        <v>137</v>
      </c>
      <c r="AW807" s="129" t="s">
        <v>138</v>
      </c>
      <c r="AX807" s="159" t="s">
        <v>143</v>
      </c>
      <c r="AY807" s="61" t="str">
        <f>IFERROR(__xludf.DUMMYFUNCTION("vlookup(BB807,importrange(""https://docs.google.com/spreadsheets/d/1d2vevQ_7D_v35q4wCQ4RpQ_IPoTwEMB9Yp6ymwlPqew/edit?gid=984458430#gid=984458430"", ""'replication success'!A:K""), 11, FAlSE)"),"#N/A")</f>
        <v>#N/A</v>
      </c>
      <c r="AZ807" s="61" t="str">
        <f>IFERROR(__xludf.DUMMYFUNCTION("vlookup(BB807,importrange(""https://docs.google.com/spreadsheets/d/1d2vevQ_7D_v35q4wCQ4RpQ_IPoTwEMB9Yp6ymwlPqew/edit?gid=984458430#gid=984458430"", ""'replication success'!A:M""), 12, FAlSE)"),"#N/A")</f>
        <v>#N/A</v>
      </c>
      <c r="BA807" s="61" t="str">
        <f>IFERROR(__xludf.DUMMYFUNCTION("vlookup(BB807,importrange(""https://docs.google.com/spreadsheets/d/1d2vevQ_7D_v35q4wCQ4RpQ_IPoTwEMB9Yp6ymwlPqew/edit?gid=984458430#gid=984458430"", ""'replication success'!A:M""), 13, FAlSE)"),"#N/A")</f>
        <v>#N/A</v>
      </c>
      <c r="BB807" s="61" t="str">
        <f>IFERROR(__xludf.DUMMYFUNCTION("REGEXREPLACE(G807, ""_[a-z]{1,2}$"", """")"),"Boyce_etal202313_1")</f>
        <v>Boyce_etal202313_1</v>
      </c>
      <c r="BD807" s="68" t="s">
        <v>153</v>
      </c>
      <c r="BE807" s="92"/>
      <c r="BF807" s="71"/>
      <c r="BG807" s="71"/>
      <c r="BH807" s="71"/>
      <c r="BI807" s="71"/>
      <c r="BJ807" s="71"/>
      <c r="BK807" s="71"/>
      <c r="BL807" s="71"/>
      <c r="BM807" s="71"/>
      <c r="BN807" s="71"/>
      <c r="BO807" s="71"/>
      <c r="BP807" s="71"/>
      <c r="BQ807" s="71"/>
      <c r="BR807" s="71"/>
      <c r="BS807" s="71"/>
      <c r="BT807" s="71"/>
      <c r="BU807" s="71"/>
      <c r="BV807" s="71"/>
      <c r="BW807" s="71"/>
      <c r="BX807" s="71"/>
      <c r="BY807" s="71"/>
      <c r="BZ807" s="71"/>
      <c r="CA807" s="71"/>
      <c r="CB807" s="71"/>
      <c r="CC807" s="71"/>
      <c r="CD807" s="71"/>
      <c r="CE807" s="71"/>
      <c r="CF807" s="71"/>
      <c r="CG807" s="71"/>
      <c r="CH807" s="71"/>
      <c r="CI807" s="71"/>
      <c r="CJ807" s="71"/>
      <c r="CK807" s="71"/>
      <c r="CL807" s="71"/>
      <c r="CM807" s="71"/>
      <c r="CN807" s="71"/>
      <c r="CO807" s="71"/>
      <c r="CP807" s="71"/>
      <c r="CQ807" s="71"/>
      <c r="CR807" s="71"/>
      <c r="CS807" s="71"/>
      <c r="CT807" s="71"/>
      <c r="CU807" s="71"/>
      <c r="CV807" s="71"/>
      <c r="CW807" s="71"/>
      <c r="CX807" s="71"/>
      <c r="CY807" s="71"/>
      <c r="CZ807" s="71"/>
      <c r="DA807" s="71"/>
      <c r="DB807" s="71"/>
      <c r="DC807" s="71"/>
      <c r="DD807" s="71"/>
      <c r="DE807" s="71"/>
      <c r="DF807" s="71"/>
      <c r="DG807" s="71"/>
      <c r="DH807" s="71"/>
      <c r="DI807" s="71"/>
      <c r="DJ807" s="71"/>
      <c r="DK807" s="71"/>
      <c r="DL807" s="71"/>
    </row>
    <row r="808">
      <c r="A808" s="44">
        <v>808.0</v>
      </c>
      <c r="B808" s="129" t="s">
        <v>152</v>
      </c>
      <c r="C808" s="62" t="s">
        <v>115</v>
      </c>
      <c r="D808" s="62" t="s">
        <v>153</v>
      </c>
      <c r="F808" s="68" t="s">
        <v>4422</v>
      </c>
      <c r="G808" s="57" t="s">
        <v>4421</v>
      </c>
      <c r="H808" s="159" t="s">
        <v>153</v>
      </c>
      <c r="I808" s="152">
        <v>45687.0</v>
      </c>
      <c r="J808" s="152">
        <v>45692.0</v>
      </c>
      <c r="K808" s="437" t="s">
        <v>4429</v>
      </c>
      <c r="L808" s="68"/>
      <c r="M808" s="159" t="s">
        <v>4423</v>
      </c>
      <c r="N808" s="159" t="s">
        <v>4424</v>
      </c>
      <c r="O808" s="156">
        <v>1.0</v>
      </c>
      <c r="P808" s="159" t="str">
        <f t="shared" si="37"/>
        <v>10.1177--0956797610397956.pdf</v>
      </c>
      <c r="Q808" s="52" t="str">
        <f t="array" ref="Q808"> if(iserror(MATCH(V808, 'File Links'!C:C, 0)), "N/A", HYPERLINK(INDEX('File Links'!B:B, MATCH(P808, 'File Links'!C:C, 0))))</f>
        <v>https://drive.google.com/file/d/10j2TatiM7HXzQ8gGJAAToPEOpY8k8IgA/view?usp=drivesdk</v>
      </c>
      <c r="R808" s="159" t="s">
        <v>3653</v>
      </c>
      <c r="S808" s="159" t="s">
        <v>3654</v>
      </c>
      <c r="T808" s="123" t="s">
        <v>4425</v>
      </c>
      <c r="U808" s="156">
        <v>1.0</v>
      </c>
      <c r="V808" s="198" t="str">
        <f t="shared" si="43"/>
        <v>10.1098--rsos.231240.pdf</v>
      </c>
      <c r="W808" s="159" t="s">
        <v>3726</v>
      </c>
      <c r="X808" s="54" t="str">
        <f t="array" ref="X808"> if(iserror(MATCH(V808, 'File Links'!C:C, 0)), "N/A", HYPERLINK(INDEX('File Links'!B:B, MATCH(V808, 'File Links'!C:C, 0))))</f>
        <v>https://drive.google.com/file/d/17gaf2Zy_ljFfcAEDk5L8GBnTl5i7RGJE/view?usp=drivesdk</v>
      </c>
      <c r="Y808" s="68"/>
      <c r="Z808" s="159" t="s">
        <v>148</v>
      </c>
      <c r="AA808" s="151" t="s">
        <v>4430</v>
      </c>
      <c r="AB808" s="159" t="s">
        <v>4431</v>
      </c>
      <c r="AC808" s="159" t="s">
        <v>4432</v>
      </c>
      <c r="AD808" s="151" t="s">
        <v>4433</v>
      </c>
      <c r="AE808" s="156">
        <v>3.0</v>
      </c>
      <c r="AF808" s="156">
        <v>21.0</v>
      </c>
      <c r="AG808" s="156" t="s">
        <v>4434</v>
      </c>
      <c r="AH808" s="156" t="s">
        <v>134</v>
      </c>
      <c r="AI808" s="156" t="s">
        <v>217</v>
      </c>
      <c r="AJ808" s="709">
        <v>4.0E-4</v>
      </c>
      <c r="AK808" s="57" t="s">
        <v>172</v>
      </c>
      <c r="AL808" s="57" t="s">
        <v>186</v>
      </c>
      <c r="AM808" s="159" t="s">
        <v>137</v>
      </c>
      <c r="AN808" s="129" t="s">
        <v>138</v>
      </c>
      <c r="AO808" s="156">
        <v>19.0</v>
      </c>
      <c r="AP808" s="156" t="s">
        <v>4435</v>
      </c>
      <c r="AQ808" s="156" t="s">
        <v>134</v>
      </c>
      <c r="AR808" s="156" t="s">
        <v>813</v>
      </c>
      <c r="AS808" s="156">
        <f>IFERROR(__xludf.DUMMYFUNCTION("3.9*10^-5"),3.9E-5)</f>
        <v>0.000039</v>
      </c>
      <c r="AT808" s="159" t="s">
        <v>172</v>
      </c>
      <c r="AU808" s="159" t="s">
        <v>186</v>
      </c>
      <c r="AV808" s="159" t="s">
        <v>137</v>
      </c>
      <c r="AW808" s="129" t="s">
        <v>138</v>
      </c>
      <c r="AX808" s="68" t="s">
        <v>143</v>
      </c>
      <c r="AY808" s="61" t="str">
        <f>IFERROR(__xludf.DUMMYFUNCTION("vlookup(BB808,importrange(""https://docs.google.com/spreadsheets/d/1d2vevQ_7D_v35q4wCQ4RpQ_IPoTwEMB9Yp6ymwlPqew/edit?gid=984458430#gid=984458430"", ""'replication success'!A:K""), 11, FAlSE)"),"successful")</f>
        <v>successful</v>
      </c>
      <c r="AZ808" s="61" t="str">
        <f>IFERROR(__xludf.DUMMYFUNCTION("vlookup(BB808,importrange(""https://docs.google.com/spreadsheets/d/1d2vevQ_7D_v35q4wCQ4RpQ_IPoTwEMB9Yp6ymwlPqew/edit?gid=984458430#gid=984458430"",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808" s="61" t="str">
        <f>IFERROR(__xludf.DUMMYFUNCTION("vlookup(BB808,importrange(""https://docs.google.com/spreadsheets/d/1d2vevQ_7D_v35q4wCQ4RpQ_IPoTwEMB9Yp6ymwlPqew/edit?gid=984458430#gid=984458430"",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v>
      </c>
      <c r="BB808" s="61" t="str">
        <f>IFERROR(__xludf.DUMMYFUNCTION("REGEXREPLACE(G808, ""_[a-z]{1,2}$"", """")"),"Boyce_etal202313")</f>
        <v>Boyce_etal202313</v>
      </c>
      <c r="BD808" s="129" t="s">
        <v>3680</v>
      </c>
      <c r="BF808" s="71"/>
      <c r="BG808" s="71"/>
      <c r="BH808" s="71"/>
      <c r="BI808" s="71"/>
      <c r="BJ808" s="71"/>
      <c r="BK808" s="71"/>
      <c r="BL808" s="71"/>
      <c r="BM808" s="71"/>
      <c r="BN808" s="71"/>
      <c r="BO808" s="71"/>
      <c r="BP808" s="71"/>
      <c r="BQ808" s="71"/>
      <c r="BR808" s="71"/>
      <c r="BS808" s="71"/>
      <c r="BT808" s="71"/>
      <c r="BU808" s="71"/>
      <c r="BV808" s="71"/>
      <c r="BW808" s="71"/>
      <c r="BX808" s="71"/>
      <c r="BY808" s="71"/>
      <c r="BZ808" s="71"/>
      <c r="CA808" s="71"/>
      <c r="CB808" s="71"/>
      <c r="CC808" s="71"/>
      <c r="CD808" s="71"/>
      <c r="CE808" s="71"/>
      <c r="CF808" s="71"/>
      <c r="CG808" s="71"/>
      <c r="CH808" s="71"/>
      <c r="CI808" s="71"/>
      <c r="CJ808" s="71"/>
      <c r="CK808" s="71"/>
      <c r="CL808" s="71"/>
      <c r="CM808" s="71"/>
      <c r="CN808" s="71"/>
      <c r="CO808" s="71"/>
      <c r="CP808" s="71"/>
      <c r="CQ808" s="71"/>
      <c r="CR808" s="71"/>
      <c r="CS808" s="71"/>
      <c r="CT808" s="71"/>
      <c r="CU808" s="71"/>
      <c r="CV808" s="71"/>
      <c r="CW808" s="71"/>
      <c r="CX808" s="71"/>
      <c r="CY808" s="71"/>
      <c r="CZ808" s="71"/>
      <c r="DA808" s="71"/>
      <c r="DB808" s="71"/>
      <c r="DC808" s="71"/>
      <c r="DD808" s="71"/>
      <c r="DE808" s="71"/>
      <c r="DF808" s="71"/>
      <c r="DG808" s="71"/>
      <c r="DH808" s="71"/>
      <c r="DI808" s="71"/>
      <c r="DJ808" s="71"/>
      <c r="DK808" s="71"/>
      <c r="DL808" s="71"/>
    </row>
    <row r="809">
      <c r="A809" s="73">
        <v>809.0</v>
      </c>
      <c r="B809" s="94" t="s">
        <v>114</v>
      </c>
      <c r="C809" s="93" t="s">
        <v>115</v>
      </c>
      <c r="D809" s="93" t="s">
        <v>248</v>
      </c>
      <c r="E809" s="92"/>
      <c r="F809" s="95" t="s">
        <v>4436</v>
      </c>
      <c r="G809" s="76" t="s">
        <v>4437</v>
      </c>
      <c r="H809" s="95" t="s">
        <v>249</v>
      </c>
      <c r="I809" s="853">
        <v>45670.0</v>
      </c>
      <c r="J809" s="853">
        <v>45692.0</v>
      </c>
      <c r="K809" s="85" t="s">
        <v>3683</v>
      </c>
      <c r="L809" s="94"/>
      <c r="M809" s="95" t="s">
        <v>4438</v>
      </c>
      <c r="N809" s="95" t="s">
        <v>4439</v>
      </c>
      <c r="O809" s="94"/>
      <c r="P809" s="95" t="str">
        <f t="shared" si="37"/>
        <v>10.1177--0956797617706082.pdf</v>
      </c>
      <c r="Q809" s="893" t="str">
        <f t="array" ref="Q809"> if(iserror(MATCH(V809, 'File Links'!C:C, 0)), "N/A", HYPERLINK(INDEX('File Links'!B:B, MATCH(P809, 'File Links'!C:C, 0))))</f>
        <v>https://drive.google.com/file/d/104J0KhnQN8hx7uBldyQ1evQEW8N7petE/view?usp=drivesdk</v>
      </c>
      <c r="R809" s="95" t="s">
        <v>3653</v>
      </c>
      <c r="S809" s="95" t="s">
        <v>3654</v>
      </c>
      <c r="T809" s="94"/>
      <c r="U809" s="98">
        <v>1.0</v>
      </c>
      <c r="V809" s="95" t="str">
        <f t="shared" si="43"/>
        <v>10.1098--rsos.231240.pdf</v>
      </c>
      <c r="W809" s="95" t="s">
        <v>3665</v>
      </c>
      <c r="X809" s="894" t="str">
        <f t="array" ref="X809"> if(iserror(MATCH(V809, 'File Links'!C:C, 0)), "N/A", HYPERLINK(INDEX('File Links'!B:B, MATCH(V809, 'File Links'!C:C, 0))))</f>
        <v>https://drive.google.com/file/d/17gaf2Zy_ljFfcAEDk5L8GBnTl5i7RGJE/view?usp=drivesdk</v>
      </c>
      <c r="Y809" s="94"/>
      <c r="Z809" s="95" t="s">
        <v>226</v>
      </c>
      <c r="AA809" s="94"/>
      <c r="AB809" s="94"/>
      <c r="AC809" s="94"/>
      <c r="AD809" s="95" t="s">
        <v>138</v>
      </c>
      <c r="AE809" s="95" t="s">
        <v>138</v>
      </c>
      <c r="AF809" s="98">
        <v>73.0</v>
      </c>
      <c r="AG809" s="95" t="s">
        <v>138</v>
      </c>
      <c r="AH809" s="101" t="s">
        <v>138</v>
      </c>
      <c r="AI809" s="95" t="s">
        <v>138</v>
      </c>
      <c r="AJ809" s="99" t="s">
        <v>138</v>
      </c>
      <c r="AK809" s="82"/>
      <c r="AL809" s="76" t="s">
        <v>186</v>
      </c>
      <c r="AM809" s="95" t="s">
        <v>1905</v>
      </c>
      <c r="AN809" s="79" t="s">
        <v>138</v>
      </c>
      <c r="AO809" s="98">
        <v>51.0</v>
      </c>
      <c r="AP809" s="95" t="s">
        <v>138</v>
      </c>
      <c r="AQ809" s="94"/>
      <c r="AR809" s="1153" t="s">
        <v>4120</v>
      </c>
      <c r="AS809" s="95" t="s">
        <v>138</v>
      </c>
      <c r="AT809" s="94"/>
      <c r="AU809" s="95" t="s">
        <v>186</v>
      </c>
      <c r="AV809" s="95" t="s">
        <v>1905</v>
      </c>
      <c r="AW809" s="129" t="s">
        <v>138</v>
      </c>
      <c r="AX809" s="95" t="s">
        <v>143</v>
      </c>
      <c r="AY809" s="61" t="str">
        <f>IFERROR(__xludf.DUMMYFUNCTION("vlookup(BB809,importrange(""https://docs.google.com/spreadsheets/d/1d2vevQ_7D_v35q4wCQ4RpQ_IPoTwEMB9Yp6ymwlPqew/edit?gid=984458430#gid=984458430"", ""'replication success'!A:K""), 11, FAlSE)"),"#N/A")</f>
        <v>#N/A</v>
      </c>
      <c r="AZ809" s="61" t="str">
        <f>IFERROR(__xludf.DUMMYFUNCTION("vlookup(BB809,importrange(""https://docs.google.com/spreadsheets/d/1d2vevQ_7D_v35q4wCQ4RpQ_IPoTwEMB9Yp6ymwlPqew/edit?gid=984458430#gid=984458430"", ""'replication success'!A:M""), 12, FAlSE)"),"#N/A")</f>
        <v>#N/A</v>
      </c>
      <c r="BA809" s="61" t="str">
        <f>IFERROR(__xludf.DUMMYFUNCTION("vlookup(BB809,importrange(""https://docs.google.com/spreadsheets/d/1d2vevQ_7D_v35q4wCQ4RpQ_IPoTwEMB9Yp6ymwlPqew/edit?gid=984458430#gid=984458430"", ""'replication success'!A:M""), 13, FAlSE)"),"#N/A")</f>
        <v>#N/A</v>
      </c>
      <c r="BB809" s="61" t="str">
        <f>IFERROR(__xludf.DUMMYFUNCTION("REGEXREPLACE(G809, ""_[a-z]{1,2}$"", """")"),"Boyce_etal2023130_1")</f>
        <v>Boyce_etal2023130_1</v>
      </c>
      <c r="BC809" s="92"/>
      <c r="BD809" s="94" t="s">
        <v>153</v>
      </c>
      <c r="BE809" s="92"/>
      <c r="BF809" s="92"/>
      <c r="BG809" s="92"/>
      <c r="BH809" s="92"/>
      <c r="BI809" s="92"/>
      <c r="BJ809" s="92"/>
      <c r="BK809" s="92"/>
      <c r="BL809" s="92"/>
      <c r="BM809" s="92"/>
      <c r="BN809" s="92"/>
      <c r="BO809" s="92"/>
      <c r="BP809" s="92"/>
      <c r="BQ809" s="92"/>
      <c r="BR809" s="92"/>
      <c r="BS809" s="92"/>
      <c r="BT809" s="92"/>
      <c r="BU809" s="92"/>
      <c r="BV809" s="92"/>
      <c r="BW809" s="92"/>
      <c r="BX809" s="92"/>
      <c r="BY809" s="92"/>
      <c r="BZ809" s="92"/>
      <c r="CA809" s="92"/>
      <c r="CB809" s="92"/>
      <c r="CC809" s="92"/>
      <c r="CD809" s="92"/>
      <c r="CE809" s="92"/>
      <c r="CF809" s="92"/>
      <c r="CG809" s="92"/>
      <c r="CH809" s="92"/>
      <c r="CI809" s="92"/>
      <c r="CJ809" s="92"/>
      <c r="CK809" s="92"/>
      <c r="CL809" s="92"/>
      <c r="CM809" s="92"/>
      <c r="CN809" s="92"/>
      <c r="CO809" s="92"/>
      <c r="CP809" s="92"/>
      <c r="CQ809" s="92"/>
      <c r="CR809" s="92"/>
      <c r="CS809" s="92"/>
      <c r="CT809" s="92"/>
      <c r="CU809" s="92"/>
      <c r="CV809" s="92"/>
      <c r="CW809" s="92"/>
      <c r="CX809" s="92"/>
      <c r="CY809" s="92"/>
      <c r="CZ809" s="92"/>
      <c r="DA809" s="92"/>
      <c r="DB809" s="92"/>
      <c r="DC809" s="92"/>
      <c r="DD809" s="92"/>
      <c r="DE809" s="92"/>
      <c r="DF809" s="92"/>
      <c r="DG809" s="92"/>
      <c r="DH809" s="92"/>
      <c r="DI809" s="92"/>
      <c r="DJ809" s="92"/>
      <c r="DK809" s="92"/>
      <c r="DL809" s="92"/>
    </row>
    <row r="810">
      <c r="A810" s="73">
        <v>810.0</v>
      </c>
      <c r="B810" s="79" t="s">
        <v>114</v>
      </c>
      <c r="C810" s="93" t="s">
        <v>115</v>
      </c>
      <c r="D810" s="93" t="s">
        <v>153</v>
      </c>
      <c r="E810" s="92"/>
      <c r="F810" s="94" t="s">
        <v>4437</v>
      </c>
      <c r="G810" s="76" t="s">
        <v>4436</v>
      </c>
      <c r="H810" s="95" t="s">
        <v>153</v>
      </c>
      <c r="I810" s="853">
        <v>45687.0</v>
      </c>
      <c r="J810" s="853">
        <v>45692.0</v>
      </c>
      <c r="K810" s="94"/>
      <c r="L810" s="94"/>
      <c r="M810" s="95" t="s">
        <v>4438</v>
      </c>
      <c r="N810" s="95" t="s">
        <v>4439</v>
      </c>
      <c r="O810" s="98" t="s">
        <v>4440</v>
      </c>
      <c r="P810" s="95" t="str">
        <f t="shared" si="37"/>
        <v>10.1177--0956797617706082.pdf</v>
      </c>
      <c r="Q810" s="893" t="str">
        <f t="array" ref="Q810"> if(iserror(MATCH(V810, 'File Links'!C:C, 0)), "N/A", HYPERLINK(INDEX('File Links'!B:B, MATCH(P810, 'File Links'!C:C, 0))))</f>
        <v>https://drive.google.com/file/d/104J0KhnQN8hx7uBldyQ1evQEW8N7petE/view?usp=drivesdk</v>
      </c>
      <c r="R810" s="95" t="s">
        <v>3653</v>
      </c>
      <c r="S810" s="95" t="s">
        <v>3654</v>
      </c>
      <c r="T810" s="94"/>
      <c r="U810" s="98">
        <v>1.0</v>
      </c>
      <c r="V810" s="95" t="s">
        <v>3658</v>
      </c>
      <c r="W810" s="94"/>
      <c r="X810" s="894" t="str">
        <f t="array" ref="X810"> if(iserror(MATCH(V810, 'File Links'!C:C, 0)), "N/A", HYPERLINK(INDEX('File Links'!B:B, MATCH(V810, 'File Links'!C:C, 0))))</f>
        <v>https://drive.google.com/file/d/17gaf2Zy_ljFfcAEDk5L8GBnTl5i7RGJE/view?usp=drivesdk</v>
      </c>
      <c r="Y810" s="95" t="s">
        <v>3659</v>
      </c>
      <c r="Z810" s="94"/>
      <c r="AA810" s="94"/>
      <c r="AB810" s="94"/>
      <c r="AC810" s="94"/>
      <c r="AD810" s="94"/>
      <c r="AE810" s="94"/>
      <c r="AF810" s="94"/>
      <c r="AG810" s="94"/>
      <c r="AH810" s="94"/>
      <c r="AI810" s="94"/>
      <c r="AJ810" s="595"/>
      <c r="AK810" s="82"/>
      <c r="AL810" s="82"/>
      <c r="AM810" s="94"/>
      <c r="AN810" s="79" t="s">
        <v>138</v>
      </c>
      <c r="AO810" s="94"/>
      <c r="AP810" s="94"/>
      <c r="AQ810" s="94"/>
      <c r="AR810" s="1153" t="s">
        <v>4120</v>
      </c>
      <c r="AS810" s="94"/>
      <c r="AT810" s="94"/>
      <c r="AU810" s="94"/>
      <c r="AV810" s="94"/>
      <c r="AW810" s="129" t="s">
        <v>138</v>
      </c>
      <c r="AX810" s="94"/>
      <c r="AY810" s="61" t="str">
        <f>IFERROR(__xludf.DUMMYFUNCTION("vlookup(BB810,importrange(""https://docs.google.com/spreadsheets/d/1d2vevQ_7D_v35q4wCQ4RpQ_IPoTwEMB9Yp6ymwlPqew/edit?gid=984458430#gid=984458430"", ""'replication success'!A:K""), 11, FAlSE)"),"#N/A")</f>
        <v>#N/A</v>
      </c>
      <c r="AZ810" s="61" t="str">
        <f>IFERROR(__xludf.DUMMYFUNCTION("vlookup(BB810,importrange(""https://docs.google.com/spreadsheets/d/1d2vevQ_7D_v35q4wCQ4RpQ_IPoTwEMB9Yp6ymwlPqew/edit?gid=984458430#gid=984458430"", ""'replication success'!A:M""), 12, FAlSE)"),"#N/A")</f>
        <v>#N/A</v>
      </c>
      <c r="BA810" s="61" t="str">
        <f>IFERROR(__xludf.DUMMYFUNCTION("vlookup(BB810,importrange(""https://docs.google.com/spreadsheets/d/1d2vevQ_7D_v35q4wCQ4RpQ_IPoTwEMB9Yp6ymwlPqew/edit?gid=984458430#gid=984458430"", ""'replication success'!A:M""), 13, FAlSE)"),"#N/A")</f>
        <v>#N/A</v>
      </c>
      <c r="BB810" s="61" t="str">
        <f>IFERROR(__xludf.DUMMYFUNCTION("REGEXREPLACE(G810, ""_[a-z]{1,2}$"", """")"),"Boyce_etal2023130")</f>
        <v>Boyce_etal2023130</v>
      </c>
      <c r="BC810" s="92"/>
      <c r="BD810" s="94" t="s">
        <v>153</v>
      </c>
      <c r="BE810" s="92"/>
      <c r="BF810" s="92"/>
      <c r="BG810" s="92"/>
      <c r="BH810" s="92"/>
      <c r="BI810" s="92"/>
      <c r="BJ810" s="92"/>
      <c r="BK810" s="92"/>
      <c r="BL810" s="92"/>
      <c r="BM810" s="92"/>
      <c r="BN810" s="92"/>
      <c r="BO810" s="92"/>
      <c r="BP810" s="92"/>
      <c r="BQ810" s="92"/>
      <c r="BR810" s="92"/>
      <c r="BS810" s="92"/>
      <c r="BT810" s="92"/>
      <c r="BU810" s="92"/>
      <c r="BV810" s="92"/>
      <c r="BW810" s="92"/>
      <c r="BX810" s="92"/>
      <c r="BY810" s="92"/>
      <c r="BZ810" s="92"/>
      <c r="CA810" s="92"/>
      <c r="CB810" s="92"/>
      <c r="CC810" s="92"/>
      <c r="CD810" s="92"/>
      <c r="CE810" s="92"/>
      <c r="CF810" s="92"/>
      <c r="CG810" s="92"/>
      <c r="CH810" s="92"/>
      <c r="CI810" s="92"/>
      <c r="CJ810" s="92"/>
      <c r="CK810" s="92"/>
      <c r="CL810" s="92"/>
      <c r="CM810" s="92"/>
      <c r="CN810" s="92"/>
      <c r="CO810" s="92"/>
      <c r="CP810" s="92"/>
      <c r="CQ810" s="92"/>
      <c r="CR810" s="92"/>
      <c r="CS810" s="92"/>
      <c r="CT810" s="92"/>
      <c r="CU810" s="92"/>
      <c r="CV810" s="92"/>
      <c r="CW810" s="92"/>
      <c r="CX810" s="92"/>
      <c r="CY810" s="92"/>
      <c r="CZ810" s="92"/>
      <c r="DA810" s="92"/>
      <c r="DB810" s="92"/>
      <c r="DC810" s="92"/>
      <c r="DD810" s="92"/>
      <c r="DE810" s="92"/>
      <c r="DF810" s="92"/>
      <c r="DG810" s="92"/>
      <c r="DH810" s="92"/>
      <c r="DI810" s="92"/>
      <c r="DJ810" s="92"/>
      <c r="DK810" s="92"/>
      <c r="DL810" s="92"/>
    </row>
    <row r="811">
      <c r="A811" s="44">
        <v>811.0</v>
      </c>
      <c r="B811" s="68" t="s">
        <v>114</v>
      </c>
      <c r="C811" s="62" t="s">
        <v>115</v>
      </c>
      <c r="D811" s="62" t="s">
        <v>248</v>
      </c>
      <c r="F811" s="159" t="s">
        <v>4441</v>
      </c>
      <c r="G811" s="57" t="s">
        <v>4442</v>
      </c>
      <c r="H811" s="159" t="s">
        <v>249</v>
      </c>
      <c r="I811" s="152">
        <v>45670.0</v>
      </c>
      <c r="J811" s="152">
        <v>45692.0</v>
      </c>
      <c r="K811" s="437" t="s">
        <v>4443</v>
      </c>
      <c r="L811" s="68"/>
      <c r="M811" s="159" t="s">
        <v>4444</v>
      </c>
      <c r="N811" s="159" t="s">
        <v>4445</v>
      </c>
      <c r="O811" s="68"/>
      <c r="P811" s="159" t="str">
        <f t="shared" si="37"/>
        <v>10.1523--jneurosci.18-23-10105.1998.pdf</v>
      </c>
      <c r="Q811" s="52" t="str">
        <f t="array" ref="Q811"> if(iserror(MATCH(V811, 'File Links'!C:C, 0)), "N/A", HYPERLINK(INDEX('File Links'!B:B, MATCH(P811, 'File Links'!C:C, 0))))</f>
        <v>https://drive.google.com/file/d/1tMrBtPVk07Vt3IgjI_4ese_KDvqQCuKK/view?usp=drivesdk</v>
      </c>
      <c r="R811" s="159" t="s">
        <v>3653</v>
      </c>
      <c r="S811" s="159" t="s">
        <v>3654</v>
      </c>
      <c r="T811" s="68"/>
      <c r="U811" s="156">
        <v>1.0</v>
      </c>
      <c r="V811" s="198" t="str">
        <f> hyperlink(vlookup(lower(S811),#REF!, 2, FALSE), SUBSTITUTE(lower(S811), "/", "--") &amp;  ".pdf")</f>
        <v>10.1098--rsos.231240.pdf</v>
      </c>
      <c r="W811" s="159" t="s">
        <v>3693</v>
      </c>
      <c r="X811" s="54" t="str">
        <f t="array" ref="X811"> if(iserror(MATCH(V811, 'File Links'!C:C, 0)), "N/A", HYPERLINK(INDEX('File Links'!B:B, MATCH(V811, 'File Links'!C:C, 0))))</f>
        <v>https://drive.google.com/file/d/17gaf2Zy_ljFfcAEDk5L8GBnTl5i7RGJE/view?usp=drivesdk</v>
      </c>
      <c r="Y811" s="68"/>
      <c r="Z811" s="159" t="s">
        <v>148</v>
      </c>
      <c r="AA811" s="68"/>
      <c r="AB811" s="68"/>
      <c r="AC811" s="68"/>
      <c r="AD811" s="159" t="s">
        <v>138</v>
      </c>
      <c r="AE811" s="159" t="s">
        <v>138</v>
      </c>
      <c r="AF811" s="156">
        <v>5.0</v>
      </c>
      <c r="AG811" s="159" t="s">
        <v>138</v>
      </c>
      <c r="AH811" s="167" t="s">
        <v>138</v>
      </c>
      <c r="AI811" s="159" t="s">
        <v>138</v>
      </c>
      <c r="AJ811" s="339" t="s">
        <v>138</v>
      </c>
      <c r="AK811" s="61"/>
      <c r="AL811" s="57" t="s">
        <v>186</v>
      </c>
      <c r="AM811" s="159" t="s">
        <v>1905</v>
      </c>
      <c r="AN811" s="129" t="s">
        <v>138</v>
      </c>
      <c r="AO811" s="156">
        <v>5.0</v>
      </c>
      <c r="AP811" s="159" t="s">
        <v>138</v>
      </c>
      <c r="AQ811" s="68"/>
      <c r="AR811" s="1153" t="s">
        <v>4120</v>
      </c>
      <c r="AS811" s="159" t="s">
        <v>138</v>
      </c>
      <c r="AT811" s="68"/>
      <c r="AU811" s="159" t="s">
        <v>186</v>
      </c>
      <c r="AV811" s="159" t="s">
        <v>1905</v>
      </c>
      <c r="AW811" s="129" t="s">
        <v>138</v>
      </c>
      <c r="AX811" s="159" t="s">
        <v>151</v>
      </c>
      <c r="AY811" s="61" t="str">
        <f>IFERROR(__xludf.DUMMYFUNCTION("vlookup(BB811,importrange(""https://docs.google.com/spreadsheets/d/1d2vevQ_7D_v35q4wCQ4RpQ_IPoTwEMB9Yp6ymwlPqew/edit?gid=984458430#gid=984458430"", ""'replication success'!A:K""), 11, FAlSE)"),"#N/A")</f>
        <v>#N/A</v>
      </c>
      <c r="AZ811" s="61" t="str">
        <f>IFERROR(__xludf.DUMMYFUNCTION("vlookup(BB811,importrange(""https://docs.google.com/spreadsheets/d/1d2vevQ_7D_v35q4wCQ4RpQ_IPoTwEMB9Yp6ymwlPqew/edit?gid=984458430#gid=984458430"", ""'replication success'!A:M""), 12, FAlSE)"),"#N/A")</f>
        <v>#N/A</v>
      </c>
      <c r="BA811" s="61" t="str">
        <f>IFERROR(__xludf.DUMMYFUNCTION("vlookup(BB811,importrange(""https://docs.google.com/spreadsheets/d/1d2vevQ_7D_v35q4wCQ4RpQ_IPoTwEMB9Yp6ymwlPqew/edit?gid=984458430#gid=984458430"", ""'replication success'!A:M""), 13, FAlSE)"),"#N/A")</f>
        <v>#N/A</v>
      </c>
      <c r="BB811" s="61" t="str">
        <f>IFERROR(__xludf.DUMMYFUNCTION("REGEXREPLACE(G811, ""_[a-z]{1,2}$"", """")"),"Boyce_etal2023131_1")</f>
        <v>Boyce_etal2023131_1</v>
      </c>
      <c r="BD811" s="68" t="s">
        <v>153</v>
      </c>
      <c r="BF811" s="164"/>
      <c r="BG811" s="164"/>
      <c r="BH811" s="164"/>
      <c r="BI811" s="164"/>
      <c r="BJ811" s="164"/>
      <c r="BK811" s="164"/>
      <c r="BL811" s="164"/>
      <c r="BM811" s="164"/>
      <c r="BN811" s="164"/>
      <c r="BO811" s="164"/>
      <c r="BP811" s="164"/>
      <c r="BQ811" s="164"/>
      <c r="BR811" s="164"/>
      <c r="BS811" s="164"/>
      <c r="BT811" s="164"/>
      <c r="BU811" s="164"/>
      <c r="BV811" s="164"/>
      <c r="BW811" s="164"/>
      <c r="BX811" s="164"/>
      <c r="BY811" s="164"/>
      <c r="BZ811" s="164"/>
      <c r="CA811" s="164"/>
      <c r="CB811" s="164"/>
      <c r="CC811" s="164"/>
      <c r="CD811" s="164"/>
      <c r="CE811" s="164"/>
      <c r="CF811" s="164"/>
      <c r="CG811" s="164"/>
      <c r="CH811" s="164"/>
      <c r="CI811" s="164"/>
      <c r="CJ811" s="164"/>
      <c r="CK811" s="164"/>
      <c r="CL811" s="164"/>
      <c r="CM811" s="164"/>
      <c r="CN811" s="164"/>
      <c r="CO811" s="164"/>
      <c r="CP811" s="164"/>
      <c r="CQ811" s="164"/>
      <c r="CR811" s="164"/>
      <c r="CS811" s="164"/>
      <c r="CT811" s="164"/>
      <c r="CU811" s="164"/>
      <c r="CV811" s="164"/>
      <c r="CW811" s="164"/>
      <c r="CX811" s="164"/>
      <c r="CY811" s="164"/>
      <c r="CZ811" s="164"/>
      <c r="DA811" s="164"/>
      <c r="DB811" s="164"/>
      <c r="DC811" s="164"/>
      <c r="DD811" s="164"/>
      <c r="DE811" s="164"/>
      <c r="DF811" s="164"/>
      <c r="DG811" s="164"/>
      <c r="DH811" s="164"/>
      <c r="DI811" s="164"/>
      <c r="DJ811" s="164"/>
      <c r="DK811" s="164"/>
      <c r="DL811" s="164"/>
    </row>
    <row r="812">
      <c r="A812" s="44">
        <v>812.0</v>
      </c>
      <c r="B812" s="129" t="s">
        <v>114</v>
      </c>
      <c r="C812" s="62" t="s">
        <v>115</v>
      </c>
      <c r="D812" s="62" t="s">
        <v>153</v>
      </c>
      <c r="F812" s="68" t="s">
        <v>4442</v>
      </c>
      <c r="G812" s="57" t="s">
        <v>4441</v>
      </c>
      <c r="H812" s="159" t="s">
        <v>153</v>
      </c>
      <c r="I812" s="152">
        <v>45687.0</v>
      </c>
      <c r="J812" s="152">
        <v>45692.0</v>
      </c>
      <c r="K812" s="68"/>
      <c r="L812" s="68"/>
      <c r="M812" s="159" t="s">
        <v>4444</v>
      </c>
      <c r="N812" s="159" t="s">
        <v>4445</v>
      </c>
      <c r="O812" s="156">
        <v>3.0</v>
      </c>
      <c r="P812" s="159" t="str">
        <f t="shared" si="37"/>
        <v>10.1523--jneurosci.18-23-10105.1998.pdf</v>
      </c>
      <c r="Q812" s="52" t="str">
        <f t="array" ref="Q812"> if(iserror(MATCH(V812, 'File Links'!C:C, 0)), "N/A", HYPERLINK(INDEX('File Links'!B:B, MATCH(P812, 'File Links'!C:C, 0))))</f>
        <v>https://drive.google.com/file/d/1tMrBtPVk07Vt3IgjI_4ese_KDvqQCuKK/view?usp=drivesdk</v>
      </c>
      <c r="R812" s="159" t="s">
        <v>3653</v>
      </c>
      <c r="S812" s="159" t="s">
        <v>3654</v>
      </c>
      <c r="T812" s="68"/>
      <c r="U812" s="156">
        <v>1.0</v>
      </c>
      <c r="V812" s="382" t="s">
        <v>3658</v>
      </c>
      <c r="W812" s="1115" t="s">
        <v>3696</v>
      </c>
      <c r="X812" s="54" t="str">
        <f t="array" ref="X812"> if(iserror(MATCH(V812, 'File Links'!C:C, 0)), "N/A", HYPERLINK(INDEX('File Links'!B:B, MATCH(V812, 'File Links'!C:C, 0))))</f>
        <v>https://drive.google.com/file/d/17gaf2Zy_ljFfcAEDk5L8GBnTl5i7RGJE/view?usp=drivesdk</v>
      </c>
      <c r="Y812" s="159" t="s">
        <v>3659</v>
      </c>
      <c r="Z812" s="68"/>
      <c r="AA812" s="68"/>
      <c r="AB812" s="68"/>
      <c r="AC812" s="68"/>
      <c r="AD812" s="68"/>
      <c r="AE812" s="68"/>
      <c r="AF812" s="68"/>
      <c r="AG812" s="68"/>
      <c r="AH812" s="68"/>
      <c r="AI812" s="68"/>
      <c r="AJ812" s="338"/>
      <c r="AK812" s="61"/>
      <c r="AL812" s="61"/>
      <c r="AM812" s="68"/>
      <c r="AN812" s="129" t="s">
        <v>138</v>
      </c>
      <c r="AO812" s="68"/>
      <c r="AP812" s="68"/>
      <c r="AQ812" s="68"/>
      <c r="AR812" s="1153" t="s">
        <v>4120</v>
      </c>
      <c r="AS812" s="68"/>
      <c r="AT812" s="68"/>
      <c r="AU812" s="68"/>
      <c r="AV812" s="68"/>
      <c r="AW812" s="129" t="s">
        <v>138</v>
      </c>
      <c r="AX812" s="68"/>
      <c r="AY812" s="61" t="str">
        <f>IFERROR(__xludf.DUMMYFUNCTION("vlookup(BB812,importrange(""https://docs.google.com/spreadsheets/d/1d2vevQ_7D_v35q4wCQ4RpQ_IPoTwEMB9Yp6ymwlPqew/edit?gid=984458430#gid=984458430"", ""'replication success'!A:K""), 11, FAlSE)"),"#N/A")</f>
        <v>#N/A</v>
      </c>
      <c r="AZ812" s="61" t="str">
        <f>IFERROR(__xludf.DUMMYFUNCTION("vlookup(BB812,importrange(""https://docs.google.com/spreadsheets/d/1d2vevQ_7D_v35q4wCQ4RpQ_IPoTwEMB9Yp6ymwlPqew/edit?gid=984458430#gid=984458430"", ""'replication success'!A:M""), 12, FAlSE)"),"#N/A")</f>
        <v>#N/A</v>
      </c>
      <c r="BA812" s="61" t="str">
        <f>IFERROR(__xludf.DUMMYFUNCTION("vlookup(BB812,importrange(""https://docs.google.com/spreadsheets/d/1d2vevQ_7D_v35q4wCQ4RpQ_IPoTwEMB9Yp6ymwlPqew/edit?gid=984458430#gid=984458430"", ""'replication success'!A:M""), 13, FAlSE)"),"#N/A")</f>
        <v>#N/A</v>
      </c>
      <c r="BB812" s="61" t="str">
        <f>IFERROR(__xludf.DUMMYFUNCTION("REGEXREPLACE(G812, ""_[a-z]{1,2}$"", """")"),"Boyce_etal2023131")</f>
        <v>Boyce_etal2023131</v>
      </c>
      <c r="BD812" s="68" t="s">
        <v>153</v>
      </c>
    </row>
    <row r="813">
      <c r="A813" s="73">
        <v>813.0</v>
      </c>
      <c r="B813" s="94" t="s">
        <v>114</v>
      </c>
      <c r="C813" s="93" t="s">
        <v>115</v>
      </c>
      <c r="D813" s="93" t="s">
        <v>248</v>
      </c>
      <c r="E813" s="92"/>
      <c r="F813" s="95" t="s">
        <v>4446</v>
      </c>
      <c r="G813" s="76" t="s">
        <v>4447</v>
      </c>
      <c r="H813" s="95" t="s">
        <v>249</v>
      </c>
      <c r="I813" s="853">
        <v>45670.0</v>
      </c>
      <c r="J813" s="853">
        <v>45692.0</v>
      </c>
      <c r="K813" s="94"/>
      <c r="L813" s="95" t="s">
        <v>3690</v>
      </c>
      <c r="M813" s="95" t="s">
        <v>4448</v>
      </c>
      <c r="N813" s="95" t="s">
        <v>4449</v>
      </c>
      <c r="O813" s="94"/>
      <c r="P813" s="95" t="str">
        <f t="shared" si="37"/>
        <v>10.1177--0956797609359908.pdf</v>
      </c>
      <c r="Q813" s="893" t="str">
        <f t="array" ref="Q813"> if(iserror(MATCH(V813, 'File Links'!C:C, 0)), "N/A", HYPERLINK(INDEX('File Links'!B:B, MATCH(P813, 'File Links'!C:C, 0))))</f>
        <v>https://drive.google.com/file/d/1CX-X4yZPIliMfb05V-exrVifx5i5gyZu/view?usp=drivesdk</v>
      </c>
      <c r="R813" s="95" t="s">
        <v>3653</v>
      </c>
      <c r="S813" s="95" t="s">
        <v>3654</v>
      </c>
      <c r="T813" s="94"/>
      <c r="U813" s="98">
        <v>1.0</v>
      </c>
      <c r="V813" s="95" t="str">
        <f t="shared" ref="V813:V819" si="44"> hyperlink(vlookup(lower(S813),#REF!, 2, FALSE), SUBSTITUTE(lower(S813), "/", "--") &amp;  ".pdf")</f>
        <v>10.1098--rsos.231240.pdf</v>
      </c>
      <c r="W813" s="95" t="s">
        <v>3665</v>
      </c>
      <c r="X813" s="894" t="str">
        <f t="array" ref="X813"> if(iserror(MATCH(V813, 'File Links'!C:C, 0)), "N/A", HYPERLINK(INDEX('File Links'!B:B, MATCH(V813, 'File Links'!C:C, 0))))</f>
        <v>https://drive.google.com/file/d/17gaf2Zy_ljFfcAEDk5L8GBnTl5i7RGJE/view?usp=drivesdk</v>
      </c>
      <c r="Y813" s="94"/>
      <c r="Z813" s="95" t="s">
        <v>226</v>
      </c>
      <c r="AA813" s="94"/>
      <c r="AB813" s="95" t="s">
        <v>4343</v>
      </c>
      <c r="AC813" s="94"/>
      <c r="AD813" s="95" t="s">
        <v>4450</v>
      </c>
      <c r="AE813" s="1101">
        <v>394.0</v>
      </c>
      <c r="AF813" s="98">
        <v>128.0</v>
      </c>
      <c r="AG813" s="98">
        <v>1.03</v>
      </c>
      <c r="AH813" s="95" t="s">
        <v>173</v>
      </c>
      <c r="AI813" s="1102" t="s">
        <v>4451</v>
      </c>
      <c r="AJ813" s="633">
        <v>0.001</v>
      </c>
      <c r="AK813" s="76" t="s">
        <v>135</v>
      </c>
      <c r="AL813" s="76" t="s">
        <v>186</v>
      </c>
      <c r="AM813" s="95" t="s">
        <v>141</v>
      </c>
      <c r="AN813" s="79" t="s">
        <v>138</v>
      </c>
      <c r="AO813" s="98">
        <v>63.0</v>
      </c>
      <c r="AP813" s="98">
        <v>0.392151574194031</v>
      </c>
      <c r="AQ813" s="95" t="s">
        <v>173</v>
      </c>
      <c r="AR813" s="1153" t="s">
        <v>4120</v>
      </c>
      <c r="AS813" s="98">
        <v>0.254372799634103</v>
      </c>
      <c r="AT813" s="95" t="s">
        <v>172</v>
      </c>
      <c r="AU813" s="95" t="s">
        <v>186</v>
      </c>
      <c r="AV813" s="95" t="s">
        <v>141</v>
      </c>
      <c r="AW813" s="129" t="s">
        <v>138</v>
      </c>
      <c r="AX813" s="95" t="s">
        <v>143</v>
      </c>
      <c r="AY813" s="61" t="str">
        <f>IFERROR(__xludf.DUMMYFUNCTION("vlookup(BB813,importrange(""https://docs.google.com/spreadsheets/d/1d2vevQ_7D_v35q4wCQ4RpQ_IPoTwEMB9Yp6ymwlPqew/edit?gid=984458430#gid=984458430"", ""'replication success'!A:K""), 11, FAlSE)"),"#N/A")</f>
        <v>#N/A</v>
      </c>
      <c r="AZ813" s="61" t="str">
        <f>IFERROR(__xludf.DUMMYFUNCTION("vlookup(BB813,importrange(""https://docs.google.com/spreadsheets/d/1d2vevQ_7D_v35q4wCQ4RpQ_IPoTwEMB9Yp6ymwlPqew/edit?gid=984458430#gid=984458430"", ""'replication success'!A:M""), 12, FAlSE)"),"#N/A")</f>
        <v>#N/A</v>
      </c>
      <c r="BA813" s="61" t="str">
        <f>IFERROR(__xludf.DUMMYFUNCTION("vlookup(BB813,importrange(""https://docs.google.com/spreadsheets/d/1d2vevQ_7D_v35q4wCQ4RpQ_IPoTwEMB9Yp6ymwlPqew/edit?gid=984458430#gid=984458430"", ""'replication success'!A:M""), 13, FAlSE)"),"#N/A")</f>
        <v>#N/A</v>
      </c>
      <c r="BB813" s="61" t="str">
        <f>IFERROR(__xludf.DUMMYFUNCTION("REGEXREPLACE(G813, ""_[a-z]{1,2}$"", """")"),"Boyce_etal2023132_1")</f>
        <v>Boyce_etal2023132_1</v>
      </c>
      <c r="BC813" s="92"/>
      <c r="BD813" s="94" t="s">
        <v>153</v>
      </c>
      <c r="BE813" s="92"/>
      <c r="BF813" s="92"/>
      <c r="BG813" s="92"/>
      <c r="BH813" s="92"/>
      <c r="BI813" s="92"/>
      <c r="BJ813" s="92"/>
      <c r="BK813" s="92"/>
      <c r="BL813" s="92"/>
      <c r="BM813" s="92"/>
      <c r="BN813" s="92"/>
      <c r="BO813" s="92"/>
      <c r="BP813" s="92"/>
      <c r="BQ813" s="92"/>
      <c r="BR813" s="92"/>
      <c r="BS813" s="92"/>
      <c r="BT813" s="92"/>
      <c r="BU813" s="92"/>
      <c r="BV813" s="92"/>
      <c r="BW813" s="92"/>
      <c r="BX813" s="92"/>
      <c r="BY813" s="92"/>
      <c r="BZ813" s="92"/>
      <c r="CA813" s="92"/>
      <c r="CB813" s="92"/>
      <c r="CC813" s="92"/>
      <c r="CD813" s="92"/>
      <c r="CE813" s="92"/>
      <c r="CF813" s="92"/>
      <c r="CG813" s="92"/>
      <c r="CH813" s="92"/>
      <c r="CI813" s="92"/>
      <c r="CJ813" s="92"/>
      <c r="CK813" s="92"/>
      <c r="CL813" s="92"/>
      <c r="CM813" s="92"/>
      <c r="CN813" s="92"/>
      <c r="CO813" s="92"/>
      <c r="CP813" s="92"/>
      <c r="CQ813" s="92"/>
      <c r="CR813" s="92"/>
      <c r="CS813" s="92"/>
      <c r="CT813" s="92"/>
      <c r="CU813" s="92"/>
      <c r="CV813" s="92"/>
      <c r="CW813" s="92"/>
      <c r="CX813" s="92"/>
      <c r="CY813" s="92"/>
      <c r="CZ813" s="92"/>
      <c r="DA813" s="92"/>
      <c r="DB813" s="92"/>
      <c r="DC813" s="92"/>
      <c r="DD813" s="92"/>
      <c r="DE813" s="92"/>
      <c r="DF813" s="92"/>
      <c r="DG813" s="92"/>
      <c r="DH813" s="92"/>
      <c r="DI813" s="92"/>
      <c r="DJ813" s="92"/>
      <c r="DK813" s="92"/>
      <c r="DL813" s="92"/>
    </row>
    <row r="814">
      <c r="A814" s="73">
        <v>814.0</v>
      </c>
      <c r="B814" s="79" t="s">
        <v>152</v>
      </c>
      <c r="C814" s="93" t="s">
        <v>115</v>
      </c>
      <c r="D814" s="93" t="s">
        <v>153</v>
      </c>
      <c r="E814" s="92"/>
      <c r="F814" s="94" t="s">
        <v>4447</v>
      </c>
      <c r="G814" s="76" t="s">
        <v>4446</v>
      </c>
      <c r="H814" s="95" t="s">
        <v>153</v>
      </c>
      <c r="I814" s="853">
        <v>45687.0</v>
      </c>
      <c r="J814" s="853">
        <v>45692.0</v>
      </c>
      <c r="K814" s="85" t="s">
        <v>4452</v>
      </c>
      <c r="L814" s="94"/>
      <c r="M814" s="95" t="s">
        <v>4448</v>
      </c>
      <c r="N814" s="95" t="s">
        <v>4449</v>
      </c>
      <c r="O814" s="98">
        <v>3.0</v>
      </c>
      <c r="P814" s="95" t="str">
        <f t="shared" si="37"/>
        <v>10.1177--0956797609359908.pdf</v>
      </c>
      <c r="Q814" s="893" t="str">
        <f t="array" ref="Q814"> if(iserror(MATCH(V814, 'File Links'!C:C, 0)), "N/A", HYPERLINK(INDEX('File Links'!B:B, MATCH(P814, 'File Links'!C:C, 0))))</f>
        <v>https://drive.google.com/file/d/1CX-X4yZPIliMfb05V-exrVifx5i5gyZu/view?usp=drivesdk</v>
      </c>
      <c r="R814" s="95" t="s">
        <v>3653</v>
      </c>
      <c r="S814" s="95" t="s">
        <v>3654</v>
      </c>
      <c r="T814" s="94"/>
      <c r="U814" s="98">
        <v>1.0</v>
      </c>
      <c r="V814" s="95" t="str">
        <f t="shared" si="44"/>
        <v>10.1098--rsos.231240.pdf</v>
      </c>
      <c r="W814" s="95" t="s">
        <v>3671</v>
      </c>
      <c r="X814" s="894" t="str">
        <f t="array" ref="X814"> if(iserror(MATCH(V814, 'File Links'!C:C, 0)), "N/A", HYPERLINK(INDEX('File Links'!B:B, MATCH(V814, 'File Links'!C:C, 0))))</f>
        <v>https://drive.google.com/file/d/17gaf2Zy_ljFfcAEDk5L8GBnTl5i7RGJE/view?usp=drivesdk</v>
      </c>
      <c r="Y814" s="94"/>
      <c r="Z814" s="95" t="s">
        <v>226</v>
      </c>
      <c r="AA814" s="95" t="s">
        <v>4453</v>
      </c>
      <c r="AB814" s="95" t="s">
        <v>4454</v>
      </c>
      <c r="AC814" s="95" t="s">
        <v>4455</v>
      </c>
      <c r="AD814" s="95" t="s">
        <v>4456</v>
      </c>
      <c r="AE814" s="98">
        <v>4.0</v>
      </c>
      <c r="AF814" s="98">
        <v>128.0</v>
      </c>
      <c r="AG814" s="98">
        <v>1.03</v>
      </c>
      <c r="AH814" s="98" t="s">
        <v>173</v>
      </c>
      <c r="AI814" s="98" t="s">
        <v>850</v>
      </c>
      <c r="AJ814" s="633">
        <v>0.001</v>
      </c>
      <c r="AK814" s="76" t="s">
        <v>135</v>
      </c>
      <c r="AL814" s="76" t="s">
        <v>186</v>
      </c>
      <c r="AM814" s="79" t="s">
        <v>141</v>
      </c>
      <c r="AN814" s="79" t="s">
        <v>138</v>
      </c>
      <c r="AO814" s="98">
        <v>63.0</v>
      </c>
      <c r="AP814" s="98">
        <v>0.392151574194031</v>
      </c>
      <c r="AQ814" s="98" t="s">
        <v>173</v>
      </c>
      <c r="AR814" s="1153" t="s">
        <v>4120</v>
      </c>
      <c r="AS814" s="98">
        <v>0.254372799634103</v>
      </c>
      <c r="AT814" s="95" t="s">
        <v>172</v>
      </c>
      <c r="AU814" s="95" t="s">
        <v>186</v>
      </c>
      <c r="AV814" s="101" t="s">
        <v>141</v>
      </c>
      <c r="AW814" s="129" t="s">
        <v>138</v>
      </c>
      <c r="AX814" s="94" t="s">
        <v>143</v>
      </c>
      <c r="AY814" s="61" t="str">
        <f>IFERROR(__xludf.DUMMYFUNCTION("vlookup(BB814,importrange(""https://docs.google.com/spreadsheets/d/1d2vevQ_7D_v35q4wCQ4RpQ_IPoTwEMB9Yp6ymwlPqew/edit?gid=984458430#gid=984458430"", ""'replication success'!A:K""), 11, FAlSE)"),"#N/A")</f>
        <v>#N/A</v>
      </c>
      <c r="AZ814" s="61" t="str">
        <f>IFERROR(__xludf.DUMMYFUNCTION("vlookup(BB814,importrange(""https://docs.google.com/spreadsheets/d/1d2vevQ_7D_v35q4wCQ4RpQ_IPoTwEMB9Yp6ymwlPqew/edit?gid=984458430#gid=984458430"", ""'replication success'!A:M""), 12, FAlSE)"),"#N/A")</f>
        <v>#N/A</v>
      </c>
      <c r="BA814" s="61" t="str">
        <f>IFERROR(__xludf.DUMMYFUNCTION("vlookup(BB814,importrange(""https://docs.google.com/spreadsheets/d/1d2vevQ_7D_v35q4wCQ4RpQ_IPoTwEMB9Yp6ymwlPqew/edit?gid=984458430#gid=984458430"", ""'replication success'!A:M""), 13, FAlSE)"),"#N/A")</f>
        <v>#N/A</v>
      </c>
      <c r="BB814" s="61" t="str">
        <f>IFERROR(__xludf.DUMMYFUNCTION("REGEXREPLACE(G814, ""_[a-z]{1,2}$"", """")"),"Boyce_etal2023132")</f>
        <v>Boyce_etal2023132</v>
      </c>
      <c r="BC814" s="92"/>
      <c r="BD814" s="94" t="s">
        <v>153</v>
      </c>
      <c r="BE814" s="92"/>
      <c r="BF814" s="92"/>
      <c r="BG814" s="92"/>
      <c r="BH814" s="92"/>
      <c r="BI814" s="92"/>
      <c r="BJ814" s="92"/>
      <c r="BK814" s="92"/>
      <c r="BL814" s="92"/>
      <c r="BM814" s="92"/>
      <c r="BN814" s="92"/>
      <c r="BO814" s="92"/>
      <c r="BP814" s="92"/>
      <c r="BQ814" s="92"/>
      <c r="BR814" s="92"/>
      <c r="BS814" s="92"/>
      <c r="BT814" s="92"/>
      <c r="BU814" s="92"/>
      <c r="BV814" s="92"/>
      <c r="BW814" s="92"/>
      <c r="BX814" s="92"/>
      <c r="BY814" s="92"/>
      <c r="BZ814" s="92"/>
      <c r="CA814" s="92"/>
      <c r="CB814" s="92"/>
      <c r="CC814" s="92"/>
      <c r="CD814" s="92"/>
      <c r="CE814" s="92"/>
      <c r="CF814" s="92"/>
      <c r="CG814" s="92"/>
      <c r="CH814" s="92"/>
      <c r="CI814" s="92"/>
      <c r="CJ814" s="92"/>
      <c r="CK814" s="92"/>
      <c r="CL814" s="92"/>
      <c r="CM814" s="92"/>
      <c r="CN814" s="92"/>
      <c r="CO814" s="92"/>
      <c r="CP814" s="92"/>
      <c r="CQ814" s="92"/>
      <c r="CR814" s="92"/>
      <c r="CS814" s="92"/>
      <c r="CT814" s="92"/>
      <c r="CU814" s="92"/>
      <c r="CV814" s="92"/>
      <c r="CW814" s="92"/>
      <c r="CX814" s="92"/>
      <c r="CY814" s="92"/>
      <c r="CZ814" s="92"/>
      <c r="DA814" s="92"/>
      <c r="DB814" s="92"/>
      <c r="DC814" s="92"/>
      <c r="DD814" s="92"/>
      <c r="DE814" s="92"/>
      <c r="DF814" s="92"/>
      <c r="DG814" s="92"/>
      <c r="DH814" s="92"/>
      <c r="DI814" s="92"/>
      <c r="DJ814" s="92"/>
      <c r="DK814" s="92"/>
      <c r="DL814" s="92"/>
    </row>
    <row r="815">
      <c r="A815" s="171">
        <v>815.0</v>
      </c>
      <c r="B815" s="180" t="s">
        <v>114</v>
      </c>
      <c r="C815" s="168" t="s">
        <v>115</v>
      </c>
      <c r="D815" s="168" t="s">
        <v>248</v>
      </c>
      <c r="E815" s="164"/>
      <c r="F815" s="732" t="s">
        <v>4457</v>
      </c>
      <c r="G815" s="186" t="s">
        <v>4458</v>
      </c>
      <c r="H815" s="732" t="s">
        <v>249</v>
      </c>
      <c r="I815" s="733">
        <v>45670.0</v>
      </c>
      <c r="J815" s="733">
        <v>45692.0</v>
      </c>
      <c r="K815" s="180"/>
      <c r="L815" s="732" t="s">
        <v>3690</v>
      </c>
      <c r="M815" s="732" t="s">
        <v>4459</v>
      </c>
      <c r="N815" s="732" t="s">
        <v>4460</v>
      </c>
      <c r="O815" s="180"/>
      <c r="P815" s="732" t="str">
        <f t="shared" si="37"/>
        <v>10.1177--0956797611434540.pdf</v>
      </c>
      <c r="Q815" s="1166" t="str">
        <f t="array" ref="Q815"> if(iserror(MATCH(V815, 'File Links'!C:C, 0)), "N/A", HYPERLINK(INDEX('File Links'!B:B, MATCH(P815, 'File Links'!C:C, 0))))</f>
        <v>https://drive.google.com/file/d/1e8g4jGrxeuAKV2niPFAdDVB88LKnVgdm/view?usp=drivesdk</v>
      </c>
      <c r="R815" s="732" t="s">
        <v>3653</v>
      </c>
      <c r="S815" s="732" t="s">
        <v>3654</v>
      </c>
      <c r="T815" s="180"/>
      <c r="U815" s="183">
        <v>1.0</v>
      </c>
      <c r="V815" s="732" t="str">
        <f t="shared" si="44"/>
        <v>10.1098--rsos.231240.pdf</v>
      </c>
      <c r="W815" s="732" t="s">
        <v>324</v>
      </c>
      <c r="X815" s="1167" t="str">
        <f t="array" ref="X815"> if(iserror(MATCH(V815, 'File Links'!C:C, 0)), "N/A", HYPERLINK(INDEX('File Links'!B:B, MATCH(V815, 'File Links'!C:C, 0))))</f>
        <v>https://drive.google.com/file/d/17gaf2Zy_ljFfcAEDk5L8GBnTl5i7RGJE/view?usp=drivesdk</v>
      </c>
      <c r="Y815" s="180"/>
      <c r="Z815" s="732" t="s">
        <v>226</v>
      </c>
      <c r="AA815" s="180"/>
      <c r="AB815" s="732" t="s">
        <v>4426</v>
      </c>
      <c r="AC815" s="180"/>
      <c r="AD815" s="732" t="s">
        <v>4461</v>
      </c>
      <c r="AE815" s="1189">
        <v>798.0</v>
      </c>
      <c r="AF815" s="183">
        <v>48.0</v>
      </c>
      <c r="AG815" s="183">
        <v>0.594</v>
      </c>
      <c r="AH815" s="732" t="s">
        <v>173</v>
      </c>
      <c r="AI815" s="1190" t="s">
        <v>4462</v>
      </c>
      <c r="AJ815" s="833">
        <v>0.03</v>
      </c>
      <c r="AK815" s="186" t="s">
        <v>135</v>
      </c>
      <c r="AL815" s="186" t="s">
        <v>186</v>
      </c>
      <c r="AM815" s="732" t="s">
        <v>137</v>
      </c>
      <c r="AN815" s="175" t="s">
        <v>138</v>
      </c>
      <c r="AO815" s="183">
        <v>51.0</v>
      </c>
      <c r="AP815" s="183">
        <v>0.00884651736929382</v>
      </c>
      <c r="AQ815" s="732" t="s">
        <v>173</v>
      </c>
      <c r="AR815" s="1153" t="s">
        <v>4120</v>
      </c>
      <c r="AS815" s="183">
        <v>0.976202719702489</v>
      </c>
      <c r="AT815" s="732" t="s">
        <v>172</v>
      </c>
      <c r="AU815" s="732" t="s">
        <v>186</v>
      </c>
      <c r="AV815" s="732" t="s">
        <v>1905</v>
      </c>
      <c r="AW815" s="129" t="s">
        <v>138</v>
      </c>
      <c r="AX815" s="732" t="s">
        <v>143</v>
      </c>
      <c r="AY815" s="61" t="str">
        <f>IFERROR(__xludf.DUMMYFUNCTION("vlookup(BB815,importrange(""https://docs.google.com/spreadsheets/d/1d2vevQ_7D_v35q4wCQ4RpQ_IPoTwEMB9Yp6ymwlPqew/edit?gid=984458430#gid=984458430"", ""'replication success'!A:K""), 11, FAlSE)"),"#N/A")</f>
        <v>#N/A</v>
      </c>
      <c r="AZ815" s="61" t="str">
        <f>IFERROR(__xludf.DUMMYFUNCTION("vlookup(BB815,importrange(""https://docs.google.com/spreadsheets/d/1d2vevQ_7D_v35q4wCQ4RpQ_IPoTwEMB9Yp6ymwlPqew/edit?gid=984458430#gid=984458430"", ""'replication success'!A:M""), 12, FAlSE)"),"#N/A")</f>
        <v>#N/A</v>
      </c>
      <c r="BA815" s="61" t="str">
        <f>IFERROR(__xludf.DUMMYFUNCTION("vlookup(BB815,importrange(""https://docs.google.com/spreadsheets/d/1d2vevQ_7D_v35q4wCQ4RpQ_IPoTwEMB9Yp6ymwlPqew/edit?gid=984458430#gid=984458430"", ""'replication success'!A:M""), 13, FAlSE)"),"#N/A")</f>
        <v>#N/A</v>
      </c>
      <c r="BB815" s="61" t="str">
        <f>IFERROR(__xludf.DUMMYFUNCTION("REGEXREPLACE(G815, ""_[a-z]{1,2}$"", """")"),"Boyce_etal2023133_1")</f>
        <v>Boyce_etal2023133_1</v>
      </c>
      <c r="BC815" s="164"/>
      <c r="BD815" s="180" t="s">
        <v>153</v>
      </c>
      <c r="BE815" s="164"/>
      <c r="BF815" s="164"/>
      <c r="BG815" s="164"/>
      <c r="BH815" s="164"/>
      <c r="BI815" s="164"/>
      <c r="BJ815" s="164"/>
      <c r="BK815" s="164"/>
      <c r="BL815" s="164"/>
      <c r="BM815" s="164"/>
      <c r="BN815" s="164"/>
      <c r="BO815" s="164"/>
      <c r="BP815" s="164"/>
      <c r="BQ815" s="164"/>
      <c r="BR815" s="164"/>
      <c r="BS815" s="164"/>
      <c r="BT815" s="164"/>
      <c r="BU815" s="164"/>
      <c r="BV815" s="164"/>
      <c r="BW815" s="164"/>
      <c r="BX815" s="164"/>
      <c r="BY815" s="164"/>
      <c r="BZ815" s="164"/>
      <c r="CA815" s="164"/>
      <c r="CB815" s="164"/>
      <c r="CC815" s="164"/>
      <c r="CD815" s="164"/>
      <c r="CE815" s="164"/>
      <c r="CF815" s="164"/>
      <c r="CG815" s="164"/>
      <c r="CH815" s="164"/>
      <c r="CI815" s="164"/>
      <c r="CJ815" s="164"/>
      <c r="CK815" s="164"/>
      <c r="CL815" s="164"/>
      <c r="CM815" s="164"/>
      <c r="CN815" s="164"/>
      <c r="CO815" s="164"/>
      <c r="CP815" s="164"/>
      <c r="CQ815" s="164"/>
      <c r="CR815" s="164"/>
      <c r="CS815" s="164"/>
      <c r="CT815" s="164"/>
      <c r="CU815" s="164"/>
      <c r="CV815" s="164"/>
      <c r="CW815" s="164"/>
      <c r="CX815" s="164"/>
      <c r="CY815" s="164"/>
      <c r="CZ815" s="164"/>
      <c r="DA815" s="164"/>
      <c r="DB815" s="164"/>
      <c r="DC815" s="164"/>
      <c r="DD815" s="164"/>
      <c r="DE815" s="164"/>
      <c r="DF815" s="164"/>
      <c r="DG815" s="164"/>
      <c r="DH815" s="164"/>
      <c r="DI815" s="164"/>
      <c r="DJ815" s="164"/>
      <c r="DK815" s="164"/>
      <c r="DL815" s="164"/>
    </row>
    <row r="816">
      <c r="A816" s="171">
        <v>816.0</v>
      </c>
      <c r="B816" s="175" t="s">
        <v>152</v>
      </c>
      <c r="C816" s="168" t="s">
        <v>115</v>
      </c>
      <c r="D816" s="168" t="s">
        <v>153</v>
      </c>
      <c r="E816" s="164"/>
      <c r="F816" s="180" t="s">
        <v>4458</v>
      </c>
      <c r="G816" s="186" t="s">
        <v>4457</v>
      </c>
      <c r="H816" s="732" t="s">
        <v>153</v>
      </c>
      <c r="I816" s="733">
        <v>45687.0</v>
      </c>
      <c r="J816" s="733">
        <v>45692.0</v>
      </c>
      <c r="K816" s="180"/>
      <c r="L816" s="180"/>
      <c r="M816" s="732" t="s">
        <v>4459</v>
      </c>
      <c r="N816" s="732" t="s">
        <v>4460</v>
      </c>
      <c r="O816" s="183">
        <v>1.0</v>
      </c>
      <c r="P816" s="732" t="str">
        <f t="shared" si="37"/>
        <v>10.1177--0956797611434540.pdf</v>
      </c>
      <c r="Q816" s="1166" t="str">
        <f t="array" ref="Q816"> if(iserror(MATCH(V816, 'File Links'!C:C, 0)), "N/A", HYPERLINK(INDEX('File Links'!B:B, MATCH(P816, 'File Links'!C:C, 0))))</f>
        <v>https://drive.google.com/file/d/1e8g4jGrxeuAKV2niPFAdDVB88LKnVgdm/view?usp=drivesdk</v>
      </c>
      <c r="R816" s="732" t="s">
        <v>3653</v>
      </c>
      <c r="S816" s="732" t="s">
        <v>3654</v>
      </c>
      <c r="T816" s="180"/>
      <c r="U816" s="183">
        <v>1.0</v>
      </c>
      <c r="V816" s="732" t="str">
        <f t="shared" si="44"/>
        <v>10.1098--rsos.231240.pdf</v>
      </c>
      <c r="W816" s="732" t="s">
        <v>3726</v>
      </c>
      <c r="X816" s="1167" t="str">
        <f t="array" ref="X816"> if(iserror(MATCH(V816, 'File Links'!C:C, 0)), "N/A", HYPERLINK(INDEX('File Links'!B:B, MATCH(V816, 'File Links'!C:C, 0))))</f>
        <v>https://drive.google.com/file/d/17gaf2Zy_ljFfcAEDk5L8GBnTl5i7RGJE/view?usp=drivesdk</v>
      </c>
      <c r="Y816" s="180"/>
      <c r="Z816" s="732" t="s">
        <v>226</v>
      </c>
      <c r="AA816" s="732" t="s">
        <v>4463</v>
      </c>
      <c r="AB816" s="732" t="s">
        <v>4464</v>
      </c>
      <c r="AC816" s="732" t="s">
        <v>4465</v>
      </c>
      <c r="AD816" s="732" t="s">
        <v>4466</v>
      </c>
      <c r="AE816" s="183">
        <v>3.0</v>
      </c>
      <c r="AF816" s="183">
        <v>48.0</v>
      </c>
      <c r="AG816" s="183">
        <v>0.594</v>
      </c>
      <c r="AH816" s="183" t="s">
        <v>173</v>
      </c>
      <c r="AI816" s="183" t="s">
        <v>217</v>
      </c>
      <c r="AJ816" s="833">
        <v>0.03</v>
      </c>
      <c r="AK816" s="186" t="s">
        <v>135</v>
      </c>
      <c r="AL816" s="186" t="s">
        <v>186</v>
      </c>
      <c r="AM816" s="180" t="s">
        <v>137</v>
      </c>
      <c r="AN816" s="175" t="s">
        <v>138</v>
      </c>
      <c r="AO816" s="183">
        <v>51.0</v>
      </c>
      <c r="AP816" s="183">
        <v>0.00884651736929382</v>
      </c>
      <c r="AQ816" s="183" t="s">
        <v>173</v>
      </c>
      <c r="AR816" s="1153" t="s">
        <v>4120</v>
      </c>
      <c r="AS816" s="183">
        <v>0.976202719702489</v>
      </c>
      <c r="AT816" s="732" t="s">
        <v>172</v>
      </c>
      <c r="AU816" s="732" t="s">
        <v>186</v>
      </c>
      <c r="AV816" s="732" t="s">
        <v>1905</v>
      </c>
      <c r="AW816" s="129" t="s">
        <v>138</v>
      </c>
      <c r="AX816" s="180" t="s">
        <v>143</v>
      </c>
      <c r="AY816" s="61" t="str">
        <f>IFERROR(__xludf.DUMMYFUNCTION("vlookup(BB816,importrange(""https://docs.google.com/spreadsheets/d/1d2vevQ_7D_v35q4wCQ4RpQ_IPoTwEMB9Yp6ymwlPqew/edit?gid=984458430#gid=984458430"", ""'replication success'!A:K""), 11, FAlSE)"),"#N/A")</f>
        <v>#N/A</v>
      </c>
      <c r="AZ816" s="61" t="str">
        <f>IFERROR(__xludf.DUMMYFUNCTION("vlookup(BB816,importrange(""https://docs.google.com/spreadsheets/d/1d2vevQ_7D_v35q4wCQ4RpQ_IPoTwEMB9Yp6ymwlPqew/edit?gid=984458430#gid=984458430"", ""'replication success'!A:M""), 12, FAlSE)"),"#N/A")</f>
        <v>#N/A</v>
      </c>
      <c r="BA816" s="61" t="str">
        <f>IFERROR(__xludf.DUMMYFUNCTION("vlookup(BB816,importrange(""https://docs.google.com/spreadsheets/d/1d2vevQ_7D_v35q4wCQ4RpQ_IPoTwEMB9Yp6ymwlPqew/edit?gid=984458430#gid=984458430"", ""'replication success'!A:M""), 13, FAlSE)"),"#N/A")</f>
        <v>#N/A</v>
      </c>
      <c r="BB816" s="61" t="str">
        <f>IFERROR(__xludf.DUMMYFUNCTION("REGEXREPLACE(G816, ""_[a-z]{1,2}$"", """")"),"Boyce_etal2023133")</f>
        <v>Boyce_etal2023133</v>
      </c>
      <c r="BC816" s="164"/>
      <c r="BD816" s="180" t="s">
        <v>153</v>
      </c>
      <c r="BE816" s="164"/>
      <c r="BF816" s="164"/>
      <c r="BG816" s="164"/>
      <c r="BH816" s="164"/>
      <c r="BI816" s="164"/>
      <c r="BJ816" s="164"/>
      <c r="BK816" s="164"/>
      <c r="BL816" s="164"/>
      <c r="BM816" s="164"/>
      <c r="BN816" s="164"/>
      <c r="BO816" s="164"/>
      <c r="BP816" s="164"/>
      <c r="BQ816" s="164"/>
      <c r="BR816" s="164"/>
      <c r="BS816" s="164"/>
      <c r="BT816" s="164"/>
      <c r="BU816" s="164"/>
      <c r="BV816" s="164"/>
      <c r="BW816" s="164"/>
      <c r="BX816" s="164"/>
      <c r="BY816" s="164"/>
      <c r="BZ816" s="164"/>
      <c r="CA816" s="164"/>
      <c r="CB816" s="164"/>
      <c r="CC816" s="164"/>
      <c r="CD816" s="164"/>
      <c r="CE816" s="164"/>
      <c r="CF816" s="164"/>
      <c r="CG816" s="164"/>
      <c r="CH816" s="164"/>
      <c r="CI816" s="164"/>
      <c r="CJ816" s="164"/>
      <c r="CK816" s="164"/>
      <c r="CL816" s="164"/>
      <c r="CM816" s="164"/>
      <c r="CN816" s="164"/>
      <c r="CO816" s="164"/>
      <c r="CP816" s="164"/>
      <c r="CQ816" s="164"/>
      <c r="CR816" s="164"/>
      <c r="CS816" s="164"/>
      <c r="CT816" s="164"/>
      <c r="CU816" s="164"/>
      <c r="CV816" s="164"/>
      <c r="CW816" s="164"/>
      <c r="CX816" s="164"/>
      <c r="CY816" s="164"/>
      <c r="CZ816" s="164"/>
      <c r="DA816" s="164"/>
      <c r="DB816" s="164"/>
      <c r="DC816" s="164"/>
      <c r="DD816" s="164"/>
      <c r="DE816" s="164"/>
      <c r="DF816" s="164"/>
      <c r="DG816" s="164"/>
      <c r="DH816" s="164"/>
      <c r="DI816" s="164"/>
      <c r="DJ816" s="164"/>
      <c r="DK816" s="164"/>
      <c r="DL816" s="164"/>
    </row>
    <row r="817">
      <c r="A817" s="44">
        <v>817.0</v>
      </c>
      <c r="B817" s="68" t="s">
        <v>114</v>
      </c>
      <c r="C817" s="62" t="s">
        <v>115</v>
      </c>
      <c r="D817" s="62" t="s">
        <v>248</v>
      </c>
      <c r="F817" s="159" t="s">
        <v>4467</v>
      </c>
      <c r="G817" s="57" t="s">
        <v>4468</v>
      </c>
      <c r="H817" s="159" t="s">
        <v>249</v>
      </c>
      <c r="I817" s="152">
        <v>45670.0</v>
      </c>
      <c r="J817" s="152">
        <v>45692.0</v>
      </c>
      <c r="K817" s="68"/>
      <c r="L817" s="159" t="s">
        <v>3690</v>
      </c>
      <c r="M817" s="159" t="s">
        <v>4469</v>
      </c>
      <c r="N817" s="159" t="s">
        <v>4470</v>
      </c>
      <c r="O817" s="68"/>
      <c r="P817" s="159" t="str">
        <f t="shared" si="37"/>
        <v>10.1177--0956797614558718.pdf</v>
      </c>
      <c r="Q817" s="52" t="str">
        <f t="array" ref="Q817"> if(iserror(MATCH(V817, 'File Links'!C:C, 0)), "N/A", HYPERLINK(INDEX('File Links'!B:B, MATCH(P817, 'File Links'!C:C, 0))))</f>
        <v>https://drive.google.com/file/d/1VCKoEhCkZgWeNPsAklTrHzvyEtDe0UpM/view?usp=drivesdk</v>
      </c>
      <c r="R817" s="159" t="s">
        <v>3653</v>
      </c>
      <c r="S817" s="159" t="s">
        <v>3654</v>
      </c>
      <c r="T817" s="68"/>
      <c r="U817" s="156">
        <v>1.0</v>
      </c>
      <c r="V817" s="198" t="str">
        <f t="shared" si="44"/>
        <v>10.1098--rsos.231240.pdf</v>
      </c>
      <c r="W817" s="159" t="s">
        <v>3804</v>
      </c>
      <c r="X817" s="54" t="str">
        <f t="array" ref="X817"> if(iserror(MATCH(V817, 'File Links'!C:C, 0)), "N/A", HYPERLINK(INDEX('File Links'!B:B, MATCH(V817, 'File Links'!C:C, 0))))</f>
        <v>https://drive.google.com/file/d/17gaf2Zy_ljFfcAEDk5L8GBnTl5i7RGJE/view?usp=drivesdk</v>
      </c>
      <c r="Y817" s="68"/>
      <c r="Z817" s="159" t="s">
        <v>226</v>
      </c>
      <c r="AA817" s="68"/>
      <c r="AB817" s="159" t="s">
        <v>4471</v>
      </c>
      <c r="AC817" s="68"/>
      <c r="AD817" s="159" t="s">
        <v>4472</v>
      </c>
      <c r="AE817" s="1059">
        <v>172.0</v>
      </c>
      <c r="AF817" s="156">
        <v>288.0</v>
      </c>
      <c r="AG817" s="156">
        <v>0.76</v>
      </c>
      <c r="AH817" s="159" t="s">
        <v>173</v>
      </c>
      <c r="AI817" s="1060" t="s">
        <v>4473</v>
      </c>
      <c r="AJ817" s="709">
        <v>0.001</v>
      </c>
      <c r="AK817" s="57" t="s">
        <v>135</v>
      </c>
      <c r="AL817" s="57" t="s">
        <v>186</v>
      </c>
      <c r="AM817" s="159" t="s">
        <v>1905</v>
      </c>
      <c r="AN817" s="129" t="s">
        <v>138</v>
      </c>
      <c r="AO817" s="156">
        <v>143.0</v>
      </c>
      <c r="AP817" s="156">
        <v>0.927847827173882</v>
      </c>
      <c r="AQ817" s="159" t="s">
        <v>173</v>
      </c>
      <c r="AR817" s="1153" t="s">
        <v>4120</v>
      </c>
      <c r="AS817" s="1061">
        <v>7.47984211800734E-21</v>
      </c>
      <c r="AT817" s="159" t="s">
        <v>172</v>
      </c>
      <c r="AU817" s="159" t="s">
        <v>186</v>
      </c>
      <c r="AV817" s="159" t="s">
        <v>1905</v>
      </c>
      <c r="AW817" s="129" t="s">
        <v>138</v>
      </c>
      <c r="AX817" s="159" t="s">
        <v>143</v>
      </c>
      <c r="AY817" s="61" t="str">
        <f>IFERROR(__xludf.DUMMYFUNCTION("vlookup(BB817,importrange(""https://docs.google.com/spreadsheets/d/1d2vevQ_7D_v35q4wCQ4RpQ_IPoTwEMB9Yp6ymwlPqew/edit?gid=984458430#gid=984458430"", ""'replication success'!A:K""), 11, FAlSE)"),"#N/A")</f>
        <v>#N/A</v>
      </c>
      <c r="AZ817" s="61" t="str">
        <f>IFERROR(__xludf.DUMMYFUNCTION("vlookup(BB817,importrange(""https://docs.google.com/spreadsheets/d/1d2vevQ_7D_v35q4wCQ4RpQ_IPoTwEMB9Yp6ymwlPqew/edit?gid=984458430#gid=984458430"", ""'replication success'!A:M""), 12, FAlSE)"),"#N/A")</f>
        <v>#N/A</v>
      </c>
      <c r="BA817" s="61" t="str">
        <f>IFERROR(__xludf.DUMMYFUNCTION("vlookup(BB817,importrange(""https://docs.google.com/spreadsheets/d/1d2vevQ_7D_v35q4wCQ4RpQ_IPoTwEMB9Yp6ymwlPqew/edit?gid=984458430#gid=984458430"", ""'replication success'!A:M""), 13, FAlSE)"),"#N/A")</f>
        <v>#N/A</v>
      </c>
      <c r="BB817" s="61" t="str">
        <f>IFERROR(__xludf.DUMMYFUNCTION("REGEXREPLACE(G817, ""_[a-z]{1,2}$"", """")"),"Boyce_etal2023134_1")</f>
        <v>Boyce_etal2023134_1</v>
      </c>
      <c r="BD817" s="68" t="s">
        <v>153</v>
      </c>
      <c r="BF817" s="189"/>
      <c r="BG817" s="189"/>
      <c r="BH817" s="189"/>
      <c r="BI817" s="189"/>
      <c r="BJ817" s="189"/>
      <c r="BK817" s="189"/>
      <c r="BL817" s="189"/>
      <c r="BM817" s="189"/>
      <c r="BN817" s="189"/>
      <c r="BO817" s="189"/>
      <c r="BP817" s="189"/>
      <c r="BQ817" s="189"/>
      <c r="BR817" s="189"/>
      <c r="BS817" s="189"/>
      <c r="BT817" s="189"/>
      <c r="BU817" s="189"/>
      <c r="BV817" s="189"/>
      <c r="BW817" s="189"/>
      <c r="BX817" s="189"/>
      <c r="BY817" s="189"/>
      <c r="BZ817" s="189"/>
      <c r="CA817" s="189"/>
      <c r="CB817" s="189"/>
      <c r="CC817" s="189"/>
      <c r="CD817" s="189"/>
      <c r="CE817" s="189"/>
      <c r="CF817" s="189"/>
      <c r="CG817" s="189"/>
      <c r="CH817" s="189"/>
      <c r="CI817" s="189"/>
      <c r="CJ817" s="189"/>
      <c r="CK817" s="189"/>
      <c r="CL817" s="189"/>
      <c r="CM817" s="189"/>
      <c r="CN817" s="189"/>
      <c r="CO817" s="189"/>
      <c r="CP817" s="189"/>
      <c r="CQ817" s="189"/>
      <c r="CR817" s="189"/>
      <c r="CS817" s="189"/>
      <c r="CT817" s="189"/>
      <c r="CU817" s="189"/>
      <c r="CV817" s="189"/>
      <c r="CW817" s="189"/>
      <c r="CX817" s="189"/>
      <c r="CY817" s="189"/>
      <c r="CZ817" s="189"/>
      <c r="DA817" s="189"/>
      <c r="DB817" s="189"/>
      <c r="DC817" s="189"/>
      <c r="DD817" s="189"/>
      <c r="DE817" s="189"/>
      <c r="DF817" s="189"/>
      <c r="DG817" s="189"/>
      <c r="DH817" s="189"/>
      <c r="DI817" s="189"/>
      <c r="DJ817" s="189"/>
      <c r="DK817" s="189"/>
      <c r="DL817" s="189"/>
    </row>
    <row r="818">
      <c r="A818" s="44">
        <v>818.0</v>
      </c>
      <c r="B818" s="129" t="s">
        <v>152</v>
      </c>
      <c r="C818" s="62" t="s">
        <v>115</v>
      </c>
      <c r="D818" s="62" t="s">
        <v>153</v>
      </c>
      <c r="F818" s="68" t="s">
        <v>4468</v>
      </c>
      <c r="G818" s="57" t="s">
        <v>4467</v>
      </c>
      <c r="H818" s="159" t="s">
        <v>153</v>
      </c>
      <c r="I818" s="152">
        <v>45687.0</v>
      </c>
      <c r="J818" s="152">
        <v>45692.0</v>
      </c>
      <c r="K818" s="1055" t="s">
        <v>4474</v>
      </c>
      <c r="L818" s="129" t="s">
        <v>4475</v>
      </c>
      <c r="M818" s="159" t="s">
        <v>4469</v>
      </c>
      <c r="N818" s="159" t="s">
        <v>4470</v>
      </c>
      <c r="O818" s="156" t="s">
        <v>4092</v>
      </c>
      <c r="P818" s="159" t="str">
        <f t="shared" si="37"/>
        <v>10.1177--0956797614558718.pdf</v>
      </c>
      <c r="Q818" s="52" t="str">
        <f t="array" ref="Q818"> if(iserror(MATCH(V818, 'File Links'!C:C, 0)), "N/A", HYPERLINK(INDEX('File Links'!B:B, MATCH(P818, 'File Links'!C:C, 0))))</f>
        <v>https://drive.google.com/file/d/1VCKoEhCkZgWeNPsAklTrHzvyEtDe0UpM/view?usp=drivesdk</v>
      </c>
      <c r="R818" s="159" t="s">
        <v>3653</v>
      </c>
      <c r="S818" s="159" t="s">
        <v>3654</v>
      </c>
      <c r="T818" s="129"/>
      <c r="U818" s="156">
        <v>1.0</v>
      </c>
      <c r="V818" s="198" t="str">
        <f t="shared" si="44"/>
        <v>10.1098--rsos.231240.pdf</v>
      </c>
      <c r="W818" s="159" t="s">
        <v>3807</v>
      </c>
      <c r="X818" s="54" t="str">
        <f t="array" ref="X818"> if(iserror(MATCH(V818, 'File Links'!C:C, 0)), "N/A", HYPERLINK(INDEX('File Links'!B:B, MATCH(V818, 'File Links'!C:C, 0))))</f>
        <v>https://drive.google.com/file/d/17gaf2Zy_ljFfcAEDk5L8GBnTl5i7RGJE/view?usp=drivesdk</v>
      </c>
      <c r="Y818" s="46"/>
      <c r="Z818" s="159" t="s">
        <v>226</v>
      </c>
      <c r="AA818" s="159" t="s">
        <v>4476</v>
      </c>
      <c r="AB818" s="159" t="s">
        <v>4477</v>
      </c>
      <c r="AC818" s="151" t="s">
        <v>4478</v>
      </c>
      <c r="AD818" s="159" t="s">
        <v>4479</v>
      </c>
      <c r="AE818" s="161" t="s">
        <v>4473</v>
      </c>
      <c r="AF818" s="156">
        <v>288.0</v>
      </c>
      <c r="AG818" s="156">
        <v>0.76</v>
      </c>
      <c r="AH818" s="156" t="s">
        <v>173</v>
      </c>
      <c r="AI818" s="161" t="s">
        <v>4473</v>
      </c>
      <c r="AJ818" s="709">
        <v>0.001</v>
      </c>
      <c r="AK818" s="57" t="s">
        <v>135</v>
      </c>
      <c r="AL818" s="57" t="s">
        <v>186</v>
      </c>
      <c r="AM818" s="151" t="s">
        <v>137</v>
      </c>
      <c r="AN818" s="129" t="s">
        <v>138</v>
      </c>
      <c r="AO818" s="156">
        <v>143.0</v>
      </c>
      <c r="AP818" s="161">
        <v>0.9655053</v>
      </c>
      <c r="AQ818" s="156" t="s">
        <v>173</v>
      </c>
      <c r="AR818" s="1153" t="s">
        <v>4120</v>
      </c>
      <c r="AS818" s="161">
        <v>0.01</v>
      </c>
      <c r="AT818" s="151" t="s">
        <v>135</v>
      </c>
      <c r="AU818" s="159" t="s">
        <v>186</v>
      </c>
      <c r="AV818" s="151" t="s">
        <v>137</v>
      </c>
      <c r="AW818" s="435" t="s">
        <v>4480</v>
      </c>
      <c r="AX818" s="68" t="s">
        <v>143</v>
      </c>
      <c r="AY818" s="61" t="str">
        <f>IFERROR(__xludf.DUMMYFUNCTION("vlookup(BB818,importrange(""https://docs.google.com/spreadsheets/d/1d2vevQ_7D_v35q4wCQ4RpQ_IPoTwEMB9Yp6ymwlPqew/edit?gid=984458430#gid=984458430"", ""'replication success'!A:K""), 11, FAlSE)"),"")</f>
        <v/>
      </c>
      <c r="AZ818" s="61" t="str">
        <f>IFERROR(__xludf.DUMMYFUNCTION("vlookup(BB818,importrange(""https://docs.google.com/spreadsheets/d/1d2vevQ_7D_v35q4wCQ4RpQ_IPoTwEMB9Yp6ymwlPqew/edit?gid=984458430#gid=984458430"", ""'replication success'!A:M""), 12, FAlSE)"),"")</f>
        <v/>
      </c>
      <c r="BA818" s="61" t="str">
        <f>IFERROR(__xludf.DUMMYFUNCTION("vlookup(BB818,importrange(""https://docs.google.com/spreadsheets/d/1d2vevQ_7D_v35q4wCQ4RpQ_IPoTwEMB9Yp6ymwlPqew/edit?gid=984458430#gid=984458430"",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v>
      </c>
      <c r="BB818" s="61" t="str">
        <f>IFERROR(__xludf.DUMMYFUNCTION("REGEXREPLACE(G818, ""_[a-z]{1,2}$"", """")"),"Boyce_etal2023134")</f>
        <v>Boyce_etal2023134</v>
      </c>
      <c r="BD818" s="129" t="s">
        <v>3680</v>
      </c>
      <c r="BF818" s="484"/>
      <c r="BG818" s="484"/>
      <c r="BH818" s="484"/>
      <c r="BI818" s="484"/>
      <c r="BJ818" s="484"/>
      <c r="BK818" s="484"/>
      <c r="BL818" s="484"/>
      <c r="BM818" s="484"/>
      <c r="BN818" s="484"/>
      <c r="BO818" s="484"/>
      <c r="BP818" s="484"/>
      <c r="BQ818" s="484"/>
      <c r="BR818" s="484"/>
      <c r="BS818" s="484"/>
      <c r="BT818" s="484"/>
      <c r="BU818" s="484"/>
      <c r="BV818" s="484"/>
      <c r="BW818" s="484"/>
      <c r="BX818" s="484"/>
      <c r="BY818" s="484"/>
      <c r="BZ818" s="484"/>
      <c r="CA818" s="484"/>
      <c r="CB818" s="484"/>
      <c r="CC818" s="484"/>
      <c r="CD818" s="484"/>
      <c r="CE818" s="484"/>
      <c r="CF818" s="484"/>
      <c r="CG818" s="484"/>
      <c r="CH818" s="484"/>
      <c r="CI818" s="484"/>
      <c r="CJ818" s="484"/>
      <c r="CK818" s="484"/>
      <c r="CL818" s="484"/>
      <c r="CM818" s="484"/>
      <c r="CN818" s="484"/>
      <c r="CO818" s="484"/>
      <c r="CP818" s="484"/>
      <c r="CQ818" s="484"/>
      <c r="CR818" s="484"/>
      <c r="CS818" s="484"/>
      <c r="CT818" s="484"/>
      <c r="CU818" s="484"/>
      <c r="CV818" s="484"/>
      <c r="CW818" s="484"/>
      <c r="CX818" s="484"/>
      <c r="CY818" s="484"/>
      <c r="CZ818" s="484"/>
      <c r="DA818" s="484"/>
      <c r="DB818" s="484"/>
      <c r="DC818" s="484"/>
      <c r="DD818" s="484"/>
      <c r="DE818" s="484"/>
      <c r="DF818" s="484"/>
      <c r="DG818" s="484"/>
      <c r="DH818" s="484"/>
      <c r="DI818" s="484"/>
      <c r="DJ818" s="484"/>
      <c r="DK818" s="484"/>
      <c r="DL818" s="484"/>
    </row>
    <row r="819">
      <c r="A819" s="110">
        <v>819.0</v>
      </c>
      <c r="B819" s="111" t="s">
        <v>114</v>
      </c>
      <c r="C819" s="149" t="s">
        <v>115</v>
      </c>
      <c r="D819" s="149" t="s">
        <v>248</v>
      </c>
      <c r="E819" s="71"/>
      <c r="F819" s="122" t="s">
        <v>4481</v>
      </c>
      <c r="G819" s="112" t="s">
        <v>4482</v>
      </c>
      <c r="H819" s="122" t="s">
        <v>249</v>
      </c>
      <c r="I819" s="417">
        <v>45670.0</v>
      </c>
      <c r="J819" s="417">
        <v>45692.0</v>
      </c>
      <c r="K819" s="218" t="s">
        <v>4483</v>
      </c>
      <c r="L819" s="111"/>
      <c r="M819" s="122" t="s">
        <v>4484</v>
      </c>
      <c r="N819" s="122" t="s">
        <v>4485</v>
      </c>
      <c r="O819" s="111"/>
      <c r="P819" s="122" t="str">
        <f t="shared" si="37"/>
        <v>10.1523--jneurosci.2377-10.2010.pdf</v>
      </c>
      <c r="Q819" s="1161" t="str">
        <f t="array" ref="Q819"> if(iserror(MATCH(V819, 'File Links'!C:C, 0)), "N/A", HYPERLINK(INDEX('File Links'!B:B, MATCH(P819, 'File Links'!C:C, 0))))</f>
        <v>https://drive.google.com/file/d/1tNWBEIyqVAkKjP7KUoSu2t3rEj4DPo_A/view?usp=drivesdk</v>
      </c>
      <c r="R819" s="122" t="s">
        <v>3653</v>
      </c>
      <c r="S819" s="122" t="s">
        <v>3654</v>
      </c>
      <c r="T819" s="111"/>
      <c r="U819" s="537">
        <v>1.0</v>
      </c>
      <c r="V819" s="122" t="str">
        <f t="shared" si="44"/>
        <v>10.1098--rsos.231240.pdf</v>
      </c>
      <c r="W819" s="122" t="s">
        <v>324</v>
      </c>
      <c r="X819" s="1162" t="str">
        <f t="array" ref="X819"> if(iserror(MATCH(V819, 'File Links'!C:C, 0)), "N/A", HYPERLINK(INDEX('File Links'!B:B, MATCH(V819, 'File Links'!C:C, 0))))</f>
        <v>https://drive.google.com/file/d/17gaf2Zy_ljFfcAEDk5L8GBnTl5i7RGJE/view?usp=drivesdk</v>
      </c>
      <c r="Y819" s="111"/>
      <c r="Z819" s="122" t="s">
        <v>148</v>
      </c>
      <c r="AA819" s="111"/>
      <c r="AB819" s="111"/>
      <c r="AC819" s="111"/>
      <c r="AD819" s="122" t="s">
        <v>138</v>
      </c>
      <c r="AE819" s="122" t="s">
        <v>138</v>
      </c>
      <c r="AF819" s="537">
        <v>39.0</v>
      </c>
      <c r="AG819" s="122" t="s">
        <v>138</v>
      </c>
      <c r="AH819" s="116" t="s">
        <v>138</v>
      </c>
      <c r="AI819" s="122" t="s">
        <v>138</v>
      </c>
      <c r="AJ819" s="121" t="s">
        <v>138</v>
      </c>
      <c r="AK819" s="114"/>
      <c r="AL819" s="112" t="s">
        <v>186</v>
      </c>
      <c r="AM819" s="122" t="s">
        <v>1905</v>
      </c>
      <c r="AN819" s="147" t="s">
        <v>138</v>
      </c>
      <c r="AO819" s="537">
        <v>20.0</v>
      </c>
      <c r="AP819" s="122" t="s">
        <v>138</v>
      </c>
      <c r="AQ819" s="111"/>
      <c r="AR819" s="1153" t="s">
        <v>4120</v>
      </c>
      <c r="AS819" s="122" t="s">
        <v>138</v>
      </c>
      <c r="AT819" s="122" t="s">
        <v>172</v>
      </c>
      <c r="AU819" s="122" t="s">
        <v>186</v>
      </c>
      <c r="AV819" s="122" t="s">
        <v>1905</v>
      </c>
      <c r="AW819" s="129" t="s">
        <v>138</v>
      </c>
      <c r="AX819" s="122" t="s">
        <v>143</v>
      </c>
      <c r="AY819" s="61" t="str">
        <f>IFERROR(__xludf.DUMMYFUNCTION("vlookup(BB819,importrange(""https://docs.google.com/spreadsheets/d/1d2vevQ_7D_v35q4wCQ4RpQ_IPoTwEMB9Yp6ymwlPqew/edit?gid=984458430#gid=984458430"", ""'replication success'!A:K""), 11, FAlSE)"),"#N/A")</f>
        <v>#N/A</v>
      </c>
      <c r="AZ819" s="61" t="str">
        <f>IFERROR(__xludf.DUMMYFUNCTION("vlookup(BB819,importrange(""https://docs.google.com/spreadsheets/d/1d2vevQ_7D_v35q4wCQ4RpQ_IPoTwEMB9Yp6ymwlPqew/edit?gid=984458430#gid=984458430"", ""'replication success'!A:M""), 12, FAlSE)"),"#N/A")</f>
        <v>#N/A</v>
      </c>
      <c r="BA819" s="61" t="str">
        <f>IFERROR(__xludf.DUMMYFUNCTION("vlookup(BB819,importrange(""https://docs.google.com/spreadsheets/d/1d2vevQ_7D_v35q4wCQ4RpQ_IPoTwEMB9Yp6ymwlPqew/edit?gid=984458430#gid=984458430"", ""'replication success'!A:M""), 13, FAlSE)"),"#N/A")</f>
        <v>#N/A</v>
      </c>
      <c r="BB819" s="61" t="str">
        <f>IFERROR(__xludf.DUMMYFUNCTION("REGEXREPLACE(G819, ""_[a-z]{1,2}$"", """")"),"Boyce_etal2023135_1")</f>
        <v>Boyce_etal2023135_1</v>
      </c>
      <c r="BC819" s="71"/>
      <c r="BD819" s="111" t="s">
        <v>153</v>
      </c>
      <c r="BE819" s="71"/>
      <c r="BF819" s="71"/>
      <c r="BG819" s="71"/>
      <c r="BH819" s="71"/>
      <c r="BI819" s="71"/>
      <c r="BJ819" s="71"/>
      <c r="BK819" s="71"/>
      <c r="BL819" s="71"/>
      <c r="BM819" s="71"/>
      <c r="BN819" s="71"/>
      <c r="BO819" s="71"/>
      <c r="BP819" s="71"/>
      <c r="BQ819" s="71"/>
      <c r="BR819" s="71"/>
      <c r="BS819" s="71"/>
      <c r="BT819" s="71"/>
      <c r="BU819" s="71"/>
      <c r="BV819" s="71"/>
      <c r="BW819" s="71"/>
      <c r="BX819" s="71"/>
      <c r="BY819" s="71"/>
      <c r="BZ819" s="71"/>
      <c r="CA819" s="71"/>
      <c r="CB819" s="71"/>
      <c r="CC819" s="71"/>
      <c r="CD819" s="71"/>
      <c r="CE819" s="71"/>
      <c r="CF819" s="71"/>
      <c r="CG819" s="71"/>
      <c r="CH819" s="71"/>
      <c r="CI819" s="71"/>
      <c r="CJ819" s="71"/>
      <c r="CK819" s="71"/>
      <c r="CL819" s="71"/>
      <c r="CM819" s="71"/>
      <c r="CN819" s="71"/>
      <c r="CO819" s="71"/>
      <c r="CP819" s="71"/>
      <c r="CQ819" s="71"/>
      <c r="CR819" s="71"/>
      <c r="CS819" s="71"/>
      <c r="CT819" s="71"/>
      <c r="CU819" s="71"/>
      <c r="CV819" s="71"/>
      <c r="CW819" s="71"/>
      <c r="CX819" s="71"/>
      <c r="CY819" s="71"/>
      <c r="CZ819" s="71"/>
      <c r="DA819" s="71"/>
      <c r="DB819" s="71"/>
      <c r="DC819" s="71"/>
      <c r="DD819" s="71"/>
      <c r="DE819" s="71"/>
      <c r="DF819" s="71"/>
      <c r="DG819" s="71"/>
      <c r="DH819" s="71"/>
      <c r="DI819" s="71"/>
      <c r="DJ819" s="71"/>
      <c r="DK819" s="71"/>
      <c r="DL819" s="71"/>
    </row>
    <row r="820">
      <c r="A820" s="110">
        <v>820.0</v>
      </c>
      <c r="B820" s="147" t="s">
        <v>114</v>
      </c>
      <c r="C820" s="149" t="s">
        <v>115</v>
      </c>
      <c r="D820" s="149" t="s">
        <v>153</v>
      </c>
      <c r="E820" s="71"/>
      <c r="F820" s="111" t="s">
        <v>4482</v>
      </c>
      <c r="G820" s="112" t="s">
        <v>4481</v>
      </c>
      <c r="H820" s="122" t="s">
        <v>153</v>
      </c>
      <c r="I820" s="417">
        <v>45687.0</v>
      </c>
      <c r="J820" s="417">
        <v>45692.0</v>
      </c>
      <c r="K820" s="218" t="s">
        <v>4486</v>
      </c>
      <c r="L820" s="111"/>
      <c r="M820" s="122" t="s">
        <v>4484</v>
      </c>
      <c r="N820" s="122" t="s">
        <v>4485</v>
      </c>
      <c r="O820" s="537">
        <v>1.0</v>
      </c>
      <c r="P820" s="122" t="str">
        <f t="shared" si="37"/>
        <v>10.1523--jneurosci.2377-10.2010.pdf</v>
      </c>
      <c r="Q820" s="1161" t="str">
        <f t="array" ref="Q820"> if(iserror(MATCH(V820, 'File Links'!C:C, 0)), "N/A", HYPERLINK(INDEX('File Links'!B:B, MATCH(P820, 'File Links'!C:C, 0))))</f>
        <v>https://drive.google.com/file/d/1tNWBEIyqVAkKjP7KUoSu2t3rEj4DPo_A/view?usp=drivesdk</v>
      </c>
      <c r="R820" s="122" t="s">
        <v>3653</v>
      </c>
      <c r="S820" s="122" t="s">
        <v>3654</v>
      </c>
      <c r="T820" s="111"/>
      <c r="U820" s="537">
        <v>1.0</v>
      </c>
      <c r="V820" s="122" t="s">
        <v>3658</v>
      </c>
      <c r="W820" s="122" t="s">
        <v>3726</v>
      </c>
      <c r="X820" s="1162" t="str">
        <f t="array" ref="X820"> if(iserror(MATCH(V820, 'File Links'!C:C, 0)), "N/A", HYPERLINK(INDEX('File Links'!B:B, MATCH(V820, 'File Links'!C:C, 0))))</f>
        <v>https://drive.google.com/file/d/17gaf2Zy_ljFfcAEDk5L8GBnTl5i7RGJE/view?usp=drivesdk</v>
      </c>
      <c r="Y820" s="122" t="s">
        <v>4487</v>
      </c>
      <c r="Z820" s="111"/>
      <c r="AA820" s="111"/>
      <c r="AB820" s="111"/>
      <c r="AC820" s="111"/>
      <c r="AD820" s="111"/>
      <c r="AE820" s="111"/>
      <c r="AF820" s="111"/>
      <c r="AG820" s="111"/>
      <c r="AH820" s="111"/>
      <c r="AI820" s="111"/>
      <c r="AJ820" s="120"/>
      <c r="AK820" s="114"/>
      <c r="AL820" s="114"/>
      <c r="AM820" s="111"/>
      <c r="AN820" s="147" t="s">
        <v>138</v>
      </c>
      <c r="AO820" s="111"/>
      <c r="AP820" s="111"/>
      <c r="AQ820" s="111"/>
      <c r="AR820" s="1153" t="s">
        <v>4120</v>
      </c>
      <c r="AS820" s="111"/>
      <c r="AT820" s="111"/>
      <c r="AU820" s="111"/>
      <c r="AV820" s="111"/>
      <c r="AW820" s="129" t="s">
        <v>138</v>
      </c>
      <c r="AX820" s="111"/>
      <c r="AY820" s="61" t="str">
        <f>IFERROR(__xludf.DUMMYFUNCTION("vlookup(BB820,importrange(""https://docs.google.com/spreadsheets/d/1d2vevQ_7D_v35q4wCQ4RpQ_IPoTwEMB9Yp6ymwlPqew/edit?gid=984458430#gid=984458430"", ""'replication success'!A:K""), 11, FAlSE)"),"#N/A")</f>
        <v>#N/A</v>
      </c>
      <c r="AZ820" s="61" t="str">
        <f>IFERROR(__xludf.DUMMYFUNCTION("vlookup(BB820,importrange(""https://docs.google.com/spreadsheets/d/1d2vevQ_7D_v35q4wCQ4RpQ_IPoTwEMB9Yp6ymwlPqew/edit?gid=984458430#gid=984458430"", ""'replication success'!A:M""), 12, FAlSE)"),"#N/A")</f>
        <v>#N/A</v>
      </c>
      <c r="BA820" s="61" t="str">
        <f>IFERROR(__xludf.DUMMYFUNCTION("vlookup(BB820,importrange(""https://docs.google.com/spreadsheets/d/1d2vevQ_7D_v35q4wCQ4RpQ_IPoTwEMB9Yp6ymwlPqew/edit?gid=984458430#gid=984458430"", ""'replication success'!A:M""), 13, FAlSE)"),"#N/A")</f>
        <v>#N/A</v>
      </c>
      <c r="BB820" s="61" t="str">
        <f>IFERROR(__xludf.DUMMYFUNCTION("REGEXREPLACE(G820, ""_[a-z]{1,2}$"", """")"),"Boyce_etal2023135")</f>
        <v>Boyce_etal2023135</v>
      </c>
      <c r="BC820" s="71"/>
      <c r="BD820" s="111" t="s">
        <v>153</v>
      </c>
      <c r="BE820" s="71"/>
      <c r="BF820" s="71"/>
      <c r="BG820" s="71"/>
      <c r="BH820" s="71"/>
      <c r="BI820" s="71"/>
      <c r="BJ820" s="71"/>
      <c r="BK820" s="71"/>
      <c r="BL820" s="71"/>
      <c r="BM820" s="71"/>
      <c r="BN820" s="71"/>
      <c r="BO820" s="71"/>
      <c r="BP820" s="71"/>
      <c r="BQ820" s="71"/>
      <c r="BR820" s="71"/>
      <c r="BS820" s="71"/>
      <c r="BT820" s="71"/>
      <c r="BU820" s="71"/>
      <c r="BV820" s="71"/>
      <c r="BW820" s="71"/>
      <c r="BX820" s="71"/>
      <c r="BY820" s="71"/>
      <c r="BZ820" s="71"/>
      <c r="CA820" s="71"/>
      <c r="CB820" s="71"/>
      <c r="CC820" s="71"/>
      <c r="CD820" s="71"/>
      <c r="CE820" s="71"/>
      <c r="CF820" s="71"/>
      <c r="CG820" s="71"/>
      <c r="CH820" s="71"/>
      <c r="CI820" s="71"/>
      <c r="CJ820" s="71"/>
      <c r="CK820" s="71"/>
      <c r="CL820" s="71"/>
      <c r="CM820" s="71"/>
      <c r="CN820" s="71"/>
      <c r="CO820" s="71"/>
      <c r="CP820" s="71"/>
      <c r="CQ820" s="71"/>
      <c r="CR820" s="71"/>
      <c r="CS820" s="71"/>
      <c r="CT820" s="71"/>
      <c r="CU820" s="71"/>
      <c r="CV820" s="71"/>
      <c r="CW820" s="71"/>
      <c r="CX820" s="71"/>
      <c r="CY820" s="71"/>
      <c r="CZ820" s="71"/>
      <c r="DA820" s="71"/>
      <c r="DB820" s="71"/>
      <c r="DC820" s="71"/>
      <c r="DD820" s="71"/>
      <c r="DE820" s="71"/>
      <c r="DF820" s="71"/>
      <c r="DG820" s="71"/>
      <c r="DH820" s="71"/>
      <c r="DI820" s="71"/>
      <c r="DJ820" s="71"/>
      <c r="DK820" s="71"/>
      <c r="DL820" s="71"/>
    </row>
    <row r="821">
      <c r="A821" s="44">
        <v>821.0</v>
      </c>
      <c r="B821" s="68" t="s">
        <v>590</v>
      </c>
      <c r="C821" s="62" t="s">
        <v>115</v>
      </c>
      <c r="D821" s="62" t="s">
        <v>153</v>
      </c>
      <c r="F821" s="68" t="s">
        <v>4488</v>
      </c>
      <c r="G821" s="57" t="s">
        <v>4489</v>
      </c>
      <c r="H821" s="159" t="s">
        <v>153</v>
      </c>
      <c r="I821" s="152">
        <v>45687.0</v>
      </c>
      <c r="J821" s="152">
        <v>45692.0</v>
      </c>
      <c r="K821" s="437" t="s">
        <v>4490</v>
      </c>
      <c r="L821" s="159" t="s">
        <v>4491</v>
      </c>
      <c r="M821" s="159" t="s">
        <v>4492</v>
      </c>
      <c r="N821" s="159" t="s">
        <v>4493</v>
      </c>
      <c r="O821" s="156">
        <v>1.0</v>
      </c>
      <c r="P821" s="159" t="str">
        <f t="shared" si="37"/>
        <v>10.1111--j.1467-9280.2008.02227.x.pdf</v>
      </c>
      <c r="Q821" s="52" t="str">
        <f t="array" ref="Q821"> if(iserror(MATCH(V821, 'File Links'!C:C, 0)), "N/A", HYPERLINK(INDEX('File Links'!B:B, MATCH(P821, 'File Links'!C:C, 0))))</f>
        <v>https://drive.google.com/file/d/1WZ-wmp0ZBZO-MwxvYanAL8j3J4k47183/view?usp=drivesdk</v>
      </c>
      <c r="R821" s="159" t="s">
        <v>3653</v>
      </c>
      <c r="S821" s="159" t="s">
        <v>3654</v>
      </c>
      <c r="T821" s="68"/>
      <c r="U821" s="156">
        <v>1.0</v>
      </c>
      <c r="V821" s="198" t="str">
        <f t="shared" ref="V821:V823" si="45"> hyperlink(vlookup(lower(S821),#REF!, 2, FALSE), SUBSTITUTE(lower(S821), "/", "--") &amp;  ".pdf")</f>
        <v>10.1098--rsos.231240.pdf</v>
      </c>
      <c r="W821" s="159" t="s">
        <v>3671</v>
      </c>
      <c r="X821" s="54" t="str">
        <f t="array" ref="X821"> if(iserror(MATCH(V821, 'File Links'!C:C, 0)), "N/A", HYPERLINK(INDEX('File Links'!B:B, MATCH(V821, 'File Links'!C:C, 0))))</f>
        <v>https://drive.google.com/file/d/17gaf2Zy_ljFfcAEDk5L8GBnTl5i7RGJE/view?usp=drivesdk</v>
      </c>
      <c r="Y821" s="68"/>
      <c r="Z821" s="159" t="s">
        <v>226</v>
      </c>
      <c r="AA821" s="159" t="s">
        <v>4494</v>
      </c>
      <c r="AB821" s="159" t="s">
        <v>4495</v>
      </c>
      <c r="AC821" s="159" t="s">
        <v>4496</v>
      </c>
      <c r="AD821" s="159" t="s">
        <v>4497</v>
      </c>
      <c r="AE821" s="156">
        <v>3.0</v>
      </c>
      <c r="AF821" s="156">
        <v>40.0</v>
      </c>
      <c r="AG821" s="156">
        <v>0.9</v>
      </c>
      <c r="AH821" s="156" t="s">
        <v>874</v>
      </c>
      <c r="AI821" s="156" t="s">
        <v>217</v>
      </c>
      <c r="AJ821" s="338"/>
      <c r="AK821" s="61"/>
      <c r="AL821" s="57" t="s">
        <v>136</v>
      </c>
      <c r="AM821" s="68" t="s">
        <v>137</v>
      </c>
      <c r="AN821" s="129" t="s">
        <v>138</v>
      </c>
      <c r="AO821" s="156">
        <v>90.0</v>
      </c>
      <c r="AP821" s="156">
        <v>0.0984246993206124</v>
      </c>
      <c r="AQ821" s="156" t="s">
        <v>173</v>
      </c>
      <c r="AR821" s="1153" t="s">
        <v>4120</v>
      </c>
      <c r="AS821" s="156">
        <v>0.355669153365095</v>
      </c>
      <c r="AT821" s="159" t="s">
        <v>172</v>
      </c>
      <c r="AU821" s="159" t="s">
        <v>136</v>
      </c>
      <c r="AV821" s="68" t="s">
        <v>137</v>
      </c>
      <c r="AW821" s="129" t="s">
        <v>138</v>
      </c>
      <c r="AX821" s="68" t="s">
        <v>143</v>
      </c>
      <c r="AY821" s="61" t="str">
        <f>IFERROR(__xludf.DUMMYFUNCTION("vlookup(BB821,importrange(""https://docs.google.com/spreadsheets/d/1d2vevQ_7D_v35q4wCQ4RpQ_IPoTwEMB9Yp6ymwlPqew/edit?gid=984458430#gid=984458430"", ""'replication success'!A:K""), 11, FAlSE)"),"#N/A")</f>
        <v>#N/A</v>
      </c>
      <c r="AZ821" s="61" t="str">
        <f>IFERROR(__xludf.DUMMYFUNCTION("vlookup(BB821,importrange(""https://docs.google.com/spreadsheets/d/1d2vevQ_7D_v35q4wCQ4RpQ_IPoTwEMB9Yp6ymwlPqew/edit?gid=984458430#gid=984458430"", ""'replication success'!A:M""), 12, FAlSE)"),"#N/A")</f>
        <v>#N/A</v>
      </c>
      <c r="BA821" s="61" t="str">
        <f>IFERROR(__xludf.DUMMYFUNCTION("vlookup(BB821,importrange(""https://docs.google.com/spreadsheets/d/1d2vevQ_7D_v35q4wCQ4RpQ_IPoTwEMB9Yp6ymwlPqew/edit?gid=984458430#gid=984458430"", ""'replication success'!A:M""), 13, FAlSE)"),"#N/A")</f>
        <v>#N/A</v>
      </c>
      <c r="BB821" s="61" t="str">
        <f>IFERROR(__xludf.DUMMYFUNCTION("REGEXREPLACE(G821, ""_[a-z]{1,2}$"", """")"),"Boyce_etal2023136")</f>
        <v>Boyce_etal2023136</v>
      </c>
      <c r="BD821" s="68" t="s">
        <v>153</v>
      </c>
      <c r="BF821" s="71"/>
      <c r="BG821" s="71"/>
      <c r="BH821" s="71"/>
      <c r="BI821" s="71"/>
      <c r="BJ821" s="71"/>
      <c r="BK821" s="71"/>
      <c r="BL821" s="71"/>
      <c r="BM821" s="71"/>
      <c r="BN821" s="71"/>
      <c r="BO821" s="71"/>
      <c r="BP821" s="71"/>
      <c r="BQ821" s="71"/>
      <c r="BR821" s="71"/>
      <c r="BS821" s="71"/>
      <c r="BT821" s="71"/>
      <c r="BU821" s="71"/>
      <c r="BV821" s="71"/>
      <c r="BW821" s="71"/>
      <c r="BX821" s="71"/>
      <c r="BY821" s="71"/>
      <c r="BZ821" s="71"/>
      <c r="CA821" s="71"/>
      <c r="CB821" s="71"/>
      <c r="CC821" s="71"/>
      <c r="CD821" s="71"/>
      <c r="CE821" s="71"/>
      <c r="CF821" s="71"/>
      <c r="CG821" s="71"/>
      <c r="CH821" s="71"/>
      <c r="CI821" s="71"/>
      <c r="CJ821" s="71"/>
      <c r="CK821" s="71"/>
      <c r="CL821" s="71"/>
      <c r="CM821" s="71"/>
      <c r="CN821" s="71"/>
      <c r="CO821" s="71"/>
      <c r="CP821" s="71"/>
      <c r="CQ821" s="71"/>
      <c r="CR821" s="71"/>
      <c r="CS821" s="71"/>
      <c r="CT821" s="71"/>
      <c r="CU821" s="71"/>
      <c r="CV821" s="71"/>
      <c r="CW821" s="71"/>
      <c r="CX821" s="71"/>
      <c r="CY821" s="71"/>
      <c r="CZ821" s="71"/>
      <c r="DA821" s="71"/>
      <c r="DB821" s="71"/>
      <c r="DC821" s="71"/>
      <c r="DD821" s="71"/>
      <c r="DE821" s="71"/>
      <c r="DF821" s="71"/>
      <c r="DG821" s="71"/>
      <c r="DH821" s="71"/>
      <c r="DI821" s="71"/>
      <c r="DJ821" s="71"/>
      <c r="DK821" s="71"/>
      <c r="DL821" s="71"/>
    </row>
    <row r="822">
      <c r="A822" s="44">
        <v>822.0</v>
      </c>
      <c r="B822" s="68" t="s">
        <v>114</v>
      </c>
      <c r="C822" s="62" t="s">
        <v>115</v>
      </c>
      <c r="D822" s="62" t="s">
        <v>248</v>
      </c>
      <c r="F822" s="159" t="s">
        <v>4498</v>
      </c>
      <c r="G822" s="57" t="s">
        <v>4499</v>
      </c>
      <c r="H822" s="159" t="s">
        <v>249</v>
      </c>
      <c r="I822" s="152">
        <v>45670.0</v>
      </c>
      <c r="J822" s="152">
        <v>45692.0</v>
      </c>
      <c r="K822" s="437" t="s">
        <v>4500</v>
      </c>
      <c r="L822" s="159" t="s">
        <v>4501</v>
      </c>
      <c r="M822" s="159" t="s">
        <v>4502</v>
      </c>
      <c r="N822" s="159" t="s">
        <v>4503</v>
      </c>
      <c r="O822" s="68"/>
      <c r="P822" s="159" t="str">
        <f t="shared" si="37"/>
        <v>10.1177--0956797615573516.pdf</v>
      </c>
      <c r="Q822" s="52" t="str">
        <f t="array" ref="Q822"> if(iserror(MATCH(V822, 'File Links'!C:C, 0)), "N/A", HYPERLINK(INDEX('File Links'!B:B, MATCH(P822, 'File Links'!C:C, 0))))</f>
        <v>https://drive.google.com/file/d/1JoVItYnEA8vA70xzVLnQEC3dgxMW-0on/view?usp=drivesdk</v>
      </c>
      <c r="R822" s="159" t="s">
        <v>3653</v>
      </c>
      <c r="S822" s="159" t="s">
        <v>3654</v>
      </c>
      <c r="T822" s="68"/>
      <c r="U822" s="156">
        <v>1.0</v>
      </c>
      <c r="V822" s="198" t="str">
        <f t="shared" si="45"/>
        <v>10.1098--rsos.231240.pdf</v>
      </c>
      <c r="W822" s="159" t="s">
        <v>324</v>
      </c>
      <c r="X822" s="54" t="str">
        <f t="array" ref="X822"> if(iserror(MATCH(V822, 'File Links'!C:C, 0)), "N/A", HYPERLINK(INDEX('File Links'!B:B, MATCH(V822, 'File Links'!C:C, 0))))</f>
        <v>https://drive.google.com/file/d/17gaf2Zy_ljFfcAEDk5L8GBnTl5i7RGJE/view?usp=drivesdk</v>
      </c>
      <c r="Y822" s="68"/>
      <c r="Z822" s="159" t="s">
        <v>226</v>
      </c>
      <c r="AA822" s="68"/>
      <c r="AB822" s="159" t="s">
        <v>3805</v>
      </c>
      <c r="AC822" s="68"/>
      <c r="AD822" s="159" t="s">
        <v>4504</v>
      </c>
      <c r="AE822" s="156">
        <v>8.0</v>
      </c>
      <c r="AF822" s="1059">
        <v>555.0</v>
      </c>
      <c r="AG822" s="156">
        <v>0.21</v>
      </c>
      <c r="AH822" s="159" t="s">
        <v>173</v>
      </c>
      <c r="AI822" s="159" t="s">
        <v>613</v>
      </c>
      <c r="AJ822" s="709">
        <v>0.093</v>
      </c>
      <c r="AK822" s="57" t="s">
        <v>172</v>
      </c>
      <c r="AL822" s="57" t="s">
        <v>136</v>
      </c>
      <c r="AM822" s="159" t="s">
        <v>141</v>
      </c>
      <c r="AN822" s="129" t="s">
        <v>138</v>
      </c>
      <c r="AO822" s="156">
        <v>124.0</v>
      </c>
      <c r="AP822" s="156">
        <v>-0.0580348785702567</v>
      </c>
      <c r="AQ822" s="159" t="s">
        <v>173</v>
      </c>
      <c r="AR822" s="1153" t="s">
        <v>4120</v>
      </c>
      <c r="AS822" s="156">
        <v>0.521018327214011</v>
      </c>
      <c r="AT822" s="159" t="s">
        <v>172</v>
      </c>
      <c r="AU822" s="159" t="s">
        <v>136</v>
      </c>
      <c r="AV822" s="159" t="s">
        <v>141</v>
      </c>
      <c r="AW822" s="129" t="s">
        <v>138</v>
      </c>
      <c r="AX822" s="159" t="s">
        <v>143</v>
      </c>
      <c r="AY822" s="61" t="str">
        <f>IFERROR(__xludf.DUMMYFUNCTION("vlookup(BB822,importrange(""https://docs.google.com/spreadsheets/d/1d2vevQ_7D_v35q4wCQ4RpQ_IPoTwEMB9Yp6ymwlPqew/edit?gid=984458430#gid=984458430"", ""'replication success'!A:K""), 11, FAlSE)"),"failed")</f>
        <v>failed</v>
      </c>
      <c r="AZ822" s="61" t="str">
        <f>IFERROR(__xludf.DUMMYFUNCTION("vlookup(BB822,importrange(""https://docs.google.com/spreadsheets/d/1d2vevQ_7D_v35q4wCQ4RpQ_IPoTwEMB9Yp6ymwlPqew/edit?gid=984458430#gid=984458430"",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22" s="61" t="str">
        <f>IFERROR(__xludf.DUMMYFUNCTION("vlookup(BB822,importrange(""https://docs.google.com/spreadsheets/d/1d2vevQ_7D_v35q4wCQ4RpQ_IPoTwEMB9Yp6ymwlPqew/edit?gid=984458430#gid=984458430"",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22" s="61" t="str">
        <f>IFERROR(__xludf.DUMMYFUNCTION("REGEXREPLACE(G822, ""_[a-z]{1,2}$"", """")"),"Boyce_etal2023137_1")</f>
        <v>Boyce_etal2023137_1</v>
      </c>
      <c r="BD822" s="68" t="s">
        <v>153</v>
      </c>
      <c r="BF822" s="189"/>
      <c r="BG822" s="189"/>
      <c r="BH822" s="189"/>
      <c r="BI822" s="189"/>
      <c r="BJ822" s="189"/>
      <c r="BK822" s="189"/>
      <c r="BL822" s="189"/>
      <c r="BM822" s="189"/>
      <c r="BN822" s="189"/>
      <c r="BO822" s="189"/>
      <c r="BP822" s="189"/>
      <c r="BQ822" s="189"/>
      <c r="BR822" s="189"/>
      <c r="BS822" s="189"/>
      <c r="BT822" s="189"/>
      <c r="BU822" s="189"/>
      <c r="BV822" s="189"/>
      <c r="BW822" s="189"/>
      <c r="BX822" s="189"/>
      <c r="BY822" s="189"/>
      <c r="BZ822" s="189"/>
      <c r="CA822" s="189"/>
      <c r="CB822" s="189"/>
      <c r="CC822" s="189"/>
      <c r="CD822" s="189"/>
      <c r="CE822" s="189"/>
      <c r="CF822" s="189"/>
      <c r="CG822" s="189"/>
      <c r="CH822" s="189"/>
      <c r="CI822" s="189"/>
      <c r="CJ822" s="189"/>
      <c r="CK822" s="189"/>
      <c r="CL822" s="189"/>
      <c r="CM822" s="189"/>
      <c r="CN822" s="189"/>
      <c r="CO822" s="189"/>
      <c r="CP822" s="189"/>
      <c r="CQ822" s="189"/>
      <c r="CR822" s="189"/>
      <c r="CS822" s="189"/>
      <c r="CT822" s="189"/>
      <c r="CU822" s="189"/>
      <c r="CV822" s="189"/>
      <c r="CW822" s="189"/>
      <c r="CX822" s="189"/>
      <c r="CY822" s="189"/>
      <c r="CZ822" s="189"/>
      <c r="DA822" s="189"/>
      <c r="DB822" s="189"/>
      <c r="DC822" s="189"/>
      <c r="DD822" s="189"/>
      <c r="DE822" s="189"/>
      <c r="DF822" s="189"/>
      <c r="DG822" s="189"/>
      <c r="DH822" s="189"/>
      <c r="DI822" s="189"/>
      <c r="DJ822" s="189"/>
      <c r="DK822" s="189"/>
      <c r="DL822" s="189"/>
    </row>
    <row r="823">
      <c r="A823" s="44">
        <v>823.0</v>
      </c>
      <c r="B823" s="129" t="s">
        <v>152</v>
      </c>
      <c r="C823" s="62" t="s">
        <v>115</v>
      </c>
      <c r="D823" s="1063" t="s">
        <v>153</v>
      </c>
      <c r="E823" s="1063" t="s">
        <v>3920</v>
      </c>
      <c r="F823" s="68" t="s">
        <v>4499</v>
      </c>
      <c r="G823" s="57" t="s">
        <v>4505</v>
      </c>
      <c r="H823" s="159" t="s">
        <v>153</v>
      </c>
      <c r="I823" s="152">
        <v>45687.0</v>
      </c>
      <c r="J823" s="152">
        <v>45692.0</v>
      </c>
      <c r="K823" s="437"/>
      <c r="L823" s="151" t="s">
        <v>4506</v>
      </c>
      <c r="M823" s="159" t="s">
        <v>4502</v>
      </c>
      <c r="N823" s="159" t="s">
        <v>4503</v>
      </c>
      <c r="O823" s="156">
        <v>2.0</v>
      </c>
      <c r="P823" s="159" t="str">
        <f t="shared" si="37"/>
        <v>10.1177--0956797615573516.pdf</v>
      </c>
      <c r="Q823" s="52" t="str">
        <f t="array" ref="Q823"> if(iserror(MATCH(V823, 'File Links'!C:C, 0)), "N/A", HYPERLINK(INDEX('File Links'!B:B, MATCH(P823, 'File Links'!C:C, 0))))</f>
        <v>https://drive.google.com/file/d/1JoVItYnEA8vA70xzVLnQEC3dgxMW-0on/view?usp=drivesdk</v>
      </c>
      <c r="R823" s="159" t="s">
        <v>3653</v>
      </c>
      <c r="S823" s="159" t="s">
        <v>3654</v>
      </c>
      <c r="T823" s="68"/>
      <c r="U823" s="156">
        <v>1.0</v>
      </c>
      <c r="V823" s="198" t="str">
        <f t="shared" si="45"/>
        <v>10.1098--rsos.231240.pdf</v>
      </c>
      <c r="W823" s="159" t="s">
        <v>3726</v>
      </c>
      <c r="X823" s="54" t="str">
        <f t="array" ref="X823"> if(iserror(MATCH(V823, 'File Links'!C:C, 0)), "N/A", HYPERLINK(INDEX('File Links'!B:B, MATCH(V823, 'File Links'!C:C, 0))))</f>
        <v>https://drive.google.com/file/d/17gaf2Zy_ljFfcAEDk5L8GBnTl5i7RGJE/view?usp=drivesdk</v>
      </c>
      <c r="Y823" s="68"/>
      <c r="Z823" s="159" t="s">
        <v>226</v>
      </c>
      <c r="AA823" s="159" t="s">
        <v>4507</v>
      </c>
      <c r="AB823" s="159" t="s">
        <v>4508</v>
      </c>
      <c r="AC823" s="159" t="s">
        <v>4509</v>
      </c>
      <c r="AD823" s="159" t="s">
        <v>4510</v>
      </c>
      <c r="AE823" s="156">
        <v>6.0</v>
      </c>
      <c r="AF823" s="1059">
        <v>555.0</v>
      </c>
      <c r="AG823" s="161">
        <v>0.625</v>
      </c>
      <c r="AH823" s="151" t="s">
        <v>173</v>
      </c>
      <c r="AI823" s="161" t="s">
        <v>4511</v>
      </c>
      <c r="AJ823" s="709">
        <v>0.001</v>
      </c>
      <c r="AK823" s="57" t="s">
        <v>172</v>
      </c>
      <c r="AL823" s="57" t="s">
        <v>136</v>
      </c>
      <c r="AM823" s="159" t="s">
        <v>141</v>
      </c>
      <c r="AN823" s="129" t="s">
        <v>138</v>
      </c>
      <c r="AO823" s="156">
        <v>50.0</v>
      </c>
      <c r="AP823" s="156">
        <v>-0.0580348785702567</v>
      </c>
      <c r="AQ823" s="159" t="s">
        <v>173</v>
      </c>
      <c r="AR823" s="1153" t="s">
        <v>4120</v>
      </c>
      <c r="AS823" s="156">
        <f>0.521018327214011</f>
        <v>0.5210183272</v>
      </c>
      <c r="AT823" s="159" t="s">
        <v>172</v>
      </c>
      <c r="AU823" s="159" t="s">
        <v>136</v>
      </c>
      <c r="AV823" s="159" t="s">
        <v>141</v>
      </c>
      <c r="AW823" s="129" t="s">
        <v>138</v>
      </c>
      <c r="AX823" s="68" t="s">
        <v>143</v>
      </c>
      <c r="AY823" s="61" t="str">
        <f>IFERROR(__xludf.DUMMYFUNCTION("vlookup(BB823,importrange(""https://docs.google.com/spreadsheets/d/1d2vevQ_7D_v35q4wCQ4RpQ_IPoTwEMB9Yp6ymwlPqew/edit?gid=984458430#gid=984458430"", ""'replication success'!A:K""), 11, FAlSE)"),"failed")</f>
        <v>failed</v>
      </c>
      <c r="AZ823" s="61" t="str">
        <f>IFERROR(__xludf.DUMMYFUNCTION("vlookup(BB823,importrange(""https://docs.google.com/spreadsheets/d/1d2vevQ_7D_v35q4wCQ4RpQ_IPoTwEMB9Yp6ymwlPqew/edit?gid=984458430#gid=984458430"",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23" s="61" t="str">
        <f>IFERROR(__xludf.DUMMYFUNCTION("vlookup(BB823,importrange(""https://docs.google.com/spreadsheets/d/1d2vevQ_7D_v35q4wCQ4RpQ_IPoTwEMB9Yp6ymwlPqew/edit?gid=984458430#gid=984458430"",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23" s="61" t="str">
        <f>IFERROR(__xludf.DUMMYFUNCTION("REGEXREPLACE(G823, ""_[a-z]{1,2}$"", """")"),"Boyce_etal2023137_1")</f>
        <v>Boyce_etal2023137_1</v>
      </c>
      <c r="BD823" s="129" t="s">
        <v>3680</v>
      </c>
      <c r="BF823" s="189"/>
      <c r="BG823" s="189"/>
      <c r="BH823" s="189"/>
      <c r="BI823" s="189"/>
      <c r="BJ823" s="189"/>
      <c r="BK823" s="189"/>
      <c r="BL823" s="189"/>
      <c r="BM823" s="189"/>
      <c r="BN823" s="189"/>
      <c r="BO823" s="189"/>
      <c r="BP823" s="189"/>
      <c r="BQ823" s="189"/>
      <c r="BR823" s="189"/>
      <c r="BS823" s="189"/>
      <c r="BT823" s="189"/>
      <c r="BU823" s="189"/>
      <c r="BV823" s="189"/>
      <c r="BW823" s="189"/>
      <c r="BX823" s="189"/>
      <c r="BY823" s="189"/>
      <c r="BZ823" s="189"/>
      <c r="CA823" s="189"/>
      <c r="CB823" s="189"/>
      <c r="CC823" s="189"/>
      <c r="CD823" s="189"/>
      <c r="CE823" s="189"/>
      <c r="CF823" s="189"/>
      <c r="CG823" s="189"/>
      <c r="CH823" s="189"/>
      <c r="CI823" s="189"/>
      <c r="CJ823" s="189"/>
      <c r="CK823" s="189"/>
      <c r="CL823" s="189"/>
      <c r="CM823" s="189"/>
      <c r="CN823" s="189"/>
      <c r="CO823" s="189"/>
      <c r="CP823" s="189"/>
      <c r="CQ823" s="189"/>
      <c r="CR823" s="189"/>
      <c r="CS823" s="189"/>
      <c r="CT823" s="189"/>
      <c r="CU823" s="189"/>
      <c r="CV823" s="189"/>
      <c r="CW823" s="189"/>
      <c r="CX823" s="189"/>
      <c r="CY823" s="189"/>
      <c r="CZ823" s="189"/>
      <c r="DA823" s="189"/>
      <c r="DB823" s="189"/>
      <c r="DC823" s="189"/>
      <c r="DD823" s="189"/>
      <c r="DE823" s="189"/>
      <c r="DF823" s="189"/>
      <c r="DG823" s="189"/>
      <c r="DH823" s="189"/>
      <c r="DI823" s="189"/>
      <c r="DJ823" s="189"/>
      <c r="DK823" s="189"/>
      <c r="DL823" s="189"/>
    </row>
    <row r="824">
      <c r="A824" s="44">
        <v>824.0</v>
      </c>
      <c r="B824" s="68" t="s">
        <v>114</v>
      </c>
      <c r="C824" s="62" t="s">
        <v>115</v>
      </c>
      <c r="D824" s="62" t="s">
        <v>153</v>
      </c>
      <c r="F824" s="68" t="s">
        <v>4499</v>
      </c>
      <c r="G824" s="57" t="s">
        <v>4498</v>
      </c>
      <c r="H824" s="159" t="s">
        <v>153</v>
      </c>
      <c r="I824" s="152">
        <v>45687.0</v>
      </c>
      <c r="J824" s="152">
        <v>45692.0</v>
      </c>
      <c r="K824" s="1055" t="s">
        <v>4512</v>
      </c>
      <c r="L824" s="68"/>
      <c r="M824" s="159" t="s">
        <v>4502</v>
      </c>
      <c r="N824" s="159" t="s">
        <v>4503</v>
      </c>
      <c r="O824" s="156">
        <v>3.0</v>
      </c>
      <c r="P824" s="159" t="str">
        <f t="shared" si="37"/>
        <v>10.1177--0956797615573516.pdf</v>
      </c>
      <c r="Q824" s="52" t="str">
        <f t="array" ref="Q824"> if(iserror(MATCH(V824, 'File Links'!C:C, 0)), "N/A", HYPERLINK(INDEX('File Links'!B:B, MATCH(P824, 'File Links'!C:C, 0))))</f>
        <v>https://drive.google.com/file/d/1JoVItYnEA8vA70xzVLnQEC3dgxMW-0on/view?usp=drivesdk</v>
      </c>
      <c r="R824" s="159" t="s">
        <v>3653</v>
      </c>
      <c r="S824" s="159" t="s">
        <v>3654</v>
      </c>
      <c r="T824" s="68"/>
      <c r="U824" s="156">
        <v>1.0</v>
      </c>
      <c r="V824" s="382" t="s">
        <v>3658</v>
      </c>
      <c r="W824" s="68"/>
      <c r="X824" s="54" t="str">
        <f t="array" ref="X824"> if(iserror(MATCH(V824, 'File Links'!C:C, 0)), "N/A", HYPERLINK(INDEX('File Links'!B:B, MATCH(V824, 'File Links'!C:C, 0))))</f>
        <v>https://drive.google.com/file/d/17gaf2Zy_ljFfcAEDk5L8GBnTl5i7RGJE/view?usp=drivesdk</v>
      </c>
      <c r="Y824" s="159" t="s">
        <v>3659</v>
      </c>
      <c r="Z824" s="68"/>
      <c r="AA824" s="68"/>
      <c r="AB824" s="68"/>
      <c r="AC824" s="68"/>
      <c r="AD824" s="68"/>
      <c r="AE824" s="68"/>
      <c r="AF824" s="68"/>
      <c r="AG824" s="68"/>
      <c r="AH824" s="68"/>
      <c r="AI824" s="68"/>
      <c r="AJ824" s="338"/>
      <c r="AK824" s="61"/>
      <c r="AL824" s="61"/>
      <c r="AM824" s="68"/>
      <c r="AN824" s="129" t="s">
        <v>138</v>
      </c>
      <c r="AO824" s="68"/>
      <c r="AP824" s="68"/>
      <c r="AQ824" s="68"/>
      <c r="AR824" s="1153" t="s">
        <v>4120</v>
      </c>
      <c r="AS824" s="68"/>
      <c r="AT824" s="68"/>
      <c r="AU824" s="159" t="s">
        <v>136</v>
      </c>
      <c r="AV824" s="159" t="s">
        <v>141</v>
      </c>
      <c r="AW824" s="129" t="s">
        <v>138</v>
      </c>
      <c r="AX824" s="68"/>
      <c r="AY824" s="61" t="str">
        <f>IFERROR(__xludf.DUMMYFUNCTION("vlookup(BB824,importrange(""https://docs.google.com/spreadsheets/d/1d2vevQ_7D_v35q4wCQ4RpQ_IPoTwEMB9Yp6ymwlPqew/edit?gid=984458430#gid=984458430"", ""'replication success'!A:K""), 11, FAlSE)"),"#N/A")</f>
        <v>#N/A</v>
      </c>
      <c r="AZ824" s="61" t="str">
        <f>IFERROR(__xludf.DUMMYFUNCTION("vlookup(BB824,importrange(""https://docs.google.com/spreadsheets/d/1d2vevQ_7D_v35q4wCQ4RpQ_IPoTwEMB9Yp6ymwlPqew/edit?gid=984458430#gid=984458430"", ""'replication success'!A:M""), 12, FAlSE)"),"#N/A")</f>
        <v>#N/A</v>
      </c>
      <c r="BA824" s="61" t="str">
        <f>IFERROR(__xludf.DUMMYFUNCTION("vlookup(BB824,importrange(""https://docs.google.com/spreadsheets/d/1d2vevQ_7D_v35q4wCQ4RpQ_IPoTwEMB9Yp6ymwlPqew/edit?gid=984458430#gid=984458430"", ""'replication success'!A:M""), 13, FAlSE)"),"#N/A")</f>
        <v>#N/A</v>
      </c>
      <c r="BB824" s="61" t="str">
        <f>IFERROR(__xludf.DUMMYFUNCTION("REGEXREPLACE(G824, ""_[a-z]{1,2}$"", """")"),"Boyce_etal2023137")</f>
        <v>Boyce_etal2023137</v>
      </c>
      <c r="BD824" s="68" t="s">
        <v>153</v>
      </c>
    </row>
    <row r="825">
      <c r="A825" s="110">
        <v>825.0</v>
      </c>
      <c r="B825" s="147" t="s">
        <v>152</v>
      </c>
      <c r="C825" s="149" t="s">
        <v>115</v>
      </c>
      <c r="D825" s="149" t="s">
        <v>153</v>
      </c>
      <c r="E825" s="71"/>
      <c r="F825" s="111" t="s">
        <v>4513</v>
      </c>
      <c r="G825" s="112" t="s">
        <v>4514</v>
      </c>
      <c r="H825" s="122" t="s">
        <v>153</v>
      </c>
      <c r="I825" s="417">
        <v>45687.0</v>
      </c>
      <c r="J825" s="417">
        <v>45692.0</v>
      </c>
      <c r="K825" s="1121" t="s">
        <v>4515</v>
      </c>
      <c r="L825" s="111"/>
      <c r="M825" s="122" t="s">
        <v>4502</v>
      </c>
      <c r="N825" s="122" t="s">
        <v>4503</v>
      </c>
      <c r="O825" s="537">
        <v>2.0</v>
      </c>
      <c r="P825" s="122" t="str">
        <f t="shared" si="37"/>
        <v>10.1177--0956797615573516.pdf</v>
      </c>
      <c r="Q825" s="1161" t="str">
        <f t="array" ref="Q825"> if(iserror(MATCH(V825, 'File Links'!C:C, 0)), "N/A", HYPERLINK(INDEX('File Links'!B:B, MATCH(P825, 'File Links'!C:C, 0))))</f>
        <v>https://drive.google.com/file/d/1JoVItYnEA8vA70xzVLnQEC3dgxMW-0on/view?usp=drivesdk</v>
      </c>
      <c r="R825" s="122" t="s">
        <v>3653</v>
      </c>
      <c r="S825" s="122" t="s">
        <v>3654</v>
      </c>
      <c r="T825" s="111"/>
      <c r="U825" s="537">
        <v>1.0</v>
      </c>
      <c r="V825" s="122" t="str">
        <f t="shared" ref="V825:V867" si="46"> hyperlink(vlookup(lower(S825),#REF!, 2, FALSE), SUBSTITUTE(lower(S825), "/", "--") &amp;  ".pdf")</f>
        <v>10.1098--rsos.231240.pdf</v>
      </c>
      <c r="W825" s="122" t="s">
        <v>3807</v>
      </c>
      <c r="X825" s="1162" t="str">
        <f t="array" ref="X825"> if(iserror(MATCH(V825, 'File Links'!C:C, 0)), "N/A", HYPERLINK(INDEX('File Links'!B:B, MATCH(V825, 'File Links'!C:C, 0))))</f>
        <v>https://drive.google.com/file/d/17gaf2Zy_ljFfcAEDk5L8GBnTl5i7RGJE/view?usp=drivesdk</v>
      </c>
      <c r="Y825" s="111"/>
      <c r="Z825" s="122" t="s">
        <v>226</v>
      </c>
      <c r="AA825" s="122" t="s">
        <v>4507</v>
      </c>
      <c r="AB825" s="122" t="s">
        <v>4508</v>
      </c>
      <c r="AC825" s="122" t="s">
        <v>4516</v>
      </c>
      <c r="AD825" s="122" t="s">
        <v>4517</v>
      </c>
      <c r="AE825" s="537">
        <v>6.0</v>
      </c>
      <c r="AF825" s="537">
        <v>151.0</v>
      </c>
      <c r="AG825" s="537">
        <v>0.07</v>
      </c>
      <c r="AH825" s="537" t="s">
        <v>139</v>
      </c>
      <c r="AI825" s="537" t="s">
        <v>140</v>
      </c>
      <c r="AJ825" s="1110">
        <v>0.001</v>
      </c>
      <c r="AK825" s="112" t="s">
        <v>135</v>
      </c>
      <c r="AL825" s="112" t="s">
        <v>136</v>
      </c>
      <c r="AM825" s="122" t="s">
        <v>141</v>
      </c>
      <c r="AN825" s="147" t="s">
        <v>138</v>
      </c>
      <c r="AO825" s="537">
        <v>50.0</v>
      </c>
      <c r="AP825" s="1191">
        <v>0.07</v>
      </c>
      <c r="AQ825" s="537" t="s">
        <v>874</v>
      </c>
      <c r="AR825" s="537" t="s">
        <v>613</v>
      </c>
      <c r="AS825" s="537">
        <v>0.002</v>
      </c>
      <c r="AT825" s="122" t="s">
        <v>172</v>
      </c>
      <c r="AU825" s="122" t="s">
        <v>136</v>
      </c>
      <c r="AV825" s="122" t="s">
        <v>141</v>
      </c>
      <c r="AW825" s="129" t="s">
        <v>138</v>
      </c>
      <c r="AX825" s="111" t="s">
        <v>143</v>
      </c>
      <c r="AY825" s="61" t="str">
        <f>IFERROR(__xludf.DUMMYFUNCTION("vlookup(BB825,importrange(""https://docs.google.com/spreadsheets/d/1d2vevQ_7D_v35q4wCQ4RpQ_IPoTwEMB9Yp6ymwlPqew/edit?gid=984458430#gid=984458430"", ""'replication success'!A:K""), 11, FAlSE)"),"#N/A")</f>
        <v>#N/A</v>
      </c>
      <c r="AZ825" s="61" t="str">
        <f>IFERROR(__xludf.DUMMYFUNCTION("vlookup(BB825,importrange(""https://docs.google.com/spreadsheets/d/1d2vevQ_7D_v35q4wCQ4RpQ_IPoTwEMB9Yp6ymwlPqew/edit?gid=984458430#gid=984458430"", ""'replication success'!A:M""), 12, FAlSE)"),"#N/A")</f>
        <v>#N/A</v>
      </c>
      <c r="BA825" s="61" t="str">
        <f>IFERROR(__xludf.DUMMYFUNCTION("vlookup(BB825,importrange(""https://docs.google.com/spreadsheets/d/1d2vevQ_7D_v35q4wCQ4RpQ_IPoTwEMB9Yp6ymwlPqew/edit?gid=984458430#gid=984458430"", ""'replication success'!A:M""), 13, FAlSE)"),"#N/A")</f>
        <v>#N/A</v>
      </c>
      <c r="BB825" s="61" t="str">
        <f>IFERROR(__xludf.DUMMYFUNCTION("REGEXREPLACE(G825, ""_[a-z]{1,2}$"", """")"),"Boyce_etal2023138_1")</f>
        <v>Boyce_etal2023138_1</v>
      </c>
      <c r="BC825" s="71"/>
      <c r="BD825" s="111" t="s">
        <v>153</v>
      </c>
      <c r="BE825" s="71"/>
      <c r="BF825" s="71"/>
      <c r="BG825" s="71"/>
      <c r="BH825" s="71"/>
      <c r="BI825" s="71"/>
      <c r="BJ825" s="71"/>
      <c r="BK825" s="71"/>
      <c r="BL825" s="71"/>
      <c r="BM825" s="71"/>
      <c r="BN825" s="71"/>
      <c r="BO825" s="71"/>
      <c r="BP825" s="71"/>
      <c r="BQ825" s="71"/>
      <c r="BR825" s="71"/>
      <c r="BS825" s="71"/>
      <c r="BT825" s="71"/>
      <c r="BU825" s="71"/>
      <c r="BV825" s="71"/>
      <c r="BW825" s="71"/>
      <c r="BX825" s="71"/>
      <c r="BY825" s="71"/>
      <c r="BZ825" s="71"/>
      <c r="CA825" s="71"/>
      <c r="CB825" s="71"/>
      <c r="CC825" s="71"/>
      <c r="CD825" s="71"/>
      <c r="CE825" s="71"/>
      <c r="CF825" s="71"/>
      <c r="CG825" s="71"/>
      <c r="CH825" s="71"/>
      <c r="CI825" s="71"/>
      <c r="CJ825" s="71"/>
      <c r="CK825" s="71"/>
      <c r="CL825" s="71"/>
      <c r="CM825" s="71"/>
      <c r="CN825" s="71"/>
      <c r="CO825" s="71"/>
      <c r="CP825" s="71"/>
      <c r="CQ825" s="71"/>
      <c r="CR825" s="71"/>
      <c r="CS825" s="71"/>
      <c r="CT825" s="71"/>
      <c r="CU825" s="71"/>
      <c r="CV825" s="71"/>
      <c r="CW825" s="71"/>
      <c r="CX825" s="71"/>
      <c r="CY825" s="71"/>
      <c r="CZ825" s="71"/>
      <c r="DA825" s="71"/>
      <c r="DB825" s="71"/>
      <c r="DC825" s="71"/>
      <c r="DD825" s="71"/>
      <c r="DE825" s="71"/>
      <c r="DF825" s="71"/>
      <c r="DG825" s="71"/>
      <c r="DH825" s="71"/>
      <c r="DI825" s="71"/>
      <c r="DJ825" s="71"/>
      <c r="DK825" s="71"/>
      <c r="DL825" s="71"/>
    </row>
    <row r="826">
      <c r="A826" s="110">
        <v>826.0</v>
      </c>
      <c r="B826" s="111" t="s">
        <v>114</v>
      </c>
      <c r="C826" s="149" t="s">
        <v>115</v>
      </c>
      <c r="D826" s="149" t="s">
        <v>248</v>
      </c>
      <c r="E826" s="71"/>
      <c r="F826" s="111" t="s">
        <v>4513</v>
      </c>
      <c r="G826" s="112" t="s">
        <v>4518</v>
      </c>
      <c r="H826" s="122" t="s">
        <v>249</v>
      </c>
      <c r="I826" s="417">
        <v>45670.0</v>
      </c>
      <c r="J826" s="417">
        <v>45692.0</v>
      </c>
      <c r="K826" s="218" t="s">
        <v>4519</v>
      </c>
      <c r="L826" s="111" t="s">
        <v>4520</v>
      </c>
      <c r="M826" s="122" t="s">
        <v>4502</v>
      </c>
      <c r="N826" s="122" t="s">
        <v>4503</v>
      </c>
      <c r="O826" s="111"/>
      <c r="P826" s="122" t="str">
        <f t="shared" si="37"/>
        <v>10.1177--0956797615573516.pdf</v>
      </c>
      <c r="Q826" s="1161" t="str">
        <f t="array" ref="Q826"> if(iserror(MATCH(V826, 'File Links'!C:C, 0)), "N/A", HYPERLINK(INDEX('File Links'!B:B, MATCH(P826, 'File Links'!C:C, 0))))</f>
        <v>https://drive.google.com/file/d/1JoVItYnEA8vA70xzVLnQEC3dgxMW-0on/view?usp=drivesdk</v>
      </c>
      <c r="R826" s="122" t="s">
        <v>3653</v>
      </c>
      <c r="S826" s="122" t="s">
        <v>3654</v>
      </c>
      <c r="T826" s="111"/>
      <c r="U826" s="537">
        <v>1.0</v>
      </c>
      <c r="V826" s="122" t="str">
        <f t="shared" si="46"/>
        <v>10.1098--rsos.231240.pdf</v>
      </c>
      <c r="W826" s="122" t="s">
        <v>3807</v>
      </c>
      <c r="X826" s="1162" t="str">
        <f t="array" ref="X826"> if(iserror(MATCH(V826, 'File Links'!C:C, 0)), "N/A", HYPERLINK(INDEX('File Links'!B:B, MATCH(V826, 'File Links'!C:C, 0))))</f>
        <v>https://drive.google.com/file/d/17gaf2Zy_ljFfcAEDk5L8GBnTl5i7RGJE/view?usp=drivesdk</v>
      </c>
      <c r="Y826" s="111"/>
      <c r="Z826" s="122" t="s">
        <v>226</v>
      </c>
      <c r="AA826" s="111"/>
      <c r="AB826" s="122" t="s">
        <v>4521</v>
      </c>
      <c r="AC826" s="111"/>
      <c r="AD826" s="122" t="s">
        <v>4522</v>
      </c>
      <c r="AE826" s="537">
        <v>2.0</v>
      </c>
      <c r="AF826" s="537">
        <v>151.0</v>
      </c>
      <c r="AG826" s="1106">
        <v>0.7</v>
      </c>
      <c r="AH826" s="122" t="s">
        <v>139</v>
      </c>
      <c r="AI826" s="122" t="s">
        <v>140</v>
      </c>
      <c r="AJ826" s="366">
        <v>0.001</v>
      </c>
      <c r="AK826" s="112" t="s">
        <v>172</v>
      </c>
      <c r="AL826" s="112" t="s">
        <v>136</v>
      </c>
      <c r="AM826" s="122" t="s">
        <v>141</v>
      </c>
      <c r="AN826" s="147" t="s">
        <v>138</v>
      </c>
      <c r="AO826" s="537">
        <v>50.0</v>
      </c>
      <c r="AP826" s="537">
        <v>3.63</v>
      </c>
      <c r="AQ826" s="122" t="s">
        <v>1031</v>
      </c>
      <c r="AR826" s="111"/>
      <c r="AS826" s="537">
        <v>0.002</v>
      </c>
      <c r="AT826" s="122" t="s">
        <v>172</v>
      </c>
      <c r="AU826" s="122" t="s">
        <v>136</v>
      </c>
      <c r="AV826" s="122" t="s">
        <v>141</v>
      </c>
      <c r="AW826" s="129" t="s">
        <v>138</v>
      </c>
      <c r="AX826" s="122" t="s">
        <v>143</v>
      </c>
      <c r="AY826" s="61" t="str">
        <f>IFERROR(__xludf.DUMMYFUNCTION("vlookup(BB826,importrange(""https://docs.google.com/spreadsheets/d/1d2vevQ_7D_v35q4wCQ4RpQ_IPoTwEMB9Yp6ymwlPqew/edit?gid=984458430#gid=984458430"", ""'replication success'!A:K""), 11, FAlSE)"),"failed")</f>
        <v>failed</v>
      </c>
      <c r="AZ826" s="61" t="str">
        <f>IFERROR(__xludf.DUMMYFUNCTION("vlookup(BB826,importrange(""https://docs.google.com/spreadsheets/d/1d2vevQ_7D_v35q4wCQ4RpQ_IPoTwEMB9Yp6ymwlPqew/edit?gid=984458430#gid=984458430"",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26" s="61" t="str">
        <f>IFERROR(__xludf.DUMMYFUNCTION("vlookup(BB826,importrange(""https://docs.google.com/spreadsheets/d/1d2vevQ_7D_v35q4wCQ4RpQ_IPoTwEMB9Yp6ymwlPqew/edit?gid=984458430#gid=984458430"",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26" s="61" t="str">
        <f>IFERROR(__xludf.DUMMYFUNCTION("REGEXREPLACE(G826, ""_[a-z]{1,2}$"", """")"),"Boyce_etal2023137_1")</f>
        <v>Boyce_etal2023137_1</v>
      </c>
      <c r="BC826" s="71"/>
      <c r="BD826" s="111" t="s">
        <v>153</v>
      </c>
      <c r="BE826" s="71"/>
      <c r="BF826" s="71"/>
      <c r="BG826" s="71"/>
      <c r="BH826" s="71"/>
      <c r="BI826" s="71"/>
      <c r="BJ826" s="71"/>
      <c r="BK826" s="71"/>
      <c r="BL826" s="71"/>
      <c r="BM826" s="71"/>
      <c r="BN826" s="71"/>
      <c r="BO826" s="71"/>
      <c r="BP826" s="71"/>
      <c r="BQ826" s="71"/>
      <c r="BR826" s="71"/>
      <c r="BS826" s="71"/>
      <c r="BT826" s="71"/>
      <c r="BU826" s="71"/>
      <c r="BV826" s="71"/>
      <c r="BW826" s="71"/>
      <c r="BX826" s="71"/>
      <c r="BY826" s="71"/>
      <c r="BZ826" s="71"/>
      <c r="CA826" s="71"/>
      <c r="CB826" s="71"/>
      <c r="CC826" s="71"/>
      <c r="CD826" s="71"/>
      <c r="CE826" s="71"/>
      <c r="CF826" s="71"/>
      <c r="CG826" s="71"/>
      <c r="CH826" s="71"/>
      <c r="CI826" s="71"/>
      <c r="CJ826" s="71"/>
      <c r="CK826" s="71"/>
      <c r="CL826" s="71"/>
      <c r="CM826" s="71"/>
      <c r="CN826" s="71"/>
      <c r="CO826" s="71"/>
      <c r="CP826" s="71"/>
      <c r="CQ826" s="71"/>
      <c r="CR826" s="71"/>
      <c r="CS826" s="71"/>
      <c r="CT826" s="71"/>
      <c r="CU826" s="71"/>
      <c r="CV826" s="71"/>
      <c r="CW826" s="71"/>
      <c r="CX826" s="71"/>
      <c r="CY826" s="71"/>
      <c r="CZ826" s="71"/>
      <c r="DA826" s="71"/>
      <c r="DB826" s="71"/>
      <c r="DC826" s="71"/>
      <c r="DD826" s="71"/>
      <c r="DE826" s="71"/>
      <c r="DF826" s="71"/>
      <c r="DG826" s="71"/>
      <c r="DH826" s="71"/>
      <c r="DI826" s="71"/>
      <c r="DJ826" s="71"/>
      <c r="DK826" s="71"/>
      <c r="DL826" s="71"/>
    </row>
    <row r="827">
      <c r="A827" s="110">
        <v>827.0</v>
      </c>
      <c r="B827" s="147" t="s">
        <v>4523</v>
      </c>
      <c r="C827" s="149" t="s">
        <v>115</v>
      </c>
      <c r="D827" s="149" t="s">
        <v>153</v>
      </c>
      <c r="E827" s="71"/>
      <c r="F827" s="111" t="s">
        <v>4513</v>
      </c>
      <c r="G827" s="112" t="s">
        <v>4524</v>
      </c>
      <c r="H827" s="122" t="s">
        <v>153</v>
      </c>
      <c r="I827" s="417">
        <v>45687.0</v>
      </c>
      <c r="J827" s="417">
        <v>45692.0</v>
      </c>
      <c r="K827" s="1121" t="s">
        <v>4525</v>
      </c>
      <c r="L827" s="111"/>
      <c r="M827" s="122" t="s">
        <v>4502</v>
      </c>
      <c r="N827" s="122" t="s">
        <v>4503</v>
      </c>
      <c r="O827" s="537">
        <v>2.0</v>
      </c>
      <c r="P827" s="122" t="str">
        <f t="shared" si="37"/>
        <v>10.1177--0956797615573516.pdf</v>
      </c>
      <c r="Q827" s="1161" t="str">
        <f t="array" ref="Q827"> if(iserror(MATCH(V827, 'File Links'!C:C, 0)), "N/A", HYPERLINK(INDEX('File Links'!B:B, MATCH(P827, 'File Links'!C:C, 0))))</f>
        <v>https://drive.google.com/file/d/1JoVItYnEA8vA70xzVLnQEC3dgxMW-0on/view?usp=drivesdk</v>
      </c>
      <c r="R827" s="122" t="s">
        <v>3653</v>
      </c>
      <c r="S827" s="122" t="s">
        <v>3654</v>
      </c>
      <c r="T827" s="111"/>
      <c r="U827" s="537">
        <v>1.0</v>
      </c>
      <c r="V827" s="122" t="str">
        <f t="shared" si="46"/>
        <v>10.1098--rsos.231240.pdf</v>
      </c>
      <c r="W827" s="122" t="s">
        <v>3807</v>
      </c>
      <c r="X827" s="1162" t="str">
        <f t="array" ref="X827"> if(iserror(MATCH(V827, 'File Links'!C:C, 0)), "N/A", HYPERLINK(INDEX('File Links'!B:B, MATCH(V827, 'File Links'!C:C, 0))))</f>
        <v>https://drive.google.com/file/d/17gaf2Zy_ljFfcAEDk5L8GBnTl5i7RGJE/view?usp=drivesdk</v>
      </c>
      <c r="Y827" s="111"/>
      <c r="Z827" s="122" t="s">
        <v>226</v>
      </c>
      <c r="AA827" s="122" t="s">
        <v>4507</v>
      </c>
      <c r="AB827" s="122" t="s">
        <v>4508</v>
      </c>
      <c r="AC827" s="122" t="s">
        <v>4526</v>
      </c>
      <c r="AD827" s="122" t="s">
        <v>4527</v>
      </c>
      <c r="AE827" s="537">
        <v>6.0</v>
      </c>
      <c r="AF827" s="537">
        <v>151.0</v>
      </c>
      <c r="AG827" s="537" t="s">
        <v>4528</v>
      </c>
      <c r="AH827" s="537" t="s">
        <v>134</v>
      </c>
      <c r="AI827" s="537" t="s">
        <v>140</v>
      </c>
      <c r="AJ827" s="366">
        <v>0.001</v>
      </c>
      <c r="AK827" s="112" t="s">
        <v>135</v>
      </c>
      <c r="AL827" s="112" t="s">
        <v>136</v>
      </c>
      <c r="AM827" s="122" t="s">
        <v>141</v>
      </c>
      <c r="AN827" s="147" t="s">
        <v>138</v>
      </c>
      <c r="AO827" s="537">
        <v>50.0</v>
      </c>
      <c r="AP827" s="537" t="s">
        <v>4529</v>
      </c>
      <c r="AQ827" s="537" t="s">
        <v>134</v>
      </c>
      <c r="AR827" s="537" t="s">
        <v>613</v>
      </c>
      <c r="AS827" s="537">
        <v>0.001</v>
      </c>
      <c r="AT827" s="122" t="s">
        <v>135</v>
      </c>
      <c r="AU827" s="122" t="s">
        <v>136</v>
      </c>
      <c r="AV827" s="122" t="s">
        <v>141</v>
      </c>
      <c r="AW827" s="129" t="s">
        <v>138</v>
      </c>
      <c r="AX827" s="111" t="s">
        <v>143</v>
      </c>
      <c r="AY827" s="61" t="str">
        <f>IFERROR(__xludf.DUMMYFUNCTION("vlookup(BB827,importrange(""https://docs.google.com/spreadsheets/d/1d2vevQ_7D_v35q4wCQ4RpQ_IPoTwEMB9Yp6ymwlPqew/edit?gid=984458430#gid=984458430"", ""'replication success'!A:K""), 11, FAlSE)"),"#N/A")</f>
        <v>#N/A</v>
      </c>
      <c r="AZ827" s="61" t="str">
        <f>IFERROR(__xludf.DUMMYFUNCTION("vlookup(BB827,importrange(""https://docs.google.com/spreadsheets/d/1d2vevQ_7D_v35q4wCQ4RpQ_IPoTwEMB9Yp6ymwlPqew/edit?gid=984458430#gid=984458430"", ""'replication success'!A:M""), 12, FAlSE)"),"#N/A")</f>
        <v>#N/A</v>
      </c>
      <c r="BA827" s="61" t="str">
        <f>IFERROR(__xludf.DUMMYFUNCTION("vlookup(BB827,importrange(""https://docs.google.com/spreadsheets/d/1d2vevQ_7D_v35q4wCQ4RpQ_IPoTwEMB9Yp6ymwlPqew/edit?gid=984458430#gid=984458430"", ""'replication success'!A:M""), 13, FAlSE)"),"#N/A")</f>
        <v>#N/A</v>
      </c>
      <c r="BB827" s="61" t="str">
        <f>IFERROR(__xludf.DUMMYFUNCTION("REGEXREPLACE(G827, ""_[a-z]{1,2}$"", """")"),"Boyce_etal2023138_1")</f>
        <v>Boyce_etal2023138_1</v>
      </c>
      <c r="BC827" s="71"/>
      <c r="BD827" s="111" t="s">
        <v>153</v>
      </c>
      <c r="BE827" s="71"/>
      <c r="BF827" s="71"/>
      <c r="BG827" s="71"/>
      <c r="BH827" s="71"/>
      <c r="BI827" s="71"/>
      <c r="BJ827" s="71"/>
      <c r="BK827" s="71"/>
      <c r="BL827" s="71"/>
      <c r="BM827" s="71"/>
      <c r="BN827" s="71"/>
      <c r="BO827" s="71"/>
      <c r="BP827" s="71"/>
      <c r="BQ827" s="71"/>
      <c r="BR827" s="71"/>
      <c r="BS827" s="71"/>
      <c r="BT827" s="71"/>
      <c r="BU827" s="71"/>
      <c r="BV827" s="71"/>
      <c r="BW827" s="71"/>
      <c r="BX827" s="71"/>
      <c r="BY827" s="71"/>
      <c r="BZ827" s="71"/>
      <c r="CA827" s="71"/>
      <c r="CB827" s="71"/>
      <c r="CC827" s="71"/>
      <c r="CD827" s="71"/>
      <c r="CE827" s="71"/>
      <c r="CF827" s="71"/>
      <c r="CG827" s="71"/>
      <c r="CH827" s="71"/>
      <c r="CI827" s="71"/>
      <c r="CJ827" s="71"/>
      <c r="CK827" s="71"/>
      <c r="CL827" s="71"/>
      <c r="CM827" s="71"/>
      <c r="CN827" s="71"/>
      <c r="CO827" s="71"/>
      <c r="CP827" s="71"/>
      <c r="CQ827" s="71"/>
      <c r="CR827" s="71"/>
      <c r="CS827" s="71"/>
      <c r="CT827" s="71"/>
      <c r="CU827" s="71"/>
      <c r="CV827" s="71"/>
      <c r="CW827" s="71"/>
      <c r="CX827" s="71"/>
      <c r="CY827" s="71"/>
      <c r="CZ827" s="71"/>
      <c r="DA827" s="71"/>
      <c r="DB827" s="71"/>
      <c r="DC827" s="71"/>
      <c r="DD827" s="71"/>
      <c r="DE827" s="71"/>
      <c r="DF827" s="71"/>
      <c r="DG827" s="71"/>
      <c r="DH827" s="71"/>
      <c r="DI827" s="71"/>
      <c r="DJ827" s="71"/>
      <c r="DK827" s="71"/>
      <c r="DL827" s="71"/>
    </row>
    <row r="828">
      <c r="A828" s="110">
        <v>828.0</v>
      </c>
      <c r="B828" s="147" t="s">
        <v>4523</v>
      </c>
      <c r="C828" s="149" t="s">
        <v>115</v>
      </c>
      <c r="D828" s="149" t="s">
        <v>153</v>
      </c>
      <c r="E828" s="71"/>
      <c r="F828" s="111" t="s">
        <v>4513</v>
      </c>
      <c r="G828" s="112" t="s">
        <v>4530</v>
      </c>
      <c r="H828" s="122" t="s">
        <v>153</v>
      </c>
      <c r="I828" s="417">
        <v>45687.0</v>
      </c>
      <c r="J828" s="417">
        <v>45692.0</v>
      </c>
      <c r="K828" s="1121" t="s">
        <v>4531</v>
      </c>
      <c r="L828" s="111"/>
      <c r="M828" s="122" t="s">
        <v>4502</v>
      </c>
      <c r="N828" s="122" t="s">
        <v>4503</v>
      </c>
      <c r="O828" s="537">
        <v>2.0</v>
      </c>
      <c r="P828" s="122" t="str">
        <f t="shared" si="37"/>
        <v>10.1177--0956797615573516.pdf</v>
      </c>
      <c r="Q828" s="1161" t="str">
        <f t="array" ref="Q828"> if(iserror(MATCH(V828, 'File Links'!C:C, 0)), "N/A", HYPERLINK(INDEX('File Links'!B:B, MATCH(P828, 'File Links'!C:C, 0))))</f>
        <v>https://drive.google.com/file/d/1JoVItYnEA8vA70xzVLnQEC3dgxMW-0on/view?usp=drivesdk</v>
      </c>
      <c r="R828" s="122" t="s">
        <v>3653</v>
      </c>
      <c r="S828" s="122" t="s">
        <v>3654</v>
      </c>
      <c r="T828" s="111"/>
      <c r="U828" s="537">
        <v>1.0</v>
      </c>
      <c r="V828" s="122" t="str">
        <f t="shared" si="46"/>
        <v>10.1098--rsos.231240.pdf</v>
      </c>
      <c r="W828" s="122" t="s">
        <v>3807</v>
      </c>
      <c r="X828" s="1162" t="str">
        <f t="array" ref="X828"> if(iserror(MATCH(V828, 'File Links'!C:C, 0)), "N/A", HYPERLINK(INDEX('File Links'!B:B, MATCH(V828, 'File Links'!C:C, 0))))</f>
        <v>https://drive.google.com/file/d/17gaf2Zy_ljFfcAEDk5L8GBnTl5i7RGJE/view?usp=drivesdk</v>
      </c>
      <c r="Y828" s="111"/>
      <c r="Z828" s="122" t="s">
        <v>226</v>
      </c>
      <c r="AA828" s="122" t="s">
        <v>4507</v>
      </c>
      <c r="AB828" s="122" t="s">
        <v>4508</v>
      </c>
      <c r="AC828" s="122" t="s">
        <v>4509</v>
      </c>
      <c r="AD828" s="122" t="s">
        <v>4527</v>
      </c>
      <c r="AE828" s="537">
        <v>6.0</v>
      </c>
      <c r="AF828" s="537">
        <v>151.0</v>
      </c>
      <c r="AG828" s="537" t="s">
        <v>4532</v>
      </c>
      <c r="AH828" s="537" t="s">
        <v>134</v>
      </c>
      <c r="AI828" s="537" t="s">
        <v>140</v>
      </c>
      <c r="AJ828" s="366">
        <v>0.15</v>
      </c>
      <c r="AK828" s="112" t="s">
        <v>172</v>
      </c>
      <c r="AL828" s="112" t="s">
        <v>136</v>
      </c>
      <c r="AM828" s="122" t="s">
        <v>141</v>
      </c>
      <c r="AN828" s="147" t="s">
        <v>138</v>
      </c>
      <c r="AO828" s="537">
        <v>50.0</v>
      </c>
      <c r="AP828" s="537" t="s">
        <v>4533</v>
      </c>
      <c r="AQ828" s="537" t="s">
        <v>134</v>
      </c>
      <c r="AR828" s="537" t="s">
        <v>613</v>
      </c>
      <c r="AS828" s="537">
        <v>0.238</v>
      </c>
      <c r="AT828" s="122" t="s">
        <v>172</v>
      </c>
      <c r="AU828" s="122" t="s">
        <v>136</v>
      </c>
      <c r="AV828" s="122" t="s">
        <v>141</v>
      </c>
      <c r="AW828" s="129" t="s">
        <v>138</v>
      </c>
      <c r="AX828" s="111" t="s">
        <v>143</v>
      </c>
      <c r="AY828" s="61" t="str">
        <f>IFERROR(__xludf.DUMMYFUNCTION("vlookup(BB828,importrange(""https://docs.google.com/spreadsheets/d/1d2vevQ_7D_v35q4wCQ4RpQ_IPoTwEMB9Yp6ymwlPqew/edit?gid=984458430#gid=984458430"", ""'replication success'!A:K""), 11, FAlSE)"),"#N/A")</f>
        <v>#N/A</v>
      </c>
      <c r="AZ828" s="61" t="str">
        <f>IFERROR(__xludf.DUMMYFUNCTION("vlookup(BB828,importrange(""https://docs.google.com/spreadsheets/d/1d2vevQ_7D_v35q4wCQ4RpQ_IPoTwEMB9Yp6ymwlPqew/edit?gid=984458430#gid=984458430"", ""'replication success'!A:M""), 12, FAlSE)"),"#N/A")</f>
        <v>#N/A</v>
      </c>
      <c r="BA828" s="61" t="str">
        <f>IFERROR(__xludf.DUMMYFUNCTION("vlookup(BB828,importrange(""https://docs.google.com/spreadsheets/d/1d2vevQ_7D_v35q4wCQ4RpQ_IPoTwEMB9Yp6ymwlPqew/edit?gid=984458430#gid=984458430"", ""'replication success'!A:M""), 13, FAlSE)"),"#N/A")</f>
        <v>#N/A</v>
      </c>
      <c r="BB828" s="61" t="str">
        <f>IFERROR(__xludf.DUMMYFUNCTION("REGEXREPLACE(G828, ""_[a-z]{1,2}$"", """")"),"Boyce_etal2023138_1")</f>
        <v>Boyce_etal2023138_1</v>
      </c>
      <c r="BC828" s="71"/>
      <c r="BD828" s="111" t="s">
        <v>153</v>
      </c>
      <c r="BE828" s="71"/>
      <c r="BF828" s="71"/>
      <c r="BG828" s="71"/>
      <c r="BH828" s="71"/>
      <c r="BI828" s="71"/>
      <c r="BJ828" s="71"/>
      <c r="BK828" s="71"/>
      <c r="BL828" s="71"/>
      <c r="BM828" s="71"/>
      <c r="BN828" s="71"/>
      <c r="BO828" s="71"/>
      <c r="BP828" s="71"/>
      <c r="BQ828" s="71"/>
      <c r="BR828" s="71"/>
      <c r="BS828" s="71"/>
      <c r="BT828" s="71"/>
      <c r="BU828" s="71"/>
      <c r="BV828" s="71"/>
      <c r="BW828" s="71"/>
      <c r="BX828" s="71"/>
      <c r="BY828" s="71"/>
      <c r="BZ828" s="71"/>
      <c r="CA828" s="71"/>
      <c r="CB828" s="71"/>
      <c r="CC828" s="71"/>
      <c r="CD828" s="71"/>
      <c r="CE828" s="71"/>
      <c r="CF828" s="71"/>
      <c r="CG828" s="71"/>
      <c r="CH828" s="71"/>
      <c r="CI828" s="71"/>
      <c r="CJ828" s="71"/>
      <c r="CK828" s="71"/>
      <c r="CL828" s="71"/>
      <c r="CM828" s="71"/>
      <c r="CN828" s="71"/>
      <c r="CO828" s="71"/>
      <c r="CP828" s="71"/>
      <c r="CQ828" s="71"/>
      <c r="CR828" s="71"/>
      <c r="CS828" s="71"/>
      <c r="CT828" s="71"/>
      <c r="CU828" s="71"/>
      <c r="CV828" s="71"/>
      <c r="CW828" s="71"/>
      <c r="CX828" s="71"/>
      <c r="CY828" s="71"/>
      <c r="CZ828" s="71"/>
      <c r="DA828" s="71"/>
      <c r="DB828" s="71"/>
      <c r="DC828" s="71"/>
      <c r="DD828" s="71"/>
      <c r="DE828" s="71"/>
      <c r="DF828" s="71"/>
      <c r="DG828" s="71"/>
      <c r="DH828" s="71"/>
      <c r="DI828" s="71"/>
      <c r="DJ828" s="71"/>
      <c r="DK828" s="71"/>
      <c r="DL828" s="71"/>
    </row>
    <row r="829">
      <c r="A829" s="110">
        <v>829.0</v>
      </c>
      <c r="B829" s="147" t="s">
        <v>4523</v>
      </c>
      <c r="C829" s="149" t="s">
        <v>115</v>
      </c>
      <c r="D829" s="149" t="s">
        <v>153</v>
      </c>
      <c r="E829" s="71"/>
      <c r="F829" s="111" t="s">
        <v>4513</v>
      </c>
      <c r="G829" s="112" t="s">
        <v>4534</v>
      </c>
      <c r="H829" s="122" t="s">
        <v>153</v>
      </c>
      <c r="I829" s="417">
        <v>45687.0</v>
      </c>
      <c r="J829" s="417">
        <v>45692.0</v>
      </c>
      <c r="K829" s="1121" t="s">
        <v>4535</v>
      </c>
      <c r="L829" s="111"/>
      <c r="M829" s="122" t="s">
        <v>4502</v>
      </c>
      <c r="N829" s="122" t="s">
        <v>4503</v>
      </c>
      <c r="O829" s="537">
        <v>2.0</v>
      </c>
      <c r="P829" s="122" t="str">
        <f t="shared" si="37"/>
        <v>10.1177--0956797615573516.pdf</v>
      </c>
      <c r="Q829" s="1161" t="str">
        <f t="array" ref="Q829"> if(iserror(MATCH(V829, 'File Links'!C:C, 0)), "N/A", HYPERLINK(INDEX('File Links'!B:B, MATCH(P829, 'File Links'!C:C, 0))))</f>
        <v>https://drive.google.com/file/d/1JoVItYnEA8vA70xzVLnQEC3dgxMW-0on/view?usp=drivesdk</v>
      </c>
      <c r="R829" s="122" t="s">
        <v>3653</v>
      </c>
      <c r="S829" s="122" t="s">
        <v>3654</v>
      </c>
      <c r="T829" s="111"/>
      <c r="U829" s="537">
        <v>1.0</v>
      </c>
      <c r="V829" s="122" t="str">
        <f t="shared" si="46"/>
        <v>10.1098--rsos.231240.pdf</v>
      </c>
      <c r="W829" s="122" t="s">
        <v>3807</v>
      </c>
      <c r="X829" s="1162" t="str">
        <f t="array" ref="X829"> if(iserror(MATCH(V829, 'File Links'!C:C, 0)), "N/A", HYPERLINK(INDEX('File Links'!B:B, MATCH(V829, 'File Links'!C:C, 0))))</f>
        <v>https://drive.google.com/file/d/17gaf2Zy_ljFfcAEDk5L8GBnTl5i7RGJE/view?usp=drivesdk</v>
      </c>
      <c r="Y829" s="111"/>
      <c r="Z829" s="122" t="s">
        <v>226</v>
      </c>
      <c r="AA829" s="122" t="s">
        <v>4507</v>
      </c>
      <c r="AB829" s="122" t="s">
        <v>4508</v>
      </c>
      <c r="AC829" s="122" t="s">
        <v>4536</v>
      </c>
      <c r="AD829" s="122" t="s">
        <v>4537</v>
      </c>
      <c r="AE829" s="537">
        <v>6.0</v>
      </c>
      <c r="AF829" s="537">
        <v>151.0</v>
      </c>
      <c r="AG829" s="537">
        <v>0.07</v>
      </c>
      <c r="AH829" s="537" t="s">
        <v>139</v>
      </c>
      <c r="AI829" s="537" t="s">
        <v>140</v>
      </c>
      <c r="AJ829" s="366">
        <v>0.001</v>
      </c>
      <c r="AK829" s="112" t="s">
        <v>172</v>
      </c>
      <c r="AL829" s="112" t="s">
        <v>136</v>
      </c>
      <c r="AM829" s="122" t="s">
        <v>141</v>
      </c>
      <c r="AN829" s="147" t="s">
        <v>138</v>
      </c>
      <c r="AO829" s="537">
        <v>50.0</v>
      </c>
      <c r="AP829" s="537" t="s">
        <v>4538</v>
      </c>
      <c r="AQ829" s="537" t="s">
        <v>134</v>
      </c>
      <c r="AR829" s="537" t="s">
        <v>612</v>
      </c>
      <c r="AS829" s="537">
        <v>0.071</v>
      </c>
      <c r="AT829" s="122" t="s">
        <v>172</v>
      </c>
      <c r="AU829" s="122" t="s">
        <v>136</v>
      </c>
      <c r="AV829" s="122" t="s">
        <v>141</v>
      </c>
      <c r="AW829" s="129" t="s">
        <v>138</v>
      </c>
      <c r="AX829" s="111" t="s">
        <v>143</v>
      </c>
      <c r="AY829" s="61" t="str">
        <f>IFERROR(__xludf.DUMMYFUNCTION("vlookup(BB829,importrange(""https://docs.google.com/spreadsheets/d/1d2vevQ_7D_v35q4wCQ4RpQ_IPoTwEMB9Yp6ymwlPqew/edit?gid=984458430#gid=984458430"", ""'replication success'!A:K""), 11, FAlSE)"),"#N/A")</f>
        <v>#N/A</v>
      </c>
      <c r="AZ829" s="61" t="str">
        <f>IFERROR(__xludf.DUMMYFUNCTION("vlookup(BB829,importrange(""https://docs.google.com/spreadsheets/d/1d2vevQ_7D_v35q4wCQ4RpQ_IPoTwEMB9Yp6ymwlPqew/edit?gid=984458430#gid=984458430"", ""'replication success'!A:M""), 12, FAlSE)"),"#N/A")</f>
        <v>#N/A</v>
      </c>
      <c r="BA829" s="61" t="str">
        <f>IFERROR(__xludf.DUMMYFUNCTION("vlookup(BB829,importrange(""https://docs.google.com/spreadsheets/d/1d2vevQ_7D_v35q4wCQ4RpQ_IPoTwEMB9Yp6ymwlPqew/edit?gid=984458430#gid=984458430"", ""'replication success'!A:M""), 13, FAlSE)"),"#N/A")</f>
        <v>#N/A</v>
      </c>
      <c r="BB829" s="61" t="str">
        <f>IFERROR(__xludf.DUMMYFUNCTION("REGEXREPLACE(G829, ""_[a-z]{1,2}$"", """")"),"Boyce_etal2023138_1")</f>
        <v>Boyce_etal2023138_1</v>
      </c>
      <c r="BC829" s="71"/>
      <c r="BD829" s="111" t="s">
        <v>153</v>
      </c>
      <c r="BE829" s="71"/>
      <c r="BF829" s="71"/>
      <c r="BG829" s="71"/>
      <c r="BH829" s="71"/>
      <c r="BI829" s="71"/>
      <c r="BJ829" s="71"/>
      <c r="BK829" s="71"/>
      <c r="BL829" s="71"/>
      <c r="BM829" s="71"/>
      <c r="BN829" s="71"/>
      <c r="BO829" s="71"/>
      <c r="BP829" s="71"/>
      <c r="BQ829" s="71"/>
      <c r="BR829" s="71"/>
      <c r="BS829" s="71"/>
      <c r="BT829" s="71"/>
      <c r="BU829" s="71"/>
      <c r="BV829" s="71"/>
      <c r="BW829" s="71"/>
      <c r="BX829" s="71"/>
      <c r="BY829" s="71"/>
      <c r="BZ829" s="71"/>
      <c r="CA829" s="71"/>
      <c r="CB829" s="71"/>
      <c r="CC829" s="71"/>
      <c r="CD829" s="71"/>
      <c r="CE829" s="71"/>
      <c r="CF829" s="71"/>
      <c r="CG829" s="71"/>
      <c r="CH829" s="71"/>
      <c r="CI829" s="71"/>
      <c r="CJ829" s="71"/>
      <c r="CK829" s="71"/>
      <c r="CL829" s="71"/>
      <c r="CM829" s="71"/>
      <c r="CN829" s="71"/>
      <c r="CO829" s="71"/>
      <c r="CP829" s="71"/>
      <c r="CQ829" s="71"/>
      <c r="CR829" s="71"/>
      <c r="CS829" s="71"/>
      <c r="CT829" s="71"/>
      <c r="CU829" s="71"/>
      <c r="CV829" s="71"/>
      <c r="CW829" s="71"/>
      <c r="CX829" s="71"/>
      <c r="CY829" s="71"/>
      <c r="CZ829" s="71"/>
      <c r="DA829" s="71"/>
      <c r="DB829" s="71"/>
      <c r="DC829" s="71"/>
      <c r="DD829" s="71"/>
      <c r="DE829" s="71"/>
      <c r="DF829" s="71"/>
      <c r="DG829" s="71"/>
      <c r="DH829" s="71"/>
      <c r="DI829" s="71"/>
      <c r="DJ829" s="71"/>
      <c r="DK829" s="71"/>
      <c r="DL829" s="71"/>
    </row>
    <row r="830">
      <c r="A830" s="110">
        <v>830.0</v>
      </c>
      <c r="B830" s="111" t="s">
        <v>114</v>
      </c>
      <c r="C830" s="149" t="s">
        <v>115</v>
      </c>
      <c r="D830" s="149" t="s">
        <v>248</v>
      </c>
      <c r="E830" s="71"/>
      <c r="F830" s="111" t="s">
        <v>4513</v>
      </c>
      <c r="G830" s="112" t="s">
        <v>4505</v>
      </c>
      <c r="H830" s="122" t="s">
        <v>249</v>
      </c>
      <c r="I830" s="417">
        <v>45670.0</v>
      </c>
      <c r="J830" s="417">
        <v>45692.0</v>
      </c>
      <c r="K830" s="111"/>
      <c r="L830" s="111" t="s">
        <v>4520</v>
      </c>
      <c r="M830" s="122" t="s">
        <v>4502</v>
      </c>
      <c r="N830" s="122" t="s">
        <v>4503</v>
      </c>
      <c r="O830" s="111"/>
      <c r="P830" s="122" t="str">
        <f t="shared" si="37"/>
        <v>10.1177--0956797615573516.pdf</v>
      </c>
      <c r="Q830" s="1161" t="str">
        <f t="array" ref="Q830"> if(iserror(MATCH(V830, 'File Links'!C:C, 0)), "N/A", HYPERLINK(INDEX('File Links'!B:B, MATCH(P830, 'File Links'!C:C, 0))))</f>
        <v>https://drive.google.com/file/d/1JoVItYnEA8vA70xzVLnQEC3dgxMW-0on/view?usp=drivesdk</v>
      </c>
      <c r="R830" s="122" t="s">
        <v>3653</v>
      </c>
      <c r="S830" s="122" t="s">
        <v>3654</v>
      </c>
      <c r="T830" s="111"/>
      <c r="U830" s="537">
        <v>1.0</v>
      </c>
      <c r="V830" s="122" t="str">
        <f t="shared" si="46"/>
        <v>10.1098--rsos.231240.pdf</v>
      </c>
      <c r="W830" s="122" t="s">
        <v>3807</v>
      </c>
      <c r="X830" s="1162" t="str">
        <f t="array" ref="X830"> if(iserror(MATCH(V830, 'File Links'!C:C, 0)), "N/A", HYPERLINK(INDEX('File Links'!B:B, MATCH(V830, 'File Links'!C:C, 0))))</f>
        <v>https://drive.google.com/file/d/17gaf2Zy_ljFfcAEDk5L8GBnTl5i7RGJE/view?usp=drivesdk</v>
      </c>
      <c r="Y830" s="111"/>
      <c r="Z830" s="122" t="s">
        <v>226</v>
      </c>
      <c r="AA830" s="111"/>
      <c r="AB830" s="122" t="s">
        <v>4539</v>
      </c>
      <c r="AC830" s="111"/>
      <c r="AD830" s="122" t="s">
        <v>4522</v>
      </c>
      <c r="AE830" s="537">
        <v>2.0</v>
      </c>
      <c r="AF830" s="537">
        <v>151.0</v>
      </c>
      <c r="AG830" s="1106">
        <v>0.7</v>
      </c>
      <c r="AH830" s="122" t="s">
        <v>139</v>
      </c>
      <c r="AI830" s="122" t="s">
        <v>140</v>
      </c>
      <c r="AJ830" s="366">
        <v>0.001</v>
      </c>
      <c r="AK830" s="112" t="s">
        <v>172</v>
      </c>
      <c r="AL830" s="112" t="s">
        <v>136</v>
      </c>
      <c r="AM830" s="122" t="s">
        <v>141</v>
      </c>
      <c r="AN830" s="147" t="s">
        <v>138</v>
      </c>
      <c r="AO830" s="537">
        <v>50.0</v>
      </c>
      <c r="AP830" s="537">
        <v>3.43</v>
      </c>
      <c r="AQ830" s="122" t="s">
        <v>1031</v>
      </c>
      <c r="AR830" s="111"/>
      <c r="AS830" s="537">
        <v>0.071</v>
      </c>
      <c r="AT830" s="122" t="s">
        <v>172</v>
      </c>
      <c r="AU830" s="122" t="s">
        <v>136</v>
      </c>
      <c r="AV830" s="122" t="s">
        <v>141</v>
      </c>
      <c r="AW830" s="129" t="s">
        <v>138</v>
      </c>
      <c r="AX830" s="122" t="s">
        <v>143</v>
      </c>
      <c r="AY830" s="61" t="str">
        <f>IFERROR(__xludf.DUMMYFUNCTION("vlookup(BB830,importrange(""https://docs.google.com/spreadsheets/d/1d2vevQ_7D_v35q4wCQ4RpQ_IPoTwEMB9Yp6ymwlPqew/edit?gid=984458430#gid=984458430"", ""'replication success'!A:K""), 11, FAlSE)"),"failed")</f>
        <v>failed</v>
      </c>
      <c r="AZ830" s="61" t="str">
        <f>IFERROR(__xludf.DUMMYFUNCTION("vlookup(BB830,importrange(""https://docs.google.com/spreadsheets/d/1d2vevQ_7D_v35q4wCQ4RpQ_IPoTwEMB9Yp6ymwlPqew/edit?gid=984458430#gid=984458430"",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30" s="61" t="str">
        <f>IFERROR(__xludf.DUMMYFUNCTION("vlookup(BB830,importrange(""https://docs.google.com/spreadsheets/d/1d2vevQ_7D_v35q4wCQ4RpQ_IPoTwEMB9Yp6ymwlPqew/edit?gid=984458430#gid=984458430"",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30" s="61" t="str">
        <f>IFERROR(__xludf.DUMMYFUNCTION("REGEXREPLACE(G830, ""_[a-z]{1,2}$"", """")"),"Boyce_etal2023137_1")</f>
        <v>Boyce_etal2023137_1</v>
      </c>
      <c r="BC830" s="71"/>
      <c r="BD830" s="111" t="s">
        <v>153</v>
      </c>
      <c r="BE830" s="71"/>
      <c r="BF830" s="71"/>
      <c r="BG830" s="71"/>
      <c r="BH830" s="71"/>
      <c r="BI830" s="71"/>
      <c r="BJ830" s="71"/>
      <c r="BK830" s="71"/>
      <c r="BL830" s="71"/>
      <c r="BM830" s="71"/>
      <c r="BN830" s="71"/>
      <c r="BO830" s="71"/>
      <c r="BP830" s="71"/>
      <c r="BQ830" s="71"/>
      <c r="BR830" s="71"/>
      <c r="BS830" s="71"/>
      <c r="BT830" s="71"/>
      <c r="BU830" s="71"/>
      <c r="BV830" s="71"/>
      <c r="BW830" s="71"/>
      <c r="BX830" s="71"/>
      <c r="BY830" s="71"/>
      <c r="BZ830" s="71"/>
      <c r="CA830" s="71"/>
      <c r="CB830" s="71"/>
      <c r="CC830" s="71"/>
      <c r="CD830" s="71"/>
      <c r="CE830" s="71"/>
      <c r="CF830" s="71"/>
      <c r="CG830" s="71"/>
      <c r="CH830" s="71"/>
      <c r="CI830" s="71"/>
      <c r="CJ830" s="71"/>
      <c r="CK830" s="71"/>
      <c r="CL830" s="71"/>
      <c r="CM830" s="71"/>
      <c r="CN830" s="71"/>
      <c r="CO830" s="71"/>
      <c r="CP830" s="71"/>
      <c r="CQ830" s="71"/>
      <c r="CR830" s="71"/>
      <c r="CS830" s="71"/>
      <c r="CT830" s="71"/>
      <c r="CU830" s="71"/>
      <c r="CV830" s="71"/>
      <c r="CW830" s="71"/>
      <c r="CX830" s="71"/>
      <c r="CY830" s="71"/>
      <c r="CZ830" s="71"/>
      <c r="DA830" s="71"/>
      <c r="DB830" s="71"/>
      <c r="DC830" s="71"/>
      <c r="DD830" s="71"/>
      <c r="DE830" s="71"/>
      <c r="DF830" s="71"/>
      <c r="DG830" s="71"/>
      <c r="DH830" s="71"/>
      <c r="DI830" s="71"/>
      <c r="DJ830" s="71"/>
      <c r="DK830" s="71"/>
      <c r="DL830" s="71"/>
    </row>
    <row r="831">
      <c r="A831" s="110">
        <v>831.0</v>
      </c>
      <c r="B831" s="147" t="s">
        <v>4523</v>
      </c>
      <c r="C831" s="149" t="s">
        <v>115</v>
      </c>
      <c r="D831" s="149" t="s">
        <v>153</v>
      </c>
      <c r="E831" s="71"/>
      <c r="F831" s="111" t="s">
        <v>4513</v>
      </c>
      <c r="G831" s="112" t="s">
        <v>4540</v>
      </c>
      <c r="H831" s="122" t="s">
        <v>153</v>
      </c>
      <c r="I831" s="417">
        <v>45687.0</v>
      </c>
      <c r="J831" s="417">
        <v>45692.0</v>
      </c>
      <c r="K831" s="1121" t="s">
        <v>4541</v>
      </c>
      <c r="L831" s="111"/>
      <c r="M831" s="122" t="s">
        <v>4502</v>
      </c>
      <c r="N831" s="122" t="s">
        <v>4503</v>
      </c>
      <c r="O831" s="537">
        <v>2.0</v>
      </c>
      <c r="P831" s="122" t="str">
        <f t="shared" si="37"/>
        <v>10.1177--0956797615573516.pdf</v>
      </c>
      <c r="Q831" s="1161" t="str">
        <f t="array" ref="Q831"> if(iserror(MATCH(V831, 'File Links'!C:C, 0)), "N/A", HYPERLINK(INDEX('File Links'!B:B, MATCH(P831, 'File Links'!C:C, 0))))</f>
        <v>https://drive.google.com/file/d/1JoVItYnEA8vA70xzVLnQEC3dgxMW-0on/view?usp=drivesdk</v>
      </c>
      <c r="R831" s="122" t="s">
        <v>3653</v>
      </c>
      <c r="S831" s="122" t="s">
        <v>3654</v>
      </c>
      <c r="T831" s="111"/>
      <c r="U831" s="537">
        <v>1.0</v>
      </c>
      <c r="V831" s="122" t="str">
        <f t="shared" si="46"/>
        <v>10.1098--rsos.231240.pdf</v>
      </c>
      <c r="W831" s="122" t="s">
        <v>3807</v>
      </c>
      <c r="X831" s="1162" t="str">
        <f t="array" ref="X831"> if(iserror(MATCH(V831, 'File Links'!C:C, 0)), "N/A", HYPERLINK(INDEX('File Links'!B:B, MATCH(V831, 'File Links'!C:C, 0))))</f>
        <v>https://drive.google.com/file/d/17gaf2Zy_ljFfcAEDk5L8GBnTl5i7RGJE/view?usp=drivesdk</v>
      </c>
      <c r="Y831" s="111"/>
      <c r="Z831" s="122" t="s">
        <v>226</v>
      </c>
      <c r="AA831" s="122" t="s">
        <v>4507</v>
      </c>
      <c r="AB831" s="122" t="s">
        <v>4508</v>
      </c>
      <c r="AC831" s="122" t="s">
        <v>4542</v>
      </c>
      <c r="AD831" s="122" t="s">
        <v>4543</v>
      </c>
      <c r="AE831" s="537">
        <v>6.0</v>
      </c>
      <c r="AF831" s="537">
        <v>151.0</v>
      </c>
      <c r="AG831" s="537">
        <v>0.08</v>
      </c>
      <c r="AH831" s="537" t="s">
        <v>139</v>
      </c>
      <c r="AI831" s="537" t="s">
        <v>140</v>
      </c>
      <c r="AJ831" s="366">
        <v>0.001</v>
      </c>
      <c r="AK831" s="112" t="s">
        <v>135</v>
      </c>
      <c r="AL831" s="112" t="s">
        <v>136</v>
      </c>
      <c r="AM831" s="122" t="s">
        <v>141</v>
      </c>
      <c r="AN831" s="147" t="s">
        <v>138</v>
      </c>
      <c r="AO831" s="537">
        <v>50.0</v>
      </c>
      <c r="AP831" s="537" t="s">
        <v>4544</v>
      </c>
      <c r="AQ831" s="537" t="s">
        <v>134</v>
      </c>
      <c r="AR831" s="537" t="s">
        <v>612</v>
      </c>
      <c r="AS831" s="537">
        <v>0.07</v>
      </c>
      <c r="AT831" s="122" t="s">
        <v>172</v>
      </c>
      <c r="AU831" s="122" t="s">
        <v>136</v>
      </c>
      <c r="AV831" s="122" t="s">
        <v>141</v>
      </c>
      <c r="AW831" s="129" t="s">
        <v>138</v>
      </c>
      <c r="AX831" s="111" t="s">
        <v>143</v>
      </c>
      <c r="AY831" s="61" t="str">
        <f>IFERROR(__xludf.DUMMYFUNCTION("vlookup(BB831,importrange(""https://docs.google.com/spreadsheets/d/1d2vevQ_7D_v35q4wCQ4RpQ_IPoTwEMB9Yp6ymwlPqew/edit?gid=984458430#gid=984458430"", ""'replication success'!A:K""), 11, FAlSE)"),"#N/A")</f>
        <v>#N/A</v>
      </c>
      <c r="AZ831" s="61" t="str">
        <f>IFERROR(__xludf.DUMMYFUNCTION("vlookup(BB831,importrange(""https://docs.google.com/spreadsheets/d/1d2vevQ_7D_v35q4wCQ4RpQ_IPoTwEMB9Yp6ymwlPqew/edit?gid=984458430#gid=984458430"", ""'replication success'!A:M""), 12, FAlSE)"),"#N/A")</f>
        <v>#N/A</v>
      </c>
      <c r="BA831" s="61" t="str">
        <f>IFERROR(__xludf.DUMMYFUNCTION("vlookup(BB831,importrange(""https://docs.google.com/spreadsheets/d/1d2vevQ_7D_v35q4wCQ4RpQ_IPoTwEMB9Yp6ymwlPqew/edit?gid=984458430#gid=984458430"", ""'replication success'!A:M""), 13, FAlSE)"),"#N/A")</f>
        <v>#N/A</v>
      </c>
      <c r="BB831" s="61" t="str">
        <f>IFERROR(__xludf.DUMMYFUNCTION("REGEXREPLACE(G831, ""_[a-z]{1,2}$"", """")"),"Boyce_etal2023138_1")</f>
        <v>Boyce_etal2023138_1</v>
      </c>
      <c r="BC831" s="71"/>
      <c r="BD831" s="111" t="s">
        <v>153</v>
      </c>
      <c r="BE831" s="71"/>
      <c r="BF831" s="71"/>
      <c r="BG831" s="71"/>
      <c r="BH831" s="71"/>
      <c r="BI831" s="71"/>
      <c r="BJ831" s="71"/>
      <c r="BK831" s="71"/>
      <c r="BL831" s="71"/>
      <c r="BM831" s="71"/>
      <c r="BN831" s="71"/>
      <c r="BO831" s="71"/>
      <c r="BP831" s="71"/>
      <c r="BQ831" s="71"/>
      <c r="BR831" s="71"/>
      <c r="BS831" s="71"/>
      <c r="BT831" s="71"/>
      <c r="BU831" s="71"/>
      <c r="BV831" s="71"/>
      <c r="BW831" s="71"/>
      <c r="BX831" s="71"/>
      <c r="BY831" s="71"/>
      <c r="BZ831" s="71"/>
      <c r="CA831" s="71"/>
      <c r="CB831" s="71"/>
      <c r="CC831" s="71"/>
      <c r="CD831" s="71"/>
      <c r="CE831" s="71"/>
      <c r="CF831" s="71"/>
      <c r="CG831" s="71"/>
      <c r="CH831" s="71"/>
      <c r="CI831" s="71"/>
      <c r="CJ831" s="71"/>
      <c r="CK831" s="71"/>
      <c r="CL831" s="71"/>
      <c r="CM831" s="71"/>
      <c r="CN831" s="71"/>
      <c r="CO831" s="71"/>
      <c r="CP831" s="71"/>
      <c r="CQ831" s="71"/>
      <c r="CR831" s="71"/>
      <c r="CS831" s="71"/>
      <c r="CT831" s="71"/>
      <c r="CU831" s="71"/>
      <c r="CV831" s="71"/>
      <c r="CW831" s="71"/>
      <c r="CX831" s="71"/>
      <c r="CY831" s="71"/>
      <c r="CZ831" s="71"/>
      <c r="DA831" s="71"/>
      <c r="DB831" s="71"/>
      <c r="DC831" s="71"/>
      <c r="DD831" s="71"/>
      <c r="DE831" s="71"/>
      <c r="DF831" s="71"/>
      <c r="DG831" s="71"/>
      <c r="DH831" s="71"/>
      <c r="DI831" s="71"/>
      <c r="DJ831" s="71"/>
      <c r="DK831" s="71"/>
      <c r="DL831" s="71"/>
    </row>
    <row r="832">
      <c r="A832" s="110">
        <v>832.0</v>
      </c>
      <c r="B832" s="111" t="s">
        <v>114</v>
      </c>
      <c r="C832" s="149" t="s">
        <v>115</v>
      </c>
      <c r="D832" s="149" t="s">
        <v>248</v>
      </c>
      <c r="E832" s="71"/>
      <c r="F832" s="111" t="s">
        <v>4513</v>
      </c>
      <c r="G832" s="112" t="s">
        <v>4545</v>
      </c>
      <c r="H832" s="122" t="s">
        <v>249</v>
      </c>
      <c r="I832" s="417">
        <v>45670.0</v>
      </c>
      <c r="J832" s="417">
        <v>45692.0</v>
      </c>
      <c r="K832" s="111"/>
      <c r="L832" s="111"/>
      <c r="M832" s="122" t="s">
        <v>4502</v>
      </c>
      <c r="N832" s="122" t="s">
        <v>4503</v>
      </c>
      <c r="O832" s="111"/>
      <c r="P832" s="122" t="str">
        <f t="shared" si="37"/>
        <v>10.1177--0956797615573516.pdf</v>
      </c>
      <c r="Q832" s="1161" t="str">
        <f t="array" ref="Q832"> if(iserror(MATCH(V832, 'File Links'!C:C, 0)), "N/A", HYPERLINK(INDEX('File Links'!B:B, MATCH(P832, 'File Links'!C:C, 0))))</f>
        <v>https://drive.google.com/file/d/1JoVItYnEA8vA70xzVLnQEC3dgxMW-0on/view?usp=drivesdk</v>
      </c>
      <c r="R832" s="122" t="s">
        <v>3653</v>
      </c>
      <c r="S832" s="122" t="s">
        <v>3654</v>
      </c>
      <c r="T832" s="111"/>
      <c r="U832" s="537">
        <v>1.0</v>
      </c>
      <c r="V832" s="122" t="str">
        <f t="shared" si="46"/>
        <v>10.1098--rsos.231240.pdf</v>
      </c>
      <c r="W832" s="122" t="s">
        <v>3807</v>
      </c>
      <c r="X832" s="1162" t="str">
        <f t="array" ref="X832"> if(iserror(MATCH(V832, 'File Links'!C:C, 0)), "N/A", HYPERLINK(INDEX('File Links'!B:B, MATCH(V832, 'File Links'!C:C, 0))))</f>
        <v>https://drive.google.com/file/d/17gaf2Zy_ljFfcAEDk5L8GBnTl5i7RGJE/view?usp=drivesdk</v>
      </c>
      <c r="Y832" s="111"/>
      <c r="Z832" s="122" t="s">
        <v>226</v>
      </c>
      <c r="AA832" s="111"/>
      <c r="AB832" s="122" t="s">
        <v>4546</v>
      </c>
      <c r="AC832" s="111"/>
      <c r="AD832" s="122" t="s">
        <v>4522</v>
      </c>
      <c r="AE832" s="537">
        <v>2.0</v>
      </c>
      <c r="AF832" s="537">
        <v>151.0</v>
      </c>
      <c r="AG832" s="537">
        <v>0.8</v>
      </c>
      <c r="AH832" s="122" t="s">
        <v>139</v>
      </c>
      <c r="AI832" s="122" t="s">
        <v>140</v>
      </c>
      <c r="AJ832" s="366">
        <v>0.001</v>
      </c>
      <c r="AK832" s="112" t="s">
        <v>135</v>
      </c>
      <c r="AL832" s="112" t="s">
        <v>136</v>
      </c>
      <c r="AM832" s="122" t="s">
        <v>141</v>
      </c>
      <c r="AN832" s="147" t="s">
        <v>138</v>
      </c>
      <c r="AO832" s="537">
        <v>50.0</v>
      </c>
      <c r="AP832" s="537">
        <v>3.44</v>
      </c>
      <c r="AQ832" s="122" t="s">
        <v>1031</v>
      </c>
      <c r="AR832" s="111"/>
      <c r="AS832" s="537">
        <v>0.07</v>
      </c>
      <c r="AT832" s="122" t="s">
        <v>172</v>
      </c>
      <c r="AU832" s="122" t="s">
        <v>136</v>
      </c>
      <c r="AV832" s="122" t="s">
        <v>141</v>
      </c>
      <c r="AW832" s="129" t="s">
        <v>138</v>
      </c>
      <c r="AX832" s="122" t="s">
        <v>143</v>
      </c>
      <c r="AY832" s="61" t="str">
        <f>IFERROR(__xludf.DUMMYFUNCTION("vlookup(BB832,importrange(""https://docs.google.com/spreadsheets/d/1d2vevQ_7D_v35q4wCQ4RpQ_IPoTwEMB9Yp6ymwlPqew/edit?gid=984458430#gid=984458430"", ""'replication success'!A:K""), 11, FAlSE)"),"failed")</f>
        <v>failed</v>
      </c>
      <c r="AZ832" s="61" t="str">
        <f>IFERROR(__xludf.DUMMYFUNCTION("vlookup(BB832,importrange(""https://docs.google.com/spreadsheets/d/1d2vevQ_7D_v35q4wCQ4RpQ_IPoTwEMB9Yp6ymwlPqew/edit?gid=984458430#gid=984458430"",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32" s="61" t="str">
        <f>IFERROR(__xludf.DUMMYFUNCTION("vlookup(BB832,importrange(""https://docs.google.com/spreadsheets/d/1d2vevQ_7D_v35q4wCQ4RpQ_IPoTwEMB9Yp6ymwlPqew/edit?gid=984458430#gid=984458430"",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32" s="61" t="str">
        <f>IFERROR(__xludf.DUMMYFUNCTION("REGEXREPLACE(G832, ""_[a-z]{1,2}$"", """")"),"Boyce_etal2023137_1")</f>
        <v>Boyce_etal2023137_1</v>
      </c>
      <c r="BC832" s="71"/>
      <c r="BD832" s="111" t="s">
        <v>153</v>
      </c>
      <c r="BE832" s="71"/>
      <c r="BF832" s="71"/>
      <c r="BG832" s="71"/>
      <c r="BH832" s="71"/>
      <c r="BI832" s="71"/>
      <c r="BJ832" s="71"/>
      <c r="BK832" s="71"/>
      <c r="BL832" s="71"/>
      <c r="BM832" s="71"/>
      <c r="BN832" s="71"/>
      <c r="BO832" s="71"/>
      <c r="BP832" s="71"/>
      <c r="BQ832" s="71"/>
      <c r="BR832" s="71"/>
      <c r="BS832" s="71"/>
      <c r="BT832" s="71"/>
      <c r="BU832" s="71"/>
      <c r="BV832" s="71"/>
      <c r="BW832" s="71"/>
      <c r="BX832" s="71"/>
      <c r="BY832" s="71"/>
      <c r="BZ832" s="71"/>
      <c r="CA832" s="71"/>
      <c r="CB832" s="71"/>
      <c r="CC832" s="71"/>
      <c r="CD832" s="71"/>
      <c r="CE832" s="71"/>
      <c r="CF832" s="71"/>
      <c r="CG832" s="71"/>
      <c r="CH832" s="71"/>
      <c r="CI832" s="71"/>
      <c r="CJ832" s="71"/>
      <c r="CK832" s="71"/>
      <c r="CL832" s="71"/>
      <c r="CM832" s="71"/>
      <c r="CN832" s="71"/>
      <c r="CO832" s="71"/>
      <c r="CP832" s="71"/>
      <c r="CQ832" s="71"/>
      <c r="CR832" s="71"/>
      <c r="CS832" s="71"/>
      <c r="CT832" s="71"/>
      <c r="CU832" s="71"/>
      <c r="CV832" s="71"/>
      <c r="CW832" s="71"/>
      <c r="CX832" s="71"/>
      <c r="CY832" s="71"/>
      <c r="CZ832" s="71"/>
      <c r="DA832" s="71"/>
      <c r="DB832" s="71"/>
      <c r="DC832" s="71"/>
      <c r="DD832" s="71"/>
      <c r="DE832" s="71"/>
      <c r="DF832" s="71"/>
      <c r="DG832" s="71"/>
      <c r="DH832" s="71"/>
      <c r="DI832" s="71"/>
      <c r="DJ832" s="71"/>
      <c r="DK832" s="71"/>
      <c r="DL832" s="71"/>
    </row>
    <row r="833">
      <c r="A833" s="110">
        <v>833.0</v>
      </c>
      <c r="B833" s="147" t="s">
        <v>4523</v>
      </c>
      <c r="C833" s="149" t="s">
        <v>115</v>
      </c>
      <c r="D833" s="149" t="s">
        <v>153</v>
      </c>
      <c r="E833" s="71"/>
      <c r="F833" s="111" t="s">
        <v>4513</v>
      </c>
      <c r="G833" s="112" t="s">
        <v>4547</v>
      </c>
      <c r="H833" s="122" t="s">
        <v>153</v>
      </c>
      <c r="I833" s="417">
        <v>45687.0</v>
      </c>
      <c r="J833" s="417">
        <v>45692.0</v>
      </c>
      <c r="K833" s="1121" t="s">
        <v>4548</v>
      </c>
      <c r="L833" s="111"/>
      <c r="M833" s="122" t="s">
        <v>4502</v>
      </c>
      <c r="N833" s="122" t="s">
        <v>4503</v>
      </c>
      <c r="O833" s="537">
        <v>2.0</v>
      </c>
      <c r="P833" s="122" t="str">
        <f t="shared" si="37"/>
        <v>10.1177--0956797615573516.pdf</v>
      </c>
      <c r="Q833" s="1161" t="str">
        <f t="array" ref="Q833"> if(iserror(MATCH(V833, 'File Links'!C:C, 0)), "N/A", HYPERLINK(INDEX('File Links'!B:B, MATCH(P833, 'File Links'!C:C, 0))))</f>
        <v>https://drive.google.com/file/d/1JoVItYnEA8vA70xzVLnQEC3dgxMW-0on/view?usp=drivesdk</v>
      </c>
      <c r="R833" s="122" t="s">
        <v>3653</v>
      </c>
      <c r="S833" s="122" t="s">
        <v>3654</v>
      </c>
      <c r="T833" s="111"/>
      <c r="U833" s="537">
        <v>1.0</v>
      </c>
      <c r="V833" s="122" t="str">
        <f t="shared" si="46"/>
        <v>10.1098--rsos.231240.pdf</v>
      </c>
      <c r="W833" s="122" t="s">
        <v>3807</v>
      </c>
      <c r="X833" s="1162" t="str">
        <f t="array" ref="X833"> if(iserror(MATCH(V833, 'File Links'!C:C, 0)), "N/A", HYPERLINK(INDEX('File Links'!B:B, MATCH(V833, 'File Links'!C:C, 0))))</f>
        <v>https://drive.google.com/file/d/17gaf2Zy_ljFfcAEDk5L8GBnTl5i7RGJE/view?usp=drivesdk</v>
      </c>
      <c r="Y833" s="111"/>
      <c r="Z833" s="122" t="s">
        <v>226</v>
      </c>
      <c r="AA833" s="122" t="s">
        <v>4507</v>
      </c>
      <c r="AB833" s="122" t="s">
        <v>4508</v>
      </c>
      <c r="AC833" s="122" t="s">
        <v>4549</v>
      </c>
      <c r="AD833" s="122" t="s">
        <v>4550</v>
      </c>
      <c r="AE833" s="537">
        <v>6.0</v>
      </c>
      <c r="AF833" s="537">
        <v>151.0</v>
      </c>
      <c r="AG833" s="537">
        <v>0.03</v>
      </c>
      <c r="AH833" s="537" t="s">
        <v>139</v>
      </c>
      <c r="AI833" s="537" t="s">
        <v>140</v>
      </c>
      <c r="AJ833" s="366">
        <v>0.054</v>
      </c>
      <c r="AK833" s="112" t="s">
        <v>172</v>
      </c>
      <c r="AL833" s="112" t="s">
        <v>136</v>
      </c>
      <c r="AM833" s="122" t="s">
        <v>141</v>
      </c>
      <c r="AN833" s="147" t="s">
        <v>138</v>
      </c>
      <c r="AO833" s="537">
        <v>50.0</v>
      </c>
      <c r="AP833" s="537" t="s">
        <v>4551</v>
      </c>
      <c r="AQ833" s="537" t="s">
        <v>134</v>
      </c>
      <c r="AR833" s="537" t="s">
        <v>612</v>
      </c>
      <c r="AS833" s="537">
        <v>0.076</v>
      </c>
      <c r="AT833" s="122" t="s">
        <v>172</v>
      </c>
      <c r="AU833" s="122" t="s">
        <v>136</v>
      </c>
      <c r="AV833" s="122" t="s">
        <v>141</v>
      </c>
      <c r="AW833" s="129" t="s">
        <v>138</v>
      </c>
      <c r="AX833" s="111" t="s">
        <v>143</v>
      </c>
      <c r="AY833" s="61" t="str">
        <f>IFERROR(__xludf.DUMMYFUNCTION("vlookup(BB833,importrange(""https://docs.google.com/spreadsheets/d/1d2vevQ_7D_v35q4wCQ4RpQ_IPoTwEMB9Yp6ymwlPqew/edit?gid=984458430#gid=984458430"", ""'replication success'!A:K""), 11, FAlSE)"),"#N/A")</f>
        <v>#N/A</v>
      </c>
      <c r="AZ833" s="61" t="str">
        <f>IFERROR(__xludf.DUMMYFUNCTION("vlookup(BB833,importrange(""https://docs.google.com/spreadsheets/d/1d2vevQ_7D_v35q4wCQ4RpQ_IPoTwEMB9Yp6ymwlPqew/edit?gid=984458430#gid=984458430"", ""'replication success'!A:M""), 12, FAlSE)"),"#N/A")</f>
        <v>#N/A</v>
      </c>
      <c r="BA833" s="61" t="str">
        <f>IFERROR(__xludf.DUMMYFUNCTION("vlookup(BB833,importrange(""https://docs.google.com/spreadsheets/d/1d2vevQ_7D_v35q4wCQ4RpQ_IPoTwEMB9Yp6ymwlPqew/edit?gid=984458430#gid=984458430"", ""'replication success'!A:M""), 13, FAlSE)"),"#N/A")</f>
        <v>#N/A</v>
      </c>
      <c r="BB833" s="61" t="str">
        <f>IFERROR(__xludf.DUMMYFUNCTION("REGEXREPLACE(G833, ""_[a-z]{1,2}$"", """")"),"Boyce_etal2023138_1")</f>
        <v>Boyce_etal2023138_1</v>
      </c>
      <c r="BC833" s="71"/>
      <c r="BD833" s="111" t="s">
        <v>153</v>
      </c>
      <c r="BE833" s="71"/>
      <c r="BF833" s="71"/>
      <c r="BG833" s="71"/>
      <c r="BH833" s="71"/>
      <c r="BI833" s="71"/>
      <c r="BJ833" s="71"/>
      <c r="BK833" s="71"/>
      <c r="BL833" s="71"/>
      <c r="BM833" s="71"/>
      <c r="BN833" s="71"/>
      <c r="BO833" s="71"/>
      <c r="BP833" s="71"/>
      <c r="BQ833" s="71"/>
      <c r="BR833" s="71"/>
      <c r="BS833" s="71"/>
      <c r="BT833" s="71"/>
      <c r="BU833" s="71"/>
      <c r="BV833" s="71"/>
      <c r="BW833" s="71"/>
      <c r="BX833" s="71"/>
      <c r="BY833" s="71"/>
      <c r="BZ833" s="71"/>
      <c r="CA833" s="71"/>
      <c r="CB833" s="71"/>
      <c r="CC833" s="71"/>
      <c r="CD833" s="71"/>
      <c r="CE833" s="71"/>
      <c r="CF833" s="71"/>
      <c r="CG833" s="71"/>
      <c r="CH833" s="71"/>
      <c r="CI833" s="71"/>
      <c r="CJ833" s="71"/>
      <c r="CK833" s="71"/>
      <c r="CL833" s="71"/>
      <c r="CM833" s="71"/>
      <c r="CN833" s="71"/>
      <c r="CO833" s="71"/>
      <c r="CP833" s="71"/>
      <c r="CQ833" s="71"/>
      <c r="CR833" s="71"/>
      <c r="CS833" s="71"/>
      <c r="CT833" s="71"/>
      <c r="CU833" s="71"/>
      <c r="CV833" s="71"/>
      <c r="CW833" s="71"/>
      <c r="CX833" s="71"/>
      <c r="CY833" s="71"/>
      <c r="CZ833" s="71"/>
      <c r="DA833" s="71"/>
      <c r="DB833" s="71"/>
      <c r="DC833" s="71"/>
      <c r="DD833" s="71"/>
      <c r="DE833" s="71"/>
      <c r="DF833" s="71"/>
      <c r="DG833" s="71"/>
      <c r="DH833" s="71"/>
      <c r="DI833" s="71"/>
      <c r="DJ833" s="71"/>
      <c r="DK833" s="71"/>
      <c r="DL833" s="71"/>
    </row>
    <row r="834">
      <c r="A834" s="110">
        <v>834.0</v>
      </c>
      <c r="B834" s="111" t="s">
        <v>114</v>
      </c>
      <c r="C834" s="149" t="s">
        <v>115</v>
      </c>
      <c r="D834" s="149" t="s">
        <v>248</v>
      </c>
      <c r="E834" s="71"/>
      <c r="F834" s="111" t="s">
        <v>4513</v>
      </c>
      <c r="G834" s="112" t="s">
        <v>4552</v>
      </c>
      <c r="H834" s="122" t="s">
        <v>249</v>
      </c>
      <c r="I834" s="417">
        <v>45670.0</v>
      </c>
      <c r="J834" s="417">
        <v>45692.0</v>
      </c>
      <c r="K834" s="111"/>
      <c r="L834" s="111" t="s">
        <v>4520</v>
      </c>
      <c r="M834" s="122" t="s">
        <v>4502</v>
      </c>
      <c r="N834" s="122" t="s">
        <v>4503</v>
      </c>
      <c r="O834" s="111"/>
      <c r="P834" s="122" t="str">
        <f t="shared" si="37"/>
        <v>10.1177--0956797615573516.pdf</v>
      </c>
      <c r="Q834" s="1161" t="str">
        <f t="array" ref="Q834"> if(iserror(MATCH(V834, 'File Links'!C:C, 0)), "N/A", HYPERLINK(INDEX('File Links'!B:B, MATCH(P834, 'File Links'!C:C, 0))))</f>
        <v>https://drive.google.com/file/d/1JoVItYnEA8vA70xzVLnQEC3dgxMW-0on/view?usp=drivesdk</v>
      </c>
      <c r="R834" s="122" t="s">
        <v>3653</v>
      </c>
      <c r="S834" s="122" t="s">
        <v>3654</v>
      </c>
      <c r="T834" s="111"/>
      <c r="U834" s="537">
        <v>1.0</v>
      </c>
      <c r="V834" s="122" t="str">
        <f t="shared" si="46"/>
        <v>10.1098--rsos.231240.pdf</v>
      </c>
      <c r="W834" s="122" t="s">
        <v>3807</v>
      </c>
      <c r="X834" s="1162" t="str">
        <f t="array" ref="X834"> if(iserror(MATCH(V834, 'File Links'!C:C, 0)), "N/A", HYPERLINK(INDEX('File Links'!B:B, MATCH(V834, 'File Links'!C:C, 0))))</f>
        <v>https://drive.google.com/file/d/17gaf2Zy_ljFfcAEDk5L8GBnTl5i7RGJE/view?usp=drivesdk</v>
      </c>
      <c r="Y834" s="111"/>
      <c r="Z834" s="122" t="s">
        <v>226</v>
      </c>
      <c r="AA834" s="111"/>
      <c r="AB834" s="122" t="s">
        <v>4553</v>
      </c>
      <c r="AC834" s="111"/>
      <c r="AD834" s="122" t="s">
        <v>4522</v>
      </c>
      <c r="AE834" s="537">
        <v>2.0</v>
      </c>
      <c r="AF834" s="537">
        <v>151.0</v>
      </c>
      <c r="AG834" s="1106">
        <v>0.3</v>
      </c>
      <c r="AH834" s="122" t="s">
        <v>139</v>
      </c>
      <c r="AI834" s="122" t="s">
        <v>140</v>
      </c>
      <c r="AJ834" s="366">
        <v>0.054</v>
      </c>
      <c r="AK834" s="112" t="s">
        <v>172</v>
      </c>
      <c r="AL834" s="112" t="s">
        <v>136</v>
      </c>
      <c r="AM834" s="122" t="s">
        <v>141</v>
      </c>
      <c r="AN834" s="147" t="s">
        <v>138</v>
      </c>
      <c r="AO834" s="537">
        <v>50.0</v>
      </c>
      <c r="AP834" s="537">
        <v>3.31</v>
      </c>
      <c r="AQ834" s="122" t="s">
        <v>1031</v>
      </c>
      <c r="AR834" s="111"/>
      <c r="AS834" s="537">
        <v>0.076</v>
      </c>
      <c r="AT834" s="122" t="s">
        <v>172</v>
      </c>
      <c r="AU834" s="122" t="s">
        <v>136</v>
      </c>
      <c r="AV834" s="122" t="s">
        <v>141</v>
      </c>
      <c r="AW834" s="129" t="s">
        <v>138</v>
      </c>
      <c r="AX834" s="122" t="s">
        <v>143</v>
      </c>
      <c r="AY834" s="61" t="str">
        <f>IFERROR(__xludf.DUMMYFUNCTION("vlookup(BB834,importrange(""https://docs.google.com/spreadsheets/d/1d2vevQ_7D_v35q4wCQ4RpQ_IPoTwEMB9Yp6ymwlPqew/edit?gid=984458430#gid=984458430"", ""'replication success'!A:K""), 11, FAlSE)"),"failed")</f>
        <v>failed</v>
      </c>
      <c r="AZ834" s="61" t="str">
        <f>IFERROR(__xludf.DUMMYFUNCTION("vlookup(BB834,importrange(""https://docs.google.com/spreadsheets/d/1d2vevQ_7D_v35q4wCQ4RpQ_IPoTwEMB9Yp6ymwlPqew/edit?gid=984458430#gid=984458430"",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34" s="61" t="str">
        <f>IFERROR(__xludf.DUMMYFUNCTION("vlookup(BB834,importrange(""https://docs.google.com/spreadsheets/d/1d2vevQ_7D_v35q4wCQ4RpQ_IPoTwEMB9Yp6ymwlPqew/edit?gid=984458430#gid=984458430"",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34" s="61" t="str">
        <f>IFERROR(__xludf.DUMMYFUNCTION("REGEXREPLACE(G834, ""_[a-z]{1,2}$"", """")"),"Boyce_etal2023137_1")</f>
        <v>Boyce_etal2023137_1</v>
      </c>
      <c r="BC834" s="71"/>
      <c r="BD834" s="111" t="s">
        <v>153</v>
      </c>
      <c r="BE834" s="71"/>
      <c r="BF834" s="71"/>
      <c r="BG834" s="71"/>
      <c r="BH834" s="71"/>
      <c r="BI834" s="71"/>
      <c r="BJ834" s="71"/>
      <c r="BK834" s="71"/>
      <c r="BL834" s="71"/>
      <c r="BM834" s="71"/>
      <c r="BN834" s="71"/>
      <c r="BO834" s="71"/>
      <c r="BP834" s="71"/>
      <c r="BQ834" s="71"/>
      <c r="BR834" s="71"/>
      <c r="BS834" s="71"/>
      <c r="BT834" s="71"/>
      <c r="BU834" s="71"/>
      <c r="BV834" s="71"/>
      <c r="BW834" s="71"/>
      <c r="BX834" s="71"/>
      <c r="BY834" s="71"/>
      <c r="BZ834" s="71"/>
      <c r="CA834" s="71"/>
      <c r="CB834" s="71"/>
      <c r="CC834" s="71"/>
      <c r="CD834" s="71"/>
      <c r="CE834" s="71"/>
      <c r="CF834" s="71"/>
      <c r="CG834" s="71"/>
      <c r="CH834" s="71"/>
      <c r="CI834" s="71"/>
      <c r="CJ834" s="71"/>
      <c r="CK834" s="71"/>
      <c r="CL834" s="71"/>
      <c r="CM834" s="71"/>
      <c r="CN834" s="71"/>
      <c r="CO834" s="71"/>
      <c r="CP834" s="71"/>
      <c r="CQ834" s="71"/>
      <c r="CR834" s="71"/>
      <c r="CS834" s="71"/>
      <c r="CT834" s="71"/>
      <c r="CU834" s="71"/>
      <c r="CV834" s="71"/>
      <c r="CW834" s="71"/>
      <c r="CX834" s="71"/>
      <c r="CY834" s="71"/>
      <c r="CZ834" s="71"/>
      <c r="DA834" s="71"/>
      <c r="DB834" s="71"/>
      <c r="DC834" s="71"/>
      <c r="DD834" s="71"/>
      <c r="DE834" s="71"/>
      <c r="DF834" s="71"/>
      <c r="DG834" s="71"/>
      <c r="DH834" s="71"/>
      <c r="DI834" s="71"/>
      <c r="DJ834" s="71"/>
      <c r="DK834" s="71"/>
      <c r="DL834" s="71"/>
    </row>
    <row r="835">
      <c r="A835" s="110">
        <v>835.0</v>
      </c>
      <c r="B835" s="147" t="s">
        <v>4523</v>
      </c>
      <c r="C835" s="149" t="s">
        <v>115</v>
      </c>
      <c r="D835" s="149" t="s">
        <v>153</v>
      </c>
      <c r="E835" s="71"/>
      <c r="F835" s="111" t="s">
        <v>4513</v>
      </c>
      <c r="G835" s="112" t="s">
        <v>4554</v>
      </c>
      <c r="H835" s="122" t="s">
        <v>153</v>
      </c>
      <c r="I835" s="417">
        <v>45687.0</v>
      </c>
      <c r="J835" s="417">
        <v>45692.0</v>
      </c>
      <c r="K835" s="1121" t="s">
        <v>4555</v>
      </c>
      <c r="L835" s="111"/>
      <c r="M835" s="122" t="s">
        <v>4502</v>
      </c>
      <c r="N835" s="122" t="s">
        <v>4503</v>
      </c>
      <c r="O835" s="537">
        <v>2.0</v>
      </c>
      <c r="P835" s="122" t="str">
        <f t="shared" si="37"/>
        <v>10.1177--0956797615573516.pdf</v>
      </c>
      <c r="Q835" s="1161" t="str">
        <f t="array" ref="Q835"> if(iserror(MATCH(V835, 'File Links'!C:C, 0)), "N/A", HYPERLINK(INDEX('File Links'!B:B, MATCH(P835, 'File Links'!C:C, 0))))</f>
        <v>https://drive.google.com/file/d/1JoVItYnEA8vA70xzVLnQEC3dgxMW-0on/view?usp=drivesdk</v>
      </c>
      <c r="R835" s="122" t="s">
        <v>3653</v>
      </c>
      <c r="S835" s="122" t="s">
        <v>3654</v>
      </c>
      <c r="T835" s="111"/>
      <c r="U835" s="537">
        <v>1.0</v>
      </c>
      <c r="V835" s="122" t="str">
        <f t="shared" si="46"/>
        <v>10.1098--rsos.231240.pdf</v>
      </c>
      <c r="W835" s="122" t="s">
        <v>3807</v>
      </c>
      <c r="X835" s="1162" t="str">
        <f t="array" ref="X835"> if(iserror(MATCH(V835, 'File Links'!C:C, 0)), "N/A", HYPERLINK(INDEX('File Links'!B:B, MATCH(V835, 'File Links'!C:C, 0))))</f>
        <v>https://drive.google.com/file/d/17gaf2Zy_ljFfcAEDk5L8GBnTl5i7RGJE/view?usp=drivesdk</v>
      </c>
      <c r="Y835" s="111"/>
      <c r="Z835" s="122" t="s">
        <v>226</v>
      </c>
      <c r="AA835" s="122" t="s">
        <v>4507</v>
      </c>
      <c r="AB835" s="122" t="s">
        <v>4508</v>
      </c>
      <c r="AC835" s="122" t="s">
        <v>4556</v>
      </c>
      <c r="AD835" s="122" t="s">
        <v>4557</v>
      </c>
      <c r="AE835" s="537">
        <v>6.0</v>
      </c>
      <c r="AF835" s="537">
        <v>151.0</v>
      </c>
      <c r="AG835" s="537">
        <v>0.07</v>
      </c>
      <c r="AH835" s="537" t="s">
        <v>139</v>
      </c>
      <c r="AI835" s="537" t="s">
        <v>140</v>
      </c>
      <c r="AJ835" s="366">
        <v>0.001</v>
      </c>
      <c r="AK835" s="112" t="s">
        <v>172</v>
      </c>
      <c r="AL835" s="112" t="s">
        <v>136</v>
      </c>
      <c r="AM835" s="122" t="s">
        <v>141</v>
      </c>
      <c r="AN835" s="147" t="s">
        <v>138</v>
      </c>
      <c r="AO835" s="537">
        <v>50.0</v>
      </c>
      <c r="AP835" s="537" t="s">
        <v>4558</v>
      </c>
      <c r="AQ835" s="537" t="s">
        <v>134</v>
      </c>
      <c r="AR835" s="537" t="s">
        <v>612</v>
      </c>
      <c r="AS835" s="537">
        <v>0.01</v>
      </c>
      <c r="AT835" s="122" t="s">
        <v>172</v>
      </c>
      <c r="AU835" s="122" t="s">
        <v>136</v>
      </c>
      <c r="AV835" s="122" t="s">
        <v>141</v>
      </c>
      <c r="AW835" s="129" t="s">
        <v>138</v>
      </c>
      <c r="AX835" s="111" t="s">
        <v>143</v>
      </c>
      <c r="AY835" s="61" t="str">
        <f>IFERROR(__xludf.DUMMYFUNCTION("vlookup(BB835,importrange(""https://docs.google.com/spreadsheets/d/1d2vevQ_7D_v35q4wCQ4RpQ_IPoTwEMB9Yp6ymwlPqew/edit?gid=984458430#gid=984458430"", ""'replication success'!A:K""), 11, FAlSE)"),"#N/A")</f>
        <v>#N/A</v>
      </c>
      <c r="AZ835" s="61" t="str">
        <f>IFERROR(__xludf.DUMMYFUNCTION("vlookup(BB835,importrange(""https://docs.google.com/spreadsheets/d/1d2vevQ_7D_v35q4wCQ4RpQ_IPoTwEMB9Yp6ymwlPqew/edit?gid=984458430#gid=984458430"", ""'replication success'!A:M""), 12, FAlSE)"),"#N/A")</f>
        <v>#N/A</v>
      </c>
      <c r="BA835" s="61" t="str">
        <f>IFERROR(__xludf.DUMMYFUNCTION("vlookup(BB835,importrange(""https://docs.google.com/spreadsheets/d/1d2vevQ_7D_v35q4wCQ4RpQ_IPoTwEMB9Yp6ymwlPqew/edit?gid=984458430#gid=984458430"", ""'replication success'!A:M""), 13, FAlSE)"),"#N/A")</f>
        <v>#N/A</v>
      </c>
      <c r="BB835" s="61" t="str">
        <f>IFERROR(__xludf.DUMMYFUNCTION("REGEXREPLACE(G835, ""_[a-z]{1,2}$"", """")"),"Boyce_etal2023138_1")</f>
        <v>Boyce_etal2023138_1</v>
      </c>
      <c r="BC835" s="71"/>
      <c r="BD835" s="111" t="s">
        <v>153</v>
      </c>
      <c r="BE835" s="71"/>
      <c r="BF835" s="71"/>
      <c r="BG835" s="71"/>
      <c r="BH835" s="71"/>
      <c r="BI835" s="71"/>
      <c r="BJ835" s="71"/>
      <c r="BK835" s="71"/>
      <c r="BL835" s="71"/>
      <c r="BM835" s="71"/>
      <c r="BN835" s="71"/>
      <c r="BO835" s="71"/>
      <c r="BP835" s="71"/>
      <c r="BQ835" s="71"/>
      <c r="BR835" s="71"/>
      <c r="BS835" s="71"/>
      <c r="BT835" s="71"/>
      <c r="BU835" s="71"/>
      <c r="BV835" s="71"/>
      <c r="BW835" s="71"/>
      <c r="BX835" s="71"/>
      <c r="BY835" s="71"/>
      <c r="BZ835" s="71"/>
      <c r="CA835" s="71"/>
      <c r="CB835" s="71"/>
      <c r="CC835" s="71"/>
      <c r="CD835" s="71"/>
      <c r="CE835" s="71"/>
      <c r="CF835" s="71"/>
      <c r="CG835" s="71"/>
      <c r="CH835" s="71"/>
      <c r="CI835" s="71"/>
      <c r="CJ835" s="71"/>
      <c r="CK835" s="71"/>
      <c r="CL835" s="71"/>
      <c r="CM835" s="71"/>
      <c r="CN835" s="71"/>
      <c r="CO835" s="71"/>
      <c r="CP835" s="71"/>
      <c r="CQ835" s="71"/>
      <c r="CR835" s="71"/>
      <c r="CS835" s="71"/>
      <c r="CT835" s="71"/>
      <c r="CU835" s="71"/>
      <c r="CV835" s="71"/>
      <c r="CW835" s="71"/>
      <c r="CX835" s="71"/>
      <c r="CY835" s="71"/>
      <c r="CZ835" s="71"/>
      <c r="DA835" s="71"/>
      <c r="DB835" s="71"/>
      <c r="DC835" s="71"/>
      <c r="DD835" s="71"/>
      <c r="DE835" s="71"/>
      <c r="DF835" s="71"/>
      <c r="DG835" s="71"/>
      <c r="DH835" s="71"/>
      <c r="DI835" s="71"/>
      <c r="DJ835" s="71"/>
      <c r="DK835" s="71"/>
      <c r="DL835" s="71"/>
    </row>
    <row r="836">
      <c r="A836" s="110">
        <v>836.0</v>
      </c>
      <c r="B836" s="111" t="s">
        <v>114</v>
      </c>
      <c r="C836" s="149" t="s">
        <v>115</v>
      </c>
      <c r="D836" s="149" t="s">
        <v>248</v>
      </c>
      <c r="E836" s="71"/>
      <c r="F836" s="111" t="s">
        <v>4513</v>
      </c>
      <c r="G836" s="112" t="s">
        <v>4559</v>
      </c>
      <c r="H836" s="122" t="s">
        <v>249</v>
      </c>
      <c r="I836" s="417">
        <v>45670.0</v>
      </c>
      <c r="J836" s="417">
        <v>45692.0</v>
      </c>
      <c r="K836" s="111"/>
      <c r="L836" s="111" t="s">
        <v>4520</v>
      </c>
      <c r="M836" s="122" t="s">
        <v>4502</v>
      </c>
      <c r="N836" s="122" t="s">
        <v>4503</v>
      </c>
      <c r="O836" s="111"/>
      <c r="P836" s="122" t="str">
        <f t="shared" si="37"/>
        <v>10.1177--0956797615573516.pdf</v>
      </c>
      <c r="Q836" s="1161" t="str">
        <f t="array" ref="Q836"> if(iserror(MATCH(V836, 'File Links'!C:C, 0)), "N/A", HYPERLINK(INDEX('File Links'!B:B, MATCH(P836, 'File Links'!C:C, 0))))</f>
        <v>https://drive.google.com/file/d/1JoVItYnEA8vA70xzVLnQEC3dgxMW-0on/view?usp=drivesdk</v>
      </c>
      <c r="R836" s="122" t="s">
        <v>3653</v>
      </c>
      <c r="S836" s="122" t="s">
        <v>3654</v>
      </c>
      <c r="T836" s="111"/>
      <c r="U836" s="537">
        <v>1.0</v>
      </c>
      <c r="V836" s="122" t="str">
        <f t="shared" si="46"/>
        <v>10.1098--rsos.231240.pdf</v>
      </c>
      <c r="W836" s="122" t="s">
        <v>3807</v>
      </c>
      <c r="X836" s="1162" t="str">
        <f t="array" ref="X836"> if(iserror(MATCH(V836, 'File Links'!C:C, 0)), "N/A", HYPERLINK(INDEX('File Links'!B:B, MATCH(V836, 'File Links'!C:C, 0))))</f>
        <v>https://drive.google.com/file/d/17gaf2Zy_ljFfcAEDk5L8GBnTl5i7RGJE/view?usp=drivesdk</v>
      </c>
      <c r="Y836" s="111"/>
      <c r="Z836" s="122" t="s">
        <v>226</v>
      </c>
      <c r="AA836" s="111"/>
      <c r="AB836" s="122" t="s">
        <v>4560</v>
      </c>
      <c r="AC836" s="111"/>
      <c r="AD836" s="122" t="s">
        <v>4522</v>
      </c>
      <c r="AE836" s="537">
        <v>2.0</v>
      </c>
      <c r="AF836" s="537">
        <v>151.0</v>
      </c>
      <c r="AG836" s="1106">
        <v>0.7</v>
      </c>
      <c r="AH836" s="122" t="s">
        <v>139</v>
      </c>
      <c r="AI836" s="122" t="s">
        <v>140</v>
      </c>
      <c r="AJ836" s="366">
        <v>0.001</v>
      </c>
      <c r="AK836" s="112" t="s">
        <v>172</v>
      </c>
      <c r="AL836" s="112" t="s">
        <v>136</v>
      </c>
      <c r="AM836" s="122" t="s">
        <v>141</v>
      </c>
      <c r="AN836" s="147" t="s">
        <v>138</v>
      </c>
      <c r="AO836" s="537">
        <v>50.0</v>
      </c>
      <c r="AP836" s="537">
        <v>7.29</v>
      </c>
      <c r="AQ836" s="122" t="s">
        <v>1031</v>
      </c>
      <c r="AR836" s="111"/>
      <c r="AS836" s="537">
        <v>0.01</v>
      </c>
      <c r="AT836" s="122" t="s">
        <v>172</v>
      </c>
      <c r="AU836" s="122" t="s">
        <v>136</v>
      </c>
      <c r="AV836" s="122" t="s">
        <v>141</v>
      </c>
      <c r="AW836" s="129" t="s">
        <v>138</v>
      </c>
      <c r="AX836" s="122" t="s">
        <v>143</v>
      </c>
      <c r="AY836" s="61" t="str">
        <f>IFERROR(__xludf.DUMMYFUNCTION("vlookup(BB836,importrange(""https://docs.google.com/spreadsheets/d/1d2vevQ_7D_v35q4wCQ4RpQ_IPoTwEMB9Yp6ymwlPqew/edit?gid=984458430#gid=984458430"", ""'replication success'!A:K""), 11, FAlSE)"),"failed")</f>
        <v>failed</v>
      </c>
      <c r="AZ836" s="61" t="str">
        <f>IFERROR(__xludf.DUMMYFUNCTION("vlookup(BB836,importrange(""https://docs.google.com/spreadsheets/d/1d2vevQ_7D_v35q4wCQ4RpQ_IPoTwEMB9Yp6ymwlPqew/edit?gid=984458430#gid=984458430"",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36" s="61" t="str">
        <f>IFERROR(__xludf.DUMMYFUNCTION("vlookup(BB836,importrange(""https://docs.google.com/spreadsheets/d/1d2vevQ_7D_v35q4wCQ4RpQ_IPoTwEMB9Yp6ymwlPqew/edit?gid=984458430#gid=984458430"",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36" s="61" t="str">
        <f>IFERROR(__xludf.DUMMYFUNCTION("REGEXREPLACE(G836, ""_[a-z]{1,2}$"", """")"),"Boyce_etal2023137_1")</f>
        <v>Boyce_etal2023137_1</v>
      </c>
      <c r="BC836" s="71"/>
      <c r="BD836" s="111" t="s">
        <v>153</v>
      </c>
      <c r="BE836" s="71"/>
      <c r="BF836" s="71"/>
      <c r="BG836" s="71"/>
      <c r="BH836" s="71"/>
      <c r="BI836" s="71"/>
      <c r="BJ836" s="71"/>
      <c r="BK836" s="71"/>
      <c r="BL836" s="71"/>
      <c r="BM836" s="71"/>
      <c r="BN836" s="71"/>
      <c r="BO836" s="71"/>
      <c r="BP836" s="71"/>
      <c r="BQ836" s="71"/>
      <c r="BR836" s="71"/>
      <c r="BS836" s="71"/>
      <c r="BT836" s="71"/>
      <c r="BU836" s="71"/>
      <c r="BV836" s="71"/>
      <c r="BW836" s="71"/>
      <c r="BX836" s="71"/>
      <c r="BY836" s="71"/>
      <c r="BZ836" s="71"/>
      <c r="CA836" s="71"/>
      <c r="CB836" s="71"/>
      <c r="CC836" s="71"/>
      <c r="CD836" s="71"/>
      <c r="CE836" s="71"/>
      <c r="CF836" s="71"/>
      <c r="CG836" s="71"/>
      <c r="CH836" s="71"/>
      <c r="CI836" s="71"/>
      <c r="CJ836" s="71"/>
      <c r="CK836" s="71"/>
      <c r="CL836" s="71"/>
      <c r="CM836" s="71"/>
      <c r="CN836" s="71"/>
      <c r="CO836" s="71"/>
      <c r="CP836" s="71"/>
      <c r="CQ836" s="71"/>
      <c r="CR836" s="71"/>
      <c r="CS836" s="71"/>
      <c r="CT836" s="71"/>
      <c r="CU836" s="71"/>
      <c r="CV836" s="71"/>
      <c r="CW836" s="71"/>
      <c r="CX836" s="71"/>
      <c r="CY836" s="71"/>
      <c r="CZ836" s="71"/>
      <c r="DA836" s="71"/>
      <c r="DB836" s="71"/>
      <c r="DC836" s="71"/>
      <c r="DD836" s="71"/>
      <c r="DE836" s="71"/>
      <c r="DF836" s="71"/>
      <c r="DG836" s="71"/>
      <c r="DH836" s="71"/>
      <c r="DI836" s="71"/>
      <c r="DJ836" s="71"/>
      <c r="DK836" s="71"/>
      <c r="DL836" s="71"/>
    </row>
    <row r="837">
      <c r="A837" s="110">
        <v>837.0</v>
      </c>
      <c r="B837" s="147" t="s">
        <v>4523</v>
      </c>
      <c r="C837" s="149" t="s">
        <v>115</v>
      </c>
      <c r="D837" s="149" t="s">
        <v>153</v>
      </c>
      <c r="E837" s="71"/>
      <c r="F837" s="111" t="s">
        <v>4513</v>
      </c>
      <c r="G837" s="112" t="s">
        <v>4561</v>
      </c>
      <c r="H837" s="122" t="s">
        <v>153</v>
      </c>
      <c r="I837" s="417">
        <v>45687.0</v>
      </c>
      <c r="J837" s="417">
        <v>45692.0</v>
      </c>
      <c r="K837" s="1121" t="s">
        <v>4562</v>
      </c>
      <c r="L837" s="111"/>
      <c r="M837" s="122" t="s">
        <v>4502</v>
      </c>
      <c r="N837" s="122" t="s">
        <v>4503</v>
      </c>
      <c r="O837" s="537">
        <v>2.0</v>
      </c>
      <c r="P837" s="122" t="str">
        <f t="shared" si="37"/>
        <v>10.1177--0956797615573516.pdf</v>
      </c>
      <c r="Q837" s="1161" t="str">
        <f t="array" ref="Q837"> if(iserror(MATCH(V837, 'File Links'!C:C, 0)), "N/A", HYPERLINK(INDEX('File Links'!B:B, MATCH(P837, 'File Links'!C:C, 0))))</f>
        <v>https://drive.google.com/file/d/1JoVItYnEA8vA70xzVLnQEC3dgxMW-0on/view?usp=drivesdk</v>
      </c>
      <c r="R837" s="122" t="s">
        <v>3653</v>
      </c>
      <c r="S837" s="122" t="s">
        <v>3654</v>
      </c>
      <c r="T837" s="111"/>
      <c r="U837" s="537">
        <v>1.0</v>
      </c>
      <c r="V837" s="122" t="str">
        <f t="shared" si="46"/>
        <v>10.1098--rsos.231240.pdf</v>
      </c>
      <c r="W837" s="122" t="s">
        <v>3807</v>
      </c>
      <c r="X837" s="1162" t="str">
        <f t="array" ref="X837"> if(iserror(MATCH(V837, 'File Links'!C:C, 0)), "N/A", HYPERLINK(INDEX('File Links'!B:B, MATCH(V837, 'File Links'!C:C, 0))))</f>
        <v>https://drive.google.com/file/d/17gaf2Zy_ljFfcAEDk5L8GBnTl5i7RGJE/view?usp=drivesdk</v>
      </c>
      <c r="Y837" s="111"/>
      <c r="Z837" s="122" t="s">
        <v>226</v>
      </c>
      <c r="AA837" s="122" t="s">
        <v>4507</v>
      </c>
      <c r="AB837" s="122" t="s">
        <v>4508</v>
      </c>
      <c r="AC837" s="122" t="s">
        <v>4563</v>
      </c>
      <c r="AD837" s="122" t="s">
        <v>4564</v>
      </c>
      <c r="AE837" s="537">
        <v>6.0</v>
      </c>
      <c r="AF837" s="537">
        <v>151.0</v>
      </c>
      <c r="AG837" s="537">
        <v>0.01</v>
      </c>
      <c r="AH837" s="537" t="s">
        <v>139</v>
      </c>
      <c r="AI837" s="537" t="s">
        <v>140</v>
      </c>
      <c r="AJ837" s="366">
        <v>0.25</v>
      </c>
      <c r="AK837" s="112" t="s">
        <v>335</v>
      </c>
      <c r="AL837" s="112" t="s">
        <v>136</v>
      </c>
      <c r="AM837" s="122" t="s">
        <v>141</v>
      </c>
      <c r="AN837" s="147" t="s">
        <v>138</v>
      </c>
      <c r="AO837" s="537">
        <v>50.0</v>
      </c>
      <c r="AP837" s="537" t="s">
        <v>4565</v>
      </c>
      <c r="AQ837" s="537" t="s">
        <v>134</v>
      </c>
      <c r="AR837" s="537" t="s">
        <v>612</v>
      </c>
      <c r="AS837" s="537">
        <v>0.672</v>
      </c>
      <c r="AT837" s="122" t="s">
        <v>172</v>
      </c>
      <c r="AU837" s="122" t="s">
        <v>136</v>
      </c>
      <c r="AV837" s="122" t="s">
        <v>141</v>
      </c>
      <c r="AW837" s="129" t="s">
        <v>138</v>
      </c>
      <c r="AX837" s="111" t="s">
        <v>143</v>
      </c>
      <c r="AY837" s="61" t="str">
        <f>IFERROR(__xludf.DUMMYFUNCTION("vlookup(BB837,importrange(""https://docs.google.com/spreadsheets/d/1d2vevQ_7D_v35q4wCQ4RpQ_IPoTwEMB9Yp6ymwlPqew/edit?gid=984458430#gid=984458430"", ""'replication success'!A:K""), 11, FAlSE)"),"#N/A")</f>
        <v>#N/A</v>
      </c>
      <c r="AZ837" s="61" t="str">
        <f>IFERROR(__xludf.DUMMYFUNCTION("vlookup(BB837,importrange(""https://docs.google.com/spreadsheets/d/1d2vevQ_7D_v35q4wCQ4RpQ_IPoTwEMB9Yp6ymwlPqew/edit?gid=984458430#gid=984458430"", ""'replication success'!A:M""), 12, FAlSE)"),"#N/A")</f>
        <v>#N/A</v>
      </c>
      <c r="BA837" s="61" t="str">
        <f>IFERROR(__xludf.DUMMYFUNCTION("vlookup(BB837,importrange(""https://docs.google.com/spreadsheets/d/1d2vevQ_7D_v35q4wCQ4RpQ_IPoTwEMB9Yp6ymwlPqew/edit?gid=984458430#gid=984458430"", ""'replication success'!A:M""), 13, FAlSE)"),"#N/A")</f>
        <v>#N/A</v>
      </c>
      <c r="BB837" s="61" t="str">
        <f>IFERROR(__xludf.DUMMYFUNCTION("REGEXREPLACE(G837, ""_[a-z]{1,2}$"", """")"),"Boyce_etal2023138_1")</f>
        <v>Boyce_etal2023138_1</v>
      </c>
      <c r="BC837" s="71"/>
      <c r="BD837" s="111" t="s">
        <v>153</v>
      </c>
      <c r="BE837" s="71"/>
      <c r="BF837" s="71"/>
      <c r="BG837" s="71"/>
      <c r="BH837" s="71"/>
      <c r="BI837" s="71"/>
      <c r="BJ837" s="71"/>
      <c r="BK837" s="71"/>
      <c r="BL837" s="71"/>
      <c r="BM837" s="71"/>
      <c r="BN837" s="71"/>
      <c r="BO837" s="71"/>
      <c r="BP837" s="71"/>
      <c r="BQ837" s="71"/>
      <c r="BR837" s="71"/>
      <c r="BS837" s="71"/>
      <c r="BT837" s="71"/>
      <c r="BU837" s="71"/>
      <c r="BV837" s="71"/>
      <c r="BW837" s="71"/>
      <c r="BX837" s="71"/>
      <c r="BY837" s="71"/>
      <c r="BZ837" s="71"/>
      <c r="CA837" s="71"/>
      <c r="CB837" s="71"/>
      <c r="CC837" s="71"/>
      <c r="CD837" s="71"/>
      <c r="CE837" s="71"/>
      <c r="CF837" s="71"/>
      <c r="CG837" s="71"/>
      <c r="CH837" s="71"/>
      <c r="CI837" s="71"/>
      <c r="CJ837" s="71"/>
      <c r="CK837" s="71"/>
      <c r="CL837" s="71"/>
      <c r="CM837" s="71"/>
      <c r="CN837" s="71"/>
      <c r="CO837" s="71"/>
      <c r="CP837" s="71"/>
      <c r="CQ837" s="71"/>
      <c r="CR837" s="71"/>
      <c r="CS837" s="71"/>
      <c r="CT837" s="71"/>
      <c r="CU837" s="71"/>
      <c r="CV837" s="71"/>
      <c r="CW837" s="71"/>
      <c r="CX837" s="71"/>
      <c r="CY837" s="71"/>
      <c r="CZ837" s="71"/>
      <c r="DA837" s="71"/>
      <c r="DB837" s="71"/>
      <c r="DC837" s="71"/>
      <c r="DD837" s="71"/>
      <c r="DE837" s="71"/>
      <c r="DF837" s="71"/>
      <c r="DG837" s="71"/>
      <c r="DH837" s="71"/>
      <c r="DI837" s="71"/>
      <c r="DJ837" s="71"/>
      <c r="DK837" s="71"/>
      <c r="DL837" s="71"/>
    </row>
    <row r="838">
      <c r="A838" s="110">
        <v>838.0</v>
      </c>
      <c r="B838" s="111" t="s">
        <v>114</v>
      </c>
      <c r="C838" s="149" t="s">
        <v>115</v>
      </c>
      <c r="D838" s="149" t="s">
        <v>248</v>
      </c>
      <c r="E838" s="71"/>
      <c r="F838" s="111" t="s">
        <v>4513</v>
      </c>
      <c r="G838" s="112" t="s">
        <v>4566</v>
      </c>
      <c r="H838" s="122" t="s">
        <v>249</v>
      </c>
      <c r="I838" s="417">
        <v>45670.0</v>
      </c>
      <c r="J838" s="417">
        <v>45692.0</v>
      </c>
      <c r="K838" s="111"/>
      <c r="L838" s="111"/>
      <c r="M838" s="122" t="s">
        <v>4502</v>
      </c>
      <c r="N838" s="122" t="s">
        <v>4503</v>
      </c>
      <c r="O838" s="111"/>
      <c r="P838" s="122" t="str">
        <f t="shared" si="37"/>
        <v>10.1177--0956797615573516.pdf</v>
      </c>
      <c r="Q838" s="1161" t="str">
        <f t="array" ref="Q838"> if(iserror(MATCH(V838, 'File Links'!C:C, 0)), "N/A", HYPERLINK(INDEX('File Links'!B:B, MATCH(P838, 'File Links'!C:C, 0))))</f>
        <v>https://drive.google.com/file/d/1JoVItYnEA8vA70xzVLnQEC3dgxMW-0on/view?usp=drivesdk</v>
      </c>
      <c r="R838" s="122" t="s">
        <v>3653</v>
      </c>
      <c r="S838" s="122" t="s">
        <v>3654</v>
      </c>
      <c r="T838" s="111"/>
      <c r="U838" s="537">
        <v>1.0</v>
      </c>
      <c r="V838" s="122" t="str">
        <f t="shared" si="46"/>
        <v>10.1098--rsos.231240.pdf</v>
      </c>
      <c r="W838" s="122" t="s">
        <v>3807</v>
      </c>
      <c r="X838" s="1162" t="str">
        <f t="array" ref="X838"> if(iserror(MATCH(V838, 'File Links'!C:C, 0)), "N/A", HYPERLINK(INDEX('File Links'!B:B, MATCH(V838, 'File Links'!C:C, 0))))</f>
        <v>https://drive.google.com/file/d/17gaf2Zy_ljFfcAEDk5L8GBnTl5i7RGJE/view?usp=drivesdk</v>
      </c>
      <c r="Y838" s="111"/>
      <c r="Z838" s="122" t="s">
        <v>226</v>
      </c>
      <c r="AA838" s="111"/>
      <c r="AB838" s="122" t="s">
        <v>4567</v>
      </c>
      <c r="AC838" s="111"/>
      <c r="AD838" s="122" t="s">
        <v>4522</v>
      </c>
      <c r="AE838" s="537">
        <v>2.0</v>
      </c>
      <c r="AF838" s="537">
        <v>151.0</v>
      </c>
      <c r="AG838" s="537">
        <v>0.01</v>
      </c>
      <c r="AH838" s="122" t="s">
        <v>139</v>
      </c>
      <c r="AI838" s="122" t="s">
        <v>140</v>
      </c>
      <c r="AJ838" s="366">
        <v>0.25</v>
      </c>
      <c r="AK838" s="112" t="s">
        <v>335</v>
      </c>
      <c r="AL838" s="112" t="s">
        <v>136</v>
      </c>
      <c r="AM838" s="122" t="s">
        <v>141</v>
      </c>
      <c r="AN838" s="147" t="s">
        <v>138</v>
      </c>
      <c r="AO838" s="537">
        <v>50.0</v>
      </c>
      <c r="AP838" s="537">
        <v>0.18</v>
      </c>
      <c r="AQ838" s="122" t="s">
        <v>1031</v>
      </c>
      <c r="AR838" s="111"/>
      <c r="AS838" s="537">
        <v>0.672</v>
      </c>
      <c r="AT838" s="122" t="s">
        <v>172</v>
      </c>
      <c r="AU838" s="122" t="s">
        <v>136</v>
      </c>
      <c r="AV838" s="122" t="s">
        <v>141</v>
      </c>
      <c r="AW838" s="129" t="s">
        <v>138</v>
      </c>
      <c r="AX838" s="122" t="s">
        <v>143</v>
      </c>
      <c r="AY838" s="61" t="str">
        <f>IFERROR(__xludf.DUMMYFUNCTION("vlookup(BB838,importrange(""https://docs.google.com/spreadsheets/d/1d2vevQ_7D_v35q4wCQ4RpQ_IPoTwEMB9Yp6ymwlPqew/edit?gid=984458430#gid=984458430"", ""'replication success'!A:K""), 11, FAlSE)"),"failed")</f>
        <v>failed</v>
      </c>
      <c r="AZ838" s="61" t="str">
        <f>IFERROR(__xludf.DUMMYFUNCTION("vlookup(BB838,importrange(""https://docs.google.com/spreadsheets/d/1d2vevQ_7D_v35q4wCQ4RpQ_IPoTwEMB9Yp6ymwlPqew/edit?gid=984458430#gid=984458430"",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38" s="61" t="str">
        <f>IFERROR(__xludf.DUMMYFUNCTION("vlookup(BB838,importrange(""https://docs.google.com/spreadsheets/d/1d2vevQ_7D_v35q4wCQ4RpQ_IPoTwEMB9Yp6ymwlPqew/edit?gid=984458430#gid=984458430"",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38" s="61" t="str">
        <f>IFERROR(__xludf.DUMMYFUNCTION("REGEXREPLACE(G838, ""_[a-z]{1,2}$"", """")"),"Boyce_etal2023137_1")</f>
        <v>Boyce_etal2023137_1</v>
      </c>
      <c r="BC838" s="71"/>
      <c r="BD838" s="111" t="s">
        <v>153</v>
      </c>
      <c r="BE838" s="71"/>
      <c r="BF838" s="71"/>
      <c r="BG838" s="71"/>
      <c r="BH838" s="71"/>
      <c r="BI838" s="71"/>
      <c r="BJ838" s="71"/>
      <c r="BK838" s="71"/>
      <c r="BL838" s="71"/>
      <c r="BM838" s="71"/>
      <c r="BN838" s="71"/>
      <c r="BO838" s="71"/>
      <c r="BP838" s="71"/>
      <c r="BQ838" s="71"/>
      <c r="BR838" s="71"/>
      <c r="BS838" s="71"/>
      <c r="BT838" s="71"/>
      <c r="BU838" s="71"/>
      <c r="BV838" s="71"/>
      <c r="BW838" s="71"/>
      <c r="BX838" s="71"/>
      <c r="BY838" s="71"/>
      <c r="BZ838" s="71"/>
      <c r="CA838" s="71"/>
      <c r="CB838" s="71"/>
      <c r="CC838" s="71"/>
      <c r="CD838" s="71"/>
      <c r="CE838" s="71"/>
      <c r="CF838" s="71"/>
      <c r="CG838" s="71"/>
      <c r="CH838" s="71"/>
      <c r="CI838" s="71"/>
      <c r="CJ838" s="71"/>
      <c r="CK838" s="71"/>
      <c r="CL838" s="71"/>
      <c r="CM838" s="71"/>
      <c r="CN838" s="71"/>
      <c r="CO838" s="71"/>
      <c r="CP838" s="71"/>
      <c r="CQ838" s="71"/>
      <c r="CR838" s="71"/>
      <c r="CS838" s="71"/>
      <c r="CT838" s="71"/>
      <c r="CU838" s="71"/>
      <c r="CV838" s="71"/>
      <c r="CW838" s="71"/>
      <c r="CX838" s="71"/>
      <c r="CY838" s="71"/>
      <c r="CZ838" s="71"/>
      <c r="DA838" s="71"/>
      <c r="DB838" s="71"/>
      <c r="DC838" s="71"/>
      <c r="DD838" s="71"/>
      <c r="DE838" s="71"/>
      <c r="DF838" s="71"/>
      <c r="DG838" s="71"/>
      <c r="DH838" s="71"/>
      <c r="DI838" s="71"/>
      <c r="DJ838" s="71"/>
      <c r="DK838" s="71"/>
      <c r="DL838" s="71"/>
    </row>
    <row r="839">
      <c r="A839" s="110">
        <v>839.0</v>
      </c>
      <c r="B839" s="147" t="s">
        <v>4523</v>
      </c>
      <c r="C839" s="149" t="s">
        <v>115</v>
      </c>
      <c r="D839" s="149" t="s">
        <v>153</v>
      </c>
      <c r="E839" s="71"/>
      <c r="F839" s="111" t="s">
        <v>4513</v>
      </c>
      <c r="G839" s="112" t="s">
        <v>4568</v>
      </c>
      <c r="H839" s="122" t="s">
        <v>153</v>
      </c>
      <c r="I839" s="417">
        <v>45687.0</v>
      </c>
      <c r="J839" s="417">
        <v>45692.0</v>
      </c>
      <c r="K839" s="1121" t="s">
        <v>4569</v>
      </c>
      <c r="L839" s="111"/>
      <c r="M839" s="122" t="s">
        <v>4502</v>
      </c>
      <c r="N839" s="122" t="s">
        <v>4503</v>
      </c>
      <c r="O839" s="537">
        <v>2.0</v>
      </c>
      <c r="P839" s="122" t="str">
        <f t="shared" si="37"/>
        <v>10.1177--0956797615573516.pdf</v>
      </c>
      <c r="Q839" s="1161" t="str">
        <f t="array" ref="Q839"> if(iserror(MATCH(V839, 'File Links'!C:C, 0)), "N/A", HYPERLINK(INDEX('File Links'!B:B, MATCH(P839, 'File Links'!C:C, 0))))</f>
        <v>https://drive.google.com/file/d/1JoVItYnEA8vA70xzVLnQEC3dgxMW-0on/view?usp=drivesdk</v>
      </c>
      <c r="R839" s="122" t="s">
        <v>3653</v>
      </c>
      <c r="S839" s="122" t="s">
        <v>3654</v>
      </c>
      <c r="T839" s="111"/>
      <c r="U839" s="537">
        <v>1.0</v>
      </c>
      <c r="V839" s="122" t="str">
        <f t="shared" si="46"/>
        <v>10.1098--rsos.231240.pdf</v>
      </c>
      <c r="W839" s="122" t="s">
        <v>3807</v>
      </c>
      <c r="X839" s="1162" t="str">
        <f t="array" ref="X839"> if(iserror(MATCH(V839, 'File Links'!C:C, 0)), "N/A", HYPERLINK(INDEX('File Links'!B:B, MATCH(V839, 'File Links'!C:C, 0))))</f>
        <v>https://drive.google.com/file/d/17gaf2Zy_ljFfcAEDk5L8GBnTl5i7RGJE/view?usp=drivesdk</v>
      </c>
      <c r="Y839" s="111"/>
      <c r="Z839" s="122" t="s">
        <v>226</v>
      </c>
      <c r="AA839" s="122" t="s">
        <v>4507</v>
      </c>
      <c r="AB839" s="122" t="s">
        <v>4508</v>
      </c>
      <c r="AC839" s="122" t="s">
        <v>4570</v>
      </c>
      <c r="AD839" s="122" t="s">
        <v>4571</v>
      </c>
      <c r="AE839" s="537">
        <v>6.0</v>
      </c>
      <c r="AF839" s="537">
        <v>151.0</v>
      </c>
      <c r="AG839" s="537">
        <v>0.002</v>
      </c>
      <c r="AH839" s="537" t="s">
        <v>139</v>
      </c>
      <c r="AI839" s="537" t="s">
        <v>140</v>
      </c>
      <c r="AJ839" s="366">
        <v>0.25</v>
      </c>
      <c r="AK839" s="112" t="s">
        <v>335</v>
      </c>
      <c r="AL839" s="112" t="s">
        <v>136</v>
      </c>
      <c r="AM839" s="122" t="s">
        <v>141</v>
      </c>
      <c r="AN839" s="147" t="s">
        <v>138</v>
      </c>
      <c r="AO839" s="537">
        <v>50.0</v>
      </c>
      <c r="AP839" s="537" t="s">
        <v>4572</v>
      </c>
      <c r="AQ839" s="537" t="s">
        <v>134</v>
      </c>
      <c r="AR839" s="537" t="s">
        <v>612</v>
      </c>
      <c r="AS839" s="537">
        <v>0.847</v>
      </c>
      <c r="AT839" s="122" t="s">
        <v>172</v>
      </c>
      <c r="AU839" s="122" t="s">
        <v>136</v>
      </c>
      <c r="AV839" s="122" t="s">
        <v>141</v>
      </c>
      <c r="AW839" s="129" t="s">
        <v>138</v>
      </c>
      <c r="AX839" s="111" t="s">
        <v>143</v>
      </c>
      <c r="AY839" s="61" t="str">
        <f>IFERROR(__xludf.DUMMYFUNCTION("vlookup(BB839,importrange(""https://docs.google.com/spreadsheets/d/1d2vevQ_7D_v35q4wCQ4RpQ_IPoTwEMB9Yp6ymwlPqew/edit?gid=984458430#gid=984458430"", ""'replication success'!A:K""), 11, FAlSE)"),"#N/A")</f>
        <v>#N/A</v>
      </c>
      <c r="AZ839" s="61" t="str">
        <f>IFERROR(__xludf.DUMMYFUNCTION("vlookup(BB839,importrange(""https://docs.google.com/spreadsheets/d/1d2vevQ_7D_v35q4wCQ4RpQ_IPoTwEMB9Yp6ymwlPqew/edit?gid=984458430#gid=984458430"", ""'replication success'!A:M""), 12, FAlSE)"),"#N/A")</f>
        <v>#N/A</v>
      </c>
      <c r="BA839" s="61" t="str">
        <f>IFERROR(__xludf.DUMMYFUNCTION("vlookup(BB839,importrange(""https://docs.google.com/spreadsheets/d/1d2vevQ_7D_v35q4wCQ4RpQ_IPoTwEMB9Yp6ymwlPqew/edit?gid=984458430#gid=984458430"", ""'replication success'!A:M""), 13, FAlSE)"),"#N/A")</f>
        <v>#N/A</v>
      </c>
      <c r="BB839" s="61" t="str">
        <f>IFERROR(__xludf.DUMMYFUNCTION("REGEXREPLACE(G839, ""_[a-z]{1,2}$"", """")"),"Boyce_etal2023138_1")</f>
        <v>Boyce_etal2023138_1</v>
      </c>
      <c r="BC839" s="71"/>
      <c r="BD839" s="111" t="s">
        <v>153</v>
      </c>
      <c r="BE839" s="71"/>
      <c r="BF839" s="71"/>
      <c r="BG839" s="71"/>
      <c r="BH839" s="71"/>
      <c r="BI839" s="71"/>
      <c r="BJ839" s="71"/>
      <c r="BK839" s="71"/>
      <c r="BL839" s="71"/>
      <c r="BM839" s="71"/>
      <c r="BN839" s="71"/>
      <c r="BO839" s="71"/>
      <c r="BP839" s="71"/>
      <c r="BQ839" s="71"/>
      <c r="BR839" s="71"/>
      <c r="BS839" s="71"/>
      <c r="BT839" s="71"/>
      <c r="BU839" s="71"/>
      <c r="BV839" s="71"/>
      <c r="BW839" s="71"/>
      <c r="BX839" s="71"/>
      <c r="BY839" s="71"/>
      <c r="BZ839" s="71"/>
      <c r="CA839" s="71"/>
      <c r="CB839" s="71"/>
      <c r="CC839" s="71"/>
      <c r="CD839" s="71"/>
      <c r="CE839" s="71"/>
      <c r="CF839" s="71"/>
      <c r="CG839" s="71"/>
      <c r="CH839" s="71"/>
      <c r="CI839" s="71"/>
      <c r="CJ839" s="71"/>
      <c r="CK839" s="71"/>
      <c r="CL839" s="71"/>
      <c r="CM839" s="71"/>
      <c r="CN839" s="71"/>
      <c r="CO839" s="71"/>
      <c r="CP839" s="71"/>
      <c r="CQ839" s="71"/>
      <c r="CR839" s="71"/>
      <c r="CS839" s="71"/>
      <c r="CT839" s="71"/>
      <c r="CU839" s="71"/>
      <c r="CV839" s="71"/>
      <c r="CW839" s="71"/>
      <c r="CX839" s="71"/>
      <c r="CY839" s="71"/>
      <c r="CZ839" s="71"/>
      <c r="DA839" s="71"/>
      <c r="DB839" s="71"/>
      <c r="DC839" s="71"/>
      <c r="DD839" s="71"/>
      <c r="DE839" s="71"/>
      <c r="DF839" s="71"/>
      <c r="DG839" s="71"/>
      <c r="DH839" s="71"/>
      <c r="DI839" s="71"/>
      <c r="DJ839" s="71"/>
      <c r="DK839" s="71"/>
      <c r="DL839" s="71"/>
    </row>
    <row r="840">
      <c r="A840" s="110">
        <v>840.0</v>
      </c>
      <c r="B840" s="111" t="s">
        <v>114</v>
      </c>
      <c r="C840" s="149" t="s">
        <v>115</v>
      </c>
      <c r="D840" s="149" t="s">
        <v>248</v>
      </c>
      <c r="E840" s="71"/>
      <c r="F840" s="111" t="s">
        <v>4513</v>
      </c>
      <c r="G840" s="112" t="s">
        <v>4573</v>
      </c>
      <c r="H840" s="122" t="s">
        <v>249</v>
      </c>
      <c r="I840" s="417">
        <v>45670.0</v>
      </c>
      <c r="J840" s="417">
        <v>45692.0</v>
      </c>
      <c r="K840" s="111"/>
      <c r="L840" s="111"/>
      <c r="M840" s="122" t="s">
        <v>4502</v>
      </c>
      <c r="N840" s="122" t="s">
        <v>4503</v>
      </c>
      <c r="O840" s="111"/>
      <c r="P840" s="122" t="str">
        <f t="shared" si="37"/>
        <v>10.1177--0956797615573516.pdf</v>
      </c>
      <c r="Q840" s="1161" t="str">
        <f t="array" ref="Q840"> if(iserror(MATCH(V840, 'File Links'!C:C, 0)), "N/A", HYPERLINK(INDEX('File Links'!B:B, MATCH(P840, 'File Links'!C:C, 0))))</f>
        <v>https://drive.google.com/file/d/1JoVItYnEA8vA70xzVLnQEC3dgxMW-0on/view?usp=drivesdk</v>
      </c>
      <c r="R840" s="122" t="s">
        <v>3653</v>
      </c>
      <c r="S840" s="122" t="s">
        <v>3654</v>
      </c>
      <c r="T840" s="111"/>
      <c r="U840" s="537">
        <v>1.0</v>
      </c>
      <c r="V840" s="122" t="str">
        <f t="shared" si="46"/>
        <v>10.1098--rsos.231240.pdf</v>
      </c>
      <c r="W840" s="122" t="s">
        <v>3807</v>
      </c>
      <c r="X840" s="1162" t="str">
        <f t="array" ref="X840"> if(iserror(MATCH(V840, 'File Links'!C:C, 0)), "N/A", HYPERLINK(INDEX('File Links'!B:B, MATCH(V840, 'File Links'!C:C, 0))))</f>
        <v>https://drive.google.com/file/d/17gaf2Zy_ljFfcAEDk5L8GBnTl5i7RGJE/view?usp=drivesdk</v>
      </c>
      <c r="Y840" s="111"/>
      <c r="Z840" s="122" t="s">
        <v>226</v>
      </c>
      <c r="AA840" s="111"/>
      <c r="AB840" s="122" t="s">
        <v>4574</v>
      </c>
      <c r="AC840" s="111"/>
      <c r="AD840" s="122" t="s">
        <v>4522</v>
      </c>
      <c r="AE840" s="537">
        <v>2.0</v>
      </c>
      <c r="AF840" s="537">
        <v>151.0</v>
      </c>
      <c r="AG840" s="537">
        <v>0.002</v>
      </c>
      <c r="AH840" s="122" t="s">
        <v>139</v>
      </c>
      <c r="AI840" s="122" t="s">
        <v>140</v>
      </c>
      <c r="AJ840" s="366">
        <v>0.25</v>
      </c>
      <c r="AK840" s="112" t="s">
        <v>335</v>
      </c>
      <c r="AL840" s="112" t="s">
        <v>136</v>
      </c>
      <c r="AM840" s="122" t="s">
        <v>141</v>
      </c>
      <c r="AN840" s="147" t="s">
        <v>138</v>
      </c>
      <c r="AO840" s="537">
        <v>50.0</v>
      </c>
      <c r="AP840" s="537">
        <v>0.04</v>
      </c>
      <c r="AQ840" s="122" t="s">
        <v>1031</v>
      </c>
      <c r="AR840" s="111"/>
      <c r="AS840" s="537">
        <v>0.847</v>
      </c>
      <c r="AT840" s="122" t="s">
        <v>172</v>
      </c>
      <c r="AU840" s="122" t="s">
        <v>136</v>
      </c>
      <c r="AV840" s="122" t="s">
        <v>141</v>
      </c>
      <c r="AW840" s="129" t="s">
        <v>138</v>
      </c>
      <c r="AX840" s="122" t="s">
        <v>143</v>
      </c>
      <c r="AY840" s="61" t="str">
        <f>IFERROR(__xludf.DUMMYFUNCTION("vlookup(BB840,importrange(""https://docs.google.com/spreadsheets/d/1d2vevQ_7D_v35q4wCQ4RpQ_IPoTwEMB9Yp6ymwlPqew/edit?gid=984458430#gid=984458430"", ""'replication success'!A:K""), 11, FAlSE)"),"failed")</f>
        <v>failed</v>
      </c>
      <c r="AZ840" s="61" t="str">
        <f>IFERROR(__xludf.DUMMYFUNCTION("vlookup(BB840,importrange(""https://docs.google.com/spreadsheets/d/1d2vevQ_7D_v35q4wCQ4RpQ_IPoTwEMB9Yp6ymwlPqew/edit?gid=984458430#gid=984458430"",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40" s="61" t="str">
        <f>IFERROR(__xludf.DUMMYFUNCTION("vlookup(BB840,importrange(""https://docs.google.com/spreadsheets/d/1d2vevQ_7D_v35q4wCQ4RpQ_IPoTwEMB9Yp6ymwlPqew/edit?gid=984458430#gid=984458430"",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40" s="61" t="str">
        <f>IFERROR(__xludf.DUMMYFUNCTION("REGEXREPLACE(G840, ""_[a-z]{1,2}$"", """")"),"Boyce_etal2023137_1")</f>
        <v>Boyce_etal2023137_1</v>
      </c>
      <c r="BC840" s="71"/>
      <c r="BD840" s="111" t="s">
        <v>153</v>
      </c>
      <c r="BE840" s="71"/>
      <c r="BF840" s="71"/>
      <c r="BG840" s="71"/>
      <c r="BH840" s="71"/>
      <c r="BI840" s="71"/>
      <c r="BJ840" s="71"/>
      <c r="BK840" s="71"/>
      <c r="BL840" s="71"/>
      <c r="BM840" s="71"/>
      <c r="BN840" s="71"/>
      <c r="BO840" s="71"/>
      <c r="BP840" s="71"/>
      <c r="BQ840" s="71"/>
      <c r="BR840" s="71"/>
      <c r="BS840" s="71"/>
      <c r="BT840" s="71"/>
      <c r="BU840" s="71"/>
      <c r="BV840" s="71"/>
      <c r="BW840" s="71"/>
      <c r="BX840" s="71"/>
      <c r="BY840" s="71"/>
      <c r="BZ840" s="71"/>
      <c r="CA840" s="71"/>
      <c r="CB840" s="71"/>
      <c r="CC840" s="71"/>
      <c r="CD840" s="71"/>
      <c r="CE840" s="71"/>
      <c r="CF840" s="71"/>
      <c r="CG840" s="71"/>
      <c r="CH840" s="71"/>
      <c r="CI840" s="71"/>
      <c r="CJ840" s="71"/>
      <c r="CK840" s="71"/>
      <c r="CL840" s="71"/>
      <c r="CM840" s="71"/>
      <c r="CN840" s="71"/>
      <c r="CO840" s="71"/>
      <c r="CP840" s="71"/>
      <c r="CQ840" s="71"/>
      <c r="CR840" s="71"/>
      <c r="CS840" s="71"/>
      <c r="CT840" s="71"/>
      <c r="CU840" s="71"/>
      <c r="CV840" s="71"/>
      <c r="CW840" s="71"/>
      <c r="CX840" s="71"/>
      <c r="CY840" s="71"/>
      <c r="CZ840" s="71"/>
      <c r="DA840" s="71"/>
      <c r="DB840" s="71"/>
      <c r="DC840" s="71"/>
      <c r="DD840" s="71"/>
      <c r="DE840" s="71"/>
      <c r="DF840" s="71"/>
      <c r="DG840" s="71"/>
      <c r="DH840" s="71"/>
      <c r="DI840" s="71"/>
      <c r="DJ840" s="71"/>
      <c r="DK840" s="71"/>
      <c r="DL840" s="71"/>
    </row>
    <row r="841">
      <c r="A841" s="110">
        <v>841.0</v>
      </c>
      <c r="B841" s="147" t="s">
        <v>4523</v>
      </c>
      <c r="C841" s="149" t="s">
        <v>115</v>
      </c>
      <c r="D841" s="149" t="s">
        <v>153</v>
      </c>
      <c r="E841" s="71"/>
      <c r="F841" s="111" t="s">
        <v>4513</v>
      </c>
      <c r="G841" s="112" t="s">
        <v>4575</v>
      </c>
      <c r="H841" s="122" t="s">
        <v>153</v>
      </c>
      <c r="I841" s="417">
        <v>45687.0</v>
      </c>
      <c r="J841" s="417">
        <v>45692.0</v>
      </c>
      <c r="K841" s="1121" t="s">
        <v>4576</v>
      </c>
      <c r="L841" s="111"/>
      <c r="M841" s="122" t="s">
        <v>4502</v>
      </c>
      <c r="N841" s="122" t="s">
        <v>4503</v>
      </c>
      <c r="O841" s="537">
        <v>2.0</v>
      </c>
      <c r="P841" s="122" t="str">
        <f t="shared" si="37"/>
        <v>10.1177--0956797615573516.pdf</v>
      </c>
      <c r="Q841" s="1161" t="str">
        <f t="array" ref="Q841"> if(iserror(MATCH(V841, 'File Links'!C:C, 0)), "N/A", HYPERLINK(INDEX('File Links'!B:B, MATCH(P841, 'File Links'!C:C, 0))))</f>
        <v>https://drive.google.com/file/d/1JoVItYnEA8vA70xzVLnQEC3dgxMW-0on/view?usp=drivesdk</v>
      </c>
      <c r="R841" s="122" t="s">
        <v>3653</v>
      </c>
      <c r="S841" s="122" t="s">
        <v>3654</v>
      </c>
      <c r="T841" s="111"/>
      <c r="U841" s="537">
        <v>1.0</v>
      </c>
      <c r="V841" s="122" t="str">
        <f t="shared" si="46"/>
        <v>10.1098--rsos.231240.pdf</v>
      </c>
      <c r="W841" s="122" t="s">
        <v>3807</v>
      </c>
      <c r="X841" s="1162" t="str">
        <f t="array" ref="X841"> if(iserror(MATCH(V841, 'File Links'!C:C, 0)), "N/A", HYPERLINK(INDEX('File Links'!B:B, MATCH(V841, 'File Links'!C:C, 0))))</f>
        <v>https://drive.google.com/file/d/17gaf2Zy_ljFfcAEDk5L8GBnTl5i7RGJE/view?usp=drivesdk</v>
      </c>
      <c r="Y841" s="111"/>
      <c r="Z841" s="122" t="s">
        <v>226</v>
      </c>
      <c r="AA841" s="122" t="s">
        <v>4507</v>
      </c>
      <c r="AB841" s="122" t="s">
        <v>4508</v>
      </c>
      <c r="AC841" s="122" t="s">
        <v>4577</v>
      </c>
      <c r="AD841" s="122" t="s">
        <v>4578</v>
      </c>
      <c r="AE841" s="537">
        <v>6.0</v>
      </c>
      <c r="AF841" s="537">
        <v>151.0</v>
      </c>
      <c r="AG841" s="537">
        <v>0.02</v>
      </c>
      <c r="AH841" s="537" t="s">
        <v>139</v>
      </c>
      <c r="AI841" s="537" t="s">
        <v>140</v>
      </c>
      <c r="AJ841" s="366">
        <v>0.1</v>
      </c>
      <c r="AK841" s="112" t="s">
        <v>172</v>
      </c>
      <c r="AL841" s="112" t="s">
        <v>136</v>
      </c>
      <c r="AM841" s="122" t="s">
        <v>141</v>
      </c>
      <c r="AN841" s="147" t="s">
        <v>138</v>
      </c>
      <c r="AO841" s="537">
        <v>50.0</v>
      </c>
      <c r="AP841" s="537" t="s">
        <v>4579</v>
      </c>
      <c r="AQ841" s="537" t="s">
        <v>134</v>
      </c>
      <c r="AR841" s="537" t="s">
        <v>612</v>
      </c>
      <c r="AS841" s="537">
        <v>0.598</v>
      </c>
      <c r="AT841" s="122" t="s">
        <v>172</v>
      </c>
      <c r="AU841" s="122" t="s">
        <v>136</v>
      </c>
      <c r="AV841" s="122" t="s">
        <v>141</v>
      </c>
      <c r="AW841" s="129" t="s">
        <v>138</v>
      </c>
      <c r="AX841" s="111" t="s">
        <v>143</v>
      </c>
      <c r="AY841" s="61" t="str">
        <f>IFERROR(__xludf.DUMMYFUNCTION("vlookup(BB841,importrange(""https://docs.google.com/spreadsheets/d/1d2vevQ_7D_v35q4wCQ4RpQ_IPoTwEMB9Yp6ymwlPqew/edit?gid=984458430#gid=984458430"", ""'replication success'!A:K""), 11, FAlSE)"),"#N/A")</f>
        <v>#N/A</v>
      </c>
      <c r="AZ841" s="61" t="str">
        <f>IFERROR(__xludf.DUMMYFUNCTION("vlookup(BB841,importrange(""https://docs.google.com/spreadsheets/d/1d2vevQ_7D_v35q4wCQ4RpQ_IPoTwEMB9Yp6ymwlPqew/edit?gid=984458430#gid=984458430"", ""'replication success'!A:M""), 12, FAlSE)"),"#N/A")</f>
        <v>#N/A</v>
      </c>
      <c r="BA841" s="61" t="str">
        <f>IFERROR(__xludf.DUMMYFUNCTION("vlookup(BB841,importrange(""https://docs.google.com/spreadsheets/d/1d2vevQ_7D_v35q4wCQ4RpQ_IPoTwEMB9Yp6ymwlPqew/edit?gid=984458430#gid=984458430"", ""'replication success'!A:M""), 13, FAlSE)"),"#N/A")</f>
        <v>#N/A</v>
      </c>
      <c r="BB841" s="61" t="str">
        <f>IFERROR(__xludf.DUMMYFUNCTION("REGEXREPLACE(G841, ""_[a-z]{1,2}$"", """")"),"Boyce_etal2023138_1")</f>
        <v>Boyce_etal2023138_1</v>
      </c>
      <c r="BC841" s="71"/>
      <c r="BD841" s="111" t="s">
        <v>153</v>
      </c>
      <c r="BE841" s="71"/>
      <c r="BF841" s="71"/>
      <c r="BG841" s="71"/>
      <c r="BH841" s="71"/>
      <c r="BI841" s="71"/>
      <c r="BJ841" s="71"/>
      <c r="BK841" s="71"/>
      <c r="BL841" s="71"/>
      <c r="BM841" s="71"/>
      <c r="BN841" s="71"/>
      <c r="BO841" s="71"/>
      <c r="BP841" s="71"/>
      <c r="BQ841" s="71"/>
      <c r="BR841" s="71"/>
      <c r="BS841" s="71"/>
      <c r="BT841" s="71"/>
      <c r="BU841" s="71"/>
      <c r="BV841" s="71"/>
      <c r="BW841" s="71"/>
      <c r="BX841" s="71"/>
      <c r="BY841" s="71"/>
      <c r="BZ841" s="71"/>
      <c r="CA841" s="71"/>
      <c r="CB841" s="71"/>
      <c r="CC841" s="71"/>
      <c r="CD841" s="71"/>
      <c r="CE841" s="71"/>
      <c r="CF841" s="71"/>
      <c r="CG841" s="71"/>
      <c r="CH841" s="71"/>
      <c r="CI841" s="71"/>
      <c r="CJ841" s="71"/>
      <c r="CK841" s="71"/>
      <c r="CL841" s="71"/>
      <c r="CM841" s="71"/>
      <c r="CN841" s="71"/>
      <c r="CO841" s="71"/>
      <c r="CP841" s="71"/>
      <c r="CQ841" s="71"/>
      <c r="CR841" s="71"/>
      <c r="CS841" s="71"/>
      <c r="CT841" s="71"/>
      <c r="CU841" s="71"/>
      <c r="CV841" s="71"/>
      <c r="CW841" s="71"/>
      <c r="CX841" s="71"/>
      <c r="CY841" s="71"/>
      <c r="CZ841" s="71"/>
      <c r="DA841" s="71"/>
      <c r="DB841" s="71"/>
      <c r="DC841" s="71"/>
      <c r="DD841" s="71"/>
      <c r="DE841" s="71"/>
      <c r="DF841" s="71"/>
      <c r="DG841" s="71"/>
      <c r="DH841" s="71"/>
      <c r="DI841" s="71"/>
      <c r="DJ841" s="71"/>
      <c r="DK841" s="71"/>
      <c r="DL841" s="71"/>
    </row>
    <row r="842">
      <c r="A842" s="110">
        <v>842.0</v>
      </c>
      <c r="B842" s="111" t="s">
        <v>114</v>
      </c>
      <c r="C842" s="149" t="s">
        <v>115</v>
      </c>
      <c r="D842" s="149" t="s">
        <v>248</v>
      </c>
      <c r="E842" s="71"/>
      <c r="F842" s="111" t="s">
        <v>4513</v>
      </c>
      <c r="G842" s="112" t="s">
        <v>4573</v>
      </c>
      <c r="H842" s="122" t="s">
        <v>249</v>
      </c>
      <c r="I842" s="417">
        <v>45670.0</v>
      </c>
      <c r="J842" s="417">
        <v>45692.0</v>
      </c>
      <c r="K842" s="111"/>
      <c r="L842" s="111" t="s">
        <v>4520</v>
      </c>
      <c r="M842" s="122" t="s">
        <v>4502</v>
      </c>
      <c r="N842" s="122" t="s">
        <v>4503</v>
      </c>
      <c r="O842" s="111"/>
      <c r="P842" s="122" t="str">
        <f t="shared" si="37"/>
        <v>10.1177--0956797615573516.pdf</v>
      </c>
      <c r="Q842" s="1161" t="str">
        <f t="array" ref="Q842"> if(iserror(MATCH(V842, 'File Links'!C:C, 0)), "N/A", HYPERLINK(INDEX('File Links'!B:B, MATCH(P842, 'File Links'!C:C, 0))))</f>
        <v>https://drive.google.com/file/d/1JoVItYnEA8vA70xzVLnQEC3dgxMW-0on/view?usp=drivesdk</v>
      </c>
      <c r="R842" s="122" t="s">
        <v>3653</v>
      </c>
      <c r="S842" s="122" t="s">
        <v>3654</v>
      </c>
      <c r="T842" s="111"/>
      <c r="U842" s="537">
        <v>1.0</v>
      </c>
      <c r="V842" s="122" t="str">
        <f t="shared" si="46"/>
        <v>10.1098--rsos.231240.pdf</v>
      </c>
      <c r="W842" s="122" t="s">
        <v>3807</v>
      </c>
      <c r="X842" s="1162" t="str">
        <f t="array" ref="X842"> if(iserror(MATCH(V842, 'File Links'!C:C, 0)), "N/A", HYPERLINK(INDEX('File Links'!B:B, MATCH(V842, 'File Links'!C:C, 0))))</f>
        <v>https://drive.google.com/file/d/17gaf2Zy_ljFfcAEDk5L8GBnTl5i7RGJE/view?usp=drivesdk</v>
      </c>
      <c r="Y842" s="111"/>
      <c r="Z842" s="122" t="s">
        <v>226</v>
      </c>
      <c r="AA842" s="111"/>
      <c r="AB842" s="122" t="s">
        <v>4580</v>
      </c>
      <c r="AC842" s="111"/>
      <c r="AD842" s="122" t="s">
        <v>4522</v>
      </c>
      <c r="AE842" s="537">
        <v>2.0</v>
      </c>
      <c r="AF842" s="537">
        <v>151.0</v>
      </c>
      <c r="AG842" s="1106">
        <v>0.2</v>
      </c>
      <c r="AH842" s="122" t="s">
        <v>139</v>
      </c>
      <c r="AI842" s="122" t="s">
        <v>140</v>
      </c>
      <c r="AJ842" s="366">
        <v>0.1</v>
      </c>
      <c r="AK842" s="112" t="s">
        <v>172</v>
      </c>
      <c r="AL842" s="112" t="s">
        <v>136</v>
      </c>
      <c r="AM842" s="122" t="s">
        <v>141</v>
      </c>
      <c r="AN842" s="147" t="s">
        <v>138</v>
      </c>
      <c r="AO842" s="537">
        <v>50.0</v>
      </c>
      <c r="AP842" s="537">
        <v>0.28</v>
      </c>
      <c r="AQ842" s="122" t="s">
        <v>1031</v>
      </c>
      <c r="AR842" s="111"/>
      <c r="AS842" s="537">
        <v>0.598</v>
      </c>
      <c r="AT842" s="122" t="s">
        <v>172</v>
      </c>
      <c r="AU842" s="122" t="s">
        <v>136</v>
      </c>
      <c r="AV842" s="122" t="s">
        <v>141</v>
      </c>
      <c r="AW842" s="129" t="s">
        <v>138</v>
      </c>
      <c r="AX842" s="122" t="s">
        <v>143</v>
      </c>
      <c r="AY842" s="61" t="str">
        <f>IFERROR(__xludf.DUMMYFUNCTION("vlookup(BB842,importrange(""https://docs.google.com/spreadsheets/d/1d2vevQ_7D_v35q4wCQ4RpQ_IPoTwEMB9Yp6ymwlPqew/edit?gid=984458430#gid=984458430"", ""'replication success'!A:K""), 11, FAlSE)"),"failed")</f>
        <v>failed</v>
      </c>
      <c r="AZ842" s="61" t="str">
        <f>IFERROR(__xludf.DUMMYFUNCTION("vlookup(BB842,importrange(""https://docs.google.com/spreadsheets/d/1d2vevQ_7D_v35q4wCQ4RpQ_IPoTwEMB9Yp6ymwlPqew/edit?gid=984458430#gid=984458430"",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842" s="61" t="str">
        <f>IFERROR(__xludf.DUMMYFUNCTION("vlookup(BB842,importrange(""https://docs.google.com/spreadsheets/d/1d2vevQ_7D_v35q4wCQ4RpQ_IPoTwEMB9Yp6ymwlPqew/edit?gid=984458430#gid=984458430"",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v>
      </c>
      <c r="BB842" s="61" t="str">
        <f>IFERROR(__xludf.DUMMYFUNCTION("REGEXREPLACE(G842, ""_[a-z]{1,2}$"", """")"),"Boyce_etal2023137_1")</f>
        <v>Boyce_etal2023137_1</v>
      </c>
      <c r="BC842" s="71"/>
      <c r="BD842" s="111" t="s">
        <v>153</v>
      </c>
      <c r="BE842" s="71"/>
      <c r="BF842" s="71"/>
      <c r="BG842" s="71"/>
      <c r="BH842" s="71"/>
      <c r="BI842" s="71"/>
      <c r="BJ842" s="71"/>
      <c r="BK842" s="71"/>
      <c r="BL842" s="71"/>
      <c r="BM842" s="71"/>
      <c r="BN842" s="71"/>
      <c r="BO842" s="71"/>
      <c r="BP842" s="71"/>
      <c r="BQ842" s="71"/>
      <c r="BR842" s="71"/>
      <c r="BS842" s="71"/>
      <c r="BT842" s="71"/>
      <c r="BU842" s="71"/>
      <c r="BV842" s="71"/>
      <c r="BW842" s="71"/>
      <c r="BX842" s="71"/>
      <c r="BY842" s="71"/>
      <c r="BZ842" s="71"/>
      <c r="CA842" s="71"/>
      <c r="CB842" s="71"/>
      <c r="CC842" s="71"/>
      <c r="CD842" s="71"/>
      <c r="CE842" s="71"/>
      <c r="CF842" s="71"/>
      <c r="CG842" s="71"/>
      <c r="CH842" s="71"/>
      <c r="CI842" s="71"/>
      <c r="CJ842" s="71"/>
      <c r="CK842" s="71"/>
      <c r="CL842" s="71"/>
      <c r="CM842" s="71"/>
      <c r="CN842" s="71"/>
      <c r="CO842" s="71"/>
      <c r="CP842" s="71"/>
      <c r="CQ842" s="71"/>
      <c r="CR842" s="71"/>
      <c r="CS842" s="71"/>
      <c r="CT842" s="71"/>
      <c r="CU842" s="71"/>
      <c r="CV842" s="71"/>
      <c r="CW842" s="71"/>
      <c r="CX842" s="71"/>
      <c r="CY842" s="71"/>
      <c r="CZ842" s="71"/>
      <c r="DA842" s="71"/>
      <c r="DB842" s="71"/>
      <c r="DC842" s="71"/>
      <c r="DD842" s="71"/>
      <c r="DE842" s="71"/>
      <c r="DF842" s="71"/>
      <c r="DG842" s="71"/>
      <c r="DH842" s="71"/>
      <c r="DI842" s="71"/>
      <c r="DJ842" s="71"/>
      <c r="DK842" s="71"/>
      <c r="DL842" s="71"/>
    </row>
    <row r="843">
      <c r="A843" s="328">
        <v>843.0</v>
      </c>
      <c r="B843" s="331" t="s">
        <v>114</v>
      </c>
      <c r="C843" s="325" t="s">
        <v>115</v>
      </c>
      <c r="D843" s="325" t="s">
        <v>248</v>
      </c>
      <c r="E843" s="226"/>
      <c r="F843" s="244" t="s">
        <v>4581</v>
      </c>
      <c r="G843" s="412" t="s">
        <v>4582</v>
      </c>
      <c r="H843" s="244" t="s">
        <v>249</v>
      </c>
      <c r="I843" s="658">
        <v>45670.0</v>
      </c>
      <c r="J843" s="658">
        <v>45692.0</v>
      </c>
      <c r="K843" s="331"/>
      <c r="L843" s="331"/>
      <c r="M843" s="244" t="s">
        <v>4583</v>
      </c>
      <c r="N843" s="244" t="s">
        <v>4584</v>
      </c>
      <c r="O843" s="331"/>
      <c r="P843" s="244" t="str">
        <f t="shared" si="37"/>
        <v>10.1177--1948550619849426.pdf</v>
      </c>
      <c r="Q843" s="661" t="str">
        <f t="array" ref="Q843"> if(iserror(MATCH(V843, 'File Links'!C:C, 0)), "N/A", HYPERLINK(INDEX('File Links'!B:B, MATCH(P843, 'File Links'!C:C, 0))))</f>
        <v>https://drive.google.com/file/d/14jCdpBA20GeEpZdlt1OEEDrVjc2kp6h7/view?usp=drivesdk</v>
      </c>
      <c r="R843" s="244" t="s">
        <v>3653</v>
      </c>
      <c r="S843" s="244" t="s">
        <v>3654</v>
      </c>
      <c r="T843" s="331"/>
      <c r="U843" s="334">
        <v>1.0</v>
      </c>
      <c r="V843" s="244" t="str">
        <f t="shared" si="46"/>
        <v>10.1098--rsos.231240.pdf</v>
      </c>
      <c r="W843" s="244" t="s">
        <v>3665</v>
      </c>
      <c r="X843" s="1173" t="str">
        <f t="array" ref="X843"> if(iserror(MATCH(V843, 'File Links'!C:C, 0)), "N/A", HYPERLINK(INDEX('File Links'!B:B, MATCH(V843, 'File Links'!C:C, 0))))</f>
        <v>https://drive.google.com/file/d/17gaf2Zy_ljFfcAEDk5L8GBnTl5i7RGJE/view?usp=drivesdk</v>
      </c>
      <c r="Y843" s="331"/>
      <c r="Z843" s="244" t="s">
        <v>226</v>
      </c>
      <c r="AA843" s="331"/>
      <c r="AB843" s="331"/>
      <c r="AC843" s="331"/>
      <c r="AD843" s="324" t="s">
        <v>4585</v>
      </c>
      <c r="AE843" s="334">
        <v>6.0</v>
      </c>
      <c r="AF843" s="334">
        <v>101.0</v>
      </c>
      <c r="AG843" s="1192" t="s">
        <v>4586</v>
      </c>
      <c r="AH843" s="324" t="s">
        <v>134</v>
      </c>
      <c r="AI843" s="244" t="s">
        <v>140</v>
      </c>
      <c r="AJ843" s="1176">
        <v>0.001</v>
      </c>
      <c r="AK843" s="412" t="s">
        <v>135</v>
      </c>
      <c r="AL843" s="412" t="s">
        <v>218</v>
      </c>
      <c r="AM843" s="244" t="s">
        <v>141</v>
      </c>
      <c r="AN843" s="666" t="s">
        <v>4587</v>
      </c>
      <c r="AO843" s="334">
        <v>104.0</v>
      </c>
      <c r="AP843" s="334">
        <v>0.166673333200005</v>
      </c>
      <c r="AQ843" s="244" t="s">
        <v>173</v>
      </c>
      <c r="AR843" s="331"/>
      <c r="AS843" s="334">
        <v>0.0986966719237651</v>
      </c>
      <c r="AT843" s="244" t="s">
        <v>172</v>
      </c>
      <c r="AU843" s="244" t="s">
        <v>186</v>
      </c>
      <c r="AV843" s="244" t="s">
        <v>141</v>
      </c>
      <c r="AW843" s="129" t="s">
        <v>138</v>
      </c>
      <c r="AX843" s="244" t="s">
        <v>143</v>
      </c>
      <c r="AY843" s="61" t="str">
        <f>IFERROR(__xludf.DUMMYFUNCTION("vlookup(BB843,importrange(""https://docs.google.com/spreadsheets/d/1d2vevQ_7D_v35q4wCQ4RpQ_IPoTwEMB9Yp6ymwlPqew/edit?gid=984458430#gid=984458430"", ""'replication success'!A:K""), 11, FAlSE)"),"#N/A")</f>
        <v>#N/A</v>
      </c>
      <c r="AZ843" s="61" t="str">
        <f>IFERROR(__xludf.DUMMYFUNCTION("vlookup(BB843,importrange(""https://docs.google.com/spreadsheets/d/1d2vevQ_7D_v35q4wCQ4RpQ_IPoTwEMB9Yp6ymwlPqew/edit?gid=984458430#gid=984458430"", ""'replication success'!A:M""), 12, FAlSE)"),"#N/A")</f>
        <v>#N/A</v>
      </c>
      <c r="BA843" s="61" t="str">
        <f>IFERROR(__xludf.DUMMYFUNCTION("vlookup(BB843,importrange(""https://docs.google.com/spreadsheets/d/1d2vevQ_7D_v35q4wCQ4RpQ_IPoTwEMB9Yp6ymwlPqew/edit?gid=984458430#gid=984458430"", ""'replication success'!A:M""), 13, FAlSE)"),"#N/A")</f>
        <v>#N/A</v>
      </c>
      <c r="BB843" s="61" t="str">
        <f>IFERROR(__xludf.DUMMYFUNCTION("REGEXREPLACE(G843, ""_[a-z]{1,2}$"", """")"),"Boyce_etal2023139_1")</f>
        <v>Boyce_etal2023139_1</v>
      </c>
      <c r="BC843" s="226"/>
      <c r="BD843" s="331" t="s">
        <v>153</v>
      </c>
      <c r="BE843" s="226"/>
      <c r="BF843" s="226"/>
      <c r="BG843" s="226"/>
      <c r="BH843" s="226"/>
      <c r="BI843" s="226"/>
      <c r="BJ843" s="226"/>
      <c r="BK843" s="226"/>
      <c r="BL843" s="226"/>
      <c r="BM843" s="226"/>
      <c r="BN843" s="226"/>
      <c r="BO843" s="226"/>
      <c r="BP843" s="226"/>
      <c r="BQ843" s="226"/>
      <c r="BR843" s="226"/>
      <c r="BS843" s="226"/>
      <c r="BT843" s="226"/>
      <c r="BU843" s="226"/>
      <c r="BV843" s="226"/>
      <c r="BW843" s="226"/>
      <c r="BX843" s="226"/>
      <c r="BY843" s="226"/>
      <c r="BZ843" s="226"/>
      <c r="CA843" s="226"/>
      <c r="CB843" s="226"/>
      <c r="CC843" s="226"/>
      <c r="CD843" s="226"/>
      <c r="CE843" s="226"/>
      <c r="CF843" s="226"/>
      <c r="CG843" s="226"/>
      <c r="CH843" s="226"/>
      <c r="CI843" s="226"/>
      <c r="CJ843" s="226"/>
      <c r="CK843" s="226"/>
      <c r="CL843" s="226"/>
      <c r="CM843" s="226"/>
      <c r="CN843" s="226"/>
      <c r="CO843" s="226"/>
      <c r="CP843" s="226"/>
      <c r="CQ843" s="226"/>
      <c r="CR843" s="226"/>
      <c r="CS843" s="226"/>
      <c r="CT843" s="226"/>
      <c r="CU843" s="226"/>
      <c r="CV843" s="226"/>
      <c r="CW843" s="226"/>
      <c r="CX843" s="226"/>
      <c r="CY843" s="226"/>
      <c r="CZ843" s="226"/>
      <c r="DA843" s="226"/>
      <c r="DB843" s="226"/>
      <c r="DC843" s="226"/>
      <c r="DD843" s="226"/>
      <c r="DE843" s="226"/>
      <c r="DF843" s="226"/>
      <c r="DG843" s="226"/>
      <c r="DH843" s="226"/>
      <c r="DI843" s="226"/>
      <c r="DJ843" s="226"/>
      <c r="DK843" s="226"/>
      <c r="DL843" s="226"/>
    </row>
    <row r="844">
      <c r="A844" s="328">
        <v>844.0</v>
      </c>
      <c r="B844" s="330" t="s">
        <v>152</v>
      </c>
      <c r="C844" s="325" t="s">
        <v>115</v>
      </c>
      <c r="D844" s="325" t="s">
        <v>153</v>
      </c>
      <c r="E844" s="226"/>
      <c r="F844" s="331" t="s">
        <v>4582</v>
      </c>
      <c r="G844" s="412" t="s">
        <v>4588</v>
      </c>
      <c r="H844" s="244" t="s">
        <v>153</v>
      </c>
      <c r="I844" s="658">
        <v>45687.0</v>
      </c>
      <c r="J844" s="658">
        <v>45692.0</v>
      </c>
      <c r="K844" s="396" t="s">
        <v>4589</v>
      </c>
      <c r="L844" s="331"/>
      <c r="M844" s="244" t="s">
        <v>4583</v>
      </c>
      <c r="N844" s="244" t="s">
        <v>4584</v>
      </c>
      <c r="O844" s="334">
        <v>4.0</v>
      </c>
      <c r="P844" s="244" t="str">
        <f t="shared" si="37"/>
        <v>10.1177--1948550619849426.pdf</v>
      </c>
      <c r="Q844" s="661" t="str">
        <f t="array" ref="Q844"> if(iserror(MATCH(V844, 'File Links'!C:C, 0)), "N/A", HYPERLINK(INDEX('File Links'!B:B, MATCH(P844, 'File Links'!C:C, 0))))</f>
        <v>https://drive.google.com/file/d/14jCdpBA20GeEpZdlt1OEEDrVjc2kp6h7/view?usp=drivesdk</v>
      </c>
      <c r="R844" s="244" t="s">
        <v>3653</v>
      </c>
      <c r="S844" s="244" t="s">
        <v>3654</v>
      </c>
      <c r="T844" s="663" t="s">
        <v>4590</v>
      </c>
      <c r="U844" s="334">
        <v>1.0</v>
      </c>
      <c r="V844" s="244" t="str">
        <f t="shared" si="46"/>
        <v>10.1098--rsos.231240.pdf</v>
      </c>
      <c r="W844" s="244" t="s">
        <v>3671</v>
      </c>
      <c r="X844" s="1173" t="str">
        <f t="array" ref="X844"> if(iserror(MATCH(V844, 'File Links'!C:C, 0)), "N/A", HYPERLINK(INDEX('File Links'!B:B, MATCH(V844, 'File Links'!C:C, 0))))</f>
        <v>https://drive.google.com/file/d/17gaf2Zy_ljFfcAEDk5L8GBnTl5i7RGJE/view?usp=drivesdk</v>
      </c>
      <c r="Y844" s="331"/>
      <c r="Z844" s="244" t="s">
        <v>226</v>
      </c>
      <c r="AA844" s="244" t="s">
        <v>4591</v>
      </c>
      <c r="AB844" s="244" t="s">
        <v>4592</v>
      </c>
      <c r="AC844" s="244" t="s">
        <v>4593</v>
      </c>
      <c r="AD844" s="244" t="s">
        <v>4594</v>
      </c>
      <c r="AE844" s="334">
        <v>6.0</v>
      </c>
      <c r="AF844" s="334">
        <v>101.0</v>
      </c>
      <c r="AG844" s="334">
        <v>0.52</v>
      </c>
      <c r="AH844" s="334" t="s">
        <v>173</v>
      </c>
      <c r="AI844" s="334" t="s">
        <v>140</v>
      </c>
      <c r="AJ844" s="1176">
        <v>0.001</v>
      </c>
      <c r="AK844" s="412" t="s">
        <v>172</v>
      </c>
      <c r="AL844" s="412" t="s">
        <v>218</v>
      </c>
      <c r="AM844" s="244" t="s">
        <v>141</v>
      </c>
      <c r="AN844" s="1038" t="s">
        <v>4595</v>
      </c>
      <c r="AO844" s="334">
        <v>104.0</v>
      </c>
      <c r="AP844" s="334" t="s">
        <v>4596</v>
      </c>
      <c r="AQ844" s="334" t="s">
        <v>134</v>
      </c>
      <c r="AR844" s="1178" t="s">
        <v>132</v>
      </c>
      <c r="AS844" s="334">
        <v>0.1407</v>
      </c>
      <c r="AT844" s="244" t="s">
        <v>172</v>
      </c>
      <c r="AU844" s="244" t="s">
        <v>186</v>
      </c>
      <c r="AV844" s="244" t="s">
        <v>141</v>
      </c>
      <c r="AW844" s="129" t="s">
        <v>138</v>
      </c>
      <c r="AX844" s="331" t="s">
        <v>151</v>
      </c>
      <c r="AY844" s="61" t="str">
        <f>IFERROR(__xludf.DUMMYFUNCTION("vlookup(BB844,importrange(""https://docs.google.com/spreadsheets/d/1d2vevQ_7D_v35q4wCQ4RpQ_IPoTwEMB9Yp6ymwlPqew/edit?gid=984458430#gid=984458430"", ""'replication success'!A:K""), 11, FAlSE)"),"#N/A")</f>
        <v>#N/A</v>
      </c>
      <c r="AZ844" s="61" t="str">
        <f>IFERROR(__xludf.DUMMYFUNCTION("vlookup(BB844,importrange(""https://docs.google.com/spreadsheets/d/1d2vevQ_7D_v35q4wCQ4RpQ_IPoTwEMB9Yp6ymwlPqew/edit?gid=984458430#gid=984458430"", ""'replication success'!A:M""), 12, FAlSE)"),"#N/A")</f>
        <v>#N/A</v>
      </c>
      <c r="BA844" s="61" t="str">
        <f>IFERROR(__xludf.DUMMYFUNCTION("vlookup(BB844,importrange(""https://docs.google.com/spreadsheets/d/1d2vevQ_7D_v35q4wCQ4RpQ_IPoTwEMB9Yp6ymwlPqew/edit?gid=984458430#gid=984458430"", ""'replication success'!A:M""), 13, FAlSE)"),"#N/A")</f>
        <v>#N/A</v>
      </c>
      <c r="BB844" s="61" t="str">
        <f>IFERROR(__xludf.DUMMYFUNCTION("REGEXREPLACE(G844, ""_[a-z]{1,2}$"", """")"),"Boyce_etal2023139_1")</f>
        <v>Boyce_etal2023139_1</v>
      </c>
      <c r="BC844" s="226"/>
      <c r="BD844" s="331" t="s">
        <v>153</v>
      </c>
      <c r="BE844" s="226"/>
      <c r="BF844" s="226"/>
      <c r="BG844" s="226"/>
      <c r="BH844" s="226"/>
      <c r="BI844" s="226"/>
      <c r="BJ844" s="226"/>
      <c r="BK844" s="226"/>
      <c r="BL844" s="226"/>
      <c r="BM844" s="226"/>
      <c r="BN844" s="226"/>
      <c r="BO844" s="226"/>
      <c r="BP844" s="226"/>
      <c r="BQ844" s="226"/>
      <c r="BR844" s="226"/>
      <c r="BS844" s="226"/>
      <c r="BT844" s="226"/>
      <c r="BU844" s="226"/>
      <c r="BV844" s="226"/>
      <c r="BW844" s="226"/>
      <c r="BX844" s="226"/>
      <c r="BY844" s="226"/>
      <c r="BZ844" s="226"/>
      <c r="CA844" s="226"/>
      <c r="CB844" s="226"/>
      <c r="CC844" s="226"/>
      <c r="CD844" s="226"/>
      <c r="CE844" s="226"/>
      <c r="CF844" s="226"/>
      <c r="CG844" s="226"/>
      <c r="CH844" s="226"/>
      <c r="CI844" s="226"/>
      <c r="CJ844" s="226"/>
      <c r="CK844" s="226"/>
      <c r="CL844" s="226"/>
      <c r="CM844" s="226"/>
      <c r="CN844" s="226"/>
      <c r="CO844" s="226"/>
      <c r="CP844" s="226"/>
      <c r="CQ844" s="226"/>
      <c r="CR844" s="226"/>
      <c r="CS844" s="226"/>
      <c r="CT844" s="226"/>
      <c r="CU844" s="226"/>
      <c r="CV844" s="226"/>
      <c r="CW844" s="226"/>
      <c r="CX844" s="226"/>
      <c r="CY844" s="226"/>
      <c r="CZ844" s="226"/>
      <c r="DA844" s="226"/>
      <c r="DB844" s="226"/>
      <c r="DC844" s="226"/>
      <c r="DD844" s="226"/>
      <c r="DE844" s="226"/>
      <c r="DF844" s="226"/>
      <c r="DG844" s="226"/>
      <c r="DH844" s="226"/>
      <c r="DI844" s="226"/>
      <c r="DJ844" s="226"/>
      <c r="DK844" s="226"/>
      <c r="DL844" s="226"/>
    </row>
    <row r="845">
      <c r="A845" s="328">
        <v>845.0</v>
      </c>
      <c r="B845" s="330" t="s">
        <v>152</v>
      </c>
      <c r="C845" s="325" t="s">
        <v>115</v>
      </c>
      <c r="D845" s="325" t="s">
        <v>153</v>
      </c>
      <c r="E845" s="226"/>
      <c r="F845" s="331" t="s">
        <v>4582</v>
      </c>
      <c r="G845" s="412" t="s">
        <v>4597</v>
      </c>
      <c r="H845" s="244" t="s">
        <v>153</v>
      </c>
      <c r="I845" s="658">
        <v>45687.0</v>
      </c>
      <c r="J845" s="658">
        <v>45692.0</v>
      </c>
      <c r="K845" s="396" t="s">
        <v>4598</v>
      </c>
      <c r="L845" s="331"/>
      <c r="M845" s="244" t="s">
        <v>4583</v>
      </c>
      <c r="N845" s="244" t="s">
        <v>4584</v>
      </c>
      <c r="O845" s="334">
        <v>4.0</v>
      </c>
      <c r="P845" s="244" t="str">
        <f t="shared" si="37"/>
        <v>10.1177--1948550619849426.pdf</v>
      </c>
      <c r="Q845" s="661" t="str">
        <f t="array" ref="Q845"> if(iserror(MATCH(V845, 'File Links'!C:C, 0)), "N/A", HYPERLINK(INDEX('File Links'!B:B, MATCH(P845, 'File Links'!C:C, 0))))</f>
        <v>https://drive.google.com/file/d/14jCdpBA20GeEpZdlt1OEEDrVjc2kp6h7/view?usp=drivesdk</v>
      </c>
      <c r="R845" s="244" t="s">
        <v>3653</v>
      </c>
      <c r="S845" s="244" t="s">
        <v>3654</v>
      </c>
      <c r="T845" s="663" t="s">
        <v>4590</v>
      </c>
      <c r="U845" s="334">
        <v>1.0</v>
      </c>
      <c r="V845" s="244" t="str">
        <f t="shared" si="46"/>
        <v>10.1098--rsos.231240.pdf</v>
      </c>
      <c r="W845" s="244" t="s">
        <v>3671</v>
      </c>
      <c r="X845" s="1173" t="str">
        <f t="array" ref="X845"> if(iserror(MATCH(V845, 'File Links'!C:C, 0)), "N/A", HYPERLINK(INDEX('File Links'!B:B, MATCH(V845, 'File Links'!C:C, 0))))</f>
        <v>https://drive.google.com/file/d/17gaf2Zy_ljFfcAEDk5L8GBnTl5i7RGJE/view?usp=drivesdk</v>
      </c>
      <c r="Y845" s="331"/>
      <c r="Z845" s="244" t="s">
        <v>226</v>
      </c>
      <c r="AA845" s="244" t="s">
        <v>4591</v>
      </c>
      <c r="AB845" s="244" t="s">
        <v>4592</v>
      </c>
      <c r="AC845" s="244" t="s">
        <v>4599</v>
      </c>
      <c r="AD845" s="244" t="s">
        <v>4600</v>
      </c>
      <c r="AE845" s="1178">
        <v>6.0</v>
      </c>
      <c r="AF845" s="334">
        <v>101.0</v>
      </c>
      <c r="AG845" s="1178">
        <v>0.34</v>
      </c>
      <c r="AH845" s="334" t="s">
        <v>173</v>
      </c>
      <c r="AI845" s="1178" t="s">
        <v>140</v>
      </c>
      <c r="AJ845" s="1182">
        <v>0.005</v>
      </c>
      <c r="AK845" s="412" t="s">
        <v>172</v>
      </c>
      <c r="AL845" s="412" t="s">
        <v>218</v>
      </c>
      <c r="AM845" s="244" t="s">
        <v>141</v>
      </c>
      <c r="AN845" s="1038" t="s">
        <v>4595</v>
      </c>
      <c r="AO845" s="334">
        <v>104.0</v>
      </c>
      <c r="AP845" s="334" t="s">
        <v>4601</v>
      </c>
      <c r="AQ845" s="334" t="s">
        <v>134</v>
      </c>
      <c r="AR845" s="1178" t="s">
        <v>132</v>
      </c>
      <c r="AS845" s="334">
        <v>0.0115</v>
      </c>
      <c r="AT845" s="244" t="s">
        <v>172</v>
      </c>
      <c r="AU845" s="244" t="s">
        <v>186</v>
      </c>
      <c r="AV845" s="244" t="s">
        <v>141</v>
      </c>
      <c r="AW845" s="129" t="s">
        <v>138</v>
      </c>
      <c r="AX845" s="331" t="s">
        <v>151</v>
      </c>
      <c r="AY845" s="61" t="str">
        <f>IFERROR(__xludf.DUMMYFUNCTION("vlookup(BB845,importrange(""https://docs.google.com/spreadsheets/d/1d2vevQ_7D_v35q4wCQ4RpQ_IPoTwEMB9Yp6ymwlPqew/edit?gid=984458430#gid=984458430"", ""'replication success'!A:K""), 11, FAlSE)"),"#N/A")</f>
        <v>#N/A</v>
      </c>
      <c r="AZ845" s="61" t="str">
        <f>IFERROR(__xludf.DUMMYFUNCTION("vlookup(BB845,importrange(""https://docs.google.com/spreadsheets/d/1d2vevQ_7D_v35q4wCQ4RpQ_IPoTwEMB9Yp6ymwlPqew/edit?gid=984458430#gid=984458430"", ""'replication success'!A:M""), 12, FAlSE)"),"#N/A")</f>
        <v>#N/A</v>
      </c>
      <c r="BA845" s="61" t="str">
        <f>IFERROR(__xludf.DUMMYFUNCTION("vlookup(BB845,importrange(""https://docs.google.com/spreadsheets/d/1d2vevQ_7D_v35q4wCQ4RpQ_IPoTwEMB9Yp6ymwlPqew/edit?gid=984458430#gid=984458430"", ""'replication success'!A:M""), 13, FAlSE)"),"#N/A")</f>
        <v>#N/A</v>
      </c>
      <c r="BB845" s="61" t="str">
        <f>IFERROR(__xludf.DUMMYFUNCTION("REGEXREPLACE(G845, ""_[a-z]{1,2}$"", """")"),"Boyce_etal2023139_1")</f>
        <v>Boyce_etal2023139_1</v>
      </c>
      <c r="BC845" s="226"/>
      <c r="BD845" s="331" t="s">
        <v>153</v>
      </c>
      <c r="BE845" s="226"/>
      <c r="BF845" s="226"/>
      <c r="BG845" s="226"/>
      <c r="BH845" s="226"/>
      <c r="BI845" s="226"/>
      <c r="BJ845" s="226"/>
      <c r="BK845" s="226"/>
      <c r="BL845" s="226"/>
      <c r="BM845" s="226"/>
      <c r="BN845" s="226"/>
      <c r="BO845" s="226"/>
      <c r="BP845" s="226"/>
      <c r="BQ845" s="226"/>
      <c r="BR845" s="226"/>
      <c r="BS845" s="226"/>
      <c r="BT845" s="226"/>
      <c r="BU845" s="226"/>
      <c r="BV845" s="226"/>
      <c r="BW845" s="226"/>
      <c r="BX845" s="226"/>
      <c r="BY845" s="226"/>
      <c r="BZ845" s="226"/>
      <c r="CA845" s="226"/>
      <c r="CB845" s="226"/>
      <c r="CC845" s="226"/>
      <c r="CD845" s="226"/>
      <c r="CE845" s="226"/>
      <c r="CF845" s="226"/>
      <c r="CG845" s="226"/>
      <c r="CH845" s="226"/>
      <c r="CI845" s="226"/>
      <c r="CJ845" s="226"/>
      <c r="CK845" s="226"/>
      <c r="CL845" s="226"/>
      <c r="CM845" s="226"/>
      <c r="CN845" s="226"/>
      <c r="CO845" s="226"/>
      <c r="CP845" s="226"/>
      <c r="CQ845" s="226"/>
      <c r="CR845" s="226"/>
      <c r="CS845" s="226"/>
      <c r="CT845" s="226"/>
      <c r="CU845" s="226"/>
      <c r="CV845" s="226"/>
      <c r="CW845" s="226"/>
      <c r="CX845" s="226"/>
      <c r="CY845" s="226"/>
      <c r="CZ845" s="226"/>
      <c r="DA845" s="226"/>
      <c r="DB845" s="226"/>
      <c r="DC845" s="226"/>
      <c r="DD845" s="226"/>
      <c r="DE845" s="226"/>
      <c r="DF845" s="226"/>
      <c r="DG845" s="226"/>
      <c r="DH845" s="226"/>
      <c r="DI845" s="226"/>
      <c r="DJ845" s="226"/>
      <c r="DK845" s="226"/>
      <c r="DL845" s="226"/>
    </row>
    <row r="846">
      <c r="A846" s="328">
        <v>846.0</v>
      </c>
      <c r="B846" s="330" t="s">
        <v>152</v>
      </c>
      <c r="C846" s="325" t="s">
        <v>115</v>
      </c>
      <c r="D846" s="325" t="s">
        <v>153</v>
      </c>
      <c r="E846" s="226"/>
      <c r="F846" s="331" t="s">
        <v>4582</v>
      </c>
      <c r="G846" s="412" t="s">
        <v>4602</v>
      </c>
      <c r="H846" s="244" t="s">
        <v>153</v>
      </c>
      <c r="I846" s="658">
        <v>45687.0</v>
      </c>
      <c r="J846" s="658">
        <v>45692.0</v>
      </c>
      <c r="K846" s="396" t="s">
        <v>4603</v>
      </c>
      <c r="L846" s="331"/>
      <c r="M846" s="244" t="s">
        <v>4583</v>
      </c>
      <c r="N846" s="244" t="s">
        <v>4584</v>
      </c>
      <c r="O846" s="334">
        <v>4.0</v>
      </c>
      <c r="P846" s="244" t="str">
        <f t="shared" si="37"/>
        <v>10.1177--1948550619849426.pdf</v>
      </c>
      <c r="Q846" s="661" t="str">
        <f t="array" ref="Q846"> if(iserror(MATCH(V846, 'File Links'!C:C, 0)), "N/A", HYPERLINK(INDEX('File Links'!B:B, MATCH(P846, 'File Links'!C:C, 0))))</f>
        <v>https://drive.google.com/file/d/14jCdpBA20GeEpZdlt1OEEDrVjc2kp6h7/view?usp=drivesdk</v>
      </c>
      <c r="R846" s="244" t="s">
        <v>3653</v>
      </c>
      <c r="S846" s="244" t="s">
        <v>3654</v>
      </c>
      <c r="T846" s="663" t="s">
        <v>4590</v>
      </c>
      <c r="U846" s="334">
        <v>1.0</v>
      </c>
      <c r="V846" s="244" t="str">
        <f t="shared" si="46"/>
        <v>10.1098--rsos.231240.pdf</v>
      </c>
      <c r="W846" s="244" t="s">
        <v>3671</v>
      </c>
      <c r="X846" s="1173" t="str">
        <f t="array" ref="X846"> if(iserror(MATCH(V846, 'File Links'!C:C, 0)), "N/A", HYPERLINK(INDEX('File Links'!B:B, MATCH(V846, 'File Links'!C:C, 0))))</f>
        <v>https://drive.google.com/file/d/17gaf2Zy_ljFfcAEDk5L8GBnTl5i7RGJE/view?usp=drivesdk</v>
      </c>
      <c r="Y846" s="331"/>
      <c r="Z846" s="244" t="s">
        <v>226</v>
      </c>
      <c r="AA846" s="244" t="s">
        <v>4591</v>
      </c>
      <c r="AB846" s="244" t="s">
        <v>4592</v>
      </c>
      <c r="AC846" s="244" t="s">
        <v>4604</v>
      </c>
      <c r="AD846" s="244" t="s">
        <v>4605</v>
      </c>
      <c r="AE846" s="1178">
        <v>6.0</v>
      </c>
      <c r="AF846" s="334">
        <v>101.0</v>
      </c>
      <c r="AG846" s="1178" t="s">
        <v>4586</v>
      </c>
      <c r="AH846" s="334" t="s">
        <v>134</v>
      </c>
      <c r="AI846" s="1178" t="s">
        <v>140</v>
      </c>
      <c r="AJ846" s="1182">
        <v>0.001</v>
      </c>
      <c r="AK846" s="412" t="s">
        <v>135</v>
      </c>
      <c r="AL846" s="412" t="s">
        <v>218</v>
      </c>
      <c r="AM846" s="244" t="s">
        <v>141</v>
      </c>
      <c r="AN846" s="1038" t="s">
        <v>4595</v>
      </c>
      <c r="AO846" s="334">
        <v>104.0</v>
      </c>
      <c r="AP846" s="334" t="s">
        <v>4606</v>
      </c>
      <c r="AQ846" s="334" t="s">
        <v>134</v>
      </c>
      <c r="AR846" s="334" t="s">
        <v>132</v>
      </c>
      <c r="AS846" s="334">
        <v>0.0987</v>
      </c>
      <c r="AT846" s="244" t="s">
        <v>172</v>
      </c>
      <c r="AU846" s="244" t="s">
        <v>186</v>
      </c>
      <c r="AV846" s="244" t="s">
        <v>141</v>
      </c>
      <c r="AW846" s="129" t="s">
        <v>138</v>
      </c>
      <c r="AX846" s="331" t="s">
        <v>151</v>
      </c>
      <c r="AY846" s="61" t="str">
        <f>IFERROR(__xludf.DUMMYFUNCTION("vlookup(BB846,importrange(""https://docs.google.com/spreadsheets/d/1d2vevQ_7D_v35q4wCQ4RpQ_IPoTwEMB9Yp6ymwlPqew/edit?gid=984458430#gid=984458430"", ""'replication success'!A:K""), 11, FAlSE)"),"#N/A")</f>
        <v>#N/A</v>
      </c>
      <c r="AZ846" s="61" t="str">
        <f>IFERROR(__xludf.DUMMYFUNCTION("vlookup(BB846,importrange(""https://docs.google.com/spreadsheets/d/1d2vevQ_7D_v35q4wCQ4RpQ_IPoTwEMB9Yp6ymwlPqew/edit?gid=984458430#gid=984458430"", ""'replication success'!A:M""), 12, FAlSE)"),"#N/A")</f>
        <v>#N/A</v>
      </c>
      <c r="BA846" s="61" t="str">
        <f>IFERROR(__xludf.DUMMYFUNCTION("vlookup(BB846,importrange(""https://docs.google.com/spreadsheets/d/1d2vevQ_7D_v35q4wCQ4RpQ_IPoTwEMB9Yp6ymwlPqew/edit?gid=984458430#gid=984458430"", ""'replication success'!A:M""), 13, FAlSE)"),"#N/A")</f>
        <v>#N/A</v>
      </c>
      <c r="BB846" s="61" t="str">
        <f>IFERROR(__xludf.DUMMYFUNCTION("REGEXREPLACE(G846, ""_[a-z]{1,2}$"", """")"),"Boyce_etal2023139_1")</f>
        <v>Boyce_etal2023139_1</v>
      </c>
      <c r="BC846" s="226"/>
      <c r="BD846" s="331" t="s">
        <v>153</v>
      </c>
      <c r="BE846" s="226"/>
      <c r="BF846" s="226"/>
      <c r="BG846" s="226"/>
      <c r="BH846" s="226"/>
      <c r="BI846" s="226"/>
      <c r="BJ846" s="226"/>
      <c r="BK846" s="226"/>
      <c r="BL846" s="226"/>
      <c r="BM846" s="226"/>
      <c r="BN846" s="226"/>
      <c r="BO846" s="226"/>
      <c r="BP846" s="226"/>
      <c r="BQ846" s="226"/>
      <c r="BR846" s="226"/>
      <c r="BS846" s="226"/>
      <c r="BT846" s="226"/>
      <c r="BU846" s="226"/>
      <c r="BV846" s="226"/>
      <c r="BW846" s="226"/>
      <c r="BX846" s="226"/>
      <c r="BY846" s="226"/>
      <c r="BZ846" s="226"/>
      <c r="CA846" s="226"/>
      <c r="CB846" s="226"/>
      <c r="CC846" s="226"/>
      <c r="CD846" s="226"/>
      <c r="CE846" s="226"/>
      <c r="CF846" s="226"/>
      <c r="CG846" s="226"/>
      <c r="CH846" s="226"/>
      <c r="CI846" s="226"/>
      <c r="CJ846" s="226"/>
      <c r="CK846" s="226"/>
      <c r="CL846" s="226"/>
      <c r="CM846" s="226"/>
      <c r="CN846" s="226"/>
      <c r="CO846" s="226"/>
      <c r="CP846" s="226"/>
      <c r="CQ846" s="226"/>
      <c r="CR846" s="226"/>
      <c r="CS846" s="226"/>
      <c r="CT846" s="226"/>
      <c r="CU846" s="226"/>
      <c r="CV846" s="226"/>
      <c r="CW846" s="226"/>
      <c r="CX846" s="226"/>
      <c r="CY846" s="226"/>
      <c r="CZ846" s="226"/>
      <c r="DA846" s="226"/>
      <c r="DB846" s="226"/>
      <c r="DC846" s="226"/>
      <c r="DD846" s="226"/>
      <c r="DE846" s="226"/>
      <c r="DF846" s="226"/>
      <c r="DG846" s="226"/>
      <c r="DH846" s="226"/>
      <c r="DI846" s="226"/>
      <c r="DJ846" s="226"/>
      <c r="DK846" s="226"/>
      <c r="DL846" s="226"/>
    </row>
    <row r="847">
      <c r="A847" s="803">
        <v>847.0</v>
      </c>
      <c r="B847" s="330" t="s">
        <v>152</v>
      </c>
      <c r="C847" s="381" t="s">
        <v>115</v>
      </c>
      <c r="D847" s="381" t="s">
        <v>153</v>
      </c>
      <c r="E847" s="484"/>
      <c r="F847" s="489" t="s">
        <v>4607</v>
      </c>
      <c r="G847" s="789" t="s">
        <v>4608</v>
      </c>
      <c r="H847" s="485" t="s">
        <v>153</v>
      </c>
      <c r="I847" s="487">
        <v>45687.0</v>
      </c>
      <c r="J847" s="487">
        <v>45692.0</v>
      </c>
      <c r="K847" s="1193" t="s">
        <v>4609</v>
      </c>
      <c r="L847" s="489"/>
      <c r="M847" s="485" t="s">
        <v>4610</v>
      </c>
      <c r="N847" s="485" t="s">
        <v>4611</v>
      </c>
      <c r="O847" s="495">
        <v>2.0</v>
      </c>
      <c r="P847" s="485" t="str">
        <f t="shared" si="37"/>
        <v>10.1037--a0029649.pdf</v>
      </c>
      <c r="Q847" s="1194" t="str">
        <f t="array" ref="Q847"> if(iserror(MATCH(V847, 'File Links'!C:C, 0)), "N/A", HYPERLINK(INDEX('File Links'!B:B, MATCH(P847, 'File Links'!C:C, 0))))</f>
        <v>https://drive.google.com/file/d/1HOf675tEXfG2bMnJOIiHzWGLlDbzEY3d/view?usp=drivesdk</v>
      </c>
      <c r="R847" s="485" t="s">
        <v>3653</v>
      </c>
      <c r="S847" s="485" t="s">
        <v>3654</v>
      </c>
      <c r="T847" s="1195" t="s">
        <v>4425</v>
      </c>
      <c r="U847" s="495">
        <v>1.0</v>
      </c>
      <c r="V847" s="485" t="str">
        <f t="shared" si="46"/>
        <v>10.1098--rsos.231240.pdf</v>
      </c>
      <c r="W847" s="485" t="s">
        <v>3726</v>
      </c>
      <c r="X847" s="1196" t="str">
        <f t="array" ref="X847"> if(iserror(MATCH(V847, 'File Links'!C:C, 0)), "N/A", HYPERLINK(INDEX('File Links'!B:B, MATCH(V847, 'File Links'!C:C, 0))))</f>
        <v>https://drive.google.com/file/d/17gaf2Zy_ljFfcAEDk5L8GBnTl5i7RGJE/view?usp=drivesdk</v>
      </c>
      <c r="Y847" s="489"/>
      <c r="Z847" s="485" t="s">
        <v>148</v>
      </c>
      <c r="AA847" s="485" t="s">
        <v>4612</v>
      </c>
      <c r="AB847" s="485" t="s">
        <v>4613</v>
      </c>
      <c r="AC847" s="485" t="s">
        <v>4614</v>
      </c>
      <c r="AD847" s="485" t="s">
        <v>4615</v>
      </c>
      <c r="AE847" s="495">
        <v>9.0</v>
      </c>
      <c r="AF847" s="495">
        <v>28.0</v>
      </c>
      <c r="AG847" s="1197">
        <v>0.75</v>
      </c>
      <c r="AH847" s="495" t="s">
        <v>173</v>
      </c>
      <c r="AI847" s="495" t="s">
        <v>628</v>
      </c>
      <c r="AJ847" s="494">
        <v>0.057</v>
      </c>
      <c r="AK847" s="486" t="s">
        <v>172</v>
      </c>
      <c r="AL847" s="486" t="s">
        <v>186</v>
      </c>
      <c r="AM847" s="485" t="s">
        <v>137</v>
      </c>
      <c r="AN847" s="488" t="s">
        <v>138</v>
      </c>
      <c r="AO847" s="495">
        <v>6.0</v>
      </c>
      <c r="AP847" s="756">
        <v>0.474</v>
      </c>
      <c r="AQ847" s="495" t="s">
        <v>173</v>
      </c>
      <c r="AR847" s="495" t="s">
        <v>132</v>
      </c>
      <c r="AS847" s="488" t="s">
        <v>138</v>
      </c>
      <c r="AT847" s="489"/>
      <c r="AU847" s="485" t="s">
        <v>186</v>
      </c>
      <c r="AV847" s="485" t="s">
        <v>137</v>
      </c>
      <c r="AW847" s="129" t="s">
        <v>138</v>
      </c>
      <c r="AX847" s="489" t="s">
        <v>151</v>
      </c>
      <c r="AY847" s="61" t="str">
        <f>IFERROR(__xludf.DUMMYFUNCTION("vlookup(BB847,importrange(""https://docs.google.com/spreadsheets/d/1d2vevQ_7D_v35q4wCQ4RpQ_IPoTwEMB9Yp6ymwlPqew/edit?gid=984458430#gid=984458430"", ""'replication success'!A:K""), 11, FAlSE)"),"#N/A")</f>
        <v>#N/A</v>
      </c>
      <c r="AZ847" s="61" t="str">
        <f>IFERROR(__xludf.DUMMYFUNCTION("vlookup(BB847,importrange(""https://docs.google.com/spreadsheets/d/1d2vevQ_7D_v35q4wCQ4RpQ_IPoTwEMB9Yp6ymwlPqew/edit?gid=984458430#gid=984458430"", ""'replication success'!A:M""), 12, FAlSE)"),"#N/A")</f>
        <v>#N/A</v>
      </c>
      <c r="BA847" s="61" t="str">
        <f>IFERROR(__xludf.DUMMYFUNCTION("vlookup(BB847,importrange(""https://docs.google.com/spreadsheets/d/1d2vevQ_7D_v35q4wCQ4RpQ_IPoTwEMB9Yp6ymwlPqew/edit?gid=984458430#gid=984458430"", ""'replication success'!A:M""), 13, FAlSE)"),"#N/A")</f>
        <v>#N/A</v>
      </c>
      <c r="BB847" s="61" t="str">
        <f>IFERROR(__xludf.DUMMYFUNCTION("REGEXREPLACE(G847, ""_[a-z]{1,2}$"", """")"),"Boyce_etal202314_1")</f>
        <v>Boyce_etal202314_1</v>
      </c>
      <c r="BC847" s="484"/>
      <c r="BD847" s="489" t="s">
        <v>153</v>
      </c>
      <c r="BE847" s="484"/>
      <c r="BF847" s="484"/>
      <c r="BG847" s="484"/>
      <c r="BH847" s="484"/>
      <c r="BI847" s="484"/>
      <c r="BJ847" s="484"/>
      <c r="BK847" s="484"/>
      <c r="BL847" s="484"/>
      <c r="BM847" s="484"/>
      <c r="BN847" s="484"/>
      <c r="BO847" s="484"/>
      <c r="BP847" s="484"/>
      <c r="BQ847" s="484"/>
      <c r="BR847" s="484"/>
      <c r="BS847" s="484"/>
      <c r="BT847" s="484"/>
      <c r="BU847" s="484"/>
      <c r="BV847" s="484"/>
      <c r="BW847" s="484"/>
      <c r="BX847" s="484"/>
      <c r="BY847" s="484"/>
      <c r="BZ847" s="484"/>
      <c r="CA847" s="484"/>
      <c r="CB847" s="484"/>
      <c r="CC847" s="484"/>
      <c r="CD847" s="484"/>
      <c r="CE847" s="484"/>
      <c r="CF847" s="484"/>
      <c r="CG847" s="484"/>
      <c r="CH847" s="484"/>
      <c r="CI847" s="484"/>
      <c r="CJ847" s="484"/>
      <c r="CK847" s="484"/>
      <c r="CL847" s="484"/>
      <c r="CM847" s="484"/>
      <c r="CN847" s="484"/>
      <c r="CO847" s="484"/>
      <c r="CP847" s="484"/>
      <c r="CQ847" s="484"/>
      <c r="CR847" s="484"/>
      <c r="CS847" s="484"/>
      <c r="CT847" s="484"/>
      <c r="CU847" s="484"/>
      <c r="CV847" s="484"/>
      <c r="CW847" s="484"/>
      <c r="CX847" s="484"/>
      <c r="CY847" s="484"/>
      <c r="CZ847" s="484"/>
      <c r="DA847" s="484"/>
      <c r="DB847" s="484"/>
      <c r="DC847" s="484"/>
      <c r="DD847" s="484"/>
      <c r="DE847" s="484"/>
      <c r="DF847" s="484"/>
      <c r="DG847" s="484"/>
      <c r="DH847" s="484"/>
      <c r="DI847" s="484"/>
      <c r="DJ847" s="484"/>
      <c r="DK847" s="484"/>
      <c r="DL847" s="484"/>
    </row>
    <row r="848">
      <c r="A848" s="803">
        <v>848.0</v>
      </c>
      <c r="B848" s="330" t="s">
        <v>152</v>
      </c>
      <c r="C848" s="381" t="s">
        <v>115</v>
      </c>
      <c r="D848" s="381" t="s">
        <v>153</v>
      </c>
      <c r="E848" s="484"/>
      <c r="F848" s="489" t="s">
        <v>4607</v>
      </c>
      <c r="G848" s="789" t="s">
        <v>4616</v>
      </c>
      <c r="H848" s="485" t="s">
        <v>153</v>
      </c>
      <c r="I848" s="487">
        <v>45687.0</v>
      </c>
      <c r="J848" s="487">
        <v>45692.0</v>
      </c>
      <c r="K848" s="1193" t="s">
        <v>4609</v>
      </c>
      <c r="L848" s="489"/>
      <c r="M848" s="485" t="s">
        <v>4610</v>
      </c>
      <c r="N848" s="485" t="s">
        <v>4611</v>
      </c>
      <c r="O848" s="495">
        <v>2.0</v>
      </c>
      <c r="P848" s="485" t="str">
        <f t="shared" si="37"/>
        <v>10.1037--a0029649.pdf</v>
      </c>
      <c r="Q848" s="1194" t="str">
        <f t="array" ref="Q848"> if(iserror(MATCH(V848, 'File Links'!C:C, 0)), "N/A", HYPERLINK(INDEX('File Links'!B:B, MATCH(P848, 'File Links'!C:C, 0))))</f>
        <v>https://drive.google.com/file/d/1HOf675tEXfG2bMnJOIiHzWGLlDbzEY3d/view?usp=drivesdk</v>
      </c>
      <c r="R848" s="485" t="s">
        <v>3653</v>
      </c>
      <c r="S848" s="485" t="s">
        <v>3654</v>
      </c>
      <c r="T848" s="1195" t="s">
        <v>4425</v>
      </c>
      <c r="U848" s="495">
        <v>1.0</v>
      </c>
      <c r="V848" s="485" t="str">
        <f t="shared" si="46"/>
        <v>10.1098--rsos.231240.pdf</v>
      </c>
      <c r="W848" s="485" t="s">
        <v>3726</v>
      </c>
      <c r="X848" s="1196" t="str">
        <f t="array" ref="X848"> if(iserror(MATCH(V848, 'File Links'!C:C, 0)), "N/A", HYPERLINK(INDEX('File Links'!B:B, MATCH(V848, 'File Links'!C:C, 0))))</f>
        <v>https://drive.google.com/file/d/17gaf2Zy_ljFfcAEDk5L8GBnTl5i7RGJE/view?usp=drivesdk</v>
      </c>
      <c r="Y848" s="489"/>
      <c r="Z848" s="485" t="s">
        <v>148</v>
      </c>
      <c r="AA848" s="485" t="s">
        <v>4612</v>
      </c>
      <c r="AB848" s="485" t="s">
        <v>4613</v>
      </c>
      <c r="AC848" s="485" t="s">
        <v>4617</v>
      </c>
      <c r="AD848" s="485" t="s">
        <v>4615</v>
      </c>
      <c r="AE848" s="495">
        <v>9.0</v>
      </c>
      <c r="AF848" s="495">
        <v>28.0</v>
      </c>
      <c r="AG848" s="756">
        <v>0.78</v>
      </c>
      <c r="AH848" s="495" t="s">
        <v>173</v>
      </c>
      <c r="AI848" s="495" t="s">
        <v>628</v>
      </c>
      <c r="AJ848" s="1198">
        <v>0.05</v>
      </c>
      <c r="AK848" s="486" t="s">
        <v>172</v>
      </c>
      <c r="AL848" s="486" t="s">
        <v>186</v>
      </c>
      <c r="AM848" s="485" t="s">
        <v>137</v>
      </c>
      <c r="AN848" s="488" t="s">
        <v>138</v>
      </c>
      <c r="AO848" s="495">
        <v>6.0</v>
      </c>
      <c r="AP848" s="756">
        <v>-0.28</v>
      </c>
      <c r="AQ848" s="495" t="s">
        <v>173</v>
      </c>
      <c r="AR848" s="495" t="s">
        <v>132</v>
      </c>
      <c r="AS848" s="488" t="s">
        <v>138</v>
      </c>
      <c r="AT848" s="489"/>
      <c r="AU848" s="485" t="s">
        <v>186</v>
      </c>
      <c r="AV848" s="485" t="s">
        <v>137</v>
      </c>
      <c r="AW848" s="129" t="s">
        <v>138</v>
      </c>
      <c r="AX848" s="489" t="s">
        <v>151</v>
      </c>
      <c r="AY848" s="61" t="str">
        <f>IFERROR(__xludf.DUMMYFUNCTION("vlookup(BB848,importrange(""https://docs.google.com/spreadsheets/d/1d2vevQ_7D_v35q4wCQ4RpQ_IPoTwEMB9Yp6ymwlPqew/edit?gid=984458430#gid=984458430"", ""'replication success'!A:K""), 11, FAlSE)"),"#N/A")</f>
        <v>#N/A</v>
      </c>
      <c r="AZ848" s="61" t="str">
        <f>IFERROR(__xludf.DUMMYFUNCTION("vlookup(BB848,importrange(""https://docs.google.com/spreadsheets/d/1d2vevQ_7D_v35q4wCQ4RpQ_IPoTwEMB9Yp6ymwlPqew/edit?gid=984458430#gid=984458430"", ""'replication success'!A:M""), 12, FAlSE)"),"#N/A")</f>
        <v>#N/A</v>
      </c>
      <c r="BA848" s="61" t="str">
        <f>IFERROR(__xludf.DUMMYFUNCTION("vlookup(BB848,importrange(""https://docs.google.com/spreadsheets/d/1d2vevQ_7D_v35q4wCQ4RpQ_IPoTwEMB9Yp6ymwlPqew/edit?gid=984458430#gid=984458430"", ""'replication success'!A:M""), 13, FAlSE)"),"#N/A")</f>
        <v>#N/A</v>
      </c>
      <c r="BB848" s="61" t="str">
        <f>IFERROR(__xludf.DUMMYFUNCTION("REGEXREPLACE(G848, ""_[a-z]{1,2}$"", """")"),"Boyce_etal202314_1")</f>
        <v>Boyce_etal202314_1</v>
      </c>
      <c r="BC848" s="484"/>
      <c r="BD848" s="489" t="s">
        <v>153</v>
      </c>
      <c r="BE848" s="484"/>
      <c r="BF848" s="484"/>
      <c r="BG848" s="484"/>
      <c r="BH848" s="484"/>
      <c r="BI848" s="484"/>
      <c r="BJ848" s="484"/>
      <c r="BK848" s="484"/>
      <c r="BL848" s="484"/>
      <c r="BM848" s="484"/>
      <c r="BN848" s="484"/>
      <c r="BO848" s="484"/>
      <c r="BP848" s="484"/>
      <c r="BQ848" s="484"/>
      <c r="BR848" s="484"/>
      <c r="BS848" s="484"/>
      <c r="BT848" s="484"/>
      <c r="BU848" s="484"/>
      <c r="BV848" s="484"/>
      <c r="BW848" s="484"/>
      <c r="BX848" s="484"/>
      <c r="BY848" s="484"/>
      <c r="BZ848" s="484"/>
      <c r="CA848" s="484"/>
      <c r="CB848" s="484"/>
      <c r="CC848" s="484"/>
      <c r="CD848" s="484"/>
      <c r="CE848" s="484"/>
      <c r="CF848" s="484"/>
      <c r="CG848" s="484"/>
      <c r="CH848" s="484"/>
      <c r="CI848" s="484"/>
      <c r="CJ848" s="484"/>
      <c r="CK848" s="484"/>
      <c r="CL848" s="484"/>
      <c r="CM848" s="484"/>
      <c r="CN848" s="484"/>
      <c r="CO848" s="484"/>
      <c r="CP848" s="484"/>
      <c r="CQ848" s="484"/>
      <c r="CR848" s="484"/>
      <c r="CS848" s="484"/>
      <c r="CT848" s="484"/>
      <c r="CU848" s="484"/>
      <c r="CV848" s="484"/>
      <c r="CW848" s="484"/>
      <c r="CX848" s="484"/>
      <c r="CY848" s="484"/>
      <c r="CZ848" s="484"/>
      <c r="DA848" s="484"/>
      <c r="DB848" s="484"/>
      <c r="DC848" s="484"/>
      <c r="DD848" s="484"/>
      <c r="DE848" s="484"/>
      <c r="DF848" s="484"/>
      <c r="DG848" s="484"/>
      <c r="DH848" s="484"/>
      <c r="DI848" s="484"/>
      <c r="DJ848" s="484"/>
      <c r="DK848" s="484"/>
      <c r="DL848" s="484"/>
    </row>
    <row r="849">
      <c r="A849" s="73">
        <v>849.0</v>
      </c>
      <c r="B849" s="94" t="s">
        <v>114</v>
      </c>
      <c r="C849" s="93" t="s">
        <v>115</v>
      </c>
      <c r="D849" s="93" t="s">
        <v>248</v>
      </c>
      <c r="E849" s="92"/>
      <c r="F849" s="95" t="s">
        <v>4618</v>
      </c>
      <c r="G849" s="76" t="s">
        <v>4619</v>
      </c>
      <c r="H849" s="95" t="s">
        <v>249</v>
      </c>
      <c r="I849" s="853">
        <v>45671.0</v>
      </c>
      <c r="J849" s="853">
        <v>45692.0</v>
      </c>
      <c r="K849" s="94"/>
      <c r="L849" s="94"/>
      <c r="M849" s="95" t="s">
        <v>4620</v>
      </c>
      <c r="N849" s="95" t="s">
        <v>4621</v>
      </c>
      <c r="O849" s="94"/>
      <c r="P849" s="95" t="str">
        <f t="shared" si="37"/>
        <v>10.1177--0956797614563958.pdf</v>
      </c>
      <c r="Q849" s="893" t="str">
        <f t="array" ref="Q849"> if(iserror(MATCH(V849, 'File Links'!C:C, 0)), "N/A", HYPERLINK(INDEX('File Links'!B:B, MATCH(P849, 'File Links'!C:C, 0))))</f>
        <v>https://drive.google.com/file/d/1ATJxg7zUvA3Wg_XCJFG6phaq9LgMmPHW/view?usp=drivesdk</v>
      </c>
      <c r="R849" s="95" t="s">
        <v>3653</v>
      </c>
      <c r="S849" s="95" t="s">
        <v>3654</v>
      </c>
      <c r="T849" s="1199" t="s">
        <v>4622</v>
      </c>
      <c r="U849" s="98">
        <v>1.0</v>
      </c>
      <c r="V849" s="95" t="str">
        <f t="shared" si="46"/>
        <v>10.1098--rsos.231240.pdf</v>
      </c>
      <c r="W849" s="95" t="s">
        <v>3726</v>
      </c>
      <c r="X849" s="894" t="str">
        <f t="array" ref="X849"> if(iserror(MATCH(V849, 'File Links'!C:C, 0)), "N/A", HYPERLINK(INDEX('File Links'!B:B, MATCH(V849, 'File Links'!C:C, 0))))</f>
        <v>https://drive.google.com/file/d/17gaf2Zy_ljFfcAEDk5L8GBnTl5i7RGJE/view?usp=drivesdk</v>
      </c>
      <c r="Y849" s="94"/>
      <c r="Z849" s="95" t="s">
        <v>210</v>
      </c>
      <c r="AA849" s="94"/>
      <c r="AB849" s="94"/>
      <c r="AC849" s="94"/>
      <c r="AD849" s="95" t="s">
        <v>4623</v>
      </c>
      <c r="AE849" s="98">
        <v>5.0</v>
      </c>
      <c r="AF849" s="98">
        <v>577.0</v>
      </c>
      <c r="AG849" s="98">
        <v>5.68</v>
      </c>
      <c r="AH849" s="95" t="s">
        <v>1031</v>
      </c>
      <c r="AI849" s="95" t="s">
        <v>4624</v>
      </c>
      <c r="AJ849" s="633">
        <v>0.05</v>
      </c>
      <c r="AK849" s="76" t="s">
        <v>135</v>
      </c>
      <c r="AL849" s="76" t="s">
        <v>186</v>
      </c>
      <c r="AM849" s="95" t="s">
        <v>141</v>
      </c>
      <c r="AN849" s="79" t="s">
        <v>138</v>
      </c>
      <c r="AO849" s="98">
        <v>387.0</v>
      </c>
      <c r="AP849" s="98">
        <v>0.312413728351264</v>
      </c>
      <c r="AQ849" s="95" t="s">
        <v>173</v>
      </c>
      <c r="AR849" s="1199" t="s">
        <v>4120</v>
      </c>
      <c r="AS849" s="98">
        <v>0.00233092847095222</v>
      </c>
      <c r="AT849" s="95" t="s">
        <v>172</v>
      </c>
      <c r="AU849" s="95" t="s">
        <v>186</v>
      </c>
      <c r="AV849" s="95" t="s">
        <v>141</v>
      </c>
      <c r="AW849" s="129" t="s">
        <v>138</v>
      </c>
      <c r="AX849" s="95" t="s">
        <v>143</v>
      </c>
      <c r="AY849" s="61" t="str">
        <f>IFERROR(__xludf.DUMMYFUNCTION("vlookup(BB849,importrange(""https://docs.google.com/spreadsheets/d/1d2vevQ_7D_v35q4wCQ4RpQ_IPoTwEMB9Yp6ymwlPqew/edit?gid=984458430#gid=984458430"", ""'replication success'!A:K""), 11, FAlSE)"),"#N/A")</f>
        <v>#N/A</v>
      </c>
      <c r="AZ849" s="61" t="str">
        <f>IFERROR(__xludf.DUMMYFUNCTION("vlookup(BB849,importrange(""https://docs.google.com/spreadsheets/d/1d2vevQ_7D_v35q4wCQ4RpQ_IPoTwEMB9Yp6ymwlPqew/edit?gid=984458430#gid=984458430"", ""'replication success'!A:M""), 12, FAlSE)"),"#N/A")</f>
        <v>#N/A</v>
      </c>
      <c r="BA849" s="61" t="str">
        <f>IFERROR(__xludf.DUMMYFUNCTION("vlookup(BB849,importrange(""https://docs.google.com/spreadsheets/d/1d2vevQ_7D_v35q4wCQ4RpQ_IPoTwEMB9Yp6ymwlPqew/edit?gid=984458430#gid=984458430"", ""'replication success'!A:M""), 13, FAlSE)"),"#N/A")</f>
        <v>#N/A</v>
      </c>
      <c r="BB849" s="61" t="str">
        <f>IFERROR(__xludf.DUMMYFUNCTION("REGEXREPLACE(G849, ""_[a-z]{1,2}$"", """")"),"Boyce_etal2023140_1")</f>
        <v>Boyce_etal2023140_1</v>
      </c>
      <c r="BC849" s="92"/>
      <c r="BD849" s="94" t="s">
        <v>153</v>
      </c>
      <c r="BE849" s="92"/>
      <c r="BF849" s="92"/>
      <c r="BG849" s="92"/>
      <c r="BH849" s="92"/>
      <c r="BI849" s="92"/>
      <c r="BJ849" s="92"/>
      <c r="BK849" s="92"/>
      <c r="BL849" s="92"/>
      <c r="BM849" s="92"/>
      <c r="BN849" s="92"/>
      <c r="BO849" s="92"/>
      <c r="BP849" s="92"/>
      <c r="BQ849" s="92"/>
      <c r="BR849" s="92"/>
      <c r="BS849" s="92"/>
      <c r="BT849" s="92"/>
      <c r="BU849" s="92"/>
      <c r="BV849" s="92"/>
      <c r="BW849" s="92"/>
      <c r="BX849" s="92"/>
      <c r="BY849" s="92"/>
      <c r="BZ849" s="92"/>
      <c r="CA849" s="92"/>
      <c r="CB849" s="92"/>
      <c r="CC849" s="92"/>
      <c r="CD849" s="92"/>
      <c r="CE849" s="92"/>
      <c r="CF849" s="92"/>
      <c r="CG849" s="92"/>
      <c r="CH849" s="92"/>
      <c r="CI849" s="92"/>
      <c r="CJ849" s="92"/>
      <c r="CK849" s="92"/>
      <c r="CL849" s="92"/>
      <c r="CM849" s="92"/>
      <c r="CN849" s="92"/>
      <c r="CO849" s="92"/>
      <c r="CP849" s="92"/>
      <c r="CQ849" s="92"/>
      <c r="CR849" s="92"/>
      <c r="CS849" s="92"/>
      <c r="CT849" s="92"/>
      <c r="CU849" s="92"/>
      <c r="CV849" s="92"/>
      <c r="CW849" s="92"/>
      <c r="CX849" s="92"/>
      <c r="CY849" s="92"/>
      <c r="CZ849" s="92"/>
      <c r="DA849" s="92"/>
      <c r="DB849" s="92"/>
      <c r="DC849" s="92"/>
      <c r="DD849" s="92"/>
      <c r="DE849" s="92"/>
      <c r="DF849" s="92"/>
      <c r="DG849" s="92"/>
      <c r="DH849" s="92"/>
      <c r="DI849" s="92"/>
      <c r="DJ849" s="92"/>
      <c r="DK849" s="92"/>
      <c r="DL849" s="92"/>
    </row>
    <row r="850">
      <c r="A850" s="73">
        <v>850.0</v>
      </c>
      <c r="B850" s="79" t="s">
        <v>152</v>
      </c>
      <c r="C850" s="93" t="s">
        <v>115</v>
      </c>
      <c r="D850" s="93" t="s">
        <v>153</v>
      </c>
      <c r="E850" s="92"/>
      <c r="F850" s="94" t="s">
        <v>4619</v>
      </c>
      <c r="G850" s="76" t="s">
        <v>4625</v>
      </c>
      <c r="H850" s="95" t="s">
        <v>153</v>
      </c>
      <c r="I850" s="853">
        <v>45687.0</v>
      </c>
      <c r="J850" s="853">
        <v>45692.0</v>
      </c>
      <c r="K850" s="85" t="s">
        <v>4626</v>
      </c>
      <c r="L850" s="94"/>
      <c r="M850" s="95" t="s">
        <v>4620</v>
      </c>
      <c r="N850" s="95" t="s">
        <v>4621</v>
      </c>
      <c r="O850" s="98" t="s">
        <v>4627</v>
      </c>
      <c r="P850" s="95" t="str">
        <f t="shared" si="37"/>
        <v>10.1177--0956797614563958.pdf</v>
      </c>
      <c r="Q850" s="893" t="str">
        <f t="array" ref="Q850"> if(iserror(MATCH(V850, 'File Links'!C:C, 0)), "N/A", HYPERLINK(INDEX('File Links'!B:B, MATCH(P850, 'File Links'!C:C, 0))))</f>
        <v>https://drive.google.com/file/d/1ATJxg7zUvA3Wg_XCJFG6phaq9LgMmPHW/view?usp=drivesdk</v>
      </c>
      <c r="R850" s="95" t="s">
        <v>3653</v>
      </c>
      <c r="S850" s="95" t="s">
        <v>3654</v>
      </c>
      <c r="T850" s="1199" t="s">
        <v>4622</v>
      </c>
      <c r="U850" s="98">
        <v>1.0</v>
      </c>
      <c r="V850" s="95" t="str">
        <f t="shared" si="46"/>
        <v>10.1098--rsos.231240.pdf</v>
      </c>
      <c r="W850" s="95" t="s">
        <v>3726</v>
      </c>
      <c r="X850" s="894" t="str">
        <f t="array" ref="X850"> if(iserror(MATCH(V850, 'File Links'!C:C, 0)), "N/A", HYPERLINK(INDEX('File Links'!B:B, MATCH(V850, 'File Links'!C:C, 0))))</f>
        <v>https://drive.google.com/file/d/17gaf2Zy_ljFfcAEDk5L8GBnTl5i7RGJE/view?usp=drivesdk</v>
      </c>
      <c r="Y850" s="94"/>
      <c r="Z850" s="95" t="s">
        <v>947</v>
      </c>
      <c r="AA850" s="95" t="s">
        <v>4628</v>
      </c>
      <c r="AB850" s="95" t="s">
        <v>4629</v>
      </c>
      <c r="AC850" s="95" t="s">
        <v>4630</v>
      </c>
      <c r="AD850" s="95" t="s">
        <v>4631</v>
      </c>
      <c r="AE850" s="98">
        <v>3.0</v>
      </c>
      <c r="AF850" s="98">
        <v>577.0</v>
      </c>
      <c r="AG850" s="98">
        <v>0.07</v>
      </c>
      <c r="AH850" s="98" t="s">
        <v>874</v>
      </c>
      <c r="AI850" s="98" t="s">
        <v>217</v>
      </c>
      <c r="AJ850" s="633">
        <v>0.01</v>
      </c>
      <c r="AK850" s="76" t="s">
        <v>135</v>
      </c>
      <c r="AL850" s="76" t="s">
        <v>186</v>
      </c>
      <c r="AM850" s="95" t="s">
        <v>141</v>
      </c>
      <c r="AN850" s="79" t="s">
        <v>138</v>
      </c>
      <c r="AO850" s="98">
        <v>387.0</v>
      </c>
      <c r="AP850" s="1200">
        <v>1.7102</v>
      </c>
      <c r="AQ850" s="98" t="s">
        <v>987</v>
      </c>
      <c r="AR850" s="1201" t="s">
        <v>4632</v>
      </c>
      <c r="AS850" s="98">
        <v>0.00233</v>
      </c>
      <c r="AT850" s="95" t="s">
        <v>172</v>
      </c>
      <c r="AU850" s="95" t="s">
        <v>186</v>
      </c>
      <c r="AV850" s="95" t="s">
        <v>141</v>
      </c>
      <c r="AW850" s="129" t="s">
        <v>138</v>
      </c>
      <c r="AX850" s="94" t="s">
        <v>143</v>
      </c>
      <c r="AY850" s="61" t="str">
        <f>IFERROR(__xludf.DUMMYFUNCTION("vlookup(BB850,importrange(""https://docs.google.com/spreadsheets/d/1d2vevQ_7D_v35q4wCQ4RpQ_IPoTwEMB9Yp6ymwlPqew/edit?gid=984458430#gid=984458430"", ""'replication success'!A:K""), 11, FAlSE)"),"#N/A")</f>
        <v>#N/A</v>
      </c>
      <c r="AZ850" s="61" t="str">
        <f>IFERROR(__xludf.DUMMYFUNCTION("vlookup(BB850,importrange(""https://docs.google.com/spreadsheets/d/1d2vevQ_7D_v35q4wCQ4RpQ_IPoTwEMB9Yp6ymwlPqew/edit?gid=984458430#gid=984458430"", ""'replication success'!A:M""), 12, FAlSE)"),"#N/A")</f>
        <v>#N/A</v>
      </c>
      <c r="BA850" s="61" t="str">
        <f>IFERROR(__xludf.DUMMYFUNCTION("vlookup(BB850,importrange(""https://docs.google.com/spreadsheets/d/1d2vevQ_7D_v35q4wCQ4RpQ_IPoTwEMB9Yp6ymwlPqew/edit?gid=984458430#gid=984458430"", ""'replication success'!A:M""), 13, FAlSE)"),"#N/A")</f>
        <v>#N/A</v>
      </c>
      <c r="BB850" s="61" t="str">
        <f>IFERROR(__xludf.DUMMYFUNCTION("REGEXREPLACE(G850, ""_[a-z]{1,2}$"", """")"),"Boyce_etal2023140_1")</f>
        <v>Boyce_etal2023140_1</v>
      </c>
      <c r="BC850" s="92"/>
      <c r="BD850" s="94" t="s">
        <v>153</v>
      </c>
      <c r="BE850" s="92"/>
      <c r="BF850" s="92"/>
      <c r="BG850" s="92"/>
      <c r="BH850" s="92"/>
      <c r="BI850" s="92"/>
      <c r="BJ850" s="92"/>
      <c r="BK850" s="92"/>
      <c r="BL850" s="92"/>
      <c r="BM850" s="92"/>
      <c r="BN850" s="92"/>
      <c r="BO850" s="92"/>
      <c r="BP850" s="92"/>
      <c r="BQ850" s="92"/>
      <c r="BR850" s="92"/>
      <c r="BS850" s="92"/>
      <c r="BT850" s="92"/>
      <c r="BU850" s="92"/>
      <c r="BV850" s="92"/>
      <c r="BW850" s="92"/>
      <c r="BX850" s="92"/>
      <c r="BY850" s="92"/>
      <c r="BZ850" s="92"/>
      <c r="CA850" s="92"/>
      <c r="CB850" s="92"/>
      <c r="CC850" s="92"/>
      <c r="CD850" s="92"/>
      <c r="CE850" s="92"/>
      <c r="CF850" s="92"/>
      <c r="CG850" s="92"/>
      <c r="CH850" s="92"/>
      <c r="CI850" s="92"/>
      <c r="CJ850" s="92"/>
      <c r="CK850" s="92"/>
      <c r="CL850" s="92"/>
      <c r="CM850" s="92"/>
      <c r="CN850" s="92"/>
      <c r="CO850" s="92"/>
      <c r="CP850" s="92"/>
      <c r="CQ850" s="92"/>
      <c r="CR850" s="92"/>
      <c r="CS850" s="92"/>
      <c r="CT850" s="92"/>
      <c r="CU850" s="92"/>
      <c r="CV850" s="92"/>
      <c r="CW850" s="92"/>
      <c r="CX850" s="92"/>
      <c r="CY850" s="92"/>
      <c r="CZ850" s="92"/>
      <c r="DA850" s="92"/>
      <c r="DB850" s="92"/>
      <c r="DC850" s="92"/>
      <c r="DD850" s="92"/>
      <c r="DE850" s="92"/>
      <c r="DF850" s="92"/>
      <c r="DG850" s="92"/>
      <c r="DH850" s="92"/>
      <c r="DI850" s="92"/>
      <c r="DJ850" s="92"/>
      <c r="DK850" s="92"/>
      <c r="DL850" s="92"/>
    </row>
    <row r="851">
      <c r="A851" s="73">
        <v>851.0</v>
      </c>
      <c r="B851" s="79" t="s">
        <v>152</v>
      </c>
      <c r="C851" s="93" t="s">
        <v>115</v>
      </c>
      <c r="D851" s="93" t="s">
        <v>153</v>
      </c>
      <c r="E851" s="92"/>
      <c r="F851" s="94" t="s">
        <v>4619</v>
      </c>
      <c r="G851" s="76" t="s">
        <v>4633</v>
      </c>
      <c r="H851" s="95" t="s">
        <v>153</v>
      </c>
      <c r="I851" s="853">
        <v>45687.0</v>
      </c>
      <c r="J851" s="853">
        <v>45692.0</v>
      </c>
      <c r="K851" s="85" t="s">
        <v>4626</v>
      </c>
      <c r="L851" s="94"/>
      <c r="M851" s="95" t="s">
        <v>4620</v>
      </c>
      <c r="N851" s="95" t="s">
        <v>4621</v>
      </c>
      <c r="O851" s="98" t="s">
        <v>4627</v>
      </c>
      <c r="P851" s="95" t="str">
        <f t="shared" si="37"/>
        <v>10.1177--0956797614563958.pdf</v>
      </c>
      <c r="Q851" s="893" t="str">
        <f t="array" ref="Q851"> if(iserror(MATCH(V851, 'File Links'!C:C, 0)), "N/A", HYPERLINK(INDEX('File Links'!B:B, MATCH(P851, 'File Links'!C:C, 0))))</f>
        <v>https://drive.google.com/file/d/1ATJxg7zUvA3Wg_XCJFG6phaq9LgMmPHW/view?usp=drivesdk</v>
      </c>
      <c r="R851" s="95" t="s">
        <v>3653</v>
      </c>
      <c r="S851" s="95" t="s">
        <v>3654</v>
      </c>
      <c r="T851" s="1199" t="s">
        <v>4622</v>
      </c>
      <c r="U851" s="98">
        <v>1.0</v>
      </c>
      <c r="V851" s="95" t="str">
        <f t="shared" si="46"/>
        <v>10.1098--rsos.231240.pdf</v>
      </c>
      <c r="W851" s="95" t="s">
        <v>3726</v>
      </c>
      <c r="X851" s="894" t="str">
        <f t="array" ref="X851"> if(iserror(MATCH(V851, 'File Links'!C:C, 0)), "N/A", HYPERLINK(INDEX('File Links'!B:B, MATCH(V851, 'File Links'!C:C, 0))))</f>
        <v>https://drive.google.com/file/d/17gaf2Zy_ljFfcAEDk5L8GBnTl5i7RGJE/view?usp=drivesdk</v>
      </c>
      <c r="Y851" s="94"/>
      <c r="Z851" s="95" t="s">
        <v>947</v>
      </c>
      <c r="AA851" s="95" t="s">
        <v>4628</v>
      </c>
      <c r="AB851" s="95" t="s">
        <v>4629</v>
      </c>
      <c r="AC851" s="95" t="s">
        <v>4634</v>
      </c>
      <c r="AD851" s="95" t="s">
        <v>4635</v>
      </c>
      <c r="AE851" s="1202">
        <v>3.0</v>
      </c>
      <c r="AF851" s="98">
        <v>577.0</v>
      </c>
      <c r="AG851" s="1202">
        <v>2.27</v>
      </c>
      <c r="AH851" s="98" t="s">
        <v>987</v>
      </c>
      <c r="AI851" s="1202" t="s">
        <v>217</v>
      </c>
      <c r="AJ851" s="1203">
        <v>0.05</v>
      </c>
      <c r="AK851" s="76" t="s">
        <v>135</v>
      </c>
      <c r="AL851" s="76" t="s">
        <v>186</v>
      </c>
      <c r="AM851" s="95" t="s">
        <v>141</v>
      </c>
      <c r="AN851" s="79" t="s">
        <v>138</v>
      </c>
      <c r="AO851" s="98">
        <v>387.0</v>
      </c>
      <c r="AP851" s="1204">
        <v>1.9297272</v>
      </c>
      <c r="AQ851" s="98" t="s">
        <v>987</v>
      </c>
      <c r="AR851" s="1205" t="s">
        <v>4636</v>
      </c>
      <c r="AS851" s="98">
        <v>6.746E-4</v>
      </c>
      <c r="AT851" s="95" t="s">
        <v>172</v>
      </c>
      <c r="AU851" s="95" t="s">
        <v>186</v>
      </c>
      <c r="AV851" s="95" t="s">
        <v>141</v>
      </c>
      <c r="AW851" s="129" t="s">
        <v>138</v>
      </c>
      <c r="AX851" s="94" t="s">
        <v>143</v>
      </c>
      <c r="AY851" s="61" t="str">
        <f>IFERROR(__xludf.DUMMYFUNCTION("vlookup(BB851,importrange(""https://docs.google.com/spreadsheets/d/1d2vevQ_7D_v35q4wCQ4RpQ_IPoTwEMB9Yp6ymwlPqew/edit?gid=984458430#gid=984458430"", ""'replication success'!A:K""), 11, FAlSE)"),"#N/A")</f>
        <v>#N/A</v>
      </c>
      <c r="AZ851" s="61" t="str">
        <f>IFERROR(__xludf.DUMMYFUNCTION("vlookup(BB851,importrange(""https://docs.google.com/spreadsheets/d/1d2vevQ_7D_v35q4wCQ4RpQ_IPoTwEMB9Yp6ymwlPqew/edit?gid=984458430#gid=984458430"", ""'replication success'!A:M""), 12, FAlSE)"),"#N/A")</f>
        <v>#N/A</v>
      </c>
      <c r="BA851" s="61" t="str">
        <f>IFERROR(__xludf.DUMMYFUNCTION("vlookup(BB851,importrange(""https://docs.google.com/spreadsheets/d/1d2vevQ_7D_v35q4wCQ4RpQ_IPoTwEMB9Yp6ymwlPqew/edit?gid=984458430#gid=984458430"", ""'replication success'!A:M""), 13, FAlSE)"),"#N/A")</f>
        <v>#N/A</v>
      </c>
      <c r="BB851" s="61" t="str">
        <f>IFERROR(__xludf.DUMMYFUNCTION("REGEXREPLACE(G851, ""_[a-z]{1,2}$"", """")"),"Boyce_etal2023140_1")</f>
        <v>Boyce_etal2023140_1</v>
      </c>
      <c r="BC851" s="92"/>
      <c r="BD851" s="94" t="s">
        <v>153</v>
      </c>
      <c r="BE851" s="92"/>
      <c r="BF851" s="92"/>
      <c r="BG851" s="92"/>
      <c r="BH851" s="92"/>
      <c r="BI851" s="92"/>
      <c r="BJ851" s="92"/>
      <c r="BK851" s="92"/>
      <c r="BL851" s="92"/>
      <c r="BM851" s="92"/>
      <c r="BN851" s="92"/>
      <c r="BO851" s="92"/>
      <c r="BP851" s="92"/>
      <c r="BQ851" s="92"/>
      <c r="BR851" s="92"/>
      <c r="BS851" s="92"/>
      <c r="BT851" s="92"/>
      <c r="BU851" s="92"/>
      <c r="BV851" s="92"/>
      <c r="BW851" s="92"/>
      <c r="BX851" s="92"/>
      <c r="BY851" s="92"/>
      <c r="BZ851" s="92"/>
      <c r="CA851" s="92"/>
      <c r="CB851" s="92"/>
      <c r="CC851" s="92"/>
      <c r="CD851" s="92"/>
      <c r="CE851" s="92"/>
      <c r="CF851" s="92"/>
      <c r="CG851" s="92"/>
      <c r="CH851" s="92"/>
      <c r="CI851" s="92"/>
      <c r="CJ851" s="92"/>
      <c r="CK851" s="92"/>
      <c r="CL851" s="92"/>
      <c r="CM851" s="92"/>
      <c r="CN851" s="92"/>
      <c r="CO851" s="92"/>
      <c r="CP851" s="92"/>
      <c r="CQ851" s="92"/>
      <c r="CR851" s="92"/>
      <c r="CS851" s="92"/>
      <c r="CT851" s="92"/>
      <c r="CU851" s="92"/>
      <c r="CV851" s="92"/>
      <c r="CW851" s="92"/>
      <c r="CX851" s="92"/>
      <c r="CY851" s="92"/>
      <c r="CZ851" s="92"/>
      <c r="DA851" s="92"/>
      <c r="DB851" s="92"/>
      <c r="DC851" s="92"/>
      <c r="DD851" s="92"/>
      <c r="DE851" s="92"/>
      <c r="DF851" s="92"/>
      <c r="DG851" s="92"/>
      <c r="DH851" s="92"/>
      <c r="DI851" s="92"/>
      <c r="DJ851" s="92"/>
      <c r="DK851" s="92"/>
      <c r="DL851" s="92"/>
    </row>
    <row r="852">
      <c r="A852" s="73">
        <v>852.0</v>
      </c>
      <c r="B852" s="79" t="s">
        <v>152</v>
      </c>
      <c r="C852" s="93" t="s">
        <v>115</v>
      </c>
      <c r="D852" s="93" t="s">
        <v>153</v>
      </c>
      <c r="E852" s="93" t="s">
        <v>3920</v>
      </c>
      <c r="F852" s="94" t="s">
        <v>4619</v>
      </c>
      <c r="G852" s="76" t="s">
        <v>4633</v>
      </c>
      <c r="H852" s="95" t="s">
        <v>3921</v>
      </c>
      <c r="I852" s="853">
        <v>45687.0</v>
      </c>
      <c r="J852" s="853">
        <v>45692.0</v>
      </c>
      <c r="K852" s="85" t="s">
        <v>4626</v>
      </c>
      <c r="L852" s="94"/>
      <c r="M852" s="95" t="s">
        <v>4620</v>
      </c>
      <c r="N852" s="95" t="s">
        <v>4621</v>
      </c>
      <c r="O852" s="98" t="s">
        <v>4627</v>
      </c>
      <c r="P852" s="95" t="str">
        <f t="shared" si="37"/>
        <v>10.1177--0956797614563958.pdf</v>
      </c>
      <c r="Q852" s="893" t="str">
        <f t="array" ref="Q852"> if(iserror(MATCH(V852, 'File Links'!C:C, 0)), "N/A", HYPERLINK(INDEX('File Links'!B:B, MATCH(P852, 'File Links'!C:C, 0))))</f>
        <v>https://drive.google.com/file/d/1ATJxg7zUvA3Wg_XCJFG6phaq9LgMmPHW/view?usp=drivesdk</v>
      </c>
      <c r="R852" s="95" t="s">
        <v>3653</v>
      </c>
      <c r="S852" s="95" t="s">
        <v>3654</v>
      </c>
      <c r="T852" s="1199" t="s">
        <v>4622</v>
      </c>
      <c r="U852" s="98">
        <v>1.0</v>
      </c>
      <c r="V852" s="95" t="str">
        <f t="shared" si="46"/>
        <v>10.1098--rsos.231240.pdf</v>
      </c>
      <c r="W852" s="95" t="s">
        <v>3726</v>
      </c>
      <c r="X852" s="894" t="str">
        <f t="array" ref="X852"> if(iserror(MATCH(V852, 'File Links'!C:C, 0)), "N/A", HYPERLINK(INDEX('File Links'!B:B, MATCH(V852, 'File Links'!C:C, 0))))</f>
        <v>https://drive.google.com/file/d/17gaf2Zy_ljFfcAEDk5L8GBnTl5i7RGJE/view?usp=drivesdk</v>
      </c>
      <c r="Y852" s="94"/>
      <c r="Z852" s="95" t="s">
        <v>947</v>
      </c>
      <c r="AA852" s="95" t="s">
        <v>4628</v>
      </c>
      <c r="AB852" s="95" t="s">
        <v>4629</v>
      </c>
      <c r="AC852" s="94" t="s">
        <v>4637</v>
      </c>
      <c r="AD852" s="95" t="s">
        <v>4638</v>
      </c>
      <c r="AE852" s="98">
        <v>5.0</v>
      </c>
      <c r="AF852" s="98">
        <v>577.0</v>
      </c>
      <c r="AG852" s="98">
        <v>0.01</v>
      </c>
      <c r="AH852" s="98" t="s">
        <v>874</v>
      </c>
      <c r="AI852" s="95" t="s">
        <v>813</v>
      </c>
      <c r="AJ852" s="633">
        <v>0.05</v>
      </c>
      <c r="AK852" s="76" t="s">
        <v>135</v>
      </c>
      <c r="AL852" s="76" t="s">
        <v>186</v>
      </c>
      <c r="AM852" s="95" t="s">
        <v>141</v>
      </c>
      <c r="AN852" s="79" t="s">
        <v>138</v>
      </c>
      <c r="AO852" s="98">
        <v>387.0</v>
      </c>
      <c r="AP852" s="98">
        <v>0.312413728351264</v>
      </c>
      <c r="AQ852" s="95" t="s">
        <v>173</v>
      </c>
      <c r="AR852" s="1199" t="s">
        <v>4120</v>
      </c>
      <c r="AS852" s="98">
        <v>0.00233092847095222</v>
      </c>
      <c r="AT852" s="95" t="s">
        <v>172</v>
      </c>
      <c r="AU852" s="95" t="s">
        <v>186</v>
      </c>
      <c r="AV852" s="95" t="s">
        <v>141</v>
      </c>
      <c r="AW852" s="129" t="s">
        <v>138</v>
      </c>
      <c r="AX852" s="95" t="s">
        <v>143</v>
      </c>
      <c r="AY852" s="61" t="str">
        <f>IFERROR(__xludf.DUMMYFUNCTION("vlookup(BB852,importrange(""https://docs.google.com/spreadsheets/d/1d2vevQ_7D_v35q4wCQ4RpQ_IPoTwEMB9Yp6ymwlPqew/edit?gid=984458430#gid=984458430"", ""'replication success'!A:K""), 11, FAlSE)"),"#N/A")</f>
        <v>#N/A</v>
      </c>
      <c r="AZ852" s="61" t="str">
        <f>IFERROR(__xludf.DUMMYFUNCTION("vlookup(BB852,importrange(""https://docs.google.com/spreadsheets/d/1d2vevQ_7D_v35q4wCQ4RpQ_IPoTwEMB9Yp6ymwlPqew/edit?gid=984458430#gid=984458430"", ""'replication success'!A:M""), 12, FAlSE)"),"#N/A")</f>
        <v>#N/A</v>
      </c>
      <c r="BA852" s="61" t="str">
        <f>IFERROR(__xludf.DUMMYFUNCTION("vlookup(BB852,importrange(""https://docs.google.com/spreadsheets/d/1d2vevQ_7D_v35q4wCQ4RpQ_IPoTwEMB9Yp6ymwlPqew/edit?gid=984458430#gid=984458430"", ""'replication success'!A:M""), 13, FAlSE)"),"#N/A")</f>
        <v>#N/A</v>
      </c>
      <c r="BB852" s="61" t="str">
        <f>IFERROR(__xludf.DUMMYFUNCTION("REGEXREPLACE(G852, ""_[a-z]{1,2}$"", """")"),"Boyce_etal2023140_1")</f>
        <v>Boyce_etal2023140_1</v>
      </c>
      <c r="BC852" s="92"/>
      <c r="BD852" s="94" t="s">
        <v>153</v>
      </c>
      <c r="BE852" s="92"/>
      <c r="BF852" s="92"/>
      <c r="BG852" s="92"/>
      <c r="BH852" s="92"/>
      <c r="BI852" s="92"/>
      <c r="BJ852" s="92"/>
      <c r="BK852" s="92"/>
      <c r="BL852" s="92"/>
      <c r="BM852" s="92"/>
      <c r="BN852" s="92"/>
      <c r="BO852" s="92"/>
      <c r="BP852" s="92"/>
      <c r="BQ852" s="92"/>
      <c r="BR852" s="92"/>
      <c r="BS852" s="92"/>
      <c r="BT852" s="92"/>
      <c r="BU852" s="92"/>
      <c r="BV852" s="92"/>
      <c r="BW852" s="92"/>
      <c r="BX852" s="92"/>
      <c r="BY852" s="92"/>
      <c r="BZ852" s="92"/>
      <c r="CA852" s="92"/>
      <c r="CB852" s="92"/>
      <c r="CC852" s="92"/>
      <c r="CD852" s="92"/>
      <c r="CE852" s="92"/>
      <c r="CF852" s="92"/>
      <c r="CG852" s="92"/>
      <c r="CH852" s="92"/>
      <c r="CI852" s="92"/>
      <c r="CJ852" s="92"/>
      <c r="CK852" s="92"/>
      <c r="CL852" s="92"/>
      <c r="CM852" s="92"/>
      <c r="CN852" s="92"/>
      <c r="CO852" s="92"/>
      <c r="CP852" s="92"/>
      <c r="CQ852" s="92"/>
      <c r="CR852" s="92"/>
      <c r="CS852" s="92"/>
      <c r="CT852" s="92"/>
      <c r="CU852" s="92"/>
      <c r="CV852" s="92"/>
      <c r="CW852" s="92"/>
      <c r="CX852" s="92"/>
      <c r="CY852" s="92"/>
      <c r="CZ852" s="92"/>
      <c r="DA852" s="92"/>
      <c r="DB852" s="92"/>
      <c r="DC852" s="92"/>
      <c r="DD852" s="92"/>
      <c r="DE852" s="92"/>
      <c r="DF852" s="92"/>
      <c r="DG852" s="92"/>
      <c r="DH852" s="92"/>
      <c r="DI852" s="92"/>
      <c r="DJ852" s="92"/>
      <c r="DK852" s="92"/>
      <c r="DL852" s="92"/>
    </row>
    <row r="853">
      <c r="A853" s="73">
        <v>853.0</v>
      </c>
      <c r="B853" s="79" t="s">
        <v>152</v>
      </c>
      <c r="C853" s="93" t="s">
        <v>115</v>
      </c>
      <c r="D853" s="93" t="s">
        <v>153</v>
      </c>
      <c r="E853" s="92"/>
      <c r="F853" s="94" t="s">
        <v>4619</v>
      </c>
      <c r="G853" s="76" t="s">
        <v>4639</v>
      </c>
      <c r="H853" s="95" t="s">
        <v>153</v>
      </c>
      <c r="I853" s="853">
        <v>45687.0</v>
      </c>
      <c r="J853" s="853">
        <v>45692.0</v>
      </c>
      <c r="K853" s="85" t="s">
        <v>4626</v>
      </c>
      <c r="L853" s="94"/>
      <c r="M853" s="95" t="s">
        <v>4620</v>
      </c>
      <c r="N853" s="95" t="s">
        <v>4621</v>
      </c>
      <c r="O853" s="98" t="s">
        <v>4627</v>
      </c>
      <c r="P853" s="95" t="str">
        <f t="shared" si="37"/>
        <v>10.1177--0956797614563958.pdf</v>
      </c>
      <c r="Q853" s="893" t="str">
        <f t="array" ref="Q853"> if(iserror(MATCH(V853, 'File Links'!C:C, 0)), "N/A", HYPERLINK(INDEX('File Links'!B:B, MATCH(P853, 'File Links'!C:C, 0))))</f>
        <v>https://drive.google.com/file/d/1ATJxg7zUvA3Wg_XCJFG6phaq9LgMmPHW/view?usp=drivesdk</v>
      </c>
      <c r="R853" s="95" t="s">
        <v>3653</v>
      </c>
      <c r="S853" s="95" t="s">
        <v>3654</v>
      </c>
      <c r="T853" s="1199" t="s">
        <v>4622</v>
      </c>
      <c r="U853" s="98">
        <v>1.0</v>
      </c>
      <c r="V853" s="95" t="str">
        <f t="shared" si="46"/>
        <v>10.1098--rsos.231240.pdf</v>
      </c>
      <c r="W853" s="95" t="s">
        <v>4640</v>
      </c>
      <c r="X853" s="894" t="str">
        <f t="array" ref="X853"> if(iserror(MATCH(V853, 'File Links'!C:C, 0)), "N/A", HYPERLINK(INDEX('File Links'!B:B, MATCH(V853, 'File Links'!C:C, 0))))</f>
        <v>https://drive.google.com/file/d/17gaf2Zy_ljFfcAEDk5L8GBnTl5i7RGJE/view?usp=drivesdk</v>
      </c>
      <c r="Y853" s="94"/>
      <c r="Z853" s="95" t="s">
        <v>947</v>
      </c>
      <c r="AA853" s="95" t="s">
        <v>4628</v>
      </c>
      <c r="AB853" s="95" t="s">
        <v>4629</v>
      </c>
      <c r="AC853" s="95" t="s">
        <v>4641</v>
      </c>
      <c r="AD853" s="95" t="s">
        <v>4642</v>
      </c>
      <c r="AE853" s="1202">
        <v>5.0</v>
      </c>
      <c r="AF853" s="98">
        <v>577.0</v>
      </c>
      <c r="AG853" s="1202">
        <v>1.65</v>
      </c>
      <c r="AH853" s="98" t="s">
        <v>987</v>
      </c>
      <c r="AI853" s="1202" t="s">
        <v>813</v>
      </c>
      <c r="AJ853" s="1203">
        <v>0.01</v>
      </c>
      <c r="AK853" s="76" t="s">
        <v>135</v>
      </c>
      <c r="AL853" s="76" t="s">
        <v>186</v>
      </c>
      <c r="AM853" s="95" t="s">
        <v>141</v>
      </c>
      <c r="AN853" s="79" t="s">
        <v>138</v>
      </c>
      <c r="AO853" s="98">
        <v>387.0</v>
      </c>
      <c r="AP853" s="1204">
        <v>-1.7295006</v>
      </c>
      <c r="AQ853" s="98" t="s">
        <v>987</v>
      </c>
      <c r="AR853" s="1205" t="s">
        <v>4643</v>
      </c>
      <c r="AS853" s="98">
        <v>0.0031099</v>
      </c>
      <c r="AT853" s="95" t="s">
        <v>172</v>
      </c>
      <c r="AU853" s="95" t="s">
        <v>186</v>
      </c>
      <c r="AV853" s="95" t="s">
        <v>141</v>
      </c>
      <c r="AW853" s="129" t="s">
        <v>138</v>
      </c>
      <c r="AX853" s="94" t="s">
        <v>143</v>
      </c>
      <c r="AY853" s="61" t="str">
        <f>IFERROR(__xludf.DUMMYFUNCTION("vlookup(BB853,importrange(""https://docs.google.com/spreadsheets/d/1d2vevQ_7D_v35q4wCQ4RpQ_IPoTwEMB9Yp6ymwlPqew/edit?gid=984458430#gid=984458430"", ""'replication success'!A:K""), 11, FAlSE)"),"#N/A")</f>
        <v>#N/A</v>
      </c>
      <c r="AZ853" s="61" t="str">
        <f>IFERROR(__xludf.DUMMYFUNCTION("vlookup(BB853,importrange(""https://docs.google.com/spreadsheets/d/1d2vevQ_7D_v35q4wCQ4RpQ_IPoTwEMB9Yp6ymwlPqew/edit?gid=984458430#gid=984458430"", ""'replication success'!A:M""), 12, FAlSE)"),"#N/A")</f>
        <v>#N/A</v>
      </c>
      <c r="BA853" s="61" t="str">
        <f>IFERROR(__xludf.DUMMYFUNCTION("vlookup(BB853,importrange(""https://docs.google.com/spreadsheets/d/1d2vevQ_7D_v35q4wCQ4RpQ_IPoTwEMB9Yp6ymwlPqew/edit?gid=984458430#gid=984458430"", ""'replication success'!A:M""), 13, FAlSE)"),"#N/A")</f>
        <v>#N/A</v>
      </c>
      <c r="BB853" s="61" t="str">
        <f>IFERROR(__xludf.DUMMYFUNCTION("REGEXREPLACE(G853, ""_[a-z]{1,2}$"", """")"),"Boyce_etal2023140_1")</f>
        <v>Boyce_etal2023140_1</v>
      </c>
      <c r="BC853" s="92"/>
      <c r="BD853" s="94" t="s">
        <v>153</v>
      </c>
      <c r="BE853" s="92"/>
      <c r="BF853" s="92"/>
      <c r="BG853" s="92"/>
      <c r="BH853" s="92"/>
      <c r="BI853" s="92"/>
      <c r="BJ853" s="92"/>
      <c r="BK853" s="92"/>
      <c r="BL853" s="92"/>
      <c r="BM853" s="92"/>
      <c r="BN853" s="92"/>
      <c r="BO853" s="92"/>
      <c r="BP853" s="92"/>
      <c r="BQ853" s="92"/>
      <c r="BR853" s="92"/>
      <c r="BS853" s="92"/>
      <c r="BT853" s="92"/>
      <c r="BU853" s="92"/>
      <c r="BV853" s="92"/>
      <c r="BW853" s="92"/>
      <c r="BX853" s="92"/>
      <c r="BY853" s="92"/>
      <c r="BZ853" s="92"/>
      <c r="CA853" s="92"/>
      <c r="CB853" s="92"/>
      <c r="CC853" s="92"/>
      <c r="CD853" s="92"/>
      <c r="CE853" s="92"/>
      <c r="CF853" s="92"/>
      <c r="CG853" s="92"/>
      <c r="CH853" s="92"/>
      <c r="CI853" s="92"/>
      <c r="CJ853" s="92"/>
      <c r="CK853" s="92"/>
      <c r="CL853" s="92"/>
      <c r="CM853" s="92"/>
      <c r="CN853" s="92"/>
      <c r="CO853" s="92"/>
      <c r="CP853" s="92"/>
      <c r="CQ853" s="92"/>
      <c r="CR853" s="92"/>
      <c r="CS853" s="92"/>
      <c r="CT853" s="92"/>
      <c r="CU853" s="92"/>
      <c r="CV853" s="92"/>
      <c r="CW853" s="92"/>
      <c r="CX853" s="92"/>
      <c r="CY853" s="92"/>
      <c r="CZ853" s="92"/>
      <c r="DA853" s="92"/>
      <c r="DB853" s="92"/>
      <c r="DC853" s="92"/>
      <c r="DD853" s="92"/>
      <c r="DE853" s="92"/>
      <c r="DF853" s="92"/>
      <c r="DG853" s="92"/>
      <c r="DH853" s="92"/>
      <c r="DI853" s="92"/>
      <c r="DJ853" s="92"/>
      <c r="DK853" s="92"/>
      <c r="DL853" s="92"/>
    </row>
    <row r="854">
      <c r="A854" s="561">
        <v>854.0</v>
      </c>
      <c r="B854" s="1032" t="s">
        <v>114</v>
      </c>
      <c r="C854" s="538" t="s">
        <v>115</v>
      </c>
      <c r="D854" s="538" t="s">
        <v>248</v>
      </c>
      <c r="E854" s="539"/>
      <c r="F854" s="1018" t="s">
        <v>4644</v>
      </c>
      <c r="G854" s="1019" t="s">
        <v>4645</v>
      </c>
      <c r="H854" s="1018" t="s">
        <v>249</v>
      </c>
      <c r="I854" s="1045">
        <v>45671.0</v>
      </c>
      <c r="J854" s="1045">
        <v>45692.0</v>
      </c>
      <c r="K854" s="1206" t="s">
        <v>4646</v>
      </c>
      <c r="L854" s="1032"/>
      <c r="M854" s="1018" t="s">
        <v>4647</v>
      </c>
      <c r="N854" s="1018" t="s">
        <v>4648</v>
      </c>
      <c r="O854" s="1032"/>
      <c r="P854" s="1018" t="str">
        <f t="shared" si="37"/>
        <v>10.1177--0956797616651973.pdf</v>
      </c>
      <c r="Q854" s="1207" t="str">
        <f t="array" ref="Q854"> if(iserror(MATCH(V854, 'File Links'!C:C, 0)), "N/A", HYPERLINK(INDEX('File Links'!B:B, MATCH(P854, 'File Links'!C:C, 0))))</f>
        <v>https://drive.google.com/file/d/1jx9eMAYbx0cHukSi87PadaXFTzz1n_mq/view?usp=drivesdk</v>
      </c>
      <c r="R854" s="1018" t="s">
        <v>3653</v>
      </c>
      <c r="S854" s="1018" t="s">
        <v>3654</v>
      </c>
      <c r="T854" s="1032"/>
      <c r="U854" s="1047">
        <v>1.0</v>
      </c>
      <c r="V854" s="1018" t="str">
        <f t="shared" si="46"/>
        <v>10.1098--rsos.231240.pdf</v>
      </c>
      <c r="W854" s="1018" t="s">
        <v>3804</v>
      </c>
      <c r="X854" s="1208" t="str">
        <f t="array" ref="X854"> if(iserror(MATCH(V854, 'File Links'!C:C, 0)), "N/A", HYPERLINK(INDEX('File Links'!B:B, MATCH(V854, 'File Links'!C:C, 0))))</f>
        <v>https://drive.google.com/file/d/17gaf2Zy_ljFfcAEDk5L8GBnTl5i7RGJE/view?usp=drivesdk</v>
      </c>
      <c r="Y854" s="1032"/>
      <c r="Z854" s="1018" t="s">
        <v>148</v>
      </c>
      <c r="AA854" s="1032"/>
      <c r="AB854" s="1032"/>
      <c r="AC854" s="1032"/>
      <c r="AD854" s="1018" t="s">
        <v>4649</v>
      </c>
      <c r="AE854" s="1047">
        <v>3.0</v>
      </c>
      <c r="AF854" s="1047">
        <v>90.0</v>
      </c>
      <c r="AG854" s="1047">
        <v>0.212</v>
      </c>
      <c r="AH854" s="1018" t="s">
        <v>215</v>
      </c>
      <c r="AI854" s="1018" t="s">
        <v>217</v>
      </c>
      <c r="AJ854" s="1209">
        <v>0.044</v>
      </c>
      <c r="AK854" s="1019" t="s">
        <v>172</v>
      </c>
      <c r="AL854" s="1019" t="s">
        <v>186</v>
      </c>
      <c r="AM854" s="1018" t="s">
        <v>141</v>
      </c>
      <c r="AN854" s="1210" t="s">
        <v>138</v>
      </c>
      <c r="AO854" s="1047">
        <v>90.0</v>
      </c>
      <c r="AP854" s="1211">
        <v>0.395198</v>
      </c>
      <c r="AQ854" s="1027" t="s">
        <v>271</v>
      </c>
      <c r="AR854" s="1032"/>
      <c r="AS854" s="1211">
        <v>0.002447</v>
      </c>
      <c r="AT854" s="1018" t="s">
        <v>172</v>
      </c>
      <c r="AU854" s="1018" t="s">
        <v>186</v>
      </c>
      <c r="AV854" s="1018" t="s">
        <v>141</v>
      </c>
      <c r="AW854" s="129" t="s">
        <v>138</v>
      </c>
      <c r="AX854" s="1018" t="s">
        <v>143</v>
      </c>
      <c r="AY854" s="61" t="str">
        <f>IFERROR(__xludf.DUMMYFUNCTION("vlookup(BB854,importrange(""https://docs.google.com/spreadsheets/d/1d2vevQ_7D_v35q4wCQ4RpQ_IPoTwEMB9Yp6ymwlPqew/edit?gid=984458430#gid=984458430"", ""'replication success'!A:K""), 11, FAlSE)"),"#N/A")</f>
        <v>#N/A</v>
      </c>
      <c r="AZ854" s="61" t="str">
        <f>IFERROR(__xludf.DUMMYFUNCTION("vlookup(BB854,importrange(""https://docs.google.com/spreadsheets/d/1d2vevQ_7D_v35q4wCQ4RpQ_IPoTwEMB9Yp6ymwlPqew/edit?gid=984458430#gid=984458430"", ""'replication success'!A:M""), 12, FAlSE)"),"#N/A")</f>
        <v>#N/A</v>
      </c>
      <c r="BA854" s="61" t="str">
        <f>IFERROR(__xludf.DUMMYFUNCTION("vlookup(BB854,importrange(""https://docs.google.com/spreadsheets/d/1d2vevQ_7D_v35q4wCQ4RpQ_IPoTwEMB9Yp6ymwlPqew/edit?gid=984458430#gid=984458430"", ""'replication success'!A:M""), 13, FAlSE)"),"#N/A")</f>
        <v>#N/A</v>
      </c>
      <c r="BB854" s="61" t="str">
        <f>IFERROR(__xludf.DUMMYFUNCTION("REGEXREPLACE(G854, ""_[a-z]{1,2}$"", """")"),"Boyce_etal2023141_1")</f>
        <v>Boyce_etal2023141_1</v>
      </c>
      <c r="BC854" s="539"/>
      <c r="BD854" s="1032" t="s">
        <v>153</v>
      </c>
      <c r="BE854" s="539"/>
      <c r="BF854" s="539"/>
      <c r="BG854" s="539"/>
      <c r="BH854" s="539"/>
      <c r="BI854" s="539"/>
      <c r="BJ854" s="539"/>
      <c r="BK854" s="539"/>
      <c r="BL854" s="539"/>
      <c r="BM854" s="539"/>
      <c r="BN854" s="539"/>
      <c r="BO854" s="539"/>
      <c r="BP854" s="539"/>
      <c r="BQ854" s="539"/>
      <c r="BR854" s="539"/>
      <c r="BS854" s="539"/>
      <c r="BT854" s="539"/>
      <c r="BU854" s="539"/>
      <c r="BV854" s="539"/>
      <c r="BW854" s="539"/>
      <c r="BX854" s="539"/>
      <c r="BY854" s="539"/>
      <c r="BZ854" s="539"/>
      <c r="CA854" s="539"/>
      <c r="CB854" s="539"/>
      <c r="CC854" s="539"/>
      <c r="CD854" s="539"/>
      <c r="CE854" s="539"/>
      <c r="CF854" s="539"/>
      <c r="CG854" s="539"/>
      <c r="CH854" s="539"/>
      <c r="CI854" s="539"/>
      <c r="CJ854" s="539"/>
      <c r="CK854" s="539"/>
      <c r="CL854" s="539"/>
      <c r="CM854" s="539"/>
      <c r="CN854" s="539"/>
      <c r="CO854" s="539"/>
      <c r="CP854" s="539"/>
      <c r="CQ854" s="539"/>
      <c r="CR854" s="539"/>
      <c r="CS854" s="539"/>
      <c r="CT854" s="539"/>
      <c r="CU854" s="539"/>
      <c r="CV854" s="539"/>
      <c r="CW854" s="539"/>
      <c r="CX854" s="539"/>
      <c r="CY854" s="539"/>
      <c r="CZ854" s="539"/>
      <c r="DA854" s="539"/>
      <c r="DB854" s="539"/>
      <c r="DC854" s="539"/>
      <c r="DD854" s="539"/>
      <c r="DE854" s="539"/>
      <c r="DF854" s="539"/>
      <c r="DG854" s="539"/>
      <c r="DH854" s="539"/>
      <c r="DI854" s="539"/>
      <c r="DJ854" s="539"/>
      <c r="DK854" s="539"/>
      <c r="DL854" s="539"/>
    </row>
    <row r="855">
      <c r="A855" s="561">
        <v>855.0</v>
      </c>
      <c r="B855" s="1032" t="s">
        <v>114</v>
      </c>
      <c r="C855" s="538" t="s">
        <v>115</v>
      </c>
      <c r="D855" s="538" t="s">
        <v>153</v>
      </c>
      <c r="E855" s="539"/>
      <c r="F855" s="1032" t="s">
        <v>4645</v>
      </c>
      <c r="G855" s="1019" t="s">
        <v>4644</v>
      </c>
      <c r="H855" s="1018" t="s">
        <v>153</v>
      </c>
      <c r="I855" s="1045">
        <v>45687.0</v>
      </c>
      <c r="J855" s="1045">
        <v>45692.0</v>
      </c>
      <c r="K855" s="1212" t="s">
        <v>4650</v>
      </c>
      <c r="L855" s="1032"/>
      <c r="M855" s="1018" t="s">
        <v>4647</v>
      </c>
      <c r="N855" s="1018" t="s">
        <v>4648</v>
      </c>
      <c r="O855" s="1047">
        <v>1.0</v>
      </c>
      <c r="P855" s="1018" t="str">
        <f t="shared" si="37"/>
        <v>10.1177--0956797616651973.pdf</v>
      </c>
      <c r="Q855" s="1207" t="str">
        <f t="array" ref="Q855"> if(iserror(MATCH(V855, 'File Links'!C:C, 0)), "N/A", HYPERLINK(INDEX('File Links'!B:B, MATCH(P855, 'File Links'!C:C, 0))))</f>
        <v>https://drive.google.com/file/d/1jx9eMAYbx0cHukSi87PadaXFTzz1n_mq/view?usp=drivesdk</v>
      </c>
      <c r="R855" s="1018" t="s">
        <v>3653</v>
      </c>
      <c r="S855" s="1018" t="s">
        <v>3654</v>
      </c>
      <c r="T855" s="1032"/>
      <c r="U855" s="1047">
        <v>1.0</v>
      </c>
      <c r="V855" s="1018" t="str">
        <f t="shared" si="46"/>
        <v>10.1098--rsos.231240.pdf</v>
      </c>
      <c r="W855" s="1018" t="s">
        <v>164</v>
      </c>
      <c r="X855" s="1208" t="str">
        <f t="array" ref="X855"> if(iserror(MATCH(V855, 'File Links'!C:C, 0)), "N/A", HYPERLINK(INDEX('File Links'!B:B, MATCH(V855, 'File Links'!C:C, 0))))</f>
        <v>https://drive.google.com/file/d/17gaf2Zy_ljFfcAEDk5L8GBnTl5i7RGJE/view?usp=drivesdk</v>
      </c>
      <c r="Y855" s="1032"/>
      <c r="Z855" s="1018" t="s">
        <v>148</v>
      </c>
      <c r="AA855" s="1018" t="s">
        <v>4651</v>
      </c>
      <c r="AB855" s="1206" t="s">
        <v>4652</v>
      </c>
      <c r="AC855" s="1018" t="s">
        <v>4653</v>
      </c>
      <c r="AD855" s="1027" t="s">
        <v>4654</v>
      </c>
      <c r="AE855" s="1047">
        <v>3.0</v>
      </c>
      <c r="AF855" s="1047">
        <v>90.0</v>
      </c>
      <c r="AG855" s="1047">
        <v>0.477</v>
      </c>
      <c r="AH855" s="1047" t="s">
        <v>215</v>
      </c>
      <c r="AI855" s="1047" t="s">
        <v>217</v>
      </c>
      <c r="AJ855" s="1209">
        <v>0.001</v>
      </c>
      <c r="AK855" s="1019" t="s">
        <v>135</v>
      </c>
      <c r="AL855" s="1019" t="s">
        <v>186</v>
      </c>
      <c r="AM855" s="1018" t="s">
        <v>141</v>
      </c>
      <c r="AN855" s="1210" t="s">
        <v>138</v>
      </c>
      <c r="AO855" s="1047">
        <v>90.0</v>
      </c>
      <c r="AP855" s="1213" t="s">
        <v>4655</v>
      </c>
      <c r="AQ855" s="1214" t="s">
        <v>134</v>
      </c>
      <c r="AR855" s="1047" t="s">
        <v>632</v>
      </c>
      <c r="AS855" s="1047">
        <v>0.002447</v>
      </c>
      <c r="AT855" s="1018" t="s">
        <v>172</v>
      </c>
      <c r="AU855" s="1018" t="s">
        <v>186</v>
      </c>
      <c r="AV855" s="1018" t="s">
        <v>141</v>
      </c>
      <c r="AW855" s="129" t="s">
        <v>138</v>
      </c>
      <c r="AX855" s="1032" t="s">
        <v>143</v>
      </c>
      <c r="AY855" s="61" t="str">
        <f>IFERROR(__xludf.DUMMYFUNCTION("vlookup(BB855,importrange(""https://docs.google.com/spreadsheets/d/1d2vevQ_7D_v35q4wCQ4RpQ_IPoTwEMB9Yp6ymwlPqew/edit?gid=984458430#gid=984458430"", ""'replication success'!A:K""), 11, FAlSE)"),"#N/A")</f>
        <v>#N/A</v>
      </c>
      <c r="AZ855" s="61" t="str">
        <f>IFERROR(__xludf.DUMMYFUNCTION("vlookup(BB855,importrange(""https://docs.google.com/spreadsheets/d/1d2vevQ_7D_v35q4wCQ4RpQ_IPoTwEMB9Yp6ymwlPqew/edit?gid=984458430#gid=984458430"", ""'replication success'!A:M""), 12, FAlSE)"),"#N/A")</f>
        <v>#N/A</v>
      </c>
      <c r="BA855" s="61" t="str">
        <f>IFERROR(__xludf.DUMMYFUNCTION("vlookup(BB855,importrange(""https://docs.google.com/spreadsheets/d/1d2vevQ_7D_v35q4wCQ4RpQ_IPoTwEMB9Yp6ymwlPqew/edit?gid=984458430#gid=984458430"", ""'replication success'!A:M""), 13, FAlSE)"),"#N/A")</f>
        <v>#N/A</v>
      </c>
      <c r="BB855" s="61" t="str">
        <f>IFERROR(__xludf.DUMMYFUNCTION("REGEXREPLACE(G855, ""_[a-z]{1,2}$"", """")"),"Boyce_etal2023141")</f>
        <v>Boyce_etal2023141</v>
      </c>
      <c r="BC855" s="539"/>
      <c r="BD855" s="1032" t="s">
        <v>153</v>
      </c>
      <c r="BE855" s="539"/>
      <c r="BF855" s="539"/>
      <c r="BG855" s="539"/>
      <c r="BH855" s="539"/>
      <c r="BI855" s="539"/>
      <c r="BJ855" s="539"/>
      <c r="BK855" s="539"/>
      <c r="BL855" s="539"/>
      <c r="BM855" s="539"/>
      <c r="BN855" s="539"/>
      <c r="BO855" s="539"/>
      <c r="BP855" s="539"/>
      <c r="BQ855" s="539"/>
      <c r="BR855" s="539"/>
      <c r="BS855" s="539"/>
      <c r="BT855" s="539"/>
      <c r="BU855" s="539"/>
      <c r="BV855" s="539"/>
      <c r="BW855" s="539"/>
      <c r="BX855" s="539"/>
      <c r="BY855" s="539"/>
      <c r="BZ855" s="539"/>
      <c r="CA855" s="539"/>
      <c r="CB855" s="539"/>
      <c r="CC855" s="539"/>
      <c r="CD855" s="539"/>
      <c r="CE855" s="539"/>
      <c r="CF855" s="539"/>
      <c r="CG855" s="539"/>
      <c r="CH855" s="539"/>
      <c r="CI855" s="539"/>
      <c r="CJ855" s="539"/>
      <c r="CK855" s="539"/>
      <c r="CL855" s="539"/>
      <c r="CM855" s="539"/>
      <c r="CN855" s="539"/>
      <c r="CO855" s="539"/>
      <c r="CP855" s="539"/>
      <c r="CQ855" s="539"/>
      <c r="CR855" s="539"/>
      <c r="CS855" s="539"/>
      <c r="CT855" s="539"/>
      <c r="CU855" s="539"/>
      <c r="CV855" s="539"/>
      <c r="CW855" s="539"/>
      <c r="CX855" s="539"/>
      <c r="CY855" s="539"/>
      <c r="CZ855" s="539"/>
      <c r="DA855" s="539"/>
      <c r="DB855" s="539"/>
      <c r="DC855" s="539"/>
      <c r="DD855" s="539"/>
      <c r="DE855" s="539"/>
      <c r="DF855" s="539"/>
      <c r="DG855" s="539"/>
      <c r="DH855" s="539"/>
      <c r="DI855" s="539"/>
      <c r="DJ855" s="539"/>
      <c r="DK855" s="539"/>
      <c r="DL855" s="539"/>
    </row>
    <row r="856">
      <c r="A856" s="561">
        <v>856.0</v>
      </c>
      <c r="B856" s="1210" t="s">
        <v>152</v>
      </c>
      <c r="C856" s="538" t="s">
        <v>115</v>
      </c>
      <c r="D856" s="538" t="s">
        <v>153</v>
      </c>
      <c r="E856" s="539"/>
      <c r="F856" s="1032" t="s">
        <v>4645</v>
      </c>
      <c r="G856" s="1019" t="s">
        <v>4656</v>
      </c>
      <c r="H856" s="1018" t="s">
        <v>153</v>
      </c>
      <c r="I856" s="1045">
        <v>45687.0</v>
      </c>
      <c r="J856" s="1045">
        <v>45692.0</v>
      </c>
      <c r="K856" s="1212" t="s">
        <v>4657</v>
      </c>
      <c r="L856" s="1032"/>
      <c r="M856" s="1018" t="s">
        <v>4647</v>
      </c>
      <c r="N856" s="1018" t="s">
        <v>4648</v>
      </c>
      <c r="O856" s="1047">
        <v>1.0</v>
      </c>
      <c r="P856" s="1018" t="str">
        <f t="shared" si="37"/>
        <v>10.1177--0956797616651973.pdf</v>
      </c>
      <c r="Q856" s="1207" t="str">
        <f t="array" ref="Q856"> if(iserror(MATCH(V856, 'File Links'!C:C, 0)), "N/A", HYPERLINK(INDEX('File Links'!B:B, MATCH(P856, 'File Links'!C:C, 0))))</f>
        <v>https://drive.google.com/file/d/1jx9eMAYbx0cHukSi87PadaXFTzz1n_mq/view?usp=drivesdk</v>
      </c>
      <c r="R856" s="1018" t="s">
        <v>3653</v>
      </c>
      <c r="S856" s="1018" t="s">
        <v>3654</v>
      </c>
      <c r="T856" s="1032"/>
      <c r="U856" s="1047">
        <v>1.0</v>
      </c>
      <c r="V856" s="1018" t="str">
        <f t="shared" si="46"/>
        <v>10.1098--rsos.231240.pdf</v>
      </c>
      <c r="W856" s="1018" t="s">
        <v>3807</v>
      </c>
      <c r="X856" s="1208" t="str">
        <f t="array" ref="X856"> if(iserror(MATCH(V856, 'File Links'!C:C, 0)), "N/A", HYPERLINK(INDEX('File Links'!B:B, MATCH(V856, 'File Links'!C:C, 0))))</f>
        <v>https://drive.google.com/file/d/17gaf2Zy_ljFfcAEDk5L8GBnTl5i7RGJE/view?usp=drivesdk</v>
      </c>
      <c r="Y856" s="1032"/>
      <c r="Z856" s="1018" t="s">
        <v>148</v>
      </c>
      <c r="AA856" s="1018" t="s">
        <v>4651</v>
      </c>
      <c r="AB856" s="1206" t="s">
        <v>4652</v>
      </c>
      <c r="AC856" s="1018" t="s">
        <v>4658</v>
      </c>
      <c r="AD856" s="1027" t="s">
        <v>4659</v>
      </c>
      <c r="AE856" s="1215">
        <v>3.0</v>
      </c>
      <c r="AF856" s="1047">
        <v>90.0</v>
      </c>
      <c r="AG856" s="1215">
        <v>0.212</v>
      </c>
      <c r="AH856" s="1047" t="s">
        <v>215</v>
      </c>
      <c r="AI856" s="1047" t="s">
        <v>217</v>
      </c>
      <c r="AJ856" s="1209">
        <v>0.044</v>
      </c>
      <c r="AK856" s="1019" t="s">
        <v>172</v>
      </c>
      <c r="AL856" s="1019" t="s">
        <v>186</v>
      </c>
      <c r="AM856" s="1018" t="s">
        <v>141</v>
      </c>
      <c r="AN856" s="1210" t="s">
        <v>138</v>
      </c>
      <c r="AO856" s="1047">
        <v>90.0</v>
      </c>
      <c r="AP856" s="1211">
        <v>0.395198</v>
      </c>
      <c r="AQ856" s="1047" t="s">
        <v>2371</v>
      </c>
      <c r="AR856" s="1215" t="s">
        <v>632</v>
      </c>
      <c r="AS856" s="1047">
        <v>0.002447</v>
      </c>
      <c r="AT856" s="1018" t="s">
        <v>172</v>
      </c>
      <c r="AU856" s="1018" t="s">
        <v>186</v>
      </c>
      <c r="AV856" s="1018" t="s">
        <v>141</v>
      </c>
      <c r="AW856" s="129" t="s">
        <v>138</v>
      </c>
      <c r="AX856" s="1032" t="s">
        <v>143</v>
      </c>
      <c r="AY856" s="61" t="str">
        <f>IFERROR(__xludf.DUMMYFUNCTION("vlookup(BB856,importrange(""https://docs.google.com/spreadsheets/d/1d2vevQ_7D_v35q4wCQ4RpQ_IPoTwEMB9Yp6ymwlPqew/edit?gid=984458430#gid=984458430"", ""'replication success'!A:K""), 11, FAlSE)"),"#N/A")</f>
        <v>#N/A</v>
      </c>
      <c r="AZ856" s="61" t="str">
        <f>IFERROR(__xludf.DUMMYFUNCTION("vlookup(BB856,importrange(""https://docs.google.com/spreadsheets/d/1d2vevQ_7D_v35q4wCQ4RpQ_IPoTwEMB9Yp6ymwlPqew/edit?gid=984458430#gid=984458430"", ""'replication success'!A:M""), 12, FAlSE)"),"#N/A")</f>
        <v>#N/A</v>
      </c>
      <c r="BA856" s="61" t="str">
        <f>IFERROR(__xludf.DUMMYFUNCTION("vlookup(BB856,importrange(""https://docs.google.com/spreadsheets/d/1d2vevQ_7D_v35q4wCQ4RpQ_IPoTwEMB9Yp6ymwlPqew/edit?gid=984458430#gid=984458430"", ""'replication success'!A:M""), 13, FAlSE)"),"#N/A")</f>
        <v>#N/A</v>
      </c>
      <c r="BB856" s="61" t="str">
        <f>IFERROR(__xludf.DUMMYFUNCTION("REGEXREPLACE(G856, ""_[a-z]{1,2}$"", """")"),"Boyce_etal2023141_1")</f>
        <v>Boyce_etal2023141_1</v>
      </c>
      <c r="BC856" s="539"/>
      <c r="BD856" s="1032" t="s">
        <v>153</v>
      </c>
      <c r="BE856" s="539"/>
      <c r="BF856" s="539"/>
      <c r="BG856" s="539"/>
      <c r="BH856" s="539"/>
      <c r="BI856" s="539"/>
      <c r="BJ856" s="539"/>
      <c r="BK856" s="539"/>
      <c r="BL856" s="539"/>
      <c r="BM856" s="539"/>
      <c r="BN856" s="539"/>
      <c r="BO856" s="539"/>
      <c r="BP856" s="539"/>
      <c r="BQ856" s="539"/>
      <c r="BR856" s="539"/>
      <c r="BS856" s="539"/>
      <c r="BT856" s="539"/>
      <c r="BU856" s="539"/>
      <c r="BV856" s="539"/>
      <c r="BW856" s="539"/>
      <c r="BX856" s="539"/>
      <c r="BY856" s="539"/>
      <c r="BZ856" s="539"/>
      <c r="CA856" s="539"/>
      <c r="CB856" s="539"/>
      <c r="CC856" s="539"/>
      <c r="CD856" s="539"/>
      <c r="CE856" s="539"/>
      <c r="CF856" s="539"/>
      <c r="CG856" s="539"/>
      <c r="CH856" s="539"/>
      <c r="CI856" s="539"/>
      <c r="CJ856" s="539"/>
      <c r="CK856" s="539"/>
      <c r="CL856" s="539"/>
      <c r="CM856" s="539"/>
      <c r="CN856" s="539"/>
      <c r="CO856" s="539"/>
      <c r="CP856" s="539"/>
      <c r="CQ856" s="539"/>
      <c r="CR856" s="539"/>
      <c r="CS856" s="539"/>
      <c r="CT856" s="539"/>
      <c r="CU856" s="539"/>
      <c r="CV856" s="539"/>
      <c r="CW856" s="539"/>
      <c r="CX856" s="539"/>
      <c r="CY856" s="539"/>
      <c r="CZ856" s="539"/>
      <c r="DA856" s="539"/>
      <c r="DB856" s="539"/>
      <c r="DC856" s="539"/>
      <c r="DD856" s="539"/>
      <c r="DE856" s="539"/>
      <c r="DF856" s="539"/>
      <c r="DG856" s="539"/>
      <c r="DH856" s="539"/>
      <c r="DI856" s="539"/>
      <c r="DJ856" s="539"/>
      <c r="DK856" s="539"/>
      <c r="DL856" s="539"/>
    </row>
    <row r="857">
      <c r="A857" s="44">
        <v>857.0</v>
      </c>
      <c r="B857" s="68" t="s">
        <v>114</v>
      </c>
      <c r="C857" s="62" t="s">
        <v>115</v>
      </c>
      <c r="D857" s="62" t="s">
        <v>248</v>
      </c>
      <c r="F857" s="159" t="s">
        <v>4660</v>
      </c>
      <c r="G857" s="57" t="s">
        <v>4661</v>
      </c>
      <c r="H857" s="159" t="s">
        <v>249</v>
      </c>
      <c r="I857" s="152">
        <v>45671.0</v>
      </c>
      <c r="J857" s="152">
        <v>45692.0</v>
      </c>
      <c r="K857" s="68"/>
      <c r="L857" s="68" t="s">
        <v>3690</v>
      </c>
      <c r="M857" s="159" t="s">
        <v>4662</v>
      </c>
      <c r="N857" s="159" t="s">
        <v>4663</v>
      </c>
      <c r="O857" s="68"/>
      <c r="P857" s="159" t="str">
        <f t="shared" si="37"/>
        <v>10.1177--0956797614534693.pdf</v>
      </c>
      <c r="Q857" s="52" t="str">
        <f t="array" ref="Q857"> if(iserror(MATCH(V857, 'File Links'!C:C, 0)), "N/A", HYPERLINK(INDEX('File Links'!B:B, MATCH(P857, 'File Links'!C:C, 0))))</f>
        <v>https://drive.google.com/file/d/1dcM9NQdz9QH53PQ7hkiNVOhT5nBAY9Vn/view?usp=drivesdk</v>
      </c>
      <c r="R857" s="159" t="s">
        <v>3653</v>
      </c>
      <c r="S857" s="159" t="s">
        <v>3654</v>
      </c>
      <c r="T857" s="68"/>
      <c r="U857" s="156">
        <v>1.0</v>
      </c>
      <c r="V857" s="198" t="str">
        <f t="shared" si="46"/>
        <v>10.1098--rsos.231240.pdf</v>
      </c>
      <c r="W857" s="159" t="s">
        <v>3665</v>
      </c>
      <c r="X857" s="54" t="str">
        <f t="array" ref="X857"> if(iserror(MATCH(V857, 'File Links'!C:C, 0)), "N/A", HYPERLINK(INDEX('File Links'!B:B, MATCH(V857, 'File Links'!C:C, 0))))</f>
        <v>https://drive.google.com/file/d/17gaf2Zy_ljFfcAEDk5L8GBnTl5i7RGJE/view?usp=drivesdk</v>
      </c>
      <c r="Y857" s="68"/>
      <c r="Z857" s="159" t="s">
        <v>226</v>
      </c>
      <c r="AA857" s="68"/>
      <c r="AB857" s="159" t="s">
        <v>4664</v>
      </c>
      <c r="AC857" s="68"/>
      <c r="AD857" s="159" t="s">
        <v>4665</v>
      </c>
      <c r="AE857" s="1059">
        <v>5.0</v>
      </c>
      <c r="AF857" s="156">
        <v>88.0</v>
      </c>
      <c r="AG857" s="156">
        <v>0.45</v>
      </c>
      <c r="AH857" s="159" t="s">
        <v>173</v>
      </c>
      <c r="AI857" s="159" t="s">
        <v>4624</v>
      </c>
      <c r="AJ857" s="709">
        <v>0.04</v>
      </c>
      <c r="AK857" s="57" t="s">
        <v>172</v>
      </c>
      <c r="AL857" s="57" t="s">
        <v>186</v>
      </c>
      <c r="AM857" s="151" t="s">
        <v>137</v>
      </c>
      <c r="AN857" s="129" t="s">
        <v>138</v>
      </c>
      <c r="AO857" s="156">
        <v>64.0</v>
      </c>
      <c r="AP857" s="156">
        <v>0.125989102771126</v>
      </c>
      <c r="AQ857" s="159" t="s">
        <v>173</v>
      </c>
      <c r="AR857" s="1153" t="s">
        <v>4120</v>
      </c>
      <c r="AS857" s="156">
        <v>0.321193881265947</v>
      </c>
      <c r="AT857" s="159" t="s">
        <v>172</v>
      </c>
      <c r="AU857" s="159" t="s">
        <v>186</v>
      </c>
      <c r="AV857" s="151" t="s">
        <v>137</v>
      </c>
      <c r="AW857" s="129" t="s">
        <v>138</v>
      </c>
      <c r="AX857" s="159" t="s">
        <v>143</v>
      </c>
      <c r="AY857" s="61" t="str">
        <f>IFERROR(__xludf.DUMMYFUNCTION("vlookup(BB857,importrange(""https://docs.google.com/spreadsheets/d/1d2vevQ_7D_v35q4wCQ4RpQ_IPoTwEMB9Yp6ymwlPqew/edit?gid=984458430#gid=984458430"", ""'replication success'!A:K""), 11, FAlSE)"),"#N/A")</f>
        <v>#N/A</v>
      </c>
      <c r="AZ857" s="61" t="str">
        <f>IFERROR(__xludf.DUMMYFUNCTION("vlookup(BB857,importrange(""https://docs.google.com/spreadsheets/d/1d2vevQ_7D_v35q4wCQ4RpQ_IPoTwEMB9Yp6ymwlPqew/edit?gid=984458430#gid=984458430"", ""'replication success'!A:M""), 12, FAlSE)"),"#N/A")</f>
        <v>#N/A</v>
      </c>
      <c r="BA857" s="61" t="str">
        <f>IFERROR(__xludf.DUMMYFUNCTION("vlookup(BB857,importrange(""https://docs.google.com/spreadsheets/d/1d2vevQ_7D_v35q4wCQ4RpQ_IPoTwEMB9Yp6ymwlPqew/edit?gid=984458430#gid=984458430"", ""'replication success'!A:M""), 13, FAlSE)"),"#N/A")</f>
        <v>#N/A</v>
      </c>
      <c r="BB857" s="61" t="str">
        <f>IFERROR(__xludf.DUMMYFUNCTION("REGEXREPLACE(G857, ""_[a-z]{1,2}$"", """")"),"Boyce_etal2023142_1")</f>
        <v>Boyce_etal2023142_1</v>
      </c>
      <c r="BD857" s="68" t="s">
        <v>153</v>
      </c>
      <c r="BE857" s="189"/>
    </row>
    <row r="858">
      <c r="A858" s="44">
        <v>858.0</v>
      </c>
      <c r="B858" s="129" t="s">
        <v>152</v>
      </c>
      <c r="C858" s="62" t="s">
        <v>115</v>
      </c>
      <c r="D858" s="62" t="s">
        <v>153</v>
      </c>
      <c r="F858" s="68" t="s">
        <v>4661</v>
      </c>
      <c r="G858" s="57" t="s">
        <v>4660</v>
      </c>
      <c r="H858" s="159" t="s">
        <v>153</v>
      </c>
      <c r="I858" s="152">
        <v>45687.0</v>
      </c>
      <c r="J858" s="152">
        <v>45692.0</v>
      </c>
      <c r="K858" s="437" t="s">
        <v>4666</v>
      </c>
      <c r="L858" s="68"/>
      <c r="M858" s="159" t="s">
        <v>4662</v>
      </c>
      <c r="N858" s="159" t="s">
        <v>4663</v>
      </c>
      <c r="O858" s="156">
        <v>3.0</v>
      </c>
      <c r="P858" s="159" t="str">
        <f t="shared" si="37"/>
        <v>10.1177--0956797614534693.pdf</v>
      </c>
      <c r="Q858" s="52" t="str">
        <f t="array" ref="Q858"> if(iserror(MATCH(V858, 'File Links'!C:C, 0)), "N/A", HYPERLINK(INDEX('File Links'!B:B, MATCH(P858, 'File Links'!C:C, 0))))</f>
        <v>https://drive.google.com/file/d/1dcM9NQdz9QH53PQ7hkiNVOhT5nBAY9Vn/view?usp=drivesdk</v>
      </c>
      <c r="R858" s="159" t="s">
        <v>3653</v>
      </c>
      <c r="S858" s="159" t="s">
        <v>3654</v>
      </c>
      <c r="T858" s="68"/>
      <c r="U858" s="156">
        <v>1.0</v>
      </c>
      <c r="V858" s="198" t="str">
        <f t="shared" si="46"/>
        <v>10.1098--rsos.231240.pdf</v>
      </c>
      <c r="W858" s="159" t="s">
        <v>3671</v>
      </c>
      <c r="X858" s="54" t="str">
        <f t="array" ref="X858"> if(iserror(MATCH(V858, 'File Links'!C:C, 0)), "N/A", HYPERLINK(INDEX('File Links'!B:B, MATCH(V858, 'File Links'!C:C, 0))))</f>
        <v>https://drive.google.com/file/d/17gaf2Zy_ljFfcAEDk5L8GBnTl5i7RGJE/view?usp=drivesdk</v>
      </c>
      <c r="Y858" s="68"/>
      <c r="Z858" s="159" t="s">
        <v>226</v>
      </c>
      <c r="AA858" s="159" t="s">
        <v>4667</v>
      </c>
      <c r="AB858" s="159" t="s">
        <v>4668</v>
      </c>
      <c r="AC858" s="159" t="s">
        <v>4669</v>
      </c>
      <c r="AD858" s="159" t="s">
        <v>4670</v>
      </c>
      <c r="AE858" s="156">
        <v>6.0</v>
      </c>
      <c r="AF858" s="156">
        <v>88.0</v>
      </c>
      <c r="AG858" s="156">
        <v>0.45</v>
      </c>
      <c r="AH858" s="156" t="s">
        <v>173</v>
      </c>
      <c r="AI858" s="156" t="s">
        <v>140</v>
      </c>
      <c r="AJ858" s="337">
        <v>0.04</v>
      </c>
      <c r="AK858" s="57" t="s">
        <v>172</v>
      </c>
      <c r="AL858" s="57" t="s">
        <v>186</v>
      </c>
      <c r="AM858" s="151" t="s">
        <v>137</v>
      </c>
      <c r="AN858" s="129" t="s">
        <v>138</v>
      </c>
      <c r="AO858" s="156">
        <v>64.0</v>
      </c>
      <c r="AP858" s="156">
        <v>0.125989102771126</v>
      </c>
      <c r="AQ858" s="156" t="s">
        <v>173</v>
      </c>
      <c r="AR858" s="1153" t="s">
        <v>4120</v>
      </c>
      <c r="AS858" s="156">
        <v>0.321193881265947</v>
      </c>
      <c r="AT858" s="159" t="s">
        <v>172</v>
      </c>
      <c r="AU858" s="159" t="s">
        <v>186</v>
      </c>
      <c r="AV858" s="151" t="s">
        <v>137</v>
      </c>
      <c r="AW858" s="129" t="s">
        <v>138</v>
      </c>
      <c r="AX858" s="68" t="s">
        <v>143</v>
      </c>
      <c r="AY858" s="61" t="str">
        <f>IFERROR(__xludf.DUMMYFUNCTION("vlookup(BB858,importrange(""https://docs.google.com/spreadsheets/d/1d2vevQ_7D_v35q4wCQ4RpQ_IPoTwEMB9Yp6ymwlPqew/edit?gid=984458430#gid=984458430"", ""'replication success'!A:K""), 11, FAlSE)"),"#N/A")</f>
        <v>#N/A</v>
      </c>
      <c r="AZ858" s="61" t="str">
        <f>IFERROR(__xludf.DUMMYFUNCTION("vlookup(BB858,importrange(""https://docs.google.com/spreadsheets/d/1d2vevQ_7D_v35q4wCQ4RpQ_IPoTwEMB9Yp6ymwlPqew/edit?gid=984458430#gid=984458430"", ""'replication success'!A:M""), 12, FAlSE)"),"#N/A")</f>
        <v>#N/A</v>
      </c>
      <c r="BA858" s="61" t="str">
        <f>IFERROR(__xludf.DUMMYFUNCTION("vlookup(BB858,importrange(""https://docs.google.com/spreadsheets/d/1d2vevQ_7D_v35q4wCQ4RpQ_IPoTwEMB9Yp6ymwlPqew/edit?gid=984458430#gid=984458430"", ""'replication success'!A:M""), 13, FAlSE)"),"#N/A")</f>
        <v>#N/A</v>
      </c>
      <c r="BB858" s="61" t="str">
        <f>IFERROR(__xludf.DUMMYFUNCTION("REGEXREPLACE(G858, ""_[a-z]{1,2}$"", """")"),"Boyce_etal2023142")</f>
        <v>Boyce_etal2023142</v>
      </c>
      <c r="BD858" s="68" t="s">
        <v>153</v>
      </c>
    </row>
    <row r="859">
      <c r="A859" s="110">
        <v>859.0</v>
      </c>
      <c r="B859" s="111" t="s">
        <v>114</v>
      </c>
      <c r="C859" s="149" t="s">
        <v>115</v>
      </c>
      <c r="D859" s="149" t="s">
        <v>248</v>
      </c>
      <c r="E859" s="71"/>
      <c r="F859" s="122" t="s">
        <v>4671</v>
      </c>
      <c r="G859" s="112" t="s">
        <v>4672</v>
      </c>
      <c r="H859" s="122" t="s">
        <v>249</v>
      </c>
      <c r="I859" s="417">
        <v>45671.0</v>
      </c>
      <c r="J859" s="417">
        <v>45692.0</v>
      </c>
      <c r="K859" s="111"/>
      <c r="L859" s="111" t="s">
        <v>3690</v>
      </c>
      <c r="M859" s="122" t="s">
        <v>4673</v>
      </c>
      <c r="N859" s="122" t="s">
        <v>4674</v>
      </c>
      <c r="O859" s="111"/>
      <c r="P859" s="122" t="str">
        <f t="shared" si="37"/>
        <v>10.1093--workar--waac024.pdf</v>
      </c>
      <c r="Q859" s="1161" t="str">
        <f t="array" ref="Q859"> if(iserror(MATCH(V859, 'File Links'!C:C, 0)), "N/A", HYPERLINK(INDEX('File Links'!B:B, MATCH(P859, 'File Links'!C:C, 0))))</f>
        <v>https://drive.google.com/file/d/17KV68RT0MMeGKz0n7gj1Dsmt7YXSfvOC/view?usp=drivesdk</v>
      </c>
      <c r="R859" s="122" t="s">
        <v>3653</v>
      </c>
      <c r="S859" s="122" t="s">
        <v>3654</v>
      </c>
      <c r="T859" s="111"/>
      <c r="U859" s="537">
        <v>1.0</v>
      </c>
      <c r="V859" s="122" t="str">
        <f t="shared" si="46"/>
        <v>10.1098--rsos.231240.pdf</v>
      </c>
      <c r="W859" s="122" t="s">
        <v>3665</v>
      </c>
      <c r="X859" s="1162" t="str">
        <f t="array" ref="X859"> if(iserror(MATCH(V859, 'File Links'!C:C, 0)), "N/A", HYPERLINK(INDEX('File Links'!B:B, MATCH(V859, 'File Links'!C:C, 0))))</f>
        <v>https://drive.google.com/file/d/17gaf2Zy_ljFfcAEDk5L8GBnTl5i7RGJE/view?usp=drivesdk</v>
      </c>
      <c r="Y859" s="111"/>
      <c r="Z859" s="122" t="s">
        <v>226</v>
      </c>
      <c r="AA859" s="111"/>
      <c r="AB859" s="111"/>
      <c r="AC859" s="111"/>
      <c r="AD859" s="122" t="s">
        <v>4675</v>
      </c>
      <c r="AE859" s="1106">
        <v>285.0</v>
      </c>
      <c r="AF859" s="537">
        <v>555.0</v>
      </c>
      <c r="AG859" s="537">
        <v>-0.42</v>
      </c>
      <c r="AH859" s="122" t="s">
        <v>987</v>
      </c>
      <c r="AI859" s="779" t="s">
        <v>4676</v>
      </c>
      <c r="AJ859" s="366">
        <v>0.07</v>
      </c>
      <c r="AK859" s="112" t="s">
        <v>172</v>
      </c>
      <c r="AL859" s="112" t="s">
        <v>136</v>
      </c>
      <c r="AM859" s="122" t="s">
        <v>141</v>
      </c>
      <c r="AN859" s="147" t="s">
        <v>138</v>
      </c>
      <c r="AO859" s="537">
        <v>150.0</v>
      </c>
      <c r="AP859" s="537">
        <v>0.2664</v>
      </c>
      <c r="AQ859" s="122" t="s">
        <v>987</v>
      </c>
      <c r="AR859" s="111"/>
      <c r="AS859" s="122" t="s">
        <v>138</v>
      </c>
      <c r="AT859" s="111"/>
      <c r="AU859" s="122" t="s">
        <v>186</v>
      </c>
      <c r="AV859" s="122" t="s">
        <v>141</v>
      </c>
      <c r="AW859" s="111"/>
      <c r="AX859" s="122" t="s">
        <v>143</v>
      </c>
      <c r="AY859" s="61" t="str">
        <f>IFERROR(__xludf.DUMMYFUNCTION("vlookup(BB859,importrange(""https://docs.google.com/spreadsheets/d/1d2vevQ_7D_v35q4wCQ4RpQ_IPoTwEMB9Yp6ymwlPqew/edit?gid=984458430#gid=984458430"", ""'replication success'!A:K""), 11, FAlSE)"),"#N/A")</f>
        <v>#N/A</v>
      </c>
      <c r="AZ859" s="61" t="str">
        <f>IFERROR(__xludf.DUMMYFUNCTION("vlookup(BB859,importrange(""https://docs.google.com/spreadsheets/d/1d2vevQ_7D_v35q4wCQ4RpQ_IPoTwEMB9Yp6ymwlPqew/edit?gid=984458430#gid=984458430"", ""'replication success'!A:M""), 12, FAlSE)"),"#N/A")</f>
        <v>#N/A</v>
      </c>
      <c r="BA859" s="61" t="str">
        <f>IFERROR(__xludf.DUMMYFUNCTION("vlookup(BB859,importrange(""https://docs.google.com/spreadsheets/d/1d2vevQ_7D_v35q4wCQ4RpQ_IPoTwEMB9Yp6ymwlPqew/edit?gid=984458430#gid=984458430"", ""'replication success'!A:M""), 13, FAlSE)"),"#N/A")</f>
        <v>#N/A</v>
      </c>
      <c r="BB859" s="61" t="str">
        <f>IFERROR(__xludf.DUMMYFUNCTION("REGEXREPLACE(G859, ""_[a-z]{1,2}$"", """")"),"Boyce_etal2023143_1")</f>
        <v>Boyce_etal2023143_1</v>
      </c>
      <c r="BC859" s="71"/>
      <c r="BD859" s="111" t="s">
        <v>153</v>
      </c>
      <c r="BE859" s="71"/>
      <c r="BF859" s="71"/>
      <c r="BG859" s="71"/>
      <c r="BH859" s="71"/>
      <c r="BI859" s="71"/>
      <c r="BJ859" s="71"/>
      <c r="BK859" s="71"/>
      <c r="BL859" s="71"/>
      <c r="BM859" s="71"/>
      <c r="BN859" s="71"/>
      <c r="BO859" s="71"/>
      <c r="BP859" s="71"/>
      <c r="BQ859" s="71"/>
      <c r="BR859" s="71"/>
      <c r="BS859" s="71"/>
      <c r="BT859" s="71"/>
      <c r="BU859" s="71"/>
      <c r="BV859" s="71"/>
      <c r="BW859" s="71"/>
      <c r="BX859" s="71"/>
      <c r="BY859" s="71"/>
      <c r="BZ859" s="71"/>
      <c r="CA859" s="71"/>
      <c r="CB859" s="71"/>
      <c r="CC859" s="71"/>
      <c r="CD859" s="71"/>
      <c r="CE859" s="71"/>
      <c r="CF859" s="71"/>
      <c r="CG859" s="71"/>
      <c r="CH859" s="71"/>
      <c r="CI859" s="71"/>
      <c r="CJ859" s="71"/>
      <c r="CK859" s="71"/>
      <c r="CL859" s="71"/>
      <c r="CM859" s="71"/>
      <c r="CN859" s="71"/>
      <c r="CO859" s="71"/>
      <c r="CP859" s="71"/>
      <c r="CQ859" s="71"/>
      <c r="CR859" s="71"/>
      <c r="CS859" s="71"/>
      <c r="CT859" s="71"/>
      <c r="CU859" s="71"/>
      <c r="CV859" s="71"/>
      <c r="CW859" s="71"/>
      <c r="CX859" s="71"/>
      <c r="CY859" s="71"/>
      <c r="CZ859" s="71"/>
      <c r="DA859" s="71"/>
      <c r="DB859" s="71"/>
      <c r="DC859" s="71"/>
      <c r="DD859" s="71"/>
      <c r="DE859" s="71"/>
      <c r="DF859" s="71"/>
      <c r="DG859" s="71"/>
      <c r="DH859" s="71"/>
      <c r="DI859" s="71"/>
      <c r="DJ859" s="71"/>
      <c r="DK859" s="71"/>
      <c r="DL859" s="71"/>
    </row>
    <row r="860">
      <c r="A860" s="110">
        <v>860.0</v>
      </c>
      <c r="B860" s="147" t="s">
        <v>152</v>
      </c>
      <c r="C860" s="149" t="s">
        <v>115</v>
      </c>
      <c r="D860" s="149" t="s">
        <v>153</v>
      </c>
      <c r="E860" s="71"/>
      <c r="F860" s="111" t="s">
        <v>4672</v>
      </c>
      <c r="G860" s="112" t="s">
        <v>4677</v>
      </c>
      <c r="H860" s="122" t="s">
        <v>153</v>
      </c>
      <c r="I860" s="417">
        <v>45687.0</v>
      </c>
      <c r="J860" s="417">
        <v>45692.0</v>
      </c>
      <c r="K860" s="1121" t="s">
        <v>4678</v>
      </c>
      <c r="L860" s="147" t="s">
        <v>4679</v>
      </c>
      <c r="M860" s="122" t="s">
        <v>4673</v>
      </c>
      <c r="N860" s="122" t="s">
        <v>4674</v>
      </c>
      <c r="O860" s="537">
        <v>1.0</v>
      </c>
      <c r="P860" s="122" t="str">
        <f t="shared" si="37"/>
        <v>10.1093--workar--waac024.pdf</v>
      </c>
      <c r="Q860" s="1161" t="str">
        <f t="array" ref="Q860"> if(iserror(MATCH(V860, 'File Links'!C:C, 0)), "N/A", HYPERLINK(INDEX('File Links'!B:B, MATCH(P860, 'File Links'!C:C, 0))))</f>
        <v>https://drive.google.com/file/d/17KV68RT0MMeGKz0n7gj1Dsmt7YXSfvOC/view?usp=drivesdk</v>
      </c>
      <c r="R860" s="122" t="s">
        <v>3653</v>
      </c>
      <c r="S860" s="122" t="s">
        <v>3654</v>
      </c>
      <c r="T860" s="1163" t="s">
        <v>4680</v>
      </c>
      <c r="U860" s="537">
        <v>1.0</v>
      </c>
      <c r="V860" s="122" t="str">
        <f t="shared" si="46"/>
        <v>10.1098--rsos.231240.pdf</v>
      </c>
      <c r="W860" s="122" t="s">
        <v>3671</v>
      </c>
      <c r="X860" s="1162" t="str">
        <f t="array" ref="X860"> if(iserror(MATCH(V860, 'File Links'!C:C, 0)), "N/A", HYPERLINK(INDEX('File Links'!B:B, MATCH(V860, 'File Links'!C:C, 0))))</f>
        <v>https://drive.google.com/file/d/17gaf2Zy_ljFfcAEDk5L8GBnTl5i7RGJE/view?usp=drivesdk</v>
      </c>
      <c r="Y860" s="111"/>
      <c r="Z860" s="122" t="s">
        <v>226</v>
      </c>
      <c r="AA860" s="122" t="s">
        <v>4681</v>
      </c>
      <c r="AB860" s="122" t="s">
        <v>4682</v>
      </c>
      <c r="AC860" s="122" t="s">
        <v>4683</v>
      </c>
      <c r="AD860" s="122" t="s">
        <v>4684</v>
      </c>
      <c r="AE860" s="537">
        <v>6.0</v>
      </c>
      <c r="AF860" s="537">
        <v>555.0</v>
      </c>
      <c r="AG860" s="537">
        <v>-0.7</v>
      </c>
      <c r="AH860" s="537" t="s">
        <v>987</v>
      </c>
      <c r="AI860" s="537" t="s">
        <v>140</v>
      </c>
      <c r="AJ860" s="366">
        <v>0.002</v>
      </c>
      <c r="AK860" s="112" t="s">
        <v>172</v>
      </c>
      <c r="AL860" s="112" t="s">
        <v>136</v>
      </c>
      <c r="AM860" s="122" t="s">
        <v>141</v>
      </c>
      <c r="AN860" s="147" t="s">
        <v>138</v>
      </c>
      <c r="AO860" s="537">
        <v>150.0</v>
      </c>
      <c r="AP860" s="537">
        <v>1.3587</v>
      </c>
      <c r="AQ860" s="537" t="s">
        <v>987</v>
      </c>
      <c r="AR860" s="147" t="s">
        <v>4680</v>
      </c>
      <c r="AS860" s="537">
        <v>2.0E-4</v>
      </c>
      <c r="AT860" s="122" t="s">
        <v>172</v>
      </c>
      <c r="AU860" s="122" t="s">
        <v>186</v>
      </c>
      <c r="AV860" s="122" t="s">
        <v>141</v>
      </c>
      <c r="AW860" s="656" t="s">
        <v>4685</v>
      </c>
      <c r="AX860" s="111" t="s">
        <v>143</v>
      </c>
      <c r="AY860" s="61" t="str">
        <f>IFERROR(__xludf.DUMMYFUNCTION("vlookup(BB860,importrange(""https://docs.google.com/spreadsheets/d/1d2vevQ_7D_v35q4wCQ4RpQ_IPoTwEMB9Yp6ymwlPqew/edit?gid=984458430#gid=984458430"", ""'replication success'!A:K""), 11, FAlSE)"),"#N/A")</f>
        <v>#N/A</v>
      </c>
      <c r="AZ860" s="61" t="str">
        <f>IFERROR(__xludf.DUMMYFUNCTION("vlookup(BB860,importrange(""https://docs.google.com/spreadsheets/d/1d2vevQ_7D_v35q4wCQ4RpQ_IPoTwEMB9Yp6ymwlPqew/edit?gid=984458430#gid=984458430"", ""'replication success'!A:M""), 12, FAlSE)"),"#N/A")</f>
        <v>#N/A</v>
      </c>
      <c r="BA860" s="61" t="str">
        <f>IFERROR(__xludf.DUMMYFUNCTION("vlookup(BB860,importrange(""https://docs.google.com/spreadsheets/d/1d2vevQ_7D_v35q4wCQ4RpQ_IPoTwEMB9Yp6ymwlPqew/edit?gid=984458430#gid=984458430"", ""'replication success'!A:M""), 13, FAlSE)"),"#N/A")</f>
        <v>#N/A</v>
      </c>
      <c r="BB860" s="61" t="str">
        <f>IFERROR(__xludf.DUMMYFUNCTION("REGEXREPLACE(G860, ""_[a-z]{1,2}$"", """")"),"Boyce_etal2023143_1")</f>
        <v>Boyce_etal2023143_1</v>
      </c>
      <c r="BC860" s="71"/>
      <c r="BD860" s="111" t="s">
        <v>153</v>
      </c>
      <c r="BE860" s="71"/>
      <c r="BF860" s="71"/>
      <c r="BG860" s="71"/>
      <c r="BH860" s="71"/>
      <c r="BI860" s="71"/>
      <c r="BJ860" s="71"/>
      <c r="BK860" s="71"/>
      <c r="BL860" s="71"/>
      <c r="BM860" s="71"/>
      <c r="BN860" s="71"/>
      <c r="BO860" s="71"/>
      <c r="BP860" s="71"/>
      <c r="BQ860" s="71"/>
      <c r="BR860" s="71"/>
      <c r="BS860" s="71"/>
      <c r="BT860" s="71"/>
      <c r="BU860" s="71"/>
      <c r="BV860" s="71"/>
      <c r="BW860" s="71"/>
      <c r="BX860" s="71"/>
      <c r="BY860" s="71"/>
      <c r="BZ860" s="71"/>
      <c r="CA860" s="71"/>
      <c r="CB860" s="71"/>
      <c r="CC860" s="71"/>
      <c r="CD860" s="71"/>
      <c r="CE860" s="71"/>
      <c r="CF860" s="71"/>
      <c r="CG860" s="71"/>
      <c r="CH860" s="71"/>
      <c r="CI860" s="71"/>
      <c r="CJ860" s="71"/>
      <c r="CK860" s="71"/>
      <c r="CL860" s="71"/>
      <c r="CM860" s="71"/>
      <c r="CN860" s="71"/>
      <c r="CO860" s="71"/>
      <c r="CP860" s="71"/>
      <c r="CQ860" s="71"/>
      <c r="CR860" s="71"/>
      <c r="CS860" s="71"/>
      <c r="CT860" s="71"/>
      <c r="CU860" s="71"/>
      <c r="CV860" s="71"/>
      <c r="CW860" s="71"/>
      <c r="CX860" s="71"/>
      <c r="CY860" s="71"/>
      <c r="CZ860" s="71"/>
      <c r="DA860" s="71"/>
      <c r="DB860" s="71"/>
      <c r="DC860" s="71"/>
      <c r="DD860" s="71"/>
      <c r="DE860" s="71"/>
      <c r="DF860" s="71"/>
      <c r="DG860" s="71"/>
      <c r="DH860" s="71"/>
      <c r="DI860" s="71"/>
      <c r="DJ860" s="71"/>
      <c r="DK860" s="71"/>
      <c r="DL860" s="71"/>
    </row>
    <row r="861">
      <c r="A861" s="110">
        <v>861.0</v>
      </c>
      <c r="B861" s="147" t="s">
        <v>152</v>
      </c>
      <c r="C861" s="149" t="s">
        <v>115</v>
      </c>
      <c r="D861" s="149" t="s">
        <v>153</v>
      </c>
      <c r="E861" s="71"/>
      <c r="F861" s="111" t="s">
        <v>4672</v>
      </c>
      <c r="G861" s="112" t="s">
        <v>4686</v>
      </c>
      <c r="H861" s="122" t="s">
        <v>153</v>
      </c>
      <c r="I861" s="417">
        <v>45687.0</v>
      </c>
      <c r="J861" s="417">
        <v>45692.0</v>
      </c>
      <c r="K861" s="1121" t="s">
        <v>4687</v>
      </c>
      <c r="L861" s="147" t="s">
        <v>4679</v>
      </c>
      <c r="M861" s="122" t="s">
        <v>4673</v>
      </c>
      <c r="N861" s="122" t="s">
        <v>4674</v>
      </c>
      <c r="O861" s="537">
        <v>1.0</v>
      </c>
      <c r="P861" s="122" t="str">
        <f t="shared" si="37"/>
        <v>10.1093--workar--waac024.pdf</v>
      </c>
      <c r="Q861" s="1161" t="str">
        <f t="array" ref="Q861"> if(iserror(MATCH(V861, 'File Links'!C:C, 0)), "N/A", HYPERLINK(INDEX('File Links'!B:B, MATCH(P861, 'File Links'!C:C, 0))))</f>
        <v>https://drive.google.com/file/d/17KV68RT0MMeGKz0n7gj1Dsmt7YXSfvOC/view?usp=drivesdk</v>
      </c>
      <c r="R861" s="122" t="s">
        <v>3653</v>
      </c>
      <c r="S861" s="122" t="s">
        <v>3654</v>
      </c>
      <c r="T861" s="1163" t="s">
        <v>4680</v>
      </c>
      <c r="U861" s="537">
        <v>1.0</v>
      </c>
      <c r="V861" s="122" t="str">
        <f t="shared" si="46"/>
        <v>10.1098--rsos.231240.pdf</v>
      </c>
      <c r="W861" s="122" t="s">
        <v>3671</v>
      </c>
      <c r="X861" s="1162" t="str">
        <f t="array" ref="X861"> if(iserror(MATCH(V861, 'File Links'!C:C, 0)), "N/A", HYPERLINK(INDEX('File Links'!B:B, MATCH(V861, 'File Links'!C:C, 0))))</f>
        <v>https://drive.google.com/file/d/17gaf2Zy_ljFfcAEDk5L8GBnTl5i7RGJE/view?usp=drivesdk</v>
      </c>
      <c r="Y861" s="111"/>
      <c r="Z861" s="122" t="s">
        <v>226</v>
      </c>
      <c r="AA861" s="122" t="s">
        <v>4681</v>
      </c>
      <c r="AB861" s="122" t="s">
        <v>4682</v>
      </c>
      <c r="AC861" s="122" t="s">
        <v>4688</v>
      </c>
      <c r="AD861" s="122" t="s">
        <v>4689</v>
      </c>
      <c r="AE861" s="537">
        <v>6.0</v>
      </c>
      <c r="AF861" s="537">
        <v>555.0</v>
      </c>
      <c r="AG861" s="1109">
        <v>-0.42</v>
      </c>
      <c r="AH861" s="537" t="s">
        <v>987</v>
      </c>
      <c r="AI861" s="537" t="s">
        <v>140</v>
      </c>
      <c r="AJ861" s="1110">
        <v>0.07</v>
      </c>
      <c r="AK861" s="112" t="s">
        <v>172</v>
      </c>
      <c r="AL861" s="112" t="s">
        <v>136</v>
      </c>
      <c r="AM861" s="122" t="s">
        <v>141</v>
      </c>
      <c r="AN861" s="147" t="s">
        <v>138</v>
      </c>
      <c r="AO861" s="537">
        <v>150.0</v>
      </c>
      <c r="AP861" s="1109">
        <v>0.2664</v>
      </c>
      <c r="AQ861" s="537" t="s">
        <v>987</v>
      </c>
      <c r="AR861" s="147" t="s">
        <v>4680</v>
      </c>
      <c r="AS861" s="537">
        <v>0.4793</v>
      </c>
      <c r="AT861" s="122" t="s">
        <v>172</v>
      </c>
      <c r="AU861" s="122" t="s">
        <v>186</v>
      </c>
      <c r="AV861" s="122" t="s">
        <v>141</v>
      </c>
      <c r="AW861" s="656" t="s">
        <v>4685</v>
      </c>
      <c r="AX861" s="111" t="s">
        <v>143</v>
      </c>
      <c r="AY861" s="61" t="str">
        <f>IFERROR(__xludf.DUMMYFUNCTION("vlookup(BB861,importrange(""https://docs.google.com/spreadsheets/d/1d2vevQ_7D_v35q4wCQ4RpQ_IPoTwEMB9Yp6ymwlPqew/edit?gid=984458430#gid=984458430"", ""'replication success'!A:K""), 11, FAlSE)"),"#N/A")</f>
        <v>#N/A</v>
      </c>
      <c r="AZ861" s="61" t="str">
        <f>IFERROR(__xludf.DUMMYFUNCTION("vlookup(BB861,importrange(""https://docs.google.com/spreadsheets/d/1d2vevQ_7D_v35q4wCQ4RpQ_IPoTwEMB9Yp6ymwlPqew/edit?gid=984458430#gid=984458430"", ""'replication success'!A:M""), 12, FAlSE)"),"#N/A")</f>
        <v>#N/A</v>
      </c>
      <c r="BA861" s="61" t="str">
        <f>IFERROR(__xludf.DUMMYFUNCTION("vlookup(BB861,importrange(""https://docs.google.com/spreadsheets/d/1d2vevQ_7D_v35q4wCQ4RpQ_IPoTwEMB9Yp6ymwlPqew/edit?gid=984458430#gid=984458430"", ""'replication success'!A:M""), 13, FAlSE)"),"#N/A")</f>
        <v>#N/A</v>
      </c>
      <c r="BB861" s="61" t="str">
        <f>IFERROR(__xludf.DUMMYFUNCTION("REGEXREPLACE(G861, ""_[a-z]{1,2}$"", """")"),"Boyce_etal2023143_1")</f>
        <v>Boyce_etal2023143_1</v>
      </c>
      <c r="BC861" s="71"/>
      <c r="BD861" s="111" t="s">
        <v>153</v>
      </c>
      <c r="BE861" s="71"/>
      <c r="BF861" s="71"/>
      <c r="BG861" s="71"/>
      <c r="BH861" s="71"/>
      <c r="BI861" s="71"/>
      <c r="BJ861" s="71"/>
      <c r="BK861" s="71"/>
      <c r="BL861" s="71"/>
      <c r="BM861" s="71"/>
      <c r="BN861" s="71"/>
      <c r="BO861" s="71"/>
      <c r="BP861" s="71"/>
      <c r="BQ861" s="71"/>
      <c r="BR861" s="71"/>
      <c r="BS861" s="71"/>
      <c r="BT861" s="71"/>
      <c r="BU861" s="71"/>
      <c r="BV861" s="71"/>
      <c r="BW861" s="71"/>
      <c r="BX861" s="71"/>
      <c r="BY861" s="71"/>
      <c r="BZ861" s="71"/>
      <c r="CA861" s="71"/>
      <c r="CB861" s="71"/>
      <c r="CC861" s="71"/>
      <c r="CD861" s="71"/>
      <c r="CE861" s="71"/>
      <c r="CF861" s="71"/>
      <c r="CG861" s="71"/>
      <c r="CH861" s="71"/>
      <c r="CI861" s="71"/>
      <c r="CJ861" s="71"/>
      <c r="CK861" s="71"/>
      <c r="CL861" s="71"/>
      <c r="CM861" s="71"/>
      <c r="CN861" s="71"/>
      <c r="CO861" s="71"/>
      <c r="CP861" s="71"/>
      <c r="CQ861" s="71"/>
      <c r="CR861" s="71"/>
      <c r="CS861" s="71"/>
      <c r="CT861" s="71"/>
      <c r="CU861" s="71"/>
      <c r="CV861" s="71"/>
      <c r="CW861" s="71"/>
      <c r="CX861" s="71"/>
      <c r="CY861" s="71"/>
      <c r="CZ861" s="71"/>
      <c r="DA861" s="71"/>
      <c r="DB861" s="71"/>
      <c r="DC861" s="71"/>
      <c r="DD861" s="71"/>
      <c r="DE861" s="71"/>
      <c r="DF861" s="71"/>
      <c r="DG861" s="71"/>
      <c r="DH861" s="71"/>
      <c r="DI861" s="71"/>
      <c r="DJ861" s="71"/>
      <c r="DK861" s="71"/>
      <c r="DL861" s="71"/>
    </row>
    <row r="862">
      <c r="A862" s="110">
        <v>862.0</v>
      </c>
      <c r="B862" s="147" t="s">
        <v>152</v>
      </c>
      <c r="C862" s="149" t="s">
        <v>115</v>
      </c>
      <c r="D862" s="149" t="s">
        <v>153</v>
      </c>
      <c r="E862" s="71"/>
      <c r="F862" s="111" t="s">
        <v>4672</v>
      </c>
      <c r="G862" s="112" t="s">
        <v>4690</v>
      </c>
      <c r="H862" s="122" t="s">
        <v>153</v>
      </c>
      <c r="I862" s="417">
        <v>45687.0</v>
      </c>
      <c r="J862" s="417">
        <v>45692.0</v>
      </c>
      <c r="K862" s="1121" t="s">
        <v>4691</v>
      </c>
      <c r="L862" s="147" t="s">
        <v>4679</v>
      </c>
      <c r="M862" s="122" t="s">
        <v>4673</v>
      </c>
      <c r="N862" s="122" t="s">
        <v>4674</v>
      </c>
      <c r="O862" s="537">
        <v>1.0</v>
      </c>
      <c r="P862" s="122" t="str">
        <f t="shared" si="37"/>
        <v>10.1093--workar--waac024.pdf</v>
      </c>
      <c r="Q862" s="1161" t="str">
        <f t="array" ref="Q862"> if(iserror(MATCH(V862, 'File Links'!C:C, 0)), "N/A", HYPERLINK(INDEX('File Links'!B:B, MATCH(P862, 'File Links'!C:C, 0))))</f>
        <v>https://drive.google.com/file/d/17KV68RT0MMeGKz0n7gj1Dsmt7YXSfvOC/view?usp=drivesdk</v>
      </c>
      <c r="R862" s="122" t="s">
        <v>3653</v>
      </c>
      <c r="S862" s="122" t="s">
        <v>3654</v>
      </c>
      <c r="T862" s="1163" t="s">
        <v>4680</v>
      </c>
      <c r="U862" s="537">
        <v>1.0</v>
      </c>
      <c r="V862" s="122" t="str">
        <f t="shared" si="46"/>
        <v>10.1098--rsos.231240.pdf</v>
      </c>
      <c r="W862" s="122" t="s">
        <v>3671</v>
      </c>
      <c r="X862" s="1162" t="str">
        <f t="array" ref="X862"> if(iserror(MATCH(V862, 'File Links'!C:C, 0)), "N/A", HYPERLINK(INDEX('File Links'!B:B, MATCH(V862, 'File Links'!C:C, 0))))</f>
        <v>https://drive.google.com/file/d/17gaf2Zy_ljFfcAEDk5L8GBnTl5i7RGJE/view?usp=drivesdk</v>
      </c>
      <c r="Y862" s="111"/>
      <c r="Z862" s="122" t="s">
        <v>226</v>
      </c>
      <c r="AA862" s="122" t="s">
        <v>4681</v>
      </c>
      <c r="AB862" s="122" t="s">
        <v>4682</v>
      </c>
      <c r="AC862" s="122" t="s">
        <v>4692</v>
      </c>
      <c r="AD862" s="122" t="s">
        <v>4693</v>
      </c>
      <c r="AE862" s="537">
        <v>6.0</v>
      </c>
      <c r="AF862" s="537">
        <v>555.0</v>
      </c>
      <c r="AG862" s="1109">
        <v>-0.45</v>
      </c>
      <c r="AH862" s="537" t="s">
        <v>987</v>
      </c>
      <c r="AI862" s="537" t="s">
        <v>140</v>
      </c>
      <c r="AJ862" s="1110">
        <v>0.05</v>
      </c>
      <c r="AK862" s="112" t="s">
        <v>172</v>
      </c>
      <c r="AL862" s="112" t="s">
        <v>136</v>
      </c>
      <c r="AM862" s="122" t="s">
        <v>141</v>
      </c>
      <c r="AN862" s="147" t="s">
        <v>138</v>
      </c>
      <c r="AO862" s="537">
        <v>150.0</v>
      </c>
      <c r="AP862" s="1109">
        <v>-1.3587</v>
      </c>
      <c r="AQ862" s="537" t="s">
        <v>987</v>
      </c>
      <c r="AR862" s="147" t="s">
        <v>4680</v>
      </c>
      <c r="AS862" s="537">
        <v>2.0E-4</v>
      </c>
      <c r="AT862" s="122" t="s">
        <v>172</v>
      </c>
      <c r="AU862" s="122" t="s">
        <v>186</v>
      </c>
      <c r="AV862" s="122" t="s">
        <v>141</v>
      </c>
      <c r="AW862" s="656" t="s">
        <v>4685</v>
      </c>
      <c r="AX862" s="111" t="s">
        <v>143</v>
      </c>
      <c r="AY862" s="61" t="str">
        <f>IFERROR(__xludf.DUMMYFUNCTION("vlookup(BB862,importrange(""https://docs.google.com/spreadsheets/d/1d2vevQ_7D_v35q4wCQ4RpQ_IPoTwEMB9Yp6ymwlPqew/edit?gid=984458430#gid=984458430"", ""'replication success'!A:K""), 11, FAlSE)"),"#N/A")</f>
        <v>#N/A</v>
      </c>
      <c r="AZ862" s="61" t="str">
        <f>IFERROR(__xludf.DUMMYFUNCTION("vlookup(BB862,importrange(""https://docs.google.com/spreadsheets/d/1d2vevQ_7D_v35q4wCQ4RpQ_IPoTwEMB9Yp6ymwlPqew/edit?gid=984458430#gid=984458430"", ""'replication success'!A:M""), 12, FAlSE)"),"#N/A")</f>
        <v>#N/A</v>
      </c>
      <c r="BA862" s="61" t="str">
        <f>IFERROR(__xludf.DUMMYFUNCTION("vlookup(BB862,importrange(""https://docs.google.com/spreadsheets/d/1d2vevQ_7D_v35q4wCQ4RpQ_IPoTwEMB9Yp6ymwlPqew/edit?gid=984458430#gid=984458430"", ""'replication success'!A:M""), 13, FAlSE)"),"#N/A")</f>
        <v>#N/A</v>
      </c>
      <c r="BB862" s="61" t="str">
        <f>IFERROR(__xludf.DUMMYFUNCTION("REGEXREPLACE(G862, ""_[a-z]{1,2}$"", """")"),"Boyce_etal2023143_1")</f>
        <v>Boyce_etal2023143_1</v>
      </c>
      <c r="BC862" s="71"/>
      <c r="BD862" s="111" t="s">
        <v>153</v>
      </c>
      <c r="BE862" s="71"/>
      <c r="BF862" s="71"/>
      <c r="BG862" s="71"/>
      <c r="BH862" s="71"/>
      <c r="BI862" s="71"/>
      <c r="BJ862" s="71"/>
      <c r="BK862" s="71"/>
      <c r="BL862" s="71"/>
      <c r="BM862" s="71"/>
      <c r="BN862" s="71"/>
      <c r="BO862" s="71"/>
      <c r="BP862" s="71"/>
      <c r="BQ862" s="71"/>
      <c r="BR862" s="71"/>
      <c r="BS862" s="71"/>
      <c r="BT862" s="71"/>
      <c r="BU862" s="71"/>
      <c r="BV862" s="71"/>
      <c r="BW862" s="71"/>
      <c r="BX862" s="71"/>
      <c r="BY862" s="71"/>
      <c r="BZ862" s="71"/>
      <c r="CA862" s="71"/>
      <c r="CB862" s="71"/>
      <c r="CC862" s="71"/>
      <c r="CD862" s="71"/>
      <c r="CE862" s="71"/>
      <c r="CF862" s="71"/>
      <c r="CG862" s="71"/>
      <c r="CH862" s="71"/>
      <c r="CI862" s="71"/>
      <c r="CJ862" s="71"/>
      <c r="CK862" s="71"/>
      <c r="CL862" s="71"/>
      <c r="CM862" s="71"/>
      <c r="CN862" s="71"/>
      <c r="CO862" s="71"/>
      <c r="CP862" s="71"/>
      <c r="CQ862" s="71"/>
      <c r="CR862" s="71"/>
      <c r="CS862" s="71"/>
      <c r="CT862" s="71"/>
      <c r="CU862" s="71"/>
      <c r="CV862" s="71"/>
      <c r="CW862" s="71"/>
      <c r="CX862" s="71"/>
      <c r="CY862" s="71"/>
      <c r="CZ862" s="71"/>
      <c r="DA862" s="71"/>
      <c r="DB862" s="71"/>
      <c r="DC862" s="71"/>
      <c r="DD862" s="71"/>
      <c r="DE862" s="71"/>
      <c r="DF862" s="71"/>
      <c r="DG862" s="71"/>
      <c r="DH862" s="71"/>
      <c r="DI862" s="71"/>
      <c r="DJ862" s="71"/>
      <c r="DK862" s="71"/>
      <c r="DL862" s="71"/>
    </row>
    <row r="863">
      <c r="A863" s="110">
        <v>863.0</v>
      </c>
      <c r="B863" s="147" t="s">
        <v>152</v>
      </c>
      <c r="C863" s="149" t="s">
        <v>115</v>
      </c>
      <c r="D863" s="149" t="s">
        <v>153</v>
      </c>
      <c r="E863" s="71"/>
      <c r="F863" s="111" t="s">
        <v>4672</v>
      </c>
      <c r="G863" s="112" t="s">
        <v>4694</v>
      </c>
      <c r="H863" s="122" t="s">
        <v>153</v>
      </c>
      <c r="I863" s="417">
        <v>45687.0</v>
      </c>
      <c r="J863" s="417">
        <v>45692.0</v>
      </c>
      <c r="K863" s="1121" t="s">
        <v>4695</v>
      </c>
      <c r="L863" s="147" t="s">
        <v>4679</v>
      </c>
      <c r="M863" s="122" t="s">
        <v>4673</v>
      </c>
      <c r="N863" s="122" t="s">
        <v>4674</v>
      </c>
      <c r="O863" s="537">
        <v>1.0</v>
      </c>
      <c r="P863" s="122" t="str">
        <f t="shared" si="37"/>
        <v>10.1093--workar--waac024.pdf</v>
      </c>
      <c r="Q863" s="1161" t="str">
        <f t="array" ref="Q863"> if(iserror(MATCH(V863, 'File Links'!C:C, 0)), "N/A", HYPERLINK(INDEX('File Links'!B:B, MATCH(P863, 'File Links'!C:C, 0))))</f>
        <v>https://drive.google.com/file/d/17KV68RT0MMeGKz0n7gj1Dsmt7YXSfvOC/view?usp=drivesdk</v>
      </c>
      <c r="R863" s="122" t="s">
        <v>3653</v>
      </c>
      <c r="S863" s="122" t="s">
        <v>3654</v>
      </c>
      <c r="T863" s="1163" t="s">
        <v>4680</v>
      </c>
      <c r="U863" s="537">
        <v>1.0</v>
      </c>
      <c r="V863" s="122" t="str">
        <f t="shared" si="46"/>
        <v>10.1098--rsos.231240.pdf</v>
      </c>
      <c r="W863" s="122" t="s">
        <v>3671</v>
      </c>
      <c r="X863" s="1162" t="str">
        <f t="array" ref="X863"> if(iserror(MATCH(V863, 'File Links'!C:C, 0)), "N/A", HYPERLINK(INDEX('File Links'!B:B, MATCH(V863, 'File Links'!C:C, 0))))</f>
        <v>https://drive.google.com/file/d/17gaf2Zy_ljFfcAEDk5L8GBnTl5i7RGJE/view?usp=drivesdk</v>
      </c>
      <c r="Y863" s="111"/>
      <c r="Z863" s="122" t="s">
        <v>226</v>
      </c>
      <c r="AA863" s="122" t="s">
        <v>4681</v>
      </c>
      <c r="AB863" s="122" t="s">
        <v>4682</v>
      </c>
      <c r="AC863" s="122" t="s">
        <v>4696</v>
      </c>
      <c r="AD863" s="122" t="s">
        <v>4697</v>
      </c>
      <c r="AE863" s="537">
        <v>6.0</v>
      </c>
      <c r="AF863" s="537">
        <v>555.0</v>
      </c>
      <c r="AG863" s="1109">
        <v>0.17</v>
      </c>
      <c r="AH863" s="537" t="s">
        <v>987</v>
      </c>
      <c r="AI863" s="537" t="s">
        <v>140</v>
      </c>
      <c r="AJ863" s="1110">
        <v>0.29</v>
      </c>
      <c r="AK863" s="112" t="s">
        <v>172</v>
      </c>
      <c r="AL863" s="112" t="s">
        <v>136</v>
      </c>
      <c r="AM863" s="111" t="s">
        <v>137</v>
      </c>
      <c r="AN863" s="147" t="s">
        <v>138</v>
      </c>
      <c r="AO863" s="537">
        <v>150.0</v>
      </c>
      <c r="AP863" s="1109">
        <v>0.4375</v>
      </c>
      <c r="AQ863" s="537" t="s">
        <v>987</v>
      </c>
      <c r="AR863" s="147" t="s">
        <v>4680</v>
      </c>
      <c r="AS863" s="537">
        <v>0.049</v>
      </c>
      <c r="AT863" s="122" t="s">
        <v>172</v>
      </c>
      <c r="AU863" s="122" t="s">
        <v>186</v>
      </c>
      <c r="AV863" s="122" t="s">
        <v>141</v>
      </c>
      <c r="AW863" s="656" t="s">
        <v>4685</v>
      </c>
      <c r="AX863" s="111" t="s">
        <v>143</v>
      </c>
      <c r="AY863" s="61" t="str">
        <f>IFERROR(__xludf.DUMMYFUNCTION("vlookup(BB863,importrange(""https://docs.google.com/spreadsheets/d/1d2vevQ_7D_v35q4wCQ4RpQ_IPoTwEMB9Yp6ymwlPqew/edit?gid=984458430#gid=984458430"", ""'replication success'!A:K""), 11, FAlSE)"),"#N/A")</f>
        <v>#N/A</v>
      </c>
      <c r="AZ863" s="61" t="str">
        <f>IFERROR(__xludf.DUMMYFUNCTION("vlookup(BB863,importrange(""https://docs.google.com/spreadsheets/d/1d2vevQ_7D_v35q4wCQ4RpQ_IPoTwEMB9Yp6ymwlPqew/edit?gid=984458430#gid=984458430"", ""'replication success'!A:M""), 12, FAlSE)"),"#N/A")</f>
        <v>#N/A</v>
      </c>
      <c r="BA863" s="61" t="str">
        <f>IFERROR(__xludf.DUMMYFUNCTION("vlookup(BB863,importrange(""https://docs.google.com/spreadsheets/d/1d2vevQ_7D_v35q4wCQ4RpQ_IPoTwEMB9Yp6ymwlPqew/edit?gid=984458430#gid=984458430"", ""'replication success'!A:M""), 13, FAlSE)"),"#N/A")</f>
        <v>#N/A</v>
      </c>
      <c r="BB863" s="61" t="str">
        <f>IFERROR(__xludf.DUMMYFUNCTION("REGEXREPLACE(G863, ""_[a-z]{1,2}$"", """")"),"Boyce_etal2023143_1")</f>
        <v>Boyce_etal2023143_1</v>
      </c>
      <c r="BC863" s="71"/>
      <c r="BD863" s="111" t="s">
        <v>153</v>
      </c>
      <c r="BE863" s="71"/>
      <c r="BF863" s="71"/>
      <c r="BG863" s="71"/>
      <c r="BH863" s="71"/>
      <c r="BI863" s="71"/>
      <c r="BJ863" s="71"/>
      <c r="BK863" s="71"/>
      <c r="BL863" s="71"/>
      <c r="BM863" s="71"/>
      <c r="BN863" s="71"/>
      <c r="BO863" s="71"/>
      <c r="BP863" s="71"/>
      <c r="BQ863" s="71"/>
      <c r="BR863" s="71"/>
      <c r="BS863" s="71"/>
      <c r="BT863" s="71"/>
      <c r="BU863" s="71"/>
      <c r="BV863" s="71"/>
      <c r="BW863" s="71"/>
      <c r="BX863" s="71"/>
      <c r="BY863" s="71"/>
      <c r="BZ863" s="71"/>
      <c r="CA863" s="71"/>
      <c r="CB863" s="71"/>
      <c r="CC863" s="71"/>
      <c r="CD863" s="71"/>
      <c r="CE863" s="71"/>
      <c r="CF863" s="71"/>
      <c r="CG863" s="71"/>
      <c r="CH863" s="71"/>
      <c r="CI863" s="71"/>
      <c r="CJ863" s="71"/>
      <c r="CK863" s="71"/>
      <c r="CL863" s="71"/>
      <c r="CM863" s="71"/>
      <c r="CN863" s="71"/>
      <c r="CO863" s="71"/>
      <c r="CP863" s="71"/>
      <c r="CQ863" s="71"/>
      <c r="CR863" s="71"/>
      <c r="CS863" s="71"/>
      <c r="CT863" s="71"/>
      <c r="CU863" s="71"/>
      <c r="CV863" s="71"/>
      <c r="CW863" s="71"/>
      <c r="CX863" s="71"/>
      <c r="CY863" s="71"/>
      <c r="CZ863" s="71"/>
      <c r="DA863" s="71"/>
      <c r="DB863" s="71"/>
      <c r="DC863" s="71"/>
      <c r="DD863" s="71"/>
      <c r="DE863" s="71"/>
      <c r="DF863" s="71"/>
      <c r="DG863" s="71"/>
      <c r="DH863" s="71"/>
      <c r="DI863" s="71"/>
      <c r="DJ863" s="71"/>
      <c r="DK863" s="71"/>
      <c r="DL863" s="71"/>
    </row>
    <row r="864">
      <c r="A864" s="110">
        <v>864.0</v>
      </c>
      <c r="B864" s="147" t="s">
        <v>152</v>
      </c>
      <c r="C864" s="149" t="s">
        <v>115</v>
      </c>
      <c r="D864" s="149" t="s">
        <v>153</v>
      </c>
      <c r="E864" s="71"/>
      <c r="F864" s="111" t="s">
        <v>4672</v>
      </c>
      <c r="G864" s="112" t="s">
        <v>4698</v>
      </c>
      <c r="H864" s="122" t="s">
        <v>153</v>
      </c>
      <c r="I864" s="417">
        <v>45687.0</v>
      </c>
      <c r="J864" s="417">
        <v>45692.0</v>
      </c>
      <c r="K864" s="1121" t="s">
        <v>4699</v>
      </c>
      <c r="L864" s="147" t="s">
        <v>4679</v>
      </c>
      <c r="M864" s="122" t="s">
        <v>4673</v>
      </c>
      <c r="N864" s="122" t="s">
        <v>4674</v>
      </c>
      <c r="O864" s="537">
        <v>1.0</v>
      </c>
      <c r="P864" s="122" t="str">
        <f t="shared" si="37"/>
        <v>10.1093--workar--waac024.pdf</v>
      </c>
      <c r="Q864" s="1161" t="str">
        <f t="array" ref="Q864"> if(iserror(MATCH(V864, 'File Links'!C:C, 0)), "N/A", HYPERLINK(INDEX('File Links'!B:B, MATCH(P864, 'File Links'!C:C, 0))))</f>
        <v>https://drive.google.com/file/d/17KV68RT0MMeGKz0n7gj1Dsmt7YXSfvOC/view?usp=drivesdk</v>
      </c>
      <c r="R864" s="122" t="s">
        <v>3653</v>
      </c>
      <c r="S864" s="122" t="s">
        <v>3654</v>
      </c>
      <c r="T864" s="1163" t="s">
        <v>4680</v>
      </c>
      <c r="U864" s="537">
        <v>1.0</v>
      </c>
      <c r="V864" s="122" t="str">
        <f t="shared" si="46"/>
        <v>10.1098--rsos.231240.pdf</v>
      </c>
      <c r="W864" s="122" t="s">
        <v>3671</v>
      </c>
      <c r="X864" s="1162" t="str">
        <f t="array" ref="X864"> if(iserror(MATCH(V864, 'File Links'!C:C, 0)), "N/A", HYPERLINK(INDEX('File Links'!B:B, MATCH(V864, 'File Links'!C:C, 0))))</f>
        <v>https://drive.google.com/file/d/17gaf2Zy_ljFfcAEDk5L8GBnTl5i7RGJE/view?usp=drivesdk</v>
      </c>
      <c r="Y864" s="111"/>
      <c r="Z864" s="122" t="s">
        <v>226</v>
      </c>
      <c r="AA864" s="122" t="s">
        <v>4681</v>
      </c>
      <c r="AB864" s="122" t="s">
        <v>4682</v>
      </c>
      <c r="AC864" s="122" t="s">
        <v>4700</v>
      </c>
      <c r="AD864" s="122" t="s">
        <v>4701</v>
      </c>
      <c r="AE864" s="1109">
        <v>7.0</v>
      </c>
      <c r="AF864" s="537">
        <v>555.0</v>
      </c>
      <c r="AG864" s="1109">
        <v>0.3</v>
      </c>
      <c r="AH864" s="537" t="s">
        <v>987</v>
      </c>
      <c r="AI864" s="1109" t="s">
        <v>132</v>
      </c>
      <c r="AJ864" s="1110">
        <v>0.06</v>
      </c>
      <c r="AK864" s="112" t="s">
        <v>172</v>
      </c>
      <c r="AL864" s="112" t="s">
        <v>136</v>
      </c>
      <c r="AM864" s="111" t="s">
        <v>137</v>
      </c>
      <c r="AN864" s="147" t="s">
        <v>138</v>
      </c>
      <c r="AO864" s="537">
        <v>150.0</v>
      </c>
      <c r="AP864" s="1109">
        <v>-0.25933</v>
      </c>
      <c r="AQ864" s="537" t="s">
        <v>987</v>
      </c>
      <c r="AR864" s="147" t="s">
        <v>4680</v>
      </c>
      <c r="AS864" s="537">
        <v>0.492</v>
      </c>
      <c r="AT864" s="122" t="s">
        <v>172</v>
      </c>
      <c r="AU864" s="122" t="s">
        <v>186</v>
      </c>
      <c r="AV864" s="122" t="s">
        <v>141</v>
      </c>
      <c r="AW864" s="656" t="s">
        <v>4685</v>
      </c>
      <c r="AX864" s="111" t="s">
        <v>143</v>
      </c>
      <c r="AY864" s="61" t="str">
        <f>IFERROR(__xludf.DUMMYFUNCTION("vlookup(BB864,importrange(""https://docs.google.com/spreadsheets/d/1d2vevQ_7D_v35q4wCQ4RpQ_IPoTwEMB9Yp6ymwlPqew/edit?gid=984458430#gid=984458430"", ""'replication success'!A:K""), 11, FAlSE)"),"#N/A")</f>
        <v>#N/A</v>
      </c>
      <c r="AZ864" s="61" t="str">
        <f>IFERROR(__xludf.DUMMYFUNCTION("vlookup(BB864,importrange(""https://docs.google.com/spreadsheets/d/1d2vevQ_7D_v35q4wCQ4RpQ_IPoTwEMB9Yp6ymwlPqew/edit?gid=984458430#gid=984458430"", ""'replication success'!A:M""), 12, FAlSE)"),"#N/A")</f>
        <v>#N/A</v>
      </c>
      <c r="BA864" s="61" t="str">
        <f>IFERROR(__xludf.DUMMYFUNCTION("vlookup(BB864,importrange(""https://docs.google.com/spreadsheets/d/1d2vevQ_7D_v35q4wCQ4RpQ_IPoTwEMB9Yp6ymwlPqew/edit?gid=984458430#gid=984458430"", ""'replication success'!A:M""), 13, FAlSE)"),"#N/A")</f>
        <v>#N/A</v>
      </c>
      <c r="BB864" s="61" t="str">
        <f>IFERROR(__xludf.DUMMYFUNCTION("REGEXREPLACE(G864, ""_[a-z]{1,2}$"", """")"),"Boyce_etal2023143_1")</f>
        <v>Boyce_etal2023143_1</v>
      </c>
      <c r="BC864" s="71"/>
      <c r="BD864" s="111" t="s">
        <v>153</v>
      </c>
      <c r="BE864" s="71"/>
      <c r="BF864" s="71"/>
      <c r="BG864" s="71"/>
      <c r="BH864" s="71"/>
      <c r="BI864" s="71"/>
      <c r="BJ864" s="71"/>
      <c r="BK864" s="71"/>
      <c r="BL864" s="71"/>
      <c r="BM864" s="71"/>
      <c r="BN864" s="71"/>
      <c r="BO864" s="71"/>
      <c r="BP864" s="71"/>
      <c r="BQ864" s="71"/>
      <c r="BR864" s="71"/>
      <c r="BS864" s="71"/>
      <c r="BT864" s="71"/>
      <c r="BU864" s="71"/>
      <c r="BV864" s="71"/>
      <c r="BW864" s="71"/>
      <c r="BX864" s="71"/>
      <c r="BY864" s="71"/>
      <c r="BZ864" s="71"/>
      <c r="CA864" s="71"/>
      <c r="CB864" s="71"/>
      <c r="CC864" s="71"/>
      <c r="CD864" s="71"/>
      <c r="CE864" s="71"/>
      <c r="CF864" s="71"/>
      <c r="CG864" s="71"/>
      <c r="CH864" s="71"/>
      <c r="CI864" s="71"/>
      <c r="CJ864" s="71"/>
      <c r="CK864" s="71"/>
      <c r="CL864" s="71"/>
      <c r="CM864" s="71"/>
      <c r="CN864" s="71"/>
      <c r="CO864" s="71"/>
      <c r="CP864" s="71"/>
      <c r="CQ864" s="71"/>
      <c r="CR864" s="71"/>
      <c r="CS864" s="71"/>
      <c r="CT864" s="71"/>
      <c r="CU864" s="71"/>
      <c r="CV864" s="71"/>
      <c r="CW864" s="71"/>
      <c r="CX864" s="71"/>
      <c r="CY864" s="71"/>
      <c r="CZ864" s="71"/>
      <c r="DA864" s="71"/>
      <c r="DB864" s="71"/>
      <c r="DC864" s="71"/>
      <c r="DD864" s="71"/>
      <c r="DE864" s="71"/>
      <c r="DF864" s="71"/>
      <c r="DG864" s="71"/>
      <c r="DH864" s="71"/>
      <c r="DI864" s="71"/>
      <c r="DJ864" s="71"/>
      <c r="DK864" s="71"/>
      <c r="DL864" s="71"/>
    </row>
    <row r="865">
      <c r="A865" s="639">
        <v>865.0</v>
      </c>
      <c r="B865" s="398" t="s">
        <v>114</v>
      </c>
      <c r="C865" s="397" t="s">
        <v>115</v>
      </c>
      <c r="D865" s="397" t="s">
        <v>248</v>
      </c>
      <c r="E865" s="220"/>
      <c r="F865" s="407" t="s">
        <v>4702</v>
      </c>
      <c r="G865" s="407" t="s">
        <v>4703</v>
      </c>
      <c r="H865" s="407" t="s">
        <v>249</v>
      </c>
      <c r="I865" s="400">
        <v>45671.0</v>
      </c>
      <c r="J865" s="400">
        <v>45692.0</v>
      </c>
      <c r="K865" s="398"/>
      <c r="L865" s="398" t="s">
        <v>4704</v>
      </c>
      <c r="M865" s="407" t="s">
        <v>4705</v>
      </c>
      <c r="N865" s="407" t="s">
        <v>4706</v>
      </c>
      <c r="O865" s="398"/>
      <c r="P865" s="407" t="str">
        <f t="shared" si="37"/>
        <v>10.1177--0956797611418350.pdf</v>
      </c>
      <c r="Q865" s="882" t="str">
        <f t="array" ref="Q865"> if(iserror(MATCH(V865, 'File Links'!C:C, 0)), "N/A", HYPERLINK(INDEX('File Links'!B:B, MATCH(P865, 'File Links'!C:C, 0))))</f>
        <v>https://drive.google.com/file/d/1R_WL0AExjMKiypoB7mKpQqeDlLTVOzbM/view?usp=drivesdk</v>
      </c>
      <c r="R865" s="407" t="s">
        <v>3653</v>
      </c>
      <c r="S865" s="407" t="s">
        <v>3654</v>
      </c>
      <c r="T865" s="398"/>
      <c r="U865" s="728">
        <v>1.0</v>
      </c>
      <c r="V865" s="407" t="str">
        <f t="shared" si="46"/>
        <v>10.1098--rsos.231240.pdf</v>
      </c>
      <c r="W865" s="407" t="s">
        <v>324</v>
      </c>
      <c r="X865" s="883" t="str">
        <f t="array" ref="X865"> if(iserror(MATCH(V865, 'File Links'!C:C, 0)), "N/A", HYPERLINK(INDEX('File Links'!B:B, MATCH(V865, 'File Links'!C:C, 0))))</f>
        <v>https://drive.google.com/file/d/17gaf2Zy_ljFfcAEDk5L8GBnTl5i7RGJE/view?usp=drivesdk</v>
      </c>
      <c r="Y865" s="398"/>
      <c r="Z865" s="407" t="s">
        <v>210</v>
      </c>
      <c r="AA865" s="398"/>
      <c r="AB865" s="407" t="s">
        <v>4426</v>
      </c>
      <c r="AC865" s="398"/>
      <c r="AD865" s="407" t="s">
        <v>4707</v>
      </c>
      <c r="AE865" s="1216">
        <v>1391.0</v>
      </c>
      <c r="AF865" s="728">
        <v>20.0</v>
      </c>
      <c r="AG865" s="644" t="s">
        <v>4708</v>
      </c>
      <c r="AH865" s="640" t="s">
        <v>134</v>
      </c>
      <c r="AI865" s="1217" t="s">
        <v>4709</v>
      </c>
      <c r="AJ865" s="1216">
        <v>1.0E-5</v>
      </c>
      <c r="AK865" s="407" t="s">
        <v>135</v>
      </c>
      <c r="AL865" s="407" t="s">
        <v>186</v>
      </c>
      <c r="AM865" s="640" t="s">
        <v>141</v>
      </c>
      <c r="AN865" s="631" t="s">
        <v>138</v>
      </c>
      <c r="AO865" s="728">
        <v>17.0</v>
      </c>
      <c r="AP865" s="728">
        <v>3.15158690186388</v>
      </c>
      <c r="AQ865" s="407" t="s">
        <v>173</v>
      </c>
      <c r="AR865" s="398"/>
      <c r="AS865" s="1218">
        <v>1.00409150080624E-9</v>
      </c>
      <c r="AT865" s="407" t="s">
        <v>172</v>
      </c>
      <c r="AU865" s="407" t="s">
        <v>186</v>
      </c>
      <c r="AV865" s="640" t="s">
        <v>141</v>
      </c>
      <c r="AW865" s="398"/>
      <c r="AX865" s="407" t="s">
        <v>143</v>
      </c>
      <c r="AY865" s="61" t="str">
        <f>IFERROR(__xludf.DUMMYFUNCTION("vlookup(BB865,importrange(""https://docs.google.com/spreadsheets/d/1d2vevQ_7D_v35q4wCQ4RpQ_IPoTwEMB9Yp6ymwlPqew/edit?gid=984458430#gid=984458430"", ""'replication success'!A:K""), 11, FAlSE)"),"#N/A")</f>
        <v>#N/A</v>
      </c>
      <c r="AZ865" s="61" t="str">
        <f>IFERROR(__xludf.DUMMYFUNCTION("vlookup(BB865,importrange(""https://docs.google.com/spreadsheets/d/1d2vevQ_7D_v35q4wCQ4RpQ_IPoTwEMB9Yp6ymwlPqew/edit?gid=984458430#gid=984458430"", ""'replication success'!A:M""), 12, FAlSE)"),"#N/A")</f>
        <v>#N/A</v>
      </c>
      <c r="BA865" s="61" t="str">
        <f>IFERROR(__xludf.DUMMYFUNCTION("vlookup(BB865,importrange(""https://docs.google.com/spreadsheets/d/1d2vevQ_7D_v35q4wCQ4RpQ_IPoTwEMB9Yp6ymwlPqew/edit?gid=984458430#gid=984458430"", ""'replication success'!A:M""), 13, FAlSE)"),"#N/A")</f>
        <v>#N/A</v>
      </c>
      <c r="BB865" s="61" t="str">
        <f>IFERROR(__xludf.DUMMYFUNCTION("REGEXREPLACE(G865, ""_[a-z]{1,2}$"", """")"),"Boyce_etal2023144_1")</f>
        <v>Boyce_etal2023144_1</v>
      </c>
      <c r="BC865" s="220"/>
      <c r="BD865" s="398" t="s">
        <v>153</v>
      </c>
      <c r="BE865" s="220"/>
      <c r="BF865" s="220"/>
      <c r="BG865" s="220"/>
      <c r="BH865" s="220"/>
      <c r="BI865" s="220"/>
      <c r="BJ865" s="220"/>
      <c r="BK865" s="220"/>
      <c r="BL865" s="220"/>
      <c r="BM865" s="220"/>
      <c r="BN865" s="220"/>
      <c r="BO865" s="220"/>
      <c r="BP865" s="220"/>
      <c r="BQ865" s="220"/>
      <c r="BR865" s="220"/>
      <c r="BS865" s="220"/>
      <c r="BT865" s="220"/>
      <c r="BU865" s="220"/>
      <c r="BV865" s="220"/>
      <c r="BW865" s="220"/>
      <c r="BX865" s="220"/>
      <c r="BY865" s="220"/>
      <c r="BZ865" s="220"/>
      <c r="CA865" s="220"/>
      <c r="CB865" s="220"/>
      <c r="CC865" s="220"/>
      <c r="CD865" s="220"/>
      <c r="CE865" s="220"/>
      <c r="CF865" s="220"/>
      <c r="CG865" s="220"/>
      <c r="CH865" s="220"/>
      <c r="CI865" s="220"/>
      <c r="CJ865" s="220"/>
      <c r="CK865" s="220"/>
      <c r="CL865" s="220"/>
      <c r="CM865" s="220"/>
      <c r="CN865" s="220"/>
      <c r="CO865" s="220"/>
      <c r="CP865" s="220"/>
      <c r="CQ865" s="220"/>
      <c r="CR865" s="220"/>
      <c r="CS865" s="220"/>
      <c r="CT865" s="220"/>
      <c r="CU865" s="220"/>
      <c r="CV865" s="220"/>
      <c r="CW865" s="220"/>
      <c r="CX865" s="220"/>
      <c r="CY865" s="220"/>
      <c r="CZ865" s="220"/>
      <c r="DA865" s="220"/>
      <c r="DB865" s="220"/>
      <c r="DC865" s="220"/>
      <c r="DD865" s="220"/>
      <c r="DE865" s="220"/>
      <c r="DF865" s="220"/>
      <c r="DG865" s="220"/>
      <c r="DH865" s="220"/>
      <c r="DI865" s="220"/>
      <c r="DJ865" s="220"/>
      <c r="DK865" s="220"/>
      <c r="DL865" s="220"/>
    </row>
    <row r="866">
      <c r="A866" s="639">
        <v>866.0</v>
      </c>
      <c r="B866" s="631" t="s">
        <v>152</v>
      </c>
      <c r="C866" s="397" t="s">
        <v>115</v>
      </c>
      <c r="D866" s="397" t="s">
        <v>153</v>
      </c>
      <c r="E866" s="220"/>
      <c r="F866" s="398" t="s">
        <v>4703</v>
      </c>
      <c r="G866" s="407" t="s">
        <v>4702</v>
      </c>
      <c r="H866" s="407" t="s">
        <v>153</v>
      </c>
      <c r="I866" s="400">
        <v>45687.0</v>
      </c>
      <c r="J866" s="400">
        <v>45692.0</v>
      </c>
      <c r="K866" s="1219" t="s">
        <v>4710</v>
      </c>
      <c r="L866" s="398"/>
      <c r="M866" s="407" t="s">
        <v>4705</v>
      </c>
      <c r="N866" s="407" t="s">
        <v>4706</v>
      </c>
      <c r="O866" s="728">
        <v>1.0</v>
      </c>
      <c r="P866" s="407" t="str">
        <f t="shared" si="37"/>
        <v>10.1177--0956797611418350.pdf</v>
      </c>
      <c r="Q866" s="882" t="str">
        <f t="array" ref="Q866"> if(iserror(MATCH(V866, 'File Links'!C:C, 0)), "N/A", HYPERLINK(INDEX('File Links'!B:B, MATCH(P866, 'File Links'!C:C, 0))))</f>
        <v>https://drive.google.com/file/d/1R_WL0AExjMKiypoB7mKpQqeDlLTVOzbM/view?usp=drivesdk</v>
      </c>
      <c r="R866" s="407" t="s">
        <v>3653</v>
      </c>
      <c r="S866" s="407" t="s">
        <v>3654</v>
      </c>
      <c r="T866" s="398"/>
      <c r="U866" s="728">
        <v>1.0</v>
      </c>
      <c r="V866" s="407" t="str">
        <f t="shared" si="46"/>
        <v>10.1098--rsos.231240.pdf</v>
      </c>
      <c r="W866" s="1220" t="s">
        <v>4711</v>
      </c>
      <c r="X866" s="883" t="str">
        <f t="array" ref="X866"> if(iserror(MATCH(V866, 'File Links'!C:C, 0)), "N/A", HYPERLINK(INDEX('File Links'!B:B, MATCH(V866, 'File Links'!C:C, 0))))</f>
        <v>https://drive.google.com/file/d/17gaf2Zy_ljFfcAEDk5L8GBnTl5i7RGJE/view?usp=drivesdk</v>
      </c>
      <c r="Y866" s="398"/>
      <c r="Z866" s="407" t="s">
        <v>947</v>
      </c>
      <c r="AA866" s="407" t="s">
        <v>4712</v>
      </c>
      <c r="AB866" s="407" t="s">
        <v>4713</v>
      </c>
      <c r="AC866" s="407" t="s">
        <v>4714</v>
      </c>
      <c r="AD866" s="407" t="s">
        <v>4715</v>
      </c>
      <c r="AE866" s="728">
        <v>3.0</v>
      </c>
      <c r="AF866" s="728">
        <v>20.0</v>
      </c>
      <c r="AG866" s="728">
        <v>0.71</v>
      </c>
      <c r="AH866" s="728" t="s">
        <v>874</v>
      </c>
      <c r="AI866" s="728" t="s">
        <v>217</v>
      </c>
      <c r="AJ866" s="770">
        <v>1.0E-6</v>
      </c>
      <c r="AK866" s="407" t="s">
        <v>135</v>
      </c>
      <c r="AL866" s="407" t="s">
        <v>186</v>
      </c>
      <c r="AM866" s="640" t="s">
        <v>141</v>
      </c>
      <c r="AN866" s="631" t="s">
        <v>138</v>
      </c>
      <c r="AO866" s="728">
        <v>17.0</v>
      </c>
      <c r="AP866" s="728">
        <v>0.91</v>
      </c>
      <c r="AQ866" s="728" t="s">
        <v>139</v>
      </c>
      <c r="AR866" s="770" t="s">
        <v>612</v>
      </c>
      <c r="AS866" s="728">
        <v>0.05</v>
      </c>
      <c r="AT866" s="407" t="s">
        <v>135</v>
      </c>
      <c r="AU866" s="407" t="s">
        <v>186</v>
      </c>
      <c r="AV866" s="640" t="s">
        <v>141</v>
      </c>
      <c r="AW866" s="409" t="s">
        <v>4716</v>
      </c>
      <c r="AX866" s="398" t="s">
        <v>151</v>
      </c>
      <c r="AY866" s="61" t="str">
        <f>IFERROR(__xludf.DUMMYFUNCTION("vlookup(BB866,importrange(""https://docs.google.com/spreadsheets/d/1d2vevQ_7D_v35q4wCQ4RpQ_IPoTwEMB9Yp6ymwlPqew/edit?gid=984458430#gid=984458430"", ""'replication success'!A:K""), 11, FAlSE)"),"#N/A")</f>
        <v>#N/A</v>
      </c>
      <c r="AZ866" s="61" t="str">
        <f>IFERROR(__xludf.DUMMYFUNCTION("vlookup(BB866,importrange(""https://docs.google.com/spreadsheets/d/1d2vevQ_7D_v35q4wCQ4RpQ_IPoTwEMB9Yp6ymwlPqew/edit?gid=984458430#gid=984458430"", ""'replication success'!A:M""), 12, FAlSE)"),"#N/A")</f>
        <v>#N/A</v>
      </c>
      <c r="BA866" s="61" t="str">
        <f>IFERROR(__xludf.DUMMYFUNCTION("vlookup(BB866,importrange(""https://docs.google.com/spreadsheets/d/1d2vevQ_7D_v35q4wCQ4RpQ_IPoTwEMB9Yp6ymwlPqew/edit?gid=984458430#gid=984458430"", ""'replication success'!A:M""), 13, FAlSE)"),"#N/A")</f>
        <v>#N/A</v>
      </c>
      <c r="BB866" s="61" t="str">
        <f>IFERROR(__xludf.DUMMYFUNCTION("REGEXREPLACE(G866, ""_[a-z]{1,2}$"", """")"),"Boyce_etal2023144")</f>
        <v>Boyce_etal2023144</v>
      </c>
      <c r="BC866" s="220"/>
      <c r="BD866" s="398" t="s">
        <v>153</v>
      </c>
      <c r="BE866" s="220"/>
      <c r="BF866" s="220"/>
      <c r="BG866" s="220"/>
      <c r="BH866" s="220"/>
      <c r="BI866" s="220"/>
      <c r="BJ866" s="220"/>
      <c r="BK866" s="220"/>
      <c r="BL866" s="220"/>
      <c r="BM866" s="220"/>
      <c r="BN866" s="220"/>
      <c r="BO866" s="220"/>
      <c r="BP866" s="220"/>
      <c r="BQ866" s="220"/>
      <c r="BR866" s="220"/>
      <c r="BS866" s="220"/>
      <c r="BT866" s="220"/>
      <c r="BU866" s="220"/>
      <c r="BV866" s="220"/>
      <c r="BW866" s="220"/>
      <c r="BX866" s="220"/>
      <c r="BY866" s="220"/>
      <c r="BZ866" s="220"/>
      <c r="CA866" s="220"/>
      <c r="CB866" s="220"/>
      <c r="CC866" s="220"/>
      <c r="CD866" s="220"/>
      <c r="CE866" s="220"/>
      <c r="CF866" s="220"/>
      <c r="CG866" s="220"/>
      <c r="CH866" s="220"/>
      <c r="CI866" s="220"/>
      <c r="CJ866" s="220"/>
      <c r="CK866" s="220"/>
      <c r="CL866" s="220"/>
      <c r="CM866" s="220"/>
      <c r="CN866" s="220"/>
      <c r="CO866" s="220"/>
      <c r="CP866" s="220"/>
      <c r="CQ866" s="220"/>
      <c r="CR866" s="220"/>
      <c r="CS866" s="220"/>
      <c r="CT866" s="220"/>
      <c r="CU866" s="220"/>
      <c r="CV866" s="220"/>
      <c r="CW866" s="220"/>
      <c r="CX866" s="220"/>
      <c r="CY866" s="220"/>
      <c r="CZ866" s="220"/>
      <c r="DA866" s="220"/>
      <c r="DB866" s="220"/>
      <c r="DC866" s="220"/>
      <c r="DD866" s="220"/>
      <c r="DE866" s="220"/>
      <c r="DF866" s="220"/>
      <c r="DG866" s="220"/>
      <c r="DH866" s="220"/>
      <c r="DI866" s="220"/>
      <c r="DJ866" s="220"/>
      <c r="DK866" s="220"/>
      <c r="DL866" s="220"/>
    </row>
    <row r="867">
      <c r="A867" s="689">
        <v>867.0</v>
      </c>
      <c r="B867" s="374" t="s">
        <v>152</v>
      </c>
      <c r="C867" s="188" t="s">
        <v>115</v>
      </c>
      <c r="D867" s="188" t="s">
        <v>248</v>
      </c>
      <c r="E867" s="189"/>
      <c r="F867" s="198" t="s">
        <v>4717</v>
      </c>
      <c r="G867" s="198" t="s">
        <v>4718</v>
      </c>
      <c r="H867" s="198" t="s">
        <v>249</v>
      </c>
      <c r="I867" s="191">
        <v>45671.0</v>
      </c>
      <c r="J867" s="191">
        <v>45692.0</v>
      </c>
      <c r="K867" s="369" t="s">
        <v>4719</v>
      </c>
      <c r="L867" s="190" t="s">
        <v>4720</v>
      </c>
      <c r="M867" s="198" t="s">
        <v>4721</v>
      </c>
      <c r="N867" s="198" t="s">
        <v>4722</v>
      </c>
      <c r="O867" s="190"/>
      <c r="P867" s="198" t="str">
        <f t="shared" si="37"/>
        <v>10.1177--0956797612445318.pdf</v>
      </c>
      <c r="Q867" s="1168" t="str">
        <f t="array" ref="Q867"> if(iserror(MATCH(V867, 'File Links'!C:C, 0)), "N/A", HYPERLINK(INDEX('File Links'!B:B, MATCH(P867, 'File Links'!C:C, 0))))</f>
        <v>https://drive.google.com/file/d/1a3fJ6JRdrPHSo50DdCUrYLisEZcHfG31/view?usp=drivesdk</v>
      </c>
      <c r="R867" s="198" t="s">
        <v>3653</v>
      </c>
      <c r="S867" s="198" t="s">
        <v>3654</v>
      </c>
      <c r="T867" s="190"/>
      <c r="U867" s="758">
        <v>1.0</v>
      </c>
      <c r="V867" s="198" t="str">
        <f t="shared" si="46"/>
        <v>10.1098--rsos.231240.pdf</v>
      </c>
      <c r="W867" s="198" t="s">
        <v>3665</v>
      </c>
      <c r="X867" s="1169" t="str">
        <f t="array" ref="X867"> if(iserror(MATCH(V867, 'File Links'!C:C, 0)), "N/A", HYPERLINK(INDEX('File Links'!B:B, MATCH(V867, 'File Links'!C:C, 0))))</f>
        <v>https://drive.google.com/file/d/17gaf2Zy_ljFfcAEDk5L8GBnTl5i7RGJE/view?usp=drivesdk</v>
      </c>
      <c r="Y867" s="190"/>
      <c r="Z867" s="198" t="s">
        <v>226</v>
      </c>
      <c r="AA867" s="1221" t="s">
        <v>4723</v>
      </c>
      <c r="AB867" s="1095" t="s">
        <v>4724</v>
      </c>
      <c r="AC867" s="1221" t="s">
        <v>4725</v>
      </c>
      <c r="AD867" s="198" t="s">
        <v>4726</v>
      </c>
      <c r="AE867" s="1187">
        <v>3.0</v>
      </c>
      <c r="AF867" s="758">
        <v>122.0</v>
      </c>
      <c r="AG867" s="758">
        <v>0.96</v>
      </c>
      <c r="AH867" s="198" t="s">
        <v>722</v>
      </c>
      <c r="AI867" s="1095" t="s">
        <v>217</v>
      </c>
      <c r="AJ867" s="758">
        <v>0.04</v>
      </c>
      <c r="AK867" s="198" t="s">
        <v>172</v>
      </c>
      <c r="AL867" s="198" t="s">
        <v>186</v>
      </c>
      <c r="AM867" s="198" t="s">
        <v>137</v>
      </c>
      <c r="AN867" s="374" t="s">
        <v>138</v>
      </c>
      <c r="AO867" s="758">
        <v>137.0</v>
      </c>
      <c r="AP867" s="758">
        <v>0.08</v>
      </c>
      <c r="AQ867" s="198" t="s">
        <v>987</v>
      </c>
      <c r="AR867" s="1153" t="s">
        <v>4120</v>
      </c>
      <c r="AS867" s="1222" t="s">
        <v>138</v>
      </c>
      <c r="AT867" s="374" t="s">
        <v>138</v>
      </c>
      <c r="AU867" s="198" t="s">
        <v>186</v>
      </c>
      <c r="AV867" s="198" t="s">
        <v>137</v>
      </c>
      <c r="AW867" s="374" t="s">
        <v>138</v>
      </c>
      <c r="AX867" s="198" t="s">
        <v>143</v>
      </c>
      <c r="AY867" s="61" t="str">
        <f>IFERROR(__xludf.DUMMYFUNCTION("vlookup(BB867,importrange(""https://docs.google.com/spreadsheets/d/1d2vevQ_7D_v35q4wCQ4RpQ_IPoTwEMB9Yp6ymwlPqew/edit?gid=984458430#gid=984458430"", ""'replication success'!A:K""), 11, FAlSE)"),"#N/A")</f>
        <v>#N/A</v>
      </c>
      <c r="AZ867" s="61" t="str">
        <f>IFERROR(__xludf.DUMMYFUNCTION("vlookup(BB867,importrange(""https://docs.google.com/spreadsheets/d/1d2vevQ_7D_v35q4wCQ4RpQ_IPoTwEMB9Yp6ymwlPqew/edit?gid=984458430#gid=984458430"", ""'replication success'!A:M""), 12, FAlSE)"),"#N/A")</f>
        <v>#N/A</v>
      </c>
      <c r="BA867" s="61" t="str">
        <f>IFERROR(__xludf.DUMMYFUNCTION("vlookup(BB867,importrange(""https://docs.google.com/spreadsheets/d/1d2vevQ_7D_v35q4wCQ4RpQ_IPoTwEMB9Yp6ymwlPqew/edit?gid=984458430#gid=984458430"", ""'replication success'!A:M""), 13, FAlSE)"),"#N/A")</f>
        <v>#N/A</v>
      </c>
      <c r="BB867" s="61" t="str">
        <f>IFERROR(__xludf.DUMMYFUNCTION("REGEXREPLACE(G867, ""_[a-z]{1,2}$"", """")"),"Boyce_etal2023145_1")</f>
        <v>Boyce_etal2023145_1</v>
      </c>
      <c r="BC867" s="189"/>
      <c r="BD867" s="190" t="s">
        <v>153</v>
      </c>
      <c r="BE867" s="189"/>
      <c r="BF867" s="189"/>
      <c r="BG867" s="189"/>
      <c r="BH867" s="189"/>
      <c r="BI867" s="189"/>
      <c r="BJ867" s="189"/>
      <c r="BK867" s="189"/>
      <c r="BL867" s="189"/>
      <c r="BM867" s="189"/>
      <c r="BN867" s="189"/>
      <c r="BO867" s="189"/>
      <c r="BP867" s="189"/>
      <c r="BQ867" s="189"/>
      <c r="BR867" s="189"/>
      <c r="BS867" s="189"/>
      <c r="BT867" s="189"/>
      <c r="BU867" s="189"/>
      <c r="BV867" s="189"/>
      <c r="BW867" s="189"/>
      <c r="BX867" s="189"/>
      <c r="BY867" s="189"/>
      <c r="BZ867" s="189"/>
      <c r="CA867" s="189"/>
      <c r="CB867" s="189"/>
      <c r="CC867" s="189"/>
      <c r="CD867" s="189"/>
      <c r="CE867" s="189"/>
      <c r="CF867" s="189"/>
      <c r="CG867" s="189"/>
      <c r="CH867" s="189"/>
      <c r="CI867" s="189"/>
      <c r="CJ867" s="189"/>
      <c r="CK867" s="189"/>
      <c r="CL867" s="189"/>
      <c r="CM867" s="189"/>
      <c r="CN867" s="189"/>
      <c r="CO867" s="189"/>
      <c r="CP867" s="189"/>
      <c r="CQ867" s="189"/>
      <c r="CR867" s="189"/>
      <c r="CS867" s="189"/>
      <c r="CT867" s="189"/>
      <c r="CU867" s="189"/>
      <c r="CV867" s="189"/>
      <c r="CW867" s="189"/>
      <c r="CX867" s="189"/>
      <c r="CY867" s="189"/>
      <c r="CZ867" s="189"/>
      <c r="DA867" s="189"/>
      <c r="DB867" s="189"/>
      <c r="DC867" s="189"/>
      <c r="DD867" s="189"/>
      <c r="DE867" s="189"/>
      <c r="DF867" s="189"/>
      <c r="DG867" s="189"/>
      <c r="DH867" s="189"/>
      <c r="DI867" s="189"/>
      <c r="DJ867" s="189"/>
      <c r="DK867" s="189"/>
      <c r="DL867" s="189"/>
    </row>
    <row r="868">
      <c r="A868" s="689">
        <v>868.0</v>
      </c>
      <c r="B868" s="190" t="s">
        <v>114</v>
      </c>
      <c r="C868" s="188" t="s">
        <v>115</v>
      </c>
      <c r="D868" s="188" t="s">
        <v>153</v>
      </c>
      <c r="E868" s="189"/>
      <c r="F868" s="190" t="s">
        <v>4718</v>
      </c>
      <c r="G868" s="198" t="s">
        <v>4717</v>
      </c>
      <c r="H868" s="198" t="s">
        <v>153</v>
      </c>
      <c r="I868" s="191">
        <v>45687.0</v>
      </c>
      <c r="J868" s="191">
        <v>45692.0</v>
      </c>
      <c r="K868" s="190"/>
      <c r="L868" s="190"/>
      <c r="M868" s="198" t="s">
        <v>4721</v>
      </c>
      <c r="N868" s="198" t="s">
        <v>4722</v>
      </c>
      <c r="O868" s="758">
        <v>1.0</v>
      </c>
      <c r="P868" s="198" t="str">
        <f t="shared" si="37"/>
        <v>10.1177--0956797612445318.pdf</v>
      </c>
      <c r="Q868" s="1168" t="str">
        <f t="array" ref="Q868"> if(iserror(MATCH(V868, 'File Links'!C:C, 0)), "N/A", HYPERLINK(INDEX('File Links'!B:B, MATCH(P868, 'File Links'!C:C, 0))))</f>
        <v>https://drive.google.com/file/d/1a3fJ6JRdrPHSo50DdCUrYLisEZcHfG31/view?usp=drivesdk</v>
      </c>
      <c r="R868" s="198" t="s">
        <v>3653</v>
      </c>
      <c r="S868" s="198" t="s">
        <v>3654</v>
      </c>
      <c r="T868" s="190"/>
      <c r="U868" s="758">
        <v>1.0</v>
      </c>
      <c r="V868" s="198" t="s">
        <v>3658</v>
      </c>
      <c r="W868" s="198" t="s">
        <v>3665</v>
      </c>
      <c r="X868" s="1169" t="str">
        <f t="array" ref="X868"> if(iserror(MATCH(V868, 'File Links'!C:C, 0)), "N/A", HYPERLINK(INDEX('File Links'!B:B, MATCH(V868, 'File Links'!C:C, 0))))</f>
        <v>https://drive.google.com/file/d/17gaf2Zy_ljFfcAEDk5L8GBnTl5i7RGJE/view?usp=drivesdk</v>
      </c>
      <c r="Y868" s="198" t="s">
        <v>3659</v>
      </c>
      <c r="Z868" s="190"/>
      <c r="AA868" s="1221" t="s">
        <v>4723</v>
      </c>
      <c r="AB868" s="1095" t="s">
        <v>4724</v>
      </c>
      <c r="AC868" s="1221" t="s">
        <v>4725</v>
      </c>
      <c r="AD868" s="198" t="s">
        <v>4726</v>
      </c>
      <c r="AE868" s="190"/>
      <c r="AF868" s="190"/>
      <c r="AG868" s="190"/>
      <c r="AH868" s="190"/>
      <c r="AI868" s="190"/>
      <c r="AJ868" s="190"/>
      <c r="AK868" s="190"/>
      <c r="AL868" s="190"/>
      <c r="AM868" s="190"/>
      <c r="AN868" s="374" t="s">
        <v>138</v>
      </c>
      <c r="AO868" s="190"/>
      <c r="AP868" s="190"/>
      <c r="AQ868" s="190"/>
      <c r="AR868" s="190"/>
      <c r="AS868" s="190"/>
      <c r="AT868" s="190"/>
      <c r="AU868" s="190"/>
      <c r="AV868" s="190"/>
      <c r="AW868" s="190"/>
      <c r="AX868" s="190"/>
      <c r="AY868" s="61" t="str">
        <f>IFERROR(__xludf.DUMMYFUNCTION("vlookup(BB868,importrange(""https://docs.google.com/spreadsheets/d/1d2vevQ_7D_v35q4wCQ4RpQ_IPoTwEMB9Yp6ymwlPqew/edit?gid=984458430#gid=984458430"", ""'replication success'!A:K""), 11, FAlSE)"),"#N/A")</f>
        <v>#N/A</v>
      </c>
      <c r="AZ868" s="61" t="str">
        <f>IFERROR(__xludf.DUMMYFUNCTION("vlookup(BB868,importrange(""https://docs.google.com/spreadsheets/d/1d2vevQ_7D_v35q4wCQ4RpQ_IPoTwEMB9Yp6ymwlPqew/edit?gid=984458430#gid=984458430"", ""'replication success'!A:M""), 12, FAlSE)"),"#N/A")</f>
        <v>#N/A</v>
      </c>
      <c r="BA868" s="61" t="str">
        <f>IFERROR(__xludf.DUMMYFUNCTION("vlookup(BB868,importrange(""https://docs.google.com/spreadsheets/d/1d2vevQ_7D_v35q4wCQ4RpQ_IPoTwEMB9Yp6ymwlPqew/edit?gid=984458430#gid=984458430"", ""'replication success'!A:M""), 13, FAlSE)"),"#N/A")</f>
        <v>#N/A</v>
      </c>
      <c r="BB868" s="61" t="str">
        <f>IFERROR(__xludf.DUMMYFUNCTION("REGEXREPLACE(G868, ""_[a-z]{1,2}$"", """")"),"Boyce_etal2023145")</f>
        <v>Boyce_etal2023145</v>
      </c>
      <c r="BC868" s="189"/>
      <c r="BD868" s="190" t="s">
        <v>153</v>
      </c>
      <c r="BE868" s="189"/>
      <c r="BF868" s="189"/>
      <c r="BG868" s="189"/>
      <c r="BH868" s="189"/>
      <c r="BI868" s="189"/>
      <c r="BJ868" s="189"/>
      <c r="BK868" s="189"/>
      <c r="BL868" s="189"/>
      <c r="BM868" s="189"/>
      <c r="BN868" s="189"/>
      <c r="BO868" s="189"/>
      <c r="BP868" s="189"/>
      <c r="BQ868" s="189"/>
      <c r="BR868" s="189"/>
      <c r="BS868" s="189"/>
      <c r="BT868" s="189"/>
      <c r="BU868" s="189"/>
      <c r="BV868" s="189"/>
      <c r="BW868" s="189"/>
      <c r="BX868" s="189"/>
      <c r="BY868" s="189"/>
      <c r="BZ868" s="189"/>
      <c r="CA868" s="189"/>
      <c r="CB868" s="189"/>
      <c r="CC868" s="189"/>
      <c r="CD868" s="189"/>
      <c r="CE868" s="189"/>
      <c r="CF868" s="189"/>
      <c r="CG868" s="189"/>
      <c r="CH868" s="189"/>
      <c r="CI868" s="189"/>
      <c r="CJ868" s="189"/>
      <c r="CK868" s="189"/>
      <c r="CL868" s="189"/>
      <c r="CM868" s="189"/>
      <c r="CN868" s="189"/>
      <c r="CO868" s="189"/>
      <c r="CP868" s="189"/>
      <c r="CQ868" s="189"/>
      <c r="CR868" s="189"/>
      <c r="CS868" s="189"/>
      <c r="CT868" s="189"/>
      <c r="CU868" s="189"/>
      <c r="CV868" s="189"/>
      <c r="CW868" s="189"/>
      <c r="CX868" s="189"/>
      <c r="CY868" s="189"/>
      <c r="CZ868" s="189"/>
      <c r="DA868" s="189"/>
      <c r="DB868" s="189"/>
      <c r="DC868" s="189"/>
      <c r="DD868" s="189"/>
      <c r="DE868" s="189"/>
      <c r="DF868" s="189"/>
      <c r="DG868" s="189"/>
      <c r="DH868" s="189"/>
      <c r="DI868" s="189"/>
      <c r="DJ868" s="189"/>
      <c r="DK868" s="189"/>
      <c r="DL868" s="189"/>
    </row>
    <row r="869">
      <c r="A869" s="561">
        <v>869.0</v>
      </c>
      <c r="B869" s="1032" t="s">
        <v>114</v>
      </c>
      <c r="C869" s="538" t="s">
        <v>115</v>
      </c>
      <c r="D869" s="538" t="s">
        <v>248</v>
      </c>
      <c r="E869" s="539"/>
      <c r="F869" s="1018" t="s">
        <v>4727</v>
      </c>
      <c r="G869" s="1018" t="s">
        <v>4728</v>
      </c>
      <c r="H869" s="1018" t="s">
        <v>249</v>
      </c>
      <c r="I869" s="1045">
        <v>45671.0</v>
      </c>
      <c r="J869" s="1045">
        <v>45692.0</v>
      </c>
      <c r="K869" s="1206" t="s">
        <v>4729</v>
      </c>
      <c r="L869" s="1032"/>
      <c r="M869" s="1018" t="s">
        <v>4730</v>
      </c>
      <c r="N869" s="1018" t="s">
        <v>4731</v>
      </c>
      <c r="O869" s="1032"/>
      <c r="P869" s="1018" t="str">
        <f t="shared" si="37"/>
        <v>10.1177--0956797616662271.pdf</v>
      </c>
      <c r="Q869" s="1207" t="str">
        <f t="array" ref="Q869"> if(iserror(MATCH(V869, 'File Links'!C:C, 0)), "N/A", HYPERLINK(INDEX('File Links'!B:B, MATCH(P869, 'File Links'!C:C, 0))))</f>
        <v>https://drive.google.com/file/d/144ul3eCkiKHuL75LCKm6YabVN-pgBX8u/view?usp=drivesdk</v>
      </c>
      <c r="R869" s="1018" t="s">
        <v>3653</v>
      </c>
      <c r="S869" s="1018" t="s">
        <v>3654</v>
      </c>
      <c r="T869" s="1032"/>
      <c r="U869" s="1047">
        <v>1.0</v>
      </c>
      <c r="V869" s="1018" t="str">
        <f t="shared" ref="V869:V885" si="47"> hyperlink(vlookup(lower(S869),#REF!, 2, FALSE), SUBSTITUTE(lower(S869), "/", "--") &amp;  ".pdf")</f>
        <v>10.1098--rsos.231240.pdf</v>
      </c>
      <c r="W869" s="1018" t="s">
        <v>3665</v>
      </c>
      <c r="X869" s="1208" t="str">
        <f t="array" ref="X869"> if(iserror(MATCH(V869, 'File Links'!C:C, 0)), "N/A", HYPERLINK(INDEX('File Links'!B:B, MATCH(V869, 'File Links'!C:C, 0))))</f>
        <v>https://drive.google.com/file/d/17gaf2Zy_ljFfcAEDk5L8GBnTl5i7RGJE/view?usp=drivesdk</v>
      </c>
      <c r="Y869" s="1032"/>
      <c r="Z869" s="1018" t="s">
        <v>148</v>
      </c>
      <c r="AA869" s="1032"/>
      <c r="AB869" s="1018" t="s">
        <v>4732</v>
      </c>
      <c r="AC869" s="1032"/>
      <c r="AD869" s="1018" t="s">
        <v>4733</v>
      </c>
      <c r="AE869" s="1047">
        <v>5.0</v>
      </c>
      <c r="AF869" s="1047">
        <v>106.0</v>
      </c>
      <c r="AG869" s="1047">
        <v>0.124354626824745</v>
      </c>
      <c r="AH869" s="1018" t="s">
        <v>173</v>
      </c>
      <c r="AI869" s="1018" t="s">
        <v>4734</v>
      </c>
      <c r="AJ869" s="1047">
        <v>0.052</v>
      </c>
      <c r="AK869" s="1018" t="s">
        <v>172</v>
      </c>
      <c r="AL869" s="1018" t="s">
        <v>186</v>
      </c>
      <c r="AM869" s="1018" t="s">
        <v>141</v>
      </c>
      <c r="AN869" s="1210" t="s">
        <v>138</v>
      </c>
      <c r="AO869" s="1047">
        <v>158.0</v>
      </c>
      <c r="AP869" s="1047">
        <v>0.110133361942926</v>
      </c>
      <c r="AQ869" s="1018" t="s">
        <v>173</v>
      </c>
      <c r="AR869" s="1032"/>
      <c r="AS869" s="1047">
        <v>0.169558754526223</v>
      </c>
      <c r="AT869" s="1018" t="s">
        <v>172</v>
      </c>
      <c r="AU869" s="1018" t="s">
        <v>186</v>
      </c>
      <c r="AV869" s="1018" t="s">
        <v>141</v>
      </c>
      <c r="AW869" s="1032"/>
      <c r="AX869" s="1018" t="s">
        <v>143</v>
      </c>
      <c r="AY869" s="61" t="str">
        <f>IFERROR(__xludf.DUMMYFUNCTION("vlookup(BB869,importrange(""https://docs.google.com/spreadsheets/d/1d2vevQ_7D_v35q4wCQ4RpQ_IPoTwEMB9Yp6ymwlPqew/edit?gid=984458430#gid=984458430"", ""'replication success'!A:K""), 11, FAlSE)"),"#N/A")</f>
        <v>#N/A</v>
      </c>
      <c r="AZ869" s="61" t="str">
        <f>IFERROR(__xludf.DUMMYFUNCTION("vlookup(BB869,importrange(""https://docs.google.com/spreadsheets/d/1d2vevQ_7D_v35q4wCQ4RpQ_IPoTwEMB9Yp6ymwlPqew/edit?gid=984458430#gid=984458430"", ""'replication success'!A:M""), 12, FAlSE)"),"#N/A")</f>
        <v>#N/A</v>
      </c>
      <c r="BA869" s="61" t="str">
        <f>IFERROR(__xludf.DUMMYFUNCTION("vlookup(BB869,importrange(""https://docs.google.com/spreadsheets/d/1d2vevQ_7D_v35q4wCQ4RpQ_IPoTwEMB9Yp6ymwlPqew/edit?gid=984458430#gid=984458430"", ""'replication success'!A:M""), 13, FAlSE)"),"#N/A")</f>
        <v>#N/A</v>
      </c>
      <c r="BB869" s="61" t="str">
        <f>IFERROR(__xludf.DUMMYFUNCTION("REGEXREPLACE(G869, ""_[a-z]{1,2}$"", """")"),"Boyce_etal2023146_1")</f>
        <v>Boyce_etal2023146_1</v>
      </c>
      <c r="BC869" s="539"/>
      <c r="BD869" s="1032" t="s">
        <v>153</v>
      </c>
      <c r="BE869" s="539"/>
      <c r="BF869" s="539"/>
      <c r="BG869" s="539"/>
      <c r="BH869" s="539"/>
      <c r="BI869" s="539"/>
      <c r="BJ869" s="539"/>
      <c r="BK869" s="539"/>
      <c r="BL869" s="539"/>
      <c r="BM869" s="539"/>
      <c r="BN869" s="539"/>
      <c r="BO869" s="539"/>
      <c r="BP869" s="539"/>
      <c r="BQ869" s="539"/>
      <c r="BR869" s="539"/>
      <c r="BS869" s="539"/>
      <c r="BT869" s="539"/>
      <c r="BU869" s="539"/>
      <c r="BV869" s="539"/>
      <c r="BW869" s="539"/>
      <c r="BX869" s="539"/>
      <c r="BY869" s="539"/>
      <c r="BZ869" s="539"/>
      <c r="CA869" s="539"/>
      <c r="CB869" s="539"/>
      <c r="CC869" s="539"/>
      <c r="CD869" s="539"/>
      <c r="CE869" s="539"/>
      <c r="CF869" s="539"/>
      <c r="CG869" s="539"/>
      <c r="CH869" s="539"/>
      <c r="CI869" s="539"/>
      <c r="CJ869" s="539"/>
      <c r="CK869" s="539"/>
      <c r="CL869" s="539"/>
      <c r="CM869" s="539"/>
      <c r="CN869" s="539"/>
      <c r="CO869" s="539"/>
      <c r="CP869" s="539"/>
      <c r="CQ869" s="539"/>
      <c r="CR869" s="539"/>
      <c r="CS869" s="539"/>
      <c r="CT869" s="539"/>
      <c r="CU869" s="539"/>
      <c r="CV869" s="539"/>
      <c r="CW869" s="539"/>
      <c r="CX869" s="539"/>
      <c r="CY869" s="539"/>
      <c r="CZ869" s="539"/>
      <c r="DA869" s="539"/>
      <c r="DB869" s="539"/>
      <c r="DC869" s="539"/>
      <c r="DD869" s="539"/>
      <c r="DE869" s="539"/>
      <c r="DF869" s="539"/>
      <c r="DG869" s="539"/>
      <c r="DH869" s="539"/>
      <c r="DI869" s="539"/>
      <c r="DJ869" s="539"/>
      <c r="DK869" s="539"/>
      <c r="DL869" s="539"/>
    </row>
    <row r="870">
      <c r="A870" s="561">
        <v>870.0</v>
      </c>
      <c r="B870" s="374" t="s">
        <v>152</v>
      </c>
      <c r="C870" s="538" t="s">
        <v>115</v>
      </c>
      <c r="D870" s="538" t="s">
        <v>248</v>
      </c>
      <c r="E870" s="539"/>
      <c r="F870" s="1018" t="s">
        <v>4727</v>
      </c>
      <c r="G870" s="1018" t="s">
        <v>4735</v>
      </c>
      <c r="H870" s="1018" t="s">
        <v>249</v>
      </c>
      <c r="I870" s="1045">
        <v>45671.0</v>
      </c>
      <c r="J870" s="1045">
        <v>45692.0</v>
      </c>
      <c r="K870" s="1206" t="s">
        <v>4736</v>
      </c>
      <c r="L870" s="1032" t="s">
        <v>4737</v>
      </c>
      <c r="M870" s="1018" t="s">
        <v>4730</v>
      </c>
      <c r="N870" s="1018" t="s">
        <v>4731</v>
      </c>
      <c r="O870" s="1047">
        <v>2.0</v>
      </c>
      <c r="P870" s="1018" t="str">
        <f t="shared" si="37"/>
        <v>10.1177--0956797616662271.pdf</v>
      </c>
      <c r="Q870" s="1207" t="str">
        <f t="array" ref="Q870"> if(iserror(MATCH(V870, 'File Links'!C:C, 0)), "N/A", HYPERLINK(INDEX('File Links'!B:B, MATCH(P870, 'File Links'!C:C, 0))))</f>
        <v>https://drive.google.com/file/d/144ul3eCkiKHuL75LCKm6YabVN-pgBX8u/view?usp=drivesdk</v>
      </c>
      <c r="R870" s="1018" t="s">
        <v>3653</v>
      </c>
      <c r="S870" s="1018" t="s">
        <v>3654</v>
      </c>
      <c r="T870" s="1223" t="s">
        <v>4738</v>
      </c>
      <c r="U870" s="1047">
        <v>1.0</v>
      </c>
      <c r="V870" s="1018" t="str">
        <f t="shared" si="47"/>
        <v>10.1098--rsos.231240.pdf</v>
      </c>
      <c r="W870" s="1018" t="s">
        <v>3671</v>
      </c>
      <c r="X870" s="1208" t="str">
        <f t="array" ref="X870"> if(iserror(MATCH(V870, 'File Links'!C:C, 0)), "N/A", HYPERLINK(INDEX('File Links'!B:B, MATCH(V870, 'File Links'!C:C, 0))))</f>
        <v>https://drive.google.com/file/d/17gaf2Zy_ljFfcAEDk5L8GBnTl5i7RGJE/view?usp=drivesdk</v>
      </c>
      <c r="Y870" s="1032"/>
      <c r="Z870" s="1018" t="s">
        <v>148</v>
      </c>
      <c r="AA870" s="1224" t="s">
        <v>4739</v>
      </c>
      <c r="AB870" s="1224" t="s">
        <v>4740</v>
      </c>
      <c r="AC870" s="1224" t="s">
        <v>4741</v>
      </c>
      <c r="AD870" s="1224" t="s">
        <v>4742</v>
      </c>
      <c r="AE870" s="1047">
        <v>3.0</v>
      </c>
      <c r="AF870" s="1047">
        <v>70.0</v>
      </c>
      <c r="AG870" s="1047">
        <v>0.43</v>
      </c>
      <c r="AH870" s="1018" t="s">
        <v>173</v>
      </c>
      <c r="AI870" s="1224" t="s">
        <v>217</v>
      </c>
      <c r="AJ870" s="1047">
        <v>0.001</v>
      </c>
      <c r="AK870" s="1018" t="s">
        <v>172</v>
      </c>
      <c r="AL870" s="1018" t="s">
        <v>136</v>
      </c>
      <c r="AM870" s="1018" t="s">
        <v>137</v>
      </c>
      <c r="AN870" s="1210" t="s">
        <v>138</v>
      </c>
      <c r="AO870" s="1047">
        <v>61.0</v>
      </c>
      <c r="AP870" s="1047">
        <v>0.199479675552594</v>
      </c>
      <c r="AQ870" s="1018" t="s">
        <v>173</v>
      </c>
      <c r="AR870" s="1153" t="s">
        <v>4120</v>
      </c>
      <c r="AS870" s="1047">
        <v>0.127565381522381</v>
      </c>
      <c r="AT870" s="1018" t="s">
        <v>172</v>
      </c>
      <c r="AU870" s="1018" t="s">
        <v>186</v>
      </c>
      <c r="AV870" s="1018" t="s">
        <v>141</v>
      </c>
      <c r="AW870" s="1033" t="s">
        <v>4743</v>
      </c>
      <c r="AX870" s="1018" t="s">
        <v>143</v>
      </c>
      <c r="AY870" s="61" t="str">
        <f>IFERROR(__xludf.DUMMYFUNCTION("vlookup(BB870,importrange(""https://docs.google.com/spreadsheets/d/1d2vevQ_7D_v35q4wCQ4RpQ_IPoTwEMB9Yp6ymwlPqew/edit?gid=984458430#gid=984458430"", ""'replication success'!A:K""), 11, FAlSE)"),"#N/A")</f>
        <v>#N/A</v>
      </c>
      <c r="AZ870" s="61" t="str">
        <f>IFERROR(__xludf.DUMMYFUNCTION("vlookup(BB870,importrange(""https://docs.google.com/spreadsheets/d/1d2vevQ_7D_v35q4wCQ4RpQ_IPoTwEMB9Yp6ymwlPqew/edit?gid=984458430#gid=984458430"", ""'replication success'!A:M""), 12, FAlSE)"),"#N/A")</f>
        <v>#N/A</v>
      </c>
      <c r="BA870" s="61" t="str">
        <f>IFERROR(__xludf.DUMMYFUNCTION("vlookup(BB870,importrange(""https://docs.google.com/spreadsheets/d/1d2vevQ_7D_v35q4wCQ4RpQ_IPoTwEMB9Yp6ymwlPqew/edit?gid=984458430#gid=984458430"", ""'replication success'!A:M""), 13, FAlSE)"),"#N/A")</f>
        <v>#N/A</v>
      </c>
      <c r="BB870" s="61" t="str">
        <f>IFERROR(__xludf.DUMMYFUNCTION("REGEXREPLACE(G870, ""_[a-z]{1,2}$"", """")"),"Boyce_etal2023146_1")</f>
        <v>Boyce_etal2023146_1</v>
      </c>
      <c r="BC870" s="539"/>
      <c r="BD870" s="1032" t="s">
        <v>153</v>
      </c>
      <c r="BE870" s="539"/>
      <c r="BF870" s="539"/>
      <c r="BG870" s="539"/>
      <c r="BH870" s="539"/>
      <c r="BI870" s="539"/>
      <c r="BJ870" s="539"/>
      <c r="BK870" s="539"/>
      <c r="BL870" s="539"/>
      <c r="BM870" s="539"/>
      <c r="BN870" s="539"/>
      <c r="BO870" s="539"/>
      <c r="BP870" s="539"/>
      <c r="BQ870" s="539"/>
      <c r="BR870" s="539"/>
      <c r="BS870" s="539"/>
      <c r="BT870" s="539"/>
      <c r="BU870" s="539"/>
      <c r="BV870" s="539"/>
      <c r="BW870" s="539"/>
      <c r="BX870" s="539"/>
      <c r="BY870" s="539"/>
      <c r="BZ870" s="539"/>
      <c r="CA870" s="539"/>
      <c r="CB870" s="539"/>
      <c r="CC870" s="539"/>
      <c r="CD870" s="539"/>
      <c r="CE870" s="539"/>
      <c r="CF870" s="539"/>
      <c r="CG870" s="539"/>
      <c r="CH870" s="539"/>
      <c r="CI870" s="539"/>
      <c r="CJ870" s="539"/>
      <c r="CK870" s="539"/>
      <c r="CL870" s="539"/>
      <c r="CM870" s="539"/>
      <c r="CN870" s="539"/>
      <c r="CO870" s="539"/>
      <c r="CP870" s="539"/>
      <c r="CQ870" s="539"/>
      <c r="CR870" s="539"/>
      <c r="CS870" s="539"/>
      <c r="CT870" s="539"/>
      <c r="CU870" s="539"/>
      <c r="CV870" s="539"/>
      <c r="CW870" s="539"/>
      <c r="CX870" s="539"/>
      <c r="CY870" s="539"/>
      <c r="CZ870" s="539"/>
      <c r="DA870" s="539"/>
      <c r="DB870" s="539"/>
      <c r="DC870" s="539"/>
      <c r="DD870" s="539"/>
      <c r="DE870" s="539"/>
      <c r="DF870" s="539"/>
      <c r="DG870" s="539"/>
      <c r="DH870" s="539"/>
      <c r="DI870" s="539"/>
      <c r="DJ870" s="539"/>
      <c r="DK870" s="539"/>
      <c r="DL870" s="539"/>
    </row>
    <row r="871">
      <c r="A871" s="561">
        <v>871.0</v>
      </c>
      <c r="B871" s="374" t="s">
        <v>152</v>
      </c>
      <c r="C871" s="538" t="s">
        <v>115</v>
      </c>
      <c r="D871" s="538" t="s">
        <v>153</v>
      </c>
      <c r="E871" s="539"/>
      <c r="F871" s="1032" t="s">
        <v>4728</v>
      </c>
      <c r="G871" s="1018" t="s">
        <v>4744</v>
      </c>
      <c r="H871" s="1018" t="s">
        <v>153</v>
      </c>
      <c r="I871" s="1045">
        <v>45687.0</v>
      </c>
      <c r="J871" s="1045">
        <v>45692.0</v>
      </c>
      <c r="K871" s="1212" t="s">
        <v>4745</v>
      </c>
      <c r="L871" s="1032"/>
      <c r="M871" s="1018" t="s">
        <v>4730</v>
      </c>
      <c r="N871" s="1018" t="s">
        <v>4731</v>
      </c>
      <c r="O871" s="1047">
        <v>2.0</v>
      </c>
      <c r="P871" s="1018" t="str">
        <f t="shared" si="37"/>
        <v>10.1177--0956797616662271.pdf</v>
      </c>
      <c r="Q871" s="1207" t="str">
        <f t="array" ref="Q871"> if(iserror(MATCH(V871, 'File Links'!C:C, 0)), "N/A", HYPERLINK(INDEX('File Links'!B:B, MATCH(P871, 'File Links'!C:C, 0))))</f>
        <v>https://drive.google.com/file/d/144ul3eCkiKHuL75LCKm6YabVN-pgBX8u/view?usp=drivesdk</v>
      </c>
      <c r="R871" s="1018" t="s">
        <v>3653</v>
      </c>
      <c r="S871" s="1018" t="s">
        <v>3654</v>
      </c>
      <c r="T871" s="1223" t="s">
        <v>4738</v>
      </c>
      <c r="U871" s="1047">
        <v>1.0</v>
      </c>
      <c r="V871" s="1018" t="str">
        <f t="shared" si="47"/>
        <v>10.1098--rsos.231240.pdf</v>
      </c>
      <c r="W871" s="1018" t="s">
        <v>3671</v>
      </c>
      <c r="X871" s="1208" t="str">
        <f t="array" ref="X871"> if(iserror(MATCH(V871, 'File Links'!C:C, 0)), "N/A", HYPERLINK(INDEX('File Links'!B:B, MATCH(V871, 'File Links'!C:C, 0))))</f>
        <v>https://drive.google.com/file/d/17gaf2Zy_ljFfcAEDk5L8GBnTl5i7RGJE/view?usp=drivesdk</v>
      </c>
      <c r="Y871" s="1032"/>
      <c r="Z871" s="1018" t="s">
        <v>148</v>
      </c>
      <c r="AA871" s="1018" t="s">
        <v>4739</v>
      </c>
      <c r="AB871" s="1018" t="s">
        <v>4740</v>
      </c>
      <c r="AC871" s="1018" t="s">
        <v>4746</v>
      </c>
      <c r="AD871" s="1018" t="s">
        <v>4747</v>
      </c>
      <c r="AE871" s="1047">
        <v>5.0</v>
      </c>
      <c r="AF871" s="1047">
        <v>106.0</v>
      </c>
      <c r="AG871" s="1047">
        <v>0.051</v>
      </c>
      <c r="AH871" s="1047" t="s">
        <v>874</v>
      </c>
      <c r="AI871" s="1047" t="s">
        <v>813</v>
      </c>
      <c r="AJ871" s="1047">
        <v>0.004</v>
      </c>
      <c r="AK871" s="1018" t="s">
        <v>172</v>
      </c>
      <c r="AL871" s="1018" t="s">
        <v>186</v>
      </c>
      <c r="AM871" s="1018" t="s">
        <v>141</v>
      </c>
      <c r="AN871" s="1210" t="s">
        <v>138</v>
      </c>
      <c r="AO871" s="1047">
        <v>158.0</v>
      </c>
      <c r="AP871" s="1047">
        <v>0.0588836</v>
      </c>
      <c r="AQ871" s="1047" t="s">
        <v>874</v>
      </c>
      <c r="AR871" s="1153" t="s">
        <v>4738</v>
      </c>
      <c r="AS871" s="1047">
        <f>IFERROR(__xludf.DUMMYFUNCTION("7.28*10^-5        "),7.280000000000001E-5)</f>
        <v>0.0000728</v>
      </c>
      <c r="AT871" s="1018" t="s">
        <v>172</v>
      </c>
      <c r="AU871" s="1018" t="s">
        <v>186</v>
      </c>
      <c r="AV871" s="1018" t="s">
        <v>141</v>
      </c>
      <c r="AW871" s="1033" t="s">
        <v>4743</v>
      </c>
      <c r="AX871" s="1032" t="s">
        <v>143</v>
      </c>
      <c r="AY871" s="61" t="str">
        <f>IFERROR(__xludf.DUMMYFUNCTION("vlookup(BB871,importrange(""https://docs.google.com/spreadsheets/d/1d2vevQ_7D_v35q4wCQ4RpQ_IPoTwEMB9Yp6ymwlPqew/edit?gid=984458430#gid=984458430"", ""'replication success'!A:K""), 11, FAlSE)"),"#N/A")</f>
        <v>#N/A</v>
      </c>
      <c r="AZ871" s="61" t="str">
        <f>IFERROR(__xludf.DUMMYFUNCTION("vlookup(BB871,importrange(""https://docs.google.com/spreadsheets/d/1d2vevQ_7D_v35q4wCQ4RpQ_IPoTwEMB9Yp6ymwlPqew/edit?gid=984458430#gid=984458430"", ""'replication success'!A:M""), 12, FAlSE)"),"#N/A")</f>
        <v>#N/A</v>
      </c>
      <c r="BA871" s="61" t="str">
        <f>IFERROR(__xludf.DUMMYFUNCTION("vlookup(BB871,importrange(""https://docs.google.com/spreadsheets/d/1d2vevQ_7D_v35q4wCQ4RpQ_IPoTwEMB9Yp6ymwlPqew/edit?gid=984458430#gid=984458430"", ""'replication success'!A:M""), 13, FAlSE)"),"#N/A")</f>
        <v>#N/A</v>
      </c>
      <c r="BB871" s="61" t="str">
        <f>IFERROR(__xludf.DUMMYFUNCTION("REGEXREPLACE(G871, ""_[a-z]{1,2}$"", """")"),"Boyce_etal2023146_1")</f>
        <v>Boyce_etal2023146_1</v>
      </c>
      <c r="BC871" s="539"/>
      <c r="BD871" s="1032" t="s">
        <v>153</v>
      </c>
      <c r="BE871" s="539"/>
      <c r="BF871" s="539"/>
      <c r="BG871" s="539"/>
      <c r="BH871" s="539"/>
      <c r="BI871" s="539"/>
      <c r="BJ871" s="539"/>
      <c r="BK871" s="539"/>
      <c r="BL871" s="539"/>
      <c r="BM871" s="539"/>
      <c r="BN871" s="539"/>
      <c r="BO871" s="539"/>
      <c r="BP871" s="539"/>
      <c r="BQ871" s="539"/>
      <c r="BR871" s="539"/>
      <c r="BS871" s="539"/>
      <c r="BT871" s="539"/>
      <c r="BU871" s="539"/>
      <c r="BV871" s="539"/>
      <c r="BW871" s="539"/>
      <c r="BX871" s="539"/>
      <c r="BY871" s="539"/>
      <c r="BZ871" s="539"/>
      <c r="CA871" s="539"/>
      <c r="CB871" s="539"/>
      <c r="CC871" s="539"/>
      <c r="CD871" s="539"/>
      <c r="CE871" s="539"/>
      <c r="CF871" s="539"/>
      <c r="CG871" s="539"/>
      <c r="CH871" s="539"/>
      <c r="CI871" s="539"/>
      <c r="CJ871" s="539"/>
      <c r="CK871" s="539"/>
      <c r="CL871" s="539"/>
      <c r="CM871" s="539"/>
      <c r="CN871" s="539"/>
      <c r="CO871" s="539"/>
      <c r="CP871" s="539"/>
      <c r="CQ871" s="539"/>
      <c r="CR871" s="539"/>
      <c r="CS871" s="539"/>
      <c r="CT871" s="539"/>
      <c r="CU871" s="539"/>
      <c r="CV871" s="539"/>
      <c r="CW871" s="539"/>
      <c r="CX871" s="539"/>
      <c r="CY871" s="539"/>
      <c r="CZ871" s="539"/>
      <c r="DA871" s="539"/>
      <c r="DB871" s="539"/>
      <c r="DC871" s="539"/>
      <c r="DD871" s="539"/>
      <c r="DE871" s="539"/>
      <c r="DF871" s="539"/>
      <c r="DG871" s="539"/>
      <c r="DH871" s="539"/>
      <c r="DI871" s="539"/>
      <c r="DJ871" s="539"/>
      <c r="DK871" s="539"/>
      <c r="DL871" s="539"/>
    </row>
    <row r="872">
      <c r="A872" s="561">
        <v>872.0</v>
      </c>
      <c r="B872" s="374" t="s">
        <v>152</v>
      </c>
      <c r="C872" s="538" t="s">
        <v>115</v>
      </c>
      <c r="D872" s="538" t="s">
        <v>153</v>
      </c>
      <c r="E872" s="539"/>
      <c r="F872" s="1032" t="s">
        <v>4728</v>
      </c>
      <c r="G872" s="1018" t="s">
        <v>4735</v>
      </c>
      <c r="H872" s="1018" t="s">
        <v>153</v>
      </c>
      <c r="I872" s="1045">
        <v>45687.0</v>
      </c>
      <c r="J872" s="1045">
        <v>45692.0</v>
      </c>
      <c r="K872" s="1212" t="s">
        <v>4748</v>
      </c>
      <c r="L872" s="1032"/>
      <c r="M872" s="1018" t="s">
        <v>4730</v>
      </c>
      <c r="N872" s="1018" t="s">
        <v>4731</v>
      </c>
      <c r="O872" s="1047">
        <v>2.0</v>
      </c>
      <c r="P872" s="1018" t="str">
        <f t="shared" si="37"/>
        <v>10.1177--0956797616662271.pdf</v>
      </c>
      <c r="Q872" s="1207" t="str">
        <f t="array" ref="Q872"> if(iserror(MATCH(V872, 'File Links'!C:C, 0)), "N/A", HYPERLINK(INDEX('File Links'!B:B, MATCH(P872, 'File Links'!C:C, 0))))</f>
        <v>https://drive.google.com/file/d/144ul3eCkiKHuL75LCKm6YabVN-pgBX8u/view?usp=drivesdk</v>
      </c>
      <c r="R872" s="1018" t="s">
        <v>3653</v>
      </c>
      <c r="S872" s="1018" t="s">
        <v>3654</v>
      </c>
      <c r="T872" s="1223" t="s">
        <v>4738</v>
      </c>
      <c r="U872" s="1047">
        <v>1.0</v>
      </c>
      <c r="V872" s="1018" t="str">
        <f t="shared" si="47"/>
        <v>10.1098--rsos.231240.pdf</v>
      </c>
      <c r="W872" s="1018" t="s">
        <v>3671</v>
      </c>
      <c r="X872" s="1208" t="str">
        <f t="array" ref="X872"> if(iserror(MATCH(V872, 'File Links'!C:C, 0)), "N/A", HYPERLINK(INDEX('File Links'!B:B, MATCH(V872, 'File Links'!C:C, 0))))</f>
        <v>https://drive.google.com/file/d/17gaf2Zy_ljFfcAEDk5L8GBnTl5i7RGJE/view?usp=drivesdk</v>
      </c>
      <c r="Y872" s="1032"/>
      <c r="Z872" s="1018" t="s">
        <v>148</v>
      </c>
      <c r="AA872" s="1018" t="s">
        <v>4739</v>
      </c>
      <c r="AB872" s="1018" t="s">
        <v>4740</v>
      </c>
      <c r="AC872" s="1018" t="s">
        <v>4749</v>
      </c>
      <c r="AD872" s="1018" t="s">
        <v>4750</v>
      </c>
      <c r="AE872" s="1215">
        <v>5.0</v>
      </c>
      <c r="AF872" s="1047">
        <v>106.0</v>
      </c>
      <c r="AG872" s="1225" t="s">
        <v>4751</v>
      </c>
      <c r="AH872" s="1047" t="s">
        <v>134</v>
      </c>
      <c r="AI872" s="1215" t="s">
        <v>813</v>
      </c>
      <c r="AJ872" s="1215">
        <v>0.002</v>
      </c>
      <c r="AK872" s="1018" t="s">
        <v>172</v>
      </c>
      <c r="AL872" s="1018" t="s">
        <v>186</v>
      </c>
      <c r="AM872" s="1018" t="s">
        <v>141</v>
      </c>
      <c r="AN872" s="1210" t="s">
        <v>138</v>
      </c>
      <c r="AO872" s="1047">
        <v>158.0</v>
      </c>
      <c r="AP872" s="1215" t="s">
        <v>4752</v>
      </c>
      <c r="AQ872" s="1047" t="s">
        <v>134</v>
      </c>
      <c r="AR872" s="1153" t="s">
        <v>4738</v>
      </c>
      <c r="AS872" s="1047">
        <v>0.001</v>
      </c>
      <c r="AT872" s="1018" t="s">
        <v>172</v>
      </c>
      <c r="AU872" s="1018" t="s">
        <v>186</v>
      </c>
      <c r="AV872" s="1018" t="s">
        <v>141</v>
      </c>
      <c r="AW872" s="1033" t="s">
        <v>4743</v>
      </c>
      <c r="AX872" s="1032" t="s">
        <v>143</v>
      </c>
      <c r="AY872" s="61" t="str">
        <f>IFERROR(__xludf.DUMMYFUNCTION("vlookup(BB872,importrange(""https://docs.google.com/spreadsheets/d/1d2vevQ_7D_v35q4wCQ4RpQ_IPoTwEMB9Yp6ymwlPqew/edit?gid=984458430#gid=984458430"", ""'replication success'!A:K""), 11, FAlSE)"),"#N/A")</f>
        <v>#N/A</v>
      </c>
      <c r="AZ872" s="61" t="str">
        <f>IFERROR(__xludf.DUMMYFUNCTION("vlookup(BB872,importrange(""https://docs.google.com/spreadsheets/d/1d2vevQ_7D_v35q4wCQ4RpQ_IPoTwEMB9Yp6ymwlPqew/edit?gid=984458430#gid=984458430"", ""'replication success'!A:M""), 12, FAlSE)"),"#N/A")</f>
        <v>#N/A</v>
      </c>
      <c r="BA872" s="61" t="str">
        <f>IFERROR(__xludf.DUMMYFUNCTION("vlookup(BB872,importrange(""https://docs.google.com/spreadsheets/d/1d2vevQ_7D_v35q4wCQ4RpQ_IPoTwEMB9Yp6ymwlPqew/edit?gid=984458430#gid=984458430"", ""'replication success'!A:M""), 13, FAlSE)"),"#N/A")</f>
        <v>#N/A</v>
      </c>
      <c r="BB872" s="61" t="str">
        <f>IFERROR(__xludf.DUMMYFUNCTION("REGEXREPLACE(G872, ""_[a-z]{1,2}$"", """")"),"Boyce_etal2023146_1")</f>
        <v>Boyce_etal2023146_1</v>
      </c>
      <c r="BC872" s="539"/>
      <c r="BD872" s="1032" t="s">
        <v>153</v>
      </c>
      <c r="BE872" s="539"/>
      <c r="BF872" s="539"/>
      <c r="BG872" s="539"/>
      <c r="BH872" s="539"/>
      <c r="BI872" s="539"/>
      <c r="BJ872" s="539"/>
      <c r="BK872" s="539"/>
      <c r="BL872" s="539"/>
      <c r="BM872" s="539"/>
      <c r="BN872" s="539"/>
      <c r="BO872" s="539"/>
      <c r="BP872" s="539"/>
      <c r="BQ872" s="539"/>
      <c r="BR872" s="539"/>
      <c r="BS872" s="539"/>
      <c r="BT872" s="539"/>
      <c r="BU872" s="539"/>
      <c r="BV872" s="539"/>
      <c r="BW872" s="539"/>
      <c r="BX872" s="539"/>
      <c r="BY872" s="539"/>
      <c r="BZ872" s="539"/>
      <c r="CA872" s="539"/>
      <c r="CB872" s="539"/>
      <c r="CC872" s="539"/>
      <c r="CD872" s="539"/>
      <c r="CE872" s="539"/>
      <c r="CF872" s="539"/>
      <c r="CG872" s="539"/>
      <c r="CH872" s="539"/>
      <c r="CI872" s="539"/>
      <c r="CJ872" s="539"/>
      <c r="CK872" s="539"/>
      <c r="CL872" s="539"/>
      <c r="CM872" s="539"/>
      <c r="CN872" s="539"/>
      <c r="CO872" s="539"/>
      <c r="CP872" s="539"/>
      <c r="CQ872" s="539"/>
      <c r="CR872" s="539"/>
      <c r="CS872" s="539"/>
      <c r="CT872" s="539"/>
      <c r="CU872" s="539"/>
      <c r="CV872" s="539"/>
      <c r="CW872" s="539"/>
      <c r="CX872" s="539"/>
      <c r="CY872" s="539"/>
      <c r="CZ872" s="539"/>
      <c r="DA872" s="539"/>
      <c r="DB872" s="539"/>
      <c r="DC872" s="539"/>
      <c r="DD872" s="539"/>
      <c r="DE872" s="539"/>
      <c r="DF872" s="539"/>
      <c r="DG872" s="539"/>
      <c r="DH872" s="539"/>
      <c r="DI872" s="539"/>
      <c r="DJ872" s="539"/>
      <c r="DK872" s="539"/>
      <c r="DL872" s="539"/>
    </row>
    <row r="873">
      <c r="A873" s="561">
        <v>873.0</v>
      </c>
      <c r="B873" s="374" t="s">
        <v>152</v>
      </c>
      <c r="C873" s="538" t="s">
        <v>115</v>
      </c>
      <c r="D873" s="538" t="s">
        <v>153</v>
      </c>
      <c r="E873" s="539"/>
      <c r="F873" s="1032" t="s">
        <v>4728</v>
      </c>
      <c r="G873" s="1018" t="s">
        <v>4753</v>
      </c>
      <c r="H873" s="1018" t="s">
        <v>153</v>
      </c>
      <c r="I873" s="1045">
        <v>45687.0</v>
      </c>
      <c r="J873" s="1045">
        <v>45692.0</v>
      </c>
      <c r="K873" s="1212" t="s">
        <v>4754</v>
      </c>
      <c r="L873" s="1032"/>
      <c r="M873" s="1018" t="s">
        <v>4730</v>
      </c>
      <c r="N873" s="1018" t="s">
        <v>4731</v>
      </c>
      <c r="O873" s="1047">
        <v>2.0</v>
      </c>
      <c r="P873" s="1018" t="str">
        <f t="shared" si="37"/>
        <v>10.1177--0956797616662271.pdf</v>
      </c>
      <c r="Q873" s="1207" t="str">
        <f t="array" ref="Q873"> if(iserror(MATCH(V873, 'File Links'!C:C, 0)), "N/A", HYPERLINK(INDEX('File Links'!B:B, MATCH(P873, 'File Links'!C:C, 0))))</f>
        <v>https://drive.google.com/file/d/144ul3eCkiKHuL75LCKm6YabVN-pgBX8u/view?usp=drivesdk</v>
      </c>
      <c r="R873" s="1018" t="s">
        <v>3653</v>
      </c>
      <c r="S873" s="1018" t="s">
        <v>3654</v>
      </c>
      <c r="T873" s="1223" t="s">
        <v>4738</v>
      </c>
      <c r="U873" s="1047">
        <v>1.0</v>
      </c>
      <c r="V873" s="1018" t="str">
        <f t="shared" si="47"/>
        <v>10.1098--rsos.231240.pdf</v>
      </c>
      <c r="W873" s="1018" t="s">
        <v>3671</v>
      </c>
      <c r="X873" s="1208" t="str">
        <f t="array" ref="X873"> if(iserror(MATCH(V873, 'File Links'!C:C, 0)), "N/A", HYPERLINK(INDEX('File Links'!B:B, MATCH(V873, 'File Links'!C:C, 0))))</f>
        <v>https://drive.google.com/file/d/17gaf2Zy_ljFfcAEDk5L8GBnTl5i7RGJE/view?usp=drivesdk</v>
      </c>
      <c r="Y873" s="1032"/>
      <c r="Z873" s="1018" t="s">
        <v>148</v>
      </c>
      <c r="AA873" s="1018" t="s">
        <v>4739</v>
      </c>
      <c r="AB873" s="1018" t="s">
        <v>4740</v>
      </c>
      <c r="AC873" s="1018" t="s">
        <v>4755</v>
      </c>
      <c r="AD873" s="1018" t="s">
        <v>4756</v>
      </c>
      <c r="AE873" s="1215">
        <v>5.0</v>
      </c>
      <c r="AF873" s="1047">
        <v>106.0</v>
      </c>
      <c r="AG873" s="1225" t="s">
        <v>4757</v>
      </c>
      <c r="AH873" s="1047" t="s">
        <v>134</v>
      </c>
      <c r="AI873" s="1215" t="s">
        <v>813</v>
      </c>
      <c r="AJ873" s="1215">
        <v>0.052</v>
      </c>
      <c r="AK873" s="1018" t="s">
        <v>172</v>
      </c>
      <c r="AL873" s="1018" t="s">
        <v>186</v>
      </c>
      <c r="AM873" s="1018" t="s">
        <v>141</v>
      </c>
      <c r="AN873" s="1210" t="s">
        <v>138</v>
      </c>
      <c r="AO873" s="1047">
        <v>158.0</v>
      </c>
      <c r="AP873" s="1215" t="s">
        <v>4758</v>
      </c>
      <c r="AQ873" s="1047" t="s">
        <v>134</v>
      </c>
      <c r="AR873" s="1153" t="s">
        <v>4738</v>
      </c>
      <c r="AS873" s="1047">
        <v>0.01</v>
      </c>
      <c r="AT873" s="1018" t="s">
        <v>172</v>
      </c>
      <c r="AU873" s="1018" t="s">
        <v>186</v>
      </c>
      <c r="AV873" s="1018" t="s">
        <v>141</v>
      </c>
      <c r="AW873" s="1033" t="s">
        <v>4743</v>
      </c>
      <c r="AX873" s="1032" t="s">
        <v>143</v>
      </c>
      <c r="AY873" s="61" t="str">
        <f>IFERROR(__xludf.DUMMYFUNCTION("vlookup(BB873,importrange(""https://docs.google.com/spreadsheets/d/1d2vevQ_7D_v35q4wCQ4RpQ_IPoTwEMB9Yp6ymwlPqew/edit?gid=984458430#gid=984458430"", ""'replication success'!A:K""), 11, FAlSE)"),"#N/A")</f>
        <v>#N/A</v>
      </c>
      <c r="AZ873" s="61" t="str">
        <f>IFERROR(__xludf.DUMMYFUNCTION("vlookup(BB873,importrange(""https://docs.google.com/spreadsheets/d/1d2vevQ_7D_v35q4wCQ4RpQ_IPoTwEMB9Yp6ymwlPqew/edit?gid=984458430#gid=984458430"", ""'replication success'!A:M""), 12, FAlSE)"),"#N/A")</f>
        <v>#N/A</v>
      </c>
      <c r="BA873" s="61" t="str">
        <f>IFERROR(__xludf.DUMMYFUNCTION("vlookup(BB873,importrange(""https://docs.google.com/spreadsheets/d/1d2vevQ_7D_v35q4wCQ4RpQ_IPoTwEMB9Yp6ymwlPqew/edit?gid=984458430#gid=984458430"", ""'replication success'!A:M""), 13, FAlSE)"),"#N/A")</f>
        <v>#N/A</v>
      </c>
      <c r="BB873" s="61" t="str">
        <f>IFERROR(__xludf.DUMMYFUNCTION("REGEXREPLACE(G873, ""_[a-z]{1,2}$"", """")"),"Boyce_etal2023146_1")</f>
        <v>Boyce_etal2023146_1</v>
      </c>
      <c r="BC873" s="539"/>
      <c r="BD873" s="1032" t="s">
        <v>153</v>
      </c>
      <c r="BE873" s="539"/>
      <c r="BF873" s="539"/>
      <c r="BG873" s="539"/>
      <c r="BH873" s="539"/>
      <c r="BI873" s="539"/>
      <c r="BJ873" s="539"/>
      <c r="BK873" s="539"/>
      <c r="BL873" s="539"/>
      <c r="BM873" s="539"/>
      <c r="BN873" s="539"/>
      <c r="BO873" s="539"/>
      <c r="BP873" s="539"/>
      <c r="BQ873" s="539"/>
      <c r="BR873" s="539"/>
      <c r="BS873" s="539"/>
      <c r="BT873" s="539"/>
      <c r="BU873" s="539"/>
      <c r="BV873" s="539"/>
      <c r="BW873" s="539"/>
      <c r="BX873" s="539"/>
      <c r="BY873" s="539"/>
      <c r="BZ873" s="539"/>
      <c r="CA873" s="539"/>
      <c r="CB873" s="539"/>
      <c r="CC873" s="539"/>
      <c r="CD873" s="539"/>
      <c r="CE873" s="539"/>
      <c r="CF873" s="539"/>
      <c r="CG873" s="539"/>
      <c r="CH873" s="539"/>
      <c r="CI873" s="539"/>
      <c r="CJ873" s="539"/>
      <c r="CK873" s="539"/>
      <c r="CL873" s="539"/>
      <c r="CM873" s="539"/>
      <c r="CN873" s="539"/>
      <c r="CO873" s="539"/>
      <c r="CP873" s="539"/>
      <c r="CQ873" s="539"/>
      <c r="CR873" s="539"/>
      <c r="CS873" s="539"/>
      <c r="CT873" s="539"/>
      <c r="CU873" s="539"/>
      <c r="CV873" s="539"/>
      <c r="CW873" s="539"/>
      <c r="CX873" s="539"/>
      <c r="CY873" s="539"/>
      <c r="CZ873" s="539"/>
      <c r="DA873" s="539"/>
      <c r="DB873" s="539"/>
      <c r="DC873" s="539"/>
      <c r="DD873" s="539"/>
      <c r="DE873" s="539"/>
      <c r="DF873" s="539"/>
      <c r="DG873" s="539"/>
      <c r="DH873" s="539"/>
      <c r="DI873" s="539"/>
      <c r="DJ873" s="539"/>
      <c r="DK873" s="539"/>
      <c r="DL873" s="539"/>
    </row>
    <row r="874">
      <c r="A874" s="561">
        <v>874.0</v>
      </c>
      <c r="B874" s="374" t="s">
        <v>152</v>
      </c>
      <c r="C874" s="538" t="s">
        <v>115</v>
      </c>
      <c r="D874" s="538" t="s">
        <v>153</v>
      </c>
      <c r="E874" s="539"/>
      <c r="F874" s="1032" t="s">
        <v>4728</v>
      </c>
      <c r="G874" s="1018" t="s">
        <v>4759</v>
      </c>
      <c r="H874" s="1018" t="s">
        <v>153</v>
      </c>
      <c r="I874" s="1045">
        <v>45687.0</v>
      </c>
      <c r="J874" s="1045">
        <v>45692.0</v>
      </c>
      <c r="K874" s="1212" t="s">
        <v>4760</v>
      </c>
      <c r="L874" s="1032"/>
      <c r="M874" s="1018" t="s">
        <v>4730</v>
      </c>
      <c r="N874" s="1018" t="s">
        <v>4731</v>
      </c>
      <c r="O874" s="1047">
        <v>2.0</v>
      </c>
      <c r="P874" s="1018" t="str">
        <f t="shared" si="37"/>
        <v>10.1177--0956797616662271.pdf</v>
      </c>
      <c r="Q874" s="1207" t="str">
        <f t="array" ref="Q874"> if(iserror(MATCH(V874, 'File Links'!C:C, 0)), "N/A", HYPERLINK(INDEX('File Links'!B:B, MATCH(P874, 'File Links'!C:C, 0))))</f>
        <v>https://drive.google.com/file/d/144ul3eCkiKHuL75LCKm6YabVN-pgBX8u/view?usp=drivesdk</v>
      </c>
      <c r="R874" s="1018" t="s">
        <v>3653</v>
      </c>
      <c r="S874" s="1018" t="s">
        <v>3654</v>
      </c>
      <c r="T874" s="1223" t="s">
        <v>4738</v>
      </c>
      <c r="U874" s="1047">
        <v>1.0</v>
      </c>
      <c r="V874" s="1018" t="str">
        <f t="shared" si="47"/>
        <v>10.1098--rsos.231240.pdf</v>
      </c>
      <c r="W874" s="1018" t="s">
        <v>3671</v>
      </c>
      <c r="X874" s="1208" t="str">
        <f t="array" ref="X874"> if(iserror(MATCH(V874, 'File Links'!C:C, 0)), "N/A", HYPERLINK(INDEX('File Links'!B:B, MATCH(V874, 'File Links'!C:C, 0))))</f>
        <v>https://drive.google.com/file/d/17gaf2Zy_ljFfcAEDk5L8GBnTl5i7RGJE/view?usp=drivesdk</v>
      </c>
      <c r="Y874" s="1032"/>
      <c r="Z874" s="1018" t="s">
        <v>148</v>
      </c>
      <c r="AA874" s="1018" t="s">
        <v>4739</v>
      </c>
      <c r="AB874" s="1018" t="s">
        <v>4740</v>
      </c>
      <c r="AC874" s="1018" t="s">
        <v>4761</v>
      </c>
      <c r="AD874" s="1018" t="s">
        <v>4762</v>
      </c>
      <c r="AE874" s="1215">
        <v>5.0</v>
      </c>
      <c r="AF874" s="1047">
        <v>106.0</v>
      </c>
      <c r="AG874" s="1225" t="s">
        <v>4763</v>
      </c>
      <c r="AH874" s="1047" t="s">
        <v>134</v>
      </c>
      <c r="AI874" s="1215" t="s">
        <v>813</v>
      </c>
      <c r="AJ874" s="1215">
        <v>0.134</v>
      </c>
      <c r="AK874" s="1018" t="s">
        <v>172</v>
      </c>
      <c r="AL874" s="1018" t="s">
        <v>136</v>
      </c>
      <c r="AM874" s="1018" t="s">
        <v>137</v>
      </c>
      <c r="AN874" s="1210" t="s">
        <v>138</v>
      </c>
      <c r="AO874" s="1047">
        <v>158.0</v>
      </c>
      <c r="AP874" s="1215" t="s">
        <v>4764</v>
      </c>
      <c r="AQ874" s="1047" t="s">
        <v>134</v>
      </c>
      <c r="AR874" s="1153" t="s">
        <v>4738</v>
      </c>
      <c r="AS874" s="1047">
        <v>0.058</v>
      </c>
      <c r="AT874" s="1018" t="s">
        <v>172</v>
      </c>
      <c r="AU874" s="1018" t="s">
        <v>186</v>
      </c>
      <c r="AV874" s="1018" t="s">
        <v>141</v>
      </c>
      <c r="AW874" s="1033" t="s">
        <v>4743</v>
      </c>
      <c r="AX874" s="1032" t="s">
        <v>143</v>
      </c>
      <c r="AY874" s="61" t="str">
        <f>IFERROR(__xludf.DUMMYFUNCTION("vlookup(BB874,importrange(""https://docs.google.com/spreadsheets/d/1d2vevQ_7D_v35q4wCQ4RpQ_IPoTwEMB9Yp6ymwlPqew/edit?gid=984458430#gid=984458430"", ""'replication success'!A:K""), 11, FAlSE)"),"#N/A")</f>
        <v>#N/A</v>
      </c>
      <c r="AZ874" s="61" t="str">
        <f>IFERROR(__xludf.DUMMYFUNCTION("vlookup(BB874,importrange(""https://docs.google.com/spreadsheets/d/1d2vevQ_7D_v35q4wCQ4RpQ_IPoTwEMB9Yp6ymwlPqew/edit?gid=984458430#gid=984458430"", ""'replication success'!A:M""), 12, FAlSE)"),"#N/A")</f>
        <v>#N/A</v>
      </c>
      <c r="BA874" s="61" t="str">
        <f>IFERROR(__xludf.DUMMYFUNCTION("vlookup(BB874,importrange(""https://docs.google.com/spreadsheets/d/1d2vevQ_7D_v35q4wCQ4RpQ_IPoTwEMB9Yp6ymwlPqew/edit?gid=984458430#gid=984458430"", ""'replication success'!A:M""), 13, FAlSE)"),"#N/A")</f>
        <v>#N/A</v>
      </c>
      <c r="BB874" s="61" t="str">
        <f>IFERROR(__xludf.DUMMYFUNCTION("REGEXREPLACE(G874, ""_[a-z]{1,2}$"", """")"),"Boyce_etal2023146_1")</f>
        <v>Boyce_etal2023146_1</v>
      </c>
      <c r="BC874" s="539"/>
      <c r="BD874" s="1032" t="s">
        <v>153</v>
      </c>
      <c r="BE874" s="539"/>
      <c r="BF874" s="539"/>
      <c r="BG874" s="539"/>
      <c r="BH874" s="539"/>
      <c r="BI874" s="539"/>
      <c r="BJ874" s="539"/>
      <c r="BK874" s="539"/>
      <c r="BL874" s="539"/>
      <c r="BM874" s="539"/>
      <c r="BN874" s="539"/>
      <c r="BO874" s="539"/>
      <c r="BP874" s="539"/>
      <c r="BQ874" s="539"/>
      <c r="BR874" s="539"/>
      <c r="BS874" s="539"/>
      <c r="BT874" s="539"/>
      <c r="BU874" s="539"/>
      <c r="BV874" s="539"/>
      <c r="BW874" s="539"/>
      <c r="BX874" s="539"/>
      <c r="BY874" s="539"/>
      <c r="BZ874" s="539"/>
      <c r="CA874" s="539"/>
      <c r="CB874" s="539"/>
      <c r="CC874" s="539"/>
      <c r="CD874" s="539"/>
      <c r="CE874" s="539"/>
      <c r="CF874" s="539"/>
      <c r="CG874" s="539"/>
      <c r="CH874" s="539"/>
      <c r="CI874" s="539"/>
      <c r="CJ874" s="539"/>
      <c r="CK874" s="539"/>
      <c r="CL874" s="539"/>
      <c r="CM874" s="539"/>
      <c r="CN874" s="539"/>
      <c r="CO874" s="539"/>
      <c r="CP874" s="539"/>
      <c r="CQ874" s="539"/>
      <c r="CR874" s="539"/>
      <c r="CS874" s="539"/>
      <c r="CT874" s="539"/>
      <c r="CU874" s="539"/>
      <c r="CV874" s="539"/>
      <c r="CW874" s="539"/>
      <c r="CX874" s="539"/>
      <c r="CY874" s="539"/>
      <c r="CZ874" s="539"/>
      <c r="DA874" s="539"/>
      <c r="DB874" s="539"/>
      <c r="DC874" s="539"/>
      <c r="DD874" s="539"/>
      <c r="DE874" s="539"/>
      <c r="DF874" s="539"/>
      <c r="DG874" s="539"/>
      <c r="DH874" s="539"/>
      <c r="DI874" s="539"/>
      <c r="DJ874" s="539"/>
      <c r="DK874" s="539"/>
      <c r="DL874" s="539"/>
    </row>
    <row r="875">
      <c r="A875" s="44">
        <v>875.0</v>
      </c>
      <c r="B875" s="68" t="s">
        <v>114</v>
      </c>
      <c r="C875" s="62" t="s">
        <v>115</v>
      </c>
      <c r="D875" s="62" t="s">
        <v>153</v>
      </c>
      <c r="F875" s="68" t="s">
        <v>4765</v>
      </c>
      <c r="G875" s="159" t="s">
        <v>4766</v>
      </c>
      <c r="H875" s="159" t="s">
        <v>153</v>
      </c>
      <c r="I875" s="152">
        <v>45687.0</v>
      </c>
      <c r="J875" s="152">
        <v>45692.0</v>
      </c>
      <c r="K875" s="1055" t="s">
        <v>4767</v>
      </c>
      <c r="L875" s="68"/>
      <c r="M875" s="159" t="s">
        <v>4730</v>
      </c>
      <c r="N875" s="159" t="s">
        <v>4731</v>
      </c>
      <c r="O875" s="156">
        <v>1.0</v>
      </c>
      <c r="P875" s="159" t="str">
        <f t="shared" si="37"/>
        <v>10.1177--0956797616662271.pdf</v>
      </c>
      <c r="Q875" s="52" t="str">
        <f t="array" ref="Q875"> if(iserror(MATCH(V875, 'File Links'!C:C, 0)), "N/A", HYPERLINK(INDEX('File Links'!B:B, MATCH(P875, 'File Links'!C:C, 0))))</f>
        <v>https://drive.google.com/file/d/144ul3eCkiKHuL75LCKm6YabVN-pgBX8u/view?usp=drivesdk</v>
      </c>
      <c r="R875" s="159" t="s">
        <v>3653</v>
      </c>
      <c r="S875" s="159" t="s">
        <v>3654</v>
      </c>
      <c r="T875" s="68"/>
      <c r="U875" s="156">
        <v>1.0</v>
      </c>
      <c r="V875" s="198" t="str">
        <f t="shared" si="47"/>
        <v>10.1098--rsos.231240.pdf</v>
      </c>
      <c r="W875" s="159" t="s">
        <v>3671</v>
      </c>
      <c r="X875" s="54" t="str">
        <f t="array" ref="X875"> if(iserror(MATCH(V875, 'File Links'!C:C, 0)), "N/A", HYPERLINK(INDEX('File Links'!B:B, MATCH(V875, 'File Links'!C:C, 0))))</f>
        <v>https://drive.google.com/file/d/17gaf2Zy_ljFfcAEDk5L8GBnTl5i7RGJE/view?usp=drivesdk</v>
      </c>
      <c r="Y875" s="68"/>
      <c r="Z875" s="159" t="s">
        <v>148</v>
      </c>
      <c r="AA875" s="159" t="s">
        <v>4739</v>
      </c>
      <c r="AB875" s="159" t="s">
        <v>4740</v>
      </c>
      <c r="AC875" s="159" t="s">
        <v>4741</v>
      </c>
      <c r="AD875" s="159" t="s">
        <v>4742</v>
      </c>
      <c r="AE875" s="156">
        <v>3.0</v>
      </c>
      <c r="AF875" s="156">
        <v>70.0</v>
      </c>
      <c r="AG875" s="156">
        <v>0.43</v>
      </c>
      <c r="AH875" s="156" t="s">
        <v>173</v>
      </c>
      <c r="AI875" s="156" t="s">
        <v>217</v>
      </c>
      <c r="AJ875" s="336">
        <v>0.001</v>
      </c>
      <c r="AK875" s="159" t="s">
        <v>172</v>
      </c>
      <c r="AL875" s="159" t="s">
        <v>136</v>
      </c>
      <c r="AM875" s="159" t="s">
        <v>137</v>
      </c>
      <c r="AN875" s="129" t="s">
        <v>138</v>
      </c>
      <c r="AO875" s="156">
        <v>61.0</v>
      </c>
      <c r="AP875" s="1059">
        <v>0.3754939</v>
      </c>
      <c r="AQ875" s="1059" t="s">
        <v>173</v>
      </c>
      <c r="AR875" s="68"/>
      <c r="AS875" s="1059">
        <v>0.00382</v>
      </c>
      <c r="AT875" s="159" t="s">
        <v>172</v>
      </c>
      <c r="AU875" s="159" t="s">
        <v>186</v>
      </c>
      <c r="AV875" s="159" t="s">
        <v>141</v>
      </c>
      <c r="AW875" s="435" t="s">
        <v>4743</v>
      </c>
      <c r="AX875" s="68" t="s">
        <v>143</v>
      </c>
      <c r="AY875" s="61" t="str">
        <f>IFERROR(__xludf.DUMMYFUNCTION("vlookup(BB875,importrange(""https://docs.google.com/spreadsheets/d/1d2vevQ_7D_v35q4wCQ4RpQ_IPoTwEMB9Yp6ymwlPqew/edit?gid=984458430#gid=984458430"", ""'replication success'!A:K""), 11, FAlSE)"),"#N/A")</f>
        <v>#N/A</v>
      </c>
      <c r="AZ875" s="61" t="str">
        <f>IFERROR(__xludf.DUMMYFUNCTION("vlookup(BB875,importrange(""https://docs.google.com/spreadsheets/d/1d2vevQ_7D_v35q4wCQ4RpQ_IPoTwEMB9Yp6ymwlPqew/edit?gid=984458430#gid=984458430"", ""'replication success'!A:M""), 12, FAlSE)"),"#N/A")</f>
        <v>#N/A</v>
      </c>
      <c r="BA875" s="61" t="str">
        <f>IFERROR(__xludf.DUMMYFUNCTION("vlookup(BB875,importrange(""https://docs.google.com/spreadsheets/d/1d2vevQ_7D_v35q4wCQ4RpQ_IPoTwEMB9Yp6ymwlPqew/edit?gid=984458430#gid=984458430"", ""'replication success'!A:M""), 13, FAlSE)"),"#N/A")</f>
        <v>#N/A</v>
      </c>
      <c r="BB875" s="61" t="str">
        <f>IFERROR(__xludf.DUMMYFUNCTION("REGEXREPLACE(G875, ""_[a-z]{1,2}$"", """")"),"Boyce_etal2023147")</f>
        <v>Boyce_etal2023147</v>
      </c>
      <c r="BD875" s="68" t="s">
        <v>153</v>
      </c>
      <c r="BE875" s="71"/>
    </row>
    <row r="876">
      <c r="A876" s="110">
        <v>876.0</v>
      </c>
      <c r="B876" s="111" t="s">
        <v>114</v>
      </c>
      <c r="C876" s="149" t="s">
        <v>115</v>
      </c>
      <c r="D876" s="149" t="s">
        <v>248</v>
      </c>
      <c r="E876" s="71"/>
      <c r="F876" s="122" t="s">
        <v>4768</v>
      </c>
      <c r="G876" s="122" t="s">
        <v>4769</v>
      </c>
      <c r="H876" s="122" t="s">
        <v>249</v>
      </c>
      <c r="I876" s="417">
        <v>45671.0</v>
      </c>
      <c r="J876" s="417">
        <v>45692.0</v>
      </c>
      <c r="K876" s="1226" t="s">
        <v>4770</v>
      </c>
      <c r="L876" s="111"/>
      <c r="M876" s="122" t="s">
        <v>4771</v>
      </c>
      <c r="N876" s="122" t="s">
        <v>4772</v>
      </c>
      <c r="O876" s="111"/>
      <c r="P876" s="122" t="str">
        <f t="shared" si="37"/>
        <v>10.1177--0956797614554955.pdf</v>
      </c>
      <c r="Q876" s="1161" t="str">
        <f t="array" ref="Q876"> if(iserror(MATCH(V876, 'File Links'!C:C, 0)), "N/A", HYPERLINK(INDEX('File Links'!B:B, MATCH(P876, 'File Links'!C:C, 0))))</f>
        <v>https://drive.google.com/file/d/1epyBwvNQIzhoIzncHzNCghI35bEcM7FS/view?usp=drivesdk</v>
      </c>
      <c r="R876" s="122" t="s">
        <v>3653</v>
      </c>
      <c r="S876" s="122" t="s">
        <v>3654</v>
      </c>
      <c r="T876" s="111"/>
      <c r="U876" s="537">
        <v>1.0</v>
      </c>
      <c r="V876" s="122" t="str">
        <f t="shared" si="47"/>
        <v>10.1098--rsos.231240.pdf</v>
      </c>
      <c r="W876" s="122" t="s">
        <v>3693</v>
      </c>
      <c r="X876" s="1162" t="str">
        <f t="array" ref="X876"> if(iserror(MATCH(V876, 'File Links'!C:C, 0)), "N/A", HYPERLINK(INDEX('File Links'!B:B, MATCH(V876, 'File Links'!C:C, 0))))</f>
        <v>https://drive.google.com/file/d/17gaf2Zy_ljFfcAEDk5L8GBnTl5i7RGJE/view?usp=drivesdk</v>
      </c>
      <c r="Y876" s="111"/>
      <c r="Z876" s="122" t="s">
        <v>226</v>
      </c>
      <c r="AA876" s="111"/>
      <c r="AB876" s="122" t="s">
        <v>4773</v>
      </c>
      <c r="AC876" s="111"/>
      <c r="AD876" s="122" t="s">
        <v>4774</v>
      </c>
      <c r="AE876" s="537">
        <v>3.0</v>
      </c>
      <c r="AF876" s="537">
        <v>48.0</v>
      </c>
      <c r="AG876" s="683" t="s">
        <v>4775</v>
      </c>
      <c r="AH876" s="116" t="s">
        <v>134</v>
      </c>
      <c r="AI876" s="122" t="s">
        <v>217</v>
      </c>
      <c r="AJ876" s="537">
        <v>0.001</v>
      </c>
      <c r="AK876" s="122" t="s">
        <v>172</v>
      </c>
      <c r="AL876" s="122" t="s">
        <v>186</v>
      </c>
      <c r="AM876" s="122" t="s">
        <v>141</v>
      </c>
      <c r="AN876" s="147" t="s">
        <v>138</v>
      </c>
      <c r="AO876" s="537">
        <v>95.0</v>
      </c>
      <c r="AP876" s="537">
        <v>91.11</v>
      </c>
      <c r="AQ876" s="122" t="s">
        <v>1031</v>
      </c>
      <c r="AR876" s="111"/>
      <c r="AS876" s="537">
        <v>0.001</v>
      </c>
      <c r="AT876" s="122" t="s">
        <v>135</v>
      </c>
      <c r="AU876" s="122" t="s">
        <v>186</v>
      </c>
      <c r="AV876" s="122" t="s">
        <v>141</v>
      </c>
      <c r="AW876" s="111"/>
      <c r="AX876" s="122" t="s">
        <v>151</v>
      </c>
      <c r="AY876" s="61" t="str">
        <f>IFERROR(__xludf.DUMMYFUNCTION("vlookup(BB876,importrange(""https://docs.google.com/spreadsheets/d/1d2vevQ_7D_v35q4wCQ4RpQ_IPoTwEMB9Yp6ymwlPqew/edit?gid=984458430#gid=984458430"", ""'replication success'!A:K""), 11, FAlSE)"),"#N/A")</f>
        <v>#N/A</v>
      </c>
      <c r="AZ876" s="61" t="str">
        <f>IFERROR(__xludf.DUMMYFUNCTION("vlookup(BB876,importrange(""https://docs.google.com/spreadsheets/d/1d2vevQ_7D_v35q4wCQ4RpQ_IPoTwEMB9Yp6ymwlPqew/edit?gid=984458430#gid=984458430"", ""'replication success'!A:M""), 12, FAlSE)"),"#N/A")</f>
        <v>#N/A</v>
      </c>
      <c r="BA876" s="61" t="str">
        <f>IFERROR(__xludf.DUMMYFUNCTION("vlookup(BB876,importrange(""https://docs.google.com/spreadsheets/d/1d2vevQ_7D_v35q4wCQ4RpQ_IPoTwEMB9Yp6ymwlPqew/edit?gid=984458430#gid=984458430"", ""'replication success'!A:M""), 13, FAlSE)"),"#N/A")</f>
        <v>#N/A</v>
      </c>
      <c r="BB876" s="61" t="str">
        <f>IFERROR(__xludf.DUMMYFUNCTION("REGEXREPLACE(G876, ""_[a-z]{1,2}$"", """")"),"Boyce_etal2023148_1")</f>
        <v>Boyce_etal2023148_1</v>
      </c>
      <c r="BC876" s="71"/>
      <c r="BD876" s="111" t="s">
        <v>153</v>
      </c>
      <c r="BE876" s="71"/>
      <c r="BF876" s="71"/>
      <c r="BG876" s="71"/>
      <c r="BH876" s="71"/>
      <c r="BI876" s="71"/>
      <c r="BJ876" s="71"/>
      <c r="BK876" s="71"/>
      <c r="BL876" s="71"/>
      <c r="BM876" s="71"/>
      <c r="BN876" s="71"/>
      <c r="BO876" s="71"/>
      <c r="BP876" s="71"/>
      <c r="BQ876" s="71"/>
      <c r="BR876" s="71"/>
      <c r="BS876" s="71"/>
      <c r="BT876" s="71"/>
      <c r="BU876" s="71"/>
      <c r="BV876" s="71"/>
      <c r="BW876" s="71"/>
      <c r="BX876" s="71"/>
      <c r="BY876" s="71"/>
      <c r="BZ876" s="71"/>
      <c r="CA876" s="71"/>
      <c r="CB876" s="71"/>
      <c r="CC876" s="71"/>
      <c r="CD876" s="71"/>
      <c r="CE876" s="71"/>
      <c r="CF876" s="71"/>
      <c r="CG876" s="71"/>
      <c r="CH876" s="71"/>
      <c r="CI876" s="71"/>
      <c r="CJ876" s="71"/>
      <c r="CK876" s="71"/>
      <c r="CL876" s="71"/>
      <c r="CM876" s="71"/>
      <c r="CN876" s="71"/>
      <c r="CO876" s="71"/>
      <c r="CP876" s="71"/>
      <c r="CQ876" s="71"/>
      <c r="CR876" s="71"/>
      <c r="CS876" s="71"/>
      <c r="CT876" s="71"/>
      <c r="CU876" s="71"/>
      <c r="CV876" s="71"/>
      <c r="CW876" s="71"/>
      <c r="CX876" s="71"/>
      <c r="CY876" s="71"/>
      <c r="CZ876" s="71"/>
      <c r="DA876" s="71"/>
      <c r="DB876" s="71"/>
      <c r="DC876" s="71"/>
      <c r="DD876" s="71"/>
      <c r="DE876" s="71"/>
      <c r="DF876" s="71"/>
      <c r="DG876" s="71"/>
      <c r="DH876" s="71"/>
      <c r="DI876" s="71"/>
      <c r="DJ876" s="71"/>
      <c r="DK876" s="71"/>
      <c r="DL876" s="71"/>
    </row>
    <row r="877">
      <c r="A877" s="110">
        <v>877.0</v>
      </c>
      <c r="B877" s="147" t="s">
        <v>152</v>
      </c>
      <c r="C877" s="149" t="s">
        <v>115</v>
      </c>
      <c r="D877" s="149" t="s">
        <v>153</v>
      </c>
      <c r="E877" s="71"/>
      <c r="F877" s="111" t="s">
        <v>4769</v>
      </c>
      <c r="G877" s="122" t="s">
        <v>4776</v>
      </c>
      <c r="H877" s="122" t="s">
        <v>153</v>
      </c>
      <c r="I877" s="417">
        <v>45687.0</v>
      </c>
      <c r="J877" s="417">
        <v>45692.0</v>
      </c>
      <c r="K877" s="218" t="s">
        <v>4777</v>
      </c>
      <c r="L877" s="111"/>
      <c r="M877" s="122" t="s">
        <v>4771</v>
      </c>
      <c r="N877" s="122" t="s">
        <v>4772</v>
      </c>
      <c r="O877" s="537">
        <v>1.0</v>
      </c>
      <c r="P877" s="122" t="str">
        <f t="shared" si="37"/>
        <v>10.1177--0956797614554955.pdf</v>
      </c>
      <c r="Q877" s="1161" t="str">
        <f t="array" ref="Q877"> if(iserror(MATCH(V877, 'File Links'!C:C, 0)), "N/A", HYPERLINK(INDEX('File Links'!B:B, MATCH(P877, 'File Links'!C:C, 0))))</f>
        <v>https://drive.google.com/file/d/1epyBwvNQIzhoIzncHzNCghI35bEcM7FS/view?usp=drivesdk</v>
      </c>
      <c r="R877" s="122" t="s">
        <v>3653</v>
      </c>
      <c r="S877" s="122" t="s">
        <v>3654</v>
      </c>
      <c r="T877" s="111"/>
      <c r="U877" s="537">
        <v>1.0</v>
      </c>
      <c r="V877" s="122" t="str">
        <f t="shared" si="47"/>
        <v>10.1098--rsos.231240.pdf</v>
      </c>
      <c r="W877" s="122" t="s">
        <v>164</v>
      </c>
      <c r="X877" s="1162" t="str">
        <f t="array" ref="X877"> if(iserror(MATCH(V877, 'File Links'!C:C, 0)), "N/A", HYPERLINK(INDEX('File Links'!B:B, MATCH(V877, 'File Links'!C:C, 0))))</f>
        <v>https://drive.google.com/file/d/17gaf2Zy_ljFfcAEDk5L8GBnTl5i7RGJE/view?usp=drivesdk</v>
      </c>
      <c r="Y877" s="111"/>
      <c r="Z877" s="122" t="s">
        <v>226</v>
      </c>
      <c r="AA877" s="122" t="s">
        <v>4778</v>
      </c>
      <c r="AB877" s="122" t="s">
        <v>4779</v>
      </c>
      <c r="AC877" s="122" t="s">
        <v>4780</v>
      </c>
      <c r="AD877" s="122" t="s">
        <v>4781</v>
      </c>
      <c r="AE877" s="537">
        <v>3.0</v>
      </c>
      <c r="AF877" s="537">
        <v>48.0</v>
      </c>
      <c r="AG877" s="537">
        <v>0.99</v>
      </c>
      <c r="AH877" s="147" t="s">
        <v>2619</v>
      </c>
      <c r="AI877" s="537" t="s">
        <v>217</v>
      </c>
      <c r="AJ877" s="537">
        <v>0.001</v>
      </c>
      <c r="AK877" s="122" t="s">
        <v>135</v>
      </c>
      <c r="AL877" s="122" t="s">
        <v>186</v>
      </c>
      <c r="AM877" s="122" t="s">
        <v>141</v>
      </c>
      <c r="AN877" s="147" t="s">
        <v>138</v>
      </c>
      <c r="AO877" s="537">
        <v>95.0</v>
      </c>
      <c r="AP877" s="537">
        <v>0.97</v>
      </c>
      <c r="AQ877" s="147" t="s">
        <v>2619</v>
      </c>
      <c r="AR877" s="1180" t="s">
        <v>4782</v>
      </c>
      <c r="AS877" s="537">
        <v>0.001</v>
      </c>
      <c r="AT877" s="122" t="s">
        <v>135</v>
      </c>
      <c r="AU877" s="122" t="s">
        <v>186</v>
      </c>
      <c r="AV877" s="122" t="s">
        <v>141</v>
      </c>
      <c r="AW877" s="147" t="s">
        <v>138</v>
      </c>
      <c r="AX877" s="111" t="s">
        <v>151</v>
      </c>
      <c r="AY877" s="61" t="str">
        <f>IFERROR(__xludf.DUMMYFUNCTION("vlookup(BB877,importrange(""https://docs.google.com/spreadsheets/d/1d2vevQ_7D_v35q4wCQ4RpQ_IPoTwEMB9Yp6ymwlPqew/edit?gid=984458430#gid=984458430"", ""'replication success'!A:K""), 11, FAlSE)"),"#N/A")</f>
        <v>#N/A</v>
      </c>
      <c r="AZ877" s="61" t="str">
        <f>IFERROR(__xludf.DUMMYFUNCTION("vlookup(BB877,importrange(""https://docs.google.com/spreadsheets/d/1d2vevQ_7D_v35q4wCQ4RpQ_IPoTwEMB9Yp6ymwlPqew/edit?gid=984458430#gid=984458430"", ""'replication success'!A:M""), 12, FAlSE)"),"#N/A")</f>
        <v>#N/A</v>
      </c>
      <c r="BA877" s="61" t="str">
        <f>IFERROR(__xludf.DUMMYFUNCTION("vlookup(BB877,importrange(""https://docs.google.com/spreadsheets/d/1d2vevQ_7D_v35q4wCQ4RpQ_IPoTwEMB9Yp6ymwlPqew/edit?gid=984458430#gid=984458430"", ""'replication success'!A:M""), 13, FAlSE)"),"#N/A")</f>
        <v>#N/A</v>
      </c>
      <c r="BB877" s="61" t="str">
        <f>IFERROR(__xludf.DUMMYFUNCTION("REGEXREPLACE(G877, ""_[a-z]{1,2}$"", """")"),"Boyce_etal2023148_1")</f>
        <v>Boyce_etal2023148_1</v>
      </c>
      <c r="BC877" s="71"/>
      <c r="BD877" s="147" t="s">
        <v>3763</v>
      </c>
      <c r="BE877" s="71"/>
      <c r="BF877" s="71"/>
      <c r="BG877" s="71"/>
      <c r="BH877" s="71"/>
      <c r="BI877" s="71"/>
      <c r="BJ877" s="71"/>
      <c r="BK877" s="71"/>
      <c r="BL877" s="71"/>
      <c r="BM877" s="71"/>
      <c r="BN877" s="71"/>
      <c r="BO877" s="71"/>
      <c r="BP877" s="71"/>
      <c r="BQ877" s="71"/>
      <c r="BR877" s="71"/>
      <c r="BS877" s="71"/>
      <c r="BT877" s="71"/>
      <c r="BU877" s="71"/>
      <c r="BV877" s="71"/>
      <c r="BW877" s="71"/>
      <c r="BX877" s="71"/>
      <c r="BY877" s="71"/>
      <c r="BZ877" s="71"/>
      <c r="CA877" s="71"/>
      <c r="CB877" s="71"/>
      <c r="CC877" s="71"/>
      <c r="CD877" s="71"/>
      <c r="CE877" s="71"/>
      <c r="CF877" s="71"/>
      <c r="CG877" s="71"/>
      <c r="CH877" s="71"/>
      <c r="CI877" s="71"/>
      <c r="CJ877" s="71"/>
      <c r="CK877" s="71"/>
      <c r="CL877" s="71"/>
      <c r="CM877" s="71"/>
      <c r="CN877" s="71"/>
      <c r="CO877" s="71"/>
      <c r="CP877" s="71"/>
      <c r="CQ877" s="71"/>
      <c r="CR877" s="71"/>
      <c r="CS877" s="71"/>
      <c r="CT877" s="71"/>
      <c r="CU877" s="71"/>
      <c r="CV877" s="71"/>
      <c r="CW877" s="71"/>
      <c r="CX877" s="71"/>
      <c r="CY877" s="71"/>
      <c r="CZ877" s="71"/>
      <c r="DA877" s="71"/>
      <c r="DB877" s="71"/>
      <c r="DC877" s="71"/>
      <c r="DD877" s="71"/>
      <c r="DE877" s="71"/>
      <c r="DF877" s="71"/>
      <c r="DG877" s="71"/>
      <c r="DH877" s="71"/>
      <c r="DI877" s="71"/>
      <c r="DJ877" s="71"/>
      <c r="DK877" s="71"/>
      <c r="DL877" s="71"/>
    </row>
    <row r="878">
      <c r="A878" s="110">
        <v>878.0</v>
      </c>
      <c r="B878" s="147" t="s">
        <v>152</v>
      </c>
      <c r="C878" s="149" t="s">
        <v>115</v>
      </c>
      <c r="D878" s="149" t="s">
        <v>153</v>
      </c>
      <c r="E878" s="71"/>
      <c r="F878" s="111" t="s">
        <v>4769</v>
      </c>
      <c r="G878" s="122" t="s">
        <v>4783</v>
      </c>
      <c r="H878" s="122" t="s">
        <v>153</v>
      </c>
      <c r="I878" s="417">
        <v>45687.0</v>
      </c>
      <c r="J878" s="417">
        <v>45692.0</v>
      </c>
      <c r="K878" s="218" t="s">
        <v>4777</v>
      </c>
      <c r="L878" s="111"/>
      <c r="M878" s="122" t="s">
        <v>4771</v>
      </c>
      <c r="N878" s="122" t="s">
        <v>4772</v>
      </c>
      <c r="O878" s="537">
        <v>1.0</v>
      </c>
      <c r="P878" s="122" t="str">
        <f t="shared" si="37"/>
        <v>10.1177--0956797614554955.pdf</v>
      </c>
      <c r="Q878" s="1161" t="str">
        <f t="array" ref="Q878"> if(iserror(MATCH(V878, 'File Links'!C:C, 0)), "N/A", HYPERLINK(INDEX('File Links'!B:B, MATCH(P878, 'File Links'!C:C, 0))))</f>
        <v>https://drive.google.com/file/d/1epyBwvNQIzhoIzncHzNCghI35bEcM7FS/view?usp=drivesdk</v>
      </c>
      <c r="R878" s="122" t="s">
        <v>3653</v>
      </c>
      <c r="S878" s="122" t="s">
        <v>3654</v>
      </c>
      <c r="T878" s="111"/>
      <c r="U878" s="537">
        <v>1.0</v>
      </c>
      <c r="V878" s="122" t="str">
        <f t="shared" si="47"/>
        <v>10.1098--rsos.231240.pdf</v>
      </c>
      <c r="W878" s="122" t="s">
        <v>164</v>
      </c>
      <c r="X878" s="1162" t="str">
        <f t="array" ref="X878"> if(iserror(MATCH(V878, 'File Links'!C:C, 0)), "N/A", HYPERLINK(INDEX('File Links'!B:B, MATCH(V878, 'File Links'!C:C, 0))))</f>
        <v>https://drive.google.com/file/d/17gaf2Zy_ljFfcAEDk5L8GBnTl5i7RGJE/view?usp=drivesdk</v>
      </c>
      <c r="Y878" s="111"/>
      <c r="Z878" s="122" t="s">
        <v>226</v>
      </c>
      <c r="AA878" s="122" t="s">
        <v>4778</v>
      </c>
      <c r="AB878" s="122" t="s">
        <v>4779</v>
      </c>
      <c r="AC878" s="122" t="s">
        <v>4784</v>
      </c>
      <c r="AD878" s="122" t="s">
        <v>4785</v>
      </c>
      <c r="AE878" s="1109">
        <v>3.0</v>
      </c>
      <c r="AF878" s="537">
        <v>48.0</v>
      </c>
      <c r="AG878" s="1109">
        <v>2.27</v>
      </c>
      <c r="AH878" s="537" t="s">
        <v>987</v>
      </c>
      <c r="AI878" s="1109" t="s">
        <v>217</v>
      </c>
      <c r="AJ878" s="537">
        <v>0.001</v>
      </c>
      <c r="AK878" s="122" t="s">
        <v>135</v>
      </c>
      <c r="AL878" s="122" t="s">
        <v>186</v>
      </c>
      <c r="AM878" s="122" t="s">
        <v>141</v>
      </c>
      <c r="AN878" s="147" t="s">
        <v>138</v>
      </c>
      <c r="AO878" s="537">
        <v>95.0</v>
      </c>
      <c r="AP878" s="1109">
        <v>0.02278</v>
      </c>
      <c r="AQ878" s="537" t="s">
        <v>987</v>
      </c>
      <c r="AR878" s="1180" t="s">
        <v>4786</v>
      </c>
      <c r="AS878" s="537">
        <f>IFERROR(__xludf.DUMMYFUNCTION(" 6.28*10^-13"),6.28E-13)</f>
        <v>0</v>
      </c>
      <c r="AT878" s="122" t="s">
        <v>135</v>
      </c>
      <c r="AU878" s="122" t="s">
        <v>186</v>
      </c>
      <c r="AV878" s="122" t="s">
        <v>141</v>
      </c>
      <c r="AW878" s="147" t="s">
        <v>138</v>
      </c>
      <c r="AX878" s="111" t="s">
        <v>151</v>
      </c>
      <c r="AY878" s="61" t="str">
        <f>IFERROR(__xludf.DUMMYFUNCTION("vlookup(BB878,importrange(""https://docs.google.com/spreadsheets/d/1d2vevQ_7D_v35q4wCQ4RpQ_IPoTwEMB9Yp6ymwlPqew/edit?gid=984458430#gid=984458430"", ""'replication success'!A:K""), 11, FAlSE)"),"#N/A")</f>
        <v>#N/A</v>
      </c>
      <c r="AZ878" s="61" t="str">
        <f>IFERROR(__xludf.DUMMYFUNCTION("vlookup(BB878,importrange(""https://docs.google.com/spreadsheets/d/1d2vevQ_7D_v35q4wCQ4RpQ_IPoTwEMB9Yp6ymwlPqew/edit?gid=984458430#gid=984458430"", ""'replication success'!A:M""), 12, FAlSE)"),"#N/A")</f>
        <v>#N/A</v>
      </c>
      <c r="BA878" s="61" t="str">
        <f>IFERROR(__xludf.DUMMYFUNCTION("vlookup(BB878,importrange(""https://docs.google.com/spreadsheets/d/1d2vevQ_7D_v35q4wCQ4RpQ_IPoTwEMB9Yp6ymwlPqew/edit?gid=984458430#gid=984458430"", ""'replication success'!A:M""), 13, FAlSE)"),"#N/A")</f>
        <v>#N/A</v>
      </c>
      <c r="BB878" s="61" t="str">
        <f>IFERROR(__xludf.DUMMYFUNCTION("REGEXREPLACE(G878, ""_[a-z]{1,2}$"", """")"),"Boyce_etal2023148_1")</f>
        <v>Boyce_etal2023148_1</v>
      </c>
      <c r="BC878" s="71"/>
      <c r="BD878" s="147" t="s">
        <v>3763</v>
      </c>
      <c r="BE878" s="71"/>
      <c r="BF878" s="71"/>
      <c r="BG878" s="71"/>
      <c r="BH878" s="71"/>
      <c r="BI878" s="71"/>
      <c r="BJ878" s="71"/>
      <c r="BK878" s="71"/>
      <c r="BL878" s="71"/>
      <c r="BM878" s="71"/>
      <c r="BN878" s="71"/>
      <c r="BO878" s="71"/>
      <c r="BP878" s="71"/>
      <c r="BQ878" s="71"/>
      <c r="BR878" s="71"/>
      <c r="BS878" s="71"/>
      <c r="BT878" s="71"/>
      <c r="BU878" s="71"/>
      <c r="BV878" s="71"/>
      <c r="BW878" s="71"/>
      <c r="BX878" s="71"/>
      <c r="BY878" s="71"/>
      <c r="BZ878" s="71"/>
      <c r="CA878" s="71"/>
      <c r="CB878" s="71"/>
      <c r="CC878" s="71"/>
      <c r="CD878" s="71"/>
      <c r="CE878" s="71"/>
      <c r="CF878" s="71"/>
      <c r="CG878" s="71"/>
      <c r="CH878" s="71"/>
      <c r="CI878" s="71"/>
      <c r="CJ878" s="71"/>
      <c r="CK878" s="71"/>
      <c r="CL878" s="71"/>
      <c r="CM878" s="71"/>
      <c r="CN878" s="71"/>
      <c r="CO878" s="71"/>
      <c r="CP878" s="71"/>
      <c r="CQ878" s="71"/>
      <c r="CR878" s="71"/>
      <c r="CS878" s="71"/>
      <c r="CT878" s="71"/>
      <c r="CU878" s="71"/>
      <c r="CV878" s="71"/>
      <c r="CW878" s="71"/>
      <c r="CX878" s="71"/>
      <c r="CY878" s="71"/>
      <c r="CZ878" s="71"/>
      <c r="DA878" s="71"/>
      <c r="DB878" s="71"/>
      <c r="DC878" s="71"/>
      <c r="DD878" s="71"/>
      <c r="DE878" s="71"/>
      <c r="DF878" s="71"/>
      <c r="DG878" s="71"/>
      <c r="DH878" s="71"/>
      <c r="DI878" s="71"/>
      <c r="DJ878" s="71"/>
      <c r="DK878" s="71"/>
      <c r="DL878" s="71"/>
    </row>
    <row r="879">
      <c r="A879" s="110">
        <v>879.0</v>
      </c>
      <c r="B879" s="147" t="s">
        <v>152</v>
      </c>
      <c r="C879" s="149" t="s">
        <v>115</v>
      </c>
      <c r="D879" s="149" t="s">
        <v>153</v>
      </c>
      <c r="E879" s="71"/>
      <c r="F879" s="111" t="s">
        <v>4769</v>
      </c>
      <c r="G879" s="122" t="s">
        <v>4787</v>
      </c>
      <c r="H879" s="122" t="s">
        <v>153</v>
      </c>
      <c r="I879" s="417">
        <v>45687.0</v>
      </c>
      <c r="J879" s="417">
        <v>45692.0</v>
      </c>
      <c r="K879" s="218" t="s">
        <v>4777</v>
      </c>
      <c r="L879" s="111"/>
      <c r="M879" s="122" t="s">
        <v>4771</v>
      </c>
      <c r="N879" s="122" t="s">
        <v>4772</v>
      </c>
      <c r="O879" s="537">
        <v>1.0</v>
      </c>
      <c r="P879" s="122" t="str">
        <f t="shared" si="37"/>
        <v>10.1177--0956797614554955.pdf</v>
      </c>
      <c r="Q879" s="1161" t="str">
        <f t="array" ref="Q879"> if(iserror(MATCH(V879, 'File Links'!C:C, 0)), "N/A", HYPERLINK(INDEX('File Links'!B:B, MATCH(P879, 'File Links'!C:C, 0))))</f>
        <v>https://drive.google.com/file/d/1epyBwvNQIzhoIzncHzNCghI35bEcM7FS/view?usp=drivesdk</v>
      </c>
      <c r="R879" s="122" t="s">
        <v>3653</v>
      </c>
      <c r="S879" s="122" t="s">
        <v>3654</v>
      </c>
      <c r="T879" s="111"/>
      <c r="U879" s="537">
        <v>1.0</v>
      </c>
      <c r="V879" s="122" t="str">
        <f t="shared" si="47"/>
        <v>10.1098--rsos.231240.pdf</v>
      </c>
      <c r="W879" s="122" t="s">
        <v>164</v>
      </c>
      <c r="X879" s="1162" t="str">
        <f t="array" ref="X879"> if(iserror(MATCH(V879, 'File Links'!C:C, 0)), "N/A", HYPERLINK(INDEX('File Links'!B:B, MATCH(V879, 'File Links'!C:C, 0))))</f>
        <v>https://drive.google.com/file/d/17gaf2Zy_ljFfcAEDk5L8GBnTl5i7RGJE/view?usp=drivesdk</v>
      </c>
      <c r="Y879" s="111"/>
      <c r="Z879" s="122" t="s">
        <v>226</v>
      </c>
      <c r="AA879" s="122" t="s">
        <v>4778</v>
      </c>
      <c r="AB879" s="122" t="s">
        <v>4779</v>
      </c>
      <c r="AC879" s="122" t="s">
        <v>4788</v>
      </c>
      <c r="AD879" s="122" t="s">
        <v>4789</v>
      </c>
      <c r="AE879" s="1109">
        <v>3.0</v>
      </c>
      <c r="AF879" s="537">
        <v>48.0</v>
      </c>
      <c r="AG879" s="1109">
        <v>-1.09</v>
      </c>
      <c r="AH879" s="537" t="s">
        <v>987</v>
      </c>
      <c r="AI879" s="1109" t="s">
        <v>217</v>
      </c>
      <c r="AJ879" s="537">
        <v>0.001</v>
      </c>
      <c r="AK879" s="122" t="s">
        <v>135</v>
      </c>
      <c r="AL879" s="122" t="s">
        <v>186</v>
      </c>
      <c r="AM879" s="122" t="s">
        <v>141</v>
      </c>
      <c r="AN879" s="147" t="s">
        <v>138</v>
      </c>
      <c r="AO879" s="537">
        <v>95.0</v>
      </c>
      <c r="AP879" s="1109">
        <v>-1.786E-4</v>
      </c>
      <c r="AQ879" s="537" t="s">
        <v>987</v>
      </c>
      <c r="AR879" s="1180" t="s">
        <v>4790</v>
      </c>
      <c r="AS879" s="537">
        <v>3.63E-4</v>
      </c>
      <c r="AT879" s="122" t="s">
        <v>172</v>
      </c>
      <c r="AU879" s="122" t="s">
        <v>186</v>
      </c>
      <c r="AV879" s="122" t="s">
        <v>141</v>
      </c>
      <c r="AW879" s="147" t="s">
        <v>138</v>
      </c>
      <c r="AX879" s="111" t="s">
        <v>151</v>
      </c>
      <c r="AY879" s="61" t="str">
        <f>IFERROR(__xludf.DUMMYFUNCTION("vlookup(BB879,importrange(""https://docs.google.com/spreadsheets/d/1d2vevQ_7D_v35q4wCQ4RpQ_IPoTwEMB9Yp6ymwlPqew/edit?gid=984458430#gid=984458430"", ""'replication success'!A:K""), 11, FAlSE)"),"#N/A")</f>
        <v>#N/A</v>
      </c>
      <c r="AZ879" s="61" t="str">
        <f>IFERROR(__xludf.DUMMYFUNCTION("vlookup(BB879,importrange(""https://docs.google.com/spreadsheets/d/1d2vevQ_7D_v35q4wCQ4RpQ_IPoTwEMB9Yp6ymwlPqew/edit?gid=984458430#gid=984458430"", ""'replication success'!A:M""), 12, FAlSE)"),"#N/A")</f>
        <v>#N/A</v>
      </c>
      <c r="BA879" s="61" t="str">
        <f>IFERROR(__xludf.DUMMYFUNCTION("vlookup(BB879,importrange(""https://docs.google.com/spreadsheets/d/1d2vevQ_7D_v35q4wCQ4RpQ_IPoTwEMB9Yp6ymwlPqew/edit?gid=984458430#gid=984458430"", ""'replication success'!A:M""), 13, FAlSE)"),"#N/A")</f>
        <v>#N/A</v>
      </c>
      <c r="BB879" s="61" t="str">
        <f>IFERROR(__xludf.DUMMYFUNCTION("REGEXREPLACE(G879, ""_[a-z]{1,2}$"", """")"),"Boyce_etal2023148_1")</f>
        <v>Boyce_etal2023148_1</v>
      </c>
      <c r="BC879" s="71"/>
      <c r="BD879" s="147" t="s">
        <v>3763</v>
      </c>
      <c r="BE879" s="71"/>
      <c r="BF879" s="71"/>
      <c r="BG879" s="71"/>
      <c r="BH879" s="71"/>
      <c r="BI879" s="71"/>
      <c r="BJ879" s="71"/>
      <c r="BK879" s="71"/>
      <c r="BL879" s="71"/>
      <c r="BM879" s="71"/>
      <c r="BN879" s="71"/>
      <c r="BO879" s="71"/>
      <c r="BP879" s="71"/>
      <c r="BQ879" s="71"/>
      <c r="BR879" s="71"/>
      <c r="BS879" s="71"/>
      <c r="BT879" s="71"/>
      <c r="BU879" s="71"/>
      <c r="BV879" s="71"/>
      <c r="BW879" s="71"/>
      <c r="BX879" s="71"/>
      <c r="BY879" s="71"/>
      <c r="BZ879" s="71"/>
      <c r="CA879" s="71"/>
      <c r="CB879" s="71"/>
      <c r="CC879" s="71"/>
      <c r="CD879" s="71"/>
      <c r="CE879" s="71"/>
      <c r="CF879" s="71"/>
      <c r="CG879" s="71"/>
      <c r="CH879" s="71"/>
      <c r="CI879" s="71"/>
      <c r="CJ879" s="71"/>
      <c r="CK879" s="71"/>
      <c r="CL879" s="71"/>
      <c r="CM879" s="71"/>
      <c r="CN879" s="71"/>
      <c r="CO879" s="71"/>
      <c r="CP879" s="71"/>
      <c r="CQ879" s="71"/>
      <c r="CR879" s="71"/>
      <c r="CS879" s="71"/>
      <c r="CT879" s="71"/>
      <c r="CU879" s="71"/>
      <c r="CV879" s="71"/>
      <c r="CW879" s="71"/>
      <c r="CX879" s="71"/>
      <c r="CY879" s="71"/>
      <c r="CZ879" s="71"/>
      <c r="DA879" s="71"/>
      <c r="DB879" s="71"/>
      <c r="DC879" s="71"/>
      <c r="DD879" s="71"/>
      <c r="DE879" s="71"/>
      <c r="DF879" s="71"/>
      <c r="DG879" s="71"/>
      <c r="DH879" s="71"/>
      <c r="DI879" s="71"/>
      <c r="DJ879" s="71"/>
      <c r="DK879" s="71"/>
      <c r="DL879" s="71"/>
    </row>
    <row r="880">
      <c r="A880" s="110">
        <v>880.0</v>
      </c>
      <c r="B880" s="147" t="s">
        <v>152</v>
      </c>
      <c r="C880" s="149" t="s">
        <v>115</v>
      </c>
      <c r="D880" s="149" t="s">
        <v>153</v>
      </c>
      <c r="E880" s="71"/>
      <c r="F880" s="111" t="s">
        <v>4769</v>
      </c>
      <c r="G880" s="122" t="s">
        <v>4791</v>
      </c>
      <c r="H880" s="122" t="s">
        <v>153</v>
      </c>
      <c r="I880" s="417">
        <v>45687.0</v>
      </c>
      <c r="J880" s="417">
        <v>45692.0</v>
      </c>
      <c r="K880" s="218" t="s">
        <v>4777</v>
      </c>
      <c r="L880" s="111"/>
      <c r="M880" s="122" t="s">
        <v>4771</v>
      </c>
      <c r="N880" s="122" t="s">
        <v>4772</v>
      </c>
      <c r="O880" s="537">
        <v>1.0</v>
      </c>
      <c r="P880" s="122" t="str">
        <f t="shared" si="37"/>
        <v>10.1177--0956797614554955.pdf</v>
      </c>
      <c r="Q880" s="1161" t="str">
        <f t="array" ref="Q880"> if(iserror(MATCH(V880, 'File Links'!C:C, 0)), "N/A", HYPERLINK(INDEX('File Links'!B:B, MATCH(P880, 'File Links'!C:C, 0))))</f>
        <v>https://drive.google.com/file/d/1epyBwvNQIzhoIzncHzNCghI35bEcM7FS/view?usp=drivesdk</v>
      </c>
      <c r="R880" s="122" t="s">
        <v>3653</v>
      </c>
      <c r="S880" s="122" t="s">
        <v>3654</v>
      </c>
      <c r="T880" s="111"/>
      <c r="U880" s="537">
        <v>1.0</v>
      </c>
      <c r="V880" s="122" t="str">
        <f t="shared" si="47"/>
        <v>10.1098--rsos.231240.pdf</v>
      </c>
      <c r="W880" s="122" t="s">
        <v>164</v>
      </c>
      <c r="X880" s="1162" t="str">
        <f t="array" ref="X880"> if(iserror(MATCH(V880, 'File Links'!C:C, 0)), "N/A", HYPERLINK(INDEX('File Links'!B:B, MATCH(V880, 'File Links'!C:C, 0))))</f>
        <v>https://drive.google.com/file/d/17gaf2Zy_ljFfcAEDk5L8GBnTl5i7RGJE/view?usp=drivesdk</v>
      </c>
      <c r="Y880" s="111"/>
      <c r="Z880" s="122" t="s">
        <v>226</v>
      </c>
      <c r="AA880" s="122" t="s">
        <v>4778</v>
      </c>
      <c r="AB880" s="122" t="s">
        <v>4779</v>
      </c>
      <c r="AC880" s="122" t="s">
        <v>4792</v>
      </c>
      <c r="AD880" s="122" t="s">
        <v>4793</v>
      </c>
      <c r="AE880" s="1109">
        <v>3.0</v>
      </c>
      <c r="AF880" s="537">
        <v>48.0</v>
      </c>
      <c r="AG880" s="1109">
        <v>0.34</v>
      </c>
      <c r="AH880" s="537" t="s">
        <v>987</v>
      </c>
      <c r="AI880" s="1109" t="s">
        <v>217</v>
      </c>
      <c r="AJ880" s="1109">
        <v>0.03</v>
      </c>
      <c r="AK880" s="122" t="s">
        <v>135</v>
      </c>
      <c r="AL880" s="122" t="s">
        <v>186</v>
      </c>
      <c r="AM880" s="122" t="s">
        <v>141</v>
      </c>
      <c r="AN880" s="147" t="s">
        <v>138</v>
      </c>
      <c r="AO880" s="537">
        <v>95.0</v>
      </c>
      <c r="AP880" s="1109">
        <v>-0.0195</v>
      </c>
      <c r="AQ880" s="537" t="s">
        <v>987</v>
      </c>
      <c r="AR880" s="1180" t="s">
        <v>4794</v>
      </c>
      <c r="AS880" s="537">
        <f>IFERROR(__xludf.DUMMYFUNCTION("1.23*10^-9"),1.23E-9)</f>
        <v>0.00000000123</v>
      </c>
      <c r="AT880" s="122" t="s">
        <v>135</v>
      </c>
      <c r="AU880" s="122" t="s">
        <v>186</v>
      </c>
      <c r="AV880" s="122" t="s">
        <v>141</v>
      </c>
      <c r="AW880" s="147" t="s">
        <v>138</v>
      </c>
      <c r="AX880" s="111" t="s">
        <v>151</v>
      </c>
      <c r="AY880" s="61" t="str">
        <f>IFERROR(__xludf.DUMMYFUNCTION("vlookup(BB880,importrange(""https://docs.google.com/spreadsheets/d/1d2vevQ_7D_v35q4wCQ4RpQ_IPoTwEMB9Yp6ymwlPqew/edit?gid=984458430#gid=984458430"", ""'replication success'!A:K""), 11, FAlSE)"),"#N/A")</f>
        <v>#N/A</v>
      </c>
      <c r="AZ880" s="61" t="str">
        <f>IFERROR(__xludf.DUMMYFUNCTION("vlookup(BB880,importrange(""https://docs.google.com/spreadsheets/d/1d2vevQ_7D_v35q4wCQ4RpQ_IPoTwEMB9Yp6ymwlPqew/edit?gid=984458430#gid=984458430"", ""'replication success'!A:M""), 12, FAlSE)"),"#N/A")</f>
        <v>#N/A</v>
      </c>
      <c r="BA880" s="61" t="str">
        <f>IFERROR(__xludf.DUMMYFUNCTION("vlookup(BB880,importrange(""https://docs.google.com/spreadsheets/d/1d2vevQ_7D_v35q4wCQ4RpQ_IPoTwEMB9Yp6ymwlPqew/edit?gid=984458430#gid=984458430"", ""'replication success'!A:M""), 13, FAlSE)"),"#N/A")</f>
        <v>#N/A</v>
      </c>
      <c r="BB880" s="61" t="str">
        <f>IFERROR(__xludf.DUMMYFUNCTION("REGEXREPLACE(G880, ""_[a-z]{1,2}$"", """")"),"Boyce_etal2023148_1")</f>
        <v>Boyce_etal2023148_1</v>
      </c>
      <c r="BC880" s="71"/>
      <c r="BD880" s="147" t="s">
        <v>3763</v>
      </c>
      <c r="BE880" s="71"/>
      <c r="BF880" s="71"/>
      <c r="BG880" s="71"/>
      <c r="BH880" s="71"/>
      <c r="BI880" s="71"/>
      <c r="BJ880" s="71"/>
      <c r="BK880" s="71"/>
      <c r="BL880" s="71"/>
      <c r="BM880" s="71"/>
      <c r="BN880" s="71"/>
      <c r="BO880" s="71"/>
      <c r="BP880" s="71"/>
      <c r="BQ880" s="71"/>
      <c r="BR880" s="71"/>
      <c r="BS880" s="71"/>
      <c r="BT880" s="71"/>
      <c r="BU880" s="71"/>
      <c r="BV880" s="71"/>
      <c r="BW880" s="71"/>
      <c r="BX880" s="71"/>
      <c r="BY880" s="71"/>
      <c r="BZ880" s="71"/>
      <c r="CA880" s="71"/>
      <c r="CB880" s="71"/>
      <c r="CC880" s="71"/>
      <c r="CD880" s="71"/>
      <c r="CE880" s="71"/>
      <c r="CF880" s="71"/>
      <c r="CG880" s="71"/>
      <c r="CH880" s="71"/>
      <c r="CI880" s="71"/>
      <c r="CJ880" s="71"/>
      <c r="CK880" s="71"/>
      <c r="CL880" s="71"/>
      <c r="CM880" s="71"/>
      <c r="CN880" s="71"/>
      <c r="CO880" s="71"/>
      <c r="CP880" s="71"/>
      <c r="CQ880" s="71"/>
      <c r="CR880" s="71"/>
      <c r="CS880" s="71"/>
      <c r="CT880" s="71"/>
      <c r="CU880" s="71"/>
      <c r="CV880" s="71"/>
      <c r="CW880" s="71"/>
      <c r="CX880" s="71"/>
      <c r="CY880" s="71"/>
      <c r="CZ880" s="71"/>
      <c r="DA880" s="71"/>
      <c r="DB880" s="71"/>
      <c r="DC880" s="71"/>
      <c r="DD880" s="71"/>
      <c r="DE880" s="71"/>
      <c r="DF880" s="71"/>
      <c r="DG880" s="71"/>
      <c r="DH880" s="71"/>
      <c r="DI880" s="71"/>
      <c r="DJ880" s="71"/>
      <c r="DK880" s="71"/>
      <c r="DL880" s="71"/>
    </row>
    <row r="881">
      <c r="A881" s="110">
        <v>881.0</v>
      </c>
      <c r="B881" s="147" t="s">
        <v>152</v>
      </c>
      <c r="C881" s="149" t="s">
        <v>115</v>
      </c>
      <c r="D881" s="149" t="s">
        <v>153</v>
      </c>
      <c r="E881" s="71"/>
      <c r="F881" s="111" t="s">
        <v>4769</v>
      </c>
      <c r="G881" s="122" t="s">
        <v>4795</v>
      </c>
      <c r="H881" s="122" t="s">
        <v>153</v>
      </c>
      <c r="I881" s="417">
        <v>45687.0</v>
      </c>
      <c r="J881" s="417">
        <v>45692.0</v>
      </c>
      <c r="K881" s="218" t="s">
        <v>4777</v>
      </c>
      <c r="L881" s="111"/>
      <c r="M881" s="122" t="s">
        <v>4771</v>
      </c>
      <c r="N881" s="122" t="s">
        <v>4772</v>
      </c>
      <c r="O881" s="537">
        <v>1.0</v>
      </c>
      <c r="P881" s="122" t="str">
        <f t="shared" si="37"/>
        <v>10.1177--0956797614554955.pdf</v>
      </c>
      <c r="Q881" s="1161" t="str">
        <f t="array" ref="Q881"> if(iserror(MATCH(V881, 'File Links'!C:C, 0)), "N/A", HYPERLINK(INDEX('File Links'!B:B, MATCH(P881, 'File Links'!C:C, 0))))</f>
        <v>https://drive.google.com/file/d/1epyBwvNQIzhoIzncHzNCghI35bEcM7FS/view?usp=drivesdk</v>
      </c>
      <c r="R881" s="122" t="s">
        <v>3653</v>
      </c>
      <c r="S881" s="122" t="s">
        <v>3654</v>
      </c>
      <c r="T881" s="111"/>
      <c r="U881" s="537">
        <v>1.0</v>
      </c>
      <c r="V881" s="122" t="str">
        <f t="shared" si="47"/>
        <v>10.1098--rsos.231240.pdf</v>
      </c>
      <c r="W881" s="122" t="s">
        <v>164</v>
      </c>
      <c r="X881" s="1162" t="str">
        <f t="array" ref="X881"> if(iserror(MATCH(V881, 'File Links'!C:C, 0)), "N/A", HYPERLINK(INDEX('File Links'!B:B, MATCH(V881, 'File Links'!C:C, 0))))</f>
        <v>https://drive.google.com/file/d/17gaf2Zy_ljFfcAEDk5L8GBnTl5i7RGJE/view?usp=drivesdk</v>
      </c>
      <c r="Y881" s="111"/>
      <c r="Z881" s="122" t="s">
        <v>226</v>
      </c>
      <c r="AA881" s="122" t="s">
        <v>4778</v>
      </c>
      <c r="AB881" s="122" t="s">
        <v>4779</v>
      </c>
      <c r="AC881" s="122" t="s">
        <v>4796</v>
      </c>
      <c r="AD881" s="122" t="s">
        <v>4797</v>
      </c>
      <c r="AE881" s="1109">
        <v>3.0</v>
      </c>
      <c r="AF881" s="537">
        <v>48.0</v>
      </c>
      <c r="AG881" s="1109">
        <v>-1.54</v>
      </c>
      <c r="AH881" s="537" t="s">
        <v>987</v>
      </c>
      <c r="AI881" s="1109" t="s">
        <v>217</v>
      </c>
      <c r="AJ881" s="1109">
        <v>0.001</v>
      </c>
      <c r="AK881" s="122" t="s">
        <v>135</v>
      </c>
      <c r="AL881" s="122" t="s">
        <v>136</v>
      </c>
      <c r="AM881" s="111" t="s">
        <v>137</v>
      </c>
      <c r="AN881" s="147" t="s">
        <v>138</v>
      </c>
      <c r="AO881" s="537">
        <v>95.0</v>
      </c>
      <c r="AP881" s="1109">
        <v>9.845E-5</v>
      </c>
      <c r="AQ881" s="537" t="s">
        <v>987</v>
      </c>
      <c r="AR881" s="1180" t="s">
        <v>4798</v>
      </c>
      <c r="AS881" s="537">
        <v>0.098598</v>
      </c>
      <c r="AT881" s="122" t="s">
        <v>172</v>
      </c>
      <c r="AU881" s="122" t="s">
        <v>186</v>
      </c>
      <c r="AV881" s="122" t="s">
        <v>141</v>
      </c>
      <c r="AW881" s="147" t="s">
        <v>138</v>
      </c>
      <c r="AX881" s="111" t="s">
        <v>151</v>
      </c>
      <c r="AY881" s="61" t="str">
        <f>IFERROR(__xludf.DUMMYFUNCTION("vlookup(BB881,importrange(""https://docs.google.com/spreadsheets/d/1d2vevQ_7D_v35q4wCQ4RpQ_IPoTwEMB9Yp6ymwlPqew/edit?gid=984458430#gid=984458430"", ""'replication success'!A:K""), 11, FAlSE)"),"#N/A")</f>
        <v>#N/A</v>
      </c>
      <c r="AZ881" s="61" t="str">
        <f>IFERROR(__xludf.DUMMYFUNCTION("vlookup(BB881,importrange(""https://docs.google.com/spreadsheets/d/1d2vevQ_7D_v35q4wCQ4RpQ_IPoTwEMB9Yp6ymwlPqew/edit?gid=984458430#gid=984458430"", ""'replication success'!A:M""), 12, FAlSE)"),"#N/A")</f>
        <v>#N/A</v>
      </c>
      <c r="BA881" s="61" t="str">
        <f>IFERROR(__xludf.DUMMYFUNCTION("vlookup(BB881,importrange(""https://docs.google.com/spreadsheets/d/1d2vevQ_7D_v35q4wCQ4RpQ_IPoTwEMB9Yp6ymwlPqew/edit?gid=984458430#gid=984458430"", ""'replication success'!A:M""), 13, FAlSE)"),"#N/A")</f>
        <v>#N/A</v>
      </c>
      <c r="BB881" s="61" t="str">
        <f>IFERROR(__xludf.DUMMYFUNCTION("REGEXREPLACE(G881, ""_[a-z]{1,2}$"", """")"),"Boyce_etal2023148_1")</f>
        <v>Boyce_etal2023148_1</v>
      </c>
      <c r="BC881" s="71"/>
      <c r="BD881" s="147" t="s">
        <v>3763</v>
      </c>
      <c r="BE881" s="71"/>
      <c r="BF881" s="71"/>
      <c r="BG881" s="71"/>
      <c r="BH881" s="71"/>
      <c r="BI881" s="71"/>
      <c r="BJ881" s="71"/>
      <c r="BK881" s="71"/>
      <c r="BL881" s="71"/>
      <c r="BM881" s="71"/>
      <c r="BN881" s="71"/>
      <c r="BO881" s="71"/>
      <c r="BP881" s="71"/>
      <c r="BQ881" s="71"/>
      <c r="BR881" s="71"/>
      <c r="BS881" s="71"/>
      <c r="BT881" s="71"/>
      <c r="BU881" s="71"/>
      <c r="BV881" s="71"/>
      <c r="BW881" s="71"/>
      <c r="BX881" s="71"/>
      <c r="BY881" s="71"/>
      <c r="BZ881" s="71"/>
      <c r="CA881" s="71"/>
      <c r="CB881" s="71"/>
      <c r="CC881" s="71"/>
      <c r="CD881" s="71"/>
      <c r="CE881" s="71"/>
      <c r="CF881" s="71"/>
      <c r="CG881" s="71"/>
      <c r="CH881" s="71"/>
      <c r="CI881" s="71"/>
      <c r="CJ881" s="71"/>
      <c r="CK881" s="71"/>
      <c r="CL881" s="71"/>
      <c r="CM881" s="71"/>
      <c r="CN881" s="71"/>
      <c r="CO881" s="71"/>
      <c r="CP881" s="71"/>
      <c r="CQ881" s="71"/>
      <c r="CR881" s="71"/>
      <c r="CS881" s="71"/>
      <c r="CT881" s="71"/>
      <c r="CU881" s="71"/>
      <c r="CV881" s="71"/>
      <c r="CW881" s="71"/>
      <c r="CX881" s="71"/>
      <c r="CY881" s="71"/>
      <c r="CZ881" s="71"/>
      <c r="DA881" s="71"/>
      <c r="DB881" s="71"/>
      <c r="DC881" s="71"/>
      <c r="DD881" s="71"/>
      <c r="DE881" s="71"/>
      <c r="DF881" s="71"/>
      <c r="DG881" s="71"/>
      <c r="DH881" s="71"/>
      <c r="DI881" s="71"/>
      <c r="DJ881" s="71"/>
      <c r="DK881" s="71"/>
      <c r="DL881" s="71"/>
    </row>
    <row r="882">
      <c r="A882" s="110">
        <v>882.0</v>
      </c>
      <c r="B882" s="147" t="s">
        <v>152</v>
      </c>
      <c r="C882" s="149" t="s">
        <v>115</v>
      </c>
      <c r="D882" s="149" t="s">
        <v>153</v>
      </c>
      <c r="E882" s="71"/>
      <c r="F882" s="111" t="s">
        <v>4769</v>
      </c>
      <c r="G882" s="122" t="s">
        <v>4799</v>
      </c>
      <c r="H882" s="122" t="s">
        <v>153</v>
      </c>
      <c r="I882" s="417">
        <v>45687.0</v>
      </c>
      <c r="J882" s="417">
        <v>45692.0</v>
      </c>
      <c r="K882" s="218" t="s">
        <v>4777</v>
      </c>
      <c r="L882" s="111"/>
      <c r="M882" s="122" t="s">
        <v>4771</v>
      </c>
      <c r="N882" s="122" t="s">
        <v>4772</v>
      </c>
      <c r="O882" s="537">
        <v>1.0</v>
      </c>
      <c r="P882" s="122" t="str">
        <f t="shared" si="37"/>
        <v>10.1177--0956797614554955.pdf</v>
      </c>
      <c r="Q882" s="1161" t="str">
        <f t="array" ref="Q882"> if(iserror(MATCH(V882, 'File Links'!C:C, 0)), "N/A", HYPERLINK(INDEX('File Links'!B:B, MATCH(P882, 'File Links'!C:C, 0))))</f>
        <v>https://drive.google.com/file/d/1epyBwvNQIzhoIzncHzNCghI35bEcM7FS/view?usp=drivesdk</v>
      </c>
      <c r="R882" s="122" t="s">
        <v>3653</v>
      </c>
      <c r="S882" s="122" t="s">
        <v>3654</v>
      </c>
      <c r="T882" s="111"/>
      <c r="U882" s="537">
        <v>1.0</v>
      </c>
      <c r="V882" s="122" t="str">
        <f t="shared" si="47"/>
        <v>10.1098--rsos.231240.pdf</v>
      </c>
      <c r="W882" s="122" t="s">
        <v>164</v>
      </c>
      <c r="X882" s="1162" t="str">
        <f t="array" ref="X882"> if(iserror(MATCH(V882, 'File Links'!C:C, 0)), "N/A", HYPERLINK(INDEX('File Links'!B:B, MATCH(V882, 'File Links'!C:C, 0))))</f>
        <v>https://drive.google.com/file/d/17gaf2Zy_ljFfcAEDk5L8GBnTl5i7RGJE/view?usp=drivesdk</v>
      </c>
      <c r="Y882" s="111"/>
      <c r="Z882" s="122" t="s">
        <v>226</v>
      </c>
      <c r="AA882" s="122" t="s">
        <v>4778</v>
      </c>
      <c r="AB882" s="122" t="s">
        <v>4779</v>
      </c>
      <c r="AC882" s="122" t="s">
        <v>4800</v>
      </c>
      <c r="AD882" s="122" t="s">
        <v>4801</v>
      </c>
      <c r="AE882" s="1109">
        <v>3.0</v>
      </c>
      <c r="AF882" s="537">
        <v>48.0</v>
      </c>
      <c r="AG882" s="1109">
        <v>-0.26</v>
      </c>
      <c r="AH882" s="537" t="s">
        <v>987</v>
      </c>
      <c r="AI882" s="1109" t="s">
        <v>217</v>
      </c>
      <c r="AJ882" s="1109">
        <v>0.001</v>
      </c>
      <c r="AK882" s="122" t="s">
        <v>135</v>
      </c>
      <c r="AL882" s="122" t="s">
        <v>136</v>
      </c>
      <c r="AM882" s="111" t="s">
        <v>137</v>
      </c>
      <c r="AN882" s="147" t="s">
        <v>138</v>
      </c>
      <c r="AO882" s="537">
        <v>95.0</v>
      </c>
      <c r="AP882" s="1109">
        <v>-0.09845</v>
      </c>
      <c r="AQ882" s="537" t="s">
        <v>987</v>
      </c>
      <c r="AR882" s="1180" t="s">
        <v>4802</v>
      </c>
      <c r="AS882" s="537">
        <v>0.207203</v>
      </c>
      <c r="AT882" s="122" t="s">
        <v>172</v>
      </c>
      <c r="AU882" s="122" t="s">
        <v>186</v>
      </c>
      <c r="AV882" s="122" t="s">
        <v>141</v>
      </c>
      <c r="AW882" s="147" t="s">
        <v>138</v>
      </c>
      <c r="AX882" s="111" t="s">
        <v>151</v>
      </c>
      <c r="AY882" s="61" t="str">
        <f>IFERROR(__xludf.DUMMYFUNCTION("vlookup(BB882,importrange(""https://docs.google.com/spreadsheets/d/1d2vevQ_7D_v35q4wCQ4RpQ_IPoTwEMB9Yp6ymwlPqew/edit?gid=984458430#gid=984458430"", ""'replication success'!A:K""), 11, FAlSE)"),"#N/A")</f>
        <v>#N/A</v>
      </c>
      <c r="AZ882" s="61" t="str">
        <f>IFERROR(__xludf.DUMMYFUNCTION("vlookup(BB882,importrange(""https://docs.google.com/spreadsheets/d/1d2vevQ_7D_v35q4wCQ4RpQ_IPoTwEMB9Yp6ymwlPqew/edit?gid=984458430#gid=984458430"", ""'replication success'!A:M""), 12, FAlSE)"),"#N/A")</f>
        <v>#N/A</v>
      </c>
      <c r="BA882" s="61" t="str">
        <f>IFERROR(__xludf.DUMMYFUNCTION("vlookup(BB882,importrange(""https://docs.google.com/spreadsheets/d/1d2vevQ_7D_v35q4wCQ4RpQ_IPoTwEMB9Yp6ymwlPqew/edit?gid=984458430#gid=984458430"", ""'replication success'!A:M""), 13, FAlSE)"),"#N/A")</f>
        <v>#N/A</v>
      </c>
      <c r="BB882" s="61" t="str">
        <f>IFERROR(__xludf.DUMMYFUNCTION("REGEXREPLACE(G882, ""_[a-z]{1,2}$"", """")"),"Boyce_etal2023148_1")</f>
        <v>Boyce_etal2023148_1</v>
      </c>
      <c r="BC882" s="71"/>
      <c r="BD882" s="147" t="s">
        <v>3763</v>
      </c>
      <c r="BE882" s="71"/>
      <c r="BF882" s="71"/>
      <c r="BG882" s="71"/>
      <c r="BH882" s="71"/>
      <c r="BI882" s="71"/>
      <c r="BJ882" s="71"/>
      <c r="BK882" s="71"/>
      <c r="BL882" s="71"/>
      <c r="BM882" s="71"/>
      <c r="BN882" s="71"/>
      <c r="BO882" s="71"/>
      <c r="BP882" s="71"/>
      <c r="BQ882" s="71"/>
      <c r="BR882" s="71"/>
      <c r="BS882" s="71"/>
      <c r="BT882" s="71"/>
      <c r="BU882" s="71"/>
      <c r="BV882" s="71"/>
      <c r="BW882" s="71"/>
      <c r="BX882" s="71"/>
      <c r="BY882" s="71"/>
      <c r="BZ882" s="71"/>
      <c r="CA882" s="71"/>
      <c r="CB882" s="71"/>
      <c r="CC882" s="71"/>
      <c r="CD882" s="71"/>
      <c r="CE882" s="71"/>
      <c r="CF882" s="71"/>
      <c r="CG882" s="71"/>
      <c r="CH882" s="71"/>
      <c r="CI882" s="71"/>
      <c r="CJ882" s="71"/>
      <c r="CK882" s="71"/>
      <c r="CL882" s="71"/>
      <c r="CM882" s="71"/>
      <c r="CN882" s="71"/>
      <c r="CO882" s="71"/>
      <c r="CP882" s="71"/>
      <c r="CQ882" s="71"/>
      <c r="CR882" s="71"/>
      <c r="CS882" s="71"/>
      <c r="CT882" s="71"/>
      <c r="CU882" s="71"/>
      <c r="CV882" s="71"/>
      <c r="CW882" s="71"/>
      <c r="CX882" s="71"/>
      <c r="CY882" s="71"/>
      <c r="CZ882" s="71"/>
      <c r="DA882" s="71"/>
      <c r="DB882" s="71"/>
      <c r="DC882" s="71"/>
      <c r="DD882" s="71"/>
      <c r="DE882" s="71"/>
      <c r="DF882" s="71"/>
      <c r="DG882" s="71"/>
      <c r="DH882" s="71"/>
      <c r="DI882" s="71"/>
      <c r="DJ882" s="71"/>
      <c r="DK882" s="71"/>
      <c r="DL882" s="71"/>
    </row>
    <row r="883">
      <c r="A883" s="1227">
        <v>883.0</v>
      </c>
      <c r="B883" s="1228" t="s">
        <v>114</v>
      </c>
      <c r="C883" s="1229" t="s">
        <v>115</v>
      </c>
      <c r="D883" s="1229" t="s">
        <v>248</v>
      </c>
      <c r="E883" s="1230"/>
      <c r="F883" s="1231" t="s">
        <v>4803</v>
      </c>
      <c r="G883" s="1231" t="s">
        <v>4804</v>
      </c>
      <c r="H883" s="1231" t="s">
        <v>249</v>
      </c>
      <c r="I883" s="1232">
        <v>45672.0</v>
      </c>
      <c r="J883" s="1232">
        <v>45692.0</v>
      </c>
      <c r="K883" s="1228"/>
      <c r="L883" s="1228" t="s">
        <v>3690</v>
      </c>
      <c r="M883" s="1231" t="s">
        <v>4805</v>
      </c>
      <c r="N883" s="1233" t="s">
        <v>4806</v>
      </c>
      <c r="O883" s="1228"/>
      <c r="P883" s="1231" t="str">
        <f t="shared" si="37"/>
        <v>10.1037xge0000738.pdf</v>
      </c>
      <c r="Q883" s="1234" t="str">
        <f t="array" ref="Q883"> if(iserror(MATCH(V883, 'File Links'!C:C, 0)), "N/A", HYPERLINK(INDEX('File Links'!B:B, MATCH(P883, 'File Links'!C:C, 0))))</f>
        <v>https://drive.google.com/file/d/1vqDYyUya1hGxUO3xOXp-fS4z5QiC8jwH/view?usp=drivesdk</v>
      </c>
      <c r="R883" s="1231" t="s">
        <v>3653</v>
      </c>
      <c r="S883" s="1231" t="s">
        <v>3654</v>
      </c>
      <c r="T883" s="1228"/>
      <c r="U883" s="1235">
        <v>1.0</v>
      </c>
      <c r="V883" s="1231" t="str">
        <f t="shared" si="47"/>
        <v>10.1098--rsos.231240.pdf</v>
      </c>
      <c r="W883" s="1231" t="s">
        <v>324</v>
      </c>
      <c r="X883" s="1236" t="str">
        <f t="array" ref="X883"> if(iserror(MATCH(V883, 'File Links'!C:C, 0)), "N/A", HYPERLINK(INDEX('File Links'!B:B, MATCH(V883, 'File Links'!C:C, 0))))</f>
        <v>https://drive.google.com/file/d/17gaf2Zy_ljFfcAEDk5L8GBnTl5i7RGJE/view?usp=drivesdk</v>
      </c>
      <c r="Y883" s="1228"/>
      <c r="Z883" s="1231" t="s">
        <v>226</v>
      </c>
      <c r="AA883" s="1228"/>
      <c r="AB883" s="1231" t="s">
        <v>4807</v>
      </c>
      <c r="AC883" s="1228"/>
      <c r="AD883" s="1231" t="s">
        <v>4808</v>
      </c>
      <c r="AE883" s="1237">
        <v>1742.0</v>
      </c>
      <c r="AF883" s="1235">
        <v>223.0</v>
      </c>
      <c r="AG883" s="1235">
        <v>0.4</v>
      </c>
      <c r="AH883" s="1231" t="s">
        <v>173</v>
      </c>
      <c r="AI883" s="1238" t="s">
        <v>4809</v>
      </c>
      <c r="AJ883" s="1235">
        <v>0.004</v>
      </c>
      <c r="AK883" s="1231" t="s">
        <v>172</v>
      </c>
      <c r="AL883" s="1231" t="s">
        <v>136</v>
      </c>
      <c r="AM883" s="1231" t="s">
        <v>141</v>
      </c>
      <c r="AN883" s="1239" t="s">
        <v>4810</v>
      </c>
      <c r="AO883" s="1235">
        <v>194.0</v>
      </c>
      <c r="AP883" s="1240">
        <v>0.145882726528282</v>
      </c>
      <c r="AQ883" s="1231" t="s">
        <v>173</v>
      </c>
      <c r="AR883" s="1153" t="s">
        <v>4120</v>
      </c>
      <c r="AS883" s="1240">
        <v>0.044079512790297</v>
      </c>
      <c r="AT883" s="1231" t="s">
        <v>172</v>
      </c>
      <c r="AU883" s="1231" t="s">
        <v>186</v>
      </c>
      <c r="AV883" s="1231" t="s">
        <v>141</v>
      </c>
      <c r="AW883" s="1080" t="s">
        <v>138</v>
      </c>
      <c r="AX883" s="1231" t="s">
        <v>143</v>
      </c>
      <c r="AY883" s="61" t="str">
        <f>IFERROR(__xludf.DUMMYFUNCTION("vlookup(BB883,importrange(""https://docs.google.com/spreadsheets/d/1d2vevQ_7D_v35q4wCQ4RpQ_IPoTwEMB9Yp6ymwlPqew/edit?gid=984458430#gid=984458430"", ""'replication success'!A:K""), 11, FAlSE)"),"#N/A")</f>
        <v>#N/A</v>
      </c>
      <c r="AZ883" s="61" t="str">
        <f>IFERROR(__xludf.DUMMYFUNCTION("vlookup(BB883,importrange(""https://docs.google.com/spreadsheets/d/1d2vevQ_7D_v35q4wCQ4RpQ_IPoTwEMB9Yp6ymwlPqew/edit?gid=984458430#gid=984458430"", ""'replication success'!A:M""), 12, FAlSE)"),"#N/A")</f>
        <v>#N/A</v>
      </c>
      <c r="BA883" s="61" t="str">
        <f>IFERROR(__xludf.DUMMYFUNCTION("vlookup(BB883,importrange(""https://docs.google.com/spreadsheets/d/1d2vevQ_7D_v35q4wCQ4RpQ_IPoTwEMB9Yp6ymwlPqew/edit?gid=984458430#gid=984458430"", ""'replication success'!A:M""), 13, FAlSE)"),"#N/A")</f>
        <v>#N/A</v>
      </c>
      <c r="BB883" s="61" t="str">
        <f>IFERROR(__xludf.DUMMYFUNCTION("REGEXREPLACE(G883, ""_[a-z]{1,2}$"", """")"),"Boyce_etal2023149_1")</f>
        <v>Boyce_etal2023149_1</v>
      </c>
      <c r="BC883" s="1230"/>
      <c r="BD883" s="1228" t="s">
        <v>153</v>
      </c>
      <c r="BE883" s="1230"/>
      <c r="BF883" s="1230"/>
      <c r="BG883" s="1230"/>
      <c r="BH883" s="1230"/>
      <c r="BI883" s="1230"/>
      <c r="BJ883" s="1230"/>
      <c r="BK883" s="1230"/>
      <c r="BL883" s="1230"/>
      <c r="BM883" s="1230"/>
      <c r="BN883" s="1230"/>
      <c r="BO883" s="1230"/>
      <c r="BP883" s="1230"/>
      <c r="BQ883" s="1230"/>
      <c r="BR883" s="1230"/>
      <c r="BS883" s="1230"/>
      <c r="BT883" s="1230"/>
      <c r="BU883" s="1230"/>
      <c r="BV883" s="1230"/>
      <c r="BW883" s="1230"/>
      <c r="BX883" s="1230"/>
      <c r="BY883" s="1230"/>
      <c r="BZ883" s="1230"/>
      <c r="CA883" s="1230"/>
      <c r="CB883" s="1230"/>
      <c r="CC883" s="1230"/>
      <c r="CD883" s="1230"/>
      <c r="CE883" s="1230"/>
      <c r="CF883" s="1230"/>
      <c r="CG883" s="1230"/>
      <c r="CH883" s="1230"/>
      <c r="CI883" s="1230"/>
      <c r="CJ883" s="1230"/>
      <c r="CK883" s="1230"/>
      <c r="CL883" s="1230"/>
      <c r="CM883" s="1230"/>
      <c r="CN883" s="1230"/>
      <c r="CO883" s="1230"/>
      <c r="CP883" s="1230"/>
      <c r="CQ883" s="1230"/>
      <c r="CR883" s="1230"/>
      <c r="CS883" s="1230"/>
      <c r="CT883" s="1230"/>
      <c r="CU883" s="1230"/>
      <c r="CV883" s="1230"/>
      <c r="CW883" s="1230"/>
      <c r="CX883" s="1230"/>
      <c r="CY883" s="1230"/>
      <c r="CZ883" s="1230"/>
      <c r="DA883" s="1230"/>
      <c r="DB883" s="1230"/>
      <c r="DC883" s="1230"/>
      <c r="DD883" s="1230"/>
      <c r="DE883" s="1230"/>
      <c r="DF883" s="1230"/>
      <c r="DG883" s="1230"/>
      <c r="DH883" s="1230"/>
      <c r="DI883" s="1230"/>
      <c r="DJ883" s="1230"/>
      <c r="DK883" s="1230"/>
      <c r="DL883" s="1230"/>
    </row>
    <row r="884">
      <c r="A884" s="1227">
        <v>884.0</v>
      </c>
      <c r="B884" s="1080" t="s">
        <v>152</v>
      </c>
      <c r="C884" s="1229" t="s">
        <v>115</v>
      </c>
      <c r="D884" s="1229" t="s">
        <v>153</v>
      </c>
      <c r="E884" s="1230"/>
      <c r="F884" s="1228" t="s">
        <v>4804</v>
      </c>
      <c r="G884" s="1231" t="s">
        <v>4803</v>
      </c>
      <c r="H884" s="1231" t="s">
        <v>153</v>
      </c>
      <c r="I884" s="1232">
        <v>45687.0</v>
      </c>
      <c r="J884" s="1232">
        <v>45692.0</v>
      </c>
      <c r="K884" s="1241" t="s">
        <v>4811</v>
      </c>
      <c r="L884" s="1228"/>
      <c r="M884" s="1231" t="s">
        <v>4805</v>
      </c>
      <c r="N884" s="1080" t="s">
        <v>4806</v>
      </c>
      <c r="O884" s="1235">
        <v>3.0</v>
      </c>
      <c r="P884" s="1231" t="str">
        <f t="shared" si="37"/>
        <v>10.1037xge0000738.pdf</v>
      </c>
      <c r="Q884" s="1234" t="str">
        <f t="array" ref="Q884"> if(iserror(MATCH(V884, 'File Links'!C:C, 0)), "N/A", HYPERLINK(INDEX('File Links'!B:B, MATCH(P884, 'File Links'!C:C, 0))))</f>
        <v>https://drive.google.com/file/d/1vqDYyUya1hGxUO3xOXp-fS4z5QiC8jwH/view?usp=drivesdk</v>
      </c>
      <c r="R884" s="1231" t="s">
        <v>3653</v>
      </c>
      <c r="S884" s="1231" t="s">
        <v>3654</v>
      </c>
      <c r="T884" s="1228"/>
      <c r="U884" s="1235">
        <v>1.0</v>
      </c>
      <c r="V884" s="1231" t="str">
        <f t="shared" si="47"/>
        <v>10.1098--rsos.231240.pdf</v>
      </c>
      <c r="W884" s="1231" t="s">
        <v>3726</v>
      </c>
      <c r="X884" s="1236" t="str">
        <f t="array" ref="X884"> if(iserror(MATCH(V884, 'File Links'!C:C, 0)), "N/A", HYPERLINK(INDEX('File Links'!B:B, MATCH(V884, 'File Links'!C:C, 0))))</f>
        <v>https://drive.google.com/file/d/17gaf2Zy_ljFfcAEDk5L8GBnTl5i7RGJE/view?usp=drivesdk</v>
      </c>
      <c r="Y884" s="1228"/>
      <c r="Z884" s="1231" t="s">
        <v>226</v>
      </c>
      <c r="AA884" s="1231" t="s">
        <v>4812</v>
      </c>
      <c r="AB884" s="1231" t="s">
        <v>4813</v>
      </c>
      <c r="AC884" s="1231" t="s">
        <v>4814</v>
      </c>
      <c r="AD884" s="1231" t="s">
        <v>4815</v>
      </c>
      <c r="AE884" s="1235">
        <v>9.0</v>
      </c>
      <c r="AF884" s="1235">
        <v>223.0</v>
      </c>
      <c r="AG884" s="1235">
        <v>0.4</v>
      </c>
      <c r="AH884" s="1235" t="s">
        <v>173</v>
      </c>
      <c r="AI884" s="1235" t="s">
        <v>628</v>
      </c>
      <c r="AJ884" s="1235">
        <v>0.004</v>
      </c>
      <c r="AK884" s="1231" t="s">
        <v>172</v>
      </c>
      <c r="AL884" s="1231" t="s">
        <v>136</v>
      </c>
      <c r="AM884" s="1231" t="s">
        <v>141</v>
      </c>
      <c r="AN884" s="1080" t="s">
        <v>138</v>
      </c>
      <c r="AO884" s="1235">
        <v>194.0</v>
      </c>
      <c r="AP884" s="1235">
        <v>0.145882726528282</v>
      </c>
      <c r="AQ884" s="1235" t="s">
        <v>173</v>
      </c>
      <c r="AR884" s="1153" t="s">
        <v>4120</v>
      </c>
      <c r="AS884" s="1235">
        <v>0.044079512790297</v>
      </c>
      <c r="AT884" s="1231" t="s">
        <v>172</v>
      </c>
      <c r="AU884" s="1231" t="s">
        <v>186</v>
      </c>
      <c r="AV884" s="1231" t="s">
        <v>141</v>
      </c>
      <c r="AW884" s="1080" t="s">
        <v>138</v>
      </c>
      <c r="AX884" s="1228" t="s">
        <v>143</v>
      </c>
      <c r="AY884" s="61" t="str">
        <f>IFERROR(__xludf.DUMMYFUNCTION("vlookup(BB884,importrange(""https://docs.google.com/spreadsheets/d/1d2vevQ_7D_v35q4wCQ4RpQ_IPoTwEMB9Yp6ymwlPqew/edit?gid=984458430#gid=984458430"", ""'replication success'!A:K""), 11, FAlSE)"),"#N/A")</f>
        <v>#N/A</v>
      </c>
      <c r="AZ884" s="61" t="str">
        <f>IFERROR(__xludf.DUMMYFUNCTION("vlookup(BB884,importrange(""https://docs.google.com/spreadsheets/d/1d2vevQ_7D_v35q4wCQ4RpQ_IPoTwEMB9Yp6ymwlPqew/edit?gid=984458430#gid=984458430"", ""'replication success'!A:M""), 12, FAlSE)"),"#N/A")</f>
        <v>#N/A</v>
      </c>
      <c r="BA884" s="61" t="str">
        <f>IFERROR(__xludf.DUMMYFUNCTION("vlookup(BB884,importrange(""https://docs.google.com/spreadsheets/d/1d2vevQ_7D_v35q4wCQ4RpQ_IPoTwEMB9Yp6ymwlPqew/edit?gid=984458430#gid=984458430"", ""'replication success'!A:M""), 13, FAlSE)"),"#N/A")</f>
        <v>#N/A</v>
      </c>
      <c r="BB884" s="61" t="str">
        <f>IFERROR(__xludf.DUMMYFUNCTION("REGEXREPLACE(G884, ""_[a-z]{1,2}$"", """")"),"Boyce_etal2023149")</f>
        <v>Boyce_etal2023149</v>
      </c>
      <c r="BC884" s="1230"/>
      <c r="BD884" s="1228" t="s">
        <v>153</v>
      </c>
      <c r="BE884" s="1230"/>
      <c r="BF884" s="1230"/>
      <c r="BG884" s="1230"/>
      <c r="BH884" s="1230"/>
      <c r="BI884" s="1230"/>
      <c r="BJ884" s="1230"/>
      <c r="BK884" s="1230"/>
      <c r="BL884" s="1230"/>
      <c r="BM884" s="1230"/>
      <c r="BN884" s="1230"/>
      <c r="BO884" s="1230"/>
      <c r="BP884" s="1230"/>
      <c r="BQ884" s="1230"/>
      <c r="BR884" s="1230"/>
      <c r="BS884" s="1230"/>
      <c r="BT884" s="1230"/>
      <c r="BU884" s="1230"/>
      <c r="BV884" s="1230"/>
      <c r="BW884" s="1230"/>
      <c r="BX884" s="1230"/>
      <c r="BY884" s="1230"/>
      <c r="BZ884" s="1230"/>
      <c r="CA884" s="1230"/>
      <c r="CB884" s="1230"/>
      <c r="CC884" s="1230"/>
      <c r="CD884" s="1230"/>
      <c r="CE884" s="1230"/>
      <c r="CF884" s="1230"/>
      <c r="CG884" s="1230"/>
      <c r="CH884" s="1230"/>
      <c r="CI884" s="1230"/>
      <c r="CJ884" s="1230"/>
      <c r="CK884" s="1230"/>
      <c r="CL884" s="1230"/>
      <c r="CM884" s="1230"/>
      <c r="CN884" s="1230"/>
      <c r="CO884" s="1230"/>
      <c r="CP884" s="1230"/>
      <c r="CQ884" s="1230"/>
      <c r="CR884" s="1230"/>
      <c r="CS884" s="1230"/>
      <c r="CT884" s="1230"/>
      <c r="CU884" s="1230"/>
      <c r="CV884" s="1230"/>
      <c r="CW884" s="1230"/>
      <c r="CX884" s="1230"/>
      <c r="CY884" s="1230"/>
      <c r="CZ884" s="1230"/>
      <c r="DA884" s="1230"/>
      <c r="DB884" s="1230"/>
      <c r="DC884" s="1230"/>
      <c r="DD884" s="1230"/>
      <c r="DE884" s="1230"/>
      <c r="DF884" s="1230"/>
      <c r="DG884" s="1230"/>
      <c r="DH884" s="1230"/>
      <c r="DI884" s="1230"/>
      <c r="DJ884" s="1230"/>
      <c r="DK884" s="1230"/>
      <c r="DL884" s="1230"/>
    </row>
    <row r="885">
      <c r="A885" s="44">
        <v>885.0</v>
      </c>
      <c r="B885" s="68" t="s">
        <v>114</v>
      </c>
      <c r="C885" s="62" t="s">
        <v>115</v>
      </c>
      <c r="D885" s="62" t="s">
        <v>248</v>
      </c>
      <c r="F885" s="159" t="s">
        <v>4816</v>
      </c>
      <c r="G885" s="159" t="s">
        <v>4817</v>
      </c>
      <c r="H885" s="159" t="s">
        <v>249</v>
      </c>
      <c r="I885" s="152">
        <v>45664.0</v>
      </c>
      <c r="J885" s="152">
        <v>45692.0</v>
      </c>
      <c r="K885" s="68"/>
      <c r="L885" s="68" t="s">
        <v>4720</v>
      </c>
      <c r="M885" s="159" t="s">
        <v>4818</v>
      </c>
      <c r="N885" s="159" t="s">
        <v>4819</v>
      </c>
      <c r="O885" s="68"/>
      <c r="P885" s="159" t="str">
        <f t="shared" si="37"/>
        <v>10.1111--cogs.12176.pdf</v>
      </c>
      <c r="Q885" s="52" t="str">
        <f t="array" ref="Q885"> if(iserror(MATCH(V885, 'File Links'!C:C, 0)), "N/A", HYPERLINK(INDEX('File Links'!B:B, MATCH(P885, 'File Links'!C:C, 0))))</f>
        <v>https://drive.google.com/file/d/1noF0-gFXnE925nL0unfvsQ-ANlXov76A/view?usp=drivesdk</v>
      </c>
      <c r="R885" s="159" t="s">
        <v>3653</v>
      </c>
      <c r="S885" s="159" t="s">
        <v>3654</v>
      </c>
      <c r="T885" s="68"/>
      <c r="U885" s="156">
        <v>1.0</v>
      </c>
      <c r="V885" s="198" t="str">
        <f t="shared" si="47"/>
        <v>10.1098--rsos.231240.pdf</v>
      </c>
      <c r="W885" s="159" t="s">
        <v>3726</v>
      </c>
      <c r="X885" s="54" t="str">
        <f t="array" ref="X885"> if(iserror(MATCH(V885, 'File Links'!C:C, 0)), "N/A", HYPERLINK(INDEX('File Links'!B:B, MATCH(V885, 'File Links'!C:C, 0))))</f>
        <v>https://drive.google.com/file/d/17gaf2Zy_ljFfcAEDk5L8GBnTl5i7RGJE/view?usp=drivesdk</v>
      </c>
      <c r="Y885" s="68"/>
      <c r="Z885" s="159" t="s">
        <v>148</v>
      </c>
      <c r="AA885" s="1115" t="s">
        <v>4820</v>
      </c>
      <c r="AB885" s="1115" t="s">
        <v>4821</v>
      </c>
      <c r="AC885" s="1115" t="s">
        <v>4822</v>
      </c>
      <c r="AD885" s="159" t="s">
        <v>4823</v>
      </c>
      <c r="AE885" s="1093">
        <v>10.0</v>
      </c>
      <c r="AF885" s="156">
        <v>32.0</v>
      </c>
      <c r="AG885" s="161" t="s">
        <v>4824</v>
      </c>
      <c r="AH885" s="119" t="s">
        <v>134</v>
      </c>
      <c r="AI885" s="1115" t="s">
        <v>632</v>
      </c>
      <c r="AJ885" s="156">
        <v>0.001</v>
      </c>
      <c r="AK885" s="159" t="s">
        <v>135</v>
      </c>
      <c r="AL885" s="159" t="s">
        <v>186</v>
      </c>
      <c r="AM885" s="159" t="s">
        <v>141</v>
      </c>
      <c r="AN885" s="129" t="s">
        <v>138</v>
      </c>
      <c r="AO885" s="156">
        <v>100.0</v>
      </c>
      <c r="AP885" s="68"/>
      <c r="AQ885" s="68"/>
      <c r="AR885" s="68"/>
      <c r="AS885" s="68"/>
      <c r="AT885" s="68"/>
      <c r="AU885" s="159" t="s">
        <v>186</v>
      </c>
      <c r="AV885" s="159" t="s">
        <v>141</v>
      </c>
      <c r="AW885" s="129" t="s">
        <v>138</v>
      </c>
      <c r="AX885" s="159" t="s">
        <v>143</v>
      </c>
      <c r="AY885" s="61" t="str">
        <f>IFERROR(__xludf.DUMMYFUNCTION("vlookup(BB885,importrange(""https://docs.google.com/spreadsheets/d/1d2vevQ_7D_v35q4wCQ4RpQ_IPoTwEMB9Yp6ymwlPqew/edit?gid=984458430#gid=984458430"", ""'replication success'!A:K""), 11, FAlSE)"),"#N/A")</f>
        <v>#N/A</v>
      </c>
      <c r="AZ885" s="61" t="str">
        <f>IFERROR(__xludf.DUMMYFUNCTION("vlookup(BB885,importrange(""https://docs.google.com/spreadsheets/d/1d2vevQ_7D_v35q4wCQ4RpQ_IPoTwEMB9Yp6ymwlPqew/edit?gid=984458430#gid=984458430"", ""'replication success'!A:M""), 12, FAlSE)"),"#N/A")</f>
        <v>#N/A</v>
      </c>
      <c r="BA885" s="61" t="str">
        <f>IFERROR(__xludf.DUMMYFUNCTION("vlookup(BB885,importrange(""https://docs.google.com/spreadsheets/d/1d2vevQ_7D_v35q4wCQ4RpQ_IPoTwEMB9Yp6ymwlPqew/edit?gid=984458430#gid=984458430"", ""'replication success'!A:M""), 13, FAlSE)"),"#N/A")</f>
        <v>#N/A</v>
      </c>
      <c r="BB885" s="61" t="str">
        <f>IFERROR(__xludf.DUMMYFUNCTION("REGEXREPLACE(G885, ""_[a-z]{1,2}$"", """")"),"Boyce_etal202315_1")</f>
        <v>Boyce_etal202315_1</v>
      </c>
      <c r="BD885" s="68" t="s">
        <v>153</v>
      </c>
      <c r="BE885" s="71"/>
    </row>
    <row r="886">
      <c r="A886" s="44">
        <v>886.0</v>
      </c>
      <c r="B886" s="68" t="s">
        <v>114</v>
      </c>
      <c r="C886" s="62" t="s">
        <v>115</v>
      </c>
      <c r="D886" s="1063" t="s">
        <v>153</v>
      </c>
      <c r="E886" s="1063" t="s">
        <v>3920</v>
      </c>
      <c r="F886" s="159" t="s">
        <v>4816</v>
      </c>
      <c r="G886" s="159" t="s">
        <v>4817</v>
      </c>
      <c r="H886" s="704" t="s">
        <v>3921</v>
      </c>
      <c r="I886" s="152">
        <v>45664.0</v>
      </c>
      <c r="J886" s="152">
        <v>45692.0</v>
      </c>
      <c r="K886" s="68"/>
      <c r="L886" s="68"/>
      <c r="M886" s="159" t="s">
        <v>4818</v>
      </c>
      <c r="N886" s="159" t="s">
        <v>4819</v>
      </c>
      <c r="O886" s="68"/>
      <c r="P886" s="159" t="str">
        <f t="shared" si="37"/>
        <v>10.1111--cogs.12176.pdf</v>
      </c>
      <c r="Q886" s="52" t="str">
        <f t="array" ref="Q886"> if(iserror(MATCH(V886, 'File Links'!C:C, 0)), "N/A", HYPERLINK(INDEX('File Links'!B:B, MATCH(P886, 'File Links'!C:C, 0))))</f>
        <v>https://drive.google.com/file/d/1noF0-gFXnE925nL0unfvsQ-ANlXov76A/view?usp=drivesdk</v>
      </c>
      <c r="R886" s="159" t="s">
        <v>4825</v>
      </c>
      <c r="S886" s="159" t="s">
        <v>4826</v>
      </c>
      <c r="T886" s="68"/>
      <c r="U886" s="156">
        <v>1.0</v>
      </c>
      <c r="V886" s="382" t="s">
        <v>3658</v>
      </c>
      <c r="W886" s="159" t="s">
        <v>3726</v>
      </c>
      <c r="X886" s="54" t="str">
        <f t="array" ref="X886"> if(iserror(MATCH(V886, 'File Links'!C:C, 0)), "N/A", HYPERLINK(INDEX('File Links'!B:B, MATCH(V886, 'File Links'!C:C, 0))))</f>
        <v>https://drive.google.com/file/d/17gaf2Zy_ljFfcAEDk5L8GBnTl5i7RGJE/view?usp=drivesdk</v>
      </c>
      <c r="Y886" s="68" t="s">
        <v>4827</v>
      </c>
      <c r="Z886" s="68"/>
      <c r="AA886" s="68"/>
      <c r="AB886" s="68"/>
      <c r="AC886" s="68"/>
      <c r="AD886" s="68"/>
      <c r="AE886" s="68"/>
      <c r="AF886" s="68"/>
      <c r="AG886" s="68"/>
      <c r="AH886" s="68"/>
      <c r="AI886" s="68"/>
      <c r="AJ886" s="68"/>
      <c r="AK886" s="68"/>
      <c r="AL886" s="68"/>
      <c r="AM886" s="68"/>
      <c r="AN886" s="129" t="s">
        <v>138</v>
      </c>
      <c r="AO886" s="68"/>
      <c r="AP886" s="68"/>
      <c r="AQ886" s="68"/>
      <c r="AR886" s="68"/>
      <c r="AS886" s="68"/>
      <c r="AT886" s="68"/>
      <c r="AU886" s="68"/>
      <c r="AV886" s="68"/>
      <c r="AW886" s="129" t="s">
        <v>138</v>
      </c>
      <c r="AX886" s="68"/>
      <c r="AY886" s="61" t="str">
        <f>IFERROR(__xludf.DUMMYFUNCTION("vlookup(BB886,importrange(""https://docs.google.com/spreadsheets/d/1d2vevQ_7D_v35q4wCQ4RpQ_IPoTwEMB9Yp6ymwlPqew/edit?gid=984458430#gid=984458430"", ""'replication success'!A:K""), 11, FAlSE)"),"#N/A")</f>
        <v>#N/A</v>
      </c>
      <c r="AZ886" s="61" t="str">
        <f>IFERROR(__xludf.DUMMYFUNCTION("vlookup(BB886,importrange(""https://docs.google.com/spreadsheets/d/1d2vevQ_7D_v35q4wCQ4RpQ_IPoTwEMB9Yp6ymwlPqew/edit?gid=984458430#gid=984458430"", ""'replication success'!A:M""), 12, FAlSE)"),"#N/A")</f>
        <v>#N/A</v>
      </c>
      <c r="BA886" s="61" t="str">
        <f>IFERROR(__xludf.DUMMYFUNCTION("vlookup(BB886,importrange(""https://docs.google.com/spreadsheets/d/1d2vevQ_7D_v35q4wCQ4RpQ_IPoTwEMB9Yp6ymwlPqew/edit?gid=984458430#gid=984458430"", ""'replication success'!A:M""), 13, FAlSE)"),"#N/A")</f>
        <v>#N/A</v>
      </c>
      <c r="BB886" s="61" t="str">
        <f>IFERROR(__xludf.DUMMYFUNCTION("REGEXREPLACE(G886, ""_[a-z]{1,2}$"", """")"),"Boyce_etal202315_1")</f>
        <v>Boyce_etal202315_1</v>
      </c>
      <c r="BD886" s="68" t="s">
        <v>153</v>
      </c>
      <c r="BE886" s="71"/>
      <c r="BF886" s="189"/>
      <c r="BG886" s="189"/>
      <c r="BH886" s="189"/>
      <c r="BI886" s="189"/>
      <c r="BJ886" s="189"/>
      <c r="BK886" s="189"/>
      <c r="BL886" s="189"/>
      <c r="BM886" s="189"/>
      <c r="BN886" s="189"/>
      <c r="BO886" s="189"/>
      <c r="BP886" s="189"/>
      <c r="BQ886" s="189"/>
      <c r="BR886" s="189"/>
      <c r="BS886" s="189"/>
      <c r="BT886" s="189"/>
      <c r="BU886" s="189"/>
      <c r="BV886" s="189"/>
      <c r="BW886" s="189"/>
      <c r="BX886" s="189"/>
      <c r="BY886" s="189"/>
      <c r="BZ886" s="189"/>
      <c r="CA886" s="189"/>
      <c r="CB886" s="189"/>
      <c r="CC886" s="189"/>
      <c r="CD886" s="189"/>
      <c r="CE886" s="189"/>
      <c r="CF886" s="189"/>
      <c r="CG886" s="189"/>
      <c r="CH886" s="189"/>
      <c r="CI886" s="189"/>
      <c r="CJ886" s="189"/>
      <c r="CK886" s="189"/>
      <c r="CL886" s="189"/>
      <c r="CM886" s="189"/>
      <c r="CN886" s="189"/>
      <c r="CO886" s="189"/>
      <c r="CP886" s="189"/>
      <c r="CQ886" s="189"/>
      <c r="CR886" s="189"/>
      <c r="CS886" s="189"/>
      <c r="CT886" s="189"/>
      <c r="CU886" s="189"/>
      <c r="CV886" s="189"/>
      <c r="CW886" s="189"/>
      <c r="CX886" s="189"/>
      <c r="CY886" s="189"/>
      <c r="CZ886" s="189"/>
      <c r="DA886" s="189"/>
      <c r="DB886" s="189"/>
      <c r="DC886" s="189"/>
      <c r="DD886" s="189"/>
      <c r="DE886" s="189"/>
      <c r="DF886" s="189"/>
      <c r="DG886" s="189"/>
      <c r="DH886" s="189"/>
      <c r="DI886" s="189"/>
      <c r="DJ886" s="189"/>
      <c r="DK886" s="189"/>
      <c r="DL886" s="189"/>
    </row>
    <row r="887">
      <c r="A887" s="44">
        <v>887.0</v>
      </c>
      <c r="B887" s="68" t="s">
        <v>114</v>
      </c>
      <c r="C887" s="62" t="s">
        <v>115</v>
      </c>
      <c r="D887" s="62" t="s">
        <v>153</v>
      </c>
      <c r="F887" s="68" t="s">
        <v>4817</v>
      </c>
      <c r="G887" s="159" t="s">
        <v>4816</v>
      </c>
      <c r="H887" s="159" t="s">
        <v>153</v>
      </c>
      <c r="I887" s="152">
        <v>45687.0</v>
      </c>
      <c r="J887" s="152">
        <v>45692.0</v>
      </c>
      <c r="K887" s="437" t="s">
        <v>4828</v>
      </c>
      <c r="L887" s="68"/>
      <c r="M887" s="159" t="s">
        <v>4818</v>
      </c>
      <c r="N887" s="159" t="s">
        <v>4819</v>
      </c>
      <c r="O887" s="68"/>
      <c r="P887" s="159" t="str">
        <f t="shared" si="37"/>
        <v>10.1111--cogs.12176.pdf</v>
      </c>
      <c r="Q887" s="52" t="str">
        <f t="array" ref="Q887"> if(iserror(MATCH(V887, 'File Links'!C:C, 0)), "N/A", HYPERLINK(INDEX('File Links'!B:B, MATCH(P887, 'File Links'!C:C, 0))))</f>
        <v>https://drive.google.com/file/d/1noF0-gFXnE925nL0unfvsQ-ANlXov76A/view?usp=drivesdk</v>
      </c>
      <c r="R887" s="159" t="s">
        <v>3653</v>
      </c>
      <c r="S887" s="159" t="s">
        <v>3654</v>
      </c>
      <c r="T887" s="68"/>
      <c r="U887" s="156">
        <v>1.0</v>
      </c>
      <c r="V887" s="198" t="str">
        <f t="shared" ref="V887:V897" si="48"> hyperlink(vlookup(lower(S887),#REF!, 2, FALSE), SUBSTITUTE(lower(S887), "/", "--") &amp;  ".pdf")</f>
        <v>10.1098--rsos.231240.pdf</v>
      </c>
      <c r="W887" s="159" t="s">
        <v>3726</v>
      </c>
      <c r="X887" s="54" t="str">
        <f t="array" ref="X887"> if(iserror(MATCH(V887, 'File Links'!C:C, 0)), "N/A", HYPERLINK(INDEX('File Links'!B:B, MATCH(V887, 'File Links'!C:C, 0))))</f>
        <v>https://drive.google.com/file/d/17gaf2Zy_ljFfcAEDk5L8GBnTl5i7RGJE/view?usp=drivesdk</v>
      </c>
      <c r="Y887" s="68"/>
      <c r="Z887" s="159" t="s">
        <v>148</v>
      </c>
      <c r="AA887" s="159" t="s">
        <v>4820</v>
      </c>
      <c r="AB887" s="159" t="s">
        <v>4821</v>
      </c>
      <c r="AC887" s="159" t="s">
        <v>4822</v>
      </c>
      <c r="AD887" s="159" t="s">
        <v>4829</v>
      </c>
      <c r="AE887" s="156">
        <v>10.0</v>
      </c>
      <c r="AF887" s="156">
        <v>32.0</v>
      </c>
      <c r="AG887" s="1120">
        <v>1.012734458295901</v>
      </c>
      <c r="AH887" s="156" t="s">
        <v>173</v>
      </c>
      <c r="AI887" s="156" t="s">
        <v>307</v>
      </c>
      <c r="AJ887" s="156">
        <v>0.05</v>
      </c>
      <c r="AK887" s="159" t="s">
        <v>135</v>
      </c>
      <c r="AL887" s="159" t="s">
        <v>186</v>
      </c>
      <c r="AM887" s="159" t="s">
        <v>141</v>
      </c>
      <c r="AN887" s="129" t="s">
        <v>138</v>
      </c>
      <c r="AO887" s="156">
        <v>100.0</v>
      </c>
      <c r="AP887" s="156">
        <v>0.15</v>
      </c>
      <c r="AQ887" s="156" t="s">
        <v>173</v>
      </c>
      <c r="AR887" s="68"/>
      <c r="AS887" s="68"/>
      <c r="AT887" s="68"/>
      <c r="AU887" s="159" t="s">
        <v>186</v>
      </c>
      <c r="AV887" s="159" t="s">
        <v>141</v>
      </c>
      <c r="AW887" s="129" t="s">
        <v>138</v>
      </c>
      <c r="AX887" s="68" t="s">
        <v>143</v>
      </c>
      <c r="AY887" s="61" t="str">
        <f>IFERROR(__xludf.DUMMYFUNCTION("vlookup(BB887,importrange(""https://docs.google.com/spreadsheets/d/1d2vevQ_7D_v35q4wCQ4RpQ_IPoTwEMB9Yp6ymwlPqew/edit?gid=984458430#gid=984458430"", ""'replication success'!A:K""), 11, FAlSE)"),"#N/A")</f>
        <v>#N/A</v>
      </c>
      <c r="AZ887" s="61" t="str">
        <f>IFERROR(__xludf.DUMMYFUNCTION("vlookup(BB887,importrange(""https://docs.google.com/spreadsheets/d/1d2vevQ_7D_v35q4wCQ4RpQ_IPoTwEMB9Yp6ymwlPqew/edit?gid=984458430#gid=984458430"", ""'replication success'!A:M""), 12, FAlSE)"),"#N/A")</f>
        <v>#N/A</v>
      </c>
      <c r="BA887" s="61" t="str">
        <f>IFERROR(__xludf.DUMMYFUNCTION("vlookup(BB887,importrange(""https://docs.google.com/spreadsheets/d/1d2vevQ_7D_v35q4wCQ4RpQ_IPoTwEMB9Yp6ymwlPqew/edit?gid=984458430#gid=984458430"", ""'replication success'!A:M""), 13, FAlSE)"),"#N/A")</f>
        <v>#N/A</v>
      </c>
      <c r="BB887" s="61" t="str">
        <f>IFERROR(__xludf.DUMMYFUNCTION("REGEXREPLACE(G887, ""_[a-z]{1,2}$"", """")"),"Boyce_etal202315")</f>
        <v>Boyce_etal202315</v>
      </c>
      <c r="BD887" s="68" t="s">
        <v>153</v>
      </c>
      <c r="BE887" s="71"/>
    </row>
    <row r="888">
      <c r="A888" s="44">
        <v>888.0</v>
      </c>
      <c r="B888" s="68" t="s">
        <v>114</v>
      </c>
      <c r="C888" s="62" t="s">
        <v>115</v>
      </c>
      <c r="D888" s="62" t="s">
        <v>248</v>
      </c>
      <c r="F888" s="159" t="s">
        <v>4830</v>
      </c>
      <c r="G888" s="159" t="s">
        <v>4831</v>
      </c>
      <c r="H888" s="159" t="s">
        <v>249</v>
      </c>
      <c r="I888" s="152">
        <v>45672.0</v>
      </c>
      <c r="J888" s="152">
        <v>45692.0</v>
      </c>
      <c r="K888" s="68"/>
      <c r="L888" s="68"/>
      <c r="M888" s="159" t="s">
        <v>4832</v>
      </c>
      <c r="N888" s="159" t="s">
        <v>4833</v>
      </c>
      <c r="O888" s="68"/>
      <c r="P888" s="159" t="str">
        <f t="shared" si="37"/>
        <v>10.1177--0956797614559285.pdf</v>
      </c>
      <c r="Q888" s="52" t="str">
        <f t="array" ref="Q888"> if(iserror(MATCH(V888, 'File Links'!C:C, 0)), "N/A", HYPERLINK(INDEX('File Links'!B:B, MATCH(P888, 'File Links'!C:C, 0))))</f>
        <v>https://drive.google.com/file/d/1hgaLy7Pk7l8_uT0qzsdgGRA4OH5u_0hL/view?usp=drivesdk</v>
      </c>
      <c r="R888" s="159" t="s">
        <v>3653</v>
      </c>
      <c r="S888" s="159" t="s">
        <v>3654</v>
      </c>
      <c r="T888" s="68"/>
      <c r="U888" s="156">
        <v>1.0</v>
      </c>
      <c r="V888" s="198" t="str">
        <f t="shared" si="48"/>
        <v>10.1098--rsos.231240.pdf</v>
      </c>
      <c r="W888" s="159" t="s">
        <v>324</v>
      </c>
      <c r="X888" s="54" t="str">
        <f t="array" ref="X888"> if(iserror(MATCH(V888, 'File Links'!C:C, 0)), "N/A", HYPERLINK(INDEX('File Links'!B:B, MATCH(V888, 'File Links'!C:C, 0))))</f>
        <v>https://drive.google.com/file/d/17gaf2Zy_ljFfcAEDk5L8GBnTl5i7RGJE/view?usp=drivesdk</v>
      </c>
      <c r="Y888" s="68"/>
      <c r="Z888" s="159" t="s">
        <v>148</v>
      </c>
      <c r="AA888" s="68"/>
      <c r="AB888" s="159" t="s">
        <v>4834</v>
      </c>
      <c r="AC888" s="68"/>
      <c r="AD888" s="159" t="s">
        <v>4835</v>
      </c>
      <c r="AE888" s="156">
        <v>5.0</v>
      </c>
      <c r="AF888" s="156">
        <v>48.0</v>
      </c>
      <c r="AG888" s="1242" t="s">
        <v>4836</v>
      </c>
      <c r="AH888" s="119" t="s">
        <v>134</v>
      </c>
      <c r="AI888" s="159" t="s">
        <v>813</v>
      </c>
      <c r="AJ888" s="156">
        <v>0.007</v>
      </c>
      <c r="AK888" s="159" t="s">
        <v>172</v>
      </c>
      <c r="AL888" s="159" t="s">
        <v>186</v>
      </c>
      <c r="AM888" s="159" t="s">
        <v>141</v>
      </c>
      <c r="AN888" s="129" t="s">
        <v>138</v>
      </c>
      <c r="AO888" s="156">
        <v>51.0</v>
      </c>
      <c r="AP888" s="1243">
        <v>0.0669198092463301</v>
      </c>
      <c r="AQ888" s="159" t="s">
        <v>173</v>
      </c>
      <c r="AR888" s="1153" t="s">
        <v>4120</v>
      </c>
      <c r="AS888" s="1243">
        <v>0.652055010791243</v>
      </c>
      <c r="AT888" s="159" t="s">
        <v>172</v>
      </c>
      <c r="AU888" s="159" t="s">
        <v>186</v>
      </c>
      <c r="AV888" s="159" t="s">
        <v>141</v>
      </c>
      <c r="AW888" s="129" t="s">
        <v>138</v>
      </c>
      <c r="AX888" s="1060" t="s">
        <v>143</v>
      </c>
      <c r="AY888" s="61" t="str">
        <f>IFERROR(__xludf.DUMMYFUNCTION("vlookup(BB888,importrange(""https://docs.google.com/spreadsheets/d/1d2vevQ_7D_v35q4wCQ4RpQ_IPoTwEMB9Yp6ymwlPqew/edit?gid=984458430#gid=984458430"", ""'replication success'!A:K""), 11, FAlSE)"),"#N/A")</f>
        <v>#N/A</v>
      </c>
      <c r="AZ888" s="61" t="str">
        <f>IFERROR(__xludf.DUMMYFUNCTION("vlookup(BB888,importrange(""https://docs.google.com/spreadsheets/d/1d2vevQ_7D_v35q4wCQ4RpQ_IPoTwEMB9Yp6ymwlPqew/edit?gid=984458430#gid=984458430"", ""'replication success'!A:M""), 12, FAlSE)"),"#N/A")</f>
        <v>#N/A</v>
      </c>
      <c r="BA888" s="61" t="str">
        <f>IFERROR(__xludf.DUMMYFUNCTION("vlookup(BB888,importrange(""https://docs.google.com/spreadsheets/d/1d2vevQ_7D_v35q4wCQ4RpQ_IPoTwEMB9Yp6ymwlPqew/edit?gid=984458430#gid=984458430"", ""'replication success'!A:M""), 13, FAlSE)"),"#N/A")</f>
        <v>#N/A</v>
      </c>
      <c r="BB888" s="61" t="str">
        <f>IFERROR(__xludf.DUMMYFUNCTION("REGEXREPLACE(G888, ""_[a-z]{1,2}$"", """")"),"Boyce_etal2023150_1")</f>
        <v>Boyce_etal2023150_1</v>
      </c>
      <c r="BD888" s="68" t="s">
        <v>153</v>
      </c>
      <c r="BE888" s="71"/>
      <c r="BF888" s="189"/>
      <c r="BG888" s="189"/>
      <c r="BH888" s="189"/>
      <c r="BI888" s="189"/>
      <c r="BJ888" s="189"/>
      <c r="BK888" s="189"/>
      <c r="BL888" s="189"/>
      <c r="BM888" s="189"/>
      <c r="BN888" s="189"/>
      <c r="BO888" s="189"/>
      <c r="BP888" s="189"/>
      <c r="BQ888" s="189"/>
      <c r="BR888" s="189"/>
      <c r="BS888" s="189"/>
      <c r="BT888" s="189"/>
      <c r="BU888" s="189"/>
      <c r="BV888" s="189"/>
      <c r="BW888" s="189"/>
      <c r="BX888" s="189"/>
      <c r="BY888" s="189"/>
      <c r="BZ888" s="189"/>
      <c r="CA888" s="189"/>
      <c r="CB888" s="189"/>
      <c r="CC888" s="189"/>
      <c r="CD888" s="189"/>
      <c r="CE888" s="189"/>
      <c r="CF888" s="189"/>
      <c r="CG888" s="189"/>
      <c r="CH888" s="189"/>
      <c r="CI888" s="189"/>
      <c r="CJ888" s="189"/>
      <c r="CK888" s="189"/>
      <c r="CL888" s="189"/>
      <c r="CM888" s="189"/>
      <c r="CN888" s="189"/>
      <c r="CO888" s="189"/>
      <c r="CP888" s="189"/>
      <c r="CQ888" s="189"/>
      <c r="CR888" s="189"/>
      <c r="CS888" s="189"/>
      <c r="CT888" s="189"/>
      <c r="CU888" s="189"/>
      <c r="CV888" s="189"/>
      <c r="CW888" s="189"/>
      <c r="CX888" s="189"/>
      <c r="CY888" s="189"/>
      <c r="CZ888" s="189"/>
      <c r="DA888" s="189"/>
      <c r="DB888" s="189"/>
      <c r="DC888" s="189"/>
      <c r="DD888" s="189"/>
      <c r="DE888" s="189"/>
      <c r="DF888" s="189"/>
      <c r="DG888" s="189"/>
      <c r="DH888" s="189"/>
      <c r="DI888" s="189"/>
      <c r="DJ888" s="189"/>
      <c r="DK888" s="189"/>
      <c r="DL888" s="189"/>
    </row>
    <row r="889">
      <c r="A889" s="44">
        <v>889.0</v>
      </c>
      <c r="B889" s="129" t="s">
        <v>152</v>
      </c>
      <c r="C889" s="62" t="s">
        <v>115</v>
      </c>
      <c r="D889" s="62" t="s">
        <v>153</v>
      </c>
      <c r="F889" s="68" t="s">
        <v>4831</v>
      </c>
      <c r="G889" s="159" t="s">
        <v>4837</v>
      </c>
      <c r="H889" s="159" t="s">
        <v>153</v>
      </c>
      <c r="I889" s="152">
        <v>45687.0</v>
      </c>
      <c r="J889" s="152">
        <v>45692.0</v>
      </c>
      <c r="K889" s="1055" t="s">
        <v>4838</v>
      </c>
      <c r="L889" s="68"/>
      <c r="M889" s="159" t="s">
        <v>4832</v>
      </c>
      <c r="N889" s="159" t="s">
        <v>4833</v>
      </c>
      <c r="O889" s="156">
        <v>3.0</v>
      </c>
      <c r="P889" s="159" t="str">
        <f t="shared" si="37"/>
        <v>10.1177--0956797614559285.pdf</v>
      </c>
      <c r="Q889" s="52" t="str">
        <f t="array" ref="Q889"> if(iserror(MATCH(V889, 'File Links'!C:C, 0)), "N/A", HYPERLINK(INDEX('File Links'!B:B, MATCH(P889, 'File Links'!C:C, 0))))</f>
        <v>https://drive.google.com/file/d/1hgaLy7Pk7l8_uT0qzsdgGRA4OH5u_0hL/view?usp=drivesdk</v>
      </c>
      <c r="R889" s="159" t="s">
        <v>3653</v>
      </c>
      <c r="S889" s="159" t="s">
        <v>3654</v>
      </c>
      <c r="T889" s="441" t="s">
        <v>4839</v>
      </c>
      <c r="U889" s="156">
        <v>1.0</v>
      </c>
      <c r="V889" s="198" t="str">
        <f t="shared" si="48"/>
        <v>10.1098--rsos.231240.pdf</v>
      </c>
      <c r="W889" s="159" t="s">
        <v>3726</v>
      </c>
      <c r="X889" s="54" t="str">
        <f t="array" ref="X889"> if(iserror(MATCH(V889, 'File Links'!C:C, 0)), "N/A", HYPERLINK(INDEX('File Links'!B:B, MATCH(V889, 'File Links'!C:C, 0))))</f>
        <v>https://drive.google.com/file/d/17gaf2Zy_ljFfcAEDk5L8GBnTl5i7RGJE/view?usp=drivesdk</v>
      </c>
      <c r="Y889" s="46"/>
      <c r="Z889" s="159" t="s">
        <v>148</v>
      </c>
      <c r="AA889" s="159" t="s">
        <v>4840</v>
      </c>
      <c r="AB889" s="159" t="s">
        <v>4841</v>
      </c>
      <c r="AC889" s="159" t="s">
        <v>4842</v>
      </c>
      <c r="AD889" s="159" t="s">
        <v>4843</v>
      </c>
      <c r="AE889" s="156">
        <v>5.0</v>
      </c>
      <c r="AF889" s="156">
        <v>48.0</v>
      </c>
      <c r="AG889" s="156">
        <v>2.91</v>
      </c>
      <c r="AH889" s="156" t="s">
        <v>173</v>
      </c>
      <c r="AI889" s="156" t="s">
        <v>813</v>
      </c>
      <c r="AJ889" s="156">
        <v>0.001</v>
      </c>
      <c r="AK889" s="159" t="s">
        <v>135</v>
      </c>
      <c r="AL889" s="159" t="s">
        <v>186</v>
      </c>
      <c r="AM889" s="159" t="s">
        <v>141</v>
      </c>
      <c r="AN889" s="129" t="s">
        <v>138</v>
      </c>
      <c r="AO889" s="156">
        <v>51.0</v>
      </c>
      <c r="AP889" s="156">
        <v>2.23</v>
      </c>
      <c r="AQ889" s="156" t="s">
        <v>173</v>
      </c>
      <c r="AR889" s="156" t="s">
        <v>627</v>
      </c>
      <c r="AS889" s="156">
        <v>0.001</v>
      </c>
      <c r="AT889" s="159" t="s">
        <v>135</v>
      </c>
      <c r="AU889" s="159" t="s">
        <v>186</v>
      </c>
      <c r="AV889" s="159" t="s">
        <v>141</v>
      </c>
      <c r="AW889" s="129" t="s">
        <v>138</v>
      </c>
      <c r="AX889" s="68" t="s">
        <v>151</v>
      </c>
      <c r="AY889" s="61" t="str">
        <f>IFERROR(__xludf.DUMMYFUNCTION("vlookup(BB889,importrange(""https://docs.google.com/spreadsheets/d/1d2vevQ_7D_v35q4wCQ4RpQ_IPoTwEMB9Yp6ymwlPqew/edit?gid=984458430#gid=984458430"", ""'replication success'!A:K""), 11, FAlSE)"),"#N/A")</f>
        <v>#N/A</v>
      </c>
      <c r="AZ889" s="61" t="str">
        <f>IFERROR(__xludf.DUMMYFUNCTION("vlookup(BB889,importrange(""https://docs.google.com/spreadsheets/d/1d2vevQ_7D_v35q4wCQ4RpQ_IPoTwEMB9Yp6ymwlPqew/edit?gid=984458430#gid=984458430"", ""'replication success'!A:M""), 12, FAlSE)"),"#N/A")</f>
        <v>#N/A</v>
      </c>
      <c r="BA889" s="61" t="str">
        <f>IFERROR(__xludf.DUMMYFUNCTION("vlookup(BB889,importrange(""https://docs.google.com/spreadsheets/d/1d2vevQ_7D_v35q4wCQ4RpQ_IPoTwEMB9Yp6ymwlPqew/edit?gid=984458430#gid=984458430"", ""'replication success'!A:M""), 13, FAlSE)"),"#N/A")</f>
        <v>#N/A</v>
      </c>
      <c r="BB889" s="61" t="str">
        <f>IFERROR(__xludf.DUMMYFUNCTION("REGEXREPLACE(G889, ""_[a-z]{1,2}$"", """")"),"Boyce_etal2023150_1")</f>
        <v>Boyce_etal2023150_1</v>
      </c>
      <c r="BD889" s="68" t="s">
        <v>153</v>
      </c>
      <c r="BE889" s="71"/>
    </row>
    <row r="890">
      <c r="A890" s="44">
        <v>890.0</v>
      </c>
      <c r="B890" s="129" t="s">
        <v>152</v>
      </c>
      <c r="C890" s="62" t="s">
        <v>115</v>
      </c>
      <c r="D890" s="62" t="s">
        <v>153</v>
      </c>
      <c r="F890" s="68" t="s">
        <v>4831</v>
      </c>
      <c r="G890" s="159" t="s">
        <v>4844</v>
      </c>
      <c r="H890" s="159" t="s">
        <v>153</v>
      </c>
      <c r="I890" s="152">
        <v>45687.0</v>
      </c>
      <c r="J890" s="152">
        <v>45692.0</v>
      </c>
      <c r="K890" s="1055" t="s">
        <v>4845</v>
      </c>
      <c r="L890" s="68"/>
      <c r="M890" s="159" t="s">
        <v>4832</v>
      </c>
      <c r="N890" s="159" t="s">
        <v>4833</v>
      </c>
      <c r="O890" s="156">
        <v>3.0</v>
      </c>
      <c r="P890" s="159" t="str">
        <f t="shared" si="37"/>
        <v>10.1177--0956797614559285.pdf</v>
      </c>
      <c r="Q890" s="52" t="str">
        <f t="array" ref="Q890"> if(iserror(MATCH(V890, 'File Links'!C:C, 0)), "N/A", HYPERLINK(INDEX('File Links'!B:B, MATCH(P890, 'File Links'!C:C, 0))))</f>
        <v>https://drive.google.com/file/d/1hgaLy7Pk7l8_uT0qzsdgGRA4OH5u_0hL/view?usp=drivesdk</v>
      </c>
      <c r="R890" s="159" t="s">
        <v>3653</v>
      </c>
      <c r="S890" s="159" t="s">
        <v>3654</v>
      </c>
      <c r="T890" s="441" t="s">
        <v>4839</v>
      </c>
      <c r="U890" s="156">
        <v>1.0</v>
      </c>
      <c r="V890" s="198" t="str">
        <f t="shared" si="48"/>
        <v>10.1098--rsos.231240.pdf</v>
      </c>
      <c r="W890" s="159" t="s">
        <v>3726</v>
      </c>
      <c r="X890" s="54" t="str">
        <f t="array" ref="X890"> if(iserror(MATCH(V890, 'File Links'!C:C, 0)), "N/A", HYPERLINK(INDEX('File Links'!B:B, MATCH(V890, 'File Links'!C:C, 0))))</f>
        <v>https://drive.google.com/file/d/17gaf2Zy_ljFfcAEDk5L8GBnTl5i7RGJE/view?usp=drivesdk</v>
      </c>
      <c r="Y890" s="68"/>
      <c r="Z890" s="159" t="s">
        <v>148</v>
      </c>
      <c r="AA890" s="159" t="s">
        <v>4840</v>
      </c>
      <c r="AB890" s="159" t="s">
        <v>4841</v>
      </c>
      <c r="AC890" s="159" t="s">
        <v>4846</v>
      </c>
      <c r="AD890" s="159" t="s">
        <v>4847</v>
      </c>
      <c r="AE890" s="156">
        <v>5.0</v>
      </c>
      <c r="AF890" s="156">
        <v>48.0</v>
      </c>
      <c r="AG890" s="336">
        <v>0.81</v>
      </c>
      <c r="AH890" s="156" t="s">
        <v>173</v>
      </c>
      <c r="AI890" s="156" t="s">
        <v>813</v>
      </c>
      <c r="AJ890" s="336">
        <v>0.001</v>
      </c>
      <c r="AK890" s="159" t="s">
        <v>172</v>
      </c>
      <c r="AL890" s="159" t="s">
        <v>186</v>
      </c>
      <c r="AM890" s="159" t="s">
        <v>141</v>
      </c>
      <c r="AN890" s="129" t="s">
        <v>138</v>
      </c>
      <c r="AO890" s="336">
        <v>51.0</v>
      </c>
      <c r="AP890" s="336">
        <v>0.92</v>
      </c>
      <c r="AQ890" s="156" t="s">
        <v>173</v>
      </c>
      <c r="AR890" s="336" t="s">
        <v>182</v>
      </c>
      <c r="AS890" s="156">
        <v>0.006</v>
      </c>
      <c r="AT890" s="159" t="s">
        <v>172</v>
      </c>
      <c r="AU890" s="159" t="s">
        <v>186</v>
      </c>
      <c r="AV890" s="159" t="s">
        <v>141</v>
      </c>
      <c r="AW890" s="129" t="s">
        <v>138</v>
      </c>
      <c r="AX890" s="68" t="s">
        <v>151</v>
      </c>
      <c r="AY890" s="61" t="str">
        <f>IFERROR(__xludf.DUMMYFUNCTION("vlookup(BB890,importrange(""https://docs.google.com/spreadsheets/d/1d2vevQ_7D_v35q4wCQ4RpQ_IPoTwEMB9Yp6ymwlPqew/edit?gid=984458430#gid=984458430"", ""'replication success'!A:K""), 11, FAlSE)"),"#N/A")</f>
        <v>#N/A</v>
      </c>
      <c r="AZ890" s="61" t="str">
        <f>IFERROR(__xludf.DUMMYFUNCTION("vlookup(BB890,importrange(""https://docs.google.com/spreadsheets/d/1d2vevQ_7D_v35q4wCQ4RpQ_IPoTwEMB9Yp6ymwlPqew/edit?gid=984458430#gid=984458430"", ""'replication success'!A:M""), 12, FAlSE)"),"#N/A")</f>
        <v>#N/A</v>
      </c>
      <c r="BA890" s="61" t="str">
        <f>IFERROR(__xludf.DUMMYFUNCTION("vlookup(BB890,importrange(""https://docs.google.com/spreadsheets/d/1d2vevQ_7D_v35q4wCQ4RpQ_IPoTwEMB9Yp6ymwlPqew/edit?gid=984458430#gid=984458430"", ""'replication success'!A:M""), 13, FAlSE)"),"#N/A")</f>
        <v>#N/A</v>
      </c>
      <c r="BB890" s="61" t="str">
        <f>IFERROR(__xludf.DUMMYFUNCTION("REGEXREPLACE(G890, ""_[a-z]{1,2}$"", """")"),"Boyce_etal2023150_1")</f>
        <v>Boyce_etal2023150_1</v>
      </c>
      <c r="BD890" s="68" t="s">
        <v>153</v>
      </c>
      <c r="BE890" s="71"/>
      <c r="BF890" s="189"/>
      <c r="BG890" s="189"/>
      <c r="BH890" s="189"/>
      <c r="BI890" s="189"/>
      <c r="BJ890" s="189"/>
      <c r="BK890" s="189"/>
      <c r="BL890" s="189"/>
      <c r="BM890" s="189"/>
      <c r="BN890" s="189"/>
      <c r="BO890" s="189"/>
      <c r="BP890" s="189"/>
      <c r="BQ890" s="189"/>
      <c r="BR890" s="189"/>
      <c r="BS890" s="189"/>
      <c r="BT890" s="189"/>
      <c r="BU890" s="189"/>
      <c r="BV890" s="189"/>
      <c r="BW890" s="189"/>
      <c r="BX890" s="189"/>
      <c r="BY890" s="189"/>
      <c r="BZ890" s="189"/>
      <c r="CA890" s="189"/>
      <c r="CB890" s="189"/>
      <c r="CC890" s="189"/>
      <c r="CD890" s="189"/>
      <c r="CE890" s="189"/>
      <c r="CF890" s="189"/>
      <c r="CG890" s="189"/>
      <c r="CH890" s="189"/>
      <c r="CI890" s="189"/>
      <c r="CJ890" s="189"/>
      <c r="CK890" s="189"/>
      <c r="CL890" s="189"/>
      <c r="CM890" s="189"/>
      <c r="CN890" s="189"/>
      <c r="CO890" s="189"/>
      <c r="CP890" s="189"/>
      <c r="CQ890" s="189"/>
      <c r="CR890" s="189"/>
      <c r="CS890" s="189"/>
      <c r="CT890" s="189"/>
      <c r="CU890" s="189"/>
      <c r="CV890" s="189"/>
      <c r="CW890" s="189"/>
      <c r="CX890" s="189"/>
      <c r="CY890" s="189"/>
      <c r="CZ890" s="189"/>
      <c r="DA890" s="189"/>
      <c r="DB890" s="189"/>
      <c r="DC890" s="189"/>
      <c r="DD890" s="189"/>
      <c r="DE890" s="189"/>
      <c r="DF890" s="189"/>
      <c r="DG890" s="189"/>
      <c r="DH890" s="189"/>
      <c r="DI890" s="189"/>
      <c r="DJ890" s="189"/>
      <c r="DK890" s="189"/>
      <c r="DL890" s="189"/>
    </row>
    <row r="891">
      <c r="A891" s="44">
        <v>891.0</v>
      </c>
      <c r="B891" s="129" t="s">
        <v>152</v>
      </c>
      <c r="C891" s="62" t="s">
        <v>115</v>
      </c>
      <c r="D891" s="62" t="s">
        <v>153</v>
      </c>
      <c r="F891" s="68" t="s">
        <v>4831</v>
      </c>
      <c r="G891" s="159" t="s">
        <v>4848</v>
      </c>
      <c r="H891" s="159" t="s">
        <v>153</v>
      </c>
      <c r="I891" s="152">
        <v>45687.0</v>
      </c>
      <c r="J891" s="152">
        <v>45692.0</v>
      </c>
      <c r="K891" s="1055" t="s">
        <v>4849</v>
      </c>
      <c r="L891" s="68"/>
      <c r="M891" s="159" t="s">
        <v>4832</v>
      </c>
      <c r="N891" s="159" t="s">
        <v>4833</v>
      </c>
      <c r="O891" s="156">
        <v>3.0</v>
      </c>
      <c r="P891" s="159" t="str">
        <f t="shared" si="37"/>
        <v>10.1177--0956797614559285.pdf</v>
      </c>
      <c r="Q891" s="52" t="str">
        <f t="array" ref="Q891"> if(iserror(MATCH(V891, 'File Links'!C:C, 0)), "N/A", HYPERLINK(INDEX('File Links'!B:B, MATCH(P891, 'File Links'!C:C, 0))))</f>
        <v>https://drive.google.com/file/d/1hgaLy7Pk7l8_uT0qzsdgGRA4OH5u_0hL/view?usp=drivesdk</v>
      </c>
      <c r="R891" s="159" t="s">
        <v>3653</v>
      </c>
      <c r="S891" s="159" t="s">
        <v>3654</v>
      </c>
      <c r="T891" s="441" t="s">
        <v>4839</v>
      </c>
      <c r="U891" s="156">
        <v>1.0</v>
      </c>
      <c r="V891" s="198" t="str">
        <f t="shared" si="48"/>
        <v>10.1098--rsos.231240.pdf</v>
      </c>
      <c r="W891" s="159" t="s">
        <v>3726</v>
      </c>
      <c r="X891" s="54" t="str">
        <f t="array" ref="X891"> if(iserror(MATCH(V891, 'File Links'!C:C, 0)), "N/A", HYPERLINK(INDEX('File Links'!B:B, MATCH(V891, 'File Links'!C:C, 0))))</f>
        <v>https://drive.google.com/file/d/17gaf2Zy_ljFfcAEDk5L8GBnTl5i7RGJE/view?usp=drivesdk</v>
      </c>
      <c r="Y891" s="68"/>
      <c r="Z891" s="159" t="s">
        <v>148</v>
      </c>
      <c r="AA891" s="159" t="s">
        <v>4840</v>
      </c>
      <c r="AB891" s="159" t="s">
        <v>4841</v>
      </c>
      <c r="AC891" s="159" t="s">
        <v>4850</v>
      </c>
      <c r="AD891" s="159" t="s">
        <v>4851</v>
      </c>
      <c r="AE891" s="156">
        <v>5.0</v>
      </c>
      <c r="AF891" s="156">
        <v>48.0</v>
      </c>
      <c r="AG891" s="336">
        <v>0.93</v>
      </c>
      <c r="AH891" s="156" t="s">
        <v>173</v>
      </c>
      <c r="AI891" s="156" t="s">
        <v>813</v>
      </c>
      <c r="AJ891" s="156">
        <v>0.001</v>
      </c>
      <c r="AK891" s="159" t="s">
        <v>135</v>
      </c>
      <c r="AL891" s="159" t="s">
        <v>186</v>
      </c>
      <c r="AM891" s="159" t="s">
        <v>141</v>
      </c>
      <c r="AN891" s="129" t="s">
        <v>138</v>
      </c>
      <c r="AO891" s="336">
        <v>51.0</v>
      </c>
      <c r="AP891" s="336">
        <v>0.56</v>
      </c>
      <c r="AQ891" s="156" t="s">
        <v>173</v>
      </c>
      <c r="AR891" s="336" t="s">
        <v>305</v>
      </c>
      <c r="AS891" s="156">
        <v>0.048</v>
      </c>
      <c r="AT891" s="159" t="s">
        <v>172</v>
      </c>
      <c r="AU891" s="159" t="s">
        <v>186</v>
      </c>
      <c r="AV891" s="159" t="s">
        <v>141</v>
      </c>
      <c r="AW891" s="129" t="s">
        <v>138</v>
      </c>
      <c r="AX891" s="68" t="s">
        <v>151</v>
      </c>
      <c r="AY891" s="61" t="str">
        <f>IFERROR(__xludf.DUMMYFUNCTION("vlookup(BB891,importrange(""https://docs.google.com/spreadsheets/d/1d2vevQ_7D_v35q4wCQ4RpQ_IPoTwEMB9Yp6ymwlPqew/edit?gid=984458430#gid=984458430"", ""'replication success'!A:K""), 11, FAlSE)"),"#N/A")</f>
        <v>#N/A</v>
      </c>
      <c r="AZ891" s="61" t="str">
        <f>IFERROR(__xludf.DUMMYFUNCTION("vlookup(BB891,importrange(""https://docs.google.com/spreadsheets/d/1d2vevQ_7D_v35q4wCQ4RpQ_IPoTwEMB9Yp6ymwlPqew/edit?gid=984458430#gid=984458430"", ""'replication success'!A:M""), 12, FAlSE)"),"#N/A")</f>
        <v>#N/A</v>
      </c>
      <c r="BA891" s="61" t="str">
        <f>IFERROR(__xludf.DUMMYFUNCTION("vlookup(BB891,importrange(""https://docs.google.com/spreadsheets/d/1d2vevQ_7D_v35q4wCQ4RpQ_IPoTwEMB9Yp6ymwlPqew/edit?gid=984458430#gid=984458430"", ""'replication success'!A:M""), 13, FAlSE)"),"#N/A")</f>
        <v>#N/A</v>
      </c>
      <c r="BB891" s="61" t="str">
        <f>IFERROR(__xludf.DUMMYFUNCTION("REGEXREPLACE(G891, ""_[a-z]{1,2}$"", """")"),"Boyce_etal2023150_1")</f>
        <v>Boyce_etal2023150_1</v>
      </c>
      <c r="BD891" s="68" t="s">
        <v>153</v>
      </c>
      <c r="BE891" s="71"/>
    </row>
    <row r="892">
      <c r="A892" s="44">
        <v>892.0</v>
      </c>
      <c r="B892" s="129" t="s">
        <v>152</v>
      </c>
      <c r="C892" s="62" t="s">
        <v>115</v>
      </c>
      <c r="D892" s="62" t="s">
        <v>153</v>
      </c>
      <c r="F892" s="68" t="s">
        <v>4831</v>
      </c>
      <c r="G892" s="159" t="s">
        <v>4852</v>
      </c>
      <c r="H892" s="159" t="s">
        <v>153</v>
      </c>
      <c r="I892" s="152">
        <v>45687.0</v>
      </c>
      <c r="J892" s="152">
        <v>45692.0</v>
      </c>
      <c r="K892" s="1055" t="s">
        <v>4853</v>
      </c>
      <c r="L892" s="68"/>
      <c r="M892" s="159" t="s">
        <v>4832</v>
      </c>
      <c r="N892" s="159" t="s">
        <v>4833</v>
      </c>
      <c r="O892" s="156">
        <v>3.0</v>
      </c>
      <c r="P892" s="159" t="str">
        <f t="shared" si="37"/>
        <v>10.1177--0956797614559285.pdf</v>
      </c>
      <c r="Q892" s="52" t="str">
        <f t="array" ref="Q892"> if(iserror(MATCH(V892, 'File Links'!C:C, 0)), "N/A", HYPERLINK(INDEX('File Links'!B:B, MATCH(P892, 'File Links'!C:C, 0))))</f>
        <v>https://drive.google.com/file/d/1hgaLy7Pk7l8_uT0qzsdgGRA4OH5u_0hL/view?usp=drivesdk</v>
      </c>
      <c r="R892" s="159" t="s">
        <v>3653</v>
      </c>
      <c r="S892" s="159" t="s">
        <v>3654</v>
      </c>
      <c r="T892" s="441" t="s">
        <v>4839</v>
      </c>
      <c r="U892" s="156">
        <v>1.0</v>
      </c>
      <c r="V892" s="198" t="str">
        <f t="shared" si="48"/>
        <v>10.1098--rsos.231240.pdf</v>
      </c>
      <c r="W892" s="159" t="s">
        <v>3726</v>
      </c>
      <c r="X892" s="54" t="str">
        <f t="array" ref="X892"> if(iserror(MATCH(V892, 'File Links'!C:C, 0)), "N/A", HYPERLINK(INDEX('File Links'!B:B, MATCH(V892, 'File Links'!C:C, 0))))</f>
        <v>https://drive.google.com/file/d/17gaf2Zy_ljFfcAEDk5L8GBnTl5i7RGJE/view?usp=drivesdk</v>
      </c>
      <c r="Y892" s="68"/>
      <c r="Z892" s="159" t="s">
        <v>148</v>
      </c>
      <c r="AA892" s="159" t="s">
        <v>4840</v>
      </c>
      <c r="AB892" s="159" t="s">
        <v>4841</v>
      </c>
      <c r="AC892" s="159" t="s">
        <v>4854</v>
      </c>
      <c r="AD892" s="159" t="s">
        <v>4855</v>
      </c>
      <c r="AE892" s="156">
        <v>5.0</v>
      </c>
      <c r="AF892" s="156">
        <v>48.0</v>
      </c>
      <c r="AG892" s="336">
        <v>0.08</v>
      </c>
      <c r="AH892" s="156" t="s">
        <v>173</v>
      </c>
      <c r="AI892" s="156" t="s">
        <v>813</v>
      </c>
      <c r="AJ892" s="336">
        <v>0.69</v>
      </c>
      <c r="AK892" s="159" t="s">
        <v>172</v>
      </c>
      <c r="AL892" s="159" t="s">
        <v>186</v>
      </c>
      <c r="AM892" s="159" t="s">
        <v>141</v>
      </c>
      <c r="AN892" s="129" t="s">
        <v>138</v>
      </c>
      <c r="AO892" s="336">
        <v>51.0</v>
      </c>
      <c r="AP892" s="336">
        <v>0.57</v>
      </c>
      <c r="AQ892" s="156" t="s">
        <v>173</v>
      </c>
      <c r="AR892" s="336" t="s">
        <v>2812</v>
      </c>
      <c r="AS892" s="156">
        <v>0.066</v>
      </c>
      <c r="AT892" s="159" t="s">
        <v>172</v>
      </c>
      <c r="AU892" s="159" t="s">
        <v>186</v>
      </c>
      <c r="AV892" s="159" t="s">
        <v>141</v>
      </c>
      <c r="AW892" s="129" t="s">
        <v>138</v>
      </c>
      <c r="AX892" s="68" t="s">
        <v>151</v>
      </c>
      <c r="AY892" s="61" t="str">
        <f>IFERROR(__xludf.DUMMYFUNCTION("vlookup(BB892,importrange(""https://docs.google.com/spreadsheets/d/1d2vevQ_7D_v35q4wCQ4RpQ_IPoTwEMB9Yp6ymwlPqew/edit?gid=984458430#gid=984458430"", ""'replication success'!A:K""), 11, FAlSE)"),"#N/A")</f>
        <v>#N/A</v>
      </c>
      <c r="AZ892" s="61" t="str">
        <f>IFERROR(__xludf.DUMMYFUNCTION("vlookup(BB892,importrange(""https://docs.google.com/spreadsheets/d/1d2vevQ_7D_v35q4wCQ4RpQ_IPoTwEMB9Yp6ymwlPqew/edit?gid=984458430#gid=984458430"", ""'replication success'!A:M""), 12, FAlSE)"),"#N/A")</f>
        <v>#N/A</v>
      </c>
      <c r="BA892" s="61" t="str">
        <f>IFERROR(__xludf.DUMMYFUNCTION("vlookup(BB892,importrange(""https://docs.google.com/spreadsheets/d/1d2vevQ_7D_v35q4wCQ4RpQ_IPoTwEMB9Yp6ymwlPqew/edit?gid=984458430#gid=984458430"", ""'replication success'!A:M""), 13, FAlSE)"),"#N/A")</f>
        <v>#N/A</v>
      </c>
      <c r="BB892" s="61" t="str">
        <f>IFERROR(__xludf.DUMMYFUNCTION("REGEXREPLACE(G892, ""_[a-z]{1,2}$"", """")"),"Boyce_etal2023150_1")</f>
        <v>Boyce_etal2023150_1</v>
      </c>
      <c r="BD892" s="68" t="s">
        <v>153</v>
      </c>
      <c r="BE892" s="71"/>
      <c r="BF892" s="189"/>
      <c r="BG892" s="189"/>
      <c r="BH892" s="189"/>
      <c r="BI892" s="189"/>
      <c r="BJ892" s="189"/>
      <c r="BK892" s="189"/>
      <c r="BL892" s="189"/>
      <c r="BM892" s="189"/>
      <c r="BN892" s="189"/>
      <c r="BO892" s="189"/>
      <c r="BP892" s="189"/>
      <c r="BQ892" s="189"/>
      <c r="BR892" s="189"/>
      <c r="BS892" s="189"/>
      <c r="BT892" s="189"/>
      <c r="BU892" s="189"/>
      <c r="BV892" s="189"/>
      <c r="BW892" s="189"/>
      <c r="BX892" s="189"/>
      <c r="BY892" s="189"/>
      <c r="BZ892" s="189"/>
      <c r="CA892" s="189"/>
      <c r="CB892" s="189"/>
      <c r="CC892" s="189"/>
      <c r="CD892" s="189"/>
      <c r="CE892" s="189"/>
      <c r="CF892" s="189"/>
      <c r="CG892" s="189"/>
      <c r="CH892" s="189"/>
      <c r="CI892" s="189"/>
      <c r="CJ892" s="189"/>
      <c r="CK892" s="189"/>
      <c r="CL892" s="189"/>
      <c r="CM892" s="189"/>
      <c r="CN892" s="189"/>
      <c r="CO892" s="189"/>
      <c r="CP892" s="189"/>
      <c r="CQ892" s="189"/>
      <c r="CR892" s="189"/>
      <c r="CS892" s="189"/>
      <c r="CT892" s="189"/>
      <c r="CU892" s="189"/>
      <c r="CV892" s="189"/>
      <c r="CW892" s="189"/>
      <c r="CX892" s="189"/>
      <c r="CY892" s="189"/>
      <c r="CZ892" s="189"/>
      <c r="DA892" s="189"/>
      <c r="DB892" s="189"/>
      <c r="DC892" s="189"/>
      <c r="DD892" s="189"/>
      <c r="DE892" s="189"/>
      <c r="DF892" s="189"/>
      <c r="DG892" s="189"/>
      <c r="DH892" s="189"/>
      <c r="DI892" s="189"/>
      <c r="DJ892" s="189"/>
      <c r="DK892" s="189"/>
      <c r="DL892" s="189"/>
    </row>
    <row r="893">
      <c r="A893" s="44">
        <v>893.0</v>
      </c>
      <c r="B893" s="129" t="s">
        <v>152</v>
      </c>
      <c r="C893" s="62" t="s">
        <v>115</v>
      </c>
      <c r="D893" s="62" t="s">
        <v>153</v>
      </c>
      <c r="F893" s="68" t="s">
        <v>4831</v>
      </c>
      <c r="G893" s="159" t="s">
        <v>4856</v>
      </c>
      <c r="H893" s="159" t="s">
        <v>153</v>
      </c>
      <c r="I893" s="152">
        <v>45687.0</v>
      </c>
      <c r="J893" s="152">
        <v>45692.0</v>
      </c>
      <c r="K893" s="1055" t="s">
        <v>4857</v>
      </c>
      <c r="L893" s="68"/>
      <c r="M893" s="159" t="s">
        <v>4832</v>
      </c>
      <c r="N893" s="159" t="s">
        <v>4833</v>
      </c>
      <c r="O893" s="156">
        <v>3.0</v>
      </c>
      <c r="P893" s="159" t="str">
        <f t="shared" si="37"/>
        <v>10.1177--0956797614559285.pdf</v>
      </c>
      <c r="Q893" s="52" t="str">
        <f t="array" ref="Q893"> if(iserror(MATCH(V893, 'File Links'!C:C, 0)), "N/A", HYPERLINK(INDEX('File Links'!B:B, MATCH(P893, 'File Links'!C:C, 0))))</f>
        <v>https://drive.google.com/file/d/1hgaLy7Pk7l8_uT0qzsdgGRA4OH5u_0hL/view?usp=drivesdk</v>
      </c>
      <c r="R893" s="159" t="s">
        <v>3653</v>
      </c>
      <c r="S893" s="159" t="s">
        <v>3654</v>
      </c>
      <c r="T893" s="441" t="s">
        <v>4839</v>
      </c>
      <c r="U893" s="156">
        <v>1.0</v>
      </c>
      <c r="V893" s="198" t="str">
        <f t="shared" si="48"/>
        <v>10.1098--rsos.231240.pdf</v>
      </c>
      <c r="W893" s="159" t="s">
        <v>3726</v>
      </c>
      <c r="X893" s="54" t="str">
        <f t="array" ref="X893"> if(iserror(MATCH(V893, 'File Links'!C:C, 0)), "N/A", HYPERLINK(INDEX('File Links'!B:B, MATCH(V893, 'File Links'!C:C, 0))))</f>
        <v>https://drive.google.com/file/d/17gaf2Zy_ljFfcAEDk5L8GBnTl5i7RGJE/view?usp=drivesdk</v>
      </c>
      <c r="Y893" s="68"/>
      <c r="Z893" s="159" t="s">
        <v>148</v>
      </c>
      <c r="AA893" s="159" t="s">
        <v>4840</v>
      </c>
      <c r="AB893" s="159" t="s">
        <v>4841</v>
      </c>
      <c r="AC893" s="159" t="s">
        <v>4858</v>
      </c>
      <c r="AD893" s="159" t="s">
        <v>4859</v>
      </c>
      <c r="AE893" s="156">
        <v>5.0</v>
      </c>
      <c r="AF893" s="156">
        <v>48.0</v>
      </c>
      <c r="AG893" s="336">
        <v>0.15</v>
      </c>
      <c r="AH893" s="156" t="s">
        <v>139</v>
      </c>
      <c r="AI893" s="156" t="s">
        <v>813</v>
      </c>
      <c r="AJ893" s="336">
        <v>0.007</v>
      </c>
      <c r="AK893" s="159" t="s">
        <v>172</v>
      </c>
      <c r="AL893" s="159" t="s">
        <v>186</v>
      </c>
      <c r="AM893" s="159" t="s">
        <v>141</v>
      </c>
      <c r="AN893" s="129" t="s">
        <v>138</v>
      </c>
      <c r="AO893" s="336">
        <v>51.0</v>
      </c>
      <c r="AP893" s="1114">
        <v>0.25</v>
      </c>
      <c r="AQ893" s="156" t="s">
        <v>139</v>
      </c>
      <c r="AR893" s="336" t="s">
        <v>3255</v>
      </c>
      <c r="AS893" s="156">
        <v>0.001</v>
      </c>
      <c r="AT893" s="159" t="s">
        <v>135</v>
      </c>
      <c r="AU893" s="159" t="s">
        <v>186</v>
      </c>
      <c r="AV893" s="159" t="s">
        <v>141</v>
      </c>
      <c r="AW893" s="129" t="s">
        <v>138</v>
      </c>
      <c r="AX893" s="68" t="s">
        <v>151</v>
      </c>
      <c r="AY893" s="61" t="str">
        <f>IFERROR(__xludf.DUMMYFUNCTION("vlookup(BB893,importrange(""https://docs.google.com/spreadsheets/d/1d2vevQ_7D_v35q4wCQ4RpQ_IPoTwEMB9Yp6ymwlPqew/edit?gid=984458430#gid=984458430"", ""'replication success'!A:K""), 11, FAlSE)"),"#N/A")</f>
        <v>#N/A</v>
      </c>
      <c r="AZ893" s="61" t="str">
        <f>IFERROR(__xludf.DUMMYFUNCTION("vlookup(BB893,importrange(""https://docs.google.com/spreadsheets/d/1d2vevQ_7D_v35q4wCQ4RpQ_IPoTwEMB9Yp6ymwlPqew/edit?gid=984458430#gid=984458430"", ""'replication success'!A:M""), 12, FAlSE)"),"#N/A")</f>
        <v>#N/A</v>
      </c>
      <c r="BA893" s="61" t="str">
        <f>IFERROR(__xludf.DUMMYFUNCTION("vlookup(BB893,importrange(""https://docs.google.com/spreadsheets/d/1d2vevQ_7D_v35q4wCQ4RpQ_IPoTwEMB9Yp6ymwlPqew/edit?gid=984458430#gid=984458430"", ""'replication success'!A:M""), 13, FAlSE)"),"#N/A")</f>
        <v>#N/A</v>
      </c>
      <c r="BB893" s="61" t="str">
        <f>IFERROR(__xludf.DUMMYFUNCTION("REGEXREPLACE(G893, ""_[a-z]{1,2}$"", """")"),"Boyce_etal2023150_1")</f>
        <v>Boyce_etal2023150_1</v>
      </c>
      <c r="BD893" s="68" t="s">
        <v>153</v>
      </c>
      <c r="BE893" s="71"/>
    </row>
    <row r="894">
      <c r="A894" s="44">
        <v>894.0</v>
      </c>
      <c r="B894" s="68" t="s">
        <v>114</v>
      </c>
      <c r="C894" s="62" t="s">
        <v>115</v>
      </c>
      <c r="D894" s="62" t="s">
        <v>248</v>
      </c>
      <c r="F894" s="159" t="s">
        <v>4860</v>
      </c>
      <c r="G894" s="159" t="s">
        <v>4861</v>
      </c>
      <c r="H894" s="159" t="s">
        <v>249</v>
      </c>
      <c r="I894" s="152">
        <v>45672.0</v>
      </c>
      <c r="J894" s="152">
        <v>45692.0</v>
      </c>
      <c r="K894" s="68"/>
      <c r="L894" s="68"/>
      <c r="M894" s="159" t="s">
        <v>4862</v>
      </c>
      <c r="N894" s="159" t="s">
        <v>4863</v>
      </c>
      <c r="O894" s="68"/>
      <c r="P894" s="159" t="str">
        <f t="shared" si="37"/>
        <v>10.1177--0956797616630964.pdf</v>
      </c>
      <c r="Q894" s="52" t="str">
        <f t="array" ref="Q894"> if(iserror(MATCH(V894, 'File Links'!C:C, 0)), "N/A", HYPERLINK(INDEX('File Links'!B:B, MATCH(P894, 'File Links'!C:C, 0))))</f>
        <v>https://drive.google.com/file/d/149vWpYz3xUBwjR-0Vi63Qa-y5jEghDmg/view?usp=drivesdk</v>
      </c>
      <c r="R894" s="159" t="s">
        <v>3653</v>
      </c>
      <c r="S894" s="159" t="s">
        <v>3654</v>
      </c>
      <c r="T894" s="68"/>
      <c r="U894" s="156">
        <v>1.0</v>
      </c>
      <c r="V894" s="198" t="str">
        <f t="shared" si="48"/>
        <v>10.1098--rsos.231240.pdf</v>
      </c>
      <c r="W894" s="159" t="s">
        <v>3726</v>
      </c>
      <c r="X894" s="54" t="str">
        <f t="array" ref="X894"> if(iserror(MATCH(V894, 'File Links'!C:C, 0)), "N/A", HYPERLINK(INDEX('File Links'!B:B, MATCH(V894, 'File Links'!C:C, 0))))</f>
        <v>https://drive.google.com/file/d/17gaf2Zy_ljFfcAEDk5L8GBnTl5i7RGJE/view?usp=drivesdk</v>
      </c>
      <c r="Y894" s="68"/>
      <c r="Z894" s="159" t="s">
        <v>148</v>
      </c>
      <c r="AA894" s="68"/>
      <c r="AB894" s="159" t="s">
        <v>3805</v>
      </c>
      <c r="AC894" s="68"/>
      <c r="AD894" s="159" t="s">
        <v>4864</v>
      </c>
      <c r="AE894" s="156">
        <v>6.0</v>
      </c>
      <c r="AF894" s="156">
        <v>16.0</v>
      </c>
      <c r="AG894" s="156">
        <v>0.3</v>
      </c>
      <c r="AH894" s="159" t="s">
        <v>139</v>
      </c>
      <c r="AI894" s="159" t="s">
        <v>1042</v>
      </c>
      <c r="AJ894" s="156">
        <v>0.02</v>
      </c>
      <c r="AK894" s="159" t="s">
        <v>172</v>
      </c>
      <c r="AL894" s="159" t="s">
        <v>186</v>
      </c>
      <c r="AM894" s="159" t="s">
        <v>141</v>
      </c>
      <c r="AN894" s="129" t="s">
        <v>138</v>
      </c>
      <c r="AO894" s="156">
        <v>39.0</v>
      </c>
      <c r="AP894" s="1243">
        <v>0.280224269158902</v>
      </c>
      <c r="AQ894" s="159" t="s">
        <v>173</v>
      </c>
      <c r="AR894" s="1153" t="s">
        <v>4120</v>
      </c>
      <c r="AS894" s="1243">
        <v>0.0881902635199541</v>
      </c>
      <c r="AT894" s="159" t="s">
        <v>172</v>
      </c>
      <c r="AU894" s="159" t="s">
        <v>186</v>
      </c>
      <c r="AV894" s="159" t="s">
        <v>141</v>
      </c>
      <c r="AW894" s="129" t="s">
        <v>138</v>
      </c>
      <c r="AX894" s="1060" t="s">
        <v>143</v>
      </c>
      <c r="AY894" s="61" t="str">
        <f>IFERROR(__xludf.DUMMYFUNCTION("vlookup(BB894,importrange(""https://docs.google.com/spreadsheets/d/1d2vevQ_7D_v35q4wCQ4RpQ_IPoTwEMB9Yp6ymwlPqew/edit?gid=984458430#gid=984458430"", ""'replication success'!A:K""), 11, FAlSE)"),"#N/A")</f>
        <v>#N/A</v>
      </c>
      <c r="AZ894" s="61" t="str">
        <f>IFERROR(__xludf.DUMMYFUNCTION("vlookup(BB894,importrange(""https://docs.google.com/spreadsheets/d/1d2vevQ_7D_v35q4wCQ4RpQ_IPoTwEMB9Yp6ymwlPqew/edit?gid=984458430#gid=984458430"", ""'replication success'!A:M""), 12, FAlSE)"),"#N/A")</f>
        <v>#N/A</v>
      </c>
      <c r="BA894" s="61" t="str">
        <f>IFERROR(__xludf.DUMMYFUNCTION("vlookup(BB894,importrange(""https://docs.google.com/spreadsheets/d/1d2vevQ_7D_v35q4wCQ4RpQ_IPoTwEMB9Yp6ymwlPqew/edit?gid=984458430#gid=984458430"", ""'replication success'!A:M""), 13, FAlSE)"),"#N/A")</f>
        <v>#N/A</v>
      </c>
      <c r="BB894" s="61" t="str">
        <f>IFERROR(__xludf.DUMMYFUNCTION("REGEXREPLACE(G894, ""_[a-z]{1,2}$"", """")"),"Boyce_etal2023151_1")</f>
        <v>Boyce_etal2023151_1</v>
      </c>
      <c r="BD894" s="68" t="s">
        <v>153</v>
      </c>
      <c r="BE894" s="71"/>
      <c r="BF894" s="189"/>
      <c r="BG894" s="189"/>
      <c r="BH894" s="189"/>
      <c r="BI894" s="189"/>
      <c r="BJ894" s="189"/>
      <c r="BK894" s="189"/>
      <c r="BL894" s="189"/>
      <c r="BM894" s="189"/>
      <c r="BN894" s="189"/>
      <c r="BO894" s="189"/>
      <c r="BP894" s="189"/>
      <c r="BQ894" s="189"/>
      <c r="BR894" s="189"/>
      <c r="BS894" s="189"/>
      <c r="BT894" s="189"/>
      <c r="BU894" s="189"/>
      <c r="BV894" s="189"/>
      <c r="BW894" s="189"/>
      <c r="BX894" s="189"/>
      <c r="BY894" s="189"/>
      <c r="BZ894" s="189"/>
      <c r="CA894" s="189"/>
      <c r="CB894" s="189"/>
      <c r="CC894" s="189"/>
      <c r="CD894" s="189"/>
      <c r="CE894" s="189"/>
      <c r="CF894" s="189"/>
      <c r="CG894" s="189"/>
      <c r="CH894" s="189"/>
      <c r="CI894" s="189"/>
      <c r="CJ894" s="189"/>
      <c r="CK894" s="189"/>
      <c r="CL894" s="189"/>
      <c r="CM894" s="189"/>
      <c r="CN894" s="189"/>
      <c r="CO894" s="189"/>
      <c r="CP894" s="189"/>
      <c r="CQ894" s="189"/>
      <c r="CR894" s="189"/>
      <c r="CS894" s="189"/>
      <c r="CT894" s="189"/>
      <c r="CU894" s="189"/>
      <c r="CV894" s="189"/>
      <c r="CW894" s="189"/>
      <c r="CX894" s="189"/>
      <c r="CY894" s="189"/>
      <c r="CZ894" s="189"/>
      <c r="DA894" s="189"/>
      <c r="DB894" s="189"/>
      <c r="DC894" s="189"/>
      <c r="DD894" s="189"/>
      <c r="DE894" s="189"/>
      <c r="DF894" s="189"/>
      <c r="DG894" s="189"/>
      <c r="DH894" s="189"/>
      <c r="DI894" s="189"/>
      <c r="DJ894" s="189"/>
      <c r="DK894" s="189"/>
      <c r="DL894" s="189"/>
    </row>
    <row r="895">
      <c r="A895" s="44">
        <v>895.0</v>
      </c>
      <c r="B895" s="129" t="s">
        <v>152</v>
      </c>
      <c r="C895" s="62" t="s">
        <v>115</v>
      </c>
      <c r="D895" s="62" t="s">
        <v>153</v>
      </c>
      <c r="F895" s="68" t="s">
        <v>4861</v>
      </c>
      <c r="G895" s="159" t="s">
        <v>4860</v>
      </c>
      <c r="H895" s="159" t="s">
        <v>153</v>
      </c>
      <c r="I895" s="152">
        <v>45687.0</v>
      </c>
      <c r="J895" s="152">
        <v>45692.0</v>
      </c>
      <c r="K895" s="1055" t="s">
        <v>4865</v>
      </c>
      <c r="L895" s="68"/>
      <c r="M895" s="159" t="s">
        <v>4862</v>
      </c>
      <c r="N895" s="159" t="s">
        <v>4863</v>
      </c>
      <c r="O895" s="156">
        <v>3.0</v>
      </c>
      <c r="P895" s="159" t="str">
        <f t="shared" si="37"/>
        <v>10.1177--0956797616630964.pdf</v>
      </c>
      <c r="Q895" s="52" t="str">
        <f t="array" ref="Q895"> if(iserror(MATCH(V895, 'File Links'!C:C, 0)), "N/A", HYPERLINK(INDEX('File Links'!B:B, MATCH(P895, 'File Links'!C:C, 0))))</f>
        <v>https://drive.google.com/file/d/149vWpYz3xUBwjR-0Vi63Qa-y5jEghDmg/view?usp=drivesdk</v>
      </c>
      <c r="R895" s="159" t="s">
        <v>3653</v>
      </c>
      <c r="S895" s="159" t="s">
        <v>3654</v>
      </c>
      <c r="T895" s="441" t="s">
        <v>4866</v>
      </c>
      <c r="U895" s="156">
        <v>1.0</v>
      </c>
      <c r="V895" s="198" t="str">
        <f t="shared" si="48"/>
        <v>10.1098--rsos.231240.pdf</v>
      </c>
      <c r="W895" s="159" t="s">
        <v>164</v>
      </c>
      <c r="X895" s="54" t="str">
        <f t="array" ref="X895"> if(iserror(MATCH(V895, 'File Links'!C:C, 0)), "N/A", HYPERLINK(INDEX('File Links'!B:B, MATCH(V895, 'File Links'!C:C, 0))))</f>
        <v>https://drive.google.com/file/d/17gaf2Zy_ljFfcAEDk5L8GBnTl5i7RGJE/view?usp=drivesdk</v>
      </c>
      <c r="Y895" s="46"/>
      <c r="Z895" s="159" t="s">
        <v>148</v>
      </c>
      <c r="AA895" s="159" t="s">
        <v>4867</v>
      </c>
      <c r="AB895" s="159" t="s">
        <v>4868</v>
      </c>
      <c r="AC895" s="159" t="s">
        <v>4869</v>
      </c>
      <c r="AD895" s="159" t="s">
        <v>4870</v>
      </c>
      <c r="AE895" s="156">
        <v>6.0</v>
      </c>
      <c r="AF895" s="156">
        <v>16.0</v>
      </c>
      <c r="AG895" s="156">
        <v>0.31</v>
      </c>
      <c r="AH895" s="156" t="s">
        <v>139</v>
      </c>
      <c r="AI895" s="156" t="s">
        <v>140</v>
      </c>
      <c r="AJ895" s="156">
        <v>1.0E-4</v>
      </c>
      <c r="AK895" s="159" t="s">
        <v>172</v>
      </c>
      <c r="AL895" s="159" t="s">
        <v>186</v>
      </c>
      <c r="AM895" s="159" t="s">
        <v>141</v>
      </c>
      <c r="AN895" s="129" t="s">
        <v>138</v>
      </c>
      <c r="AO895" s="156">
        <v>39.0</v>
      </c>
      <c r="AP895" s="1244">
        <v>0.4</v>
      </c>
      <c r="AQ895" s="156" t="s">
        <v>139</v>
      </c>
      <c r="AR895" s="441" t="s">
        <v>4866</v>
      </c>
      <c r="AS895" s="156">
        <v>0.0</v>
      </c>
      <c r="AT895" s="159" t="s">
        <v>172</v>
      </c>
      <c r="AU895" s="159" t="s">
        <v>186</v>
      </c>
      <c r="AV895" s="159" t="s">
        <v>141</v>
      </c>
      <c r="AW895" s="129" t="s">
        <v>138</v>
      </c>
      <c r="AX895" s="68" t="s">
        <v>151</v>
      </c>
      <c r="AY895" s="61" t="str">
        <f>IFERROR(__xludf.DUMMYFUNCTION("vlookup(BB895,importrange(""https://docs.google.com/spreadsheets/d/1d2vevQ_7D_v35q4wCQ4RpQ_IPoTwEMB9Yp6ymwlPqew/edit?gid=984458430#gid=984458430"", ""'replication success'!A:K""), 11, FAlSE)"),"#N/A")</f>
        <v>#N/A</v>
      </c>
      <c r="AZ895" s="61" t="str">
        <f>IFERROR(__xludf.DUMMYFUNCTION("vlookup(BB895,importrange(""https://docs.google.com/spreadsheets/d/1d2vevQ_7D_v35q4wCQ4RpQ_IPoTwEMB9Yp6ymwlPqew/edit?gid=984458430#gid=984458430"", ""'replication success'!A:M""), 12, FAlSE)"),"#N/A")</f>
        <v>#N/A</v>
      </c>
      <c r="BA895" s="61" t="str">
        <f>IFERROR(__xludf.DUMMYFUNCTION("vlookup(BB895,importrange(""https://docs.google.com/spreadsheets/d/1d2vevQ_7D_v35q4wCQ4RpQ_IPoTwEMB9Yp6ymwlPqew/edit?gid=984458430#gid=984458430"", ""'replication success'!A:M""), 13, FAlSE)"),"#N/A")</f>
        <v>#N/A</v>
      </c>
      <c r="BB895" s="61" t="str">
        <f>IFERROR(__xludf.DUMMYFUNCTION("REGEXREPLACE(G895, ""_[a-z]{1,2}$"", """")"),"Boyce_etal2023151")</f>
        <v>Boyce_etal2023151</v>
      </c>
      <c r="BD895" s="68" t="s">
        <v>153</v>
      </c>
      <c r="BE895" s="71"/>
    </row>
    <row r="896">
      <c r="A896" s="44">
        <v>896.0</v>
      </c>
      <c r="B896" s="129" t="s">
        <v>152</v>
      </c>
      <c r="C896" s="62" t="s">
        <v>115</v>
      </c>
      <c r="D896" s="62" t="s">
        <v>153</v>
      </c>
      <c r="F896" s="68" t="s">
        <v>4861</v>
      </c>
      <c r="G896" s="159" t="s">
        <v>4871</v>
      </c>
      <c r="H896" s="159" t="s">
        <v>153</v>
      </c>
      <c r="I896" s="152">
        <v>45687.0</v>
      </c>
      <c r="J896" s="152">
        <v>45692.0</v>
      </c>
      <c r="K896" s="1055" t="s">
        <v>4872</v>
      </c>
      <c r="L896" s="68"/>
      <c r="M896" s="159" t="s">
        <v>4862</v>
      </c>
      <c r="N896" s="159" t="s">
        <v>4863</v>
      </c>
      <c r="O896" s="156">
        <v>3.0</v>
      </c>
      <c r="P896" s="159" t="str">
        <f t="shared" si="37"/>
        <v>10.1177--0956797616630964.pdf</v>
      </c>
      <c r="Q896" s="52" t="str">
        <f t="array" ref="Q896"> if(iserror(MATCH(V896, 'File Links'!C:C, 0)), "N/A", HYPERLINK(INDEX('File Links'!B:B, MATCH(P896, 'File Links'!C:C, 0))))</f>
        <v>https://drive.google.com/file/d/149vWpYz3xUBwjR-0Vi63Qa-y5jEghDmg/view?usp=drivesdk</v>
      </c>
      <c r="R896" s="159" t="s">
        <v>3653</v>
      </c>
      <c r="S896" s="159" t="s">
        <v>3654</v>
      </c>
      <c r="T896" s="441" t="s">
        <v>4866</v>
      </c>
      <c r="U896" s="156">
        <v>1.0</v>
      </c>
      <c r="V896" s="198" t="str">
        <f t="shared" si="48"/>
        <v>10.1098--rsos.231240.pdf</v>
      </c>
      <c r="W896" s="159" t="s">
        <v>164</v>
      </c>
      <c r="X896" s="54" t="str">
        <f t="array" ref="X896"> if(iserror(MATCH(V896, 'File Links'!C:C, 0)), "N/A", HYPERLINK(INDEX('File Links'!B:B, MATCH(V896, 'File Links'!C:C, 0))))</f>
        <v>https://drive.google.com/file/d/17gaf2Zy_ljFfcAEDk5L8GBnTl5i7RGJE/view?usp=drivesdk</v>
      </c>
      <c r="Y896" s="68"/>
      <c r="Z896" s="159" t="s">
        <v>148</v>
      </c>
      <c r="AA896" s="159" t="s">
        <v>4867</v>
      </c>
      <c r="AB896" s="159" t="s">
        <v>4868</v>
      </c>
      <c r="AC896" s="159" t="s">
        <v>4873</v>
      </c>
      <c r="AD896" s="159" t="s">
        <v>4874</v>
      </c>
      <c r="AE896" s="156">
        <v>6.0</v>
      </c>
      <c r="AF896" s="156">
        <v>16.0</v>
      </c>
      <c r="AG896" s="336">
        <v>0.3</v>
      </c>
      <c r="AH896" s="156" t="s">
        <v>139</v>
      </c>
      <c r="AI896" s="156" t="s">
        <v>140</v>
      </c>
      <c r="AJ896" s="336">
        <v>0.02</v>
      </c>
      <c r="AK896" s="159" t="s">
        <v>172</v>
      </c>
      <c r="AL896" s="159" t="s">
        <v>186</v>
      </c>
      <c r="AM896" s="159" t="s">
        <v>141</v>
      </c>
      <c r="AN896" s="129" t="s">
        <v>138</v>
      </c>
      <c r="AO896" s="156">
        <v>39.0</v>
      </c>
      <c r="AP896" s="1244">
        <v>0.04</v>
      </c>
      <c r="AQ896" s="156" t="s">
        <v>139</v>
      </c>
      <c r="AR896" s="441" t="s">
        <v>4866</v>
      </c>
      <c r="AS896" s="156">
        <v>0.09</v>
      </c>
      <c r="AT896" s="159" t="s">
        <v>172</v>
      </c>
      <c r="AU896" s="159" t="s">
        <v>186</v>
      </c>
      <c r="AV896" s="159" t="s">
        <v>141</v>
      </c>
      <c r="AW896" s="129" t="s">
        <v>138</v>
      </c>
      <c r="AX896" s="68" t="s">
        <v>151</v>
      </c>
      <c r="AY896" s="61" t="str">
        <f>IFERROR(__xludf.DUMMYFUNCTION("vlookup(BB896,importrange(""https://docs.google.com/spreadsheets/d/1d2vevQ_7D_v35q4wCQ4RpQ_IPoTwEMB9Yp6ymwlPqew/edit?gid=984458430#gid=984458430"", ""'replication success'!A:K""), 11, FAlSE)"),"#N/A")</f>
        <v>#N/A</v>
      </c>
      <c r="AZ896" s="61" t="str">
        <f>IFERROR(__xludf.DUMMYFUNCTION("vlookup(BB896,importrange(""https://docs.google.com/spreadsheets/d/1d2vevQ_7D_v35q4wCQ4RpQ_IPoTwEMB9Yp6ymwlPqew/edit?gid=984458430#gid=984458430"", ""'replication success'!A:M""), 12, FAlSE)"),"#N/A")</f>
        <v>#N/A</v>
      </c>
      <c r="BA896" s="61" t="str">
        <f>IFERROR(__xludf.DUMMYFUNCTION("vlookup(BB896,importrange(""https://docs.google.com/spreadsheets/d/1d2vevQ_7D_v35q4wCQ4RpQ_IPoTwEMB9Yp6ymwlPqew/edit?gid=984458430#gid=984458430"", ""'replication success'!A:M""), 13, FAlSE)"),"#N/A")</f>
        <v>#N/A</v>
      </c>
      <c r="BB896" s="61" t="str">
        <f>IFERROR(__xludf.DUMMYFUNCTION("REGEXREPLACE(G896, ""_[a-z]{1,2}$"", """")"),"Boyce_etal2023151_1")</f>
        <v>Boyce_etal2023151_1</v>
      </c>
      <c r="BD896" s="68" t="s">
        <v>153</v>
      </c>
      <c r="BE896" s="71"/>
      <c r="BF896" s="189"/>
      <c r="BG896" s="189"/>
      <c r="BH896" s="189"/>
      <c r="BI896" s="189"/>
      <c r="BJ896" s="189"/>
      <c r="BK896" s="189"/>
      <c r="BL896" s="189"/>
      <c r="BM896" s="189"/>
      <c r="BN896" s="189"/>
      <c r="BO896" s="189"/>
      <c r="BP896" s="189"/>
      <c r="BQ896" s="189"/>
      <c r="BR896" s="189"/>
      <c r="BS896" s="189"/>
      <c r="BT896" s="189"/>
      <c r="BU896" s="189"/>
      <c r="BV896" s="189"/>
      <c r="BW896" s="189"/>
      <c r="BX896" s="189"/>
      <c r="BY896" s="189"/>
      <c r="BZ896" s="189"/>
      <c r="CA896" s="189"/>
      <c r="CB896" s="189"/>
      <c r="CC896" s="189"/>
      <c r="CD896" s="189"/>
      <c r="CE896" s="189"/>
      <c r="CF896" s="189"/>
      <c r="CG896" s="189"/>
      <c r="CH896" s="189"/>
      <c r="CI896" s="189"/>
      <c r="CJ896" s="189"/>
      <c r="CK896" s="189"/>
      <c r="CL896" s="189"/>
      <c r="CM896" s="189"/>
      <c r="CN896" s="189"/>
      <c r="CO896" s="189"/>
      <c r="CP896" s="189"/>
      <c r="CQ896" s="189"/>
      <c r="CR896" s="189"/>
      <c r="CS896" s="189"/>
      <c r="CT896" s="189"/>
      <c r="CU896" s="189"/>
      <c r="CV896" s="189"/>
      <c r="CW896" s="189"/>
      <c r="CX896" s="189"/>
      <c r="CY896" s="189"/>
      <c r="CZ896" s="189"/>
      <c r="DA896" s="189"/>
      <c r="DB896" s="189"/>
      <c r="DC896" s="189"/>
      <c r="DD896" s="189"/>
      <c r="DE896" s="189"/>
      <c r="DF896" s="189"/>
      <c r="DG896" s="189"/>
      <c r="DH896" s="189"/>
      <c r="DI896" s="189"/>
      <c r="DJ896" s="189"/>
      <c r="DK896" s="189"/>
      <c r="DL896" s="189"/>
    </row>
    <row r="897">
      <c r="A897" s="110">
        <v>897.0</v>
      </c>
      <c r="B897" s="111" t="s">
        <v>114</v>
      </c>
      <c r="C897" s="149" t="s">
        <v>115</v>
      </c>
      <c r="D897" s="149" t="s">
        <v>248</v>
      </c>
      <c r="E897" s="71"/>
      <c r="F897" s="122" t="s">
        <v>4875</v>
      </c>
      <c r="G897" s="122" t="s">
        <v>4876</v>
      </c>
      <c r="H897" s="122" t="s">
        <v>249</v>
      </c>
      <c r="I897" s="417">
        <v>45672.0</v>
      </c>
      <c r="J897" s="417">
        <v>45692.0</v>
      </c>
      <c r="K897" s="218" t="s">
        <v>3683</v>
      </c>
      <c r="L897" s="111"/>
      <c r="M897" s="122" t="s">
        <v>4877</v>
      </c>
      <c r="N897" s="122" t="s">
        <v>4878</v>
      </c>
      <c r="O897" s="111"/>
      <c r="P897" s="122" t="str">
        <f t="shared" si="37"/>
        <v>10.1126--science.148.3670.661.pdf</v>
      </c>
      <c r="Q897" s="1161" t="str">
        <f t="array" ref="Q897"> if(iserror(MATCH(V897, 'File Links'!C:C, 0)), "N/A", HYPERLINK(INDEX('File Links'!B:B, MATCH(P897, 'File Links'!C:C, 0))))</f>
        <v>https://drive.google.com/file/d/1LtoTK2zHVIYGFfb_cXHLXLWkOHpGikA0/view?usp=drivesdk</v>
      </c>
      <c r="R897" s="122" t="s">
        <v>3653</v>
      </c>
      <c r="S897" s="122" t="s">
        <v>3654</v>
      </c>
      <c r="T897" s="111"/>
      <c r="U897" s="537">
        <v>1.0</v>
      </c>
      <c r="V897" s="122" t="str">
        <f t="shared" si="48"/>
        <v>10.1098--rsos.231240.pdf</v>
      </c>
      <c r="W897" s="122" t="s">
        <v>3665</v>
      </c>
      <c r="X897" s="1162" t="str">
        <f t="array" ref="X897"> if(iserror(MATCH(V897, 'File Links'!C:C, 0)), "N/A", HYPERLINK(INDEX('File Links'!B:B, MATCH(V897, 'File Links'!C:C, 0))))</f>
        <v>https://drive.google.com/file/d/17gaf2Zy_ljFfcAEDk5L8GBnTl5i7RGJE/view?usp=drivesdk</v>
      </c>
      <c r="Y897" s="111"/>
      <c r="Z897" s="122" t="s">
        <v>148</v>
      </c>
      <c r="AA897" s="111"/>
      <c r="AB897" s="111"/>
      <c r="AC897" s="111"/>
      <c r="AD897" s="122" t="s">
        <v>138</v>
      </c>
      <c r="AE897" s="122" t="s">
        <v>138</v>
      </c>
      <c r="AF897" s="122" t="s">
        <v>138</v>
      </c>
      <c r="AG897" s="122" t="s">
        <v>138</v>
      </c>
      <c r="AH897" s="116" t="s">
        <v>138</v>
      </c>
      <c r="AI897" s="122" t="s">
        <v>138</v>
      </c>
      <c r="AJ897" s="122" t="s">
        <v>138</v>
      </c>
      <c r="AK897" s="111"/>
      <c r="AL897" s="122" t="s">
        <v>186</v>
      </c>
      <c r="AM897" s="122" t="s">
        <v>1905</v>
      </c>
      <c r="AN897" s="147" t="s">
        <v>138</v>
      </c>
      <c r="AO897" s="537">
        <v>26.0</v>
      </c>
      <c r="AP897" s="122" t="s">
        <v>138</v>
      </c>
      <c r="AQ897" s="111"/>
      <c r="AR897" s="111"/>
      <c r="AS897" s="122" t="s">
        <v>138</v>
      </c>
      <c r="AT897" s="111"/>
      <c r="AU897" s="122" t="s">
        <v>186</v>
      </c>
      <c r="AV897" s="122" t="s">
        <v>1905</v>
      </c>
      <c r="AW897" s="147" t="s">
        <v>138</v>
      </c>
      <c r="AX897" s="122" t="s">
        <v>143</v>
      </c>
      <c r="AY897" s="61" t="str">
        <f>IFERROR(__xludf.DUMMYFUNCTION("vlookup(BB897,importrange(""https://docs.google.com/spreadsheets/d/1d2vevQ_7D_v35q4wCQ4RpQ_IPoTwEMB9Yp6ymwlPqew/edit?gid=984458430#gid=984458430"", ""'replication success'!A:K""), 11, FAlSE)"),"#N/A")</f>
        <v>#N/A</v>
      </c>
      <c r="AZ897" s="61" t="str">
        <f>IFERROR(__xludf.DUMMYFUNCTION("vlookup(BB897,importrange(""https://docs.google.com/spreadsheets/d/1d2vevQ_7D_v35q4wCQ4RpQ_IPoTwEMB9Yp6ymwlPqew/edit?gid=984458430#gid=984458430"", ""'replication success'!A:M""), 12, FAlSE)"),"#N/A")</f>
        <v>#N/A</v>
      </c>
      <c r="BA897" s="61" t="str">
        <f>IFERROR(__xludf.DUMMYFUNCTION("vlookup(BB897,importrange(""https://docs.google.com/spreadsheets/d/1d2vevQ_7D_v35q4wCQ4RpQ_IPoTwEMB9Yp6ymwlPqew/edit?gid=984458430#gid=984458430"", ""'replication success'!A:M""), 13, FAlSE)"),"#N/A")</f>
        <v>#N/A</v>
      </c>
      <c r="BB897" s="61" t="str">
        <f>IFERROR(__xludf.DUMMYFUNCTION("REGEXREPLACE(G897, ""_[a-z]{1,2}$"", """")"),"Boyce_etal2023152_1")</f>
        <v>Boyce_etal2023152_1</v>
      </c>
      <c r="BC897" s="71"/>
      <c r="BD897" s="111" t="s">
        <v>153</v>
      </c>
      <c r="BE897" s="71"/>
      <c r="BF897" s="71"/>
      <c r="BG897" s="71"/>
      <c r="BH897" s="71"/>
      <c r="BI897" s="71"/>
      <c r="BJ897" s="71"/>
      <c r="BK897" s="71"/>
      <c r="BL897" s="71"/>
      <c r="BM897" s="71"/>
      <c r="BN897" s="71"/>
      <c r="BO897" s="71"/>
      <c r="BP897" s="71"/>
      <c r="BQ897" s="71"/>
      <c r="BR897" s="71"/>
      <c r="BS897" s="71"/>
      <c r="BT897" s="71"/>
      <c r="BU897" s="71"/>
      <c r="BV897" s="71"/>
      <c r="BW897" s="71"/>
      <c r="BX897" s="71"/>
      <c r="BY897" s="71"/>
      <c r="BZ897" s="71"/>
      <c r="CA897" s="71"/>
      <c r="CB897" s="71"/>
      <c r="CC897" s="71"/>
      <c r="CD897" s="71"/>
      <c r="CE897" s="71"/>
      <c r="CF897" s="71"/>
      <c r="CG897" s="71"/>
      <c r="CH897" s="71"/>
      <c r="CI897" s="71"/>
      <c r="CJ897" s="71"/>
      <c r="CK897" s="71"/>
      <c r="CL897" s="71"/>
      <c r="CM897" s="71"/>
      <c r="CN897" s="71"/>
      <c r="CO897" s="71"/>
      <c r="CP897" s="71"/>
      <c r="CQ897" s="71"/>
      <c r="CR897" s="71"/>
      <c r="CS897" s="71"/>
      <c r="CT897" s="71"/>
      <c r="CU897" s="71"/>
      <c r="CV897" s="71"/>
      <c r="CW897" s="71"/>
      <c r="CX897" s="71"/>
      <c r="CY897" s="71"/>
      <c r="CZ897" s="71"/>
      <c r="DA897" s="71"/>
      <c r="DB897" s="71"/>
      <c r="DC897" s="71"/>
      <c r="DD897" s="71"/>
      <c r="DE897" s="71"/>
      <c r="DF897" s="71"/>
      <c r="DG897" s="71"/>
      <c r="DH897" s="71"/>
      <c r="DI897" s="71"/>
      <c r="DJ897" s="71"/>
      <c r="DK897" s="71"/>
      <c r="DL897" s="71"/>
    </row>
    <row r="898">
      <c r="A898" s="110">
        <v>898.0</v>
      </c>
      <c r="B898" s="111" t="s">
        <v>114</v>
      </c>
      <c r="C898" s="149" t="s">
        <v>115</v>
      </c>
      <c r="D898" s="149" t="s">
        <v>153</v>
      </c>
      <c r="E898" s="71"/>
      <c r="F898" s="111" t="s">
        <v>4876</v>
      </c>
      <c r="G898" s="122" t="s">
        <v>4875</v>
      </c>
      <c r="H898" s="122" t="s">
        <v>153</v>
      </c>
      <c r="I898" s="417">
        <v>45687.0</v>
      </c>
      <c r="J898" s="417">
        <v>45692.0</v>
      </c>
      <c r="K898" s="111"/>
      <c r="L898" s="111"/>
      <c r="M898" s="122" t="s">
        <v>4877</v>
      </c>
      <c r="N898" s="122" t="s">
        <v>4878</v>
      </c>
      <c r="O898" s="537">
        <v>1.0</v>
      </c>
      <c r="P898" s="122" t="str">
        <f t="shared" si="37"/>
        <v>10.1126--science.148.3670.661.pdf</v>
      </c>
      <c r="Q898" s="1161" t="str">
        <f t="array" ref="Q898"> if(iserror(MATCH(V898, 'File Links'!C:C, 0)), "N/A", HYPERLINK(INDEX('File Links'!B:B, MATCH(P898, 'File Links'!C:C, 0))))</f>
        <v>https://drive.google.com/file/d/1LtoTK2zHVIYGFfb_cXHLXLWkOHpGikA0/view?usp=drivesdk</v>
      </c>
      <c r="R898" s="122" t="s">
        <v>3653</v>
      </c>
      <c r="S898" s="122" t="s">
        <v>3654</v>
      </c>
      <c r="T898" s="111"/>
      <c r="U898" s="537">
        <v>1.0</v>
      </c>
      <c r="V898" s="122" t="s">
        <v>3658</v>
      </c>
      <c r="W898" s="111"/>
      <c r="X898" s="1162" t="str">
        <f t="array" ref="X898"> if(iserror(MATCH(V898, 'File Links'!C:C, 0)), "N/A", HYPERLINK(INDEX('File Links'!B:B, MATCH(V898, 'File Links'!C:C, 0))))</f>
        <v>https://drive.google.com/file/d/17gaf2Zy_ljFfcAEDk5L8GBnTl5i7RGJE/view?usp=drivesdk</v>
      </c>
      <c r="Y898" s="122" t="s">
        <v>3659</v>
      </c>
      <c r="Z898" s="111"/>
      <c r="AA898" s="111"/>
      <c r="AB898" s="111"/>
      <c r="AC898" s="111"/>
      <c r="AD898" s="111"/>
      <c r="AE898" s="111"/>
      <c r="AF898" s="111"/>
      <c r="AG898" s="111"/>
      <c r="AH898" s="111"/>
      <c r="AI898" s="111"/>
      <c r="AJ898" s="111"/>
      <c r="AK898" s="111"/>
      <c r="AL898" s="111"/>
      <c r="AM898" s="111"/>
      <c r="AN898" s="147" t="s">
        <v>138</v>
      </c>
      <c r="AO898" s="111"/>
      <c r="AP898" s="111"/>
      <c r="AQ898" s="111"/>
      <c r="AR898" s="111"/>
      <c r="AS898" s="111"/>
      <c r="AT898" s="111"/>
      <c r="AU898" s="111"/>
      <c r="AV898" s="111"/>
      <c r="AW898" s="111"/>
      <c r="AX898" s="111"/>
      <c r="AY898" s="61" t="str">
        <f>IFERROR(__xludf.DUMMYFUNCTION("vlookup(BB898,importrange(""https://docs.google.com/spreadsheets/d/1d2vevQ_7D_v35q4wCQ4RpQ_IPoTwEMB9Yp6ymwlPqew/edit?gid=984458430#gid=984458430"", ""'replication success'!A:K""), 11, FAlSE)"),"#N/A")</f>
        <v>#N/A</v>
      </c>
      <c r="AZ898" s="61" t="str">
        <f>IFERROR(__xludf.DUMMYFUNCTION("vlookup(BB898,importrange(""https://docs.google.com/spreadsheets/d/1d2vevQ_7D_v35q4wCQ4RpQ_IPoTwEMB9Yp6ymwlPqew/edit?gid=984458430#gid=984458430"", ""'replication success'!A:M""), 12, FAlSE)"),"#N/A")</f>
        <v>#N/A</v>
      </c>
      <c r="BA898" s="61" t="str">
        <f>IFERROR(__xludf.DUMMYFUNCTION("vlookup(BB898,importrange(""https://docs.google.com/spreadsheets/d/1d2vevQ_7D_v35q4wCQ4RpQ_IPoTwEMB9Yp6ymwlPqew/edit?gid=984458430#gid=984458430"", ""'replication success'!A:M""), 13, FAlSE)"),"#N/A")</f>
        <v>#N/A</v>
      </c>
      <c r="BB898" s="61" t="str">
        <f>IFERROR(__xludf.DUMMYFUNCTION("REGEXREPLACE(G898, ""_[a-z]{1,2}$"", """")"),"Boyce_etal2023152")</f>
        <v>Boyce_etal2023152</v>
      </c>
      <c r="BC898" s="71"/>
      <c r="BD898" s="111" t="s">
        <v>153</v>
      </c>
      <c r="BE898" s="71"/>
      <c r="BF898" s="71"/>
      <c r="BG898" s="71"/>
      <c r="BH898" s="71"/>
      <c r="BI898" s="71"/>
      <c r="BJ898" s="71"/>
      <c r="BK898" s="71"/>
      <c r="BL898" s="71"/>
      <c r="BM898" s="71"/>
      <c r="BN898" s="71"/>
      <c r="BO898" s="71"/>
      <c r="BP898" s="71"/>
      <c r="BQ898" s="71"/>
      <c r="BR898" s="71"/>
      <c r="BS898" s="71"/>
      <c r="BT898" s="71"/>
      <c r="BU898" s="71"/>
      <c r="BV898" s="71"/>
      <c r="BW898" s="71"/>
      <c r="BX898" s="71"/>
      <c r="BY898" s="71"/>
      <c r="BZ898" s="71"/>
      <c r="CA898" s="71"/>
      <c r="CB898" s="71"/>
      <c r="CC898" s="71"/>
      <c r="CD898" s="71"/>
      <c r="CE898" s="71"/>
      <c r="CF898" s="71"/>
      <c r="CG898" s="71"/>
      <c r="CH898" s="71"/>
      <c r="CI898" s="71"/>
      <c r="CJ898" s="71"/>
      <c r="CK898" s="71"/>
      <c r="CL898" s="71"/>
      <c r="CM898" s="71"/>
      <c r="CN898" s="71"/>
      <c r="CO898" s="71"/>
      <c r="CP898" s="71"/>
      <c r="CQ898" s="71"/>
      <c r="CR898" s="71"/>
      <c r="CS898" s="71"/>
      <c r="CT898" s="71"/>
      <c r="CU898" s="71"/>
      <c r="CV898" s="71"/>
      <c r="CW898" s="71"/>
      <c r="CX898" s="71"/>
      <c r="CY898" s="71"/>
      <c r="CZ898" s="71"/>
      <c r="DA898" s="71"/>
      <c r="DB898" s="71"/>
      <c r="DC898" s="71"/>
      <c r="DD898" s="71"/>
      <c r="DE898" s="71"/>
      <c r="DF898" s="71"/>
      <c r="DG898" s="71"/>
      <c r="DH898" s="71"/>
      <c r="DI898" s="71"/>
      <c r="DJ898" s="71"/>
      <c r="DK898" s="71"/>
      <c r="DL898" s="71"/>
    </row>
    <row r="899">
      <c r="A899" s="44">
        <v>899.0</v>
      </c>
      <c r="B899" s="68" t="s">
        <v>114</v>
      </c>
      <c r="C899" s="62" t="s">
        <v>115</v>
      </c>
      <c r="D899" s="62" t="s">
        <v>248</v>
      </c>
      <c r="F899" s="159" t="s">
        <v>4879</v>
      </c>
      <c r="G899" s="159" t="s">
        <v>4880</v>
      </c>
      <c r="H899" s="159" t="s">
        <v>249</v>
      </c>
      <c r="I899" s="152">
        <v>45672.0</v>
      </c>
      <c r="J899" s="152">
        <v>45692.0</v>
      </c>
      <c r="K899" s="68"/>
      <c r="L899" s="68" t="s">
        <v>3690</v>
      </c>
      <c r="M899" s="159" t="s">
        <v>4881</v>
      </c>
      <c r="N899" s="159" t="s">
        <v>4882</v>
      </c>
      <c r="O899" s="68"/>
      <c r="P899" s="159" t="str">
        <f t="shared" si="37"/>
        <v>10.1073--pnas.1202129109.pdf</v>
      </c>
      <c r="Q899" s="52" t="str">
        <f t="array" ref="Q899"> if(iserror(MATCH(V899, 'File Links'!C:C, 0)), "N/A", HYPERLINK(INDEX('File Links'!B:B, MATCH(P899, 'File Links'!C:C, 0))))</f>
        <v>https://drive.google.com/file/d/11Av49SlCGKMhtLvS_jk4226riFKcyhNh/view?usp=drivesdk</v>
      </c>
      <c r="R899" s="159" t="s">
        <v>3653</v>
      </c>
      <c r="S899" s="159" t="s">
        <v>3654</v>
      </c>
      <c r="T899" s="68"/>
      <c r="U899" s="156">
        <v>1.0</v>
      </c>
      <c r="V899" s="198" t="str">
        <f t="shared" ref="V899:V914" si="49"> hyperlink(vlookup(lower(S899),#REF!, 2, FALSE), SUBSTITUTE(lower(S899), "/", "--") &amp;  ".pdf")</f>
        <v>10.1098--rsos.231240.pdf</v>
      </c>
      <c r="W899" s="159" t="s">
        <v>3665</v>
      </c>
      <c r="X899" s="54" t="str">
        <f t="array" ref="X899"> if(iserror(MATCH(V899, 'File Links'!C:C, 0)), "N/A", HYPERLINK(INDEX('File Links'!B:B, MATCH(V899, 'File Links'!C:C, 0))))</f>
        <v>https://drive.google.com/file/d/17gaf2Zy_ljFfcAEDk5L8GBnTl5i7RGJE/view?usp=drivesdk</v>
      </c>
      <c r="Y899" s="68"/>
      <c r="Z899" s="159" t="s">
        <v>226</v>
      </c>
      <c r="AA899" s="68"/>
      <c r="AB899" s="68"/>
      <c r="AC899" s="68"/>
      <c r="AD899" s="159" t="s">
        <v>4883</v>
      </c>
      <c r="AE899" s="1059">
        <v>8039.0</v>
      </c>
      <c r="AF899" s="156">
        <v>37.0</v>
      </c>
      <c r="AG899" s="156">
        <v>1.11</v>
      </c>
      <c r="AH899" s="159" t="s">
        <v>173</v>
      </c>
      <c r="AI899" s="1060" t="s">
        <v>4884</v>
      </c>
      <c r="AJ899" s="156">
        <v>0.002</v>
      </c>
      <c r="AK899" s="159" t="s">
        <v>172</v>
      </c>
      <c r="AL899" s="159" t="s">
        <v>186</v>
      </c>
      <c r="AM899" s="151" t="s">
        <v>137</v>
      </c>
      <c r="AN899" s="129" t="s">
        <v>138</v>
      </c>
      <c r="AO899" s="156">
        <v>19.0</v>
      </c>
      <c r="AP899" s="1243">
        <v>0.00917662935482247</v>
      </c>
      <c r="AQ899" s="159" t="s">
        <v>173</v>
      </c>
      <c r="AR899" s="1153" t="s">
        <v>4120</v>
      </c>
      <c r="AS899" s="1243">
        <v>0.968533455924623</v>
      </c>
      <c r="AT899" s="159" t="s">
        <v>172</v>
      </c>
      <c r="AU899" s="159" t="s">
        <v>186</v>
      </c>
      <c r="AV899" s="151" t="s">
        <v>137</v>
      </c>
      <c r="AW899" s="129" t="s">
        <v>138</v>
      </c>
      <c r="AX899" s="159" t="s">
        <v>143</v>
      </c>
      <c r="AY899" s="61" t="str">
        <f>IFERROR(__xludf.DUMMYFUNCTION("vlookup(BB899,importrange(""https://docs.google.com/spreadsheets/d/1d2vevQ_7D_v35q4wCQ4RpQ_IPoTwEMB9Yp6ymwlPqew/edit?gid=984458430#gid=984458430"", ""'replication success'!A:K""), 11, FAlSE)"),"#N/A")</f>
        <v>#N/A</v>
      </c>
      <c r="AZ899" s="61" t="str">
        <f>IFERROR(__xludf.DUMMYFUNCTION("vlookup(BB899,importrange(""https://docs.google.com/spreadsheets/d/1d2vevQ_7D_v35q4wCQ4RpQ_IPoTwEMB9Yp6ymwlPqew/edit?gid=984458430#gid=984458430"", ""'replication success'!A:M""), 12, FAlSE)"),"#N/A")</f>
        <v>#N/A</v>
      </c>
      <c r="BA899" s="61" t="str">
        <f>IFERROR(__xludf.DUMMYFUNCTION("vlookup(BB899,importrange(""https://docs.google.com/spreadsheets/d/1d2vevQ_7D_v35q4wCQ4RpQ_IPoTwEMB9Yp6ymwlPqew/edit?gid=984458430#gid=984458430"", ""'replication success'!A:M""), 13, FAlSE)"),"#N/A")</f>
        <v>#N/A</v>
      </c>
      <c r="BB899" s="61" t="str">
        <f>IFERROR(__xludf.DUMMYFUNCTION("REGEXREPLACE(G899, ""_[a-z]{1,2}$"", """")"),"Boyce_etal2023153_1")</f>
        <v>Boyce_etal2023153_1</v>
      </c>
      <c r="BD899" s="68" t="s">
        <v>153</v>
      </c>
      <c r="BE899" s="71"/>
    </row>
    <row r="900">
      <c r="A900" s="44">
        <v>900.0</v>
      </c>
      <c r="B900" s="129" t="s">
        <v>152</v>
      </c>
      <c r="C900" s="62" t="s">
        <v>115</v>
      </c>
      <c r="D900" s="62" t="s">
        <v>153</v>
      </c>
      <c r="F900" s="68" t="s">
        <v>4880</v>
      </c>
      <c r="G900" s="159" t="s">
        <v>4879</v>
      </c>
      <c r="H900" s="159" t="s">
        <v>153</v>
      </c>
      <c r="I900" s="152">
        <v>45687.0</v>
      </c>
      <c r="J900" s="152">
        <v>45692.0</v>
      </c>
      <c r="K900" s="437" t="s">
        <v>4828</v>
      </c>
      <c r="L900" s="68"/>
      <c r="M900" s="159" t="s">
        <v>4881</v>
      </c>
      <c r="N900" s="159" t="s">
        <v>4882</v>
      </c>
      <c r="O900" s="156">
        <v>2.0</v>
      </c>
      <c r="P900" s="159" t="str">
        <f t="shared" si="37"/>
        <v>10.1073--pnas.1202129109.pdf</v>
      </c>
      <c r="Q900" s="52" t="str">
        <f t="array" ref="Q900"> if(iserror(MATCH(V900, 'File Links'!C:C, 0)), "N/A", HYPERLINK(INDEX('File Links'!B:B, MATCH(P900, 'File Links'!C:C, 0))))</f>
        <v>https://drive.google.com/file/d/11Av49SlCGKMhtLvS_jk4226riFKcyhNh/view?usp=drivesdk</v>
      </c>
      <c r="R900" s="159" t="s">
        <v>3653</v>
      </c>
      <c r="S900" s="159" t="s">
        <v>3654</v>
      </c>
      <c r="T900" s="68"/>
      <c r="U900" s="156">
        <v>1.0</v>
      </c>
      <c r="V900" s="198" t="str">
        <f t="shared" si="49"/>
        <v>10.1098--rsos.231240.pdf</v>
      </c>
      <c r="W900" s="159" t="s">
        <v>3671</v>
      </c>
      <c r="X900" s="54" t="str">
        <f t="array" ref="X900"> if(iserror(MATCH(V900, 'File Links'!C:C, 0)), "N/A", HYPERLINK(INDEX('File Links'!B:B, MATCH(V900, 'File Links'!C:C, 0))))</f>
        <v>https://drive.google.com/file/d/17gaf2Zy_ljFfcAEDk5L8GBnTl5i7RGJE/view?usp=drivesdk</v>
      </c>
      <c r="Y900" s="68"/>
      <c r="Z900" s="159" t="s">
        <v>226</v>
      </c>
      <c r="AA900" s="159" t="s">
        <v>4885</v>
      </c>
      <c r="AB900" s="159" t="s">
        <v>4886</v>
      </c>
      <c r="AC900" s="159" t="s">
        <v>4887</v>
      </c>
      <c r="AD900" s="159" t="s">
        <v>4888</v>
      </c>
      <c r="AE900" s="156">
        <v>2.0</v>
      </c>
      <c r="AF900" s="156">
        <v>37.0</v>
      </c>
      <c r="AG900" s="156">
        <v>1.11</v>
      </c>
      <c r="AH900" s="156" t="s">
        <v>173</v>
      </c>
      <c r="AI900" s="156" t="s">
        <v>875</v>
      </c>
      <c r="AJ900" s="156">
        <v>0.002</v>
      </c>
      <c r="AK900" s="159" t="s">
        <v>172</v>
      </c>
      <c r="AL900" s="159" t="s">
        <v>186</v>
      </c>
      <c r="AM900" s="151" t="s">
        <v>137</v>
      </c>
      <c r="AN900" s="129" t="s">
        <v>138</v>
      </c>
      <c r="AO900" s="156">
        <v>19.0</v>
      </c>
      <c r="AP900" s="336" t="s">
        <v>4889</v>
      </c>
      <c r="AQ900" s="156" t="s">
        <v>173</v>
      </c>
      <c r="AR900" s="1153" t="s">
        <v>4120</v>
      </c>
      <c r="AS900" s="156" t="s">
        <v>4890</v>
      </c>
      <c r="AT900" s="159" t="s">
        <v>172</v>
      </c>
      <c r="AU900" s="159" t="s">
        <v>186</v>
      </c>
      <c r="AV900" s="151" t="s">
        <v>137</v>
      </c>
      <c r="AW900" s="129" t="s">
        <v>138</v>
      </c>
      <c r="AX900" s="68" t="s">
        <v>143</v>
      </c>
      <c r="AY900" s="61" t="str">
        <f>IFERROR(__xludf.DUMMYFUNCTION("vlookup(BB900,importrange(""https://docs.google.com/spreadsheets/d/1d2vevQ_7D_v35q4wCQ4RpQ_IPoTwEMB9Yp6ymwlPqew/edit?gid=984458430#gid=984458430"", ""'replication success'!A:K""), 11, FAlSE)"),"#N/A")</f>
        <v>#N/A</v>
      </c>
      <c r="AZ900" s="61" t="str">
        <f>IFERROR(__xludf.DUMMYFUNCTION("vlookup(BB900,importrange(""https://docs.google.com/spreadsheets/d/1d2vevQ_7D_v35q4wCQ4RpQ_IPoTwEMB9Yp6ymwlPqew/edit?gid=984458430#gid=984458430"", ""'replication success'!A:M""), 12, FAlSE)"),"#N/A")</f>
        <v>#N/A</v>
      </c>
      <c r="BA900" s="61" t="str">
        <f>IFERROR(__xludf.DUMMYFUNCTION("vlookup(BB900,importrange(""https://docs.google.com/spreadsheets/d/1d2vevQ_7D_v35q4wCQ4RpQ_IPoTwEMB9Yp6ymwlPqew/edit?gid=984458430#gid=984458430"", ""'replication success'!A:M""), 13, FAlSE)"),"#N/A")</f>
        <v>#N/A</v>
      </c>
      <c r="BB900" s="61" t="str">
        <f>IFERROR(__xludf.DUMMYFUNCTION("REGEXREPLACE(G900, ""_[a-z]{1,2}$"", """")"),"Boyce_etal2023153")</f>
        <v>Boyce_etal2023153</v>
      </c>
      <c r="BD900" s="68" t="s">
        <v>153</v>
      </c>
      <c r="BE900" s="71"/>
      <c r="BF900" s="189"/>
      <c r="BG900" s="189"/>
      <c r="BH900" s="189"/>
      <c r="BI900" s="189"/>
      <c r="BJ900" s="189"/>
      <c r="BK900" s="189"/>
      <c r="BL900" s="189"/>
      <c r="BM900" s="189"/>
      <c r="BN900" s="189"/>
      <c r="BO900" s="189"/>
      <c r="BP900" s="189"/>
      <c r="BQ900" s="189"/>
      <c r="BR900" s="189"/>
      <c r="BS900" s="189"/>
      <c r="BT900" s="189"/>
      <c r="BU900" s="189"/>
      <c r="BV900" s="189"/>
      <c r="BW900" s="189"/>
      <c r="BX900" s="189"/>
      <c r="BY900" s="189"/>
      <c r="BZ900" s="189"/>
      <c r="CA900" s="189"/>
      <c r="CB900" s="189"/>
      <c r="CC900" s="189"/>
      <c r="CD900" s="189"/>
      <c r="CE900" s="189"/>
      <c r="CF900" s="189"/>
      <c r="CG900" s="189"/>
      <c r="CH900" s="189"/>
      <c r="CI900" s="189"/>
      <c r="CJ900" s="189"/>
      <c r="CK900" s="189"/>
      <c r="CL900" s="189"/>
      <c r="CM900" s="189"/>
      <c r="CN900" s="189"/>
      <c r="CO900" s="189"/>
      <c r="CP900" s="189"/>
      <c r="CQ900" s="189"/>
      <c r="CR900" s="189"/>
      <c r="CS900" s="189"/>
      <c r="CT900" s="189"/>
      <c r="CU900" s="189"/>
      <c r="CV900" s="189"/>
      <c r="CW900" s="189"/>
      <c r="CX900" s="189"/>
      <c r="CY900" s="189"/>
      <c r="CZ900" s="189"/>
      <c r="DA900" s="189"/>
      <c r="DB900" s="189"/>
      <c r="DC900" s="189"/>
      <c r="DD900" s="189"/>
      <c r="DE900" s="189"/>
      <c r="DF900" s="189"/>
      <c r="DG900" s="189"/>
      <c r="DH900" s="189"/>
      <c r="DI900" s="189"/>
      <c r="DJ900" s="189"/>
      <c r="DK900" s="189"/>
      <c r="DL900" s="189"/>
    </row>
    <row r="901">
      <c r="A901" s="328">
        <v>901.0</v>
      </c>
      <c r="B901" s="331" t="s">
        <v>114</v>
      </c>
      <c r="C901" s="325" t="s">
        <v>115</v>
      </c>
      <c r="D901" s="325" t="s">
        <v>248</v>
      </c>
      <c r="E901" s="226"/>
      <c r="F901" s="244" t="s">
        <v>4891</v>
      </c>
      <c r="G901" s="244" t="s">
        <v>4892</v>
      </c>
      <c r="H901" s="244" t="s">
        <v>249</v>
      </c>
      <c r="I901" s="658">
        <v>45672.0</v>
      </c>
      <c r="J901" s="658">
        <v>45692.0</v>
      </c>
      <c r="K901" s="331"/>
      <c r="L901" s="331" t="s">
        <v>4893</v>
      </c>
      <c r="M901" s="244" t="s">
        <v>4894</v>
      </c>
      <c r="N901" s="244" t="s">
        <v>4895</v>
      </c>
      <c r="O901" s="331"/>
      <c r="P901" s="244" t="str">
        <f t="shared" si="37"/>
        <v>10.1177--0956797616667459.pdf</v>
      </c>
      <c r="Q901" s="661" t="str">
        <f t="array" ref="Q901"> if(iserror(MATCH(V901, 'File Links'!C:C, 0)), "N/A", HYPERLINK(INDEX('File Links'!B:B, MATCH(P901, 'File Links'!C:C, 0))))</f>
        <v>https://drive.google.com/file/d/1xo-D0d5xWZy_-HQc9CNuFVE8l1hYTkzr/view?usp=drivesdk</v>
      </c>
      <c r="R901" s="244" t="s">
        <v>3653</v>
      </c>
      <c r="S901" s="244" t="s">
        <v>3654</v>
      </c>
      <c r="T901" s="331"/>
      <c r="U901" s="334">
        <v>1.0</v>
      </c>
      <c r="V901" s="244" t="str">
        <f t="shared" si="49"/>
        <v>10.1098--rsos.231240.pdf</v>
      </c>
      <c r="W901" s="244" t="s">
        <v>324</v>
      </c>
      <c r="X901" s="1173" t="str">
        <f t="array" ref="X901"> if(iserror(MATCH(V901, 'File Links'!C:C, 0)), "N/A", HYPERLINK(INDEX('File Links'!B:B, MATCH(V901, 'File Links'!C:C, 0))))</f>
        <v>https://drive.google.com/file/d/17gaf2Zy_ljFfcAEDk5L8GBnTl5i7RGJE/view?usp=drivesdk</v>
      </c>
      <c r="Y901" s="331"/>
      <c r="Z901" s="244" t="s">
        <v>148</v>
      </c>
      <c r="AA901" s="331"/>
      <c r="AB901" s="244" t="s">
        <v>4426</v>
      </c>
      <c r="AC901" s="331"/>
      <c r="AD901" s="244" t="s">
        <v>4896</v>
      </c>
      <c r="AE901" s="334">
        <v>1511.0</v>
      </c>
      <c r="AF901" s="334">
        <v>139.0</v>
      </c>
      <c r="AG901" s="334">
        <v>0.85</v>
      </c>
      <c r="AH901" s="244" t="s">
        <v>173</v>
      </c>
      <c r="AI901" s="244" t="s">
        <v>4897</v>
      </c>
      <c r="AJ901" s="334">
        <v>0.001</v>
      </c>
      <c r="AK901" s="244" t="s">
        <v>172</v>
      </c>
      <c r="AL901" s="244" t="s">
        <v>186</v>
      </c>
      <c r="AM901" s="244" t="s">
        <v>1905</v>
      </c>
      <c r="AN901" s="330" t="s">
        <v>138</v>
      </c>
      <c r="AO901" s="334">
        <v>212.0</v>
      </c>
      <c r="AP901" s="1245">
        <v>-0.0483174434709905</v>
      </c>
      <c r="AQ901" s="244" t="s">
        <v>173</v>
      </c>
      <c r="AR901" s="331"/>
      <c r="AS901" s="1245">
        <v>0.483548956401245</v>
      </c>
      <c r="AT901" s="244" t="s">
        <v>172</v>
      </c>
      <c r="AU901" s="244" t="s">
        <v>186</v>
      </c>
      <c r="AV901" s="244" t="s">
        <v>1905</v>
      </c>
      <c r="AW901" s="331"/>
      <c r="AX901" s="244" t="s">
        <v>143</v>
      </c>
      <c r="AY901" s="61" t="str">
        <f>IFERROR(__xludf.DUMMYFUNCTION("vlookup(BB901,importrange(""https://docs.google.com/spreadsheets/d/1d2vevQ_7D_v35q4wCQ4RpQ_IPoTwEMB9Yp6ymwlPqew/edit?gid=984458430#gid=984458430"", ""'replication success'!A:K""), 11, FAlSE)"),"#N/A")</f>
        <v>#N/A</v>
      </c>
      <c r="AZ901" s="61" t="str">
        <f>IFERROR(__xludf.DUMMYFUNCTION("vlookup(BB901,importrange(""https://docs.google.com/spreadsheets/d/1d2vevQ_7D_v35q4wCQ4RpQ_IPoTwEMB9Yp6ymwlPqew/edit?gid=984458430#gid=984458430"", ""'replication success'!A:M""), 12, FAlSE)"),"#N/A")</f>
        <v>#N/A</v>
      </c>
      <c r="BA901" s="61" t="str">
        <f>IFERROR(__xludf.DUMMYFUNCTION("vlookup(BB901,importrange(""https://docs.google.com/spreadsheets/d/1d2vevQ_7D_v35q4wCQ4RpQ_IPoTwEMB9Yp6ymwlPqew/edit?gid=984458430#gid=984458430"", ""'replication success'!A:M""), 13, FAlSE)"),"#N/A")</f>
        <v>#N/A</v>
      </c>
      <c r="BB901" s="61" t="str">
        <f>IFERROR(__xludf.DUMMYFUNCTION("REGEXREPLACE(G901, ""_[a-z]{1,2}$"", """")"),"Boyce_etal2023154_1")</f>
        <v>Boyce_etal2023154_1</v>
      </c>
      <c r="BC901" s="226"/>
      <c r="BD901" s="331" t="s">
        <v>153</v>
      </c>
      <c r="BE901" s="226"/>
      <c r="BF901" s="226"/>
      <c r="BG901" s="226"/>
      <c r="BH901" s="226"/>
      <c r="BI901" s="226"/>
      <c r="BJ901" s="226"/>
      <c r="BK901" s="226"/>
      <c r="BL901" s="226"/>
      <c r="BM901" s="226"/>
      <c r="BN901" s="226"/>
      <c r="BO901" s="226"/>
      <c r="BP901" s="226"/>
      <c r="BQ901" s="226"/>
      <c r="BR901" s="226"/>
      <c r="BS901" s="226"/>
      <c r="BT901" s="226"/>
      <c r="BU901" s="226"/>
      <c r="BV901" s="226"/>
      <c r="BW901" s="226"/>
      <c r="BX901" s="226"/>
      <c r="BY901" s="226"/>
      <c r="BZ901" s="226"/>
      <c r="CA901" s="226"/>
      <c r="CB901" s="226"/>
      <c r="CC901" s="226"/>
      <c r="CD901" s="226"/>
      <c r="CE901" s="226"/>
      <c r="CF901" s="226"/>
      <c r="CG901" s="226"/>
      <c r="CH901" s="226"/>
      <c r="CI901" s="226"/>
      <c r="CJ901" s="226"/>
      <c r="CK901" s="226"/>
      <c r="CL901" s="226"/>
      <c r="CM901" s="226"/>
      <c r="CN901" s="226"/>
      <c r="CO901" s="226"/>
      <c r="CP901" s="226"/>
      <c r="CQ901" s="226"/>
      <c r="CR901" s="226"/>
      <c r="CS901" s="226"/>
      <c r="CT901" s="226"/>
      <c r="CU901" s="226"/>
      <c r="CV901" s="226"/>
      <c r="CW901" s="226"/>
      <c r="CX901" s="226"/>
      <c r="CY901" s="226"/>
      <c r="CZ901" s="226"/>
      <c r="DA901" s="226"/>
      <c r="DB901" s="226"/>
      <c r="DC901" s="226"/>
      <c r="DD901" s="226"/>
      <c r="DE901" s="226"/>
      <c r="DF901" s="226"/>
      <c r="DG901" s="226"/>
      <c r="DH901" s="226"/>
      <c r="DI901" s="226"/>
      <c r="DJ901" s="226"/>
      <c r="DK901" s="226"/>
      <c r="DL901" s="226"/>
    </row>
    <row r="902">
      <c r="A902" s="328">
        <v>902.0</v>
      </c>
      <c r="B902" s="129" t="s">
        <v>152</v>
      </c>
      <c r="C902" s="325" t="s">
        <v>115</v>
      </c>
      <c r="D902" s="325" t="s">
        <v>153</v>
      </c>
      <c r="E902" s="226"/>
      <c r="F902" s="331" t="s">
        <v>4892</v>
      </c>
      <c r="G902" s="244" t="s">
        <v>4891</v>
      </c>
      <c r="H902" s="244" t="s">
        <v>153</v>
      </c>
      <c r="I902" s="658">
        <v>45687.0</v>
      </c>
      <c r="J902" s="658">
        <v>45692.0</v>
      </c>
      <c r="K902" s="396" t="s">
        <v>4898</v>
      </c>
      <c r="L902" s="331"/>
      <c r="M902" s="244" t="s">
        <v>4894</v>
      </c>
      <c r="N902" s="244" t="s">
        <v>4895</v>
      </c>
      <c r="O902" s="334">
        <v>1.0</v>
      </c>
      <c r="P902" s="244" t="str">
        <f t="shared" si="37"/>
        <v>10.1177--0956797616667459.pdf</v>
      </c>
      <c r="Q902" s="661" t="str">
        <f t="array" ref="Q902"> if(iserror(MATCH(V902, 'File Links'!C:C, 0)), "N/A", HYPERLINK(INDEX('File Links'!B:B, MATCH(P902, 'File Links'!C:C, 0))))</f>
        <v>https://drive.google.com/file/d/1xo-D0d5xWZy_-HQc9CNuFVE8l1hYTkzr/view?usp=drivesdk</v>
      </c>
      <c r="R902" s="244" t="s">
        <v>3653</v>
      </c>
      <c r="S902" s="244" t="s">
        <v>3654</v>
      </c>
      <c r="T902" s="663" t="s">
        <v>4899</v>
      </c>
      <c r="U902" s="334">
        <v>1.0</v>
      </c>
      <c r="V902" s="244" t="str">
        <f t="shared" si="49"/>
        <v>10.1098--rsos.231240.pdf</v>
      </c>
      <c r="W902" s="244" t="s">
        <v>164</v>
      </c>
      <c r="X902" s="1173" t="str">
        <f t="array" ref="X902"> if(iserror(MATCH(V902, 'File Links'!C:C, 0)), "N/A", HYPERLINK(INDEX('File Links'!B:B, MATCH(V902, 'File Links'!C:C, 0))))</f>
        <v>https://drive.google.com/file/d/17gaf2Zy_ljFfcAEDk5L8GBnTl5i7RGJE/view?usp=drivesdk</v>
      </c>
      <c r="Y902" s="331"/>
      <c r="Z902" s="244" t="s">
        <v>148</v>
      </c>
      <c r="AA902" s="244" t="s">
        <v>4900</v>
      </c>
      <c r="AB902" s="244" t="s">
        <v>4901</v>
      </c>
      <c r="AC902" s="244" t="s">
        <v>4902</v>
      </c>
      <c r="AD902" s="244" t="s">
        <v>4903</v>
      </c>
      <c r="AE902" s="334">
        <v>5.0</v>
      </c>
      <c r="AF902" s="334">
        <v>139.0</v>
      </c>
      <c r="AG902" s="334">
        <v>0.61</v>
      </c>
      <c r="AH902" s="334" t="s">
        <v>173</v>
      </c>
      <c r="AI902" s="334" t="s">
        <v>813</v>
      </c>
      <c r="AJ902" s="334">
        <v>0.001</v>
      </c>
      <c r="AK902" s="244" t="s">
        <v>135</v>
      </c>
      <c r="AL902" s="244" t="s">
        <v>186</v>
      </c>
      <c r="AM902" s="324" t="s">
        <v>137</v>
      </c>
      <c r="AN902" s="330" t="s">
        <v>138</v>
      </c>
      <c r="AO902" s="334">
        <v>212.0</v>
      </c>
      <c r="AP902" s="334" t="s">
        <v>4904</v>
      </c>
      <c r="AQ902" s="334" t="s">
        <v>134</v>
      </c>
      <c r="AR902" s="663" t="s">
        <v>4899</v>
      </c>
      <c r="AS902" s="334">
        <v>0.908</v>
      </c>
      <c r="AT902" s="244" t="s">
        <v>172</v>
      </c>
      <c r="AU902" s="244" t="s">
        <v>186</v>
      </c>
      <c r="AV902" s="324" t="s">
        <v>137</v>
      </c>
      <c r="AW902" s="330" t="s">
        <v>138</v>
      </c>
      <c r="AX902" s="331" t="s">
        <v>151</v>
      </c>
      <c r="AY902" s="61" t="str">
        <f>IFERROR(__xludf.DUMMYFUNCTION("vlookup(BB902,importrange(""https://docs.google.com/spreadsheets/d/1d2vevQ_7D_v35q4wCQ4RpQ_IPoTwEMB9Yp6ymwlPqew/edit?gid=984458430#gid=984458430"", ""'replication success'!A:K""), 11, FAlSE)"),"#N/A")</f>
        <v>#N/A</v>
      </c>
      <c r="AZ902" s="61" t="str">
        <f>IFERROR(__xludf.DUMMYFUNCTION("vlookup(BB902,importrange(""https://docs.google.com/spreadsheets/d/1d2vevQ_7D_v35q4wCQ4RpQ_IPoTwEMB9Yp6ymwlPqew/edit?gid=984458430#gid=984458430"", ""'replication success'!A:M""), 12, FAlSE)"),"#N/A")</f>
        <v>#N/A</v>
      </c>
      <c r="BA902" s="61" t="str">
        <f>IFERROR(__xludf.DUMMYFUNCTION("vlookup(BB902,importrange(""https://docs.google.com/spreadsheets/d/1d2vevQ_7D_v35q4wCQ4RpQ_IPoTwEMB9Yp6ymwlPqew/edit?gid=984458430#gid=984458430"", ""'replication success'!A:M""), 13, FAlSE)"),"#N/A")</f>
        <v>#N/A</v>
      </c>
      <c r="BB902" s="61" t="str">
        <f>IFERROR(__xludf.DUMMYFUNCTION("REGEXREPLACE(G902, ""_[a-z]{1,2}$"", """")"),"Boyce_etal2023154")</f>
        <v>Boyce_etal2023154</v>
      </c>
      <c r="BC902" s="226"/>
      <c r="BD902" s="331" t="s">
        <v>153</v>
      </c>
      <c r="BE902" s="226"/>
      <c r="BF902" s="226"/>
      <c r="BG902" s="226"/>
      <c r="BH902" s="226"/>
      <c r="BI902" s="226"/>
      <c r="BJ902" s="226"/>
      <c r="BK902" s="226"/>
      <c r="BL902" s="226"/>
      <c r="BM902" s="226"/>
      <c r="BN902" s="226"/>
      <c r="BO902" s="226"/>
      <c r="BP902" s="226"/>
      <c r="BQ902" s="226"/>
      <c r="BR902" s="226"/>
      <c r="BS902" s="226"/>
      <c r="BT902" s="226"/>
      <c r="BU902" s="226"/>
      <c r="BV902" s="226"/>
      <c r="BW902" s="226"/>
      <c r="BX902" s="226"/>
      <c r="BY902" s="226"/>
      <c r="BZ902" s="226"/>
      <c r="CA902" s="226"/>
      <c r="CB902" s="226"/>
      <c r="CC902" s="226"/>
      <c r="CD902" s="226"/>
      <c r="CE902" s="226"/>
      <c r="CF902" s="226"/>
      <c r="CG902" s="226"/>
      <c r="CH902" s="226"/>
      <c r="CI902" s="226"/>
      <c r="CJ902" s="226"/>
      <c r="CK902" s="226"/>
      <c r="CL902" s="226"/>
      <c r="CM902" s="226"/>
      <c r="CN902" s="226"/>
      <c r="CO902" s="226"/>
      <c r="CP902" s="226"/>
      <c r="CQ902" s="226"/>
      <c r="CR902" s="226"/>
      <c r="CS902" s="226"/>
      <c r="CT902" s="226"/>
      <c r="CU902" s="226"/>
      <c r="CV902" s="226"/>
      <c r="CW902" s="226"/>
      <c r="CX902" s="226"/>
      <c r="CY902" s="226"/>
      <c r="CZ902" s="226"/>
      <c r="DA902" s="226"/>
      <c r="DB902" s="226"/>
      <c r="DC902" s="226"/>
      <c r="DD902" s="226"/>
      <c r="DE902" s="226"/>
      <c r="DF902" s="226"/>
      <c r="DG902" s="226"/>
      <c r="DH902" s="226"/>
      <c r="DI902" s="226"/>
      <c r="DJ902" s="226"/>
      <c r="DK902" s="226"/>
      <c r="DL902" s="226"/>
    </row>
    <row r="903">
      <c r="A903" s="328">
        <v>903.0</v>
      </c>
      <c r="B903" s="129" t="s">
        <v>152</v>
      </c>
      <c r="C903" s="325" t="s">
        <v>115</v>
      </c>
      <c r="D903" s="325" t="s">
        <v>153</v>
      </c>
      <c r="E903" s="226"/>
      <c r="F903" s="331" t="s">
        <v>4892</v>
      </c>
      <c r="G903" s="244" t="s">
        <v>4905</v>
      </c>
      <c r="H903" s="244" t="s">
        <v>153</v>
      </c>
      <c r="I903" s="658">
        <v>45687.0</v>
      </c>
      <c r="J903" s="658">
        <v>45692.0</v>
      </c>
      <c r="K903" s="396" t="s">
        <v>4906</v>
      </c>
      <c r="L903" s="331"/>
      <c r="M903" s="244" t="s">
        <v>4894</v>
      </c>
      <c r="N903" s="244" t="s">
        <v>4895</v>
      </c>
      <c r="O903" s="334">
        <v>1.0</v>
      </c>
      <c r="P903" s="244" t="str">
        <f t="shared" si="37"/>
        <v>10.1177--0956797616667459.pdf</v>
      </c>
      <c r="Q903" s="661" t="str">
        <f t="array" ref="Q903"> if(iserror(MATCH(V903, 'File Links'!C:C, 0)), "N/A", HYPERLINK(INDEX('File Links'!B:B, MATCH(P903, 'File Links'!C:C, 0))))</f>
        <v>https://drive.google.com/file/d/1xo-D0d5xWZy_-HQc9CNuFVE8l1hYTkzr/view?usp=drivesdk</v>
      </c>
      <c r="R903" s="244" t="s">
        <v>3653</v>
      </c>
      <c r="S903" s="244" t="s">
        <v>3654</v>
      </c>
      <c r="T903" s="663" t="s">
        <v>4899</v>
      </c>
      <c r="U903" s="334">
        <v>1.0</v>
      </c>
      <c r="V903" s="244" t="str">
        <f t="shared" si="49"/>
        <v>10.1098--rsos.231240.pdf</v>
      </c>
      <c r="W903" s="244" t="s">
        <v>164</v>
      </c>
      <c r="X903" s="1173" t="str">
        <f t="array" ref="X903"> if(iserror(MATCH(V903, 'File Links'!C:C, 0)), "N/A", HYPERLINK(INDEX('File Links'!B:B, MATCH(V903, 'File Links'!C:C, 0))))</f>
        <v>https://drive.google.com/file/d/17gaf2Zy_ljFfcAEDk5L8GBnTl5i7RGJE/view?usp=drivesdk</v>
      </c>
      <c r="Y903" s="331"/>
      <c r="Z903" s="244" t="s">
        <v>148</v>
      </c>
      <c r="AA903" s="244" t="s">
        <v>4900</v>
      </c>
      <c r="AB903" s="244" t="s">
        <v>4901</v>
      </c>
      <c r="AC903" s="244" t="s">
        <v>4907</v>
      </c>
      <c r="AD903" s="244" t="s">
        <v>4908</v>
      </c>
      <c r="AE903" s="1178">
        <v>5.0</v>
      </c>
      <c r="AF903" s="334">
        <v>139.0</v>
      </c>
      <c r="AG903" s="1178">
        <v>0.67</v>
      </c>
      <c r="AH903" s="334" t="s">
        <v>173</v>
      </c>
      <c r="AI903" s="1178" t="s">
        <v>813</v>
      </c>
      <c r="AJ903" s="334">
        <v>0.001</v>
      </c>
      <c r="AK903" s="244" t="s">
        <v>135</v>
      </c>
      <c r="AL903" s="244" t="s">
        <v>186</v>
      </c>
      <c r="AM903" s="324" t="s">
        <v>137</v>
      </c>
      <c r="AN903" s="330" t="s">
        <v>138</v>
      </c>
      <c r="AO903" s="334">
        <v>212.0</v>
      </c>
      <c r="AP903" s="334" t="s">
        <v>4909</v>
      </c>
      <c r="AQ903" s="334" t="s">
        <v>134</v>
      </c>
      <c r="AR903" s="663" t="s">
        <v>4899</v>
      </c>
      <c r="AS903" s="334">
        <v>0.817</v>
      </c>
      <c r="AT903" s="244" t="s">
        <v>172</v>
      </c>
      <c r="AU903" s="244" t="s">
        <v>186</v>
      </c>
      <c r="AV903" s="324" t="s">
        <v>137</v>
      </c>
      <c r="AW903" s="330" t="s">
        <v>138</v>
      </c>
      <c r="AX903" s="331" t="s">
        <v>151</v>
      </c>
      <c r="AY903" s="61" t="str">
        <f>IFERROR(__xludf.DUMMYFUNCTION("vlookup(BB903,importrange(""https://docs.google.com/spreadsheets/d/1d2vevQ_7D_v35q4wCQ4RpQ_IPoTwEMB9Yp6ymwlPqew/edit?gid=984458430#gid=984458430"", ""'replication success'!A:K""), 11, FAlSE)"),"#N/A")</f>
        <v>#N/A</v>
      </c>
      <c r="AZ903" s="61" t="str">
        <f>IFERROR(__xludf.DUMMYFUNCTION("vlookup(BB903,importrange(""https://docs.google.com/spreadsheets/d/1d2vevQ_7D_v35q4wCQ4RpQ_IPoTwEMB9Yp6ymwlPqew/edit?gid=984458430#gid=984458430"", ""'replication success'!A:M""), 12, FAlSE)"),"#N/A")</f>
        <v>#N/A</v>
      </c>
      <c r="BA903" s="61" t="str">
        <f>IFERROR(__xludf.DUMMYFUNCTION("vlookup(BB903,importrange(""https://docs.google.com/spreadsheets/d/1d2vevQ_7D_v35q4wCQ4RpQ_IPoTwEMB9Yp6ymwlPqew/edit?gid=984458430#gid=984458430"", ""'replication success'!A:M""), 13, FAlSE)"),"#N/A")</f>
        <v>#N/A</v>
      </c>
      <c r="BB903" s="61" t="str">
        <f>IFERROR(__xludf.DUMMYFUNCTION("REGEXREPLACE(G903, ""_[a-z]{1,2}$"", """")"),"Boyce_etal2023154_1")</f>
        <v>Boyce_etal2023154_1</v>
      </c>
      <c r="BC903" s="226"/>
      <c r="BD903" s="331" t="s">
        <v>153</v>
      </c>
      <c r="BE903" s="226"/>
      <c r="BF903" s="226"/>
      <c r="BG903" s="226"/>
      <c r="BH903" s="226"/>
      <c r="BI903" s="226"/>
      <c r="BJ903" s="226"/>
      <c r="BK903" s="226"/>
      <c r="BL903" s="226"/>
      <c r="BM903" s="226"/>
      <c r="BN903" s="226"/>
      <c r="BO903" s="226"/>
      <c r="BP903" s="226"/>
      <c r="BQ903" s="226"/>
      <c r="BR903" s="226"/>
      <c r="BS903" s="226"/>
      <c r="BT903" s="226"/>
      <c r="BU903" s="226"/>
      <c r="BV903" s="226"/>
      <c r="BW903" s="226"/>
      <c r="BX903" s="226"/>
      <c r="BY903" s="226"/>
      <c r="BZ903" s="226"/>
      <c r="CA903" s="226"/>
      <c r="CB903" s="226"/>
      <c r="CC903" s="226"/>
      <c r="CD903" s="226"/>
      <c r="CE903" s="226"/>
      <c r="CF903" s="226"/>
      <c r="CG903" s="226"/>
      <c r="CH903" s="226"/>
      <c r="CI903" s="226"/>
      <c r="CJ903" s="226"/>
      <c r="CK903" s="226"/>
      <c r="CL903" s="226"/>
      <c r="CM903" s="226"/>
      <c r="CN903" s="226"/>
      <c r="CO903" s="226"/>
      <c r="CP903" s="226"/>
      <c r="CQ903" s="226"/>
      <c r="CR903" s="226"/>
      <c r="CS903" s="226"/>
      <c r="CT903" s="226"/>
      <c r="CU903" s="226"/>
      <c r="CV903" s="226"/>
      <c r="CW903" s="226"/>
      <c r="CX903" s="226"/>
      <c r="CY903" s="226"/>
      <c r="CZ903" s="226"/>
      <c r="DA903" s="226"/>
      <c r="DB903" s="226"/>
      <c r="DC903" s="226"/>
      <c r="DD903" s="226"/>
      <c r="DE903" s="226"/>
      <c r="DF903" s="226"/>
      <c r="DG903" s="226"/>
      <c r="DH903" s="226"/>
      <c r="DI903" s="226"/>
      <c r="DJ903" s="226"/>
      <c r="DK903" s="226"/>
      <c r="DL903" s="226"/>
    </row>
    <row r="904">
      <c r="A904" s="328">
        <v>904.0</v>
      </c>
      <c r="B904" s="129" t="s">
        <v>152</v>
      </c>
      <c r="C904" s="325" t="s">
        <v>115</v>
      </c>
      <c r="D904" s="325" t="s">
        <v>153</v>
      </c>
      <c r="E904" s="226"/>
      <c r="F904" s="331" t="s">
        <v>4892</v>
      </c>
      <c r="G904" s="244" t="s">
        <v>4910</v>
      </c>
      <c r="H904" s="244" t="s">
        <v>153</v>
      </c>
      <c r="I904" s="658">
        <v>45687.0</v>
      </c>
      <c r="J904" s="658">
        <v>45692.0</v>
      </c>
      <c r="K904" s="396" t="s">
        <v>4911</v>
      </c>
      <c r="L904" s="331"/>
      <c r="M904" s="244" t="s">
        <v>4894</v>
      </c>
      <c r="N904" s="244" t="s">
        <v>4895</v>
      </c>
      <c r="O904" s="334">
        <v>1.0</v>
      </c>
      <c r="P904" s="244" t="str">
        <f t="shared" si="37"/>
        <v>10.1177--0956797616667459.pdf</v>
      </c>
      <c r="Q904" s="661" t="str">
        <f t="array" ref="Q904"> if(iserror(MATCH(V904, 'File Links'!C:C, 0)), "N/A", HYPERLINK(INDEX('File Links'!B:B, MATCH(P904, 'File Links'!C:C, 0))))</f>
        <v>https://drive.google.com/file/d/1xo-D0d5xWZy_-HQc9CNuFVE8l1hYTkzr/view?usp=drivesdk</v>
      </c>
      <c r="R904" s="244" t="s">
        <v>3653</v>
      </c>
      <c r="S904" s="244" t="s">
        <v>3654</v>
      </c>
      <c r="T904" s="663" t="s">
        <v>4899</v>
      </c>
      <c r="U904" s="334">
        <v>1.0</v>
      </c>
      <c r="V904" s="244" t="str">
        <f t="shared" si="49"/>
        <v>10.1098--rsos.231240.pdf</v>
      </c>
      <c r="W904" s="244" t="s">
        <v>164</v>
      </c>
      <c r="X904" s="1173" t="str">
        <f t="array" ref="X904"> if(iserror(MATCH(V904, 'File Links'!C:C, 0)), "N/A", HYPERLINK(INDEX('File Links'!B:B, MATCH(V904, 'File Links'!C:C, 0))))</f>
        <v>https://drive.google.com/file/d/17gaf2Zy_ljFfcAEDk5L8GBnTl5i7RGJE/view?usp=drivesdk</v>
      </c>
      <c r="Y904" s="331"/>
      <c r="Z904" s="244" t="s">
        <v>148</v>
      </c>
      <c r="AA904" s="244" t="s">
        <v>4900</v>
      </c>
      <c r="AB904" s="244" t="s">
        <v>4901</v>
      </c>
      <c r="AC904" s="244" t="s">
        <v>4912</v>
      </c>
      <c r="AD904" s="244" t="s">
        <v>4913</v>
      </c>
      <c r="AE904" s="1178">
        <v>5.0</v>
      </c>
      <c r="AF904" s="334">
        <v>139.0</v>
      </c>
      <c r="AG904" s="1178">
        <v>0.1</v>
      </c>
      <c r="AH904" s="334" t="s">
        <v>139</v>
      </c>
      <c r="AI904" s="1178" t="s">
        <v>813</v>
      </c>
      <c r="AJ904" s="334">
        <v>0.001</v>
      </c>
      <c r="AK904" s="244" t="s">
        <v>135</v>
      </c>
      <c r="AL904" s="244" t="s">
        <v>186</v>
      </c>
      <c r="AM904" s="324" t="s">
        <v>137</v>
      </c>
      <c r="AN904" s="330" t="s">
        <v>138</v>
      </c>
      <c r="AO904" s="334">
        <v>212.0</v>
      </c>
      <c r="AP904" s="334" t="s">
        <v>4914</v>
      </c>
      <c r="AQ904" s="334" t="s">
        <v>134</v>
      </c>
      <c r="AR904" s="663" t="s">
        <v>4899</v>
      </c>
      <c r="AS904" s="334">
        <v>0.284</v>
      </c>
      <c r="AT904" s="244" t="s">
        <v>172</v>
      </c>
      <c r="AU904" s="244" t="s">
        <v>186</v>
      </c>
      <c r="AV904" s="324" t="s">
        <v>137</v>
      </c>
      <c r="AW904" s="330" t="s">
        <v>138</v>
      </c>
      <c r="AX904" s="331" t="s">
        <v>151</v>
      </c>
      <c r="AY904" s="61" t="str">
        <f>IFERROR(__xludf.DUMMYFUNCTION("vlookup(BB904,importrange(""https://docs.google.com/spreadsheets/d/1d2vevQ_7D_v35q4wCQ4RpQ_IPoTwEMB9Yp6ymwlPqew/edit?gid=984458430#gid=984458430"", ""'replication success'!A:K""), 11, FAlSE)"),"#N/A")</f>
        <v>#N/A</v>
      </c>
      <c r="AZ904" s="61" t="str">
        <f>IFERROR(__xludf.DUMMYFUNCTION("vlookup(BB904,importrange(""https://docs.google.com/spreadsheets/d/1d2vevQ_7D_v35q4wCQ4RpQ_IPoTwEMB9Yp6ymwlPqew/edit?gid=984458430#gid=984458430"", ""'replication success'!A:M""), 12, FAlSE)"),"#N/A")</f>
        <v>#N/A</v>
      </c>
      <c r="BA904" s="61" t="str">
        <f>IFERROR(__xludf.DUMMYFUNCTION("vlookup(BB904,importrange(""https://docs.google.com/spreadsheets/d/1d2vevQ_7D_v35q4wCQ4RpQ_IPoTwEMB9Yp6ymwlPqew/edit?gid=984458430#gid=984458430"", ""'replication success'!A:M""), 13, FAlSE)"),"#N/A")</f>
        <v>#N/A</v>
      </c>
      <c r="BB904" s="61" t="str">
        <f>IFERROR(__xludf.DUMMYFUNCTION("REGEXREPLACE(G904, ""_[a-z]{1,2}$"", """")"),"Boyce_etal2023154_1")</f>
        <v>Boyce_etal2023154_1</v>
      </c>
      <c r="BC904" s="226"/>
      <c r="BD904" s="331" t="s">
        <v>153</v>
      </c>
      <c r="BE904" s="226"/>
      <c r="BF904" s="226"/>
      <c r="BG904" s="226"/>
      <c r="BH904" s="226"/>
      <c r="BI904" s="226"/>
      <c r="BJ904" s="226"/>
      <c r="BK904" s="226"/>
      <c r="BL904" s="226"/>
      <c r="BM904" s="226"/>
      <c r="BN904" s="226"/>
      <c r="BO904" s="226"/>
      <c r="BP904" s="226"/>
      <c r="BQ904" s="226"/>
      <c r="BR904" s="226"/>
      <c r="BS904" s="226"/>
      <c r="BT904" s="226"/>
      <c r="BU904" s="226"/>
      <c r="BV904" s="226"/>
      <c r="BW904" s="226"/>
      <c r="BX904" s="226"/>
      <c r="BY904" s="226"/>
      <c r="BZ904" s="226"/>
      <c r="CA904" s="226"/>
      <c r="CB904" s="226"/>
      <c r="CC904" s="226"/>
      <c r="CD904" s="226"/>
      <c r="CE904" s="226"/>
      <c r="CF904" s="226"/>
      <c r="CG904" s="226"/>
      <c r="CH904" s="226"/>
      <c r="CI904" s="226"/>
      <c r="CJ904" s="226"/>
      <c r="CK904" s="226"/>
      <c r="CL904" s="226"/>
      <c r="CM904" s="226"/>
      <c r="CN904" s="226"/>
      <c r="CO904" s="226"/>
      <c r="CP904" s="226"/>
      <c r="CQ904" s="226"/>
      <c r="CR904" s="226"/>
      <c r="CS904" s="226"/>
      <c r="CT904" s="226"/>
      <c r="CU904" s="226"/>
      <c r="CV904" s="226"/>
      <c r="CW904" s="226"/>
      <c r="CX904" s="226"/>
      <c r="CY904" s="226"/>
      <c r="CZ904" s="226"/>
      <c r="DA904" s="226"/>
      <c r="DB904" s="226"/>
      <c r="DC904" s="226"/>
      <c r="DD904" s="226"/>
      <c r="DE904" s="226"/>
      <c r="DF904" s="226"/>
      <c r="DG904" s="226"/>
      <c r="DH904" s="226"/>
      <c r="DI904" s="226"/>
      <c r="DJ904" s="226"/>
      <c r="DK904" s="226"/>
      <c r="DL904" s="226"/>
    </row>
    <row r="905">
      <c r="A905" s="44">
        <v>905.0</v>
      </c>
      <c r="B905" s="129" t="s">
        <v>114</v>
      </c>
      <c r="C905" s="62" t="s">
        <v>115</v>
      </c>
      <c r="D905" s="62" t="s">
        <v>248</v>
      </c>
      <c r="F905" s="159" t="s">
        <v>4915</v>
      </c>
      <c r="G905" s="159" t="s">
        <v>4916</v>
      </c>
      <c r="H905" s="159" t="s">
        <v>249</v>
      </c>
      <c r="I905" s="152">
        <v>45672.0</v>
      </c>
      <c r="J905" s="152">
        <v>45692.0</v>
      </c>
      <c r="K905" s="437" t="s">
        <v>4917</v>
      </c>
      <c r="L905" s="68"/>
      <c r="M905" s="159" t="s">
        <v>4918</v>
      </c>
      <c r="N905" s="159" t="s">
        <v>4919</v>
      </c>
      <c r="O905" s="68"/>
      <c r="P905" s="159" t="str">
        <f t="shared" si="37"/>
        <v>10.1093--jos--ffw010.pdf</v>
      </c>
      <c r="Q905" s="52" t="str">
        <f t="array" ref="Q905"> if(iserror(MATCH(V905, 'File Links'!C:C, 0)), "N/A", HYPERLINK(INDEX('File Links'!B:B, MATCH(P905, 'File Links'!C:C, 0))))</f>
        <v>https://drive.google.com/file/d/10gwwst21XMDLdZDUQ3-UJKa2tLRTlO7K/view?usp=drivesdk</v>
      </c>
      <c r="R905" s="159" t="s">
        <v>3653</v>
      </c>
      <c r="S905" s="159" t="s">
        <v>3654</v>
      </c>
      <c r="T905" s="68"/>
      <c r="U905" s="156">
        <v>1.0</v>
      </c>
      <c r="V905" s="198" t="str">
        <f t="shared" si="49"/>
        <v>10.1098--rsos.231240.pdf</v>
      </c>
      <c r="W905" s="68"/>
      <c r="X905" s="54" t="str">
        <f t="array" ref="X905"> if(iserror(MATCH(V905, 'File Links'!C:C, 0)), "N/A", HYPERLINK(INDEX('File Links'!B:B, MATCH(V905, 'File Links'!C:C, 0))))</f>
        <v>https://drive.google.com/file/d/17gaf2Zy_ljFfcAEDk5L8GBnTl5i7RGJE/view?usp=drivesdk</v>
      </c>
      <c r="Y905" s="68"/>
      <c r="Z905" s="68"/>
      <c r="AA905" s="68"/>
      <c r="AB905" s="68"/>
      <c r="AC905" s="68"/>
      <c r="AD905" s="68"/>
      <c r="AE905" s="68"/>
      <c r="AF905" s="68"/>
      <c r="AG905" s="68"/>
      <c r="AH905" s="68"/>
      <c r="AI905" s="68"/>
      <c r="AJ905" s="68"/>
      <c r="AK905" s="68"/>
      <c r="AL905" s="159" t="s">
        <v>186</v>
      </c>
      <c r="AM905" s="159" t="s">
        <v>1905</v>
      </c>
      <c r="AN905" s="129" t="s">
        <v>138</v>
      </c>
      <c r="AO905" s="68"/>
      <c r="AP905" s="68"/>
      <c r="AQ905" s="68"/>
      <c r="AR905" s="68"/>
      <c r="AS905" s="68"/>
      <c r="AT905" s="159" t="s">
        <v>172</v>
      </c>
      <c r="AU905" s="159" t="s">
        <v>186</v>
      </c>
      <c r="AV905" s="159" t="s">
        <v>1905</v>
      </c>
      <c r="AW905" s="129" t="s">
        <v>138</v>
      </c>
      <c r="AX905" s="159" t="s">
        <v>143</v>
      </c>
      <c r="AY905" s="61" t="str">
        <f>IFERROR(__xludf.DUMMYFUNCTION("vlookup(BB905,importrange(""https://docs.google.com/spreadsheets/d/1d2vevQ_7D_v35q4wCQ4RpQ_IPoTwEMB9Yp6ymwlPqew/edit?gid=984458430#gid=984458430"", ""'replication success'!A:K""), 11, FAlSE)"),"#N/A")</f>
        <v>#N/A</v>
      </c>
      <c r="AZ905" s="61" t="str">
        <f>IFERROR(__xludf.DUMMYFUNCTION("vlookup(BB905,importrange(""https://docs.google.com/spreadsheets/d/1d2vevQ_7D_v35q4wCQ4RpQ_IPoTwEMB9Yp6ymwlPqew/edit?gid=984458430#gid=984458430"", ""'replication success'!A:M""), 12, FAlSE)"),"#N/A")</f>
        <v>#N/A</v>
      </c>
      <c r="BA905" s="61" t="str">
        <f>IFERROR(__xludf.DUMMYFUNCTION("vlookup(BB905,importrange(""https://docs.google.com/spreadsheets/d/1d2vevQ_7D_v35q4wCQ4RpQ_IPoTwEMB9Yp6ymwlPqew/edit?gid=984458430#gid=984458430"", ""'replication success'!A:M""), 13, FAlSE)"),"#N/A")</f>
        <v>#N/A</v>
      </c>
      <c r="BB905" s="61" t="str">
        <f>IFERROR(__xludf.DUMMYFUNCTION("REGEXREPLACE(G905, ""_[a-z]{1,2}$"", """")"),"Boyce_etal2023155_1")</f>
        <v>Boyce_etal2023155_1</v>
      </c>
      <c r="BD905" s="68" t="s">
        <v>153</v>
      </c>
      <c r="BE905" s="71"/>
    </row>
    <row r="906">
      <c r="A906" s="44">
        <v>906.0</v>
      </c>
      <c r="B906" s="129" t="s">
        <v>114</v>
      </c>
      <c r="C906" s="62" t="s">
        <v>115</v>
      </c>
      <c r="D906" s="62" t="s">
        <v>153</v>
      </c>
      <c r="F906" s="68" t="s">
        <v>4916</v>
      </c>
      <c r="G906" s="159" t="s">
        <v>4915</v>
      </c>
      <c r="H906" s="159" t="s">
        <v>153</v>
      </c>
      <c r="I906" s="152">
        <v>45687.0</v>
      </c>
      <c r="J906" s="152">
        <v>45692.0</v>
      </c>
      <c r="K906" s="1055" t="s">
        <v>4920</v>
      </c>
      <c r="L906" s="704" t="s">
        <v>2013</v>
      </c>
      <c r="M906" s="159" t="s">
        <v>4918</v>
      </c>
      <c r="N906" s="159" t="s">
        <v>4919</v>
      </c>
      <c r="O906" s="156">
        <v>1.0</v>
      </c>
      <c r="P906" s="159" t="str">
        <f t="shared" si="37"/>
        <v>10.1093--jos--ffw010.pdf</v>
      </c>
      <c r="Q906" s="52" t="str">
        <f t="array" ref="Q906"> if(iserror(MATCH(V906, 'File Links'!C:C, 0)), "N/A", HYPERLINK(INDEX('File Links'!B:B, MATCH(P906, 'File Links'!C:C, 0))))</f>
        <v>https://drive.google.com/file/d/10gwwst21XMDLdZDUQ3-UJKa2tLRTlO7K/view?usp=drivesdk</v>
      </c>
      <c r="R906" s="159" t="s">
        <v>3653</v>
      </c>
      <c r="S906" s="159" t="s">
        <v>3654</v>
      </c>
      <c r="T906" s="68"/>
      <c r="U906" s="156">
        <v>1.0</v>
      </c>
      <c r="V906" s="198" t="str">
        <f t="shared" si="49"/>
        <v>10.1098--rsos.231240.pdf</v>
      </c>
      <c r="W906" s="159" t="s">
        <v>4921</v>
      </c>
      <c r="X906" s="54" t="str">
        <f t="array" ref="X906"> if(iserror(MATCH(V906, 'File Links'!C:C, 0)), "N/A", HYPERLINK(INDEX('File Links'!B:B, MATCH(V906, 'File Links'!C:C, 0))))</f>
        <v>https://drive.google.com/file/d/17gaf2Zy_ljFfcAEDk5L8GBnTl5i7RGJE/view?usp=drivesdk</v>
      </c>
      <c r="Y906" s="68"/>
      <c r="Z906" s="159" t="s">
        <v>947</v>
      </c>
      <c r="AA906" s="159" t="s">
        <v>4922</v>
      </c>
      <c r="AB906" s="159" t="s">
        <v>4923</v>
      </c>
      <c r="AC906" s="159" t="s">
        <v>4924</v>
      </c>
      <c r="AD906" s="68"/>
      <c r="AE906" s="68"/>
      <c r="AF906" s="156">
        <v>41.0</v>
      </c>
      <c r="AG906" s="68"/>
      <c r="AH906" s="68"/>
      <c r="AI906" s="68"/>
      <c r="AJ906" s="156">
        <f>IFERROR(__xludf.DUMMYFUNCTION("9.21719900448522*10^-19"),9.21719900448522E-19)</f>
        <v>0</v>
      </c>
      <c r="AK906" s="159" t="s">
        <v>172</v>
      </c>
      <c r="AL906" s="159" t="s">
        <v>186</v>
      </c>
      <c r="AM906" s="159" t="s">
        <v>1905</v>
      </c>
      <c r="AN906" s="129" t="s">
        <v>138</v>
      </c>
      <c r="AO906" s="156">
        <v>20.0</v>
      </c>
      <c r="AP906" s="156" t="s">
        <v>4925</v>
      </c>
      <c r="AQ906" s="156" t="s">
        <v>134</v>
      </c>
      <c r="AR906" s="68"/>
      <c r="AS906" s="156">
        <v>0.001</v>
      </c>
      <c r="AT906" s="159" t="s">
        <v>135</v>
      </c>
      <c r="AU906" s="159" t="s">
        <v>186</v>
      </c>
      <c r="AV906" s="481" t="s">
        <v>1905</v>
      </c>
      <c r="AW906" s="129" t="s">
        <v>138</v>
      </c>
      <c r="AX906" s="68" t="s">
        <v>151</v>
      </c>
      <c r="AY906" s="61" t="str">
        <f>IFERROR(__xludf.DUMMYFUNCTION("vlookup(BB906,importrange(""https://docs.google.com/spreadsheets/d/1d2vevQ_7D_v35q4wCQ4RpQ_IPoTwEMB9Yp6ymwlPqew/edit?gid=984458430#gid=984458430"", ""'replication success'!A:K""), 11, FAlSE)"),"#N/A")</f>
        <v>#N/A</v>
      </c>
      <c r="AZ906" s="61" t="str">
        <f>IFERROR(__xludf.DUMMYFUNCTION("vlookup(BB906,importrange(""https://docs.google.com/spreadsheets/d/1d2vevQ_7D_v35q4wCQ4RpQ_IPoTwEMB9Yp6ymwlPqew/edit?gid=984458430#gid=984458430"", ""'replication success'!A:M""), 12, FAlSE)"),"#N/A")</f>
        <v>#N/A</v>
      </c>
      <c r="BA906" s="61" t="str">
        <f>IFERROR(__xludf.DUMMYFUNCTION("vlookup(BB906,importrange(""https://docs.google.com/spreadsheets/d/1d2vevQ_7D_v35q4wCQ4RpQ_IPoTwEMB9Yp6ymwlPqew/edit?gid=984458430#gid=984458430"", ""'replication success'!A:M""), 13, FAlSE)"),"#N/A")</f>
        <v>#N/A</v>
      </c>
      <c r="BB906" s="61" t="str">
        <f>IFERROR(__xludf.DUMMYFUNCTION("REGEXREPLACE(G906, ""_[a-z]{1,2}$"", """")"),"Boyce_etal2023155")</f>
        <v>Boyce_etal2023155</v>
      </c>
      <c r="BD906" s="68" t="s">
        <v>153</v>
      </c>
      <c r="BE906" s="71"/>
      <c r="BF906" s="189"/>
      <c r="BG906" s="189"/>
      <c r="BH906" s="189"/>
      <c r="BI906" s="189"/>
      <c r="BJ906" s="189"/>
      <c r="BK906" s="189"/>
      <c r="BL906" s="189"/>
      <c r="BM906" s="189"/>
      <c r="BN906" s="189"/>
      <c r="BO906" s="189"/>
      <c r="BP906" s="189"/>
      <c r="BQ906" s="189"/>
      <c r="BR906" s="189"/>
      <c r="BS906" s="189"/>
      <c r="BT906" s="189"/>
      <c r="BU906" s="189"/>
      <c r="BV906" s="189"/>
      <c r="BW906" s="189"/>
      <c r="BX906" s="189"/>
      <c r="BY906" s="189"/>
      <c r="BZ906" s="189"/>
      <c r="CA906" s="189"/>
      <c r="CB906" s="189"/>
      <c r="CC906" s="189"/>
      <c r="CD906" s="189"/>
      <c r="CE906" s="189"/>
      <c r="CF906" s="189"/>
      <c r="CG906" s="189"/>
      <c r="CH906" s="189"/>
      <c r="CI906" s="189"/>
      <c r="CJ906" s="189"/>
      <c r="CK906" s="189"/>
      <c r="CL906" s="189"/>
      <c r="CM906" s="189"/>
      <c r="CN906" s="189"/>
      <c r="CO906" s="189"/>
      <c r="CP906" s="189"/>
      <c r="CQ906" s="189"/>
      <c r="CR906" s="189"/>
      <c r="CS906" s="189"/>
      <c r="CT906" s="189"/>
      <c r="CU906" s="189"/>
      <c r="CV906" s="189"/>
      <c r="CW906" s="189"/>
      <c r="CX906" s="189"/>
      <c r="CY906" s="189"/>
      <c r="CZ906" s="189"/>
      <c r="DA906" s="189"/>
      <c r="DB906" s="189"/>
      <c r="DC906" s="189"/>
      <c r="DD906" s="189"/>
      <c r="DE906" s="189"/>
      <c r="DF906" s="189"/>
      <c r="DG906" s="189"/>
      <c r="DH906" s="189"/>
      <c r="DI906" s="189"/>
      <c r="DJ906" s="189"/>
      <c r="DK906" s="189"/>
      <c r="DL906" s="189"/>
    </row>
    <row r="907">
      <c r="A907" s="44">
        <v>907.0</v>
      </c>
      <c r="B907" s="68" t="s">
        <v>114</v>
      </c>
      <c r="C907" s="62" t="s">
        <v>115</v>
      </c>
      <c r="D907" s="62" t="s">
        <v>248</v>
      </c>
      <c r="F907" s="159" t="s">
        <v>4926</v>
      </c>
      <c r="G907" s="159" t="s">
        <v>4927</v>
      </c>
      <c r="H907" s="159" t="s">
        <v>249</v>
      </c>
      <c r="I907" s="152">
        <v>45672.0</v>
      </c>
      <c r="J907" s="152">
        <v>45692.0</v>
      </c>
      <c r="K907" s="437" t="s">
        <v>4928</v>
      </c>
      <c r="L907" s="68"/>
      <c r="M907" s="159" t="s">
        <v>4929</v>
      </c>
      <c r="N907" s="159" t="s">
        <v>4930</v>
      </c>
      <c r="O907" s="68"/>
      <c r="P907" s="606" t="str">
        <f t="shared" si="37"/>
        <v>10.1177--0956797615624492.pdf</v>
      </c>
      <c r="Q907" s="52" t="str">
        <f t="array" ref="Q907"> if(iserror(MATCH(V907, 'File Links'!C:C, 0)), "N/A", HYPERLINK(INDEX('File Links'!B:B, MATCH(P907, 'File Links'!C:C, 0))))</f>
        <v>https://drive.google.com/file/d/1MpP2-43GqkWDRpuwJ-apCbzIk2GwSMn_/view?usp=drivesdk</v>
      </c>
      <c r="R907" s="159" t="s">
        <v>3653</v>
      </c>
      <c r="S907" s="159" t="s">
        <v>3654</v>
      </c>
      <c r="T907" s="68"/>
      <c r="U907" s="156">
        <v>1.0</v>
      </c>
      <c r="V907" s="198" t="str">
        <f t="shared" si="49"/>
        <v>10.1098--rsos.231240.pdf</v>
      </c>
      <c r="W907" s="159" t="s">
        <v>3665</v>
      </c>
      <c r="X907" s="54" t="str">
        <f t="array" ref="X907"> if(iserror(MATCH(V907, 'File Links'!C:C, 0)), "N/A", HYPERLINK(INDEX('File Links'!B:B, MATCH(V907, 'File Links'!C:C, 0))))</f>
        <v>https://drive.google.com/file/d/17gaf2Zy_ljFfcAEDk5L8GBnTl5i7RGJE/view?usp=drivesdk</v>
      </c>
      <c r="Y907" s="68"/>
      <c r="Z907" s="159" t="s">
        <v>226</v>
      </c>
      <c r="AA907" s="68"/>
      <c r="AB907" s="159" t="s">
        <v>4931</v>
      </c>
      <c r="AC907" s="68"/>
      <c r="AD907" s="159" t="s">
        <v>4932</v>
      </c>
      <c r="AE907" s="156">
        <v>3.0</v>
      </c>
      <c r="AF907" s="156">
        <v>63.0</v>
      </c>
      <c r="AG907" s="161" t="s">
        <v>4933</v>
      </c>
      <c r="AH907" s="119" t="s">
        <v>134</v>
      </c>
      <c r="AI907" s="159" t="s">
        <v>217</v>
      </c>
      <c r="AJ907" s="156">
        <v>0.001</v>
      </c>
      <c r="AK907" s="159" t="s">
        <v>135</v>
      </c>
      <c r="AL907" s="159" t="s">
        <v>186</v>
      </c>
      <c r="AM907" s="159" t="s">
        <v>141</v>
      </c>
      <c r="AN907" s="129" t="s">
        <v>138</v>
      </c>
      <c r="AO907" s="156">
        <v>26.0</v>
      </c>
      <c r="AP907" s="1243">
        <v>-0.0204714248912809</v>
      </c>
      <c r="AQ907" s="159" t="s">
        <v>173</v>
      </c>
      <c r="AR907" s="68"/>
      <c r="AS907" s="1243">
        <v>0.919289815940389</v>
      </c>
      <c r="AT907" s="159" t="s">
        <v>172</v>
      </c>
      <c r="AU907" s="159" t="s">
        <v>186</v>
      </c>
      <c r="AV907" s="159" t="s">
        <v>141</v>
      </c>
      <c r="AW907" s="129" t="s">
        <v>138</v>
      </c>
      <c r="AX907" s="159" t="s">
        <v>143</v>
      </c>
      <c r="AY907" s="61" t="str">
        <f>IFERROR(__xludf.DUMMYFUNCTION("vlookup(BB907,importrange(""https://docs.google.com/spreadsheets/d/1d2vevQ_7D_v35q4wCQ4RpQ_IPoTwEMB9Yp6ymwlPqew/edit?gid=984458430#gid=984458430"", ""'replication success'!A:K""), 11, FAlSE)"),"#N/A")</f>
        <v>#N/A</v>
      </c>
      <c r="AZ907" s="61" t="str">
        <f>IFERROR(__xludf.DUMMYFUNCTION("vlookup(BB907,importrange(""https://docs.google.com/spreadsheets/d/1d2vevQ_7D_v35q4wCQ4RpQ_IPoTwEMB9Yp6ymwlPqew/edit?gid=984458430#gid=984458430"", ""'replication success'!A:M""), 12, FAlSE)"),"#N/A")</f>
        <v>#N/A</v>
      </c>
      <c r="BA907" s="61" t="str">
        <f>IFERROR(__xludf.DUMMYFUNCTION("vlookup(BB907,importrange(""https://docs.google.com/spreadsheets/d/1d2vevQ_7D_v35q4wCQ4RpQ_IPoTwEMB9Yp6ymwlPqew/edit?gid=984458430#gid=984458430"", ""'replication success'!A:M""), 13, FAlSE)"),"#N/A")</f>
        <v>#N/A</v>
      </c>
      <c r="BB907" s="61" t="str">
        <f>IFERROR(__xludf.DUMMYFUNCTION("REGEXREPLACE(G907, ""_[a-z]{1,2}$"", """")"),"Boyce_etal2023156_1")</f>
        <v>Boyce_etal2023156_1</v>
      </c>
      <c r="BD907" s="68" t="s">
        <v>153</v>
      </c>
      <c r="BE907" s="71"/>
    </row>
    <row r="908">
      <c r="A908" s="44">
        <v>908.0</v>
      </c>
      <c r="B908" s="129" t="s">
        <v>152</v>
      </c>
      <c r="C908" s="62" t="s">
        <v>115</v>
      </c>
      <c r="D908" s="62" t="s">
        <v>153</v>
      </c>
      <c r="F908" s="68" t="s">
        <v>4927</v>
      </c>
      <c r="G908" s="159" t="s">
        <v>4926</v>
      </c>
      <c r="H908" s="159" t="s">
        <v>153</v>
      </c>
      <c r="I908" s="152">
        <v>45687.0</v>
      </c>
      <c r="J908" s="152">
        <v>45692.0</v>
      </c>
      <c r="K908" s="1055" t="s">
        <v>4934</v>
      </c>
      <c r="L908" s="129" t="s">
        <v>4935</v>
      </c>
      <c r="M908" s="159" t="s">
        <v>4929</v>
      </c>
      <c r="N908" s="159" t="s">
        <v>4930</v>
      </c>
      <c r="O908" s="156">
        <v>1.0</v>
      </c>
      <c r="P908" s="159" t="str">
        <f t="shared" si="37"/>
        <v>10.1177--0956797615624492.pdf</v>
      </c>
      <c r="Q908" s="52" t="str">
        <f t="array" ref="Q908"> if(iserror(MATCH(V908, 'File Links'!C:C, 0)), "N/A", HYPERLINK(INDEX('File Links'!B:B, MATCH(P908, 'File Links'!C:C, 0))))</f>
        <v>https://drive.google.com/file/d/1MpP2-43GqkWDRpuwJ-apCbzIk2GwSMn_/view?usp=drivesdk</v>
      </c>
      <c r="R908" s="159" t="s">
        <v>3653</v>
      </c>
      <c r="S908" s="159" t="s">
        <v>3654</v>
      </c>
      <c r="T908" s="441" t="s">
        <v>4936</v>
      </c>
      <c r="U908" s="156">
        <v>1.0</v>
      </c>
      <c r="V908" s="198" t="str">
        <f t="shared" si="49"/>
        <v>10.1098--rsos.231240.pdf</v>
      </c>
      <c r="W908" s="159" t="s">
        <v>3671</v>
      </c>
      <c r="X908" s="54" t="str">
        <f t="array" ref="X908"> if(iserror(MATCH(V908, 'File Links'!C:C, 0)), "N/A", HYPERLINK(INDEX('File Links'!B:B, MATCH(V908, 'File Links'!C:C, 0))))</f>
        <v>https://drive.google.com/file/d/17gaf2Zy_ljFfcAEDk5L8GBnTl5i7RGJE/view?usp=drivesdk</v>
      </c>
      <c r="Y908" s="68"/>
      <c r="Z908" s="159" t="s">
        <v>226</v>
      </c>
      <c r="AA908" s="159" t="s">
        <v>4193</v>
      </c>
      <c r="AB908" s="159" t="s">
        <v>4937</v>
      </c>
      <c r="AC908" s="159" t="s">
        <v>4938</v>
      </c>
      <c r="AD908" s="159" t="s">
        <v>4939</v>
      </c>
      <c r="AE908" s="156">
        <v>3.0</v>
      </c>
      <c r="AF908" s="156">
        <v>63.0</v>
      </c>
      <c r="AG908" s="156">
        <v>0.22</v>
      </c>
      <c r="AH908" s="156" t="s">
        <v>874</v>
      </c>
      <c r="AI908" s="156" t="s">
        <v>217</v>
      </c>
      <c r="AJ908" s="156">
        <v>0.001</v>
      </c>
      <c r="AK908" s="159" t="s">
        <v>135</v>
      </c>
      <c r="AL908" s="159" t="s">
        <v>186</v>
      </c>
      <c r="AM908" s="159" t="s">
        <v>141</v>
      </c>
      <c r="AN908" s="129" t="s">
        <v>138</v>
      </c>
      <c r="AO908" s="156">
        <v>26.0</v>
      </c>
      <c r="AP908" s="161" t="s">
        <v>4940</v>
      </c>
      <c r="AQ908" s="156" t="s">
        <v>134</v>
      </c>
      <c r="AR908" s="441" t="s">
        <v>4936</v>
      </c>
      <c r="AS908" s="161">
        <v>0.212</v>
      </c>
      <c r="AT908" s="159" t="s">
        <v>172</v>
      </c>
      <c r="AU908" s="159" t="s">
        <v>186</v>
      </c>
      <c r="AV908" s="159" t="s">
        <v>141</v>
      </c>
      <c r="AW908" s="129" t="s">
        <v>138</v>
      </c>
      <c r="AX908" s="68" t="s">
        <v>143</v>
      </c>
      <c r="AY908" s="61" t="str">
        <f>IFERROR(__xludf.DUMMYFUNCTION("vlookup(BB908,importrange(""https://docs.google.com/spreadsheets/d/1d2vevQ_7D_v35q4wCQ4RpQ_IPoTwEMB9Yp6ymwlPqew/edit?gid=984458430#gid=984458430"", ""'replication success'!A:K""), 11, FAlSE)"),"#N/A")</f>
        <v>#N/A</v>
      </c>
      <c r="AZ908" s="61" t="str">
        <f>IFERROR(__xludf.DUMMYFUNCTION("vlookup(BB908,importrange(""https://docs.google.com/spreadsheets/d/1d2vevQ_7D_v35q4wCQ4RpQ_IPoTwEMB9Yp6ymwlPqew/edit?gid=984458430#gid=984458430"", ""'replication success'!A:M""), 12, FAlSE)"),"#N/A")</f>
        <v>#N/A</v>
      </c>
      <c r="BA908" s="61" t="str">
        <f>IFERROR(__xludf.DUMMYFUNCTION("vlookup(BB908,importrange(""https://docs.google.com/spreadsheets/d/1d2vevQ_7D_v35q4wCQ4RpQ_IPoTwEMB9Yp6ymwlPqew/edit?gid=984458430#gid=984458430"", ""'replication success'!A:M""), 13, FAlSE)"),"#N/A")</f>
        <v>#N/A</v>
      </c>
      <c r="BB908" s="61" t="str">
        <f>IFERROR(__xludf.DUMMYFUNCTION("REGEXREPLACE(G908, ""_[a-z]{1,2}$"", """")"),"Boyce_etal2023156")</f>
        <v>Boyce_etal2023156</v>
      </c>
      <c r="BD908" s="129" t="s">
        <v>3763</v>
      </c>
      <c r="BE908" s="71"/>
      <c r="BF908" s="189"/>
      <c r="BG908" s="189"/>
      <c r="BH908" s="189"/>
      <c r="BI908" s="189"/>
      <c r="BJ908" s="189"/>
      <c r="BK908" s="189"/>
      <c r="BL908" s="189"/>
      <c r="BM908" s="189"/>
      <c r="BN908" s="189"/>
      <c r="BO908" s="189"/>
      <c r="BP908" s="189"/>
      <c r="BQ908" s="189"/>
      <c r="BR908" s="189"/>
      <c r="BS908" s="189"/>
      <c r="BT908" s="189"/>
      <c r="BU908" s="189"/>
      <c r="BV908" s="189"/>
      <c r="BW908" s="189"/>
      <c r="BX908" s="189"/>
      <c r="BY908" s="189"/>
      <c r="BZ908" s="189"/>
      <c r="CA908" s="189"/>
      <c r="CB908" s="189"/>
      <c r="CC908" s="189"/>
      <c r="CD908" s="189"/>
      <c r="CE908" s="189"/>
      <c r="CF908" s="189"/>
      <c r="CG908" s="189"/>
      <c r="CH908" s="189"/>
      <c r="CI908" s="189"/>
      <c r="CJ908" s="189"/>
      <c r="CK908" s="189"/>
      <c r="CL908" s="189"/>
      <c r="CM908" s="189"/>
      <c r="CN908" s="189"/>
      <c r="CO908" s="189"/>
      <c r="CP908" s="189"/>
      <c r="CQ908" s="189"/>
      <c r="CR908" s="189"/>
      <c r="CS908" s="189"/>
      <c r="CT908" s="189"/>
      <c r="CU908" s="189"/>
      <c r="CV908" s="189"/>
      <c r="CW908" s="189"/>
      <c r="CX908" s="189"/>
      <c r="CY908" s="189"/>
      <c r="CZ908" s="189"/>
      <c r="DA908" s="189"/>
      <c r="DB908" s="189"/>
      <c r="DC908" s="189"/>
      <c r="DD908" s="189"/>
      <c r="DE908" s="189"/>
      <c r="DF908" s="189"/>
      <c r="DG908" s="189"/>
      <c r="DH908" s="189"/>
      <c r="DI908" s="189"/>
      <c r="DJ908" s="189"/>
      <c r="DK908" s="189"/>
      <c r="DL908" s="189"/>
    </row>
    <row r="909">
      <c r="A909" s="44">
        <v>909.0</v>
      </c>
      <c r="B909" s="129" t="s">
        <v>152</v>
      </c>
      <c r="C909" s="62" t="s">
        <v>115</v>
      </c>
      <c r="D909" s="62" t="s">
        <v>153</v>
      </c>
      <c r="F909" s="68" t="s">
        <v>4941</v>
      </c>
      <c r="G909" s="159" t="s">
        <v>4942</v>
      </c>
      <c r="H909" s="159" t="s">
        <v>153</v>
      </c>
      <c r="I909" s="152">
        <v>45687.0</v>
      </c>
      <c r="J909" s="152">
        <v>45692.0</v>
      </c>
      <c r="K909" s="1055" t="s">
        <v>4943</v>
      </c>
      <c r="L909" s="68"/>
      <c r="M909" s="159" t="s">
        <v>4929</v>
      </c>
      <c r="N909" s="159" t="s">
        <v>4930</v>
      </c>
      <c r="O909" s="156">
        <v>3.0</v>
      </c>
      <c r="P909" s="159" t="str">
        <f t="shared" si="37"/>
        <v>10.1177--0956797615624492.pdf</v>
      </c>
      <c r="Q909" s="52" t="str">
        <f t="array" ref="Q909"> if(iserror(MATCH(V909, 'File Links'!C:C, 0)), "N/A", HYPERLINK(INDEX('File Links'!B:B, MATCH(P909, 'File Links'!C:C, 0))))</f>
        <v>https://drive.google.com/file/d/1MpP2-43GqkWDRpuwJ-apCbzIk2GwSMn_/view?usp=drivesdk</v>
      </c>
      <c r="R909" s="159" t="s">
        <v>3653</v>
      </c>
      <c r="S909" s="159" t="s">
        <v>3654</v>
      </c>
      <c r="T909" s="441" t="s">
        <v>4944</v>
      </c>
      <c r="U909" s="156">
        <v>1.0</v>
      </c>
      <c r="V909" s="198" t="str">
        <f t="shared" si="49"/>
        <v>10.1098--rsos.231240.pdf</v>
      </c>
      <c r="W909" s="159" t="s">
        <v>3726</v>
      </c>
      <c r="X909" s="54" t="str">
        <f t="array" ref="X909"> if(iserror(MATCH(V909, 'File Links'!C:C, 0)), "N/A", HYPERLINK(INDEX('File Links'!B:B, MATCH(V909, 'File Links'!C:C, 0))))</f>
        <v>https://drive.google.com/file/d/17gaf2Zy_ljFfcAEDk5L8GBnTl5i7RGJE/view?usp=drivesdk</v>
      </c>
      <c r="Y909" s="68"/>
      <c r="Z909" s="159" t="s">
        <v>226</v>
      </c>
      <c r="AA909" s="159" t="s">
        <v>4193</v>
      </c>
      <c r="AB909" s="159" t="s">
        <v>4937</v>
      </c>
      <c r="AC909" s="159" t="s">
        <v>4945</v>
      </c>
      <c r="AD909" s="159" t="s">
        <v>4946</v>
      </c>
      <c r="AE909" s="336">
        <v>7.0</v>
      </c>
      <c r="AF909" s="156">
        <v>62.0</v>
      </c>
      <c r="AG909" s="336">
        <v>0.35</v>
      </c>
      <c r="AH909" s="156" t="s">
        <v>874</v>
      </c>
      <c r="AI909" s="336" t="s">
        <v>132</v>
      </c>
      <c r="AJ909" s="156">
        <v>0.001</v>
      </c>
      <c r="AK909" s="159" t="s">
        <v>135</v>
      </c>
      <c r="AL909" s="159" t="s">
        <v>186</v>
      </c>
      <c r="AM909" s="151" t="s">
        <v>137</v>
      </c>
      <c r="AN909" s="129" t="s">
        <v>138</v>
      </c>
      <c r="AO909" s="156">
        <v>14.0</v>
      </c>
      <c r="AP909" s="336">
        <v>0.0020787</v>
      </c>
      <c r="AQ909" s="156" t="s">
        <v>139</v>
      </c>
      <c r="AR909" s="441" t="s">
        <v>4944</v>
      </c>
      <c r="AS909" s="156">
        <v>0.4551992</v>
      </c>
      <c r="AT909" s="159" t="s">
        <v>172</v>
      </c>
      <c r="AU909" s="159" t="s">
        <v>186</v>
      </c>
      <c r="AV909" s="151" t="s">
        <v>137</v>
      </c>
      <c r="AW909" s="129" t="s">
        <v>138</v>
      </c>
      <c r="AX909" s="68" t="s">
        <v>143</v>
      </c>
      <c r="AY909" s="61" t="str">
        <f>IFERROR(__xludf.DUMMYFUNCTION("vlookup(BB909,importrange(""https://docs.google.com/spreadsheets/d/1d2vevQ_7D_v35q4wCQ4RpQ_IPoTwEMB9Yp6ymwlPqew/edit?gid=984458430#gid=984458430"", ""'replication success'!A:K""), 11, FAlSE)"),"#N/A")</f>
        <v>#N/A</v>
      </c>
      <c r="AZ909" s="61" t="str">
        <f>IFERROR(__xludf.DUMMYFUNCTION("vlookup(BB909,importrange(""https://docs.google.com/spreadsheets/d/1d2vevQ_7D_v35q4wCQ4RpQ_IPoTwEMB9Yp6ymwlPqew/edit?gid=984458430#gid=984458430"", ""'replication success'!A:M""), 12, FAlSE)"),"#N/A")</f>
        <v>#N/A</v>
      </c>
      <c r="BA909" s="61" t="str">
        <f>IFERROR(__xludf.DUMMYFUNCTION("vlookup(BB909,importrange(""https://docs.google.com/spreadsheets/d/1d2vevQ_7D_v35q4wCQ4RpQ_IPoTwEMB9Yp6ymwlPqew/edit?gid=984458430#gid=984458430"", ""'replication success'!A:M""), 13, FAlSE)"),"#N/A")</f>
        <v>#N/A</v>
      </c>
      <c r="BB909" s="61" t="str">
        <f>IFERROR(__xludf.DUMMYFUNCTION("REGEXREPLACE(G909, ""_[a-z]{1,2}$"", """")"),"Boyce_etal2023157")</f>
        <v>Boyce_etal2023157</v>
      </c>
      <c r="BD909" s="129" t="s">
        <v>3763</v>
      </c>
      <c r="BE909" s="71"/>
    </row>
    <row r="910">
      <c r="A910" s="44">
        <v>910.0</v>
      </c>
      <c r="B910" s="68" t="s">
        <v>114</v>
      </c>
      <c r="C910" s="62" t="s">
        <v>115</v>
      </c>
      <c r="D910" s="62" t="s">
        <v>248</v>
      </c>
      <c r="F910" s="68" t="s">
        <v>4941</v>
      </c>
      <c r="G910" s="159" t="s">
        <v>4947</v>
      </c>
      <c r="H910" s="159" t="s">
        <v>249</v>
      </c>
      <c r="I910" s="152">
        <v>45672.0</v>
      </c>
      <c r="J910" s="152">
        <v>45692.0</v>
      </c>
      <c r="K910" s="437" t="s">
        <v>4948</v>
      </c>
      <c r="L910" s="68"/>
      <c r="M910" s="159" t="s">
        <v>4929</v>
      </c>
      <c r="N910" s="159" t="s">
        <v>4930</v>
      </c>
      <c r="O910" s="68"/>
      <c r="P910" s="159" t="str">
        <f t="shared" si="37"/>
        <v>10.1177--0956797615624492.pdf</v>
      </c>
      <c r="Q910" s="52" t="str">
        <f t="array" ref="Q910"> if(iserror(MATCH(V910, 'File Links'!C:C, 0)), "N/A", HYPERLINK(INDEX('File Links'!B:B, MATCH(P910, 'File Links'!C:C, 0))))</f>
        <v>https://drive.google.com/file/d/1MpP2-43GqkWDRpuwJ-apCbzIk2GwSMn_/view?usp=drivesdk</v>
      </c>
      <c r="R910" s="159" t="s">
        <v>3653</v>
      </c>
      <c r="S910" s="159" t="s">
        <v>3654</v>
      </c>
      <c r="T910" s="68"/>
      <c r="U910" s="156">
        <v>1.0</v>
      </c>
      <c r="V910" s="198" t="str">
        <f t="shared" si="49"/>
        <v>10.1098--rsos.231240.pdf</v>
      </c>
      <c r="W910" s="159" t="s">
        <v>324</v>
      </c>
      <c r="X910" s="54" t="str">
        <f t="array" ref="X910"> if(iserror(MATCH(V910, 'File Links'!C:C, 0)), "N/A", HYPERLINK(INDEX('File Links'!B:B, MATCH(V910, 'File Links'!C:C, 0))))</f>
        <v>https://drive.google.com/file/d/17gaf2Zy_ljFfcAEDk5L8GBnTl5i7RGJE/view?usp=drivesdk</v>
      </c>
      <c r="Y910" s="68"/>
      <c r="Z910" s="159" t="s">
        <v>226</v>
      </c>
      <c r="AA910" s="68"/>
      <c r="AB910" s="68"/>
      <c r="AC910" s="68"/>
      <c r="AD910" s="159" t="s">
        <v>138</v>
      </c>
      <c r="AE910" s="159" t="s">
        <v>138</v>
      </c>
      <c r="AF910" s="156">
        <v>62.0</v>
      </c>
      <c r="AG910" s="1243">
        <v>0.548480826803157</v>
      </c>
      <c r="AH910" s="159" t="s">
        <v>173</v>
      </c>
      <c r="AI910" s="159" t="s">
        <v>138</v>
      </c>
      <c r="AJ910" s="1246">
        <v>6.62469529051993E-5</v>
      </c>
      <c r="AK910" s="159" t="s">
        <v>172</v>
      </c>
      <c r="AL910" s="159" t="s">
        <v>186</v>
      </c>
      <c r="AM910" s="159" t="s">
        <v>1905</v>
      </c>
      <c r="AN910" s="129" t="s">
        <v>138</v>
      </c>
      <c r="AO910" s="156">
        <v>14.0</v>
      </c>
      <c r="AP910" s="1247">
        <v>0.448958987300324</v>
      </c>
      <c r="AQ910" s="159" t="s">
        <v>173</v>
      </c>
      <c r="AR910" s="68"/>
      <c r="AS910" s="1247">
        <v>0.129496379178315</v>
      </c>
      <c r="AT910" s="159" t="s">
        <v>172</v>
      </c>
      <c r="AU910" s="159" t="s">
        <v>186</v>
      </c>
      <c r="AV910" s="159" t="s">
        <v>1905</v>
      </c>
      <c r="AW910" s="129" t="s">
        <v>138</v>
      </c>
      <c r="AX910" s="159" t="s">
        <v>143</v>
      </c>
      <c r="AY910" s="61" t="str">
        <f>IFERROR(__xludf.DUMMYFUNCTION("vlookup(BB910,importrange(""https://docs.google.com/spreadsheets/d/1d2vevQ_7D_v35q4wCQ4RpQ_IPoTwEMB9Yp6ymwlPqew/edit?gid=984458430#gid=984458430"", ""'replication success'!A:K""), 11, FAlSE)"),"#N/A")</f>
        <v>#N/A</v>
      </c>
      <c r="AZ910" s="61" t="str">
        <f>IFERROR(__xludf.DUMMYFUNCTION("vlookup(BB910,importrange(""https://docs.google.com/spreadsheets/d/1d2vevQ_7D_v35q4wCQ4RpQ_IPoTwEMB9Yp6ymwlPqew/edit?gid=984458430#gid=984458430"", ""'replication success'!A:M""), 12, FAlSE)"),"#N/A")</f>
        <v>#N/A</v>
      </c>
      <c r="BA910" s="61" t="str">
        <f>IFERROR(__xludf.DUMMYFUNCTION("vlookup(BB910,importrange(""https://docs.google.com/spreadsheets/d/1d2vevQ_7D_v35q4wCQ4RpQ_IPoTwEMB9Yp6ymwlPqew/edit?gid=984458430#gid=984458430"", ""'replication success'!A:M""), 13, FAlSE)"),"#N/A")</f>
        <v>#N/A</v>
      </c>
      <c r="BB910" s="61" t="str">
        <f>IFERROR(__xludf.DUMMYFUNCTION("REGEXREPLACE(G910, ""_[a-z]{1,2}$"", """")"),"Boyce_etal2023156_1")</f>
        <v>Boyce_etal2023156_1</v>
      </c>
      <c r="BD910" s="68" t="s">
        <v>153</v>
      </c>
      <c r="BE910" s="71"/>
      <c r="BF910" s="189"/>
      <c r="BG910" s="189"/>
      <c r="BH910" s="189"/>
      <c r="BI910" s="189"/>
      <c r="BJ910" s="189"/>
      <c r="BK910" s="189"/>
      <c r="BL910" s="189"/>
      <c r="BM910" s="189"/>
      <c r="BN910" s="189"/>
      <c r="BO910" s="189"/>
      <c r="BP910" s="189"/>
      <c r="BQ910" s="189"/>
      <c r="BR910" s="189"/>
      <c r="BS910" s="189"/>
      <c r="BT910" s="189"/>
      <c r="BU910" s="189"/>
      <c r="BV910" s="189"/>
      <c r="BW910" s="189"/>
      <c r="BX910" s="189"/>
      <c r="BY910" s="189"/>
      <c r="BZ910" s="189"/>
      <c r="CA910" s="189"/>
      <c r="CB910" s="189"/>
      <c r="CC910" s="189"/>
      <c r="CD910" s="189"/>
      <c r="CE910" s="189"/>
      <c r="CF910" s="189"/>
      <c r="CG910" s="189"/>
      <c r="CH910" s="189"/>
      <c r="CI910" s="189"/>
      <c r="CJ910" s="189"/>
      <c r="CK910" s="189"/>
      <c r="CL910" s="189"/>
      <c r="CM910" s="189"/>
      <c r="CN910" s="189"/>
      <c r="CO910" s="189"/>
      <c r="CP910" s="189"/>
      <c r="CQ910" s="189"/>
      <c r="CR910" s="189"/>
      <c r="CS910" s="189"/>
      <c r="CT910" s="189"/>
      <c r="CU910" s="189"/>
      <c r="CV910" s="189"/>
      <c r="CW910" s="189"/>
      <c r="CX910" s="189"/>
      <c r="CY910" s="189"/>
      <c r="CZ910" s="189"/>
      <c r="DA910" s="189"/>
      <c r="DB910" s="189"/>
      <c r="DC910" s="189"/>
      <c r="DD910" s="189"/>
      <c r="DE910" s="189"/>
      <c r="DF910" s="189"/>
      <c r="DG910" s="189"/>
      <c r="DH910" s="189"/>
      <c r="DI910" s="189"/>
      <c r="DJ910" s="189"/>
      <c r="DK910" s="189"/>
      <c r="DL910" s="189"/>
    </row>
    <row r="911">
      <c r="A911" s="44">
        <v>911.0</v>
      </c>
      <c r="B911" s="129" t="s">
        <v>152</v>
      </c>
      <c r="C911" s="62" t="s">
        <v>115</v>
      </c>
      <c r="D911" s="62" t="s">
        <v>248</v>
      </c>
      <c r="F911" s="159" t="s">
        <v>4949</v>
      </c>
      <c r="G911" s="159" t="s">
        <v>4950</v>
      </c>
      <c r="H911" s="159" t="s">
        <v>249</v>
      </c>
      <c r="I911" s="152">
        <v>45672.0</v>
      </c>
      <c r="J911" s="152">
        <v>45692.0</v>
      </c>
      <c r="K911" s="437" t="s">
        <v>4951</v>
      </c>
      <c r="L911" s="68" t="s">
        <v>4720</v>
      </c>
      <c r="M911" s="159" t="s">
        <v>4952</v>
      </c>
      <c r="N911" s="159" t="s">
        <v>4953</v>
      </c>
      <c r="O911" s="68"/>
      <c r="P911" s="606" t="str">
        <f t="shared" si="37"/>
        <v>10.1515--ling.2011.016.pdf</v>
      </c>
      <c r="Q911" s="52" t="str">
        <f t="array" ref="Q911"> if(iserror(MATCH(V911, 'File Links'!C:C, 0)), "N/A", HYPERLINK(INDEX('File Links'!B:B, MATCH(P911, 'File Links'!C:C, 0))))</f>
        <v>https://drive.google.com/file/d/1OhQWWe3jm8WtNRylZvAGE-c4xHX8dswr/view?usp=drivesdk</v>
      </c>
      <c r="R911" s="159" t="s">
        <v>3653</v>
      </c>
      <c r="S911" s="159" t="s">
        <v>3654</v>
      </c>
      <c r="T911" s="441" t="s">
        <v>4954</v>
      </c>
      <c r="U911" s="156">
        <v>1.0</v>
      </c>
      <c r="V911" s="198" t="str">
        <f t="shared" si="49"/>
        <v>10.1098--rsos.231240.pdf</v>
      </c>
      <c r="W911" s="159" t="s">
        <v>3726</v>
      </c>
      <c r="X911" s="54" t="str">
        <f t="array" ref="X911"> if(iserror(MATCH(V911, 'File Links'!C:C, 0)), "N/A", HYPERLINK(INDEX('File Links'!B:B, MATCH(V911, 'File Links'!C:C, 0))))</f>
        <v>https://drive.google.com/file/d/17gaf2Zy_ljFfcAEDk5L8GBnTl5i7RGJE/view?usp=drivesdk</v>
      </c>
      <c r="Y911" s="68"/>
      <c r="Z911" s="159" t="s">
        <v>226</v>
      </c>
      <c r="AA911" s="1115" t="s">
        <v>4955</v>
      </c>
      <c r="AB911" s="1115" t="s">
        <v>4956</v>
      </c>
      <c r="AC911" s="1115" t="s">
        <v>4957</v>
      </c>
      <c r="AD911" s="159" t="s">
        <v>4958</v>
      </c>
      <c r="AE911" s="156">
        <v>540.0</v>
      </c>
      <c r="AF911" s="156">
        <v>20.0</v>
      </c>
      <c r="AG911" s="156">
        <v>0.85</v>
      </c>
      <c r="AH911" s="159" t="s">
        <v>173</v>
      </c>
      <c r="AI911" s="159" t="s">
        <v>4959</v>
      </c>
      <c r="AJ911" s="156">
        <v>0.005</v>
      </c>
      <c r="AK911" s="159" t="s">
        <v>135</v>
      </c>
      <c r="AL911" s="159" t="s">
        <v>186</v>
      </c>
      <c r="AM911" s="151" t="s">
        <v>137</v>
      </c>
      <c r="AN911" s="129" t="s">
        <v>138</v>
      </c>
      <c r="AO911" s="156">
        <v>35.0</v>
      </c>
      <c r="AP911" s="1248">
        <v>0.902433572610701</v>
      </c>
      <c r="AQ911" s="159" t="s">
        <v>173</v>
      </c>
      <c r="AR911" s="1153" t="s">
        <v>4120</v>
      </c>
      <c r="AS911" s="1249">
        <f>IFERROR(__xludf.DUMMYFUNCTION("7.8*10^-6"),7.8E-6)</f>
        <v>0.0000078</v>
      </c>
      <c r="AT911" s="159" t="s">
        <v>172</v>
      </c>
      <c r="AU911" s="159" t="s">
        <v>186</v>
      </c>
      <c r="AV911" s="151" t="s">
        <v>137</v>
      </c>
      <c r="AW911" s="129" t="s">
        <v>138</v>
      </c>
      <c r="AX911" s="1060" t="s">
        <v>143</v>
      </c>
      <c r="AY911" s="61" t="str">
        <f>IFERROR(__xludf.DUMMYFUNCTION("vlookup(BB911,importrange(""https://docs.google.com/spreadsheets/d/1d2vevQ_7D_v35q4wCQ4RpQ_IPoTwEMB9Yp6ymwlPqew/edit?gid=984458430#gid=984458430"", ""'replication success'!A:K""), 11, FAlSE)"),"#N/A")</f>
        <v>#N/A</v>
      </c>
      <c r="AZ911" s="61" t="str">
        <f>IFERROR(__xludf.DUMMYFUNCTION("vlookup(BB911,importrange(""https://docs.google.com/spreadsheets/d/1d2vevQ_7D_v35q4wCQ4RpQ_IPoTwEMB9Yp6ymwlPqew/edit?gid=984458430#gid=984458430"", ""'replication success'!A:M""), 12, FAlSE)"),"#N/A")</f>
        <v>#N/A</v>
      </c>
      <c r="BA911" s="61" t="str">
        <f>IFERROR(__xludf.DUMMYFUNCTION("vlookup(BB911,importrange(""https://docs.google.com/spreadsheets/d/1d2vevQ_7D_v35q4wCQ4RpQ_IPoTwEMB9Yp6ymwlPqew/edit?gid=984458430#gid=984458430"", ""'replication success'!A:M""), 13, FAlSE)"),"#N/A")</f>
        <v>#N/A</v>
      </c>
      <c r="BB911" s="61" t="str">
        <f>IFERROR(__xludf.DUMMYFUNCTION("REGEXREPLACE(G911, ""_[a-z]{1,2}$"", """")"),"Boyce_etal2023158_1")</f>
        <v>Boyce_etal2023158_1</v>
      </c>
      <c r="BD911" s="68" t="s">
        <v>153</v>
      </c>
      <c r="BE911" s="71"/>
    </row>
    <row r="912">
      <c r="A912" s="44">
        <v>912.0</v>
      </c>
      <c r="B912" s="129" t="s">
        <v>152</v>
      </c>
      <c r="C912" s="62" t="s">
        <v>115</v>
      </c>
      <c r="D912" s="62" t="s">
        <v>153</v>
      </c>
      <c r="F912" s="68" t="s">
        <v>4950</v>
      </c>
      <c r="G912" s="159" t="s">
        <v>4949</v>
      </c>
      <c r="H912" s="159" t="s">
        <v>153</v>
      </c>
      <c r="I912" s="152">
        <v>45687.0</v>
      </c>
      <c r="J912" s="152">
        <v>45692.0</v>
      </c>
      <c r="K912" s="1055" t="s">
        <v>4960</v>
      </c>
      <c r="L912" s="68"/>
      <c r="M912" s="159" t="s">
        <v>4952</v>
      </c>
      <c r="N912" s="159" t="s">
        <v>4953</v>
      </c>
      <c r="O912" s="156">
        <v>1.0</v>
      </c>
      <c r="P912" s="159" t="str">
        <f t="shared" si="37"/>
        <v>10.1515--ling.2011.016.pdf</v>
      </c>
      <c r="Q912" s="52" t="str">
        <f t="array" ref="Q912"> if(iserror(MATCH(V912, 'File Links'!C:C, 0)), "N/A", HYPERLINK(INDEX('File Links'!B:B, MATCH(P912, 'File Links'!C:C, 0))))</f>
        <v>https://drive.google.com/file/d/1OhQWWe3jm8WtNRylZvAGE-c4xHX8dswr/view?usp=drivesdk</v>
      </c>
      <c r="R912" s="159" t="s">
        <v>3653</v>
      </c>
      <c r="S912" s="159" t="s">
        <v>3654</v>
      </c>
      <c r="T912" s="441" t="s">
        <v>4954</v>
      </c>
      <c r="U912" s="156">
        <v>1.0</v>
      </c>
      <c r="V912" s="198" t="str">
        <f t="shared" si="49"/>
        <v>10.1098--rsos.231240.pdf</v>
      </c>
      <c r="W912" s="159" t="s">
        <v>3726</v>
      </c>
      <c r="X912" s="54" t="str">
        <f t="array" ref="X912"> if(iserror(MATCH(V912, 'File Links'!C:C, 0)), "N/A", HYPERLINK(INDEX('File Links'!B:B, MATCH(V912, 'File Links'!C:C, 0))))</f>
        <v>https://drive.google.com/file/d/17gaf2Zy_ljFfcAEDk5L8GBnTl5i7RGJE/view?usp=drivesdk</v>
      </c>
      <c r="Y912" s="68"/>
      <c r="Z912" s="159" t="s">
        <v>226</v>
      </c>
      <c r="AA912" s="159" t="s">
        <v>4955</v>
      </c>
      <c r="AB912" s="159" t="s">
        <v>4956</v>
      </c>
      <c r="AC912" s="159" t="s">
        <v>4957</v>
      </c>
      <c r="AD912" s="159" t="s">
        <v>4961</v>
      </c>
      <c r="AE912" s="156">
        <v>14.0</v>
      </c>
      <c r="AF912" s="156">
        <v>20.0</v>
      </c>
      <c r="AG912" s="156" t="s">
        <v>4962</v>
      </c>
      <c r="AH912" s="156" t="s">
        <v>134</v>
      </c>
      <c r="AI912" s="156" t="s">
        <v>2229</v>
      </c>
      <c r="AJ912" s="156">
        <v>0.005</v>
      </c>
      <c r="AK912" s="159" t="s">
        <v>135</v>
      </c>
      <c r="AL912" s="159" t="s">
        <v>186</v>
      </c>
      <c r="AM912" s="151" t="s">
        <v>137</v>
      </c>
      <c r="AN912" s="129" t="s">
        <v>138</v>
      </c>
      <c r="AO912" s="156">
        <v>35.0</v>
      </c>
      <c r="AP912" s="1248">
        <v>0.902</v>
      </c>
      <c r="AQ912" s="156" t="s">
        <v>173</v>
      </c>
      <c r="AR912" s="1153" t="s">
        <v>4120</v>
      </c>
      <c r="AS912" s="1248">
        <f>IFERROR(__xludf.DUMMYFUNCTION("2.2*10^-16"),2.2000000000000002E-16)</f>
        <v>0</v>
      </c>
      <c r="AT912" s="159" t="s">
        <v>135</v>
      </c>
      <c r="AU912" s="159" t="s">
        <v>186</v>
      </c>
      <c r="AV912" s="151" t="s">
        <v>137</v>
      </c>
      <c r="AW912" s="129" t="s">
        <v>138</v>
      </c>
      <c r="AX912" s="68" t="s">
        <v>151</v>
      </c>
      <c r="AY912" s="61" t="str">
        <f>IFERROR(__xludf.DUMMYFUNCTION("vlookup(BB912,importrange(""https://docs.google.com/spreadsheets/d/1d2vevQ_7D_v35q4wCQ4RpQ_IPoTwEMB9Yp6ymwlPqew/edit?gid=984458430#gid=984458430"", ""'replication success'!A:K""), 11, FAlSE)"),"#N/A")</f>
        <v>#N/A</v>
      </c>
      <c r="AZ912" s="61" t="str">
        <f>IFERROR(__xludf.DUMMYFUNCTION("vlookup(BB912,importrange(""https://docs.google.com/spreadsheets/d/1d2vevQ_7D_v35q4wCQ4RpQ_IPoTwEMB9Yp6ymwlPqew/edit?gid=984458430#gid=984458430"", ""'replication success'!A:M""), 12, FAlSE)"),"#N/A")</f>
        <v>#N/A</v>
      </c>
      <c r="BA912" s="61" t="str">
        <f>IFERROR(__xludf.DUMMYFUNCTION("vlookup(BB912,importrange(""https://docs.google.com/spreadsheets/d/1d2vevQ_7D_v35q4wCQ4RpQ_IPoTwEMB9Yp6ymwlPqew/edit?gid=984458430#gid=984458430"", ""'replication success'!A:M""), 13, FAlSE)"),"#N/A")</f>
        <v>#N/A</v>
      </c>
      <c r="BB912" s="61" t="str">
        <f>IFERROR(__xludf.DUMMYFUNCTION("REGEXREPLACE(G912, ""_[a-z]{1,2}$"", """")"),"Boyce_etal2023158")</f>
        <v>Boyce_etal2023158</v>
      </c>
      <c r="BD912" s="68" t="s">
        <v>153</v>
      </c>
      <c r="BE912" s="71"/>
      <c r="BF912" s="189"/>
      <c r="BG912" s="189"/>
      <c r="BH912" s="189"/>
      <c r="BI912" s="189"/>
      <c r="BJ912" s="189"/>
      <c r="BK912" s="189"/>
      <c r="BL912" s="189"/>
      <c r="BM912" s="189"/>
      <c r="BN912" s="189"/>
      <c r="BO912" s="189"/>
      <c r="BP912" s="189"/>
      <c r="BQ912" s="189"/>
      <c r="BR912" s="189"/>
      <c r="BS912" s="189"/>
      <c r="BT912" s="189"/>
      <c r="BU912" s="189"/>
      <c r="BV912" s="189"/>
      <c r="BW912" s="189"/>
      <c r="BX912" s="189"/>
      <c r="BY912" s="189"/>
      <c r="BZ912" s="189"/>
      <c r="CA912" s="189"/>
      <c r="CB912" s="189"/>
      <c r="CC912" s="189"/>
      <c r="CD912" s="189"/>
      <c r="CE912" s="189"/>
      <c r="CF912" s="189"/>
      <c r="CG912" s="189"/>
      <c r="CH912" s="189"/>
      <c r="CI912" s="189"/>
      <c r="CJ912" s="189"/>
      <c r="CK912" s="189"/>
      <c r="CL912" s="189"/>
      <c r="CM912" s="189"/>
      <c r="CN912" s="189"/>
      <c r="CO912" s="189"/>
      <c r="CP912" s="189"/>
      <c r="CQ912" s="189"/>
      <c r="CR912" s="189"/>
      <c r="CS912" s="189"/>
      <c r="CT912" s="189"/>
      <c r="CU912" s="189"/>
      <c r="CV912" s="189"/>
      <c r="CW912" s="189"/>
      <c r="CX912" s="189"/>
      <c r="CY912" s="189"/>
      <c r="CZ912" s="189"/>
      <c r="DA912" s="189"/>
      <c r="DB912" s="189"/>
      <c r="DC912" s="189"/>
      <c r="DD912" s="189"/>
      <c r="DE912" s="189"/>
      <c r="DF912" s="189"/>
      <c r="DG912" s="189"/>
      <c r="DH912" s="189"/>
      <c r="DI912" s="189"/>
      <c r="DJ912" s="189"/>
      <c r="DK912" s="189"/>
      <c r="DL912" s="189"/>
    </row>
    <row r="913">
      <c r="A913" s="44">
        <v>913.0</v>
      </c>
      <c r="B913" s="129" t="s">
        <v>152</v>
      </c>
      <c r="C913" s="62" t="s">
        <v>115</v>
      </c>
      <c r="D913" s="62" t="s">
        <v>153</v>
      </c>
      <c r="F913" s="68" t="s">
        <v>4950</v>
      </c>
      <c r="G913" s="159" t="s">
        <v>4963</v>
      </c>
      <c r="H913" s="159" t="s">
        <v>153</v>
      </c>
      <c r="I913" s="152">
        <v>45687.0</v>
      </c>
      <c r="J913" s="152">
        <v>45692.0</v>
      </c>
      <c r="K913" s="1055" t="s">
        <v>4964</v>
      </c>
      <c r="L913" s="68"/>
      <c r="M913" s="159" t="s">
        <v>4952</v>
      </c>
      <c r="N913" s="159" t="s">
        <v>4953</v>
      </c>
      <c r="O913" s="156">
        <v>1.0</v>
      </c>
      <c r="P913" s="606" t="str">
        <f t="shared" si="37"/>
        <v>10.1515--ling.2011.016.pdf</v>
      </c>
      <c r="Q913" s="52" t="str">
        <f t="array" ref="Q913"> if(iserror(MATCH(V913, 'File Links'!C:C, 0)), "N/A", HYPERLINK(INDEX('File Links'!B:B, MATCH(P913, 'File Links'!C:C, 0))))</f>
        <v>https://drive.google.com/file/d/1OhQWWe3jm8WtNRylZvAGE-c4xHX8dswr/view?usp=drivesdk</v>
      </c>
      <c r="R913" s="159" t="s">
        <v>3653</v>
      </c>
      <c r="S913" s="159" t="s">
        <v>3654</v>
      </c>
      <c r="T913" s="441" t="s">
        <v>4954</v>
      </c>
      <c r="U913" s="156">
        <v>1.0</v>
      </c>
      <c r="V913" s="198" t="str">
        <f t="shared" si="49"/>
        <v>10.1098--rsos.231240.pdf</v>
      </c>
      <c r="W913" s="159" t="s">
        <v>3726</v>
      </c>
      <c r="X913" s="54" t="str">
        <f t="array" ref="X913"> if(iserror(MATCH(V913, 'File Links'!C:C, 0)), "N/A", HYPERLINK(INDEX('File Links'!B:B, MATCH(V913, 'File Links'!C:C, 0))))</f>
        <v>https://drive.google.com/file/d/17gaf2Zy_ljFfcAEDk5L8GBnTl5i7RGJE/view?usp=drivesdk</v>
      </c>
      <c r="Y913" s="68"/>
      <c r="Z913" s="159" t="s">
        <v>226</v>
      </c>
      <c r="AA913" s="159" t="s">
        <v>4955</v>
      </c>
      <c r="AB913" s="159" t="s">
        <v>4956</v>
      </c>
      <c r="AC913" s="159" t="s">
        <v>4965</v>
      </c>
      <c r="AD913" s="159" t="s">
        <v>4966</v>
      </c>
      <c r="AE913" s="336">
        <v>15.0</v>
      </c>
      <c r="AF913" s="156">
        <v>20.0</v>
      </c>
      <c r="AG913" s="501" t="s">
        <v>4967</v>
      </c>
      <c r="AH913" s="156" t="s">
        <v>134</v>
      </c>
      <c r="AI913" s="336" t="s">
        <v>627</v>
      </c>
      <c r="AJ913" s="336">
        <v>0.05</v>
      </c>
      <c r="AK913" s="159" t="s">
        <v>135</v>
      </c>
      <c r="AL913" s="159" t="s">
        <v>186</v>
      </c>
      <c r="AM913" s="151" t="s">
        <v>137</v>
      </c>
      <c r="AN913" s="129" t="s">
        <v>138</v>
      </c>
      <c r="AO913" s="156">
        <v>35.0</v>
      </c>
      <c r="AP913" s="501" t="s">
        <v>4968</v>
      </c>
      <c r="AQ913" s="156" t="s">
        <v>134</v>
      </c>
      <c r="AR913" s="441" t="s">
        <v>4954</v>
      </c>
      <c r="AS913" s="156">
        <f>IFERROR(__xludf.DUMMYFUNCTION("1.654*10^-5"),1.654E-5)</f>
        <v>0.00001654</v>
      </c>
      <c r="AT913" s="159" t="s">
        <v>172</v>
      </c>
      <c r="AU913" s="159" t="s">
        <v>186</v>
      </c>
      <c r="AV913" s="151" t="s">
        <v>137</v>
      </c>
      <c r="AW913" s="441" t="s">
        <v>4969</v>
      </c>
      <c r="AX913" s="68" t="s">
        <v>151</v>
      </c>
      <c r="AY913" s="61" t="str">
        <f>IFERROR(__xludf.DUMMYFUNCTION("vlookup(BB913,importrange(""https://docs.google.com/spreadsheets/d/1d2vevQ_7D_v35q4wCQ4RpQ_IPoTwEMB9Yp6ymwlPqew/edit?gid=984458430#gid=984458430"", ""'replication success'!A:K""), 11, FAlSE)"),"#N/A")</f>
        <v>#N/A</v>
      </c>
      <c r="AZ913" s="61" t="str">
        <f>IFERROR(__xludf.DUMMYFUNCTION("vlookup(BB913,importrange(""https://docs.google.com/spreadsheets/d/1d2vevQ_7D_v35q4wCQ4RpQ_IPoTwEMB9Yp6ymwlPqew/edit?gid=984458430#gid=984458430"", ""'replication success'!A:M""), 12, FAlSE)"),"#N/A")</f>
        <v>#N/A</v>
      </c>
      <c r="BA913" s="61" t="str">
        <f>IFERROR(__xludf.DUMMYFUNCTION("vlookup(BB913,importrange(""https://docs.google.com/spreadsheets/d/1d2vevQ_7D_v35q4wCQ4RpQ_IPoTwEMB9Yp6ymwlPqew/edit?gid=984458430#gid=984458430"", ""'replication success'!A:M""), 13, FAlSE)"),"#N/A")</f>
        <v>#N/A</v>
      </c>
      <c r="BB913" s="61" t="str">
        <f>IFERROR(__xludf.DUMMYFUNCTION("REGEXREPLACE(G913, ""_[a-z]{1,2}$"", """")"),"Boyce_etal2023158")</f>
        <v>Boyce_etal2023158</v>
      </c>
      <c r="BD913" s="68" t="s">
        <v>153</v>
      </c>
      <c r="BE913" s="71"/>
    </row>
    <row r="914" ht="18.75" customHeight="1">
      <c r="A914" s="44">
        <v>914.0</v>
      </c>
      <c r="B914" s="129" t="s">
        <v>152</v>
      </c>
      <c r="C914" s="62" t="s">
        <v>115</v>
      </c>
      <c r="D914" s="62" t="s">
        <v>248</v>
      </c>
      <c r="F914" s="159" t="s">
        <v>4970</v>
      </c>
      <c r="G914" s="159" t="s">
        <v>4971</v>
      </c>
      <c r="H914" s="159" t="s">
        <v>249</v>
      </c>
      <c r="I914" s="152">
        <v>45672.0</v>
      </c>
      <c r="J914" s="152">
        <v>45692.0</v>
      </c>
      <c r="K914" s="1055" t="s">
        <v>4972</v>
      </c>
      <c r="L914" s="68"/>
      <c r="M914" s="159" t="s">
        <v>4973</v>
      </c>
      <c r="N914" s="159" t="s">
        <v>4974</v>
      </c>
      <c r="O914" s="68"/>
      <c r="P914" s="159" t="str">
        <f t="shared" si="37"/>
        <v>10.1177--0956797616650875.pdf</v>
      </c>
      <c r="Q914" s="52" t="str">
        <f t="array" ref="Q914"> if(iserror(MATCH(V914, 'File Links'!C:C, 0)), "N/A", HYPERLINK(INDEX('File Links'!B:B, MATCH(P914, 'File Links'!C:C, 0))))</f>
        <v>https://drive.google.com/file/d/1OIEvCCJvM-_IxEbcHAL2vNkKmVoEHa3G/view?usp=drivesdk</v>
      </c>
      <c r="R914" s="159" t="s">
        <v>3653</v>
      </c>
      <c r="S914" s="159" t="s">
        <v>3654</v>
      </c>
      <c r="T914" s="123" t="s">
        <v>4975</v>
      </c>
      <c r="U914" s="156">
        <v>1.0</v>
      </c>
      <c r="V914" s="198" t="str">
        <f t="shared" si="49"/>
        <v>10.1098--rsos.231240.pdf</v>
      </c>
      <c r="W914" s="159" t="s">
        <v>3807</v>
      </c>
      <c r="X914" s="54" t="str">
        <f t="array" ref="X914"> if(iserror(MATCH(V914, 'File Links'!C:C, 0)), "N/A", HYPERLINK(INDEX('File Links'!B:B, MATCH(V914, 'File Links'!C:C, 0))))</f>
        <v>https://drive.google.com/file/d/17gaf2Zy_ljFfcAEDk5L8GBnTl5i7RGJE/view?usp=drivesdk</v>
      </c>
      <c r="Y914" s="68"/>
      <c r="Z914" s="159" t="s">
        <v>148</v>
      </c>
      <c r="AA914" s="68" t="s">
        <v>4403</v>
      </c>
      <c r="AB914" s="159" t="s">
        <v>4976</v>
      </c>
      <c r="AC914" s="68" t="s">
        <v>4977</v>
      </c>
      <c r="AD914" s="159" t="s">
        <v>4978</v>
      </c>
      <c r="AE914" s="156">
        <v>7.0</v>
      </c>
      <c r="AF914" s="156">
        <v>112.0</v>
      </c>
      <c r="AG914" s="156">
        <v>2.44</v>
      </c>
      <c r="AH914" s="159" t="s">
        <v>987</v>
      </c>
      <c r="AI914" s="159" t="s">
        <v>4979</v>
      </c>
      <c r="AJ914" s="156">
        <v>0.004</v>
      </c>
      <c r="AK914" s="159" t="s">
        <v>172</v>
      </c>
      <c r="AL914" s="159" t="s">
        <v>186</v>
      </c>
      <c r="AM914" s="151" t="s">
        <v>137</v>
      </c>
      <c r="AN914" s="310" t="s">
        <v>4980</v>
      </c>
      <c r="AO914" s="156">
        <v>136.0</v>
      </c>
      <c r="AP914" s="1114">
        <v>3.737</v>
      </c>
      <c r="AQ914" s="159" t="s">
        <v>987</v>
      </c>
      <c r="AR914" s="68"/>
      <c r="AS914" s="156">
        <v>0.001</v>
      </c>
      <c r="AT914" s="159" t="s">
        <v>135</v>
      </c>
      <c r="AU914" s="159" t="s">
        <v>186</v>
      </c>
      <c r="AV914" s="151" t="s">
        <v>137</v>
      </c>
      <c r="AW914" s="123" t="s">
        <v>4969</v>
      </c>
      <c r="AX914" s="159" t="s">
        <v>143</v>
      </c>
      <c r="AY914" s="61" t="str">
        <f>IFERROR(__xludf.DUMMYFUNCTION("vlookup(BB914,importrange(""https://docs.google.com/spreadsheets/d/1d2vevQ_7D_v35q4wCQ4RpQ_IPoTwEMB9Yp6ymwlPqew/edit?gid=984458430#gid=984458430"", ""'replication success'!A:K""), 11, FAlSE)"),"#N/A")</f>
        <v>#N/A</v>
      </c>
      <c r="AZ914" s="61" t="str">
        <f>IFERROR(__xludf.DUMMYFUNCTION("vlookup(BB914,importrange(""https://docs.google.com/spreadsheets/d/1d2vevQ_7D_v35q4wCQ4RpQ_IPoTwEMB9Yp6ymwlPqew/edit?gid=984458430#gid=984458430"", ""'replication success'!A:M""), 12, FAlSE)"),"#N/A")</f>
        <v>#N/A</v>
      </c>
      <c r="BA914" s="61" t="str">
        <f>IFERROR(__xludf.DUMMYFUNCTION("vlookup(BB914,importrange(""https://docs.google.com/spreadsheets/d/1d2vevQ_7D_v35q4wCQ4RpQ_IPoTwEMB9Yp6ymwlPqew/edit?gid=984458430#gid=984458430"", ""'replication success'!A:M""), 13, FAlSE)"),"#N/A")</f>
        <v>#N/A</v>
      </c>
      <c r="BB914" s="61" t="str">
        <f>IFERROR(__xludf.DUMMYFUNCTION("REGEXREPLACE(G914, ""_[a-z]{1,2}$"", """")"),"Boyce_etal2023159_1")</f>
        <v>Boyce_etal2023159_1</v>
      </c>
      <c r="BD914" s="68" t="s">
        <v>153</v>
      </c>
      <c r="BF914" s="92"/>
      <c r="BG914" s="92"/>
      <c r="BH914" s="92"/>
      <c r="BI914" s="92"/>
      <c r="BJ914" s="92"/>
      <c r="BK914" s="92"/>
      <c r="BL914" s="92"/>
      <c r="BM914" s="92"/>
      <c r="BN914" s="92"/>
      <c r="BO914" s="92"/>
      <c r="BP914" s="92"/>
      <c r="BQ914" s="92"/>
      <c r="BR914" s="92"/>
      <c r="BS914" s="92"/>
      <c r="BT914" s="92"/>
      <c r="BU914" s="92"/>
      <c r="BV914" s="92"/>
      <c r="BW914" s="92"/>
      <c r="BX914" s="92"/>
      <c r="BY914" s="92"/>
      <c r="BZ914" s="92"/>
      <c r="CA914" s="92"/>
      <c r="CB914" s="92"/>
      <c r="CC914" s="92"/>
      <c r="CD914" s="92"/>
      <c r="CE914" s="92"/>
      <c r="CF914" s="92"/>
      <c r="CG914" s="92"/>
      <c r="CH914" s="92"/>
      <c r="CI914" s="92"/>
      <c r="CJ914" s="92"/>
      <c r="CK914" s="92"/>
      <c r="CL914" s="92"/>
      <c r="CM914" s="92"/>
      <c r="CN914" s="92"/>
      <c r="CO914" s="92"/>
      <c r="CP914" s="92"/>
      <c r="CQ914" s="92"/>
      <c r="CR914" s="92"/>
      <c r="CS914" s="92"/>
      <c r="CT914" s="92"/>
      <c r="CU914" s="92"/>
      <c r="CV914" s="92"/>
      <c r="CW914" s="92"/>
      <c r="CX914" s="92"/>
      <c r="CY914" s="92"/>
      <c r="CZ914" s="92"/>
      <c r="DA914" s="92"/>
      <c r="DB914" s="92"/>
      <c r="DC914" s="92"/>
      <c r="DD914" s="92"/>
      <c r="DE914" s="92"/>
      <c r="DF914" s="92"/>
      <c r="DG914" s="92"/>
      <c r="DH914" s="92"/>
      <c r="DI914" s="92"/>
      <c r="DJ914" s="92"/>
      <c r="DK914" s="92"/>
      <c r="DL914" s="92"/>
    </row>
    <row r="915" ht="18.75" customHeight="1">
      <c r="A915" s="44">
        <v>915.0</v>
      </c>
      <c r="B915" s="68" t="s">
        <v>114</v>
      </c>
      <c r="C915" s="62" t="s">
        <v>115</v>
      </c>
      <c r="D915" s="62" t="s">
        <v>153</v>
      </c>
      <c r="F915" s="68" t="s">
        <v>4971</v>
      </c>
      <c r="G915" s="159" t="s">
        <v>4970</v>
      </c>
      <c r="H915" s="159" t="s">
        <v>153</v>
      </c>
      <c r="I915" s="152">
        <v>45687.0</v>
      </c>
      <c r="J915" s="152">
        <v>45692.0</v>
      </c>
      <c r="K915" s="1055" t="s">
        <v>4981</v>
      </c>
      <c r="L915" s="68"/>
      <c r="M915" s="159" t="s">
        <v>4973</v>
      </c>
      <c r="N915" s="159" t="s">
        <v>4974</v>
      </c>
      <c r="O915" s="156">
        <v>2.0</v>
      </c>
      <c r="P915" s="159" t="str">
        <f t="shared" si="37"/>
        <v>10.1177--0956797616650875.pdf</v>
      </c>
      <c r="Q915" s="52" t="str">
        <f t="array" ref="Q915"> if(iserror(MATCH(V915, 'File Links'!C:C, 0)), "N/A", HYPERLINK(INDEX('File Links'!B:B, MATCH(P915, 'File Links'!C:C, 0))))</f>
        <v>https://drive.google.com/file/d/1OIEvCCJvM-_IxEbcHAL2vNkKmVoEHa3G/view?usp=drivesdk</v>
      </c>
      <c r="R915" s="159" t="s">
        <v>3653</v>
      </c>
      <c r="S915" s="159" t="s">
        <v>3654</v>
      </c>
      <c r="T915" s="441" t="s">
        <v>4975</v>
      </c>
      <c r="U915" s="156">
        <v>1.0</v>
      </c>
      <c r="V915" s="382" t="s">
        <v>3658</v>
      </c>
      <c r="W915" s="159" t="s">
        <v>3807</v>
      </c>
      <c r="X915" s="54" t="str">
        <f t="array" ref="X915"> if(iserror(MATCH(V915, 'File Links'!C:C, 0)), "N/A", HYPERLINK(INDEX('File Links'!B:B, MATCH(V915, 'File Links'!C:C, 0))))</f>
        <v>https://drive.google.com/file/d/17gaf2Zy_ljFfcAEDk5L8GBnTl5i7RGJE/view?usp=drivesdk</v>
      </c>
      <c r="Y915" s="159" t="s">
        <v>4982</v>
      </c>
      <c r="Z915" s="68"/>
      <c r="AA915" s="68"/>
      <c r="AB915" s="68"/>
      <c r="AC915" s="68"/>
      <c r="AD915" s="68"/>
      <c r="AE915" s="68"/>
      <c r="AF915" s="68"/>
      <c r="AG915" s="68"/>
      <c r="AH915" s="68"/>
      <c r="AI915" s="68"/>
      <c r="AJ915" s="68"/>
      <c r="AK915" s="68"/>
      <c r="AL915" s="68"/>
      <c r="AM915" s="68"/>
      <c r="AN915" s="129" t="s">
        <v>138</v>
      </c>
      <c r="AO915" s="68"/>
      <c r="AP915" s="68"/>
      <c r="AQ915" s="68"/>
      <c r="AR915" s="68"/>
      <c r="AS915" s="68"/>
      <c r="AT915" s="68"/>
      <c r="AU915" s="68"/>
      <c r="AV915" s="68"/>
      <c r="AW915" s="68"/>
      <c r="AX915" s="68"/>
      <c r="AY915" s="61" t="str">
        <f>IFERROR(__xludf.DUMMYFUNCTION("vlookup(BB915,importrange(""https://docs.google.com/spreadsheets/d/1d2vevQ_7D_v35q4wCQ4RpQ_IPoTwEMB9Yp6ymwlPqew/edit?gid=984458430#gid=984458430"", ""'replication success'!A:K""), 11, FAlSE)"),"#N/A")</f>
        <v>#N/A</v>
      </c>
      <c r="AZ915" s="61" t="str">
        <f>IFERROR(__xludf.DUMMYFUNCTION("vlookup(BB915,importrange(""https://docs.google.com/spreadsheets/d/1d2vevQ_7D_v35q4wCQ4RpQ_IPoTwEMB9Yp6ymwlPqew/edit?gid=984458430#gid=984458430"", ""'replication success'!A:M""), 12, FAlSE)"),"#N/A")</f>
        <v>#N/A</v>
      </c>
      <c r="BA915" s="61" t="str">
        <f>IFERROR(__xludf.DUMMYFUNCTION("vlookup(BB915,importrange(""https://docs.google.com/spreadsheets/d/1d2vevQ_7D_v35q4wCQ4RpQ_IPoTwEMB9Yp6ymwlPqew/edit?gid=984458430#gid=984458430"", ""'replication success'!A:M""), 13, FAlSE)"),"#N/A")</f>
        <v>#N/A</v>
      </c>
      <c r="BB915" s="61" t="str">
        <f>IFERROR(__xludf.DUMMYFUNCTION("REGEXREPLACE(G915, ""_[a-z]{1,2}$"", """")"),"Boyce_etal2023159")</f>
        <v>Boyce_etal2023159</v>
      </c>
      <c r="BD915" s="68" t="s">
        <v>153</v>
      </c>
      <c r="BF915" s="92"/>
      <c r="BG915" s="92"/>
      <c r="BH915" s="92"/>
      <c r="BI915" s="92"/>
      <c r="BJ915" s="92"/>
      <c r="BK915" s="92"/>
      <c r="BL915" s="92"/>
      <c r="BM915" s="92"/>
      <c r="BN915" s="92"/>
      <c r="BO915" s="92"/>
      <c r="BP915" s="92"/>
      <c r="BQ915" s="92"/>
      <c r="BR915" s="92"/>
      <c r="BS915" s="92"/>
      <c r="BT915" s="92"/>
      <c r="BU915" s="92"/>
      <c r="BV915" s="92"/>
      <c r="BW915" s="92"/>
      <c r="BX915" s="92"/>
      <c r="BY915" s="92"/>
      <c r="BZ915" s="92"/>
      <c r="CA915" s="92"/>
      <c r="CB915" s="92"/>
      <c r="CC915" s="92"/>
      <c r="CD915" s="92"/>
      <c r="CE915" s="92"/>
      <c r="CF915" s="92"/>
      <c r="CG915" s="92"/>
      <c r="CH915" s="92"/>
      <c r="CI915" s="92"/>
      <c r="CJ915" s="92"/>
      <c r="CK915" s="92"/>
      <c r="CL915" s="92"/>
      <c r="CM915" s="92"/>
      <c r="CN915" s="92"/>
      <c r="CO915" s="92"/>
      <c r="CP915" s="92"/>
      <c r="CQ915" s="92"/>
      <c r="CR915" s="92"/>
      <c r="CS915" s="92"/>
      <c r="CT915" s="92"/>
      <c r="CU915" s="92"/>
      <c r="CV915" s="92"/>
      <c r="CW915" s="92"/>
      <c r="CX915" s="92"/>
      <c r="CY915" s="92"/>
      <c r="CZ915" s="92"/>
      <c r="DA915" s="92"/>
      <c r="DB915" s="92"/>
      <c r="DC915" s="92"/>
      <c r="DD915" s="92"/>
      <c r="DE915" s="92"/>
      <c r="DF915" s="92"/>
      <c r="DG915" s="92"/>
      <c r="DH915" s="92"/>
      <c r="DI915" s="92"/>
      <c r="DJ915" s="92"/>
      <c r="DK915" s="92"/>
      <c r="DL915" s="92"/>
    </row>
    <row r="916" ht="18.75" customHeight="1">
      <c r="A916" s="44">
        <v>916.0</v>
      </c>
      <c r="B916" s="129" t="s">
        <v>152</v>
      </c>
      <c r="C916" s="62" t="s">
        <v>115</v>
      </c>
      <c r="D916" s="62" t="s">
        <v>248</v>
      </c>
      <c r="F916" s="159" t="s">
        <v>4983</v>
      </c>
      <c r="G916" s="159" t="s">
        <v>4984</v>
      </c>
      <c r="H916" s="159" t="s">
        <v>249</v>
      </c>
      <c r="I916" s="152">
        <v>45664.0</v>
      </c>
      <c r="J916" s="152">
        <v>45692.0</v>
      </c>
      <c r="K916" s="437" t="s">
        <v>4985</v>
      </c>
      <c r="L916" s="68" t="s">
        <v>4720</v>
      </c>
      <c r="M916" s="159" t="s">
        <v>4986</v>
      </c>
      <c r="N916" s="159" t="s">
        <v>4987</v>
      </c>
      <c r="O916" s="68"/>
      <c r="P916" s="159" t="str">
        <f t="shared" si="37"/>
        <v>10.1177--0956797616674999.pdf</v>
      </c>
      <c r="Q916" s="52" t="str">
        <f t="array" ref="Q916"> if(iserror(MATCH(V916, 'File Links'!C:C, 0)), "N/A", HYPERLINK(INDEX('File Links'!B:B, MATCH(P916, 'File Links'!C:C, 0))))</f>
        <v>https://drive.google.com/file/d/1wVhOcOsRL9M-ypPdSaPRTLv-PLlAWOf1/view?usp=drivesdk</v>
      </c>
      <c r="R916" s="159" t="s">
        <v>3653</v>
      </c>
      <c r="S916" s="159" t="s">
        <v>3654</v>
      </c>
      <c r="T916" s="123" t="s">
        <v>4988</v>
      </c>
      <c r="U916" s="156">
        <v>1.0</v>
      </c>
      <c r="V916" s="198" t="str">
        <f t="shared" ref="V916:V947" si="50"> hyperlink(vlookup(lower(S916),#REF!, 2, FALSE), SUBSTITUTE(lower(S916), "/", "--") &amp;  ".pdf")</f>
        <v>10.1098--rsos.231240.pdf</v>
      </c>
      <c r="W916" s="159" t="s">
        <v>3726</v>
      </c>
      <c r="X916" s="54" t="str">
        <f t="array" ref="X916"> if(iserror(MATCH(V916, 'File Links'!C:C, 0)), "N/A", HYPERLINK(INDEX('File Links'!B:B, MATCH(V916, 'File Links'!C:C, 0))))</f>
        <v>https://drive.google.com/file/d/17gaf2Zy_ljFfcAEDk5L8GBnTl5i7RGJE/view?usp=drivesdk</v>
      </c>
      <c r="Y916" s="68"/>
      <c r="Z916" s="159" t="s">
        <v>226</v>
      </c>
      <c r="AA916" s="1115" t="s">
        <v>4193</v>
      </c>
      <c r="AB916" s="1115" t="s">
        <v>4989</v>
      </c>
      <c r="AC916" s="1115" t="s">
        <v>4990</v>
      </c>
      <c r="AD916" s="159" t="s">
        <v>4991</v>
      </c>
      <c r="AE916" s="156">
        <v>13.0</v>
      </c>
      <c r="AF916" s="156">
        <v>234.0</v>
      </c>
      <c r="AG916" s="156">
        <v>0.26</v>
      </c>
      <c r="AH916" s="159" t="s">
        <v>139</v>
      </c>
      <c r="AI916" s="159" t="s">
        <v>436</v>
      </c>
      <c r="AJ916" s="129">
        <v>0.05</v>
      </c>
      <c r="AK916" s="129" t="s">
        <v>135</v>
      </c>
      <c r="AL916" s="159" t="s">
        <v>186</v>
      </c>
      <c r="AM916" s="151" t="s">
        <v>137</v>
      </c>
      <c r="AN916" s="129" t="s">
        <v>138</v>
      </c>
      <c r="AO916" s="156">
        <v>43.0</v>
      </c>
      <c r="AP916" s="156">
        <v>0.603040513083647</v>
      </c>
      <c r="AQ916" s="159" t="s">
        <v>173</v>
      </c>
      <c r="AR916" s="1153" t="s">
        <v>4120</v>
      </c>
      <c r="AS916" s="1061">
        <f>IFERROR(__xludf.DUMMYFUNCTION("3.33*10^-4"),3.33E-4)</f>
        <v>0.000333</v>
      </c>
      <c r="AT916" s="159" t="s">
        <v>172</v>
      </c>
      <c r="AU916" s="159" t="s">
        <v>186</v>
      </c>
      <c r="AV916" s="151" t="s">
        <v>137</v>
      </c>
      <c r="AW916" s="68"/>
      <c r="AX916" s="159" t="s">
        <v>143</v>
      </c>
      <c r="AY916" s="61" t="str">
        <f>IFERROR(__xludf.DUMMYFUNCTION("vlookup(BB916,importrange(""https://docs.google.com/spreadsheets/d/1d2vevQ_7D_v35q4wCQ4RpQ_IPoTwEMB9Yp6ymwlPqew/edit?gid=984458430#gid=984458430"", ""'replication success'!A:K""), 11, FAlSE)"),"#N/A")</f>
        <v>#N/A</v>
      </c>
      <c r="AZ916" s="61" t="str">
        <f>IFERROR(__xludf.DUMMYFUNCTION("vlookup(BB916,importrange(""https://docs.google.com/spreadsheets/d/1d2vevQ_7D_v35q4wCQ4RpQ_IPoTwEMB9Yp6ymwlPqew/edit?gid=984458430#gid=984458430"", ""'replication success'!A:M""), 12, FAlSE)"),"#N/A")</f>
        <v>#N/A</v>
      </c>
      <c r="BA916" s="61" t="str">
        <f>IFERROR(__xludf.DUMMYFUNCTION("vlookup(BB916,importrange(""https://docs.google.com/spreadsheets/d/1d2vevQ_7D_v35q4wCQ4RpQ_IPoTwEMB9Yp6ymwlPqew/edit?gid=984458430#gid=984458430"", ""'replication success'!A:M""), 13, FAlSE)"),"#N/A")</f>
        <v>#N/A</v>
      </c>
      <c r="BB916" s="61" t="str">
        <f>IFERROR(__xludf.DUMMYFUNCTION("REGEXREPLACE(G916, ""_[a-z]{1,2}$"", """")"),"Boyce_etal202316_1")</f>
        <v>Boyce_etal202316_1</v>
      </c>
      <c r="BD916" s="68" t="s">
        <v>153</v>
      </c>
      <c r="BF916" s="92"/>
      <c r="BG916" s="92"/>
      <c r="BH916" s="92"/>
      <c r="BI916" s="92"/>
      <c r="BJ916" s="92"/>
      <c r="BK916" s="92"/>
      <c r="BL916" s="92"/>
      <c r="BM916" s="92"/>
      <c r="BN916" s="92"/>
      <c r="BO916" s="92"/>
      <c r="BP916" s="92"/>
      <c r="BQ916" s="92"/>
      <c r="BR916" s="92"/>
      <c r="BS916" s="92"/>
      <c r="BT916" s="92"/>
      <c r="BU916" s="92"/>
      <c r="BV916" s="92"/>
      <c r="BW916" s="92"/>
      <c r="BX916" s="92"/>
      <c r="BY916" s="92"/>
      <c r="BZ916" s="92"/>
      <c r="CA916" s="92"/>
      <c r="CB916" s="92"/>
      <c r="CC916" s="92"/>
      <c r="CD916" s="92"/>
      <c r="CE916" s="92"/>
      <c r="CF916" s="92"/>
      <c r="CG916" s="92"/>
      <c r="CH916" s="92"/>
      <c r="CI916" s="92"/>
      <c r="CJ916" s="92"/>
      <c r="CK916" s="92"/>
      <c r="CL916" s="92"/>
      <c r="CM916" s="92"/>
      <c r="CN916" s="92"/>
      <c r="CO916" s="92"/>
      <c r="CP916" s="92"/>
      <c r="CQ916" s="92"/>
      <c r="CR916" s="92"/>
      <c r="CS916" s="92"/>
      <c r="CT916" s="92"/>
      <c r="CU916" s="92"/>
      <c r="CV916" s="92"/>
      <c r="CW916" s="92"/>
      <c r="CX916" s="92"/>
      <c r="CY916" s="92"/>
      <c r="CZ916" s="92"/>
      <c r="DA916" s="92"/>
      <c r="DB916" s="92"/>
      <c r="DC916" s="92"/>
      <c r="DD916" s="92"/>
      <c r="DE916" s="92"/>
      <c r="DF916" s="92"/>
      <c r="DG916" s="92"/>
      <c r="DH916" s="92"/>
      <c r="DI916" s="92"/>
      <c r="DJ916" s="92"/>
      <c r="DK916" s="92"/>
      <c r="DL916" s="92"/>
    </row>
    <row r="917" ht="18.75" customHeight="1">
      <c r="A917" s="44">
        <v>917.0</v>
      </c>
      <c r="B917" s="129" t="s">
        <v>152</v>
      </c>
      <c r="C917" s="62" t="s">
        <v>115</v>
      </c>
      <c r="D917" s="62" t="s">
        <v>248</v>
      </c>
      <c r="F917" s="159" t="s">
        <v>4983</v>
      </c>
      <c r="G917" s="159" t="s">
        <v>4992</v>
      </c>
      <c r="H917" s="159" t="s">
        <v>249</v>
      </c>
      <c r="I917" s="152">
        <v>45664.0</v>
      </c>
      <c r="J917" s="152">
        <v>45692.0</v>
      </c>
      <c r="K917" s="437" t="s">
        <v>4993</v>
      </c>
      <c r="L917" s="68" t="s">
        <v>4720</v>
      </c>
      <c r="M917" s="159" t="s">
        <v>4986</v>
      </c>
      <c r="N917" s="159" t="s">
        <v>4987</v>
      </c>
      <c r="O917" s="68"/>
      <c r="P917" s="159" t="str">
        <f t="shared" si="37"/>
        <v>10.1177--0956797616674999.pdf</v>
      </c>
      <c r="Q917" s="52" t="str">
        <f t="array" ref="Q917"> if(iserror(MATCH(V917, 'File Links'!C:C, 0)), "N/A", HYPERLINK(INDEX('File Links'!B:B, MATCH(P917, 'File Links'!C:C, 0))))</f>
        <v>https://drive.google.com/file/d/1wVhOcOsRL9M-ypPdSaPRTLv-PLlAWOf1/view?usp=drivesdk</v>
      </c>
      <c r="R917" s="159" t="s">
        <v>3653</v>
      </c>
      <c r="S917" s="159" t="s">
        <v>3654</v>
      </c>
      <c r="T917" s="123" t="s">
        <v>4994</v>
      </c>
      <c r="U917" s="156">
        <v>1.0</v>
      </c>
      <c r="V917" s="198" t="str">
        <f t="shared" si="50"/>
        <v>10.1098--rsos.231240.pdf</v>
      </c>
      <c r="W917" s="159" t="s">
        <v>3726</v>
      </c>
      <c r="X917" s="54" t="str">
        <f t="array" ref="X917"> if(iserror(MATCH(V917, 'File Links'!C:C, 0)), "N/A", HYPERLINK(INDEX('File Links'!B:B, MATCH(V917, 'File Links'!C:C, 0))))</f>
        <v>https://drive.google.com/file/d/17gaf2Zy_ljFfcAEDk5L8GBnTl5i7RGJE/view?usp=drivesdk</v>
      </c>
      <c r="Y917" s="68"/>
      <c r="Z917" s="159" t="s">
        <v>226</v>
      </c>
      <c r="AA917" s="1115" t="s">
        <v>4193</v>
      </c>
      <c r="AB917" s="1115" t="s">
        <v>4989</v>
      </c>
      <c r="AC917" s="1115" t="s">
        <v>4990</v>
      </c>
      <c r="AD917" s="159" t="s">
        <v>4995</v>
      </c>
      <c r="AE917" s="156">
        <v>8.0</v>
      </c>
      <c r="AF917" s="156">
        <v>229.0</v>
      </c>
      <c r="AG917" s="156">
        <v>0.31</v>
      </c>
      <c r="AH917" s="159" t="s">
        <v>139</v>
      </c>
      <c r="AI917" s="159" t="s">
        <v>613</v>
      </c>
      <c r="AJ917" s="129">
        <v>0.05</v>
      </c>
      <c r="AK917" s="129" t="s">
        <v>135</v>
      </c>
      <c r="AL917" s="159" t="s">
        <v>186</v>
      </c>
      <c r="AM917" s="151" t="s">
        <v>137</v>
      </c>
      <c r="AN917" s="129" t="s">
        <v>138</v>
      </c>
      <c r="AO917" s="156">
        <v>29.0</v>
      </c>
      <c r="AP917" s="161" t="s">
        <v>4996</v>
      </c>
      <c r="AQ917" s="151" t="s">
        <v>134</v>
      </c>
      <c r="AR917" s="1153" t="s">
        <v>4120</v>
      </c>
      <c r="AS917" s="1061">
        <f>IFERROR(__xludf.DUMMYFUNCTION("1.4*10^-4"),1.4E-4)</f>
        <v>0.00014</v>
      </c>
      <c r="AT917" s="159" t="s">
        <v>172</v>
      </c>
      <c r="AU917" s="159" t="s">
        <v>186</v>
      </c>
      <c r="AV917" s="151" t="s">
        <v>137</v>
      </c>
      <c r="AW917" s="68"/>
      <c r="AX917" s="159" t="s">
        <v>143</v>
      </c>
      <c r="AY917" s="61" t="str">
        <f>IFERROR(__xludf.DUMMYFUNCTION("vlookup(BB917,importrange(""https://docs.google.com/spreadsheets/d/1d2vevQ_7D_v35q4wCQ4RpQ_IPoTwEMB9Yp6ymwlPqew/edit?gid=984458430#gid=984458430"", ""'replication success'!A:K""), 11, FAlSE)"),"#N/A")</f>
        <v>#N/A</v>
      </c>
      <c r="AZ917" s="61" t="str">
        <f>IFERROR(__xludf.DUMMYFUNCTION("vlookup(BB917,importrange(""https://docs.google.com/spreadsheets/d/1d2vevQ_7D_v35q4wCQ4RpQ_IPoTwEMB9Yp6ymwlPqew/edit?gid=984458430#gid=984458430"", ""'replication success'!A:M""), 12, FAlSE)"),"#N/A")</f>
        <v>#N/A</v>
      </c>
      <c r="BA917" s="61" t="str">
        <f>IFERROR(__xludf.DUMMYFUNCTION("vlookup(BB917,importrange(""https://docs.google.com/spreadsheets/d/1d2vevQ_7D_v35q4wCQ4RpQ_IPoTwEMB9Yp6ymwlPqew/edit?gid=984458430#gid=984458430"", ""'replication success'!A:M""), 13, FAlSE)"),"#N/A")</f>
        <v>#N/A</v>
      </c>
      <c r="BB917" s="61" t="str">
        <f>IFERROR(__xludf.DUMMYFUNCTION("REGEXREPLACE(G917, ""_[a-z]{1,2}$"", """")"),"Boyce_etal202316_1")</f>
        <v>Boyce_etal202316_1</v>
      </c>
      <c r="BD917" s="68" t="s">
        <v>153</v>
      </c>
      <c r="BF917" s="92"/>
      <c r="BG917" s="92"/>
      <c r="BH917" s="92"/>
      <c r="BI917" s="92"/>
      <c r="BJ917" s="92"/>
      <c r="BK917" s="92"/>
      <c r="BL917" s="92"/>
      <c r="BM917" s="92"/>
      <c r="BN917" s="92"/>
      <c r="BO917" s="92"/>
      <c r="BP917" s="92"/>
      <c r="BQ917" s="92"/>
      <c r="BR917" s="92"/>
      <c r="BS917" s="92"/>
      <c r="BT917" s="92"/>
      <c r="BU917" s="92"/>
      <c r="BV917" s="92"/>
      <c r="BW917" s="92"/>
      <c r="BX917" s="92"/>
      <c r="BY917" s="92"/>
      <c r="BZ917" s="92"/>
      <c r="CA917" s="92"/>
      <c r="CB917" s="92"/>
      <c r="CC917" s="92"/>
      <c r="CD917" s="92"/>
      <c r="CE917" s="92"/>
      <c r="CF917" s="92"/>
      <c r="CG917" s="92"/>
      <c r="CH917" s="92"/>
      <c r="CI917" s="92"/>
      <c r="CJ917" s="92"/>
      <c r="CK917" s="92"/>
      <c r="CL917" s="92"/>
      <c r="CM917" s="92"/>
      <c r="CN917" s="92"/>
      <c r="CO917" s="92"/>
      <c r="CP917" s="92"/>
      <c r="CQ917" s="92"/>
      <c r="CR917" s="92"/>
      <c r="CS917" s="92"/>
      <c r="CT917" s="92"/>
      <c r="CU917" s="92"/>
      <c r="CV917" s="92"/>
      <c r="CW917" s="92"/>
      <c r="CX917" s="92"/>
      <c r="CY917" s="92"/>
      <c r="CZ917" s="92"/>
      <c r="DA917" s="92"/>
      <c r="DB917" s="92"/>
      <c r="DC917" s="92"/>
      <c r="DD917" s="92"/>
      <c r="DE917" s="92"/>
      <c r="DF917" s="92"/>
      <c r="DG917" s="92"/>
      <c r="DH917" s="92"/>
      <c r="DI917" s="92"/>
      <c r="DJ917" s="92"/>
      <c r="DK917" s="92"/>
      <c r="DL917" s="92"/>
    </row>
    <row r="918" ht="18.75" customHeight="1">
      <c r="A918" s="44">
        <v>918.0</v>
      </c>
      <c r="B918" s="68" t="s">
        <v>114</v>
      </c>
      <c r="C918" s="62" t="s">
        <v>115</v>
      </c>
      <c r="D918" s="62" t="s">
        <v>153</v>
      </c>
      <c r="F918" s="68" t="s">
        <v>4984</v>
      </c>
      <c r="G918" s="159" t="s">
        <v>4983</v>
      </c>
      <c r="H918" s="159" t="s">
        <v>153</v>
      </c>
      <c r="I918" s="152">
        <v>45687.0</v>
      </c>
      <c r="J918" s="152">
        <v>45692.0</v>
      </c>
      <c r="K918" s="68"/>
      <c r="L918" s="68"/>
      <c r="M918" s="159" t="s">
        <v>4986</v>
      </c>
      <c r="N918" s="159" t="s">
        <v>4987</v>
      </c>
      <c r="O918" s="159" t="s">
        <v>4997</v>
      </c>
      <c r="P918" s="159" t="str">
        <f t="shared" si="37"/>
        <v>10.1177--0956797616674999.pdf</v>
      </c>
      <c r="Q918" s="52" t="str">
        <f t="array" ref="Q918"> if(iserror(MATCH(V918, 'File Links'!C:C, 0)), "N/A", HYPERLINK(INDEX('File Links'!B:B, MATCH(P918, 'File Links'!C:C, 0))))</f>
        <v>https://drive.google.com/file/d/1wVhOcOsRL9M-ypPdSaPRTLv-PLlAWOf1/view?usp=drivesdk</v>
      </c>
      <c r="R918" s="159" t="s">
        <v>3653</v>
      </c>
      <c r="S918" s="159" t="s">
        <v>3654</v>
      </c>
      <c r="T918" s="123" t="s">
        <v>4998</v>
      </c>
      <c r="U918" s="156">
        <v>1.0</v>
      </c>
      <c r="V918" s="198" t="str">
        <f t="shared" si="50"/>
        <v>10.1098--rsos.231240.pdf</v>
      </c>
      <c r="W918" s="159" t="s">
        <v>164</v>
      </c>
      <c r="X918" s="54" t="str">
        <f t="array" ref="X918"> if(iserror(MATCH(V918, 'File Links'!C:C, 0)), "N/A", HYPERLINK(INDEX('File Links'!B:B, MATCH(V918, 'File Links'!C:C, 0))))</f>
        <v>https://drive.google.com/file/d/17gaf2Zy_ljFfcAEDk5L8GBnTl5i7RGJE/view?usp=drivesdk</v>
      </c>
      <c r="Y918" s="68"/>
      <c r="Z918" s="159" t="s">
        <v>226</v>
      </c>
      <c r="AA918" s="159" t="s">
        <v>4193</v>
      </c>
      <c r="AB918" s="159" t="s">
        <v>4989</v>
      </c>
      <c r="AC918" s="159" t="s">
        <v>4990</v>
      </c>
      <c r="AD918" s="159" t="s">
        <v>4999</v>
      </c>
      <c r="AE918" s="156">
        <v>9.0</v>
      </c>
      <c r="AF918" s="156">
        <v>234.0</v>
      </c>
      <c r="AG918" s="156">
        <v>-0.04</v>
      </c>
      <c r="AH918" s="156" t="s">
        <v>987</v>
      </c>
      <c r="AI918" s="156" t="s">
        <v>628</v>
      </c>
      <c r="AJ918" s="336">
        <v>0.05</v>
      </c>
      <c r="AK918" s="159" t="s">
        <v>335</v>
      </c>
      <c r="AL918" s="159" t="s">
        <v>186</v>
      </c>
      <c r="AM918" s="151" t="s">
        <v>137</v>
      </c>
      <c r="AN918" s="129" t="s">
        <v>138</v>
      </c>
      <c r="AO918" s="156">
        <v>43.0</v>
      </c>
      <c r="AP918" s="1250" t="s">
        <v>5000</v>
      </c>
      <c r="AQ918" s="156" t="s">
        <v>134</v>
      </c>
      <c r="AR918" s="1251" t="s">
        <v>5001</v>
      </c>
      <c r="AS918" s="156">
        <v>0.05</v>
      </c>
      <c r="AT918" s="159" t="s">
        <v>335</v>
      </c>
      <c r="AU918" s="159" t="s">
        <v>186</v>
      </c>
      <c r="AV918" s="151" t="s">
        <v>137</v>
      </c>
      <c r="AW918" s="68"/>
      <c r="AX918" s="68" t="s">
        <v>143</v>
      </c>
      <c r="AY918" s="61" t="str">
        <f>IFERROR(__xludf.DUMMYFUNCTION("vlookup(BB918,importrange(""https://docs.google.com/spreadsheets/d/1d2vevQ_7D_v35q4wCQ4RpQ_IPoTwEMB9Yp6ymwlPqew/edit?gid=984458430#gid=984458430"", ""'replication success'!A:K""), 11, FAlSE)"),"#N/A")</f>
        <v>#N/A</v>
      </c>
      <c r="AZ918" s="61" t="str">
        <f>IFERROR(__xludf.DUMMYFUNCTION("vlookup(BB918,importrange(""https://docs.google.com/spreadsheets/d/1d2vevQ_7D_v35q4wCQ4RpQ_IPoTwEMB9Yp6ymwlPqew/edit?gid=984458430#gid=984458430"", ""'replication success'!A:M""), 12, FAlSE)"),"#N/A")</f>
        <v>#N/A</v>
      </c>
      <c r="BA918" s="61" t="str">
        <f>IFERROR(__xludf.DUMMYFUNCTION("vlookup(BB918,importrange(""https://docs.google.com/spreadsheets/d/1d2vevQ_7D_v35q4wCQ4RpQ_IPoTwEMB9Yp6ymwlPqew/edit?gid=984458430#gid=984458430"", ""'replication success'!A:M""), 13, FAlSE)"),"#N/A")</f>
        <v>#N/A</v>
      </c>
      <c r="BB918" s="61" t="str">
        <f>IFERROR(__xludf.DUMMYFUNCTION("REGEXREPLACE(G918, ""_[a-z]{1,2}$"", """")"),"Boyce_etal202316")</f>
        <v>Boyce_etal202316</v>
      </c>
      <c r="BD918" s="68" t="s">
        <v>153</v>
      </c>
      <c r="BF918" s="92"/>
      <c r="BG918" s="92"/>
      <c r="BH918" s="92"/>
      <c r="BI918" s="92"/>
      <c r="BJ918" s="92"/>
      <c r="BK918" s="92"/>
      <c r="BL918" s="92"/>
      <c r="BM918" s="92"/>
      <c r="BN918" s="92"/>
      <c r="BO918" s="92"/>
      <c r="BP918" s="92"/>
      <c r="BQ918" s="92"/>
      <c r="BR918" s="92"/>
      <c r="BS918" s="92"/>
      <c r="BT918" s="92"/>
      <c r="BU918" s="92"/>
      <c r="BV918" s="92"/>
      <c r="BW918" s="92"/>
      <c r="BX918" s="92"/>
      <c r="BY918" s="92"/>
      <c r="BZ918" s="92"/>
      <c r="CA918" s="92"/>
      <c r="CB918" s="92"/>
      <c r="CC918" s="92"/>
      <c r="CD918" s="92"/>
      <c r="CE918" s="92"/>
      <c r="CF918" s="92"/>
      <c r="CG918" s="92"/>
      <c r="CH918" s="92"/>
      <c r="CI918" s="92"/>
      <c r="CJ918" s="92"/>
      <c r="CK918" s="92"/>
      <c r="CL918" s="92"/>
      <c r="CM918" s="92"/>
      <c r="CN918" s="92"/>
      <c r="CO918" s="92"/>
      <c r="CP918" s="92"/>
      <c r="CQ918" s="92"/>
      <c r="CR918" s="92"/>
      <c r="CS918" s="92"/>
      <c r="CT918" s="92"/>
      <c r="CU918" s="92"/>
      <c r="CV918" s="92"/>
      <c r="CW918" s="92"/>
      <c r="CX918" s="92"/>
      <c r="CY918" s="92"/>
      <c r="CZ918" s="92"/>
      <c r="DA918" s="92"/>
      <c r="DB918" s="92"/>
      <c r="DC918" s="92"/>
      <c r="DD918" s="92"/>
      <c r="DE918" s="92"/>
      <c r="DF918" s="92"/>
      <c r="DG918" s="92"/>
      <c r="DH918" s="92"/>
      <c r="DI918" s="92"/>
      <c r="DJ918" s="92"/>
      <c r="DK918" s="92"/>
      <c r="DL918" s="92"/>
    </row>
    <row r="919" ht="18.75" customHeight="1">
      <c r="A919" s="1252">
        <v>919.0</v>
      </c>
      <c r="B919" s="582" t="s">
        <v>114</v>
      </c>
      <c r="C919" s="1253" t="s">
        <v>115</v>
      </c>
      <c r="D919" s="1253" t="s">
        <v>248</v>
      </c>
      <c r="E919" s="1254"/>
      <c r="F919" s="703" t="s">
        <v>5002</v>
      </c>
      <c r="G919" s="703" t="s">
        <v>5003</v>
      </c>
      <c r="H919" s="703" t="s">
        <v>249</v>
      </c>
      <c r="I919" s="1255">
        <v>45672.0</v>
      </c>
      <c r="J919" s="1255">
        <v>45692.0</v>
      </c>
      <c r="K919" s="582"/>
      <c r="L919" s="582"/>
      <c r="M919" s="703" t="s">
        <v>5004</v>
      </c>
      <c r="N919" s="703" t="s">
        <v>5005</v>
      </c>
      <c r="O919" s="582"/>
      <c r="P919" s="703" t="str">
        <f t="shared" si="37"/>
        <v>10.1089--cyber.2016.0530.pdf</v>
      </c>
      <c r="Q919" s="1256" t="str">
        <f t="array" ref="Q919"> if(iserror(MATCH(V919, 'File Links'!C:C, 0)), "N/A", HYPERLINK(INDEX('File Links'!B:B, MATCH(P919, 'File Links'!C:C, 0))))</f>
        <v>https://drive.google.com/file/d/1Z0u77Ei4pPZsjR5reXLadM9xd0tgKrac/view?usp=drivesdk</v>
      </c>
      <c r="R919" s="703" t="s">
        <v>3653</v>
      </c>
      <c r="S919" s="703" t="s">
        <v>3654</v>
      </c>
      <c r="T919" s="582"/>
      <c r="U919" s="1257">
        <v>1.0</v>
      </c>
      <c r="V919" s="703" t="str">
        <f t="shared" si="50"/>
        <v>10.1098--rsos.231240.pdf</v>
      </c>
      <c r="W919" s="703" t="s">
        <v>3665</v>
      </c>
      <c r="X919" s="1258" t="str">
        <f t="array" ref="X919"> if(iserror(MATCH(V919, 'File Links'!C:C, 0)), "N/A", HYPERLINK(INDEX('File Links'!B:B, MATCH(V919, 'File Links'!C:C, 0))))</f>
        <v>https://drive.google.com/file/d/17gaf2Zy_ljFfcAEDk5L8GBnTl5i7RGJE/view?usp=drivesdk</v>
      </c>
      <c r="Y919" s="582"/>
      <c r="Z919" s="703" t="s">
        <v>226</v>
      </c>
      <c r="AA919" s="582"/>
      <c r="AB919" s="703" t="s">
        <v>3848</v>
      </c>
      <c r="AC919" s="582"/>
      <c r="AD919" s="703" t="s">
        <v>5006</v>
      </c>
      <c r="AE919" s="1257">
        <v>338.0</v>
      </c>
      <c r="AF919" s="1257">
        <v>128.0</v>
      </c>
      <c r="AG919" s="1259" t="s">
        <v>5007</v>
      </c>
      <c r="AH919" s="413" t="s">
        <v>134</v>
      </c>
      <c r="AI919" s="703" t="s">
        <v>5008</v>
      </c>
      <c r="AJ919" s="1257">
        <v>0.003</v>
      </c>
      <c r="AK919" s="703" t="s">
        <v>172</v>
      </c>
      <c r="AL919" s="703" t="s">
        <v>186</v>
      </c>
      <c r="AM919" s="703" t="s">
        <v>141</v>
      </c>
      <c r="AN919" s="1260" t="s">
        <v>138</v>
      </c>
      <c r="AO919" s="1257">
        <v>56.0</v>
      </c>
      <c r="AP919" s="1261">
        <v>0.247796849633978</v>
      </c>
      <c r="AQ919" s="703" t="s">
        <v>173</v>
      </c>
      <c r="AR919" s="582"/>
      <c r="AS919" s="1261">
        <v>0.33715549846412</v>
      </c>
      <c r="AT919" s="703" t="s">
        <v>172</v>
      </c>
      <c r="AU919" s="703" t="s">
        <v>186</v>
      </c>
      <c r="AV919" s="703" t="s">
        <v>141</v>
      </c>
      <c r="AW919" s="1260" t="s">
        <v>138</v>
      </c>
      <c r="AX919" s="703" t="s">
        <v>143</v>
      </c>
      <c r="AY919" s="61" t="str">
        <f>IFERROR(__xludf.DUMMYFUNCTION("vlookup(BB919,importrange(""https://docs.google.com/spreadsheets/d/1d2vevQ_7D_v35q4wCQ4RpQ_IPoTwEMB9Yp6ymwlPqew/edit?gid=984458430#gid=984458430"", ""'replication success'!A:K""), 11, FAlSE)"),"#N/A")</f>
        <v>#N/A</v>
      </c>
      <c r="AZ919" s="61" t="str">
        <f>IFERROR(__xludf.DUMMYFUNCTION("vlookup(BB919,importrange(""https://docs.google.com/spreadsheets/d/1d2vevQ_7D_v35q4wCQ4RpQ_IPoTwEMB9Yp6ymwlPqew/edit?gid=984458430#gid=984458430"", ""'replication success'!A:M""), 12, FAlSE)"),"#N/A")</f>
        <v>#N/A</v>
      </c>
      <c r="BA919" s="61" t="str">
        <f>IFERROR(__xludf.DUMMYFUNCTION("vlookup(BB919,importrange(""https://docs.google.com/spreadsheets/d/1d2vevQ_7D_v35q4wCQ4RpQ_IPoTwEMB9Yp6ymwlPqew/edit?gid=984458430#gid=984458430"", ""'replication success'!A:M""), 13, FAlSE)"),"#N/A")</f>
        <v>#N/A</v>
      </c>
      <c r="BB919" s="61" t="str">
        <f>IFERROR(__xludf.DUMMYFUNCTION("REGEXREPLACE(G919, ""_[a-z]{1,2}$"", """")"),"Boyce_etal2023160_1")</f>
        <v>Boyce_etal2023160_1</v>
      </c>
      <c r="BC919" s="1254"/>
      <c r="BD919" s="1260" t="s">
        <v>3763</v>
      </c>
      <c r="BE919" s="1254"/>
      <c r="BF919" s="1254"/>
      <c r="BG919" s="1254"/>
      <c r="BH919" s="1254"/>
      <c r="BI919" s="1254"/>
      <c r="BJ919" s="1254"/>
      <c r="BK919" s="1254"/>
      <c r="BL919" s="1254"/>
      <c r="BM919" s="1254"/>
      <c r="BN919" s="1254"/>
      <c r="BO919" s="1254"/>
      <c r="BP919" s="1254"/>
      <c r="BQ919" s="1254"/>
      <c r="BR919" s="1254"/>
      <c r="BS919" s="1254"/>
      <c r="BT919" s="1254"/>
      <c r="BU919" s="1254"/>
      <c r="BV919" s="1254"/>
      <c r="BW919" s="1254"/>
      <c r="BX919" s="1254"/>
      <c r="BY919" s="1254"/>
      <c r="BZ919" s="1254"/>
      <c r="CA919" s="1254"/>
      <c r="CB919" s="1254"/>
      <c r="CC919" s="1254"/>
      <c r="CD919" s="1254"/>
      <c r="CE919" s="1254"/>
      <c r="CF919" s="1254"/>
      <c r="CG919" s="1254"/>
      <c r="CH919" s="1254"/>
      <c r="CI919" s="1254"/>
      <c r="CJ919" s="1254"/>
      <c r="CK919" s="1254"/>
      <c r="CL919" s="1254"/>
      <c r="CM919" s="1254"/>
      <c r="CN919" s="1254"/>
      <c r="CO919" s="1254"/>
      <c r="CP919" s="1254"/>
      <c r="CQ919" s="1254"/>
      <c r="CR919" s="1254"/>
      <c r="CS919" s="1254"/>
      <c r="CT919" s="1254"/>
      <c r="CU919" s="1254"/>
      <c r="CV919" s="1254"/>
      <c r="CW919" s="1254"/>
      <c r="CX919" s="1254"/>
      <c r="CY919" s="1254"/>
      <c r="CZ919" s="1254"/>
      <c r="DA919" s="1254"/>
      <c r="DB919" s="1254"/>
      <c r="DC919" s="1254"/>
      <c r="DD919" s="1254"/>
      <c r="DE919" s="1254"/>
      <c r="DF919" s="1254"/>
      <c r="DG919" s="1254"/>
      <c r="DH919" s="1254"/>
      <c r="DI919" s="1254"/>
      <c r="DJ919" s="1254"/>
      <c r="DK919" s="1254"/>
      <c r="DL919" s="1254"/>
    </row>
    <row r="920" ht="18.75" customHeight="1">
      <c r="A920" s="1252">
        <v>920.0</v>
      </c>
      <c r="B920" s="129" t="s">
        <v>152</v>
      </c>
      <c r="C920" s="1253" t="s">
        <v>115</v>
      </c>
      <c r="D920" s="1253" t="s">
        <v>153</v>
      </c>
      <c r="E920" s="1254"/>
      <c r="F920" s="582" t="s">
        <v>5003</v>
      </c>
      <c r="G920" s="703" t="s">
        <v>5009</v>
      </c>
      <c r="H920" s="703" t="s">
        <v>153</v>
      </c>
      <c r="I920" s="1255">
        <v>45687.0</v>
      </c>
      <c r="J920" s="1255">
        <v>45692.0</v>
      </c>
      <c r="K920" s="1262" t="s">
        <v>5010</v>
      </c>
      <c r="L920" s="582"/>
      <c r="M920" s="703" t="s">
        <v>5004</v>
      </c>
      <c r="N920" s="703" t="s">
        <v>5005</v>
      </c>
      <c r="O920" s="1257">
        <v>2.0</v>
      </c>
      <c r="P920" s="703" t="str">
        <f t="shared" si="37"/>
        <v>10.1089--cyber.2016.0530.pdf</v>
      </c>
      <c r="Q920" s="1256" t="str">
        <f t="array" ref="Q920"> if(iserror(MATCH(V920, 'File Links'!C:C, 0)), "N/A", HYPERLINK(INDEX('File Links'!B:B, MATCH(P920, 'File Links'!C:C, 0))))</f>
        <v>https://drive.google.com/file/d/1Z0u77Ei4pPZsjR5reXLadM9xd0tgKrac/view?usp=drivesdk</v>
      </c>
      <c r="R920" s="703" t="s">
        <v>3653</v>
      </c>
      <c r="S920" s="703" t="s">
        <v>3654</v>
      </c>
      <c r="T920" s="1263" t="s">
        <v>5011</v>
      </c>
      <c r="U920" s="1257">
        <v>1.0</v>
      </c>
      <c r="V920" s="703" t="str">
        <f t="shared" si="50"/>
        <v>10.1098--rsos.231240.pdf</v>
      </c>
      <c r="W920" s="703" t="s">
        <v>3671</v>
      </c>
      <c r="X920" s="1258" t="str">
        <f t="array" ref="X920"> if(iserror(MATCH(V920, 'File Links'!C:C, 0)), "N/A", HYPERLINK(INDEX('File Links'!B:B, MATCH(V920, 'File Links'!C:C, 0))))</f>
        <v>https://drive.google.com/file/d/17gaf2Zy_ljFfcAEDk5L8GBnTl5i7RGJE/view?usp=drivesdk</v>
      </c>
      <c r="Y920" s="582"/>
      <c r="Z920" s="703" t="s">
        <v>226</v>
      </c>
      <c r="AA920" s="703" t="s">
        <v>5012</v>
      </c>
      <c r="AB920" s="703" t="s">
        <v>5013</v>
      </c>
      <c r="AC920" s="703" t="s">
        <v>5014</v>
      </c>
      <c r="AD920" s="703" t="s">
        <v>5015</v>
      </c>
      <c r="AE920" s="1257">
        <v>5.0</v>
      </c>
      <c r="AF920" s="1257">
        <v>128.0</v>
      </c>
      <c r="AG920" s="1257">
        <v>0.018</v>
      </c>
      <c r="AH920" s="1257" t="s">
        <v>874</v>
      </c>
      <c r="AI920" s="1257" t="s">
        <v>813</v>
      </c>
      <c r="AJ920" s="1257">
        <v>0.134</v>
      </c>
      <c r="AK920" s="703" t="s">
        <v>172</v>
      </c>
      <c r="AL920" s="703" t="s">
        <v>186</v>
      </c>
      <c r="AM920" s="703" t="s">
        <v>141</v>
      </c>
      <c r="AN920" s="1260" t="s">
        <v>138</v>
      </c>
      <c r="AO920" s="1257">
        <v>56.0</v>
      </c>
      <c r="AP920" s="1257">
        <v>-0.012222</v>
      </c>
      <c r="AQ920" s="1257" t="s">
        <v>987</v>
      </c>
      <c r="AR920" s="1264" t="s">
        <v>5016</v>
      </c>
      <c r="AS920" s="1265" t="s">
        <v>138</v>
      </c>
      <c r="AT920" s="413" t="s">
        <v>138</v>
      </c>
      <c r="AU920" s="703" t="s">
        <v>186</v>
      </c>
      <c r="AV920" s="703" t="s">
        <v>141</v>
      </c>
      <c r="AW920" s="1260" t="s">
        <v>138</v>
      </c>
      <c r="AX920" s="582" t="s">
        <v>143</v>
      </c>
      <c r="AY920" s="61" t="str">
        <f>IFERROR(__xludf.DUMMYFUNCTION("vlookup(BB920,importrange(""https://docs.google.com/spreadsheets/d/1d2vevQ_7D_v35q4wCQ4RpQ_IPoTwEMB9Yp6ymwlPqew/edit?gid=984458430#gid=984458430"", ""'replication success'!A:K""), 11, FAlSE)"),"#N/A")</f>
        <v>#N/A</v>
      </c>
      <c r="AZ920" s="61" t="str">
        <f>IFERROR(__xludf.DUMMYFUNCTION("vlookup(BB920,importrange(""https://docs.google.com/spreadsheets/d/1d2vevQ_7D_v35q4wCQ4RpQ_IPoTwEMB9Yp6ymwlPqew/edit?gid=984458430#gid=984458430"", ""'replication success'!A:M""), 12, FAlSE)"),"#N/A")</f>
        <v>#N/A</v>
      </c>
      <c r="BA920" s="61" t="str">
        <f>IFERROR(__xludf.DUMMYFUNCTION("vlookup(BB920,importrange(""https://docs.google.com/spreadsheets/d/1d2vevQ_7D_v35q4wCQ4RpQ_IPoTwEMB9Yp6ymwlPqew/edit?gid=984458430#gid=984458430"", ""'replication success'!A:M""), 13, FAlSE)"),"#N/A")</f>
        <v>#N/A</v>
      </c>
      <c r="BB920" s="61" t="str">
        <f>IFERROR(__xludf.DUMMYFUNCTION("REGEXREPLACE(G920, ""_[a-z]{1,2}$"", """")"),"Boyce_etal2023160_1")</f>
        <v>Boyce_etal2023160_1</v>
      </c>
      <c r="BC920" s="1254"/>
      <c r="BD920" s="1260" t="s">
        <v>3763</v>
      </c>
      <c r="BE920" s="1254"/>
      <c r="BF920" s="1254"/>
      <c r="BG920" s="1254"/>
      <c r="BH920" s="1254"/>
      <c r="BI920" s="1254"/>
      <c r="BJ920" s="1254"/>
      <c r="BK920" s="1254"/>
      <c r="BL920" s="1254"/>
      <c r="BM920" s="1254"/>
      <c r="BN920" s="1254"/>
      <c r="BO920" s="1254"/>
      <c r="BP920" s="1254"/>
      <c r="BQ920" s="1254"/>
      <c r="BR920" s="1254"/>
      <c r="BS920" s="1254"/>
      <c r="BT920" s="1254"/>
      <c r="BU920" s="1254"/>
      <c r="BV920" s="1254"/>
      <c r="BW920" s="1254"/>
      <c r="BX920" s="1254"/>
      <c r="BY920" s="1254"/>
      <c r="BZ920" s="1254"/>
      <c r="CA920" s="1254"/>
      <c r="CB920" s="1254"/>
      <c r="CC920" s="1254"/>
      <c r="CD920" s="1254"/>
      <c r="CE920" s="1254"/>
      <c r="CF920" s="1254"/>
      <c r="CG920" s="1254"/>
      <c r="CH920" s="1254"/>
      <c r="CI920" s="1254"/>
      <c r="CJ920" s="1254"/>
      <c r="CK920" s="1254"/>
      <c r="CL920" s="1254"/>
      <c r="CM920" s="1254"/>
      <c r="CN920" s="1254"/>
      <c r="CO920" s="1254"/>
      <c r="CP920" s="1254"/>
      <c r="CQ920" s="1254"/>
      <c r="CR920" s="1254"/>
      <c r="CS920" s="1254"/>
      <c r="CT920" s="1254"/>
      <c r="CU920" s="1254"/>
      <c r="CV920" s="1254"/>
      <c r="CW920" s="1254"/>
      <c r="CX920" s="1254"/>
      <c r="CY920" s="1254"/>
      <c r="CZ920" s="1254"/>
      <c r="DA920" s="1254"/>
      <c r="DB920" s="1254"/>
      <c r="DC920" s="1254"/>
      <c r="DD920" s="1254"/>
      <c r="DE920" s="1254"/>
      <c r="DF920" s="1254"/>
      <c r="DG920" s="1254"/>
      <c r="DH920" s="1254"/>
      <c r="DI920" s="1254"/>
      <c r="DJ920" s="1254"/>
      <c r="DK920" s="1254"/>
      <c r="DL920" s="1254"/>
    </row>
    <row r="921" ht="18.75" customHeight="1">
      <c r="A921" s="1252">
        <v>921.0</v>
      </c>
      <c r="B921" s="129" t="s">
        <v>152</v>
      </c>
      <c r="C921" s="1253" t="s">
        <v>115</v>
      </c>
      <c r="D921" s="1253" t="s">
        <v>153</v>
      </c>
      <c r="E921" s="1254"/>
      <c r="F921" s="582" t="s">
        <v>5003</v>
      </c>
      <c r="G921" s="703" t="s">
        <v>5017</v>
      </c>
      <c r="H921" s="703" t="s">
        <v>153</v>
      </c>
      <c r="I921" s="1255">
        <v>45687.0</v>
      </c>
      <c r="J921" s="1255">
        <v>45692.0</v>
      </c>
      <c r="K921" s="1262" t="s">
        <v>5018</v>
      </c>
      <c r="L921" s="582"/>
      <c r="M921" s="703" t="s">
        <v>5004</v>
      </c>
      <c r="N921" s="703" t="s">
        <v>5005</v>
      </c>
      <c r="O921" s="1257">
        <v>2.0</v>
      </c>
      <c r="P921" s="703" t="str">
        <f t="shared" si="37"/>
        <v>10.1089--cyber.2016.0530.pdf</v>
      </c>
      <c r="Q921" s="1256" t="str">
        <f t="array" ref="Q921"> if(iserror(MATCH(V921, 'File Links'!C:C, 0)), "N/A", HYPERLINK(INDEX('File Links'!B:B, MATCH(P921, 'File Links'!C:C, 0))))</f>
        <v>https://drive.google.com/file/d/1Z0u77Ei4pPZsjR5reXLadM9xd0tgKrac/view?usp=drivesdk</v>
      </c>
      <c r="R921" s="703" t="s">
        <v>3653</v>
      </c>
      <c r="S921" s="703" t="s">
        <v>3654</v>
      </c>
      <c r="T921" s="1263" t="s">
        <v>5011</v>
      </c>
      <c r="U921" s="1257">
        <v>1.0</v>
      </c>
      <c r="V921" s="703" t="str">
        <f t="shared" si="50"/>
        <v>10.1098--rsos.231240.pdf</v>
      </c>
      <c r="W921" s="703" t="s">
        <v>3671</v>
      </c>
      <c r="X921" s="1258" t="str">
        <f t="array" ref="X921"> if(iserror(MATCH(V921, 'File Links'!C:C, 0)), "N/A", HYPERLINK(INDEX('File Links'!B:B, MATCH(V921, 'File Links'!C:C, 0))))</f>
        <v>https://drive.google.com/file/d/17gaf2Zy_ljFfcAEDk5L8GBnTl5i7RGJE/view?usp=drivesdk</v>
      </c>
      <c r="Y921" s="582"/>
      <c r="Z921" s="703" t="s">
        <v>226</v>
      </c>
      <c r="AA921" s="703" t="s">
        <v>5012</v>
      </c>
      <c r="AB921" s="703" t="s">
        <v>5013</v>
      </c>
      <c r="AC921" s="703" t="s">
        <v>5019</v>
      </c>
      <c r="AD921" s="703" t="s">
        <v>5020</v>
      </c>
      <c r="AE921" s="1266">
        <v>5.0</v>
      </c>
      <c r="AF921" s="1257">
        <v>128.0</v>
      </c>
      <c r="AG921" s="1266">
        <v>0.002</v>
      </c>
      <c r="AH921" s="1257" t="s">
        <v>874</v>
      </c>
      <c r="AI921" s="1266" t="s">
        <v>813</v>
      </c>
      <c r="AJ921" s="1266">
        <v>0.609</v>
      </c>
      <c r="AK921" s="703" t="s">
        <v>172</v>
      </c>
      <c r="AL921" s="703" t="s">
        <v>186</v>
      </c>
      <c r="AM921" s="703" t="s">
        <v>141</v>
      </c>
      <c r="AN921" s="1260" t="s">
        <v>138</v>
      </c>
      <c r="AO921" s="1257">
        <v>56.0</v>
      </c>
      <c r="AP921" s="1267">
        <v>0.004395</v>
      </c>
      <c r="AQ921" s="1257" t="s">
        <v>987</v>
      </c>
      <c r="AR921" s="1264" t="s">
        <v>5021</v>
      </c>
      <c r="AS921" s="1265" t="s">
        <v>138</v>
      </c>
      <c r="AT921" s="413" t="s">
        <v>138</v>
      </c>
      <c r="AU921" s="703" t="s">
        <v>186</v>
      </c>
      <c r="AV921" s="703" t="s">
        <v>141</v>
      </c>
      <c r="AW921" s="1260" t="s">
        <v>138</v>
      </c>
      <c r="AX921" s="582" t="s">
        <v>143</v>
      </c>
      <c r="AY921" s="61" t="str">
        <f>IFERROR(__xludf.DUMMYFUNCTION("vlookup(BB921,importrange(""https://docs.google.com/spreadsheets/d/1d2vevQ_7D_v35q4wCQ4RpQ_IPoTwEMB9Yp6ymwlPqew/edit?gid=984458430#gid=984458430"", ""'replication success'!A:K""), 11, FAlSE)"),"#N/A")</f>
        <v>#N/A</v>
      </c>
      <c r="AZ921" s="61" t="str">
        <f>IFERROR(__xludf.DUMMYFUNCTION("vlookup(BB921,importrange(""https://docs.google.com/spreadsheets/d/1d2vevQ_7D_v35q4wCQ4RpQ_IPoTwEMB9Yp6ymwlPqew/edit?gid=984458430#gid=984458430"", ""'replication success'!A:M""), 12, FAlSE)"),"#N/A")</f>
        <v>#N/A</v>
      </c>
      <c r="BA921" s="61" t="str">
        <f>IFERROR(__xludf.DUMMYFUNCTION("vlookup(BB921,importrange(""https://docs.google.com/spreadsheets/d/1d2vevQ_7D_v35q4wCQ4RpQ_IPoTwEMB9Yp6ymwlPqew/edit?gid=984458430#gid=984458430"", ""'replication success'!A:M""), 13, FAlSE)"),"#N/A")</f>
        <v>#N/A</v>
      </c>
      <c r="BB921" s="61" t="str">
        <f>IFERROR(__xludf.DUMMYFUNCTION("REGEXREPLACE(G921, ""_[a-z]{1,2}$"", """")"),"Boyce_etal2023160_1")</f>
        <v>Boyce_etal2023160_1</v>
      </c>
      <c r="BC921" s="1254"/>
      <c r="BD921" s="1260" t="s">
        <v>3763</v>
      </c>
      <c r="BE921" s="1254"/>
      <c r="BF921" s="1254"/>
      <c r="BG921" s="1254"/>
      <c r="BH921" s="1254"/>
      <c r="BI921" s="1254"/>
      <c r="BJ921" s="1254"/>
      <c r="BK921" s="1254"/>
      <c r="BL921" s="1254"/>
      <c r="BM921" s="1254"/>
      <c r="BN921" s="1254"/>
      <c r="BO921" s="1254"/>
      <c r="BP921" s="1254"/>
      <c r="BQ921" s="1254"/>
      <c r="BR921" s="1254"/>
      <c r="BS921" s="1254"/>
      <c r="BT921" s="1254"/>
      <c r="BU921" s="1254"/>
      <c r="BV921" s="1254"/>
      <c r="BW921" s="1254"/>
      <c r="BX921" s="1254"/>
      <c r="BY921" s="1254"/>
      <c r="BZ921" s="1254"/>
      <c r="CA921" s="1254"/>
      <c r="CB921" s="1254"/>
      <c r="CC921" s="1254"/>
      <c r="CD921" s="1254"/>
      <c r="CE921" s="1254"/>
      <c r="CF921" s="1254"/>
      <c r="CG921" s="1254"/>
      <c r="CH921" s="1254"/>
      <c r="CI921" s="1254"/>
      <c r="CJ921" s="1254"/>
      <c r="CK921" s="1254"/>
      <c r="CL921" s="1254"/>
      <c r="CM921" s="1254"/>
      <c r="CN921" s="1254"/>
      <c r="CO921" s="1254"/>
      <c r="CP921" s="1254"/>
      <c r="CQ921" s="1254"/>
      <c r="CR921" s="1254"/>
      <c r="CS921" s="1254"/>
      <c r="CT921" s="1254"/>
      <c r="CU921" s="1254"/>
      <c r="CV921" s="1254"/>
      <c r="CW921" s="1254"/>
      <c r="CX921" s="1254"/>
      <c r="CY921" s="1254"/>
      <c r="CZ921" s="1254"/>
      <c r="DA921" s="1254"/>
      <c r="DB921" s="1254"/>
      <c r="DC921" s="1254"/>
      <c r="DD921" s="1254"/>
      <c r="DE921" s="1254"/>
      <c r="DF921" s="1254"/>
      <c r="DG921" s="1254"/>
      <c r="DH921" s="1254"/>
      <c r="DI921" s="1254"/>
      <c r="DJ921" s="1254"/>
      <c r="DK921" s="1254"/>
      <c r="DL921" s="1254"/>
    </row>
    <row r="922" ht="18.75" hidden="1" customHeight="1">
      <c r="A922" s="1252">
        <v>922.0</v>
      </c>
      <c r="B922" s="129" t="s">
        <v>152</v>
      </c>
      <c r="C922" s="1253" t="s">
        <v>115</v>
      </c>
      <c r="D922" s="1253" t="s">
        <v>1270</v>
      </c>
      <c r="E922" s="1254"/>
      <c r="F922" s="1268" t="s">
        <v>5022</v>
      </c>
      <c r="G922" s="703" t="s">
        <v>5023</v>
      </c>
      <c r="H922" s="1269" t="s">
        <v>5024</v>
      </c>
      <c r="I922" s="1255">
        <v>45667.0</v>
      </c>
      <c r="J922" s="1270">
        <v>45691.0</v>
      </c>
      <c r="K922" s="703" t="s">
        <v>5025</v>
      </c>
      <c r="L922" s="582"/>
      <c r="M922" s="703" t="s">
        <v>5026</v>
      </c>
      <c r="N922" s="703" t="s">
        <v>5027</v>
      </c>
      <c r="O922" s="1257">
        <v>1.0</v>
      </c>
      <c r="P922" s="703" t="str">
        <f t="shared" si="37"/>
        <v>10.1111--1467-8284.00419.pdf</v>
      </c>
      <c r="Q922" s="1256" t="str">
        <f t="array" ref="Q922"> if(iserror(MATCH(V922, 'File Links'!C:C, 0)), "N/A", HYPERLINK(INDEX('File Links'!B:B, MATCH(P922, 'File Links'!C:C, 0))))</f>
        <v>https://drive.google.com/file/d/10xyzPhQJ8BoXAmXBEBA_mIn8qqh_KbTE/view?usp=drivesdk</v>
      </c>
      <c r="R922" s="1271" t="s">
        <v>5028</v>
      </c>
      <c r="S922" s="1272" t="s">
        <v>5029</v>
      </c>
      <c r="T922" s="1272" t="s">
        <v>5030</v>
      </c>
      <c r="U922" s="1257">
        <v>1.0</v>
      </c>
      <c r="V922" s="703" t="str">
        <f t="shared" si="50"/>
        <v>10.1007--s13164-018-0400-9.pdf</v>
      </c>
      <c r="W922" s="1273" t="s">
        <v>5031</v>
      </c>
      <c r="X922" s="1258" t="str">
        <f t="array" ref="X922"> if(iserror(MATCH(V922, 'File Links'!C:C, 0)), "N/A", HYPERLINK(INDEX('File Links'!B:B, MATCH(V922, 'File Links'!C:C, 0))))</f>
        <v>https://drive.google.com/file/d/1hjI3aqifdfXjWhQAlvKCKKtvjuncAn5M/view?usp=drivesdk</v>
      </c>
      <c r="Y922" s="582"/>
      <c r="Z922" s="703" t="s">
        <v>165</v>
      </c>
      <c r="AA922" s="1274" t="s">
        <v>5032</v>
      </c>
      <c r="AB922" s="1275" t="s">
        <v>5033</v>
      </c>
      <c r="AC922" s="703" t="s">
        <v>5034</v>
      </c>
      <c r="AD922" s="413" t="s">
        <v>5035</v>
      </c>
      <c r="AE922" s="703" t="s">
        <v>5036</v>
      </c>
      <c r="AF922" s="1257">
        <v>78.0</v>
      </c>
      <c r="AG922" s="413" t="s">
        <v>5037</v>
      </c>
      <c r="AH922" s="703" t="s">
        <v>134</v>
      </c>
      <c r="AI922" s="579" t="s">
        <v>217</v>
      </c>
      <c r="AJ922" s="581">
        <v>0.001</v>
      </c>
      <c r="AK922" s="578" t="s">
        <v>135</v>
      </c>
      <c r="AL922" s="703" t="s">
        <v>186</v>
      </c>
      <c r="AM922" s="578" t="s">
        <v>137</v>
      </c>
      <c r="AN922" s="1260" t="s">
        <v>138</v>
      </c>
      <c r="AO922" s="1276">
        <v>100.0</v>
      </c>
      <c r="AP922" s="1276">
        <v>0.61</v>
      </c>
      <c r="AQ922" s="703" t="s">
        <v>271</v>
      </c>
      <c r="AR922" s="1264" t="s">
        <v>5038</v>
      </c>
      <c r="AS922" s="1257">
        <v>0.001</v>
      </c>
      <c r="AT922" s="703" t="s">
        <v>172</v>
      </c>
      <c r="AU922" s="703" t="s">
        <v>186</v>
      </c>
      <c r="AV922" s="703" t="s">
        <v>137</v>
      </c>
      <c r="AW922" s="1260" t="s">
        <v>138</v>
      </c>
      <c r="AX922" s="703" t="s">
        <v>143</v>
      </c>
      <c r="AY922" s="61" t="str">
        <f>IFERROR(__xludf.DUMMYFUNCTION("vlookup(BB922,importrange(""https://docs.google.com/spreadsheets/d/1d2vevQ_7D_v35q4wCQ4RpQ_IPoTwEMB9Yp6ymwlPqew/edit?gid=984458430#gid=984458430"", ""'replication success'!A:K""), 11, FAlSE)"),"successful")</f>
        <v>successful</v>
      </c>
      <c r="AZ922" s="91" t="str">
        <f>IFERROR(__xludf.DUMMYFUNCTION("vlookup(BB922,importrange(""https://docs.google.com/spreadsheets/d/1d2vevQ_7D_v35q4wCQ4RpQ_IPoTwEMB9Yp6ymwlPqew/edit?gid=984458430#gid=984458430"", ""'replication success'!A:M""), 12, FAlSE)"),"https://osf.io/4ewkh")</f>
        <v>https://osf.io/4ewkh</v>
      </c>
      <c r="BA922" s="91" t="str">
        <f>IFERROR(__xludf.DUMMYFUNCTION("vlookup(BB922,importrange(""https://docs.google.com/spreadsheets/d/1d2vevQ_7D_v35q4wCQ4RpQ_IPoTwEMB9Yp6ymwlPqew/edit?gid=984458430#gid=984458430"", ""'replication success'!A:M""), 13, FAlSE)"),"https://osf.io/4ewkh")</f>
        <v>https://osf.io/4ewkh</v>
      </c>
      <c r="BB922" s="61" t="str">
        <f>IFERROR(__xludf.DUMMYFUNCTION("REGEXREPLACE(G922, ""_[a-z]{1,2}$"", """")"),"XPHI1")</f>
        <v>XPHI1</v>
      </c>
      <c r="BC922" s="1254"/>
      <c r="BD922" s="1260" t="s">
        <v>3763</v>
      </c>
      <c r="BE922" s="1254"/>
      <c r="BF922" s="1254"/>
      <c r="BG922" s="1254"/>
      <c r="BH922" s="1254"/>
      <c r="BI922" s="1254"/>
      <c r="BJ922" s="1254"/>
      <c r="BK922" s="1254"/>
      <c r="BL922" s="1254"/>
      <c r="BM922" s="1254"/>
      <c r="BN922" s="1254"/>
      <c r="BO922" s="1254"/>
      <c r="BP922" s="1254"/>
      <c r="BQ922" s="1254"/>
      <c r="BR922" s="1254"/>
      <c r="BS922" s="1254"/>
      <c r="BT922" s="1254"/>
      <c r="BU922" s="1254"/>
      <c r="BV922" s="1254"/>
      <c r="BW922" s="1254"/>
      <c r="BX922" s="1254"/>
      <c r="BY922" s="1254"/>
      <c r="BZ922" s="1254"/>
      <c r="CA922" s="1254"/>
      <c r="CB922" s="1254"/>
      <c r="CC922" s="1254"/>
      <c r="CD922" s="1254"/>
      <c r="CE922" s="1254"/>
      <c r="CF922" s="1254"/>
      <c r="CG922" s="1254"/>
      <c r="CH922" s="1254"/>
      <c r="CI922" s="1254"/>
      <c r="CJ922" s="1254"/>
      <c r="CK922" s="1254"/>
      <c r="CL922" s="1254"/>
      <c r="CM922" s="1254"/>
      <c r="CN922" s="1254"/>
      <c r="CO922" s="1254"/>
      <c r="CP922" s="1254"/>
      <c r="CQ922" s="1254"/>
      <c r="CR922" s="1254"/>
      <c r="CS922" s="1254"/>
      <c r="CT922" s="1254"/>
      <c r="CU922" s="1254"/>
      <c r="CV922" s="1254"/>
      <c r="CW922" s="1254"/>
      <c r="CX922" s="1254"/>
      <c r="CY922" s="1254"/>
      <c r="CZ922" s="1254"/>
      <c r="DA922" s="1254"/>
      <c r="DB922" s="1254"/>
      <c r="DC922" s="1254"/>
      <c r="DD922" s="1254"/>
      <c r="DE922" s="1254"/>
      <c r="DF922" s="1254"/>
      <c r="DG922" s="1254"/>
      <c r="DH922" s="1254"/>
      <c r="DI922" s="1254"/>
      <c r="DJ922" s="1254"/>
      <c r="DK922" s="1254"/>
      <c r="DL922" s="1254"/>
    </row>
    <row r="923" ht="18.75" hidden="1" customHeight="1">
      <c r="A923" s="1252">
        <v>923.0</v>
      </c>
      <c r="B923" s="129" t="s">
        <v>152</v>
      </c>
      <c r="C923" s="1253" t="s">
        <v>115</v>
      </c>
      <c r="D923" s="1253" t="s">
        <v>248</v>
      </c>
      <c r="E923" s="1254"/>
      <c r="F923" s="1268" t="s">
        <v>5022</v>
      </c>
      <c r="G923" s="703" t="s">
        <v>5023</v>
      </c>
      <c r="H923" s="1269" t="s">
        <v>249</v>
      </c>
      <c r="I923" s="1255">
        <v>45331.0</v>
      </c>
      <c r="J923" s="1270">
        <v>45691.0</v>
      </c>
      <c r="K923" s="1277" t="s">
        <v>5039</v>
      </c>
      <c r="L923" s="582"/>
      <c r="M923" s="703" t="s">
        <v>5026</v>
      </c>
      <c r="N923" s="1255" t="s">
        <v>5027</v>
      </c>
      <c r="O923" s="1260">
        <v>1.0</v>
      </c>
      <c r="P923" s="1278" t="s">
        <v>5040</v>
      </c>
      <c r="Q923" s="1256" t="str">
        <f t="array" ref="Q923"> if(iserror(MATCH(V923, 'File Links'!C:C, 0)), "N/A", HYPERLINK(INDEX('File Links'!B:B, MATCH(P923, 'File Links'!C:C, 0))))</f>
        <v>https://drive.google.com/file/d/10xyzPhQJ8BoXAmXBEBA_mIn8qqh_KbTE/view?usp=drivesdk</v>
      </c>
      <c r="R923" s="1271" t="s">
        <v>5028</v>
      </c>
      <c r="S923" s="703" t="s">
        <v>5029</v>
      </c>
      <c r="T923" s="582"/>
      <c r="U923" s="1257">
        <v>1.0</v>
      </c>
      <c r="V923" s="703" t="str">
        <f t="shared" si="50"/>
        <v>10.1007--s13164-018-0400-9.pdf</v>
      </c>
      <c r="W923" s="1273" t="s">
        <v>5031</v>
      </c>
      <c r="X923" s="1258" t="str">
        <f t="array" ref="X923"> if(iserror(MATCH(V923, 'File Links'!C:C, 0)), "N/A", HYPERLINK(INDEX('File Links'!B:B, MATCH(V923, 'File Links'!C:C, 0))))</f>
        <v>https://drive.google.com/file/d/1hjI3aqifdfXjWhQAlvKCKKtvjuncAn5M/view?usp=drivesdk</v>
      </c>
      <c r="Y923" s="582"/>
      <c r="Z923" s="1277" t="s">
        <v>165</v>
      </c>
      <c r="AA923" s="1260" t="s">
        <v>138</v>
      </c>
      <c r="AB923" s="1279" t="s">
        <v>5041</v>
      </c>
      <c r="AC923" s="1277" t="s">
        <v>5042</v>
      </c>
      <c r="AD923" s="1280" t="s">
        <v>5043</v>
      </c>
      <c r="AE923" s="703" t="s">
        <v>507</v>
      </c>
      <c r="AF923" s="1281">
        <v>78.0</v>
      </c>
      <c r="AG923" s="413" t="s">
        <v>5037</v>
      </c>
      <c r="AH923" s="703" t="s">
        <v>134</v>
      </c>
      <c r="AI923" s="413" t="s">
        <v>5044</v>
      </c>
      <c r="AJ923" s="1282">
        <v>0.001</v>
      </c>
      <c r="AK923" s="581" t="s">
        <v>135</v>
      </c>
      <c r="AL923" s="1277" t="s">
        <v>186</v>
      </c>
      <c r="AM923" s="1268" t="s">
        <v>137</v>
      </c>
      <c r="AN923" s="1260" t="s">
        <v>138</v>
      </c>
      <c r="AO923" s="1276">
        <v>100.0</v>
      </c>
      <c r="AP923" s="1257">
        <v>0.61</v>
      </c>
      <c r="AQ923" s="703" t="s">
        <v>271</v>
      </c>
      <c r="AR923" s="1264" t="s">
        <v>5045</v>
      </c>
      <c r="AS923" s="1281">
        <v>0.001</v>
      </c>
      <c r="AT923" s="703" t="s">
        <v>172</v>
      </c>
      <c r="AU923" s="1277" t="s">
        <v>186</v>
      </c>
      <c r="AV923" s="1277" t="s">
        <v>137</v>
      </c>
      <c r="AW923" s="1260" t="s">
        <v>138</v>
      </c>
      <c r="AX923" s="1277" t="s">
        <v>143</v>
      </c>
      <c r="AY923" s="61" t="str">
        <f>IFERROR(__xludf.DUMMYFUNCTION("vlookup(BB923,importrange(""https://docs.google.com/spreadsheets/d/1d2vevQ_7D_v35q4wCQ4RpQ_IPoTwEMB9Yp6ymwlPqew/edit?gid=984458430#gid=984458430"", ""'replication success'!A:K""), 11, FAlSE)"),"successful")</f>
        <v>successful</v>
      </c>
      <c r="AZ923" s="91" t="str">
        <f>IFERROR(__xludf.DUMMYFUNCTION("vlookup(BB923,importrange(""https://docs.google.com/spreadsheets/d/1d2vevQ_7D_v35q4wCQ4RpQ_IPoTwEMB9Yp6ymwlPqew/edit?gid=984458430#gid=984458430"", ""'replication success'!A:M""), 12, FAlSE)"),"https://osf.io/4ewkh")</f>
        <v>https://osf.io/4ewkh</v>
      </c>
      <c r="BA923" s="91" t="str">
        <f>IFERROR(__xludf.DUMMYFUNCTION("vlookup(BB923,importrange(""https://docs.google.com/spreadsheets/d/1d2vevQ_7D_v35q4wCQ4RpQ_IPoTwEMB9Yp6ymwlPqew/edit?gid=984458430#gid=984458430"", ""'replication success'!A:M""), 13, FAlSE)"),"https://osf.io/4ewkh")</f>
        <v>https://osf.io/4ewkh</v>
      </c>
      <c r="BB923" s="61" t="str">
        <f>IFERROR(__xludf.DUMMYFUNCTION("REGEXREPLACE(G923, ""_[a-z]{1,2}$"", """")"),"XPHI1")</f>
        <v>XPHI1</v>
      </c>
      <c r="BC923" s="1254"/>
      <c r="BD923" s="1260" t="s">
        <v>3763</v>
      </c>
      <c r="BE923" s="1254"/>
      <c r="BF923" s="1254"/>
      <c r="BG923" s="1254"/>
      <c r="BH923" s="1254"/>
      <c r="BI923" s="1254"/>
      <c r="BJ923" s="1254"/>
      <c r="BK923" s="1254"/>
      <c r="BL923" s="1254"/>
      <c r="BM923" s="1254"/>
      <c r="BN923" s="1254"/>
      <c r="BO923" s="1254"/>
      <c r="BP923" s="1254"/>
      <c r="BQ923" s="1254"/>
      <c r="BR923" s="1254"/>
      <c r="BS923" s="1254"/>
      <c r="BT923" s="1254"/>
      <c r="BU923" s="1254"/>
      <c r="BV923" s="1254"/>
      <c r="BW923" s="1254"/>
      <c r="BX923" s="1254"/>
      <c r="BY923" s="1254"/>
      <c r="BZ923" s="1254"/>
      <c r="CA923" s="1254"/>
      <c r="CB923" s="1254"/>
      <c r="CC923" s="1254"/>
      <c r="CD923" s="1254"/>
      <c r="CE923" s="1254"/>
      <c r="CF923" s="1254"/>
      <c r="CG923" s="1254"/>
      <c r="CH923" s="1254"/>
      <c r="CI923" s="1254"/>
      <c r="CJ923" s="1254"/>
      <c r="CK923" s="1254"/>
      <c r="CL923" s="1254"/>
      <c r="CM923" s="1254"/>
      <c r="CN923" s="1254"/>
      <c r="CO923" s="1254"/>
      <c r="CP923" s="1254"/>
      <c r="CQ923" s="1254"/>
      <c r="CR923" s="1254"/>
      <c r="CS923" s="1254"/>
      <c r="CT923" s="1254"/>
      <c r="CU923" s="1254"/>
      <c r="CV923" s="1254"/>
      <c r="CW923" s="1254"/>
      <c r="CX923" s="1254"/>
      <c r="CY923" s="1254"/>
      <c r="CZ923" s="1254"/>
      <c r="DA923" s="1254"/>
      <c r="DB923" s="1254"/>
      <c r="DC923" s="1254"/>
      <c r="DD923" s="1254"/>
      <c r="DE923" s="1254"/>
      <c r="DF923" s="1254"/>
      <c r="DG923" s="1254"/>
      <c r="DH923" s="1254"/>
      <c r="DI923" s="1254"/>
      <c r="DJ923" s="1254"/>
      <c r="DK923" s="1254"/>
      <c r="DL923" s="1254"/>
    </row>
    <row r="924" ht="18.75" customHeight="1">
      <c r="A924" s="1252">
        <v>924.0</v>
      </c>
      <c r="B924" s="129" t="s">
        <v>152</v>
      </c>
      <c r="C924" s="1253" t="s">
        <v>115</v>
      </c>
      <c r="D924" s="1253" t="s">
        <v>153</v>
      </c>
      <c r="E924" s="1254"/>
      <c r="F924" s="582" t="s">
        <v>5003</v>
      </c>
      <c r="G924" s="703" t="s">
        <v>5046</v>
      </c>
      <c r="H924" s="703" t="s">
        <v>153</v>
      </c>
      <c r="I924" s="1255">
        <v>45687.0</v>
      </c>
      <c r="J924" s="1255">
        <v>45692.0</v>
      </c>
      <c r="K924" s="1262" t="s">
        <v>5047</v>
      </c>
      <c r="L924" s="582"/>
      <c r="M924" s="703" t="s">
        <v>5004</v>
      </c>
      <c r="N924" s="703" t="s">
        <v>5005</v>
      </c>
      <c r="O924" s="1257">
        <v>2.0</v>
      </c>
      <c r="P924" s="1274" t="str">
        <f t="shared" ref="P924:P925" si="51">SUBSTITUTE(LOWER(N924), "/", "--") &amp;  ".pdf"</f>
        <v>10.1089--cyber.2016.0530.pdf</v>
      </c>
      <c r="Q924" s="1256" t="str">
        <f t="array" ref="Q924"> if(iserror(MATCH(V924, 'File Links'!C:C, 0)), "N/A", HYPERLINK(INDEX('File Links'!B:B, MATCH(P924, 'File Links'!C:C, 0))))</f>
        <v>https://drive.google.com/file/d/1Z0u77Ei4pPZsjR5reXLadM9xd0tgKrac/view?usp=drivesdk</v>
      </c>
      <c r="R924" s="1274" t="s">
        <v>3653</v>
      </c>
      <c r="S924" s="703" t="s">
        <v>3654</v>
      </c>
      <c r="T924" s="1263" t="s">
        <v>5011</v>
      </c>
      <c r="U924" s="1257">
        <v>1.0</v>
      </c>
      <c r="V924" s="703" t="str">
        <f t="shared" si="50"/>
        <v>10.1098--rsos.231240.pdf</v>
      </c>
      <c r="W924" s="703" t="s">
        <v>3671</v>
      </c>
      <c r="X924" s="1258" t="str">
        <f t="array" ref="X924"> if(iserror(MATCH(V924, 'File Links'!C:C, 0)), "N/A", HYPERLINK(INDEX('File Links'!B:B, MATCH(V924, 'File Links'!C:C, 0))))</f>
        <v>https://drive.google.com/file/d/17gaf2Zy_ljFfcAEDk5L8GBnTl5i7RGJE/view?usp=drivesdk</v>
      </c>
      <c r="Y924" s="582"/>
      <c r="Z924" s="703" t="s">
        <v>226</v>
      </c>
      <c r="AA924" s="703" t="s">
        <v>5012</v>
      </c>
      <c r="AB924" s="703" t="s">
        <v>5013</v>
      </c>
      <c r="AC924" s="703" t="s">
        <v>5048</v>
      </c>
      <c r="AD924" s="703" t="s">
        <v>5049</v>
      </c>
      <c r="AE924" s="1266">
        <v>5.0</v>
      </c>
      <c r="AF924" s="1257">
        <v>128.0</v>
      </c>
      <c r="AG924" s="1266">
        <v>0.066</v>
      </c>
      <c r="AH924" s="1257" t="s">
        <v>874</v>
      </c>
      <c r="AI924" s="1266" t="s">
        <v>813</v>
      </c>
      <c r="AJ924" s="1266">
        <v>0.003</v>
      </c>
      <c r="AK924" s="703" t="s">
        <v>172</v>
      </c>
      <c r="AL924" s="703" t="s">
        <v>186</v>
      </c>
      <c r="AM924" s="703" t="s">
        <v>141</v>
      </c>
      <c r="AN924" s="1260" t="s">
        <v>138</v>
      </c>
      <c r="AO924" s="1283">
        <v>56.0</v>
      </c>
      <c r="AP924" s="1284">
        <v>0.044627</v>
      </c>
      <c r="AQ924" s="1283" t="s">
        <v>987</v>
      </c>
      <c r="AR924" s="1264" t="s">
        <v>5050</v>
      </c>
      <c r="AS924" s="1285">
        <v>0.306</v>
      </c>
      <c r="AT924" s="703" t="s">
        <v>172</v>
      </c>
      <c r="AU924" s="703" t="s">
        <v>186</v>
      </c>
      <c r="AV924" s="703" t="s">
        <v>141</v>
      </c>
      <c r="AW924" s="1260" t="s">
        <v>138</v>
      </c>
      <c r="AX924" s="582" t="s">
        <v>143</v>
      </c>
      <c r="AY924" s="61" t="str">
        <f>IFERROR(__xludf.DUMMYFUNCTION("vlookup(BB924,importrange(""https://docs.google.com/spreadsheets/d/1d2vevQ_7D_v35q4wCQ4RpQ_IPoTwEMB9Yp6ymwlPqew/edit?gid=984458430#gid=984458430"", ""'replication success'!A:K""), 11, FAlSE)"),"#N/A")</f>
        <v>#N/A</v>
      </c>
      <c r="AZ924" s="61" t="str">
        <f>IFERROR(__xludf.DUMMYFUNCTION("vlookup(BB924,importrange(""https://docs.google.com/spreadsheets/d/1d2vevQ_7D_v35q4wCQ4RpQ_IPoTwEMB9Yp6ymwlPqew/edit?gid=984458430#gid=984458430"", ""'replication success'!A:M""), 12, FAlSE)"),"#N/A")</f>
        <v>#N/A</v>
      </c>
      <c r="BA924" s="61" t="str">
        <f>IFERROR(__xludf.DUMMYFUNCTION("vlookup(BB924,importrange(""https://docs.google.com/spreadsheets/d/1d2vevQ_7D_v35q4wCQ4RpQ_IPoTwEMB9Yp6ymwlPqew/edit?gid=984458430#gid=984458430"", ""'replication success'!A:M""), 13, FAlSE)"),"#N/A")</f>
        <v>#N/A</v>
      </c>
      <c r="BB924" s="61" t="str">
        <f>IFERROR(__xludf.DUMMYFUNCTION("REGEXREPLACE(G924, ""_[a-z]{1,2}$"", """")"),"Boyce_etal2023160_1")</f>
        <v>Boyce_etal2023160_1</v>
      </c>
      <c r="BC924" s="1254"/>
      <c r="BD924" s="1260" t="s">
        <v>3763</v>
      </c>
      <c r="BE924" s="1254"/>
      <c r="BF924" s="1254"/>
      <c r="BG924" s="1254"/>
      <c r="BH924" s="1254"/>
      <c r="BI924" s="1254"/>
      <c r="BJ924" s="1254"/>
      <c r="BK924" s="1254"/>
      <c r="BL924" s="1254"/>
      <c r="BM924" s="1254"/>
      <c r="BN924" s="1254"/>
      <c r="BO924" s="1254"/>
      <c r="BP924" s="1254"/>
      <c r="BQ924" s="1254"/>
      <c r="BR924" s="1254"/>
      <c r="BS924" s="1254"/>
      <c r="BT924" s="1254"/>
      <c r="BU924" s="1254"/>
      <c r="BV924" s="1254"/>
      <c r="BW924" s="1254"/>
      <c r="BX924" s="1254"/>
      <c r="BY924" s="1254"/>
      <c r="BZ924" s="1254"/>
      <c r="CA924" s="1254"/>
      <c r="CB924" s="1254"/>
      <c r="CC924" s="1254"/>
      <c r="CD924" s="1254"/>
      <c r="CE924" s="1254"/>
      <c r="CF924" s="1254"/>
      <c r="CG924" s="1254"/>
      <c r="CH924" s="1254"/>
      <c r="CI924" s="1254"/>
      <c r="CJ924" s="1254"/>
      <c r="CK924" s="1254"/>
      <c r="CL924" s="1254"/>
      <c r="CM924" s="1254"/>
      <c r="CN924" s="1254"/>
      <c r="CO924" s="1254"/>
      <c r="CP924" s="1254"/>
      <c r="CQ924" s="1254"/>
      <c r="CR924" s="1254"/>
      <c r="CS924" s="1254"/>
      <c r="CT924" s="1254"/>
      <c r="CU924" s="1254"/>
      <c r="CV924" s="1254"/>
      <c r="CW924" s="1254"/>
      <c r="CX924" s="1254"/>
      <c r="CY924" s="1254"/>
      <c r="CZ924" s="1254"/>
      <c r="DA924" s="1254"/>
      <c r="DB924" s="1254"/>
      <c r="DC924" s="1254"/>
      <c r="DD924" s="1254"/>
      <c r="DE924" s="1254"/>
      <c r="DF924" s="1254"/>
      <c r="DG924" s="1254"/>
      <c r="DH924" s="1254"/>
      <c r="DI924" s="1254"/>
      <c r="DJ924" s="1254"/>
      <c r="DK924" s="1254"/>
      <c r="DL924" s="1254"/>
    </row>
    <row r="925" ht="18.75" hidden="1" customHeight="1">
      <c r="A925" s="44">
        <v>925.0</v>
      </c>
      <c r="B925" s="155" t="s">
        <v>152</v>
      </c>
      <c r="C925" s="62" t="s">
        <v>115</v>
      </c>
      <c r="D925" s="62" t="s">
        <v>1270</v>
      </c>
      <c r="F925" s="1286" t="s">
        <v>5051</v>
      </c>
      <c r="G925" s="159" t="s">
        <v>5052</v>
      </c>
      <c r="H925" s="1287" t="s">
        <v>5024</v>
      </c>
      <c r="I925" s="152">
        <v>45667.0</v>
      </c>
      <c r="J925" s="1288">
        <v>45691.0</v>
      </c>
      <c r="K925" s="68"/>
      <c r="L925" s="68"/>
      <c r="M925" s="151" t="s">
        <v>5053</v>
      </c>
      <c r="N925" s="159" t="s">
        <v>5054</v>
      </c>
      <c r="O925" s="129">
        <v>1.0</v>
      </c>
      <c r="P925" s="606" t="str">
        <f t="shared" si="51"/>
        <v>10.1163--156853706776931222.pdf</v>
      </c>
      <c r="Q925" s="52" t="str">
        <f t="array" ref="Q925"> if(iserror(MATCH(V925, 'File Links'!C:C, 0)), "N/A", HYPERLINK(INDEX('File Links'!B:B, MATCH(P925, 'File Links'!C:C, 0))))</f>
        <v>https://drive.google.com/file/d/1_KweoGhNrt_00Umu1vsjHfibTm4z9cNE/view?usp=drivesdk</v>
      </c>
      <c r="R925" s="1289" t="s">
        <v>5028</v>
      </c>
      <c r="S925" s="310" t="s">
        <v>5029</v>
      </c>
      <c r="T925" s="310" t="s">
        <v>5030</v>
      </c>
      <c r="U925" s="156">
        <v>1.0</v>
      </c>
      <c r="V925" s="159" t="str">
        <f t="shared" si="50"/>
        <v>10.1007--s13164-018-0400-9.pdf</v>
      </c>
      <c r="W925" s="1290" t="s">
        <v>5031</v>
      </c>
      <c r="X925" s="54" t="str">
        <f t="array" ref="X925"> if(iserror(MATCH(V925, 'File Links'!C:C, 0)), "N/A", HYPERLINK(INDEX('File Links'!B:B, MATCH(V925, 'File Links'!C:C, 0))))</f>
        <v>https://drive.google.com/file/d/1hjI3aqifdfXjWhQAlvKCKKtvjuncAn5M/view?usp=drivesdk</v>
      </c>
      <c r="Y925" s="68"/>
      <c r="Z925" s="159" t="s">
        <v>165</v>
      </c>
      <c r="AA925" s="129" t="s">
        <v>5055</v>
      </c>
      <c r="AB925" s="151" t="s">
        <v>5056</v>
      </c>
      <c r="AC925" s="68"/>
      <c r="AD925" s="159" t="s">
        <v>5057</v>
      </c>
      <c r="AE925" s="159" t="s">
        <v>5058</v>
      </c>
      <c r="AF925" s="156">
        <v>41.0</v>
      </c>
      <c r="AG925" s="1291" t="s">
        <v>5059</v>
      </c>
      <c r="AH925" s="159" t="s">
        <v>134</v>
      </c>
      <c r="AI925" s="339" t="s">
        <v>5060</v>
      </c>
      <c r="AJ925" s="379">
        <v>0.001</v>
      </c>
      <c r="AK925" s="57" t="s">
        <v>135</v>
      </c>
      <c r="AL925" s="159" t="s">
        <v>186</v>
      </c>
      <c r="AM925" s="57" t="s">
        <v>137</v>
      </c>
      <c r="AN925" s="129" t="s">
        <v>138</v>
      </c>
      <c r="AO925" s="156">
        <v>48.0</v>
      </c>
      <c r="AP925" s="1292">
        <v>0.61</v>
      </c>
      <c r="AQ925" s="159" t="s">
        <v>271</v>
      </c>
      <c r="AR925" s="159" t="s">
        <v>5030</v>
      </c>
      <c r="AS925" s="156">
        <v>0.001</v>
      </c>
      <c r="AT925" s="159" t="s">
        <v>135</v>
      </c>
      <c r="AU925" s="159" t="s">
        <v>186</v>
      </c>
      <c r="AV925" s="159" t="s">
        <v>137</v>
      </c>
      <c r="AW925" s="310" t="s">
        <v>5061</v>
      </c>
      <c r="AX925" s="159" t="s">
        <v>143</v>
      </c>
      <c r="AY925" s="61" t="str">
        <f>IFERROR(__xludf.DUMMYFUNCTION("vlookup(BB925,importrange(""https://docs.google.com/spreadsheets/d/1d2vevQ_7D_v35q4wCQ4RpQ_IPoTwEMB9Yp6ymwlPqew/edit?gid=984458430#gid=984458430"", ""'replication success'!A:K""), 11, FAlSE)"),"successful")</f>
        <v>successful</v>
      </c>
      <c r="AZ925" s="91" t="str">
        <f>IFERROR(__xludf.DUMMYFUNCTION("vlookup(BB925,importrange(""https://docs.google.com/spreadsheets/d/1d2vevQ_7D_v35q4wCQ4RpQ_IPoTwEMB9Yp6ymwlPqew/edit?gid=984458430#gid=984458430"", ""'replication success'!A:M""), 12, FAlSE)"),"https://osf.io/4ewkh")</f>
        <v>https://osf.io/4ewkh</v>
      </c>
      <c r="BA925" s="91" t="str">
        <f>IFERROR(__xludf.DUMMYFUNCTION("vlookup(BB925,importrange(""https://docs.google.com/spreadsheets/d/1d2vevQ_7D_v35q4wCQ4RpQ_IPoTwEMB9Yp6ymwlPqew/edit?gid=984458430#gid=984458430"", ""'replication success'!A:M""), 13, FAlSE)"),"https://osf.io/4ewkh")</f>
        <v>https://osf.io/4ewkh</v>
      </c>
      <c r="BB925" s="61" t="str">
        <f>IFERROR(__xludf.DUMMYFUNCTION("REGEXREPLACE(G925, ""_[a-z]{1,2}$"", """")"),"XPHI11")</f>
        <v>XPHI11</v>
      </c>
      <c r="BD925" s="68" t="s">
        <v>249</v>
      </c>
    </row>
    <row r="926" ht="18.75" hidden="1" customHeight="1">
      <c r="A926" s="44">
        <v>926.0</v>
      </c>
      <c r="B926" s="45" t="s">
        <v>114</v>
      </c>
      <c r="C926" s="62" t="s">
        <v>115</v>
      </c>
      <c r="D926" s="62" t="s">
        <v>248</v>
      </c>
      <c r="F926" s="1286" t="s">
        <v>5051</v>
      </c>
      <c r="G926" s="159" t="s">
        <v>5052</v>
      </c>
      <c r="H926" s="1287" t="s">
        <v>249</v>
      </c>
      <c r="I926" s="152">
        <v>45331.0</v>
      </c>
      <c r="J926" s="1288">
        <v>45691.0</v>
      </c>
      <c r="K926" s="154" t="s">
        <v>5062</v>
      </c>
      <c r="L926" s="68"/>
      <c r="M926" s="151" t="s">
        <v>5053</v>
      </c>
      <c r="N926" s="159" t="s">
        <v>5054</v>
      </c>
      <c r="O926" s="129">
        <v>1.0</v>
      </c>
      <c r="P926" s="606" t="s">
        <v>5063</v>
      </c>
      <c r="Q926" s="52" t="str">
        <f t="array" ref="Q926"> if(iserror(MATCH(V926, 'File Links'!C:C, 0)), "N/A", HYPERLINK(INDEX('File Links'!B:B, MATCH(P926, 'File Links'!C:C, 0))))</f>
        <v>https://drive.google.com/file/d/1_KweoGhNrt_00Umu1vsjHfibTm4z9cNE/view?usp=drivesdk</v>
      </c>
      <c r="R926" s="1289" t="s">
        <v>5028</v>
      </c>
      <c r="S926" s="159" t="s">
        <v>5029</v>
      </c>
      <c r="T926" s="68"/>
      <c r="U926" s="156">
        <v>1.0</v>
      </c>
      <c r="V926" s="159" t="str">
        <f t="shared" si="50"/>
        <v>10.1007--s13164-018-0400-9.pdf</v>
      </c>
      <c r="W926" s="1290" t="s">
        <v>5031</v>
      </c>
      <c r="X926" s="54" t="str">
        <f t="array" ref="X926"> if(iserror(MATCH(V926, 'File Links'!C:C, 0)), "N/A", HYPERLINK(INDEX('File Links'!B:B, MATCH(V926, 'File Links'!C:C, 0))))</f>
        <v>https://drive.google.com/file/d/1hjI3aqifdfXjWhQAlvKCKKtvjuncAn5M/view?usp=drivesdk</v>
      </c>
      <c r="Y926" s="68"/>
      <c r="Z926" s="159" t="s">
        <v>165</v>
      </c>
      <c r="AA926" s="129" t="s">
        <v>5055</v>
      </c>
      <c r="AB926" s="159" t="s">
        <v>5041</v>
      </c>
      <c r="AC926" s="68"/>
      <c r="AD926" s="159" t="s">
        <v>5064</v>
      </c>
      <c r="AE926" s="159" t="s">
        <v>2812</v>
      </c>
      <c r="AF926" s="156">
        <v>41.0</v>
      </c>
      <c r="AG926" s="1291" t="s">
        <v>5059</v>
      </c>
      <c r="AH926" s="159" t="s">
        <v>134</v>
      </c>
      <c r="AI926" s="339" t="s">
        <v>5065</v>
      </c>
      <c r="AJ926" s="379">
        <v>0.001</v>
      </c>
      <c r="AK926" s="57" t="s">
        <v>135</v>
      </c>
      <c r="AL926" s="159" t="s">
        <v>186</v>
      </c>
      <c r="AM926" s="1286" t="s">
        <v>137</v>
      </c>
      <c r="AN926" s="129" t="s">
        <v>138</v>
      </c>
      <c r="AO926" s="1292">
        <v>48.0</v>
      </c>
      <c r="AP926" s="156">
        <v>0.61</v>
      </c>
      <c r="AQ926" s="159" t="s">
        <v>271</v>
      </c>
      <c r="AR926" s="159" t="s">
        <v>5066</v>
      </c>
      <c r="AS926" s="156">
        <v>0.001</v>
      </c>
      <c r="AT926" s="159" t="s">
        <v>135</v>
      </c>
      <c r="AU926" s="159" t="s">
        <v>186</v>
      </c>
      <c r="AV926" s="154" t="s">
        <v>137</v>
      </c>
      <c r="AW926" s="1293" t="s">
        <v>5067</v>
      </c>
      <c r="AX926" s="154" t="s">
        <v>143</v>
      </c>
      <c r="AY926" s="61" t="str">
        <f>IFERROR(__xludf.DUMMYFUNCTION("vlookup(BB926,importrange(""https://docs.google.com/spreadsheets/d/1d2vevQ_7D_v35q4wCQ4RpQ_IPoTwEMB9Yp6ymwlPqew/edit?gid=984458430#gid=984458430"", ""'replication success'!A:K""), 11, FAlSE)"),"successful")</f>
        <v>successful</v>
      </c>
      <c r="AZ926" s="91" t="str">
        <f>IFERROR(__xludf.DUMMYFUNCTION("vlookup(BB926,importrange(""https://docs.google.com/spreadsheets/d/1d2vevQ_7D_v35q4wCQ4RpQ_IPoTwEMB9Yp6ymwlPqew/edit?gid=984458430#gid=984458430"", ""'replication success'!A:M""), 12, FAlSE)"),"https://osf.io/4ewkh")</f>
        <v>https://osf.io/4ewkh</v>
      </c>
      <c r="BA926" s="91" t="str">
        <f>IFERROR(__xludf.DUMMYFUNCTION("vlookup(BB926,importrange(""https://docs.google.com/spreadsheets/d/1d2vevQ_7D_v35q4wCQ4RpQ_IPoTwEMB9Yp6ymwlPqew/edit?gid=984458430#gid=984458430"", ""'replication success'!A:M""), 13, FAlSE)"),"https://osf.io/4ewkh")</f>
        <v>https://osf.io/4ewkh</v>
      </c>
      <c r="BB926" s="61" t="str">
        <f>IFERROR(__xludf.DUMMYFUNCTION("REGEXREPLACE(G926, ""_[a-z]{1,2}$"", """")"),"XPHI11")</f>
        <v>XPHI11</v>
      </c>
      <c r="BD926" s="68" t="s">
        <v>249</v>
      </c>
    </row>
    <row r="927" ht="18.75" customHeight="1">
      <c r="A927" s="44">
        <v>927.0</v>
      </c>
      <c r="B927" s="68" t="s">
        <v>114</v>
      </c>
      <c r="C927" s="62" t="s">
        <v>115</v>
      </c>
      <c r="D927" s="62" t="s">
        <v>248</v>
      </c>
      <c r="F927" s="159" t="s">
        <v>5068</v>
      </c>
      <c r="G927" s="159" t="s">
        <v>5069</v>
      </c>
      <c r="H927" s="159" t="s">
        <v>249</v>
      </c>
      <c r="I927" s="152">
        <v>45672.0</v>
      </c>
      <c r="J927" s="152">
        <v>45692.0</v>
      </c>
      <c r="K927" s="68"/>
      <c r="L927" s="68" t="s">
        <v>3690</v>
      </c>
      <c r="M927" s="159" t="s">
        <v>5070</v>
      </c>
      <c r="N927" s="159" t="s">
        <v>5071</v>
      </c>
      <c r="O927" s="68"/>
      <c r="P927" s="606" t="str">
        <f t="shared" ref="P927:P1023" si="52">SUBSTITUTE(LOWER(N927), "/", "--") &amp;  ".pdf"</f>
        <v>10.1111--cogs.12605.pdf</v>
      </c>
      <c r="Q927" s="52" t="str">
        <f t="array" ref="Q927"> if(iserror(MATCH(V927, 'File Links'!C:C, 0)), "N/A", HYPERLINK(INDEX('File Links'!B:B, MATCH(P927, 'File Links'!C:C, 0))))</f>
        <v>https://drive.google.com/file/d/1fqDwT6f6uPiUgL_jMbCxBCBzksaDNMma/view?usp=drivesdk</v>
      </c>
      <c r="R927" s="606" t="s">
        <v>3653</v>
      </c>
      <c r="S927" s="159" t="s">
        <v>3654</v>
      </c>
      <c r="T927" s="68"/>
      <c r="U927" s="156">
        <v>1.0</v>
      </c>
      <c r="V927" s="198" t="str">
        <f t="shared" si="50"/>
        <v>10.1098--rsos.231240.pdf</v>
      </c>
      <c r="W927" s="159" t="s">
        <v>324</v>
      </c>
      <c r="X927" s="54" t="str">
        <f t="array" ref="X927"> if(iserror(MATCH(V927, 'File Links'!C:C, 0)), "N/A", HYPERLINK(INDEX('File Links'!B:B, MATCH(V927, 'File Links'!C:C, 0))))</f>
        <v>https://drive.google.com/file/d/17gaf2Zy_ljFfcAEDk5L8GBnTl5i7RGJE/view?usp=drivesdk</v>
      </c>
      <c r="Y927" s="68"/>
      <c r="Z927" s="159" t="s">
        <v>148</v>
      </c>
      <c r="AA927" s="68"/>
      <c r="AB927" s="68"/>
      <c r="AC927" s="68"/>
      <c r="AD927" s="159" t="s">
        <v>5072</v>
      </c>
      <c r="AE927" s="1059">
        <v>1273.0</v>
      </c>
      <c r="AF927" s="156">
        <v>182.0</v>
      </c>
      <c r="AG927" s="1243">
        <v>163.22</v>
      </c>
      <c r="AH927" s="159" t="s">
        <v>1031</v>
      </c>
      <c r="AI927" s="1060" t="s">
        <v>5073</v>
      </c>
      <c r="AJ927" s="156">
        <v>0.001</v>
      </c>
      <c r="AK927" s="159" t="s">
        <v>135</v>
      </c>
      <c r="AL927" s="159" t="s">
        <v>186</v>
      </c>
      <c r="AM927" s="159" t="s">
        <v>141</v>
      </c>
      <c r="AN927" s="129" t="s">
        <v>138</v>
      </c>
      <c r="AO927" s="156">
        <v>13.0</v>
      </c>
      <c r="AP927" s="1243">
        <v>1.63866476810305</v>
      </c>
      <c r="AQ927" s="159" t="s">
        <v>173</v>
      </c>
      <c r="AR927" s="441" t="s">
        <v>4120</v>
      </c>
      <c r="AS927" s="1246">
        <v>8.29167038817029E-4</v>
      </c>
      <c r="AT927" s="159" t="s">
        <v>172</v>
      </c>
      <c r="AU927" s="159" t="s">
        <v>186</v>
      </c>
      <c r="AV927" s="159" t="s">
        <v>141</v>
      </c>
      <c r="AW927" s="129" t="s">
        <v>138</v>
      </c>
      <c r="AX927" s="159" t="s">
        <v>143</v>
      </c>
      <c r="AY927" s="61" t="str">
        <f>IFERROR(__xludf.DUMMYFUNCTION("vlookup(BB927,importrange(""https://docs.google.com/spreadsheets/d/1d2vevQ_7D_v35q4wCQ4RpQ_IPoTwEMB9Yp6ymwlPqew/edit?gid=984458430#gid=984458430"", ""'replication success'!A:K""), 11, FAlSE)"),"#N/A")</f>
        <v>#N/A</v>
      </c>
      <c r="AZ927" s="61" t="str">
        <f>IFERROR(__xludf.DUMMYFUNCTION("vlookup(BB927,importrange(""https://docs.google.com/spreadsheets/d/1d2vevQ_7D_v35q4wCQ4RpQ_IPoTwEMB9Yp6ymwlPqew/edit?gid=984458430#gid=984458430"", ""'replication success'!A:M""), 12, FAlSE)"),"#N/A")</f>
        <v>#N/A</v>
      </c>
      <c r="BA927" s="61" t="str">
        <f>IFERROR(__xludf.DUMMYFUNCTION("vlookup(BB927,importrange(""https://docs.google.com/spreadsheets/d/1d2vevQ_7D_v35q4wCQ4RpQ_IPoTwEMB9Yp6ymwlPqew/edit?gid=984458430#gid=984458430"", ""'replication success'!A:M""), 13, FAlSE)"),"#N/A")</f>
        <v>#N/A</v>
      </c>
      <c r="BB927" s="61" t="str">
        <f>IFERROR(__xludf.DUMMYFUNCTION("REGEXREPLACE(G927, ""_[a-z]{1,2}$"", """")"),"Boyce_etal2023161_1")</f>
        <v>Boyce_etal2023161_1</v>
      </c>
      <c r="BD927" s="68" t="s">
        <v>153</v>
      </c>
      <c r="BE927" s="62" t="s">
        <v>5074</v>
      </c>
    </row>
    <row r="928" ht="18.75" customHeight="1">
      <c r="A928" s="44">
        <v>928.0</v>
      </c>
      <c r="B928" s="129" t="s">
        <v>152</v>
      </c>
      <c r="C928" s="62" t="s">
        <v>115</v>
      </c>
      <c r="D928" s="62" t="s">
        <v>153</v>
      </c>
      <c r="F928" s="68" t="s">
        <v>5069</v>
      </c>
      <c r="G928" s="159" t="s">
        <v>5068</v>
      </c>
      <c r="H928" s="159" t="s">
        <v>153</v>
      </c>
      <c r="I928" s="152">
        <v>45687.0</v>
      </c>
      <c r="J928" s="152">
        <v>45692.0</v>
      </c>
      <c r="K928" s="1055" t="s">
        <v>5075</v>
      </c>
      <c r="L928" s="68"/>
      <c r="M928" s="159" t="s">
        <v>5070</v>
      </c>
      <c r="N928" s="159" t="s">
        <v>5071</v>
      </c>
      <c r="O928" s="156">
        <v>1.0</v>
      </c>
      <c r="P928" s="606" t="str">
        <f t="shared" si="52"/>
        <v>10.1111--cogs.12605.pdf</v>
      </c>
      <c r="Q928" s="52" t="str">
        <f t="array" ref="Q928"> if(iserror(MATCH(V928, 'File Links'!C:C, 0)), "N/A", HYPERLINK(INDEX('File Links'!B:B, MATCH(P928, 'File Links'!C:C, 0))))</f>
        <v>https://drive.google.com/file/d/1fqDwT6f6uPiUgL_jMbCxBCBzksaDNMma/view?usp=drivesdk</v>
      </c>
      <c r="R928" s="606" t="s">
        <v>3653</v>
      </c>
      <c r="S928" s="159" t="s">
        <v>3654</v>
      </c>
      <c r="T928" s="68"/>
      <c r="U928" s="156">
        <v>1.0</v>
      </c>
      <c r="V928" s="198" t="str">
        <f t="shared" si="50"/>
        <v>10.1098--rsos.231240.pdf</v>
      </c>
      <c r="W928" s="159" t="s">
        <v>3726</v>
      </c>
      <c r="X928" s="54" t="str">
        <f t="array" ref="X928"> if(iserror(MATCH(V928, 'File Links'!C:C, 0)), "N/A", HYPERLINK(INDEX('File Links'!B:B, MATCH(V928, 'File Links'!C:C, 0))))</f>
        <v>https://drive.google.com/file/d/17gaf2Zy_ljFfcAEDk5L8GBnTl5i7RGJE/view?usp=drivesdk</v>
      </c>
      <c r="Y928" s="68"/>
      <c r="Z928" s="159" t="s">
        <v>148</v>
      </c>
      <c r="AA928" s="159" t="s">
        <v>5076</v>
      </c>
      <c r="AB928" s="159" t="s">
        <v>5077</v>
      </c>
      <c r="AC928" s="159" t="s">
        <v>5078</v>
      </c>
      <c r="AD928" s="159" t="s">
        <v>5079</v>
      </c>
      <c r="AE928" s="156">
        <v>9.0</v>
      </c>
      <c r="AF928" s="156">
        <v>182.0</v>
      </c>
      <c r="AG928" s="156">
        <v>0.478</v>
      </c>
      <c r="AH928" s="156" t="s">
        <v>874</v>
      </c>
      <c r="AI928" s="156" t="s">
        <v>628</v>
      </c>
      <c r="AJ928" s="156">
        <v>0.001</v>
      </c>
      <c r="AK928" s="159" t="s">
        <v>135</v>
      </c>
      <c r="AL928" s="159" t="s">
        <v>186</v>
      </c>
      <c r="AM928" s="159" t="s">
        <v>141</v>
      </c>
      <c r="AN928" s="129" t="s">
        <v>138</v>
      </c>
      <c r="AO928" s="156">
        <v>13.0</v>
      </c>
      <c r="AP928" s="336" t="s">
        <v>5080</v>
      </c>
      <c r="AQ928" s="156" t="s">
        <v>173</v>
      </c>
      <c r="AR928" s="441" t="s">
        <v>4120</v>
      </c>
      <c r="AS928" s="156">
        <f>IFERROR(__xludf.DUMMYFUNCTION("8.29167038817029*10^-4"),8.291670388170291E-4)</f>
        <v>0.0008291670388</v>
      </c>
      <c r="AT928" s="159" t="s">
        <v>172</v>
      </c>
      <c r="AU928" s="159" t="s">
        <v>186</v>
      </c>
      <c r="AV928" s="159" t="s">
        <v>141</v>
      </c>
      <c r="AW928" s="129" t="s">
        <v>138</v>
      </c>
      <c r="AX928" s="68" t="s">
        <v>143</v>
      </c>
      <c r="AY928" s="61" t="str">
        <f>IFERROR(__xludf.DUMMYFUNCTION("vlookup(BB928,importrange(""https://docs.google.com/spreadsheets/d/1d2vevQ_7D_v35q4wCQ4RpQ_IPoTwEMB9Yp6ymwlPqew/edit?gid=984458430#gid=984458430"", ""'replication success'!A:K""), 11, FAlSE)"),"#N/A")</f>
        <v>#N/A</v>
      </c>
      <c r="AZ928" s="61" t="str">
        <f>IFERROR(__xludf.DUMMYFUNCTION("vlookup(BB928,importrange(""https://docs.google.com/spreadsheets/d/1d2vevQ_7D_v35q4wCQ4RpQ_IPoTwEMB9Yp6ymwlPqew/edit?gid=984458430#gid=984458430"", ""'replication success'!A:M""), 12, FAlSE)"),"#N/A")</f>
        <v>#N/A</v>
      </c>
      <c r="BA928" s="61" t="str">
        <f>IFERROR(__xludf.DUMMYFUNCTION("vlookup(BB928,importrange(""https://docs.google.com/spreadsheets/d/1d2vevQ_7D_v35q4wCQ4RpQ_IPoTwEMB9Yp6ymwlPqew/edit?gid=984458430#gid=984458430"", ""'replication success'!A:M""), 13, FAlSE)"),"#N/A")</f>
        <v>#N/A</v>
      </c>
      <c r="BB928" s="61" t="str">
        <f>IFERROR(__xludf.DUMMYFUNCTION("REGEXREPLACE(G928, ""_[a-z]{1,2}$"", """")"),"Boyce_etal2023161")</f>
        <v>Boyce_etal2023161</v>
      </c>
      <c r="BD928" s="68" t="s">
        <v>153</v>
      </c>
    </row>
    <row r="929" ht="18.75" customHeight="1">
      <c r="A929" s="44">
        <v>929.0</v>
      </c>
      <c r="B929" s="68" t="s">
        <v>114</v>
      </c>
      <c r="C929" s="62" t="s">
        <v>115</v>
      </c>
      <c r="D929" s="62" t="s">
        <v>248</v>
      </c>
      <c r="F929" s="159" t="s">
        <v>5081</v>
      </c>
      <c r="G929" s="159" t="s">
        <v>5082</v>
      </c>
      <c r="H929" s="159" t="s">
        <v>249</v>
      </c>
      <c r="I929" s="152">
        <v>45672.0</v>
      </c>
      <c r="J929" s="152">
        <v>45692.0</v>
      </c>
      <c r="K929" s="68"/>
      <c r="L929" s="68"/>
      <c r="M929" s="159" t="s">
        <v>5083</v>
      </c>
      <c r="N929" s="159" t="s">
        <v>5084</v>
      </c>
      <c r="O929" s="68"/>
      <c r="P929" s="606" t="str">
        <f t="shared" si="52"/>
        <v>10.1177--09567976221082637.pdf</v>
      </c>
      <c r="Q929" s="52" t="str">
        <f t="array" ref="Q929"> if(iserror(MATCH(V929, 'File Links'!C:C, 0)), "N/A", HYPERLINK(INDEX('File Links'!B:B, MATCH(P929, 'File Links'!C:C, 0))))</f>
        <v>https://drive.google.com/file/d/1ETLxNzxxAx38Kbjl_2clUvwzL5DDrTd8/view?usp=drivesdk</v>
      </c>
      <c r="R929" s="606" t="s">
        <v>3653</v>
      </c>
      <c r="S929" s="159" t="s">
        <v>3654</v>
      </c>
      <c r="T929" s="68"/>
      <c r="U929" s="156">
        <v>1.0</v>
      </c>
      <c r="V929" s="198" t="str">
        <f t="shared" si="50"/>
        <v>10.1098--rsos.231240.pdf</v>
      </c>
      <c r="W929" s="159" t="s">
        <v>324</v>
      </c>
      <c r="X929" s="54" t="str">
        <f t="array" ref="X929"> if(iserror(MATCH(V929, 'File Links'!C:C, 0)), "N/A", HYPERLINK(INDEX('File Links'!B:B, MATCH(V929, 'File Links'!C:C, 0))))</f>
        <v>https://drive.google.com/file/d/17gaf2Zy_ljFfcAEDk5L8GBnTl5i7RGJE/view?usp=drivesdk</v>
      </c>
      <c r="Y929" s="68"/>
      <c r="Z929" s="159" t="s">
        <v>148</v>
      </c>
      <c r="AA929" s="68"/>
      <c r="AB929" s="159" t="s">
        <v>5085</v>
      </c>
      <c r="AC929" s="68"/>
      <c r="AD929" s="159" t="s">
        <v>5086</v>
      </c>
      <c r="AE929" s="156">
        <v>105.0</v>
      </c>
      <c r="AF929" s="156">
        <v>34.0</v>
      </c>
      <c r="AG929" s="156">
        <v>0.51</v>
      </c>
      <c r="AH929" s="159" t="s">
        <v>173</v>
      </c>
      <c r="AI929" s="159" t="s">
        <v>5087</v>
      </c>
      <c r="AJ929" s="1294">
        <v>0.005</v>
      </c>
      <c r="AK929" s="159" t="s">
        <v>172</v>
      </c>
      <c r="AL929" s="159" t="s">
        <v>136</v>
      </c>
      <c r="AM929" s="159" t="s">
        <v>141</v>
      </c>
      <c r="AN929" s="52" t="s">
        <v>5088</v>
      </c>
      <c r="AO929" s="156">
        <v>31.0</v>
      </c>
      <c r="AP929" s="1243">
        <v>0.111879077901676</v>
      </c>
      <c r="AQ929" s="159" t="s">
        <v>173</v>
      </c>
      <c r="AR929" s="68"/>
      <c r="AS929" s="1243">
        <v>0.544634947869308</v>
      </c>
      <c r="AT929" s="159" t="s">
        <v>172</v>
      </c>
      <c r="AU929" s="159" t="s">
        <v>186</v>
      </c>
      <c r="AV929" s="159" t="s">
        <v>141</v>
      </c>
      <c r="AW929" s="68"/>
      <c r="AX929" s="159" t="s">
        <v>143</v>
      </c>
      <c r="AY929" s="61" t="str">
        <f>IFERROR(__xludf.DUMMYFUNCTION("vlookup(BB929,importrange(""https://docs.google.com/spreadsheets/d/1d2vevQ_7D_v35q4wCQ4RpQ_IPoTwEMB9Yp6ymwlPqew/edit?gid=984458430#gid=984458430"", ""'replication success'!A:K""), 11, FAlSE)"),"#N/A")</f>
        <v>#N/A</v>
      </c>
      <c r="AZ929" s="61" t="str">
        <f>IFERROR(__xludf.DUMMYFUNCTION("vlookup(BB929,importrange(""https://docs.google.com/spreadsheets/d/1d2vevQ_7D_v35q4wCQ4RpQ_IPoTwEMB9Yp6ymwlPqew/edit?gid=984458430#gid=984458430"", ""'replication success'!A:M""), 12, FAlSE)"),"#N/A")</f>
        <v>#N/A</v>
      </c>
      <c r="BA929" s="61" t="str">
        <f>IFERROR(__xludf.DUMMYFUNCTION("vlookup(BB929,importrange(""https://docs.google.com/spreadsheets/d/1d2vevQ_7D_v35q4wCQ4RpQ_IPoTwEMB9Yp6ymwlPqew/edit?gid=984458430#gid=984458430"", ""'replication success'!A:M""), 13, FAlSE)"),"#N/A")</f>
        <v>#N/A</v>
      </c>
      <c r="BB929" s="61" t="str">
        <f>IFERROR(__xludf.DUMMYFUNCTION("REGEXREPLACE(G929, ""_[a-z]{1,2}$"", """")"),"Boyce_etal2023162_1")</f>
        <v>Boyce_etal2023162_1</v>
      </c>
      <c r="BD929" s="68" t="s">
        <v>153</v>
      </c>
    </row>
    <row r="930" ht="18.75" customHeight="1">
      <c r="A930" s="44">
        <v>930.0</v>
      </c>
      <c r="B930" s="129" t="s">
        <v>152</v>
      </c>
      <c r="C930" s="62" t="s">
        <v>115</v>
      </c>
      <c r="D930" s="62" t="s">
        <v>153</v>
      </c>
      <c r="F930" s="68" t="s">
        <v>5082</v>
      </c>
      <c r="G930" s="159" t="s">
        <v>5081</v>
      </c>
      <c r="H930" s="159" t="s">
        <v>153</v>
      </c>
      <c r="I930" s="152">
        <v>45687.0</v>
      </c>
      <c r="J930" s="152">
        <v>45692.0</v>
      </c>
      <c r="K930" s="1295" t="s">
        <v>5089</v>
      </c>
      <c r="L930" s="68"/>
      <c r="M930" s="159" t="s">
        <v>5083</v>
      </c>
      <c r="N930" s="159" t="s">
        <v>5084</v>
      </c>
      <c r="O930" s="156">
        <v>1.0</v>
      </c>
      <c r="P930" s="606" t="str">
        <f t="shared" si="52"/>
        <v>10.1177--09567976221082637.pdf</v>
      </c>
      <c r="Q930" s="52" t="str">
        <f t="array" ref="Q930"> if(iserror(MATCH(V930, 'File Links'!C:C, 0)), "N/A", HYPERLINK(INDEX('File Links'!B:B, MATCH(P930, 'File Links'!C:C, 0))))</f>
        <v>https://drive.google.com/file/d/1ETLxNzxxAx38Kbjl_2clUvwzL5DDrTd8/view?usp=drivesdk</v>
      </c>
      <c r="R930" s="606" t="s">
        <v>3653</v>
      </c>
      <c r="S930" s="159" t="s">
        <v>3654</v>
      </c>
      <c r="T930" s="123" t="s">
        <v>5090</v>
      </c>
      <c r="U930" s="156">
        <v>1.0</v>
      </c>
      <c r="V930" s="198" t="str">
        <f t="shared" si="50"/>
        <v>10.1098--rsos.231240.pdf</v>
      </c>
      <c r="W930" s="159" t="s">
        <v>3726</v>
      </c>
      <c r="X930" s="54" t="str">
        <f t="array" ref="X930"> if(iserror(MATCH(V930, 'File Links'!C:C, 0)), "N/A", HYPERLINK(INDEX('File Links'!B:B, MATCH(V930, 'File Links'!C:C, 0))))</f>
        <v>https://drive.google.com/file/d/17gaf2Zy_ljFfcAEDk5L8GBnTl5i7RGJE/view?usp=drivesdk</v>
      </c>
      <c r="Y930" s="46"/>
      <c r="Z930" s="159" t="s">
        <v>148</v>
      </c>
      <c r="AA930" s="159" t="s">
        <v>5091</v>
      </c>
      <c r="AB930" s="159" t="s">
        <v>5092</v>
      </c>
      <c r="AC930" s="159" t="s">
        <v>5093</v>
      </c>
      <c r="AD930" s="159" t="s">
        <v>5094</v>
      </c>
      <c r="AE930" s="156">
        <v>7.0</v>
      </c>
      <c r="AF930" s="156">
        <v>34.0</v>
      </c>
      <c r="AG930" s="156">
        <v>0.507361593764794</v>
      </c>
      <c r="AH930" s="156" t="s">
        <v>173</v>
      </c>
      <c r="AI930" s="156" t="s">
        <v>132</v>
      </c>
      <c r="AJ930" s="156" t="s">
        <v>5095</v>
      </c>
      <c r="AK930" s="159" t="s">
        <v>135</v>
      </c>
      <c r="AL930" s="159" t="s">
        <v>136</v>
      </c>
      <c r="AM930" s="159" t="s">
        <v>141</v>
      </c>
      <c r="AN930" s="52" t="s">
        <v>5088</v>
      </c>
      <c r="AO930" s="156">
        <v>31.0</v>
      </c>
      <c r="AP930" s="156">
        <v>0.111879077901676</v>
      </c>
      <c r="AQ930" s="156" t="s">
        <v>173</v>
      </c>
      <c r="AR930" s="441" t="s">
        <v>4120</v>
      </c>
      <c r="AS930" s="156">
        <v>0.544634947869308</v>
      </c>
      <c r="AT930" s="159" t="s">
        <v>172</v>
      </c>
      <c r="AU930" s="159" t="s">
        <v>186</v>
      </c>
      <c r="AV930" s="159" t="s">
        <v>141</v>
      </c>
      <c r="AW930" s="435" t="s">
        <v>5096</v>
      </c>
      <c r="AX930" s="68" t="s">
        <v>143</v>
      </c>
      <c r="AY930" s="61" t="str">
        <f>IFERROR(__xludf.DUMMYFUNCTION("vlookup(BB930,importrange(""https://docs.google.com/spreadsheets/d/1d2vevQ_7D_v35q4wCQ4RpQ_IPoTwEMB9Yp6ymwlPqew/edit?gid=984458430#gid=984458430"", ""'replication success'!A:K""), 11, FAlSE)"),"#N/A")</f>
        <v>#N/A</v>
      </c>
      <c r="AZ930" s="61" t="str">
        <f>IFERROR(__xludf.DUMMYFUNCTION("vlookup(BB930,importrange(""https://docs.google.com/spreadsheets/d/1d2vevQ_7D_v35q4wCQ4RpQ_IPoTwEMB9Yp6ymwlPqew/edit?gid=984458430#gid=984458430"", ""'replication success'!A:M""), 12, FAlSE)"),"#N/A")</f>
        <v>#N/A</v>
      </c>
      <c r="BA930" s="61" t="str">
        <f>IFERROR(__xludf.DUMMYFUNCTION("vlookup(BB930,importrange(""https://docs.google.com/spreadsheets/d/1d2vevQ_7D_v35q4wCQ4RpQ_IPoTwEMB9Yp6ymwlPqew/edit?gid=984458430#gid=984458430"", ""'replication success'!A:M""), 13, FAlSE)"),"#N/A")</f>
        <v>#N/A</v>
      </c>
      <c r="BB930" s="61" t="str">
        <f>IFERROR(__xludf.DUMMYFUNCTION("REGEXREPLACE(G930, ""_[a-z]{1,2}$"", """")"),"Boyce_etal2023162")</f>
        <v>Boyce_etal2023162</v>
      </c>
      <c r="BD930" s="68" t="s">
        <v>153</v>
      </c>
    </row>
    <row r="931" ht="18.75" customHeight="1">
      <c r="A931" s="44">
        <v>931.0</v>
      </c>
      <c r="B931" s="68" t="s">
        <v>114</v>
      </c>
      <c r="C931" s="62" t="s">
        <v>115</v>
      </c>
      <c r="D931" s="62" t="s">
        <v>248</v>
      </c>
      <c r="F931" s="159" t="s">
        <v>5097</v>
      </c>
      <c r="G931" s="159" t="s">
        <v>5098</v>
      </c>
      <c r="H931" s="159" t="s">
        <v>249</v>
      </c>
      <c r="I931" s="152">
        <v>45672.0</v>
      </c>
      <c r="J931" s="152">
        <v>45692.0</v>
      </c>
      <c r="K931" s="68"/>
      <c r="L931" s="68"/>
      <c r="M931" s="159" t="s">
        <v>5099</v>
      </c>
      <c r="N931" s="159" t="s">
        <v>5100</v>
      </c>
      <c r="O931" s="68"/>
      <c r="P931" s="606" t="str">
        <f t="shared" si="52"/>
        <v>10.1126--science.1132491.pdf</v>
      </c>
      <c r="Q931" s="52" t="str">
        <f t="array" ref="Q931"> if(iserror(MATCH(V931, 'File Links'!C:C, 0)), "N/A", HYPERLINK(INDEX('File Links'!B:B, MATCH(P931, 'File Links'!C:C, 0))))</f>
        <v>https://drive.google.com/file/d/1OWk3W7aLK7NhvpfeOXWbAeYjSBS6on3O/view?usp=drivesdk</v>
      </c>
      <c r="R931" s="606" t="s">
        <v>3653</v>
      </c>
      <c r="S931" s="159" t="s">
        <v>3654</v>
      </c>
      <c r="T931" s="68"/>
      <c r="U931" s="156">
        <v>1.0</v>
      </c>
      <c r="V931" s="198" t="str">
        <f t="shared" si="50"/>
        <v>10.1098--rsos.231240.pdf</v>
      </c>
      <c r="W931" s="159" t="s">
        <v>324</v>
      </c>
      <c r="X931" s="54" t="str">
        <f t="array" ref="X931"> if(iserror(MATCH(V931, 'File Links'!C:C, 0)), "N/A", HYPERLINK(INDEX('File Links'!B:B, MATCH(V931, 'File Links'!C:C, 0))))</f>
        <v>https://drive.google.com/file/d/17gaf2Zy_ljFfcAEDk5L8GBnTl5i7RGJE/view?usp=drivesdk</v>
      </c>
      <c r="Y931" s="68"/>
      <c r="Z931" s="159" t="s">
        <v>226</v>
      </c>
      <c r="AA931" s="159" t="s">
        <v>5101</v>
      </c>
      <c r="AB931" s="68"/>
      <c r="AC931" s="159" t="s">
        <v>5102</v>
      </c>
      <c r="AD931" s="159" t="s">
        <v>5103</v>
      </c>
      <c r="AE931" s="156">
        <v>1155.0</v>
      </c>
      <c r="AF931" s="156">
        <v>40.0</v>
      </c>
      <c r="AG931" s="156">
        <v>0.63</v>
      </c>
      <c r="AH931" s="159" t="s">
        <v>173</v>
      </c>
      <c r="AI931" s="159" t="s">
        <v>5104</v>
      </c>
      <c r="AJ931" s="156">
        <v>0.04</v>
      </c>
      <c r="AK931" s="159" t="s">
        <v>135</v>
      </c>
      <c r="AL931" s="159" t="s">
        <v>186</v>
      </c>
      <c r="AM931" s="159" t="s">
        <v>137</v>
      </c>
      <c r="AN931" s="151" t="s">
        <v>138</v>
      </c>
      <c r="AO931" s="156">
        <v>86.0</v>
      </c>
      <c r="AP931" s="1243">
        <v>0.124365054041184</v>
      </c>
      <c r="AQ931" s="159" t="s">
        <v>173</v>
      </c>
      <c r="AR931" s="68"/>
      <c r="AS931" s="1243">
        <v>0.563448936597826</v>
      </c>
      <c r="AT931" s="159" t="s">
        <v>172</v>
      </c>
      <c r="AU931" s="159" t="s">
        <v>186</v>
      </c>
      <c r="AV931" s="159" t="s">
        <v>137</v>
      </c>
      <c r="AW931" s="68"/>
      <c r="AX931" s="159" t="s">
        <v>143</v>
      </c>
      <c r="AY931" s="61" t="str">
        <f>IFERROR(__xludf.DUMMYFUNCTION("vlookup(BB931,importrange(""https://docs.google.com/spreadsheets/d/1d2vevQ_7D_v35q4wCQ4RpQ_IPoTwEMB9Yp6ymwlPqew/edit?gid=984458430#gid=984458430"", ""'replication success'!A:K""), 11, FAlSE)"),"#N/A")</f>
        <v>#N/A</v>
      </c>
      <c r="AZ931" s="61" t="str">
        <f>IFERROR(__xludf.DUMMYFUNCTION("vlookup(BB931,importrange(""https://docs.google.com/spreadsheets/d/1d2vevQ_7D_v35q4wCQ4RpQ_IPoTwEMB9Yp6ymwlPqew/edit?gid=984458430#gid=984458430"", ""'replication success'!A:M""), 12, FAlSE)"),"#N/A")</f>
        <v>#N/A</v>
      </c>
      <c r="BA931" s="61" t="str">
        <f>IFERROR(__xludf.DUMMYFUNCTION("vlookup(BB931,importrange(""https://docs.google.com/spreadsheets/d/1d2vevQ_7D_v35q4wCQ4RpQ_IPoTwEMB9Yp6ymwlPqew/edit?gid=984458430#gid=984458430"", ""'replication success'!A:M""), 13, FAlSE)"),"#N/A")</f>
        <v>#N/A</v>
      </c>
      <c r="BB931" s="61" t="str">
        <f>IFERROR(__xludf.DUMMYFUNCTION("REGEXREPLACE(G931, ""_[a-z]{1,2}$"", """")"),"Boyce_etal2023163_1")</f>
        <v>Boyce_etal2023163_1</v>
      </c>
      <c r="BD931" s="68" t="s">
        <v>153</v>
      </c>
      <c r="BE931" s="62" t="s">
        <v>5074</v>
      </c>
    </row>
    <row r="932" ht="18.75" customHeight="1">
      <c r="A932" s="44">
        <v>932.0</v>
      </c>
      <c r="B932" s="129" t="s">
        <v>4523</v>
      </c>
      <c r="C932" s="62" t="s">
        <v>115</v>
      </c>
      <c r="D932" s="62" t="s">
        <v>153</v>
      </c>
      <c r="F932" s="68" t="s">
        <v>5098</v>
      </c>
      <c r="G932" s="159" t="s">
        <v>5097</v>
      </c>
      <c r="H932" s="159" t="s">
        <v>153</v>
      </c>
      <c r="I932" s="152">
        <v>45687.0</v>
      </c>
      <c r="J932" s="152">
        <v>45692.0</v>
      </c>
      <c r="K932" s="437" t="s">
        <v>4828</v>
      </c>
      <c r="L932" s="68"/>
      <c r="M932" s="159" t="s">
        <v>5099</v>
      </c>
      <c r="N932" s="159" t="s">
        <v>5100</v>
      </c>
      <c r="O932" s="156">
        <v>6.0</v>
      </c>
      <c r="P932" s="606" t="str">
        <f t="shared" si="52"/>
        <v>10.1126--science.1132491.pdf</v>
      </c>
      <c r="Q932" s="52" t="str">
        <f t="array" ref="Q932"> if(iserror(MATCH(V932, 'File Links'!C:C, 0)), "N/A", HYPERLINK(INDEX('File Links'!B:B, MATCH(P932, 'File Links'!C:C, 0))))</f>
        <v>https://drive.google.com/file/d/1OWk3W7aLK7NhvpfeOXWbAeYjSBS6on3O/view?usp=drivesdk</v>
      </c>
      <c r="R932" s="606" t="s">
        <v>3653</v>
      </c>
      <c r="S932" s="159" t="s">
        <v>3654</v>
      </c>
      <c r="T932" s="68"/>
      <c r="U932" s="156">
        <v>1.0</v>
      </c>
      <c r="V932" s="198" t="str">
        <f t="shared" si="50"/>
        <v>10.1098--rsos.231240.pdf</v>
      </c>
      <c r="W932" s="159" t="s">
        <v>3726</v>
      </c>
      <c r="X932" s="54" t="str">
        <f t="array" ref="X932"> if(iserror(MATCH(V932, 'File Links'!C:C, 0)), "N/A", HYPERLINK(INDEX('File Links'!B:B, MATCH(V932, 'File Links'!C:C, 0))))</f>
        <v>https://drive.google.com/file/d/17gaf2Zy_ljFfcAEDk5L8GBnTl5i7RGJE/view?usp=drivesdk</v>
      </c>
      <c r="Y932" s="68"/>
      <c r="Z932" s="159" t="s">
        <v>226</v>
      </c>
      <c r="AA932" s="159" t="s">
        <v>4052</v>
      </c>
      <c r="AB932" s="159" t="s">
        <v>5105</v>
      </c>
      <c r="AC932" s="159" t="s">
        <v>5106</v>
      </c>
      <c r="AD932" s="159" t="s">
        <v>5107</v>
      </c>
      <c r="AE932" s="156">
        <v>3.0</v>
      </c>
      <c r="AF932" s="156">
        <v>40.0</v>
      </c>
      <c r="AG932" s="156">
        <v>0.64</v>
      </c>
      <c r="AH932" s="156" t="s">
        <v>173</v>
      </c>
      <c r="AI932" s="156" t="s">
        <v>217</v>
      </c>
      <c r="AJ932" s="156">
        <v>0.05</v>
      </c>
      <c r="AK932" s="159" t="s">
        <v>135</v>
      </c>
      <c r="AL932" s="159" t="s">
        <v>186</v>
      </c>
      <c r="AM932" s="159" t="s">
        <v>137</v>
      </c>
      <c r="AN932" s="151" t="s">
        <v>138</v>
      </c>
      <c r="AO932" s="156">
        <v>86.0</v>
      </c>
      <c r="AP932" s="336" t="s">
        <v>5108</v>
      </c>
      <c r="AQ932" s="156" t="s">
        <v>173</v>
      </c>
      <c r="AR932" s="68"/>
      <c r="AS932" s="156">
        <v>0.563448936597826</v>
      </c>
      <c r="AT932" s="159" t="s">
        <v>172</v>
      </c>
      <c r="AU932" s="159" t="s">
        <v>186</v>
      </c>
      <c r="AV932" s="159" t="s">
        <v>137</v>
      </c>
      <c r="AW932" s="68"/>
      <c r="AX932" s="68" t="s">
        <v>143</v>
      </c>
      <c r="AY932" s="61" t="str">
        <f>IFERROR(__xludf.DUMMYFUNCTION("vlookup(BB932,importrange(""https://docs.google.com/spreadsheets/d/1d2vevQ_7D_v35q4wCQ4RpQ_IPoTwEMB9Yp6ymwlPqew/edit?gid=984458430#gid=984458430"", ""'replication success'!A:K""), 11, FAlSE)"),"#N/A")</f>
        <v>#N/A</v>
      </c>
      <c r="AZ932" s="61" t="str">
        <f>IFERROR(__xludf.DUMMYFUNCTION("vlookup(BB932,importrange(""https://docs.google.com/spreadsheets/d/1d2vevQ_7D_v35q4wCQ4RpQ_IPoTwEMB9Yp6ymwlPqew/edit?gid=984458430#gid=984458430"", ""'replication success'!A:M""), 12, FAlSE)"),"#N/A")</f>
        <v>#N/A</v>
      </c>
      <c r="BA932" s="61" t="str">
        <f>IFERROR(__xludf.DUMMYFUNCTION("vlookup(BB932,importrange(""https://docs.google.com/spreadsheets/d/1d2vevQ_7D_v35q4wCQ4RpQ_IPoTwEMB9Yp6ymwlPqew/edit?gid=984458430#gid=984458430"", ""'replication success'!A:M""), 13, FAlSE)"),"#N/A")</f>
        <v>#N/A</v>
      </c>
      <c r="BB932" s="61" t="str">
        <f>IFERROR(__xludf.DUMMYFUNCTION("REGEXREPLACE(G932, ""_[a-z]{1,2}$"", """")"),"Boyce_etal2023163")</f>
        <v>Boyce_etal2023163</v>
      </c>
      <c r="BD932" s="68" t="s">
        <v>153</v>
      </c>
      <c r="BE932" s="62"/>
    </row>
    <row r="933" ht="18.75" customHeight="1">
      <c r="A933" s="44">
        <v>933.0</v>
      </c>
      <c r="B933" s="68" t="s">
        <v>114</v>
      </c>
      <c r="C933" s="62" t="s">
        <v>115</v>
      </c>
      <c r="D933" s="62" t="s">
        <v>248</v>
      </c>
      <c r="F933" s="159" t="s">
        <v>5109</v>
      </c>
      <c r="G933" s="159" t="s">
        <v>5110</v>
      </c>
      <c r="H933" s="159" t="s">
        <v>249</v>
      </c>
      <c r="I933" s="152">
        <v>45672.0</v>
      </c>
      <c r="J933" s="152">
        <v>45692.0</v>
      </c>
      <c r="K933" s="437" t="s">
        <v>5111</v>
      </c>
      <c r="L933" s="68" t="s">
        <v>3690</v>
      </c>
      <c r="M933" s="159" t="s">
        <v>5112</v>
      </c>
      <c r="N933" s="159" t="s">
        <v>5113</v>
      </c>
      <c r="O933" s="68"/>
      <c r="P933" s="606" t="str">
        <f t="shared" si="52"/>
        <v>10.1177--0956797613502732.pdf</v>
      </c>
      <c r="Q933" s="52" t="str">
        <f t="array" ref="Q933"> if(iserror(MATCH(V933, 'File Links'!C:C, 0)), "N/A", HYPERLINK(INDEX('File Links'!B:B, MATCH(P933, 'File Links'!C:C, 0))))</f>
        <v>https://drive.google.com/file/d/1oYbk_RfphQEQTiM6p882mmwIrb7aGJDY/view?usp=drivesdk</v>
      </c>
      <c r="R933" s="606" t="s">
        <v>3653</v>
      </c>
      <c r="S933" s="159" t="s">
        <v>3654</v>
      </c>
      <c r="T933" s="68"/>
      <c r="U933" s="156">
        <v>1.0</v>
      </c>
      <c r="V933" s="198" t="str">
        <f t="shared" si="50"/>
        <v>10.1098--rsos.231240.pdf</v>
      </c>
      <c r="W933" s="159" t="s">
        <v>324</v>
      </c>
      <c r="X933" s="54" t="str">
        <f t="array" ref="X933"> if(iserror(MATCH(V933, 'File Links'!C:C, 0)), "N/A", HYPERLINK(INDEX('File Links'!B:B, MATCH(V933, 'File Links'!C:C, 0))))</f>
        <v>https://drive.google.com/file/d/17gaf2Zy_ljFfcAEDk5L8GBnTl5i7RGJE/view?usp=drivesdk</v>
      </c>
      <c r="Y933" s="68"/>
      <c r="Z933" s="159" t="s">
        <v>226</v>
      </c>
      <c r="AA933" s="68"/>
      <c r="AB933" s="159" t="s">
        <v>4426</v>
      </c>
      <c r="AC933" s="68"/>
      <c r="AD933" s="159" t="s">
        <v>5114</v>
      </c>
      <c r="AE933" s="1059">
        <v>279.0</v>
      </c>
      <c r="AF933" s="156">
        <v>87.0</v>
      </c>
      <c r="AG933" s="161" t="s">
        <v>5115</v>
      </c>
      <c r="AH933" s="119" t="s">
        <v>134</v>
      </c>
      <c r="AI933" s="1060" t="s">
        <v>5116</v>
      </c>
      <c r="AJ933" s="156">
        <v>0.01</v>
      </c>
      <c r="AK933" s="159" t="s">
        <v>135</v>
      </c>
      <c r="AL933" s="159" t="s">
        <v>186</v>
      </c>
      <c r="AM933" s="159" t="s">
        <v>141</v>
      </c>
      <c r="AN933" s="151" t="s">
        <v>138</v>
      </c>
      <c r="AO933" s="156">
        <v>120.0</v>
      </c>
      <c r="AP933" s="1243">
        <v>0.242790791466753</v>
      </c>
      <c r="AQ933" s="159" t="s">
        <v>173</v>
      </c>
      <c r="AR933" s="68"/>
      <c r="AS933" s="1243">
        <v>0.459121525224115</v>
      </c>
      <c r="AT933" s="159" t="s">
        <v>172</v>
      </c>
      <c r="AU933" s="159" t="s">
        <v>186</v>
      </c>
      <c r="AV933" s="159" t="s">
        <v>137</v>
      </c>
      <c r="AW933" s="68"/>
      <c r="AX933" s="159" t="s">
        <v>143</v>
      </c>
      <c r="AY933" s="61" t="str">
        <f>IFERROR(__xludf.DUMMYFUNCTION("vlookup(BB933,importrange(""https://docs.google.com/spreadsheets/d/1d2vevQ_7D_v35q4wCQ4RpQ_IPoTwEMB9Yp6ymwlPqew/edit?gid=984458430#gid=984458430"", ""'replication success'!A:K""), 11, FAlSE)"),"#N/A")</f>
        <v>#N/A</v>
      </c>
      <c r="AZ933" s="61" t="str">
        <f>IFERROR(__xludf.DUMMYFUNCTION("vlookup(BB933,importrange(""https://docs.google.com/spreadsheets/d/1d2vevQ_7D_v35q4wCQ4RpQ_IPoTwEMB9Yp6ymwlPqew/edit?gid=984458430#gid=984458430"", ""'replication success'!A:M""), 12, FAlSE)"),"#N/A")</f>
        <v>#N/A</v>
      </c>
      <c r="BA933" s="61" t="str">
        <f>IFERROR(__xludf.DUMMYFUNCTION("vlookup(BB933,importrange(""https://docs.google.com/spreadsheets/d/1d2vevQ_7D_v35q4wCQ4RpQ_IPoTwEMB9Yp6ymwlPqew/edit?gid=984458430#gid=984458430"", ""'replication success'!A:M""), 13, FAlSE)"),"#N/A")</f>
        <v>#N/A</v>
      </c>
      <c r="BB933" s="61" t="str">
        <f>IFERROR(__xludf.DUMMYFUNCTION("REGEXREPLACE(G933, ""_[a-z]{1,2}$"", """")"),"Boyce_etal2023164_1")</f>
        <v>Boyce_etal2023164_1</v>
      </c>
      <c r="BD933" s="68" t="s">
        <v>153</v>
      </c>
      <c r="BE933" s="62" t="s">
        <v>5074</v>
      </c>
    </row>
    <row r="934" ht="18.75" customHeight="1">
      <c r="A934" s="44">
        <v>934.0</v>
      </c>
      <c r="B934" s="129" t="s">
        <v>152</v>
      </c>
      <c r="C934" s="62" t="s">
        <v>115</v>
      </c>
      <c r="D934" s="62" t="s">
        <v>153</v>
      </c>
      <c r="F934" s="68" t="s">
        <v>5110</v>
      </c>
      <c r="G934" s="159" t="s">
        <v>5109</v>
      </c>
      <c r="H934" s="159" t="s">
        <v>153</v>
      </c>
      <c r="I934" s="152">
        <v>45687.0</v>
      </c>
      <c r="J934" s="152">
        <v>45692.0</v>
      </c>
      <c r="K934" s="1055" t="s">
        <v>5117</v>
      </c>
      <c r="L934" s="68"/>
      <c r="M934" s="159" t="s">
        <v>5112</v>
      </c>
      <c r="N934" s="159" t="s">
        <v>5113</v>
      </c>
      <c r="O934" s="156">
        <v>1.0</v>
      </c>
      <c r="P934" s="606" t="str">
        <f t="shared" si="52"/>
        <v>10.1177--0956797613502732.pdf</v>
      </c>
      <c r="Q934" s="52" t="str">
        <f t="array" ref="Q934"> if(iserror(MATCH(V934, 'File Links'!C:C, 0)), "N/A", HYPERLINK(INDEX('File Links'!B:B, MATCH(P934, 'File Links'!C:C, 0))))</f>
        <v>https://drive.google.com/file/d/1oYbk_RfphQEQTiM6p882mmwIrb7aGJDY/view?usp=drivesdk</v>
      </c>
      <c r="R934" s="606" t="s">
        <v>3653</v>
      </c>
      <c r="S934" s="159" t="s">
        <v>3654</v>
      </c>
      <c r="T934" s="68"/>
      <c r="U934" s="156">
        <v>1.0</v>
      </c>
      <c r="V934" s="198" t="str">
        <f t="shared" si="50"/>
        <v>10.1098--rsos.231240.pdf</v>
      </c>
      <c r="W934" s="1115" t="s">
        <v>4711</v>
      </c>
      <c r="X934" s="54" t="str">
        <f t="array" ref="X934"> if(iserror(MATCH(V934, 'File Links'!C:C, 0)), "N/A", HYPERLINK(INDEX('File Links'!B:B, MATCH(V934, 'File Links'!C:C, 0))))</f>
        <v>https://drive.google.com/file/d/17gaf2Zy_ljFfcAEDk5L8GBnTl5i7RGJE/view?usp=drivesdk</v>
      </c>
      <c r="Y934" s="68"/>
      <c r="Z934" s="159" t="s">
        <v>226</v>
      </c>
      <c r="AA934" s="159" t="s">
        <v>4900</v>
      </c>
      <c r="AB934" s="159" t="s">
        <v>5118</v>
      </c>
      <c r="AC934" s="159" t="s">
        <v>5119</v>
      </c>
      <c r="AD934" s="159" t="s">
        <v>5120</v>
      </c>
      <c r="AE934" s="156">
        <v>2.0</v>
      </c>
      <c r="AF934" s="156">
        <v>87.0</v>
      </c>
      <c r="AG934" s="336">
        <v>0.144</v>
      </c>
      <c r="AH934" s="156" t="s">
        <v>139</v>
      </c>
      <c r="AI934" s="156" t="s">
        <v>875</v>
      </c>
      <c r="AJ934" s="156">
        <v>0.01</v>
      </c>
      <c r="AK934" s="159" t="s">
        <v>135</v>
      </c>
      <c r="AL934" s="159" t="s">
        <v>186</v>
      </c>
      <c r="AM934" s="159" t="s">
        <v>137</v>
      </c>
      <c r="AN934" s="151" t="s">
        <v>138</v>
      </c>
      <c r="AO934" s="156">
        <v>120.0</v>
      </c>
      <c r="AP934" s="156" t="s">
        <v>5121</v>
      </c>
      <c r="AQ934" s="156" t="s">
        <v>134</v>
      </c>
      <c r="AR934" s="156" t="s">
        <v>307</v>
      </c>
      <c r="AS934" s="156">
        <v>0.459</v>
      </c>
      <c r="AT934" s="159" t="s">
        <v>172</v>
      </c>
      <c r="AU934" s="159" t="s">
        <v>186</v>
      </c>
      <c r="AV934" s="159" t="s">
        <v>137</v>
      </c>
      <c r="AW934" s="68"/>
      <c r="AX934" s="68" t="s">
        <v>151</v>
      </c>
      <c r="AY934" s="61" t="str">
        <f>IFERROR(__xludf.DUMMYFUNCTION("vlookup(BB934,importrange(""https://docs.google.com/spreadsheets/d/1d2vevQ_7D_v35q4wCQ4RpQ_IPoTwEMB9Yp6ymwlPqew/edit?gid=984458430#gid=984458430"", ""'replication success'!A:K""), 11, FAlSE)"),"failed")</f>
        <v>failed</v>
      </c>
      <c r="AZ934" s="61" t="str">
        <f>IFERROR(__xludf.DUMMYFUNCTION("vlookup(BB934,importrange(""https://docs.google.com/spreadsheets/d/1d2vevQ_7D_v35q4wCQ4RpQ_IPoTwEMB9Yp6ymwlPqew/edit?gid=984458430#gid=984458430"",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934" s="61" t="str">
        <f>IFERROR(__xludf.DUMMYFUNCTION("vlookup(BB934,importrange(""https://docs.google.com/spreadsheets/d/1d2vevQ_7D_v35q4wCQ4RpQ_IPoTwEMB9Yp6ymwlPqew/edit?gid=984458430#gid=984458430"",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v>
      </c>
      <c r="BB934" s="61" t="str">
        <f>IFERROR(__xludf.DUMMYFUNCTION("REGEXREPLACE(G934, ""_[a-z]{1,2}$"", """")"),"Boyce_etal2023164")</f>
        <v>Boyce_etal2023164</v>
      </c>
      <c r="BD934" s="68" t="s">
        <v>153</v>
      </c>
      <c r="BE934" s="62" t="s">
        <v>5074</v>
      </c>
    </row>
    <row r="935" ht="18.75" customHeight="1">
      <c r="A935" s="44">
        <v>935.0</v>
      </c>
      <c r="B935" s="129" t="s">
        <v>152</v>
      </c>
      <c r="C935" s="62" t="s">
        <v>115</v>
      </c>
      <c r="D935" s="62" t="s">
        <v>153</v>
      </c>
      <c r="F935" s="68" t="s">
        <v>5110</v>
      </c>
      <c r="G935" s="159" t="s">
        <v>5122</v>
      </c>
      <c r="H935" s="159" t="s">
        <v>153</v>
      </c>
      <c r="I935" s="152">
        <v>45687.0</v>
      </c>
      <c r="J935" s="152">
        <v>45692.0</v>
      </c>
      <c r="K935" s="1055" t="s">
        <v>5123</v>
      </c>
      <c r="L935" s="68"/>
      <c r="M935" s="159" t="s">
        <v>5112</v>
      </c>
      <c r="N935" s="159" t="s">
        <v>5113</v>
      </c>
      <c r="O935" s="156">
        <v>1.0</v>
      </c>
      <c r="P935" s="606" t="str">
        <f t="shared" si="52"/>
        <v>10.1177--0956797613502732.pdf</v>
      </c>
      <c r="Q935" s="52" t="str">
        <f t="array" ref="Q935"> if(iserror(MATCH(V935, 'File Links'!C:C, 0)), "N/A", HYPERLINK(INDEX('File Links'!B:B, MATCH(P935, 'File Links'!C:C, 0))))</f>
        <v>https://drive.google.com/file/d/1oYbk_RfphQEQTiM6p882mmwIrb7aGJDY/view?usp=drivesdk</v>
      </c>
      <c r="R935" s="606" t="s">
        <v>3653</v>
      </c>
      <c r="S935" s="159" t="s">
        <v>3654</v>
      </c>
      <c r="T935" s="68"/>
      <c r="U935" s="156">
        <v>1.0</v>
      </c>
      <c r="V935" s="198" t="str">
        <f t="shared" si="50"/>
        <v>10.1098--rsos.231240.pdf</v>
      </c>
      <c r="W935" s="1115" t="s">
        <v>4711</v>
      </c>
      <c r="X935" s="54" t="str">
        <f t="array" ref="X935"> if(iserror(MATCH(V935, 'File Links'!C:C, 0)), "N/A", HYPERLINK(INDEX('File Links'!B:B, MATCH(V935, 'File Links'!C:C, 0))))</f>
        <v>https://drive.google.com/file/d/17gaf2Zy_ljFfcAEDk5L8GBnTl5i7RGJE/view?usp=drivesdk</v>
      </c>
      <c r="Y935" s="68"/>
      <c r="Z935" s="159" t="s">
        <v>226</v>
      </c>
      <c r="AA935" s="159" t="s">
        <v>4900</v>
      </c>
      <c r="AB935" s="159" t="s">
        <v>5118</v>
      </c>
      <c r="AC935" s="159" t="s">
        <v>5124</v>
      </c>
      <c r="AD935" s="159" t="s">
        <v>5125</v>
      </c>
      <c r="AE935" s="336">
        <v>3.0</v>
      </c>
      <c r="AF935" s="156">
        <v>87.0</v>
      </c>
      <c r="AG935" s="336">
        <v>0.043</v>
      </c>
      <c r="AH935" s="156" t="s">
        <v>139</v>
      </c>
      <c r="AI935" s="336" t="s">
        <v>217</v>
      </c>
      <c r="AJ935" s="336">
        <v>0.059</v>
      </c>
      <c r="AK935" s="159" t="s">
        <v>172</v>
      </c>
      <c r="AL935" s="159" t="s">
        <v>186</v>
      </c>
      <c r="AM935" s="159" t="s">
        <v>137</v>
      </c>
      <c r="AN935" s="151" t="s">
        <v>138</v>
      </c>
      <c r="AO935" s="156">
        <v>120.0</v>
      </c>
      <c r="AP935" s="336" t="s">
        <v>5126</v>
      </c>
      <c r="AQ935" s="156" t="s">
        <v>134</v>
      </c>
      <c r="AR935" s="156" t="s">
        <v>307</v>
      </c>
      <c r="AS935" s="156">
        <v>0.04869</v>
      </c>
      <c r="AT935" s="159" t="s">
        <v>172</v>
      </c>
      <c r="AU935" s="159" t="s">
        <v>186</v>
      </c>
      <c r="AV935" s="159" t="s">
        <v>137</v>
      </c>
      <c r="AW935" s="68"/>
      <c r="AX935" s="68" t="s">
        <v>151</v>
      </c>
      <c r="AY935" s="61" t="str">
        <f>IFERROR(__xludf.DUMMYFUNCTION("vlookup(BB935,importrange(""https://docs.google.com/spreadsheets/d/1d2vevQ_7D_v35q4wCQ4RpQ_IPoTwEMB9Yp6ymwlPqew/edit?gid=984458430#gid=984458430"", ""'replication success'!A:K""), 11, FAlSE)"),"failed")</f>
        <v>failed</v>
      </c>
      <c r="AZ935" s="61" t="str">
        <f>IFERROR(__xludf.DUMMYFUNCTION("vlookup(BB935,importrange(""https://docs.google.com/spreadsheets/d/1d2vevQ_7D_v35q4wCQ4RpQ_IPoTwEMB9Yp6ymwlPqew/edit?gid=984458430#gid=984458430"",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935" s="61" t="str">
        <f>IFERROR(__xludf.DUMMYFUNCTION("vlookup(BB935,importrange(""https://docs.google.com/spreadsheets/d/1d2vevQ_7D_v35q4wCQ4RpQ_IPoTwEMB9Yp6ymwlPqew/edit?gid=984458430#gid=984458430"",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v>
      </c>
      <c r="BB935" s="61" t="str">
        <f>IFERROR(__xludf.DUMMYFUNCTION("REGEXREPLACE(G935, ""_[a-z]{1,2}$"", """")"),"Boyce_etal2023164")</f>
        <v>Boyce_etal2023164</v>
      </c>
      <c r="BD935" s="68" t="s">
        <v>153</v>
      </c>
      <c r="BE935" s="62" t="s">
        <v>144</v>
      </c>
    </row>
    <row r="936" ht="18.75" customHeight="1">
      <c r="A936" s="44">
        <v>936.0</v>
      </c>
      <c r="B936" s="68" t="s">
        <v>114</v>
      </c>
      <c r="C936" s="62" t="s">
        <v>115</v>
      </c>
      <c r="D936" s="62" t="s">
        <v>248</v>
      </c>
      <c r="F936" s="159" t="s">
        <v>5127</v>
      </c>
      <c r="G936" s="159" t="s">
        <v>5128</v>
      </c>
      <c r="H936" s="159" t="s">
        <v>249</v>
      </c>
      <c r="I936" s="152">
        <v>45672.0</v>
      </c>
      <c r="J936" s="152">
        <v>45692.0</v>
      </c>
      <c r="K936" s="437" t="s">
        <v>5129</v>
      </c>
      <c r="L936" s="68"/>
      <c r="M936" s="159" t="s">
        <v>5130</v>
      </c>
      <c r="N936" s="159" t="s">
        <v>5131</v>
      </c>
      <c r="O936" s="68"/>
      <c r="P936" s="606" t="str">
        <f t="shared" si="52"/>
        <v>10.1038--s41467-021-27323-3.pdf</v>
      </c>
      <c r="Q936" s="52" t="str">
        <f t="array" ref="Q936"> if(iserror(MATCH(V936, 'File Links'!C:C, 0)), "N/A", HYPERLINK(INDEX('File Links'!B:B, MATCH(P936, 'File Links'!C:C, 0))))</f>
        <v>https://drive.google.com/file/d/1E9n7K_S1QjugzYn-rTEbb--ETbvudVse/view?usp=drivesdk</v>
      </c>
      <c r="R936" s="606" t="s">
        <v>3653</v>
      </c>
      <c r="S936" s="159" t="s">
        <v>3654</v>
      </c>
      <c r="T936" s="68"/>
      <c r="U936" s="156">
        <v>1.0</v>
      </c>
      <c r="V936" s="198" t="str">
        <f t="shared" si="50"/>
        <v>10.1098--rsos.231240.pdf</v>
      </c>
      <c r="W936" s="159" t="s">
        <v>324</v>
      </c>
      <c r="X936" s="54" t="str">
        <f t="array" ref="X936"> if(iserror(MATCH(V936, 'File Links'!C:C, 0)), "N/A", HYPERLINK(INDEX('File Links'!B:B, MATCH(V936, 'File Links'!C:C, 0))))</f>
        <v>https://drive.google.com/file/d/17gaf2Zy_ljFfcAEDk5L8GBnTl5i7RGJE/view?usp=drivesdk</v>
      </c>
      <c r="Y936" s="68"/>
      <c r="Z936" s="1060" t="s">
        <v>148</v>
      </c>
      <c r="AA936" s="68"/>
      <c r="AB936" s="68"/>
      <c r="AC936" s="68"/>
      <c r="AD936" s="159" t="s">
        <v>5132</v>
      </c>
      <c r="AE936" s="156">
        <v>4.0</v>
      </c>
      <c r="AF936" s="156">
        <v>556.0</v>
      </c>
      <c r="AG936" s="156">
        <v>0.28</v>
      </c>
      <c r="AH936" s="159" t="s">
        <v>173</v>
      </c>
      <c r="AI936" s="159" t="s">
        <v>5133</v>
      </c>
      <c r="AJ936" s="156">
        <v>0.001</v>
      </c>
      <c r="AK936" s="159" t="s">
        <v>135</v>
      </c>
      <c r="AL936" s="159" t="s">
        <v>186</v>
      </c>
      <c r="AM936" s="159" t="s">
        <v>137</v>
      </c>
      <c r="AN936" s="151" t="s">
        <v>138</v>
      </c>
      <c r="AO936" s="156">
        <v>47.0</v>
      </c>
      <c r="AP936" s="1243">
        <v>0.389720527496613</v>
      </c>
      <c r="AQ936" s="159" t="s">
        <v>173</v>
      </c>
      <c r="AR936" s="68"/>
      <c r="AS936" s="1243">
        <v>0.115563444416586</v>
      </c>
      <c r="AT936" s="159" t="s">
        <v>172</v>
      </c>
      <c r="AU936" s="159" t="s">
        <v>186</v>
      </c>
      <c r="AV936" s="159" t="s">
        <v>137</v>
      </c>
      <c r="AW936" s="68"/>
      <c r="AX936" s="159" t="s">
        <v>143</v>
      </c>
      <c r="AY936" s="61" t="str">
        <f>IFERROR(__xludf.DUMMYFUNCTION("vlookup(BB936,importrange(""https://docs.google.com/spreadsheets/d/1d2vevQ_7D_v35q4wCQ4RpQ_IPoTwEMB9Yp6ymwlPqew/edit?gid=984458430#gid=984458430"", ""'replication success'!A:K""), 11, FAlSE)"),"#N/A")</f>
        <v>#N/A</v>
      </c>
      <c r="AZ936" s="61" t="str">
        <f>IFERROR(__xludf.DUMMYFUNCTION("vlookup(BB936,importrange(""https://docs.google.com/spreadsheets/d/1d2vevQ_7D_v35q4wCQ4RpQ_IPoTwEMB9Yp6ymwlPqew/edit?gid=984458430#gid=984458430"", ""'replication success'!A:M""), 12, FAlSE)"),"#N/A")</f>
        <v>#N/A</v>
      </c>
      <c r="BA936" s="61" t="str">
        <f>IFERROR(__xludf.DUMMYFUNCTION("vlookup(BB936,importrange(""https://docs.google.com/spreadsheets/d/1d2vevQ_7D_v35q4wCQ4RpQ_IPoTwEMB9Yp6ymwlPqew/edit?gid=984458430#gid=984458430"", ""'replication success'!A:M""), 13, FAlSE)"),"#N/A")</f>
        <v>#N/A</v>
      </c>
      <c r="BB936" s="61" t="str">
        <f>IFERROR(__xludf.DUMMYFUNCTION("REGEXREPLACE(G936, ""_[a-z]{1,2}$"", """")"),"Boyce_etal2023165_1")</f>
        <v>Boyce_etal2023165_1</v>
      </c>
      <c r="BD936" s="68" t="s">
        <v>153</v>
      </c>
      <c r="BE936" s="62" t="s">
        <v>144</v>
      </c>
    </row>
    <row r="937" ht="18.75" customHeight="1">
      <c r="A937" s="44">
        <v>937.0</v>
      </c>
      <c r="B937" s="129" t="s">
        <v>152</v>
      </c>
      <c r="C937" s="62" t="s">
        <v>115</v>
      </c>
      <c r="D937" s="62" t="s">
        <v>153</v>
      </c>
      <c r="F937" s="68" t="s">
        <v>5128</v>
      </c>
      <c r="G937" s="159" t="s">
        <v>5127</v>
      </c>
      <c r="H937" s="159" t="s">
        <v>153</v>
      </c>
      <c r="I937" s="152">
        <v>45687.0</v>
      </c>
      <c r="J937" s="152">
        <v>45692.0</v>
      </c>
      <c r="K937" s="437" t="s">
        <v>5134</v>
      </c>
      <c r="L937" s="68"/>
      <c r="M937" s="159" t="s">
        <v>5130</v>
      </c>
      <c r="N937" s="159" t="s">
        <v>5131</v>
      </c>
      <c r="O937" s="156" t="s">
        <v>5135</v>
      </c>
      <c r="P937" s="606" t="str">
        <f t="shared" si="52"/>
        <v>10.1038--s41467-021-27323-3.pdf</v>
      </c>
      <c r="Q937" s="52" t="str">
        <f t="array" ref="Q937"> if(iserror(MATCH(V937, 'File Links'!C:C, 0)), "N/A", HYPERLINK(INDEX('File Links'!B:B, MATCH(P937, 'File Links'!C:C, 0))))</f>
        <v>https://drive.google.com/file/d/1E9n7K_S1QjugzYn-rTEbb--ETbvudVse/view?usp=drivesdk</v>
      </c>
      <c r="R937" s="606" t="s">
        <v>3653</v>
      </c>
      <c r="S937" s="159" t="s">
        <v>3654</v>
      </c>
      <c r="T937" s="68"/>
      <c r="U937" s="156">
        <v>1.0</v>
      </c>
      <c r="V937" s="198" t="str">
        <f t="shared" si="50"/>
        <v>10.1098--rsos.231240.pdf</v>
      </c>
      <c r="W937" s="159" t="s">
        <v>3726</v>
      </c>
      <c r="X937" s="54" t="str">
        <f t="array" ref="X937"> if(iserror(MATCH(V937, 'File Links'!C:C, 0)), "N/A", HYPERLINK(INDEX('File Links'!B:B, MATCH(V937, 'File Links'!C:C, 0))))</f>
        <v>https://drive.google.com/file/d/17gaf2Zy_ljFfcAEDk5L8GBnTl5i7RGJE/view?usp=drivesdk</v>
      </c>
      <c r="Y937" s="68"/>
      <c r="Z937" s="1115" t="s">
        <v>838</v>
      </c>
      <c r="AA937" s="159" t="s">
        <v>5136</v>
      </c>
      <c r="AB937" s="159" t="s">
        <v>5137</v>
      </c>
      <c r="AC937" s="159" t="s">
        <v>5138</v>
      </c>
      <c r="AD937" s="159" t="s">
        <v>5139</v>
      </c>
      <c r="AE937" s="156">
        <v>4.0</v>
      </c>
      <c r="AF937" s="156">
        <v>321.0</v>
      </c>
      <c r="AG937" s="156" t="s">
        <v>5140</v>
      </c>
      <c r="AH937" s="156" t="s">
        <v>134</v>
      </c>
      <c r="AI937" s="156" t="s">
        <v>850</v>
      </c>
      <c r="AJ937" s="336">
        <v>0.001</v>
      </c>
      <c r="AK937" s="159" t="s">
        <v>135</v>
      </c>
      <c r="AL937" s="159" t="s">
        <v>186</v>
      </c>
      <c r="AM937" s="159" t="s">
        <v>137</v>
      </c>
      <c r="AN937" s="151" t="s">
        <v>138</v>
      </c>
      <c r="AO937" s="156">
        <v>47.0</v>
      </c>
      <c r="AP937" s="156">
        <v>0.03912084</v>
      </c>
      <c r="AQ937" s="156" t="s">
        <v>5141</v>
      </c>
      <c r="AR937" s="156" t="s">
        <v>5142</v>
      </c>
      <c r="AS937" s="156">
        <v>0.116</v>
      </c>
      <c r="AT937" s="159" t="s">
        <v>172</v>
      </c>
      <c r="AU937" s="159" t="s">
        <v>186</v>
      </c>
      <c r="AV937" s="159" t="s">
        <v>137</v>
      </c>
      <c r="AW937" s="68"/>
      <c r="AX937" s="68" t="s">
        <v>151</v>
      </c>
      <c r="AY937" s="61" t="str">
        <f>IFERROR(__xludf.DUMMYFUNCTION("vlookup(BB937,importrange(""https://docs.google.com/spreadsheets/d/1d2vevQ_7D_v35q4wCQ4RpQ_IPoTwEMB9Yp6ymwlPqew/edit?gid=984458430#gid=984458430"", ""'replication success'!A:K""), 11, FAlSE)"),"")</f>
        <v/>
      </c>
      <c r="AZ937" s="61" t="str">
        <f>IFERROR(__xludf.DUMMYFUNCTION("vlookup(BB937,importrange(""https://docs.google.com/spreadsheets/d/1d2vevQ_7D_v35q4wCQ4RpQ_IPoTwEMB9Yp6ymwlPqew/edit?gid=984458430#gid=984458430"", ""'replication success'!A:M""), 12, FAlSE)"),"")</f>
        <v/>
      </c>
      <c r="BA937" s="61" t="str">
        <f>IFERROR(__xludf.DUMMYFUNCTION("vlookup(BB937,importrange(""https://docs.google.com/spreadsheets/d/1d2vevQ_7D_v35q4wCQ4RpQ_IPoTwEMB9Yp6ymwlPqew/edit?gid=984458430#gid=984458430"",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v>
      </c>
      <c r="BB937" s="61" t="str">
        <f>IFERROR(__xludf.DUMMYFUNCTION("REGEXREPLACE(G937, ""_[a-z]{1,2}$"", """")"),"Boyce_etal2023165")</f>
        <v>Boyce_etal2023165</v>
      </c>
      <c r="BD937" s="68" t="s">
        <v>153</v>
      </c>
      <c r="BE937" s="62" t="s">
        <v>144</v>
      </c>
    </row>
    <row r="938">
      <c r="A938" s="44">
        <v>938.0</v>
      </c>
      <c r="B938" s="68" t="s">
        <v>114</v>
      </c>
      <c r="C938" s="62" t="s">
        <v>115</v>
      </c>
      <c r="D938" s="62" t="s">
        <v>248</v>
      </c>
      <c r="F938" s="159" t="s">
        <v>5143</v>
      </c>
      <c r="G938" s="159" t="s">
        <v>5144</v>
      </c>
      <c r="H938" s="159" t="s">
        <v>249</v>
      </c>
      <c r="I938" s="152">
        <v>45672.0</v>
      </c>
      <c r="J938" s="152">
        <v>45692.0</v>
      </c>
      <c r="K938" s="68"/>
      <c r="L938" s="68" t="s">
        <v>3690</v>
      </c>
      <c r="M938" s="159" t="s">
        <v>5145</v>
      </c>
      <c r="N938" s="159" t="s">
        <v>5146</v>
      </c>
      <c r="O938" s="68"/>
      <c r="P938" s="606" t="str">
        <f t="shared" si="52"/>
        <v>10.1177--0956797613508412.pdf</v>
      </c>
      <c r="Q938" s="52" t="str">
        <f t="array" ref="Q938"> if(iserror(MATCH(V938, 'File Links'!C:C, 0)), "N/A", HYPERLINK(INDEX('File Links'!B:B, MATCH(P938, 'File Links'!C:C, 0))))</f>
        <v>https://drive.google.com/file/d/1VYqvNkQuJmP378cGj71lJ4JV-clMH0Yv/view?usp=drivesdk</v>
      </c>
      <c r="R938" s="606" t="s">
        <v>3653</v>
      </c>
      <c r="S938" s="159" t="s">
        <v>3654</v>
      </c>
      <c r="T938" s="68"/>
      <c r="U938" s="156">
        <v>1.0</v>
      </c>
      <c r="V938" s="198" t="str">
        <f t="shared" si="50"/>
        <v>10.1098--rsos.231240.pdf</v>
      </c>
      <c r="W938" s="159" t="s">
        <v>3804</v>
      </c>
      <c r="X938" s="54" t="str">
        <f t="array" ref="X938"> if(iserror(MATCH(V938, 'File Links'!C:C, 0)), "N/A", HYPERLINK(INDEX('File Links'!B:B, MATCH(V938, 'File Links'!C:C, 0))))</f>
        <v>https://drive.google.com/file/d/17gaf2Zy_ljFfcAEDk5L8GBnTl5i7RGJE/view?usp=drivesdk</v>
      </c>
      <c r="Y938" s="68"/>
      <c r="Z938" s="159" t="s">
        <v>226</v>
      </c>
      <c r="AA938" s="68"/>
      <c r="AB938" s="159" t="s">
        <v>5147</v>
      </c>
      <c r="AC938" s="68"/>
      <c r="AD938" s="159" t="s">
        <v>5148</v>
      </c>
      <c r="AE938" s="1059">
        <v>442.0</v>
      </c>
      <c r="AF938" s="156">
        <v>168.0</v>
      </c>
      <c r="AG938" s="161" t="s">
        <v>5149</v>
      </c>
      <c r="AH938" s="119" t="s">
        <v>134</v>
      </c>
      <c r="AI938" s="1060" t="s">
        <v>5150</v>
      </c>
      <c r="AJ938" s="156">
        <v>0.01</v>
      </c>
      <c r="AK938" s="159" t="s">
        <v>172</v>
      </c>
      <c r="AL938" s="159" t="s">
        <v>136</v>
      </c>
      <c r="AM938" s="159" t="s">
        <v>141</v>
      </c>
      <c r="AN938" s="151" t="s">
        <v>138</v>
      </c>
      <c r="AO938" s="156">
        <v>37.0</v>
      </c>
      <c r="AP938" s="1243">
        <v>0.139256851135717</v>
      </c>
      <c r="AQ938" s="159" t="s">
        <v>173</v>
      </c>
      <c r="AR938" s="68"/>
      <c r="AS938" s="1243">
        <v>0.687444834440912</v>
      </c>
      <c r="AT938" s="159" t="s">
        <v>172</v>
      </c>
      <c r="AU938" s="159" t="s">
        <v>186</v>
      </c>
      <c r="AV938" s="159" t="s">
        <v>141</v>
      </c>
      <c r="AW938" s="68"/>
      <c r="AX938" s="159" t="s">
        <v>143</v>
      </c>
      <c r="AY938" s="61" t="str">
        <f>IFERROR(__xludf.DUMMYFUNCTION("vlookup(BB938,importrange(""https://docs.google.com/spreadsheets/d/1d2vevQ_7D_v35q4wCQ4RpQ_IPoTwEMB9Yp6ymwlPqew/edit?gid=984458430#gid=984458430"", ""'replication success'!A:K""), 11, FAlSE)"),"#N/A")</f>
        <v>#N/A</v>
      </c>
      <c r="AZ938" s="61" t="str">
        <f>IFERROR(__xludf.DUMMYFUNCTION("vlookup(BB938,importrange(""https://docs.google.com/spreadsheets/d/1d2vevQ_7D_v35q4wCQ4RpQ_IPoTwEMB9Yp6ymwlPqew/edit?gid=984458430#gid=984458430"", ""'replication success'!A:M""), 12, FAlSE)"),"#N/A")</f>
        <v>#N/A</v>
      </c>
      <c r="BA938" s="61" t="str">
        <f>IFERROR(__xludf.DUMMYFUNCTION("vlookup(BB938,importrange(""https://docs.google.com/spreadsheets/d/1d2vevQ_7D_v35q4wCQ4RpQ_IPoTwEMB9Yp6ymwlPqew/edit?gid=984458430#gid=984458430"", ""'replication success'!A:M""), 13, FAlSE)"),"#N/A")</f>
        <v>#N/A</v>
      </c>
      <c r="BB938" s="61" t="str">
        <f>IFERROR(__xludf.DUMMYFUNCTION("REGEXREPLACE(G938, ""_[a-z]{1,2}$"", """")"),"Boyce_etal2023166_1")</f>
        <v>Boyce_etal2023166_1</v>
      </c>
      <c r="BD938" s="68" t="s">
        <v>153</v>
      </c>
      <c r="BE938" s="62" t="s">
        <v>144</v>
      </c>
    </row>
    <row r="939">
      <c r="A939" s="44">
        <v>939.0</v>
      </c>
      <c r="B939" s="129" t="s">
        <v>152</v>
      </c>
      <c r="C939" s="62" t="s">
        <v>115</v>
      </c>
      <c r="D939" s="62" t="s">
        <v>153</v>
      </c>
      <c r="F939" s="68" t="s">
        <v>5144</v>
      </c>
      <c r="G939" s="159" t="s">
        <v>5143</v>
      </c>
      <c r="H939" s="159" t="s">
        <v>153</v>
      </c>
      <c r="I939" s="152">
        <v>45687.0</v>
      </c>
      <c r="J939" s="152">
        <v>45692.0</v>
      </c>
      <c r="K939" s="1055" t="s">
        <v>5151</v>
      </c>
      <c r="L939" s="68"/>
      <c r="M939" s="159" t="s">
        <v>5145</v>
      </c>
      <c r="N939" s="159" t="s">
        <v>5146</v>
      </c>
      <c r="O939" s="156">
        <v>2.0</v>
      </c>
      <c r="P939" s="606" t="str">
        <f t="shared" si="52"/>
        <v>10.1177--0956797613508412.pdf</v>
      </c>
      <c r="Q939" s="52" t="str">
        <f t="array" ref="Q939"> if(iserror(MATCH(V939, 'File Links'!C:C, 0)), "N/A", HYPERLINK(INDEX('File Links'!B:B, MATCH(P939, 'File Links'!C:C, 0))))</f>
        <v>https://drive.google.com/file/d/1VYqvNkQuJmP378cGj71lJ4JV-clMH0Yv/view?usp=drivesdk</v>
      </c>
      <c r="R939" s="606" t="s">
        <v>3653</v>
      </c>
      <c r="S939" s="159" t="s">
        <v>3654</v>
      </c>
      <c r="T939" s="441" t="s">
        <v>5152</v>
      </c>
      <c r="U939" s="156">
        <v>1.0</v>
      </c>
      <c r="V939" s="198" t="str">
        <f t="shared" si="50"/>
        <v>10.1098--rsos.231240.pdf</v>
      </c>
      <c r="W939" s="159" t="s">
        <v>3807</v>
      </c>
      <c r="X939" s="54" t="str">
        <f t="array" ref="X939"> if(iserror(MATCH(V939, 'File Links'!C:C, 0)), "N/A", HYPERLINK(INDEX('File Links'!B:B, MATCH(V939, 'File Links'!C:C, 0))))</f>
        <v>https://drive.google.com/file/d/17gaf2Zy_ljFfcAEDk5L8GBnTl5i7RGJE/view?usp=drivesdk</v>
      </c>
      <c r="Y939" s="68"/>
      <c r="Z939" s="159" t="s">
        <v>226</v>
      </c>
      <c r="AA939" s="159" t="s">
        <v>5153</v>
      </c>
      <c r="AB939" s="159" t="s">
        <v>5154</v>
      </c>
      <c r="AC939" s="159" t="s">
        <v>5155</v>
      </c>
      <c r="AD939" s="159" t="s">
        <v>5156</v>
      </c>
      <c r="AE939" s="156">
        <v>4.0</v>
      </c>
      <c r="AF939" s="156">
        <v>168.0</v>
      </c>
      <c r="AG939" s="156">
        <v>0.49</v>
      </c>
      <c r="AH939" s="156" t="s">
        <v>987</v>
      </c>
      <c r="AI939" s="156" t="s">
        <v>850</v>
      </c>
      <c r="AJ939" s="156">
        <v>0.01</v>
      </c>
      <c r="AK939" s="159" t="s">
        <v>172</v>
      </c>
      <c r="AL939" s="159" t="s">
        <v>136</v>
      </c>
      <c r="AM939" s="159" t="s">
        <v>141</v>
      </c>
      <c r="AN939" s="151" t="s">
        <v>138</v>
      </c>
      <c r="AO939" s="156">
        <v>37.0</v>
      </c>
      <c r="AP939" s="1296">
        <v>-0.1474</v>
      </c>
      <c r="AQ939" s="161" t="s">
        <v>361</v>
      </c>
      <c r="AR939" s="441" t="s">
        <v>5152</v>
      </c>
      <c r="AS939" s="1297">
        <v>0.6871</v>
      </c>
      <c r="AT939" s="159" t="s">
        <v>172</v>
      </c>
      <c r="AU939" s="159" t="s">
        <v>186</v>
      </c>
      <c r="AV939" s="159" t="s">
        <v>141</v>
      </c>
      <c r="AW939" s="441" t="s">
        <v>5157</v>
      </c>
      <c r="AX939" s="68" t="s">
        <v>143</v>
      </c>
      <c r="AY939" s="61" t="str">
        <f>IFERROR(__xludf.DUMMYFUNCTION("vlookup(BB939,importrange(""https://docs.google.com/spreadsheets/d/1d2vevQ_7D_v35q4wCQ4RpQ_IPoTwEMB9Yp6ymwlPqew/edit?gid=984458430#gid=984458430"", ""'replication success'!A:K""), 11, FAlSE)"),"#N/A")</f>
        <v>#N/A</v>
      </c>
      <c r="AZ939" s="61" t="str">
        <f>IFERROR(__xludf.DUMMYFUNCTION("vlookup(BB939,importrange(""https://docs.google.com/spreadsheets/d/1d2vevQ_7D_v35q4wCQ4RpQ_IPoTwEMB9Yp6ymwlPqew/edit?gid=984458430#gid=984458430"", ""'replication success'!A:M""), 12, FAlSE)"),"#N/A")</f>
        <v>#N/A</v>
      </c>
      <c r="BA939" s="61" t="str">
        <f>IFERROR(__xludf.DUMMYFUNCTION("vlookup(BB939,importrange(""https://docs.google.com/spreadsheets/d/1d2vevQ_7D_v35q4wCQ4RpQ_IPoTwEMB9Yp6ymwlPqew/edit?gid=984458430#gid=984458430"", ""'replication success'!A:M""), 13, FAlSE)"),"#N/A")</f>
        <v>#N/A</v>
      </c>
      <c r="BB939" s="61" t="str">
        <f>IFERROR(__xludf.DUMMYFUNCTION("REGEXREPLACE(G939, ""_[a-z]{1,2}$"", """")"),"Boyce_etal2023166")</f>
        <v>Boyce_etal2023166</v>
      </c>
      <c r="BD939" s="68" t="s">
        <v>153</v>
      </c>
      <c r="BE939" s="62" t="s">
        <v>144</v>
      </c>
    </row>
    <row r="940">
      <c r="A940" s="44">
        <v>940.0</v>
      </c>
      <c r="B940" s="129" t="s">
        <v>152</v>
      </c>
      <c r="C940" s="62" t="s">
        <v>115</v>
      </c>
      <c r="D940" s="62" t="s">
        <v>153</v>
      </c>
      <c r="F940" s="68" t="s">
        <v>5144</v>
      </c>
      <c r="G940" s="159" t="s">
        <v>5158</v>
      </c>
      <c r="H940" s="159" t="s">
        <v>153</v>
      </c>
      <c r="I940" s="152">
        <v>45687.0</v>
      </c>
      <c r="J940" s="152">
        <v>45692.0</v>
      </c>
      <c r="K940" s="1055" t="s">
        <v>5159</v>
      </c>
      <c r="L940" s="68"/>
      <c r="M940" s="159" t="s">
        <v>5145</v>
      </c>
      <c r="N940" s="159" t="s">
        <v>5146</v>
      </c>
      <c r="O940" s="156">
        <v>2.0</v>
      </c>
      <c r="P940" s="606" t="str">
        <f t="shared" si="52"/>
        <v>10.1177--0956797613508412.pdf</v>
      </c>
      <c r="Q940" s="52" t="str">
        <f t="array" ref="Q940"> if(iserror(MATCH(V940, 'File Links'!C:C, 0)), "N/A", HYPERLINK(INDEX('File Links'!B:B, MATCH(P940, 'File Links'!C:C, 0))))</f>
        <v>https://drive.google.com/file/d/1VYqvNkQuJmP378cGj71lJ4JV-clMH0Yv/view?usp=drivesdk</v>
      </c>
      <c r="R940" s="606" t="s">
        <v>3653</v>
      </c>
      <c r="S940" s="159" t="s">
        <v>3654</v>
      </c>
      <c r="T940" s="441" t="s">
        <v>5152</v>
      </c>
      <c r="U940" s="156">
        <v>1.0</v>
      </c>
      <c r="V940" s="198" t="str">
        <f t="shared" si="50"/>
        <v>10.1098--rsos.231240.pdf</v>
      </c>
      <c r="W940" s="159" t="s">
        <v>3807</v>
      </c>
      <c r="X940" s="54" t="str">
        <f t="array" ref="X940"> if(iserror(MATCH(V940, 'File Links'!C:C, 0)), "N/A", HYPERLINK(INDEX('File Links'!B:B, MATCH(V940, 'File Links'!C:C, 0))))</f>
        <v>https://drive.google.com/file/d/17gaf2Zy_ljFfcAEDk5L8GBnTl5i7RGJE/view?usp=drivesdk</v>
      </c>
      <c r="Y940" s="68"/>
      <c r="Z940" s="159" t="s">
        <v>226</v>
      </c>
      <c r="AA940" s="159" t="s">
        <v>5153</v>
      </c>
      <c r="AB940" s="159" t="s">
        <v>5154</v>
      </c>
      <c r="AC940" s="159" t="s">
        <v>5160</v>
      </c>
      <c r="AD940" s="159" t="s">
        <v>5161</v>
      </c>
      <c r="AE940" s="156">
        <v>4.0</v>
      </c>
      <c r="AF940" s="156">
        <v>168.0</v>
      </c>
      <c r="AG940" s="336">
        <v>0.45</v>
      </c>
      <c r="AH940" s="156" t="s">
        <v>987</v>
      </c>
      <c r="AI940" s="156" t="s">
        <v>850</v>
      </c>
      <c r="AJ940" s="156">
        <v>0.001</v>
      </c>
      <c r="AK940" s="159" t="s">
        <v>135</v>
      </c>
      <c r="AL940" s="159" t="s">
        <v>136</v>
      </c>
      <c r="AM940" s="159" t="s">
        <v>141</v>
      </c>
      <c r="AN940" s="151" t="s">
        <v>138</v>
      </c>
      <c r="AO940" s="156">
        <v>37.0</v>
      </c>
      <c r="AP940" s="1296">
        <v>0.8471</v>
      </c>
      <c r="AQ940" s="161" t="s">
        <v>361</v>
      </c>
      <c r="AR940" s="441" t="s">
        <v>5152</v>
      </c>
      <c r="AS940" s="1117">
        <v>0.0114</v>
      </c>
      <c r="AT940" s="159" t="s">
        <v>172</v>
      </c>
      <c r="AU940" s="159" t="s">
        <v>186</v>
      </c>
      <c r="AV940" s="159" t="s">
        <v>141</v>
      </c>
      <c r="AW940" s="441" t="s">
        <v>5157</v>
      </c>
      <c r="AX940" s="68" t="s">
        <v>143</v>
      </c>
      <c r="AY940" s="61" t="str">
        <f>IFERROR(__xludf.DUMMYFUNCTION("vlookup(BB940,importrange(""https://docs.google.com/spreadsheets/d/1d2vevQ_7D_v35q4wCQ4RpQ_IPoTwEMB9Yp6ymwlPqew/edit?gid=984458430#gid=984458430"", ""'replication success'!A:K""), 11, FAlSE)"),"#N/A")</f>
        <v>#N/A</v>
      </c>
      <c r="AZ940" s="61" t="str">
        <f>IFERROR(__xludf.DUMMYFUNCTION("vlookup(BB940,importrange(""https://docs.google.com/spreadsheets/d/1d2vevQ_7D_v35q4wCQ4RpQ_IPoTwEMB9Yp6ymwlPqew/edit?gid=984458430#gid=984458430"", ""'replication success'!A:M""), 12, FAlSE)"),"#N/A")</f>
        <v>#N/A</v>
      </c>
      <c r="BA940" s="61" t="str">
        <f>IFERROR(__xludf.DUMMYFUNCTION("vlookup(BB940,importrange(""https://docs.google.com/spreadsheets/d/1d2vevQ_7D_v35q4wCQ4RpQ_IPoTwEMB9Yp6ymwlPqew/edit?gid=984458430#gid=984458430"", ""'replication success'!A:M""), 13, FAlSE)"),"#N/A")</f>
        <v>#N/A</v>
      </c>
      <c r="BB940" s="61" t="str">
        <f>IFERROR(__xludf.DUMMYFUNCTION("REGEXREPLACE(G940, ""_[a-z]{1,2}$"", """")"),"Boyce_etal2023166")</f>
        <v>Boyce_etal2023166</v>
      </c>
      <c r="BD940" s="68" t="s">
        <v>153</v>
      </c>
      <c r="BE940" s="62" t="s">
        <v>144</v>
      </c>
    </row>
    <row r="941">
      <c r="A941" s="44">
        <v>941.0</v>
      </c>
      <c r="B941" s="129" t="s">
        <v>152</v>
      </c>
      <c r="C941" s="62" t="s">
        <v>115</v>
      </c>
      <c r="D941" s="62" t="s">
        <v>153</v>
      </c>
      <c r="F941" s="68" t="s">
        <v>5144</v>
      </c>
      <c r="G941" s="159" t="s">
        <v>5162</v>
      </c>
      <c r="H941" s="159" t="s">
        <v>153</v>
      </c>
      <c r="I941" s="152">
        <v>45687.0</v>
      </c>
      <c r="J941" s="152">
        <v>45692.0</v>
      </c>
      <c r="K941" s="1055" t="s">
        <v>5163</v>
      </c>
      <c r="L941" s="68"/>
      <c r="M941" s="159" t="s">
        <v>5145</v>
      </c>
      <c r="N941" s="159" t="s">
        <v>5146</v>
      </c>
      <c r="O941" s="156">
        <v>2.0</v>
      </c>
      <c r="P941" s="606" t="str">
        <f t="shared" si="52"/>
        <v>10.1177--0956797613508412.pdf</v>
      </c>
      <c r="Q941" s="52" t="str">
        <f t="array" ref="Q941"> if(iserror(MATCH(V941, 'File Links'!C:C, 0)), "N/A", HYPERLINK(INDEX('File Links'!B:B, MATCH(P941, 'File Links'!C:C, 0))))</f>
        <v>https://drive.google.com/file/d/1VYqvNkQuJmP378cGj71lJ4JV-clMH0Yv/view?usp=drivesdk</v>
      </c>
      <c r="R941" s="606" t="s">
        <v>3653</v>
      </c>
      <c r="S941" s="159" t="s">
        <v>3654</v>
      </c>
      <c r="T941" s="441" t="s">
        <v>5152</v>
      </c>
      <c r="U941" s="156">
        <v>1.0</v>
      </c>
      <c r="V941" s="198" t="str">
        <f t="shared" si="50"/>
        <v>10.1098--rsos.231240.pdf</v>
      </c>
      <c r="W941" s="159" t="s">
        <v>3807</v>
      </c>
      <c r="X941" s="54" t="str">
        <f t="array" ref="X941"> if(iserror(MATCH(V941, 'File Links'!C:C, 0)), "N/A", HYPERLINK(INDEX('File Links'!B:B, MATCH(V941, 'File Links'!C:C, 0))))</f>
        <v>https://drive.google.com/file/d/17gaf2Zy_ljFfcAEDk5L8GBnTl5i7RGJE/view?usp=drivesdk</v>
      </c>
      <c r="Y941" s="68"/>
      <c r="Z941" s="159" t="s">
        <v>226</v>
      </c>
      <c r="AA941" s="159" t="s">
        <v>5153</v>
      </c>
      <c r="AB941" s="159" t="s">
        <v>5154</v>
      </c>
      <c r="AC941" s="159" t="s">
        <v>5164</v>
      </c>
      <c r="AD941" s="159" t="s">
        <v>5165</v>
      </c>
      <c r="AE941" s="156">
        <v>4.0</v>
      </c>
      <c r="AF941" s="156">
        <v>168.0</v>
      </c>
      <c r="AG941" s="336">
        <v>0.1</v>
      </c>
      <c r="AH941" s="156" t="s">
        <v>987</v>
      </c>
      <c r="AI941" s="156" t="s">
        <v>850</v>
      </c>
      <c r="AJ941" s="336">
        <v>0.56</v>
      </c>
      <c r="AK941" s="159" t="s">
        <v>172</v>
      </c>
      <c r="AL941" s="159" t="s">
        <v>136</v>
      </c>
      <c r="AM941" s="159" t="s">
        <v>141</v>
      </c>
      <c r="AN941" s="151" t="s">
        <v>138</v>
      </c>
      <c r="AO941" s="156">
        <v>37.0</v>
      </c>
      <c r="AP941" s="1296">
        <v>0.1525</v>
      </c>
      <c r="AQ941" s="161" t="s">
        <v>361</v>
      </c>
      <c r="AR941" s="441" t="s">
        <v>5152</v>
      </c>
      <c r="AS941" s="1117">
        <v>0.7317</v>
      </c>
      <c r="AT941" s="159" t="s">
        <v>172</v>
      </c>
      <c r="AU941" s="159" t="s">
        <v>186</v>
      </c>
      <c r="AV941" s="159" t="s">
        <v>141</v>
      </c>
      <c r="AW941" s="441" t="s">
        <v>5157</v>
      </c>
      <c r="AX941" s="68" t="s">
        <v>143</v>
      </c>
      <c r="AY941" s="61" t="str">
        <f>IFERROR(__xludf.DUMMYFUNCTION("vlookup(BB941,importrange(""https://docs.google.com/spreadsheets/d/1d2vevQ_7D_v35q4wCQ4RpQ_IPoTwEMB9Yp6ymwlPqew/edit?gid=984458430#gid=984458430"", ""'replication success'!A:K""), 11, FAlSE)"),"#N/A")</f>
        <v>#N/A</v>
      </c>
      <c r="AZ941" s="61" t="str">
        <f>IFERROR(__xludf.DUMMYFUNCTION("vlookup(BB941,importrange(""https://docs.google.com/spreadsheets/d/1d2vevQ_7D_v35q4wCQ4RpQ_IPoTwEMB9Yp6ymwlPqew/edit?gid=984458430#gid=984458430"", ""'replication success'!A:M""), 12, FAlSE)"),"#N/A")</f>
        <v>#N/A</v>
      </c>
      <c r="BA941" s="61" t="str">
        <f>IFERROR(__xludf.DUMMYFUNCTION("vlookup(BB941,importrange(""https://docs.google.com/spreadsheets/d/1d2vevQ_7D_v35q4wCQ4RpQ_IPoTwEMB9Yp6ymwlPqew/edit?gid=984458430#gid=984458430"", ""'replication success'!A:M""), 13, FAlSE)"),"#N/A")</f>
        <v>#N/A</v>
      </c>
      <c r="BB941" s="61" t="str">
        <f>IFERROR(__xludf.DUMMYFUNCTION("REGEXREPLACE(G941, ""_[a-z]{1,2}$"", """")"),"Boyce_etal2023166")</f>
        <v>Boyce_etal2023166</v>
      </c>
      <c r="BD941" s="68" t="s">
        <v>153</v>
      </c>
      <c r="BE941" s="62" t="s">
        <v>144</v>
      </c>
    </row>
    <row r="942">
      <c r="A942" s="44">
        <v>942.0</v>
      </c>
      <c r="B942" s="68" t="s">
        <v>590</v>
      </c>
      <c r="C942" s="62" t="s">
        <v>115</v>
      </c>
      <c r="D942" s="62" t="s">
        <v>153</v>
      </c>
      <c r="F942" s="68" t="s">
        <v>5166</v>
      </c>
      <c r="G942" s="159" t="s">
        <v>5167</v>
      </c>
      <c r="H942" s="159" t="s">
        <v>153</v>
      </c>
      <c r="I942" s="152">
        <v>45687.0</v>
      </c>
      <c r="J942" s="152">
        <v>45692.0</v>
      </c>
      <c r="K942" s="437" t="s">
        <v>5168</v>
      </c>
      <c r="L942" s="68"/>
      <c r="M942" s="159" t="s">
        <v>5169</v>
      </c>
      <c r="N942" s="159" t="s">
        <v>5170</v>
      </c>
      <c r="O942" s="156">
        <v>8.0</v>
      </c>
      <c r="P942" s="606" t="str">
        <f t="shared" si="52"/>
        <v>10.1126--science.1250830.pdf</v>
      </c>
      <c r="Q942" s="52" t="str">
        <f t="array" ref="Q942"> if(iserror(MATCH(V942, 'File Links'!C:C, 0)), "N/A", HYPERLINK(INDEX('File Links'!B:B, MATCH(P942, 'File Links'!C:C, 0))))</f>
        <v>https://drive.google.com/file/d/164yvRbDzBp4QTOt60ne0zLFnKfzz6qWW/view?usp=drivesdk</v>
      </c>
      <c r="R942" s="606" t="s">
        <v>3653</v>
      </c>
      <c r="S942" s="159" t="s">
        <v>3654</v>
      </c>
      <c r="T942" s="68"/>
      <c r="U942" s="156">
        <v>1.0</v>
      </c>
      <c r="V942" s="198" t="str">
        <f t="shared" si="50"/>
        <v>10.1098--rsos.231240.pdf</v>
      </c>
      <c r="W942" s="159" t="s">
        <v>3671</v>
      </c>
      <c r="X942" s="54" t="str">
        <f t="array" ref="X942"> if(iserror(MATCH(V942, 'File Links'!C:C, 0)), "N/A", HYPERLINK(INDEX('File Links'!B:B, MATCH(V942, 'File Links'!C:C, 0))))</f>
        <v>https://drive.google.com/file/d/17gaf2Zy_ljFfcAEDk5L8GBnTl5i7RGJE/view?usp=drivesdk</v>
      </c>
      <c r="Y942" s="68"/>
      <c r="Z942" s="159" t="s">
        <v>226</v>
      </c>
      <c r="AA942" s="159" t="s">
        <v>5171</v>
      </c>
      <c r="AB942" s="159" t="s">
        <v>5172</v>
      </c>
      <c r="AC942" s="159" t="s">
        <v>5173</v>
      </c>
      <c r="AD942" s="159" t="s">
        <v>5174</v>
      </c>
      <c r="AE942" s="156">
        <v>3.0</v>
      </c>
      <c r="AF942" s="156">
        <v>30.0</v>
      </c>
      <c r="AG942" s="156" t="s">
        <v>5175</v>
      </c>
      <c r="AH942" s="156" t="s">
        <v>134</v>
      </c>
      <c r="AI942" s="156" t="s">
        <v>217</v>
      </c>
      <c r="AJ942" s="156">
        <v>0.001</v>
      </c>
      <c r="AK942" s="159" t="s">
        <v>135</v>
      </c>
      <c r="AL942" s="159" t="s">
        <v>136</v>
      </c>
      <c r="AM942" s="68" t="s">
        <v>137</v>
      </c>
      <c r="AN942" s="151" t="s">
        <v>138</v>
      </c>
      <c r="AO942" s="156">
        <v>52.0</v>
      </c>
      <c r="AP942" s="156">
        <v>1.68033610083361</v>
      </c>
      <c r="AQ942" s="156" t="s">
        <v>173</v>
      </c>
      <c r="AR942" s="68"/>
      <c r="AS942" s="156">
        <f>IFERROR(__xludf.DUMMYFUNCTION("2.34043039062105*10^-7"),2.3404303906210502E-7)</f>
        <v>0.0000002340430391</v>
      </c>
      <c r="AT942" s="159" t="s">
        <v>172</v>
      </c>
      <c r="AU942" s="159" t="s">
        <v>136</v>
      </c>
      <c r="AV942" s="68" t="s">
        <v>137</v>
      </c>
      <c r="AW942" s="68"/>
      <c r="AX942" s="68" t="s">
        <v>143</v>
      </c>
      <c r="AY942" s="61" t="str">
        <f>IFERROR(__xludf.DUMMYFUNCTION("vlookup(BB942,importrange(""https://docs.google.com/spreadsheets/d/1d2vevQ_7D_v35q4wCQ4RpQ_IPoTwEMB9Yp6ymwlPqew/edit?gid=984458430#gid=984458430"", ""'replication success'!A:K""), 11, FAlSE)"),"#N/A")</f>
        <v>#N/A</v>
      </c>
      <c r="AZ942" s="61" t="str">
        <f>IFERROR(__xludf.DUMMYFUNCTION("vlookup(BB942,importrange(""https://docs.google.com/spreadsheets/d/1d2vevQ_7D_v35q4wCQ4RpQ_IPoTwEMB9Yp6ymwlPqew/edit?gid=984458430#gid=984458430"", ""'replication success'!A:M""), 12, FAlSE)"),"#N/A")</f>
        <v>#N/A</v>
      </c>
      <c r="BA942" s="61" t="str">
        <f>IFERROR(__xludf.DUMMYFUNCTION("vlookup(BB942,importrange(""https://docs.google.com/spreadsheets/d/1d2vevQ_7D_v35q4wCQ4RpQ_IPoTwEMB9Yp6ymwlPqew/edit?gid=984458430#gid=984458430"", ""'replication success'!A:M""), 13, FAlSE)"),"#N/A")</f>
        <v>#N/A</v>
      </c>
      <c r="BB942" s="61" t="str">
        <f>IFERROR(__xludf.DUMMYFUNCTION("REGEXREPLACE(G942, ""_[a-z]{1,2}$"", """")"),"Boyce_etal2023167")</f>
        <v>Boyce_etal2023167</v>
      </c>
      <c r="BD942" s="68" t="s">
        <v>153</v>
      </c>
    </row>
    <row r="943">
      <c r="A943" s="44">
        <v>943.0</v>
      </c>
      <c r="B943" s="68" t="s">
        <v>114</v>
      </c>
      <c r="C943" s="62" t="s">
        <v>115</v>
      </c>
      <c r="D943" s="62" t="s">
        <v>248</v>
      </c>
      <c r="F943" s="159" t="s">
        <v>5176</v>
      </c>
      <c r="G943" s="159" t="s">
        <v>5177</v>
      </c>
      <c r="H943" s="159" t="s">
        <v>249</v>
      </c>
      <c r="I943" s="152">
        <v>45672.0</v>
      </c>
      <c r="J943" s="152">
        <v>45692.0</v>
      </c>
      <c r="K943" s="437" t="s">
        <v>5178</v>
      </c>
      <c r="L943" s="68"/>
      <c r="M943" s="159" t="s">
        <v>5179</v>
      </c>
      <c r="N943" s="159" t="s">
        <v>5180</v>
      </c>
      <c r="O943" s="68"/>
      <c r="P943" s="606" t="str">
        <f t="shared" si="52"/>
        <v>10.1016--j.obhdp.2010.10.001.pdf</v>
      </c>
      <c r="Q943" s="52" t="str">
        <f t="array" ref="Q943"> if(iserror(MATCH(V943, 'File Links'!C:C, 0)), "N/A", HYPERLINK(INDEX('File Links'!B:B, MATCH(P943, 'File Links'!C:C, 0))))</f>
        <v>https://drive.google.com/file/d/1zCYZDaOwE-K33Jkam-tMneBjxjoNVHza/view?usp=drivesdk</v>
      </c>
      <c r="R943" s="606" t="s">
        <v>3653</v>
      </c>
      <c r="S943" s="159" t="s">
        <v>3654</v>
      </c>
      <c r="T943" s="68"/>
      <c r="U943" s="156">
        <v>1.0</v>
      </c>
      <c r="V943" s="198" t="str">
        <f t="shared" si="50"/>
        <v>10.1098--rsos.231240.pdf</v>
      </c>
      <c r="W943" s="159" t="s">
        <v>3665</v>
      </c>
      <c r="X943" s="54" t="str">
        <f t="array" ref="X943"> if(iserror(MATCH(V943, 'File Links'!C:C, 0)), "N/A", HYPERLINK(INDEX('File Links'!B:B, MATCH(V943, 'File Links'!C:C, 0))))</f>
        <v>https://drive.google.com/file/d/17gaf2Zy_ljFfcAEDk5L8GBnTl5i7RGJE/view?usp=drivesdk</v>
      </c>
      <c r="Y943" s="68"/>
      <c r="Z943" s="159" t="s">
        <v>226</v>
      </c>
      <c r="AA943" s="68"/>
      <c r="AB943" s="68"/>
      <c r="AC943" s="68"/>
      <c r="AD943" s="159" t="s">
        <v>138</v>
      </c>
      <c r="AE943" s="159" t="s">
        <v>138</v>
      </c>
      <c r="AF943" s="156">
        <v>127.0</v>
      </c>
      <c r="AG943" s="159" t="s">
        <v>138</v>
      </c>
      <c r="AH943" s="68"/>
      <c r="AI943" s="159" t="s">
        <v>138</v>
      </c>
      <c r="AJ943" s="159" t="s">
        <v>138</v>
      </c>
      <c r="AK943" s="68"/>
      <c r="AL943" s="159" t="s">
        <v>186</v>
      </c>
      <c r="AM943" s="159" t="s">
        <v>1905</v>
      </c>
      <c r="AN943" s="151" t="s">
        <v>138</v>
      </c>
      <c r="AO943" s="156">
        <v>36.0</v>
      </c>
      <c r="AP943" s="159" t="s">
        <v>138</v>
      </c>
      <c r="AQ943" s="68"/>
      <c r="AR943" s="68"/>
      <c r="AS943" s="159" t="s">
        <v>138</v>
      </c>
      <c r="AT943" s="68"/>
      <c r="AU943" s="159" t="s">
        <v>186</v>
      </c>
      <c r="AV943" s="159" t="s">
        <v>1905</v>
      </c>
      <c r="AW943" s="68"/>
      <c r="AX943" s="159" t="s">
        <v>143</v>
      </c>
      <c r="AY943" s="61" t="str">
        <f>IFERROR(__xludf.DUMMYFUNCTION("vlookup(BB943,importrange(""https://docs.google.com/spreadsheets/d/1d2vevQ_7D_v35q4wCQ4RpQ_IPoTwEMB9Yp6ymwlPqew/edit?gid=984458430#gid=984458430"", ""'replication success'!A:K""), 11, FAlSE)"),"#N/A")</f>
        <v>#N/A</v>
      </c>
      <c r="AZ943" s="61" t="str">
        <f>IFERROR(__xludf.DUMMYFUNCTION("vlookup(BB943,importrange(""https://docs.google.com/spreadsheets/d/1d2vevQ_7D_v35q4wCQ4RpQ_IPoTwEMB9Yp6ymwlPqew/edit?gid=984458430#gid=984458430"", ""'replication success'!A:M""), 12, FAlSE)"),"#N/A")</f>
        <v>#N/A</v>
      </c>
      <c r="BA943" s="61" t="str">
        <f>IFERROR(__xludf.DUMMYFUNCTION("vlookup(BB943,importrange(""https://docs.google.com/spreadsheets/d/1d2vevQ_7D_v35q4wCQ4RpQ_IPoTwEMB9Yp6ymwlPqew/edit?gid=984458430#gid=984458430"", ""'replication success'!A:M""), 13, FAlSE)"),"#N/A")</f>
        <v>#N/A</v>
      </c>
      <c r="BB943" s="61" t="str">
        <f>IFERROR(__xludf.DUMMYFUNCTION("REGEXREPLACE(G943, ""_[a-z]{1,2}$"", """")"),"Boyce_etal2023168_1")</f>
        <v>Boyce_etal2023168_1</v>
      </c>
      <c r="BD943" s="68" t="s">
        <v>153</v>
      </c>
    </row>
    <row r="944">
      <c r="A944" s="44">
        <v>944.0</v>
      </c>
      <c r="B944" s="68" t="s">
        <v>590</v>
      </c>
      <c r="C944" s="62" t="s">
        <v>115</v>
      </c>
      <c r="D944" s="62" t="s">
        <v>153</v>
      </c>
      <c r="F944" s="68" t="s">
        <v>5177</v>
      </c>
      <c r="G944" s="159" t="s">
        <v>5176</v>
      </c>
      <c r="H944" s="159" t="s">
        <v>153</v>
      </c>
      <c r="I944" s="152">
        <v>45687.0</v>
      </c>
      <c r="J944" s="152">
        <v>45692.0</v>
      </c>
      <c r="K944" s="1055" t="s">
        <v>5181</v>
      </c>
      <c r="L944" s="68"/>
      <c r="M944" s="159" t="s">
        <v>5179</v>
      </c>
      <c r="N944" s="159" t="s">
        <v>5180</v>
      </c>
      <c r="O944" s="156">
        <v>2.0</v>
      </c>
      <c r="P944" s="606" t="str">
        <f t="shared" si="52"/>
        <v>10.1016--j.obhdp.2010.10.001.pdf</v>
      </c>
      <c r="Q944" s="52" t="str">
        <f t="array" ref="Q944"> if(iserror(MATCH(V944, 'File Links'!C:C, 0)), "N/A", HYPERLINK(INDEX('File Links'!B:B, MATCH(P944, 'File Links'!C:C, 0))))</f>
        <v>https://drive.google.com/file/d/1zCYZDaOwE-K33Jkam-tMneBjxjoNVHza/view?usp=drivesdk</v>
      </c>
      <c r="R944" s="606" t="s">
        <v>3653</v>
      </c>
      <c r="S944" s="159" t="s">
        <v>3654</v>
      </c>
      <c r="T944" s="68"/>
      <c r="U944" s="156">
        <v>1.0</v>
      </c>
      <c r="V944" s="198" t="str">
        <f t="shared" si="50"/>
        <v>10.1098--rsos.231240.pdf</v>
      </c>
      <c r="W944" s="159" t="s">
        <v>4640</v>
      </c>
      <c r="X944" s="54" t="str">
        <f t="array" ref="X944"> if(iserror(MATCH(V944, 'File Links'!C:C, 0)), "N/A", HYPERLINK(INDEX('File Links'!B:B, MATCH(V944, 'File Links'!C:C, 0))))</f>
        <v>https://drive.google.com/file/d/17gaf2Zy_ljFfcAEDk5L8GBnTl5i7RGJE/view?usp=drivesdk</v>
      </c>
      <c r="Y944" s="68"/>
      <c r="Z944" s="159" t="s">
        <v>947</v>
      </c>
      <c r="AA944" s="159" t="s">
        <v>5182</v>
      </c>
      <c r="AB944" s="159" t="s">
        <v>5183</v>
      </c>
      <c r="AC944" s="159" t="s">
        <v>5184</v>
      </c>
      <c r="AD944" s="159" t="s">
        <v>5185</v>
      </c>
      <c r="AE944" s="156">
        <v>5.0</v>
      </c>
      <c r="AF944" s="156">
        <v>127.0</v>
      </c>
      <c r="AG944" s="161" t="s">
        <v>5186</v>
      </c>
      <c r="AH944" s="156" t="s">
        <v>134</v>
      </c>
      <c r="AI944" s="156" t="s">
        <v>813</v>
      </c>
      <c r="AJ944" s="156">
        <v>0.02</v>
      </c>
      <c r="AK944" s="159" t="s">
        <v>172</v>
      </c>
      <c r="AL944" s="159" t="s">
        <v>186</v>
      </c>
      <c r="AM944" s="159" t="s">
        <v>1905</v>
      </c>
      <c r="AN944" s="151" t="s">
        <v>138</v>
      </c>
      <c r="AO944" s="156">
        <v>36.0</v>
      </c>
      <c r="AP944" s="161" t="s">
        <v>5187</v>
      </c>
      <c r="AQ944" s="156" t="s">
        <v>134</v>
      </c>
      <c r="AR944" s="156" t="s">
        <v>140</v>
      </c>
      <c r="AS944" s="156">
        <v>1.0</v>
      </c>
      <c r="AT944" s="159" t="s">
        <v>172</v>
      </c>
      <c r="AU944" s="159" t="s">
        <v>186</v>
      </c>
      <c r="AV944" s="159" t="s">
        <v>1905</v>
      </c>
      <c r="AW944" s="68"/>
      <c r="AX944" s="68" t="s">
        <v>151</v>
      </c>
      <c r="AY944" s="61" t="str">
        <f>IFERROR(__xludf.DUMMYFUNCTION("vlookup(BB944,importrange(""https://docs.google.com/spreadsheets/d/1d2vevQ_7D_v35q4wCQ4RpQ_IPoTwEMB9Yp6ymwlPqew/edit?gid=984458430#gid=984458430"", ""'replication success'!A:K""), 11, FAlSE)"),"#N/A")</f>
        <v>#N/A</v>
      </c>
      <c r="AZ944" s="61" t="str">
        <f>IFERROR(__xludf.DUMMYFUNCTION("vlookup(BB944,importrange(""https://docs.google.com/spreadsheets/d/1d2vevQ_7D_v35q4wCQ4RpQ_IPoTwEMB9Yp6ymwlPqew/edit?gid=984458430#gid=984458430"", ""'replication success'!A:M""), 12, FAlSE)"),"#N/A")</f>
        <v>#N/A</v>
      </c>
      <c r="BA944" s="61" t="str">
        <f>IFERROR(__xludf.DUMMYFUNCTION("vlookup(BB944,importrange(""https://docs.google.com/spreadsheets/d/1d2vevQ_7D_v35q4wCQ4RpQ_IPoTwEMB9Yp6ymwlPqew/edit?gid=984458430#gid=984458430"", ""'replication success'!A:M""), 13, FAlSE)"),"#N/A")</f>
        <v>#N/A</v>
      </c>
      <c r="BB944" s="61" t="str">
        <f>IFERROR(__xludf.DUMMYFUNCTION("REGEXREPLACE(G944, ""_[a-z]{1,2}$"", """")"),"Boyce_etal2023168")</f>
        <v>Boyce_etal2023168</v>
      </c>
      <c r="BD944" s="68" t="s">
        <v>153</v>
      </c>
    </row>
    <row r="945">
      <c r="A945" s="44">
        <v>945.0</v>
      </c>
      <c r="B945" s="68" t="s">
        <v>114</v>
      </c>
      <c r="C945" s="62" t="s">
        <v>115</v>
      </c>
      <c r="D945" s="62" t="s">
        <v>248</v>
      </c>
      <c r="F945" s="159" t="s">
        <v>5188</v>
      </c>
      <c r="G945" s="159" t="s">
        <v>5189</v>
      </c>
      <c r="H945" s="159" t="s">
        <v>249</v>
      </c>
      <c r="I945" s="152">
        <v>45673.0</v>
      </c>
      <c r="J945" s="152">
        <v>45692.0</v>
      </c>
      <c r="K945" s="68"/>
      <c r="L945" s="68" t="s">
        <v>3690</v>
      </c>
      <c r="M945" s="159" t="s">
        <v>5190</v>
      </c>
      <c r="N945" s="159" t="s">
        <v>5191</v>
      </c>
      <c r="O945" s="68"/>
      <c r="P945" s="606" t="str">
        <f t="shared" si="52"/>
        <v>10.1177--0956797615585002.pdf</v>
      </c>
      <c r="Q945" s="52" t="str">
        <f t="array" ref="Q945"> if(iserror(MATCH(V945, 'File Links'!C:C, 0)), "N/A", HYPERLINK(INDEX('File Links'!B:B, MATCH(P945, 'File Links'!C:C, 0))))</f>
        <v>https://drive.google.com/file/d/1hlj_PiSmruASavYOS4OPpCrR4tKfol15/view?usp=drivesdk</v>
      </c>
      <c r="R945" s="606" t="s">
        <v>3653</v>
      </c>
      <c r="S945" s="159" t="s">
        <v>3654</v>
      </c>
      <c r="T945" s="68"/>
      <c r="U945" s="156">
        <v>1.0</v>
      </c>
      <c r="V945" s="198" t="str">
        <f t="shared" si="50"/>
        <v>10.1098--rsos.231240.pdf</v>
      </c>
      <c r="W945" s="159" t="s">
        <v>324</v>
      </c>
      <c r="X945" s="54" t="str">
        <f t="array" ref="X945"> if(iserror(MATCH(V945, 'File Links'!C:C, 0)), "N/A", HYPERLINK(INDEX('File Links'!B:B, MATCH(V945, 'File Links'!C:C, 0))))</f>
        <v>https://drive.google.com/file/d/17gaf2Zy_ljFfcAEDk5L8GBnTl5i7RGJE/view?usp=drivesdk</v>
      </c>
      <c r="Y945" s="68"/>
      <c r="Z945" s="159" t="s">
        <v>148</v>
      </c>
      <c r="AA945" s="68"/>
      <c r="AB945" s="159" t="s">
        <v>4471</v>
      </c>
      <c r="AC945" s="68"/>
      <c r="AD945" s="159" t="s">
        <v>5192</v>
      </c>
      <c r="AE945" s="1059">
        <v>1272.0</v>
      </c>
      <c r="AF945" s="156">
        <v>12.0</v>
      </c>
      <c r="AG945" s="156">
        <v>32.04</v>
      </c>
      <c r="AH945" s="159" t="s">
        <v>1031</v>
      </c>
      <c r="AI945" s="1059">
        <v>1274.0</v>
      </c>
      <c r="AJ945" s="156">
        <v>0.001</v>
      </c>
      <c r="AK945" s="159" t="s">
        <v>135</v>
      </c>
      <c r="AL945" s="159" t="s">
        <v>186</v>
      </c>
      <c r="AM945" s="159" t="s">
        <v>141</v>
      </c>
      <c r="AN945" s="151" t="s">
        <v>138</v>
      </c>
      <c r="AO945" s="156">
        <v>30.0</v>
      </c>
      <c r="AP945" s="1243">
        <v>0.374440967926238</v>
      </c>
      <c r="AQ945" s="159" t="s">
        <v>173</v>
      </c>
      <c r="AR945" s="68"/>
      <c r="AS945" s="1243">
        <v>0.067319915476862</v>
      </c>
      <c r="AT945" s="159" t="s">
        <v>172</v>
      </c>
      <c r="AU945" s="159" t="s">
        <v>186</v>
      </c>
      <c r="AV945" s="159" t="s">
        <v>141</v>
      </c>
      <c r="AW945" s="68"/>
      <c r="AX945" s="159" t="s">
        <v>143</v>
      </c>
      <c r="AY945" s="61" t="str">
        <f>IFERROR(__xludf.DUMMYFUNCTION("vlookup(BB945,importrange(""https://docs.google.com/spreadsheets/d/1d2vevQ_7D_v35q4wCQ4RpQ_IPoTwEMB9Yp6ymwlPqew/edit?gid=984458430#gid=984458430"", ""'replication success'!A:K""), 11, FAlSE)"),"#N/A")</f>
        <v>#N/A</v>
      </c>
      <c r="AZ945" s="61" t="str">
        <f>IFERROR(__xludf.DUMMYFUNCTION("vlookup(BB945,importrange(""https://docs.google.com/spreadsheets/d/1d2vevQ_7D_v35q4wCQ4RpQ_IPoTwEMB9Yp6ymwlPqew/edit?gid=984458430#gid=984458430"", ""'replication success'!A:M""), 12, FAlSE)"),"#N/A")</f>
        <v>#N/A</v>
      </c>
      <c r="BA945" s="61" t="str">
        <f>IFERROR(__xludf.DUMMYFUNCTION("vlookup(BB945,importrange(""https://docs.google.com/spreadsheets/d/1d2vevQ_7D_v35q4wCQ4RpQ_IPoTwEMB9Yp6ymwlPqew/edit?gid=984458430#gid=984458430"", ""'replication success'!A:M""), 13, FAlSE)"),"#N/A")</f>
        <v>#N/A</v>
      </c>
      <c r="BB945" s="61" t="str">
        <f>IFERROR(__xludf.DUMMYFUNCTION("REGEXREPLACE(G945, ""_[a-z]{1,2}$"", """")"),"Boyce_etal2023169_1")</f>
        <v>Boyce_etal2023169_1</v>
      </c>
      <c r="BD945" s="68" t="s">
        <v>153</v>
      </c>
    </row>
    <row r="946">
      <c r="A946" s="44">
        <v>946.0</v>
      </c>
      <c r="B946" s="129" t="s">
        <v>152</v>
      </c>
      <c r="C946" s="62" t="s">
        <v>115</v>
      </c>
      <c r="D946" s="62" t="s">
        <v>153</v>
      </c>
      <c r="F946" s="68" t="s">
        <v>5189</v>
      </c>
      <c r="G946" s="159" t="s">
        <v>5188</v>
      </c>
      <c r="H946" s="159" t="s">
        <v>153</v>
      </c>
      <c r="I946" s="152">
        <v>45687.0</v>
      </c>
      <c r="J946" s="152">
        <v>45692.0</v>
      </c>
      <c r="K946" s="1055" t="s">
        <v>5193</v>
      </c>
      <c r="L946" s="68"/>
      <c r="M946" s="159" t="s">
        <v>5190</v>
      </c>
      <c r="N946" s="159" t="s">
        <v>5191</v>
      </c>
      <c r="O946" s="156" t="s">
        <v>4092</v>
      </c>
      <c r="P946" s="606" t="str">
        <f t="shared" si="52"/>
        <v>10.1177--0956797615585002.pdf</v>
      </c>
      <c r="Q946" s="52" t="str">
        <f t="array" ref="Q946"> if(iserror(MATCH(V946, 'File Links'!C:C, 0)), "N/A", HYPERLINK(INDEX('File Links'!B:B, MATCH(P946, 'File Links'!C:C, 0))))</f>
        <v>https://drive.google.com/file/d/1hlj_PiSmruASavYOS4OPpCrR4tKfol15/view?usp=drivesdk</v>
      </c>
      <c r="R946" s="606" t="s">
        <v>3653</v>
      </c>
      <c r="S946" s="159" t="s">
        <v>3654</v>
      </c>
      <c r="T946" s="441" t="s">
        <v>5194</v>
      </c>
      <c r="U946" s="156">
        <v>1.0</v>
      </c>
      <c r="V946" s="198" t="str">
        <f t="shared" si="50"/>
        <v>10.1098--rsos.231240.pdf</v>
      </c>
      <c r="W946" s="159" t="s">
        <v>3726</v>
      </c>
      <c r="X946" s="54" t="str">
        <f t="array" ref="X946"> if(iserror(MATCH(V946, 'File Links'!C:C, 0)), "N/A", HYPERLINK(INDEX('File Links'!B:B, MATCH(V946, 'File Links'!C:C, 0))))</f>
        <v>https://drive.google.com/file/d/17gaf2Zy_ljFfcAEDk5L8GBnTl5i7RGJE/view?usp=drivesdk</v>
      </c>
      <c r="Y946" s="68"/>
      <c r="Z946" s="159" t="s">
        <v>148</v>
      </c>
      <c r="AA946" s="159" t="s">
        <v>5195</v>
      </c>
      <c r="AB946" s="159" t="s">
        <v>5196</v>
      </c>
      <c r="AC946" s="159" t="s">
        <v>5197</v>
      </c>
      <c r="AD946" s="159" t="s">
        <v>5198</v>
      </c>
      <c r="AE946" s="156">
        <v>4.0</v>
      </c>
      <c r="AF946" s="156">
        <v>12.0</v>
      </c>
      <c r="AG946" s="156">
        <v>0.74</v>
      </c>
      <c r="AH946" s="156" t="s">
        <v>874</v>
      </c>
      <c r="AI946" s="156" t="s">
        <v>850</v>
      </c>
      <c r="AJ946" s="156">
        <v>0.001</v>
      </c>
      <c r="AK946" s="159" t="s">
        <v>135</v>
      </c>
      <c r="AL946" s="159" t="s">
        <v>186</v>
      </c>
      <c r="AM946" s="159" t="s">
        <v>141</v>
      </c>
      <c r="AN946" s="151" t="s">
        <v>138</v>
      </c>
      <c r="AO946" s="156">
        <v>30.0</v>
      </c>
      <c r="AP946" s="156" t="s">
        <v>5199</v>
      </c>
      <c r="AQ946" s="156" t="s">
        <v>134</v>
      </c>
      <c r="AR946" s="1298" t="s">
        <v>5200</v>
      </c>
      <c r="AS946" s="156">
        <v>0.0673199</v>
      </c>
      <c r="AT946" s="159" t="s">
        <v>172</v>
      </c>
      <c r="AU946" s="159" t="s">
        <v>186</v>
      </c>
      <c r="AV946" s="159" t="s">
        <v>141</v>
      </c>
      <c r="AW946" s="435" t="s">
        <v>5201</v>
      </c>
      <c r="AX946" s="68" t="s">
        <v>151</v>
      </c>
      <c r="AY946" s="61" t="str">
        <f>IFERROR(__xludf.DUMMYFUNCTION("vlookup(BB946,importrange(""https://docs.google.com/spreadsheets/d/1d2vevQ_7D_v35q4wCQ4RpQ_IPoTwEMB9Yp6ymwlPqew/edit?gid=984458430#gid=984458430"", ""'replication success'!A:K""), 11, FAlSE)"),"#N/A")</f>
        <v>#N/A</v>
      </c>
      <c r="AZ946" s="61" t="str">
        <f>IFERROR(__xludf.DUMMYFUNCTION("vlookup(BB946,importrange(""https://docs.google.com/spreadsheets/d/1d2vevQ_7D_v35q4wCQ4RpQ_IPoTwEMB9Yp6ymwlPqew/edit?gid=984458430#gid=984458430"", ""'replication success'!A:M""), 12, FAlSE)"),"#N/A")</f>
        <v>#N/A</v>
      </c>
      <c r="BA946" s="61" t="str">
        <f>IFERROR(__xludf.DUMMYFUNCTION("vlookup(BB946,importrange(""https://docs.google.com/spreadsheets/d/1d2vevQ_7D_v35q4wCQ4RpQ_IPoTwEMB9Yp6ymwlPqew/edit?gid=984458430#gid=984458430"", ""'replication success'!A:M""), 13, FAlSE)"),"#N/A")</f>
        <v>#N/A</v>
      </c>
      <c r="BB946" s="61" t="str">
        <f>IFERROR(__xludf.DUMMYFUNCTION("REGEXREPLACE(G946, ""_[a-z]{1,2}$"", """")"),"Boyce_etal2023169")</f>
        <v>Boyce_etal2023169</v>
      </c>
      <c r="BD946" s="68" t="s">
        <v>153</v>
      </c>
      <c r="BE946" s="62" t="s">
        <v>144</v>
      </c>
    </row>
    <row r="947">
      <c r="A947" s="44">
        <v>947.0</v>
      </c>
      <c r="B947" s="129" t="s">
        <v>152</v>
      </c>
      <c r="C947" s="62" t="s">
        <v>115</v>
      </c>
      <c r="D947" s="62" t="s">
        <v>153</v>
      </c>
      <c r="F947" s="68" t="s">
        <v>5189</v>
      </c>
      <c r="G947" s="159" t="s">
        <v>5202</v>
      </c>
      <c r="H947" s="159" t="s">
        <v>153</v>
      </c>
      <c r="I947" s="152">
        <v>45687.0</v>
      </c>
      <c r="J947" s="152">
        <v>45692.0</v>
      </c>
      <c r="K947" s="1055" t="s">
        <v>5203</v>
      </c>
      <c r="L947" s="68"/>
      <c r="M947" s="159" t="s">
        <v>5190</v>
      </c>
      <c r="N947" s="159" t="s">
        <v>5191</v>
      </c>
      <c r="O947" s="156" t="s">
        <v>4092</v>
      </c>
      <c r="P947" s="606" t="str">
        <f t="shared" si="52"/>
        <v>10.1177--0956797615585002.pdf</v>
      </c>
      <c r="Q947" s="52" t="str">
        <f t="array" ref="Q947"> if(iserror(MATCH(V947, 'File Links'!C:C, 0)), "N/A", HYPERLINK(INDEX('File Links'!B:B, MATCH(P947, 'File Links'!C:C, 0))))</f>
        <v>https://drive.google.com/file/d/1hlj_PiSmruASavYOS4OPpCrR4tKfol15/view?usp=drivesdk</v>
      </c>
      <c r="R947" s="606" t="s">
        <v>3653</v>
      </c>
      <c r="S947" s="159" t="s">
        <v>3654</v>
      </c>
      <c r="T947" s="441" t="s">
        <v>5194</v>
      </c>
      <c r="U947" s="156">
        <v>1.0</v>
      </c>
      <c r="V947" s="198" t="str">
        <f t="shared" si="50"/>
        <v>10.1098--rsos.231240.pdf</v>
      </c>
      <c r="W947" s="159" t="s">
        <v>3726</v>
      </c>
      <c r="X947" s="54" t="str">
        <f t="array" ref="X947"> if(iserror(MATCH(V947, 'File Links'!C:C, 0)), "N/A", HYPERLINK(INDEX('File Links'!B:B, MATCH(V947, 'File Links'!C:C, 0))))</f>
        <v>https://drive.google.com/file/d/17gaf2Zy_ljFfcAEDk5L8GBnTl5i7RGJE/view?usp=drivesdk</v>
      </c>
      <c r="Y947" s="68"/>
      <c r="Z947" s="159" t="s">
        <v>148</v>
      </c>
      <c r="AA947" s="159" t="s">
        <v>5195</v>
      </c>
      <c r="AB947" s="159" t="s">
        <v>5196</v>
      </c>
      <c r="AC947" s="159" t="s">
        <v>5204</v>
      </c>
      <c r="AD947" s="159" t="s">
        <v>5205</v>
      </c>
      <c r="AE947" s="156">
        <v>4.0</v>
      </c>
      <c r="AF947" s="156">
        <v>12.0</v>
      </c>
      <c r="AG947" s="336">
        <v>0.64</v>
      </c>
      <c r="AH947" s="156" t="s">
        <v>874</v>
      </c>
      <c r="AI947" s="156" t="s">
        <v>850</v>
      </c>
      <c r="AJ947" s="156">
        <v>0.001</v>
      </c>
      <c r="AK947" s="159" t="s">
        <v>172</v>
      </c>
      <c r="AL947" s="159" t="s">
        <v>186</v>
      </c>
      <c r="AM947" s="159" t="s">
        <v>141</v>
      </c>
      <c r="AN947" s="151" t="s">
        <v>138</v>
      </c>
      <c r="AO947" s="156">
        <v>30.0</v>
      </c>
      <c r="AP947" s="336" t="s">
        <v>5206</v>
      </c>
      <c r="AQ947" s="156" t="s">
        <v>134</v>
      </c>
      <c r="AR947" s="1112" t="s">
        <v>5207</v>
      </c>
      <c r="AS947" s="156">
        <v>0.0871952</v>
      </c>
      <c r="AT947" s="159" t="s">
        <v>172</v>
      </c>
      <c r="AU947" s="159" t="s">
        <v>186</v>
      </c>
      <c r="AV947" s="159" t="s">
        <v>141</v>
      </c>
      <c r="AW947" s="435" t="s">
        <v>5201</v>
      </c>
      <c r="AX947" s="68" t="s">
        <v>151</v>
      </c>
      <c r="AY947" s="61" t="str">
        <f>IFERROR(__xludf.DUMMYFUNCTION("vlookup(BB947,importrange(""https://docs.google.com/spreadsheets/d/1d2vevQ_7D_v35q4wCQ4RpQ_IPoTwEMB9Yp6ymwlPqew/edit?gid=984458430#gid=984458430"", ""'replication success'!A:K""), 11, FAlSE)"),"#N/A")</f>
        <v>#N/A</v>
      </c>
      <c r="AZ947" s="61" t="str">
        <f>IFERROR(__xludf.DUMMYFUNCTION("vlookup(BB947,importrange(""https://docs.google.com/spreadsheets/d/1d2vevQ_7D_v35q4wCQ4RpQ_IPoTwEMB9Yp6ymwlPqew/edit?gid=984458430#gid=984458430"", ""'replication success'!A:M""), 12, FAlSE)"),"#N/A")</f>
        <v>#N/A</v>
      </c>
      <c r="BA947" s="61" t="str">
        <f>IFERROR(__xludf.DUMMYFUNCTION("vlookup(BB947,importrange(""https://docs.google.com/spreadsheets/d/1d2vevQ_7D_v35q4wCQ4RpQ_IPoTwEMB9Yp6ymwlPqew/edit?gid=984458430#gid=984458430"", ""'replication success'!A:M""), 13, FAlSE)"),"#N/A")</f>
        <v>#N/A</v>
      </c>
      <c r="BB947" s="61" t="str">
        <f>IFERROR(__xludf.DUMMYFUNCTION("REGEXREPLACE(G947, ""_[a-z]{1,2}$"", """")"),"Boyce_etal2023169")</f>
        <v>Boyce_etal2023169</v>
      </c>
      <c r="BD947" s="68" t="s">
        <v>153</v>
      </c>
      <c r="BE947" s="62" t="s">
        <v>144</v>
      </c>
    </row>
    <row r="948">
      <c r="A948" s="44">
        <v>948.0</v>
      </c>
      <c r="B948" s="68" t="s">
        <v>114</v>
      </c>
      <c r="C948" s="62" t="s">
        <v>115</v>
      </c>
      <c r="D948" s="62" t="s">
        <v>153</v>
      </c>
      <c r="F948" s="68" t="s">
        <v>5208</v>
      </c>
      <c r="G948" s="159" t="s">
        <v>5209</v>
      </c>
      <c r="H948" s="159" t="s">
        <v>153</v>
      </c>
      <c r="I948" s="152">
        <v>45687.0</v>
      </c>
      <c r="J948" s="152">
        <v>45692.0</v>
      </c>
      <c r="K948" s="68"/>
      <c r="L948" s="68"/>
      <c r="M948" s="159" t="s">
        <v>4986</v>
      </c>
      <c r="N948" s="159" t="s">
        <v>4987</v>
      </c>
      <c r="O948" s="156">
        <v>3.0</v>
      </c>
      <c r="P948" s="606" t="str">
        <f t="shared" si="52"/>
        <v>10.1177--0956797616674999.pdf</v>
      </c>
      <c r="Q948" s="52" t="str">
        <f t="array" ref="Q948"> if(iserror(MATCH(V948, 'File Links'!C:C, 0)), "N/A", HYPERLINK(INDEX('File Links'!B:B, MATCH(P948, 'File Links'!C:C, 0))))</f>
        <v>https://drive.google.com/file/d/1wVhOcOsRL9M-ypPdSaPRTLv-PLlAWOf1/view?usp=drivesdk</v>
      </c>
      <c r="R948" s="606" t="s">
        <v>3653</v>
      </c>
      <c r="S948" s="159" t="s">
        <v>3654</v>
      </c>
      <c r="T948" s="441" t="s">
        <v>5210</v>
      </c>
      <c r="U948" s="156">
        <v>1.0</v>
      </c>
      <c r="V948" s="382" t="s">
        <v>3658</v>
      </c>
      <c r="W948" s="159" t="s">
        <v>164</v>
      </c>
      <c r="X948" s="54" t="str">
        <f t="array" ref="X948"> if(iserror(MATCH(V948, 'File Links'!C:C, 0)), "N/A", HYPERLINK(INDEX('File Links'!B:B, MATCH(V948, 'File Links'!C:C, 0))))</f>
        <v>https://drive.google.com/file/d/17gaf2Zy_ljFfcAEDk5L8GBnTl5i7RGJE/view?usp=drivesdk</v>
      </c>
      <c r="Y948" s="159" t="s">
        <v>5211</v>
      </c>
      <c r="Z948" s="68"/>
      <c r="AA948" s="68"/>
      <c r="AB948" s="68"/>
      <c r="AC948" s="68"/>
      <c r="AD948" s="68"/>
      <c r="AE948" s="68"/>
      <c r="AF948" s="68"/>
      <c r="AG948" s="68"/>
      <c r="AH948" s="68"/>
      <c r="AI948" s="68"/>
      <c r="AJ948" s="68"/>
      <c r="AK948" s="68"/>
      <c r="AL948" s="68"/>
      <c r="AM948" s="68"/>
      <c r="AN948" s="151" t="s">
        <v>138</v>
      </c>
      <c r="AO948" s="68"/>
      <c r="AP948" s="68"/>
      <c r="AQ948" s="68"/>
      <c r="AR948" s="68"/>
      <c r="AS948" s="68"/>
      <c r="AT948" s="68"/>
      <c r="AU948" s="68"/>
      <c r="AV948" s="68"/>
      <c r="AW948" s="68"/>
      <c r="AX948" s="68"/>
      <c r="AY948" s="61" t="str">
        <f>IFERROR(__xludf.DUMMYFUNCTION("vlookup(BB948,importrange(""https://docs.google.com/spreadsheets/d/1d2vevQ_7D_v35q4wCQ4RpQ_IPoTwEMB9Yp6ymwlPqew/edit?gid=984458430#gid=984458430"", ""'replication success'!A:K""), 11, FAlSE)"),"#N/A")</f>
        <v>#N/A</v>
      </c>
      <c r="AZ948" s="61" t="str">
        <f>IFERROR(__xludf.DUMMYFUNCTION("vlookup(BB948,importrange(""https://docs.google.com/spreadsheets/d/1d2vevQ_7D_v35q4wCQ4RpQ_IPoTwEMB9Yp6ymwlPqew/edit?gid=984458430#gid=984458430"", ""'replication success'!A:M""), 12, FAlSE)"),"#N/A")</f>
        <v>#N/A</v>
      </c>
      <c r="BA948" s="61" t="str">
        <f>IFERROR(__xludf.DUMMYFUNCTION("vlookup(BB948,importrange(""https://docs.google.com/spreadsheets/d/1d2vevQ_7D_v35q4wCQ4RpQ_IPoTwEMB9Yp6ymwlPqew/edit?gid=984458430#gid=984458430"", ""'replication success'!A:M""), 13, FAlSE)"),"#N/A")</f>
        <v>#N/A</v>
      </c>
      <c r="BB948" s="61" t="str">
        <f>IFERROR(__xludf.DUMMYFUNCTION("REGEXREPLACE(G948, ""_[a-z]{1,2}$"", """")"),"Boyce_etal202317")</f>
        <v>Boyce_etal202317</v>
      </c>
      <c r="BD948" s="68" t="s">
        <v>153</v>
      </c>
    </row>
    <row r="949">
      <c r="A949" s="44">
        <v>949.0</v>
      </c>
      <c r="B949" s="129" t="s">
        <v>152</v>
      </c>
      <c r="C949" s="62" t="s">
        <v>115</v>
      </c>
      <c r="D949" s="62" t="s">
        <v>248</v>
      </c>
      <c r="F949" s="159" t="s">
        <v>5212</v>
      </c>
      <c r="G949" s="159" t="s">
        <v>5213</v>
      </c>
      <c r="H949" s="159" t="s">
        <v>249</v>
      </c>
      <c r="I949" s="152">
        <v>45673.0</v>
      </c>
      <c r="J949" s="152">
        <v>45692.0</v>
      </c>
      <c r="K949" s="437" t="s">
        <v>5214</v>
      </c>
      <c r="L949" s="68"/>
      <c r="M949" s="159" t="s">
        <v>5215</v>
      </c>
      <c r="N949" s="159" t="s">
        <v>5216</v>
      </c>
      <c r="O949" s="129">
        <v>2.0</v>
      </c>
      <c r="P949" s="606" t="str">
        <f t="shared" si="52"/>
        <v>10.1177--0956797618779061.pdf</v>
      </c>
      <c r="Q949" s="52" t="str">
        <f t="array" ref="Q949"> if(iserror(MATCH(V949, 'File Links'!C:C, 0)), "N/A", HYPERLINK(INDEX('File Links'!B:B, MATCH(P949, 'File Links'!C:C, 0))))</f>
        <v>https://drive.google.com/file/d/1TVEae0arGcjXygxgVD8laFAM0LcnW7EM/view?usp=drivesdk</v>
      </c>
      <c r="R949" s="606" t="s">
        <v>3653</v>
      </c>
      <c r="S949" s="159" t="s">
        <v>3654</v>
      </c>
      <c r="T949" s="68"/>
      <c r="U949" s="156">
        <v>1.0</v>
      </c>
      <c r="V949" s="198" t="str">
        <f t="shared" ref="V949:V998" si="53"> hyperlink(vlookup(lower(S949),#REF!, 2, FALSE), SUBSTITUTE(lower(S949), "/", "--") &amp;  ".pdf")</f>
        <v>10.1098--rsos.231240.pdf</v>
      </c>
      <c r="W949" s="159" t="s">
        <v>3804</v>
      </c>
      <c r="X949" s="54" t="str">
        <f t="array" ref="X949"> if(iserror(MATCH(V949, 'File Links'!C:C, 0)), "N/A", HYPERLINK(INDEX('File Links'!B:B, MATCH(V949, 'File Links'!C:C, 0))))</f>
        <v>https://drive.google.com/file/d/17gaf2Zy_ljFfcAEDk5L8GBnTl5i7RGJE/view?usp=drivesdk</v>
      </c>
      <c r="Y949" s="68"/>
      <c r="Z949" s="159" t="s">
        <v>226</v>
      </c>
      <c r="AA949" s="68"/>
      <c r="AB949" s="159" t="s">
        <v>3848</v>
      </c>
      <c r="AC949" s="129" t="s">
        <v>5217</v>
      </c>
      <c r="AD949" s="159" t="s">
        <v>5218</v>
      </c>
      <c r="AE949" s="156">
        <v>5.0</v>
      </c>
      <c r="AF949" s="156">
        <v>32.0</v>
      </c>
      <c r="AG949" s="156">
        <v>1.4</v>
      </c>
      <c r="AH949" s="159" t="s">
        <v>173</v>
      </c>
      <c r="AI949" s="159" t="s">
        <v>882</v>
      </c>
      <c r="AJ949" s="156">
        <v>0.001</v>
      </c>
      <c r="AK949" s="159" t="s">
        <v>135</v>
      </c>
      <c r="AL949" s="159" t="s">
        <v>186</v>
      </c>
      <c r="AM949" s="159" t="s">
        <v>137</v>
      </c>
      <c r="AN949" s="310" t="s">
        <v>5219</v>
      </c>
      <c r="AO949" s="156">
        <v>17.0</v>
      </c>
      <c r="AP949" s="1243">
        <v>0.64</v>
      </c>
      <c r="AQ949" s="159" t="s">
        <v>173</v>
      </c>
      <c r="AR949" s="123" t="s">
        <v>4120</v>
      </c>
      <c r="AS949" s="1246">
        <f>IFERROR(__xludf.DUMMYFUNCTION("3.2*10^-4"),3.2E-4)</f>
        <v>0.00032</v>
      </c>
      <c r="AT949" s="159" t="s">
        <v>172</v>
      </c>
      <c r="AU949" s="159" t="s">
        <v>186</v>
      </c>
      <c r="AV949" s="1299" t="s">
        <v>137</v>
      </c>
      <c r="AW949" s="129" t="s">
        <v>138</v>
      </c>
      <c r="AX949" s="159" t="s">
        <v>143</v>
      </c>
      <c r="AY949" s="61" t="str">
        <f>IFERROR(__xludf.DUMMYFUNCTION("vlookup(BB949,importrange(""https://docs.google.com/spreadsheets/d/1d2vevQ_7D_v35q4wCQ4RpQ_IPoTwEMB9Yp6ymwlPqew/edit?gid=984458430#gid=984458430"", ""'replication success'!A:K""), 11, FAlSE)"),"#N/A")</f>
        <v>#N/A</v>
      </c>
      <c r="AZ949" s="61" t="str">
        <f>IFERROR(__xludf.DUMMYFUNCTION("vlookup(BB949,importrange(""https://docs.google.com/spreadsheets/d/1d2vevQ_7D_v35q4wCQ4RpQ_IPoTwEMB9Yp6ymwlPqew/edit?gid=984458430#gid=984458430"", ""'replication success'!A:M""), 12, FAlSE)"),"#N/A")</f>
        <v>#N/A</v>
      </c>
      <c r="BA949" s="61" t="str">
        <f>IFERROR(__xludf.DUMMYFUNCTION("vlookup(BB949,importrange(""https://docs.google.com/spreadsheets/d/1d2vevQ_7D_v35q4wCQ4RpQ_IPoTwEMB9Yp6ymwlPqew/edit?gid=984458430#gid=984458430"", ""'replication success'!A:M""), 13, FAlSE)"),"#N/A")</f>
        <v>#N/A</v>
      </c>
      <c r="BB949" s="61" t="str">
        <f>IFERROR(__xludf.DUMMYFUNCTION("REGEXREPLACE(G949, ""_[a-z]{1,2}$"", """")"),"Boyce_etal2023170_1")</f>
        <v>Boyce_etal2023170_1</v>
      </c>
      <c r="BD949" s="68" t="s">
        <v>153</v>
      </c>
      <c r="BE949" s="62" t="s">
        <v>144</v>
      </c>
    </row>
    <row r="950">
      <c r="A950" s="44">
        <v>950.0</v>
      </c>
      <c r="B950" s="68" t="s">
        <v>114</v>
      </c>
      <c r="C950" s="62" t="s">
        <v>115</v>
      </c>
      <c r="D950" s="62" t="s">
        <v>153</v>
      </c>
      <c r="F950" s="68" t="s">
        <v>5213</v>
      </c>
      <c r="G950" s="159" t="s">
        <v>5212</v>
      </c>
      <c r="H950" s="159" t="s">
        <v>153</v>
      </c>
      <c r="I950" s="152">
        <v>45687.0</v>
      </c>
      <c r="J950" s="152">
        <v>45692.0</v>
      </c>
      <c r="K950" s="437" t="s">
        <v>4828</v>
      </c>
      <c r="L950" s="68"/>
      <c r="M950" s="159" t="s">
        <v>5215</v>
      </c>
      <c r="N950" s="159" t="s">
        <v>5216</v>
      </c>
      <c r="O950" s="156">
        <v>2.0</v>
      </c>
      <c r="P950" s="606" t="str">
        <f t="shared" si="52"/>
        <v>10.1177--0956797618779061.pdf</v>
      </c>
      <c r="Q950" s="52" t="str">
        <f t="array" ref="Q950"> if(iserror(MATCH(V950, 'File Links'!C:C, 0)), "N/A", HYPERLINK(INDEX('File Links'!B:B, MATCH(P950, 'File Links'!C:C, 0))))</f>
        <v>https://drive.google.com/file/d/1TVEae0arGcjXygxgVD8laFAM0LcnW7EM/view?usp=drivesdk</v>
      </c>
      <c r="R950" s="606" t="s">
        <v>3653</v>
      </c>
      <c r="S950" s="159" t="s">
        <v>3654</v>
      </c>
      <c r="T950" s="68"/>
      <c r="U950" s="156">
        <v>1.0</v>
      </c>
      <c r="V950" s="198" t="str">
        <f t="shared" si="53"/>
        <v>10.1098--rsos.231240.pdf</v>
      </c>
      <c r="W950" s="159" t="s">
        <v>3807</v>
      </c>
      <c r="X950" s="54" t="str">
        <f t="array" ref="X950"> if(iserror(MATCH(V950, 'File Links'!C:C, 0)), "N/A", HYPERLINK(INDEX('File Links'!B:B, MATCH(V950, 'File Links'!C:C, 0))))</f>
        <v>https://drive.google.com/file/d/17gaf2Zy_ljFfcAEDk5L8GBnTl5i7RGJE/view?usp=drivesdk</v>
      </c>
      <c r="Y950" s="68"/>
      <c r="Z950" s="159" t="s">
        <v>226</v>
      </c>
      <c r="AA950" s="159" t="s">
        <v>5220</v>
      </c>
      <c r="AB950" s="159" t="s">
        <v>5221</v>
      </c>
      <c r="AC950" s="159" t="s">
        <v>5217</v>
      </c>
      <c r="AD950" s="159" t="s">
        <v>5222</v>
      </c>
      <c r="AE950" s="156">
        <v>5.0</v>
      </c>
      <c r="AF950" s="1093">
        <v>32.0</v>
      </c>
      <c r="AG950" s="156">
        <v>1.72</v>
      </c>
      <c r="AH950" s="156" t="s">
        <v>987</v>
      </c>
      <c r="AI950" s="156" t="s">
        <v>813</v>
      </c>
      <c r="AJ950" s="68"/>
      <c r="AK950" s="68"/>
      <c r="AL950" s="159" t="s">
        <v>186</v>
      </c>
      <c r="AM950" s="159" t="s">
        <v>137</v>
      </c>
      <c r="AN950" s="680" t="s">
        <v>5219</v>
      </c>
      <c r="AO950" s="156">
        <v>17.0</v>
      </c>
      <c r="AP950" s="156">
        <v>0.64</v>
      </c>
      <c r="AQ950" s="156" t="s">
        <v>173</v>
      </c>
      <c r="AR950" s="156" t="s">
        <v>138</v>
      </c>
      <c r="AS950" s="156">
        <f>IFERROR(__xludf.DUMMYFUNCTION("3.25485366864697*10^-4"),3.25485366864697E-4)</f>
        <v>0.0003254853669</v>
      </c>
      <c r="AT950" s="159" t="s">
        <v>172</v>
      </c>
      <c r="AU950" s="159" t="s">
        <v>186</v>
      </c>
      <c r="AV950" s="1299" t="s">
        <v>137</v>
      </c>
      <c r="AW950" s="68"/>
      <c r="AX950" s="68" t="s">
        <v>143</v>
      </c>
      <c r="AY950" s="61" t="str">
        <f>IFERROR(__xludf.DUMMYFUNCTION("vlookup(BB950,importrange(""https://docs.google.com/spreadsheets/d/1d2vevQ_7D_v35q4wCQ4RpQ_IPoTwEMB9Yp6ymwlPqew/edit?gid=984458430#gid=984458430"", ""'replication success'!A:K""), 11, FAlSE)"),"#N/A")</f>
        <v>#N/A</v>
      </c>
      <c r="AZ950" s="61" t="str">
        <f>IFERROR(__xludf.DUMMYFUNCTION("vlookup(BB950,importrange(""https://docs.google.com/spreadsheets/d/1d2vevQ_7D_v35q4wCQ4RpQ_IPoTwEMB9Yp6ymwlPqew/edit?gid=984458430#gid=984458430"", ""'replication success'!A:M""), 12, FAlSE)"),"#N/A")</f>
        <v>#N/A</v>
      </c>
      <c r="BA950" s="61" t="str">
        <f>IFERROR(__xludf.DUMMYFUNCTION("vlookup(BB950,importrange(""https://docs.google.com/spreadsheets/d/1d2vevQ_7D_v35q4wCQ4RpQ_IPoTwEMB9Yp6ymwlPqew/edit?gid=984458430#gid=984458430"", ""'replication success'!A:M""), 13, FAlSE)"),"#N/A")</f>
        <v>#N/A</v>
      </c>
      <c r="BB950" s="61" t="str">
        <f>IFERROR(__xludf.DUMMYFUNCTION("REGEXREPLACE(G950, ""_[a-z]{1,2}$"", """")"),"Boyce_etal2023170")</f>
        <v>Boyce_etal2023170</v>
      </c>
      <c r="BD950" s="68" t="s">
        <v>153</v>
      </c>
    </row>
    <row r="951">
      <c r="A951" s="44">
        <v>951.0</v>
      </c>
      <c r="B951" s="68" t="s">
        <v>114</v>
      </c>
      <c r="C951" s="62" t="s">
        <v>115</v>
      </c>
      <c r="D951" s="62" t="s">
        <v>248</v>
      </c>
      <c r="F951" s="159" t="s">
        <v>5223</v>
      </c>
      <c r="G951" s="159" t="s">
        <v>5224</v>
      </c>
      <c r="H951" s="159" t="s">
        <v>249</v>
      </c>
      <c r="I951" s="152">
        <v>45673.0</v>
      </c>
      <c r="J951" s="152">
        <v>45692.0</v>
      </c>
      <c r="K951" s="68"/>
      <c r="L951" s="68" t="s">
        <v>3690</v>
      </c>
      <c r="M951" s="159" t="s">
        <v>5225</v>
      </c>
      <c r="N951" s="159" t="s">
        <v>5226</v>
      </c>
      <c r="O951" s="68"/>
      <c r="P951" s="606" t="str">
        <f t="shared" si="52"/>
        <v>10.1111--1467-9280.02436.pdf</v>
      </c>
      <c r="Q951" s="52" t="str">
        <f t="array" ref="Q951"> if(iserror(MATCH(V951, 'File Links'!C:C, 0)), "N/A", HYPERLINK(INDEX('File Links'!B:B, MATCH(P951, 'File Links'!C:C, 0))))</f>
        <v>https://drive.google.com/file/d/1KeSwecAaGUPly_0Khma5VYzCJyRIWBpt/view?usp=drivesdk</v>
      </c>
      <c r="R951" s="606" t="s">
        <v>3653</v>
      </c>
      <c r="S951" s="159" t="s">
        <v>3654</v>
      </c>
      <c r="T951" s="68"/>
      <c r="U951" s="156">
        <v>1.0</v>
      </c>
      <c r="V951" s="198" t="str">
        <f t="shared" si="53"/>
        <v>10.1098--rsos.231240.pdf</v>
      </c>
      <c r="W951" s="159" t="s">
        <v>324</v>
      </c>
      <c r="X951" s="54" t="str">
        <f t="array" ref="X951"> if(iserror(MATCH(V951, 'File Links'!C:C, 0)), "N/A", HYPERLINK(INDEX('File Links'!B:B, MATCH(V951, 'File Links'!C:C, 0))))</f>
        <v>https://drive.google.com/file/d/17gaf2Zy_ljFfcAEDk5L8GBnTl5i7RGJE/view?usp=drivesdk</v>
      </c>
      <c r="Y951" s="68"/>
      <c r="Z951" s="159" t="s">
        <v>148</v>
      </c>
      <c r="AA951" s="68"/>
      <c r="AB951" s="159" t="s">
        <v>4426</v>
      </c>
      <c r="AC951" s="68"/>
      <c r="AD951" s="159" t="s">
        <v>5227</v>
      </c>
      <c r="AE951" s="1059">
        <v>227.0</v>
      </c>
      <c r="AF951" s="156">
        <v>18.0</v>
      </c>
      <c r="AG951" s="1242" t="s">
        <v>5228</v>
      </c>
      <c r="AH951" s="119" t="s">
        <v>134</v>
      </c>
      <c r="AI951" s="1060" t="s">
        <v>5229</v>
      </c>
      <c r="AJ951" s="156">
        <v>0.01</v>
      </c>
      <c r="AK951" s="159" t="s">
        <v>2249</v>
      </c>
      <c r="AL951" s="159" t="s">
        <v>136</v>
      </c>
      <c r="AM951" s="159" t="s">
        <v>141</v>
      </c>
      <c r="AN951" s="151" t="s">
        <v>138</v>
      </c>
      <c r="AO951" s="156">
        <v>10.0</v>
      </c>
      <c r="AP951" s="1243">
        <v>-0.478539444560215</v>
      </c>
      <c r="AQ951" s="159" t="s">
        <v>173</v>
      </c>
      <c r="AR951" s="68"/>
      <c r="AS951" s="1243">
        <v>0.184939813686217</v>
      </c>
      <c r="AT951" s="159" t="s">
        <v>172</v>
      </c>
      <c r="AU951" s="159" t="s">
        <v>186</v>
      </c>
      <c r="AV951" s="159" t="s">
        <v>141</v>
      </c>
      <c r="AW951" s="68"/>
      <c r="AX951" s="159" t="s">
        <v>143</v>
      </c>
      <c r="AY951" s="61" t="str">
        <f>IFERROR(__xludf.DUMMYFUNCTION("vlookup(BB951,importrange(""https://docs.google.com/spreadsheets/d/1d2vevQ_7D_v35q4wCQ4RpQ_IPoTwEMB9Yp6ymwlPqew/edit?gid=984458430#gid=984458430"", ""'replication success'!A:K""), 11, FAlSE)"),"#N/A")</f>
        <v>#N/A</v>
      </c>
      <c r="AZ951" s="61" t="str">
        <f>IFERROR(__xludf.DUMMYFUNCTION("vlookup(BB951,importrange(""https://docs.google.com/spreadsheets/d/1d2vevQ_7D_v35q4wCQ4RpQ_IPoTwEMB9Yp6ymwlPqew/edit?gid=984458430#gid=984458430"", ""'replication success'!A:M""), 12, FAlSE)"),"#N/A")</f>
        <v>#N/A</v>
      </c>
      <c r="BA951" s="61" t="str">
        <f>IFERROR(__xludf.DUMMYFUNCTION("vlookup(BB951,importrange(""https://docs.google.com/spreadsheets/d/1d2vevQ_7D_v35q4wCQ4RpQ_IPoTwEMB9Yp6ymwlPqew/edit?gid=984458430#gid=984458430"", ""'replication success'!A:M""), 13, FAlSE)"),"#N/A")</f>
        <v>#N/A</v>
      </c>
      <c r="BB951" s="61" t="str">
        <f>IFERROR(__xludf.DUMMYFUNCTION("REGEXREPLACE(G951, ""_[a-z]{1,2}$"", """")"),"Boyce_etal2023171_1")</f>
        <v>Boyce_etal2023171_1</v>
      </c>
      <c r="BD951" s="68" t="s">
        <v>153</v>
      </c>
    </row>
    <row r="952">
      <c r="A952" s="44">
        <v>952.0</v>
      </c>
      <c r="B952" s="129" t="s">
        <v>152</v>
      </c>
      <c r="C952" s="62" t="s">
        <v>115</v>
      </c>
      <c r="D952" s="62" t="s">
        <v>153</v>
      </c>
      <c r="F952" s="68" t="s">
        <v>5224</v>
      </c>
      <c r="G952" s="159" t="s">
        <v>5223</v>
      </c>
      <c r="H952" s="159" t="s">
        <v>153</v>
      </c>
      <c r="I952" s="152">
        <v>45687.0</v>
      </c>
      <c r="J952" s="152">
        <v>45692.0</v>
      </c>
      <c r="K952" s="1055" t="s">
        <v>5230</v>
      </c>
      <c r="L952" s="68"/>
      <c r="M952" s="159" t="s">
        <v>5225</v>
      </c>
      <c r="N952" s="159" t="s">
        <v>5226</v>
      </c>
      <c r="O952" s="156">
        <v>1.0</v>
      </c>
      <c r="P952" s="606" t="str">
        <f t="shared" si="52"/>
        <v>10.1111--1467-9280.02436.pdf</v>
      </c>
      <c r="Q952" s="52" t="str">
        <f t="array" ref="Q952"> if(iserror(MATCH(V952, 'File Links'!C:C, 0)), "N/A", HYPERLINK(INDEX('File Links'!B:B, MATCH(P952, 'File Links'!C:C, 0))))</f>
        <v>https://drive.google.com/file/d/1KeSwecAaGUPly_0Khma5VYzCJyRIWBpt/view?usp=drivesdk</v>
      </c>
      <c r="R952" s="606" t="s">
        <v>3653</v>
      </c>
      <c r="S952" s="159" t="s">
        <v>3654</v>
      </c>
      <c r="T952" s="441" t="s">
        <v>5231</v>
      </c>
      <c r="U952" s="156">
        <v>1.0</v>
      </c>
      <c r="V952" s="198" t="str">
        <f t="shared" si="53"/>
        <v>10.1098--rsos.231240.pdf</v>
      </c>
      <c r="W952" s="159" t="s">
        <v>4640</v>
      </c>
      <c r="X952" s="54" t="str">
        <f t="array" ref="X952"> if(iserror(MATCH(V952, 'File Links'!C:C, 0)), "N/A", HYPERLINK(INDEX('File Links'!B:B, MATCH(V952, 'File Links'!C:C, 0))))</f>
        <v>https://drive.google.com/file/d/17gaf2Zy_ljFfcAEDk5L8GBnTl5i7RGJE/view?usp=drivesdk</v>
      </c>
      <c r="Y952" s="68"/>
      <c r="Z952" s="159" t="s">
        <v>148</v>
      </c>
      <c r="AA952" s="159" t="s">
        <v>5232</v>
      </c>
      <c r="AB952" s="159" t="s">
        <v>5233</v>
      </c>
      <c r="AC952" s="159" t="s">
        <v>5234</v>
      </c>
      <c r="AD952" s="159" t="s">
        <v>5235</v>
      </c>
      <c r="AE952" s="156">
        <v>3.0</v>
      </c>
      <c r="AF952" s="156">
        <v>18.0</v>
      </c>
      <c r="AG952" s="161" t="s">
        <v>5236</v>
      </c>
      <c r="AH952" s="161" t="s">
        <v>134</v>
      </c>
      <c r="AI952" s="156" t="s">
        <v>217</v>
      </c>
      <c r="AJ952" s="156">
        <v>0.01</v>
      </c>
      <c r="AK952" s="159" t="s">
        <v>2249</v>
      </c>
      <c r="AL952" s="159" t="s">
        <v>136</v>
      </c>
      <c r="AM952" s="159" t="s">
        <v>141</v>
      </c>
      <c r="AN952" s="151" t="s">
        <v>138</v>
      </c>
      <c r="AO952" s="156">
        <v>10.0</v>
      </c>
      <c r="AP952" s="156">
        <v>-0.4785394446</v>
      </c>
      <c r="AQ952" s="156" t="s">
        <v>173</v>
      </c>
      <c r="AR952" s="1298" t="s">
        <v>4120</v>
      </c>
      <c r="AS952" s="156">
        <f>0.0185</f>
        <v>0.0185</v>
      </c>
      <c r="AT952" s="159" t="s">
        <v>172</v>
      </c>
      <c r="AU952" s="159" t="s">
        <v>186</v>
      </c>
      <c r="AV952" s="159" t="s">
        <v>141</v>
      </c>
      <c r="AW952" s="123" t="s">
        <v>5237</v>
      </c>
      <c r="AX952" s="68" t="s">
        <v>143</v>
      </c>
      <c r="AY952" s="61" t="str">
        <f>IFERROR(__xludf.DUMMYFUNCTION("vlookup(BB952,importrange(""https://docs.google.com/spreadsheets/d/1d2vevQ_7D_v35q4wCQ4RpQ_IPoTwEMB9Yp6ymwlPqew/edit?gid=984458430#gid=984458430"", ""'replication success'!A:K""), 11, FAlSE)"),"#N/A")</f>
        <v>#N/A</v>
      </c>
      <c r="AZ952" s="61" t="str">
        <f>IFERROR(__xludf.DUMMYFUNCTION("vlookup(BB952,importrange(""https://docs.google.com/spreadsheets/d/1d2vevQ_7D_v35q4wCQ4RpQ_IPoTwEMB9Yp6ymwlPqew/edit?gid=984458430#gid=984458430"", ""'replication success'!A:M""), 12, FAlSE)"),"#N/A")</f>
        <v>#N/A</v>
      </c>
      <c r="BA952" s="61" t="str">
        <f>IFERROR(__xludf.DUMMYFUNCTION("vlookup(BB952,importrange(""https://docs.google.com/spreadsheets/d/1d2vevQ_7D_v35q4wCQ4RpQ_IPoTwEMB9Yp6ymwlPqew/edit?gid=984458430#gid=984458430"", ""'replication success'!A:M""), 13, FAlSE)"),"#N/A")</f>
        <v>#N/A</v>
      </c>
      <c r="BB952" s="61" t="str">
        <f>IFERROR(__xludf.DUMMYFUNCTION("REGEXREPLACE(G952, ""_[a-z]{1,2}$"", """")"),"Boyce_etal2023171")</f>
        <v>Boyce_etal2023171</v>
      </c>
      <c r="BD952" s="68" t="s">
        <v>153</v>
      </c>
      <c r="BE952" s="62" t="s">
        <v>144</v>
      </c>
    </row>
    <row r="953">
      <c r="A953" s="44">
        <v>953.0</v>
      </c>
      <c r="B953" s="68" t="s">
        <v>590</v>
      </c>
      <c r="C953" s="62" t="s">
        <v>115</v>
      </c>
      <c r="D953" s="62" t="s">
        <v>248</v>
      </c>
      <c r="F953" s="159" t="s">
        <v>5238</v>
      </c>
      <c r="G953" s="159" t="s">
        <v>5239</v>
      </c>
      <c r="H953" s="159" t="s">
        <v>249</v>
      </c>
      <c r="I953" s="152">
        <v>45673.0</v>
      </c>
      <c r="J953" s="152">
        <v>45692.0</v>
      </c>
      <c r="K953" s="437" t="s">
        <v>5240</v>
      </c>
      <c r="L953" s="68" t="s">
        <v>5241</v>
      </c>
      <c r="M953" s="159" t="s">
        <v>5242</v>
      </c>
      <c r="N953" s="159" t="s">
        <v>5243</v>
      </c>
      <c r="O953" s="68"/>
      <c r="P953" s="606" t="str">
        <f t="shared" si="52"/>
        <v>10.1177--0956797619856844.pdf</v>
      </c>
      <c r="Q953" s="52" t="str">
        <f t="array" ref="Q953"> if(iserror(MATCH(V953, 'File Links'!C:C, 0)), "N/A", HYPERLINK(INDEX('File Links'!B:B, MATCH(P953, 'File Links'!C:C, 0))))</f>
        <v>https://drive.google.com/file/d/1QWFGg5y_FwCsYU4iJVkw7s0HZoH7av3y/view?usp=drivesdk</v>
      </c>
      <c r="R953" s="606" t="s">
        <v>3653</v>
      </c>
      <c r="S953" s="159" t="s">
        <v>3654</v>
      </c>
      <c r="T953" s="68"/>
      <c r="U953" s="156">
        <v>1.0</v>
      </c>
      <c r="V953" s="198" t="str">
        <f t="shared" si="53"/>
        <v>10.1098--rsos.231240.pdf</v>
      </c>
      <c r="W953" s="159" t="s">
        <v>3804</v>
      </c>
      <c r="X953" s="54" t="str">
        <f t="array" ref="X953"> if(iserror(MATCH(V953, 'File Links'!C:C, 0)), "N/A", HYPERLINK(INDEX('File Links'!B:B, MATCH(V953, 'File Links'!C:C, 0))))</f>
        <v>https://drive.google.com/file/d/17gaf2Zy_ljFfcAEDk5L8GBnTl5i7RGJE/view?usp=drivesdk</v>
      </c>
      <c r="Y953" s="68"/>
      <c r="Z953" s="159" t="s">
        <v>148</v>
      </c>
      <c r="AA953" s="1115" t="s">
        <v>5244</v>
      </c>
      <c r="AB953" s="1300" t="s">
        <v>5245</v>
      </c>
      <c r="AC953" s="1115" t="s">
        <v>5246</v>
      </c>
      <c r="AD953" s="159" t="s">
        <v>5247</v>
      </c>
      <c r="AE953" s="156">
        <v>8.0</v>
      </c>
      <c r="AF953" s="156">
        <v>96.0</v>
      </c>
      <c r="AG953" s="156">
        <v>0.5</v>
      </c>
      <c r="AH953" s="159" t="s">
        <v>173</v>
      </c>
      <c r="AI953" s="159" t="s">
        <v>613</v>
      </c>
      <c r="AJ953" s="156">
        <v>0.019</v>
      </c>
      <c r="AK953" s="159" t="s">
        <v>172</v>
      </c>
      <c r="AL953" s="159" t="s">
        <v>186</v>
      </c>
      <c r="AM953" s="159" t="s">
        <v>137</v>
      </c>
      <c r="AN953" s="310" t="s">
        <v>5248</v>
      </c>
      <c r="AO953" s="156">
        <v>160.0</v>
      </c>
      <c r="AP953" s="1243">
        <v>0.202495955602966</v>
      </c>
      <c r="AQ953" s="159" t="s">
        <v>173</v>
      </c>
      <c r="AR953" s="68"/>
      <c r="AS953" s="1243">
        <v>0.47425673913639</v>
      </c>
      <c r="AT953" s="159" t="s">
        <v>172</v>
      </c>
      <c r="AU953" s="159" t="s">
        <v>186</v>
      </c>
      <c r="AV953" s="159" t="s">
        <v>137</v>
      </c>
      <c r="AW953" s="68"/>
      <c r="AX953" s="159" t="s">
        <v>143</v>
      </c>
      <c r="AY953" s="61" t="str">
        <f>IFERROR(__xludf.DUMMYFUNCTION("vlookup(BB953,importrange(""https://docs.google.com/spreadsheets/d/1d2vevQ_7D_v35q4wCQ4RpQ_IPoTwEMB9Yp6ymwlPqew/edit?gid=984458430#gid=984458430"", ""'replication success'!A:K""), 11, FAlSE)"),"#N/A")</f>
        <v>#N/A</v>
      </c>
      <c r="AZ953" s="61" t="str">
        <f>IFERROR(__xludf.DUMMYFUNCTION("vlookup(BB953,importrange(""https://docs.google.com/spreadsheets/d/1d2vevQ_7D_v35q4wCQ4RpQ_IPoTwEMB9Yp6ymwlPqew/edit?gid=984458430#gid=984458430"", ""'replication success'!A:M""), 12, FAlSE)"),"#N/A")</f>
        <v>#N/A</v>
      </c>
      <c r="BA953" s="61" t="str">
        <f>IFERROR(__xludf.DUMMYFUNCTION("vlookup(BB953,importrange(""https://docs.google.com/spreadsheets/d/1d2vevQ_7D_v35q4wCQ4RpQ_IPoTwEMB9Yp6ymwlPqew/edit?gid=984458430#gid=984458430"", ""'replication success'!A:M""), 13, FAlSE)"),"#N/A")</f>
        <v>#N/A</v>
      </c>
      <c r="BB953" s="61" t="str">
        <f>IFERROR(__xludf.DUMMYFUNCTION("REGEXREPLACE(G953, ""_[a-z]{1,2}$"", """")"),"Boyce_etal2023172_1")</f>
        <v>Boyce_etal2023172_1</v>
      </c>
      <c r="BD953" s="68" t="s">
        <v>153</v>
      </c>
    </row>
    <row r="954">
      <c r="A954" s="44">
        <v>954.0</v>
      </c>
      <c r="B954" s="68" t="s">
        <v>114</v>
      </c>
      <c r="C954" s="62" t="s">
        <v>115</v>
      </c>
      <c r="D954" s="62" t="s">
        <v>153</v>
      </c>
      <c r="F954" s="68" t="s">
        <v>5239</v>
      </c>
      <c r="G954" s="159" t="s">
        <v>5249</v>
      </c>
      <c r="H954" s="159" t="s">
        <v>153</v>
      </c>
      <c r="I954" s="152">
        <v>45687.0</v>
      </c>
      <c r="J954" s="152">
        <v>45692.0</v>
      </c>
      <c r="K954" s="1055" t="s">
        <v>5250</v>
      </c>
      <c r="L954" s="68"/>
      <c r="M954" s="159" t="s">
        <v>5242</v>
      </c>
      <c r="N954" s="159" t="s">
        <v>5243</v>
      </c>
      <c r="O954" s="156">
        <v>5.0</v>
      </c>
      <c r="P954" s="606" t="str">
        <f t="shared" si="52"/>
        <v>10.1177--0956797619856844.pdf</v>
      </c>
      <c r="Q954" s="52" t="str">
        <f t="array" ref="Q954"> if(iserror(MATCH(V954, 'File Links'!C:C, 0)), "N/A", HYPERLINK(INDEX('File Links'!B:B, MATCH(P954, 'File Links'!C:C, 0))))</f>
        <v>https://drive.google.com/file/d/1QWFGg5y_FwCsYU4iJVkw7s0HZoH7av3y/view?usp=drivesdk</v>
      </c>
      <c r="R954" s="606" t="s">
        <v>3653</v>
      </c>
      <c r="S954" s="159" t="s">
        <v>3654</v>
      </c>
      <c r="T954" s="68"/>
      <c r="U954" s="156">
        <v>1.0</v>
      </c>
      <c r="V954" s="198" t="str">
        <f t="shared" si="53"/>
        <v>10.1098--rsos.231240.pdf</v>
      </c>
      <c r="W954" s="159" t="s">
        <v>3807</v>
      </c>
      <c r="X954" s="54" t="str">
        <f t="array" ref="X954"> if(iserror(MATCH(V954, 'File Links'!C:C, 0)), "N/A", HYPERLINK(INDEX('File Links'!B:B, MATCH(V954, 'File Links'!C:C, 0))))</f>
        <v>https://drive.google.com/file/d/17gaf2Zy_ljFfcAEDk5L8GBnTl5i7RGJE/view?usp=drivesdk</v>
      </c>
      <c r="Y954" s="68"/>
      <c r="Z954" s="159" t="s">
        <v>148</v>
      </c>
      <c r="AA954" s="159" t="s">
        <v>5244</v>
      </c>
      <c r="AB954" s="68" t="s">
        <v>5245</v>
      </c>
      <c r="AC954" s="159" t="s">
        <v>5251</v>
      </c>
      <c r="AD954" s="159" t="s">
        <v>5252</v>
      </c>
      <c r="AE954" s="156">
        <v>8.0</v>
      </c>
      <c r="AF954" s="156">
        <v>240.0</v>
      </c>
      <c r="AG954" s="156">
        <v>1.72</v>
      </c>
      <c r="AH954" s="156" t="s">
        <v>173</v>
      </c>
      <c r="AI954" s="156" t="s">
        <v>613</v>
      </c>
      <c r="AJ954" s="156">
        <v>0.001</v>
      </c>
      <c r="AK954" s="159" t="s">
        <v>135</v>
      </c>
      <c r="AL954" s="159" t="s">
        <v>186</v>
      </c>
      <c r="AM954" s="159" t="s">
        <v>137</v>
      </c>
      <c r="AN954" s="680" t="s">
        <v>5248</v>
      </c>
      <c r="AO954" s="156">
        <v>160.0</v>
      </c>
      <c r="AP954" s="1114">
        <v>0.44</v>
      </c>
      <c r="AQ954" s="156" t="s">
        <v>173</v>
      </c>
      <c r="AR954" s="156" t="s">
        <v>2229</v>
      </c>
      <c r="AS954" s="156">
        <v>0.1009</v>
      </c>
      <c r="AT954" s="159" t="s">
        <v>172</v>
      </c>
      <c r="AU954" s="159" t="s">
        <v>186</v>
      </c>
      <c r="AV954" s="159" t="s">
        <v>137</v>
      </c>
      <c r="AW954" s="435" t="s">
        <v>5253</v>
      </c>
      <c r="AX954" s="68" t="s">
        <v>143</v>
      </c>
      <c r="AY954" s="61" t="str">
        <f>IFERROR(__xludf.DUMMYFUNCTION("vlookup(BB954,importrange(""https://docs.google.com/spreadsheets/d/1d2vevQ_7D_v35q4wCQ4RpQ_IPoTwEMB9Yp6ymwlPqew/edit?gid=984458430#gid=984458430"", ""'replication success'!A:K""), 11, FAlSE)"),"#N/A")</f>
        <v>#N/A</v>
      </c>
      <c r="AZ954" s="61" t="str">
        <f>IFERROR(__xludf.DUMMYFUNCTION("vlookup(BB954,importrange(""https://docs.google.com/spreadsheets/d/1d2vevQ_7D_v35q4wCQ4RpQ_IPoTwEMB9Yp6ymwlPqew/edit?gid=984458430#gid=984458430"", ""'replication success'!A:M""), 12, FAlSE)"),"#N/A")</f>
        <v>#N/A</v>
      </c>
      <c r="BA954" s="61" t="str">
        <f>IFERROR(__xludf.DUMMYFUNCTION("vlookup(BB954,importrange(""https://docs.google.com/spreadsheets/d/1d2vevQ_7D_v35q4wCQ4RpQ_IPoTwEMB9Yp6ymwlPqew/edit?gid=984458430#gid=984458430"", ""'replication success'!A:M""), 13, FAlSE)"),"#N/A")</f>
        <v>#N/A</v>
      </c>
      <c r="BB954" s="61" t="str">
        <f>IFERROR(__xludf.DUMMYFUNCTION("REGEXREPLACE(G954, ""_[a-z]{1,2}$"", """")"),"Boyce_etal2023172_1")</f>
        <v>Boyce_etal2023172_1</v>
      </c>
      <c r="BD954" s="68" t="s">
        <v>153</v>
      </c>
    </row>
    <row r="955">
      <c r="A955" s="44">
        <v>955.0</v>
      </c>
      <c r="B955" s="68" t="s">
        <v>114</v>
      </c>
      <c r="C955" s="62" t="s">
        <v>115</v>
      </c>
      <c r="D955" s="62" t="s">
        <v>153</v>
      </c>
      <c r="F955" s="68" t="s">
        <v>5239</v>
      </c>
      <c r="G955" s="159" t="s">
        <v>5254</v>
      </c>
      <c r="H955" s="159" t="s">
        <v>153</v>
      </c>
      <c r="I955" s="152">
        <v>45687.0</v>
      </c>
      <c r="J955" s="152">
        <v>45692.0</v>
      </c>
      <c r="K955" s="1055" t="s">
        <v>5255</v>
      </c>
      <c r="L955" s="68"/>
      <c r="M955" s="159" t="s">
        <v>5242</v>
      </c>
      <c r="N955" s="159" t="s">
        <v>5243</v>
      </c>
      <c r="O955" s="156">
        <v>5.0</v>
      </c>
      <c r="P955" s="606" t="str">
        <f t="shared" si="52"/>
        <v>10.1177--0956797619856844.pdf</v>
      </c>
      <c r="Q955" s="52" t="str">
        <f t="array" ref="Q955"> if(iserror(MATCH(V955, 'File Links'!C:C, 0)), "N/A", HYPERLINK(INDEX('File Links'!B:B, MATCH(P955, 'File Links'!C:C, 0))))</f>
        <v>https://drive.google.com/file/d/1QWFGg5y_FwCsYU4iJVkw7s0HZoH7av3y/view?usp=drivesdk</v>
      </c>
      <c r="R955" s="606" t="s">
        <v>3653</v>
      </c>
      <c r="S955" s="159" t="s">
        <v>3654</v>
      </c>
      <c r="T955" s="68"/>
      <c r="U955" s="156">
        <v>1.0</v>
      </c>
      <c r="V955" s="198" t="str">
        <f t="shared" si="53"/>
        <v>10.1098--rsos.231240.pdf</v>
      </c>
      <c r="W955" s="159" t="s">
        <v>3807</v>
      </c>
      <c r="X955" s="54" t="str">
        <f t="array" ref="X955"> if(iserror(MATCH(V955, 'File Links'!C:C, 0)), "N/A", HYPERLINK(INDEX('File Links'!B:B, MATCH(V955, 'File Links'!C:C, 0))))</f>
        <v>https://drive.google.com/file/d/17gaf2Zy_ljFfcAEDk5L8GBnTl5i7RGJE/view?usp=drivesdk</v>
      </c>
      <c r="Y955" s="68"/>
      <c r="Z955" s="159" t="s">
        <v>148</v>
      </c>
      <c r="AA955" s="159" t="s">
        <v>5244</v>
      </c>
      <c r="AB955" s="68" t="s">
        <v>5245</v>
      </c>
      <c r="AC955" s="159" t="s">
        <v>5246</v>
      </c>
      <c r="AD955" s="159" t="s">
        <v>5256</v>
      </c>
      <c r="AE955" s="156">
        <v>8.0</v>
      </c>
      <c r="AF955" s="1093">
        <v>96.0</v>
      </c>
      <c r="AG955" s="336">
        <v>0.5</v>
      </c>
      <c r="AH955" s="156" t="s">
        <v>173</v>
      </c>
      <c r="AI955" s="156" t="s">
        <v>613</v>
      </c>
      <c r="AJ955" s="336">
        <v>0.019</v>
      </c>
      <c r="AK955" s="159" t="s">
        <v>172</v>
      </c>
      <c r="AL955" s="159" t="s">
        <v>186</v>
      </c>
      <c r="AM955" s="159" t="s">
        <v>137</v>
      </c>
      <c r="AN955" s="680" t="s">
        <v>5248</v>
      </c>
      <c r="AO955" s="156">
        <v>160.0</v>
      </c>
      <c r="AP955" s="1114">
        <v>0.01</v>
      </c>
      <c r="AQ955" s="156" t="s">
        <v>173</v>
      </c>
      <c r="AR955" s="336" t="s">
        <v>2229</v>
      </c>
      <c r="AS955" s="156">
        <v>0.98</v>
      </c>
      <c r="AT955" s="159" t="s">
        <v>172</v>
      </c>
      <c r="AU955" s="159" t="s">
        <v>186</v>
      </c>
      <c r="AV955" s="159" t="s">
        <v>137</v>
      </c>
      <c r="AW955" s="435" t="s">
        <v>5253</v>
      </c>
      <c r="AX955" s="68" t="s">
        <v>143</v>
      </c>
      <c r="AY955" s="61" t="str">
        <f>IFERROR(__xludf.DUMMYFUNCTION("vlookup(BB955,importrange(""https://docs.google.com/spreadsheets/d/1d2vevQ_7D_v35q4wCQ4RpQ_IPoTwEMB9Yp6ymwlPqew/edit?gid=984458430#gid=984458430"", ""'replication success'!A:K""), 11, FAlSE)"),"#N/A")</f>
        <v>#N/A</v>
      </c>
      <c r="AZ955" s="61" t="str">
        <f>IFERROR(__xludf.DUMMYFUNCTION("vlookup(BB955,importrange(""https://docs.google.com/spreadsheets/d/1d2vevQ_7D_v35q4wCQ4RpQ_IPoTwEMB9Yp6ymwlPqew/edit?gid=984458430#gid=984458430"", ""'replication success'!A:M""), 12, FAlSE)"),"#N/A")</f>
        <v>#N/A</v>
      </c>
      <c r="BA955" s="61" t="str">
        <f>IFERROR(__xludf.DUMMYFUNCTION("vlookup(BB955,importrange(""https://docs.google.com/spreadsheets/d/1d2vevQ_7D_v35q4wCQ4RpQ_IPoTwEMB9Yp6ymwlPqew/edit?gid=984458430#gid=984458430"", ""'replication success'!A:M""), 13, FAlSE)"),"#N/A")</f>
        <v>#N/A</v>
      </c>
      <c r="BB955" s="61" t="str">
        <f>IFERROR(__xludf.DUMMYFUNCTION("REGEXREPLACE(G955, ""_[a-z]{1,2}$"", """")"),"Boyce_etal2023172_1")</f>
        <v>Boyce_etal2023172_1</v>
      </c>
      <c r="BD955" s="68" t="s">
        <v>153</v>
      </c>
    </row>
    <row r="956">
      <c r="A956" s="44">
        <v>956.0</v>
      </c>
      <c r="B956" s="68" t="s">
        <v>114</v>
      </c>
      <c r="C956" s="62" t="s">
        <v>115</v>
      </c>
      <c r="D956" s="62" t="s">
        <v>248</v>
      </c>
      <c r="F956" s="159" t="s">
        <v>5257</v>
      </c>
      <c r="G956" s="159" t="s">
        <v>5258</v>
      </c>
      <c r="H956" s="159" t="s">
        <v>249</v>
      </c>
      <c r="I956" s="152">
        <v>45673.0</v>
      </c>
      <c r="J956" s="152">
        <v>45692.0</v>
      </c>
      <c r="K956" s="437" t="s">
        <v>5259</v>
      </c>
      <c r="L956" s="68"/>
      <c r="M956" s="159" t="s">
        <v>5260</v>
      </c>
      <c r="N956" s="159" t="s">
        <v>5261</v>
      </c>
      <c r="O956" s="68"/>
      <c r="P956" s="606" t="str">
        <f t="shared" si="52"/>
        <v>10.1016--j.ecresq.2019.10.004.pdf</v>
      </c>
      <c r="Q956" s="52" t="str">
        <f t="array" ref="Q956"> if(iserror(MATCH(V956, 'File Links'!C:C, 0)), "N/A", HYPERLINK(INDEX('File Links'!B:B, MATCH(P956, 'File Links'!C:C, 0))))</f>
        <v>https://drive.google.com/file/d/1w5TanXJyS5YVblHirQgJO5zKr4e7CFnK/view?usp=drivesdk</v>
      </c>
      <c r="R956" s="606" t="s">
        <v>3653</v>
      </c>
      <c r="S956" s="159" t="s">
        <v>3654</v>
      </c>
      <c r="T956" s="68"/>
      <c r="U956" s="156">
        <v>1.0</v>
      </c>
      <c r="V956" s="198" t="str">
        <f t="shared" si="53"/>
        <v>10.1098--rsos.231240.pdf</v>
      </c>
      <c r="W956" s="159" t="s">
        <v>3693</v>
      </c>
      <c r="X956" s="54" t="str">
        <f t="array" ref="X956"> if(iserror(MATCH(V956, 'File Links'!C:C, 0)), "N/A", HYPERLINK(INDEX('File Links'!B:B, MATCH(V956, 'File Links'!C:C, 0))))</f>
        <v>https://drive.google.com/file/d/17gaf2Zy_ljFfcAEDk5L8GBnTl5i7RGJE/view?usp=drivesdk</v>
      </c>
      <c r="Y956" s="68"/>
      <c r="Z956" s="159" t="s">
        <v>210</v>
      </c>
      <c r="AA956" s="68"/>
      <c r="AB956" s="159" t="s">
        <v>5262</v>
      </c>
      <c r="AC956" s="68"/>
      <c r="AD956" s="159" t="s">
        <v>5263</v>
      </c>
      <c r="AE956" s="156">
        <v>116.0</v>
      </c>
      <c r="AF956" s="156">
        <v>540.0</v>
      </c>
      <c r="AG956" s="159" t="s">
        <v>138</v>
      </c>
      <c r="AH956" s="167" t="s">
        <v>138</v>
      </c>
      <c r="AI956" s="159" t="s">
        <v>5264</v>
      </c>
      <c r="AJ956" s="156">
        <v>0.001</v>
      </c>
      <c r="AK956" s="159" t="s">
        <v>135</v>
      </c>
      <c r="AL956" s="159" t="s">
        <v>186</v>
      </c>
      <c r="AM956" s="159" t="s">
        <v>141</v>
      </c>
      <c r="AN956" s="151" t="s">
        <v>138</v>
      </c>
      <c r="AO956" s="156">
        <v>250.0</v>
      </c>
      <c r="AP956" s="156">
        <v>1.037</v>
      </c>
      <c r="AQ956" s="159" t="s">
        <v>987</v>
      </c>
      <c r="AR956" s="68"/>
      <c r="AS956" s="159" t="s">
        <v>138</v>
      </c>
      <c r="AT956" s="68"/>
      <c r="AU956" s="159" t="s">
        <v>186</v>
      </c>
      <c r="AV956" s="159" t="s">
        <v>141</v>
      </c>
      <c r="AW956" s="68"/>
      <c r="AX956" s="159" t="s">
        <v>151</v>
      </c>
      <c r="AY956" s="61" t="str">
        <f>IFERROR(__xludf.DUMMYFUNCTION("vlookup(BB956,importrange(""https://docs.google.com/spreadsheets/d/1d2vevQ_7D_v35q4wCQ4RpQ_IPoTwEMB9Yp6ymwlPqew/edit?gid=984458430#gid=984458430"", ""'replication success'!A:K""), 11, FAlSE)"),"#N/A")</f>
        <v>#N/A</v>
      </c>
      <c r="AZ956" s="61" t="str">
        <f>IFERROR(__xludf.DUMMYFUNCTION("vlookup(BB956,importrange(""https://docs.google.com/spreadsheets/d/1d2vevQ_7D_v35q4wCQ4RpQ_IPoTwEMB9Yp6ymwlPqew/edit?gid=984458430#gid=984458430"", ""'replication success'!A:M""), 12, FAlSE)"),"#N/A")</f>
        <v>#N/A</v>
      </c>
      <c r="BA956" s="61" t="str">
        <f>IFERROR(__xludf.DUMMYFUNCTION("vlookup(BB956,importrange(""https://docs.google.com/spreadsheets/d/1d2vevQ_7D_v35q4wCQ4RpQ_IPoTwEMB9Yp6ymwlPqew/edit?gid=984458430#gid=984458430"", ""'replication success'!A:M""), 13, FAlSE)"),"#N/A")</f>
        <v>#N/A</v>
      </c>
      <c r="BB956" s="61" t="str">
        <f>IFERROR(__xludf.DUMMYFUNCTION("REGEXREPLACE(G956, ""_[a-z]{1,2}$"", """")"),"Boyce_etal2023173_1")</f>
        <v>Boyce_etal2023173_1</v>
      </c>
      <c r="BD956" s="68" t="s">
        <v>153</v>
      </c>
    </row>
    <row r="957">
      <c r="A957" s="44">
        <v>957.0</v>
      </c>
      <c r="B957" s="68" t="s">
        <v>590</v>
      </c>
      <c r="C957" s="62" t="s">
        <v>115</v>
      </c>
      <c r="D957" s="62" t="s">
        <v>153</v>
      </c>
      <c r="F957" s="68" t="s">
        <v>5258</v>
      </c>
      <c r="G957" s="159" t="s">
        <v>5265</v>
      </c>
      <c r="H957" s="159" t="s">
        <v>153</v>
      </c>
      <c r="I957" s="152">
        <v>45687.0</v>
      </c>
      <c r="J957" s="152">
        <v>45692.0</v>
      </c>
      <c r="K957" s="1055" t="s">
        <v>5266</v>
      </c>
      <c r="L957" s="159" t="s">
        <v>5267</v>
      </c>
      <c r="M957" s="159" t="s">
        <v>5260</v>
      </c>
      <c r="N957" s="159" t="s">
        <v>5261</v>
      </c>
      <c r="O957" s="156">
        <v>1.0</v>
      </c>
      <c r="P957" s="606" t="str">
        <f t="shared" si="52"/>
        <v>10.1016--j.ecresq.2019.10.004.pdf</v>
      </c>
      <c r="Q957" s="52" t="str">
        <f t="array" ref="Q957"> if(iserror(MATCH(V957, 'File Links'!C:C, 0)), "N/A", HYPERLINK(INDEX('File Links'!B:B, MATCH(P957, 'File Links'!C:C, 0))))</f>
        <v>https://drive.google.com/file/d/1w5TanXJyS5YVblHirQgJO5zKr4e7CFnK/view?usp=drivesdk</v>
      </c>
      <c r="R957" s="606" t="s">
        <v>3653</v>
      </c>
      <c r="S957" s="159" t="s">
        <v>3654</v>
      </c>
      <c r="T957" s="68"/>
      <c r="U957" s="156">
        <v>1.0</v>
      </c>
      <c r="V957" s="198" t="str">
        <f t="shared" si="53"/>
        <v>10.1098--rsos.231240.pdf</v>
      </c>
      <c r="W957" s="159" t="s">
        <v>3696</v>
      </c>
      <c r="X957" s="54" t="str">
        <f t="array" ref="X957"> if(iserror(MATCH(V957, 'File Links'!C:C, 0)), "N/A", HYPERLINK(INDEX('File Links'!B:B, MATCH(V957, 'File Links'!C:C, 0))))</f>
        <v>https://drive.google.com/file/d/17gaf2Zy_ljFfcAEDk5L8GBnTl5i7RGJE/view?usp=drivesdk</v>
      </c>
      <c r="Y957" s="68"/>
      <c r="Z957" s="159" t="s">
        <v>1809</v>
      </c>
      <c r="AA957" s="159" t="s">
        <v>5268</v>
      </c>
      <c r="AB957" s="159" t="s">
        <v>5269</v>
      </c>
      <c r="AC957" s="159" t="s">
        <v>5270</v>
      </c>
      <c r="AD957" s="159" t="s">
        <v>5271</v>
      </c>
      <c r="AE957" s="156">
        <v>8.0</v>
      </c>
      <c r="AF957" s="156">
        <v>540.0</v>
      </c>
      <c r="AG957" s="156">
        <v>1.025</v>
      </c>
      <c r="AH957" s="156" t="s">
        <v>722</v>
      </c>
      <c r="AI957" s="156" t="s">
        <v>613</v>
      </c>
      <c r="AJ957" s="1301">
        <v>0.001</v>
      </c>
      <c r="AK957" s="159" t="s">
        <v>135</v>
      </c>
      <c r="AL957" s="159" t="s">
        <v>186</v>
      </c>
      <c r="AM957" s="159" t="s">
        <v>141</v>
      </c>
      <c r="AN957" s="151" t="s">
        <v>138</v>
      </c>
      <c r="AO957" s="156">
        <v>250.0</v>
      </c>
      <c r="AP957" s="156">
        <v>1.037</v>
      </c>
      <c r="AQ957" s="156" t="s">
        <v>722</v>
      </c>
      <c r="AR957" s="336" t="s">
        <v>2229</v>
      </c>
      <c r="AS957" s="156">
        <v>0.001</v>
      </c>
      <c r="AT957" s="159" t="s">
        <v>135</v>
      </c>
      <c r="AU957" s="159" t="s">
        <v>186</v>
      </c>
      <c r="AV957" s="159" t="s">
        <v>141</v>
      </c>
      <c r="AW957" s="68"/>
      <c r="AX957" s="1300" t="s">
        <v>151</v>
      </c>
      <c r="AY957" s="61" t="str">
        <f>IFERROR(__xludf.DUMMYFUNCTION("vlookup(BB957,importrange(""https://docs.google.com/spreadsheets/d/1d2vevQ_7D_v35q4wCQ4RpQ_IPoTwEMB9Yp6ymwlPqew/edit?gid=984458430#gid=984458430"", ""'replication success'!A:K""), 11, FAlSE)"),"#N/A")</f>
        <v>#N/A</v>
      </c>
      <c r="AZ957" s="61" t="str">
        <f>IFERROR(__xludf.DUMMYFUNCTION("vlookup(BB957,importrange(""https://docs.google.com/spreadsheets/d/1d2vevQ_7D_v35q4wCQ4RpQ_IPoTwEMB9Yp6ymwlPqew/edit?gid=984458430#gid=984458430"", ""'replication success'!A:M""), 12, FAlSE)"),"#N/A")</f>
        <v>#N/A</v>
      </c>
      <c r="BA957" s="61" t="str">
        <f>IFERROR(__xludf.DUMMYFUNCTION("vlookup(BB957,importrange(""https://docs.google.com/spreadsheets/d/1d2vevQ_7D_v35q4wCQ4RpQ_IPoTwEMB9Yp6ymwlPqew/edit?gid=984458430#gid=984458430"", ""'replication success'!A:M""), 13, FAlSE)"),"#N/A")</f>
        <v>#N/A</v>
      </c>
      <c r="BB957" s="61" t="str">
        <f>IFERROR(__xludf.DUMMYFUNCTION("REGEXREPLACE(G957, ""_[a-z]{1,2}$"", """")"),"Boyce_etal2023173_1")</f>
        <v>Boyce_etal2023173_1</v>
      </c>
      <c r="BD957" s="68" t="s">
        <v>153</v>
      </c>
    </row>
    <row r="958">
      <c r="A958" s="44">
        <v>958.0</v>
      </c>
      <c r="B958" s="68" t="s">
        <v>590</v>
      </c>
      <c r="C958" s="62" t="s">
        <v>115</v>
      </c>
      <c r="D958" s="62" t="s">
        <v>153</v>
      </c>
      <c r="F958" s="68" t="s">
        <v>5258</v>
      </c>
      <c r="G958" s="159" t="s">
        <v>5272</v>
      </c>
      <c r="H958" s="159" t="s">
        <v>153</v>
      </c>
      <c r="I958" s="152">
        <v>45687.0</v>
      </c>
      <c r="J958" s="152">
        <v>45692.0</v>
      </c>
      <c r="K958" s="1055" t="s">
        <v>5273</v>
      </c>
      <c r="L958" s="159" t="s">
        <v>5267</v>
      </c>
      <c r="M958" s="159" t="s">
        <v>5260</v>
      </c>
      <c r="N958" s="159" t="s">
        <v>5261</v>
      </c>
      <c r="O958" s="156">
        <v>1.0</v>
      </c>
      <c r="P958" s="606" t="str">
        <f t="shared" si="52"/>
        <v>10.1016--j.ecresq.2019.10.004.pdf</v>
      </c>
      <c r="Q958" s="52" t="str">
        <f t="array" ref="Q958"> if(iserror(MATCH(V958, 'File Links'!C:C, 0)), "N/A", HYPERLINK(INDEX('File Links'!B:B, MATCH(P958, 'File Links'!C:C, 0))))</f>
        <v>https://drive.google.com/file/d/1w5TanXJyS5YVblHirQgJO5zKr4e7CFnK/view?usp=drivesdk</v>
      </c>
      <c r="R958" s="606" t="s">
        <v>3653</v>
      </c>
      <c r="S958" s="159" t="s">
        <v>3654</v>
      </c>
      <c r="T958" s="68"/>
      <c r="U958" s="156">
        <v>1.0</v>
      </c>
      <c r="V958" s="198" t="str">
        <f t="shared" si="53"/>
        <v>10.1098--rsos.231240.pdf</v>
      </c>
      <c r="W958" s="159" t="s">
        <v>3696</v>
      </c>
      <c r="X958" s="54" t="str">
        <f t="array" ref="X958"> if(iserror(MATCH(V958, 'File Links'!C:C, 0)), "N/A", HYPERLINK(INDEX('File Links'!B:B, MATCH(V958, 'File Links'!C:C, 0))))</f>
        <v>https://drive.google.com/file/d/17gaf2Zy_ljFfcAEDk5L8GBnTl5i7RGJE/view?usp=drivesdk</v>
      </c>
      <c r="Y958" s="68"/>
      <c r="Z958" s="159" t="s">
        <v>1809</v>
      </c>
      <c r="AA958" s="159" t="s">
        <v>5268</v>
      </c>
      <c r="AB958" s="159" t="s">
        <v>5269</v>
      </c>
      <c r="AC958" s="159" t="s">
        <v>5274</v>
      </c>
      <c r="AD958" s="159" t="s">
        <v>5275</v>
      </c>
      <c r="AE958" s="156">
        <v>8.0</v>
      </c>
      <c r="AF958" s="156">
        <v>540.0</v>
      </c>
      <c r="AG958" s="156">
        <v>1.026</v>
      </c>
      <c r="AH958" s="156" t="s">
        <v>722</v>
      </c>
      <c r="AI958" s="156" t="s">
        <v>613</v>
      </c>
      <c r="AJ958" s="1301">
        <v>0.001</v>
      </c>
      <c r="AK958" s="159" t="s">
        <v>135</v>
      </c>
      <c r="AL958" s="159" t="s">
        <v>186</v>
      </c>
      <c r="AM958" s="159" t="s">
        <v>141</v>
      </c>
      <c r="AN958" s="151" t="s">
        <v>138</v>
      </c>
      <c r="AO958" s="156">
        <v>250.0</v>
      </c>
      <c r="AP958" s="1301">
        <v>1.038</v>
      </c>
      <c r="AQ958" s="156" t="s">
        <v>722</v>
      </c>
      <c r="AR958" s="336" t="s">
        <v>2229</v>
      </c>
      <c r="AS958" s="156">
        <v>0.001</v>
      </c>
      <c r="AT958" s="159" t="s">
        <v>135</v>
      </c>
      <c r="AU958" s="159" t="s">
        <v>186</v>
      </c>
      <c r="AV958" s="159" t="s">
        <v>141</v>
      </c>
      <c r="AW958" s="68"/>
      <c r="AX958" s="1300" t="s">
        <v>151</v>
      </c>
      <c r="AY958" s="61" t="str">
        <f>IFERROR(__xludf.DUMMYFUNCTION("vlookup(BB958,importrange(""https://docs.google.com/spreadsheets/d/1d2vevQ_7D_v35q4wCQ4RpQ_IPoTwEMB9Yp6ymwlPqew/edit?gid=984458430#gid=984458430"", ""'replication success'!A:K""), 11, FAlSE)"),"#N/A")</f>
        <v>#N/A</v>
      </c>
      <c r="AZ958" s="61" t="str">
        <f>IFERROR(__xludf.DUMMYFUNCTION("vlookup(BB958,importrange(""https://docs.google.com/spreadsheets/d/1d2vevQ_7D_v35q4wCQ4RpQ_IPoTwEMB9Yp6ymwlPqew/edit?gid=984458430#gid=984458430"", ""'replication success'!A:M""), 12, FAlSE)"),"#N/A")</f>
        <v>#N/A</v>
      </c>
      <c r="BA958" s="61" t="str">
        <f>IFERROR(__xludf.DUMMYFUNCTION("vlookup(BB958,importrange(""https://docs.google.com/spreadsheets/d/1d2vevQ_7D_v35q4wCQ4RpQ_IPoTwEMB9Yp6ymwlPqew/edit?gid=984458430#gid=984458430"", ""'replication success'!A:M""), 13, FAlSE)"),"#N/A")</f>
        <v>#N/A</v>
      </c>
      <c r="BB958" s="61" t="str">
        <f>IFERROR(__xludf.DUMMYFUNCTION("REGEXREPLACE(G958, ""_[a-z]{1,2}$"", """")"),"Boyce_etal2023173_1")</f>
        <v>Boyce_etal2023173_1</v>
      </c>
      <c r="BD958" s="68" t="s">
        <v>153</v>
      </c>
    </row>
    <row r="959">
      <c r="A959" s="44">
        <v>959.0</v>
      </c>
      <c r="B959" s="68" t="s">
        <v>590</v>
      </c>
      <c r="C959" s="62" t="s">
        <v>115</v>
      </c>
      <c r="D959" s="62" t="s">
        <v>153</v>
      </c>
      <c r="F959" s="68" t="s">
        <v>5258</v>
      </c>
      <c r="G959" s="159" t="s">
        <v>5276</v>
      </c>
      <c r="H959" s="159" t="s">
        <v>153</v>
      </c>
      <c r="I959" s="152">
        <v>45687.0</v>
      </c>
      <c r="J959" s="152">
        <v>45692.0</v>
      </c>
      <c r="K959" s="1055" t="s">
        <v>5277</v>
      </c>
      <c r="L959" s="159" t="s">
        <v>5267</v>
      </c>
      <c r="M959" s="159" t="s">
        <v>5260</v>
      </c>
      <c r="N959" s="159" t="s">
        <v>5261</v>
      </c>
      <c r="O959" s="156">
        <v>1.0</v>
      </c>
      <c r="P959" s="606" t="str">
        <f t="shared" si="52"/>
        <v>10.1016--j.ecresq.2019.10.004.pdf</v>
      </c>
      <c r="Q959" s="52" t="str">
        <f t="array" ref="Q959"> if(iserror(MATCH(V959, 'File Links'!C:C, 0)), "N/A", HYPERLINK(INDEX('File Links'!B:B, MATCH(P959, 'File Links'!C:C, 0))))</f>
        <v>https://drive.google.com/file/d/1w5TanXJyS5YVblHirQgJO5zKr4e7CFnK/view?usp=drivesdk</v>
      </c>
      <c r="R959" s="606" t="s">
        <v>3653</v>
      </c>
      <c r="S959" s="159" t="s">
        <v>3654</v>
      </c>
      <c r="T959" s="68"/>
      <c r="U959" s="156">
        <v>1.0</v>
      </c>
      <c r="V959" s="198" t="str">
        <f t="shared" si="53"/>
        <v>10.1098--rsos.231240.pdf</v>
      </c>
      <c r="W959" s="159" t="s">
        <v>3696</v>
      </c>
      <c r="X959" s="54" t="str">
        <f t="array" ref="X959"> if(iserror(MATCH(V959, 'File Links'!C:C, 0)), "N/A", HYPERLINK(INDEX('File Links'!B:B, MATCH(V959, 'File Links'!C:C, 0))))</f>
        <v>https://drive.google.com/file/d/17gaf2Zy_ljFfcAEDk5L8GBnTl5i7RGJE/view?usp=drivesdk</v>
      </c>
      <c r="Y959" s="68"/>
      <c r="Z959" s="159" t="s">
        <v>1809</v>
      </c>
      <c r="AA959" s="159" t="s">
        <v>5268</v>
      </c>
      <c r="AB959" s="159" t="s">
        <v>5269</v>
      </c>
      <c r="AC959" s="159" t="s">
        <v>5278</v>
      </c>
      <c r="AD959" s="159" t="s">
        <v>5275</v>
      </c>
      <c r="AE959" s="156">
        <v>8.0</v>
      </c>
      <c r="AF959" s="156">
        <v>540.0</v>
      </c>
      <c r="AG959" s="156">
        <v>1.03</v>
      </c>
      <c r="AH959" s="156" t="s">
        <v>722</v>
      </c>
      <c r="AI959" s="156" t="s">
        <v>613</v>
      </c>
      <c r="AJ959" s="156">
        <v>0.01</v>
      </c>
      <c r="AK959" s="159" t="s">
        <v>135</v>
      </c>
      <c r="AL959" s="159" t="s">
        <v>186</v>
      </c>
      <c r="AM959" s="159" t="s">
        <v>141</v>
      </c>
      <c r="AN959" s="151" t="s">
        <v>138</v>
      </c>
      <c r="AO959" s="156">
        <v>250.0</v>
      </c>
      <c r="AP959" s="1301">
        <v>1.041</v>
      </c>
      <c r="AQ959" s="156" t="s">
        <v>722</v>
      </c>
      <c r="AR959" s="336" t="s">
        <v>2229</v>
      </c>
      <c r="AS959" s="156">
        <v>0.001</v>
      </c>
      <c r="AT959" s="159" t="s">
        <v>135</v>
      </c>
      <c r="AU959" s="159" t="s">
        <v>186</v>
      </c>
      <c r="AV959" s="159" t="s">
        <v>141</v>
      </c>
      <c r="AW959" s="68"/>
      <c r="AX959" s="1300" t="s">
        <v>151</v>
      </c>
      <c r="AY959" s="61" t="str">
        <f>IFERROR(__xludf.DUMMYFUNCTION("vlookup(BB959,importrange(""https://docs.google.com/spreadsheets/d/1d2vevQ_7D_v35q4wCQ4RpQ_IPoTwEMB9Yp6ymwlPqew/edit?gid=984458430#gid=984458430"", ""'replication success'!A:K""), 11, FAlSE)"),"#N/A")</f>
        <v>#N/A</v>
      </c>
      <c r="AZ959" s="61" t="str">
        <f>IFERROR(__xludf.DUMMYFUNCTION("vlookup(BB959,importrange(""https://docs.google.com/spreadsheets/d/1d2vevQ_7D_v35q4wCQ4RpQ_IPoTwEMB9Yp6ymwlPqew/edit?gid=984458430#gid=984458430"", ""'replication success'!A:M""), 12, FAlSE)"),"#N/A")</f>
        <v>#N/A</v>
      </c>
      <c r="BA959" s="61" t="str">
        <f>IFERROR(__xludf.DUMMYFUNCTION("vlookup(BB959,importrange(""https://docs.google.com/spreadsheets/d/1d2vevQ_7D_v35q4wCQ4RpQ_IPoTwEMB9Yp6ymwlPqew/edit?gid=984458430#gid=984458430"", ""'replication success'!A:M""), 13, FAlSE)"),"#N/A")</f>
        <v>#N/A</v>
      </c>
      <c r="BB959" s="61" t="str">
        <f>IFERROR(__xludf.DUMMYFUNCTION("REGEXREPLACE(G959, ""_[a-z]{1,2}$"", """")"),"Boyce_etal2023173_1")</f>
        <v>Boyce_etal2023173_1</v>
      </c>
      <c r="BD959" s="68" t="s">
        <v>153</v>
      </c>
    </row>
    <row r="960">
      <c r="A960" s="44">
        <v>960.0</v>
      </c>
      <c r="B960" s="68" t="s">
        <v>590</v>
      </c>
      <c r="C960" s="62" t="s">
        <v>115</v>
      </c>
      <c r="D960" s="62" t="s">
        <v>153</v>
      </c>
      <c r="F960" s="68" t="s">
        <v>5258</v>
      </c>
      <c r="G960" s="159" t="s">
        <v>5279</v>
      </c>
      <c r="H960" s="159" t="s">
        <v>153</v>
      </c>
      <c r="I960" s="152">
        <v>45687.0</v>
      </c>
      <c r="J960" s="152">
        <v>45692.0</v>
      </c>
      <c r="K960" s="1055" t="s">
        <v>5280</v>
      </c>
      <c r="L960" s="159" t="s">
        <v>5267</v>
      </c>
      <c r="M960" s="159" t="s">
        <v>5260</v>
      </c>
      <c r="N960" s="159" t="s">
        <v>5261</v>
      </c>
      <c r="O960" s="156">
        <v>1.0</v>
      </c>
      <c r="P960" s="606" t="str">
        <f t="shared" si="52"/>
        <v>10.1016--j.ecresq.2019.10.004.pdf</v>
      </c>
      <c r="Q960" s="52" t="str">
        <f t="array" ref="Q960"> if(iserror(MATCH(V960, 'File Links'!C:C, 0)), "N/A", HYPERLINK(INDEX('File Links'!B:B, MATCH(P960, 'File Links'!C:C, 0))))</f>
        <v>https://drive.google.com/file/d/1w5TanXJyS5YVblHirQgJO5zKr4e7CFnK/view?usp=drivesdk</v>
      </c>
      <c r="R960" s="606" t="s">
        <v>3653</v>
      </c>
      <c r="S960" s="159" t="s">
        <v>3654</v>
      </c>
      <c r="T960" s="68"/>
      <c r="U960" s="156">
        <v>1.0</v>
      </c>
      <c r="V960" s="198" t="str">
        <f t="shared" si="53"/>
        <v>10.1098--rsos.231240.pdf</v>
      </c>
      <c r="W960" s="159" t="s">
        <v>3696</v>
      </c>
      <c r="X960" s="54" t="str">
        <f t="array" ref="X960"> if(iserror(MATCH(V960, 'File Links'!C:C, 0)), "N/A", HYPERLINK(INDEX('File Links'!B:B, MATCH(V960, 'File Links'!C:C, 0))))</f>
        <v>https://drive.google.com/file/d/17gaf2Zy_ljFfcAEDk5L8GBnTl5i7RGJE/view?usp=drivesdk</v>
      </c>
      <c r="Y960" s="68"/>
      <c r="Z960" s="159" t="s">
        <v>1809</v>
      </c>
      <c r="AA960" s="159" t="s">
        <v>5268</v>
      </c>
      <c r="AB960" s="159" t="s">
        <v>5269</v>
      </c>
      <c r="AC960" s="159" t="s">
        <v>5281</v>
      </c>
      <c r="AD960" s="159" t="s">
        <v>5275</v>
      </c>
      <c r="AE960" s="156">
        <v>8.0</v>
      </c>
      <c r="AF960" s="156">
        <v>540.0</v>
      </c>
      <c r="AG960" s="156">
        <v>1.028</v>
      </c>
      <c r="AH960" s="156" t="s">
        <v>722</v>
      </c>
      <c r="AI960" s="156" t="s">
        <v>613</v>
      </c>
      <c r="AJ960" s="1301">
        <v>0.001</v>
      </c>
      <c r="AK960" s="159" t="s">
        <v>135</v>
      </c>
      <c r="AL960" s="159" t="s">
        <v>186</v>
      </c>
      <c r="AM960" s="159" t="s">
        <v>141</v>
      </c>
      <c r="AN960" s="151" t="s">
        <v>138</v>
      </c>
      <c r="AO960" s="156">
        <v>250.0</v>
      </c>
      <c r="AP960" s="1301">
        <v>1.041</v>
      </c>
      <c r="AQ960" s="156" t="s">
        <v>722</v>
      </c>
      <c r="AR960" s="336" t="s">
        <v>2229</v>
      </c>
      <c r="AS960" s="156">
        <v>0.001</v>
      </c>
      <c r="AT960" s="159" t="s">
        <v>135</v>
      </c>
      <c r="AU960" s="159" t="s">
        <v>186</v>
      </c>
      <c r="AV960" s="159" t="s">
        <v>141</v>
      </c>
      <c r="AW960" s="68"/>
      <c r="AX960" s="1300" t="s">
        <v>151</v>
      </c>
      <c r="AY960" s="61" t="str">
        <f>IFERROR(__xludf.DUMMYFUNCTION("vlookup(BB960,importrange(""https://docs.google.com/spreadsheets/d/1d2vevQ_7D_v35q4wCQ4RpQ_IPoTwEMB9Yp6ymwlPqew/edit?gid=984458430#gid=984458430"", ""'replication success'!A:K""), 11, FAlSE)"),"#N/A")</f>
        <v>#N/A</v>
      </c>
      <c r="AZ960" s="61" t="str">
        <f>IFERROR(__xludf.DUMMYFUNCTION("vlookup(BB960,importrange(""https://docs.google.com/spreadsheets/d/1d2vevQ_7D_v35q4wCQ4RpQ_IPoTwEMB9Yp6ymwlPqew/edit?gid=984458430#gid=984458430"", ""'replication success'!A:M""), 12, FAlSE)"),"#N/A")</f>
        <v>#N/A</v>
      </c>
      <c r="BA960" s="61" t="str">
        <f>IFERROR(__xludf.DUMMYFUNCTION("vlookup(BB960,importrange(""https://docs.google.com/spreadsheets/d/1d2vevQ_7D_v35q4wCQ4RpQ_IPoTwEMB9Yp6ymwlPqew/edit?gid=984458430#gid=984458430"", ""'replication success'!A:M""), 13, FAlSE)"),"#N/A")</f>
        <v>#N/A</v>
      </c>
      <c r="BB960" s="61" t="str">
        <f>IFERROR(__xludf.DUMMYFUNCTION("REGEXREPLACE(G960, ""_[a-z]{1,2}$"", """")"),"Boyce_etal2023173_1")</f>
        <v>Boyce_etal2023173_1</v>
      </c>
      <c r="BD960" s="68" t="s">
        <v>153</v>
      </c>
    </row>
    <row r="961">
      <c r="A961" s="44">
        <v>961.0</v>
      </c>
      <c r="B961" s="68" t="s">
        <v>590</v>
      </c>
      <c r="C961" s="62" t="s">
        <v>115</v>
      </c>
      <c r="D961" s="62" t="s">
        <v>153</v>
      </c>
      <c r="F961" s="68" t="s">
        <v>5258</v>
      </c>
      <c r="G961" s="159" t="s">
        <v>5282</v>
      </c>
      <c r="H961" s="159" t="s">
        <v>153</v>
      </c>
      <c r="I961" s="152">
        <v>45687.0</v>
      </c>
      <c r="J961" s="152">
        <v>45692.0</v>
      </c>
      <c r="K961" s="1055" t="s">
        <v>5283</v>
      </c>
      <c r="L961" s="159" t="s">
        <v>5267</v>
      </c>
      <c r="M961" s="159" t="s">
        <v>5260</v>
      </c>
      <c r="N961" s="159" t="s">
        <v>5261</v>
      </c>
      <c r="O961" s="156">
        <v>1.0</v>
      </c>
      <c r="P961" s="606" t="str">
        <f t="shared" si="52"/>
        <v>10.1016--j.ecresq.2019.10.004.pdf</v>
      </c>
      <c r="Q961" s="52" t="str">
        <f t="array" ref="Q961"> if(iserror(MATCH(V961, 'File Links'!C:C, 0)), "N/A", HYPERLINK(INDEX('File Links'!B:B, MATCH(P961, 'File Links'!C:C, 0))))</f>
        <v>https://drive.google.com/file/d/1w5TanXJyS5YVblHirQgJO5zKr4e7CFnK/view?usp=drivesdk</v>
      </c>
      <c r="R961" s="606" t="s">
        <v>3653</v>
      </c>
      <c r="S961" s="159" t="s">
        <v>3654</v>
      </c>
      <c r="T961" s="68"/>
      <c r="U961" s="156">
        <v>1.0</v>
      </c>
      <c r="V961" s="198" t="str">
        <f t="shared" si="53"/>
        <v>10.1098--rsos.231240.pdf</v>
      </c>
      <c r="W961" s="159" t="s">
        <v>3696</v>
      </c>
      <c r="X961" s="54" t="str">
        <f t="array" ref="X961"> if(iserror(MATCH(V961, 'File Links'!C:C, 0)), "N/A", HYPERLINK(INDEX('File Links'!B:B, MATCH(V961, 'File Links'!C:C, 0))))</f>
        <v>https://drive.google.com/file/d/17gaf2Zy_ljFfcAEDk5L8GBnTl5i7RGJE/view?usp=drivesdk</v>
      </c>
      <c r="Y961" s="68"/>
      <c r="Z961" s="159" t="s">
        <v>1809</v>
      </c>
      <c r="AA961" s="159" t="s">
        <v>5268</v>
      </c>
      <c r="AB961" s="159" t="s">
        <v>5269</v>
      </c>
      <c r="AC961" s="159" t="s">
        <v>5284</v>
      </c>
      <c r="AD961" s="159" t="s">
        <v>5275</v>
      </c>
      <c r="AE961" s="156">
        <v>8.0</v>
      </c>
      <c r="AF961" s="156">
        <v>540.0</v>
      </c>
      <c r="AG961" s="156">
        <v>1.027</v>
      </c>
      <c r="AH961" s="156" t="s">
        <v>722</v>
      </c>
      <c r="AI961" s="156" t="s">
        <v>613</v>
      </c>
      <c r="AJ961" s="1301">
        <v>0.001</v>
      </c>
      <c r="AK961" s="159" t="s">
        <v>135</v>
      </c>
      <c r="AL961" s="159" t="s">
        <v>186</v>
      </c>
      <c r="AM961" s="159" t="s">
        <v>141</v>
      </c>
      <c r="AN961" s="151" t="s">
        <v>138</v>
      </c>
      <c r="AO961" s="156">
        <v>250.0</v>
      </c>
      <c r="AP961" s="1301">
        <v>1.041</v>
      </c>
      <c r="AQ961" s="156" t="s">
        <v>722</v>
      </c>
      <c r="AR961" s="336" t="s">
        <v>2229</v>
      </c>
      <c r="AS961" s="156">
        <v>0.001</v>
      </c>
      <c r="AT961" s="159" t="s">
        <v>135</v>
      </c>
      <c r="AU961" s="159" t="s">
        <v>186</v>
      </c>
      <c r="AV961" s="159" t="s">
        <v>141</v>
      </c>
      <c r="AW961" s="68"/>
      <c r="AX961" s="1300" t="s">
        <v>151</v>
      </c>
      <c r="AY961" s="61" t="str">
        <f>IFERROR(__xludf.DUMMYFUNCTION("vlookup(BB961,importrange(""https://docs.google.com/spreadsheets/d/1d2vevQ_7D_v35q4wCQ4RpQ_IPoTwEMB9Yp6ymwlPqew/edit?gid=984458430#gid=984458430"", ""'replication success'!A:K""), 11, FAlSE)"),"#N/A")</f>
        <v>#N/A</v>
      </c>
      <c r="AZ961" s="61" t="str">
        <f>IFERROR(__xludf.DUMMYFUNCTION("vlookup(BB961,importrange(""https://docs.google.com/spreadsheets/d/1d2vevQ_7D_v35q4wCQ4RpQ_IPoTwEMB9Yp6ymwlPqew/edit?gid=984458430#gid=984458430"", ""'replication success'!A:M""), 12, FAlSE)"),"#N/A")</f>
        <v>#N/A</v>
      </c>
      <c r="BA961" s="61" t="str">
        <f>IFERROR(__xludf.DUMMYFUNCTION("vlookup(BB961,importrange(""https://docs.google.com/spreadsheets/d/1d2vevQ_7D_v35q4wCQ4RpQ_IPoTwEMB9Yp6ymwlPqew/edit?gid=984458430#gid=984458430"", ""'replication success'!A:M""), 13, FAlSE)"),"#N/A")</f>
        <v>#N/A</v>
      </c>
      <c r="BB961" s="61" t="str">
        <f>IFERROR(__xludf.DUMMYFUNCTION("REGEXREPLACE(G961, ""_[a-z]{1,2}$"", """")"),"Boyce_etal2023173_1")</f>
        <v>Boyce_etal2023173_1</v>
      </c>
      <c r="BD961" s="68" t="s">
        <v>153</v>
      </c>
    </row>
    <row r="962">
      <c r="A962" s="44">
        <v>962.0</v>
      </c>
      <c r="B962" s="68" t="s">
        <v>590</v>
      </c>
      <c r="C962" s="62" t="s">
        <v>115</v>
      </c>
      <c r="D962" s="62" t="s">
        <v>153</v>
      </c>
      <c r="F962" s="68" t="s">
        <v>5258</v>
      </c>
      <c r="G962" s="159" t="s">
        <v>5285</v>
      </c>
      <c r="H962" s="159" t="s">
        <v>153</v>
      </c>
      <c r="I962" s="152">
        <v>45687.0</v>
      </c>
      <c r="J962" s="152">
        <v>45692.0</v>
      </c>
      <c r="K962" s="1055" t="s">
        <v>5286</v>
      </c>
      <c r="L962" s="159" t="s">
        <v>5267</v>
      </c>
      <c r="M962" s="159" t="s">
        <v>5260</v>
      </c>
      <c r="N962" s="159" t="s">
        <v>5261</v>
      </c>
      <c r="O962" s="156">
        <v>1.0</v>
      </c>
      <c r="P962" s="606" t="str">
        <f t="shared" si="52"/>
        <v>10.1016--j.ecresq.2019.10.004.pdf</v>
      </c>
      <c r="Q962" s="52" t="str">
        <f t="array" ref="Q962"> if(iserror(MATCH(V962, 'File Links'!C:C, 0)), "N/A", HYPERLINK(INDEX('File Links'!B:B, MATCH(P962, 'File Links'!C:C, 0))))</f>
        <v>https://drive.google.com/file/d/1w5TanXJyS5YVblHirQgJO5zKr4e7CFnK/view?usp=drivesdk</v>
      </c>
      <c r="R962" s="606" t="s">
        <v>3653</v>
      </c>
      <c r="S962" s="159" t="s">
        <v>3654</v>
      </c>
      <c r="T962" s="68"/>
      <c r="U962" s="156">
        <v>1.0</v>
      </c>
      <c r="V962" s="198" t="str">
        <f t="shared" si="53"/>
        <v>10.1098--rsos.231240.pdf</v>
      </c>
      <c r="W962" s="159" t="s">
        <v>3696</v>
      </c>
      <c r="X962" s="54" t="str">
        <f t="array" ref="X962"> if(iserror(MATCH(V962, 'File Links'!C:C, 0)), "N/A", HYPERLINK(INDEX('File Links'!B:B, MATCH(V962, 'File Links'!C:C, 0))))</f>
        <v>https://drive.google.com/file/d/17gaf2Zy_ljFfcAEDk5L8GBnTl5i7RGJE/view?usp=drivesdk</v>
      </c>
      <c r="Y962" s="68"/>
      <c r="Z962" s="159" t="s">
        <v>1809</v>
      </c>
      <c r="AA962" s="159" t="s">
        <v>5268</v>
      </c>
      <c r="AB962" s="159" t="s">
        <v>5269</v>
      </c>
      <c r="AC962" s="159" t="s">
        <v>5287</v>
      </c>
      <c r="AD962" s="159" t="s">
        <v>5271</v>
      </c>
      <c r="AE962" s="156">
        <v>8.0</v>
      </c>
      <c r="AF962" s="156">
        <v>540.0</v>
      </c>
      <c r="AG962" s="156">
        <v>1.0</v>
      </c>
      <c r="AH962" s="156" t="s">
        <v>722</v>
      </c>
      <c r="AI962" s="156" t="s">
        <v>613</v>
      </c>
      <c r="AJ962" s="156">
        <v>0.05</v>
      </c>
      <c r="AK962" s="159" t="s">
        <v>335</v>
      </c>
      <c r="AL962" s="159" t="s">
        <v>186</v>
      </c>
      <c r="AM962" s="159" t="s">
        <v>141</v>
      </c>
      <c r="AN962" s="151" t="s">
        <v>138</v>
      </c>
      <c r="AO962" s="156">
        <v>250.0</v>
      </c>
      <c r="AP962" s="1301">
        <v>1.0</v>
      </c>
      <c r="AQ962" s="156" t="s">
        <v>722</v>
      </c>
      <c r="AR962" s="336" t="s">
        <v>2229</v>
      </c>
      <c r="AS962" s="156">
        <v>0.05</v>
      </c>
      <c r="AT962" s="159" t="s">
        <v>335</v>
      </c>
      <c r="AU962" s="159" t="s">
        <v>186</v>
      </c>
      <c r="AV962" s="159" t="s">
        <v>141</v>
      </c>
      <c r="AW962" s="68"/>
      <c r="AX962" s="1300" t="s">
        <v>151</v>
      </c>
      <c r="AY962" s="61" t="str">
        <f>IFERROR(__xludf.DUMMYFUNCTION("vlookup(BB962,importrange(""https://docs.google.com/spreadsheets/d/1d2vevQ_7D_v35q4wCQ4RpQ_IPoTwEMB9Yp6ymwlPqew/edit?gid=984458430#gid=984458430"", ""'replication success'!A:K""), 11, FAlSE)"),"#N/A")</f>
        <v>#N/A</v>
      </c>
      <c r="AZ962" s="61" t="str">
        <f>IFERROR(__xludf.DUMMYFUNCTION("vlookup(BB962,importrange(""https://docs.google.com/spreadsheets/d/1d2vevQ_7D_v35q4wCQ4RpQ_IPoTwEMB9Yp6ymwlPqew/edit?gid=984458430#gid=984458430"", ""'replication success'!A:M""), 12, FAlSE)"),"#N/A")</f>
        <v>#N/A</v>
      </c>
      <c r="BA962" s="61" t="str">
        <f>IFERROR(__xludf.DUMMYFUNCTION("vlookup(BB962,importrange(""https://docs.google.com/spreadsheets/d/1d2vevQ_7D_v35q4wCQ4RpQ_IPoTwEMB9Yp6ymwlPqew/edit?gid=984458430#gid=984458430"", ""'replication success'!A:M""), 13, FAlSE)"),"#N/A")</f>
        <v>#N/A</v>
      </c>
      <c r="BB962" s="61" t="str">
        <f>IFERROR(__xludf.DUMMYFUNCTION("REGEXREPLACE(G962, ""_[a-z]{1,2}$"", """")"),"Boyce_etal2023173_1")</f>
        <v>Boyce_etal2023173_1</v>
      </c>
      <c r="BD962" s="68" t="s">
        <v>153</v>
      </c>
    </row>
    <row r="963">
      <c r="A963" s="44">
        <v>963.0</v>
      </c>
      <c r="B963" s="68" t="s">
        <v>590</v>
      </c>
      <c r="C963" s="62" t="s">
        <v>115</v>
      </c>
      <c r="D963" s="62" t="s">
        <v>153</v>
      </c>
      <c r="F963" s="68" t="s">
        <v>5258</v>
      </c>
      <c r="G963" s="159" t="s">
        <v>5288</v>
      </c>
      <c r="H963" s="159" t="s">
        <v>153</v>
      </c>
      <c r="I963" s="152">
        <v>45687.0</v>
      </c>
      <c r="J963" s="152">
        <v>45692.0</v>
      </c>
      <c r="K963" s="1055" t="s">
        <v>5289</v>
      </c>
      <c r="L963" s="159" t="s">
        <v>5267</v>
      </c>
      <c r="M963" s="159" t="s">
        <v>5260</v>
      </c>
      <c r="N963" s="159" t="s">
        <v>5261</v>
      </c>
      <c r="O963" s="156">
        <v>1.0</v>
      </c>
      <c r="P963" s="606" t="str">
        <f t="shared" si="52"/>
        <v>10.1016--j.ecresq.2019.10.004.pdf</v>
      </c>
      <c r="Q963" s="52" t="str">
        <f t="array" ref="Q963"> if(iserror(MATCH(V963, 'File Links'!C:C, 0)), "N/A", HYPERLINK(INDEX('File Links'!B:B, MATCH(P963, 'File Links'!C:C, 0))))</f>
        <v>https://drive.google.com/file/d/1w5TanXJyS5YVblHirQgJO5zKr4e7CFnK/view?usp=drivesdk</v>
      </c>
      <c r="R963" s="606" t="s">
        <v>3653</v>
      </c>
      <c r="S963" s="159" t="s">
        <v>3654</v>
      </c>
      <c r="T963" s="68"/>
      <c r="U963" s="156">
        <v>1.0</v>
      </c>
      <c r="V963" s="198" t="str">
        <f t="shared" si="53"/>
        <v>10.1098--rsos.231240.pdf</v>
      </c>
      <c r="W963" s="159" t="s">
        <v>3696</v>
      </c>
      <c r="X963" s="54" t="str">
        <f t="array" ref="X963"> if(iserror(MATCH(V963, 'File Links'!C:C, 0)), "N/A", HYPERLINK(INDEX('File Links'!B:B, MATCH(V963, 'File Links'!C:C, 0))))</f>
        <v>https://drive.google.com/file/d/17gaf2Zy_ljFfcAEDk5L8GBnTl5i7RGJE/view?usp=drivesdk</v>
      </c>
      <c r="Y963" s="68"/>
      <c r="Z963" s="159" t="s">
        <v>1809</v>
      </c>
      <c r="AA963" s="159" t="s">
        <v>5268</v>
      </c>
      <c r="AB963" s="159" t="s">
        <v>5269</v>
      </c>
      <c r="AC963" s="159" t="s">
        <v>5290</v>
      </c>
      <c r="AD963" s="159" t="s">
        <v>5271</v>
      </c>
      <c r="AE963" s="156">
        <v>8.0</v>
      </c>
      <c r="AF963" s="156">
        <v>540.0</v>
      </c>
      <c r="AG963" s="156">
        <v>0.997</v>
      </c>
      <c r="AH963" s="156" t="s">
        <v>722</v>
      </c>
      <c r="AI963" s="156" t="s">
        <v>613</v>
      </c>
      <c r="AJ963" s="156">
        <v>0.05</v>
      </c>
      <c r="AK963" s="159" t="s">
        <v>335</v>
      </c>
      <c r="AL963" s="159" t="s">
        <v>186</v>
      </c>
      <c r="AM963" s="159" t="s">
        <v>141</v>
      </c>
      <c r="AN963" s="151" t="s">
        <v>138</v>
      </c>
      <c r="AO963" s="156">
        <v>250.0</v>
      </c>
      <c r="AP963" s="156">
        <v>0.995</v>
      </c>
      <c r="AQ963" s="156" t="s">
        <v>722</v>
      </c>
      <c r="AR963" s="336" t="s">
        <v>2229</v>
      </c>
      <c r="AS963" s="156">
        <v>0.05</v>
      </c>
      <c r="AT963" s="159" t="s">
        <v>335</v>
      </c>
      <c r="AU963" s="159" t="s">
        <v>186</v>
      </c>
      <c r="AV963" s="159" t="s">
        <v>141</v>
      </c>
      <c r="AW963" s="68"/>
      <c r="AX963" s="1300" t="s">
        <v>151</v>
      </c>
      <c r="AY963" s="61" t="str">
        <f>IFERROR(__xludf.DUMMYFUNCTION("vlookup(BB963,importrange(""https://docs.google.com/spreadsheets/d/1d2vevQ_7D_v35q4wCQ4RpQ_IPoTwEMB9Yp6ymwlPqew/edit?gid=984458430#gid=984458430"", ""'replication success'!A:K""), 11, FAlSE)"),"#N/A")</f>
        <v>#N/A</v>
      </c>
      <c r="AZ963" s="61" t="str">
        <f>IFERROR(__xludf.DUMMYFUNCTION("vlookup(BB963,importrange(""https://docs.google.com/spreadsheets/d/1d2vevQ_7D_v35q4wCQ4RpQ_IPoTwEMB9Yp6ymwlPqew/edit?gid=984458430#gid=984458430"", ""'replication success'!A:M""), 12, FAlSE)"),"#N/A")</f>
        <v>#N/A</v>
      </c>
      <c r="BA963" s="61" t="str">
        <f>IFERROR(__xludf.DUMMYFUNCTION("vlookup(BB963,importrange(""https://docs.google.com/spreadsheets/d/1d2vevQ_7D_v35q4wCQ4RpQ_IPoTwEMB9Yp6ymwlPqew/edit?gid=984458430#gid=984458430"", ""'replication success'!A:M""), 13, FAlSE)"),"#N/A")</f>
        <v>#N/A</v>
      </c>
      <c r="BB963" s="61" t="str">
        <f>IFERROR(__xludf.DUMMYFUNCTION("REGEXREPLACE(G963, ""_[a-z]{1,2}$"", """")"),"Boyce_etal2023173_1")</f>
        <v>Boyce_etal2023173_1</v>
      </c>
      <c r="BD963" s="68" t="s">
        <v>153</v>
      </c>
    </row>
    <row r="964">
      <c r="A964" s="44">
        <v>964.0</v>
      </c>
      <c r="B964" s="68" t="s">
        <v>590</v>
      </c>
      <c r="C964" s="62" t="s">
        <v>115</v>
      </c>
      <c r="D964" s="62" t="s">
        <v>153</v>
      </c>
      <c r="F964" s="68" t="s">
        <v>5258</v>
      </c>
      <c r="G964" s="159" t="s">
        <v>5291</v>
      </c>
      <c r="H964" s="159" t="s">
        <v>153</v>
      </c>
      <c r="I964" s="152">
        <v>45687.0</v>
      </c>
      <c r="J964" s="152">
        <v>45692.0</v>
      </c>
      <c r="K964" s="1055" t="s">
        <v>5292</v>
      </c>
      <c r="L964" s="159" t="s">
        <v>5267</v>
      </c>
      <c r="M964" s="159" t="s">
        <v>5260</v>
      </c>
      <c r="N964" s="159" t="s">
        <v>5261</v>
      </c>
      <c r="O964" s="156">
        <v>1.0</v>
      </c>
      <c r="P964" s="606" t="str">
        <f t="shared" si="52"/>
        <v>10.1016--j.ecresq.2019.10.004.pdf</v>
      </c>
      <c r="Q964" s="52" t="str">
        <f t="array" ref="Q964"> if(iserror(MATCH(V964, 'File Links'!C:C, 0)), "N/A", HYPERLINK(INDEX('File Links'!B:B, MATCH(P964, 'File Links'!C:C, 0))))</f>
        <v>https://drive.google.com/file/d/1w5TanXJyS5YVblHirQgJO5zKr4e7CFnK/view?usp=drivesdk</v>
      </c>
      <c r="R964" s="606" t="s">
        <v>3653</v>
      </c>
      <c r="S964" s="159" t="s">
        <v>3654</v>
      </c>
      <c r="T964" s="68"/>
      <c r="U964" s="156">
        <v>1.0</v>
      </c>
      <c r="V964" s="198" t="str">
        <f t="shared" si="53"/>
        <v>10.1098--rsos.231240.pdf</v>
      </c>
      <c r="W964" s="159" t="s">
        <v>3696</v>
      </c>
      <c r="X964" s="54" t="str">
        <f t="array" ref="X964"> if(iserror(MATCH(V964, 'File Links'!C:C, 0)), "N/A", HYPERLINK(INDEX('File Links'!B:B, MATCH(V964, 'File Links'!C:C, 0))))</f>
        <v>https://drive.google.com/file/d/17gaf2Zy_ljFfcAEDk5L8GBnTl5i7RGJE/view?usp=drivesdk</v>
      </c>
      <c r="Y964" s="68"/>
      <c r="Z964" s="159" t="s">
        <v>1809</v>
      </c>
      <c r="AA964" s="159" t="s">
        <v>5268</v>
      </c>
      <c r="AB964" s="159" t="s">
        <v>5269</v>
      </c>
      <c r="AC964" s="159" t="s">
        <v>5293</v>
      </c>
      <c r="AD964" s="159" t="s">
        <v>5271</v>
      </c>
      <c r="AE964" s="156">
        <v>8.0</v>
      </c>
      <c r="AF964" s="156">
        <v>540.0</v>
      </c>
      <c r="AG964" s="1248">
        <v>0.999</v>
      </c>
      <c r="AH964" s="156" t="s">
        <v>722</v>
      </c>
      <c r="AI964" s="156" t="s">
        <v>613</v>
      </c>
      <c r="AJ964" s="156">
        <v>0.05</v>
      </c>
      <c r="AK964" s="159" t="s">
        <v>335</v>
      </c>
      <c r="AL964" s="159" t="s">
        <v>186</v>
      </c>
      <c r="AM964" s="159" t="s">
        <v>141</v>
      </c>
      <c r="AN964" s="151" t="s">
        <v>138</v>
      </c>
      <c r="AO964" s="156">
        <v>250.0</v>
      </c>
      <c r="AP964" s="1301">
        <v>0.994</v>
      </c>
      <c r="AQ964" s="156" t="s">
        <v>722</v>
      </c>
      <c r="AR964" s="336" t="s">
        <v>2229</v>
      </c>
      <c r="AS964" s="156">
        <v>0.05</v>
      </c>
      <c r="AT964" s="159" t="s">
        <v>335</v>
      </c>
      <c r="AU964" s="159" t="s">
        <v>186</v>
      </c>
      <c r="AV964" s="159" t="s">
        <v>141</v>
      </c>
      <c r="AW964" s="68"/>
      <c r="AX964" s="1300" t="s">
        <v>151</v>
      </c>
      <c r="AY964" s="61" t="str">
        <f>IFERROR(__xludf.DUMMYFUNCTION("vlookup(BB964,importrange(""https://docs.google.com/spreadsheets/d/1d2vevQ_7D_v35q4wCQ4RpQ_IPoTwEMB9Yp6ymwlPqew/edit?gid=984458430#gid=984458430"", ""'replication success'!A:K""), 11, FAlSE)"),"#N/A")</f>
        <v>#N/A</v>
      </c>
      <c r="AZ964" s="61" t="str">
        <f>IFERROR(__xludf.DUMMYFUNCTION("vlookup(BB964,importrange(""https://docs.google.com/spreadsheets/d/1d2vevQ_7D_v35q4wCQ4RpQ_IPoTwEMB9Yp6ymwlPqew/edit?gid=984458430#gid=984458430"", ""'replication success'!A:M""), 12, FAlSE)"),"#N/A")</f>
        <v>#N/A</v>
      </c>
      <c r="BA964" s="61" t="str">
        <f>IFERROR(__xludf.DUMMYFUNCTION("vlookup(BB964,importrange(""https://docs.google.com/spreadsheets/d/1d2vevQ_7D_v35q4wCQ4RpQ_IPoTwEMB9Yp6ymwlPqew/edit?gid=984458430#gid=984458430"", ""'replication success'!A:M""), 13, FAlSE)"),"#N/A")</f>
        <v>#N/A</v>
      </c>
      <c r="BB964" s="61" t="str">
        <f>IFERROR(__xludf.DUMMYFUNCTION("REGEXREPLACE(G964, ""_[a-z]{1,2}$"", """")"),"Boyce_etal2023173_1")</f>
        <v>Boyce_etal2023173_1</v>
      </c>
      <c r="BD964" s="68" t="s">
        <v>153</v>
      </c>
    </row>
    <row r="965">
      <c r="A965" s="44">
        <v>965.0</v>
      </c>
      <c r="B965" s="68" t="s">
        <v>590</v>
      </c>
      <c r="C965" s="62" t="s">
        <v>115</v>
      </c>
      <c r="D965" s="62" t="s">
        <v>153</v>
      </c>
      <c r="F965" s="68" t="s">
        <v>5258</v>
      </c>
      <c r="G965" s="159" t="s">
        <v>5294</v>
      </c>
      <c r="H965" s="159" t="s">
        <v>153</v>
      </c>
      <c r="I965" s="152">
        <v>45687.0</v>
      </c>
      <c r="J965" s="152">
        <v>45692.0</v>
      </c>
      <c r="K965" s="1055" t="s">
        <v>5295</v>
      </c>
      <c r="L965" s="159" t="s">
        <v>5267</v>
      </c>
      <c r="M965" s="159" t="s">
        <v>5260</v>
      </c>
      <c r="N965" s="159" t="s">
        <v>5261</v>
      </c>
      <c r="O965" s="156">
        <v>1.0</v>
      </c>
      <c r="P965" s="606" t="str">
        <f t="shared" si="52"/>
        <v>10.1016--j.ecresq.2019.10.004.pdf</v>
      </c>
      <c r="Q965" s="52" t="str">
        <f t="array" ref="Q965"> if(iserror(MATCH(V965, 'File Links'!C:C, 0)), "N/A", HYPERLINK(INDEX('File Links'!B:B, MATCH(P965, 'File Links'!C:C, 0))))</f>
        <v>https://drive.google.com/file/d/1w5TanXJyS5YVblHirQgJO5zKr4e7CFnK/view?usp=drivesdk</v>
      </c>
      <c r="R965" s="606" t="s">
        <v>3653</v>
      </c>
      <c r="S965" s="159" t="s">
        <v>3654</v>
      </c>
      <c r="T965" s="68"/>
      <c r="U965" s="156">
        <v>1.0</v>
      </c>
      <c r="V965" s="198" t="str">
        <f t="shared" si="53"/>
        <v>10.1098--rsos.231240.pdf</v>
      </c>
      <c r="W965" s="159" t="s">
        <v>3696</v>
      </c>
      <c r="X965" s="54" t="str">
        <f t="array" ref="X965"> if(iserror(MATCH(V965, 'File Links'!C:C, 0)), "N/A", HYPERLINK(INDEX('File Links'!B:B, MATCH(V965, 'File Links'!C:C, 0))))</f>
        <v>https://drive.google.com/file/d/17gaf2Zy_ljFfcAEDk5L8GBnTl5i7RGJE/view?usp=drivesdk</v>
      </c>
      <c r="Y965" s="68"/>
      <c r="Z965" s="159" t="s">
        <v>1809</v>
      </c>
      <c r="AA965" s="159" t="s">
        <v>5268</v>
      </c>
      <c r="AB965" s="159" t="s">
        <v>5269</v>
      </c>
      <c r="AC965" s="159" t="s">
        <v>5296</v>
      </c>
      <c r="AD965" s="159" t="s">
        <v>5297</v>
      </c>
      <c r="AE965" s="156">
        <v>8.0</v>
      </c>
      <c r="AF965" s="156">
        <v>540.0</v>
      </c>
      <c r="AG965" s="1248">
        <v>1.01</v>
      </c>
      <c r="AH965" s="156" t="s">
        <v>722</v>
      </c>
      <c r="AI965" s="156" t="s">
        <v>613</v>
      </c>
      <c r="AJ965" s="156">
        <v>0.05</v>
      </c>
      <c r="AK965" s="159" t="s">
        <v>335</v>
      </c>
      <c r="AL965" s="159" t="s">
        <v>186</v>
      </c>
      <c r="AM965" s="159" t="s">
        <v>141</v>
      </c>
      <c r="AN965" s="151" t="s">
        <v>138</v>
      </c>
      <c r="AO965" s="156">
        <v>250.0</v>
      </c>
      <c r="AP965" s="1301">
        <v>0.999</v>
      </c>
      <c r="AQ965" s="156" t="s">
        <v>722</v>
      </c>
      <c r="AR965" s="156" t="s">
        <v>627</v>
      </c>
      <c r="AS965" s="156">
        <v>0.05</v>
      </c>
      <c r="AT965" s="159" t="s">
        <v>335</v>
      </c>
      <c r="AU965" s="159" t="s">
        <v>186</v>
      </c>
      <c r="AV965" s="159" t="s">
        <v>141</v>
      </c>
      <c r="AW965" s="68"/>
      <c r="AX965" s="1300" t="s">
        <v>151</v>
      </c>
      <c r="AY965" s="61" t="str">
        <f>IFERROR(__xludf.DUMMYFUNCTION("vlookup(BB965,importrange(""https://docs.google.com/spreadsheets/d/1d2vevQ_7D_v35q4wCQ4RpQ_IPoTwEMB9Yp6ymwlPqew/edit?gid=984458430#gid=984458430"", ""'replication success'!A:K""), 11, FAlSE)"),"#N/A")</f>
        <v>#N/A</v>
      </c>
      <c r="AZ965" s="61" t="str">
        <f>IFERROR(__xludf.DUMMYFUNCTION("vlookup(BB965,importrange(""https://docs.google.com/spreadsheets/d/1d2vevQ_7D_v35q4wCQ4RpQ_IPoTwEMB9Yp6ymwlPqew/edit?gid=984458430#gid=984458430"", ""'replication success'!A:M""), 12, FAlSE)"),"#N/A")</f>
        <v>#N/A</v>
      </c>
      <c r="BA965" s="61" t="str">
        <f>IFERROR(__xludf.DUMMYFUNCTION("vlookup(BB965,importrange(""https://docs.google.com/spreadsheets/d/1d2vevQ_7D_v35q4wCQ4RpQ_IPoTwEMB9Yp6ymwlPqew/edit?gid=984458430#gid=984458430"", ""'replication success'!A:M""), 13, FAlSE)"),"#N/A")</f>
        <v>#N/A</v>
      </c>
      <c r="BB965" s="61" t="str">
        <f>IFERROR(__xludf.DUMMYFUNCTION("REGEXREPLACE(G965, ""_[a-z]{1,2}$"", """")"),"Boyce_etal2023173_1")</f>
        <v>Boyce_etal2023173_1</v>
      </c>
      <c r="BD965" s="68" t="s">
        <v>153</v>
      </c>
    </row>
    <row r="966">
      <c r="A966" s="44">
        <v>966.0</v>
      </c>
      <c r="B966" s="68" t="s">
        <v>590</v>
      </c>
      <c r="C966" s="62" t="s">
        <v>115</v>
      </c>
      <c r="D966" s="62" t="s">
        <v>153</v>
      </c>
      <c r="F966" s="68" t="s">
        <v>5258</v>
      </c>
      <c r="G966" s="159" t="s">
        <v>5298</v>
      </c>
      <c r="H966" s="159" t="s">
        <v>153</v>
      </c>
      <c r="I966" s="152">
        <v>45687.0</v>
      </c>
      <c r="J966" s="152">
        <v>45692.0</v>
      </c>
      <c r="K966" s="1055" t="s">
        <v>5299</v>
      </c>
      <c r="L966" s="159" t="s">
        <v>5267</v>
      </c>
      <c r="M966" s="159" t="s">
        <v>5260</v>
      </c>
      <c r="N966" s="159" t="s">
        <v>5261</v>
      </c>
      <c r="O966" s="156">
        <v>1.0</v>
      </c>
      <c r="P966" s="606" t="str">
        <f t="shared" si="52"/>
        <v>10.1016--j.ecresq.2019.10.004.pdf</v>
      </c>
      <c r="Q966" s="52" t="str">
        <f t="array" ref="Q966"> if(iserror(MATCH(V966, 'File Links'!C:C, 0)), "N/A", HYPERLINK(INDEX('File Links'!B:B, MATCH(P966, 'File Links'!C:C, 0))))</f>
        <v>https://drive.google.com/file/d/1w5TanXJyS5YVblHirQgJO5zKr4e7CFnK/view?usp=drivesdk</v>
      </c>
      <c r="R966" s="606" t="s">
        <v>3653</v>
      </c>
      <c r="S966" s="159" t="s">
        <v>3654</v>
      </c>
      <c r="T966" s="68"/>
      <c r="U966" s="156">
        <v>1.0</v>
      </c>
      <c r="V966" s="198" t="str">
        <f t="shared" si="53"/>
        <v>10.1098--rsos.231240.pdf</v>
      </c>
      <c r="W966" s="159" t="s">
        <v>3696</v>
      </c>
      <c r="X966" s="54" t="str">
        <f t="array" ref="X966"> if(iserror(MATCH(V966, 'File Links'!C:C, 0)), "N/A", HYPERLINK(INDEX('File Links'!B:B, MATCH(V966, 'File Links'!C:C, 0))))</f>
        <v>https://drive.google.com/file/d/17gaf2Zy_ljFfcAEDk5L8GBnTl5i7RGJE/view?usp=drivesdk</v>
      </c>
      <c r="Y966" s="68"/>
      <c r="Z966" s="159" t="s">
        <v>1809</v>
      </c>
      <c r="AA966" s="159" t="s">
        <v>5268</v>
      </c>
      <c r="AB966" s="159" t="s">
        <v>5269</v>
      </c>
      <c r="AC966" s="159" t="s">
        <v>5300</v>
      </c>
      <c r="AD966" s="159" t="s">
        <v>5297</v>
      </c>
      <c r="AE966" s="156">
        <v>8.0</v>
      </c>
      <c r="AF966" s="156">
        <v>540.0</v>
      </c>
      <c r="AG966" s="1248">
        <v>1.01</v>
      </c>
      <c r="AH966" s="156" t="s">
        <v>722</v>
      </c>
      <c r="AI966" s="156" t="s">
        <v>613</v>
      </c>
      <c r="AJ966" s="156">
        <v>0.05</v>
      </c>
      <c r="AK966" s="159" t="s">
        <v>335</v>
      </c>
      <c r="AL966" s="159" t="s">
        <v>186</v>
      </c>
      <c r="AM966" s="159" t="s">
        <v>141</v>
      </c>
      <c r="AN966" s="151" t="s">
        <v>138</v>
      </c>
      <c r="AO966" s="156">
        <v>250.0</v>
      </c>
      <c r="AP966" s="1301">
        <v>0.999</v>
      </c>
      <c r="AQ966" s="156" t="s">
        <v>722</v>
      </c>
      <c r="AR966" s="156" t="s">
        <v>627</v>
      </c>
      <c r="AS966" s="156">
        <v>0.05</v>
      </c>
      <c r="AT966" s="159" t="s">
        <v>335</v>
      </c>
      <c r="AU966" s="159" t="s">
        <v>186</v>
      </c>
      <c r="AV966" s="159" t="s">
        <v>141</v>
      </c>
      <c r="AW966" s="68"/>
      <c r="AX966" s="1300" t="s">
        <v>151</v>
      </c>
      <c r="AY966" s="61" t="str">
        <f>IFERROR(__xludf.DUMMYFUNCTION("vlookup(BB966,importrange(""https://docs.google.com/spreadsheets/d/1d2vevQ_7D_v35q4wCQ4RpQ_IPoTwEMB9Yp6ymwlPqew/edit?gid=984458430#gid=984458430"", ""'replication success'!A:K""), 11, FAlSE)"),"#N/A")</f>
        <v>#N/A</v>
      </c>
      <c r="AZ966" s="61" t="str">
        <f>IFERROR(__xludf.DUMMYFUNCTION("vlookup(BB966,importrange(""https://docs.google.com/spreadsheets/d/1d2vevQ_7D_v35q4wCQ4RpQ_IPoTwEMB9Yp6ymwlPqew/edit?gid=984458430#gid=984458430"", ""'replication success'!A:M""), 12, FAlSE)"),"#N/A")</f>
        <v>#N/A</v>
      </c>
      <c r="BA966" s="61" t="str">
        <f>IFERROR(__xludf.DUMMYFUNCTION("vlookup(BB966,importrange(""https://docs.google.com/spreadsheets/d/1d2vevQ_7D_v35q4wCQ4RpQ_IPoTwEMB9Yp6ymwlPqew/edit?gid=984458430#gid=984458430"", ""'replication success'!A:M""), 13, FAlSE)"),"#N/A")</f>
        <v>#N/A</v>
      </c>
      <c r="BB966" s="61" t="str">
        <f>IFERROR(__xludf.DUMMYFUNCTION("REGEXREPLACE(G966, ""_[a-z]{1,2}$"", """")"),"Boyce_etal2023173_1")</f>
        <v>Boyce_etal2023173_1</v>
      </c>
      <c r="BD966" s="68" t="s">
        <v>153</v>
      </c>
    </row>
    <row r="967">
      <c r="A967" s="44">
        <v>967.0</v>
      </c>
      <c r="B967" s="68" t="s">
        <v>590</v>
      </c>
      <c r="C967" s="62" t="s">
        <v>115</v>
      </c>
      <c r="D967" s="62" t="s">
        <v>153</v>
      </c>
      <c r="F967" s="68" t="s">
        <v>5258</v>
      </c>
      <c r="G967" s="159" t="s">
        <v>5301</v>
      </c>
      <c r="H967" s="159" t="s">
        <v>153</v>
      </c>
      <c r="I967" s="152">
        <v>45687.0</v>
      </c>
      <c r="J967" s="152">
        <v>45692.0</v>
      </c>
      <c r="K967" s="1055" t="s">
        <v>5302</v>
      </c>
      <c r="L967" s="159" t="s">
        <v>5267</v>
      </c>
      <c r="M967" s="159" t="s">
        <v>5260</v>
      </c>
      <c r="N967" s="159" t="s">
        <v>5261</v>
      </c>
      <c r="O967" s="156">
        <v>1.0</v>
      </c>
      <c r="P967" s="606" t="str">
        <f t="shared" si="52"/>
        <v>10.1016--j.ecresq.2019.10.004.pdf</v>
      </c>
      <c r="Q967" s="52" t="str">
        <f t="array" ref="Q967"> if(iserror(MATCH(V967, 'File Links'!C:C, 0)), "N/A", HYPERLINK(INDEX('File Links'!B:B, MATCH(P967, 'File Links'!C:C, 0))))</f>
        <v>https://drive.google.com/file/d/1w5TanXJyS5YVblHirQgJO5zKr4e7CFnK/view?usp=drivesdk</v>
      </c>
      <c r="R967" s="606" t="s">
        <v>3653</v>
      </c>
      <c r="S967" s="159" t="s">
        <v>3654</v>
      </c>
      <c r="T967" s="68"/>
      <c r="U967" s="156">
        <v>1.0</v>
      </c>
      <c r="V967" s="198" t="str">
        <f t="shared" si="53"/>
        <v>10.1098--rsos.231240.pdf</v>
      </c>
      <c r="W967" s="159" t="s">
        <v>3696</v>
      </c>
      <c r="X967" s="54" t="str">
        <f t="array" ref="X967"> if(iserror(MATCH(V967, 'File Links'!C:C, 0)), "N/A", HYPERLINK(INDEX('File Links'!B:B, MATCH(V967, 'File Links'!C:C, 0))))</f>
        <v>https://drive.google.com/file/d/17gaf2Zy_ljFfcAEDk5L8GBnTl5i7RGJE/view?usp=drivesdk</v>
      </c>
      <c r="Y967" s="68"/>
      <c r="Z967" s="159" t="s">
        <v>1809</v>
      </c>
      <c r="AA967" s="159" t="s">
        <v>5268</v>
      </c>
      <c r="AB967" s="159" t="s">
        <v>5269</v>
      </c>
      <c r="AC967" s="159" t="s">
        <v>5303</v>
      </c>
      <c r="AD967" s="159" t="s">
        <v>5297</v>
      </c>
      <c r="AE967" s="156">
        <v>8.0</v>
      </c>
      <c r="AF967" s="156">
        <v>540.0</v>
      </c>
      <c r="AG967" s="1248">
        <v>1.009</v>
      </c>
      <c r="AH967" s="156" t="s">
        <v>722</v>
      </c>
      <c r="AI967" s="156" t="s">
        <v>613</v>
      </c>
      <c r="AJ967" s="156">
        <v>0.05</v>
      </c>
      <c r="AK967" s="159" t="s">
        <v>335</v>
      </c>
      <c r="AL967" s="159" t="s">
        <v>186</v>
      </c>
      <c r="AM967" s="159" t="s">
        <v>141</v>
      </c>
      <c r="AN967" s="151" t="s">
        <v>138</v>
      </c>
      <c r="AO967" s="156">
        <v>250.0</v>
      </c>
      <c r="AP967" s="1301">
        <v>0.997</v>
      </c>
      <c r="AQ967" s="156" t="s">
        <v>722</v>
      </c>
      <c r="AR967" s="156" t="s">
        <v>627</v>
      </c>
      <c r="AS967" s="156">
        <v>0.05</v>
      </c>
      <c r="AT967" s="159" t="s">
        <v>335</v>
      </c>
      <c r="AU967" s="159" t="s">
        <v>186</v>
      </c>
      <c r="AV967" s="159" t="s">
        <v>141</v>
      </c>
      <c r="AW967" s="68"/>
      <c r="AX967" s="1300" t="s">
        <v>151</v>
      </c>
      <c r="AY967" s="61" t="str">
        <f>IFERROR(__xludf.DUMMYFUNCTION("vlookup(BB967,importrange(""https://docs.google.com/spreadsheets/d/1d2vevQ_7D_v35q4wCQ4RpQ_IPoTwEMB9Yp6ymwlPqew/edit?gid=984458430#gid=984458430"", ""'replication success'!A:K""), 11, FAlSE)"),"#N/A")</f>
        <v>#N/A</v>
      </c>
      <c r="AZ967" s="61" t="str">
        <f>IFERROR(__xludf.DUMMYFUNCTION("vlookup(BB967,importrange(""https://docs.google.com/spreadsheets/d/1d2vevQ_7D_v35q4wCQ4RpQ_IPoTwEMB9Yp6ymwlPqew/edit?gid=984458430#gid=984458430"", ""'replication success'!A:M""), 12, FAlSE)"),"#N/A")</f>
        <v>#N/A</v>
      </c>
      <c r="BA967" s="61" t="str">
        <f>IFERROR(__xludf.DUMMYFUNCTION("vlookup(BB967,importrange(""https://docs.google.com/spreadsheets/d/1d2vevQ_7D_v35q4wCQ4RpQ_IPoTwEMB9Yp6ymwlPqew/edit?gid=984458430#gid=984458430"", ""'replication success'!A:M""), 13, FAlSE)"),"#N/A")</f>
        <v>#N/A</v>
      </c>
      <c r="BB967" s="61" t="str">
        <f>IFERROR(__xludf.DUMMYFUNCTION("REGEXREPLACE(G967, ""_[a-z]{1,2}$"", """")"),"Boyce_etal2023173_1")</f>
        <v>Boyce_etal2023173_1</v>
      </c>
      <c r="BD967" s="68" t="s">
        <v>153</v>
      </c>
    </row>
    <row r="968">
      <c r="A968" s="44">
        <v>968.0</v>
      </c>
      <c r="B968" s="68" t="s">
        <v>590</v>
      </c>
      <c r="C968" s="62" t="s">
        <v>115</v>
      </c>
      <c r="D968" s="62" t="s">
        <v>153</v>
      </c>
      <c r="F968" s="68" t="s">
        <v>5258</v>
      </c>
      <c r="G968" s="159" t="s">
        <v>5304</v>
      </c>
      <c r="H968" s="159" t="s">
        <v>153</v>
      </c>
      <c r="I968" s="152">
        <v>45687.0</v>
      </c>
      <c r="J968" s="152">
        <v>45692.0</v>
      </c>
      <c r="K968" s="1055" t="s">
        <v>5305</v>
      </c>
      <c r="L968" s="159" t="s">
        <v>5267</v>
      </c>
      <c r="M968" s="159" t="s">
        <v>5260</v>
      </c>
      <c r="N968" s="159" t="s">
        <v>5261</v>
      </c>
      <c r="O968" s="156">
        <v>1.0</v>
      </c>
      <c r="P968" s="606" t="str">
        <f t="shared" si="52"/>
        <v>10.1016--j.ecresq.2019.10.004.pdf</v>
      </c>
      <c r="Q968" s="52" t="str">
        <f t="array" ref="Q968"> if(iserror(MATCH(V968, 'File Links'!C:C, 0)), "N/A", HYPERLINK(INDEX('File Links'!B:B, MATCH(P968, 'File Links'!C:C, 0))))</f>
        <v>https://drive.google.com/file/d/1w5TanXJyS5YVblHirQgJO5zKr4e7CFnK/view?usp=drivesdk</v>
      </c>
      <c r="R968" s="606" t="s">
        <v>3653</v>
      </c>
      <c r="S968" s="159" t="s">
        <v>3654</v>
      </c>
      <c r="T968" s="68"/>
      <c r="U968" s="156">
        <v>1.0</v>
      </c>
      <c r="V968" s="198" t="str">
        <f t="shared" si="53"/>
        <v>10.1098--rsos.231240.pdf</v>
      </c>
      <c r="W968" s="159" t="s">
        <v>3696</v>
      </c>
      <c r="X968" s="54" t="str">
        <f t="array" ref="X968"> if(iserror(MATCH(V968, 'File Links'!C:C, 0)), "N/A", HYPERLINK(INDEX('File Links'!B:B, MATCH(V968, 'File Links'!C:C, 0))))</f>
        <v>https://drive.google.com/file/d/17gaf2Zy_ljFfcAEDk5L8GBnTl5i7RGJE/view?usp=drivesdk</v>
      </c>
      <c r="Y968" s="68"/>
      <c r="Z968" s="159" t="s">
        <v>1809</v>
      </c>
      <c r="AA968" s="159" t="s">
        <v>5268</v>
      </c>
      <c r="AB968" s="159" t="s">
        <v>5269</v>
      </c>
      <c r="AC968" s="159" t="s">
        <v>5306</v>
      </c>
      <c r="AD968" s="159" t="s">
        <v>5307</v>
      </c>
      <c r="AE968" s="156">
        <v>8.0</v>
      </c>
      <c r="AF968" s="156">
        <v>540.0</v>
      </c>
      <c r="AG968" s="1248">
        <v>0.989</v>
      </c>
      <c r="AH968" s="156" t="s">
        <v>722</v>
      </c>
      <c r="AI968" s="156" t="s">
        <v>613</v>
      </c>
      <c r="AJ968" s="156">
        <v>0.05</v>
      </c>
      <c r="AK968" s="159" t="s">
        <v>335</v>
      </c>
      <c r="AL968" s="159" t="s">
        <v>186</v>
      </c>
      <c r="AM968" s="159" t="s">
        <v>141</v>
      </c>
      <c r="AN968" s="151" t="s">
        <v>138</v>
      </c>
      <c r="AO968" s="156">
        <v>250.0</v>
      </c>
      <c r="AP968" s="1301">
        <v>0.998</v>
      </c>
      <c r="AQ968" s="156" t="s">
        <v>722</v>
      </c>
      <c r="AR968" s="156" t="s">
        <v>627</v>
      </c>
      <c r="AS968" s="156">
        <v>0.05</v>
      </c>
      <c r="AT968" s="159" t="s">
        <v>335</v>
      </c>
      <c r="AU968" s="159" t="s">
        <v>186</v>
      </c>
      <c r="AV968" s="159" t="s">
        <v>141</v>
      </c>
      <c r="AW968" s="68"/>
      <c r="AX968" s="1300" t="s">
        <v>151</v>
      </c>
      <c r="AY968" s="61" t="str">
        <f>IFERROR(__xludf.DUMMYFUNCTION("vlookup(BB968,importrange(""https://docs.google.com/spreadsheets/d/1d2vevQ_7D_v35q4wCQ4RpQ_IPoTwEMB9Yp6ymwlPqew/edit?gid=984458430#gid=984458430"", ""'replication success'!A:K""), 11, FAlSE)"),"#N/A")</f>
        <v>#N/A</v>
      </c>
      <c r="AZ968" s="61" t="str">
        <f>IFERROR(__xludf.DUMMYFUNCTION("vlookup(BB968,importrange(""https://docs.google.com/spreadsheets/d/1d2vevQ_7D_v35q4wCQ4RpQ_IPoTwEMB9Yp6ymwlPqew/edit?gid=984458430#gid=984458430"", ""'replication success'!A:M""), 12, FAlSE)"),"#N/A")</f>
        <v>#N/A</v>
      </c>
      <c r="BA968" s="61" t="str">
        <f>IFERROR(__xludf.DUMMYFUNCTION("vlookup(BB968,importrange(""https://docs.google.com/spreadsheets/d/1d2vevQ_7D_v35q4wCQ4RpQ_IPoTwEMB9Yp6ymwlPqew/edit?gid=984458430#gid=984458430"", ""'replication success'!A:M""), 13, FAlSE)"),"#N/A")</f>
        <v>#N/A</v>
      </c>
      <c r="BB968" s="61" t="str">
        <f>IFERROR(__xludf.DUMMYFUNCTION("REGEXREPLACE(G968, ""_[a-z]{1,2}$"", """")"),"Boyce_etal2023173_1")</f>
        <v>Boyce_etal2023173_1</v>
      </c>
      <c r="BD968" s="68" t="s">
        <v>153</v>
      </c>
    </row>
    <row r="969">
      <c r="A969" s="44">
        <v>969.0</v>
      </c>
      <c r="B969" s="68" t="s">
        <v>590</v>
      </c>
      <c r="C969" s="62" t="s">
        <v>115</v>
      </c>
      <c r="D969" s="62" t="s">
        <v>153</v>
      </c>
      <c r="F969" s="68" t="s">
        <v>5258</v>
      </c>
      <c r="G969" s="159" t="s">
        <v>5308</v>
      </c>
      <c r="H969" s="159" t="s">
        <v>153</v>
      </c>
      <c r="I969" s="152">
        <v>45687.0</v>
      </c>
      <c r="J969" s="152">
        <v>45692.0</v>
      </c>
      <c r="K969" s="1055" t="s">
        <v>5309</v>
      </c>
      <c r="L969" s="159" t="s">
        <v>5267</v>
      </c>
      <c r="M969" s="159" t="s">
        <v>5260</v>
      </c>
      <c r="N969" s="159" t="s">
        <v>5261</v>
      </c>
      <c r="O969" s="156">
        <v>1.0</v>
      </c>
      <c r="P969" s="606" t="str">
        <f t="shared" si="52"/>
        <v>10.1016--j.ecresq.2019.10.004.pdf</v>
      </c>
      <c r="Q969" s="52" t="str">
        <f t="array" ref="Q969"> if(iserror(MATCH(V969, 'File Links'!C:C, 0)), "N/A", HYPERLINK(INDEX('File Links'!B:B, MATCH(P969, 'File Links'!C:C, 0))))</f>
        <v>https://drive.google.com/file/d/1w5TanXJyS5YVblHirQgJO5zKr4e7CFnK/view?usp=drivesdk</v>
      </c>
      <c r="R969" s="606" t="s">
        <v>3653</v>
      </c>
      <c r="S969" s="159" t="s">
        <v>3654</v>
      </c>
      <c r="T969" s="68"/>
      <c r="U969" s="156">
        <v>1.0</v>
      </c>
      <c r="V969" s="198" t="str">
        <f t="shared" si="53"/>
        <v>10.1098--rsos.231240.pdf</v>
      </c>
      <c r="W969" s="159" t="s">
        <v>3696</v>
      </c>
      <c r="X969" s="54" t="str">
        <f t="array" ref="X969"> if(iserror(MATCH(V969, 'File Links'!C:C, 0)), "N/A", HYPERLINK(INDEX('File Links'!B:B, MATCH(V969, 'File Links'!C:C, 0))))</f>
        <v>https://drive.google.com/file/d/17gaf2Zy_ljFfcAEDk5L8GBnTl5i7RGJE/view?usp=drivesdk</v>
      </c>
      <c r="Y969" s="68"/>
      <c r="Z969" s="159" t="s">
        <v>1809</v>
      </c>
      <c r="AA969" s="159" t="s">
        <v>5268</v>
      </c>
      <c r="AB969" s="159" t="s">
        <v>5269</v>
      </c>
      <c r="AC969" s="159" t="s">
        <v>5306</v>
      </c>
      <c r="AD969" s="159" t="s">
        <v>5307</v>
      </c>
      <c r="AE969" s="156">
        <v>8.0</v>
      </c>
      <c r="AF969" s="156">
        <v>540.0</v>
      </c>
      <c r="AG969" s="1248">
        <v>0.989</v>
      </c>
      <c r="AH969" s="156" t="s">
        <v>722</v>
      </c>
      <c r="AI969" s="156" t="s">
        <v>613</v>
      </c>
      <c r="AJ969" s="156">
        <v>0.05</v>
      </c>
      <c r="AK969" s="159" t="s">
        <v>335</v>
      </c>
      <c r="AL969" s="159" t="s">
        <v>186</v>
      </c>
      <c r="AM969" s="159" t="s">
        <v>141</v>
      </c>
      <c r="AN969" s="151" t="s">
        <v>138</v>
      </c>
      <c r="AO969" s="156">
        <v>250.0</v>
      </c>
      <c r="AP969" s="1301">
        <v>0.998</v>
      </c>
      <c r="AQ969" s="156" t="s">
        <v>722</v>
      </c>
      <c r="AR969" s="156" t="s">
        <v>627</v>
      </c>
      <c r="AS969" s="156">
        <v>0.05</v>
      </c>
      <c r="AT969" s="159" t="s">
        <v>335</v>
      </c>
      <c r="AU969" s="159" t="s">
        <v>186</v>
      </c>
      <c r="AV969" s="159" t="s">
        <v>141</v>
      </c>
      <c r="AW969" s="68"/>
      <c r="AX969" s="1300" t="s">
        <v>151</v>
      </c>
      <c r="AY969" s="61" t="str">
        <f>IFERROR(__xludf.DUMMYFUNCTION("vlookup(BB969,importrange(""https://docs.google.com/spreadsheets/d/1d2vevQ_7D_v35q4wCQ4RpQ_IPoTwEMB9Yp6ymwlPqew/edit?gid=984458430#gid=984458430"", ""'replication success'!A:K""), 11, FAlSE)"),"#N/A")</f>
        <v>#N/A</v>
      </c>
      <c r="AZ969" s="61" t="str">
        <f>IFERROR(__xludf.DUMMYFUNCTION("vlookup(BB969,importrange(""https://docs.google.com/spreadsheets/d/1d2vevQ_7D_v35q4wCQ4RpQ_IPoTwEMB9Yp6ymwlPqew/edit?gid=984458430#gid=984458430"", ""'replication success'!A:M""), 12, FAlSE)"),"#N/A")</f>
        <v>#N/A</v>
      </c>
      <c r="BA969" s="61" t="str">
        <f>IFERROR(__xludf.DUMMYFUNCTION("vlookup(BB969,importrange(""https://docs.google.com/spreadsheets/d/1d2vevQ_7D_v35q4wCQ4RpQ_IPoTwEMB9Yp6ymwlPqew/edit?gid=984458430#gid=984458430"", ""'replication success'!A:M""), 13, FAlSE)"),"#N/A")</f>
        <v>#N/A</v>
      </c>
      <c r="BB969" s="61" t="str">
        <f>IFERROR(__xludf.DUMMYFUNCTION("REGEXREPLACE(G969, ""_[a-z]{1,2}$"", """")"),"Boyce_etal2023173_1")</f>
        <v>Boyce_etal2023173_1</v>
      </c>
      <c r="BD969" s="68" t="s">
        <v>153</v>
      </c>
    </row>
    <row r="970">
      <c r="A970" s="44">
        <v>970.0</v>
      </c>
      <c r="B970" s="68" t="s">
        <v>590</v>
      </c>
      <c r="C970" s="62" t="s">
        <v>115</v>
      </c>
      <c r="D970" s="62" t="s">
        <v>153</v>
      </c>
      <c r="F970" s="68" t="s">
        <v>5258</v>
      </c>
      <c r="G970" s="159" t="s">
        <v>5310</v>
      </c>
      <c r="H970" s="159" t="s">
        <v>153</v>
      </c>
      <c r="I970" s="152">
        <v>45687.0</v>
      </c>
      <c r="J970" s="152">
        <v>45692.0</v>
      </c>
      <c r="K970" s="1055" t="s">
        <v>5311</v>
      </c>
      <c r="L970" s="159" t="s">
        <v>5267</v>
      </c>
      <c r="M970" s="159" t="s">
        <v>5260</v>
      </c>
      <c r="N970" s="159" t="s">
        <v>5261</v>
      </c>
      <c r="O970" s="156">
        <v>1.0</v>
      </c>
      <c r="P970" s="606" t="str">
        <f t="shared" si="52"/>
        <v>10.1016--j.ecresq.2019.10.004.pdf</v>
      </c>
      <c r="Q970" s="52" t="str">
        <f t="array" ref="Q970"> if(iserror(MATCH(V970, 'File Links'!C:C, 0)), "N/A", HYPERLINK(INDEX('File Links'!B:B, MATCH(P970, 'File Links'!C:C, 0))))</f>
        <v>https://drive.google.com/file/d/1w5TanXJyS5YVblHirQgJO5zKr4e7CFnK/view?usp=drivesdk</v>
      </c>
      <c r="R970" s="606" t="s">
        <v>3653</v>
      </c>
      <c r="S970" s="159" t="s">
        <v>3654</v>
      </c>
      <c r="T970" s="68"/>
      <c r="U970" s="156">
        <v>1.0</v>
      </c>
      <c r="V970" s="198" t="str">
        <f t="shared" si="53"/>
        <v>10.1098--rsos.231240.pdf</v>
      </c>
      <c r="W970" s="159" t="s">
        <v>3696</v>
      </c>
      <c r="X970" s="54" t="str">
        <f t="array" ref="X970"> if(iserror(MATCH(V970, 'File Links'!C:C, 0)), "N/A", HYPERLINK(INDEX('File Links'!B:B, MATCH(V970, 'File Links'!C:C, 0))))</f>
        <v>https://drive.google.com/file/d/17gaf2Zy_ljFfcAEDk5L8GBnTl5i7RGJE/view?usp=drivesdk</v>
      </c>
      <c r="Y970" s="68"/>
      <c r="Z970" s="159" t="s">
        <v>1809</v>
      </c>
      <c r="AA970" s="159" t="s">
        <v>5268</v>
      </c>
      <c r="AB970" s="159" t="s">
        <v>5269</v>
      </c>
      <c r="AC970" s="159" t="s">
        <v>5306</v>
      </c>
      <c r="AD970" s="159" t="s">
        <v>5307</v>
      </c>
      <c r="AE970" s="156">
        <v>8.0</v>
      </c>
      <c r="AF970" s="156">
        <v>540.0</v>
      </c>
      <c r="AG970" s="1248">
        <v>0.989</v>
      </c>
      <c r="AH970" s="156" t="s">
        <v>722</v>
      </c>
      <c r="AI970" s="156" t="s">
        <v>613</v>
      </c>
      <c r="AJ970" s="156">
        <v>0.05</v>
      </c>
      <c r="AK970" s="159" t="s">
        <v>335</v>
      </c>
      <c r="AL970" s="159" t="s">
        <v>186</v>
      </c>
      <c r="AM970" s="159" t="s">
        <v>141</v>
      </c>
      <c r="AN970" s="151" t="s">
        <v>138</v>
      </c>
      <c r="AO970" s="156">
        <v>250.0</v>
      </c>
      <c r="AP970" s="1301">
        <v>0.997</v>
      </c>
      <c r="AQ970" s="156" t="s">
        <v>722</v>
      </c>
      <c r="AR970" s="156" t="s">
        <v>627</v>
      </c>
      <c r="AS970" s="156">
        <v>0.05</v>
      </c>
      <c r="AT970" s="159" t="s">
        <v>335</v>
      </c>
      <c r="AU970" s="159" t="s">
        <v>186</v>
      </c>
      <c r="AV970" s="159" t="s">
        <v>141</v>
      </c>
      <c r="AW970" s="68"/>
      <c r="AX970" s="1300" t="s">
        <v>151</v>
      </c>
      <c r="AY970" s="61" t="str">
        <f>IFERROR(__xludf.DUMMYFUNCTION("vlookup(BB970,importrange(""https://docs.google.com/spreadsheets/d/1d2vevQ_7D_v35q4wCQ4RpQ_IPoTwEMB9Yp6ymwlPqew/edit?gid=984458430#gid=984458430"", ""'replication success'!A:K""), 11, FAlSE)"),"#N/A")</f>
        <v>#N/A</v>
      </c>
      <c r="AZ970" s="61" t="str">
        <f>IFERROR(__xludf.DUMMYFUNCTION("vlookup(BB970,importrange(""https://docs.google.com/spreadsheets/d/1d2vevQ_7D_v35q4wCQ4RpQ_IPoTwEMB9Yp6ymwlPqew/edit?gid=984458430#gid=984458430"", ""'replication success'!A:M""), 12, FAlSE)"),"#N/A")</f>
        <v>#N/A</v>
      </c>
      <c r="BA970" s="61" t="str">
        <f>IFERROR(__xludf.DUMMYFUNCTION("vlookup(BB970,importrange(""https://docs.google.com/spreadsheets/d/1d2vevQ_7D_v35q4wCQ4RpQ_IPoTwEMB9Yp6ymwlPqew/edit?gid=984458430#gid=984458430"", ""'replication success'!A:M""), 13, FAlSE)"),"#N/A")</f>
        <v>#N/A</v>
      </c>
      <c r="BB970" s="61" t="str">
        <f>IFERROR(__xludf.DUMMYFUNCTION("REGEXREPLACE(G970, ""_[a-z]{1,2}$"", """")"),"Boyce_etal2023173_1")</f>
        <v>Boyce_etal2023173_1</v>
      </c>
      <c r="BD970" s="68" t="s">
        <v>153</v>
      </c>
    </row>
    <row r="971">
      <c r="A971" s="44">
        <v>971.0</v>
      </c>
      <c r="B971" s="68" t="s">
        <v>114</v>
      </c>
      <c r="C971" s="62" t="s">
        <v>115</v>
      </c>
      <c r="D971" s="62" t="s">
        <v>248</v>
      </c>
      <c r="F971" s="159" t="s">
        <v>5312</v>
      </c>
      <c r="G971" s="159" t="s">
        <v>5313</v>
      </c>
      <c r="H971" s="159" t="s">
        <v>249</v>
      </c>
      <c r="I971" s="152">
        <v>45673.0</v>
      </c>
      <c r="J971" s="152">
        <v>45692.0</v>
      </c>
      <c r="K971" s="68"/>
      <c r="L971" s="68"/>
      <c r="M971" s="159" t="s">
        <v>5314</v>
      </c>
      <c r="N971" s="159" t="s">
        <v>5315</v>
      </c>
      <c r="O971" s="68"/>
      <c r="P971" s="606" t="str">
        <f t="shared" si="52"/>
        <v>10.1177--0956797614561266.pdf</v>
      </c>
      <c r="Q971" s="52" t="str">
        <f t="array" ref="Q971"> if(iserror(MATCH(V971, 'File Links'!C:C, 0)), "N/A", HYPERLINK(INDEX('File Links'!B:B, MATCH(P971, 'File Links'!C:C, 0))))</f>
        <v>https://drive.google.com/file/d/1J0gXacFjwTY8lqoRS7-Ly_0MayhAFMtY/view?usp=drivesdk</v>
      </c>
      <c r="R971" s="606" t="s">
        <v>3653</v>
      </c>
      <c r="S971" s="159" t="s">
        <v>3654</v>
      </c>
      <c r="T971" s="68"/>
      <c r="U971" s="156">
        <v>1.0</v>
      </c>
      <c r="V971" s="198" t="str">
        <f t="shared" si="53"/>
        <v>10.1098--rsos.231240.pdf</v>
      </c>
      <c r="W971" s="159" t="s">
        <v>324</v>
      </c>
      <c r="X971" s="54" t="str">
        <f t="array" ref="X971"> if(iserror(MATCH(V971, 'File Links'!C:C, 0)), "N/A", HYPERLINK(INDEX('File Links'!B:B, MATCH(V971, 'File Links'!C:C, 0))))</f>
        <v>https://drive.google.com/file/d/17gaf2Zy_ljFfcAEDk5L8GBnTl5i7RGJE/view?usp=drivesdk</v>
      </c>
      <c r="Y971" s="68"/>
      <c r="Z971" s="159" t="s">
        <v>226</v>
      </c>
      <c r="AA971" s="159" t="s">
        <v>5101</v>
      </c>
      <c r="AB971" s="68"/>
      <c r="AC971" s="159" t="s">
        <v>5102</v>
      </c>
      <c r="AD971" s="159" t="s">
        <v>5316</v>
      </c>
      <c r="AE971" s="156">
        <v>4.0</v>
      </c>
      <c r="AF971" s="156">
        <v>312.0</v>
      </c>
      <c r="AG971" s="1243">
        <v>0.36</v>
      </c>
      <c r="AH971" s="159" t="s">
        <v>173</v>
      </c>
      <c r="AI971" s="159" t="s">
        <v>496</v>
      </c>
      <c r="AJ971" s="156">
        <v>0.002</v>
      </c>
      <c r="AK971" s="159" t="s">
        <v>172</v>
      </c>
      <c r="AL971" s="159" t="s">
        <v>186</v>
      </c>
      <c r="AM971" s="159" t="s">
        <v>137</v>
      </c>
      <c r="AN971" s="151" t="s">
        <v>138</v>
      </c>
      <c r="AO971" s="156">
        <v>321.0</v>
      </c>
      <c r="AP971" s="1243">
        <v>0.196909487739417</v>
      </c>
      <c r="AQ971" s="159" t="s">
        <v>173</v>
      </c>
      <c r="AR971" s="68"/>
      <c r="AS971" s="1243">
        <v>0.0791635471444569</v>
      </c>
      <c r="AT971" s="159" t="s">
        <v>172</v>
      </c>
      <c r="AU971" s="159" t="s">
        <v>186</v>
      </c>
      <c r="AV971" s="159" t="s">
        <v>137</v>
      </c>
      <c r="AW971" s="129" t="s">
        <v>138</v>
      </c>
      <c r="AX971" s="159" t="s">
        <v>143</v>
      </c>
      <c r="AY971" s="61" t="str">
        <f>IFERROR(__xludf.DUMMYFUNCTION("vlookup(BB971,importrange(""https://docs.google.com/spreadsheets/d/1d2vevQ_7D_v35q4wCQ4RpQ_IPoTwEMB9Yp6ymwlPqew/edit?gid=984458430#gid=984458430"", ""'replication success'!A:K""), 11, FAlSE)"),"#N/A")</f>
        <v>#N/A</v>
      </c>
      <c r="AZ971" s="61" t="str">
        <f>IFERROR(__xludf.DUMMYFUNCTION("vlookup(BB971,importrange(""https://docs.google.com/spreadsheets/d/1d2vevQ_7D_v35q4wCQ4RpQ_IPoTwEMB9Yp6ymwlPqew/edit?gid=984458430#gid=984458430"", ""'replication success'!A:M""), 12, FAlSE)"),"#N/A")</f>
        <v>#N/A</v>
      </c>
      <c r="BA971" s="61" t="str">
        <f>IFERROR(__xludf.DUMMYFUNCTION("vlookup(BB971,importrange(""https://docs.google.com/spreadsheets/d/1d2vevQ_7D_v35q4wCQ4RpQ_IPoTwEMB9Yp6ymwlPqew/edit?gid=984458430#gid=984458430"", ""'replication success'!A:M""), 13, FAlSE)"),"#N/A")</f>
        <v>#N/A</v>
      </c>
      <c r="BB971" s="61" t="str">
        <f>IFERROR(__xludf.DUMMYFUNCTION("REGEXREPLACE(G971, ""_[a-z]{1,2}$"", """")"),"Boyce_etal2023174_1")</f>
        <v>Boyce_etal2023174_1</v>
      </c>
      <c r="BD971" s="68" t="s">
        <v>153</v>
      </c>
    </row>
    <row r="972">
      <c r="A972" s="44">
        <v>972.0</v>
      </c>
      <c r="B972" s="129" t="s">
        <v>152</v>
      </c>
      <c r="C972" s="62" t="s">
        <v>115</v>
      </c>
      <c r="D972" s="62" t="s">
        <v>153</v>
      </c>
      <c r="F972" s="68" t="s">
        <v>5313</v>
      </c>
      <c r="G972" s="159" t="s">
        <v>5317</v>
      </c>
      <c r="H972" s="159" t="s">
        <v>153</v>
      </c>
      <c r="I972" s="152">
        <v>45687.0</v>
      </c>
      <c r="J972" s="152">
        <v>45692.0</v>
      </c>
      <c r="K972" s="1055" t="s">
        <v>5318</v>
      </c>
      <c r="L972" s="68"/>
      <c r="M972" s="159" t="s">
        <v>5314</v>
      </c>
      <c r="N972" s="159" t="s">
        <v>5315</v>
      </c>
      <c r="O972" s="156">
        <v>1.0</v>
      </c>
      <c r="P972" s="606" t="str">
        <f t="shared" si="52"/>
        <v>10.1177--0956797614561266.pdf</v>
      </c>
      <c r="Q972" s="52" t="str">
        <f t="array" ref="Q972"> if(iserror(MATCH(V972, 'File Links'!C:C, 0)), "N/A", HYPERLINK(INDEX('File Links'!B:B, MATCH(P972, 'File Links'!C:C, 0))))</f>
        <v>https://drive.google.com/file/d/1J0gXacFjwTY8lqoRS7-Ly_0MayhAFMtY/view?usp=drivesdk</v>
      </c>
      <c r="R972" s="606" t="s">
        <v>3653</v>
      </c>
      <c r="S972" s="159" t="s">
        <v>3654</v>
      </c>
      <c r="T972" s="441" t="s">
        <v>5319</v>
      </c>
      <c r="U972" s="156">
        <v>1.0</v>
      </c>
      <c r="V972" s="198" t="str">
        <f t="shared" si="53"/>
        <v>10.1098--rsos.231240.pdf</v>
      </c>
      <c r="W972" s="159" t="s">
        <v>3726</v>
      </c>
      <c r="X972" s="54" t="str">
        <f t="array" ref="X972"> if(iserror(MATCH(V972, 'File Links'!C:C, 0)), "N/A", HYPERLINK(INDEX('File Links'!B:B, MATCH(V972, 'File Links'!C:C, 0))))</f>
        <v>https://drive.google.com/file/d/17gaf2Zy_ljFfcAEDk5L8GBnTl5i7RGJE/view?usp=drivesdk</v>
      </c>
      <c r="Y972" s="68"/>
      <c r="Z972" s="159" t="s">
        <v>226</v>
      </c>
      <c r="AA972" s="159" t="s">
        <v>4052</v>
      </c>
      <c r="AB972" s="159" t="s">
        <v>5320</v>
      </c>
      <c r="AC972" s="159" t="s">
        <v>5321</v>
      </c>
      <c r="AD972" s="159" t="s">
        <v>5322</v>
      </c>
      <c r="AE972" s="156">
        <v>4.0</v>
      </c>
      <c r="AF972" s="156">
        <v>312.0</v>
      </c>
      <c r="AG972" s="1248">
        <v>0.36</v>
      </c>
      <c r="AH972" s="156" t="s">
        <v>173</v>
      </c>
      <c r="AI972" s="156" t="s">
        <v>850</v>
      </c>
      <c r="AJ972" s="156">
        <v>0.002</v>
      </c>
      <c r="AK972" s="159" t="s">
        <v>172</v>
      </c>
      <c r="AL972" s="159" t="s">
        <v>186</v>
      </c>
      <c r="AM972" s="159" t="s">
        <v>137</v>
      </c>
      <c r="AN972" s="151" t="s">
        <v>138</v>
      </c>
      <c r="AO972" s="156">
        <v>321.0</v>
      </c>
      <c r="AP972" s="1114">
        <v>0.1761949</v>
      </c>
      <c r="AQ972" s="156" t="s">
        <v>987</v>
      </c>
      <c r="AR972" s="1298" t="s">
        <v>5323</v>
      </c>
      <c r="AS972" s="336">
        <v>0.0791605</v>
      </c>
      <c r="AT972" s="159" t="s">
        <v>172</v>
      </c>
      <c r="AU972" s="159" t="s">
        <v>186</v>
      </c>
      <c r="AV972" s="159" t="s">
        <v>137</v>
      </c>
      <c r="AW972" s="129" t="s">
        <v>138</v>
      </c>
      <c r="AX972" s="68" t="s">
        <v>143</v>
      </c>
      <c r="AY972" s="61" t="str">
        <f>IFERROR(__xludf.DUMMYFUNCTION("vlookup(BB972,importrange(""https://docs.google.com/spreadsheets/d/1d2vevQ_7D_v35q4wCQ4RpQ_IPoTwEMB9Yp6ymwlPqew/edit?gid=984458430#gid=984458430"", ""'replication success'!A:K""), 11, FAlSE)"),"#N/A")</f>
        <v>#N/A</v>
      </c>
      <c r="AZ972" s="61" t="str">
        <f>IFERROR(__xludf.DUMMYFUNCTION("vlookup(BB972,importrange(""https://docs.google.com/spreadsheets/d/1d2vevQ_7D_v35q4wCQ4RpQ_IPoTwEMB9Yp6ymwlPqew/edit?gid=984458430#gid=984458430"", ""'replication success'!A:M""), 12, FAlSE)"),"#N/A")</f>
        <v>#N/A</v>
      </c>
      <c r="BA972" s="61" t="str">
        <f>IFERROR(__xludf.DUMMYFUNCTION("vlookup(BB972,importrange(""https://docs.google.com/spreadsheets/d/1d2vevQ_7D_v35q4wCQ4RpQ_IPoTwEMB9Yp6ymwlPqew/edit?gid=984458430#gid=984458430"", ""'replication success'!A:M""), 13, FAlSE)"),"#N/A")</f>
        <v>#N/A</v>
      </c>
      <c r="BB972" s="61" t="str">
        <f>IFERROR(__xludf.DUMMYFUNCTION("REGEXREPLACE(G972, ""_[a-z]{1,2}$"", """")"),"Boyce_etal2023174_1")</f>
        <v>Boyce_etal2023174_1</v>
      </c>
      <c r="BD972" s="68" t="s">
        <v>153</v>
      </c>
      <c r="BE972" s="62" t="s">
        <v>144</v>
      </c>
    </row>
    <row r="973">
      <c r="A973" s="44">
        <v>973.0</v>
      </c>
      <c r="B973" s="129" t="s">
        <v>152</v>
      </c>
      <c r="C973" s="62" t="s">
        <v>115</v>
      </c>
      <c r="D973" s="62" t="s">
        <v>153</v>
      </c>
      <c r="F973" s="68" t="s">
        <v>5313</v>
      </c>
      <c r="G973" s="159" t="s">
        <v>5324</v>
      </c>
      <c r="H973" s="159" t="s">
        <v>153</v>
      </c>
      <c r="I973" s="152">
        <v>45687.0</v>
      </c>
      <c r="J973" s="152">
        <v>45692.0</v>
      </c>
      <c r="K973" s="1055" t="s">
        <v>5325</v>
      </c>
      <c r="L973" s="68"/>
      <c r="M973" s="159" t="s">
        <v>5314</v>
      </c>
      <c r="N973" s="159" t="s">
        <v>5315</v>
      </c>
      <c r="O973" s="156">
        <v>1.0</v>
      </c>
      <c r="P973" s="606" t="str">
        <f t="shared" si="52"/>
        <v>10.1177--0956797614561266.pdf</v>
      </c>
      <c r="Q973" s="52" t="str">
        <f t="array" ref="Q973"> if(iserror(MATCH(V973, 'File Links'!C:C, 0)), "N/A", HYPERLINK(INDEX('File Links'!B:B, MATCH(P973, 'File Links'!C:C, 0))))</f>
        <v>https://drive.google.com/file/d/1J0gXacFjwTY8lqoRS7-Ly_0MayhAFMtY/view?usp=drivesdk</v>
      </c>
      <c r="R973" s="606" t="s">
        <v>3653</v>
      </c>
      <c r="S973" s="159" t="s">
        <v>3654</v>
      </c>
      <c r="T973" s="441" t="s">
        <v>5319</v>
      </c>
      <c r="U973" s="156">
        <v>1.0</v>
      </c>
      <c r="V973" s="198" t="str">
        <f t="shared" si="53"/>
        <v>10.1098--rsos.231240.pdf</v>
      </c>
      <c r="W973" s="159" t="s">
        <v>3726</v>
      </c>
      <c r="X973" s="54" t="str">
        <f t="array" ref="X973"> if(iserror(MATCH(V973, 'File Links'!C:C, 0)), "N/A", HYPERLINK(INDEX('File Links'!B:B, MATCH(V973, 'File Links'!C:C, 0))))</f>
        <v>https://drive.google.com/file/d/17gaf2Zy_ljFfcAEDk5L8GBnTl5i7RGJE/view?usp=drivesdk</v>
      </c>
      <c r="Y973" s="68"/>
      <c r="Z973" s="159" t="s">
        <v>226</v>
      </c>
      <c r="AA973" s="159" t="s">
        <v>4052</v>
      </c>
      <c r="AB973" s="159" t="s">
        <v>5320</v>
      </c>
      <c r="AC973" s="159" t="s">
        <v>5326</v>
      </c>
      <c r="AD973" s="159" t="s">
        <v>5327</v>
      </c>
      <c r="AE973" s="156">
        <v>4.0</v>
      </c>
      <c r="AF973" s="156">
        <v>312.0</v>
      </c>
      <c r="AG973" s="156">
        <v>0.27</v>
      </c>
      <c r="AH973" s="156" t="s">
        <v>173</v>
      </c>
      <c r="AI973" s="156" t="s">
        <v>850</v>
      </c>
      <c r="AJ973" s="156">
        <v>0.018</v>
      </c>
      <c r="AK973" s="159" t="s">
        <v>172</v>
      </c>
      <c r="AL973" s="159" t="s">
        <v>186</v>
      </c>
      <c r="AM973" s="159" t="s">
        <v>137</v>
      </c>
      <c r="AN973" s="151" t="s">
        <v>138</v>
      </c>
      <c r="AO973" s="156">
        <v>321.0</v>
      </c>
      <c r="AP973" s="1302">
        <v>0.3183289</v>
      </c>
      <c r="AQ973" s="156" t="s">
        <v>987</v>
      </c>
      <c r="AR973" s="1298" t="s">
        <v>5328</v>
      </c>
      <c r="AS973" s="336">
        <v>0.0218658</v>
      </c>
      <c r="AT973" s="159" t="s">
        <v>172</v>
      </c>
      <c r="AU973" s="159" t="s">
        <v>186</v>
      </c>
      <c r="AV973" s="159" t="s">
        <v>137</v>
      </c>
      <c r="AW973" s="129" t="s">
        <v>138</v>
      </c>
      <c r="AX973" s="68" t="s">
        <v>143</v>
      </c>
      <c r="AY973" s="61" t="str">
        <f>IFERROR(__xludf.DUMMYFUNCTION("vlookup(BB973,importrange(""https://docs.google.com/spreadsheets/d/1d2vevQ_7D_v35q4wCQ4RpQ_IPoTwEMB9Yp6ymwlPqew/edit?gid=984458430#gid=984458430"", ""'replication success'!A:K""), 11, FAlSE)"),"#N/A")</f>
        <v>#N/A</v>
      </c>
      <c r="AZ973" s="61" t="str">
        <f>IFERROR(__xludf.DUMMYFUNCTION("vlookup(BB973,importrange(""https://docs.google.com/spreadsheets/d/1d2vevQ_7D_v35q4wCQ4RpQ_IPoTwEMB9Yp6ymwlPqew/edit?gid=984458430#gid=984458430"", ""'replication success'!A:M""), 12, FAlSE)"),"#N/A")</f>
        <v>#N/A</v>
      </c>
      <c r="BA973" s="61" t="str">
        <f>IFERROR(__xludf.DUMMYFUNCTION("vlookup(BB973,importrange(""https://docs.google.com/spreadsheets/d/1d2vevQ_7D_v35q4wCQ4RpQ_IPoTwEMB9Yp6ymwlPqew/edit?gid=984458430#gid=984458430"", ""'replication success'!A:M""), 13, FAlSE)"),"#N/A")</f>
        <v>#N/A</v>
      </c>
      <c r="BB973" s="61" t="str">
        <f>IFERROR(__xludf.DUMMYFUNCTION("REGEXREPLACE(G973, ""_[a-z]{1,2}$"", """")"),"Boyce_etal2023174_1")</f>
        <v>Boyce_etal2023174_1</v>
      </c>
      <c r="BD973" s="68" t="s">
        <v>153</v>
      </c>
      <c r="BE973" s="62" t="s">
        <v>144</v>
      </c>
    </row>
    <row r="974">
      <c r="A974" s="44">
        <v>974.0</v>
      </c>
      <c r="B974" s="129" t="s">
        <v>152</v>
      </c>
      <c r="C974" s="62" t="s">
        <v>115</v>
      </c>
      <c r="D974" s="62" t="s">
        <v>153</v>
      </c>
      <c r="F974" s="68" t="s">
        <v>5313</v>
      </c>
      <c r="G974" s="159" t="s">
        <v>5329</v>
      </c>
      <c r="H974" s="159" t="s">
        <v>153</v>
      </c>
      <c r="I974" s="152">
        <v>45687.0</v>
      </c>
      <c r="J974" s="152">
        <v>45692.0</v>
      </c>
      <c r="K974" s="1055" t="s">
        <v>5330</v>
      </c>
      <c r="L974" s="68"/>
      <c r="M974" s="159" t="s">
        <v>5314</v>
      </c>
      <c r="N974" s="159" t="s">
        <v>5315</v>
      </c>
      <c r="O974" s="156">
        <v>1.0</v>
      </c>
      <c r="P974" s="606" t="str">
        <f t="shared" si="52"/>
        <v>10.1177--0956797614561266.pdf</v>
      </c>
      <c r="Q974" s="52" t="str">
        <f t="array" ref="Q974"> if(iserror(MATCH(V974, 'File Links'!C:C, 0)), "N/A", HYPERLINK(INDEX('File Links'!B:B, MATCH(P974, 'File Links'!C:C, 0))))</f>
        <v>https://drive.google.com/file/d/1J0gXacFjwTY8lqoRS7-Ly_0MayhAFMtY/view?usp=drivesdk</v>
      </c>
      <c r="R974" s="606" t="s">
        <v>3653</v>
      </c>
      <c r="S974" s="159" t="s">
        <v>3654</v>
      </c>
      <c r="T974" s="441" t="s">
        <v>5319</v>
      </c>
      <c r="U974" s="156">
        <v>1.0</v>
      </c>
      <c r="V974" s="198" t="str">
        <f t="shared" si="53"/>
        <v>10.1098--rsos.231240.pdf</v>
      </c>
      <c r="W974" s="159" t="s">
        <v>3726</v>
      </c>
      <c r="X974" s="54" t="str">
        <f t="array" ref="X974"> if(iserror(MATCH(V974, 'File Links'!C:C, 0)), "N/A", HYPERLINK(INDEX('File Links'!B:B, MATCH(V974, 'File Links'!C:C, 0))))</f>
        <v>https://drive.google.com/file/d/17gaf2Zy_ljFfcAEDk5L8GBnTl5i7RGJE/view?usp=drivesdk</v>
      </c>
      <c r="Y974" s="68"/>
      <c r="Z974" s="159" t="s">
        <v>226</v>
      </c>
      <c r="AA974" s="159" t="s">
        <v>4052</v>
      </c>
      <c r="AB974" s="159" t="s">
        <v>5320</v>
      </c>
      <c r="AC974" s="159" t="s">
        <v>5331</v>
      </c>
      <c r="AD974" s="159" t="s">
        <v>5332</v>
      </c>
      <c r="AE974" s="156">
        <v>4.0</v>
      </c>
      <c r="AF974" s="156">
        <v>312.0</v>
      </c>
      <c r="AG974" s="156">
        <v>0.23</v>
      </c>
      <c r="AH974" s="156" t="s">
        <v>173</v>
      </c>
      <c r="AI974" s="156" t="s">
        <v>850</v>
      </c>
      <c r="AJ974" s="156">
        <v>0.04</v>
      </c>
      <c r="AK974" s="159" t="s">
        <v>172</v>
      </c>
      <c r="AL974" s="159" t="s">
        <v>186</v>
      </c>
      <c r="AM974" s="159" t="s">
        <v>137</v>
      </c>
      <c r="AN974" s="151" t="s">
        <v>138</v>
      </c>
      <c r="AO974" s="156">
        <v>321.0</v>
      </c>
      <c r="AP974" s="1114">
        <v>-0.0425567</v>
      </c>
      <c r="AQ974" s="156" t="s">
        <v>987</v>
      </c>
      <c r="AR974" s="1298" t="s">
        <v>5333</v>
      </c>
      <c r="AS974" s="336">
        <v>0.5663768</v>
      </c>
      <c r="AT974" s="159" t="s">
        <v>172</v>
      </c>
      <c r="AU974" s="159" t="s">
        <v>186</v>
      </c>
      <c r="AV974" s="159" t="s">
        <v>137</v>
      </c>
      <c r="AW974" s="129" t="s">
        <v>138</v>
      </c>
      <c r="AX974" s="68" t="s">
        <v>143</v>
      </c>
      <c r="AY974" s="61" t="str">
        <f>IFERROR(__xludf.DUMMYFUNCTION("vlookup(BB974,importrange(""https://docs.google.com/spreadsheets/d/1d2vevQ_7D_v35q4wCQ4RpQ_IPoTwEMB9Yp6ymwlPqew/edit?gid=984458430#gid=984458430"", ""'replication success'!A:K""), 11, FAlSE)"),"#N/A")</f>
        <v>#N/A</v>
      </c>
      <c r="AZ974" s="61" t="str">
        <f>IFERROR(__xludf.DUMMYFUNCTION("vlookup(BB974,importrange(""https://docs.google.com/spreadsheets/d/1d2vevQ_7D_v35q4wCQ4RpQ_IPoTwEMB9Yp6ymwlPqew/edit?gid=984458430#gid=984458430"", ""'replication success'!A:M""), 12, FAlSE)"),"#N/A")</f>
        <v>#N/A</v>
      </c>
      <c r="BA974" s="61" t="str">
        <f>IFERROR(__xludf.DUMMYFUNCTION("vlookup(BB974,importrange(""https://docs.google.com/spreadsheets/d/1d2vevQ_7D_v35q4wCQ4RpQ_IPoTwEMB9Yp6ymwlPqew/edit?gid=984458430#gid=984458430"", ""'replication success'!A:M""), 13, FAlSE)"),"#N/A")</f>
        <v>#N/A</v>
      </c>
      <c r="BB974" s="61" t="str">
        <f>IFERROR(__xludf.DUMMYFUNCTION("REGEXREPLACE(G974, ""_[a-z]{1,2}$"", """")"),"Boyce_etal2023174_1")</f>
        <v>Boyce_etal2023174_1</v>
      </c>
      <c r="BD974" s="68" t="s">
        <v>153</v>
      </c>
      <c r="BE974" s="62" t="s">
        <v>144</v>
      </c>
    </row>
    <row r="975">
      <c r="A975" s="44">
        <v>975.0</v>
      </c>
      <c r="B975" s="129" t="s">
        <v>152</v>
      </c>
      <c r="C975" s="62" t="s">
        <v>115</v>
      </c>
      <c r="D975" s="62" t="s">
        <v>153</v>
      </c>
      <c r="F975" s="68" t="s">
        <v>5313</v>
      </c>
      <c r="G975" s="159" t="s">
        <v>5334</v>
      </c>
      <c r="H975" s="159" t="s">
        <v>153</v>
      </c>
      <c r="I975" s="152">
        <v>45687.0</v>
      </c>
      <c r="J975" s="152">
        <v>45692.0</v>
      </c>
      <c r="K975" s="1055" t="s">
        <v>5335</v>
      </c>
      <c r="L975" s="68"/>
      <c r="M975" s="159" t="s">
        <v>5314</v>
      </c>
      <c r="N975" s="159" t="s">
        <v>5315</v>
      </c>
      <c r="O975" s="156">
        <v>1.0</v>
      </c>
      <c r="P975" s="606" t="str">
        <f t="shared" si="52"/>
        <v>10.1177--0956797614561266.pdf</v>
      </c>
      <c r="Q975" s="52" t="str">
        <f t="array" ref="Q975"> if(iserror(MATCH(V975, 'File Links'!C:C, 0)), "N/A", HYPERLINK(INDEX('File Links'!B:B, MATCH(P975, 'File Links'!C:C, 0))))</f>
        <v>https://drive.google.com/file/d/1J0gXacFjwTY8lqoRS7-Ly_0MayhAFMtY/view?usp=drivesdk</v>
      </c>
      <c r="R975" s="606" t="s">
        <v>3653</v>
      </c>
      <c r="S975" s="159" t="s">
        <v>3654</v>
      </c>
      <c r="T975" s="441" t="s">
        <v>5319</v>
      </c>
      <c r="U975" s="156">
        <v>1.0</v>
      </c>
      <c r="V975" s="198" t="str">
        <f t="shared" si="53"/>
        <v>10.1098--rsos.231240.pdf</v>
      </c>
      <c r="W975" s="159" t="s">
        <v>3726</v>
      </c>
      <c r="X975" s="54" t="str">
        <f t="array" ref="X975"> if(iserror(MATCH(V975, 'File Links'!C:C, 0)), "N/A", HYPERLINK(INDEX('File Links'!B:B, MATCH(V975, 'File Links'!C:C, 0))))</f>
        <v>https://drive.google.com/file/d/17gaf2Zy_ljFfcAEDk5L8GBnTl5i7RGJE/view?usp=drivesdk</v>
      </c>
      <c r="Y975" s="68"/>
      <c r="Z975" s="159" t="s">
        <v>226</v>
      </c>
      <c r="AA975" s="159" t="s">
        <v>4052</v>
      </c>
      <c r="AB975" s="159" t="s">
        <v>5320</v>
      </c>
      <c r="AC975" s="159" t="s">
        <v>5336</v>
      </c>
      <c r="AD975" s="159" t="s">
        <v>5337</v>
      </c>
      <c r="AE975" s="156">
        <v>4.0</v>
      </c>
      <c r="AF975" s="156">
        <v>312.0</v>
      </c>
      <c r="AG975" s="1248">
        <v>0.04</v>
      </c>
      <c r="AH975" s="156" t="s">
        <v>987</v>
      </c>
      <c r="AI975" s="156" t="s">
        <v>850</v>
      </c>
      <c r="AJ975" s="156">
        <v>0.029</v>
      </c>
      <c r="AK975" s="159" t="s">
        <v>172</v>
      </c>
      <c r="AL975" s="159" t="s">
        <v>186</v>
      </c>
      <c r="AM975" s="159" t="s">
        <v>137</v>
      </c>
      <c r="AN975" s="151" t="s">
        <v>138</v>
      </c>
      <c r="AO975" s="156">
        <v>321.0</v>
      </c>
      <c r="AP975" s="156">
        <v>0.0688052</v>
      </c>
      <c r="AQ975" s="156" t="s">
        <v>987</v>
      </c>
      <c r="AR975" s="1298" t="s">
        <v>5338</v>
      </c>
      <c r="AS975" s="129">
        <v>0.027064</v>
      </c>
      <c r="AT975" s="129" t="s">
        <v>138</v>
      </c>
      <c r="AU975" s="159" t="s">
        <v>186</v>
      </c>
      <c r="AV975" s="159" t="s">
        <v>137</v>
      </c>
      <c r="AW975" s="129" t="s">
        <v>138</v>
      </c>
      <c r="AX975" s="68" t="s">
        <v>143</v>
      </c>
      <c r="AY975" s="61" t="str">
        <f>IFERROR(__xludf.DUMMYFUNCTION("vlookup(BB975,importrange(""https://docs.google.com/spreadsheets/d/1d2vevQ_7D_v35q4wCQ4RpQ_IPoTwEMB9Yp6ymwlPqew/edit?gid=984458430#gid=984458430"", ""'replication success'!A:K""), 11, FAlSE)"),"#N/A")</f>
        <v>#N/A</v>
      </c>
      <c r="AZ975" s="61" t="str">
        <f>IFERROR(__xludf.DUMMYFUNCTION("vlookup(BB975,importrange(""https://docs.google.com/spreadsheets/d/1d2vevQ_7D_v35q4wCQ4RpQ_IPoTwEMB9Yp6ymwlPqew/edit?gid=984458430#gid=984458430"", ""'replication success'!A:M""), 12, FAlSE)"),"#N/A")</f>
        <v>#N/A</v>
      </c>
      <c r="BA975" s="61" t="str">
        <f>IFERROR(__xludf.DUMMYFUNCTION("vlookup(BB975,importrange(""https://docs.google.com/spreadsheets/d/1d2vevQ_7D_v35q4wCQ4RpQ_IPoTwEMB9Yp6ymwlPqew/edit?gid=984458430#gid=984458430"", ""'replication success'!A:M""), 13, FAlSE)"),"#N/A")</f>
        <v>#N/A</v>
      </c>
      <c r="BB975" s="61" t="str">
        <f>IFERROR(__xludf.DUMMYFUNCTION("REGEXREPLACE(G975, ""_[a-z]{1,2}$"", """")"),"Boyce_etal2023174_1")</f>
        <v>Boyce_etal2023174_1</v>
      </c>
      <c r="BD975" s="68" t="s">
        <v>153</v>
      </c>
      <c r="BE975" s="62" t="s">
        <v>144</v>
      </c>
    </row>
    <row r="976">
      <c r="A976" s="44">
        <v>976.0</v>
      </c>
      <c r="B976" s="129" t="s">
        <v>152</v>
      </c>
      <c r="C976" s="62" t="s">
        <v>115</v>
      </c>
      <c r="D976" s="62" t="s">
        <v>153</v>
      </c>
      <c r="F976" s="68" t="s">
        <v>5313</v>
      </c>
      <c r="G976" s="159" t="s">
        <v>5339</v>
      </c>
      <c r="H976" s="159" t="s">
        <v>153</v>
      </c>
      <c r="I976" s="152">
        <v>45687.0</v>
      </c>
      <c r="J976" s="152">
        <v>45692.0</v>
      </c>
      <c r="K976" s="1055" t="s">
        <v>5340</v>
      </c>
      <c r="L976" s="68"/>
      <c r="M976" s="159" t="s">
        <v>5314</v>
      </c>
      <c r="N976" s="159" t="s">
        <v>5315</v>
      </c>
      <c r="O976" s="156">
        <v>1.0</v>
      </c>
      <c r="P976" s="606" t="str">
        <f t="shared" si="52"/>
        <v>10.1177--0956797614561266.pdf</v>
      </c>
      <c r="Q976" s="52" t="str">
        <f t="array" ref="Q976"> if(iserror(MATCH(V976, 'File Links'!C:C, 0)), "N/A", HYPERLINK(INDEX('File Links'!B:B, MATCH(P976, 'File Links'!C:C, 0))))</f>
        <v>https://drive.google.com/file/d/1J0gXacFjwTY8lqoRS7-Ly_0MayhAFMtY/view?usp=drivesdk</v>
      </c>
      <c r="R976" s="606" t="s">
        <v>3653</v>
      </c>
      <c r="S976" s="159" t="s">
        <v>3654</v>
      </c>
      <c r="T976" s="441" t="s">
        <v>5319</v>
      </c>
      <c r="U976" s="156">
        <v>1.0</v>
      </c>
      <c r="V976" s="198" t="str">
        <f t="shared" si="53"/>
        <v>10.1098--rsos.231240.pdf</v>
      </c>
      <c r="W976" s="159" t="s">
        <v>3726</v>
      </c>
      <c r="X976" s="54" t="str">
        <f t="array" ref="X976"> if(iserror(MATCH(V976, 'File Links'!C:C, 0)), "N/A", HYPERLINK(INDEX('File Links'!B:B, MATCH(V976, 'File Links'!C:C, 0))))</f>
        <v>https://drive.google.com/file/d/17gaf2Zy_ljFfcAEDk5L8GBnTl5i7RGJE/view?usp=drivesdk</v>
      </c>
      <c r="Y976" s="68"/>
      <c r="Z976" s="159" t="s">
        <v>226</v>
      </c>
      <c r="AA976" s="159" t="s">
        <v>4052</v>
      </c>
      <c r="AB976" s="159" t="s">
        <v>5320</v>
      </c>
      <c r="AC976" s="159" t="s">
        <v>5341</v>
      </c>
      <c r="AD976" s="159" t="s">
        <v>5342</v>
      </c>
      <c r="AE976" s="156">
        <v>4.0</v>
      </c>
      <c r="AF976" s="156">
        <v>312.0</v>
      </c>
      <c r="AG976" s="336">
        <v>0.034</v>
      </c>
      <c r="AH976" s="156" t="s">
        <v>987</v>
      </c>
      <c r="AI976" s="156" t="s">
        <v>850</v>
      </c>
      <c r="AJ976" s="336">
        <v>0.035</v>
      </c>
      <c r="AK976" s="159" t="s">
        <v>172</v>
      </c>
      <c r="AL976" s="159" t="s">
        <v>186</v>
      </c>
      <c r="AM976" s="159" t="s">
        <v>137</v>
      </c>
      <c r="AN976" s="151" t="s">
        <v>138</v>
      </c>
      <c r="AO976" s="156">
        <v>321.0</v>
      </c>
      <c r="AP976" s="156">
        <v>0.076633</v>
      </c>
      <c r="AQ976" s="156" t="s">
        <v>987</v>
      </c>
      <c r="AR976" s="1112" t="s">
        <v>5343</v>
      </c>
      <c r="AS976" s="129">
        <v>0.030526</v>
      </c>
      <c r="AT976" s="68"/>
      <c r="AU976" s="159" t="s">
        <v>186</v>
      </c>
      <c r="AV976" s="159" t="s">
        <v>137</v>
      </c>
      <c r="AW976" s="129" t="s">
        <v>138</v>
      </c>
      <c r="AX976" s="68" t="s">
        <v>143</v>
      </c>
      <c r="AY976" s="61" t="str">
        <f>IFERROR(__xludf.DUMMYFUNCTION("vlookup(BB976,importrange(""https://docs.google.com/spreadsheets/d/1d2vevQ_7D_v35q4wCQ4RpQ_IPoTwEMB9Yp6ymwlPqew/edit?gid=984458430#gid=984458430"", ""'replication success'!A:K""), 11, FAlSE)"),"#N/A")</f>
        <v>#N/A</v>
      </c>
      <c r="AZ976" s="61" t="str">
        <f>IFERROR(__xludf.DUMMYFUNCTION("vlookup(BB976,importrange(""https://docs.google.com/spreadsheets/d/1d2vevQ_7D_v35q4wCQ4RpQ_IPoTwEMB9Yp6ymwlPqew/edit?gid=984458430#gid=984458430"", ""'replication success'!A:M""), 12, FAlSE)"),"#N/A")</f>
        <v>#N/A</v>
      </c>
      <c r="BA976" s="61" t="str">
        <f>IFERROR(__xludf.DUMMYFUNCTION("vlookup(BB976,importrange(""https://docs.google.com/spreadsheets/d/1d2vevQ_7D_v35q4wCQ4RpQ_IPoTwEMB9Yp6ymwlPqew/edit?gid=984458430#gid=984458430"", ""'replication success'!A:M""), 13, FAlSE)"),"#N/A")</f>
        <v>#N/A</v>
      </c>
      <c r="BB976" s="61" t="str">
        <f>IFERROR(__xludf.DUMMYFUNCTION("REGEXREPLACE(G976, ""_[a-z]{1,2}$"", """")"),"Boyce_etal2023174_1")</f>
        <v>Boyce_etal2023174_1</v>
      </c>
      <c r="BD976" s="68" t="s">
        <v>153</v>
      </c>
      <c r="BE976" s="62" t="s">
        <v>144</v>
      </c>
    </row>
    <row r="977">
      <c r="A977" s="44">
        <v>977.0</v>
      </c>
      <c r="B977" s="68" t="s">
        <v>114</v>
      </c>
      <c r="C977" s="62" t="s">
        <v>115</v>
      </c>
      <c r="D977" s="62" t="s">
        <v>248</v>
      </c>
      <c r="F977" s="159" t="s">
        <v>5344</v>
      </c>
      <c r="G977" s="159" t="s">
        <v>5345</v>
      </c>
      <c r="H977" s="159" t="s">
        <v>249</v>
      </c>
      <c r="I977" s="152">
        <v>45673.0</v>
      </c>
      <c r="J977" s="152">
        <v>45692.0</v>
      </c>
      <c r="K977" s="68"/>
      <c r="L977" s="68" t="s">
        <v>3690</v>
      </c>
      <c r="M977" s="159" t="s">
        <v>5346</v>
      </c>
      <c r="N977" s="159" t="s">
        <v>5347</v>
      </c>
      <c r="O977" s="68"/>
      <c r="P977" s="606" t="str">
        <f t="shared" si="52"/>
        <v>10.1177--0956797615617779.pdf</v>
      </c>
      <c r="Q977" s="52" t="str">
        <f t="array" ref="Q977"> if(iserror(MATCH(V977, 'File Links'!C:C, 0)), "N/A", HYPERLINK(INDEX('File Links'!B:B, MATCH(P977, 'File Links'!C:C, 0))))</f>
        <v>https://drive.google.com/file/d/1X5Fe2As7h--ByO5qoa79Jna-iqMIag53/view?usp=drivesdk</v>
      </c>
      <c r="R977" s="606" t="s">
        <v>3653</v>
      </c>
      <c r="S977" s="159" t="s">
        <v>3654</v>
      </c>
      <c r="T977" s="68"/>
      <c r="U977" s="156">
        <v>1.0</v>
      </c>
      <c r="V977" s="198" t="str">
        <f t="shared" si="53"/>
        <v>10.1098--rsos.231240.pdf</v>
      </c>
      <c r="W977" s="159" t="s">
        <v>324</v>
      </c>
      <c r="X977" s="54" t="str">
        <f t="array" ref="X977"> if(iserror(MATCH(V977, 'File Links'!C:C, 0)), "N/A", HYPERLINK(INDEX('File Links'!B:B, MATCH(V977, 'File Links'!C:C, 0))))</f>
        <v>https://drive.google.com/file/d/17gaf2Zy_ljFfcAEDk5L8GBnTl5i7RGJE/view?usp=drivesdk</v>
      </c>
      <c r="Y977" s="68"/>
      <c r="Z977" s="159" t="s">
        <v>148</v>
      </c>
      <c r="AA977" s="68"/>
      <c r="AB977" s="159" t="s">
        <v>4471</v>
      </c>
      <c r="AC977" s="68"/>
      <c r="AD977" s="159" t="s">
        <v>5348</v>
      </c>
      <c r="AE977" s="1059">
        <v>216.0</v>
      </c>
      <c r="AF977" s="156">
        <v>22.0</v>
      </c>
      <c r="AG977" s="1242" t="s">
        <v>5349</v>
      </c>
      <c r="AH977" s="119" t="s">
        <v>134</v>
      </c>
      <c r="AI977" s="1060" t="s">
        <v>5350</v>
      </c>
      <c r="AJ977" s="156">
        <v>0.001</v>
      </c>
      <c r="AK977" s="159" t="s">
        <v>135</v>
      </c>
      <c r="AL977" s="159" t="s">
        <v>186</v>
      </c>
      <c r="AM977" s="159" t="s">
        <v>141</v>
      </c>
      <c r="AN977" s="151" t="s">
        <v>138</v>
      </c>
      <c r="AO977" s="156">
        <v>14.0</v>
      </c>
      <c r="AP977" s="156">
        <v>1.51479879344267</v>
      </c>
      <c r="AQ977" s="159" t="s">
        <v>173</v>
      </c>
      <c r="AR977" s="68"/>
      <c r="AS977" s="1246">
        <v>1.09027208418848E-4</v>
      </c>
      <c r="AT977" s="159" t="s">
        <v>172</v>
      </c>
      <c r="AU977" s="159" t="s">
        <v>186</v>
      </c>
      <c r="AV977" s="159" t="s">
        <v>141</v>
      </c>
      <c r="AW977" s="129" t="s">
        <v>138</v>
      </c>
      <c r="AX977" s="1060" t="s">
        <v>143</v>
      </c>
      <c r="AY977" s="61" t="str">
        <f>IFERROR(__xludf.DUMMYFUNCTION("vlookup(BB977,importrange(""https://docs.google.com/spreadsheets/d/1d2vevQ_7D_v35q4wCQ4RpQ_IPoTwEMB9Yp6ymwlPqew/edit?gid=984458430#gid=984458430"", ""'replication success'!A:K""), 11, FAlSE)"),"#N/A")</f>
        <v>#N/A</v>
      </c>
      <c r="AZ977" s="61" t="str">
        <f>IFERROR(__xludf.DUMMYFUNCTION("vlookup(BB977,importrange(""https://docs.google.com/spreadsheets/d/1d2vevQ_7D_v35q4wCQ4RpQ_IPoTwEMB9Yp6ymwlPqew/edit?gid=984458430#gid=984458430"", ""'replication success'!A:M""), 12, FAlSE)"),"#N/A")</f>
        <v>#N/A</v>
      </c>
      <c r="BA977" s="61" t="str">
        <f>IFERROR(__xludf.DUMMYFUNCTION("vlookup(BB977,importrange(""https://docs.google.com/spreadsheets/d/1d2vevQ_7D_v35q4wCQ4RpQ_IPoTwEMB9Yp6ymwlPqew/edit?gid=984458430#gid=984458430"", ""'replication success'!A:M""), 13, FAlSE)"),"#N/A")</f>
        <v>#N/A</v>
      </c>
      <c r="BB977" s="61" t="str">
        <f>IFERROR(__xludf.DUMMYFUNCTION("REGEXREPLACE(G977, ""_[a-z]{1,2}$"", """")"),"Boyce_etal2023175_1")</f>
        <v>Boyce_etal2023175_1</v>
      </c>
      <c r="BD977" s="68" t="s">
        <v>153</v>
      </c>
    </row>
    <row r="978">
      <c r="A978" s="44">
        <v>978.0</v>
      </c>
      <c r="B978" s="129" t="s">
        <v>152</v>
      </c>
      <c r="C978" s="62" t="s">
        <v>115</v>
      </c>
      <c r="D978" s="62" t="s">
        <v>153</v>
      </c>
      <c r="F978" s="68" t="s">
        <v>5345</v>
      </c>
      <c r="G978" s="159" t="s">
        <v>5351</v>
      </c>
      <c r="H978" s="159" t="s">
        <v>153</v>
      </c>
      <c r="I978" s="152">
        <v>45687.0</v>
      </c>
      <c r="J978" s="152">
        <v>45692.0</v>
      </c>
      <c r="K978" s="437" t="s">
        <v>5352</v>
      </c>
      <c r="L978" s="68"/>
      <c r="M978" s="159" t="s">
        <v>5346</v>
      </c>
      <c r="N978" s="159" t="s">
        <v>5347</v>
      </c>
      <c r="O978" s="156" t="s">
        <v>4092</v>
      </c>
      <c r="P978" s="606" t="str">
        <f t="shared" si="52"/>
        <v>10.1177--0956797615617779.pdf</v>
      </c>
      <c r="Q978" s="52" t="str">
        <f t="array" ref="Q978"> if(iserror(MATCH(V978, 'File Links'!C:C, 0)), "N/A", HYPERLINK(INDEX('File Links'!B:B, MATCH(P978, 'File Links'!C:C, 0))))</f>
        <v>https://drive.google.com/file/d/1X5Fe2As7h--ByO5qoa79Jna-iqMIag53/view?usp=drivesdk</v>
      </c>
      <c r="R978" s="606" t="s">
        <v>3653</v>
      </c>
      <c r="S978" s="159" t="s">
        <v>3654</v>
      </c>
      <c r="T978" s="68"/>
      <c r="U978" s="156">
        <v>1.0</v>
      </c>
      <c r="V978" s="198" t="str">
        <f t="shared" si="53"/>
        <v>10.1098--rsos.231240.pdf</v>
      </c>
      <c r="W978" s="159" t="s">
        <v>3726</v>
      </c>
      <c r="X978" s="54" t="str">
        <f t="array" ref="X978"> if(iserror(MATCH(V978, 'File Links'!C:C, 0)), "N/A", HYPERLINK(INDEX('File Links'!B:B, MATCH(V978, 'File Links'!C:C, 0))))</f>
        <v>https://drive.google.com/file/d/17gaf2Zy_ljFfcAEDk5L8GBnTl5i7RGJE/view?usp=drivesdk</v>
      </c>
      <c r="Y978" s="68"/>
      <c r="Z978" s="159" t="s">
        <v>148</v>
      </c>
      <c r="AA978" s="159" t="s">
        <v>5353</v>
      </c>
      <c r="AB978" s="159" t="s">
        <v>5354</v>
      </c>
      <c r="AC978" s="159" t="s">
        <v>5355</v>
      </c>
      <c r="AD978" s="159" t="s">
        <v>5356</v>
      </c>
      <c r="AE978" s="156">
        <v>3.0</v>
      </c>
      <c r="AF978" s="156">
        <v>22.0</v>
      </c>
      <c r="AG978" s="156">
        <v>0.67</v>
      </c>
      <c r="AH978" s="156" t="s">
        <v>874</v>
      </c>
      <c r="AI978" s="156" t="s">
        <v>217</v>
      </c>
      <c r="AJ978" s="156">
        <v>0.001</v>
      </c>
      <c r="AK978" s="159" t="s">
        <v>135</v>
      </c>
      <c r="AL978" s="159" t="s">
        <v>186</v>
      </c>
      <c r="AM978" s="159" t="s">
        <v>141</v>
      </c>
      <c r="AN978" s="151" t="s">
        <v>138</v>
      </c>
      <c r="AO978" s="156">
        <v>14.0</v>
      </c>
      <c r="AP978" s="156" t="s">
        <v>5357</v>
      </c>
      <c r="AQ978" s="156" t="s">
        <v>134</v>
      </c>
      <c r="AR978" s="156" t="s">
        <v>613</v>
      </c>
      <c r="AS978" s="156">
        <v>0.0</v>
      </c>
      <c r="AT978" s="159" t="s">
        <v>172</v>
      </c>
      <c r="AU978" s="159" t="s">
        <v>186</v>
      </c>
      <c r="AV978" s="159" t="s">
        <v>141</v>
      </c>
      <c r="AW978" s="129" t="s">
        <v>138</v>
      </c>
      <c r="AX978" s="68" t="s">
        <v>151</v>
      </c>
      <c r="AY978" s="61" t="str">
        <f>IFERROR(__xludf.DUMMYFUNCTION("vlookup(BB978,importrange(""https://docs.google.com/spreadsheets/d/1d2vevQ_7D_v35q4wCQ4RpQ_IPoTwEMB9Yp6ymwlPqew/edit?gid=984458430#gid=984458430"", ""'replication success'!A:K""), 11, FAlSE)"),"#N/A")</f>
        <v>#N/A</v>
      </c>
      <c r="AZ978" s="61" t="str">
        <f>IFERROR(__xludf.DUMMYFUNCTION("vlookup(BB978,importrange(""https://docs.google.com/spreadsheets/d/1d2vevQ_7D_v35q4wCQ4RpQ_IPoTwEMB9Yp6ymwlPqew/edit?gid=984458430#gid=984458430"", ""'replication success'!A:M""), 12, FAlSE)"),"#N/A")</f>
        <v>#N/A</v>
      </c>
      <c r="BA978" s="61" t="str">
        <f>IFERROR(__xludf.DUMMYFUNCTION("vlookup(BB978,importrange(""https://docs.google.com/spreadsheets/d/1d2vevQ_7D_v35q4wCQ4RpQ_IPoTwEMB9Yp6ymwlPqew/edit?gid=984458430#gid=984458430"", ""'replication success'!A:M""), 13, FAlSE)"),"#N/A")</f>
        <v>#N/A</v>
      </c>
      <c r="BB978" s="61" t="str">
        <f>IFERROR(__xludf.DUMMYFUNCTION("REGEXREPLACE(G978, ""_[a-z]{1,2}$"", """")"),"Boyce_etal2023175_1")</f>
        <v>Boyce_etal2023175_1</v>
      </c>
      <c r="BD978" s="68" t="s">
        <v>153</v>
      </c>
    </row>
    <row r="979">
      <c r="A979" s="44">
        <v>979.0</v>
      </c>
      <c r="B979" s="129" t="s">
        <v>152</v>
      </c>
      <c r="C979" s="62" t="s">
        <v>115</v>
      </c>
      <c r="D979" s="62" t="s">
        <v>153</v>
      </c>
      <c r="F979" s="68" t="s">
        <v>5345</v>
      </c>
      <c r="G979" s="159" t="s">
        <v>5358</v>
      </c>
      <c r="H979" s="159" t="s">
        <v>153</v>
      </c>
      <c r="I979" s="152">
        <v>45687.0</v>
      </c>
      <c r="J979" s="152">
        <v>45692.0</v>
      </c>
      <c r="K979" s="437" t="s">
        <v>5352</v>
      </c>
      <c r="L979" s="68"/>
      <c r="M979" s="159" t="s">
        <v>5346</v>
      </c>
      <c r="N979" s="159" t="s">
        <v>5347</v>
      </c>
      <c r="O979" s="156" t="s">
        <v>4092</v>
      </c>
      <c r="P979" s="606" t="str">
        <f t="shared" si="52"/>
        <v>10.1177--0956797615617779.pdf</v>
      </c>
      <c r="Q979" s="52" t="str">
        <f t="array" ref="Q979"> if(iserror(MATCH(V979, 'File Links'!C:C, 0)), "N/A", HYPERLINK(INDEX('File Links'!B:B, MATCH(P979, 'File Links'!C:C, 0))))</f>
        <v>https://drive.google.com/file/d/1X5Fe2As7h--ByO5qoa79Jna-iqMIag53/view?usp=drivesdk</v>
      </c>
      <c r="R979" s="606" t="s">
        <v>3653</v>
      </c>
      <c r="S979" s="159" t="s">
        <v>3654</v>
      </c>
      <c r="T979" s="68"/>
      <c r="U979" s="156">
        <v>1.0</v>
      </c>
      <c r="V979" s="198" t="str">
        <f t="shared" si="53"/>
        <v>10.1098--rsos.231240.pdf</v>
      </c>
      <c r="W979" s="159" t="s">
        <v>3726</v>
      </c>
      <c r="X979" s="54" t="str">
        <f t="array" ref="X979"> if(iserror(MATCH(V979, 'File Links'!C:C, 0)), "N/A", HYPERLINK(INDEX('File Links'!B:B, MATCH(V979, 'File Links'!C:C, 0))))</f>
        <v>https://drive.google.com/file/d/17gaf2Zy_ljFfcAEDk5L8GBnTl5i7RGJE/view?usp=drivesdk</v>
      </c>
      <c r="Y979" s="68"/>
      <c r="Z979" s="159" t="s">
        <v>148</v>
      </c>
      <c r="AA979" s="159" t="s">
        <v>5353</v>
      </c>
      <c r="AB979" s="159" t="s">
        <v>5354</v>
      </c>
      <c r="AC979" s="159" t="s">
        <v>5359</v>
      </c>
      <c r="AD979" s="159" t="s">
        <v>5360</v>
      </c>
      <c r="AE979" s="336">
        <v>3.0</v>
      </c>
      <c r="AF979" s="156">
        <v>22.0</v>
      </c>
      <c r="AG979" s="336">
        <v>0.55</v>
      </c>
      <c r="AH979" s="156" t="s">
        <v>874</v>
      </c>
      <c r="AI979" s="336" t="s">
        <v>217</v>
      </c>
      <c r="AJ979" s="336">
        <v>0.001</v>
      </c>
      <c r="AK979" s="159" t="s">
        <v>135</v>
      </c>
      <c r="AL979" s="159" t="s">
        <v>186</v>
      </c>
      <c r="AM979" s="159" t="s">
        <v>141</v>
      </c>
      <c r="AN979" s="151" t="s">
        <v>138</v>
      </c>
      <c r="AO979" s="156">
        <v>14.0</v>
      </c>
      <c r="AP979" s="156" t="s">
        <v>5361</v>
      </c>
      <c r="AQ979" s="156" t="s">
        <v>134</v>
      </c>
      <c r="AR979" s="336" t="s">
        <v>613</v>
      </c>
      <c r="AS979" s="1114">
        <v>0.002</v>
      </c>
      <c r="AT979" s="159" t="s">
        <v>172</v>
      </c>
      <c r="AU979" s="159" t="s">
        <v>186</v>
      </c>
      <c r="AV979" s="159" t="s">
        <v>141</v>
      </c>
      <c r="AW979" s="129" t="s">
        <v>138</v>
      </c>
      <c r="AX979" s="68" t="s">
        <v>151</v>
      </c>
      <c r="AY979" s="61" t="str">
        <f>IFERROR(__xludf.DUMMYFUNCTION("vlookup(BB979,importrange(""https://docs.google.com/spreadsheets/d/1d2vevQ_7D_v35q4wCQ4RpQ_IPoTwEMB9Yp6ymwlPqew/edit?gid=984458430#gid=984458430"", ""'replication success'!A:K""), 11, FAlSE)"),"#N/A")</f>
        <v>#N/A</v>
      </c>
      <c r="AZ979" s="61" t="str">
        <f>IFERROR(__xludf.DUMMYFUNCTION("vlookup(BB979,importrange(""https://docs.google.com/spreadsheets/d/1d2vevQ_7D_v35q4wCQ4RpQ_IPoTwEMB9Yp6ymwlPqew/edit?gid=984458430#gid=984458430"", ""'replication success'!A:M""), 12, FAlSE)"),"#N/A")</f>
        <v>#N/A</v>
      </c>
      <c r="BA979" s="61" t="str">
        <f>IFERROR(__xludf.DUMMYFUNCTION("vlookup(BB979,importrange(""https://docs.google.com/spreadsheets/d/1d2vevQ_7D_v35q4wCQ4RpQ_IPoTwEMB9Yp6ymwlPqew/edit?gid=984458430#gid=984458430"", ""'replication success'!A:M""), 13, FAlSE)"),"#N/A")</f>
        <v>#N/A</v>
      </c>
      <c r="BB979" s="61" t="str">
        <f>IFERROR(__xludf.DUMMYFUNCTION("REGEXREPLACE(G979, ""_[a-z]{1,2}$"", """")"),"Boyce_etal2023175_1")</f>
        <v>Boyce_etal2023175_1</v>
      </c>
      <c r="BD979" s="68" t="s">
        <v>153</v>
      </c>
    </row>
    <row r="980">
      <c r="A980" s="44">
        <v>980.0</v>
      </c>
      <c r="B980" s="129" t="s">
        <v>152</v>
      </c>
      <c r="C980" s="62" t="s">
        <v>115</v>
      </c>
      <c r="D980" s="62" t="s">
        <v>153</v>
      </c>
      <c r="F980" s="68" t="s">
        <v>5345</v>
      </c>
      <c r="G980" s="159" t="s">
        <v>5362</v>
      </c>
      <c r="H980" s="159" t="s">
        <v>153</v>
      </c>
      <c r="I980" s="152">
        <v>45687.0</v>
      </c>
      <c r="J980" s="152">
        <v>45692.0</v>
      </c>
      <c r="K980" s="437" t="s">
        <v>5352</v>
      </c>
      <c r="L980" s="68"/>
      <c r="M980" s="159" t="s">
        <v>5346</v>
      </c>
      <c r="N980" s="159" t="s">
        <v>5347</v>
      </c>
      <c r="O980" s="156" t="s">
        <v>4092</v>
      </c>
      <c r="P980" s="606" t="str">
        <f t="shared" si="52"/>
        <v>10.1177--0956797615617779.pdf</v>
      </c>
      <c r="Q980" s="52" t="str">
        <f t="array" ref="Q980"> if(iserror(MATCH(V980, 'File Links'!C:C, 0)), "N/A", HYPERLINK(INDEX('File Links'!B:B, MATCH(P980, 'File Links'!C:C, 0))))</f>
        <v>https://drive.google.com/file/d/1X5Fe2As7h--ByO5qoa79Jna-iqMIag53/view?usp=drivesdk</v>
      </c>
      <c r="R980" s="606" t="s">
        <v>3653</v>
      </c>
      <c r="S980" s="159" t="s">
        <v>3654</v>
      </c>
      <c r="T980" s="68"/>
      <c r="U980" s="156">
        <v>1.0</v>
      </c>
      <c r="V980" s="198" t="str">
        <f t="shared" si="53"/>
        <v>10.1098--rsos.231240.pdf</v>
      </c>
      <c r="W980" s="159" t="s">
        <v>3726</v>
      </c>
      <c r="X980" s="54" t="str">
        <f t="array" ref="X980"> if(iserror(MATCH(V980, 'File Links'!C:C, 0)), "N/A", HYPERLINK(INDEX('File Links'!B:B, MATCH(V980, 'File Links'!C:C, 0))))</f>
        <v>https://drive.google.com/file/d/17gaf2Zy_ljFfcAEDk5L8GBnTl5i7RGJE/view?usp=drivesdk</v>
      </c>
      <c r="Y980" s="68"/>
      <c r="Z980" s="159" t="s">
        <v>148</v>
      </c>
      <c r="AA980" s="159" t="s">
        <v>5353</v>
      </c>
      <c r="AB980" s="159" t="s">
        <v>5354</v>
      </c>
      <c r="AC980" s="159" t="s">
        <v>5363</v>
      </c>
      <c r="AD980" s="159" t="s">
        <v>5364</v>
      </c>
      <c r="AE980" s="1303">
        <v>45750.0</v>
      </c>
      <c r="AF980" s="156">
        <v>22.0</v>
      </c>
      <c r="AG980" s="156">
        <v>0.15</v>
      </c>
      <c r="AH980" s="156" t="s">
        <v>874</v>
      </c>
      <c r="AI980" s="156" t="s">
        <v>850</v>
      </c>
      <c r="AJ980" s="156">
        <v>0.065</v>
      </c>
      <c r="AK980" s="159" t="s">
        <v>172</v>
      </c>
      <c r="AL980" s="159" t="s">
        <v>186</v>
      </c>
      <c r="AM980" s="159" t="s">
        <v>141</v>
      </c>
      <c r="AN980" s="151" t="s">
        <v>138</v>
      </c>
      <c r="AO980" s="156">
        <v>14.0</v>
      </c>
      <c r="AP980" s="156" t="s">
        <v>5365</v>
      </c>
      <c r="AQ980" s="156" t="s">
        <v>134</v>
      </c>
      <c r="AR980" s="156" t="s">
        <v>613</v>
      </c>
      <c r="AS980" s="1114">
        <v>0.002</v>
      </c>
      <c r="AT980" s="159" t="s">
        <v>172</v>
      </c>
      <c r="AU980" s="159" t="s">
        <v>186</v>
      </c>
      <c r="AV980" s="159" t="s">
        <v>141</v>
      </c>
      <c r="AW980" s="129" t="s">
        <v>138</v>
      </c>
      <c r="AX980" s="68" t="s">
        <v>151</v>
      </c>
      <c r="AY980" s="61" t="str">
        <f>IFERROR(__xludf.DUMMYFUNCTION("vlookup(BB980,importrange(""https://docs.google.com/spreadsheets/d/1d2vevQ_7D_v35q4wCQ4RpQ_IPoTwEMB9Yp6ymwlPqew/edit?gid=984458430#gid=984458430"", ""'replication success'!A:K""), 11, FAlSE)"),"#N/A")</f>
        <v>#N/A</v>
      </c>
      <c r="AZ980" s="61" t="str">
        <f>IFERROR(__xludf.DUMMYFUNCTION("vlookup(BB980,importrange(""https://docs.google.com/spreadsheets/d/1d2vevQ_7D_v35q4wCQ4RpQ_IPoTwEMB9Yp6ymwlPqew/edit?gid=984458430#gid=984458430"", ""'replication success'!A:M""), 12, FAlSE)"),"#N/A")</f>
        <v>#N/A</v>
      </c>
      <c r="BA980" s="61" t="str">
        <f>IFERROR(__xludf.DUMMYFUNCTION("vlookup(BB980,importrange(""https://docs.google.com/spreadsheets/d/1d2vevQ_7D_v35q4wCQ4RpQ_IPoTwEMB9Yp6ymwlPqew/edit?gid=984458430#gid=984458430"", ""'replication success'!A:M""), 13, FAlSE)"),"#N/A")</f>
        <v>#N/A</v>
      </c>
      <c r="BB980" s="61" t="str">
        <f>IFERROR(__xludf.DUMMYFUNCTION("REGEXREPLACE(G980, ""_[a-z]{1,2}$"", """")"),"Boyce_etal2023175_1")</f>
        <v>Boyce_etal2023175_1</v>
      </c>
      <c r="BD980" s="68" t="s">
        <v>153</v>
      </c>
    </row>
    <row r="981">
      <c r="A981" s="44">
        <v>981.0</v>
      </c>
      <c r="B981" s="129" t="s">
        <v>152</v>
      </c>
      <c r="C981" s="62" t="s">
        <v>115</v>
      </c>
      <c r="D981" s="62" t="s">
        <v>153</v>
      </c>
      <c r="F981" s="68" t="s">
        <v>5345</v>
      </c>
      <c r="G981" s="159" t="s">
        <v>5366</v>
      </c>
      <c r="H981" s="159" t="s">
        <v>153</v>
      </c>
      <c r="I981" s="152">
        <v>45687.0</v>
      </c>
      <c r="J981" s="152">
        <v>45692.0</v>
      </c>
      <c r="K981" s="437" t="s">
        <v>5352</v>
      </c>
      <c r="L981" s="68"/>
      <c r="M981" s="159" t="s">
        <v>5346</v>
      </c>
      <c r="N981" s="159" t="s">
        <v>5347</v>
      </c>
      <c r="O981" s="156" t="s">
        <v>4092</v>
      </c>
      <c r="P981" s="606" t="str">
        <f t="shared" si="52"/>
        <v>10.1177--0956797615617779.pdf</v>
      </c>
      <c r="Q981" s="52" t="str">
        <f t="array" ref="Q981"> if(iserror(MATCH(V981, 'File Links'!C:C, 0)), "N/A", HYPERLINK(INDEX('File Links'!B:B, MATCH(P981, 'File Links'!C:C, 0))))</f>
        <v>https://drive.google.com/file/d/1X5Fe2As7h--ByO5qoa79Jna-iqMIag53/view?usp=drivesdk</v>
      </c>
      <c r="R981" s="606" t="s">
        <v>3653</v>
      </c>
      <c r="S981" s="159" t="s">
        <v>3654</v>
      </c>
      <c r="T981" s="68"/>
      <c r="U981" s="156">
        <v>1.0</v>
      </c>
      <c r="V981" s="198" t="str">
        <f t="shared" si="53"/>
        <v>10.1098--rsos.231240.pdf</v>
      </c>
      <c r="W981" s="159" t="s">
        <v>3726</v>
      </c>
      <c r="X981" s="54" t="str">
        <f t="array" ref="X981"> if(iserror(MATCH(V981, 'File Links'!C:C, 0)), "N/A", HYPERLINK(INDEX('File Links'!B:B, MATCH(V981, 'File Links'!C:C, 0))))</f>
        <v>https://drive.google.com/file/d/17gaf2Zy_ljFfcAEDk5L8GBnTl5i7RGJE/view?usp=drivesdk</v>
      </c>
      <c r="Y981" s="68"/>
      <c r="Z981" s="159" t="s">
        <v>148</v>
      </c>
      <c r="AA981" s="159" t="s">
        <v>5353</v>
      </c>
      <c r="AB981" s="159" t="s">
        <v>5354</v>
      </c>
      <c r="AC981" s="159" t="s">
        <v>5367</v>
      </c>
      <c r="AD981" s="159" t="s">
        <v>5368</v>
      </c>
      <c r="AE981" s="336">
        <v>4.0</v>
      </c>
      <c r="AF981" s="156">
        <v>22.0</v>
      </c>
      <c r="AG981" s="336">
        <v>0.56</v>
      </c>
      <c r="AH981" s="156" t="s">
        <v>874</v>
      </c>
      <c r="AI981" s="156" t="s">
        <v>850</v>
      </c>
      <c r="AJ981" s="336">
        <v>0.001</v>
      </c>
      <c r="AK981" s="159" t="s">
        <v>135</v>
      </c>
      <c r="AL981" s="159" t="s">
        <v>186</v>
      </c>
      <c r="AM981" s="159" t="s">
        <v>141</v>
      </c>
      <c r="AN981" s="151" t="s">
        <v>138</v>
      </c>
      <c r="AO981" s="156">
        <v>14.0</v>
      </c>
      <c r="AP981" s="156" t="s">
        <v>5369</v>
      </c>
      <c r="AQ981" s="156" t="s">
        <v>134</v>
      </c>
      <c r="AR981" s="336" t="s">
        <v>612</v>
      </c>
      <c r="AS981" s="1114">
        <v>0.002</v>
      </c>
      <c r="AT981" s="159" t="s">
        <v>172</v>
      </c>
      <c r="AU981" s="159" t="s">
        <v>186</v>
      </c>
      <c r="AV981" s="159" t="s">
        <v>141</v>
      </c>
      <c r="AW981" s="129" t="s">
        <v>138</v>
      </c>
      <c r="AX981" s="68" t="s">
        <v>151</v>
      </c>
      <c r="AY981" s="61" t="str">
        <f>IFERROR(__xludf.DUMMYFUNCTION("vlookup(BB981,importrange(""https://docs.google.com/spreadsheets/d/1d2vevQ_7D_v35q4wCQ4RpQ_IPoTwEMB9Yp6ymwlPqew/edit?gid=984458430#gid=984458430"", ""'replication success'!A:K""), 11, FAlSE)"),"#N/A")</f>
        <v>#N/A</v>
      </c>
      <c r="AZ981" s="61" t="str">
        <f>IFERROR(__xludf.DUMMYFUNCTION("vlookup(BB981,importrange(""https://docs.google.com/spreadsheets/d/1d2vevQ_7D_v35q4wCQ4RpQ_IPoTwEMB9Yp6ymwlPqew/edit?gid=984458430#gid=984458430"", ""'replication success'!A:M""), 12, FAlSE)"),"#N/A")</f>
        <v>#N/A</v>
      </c>
      <c r="BA981" s="61" t="str">
        <f>IFERROR(__xludf.DUMMYFUNCTION("vlookup(BB981,importrange(""https://docs.google.com/spreadsheets/d/1d2vevQ_7D_v35q4wCQ4RpQ_IPoTwEMB9Yp6ymwlPqew/edit?gid=984458430#gid=984458430"", ""'replication success'!A:M""), 13, FAlSE)"),"#N/A")</f>
        <v>#N/A</v>
      </c>
      <c r="BB981" s="61" t="str">
        <f>IFERROR(__xludf.DUMMYFUNCTION("REGEXREPLACE(G981, ""_[a-z]{1,2}$"", """")"),"Boyce_etal2023175_1")</f>
        <v>Boyce_etal2023175_1</v>
      </c>
      <c r="BD981" s="68" t="s">
        <v>153</v>
      </c>
    </row>
    <row r="982">
      <c r="A982" s="44">
        <v>982.0</v>
      </c>
      <c r="B982" s="129" t="s">
        <v>152</v>
      </c>
      <c r="C982" s="62" t="s">
        <v>115</v>
      </c>
      <c r="D982" s="62" t="s">
        <v>153</v>
      </c>
      <c r="F982" s="68" t="s">
        <v>5345</v>
      </c>
      <c r="G982" s="159" t="s">
        <v>5370</v>
      </c>
      <c r="H982" s="159" t="s">
        <v>153</v>
      </c>
      <c r="I982" s="152">
        <v>45687.0</v>
      </c>
      <c r="J982" s="152">
        <v>45692.0</v>
      </c>
      <c r="K982" s="437" t="s">
        <v>5352</v>
      </c>
      <c r="L982" s="68"/>
      <c r="M982" s="159" t="s">
        <v>5346</v>
      </c>
      <c r="N982" s="159" t="s">
        <v>5347</v>
      </c>
      <c r="O982" s="156" t="s">
        <v>4092</v>
      </c>
      <c r="P982" s="606" t="str">
        <f t="shared" si="52"/>
        <v>10.1177--0956797615617779.pdf</v>
      </c>
      <c r="Q982" s="52" t="str">
        <f t="array" ref="Q982"> if(iserror(MATCH(V982, 'File Links'!C:C, 0)), "N/A", HYPERLINK(INDEX('File Links'!B:B, MATCH(P982, 'File Links'!C:C, 0))))</f>
        <v>https://drive.google.com/file/d/1X5Fe2As7h--ByO5qoa79Jna-iqMIag53/view?usp=drivesdk</v>
      </c>
      <c r="R982" s="606" t="s">
        <v>3653</v>
      </c>
      <c r="S982" s="159" t="s">
        <v>3654</v>
      </c>
      <c r="T982" s="68"/>
      <c r="U982" s="156">
        <v>1.0</v>
      </c>
      <c r="V982" s="198" t="str">
        <f t="shared" si="53"/>
        <v>10.1098--rsos.231240.pdf</v>
      </c>
      <c r="W982" s="159" t="s">
        <v>3726</v>
      </c>
      <c r="X982" s="54" t="str">
        <f t="array" ref="X982"> if(iserror(MATCH(V982, 'File Links'!C:C, 0)), "N/A", HYPERLINK(INDEX('File Links'!B:B, MATCH(V982, 'File Links'!C:C, 0))))</f>
        <v>https://drive.google.com/file/d/17gaf2Zy_ljFfcAEDk5L8GBnTl5i7RGJE/view?usp=drivesdk</v>
      </c>
      <c r="Y982" s="68"/>
      <c r="Z982" s="159" t="s">
        <v>148</v>
      </c>
      <c r="AA982" s="159" t="s">
        <v>5353</v>
      </c>
      <c r="AB982" s="159" t="s">
        <v>5354</v>
      </c>
      <c r="AC982" s="159" t="s">
        <v>5371</v>
      </c>
      <c r="AD982" s="159" t="s">
        <v>5372</v>
      </c>
      <c r="AE982" s="336">
        <v>4.0</v>
      </c>
      <c r="AF982" s="156">
        <v>22.0</v>
      </c>
      <c r="AG982" s="336">
        <v>0.28</v>
      </c>
      <c r="AH982" s="156" t="s">
        <v>874</v>
      </c>
      <c r="AI982" s="156" t="s">
        <v>850</v>
      </c>
      <c r="AJ982" s="336">
        <v>0.01</v>
      </c>
      <c r="AK982" s="159" t="s">
        <v>172</v>
      </c>
      <c r="AL982" s="159" t="s">
        <v>186</v>
      </c>
      <c r="AM982" s="159" t="s">
        <v>141</v>
      </c>
      <c r="AN982" s="151" t="s">
        <v>138</v>
      </c>
      <c r="AO982" s="156">
        <v>14.0</v>
      </c>
      <c r="AP982" s="156" t="s">
        <v>5373</v>
      </c>
      <c r="AQ982" s="156" t="s">
        <v>134</v>
      </c>
      <c r="AR982" s="336" t="s">
        <v>612</v>
      </c>
      <c r="AS982" s="336">
        <v>0.908</v>
      </c>
      <c r="AT982" s="159" t="s">
        <v>172</v>
      </c>
      <c r="AU982" s="159" t="s">
        <v>186</v>
      </c>
      <c r="AV982" s="159" t="s">
        <v>141</v>
      </c>
      <c r="AW982" s="129" t="s">
        <v>138</v>
      </c>
      <c r="AX982" s="68" t="s">
        <v>151</v>
      </c>
      <c r="AY982" s="61" t="str">
        <f>IFERROR(__xludf.DUMMYFUNCTION("vlookup(BB982,importrange(""https://docs.google.com/spreadsheets/d/1d2vevQ_7D_v35q4wCQ4RpQ_IPoTwEMB9Yp6ymwlPqew/edit?gid=984458430#gid=984458430"", ""'replication success'!A:K""), 11, FAlSE)"),"#N/A")</f>
        <v>#N/A</v>
      </c>
      <c r="AZ982" s="61" t="str">
        <f>IFERROR(__xludf.DUMMYFUNCTION("vlookup(BB982,importrange(""https://docs.google.com/spreadsheets/d/1d2vevQ_7D_v35q4wCQ4RpQ_IPoTwEMB9Yp6ymwlPqew/edit?gid=984458430#gid=984458430"", ""'replication success'!A:M""), 12, FAlSE)"),"#N/A")</f>
        <v>#N/A</v>
      </c>
      <c r="BA982" s="61" t="str">
        <f>IFERROR(__xludf.DUMMYFUNCTION("vlookup(BB982,importrange(""https://docs.google.com/spreadsheets/d/1d2vevQ_7D_v35q4wCQ4RpQ_IPoTwEMB9Yp6ymwlPqew/edit?gid=984458430#gid=984458430"", ""'replication success'!A:M""), 13, FAlSE)"),"#N/A")</f>
        <v>#N/A</v>
      </c>
      <c r="BB982" s="61" t="str">
        <f>IFERROR(__xludf.DUMMYFUNCTION("REGEXREPLACE(G982, ""_[a-z]{1,2}$"", """")"),"Boyce_etal2023175_1")</f>
        <v>Boyce_etal2023175_1</v>
      </c>
      <c r="BD982" s="68" t="s">
        <v>153</v>
      </c>
    </row>
    <row r="983">
      <c r="A983" s="44">
        <v>983.0</v>
      </c>
      <c r="B983" s="129" t="s">
        <v>152</v>
      </c>
      <c r="C983" s="62" t="s">
        <v>115</v>
      </c>
      <c r="D983" s="62" t="s">
        <v>153</v>
      </c>
      <c r="F983" s="68" t="s">
        <v>5345</v>
      </c>
      <c r="G983" s="159" t="s">
        <v>5374</v>
      </c>
      <c r="H983" s="159" t="s">
        <v>153</v>
      </c>
      <c r="I983" s="152">
        <v>45687.0</v>
      </c>
      <c r="J983" s="152">
        <v>45692.0</v>
      </c>
      <c r="K983" s="437" t="s">
        <v>5352</v>
      </c>
      <c r="L983" s="68"/>
      <c r="M983" s="159" t="s">
        <v>5346</v>
      </c>
      <c r="N983" s="159" t="s">
        <v>5347</v>
      </c>
      <c r="O983" s="156" t="s">
        <v>4092</v>
      </c>
      <c r="P983" s="606" t="str">
        <f t="shared" si="52"/>
        <v>10.1177--0956797615617779.pdf</v>
      </c>
      <c r="Q983" s="52" t="str">
        <f t="array" ref="Q983"> if(iserror(MATCH(V983, 'File Links'!C:C, 0)), "N/A", HYPERLINK(INDEX('File Links'!B:B, MATCH(P983, 'File Links'!C:C, 0))))</f>
        <v>https://drive.google.com/file/d/1X5Fe2As7h--ByO5qoa79Jna-iqMIag53/view?usp=drivesdk</v>
      </c>
      <c r="R983" s="606" t="s">
        <v>3653</v>
      </c>
      <c r="S983" s="159" t="s">
        <v>3654</v>
      </c>
      <c r="T983" s="68"/>
      <c r="U983" s="156">
        <v>1.0</v>
      </c>
      <c r="V983" s="198" t="str">
        <f t="shared" si="53"/>
        <v>10.1098--rsos.231240.pdf</v>
      </c>
      <c r="W983" s="159" t="s">
        <v>3726</v>
      </c>
      <c r="X983" s="54" t="str">
        <f t="array" ref="X983"> if(iserror(MATCH(V983, 'File Links'!C:C, 0)), "N/A", HYPERLINK(INDEX('File Links'!B:B, MATCH(V983, 'File Links'!C:C, 0))))</f>
        <v>https://drive.google.com/file/d/17gaf2Zy_ljFfcAEDk5L8GBnTl5i7RGJE/view?usp=drivesdk</v>
      </c>
      <c r="Y983" s="68"/>
      <c r="Z983" s="159" t="s">
        <v>148</v>
      </c>
      <c r="AA983" s="159" t="s">
        <v>5353</v>
      </c>
      <c r="AB983" s="159" t="s">
        <v>5354</v>
      </c>
      <c r="AC983" s="159" t="s">
        <v>5375</v>
      </c>
      <c r="AD983" s="159" t="s">
        <v>5376</v>
      </c>
      <c r="AE983" s="336">
        <v>4.0</v>
      </c>
      <c r="AF983" s="156">
        <v>22.0</v>
      </c>
      <c r="AG983" s="336">
        <v>1.15</v>
      </c>
      <c r="AH983" s="156" t="s">
        <v>173</v>
      </c>
      <c r="AI983" s="156" t="s">
        <v>850</v>
      </c>
      <c r="AJ983" s="336">
        <v>0.001</v>
      </c>
      <c r="AK983" s="159" t="s">
        <v>135</v>
      </c>
      <c r="AL983" s="159" t="s">
        <v>186</v>
      </c>
      <c r="AM983" s="159" t="s">
        <v>141</v>
      </c>
      <c r="AN983" s="151" t="s">
        <v>138</v>
      </c>
      <c r="AO983" s="156">
        <v>14.0</v>
      </c>
      <c r="AP983" s="156" t="s">
        <v>5377</v>
      </c>
      <c r="AQ983" s="156" t="s">
        <v>134</v>
      </c>
      <c r="AR983" s="336" t="s">
        <v>436</v>
      </c>
      <c r="AS983" s="1114">
        <v>0.036</v>
      </c>
      <c r="AT983" s="159" t="s">
        <v>172</v>
      </c>
      <c r="AU983" s="159" t="s">
        <v>186</v>
      </c>
      <c r="AV983" s="159" t="s">
        <v>141</v>
      </c>
      <c r="AW983" s="129" t="s">
        <v>138</v>
      </c>
      <c r="AX983" s="68" t="s">
        <v>151</v>
      </c>
      <c r="AY983" s="61" t="str">
        <f>IFERROR(__xludf.DUMMYFUNCTION("vlookup(BB983,importrange(""https://docs.google.com/spreadsheets/d/1d2vevQ_7D_v35q4wCQ4RpQ_IPoTwEMB9Yp6ymwlPqew/edit?gid=984458430#gid=984458430"", ""'replication success'!A:K""), 11, FAlSE)"),"#N/A")</f>
        <v>#N/A</v>
      </c>
      <c r="AZ983" s="61" t="str">
        <f>IFERROR(__xludf.DUMMYFUNCTION("vlookup(BB983,importrange(""https://docs.google.com/spreadsheets/d/1d2vevQ_7D_v35q4wCQ4RpQ_IPoTwEMB9Yp6ymwlPqew/edit?gid=984458430#gid=984458430"", ""'replication success'!A:M""), 12, FAlSE)"),"#N/A")</f>
        <v>#N/A</v>
      </c>
      <c r="BA983" s="61" t="str">
        <f>IFERROR(__xludf.DUMMYFUNCTION("vlookup(BB983,importrange(""https://docs.google.com/spreadsheets/d/1d2vevQ_7D_v35q4wCQ4RpQ_IPoTwEMB9Yp6ymwlPqew/edit?gid=984458430#gid=984458430"", ""'replication success'!A:M""), 13, FAlSE)"),"#N/A")</f>
        <v>#N/A</v>
      </c>
      <c r="BB983" s="61" t="str">
        <f>IFERROR(__xludf.DUMMYFUNCTION("REGEXREPLACE(G983, ""_[a-z]{1,2}$"", """")"),"Boyce_etal2023175_1")</f>
        <v>Boyce_etal2023175_1</v>
      </c>
      <c r="BD983" s="68" t="s">
        <v>153</v>
      </c>
    </row>
    <row r="984">
      <c r="A984" s="44">
        <v>984.0</v>
      </c>
      <c r="B984" s="129" t="s">
        <v>152</v>
      </c>
      <c r="C984" s="62" t="s">
        <v>115</v>
      </c>
      <c r="D984" s="62" t="s">
        <v>153</v>
      </c>
      <c r="F984" s="68" t="s">
        <v>5345</v>
      </c>
      <c r="G984" s="159" t="s">
        <v>5378</v>
      </c>
      <c r="H984" s="159" t="s">
        <v>153</v>
      </c>
      <c r="I984" s="152">
        <v>45687.0</v>
      </c>
      <c r="J984" s="152">
        <v>45692.0</v>
      </c>
      <c r="K984" s="437" t="s">
        <v>5352</v>
      </c>
      <c r="L984" s="68"/>
      <c r="M984" s="159" t="s">
        <v>5346</v>
      </c>
      <c r="N984" s="159" t="s">
        <v>5347</v>
      </c>
      <c r="O984" s="156" t="s">
        <v>4092</v>
      </c>
      <c r="P984" s="606" t="str">
        <f t="shared" si="52"/>
        <v>10.1177--0956797615617779.pdf</v>
      </c>
      <c r="Q984" s="52" t="str">
        <f t="array" ref="Q984"> if(iserror(MATCH(V984, 'File Links'!C:C, 0)), "N/A", HYPERLINK(INDEX('File Links'!B:B, MATCH(P984, 'File Links'!C:C, 0))))</f>
        <v>https://drive.google.com/file/d/1X5Fe2As7h--ByO5qoa79Jna-iqMIag53/view?usp=drivesdk</v>
      </c>
      <c r="R984" s="606" t="s">
        <v>3653</v>
      </c>
      <c r="S984" s="159" t="s">
        <v>3654</v>
      </c>
      <c r="T984" s="68"/>
      <c r="U984" s="156">
        <v>1.0</v>
      </c>
      <c r="V984" s="198" t="str">
        <f t="shared" si="53"/>
        <v>10.1098--rsos.231240.pdf</v>
      </c>
      <c r="W984" s="159" t="s">
        <v>3726</v>
      </c>
      <c r="X984" s="54" t="str">
        <f t="array" ref="X984"> if(iserror(MATCH(V984, 'File Links'!C:C, 0)), "N/A", HYPERLINK(INDEX('File Links'!B:B, MATCH(V984, 'File Links'!C:C, 0))))</f>
        <v>https://drive.google.com/file/d/17gaf2Zy_ljFfcAEDk5L8GBnTl5i7RGJE/view?usp=drivesdk</v>
      </c>
      <c r="Y984" s="68"/>
      <c r="Z984" s="159" t="s">
        <v>148</v>
      </c>
      <c r="AA984" s="159" t="s">
        <v>5353</v>
      </c>
      <c r="AB984" s="159" t="s">
        <v>5354</v>
      </c>
      <c r="AC984" s="159" t="s">
        <v>5375</v>
      </c>
      <c r="AD984" s="159" t="s">
        <v>5379</v>
      </c>
      <c r="AE984" s="336">
        <v>4.0</v>
      </c>
      <c r="AF984" s="156">
        <v>22.0</v>
      </c>
      <c r="AG984" s="336">
        <v>0.43</v>
      </c>
      <c r="AH984" s="156" t="s">
        <v>173</v>
      </c>
      <c r="AI984" s="156" t="s">
        <v>850</v>
      </c>
      <c r="AJ984" s="336">
        <v>0.059</v>
      </c>
      <c r="AK984" s="159" t="s">
        <v>172</v>
      </c>
      <c r="AL984" s="159" t="s">
        <v>186</v>
      </c>
      <c r="AM984" s="159" t="s">
        <v>141</v>
      </c>
      <c r="AN984" s="151" t="s">
        <v>138</v>
      </c>
      <c r="AO984" s="156">
        <v>14.0</v>
      </c>
      <c r="AP984" s="156" t="s">
        <v>5380</v>
      </c>
      <c r="AQ984" s="156" t="s">
        <v>134</v>
      </c>
      <c r="AR984" s="336" t="s">
        <v>436</v>
      </c>
      <c r="AS984" s="1114">
        <v>0.007</v>
      </c>
      <c r="AT984" s="159" t="s">
        <v>172</v>
      </c>
      <c r="AU984" s="159" t="s">
        <v>186</v>
      </c>
      <c r="AV984" s="159" t="s">
        <v>141</v>
      </c>
      <c r="AW984" s="129" t="s">
        <v>138</v>
      </c>
      <c r="AX984" s="68" t="s">
        <v>151</v>
      </c>
      <c r="AY984" s="61" t="str">
        <f>IFERROR(__xludf.DUMMYFUNCTION("vlookup(BB984,importrange(""https://docs.google.com/spreadsheets/d/1d2vevQ_7D_v35q4wCQ4RpQ_IPoTwEMB9Yp6ymwlPqew/edit?gid=984458430#gid=984458430"", ""'replication success'!A:K""), 11, FAlSE)"),"#N/A")</f>
        <v>#N/A</v>
      </c>
      <c r="AZ984" s="61" t="str">
        <f>IFERROR(__xludf.DUMMYFUNCTION("vlookup(BB984,importrange(""https://docs.google.com/spreadsheets/d/1d2vevQ_7D_v35q4wCQ4RpQ_IPoTwEMB9Yp6ymwlPqew/edit?gid=984458430#gid=984458430"", ""'replication success'!A:M""), 12, FAlSE)"),"#N/A")</f>
        <v>#N/A</v>
      </c>
      <c r="BA984" s="61" t="str">
        <f>IFERROR(__xludf.DUMMYFUNCTION("vlookup(BB984,importrange(""https://docs.google.com/spreadsheets/d/1d2vevQ_7D_v35q4wCQ4RpQ_IPoTwEMB9Yp6ymwlPqew/edit?gid=984458430#gid=984458430"", ""'replication success'!A:M""), 13, FAlSE)"),"#N/A")</f>
        <v>#N/A</v>
      </c>
      <c r="BB984" s="61" t="str">
        <f>IFERROR(__xludf.DUMMYFUNCTION("REGEXREPLACE(G984, ""_[a-z]{1,2}$"", """")"),"Boyce_etal2023175_1")</f>
        <v>Boyce_etal2023175_1</v>
      </c>
      <c r="BD984" s="68" t="s">
        <v>153</v>
      </c>
    </row>
    <row r="985">
      <c r="A985" s="44">
        <v>985.0</v>
      </c>
      <c r="B985" s="129" t="s">
        <v>152</v>
      </c>
      <c r="C985" s="62" t="s">
        <v>115</v>
      </c>
      <c r="D985" s="62" t="s">
        <v>153</v>
      </c>
      <c r="F985" s="68" t="s">
        <v>5345</v>
      </c>
      <c r="G985" s="159" t="s">
        <v>5381</v>
      </c>
      <c r="H985" s="159" t="s">
        <v>153</v>
      </c>
      <c r="I985" s="152">
        <v>45687.0</v>
      </c>
      <c r="J985" s="152">
        <v>45692.0</v>
      </c>
      <c r="K985" s="437" t="s">
        <v>5352</v>
      </c>
      <c r="L985" s="68"/>
      <c r="M985" s="159" t="s">
        <v>5346</v>
      </c>
      <c r="N985" s="159" t="s">
        <v>5347</v>
      </c>
      <c r="O985" s="156" t="s">
        <v>4092</v>
      </c>
      <c r="P985" s="606" t="str">
        <f t="shared" si="52"/>
        <v>10.1177--0956797615617779.pdf</v>
      </c>
      <c r="Q985" s="52" t="str">
        <f t="array" ref="Q985"> if(iserror(MATCH(V985, 'File Links'!C:C, 0)), "N/A", HYPERLINK(INDEX('File Links'!B:B, MATCH(P985, 'File Links'!C:C, 0))))</f>
        <v>https://drive.google.com/file/d/1X5Fe2As7h--ByO5qoa79Jna-iqMIag53/view?usp=drivesdk</v>
      </c>
      <c r="R985" s="606" t="s">
        <v>3653</v>
      </c>
      <c r="S985" s="159" t="s">
        <v>3654</v>
      </c>
      <c r="T985" s="68"/>
      <c r="U985" s="156">
        <v>1.0</v>
      </c>
      <c r="V985" s="198" t="str">
        <f t="shared" si="53"/>
        <v>10.1098--rsos.231240.pdf</v>
      </c>
      <c r="W985" s="159" t="s">
        <v>3726</v>
      </c>
      <c r="X985" s="54" t="str">
        <f t="array" ref="X985"> if(iserror(MATCH(V985, 'File Links'!C:C, 0)), "N/A", HYPERLINK(INDEX('File Links'!B:B, MATCH(V985, 'File Links'!C:C, 0))))</f>
        <v>https://drive.google.com/file/d/17gaf2Zy_ljFfcAEDk5L8GBnTl5i7RGJE/view?usp=drivesdk</v>
      </c>
      <c r="Y985" s="68"/>
      <c r="Z985" s="159" t="s">
        <v>148</v>
      </c>
      <c r="AA985" s="159" t="s">
        <v>5353</v>
      </c>
      <c r="AB985" s="159" t="s">
        <v>5354</v>
      </c>
      <c r="AC985" s="159" t="s">
        <v>5382</v>
      </c>
      <c r="AD985" s="159" t="s">
        <v>5383</v>
      </c>
      <c r="AE985" s="336">
        <v>4.0</v>
      </c>
      <c r="AF985" s="156">
        <v>22.0</v>
      </c>
      <c r="AG985" s="336">
        <v>0.56</v>
      </c>
      <c r="AH985" s="156" t="s">
        <v>874</v>
      </c>
      <c r="AI985" s="156" t="s">
        <v>850</v>
      </c>
      <c r="AJ985" s="336">
        <v>0.001</v>
      </c>
      <c r="AK985" s="159" t="s">
        <v>135</v>
      </c>
      <c r="AL985" s="159" t="s">
        <v>186</v>
      </c>
      <c r="AM985" s="159" t="s">
        <v>141</v>
      </c>
      <c r="AN985" s="151" t="s">
        <v>138</v>
      </c>
      <c r="AO985" s="156">
        <v>14.0</v>
      </c>
      <c r="AP985" s="156" t="s">
        <v>5384</v>
      </c>
      <c r="AQ985" s="156" t="s">
        <v>134</v>
      </c>
      <c r="AR985" s="336" t="s">
        <v>632</v>
      </c>
      <c r="AS985" s="336">
        <v>0.009</v>
      </c>
      <c r="AT985" s="159" t="s">
        <v>172</v>
      </c>
      <c r="AU985" s="159" t="s">
        <v>186</v>
      </c>
      <c r="AV985" s="159" t="s">
        <v>141</v>
      </c>
      <c r="AW985" s="129" t="s">
        <v>138</v>
      </c>
      <c r="AX985" s="68" t="s">
        <v>151</v>
      </c>
      <c r="AY985" s="61" t="str">
        <f>IFERROR(__xludf.DUMMYFUNCTION("vlookup(BB985,importrange(""https://docs.google.com/spreadsheets/d/1d2vevQ_7D_v35q4wCQ4RpQ_IPoTwEMB9Yp6ymwlPqew/edit?gid=984458430#gid=984458430"", ""'replication success'!A:K""), 11, FAlSE)"),"#N/A")</f>
        <v>#N/A</v>
      </c>
      <c r="AZ985" s="61" t="str">
        <f>IFERROR(__xludf.DUMMYFUNCTION("vlookup(BB985,importrange(""https://docs.google.com/spreadsheets/d/1d2vevQ_7D_v35q4wCQ4RpQ_IPoTwEMB9Yp6ymwlPqew/edit?gid=984458430#gid=984458430"", ""'replication success'!A:M""), 12, FAlSE)"),"#N/A")</f>
        <v>#N/A</v>
      </c>
      <c r="BA985" s="61" t="str">
        <f>IFERROR(__xludf.DUMMYFUNCTION("vlookup(BB985,importrange(""https://docs.google.com/spreadsheets/d/1d2vevQ_7D_v35q4wCQ4RpQ_IPoTwEMB9Yp6ymwlPqew/edit?gid=984458430#gid=984458430"", ""'replication success'!A:M""), 13, FAlSE)"),"#N/A")</f>
        <v>#N/A</v>
      </c>
      <c r="BB985" s="61" t="str">
        <f>IFERROR(__xludf.DUMMYFUNCTION("REGEXREPLACE(G985, ""_[a-z]{1,2}$"", """")"),"Boyce_etal2023175_1")</f>
        <v>Boyce_etal2023175_1</v>
      </c>
      <c r="BD985" s="68" t="s">
        <v>153</v>
      </c>
    </row>
    <row r="986">
      <c r="A986" s="44">
        <v>986.0</v>
      </c>
      <c r="B986" s="129" t="s">
        <v>152</v>
      </c>
      <c r="C986" s="62" t="s">
        <v>115</v>
      </c>
      <c r="D986" s="62" t="s">
        <v>153</v>
      </c>
      <c r="F986" s="68" t="s">
        <v>5345</v>
      </c>
      <c r="G986" s="159" t="s">
        <v>5385</v>
      </c>
      <c r="H986" s="159" t="s">
        <v>153</v>
      </c>
      <c r="I986" s="152">
        <v>45687.0</v>
      </c>
      <c r="J986" s="152">
        <v>45692.0</v>
      </c>
      <c r="K986" s="437" t="s">
        <v>5352</v>
      </c>
      <c r="L986" s="68"/>
      <c r="M986" s="159" t="s">
        <v>5346</v>
      </c>
      <c r="N986" s="159" t="s">
        <v>5347</v>
      </c>
      <c r="O986" s="156" t="s">
        <v>4092</v>
      </c>
      <c r="P986" s="606" t="str">
        <f t="shared" si="52"/>
        <v>10.1177--0956797615617779.pdf</v>
      </c>
      <c r="Q986" s="52" t="str">
        <f t="array" ref="Q986"> if(iserror(MATCH(V986, 'File Links'!C:C, 0)), "N/A", HYPERLINK(INDEX('File Links'!B:B, MATCH(P986, 'File Links'!C:C, 0))))</f>
        <v>https://drive.google.com/file/d/1X5Fe2As7h--ByO5qoa79Jna-iqMIag53/view?usp=drivesdk</v>
      </c>
      <c r="R986" s="606" t="s">
        <v>3653</v>
      </c>
      <c r="S986" s="159" t="s">
        <v>3654</v>
      </c>
      <c r="T986" s="68"/>
      <c r="U986" s="156">
        <v>1.0</v>
      </c>
      <c r="V986" s="198" t="str">
        <f t="shared" si="53"/>
        <v>10.1098--rsos.231240.pdf</v>
      </c>
      <c r="W986" s="159" t="s">
        <v>3726</v>
      </c>
      <c r="X986" s="54" t="str">
        <f t="array" ref="X986"> if(iserror(MATCH(V986, 'File Links'!C:C, 0)), "N/A", HYPERLINK(INDEX('File Links'!B:B, MATCH(V986, 'File Links'!C:C, 0))))</f>
        <v>https://drive.google.com/file/d/17gaf2Zy_ljFfcAEDk5L8GBnTl5i7RGJE/view?usp=drivesdk</v>
      </c>
      <c r="Y986" s="68"/>
      <c r="Z986" s="159" t="s">
        <v>148</v>
      </c>
      <c r="AA986" s="159" t="s">
        <v>5353</v>
      </c>
      <c r="AB986" s="159" t="s">
        <v>5354</v>
      </c>
      <c r="AC986" s="159" t="s">
        <v>5386</v>
      </c>
      <c r="AD986" s="159" t="s">
        <v>5387</v>
      </c>
      <c r="AE986" s="336">
        <v>4.0</v>
      </c>
      <c r="AF986" s="156">
        <v>22.0</v>
      </c>
      <c r="AG986" s="336">
        <v>0.52</v>
      </c>
      <c r="AH986" s="156" t="s">
        <v>874</v>
      </c>
      <c r="AI986" s="156" t="s">
        <v>850</v>
      </c>
      <c r="AJ986" s="336">
        <v>0.001</v>
      </c>
      <c r="AK986" s="159" t="s">
        <v>135</v>
      </c>
      <c r="AL986" s="159" t="s">
        <v>186</v>
      </c>
      <c r="AM986" s="159" t="s">
        <v>141</v>
      </c>
      <c r="AN986" s="151" t="s">
        <v>138</v>
      </c>
      <c r="AO986" s="156">
        <v>14.0</v>
      </c>
      <c r="AP986" s="156">
        <v>0.7</v>
      </c>
      <c r="AQ986" s="156" t="s">
        <v>874</v>
      </c>
      <c r="AR986" s="336" t="s">
        <v>632</v>
      </c>
      <c r="AS986" s="336">
        <v>0.001</v>
      </c>
      <c r="AT986" s="159" t="s">
        <v>135</v>
      </c>
      <c r="AU986" s="159" t="s">
        <v>186</v>
      </c>
      <c r="AV986" s="159" t="s">
        <v>141</v>
      </c>
      <c r="AW986" s="129" t="s">
        <v>138</v>
      </c>
      <c r="AX986" s="68" t="s">
        <v>151</v>
      </c>
      <c r="AY986" s="61" t="str">
        <f>IFERROR(__xludf.DUMMYFUNCTION("vlookup(BB986,importrange(""https://docs.google.com/spreadsheets/d/1d2vevQ_7D_v35q4wCQ4RpQ_IPoTwEMB9Yp6ymwlPqew/edit?gid=984458430#gid=984458430"", ""'replication success'!A:K""), 11, FAlSE)"),"#N/A")</f>
        <v>#N/A</v>
      </c>
      <c r="AZ986" s="61" t="str">
        <f>IFERROR(__xludf.DUMMYFUNCTION("vlookup(BB986,importrange(""https://docs.google.com/spreadsheets/d/1d2vevQ_7D_v35q4wCQ4RpQ_IPoTwEMB9Yp6ymwlPqew/edit?gid=984458430#gid=984458430"", ""'replication success'!A:M""), 12, FAlSE)"),"#N/A")</f>
        <v>#N/A</v>
      </c>
      <c r="BA986" s="61" t="str">
        <f>IFERROR(__xludf.DUMMYFUNCTION("vlookup(BB986,importrange(""https://docs.google.com/spreadsheets/d/1d2vevQ_7D_v35q4wCQ4RpQ_IPoTwEMB9Yp6ymwlPqew/edit?gid=984458430#gid=984458430"", ""'replication success'!A:M""), 13, FAlSE)"),"#N/A")</f>
        <v>#N/A</v>
      </c>
      <c r="BB986" s="61" t="str">
        <f>IFERROR(__xludf.DUMMYFUNCTION("REGEXREPLACE(G986, ""_[a-z]{1,2}$"", """")"),"Boyce_etal2023175_1")</f>
        <v>Boyce_etal2023175_1</v>
      </c>
      <c r="BD986" s="68" t="s">
        <v>153</v>
      </c>
    </row>
    <row r="987">
      <c r="A987" s="44">
        <v>987.0</v>
      </c>
      <c r="B987" s="129" t="s">
        <v>152</v>
      </c>
      <c r="C987" s="62" t="s">
        <v>115</v>
      </c>
      <c r="D987" s="62" t="s">
        <v>153</v>
      </c>
      <c r="F987" s="68" t="s">
        <v>5345</v>
      </c>
      <c r="G987" s="159" t="s">
        <v>5388</v>
      </c>
      <c r="H987" s="159" t="s">
        <v>153</v>
      </c>
      <c r="I987" s="152">
        <v>45687.0</v>
      </c>
      <c r="J987" s="152">
        <v>45692.0</v>
      </c>
      <c r="K987" s="437" t="s">
        <v>5352</v>
      </c>
      <c r="L987" s="68"/>
      <c r="M987" s="159" t="s">
        <v>5346</v>
      </c>
      <c r="N987" s="159" t="s">
        <v>5347</v>
      </c>
      <c r="O987" s="156" t="s">
        <v>4092</v>
      </c>
      <c r="P987" s="606" t="str">
        <f t="shared" si="52"/>
        <v>10.1177--0956797615617779.pdf</v>
      </c>
      <c r="Q987" s="52" t="str">
        <f t="array" ref="Q987"> if(iserror(MATCH(V987, 'File Links'!C:C, 0)), "N/A", HYPERLINK(INDEX('File Links'!B:B, MATCH(P987, 'File Links'!C:C, 0))))</f>
        <v>https://drive.google.com/file/d/1X5Fe2As7h--ByO5qoa79Jna-iqMIag53/view?usp=drivesdk</v>
      </c>
      <c r="R987" s="606" t="s">
        <v>3653</v>
      </c>
      <c r="S987" s="159" t="s">
        <v>3654</v>
      </c>
      <c r="T987" s="68"/>
      <c r="U987" s="156">
        <v>1.0</v>
      </c>
      <c r="V987" s="198" t="str">
        <f t="shared" si="53"/>
        <v>10.1098--rsos.231240.pdf</v>
      </c>
      <c r="W987" s="159" t="s">
        <v>3726</v>
      </c>
      <c r="X987" s="54" t="str">
        <f t="array" ref="X987"> if(iserror(MATCH(V987, 'File Links'!C:C, 0)), "N/A", HYPERLINK(INDEX('File Links'!B:B, MATCH(V987, 'File Links'!C:C, 0))))</f>
        <v>https://drive.google.com/file/d/17gaf2Zy_ljFfcAEDk5L8GBnTl5i7RGJE/view?usp=drivesdk</v>
      </c>
      <c r="Y987" s="68"/>
      <c r="Z987" s="159" t="s">
        <v>148</v>
      </c>
      <c r="AA987" s="159" t="s">
        <v>5353</v>
      </c>
      <c r="AB987" s="159" t="s">
        <v>5354</v>
      </c>
      <c r="AC987" s="159" t="s">
        <v>5389</v>
      </c>
      <c r="AD987" s="159" t="s">
        <v>5390</v>
      </c>
      <c r="AE987" s="336">
        <v>4.0</v>
      </c>
      <c r="AF987" s="156">
        <v>22.0</v>
      </c>
      <c r="AG987" s="336">
        <v>1.27</v>
      </c>
      <c r="AH987" s="156" t="s">
        <v>173</v>
      </c>
      <c r="AI987" s="156" t="s">
        <v>850</v>
      </c>
      <c r="AJ987" s="336">
        <v>0.001</v>
      </c>
      <c r="AK987" s="159" t="s">
        <v>135</v>
      </c>
      <c r="AL987" s="159" t="s">
        <v>186</v>
      </c>
      <c r="AM987" s="159" t="s">
        <v>141</v>
      </c>
      <c r="AN987" s="151" t="s">
        <v>138</v>
      </c>
      <c r="AO987" s="156">
        <v>14.0</v>
      </c>
      <c r="AP987" s="156" t="s">
        <v>5391</v>
      </c>
      <c r="AQ987" s="156" t="s">
        <v>134</v>
      </c>
      <c r="AR987" s="336" t="s">
        <v>307</v>
      </c>
      <c r="AS987" s="1114">
        <v>0.001</v>
      </c>
      <c r="AT987" s="159" t="s">
        <v>172</v>
      </c>
      <c r="AU987" s="159" t="s">
        <v>186</v>
      </c>
      <c r="AV987" s="159" t="s">
        <v>141</v>
      </c>
      <c r="AW987" s="129" t="s">
        <v>138</v>
      </c>
      <c r="AX987" s="68" t="s">
        <v>151</v>
      </c>
      <c r="AY987" s="61" t="str">
        <f>IFERROR(__xludf.DUMMYFUNCTION("vlookup(BB987,importrange(""https://docs.google.com/spreadsheets/d/1d2vevQ_7D_v35q4wCQ4RpQ_IPoTwEMB9Yp6ymwlPqew/edit?gid=984458430#gid=984458430"", ""'replication success'!A:K""), 11, FAlSE)"),"#N/A")</f>
        <v>#N/A</v>
      </c>
      <c r="AZ987" s="61" t="str">
        <f>IFERROR(__xludf.DUMMYFUNCTION("vlookup(BB987,importrange(""https://docs.google.com/spreadsheets/d/1d2vevQ_7D_v35q4wCQ4RpQ_IPoTwEMB9Yp6ymwlPqew/edit?gid=984458430#gid=984458430"", ""'replication success'!A:M""), 12, FAlSE)"),"#N/A")</f>
        <v>#N/A</v>
      </c>
      <c r="BA987" s="61" t="str">
        <f>IFERROR(__xludf.DUMMYFUNCTION("vlookup(BB987,importrange(""https://docs.google.com/spreadsheets/d/1d2vevQ_7D_v35q4wCQ4RpQ_IPoTwEMB9Yp6ymwlPqew/edit?gid=984458430#gid=984458430"", ""'replication success'!A:M""), 13, FAlSE)"),"#N/A")</f>
        <v>#N/A</v>
      </c>
      <c r="BB987" s="61" t="str">
        <f>IFERROR(__xludf.DUMMYFUNCTION("REGEXREPLACE(G987, ""_[a-z]{1,2}$"", """")"),"Boyce_etal2023175_1")</f>
        <v>Boyce_etal2023175_1</v>
      </c>
      <c r="BD987" s="68" t="s">
        <v>153</v>
      </c>
    </row>
    <row r="988">
      <c r="A988" s="44">
        <v>988.0</v>
      </c>
      <c r="B988" s="129" t="s">
        <v>152</v>
      </c>
      <c r="C988" s="62" t="s">
        <v>115</v>
      </c>
      <c r="D988" s="62" t="s">
        <v>153</v>
      </c>
      <c r="F988" s="68" t="s">
        <v>5345</v>
      </c>
      <c r="G988" s="159" t="s">
        <v>5392</v>
      </c>
      <c r="H988" s="159" t="s">
        <v>153</v>
      </c>
      <c r="I988" s="152">
        <v>45687.0</v>
      </c>
      <c r="J988" s="152">
        <v>45692.0</v>
      </c>
      <c r="K988" s="437" t="s">
        <v>5352</v>
      </c>
      <c r="L988" s="68"/>
      <c r="M988" s="159" t="s">
        <v>5346</v>
      </c>
      <c r="N988" s="159" t="s">
        <v>5347</v>
      </c>
      <c r="O988" s="156" t="s">
        <v>4092</v>
      </c>
      <c r="P988" s="606" t="str">
        <f t="shared" si="52"/>
        <v>10.1177--0956797615617779.pdf</v>
      </c>
      <c r="Q988" s="52" t="str">
        <f t="array" ref="Q988"> if(iserror(MATCH(V988, 'File Links'!C:C, 0)), "N/A", HYPERLINK(INDEX('File Links'!B:B, MATCH(P988, 'File Links'!C:C, 0))))</f>
        <v>https://drive.google.com/file/d/1X5Fe2As7h--ByO5qoa79Jna-iqMIag53/view?usp=drivesdk</v>
      </c>
      <c r="R988" s="606" t="s">
        <v>3653</v>
      </c>
      <c r="S988" s="159" t="s">
        <v>3654</v>
      </c>
      <c r="T988" s="68"/>
      <c r="U988" s="156">
        <v>1.0</v>
      </c>
      <c r="V988" s="198" t="str">
        <f t="shared" si="53"/>
        <v>10.1098--rsos.231240.pdf</v>
      </c>
      <c r="W988" s="159" t="s">
        <v>3726</v>
      </c>
      <c r="X988" s="54" t="str">
        <f t="array" ref="X988"> if(iserror(MATCH(V988, 'File Links'!C:C, 0)), "N/A", HYPERLINK(INDEX('File Links'!B:B, MATCH(V988, 'File Links'!C:C, 0))))</f>
        <v>https://drive.google.com/file/d/17gaf2Zy_ljFfcAEDk5L8GBnTl5i7RGJE/view?usp=drivesdk</v>
      </c>
      <c r="Y988" s="68"/>
      <c r="Z988" s="159" t="s">
        <v>148</v>
      </c>
      <c r="AA988" s="159" t="s">
        <v>5353</v>
      </c>
      <c r="AB988" s="159" t="s">
        <v>5354</v>
      </c>
      <c r="AC988" s="159" t="s">
        <v>5393</v>
      </c>
      <c r="AD988" s="159" t="s">
        <v>5394</v>
      </c>
      <c r="AE988" s="336">
        <v>4.0</v>
      </c>
      <c r="AF988" s="156">
        <v>22.0</v>
      </c>
      <c r="AG988" s="336">
        <v>0.2</v>
      </c>
      <c r="AH988" s="156" t="s">
        <v>173</v>
      </c>
      <c r="AI988" s="156" t="s">
        <v>850</v>
      </c>
      <c r="AJ988" s="336">
        <v>0.348</v>
      </c>
      <c r="AK988" s="159" t="s">
        <v>172</v>
      </c>
      <c r="AL988" s="159" t="s">
        <v>186</v>
      </c>
      <c r="AM988" s="159" t="s">
        <v>141</v>
      </c>
      <c r="AN988" s="151" t="s">
        <v>138</v>
      </c>
      <c r="AO988" s="156">
        <v>14.0</v>
      </c>
      <c r="AP988" s="156" t="s">
        <v>5395</v>
      </c>
      <c r="AQ988" s="156" t="s">
        <v>134</v>
      </c>
      <c r="AR988" s="336" t="s">
        <v>307</v>
      </c>
      <c r="AS988" s="336">
        <v>0.348</v>
      </c>
      <c r="AT988" s="159" t="s">
        <v>172</v>
      </c>
      <c r="AU988" s="159" t="s">
        <v>186</v>
      </c>
      <c r="AV988" s="159" t="s">
        <v>141</v>
      </c>
      <c r="AW988" s="129" t="s">
        <v>138</v>
      </c>
      <c r="AX988" s="68" t="s">
        <v>151</v>
      </c>
      <c r="AY988" s="61" t="str">
        <f>IFERROR(__xludf.DUMMYFUNCTION("vlookup(BB988,importrange(""https://docs.google.com/spreadsheets/d/1d2vevQ_7D_v35q4wCQ4RpQ_IPoTwEMB9Yp6ymwlPqew/edit?gid=984458430#gid=984458430"", ""'replication success'!A:K""), 11, FAlSE)"),"#N/A")</f>
        <v>#N/A</v>
      </c>
      <c r="AZ988" s="61" t="str">
        <f>IFERROR(__xludf.DUMMYFUNCTION("vlookup(BB988,importrange(""https://docs.google.com/spreadsheets/d/1d2vevQ_7D_v35q4wCQ4RpQ_IPoTwEMB9Yp6ymwlPqew/edit?gid=984458430#gid=984458430"", ""'replication success'!A:M""), 12, FAlSE)"),"#N/A")</f>
        <v>#N/A</v>
      </c>
      <c r="BA988" s="61" t="str">
        <f>IFERROR(__xludf.DUMMYFUNCTION("vlookup(BB988,importrange(""https://docs.google.com/spreadsheets/d/1d2vevQ_7D_v35q4wCQ4RpQ_IPoTwEMB9Yp6ymwlPqew/edit?gid=984458430#gid=984458430"", ""'replication success'!A:M""), 13, FAlSE)"),"#N/A")</f>
        <v>#N/A</v>
      </c>
      <c r="BB988" s="61" t="str">
        <f>IFERROR(__xludf.DUMMYFUNCTION("REGEXREPLACE(G988, ""_[a-z]{1,2}$"", """")"),"Boyce_etal2023175_1")</f>
        <v>Boyce_etal2023175_1</v>
      </c>
      <c r="BD988" s="68" t="s">
        <v>153</v>
      </c>
    </row>
    <row r="989">
      <c r="A989" s="44">
        <v>989.0</v>
      </c>
      <c r="B989" s="68" t="s">
        <v>590</v>
      </c>
      <c r="C989" s="62" t="s">
        <v>115</v>
      </c>
      <c r="D989" s="62" t="s">
        <v>153</v>
      </c>
      <c r="F989" s="68" t="s">
        <v>5396</v>
      </c>
      <c r="G989" s="159" t="s">
        <v>5397</v>
      </c>
      <c r="H989" s="159" t="s">
        <v>153</v>
      </c>
      <c r="I989" s="152">
        <v>45687.0</v>
      </c>
      <c r="J989" s="152">
        <v>45692.0</v>
      </c>
      <c r="K989" s="437" t="s">
        <v>5398</v>
      </c>
      <c r="L989" s="159" t="s">
        <v>4491</v>
      </c>
      <c r="M989" s="159" t="s">
        <v>1542</v>
      </c>
      <c r="N989" s="159" t="s">
        <v>1543</v>
      </c>
      <c r="O989" s="156">
        <v>1.0</v>
      </c>
      <c r="P989" s="606" t="str">
        <f t="shared" si="52"/>
        <v>10.1037--a0025345.pdf</v>
      </c>
      <c r="Q989" s="52" t="str">
        <f t="array" ref="Q989"> if(iserror(MATCH(V989, 'File Links'!C:C, 0)), "N/A", HYPERLINK(INDEX('File Links'!B:B, MATCH(P989, 'File Links'!C:C, 0))))</f>
        <v>https://drive.google.com/file/d/1Dm7RxWVN3iiT5GipgY8Gq3dl65EkIYDu/view?usp=drivesdk</v>
      </c>
      <c r="R989" s="606" t="s">
        <v>3653</v>
      </c>
      <c r="S989" s="159" t="s">
        <v>3654</v>
      </c>
      <c r="T989" s="68"/>
      <c r="U989" s="156">
        <v>1.0</v>
      </c>
      <c r="V989" s="198" t="str">
        <f t="shared" si="53"/>
        <v>10.1098--rsos.231240.pdf</v>
      </c>
      <c r="W989" s="159" t="s">
        <v>164</v>
      </c>
      <c r="X989" s="54" t="str">
        <f t="array" ref="X989"> if(iserror(MATCH(V989, 'File Links'!C:C, 0)), "N/A", HYPERLINK(INDEX('File Links'!B:B, MATCH(V989, 'File Links'!C:C, 0))))</f>
        <v>https://drive.google.com/file/d/17gaf2Zy_ljFfcAEDk5L8GBnTl5i7RGJE/view?usp=drivesdk</v>
      </c>
      <c r="Y989" s="68"/>
      <c r="Z989" s="159" t="s">
        <v>226</v>
      </c>
      <c r="AA989" s="159" t="s">
        <v>5399</v>
      </c>
      <c r="AB989" s="159" t="s">
        <v>5400</v>
      </c>
      <c r="AC989" s="159" t="s">
        <v>5401</v>
      </c>
      <c r="AD989" s="159" t="s">
        <v>5402</v>
      </c>
      <c r="AE989" s="156">
        <v>5.0</v>
      </c>
      <c r="AF989" s="156">
        <v>94.0</v>
      </c>
      <c r="AG989" s="336" t="s">
        <v>5403</v>
      </c>
      <c r="AH989" s="156" t="s">
        <v>173</v>
      </c>
      <c r="AI989" s="156" t="s">
        <v>813</v>
      </c>
      <c r="AJ989" s="156">
        <f>0.829773477380528</f>
        <v>0.8297734774</v>
      </c>
      <c r="AK989" s="159" t="s">
        <v>172</v>
      </c>
      <c r="AL989" s="159" t="s">
        <v>136</v>
      </c>
      <c r="AM989" s="68" t="s">
        <v>137</v>
      </c>
      <c r="AN989" s="151" t="s">
        <v>138</v>
      </c>
      <c r="AO989" s="156">
        <v>243.0</v>
      </c>
      <c r="AP989" s="1304">
        <f>IFERROR(__xludf.DUMMYFUNCTION("2.78502426771112*10^-4"),2.78502426771112E-4)</f>
        <v>0.0002785024268</v>
      </c>
      <c r="AQ989" s="156" t="s">
        <v>173</v>
      </c>
      <c r="AR989" s="336" t="s">
        <v>850</v>
      </c>
      <c r="AS989" s="336" t="s">
        <v>5404</v>
      </c>
      <c r="AT989" s="159" t="s">
        <v>172</v>
      </c>
      <c r="AU989" s="159" t="s">
        <v>136</v>
      </c>
      <c r="AV989" s="68" t="s">
        <v>137</v>
      </c>
      <c r="AW989" s="129" t="s">
        <v>138</v>
      </c>
      <c r="AX989" s="68" t="s">
        <v>151</v>
      </c>
      <c r="AY989" s="61" t="str">
        <f>IFERROR(__xludf.DUMMYFUNCTION("vlookup(BB989,importrange(""https://docs.google.com/spreadsheets/d/1d2vevQ_7D_v35q4wCQ4RpQ_IPoTwEMB9Yp6ymwlPqew/edit?gid=984458430#gid=984458430"", ""'replication success'!A:K""), 11, FAlSE)"),"#N/A")</f>
        <v>#N/A</v>
      </c>
      <c r="AZ989" s="61" t="str">
        <f>IFERROR(__xludf.DUMMYFUNCTION("vlookup(BB989,importrange(""https://docs.google.com/spreadsheets/d/1d2vevQ_7D_v35q4wCQ4RpQ_IPoTwEMB9Yp6ymwlPqew/edit?gid=984458430#gid=984458430"", ""'replication success'!A:M""), 12, FAlSE)"),"#N/A")</f>
        <v>#N/A</v>
      </c>
      <c r="BA989" s="61" t="str">
        <f>IFERROR(__xludf.DUMMYFUNCTION("vlookup(BB989,importrange(""https://docs.google.com/spreadsheets/d/1d2vevQ_7D_v35q4wCQ4RpQ_IPoTwEMB9Yp6ymwlPqew/edit?gid=984458430#gid=984458430"", ""'replication success'!A:M""), 13, FAlSE)"),"#N/A")</f>
        <v>#N/A</v>
      </c>
      <c r="BB989" s="61" t="str">
        <f>IFERROR(__xludf.DUMMYFUNCTION("REGEXREPLACE(G989, ""_[a-z]{1,2}$"", """")"),"Boyce_etal2023176")</f>
        <v>Boyce_etal2023176</v>
      </c>
      <c r="BD989" s="68" t="s">
        <v>153</v>
      </c>
    </row>
    <row r="990">
      <c r="A990" s="44">
        <v>990.0</v>
      </c>
      <c r="B990" s="68" t="s">
        <v>114</v>
      </c>
      <c r="C990" s="62" t="s">
        <v>115</v>
      </c>
      <c r="D990" s="62" t="s">
        <v>248</v>
      </c>
      <c r="F990" s="159" t="s">
        <v>5405</v>
      </c>
      <c r="G990" s="159" t="s">
        <v>5406</v>
      </c>
      <c r="H990" s="159" t="s">
        <v>249</v>
      </c>
      <c r="I990" s="152">
        <v>45664.0</v>
      </c>
      <c r="J990" s="152">
        <v>45692.0</v>
      </c>
      <c r="K990" s="68"/>
      <c r="L990" s="68" t="s">
        <v>3690</v>
      </c>
      <c r="M990" s="159" t="s">
        <v>5407</v>
      </c>
      <c r="N990" s="159" t="s">
        <v>5408</v>
      </c>
      <c r="O990" s="68"/>
      <c r="P990" s="606" t="str">
        <f t="shared" si="52"/>
        <v>10.1177--0956797618805750.pdf</v>
      </c>
      <c r="Q990" s="52" t="str">
        <f t="array" ref="Q990"> if(iserror(MATCH(V990, 'File Links'!C:C, 0)), "N/A", HYPERLINK(INDEX('File Links'!B:B, MATCH(P990, 'File Links'!C:C, 0))))</f>
        <v>https://drive.google.com/file/d/1Z9cXGn_9cINuuX5drvoG0YLH4tFIjcZ7/view?usp=drivesdk</v>
      </c>
      <c r="R990" s="606" t="s">
        <v>3653</v>
      </c>
      <c r="S990" s="159" t="s">
        <v>3654</v>
      </c>
      <c r="T990" s="441" t="s">
        <v>5409</v>
      </c>
      <c r="U990" s="156">
        <v>1.0</v>
      </c>
      <c r="V990" s="198" t="str">
        <f t="shared" si="53"/>
        <v>10.1098--rsos.231240.pdf</v>
      </c>
      <c r="W990" s="159" t="s">
        <v>3665</v>
      </c>
      <c r="X990" s="54" t="str">
        <f t="array" ref="X990"> if(iserror(MATCH(V990, 'File Links'!C:C, 0)), "N/A", HYPERLINK(INDEX('File Links'!B:B, MATCH(V990, 'File Links'!C:C, 0))))</f>
        <v>https://drive.google.com/file/d/17gaf2Zy_ljFfcAEDk5L8GBnTl5i7RGJE/view?usp=drivesdk</v>
      </c>
      <c r="Y990" s="68"/>
      <c r="Z990" s="159" t="s">
        <v>226</v>
      </c>
      <c r="AA990" s="68"/>
      <c r="AB990" s="159" t="s">
        <v>5410</v>
      </c>
      <c r="AC990" s="68"/>
      <c r="AD990" s="159" t="s">
        <v>5411</v>
      </c>
      <c r="AE990" s="156">
        <v>9.0</v>
      </c>
      <c r="AF990" s="156">
        <v>348.0</v>
      </c>
      <c r="AG990" s="161" t="s">
        <v>5412</v>
      </c>
      <c r="AH990" s="119" t="s">
        <v>134</v>
      </c>
      <c r="AI990" s="1060" t="s">
        <v>5413</v>
      </c>
      <c r="AJ990" s="156">
        <v>1.0E-4</v>
      </c>
      <c r="AK990" s="159" t="s">
        <v>135</v>
      </c>
      <c r="AL990" s="159" t="s">
        <v>186</v>
      </c>
      <c r="AM990" s="159" t="s">
        <v>141</v>
      </c>
      <c r="AN990" s="151" t="s">
        <v>138</v>
      </c>
      <c r="AO990" s="156">
        <v>36.0</v>
      </c>
      <c r="AP990" s="156">
        <v>7.4</v>
      </c>
      <c r="AQ990" s="159" t="s">
        <v>1031</v>
      </c>
      <c r="AR990" s="68"/>
      <c r="AS990" s="156">
        <v>0.0104556436019021</v>
      </c>
      <c r="AT990" s="159" t="s">
        <v>172</v>
      </c>
      <c r="AU990" s="159" t="s">
        <v>186</v>
      </c>
      <c r="AV990" s="159" t="s">
        <v>141</v>
      </c>
      <c r="AW990" s="129" t="s">
        <v>138</v>
      </c>
      <c r="AX990" s="159" t="s">
        <v>143</v>
      </c>
      <c r="AY990" s="61" t="str">
        <f>IFERROR(__xludf.DUMMYFUNCTION("vlookup(BB990,importrange(""https://docs.google.com/spreadsheets/d/1d2vevQ_7D_v35q4wCQ4RpQ_IPoTwEMB9Yp6ymwlPqew/edit?gid=984458430#gid=984458430"", ""'replication success'!A:K""), 11, FAlSE)"),"#N/A")</f>
        <v>#N/A</v>
      </c>
      <c r="AZ990" s="61" t="str">
        <f>IFERROR(__xludf.DUMMYFUNCTION("vlookup(BB990,importrange(""https://docs.google.com/spreadsheets/d/1d2vevQ_7D_v35q4wCQ4RpQ_IPoTwEMB9Yp6ymwlPqew/edit?gid=984458430#gid=984458430"", ""'replication success'!A:M""), 12, FAlSE)"),"#N/A")</f>
        <v>#N/A</v>
      </c>
      <c r="BA990" s="61" t="str">
        <f>IFERROR(__xludf.DUMMYFUNCTION("vlookup(BB990,importrange(""https://docs.google.com/spreadsheets/d/1d2vevQ_7D_v35q4wCQ4RpQ_IPoTwEMB9Yp6ymwlPqew/edit?gid=984458430#gid=984458430"", ""'replication success'!A:M""), 13, FAlSE)"),"#N/A")</f>
        <v>#N/A</v>
      </c>
      <c r="BB990" s="61" t="str">
        <f>IFERROR(__xludf.DUMMYFUNCTION("REGEXREPLACE(G990, ""_[a-z]{1,2}$"", """")"),"Boyce_etal202318_1")</f>
        <v>Boyce_etal202318_1</v>
      </c>
      <c r="BD990" s="68" t="s">
        <v>153</v>
      </c>
      <c r="BF990" s="226"/>
      <c r="BG990" s="226"/>
      <c r="BH990" s="226"/>
      <c r="BI990" s="226"/>
      <c r="BJ990" s="226"/>
      <c r="BK990" s="226"/>
      <c r="BL990" s="226"/>
      <c r="BM990" s="226"/>
      <c r="BN990" s="226"/>
      <c r="BO990" s="226"/>
      <c r="BP990" s="226"/>
      <c r="BQ990" s="226"/>
      <c r="BR990" s="226"/>
      <c r="BS990" s="226"/>
      <c r="BT990" s="226"/>
      <c r="BU990" s="226"/>
      <c r="BV990" s="226"/>
      <c r="BW990" s="226"/>
      <c r="BX990" s="226"/>
      <c r="BY990" s="226"/>
      <c r="BZ990" s="226"/>
      <c r="CA990" s="226"/>
      <c r="CB990" s="226"/>
      <c r="CC990" s="226"/>
      <c r="CD990" s="226"/>
      <c r="CE990" s="226"/>
      <c r="CF990" s="226"/>
      <c r="CG990" s="226"/>
      <c r="CH990" s="226"/>
      <c r="CI990" s="226"/>
      <c r="CJ990" s="226"/>
      <c r="CK990" s="226"/>
      <c r="CL990" s="226"/>
      <c r="CM990" s="226"/>
      <c r="CN990" s="226"/>
      <c r="CO990" s="226"/>
      <c r="CP990" s="226"/>
      <c r="CQ990" s="226"/>
      <c r="CR990" s="226"/>
      <c r="CS990" s="226"/>
      <c r="CT990" s="226"/>
      <c r="CU990" s="226"/>
      <c r="CV990" s="226"/>
      <c r="CW990" s="226"/>
      <c r="CX990" s="226"/>
      <c r="CY990" s="226"/>
      <c r="CZ990" s="226"/>
      <c r="DA990" s="226"/>
      <c r="DB990" s="226"/>
      <c r="DC990" s="226"/>
      <c r="DD990" s="226"/>
      <c r="DE990" s="226"/>
      <c r="DF990" s="226"/>
      <c r="DG990" s="226"/>
      <c r="DH990" s="226"/>
      <c r="DI990" s="226"/>
      <c r="DJ990" s="226"/>
      <c r="DK990" s="226"/>
      <c r="DL990" s="226"/>
    </row>
    <row r="991">
      <c r="A991" s="44">
        <v>991.0</v>
      </c>
      <c r="B991" s="129" t="s">
        <v>152</v>
      </c>
      <c r="C991" s="62" t="s">
        <v>115</v>
      </c>
      <c r="D991" s="62" t="s">
        <v>153</v>
      </c>
      <c r="F991" s="68" t="s">
        <v>5406</v>
      </c>
      <c r="G991" s="159" t="s">
        <v>5405</v>
      </c>
      <c r="H991" s="159" t="s">
        <v>153</v>
      </c>
      <c r="I991" s="152">
        <v>45687.0</v>
      </c>
      <c r="J991" s="152">
        <v>45692.0</v>
      </c>
      <c r="K991" s="437" t="s">
        <v>5414</v>
      </c>
      <c r="L991" s="68"/>
      <c r="M991" s="159" t="s">
        <v>5407</v>
      </c>
      <c r="N991" s="159" t="s">
        <v>5408</v>
      </c>
      <c r="O991" s="156">
        <v>5.0</v>
      </c>
      <c r="P991" s="606" t="str">
        <f t="shared" si="52"/>
        <v>10.1177--0956797618805750.pdf</v>
      </c>
      <c r="Q991" s="52" t="str">
        <f t="array" ref="Q991"> if(iserror(MATCH(V991, 'File Links'!C:C, 0)), "N/A", HYPERLINK(INDEX('File Links'!B:B, MATCH(P991, 'File Links'!C:C, 0))))</f>
        <v>https://drive.google.com/file/d/1Z9cXGn_9cINuuX5drvoG0YLH4tFIjcZ7/view?usp=drivesdk</v>
      </c>
      <c r="R991" s="606" t="s">
        <v>3653</v>
      </c>
      <c r="S991" s="159" t="s">
        <v>3654</v>
      </c>
      <c r="T991" s="441" t="s">
        <v>5409</v>
      </c>
      <c r="U991" s="156">
        <v>1.0</v>
      </c>
      <c r="V991" s="198" t="str">
        <f t="shared" si="53"/>
        <v>10.1098--rsos.231240.pdf</v>
      </c>
      <c r="W991" s="159" t="s">
        <v>3671</v>
      </c>
      <c r="X991" s="54" t="str">
        <f t="array" ref="X991"> if(iserror(MATCH(V991, 'File Links'!C:C, 0)), "N/A", HYPERLINK(INDEX('File Links'!B:B, MATCH(V991, 'File Links'!C:C, 0))))</f>
        <v>https://drive.google.com/file/d/17gaf2Zy_ljFfcAEDk5L8GBnTl5i7RGJE/view?usp=drivesdk</v>
      </c>
      <c r="Y991" s="68"/>
      <c r="Z991" s="159" t="s">
        <v>226</v>
      </c>
      <c r="AA991" s="159" t="s">
        <v>4900</v>
      </c>
      <c r="AB991" s="159" t="s">
        <v>5415</v>
      </c>
      <c r="AC991" s="159" t="s">
        <v>5416</v>
      </c>
      <c r="AD991" s="159" t="s">
        <v>5417</v>
      </c>
      <c r="AE991" s="156">
        <v>9.0</v>
      </c>
      <c r="AF991" s="156">
        <v>348.0</v>
      </c>
      <c r="AG991" s="156">
        <v>0.19</v>
      </c>
      <c r="AH991" s="156" t="s">
        <v>139</v>
      </c>
      <c r="AI991" s="156" t="s">
        <v>628</v>
      </c>
      <c r="AJ991" s="156">
        <v>1.0E-4</v>
      </c>
      <c r="AK991" s="159" t="s">
        <v>135</v>
      </c>
      <c r="AL991" s="159" t="s">
        <v>186</v>
      </c>
      <c r="AM991" s="159" t="s">
        <v>141</v>
      </c>
      <c r="AN991" s="310" t="s">
        <v>5418</v>
      </c>
      <c r="AO991" s="156">
        <v>36.0</v>
      </c>
      <c r="AP991" s="1305">
        <v>0.26</v>
      </c>
      <c r="AQ991" s="1093" t="s">
        <v>874</v>
      </c>
      <c r="AR991" s="68"/>
      <c r="AS991" s="156">
        <v>0.009</v>
      </c>
      <c r="AT991" s="159" t="s">
        <v>172</v>
      </c>
      <c r="AU991" s="159" t="s">
        <v>186</v>
      </c>
      <c r="AV991" s="159" t="s">
        <v>141</v>
      </c>
      <c r="AW991" s="435" t="s">
        <v>5419</v>
      </c>
      <c r="AX991" s="68" t="s">
        <v>143</v>
      </c>
      <c r="AY991" s="61" t="str">
        <f>IFERROR(__xludf.DUMMYFUNCTION("vlookup(BB991,importrange(""https://docs.google.com/spreadsheets/d/1d2vevQ_7D_v35q4wCQ4RpQ_IPoTwEMB9Yp6ymwlPqew/edit?gid=984458430#gid=984458430"", ""'replication success'!A:K""), 11, FAlSE)"),"#N/A")</f>
        <v>#N/A</v>
      </c>
      <c r="AZ991" s="61" t="str">
        <f>IFERROR(__xludf.DUMMYFUNCTION("vlookup(BB991,importrange(""https://docs.google.com/spreadsheets/d/1d2vevQ_7D_v35q4wCQ4RpQ_IPoTwEMB9Yp6ymwlPqew/edit?gid=984458430#gid=984458430"", ""'replication success'!A:M""), 12, FAlSE)"),"#N/A")</f>
        <v>#N/A</v>
      </c>
      <c r="BA991" s="61" t="str">
        <f>IFERROR(__xludf.DUMMYFUNCTION("vlookup(BB991,importrange(""https://docs.google.com/spreadsheets/d/1d2vevQ_7D_v35q4wCQ4RpQ_IPoTwEMB9Yp6ymwlPqew/edit?gid=984458430#gid=984458430"", ""'replication success'!A:M""), 13, FAlSE)"),"#N/A")</f>
        <v>#N/A</v>
      </c>
      <c r="BB991" s="61" t="str">
        <f>IFERROR(__xludf.DUMMYFUNCTION("REGEXREPLACE(G991, ""_[a-z]{1,2}$"", """")"),"Boyce_etal202318")</f>
        <v>Boyce_etal202318</v>
      </c>
      <c r="BD991" s="68" t="s">
        <v>153</v>
      </c>
      <c r="BF991" s="226"/>
      <c r="BG991" s="226"/>
      <c r="BH991" s="226"/>
      <c r="BI991" s="226"/>
      <c r="BJ991" s="226"/>
      <c r="BK991" s="226"/>
      <c r="BL991" s="226"/>
      <c r="BM991" s="226"/>
      <c r="BN991" s="226"/>
      <c r="BO991" s="226"/>
      <c r="BP991" s="226"/>
      <c r="BQ991" s="226"/>
      <c r="BR991" s="226"/>
      <c r="BS991" s="226"/>
      <c r="BT991" s="226"/>
      <c r="BU991" s="226"/>
      <c r="BV991" s="226"/>
      <c r="BW991" s="226"/>
      <c r="BX991" s="226"/>
      <c r="BY991" s="226"/>
      <c r="BZ991" s="226"/>
      <c r="CA991" s="226"/>
      <c r="CB991" s="226"/>
      <c r="CC991" s="226"/>
      <c r="CD991" s="226"/>
      <c r="CE991" s="226"/>
      <c r="CF991" s="226"/>
      <c r="CG991" s="226"/>
      <c r="CH991" s="226"/>
      <c r="CI991" s="226"/>
      <c r="CJ991" s="226"/>
      <c r="CK991" s="226"/>
      <c r="CL991" s="226"/>
      <c r="CM991" s="226"/>
      <c r="CN991" s="226"/>
      <c r="CO991" s="226"/>
      <c r="CP991" s="226"/>
      <c r="CQ991" s="226"/>
      <c r="CR991" s="226"/>
      <c r="CS991" s="226"/>
      <c r="CT991" s="226"/>
      <c r="CU991" s="226"/>
      <c r="CV991" s="226"/>
      <c r="CW991" s="226"/>
      <c r="CX991" s="226"/>
      <c r="CY991" s="226"/>
      <c r="CZ991" s="226"/>
      <c r="DA991" s="226"/>
      <c r="DB991" s="226"/>
      <c r="DC991" s="226"/>
      <c r="DD991" s="226"/>
      <c r="DE991" s="226"/>
      <c r="DF991" s="226"/>
      <c r="DG991" s="226"/>
      <c r="DH991" s="226"/>
      <c r="DI991" s="226"/>
      <c r="DJ991" s="226"/>
      <c r="DK991" s="226"/>
      <c r="DL991" s="226"/>
    </row>
    <row r="992">
      <c r="A992" s="44">
        <v>992.0</v>
      </c>
      <c r="B992" s="129" t="s">
        <v>152</v>
      </c>
      <c r="C992" s="62" t="s">
        <v>115</v>
      </c>
      <c r="D992" s="62" t="s">
        <v>153</v>
      </c>
      <c r="F992" s="68" t="s">
        <v>5406</v>
      </c>
      <c r="G992" s="159" t="s">
        <v>5420</v>
      </c>
      <c r="H992" s="159" t="s">
        <v>153</v>
      </c>
      <c r="I992" s="152">
        <v>45687.0</v>
      </c>
      <c r="J992" s="152">
        <v>45692.0</v>
      </c>
      <c r="K992" s="437" t="s">
        <v>5414</v>
      </c>
      <c r="L992" s="68"/>
      <c r="M992" s="159" t="s">
        <v>5407</v>
      </c>
      <c r="N992" s="159" t="s">
        <v>5408</v>
      </c>
      <c r="O992" s="156">
        <v>5.0</v>
      </c>
      <c r="P992" s="606" t="str">
        <f t="shared" si="52"/>
        <v>10.1177--0956797618805750.pdf</v>
      </c>
      <c r="Q992" s="52" t="str">
        <f t="array" ref="Q992"> if(iserror(MATCH(V992, 'File Links'!C:C, 0)), "N/A", HYPERLINK(INDEX('File Links'!B:B, MATCH(P992, 'File Links'!C:C, 0))))</f>
        <v>https://drive.google.com/file/d/1Z9cXGn_9cINuuX5drvoG0YLH4tFIjcZ7/view?usp=drivesdk</v>
      </c>
      <c r="R992" s="606" t="s">
        <v>3653</v>
      </c>
      <c r="S992" s="159" t="s">
        <v>3654</v>
      </c>
      <c r="T992" s="441" t="s">
        <v>5409</v>
      </c>
      <c r="U992" s="156">
        <v>1.0</v>
      </c>
      <c r="V992" s="198" t="str">
        <f t="shared" si="53"/>
        <v>10.1098--rsos.231240.pdf</v>
      </c>
      <c r="W992" s="159" t="s">
        <v>3671</v>
      </c>
      <c r="X992" s="54" t="str">
        <f t="array" ref="X992"> if(iserror(MATCH(V992, 'File Links'!C:C, 0)), "N/A", HYPERLINK(INDEX('File Links'!B:B, MATCH(V992, 'File Links'!C:C, 0))))</f>
        <v>https://drive.google.com/file/d/17gaf2Zy_ljFfcAEDk5L8GBnTl5i7RGJE/view?usp=drivesdk</v>
      </c>
      <c r="Y992" s="68"/>
      <c r="Z992" s="159" t="s">
        <v>226</v>
      </c>
      <c r="AA992" s="159" t="s">
        <v>4900</v>
      </c>
      <c r="AB992" s="159" t="s">
        <v>5415</v>
      </c>
      <c r="AC992" s="159" t="s">
        <v>5421</v>
      </c>
      <c r="AD992" s="159" t="s">
        <v>5422</v>
      </c>
      <c r="AE992" s="156">
        <v>9.0</v>
      </c>
      <c r="AF992" s="156">
        <v>348.0</v>
      </c>
      <c r="AG992" s="336">
        <v>0.48</v>
      </c>
      <c r="AH992" s="156" t="s">
        <v>173</v>
      </c>
      <c r="AI992" s="156" t="s">
        <v>628</v>
      </c>
      <c r="AJ992" s="336">
        <v>1.0E-4</v>
      </c>
      <c r="AK992" s="159" t="s">
        <v>135</v>
      </c>
      <c r="AL992" s="159" t="s">
        <v>186</v>
      </c>
      <c r="AM992" s="159" t="s">
        <v>141</v>
      </c>
      <c r="AN992" s="310" t="s">
        <v>5418</v>
      </c>
      <c r="AO992" s="336">
        <v>36.0</v>
      </c>
      <c r="AP992" s="1244" t="s">
        <v>5423</v>
      </c>
      <c r="AQ992" s="156" t="s">
        <v>134</v>
      </c>
      <c r="AR992" s="68"/>
      <c r="AS992" s="1306">
        <v>4.189E-4</v>
      </c>
      <c r="AT992" s="159" t="s">
        <v>172</v>
      </c>
      <c r="AU992" s="159" t="s">
        <v>186</v>
      </c>
      <c r="AV992" s="159" t="s">
        <v>141</v>
      </c>
      <c r="AW992" s="435" t="s">
        <v>5419</v>
      </c>
      <c r="AX992" s="68" t="s">
        <v>143</v>
      </c>
      <c r="AY992" s="61" t="str">
        <f>IFERROR(__xludf.DUMMYFUNCTION("vlookup(BB992,importrange(""https://docs.google.com/spreadsheets/d/1d2vevQ_7D_v35q4wCQ4RpQ_IPoTwEMB9Yp6ymwlPqew/edit?gid=984458430#gid=984458430"", ""'replication success'!A:K""), 11, FAlSE)"),"#N/A")</f>
        <v>#N/A</v>
      </c>
      <c r="AZ992" s="61" t="str">
        <f>IFERROR(__xludf.DUMMYFUNCTION("vlookup(BB992,importrange(""https://docs.google.com/spreadsheets/d/1d2vevQ_7D_v35q4wCQ4RpQ_IPoTwEMB9Yp6ymwlPqew/edit?gid=984458430#gid=984458430"", ""'replication success'!A:M""), 12, FAlSE)"),"#N/A")</f>
        <v>#N/A</v>
      </c>
      <c r="BA992" s="61" t="str">
        <f>IFERROR(__xludf.DUMMYFUNCTION("vlookup(BB992,importrange(""https://docs.google.com/spreadsheets/d/1d2vevQ_7D_v35q4wCQ4RpQ_IPoTwEMB9Yp6ymwlPqew/edit?gid=984458430#gid=984458430"", ""'replication success'!A:M""), 13, FAlSE)"),"#N/A")</f>
        <v>#N/A</v>
      </c>
      <c r="BB992" s="61" t="str">
        <f>IFERROR(__xludf.DUMMYFUNCTION("REGEXREPLACE(G992, ""_[a-z]{1,2}$"", """")"),"Boyce_etal202318")</f>
        <v>Boyce_etal202318</v>
      </c>
      <c r="BD992" s="68" t="s">
        <v>153</v>
      </c>
    </row>
    <row r="993">
      <c r="A993" s="44">
        <v>993.0</v>
      </c>
      <c r="B993" s="129" t="s">
        <v>152</v>
      </c>
      <c r="C993" s="62" t="s">
        <v>115</v>
      </c>
      <c r="D993" s="62" t="s">
        <v>248</v>
      </c>
      <c r="F993" s="159" t="s">
        <v>5424</v>
      </c>
      <c r="G993" s="159" t="s">
        <v>5425</v>
      </c>
      <c r="H993" s="159" t="s">
        <v>249</v>
      </c>
      <c r="I993" s="152">
        <v>45664.0</v>
      </c>
      <c r="J993" s="152">
        <v>45692.0</v>
      </c>
      <c r="K993" s="1055" t="s">
        <v>5426</v>
      </c>
      <c r="L993" s="68"/>
      <c r="M993" s="159" t="s">
        <v>5427</v>
      </c>
      <c r="N993" s="159" t="s">
        <v>5428</v>
      </c>
      <c r="O993" s="68"/>
      <c r="P993" s="606" t="str">
        <f t="shared" si="52"/>
        <v>10.1177--0956797615569889.pdf</v>
      </c>
      <c r="Q993" s="52" t="str">
        <f t="array" ref="Q993"> if(iserror(MATCH(V993, 'File Links'!C:C, 0)), "N/A", HYPERLINK(INDEX('File Links'!B:B, MATCH(P993, 'File Links'!C:C, 0))))</f>
        <v>https://drive.google.com/file/d/15btD8-1-iJ6kKY4YOnmEB99Ty5jn30uV/view?usp=drivesdk</v>
      </c>
      <c r="R993" s="606" t="s">
        <v>3653</v>
      </c>
      <c r="S993" s="159" t="s">
        <v>3654</v>
      </c>
      <c r="T993" s="441" t="s">
        <v>5429</v>
      </c>
      <c r="U993" s="156">
        <v>1.0</v>
      </c>
      <c r="V993" s="198" t="str">
        <f t="shared" si="53"/>
        <v>10.1098--rsos.231240.pdf</v>
      </c>
      <c r="W993" s="159" t="s">
        <v>4640</v>
      </c>
      <c r="X993" s="54" t="str">
        <f t="array" ref="X993"> if(iserror(MATCH(V993, 'File Links'!C:C, 0)), "N/A", HYPERLINK(INDEX('File Links'!B:B, MATCH(V993, 'File Links'!C:C, 0))))</f>
        <v>https://drive.google.com/file/d/17gaf2Zy_ljFfcAEDk5L8GBnTl5i7RGJE/view?usp=drivesdk</v>
      </c>
      <c r="Y993" s="68"/>
      <c r="Z993" s="159" t="s">
        <v>148</v>
      </c>
      <c r="AA993" s="1115" t="s">
        <v>5430</v>
      </c>
      <c r="AB993" s="1115" t="s">
        <v>5431</v>
      </c>
      <c r="AC993" s="1115" t="s">
        <v>5432</v>
      </c>
      <c r="AD993" s="159" t="s">
        <v>5433</v>
      </c>
      <c r="AE993" s="1093">
        <v>6.0</v>
      </c>
      <c r="AF993" s="156">
        <v>18.0</v>
      </c>
      <c r="AG993" s="156">
        <v>0.691</v>
      </c>
      <c r="AH993" s="159" t="s">
        <v>139</v>
      </c>
      <c r="AI993" s="1115" t="s">
        <v>140</v>
      </c>
      <c r="AJ993" s="156">
        <v>0.001</v>
      </c>
      <c r="AK993" s="159" t="s">
        <v>135</v>
      </c>
      <c r="AL993" s="159" t="s">
        <v>136</v>
      </c>
      <c r="AM993" s="159" t="s">
        <v>141</v>
      </c>
      <c r="AN993" s="151" t="s">
        <v>138</v>
      </c>
      <c r="AO993" s="156">
        <v>11.0</v>
      </c>
      <c r="AP993" s="156">
        <v>0.218240494886478</v>
      </c>
      <c r="AQ993" s="159" t="s">
        <v>173</v>
      </c>
      <c r="AR993" s="123" t="s">
        <v>4120</v>
      </c>
      <c r="AS993" s="156">
        <v>0.505808759221724</v>
      </c>
      <c r="AT993" s="159" t="s">
        <v>172</v>
      </c>
      <c r="AU993" s="159" t="s">
        <v>136</v>
      </c>
      <c r="AV993" s="159" t="s">
        <v>141</v>
      </c>
      <c r="AW993" s="435" t="s">
        <v>5434</v>
      </c>
      <c r="AX993" s="159" t="s">
        <v>143</v>
      </c>
      <c r="AY993" s="61" t="str">
        <f>IFERROR(__xludf.DUMMYFUNCTION("vlookup(BB993,importrange(""https://docs.google.com/spreadsheets/d/1d2vevQ_7D_v35q4wCQ4RpQ_IPoTwEMB9Yp6ymwlPqew/edit?gid=984458430#gid=984458430"", ""'replication success'!A:K""), 11, FAlSE)"),"#N/A")</f>
        <v>#N/A</v>
      </c>
      <c r="AZ993" s="61" t="str">
        <f>IFERROR(__xludf.DUMMYFUNCTION("vlookup(BB993,importrange(""https://docs.google.com/spreadsheets/d/1d2vevQ_7D_v35q4wCQ4RpQ_IPoTwEMB9Yp6ymwlPqew/edit?gid=984458430#gid=984458430"", ""'replication success'!A:M""), 12, FAlSE)"),"#N/A")</f>
        <v>#N/A</v>
      </c>
      <c r="BA993" s="61" t="str">
        <f>IFERROR(__xludf.DUMMYFUNCTION("vlookup(BB993,importrange(""https://docs.google.com/spreadsheets/d/1d2vevQ_7D_v35q4wCQ4RpQ_IPoTwEMB9Yp6ymwlPqew/edit?gid=984458430#gid=984458430"", ""'replication success'!A:M""), 13, FAlSE)"),"#N/A")</f>
        <v>#N/A</v>
      </c>
      <c r="BB993" s="61" t="str">
        <f>IFERROR(__xludf.DUMMYFUNCTION("REGEXREPLACE(G993, ""_[a-z]{1,2}$"", """")"),"Boyce_etal202319_1")</f>
        <v>Boyce_etal202319_1</v>
      </c>
      <c r="BD993" s="68" t="s">
        <v>153</v>
      </c>
      <c r="BF993" s="484"/>
      <c r="BG993" s="484"/>
      <c r="BH993" s="484"/>
      <c r="BI993" s="484"/>
      <c r="BJ993" s="484"/>
      <c r="BK993" s="484"/>
      <c r="BL993" s="484"/>
      <c r="BM993" s="484"/>
      <c r="BN993" s="484"/>
      <c r="BO993" s="484"/>
      <c r="BP993" s="484"/>
      <c r="BQ993" s="484"/>
      <c r="BR993" s="484"/>
      <c r="BS993" s="484"/>
      <c r="BT993" s="484"/>
      <c r="BU993" s="484"/>
      <c r="BV993" s="484"/>
      <c r="BW993" s="484"/>
      <c r="BX993" s="484"/>
      <c r="BY993" s="484"/>
      <c r="BZ993" s="484"/>
      <c r="CA993" s="484"/>
      <c r="CB993" s="484"/>
      <c r="CC993" s="484"/>
      <c r="CD993" s="484"/>
      <c r="CE993" s="484"/>
      <c r="CF993" s="484"/>
      <c r="CG993" s="484"/>
      <c r="CH993" s="484"/>
      <c r="CI993" s="484"/>
      <c r="CJ993" s="484"/>
      <c r="CK993" s="484"/>
      <c r="CL993" s="484"/>
      <c r="CM993" s="484"/>
      <c r="CN993" s="484"/>
      <c r="CO993" s="484"/>
      <c r="CP993" s="484"/>
      <c r="CQ993" s="484"/>
      <c r="CR993" s="484"/>
      <c r="CS993" s="484"/>
      <c r="CT993" s="484"/>
      <c r="CU993" s="484"/>
      <c r="CV993" s="484"/>
      <c r="CW993" s="484"/>
      <c r="CX993" s="484"/>
      <c r="CY993" s="484"/>
      <c r="CZ993" s="484"/>
      <c r="DA993" s="484"/>
      <c r="DB993" s="484"/>
      <c r="DC993" s="484"/>
      <c r="DD993" s="484"/>
      <c r="DE993" s="484"/>
      <c r="DF993" s="484"/>
      <c r="DG993" s="484"/>
      <c r="DH993" s="484"/>
      <c r="DI993" s="484"/>
      <c r="DJ993" s="484"/>
      <c r="DK993" s="484"/>
      <c r="DL993" s="484"/>
    </row>
    <row r="994">
      <c r="A994" s="44">
        <v>994.0</v>
      </c>
      <c r="B994" s="129" t="s">
        <v>152</v>
      </c>
      <c r="C994" s="62" t="s">
        <v>115</v>
      </c>
      <c r="D994" s="62" t="s">
        <v>153</v>
      </c>
      <c r="F994" s="68" t="s">
        <v>5425</v>
      </c>
      <c r="G994" s="159" t="s">
        <v>5424</v>
      </c>
      <c r="H994" s="159" t="s">
        <v>153</v>
      </c>
      <c r="I994" s="152">
        <v>45687.0</v>
      </c>
      <c r="J994" s="152">
        <v>45692.0</v>
      </c>
      <c r="K994" s="1055" t="s">
        <v>5435</v>
      </c>
      <c r="L994" s="68"/>
      <c r="M994" s="159" t="s">
        <v>5427</v>
      </c>
      <c r="N994" s="159" t="s">
        <v>5428</v>
      </c>
      <c r="O994" s="159" t="s">
        <v>5436</v>
      </c>
      <c r="P994" s="606" t="str">
        <f t="shared" si="52"/>
        <v>10.1177--0956797615569889.pdf</v>
      </c>
      <c r="Q994" s="52" t="str">
        <f t="array" ref="Q994"> if(iserror(MATCH(V994, 'File Links'!C:C, 0)), "N/A", HYPERLINK(INDEX('File Links'!B:B, MATCH(P994, 'File Links'!C:C, 0))))</f>
        <v>https://drive.google.com/file/d/15btD8-1-iJ6kKY4YOnmEB99Ty5jn30uV/view?usp=drivesdk</v>
      </c>
      <c r="R994" s="606" t="s">
        <v>3653</v>
      </c>
      <c r="S994" s="159" t="s">
        <v>3654</v>
      </c>
      <c r="T994" s="441" t="s">
        <v>5429</v>
      </c>
      <c r="U994" s="156">
        <v>1.0</v>
      </c>
      <c r="V994" s="198" t="str">
        <f t="shared" si="53"/>
        <v>10.1098--rsos.231240.pdf</v>
      </c>
      <c r="W994" s="159" t="s">
        <v>4640</v>
      </c>
      <c r="X994" s="54" t="str">
        <f t="array" ref="X994"> if(iserror(MATCH(V994, 'File Links'!C:C, 0)), "N/A", HYPERLINK(INDEX('File Links'!B:B, MATCH(V994, 'File Links'!C:C, 0))))</f>
        <v>https://drive.google.com/file/d/17gaf2Zy_ljFfcAEDk5L8GBnTl5i7RGJE/view?usp=drivesdk</v>
      </c>
      <c r="Y994" s="46"/>
      <c r="Z994" s="159" t="s">
        <v>148</v>
      </c>
      <c r="AA994" s="159" t="s">
        <v>5430</v>
      </c>
      <c r="AB994" s="159" t="s">
        <v>5431</v>
      </c>
      <c r="AC994" s="159" t="s">
        <v>5437</v>
      </c>
      <c r="AD994" s="159" t="s">
        <v>5438</v>
      </c>
      <c r="AE994" s="156">
        <v>6.0</v>
      </c>
      <c r="AF994" s="156">
        <v>18.0</v>
      </c>
      <c r="AG994" s="156">
        <v>0.132</v>
      </c>
      <c r="AH994" s="156" t="s">
        <v>874</v>
      </c>
      <c r="AI994" s="156" t="s">
        <v>140</v>
      </c>
      <c r="AJ994" s="156">
        <v>0.041</v>
      </c>
      <c r="AK994" s="159" t="s">
        <v>172</v>
      </c>
      <c r="AL994" s="159" t="s">
        <v>136</v>
      </c>
      <c r="AM994" s="159" t="s">
        <v>141</v>
      </c>
      <c r="AN994" s="151" t="s">
        <v>138</v>
      </c>
      <c r="AO994" s="156">
        <v>11.0</v>
      </c>
      <c r="AP994" s="336" t="s">
        <v>5439</v>
      </c>
      <c r="AQ994" s="156" t="s">
        <v>134</v>
      </c>
      <c r="AR994" s="441" t="s">
        <v>5440</v>
      </c>
      <c r="AS994" s="336">
        <v>0.0216</v>
      </c>
      <c r="AT994" s="159" t="s">
        <v>172</v>
      </c>
      <c r="AU994" s="159" t="s">
        <v>136</v>
      </c>
      <c r="AV994" s="159" t="s">
        <v>141</v>
      </c>
      <c r="AW994" s="435" t="s">
        <v>5434</v>
      </c>
      <c r="AX994" s="68" t="s">
        <v>143</v>
      </c>
      <c r="AY994" s="61" t="str">
        <f>IFERROR(__xludf.DUMMYFUNCTION("vlookup(BB994,importrange(""https://docs.google.com/spreadsheets/d/1d2vevQ_7D_v35q4wCQ4RpQ_IPoTwEMB9Yp6ymwlPqew/edit?gid=984458430#gid=984458430"", ""'replication success'!A:K""), 11, FAlSE)"),"#N/A")</f>
        <v>#N/A</v>
      </c>
      <c r="AZ994" s="61" t="str">
        <f>IFERROR(__xludf.DUMMYFUNCTION("vlookup(BB994,importrange(""https://docs.google.com/spreadsheets/d/1d2vevQ_7D_v35q4wCQ4RpQ_IPoTwEMB9Yp6ymwlPqew/edit?gid=984458430#gid=984458430"", ""'replication success'!A:M""), 12, FAlSE)"),"#N/A")</f>
        <v>#N/A</v>
      </c>
      <c r="BA994" s="61" t="str">
        <f>IFERROR(__xludf.DUMMYFUNCTION("vlookup(BB994,importrange(""https://docs.google.com/spreadsheets/d/1d2vevQ_7D_v35q4wCQ4RpQ_IPoTwEMB9Yp6ymwlPqew/edit?gid=984458430#gid=984458430"", ""'replication success'!A:M""), 13, FAlSE)"),"#N/A")</f>
        <v>#N/A</v>
      </c>
      <c r="BB994" s="61" t="str">
        <f>IFERROR(__xludf.DUMMYFUNCTION("REGEXREPLACE(G994, ""_[a-z]{1,2}$"", """")"),"Boyce_etal202319")</f>
        <v>Boyce_etal202319</v>
      </c>
      <c r="BD994" s="68" t="s">
        <v>153</v>
      </c>
      <c r="BF994" s="71"/>
      <c r="BG994" s="71"/>
      <c r="BH994" s="71"/>
      <c r="BI994" s="71"/>
      <c r="BJ994" s="71"/>
      <c r="BK994" s="71"/>
      <c r="BL994" s="71"/>
      <c r="BM994" s="71"/>
      <c r="BN994" s="71"/>
      <c r="BO994" s="71"/>
      <c r="BP994" s="71"/>
      <c r="BQ994" s="71"/>
      <c r="BR994" s="71"/>
      <c r="BS994" s="71"/>
      <c r="BT994" s="71"/>
      <c r="BU994" s="71"/>
      <c r="BV994" s="71"/>
      <c r="BW994" s="71"/>
      <c r="BX994" s="71"/>
      <c r="BY994" s="71"/>
      <c r="BZ994" s="71"/>
      <c r="CA994" s="71"/>
      <c r="CB994" s="71"/>
      <c r="CC994" s="71"/>
      <c r="CD994" s="71"/>
      <c r="CE994" s="71"/>
      <c r="CF994" s="71"/>
      <c r="CG994" s="71"/>
      <c r="CH994" s="71"/>
      <c r="CI994" s="71"/>
      <c r="CJ994" s="71"/>
      <c r="CK994" s="71"/>
      <c r="CL994" s="71"/>
      <c r="CM994" s="71"/>
      <c r="CN994" s="71"/>
      <c r="CO994" s="71"/>
      <c r="CP994" s="71"/>
      <c r="CQ994" s="71"/>
      <c r="CR994" s="71"/>
      <c r="CS994" s="71"/>
      <c r="CT994" s="71"/>
      <c r="CU994" s="71"/>
      <c r="CV994" s="71"/>
      <c r="CW994" s="71"/>
      <c r="CX994" s="71"/>
      <c r="CY994" s="71"/>
      <c r="CZ994" s="71"/>
      <c r="DA994" s="71"/>
      <c r="DB994" s="71"/>
      <c r="DC994" s="71"/>
      <c r="DD994" s="71"/>
      <c r="DE994" s="71"/>
      <c r="DF994" s="71"/>
      <c r="DG994" s="71"/>
      <c r="DH994" s="71"/>
      <c r="DI994" s="71"/>
      <c r="DJ994" s="71"/>
      <c r="DK994" s="71"/>
      <c r="DL994" s="71"/>
    </row>
    <row r="995">
      <c r="A995" s="44">
        <v>995.0</v>
      </c>
      <c r="B995" s="129" t="s">
        <v>152</v>
      </c>
      <c r="C995" s="62" t="s">
        <v>115</v>
      </c>
      <c r="D995" s="62" t="s">
        <v>153</v>
      </c>
      <c r="F995" s="68" t="s">
        <v>5425</v>
      </c>
      <c r="G995" s="159" t="s">
        <v>5441</v>
      </c>
      <c r="H995" s="159" t="s">
        <v>153</v>
      </c>
      <c r="I995" s="152">
        <v>45687.0</v>
      </c>
      <c r="J995" s="152">
        <v>45692.0</v>
      </c>
      <c r="K995" s="1055" t="s">
        <v>5442</v>
      </c>
      <c r="L995" s="68"/>
      <c r="M995" s="159" t="s">
        <v>5427</v>
      </c>
      <c r="N995" s="159" t="s">
        <v>5428</v>
      </c>
      <c r="O995" s="159" t="s">
        <v>5436</v>
      </c>
      <c r="P995" s="159" t="str">
        <f t="shared" si="52"/>
        <v>10.1177--0956797615569889.pdf</v>
      </c>
      <c r="Q995" s="52" t="str">
        <f t="array" ref="Q995"> if(iserror(MATCH(V995, 'File Links'!C:C, 0)), "N/A", HYPERLINK(INDEX('File Links'!B:B, MATCH(P995, 'File Links'!C:C, 0))))</f>
        <v>https://drive.google.com/file/d/15btD8-1-iJ6kKY4YOnmEB99Ty5jn30uV/view?usp=drivesdk</v>
      </c>
      <c r="R995" s="606" t="s">
        <v>3653</v>
      </c>
      <c r="S995" s="159" t="s">
        <v>3654</v>
      </c>
      <c r="T995" s="441" t="s">
        <v>5429</v>
      </c>
      <c r="U995" s="156">
        <v>1.0</v>
      </c>
      <c r="V995" s="198" t="str">
        <f t="shared" si="53"/>
        <v>10.1098--rsos.231240.pdf</v>
      </c>
      <c r="W995" s="159" t="s">
        <v>4640</v>
      </c>
      <c r="X995" s="54" t="str">
        <f t="array" ref="X995"> if(iserror(MATCH(V995, 'File Links'!C:C, 0)), "N/A", HYPERLINK(INDEX('File Links'!B:B, MATCH(V995, 'File Links'!C:C, 0))))</f>
        <v>https://drive.google.com/file/d/17gaf2Zy_ljFfcAEDk5L8GBnTl5i7RGJE/view?usp=drivesdk</v>
      </c>
      <c r="Y995" s="68"/>
      <c r="Z995" s="159" t="s">
        <v>148</v>
      </c>
      <c r="AA995" s="159" t="s">
        <v>5430</v>
      </c>
      <c r="AB995" s="159" t="s">
        <v>5431</v>
      </c>
      <c r="AC995" s="159" t="s">
        <v>5432</v>
      </c>
      <c r="AD995" s="159" t="s">
        <v>5443</v>
      </c>
      <c r="AE995" s="336">
        <v>6.0</v>
      </c>
      <c r="AF995" s="156">
        <v>18.0</v>
      </c>
      <c r="AG995" s="336">
        <v>0.322</v>
      </c>
      <c r="AH995" s="156" t="s">
        <v>874</v>
      </c>
      <c r="AI995" s="336" t="s">
        <v>140</v>
      </c>
      <c r="AJ995" s="336">
        <v>0.001</v>
      </c>
      <c r="AK995" s="159" t="s">
        <v>172</v>
      </c>
      <c r="AL995" s="159" t="s">
        <v>136</v>
      </c>
      <c r="AM995" s="159" t="s">
        <v>141</v>
      </c>
      <c r="AN995" s="151" t="s">
        <v>138</v>
      </c>
      <c r="AO995" s="156">
        <v>11.0</v>
      </c>
      <c r="AP995" s="336" t="s">
        <v>5444</v>
      </c>
      <c r="AQ995" s="156" t="s">
        <v>134</v>
      </c>
      <c r="AR995" s="441" t="s">
        <v>5440</v>
      </c>
      <c r="AS995" s="156">
        <v>0.3334461</v>
      </c>
      <c r="AT995" s="159" t="s">
        <v>172</v>
      </c>
      <c r="AU995" s="159" t="s">
        <v>136</v>
      </c>
      <c r="AV995" s="159" t="s">
        <v>141</v>
      </c>
      <c r="AW995" s="435" t="s">
        <v>5434</v>
      </c>
      <c r="AX995" s="68" t="s">
        <v>143</v>
      </c>
      <c r="AY995" s="61" t="str">
        <f>IFERROR(__xludf.DUMMYFUNCTION("vlookup(BB995,importrange(""https://docs.google.com/spreadsheets/d/1d2vevQ_7D_v35q4wCQ4RpQ_IPoTwEMB9Yp6ymwlPqew/edit?gid=984458430#gid=984458430"", ""'replication success'!A:K""), 11, FAlSE)"),"#N/A")</f>
        <v>#N/A</v>
      </c>
      <c r="AZ995" s="61" t="str">
        <f>IFERROR(__xludf.DUMMYFUNCTION("vlookup(BB995,importrange(""https://docs.google.com/spreadsheets/d/1d2vevQ_7D_v35q4wCQ4RpQ_IPoTwEMB9Yp6ymwlPqew/edit?gid=984458430#gid=984458430"", ""'replication success'!A:M""), 12, FAlSE)"),"#N/A")</f>
        <v>#N/A</v>
      </c>
      <c r="BA995" s="61" t="str">
        <f>IFERROR(__xludf.DUMMYFUNCTION("vlookup(BB995,importrange(""https://docs.google.com/spreadsheets/d/1d2vevQ_7D_v35q4wCQ4RpQ_IPoTwEMB9Yp6ymwlPqew/edit?gid=984458430#gid=984458430"", ""'replication success'!A:M""), 13, FAlSE)"),"#N/A")</f>
        <v>#N/A</v>
      </c>
      <c r="BB995" s="61" t="str">
        <f>IFERROR(__xludf.DUMMYFUNCTION("REGEXREPLACE(G995, ""_[a-z]{1,2}$"", """")"),"Boyce_etal202319")</f>
        <v>Boyce_etal202319</v>
      </c>
      <c r="BD995" s="68" t="s">
        <v>153</v>
      </c>
      <c r="BF995" s="71"/>
      <c r="BG995" s="71"/>
      <c r="BH995" s="71"/>
      <c r="BI995" s="71"/>
      <c r="BJ995" s="71"/>
      <c r="BK995" s="71"/>
      <c r="BL995" s="71"/>
      <c r="BM995" s="71"/>
      <c r="BN995" s="71"/>
      <c r="BO995" s="71"/>
      <c r="BP995" s="71"/>
      <c r="BQ995" s="71"/>
      <c r="BR995" s="71"/>
      <c r="BS995" s="71"/>
      <c r="BT995" s="71"/>
      <c r="BU995" s="71"/>
      <c r="BV995" s="71"/>
      <c r="BW995" s="71"/>
      <c r="BX995" s="71"/>
      <c r="BY995" s="71"/>
      <c r="BZ995" s="71"/>
      <c r="CA995" s="71"/>
      <c r="CB995" s="71"/>
      <c r="CC995" s="71"/>
      <c r="CD995" s="71"/>
      <c r="CE995" s="71"/>
      <c r="CF995" s="71"/>
      <c r="CG995" s="71"/>
      <c r="CH995" s="71"/>
      <c r="CI995" s="71"/>
      <c r="CJ995" s="71"/>
      <c r="CK995" s="71"/>
      <c r="CL995" s="71"/>
      <c r="CM995" s="71"/>
      <c r="CN995" s="71"/>
      <c r="CO995" s="71"/>
      <c r="CP995" s="71"/>
      <c r="CQ995" s="71"/>
      <c r="CR995" s="71"/>
      <c r="CS995" s="71"/>
      <c r="CT995" s="71"/>
      <c r="CU995" s="71"/>
      <c r="CV995" s="71"/>
      <c r="CW995" s="71"/>
      <c r="CX995" s="71"/>
      <c r="CY995" s="71"/>
      <c r="CZ995" s="71"/>
      <c r="DA995" s="71"/>
      <c r="DB995" s="71"/>
      <c r="DC995" s="71"/>
      <c r="DD995" s="71"/>
      <c r="DE995" s="71"/>
      <c r="DF995" s="71"/>
      <c r="DG995" s="71"/>
      <c r="DH995" s="71"/>
      <c r="DI995" s="71"/>
      <c r="DJ995" s="71"/>
      <c r="DK995" s="71"/>
      <c r="DL995" s="71"/>
    </row>
    <row r="996">
      <c r="A996" s="44">
        <v>996.0</v>
      </c>
      <c r="B996" s="68" t="s">
        <v>114</v>
      </c>
      <c r="C996" s="62" t="s">
        <v>115</v>
      </c>
      <c r="D996" s="62" t="s">
        <v>248</v>
      </c>
      <c r="F996" s="159" t="s">
        <v>5445</v>
      </c>
      <c r="G996" s="159" t="s">
        <v>5446</v>
      </c>
      <c r="H996" s="159" t="s">
        <v>249</v>
      </c>
      <c r="I996" s="152">
        <v>45663.0</v>
      </c>
      <c r="J996" s="152">
        <v>45692.0</v>
      </c>
      <c r="K996" s="68"/>
      <c r="L996" s="68" t="s">
        <v>3690</v>
      </c>
      <c r="M996" s="159" t="s">
        <v>5447</v>
      </c>
      <c r="N996" s="159" t="s">
        <v>5448</v>
      </c>
      <c r="O996" s="68"/>
      <c r="P996" s="159" t="str">
        <f t="shared" si="52"/>
        <v>10.1037--a0012833.pdf</v>
      </c>
      <c r="Q996" s="52" t="str">
        <f t="array" ref="Q996"> if(iserror(MATCH(V996, 'File Links'!C:C, 0)), "N/A", HYPERLINK(INDEX('File Links'!B:B, MATCH(P996, 'File Links'!C:C, 0))))</f>
        <v>https://drive.google.com/file/d/1HpcHlK2DyzZieaRbX6Fr0ov7Mf_R671v/view?usp=drivesdk</v>
      </c>
      <c r="R996" s="606" t="s">
        <v>3653</v>
      </c>
      <c r="S996" s="159" t="s">
        <v>3654</v>
      </c>
      <c r="T996" s="68"/>
      <c r="U996" s="156">
        <v>1.0</v>
      </c>
      <c r="V996" s="198" t="str">
        <f t="shared" si="53"/>
        <v>10.1098--rsos.231240.pdf</v>
      </c>
      <c r="W996" s="159" t="s">
        <v>3665</v>
      </c>
      <c r="X996" s="54" t="str">
        <f t="array" ref="X996"> if(iserror(MATCH(V996, 'File Links'!C:C, 0)), "N/A", HYPERLINK(INDEX('File Links'!B:B, MATCH(V996, 'File Links'!C:C, 0))))</f>
        <v>https://drive.google.com/file/d/17gaf2Zy_ljFfcAEDk5L8GBnTl5i7RGJE/view?usp=drivesdk</v>
      </c>
      <c r="Y996" s="68"/>
      <c r="Z996" s="159" t="s">
        <v>148</v>
      </c>
      <c r="AA996" s="68"/>
      <c r="AB996" s="68"/>
      <c r="AC996" s="68"/>
      <c r="AD996" s="159" t="s">
        <v>5449</v>
      </c>
      <c r="AE996" s="1059">
        <v>517.0</v>
      </c>
      <c r="AF996" s="156">
        <v>36.0</v>
      </c>
      <c r="AG996" s="156">
        <v>5.68</v>
      </c>
      <c r="AH996" s="159" t="s">
        <v>1031</v>
      </c>
      <c r="AI996" s="1060" t="s">
        <v>5450</v>
      </c>
      <c r="AJ996" s="156">
        <v>0.02</v>
      </c>
      <c r="AK996" s="159" t="s">
        <v>172</v>
      </c>
      <c r="AL996" s="159" t="s">
        <v>186</v>
      </c>
      <c r="AM996" s="159" t="s">
        <v>1905</v>
      </c>
      <c r="AN996" s="151" t="s">
        <v>138</v>
      </c>
      <c r="AO996" s="156">
        <v>88.0</v>
      </c>
      <c r="AP996" s="156">
        <v>-0.062337452058199</v>
      </c>
      <c r="AQ996" s="159" t="s">
        <v>173</v>
      </c>
      <c r="AR996" s="68"/>
      <c r="AS996" s="1307">
        <v>0.562461465954232</v>
      </c>
      <c r="AT996" s="159" t="s">
        <v>172</v>
      </c>
      <c r="AU996" s="159" t="s">
        <v>186</v>
      </c>
      <c r="AV996" s="159" t="s">
        <v>1905</v>
      </c>
      <c r="AW996" s="68"/>
      <c r="AX996" s="159" t="s">
        <v>143</v>
      </c>
      <c r="AY996" s="61" t="str">
        <f>IFERROR(__xludf.DUMMYFUNCTION("vlookup(BB996,importrange(""https://docs.google.com/spreadsheets/d/1d2vevQ_7D_v35q4wCQ4RpQ_IPoTwEMB9Yp6ymwlPqew/edit?gid=984458430#gid=984458430"", ""'replication success'!A:K""), 11, FAlSE)"),"#N/A")</f>
        <v>#N/A</v>
      </c>
      <c r="AZ996" s="61" t="str">
        <f>IFERROR(__xludf.DUMMYFUNCTION("vlookup(BB996,importrange(""https://docs.google.com/spreadsheets/d/1d2vevQ_7D_v35q4wCQ4RpQ_IPoTwEMB9Yp6ymwlPqew/edit?gid=984458430#gid=984458430"", ""'replication success'!A:M""), 12, FAlSE)"),"#N/A")</f>
        <v>#N/A</v>
      </c>
      <c r="BA996" s="61" t="str">
        <f>IFERROR(__xludf.DUMMYFUNCTION("vlookup(BB996,importrange(""https://docs.google.com/spreadsheets/d/1d2vevQ_7D_v35q4wCQ4RpQ_IPoTwEMB9Yp6ymwlPqew/edit?gid=984458430#gid=984458430"", ""'replication success'!A:M""), 13, FAlSE)"),"#N/A")</f>
        <v>#N/A</v>
      </c>
      <c r="BB996" s="61" t="str">
        <f>IFERROR(__xludf.DUMMYFUNCTION("REGEXREPLACE(G996, ""_[a-z]{1,2}$"", """")"),"Boyce_etal20232_1")</f>
        <v>Boyce_etal20232_1</v>
      </c>
      <c r="BD996" s="68" t="s">
        <v>153</v>
      </c>
      <c r="BF996" s="71"/>
      <c r="BG996" s="71"/>
      <c r="BH996" s="71"/>
      <c r="BI996" s="71"/>
      <c r="BJ996" s="71"/>
      <c r="BK996" s="71"/>
      <c r="BL996" s="71"/>
      <c r="BM996" s="71"/>
      <c r="BN996" s="71"/>
      <c r="BO996" s="71"/>
      <c r="BP996" s="71"/>
      <c r="BQ996" s="71"/>
      <c r="BR996" s="71"/>
      <c r="BS996" s="71"/>
      <c r="BT996" s="71"/>
      <c r="BU996" s="71"/>
      <c r="BV996" s="71"/>
      <c r="BW996" s="71"/>
      <c r="BX996" s="71"/>
      <c r="BY996" s="71"/>
      <c r="BZ996" s="71"/>
      <c r="CA996" s="71"/>
      <c r="CB996" s="71"/>
      <c r="CC996" s="71"/>
      <c r="CD996" s="71"/>
      <c r="CE996" s="71"/>
      <c r="CF996" s="71"/>
      <c r="CG996" s="71"/>
      <c r="CH996" s="71"/>
      <c r="CI996" s="71"/>
      <c r="CJ996" s="71"/>
      <c r="CK996" s="71"/>
      <c r="CL996" s="71"/>
      <c r="CM996" s="71"/>
      <c r="CN996" s="71"/>
      <c r="CO996" s="71"/>
      <c r="CP996" s="71"/>
      <c r="CQ996" s="71"/>
      <c r="CR996" s="71"/>
      <c r="CS996" s="71"/>
      <c r="CT996" s="71"/>
      <c r="CU996" s="71"/>
      <c r="CV996" s="71"/>
      <c r="CW996" s="71"/>
      <c r="CX996" s="71"/>
      <c r="CY996" s="71"/>
      <c r="CZ996" s="71"/>
      <c r="DA996" s="71"/>
      <c r="DB996" s="71"/>
      <c r="DC996" s="71"/>
      <c r="DD996" s="71"/>
      <c r="DE996" s="71"/>
      <c r="DF996" s="71"/>
      <c r="DG996" s="71"/>
      <c r="DH996" s="71"/>
      <c r="DI996" s="71"/>
      <c r="DJ996" s="71"/>
      <c r="DK996" s="71"/>
      <c r="DL996" s="71"/>
    </row>
    <row r="997">
      <c r="A997" s="44">
        <v>997.0</v>
      </c>
      <c r="B997" s="129" t="s">
        <v>152</v>
      </c>
      <c r="C997" s="62" t="s">
        <v>115</v>
      </c>
      <c r="D997" s="62" t="s">
        <v>153</v>
      </c>
      <c r="F997" s="68" t="s">
        <v>5446</v>
      </c>
      <c r="G997" s="159" t="s">
        <v>5445</v>
      </c>
      <c r="H997" s="159" t="s">
        <v>153</v>
      </c>
      <c r="I997" s="152">
        <v>45687.0</v>
      </c>
      <c r="J997" s="152">
        <v>45692.0</v>
      </c>
      <c r="K997" s="1055" t="s">
        <v>5451</v>
      </c>
      <c r="L997" s="123" t="s">
        <v>5452</v>
      </c>
      <c r="M997" s="159" t="s">
        <v>5447</v>
      </c>
      <c r="N997" s="159" t="s">
        <v>5448</v>
      </c>
      <c r="O997" s="156">
        <v>5.0</v>
      </c>
      <c r="P997" s="159" t="str">
        <f t="shared" si="52"/>
        <v>10.1037--a0012833.pdf</v>
      </c>
      <c r="Q997" s="52" t="str">
        <f t="array" ref="Q997"> if(iserror(MATCH(V997, 'File Links'!C:C, 0)), "N/A", HYPERLINK(INDEX('File Links'!B:B, MATCH(P997, 'File Links'!C:C, 0))))</f>
        <v>https://drive.google.com/file/d/1HpcHlK2DyzZieaRbX6Fr0ov7Mf_R671v/view?usp=drivesdk</v>
      </c>
      <c r="R997" s="606" t="s">
        <v>3653</v>
      </c>
      <c r="S997" s="159" t="s">
        <v>3654</v>
      </c>
      <c r="T997" s="441" t="s">
        <v>5453</v>
      </c>
      <c r="U997" s="156">
        <v>1.0</v>
      </c>
      <c r="V997" s="198" t="str">
        <f t="shared" si="53"/>
        <v>10.1098--rsos.231240.pdf</v>
      </c>
      <c r="W997" s="159" t="s">
        <v>3671</v>
      </c>
      <c r="X997" s="54" t="str">
        <f t="array" ref="X997"> if(iserror(MATCH(V997, 'File Links'!C:C, 0)), "N/A", HYPERLINK(INDEX('File Links'!B:B, MATCH(V997, 'File Links'!C:C, 0))))</f>
        <v>https://drive.google.com/file/d/17gaf2Zy_ljFfcAEDk5L8GBnTl5i7RGJE/view?usp=drivesdk</v>
      </c>
      <c r="Y997" s="68"/>
      <c r="Z997" s="159" t="s">
        <v>148</v>
      </c>
      <c r="AA997" s="159" t="s">
        <v>5454</v>
      </c>
      <c r="AB997" s="159" t="s">
        <v>5455</v>
      </c>
      <c r="AC997" s="159" t="s">
        <v>5456</v>
      </c>
      <c r="AD997" s="159" t="s">
        <v>5457</v>
      </c>
      <c r="AE997" s="156">
        <v>8.0</v>
      </c>
      <c r="AF997" s="156">
        <v>36.0</v>
      </c>
      <c r="AG997" s="156" t="s">
        <v>5458</v>
      </c>
      <c r="AH997" s="156" t="s">
        <v>134</v>
      </c>
      <c r="AI997" s="156" t="s">
        <v>613</v>
      </c>
      <c r="AJ997" s="156">
        <v>0.02</v>
      </c>
      <c r="AK997" s="159" t="s">
        <v>172</v>
      </c>
      <c r="AL997" s="159" t="s">
        <v>186</v>
      </c>
      <c r="AM997" s="151" t="s">
        <v>137</v>
      </c>
      <c r="AN997" s="151" t="s">
        <v>138</v>
      </c>
      <c r="AO997" s="156">
        <v>88.0</v>
      </c>
      <c r="AP997" s="156" t="s">
        <v>5459</v>
      </c>
      <c r="AQ997" s="156" t="s">
        <v>134</v>
      </c>
      <c r="AR997" s="156" t="s">
        <v>850</v>
      </c>
      <c r="AS997" s="156">
        <v>0.77</v>
      </c>
      <c r="AT997" s="159" t="s">
        <v>172</v>
      </c>
      <c r="AU997" s="159" t="s">
        <v>186</v>
      </c>
      <c r="AV997" s="151" t="s">
        <v>137</v>
      </c>
      <c r="AW997" s="1308" t="s">
        <v>138</v>
      </c>
      <c r="AX997" s="68" t="s">
        <v>143</v>
      </c>
      <c r="AY997" s="61" t="str">
        <f>IFERROR(__xludf.DUMMYFUNCTION("vlookup(BB997,importrange(""https://docs.google.com/spreadsheets/d/1d2vevQ_7D_v35q4wCQ4RpQ_IPoTwEMB9Yp6ymwlPqew/edit?gid=984458430#gid=984458430"", ""'replication success'!A:K""), 11, FAlSE)"),"#N/A")</f>
        <v>#N/A</v>
      </c>
      <c r="AZ997" s="61" t="str">
        <f>IFERROR(__xludf.DUMMYFUNCTION("vlookup(BB997,importrange(""https://docs.google.com/spreadsheets/d/1d2vevQ_7D_v35q4wCQ4RpQ_IPoTwEMB9Yp6ymwlPqew/edit?gid=984458430#gid=984458430"", ""'replication success'!A:M""), 12, FAlSE)"),"#N/A")</f>
        <v>#N/A</v>
      </c>
      <c r="BA997" s="61" t="str">
        <f>IFERROR(__xludf.DUMMYFUNCTION("vlookup(BB997,importrange(""https://docs.google.com/spreadsheets/d/1d2vevQ_7D_v35q4wCQ4RpQ_IPoTwEMB9Yp6ymwlPqew/edit?gid=984458430#gid=984458430"", ""'replication success'!A:M""), 13, FAlSE)"),"#N/A")</f>
        <v>#N/A</v>
      </c>
      <c r="BB997" s="61" t="str">
        <f>IFERROR(__xludf.DUMMYFUNCTION("REGEXREPLACE(G997, ""_[a-z]{1,2}$"", """")"),"Boyce_etal20232")</f>
        <v>Boyce_etal20232</v>
      </c>
      <c r="BD997" s="68" t="s">
        <v>153</v>
      </c>
      <c r="BF997" s="71"/>
      <c r="BG997" s="71"/>
      <c r="BH997" s="71"/>
      <c r="BI997" s="71"/>
      <c r="BJ997" s="71"/>
      <c r="BK997" s="71"/>
      <c r="BL997" s="71"/>
      <c r="BM997" s="71"/>
      <c r="BN997" s="71"/>
      <c r="BO997" s="71"/>
      <c r="BP997" s="71"/>
      <c r="BQ997" s="71"/>
      <c r="BR997" s="71"/>
      <c r="BS997" s="71"/>
      <c r="BT997" s="71"/>
      <c r="BU997" s="71"/>
      <c r="BV997" s="71"/>
      <c r="BW997" s="71"/>
      <c r="BX997" s="71"/>
      <c r="BY997" s="71"/>
      <c r="BZ997" s="71"/>
      <c r="CA997" s="71"/>
      <c r="CB997" s="71"/>
      <c r="CC997" s="71"/>
      <c r="CD997" s="71"/>
      <c r="CE997" s="71"/>
      <c r="CF997" s="71"/>
      <c r="CG997" s="71"/>
      <c r="CH997" s="71"/>
      <c r="CI997" s="71"/>
      <c r="CJ997" s="71"/>
      <c r="CK997" s="71"/>
      <c r="CL997" s="71"/>
      <c r="CM997" s="71"/>
      <c r="CN997" s="71"/>
      <c r="CO997" s="71"/>
      <c r="CP997" s="71"/>
      <c r="CQ997" s="71"/>
      <c r="CR997" s="71"/>
      <c r="CS997" s="71"/>
      <c r="CT997" s="71"/>
      <c r="CU997" s="71"/>
      <c r="CV997" s="71"/>
      <c r="CW997" s="71"/>
      <c r="CX997" s="71"/>
      <c r="CY997" s="71"/>
      <c r="CZ997" s="71"/>
      <c r="DA997" s="71"/>
      <c r="DB997" s="71"/>
      <c r="DC997" s="71"/>
      <c r="DD997" s="71"/>
      <c r="DE997" s="71"/>
      <c r="DF997" s="71"/>
      <c r="DG997" s="71"/>
      <c r="DH997" s="71"/>
      <c r="DI997" s="71"/>
      <c r="DJ997" s="71"/>
      <c r="DK997" s="71"/>
      <c r="DL997" s="71"/>
    </row>
    <row r="998">
      <c r="A998" s="44">
        <v>998.0</v>
      </c>
      <c r="B998" s="68" t="s">
        <v>114</v>
      </c>
      <c r="C998" s="62" t="s">
        <v>115</v>
      </c>
      <c r="D998" s="62" t="s">
        <v>248</v>
      </c>
      <c r="F998" s="159" t="s">
        <v>5460</v>
      </c>
      <c r="G998" s="159" t="s">
        <v>5461</v>
      </c>
      <c r="H998" s="159" t="s">
        <v>249</v>
      </c>
      <c r="I998" s="152">
        <v>45664.0</v>
      </c>
      <c r="J998" s="152">
        <v>45692.0</v>
      </c>
      <c r="K998" s="437" t="s">
        <v>3683</v>
      </c>
      <c r="L998" s="68"/>
      <c r="M998" s="159" t="s">
        <v>5462</v>
      </c>
      <c r="N998" s="159" t="s">
        <v>5463</v>
      </c>
      <c r="O998" s="68"/>
      <c r="P998" s="159" t="str">
        <f t="shared" si="52"/>
        <v>10.1177--0956797616634654.pdf</v>
      </c>
      <c r="Q998" s="52" t="str">
        <f t="array" ref="Q998"> if(iserror(MATCH(V998, 'File Links'!C:C, 0)), "N/A", HYPERLINK(INDEX('File Links'!B:B, MATCH(P998, 'File Links'!C:C, 0))))</f>
        <v>https://drive.google.com/file/d/16TKGD5uIhjmxtnz9GYQUl5frMKkhZ7vE/view?usp=drivesdk</v>
      </c>
      <c r="R998" s="606" t="s">
        <v>3653</v>
      </c>
      <c r="S998" s="159" t="s">
        <v>3654</v>
      </c>
      <c r="T998" s="68"/>
      <c r="U998" s="156">
        <v>1.0</v>
      </c>
      <c r="V998" s="198" t="str">
        <f t="shared" si="53"/>
        <v>10.1098--rsos.231240.pdf</v>
      </c>
      <c r="W998" s="159" t="s">
        <v>324</v>
      </c>
      <c r="X998" s="54" t="str">
        <f t="array" ref="X998"> if(iserror(MATCH(V998, 'File Links'!C:C, 0)), "N/A", HYPERLINK(INDEX('File Links'!B:B, MATCH(V998, 'File Links'!C:C, 0))))</f>
        <v>https://drive.google.com/file/d/17gaf2Zy_ljFfcAEDk5L8GBnTl5i7RGJE/view?usp=drivesdk</v>
      </c>
      <c r="Y998" s="68"/>
      <c r="Z998" s="159" t="s">
        <v>210</v>
      </c>
      <c r="AA998" s="68"/>
      <c r="AB998" s="68"/>
      <c r="AC998" s="68"/>
      <c r="AD998" s="159" t="s">
        <v>138</v>
      </c>
      <c r="AE998" s="159" t="s">
        <v>138</v>
      </c>
      <c r="AF998" s="156">
        <v>56.0</v>
      </c>
      <c r="AG998" s="159" t="s">
        <v>138</v>
      </c>
      <c r="AH998" s="68"/>
      <c r="AI998" s="159" t="s">
        <v>138</v>
      </c>
      <c r="AJ998" s="159" t="s">
        <v>138</v>
      </c>
      <c r="AK998" s="68"/>
      <c r="AL998" s="159" t="s">
        <v>186</v>
      </c>
      <c r="AM998" s="159" t="s">
        <v>1905</v>
      </c>
      <c r="AN998" s="151" t="s">
        <v>138</v>
      </c>
      <c r="AO998" s="156">
        <v>30.0</v>
      </c>
      <c r="AP998" s="159" t="s">
        <v>138</v>
      </c>
      <c r="AQ998" s="68"/>
      <c r="AR998" s="68"/>
      <c r="AS998" s="159" t="s">
        <v>138</v>
      </c>
      <c r="AT998" s="68"/>
      <c r="AU998" s="159" t="s">
        <v>186</v>
      </c>
      <c r="AV998" s="159" t="s">
        <v>1905</v>
      </c>
      <c r="AW998" s="68"/>
      <c r="AX998" s="159" t="s">
        <v>143</v>
      </c>
      <c r="AY998" s="61" t="str">
        <f>IFERROR(__xludf.DUMMYFUNCTION("vlookup(BB998,importrange(""https://docs.google.com/spreadsheets/d/1d2vevQ_7D_v35q4wCQ4RpQ_IPoTwEMB9Yp6ymwlPqew/edit?gid=984458430#gid=984458430"", ""'replication success'!A:K""), 11, FAlSE)"),"#N/A")</f>
        <v>#N/A</v>
      </c>
      <c r="AZ998" s="61" t="str">
        <f>IFERROR(__xludf.DUMMYFUNCTION("vlookup(BB998,importrange(""https://docs.google.com/spreadsheets/d/1d2vevQ_7D_v35q4wCQ4RpQ_IPoTwEMB9Yp6ymwlPqew/edit?gid=984458430#gid=984458430"", ""'replication success'!A:M""), 12, FAlSE)"),"#N/A")</f>
        <v>#N/A</v>
      </c>
      <c r="BA998" s="61" t="str">
        <f>IFERROR(__xludf.DUMMYFUNCTION("vlookup(BB998,importrange(""https://docs.google.com/spreadsheets/d/1d2vevQ_7D_v35q4wCQ4RpQ_IPoTwEMB9Yp6ymwlPqew/edit?gid=984458430#gid=984458430"", ""'replication success'!A:M""), 13, FAlSE)"),"#N/A")</f>
        <v>#N/A</v>
      </c>
      <c r="BB998" s="61" t="str">
        <f>IFERROR(__xludf.DUMMYFUNCTION("REGEXREPLACE(G998, ""_[a-z]{1,2}$"", """")"),"Boyce_etal202320_1")</f>
        <v>Boyce_etal202320_1</v>
      </c>
      <c r="BD998" s="68" t="s">
        <v>153</v>
      </c>
      <c r="BF998" s="71"/>
      <c r="BG998" s="71"/>
      <c r="BH998" s="71"/>
      <c r="BI998" s="71"/>
      <c r="BJ998" s="71"/>
      <c r="BK998" s="71"/>
      <c r="BL998" s="71"/>
      <c r="BM998" s="71"/>
      <c r="BN998" s="71"/>
      <c r="BO998" s="71"/>
      <c r="BP998" s="71"/>
      <c r="BQ998" s="71"/>
      <c r="BR998" s="71"/>
      <c r="BS998" s="71"/>
      <c r="BT998" s="71"/>
      <c r="BU998" s="71"/>
      <c r="BV998" s="71"/>
      <c r="BW998" s="71"/>
      <c r="BX998" s="71"/>
      <c r="BY998" s="71"/>
      <c r="BZ998" s="71"/>
      <c r="CA998" s="71"/>
      <c r="CB998" s="71"/>
      <c r="CC998" s="71"/>
      <c r="CD998" s="71"/>
      <c r="CE998" s="71"/>
      <c r="CF998" s="71"/>
      <c r="CG998" s="71"/>
      <c r="CH998" s="71"/>
      <c r="CI998" s="71"/>
      <c r="CJ998" s="71"/>
      <c r="CK998" s="71"/>
      <c r="CL998" s="71"/>
      <c r="CM998" s="71"/>
      <c r="CN998" s="71"/>
      <c r="CO998" s="71"/>
      <c r="CP998" s="71"/>
      <c r="CQ998" s="71"/>
      <c r="CR998" s="71"/>
      <c r="CS998" s="71"/>
      <c r="CT998" s="71"/>
      <c r="CU998" s="71"/>
      <c r="CV998" s="71"/>
      <c r="CW998" s="71"/>
      <c r="CX998" s="71"/>
      <c r="CY998" s="71"/>
      <c r="CZ998" s="71"/>
      <c r="DA998" s="71"/>
      <c r="DB998" s="71"/>
      <c r="DC998" s="71"/>
      <c r="DD998" s="71"/>
      <c r="DE998" s="71"/>
      <c r="DF998" s="71"/>
      <c r="DG998" s="71"/>
      <c r="DH998" s="71"/>
      <c r="DI998" s="71"/>
      <c r="DJ998" s="71"/>
      <c r="DK998" s="71"/>
      <c r="DL998" s="71"/>
    </row>
    <row r="999">
      <c r="A999" s="44">
        <v>999.0</v>
      </c>
      <c r="B999" s="68" t="s">
        <v>114</v>
      </c>
      <c r="C999" s="62" t="s">
        <v>115</v>
      </c>
      <c r="D999" s="62" t="s">
        <v>153</v>
      </c>
      <c r="F999" s="68" t="s">
        <v>5461</v>
      </c>
      <c r="G999" s="159" t="s">
        <v>5460</v>
      </c>
      <c r="H999" s="159" t="s">
        <v>153</v>
      </c>
      <c r="I999" s="152">
        <v>45687.0</v>
      </c>
      <c r="J999" s="152">
        <v>45692.0</v>
      </c>
      <c r="K999" s="68"/>
      <c r="L999" s="129" t="s">
        <v>5464</v>
      </c>
      <c r="M999" s="159" t="s">
        <v>5462</v>
      </c>
      <c r="N999" s="159" t="s">
        <v>5463</v>
      </c>
      <c r="O999" s="156">
        <v>1.0</v>
      </c>
      <c r="P999" s="159" t="str">
        <f t="shared" si="52"/>
        <v>10.1177--0956797616634654.pdf</v>
      </c>
      <c r="Q999" s="52" t="str">
        <f t="array" ref="Q999"> if(iserror(MATCH(V999, 'File Links'!C:C, 0)), "N/A", HYPERLINK(INDEX('File Links'!B:B, MATCH(P999, 'File Links'!C:C, 0))))</f>
        <v>https://drive.google.com/file/d/16TKGD5uIhjmxtnz9GYQUl5frMKkhZ7vE/view?usp=drivesdk</v>
      </c>
      <c r="R999" s="606" t="s">
        <v>3653</v>
      </c>
      <c r="S999" s="159" t="s">
        <v>3654</v>
      </c>
      <c r="T999" s="68"/>
      <c r="U999" s="156">
        <v>1.0</v>
      </c>
      <c r="V999" s="382" t="s">
        <v>3658</v>
      </c>
      <c r="W999" s="68"/>
      <c r="X999" s="54" t="str">
        <f t="array" ref="X999"> if(iserror(MATCH(V999, 'File Links'!C:C, 0)), "N/A", HYPERLINK(INDEX('File Links'!B:B, MATCH(V999, 'File Links'!C:C, 0))))</f>
        <v>https://drive.google.com/file/d/17gaf2Zy_ljFfcAEDk5L8GBnTl5i7RGJE/view?usp=drivesdk</v>
      </c>
      <c r="Y999" s="159" t="s">
        <v>5465</v>
      </c>
      <c r="Z999" s="68"/>
      <c r="AA999" s="68"/>
      <c r="AB999" s="68"/>
      <c r="AC999" s="68"/>
      <c r="AD999" s="68"/>
      <c r="AE999" s="68"/>
      <c r="AF999" s="68"/>
      <c r="AG999" s="68"/>
      <c r="AH999" s="68"/>
      <c r="AI999" s="68"/>
      <c r="AJ999" s="68"/>
      <c r="AK999" s="68"/>
      <c r="AL999" s="68"/>
      <c r="AM999" s="68"/>
      <c r="AN999" s="151" t="s">
        <v>138</v>
      </c>
      <c r="AO999" s="68"/>
      <c r="AP999" s="68"/>
      <c r="AQ999" s="68"/>
      <c r="AR999" s="68"/>
      <c r="AS999" s="68"/>
      <c r="AT999" s="68"/>
      <c r="AU999" s="68"/>
      <c r="AV999" s="68"/>
      <c r="AW999" s="68"/>
      <c r="AX999" s="68"/>
      <c r="AY999" s="61" t="str">
        <f>IFERROR(__xludf.DUMMYFUNCTION("vlookup(BB999,importrange(""https://docs.google.com/spreadsheets/d/1d2vevQ_7D_v35q4wCQ4RpQ_IPoTwEMB9Yp6ymwlPqew/edit?gid=984458430#gid=984458430"", ""'replication success'!A:K""), 11, FAlSE)"),"#N/A")</f>
        <v>#N/A</v>
      </c>
      <c r="AZ999" s="61" t="str">
        <f>IFERROR(__xludf.DUMMYFUNCTION("vlookup(BB999,importrange(""https://docs.google.com/spreadsheets/d/1d2vevQ_7D_v35q4wCQ4RpQ_IPoTwEMB9Yp6ymwlPqew/edit?gid=984458430#gid=984458430"", ""'replication success'!A:M""), 12, FAlSE)"),"#N/A")</f>
        <v>#N/A</v>
      </c>
      <c r="BA999" s="61" t="str">
        <f>IFERROR(__xludf.DUMMYFUNCTION("vlookup(BB999,importrange(""https://docs.google.com/spreadsheets/d/1d2vevQ_7D_v35q4wCQ4RpQ_IPoTwEMB9Yp6ymwlPqew/edit?gid=984458430#gid=984458430"", ""'replication success'!A:M""), 13, FAlSE)"),"#N/A")</f>
        <v>#N/A</v>
      </c>
      <c r="BB999" s="61" t="str">
        <f>IFERROR(__xludf.DUMMYFUNCTION("REGEXREPLACE(G999, ""_[a-z]{1,2}$"", """")"),"Boyce_etal202320")</f>
        <v>Boyce_etal202320</v>
      </c>
      <c r="BD999" s="68" t="s">
        <v>153</v>
      </c>
      <c r="BF999" s="71"/>
      <c r="BG999" s="71"/>
      <c r="BH999" s="71"/>
      <c r="BI999" s="71"/>
      <c r="BJ999" s="71"/>
      <c r="BK999" s="71"/>
      <c r="BL999" s="71"/>
      <c r="BM999" s="71"/>
      <c r="BN999" s="71"/>
      <c r="BO999" s="71"/>
      <c r="BP999" s="71"/>
      <c r="BQ999" s="71"/>
      <c r="BR999" s="71"/>
      <c r="BS999" s="71"/>
      <c r="BT999" s="71"/>
      <c r="BU999" s="71"/>
      <c r="BV999" s="71"/>
      <c r="BW999" s="71"/>
      <c r="BX999" s="71"/>
      <c r="BY999" s="71"/>
      <c r="BZ999" s="71"/>
      <c r="CA999" s="71"/>
      <c r="CB999" s="71"/>
      <c r="CC999" s="71"/>
      <c r="CD999" s="71"/>
      <c r="CE999" s="71"/>
      <c r="CF999" s="71"/>
      <c r="CG999" s="71"/>
      <c r="CH999" s="71"/>
      <c r="CI999" s="71"/>
      <c r="CJ999" s="71"/>
      <c r="CK999" s="71"/>
      <c r="CL999" s="71"/>
      <c r="CM999" s="71"/>
      <c r="CN999" s="71"/>
      <c r="CO999" s="71"/>
      <c r="CP999" s="71"/>
      <c r="CQ999" s="71"/>
      <c r="CR999" s="71"/>
      <c r="CS999" s="71"/>
      <c r="CT999" s="71"/>
      <c r="CU999" s="71"/>
      <c r="CV999" s="71"/>
      <c r="CW999" s="71"/>
      <c r="CX999" s="71"/>
      <c r="CY999" s="71"/>
      <c r="CZ999" s="71"/>
      <c r="DA999" s="71"/>
      <c r="DB999" s="71"/>
      <c r="DC999" s="71"/>
      <c r="DD999" s="71"/>
      <c r="DE999" s="71"/>
      <c r="DF999" s="71"/>
      <c r="DG999" s="71"/>
      <c r="DH999" s="71"/>
      <c r="DI999" s="71"/>
      <c r="DJ999" s="71"/>
      <c r="DK999" s="71"/>
      <c r="DL999" s="71"/>
    </row>
    <row r="1000">
      <c r="A1000" s="44">
        <v>1000.0</v>
      </c>
      <c r="B1000" s="68" t="s">
        <v>114</v>
      </c>
      <c r="C1000" s="62" t="s">
        <v>115</v>
      </c>
      <c r="D1000" s="62" t="s">
        <v>248</v>
      </c>
      <c r="F1000" s="159" t="s">
        <v>5466</v>
      </c>
      <c r="G1000" s="159" t="s">
        <v>5467</v>
      </c>
      <c r="H1000" s="159" t="s">
        <v>249</v>
      </c>
      <c r="I1000" s="152">
        <v>45664.0</v>
      </c>
      <c r="J1000" s="152">
        <v>45692.0</v>
      </c>
      <c r="K1000" s="437" t="s">
        <v>5468</v>
      </c>
      <c r="L1000" s="68" t="s">
        <v>3690</v>
      </c>
      <c r="M1000" s="159" t="s">
        <v>5469</v>
      </c>
      <c r="N1000" s="159" t="s">
        <v>5470</v>
      </c>
      <c r="O1000" s="68"/>
      <c r="P1000" s="159" t="str">
        <f t="shared" si="52"/>
        <v>10.1080--23273798.2018.1431397.pdf</v>
      </c>
      <c r="Q1000" s="52" t="str">
        <f t="array" ref="Q1000"> if(iserror(MATCH(V1000, 'File Links'!C:C, 0)), "N/A", HYPERLINK(INDEX('File Links'!B:B, MATCH(P1000, 'File Links'!C:C, 0))))</f>
        <v>https://drive.google.com/file/d/1quS4MAYvEPtehwNPw-pIZVscM1NFoUOj/view?usp=drivesdk</v>
      </c>
      <c r="R1000" s="606" t="s">
        <v>3653</v>
      </c>
      <c r="S1000" s="159" t="s">
        <v>3654</v>
      </c>
      <c r="T1000" s="441" t="s">
        <v>5471</v>
      </c>
      <c r="U1000" s="156">
        <v>1.0</v>
      </c>
      <c r="V1000" s="198" t="str">
        <f t="shared" ref="V1000:V1008" si="54"> hyperlink(vlookup(lower(S1000),#REF!, 2, FALSE), SUBSTITUTE(lower(S1000), "/", "--") &amp;  ".pdf")</f>
        <v>10.1098--rsos.231240.pdf</v>
      </c>
      <c r="W1000" s="159" t="s">
        <v>3665</v>
      </c>
      <c r="X1000" s="54" t="str">
        <f t="array" ref="X1000"> if(iserror(MATCH(V1000, 'File Links'!C:C, 0)), "N/A", HYPERLINK(INDEX('File Links'!B:B, MATCH(V1000, 'File Links'!C:C, 0))))</f>
        <v>https://drive.google.com/file/d/17gaf2Zy_ljFfcAEDk5L8GBnTl5i7RGJE/view?usp=drivesdk</v>
      </c>
      <c r="Y1000" s="68"/>
      <c r="Z1000" s="159" t="s">
        <v>148</v>
      </c>
      <c r="AA1000" s="159" t="s">
        <v>5472</v>
      </c>
      <c r="AB1000" s="68"/>
      <c r="AC1000" s="159" t="s">
        <v>5473</v>
      </c>
      <c r="AD1000" s="159" t="s">
        <v>5474</v>
      </c>
      <c r="AE1000" s="1059">
        <v>6.0</v>
      </c>
      <c r="AF1000" s="156">
        <v>35.0</v>
      </c>
      <c r="AG1000" s="156">
        <v>0.113056437869578</v>
      </c>
      <c r="AH1000" s="159" t="s">
        <v>173</v>
      </c>
      <c r="AI1000" s="1060" t="s">
        <v>140</v>
      </c>
      <c r="AJ1000" s="156">
        <v>0.001</v>
      </c>
      <c r="AK1000" s="159" t="s">
        <v>135</v>
      </c>
      <c r="AL1000" s="159" t="s">
        <v>186</v>
      </c>
      <c r="AM1000" s="159" t="s">
        <v>141</v>
      </c>
      <c r="AN1000" s="151" t="s">
        <v>138</v>
      </c>
      <c r="AO1000" s="156">
        <v>40.0</v>
      </c>
      <c r="AP1000" s="156">
        <v>1.74017489282979</v>
      </c>
      <c r="AQ1000" s="159" t="s">
        <v>173</v>
      </c>
      <c r="AR1000" s="68"/>
      <c r="AS1000" s="1061">
        <v>2.3039353399823E-13</v>
      </c>
      <c r="AT1000" s="159" t="s">
        <v>172</v>
      </c>
      <c r="AU1000" s="159" t="s">
        <v>186</v>
      </c>
      <c r="AV1000" s="159" t="s">
        <v>141</v>
      </c>
      <c r="AW1000" s="68"/>
      <c r="AX1000" s="159" t="s">
        <v>143</v>
      </c>
      <c r="AY1000" s="61" t="str">
        <f>IFERROR(__xludf.DUMMYFUNCTION("vlookup(BB1000,importrange(""https://docs.google.com/spreadsheets/d/1d2vevQ_7D_v35q4wCQ4RpQ_IPoTwEMB9Yp6ymwlPqew/edit?gid=984458430#gid=984458430"", ""'replication success'!A:K""), 11, FAlSE)"),"#N/A")</f>
        <v>#N/A</v>
      </c>
      <c r="AZ1000" s="61" t="str">
        <f>IFERROR(__xludf.DUMMYFUNCTION("vlookup(BB1000,importrange(""https://docs.google.com/spreadsheets/d/1d2vevQ_7D_v35q4wCQ4RpQ_IPoTwEMB9Yp6ymwlPqew/edit?gid=984458430#gid=984458430"", ""'replication success'!A:M""), 12, FAlSE)"),"#N/A")</f>
        <v>#N/A</v>
      </c>
      <c r="BA1000" s="61" t="str">
        <f>IFERROR(__xludf.DUMMYFUNCTION("vlookup(BB1000,importrange(""https://docs.google.com/spreadsheets/d/1d2vevQ_7D_v35q4wCQ4RpQ_IPoTwEMB9Yp6ymwlPqew/edit?gid=984458430#gid=984458430"", ""'replication success'!A:M""), 13, FAlSE)"),"#N/A")</f>
        <v>#N/A</v>
      </c>
      <c r="BB1000" s="61" t="str">
        <f>IFERROR(__xludf.DUMMYFUNCTION("REGEXREPLACE(G1000, ""_[a-z]{1,2}$"", """")"),"Boyce_etal202321_1")</f>
        <v>Boyce_etal202321_1</v>
      </c>
      <c r="BD1000" s="68" t="s">
        <v>153</v>
      </c>
      <c r="BF1000" s="71"/>
      <c r="BG1000" s="71"/>
      <c r="BH1000" s="71"/>
      <c r="BI1000" s="71"/>
      <c r="BJ1000" s="71"/>
      <c r="BK1000" s="71"/>
      <c r="BL1000" s="71"/>
      <c r="BM1000" s="71"/>
      <c r="BN1000" s="71"/>
      <c r="BO1000" s="71"/>
      <c r="BP1000" s="71"/>
      <c r="BQ1000" s="71"/>
      <c r="BR1000" s="71"/>
      <c r="BS1000" s="71"/>
      <c r="BT1000" s="71"/>
      <c r="BU1000" s="71"/>
      <c r="BV1000" s="71"/>
      <c r="BW1000" s="71"/>
      <c r="BX1000" s="71"/>
      <c r="BY1000" s="71"/>
      <c r="BZ1000" s="71"/>
      <c r="CA1000" s="71"/>
      <c r="CB1000" s="71"/>
      <c r="CC1000" s="71"/>
      <c r="CD1000" s="71"/>
      <c r="CE1000" s="71"/>
      <c r="CF1000" s="71"/>
      <c r="CG1000" s="71"/>
      <c r="CH1000" s="71"/>
      <c r="CI1000" s="71"/>
      <c r="CJ1000" s="71"/>
      <c r="CK1000" s="71"/>
      <c r="CL1000" s="71"/>
      <c r="CM1000" s="71"/>
      <c r="CN1000" s="71"/>
      <c r="CO1000" s="71"/>
      <c r="CP1000" s="71"/>
      <c r="CQ1000" s="71"/>
      <c r="CR1000" s="71"/>
      <c r="CS1000" s="71"/>
      <c r="CT1000" s="71"/>
      <c r="CU1000" s="71"/>
      <c r="CV1000" s="71"/>
      <c r="CW1000" s="71"/>
      <c r="CX1000" s="71"/>
      <c r="CY1000" s="71"/>
      <c r="CZ1000" s="71"/>
      <c r="DA1000" s="71"/>
      <c r="DB1000" s="71"/>
      <c r="DC1000" s="71"/>
      <c r="DD1000" s="71"/>
      <c r="DE1000" s="71"/>
      <c r="DF1000" s="71"/>
      <c r="DG1000" s="71"/>
      <c r="DH1000" s="71"/>
      <c r="DI1000" s="71"/>
      <c r="DJ1000" s="71"/>
      <c r="DK1000" s="71"/>
      <c r="DL1000" s="71"/>
    </row>
    <row r="1001">
      <c r="A1001" s="44">
        <v>1001.0</v>
      </c>
      <c r="B1001" s="129" t="s">
        <v>152</v>
      </c>
      <c r="C1001" s="62" t="s">
        <v>115</v>
      </c>
      <c r="D1001" s="62" t="s">
        <v>153</v>
      </c>
      <c r="F1001" s="68" t="s">
        <v>5467</v>
      </c>
      <c r="G1001" s="159" t="s">
        <v>5475</v>
      </c>
      <c r="H1001" s="159" t="s">
        <v>153</v>
      </c>
      <c r="I1001" s="152">
        <v>45687.0</v>
      </c>
      <c r="J1001" s="152">
        <v>45692.0</v>
      </c>
      <c r="K1001" s="68"/>
      <c r="L1001" s="68"/>
      <c r="M1001" s="159" t="s">
        <v>5469</v>
      </c>
      <c r="N1001" s="159" t="s">
        <v>5470</v>
      </c>
      <c r="O1001" s="156">
        <v>1.0</v>
      </c>
      <c r="P1001" s="159" t="str">
        <f t="shared" si="52"/>
        <v>10.1080--23273798.2018.1431397.pdf</v>
      </c>
      <c r="Q1001" s="52" t="str">
        <f t="array" ref="Q1001"> if(iserror(MATCH(V1001, 'File Links'!C:C, 0)), "N/A", HYPERLINK(INDEX('File Links'!B:B, MATCH(P1001, 'File Links'!C:C, 0))))</f>
        <v>https://drive.google.com/file/d/1quS4MAYvEPtehwNPw-pIZVscM1NFoUOj/view?usp=drivesdk</v>
      </c>
      <c r="R1001" s="606" t="s">
        <v>3653</v>
      </c>
      <c r="S1001" s="159" t="s">
        <v>3654</v>
      </c>
      <c r="T1001" s="441" t="s">
        <v>5471</v>
      </c>
      <c r="U1001" s="156">
        <v>1.0</v>
      </c>
      <c r="V1001" s="198" t="str">
        <f t="shared" si="54"/>
        <v>10.1098--rsos.231240.pdf</v>
      </c>
      <c r="W1001" s="159" t="s">
        <v>3671</v>
      </c>
      <c r="X1001" s="54" t="str">
        <f t="array" ref="X1001"> if(iserror(MATCH(V1001, 'File Links'!C:C, 0)), "N/A", HYPERLINK(INDEX('File Links'!B:B, MATCH(V1001, 'File Links'!C:C, 0))))</f>
        <v>https://drive.google.com/file/d/17gaf2Zy_ljFfcAEDk5L8GBnTl5i7RGJE/view?usp=drivesdk</v>
      </c>
      <c r="Y1001" s="68"/>
      <c r="Z1001" s="159" t="s">
        <v>148</v>
      </c>
      <c r="AA1001" s="159" t="s">
        <v>5476</v>
      </c>
      <c r="AB1001" s="159" t="s">
        <v>5477</v>
      </c>
      <c r="AC1001" s="159" t="s">
        <v>5478</v>
      </c>
      <c r="AD1001" s="159" t="s">
        <v>5479</v>
      </c>
      <c r="AE1001" s="156">
        <v>7.0</v>
      </c>
      <c r="AF1001" s="156">
        <v>35.0</v>
      </c>
      <c r="AG1001" s="156" t="s">
        <v>5480</v>
      </c>
      <c r="AH1001" s="156" t="s">
        <v>134</v>
      </c>
      <c r="AI1001" s="156" t="s">
        <v>132</v>
      </c>
      <c r="AJ1001" s="156">
        <v>0.001</v>
      </c>
      <c r="AK1001" s="159" t="s">
        <v>135</v>
      </c>
      <c r="AL1001" s="159" t="s">
        <v>186</v>
      </c>
      <c r="AM1001" s="159" t="s">
        <v>141</v>
      </c>
      <c r="AN1001" s="151" t="s">
        <v>138</v>
      </c>
      <c r="AO1001" s="156">
        <v>40.0</v>
      </c>
      <c r="AP1001" s="156" t="s">
        <v>5481</v>
      </c>
      <c r="AQ1001" s="156" t="s">
        <v>134</v>
      </c>
      <c r="AR1001" s="156" t="s">
        <v>613</v>
      </c>
      <c r="AS1001" s="156">
        <v>0.323</v>
      </c>
      <c r="AT1001" s="159" t="s">
        <v>172</v>
      </c>
      <c r="AU1001" s="159" t="s">
        <v>186</v>
      </c>
      <c r="AV1001" s="159" t="s">
        <v>141</v>
      </c>
      <c r="AW1001" s="435" t="s">
        <v>5482</v>
      </c>
      <c r="AX1001" s="68" t="s">
        <v>151</v>
      </c>
      <c r="AY1001" s="61" t="str">
        <f>IFERROR(__xludf.DUMMYFUNCTION("vlookup(BB1001,importrange(""https://docs.google.com/spreadsheets/d/1d2vevQ_7D_v35q4wCQ4RpQ_IPoTwEMB9Yp6ymwlPqew/edit?gid=984458430#gid=984458430"", ""'replication success'!A:K""), 11, FAlSE)"),"#N/A")</f>
        <v>#N/A</v>
      </c>
      <c r="AZ1001" s="61" t="str">
        <f>IFERROR(__xludf.DUMMYFUNCTION("vlookup(BB1001,importrange(""https://docs.google.com/spreadsheets/d/1d2vevQ_7D_v35q4wCQ4RpQ_IPoTwEMB9Yp6ymwlPqew/edit?gid=984458430#gid=984458430"", ""'replication success'!A:M""), 12, FAlSE)"),"#N/A")</f>
        <v>#N/A</v>
      </c>
      <c r="BA1001" s="61" t="str">
        <f>IFERROR(__xludf.DUMMYFUNCTION("vlookup(BB1001,importrange(""https://docs.google.com/spreadsheets/d/1d2vevQ_7D_v35q4wCQ4RpQ_IPoTwEMB9Yp6ymwlPqew/edit?gid=984458430#gid=984458430"", ""'replication success'!A:M""), 13, FAlSE)"),"#N/A")</f>
        <v>#N/A</v>
      </c>
      <c r="BB1001" s="61" t="str">
        <f>IFERROR(__xludf.DUMMYFUNCTION("REGEXREPLACE(G1001, ""_[a-z]{1,2}$"", """")"),"Boyce_etal202321_1")</f>
        <v>Boyce_etal202321_1</v>
      </c>
      <c r="BD1001" s="68" t="s">
        <v>153</v>
      </c>
      <c r="BF1001" s="71"/>
      <c r="BG1001" s="71"/>
      <c r="BH1001" s="71"/>
      <c r="BI1001" s="71"/>
      <c r="BJ1001" s="71"/>
      <c r="BK1001" s="71"/>
      <c r="BL1001" s="71"/>
      <c r="BM1001" s="71"/>
      <c r="BN1001" s="71"/>
      <c r="BO1001" s="71"/>
      <c r="BP1001" s="71"/>
      <c r="BQ1001" s="71"/>
      <c r="BR1001" s="71"/>
      <c r="BS1001" s="71"/>
      <c r="BT1001" s="71"/>
      <c r="BU1001" s="71"/>
      <c r="BV1001" s="71"/>
      <c r="BW1001" s="71"/>
      <c r="BX1001" s="71"/>
      <c r="BY1001" s="71"/>
      <c r="BZ1001" s="71"/>
      <c r="CA1001" s="71"/>
      <c r="CB1001" s="71"/>
      <c r="CC1001" s="71"/>
      <c r="CD1001" s="71"/>
      <c r="CE1001" s="71"/>
      <c r="CF1001" s="71"/>
      <c r="CG1001" s="71"/>
      <c r="CH1001" s="71"/>
      <c r="CI1001" s="71"/>
      <c r="CJ1001" s="71"/>
      <c r="CK1001" s="71"/>
      <c r="CL1001" s="71"/>
      <c r="CM1001" s="71"/>
      <c r="CN1001" s="71"/>
      <c r="CO1001" s="71"/>
      <c r="CP1001" s="71"/>
      <c r="CQ1001" s="71"/>
      <c r="CR1001" s="71"/>
      <c r="CS1001" s="71"/>
      <c r="CT1001" s="71"/>
      <c r="CU1001" s="71"/>
      <c r="CV1001" s="71"/>
      <c r="CW1001" s="71"/>
      <c r="CX1001" s="71"/>
      <c r="CY1001" s="71"/>
      <c r="CZ1001" s="71"/>
      <c r="DA1001" s="71"/>
      <c r="DB1001" s="71"/>
      <c r="DC1001" s="71"/>
      <c r="DD1001" s="71"/>
      <c r="DE1001" s="71"/>
      <c r="DF1001" s="71"/>
      <c r="DG1001" s="71"/>
      <c r="DH1001" s="71"/>
      <c r="DI1001" s="71"/>
      <c r="DJ1001" s="71"/>
      <c r="DK1001" s="71"/>
      <c r="DL1001" s="71"/>
    </row>
    <row r="1002">
      <c r="A1002" s="44">
        <v>1002.0</v>
      </c>
      <c r="B1002" s="129" t="s">
        <v>152</v>
      </c>
      <c r="C1002" s="62" t="s">
        <v>115</v>
      </c>
      <c r="D1002" s="62" t="s">
        <v>153</v>
      </c>
      <c r="F1002" s="68" t="s">
        <v>5467</v>
      </c>
      <c r="G1002" s="159" t="s">
        <v>5483</v>
      </c>
      <c r="H1002" s="159" t="s">
        <v>153</v>
      </c>
      <c r="I1002" s="152">
        <v>45687.0</v>
      </c>
      <c r="J1002" s="152">
        <v>45692.0</v>
      </c>
      <c r="K1002" s="68"/>
      <c r="L1002" s="68"/>
      <c r="M1002" s="159" t="s">
        <v>5469</v>
      </c>
      <c r="N1002" s="159" t="s">
        <v>5470</v>
      </c>
      <c r="O1002" s="156">
        <v>1.0</v>
      </c>
      <c r="P1002" s="159" t="str">
        <f t="shared" si="52"/>
        <v>10.1080--23273798.2018.1431397.pdf</v>
      </c>
      <c r="Q1002" s="52" t="str">
        <f t="array" ref="Q1002"> if(iserror(MATCH(V1002, 'File Links'!C:C, 0)), "N/A", HYPERLINK(INDEX('File Links'!B:B, MATCH(P1002, 'File Links'!C:C, 0))))</f>
        <v>https://drive.google.com/file/d/1quS4MAYvEPtehwNPw-pIZVscM1NFoUOj/view?usp=drivesdk</v>
      </c>
      <c r="R1002" s="606" t="s">
        <v>3653</v>
      </c>
      <c r="S1002" s="159" t="s">
        <v>3654</v>
      </c>
      <c r="T1002" s="441" t="s">
        <v>5471</v>
      </c>
      <c r="U1002" s="156">
        <v>1.0</v>
      </c>
      <c r="V1002" s="198" t="str">
        <f t="shared" si="54"/>
        <v>10.1098--rsos.231240.pdf</v>
      </c>
      <c r="W1002" s="159" t="s">
        <v>3671</v>
      </c>
      <c r="X1002" s="54" t="str">
        <f t="array" ref="X1002"> if(iserror(MATCH(V1002, 'File Links'!C:C, 0)), "N/A", HYPERLINK(INDEX('File Links'!B:B, MATCH(V1002, 'File Links'!C:C, 0))))</f>
        <v>https://drive.google.com/file/d/17gaf2Zy_ljFfcAEDk5L8GBnTl5i7RGJE/view?usp=drivesdk</v>
      </c>
      <c r="Y1002" s="68"/>
      <c r="Z1002" s="159" t="s">
        <v>148</v>
      </c>
      <c r="AA1002" s="159" t="s">
        <v>5476</v>
      </c>
      <c r="AB1002" s="159" t="s">
        <v>5477</v>
      </c>
      <c r="AC1002" s="159" t="s">
        <v>5484</v>
      </c>
      <c r="AD1002" s="159" t="s">
        <v>5485</v>
      </c>
      <c r="AE1002" s="156">
        <v>7.0</v>
      </c>
      <c r="AF1002" s="156">
        <v>35.0</v>
      </c>
      <c r="AG1002" s="336">
        <v>0.01</v>
      </c>
      <c r="AH1002" s="156" t="s">
        <v>987</v>
      </c>
      <c r="AI1002" s="336" t="s">
        <v>132</v>
      </c>
      <c r="AJ1002" s="336">
        <v>0.019</v>
      </c>
      <c r="AK1002" s="159" t="s">
        <v>172</v>
      </c>
      <c r="AL1002" s="159" t="s">
        <v>186</v>
      </c>
      <c r="AM1002" s="159" t="s">
        <v>141</v>
      </c>
      <c r="AN1002" s="151" t="s">
        <v>138</v>
      </c>
      <c r="AO1002" s="156">
        <v>40.0</v>
      </c>
      <c r="AP1002" s="336">
        <v>-0.02</v>
      </c>
      <c r="AQ1002" s="156" t="s">
        <v>987</v>
      </c>
      <c r="AR1002" s="336" t="s">
        <v>628</v>
      </c>
      <c r="AS1002" s="156">
        <v>0.533</v>
      </c>
      <c r="AT1002" s="159" t="s">
        <v>172</v>
      </c>
      <c r="AU1002" s="159" t="s">
        <v>186</v>
      </c>
      <c r="AV1002" s="159" t="s">
        <v>141</v>
      </c>
      <c r="AW1002" s="435" t="s">
        <v>5482</v>
      </c>
      <c r="AX1002" s="68" t="s">
        <v>151</v>
      </c>
      <c r="AY1002" s="61" t="str">
        <f>IFERROR(__xludf.DUMMYFUNCTION("vlookup(BB1002,importrange(""https://docs.google.com/spreadsheets/d/1d2vevQ_7D_v35q4wCQ4RpQ_IPoTwEMB9Yp6ymwlPqew/edit?gid=984458430#gid=984458430"", ""'replication success'!A:K""), 11, FAlSE)"),"#N/A")</f>
        <v>#N/A</v>
      </c>
      <c r="AZ1002" s="61" t="str">
        <f>IFERROR(__xludf.DUMMYFUNCTION("vlookup(BB1002,importrange(""https://docs.google.com/spreadsheets/d/1d2vevQ_7D_v35q4wCQ4RpQ_IPoTwEMB9Yp6ymwlPqew/edit?gid=984458430#gid=984458430"", ""'replication success'!A:M""), 12, FAlSE)"),"#N/A")</f>
        <v>#N/A</v>
      </c>
      <c r="BA1002" s="61" t="str">
        <f>IFERROR(__xludf.DUMMYFUNCTION("vlookup(BB1002,importrange(""https://docs.google.com/spreadsheets/d/1d2vevQ_7D_v35q4wCQ4RpQ_IPoTwEMB9Yp6ymwlPqew/edit?gid=984458430#gid=984458430"", ""'replication success'!A:M""), 13, FAlSE)"),"#N/A")</f>
        <v>#N/A</v>
      </c>
      <c r="BB1002" s="61" t="str">
        <f>IFERROR(__xludf.DUMMYFUNCTION("REGEXREPLACE(G1002, ""_[a-z]{1,2}$"", """")"),"Boyce_etal202321_1")</f>
        <v>Boyce_etal202321_1</v>
      </c>
      <c r="BD1002" s="68" t="s">
        <v>153</v>
      </c>
      <c r="BF1002" s="71"/>
      <c r="BG1002" s="71"/>
      <c r="BH1002" s="71"/>
      <c r="BI1002" s="71"/>
      <c r="BJ1002" s="71"/>
      <c r="BK1002" s="71"/>
      <c r="BL1002" s="71"/>
      <c r="BM1002" s="71"/>
      <c r="BN1002" s="71"/>
      <c r="BO1002" s="71"/>
      <c r="BP1002" s="71"/>
      <c r="BQ1002" s="71"/>
      <c r="BR1002" s="71"/>
      <c r="BS1002" s="71"/>
      <c r="BT1002" s="71"/>
      <c r="BU1002" s="71"/>
      <c r="BV1002" s="71"/>
      <c r="BW1002" s="71"/>
      <c r="BX1002" s="71"/>
      <c r="BY1002" s="71"/>
      <c r="BZ1002" s="71"/>
      <c r="CA1002" s="71"/>
      <c r="CB1002" s="71"/>
      <c r="CC1002" s="71"/>
      <c r="CD1002" s="71"/>
      <c r="CE1002" s="71"/>
      <c r="CF1002" s="71"/>
      <c r="CG1002" s="71"/>
      <c r="CH1002" s="71"/>
      <c r="CI1002" s="71"/>
      <c r="CJ1002" s="71"/>
      <c r="CK1002" s="71"/>
      <c r="CL1002" s="71"/>
      <c r="CM1002" s="71"/>
      <c r="CN1002" s="71"/>
      <c r="CO1002" s="71"/>
      <c r="CP1002" s="71"/>
      <c r="CQ1002" s="71"/>
      <c r="CR1002" s="71"/>
      <c r="CS1002" s="71"/>
      <c r="CT1002" s="71"/>
      <c r="CU1002" s="71"/>
      <c r="CV1002" s="71"/>
      <c r="CW1002" s="71"/>
      <c r="CX1002" s="71"/>
      <c r="CY1002" s="71"/>
      <c r="CZ1002" s="71"/>
      <c r="DA1002" s="71"/>
      <c r="DB1002" s="71"/>
      <c r="DC1002" s="71"/>
      <c r="DD1002" s="71"/>
      <c r="DE1002" s="71"/>
      <c r="DF1002" s="71"/>
      <c r="DG1002" s="71"/>
      <c r="DH1002" s="71"/>
      <c r="DI1002" s="71"/>
      <c r="DJ1002" s="71"/>
      <c r="DK1002" s="71"/>
      <c r="DL1002" s="71"/>
    </row>
    <row r="1003">
      <c r="A1003" s="44">
        <v>1003.0</v>
      </c>
      <c r="B1003" s="129" t="s">
        <v>152</v>
      </c>
      <c r="C1003" s="62" t="s">
        <v>115</v>
      </c>
      <c r="D1003" s="62" t="s">
        <v>153</v>
      </c>
      <c r="F1003" s="68" t="s">
        <v>5467</v>
      </c>
      <c r="G1003" s="159" t="s">
        <v>5486</v>
      </c>
      <c r="H1003" s="159" t="s">
        <v>153</v>
      </c>
      <c r="I1003" s="152">
        <v>45687.0</v>
      </c>
      <c r="J1003" s="152">
        <v>45692.0</v>
      </c>
      <c r="K1003" s="68"/>
      <c r="L1003" s="68"/>
      <c r="M1003" s="159" t="s">
        <v>5469</v>
      </c>
      <c r="N1003" s="159" t="s">
        <v>5470</v>
      </c>
      <c r="O1003" s="156">
        <v>1.0</v>
      </c>
      <c r="P1003" s="159" t="str">
        <f t="shared" si="52"/>
        <v>10.1080--23273798.2018.1431397.pdf</v>
      </c>
      <c r="Q1003" s="52" t="str">
        <f t="array" ref="Q1003"> if(iserror(MATCH(V1003, 'File Links'!C:C, 0)), "N/A", HYPERLINK(INDEX('File Links'!B:B, MATCH(P1003, 'File Links'!C:C, 0))))</f>
        <v>https://drive.google.com/file/d/1quS4MAYvEPtehwNPw-pIZVscM1NFoUOj/view?usp=drivesdk</v>
      </c>
      <c r="R1003" s="606" t="s">
        <v>3653</v>
      </c>
      <c r="S1003" s="159" t="s">
        <v>3654</v>
      </c>
      <c r="T1003" s="441" t="s">
        <v>5471</v>
      </c>
      <c r="U1003" s="156">
        <v>1.0</v>
      </c>
      <c r="V1003" s="198" t="str">
        <f t="shared" si="54"/>
        <v>10.1098--rsos.231240.pdf</v>
      </c>
      <c r="W1003" s="159" t="s">
        <v>3671</v>
      </c>
      <c r="X1003" s="54" t="str">
        <f t="array" ref="X1003"> if(iserror(MATCH(V1003, 'File Links'!C:C, 0)), "N/A", HYPERLINK(INDEX('File Links'!B:B, MATCH(V1003, 'File Links'!C:C, 0))))</f>
        <v>https://drive.google.com/file/d/17gaf2Zy_ljFfcAEDk5L8GBnTl5i7RGJE/view?usp=drivesdk</v>
      </c>
      <c r="Y1003" s="68"/>
      <c r="Z1003" s="159" t="s">
        <v>148</v>
      </c>
      <c r="AA1003" s="159" t="s">
        <v>5476</v>
      </c>
      <c r="AB1003" s="159" t="s">
        <v>5477</v>
      </c>
      <c r="AC1003" s="159" t="s">
        <v>5487</v>
      </c>
      <c r="AD1003" s="159" t="s">
        <v>5488</v>
      </c>
      <c r="AE1003" s="156">
        <v>7.0</v>
      </c>
      <c r="AF1003" s="156">
        <v>35.0</v>
      </c>
      <c r="AG1003" s="336">
        <v>-0.01</v>
      </c>
      <c r="AH1003" s="156" t="s">
        <v>987</v>
      </c>
      <c r="AI1003" s="336" t="s">
        <v>132</v>
      </c>
      <c r="AJ1003" s="336">
        <v>0.547</v>
      </c>
      <c r="AK1003" s="159" t="s">
        <v>172</v>
      </c>
      <c r="AL1003" s="159" t="s">
        <v>186</v>
      </c>
      <c r="AM1003" s="159" t="s">
        <v>141</v>
      </c>
      <c r="AN1003" s="151" t="s">
        <v>138</v>
      </c>
      <c r="AO1003" s="156">
        <v>40.0</v>
      </c>
      <c r="AP1003" s="336">
        <v>0.04</v>
      </c>
      <c r="AQ1003" s="156" t="s">
        <v>987</v>
      </c>
      <c r="AR1003" s="336" t="s">
        <v>628</v>
      </c>
      <c r="AS1003" s="156">
        <v>0.162</v>
      </c>
      <c r="AT1003" s="159" t="s">
        <v>172</v>
      </c>
      <c r="AU1003" s="159" t="s">
        <v>186</v>
      </c>
      <c r="AV1003" s="159" t="s">
        <v>141</v>
      </c>
      <c r="AW1003" s="435" t="s">
        <v>5482</v>
      </c>
      <c r="AX1003" s="68" t="s">
        <v>151</v>
      </c>
      <c r="AY1003" s="61" t="str">
        <f>IFERROR(__xludf.DUMMYFUNCTION("vlookup(BB1003,importrange(""https://docs.google.com/spreadsheets/d/1d2vevQ_7D_v35q4wCQ4RpQ_IPoTwEMB9Yp6ymwlPqew/edit?gid=984458430#gid=984458430"", ""'replication success'!A:K""), 11, FAlSE)"),"#N/A")</f>
        <v>#N/A</v>
      </c>
      <c r="AZ1003" s="61" t="str">
        <f>IFERROR(__xludf.DUMMYFUNCTION("vlookup(BB1003,importrange(""https://docs.google.com/spreadsheets/d/1d2vevQ_7D_v35q4wCQ4RpQ_IPoTwEMB9Yp6ymwlPqew/edit?gid=984458430#gid=984458430"", ""'replication success'!A:M""), 12, FAlSE)"),"#N/A")</f>
        <v>#N/A</v>
      </c>
      <c r="BA1003" s="61" t="str">
        <f>IFERROR(__xludf.DUMMYFUNCTION("vlookup(BB1003,importrange(""https://docs.google.com/spreadsheets/d/1d2vevQ_7D_v35q4wCQ4RpQ_IPoTwEMB9Yp6ymwlPqew/edit?gid=984458430#gid=984458430"", ""'replication success'!A:M""), 13, FAlSE)"),"#N/A")</f>
        <v>#N/A</v>
      </c>
      <c r="BB1003" s="61" t="str">
        <f>IFERROR(__xludf.DUMMYFUNCTION("REGEXREPLACE(G1003, ""_[a-z]{1,2}$"", """")"),"Boyce_etal202321_1")</f>
        <v>Boyce_etal202321_1</v>
      </c>
      <c r="BD1003" s="68" t="s">
        <v>153</v>
      </c>
      <c r="BF1003" s="71"/>
      <c r="BG1003" s="71"/>
      <c r="BH1003" s="71"/>
      <c r="BI1003" s="71"/>
      <c r="BJ1003" s="71"/>
      <c r="BK1003" s="71"/>
      <c r="BL1003" s="71"/>
      <c r="BM1003" s="71"/>
      <c r="BN1003" s="71"/>
      <c r="BO1003" s="71"/>
      <c r="BP1003" s="71"/>
      <c r="BQ1003" s="71"/>
      <c r="BR1003" s="71"/>
      <c r="BS1003" s="71"/>
      <c r="BT1003" s="71"/>
      <c r="BU1003" s="71"/>
      <c r="BV1003" s="71"/>
      <c r="BW1003" s="71"/>
      <c r="BX1003" s="71"/>
      <c r="BY1003" s="71"/>
      <c r="BZ1003" s="71"/>
      <c r="CA1003" s="71"/>
      <c r="CB1003" s="71"/>
      <c r="CC1003" s="71"/>
      <c r="CD1003" s="71"/>
      <c r="CE1003" s="71"/>
      <c r="CF1003" s="71"/>
      <c r="CG1003" s="71"/>
      <c r="CH1003" s="71"/>
      <c r="CI1003" s="71"/>
      <c r="CJ1003" s="71"/>
      <c r="CK1003" s="71"/>
      <c r="CL1003" s="71"/>
      <c r="CM1003" s="71"/>
      <c r="CN1003" s="71"/>
      <c r="CO1003" s="71"/>
      <c r="CP1003" s="71"/>
      <c r="CQ1003" s="71"/>
      <c r="CR1003" s="71"/>
      <c r="CS1003" s="71"/>
      <c r="CT1003" s="71"/>
      <c r="CU1003" s="71"/>
      <c r="CV1003" s="71"/>
      <c r="CW1003" s="71"/>
      <c r="CX1003" s="71"/>
      <c r="CY1003" s="71"/>
      <c r="CZ1003" s="71"/>
      <c r="DA1003" s="71"/>
      <c r="DB1003" s="71"/>
      <c r="DC1003" s="71"/>
      <c r="DD1003" s="71"/>
      <c r="DE1003" s="71"/>
      <c r="DF1003" s="71"/>
      <c r="DG1003" s="71"/>
      <c r="DH1003" s="71"/>
      <c r="DI1003" s="71"/>
      <c r="DJ1003" s="71"/>
      <c r="DK1003" s="71"/>
      <c r="DL1003" s="71"/>
    </row>
    <row r="1004">
      <c r="A1004" s="44">
        <v>1004.0</v>
      </c>
      <c r="B1004" s="129" t="s">
        <v>152</v>
      </c>
      <c r="C1004" s="62" t="s">
        <v>115</v>
      </c>
      <c r="D1004" s="62" t="s">
        <v>153</v>
      </c>
      <c r="F1004" s="68" t="s">
        <v>5467</v>
      </c>
      <c r="G1004" s="159" t="s">
        <v>5489</v>
      </c>
      <c r="H1004" s="159" t="s">
        <v>153</v>
      </c>
      <c r="I1004" s="152">
        <v>45687.0</v>
      </c>
      <c r="J1004" s="152">
        <v>45692.0</v>
      </c>
      <c r="K1004" s="68"/>
      <c r="L1004" s="68"/>
      <c r="M1004" s="159" t="s">
        <v>5469</v>
      </c>
      <c r="N1004" s="159" t="s">
        <v>5470</v>
      </c>
      <c r="O1004" s="156">
        <v>1.0</v>
      </c>
      <c r="P1004" s="159" t="str">
        <f t="shared" si="52"/>
        <v>10.1080--23273798.2018.1431397.pdf</v>
      </c>
      <c r="Q1004" s="52" t="str">
        <f t="array" ref="Q1004"> if(iserror(MATCH(V1004, 'File Links'!C:C, 0)), "N/A", HYPERLINK(INDEX('File Links'!B:B, MATCH(P1004, 'File Links'!C:C, 0))))</f>
        <v>https://drive.google.com/file/d/1quS4MAYvEPtehwNPw-pIZVscM1NFoUOj/view?usp=drivesdk</v>
      </c>
      <c r="R1004" s="606" t="s">
        <v>3653</v>
      </c>
      <c r="S1004" s="159" t="s">
        <v>3654</v>
      </c>
      <c r="T1004" s="441" t="s">
        <v>5471</v>
      </c>
      <c r="U1004" s="156">
        <v>1.0</v>
      </c>
      <c r="V1004" s="198" t="str">
        <f t="shared" si="54"/>
        <v>10.1098--rsos.231240.pdf</v>
      </c>
      <c r="W1004" s="159" t="s">
        <v>3671</v>
      </c>
      <c r="X1004" s="54" t="str">
        <f t="array" ref="X1004"> if(iserror(MATCH(V1004, 'File Links'!C:C, 0)), "N/A", HYPERLINK(INDEX('File Links'!B:B, MATCH(V1004, 'File Links'!C:C, 0))))</f>
        <v>https://drive.google.com/file/d/17gaf2Zy_ljFfcAEDk5L8GBnTl5i7RGJE/view?usp=drivesdk</v>
      </c>
      <c r="Y1004" s="68"/>
      <c r="Z1004" s="159" t="s">
        <v>148</v>
      </c>
      <c r="AA1004" s="159" t="s">
        <v>5476</v>
      </c>
      <c r="AB1004" s="159" t="s">
        <v>5477</v>
      </c>
      <c r="AC1004" s="159" t="s">
        <v>5490</v>
      </c>
      <c r="AD1004" s="159" t="s">
        <v>5491</v>
      </c>
      <c r="AE1004" s="156">
        <v>7.0</v>
      </c>
      <c r="AF1004" s="156">
        <v>35.0</v>
      </c>
      <c r="AG1004" s="336">
        <v>-0.02</v>
      </c>
      <c r="AH1004" s="156" t="s">
        <v>987</v>
      </c>
      <c r="AI1004" s="336" t="s">
        <v>132</v>
      </c>
      <c r="AJ1004" s="336">
        <v>0.005</v>
      </c>
      <c r="AK1004" s="159" t="s">
        <v>172</v>
      </c>
      <c r="AL1004" s="159" t="s">
        <v>186</v>
      </c>
      <c r="AM1004" s="159" t="s">
        <v>141</v>
      </c>
      <c r="AN1004" s="151" t="s">
        <v>138</v>
      </c>
      <c r="AO1004" s="156">
        <v>40.0</v>
      </c>
      <c r="AP1004" s="336">
        <v>-0.03</v>
      </c>
      <c r="AQ1004" s="156" t="s">
        <v>987</v>
      </c>
      <c r="AR1004" s="336" t="s">
        <v>628</v>
      </c>
      <c r="AS1004" s="156">
        <v>0.361</v>
      </c>
      <c r="AT1004" s="159" t="s">
        <v>172</v>
      </c>
      <c r="AU1004" s="159" t="s">
        <v>186</v>
      </c>
      <c r="AV1004" s="159" t="s">
        <v>141</v>
      </c>
      <c r="AW1004" s="435" t="s">
        <v>5482</v>
      </c>
      <c r="AX1004" s="68" t="s">
        <v>151</v>
      </c>
      <c r="AY1004" s="61" t="str">
        <f>IFERROR(__xludf.DUMMYFUNCTION("vlookup(BB1004,importrange(""https://docs.google.com/spreadsheets/d/1d2vevQ_7D_v35q4wCQ4RpQ_IPoTwEMB9Yp6ymwlPqew/edit?gid=984458430#gid=984458430"", ""'replication success'!A:K""), 11, FAlSE)"),"#N/A")</f>
        <v>#N/A</v>
      </c>
      <c r="AZ1004" s="61" t="str">
        <f>IFERROR(__xludf.DUMMYFUNCTION("vlookup(BB1004,importrange(""https://docs.google.com/spreadsheets/d/1d2vevQ_7D_v35q4wCQ4RpQ_IPoTwEMB9Yp6ymwlPqew/edit?gid=984458430#gid=984458430"", ""'replication success'!A:M""), 12, FAlSE)"),"#N/A")</f>
        <v>#N/A</v>
      </c>
      <c r="BA1004" s="61" t="str">
        <f>IFERROR(__xludf.DUMMYFUNCTION("vlookup(BB1004,importrange(""https://docs.google.com/spreadsheets/d/1d2vevQ_7D_v35q4wCQ4RpQ_IPoTwEMB9Yp6ymwlPqew/edit?gid=984458430#gid=984458430"", ""'replication success'!A:M""), 13, FAlSE)"),"#N/A")</f>
        <v>#N/A</v>
      </c>
      <c r="BB1004" s="61" t="str">
        <f>IFERROR(__xludf.DUMMYFUNCTION("REGEXREPLACE(G1004, ""_[a-z]{1,2}$"", """")"),"Boyce_etal202321_1")</f>
        <v>Boyce_etal202321_1</v>
      </c>
      <c r="BD1004" s="68" t="s">
        <v>153</v>
      </c>
      <c r="BF1004" s="71"/>
      <c r="BG1004" s="71"/>
      <c r="BH1004" s="71"/>
      <c r="BI1004" s="71"/>
      <c r="BJ1004" s="71"/>
      <c r="BK1004" s="71"/>
      <c r="BL1004" s="71"/>
      <c r="BM1004" s="71"/>
      <c r="BN1004" s="71"/>
      <c r="BO1004" s="71"/>
      <c r="BP1004" s="71"/>
      <c r="BQ1004" s="71"/>
      <c r="BR1004" s="71"/>
      <c r="BS1004" s="71"/>
      <c r="BT1004" s="71"/>
      <c r="BU1004" s="71"/>
      <c r="BV1004" s="71"/>
      <c r="BW1004" s="71"/>
      <c r="BX1004" s="71"/>
      <c r="BY1004" s="71"/>
      <c r="BZ1004" s="71"/>
      <c r="CA1004" s="71"/>
      <c r="CB1004" s="71"/>
      <c r="CC1004" s="71"/>
      <c r="CD1004" s="71"/>
      <c r="CE1004" s="71"/>
      <c r="CF1004" s="71"/>
      <c r="CG1004" s="71"/>
      <c r="CH1004" s="71"/>
      <c r="CI1004" s="71"/>
      <c r="CJ1004" s="71"/>
      <c r="CK1004" s="71"/>
      <c r="CL1004" s="71"/>
      <c r="CM1004" s="71"/>
      <c r="CN1004" s="71"/>
      <c r="CO1004" s="71"/>
      <c r="CP1004" s="71"/>
      <c r="CQ1004" s="71"/>
      <c r="CR1004" s="71"/>
      <c r="CS1004" s="71"/>
      <c r="CT1004" s="71"/>
      <c r="CU1004" s="71"/>
      <c r="CV1004" s="71"/>
      <c r="CW1004" s="71"/>
      <c r="CX1004" s="71"/>
      <c r="CY1004" s="71"/>
      <c r="CZ1004" s="71"/>
      <c r="DA1004" s="71"/>
      <c r="DB1004" s="71"/>
      <c r="DC1004" s="71"/>
      <c r="DD1004" s="71"/>
      <c r="DE1004" s="71"/>
      <c r="DF1004" s="71"/>
      <c r="DG1004" s="71"/>
      <c r="DH1004" s="71"/>
      <c r="DI1004" s="71"/>
      <c r="DJ1004" s="71"/>
      <c r="DK1004" s="71"/>
      <c r="DL1004" s="71"/>
    </row>
    <row r="1005">
      <c r="A1005" s="44">
        <v>1005.0</v>
      </c>
      <c r="B1005" s="129" t="s">
        <v>152</v>
      </c>
      <c r="C1005" s="62" t="s">
        <v>115</v>
      </c>
      <c r="D1005" s="62" t="s">
        <v>153</v>
      </c>
      <c r="F1005" s="68" t="s">
        <v>5467</v>
      </c>
      <c r="G1005" s="159" t="s">
        <v>5492</v>
      </c>
      <c r="H1005" s="159" t="s">
        <v>153</v>
      </c>
      <c r="I1005" s="152">
        <v>45687.0</v>
      </c>
      <c r="J1005" s="152">
        <v>45692.0</v>
      </c>
      <c r="K1005" s="68"/>
      <c r="L1005" s="68"/>
      <c r="M1005" s="159" t="s">
        <v>5469</v>
      </c>
      <c r="N1005" s="159" t="s">
        <v>5470</v>
      </c>
      <c r="O1005" s="156">
        <v>1.0</v>
      </c>
      <c r="P1005" s="159" t="str">
        <f t="shared" si="52"/>
        <v>10.1080--23273798.2018.1431397.pdf</v>
      </c>
      <c r="Q1005" s="52" t="str">
        <f t="array" ref="Q1005"> if(iserror(MATCH(V1005, 'File Links'!C:C, 0)), "N/A", HYPERLINK(INDEX('File Links'!B:B, MATCH(P1005, 'File Links'!C:C, 0))))</f>
        <v>https://drive.google.com/file/d/1quS4MAYvEPtehwNPw-pIZVscM1NFoUOj/view?usp=drivesdk</v>
      </c>
      <c r="R1005" s="606" t="s">
        <v>3653</v>
      </c>
      <c r="S1005" s="159" t="s">
        <v>3654</v>
      </c>
      <c r="T1005" s="441" t="s">
        <v>5471</v>
      </c>
      <c r="U1005" s="156">
        <v>1.0</v>
      </c>
      <c r="V1005" s="198" t="str">
        <f t="shared" si="54"/>
        <v>10.1098--rsos.231240.pdf</v>
      </c>
      <c r="W1005" s="159" t="s">
        <v>3671</v>
      </c>
      <c r="X1005" s="54" t="str">
        <f t="array" ref="X1005"> if(iserror(MATCH(V1005, 'File Links'!C:C, 0)), "N/A", HYPERLINK(INDEX('File Links'!B:B, MATCH(V1005, 'File Links'!C:C, 0))))</f>
        <v>https://drive.google.com/file/d/17gaf2Zy_ljFfcAEDk5L8GBnTl5i7RGJE/view?usp=drivesdk</v>
      </c>
      <c r="Y1005" s="68"/>
      <c r="Z1005" s="159" t="s">
        <v>148</v>
      </c>
      <c r="AA1005" s="159" t="s">
        <v>5476</v>
      </c>
      <c r="AB1005" s="159" t="s">
        <v>5477</v>
      </c>
      <c r="AC1005" s="159" t="s">
        <v>5493</v>
      </c>
      <c r="AD1005" s="159" t="s">
        <v>5494</v>
      </c>
      <c r="AE1005" s="156">
        <v>7.0</v>
      </c>
      <c r="AF1005" s="156">
        <v>35.0</v>
      </c>
      <c r="AG1005" s="336">
        <v>-0.04</v>
      </c>
      <c r="AH1005" s="156" t="s">
        <v>987</v>
      </c>
      <c r="AI1005" s="336" t="s">
        <v>132</v>
      </c>
      <c r="AJ1005" s="336">
        <v>0.078</v>
      </c>
      <c r="AK1005" s="159" t="s">
        <v>172</v>
      </c>
      <c r="AL1005" s="159" t="s">
        <v>186</v>
      </c>
      <c r="AM1005" s="159" t="s">
        <v>141</v>
      </c>
      <c r="AN1005" s="151" t="s">
        <v>138</v>
      </c>
      <c r="AO1005" s="156">
        <v>40.0</v>
      </c>
      <c r="AP1005" s="336">
        <v>-0.21</v>
      </c>
      <c r="AQ1005" s="156" t="s">
        <v>987</v>
      </c>
      <c r="AR1005" s="336" t="s">
        <v>628</v>
      </c>
      <c r="AS1005" s="156">
        <v>0.157</v>
      </c>
      <c r="AT1005" s="159" t="s">
        <v>172</v>
      </c>
      <c r="AU1005" s="159" t="s">
        <v>186</v>
      </c>
      <c r="AV1005" s="159" t="s">
        <v>141</v>
      </c>
      <c r="AW1005" s="435" t="s">
        <v>5482</v>
      </c>
      <c r="AX1005" s="68" t="s">
        <v>151</v>
      </c>
      <c r="AY1005" s="61" t="str">
        <f>IFERROR(__xludf.DUMMYFUNCTION("vlookup(BB1005,importrange(""https://docs.google.com/spreadsheets/d/1d2vevQ_7D_v35q4wCQ4RpQ_IPoTwEMB9Yp6ymwlPqew/edit?gid=984458430#gid=984458430"", ""'replication success'!A:K""), 11, FAlSE)"),"#N/A")</f>
        <v>#N/A</v>
      </c>
      <c r="AZ1005" s="61" t="str">
        <f>IFERROR(__xludf.DUMMYFUNCTION("vlookup(BB1005,importrange(""https://docs.google.com/spreadsheets/d/1d2vevQ_7D_v35q4wCQ4RpQ_IPoTwEMB9Yp6ymwlPqew/edit?gid=984458430#gid=984458430"", ""'replication success'!A:M""), 12, FAlSE)"),"#N/A")</f>
        <v>#N/A</v>
      </c>
      <c r="BA1005" s="61" t="str">
        <f>IFERROR(__xludf.DUMMYFUNCTION("vlookup(BB1005,importrange(""https://docs.google.com/spreadsheets/d/1d2vevQ_7D_v35q4wCQ4RpQ_IPoTwEMB9Yp6ymwlPqew/edit?gid=984458430#gid=984458430"", ""'replication success'!A:M""), 13, FAlSE)"),"#N/A")</f>
        <v>#N/A</v>
      </c>
      <c r="BB1005" s="61" t="str">
        <f>IFERROR(__xludf.DUMMYFUNCTION("REGEXREPLACE(G1005, ""_[a-z]{1,2}$"", """")"),"Boyce_etal202321_1")</f>
        <v>Boyce_etal202321_1</v>
      </c>
      <c r="BD1005" s="68" t="s">
        <v>153</v>
      </c>
      <c r="BF1005" s="71"/>
      <c r="BG1005" s="71"/>
      <c r="BH1005" s="71"/>
      <c r="BI1005" s="71"/>
      <c r="BJ1005" s="71"/>
      <c r="BK1005" s="71"/>
      <c r="BL1005" s="71"/>
      <c r="BM1005" s="71"/>
      <c r="BN1005" s="71"/>
      <c r="BO1005" s="71"/>
      <c r="BP1005" s="71"/>
      <c r="BQ1005" s="71"/>
      <c r="BR1005" s="71"/>
      <c r="BS1005" s="71"/>
      <c r="BT1005" s="71"/>
      <c r="BU1005" s="71"/>
      <c r="BV1005" s="71"/>
      <c r="BW1005" s="71"/>
      <c r="BX1005" s="71"/>
      <c r="BY1005" s="71"/>
      <c r="BZ1005" s="71"/>
      <c r="CA1005" s="71"/>
      <c r="CB1005" s="71"/>
      <c r="CC1005" s="71"/>
      <c r="CD1005" s="71"/>
      <c r="CE1005" s="71"/>
      <c r="CF1005" s="71"/>
      <c r="CG1005" s="71"/>
      <c r="CH1005" s="71"/>
      <c r="CI1005" s="71"/>
      <c r="CJ1005" s="71"/>
      <c r="CK1005" s="71"/>
      <c r="CL1005" s="71"/>
      <c r="CM1005" s="71"/>
      <c r="CN1005" s="71"/>
      <c r="CO1005" s="71"/>
      <c r="CP1005" s="71"/>
      <c r="CQ1005" s="71"/>
      <c r="CR1005" s="71"/>
      <c r="CS1005" s="71"/>
      <c r="CT1005" s="71"/>
      <c r="CU1005" s="71"/>
      <c r="CV1005" s="71"/>
      <c r="CW1005" s="71"/>
      <c r="CX1005" s="71"/>
      <c r="CY1005" s="71"/>
      <c r="CZ1005" s="71"/>
      <c r="DA1005" s="71"/>
      <c r="DB1005" s="71"/>
      <c r="DC1005" s="71"/>
      <c r="DD1005" s="71"/>
      <c r="DE1005" s="71"/>
      <c r="DF1005" s="71"/>
      <c r="DG1005" s="71"/>
      <c r="DH1005" s="71"/>
      <c r="DI1005" s="71"/>
      <c r="DJ1005" s="71"/>
      <c r="DK1005" s="71"/>
      <c r="DL1005" s="71"/>
    </row>
    <row r="1006">
      <c r="A1006" s="44">
        <v>1006.0</v>
      </c>
      <c r="B1006" s="129" t="s">
        <v>152</v>
      </c>
      <c r="C1006" s="62" t="s">
        <v>115</v>
      </c>
      <c r="D1006" s="62" t="s">
        <v>153</v>
      </c>
      <c r="F1006" s="68" t="s">
        <v>5467</v>
      </c>
      <c r="G1006" s="159" t="s">
        <v>5495</v>
      </c>
      <c r="H1006" s="159" t="s">
        <v>153</v>
      </c>
      <c r="I1006" s="152">
        <v>45687.0</v>
      </c>
      <c r="J1006" s="152">
        <v>45692.0</v>
      </c>
      <c r="K1006" s="68"/>
      <c r="L1006" s="68"/>
      <c r="M1006" s="159" t="s">
        <v>5469</v>
      </c>
      <c r="N1006" s="159" t="s">
        <v>5470</v>
      </c>
      <c r="O1006" s="156">
        <v>1.0</v>
      </c>
      <c r="P1006" s="159" t="str">
        <f t="shared" si="52"/>
        <v>10.1080--23273798.2018.1431397.pdf</v>
      </c>
      <c r="Q1006" s="52" t="str">
        <f t="array" ref="Q1006"> if(iserror(MATCH(V1006, 'File Links'!C:C, 0)), "N/A", HYPERLINK(INDEX('File Links'!B:B, MATCH(P1006, 'File Links'!C:C, 0))))</f>
        <v>https://drive.google.com/file/d/1quS4MAYvEPtehwNPw-pIZVscM1NFoUOj/view?usp=drivesdk</v>
      </c>
      <c r="R1006" s="606" t="s">
        <v>3653</v>
      </c>
      <c r="S1006" s="159" t="s">
        <v>3654</v>
      </c>
      <c r="T1006" s="441" t="s">
        <v>5471</v>
      </c>
      <c r="U1006" s="156">
        <v>1.0</v>
      </c>
      <c r="V1006" s="198" t="str">
        <f t="shared" si="54"/>
        <v>10.1098--rsos.231240.pdf</v>
      </c>
      <c r="W1006" s="159" t="s">
        <v>3671</v>
      </c>
      <c r="X1006" s="54" t="str">
        <f t="array" ref="X1006"> if(iserror(MATCH(V1006, 'File Links'!C:C, 0)), "N/A", HYPERLINK(INDEX('File Links'!B:B, MATCH(V1006, 'File Links'!C:C, 0))))</f>
        <v>https://drive.google.com/file/d/17gaf2Zy_ljFfcAEDk5L8GBnTl5i7RGJE/view?usp=drivesdk</v>
      </c>
      <c r="Y1006" s="68"/>
      <c r="Z1006" s="159" t="s">
        <v>148</v>
      </c>
      <c r="AA1006" s="159" t="s">
        <v>5476</v>
      </c>
      <c r="AB1006" s="159" t="s">
        <v>5477</v>
      </c>
      <c r="AC1006" s="159" t="s">
        <v>5496</v>
      </c>
      <c r="AD1006" s="159" t="s">
        <v>5497</v>
      </c>
      <c r="AE1006" s="156">
        <v>7.0</v>
      </c>
      <c r="AF1006" s="156">
        <v>35.0</v>
      </c>
      <c r="AG1006" s="336">
        <v>-1.79</v>
      </c>
      <c r="AH1006" s="156" t="s">
        <v>987</v>
      </c>
      <c r="AI1006" s="336" t="s">
        <v>132</v>
      </c>
      <c r="AJ1006" s="336">
        <v>0.001</v>
      </c>
      <c r="AK1006" s="159" t="s">
        <v>135</v>
      </c>
      <c r="AL1006" s="159" t="s">
        <v>186</v>
      </c>
      <c r="AM1006" s="159" t="s">
        <v>141</v>
      </c>
      <c r="AN1006" s="151" t="s">
        <v>138</v>
      </c>
      <c r="AO1006" s="156">
        <v>40.0</v>
      </c>
      <c r="AP1006" s="336">
        <v>3.45</v>
      </c>
      <c r="AQ1006" s="156" t="s">
        <v>987</v>
      </c>
      <c r="AR1006" s="336" t="s">
        <v>628</v>
      </c>
      <c r="AS1006" s="156">
        <v>0.001</v>
      </c>
      <c r="AT1006" s="159" t="s">
        <v>135</v>
      </c>
      <c r="AU1006" s="159" t="s">
        <v>186</v>
      </c>
      <c r="AV1006" s="159" t="s">
        <v>141</v>
      </c>
      <c r="AW1006" s="435" t="s">
        <v>5482</v>
      </c>
      <c r="AX1006" s="68" t="s">
        <v>151</v>
      </c>
      <c r="AY1006" s="61" t="str">
        <f>IFERROR(__xludf.DUMMYFUNCTION("vlookup(BB1006,importrange(""https://docs.google.com/spreadsheets/d/1d2vevQ_7D_v35q4wCQ4RpQ_IPoTwEMB9Yp6ymwlPqew/edit?gid=984458430#gid=984458430"", ""'replication success'!A:K""), 11, FAlSE)"),"#N/A")</f>
        <v>#N/A</v>
      </c>
      <c r="AZ1006" s="61" t="str">
        <f>IFERROR(__xludf.DUMMYFUNCTION("vlookup(BB1006,importrange(""https://docs.google.com/spreadsheets/d/1d2vevQ_7D_v35q4wCQ4RpQ_IPoTwEMB9Yp6ymwlPqew/edit?gid=984458430#gid=984458430"", ""'replication success'!A:M""), 12, FAlSE)"),"#N/A")</f>
        <v>#N/A</v>
      </c>
      <c r="BA1006" s="61" t="str">
        <f>IFERROR(__xludf.DUMMYFUNCTION("vlookup(BB1006,importrange(""https://docs.google.com/spreadsheets/d/1d2vevQ_7D_v35q4wCQ4RpQ_IPoTwEMB9Yp6ymwlPqew/edit?gid=984458430#gid=984458430"", ""'replication success'!A:M""), 13, FAlSE)"),"#N/A")</f>
        <v>#N/A</v>
      </c>
      <c r="BB1006" s="61" t="str">
        <f>IFERROR(__xludf.DUMMYFUNCTION("REGEXREPLACE(G1006, ""_[a-z]{1,2}$"", """")"),"Boyce_etal202321_1")</f>
        <v>Boyce_etal202321_1</v>
      </c>
      <c r="BD1006" s="68" t="s">
        <v>153</v>
      </c>
    </row>
    <row r="1007">
      <c r="A1007" s="44">
        <v>1007.0</v>
      </c>
      <c r="B1007" s="129" t="s">
        <v>152</v>
      </c>
      <c r="C1007" s="62" t="s">
        <v>115</v>
      </c>
      <c r="D1007" s="62" t="s">
        <v>153</v>
      </c>
      <c r="F1007" s="68" t="s">
        <v>5467</v>
      </c>
      <c r="G1007" s="159" t="s">
        <v>5498</v>
      </c>
      <c r="H1007" s="159" t="s">
        <v>153</v>
      </c>
      <c r="I1007" s="152">
        <v>45687.0</v>
      </c>
      <c r="J1007" s="152">
        <v>45692.0</v>
      </c>
      <c r="K1007" s="68"/>
      <c r="L1007" s="68"/>
      <c r="M1007" s="159" t="s">
        <v>5469</v>
      </c>
      <c r="N1007" s="159" t="s">
        <v>5470</v>
      </c>
      <c r="O1007" s="156">
        <v>1.0</v>
      </c>
      <c r="P1007" s="159" t="str">
        <f t="shared" si="52"/>
        <v>10.1080--23273798.2018.1431397.pdf</v>
      </c>
      <c r="Q1007" s="52" t="str">
        <f t="array" ref="Q1007"> if(iserror(MATCH(V1007, 'File Links'!C:C, 0)), "N/A", HYPERLINK(INDEX('File Links'!B:B, MATCH(P1007, 'File Links'!C:C, 0))))</f>
        <v>https://drive.google.com/file/d/1quS4MAYvEPtehwNPw-pIZVscM1NFoUOj/view?usp=drivesdk</v>
      </c>
      <c r="R1007" s="606" t="s">
        <v>3653</v>
      </c>
      <c r="S1007" s="159" t="s">
        <v>3654</v>
      </c>
      <c r="T1007" s="441" t="s">
        <v>5471</v>
      </c>
      <c r="U1007" s="156">
        <v>1.0</v>
      </c>
      <c r="V1007" s="198" t="str">
        <f t="shared" si="54"/>
        <v>10.1098--rsos.231240.pdf</v>
      </c>
      <c r="W1007" s="159" t="s">
        <v>3671</v>
      </c>
      <c r="X1007" s="54" t="str">
        <f t="array" ref="X1007"> if(iserror(MATCH(V1007, 'File Links'!C:C, 0)), "N/A", HYPERLINK(INDEX('File Links'!B:B, MATCH(V1007, 'File Links'!C:C, 0))))</f>
        <v>https://drive.google.com/file/d/17gaf2Zy_ljFfcAEDk5L8GBnTl5i7RGJE/view?usp=drivesdk</v>
      </c>
      <c r="Y1007" s="68"/>
      <c r="Z1007" s="159" t="s">
        <v>148</v>
      </c>
      <c r="AA1007" s="159" t="s">
        <v>5476</v>
      </c>
      <c r="AB1007" s="159" t="s">
        <v>5477</v>
      </c>
      <c r="AC1007" s="159" t="s">
        <v>5499</v>
      </c>
      <c r="AD1007" s="159" t="s">
        <v>5500</v>
      </c>
      <c r="AE1007" s="156">
        <v>7.0</v>
      </c>
      <c r="AF1007" s="156">
        <v>35.0</v>
      </c>
      <c r="AG1007" s="336">
        <v>0.07</v>
      </c>
      <c r="AH1007" s="156" t="s">
        <v>987</v>
      </c>
      <c r="AI1007" s="336" t="s">
        <v>132</v>
      </c>
      <c r="AJ1007" s="336">
        <v>0.001</v>
      </c>
      <c r="AK1007" s="159" t="s">
        <v>135</v>
      </c>
      <c r="AL1007" s="159" t="s">
        <v>186</v>
      </c>
      <c r="AM1007" s="159" t="s">
        <v>141</v>
      </c>
      <c r="AN1007" s="151" t="s">
        <v>138</v>
      </c>
      <c r="AO1007" s="156">
        <v>40.0</v>
      </c>
      <c r="AP1007" s="336">
        <v>0.76</v>
      </c>
      <c r="AQ1007" s="156" t="s">
        <v>987</v>
      </c>
      <c r="AR1007" s="336" t="s">
        <v>628</v>
      </c>
      <c r="AS1007" s="156">
        <v>0.001</v>
      </c>
      <c r="AT1007" s="159" t="s">
        <v>135</v>
      </c>
      <c r="AU1007" s="159" t="s">
        <v>186</v>
      </c>
      <c r="AV1007" s="159" t="s">
        <v>141</v>
      </c>
      <c r="AW1007" s="435" t="s">
        <v>5482</v>
      </c>
      <c r="AX1007" s="68" t="s">
        <v>151</v>
      </c>
      <c r="AY1007" s="61" t="str">
        <f>IFERROR(__xludf.DUMMYFUNCTION("vlookup(BB1007,importrange(""https://docs.google.com/spreadsheets/d/1d2vevQ_7D_v35q4wCQ4RpQ_IPoTwEMB9Yp6ymwlPqew/edit?gid=984458430#gid=984458430"", ""'replication success'!A:K""), 11, FAlSE)"),"#N/A")</f>
        <v>#N/A</v>
      </c>
      <c r="AZ1007" s="61" t="str">
        <f>IFERROR(__xludf.DUMMYFUNCTION("vlookup(BB1007,importrange(""https://docs.google.com/spreadsheets/d/1d2vevQ_7D_v35q4wCQ4RpQ_IPoTwEMB9Yp6ymwlPqew/edit?gid=984458430#gid=984458430"", ""'replication success'!A:M""), 12, FAlSE)"),"#N/A")</f>
        <v>#N/A</v>
      </c>
      <c r="BA1007" s="61" t="str">
        <f>IFERROR(__xludf.DUMMYFUNCTION("vlookup(BB1007,importrange(""https://docs.google.com/spreadsheets/d/1d2vevQ_7D_v35q4wCQ4RpQ_IPoTwEMB9Yp6ymwlPqew/edit?gid=984458430#gid=984458430"", ""'replication success'!A:M""), 13, FAlSE)"),"#N/A")</f>
        <v>#N/A</v>
      </c>
      <c r="BB1007" s="61" t="str">
        <f>IFERROR(__xludf.DUMMYFUNCTION("REGEXREPLACE(G1007, ""_[a-z]{1,2}$"", """")"),"Boyce_etal202321_1")</f>
        <v>Boyce_etal202321_1</v>
      </c>
      <c r="BD1007" s="68" t="s">
        <v>153</v>
      </c>
    </row>
    <row r="1008">
      <c r="A1008" s="44">
        <v>1008.0</v>
      </c>
      <c r="B1008" s="129" t="s">
        <v>152</v>
      </c>
      <c r="C1008" s="62" t="s">
        <v>115</v>
      </c>
      <c r="D1008" s="62" t="s">
        <v>248</v>
      </c>
      <c r="F1008" s="159" t="s">
        <v>5501</v>
      </c>
      <c r="G1008" s="159" t="s">
        <v>5502</v>
      </c>
      <c r="H1008" s="159" t="s">
        <v>249</v>
      </c>
      <c r="I1008" s="152">
        <v>45664.0</v>
      </c>
      <c r="J1008" s="152">
        <v>45692.0</v>
      </c>
      <c r="K1008" s="68"/>
      <c r="L1008" s="68" t="s">
        <v>5503</v>
      </c>
      <c r="M1008" s="159" t="s">
        <v>5504</v>
      </c>
      <c r="N1008" s="129" t="s">
        <v>5505</v>
      </c>
      <c r="O1008" s="68"/>
      <c r="P1008" s="159" t="str">
        <f t="shared" si="52"/>
        <v>escholarship.orgucitem39d347bk.pdf</v>
      </c>
      <c r="Q1008" s="52" t="str">
        <f t="array" ref="Q1008"> if(iserror(MATCH(V1008, 'File Links'!C:C, 0)), "N/A", HYPERLINK(INDEX('File Links'!B:B, MATCH(P1008, 'File Links'!C:C, 0))))</f>
        <v>https://drive.google.com/file/d/1S2bnWMra5cT3jybiRMXQyyKgjUU5M3mP/view?usp=drivesdk</v>
      </c>
      <c r="R1008" s="606" t="s">
        <v>3653</v>
      </c>
      <c r="S1008" s="159" t="s">
        <v>3654</v>
      </c>
      <c r="T1008" s="441" t="s">
        <v>5506</v>
      </c>
      <c r="U1008" s="156">
        <v>1.0</v>
      </c>
      <c r="V1008" s="198" t="str">
        <f t="shared" si="54"/>
        <v>10.1098--rsos.231240.pdf</v>
      </c>
      <c r="W1008" s="159" t="s">
        <v>3804</v>
      </c>
      <c r="X1008" s="54" t="str">
        <f t="array" ref="X1008"> if(iserror(MATCH(V1008, 'File Links'!C:C, 0)), "N/A", HYPERLINK(INDEX('File Links'!B:B, MATCH(V1008, 'File Links'!C:C, 0))))</f>
        <v>https://drive.google.com/file/d/17gaf2Zy_ljFfcAEDk5L8GBnTl5i7RGJE/view?usp=drivesdk</v>
      </c>
      <c r="Y1008" s="68"/>
      <c r="Z1008" s="159" t="s">
        <v>148</v>
      </c>
      <c r="AA1008" s="68" t="s">
        <v>5507</v>
      </c>
      <c r="AB1008" s="68" t="s">
        <v>5508</v>
      </c>
      <c r="AC1008" s="68" t="s">
        <v>5509</v>
      </c>
      <c r="AD1008" s="159" t="s">
        <v>5510</v>
      </c>
      <c r="AE1008" s="1093">
        <v>4.0</v>
      </c>
      <c r="AF1008" s="156">
        <v>202.0</v>
      </c>
      <c r="AG1008" s="156">
        <v>-0.75</v>
      </c>
      <c r="AH1008" s="159" t="s">
        <v>215</v>
      </c>
      <c r="AI1008" s="1115" t="s">
        <v>850</v>
      </c>
      <c r="AJ1008" s="156">
        <v>0.001</v>
      </c>
      <c r="AK1008" s="159" t="s">
        <v>135</v>
      </c>
      <c r="AL1008" s="159" t="s">
        <v>186</v>
      </c>
      <c r="AM1008" s="159" t="s">
        <v>1905</v>
      </c>
      <c r="AN1008" s="151" t="s">
        <v>138</v>
      </c>
      <c r="AO1008" s="156">
        <v>20.0</v>
      </c>
      <c r="AP1008" s="1093">
        <v>-0.5293166</v>
      </c>
      <c r="AQ1008" s="159" t="s">
        <v>215</v>
      </c>
      <c r="AR1008" s="68"/>
      <c r="AS1008" s="1297">
        <v>5.306E-4</v>
      </c>
      <c r="AT1008" s="159" t="s">
        <v>172</v>
      </c>
      <c r="AU1008" s="159" t="s">
        <v>186</v>
      </c>
      <c r="AV1008" s="159" t="s">
        <v>1905</v>
      </c>
      <c r="AW1008" s="68"/>
      <c r="AX1008" s="159" t="s">
        <v>143</v>
      </c>
      <c r="AY1008" s="61" t="str">
        <f>IFERROR(__xludf.DUMMYFUNCTION("vlookup(BB1008,importrange(""https://docs.google.com/spreadsheets/d/1d2vevQ_7D_v35q4wCQ4RpQ_IPoTwEMB9Yp6ymwlPqew/edit?gid=984458430#gid=984458430"", ""'replication success'!A:K""), 11, FAlSE)"),"#N/A")</f>
        <v>#N/A</v>
      </c>
      <c r="AZ1008" s="61" t="str">
        <f>IFERROR(__xludf.DUMMYFUNCTION("vlookup(BB1008,importrange(""https://docs.google.com/spreadsheets/d/1d2vevQ_7D_v35q4wCQ4RpQ_IPoTwEMB9Yp6ymwlPqew/edit?gid=984458430#gid=984458430"", ""'replication success'!A:M""), 12, FAlSE)"),"#N/A")</f>
        <v>#N/A</v>
      </c>
      <c r="BA1008" s="61" t="str">
        <f>IFERROR(__xludf.DUMMYFUNCTION("vlookup(BB1008,importrange(""https://docs.google.com/spreadsheets/d/1d2vevQ_7D_v35q4wCQ4RpQ_IPoTwEMB9Yp6ymwlPqew/edit?gid=984458430#gid=984458430"", ""'replication success'!A:M""), 13, FAlSE)"),"#N/A")</f>
        <v>#N/A</v>
      </c>
      <c r="BB1008" s="61" t="str">
        <f>IFERROR(__xludf.DUMMYFUNCTION("REGEXREPLACE(G1008, ""_[a-z]{1,2}$"", """")"),"Boyce_etal202322_1")</f>
        <v>Boyce_etal202322_1</v>
      </c>
      <c r="BD1008" s="68" t="s">
        <v>153</v>
      </c>
    </row>
    <row r="1009">
      <c r="A1009" s="44">
        <v>1009.0</v>
      </c>
      <c r="B1009" s="68" t="s">
        <v>114</v>
      </c>
      <c r="C1009" s="62" t="s">
        <v>115</v>
      </c>
      <c r="D1009" s="62" t="s">
        <v>153</v>
      </c>
      <c r="F1009" s="68" t="s">
        <v>5502</v>
      </c>
      <c r="G1009" s="159" t="s">
        <v>5501</v>
      </c>
      <c r="H1009" s="159" t="s">
        <v>153</v>
      </c>
      <c r="I1009" s="152">
        <v>45687.0</v>
      </c>
      <c r="J1009" s="152">
        <v>45692.0</v>
      </c>
      <c r="K1009" s="437" t="s">
        <v>5511</v>
      </c>
      <c r="L1009" s="68"/>
      <c r="M1009" s="159" t="s">
        <v>5504</v>
      </c>
      <c r="N1009" s="129" t="s">
        <v>5505</v>
      </c>
      <c r="O1009" s="156">
        <v>1.0</v>
      </c>
      <c r="P1009" s="159" t="str">
        <f t="shared" si="52"/>
        <v>escholarship.orgucitem39d347bk.pdf</v>
      </c>
      <c r="Q1009" s="52" t="str">
        <f t="array" ref="Q1009"> if(iserror(MATCH(V1009, 'File Links'!C:C, 0)), "N/A", HYPERLINK(INDEX('File Links'!B:B, MATCH(P1009, 'File Links'!C:C, 0))))</f>
        <v>https://drive.google.com/file/d/1S2bnWMra5cT3jybiRMXQyyKgjUU5M3mP/view?usp=drivesdk</v>
      </c>
      <c r="R1009" s="606" t="s">
        <v>3653</v>
      </c>
      <c r="S1009" s="159" t="s">
        <v>3654</v>
      </c>
      <c r="T1009" s="441" t="s">
        <v>5506</v>
      </c>
      <c r="U1009" s="156">
        <v>1.0</v>
      </c>
      <c r="V1009" s="382" t="s">
        <v>3658</v>
      </c>
      <c r="W1009" s="68"/>
      <c r="X1009" s="54" t="str">
        <f t="array" ref="X1009"> if(iserror(MATCH(V1009, 'File Links'!C:C, 0)), "N/A", HYPERLINK(INDEX('File Links'!B:B, MATCH(V1009, 'File Links'!C:C, 0))))</f>
        <v>https://drive.google.com/file/d/17gaf2Zy_ljFfcAEDk5L8GBnTl5i7RGJE/view?usp=drivesdk</v>
      </c>
      <c r="Y1009" s="159" t="s">
        <v>5512</v>
      </c>
      <c r="Z1009" s="68"/>
      <c r="AA1009" s="68"/>
      <c r="AB1009" s="68"/>
      <c r="AC1009" s="68"/>
      <c r="AD1009" s="68"/>
      <c r="AE1009" s="68"/>
      <c r="AF1009" s="68"/>
      <c r="AG1009" s="68"/>
      <c r="AH1009" s="68"/>
      <c r="AI1009" s="68"/>
      <c r="AJ1009" s="68"/>
      <c r="AK1009" s="68"/>
      <c r="AL1009" s="68"/>
      <c r="AM1009" s="68"/>
      <c r="AN1009" s="151" t="s">
        <v>138</v>
      </c>
      <c r="AO1009" s="68"/>
      <c r="AP1009" s="68"/>
      <c r="AQ1009" s="68"/>
      <c r="AR1009" s="68"/>
      <c r="AS1009" s="68"/>
      <c r="AT1009" s="68"/>
      <c r="AU1009" s="68"/>
      <c r="AV1009" s="68"/>
      <c r="AW1009" s="68"/>
      <c r="AX1009" s="68"/>
      <c r="AY1009" s="61" t="str">
        <f>IFERROR(__xludf.DUMMYFUNCTION("vlookup(BB1009,importrange(""https://docs.google.com/spreadsheets/d/1d2vevQ_7D_v35q4wCQ4RpQ_IPoTwEMB9Yp6ymwlPqew/edit?gid=984458430#gid=984458430"", ""'replication success'!A:K""), 11, FAlSE)"),"#N/A")</f>
        <v>#N/A</v>
      </c>
      <c r="AZ1009" s="61" t="str">
        <f>IFERROR(__xludf.DUMMYFUNCTION("vlookup(BB1009,importrange(""https://docs.google.com/spreadsheets/d/1d2vevQ_7D_v35q4wCQ4RpQ_IPoTwEMB9Yp6ymwlPqew/edit?gid=984458430#gid=984458430"", ""'replication success'!A:M""), 12, FAlSE)"),"#N/A")</f>
        <v>#N/A</v>
      </c>
      <c r="BA1009" s="61" t="str">
        <f>IFERROR(__xludf.DUMMYFUNCTION("vlookup(BB1009,importrange(""https://docs.google.com/spreadsheets/d/1d2vevQ_7D_v35q4wCQ4RpQ_IPoTwEMB9Yp6ymwlPqew/edit?gid=984458430#gid=984458430"", ""'replication success'!A:M""), 13, FAlSE)"),"#N/A")</f>
        <v>#N/A</v>
      </c>
      <c r="BB1009" s="61" t="str">
        <f>IFERROR(__xludf.DUMMYFUNCTION("REGEXREPLACE(G1009, ""_[a-z]{1,2}$"", """")"),"Boyce_etal202322")</f>
        <v>Boyce_etal202322</v>
      </c>
      <c r="BD1009" s="68" t="s">
        <v>153</v>
      </c>
    </row>
    <row r="1010">
      <c r="A1010" s="44">
        <v>1010.0</v>
      </c>
      <c r="B1010" s="68" t="s">
        <v>114</v>
      </c>
      <c r="C1010" s="62" t="s">
        <v>115</v>
      </c>
      <c r="D1010" s="62" t="s">
        <v>248</v>
      </c>
      <c r="F1010" s="159" t="s">
        <v>5513</v>
      </c>
      <c r="G1010" s="159" t="s">
        <v>5514</v>
      </c>
      <c r="H1010" s="159" t="s">
        <v>249</v>
      </c>
      <c r="I1010" s="152">
        <v>45671.0</v>
      </c>
      <c r="J1010" s="152">
        <v>45692.0</v>
      </c>
      <c r="K1010" s="68"/>
      <c r="L1010" s="68" t="s">
        <v>3690</v>
      </c>
      <c r="M1010" s="159" t="s">
        <v>5515</v>
      </c>
      <c r="N1010" s="159" t="s">
        <v>5516</v>
      </c>
      <c r="O1010" s="68"/>
      <c r="P1010" s="159" t="str">
        <f t="shared" si="52"/>
        <v>10.1177--0956797615625640.pdf</v>
      </c>
      <c r="Q1010" s="52" t="str">
        <f t="array" ref="Q1010"> if(iserror(MATCH(V1010, 'File Links'!C:C, 0)), "N/A", HYPERLINK(INDEX('File Links'!B:B, MATCH(P1010, 'File Links'!C:C, 0))))</f>
        <v>https://drive.google.com/file/d/1ufFlEetCWZtYqMqTTptc07s2XdkD4E4c/view?usp=drivesdk</v>
      </c>
      <c r="R1010" s="606" t="s">
        <v>3653</v>
      </c>
      <c r="S1010" s="159" t="s">
        <v>3654</v>
      </c>
      <c r="T1010" s="441" t="s">
        <v>5517</v>
      </c>
      <c r="U1010" s="156">
        <v>1.0</v>
      </c>
      <c r="V1010" s="198" t="str">
        <f t="shared" ref="V1010:V1012" si="55"> hyperlink(vlookup(lower(S1010),#REF!, 2, FALSE), SUBSTITUTE(lower(S1010), "/", "--") &amp;  ".pdf")</f>
        <v>10.1098--rsos.231240.pdf</v>
      </c>
      <c r="W1010" s="159" t="s">
        <v>324</v>
      </c>
      <c r="X1010" s="54" t="str">
        <f t="array" ref="X1010"> if(iserror(MATCH(V1010, 'File Links'!C:C, 0)), "N/A", HYPERLINK(INDEX('File Links'!B:B, MATCH(V1010, 'File Links'!C:C, 0))))</f>
        <v>https://drive.google.com/file/d/17gaf2Zy_ljFfcAEDk5L8GBnTl5i7RGJE/view?usp=drivesdk</v>
      </c>
      <c r="Y1010" s="68"/>
      <c r="Z1010" s="159" t="s">
        <v>148</v>
      </c>
      <c r="AA1010" s="68"/>
      <c r="AB1010" s="159" t="s">
        <v>5410</v>
      </c>
      <c r="AC1010" s="68"/>
      <c r="AD1010" s="159" t="s">
        <v>5518</v>
      </c>
      <c r="AE1010" s="1059">
        <v>6.0</v>
      </c>
      <c r="AF1010" s="156">
        <v>100.0</v>
      </c>
      <c r="AG1010" s="156">
        <v>0.41</v>
      </c>
      <c r="AH1010" s="159" t="s">
        <v>173</v>
      </c>
      <c r="AI1010" s="1060" t="s">
        <v>140</v>
      </c>
      <c r="AJ1010" s="156">
        <v>0.04</v>
      </c>
      <c r="AK1010" s="159" t="s">
        <v>172</v>
      </c>
      <c r="AL1010" s="159" t="s">
        <v>186</v>
      </c>
      <c r="AM1010" s="159" t="s">
        <v>137</v>
      </c>
      <c r="AN1010" s="151" t="s">
        <v>138</v>
      </c>
      <c r="AO1010" s="156">
        <v>158.0</v>
      </c>
      <c r="AP1010" s="156">
        <v>-0.19040863130135</v>
      </c>
      <c r="AQ1010" s="159" t="s">
        <v>173</v>
      </c>
      <c r="AR1010" s="68"/>
      <c r="AS1010" s="156">
        <v>0.0182407236142778</v>
      </c>
      <c r="AT1010" s="159" t="s">
        <v>172</v>
      </c>
      <c r="AU1010" s="159" t="s">
        <v>186</v>
      </c>
      <c r="AV1010" s="159" t="s">
        <v>137</v>
      </c>
      <c r="AW1010" s="68"/>
      <c r="AX1010" s="159" t="s">
        <v>143</v>
      </c>
      <c r="AY1010" s="61" t="str">
        <f>IFERROR(__xludf.DUMMYFUNCTION("vlookup(BB1010,importrange(""https://docs.google.com/spreadsheets/d/1d2vevQ_7D_v35q4wCQ4RpQ_IPoTwEMB9Yp6ymwlPqew/edit?gid=984458430#gid=984458430"", ""'replication success'!A:K""), 11, FAlSE)"),"#N/A")</f>
        <v>#N/A</v>
      </c>
      <c r="AZ1010" s="61" t="str">
        <f>IFERROR(__xludf.DUMMYFUNCTION("vlookup(BB1010,importrange(""https://docs.google.com/spreadsheets/d/1d2vevQ_7D_v35q4wCQ4RpQ_IPoTwEMB9Yp6ymwlPqew/edit?gid=984458430#gid=984458430"", ""'replication success'!A:M""), 12, FAlSE)"),"#N/A")</f>
        <v>#N/A</v>
      </c>
      <c r="BA1010" s="61" t="str">
        <f>IFERROR(__xludf.DUMMYFUNCTION("vlookup(BB1010,importrange(""https://docs.google.com/spreadsheets/d/1d2vevQ_7D_v35q4wCQ4RpQ_IPoTwEMB9Yp6ymwlPqew/edit?gid=984458430#gid=984458430"", ""'replication success'!A:M""), 13, FAlSE)"),"#N/A")</f>
        <v>#N/A</v>
      </c>
      <c r="BB1010" s="61" t="str">
        <f>IFERROR(__xludf.DUMMYFUNCTION("REGEXREPLACE(G1010, ""_[a-z]{1,2}$"", """")"),"Boyce_etal202323_1")</f>
        <v>Boyce_etal202323_1</v>
      </c>
      <c r="BD1010" s="68" t="s">
        <v>153</v>
      </c>
    </row>
    <row r="1011">
      <c r="A1011" s="44">
        <v>1011.0</v>
      </c>
      <c r="B1011" s="129" t="s">
        <v>152</v>
      </c>
      <c r="C1011" s="62" t="s">
        <v>115</v>
      </c>
      <c r="D1011" s="62" t="s">
        <v>153</v>
      </c>
      <c r="F1011" s="68" t="s">
        <v>5514</v>
      </c>
      <c r="G1011" s="159" t="s">
        <v>5513</v>
      </c>
      <c r="H1011" s="159" t="s">
        <v>153</v>
      </c>
      <c r="I1011" s="152">
        <v>45687.0</v>
      </c>
      <c r="J1011" s="152">
        <v>45692.0</v>
      </c>
      <c r="K1011" s="68"/>
      <c r="L1011" s="68" t="s">
        <v>5503</v>
      </c>
      <c r="M1011" s="159" t="s">
        <v>5515</v>
      </c>
      <c r="N1011" s="159" t="s">
        <v>5516</v>
      </c>
      <c r="O1011" s="156">
        <v>5.0</v>
      </c>
      <c r="P1011" s="159" t="str">
        <f t="shared" si="52"/>
        <v>10.1177--0956797615625640.pdf</v>
      </c>
      <c r="Q1011" s="52" t="str">
        <f t="array" ref="Q1011"> if(iserror(MATCH(V1011, 'File Links'!C:C, 0)), "N/A", HYPERLINK(INDEX('File Links'!B:B, MATCH(P1011, 'File Links'!C:C, 0))))</f>
        <v>https://drive.google.com/file/d/1ufFlEetCWZtYqMqTTptc07s2XdkD4E4c/view?usp=drivesdk</v>
      </c>
      <c r="R1011" s="606" t="s">
        <v>3653</v>
      </c>
      <c r="S1011" s="159" t="s">
        <v>3654</v>
      </c>
      <c r="T1011" s="441" t="s">
        <v>5517</v>
      </c>
      <c r="U1011" s="156">
        <v>1.0</v>
      </c>
      <c r="V1011" s="198" t="str">
        <f t="shared" si="55"/>
        <v>10.1098--rsos.231240.pdf</v>
      </c>
      <c r="W1011" s="159" t="s">
        <v>3726</v>
      </c>
      <c r="X1011" s="54" t="str">
        <f t="array" ref="X1011"> if(iserror(MATCH(V1011, 'File Links'!C:C, 0)), "N/A", HYPERLINK(INDEX('File Links'!B:B, MATCH(V1011, 'File Links'!C:C, 0))))</f>
        <v>https://drive.google.com/file/d/17gaf2Zy_ljFfcAEDk5L8GBnTl5i7RGJE/view?usp=drivesdk</v>
      </c>
      <c r="Y1011" s="68"/>
      <c r="Z1011" s="159" t="s">
        <v>148</v>
      </c>
      <c r="AA1011" s="159" t="s">
        <v>5519</v>
      </c>
      <c r="AB1011" s="159" t="s">
        <v>5520</v>
      </c>
      <c r="AC1011" s="159" t="s">
        <v>5521</v>
      </c>
      <c r="AD1011" s="159" t="s">
        <v>5522</v>
      </c>
      <c r="AE1011" s="161" t="s">
        <v>5523</v>
      </c>
      <c r="AF1011" s="156">
        <v>100.0</v>
      </c>
      <c r="AG1011" s="156">
        <v>0.41</v>
      </c>
      <c r="AH1011" s="159" t="s">
        <v>173</v>
      </c>
      <c r="AI1011" s="161" t="s">
        <v>5523</v>
      </c>
      <c r="AJ1011" s="156">
        <v>0.04</v>
      </c>
      <c r="AK1011" s="159" t="s">
        <v>172</v>
      </c>
      <c r="AL1011" s="159" t="s">
        <v>186</v>
      </c>
      <c r="AM1011" s="159" t="s">
        <v>137</v>
      </c>
      <c r="AN1011" s="151" t="s">
        <v>138</v>
      </c>
      <c r="AO1011" s="156">
        <v>158.0</v>
      </c>
      <c r="AP1011" s="1093">
        <v>-0.19040863130135</v>
      </c>
      <c r="AQ1011" s="1115" t="s">
        <v>173</v>
      </c>
      <c r="AR1011" s="68"/>
      <c r="AS1011" s="1093">
        <v>0.0182407236142778</v>
      </c>
      <c r="AT1011" s="1115" t="s">
        <v>172</v>
      </c>
      <c r="AU1011" s="159" t="s">
        <v>186</v>
      </c>
      <c r="AV1011" s="159" t="s">
        <v>137</v>
      </c>
      <c r="AW1011" s="435" t="s">
        <v>5524</v>
      </c>
      <c r="AX1011" s="68" t="s">
        <v>143</v>
      </c>
      <c r="AY1011" s="61" t="str">
        <f>IFERROR(__xludf.DUMMYFUNCTION("vlookup(BB1011,importrange(""https://docs.google.com/spreadsheets/d/1d2vevQ_7D_v35q4wCQ4RpQ_IPoTwEMB9Yp6ymwlPqew/edit?gid=984458430#gid=984458430"", ""'replication success'!A:K""), 11, FAlSE)"),"failed")</f>
        <v>failed</v>
      </c>
      <c r="AZ1011" s="61" t="str">
        <f>IFERROR(__xludf.DUMMYFUNCTION("vlookup(BB1011,importrange(""https://docs.google.com/spreadsheets/d/1d2vevQ_7D_v35q4wCQ4RpQ_IPoTwEMB9Yp6ymwlPqew/edit?gid=984458430#gid=984458430"",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11" s="61" t="str">
        <f>IFERROR(__xludf.DUMMYFUNCTION("vlookup(BB1011,importrange(""https://docs.google.com/spreadsheets/d/1d2vevQ_7D_v35q4wCQ4RpQ_IPoTwEMB9Yp6ymwlPqew/edit?gid=984458430#gid=984458430"",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v>
      </c>
      <c r="BB1011" s="61" t="str">
        <f>IFERROR(__xludf.DUMMYFUNCTION("REGEXREPLACE(G1011, ""_[a-z]{1,2}$"", """")"),"Boyce_etal202323")</f>
        <v>Boyce_etal202323</v>
      </c>
      <c r="BC1011" s="62" t="s">
        <v>5525</v>
      </c>
      <c r="BD1011" s="68" t="s">
        <v>153</v>
      </c>
    </row>
    <row r="1012">
      <c r="A1012" s="44">
        <v>1012.0</v>
      </c>
      <c r="B1012" s="68" t="s">
        <v>114</v>
      </c>
      <c r="C1012" s="62" t="s">
        <v>115</v>
      </c>
      <c r="D1012" s="62" t="s">
        <v>248</v>
      </c>
      <c r="F1012" s="159" t="s">
        <v>5526</v>
      </c>
      <c r="G1012" s="159" t="s">
        <v>5527</v>
      </c>
      <c r="H1012" s="159" t="s">
        <v>249</v>
      </c>
      <c r="I1012" s="152">
        <v>45664.0</v>
      </c>
      <c r="J1012" s="152">
        <v>45692.0</v>
      </c>
      <c r="K1012" s="437" t="s">
        <v>5528</v>
      </c>
      <c r="L1012" s="68"/>
      <c r="M1012" s="159" t="s">
        <v>5529</v>
      </c>
      <c r="N1012" s="159" t="s">
        <v>5530</v>
      </c>
      <c r="O1012" s="68"/>
      <c r="P1012" s="159" t="str">
        <f t="shared" si="52"/>
        <v>10.1177--0956797611419168.pdf</v>
      </c>
      <c r="Q1012" s="52" t="str">
        <f t="array" ref="Q1012"> if(iserror(MATCH(V1012, 'File Links'!C:C, 0)), "N/A", HYPERLINK(INDEX('File Links'!B:B, MATCH(P1012, 'File Links'!C:C, 0))))</f>
        <v>https://drive.google.com/file/d/1nanNymgjGLBTTIftwQHD0CPkPgFLXjko/view?usp=drivesdk</v>
      </c>
      <c r="R1012" s="606" t="s">
        <v>3653</v>
      </c>
      <c r="S1012" s="159" t="s">
        <v>3654</v>
      </c>
      <c r="T1012" s="441" t="s">
        <v>5531</v>
      </c>
      <c r="U1012" s="156">
        <v>1.0</v>
      </c>
      <c r="V1012" s="198" t="str">
        <f t="shared" si="55"/>
        <v>10.1098--rsos.231240.pdf</v>
      </c>
      <c r="W1012" s="159" t="s">
        <v>3665</v>
      </c>
      <c r="X1012" s="54" t="str">
        <f t="array" ref="X1012"> if(iserror(MATCH(V1012, 'File Links'!C:C, 0)), "N/A", HYPERLINK(INDEX('File Links'!B:B, MATCH(V1012, 'File Links'!C:C, 0))))</f>
        <v>https://drive.google.com/file/d/17gaf2Zy_ljFfcAEDk5L8GBnTl5i7RGJE/view?usp=drivesdk</v>
      </c>
      <c r="Y1012" s="68"/>
      <c r="Z1012" s="159" t="s">
        <v>148</v>
      </c>
      <c r="AA1012" s="68"/>
      <c r="AB1012" s="159" t="s">
        <v>5532</v>
      </c>
      <c r="AC1012" s="68"/>
      <c r="AD1012" s="159" t="s">
        <v>5533</v>
      </c>
      <c r="AE1012" s="156">
        <v>1168.0</v>
      </c>
      <c r="AF1012" s="156">
        <v>30.0</v>
      </c>
      <c r="AG1012" s="159" t="s">
        <v>138</v>
      </c>
      <c r="AH1012" s="167" t="s">
        <v>138</v>
      </c>
      <c r="AI1012" s="159" t="s">
        <v>138</v>
      </c>
      <c r="AJ1012" s="159" t="s">
        <v>138</v>
      </c>
      <c r="AK1012" s="68"/>
      <c r="AL1012" s="159" t="s">
        <v>186</v>
      </c>
      <c r="AM1012" s="159" t="s">
        <v>1905</v>
      </c>
      <c r="AN1012" s="151" t="s">
        <v>138</v>
      </c>
      <c r="AO1012" s="156">
        <v>29.0</v>
      </c>
      <c r="AP1012" s="159" t="s">
        <v>138</v>
      </c>
      <c r="AQ1012" s="68"/>
      <c r="AR1012" s="68"/>
      <c r="AS1012" s="159" t="s">
        <v>138</v>
      </c>
      <c r="AT1012" s="68"/>
      <c r="AU1012" s="159" t="s">
        <v>186</v>
      </c>
      <c r="AV1012" s="159" t="s">
        <v>1905</v>
      </c>
      <c r="AW1012" s="68"/>
      <c r="AX1012" s="159" t="s">
        <v>143</v>
      </c>
      <c r="AY1012" s="61" t="str">
        <f>IFERROR(__xludf.DUMMYFUNCTION("vlookup(BB1012,importrange(""https://docs.google.com/spreadsheets/d/1d2vevQ_7D_v35q4wCQ4RpQ_IPoTwEMB9Yp6ymwlPqew/edit?gid=984458430#gid=984458430"", ""'replication success'!A:K""), 11, FAlSE)"),"#N/A")</f>
        <v>#N/A</v>
      </c>
      <c r="AZ1012" s="61" t="str">
        <f>IFERROR(__xludf.DUMMYFUNCTION("vlookup(BB1012,importrange(""https://docs.google.com/spreadsheets/d/1d2vevQ_7D_v35q4wCQ4RpQ_IPoTwEMB9Yp6ymwlPqew/edit?gid=984458430#gid=984458430"", ""'replication success'!A:M""), 12, FAlSE)"),"#N/A")</f>
        <v>#N/A</v>
      </c>
      <c r="BA1012" s="61" t="str">
        <f>IFERROR(__xludf.DUMMYFUNCTION("vlookup(BB1012,importrange(""https://docs.google.com/spreadsheets/d/1d2vevQ_7D_v35q4wCQ4RpQ_IPoTwEMB9Yp6ymwlPqew/edit?gid=984458430#gid=984458430"", ""'replication success'!A:M""), 13, FAlSE)"),"#N/A")</f>
        <v>#N/A</v>
      </c>
      <c r="BB1012" s="61" t="str">
        <f>IFERROR(__xludf.DUMMYFUNCTION("REGEXREPLACE(G1012, ""_[a-z]{1,2}$"", """")"),"Boyce_etal202324_1")</f>
        <v>Boyce_etal202324_1</v>
      </c>
      <c r="BD1012" s="68" t="s">
        <v>153</v>
      </c>
    </row>
    <row r="1013">
      <c r="A1013" s="44">
        <v>1013.0</v>
      </c>
      <c r="B1013" s="68" t="s">
        <v>114</v>
      </c>
      <c r="C1013" s="62" t="s">
        <v>115</v>
      </c>
      <c r="D1013" s="62" t="s">
        <v>153</v>
      </c>
      <c r="F1013" s="68" t="s">
        <v>5527</v>
      </c>
      <c r="G1013" s="159" t="s">
        <v>5526</v>
      </c>
      <c r="H1013" s="159" t="s">
        <v>153</v>
      </c>
      <c r="I1013" s="152">
        <v>45687.0</v>
      </c>
      <c r="J1013" s="152">
        <v>45692.0</v>
      </c>
      <c r="K1013" s="437" t="s">
        <v>5534</v>
      </c>
      <c r="L1013" s="68"/>
      <c r="M1013" s="159" t="s">
        <v>5529</v>
      </c>
      <c r="N1013" s="159" t="s">
        <v>5530</v>
      </c>
      <c r="O1013" s="156" t="s">
        <v>5535</v>
      </c>
      <c r="P1013" s="159" t="str">
        <f t="shared" si="52"/>
        <v>10.1177--0956797611419168.pdf</v>
      </c>
      <c r="Q1013" s="52" t="str">
        <f t="array" ref="Q1013"> if(iserror(MATCH(V1013, 'File Links'!C:C, 0)), "N/A", HYPERLINK(INDEX('File Links'!B:B, MATCH(P1013, 'File Links'!C:C, 0))))</f>
        <v>https://drive.google.com/file/d/1nanNymgjGLBTTIftwQHD0CPkPgFLXjko/view?usp=drivesdk</v>
      </c>
      <c r="R1013" s="606" t="s">
        <v>3653</v>
      </c>
      <c r="S1013" s="159" t="s">
        <v>3654</v>
      </c>
      <c r="T1013" s="441" t="s">
        <v>5531</v>
      </c>
      <c r="U1013" s="156">
        <v>1.0</v>
      </c>
      <c r="V1013" s="382" t="s">
        <v>3658</v>
      </c>
      <c r="W1013" s="159" t="s">
        <v>3671</v>
      </c>
      <c r="X1013" s="54" t="str">
        <f t="array" ref="X1013"> if(iserror(MATCH(V1013, 'File Links'!C:C, 0)), "N/A", HYPERLINK(INDEX('File Links'!B:B, MATCH(V1013, 'File Links'!C:C, 0))))</f>
        <v>https://drive.google.com/file/d/17gaf2Zy_ljFfcAEDk5L8GBnTl5i7RGJE/view?usp=drivesdk</v>
      </c>
      <c r="Y1013" s="159" t="s">
        <v>5536</v>
      </c>
      <c r="Z1013" s="68"/>
      <c r="AA1013" s="68"/>
      <c r="AB1013" s="68"/>
      <c r="AC1013" s="68"/>
      <c r="AD1013" s="68"/>
      <c r="AE1013" s="68"/>
      <c r="AF1013" s="68"/>
      <c r="AG1013" s="68"/>
      <c r="AH1013" s="68"/>
      <c r="AI1013" s="68"/>
      <c r="AJ1013" s="68"/>
      <c r="AK1013" s="68"/>
      <c r="AL1013" s="68"/>
      <c r="AM1013" s="68"/>
      <c r="AN1013" s="151" t="s">
        <v>138</v>
      </c>
      <c r="AO1013" s="68"/>
      <c r="AP1013" s="68"/>
      <c r="AQ1013" s="68"/>
      <c r="AR1013" s="68"/>
      <c r="AS1013" s="68"/>
      <c r="AT1013" s="68"/>
      <c r="AU1013" s="68"/>
      <c r="AV1013" s="68"/>
      <c r="AW1013" s="68"/>
      <c r="AX1013" s="68"/>
      <c r="AY1013" s="61" t="str">
        <f>IFERROR(__xludf.DUMMYFUNCTION("vlookup(BB1013,importrange(""https://docs.google.com/spreadsheets/d/1d2vevQ_7D_v35q4wCQ4RpQ_IPoTwEMB9Yp6ymwlPqew/edit?gid=984458430#gid=984458430"", ""'replication success'!A:K""), 11, FAlSE)"),"#N/A")</f>
        <v>#N/A</v>
      </c>
      <c r="AZ1013" s="61" t="str">
        <f>IFERROR(__xludf.DUMMYFUNCTION("vlookup(BB1013,importrange(""https://docs.google.com/spreadsheets/d/1d2vevQ_7D_v35q4wCQ4RpQ_IPoTwEMB9Yp6ymwlPqew/edit?gid=984458430#gid=984458430"", ""'replication success'!A:M""), 12, FAlSE)"),"#N/A")</f>
        <v>#N/A</v>
      </c>
      <c r="BA1013" s="61" t="str">
        <f>IFERROR(__xludf.DUMMYFUNCTION("vlookup(BB1013,importrange(""https://docs.google.com/spreadsheets/d/1d2vevQ_7D_v35q4wCQ4RpQ_IPoTwEMB9Yp6ymwlPqew/edit?gid=984458430#gid=984458430"", ""'replication success'!A:M""), 13, FAlSE)"),"#N/A")</f>
        <v>#N/A</v>
      </c>
      <c r="BB1013" s="61" t="str">
        <f>IFERROR(__xludf.DUMMYFUNCTION("REGEXREPLACE(G1013, ""_[a-z]{1,2}$"", """")"),"Boyce_etal202324")</f>
        <v>Boyce_etal202324</v>
      </c>
      <c r="BD1013" s="68" t="s">
        <v>153</v>
      </c>
    </row>
    <row r="1014">
      <c r="A1014" s="328">
        <v>1014.0</v>
      </c>
      <c r="B1014" s="129" t="s">
        <v>152</v>
      </c>
      <c r="C1014" s="325" t="s">
        <v>115</v>
      </c>
      <c r="D1014" s="325" t="s">
        <v>248</v>
      </c>
      <c r="E1014" s="226"/>
      <c r="F1014" s="244" t="s">
        <v>5537</v>
      </c>
      <c r="G1014" s="244" t="s">
        <v>5538</v>
      </c>
      <c r="H1014" s="244" t="s">
        <v>249</v>
      </c>
      <c r="I1014" s="658">
        <v>45664.0</v>
      </c>
      <c r="J1014" s="658">
        <v>45692.0</v>
      </c>
      <c r="K1014" s="387" t="s">
        <v>5539</v>
      </c>
      <c r="L1014" s="331" t="s">
        <v>3690</v>
      </c>
      <c r="M1014" s="244" t="s">
        <v>5540</v>
      </c>
      <c r="N1014" s="244" t="s">
        <v>5541</v>
      </c>
      <c r="O1014" s="331"/>
      <c r="P1014" s="244" t="str">
        <f t="shared" si="52"/>
        <v>10.1086--511799.pdf</v>
      </c>
      <c r="Q1014" s="661" t="str">
        <f t="array" ref="Q1014"> if(iserror(MATCH(V1014, 'File Links'!C:C, 0)), "N/A", HYPERLINK(INDEX('File Links'!B:B, MATCH(P1014, 'File Links'!C:C, 0))))</f>
        <v>https://drive.google.com/file/d/1kVWNkPYWfpPoaNfzdmDoKO9zV0jbI67W/view?usp=drivesdk</v>
      </c>
      <c r="R1014" s="1309" t="s">
        <v>3653</v>
      </c>
      <c r="S1014" s="244" t="s">
        <v>3654</v>
      </c>
      <c r="T1014" s="663" t="s">
        <v>5542</v>
      </c>
      <c r="U1014" s="334">
        <v>1.0</v>
      </c>
      <c r="V1014" s="244" t="str">
        <f t="shared" ref="V1014:V1022" si="56"> hyperlink(vlookup(lower(S1014),#REF!, 2, FALSE), SUBSTITUTE(lower(S1014), "/", "--") &amp;  ".pdf")</f>
        <v>10.1098--rsos.231240.pdf</v>
      </c>
      <c r="W1014" s="244" t="s">
        <v>3726</v>
      </c>
      <c r="X1014" s="1173" t="str">
        <f t="array" ref="X1014"> if(iserror(MATCH(V1014, 'File Links'!C:C, 0)), "N/A", HYPERLINK(INDEX('File Links'!B:B, MATCH(V1014, 'File Links'!C:C, 0))))</f>
        <v>https://drive.google.com/file/d/17gaf2Zy_ljFfcAEDk5L8GBnTl5i7RGJE/view?usp=drivesdk</v>
      </c>
      <c r="Y1014" s="331"/>
      <c r="Z1014" s="244" t="s">
        <v>947</v>
      </c>
      <c r="AA1014" s="244" t="s">
        <v>5543</v>
      </c>
      <c r="AB1014" s="244" t="s">
        <v>5544</v>
      </c>
      <c r="AC1014" s="244" t="s">
        <v>5545</v>
      </c>
      <c r="AD1014" s="244" t="s">
        <v>5546</v>
      </c>
      <c r="AE1014" s="334">
        <v>20.0</v>
      </c>
      <c r="AF1014" s="334">
        <v>94.0</v>
      </c>
      <c r="AG1014" s="334">
        <v>0.849411594880563</v>
      </c>
      <c r="AH1014" s="244" t="s">
        <v>173</v>
      </c>
      <c r="AI1014" s="334" t="s">
        <v>1257</v>
      </c>
      <c r="AJ1014" s="334">
        <v>0.05</v>
      </c>
      <c r="AK1014" s="244" t="s">
        <v>135</v>
      </c>
      <c r="AL1014" s="244" t="s">
        <v>186</v>
      </c>
      <c r="AM1014" s="324" t="s">
        <v>137</v>
      </c>
      <c r="AN1014" s="324" t="s">
        <v>138</v>
      </c>
      <c r="AO1014" s="334">
        <v>198.0</v>
      </c>
      <c r="AP1014" s="334">
        <v>0.0709264758253591</v>
      </c>
      <c r="AQ1014" s="244" t="s">
        <v>173</v>
      </c>
      <c r="AR1014" s="1181" t="s">
        <v>5547</v>
      </c>
      <c r="AS1014" s="334">
        <v>0.31949202403835</v>
      </c>
      <c r="AT1014" s="244" t="s">
        <v>172</v>
      </c>
      <c r="AU1014" s="244" t="s">
        <v>186</v>
      </c>
      <c r="AV1014" s="324" t="s">
        <v>137</v>
      </c>
      <c r="AW1014" s="330" t="s">
        <v>138</v>
      </c>
      <c r="AX1014" s="244" t="s">
        <v>143</v>
      </c>
      <c r="AY1014" s="61" t="str">
        <f>IFERROR(__xludf.DUMMYFUNCTION("vlookup(BB1014,importrange(""https://docs.google.com/spreadsheets/d/1d2vevQ_7D_v35q4wCQ4RpQ_IPoTwEMB9Yp6ymwlPqew/edit?gid=984458430#gid=984458430"", ""'replication success'!A:K""), 11, FAlSE)"),"#N/A")</f>
        <v>#N/A</v>
      </c>
      <c r="AZ1014" s="61" t="str">
        <f>IFERROR(__xludf.DUMMYFUNCTION("vlookup(BB1014,importrange(""https://docs.google.com/spreadsheets/d/1d2vevQ_7D_v35q4wCQ4RpQ_IPoTwEMB9Yp6ymwlPqew/edit?gid=984458430#gid=984458430"", ""'replication success'!A:M""), 12, FAlSE)"),"#N/A")</f>
        <v>#N/A</v>
      </c>
      <c r="BA1014" s="61" t="str">
        <f>IFERROR(__xludf.DUMMYFUNCTION("vlookup(BB1014,importrange(""https://docs.google.com/spreadsheets/d/1d2vevQ_7D_v35q4wCQ4RpQ_IPoTwEMB9Yp6ymwlPqew/edit?gid=984458430#gid=984458430"", ""'replication success'!A:M""), 13, FAlSE)"),"#N/A")</f>
        <v>#N/A</v>
      </c>
      <c r="BB1014" s="61" t="str">
        <f>IFERROR(__xludf.DUMMYFUNCTION("REGEXREPLACE(G1014, ""_[a-z]{1,2}$"", """")"),"Boyce_etal202325_1")</f>
        <v>Boyce_etal202325_1</v>
      </c>
      <c r="BC1014" s="226"/>
      <c r="BD1014" s="331" t="s">
        <v>153</v>
      </c>
      <c r="BE1014" s="325" t="s">
        <v>144</v>
      </c>
      <c r="BF1014" s="226"/>
      <c r="BG1014" s="226"/>
      <c r="BH1014" s="226"/>
      <c r="BI1014" s="226"/>
      <c r="BJ1014" s="226"/>
      <c r="BK1014" s="226"/>
      <c r="BL1014" s="226"/>
      <c r="BM1014" s="226"/>
      <c r="BN1014" s="226"/>
      <c r="BO1014" s="226"/>
      <c r="BP1014" s="226"/>
      <c r="BQ1014" s="226"/>
      <c r="BR1014" s="226"/>
      <c r="BS1014" s="226"/>
      <c r="BT1014" s="226"/>
      <c r="BU1014" s="226"/>
      <c r="BV1014" s="226"/>
      <c r="BW1014" s="226"/>
      <c r="BX1014" s="226"/>
      <c r="BY1014" s="226"/>
      <c r="BZ1014" s="226"/>
      <c r="CA1014" s="226"/>
      <c r="CB1014" s="226"/>
      <c r="CC1014" s="226"/>
      <c r="CD1014" s="226"/>
      <c r="CE1014" s="226"/>
      <c r="CF1014" s="226"/>
      <c r="CG1014" s="226"/>
      <c r="CH1014" s="226"/>
      <c r="CI1014" s="226"/>
      <c r="CJ1014" s="226"/>
      <c r="CK1014" s="226"/>
      <c r="CL1014" s="226"/>
      <c r="CM1014" s="226"/>
      <c r="CN1014" s="226"/>
      <c r="CO1014" s="226"/>
      <c r="CP1014" s="226"/>
      <c r="CQ1014" s="226"/>
      <c r="CR1014" s="226"/>
      <c r="CS1014" s="226"/>
      <c r="CT1014" s="226"/>
      <c r="CU1014" s="226"/>
      <c r="CV1014" s="226"/>
      <c r="CW1014" s="226"/>
      <c r="CX1014" s="226"/>
      <c r="CY1014" s="226"/>
      <c r="CZ1014" s="226"/>
      <c r="DA1014" s="226"/>
      <c r="DB1014" s="226"/>
      <c r="DC1014" s="226"/>
      <c r="DD1014" s="226"/>
      <c r="DE1014" s="226"/>
      <c r="DF1014" s="226"/>
      <c r="DG1014" s="226"/>
      <c r="DH1014" s="226"/>
      <c r="DI1014" s="226"/>
      <c r="DJ1014" s="226"/>
      <c r="DK1014" s="226"/>
      <c r="DL1014" s="226"/>
    </row>
    <row r="1015">
      <c r="A1015" s="328">
        <v>1015.0</v>
      </c>
      <c r="B1015" s="331" t="s">
        <v>114</v>
      </c>
      <c r="C1015" s="325" t="s">
        <v>115</v>
      </c>
      <c r="D1015" s="325" t="s">
        <v>153</v>
      </c>
      <c r="E1015" s="226"/>
      <c r="F1015" s="331" t="s">
        <v>5538</v>
      </c>
      <c r="G1015" s="244" t="s">
        <v>5537</v>
      </c>
      <c r="H1015" s="244" t="s">
        <v>153</v>
      </c>
      <c r="I1015" s="658">
        <v>45687.0</v>
      </c>
      <c r="J1015" s="658">
        <v>45692.0</v>
      </c>
      <c r="K1015" s="396" t="s">
        <v>5548</v>
      </c>
      <c r="L1015" s="331"/>
      <c r="M1015" s="244" t="s">
        <v>5540</v>
      </c>
      <c r="N1015" s="244" t="s">
        <v>5541</v>
      </c>
      <c r="O1015" s="244" t="s">
        <v>5549</v>
      </c>
      <c r="P1015" s="244" t="str">
        <f t="shared" si="52"/>
        <v>10.1086--511799.pdf</v>
      </c>
      <c r="Q1015" s="661" t="str">
        <f t="array" ref="Q1015"> if(iserror(MATCH(V1015, 'File Links'!C:C, 0)), "N/A", HYPERLINK(INDEX('File Links'!B:B, MATCH(P1015, 'File Links'!C:C, 0))))</f>
        <v>https://drive.google.com/file/d/1kVWNkPYWfpPoaNfzdmDoKO9zV0jbI67W/view?usp=drivesdk</v>
      </c>
      <c r="R1015" s="1309" t="s">
        <v>3653</v>
      </c>
      <c r="S1015" s="244" t="s">
        <v>3654</v>
      </c>
      <c r="T1015" s="663" t="s">
        <v>5542</v>
      </c>
      <c r="U1015" s="334">
        <v>1.0</v>
      </c>
      <c r="V1015" s="244" t="str">
        <f t="shared" si="56"/>
        <v>10.1098--rsos.231240.pdf</v>
      </c>
      <c r="W1015" s="244" t="s">
        <v>3726</v>
      </c>
      <c r="X1015" s="1173" t="str">
        <f t="array" ref="X1015"> if(iserror(MATCH(V1015, 'File Links'!C:C, 0)), "N/A", HYPERLINK(INDEX('File Links'!B:B, MATCH(V1015, 'File Links'!C:C, 0))))</f>
        <v>https://drive.google.com/file/d/17gaf2Zy_ljFfcAEDk5L8GBnTl5i7RGJE/view?usp=drivesdk</v>
      </c>
      <c r="Y1015" s="331"/>
      <c r="Z1015" s="244" t="s">
        <v>947</v>
      </c>
      <c r="AA1015" s="244" t="s">
        <v>5543</v>
      </c>
      <c r="AB1015" s="244" t="s">
        <v>5544</v>
      </c>
      <c r="AC1015" s="244" t="s">
        <v>5545</v>
      </c>
      <c r="AD1015" s="244" t="s">
        <v>5550</v>
      </c>
      <c r="AE1015" s="334">
        <v>20.0</v>
      </c>
      <c r="AF1015" s="1310">
        <v>94.0</v>
      </c>
      <c r="AG1015" s="334">
        <v>0.849411594880563</v>
      </c>
      <c r="AH1015" s="334" t="s">
        <v>173</v>
      </c>
      <c r="AI1015" s="334" t="s">
        <v>1257</v>
      </c>
      <c r="AJ1015" s="334">
        <f>IFERROR(__xludf.DUMMYFUNCTION("7.83134738554709*10^-24"),7.83134738554709E-24)</f>
        <v>0</v>
      </c>
      <c r="AK1015" s="244" t="s">
        <v>172</v>
      </c>
      <c r="AL1015" s="244" t="s">
        <v>186</v>
      </c>
      <c r="AM1015" s="324" t="s">
        <v>137</v>
      </c>
      <c r="AN1015" s="324" t="s">
        <v>138</v>
      </c>
      <c r="AO1015" s="334">
        <v>198.0</v>
      </c>
      <c r="AP1015" s="334">
        <v>-0.07071</v>
      </c>
      <c r="AQ1015" s="334" t="s">
        <v>987</v>
      </c>
      <c r="AR1015" s="1181" t="s">
        <v>5547</v>
      </c>
      <c r="AS1015" s="334">
        <v>0.0593</v>
      </c>
      <c r="AT1015" s="244" t="s">
        <v>172</v>
      </c>
      <c r="AU1015" s="244" t="s">
        <v>186</v>
      </c>
      <c r="AV1015" s="324" t="s">
        <v>137</v>
      </c>
      <c r="AW1015" s="330" t="s">
        <v>138</v>
      </c>
      <c r="AX1015" s="331" t="s">
        <v>151</v>
      </c>
      <c r="AY1015" s="61" t="str">
        <f>IFERROR(__xludf.DUMMYFUNCTION("vlookup(BB1015,importrange(""https://docs.google.com/spreadsheets/d/1d2vevQ_7D_v35q4wCQ4RpQ_IPoTwEMB9Yp6ymwlPqew/edit?gid=984458430#gid=984458430"", ""'replication success'!A:K""), 11, FAlSE)"),"#N/A")</f>
        <v>#N/A</v>
      </c>
      <c r="AZ1015" s="61" t="str">
        <f>IFERROR(__xludf.DUMMYFUNCTION("vlookup(BB1015,importrange(""https://docs.google.com/spreadsheets/d/1d2vevQ_7D_v35q4wCQ4RpQ_IPoTwEMB9Yp6ymwlPqew/edit?gid=984458430#gid=984458430"", ""'replication success'!A:M""), 12, FAlSE)"),"#N/A")</f>
        <v>#N/A</v>
      </c>
      <c r="BA1015" s="61" t="str">
        <f>IFERROR(__xludf.DUMMYFUNCTION("vlookup(BB1015,importrange(""https://docs.google.com/spreadsheets/d/1d2vevQ_7D_v35q4wCQ4RpQ_IPoTwEMB9Yp6ymwlPqew/edit?gid=984458430#gid=984458430"", ""'replication success'!A:M""), 13, FAlSE)"),"#N/A")</f>
        <v>#N/A</v>
      </c>
      <c r="BB1015" s="61" t="str">
        <f>IFERROR(__xludf.DUMMYFUNCTION("REGEXREPLACE(G1015, ""_[a-z]{1,2}$"", """")"),"Boyce_etal202325")</f>
        <v>Boyce_etal202325</v>
      </c>
      <c r="BC1015" s="226"/>
      <c r="BD1015" s="331" t="s">
        <v>153</v>
      </c>
      <c r="BE1015" s="325" t="s">
        <v>144</v>
      </c>
      <c r="BF1015" s="226"/>
      <c r="BG1015" s="226"/>
      <c r="BH1015" s="226"/>
      <c r="BI1015" s="226"/>
      <c r="BJ1015" s="226"/>
      <c r="BK1015" s="226"/>
      <c r="BL1015" s="226"/>
      <c r="BM1015" s="226"/>
      <c r="BN1015" s="226"/>
      <c r="BO1015" s="226"/>
      <c r="BP1015" s="226"/>
      <c r="BQ1015" s="226"/>
      <c r="BR1015" s="226"/>
      <c r="BS1015" s="226"/>
      <c r="BT1015" s="226"/>
      <c r="BU1015" s="226"/>
      <c r="BV1015" s="226"/>
      <c r="BW1015" s="226"/>
      <c r="BX1015" s="226"/>
      <c r="BY1015" s="226"/>
      <c r="BZ1015" s="226"/>
      <c r="CA1015" s="226"/>
      <c r="CB1015" s="226"/>
      <c r="CC1015" s="226"/>
      <c r="CD1015" s="226"/>
      <c r="CE1015" s="226"/>
      <c r="CF1015" s="226"/>
      <c r="CG1015" s="226"/>
      <c r="CH1015" s="226"/>
      <c r="CI1015" s="226"/>
      <c r="CJ1015" s="226"/>
      <c r="CK1015" s="226"/>
      <c r="CL1015" s="226"/>
      <c r="CM1015" s="226"/>
      <c r="CN1015" s="226"/>
      <c r="CO1015" s="226"/>
      <c r="CP1015" s="226"/>
      <c r="CQ1015" s="226"/>
      <c r="CR1015" s="226"/>
      <c r="CS1015" s="226"/>
      <c r="CT1015" s="226"/>
      <c r="CU1015" s="226"/>
      <c r="CV1015" s="226"/>
      <c r="CW1015" s="226"/>
      <c r="CX1015" s="226"/>
      <c r="CY1015" s="226"/>
      <c r="CZ1015" s="226"/>
      <c r="DA1015" s="226"/>
      <c r="DB1015" s="226"/>
      <c r="DC1015" s="226"/>
      <c r="DD1015" s="226"/>
      <c r="DE1015" s="226"/>
      <c r="DF1015" s="226"/>
      <c r="DG1015" s="226"/>
      <c r="DH1015" s="226"/>
      <c r="DI1015" s="226"/>
      <c r="DJ1015" s="226"/>
      <c r="DK1015" s="226"/>
      <c r="DL1015" s="226"/>
    </row>
    <row r="1016">
      <c r="A1016" s="328">
        <v>1016.0</v>
      </c>
      <c r="B1016" s="129" t="s">
        <v>152</v>
      </c>
      <c r="C1016" s="325" t="s">
        <v>115</v>
      </c>
      <c r="D1016" s="325" t="s">
        <v>153</v>
      </c>
      <c r="E1016" s="226"/>
      <c r="F1016" s="331" t="s">
        <v>5538</v>
      </c>
      <c r="G1016" s="244" t="s">
        <v>5551</v>
      </c>
      <c r="H1016" s="244" t="s">
        <v>153</v>
      </c>
      <c r="I1016" s="658">
        <v>45687.0</v>
      </c>
      <c r="J1016" s="658">
        <v>45692.0</v>
      </c>
      <c r="K1016" s="396" t="s">
        <v>5552</v>
      </c>
      <c r="L1016" s="331"/>
      <c r="M1016" s="244" t="s">
        <v>5540</v>
      </c>
      <c r="N1016" s="244" t="s">
        <v>5541</v>
      </c>
      <c r="O1016" s="244" t="s">
        <v>5549</v>
      </c>
      <c r="P1016" s="244" t="str">
        <f t="shared" si="52"/>
        <v>10.1086--511799.pdf</v>
      </c>
      <c r="Q1016" s="661" t="str">
        <f t="array" ref="Q1016"> if(iserror(MATCH(V1016, 'File Links'!C:C, 0)), "N/A", HYPERLINK(INDEX('File Links'!B:B, MATCH(P1016, 'File Links'!C:C, 0))))</f>
        <v>https://drive.google.com/file/d/1kVWNkPYWfpPoaNfzdmDoKO9zV0jbI67W/view?usp=drivesdk</v>
      </c>
      <c r="R1016" s="1309" t="s">
        <v>3653</v>
      </c>
      <c r="S1016" s="244" t="s">
        <v>3654</v>
      </c>
      <c r="T1016" s="663" t="s">
        <v>5542</v>
      </c>
      <c r="U1016" s="334">
        <v>1.0</v>
      </c>
      <c r="V1016" s="244" t="str">
        <f t="shared" si="56"/>
        <v>10.1098--rsos.231240.pdf</v>
      </c>
      <c r="W1016" s="244" t="s">
        <v>3726</v>
      </c>
      <c r="X1016" s="1173" t="str">
        <f t="array" ref="X1016"> if(iserror(MATCH(V1016, 'File Links'!C:C, 0)), "N/A", HYPERLINK(INDEX('File Links'!B:B, MATCH(V1016, 'File Links'!C:C, 0))))</f>
        <v>https://drive.google.com/file/d/17gaf2Zy_ljFfcAEDk5L8GBnTl5i7RGJE/view?usp=drivesdk</v>
      </c>
      <c r="Y1016" s="331"/>
      <c r="Z1016" s="244" t="s">
        <v>947</v>
      </c>
      <c r="AA1016" s="244" t="s">
        <v>5543</v>
      </c>
      <c r="AB1016" s="244" t="s">
        <v>5544</v>
      </c>
      <c r="AC1016" s="244" t="s">
        <v>5553</v>
      </c>
      <c r="AD1016" s="244" t="s">
        <v>5554</v>
      </c>
      <c r="AE1016" s="1178">
        <v>24.0</v>
      </c>
      <c r="AF1016" s="1178">
        <v>188.0</v>
      </c>
      <c r="AG1016" s="1178">
        <v>0.57</v>
      </c>
      <c r="AH1016" s="334" t="s">
        <v>987</v>
      </c>
      <c r="AI1016" s="1178" t="s">
        <v>2301</v>
      </c>
      <c r="AJ1016" s="1178">
        <v>0.1</v>
      </c>
      <c r="AK1016" s="244" t="s">
        <v>135</v>
      </c>
      <c r="AL1016" s="244" t="s">
        <v>136</v>
      </c>
      <c r="AM1016" s="331" t="s">
        <v>137</v>
      </c>
      <c r="AN1016" s="324" t="s">
        <v>138</v>
      </c>
      <c r="AO1016" s="334">
        <v>198.0</v>
      </c>
      <c r="AP1016" s="1311">
        <v>-0.03677</v>
      </c>
      <c r="AQ1016" s="334" t="s">
        <v>987</v>
      </c>
      <c r="AR1016" s="1181" t="s">
        <v>5547</v>
      </c>
      <c r="AS1016" s="334">
        <v>0.41435</v>
      </c>
      <c r="AT1016" s="244" t="s">
        <v>172</v>
      </c>
      <c r="AU1016" s="244" t="s">
        <v>186</v>
      </c>
      <c r="AV1016" s="324" t="s">
        <v>137</v>
      </c>
      <c r="AW1016" s="330" t="s">
        <v>138</v>
      </c>
      <c r="AX1016" s="331" t="s">
        <v>151</v>
      </c>
      <c r="AY1016" s="61" t="str">
        <f>IFERROR(__xludf.DUMMYFUNCTION("vlookup(BB1016,importrange(""https://docs.google.com/spreadsheets/d/1d2vevQ_7D_v35q4wCQ4RpQ_IPoTwEMB9Yp6ymwlPqew/edit?gid=984458430#gid=984458430"", ""'replication success'!A:K""), 11, FAlSE)"),"#N/A")</f>
        <v>#N/A</v>
      </c>
      <c r="AZ1016" s="61" t="str">
        <f>IFERROR(__xludf.DUMMYFUNCTION("vlookup(BB1016,importrange(""https://docs.google.com/spreadsheets/d/1d2vevQ_7D_v35q4wCQ4RpQ_IPoTwEMB9Yp6ymwlPqew/edit?gid=984458430#gid=984458430"", ""'replication success'!A:M""), 12, FAlSE)"),"#N/A")</f>
        <v>#N/A</v>
      </c>
      <c r="BA1016" s="61" t="str">
        <f>IFERROR(__xludf.DUMMYFUNCTION("vlookup(BB1016,importrange(""https://docs.google.com/spreadsheets/d/1d2vevQ_7D_v35q4wCQ4RpQ_IPoTwEMB9Yp6ymwlPqew/edit?gid=984458430#gid=984458430"", ""'replication success'!A:M""), 13, FAlSE)"),"#N/A")</f>
        <v>#N/A</v>
      </c>
      <c r="BB1016" s="61" t="str">
        <f>IFERROR(__xludf.DUMMYFUNCTION("REGEXREPLACE(G1016, ""_[a-z]{1,2}$"", """")"),"Boyce_etal202325")</f>
        <v>Boyce_etal202325</v>
      </c>
      <c r="BC1016" s="226"/>
      <c r="BD1016" s="331" t="s">
        <v>153</v>
      </c>
      <c r="BE1016" s="325" t="s">
        <v>144</v>
      </c>
      <c r="BF1016" s="226"/>
      <c r="BG1016" s="226"/>
      <c r="BH1016" s="226"/>
      <c r="BI1016" s="226"/>
      <c r="BJ1016" s="226"/>
      <c r="BK1016" s="226"/>
      <c r="BL1016" s="226"/>
      <c r="BM1016" s="226"/>
      <c r="BN1016" s="226"/>
      <c r="BO1016" s="226"/>
      <c r="BP1016" s="226"/>
      <c r="BQ1016" s="226"/>
      <c r="BR1016" s="226"/>
      <c r="BS1016" s="226"/>
      <c r="BT1016" s="226"/>
      <c r="BU1016" s="226"/>
      <c r="BV1016" s="226"/>
      <c r="BW1016" s="226"/>
      <c r="BX1016" s="226"/>
      <c r="BY1016" s="226"/>
      <c r="BZ1016" s="226"/>
      <c r="CA1016" s="226"/>
      <c r="CB1016" s="226"/>
      <c r="CC1016" s="226"/>
      <c r="CD1016" s="226"/>
      <c r="CE1016" s="226"/>
      <c r="CF1016" s="226"/>
      <c r="CG1016" s="226"/>
      <c r="CH1016" s="226"/>
      <c r="CI1016" s="226"/>
      <c r="CJ1016" s="226"/>
      <c r="CK1016" s="226"/>
      <c r="CL1016" s="226"/>
      <c r="CM1016" s="226"/>
      <c r="CN1016" s="226"/>
      <c r="CO1016" s="226"/>
      <c r="CP1016" s="226"/>
      <c r="CQ1016" s="226"/>
      <c r="CR1016" s="226"/>
      <c r="CS1016" s="226"/>
      <c r="CT1016" s="226"/>
      <c r="CU1016" s="226"/>
      <c r="CV1016" s="226"/>
      <c r="CW1016" s="226"/>
      <c r="CX1016" s="226"/>
      <c r="CY1016" s="226"/>
      <c r="CZ1016" s="226"/>
      <c r="DA1016" s="226"/>
      <c r="DB1016" s="226"/>
      <c r="DC1016" s="226"/>
      <c r="DD1016" s="226"/>
      <c r="DE1016" s="226"/>
      <c r="DF1016" s="226"/>
      <c r="DG1016" s="226"/>
      <c r="DH1016" s="226"/>
      <c r="DI1016" s="226"/>
      <c r="DJ1016" s="226"/>
      <c r="DK1016" s="226"/>
      <c r="DL1016" s="226"/>
    </row>
    <row r="1017">
      <c r="A1017" s="328">
        <v>1017.0</v>
      </c>
      <c r="B1017" s="129" t="s">
        <v>152</v>
      </c>
      <c r="C1017" s="325" t="s">
        <v>115</v>
      </c>
      <c r="D1017" s="325" t="s">
        <v>153</v>
      </c>
      <c r="E1017" s="226"/>
      <c r="F1017" s="331" t="s">
        <v>5538</v>
      </c>
      <c r="G1017" s="244" t="s">
        <v>5555</v>
      </c>
      <c r="H1017" s="244" t="s">
        <v>153</v>
      </c>
      <c r="I1017" s="658">
        <v>45687.0</v>
      </c>
      <c r="J1017" s="658">
        <v>45692.0</v>
      </c>
      <c r="K1017" s="396" t="s">
        <v>5556</v>
      </c>
      <c r="L1017" s="331"/>
      <c r="M1017" s="244" t="s">
        <v>5540</v>
      </c>
      <c r="N1017" s="244" t="s">
        <v>5541</v>
      </c>
      <c r="O1017" s="244" t="s">
        <v>5549</v>
      </c>
      <c r="P1017" s="244" t="str">
        <f t="shared" si="52"/>
        <v>10.1086--511799.pdf</v>
      </c>
      <c r="Q1017" s="661" t="str">
        <f t="array" ref="Q1017"> if(iserror(MATCH(V1017, 'File Links'!C:C, 0)), "N/A", HYPERLINK(INDEX('File Links'!B:B, MATCH(P1017, 'File Links'!C:C, 0))))</f>
        <v>https://drive.google.com/file/d/1kVWNkPYWfpPoaNfzdmDoKO9zV0jbI67W/view?usp=drivesdk</v>
      </c>
      <c r="R1017" s="1309" t="s">
        <v>3653</v>
      </c>
      <c r="S1017" s="244" t="s">
        <v>3654</v>
      </c>
      <c r="T1017" s="663" t="s">
        <v>5542</v>
      </c>
      <c r="U1017" s="334">
        <v>1.0</v>
      </c>
      <c r="V1017" s="244" t="str">
        <f t="shared" si="56"/>
        <v>10.1098--rsos.231240.pdf</v>
      </c>
      <c r="W1017" s="244" t="s">
        <v>3726</v>
      </c>
      <c r="X1017" s="1173" t="str">
        <f t="array" ref="X1017"> if(iserror(MATCH(V1017, 'File Links'!C:C, 0)), "N/A", HYPERLINK(INDEX('File Links'!B:B, MATCH(V1017, 'File Links'!C:C, 0))))</f>
        <v>https://drive.google.com/file/d/17gaf2Zy_ljFfcAEDk5L8GBnTl5i7RGJE/view?usp=drivesdk</v>
      </c>
      <c r="Y1017" s="331"/>
      <c r="Z1017" s="244" t="s">
        <v>947</v>
      </c>
      <c r="AA1017" s="244" t="s">
        <v>5543</v>
      </c>
      <c r="AB1017" s="244" t="s">
        <v>5544</v>
      </c>
      <c r="AC1017" s="244" t="s">
        <v>5557</v>
      </c>
      <c r="AD1017" s="244" t="s">
        <v>5554</v>
      </c>
      <c r="AE1017" s="1178">
        <v>24.0</v>
      </c>
      <c r="AF1017" s="1178">
        <v>188.0</v>
      </c>
      <c r="AG1017" s="1178">
        <v>1.21</v>
      </c>
      <c r="AH1017" s="334" t="s">
        <v>987</v>
      </c>
      <c r="AI1017" s="1178" t="s">
        <v>2301</v>
      </c>
      <c r="AJ1017" s="1178">
        <v>0.001</v>
      </c>
      <c r="AK1017" s="244" t="s">
        <v>135</v>
      </c>
      <c r="AL1017" s="244" t="s">
        <v>136</v>
      </c>
      <c r="AM1017" s="331" t="s">
        <v>137</v>
      </c>
      <c r="AN1017" s="324" t="s">
        <v>138</v>
      </c>
      <c r="AO1017" s="334">
        <v>198.0</v>
      </c>
      <c r="AP1017" s="1311">
        <v>-0.1356</v>
      </c>
      <c r="AQ1017" s="334" t="s">
        <v>987</v>
      </c>
      <c r="AR1017" s="1181" t="s">
        <v>5547</v>
      </c>
      <c r="AS1017" s="334">
        <v>0.00205</v>
      </c>
      <c r="AT1017" s="244" t="s">
        <v>172</v>
      </c>
      <c r="AU1017" s="244" t="s">
        <v>186</v>
      </c>
      <c r="AV1017" s="324" t="s">
        <v>137</v>
      </c>
      <c r="AW1017" s="330" t="s">
        <v>138</v>
      </c>
      <c r="AX1017" s="331" t="s">
        <v>151</v>
      </c>
      <c r="AY1017" s="61" t="str">
        <f>IFERROR(__xludf.DUMMYFUNCTION("vlookup(BB1017,importrange(""https://docs.google.com/spreadsheets/d/1d2vevQ_7D_v35q4wCQ4RpQ_IPoTwEMB9Yp6ymwlPqew/edit?gid=984458430#gid=984458430"", ""'replication success'!A:K""), 11, FAlSE)"),"#N/A")</f>
        <v>#N/A</v>
      </c>
      <c r="AZ1017" s="61" t="str">
        <f>IFERROR(__xludf.DUMMYFUNCTION("vlookup(BB1017,importrange(""https://docs.google.com/spreadsheets/d/1d2vevQ_7D_v35q4wCQ4RpQ_IPoTwEMB9Yp6ymwlPqew/edit?gid=984458430#gid=984458430"", ""'replication success'!A:M""), 12, FAlSE)"),"#N/A")</f>
        <v>#N/A</v>
      </c>
      <c r="BA1017" s="61" t="str">
        <f>IFERROR(__xludf.DUMMYFUNCTION("vlookup(BB1017,importrange(""https://docs.google.com/spreadsheets/d/1d2vevQ_7D_v35q4wCQ4RpQ_IPoTwEMB9Yp6ymwlPqew/edit?gid=984458430#gid=984458430"", ""'replication success'!A:M""), 13, FAlSE)"),"#N/A")</f>
        <v>#N/A</v>
      </c>
      <c r="BB1017" s="61" t="str">
        <f>IFERROR(__xludf.DUMMYFUNCTION("REGEXREPLACE(G1017, ""_[a-z]{1,2}$"", """")"),"Boyce_etal202325")</f>
        <v>Boyce_etal202325</v>
      </c>
      <c r="BC1017" s="226"/>
      <c r="BD1017" s="331" t="s">
        <v>153</v>
      </c>
      <c r="BE1017" s="325" t="s">
        <v>144</v>
      </c>
      <c r="BF1017" s="226"/>
      <c r="BG1017" s="226"/>
      <c r="BH1017" s="226"/>
      <c r="BI1017" s="226"/>
      <c r="BJ1017" s="226"/>
      <c r="BK1017" s="226"/>
      <c r="BL1017" s="226"/>
      <c r="BM1017" s="226"/>
      <c r="BN1017" s="226"/>
      <c r="BO1017" s="226"/>
      <c r="BP1017" s="226"/>
      <c r="BQ1017" s="226"/>
      <c r="BR1017" s="226"/>
      <c r="BS1017" s="226"/>
      <c r="BT1017" s="226"/>
      <c r="BU1017" s="226"/>
      <c r="BV1017" s="226"/>
      <c r="BW1017" s="226"/>
      <c r="BX1017" s="226"/>
      <c r="BY1017" s="226"/>
      <c r="BZ1017" s="226"/>
      <c r="CA1017" s="226"/>
      <c r="CB1017" s="226"/>
      <c r="CC1017" s="226"/>
      <c r="CD1017" s="226"/>
      <c r="CE1017" s="226"/>
      <c r="CF1017" s="226"/>
      <c r="CG1017" s="226"/>
      <c r="CH1017" s="226"/>
      <c r="CI1017" s="226"/>
      <c r="CJ1017" s="226"/>
      <c r="CK1017" s="226"/>
      <c r="CL1017" s="226"/>
      <c r="CM1017" s="226"/>
      <c r="CN1017" s="226"/>
      <c r="CO1017" s="226"/>
      <c r="CP1017" s="226"/>
      <c r="CQ1017" s="226"/>
      <c r="CR1017" s="226"/>
      <c r="CS1017" s="226"/>
      <c r="CT1017" s="226"/>
      <c r="CU1017" s="226"/>
      <c r="CV1017" s="226"/>
      <c r="CW1017" s="226"/>
      <c r="CX1017" s="226"/>
      <c r="CY1017" s="226"/>
      <c r="CZ1017" s="226"/>
      <c r="DA1017" s="226"/>
      <c r="DB1017" s="226"/>
      <c r="DC1017" s="226"/>
      <c r="DD1017" s="226"/>
      <c r="DE1017" s="226"/>
      <c r="DF1017" s="226"/>
      <c r="DG1017" s="226"/>
      <c r="DH1017" s="226"/>
      <c r="DI1017" s="226"/>
      <c r="DJ1017" s="226"/>
      <c r="DK1017" s="226"/>
      <c r="DL1017" s="226"/>
    </row>
    <row r="1018">
      <c r="A1018" s="44">
        <v>1018.0</v>
      </c>
      <c r="B1018" s="129" t="s">
        <v>152</v>
      </c>
      <c r="C1018" s="62" t="s">
        <v>115</v>
      </c>
      <c r="D1018" s="62" t="s">
        <v>248</v>
      </c>
      <c r="F1018" s="159" t="s">
        <v>5558</v>
      </c>
      <c r="G1018" s="159" t="s">
        <v>5559</v>
      </c>
      <c r="H1018" s="159" t="s">
        <v>249</v>
      </c>
      <c r="I1018" s="152">
        <v>45664.0</v>
      </c>
      <c r="J1018" s="152">
        <v>45692.0</v>
      </c>
      <c r="K1018" s="68"/>
      <c r="L1018" s="68"/>
      <c r="M1018" s="159" t="s">
        <v>5560</v>
      </c>
      <c r="N1018" s="159" t="s">
        <v>5561</v>
      </c>
      <c r="O1018" s="129" t="s">
        <v>5562</v>
      </c>
      <c r="P1018" s="159" t="str">
        <f t="shared" si="52"/>
        <v>10.1177--0956797614527113.pdf</v>
      </c>
      <c r="Q1018" s="52" t="str">
        <f t="array" ref="Q1018"> if(iserror(MATCH(V1018, 'File Links'!C:C, 0)), "N/A", HYPERLINK(INDEX('File Links'!B:B, MATCH(P1018, 'File Links'!C:C, 0))))</f>
        <v>https://drive.google.com/file/d/1eY8ustezkGTBEFCvn47T4iFMNEc9SoCR/view?usp=drivesdk</v>
      </c>
      <c r="R1018" s="606" t="s">
        <v>3653</v>
      </c>
      <c r="S1018" s="159" t="s">
        <v>3654</v>
      </c>
      <c r="T1018" s="441" t="s">
        <v>5563</v>
      </c>
      <c r="U1018" s="156">
        <v>1.0</v>
      </c>
      <c r="V1018" s="198" t="str">
        <f t="shared" si="56"/>
        <v>10.1098--rsos.231240.pdf</v>
      </c>
      <c r="W1018" s="159" t="s">
        <v>3804</v>
      </c>
      <c r="X1018" s="54" t="str">
        <f t="array" ref="X1018"> if(iserror(MATCH(V1018, 'File Links'!C:C, 0)), "N/A", HYPERLINK(INDEX('File Links'!B:B, MATCH(V1018, 'File Links'!C:C, 0))))</f>
        <v>https://drive.google.com/file/d/17gaf2Zy_ljFfcAEDk5L8GBnTl5i7RGJE/view?usp=drivesdk</v>
      </c>
      <c r="Y1018" s="68"/>
      <c r="Z1018" s="159" t="s">
        <v>226</v>
      </c>
      <c r="AA1018" s="159" t="s">
        <v>5564</v>
      </c>
      <c r="AB1018" s="159" t="s">
        <v>5565</v>
      </c>
      <c r="AC1018" s="159" t="s">
        <v>5566</v>
      </c>
      <c r="AD1018" s="159" t="s">
        <v>5567</v>
      </c>
      <c r="AE1018" s="1093">
        <v>5.0</v>
      </c>
      <c r="AF1018" s="156">
        <v>170.0</v>
      </c>
      <c r="AG1018" s="156">
        <v>0.08</v>
      </c>
      <c r="AH1018" s="159" t="s">
        <v>139</v>
      </c>
      <c r="AI1018" s="1115" t="s">
        <v>813</v>
      </c>
      <c r="AJ1018" s="156">
        <v>0.001</v>
      </c>
      <c r="AK1018" s="159" t="s">
        <v>135</v>
      </c>
      <c r="AL1018" s="159" t="s">
        <v>186</v>
      </c>
      <c r="AM1018" s="159" t="s">
        <v>141</v>
      </c>
      <c r="AN1018" s="151" t="s">
        <v>138</v>
      </c>
      <c r="AO1018" s="156">
        <v>114.0</v>
      </c>
      <c r="AP1018" s="156">
        <v>0.270426749845588</v>
      </c>
      <c r="AQ1018" s="159" t="s">
        <v>173</v>
      </c>
      <c r="AR1018" s="123" t="s">
        <v>4120</v>
      </c>
      <c r="AS1018" s="156">
        <v>0.00484125243751612</v>
      </c>
      <c r="AT1018" s="159" t="s">
        <v>172</v>
      </c>
      <c r="AU1018" s="159" t="s">
        <v>186</v>
      </c>
      <c r="AV1018" s="159" t="s">
        <v>141</v>
      </c>
      <c r="AW1018" s="129" t="s">
        <v>138</v>
      </c>
      <c r="AX1018" s="1115" t="s">
        <v>151</v>
      </c>
      <c r="AY1018" s="61" t="str">
        <f>IFERROR(__xludf.DUMMYFUNCTION("vlookup(BB1018,importrange(""https://docs.google.com/spreadsheets/d/1d2vevQ_7D_v35q4wCQ4RpQ_IPoTwEMB9Yp6ymwlPqew/edit?gid=984458430#gid=984458430"", ""'replication success'!A:K""), 11, FAlSE)"),"#N/A")</f>
        <v>#N/A</v>
      </c>
      <c r="AZ1018" s="61" t="str">
        <f>IFERROR(__xludf.DUMMYFUNCTION("vlookup(BB1018,importrange(""https://docs.google.com/spreadsheets/d/1d2vevQ_7D_v35q4wCQ4RpQ_IPoTwEMB9Yp6ymwlPqew/edit?gid=984458430#gid=984458430"", ""'replication success'!A:M""), 12, FAlSE)"),"#N/A")</f>
        <v>#N/A</v>
      </c>
      <c r="BA1018" s="61" t="str">
        <f>IFERROR(__xludf.DUMMYFUNCTION("vlookup(BB1018,importrange(""https://docs.google.com/spreadsheets/d/1d2vevQ_7D_v35q4wCQ4RpQ_IPoTwEMB9Yp6ymwlPqew/edit?gid=984458430#gid=984458430"", ""'replication success'!A:M""), 13, FAlSE)"),"#N/A")</f>
        <v>#N/A</v>
      </c>
      <c r="BB1018" s="61" t="str">
        <f>IFERROR(__xludf.DUMMYFUNCTION("REGEXREPLACE(G1018, ""_[a-z]{1,2}$"", """")"),"Boyce_etal202326_1")</f>
        <v>Boyce_etal202326_1</v>
      </c>
      <c r="BD1018" s="68" t="s">
        <v>153</v>
      </c>
      <c r="BE1018" s="325" t="s">
        <v>144</v>
      </c>
    </row>
    <row r="1019">
      <c r="A1019" s="44">
        <v>1019.0</v>
      </c>
      <c r="B1019" s="68" t="s">
        <v>114</v>
      </c>
      <c r="C1019" s="62" t="s">
        <v>115</v>
      </c>
      <c r="D1019" s="62" t="s">
        <v>153</v>
      </c>
      <c r="F1019" s="68" t="s">
        <v>5559</v>
      </c>
      <c r="G1019" s="159" t="s">
        <v>5558</v>
      </c>
      <c r="H1019" s="159" t="s">
        <v>153</v>
      </c>
      <c r="I1019" s="152">
        <v>45687.0</v>
      </c>
      <c r="J1019" s="152">
        <v>45692.0</v>
      </c>
      <c r="K1019" s="1055" t="s">
        <v>5568</v>
      </c>
      <c r="L1019" s="159" t="s">
        <v>5569</v>
      </c>
      <c r="M1019" s="159" t="s">
        <v>5560</v>
      </c>
      <c r="N1019" s="159" t="s">
        <v>5561</v>
      </c>
      <c r="O1019" s="156" t="s">
        <v>5562</v>
      </c>
      <c r="P1019" s="159" t="str">
        <f t="shared" si="52"/>
        <v>10.1177--0956797614527113.pdf</v>
      </c>
      <c r="Q1019" s="52" t="str">
        <f t="array" ref="Q1019"> if(iserror(MATCH(V1019, 'File Links'!C:C, 0)), "N/A", HYPERLINK(INDEX('File Links'!B:B, MATCH(P1019, 'File Links'!C:C, 0))))</f>
        <v>https://drive.google.com/file/d/1eY8ustezkGTBEFCvn47T4iFMNEc9SoCR/view?usp=drivesdk</v>
      </c>
      <c r="R1019" s="606" t="s">
        <v>3653</v>
      </c>
      <c r="S1019" s="159" t="s">
        <v>3654</v>
      </c>
      <c r="T1019" s="68"/>
      <c r="U1019" s="156">
        <v>1.0</v>
      </c>
      <c r="V1019" s="198" t="str">
        <f t="shared" si="56"/>
        <v>10.1098--rsos.231240.pdf</v>
      </c>
      <c r="W1019" s="159" t="s">
        <v>3807</v>
      </c>
      <c r="X1019" s="54" t="str">
        <f t="array" ref="X1019"> if(iserror(MATCH(V1019, 'File Links'!C:C, 0)), "N/A", HYPERLINK(INDEX('File Links'!B:B, MATCH(V1019, 'File Links'!C:C, 0))))</f>
        <v>https://drive.google.com/file/d/17gaf2Zy_ljFfcAEDk5L8GBnTl5i7RGJE/view?usp=drivesdk</v>
      </c>
      <c r="Y1019" s="68"/>
      <c r="Z1019" s="159" t="s">
        <v>226</v>
      </c>
      <c r="AA1019" s="159" t="s">
        <v>5564</v>
      </c>
      <c r="AB1019" s="159" t="s">
        <v>5565</v>
      </c>
      <c r="AC1019" s="159" t="s">
        <v>5566</v>
      </c>
      <c r="AD1019" s="159" t="s">
        <v>5570</v>
      </c>
      <c r="AE1019" s="156">
        <v>6.0</v>
      </c>
      <c r="AF1019" s="156">
        <v>170.0</v>
      </c>
      <c r="AG1019" s="156">
        <v>0.06</v>
      </c>
      <c r="AH1019" s="156" t="s">
        <v>874</v>
      </c>
      <c r="AI1019" s="156" t="s">
        <v>140</v>
      </c>
      <c r="AJ1019" s="156">
        <v>0.008</v>
      </c>
      <c r="AK1019" s="159" t="s">
        <v>172</v>
      </c>
      <c r="AL1019" s="159" t="s">
        <v>186</v>
      </c>
      <c r="AM1019" s="159" t="s">
        <v>141</v>
      </c>
      <c r="AN1019" s="151" t="s">
        <v>138</v>
      </c>
      <c r="AO1019" s="156">
        <v>114.0</v>
      </c>
      <c r="AP1019" s="1306">
        <v>0.01074317</v>
      </c>
      <c r="AQ1019" s="156" t="s">
        <v>874</v>
      </c>
      <c r="AR1019" s="156" t="s">
        <v>613</v>
      </c>
      <c r="AS1019" s="1306">
        <v>0.5491</v>
      </c>
      <c r="AT1019" s="159" t="s">
        <v>172</v>
      </c>
      <c r="AU1019" s="159" t="s">
        <v>186</v>
      </c>
      <c r="AV1019" s="159" t="s">
        <v>141</v>
      </c>
      <c r="AW1019" s="68"/>
      <c r="AX1019" s="68" t="s">
        <v>151</v>
      </c>
      <c r="AY1019" s="61" t="str">
        <f>IFERROR(__xludf.DUMMYFUNCTION("vlookup(BB1019,importrange(""https://docs.google.com/spreadsheets/d/1d2vevQ_7D_v35q4wCQ4RpQ_IPoTwEMB9Yp6ymwlPqew/edit?gid=984458430#gid=984458430"", ""'replication success'!A:K""), 11, FAlSE)"),"#N/A")</f>
        <v>#N/A</v>
      </c>
      <c r="AZ1019" s="61" t="str">
        <f>IFERROR(__xludf.DUMMYFUNCTION("vlookup(BB1019,importrange(""https://docs.google.com/spreadsheets/d/1d2vevQ_7D_v35q4wCQ4RpQ_IPoTwEMB9Yp6ymwlPqew/edit?gid=984458430#gid=984458430"", ""'replication success'!A:M""), 12, FAlSE)"),"#N/A")</f>
        <v>#N/A</v>
      </c>
      <c r="BA1019" s="61" t="str">
        <f>IFERROR(__xludf.DUMMYFUNCTION("vlookup(BB1019,importrange(""https://docs.google.com/spreadsheets/d/1d2vevQ_7D_v35q4wCQ4RpQ_IPoTwEMB9Yp6ymwlPqew/edit?gid=984458430#gid=984458430"", ""'replication success'!A:M""), 13, FAlSE)"),"#N/A")</f>
        <v>#N/A</v>
      </c>
      <c r="BB1019" s="61" t="str">
        <f>IFERROR(__xludf.DUMMYFUNCTION("REGEXREPLACE(G1019, ""_[a-z]{1,2}$"", """")"),"Boyce_etal202326")</f>
        <v>Boyce_etal202326</v>
      </c>
      <c r="BD1019" s="68" t="s">
        <v>153</v>
      </c>
    </row>
    <row r="1020">
      <c r="A1020" s="44">
        <v>1020.0</v>
      </c>
      <c r="B1020" s="68" t="s">
        <v>114</v>
      </c>
      <c r="C1020" s="62" t="s">
        <v>115</v>
      </c>
      <c r="D1020" s="62" t="s">
        <v>248</v>
      </c>
      <c r="F1020" s="159" t="s">
        <v>5571</v>
      </c>
      <c r="G1020" s="159" t="s">
        <v>5572</v>
      </c>
      <c r="H1020" s="159" t="s">
        <v>249</v>
      </c>
      <c r="I1020" s="152">
        <v>45664.0</v>
      </c>
      <c r="J1020" s="152">
        <v>45692.0</v>
      </c>
      <c r="K1020" s="68"/>
      <c r="L1020" s="68" t="s">
        <v>3690</v>
      </c>
      <c r="M1020" s="159" t="s">
        <v>5573</v>
      </c>
      <c r="N1020" s="159" t="s">
        <v>5574</v>
      </c>
      <c r="O1020" s="68"/>
      <c r="P1020" s="159" t="str">
        <f t="shared" si="52"/>
        <v>10.1177--1948550612457688.pdf</v>
      </c>
      <c r="Q1020" s="52" t="str">
        <f t="array" ref="Q1020"> if(iserror(MATCH(V1020, 'File Links'!C:C, 0)), "N/A", HYPERLINK(INDEX('File Links'!B:B, MATCH(P1020, 'File Links'!C:C, 0))))</f>
        <v>https://drive.google.com/file/d/1Mvv6lSbYDT3w1CNkuj_yKZJZyGVo8_wu/view?usp=drivesdk</v>
      </c>
      <c r="R1020" s="606" t="s">
        <v>3653</v>
      </c>
      <c r="S1020" s="159" t="s">
        <v>3654</v>
      </c>
      <c r="T1020" s="68"/>
      <c r="U1020" s="156">
        <v>1.0</v>
      </c>
      <c r="V1020" s="198" t="str">
        <f t="shared" si="56"/>
        <v>10.1098--rsos.231240.pdf</v>
      </c>
      <c r="W1020" s="159" t="s">
        <v>3665</v>
      </c>
      <c r="X1020" s="54" t="str">
        <f t="array" ref="X1020"> if(iserror(MATCH(V1020, 'File Links'!C:C, 0)), "N/A", HYPERLINK(INDEX('File Links'!B:B, MATCH(V1020, 'File Links'!C:C, 0))))</f>
        <v>https://drive.google.com/file/d/17gaf2Zy_ljFfcAEDk5L8GBnTl5i7RGJE/view?usp=drivesdk</v>
      </c>
      <c r="Y1020" s="68"/>
      <c r="Z1020" s="159" t="s">
        <v>226</v>
      </c>
      <c r="AA1020" s="68"/>
      <c r="AB1020" s="68"/>
      <c r="AC1020" s="68"/>
      <c r="AD1020" s="151" t="s">
        <v>5575</v>
      </c>
      <c r="AE1020" s="1059">
        <v>309.0</v>
      </c>
      <c r="AF1020" s="156">
        <v>119.0</v>
      </c>
      <c r="AG1020" s="161" t="s">
        <v>5576</v>
      </c>
      <c r="AH1020" s="119" t="s">
        <v>134</v>
      </c>
      <c r="AI1020" s="1060" t="s">
        <v>5577</v>
      </c>
      <c r="AJ1020" s="156">
        <v>0.001</v>
      </c>
      <c r="AK1020" s="159" t="s">
        <v>135</v>
      </c>
      <c r="AL1020" s="159" t="s">
        <v>136</v>
      </c>
      <c r="AM1020" s="159" t="s">
        <v>141</v>
      </c>
      <c r="AN1020" s="151" t="s">
        <v>138</v>
      </c>
      <c r="AO1020" s="156">
        <v>115.0</v>
      </c>
      <c r="AP1020" s="156">
        <v>2.25666163594155</v>
      </c>
      <c r="AQ1020" s="159" t="s">
        <v>173</v>
      </c>
      <c r="AR1020" s="68"/>
      <c r="AS1020" s="1061">
        <v>4.02218906166799E-22</v>
      </c>
      <c r="AT1020" s="159" t="s">
        <v>172</v>
      </c>
      <c r="AU1020" s="159" t="s">
        <v>186</v>
      </c>
      <c r="AV1020" s="159" t="s">
        <v>141</v>
      </c>
      <c r="AW1020" s="68"/>
      <c r="AX1020" s="159" t="s">
        <v>143</v>
      </c>
      <c r="AY1020" s="61" t="str">
        <f>IFERROR(__xludf.DUMMYFUNCTION("vlookup(BB1020,importrange(""https://docs.google.com/spreadsheets/d/1d2vevQ_7D_v35q4wCQ4RpQ_IPoTwEMB9Yp6ymwlPqew/edit?gid=984458430#gid=984458430"", ""'replication success'!A:K""), 11, FAlSE)"),"#N/A")</f>
        <v>#N/A</v>
      </c>
      <c r="AZ1020" s="61" t="str">
        <f>IFERROR(__xludf.DUMMYFUNCTION("vlookup(BB1020,importrange(""https://docs.google.com/spreadsheets/d/1d2vevQ_7D_v35q4wCQ4RpQ_IPoTwEMB9Yp6ymwlPqew/edit?gid=984458430#gid=984458430"", ""'replication success'!A:M""), 12, FAlSE)"),"#N/A")</f>
        <v>#N/A</v>
      </c>
      <c r="BA1020" s="61" t="str">
        <f>IFERROR(__xludf.DUMMYFUNCTION("vlookup(BB1020,importrange(""https://docs.google.com/spreadsheets/d/1d2vevQ_7D_v35q4wCQ4RpQ_IPoTwEMB9Yp6ymwlPqew/edit?gid=984458430#gid=984458430"", ""'replication success'!A:M""), 13, FAlSE)"),"#N/A")</f>
        <v>#N/A</v>
      </c>
      <c r="BB1020" s="61" t="str">
        <f>IFERROR(__xludf.DUMMYFUNCTION("REGEXREPLACE(G1020, ""_[a-z]{1,2}$"", """")"),"Boyce_etal202327_1")</f>
        <v>Boyce_etal202327_1</v>
      </c>
      <c r="BD1020" s="68" t="s">
        <v>153</v>
      </c>
    </row>
    <row r="1021">
      <c r="A1021" s="44">
        <v>1021.0</v>
      </c>
      <c r="B1021" s="129" t="s">
        <v>152</v>
      </c>
      <c r="C1021" s="62" t="s">
        <v>115</v>
      </c>
      <c r="D1021" s="62" t="s">
        <v>153</v>
      </c>
      <c r="F1021" s="68" t="s">
        <v>5572</v>
      </c>
      <c r="G1021" s="159" t="s">
        <v>5571</v>
      </c>
      <c r="H1021" s="159" t="s">
        <v>153</v>
      </c>
      <c r="I1021" s="152">
        <v>45687.0</v>
      </c>
      <c r="J1021" s="152">
        <v>45692.0</v>
      </c>
      <c r="K1021" s="439" t="s">
        <v>5578</v>
      </c>
      <c r="L1021" s="68" t="s">
        <v>5503</v>
      </c>
      <c r="M1021" s="159" t="s">
        <v>5573</v>
      </c>
      <c r="N1021" s="159" t="s">
        <v>5574</v>
      </c>
      <c r="O1021" s="156">
        <v>1.0</v>
      </c>
      <c r="P1021" s="159" t="str">
        <f t="shared" si="52"/>
        <v>10.1177--1948550612457688.pdf</v>
      </c>
      <c r="Q1021" s="52" t="str">
        <f t="array" ref="Q1021"> if(iserror(MATCH(V1021, 'File Links'!C:C, 0)), "N/A", HYPERLINK(INDEX('File Links'!B:B, MATCH(P1021, 'File Links'!C:C, 0))))</f>
        <v>https://drive.google.com/file/d/1Mvv6lSbYDT3w1CNkuj_yKZJZyGVo8_wu/view?usp=drivesdk</v>
      </c>
      <c r="R1021" s="606" t="s">
        <v>3653</v>
      </c>
      <c r="S1021" s="159" t="s">
        <v>3654</v>
      </c>
      <c r="T1021" s="68"/>
      <c r="U1021" s="156">
        <v>1.0</v>
      </c>
      <c r="V1021" s="198" t="str">
        <f t="shared" si="56"/>
        <v>10.1098--rsos.231240.pdf</v>
      </c>
      <c r="W1021" s="159" t="s">
        <v>3671</v>
      </c>
      <c r="X1021" s="54" t="str">
        <f t="array" ref="X1021"> if(iserror(MATCH(V1021, 'File Links'!C:C, 0)), "N/A", HYPERLINK(INDEX('File Links'!B:B, MATCH(V1021, 'File Links'!C:C, 0))))</f>
        <v>https://drive.google.com/file/d/17gaf2Zy_ljFfcAEDk5L8GBnTl5i7RGJE/view?usp=drivesdk</v>
      </c>
      <c r="Y1021" s="68"/>
      <c r="Z1021" s="159" t="s">
        <v>226</v>
      </c>
      <c r="AA1021" s="159" t="s">
        <v>5579</v>
      </c>
      <c r="AB1021" s="159" t="s">
        <v>5580</v>
      </c>
      <c r="AC1021" s="159" t="s">
        <v>5581</v>
      </c>
      <c r="AD1021" s="151" t="s">
        <v>5582</v>
      </c>
      <c r="AE1021" s="156">
        <v>2.0</v>
      </c>
      <c r="AF1021" s="156">
        <v>119.0</v>
      </c>
      <c r="AG1021" s="156" t="s">
        <v>5583</v>
      </c>
      <c r="AH1021" s="156" t="s">
        <v>134</v>
      </c>
      <c r="AI1021" s="156" t="s">
        <v>875</v>
      </c>
      <c r="AJ1021" s="156">
        <v>0.001</v>
      </c>
      <c r="AK1021" s="159" t="s">
        <v>135</v>
      </c>
      <c r="AL1021" s="159" t="s">
        <v>136</v>
      </c>
      <c r="AM1021" s="159" t="s">
        <v>141</v>
      </c>
      <c r="AN1021" s="151" t="s">
        <v>138</v>
      </c>
      <c r="AO1021" s="156">
        <v>115.0</v>
      </c>
      <c r="AP1021" s="1117" t="s">
        <v>5584</v>
      </c>
      <c r="AQ1021" s="1116" t="s">
        <v>134</v>
      </c>
      <c r="AR1021" s="68"/>
      <c r="AS1021" s="1312">
        <v>4.02218906166799E-22</v>
      </c>
      <c r="AT1021" s="1115" t="s">
        <v>172</v>
      </c>
      <c r="AU1021" s="159" t="s">
        <v>186</v>
      </c>
      <c r="AV1021" s="159" t="s">
        <v>141</v>
      </c>
      <c r="AW1021" s="68"/>
      <c r="AX1021" s="68" t="s">
        <v>143</v>
      </c>
      <c r="AY1021" s="61" t="str">
        <f>IFERROR(__xludf.DUMMYFUNCTION("vlookup(BB1021,importrange(""https://docs.google.com/spreadsheets/d/1d2vevQ_7D_v35q4wCQ4RpQ_IPoTwEMB9Yp6ymwlPqew/edit?gid=984458430#gid=984458430"", ""'replication success'!A:K""), 11, FAlSE)"),"successful")</f>
        <v>successful</v>
      </c>
      <c r="AZ1021" s="61" t="str">
        <f>IFERROR(__xludf.DUMMYFUNCTION("vlookup(BB1021,importrange(""https://docs.google.com/spreadsheets/d/1d2vevQ_7D_v35q4wCQ4RpQ_IPoTwEMB9Yp6ymwlPqew/edit?gid=984458430#gid=984458430"",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21" s="61" t="str">
        <f>IFERROR(__xludf.DUMMYFUNCTION("vlookup(BB1021,importrange(""https://docs.google.com/spreadsheets/d/1d2vevQ_7D_v35q4wCQ4RpQ_IPoTwEMB9Yp6ymwlPqew/edit?gid=984458430#gid=984458430"",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v>
      </c>
      <c r="BB1021" s="61" t="str">
        <f>IFERROR(__xludf.DUMMYFUNCTION("REGEXREPLACE(G1021, ""_[a-z]{1,2}$"", """")"),"Boyce_etal202327")</f>
        <v>Boyce_etal202327</v>
      </c>
      <c r="BD1021" s="129" t="s">
        <v>3680</v>
      </c>
    </row>
    <row r="1022">
      <c r="A1022" s="44">
        <v>1022.0</v>
      </c>
      <c r="B1022" s="68" t="s">
        <v>114</v>
      </c>
      <c r="C1022" s="62" t="s">
        <v>115</v>
      </c>
      <c r="D1022" s="62" t="s">
        <v>248</v>
      </c>
      <c r="F1022" s="159" t="s">
        <v>5585</v>
      </c>
      <c r="G1022" s="159" t="s">
        <v>5586</v>
      </c>
      <c r="H1022" s="159" t="s">
        <v>249</v>
      </c>
      <c r="I1022" s="152">
        <v>45664.0</v>
      </c>
      <c r="J1022" s="152">
        <v>45692.0</v>
      </c>
      <c r="K1022" s="437" t="s">
        <v>3683</v>
      </c>
      <c r="L1022" s="68"/>
      <c r="M1022" s="159" t="s">
        <v>5587</v>
      </c>
      <c r="N1022" s="159" t="s">
        <v>5588</v>
      </c>
      <c r="O1022" s="68"/>
      <c r="P1022" s="159" t="str">
        <f t="shared" si="52"/>
        <v>10.1162--089892900562219.pdf</v>
      </c>
      <c r="Q1022" s="52" t="str">
        <f t="array" ref="Q1022"> if(iserror(MATCH(V1022, 'File Links'!C:C, 0)), "N/A", HYPERLINK(INDEX('File Links'!B:B, MATCH(P1022, 'File Links'!C:C, 0))))</f>
        <v>https://drive.google.com/file/d/1ExZ7juOSUgumoSt5vCuDEvgISB_mT9vX/view?usp=drivesdk</v>
      </c>
      <c r="R1022" s="606" t="s">
        <v>3653</v>
      </c>
      <c r="S1022" s="159" t="s">
        <v>3654</v>
      </c>
      <c r="T1022" s="68"/>
      <c r="U1022" s="156">
        <v>1.0</v>
      </c>
      <c r="V1022" s="198" t="str">
        <f t="shared" si="56"/>
        <v>10.1098--rsos.231240.pdf</v>
      </c>
      <c r="W1022" s="159" t="s">
        <v>324</v>
      </c>
      <c r="X1022" s="54" t="str">
        <f t="array" ref="X1022"> if(iserror(MATCH(V1022, 'File Links'!C:C, 0)), "N/A", HYPERLINK(INDEX('File Links'!B:B, MATCH(V1022, 'File Links'!C:C, 0))))</f>
        <v>https://drive.google.com/file/d/17gaf2Zy_ljFfcAEDk5L8GBnTl5i7RGJE/view?usp=drivesdk</v>
      </c>
      <c r="Y1022" s="68"/>
      <c r="Z1022" s="159" t="s">
        <v>148</v>
      </c>
      <c r="AA1022" s="68"/>
      <c r="AB1022" s="68"/>
      <c r="AC1022" s="68"/>
      <c r="AD1022" s="159" t="s">
        <v>138</v>
      </c>
      <c r="AE1022" s="159" t="s">
        <v>138</v>
      </c>
      <c r="AF1022" s="156">
        <v>24.0</v>
      </c>
      <c r="AG1022" s="159" t="s">
        <v>138</v>
      </c>
      <c r="AH1022" s="167" t="s">
        <v>138</v>
      </c>
      <c r="AI1022" s="159" t="s">
        <v>138</v>
      </c>
      <c r="AJ1022" s="159" t="s">
        <v>138</v>
      </c>
      <c r="AK1022" s="68"/>
      <c r="AL1022" s="159" t="s">
        <v>186</v>
      </c>
      <c r="AM1022" s="159" t="s">
        <v>1905</v>
      </c>
      <c r="AN1022" s="151" t="s">
        <v>138</v>
      </c>
      <c r="AO1022" s="156">
        <v>42.0</v>
      </c>
      <c r="AP1022" s="159" t="s">
        <v>138</v>
      </c>
      <c r="AQ1022" s="68"/>
      <c r="AR1022" s="68"/>
      <c r="AS1022" s="159" t="s">
        <v>138</v>
      </c>
      <c r="AT1022" s="68"/>
      <c r="AU1022" s="159" t="s">
        <v>186</v>
      </c>
      <c r="AV1022" s="159" t="s">
        <v>1905</v>
      </c>
      <c r="AW1022" s="68"/>
      <c r="AX1022" s="159" t="s">
        <v>143</v>
      </c>
      <c r="AY1022" s="61" t="str">
        <f>IFERROR(__xludf.DUMMYFUNCTION("vlookup(BB1022,importrange(""https://docs.google.com/spreadsheets/d/1d2vevQ_7D_v35q4wCQ4RpQ_IPoTwEMB9Yp6ymwlPqew/edit?gid=984458430#gid=984458430"", ""'replication success'!A:K""), 11, FAlSE)"),"#N/A")</f>
        <v>#N/A</v>
      </c>
      <c r="AZ1022" s="61" t="str">
        <f>IFERROR(__xludf.DUMMYFUNCTION("vlookup(BB1022,importrange(""https://docs.google.com/spreadsheets/d/1d2vevQ_7D_v35q4wCQ4RpQ_IPoTwEMB9Yp6ymwlPqew/edit?gid=984458430#gid=984458430"", ""'replication success'!A:M""), 12, FAlSE)"),"#N/A")</f>
        <v>#N/A</v>
      </c>
      <c r="BA1022" s="61" t="str">
        <f>IFERROR(__xludf.DUMMYFUNCTION("vlookup(BB1022,importrange(""https://docs.google.com/spreadsheets/d/1d2vevQ_7D_v35q4wCQ4RpQ_IPoTwEMB9Yp6ymwlPqew/edit?gid=984458430#gid=984458430"", ""'replication success'!A:M""), 13, FAlSE)"),"#N/A")</f>
        <v>#N/A</v>
      </c>
      <c r="BB1022" s="61" t="str">
        <f>IFERROR(__xludf.DUMMYFUNCTION("REGEXREPLACE(G1022, ""_[a-z]{1,2}$"", """")"),"Boyce_etal202328_1")</f>
        <v>Boyce_etal202328_1</v>
      </c>
      <c r="BD1022" s="68" t="s">
        <v>153</v>
      </c>
    </row>
    <row r="1023" ht="20.25" customHeight="1">
      <c r="A1023" s="44">
        <v>1023.0</v>
      </c>
      <c r="B1023" s="129" t="s">
        <v>4523</v>
      </c>
      <c r="C1023" s="62" t="s">
        <v>115</v>
      </c>
      <c r="D1023" s="62" t="s">
        <v>153</v>
      </c>
      <c r="F1023" s="68" t="s">
        <v>5586</v>
      </c>
      <c r="G1023" s="159" t="s">
        <v>5585</v>
      </c>
      <c r="H1023" s="159" t="s">
        <v>153</v>
      </c>
      <c r="I1023" s="152">
        <v>45687.0</v>
      </c>
      <c r="J1023" s="152">
        <v>45692.0</v>
      </c>
      <c r="K1023" s="437" t="s">
        <v>5589</v>
      </c>
      <c r="L1023" s="68"/>
      <c r="M1023" s="159" t="s">
        <v>5587</v>
      </c>
      <c r="N1023" s="159" t="s">
        <v>5588</v>
      </c>
      <c r="O1023" s="156">
        <v>1.0</v>
      </c>
      <c r="P1023" s="159" t="str">
        <f t="shared" si="52"/>
        <v>10.1162--089892900562219.pdf</v>
      </c>
      <c r="Q1023" s="52" t="str">
        <f t="array" ref="Q1023"> if(iserror(MATCH(V1023, 'File Links'!C:C, 0)), "N/A", HYPERLINK(INDEX('File Links'!B:B, MATCH(P1023, 'File Links'!C:C, 0))))</f>
        <v>https://drive.google.com/file/d/1ExZ7juOSUgumoSt5vCuDEvgISB_mT9vX/view?usp=drivesdk</v>
      </c>
      <c r="R1023" s="606" t="s">
        <v>3653</v>
      </c>
      <c r="S1023" s="159" t="s">
        <v>3654</v>
      </c>
      <c r="T1023" s="68"/>
      <c r="U1023" s="156">
        <v>1.0</v>
      </c>
      <c r="V1023" s="382" t="s">
        <v>3658</v>
      </c>
      <c r="W1023" s="159" t="s">
        <v>3726</v>
      </c>
      <c r="X1023" s="54" t="str">
        <f t="array" ref="X1023"> if(iserror(MATCH(V1023, 'File Links'!C:C, 0)), "N/A", HYPERLINK(INDEX('File Links'!B:B, MATCH(V1023, 'File Links'!C:C, 0))))</f>
        <v>https://drive.google.com/file/d/17gaf2Zy_ljFfcAEDk5L8GBnTl5i7RGJE/view?usp=drivesdk</v>
      </c>
      <c r="Y1023" s="159" t="s">
        <v>4487</v>
      </c>
      <c r="Z1023" s="68"/>
      <c r="AA1023" s="68"/>
      <c r="AB1023" s="68"/>
      <c r="AC1023" s="68"/>
      <c r="AD1023" s="68"/>
      <c r="AE1023" s="68"/>
      <c r="AF1023" s="68"/>
      <c r="AG1023" s="68"/>
      <c r="AH1023" s="68"/>
      <c r="AI1023" s="68"/>
      <c r="AJ1023" s="68"/>
      <c r="AK1023" s="68"/>
      <c r="AL1023" s="68"/>
      <c r="AM1023" s="68"/>
      <c r="AN1023" s="151" t="s">
        <v>138</v>
      </c>
      <c r="AO1023" s="68"/>
      <c r="AP1023" s="68"/>
      <c r="AQ1023" s="68"/>
      <c r="AR1023" s="68"/>
      <c r="AS1023" s="68"/>
      <c r="AT1023" s="68"/>
      <c r="AU1023" s="159" t="s">
        <v>186</v>
      </c>
      <c r="AV1023" s="159" t="s">
        <v>1905</v>
      </c>
      <c r="AW1023" s="68"/>
      <c r="AX1023" s="68"/>
      <c r="AY1023" s="61" t="str">
        <f>IFERROR(__xludf.DUMMYFUNCTION("vlookup(BB1023,importrange(""https://docs.google.com/spreadsheets/d/1d2vevQ_7D_v35q4wCQ4RpQ_IPoTwEMB9Yp6ymwlPqew/edit?gid=984458430#gid=984458430"", ""'replication success'!A:K""), 11, FAlSE)"),"#N/A")</f>
        <v>#N/A</v>
      </c>
      <c r="AZ1023" s="61" t="str">
        <f>IFERROR(__xludf.DUMMYFUNCTION("vlookup(BB1023,importrange(""https://docs.google.com/spreadsheets/d/1d2vevQ_7D_v35q4wCQ4RpQ_IPoTwEMB9Yp6ymwlPqew/edit?gid=984458430#gid=984458430"", ""'replication success'!A:M""), 12, FAlSE)"),"#N/A")</f>
        <v>#N/A</v>
      </c>
      <c r="BA1023" s="61" t="str">
        <f>IFERROR(__xludf.DUMMYFUNCTION("vlookup(BB1023,importrange(""https://docs.google.com/spreadsheets/d/1d2vevQ_7D_v35q4wCQ4RpQ_IPoTwEMB9Yp6ymwlPqew/edit?gid=984458430#gid=984458430"", ""'replication success'!A:M""), 13, FAlSE)"),"#N/A")</f>
        <v>#N/A</v>
      </c>
      <c r="BB1023" s="61" t="str">
        <f>IFERROR(__xludf.DUMMYFUNCTION("REGEXREPLACE(G1023, ""_[a-z]{1,2}$"", """")"),"Boyce_etal202328")</f>
        <v>Boyce_etal202328</v>
      </c>
      <c r="BD1023" s="68" t="s">
        <v>153</v>
      </c>
    </row>
    <row r="1024">
      <c r="A1024" s="44">
        <v>1024.0</v>
      </c>
      <c r="B1024" s="129" t="s">
        <v>114</v>
      </c>
      <c r="C1024" s="62" t="s">
        <v>115</v>
      </c>
      <c r="D1024" s="62" t="s">
        <v>145</v>
      </c>
      <c r="E1024" s="365"/>
      <c r="F1024" s="1313" t="s">
        <v>5590</v>
      </c>
      <c r="G1024" s="1314" t="s">
        <v>5591</v>
      </c>
      <c r="H1024" s="1315" t="s">
        <v>5592</v>
      </c>
      <c r="I1024" s="1316">
        <v>45688.0</v>
      </c>
      <c r="J1024" s="1317">
        <v>45692.0</v>
      </c>
      <c r="K1024" s="1313" t="s">
        <v>5593</v>
      </c>
      <c r="L1024" s="1313" t="s">
        <v>5594</v>
      </c>
      <c r="M1024" s="1315" t="s">
        <v>5595</v>
      </c>
      <c r="N1024" s="1315" t="s">
        <v>5596</v>
      </c>
      <c r="O1024" s="1318">
        <v>1.0</v>
      </c>
      <c r="P1024" s="1315" t="s">
        <v>5597</v>
      </c>
      <c r="Q1024" s="52" t="str">
        <f t="array" ref="Q1024"> if(iserror(MATCH(V1024, 'File Links'!C:C, 0)), "N/A", HYPERLINK(INDEX('File Links'!B:B, MATCH(P1024, 'File Links'!C:C, 0))))</f>
        <v>https://drive.google.com/file/d/17yvRZkdBULPZU-hy9QprgZuJeonQfAel/view?usp=drivesdk</v>
      </c>
      <c r="R1024" s="1319" t="s">
        <v>3653</v>
      </c>
      <c r="S1024" s="159" t="s">
        <v>3654</v>
      </c>
      <c r="T1024" s="1313" t="s">
        <v>1535</v>
      </c>
      <c r="U1024" s="1313" t="s">
        <v>1535</v>
      </c>
      <c r="V1024" s="198" t="str">
        <f t="shared" ref="V1024:V1198" si="57"> hyperlink(vlookup(lower(S1024),#REF!, 2, FALSE), SUBSTITUTE(lower(S1024), "/", "--") &amp;  ".pdf")</f>
        <v>10.1098--rsos.231240.pdf</v>
      </c>
      <c r="W1024" s="1313" t="s">
        <v>1535</v>
      </c>
      <c r="X1024" s="54" t="str">
        <f t="array" ref="X1024"> if(iserror(MATCH(V1024, 'File Links'!C:C, 0)), "N/A", HYPERLINK(INDEX('File Links'!B:B, MATCH(V1024, 'File Links'!C:C, 0))))</f>
        <v>https://drive.google.com/file/d/17gaf2Zy_ljFfcAEDk5L8GBnTl5i7RGJE/view?usp=drivesdk</v>
      </c>
      <c r="Y1024" s="1313"/>
      <c r="Z1024" s="1315" t="s">
        <v>226</v>
      </c>
      <c r="AA1024" s="1313" t="s">
        <v>1535</v>
      </c>
      <c r="AB1024" s="1313" t="s">
        <v>5598</v>
      </c>
      <c r="AC1024" s="1315" t="s">
        <v>5599</v>
      </c>
      <c r="AD1024" s="1313" t="s">
        <v>5600</v>
      </c>
      <c r="AE1024" s="1313" t="s">
        <v>5601</v>
      </c>
      <c r="AF1024" s="1318">
        <v>63.0</v>
      </c>
      <c r="AG1024" s="1313" t="s">
        <v>5602</v>
      </c>
      <c r="AH1024" s="1313" t="s">
        <v>134</v>
      </c>
      <c r="AI1024" s="1313" t="s">
        <v>812</v>
      </c>
      <c r="AJ1024" s="1320" t="s">
        <v>1535</v>
      </c>
      <c r="AK1024" s="1321" t="s">
        <v>1535</v>
      </c>
      <c r="AL1024" s="1321" t="s">
        <v>186</v>
      </c>
      <c r="AM1024" s="1313" t="s">
        <v>137</v>
      </c>
      <c r="AN1024" s="1322" t="s">
        <v>138</v>
      </c>
      <c r="AO1024" s="1318">
        <v>26.0</v>
      </c>
      <c r="AP1024" s="1313" t="s">
        <v>5603</v>
      </c>
      <c r="AQ1024" s="1313" t="s">
        <v>134</v>
      </c>
      <c r="AR1024" s="1322" t="s">
        <v>5604</v>
      </c>
      <c r="AS1024" s="1313" t="s">
        <v>1535</v>
      </c>
      <c r="AT1024" s="1313" t="s">
        <v>1535</v>
      </c>
      <c r="AU1024" s="1313" t="s">
        <v>186</v>
      </c>
      <c r="AV1024" s="1313" t="s">
        <v>137</v>
      </c>
      <c r="AW1024" s="1323" t="s">
        <v>138</v>
      </c>
      <c r="AX1024" s="1313" t="s">
        <v>143</v>
      </c>
      <c r="AY1024" s="61" t="str">
        <f>IFERROR(__xludf.DUMMYFUNCTION("vlookup(BB1024,importrange(""https://docs.google.com/spreadsheets/d/1d2vevQ_7D_v35q4wCQ4RpQ_IPoTwEMB9Yp6ymwlPqew/edit?gid=984458430#gid=984458430"", ""'replication success'!A:K""), 11, FAlSE)"),"")</f>
        <v/>
      </c>
      <c r="AZ1024" s="61" t="str">
        <f>IFERROR(__xludf.DUMMYFUNCTION("vlookup(BB1024,importrange(""https://docs.google.com/spreadsheets/d/1d2vevQ_7D_v35q4wCQ4RpQ_IPoTwEMB9Yp6ymwlPqew/edit?gid=984458430#gid=984458430"", ""'replication success'!A:M""), 12, FAlSE)"),"")</f>
        <v/>
      </c>
      <c r="BA1024" s="61" t="str">
        <f>IFERROR(__xludf.DUMMYFUNCTION("vlookup(BB1024,importrange(""https://docs.google.com/spreadsheets/d/1d2vevQ_7D_v35q4wCQ4RpQ_IPoTwEMB9Yp6ymwlPqew/edit?gid=984458430#gid=984458430"",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v>
      </c>
      <c r="BB1024" s="61" t="str">
        <f>IFERROR(__xludf.DUMMYFUNCTION("REGEXREPLACE(G1024, ""_[a-z]{1,2}$"", """")"),"Boyce_etal202329")</f>
        <v>Boyce_etal202329</v>
      </c>
      <c r="BD1024" s="1322" t="s">
        <v>5605</v>
      </c>
    </row>
    <row r="1025">
      <c r="A1025" s="44">
        <v>1025.0</v>
      </c>
      <c r="B1025" s="129" t="s">
        <v>152</v>
      </c>
      <c r="C1025" s="62" t="s">
        <v>115</v>
      </c>
      <c r="D1025" s="62" t="s">
        <v>145</v>
      </c>
      <c r="E1025" s="365"/>
      <c r="F1025" s="1313" t="s">
        <v>5590</v>
      </c>
      <c r="G1025" s="1314" t="s">
        <v>5606</v>
      </c>
      <c r="H1025" s="1315" t="s">
        <v>5592</v>
      </c>
      <c r="I1025" s="1316">
        <v>45688.0</v>
      </c>
      <c r="J1025" s="1317">
        <v>45692.0</v>
      </c>
      <c r="K1025" s="1313" t="s">
        <v>5607</v>
      </c>
      <c r="L1025" s="1313" t="s">
        <v>5608</v>
      </c>
      <c r="M1025" s="1315" t="s">
        <v>5595</v>
      </c>
      <c r="N1025" s="1315" t="s">
        <v>5596</v>
      </c>
      <c r="O1025" s="1318">
        <v>1.0</v>
      </c>
      <c r="P1025" s="1315" t="s">
        <v>5597</v>
      </c>
      <c r="Q1025" s="52" t="str">
        <f t="array" ref="Q1025"> if(iserror(MATCH(V1025, 'File Links'!C:C, 0)), "N/A", HYPERLINK(INDEX('File Links'!B:B, MATCH(P1025, 'File Links'!C:C, 0))))</f>
        <v>https://drive.google.com/file/d/17yvRZkdBULPZU-hy9QprgZuJeonQfAel/view?usp=drivesdk</v>
      </c>
      <c r="R1025" s="1319" t="s">
        <v>3653</v>
      </c>
      <c r="S1025" s="159" t="s">
        <v>3654</v>
      </c>
      <c r="T1025" s="1322" t="s">
        <v>138</v>
      </c>
      <c r="U1025" s="1322" t="s">
        <v>138</v>
      </c>
      <c r="V1025" s="198" t="str">
        <f t="shared" si="57"/>
        <v>10.1098--rsos.231240.pdf</v>
      </c>
      <c r="W1025" s="1324" t="s">
        <v>3665</v>
      </c>
      <c r="X1025" s="54" t="str">
        <f t="array" ref="X1025"> if(iserror(MATCH(V1025, 'File Links'!C:C, 0)), "N/A", HYPERLINK(INDEX('File Links'!B:B, MATCH(V1025, 'File Links'!C:C, 0))))</f>
        <v>https://drive.google.com/file/d/17gaf2Zy_ljFfcAEDk5L8GBnTl5i7RGJE/view?usp=drivesdk</v>
      </c>
      <c r="Y1025" s="1313"/>
      <c r="Z1025" s="1315" t="s">
        <v>226</v>
      </c>
      <c r="AA1025" s="1322" t="s">
        <v>138</v>
      </c>
      <c r="AB1025" s="1313" t="s">
        <v>5598</v>
      </c>
      <c r="AC1025" s="1315" t="s">
        <v>5609</v>
      </c>
      <c r="AD1025" s="1313" t="s">
        <v>5610</v>
      </c>
      <c r="AE1025" s="1313" t="s">
        <v>5601</v>
      </c>
      <c r="AF1025" s="1318">
        <v>63.0</v>
      </c>
      <c r="AG1025" s="1313">
        <f>3.28</f>
        <v>3.28</v>
      </c>
      <c r="AH1025" s="1322" t="s">
        <v>722</v>
      </c>
      <c r="AI1025" s="1313" t="s">
        <v>188</v>
      </c>
      <c r="AJ1025" s="1325">
        <v>0.037</v>
      </c>
      <c r="AK1025" s="1321" t="s">
        <v>172</v>
      </c>
      <c r="AL1025" s="1321" t="s">
        <v>186</v>
      </c>
      <c r="AM1025" s="1313" t="s">
        <v>137</v>
      </c>
      <c r="AN1025" s="1322" t="s">
        <v>138</v>
      </c>
      <c r="AO1025" s="1318">
        <v>26.0</v>
      </c>
      <c r="AP1025" s="1322" t="s">
        <v>5611</v>
      </c>
      <c r="AQ1025" s="1313" t="s">
        <v>134</v>
      </c>
      <c r="AR1025" s="1322" t="s">
        <v>5604</v>
      </c>
      <c r="AS1025" s="374" t="s">
        <v>138</v>
      </c>
      <c r="AT1025" s="219" t="s">
        <v>138</v>
      </c>
      <c r="AU1025" s="1313" t="s">
        <v>186</v>
      </c>
      <c r="AV1025" s="1313" t="s">
        <v>137</v>
      </c>
      <c r="AW1025" s="1323" t="s">
        <v>138</v>
      </c>
      <c r="AX1025" s="1313" t="s">
        <v>143</v>
      </c>
      <c r="AY1025" s="61" t="str">
        <f>IFERROR(__xludf.DUMMYFUNCTION("vlookup(BB1025,importrange(""https://docs.google.com/spreadsheets/d/1d2vevQ_7D_v35q4wCQ4RpQ_IPoTwEMB9Yp6ymwlPqew/edit?gid=984458430#gid=984458430"", ""'replication success'!A:K""), 11, FAlSE)"),"")</f>
        <v/>
      </c>
      <c r="AZ1025" s="61" t="str">
        <f>IFERROR(__xludf.DUMMYFUNCTION("vlookup(BB1025,importrange(""https://docs.google.com/spreadsheets/d/1d2vevQ_7D_v35q4wCQ4RpQ_IPoTwEMB9Yp6ymwlPqew/edit?gid=984458430#gid=984458430"", ""'replication success'!A:M""), 12, FAlSE)"),"")</f>
        <v/>
      </c>
      <c r="BA1025" s="61" t="str">
        <f>IFERROR(__xludf.DUMMYFUNCTION("vlookup(BB1025,importrange(""https://docs.google.com/spreadsheets/d/1d2vevQ_7D_v35q4wCQ4RpQ_IPoTwEMB9Yp6ymwlPqew/edit?gid=984458430#gid=984458430"",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v>
      </c>
      <c r="BB1025" s="61" t="str">
        <f>IFERROR(__xludf.DUMMYFUNCTION("REGEXREPLACE(G1025, ""_[a-z]{1,2}$"", """")"),"Boyce_etal202329")</f>
        <v>Boyce_etal202329</v>
      </c>
      <c r="BD1025" s="1322" t="s">
        <v>5605</v>
      </c>
    </row>
    <row r="1026">
      <c r="A1026" s="44">
        <v>1026.0</v>
      </c>
      <c r="B1026" s="129" t="s">
        <v>114</v>
      </c>
      <c r="C1026" s="62" t="s">
        <v>115</v>
      </c>
      <c r="D1026" s="62" t="s">
        <v>248</v>
      </c>
      <c r="E1026" s="365"/>
      <c r="F1026" s="126" t="s">
        <v>5590</v>
      </c>
      <c r="G1026" s="119" t="s">
        <v>5591</v>
      </c>
      <c r="H1026" s="140" t="s">
        <v>249</v>
      </c>
      <c r="I1026" s="317">
        <v>45664.0</v>
      </c>
      <c r="J1026" s="1326">
        <v>45692.0</v>
      </c>
      <c r="K1026" s="125"/>
      <c r="L1026" s="125" t="s">
        <v>5612</v>
      </c>
      <c r="M1026" s="140" t="s">
        <v>5595</v>
      </c>
      <c r="N1026" s="140" t="s">
        <v>5596</v>
      </c>
      <c r="O1026" s="219">
        <v>1.0</v>
      </c>
      <c r="P1026" s="140" t="str">
        <f> SUBSTITUTE(lower(N1026), "/", "--") &amp;  ".pdf"</f>
        <v>10.1111--j.1467-9280.2008.02039.x.pdf</v>
      </c>
      <c r="Q1026" s="52" t="str">
        <f t="array" ref="Q1026"> if(iserror(MATCH(V1026, 'File Links'!C:C, 0)), "N/A", HYPERLINK(INDEX('File Links'!B:B, MATCH(P1026, 'File Links'!C:C, 0))))</f>
        <v>https://drive.google.com/file/d/17yvRZkdBULPZU-hy9QprgZuJeonQfAel/view?usp=drivesdk</v>
      </c>
      <c r="R1026" s="1327" t="s">
        <v>5613</v>
      </c>
      <c r="S1026" s="159" t="s">
        <v>3654</v>
      </c>
      <c r="T1026" s="219" t="s">
        <v>138</v>
      </c>
      <c r="U1026" s="219" t="s">
        <v>138</v>
      </c>
      <c r="V1026" s="198" t="str">
        <f t="shared" si="57"/>
        <v>10.1098--rsos.231240.pdf</v>
      </c>
      <c r="W1026" s="140" t="s">
        <v>3665</v>
      </c>
      <c r="X1026" s="54" t="str">
        <f t="array" ref="X1026"> if(iserror(MATCH(V1026, 'File Links'!C:C, 0)), "N/A", HYPERLINK(INDEX('File Links'!B:B, MATCH(V1026, 'File Links'!C:C, 0))))</f>
        <v>https://drive.google.com/file/d/17gaf2Zy_ljFfcAEDk5L8GBnTl5i7RGJE/view?usp=drivesdk</v>
      </c>
      <c r="Y1026" s="125"/>
      <c r="Z1026" s="140" t="s">
        <v>210</v>
      </c>
      <c r="AA1026" s="125"/>
      <c r="AB1026" s="125"/>
      <c r="AC1026" s="125"/>
      <c r="AD1026" s="140" t="s">
        <v>5614</v>
      </c>
      <c r="AE1026" s="782">
        <v>19.0</v>
      </c>
      <c r="AF1026" s="782">
        <v>56.0</v>
      </c>
      <c r="AG1026" s="782">
        <v>3.28</v>
      </c>
      <c r="AH1026" s="140" t="s">
        <v>722</v>
      </c>
      <c r="AI1026" s="140" t="s">
        <v>3255</v>
      </c>
      <c r="AJ1026" s="133">
        <v>0.037</v>
      </c>
      <c r="AK1026" s="126" t="s">
        <v>172</v>
      </c>
      <c r="AL1026" s="126" t="s">
        <v>186</v>
      </c>
      <c r="AM1026" s="140" t="s">
        <v>137</v>
      </c>
      <c r="AN1026" s="1322" t="s">
        <v>138</v>
      </c>
      <c r="AO1026" s="782">
        <v>26.0</v>
      </c>
      <c r="AP1026" s="140" t="s">
        <v>138</v>
      </c>
      <c r="AQ1026" s="125"/>
      <c r="AR1026" s="1322" t="s">
        <v>5604</v>
      </c>
      <c r="AS1026" s="140" t="s">
        <v>138</v>
      </c>
      <c r="AT1026" s="125"/>
      <c r="AU1026" s="140" t="s">
        <v>186</v>
      </c>
      <c r="AV1026" s="140" t="s">
        <v>137</v>
      </c>
      <c r="AW1026" s="1323" t="s">
        <v>138</v>
      </c>
      <c r="AX1026" s="140" t="s">
        <v>143</v>
      </c>
      <c r="AY1026" s="61" t="str">
        <f>IFERROR(__xludf.DUMMYFUNCTION("vlookup(BB1026,importrange(""https://docs.google.com/spreadsheets/d/1d2vevQ_7D_v35q4wCQ4RpQ_IPoTwEMB9Yp6ymwlPqew/edit?gid=984458430#gid=984458430"", ""'replication success'!A:K""), 11, FAlSE)"),"")</f>
        <v/>
      </c>
      <c r="AZ1026" s="61" t="str">
        <f>IFERROR(__xludf.DUMMYFUNCTION("vlookup(BB1026,importrange(""https://docs.google.com/spreadsheets/d/1d2vevQ_7D_v35q4wCQ4RpQ_IPoTwEMB9Yp6ymwlPqew/edit?gid=984458430#gid=984458430"", ""'replication success'!A:M""), 12, FAlSE)"),"")</f>
        <v/>
      </c>
      <c r="BA1026" s="61" t="str">
        <f>IFERROR(__xludf.DUMMYFUNCTION("vlookup(BB1026,importrange(""https://docs.google.com/spreadsheets/d/1d2vevQ_7D_v35q4wCQ4RpQ_IPoTwEMB9Yp6ymwlPqew/edit?gid=984458430#gid=984458430"",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43041559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v>
      </c>
      <c r="BB1026" s="61" t="str">
        <f>IFERROR(__xludf.DUMMYFUNCTION("REGEXREPLACE(G1026, ""_[a-z]{1,2}$"", """")"),"Boyce_etal202329")</f>
        <v>Boyce_etal202329</v>
      </c>
      <c r="BD1026" s="1322" t="s">
        <v>5605</v>
      </c>
    </row>
    <row r="1027">
      <c r="A1027" s="44">
        <v>1027.0</v>
      </c>
      <c r="B1027" s="330" t="s">
        <v>114</v>
      </c>
      <c r="C1027" s="325" t="s">
        <v>115</v>
      </c>
      <c r="D1027" s="325" t="s">
        <v>145</v>
      </c>
      <c r="E1027" s="226"/>
      <c r="F1027" s="331" t="s">
        <v>5615</v>
      </c>
      <c r="G1027" s="412" t="s">
        <v>5616</v>
      </c>
      <c r="H1027" s="244" t="s">
        <v>5592</v>
      </c>
      <c r="I1027" s="658">
        <v>45688.0</v>
      </c>
      <c r="J1027" s="1328">
        <v>45692.0</v>
      </c>
      <c r="K1027" s="331" t="s">
        <v>5617</v>
      </c>
      <c r="L1027" s="331" t="s">
        <v>5594</v>
      </c>
      <c r="M1027" s="244" t="s">
        <v>5618</v>
      </c>
      <c r="N1027" s="244" t="s">
        <v>5619</v>
      </c>
      <c r="O1027" s="334">
        <v>1.0</v>
      </c>
      <c r="P1027" s="244" t="s">
        <v>5620</v>
      </c>
      <c r="Q1027" s="52" t="str">
        <f t="array" ref="Q1027"> if(iserror(MATCH(V1027, 'File Links'!C:C, 0)), "N/A", HYPERLINK(INDEX('File Links'!B:B, MATCH(P1027, 'File Links'!C:C, 0))))</f>
        <v>https://drive.google.com/file/d/1dU1UjhKXuYwEUy9G1SAQvFWoiujBUM-l/view?usp=drivesdk</v>
      </c>
      <c r="R1027" s="1309" t="s">
        <v>3653</v>
      </c>
      <c r="S1027" s="159" t="s">
        <v>3654</v>
      </c>
      <c r="T1027" s="331" t="s">
        <v>1535</v>
      </c>
      <c r="U1027" s="331" t="s">
        <v>1535</v>
      </c>
      <c r="V1027" s="198" t="str">
        <f t="shared" si="57"/>
        <v>10.1098--rsos.231240.pdf</v>
      </c>
      <c r="W1027" s="331" t="s">
        <v>1535</v>
      </c>
      <c r="X1027" s="54" t="str">
        <f t="array" ref="X1027"> if(iserror(MATCH(V1027, 'File Links'!C:C, 0)), "N/A", HYPERLINK(INDEX('File Links'!B:B, MATCH(V1027, 'File Links'!C:C, 0))))</f>
        <v>https://drive.google.com/file/d/17gaf2Zy_ljFfcAEDk5L8GBnTl5i7RGJE/view?usp=drivesdk</v>
      </c>
      <c r="Y1027" s="331"/>
      <c r="Z1027" s="244" t="s">
        <v>226</v>
      </c>
      <c r="AA1027" s="331" t="s">
        <v>5621</v>
      </c>
      <c r="AB1027" s="331" t="s">
        <v>5622</v>
      </c>
      <c r="AC1027" s="244" t="s">
        <v>5623</v>
      </c>
      <c r="AD1027" s="331" t="s">
        <v>5624</v>
      </c>
      <c r="AE1027" s="1178">
        <v>3.0</v>
      </c>
      <c r="AF1027" s="334">
        <v>28.0</v>
      </c>
      <c r="AG1027" s="1178">
        <v>0.92</v>
      </c>
      <c r="AH1027" s="331" t="s">
        <v>173</v>
      </c>
      <c r="AI1027" s="331" t="s">
        <v>217</v>
      </c>
      <c r="AJ1027" s="1182">
        <v>1.0E-4</v>
      </c>
      <c r="AK1027" s="390" t="s">
        <v>135</v>
      </c>
      <c r="AL1027" s="390" t="s">
        <v>186</v>
      </c>
      <c r="AM1027" s="331" t="s">
        <v>137</v>
      </c>
      <c r="AN1027" s="666" t="s">
        <v>5625</v>
      </c>
      <c r="AO1027" s="334">
        <v>25.0</v>
      </c>
      <c r="AP1027" s="1178">
        <v>2.08342966938226</v>
      </c>
      <c r="AQ1027" s="331" t="s">
        <v>173</v>
      </c>
      <c r="AR1027" s="330" t="s">
        <v>5604</v>
      </c>
      <c r="AS1027" s="1329">
        <v>3.29154931197221E-10</v>
      </c>
      <c r="AT1027" s="331" t="s">
        <v>172</v>
      </c>
      <c r="AU1027" s="331" t="s">
        <v>186</v>
      </c>
      <c r="AV1027" s="331" t="s">
        <v>137</v>
      </c>
      <c r="AW1027" s="1330" t="s">
        <v>138</v>
      </c>
      <c r="AX1027" s="331" t="s">
        <v>143</v>
      </c>
      <c r="AY1027" s="61" t="str">
        <f>IFERROR(__xludf.DUMMYFUNCTION("vlookup(BB1027,importrange(""https://docs.google.com/spreadsheets/d/1d2vevQ_7D_v35q4wCQ4RpQ_IPoTwEMB9Yp6ymwlPqew/edit?gid=984458430#gid=984458430"", ""'replication success'!A:K""), 11, FAlSE)"),"")</f>
        <v/>
      </c>
      <c r="AZ1027" s="61" t="str">
        <f>IFERROR(__xludf.DUMMYFUNCTION("vlookup(BB1027,importrange(""https://docs.google.com/spreadsheets/d/1d2vevQ_7D_v35q4wCQ4RpQ_IPoTwEMB9Yp6ymwlPqew/edit?gid=984458430#gid=984458430"", ""'replication success'!A:M""), 12, FAlSE)"),"")</f>
        <v/>
      </c>
      <c r="BA1027" s="61" t="str">
        <f>IFERROR(__xludf.DUMMYFUNCTION("vlookup(BB1027,importrange(""https://docs.google.com/spreadsheets/d/1d2vevQ_7D_v35q4wCQ4RpQ_IPoTwEMB9Yp6ymwlPqew/edit?gid=984458430#gid=984458430"",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v>
      </c>
      <c r="BB1027" s="61" t="str">
        <f>IFERROR(__xludf.DUMMYFUNCTION("REGEXREPLACE(G1027, ""_[a-z]{1,2}$"", """")"),"Boyce_etal20233")</f>
        <v>Boyce_etal20233</v>
      </c>
      <c r="BC1027" s="226"/>
      <c r="BD1027" s="330" t="s">
        <v>5605</v>
      </c>
    </row>
    <row r="1028">
      <c r="A1028" s="44">
        <v>1028.0</v>
      </c>
      <c r="B1028" s="330" t="s">
        <v>114</v>
      </c>
      <c r="C1028" s="325" t="s">
        <v>115</v>
      </c>
      <c r="D1028" s="325" t="s">
        <v>145</v>
      </c>
      <c r="E1028" s="226"/>
      <c r="F1028" s="331" t="s">
        <v>5615</v>
      </c>
      <c r="G1028" s="412" t="s">
        <v>5626</v>
      </c>
      <c r="H1028" s="244" t="s">
        <v>5592</v>
      </c>
      <c r="I1028" s="658">
        <v>45688.0</v>
      </c>
      <c r="J1028" s="1328">
        <v>45692.0</v>
      </c>
      <c r="K1028" s="1041" t="s">
        <v>5627</v>
      </c>
      <c r="L1028" s="331" t="s">
        <v>5628</v>
      </c>
      <c r="M1028" s="244" t="s">
        <v>5618</v>
      </c>
      <c r="N1028" s="244" t="s">
        <v>5619</v>
      </c>
      <c r="O1028" s="334">
        <v>1.0</v>
      </c>
      <c r="P1028" s="244" t="s">
        <v>5620</v>
      </c>
      <c r="Q1028" s="52" t="str">
        <f t="array" ref="Q1028"> if(iserror(MATCH(V1028, 'File Links'!C:C, 0)), "N/A", HYPERLINK(INDEX('File Links'!B:B, MATCH(P1028, 'File Links'!C:C, 0))))</f>
        <v>https://drive.google.com/file/d/1dU1UjhKXuYwEUy9G1SAQvFWoiujBUM-l/view?usp=drivesdk</v>
      </c>
      <c r="R1028" s="1309" t="s">
        <v>3653</v>
      </c>
      <c r="S1028" s="159" t="s">
        <v>3654</v>
      </c>
      <c r="T1028" s="331" t="s">
        <v>1535</v>
      </c>
      <c r="U1028" s="331" t="s">
        <v>1535</v>
      </c>
      <c r="V1028" s="198" t="str">
        <f t="shared" si="57"/>
        <v>10.1098--rsos.231240.pdf</v>
      </c>
      <c r="W1028" s="331" t="s">
        <v>1535</v>
      </c>
      <c r="X1028" s="54" t="str">
        <f t="array" ref="X1028"> if(iserror(MATCH(V1028, 'File Links'!C:C, 0)), "N/A", HYPERLINK(INDEX('File Links'!B:B, MATCH(V1028, 'File Links'!C:C, 0))))</f>
        <v>https://drive.google.com/file/d/17gaf2Zy_ljFfcAEDk5L8GBnTl5i7RGJE/view?usp=drivesdk</v>
      </c>
      <c r="Y1028" s="331"/>
      <c r="Z1028" s="244" t="s">
        <v>226</v>
      </c>
      <c r="AA1028" s="331" t="s">
        <v>5621</v>
      </c>
      <c r="AB1028" s="331" t="s">
        <v>5622</v>
      </c>
      <c r="AC1028" s="244" t="s">
        <v>5629</v>
      </c>
      <c r="AD1028" s="331" t="s">
        <v>5630</v>
      </c>
      <c r="AE1028" s="1178">
        <v>3.0</v>
      </c>
      <c r="AF1028" s="334">
        <v>24.0</v>
      </c>
      <c r="AG1028" s="1178">
        <v>0.57</v>
      </c>
      <c r="AH1028" s="331" t="s">
        <v>173</v>
      </c>
      <c r="AI1028" s="331" t="s">
        <v>217</v>
      </c>
      <c r="AJ1028" s="1182">
        <v>1.0E-4</v>
      </c>
      <c r="AK1028" s="390" t="s">
        <v>135</v>
      </c>
      <c r="AL1028" s="390" t="s">
        <v>186</v>
      </c>
      <c r="AM1028" s="331" t="s">
        <v>137</v>
      </c>
      <c r="AN1028" s="666" t="s">
        <v>5625</v>
      </c>
      <c r="AO1028" s="334">
        <v>25.0</v>
      </c>
      <c r="AP1028" s="1178">
        <v>2.08342966938226</v>
      </c>
      <c r="AQ1028" s="331" t="s">
        <v>173</v>
      </c>
      <c r="AR1028" s="1181" t="s">
        <v>5631</v>
      </c>
      <c r="AS1028" s="1329">
        <v>3.29154931197221E-10</v>
      </c>
      <c r="AT1028" s="331" t="s">
        <v>172</v>
      </c>
      <c r="AU1028" s="331" t="s">
        <v>186</v>
      </c>
      <c r="AV1028" s="331" t="s">
        <v>137</v>
      </c>
      <c r="AW1028" s="1330" t="s">
        <v>138</v>
      </c>
      <c r="AX1028" s="331" t="s">
        <v>143</v>
      </c>
      <c r="AY1028" s="61" t="str">
        <f>IFERROR(__xludf.DUMMYFUNCTION("vlookup(BB1028,importrange(""https://docs.google.com/spreadsheets/d/1d2vevQ_7D_v35q4wCQ4RpQ_IPoTwEMB9Yp6ymwlPqew/edit?gid=984458430#gid=984458430"", ""'replication success'!A:K""), 11, FAlSE)"),"")</f>
        <v/>
      </c>
      <c r="AZ1028" s="61" t="str">
        <f>IFERROR(__xludf.DUMMYFUNCTION("vlookup(BB1028,importrange(""https://docs.google.com/spreadsheets/d/1d2vevQ_7D_v35q4wCQ4RpQ_IPoTwEMB9Yp6ymwlPqew/edit?gid=984458430#gid=984458430"", ""'replication success'!A:M""), 12, FAlSE)"),"")</f>
        <v/>
      </c>
      <c r="BA1028" s="61" t="str">
        <f>IFERROR(__xludf.DUMMYFUNCTION("vlookup(BB1028,importrange(""https://docs.google.com/spreadsheets/d/1d2vevQ_7D_v35q4wCQ4RpQ_IPoTwEMB9Yp6ymwlPqew/edit?gid=984458430#gid=984458430"",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v>
      </c>
      <c r="BB1028" s="61" t="str">
        <f>IFERROR(__xludf.DUMMYFUNCTION("REGEXREPLACE(G1028, ""_[a-z]{1,2}$"", """")"),"Boyce_etal20233")</f>
        <v>Boyce_etal20233</v>
      </c>
      <c r="BC1028" s="226"/>
      <c r="BD1028" s="330" t="s">
        <v>5605</v>
      </c>
    </row>
    <row r="1029">
      <c r="A1029" s="44">
        <v>1029.0</v>
      </c>
      <c r="B1029" s="330" t="s">
        <v>152</v>
      </c>
      <c r="C1029" s="325" t="s">
        <v>115</v>
      </c>
      <c r="D1029" s="325" t="s">
        <v>248</v>
      </c>
      <c r="E1029" s="226"/>
      <c r="F1029" s="412" t="s">
        <v>5615</v>
      </c>
      <c r="G1029" s="324" t="s">
        <v>5616</v>
      </c>
      <c r="H1029" s="244" t="s">
        <v>249</v>
      </c>
      <c r="I1029" s="658">
        <v>45663.0</v>
      </c>
      <c r="J1029" s="1328">
        <v>45692.0</v>
      </c>
      <c r="K1029" s="331"/>
      <c r="L1029" s="330" t="s">
        <v>5632</v>
      </c>
      <c r="M1029" s="244" t="s">
        <v>5618</v>
      </c>
      <c r="N1029" s="244" t="s">
        <v>5619</v>
      </c>
      <c r="O1029" s="330">
        <v>1.0</v>
      </c>
      <c r="P1029" s="244" t="str">
        <f> SUBSTITUTE(lower(N1029), "/", "--") &amp;  ".pdf"</f>
        <v>10.1177--0956797620927967.pdf</v>
      </c>
      <c r="Q1029" s="52" t="str">
        <f t="array" ref="Q1029"> if(iserror(MATCH(V1029, 'File Links'!C:C, 0)), "N/A", HYPERLINK(INDEX('File Links'!B:B, MATCH(P1029, 'File Links'!C:C, 0))))</f>
        <v>https://drive.google.com/file/d/1dU1UjhKXuYwEUy9G1SAQvFWoiujBUM-l/view?usp=drivesdk</v>
      </c>
      <c r="R1029" s="1309" t="s">
        <v>5633</v>
      </c>
      <c r="S1029" s="159" t="s">
        <v>3654</v>
      </c>
      <c r="T1029" s="331"/>
      <c r="U1029" s="331"/>
      <c r="V1029" s="198" t="str">
        <f t="shared" si="57"/>
        <v>10.1098--rsos.231240.pdf</v>
      </c>
      <c r="W1029" s="244" t="s">
        <v>324</v>
      </c>
      <c r="X1029" s="54" t="str">
        <f t="array" ref="X1029"> if(iserror(MATCH(V1029, 'File Links'!C:C, 0)), "N/A", HYPERLINK(INDEX('File Links'!B:B, MATCH(V1029, 'File Links'!C:C, 0))))</f>
        <v>https://drive.google.com/file/d/17gaf2Zy_ljFfcAEDk5L8GBnTl5i7RGJE/view?usp=drivesdk</v>
      </c>
      <c r="Y1029" s="331"/>
      <c r="Z1029" s="244" t="s">
        <v>226</v>
      </c>
      <c r="AA1029" s="331" t="s">
        <v>5621</v>
      </c>
      <c r="AB1029" s="331" t="s">
        <v>5622</v>
      </c>
      <c r="AC1029" s="244" t="s">
        <v>5629</v>
      </c>
      <c r="AD1029" s="244" t="s">
        <v>5634</v>
      </c>
      <c r="AE1029" s="334">
        <v>3.0</v>
      </c>
      <c r="AF1029" s="334">
        <v>28.0</v>
      </c>
      <c r="AG1029" s="334">
        <v>0.92</v>
      </c>
      <c r="AH1029" s="244" t="s">
        <v>173</v>
      </c>
      <c r="AI1029" s="244" t="s">
        <v>217</v>
      </c>
      <c r="AJ1029" s="1176">
        <v>0.001</v>
      </c>
      <c r="AK1029" s="412" t="s">
        <v>135</v>
      </c>
      <c r="AL1029" s="412" t="s">
        <v>186</v>
      </c>
      <c r="AM1029" s="244" t="s">
        <v>137</v>
      </c>
      <c r="AN1029" s="666" t="s">
        <v>5625</v>
      </c>
      <c r="AO1029" s="334">
        <v>25.0</v>
      </c>
      <c r="AP1029" s="334">
        <v>2.08342966938226</v>
      </c>
      <c r="AQ1029" s="244" t="s">
        <v>173</v>
      </c>
      <c r="AR1029" s="330" t="s">
        <v>5604</v>
      </c>
      <c r="AS1029" s="1331">
        <v>3.29154931197221E-10</v>
      </c>
      <c r="AT1029" s="244" t="s">
        <v>172</v>
      </c>
      <c r="AU1029" s="244" t="s">
        <v>186</v>
      </c>
      <c r="AV1029" s="244" t="s">
        <v>137</v>
      </c>
      <c r="AW1029" s="1330" t="s">
        <v>138</v>
      </c>
      <c r="AX1029" s="244" t="s">
        <v>143</v>
      </c>
      <c r="AY1029" s="61" t="str">
        <f>IFERROR(__xludf.DUMMYFUNCTION("vlookup(BB1029,importrange(""https://docs.google.com/spreadsheets/d/1d2vevQ_7D_v35q4wCQ4RpQ_IPoTwEMB9Yp6ymwlPqew/edit?gid=984458430#gid=984458430"", ""'replication success'!A:K""), 11, FAlSE)"),"")</f>
        <v/>
      </c>
      <c r="AZ1029" s="61" t="str">
        <f>IFERROR(__xludf.DUMMYFUNCTION("vlookup(BB1029,importrange(""https://docs.google.com/spreadsheets/d/1d2vevQ_7D_v35q4wCQ4RpQ_IPoTwEMB9Yp6ymwlPqew/edit?gid=984458430#gid=984458430"", ""'replication success'!A:M""), 12, FAlSE)"),"")</f>
        <v/>
      </c>
      <c r="BA1029" s="61" t="str">
        <f>IFERROR(__xludf.DUMMYFUNCTION("vlookup(BB1029,importrange(""https://docs.google.com/spreadsheets/d/1d2vevQ_7D_v35q4wCQ4RpQ_IPoTwEMB9Yp6ymwlPqew/edit?gid=984458430#gid=984458430"",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v>
      </c>
      <c r="BB1029" s="61" t="str">
        <f>IFERROR(__xludf.DUMMYFUNCTION("REGEXREPLACE(G1029, ""_[a-z]{1,2}$"", """")"),"Boyce_etal20233")</f>
        <v>Boyce_etal20233</v>
      </c>
      <c r="BC1029" s="226"/>
      <c r="BD1029" s="330" t="s">
        <v>5605</v>
      </c>
    </row>
    <row r="1030">
      <c r="A1030" s="44">
        <v>1030.0</v>
      </c>
      <c r="B1030" s="374" t="s">
        <v>152</v>
      </c>
      <c r="C1030" s="188" t="s">
        <v>115</v>
      </c>
      <c r="D1030" s="188" t="s">
        <v>145</v>
      </c>
      <c r="E1030" s="189"/>
      <c r="F1030" s="190" t="s">
        <v>5635</v>
      </c>
      <c r="G1030" s="58" t="s">
        <v>5636</v>
      </c>
      <c r="H1030" s="198" t="s">
        <v>5592</v>
      </c>
      <c r="I1030" s="191">
        <v>45688.0</v>
      </c>
      <c r="J1030" s="1332">
        <v>45692.0</v>
      </c>
      <c r="K1030" s="190"/>
      <c r="L1030" s="190" t="s">
        <v>5637</v>
      </c>
      <c r="M1030" s="198" t="s">
        <v>5638</v>
      </c>
      <c r="N1030" s="198" t="s">
        <v>5639</v>
      </c>
      <c r="O1030" s="198" t="s">
        <v>5640</v>
      </c>
      <c r="P1030" s="198" t="s">
        <v>5641</v>
      </c>
      <c r="Q1030" s="52" t="str">
        <f t="array" ref="Q1030"> if(iserror(MATCH(V1030, 'File Links'!C:C, 0)), "N/A", HYPERLINK(INDEX('File Links'!B:B, MATCH(P1030, 'File Links'!C:C, 0))))</f>
        <v>https://drive.google.com/file/d/1F1gmEthZ6jBt549BBg-rdg_5OVDXWokk/view?usp=drivesdk</v>
      </c>
      <c r="R1030" s="977" t="s">
        <v>3653</v>
      </c>
      <c r="S1030" s="159" t="s">
        <v>3654</v>
      </c>
      <c r="T1030" s="190" t="s">
        <v>1535</v>
      </c>
      <c r="U1030" s="190" t="s">
        <v>1535</v>
      </c>
      <c r="V1030" s="198" t="str">
        <f t="shared" si="57"/>
        <v>10.1098--rsos.231240.pdf</v>
      </c>
      <c r="W1030" s="198" t="s">
        <v>3665</v>
      </c>
      <c r="X1030" s="54" t="str">
        <f t="array" ref="X1030"> if(iserror(MATCH(V1030, 'File Links'!C:C, 0)), "N/A", HYPERLINK(INDEX('File Links'!B:B, MATCH(V1030, 'File Links'!C:C, 0))))</f>
        <v>https://drive.google.com/file/d/17gaf2Zy_ljFfcAEDk5L8GBnTl5i7RGJE/view?usp=drivesdk</v>
      </c>
      <c r="Y1030" s="190"/>
      <c r="Z1030" s="198" t="s">
        <v>148</v>
      </c>
      <c r="AA1030" s="374" t="s">
        <v>138</v>
      </c>
      <c r="AB1030" s="190" t="s">
        <v>5642</v>
      </c>
      <c r="AC1030" s="198" t="s">
        <v>5643</v>
      </c>
      <c r="AD1030" s="190" t="s">
        <v>5644</v>
      </c>
      <c r="AE1030" s="190" t="s">
        <v>5645</v>
      </c>
      <c r="AF1030" s="758">
        <v>60.0</v>
      </c>
      <c r="AG1030" s="190" t="s">
        <v>5646</v>
      </c>
      <c r="AH1030" s="190" t="s">
        <v>134</v>
      </c>
      <c r="AI1030" s="750">
        <v>7.0</v>
      </c>
      <c r="AJ1030" s="1128">
        <v>5.0E-4</v>
      </c>
      <c r="AK1030" s="193" t="s">
        <v>135</v>
      </c>
      <c r="AL1030" s="193" t="s">
        <v>186</v>
      </c>
      <c r="AM1030" s="190" t="s">
        <v>137</v>
      </c>
      <c r="AN1030" s="1322" t="s">
        <v>138</v>
      </c>
      <c r="AO1030" s="758">
        <v>55.0</v>
      </c>
      <c r="AP1030" s="374">
        <v>0.26</v>
      </c>
      <c r="AQ1030" s="374" t="s">
        <v>987</v>
      </c>
      <c r="AR1030" s="374" t="s">
        <v>5604</v>
      </c>
      <c r="AS1030" s="190" t="s">
        <v>1535</v>
      </c>
      <c r="AT1030" s="190" t="s">
        <v>1535</v>
      </c>
      <c r="AU1030" s="190" t="s">
        <v>186</v>
      </c>
      <c r="AV1030" s="190" t="s">
        <v>137</v>
      </c>
      <c r="AW1030" s="1333" t="s">
        <v>138</v>
      </c>
      <c r="AX1030" s="190" t="s">
        <v>143</v>
      </c>
      <c r="AY1030" s="61" t="str">
        <f>IFERROR(__xludf.DUMMYFUNCTION("vlookup(BB1030,importrange(""https://docs.google.com/spreadsheets/d/1d2vevQ_7D_v35q4wCQ4RpQ_IPoTwEMB9Yp6ymwlPqew/edit?gid=984458430#gid=984458430"", ""'replication success'!A:K""), 11, FAlSE)"),"")</f>
        <v/>
      </c>
      <c r="AZ1030" s="61" t="str">
        <f>IFERROR(__xludf.DUMMYFUNCTION("vlookup(BB1030,importrange(""https://docs.google.com/spreadsheets/d/1d2vevQ_7D_v35q4wCQ4RpQ_IPoTwEMB9Yp6ymwlPqew/edit?gid=984458430#gid=984458430"", ""'replication success'!A:M""), 12, FAlSE)"),"")</f>
        <v/>
      </c>
      <c r="BA1030" s="61" t="str">
        <f>IFERROR(__xludf.DUMMYFUNCTION("vlookup(BB1030,importrange(""https://docs.google.com/spreadsheets/d/1d2vevQ_7D_v35q4wCQ4RpQ_IPoTwEMB9Yp6ymwlPqew/edit?gid=984458430#gid=984458430"",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v>
      </c>
      <c r="BB1030" s="61" t="str">
        <f>IFERROR(__xludf.DUMMYFUNCTION("REGEXREPLACE(G1030, ""_[a-z]{1,2}$"", """")"),"Boyce_etal202330")</f>
        <v>Boyce_etal202330</v>
      </c>
      <c r="BC1030" s="189"/>
      <c r="BD1030" s="374" t="s">
        <v>5605</v>
      </c>
    </row>
    <row r="1031">
      <c r="A1031" s="44">
        <v>1031.0</v>
      </c>
      <c r="B1031" s="190" t="s">
        <v>114</v>
      </c>
      <c r="C1031" s="188" t="s">
        <v>115</v>
      </c>
      <c r="D1031" s="188" t="s">
        <v>248</v>
      </c>
      <c r="E1031" s="189"/>
      <c r="F1031" s="58" t="s">
        <v>5635</v>
      </c>
      <c r="G1031" s="575" t="s">
        <v>5636</v>
      </c>
      <c r="H1031" s="198" t="s">
        <v>249</v>
      </c>
      <c r="I1031" s="191">
        <v>45664.0</v>
      </c>
      <c r="J1031" s="1332">
        <v>45692.0</v>
      </c>
      <c r="K1031" s="190"/>
      <c r="L1031" s="190" t="s">
        <v>5594</v>
      </c>
      <c r="M1031" s="198" t="s">
        <v>5638</v>
      </c>
      <c r="N1031" s="198" t="s">
        <v>5639</v>
      </c>
      <c r="O1031" s="190"/>
      <c r="P1031" s="198" t="str">
        <f> SUBSTITUTE(lower(N1031), "/", "--") &amp;  ".pdf"</f>
        <v>10.1111--j.1551-6709.2010.01164.x.pdf</v>
      </c>
      <c r="Q1031" s="52" t="str">
        <f t="array" ref="Q1031"> if(iserror(MATCH(V1031, 'File Links'!C:C, 0)), "N/A", HYPERLINK(INDEX('File Links'!B:B, MATCH(P1031, 'File Links'!C:C, 0))))</f>
        <v>https://drive.google.com/file/d/1F1gmEthZ6jBt549BBg-rdg_5OVDXWokk/view?usp=drivesdk</v>
      </c>
      <c r="R1031" s="977" t="s">
        <v>5647</v>
      </c>
      <c r="S1031" s="159" t="s">
        <v>3654</v>
      </c>
      <c r="T1031" s="190"/>
      <c r="U1031" s="190"/>
      <c r="V1031" s="198" t="str">
        <f t="shared" si="57"/>
        <v>10.1098--rsos.231240.pdf</v>
      </c>
      <c r="W1031" s="198" t="s">
        <v>3665</v>
      </c>
      <c r="X1031" s="54" t="str">
        <f t="array" ref="X1031"> if(iserror(MATCH(V1031, 'File Links'!C:C, 0)), "N/A", HYPERLINK(INDEX('File Links'!B:B, MATCH(V1031, 'File Links'!C:C, 0))))</f>
        <v>https://drive.google.com/file/d/17gaf2Zy_ljFfcAEDk5L8GBnTl5i7RGJE/view?usp=drivesdk</v>
      </c>
      <c r="Y1031" s="190"/>
      <c r="Z1031" s="198" t="s">
        <v>148</v>
      </c>
      <c r="AA1031" s="374" t="s">
        <v>138</v>
      </c>
      <c r="AB1031" s="190" t="s">
        <v>5642</v>
      </c>
      <c r="AC1031" s="198"/>
      <c r="AD1031" s="198" t="s">
        <v>5648</v>
      </c>
      <c r="AE1031" s="758">
        <v>989.0</v>
      </c>
      <c r="AF1031" s="758">
        <v>60.0</v>
      </c>
      <c r="AG1031" s="795" t="s">
        <v>5649</v>
      </c>
      <c r="AH1031" s="119" t="s">
        <v>134</v>
      </c>
      <c r="AI1031" s="198" t="s">
        <v>5650</v>
      </c>
      <c r="AJ1031" s="875">
        <v>0.01</v>
      </c>
      <c r="AK1031" s="58" t="s">
        <v>135</v>
      </c>
      <c r="AL1031" s="58" t="s">
        <v>186</v>
      </c>
      <c r="AM1031" s="198" t="s">
        <v>141</v>
      </c>
      <c r="AN1031" s="1322" t="s">
        <v>138</v>
      </c>
      <c r="AO1031" s="758">
        <v>55.0</v>
      </c>
      <c r="AP1031" s="198" t="s">
        <v>138</v>
      </c>
      <c r="AQ1031" s="190"/>
      <c r="AR1031" s="374" t="s">
        <v>5604</v>
      </c>
      <c r="AS1031" s="198" t="s">
        <v>138</v>
      </c>
      <c r="AT1031" s="190"/>
      <c r="AU1031" s="198" t="s">
        <v>186</v>
      </c>
      <c r="AV1031" s="198" t="s">
        <v>141</v>
      </c>
      <c r="AW1031" s="1333" t="s">
        <v>138</v>
      </c>
      <c r="AX1031" s="198" t="s">
        <v>143</v>
      </c>
      <c r="AY1031" s="61" t="str">
        <f>IFERROR(__xludf.DUMMYFUNCTION("vlookup(BB1031,importrange(""https://docs.google.com/spreadsheets/d/1d2vevQ_7D_v35q4wCQ4RpQ_IPoTwEMB9Yp6ymwlPqew/edit?gid=984458430#gid=984458430"", ""'replication success'!A:K""), 11, FAlSE)"),"")</f>
        <v/>
      </c>
      <c r="AZ1031" s="61" t="str">
        <f>IFERROR(__xludf.DUMMYFUNCTION("vlookup(BB1031,importrange(""https://docs.google.com/spreadsheets/d/1d2vevQ_7D_v35q4wCQ4RpQ_IPoTwEMB9Yp6ymwlPqew/edit?gid=984458430#gid=984458430"", ""'replication success'!A:M""), 12, FAlSE)"),"")</f>
        <v/>
      </c>
      <c r="BA1031" s="61" t="str">
        <f>IFERROR(__xludf.DUMMYFUNCTION("vlookup(BB1031,importrange(""https://docs.google.com/spreadsheets/d/1d2vevQ_7D_v35q4wCQ4RpQ_IPoTwEMB9Yp6ymwlPqew/edit?gid=984458430#gid=984458430"",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v>
      </c>
      <c r="BB1031" s="61" t="str">
        <f>IFERROR(__xludf.DUMMYFUNCTION("REGEXREPLACE(G1031, ""_[a-z]{1,2}$"", """")"),"Boyce_etal202330")</f>
        <v>Boyce_etal202330</v>
      </c>
      <c r="BC1031" s="189"/>
      <c r="BD1031" s="374" t="s">
        <v>5605</v>
      </c>
    </row>
    <row r="1032">
      <c r="A1032" s="44">
        <v>1032.0</v>
      </c>
      <c r="B1032" s="374" t="s">
        <v>152</v>
      </c>
      <c r="C1032" s="188" t="s">
        <v>115</v>
      </c>
      <c r="D1032" s="188" t="s">
        <v>145</v>
      </c>
      <c r="E1032" s="189"/>
      <c r="F1032" s="58" t="s">
        <v>5635</v>
      </c>
      <c r="G1032" s="58" t="s">
        <v>5651</v>
      </c>
      <c r="H1032" s="198" t="s">
        <v>5592</v>
      </c>
      <c r="I1032" s="191">
        <v>45688.0</v>
      </c>
      <c r="J1032" s="1332">
        <v>45692.0</v>
      </c>
      <c r="K1032" s="190"/>
      <c r="L1032" s="374" t="s">
        <v>5652</v>
      </c>
      <c r="M1032" s="198" t="s">
        <v>5638</v>
      </c>
      <c r="N1032" s="198" t="s">
        <v>5639</v>
      </c>
      <c r="O1032" s="198" t="s">
        <v>5640</v>
      </c>
      <c r="P1032" s="198" t="s">
        <v>5641</v>
      </c>
      <c r="Q1032" s="52" t="str">
        <f t="array" ref="Q1032"> if(iserror(MATCH(V1032, 'File Links'!C:C, 0)), "N/A", HYPERLINK(INDEX('File Links'!B:B, MATCH(P1032, 'File Links'!C:C, 0))))</f>
        <v>https://drive.google.com/file/d/1F1gmEthZ6jBt549BBg-rdg_5OVDXWokk/view?usp=drivesdk</v>
      </c>
      <c r="R1032" s="977" t="s">
        <v>3653</v>
      </c>
      <c r="S1032" s="159" t="s">
        <v>3654</v>
      </c>
      <c r="T1032" s="147" t="s">
        <v>138</v>
      </c>
      <c r="U1032" s="147" t="s">
        <v>138</v>
      </c>
      <c r="V1032" s="198" t="str">
        <f t="shared" si="57"/>
        <v>10.1098--rsos.231240.pdf</v>
      </c>
      <c r="W1032" s="198" t="s">
        <v>3665</v>
      </c>
      <c r="X1032" s="54" t="str">
        <f t="array" ref="X1032"> if(iserror(MATCH(V1032, 'File Links'!C:C, 0)), "N/A", HYPERLINK(INDEX('File Links'!B:B, MATCH(V1032, 'File Links'!C:C, 0))))</f>
        <v>https://drive.google.com/file/d/17gaf2Zy_ljFfcAEDk5L8GBnTl5i7RGJE/view?usp=drivesdk</v>
      </c>
      <c r="Y1032" s="190"/>
      <c r="Z1032" s="198" t="s">
        <v>148</v>
      </c>
      <c r="AA1032" s="374" t="s">
        <v>138</v>
      </c>
      <c r="AB1032" s="190" t="s">
        <v>5642</v>
      </c>
      <c r="AC1032" s="198" t="s">
        <v>5653</v>
      </c>
      <c r="AD1032" s="190" t="s">
        <v>5654</v>
      </c>
      <c r="AE1032" s="190" t="s">
        <v>5645</v>
      </c>
      <c r="AF1032" s="758">
        <v>60.0</v>
      </c>
      <c r="AG1032" s="190" t="s">
        <v>5649</v>
      </c>
      <c r="AH1032" s="190" t="s">
        <v>134</v>
      </c>
      <c r="AI1032" s="750">
        <v>7.0</v>
      </c>
      <c r="AJ1032" s="1128">
        <v>0.01</v>
      </c>
      <c r="AK1032" s="193" t="s">
        <v>135</v>
      </c>
      <c r="AL1032" s="193" t="s">
        <v>186</v>
      </c>
      <c r="AM1032" s="190" t="s">
        <v>137</v>
      </c>
      <c r="AN1032" s="1322" t="s">
        <v>138</v>
      </c>
      <c r="AO1032" s="758">
        <v>55.0</v>
      </c>
      <c r="AP1032" s="374">
        <v>0.26</v>
      </c>
      <c r="AQ1032" s="374" t="s">
        <v>987</v>
      </c>
      <c r="AR1032" s="374" t="s">
        <v>5604</v>
      </c>
      <c r="AS1032" s="374" t="s">
        <v>138</v>
      </c>
      <c r="AT1032" s="219" t="s">
        <v>138</v>
      </c>
      <c r="AU1032" s="190" t="s">
        <v>186</v>
      </c>
      <c r="AV1032" s="190" t="s">
        <v>137</v>
      </c>
      <c r="AW1032" s="1333" t="s">
        <v>138</v>
      </c>
      <c r="AX1032" s="190" t="s">
        <v>143</v>
      </c>
      <c r="AY1032" s="61" t="str">
        <f>IFERROR(__xludf.DUMMYFUNCTION("vlookup(BB1032,importrange(""https://docs.google.com/spreadsheets/d/1d2vevQ_7D_v35q4wCQ4RpQ_IPoTwEMB9Yp6ymwlPqew/edit?gid=984458430#gid=984458430"", ""'replication success'!A:K""), 11, FAlSE)"),"")</f>
        <v/>
      </c>
      <c r="AZ1032" s="61" t="str">
        <f>IFERROR(__xludf.DUMMYFUNCTION("vlookup(BB1032,importrange(""https://docs.google.com/spreadsheets/d/1d2vevQ_7D_v35q4wCQ4RpQ_IPoTwEMB9Yp6ymwlPqew/edit?gid=984458430#gid=984458430"", ""'replication success'!A:M""), 12, FAlSE)"),"")</f>
        <v/>
      </c>
      <c r="BA1032" s="61" t="str">
        <f>IFERROR(__xludf.DUMMYFUNCTION("vlookup(BB1032,importrange(""https://docs.google.com/spreadsheets/d/1d2vevQ_7D_v35q4wCQ4RpQ_IPoTwEMB9Yp6ymwlPqew/edit?gid=984458430#gid=984458430"",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v>
      </c>
      <c r="BB1032" s="61" t="str">
        <f>IFERROR(__xludf.DUMMYFUNCTION("REGEXREPLACE(G1032, ""_[a-z]{1,2}$"", """")"),"Boyce_etal202330")</f>
        <v>Boyce_etal202330</v>
      </c>
      <c r="BC1032" s="189"/>
      <c r="BD1032" s="374" t="s">
        <v>5605</v>
      </c>
    </row>
    <row r="1033">
      <c r="A1033" s="44">
        <v>1033.0</v>
      </c>
      <c r="B1033" s="374" t="s">
        <v>114</v>
      </c>
      <c r="C1033" s="188" t="s">
        <v>115</v>
      </c>
      <c r="D1033" s="188" t="s">
        <v>145</v>
      </c>
      <c r="E1033" s="189"/>
      <c r="F1033" s="58" t="s">
        <v>5635</v>
      </c>
      <c r="G1033" s="58" t="s">
        <v>5655</v>
      </c>
      <c r="H1033" s="198" t="s">
        <v>5592</v>
      </c>
      <c r="I1033" s="191">
        <v>45688.0</v>
      </c>
      <c r="J1033" s="1332">
        <v>45692.0</v>
      </c>
      <c r="K1033" s="190"/>
      <c r="L1033" s="190" t="s">
        <v>5656</v>
      </c>
      <c r="M1033" s="198" t="s">
        <v>5638</v>
      </c>
      <c r="N1033" s="198" t="s">
        <v>5639</v>
      </c>
      <c r="O1033" s="198" t="s">
        <v>5640</v>
      </c>
      <c r="P1033" s="198" t="s">
        <v>5641</v>
      </c>
      <c r="Q1033" s="52" t="str">
        <f t="array" ref="Q1033"> if(iserror(MATCH(V1033, 'File Links'!C:C, 0)), "N/A", HYPERLINK(INDEX('File Links'!B:B, MATCH(P1033, 'File Links'!C:C, 0))))</f>
        <v>https://drive.google.com/file/d/1F1gmEthZ6jBt549BBg-rdg_5OVDXWokk/view?usp=drivesdk</v>
      </c>
      <c r="R1033" s="977" t="s">
        <v>3653</v>
      </c>
      <c r="S1033" s="159" t="s">
        <v>3654</v>
      </c>
      <c r="T1033" s="190" t="s">
        <v>1535</v>
      </c>
      <c r="U1033" s="190" t="s">
        <v>1535</v>
      </c>
      <c r="V1033" s="198" t="str">
        <f t="shared" si="57"/>
        <v>10.1098--rsos.231240.pdf</v>
      </c>
      <c r="W1033" s="198" t="s">
        <v>3665</v>
      </c>
      <c r="X1033" s="54" t="str">
        <f t="array" ref="X1033"> if(iserror(MATCH(V1033, 'File Links'!C:C, 0)), "N/A", HYPERLINK(INDEX('File Links'!B:B, MATCH(V1033, 'File Links'!C:C, 0))))</f>
        <v>https://drive.google.com/file/d/17gaf2Zy_ljFfcAEDk5L8GBnTl5i7RGJE/view?usp=drivesdk</v>
      </c>
      <c r="Y1033" s="190"/>
      <c r="Z1033" s="198" t="s">
        <v>148</v>
      </c>
      <c r="AA1033" s="374" t="s">
        <v>138</v>
      </c>
      <c r="AB1033" s="190" t="s">
        <v>5642</v>
      </c>
      <c r="AC1033" s="198" t="s">
        <v>5657</v>
      </c>
      <c r="AD1033" s="190" t="s">
        <v>5658</v>
      </c>
      <c r="AE1033" s="190" t="s">
        <v>5645</v>
      </c>
      <c r="AF1033" s="758">
        <v>60.0</v>
      </c>
      <c r="AG1033" s="190" t="s">
        <v>5659</v>
      </c>
      <c r="AH1033" s="190" t="s">
        <v>134</v>
      </c>
      <c r="AI1033" s="750">
        <v>7.0</v>
      </c>
      <c r="AJ1033" s="1128">
        <v>1.0E-4</v>
      </c>
      <c r="AK1033" s="193" t="s">
        <v>135</v>
      </c>
      <c r="AL1033" s="193" t="s">
        <v>186</v>
      </c>
      <c r="AM1033" s="190" t="s">
        <v>137</v>
      </c>
      <c r="AN1033" s="1322" t="s">
        <v>138</v>
      </c>
      <c r="AO1033" s="758">
        <v>55.0</v>
      </c>
      <c r="AP1033" s="190" t="s">
        <v>5660</v>
      </c>
      <c r="AQ1033" s="190" t="s">
        <v>134</v>
      </c>
      <c r="AR1033" s="374" t="s">
        <v>5604</v>
      </c>
      <c r="AS1033" s="190" t="s">
        <v>1535</v>
      </c>
      <c r="AT1033" s="190" t="s">
        <v>1535</v>
      </c>
      <c r="AU1033" s="190" t="s">
        <v>186</v>
      </c>
      <c r="AV1033" s="190" t="s">
        <v>137</v>
      </c>
      <c r="AW1033" s="1333" t="s">
        <v>138</v>
      </c>
      <c r="AX1033" s="190" t="s">
        <v>143</v>
      </c>
      <c r="AY1033" s="61" t="str">
        <f>IFERROR(__xludf.DUMMYFUNCTION("vlookup(BB1033,importrange(""https://docs.google.com/spreadsheets/d/1d2vevQ_7D_v35q4wCQ4RpQ_IPoTwEMB9Yp6ymwlPqew/edit?gid=984458430#gid=984458430"", ""'replication success'!A:K""), 11, FAlSE)"),"")</f>
        <v/>
      </c>
      <c r="AZ1033" s="61" t="str">
        <f>IFERROR(__xludf.DUMMYFUNCTION("vlookup(BB1033,importrange(""https://docs.google.com/spreadsheets/d/1d2vevQ_7D_v35q4wCQ4RpQ_IPoTwEMB9Yp6ymwlPqew/edit?gid=984458430#gid=984458430"", ""'replication success'!A:M""), 12, FAlSE)"),"")</f>
        <v/>
      </c>
      <c r="BA1033" s="61" t="str">
        <f>IFERROR(__xludf.DUMMYFUNCTION("vlookup(BB1033,importrange(""https://docs.google.com/spreadsheets/d/1d2vevQ_7D_v35q4wCQ4RpQ_IPoTwEMB9Yp6ymwlPqew/edit?gid=984458430#gid=984458430"",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v>
      </c>
      <c r="BB1033" s="61" t="str">
        <f>IFERROR(__xludf.DUMMYFUNCTION("REGEXREPLACE(G1033, ""_[a-z]{1,2}$"", """")"),"Boyce_etal202330")</f>
        <v>Boyce_etal202330</v>
      </c>
      <c r="BC1033" s="189"/>
      <c r="BD1033" s="374" t="s">
        <v>5605</v>
      </c>
    </row>
    <row r="1034">
      <c r="A1034" s="44">
        <v>1034.0</v>
      </c>
      <c r="B1034" s="374" t="s">
        <v>114</v>
      </c>
      <c r="C1034" s="188" t="s">
        <v>115</v>
      </c>
      <c r="D1034" s="188" t="s">
        <v>145</v>
      </c>
      <c r="E1034" s="189"/>
      <c r="F1034" s="58" t="s">
        <v>5635</v>
      </c>
      <c r="G1034" s="58" t="s">
        <v>5661</v>
      </c>
      <c r="H1034" s="198" t="s">
        <v>5592</v>
      </c>
      <c r="I1034" s="191">
        <v>45688.0</v>
      </c>
      <c r="J1034" s="1332">
        <v>45692.0</v>
      </c>
      <c r="K1034" s="190"/>
      <c r="L1034" s="190" t="s">
        <v>5656</v>
      </c>
      <c r="M1034" s="198" t="s">
        <v>5638</v>
      </c>
      <c r="N1034" s="198" t="s">
        <v>5639</v>
      </c>
      <c r="O1034" s="198" t="s">
        <v>5640</v>
      </c>
      <c r="P1034" s="198" t="s">
        <v>5641</v>
      </c>
      <c r="Q1034" s="52" t="str">
        <f t="array" ref="Q1034"> if(iserror(MATCH(V1034, 'File Links'!C:C, 0)), "N/A", HYPERLINK(INDEX('File Links'!B:B, MATCH(P1034, 'File Links'!C:C, 0))))</f>
        <v>https://drive.google.com/file/d/1F1gmEthZ6jBt549BBg-rdg_5OVDXWokk/view?usp=drivesdk</v>
      </c>
      <c r="R1034" s="977" t="s">
        <v>3653</v>
      </c>
      <c r="S1034" s="159" t="s">
        <v>3654</v>
      </c>
      <c r="T1034" s="190" t="s">
        <v>1535</v>
      </c>
      <c r="U1034" s="190" t="s">
        <v>1535</v>
      </c>
      <c r="V1034" s="198" t="str">
        <f t="shared" si="57"/>
        <v>10.1098--rsos.231240.pdf</v>
      </c>
      <c r="W1034" s="198" t="s">
        <v>3665</v>
      </c>
      <c r="X1034" s="54" t="str">
        <f t="array" ref="X1034"> if(iserror(MATCH(V1034, 'File Links'!C:C, 0)), "N/A", HYPERLINK(INDEX('File Links'!B:B, MATCH(V1034, 'File Links'!C:C, 0))))</f>
        <v>https://drive.google.com/file/d/17gaf2Zy_ljFfcAEDk5L8GBnTl5i7RGJE/view?usp=drivesdk</v>
      </c>
      <c r="Y1034" s="190"/>
      <c r="Z1034" s="198" t="s">
        <v>148</v>
      </c>
      <c r="AA1034" s="374" t="s">
        <v>138</v>
      </c>
      <c r="AB1034" s="190" t="s">
        <v>5642</v>
      </c>
      <c r="AC1034" s="198" t="s">
        <v>5662</v>
      </c>
      <c r="AD1034" s="190" t="s">
        <v>5663</v>
      </c>
      <c r="AE1034" s="190" t="s">
        <v>5645</v>
      </c>
      <c r="AF1034" s="758">
        <v>60.0</v>
      </c>
      <c r="AG1034" s="190" t="s">
        <v>5664</v>
      </c>
      <c r="AH1034" s="190" t="s">
        <v>134</v>
      </c>
      <c r="AI1034" s="750">
        <v>7.0</v>
      </c>
      <c r="AJ1034" s="1128">
        <v>5.0E-4</v>
      </c>
      <c r="AK1034" s="193" t="s">
        <v>135</v>
      </c>
      <c r="AL1034" s="193" t="s">
        <v>186</v>
      </c>
      <c r="AM1034" s="190" t="s">
        <v>137</v>
      </c>
      <c r="AN1034" s="1322" t="s">
        <v>138</v>
      </c>
      <c r="AO1034" s="758">
        <v>55.0</v>
      </c>
      <c r="AP1034" s="190" t="s">
        <v>5660</v>
      </c>
      <c r="AQ1034" s="190" t="s">
        <v>134</v>
      </c>
      <c r="AR1034" s="374" t="s">
        <v>5604</v>
      </c>
      <c r="AS1034" s="190" t="s">
        <v>1535</v>
      </c>
      <c r="AT1034" s="190" t="s">
        <v>1535</v>
      </c>
      <c r="AU1034" s="190" t="s">
        <v>186</v>
      </c>
      <c r="AV1034" s="190" t="s">
        <v>137</v>
      </c>
      <c r="AW1034" s="1333" t="s">
        <v>138</v>
      </c>
      <c r="AX1034" s="190" t="s">
        <v>143</v>
      </c>
      <c r="AY1034" s="61" t="str">
        <f>IFERROR(__xludf.DUMMYFUNCTION("vlookup(BB1034,importrange(""https://docs.google.com/spreadsheets/d/1d2vevQ_7D_v35q4wCQ4RpQ_IPoTwEMB9Yp6ymwlPqew/edit?gid=984458430#gid=984458430"", ""'replication success'!A:K""), 11, FAlSE)"),"")</f>
        <v/>
      </c>
      <c r="AZ1034" s="61" t="str">
        <f>IFERROR(__xludf.DUMMYFUNCTION("vlookup(BB1034,importrange(""https://docs.google.com/spreadsheets/d/1d2vevQ_7D_v35q4wCQ4RpQ_IPoTwEMB9Yp6ymwlPqew/edit?gid=984458430#gid=984458430"", ""'replication success'!A:M""), 12, FAlSE)"),"")</f>
        <v/>
      </c>
      <c r="BA1034" s="61" t="str">
        <f>IFERROR(__xludf.DUMMYFUNCTION("vlookup(BB1034,importrange(""https://docs.google.com/spreadsheets/d/1d2vevQ_7D_v35q4wCQ4RpQ_IPoTwEMB9Yp6ymwlPqew/edit?gid=984458430#gid=984458430"",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v>
      </c>
      <c r="BB1034" s="61" t="str">
        <f>IFERROR(__xludf.DUMMYFUNCTION("REGEXREPLACE(G1034, ""_[a-z]{1,2}$"", """")"),"Boyce_etal202330")</f>
        <v>Boyce_etal202330</v>
      </c>
      <c r="BC1034" s="189"/>
      <c r="BD1034" s="374" t="s">
        <v>5605</v>
      </c>
    </row>
    <row r="1035">
      <c r="A1035" s="44">
        <v>1035.0</v>
      </c>
      <c r="B1035" s="147" t="s">
        <v>2013</v>
      </c>
      <c r="C1035" s="149" t="s">
        <v>115</v>
      </c>
      <c r="D1035" s="149" t="s">
        <v>145</v>
      </c>
      <c r="E1035" s="71"/>
      <c r="F1035" s="122" t="s">
        <v>5665</v>
      </c>
      <c r="G1035" s="112" t="s">
        <v>5666</v>
      </c>
      <c r="H1035" s="122" t="s">
        <v>5592</v>
      </c>
      <c r="I1035" s="417">
        <v>45688.0</v>
      </c>
      <c r="J1035" s="1334">
        <v>45692.0</v>
      </c>
      <c r="K1035" s="838" t="s">
        <v>5667</v>
      </c>
      <c r="L1035" s="111" t="s">
        <v>5668</v>
      </c>
      <c r="M1035" s="122" t="s">
        <v>5669</v>
      </c>
      <c r="N1035" s="111" t="str">
        <f>lower(SUBSTITUTE(SUBSTITUTE(P1035, "--", "/"), ".pdf", ""))</f>
        <v>10.1111/j.1551-6709.2010.01164.x</v>
      </c>
      <c r="O1035" s="537">
        <v>1.0</v>
      </c>
      <c r="P1035" s="122" t="s">
        <v>5641</v>
      </c>
      <c r="Q1035" s="52" t="str">
        <f t="array" ref="Q1035"> if(iserror(MATCH(V1035, 'File Links'!C:C, 0)), "N/A", HYPERLINK(INDEX('File Links'!B:B, MATCH(P1035, 'File Links'!C:C, 0))))</f>
        <v>https://drive.google.com/file/d/1F1gmEthZ6jBt549BBg-rdg_5OVDXWokk/view?usp=drivesdk</v>
      </c>
      <c r="R1035" s="536" t="s">
        <v>3653</v>
      </c>
      <c r="S1035" s="122" t="s">
        <v>3654</v>
      </c>
      <c r="T1035" s="147" t="s">
        <v>138</v>
      </c>
      <c r="U1035" s="147" t="s">
        <v>138</v>
      </c>
      <c r="V1035" s="198" t="str">
        <f t="shared" si="57"/>
        <v>10.1098--rsos.231240.pdf</v>
      </c>
      <c r="W1035" s="122" t="s">
        <v>324</v>
      </c>
      <c r="X1035" s="54" t="str">
        <f t="array" ref="X1035"> if(iserror(MATCH(V1035, 'File Links'!C:C, 0)), "N/A", HYPERLINK(INDEX('File Links'!B:B, MATCH(V1035, 'File Links'!C:C, 0))))</f>
        <v>https://drive.google.com/file/d/17gaf2Zy_ljFfcAEDk5L8GBnTl5i7RGJE/view?usp=drivesdk</v>
      </c>
      <c r="Y1035" s="111"/>
      <c r="Z1035" s="122" t="s">
        <v>148</v>
      </c>
      <c r="AA1035" s="374" t="s">
        <v>138</v>
      </c>
      <c r="AB1035" s="111" t="s">
        <v>5670</v>
      </c>
      <c r="AC1035" s="122" t="s">
        <v>5671</v>
      </c>
      <c r="AD1035" s="122" t="s">
        <v>138</v>
      </c>
      <c r="AE1035" s="122" t="s">
        <v>138</v>
      </c>
      <c r="AF1035" s="537">
        <v>17.0</v>
      </c>
      <c r="AG1035" s="122" t="s">
        <v>138</v>
      </c>
      <c r="AH1035" s="167" t="s">
        <v>138</v>
      </c>
      <c r="AI1035" s="122" t="s">
        <v>138</v>
      </c>
      <c r="AJ1035" s="122" t="s">
        <v>138</v>
      </c>
      <c r="AK1035" s="114" t="s">
        <v>1535</v>
      </c>
      <c r="AL1035" s="114" t="s">
        <v>186</v>
      </c>
      <c r="AM1035" s="111" t="s">
        <v>137</v>
      </c>
      <c r="AN1035" s="1322" t="s">
        <v>138</v>
      </c>
      <c r="AO1035" s="537">
        <v>40.0</v>
      </c>
      <c r="AP1035" s="111" t="s">
        <v>1535</v>
      </c>
      <c r="AQ1035" s="129" t="s">
        <v>138</v>
      </c>
      <c r="AR1035" s="147" t="s">
        <v>5604</v>
      </c>
      <c r="AS1035" s="111" t="s">
        <v>1535</v>
      </c>
      <c r="AT1035" s="111" t="s">
        <v>1535</v>
      </c>
      <c r="AU1035" s="111" t="s">
        <v>186</v>
      </c>
      <c r="AV1035" s="111" t="s">
        <v>137</v>
      </c>
      <c r="AW1035" s="1335" t="s">
        <v>138</v>
      </c>
      <c r="AX1035" s="111" t="s">
        <v>143</v>
      </c>
      <c r="AY1035" s="61" t="str">
        <f>IFERROR(__xludf.DUMMYFUNCTION("vlookup(BB1035,importrange(""https://docs.google.com/spreadsheets/d/1d2vevQ_7D_v35q4wCQ4RpQ_IPoTwEMB9Yp6ymwlPqew/edit?gid=984458430#gid=984458430"", ""'replication success'!A:K""), 11, FAlSE)"),"#N/A")</f>
        <v>#N/A</v>
      </c>
      <c r="AZ1035" s="61" t="str">
        <f>IFERROR(__xludf.DUMMYFUNCTION("vlookup(BB1035,importrange(""https://docs.google.com/spreadsheets/d/1d2vevQ_7D_v35q4wCQ4RpQ_IPoTwEMB9Yp6ymwlPqew/edit?gid=984458430#gid=984458430"", ""'replication success'!A:M""), 12, FAlSE)"),"#N/A")</f>
        <v>#N/A</v>
      </c>
      <c r="BA1035" s="61" t="str">
        <f>IFERROR(__xludf.DUMMYFUNCTION("vlookup(BB1035,importrange(""https://docs.google.com/spreadsheets/d/1d2vevQ_7D_v35q4wCQ4RpQ_IPoTwEMB9Yp6ymwlPqew/edit?gid=984458430#gid=984458430"", ""'replication success'!A:M""), 13, FAlSE)"),"#N/A")</f>
        <v>#N/A</v>
      </c>
      <c r="BB1035" s="61" t="str">
        <f>IFERROR(__xludf.DUMMYFUNCTION("REGEXREPLACE(G1035, ""_[a-z]{1,2}$"", """")"),"Boyce_etal202331")</f>
        <v>Boyce_etal202331</v>
      </c>
      <c r="BC1035" s="71"/>
      <c r="BD1035" s="147" t="s">
        <v>5605</v>
      </c>
    </row>
    <row r="1036">
      <c r="A1036" s="44">
        <v>1036.0</v>
      </c>
      <c r="B1036" s="111" t="s">
        <v>114</v>
      </c>
      <c r="C1036" s="149" t="s">
        <v>115</v>
      </c>
      <c r="D1036" s="149" t="s">
        <v>248</v>
      </c>
      <c r="E1036" s="71"/>
      <c r="F1036" s="112" t="s">
        <v>5665</v>
      </c>
      <c r="G1036" s="116" t="s">
        <v>5666</v>
      </c>
      <c r="H1036" s="122" t="s">
        <v>249</v>
      </c>
      <c r="I1036" s="417">
        <v>45664.0</v>
      </c>
      <c r="J1036" s="1334">
        <v>45692.0</v>
      </c>
      <c r="K1036" s="122" t="s">
        <v>5672</v>
      </c>
      <c r="L1036" s="111" t="s">
        <v>5594</v>
      </c>
      <c r="M1036" s="122" t="s">
        <v>5669</v>
      </c>
      <c r="N1036" s="122" t="s">
        <v>5673</v>
      </c>
      <c r="O1036" s="537">
        <v>1.0</v>
      </c>
      <c r="P1036" s="122" t="str">
        <f t="shared" ref="P1036:P1042" si="58"> SUBSTITUTE(lower(N1036), "/", "--") &amp;  ".pdf"</f>
        <v>10.1016--j.neuron.2011.02.027.pdf</v>
      </c>
      <c r="Q1036" s="52" t="str">
        <f t="array" ref="Q1036"> if(iserror(MATCH(V1036, 'File Links'!C:C, 0)), "N/A", HYPERLINK(INDEX('File Links'!B:B, MATCH(P1036, 'File Links'!C:C, 0))))</f>
        <v>https://drive.google.com/file/d/1VgMcBc_Zck2mNomOuS1CZVLBzdiV_nWC/view?usp=drivesdk</v>
      </c>
      <c r="R1036" s="536" t="s">
        <v>5674</v>
      </c>
      <c r="S1036" s="122" t="s">
        <v>3654</v>
      </c>
      <c r="T1036" s="147" t="s">
        <v>138</v>
      </c>
      <c r="U1036" s="147" t="s">
        <v>138</v>
      </c>
      <c r="V1036" s="198" t="str">
        <f t="shared" si="57"/>
        <v>10.1098--rsos.231240.pdf</v>
      </c>
      <c r="W1036" s="122" t="s">
        <v>324</v>
      </c>
      <c r="X1036" s="54" t="str">
        <f t="array" ref="X1036"> if(iserror(MATCH(V1036, 'File Links'!C:C, 0)), "N/A", HYPERLINK(INDEX('File Links'!B:B, MATCH(V1036, 'File Links'!C:C, 0))))</f>
        <v>https://drive.google.com/file/d/17gaf2Zy_ljFfcAEDk5L8GBnTl5i7RGJE/view?usp=drivesdk</v>
      </c>
      <c r="Y1036" s="111"/>
      <c r="Z1036" s="122" t="s">
        <v>148</v>
      </c>
      <c r="AA1036" s="374" t="s">
        <v>138</v>
      </c>
      <c r="AB1036" s="111"/>
      <c r="AC1036" s="111"/>
      <c r="AD1036" s="122" t="s">
        <v>138</v>
      </c>
      <c r="AE1036" s="122" t="s">
        <v>138</v>
      </c>
      <c r="AF1036" s="537">
        <v>17.0</v>
      </c>
      <c r="AG1036" s="122" t="s">
        <v>138</v>
      </c>
      <c r="AH1036" s="167" t="s">
        <v>138</v>
      </c>
      <c r="AI1036" s="122" t="s">
        <v>138</v>
      </c>
      <c r="AJ1036" s="121" t="s">
        <v>138</v>
      </c>
      <c r="AK1036" s="114"/>
      <c r="AL1036" s="112" t="s">
        <v>186</v>
      </c>
      <c r="AM1036" s="122" t="s">
        <v>1905</v>
      </c>
      <c r="AN1036" s="1322" t="s">
        <v>138</v>
      </c>
      <c r="AO1036" s="537">
        <v>40.0</v>
      </c>
      <c r="AP1036" s="122" t="s">
        <v>138</v>
      </c>
      <c r="AQ1036" s="111"/>
      <c r="AR1036" s="147" t="s">
        <v>5604</v>
      </c>
      <c r="AS1036" s="122" t="s">
        <v>138</v>
      </c>
      <c r="AT1036" s="111"/>
      <c r="AU1036" s="122" t="s">
        <v>186</v>
      </c>
      <c r="AV1036" s="122" t="s">
        <v>1905</v>
      </c>
      <c r="AW1036" s="1335" t="s">
        <v>138</v>
      </c>
      <c r="AX1036" s="122" t="s">
        <v>143</v>
      </c>
      <c r="AY1036" s="61" t="str">
        <f>IFERROR(__xludf.DUMMYFUNCTION("vlookup(BB1036,importrange(""https://docs.google.com/spreadsheets/d/1d2vevQ_7D_v35q4wCQ4RpQ_IPoTwEMB9Yp6ymwlPqew/edit?gid=984458430#gid=984458430"", ""'replication success'!A:K""), 11, FAlSE)"),"#N/A")</f>
        <v>#N/A</v>
      </c>
      <c r="AZ1036" s="61" t="str">
        <f>IFERROR(__xludf.DUMMYFUNCTION("vlookup(BB1036,importrange(""https://docs.google.com/spreadsheets/d/1d2vevQ_7D_v35q4wCQ4RpQ_IPoTwEMB9Yp6ymwlPqew/edit?gid=984458430#gid=984458430"", ""'replication success'!A:M""), 12, FAlSE)"),"#N/A")</f>
        <v>#N/A</v>
      </c>
      <c r="BA1036" s="61" t="str">
        <f>IFERROR(__xludf.DUMMYFUNCTION("vlookup(BB1036,importrange(""https://docs.google.com/spreadsheets/d/1d2vevQ_7D_v35q4wCQ4RpQ_IPoTwEMB9Yp6ymwlPqew/edit?gid=984458430#gid=984458430"", ""'replication success'!A:M""), 13, FAlSE)"),"#N/A")</f>
        <v>#N/A</v>
      </c>
      <c r="BB1036" s="61" t="str">
        <f>IFERROR(__xludf.DUMMYFUNCTION("REGEXREPLACE(G1036, ""_[a-z]{1,2}$"", """")"),"Boyce_etal202331")</f>
        <v>Boyce_etal202331</v>
      </c>
      <c r="BC1036" s="71"/>
      <c r="BD1036" s="147" t="s">
        <v>5605</v>
      </c>
    </row>
    <row r="1037">
      <c r="A1037" s="44">
        <v>1037.0</v>
      </c>
      <c r="B1037" s="129" t="s">
        <v>2013</v>
      </c>
      <c r="C1037" s="62" t="s">
        <v>115</v>
      </c>
      <c r="D1037" s="62" t="s">
        <v>145</v>
      </c>
      <c r="E1037" s="365"/>
      <c r="F1037" s="1315" t="s">
        <v>5675</v>
      </c>
      <c r="G1037" s="1314" t="s">
        <v>5676</v>
      </c>
      <c r="H1037" s="1315" t="s">
        <v>5592</v>
      </c>
      <c r="I1037" s="1316">
        <v>45688.0</v>
      </c>
      <c r="J1037" s="1317">
        <v>45692.0</v>
      </c>
      <c r="K1037" s="1313" t="s">
        <v>5677</v>
      </c>
      <c r="L1037" s="1313" t="s">
        <v>5594</v>
      </c>
      <c r="M1037" s="1315" t="s">
        <v>5678</v>
      </c>
      <c r="N1037" s="1313" t="s">
        <v>5679</v>
      </c>
      <c r="O1037" s="1318">
        <v>1.0</v>
      </c>
      <c r="P1037" s="140" t="str">
        <f t="shared" si="58"/>
        <v>10.1016--j.neuroimage.2009.09.024.pdf</v>
      </c>
      <c r="Q1037" s="52" t="str">
        <f t="array" ref="Q1037"> if(iserror(MATCH(V1037, 'File Links'!C:C, 0)), "N/A", HYPERLINK(INDEX('File Links'!B:B, MATCH(P1037, 'File Links'!C:C, 0))))</f>
        <v>https://drive.google.com/file/d/1X_Hzp8yt2P-QO2WO8iH4EPgoVRh7R4xM/view?usp=drivesdk</v>
      </c>
      <c r="R1037" s="1315" t="s">
        <v>3653</v>
      </c>
      <c r="S1037" s="159" t="s">
        <v>3654</v>
      </c>
      <c r="T1037" s="147" t="s">
        <v>138</v>
      </c>
      <c r="U1037" s="147" t="s">
        <v>138</v>
      </c>
      <c r="V1037" s="198" t="str">
        <f t="shared" si="57"/>
        <v>10.1098--rsos.231240.pdf</v>
      </c>
      <c r="W1037" s="140" t="s">
        <v>324</v>
      </c>
      <c r="X1037" s="54" t="str">
        <f t="array" ref="X1037"> if(iserror(MATCH(V1037, 'File Links'!C:C, 0)), "N/A", HYPERLINK(INDEX('File Links'!B:B, MATCH(V1037, 'File Links'!C:C, 0))))</f>
        <v>https://drive.google.com/file/d/17gaf2Zy_ljFfcAEDk5L8GBnTl5i7RGJE/view?usp=drivesdk</v>
      </c>
      <c r="Y1037" s="1313"/>
      <c r="Z1037" s="1315" t="s">
        <v>148</v>
      </c>
      <c r="AA1037" s="1313" t="s">
        <v>1535</v>
      </c>
      <c r="AB1037" s="1313" t="s">
        <v>5680</v>
      </c>
      <c r="AC1037" s="1315" t="s">
        <v>5681</v>
      </c>
      <c r="AD1037" s="1313" t="s">
        <v>1535</v>
      </c>
      <c r="AE1037" s="1313" t="s">
        <v>1535</v>
      </c>
      <c r="AF1037" s="1318">
        <v>26.0</v>
      </c>
      <c r="AG1037" s="1313" t="s">
        <v>1535</v>
      </c>
      <c r="AH1037" s="167" t="s">
        <v>138</v>
      </c>
      <c r="AI1037" s="1313" t="s">
        <v>1535</v>
      </c>
      <c r="AJ1037" s="1320" t="s">
        <v>1535</v>
      </c>
      <c r="AK1037" s="1321" t="s">
        <v>1535</v>
      </c>
      <c r="AL1037" s="1321" t="s">
        <v>186</v>
      </c>
      <c r="AM1037" s="1313" t="s">
        <v>137</v>
      </c>
      <c r="AN1037" s="1322" t="s">
        <v>138</v>
      </c>
      <c r="AO1037" s="1318">
        <v>23.0</v>
      </c>
      <c r="AP1037" s="1313" t="s">
        <v>1535</v>
      </c>
      <c r="AQ1037" s="129" t="s">
        <v>138</v>
      </c>
      <c r="AR1037" s="1322" t="s">
        <v>5604</v>
      </c>
      <c r="AS1037" s="1313" t="s">
        <v>1535</v>
      </c>
      <c r="AT1037" s="1313" t="s">
        <v>1535</v>
      </c>
      <c r="AU1037" s="1313" t="s">
        <v>186</v>
      </c>
      <c r="AV1037" s="1313" t="s">
        <v>137</v>
      </c>
      <c r="AW1037" s="1323" t="s">
        <v>138</v>
      </c>
      <c r="AX1037" s="1313" t="s">
        <v>143</v>
      </c>
      <c r="AY1037" s="61" t="str">
        <f>IFERROR(__xludf.DUMMYFUNCTION("vlookup(BB1037,importrange(""https://docs.google.com/spreadsheets/d/1d2vevQ_7D_v35q4wCQ4RpQ_IPoTwEMB9Yp6ymwlPqew/edit?gid=984458430#gid=984458430"", ""'replication success'!A:K""), 11, FAlSE)"),"#N/A")</f>
        <v>#N/A</v>
      </c>
      <c r="AZ1037" s="61" t="str">
        <f>IFERROR(__xludf.DUMMYFUNCTION("vlookup(BB1037,importrange(""https://docs.google.com/spreadsheets/d/1d2vevQ_7D_v35q4wCQ4RpQ_IPoTwEMB9Yp6ymwlPqew/edit?gid=984458430#gid=984458430"", ""'replication success'!A:M""), 12, FAlSE)"),"#N/A")</f>
        <v>#N/A</v>
      </c>
      <c r="BA1037" s="61" t="str">
        <f>IFERROR(__xludf.DUMMYFUNCTION("vlookup(BB1037,importrange(""https://docs.google.com/spreadsheets/d/1d2vevQ_7D_v35q4wCQ4RpQ_IPoTwEMB9Yp6ymwlPqew/edit?gid=984458430#gid=984458430"", ""'replication success'!A:M""), 13, FAlSE)"),"#N/A")</f>
        <v>#N/A</v>
      </c>
      <c r="BB1037" s="61" t="str">
        <f>IFERROR(__xludf.DUMMYFUNCTION("REGEXREPLACE(G1037, ""_[a-z]{1,2}$"", """")"),"Boyce_etal202332")</f>
        <v>Boyce_etal202332</v>
      </c>
      <c r="BD1037" s="1322" t="s">
        <v>5605</v>
      </c>
      <c r="BF1037" s="71"/>
      <c r="BG1037" s="71"/>
      <c r="BH1037" s="71"/>
      <c r="BI1037" s="71"/>
      <c r="BJ1037" s="71"/>
      <c r="BK1037" s="71"/>
      <c r="BL1037" s="71"/>
      <c r="BM1037" s="71"/>
      <c r="BN1037" s="71"/>
      <c r="BO1037" s="71"/>
      <c r="BP1037" s="71"/>
      <c r="BQ1037" s="71"/>
      <c r="BR1037" s="71"/>
      <c r="BS1037" s="71"/>
      <c r="BT1037" s="71"/>
      <c r="BU1037" s="71"/>
      <c r="BV1037" s="71"/>
      <c r="BW1037" s="71"/>
      <c r="BX1037" s="71"/>
      <c r="BY1037" s="71"/>
      <c r="BZ1037" s="71"/>
      <c r="CA1037" s="71"/>
      <c r="CB1037" s="71"/>
      <c r="CC1037" s="71"/>
      <c r="CD1037" s="71"/>
      <c r="CE1037" s="71"/>
      <c r="CF1037" s="71"/>
      <c r="CG1037" s="71"/>
      <c r="CH1037" s="71"/>
      <c r="CI1037" s="71"/>
      <c r="CJ1037" s="71"/>
      <c r="CK1037" s="71"/>
      <c r="CL1037" s="71"/>
      <c r="CM1037" s="71"/>
      <c r="CN1037" s="71"/>
      <c r="CO1037" s="71"/>
      <c r="CP1037" s="71"/>
      <c r="CQ1037" s="71"/>
      <c r="CR1037" s="71"/>
      <c r="CS1037" s="71"/>
      <c r="CT1037" s="71"/>
      <c r="CU1037" s="71"/>
      <c r="CV1037" s="71"/>
      <c r="CW1037" s="71"/>
      <c r="CX1037" s="71"/>
      <c r="CY1037" s="71"/>
      <c r="CZ1037" s="71"/>
      <c r="DA1037" s="71"/>
      <c r="DB1037" s="71"/>
      <c r="DC1037" s="71"/>
      <c r="DD1037" s="71"/>
      <c r="DE1037" s="71"/>
      <c r="DF1037" s="71"/>
      <c r="DG1037" s="71"/>
      <c r="DH1037" s="71"/>
      <c r="DI1037" s="71"/>
      <c r="DJ1037" s="71"/>
      <c r="DK1037" s="71"/>
      <c r="DL1037" s="71"/>
    </row>
    <row r="1038">
      <c r="A1038" s="44">
        <v>1038.0</v>
      </c>
      <c r="B1038" s="68" t="s">
        <v>114</v>
      </c>
      <c r="C1038" s="62" t="s">
        <v>115</v>
      </c>
      <c r="D1038" s="62" t="s">
        <v>248</v>
      </c>
      <c r="E1038" s="365"/>
      <c r="F1038" s="126" t="s">
        <v>5675</v>
      </c>
      <c r="G1038" s="119" t="s">
        <v>5676</v>
      </c>
      <c r="H1038" s="140" t="s">
        <v>249</v>
      </c>
      <c r="I1038" s="317">
        <v>45664.0</v>
      </c>
      <c r="J1038" s="1326">
        <v>45692.0</v>
      </c>
      <c r="K1038" s="670" t="s">
        <v>3683</v>
      </c>
      <c r="L1038" s="125" t="s">
        <v>5682</v>
      </c>
      <c r="M1038" s="140" t="s">
        <v>5678</v>
      </c>
      <c r="N1038" s="140" t="s">
        <v>5679</v>
      </c>
      <c r="O1038" s="125"/>
      <c r="P1038" s="140" t="str">
        <f t="shared" si="58"/>
        <v>10.1016--j.neuroimage.2009.09.024.pdf</v>
      </c>
      <c r="Q1038" s="52" t="str">
        <f t="array" ref="Q1038"> if(iserror(MATCH(V1038, 'File Links'!C:C, 0)), "N/A", HYPERLINK(INDEX('File Links'!B:B, MATCH(P1038, 'File Links'!C:C, 0))))</f>
        <v>https://drive.google.com/file/d/1X_Hzp8yt2P-QO2WO8iH4EPgoVRh7R4xM/view?usp=drivesdk</v>
      </c>
      <c r="R1038" s="140" t="s">
        <v>5683</v>
      </c>
      <c r="S1038" s="159" t="s">
        <v>3654</v>
      </c>
      <c r="T1038" s="147" t="s">
        <v>138</v>
      </c>
      <c r="U1038" s="147" t="s">
        <v>138</v>
      </c>
      <c r="V1038" s="198" t="str">
        <f t="shared" si="57"/>
        <v>10.1098--rsos.231240.pdf</v>
      </c>
      <c r="W1038" s="140" t="s">
        <v>324</v>
      </c>
      <c r="X1038" s="54" t="str">
        <f t="array" ref="X1038"> if(iserror(MATCH(V1038, 'File Links'!C:C, 0)), "N/A", HYPERLINK(INDEX('File Links'!B:B, MATCH(V1038, 'File Links'!C:C, 0))))</f>
        <v>https://drive.google.com/file/d/17gaf2Zy_ljFfcAEDk5L8GBnTl5i7RGJE/view?usp=drivesdk</v>
      </c>
      <c r="Y1038" s="125"/>
      <c r="Z1038" s="140" t="s">
        <v>148</v>
      </c>
      <c r="AA1038" s="125"/>
      <c r="AB1038" s="125"/>
      <c r="AC1038" s="125"/>
      <c r="AD1038" s="140" t="s">
        <v>138</v>
      </c>
      <c r="AE1038" s="140" t="s">
        <v>138</v>
      </c>
      <c r="AF1038" s="782">
        <v>26.0</v>
      </c>
      <c r="AG1038" s="140" t="s">
        <v>138</v>
      </c>
      <c r="AH1038" s="167" t="s">
        <v>138</v>
      </c>
      <c r="AI1038" s="140" t="s">
        <v>138</v>
      </c>
      <c r="AJ1038" s="223" t="s">
        <v>138</v>
      </c>
      <c r="AK1038" s="132"/>
      <c r="AL1038" s="126" t="s">
        <v>186</v>
      </c>
      <c r="AM1038" s="140" t="s">
        <v>1905</v>
      </c>
      <c r="AN1038" s="1322" t="s">
        <v>138</v>
      </c>
      <c r="AO1038" s="782">
        <v>23.0</v>
      </c>
      <c r="AP1038" s="140" t="s">
        <v>138</v>
      </c>
      <c r="AQ1038" s="125"/>
      <c r="AR1038" s="1322" t="s">
        <v>5604</v>
      </c>
      <c r="AS1038" s="140" t="s">
        <v>138</v>
      </c>
      <c r="AT1038" s="125"/>
      <c r="AU1038" s="140" t="s">
        <v>186</v>
      </c>
      <c r="AV1038" s="140" t="s">
        <v>1905</v>
      </c>
      <c r="AW1038" s="1323" t="s">
        <v>138</v>
      </c>
      <c r="AX1038" s="140" t="s">
        <v>143</v>
      </c>
      <c r="AY1038" s="61" t="str">
        <f>IFERROR(__xludf.DUMMYFUNCTION("vlookup(BB1038,importrange(""https://docs.google.com/spreadsheets/d/1d2vevQ_7D_v35q4wCQ4RpQ_IPoTwEMB9Yp6ymwlPqew/edit?gid=984458430#gid=984458430"", ""'replication success'!A:K""), 11, FAlSE)"),"#N/A")</f>
        <v>#N/A</v>
      </c>
      <c r="AZ1038" s="61" t="str">
        <f>IFERROR(__xludf.DUMMYFUNCTION("vlookup(BB1038,importrange(""https://docs.google.com/spreadsheets/d/1d2vevQ_7D_v35q4wCQ4RpQ_IPoTwEMB9Yp6ymwlPqew/edit?gid=984458430#gid=984458430"", ""'replication success'!A:M""), 12, FAlSE)"),"#N/A")</f>
        <v>#N/A</v>
      </c>
      <c r="BA1038" s="61" t="str">
        <f>IFERROR(__xludf.DUMMYFUNCTION("vlookup(BB1038,importrange(""https://docs.google.com/spreadsheets/d/1d2vevQ_7D_v35q4wCQ4RpQ_IPoTwEMB9Yp6ymwlPqew/edit?gid=984458430#gid=984458430"", ""'replication success'!A:M""), 13, FAlSE)"),"#N/A")</f>
        <v>#N/A</v>
      </c>
      <c r="BB1038" s="61" t="str">
        <f>IFERROR(__xludf.DUMMYFUNCTION("REGEXREPLACE(G1038, ""_[a-z]{1,2}$"", """")"),"Boyce_etal202332")</f>
        <v>Boyce_etal202332</v>
      </c>
      <c r="BD1038" s="1322" t="s">
        <v>5605</v>
      </c>
      <c r="BF1038" s="71"/>
      <c r="BG1038" s="71"/>
      <c r="BH1038" s="71"/>
      <c r="BI1038" s="71"/>
      <c r="BJ1038" s="71"/>
      <c r="BK1038" s="71"/>
      <c r="BL1038" s="71"/>
      <c r="BM1038" s="71"/>
      <c r="BN1038" s="71"/>
      <c r="BO1038" s="71"/>
      <c r="BP1038" s="71"/>
      <c r="BQ1038" s="71"/>
      <c r="BR1038" s="71"/>
      <c r="BS1038" s="71"/>
      <c r="BT1038" s="71"/>
      <c r="BU1038" s="71"/>
      <c r="BV1038" s="71"/>
      <c r="BW1038" s="71"/>
      <c r="BX1038" s="71"/>
      <c r="BY1038" s="71"/>
      <c r="BZ1038" s="71"/>
      <c r="CA1038" s="71"/>
      <c r="CB1038" s="71"/>
      <c r="CC1038" s="71"/>
      <c r="CD1038" s="71"/>
      <c r="CE1038" s="71"/>
      <c r="CF1038" s="71"/>
      <c r="CG1038" s="71"/>
      <c r="CH1038" s="71"/>
      <c r="CI1038" s="71"/>
      <c r="CJ1038" s="71"/>
      <c r="CK1038" s="71"/>
      <c r="CL1038" s="71"/>
      <c r="CM1038" s="71"/>
      <c r="CN1038" s="71"/>
      <c r="CO1038" s="71"/>
      <c r="CP1038" s="71"/>
      <c r="CQ1038" s="71"/>
      <c r="CR1038" s="71"/>
      <c r="CS1038" s="71"/>
      <c r="CT1038" s="71"/>
      <c r="CU1038" s="71"/>
      <c r="CV1038" s="71"/>
      <c r="CW1038" s="71"/>
      <c r="CX1038" s="71"/>
      <c r="CY1038" s="71"/>
      <c r="CZ1038" s="71"/>
      <c r="DA1038" s="71"/>
      <c r="DB1038" s="71"/>
      <c r="DC1038" s="71"/>
      <c r="DD1038" s="71"/>
      <c r="DE1038" s="71"/>
      <c r="DF1038" s="71"/>
      <c r="DG1038" s="71"/>
      <c r="DH1038" s="71"/>
      <c r="DI1038" s="71"/>
      <c r="DJ1038" s="71"/>
      <c r="DK1038" s="71"/>
      <c r="DL1038" s="71"/>
    </row>
    <row r="1039">
      <c r="A1039" s="44">
        <v>1039.0</v>
      </c>
      <c r="B1039" s="129" t="s">
        <v>152</v>
      </c>
      <c r="C1039" s="62" t="s">
        <v>115</v>
      </c>
      <c r="D1039" s="62" t="s">
        <v>145</v>
      </c>
      <c r="F1039" s="159" t="s">
        <v>5684</v>
      </c>
      <c r="G1039" s="57" t="s">
        <v>5685</v>
      </c>
      <c r="H1039" s="159" t="s">
        <v>5592</v>
      </c>
      <c r="I1039" s="152">
        <v>45688.0</v>
      </c>
      <c r="J1039" s="529">
        <v>45692.0</v>
      </c>
      <c r="K1039" s="68" t="s">
        <v>5686</v>
      </c>
      <c r="L1039" s="68" t="s">
        <v>5594</v>
      </c>
      <c r="M1039" s="159" t="s">
        <v>5687</v>
      </c>
      <c r="N1039" s="68" t="s">
        <v>5688</v>
      </c>
      <c r="O1039" s="156">
        <v>2.0</v>
      </c>
      <c r="P1039" s="159" t="str">
        <f t="shared" si="58"/>
        <v>djärv_2018.pdf</v>
      </c>
      <c r="Q1039" s="52" t="str">
        <f t="array" ref="Q1039"> if(iserror(MATCH(V1039, 'File Links'!C:C, 0)), "N/A", HYPERLINK(INDEX('File Links'!B:B, MATCH(P1039, 'File Links'!C:C, 0))))</f>
        <v>https://drive.google.com/file/d/1G_aU3PGCjrrMgJwOfzq2w1nbmT82GsuJ/view?usp=drivesdk</v>
      </c>
      <c r="R1039" s="159" t="s">
        <v>3653</v>
      </c>
      <c r="S1039" s="159" t="s">
        <v>3654</v>
      </c>
      <c r="T1039" s="147" t="s">
        <v>138</v>
      </c>
      <c r="U1039" s="147" t="s">
        <v>138</v>
      </c>
      <c r="V1039" s="198" t="str">
        <f t="shared" si="57"/>
        <v>10.1098--rsos.231240.pdf</v>
      </c>
      <c r="W1039" s="159" t="s">
        <v>324</v>
      </c>
      <c r="X1039" s="54" t="str">
        <f t="array" ref="X1039"> if(iserror(MATCH(V1039, 'File Links'!C:C, 0)), "N/A", HYPERLINK(INDEX('File Links'!B:B, MATCH(V1039, 'File Links'!C:C, 0))))</f>
        <v>https://drive.google.com/file/d/17gaf2Zy_ljFfcAEDk5L8GBnTl5i7RGJE/view?usp=drivesdk</v>
      </c>
      <c r="Y1039" s="68"/>
      <c r="Z1039" s="159" t="s">
        <v>148</v>
      </c>
      <c r="AA1039" s="374" t="s">
        <v>138</v>
      </c>
      <c r="AB1039" s="159" t="s">
        <v>5689</v>
      </c>
      <c r="AC1039" s="159" t="s">
        <v>5690</v>
      </c>
      <c r="AD1039" s="68" t="s">
        <v>5691</v>
      </c>
      <c r="AE1039" s="336">
        <v>14.0</v>
      </c>
      <c r="AF1039" s="156">
        <v>62.0</v>
      </c>
      <c r="AG1039" s="129">
        <v>0.8605</v>
      </c>
      <c r="AH1039" s="129" t="s">
        <v>361</v>
      </c>
      <c r="AI1039" s="336">
        <v>14.0</v>
      </c>
      <c r="AJ1039" s="129" t="s">
        <v>138</v>
      </c>
      <c r="AK1039" s="1336" t="s">
        <v>138</v>
      </c>
      <c r="AL1039" s="61" t="s">
        <v>186</v>
      </c>
      <c r="AM1039" s="68" t="s">
        <v>137</v>
      </c>
      <c r="AN1039" s="1322" t="s">
        <v>138</v>
      </c>
      <c r="AO1039" s="156">
        <v>60.0</v>
      </c>
      <c r="AP1039" s="129">
        <v>0.8082</v>
      </c>
      <c r="AQ1039" s="129" t="s">
        <v>987</v>
      </c>
      <c r="AR1039" s="129" t="s">
        <v>5604</v>
      </c>
      <c r="AS1039" s="374" t="s">
        <v>138</v>
      </c>
      <c r="AT1039" s="219" t="s">
        <v>138</v>
      </c>
      <c r="AU1039" s="68" t="s">
        <v>186</v>
      </c>
      <c r="AV1039" s="68" t="s">
        <v>137</v>
      </c>
      <c r="AW1039" s="1337" t="s">
        <v>138</v>
      </c>
      <c r="AX1039" s="68" t="s">
        <v>143</v>
      </c>
      <c r="AY1039" s="61" t="str">
        <f>IFERROR(__xludf.DUMMYFUNCTION("vlookup(BB1039,importrange(""https://docs.google.com/spreadsheets/d/1d2vevQ_7D_v35q4wCQ4RpQ_IPoTwEMB9Yp6ymwlPqew/edit?gid=984458430#gid=984458430"", ""'replication success'!A:K""), 11, FAlSE)"),"")</f>
        <v/>
      </c>
      <c r="AZ1039" s="61" t="str">
        <f>IFERROR(__xludf.DUMMYFUNCTION("vlookup(BB1039,importrange(""https://docs.google.com/spreadsheets/d/1d2vevQ_7D_v35q4wCQ4RpQ_IPoTwEMB9Yp6ymwlPqew/edit?gid=984458430#gid=984458430"", ""'replication success'!A:M""), 12, FAlSE)"),"")</f>
        <v/>
      </c>
      <c r="BA1039" s="61" t="str">
        <f>IFERROR(__xludf.DUMMYFUNCTION("vlookup(BB1039,importrange(""https://docs.google.com/spreadsheets/d/1d2vevQ_7D_v35q4wCQ4RpQ_IPoTwEMB9Yp6ymwlPqew/edit?gid=984458430#gid=984458430"",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v>
      </c>
      <c r="BB1039" s="61" t="str">
        <f>IFERROR(__xludf.DUMMYFUNCTION("REGEXREPLACE(G1039, ""_[a-z]{1,2}$"", """")"),"Boyce_etal202333")</f>
        <v>Boyce_etal202333</v>
      </c>
      <c r="BD1039" s="129" t="s">
        <v>5605</v>
      </c>
      <c r="BF1039" s="71"/>
      <c r="BG1039" s="71"/>
      <c r="BH1039" s="71"/>
      <c r="BI1039" s="71"/>
      <c r="BJ1039" s="71"/>
      <c r="BK1039" s="71"/>
      <c r="BL1039" s="71"/>
      <c r="BM1039" s="71"/>
      <c r="BN1039" s="71"/>
      <c r="BO1039" s="71"/>
      <c r="BP1039" s="71"/>
      <c r="BQ1039" s="71"/>
      <c r="BR1039" s="71"/>
      <c r="BS1039" s="71"/>
      <c r="BT1039" s="71"/>
      <c r="BU1039" s="71"/>
      <c r="BV1039" s="71"/>
      <c r="BW1039" s="71"/>
      <c r="BX1039" s="71"/>
      <c r="BY1039" s="71"/>
      <c r="BZ1039" s="71"/>
      <c r="CA1039" s="71"/>
      <c r="CB1039" s="71"/>
      <c r="CC1039" s="71"/>
      <c r="CD1039" s="71"/>
      <c r="CE1039" s="71"/>
      <c r="CF1039" s="71"/>
      <c r="CG1039" s="71"/>
      <c r="CH1039" s="71"/>
      <c r="CI1039" s="71"/>
      <c r="CJ1039" s="71"/>
      <c r="CK1039" s="71"/>
      <c r="CL1039" s="71"/>
      <c r="CM1039" s="71"/>
      <c r="CN1039" s="71"/>
      <c r="CO1039" s="71"/>
      <c r="CP1039" s="71"/>
      <c r="CQ1039" s="71"/>
      <c r="CR1039" s="71"/>
      <c r="CS1039" s="71"/>
      <c r="CT1039" s="71"/>
      <c r="CU1039" s="71"/>
      <c r="CV1039" s="71"/>
      <c r="CW1039" s="71"/>
      <c r="CX1039" s="71"/>
      <c r="CY1039" s="71"/>
      <c r="CZ1039" s="71"/>
      <c r="DA1039" s="71"/>
      <c r="DB1039" s="71"/>
      <c r="DC1039" s="71"/>
      <c r="DD1039" s="71"/>
      <c r="DE1039" s="71"/>
      <c r="DF1039" s="71"/>
      <c r="DG1039" s="71"/>
      <c r="DH1039" s="71"/>
      <c r="DI1039" s="71"/>
      <c r="DJ1039" s="71"/>
      <c r="DK1039" s="71"/>
      <c r="DL1039" s="71"/>
    </row>
    <row r="1040">
      <c r="A1040" s="44">
        <v>1040.0</v>
      </c>
      <c r="B1040" s="68" t="s">
        <v>114</v>
      </c>
      <c r="C1040" s="62" t="s">
        <v>115</v>
      </c>
      <c r="D1040" s="62" t="s">
        <v>248</v>
      </c>
      <c r="F1040" s="57" t="s">
        <v>5684</v>
      </c>
      <c r="G1040" s="151" t="s">
        <v>5685</v>
      </c>
      <c r="H1040" s="159" t="s">
        <v>249</v>
      </c>
      <c r="I1040" s="152">
        <v>45664.0</v>
      </c>
      <c r="J1040" s="529">
        <v>45692.0</v>
      </c>
      <c r="K1040" s="680" t="s">
        <v>3683</v>
      </c>
      <c r="L1040" s="68" t="s">
        <v>5594</v>
      </c>
      <c r="M1040" s="159" t="s">
        <v>5687</v>
      </c>
      <c r="N1040" s="68" t="s">
        <v>5688</v>
      </c>
      <c r="O1040" s="68"/>
      <c r="P1040" s="159" t="str">
        <f t="shared" si="58"/>
        <v>djärv_2018.pdf</v>
      </c>
      <c r="Q1040" s="52" t="str">
        <f t="array" ref="Q1040"> if(iserror(MATCH(V1040, 'File Links'!C:C, 0)), "N/A", HYPERLINK(INDEX('File Links'!B:B, MATCH(P1040, 'File Links'!C:C, 0))))</f>
        <v>https://drive.google.com/file/d/1G_aU3PGCjrrMgJwOfzq2w1nbmT82GsuJ/view?usp=drivesdk</v>
      </c>
      <c r="R1040" s="159" t="s">
        <v>5692</v>
      </c>
      <c r="S1040" s="159" t="s">
        <v>3654</v>
      </c>
      <c r="T1040" s="147" t="s">
        <v>138</v>
      </c>
      <c r="U1040" s="147" t="s">
        <v>138</v>
      </c>
      <c r="V1040" s="198" t="str">
        <f t="shared" si="57"/>
        <v>10.1098--rsos.231240.pdf</v>
      </c>
      <c r="W1040" s="159" t="s">
        <v>324</v>
      </c>
      <c r="X1040" s="54" t="str">
        <f t="array" ref="X1040"> if(iserror(MATCH(V1040, 'File Links'!C:C, 0)), "N/A", HYPERLINK(INDEX('File Links'!B:B, MATCH(V1040, 'File Links'!C:C, 0))))</f>
        <v>https://drive.google.com/file/d/17gaf2Zy_ljFfcAEDk5L8GBnTl5i7RGJE/view?usp=drivesdk</v>
      </c>
      <c r="Y1040" s="68"/>
      <c r="Z1040" s="159" t="s">
        <v>148</v>
      </c>
      <c r="AA1040" s="68"/>
      <c r="AB1040" s="68"/>
      <c r="AC1040" s="68"/>
      <c r="AD1040" s="159" t="s">
        <v>138</v>
      </c>
      <c r="AE1040" s="159" t="s">
        <v>138</v>
      </c>
      <c r="AF1040" s="156">
        <v>62.0</v>
      </c>
      <c r="AG1040" s="159" t="s">
        <v>138</v>
      </c>
      <c r="AH1040" s="167" t="s">
        <v>138</v>
      </c>
      <c r="AI1040" s="159" t="s">
        <v>138</v>
      </c>
      <c r="AJ1040" s="339" t="s">
        <v>138</v>
      </c>
      <c r="AK1040" s="61"/>
      <c r="AL1040" s="57" t="s">
        <v>186</v>
      </c>
      <c r="AM1040" s="159" t="s">
        <v>1905</v>
      </c>
      <c r="AN1040" s="1322" t="s">
        <v>138</v>
      </c>
      <c r="AO1040" s="156">
        <v>60.0</v>
      </c>
      <c r="AP1040" s="159" t="s">
        <v>138</v>
      </c>
      <c r="AQ1040" s="68"/>
      <c r="AR1040" s="129" t="s">
        <v>5604</v>
      </c>
      <c r="AS1040" s="1338" t="s">
        <v>138</v>
      </c>
      <c r="AT1040" s="68"/>
      <c r="AU1040" s="159" t="s">
        <v>186</v>
      </c>
      <c r="AV1040" s="159" t="s">
        <v>1905</v>
      </c>
      <c r="AW1040" s="1337" t="s">
        <v>138</v>
      </c>
      <c r="AX1040" s="159" t="s">
        <v>143</v>
      </c>
      <c r="AY1040" s="61" t="str">
        <f>IFERROR(__xludf.DUMMYFUNCTION("vlookup(BB1040,importrange(""https://docs.google.com/spreadsheets/d/1d2vevQ_7D_v35q4wCQ4RpQ_IPoTwEMB9Yp6ymwlPqew/edit?gid=984458430#gid=984458430"", ""'replication success'!A:K""), 11, FAlSE)"),"")</f>
        <v/>
      </c>
      <c r="AZ1040" s="61" t="str">
        <f>IFERROR(__xludf.DUMMYFUNCTION("vlookup(BB1040,importrange(""https://docs.google.com/spreadsheets/d/1d2vevQ_7D_v35q4wCQ4RpQ_IPoTwEMB9Yp6ymwlPqew/edit?gid=984458430#gid=984458430"", ""'replication success'!A:M""), 12, FAlSE)"),"")</f>
        <v/>
      </c>
      <c r="BA1040" s="61" t="str">
        <f>IFERROR(__xludf.DUMMYFUNCTION("vlookup(BB1040,importrange(""https://docs.google.com/spreadsheets/d/1d2vevQ_7D_v35q4wCQ4RpQ_IPoTwEMB9Yp6ymwlPqew/edit?gid=984458430#gid=984458430"",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v>
      </c>
      <c r="BB1040" s="61" t="str">
        <f>IFERROR(__xludf.DUMMYFUNCTION("REGEXREPLACE(G1040, ""_[a-z]{1,2}$"", """")"),"Boyce_etal202333")</f>
        <v>Boyce_etal202333</v>
      </c>
      <c r="BD1040" s="129" t="s">
        <v>5605</v>
      </c>
      <c r="BE1040" s="226"/>
      <c r="BF1040" s="226"/>
      <c r="BG1040" s="226"/>
      <c r="BH1040" s="226"/>
      <c r="BI1040" s="226"/>
      <c r="BJ1040" s="226"/>
      <c r="BK1040" s="226"/>
      <c r="BL1040" s="226"/>
      <c r="BM1040" s="226"/>
      <c r="BN1040" s="226"/>
      <c r="BO1040" s="226"/>
      <c r="BP1040" s="226"/>
      <c r="BQ1040" s="226"/>
      <c r="BR1040" s="226"/>
      <c r="BS1040" s="226"/>
      <c r="BT1040" s="226"/>
      <c r="BU1040" s="226"/>
      <c r="BV1040" s="226"/>
      <c r="BW1040" s="226"/>
      <c r="BX1040" s="226"/>
      <c r="BY1040" s="226"/>
      <c r="BZ1040" s="226"/>
      <c r="CA1040" s="226"/>
      <c r="CB1040" s="226"/>
      <c r="CC1040" s="226"/>
      <c r="CD1040" s="226"/>
      <c r="CE1040" s="226"/>
      <c r="CF1040" s="226"/>
      <c r="CG1040" s="226"/>
      <c r="CH1040" s="226"/>
      <c r="CI1040" s="226"/>
      <c r="CJ1040" s="226"/>
      <c r="CK1040" s="226"/>
      <c r="CL1040" s="226"/>
      <c r="CM1040" s="226"/>
      <c r="CN1040" s="226"/>
      <c r="CO1040" s="226"/>
      <c r="CP1040" s="226"/>
      <c r="CQ1040" s="226"/>
      <c r="CR1040" s="226"/>
      <c r="CS1040" s="226"/>
      <c r="CT1040" s="226"/>
      <c r="CU1040" s="226"/>
      <c r="CV1040" s="226"/>
      <c r="CW1040" s="226"/>
      <c r="CX1040" s="226"/>
      <c r="CY1040" s="226"/>
      <c r="CZ1040" s="226"/>
      <c r="DA1040" s="226"/>
      <c r="DB1040" s="226"/>
      <c r="DC1040" s="226"/>
      <c r="DD1040" s="226"/>
      <c r="DE1040" s="226"/>
      <c r="DF1040" s="226"/>
      <c r="DG1040" s="226"/>
      <c r="DH1040" s="226"/>
      <c r="DI1040" s="226"/>
      <c r="DJ1040" s="226"/>
      <c r="DK1040" s="226"/>
      <c r="DL1040" s="226"/>
    </row>
    <row r="1041">
      <c r="A1041" s="44">
        <v>1041.0</v>
      </c>
      <c r="B1041" s="129" t="s">
        <v>2013</v>
      </c>
      <c r="C1041" s="62" t="s">
        <v>115</v>
      </c>
      <c r="D1041" s="62" t="s">
        <v>145</v>
      </c>
      <c r="E1041" s="365"/>
      <c r="F1041" s="1315" t="s">
        <v>5693</v>
      </c>
      <c r="G1041" s="1314" t="s">
        <v>5694</v>
      </c>
      <c r="H1041" s="1315" t="s">
        <v>5592</v>
      </c>
      <c r="I1041" s="1316">
        <v>45688.0</v>
      </c>
      <c r="J1041" s="1317">
        <v>45692.0</v>
      </c>
      <c r="K1041" s="1339" t="s">
        <v>5667</v>
      </c>
      <c r="L1041" s="1313" t="s">
        <v>5594</v>
      </c>
      <c r="M1041" s="1315" t="s">
        <v>5695</v>
      </c>
      <c r="N1041" s="1313" t="s">
        <v>5696</v>
      </c>
      <c r="O1041" s="1318">
        <v>1.0</v>
      </c>
      <c r="P1041" s="140" t="str">
        <f t="shared" si="58"/>
        <v>10.1037--rev0000175.pdf</v>
      </c>
      <c r="Q1041" s="52" t="str">
        <f t="array" ref="Q1041"> if(iserror(MATCH(V1041, 'File Links'!C:C, 0)), "N/A", HYPERLINK(INDEX('File Links'!B:B, MATCH(P1041, 'File Links'!C:C, 0))))</f>
        <v>https://drive.google.com/file/d/1nonM8jExC1mVvcGqlH7dSp0-DAzLBLtm/view?usp=drivesdk</v>
      </c>
      <c r="R1041" s="1315" t="s">
        <v>3653</v>
      </c>
      <c r="S1041" s="159" t="s">
        <v>3654</v>
      </c>
      <c r="T1041" s="147" t="s">
        <v>138</v>
      </c>
      <c r="U1041" s="147" t="s">
        <v>138</v>
      </c>
      <c r="V1041" s="198" t="str">
        <f t="shared" si="57"/>
        <v>10.1098--rsos.231240.pdf</v>
      </c>
      <c r="W1041" s="140" t="s">
        <v>324</v>
      </c>
      <c r="X1041" s="54" t="str">
        <f t="array" ref="X1041"> if(iserror(MATCH(V1041, 'File Links'!C:C, 0)), "N/A", HYPERLINK(INDEX('File Links'!B:B, MATCH(V1041, 'File Links'!C:C, 0))))</f>
        <v>https://drive.google.com/file/d/17gaf2Zy_ljFfcAEDk5L8GBnTl5i7RGJE/view?usp=drivesdk</v>
      </c>
      <c r="Y1041" s="1313"/>
      <c r="Z1041" s="1315" t="s">
        <v>148</v>
      </c>
      <c r="AA1041" s="1313" t="s">
        <v>1535</v>
      </c>
      <c r="AB1041" s="1313" t="s">
        <v>5697</v>
      </c>
      <c r="AC1041" s="1315" t="s">
        <v>5698</v>
      </c>
      <c r="AD1041" s="1340" t="s">
        <v>1535</v>
      </c>
      <c r="AE1041" s="1340" t="s">
        <v>1535</v>
      </c>
      <c r="AF1041" s="1318">
        <v>253.0</v>
      </c>
      <c r="AG1041" s="1313" t="s">
        <v>1535</v>
      </c>
      <c r="AH1041" s="167" t="s">
        <v>138</v>
      </c>
      <c r="AI1041" s="1313" t="s">
        <v>1535</v>
      </c>
      <c r="AJ1041" s="1320" t="s">
        <v>1535</v>
      </c>
      <c r="AK1041" s="1321" t="s">
        <v>1535</v>
      </c>
      <c r="AL1041" s="1321" t="s">
        <v>186</v>
      </c>
      <c r="AM1041" s="1313" t="s">
        <v>137</v>
      </c>
      <c r="AN1041" s="1322" t="s">
        <v>138</v>
      </c>
      <c r="AO1041" s="1318">
        <v>221.0</v>
      </c>
      <c r="AP1041" s="1313" t="s">
        <v>1535</v>
      </c>
      <c r="AQ1041" s="129" t="s">
        <v>138</v>
      </c>
      <c r="AR1041" s="1322" t="s">
        <v>5604</v>
      </c>
      <c r="AS1041" s="1313" t="s">
        <v>1535</v>
      </c>
      <c r="AT1041" s="1313" t="s">
        <v>1535</v>
      </c>
      <c r="AU1041" s="1313" t="s">
        <v>186</v>
      </c>
      <c r="AV1041" s="1313" t="s">
        <v>137</v>
      </c>
      <c r="AW1041" s="1323" t="s">
        <v>138</v>
      </c>
      <c r="AX1041" s="1313" t="s">
        <v>143</v>
      </c>
      <c r="AY1041" s="61" t="str">
        <f>IFERROR(__xludf.DUMMYFUNCTION("vlookup(BB1041,importrange(""https://docs.google.com/spreadsheets/d/1d2vevQ_7D_v35q4wCQ4RpQ_IPoTwEMB9Yp6ymwlPqew/edit?gid=984458430#gid=984458430"", ""'replication success'!A:K""), 11, FAlSE)"),"#N/A")</f>
        <v>#N/A</v>
      </c>
      <c r="AZ1041" s="61" t="str">
        <f>IFERROR(__xludf.DUMMYFUNCTION("vlookup(BB1041,importrange(""https://docs.google.com/spreadsheets/d/1d2vevQ_7D_v35q4wCQ4RpQ_IPoTwEMB9Yp6ymwlPqew/edit?gid=984458430#gid=984458430"", ""'replication success'!A:M""), 12, FAlSE)"),"#N/A")</f>
        <v>#N/A</v>
      </c>
      <c r="BA1041" s="61" t="str">
        <f>IFERROR(__xludf.DUMMYFUNCTION("vlookup(BB1041,importrange(""https://docs.google.com/spreadsheets/d/1d2vevQ_7D_v35q4wCQ4RpQ_IPoTwEMB9Yp6ymwlPqew/edit?gid=984458430#gid=984458430"", ""'replication success'!A:M""), 13, FAlSE)"),"#N/A")</f>
        <v>#N/A</v>
      </c>
      <c r="BB1041" s="61" t="str">
        <f>IFERROR(__xludf.DUMMYFUNCTION("REGEXREPLACE(G1041, ""_[a-z]{1,2}$"", """")"),"Boyce_etal202334")</f>
        <v>Boyce_etal202334</v>
      </c>
      <c r="BD1041" s="1322" t="s">
        <v>5605</v>
      </c>
      <c r="BE1041" s="226"/>
      <c r="BF1041" s="226"/>
      <c r="BG1041" s="226"/>
      <c r="BH1041" s="226"/>
      <c r="BI1041" s="226"/>
      <c r="BJ1041" s="226"/>
      <c r="BK1041" s="226"/>
      <c r="BL1041" s="226"/>
      <c r="BM1041" s="226"/>
      <c r="BN1041" s="226"/>
      <c r="BO1041" s="226"/>
      <c r="BP1041" s="226"/>
      <c r="BQ1041" s="226"/>
      <c r="BR1041" s="226"/>
      <c r="BS1041" s="226"/>
      <c r="BT1041" s="226"/>
      <c r="BU1041" s="226"/>
      <c r="BV1041" s="226"/>
      <c r="BW1041" s="226"/>
      <c r="BX1041" s="226"/>
      <c r="BY1041" s="226"/>
      <c r="BZ1041" s="226"/>
      <c r="CA1041" s="226"/>
      <c r="CB1041" s="226"/>
      <c r="CC1041" s="226"/>
      <c r="CD1041" s="226"/>
      <c r="CE1041" s="226"/>
      <c r="CF1041" s="226"/>
      <c r="CG1041" s="226"/>
      <c r="CH1041" s="226"/>
      <c r="CI1041" s="226"/>
      <c r="CJ1041" s="226"/>
      <c r="CK1041" s="226"/>
      <c r="CL1041" s="226"/>
      <c r="CM1041" s="226"/>
      <c r="CN1041" s="226"/>
      <c r="CO1041" s="226"/>
      <c r="CP1041" s="226"/>
      <c r="CQ1041" s="226"/>
      <c r="CR1041" s="226"/>
      <c r="CS1041" s="226"/>
      <c r="CT1041" s="226"/>
      <c r="CU1041" s="226"/>
      <c r="CV1041" s="226"/>
      <c r="CW1041" s="226"/>
      <c r="CX1041" s="226"/>
      <c r="CY1041" s="226"/>
      <c r="CZ1041" s="226"/>
      <c r="DA1041" s="226"/>
      <c r="DB1041" s="226"/>
      <c r="DC1041" s="226"/>
      <c r="DD1041" s="226"/>
      <c r="DE1041" s="226"/>
      <c r="DF1041" s="226"/>
      <c r="DG1041" s="226"/>
      <c r="DH1041" s="226"/>
      <c r="DI1041" s="226"/>
      <c r="DJ1041" s="226"/>
      <c r="DK1041" s="226"/>
      <c r="DL1041" s="226"/>
    </row>
    <row r="1042">
      <c r="A1042" s="44">
        <v>1042.0</v>
      </c>
      <c r="B1042" s="68" t="s">
        <v>114</v>
      </c>
      <c r="C1042" s="62" t="s">
        <v>115</v>
      </c>
      <c r="D1042" s="62" t="s">
        <v>248</v>
      </c>
      <c r="E1042" s="365"/>
      <c r="F1042" s="126" t="s">
        <v>5693</v>
      </c>
      <c r="G1042" s="119" t="s">
        <v>5694</v>
      </c>
      <c r="H1042" s="140" t="s">
        <v>249</v>
      </c>
      <c r="I1042" s="317">
        <v>45664.0</v>
      </c>
      <c r="J1042" s="1326">
        <v>45692.0</v>
      </c>
      <c r="K1042" s="140" t="s">
        <v>3683</v>
      </c>
      <c r="L1042" s="125" t="s">
        <v>5699</v>
      </c>
      <c r="M1042" s="140" t="s">
        <v>5695</v>
      </c>
      <c r="N1042" s="140" t="s">
        <v>5696</v>
      </c>
      <c r="O1042" s="125"/>
      <c r="P1042" s="140" t="str">
        <f t="shared" si="58"/>
        <v>10.1037--rev0000175.pdf</v>
      </c>
      <c r="Q1042" s="52" t="str">
        <f t="array" ref="Q1042"> if(iserror(MATCH(V1042, 'File Links'!C:C, 0)), "N/A", HYPERLINK(INDEX('File Links'!B:B, MATCH(P1042, 'File Links'!C:C, 0))))</f>
        <v>https://drive.google.com/file/d/1nonM8jExC1mVvcGqlH7dSp0-DAzLBLtm/view?usp=drivesdk</v>
      </c>
      <c r="R1042" s="140" t="s">
        <v>5700</v>
      </c>
      <c r="S1042" s="159" t="s">
        <v>3654</v>
      </c>
      <c r="T1042" s="147" t="s">
        <v>138</v>
      </c>
      <c r="U1042" s="147" t="s">
        <v>138</v>
      </c>
      <c r="V1042" s="198" t="str">
        <f t="shared" si="57"/>
        <v>10.1098--rsos.231240.pdf</v>
      </c>
      <c r="W1042" s="140" t="s">
        <v>324</v>
      </c>
      <c r="X1042" s="54" t="str">
        <f t="array" ref="X1042"> if(iserror(MATCH(V1042, 'File Links'!C:C, 0)), "N/A", HYPERLINK(INDEX('File Links'!B:B, MATCH(V1042, 'File Links'!C:C, 0))))</f>
        <v>https://drive.google.com/file/d/17gaf2Zy_ljFfcAEDk5L8GBnTl5i7RGJE/view?usp=drivesdk</v>
      </c>
      <c r="Y1042" s="125"/>
      <c r="Z1042" s="140" t="s">
        <v>148</v>
      </c>
      <c r="AA1042" s="125"/>
      <c r="AB1042" s="125"/>
      <c r="AC1042" s="125"/>
      <c r="AD1042" s="140" t="s">
        <v>138</v>
      </c>
      <c r="AE1042" s="140" t="s">
        <v>138</v>
      </c>
      <c r="AF1042" s="782">
        <v>253.0</v>
      </c>
      <c r="AG1042" s="140" t="s">
        <v>138</v>
      </c>
      <c r="AH1042" s="167" t="s">
        <v>138</v>
      </c>
      <c r="AI1042" s="140" t="s">
        <v>138</v>
      </c>
      <c r="AJ1042" s="223" t="s">
        <v>138</v>
      </c>
      <c r="AK1042" s="132"/>
      <c r="AL1042" s="126" t="s">
        <v>186</v>
      </c>
      <c r="AM1042" s="140" t="s">
        <v>1905</v>
      </c>
      <c r="AN1042" s="1322" t="s">
        <v>138</v>
      </c>
      <c r="AO1042" s="782">
        <v>221.0</v>
      </c>
      <c r="AP1042" s="140" t="s">
        <v>138</v>
      </c>
      <c r="AQ1042" s="125"/>
      <c r="AR1042" s="1322" t="s">
        <v>5604</v>
      </c>
      <c r="AS1042" s="140" t="s">
        <v>138</v>
      </c>
      <c r="AT1042" s="125"/>
      <c r="AU1042" s="140" t="s">
        <v>186</v>
      </c>
      <c r="AV1042" s="140" t="s">
        <v>1905</v>
      </c>
      <c r="AW1042" s="1323" t="s">
        <v>138</v>
      </c>
      <c r="AX1042" s="140" t="s">
        <v>143</v>
      </c>
      <c r="AY1042" s="61" t="str">
        <f>IFERROR(__xludf.DUMMYFUNCTION("vlookup(BB1042,importrange(""https://docs.google.com/spreadsheets/d/1d2vevQ_7D_v35q4wCQ4RpQ_IPoTwEMB9Yp6ymwlPqew/edit?gid=984458430#gid=984458430"", ""'replication success'!A:K""), 11, FAlSE)"),"#N/A")</f>
        <v>#N/A</v>
      </c>
      <c r="AZ1042" s="61" t="str">
        <f>IFERROR(__xludf.DUMMYFUNCTION("vlookup(BB1042,importrange(""https://docs.google.com/spreadsheets/d/1d2vevQ_7D_v35q4wCQ4RpQ_IPoTwEMB9Yp6ymwlPqew/edit?gid=984458430#gid=984458430"", ""'replication success'!A:M""), 12, FAlSE)"),"#N/A")</f>
        <v>#N/A</v>
      </c>
      <c r="BA1042" s="61" t="str">
        <f>IFERROR(__xludf.DUMMYFUNCTION("vlookup(BB1042,importrange(""https://docs.google.com/spreadsheets/d/1d2vevQ_7D_v35q4wCQ4RpQ_IPoTwEMB9Yp6ymwlPqew/edit?gid=984458430#gid=984458430"", ""'replication success'!A:M""), 13, FAlSE)"),"#N/A")</f>
        <v>#N/A</v>
      </c>
      <c r="BB1042" s="61" t="str">
        <f>IFERROR(__xludf.DUMMYFUNCTION("REGEXREPLACE(G1042, ""_[a-z]{1,2}$"", """")"),"Boyce_etal202334")</f>
        <v>Boyce_etal202334</v>
      </c>
      <c r="BD1042" s="1322" t="s">
        <v>5605</v>
      </c>
      <c r="BE1042" s="226"/>
      <c r="BF1042" s="226"/>
      <c r="BG1042" s="226"/>
      <c r="BH1042" s="226"/>
      <c r="BI1042" s="226"/>
      <c r="BJ1042" s="226"/>
      <c r="BK1042" s="226"/>
      <c r="BL1042" s="226"/>
      <c r="BM1042" s="226"/>
      <c r="BN1042" s="226"/>
      <c r="BO1042" s="226"/>
      <c r="BP1042" s="226"/>
      <c r="BQ1042" s="226"/>
      <c r="BR1042" s="226"/>
      <c r="BS1042" s="226"/>
      <c r="BT1042" s="226"/>
      <c r="BU1042" s="226"/>
      <c r="BV1042" s="226"/>
      <c r="BW1042" s="226"/>
      <c r="BX1042" s="226"/>
      <c r="BY1042" s="226"/>
      <c r="BZ1042" s="226"/>
      <c r="CA1042" s="226"/>
      <c r="CB1042" s="226"/>
      <c r="CC1042" s="226"/>
      <c r="CD1042" s="226"/>
      <c r="CE1042" s="226"/>
      <c r="CF1042" s="226"/>
      <c r="CG1042" s="226"/>
      <c r="CH1042" s="226"/>
      <c r="CI1042" s="226"/>
      <c r="CJ1042" s="226"/>
      <c r="CK1042" s="226"/>
      <c r="CL1042" s="226"/>
      <c r="CM1042" s="226"/>
      <c r="CN1042" s="226"/>
      <c r="CO1042" s="226"/>
      <c r="CP1042" s="226"/>
      <c r="CQ1042" s="226"/>
      <c r="CR1042" s="226"/>
      <c r="CS1042" s="226"/>
      <c r="CT1042" s="226"/>
      <c r="CU1042" s="226"/>
      <c r="CV1042" s="226"/>
      <c r="CW1042" s="226"/>
      <c r="CX1042" s="226"/>
      <c r="CY1042" s="226"/>
      <c r="CZ1042" s="226"/>
      <c r="DA1042" s="226"/>
      <c r="DB1042" s="226"/>
      <c r="DC1042" s="226"/>
      <c r="DD1042" s="226"/>
      <c r="DE1042" s="226"/>
      <c r="DF1042" s="226"/>
      <c r="DG1042" s="226"/>
      <c r="DH1042" s="226"/>
      <c r="DI1042" s="226"/>
      <c r="DJ1042" s="226"/>
      <c r="DK1042" s="226"/>
      <c r="DL1042" s="226"/>
    </row>
    <row r="1043">
      <c r="A1043" s="44">
        <v>1043.0</v>
      </c>
      <c r="B1043" s="129" t="s">
        <v>152</v>
      </c>
      <c r="C1043" s="62" t="s">
        <v>115</v>
      </c>
      <c r="D1043" s="62" t="s">
        <v>145</v>
      </c>
      <c r="E1043" s="365"/>
      <c r="F1043" s="1313" t="s">
        <v>5701</v>
      </c>
      <c r="G1043" s="1314" t="s">
        <v>5702</v>
      </c>
      <c r="H1043" s="1315" t="s">
        <v>5592</v>
      </c>
      <c r="I1043" s="1316">
        <v>45688.0</v>
      </c>
      <c r="J1043" s="1317">
        <v>45692.0</v>
      </c>
      <c r="K1043" s="1313" t="s">
        <v>5667</v>
      </c>
      <c r="L1043" s="1313" t="s">
        <v>5594</v>
      </c>
      <c r="M1043" s="1315" t="s">
        <v>5703</v>
      </c>
      <c r="N1043" s="1315" t="s">
        <v>5704</v>
      </c>
      <c r="O1043" s="1318">
        <v>1.0</v>
      </c>
      <c r="P1043" s="1315" t="s">
        <v>5705</v>
      </c>
      <c r="Q1043" s="52" t="str">
        <f t="array" ref="Q1043"> if(iserror(MATCH(V1043, 'File Links'!C:C, 0)), "N/A", HYPERLINK(INDEX('File Links'!B:B, MATCH(P1043, 'File Links'!C:C, 0))))</f>
        <v>https://drive.google.com/file/d/12p5OEsz_Kqdr2WrmlHbpY-_JFlSEkooC/view?usp=drivesdk</v>
      </c>
      <c r="R1043" s="1315" t="s">
        <v>3653</v>
      </c>
      <c r="S1043" s="159" t="s">
        <v>3654</v>
      </c>
      <c r="T1043" s="147" t="s">
        <v>138</v>
      </c>
      <c r="U1043" s="147" t="s">
        <v>138</v>
      </c>
      <c r="V1043" s="198" t="str">
        <f t="shared" si="57"/>
        <v>10.1098--rsos.231240.pdf</v>
      </c>
      <c r="W1043" s="140" t="s">
        <v>324</v>
      </c>
      <c r="X1043" s="54" t="str">
        <f t="array" ref="X1043"> if(iserror(MATCH(V1043, 'File Links'!C:C, 0)), "N/A", HYPERLINK(INDEX('File Links'!B:B, MATCH(V1043, 'File Links'!C:C, 0))))</f>
        <v>https://drive.google.com/file/d/17gaf2Zy_ljFfcAEDk5L8GBnTl5i7RGJE/view?usp=drivesdk</v>
      </c>
      <c r="Y1043" s="1313"/>
      <c r="Z1043" s="1315" t="s">
        <v>226</v>
      </c>
      <c r="AA1043" s="374" t="s">
        <v>138</v>
      </c>
      <c r="AB1043" s="1313" t="s">
        <v>5706</v>
      </c>
      <c r="AC1043" s="1315" t="s">
        <v>5707</v>
      </c>
      <c r="AD1043" s="1313" t="s">
        <v>5708</v>
      </c>
      <c r="AE1043" s="1313" t="s">
        <v>5709</v>
      </c>
      <c r="AF1043" s="1318">
        <v>126.0</v>
      </c>
      <c r="AG1043" s="1341">
        <v>0.356</v>
      </c>
      <c r="AH1043" s="1313" t="s">
        <v>139</v>
      </c>
      <c r="AI1043" s="1313" t="s">
        <v>850</v>
      </c>
      <c r="AJ1043" s="1325">
        <v>0.001</v>
      </c>
      <c r="AK1043" s="1321" t="s">
        <v>135</v>
      </c>
      <c r="AL1043" s="1321" t="s">
        <v>186</v>
      </c>
      <c r="AM1043" s="1313" t="s">
        <v>137</v>
      </c>
      <c r="AN1043" s="1342" t="s">
        <v>5710</v>
      </c>
      <c r="AO1043" s="1318">
        <v>103.0</v>
      </c>
      <c r="AP1043" s="1322" t="s">
        <v>138</v>
      </c>
      <c r="AQ1043" s="129" t="s">
        <v>138</v>
      </c>
      <c r="AR1043" s="1322" t="s">
        <v>5604</v>
      </c>
      <c r="AS1043" s="374" t="s">
        <v>138</v>
      </c>
      <c r="AT1043" s="219" t="s">
        <v>138</v>
      </c>
      <c r="AU1043" s="1313" t="s">
        <v>186</v>
      </c>
      <c r="AV1043" s="1313" t="s">
        <v>137</v>
      </c>
      <c r="AW1043" s="1323" t="s">
        <v>138</v>
      </c>
      <c r="AX1043" s="1313" t="s">
        <v>143</v>
      </c>
      <c r="AY1043" s="61" t="str">
        <f>IFERROR(__xludf.DUMMYFUNCTION("vlookup(BB1043,importrange(""https://docs.google.com/spreadsheets/d/1d2vevQ_7D_v35q4wCQ4RpQ_IPoTwEMB9Yp6ymwlPqew/edit?gid=984458430#gid=984458430"", ""'replication success'!A:K""), 11, FAlSE)"),"")</f>
        <v/>
      </c>
      <c r="AZ1043" s="61" t="str">
        <f>IFERROR(__xludf.DUMMYFUNCTION("vlookup(BB1043,importrange(""https://docs.google.com/spreadsheets/d/1d2vevQ_7D_v35q4wCQ4RpQ_IPoTwEMB9Yp6ymwlPqew/edit?gid=984458430#gid=984458430"", ""'replication success'!A:M""), 12, FAlSE)"),"")</f>
        <v/>
      </c>
      <c r="BA1043" s="61" t="str">
        <f>IFERROR(__xludf.DUMMYFUNCTION("vlookup(BB1043,importrange(""https://docs.google.com/spreadsheets/d/1d2vevQ_7D_v35q4wCQ4RpQ_IPoTwEMB9Yp6ymwlPqew/edit?gid=984458430#gid=984458430"",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v>
      </c>
      <c r="BB1043" s="61" t="str">
        <f>IFERROR(__xludf.DUMMYFUNCTION("REGEXREPLACE(G1043, ""_[a-z]{1,2}$"", """")"),"Boyce_etal202335")</f>
        <v>Boyce_etal202335</v>
      </c>
      <c r="BD1043" s="1322" t="s">
        <v>5605</v>
      </c>
      <c r="BE1043" s="189"/>
      <c r="BF1043" s="189"/>
      <c r="BG1043" s="189"/>
      <c r="BH1043" s="189"/>
      <c r="BI1043" s="189"/>
      <c r="BJ1043" s="189"/>
      <c r="BK1043" s="189"/>
      <c r="BL1043" s="189"/>
      <c r="BM1043" s="189"/>
      <c r="BN1043" s="189"/>
      <c r="BO1043" s="189"/>
      <c r="BP1043" s="189"/>
      <c r="BQ1043" s="189"/>
      <c r="BR1043" s="189"/>
      <c r="BS1043" s="189"/>
      <c r="BT1043" s="189"/>
      <c r="BU1043" s="189"/>
      <c r="BV1043" s="189"/>
      <c r="BW1043" s="189"/>
      <c r="BX1043" s="189"/>
      <c r="BY1043" s="189"/>
      <c r="BZ1043" s="189"/>
      <c r="CA1043" s="189"/>
      <c r="CB1043" s="189"/>
      <c r="CC1043" s="189"/>
      <c r="CD1043" s="189"/>
      <c r="CE1043" s="189"/>
      <c r="CF1043" s="189"/>
      <c r="CG1043" s="189"/>
      <c r="CH1043" s="189"/>
      <c r="CI1043" s="189"/>
      <c r="CJ1043" s="189"/>
      <c r="CK1043" s="189"/>
      <c r="CL1043" s="189"/>
      <c r="CM1043" s="189"/>
      <c r="CN1043" s="189"/>
      <c r="CO1043" s="189"/>
      <c r="CP1043" s="189"/>
      <c r="CQ1043" s="189"/>
      <c r="CR1043" s="189"/>
      <c r="CS1043" s="189"/>
      <c r="CT1043" s="189"/>
      <c r="CU1043" s="189"/>
      <c r="CV1043" s="189"/>
      <c r="CW1043" s="189"/>
      <c r="CX1043" s="189"/>
      <c r="CY1043" s="189"/>
      <c r="CZ1043" s="189"/>
      <c r="DA1043" s="189"/>
      <c r="DB1043" s="189"/>
      <c r="DC1043" s="189"/>
      <c r="DD1043" s="189"/>
      <c r="DE1043" s="189"/>
      <c r="DF1043" s="189"/>
      <c r="DG1043" s="189"/>
      <c r="DH1043" s="189"/>
      <c r="DI1043" s="189"/>
      <c r="DJ1043" s="189"/>
      <c r="DK1043" s="189"/>
      <c r="DL1043" s="189"/>
    </row>
    <row r="1044">
      <c r="A1044" s="44">
        <v>1044.0</v>
      </c>
      <c r="B1044" s="68" t="s">
        <v>114</v>
      </c>
      <c r="C1044" s="62" t="s">
        <v>115</v>
      </c>
      <c r="D1044" s="62" t="s">
        <v>248</v>
      </c>
      <c r="E1044" s="365"/>
      <c r="F1044" s="126" t="s">
        <v>5701</v>
      </c>
      <c r="G1044" s="119" t="s">
        <v>5702</v>
      </c>
      <c r="H1044" s="140" t="s">
        <v>249</v>
      </c>
      <c r="I1044" s="317">
        <v>45664.0</v>
      </c>
      <c r="J1044" s="1326">
        <v>45692.0</v>
      </c>
      <c r="K1044" s="140" t="s">
        <v>3683</v>
      </c>
      <c r="L1044" s="125" t="s">
        <v>5594</v>
      </c>
      <c r="M1044" s="140" t="s">
        <v>5703</v>
      </c>
      <c r="N1044" s="140" t="s">
        <v>5704</v>
      </c>
      <c r="O1044" s="125"/>
      <c r="P1044" s="140" t="str">
        <f> SUBSTITUTE(lower(N1044), "/", "--") &amp;  ".pdf"</f>
        <v>10.1177--0956797616669947.pdf</v>
      </c>
      <c r="Q1044" s="52" t="str">
        <f t="array" ref="Q1044"> if(iserror(MATCH(V1044, 'File Links'!C:C, 0)), "N/A", HYPERLINK(INDEX('File Links'!B:B, MATCH(P1044, 'File Links'!C:C, 0))))</f>
        <v>https://drive.google.com/file/d/12p5OEsz_Kqdr2WrmlHbpY-_JFlSEkooC/view?usp=drivesdk</v>
      </c>
      <c r="R1044" s="140" t="s">
        <v>5711</v>
      </c>
      <c r="S1044" s="159" t="s">
        <v>3654</v>
      </c>
      <c r="T1044" s="147" t="s">
        <v>138</v>
      </c>
      <c r="U1044" s="147" t="s">
        <v>138</v>
      </c>
      <c r="V1044" s="198" t="str">
        <f t="shared" si="57"/>
        <v>10.1098--rsos.231240.pdf</v>
      </c>
      <c r="W1044" s="140" t="s">
        <v>324</v>
      </c>
      <c r="X1044" s="54" t="str">
        <f t="array" ref="X1044"> if(iserror(MATCH(V1044, 'File Links'!C:C, 0)), "N/A", HYPERLINK(INDEX('File Links'!B:B, MATCH(V1044, 'File Links'!C:C, 0))))</f>
        <v>https://drive.google.com/file/d/17gaf2Zy_ljFfcAEDk5L8GBnTl5i7RGJE/view?usp=drivesdk</v>
      </c>
      <c r="Y1044" s="125"/>
      <c r="Z1044" s="140" t="s">
        <v>148</v>
      </c>
      <c r="AA1044" s="125"/>
      <c r="AB1044" s="125"/>
      <c r="AC1044" s="125"/>
      <c r="AD1044" s="140" t="s">
        <v>138</v>
      </c>
      <c r="AE1044" s="140" t="s">
        <v>138</v>
      </c>
      <c r="AF1044" s="782">
        <v>126.0</v>
      </c>
      <c r="AG1044" s="140" t="s">
        <v>138</v>
      </c>
      <c r="AH1044" s="167" t="s">
        <v>138</v>
      </c>
      <c r="AI1044" s="140" t="s">
        <v>138</v>
      </c>
      <c r="AJ1044" s="223" t="s">
        <v>138</v>
      </c>
      <c r="AK1044" s="132"/>
      <c r="AL1044" s="126" t="s">
        <v>186</v>
      </c>
      <c r="AM1044" s="140" t="s">
        <v>1905</v>
      </c>
      <c r="AN1044" s="1322" t="s">
        <v>138</v>
      </c>
      <c r="AO1044" s="782">
        <v>103.0</v>
      </c>
      <c r="AP1044" s="140" t="s">
        <v>138</v>
      </c>
      <c r="AQ1044" s="125"/>
      <c r="AR1044" s="1322" t="s">
        <v>5604</v>
      </c>
      <c r="AS1044" s="140" t="s">
        <v>138</v>
      </c>
      <c r="AT1044" s="125"/>
      <c r="AU1044" s="140" t="s">
        <v>186</v>
      </c>
      <c r="AV1044" s="140" t="s">
        <v>1905</v>
      </c>
      <c r="AW1044" s="1323" t="s">
        <v>138</v>
      </c>
      <c r="AX1044" s="140" t="s">
        <v>143</v>
      </c>
      <c r="AY1044" s="61" t="str">
        <f>IFERROR(__xludf.DUMMYFUNCTION("vlookup(BB1044,importrange(""https://docs.google.com/spreadsheets/d/1d2vevQ_7D_v35q4wCQ4RpQ_IPoTwEMB9Yp6ymwlPqew/edit?gid=984458430#gid=984458430"", ""'replication success'!A:K""), 11, FAlSE)"),"")</f>
        <v/>
      </c>
      <c r="AZ1044" s="61" t="str">
        <f>IFERROR(__xludf.DUMMYFUNCTION("vlookup(BB1044,importrange(""https://docs.google.com/spreadsheets/d/1d2vevQ_7D_v35q4wCQ4RpQ_IPoTwEMB9Yp6ymwlPqew/edit?gid=984458430#gid=984458430"", ""'replication success'!A:M""), 12, FAlSE)"),"")</f>
        <v/>
      </c>
      <c r="BA1044" s="61" t="str">
        <f>IFERROR(__xludf.DUMMYFUNCTION("vlookup(BB1044,importrange(""https://docs.google.com/spreadsheets/d/1d2vevQ_7D_v35q4wCQ4RpQ_IPoTwEMB9Yp6ymwlPqew/edit?gid=984458430#gid=984458430"",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v>
      </c>
      <c r="BB1044" s="61" t="str">
        <f>IFERROR(__xludf.DUMMYFUNCTION("REGEXREPLACE(G1044, ""_[a-z]{1,2}$"", """")"),"Boyce_etal202335")</f>
        <v>Boyce_etal202335</v>
      </c>
      <c r="BD1044" s="1322" t="s">
        <v>5605</v>
      </c>
      <c r="BE1044" s="189"/>
      <c r="BF1044" s="189"/>
      <c r="BG1044" s="189"/>
      <c r="BH1044" s="189"/>
      <c r="BI1044" s="189"/>
      <c r="BJ1044" s="189"/>
      <c r="BK1044" s="189"/>
      <c r="BL1044" s="189"/>
      <c r="BM1044" s="189"/>
      <c r="BN1044" s="189"/>
      <c r="BO1044" s="189"/>
      <c r="BP1044" s="189"/>
      <c r="BQ1044" s="189"/>
      <c r="BR1044" s="189"/>
      <c r="BS1044" s="189"/>
      <c r="BT1044" s="189"/>
      <c r="BU1044" s="189"/>
      <c r="BV1044" s="189"/>
      <c r="BW1044" s="189"/>
      <c r="BX1044" s="189"/>
      <c r="BY1044" s="189"/>
      <c r="BZ1044" s="189"/>
      <c r="CA1044" s="189"/>
      <c r="CB1044" s="189"/>
      <c r="CC1044" s="189"/>
      <c r="CD1044" s="189"/>
      <c r="CE1044" s="189"/>
      <c r="CF1044" s="189"/>
      <c r="CG1044" s="189"/>
      <c r="CH1044" s="189"/>
      <c r="CI1044" s="189"/>
      <c r="CJ1044" s="189"/>
      <c r="CK1044" s="189"/>
      <c r="CL1044" s="189"/>
      <c r="CM1044" s="189"/>
      <c r="CN1044" s="189"/>
      <c r="CO1044" s="189"/>
      <c r="CP1044" s="189"/>
      <c r="CQ1044" s="189"/>
      <c r="CR1044" s="189"/>
      <c r="CS1044" s="189"/>
      <c r="CT1044" s="189"/>
      <c r="CU1044" s="189"/>
      <c r="CV1044" s="189"/>
      <c r="CW1044" s="189"/>
      <c r="CX1044" s="189"/>
      <c r="CY1044" s="189"/>
      <c r="CZ1044" s="189"/>
      <c r="DA1044" s="189"/>
      <c r="DB1044" s="189"/>
      <c r="DC1044" s="189"/>
      <c r="DD1044" s="189"/>
      <c r="DE1044" s="189"/>
      <c r="DF1044" s="189"/>
      <c r="DG1044" s="189"/>
      <c r="DH1044" s="189"/>
      <c r="DI1044" s="189"/>
      <c r="DJ1044" s="189"/>
      <c r="DK1044" s="189"/>
      <c r="DL1044" s="189"/>
    </row>
    <row r="1045">
      <c r="A1045" s="44">
        <v>1045.0</v>
      </c>
      <c r="B1045" s="129" t="s">
        <v>152</v>
      </c>
      <c r="C1045" s="62" t="s">
        <v>115</v>
      </c>
      <c r="D1045" s="62" t="s">
        <v>145</v>
      </c>
      <c r="E1045" s="365"/>
      <c r="F1045" s="1313" t="s">
        <v>5712</v>
      </c>
      <c r="G1045" s="1314" t="s">
        <v>5713</v>
      </c>
      <c r="H1045" s="1315" t="s">
        <v>5592</v>
      </c>
      <c r="I1045" s="1316">
        <v>45688.0</v>
      </c>
      <c r="J1045" s="1317">
        <v>45692.0</v>
      </c>
      <c r="K1045" s="1313"/>
      <c r="L1045" s="1313" t="s">
        <v>5594</v>
      </c>
      <c r="M1045" s="1315" t="s">
        <v>5714</v>
      </c>
      <c r="N1045" s="1315" t="s">
        <v>5715</v>
      </c>
      <c r="O1045" s="1318">
        <v>1.0</v>
      </c>
      <c r="P1045" s="1315" t="s">
        <v>5716</v>
      </c>
      <c r="Q1045" s="52" t="str">
        <f t="array" ref="Q1045"> if(iserror(MATCH(V1045, 'File Links'!C:C, 0)), "N/A", HYPERLINK(INDEX('File Links'!B:B, MATCH(P1045, 'File Links'!C:C, 0))))</f>
        <v>https://drive.google.com/file/d/1rj178it8sQtHMyNzyb90GXfEk1Hk5YnN/view?usp=drivesdk</v>
      </c>
      <c r="R1045" s="1315" t="s">
        <v>3653</v>
      </c>
      <c r="S1045" s="159" t="s">
        <v>3654</v>
      </c>
      <c r="T1045" s="147" t="s">
        <v>138</v>
      </c>
      <c r="U1045" s="147" t="s">
        <v>138</v>
      </c>
      <c r="V1045" s="198" t="str">
        <f t="shared" si="57"/>
        <v>10.1098--rsos.231240.pdf</v>
      </c>
      <c r="W1045" s="140" t="s">
        <v>3665</v>
      </c>
      <c r="X1045" s="54" t="str">
        <f t="array" ref="X1045"> if(iserror(MATCH(V1045, 'File Links'!C:C, 0)), "N/A", HYPERLINK(INDEX('File Links'!B:B, MATCH(V1045, 'File Links'!C:C, 0))))</f>
        <v>https://drive.google.com/file/d/17gaf2Zy_ljFfcAEDk5L8GBnTl5i7RGJE/view?usp=drivesdk</v>
      </c>
      <c r="Y1045" s="1313"/>
      <c r="Z1045" s="1315" t="s">
        <v>148</v>
      </c>
      <c r="AA1045" s="374" t="s">
        <v>138</v>
      </c>
      <c r="AB1045" s="1313" t="s">
        <v>5717</v>
      </c>
      <c r="AC1045" s="1315" t="s">
        <v>5718</v>
      </c>
      <c r="AD1045" s="1313" t="s">
        <v>5719</v>
      </c>
      <c r="AE1045" s="1313" t="s">
        <v>5640</v>
      </c>
      <c r="AF1045" s="1318">
        <v>20.0</v>
      </c>
      <c r="AG1045" s="1313" t="s">
        <v>5720</v>
      </c>
      <c r="AH1045" s="1313" t="s">
        <v>134</v>
      </c>
      <c r="AI1045" s="1313" t="s">
        <v>5721</v>
      </c>
      <c r="AJ1045" s="1325">
        <v>0.05</v>
      </c>
      <c r="AK1045" s="1321" t="s">
        <v>335</v>
      </c>
      <c r="AL1045" s="1321" t="s">
        <v>186</v>
      </c>
      <c r="AM1045" s="1313" t="s">
        <v>137</v>
      </c>
      <c r="AN1045" s="1322" t="s">
        <v>138</v>
      </c>
      <c r="AO1045" s="1318">
        <v>80.0</v>
      </c>
      <c r="AP1045" s="1341">
        <v>-0.009090909091</v>
      </c>
      <c r="AQ1045" s="1313" t="s">
        <v>173</v>
      </c>
      <c r="AR1045" s="1322" t="s">
        <v>5604</v>
      </c>
      <c r="AS1045" s="1341">
        <v>0.935803955360774</v>
      </c>
      <c r="AT1045" s="1313" t="s">
        <v>172</v>
      </c>
      <c r="AU1045" s="1313" t="s">
        <v>186</v>
      </c>
      <c r="AV1045" s="1313" t="s">
        <v>137</v>
      </c>
      <c r="AW1045" s="1323" t="s">
        <v>138</v>
      </c>
      <c r="AX1045" s="1313" t="s">
        <v>143</v>
      </c>
      <c r="AY1045" s="61" t="str">
        <f>IFERROR(__xludf.DUMMYFUNCTION("vlookup(BB1045,importrange(""https://docs.google.com/spreadsheets/d/1d2vevQ_7D_v35q4wCQ4RpQ_IPoTwEMB9Yp6ymwlPqew/edit?gid=984458430#gid=984458430"", ""'replication success'!A:K""), 11, FAlSE)"),"successful")</f>
        <v>successful</v>
      </c>
      <c r="AZ1045" s="61" t="str">
        <f>IFERROR(__xludf.DUMMYFUNCTION("vlookup(BB1045,importrange(""https://docs.google.com/spreadsheets/d/1d2vevQ_7D_v35q4wCQ4RpQ_IPoTwEMB9Yp6ymwlPqew/edit?gid=984458430#gid=984458430"",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45" s="61" t="str">
        <f>IFERROR(__xludf.DUMMYFUNCTION("vlookup(BB1045,importrange(""https://docs.google.com/spreadsheets/d/1d2vevQ_7D_v35q4wCQ4RpQ_IPoTwEMB9Yp6ymwlPqew/edit?gid=984458430#gid=984458430"",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v>
      </c>
      <c r="BB1045" s="61" t="str">
        <f>IFERROR(__xludf.DUMMYFUNCTION("REGEXREPLACE(G1045, ""_[a-z]{1,2}$"", """")"),"Boyce_etal202336")</f>
        <v>Boyce_etal202336</v>
      </c>
      <c r="BD1045" s="1322" t="s">
        <v>5605</v>
      </c>
      <c r="BE1045" s="189"/>
      <c r="BF1045" s="189"/>
      <c r="BG1045" s="189"/>
      <c r="BH1045" s="189"/>
      <c r="BI1045" s="189"/>
      <c r="BJ1045" s="189"/>
      <c r="BK1045" s="189"/>
      <c r="BL1045" s="189"/>
      <c r="BM1045" s="189"/>
      <c r="BN1045" s="189"/>
      <c r="BO1045" s="189"/>
      <c r="BP1045" s="189"/>
      <c r="BQ1045" s="189"/>
      <c r="BR1045" s="189"/>
      <c r="BS1045" s="189"/>
      <c r="BT1045" s="189"/>
      <c r="BU1045" s="189"/>
      <c r="BV1045" s="189"/>
      <c r="BW1045" s="189"/>
      <c r="BX1045" s="189"/>
      <c r="BY1045" s="189"/>
      <c r="BZ1045" s="189"/>
      <c r="CA1045" s="189"/>
      <c r="CB1045" s="189"/>
      <c r="CC1045" s="189"/>
      <c r="CD1045" s="189"/>
      <c r="CE1045" s="189"/>
      <c r="CF1045" s="189"/>
      <c r="CG1045" s="189"/>
      <c r="CH1045" s="189"/>
      <c r="CI1045" s="189"/>
      <c r="CJ1045" s="189"/>
      <c r="CK1045" s="189"/>
      <c r="CL1045" s="189"/>
      <c r="CM1045" s="189"/>
      <c r="CN1045" s="189"/>
      <c r="CO1045" s="189"/>
      <c r="CP1045" s="189"/>
      <c r="CQ1045" s="189"/>
      <c r="CR1045" s="189"/>
      <c r="CS1045" s="189"/>
      <c r="CT1045" s="189"/>
      <c r="CU1045" s="189"/>
      <c r="CV1045" s="189"/>
      <c r="CW1045" s="189"/>
      <c r="CX1045" s="189"/>
      <c r="CY1045" s="189"/>
      <c r="CZ1045" s="189"/>
      <c r="DA1045" s="189"/>
      <c r="DB1045" s="189"/>
      <c r="DC1045" s="189"/>
      <c r="DD1045" s="189"/>
      <c r="DE1045" s="189"/>
      <c r="DF1045" s="189"/>
      <c r="DG1045" s="189"/>
      <c r="DH1045" s="189"/>
      <c r="DI1045" s="189"/>
      <c r="DJ1045" s="189"/>
      <c r="DK1045" s="189"/>
      <c r="DL1045" s="189"/>
    </row>
    <row r="1046">
      <c r="A1046" s="44">
        <v>1046.0</v>
      </c>
      <c r="B1046" s="129" t="s">
        <v>114</v>
      </c>
      <c r="C1046" s="62" t="s">
        <v>115</v>
      </c>
      <c r="D1046" s="62" t="s">
        <v>248</v>
      </c>
      <c r="E1046" s="365"/>
      <c r="F1046" s="126" t="s">
        <v>5712</v>
      </c>
      <c r="G1046" s="119" t="s">
        <v>5713</v>
      </c>
      <c r="H1046" s="140" t="s">
        <v>249</v>
      </c>
      <c r="I1046" s="317">
        <v>45665.0</v>
      </c>
      <c r="J1046" s="1326">
        <v>45692.0</v>
      </c>
      <c r="K1046" s="125"/>
      <c r="L1046" s="125" t="s">
        <v>5594</v>
      </c>
      <c r="M1046" s="140" t="s">
        <v>5714</v>
      </c>
      <c r="N1046" s="140" t="s">
        <v>5715</v>
      </c>
      <c r="O1046" s="125"/>
      <c r="P1046" s="140" t="str">
        <f t="shared" ref="P1046:P1048" si="59"> SUBSTITUTE(lower(N1046), "/", "--") &amp;  ".pdf"</f>
        <v>10.1073--pnas.0908963106.pdf</v>
      </c>
      <c r="Q1046" s="52" t="str">
        <f t="array" ref="Q1046"> if(iserror(MATCH(V1046, 'File Links'!C:C, 0)), "N/A", HYPERLINK(INDEX('File Links'!B:B, MATCH(P1046, 'File Links'!C:C, 0))))</f>
        <v>https://drive.google.com/file/d/1rj178it8sQtHMyNzyb90GXfEk1Hk5YnN/view?usp=drivesdk</v>
      </c>
      <c r="R1046" s="140" t="s">
        <v>5722</v>
      </c>
      <c r="S1046" s="159" t="s">
        <v>3654</v>
      </c>
      <c r="T1046" s="147" t="s">
        <v>138</v>
      </c>
      <c r="U1046" s="147" t="s">
        <v>138</v>
      </c>
      <c r="V1046" s="198" t="str">
        <f t="shared" si="57"/>
        <v>10.1098--rsos.231240.pdf</v>
      </c>
      <c r="W1046" s="140" t="s">
        <v>3665</v>
      </c>
      <c r="X1046" s="54" t="str">
        <f t="array" ref="X1046"> if(iserror(MATCH(V1046, 'File Links'!C:C, 0)), "N/A", HYPERLINK(INDEX('File Links'!B:B, MATCH(V1046, 'File Links'!C:C, 0))))</f>
        <v>https://drive.google.com/file/d/17gaf2Zy_ljFfcAEDk5L8GBnTl5i7RGJE/view?usp=drivesdk</v>
      </c>
      <c r="Y1046" s="125"/>
      <c r="Z1046" s="140" t="s">
        <v>148</v>
      </c>
      <c r="AA1046" s="125"/>
      <c r="AB1046" s="125"/>
      <c r="AC1046" s="125"/>
      <c r="AD1046" s="140" t="s">
        <v>5723</v>
      </c>
      <c r="AE1046" s="782">
        <v>21101.0</v>
      </c>
      <c r="AF1046" s="782">
        <v>20.0</v>
      </c>
      <c r="AG1046" s="782">
        <v>0.28</v>
      </c>
      <c r="AH1046" s="140" t="s">
        <v>173</v>
      </c>
      <c r="AI1046" s="140" t="s">
        <v>5724</v>
      </c>
      <c r="AJ1046" s="133">
        <v>0.05</v>
      </c>
      <c r="AK1046" s="126" t="s">
        <v>335</v>
      </c>
      <c r="AL1046" s="126" t="s">
        <v>186</v>
      </c>
      <c r="AM1046" s="140" t="s">
        <v>137</v>
      </c>
      <c r="AN1046" s="1322" t="s">
        <v>138</v>
      </c>
      <c r="AO1046" s="782">
        <v>80.0</v>
      </c>
      <c r="AP1046" s="782">
        <v>-0.00909090909090922</v>
      </c>
      <c r="AQ1046" s="140" t="s">
        <v>173</v>
      </c>
      <c r="AR1046" s="1322" t="s">
        <v>5604</v>
      </c>
      <c r="AS1046" s="1343">
        <v>0.935803955360774</v>
      </c>
      <c r="AT1046" s="140" t="s">
        <v>172</v>
      </c>
      <c r="AU1046" s="140" t="s">
        <v>186</v>
      </c>
      <c r="AV1046" s="140" t="s">
        <v>137</v>
      </c>
      <c r="AW1046" s="1323" t="s">
        <v>138</v>
      </c>
      <c r="AX1046" s="125"/>
      <c r="AY1046" s="61" t="str">
        <f>IFERROR(__xludf.DUMMYFUNCTION("vlookup(BB1046,importrange(""https://docs.google.com/spreadsheets/d/1d2vevQ_7D_v35q4wCQ4RpQ_IPoTwEMB9Yp6ymwlPqew/edit?gid=984458430#gid=984458430"", ""'replication success'!A:K""), 11, FAlSE)"),"successful")</f>
        <v>successful</v>
      </c>
      <c r="AZ1046" s="61" t="str">
        <f>IFERROR(__xludf.DUMMYFUNCTION("vlookup(BB1046,importrange(""https://docs.google.com/spreadsheets/d/1d2vevQ_7D_v35q4wCQ4RpQ_IPoTwEMB9Yp6ymwlPqew/edit?gid=984458430#gid=984458430"",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46" s="61" t="str">
        <f>IFERROR(__xludf.DUMMYFUNCTION("vlookup(BB1046,importrange(""https://docs.google.com/spreadsheets/d/1d2vevQ_7D_v35q4wCQ4RpQ_IPoTwEMB9Yp6ymwlPqew/edit?gid=984458430#gid=984458430"",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v>
      </c>
      <c r="BB1046" s="61" t="str">
        <f>IFERROR(__xludf.DUMMYFUNCTION("REGEXREPLACE(G1046, ""_[a-z]{1,2}$"", """")"),"Boyce_etal202336")</f>
        <v>Boyce_etal202336</v>
      </c>
      <c r="BD1046" s="1322" t="s">
        <v>5605</v>
      </c>
      <c r="BE1046" s="189"/>
      <c r="BF1046" s="189"/>
      <c r="BG1046" s="189"/>
      <c r="BH1046" s="189"/>
      <c r="BI1046" s="189"/>
      <c r="BJ1046" s="189"/>
      <c r="BK1046" s="189"/>
      <c r="BL1046" s="189"/>
      <c r="BM1046" s="189"/>
      <c r="BN1046" s="189"/>
      <c r="BO1046" s="189"/>
      <c r="BP1046" s="189"/>
      <c r="BQ1046" s="189"/>
      <c r="BR1046" s="189"/>
      <c r="BS1046" s="189"/>
      <c r="BT1046" s="189"/>
      <c r="BU1046" s="189"/>
      <c r="BV1046" s="189"/>
      <c r="BW1046" s="189"/>
      <c r="BX1046" s="189"/>
      <c r="BY1046" s="189"/>
      <c r="BZ1046" s="189"/>
      <c r="CA1046" s="189"/>
      <c r="CB1046" s="189"/>
      <c r="CC1046" s="189"/>
      <c r="CD1046" s="189"/>
      <c r="CE1046" s="189"/>
      <c r="CF1046" s="189"/>
      <c r="CG1046" s="189"/>
      <c r="CH1046" s="189"/>
      <c r="CI1046" s="189"/>
      <c r="CJ1046" s="189"/>
      <c r="CK1046" s="189"/>
      <c r="CL1046" s="189"/>
      <c r="CM1046" s="189"/>
      <c r="CN1046" s="189"/>
      <c r="CO1046" s="189"/>
      <c r="CP1046" s="189"/>
      <c r="CQ1046" s="189"/>
      <c r="CR1046" s="189"/>
      <c r="CS1046" s="189"/>
      <c r="CT1046" s="189"/>
      <c r="CU1046" s="189"/>
      <c r="CV1046" s="189"/>
      <c r="CW1046" s="189"/>
      <c r="CX1046" s="189"/>
      <c r="CY1046" s="189"/>
      <c r="CZ1046" s="189"/>
      <c r="DA1046" s="189"/>
      <c r="DB1046" s="189"/>
      <c r="DC1046" s="189"/>
      <c r="DD1046" s="189"/>
      <c r="DE1046" s="189"/>
      <c r="DF1046" s="189"/>
      <c r="DG1046" s="189"/>
      <c r="DH1046" s="189"/>
      <c r="DI1046" s="189"/>
      <c r="DJ1046" s="189"/>
      <c r="DK1046" s="189"/>
      <c r="DL1046" s="189"/>
    </row>
    <row r="1047">
      <c r="A1047" s="44">
        <v>1047.0</v>
      </c>
      <c r="B1047" s="129" t="s">
        <v>152</v>
      </c>
      <c r="C1047" s="62" t="s">
        <v>115</v>
      </c>
      <c r="D1047" s="62" t="s">
        <v>145</v>
      </c>
      <c r="E1047" s="365"/>
      <c r="F1047" s="1313" t="s">
        <v>5725</v>
      </c>
      <c r="G1047" s="1314" t="s">
        <v>5726</v>
      </c>
      <c r="H1047" s="1315" t="s">
        <v>5592</v>
      </c>
      <c r="I1047" s="1316">
        <v>45688.0</v>
      </c>
      <c r="J1047" s="1317">
        <v>45692.0</v>
      </c>
      <c r="K1047" s="1313"/>
      <c r="L1047" s="1313" t="s">
        <v>5594</v>
      </c>
      <c r="M1047" s="1315" t="s">
        <v>5727</v>
      </c>
      <c r="N1047" s="1313" t="s">
        <v>5728</v>
      </c>
      <c r="O1047" s="1318">
        <v>7.0</v>
      </c>
      <c r="P1047" s="140" t="str">
        <f t="shared" si="59"/>
        <v>10.1037--0022-3514.94.3.495.pdf</v>
      </c>
      <c r="Q1047" s="52" t="str">
        <f t="array" ref="Q1047"> if(iserror(MATCH(V1047, 'File Links'!C:C, 0)), "N/A", HYPERLINK(INDEX('File Links'!B:B, MATCH(P1047, 'File Links'!C:C, 0))))</f>
        <v>https://drive.google.com/file/d/1sVDcE0S8Au1V2yPyjhNJC-dbCas3mbhd/view?usp=drivesdk</v>
      </c>
      <c r="R1047" s="1315" t="s">
        <v>3653</v>
      </c>
      <c r="S1047" s="159" t="s">
        <v>3654</v>
      </c>
      <c r="T1047" s="147" t="s">
        <v>138</v>
      </c>
      <c r="U1047" s="147" t="s">
        <v>138</v>
      </c>
      <c r="V1047" s="198" t="str">
        <f t="shared" si="57"/>
        <v>10.1098--rsos.231240.pdf</v>
      </c>
      <c r="W1047" s="140" t="s">
        <v>3665</v>
      </c>
      <c r="X1047" s="54" t="str">
        <f t="array" ref="X1047"> if(iserror(MATCH(V1047, 'File Links'!C:C, 0)), "N/A", HYPERLINK(INDEX('File Links'!B:B, MATCH(V1047, 'File Links'!C:C, 0))))</f>
        <v>https://drive.google.com/file/d/17gaf2Zy_ljFfcAEDk5L8GBnTl5i7RGJE/view?usp=drivesdk</v>
      </c>
      <c r="Y1047" s="1313"/>
      <c r="Z1047" s="1315" t="s">
        <v>226</v>
      </c>
      <c r="AA1047" s="374" t="s">
        <v>138</v>
      </c>
      <c r="AB1047" s="1313" t="s">
        <v>5729</v>
      </c>
      <c r="AC1047" s="1315" t="s">
        <v>5730</v>
      </c>
      <c r="AD1047" s="1313" t="s">
        <v>5731</v>
      </c>
      <c r="AE1047" s="1341">
        <v>17.0</v>
      </c>
      <c r="AF1047" s="1318">
        <v>155.0</v>
      </c>
      <c r="AG1047" s="1313" t="s">
        <v>5732</v>
      </c>
      <c r="AH1047" s="1313" t="s">
        <v>134</v>
      </c>
      <c r="AI1047" s="1313" t="s">
        <v>5733</v>
      </c>
      <c r="AJ1047" s="1325">
        <v>0.01</v>
      </c>
      <c r="AK1047" s="1321" t="s">
        <v>135</v>
      </c>
      <c r="AL1047" s="1321" t="s">
        <v>186</v>
      </c>
      <c r="AM1047" s="1313" t="s">
        <v>137</v>
      </c>
      <c r="AN1047" s="1322" t="s">
        <v>138</v>
      </c>
      <c r="AO1047" s="1318">
        <v>135.0</v>
      </c>
      <c r="AP1047" s="1313" t="s">
        <v>5734</v>
      </c>
      <c r="AQ1047" s="1313" t="s">
        <v>134</v>
      </c>
      <c r="AR1047" s="1322" t="s">
        <v>5604</v>
      </c>
      <c r="AS1047" s="1341">
        <v>0.8934787321</v>
      </c>
      <c r="AT1047" s="1313" t="s">
        <v>172</v>
      </c>
      <c r="AU1047" s="1313" t="s">
        <v>186</v>
      </c>
      <c r="AV1047" s="1313" t="s">
        <v>137</v>
      </c>
      <c r="AW1047" s="1323" t="s">
        <v>138</v>
      </c>
      <c r="AX1047" s="1313" t="s">
        <v>143</v>
      </c>
      <c r="AY1047" s="61" t="str">
        <f>IFERROR(__xludf.DUMMYFUNCTION("vlookup(BB1047,importrange(""https://docs.google.com/spreadsheets/d/1d2vevQ_7D_v35q4wCQ4RpQ_IPoTwEMB9Yp6ymwlPqew/edit?gid=984458430#gid=984458430"", ""'replication success'!A:K""), 11, FAlSE)"),"")</f>
        <v/>
      </c>
      <c r="AZ1047" s="61" t="str">
        <f>IFERROR(__xludf.DUMMYFUNCTION("vlookup(BB1047,importrange(""https://docs.google.com/spreadsheets/d/1d2vevQ_7D_v35q4wCQ4RpQ_IPoTwEMB9Yp6ymwlPqew/edit?gid=984458430#gid=984458430"", ""'replication success'!A:M""), 12, FAlSE)"),"")</f>
        <v/>
      </c>
      <c r="BA1047" s="61" t="str">
        <f>IFERROR(__xludf.DUMMYFUNCTION("vlookup(BB1047,importrange(""https://docs.google.com/spreadsheets/d/1d2vevQ_7D_v35q4wCQ4RpQ_IPoTwEMB9Yp6ymwlPqew/edit?gid=984458430#gid=984458430"",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v>
      </c>
      <c r="BB1047" s="61" t="str">
        <f>IFERROR(__xludf.DUMMYFUNCTION("REGEXREPLACE(G1047, ""_[a-z]{1,2}$"", """")"),"Boyce_etal202337")</f>
        <v>Boyce_etal202337</v>
      </c>
      <c r="BD1047" s="1322" t="s">
        <v>5605</v>
      </c>
      <c r="BE1047" s="189"/>
      <c r="BF1047" s="189"/>
      <c r="BG1047" s="189"/>
      <c r="BH1047" s="189"/>
      <c r="BI1047" s="189"/>
      <c r="BJ1047" s="189"/>
      <c r="BK1047" s="189"/>
      <c r="BL1047" s="189"/>
      <c r="BM1047" s="189"/>
      <c r="BN1047" s="189"/>
      <c r="BO1047" s="189"/>
      <c r="BP1047" s="189"/>
      <c r="BQ1047" s="189"/>
      <c r="BR1047" s="189"/>
      <c r="BS1047" s="189"/>
      <c r="BT1047" s="189"/>
      <c r="BU1047" s="189"/>
      <c r="BV1047" s="189"/>
      <c r="BW1047" s="189"/>
      <c r="BX1047" s="189"/>
      <c r="BY1047" s="189"/>
      <c r="BZ1047" s="189"/>
      <c r="CA1047" s="189"/>
      <c r="CB1047" s="189"/>
      <c r="CC1047" s="189"/>
      <c r="CD1047" s="189"/>
      <c r="CE1047" s="189"/>
      <c r="CF1047" s="189"/>
      <c r="CG1047" s="189"/>
      <c r="CH1047" s="189"/>
      <c r="CI1047" s="189"/>
      <c r="CJ1047" s="189"/>
      <c r="CK1047" s="189"/>
      <c r="CL1047" s="189"/>
      <c r="CM1047" s="189"/>
      <c r="CN1047" s="189"/>
      <c r="CO1047" s="189"/>
      <c r="CP1047" s="189"/>
      <c r="CQ1047" s="189"/>
      <c r="CR1047" s="189"/>
      <c r="CS1047" s="189"/>
      <c r="CT1047" s="189"/>
      <c r="CU1047" s="189"/>
      <c r="CV1047" s="189"/>
      <c r="CW1047" s="189"/>
      <c r="CX1047" s="189"/>
      <c r="CY1047" s="189"/>
      <c r="CZ1047" s="189"/>
      <c r="DA1047" s="189"/>
      <c r="DB1047" s="189"/>
      <c r="DC1047" s="189"/>
      <c r="DD1047" s="189"/>
      <c r="DE1047" s="189"/>
      <c r="DF1047" s="189"/>
      <c r="DG1047" s="189"/>
      <c r="DH1047" s="189"/>
      <c r="DI1047" s="189"/>
      <c r="DJ1047" s="189"/>
      <c r="DK1047" s="189"/>
      <c r="DL1047" s="189"/>
    </row>
    <row r="1048">
      <c r="A1048" s="44">
        <v>1048.0</v>
      </c>
      <c r="B1048" s="129" t="s">
        <v>114</v>
      </c>
      <c r="C1048" s="62" t="s">
        <v>115</v>
      </c>
      <c r="D1048" s="62" t="s">
        <v>248</v>
      </c>
      <c r="E1048" s="365"/>
      <c r="F1048" s="126" t="s">
        <v>5725</v>
      </c>
      <c r="G1048" s="119" t="s">
        <v>5726</v>
      </c>
      <c r="H1048" s="140" t="s">
        <v>249</v>
      </c>
      <c r="I1048" s="317">
        <v>45665.0</v>
      </c>
      <c r="J1048" s="1326">
        <v>45692.0</v>
      </c>
      <c r="K1048" s="125"/>
      <c r="L1048" s="125" t="s">
        <v>5594</v>
      </c>
      <c r="M1048" s="140" t="s">
        <v>5727</v>
      </c>
      <c r="N1048" s="140" t="s">
        <v>5728</v>
      </c>
      <c r="O1048" s="125"/>
      <c r="P1048" s="140" t="str">
        <f t="shared" si="59"/>
        <v>10.1037--0022-3514.94.3.495.pdf</v>
      </c>
      <c r="Q1048" s="52" t="str">
        <f t="array" ref="Q1048"> if(iserror(MATCH(V1048, 'File Links'!C:C, 0)), "N/A", HYPERLINK(INDEX('File Links'!B:B, MATCH(P1048, 'File Links'!C:C, 0))))</f>
        <v>https://drive.google.com/file/d/1sVDcE0S8Au1V2yPyjhNJC-dbCas3mbhd/view?usp=drivesdk</v>
      </c>
      <c r="R1048" s="140" t="s">
        <v>5735</v>
      </c>
      <c r="S1048" s="159" t="s">
        <v>3654</v>
      </c>
      <c r="T1048" s="147" t="s">
        <v>138</v>
      </c>
      <c r="U1048" s="147" t="s">
        <v>138</v>
      </c>
      <c r="V1048" s="198" t="str">
        <f t="shared" si="57"/>
        <v>10.1098--rsos.231240.pdf</v>
      </c>
      <c r="W1048" s="140" t="s">
        <v>3665</v>
      </c>
      <c r="X1048" s="54" t="str">
        <f t="array" ref="X1048"> if(iserror(MATCH(V1048, 'File Links'!C:C, 0)), "N/A", HYPERLINK(INDEX('File Links'!B:B, MATCH(V1048, 'File Links'!C:C, 0))))</f>
        <v>https://drive.google.com/file/d/17gaf2Zy_ljFfcAEDk5L8GBnTl5i7RGJE/view?usp=drivesdk</v>
      </c>
      <c r="Y1048" s="125"/>
      <c r="Z1048" s="140" t="s">
        <v>226</v>
      </c>
      <c r="AA1048" s="140" t="s">
        <v>5101</v>
      </c>
      <c r="AB1048" s="140" t="s">
        <v>5736</v>
      </c>
      <c r="AC1048" s="140" t="s">
        <v>5102</v>
      </c>
      <c r="AD1048" s="140" t="s">
        <v>5737</v>
      </c>
      <c r="AE1048" s="782">
        <v>510.0</v>
      </c>
      <c r="AF1048" s="782">
        <v>155.0</v>
      </c>
      <c r="AG1048" s="225" t="s">
        <v>5732</v>
      </c>
      <c r="AH1048" s="119" t="s">
        <v>134</v>
      </c>
      <c r="AI1048" s="140" t="s">
        <v>5738</v>
      </c>
      <c r="AJ1048" s="133">
        <v>0.01</v>
      </c>
      <c r="AK1048" s="126" t="s">
        <v>135</v>
      </c>
      <c r="AL1048" s="126" t="s">
        <v>136</v>
      </c>
      <c r="AM1048" s="140" t="s">
        <v>141</v>
      </c>
      <c r="AN1048" s="1322" t="s">
        <v>138</v>
      </c>
      <c r="AO1048" s="782">
        <v>135.0</v>
      </c>
      <c r="AP1048" s="225" t="s">
        <v>5734</v>
      </c>
      <c r="AQ1048" s="119" t="s">
        <v>134</v>
      </c>
      <c r="AR1048" s="1322" t="s">
        <v>5604</v>
      </c>
      <c r="AS1048" s="782">
        <v>0.893478732094815</v>
      </c>
      <c r="AT1048" s="140" t="s">
        <v>172</v>
      </c>
      <c r="AU1048" s="140" t="s">
        <v>136</v>
      </c>
      <c r="AV1048" s="140" t="s">
        <v>141</v>
      </c>
      <c r="AW1048" s="1323" t="s">
        <v>138</v>
      </c>
      <c r="AX1048" s="140" t="s">
        <v>143</v>
      </c>
      <c r="AY1048" s="61" t="str">
        <f>IFERROR(__xludf.DUMMYFUNCTION("vlookup(BB1048,importrange(""https://docs.google.com/spreadsheets/d/1d2vevQ_7D_v35q4wCQ4RpQ_IPoTwEMB9Yp6ymwlPqew/edit?gid=984458430#gid=984458430"", ""'replication success'!A:K""), 11, FAlSE)"),"")</f>
        <v/>
      </c>
      <c r="AZ1048" s="61" t="str">
        <f>IFERROR(__xludf.DUMMYFUNCTION("vlookup(BB1048,importrange(""https://docs.google.com/spreadsheets/d/1d2vevQ_7D_v35q4wCQ4RpQ_IPoTwEMB9Yp6ymwlPqew/edit?gid=984458430#gid=984458430"", ""'replication success'!A:M""), 12, FAlSE)"),"")</f>
        <v/>
      </c>
      <c r="BA1048" s="61" t="str">
        <f>IFERROR(__xludf.DUMMYFUNCTION("vlookup(BB1048,importrange(""https://docs.google.com/spreadsheets/d/1d2vevQ_7D_v35q4wCQ4RpQ_IPoTwEMB9Yp6ymwlPqew/edit?gid=984458430#gid=984458430"",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v>
      </c>
      <c r="BB1048" s="61" t="str">
        <f>IFERROR(__xludf.DUMMYFUNCTION("REGEXREPLACE(G1048, ""_[a-z]{1,2}$"", """")"),"Boyce_etal202337")</f>
        <v>Boyce_etal202337</v>
      </c>
      <c r="BD1048" s="1322" t="s">
        <v>5605</v>
      </c>
      <c r="BE1048" s="71"/>
      <c r="BF1048" s="71"/>
      <c r="BG1048" s="71"/>
      <c r="BH1048" s="71"/>
      <c r="BI1048" s="71"/>
      <c r="BJ1048" s="71"/>
      <c r="BK1048" s="71"/>
      <c r="BL1048" s="71"/>
      <c r="BM1048" s="71"/>
      <c r="BN1048" s="71"/>
      <c r="BO1048" s="71"/>
      <c r="BP1048" s="71"/>
      <c r="BQ1048" s="71"/>
      <c r="BR1048" s="71"/>
      <c r="BS1048" s="71"/>
      <c r="BT1048" s="71"/>
      <c r="BU1048" s="71"/>
      <c r="BV1048" s="71"/>
      <c r="BW1048" s="71"/>
      <c r="BX1048" s="71"/>
      <c r="BY1048" s="71"/>
      <c r="BZ1048" s="71"/>
      <c r="CA1048" s="71"/>
      <c r="CB1048" s="71"/>
      <c r="CC1048" s="71"/>
      <c r="CD1048" s="71"/>
      <c r="CE1048" s="71"/>
      <c r="CF1048" s="71"/>
      <c r="CG1048" s="71"/>
      <c r="CH1048" s="71"/>
      <c r="CI1048" s="71"/>
      <c r="CJ1048" s="71"/>
      <c r="CK1048" s="71"/>
      <c r="CL1048" s="71"/>
      <c r="CM1048" s="71"/>
      <c r="CN1048" s="71"/>
      <c r="CO1048" s="71"/>
      <c r="CP1048" s="71"/>
      <c r="CQ1048" s="71"/>
      <c r="CR1048" s="71"/>
      <c r="CS1048" s="71"/>
      <c r="CT1048" s="71"/>
      <c r="CU1048" s="71"/>
      <c r="CV1048" s="71"/>
      <c r="CW1048" s="71"/>
      <c r="CX1048" s="71"/>
      <c r="CY1048" s="71"/>
      <c r="CZ1048" s="71"/>
      <c r="DA1048" s="71"/>
      <c r="DB1048" s="71"/>
      <c r="DC1048" s="71"/>
      <c r="DD1048" s="71"/>
      <c r="DE1048" s="71"/>
      <c r="DF1048" s="71"/>
      <c r="DG1048" s="71"/>
      <c r="DH1048" s="71"/>
      <c r="DI1048" s="71"/>
      <c r="DJ1048" s="71"/>
      <c r="DK1048" s="71"/>
      <c r="DL1048" s="71"/>
    </row>
    <row r="1049">
      <c r="A1049" s="44">
        <v>1049.0</v>
      </c>
      <c r="B1049" s="129" t="s">
        <v>152</v>
      </c>
      <c r="C1049" s="62" t="s">
        <v>115</v>
      </c>
      <c r="D1049" s="62" t="s">
        <v>145</v>
      </c>
      <c r="E1049" s="365"/>
      <c r="F1049" s="1313" t="s">
        <v>5739</v>
      </c>
      <c r="G1049" s="1314" t="s">
        <v>5740</v>
      </c>
      <c r="H1049" s="1315" t="s">
        <v>5592</v>
      </c>
      <c r="I1049" s="1316">
        <v>45688.0</v>
      </c>
      <c r="J1049" s="1317">
        <v>45692.0</v>
      </c>
      <c r="K1049" s="1313"/>
      <c r="L1049" s="1313" t="s">
        <v>5594</v>
      </c>
      <c r="M1049" s="1315" t="s">
        <v>5741</v>
      </c>
      <c r="N1049" s="1315" t="s">
        <v>5742</v>
      </c>
      <c r="O1049" s="1318">
        <v>3.0</v>
      </c>
      <c r="P1049" s="1315" t="s">
        <v>5743</v>
      </c>
      <c r="Q1049" s="52" t="str">
        <f t="array" ref="Q1049"> if(iserror(MATCH(V1049, 'File Links'!C:C, 0)), "N/A", HYPERLINK(INDEX('File Links'!B:B, MATCH(P1049, 'File Links'!C:C, 0))))</f>
        <v>https://drive.google.com/file/d/1v5J8Cnv26X6sTt4VLBH9e2mvCWSnQGm4/view?usp=drivesdk</v>
      </c>
      <c r="R1049" s="1315" t="s">
        <v>3653</v>
      </c>
      <c r="S1049" s="159" t="s">
        <v>3654</v>
      </c>
      <c r="T1049" s="147" t="s">
        <v>138</v>
      </c>
      <c r="U1049" s="147" t="s">
        <v>138</v>
      </c>
      <c r="V1049" s="198" t="str">
        <f t="shared" si="57"/>
        <v>10.1098--rsos.231240.pdf</v>
      </c>
      <c r="W1049" s="140" t="s">
        <v>3665</v>
      </c>
      <c r="X1049" s="54" t="str">
        <f t="array" ref="X1049"> if(iserror(MATCH(V1049, 'File Links'!C:C, 0)), "N/A", HYPERLINK(INDEX('File Links'!B:B, MATCH(V1049, 'File Links'!C:C, 0))))</f>
        <v>https://drive.google.com/file/d/17gaf2Zy_ljFfcAEDk5L8GBnTl5i7RGJE/view?usp=drivesdk</v>
      </c>
      <c r="Y1049" s="1313"/>
      <c r="Z1049" s="1315" t="s">
        <v>226</v>
      </c>
      <c r="AA1049" s="374" t="s">
        <v>138</v>
      </c>
      <c r="AB1049" s="1313" t="s">
        <v>5744</v>
      </c>
      <c r="AC1049" s="1315" t="s">
        <v>5745</v>
      </c>
      <c r="AD1049" s="1313" t="s">
        <v>5746</v>
      </c>
      <c r="AE1049" s="1313" t="s">
        <v>5747</v>
      </c>
      <c r="AF1049" s="1318">
        <v>308.0</v>
      </c>
      <c r="AG1049" s="1322">
        <v>-0.29</v>
      </c>
      <c r="AH1049" s="1322" t="s">
        <v>987</v>
      </c>
      <c r="AI1049" s="1313" t="s">
        <v>813</v>
      </c>
      <c r="AJ1049" s="1325">
        <v>0.001</v>
      </c>
      <c r="AK1049" s="1321" t="s">
        <v>135</v>
      </c>
      <c r="AL1049" s="1321" t="s">
        <v>186</v>
      </c>
      <c r="AM1049" s="1313" t="s">
        <v>137</v>
      </c>
      <c r="AN1049" s="1322" t="s">
        <v>138</v>
      </c>
      <c r="AO1049" s="1318">
        <v>68.0</v>
      </c>
      <c r="AP1049" s="1341">
        <v>-0.496477592646435</v>
      </c>
      <c r="AQ1049" s="1313" t="s">
        <v>173</v>
      </c>
      <c r="AR1049" s="1322" t="s">
        <v>5604</v>
      </c>
      <c r="AS1049" s="1341">
        <v>0.124705614184336</v>
      </c>
      <c r="AT1049" s="1313" t="s">
        <v>172</v>
      </c>
      <c r="AU1049" s="1313" t="s">
        <v>186</v>
      </c>
      <c r="AV1049" s="1313" t="s">
        <v>137</v>
      </c>
      <c r="AW1049" s="1323" t="s">
        <v>138</v>
      </c>
      <c r="AX1049" s="1313" t="s">
        <v>143</v>
      </c>
      <c r="AY1049" s="61" t="str">
        <f>IFERROR(__xludf.DUMMYFUNCTION("vlookup(BB1049,importrange(""https://docs.google.com/spreadsheets/d/1d2vevQ_7D_v35q4wCQ4RpQ_IPoTwEMB9Yp6ymwlPqew/edit?gid=984458430#gid=984458430"", ""'replication success'!A:K""), 11, FAlSE)"),"")</f>
        <v/>
      </c>
      <c r="AZ1049" s="61" t="str">
        <f>IFERROR(__xludf.DUMMYFUNCTION("vlookup(BB1049,importrange(""https://docs.google.com/spreadsheets/d/1d2vevQ_7D_v35q4wCQ4RpQ_IPoTwEMB9Yp6ymwlPqew/edit?gid=984458430#gid=984458430"", ""'replication success'!A:M""), 12, FAlSE)"),"")</f>
        <v/>
      </c>
      <c r="BA1049" s="61" t="str">
        <f>IFERROR(__xludf.DUMMYFUNCTION("vlookup(BB1049,importrange(""https://docs.google.com/spreadsheets/d/1d2vevQ_7D_v35q4wCQ4RpQ_IPoTwEMB9Yp6ymwlPqew/edit?gid=984458430#gid=984458430"",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v>
      </c>
      <c r="BB1049" s="61" t="str">
        <f>IFERROR(__xludf.DUMMYFUNCTION("REGEXREPLACE(G1049, ""_[a-z]{1,2}$"", """")"),"Boyce_etal202338")</f>
        <v>Boyce_etal202338</v>
      </c>
      <c r="BD1049" s="1322" t="s">
        <v>5605</v>
      </c>
      <c r="BE1049" s="71"/>
      <c r="BF1049" s="71"/>
      <c r="BG1049" s="71"/>
      <c r="BH1049" s="71"/>
      <c r="BI1049" s="71"/>
      <c r="BJ1049" s="71"/>
      <c r="BK1049" s="71"/>
      <c r="BL1049" s="71"/>
      <c r="BM1049" s="71"/>
      <c r="BN1049" s="71"/>
      <c r="BO1049" s="71"/>
      <c r="BP1049" s="71"/>
      <c r="BQ1049" s="71"/>
      <c r="BR1049" s="71"/>
      <c r="BS1049" s="71"/>
      <c r="BT1049" s="71"/>
      <c r="BU1049" s="71"/>
      <c r="BV1049" s="71"/>
      <c r="BW1049" s="71"/>
      <c r="BX1049" s="71"/>
      <c r="BY1049" s="71"/>
      <c r="BZ1049" s="71"/>
      <c r="CA1049" s="71"/>
      <c r="CB1049" s="71"/>
      <c r="CC1049" s="71"/>
      <c r="CD1049" s="71"/>
      <c r="CE1049" s="71"/>
      <c r="CF1049" s="71"/>
      <c r="CG1049" s="71"/>
      <c r="CH1049" s="71"/>
      <c r="CI1049" s="71"/>
      <c r="CJ1049" s="71"/>
      <c r="CK1049" s="71"/>
      <c r="CL1049" s="71"/>
      <c r="CM1049" s="71"/>
      <c r="CN1049" s="71"/>
      <c r="CO1049" s="71"/>
      <c r="CP1049" s="71"/>
      <c r="CQ1049" s="71"/>
      <c r="CR1049" s="71"/>
      <c r="CS1049" s="71"/>
      <c r="CT1049" s="71"/>
      <c r="CU1049" s="71"/>
      <c r="CV1049" s="71"/>
      <c r="CW1049" s="71"/>
      <c r="CX1049" s="71"/>
      <c r="CY1049" s="71"/>
      <c r="CZ1049" s="71"/>
      <c r="DA1049" s="71"/>
      <c r="DB1049" s="71"/>
      <c r="DC1049" s="71"/>
      <c r="DD1049" s="71"/>
      <c r="DE1049" s="71"/>
      <c r="DF1049" s="71"/>
      <c r="DG1049" s="71"/>
      <c r="DH1049" s="71"/>
      <c r="DI1049" s="71"/>
      <c r="DJ1049" s="71"/>
      <c r="DK1049" s="71"/>
      <c r="DL1049" s="71"/>
    </row>
    <row r="1050">
      <c r="A1050" s="44">
        <v>1050.0</v>
      </c>
      <c r="B1050" s="129" t="s">
        <v>152</v>
      </c>
      <c r="C1050" s="62" t="s">
        <v>115</v>
      </c>
      <c r="D1050" s="62" t="s">
        <v>145</v>
      </c>
      <c r="E1050" s="365"/>
      <c r="F1050" s="1313" t="s">
        <v>5739</v>
      </c>
      <c r="G1050" s="1314" t="s">
        <v>5748</v>
      </c>
      <c r="H1050" s="1315" t="s">
        <v>5592</v>
      </c>
      <c r="I1050" s="1316">
        <v>45688.0</v>
      </c>
      <c r="J1050" s="1317">
        <v>45692.0</v>
      </c>
      <c r="K1050" s="1313"/>
      <c r="L1050" s="1313" t="s">
        <v>5594</v>
      </c>
      <c r="M1050" s="1315" t="s">
        <v>5741</v>
      </c>
      <c r="N1050" s="1315" t="s">
        <v>5742</v>
      </c>
      <c r="O1050" s="1318">
        <v>3.0</v>
      </c>
      <c r="P1050" s="1315" t="s">
        <v>5743</v>
      </c>
      <c r="Q1050" s="52" t="str">
        <f t="array" ref="Q1050"> if(iserror(MATCH(V1050, 'File Links'!C:C, 0)), "N/A", HYPERLINK(INDEX('File Links'!B:B, MATCH(P1050, 'File Links'!C:C, 0))))</f>
        <v>https://drive.google.com/file/d/1v5J8Cnv26X6sTt4VLBH9e2mvCWSnQGm4/view?usp=drivesdk</v>
      </c>
      <c r="R1050" s="1315" t="s">
        <v>3653</v>
      </c>
      <c r="S1050" s="159" t="s">
        <v>3654</v>
      </c>
      <c r="T1050" s="147" t="s">
        <v>138</v>
      </c>
      <c r="U1050" s="147" t="s">
        <v>138</v>
      </c>
      <c r="V1050" s="198" t="str">
        <f t="shared" si="57"/>
        <v>10.1098--rsos.231240.pdf</v>
      </c>
      <c r="W1050" s="140" t="s">
        <v>3665</v>
      </c>
      <c r="X1050" s="54" t="str">
        <f t="array" ref="X1050"> if(iserror(MATCH(V1050, 'File Links'!C:C, 0)), "N/A", HYPERLINK(INDEX('File Links'!B:B, MATCH(V1050, 'File Links'!C:C, 0))))</f>
        <v>https://drive.google.com/file/d/17gaf2Zy_ljFfcAEDk5L8GBnTl5i7RGJE/view?usp=drivesdk</v>
      </c>
      <c r="Y1050" s="1313"/>
      <c r="Z1050" s="1315" t="s">
        <v>226</v>
      </c>
      <c r="AA1050" s="374" t="s">
        <v>138</v>
      </c>
      <c r="AB1050" s="1313" t="s">
        <v>5744</v>
      </c>
      <c r="AC1050" s="1315" t="s">
        <v>5749</v>
      </c>
      <c r="AD1050" s="1313" t="s">
        <v>5750</v>
      </c>
      <c r="AE1050" s="1313" t="s">
        <v>5747</v>
      </c>
      <c r="AF1050" s="1318">
        <v>308.0</v>
      </c>
      <c r="AG1050" s="1322" t="s">
        <v>5751</v>
      </c>
      <c r="AH1050" s="1322" t="s">
        <v>987</v>
      </c>
      <c r="AI1050" s="1313" t="s">
        <v>813</v>
      </c>
      <c r="AJ1050" s="1325">
        <v>0.05</v>
      </c>
      <c r="AK1050" s="1321" t="s">
        <v>135</v>
      </c>
      <c r="AL1050" s="1321" t="s">
        <v>186</v>
      </c>
      <c r="AM1050" s="1313" t="s">
        <v>137</v>
      </c>
      <c r="AN1050" s="1322" t="s">
        <v>138</v>
      </c>
      <c r="AO1050" s="1318">
        <v>68.0</v>
      </c>
      <c r="AP1050" s="1341">
        <v>-0.496477592646435</v>
      </c>
      <c r="AQ1050" s="1313" t="s">
        <v>173</v>
      </c>
      <c r="AR1050" s="1322" t="s">
        <v>5604</v>
      </c>
      <c r="AS1050" s="1341">
        <v>0.124705614184336</v>
      </c>
      <c r="AT1050" s="1313" t="s">
        <v>172</v>
      </c>
      <c r="AU1050" s="1313" t="s">
        <v>186</v>
      </c>
      <c r="AV1050" s="1313" t="s">
        <v>137</v>
      </c>
      <c r="AW1050" s="1323" t="s">
        <v>138</v>
      </c>
      <c r="AX1050" s="1313" t="s">
        <v>143</v>
      </c>
      <c r="AY1050" s="61" t="str">
        <f>IFERROR(__xludf.DUMMYFUNCTION("vlookup(BB1050,importrange(""https://docs.google.com/spreadsheets/d/1d2vevQ_7D_v35q4wCQ4RpQ_IPoTwEMB9Yp6ymwlPqew/edit?gid=984458430#gid=984458430"", ""'replication success'!A:K""), 11, FAlSE)"),"")</f>
        <v/>
      </c>
      <c r="AZ1050" s="61" t="str">
        <f>IFERROR(__xludf.DUMMYFUNCTION("vlookup(BB1050,importrange(""https://docs.google.com/spreadsheets/d/1d2vevQ_7D_v35q4wCQ4RpQ_IPoTwEMB9Yp6ymwlPqew/edit?gid=984458430#gid=984458430"", ""'replication success'!A:M""), 12, FAlSE)"),"")</f>
        <v/>
      </c>
      <c r="BA1050" s="61" t="str">
        <f>IFERROR(__xludf.DUMMYFUNCTION("vlookup(BB1050,importrange(""https://docs.google.com/spreadsheets/d/1d2vevQ_7D_v35q4wCQ4RpQ_IPoTwEMB9Yp6ymwlPqew/edit?gid=984458430#gid=984458430"",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v>
      </c>
      <c r="BB1050" s="61" t="str">
        <f>IFERROR(__xludf.DUMMYFUNCTION("REGEXREPLACE(G1050, ""_[a-z]{1,2}$"", """")"),"Boyce_etal202338")</f>
        <v>Boyce_etal202338</v>
      </c>
      <c r="BD1050" s="1322" t="s">
        <v>5605</v>
      </c>
      <c r="BF1050" s="71"/>
      <c r="BG1050" s="71"/>
      <c r="BH1050" s="71"/>
      <c r="BI1050" s="71"/>
      <c r="BJ1050" s="71"/>
      <c r="BK1050" s="71"/>
      <c r="BL1050" s="71"/>
      <c r="BM1050" s="71"/>
      <c r="BN1050" s="71"/>
      <c r="BO1050" s="71"/>
      <c r="BP1050" s="71"/>
      <c r="BQ1050" s="71"/>
      <c r="BR1050" s="71"/>
      <c r="BS1050" s="71"/>
      <c r="BT1050" s="71"/>
      <c r="BU1050" s="71"/>
      <c r="BV1050" s="71"/>
      <c r="BW1050" s="71"/>
      <c r="BX1050" s="71"/>
      <c r="BY1050" s="71"/>
      <c r="BZ1050" s="71"/>
      <c r="CA1050" s="71"/>
      <c r="CB1050" s="71"/>
      <c r="CC1050" s="71"/>
      <c r="CD1050" s="71"/>
      <c r="CE1050" s="71"/>
      <c r="CF1050" s="71"/>
      <c r="CG1050" s="71"/>
      <c r="CH1050" s="71"/>
      <c r="CI1050" s="71"/>
      <c r="CJ1050" s="71"/>
      <c r="CK1050" s="71"/>
      <c r="CL1050" s="71"/>
      <c r="CM1050" s="71"/>
      <c r="CN1050" s="71"/>
      <c r="CO1050" s="71"/>
      <c r="CP1050" s="71"/>
      <c r="CQ1050" s="71"/>
      <c r="CR1050" s="71"/>
      <c r="CS1050" s="71"/>
      <c r="CT1050" s="71"/>
      <c r="CU1050" s="71"/>
      <c r="CV1050" s="71"/>
      <c r="CW1050" s="71"/>
      <c r="CX1050" s="71"/>
      <c r="CY1050" s="71"/>
      <c r="CZ1050" s="71"/>
      <c r="DA1050" s="71"/>
      <c r="DB1050" s="71"/>
      <c r="DC1050" s="71"/>
      <c r="DD1050" s="71"/>
      <c r="DE1050" s="71"/>
      <c r="DF1050" s="71"/>
      <c r="DG1050" s="71"/>
      <c r="DH1050" s="71"/>
      <c r="DI1050" s="71"/>
      <c r="DJ1050" s="71"/>
      <c r="DK1050" s="71"/>
      <c r="DL1050" s="71"/>
    </row>
    <row r="1051">
      <c r="A1051" s="44">
        <v>1051.0</v>
      </c>
      <c r="B1051" s="129" t="s">
        <v>114</v>
      </c>
      <c r="C1051" s="62" t="s">
        <v>115</v>
      </c>
      <c r="D1051" s="62" t="s">
        <v>248</v>
      </c>
      <c r="E1051" s="365"/>
      <c r="F1051" s="126" t="s">
        <v>5739</v>
      </c>
      <c r="G1051" s="119" t="s">
        <v>5740</v>
      </c>
      <c r="H1051" s="140" t="s">
        <v>249</v>
      </c>
      <c r="I1051" s="317">
        <v>45665.0</v>
      </c>
      <c r="J1051" s="1326">
        <v>45692.0</v>
      </c>
      <c r="K1051" s="125"/>
      <c r="L1051" s="125" t="s">
        <v>5594</v>
      </c>
      <c r="M1051" s="140" t="s">
        <v>5741</v>
      </c>
      <c r="N1051" s="140" t="s">
        <v>5742</v>
      </c>
      <c r="O1051" s="125"/>
      <c r="P1051" s="140" t="str">
        <f t="shared" ref="P1051:P1053" si="60"> SUBSTITUTE(lower(N1051), "/", "--") &amp;  ".pdf"</f>
        <v>10.1177--0956797612449177.pdf</v>
      </c>
      <c r="Q1051" s="52" t="str">
        <f t="array" ref="Q1051"> if(iserror(MATCH(V1051, 'File Links'!C:C, 0)), "N/A", HYPERLINK(INDEX('File Links'!B:B, MATCH(P1051, 'File Links'!C:C, 0))))</f>
        <v>https://drive.google.com/file/d/1v5J8Cnv26X6sTt4VLBH9e2mvCWSnQGm4/view?usp=drivesdk</v>
      </c>
      <c r="R1051" s="140" t="s">
        <v>5752</v>
      </c>
      <c r="S1051" s="159" t="s">
        <v>3654</v>
      </c>
      <c r="T1051" s="147" t="s">
        <v>138</v>
      </c>
      <c r="U1051" s="147" t="s">
        <v>138</v>
      </c>
      <c r="V1051" s="198" t="str">
        <f t="shared" si="57"/>
        <v>10.1098--rsos.231240.pdf</v>
      </c>
      <c r="W1051" s="140" t="s">
        <v>3665</v>
      </c>
      <c r="X1051" s="54" t="str">
        <f t="array" ref="X1051"> if(iserror(MATCH(V1051, 'File Links'!C:C, 0)), "N/A", HYPERLINK(INDEX('File Links'!B:B, MATCH(V1051, 'File Links'!C:C, 0))))</f>
        <v>https://drive.google.com/file/d/17gaf2Zy_ljFfcAEDk5L8GBnTl5i7RGJE/view?usp=drivesdk</v>
      </c>
      <c r="Y1051" s="125"/>
      <c r="Z1051" s="140" t="s">
        <v>226</v>
      </c>
      <c r="AA1051" s="125"/>
      <c r="AB1051" s="140" t="s">
        <v>4343</v>
      </c>
      <c r="AC1051" s="125"/>
      <c r="AD1051" s="140" t="s">
        <v>5753</v>
      </c>
      <c r="AE1051" s="782">
        <v>62.0</v>
      </c>
      <c r="AF1051" s="782">
        <v>308.0</v>
      </c>
      <c r="AG1051" s="140" t="s">
        <v>138</v>
      </c>
      <c r="AH1051" s="167" t="s">
        <v>138</v>
      </c>
      <c r="AI1051" s="140" t="s">
        <v>5754</v>
      </c>
      <c r="AJ1051" s="133">
        <v>0.05</v>
      </c>
      <c r="AK1051" s="126" t="s">
        <v>2249</v>
      </c>
      <c r="AL1051" s="126" t="s">
        <v>186</v>
      </c>
      <c r="AM1051" s="140" t="s">
        <v>1905</v>
      </c>
      <c r="AN1051" s="1322" t="s">
        <v>138</v>
      </c>
      <c r="AO1051" s="782">
        <v>68.0</v>
      </c>
      <c r="AP1051" s="782">
        <v>-0.496477592646435</v>
      </c>
      <c r="AQ1051" s="140" t="s">
        <v>173</v>
      </c>
      <c r="AR1051" s="1322" t="s">
        <v>5604</v>
      </c>
      <c r="AS1051" s="782">
        <v>0.124705614184336</v>
      </c>
      <c r="AT1051" s="140" t="s">
        <v>172</v>
      </c>
      <c r="AU1051" s="140" t="s">
        <v>186</v>
      </c>
      <c r="AV1051" s="140" t="s">
        <v>1905</v>
      </c>
      <c r="AW1051" s="1323" t="s">
        <v>138</v>
      </c>
      <c r="AX1051" s="140" t="s">
        <v>143</v>
      </c>
      <c r="AY1051" s="61" t="str">
        <f>IFERROR(__xludf.DUMMYFUNCTION("vlookup(BB1051,importrange(""https://docs.google.com/spreadsheets/d/1d2vevQ_7D_v35q4wCQ4RpQ_IPoTwEMB9Yp6ymwlPqew/edit?gid=984458430#gid=984458430"", ""'replication success'!A:K""), 11, FAlSE)"),"")</f>
        <v/>
      </c>
      <c r="AZ1051" s="61" t="str">
        <f>IFERROR(__xludf.DUMMYFUNCTION("vlookup(BB1051,importrange(""https://docs.google.com/spreadsheets/d/1d2vevQ_7D_v35q4wCQ4RpQ_IPoTwEMB9Yp6ymwlPqew/edit?gid=984458430#gid=984458430"", ""'replication success'!A:M""), 12, FAlSE)"),"")</f>
        <v/>
      </c>
      <c r="BA1051" s="61" t="str">
        <f>IFERROR(__xludf.DUMMYFUNCTION("vlookup(BB1051,importrange(""https://docs.google.com/spreadsheets/d/1d2vevQ_7D_v35q4wCQ4RpQ_IPoTwEMB9Yp6ymwlPqew/edit?gid=984458430#gid=984458430"",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v>
      </c>
      <c r="BB1051" s="61" t="str">
        <f>IFERROR(__xludf.DUMMYFUNCTION("REGEXREPLACE(G1051, ""_[a-z]{1,2}$"", """")"),"Boyce_etal202338")</f>
        <v>Boyce_etal202338</v>
      </c>
      <c r="BD1051" s="1322" t="s">
        <v>5605</v>
      </c>
      <c r="BF1051" s="71"/>
      <c r="BG1051" s="71"/>
      <c r="BH1051" s="71"/>
      <c r="BI1051" s="71"/>
      <c r="BJ1051" s="71"/>
      <c r="BK1051" s="71"/>
      <c r="BL1051" s="71"/>
      <c r="BM1051" s="71"/>
      <c r="BN1051" s="71"/>
      <c r="BO1051" s="71"/>
      <c r="BP1051" s="71"/>
      <c r="BQ1051" s="71"/>
      <c r="BR1051" s="71"/>
      <c r="BS1051" s="71"/>
      <c r="BT1051" s="71"/>
      <c r="BU1051" s="71"/>
      <c r="BV1051" s="71"/>
      <c r="BW1051" s="71"/>
      <c r="BX1051" s="71"/>
      <c r="BY1051" s="71"/>
      <c r="BZ1051" s="71"/>
      <c r="CA1051" s="71"/>
      <c r="CB1051" s="71"/>
      <c r="CC1051" s="71"/>
      <c r="CD1051" s="71"/>
      <c r="CE1051" s="71"/>
      <c r="CF1051" s="71"/>
      <c r="CG1051" s="71"/>
      <c r="CH1051" s="71"/>
      <c r="CI1051" s="71"/>
      <c r="CJ1051" s="71"/>
      <c r="CK1051" s="71"/>
      <c r="CL1051" s="71"/>
      <c r="CM1051" s="71"/>
      <c r="CN1051" s="71"/>
      <c r="CO1051" s="71"/>
      <c r="CP1051" s="71"/>
      <c r="CQ1051" s="71"/>
      <c r="CR1051" s="71"/>
      <c r="CS1051" s="71"/>
      <c r="CT1051" s="71"/>
      <c r="CU1051" s="71"/>
      <c r="CV1051" s="71"/>
      <c r="CW1051" s="71"/>
      <c r="CX1051" s="71"/>
      <c r="CY1051" s="71"/>
      <c r="CZ1051" s="71"/>
      <c r="DA1051" s="71"/>
      <c r="DB1051" s="71"/>
      <c r="DC1051" s="71"/>
      <c r="DD1051" s="71"/>
      <c r="DE1051" s="71"/>
      <c r="DF1051" s="71"/>
      <c r="DG1051" s="71"/>
      <c r="DH1051" s="71"/>
      <c r="DI1051" s="71"/>
      <c r="DJ1051" s="71"/>
      <c r="DK1051" s="71"/>
      <c r="DL1051" s="71"/>
    </row>
    <row r="1052">
      <c r="A1052" s="44">
        <v>1052.0</v>
      </c>
      <c r="B1052" s="129" t="s">
        <v>152</v>
      </c>
      <c r="C1052" s="62" t="s">
        <v>115</v>
      </c>
      <c r="D1052" s="62" t="s">
        <v>145</v>
      </c>
      <c r="E1052" s="365"/>
      <c r="F1052" s="1313" t="s">
        <v>5755</v>
      </c>
      <c r="G1052" s="1314" t="s">
        <v>5756</v>
      </c>
      <c r="H1052" s="1315" t="s">
        <v>5592</v>
      </c>
      <c r="I1052" s="1316">
        <v>45688.0</v>
      </c>
      <c r="J1052" s="1317">
        <v>45692.0</v>
      </c>
      <c r="K1052" s="1313"/>
      <c r="L1052" s="1322" t="s">
        <v>5757</v>
      </c>
      <c r="M1052" s="1315" t="s">
        <v>5758</v>
      </c>
      <c r="N1052" s="1313" t="s">
        <v>5759</v>
      </c>
      <c r="O1052" s="1318">
        <v>4.0</v>
      </c>
      <c r="P1052" s="140" t="str">
        <f t="shared" si="60"/>
        <v>10.1037--0022-3514.94.2.94.2.231.pdf</v>
      </c>
      <c r="Q1052" s="52" t="str">
        <f t="array" ref="Q1052"> if(iserror(MATCH(V1052, 'File Links'!C:C, 0)), "N/A", HYPERLINK(INDEX('File Links'!B:B, MATCH(P1052, 'File Links'!C:C, 0))))</f>
        <v>https://drive.google.com/file/d/15DQQpECVr9NdJZ7O7RNWRdNwXQ6KQeXe/view?usp=drivesdk</v>
      </c>
      <c r="R1052" s="1315" t="s">
        <v>3653</v>
      </c>
      <c r="S1052" s="159" t="s">
        <v>3654</v>
      </c>
      <c r="T1052" s="147" t="s">
        <v>138</v>
      </c>
      <c r="U1052" s="147" t="s">
        <v>138</v>
      </c>
      <c r="V1052" s="198" t="str">
        <f t="shared" si="57"/>
        <v>10.1098--rsos.231240.pdf</v>
      </c>
      <c r="W1052" s="140" t="s">
        <v>324</v>
      </c>
      <c r="X1052" s="54" t="str">
        <f t="array" ref="X1052"> if(iserror(MATCH(V1052, 'File Links'!C:C, 0)), "N/A", HYPERLINK(INDEX('File Links'!B:B, MATCH(V1052, 'File Links'!C:C, 0))))</f>
        <v>https://drive.google.com/file/d/17gaf2Zy_ljFfcAEDk5L8GBnTl5i7RGJE/view?usp=drivesdk</v>
      </c>
      <c r="Y1052" s="1313"/>
      <c r="Z1052" s="1315" t="s">
        <v>226</v>
      </c>
      <c r="AA1052" s="374" t="s">
        <v>138</v>
      </c>
      <c r="AB1052" s="1313" t="s">
        <v>5760</v>
      </c>
      <c r="AC1052" s="1315" t="s">
        <v>5761</v>
      </c>
      <c r="AD1052" s="1313" t="s">
        <v>5762</v>
      </c>
      <c r="AE1052" s="1341">
        <v>11.0</v>
      </c>
      <c r="AF1052" s="1318">
        <v>155.0</v>
      </c>
      <c r="AG1052" s="1313" t="s">
        <v>5763</v>
      </c>
      <c r="AH1052" s="1313" t="s">
        <v>134</v>
      </c>
      <c r="AI1052" s="1313" t="s">
        <v>307</v>
      </c>
      <c r="AJ1052" s="1325">
        <v>0.05</v>
      </c>
      <c r="AK1052" s="1321" t="s">
        <v>172</v>
      </c>
      <c r="AL1052" s="1321" t="s">
        <v>186</v>
      </c>
      <c r="AM1052" s="1313" t="s">
        <v>137</v>
      </c>
      <c r="AN1052" s="1322" t="s">
        <v>138</v>
      </c>
      <c r="AO1052" s="1318">
        <v>215.0</v>
      </c>
      <c r="AP1052" s="1313" t="s">
        <v>5764</v>
      </c>
      <c r="AQ1052" s="1313" t="s">
        <v>134</v>
      </c>
      <c r="AR1052" s="1322" t="s">
        <v>5604</v>
      </c>
      <c r="AS1052" s="374" t="s">
        <v>138</v>
      </c>
      <c r="AT1052" s="219" t="s">
        <v>138</v>
      </c>
      <c r="AU1052" s="1313" t="s">
        <v>186</v>
      </c>
      <c r="AV1052" s="1313" t="s">
        <v>137</v>
      </c>
      <c r="AW1052" s="1323" t="s">
        <v>138</v>
      </c>
      <c r="AX1052" s="1313" t="s">
        <v>143</v>
      </c>
      <c r="AY1052" s="61" t="str">
        <f>IFERROR(__xludf.DUMMYFUNCTION("vlookup(BB1052,importrange(""https://docs.google.com/spreadsheets/d/1d2vevQ_7D_v35q4wCQ4RpQ_IPoTwEMB9Yp6ymwlPqew/edit?gid=984458430#gid=984458430"", ""'replication success'!A:K""), 11, FAlSE)"),"")</f>
        <v/>
      </c>
      <c r="AZ1052" s="61" t="str">
        <f>IFERROR(__xludf.DUMMYFUNCTION("vlookup(BB1052,importrange(""https://docs.google.com/spreadsheets/d/1d2vevQ_7D_v35q4wCQ4RpQ_IPoTwEMB9Yp6ymwlPqew/edit?gid=984458430#gid=984458430"", ""'replication success'!A:M""), 12, FAlSE)"),"")</f>
        <v/>
      </c>
      <c r="BA1052" s="61" t="str">
        <f>IFERROR(__xludf.DUMMYFUNCTION("vlookup(BB1052,importrange(""https://docs.google.com/spreadsheets/d/1d2vevQ_7D_v35q4wCQ4RpQ_IPoTwEMB9Yp6ymwlPqew/edit?gid=984458430#gid=984458430"",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v>
      </c>
      <c r="BB1052" s="61" t="str">
        <f>IFERROR(__xludf.DUMMYFUNCTION("REGEXREPLACE(G1052, ""_[a-z]{1,2}$"", """")"),"Boyce_etal202339")</f>
        <v>Boyce_etal202339</v>
      </c>
      <c r="BD1052" s="1322" t="s">
        <v>5605</v>
      </c>
      <c r="BI1052" s="71"/>
      <c r="BJ1052" s="71"/>
      <c r="BK1052" s="71"/>
      <c r="BL1052" s="71"/>
      <c r="BM1052" s="71"/>
      <c r="BN1052" s="71"/>
      <c r="BO1052" s="71"/>
      <c r="BP1052" s="71"/>
      <c r="BQ1052" s="71"/>
      <c r="BR1052" s="71"/>
      <c r="BS1052" s="71"/>
      <c r="BT1052" s="71"/>
      <c r="BU1052" s="71"/>
      <c r="BV1052" s="71"/>
      <c r="BW1052" s="71"/>
      <c r="BX1052" s="71"/>
      <c r="BY1052" s="71"/>
      <c r="BZ1052" s="71"/>
      <c r="CA1052" s="71"/>
      <c r="CB1052" s="71"/>
      <c r="CC1052" s="71"/>
      <c r="CD1052" s="71"/>
      <c r="CE1052" s="71"/>
      <c r="CF1052" s="71"/>
      <c r="CG1052" s="71"/>
      <c r="CH1052" s="71"/>
      <c r="CI1052" s="71"/>
      <c r="CJ1052" s="71"/>
      <c r="CK1052" s="71"/>
      <c r="CL1052" s="71"/>
      <c r="CM1052" s="71"/>
      <c r="CN1052" s="71"/>
      <c r="CO1052" s="71"/>
      <c r="CP1052" s="71"/>
      <c r="CQ1052" s="71"/>
      <c r="CR1052" s="71"/>
      <c r="CS1052" s="71"/>
      <c r="CT1052" s="71"/>
      <c r="CU1052" s="71"/>
      <c r="CV1052" s="71"/>
      <c r="CW1052" s="71"/>
      <c r="CX1052" s="71"/>
      <c r="CY1052" s="71"/>
      <c r="CZ1052" s="71"/>
      <c r="DA1052" s="71"/>
      <c r="DB1052" s="71"/>
      <c r="DC1052" s="71"/>
      <c r="DD1052" s="71"/>
      <c r="DE1052" s="71"/>
      <c r="DF1052" s="71"/>
      <c r="DG1052" s="71"/>
      <c r="DH1052" s="71"/>
      <c r="DI1052" s="71"/>
      <c r="DJ1052" s="71"/>
      <c r="DK1052" s="71"/>
      <c r="DL1052" s="71"/>
    </row>
    <row r="1053">
      <c r="A1053" s="44">
        <v>1053.0</v>
      </c>
      <c r="B1053" s="129" t="s">
        <v>114</v>
      </c>
      <c r="C1053" s="62" t="s">
        <v>115</v>
      </c>
      <c r="D1053" s="62" t="s">
        <v>248</v>
      </c>
      <c r="E1053" s="365"/>
      <c r="F1053" s="126" t="s">
        <v>5755</v>
      </c>
      <c r="G1053" s="119" t="s">
        <v>5756</v>
      </c>
      <c r="H1053" s="140" t="s">
        <v>249</v>
      </c>
      <c r="I1053" s="317">
        <v>45665.0</v>
      </c>
      <c r="J1053" s="1326">
        <v>45692.0</v>
      </c>
      <c r="K1053" s="670" t="s">
        <v>5765</v>
      </c>
      <c r="L1053" s="125" t="s">
        <v>5766</v>
      </c>
      <c r="M1053" s="140" t="s">
        <v>5758</v>
      </c>
      <c r="N1053" s="140" t="s">
        <v>5759</v>
      </c>
      <c r="O1053" s="125"/>
      <c r="P1053" s="140" t="str">
        <f t="shared" si="60"/>
        <v>10.1037--0022-3514.94.2.94.2.231.pdf</v>
      </c>
      <c r="Q1053" s="52" t="str">
        <f t="array" ref="Q1053"> if(iserror(MATCH(V1053, 'File Links'!C:C, 0)), "N/A", HYPERLINK(INDEX('File Links'!B:B, MATCH(P1053, 'File Links'!C:C, 0))))</f>
        <v>https://drive.google.com/file/d/15DQQpECVr9NdJZ7O7RNWRdNwXQ6KQeXe/view?usp=drivesdk</v>
      </c>
      <c r="R1053" s="140" t="s">
        <v>5767</v>
      </c>
      <c r="S1053" s="159" t="s">
        <v>3654</v>
      </c>
      <c r="T1053" s="147" t="s">
        <v>138</v>
      </c>
      <c r="U1053" s="147" t="s">
        <v>138</v>
      </c>
      <c r="V1053" s="198" t="str">
        <f t="shared" si="57"/>
        <v>10.1098--rsos.231240.pdf</v>
      </c>
      <c r="W1053" s="140" t="s">
        <v>324</v>
      </c>
      <c r="X1053" s="54" t="str">
        <f t="array" ref="X1053"> if(iserror(MATCH(V1053, 'File Links'!C:C, 0)), "N/A", HYPERLINK(INDEX('File Links'!B:B, MATCH(V1053, 'File Links'!C:C, 0))))</f>
        <v>https://drive.google.com/file/d/17gaf2Zy_ljFfcAEDk5L8GBnTl5i7RGJE/view?usp=drivesdk</v>
      </c>
      <c r="Y1053" s="125"/>
      <c r="Z1053" s="140" t="s">
        <v>226</v>
      </c>
      <c r="AA1053" s="125"/>
      <c r="AB1053" s="140" t="s">
        <v>5768</v>
      </c>
      <c r="AC1053" s="125"/>
      <c r="AD1053" s="140" t="s">
        <v>5769</v>
      </c>
      <c r="AE1053" s="782">
        <v>241.0</v>
      </c>
      <c r="AF1053" s="782">
        <v>155.0</v>
      </c>
      <c r="AG1053" s="140" t="s">
        <v>138</v>
      </c>
      <c r="AH1053" s="167" t="s">
        <v>138</v>
      </c>
      <c r="AI1053" s="140" t="s">
        <v>138</v>
      </c>
      <c r="AJ1053" s="223" t="s">
        <v>138</v>
      </c>
      <c r="AK1053" s="126" t="s">
        <v>172</v>
      </c>
      <c r="AL1053" s="126" t="s">
        <v>186</v>
      </c>
      <c r="AM1053" s="140" t="s">
        <v>1905</v>
      </c>
      <c r="AN1053" s="1322" t="s">
        <v>138</v>
      </c>
      <c r="AO1053" s="782">
        <v>215.0</v>
      </c>
      <c r="AP1053" s="140" t="s">
        <v>138</v>
      </c>
      <c r="AQ1053" s="125"/>
      <c r="AR1053" s="1322" t="s">
        <v>5604</v>
      </c>
      <c r="AS1053" s="140" t="s">
        <v>138</v>
      </c>
      <c r="AT1053" s="125"/>
      <c r="AU1053" s="140" t="s">
        <v>186</v>
      </c>
      <c r="AV1053" s="140" t="s">
        <v>1905</v>
      </c>
      <c r="AW1053" s="1323" t="s">
        <v>138</v>
      </c>
      <c r="AX1053" s="140" t="s">
        <v>143</v>
      </c>
      <c r="AY1053" s="61" t="str">
        <f>IFERROR(__xludf.DUMMYFUNCTION("vlookup(BB1053,importrange(""https://docs.google.com/spreadsheets/d/1d2vevQ_7D_v35q4wCQ4RpQ_IPoTwEMB9Yp6ymwlPqew/edit?gid=984458430#gid=984458430"", ""'replication success'!A:K""), 11, FAlSE)"),"")</f>
        <v/>
      </c>
      <c r="AZ1053" s="61" t="str">
        <f>IFERROR(__xludf.DUMMYFUNCTION("vlookup(BB1053,importrange(""https://docs.google.com/spreadsheets/d/1d2vevQ_7D_v35q4wCQ4RpQ_IPoTwEMB9Yp6ymwlPqew/edit?gid=984458430#gid=984458430"", ""'replication success'!A:M""), 12, FAlSE)"),"")</f>
        <v/>
      </c>
      <c r="BA1053" s="61" t="str">
        <f>IFERROR(__xludf.DUMMYFUNCTION("vlookup(BB1053,importrange(""https://docs.google.com/spreadsheets/d/1d2vevQ_7D_v35q4wCQ4RpQ_IPoTwEMB9Yp6ymwlPqew/edit?gid=984458430#gid=984458430"",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v>
      </c>
      <c r="BB1053" s="61" t="str">
        <f>IFERROR(__xludf.DUMMYFUNCTION("REGEXREPLACE(G1053, ""_[a-z]{1,2}$"", """")"),"Boyce_etal202339")</f>
        <v>Boyce_etal202339</v>
      </c>
      <c r="BD1053" s="1322" t="s">
        <v>5605</v>
      </c>
      <c r="BI1053" s="71"/>
      <c r="BJ1053" s="71"/>
      <c r="BK1053" s="71"/>
      <c r="BL1053" s="71"/>
      <c r="BM1053" s="71"/>
      <c r="BN1053" s="71"/>
      <c r="BO1053" s="71"/>
      <c r="BP1053" s="71"/>
      <c r="BQ1053" s="71"/>
      <c r="BR1053" s="71"/>
      <c r="BS1053" s="71"/>
      <c r="BT1053" s="71"/>
      <c r="BU1053" s="71"/>
      <c r="BV1053" s="71"/>
      <c r="BW1053" s="71"/>
      <c r="BX1053" s="71"/>
      <c r="BY1053" s="71"/>
      <c r="BZ1053" s="71"/>
      <c r="CA1053" s="71"/>
      <c r="CB1053" s="71"/>
      <c r="CC1053" s="71"/>
      <c r="CD1053" s="71"/>
      <c r="CE1053" s="71"/>
      <c r="CF1053" s="71"/>
      <c r="CG1053" s="71"/>
      <c r="CH1053" s="71"/>
      <c r="CI1053" s="71"/>
      <c r="CJ1053" s="71"/>
      <c r="CK1053" s="71"/>
      <c r="CL1053" s="71"/>
      <c r="CM1053" s="71"/>
      <c r="CN1053" s="71"/>
      <c r="CO1053" s="71"/>
      <c r="CP1053" s="71"/>
      <c r="CQ1053" s="71"/>
      <c r="CR1053" s="71"/>
      <c r="CS1053" s="71"/>
      <c r="CT1053" s="71"/>
      <c r="CU1053" s="71"/>
      <c r="CV1053" s="71"/>
      <c r="CW1053" s="71"/>
      <c r="CX1053" s="71"/>
      <c r="CY1053" s="71"/>
      <c r="CZ1053" s="71"/>
      <c r="DA1053" s="71"/>
      <c r="DB1053" s="71"/>
      <c r="DC1053" s="71"/>
      <c r="DD1053" s="71"/>
      <c r="DE1053" s="71"/>
      <c r="DF1053" s="71"/>
      <c r="DG1053" s="71"/>
      <c r="DH1053" s="71"/>
      <c r="DI1053" s="71"/>
      <c r="DJ1053" s="71"/>
      <c r="DK1053" s="71"/>
      <c r="DL1053" s="71"/>
    </row>
    <row r="1054">
      <c r="A1054" s="44">
        <v>1054.0</v>
      </c>
      <c r="B1054" s="68" t="s">
        <v>114</v>
      </c>
      <c r="C1054" s="62" t="s">
        <v>115</v>
      </c>
      <c r="D1054" s="62" t="s">
        <v>145</v>
      </c>
      <c r="E1054" s="365"/>
      <c r="F1054" s="1313" t="s">
        <v>5770</v>
      </c>
      <c r="G1054" s="1314" t="s">
        <v>5771</v>
      </c>
      <c r="H1054" s="1315" t="s">
        <v>5592</v>
      </c>
      <c r="I1054" s="1316">
        <v>45688.0</v>
      </c>
      <c r="J1054" s="1317">
        <v>45692.0</v>
      </c>
      <c r="K1054" s="1313"/>
      <c r="L1054" s="1313" t="s">
        <v>5594</v>
      </c>
      <c r="M1054" s="1315" t="s">
        <v>5772</v>
      </c>
      <c r="N1054" s="1315" t="s">
        <v>5773</v>
      </c>
      <c r="O1054" s="1315" t="s">
        <v>5535</v>
      </c>
      <c r="P1054" s="1315" t="s">
        <v>5774</v>
      </c>
      <c r="Q1054" s="52" t="str">
        <f t="array" ref="Q1054"> if(iserror(MATCH(V1054, 'File Links'!C:C, 0)), "N/A", HYPERLINK(INDEX('File Links'!B:B, MATCH(P1054, 'File Links'!C:C, 0))))</f>
        <v>https://drive.google.com/file/d/1tE6_KVQyfFVpIfIuz7dnWR1i8_me3TIT/view?usp=drivesdk</v>
      </c>
      <c r="R1054" s="1315" t="s">
        <v>3653</v>
      </c>
      <c r="S1054" s="159" t="s">
        <v>3654</v>
      </c>
      <c r="T1054" s="1344" t="s">
        <v>5775</v>
      </c>
      <c r="U1054" s="147" t="s">
        <v>138</v>
      </c>
      <c r="V1054" s="198" t="str">
        <f t="shared" si="57"/>
        <v>10.1098--rsos.231240.pdf</v>
      </c>
      <c r="W1054" s="140" t="s">
        <v>3804</v>
      </c>
      <c r="X1054" s="54" t="str">
        <f t="array" ref="X1054"> if(iserror(MATCH(V1054, 'File Links'!C:C, 0)), "N/A", HYPERLINK(INDEX('File Links'!B:B, MATCH(V1054, 'File Links'!C:C, 0))))</f>
        <v>https://drive.google.com/file/d/17gaf2Zy_ljFfcAEDk5L8GBnTl5i7RGJE/view?usp=drivesdk</v>
      </c>
      <c r="Y1054" s="1313"/>
      <c r="Z1054" s="1315" t="s">
        <v>226</v>
      </c>
      <c r="AA1054" s="1313" t="s">
        <v>1535</v>
      </c>
      <c r="AB1054" s="1313" t="s">
        <v>5776</v>
      </c>
      <c r="AC1054" s="1315" t="s">
        <v>5777</v>
      </c>
      <c r="AD1054" s="1313" t="s">
        <v>1535</v>
      </c>
      <c r="AE1054" s="1313" t="s">
        <v>1535</v>
      </c>
      <c r="AF1054" s="1318">
        <v>202.0</v>
      </c>
      <c r="AG1054" s="1318">
        <v>1.84377344</v>
      </c>
      <c r="AH1054" s="1315" t="s">
        <v>173</v>
      </c>
      <c r="AI1054" s="1313" t="s">
        <v>1535</v>
      </c>
      <c r="AJ1054" s="1345">
        <v>1.37237492094605E-28</v>
      </c>
      <c r="AK1054" s="1321" t="s">
        <v>172</v>
      </c>
      <c r="AL1054" s="1321" t="s">
        <v>186</v>
      </c>
      <c r="AM1054" s="1313" t="s">
        <v>137</v>
      </c>
      <c r="AN1054" s="1322" t="s">
        <v>138</v>
      </c>
      <c r="AO1054" s="1318">
        <v>53.0</v>
      </c>
      <c r="AP1054" s="1318">
        <v>1.711971789</v>
      </c>
      <c r="AQ1054" s="1315" t="s">
        <v>173</v>
      </c>
      <c r="AR1054" s="1322" t="s">
        <v>5604</v>
      </c>
      <c r="AS1054" s="1345">
        <v>1.56719549264669E-7</v>
      </c>
      <c r="AT1054" s="1313" t="s">
        <v>172</v>
      </c>
      <c r="AU1054" s="1313" t="s">
        <v>186</v>
      </c>
      <c r="AV1054" s="1313" t="s">
        <v>137</v>
      </c>
      <c r="AW1054" s="1323" t="s">
        <v>138</v>
      </c>
      <c r="AX1054" s="1313" t="s">
        <v>143</v>
      </c>
      <c r="AY1054" s="61" t="str">
        <f>IFERROR(__xludf.DUMMYFUNCTION("vlookup(BB1054,importrange(""https://docs.google.com/spreadsheets/d/1d2vevQ_7D_v35q4wCQ4RpQ_IPoTwEMB9Yp6ymwlPqew/edit?gid=984458430#gid=984458430"", ""'replication success'!A:K""), 11, FAlSE)"),"successful")</f>
        <v>successful</v>
      </c>
      <c r="AZ1054" s="61" t="str">
        <f>IFERROR(__xludf.DUMMYFUNCTION("vlookup(BB1054,importrange(""https://docs.google.com/spreadsheets/d/1d2vevQ_7D_v35q4wCQ4RpQ_IPoTwEMB9Yp6ymwlPqew/edit?gid=984458430#gid=984458430"",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54" s="61" t="str">
        <f>IFERROR(__xludf.DUMMYFUNCTION("vlookup(BB1054,importrange(""https://docs.google.com/spreadsheets/d/1d2vevQ_7D_v35q4wCQ4RpQ_IPoTwEMB9Yp6ymwlPqew/edit?gid=984458430#gid=984458430"",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v>
      </c>
      <c r="BB1054" s="61" t="str">
        <f>IFERROR(__xludf.DUMMYFUNCTION("REGEXREPLACE(G1054, ""_[a-z]{1,2}$"", """")"),"Boyce_etal20234")</f>
        <v>Boyce_etal20234</v>
      </c>
      <c r="BD1054" s="1322" t="s">
        <v>5605</v>
      </c>
      <c r="BF1054" s="71"/>
      <c r="BG1054" s="71"/>
      <c r="BH1054" s="71"/>
      <c r="BI1054" s="71"/>
      <c r="BJ1054" s="71"/>
      <c r="BK1054" s="71"/>
      <c r="BL1054" s="71"/>
      <c r="BM1054" s="71"/>
      <c r="BN1054" s="71"/>
      <c r="BO1054" s="71"/>
      <c r="BP1054" s="71"/>
      <c r="BQ1054" s="71"/>
      <c r="BR1054" s="71"/>
      <c r="BS1054" s="71"/>
      <c r="BT1054" s="71"/>
      <c r="BU1054" s="71"/>
      <c r="BV1054" s="71"/>
      <c r="BW1054" s="71"/>
      <c r="BX1054" s="71"/>
      <c r="BY1054" s="71"/>
      <c r="BZ1054" s="71"/>
      <c r="CA1054" s="71"/>
      <c r="CB1054" s="71"/>
      <c r="CC1054" s="71"/>
      <c r="CD1054" s="71"/>
      <c r="CE1054" s="71"/>
      <c r="CF1054" s="71"/>
      <c r="CG1054" s="71"/>
      <c r="CH1054" s="71"/>
      <c r="CI1054" s="71"/>
      <c r="CJ1054" s="71"/>
      <c r="CK1054" s="71"/>
      <c r="CL1054" s="71"/>
      <c r="CM1054" s="71"/>
      <c r="CN1054" s="71"/>
      <c r="CO1054" s="71"/>
      <c r="CP1054" s="71"/>
      <c r="CQ1054" s="71"/>
      <c r="CR1054" s="71"/>
      <c r="CS1054" s="71"/>
      <c r="CT1054" s="71"/>
      <c r="CU1054" s="71"/>
      <c r="CV1054" s="71"/>
      <c r="CW1054" s="71"/>
      <c r="CX1054" s="71"/>
      <c r="CY1054" s="71"/>
      <c r="CZ1054" s="71"/>
      <c r="DA1054" s="71"/>
      <c r="DB1054" s="71"/>
      <c r="DC1054" s="71"/>
      <c r="DD1054" s="71"/>
      <c r="DE1054" s="71"/>
      <c r="DF1054" s="71"/>
      <c r="DG1054" s="71"/>
      <c r="DH1054" s="71"/>
      <c r="DI1054" s="71"/>
      <c r="DJ1054" s="71"/>
      <c r="DK1054" s="71"/>
      <c r="DL1054" s="71"/>
    </row>
    <row r="1055">
      <c r="A1055" s="44">
        <v>1055.0</v>
      </c>
      <c r="B1055" s="129" t="s">
        <v>152</v>
      </c>
      <c r="C1055" s="62" t="s">
        <v>115</v>
      </c>
      <c r="D1055" s="62" t="s">
        <v>248</v>
      </c>
      <c r="E1055" s="365"/>
      <c r="F1055" s="126" t="s">
        <v>5770</v>
      </c>
      <c r="G1055" s="119" t="s">
        <v>5771</v>
      </c>
      <c r="H1055" s="140" t="s">
        <v>249</v>
      </c>
      <c r="I1055" s="317">
        <v>45663.0</v>
      </c>
      <c r="J1055" s="1326">
        <v>45692.0</v>
      </c>
      <c r="K1055" s="125"/>
      <c r="L1055" s="125" t="s">
        <v>5594</v>
      </c>
      <c r="M1055" s="140" t="s">
        <v>5772</v>
      </c>
      <c r="N1055" s="140" t="s">
        <v>5773</v>
      </c>
      <c r="O1055" s="125"/>
      <c r="P1055" s="140" t="str">
        <f t="shared" ref="P1055:P1063" si="61"> SUBSTITUTE(lower(N1055), "/", "--") &amp;  ".pdf"</f>
        <v>10.1177--0956797615588195.pdf</v>
      </c>
      <c r="Q1055" s="52" t="str">
        <f t="array" ref="Q1055"> if(iserror(MATCH(V1055, 'File Links'!C:C, 0)), "N/A", HYPERLINK(INDEX('File Links'!B:B, MATCH(P1055, 'File Links'!C:C, 0))))</f>
        <v>https://drive.google.com/file/d/1tE6_KVQyfFVpIfIuz7dnWR1i8_me3TIT/view?usp=drivesdk</v>
      </c>
      <c r="R1055" s="140" t="s">
        <v>5778</v>
      </c>
      <c r="S1055" s="159" t="s">
        <v>3654</v>
      </c>
      <c r="T1055" s="781" t="s">
        <v>5775</v>
      </c>
      <c r="U1055" s="147" t="s">
        <v>138</v>
      </c>
      <c r="V1055" s="198" t="str">
        <f t="shared" si="57"/>
        <v>10.1098--rsos.231240.pdf</v>
      </c>
      <c r="W1055" s="140" t="s">
        <v>3804</v>
      </c>
      <c r="X1055" s="54" t="str">
        <f t="array" ref="X1055"> if(iserror(MATCH(V1055, 'File Links'!C:C, 0)), "N/A", HYPERLINK(INDEX('File Links'!B:B, MATCH(V1055, 'File Links'!C:C, 0))))</f>
        <v>https://drive.google.com/file/d/17gaf2Zy_ljFfcAEDk5L8GBnTl5i7RGJE/view?usp=drivesdk</v>
      </c>
      <c r="Y1055" s="125"/>
      <c r="Z1055" s="140" t="s">
        <v>226</v>
      </c>
      <c r="AA1055" s="125"/>
      <c r="AB1055" s="125"/>
      <c r="AC1055" s="125"/>
      <c r="AD1055" s="140" t="s">
        <v>5779</v>
      </c>
      <c r="AE1055" s="782">
        <v>3.0</v>
      </c>
      <c r="AF1055" s="225">
        <v>201.0</v>
      </c>
      <c r="AG1055" s="225" t="s">
        <v>5780</v>
      </c>
      <c r="AH1055" s="119" t="s">
        <v>134</v>
      </c>
      <c r="AI1055" s="1346" t="s">
        <v>5781</v>
      </c>
      <c r="AJ1055" s="133">
        <v>0.01</v>
      </c>
      <c r="AK1055" s="126" t="s">
        <v>135</v>
      </c>
      <c r="AL1055" s="126" t="s">
        <v>186</v>
      </c>
      <c r="AM1055" s="140" t="s">
        <v>137</v>
      </c>
      <c r="AN1055" s="1322" t="s">
        <v>138</v>
      </c>
      <c r="AO1055" s="782">
        <v>53.0</v>
      </c>
      <c r="AP1055" s="782">
        <v>1.711971788604</v>
      </c>
      <c r="AQ1055" s="140" t="s">
        <v>173</v>
      </c>
      <c r="AR1055" s="1322" t="s">
        <v>5604</v>
      </c>
      <c r="AS1055" s="1343">
        <v>1.56719549264669E-7</v>
      </c>
      <c r="AT1055" s="140" t="s">
        <v>172</v>
      </c>
      <c r="AU1055" s="140" t="s">
        <v>186</v>
      </c>
      <c r="AV1055" s="140" t="s">
        <v>137</v>
      </c>
      <c r="AW1055" s="1323" t="s">
        <v>138</v>
      </c>
      <c r="AX1055" s="140" t="s">
        <v>143</v>
      </c>
      <c r="AY1055" s="61" t="str">
        <f>IFERROR(__xludf.DUMMYFUNCTION("vlookup(BB1055,importrange(""https://docs.google.com/spreadsheets/d/1d2vevQ_7D_v35q4wCQ4RpQ_IPoTwEMB9Yp6ymwlPqew/edit?gid=984458430#gid=984458430"", ""'replication success'!A:K""), 11, FAlSE)"),"successful")</f>
        <v>successful</v>
      </c>
      <c r="AZ1055" s="61" t="str">
        <f>IFERROR(__xludf.DUMMYFUNCTION("vlookup(BB1055,importrange(""https://docs.google.com/spreadsheets/d/1d2vevQ_7D_v35q4wCQ4RpQ_IPoTwEMB9Yp6ymwlPqew/edit?gid=984458430#gid=984458430"",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55" s="61" t="str">
        <f>IFERROR(__xludf.DUMMYFUNCTION("vlookup(BB1055,importrange(""https://docs.google.com/spreadsheets/d/1d2vevQ_7D_v35q4wCQ4RpQ_IPoTwEMB9Yp6ymwlPqew/edit?gid=984458430#gid=984458430"",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v>
      </c>
      <c r="BB1055" s="61" t="str">
        <f>IFERROR(__xludf.DUMMYFUNCTION("REGEXREPLACE(G1055, ""_[a-z]{1,2}$"", """")"),"Boyce_etal20234")</f>
        <v>Boyce_etal20234</v>
      </c>
      <c r="BD1055" s="1322" t="s">
        <v>5605</v>
      </c>
      <c r="BF1055" s="71"/>
      <c r="BG1055" s="71"/>
      <c r="BH1055" s="71"/>
      <c r="BI1055" s="71"/>
      <c r="BJ1055" s="71"/>
      <c r="BK1055" s="71"/>
      <c r="BL1055" s="71"/>
      <c r="BM1055" s="71"/>
      <c r="BN1055" s="71"/>
      <c r="BO1055" s="71"/>
      <c r="BP1055" s="71"/>
      <c r="BQ1055" s="71"/>
      <c r="BR1055" s="71"/>
      <c r="BS1055" s="71"/>
      <c r="BT1055" s="71"/>
      <c r="BU1055" s="71"/>
      <c r="BV1055" s="71"/>
      <c r="BW1055" s="71"/>
      <c r="BX1055" s="71"/>
      <c r="BY1055" s="71"/>
      <c r="BZ1055" s="71"/>
      <c r="CA1055" s="71"/>
      <c r="CB1055" s="71"/>
      <c r="CC1055" s="71"/>
      <c r="CD1055" s="71"/>
      <c r="CE1055" s="71"/>
      <c r="CF1055" s="71"/>
      <c r="CG1055" s="71"/>
      <c r="CH1055" s="71"/>
      <c r="CI1055" s="71"/>
      <c r="CJ1055" s="71"/>
      <c r="CK1055" s="71"/>
      <c r="CL1055" s="71"/>
      <c r="CM1055" s="71"/>
      <c r="CN1055" s="71"/>
      <c r="CO1055" s="71"/>
      <c r="CP1055" s="71"/>
      <c r="CQ1055" s="71"/>
      <c r="CR1055" s="71"/>
      <c r="CS1055" s="71"/>
      <c r="CT1055" s="71"/>
      <c r="CU1055" s="71"/>
      <c r="CV1055" s="71"/>
      <c r="CW1055" s="71"/>
      <c r="CX1055" s="71"/>
      <c r="CY1055" s="71"/>
      <c r="CZ1055" s="71"/>
      <c r="DA1055" s="71"/>
      <c r="DB1055" s="71"/>
      <c r="DC1055" s="71"/>
      <c r="DD1055" s="71"/>
      <c r="DE1055" s="71"/>
      <c r="DF1055" s="71"/>
      <c r="DG1055" s="71"/>
      <c r="DH1055" s="71"/>
      <c r="DI1055" s="71"/>
      <c r="DJ1055" s="71"/>
      <c r="DK1055" s="71"/>
      <c r="DL1055" s="71"/>
    </row>
    <row r="1056">
      <c r="A1056" s="44">
        <v>1056.0</v>
      </c>
      <c r="B1056" s="129" t="s">
        <v>152</v>
      </c>
      <c r="C1056" s="62" t="s">
        <v>115</v>
      </c>
      <c r="D1056" s="62" t="s">
        <v>145</v>
      </c>
      <c r="E1056" s="365"/>
      <c r="F1056" s="1313" t="s">
        <v>5782</v>
      </c>
      <c r="G1056" s="1314" t="s">
        <v>5783</v>
      </c>
      <c r="H1056" s="1315" t="s">
        <v>5592</v>
      </c>
      <c r="I1056" s="1316">
        <v>45688.0</v>
      </c>
      <c r="J1056" s="1317">
        <v>45692.0</v>
      </c>
      <c r="K1056" s="1313"/>
      <c r="L1056" s="1313" t="s">
        <v>5594</v>
      </c>
      <c r="M1056" s="1315" t="s">
        <v>5784</v>
      </c>
      <c r="N1056" s="1313" t="s">
        <v>5785</v>
      </c>
      <c r="O1056" s="1318">
        <v>3.0</v>
      </c>
      <c r="P1056" s="140" t="str">
        <f t="shared" si="61"/>
        <v>10.1371--journal.pone.0071475.pdf</v>
      </c>
      <c r="Q1056" s="52" t="str">
        <f t="array" ref="Q1056"> if(iserror(MATCH(V1056, 'File Links'!C:C, 0)), "N/A", HYPERLINK(INDEX('File Links'!B:B, MATCH(P1056, 'File Links'!C:C, 0))))</f>
        <v>https://drive.google.com/file/d/10y7q496AX6_0sM8VYpwXFE_CfW3qWVER/view?usp=drivesdk</v>
      </c>
      <c r="R1056" s="1315" t="s">
        <v>3653</v>
      </c>
      <c r="S1056" s="159" t="s">
        <v>3654</v>
      </c>
      <c r="T1056" s="147" t="s">
        <v>138</v>
      </c>
      <c r="U1056" s="147" t="s">
        <v>138</v>
      </c>
      <c r="V1056" s="198" t="str">
        <f t="shared" si="57"/>
        <v>10.1098--rsos.231240.pdf</v>
      </c>
      <c r="W1056" s="140" t="s">
        <v>324</v>
      </c>
      <c r="X1056" s="54" t="str">
        <f t="array" ref="X1056"> if(iserror(MATCH(V1056, 'File Links'!C:C, 0)), "N/A", HYPERLINK(INDEX('File Links'!B:B, MATCH(V1056, 'File Links'!C:C, 0))))</f>
        <v>https://drive.google.com/file/d/17gaf2Zy_ljFfcAEDk5L8GBnTl5i7RGJE/view?usp=drivesdk</v>
      </c>
      <c r="Y1056" s="1313"/>
      <c r="Z1056" s="1315" t="s">
        <v>226</v>
      </c>
      <c r="AA1056" s="1313" t="s">
        <v>5786</v>
      </c>
      <c r="AB1056" s="1313" t="s">
        <v>5787</v>
      </c>
      <c r="AC1056" s="1315" t="s">
        <v>5788</v>
      </c>
      <c r="AD1056" s="1313" t="s">
        <v>5789</v>
      </c>
      <c r="AE1056" s="1341">
        <v>7.0</v>
      </c>
      <c r="AF1056" s="1318">
        <v>430.0</v>
      </c>
      <c r="AG1056" s="1322" t="s">
        <v>5790</v>
      </c>
      <c r="AH1056" s="1322" t="s">
        <v>134</v>
      </c>
      <c r="AI1056" s="1313" t="s">
        <v>132</v>
      </c>
      <c r="AJ1056" s="1325">
        <v>0.03</v>
      </c>
      <c r="AK1056" s="1321" t="s">
        <v>172</v>
      </c>
      <c r="AL1056" s="1321" t="s">
        <v>186</v>
      </c>
      <c r="AM1056" s="1313" t="s">
        <v>137</v>
      </c>
      <c r="AN1056" s="1322" t="s">
        <v>138</v>
      </c>
      <c r="AO1056" s="1318">
        <v>36.0</v>
      </c>
      <c r="AP1056" s="1341">
        <v>0.67703646753951</v>
      </c>
      <c r="AQ1056" s="1313" t="s">
        <v>173</v>
      </c>
      <c r="AR1056" s="1322" t="s">
        <v>5604</v>
      </c>
      <c r="AS1056" s="1341">
        <v>0.0469833588964036</v>
      </c>
      <c r="AT1056" s="1313" t="s">
        <v>172</v>
      </c>
      <c r="AU1056" s="1313" t="s">
        <v>186</v>
      </c>
      <c r="AV1056" s="1313" t="s">
        <v>137</v>
      </c>
      <c r="AW1056" s="1323" t="s">
        <v>138</v>
      </c>
      <c r="AX1056" s="1313" t="s">
        <v>143</v>
      </c>
      <c r="AY1056" s="61" t="str">
        <f>IFERROR(__xludf.DUMMYFUNCTION("vlookup(BB1056,importrange(""https://docs.google.com/spreadsheets/d/1d2vevQ_7D_v35q4wCQ4RpQ_IPoTwEMB9Yp6ymwlPqew/edit?gid=984458430#gid=984458430"", ""'replication success'!A:K""), 11, FAlSE)"),"successful")</f>
        <v>successful</v>
      </c>
      <c r="AZ1056" s="61" t="str">
        <f>IFERROR(__xludf.DUMMYFUNCTION("vlookup(BB1056,importrange(""https://docs.google.com/spreadsheets/d/1d2vevQ_7D_v35q4wCQ4RpQ_IPoTwEMB9Yp6ymwlPqew/edit?gid=984458430#gid=984458430"",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56" s="61" t="str">
        <f>IFERROR(__xludf.DUMMYFUNCTION("vlookup(BB1056,importrange(""https://docs.google.com/spreadsheets/d/1d2vevQ_7D_v35q4wCQ4RpQ_IPoTwEMB9Yp6ymwlPqew/edit?gid=984458430#gid=984458430"",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v>
      </c>
      <c r="BB1056" s="61" t="str">
        <f>IFERROR(__xludf.DUMMYFUNCTION("REGEXREPLACE(G1056, ""_[a-z]{1,2}$"", """")"),"Boyce_etal202340")</f>
        <v>Boyce_etal202340</v>
      </c>
      <c r="BD1056" s="1322" t="s">
        <v>5605</v>
      </c>
      <c r="BF1056" s="71"/>
      <c r="BG1056" s="71"/>
      <c r="BH1056" s="71"/>
      <c r="BI1056" s="71"/>
      <c r="BJ1056" s="71"/>
      <c r="BK1056" s="71"/>
      <c r="BL1056" s="71"/>
      <c r="BM1056" s="71"/>
      <c r="BN1056" s="71"/>
      <c r="BO1056" s="71"/>
      <c r="BP1056" s="71"/>
      <c r="BQ1056" s="71"/>
      <c r="BR1056" s="71"/>
      <c r="BS1056" s="71"/>
      <c r="BT1056" s="71"/>
      <c r="BU1056" s="71"/>
      <c r="BV1056" s="71"/>
      <c r="BW1056" s="71"/>
      <c r="BX1056" s="71"/>
      <c r="BY1056" s="71"/>
      <c r="BZ1056" s="71"/>
      <c r="CA1056" s="71"/>
      <c r="CB1056" s="71"/>
      <c r="CC1056" s="71"/>
      <c r="CD1056" s="71"/>
      <c r="CE1056" s="71"/>
      <c r="CF1056" s="71"/>
      <c r="CG1056" s="71"/>
      <c r="CH1056" s="71"/>
      <c r="CI1056" s="71"/>
      <c r="CJ1056" s="71"/>
      <c r="CK1056" s="71"/>
      <c r="CL1056" s="71"/>
      <c r="CM1056" s="71"/>
      <c r="CN1056" s="71"/>
      <c r="CO1056" s="71"/>
      <c r="CP1056" s="71"/>
      <c r="CQ1056" s="71"/>
      <c r="CR1056" s="71"/>
      <c r="CS1056" s="71"/>
      <c r="CT1056" s="71"/>
      <c r="CU1056" s="71"/>
      <c r="CV1056" s="71"/>
      <c r="CW1056" s="71"/>
      <c r="CX1056" s="71"/>
      <c r="CY1056" s="71"/>
      <c r="CZ1056" s="71"/>
      <c r="DA1056" s="71"/>
      <c r="DB1056" s="71"/>
      <c r="DC1056" s="71"/>
      <c r="DD1056" s="71"/>
      <c r="DE1056" s="71"/>
      <c r="DF1056" s="71"/>
      <c r="DG1056" s="71"/>
      <c r="DH1056" s="71"/>
      <c r="DI1056" s="71"/>
      <c r="DJ1056" s="71"/>
      <c r="DK1056" s="71"/>
      <c r="DL1056" s="71"/>
    </row>
    <row r="1057">
      <c r="A1057" s="44">
        <v>1057.0</v>
      </c>
      <c r="B1057" s="129" t="s">
        <v>114</v>
      </c>
      <c r="C1057" s="62" t="s">
        <v>115</v>
      </c>
      <c r="D1057" s="62" t="s">
        <v>145</v>
      </c>
      <c r="E1057" s="365"/>
      <c r="F1057" s="1313" t="s">
        <v>5782</v>
      </c>
      <c r="G1057" s="1314" t="s">
        <v>5791</v>
      </c>
      <c r="H1057" s="1315" t="s">
        <v>5592</v>
      </c>
      <c r="I1057" s="1316">
        <v>45688.0</v>
      </c>
      <c r="J1057" s="1317">
        <v>45692.0</v>
      </c>
      <c r="K1057" s="1313"/>
      <c r="L1057" s="1313" t="s">
        <v>5594</v>
      </c>
      <c r="M1057" s="1315" t="s">
        <v>5784</v>
      </c>
      <c r="N1057" s="1313" t="s">
        <v>5785</v>
      </c>
      <c r="O1057" s="1318">
        <v>3.0</v>
      </c>
      <c r="P1057" s="140" t="str">
        <f t="shared" si="61"/>
        <v>10.1371--journal.pone.0071475.pdf</v>
      </c>
      <c r="Q1057" s="52" t="str">
        <f t="array" ref="Q1057"> if(iserror(MATCH(V1057, 'File Links'!C:C, 0)), "N/A", HYPERLINK(INDEX('File Links'!B:B, MATCH(P1057, 'File Links'!C:C, 0))))</f>
        <v>https://drive.google.com/file/d/10y7q496AX6_0sM8VYpwXFE_CfW3qWVER/view?usp=drivesdk</v>
      </c>
      <c r="R1057" s="1315" t="s">
        <v>3653</v>
      </c>
      <c r="S1057" s="159" t="s">
        <v>3654</v>
      </c>
      <c r="T1057" s="147" t="s">
        <v>138</v>
      </c>
      <c r="U1057" s="147" t="s">
        <v>138</v>
      </c>
      <c r="V1057" s="198" t="str">
        <f t="shared" si="57"/>
        <v>10.1098--rsos.231240.pdf</v>
      </c>
      <c r="W1057" s="140" t="s">
        <v>324</v>
      </c>
      <c r="X1057" s="54" t="str">
        <f t="array" ref="X1057"> if(iserror(MATCH(V1057, 'File Links'!C:C, 0)), "N/A", HYPERLINK(INDEX('File Links'!B:B, MATCH(V1057, 'File Links'!C:C, 0))))</f>
        <v>https://drive.google.com/file/d/17gaf2Zy_ljFfcAEDk5L8GBnTl5i7RGJE/view?usp=drivesdk</v>
      </c>
      <c r="Y1057" s="1313"/>
      <c r="Z1057" s="1315" t="s">
        <v>226</v>
      </c>
      <c r="AA1057" s="1313" t="s">
        <v>5786</v>
      </c>
      <c r="AB1057" s="1313" t="s">
        <v>5787</v>
      </c>
      <c r="AC1057" s="1315" t="s">
        <v>5792</v>
      </c>
      <c r="AD1057" s="1313" t="s">
        <v>5793</v>
      </c>
      <c r="AE1057" s="1341">
        <v>7.0</v>
      </c>
      <c r="AF1057" s="1318">
        <v>430.0</v>
      </c>
      <c r="AG1057" s="1313" t="s">
        <v>5794</v>
      </c>
      <c r="AH1057" s="1322" t="s">
        <v>134</v>
      </c>
      <c r="AI1057" s="1313" t="s">
        <v>132</v>
      </c>
      <c r="AJ1057" s="1325">
        <v>0.02</v>
      </c>
      <c r="AK1057" s="1321" t="s">
        <v>172</v>
      </c>
      <c r="AL1057" s="1321" t="s">
        <v>186</v>
      </c>
      <c r="AM1057" s="1313" t="s">
        <v>137</v>
      </c>
      <c r="AN1057" s="1322" t="s">
        <v>138</v>
      </c>
      <c r="AO1057" s="1318">
        <v>36.0</v>
      </c>
      <c r="AP1057" s="1341">
        <v>0.67703646753951</v>
      </c>
      <c r="AQ1057" s="1313" t="s">
        <v>173</v>
      </c>
      <c r="AR1057" s="1322" t="s">
        <v>5604</v>
      </c>
      <c r="AS1057" s="1341">
        <v>0.0469833588964036</v>
      </c>
      <c r="AT1057" s="1313" t="s">
        <v>172</v>
      </c>
      <c r="AU1057" s="1313" t="s">
        <v>186</v>
      </c>
      <c r="AV1057" s="1313" t="s">
        <v>137</v>
      </c>
      <c r="AW1057" s="1323" t="s">
        <v>138</v>
      </c>
      <c r="AX1057" s="1313" t="s">
        <v>143</v>
      </c>
      <c r="AY1057" s="61" t="str">
        <f>IFERROR(__xludf.DUMMYFUNCTION("vlookup(BB1057,importrange(""https://docs.google.com/spreadsheets/d/1d2vevQ_7D_v35q4wCQ4RpQ_IPoTwEMB9Yp6ymwlPqew/edit?gid=984458430#gid=984458430"", ""'replication success'!A:K""), 11, FAlSE)"),"successful")</f>
        <v>successful</v>
      </c>
      <c r="AZ1057" s="61" t="str">
        <f>IFERROR(__xludf.DUMMYFUNCTION("vlookup(BB1057,importrange(""https://docs.google.com/spreadsheets/d/1d2vevQ_7D_v35q4wCQ4RpQ_IPoTwEMB9Yp6ymwlPqew/edit?gid=984458430#gid=984458430"",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57" s="61" t="str">
        <f>IFERROR(__xludf.DUMMYFUNCTION("vlookup(BB1057,importrange(""https://docs.google.com/spreadsheets/d/1d2vevQ_7D_v35q4wCQ4RpQ_IPoTwEMB9Yp6ymwlPqew/edit?gid=984458430#gid=984458430"",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v>
      </c>
      <c r="BB1057" s="61" t="str">
        <f>IFERROR(__xludf.DUMMYFUNCTION("REGEXREPLACE(G1057, ""_[a-z]{1,2}$"", """")"),"Boyce_etal202340")</f>
        <v>Boyce_etal202340</v>
      </c>
      <c r="BD1057" s="1322" t="s">
        <v>5605</v>
      </c>
    </row>
    <row r="1058">
      <c r="A1058" s="44">
        <v>1058.0</v>
      </c>
      <c r="B1058" s="129" t="s">
        <v>114</v>
      </c>
      <c r="C1058" s="62" t="s">
        <v>115</v>
      </c>
      <c r="D1058" s="62" t="s">
        <v>248</v>
      </c>
      <c r="E1058" s="365"/>
      <c r="F1058" s="126" t="s">
        <v>5782</v>
      </c>
      <c r="G1058" s="119" t="s">
        <v>5783</v>
      </c>
      <c r="H1058" s="140" t="s">
        <v>249</v>
      </c>
      <c r="I1058" s="317">
        <v>45665.0</v>
      </c>
      <c r="J1058" s="1326">
        <v>45692.0</v>
      </c>
      <c r="K1058" s="125"/>
      <c r="L1058" s="125" t="s">
        <v>5594</v>
      </c>
      <c r="M1058" s="140" t="s">
        <v>5784</v>
      </c>
      <c r="N1058" s="140" t="s">
        <v>5785</v>
      </c>
      <c r="O1058" s="125"/>
      <c r="P1058" s="140" t="str">
        <f t="shared" si="61"/>
        <v>10.1371--journal.pone.0071475.pdf</v>
      </c>
      <c r="Q1058" s="52" t="str">
        <f t="array" ref="Q1058"> if(iserror(MATCH(V1058, 'File Links'!C:C, 0)), "N/A", HYPERLINK(INDEX('File Links'!B:B, MATCH(P1058, 'File Links'!C:C, 0))))</f>
        <v>https://drive.google.com/file/d/10y7q496AX6_0sM8VYpwXFE_CfW3qWVER/view?usp=drivesdk</v>
      </c>
      <c r="R1058" s="140" t="s">
        <v>5795</v>
      </c>
      <c r="S1058" s="159" t="s">
        <v>3654</v>
      </c>
      <c r="T1058" s="147" t="s">
        <v>138</v>
      </c>
      <c r="U1058" s="147" t="s">
        <v>138</v>
      </c>
      <c r="V1058" s="198" t="str">
        <f t="shared" si="57"/>
        <v>10.1098--rsos.231240.pdf</v>
      </c>
      <c r="W1058" s="140" t="s">
        <v>324</v>
      </c>
      <c r="X1058" s="54" t="str">
        <f t="array" ref="X1058"> if(iserror(MATCH(V1058, 'File Links'!C:C, 0)), "N/A", HYPERLINK(INDEX('File Links'!B:B, MATCH(V1058, 'File Links'!C:C, 0))))</f>
        <v>https://drive.google.com/file/d/17gaf2Zy_ljFfcAEDk5L8GBnTl5i7RGJE/view?usp=drivesdk</v>
      </c>
      <c r="Y1058" s="125"/>
      <c r="Z1058" s="140" t="s">
        <v>226</v>
      </c>
      <c r="AA1058" s="140" t="s">
        <v>4476</v>
      </c>
      <c r="AB1058" s="125"/>
      <c r="AC1058" s="140" t="s">
        <v>5796</v>
      </c>
      <c r="AD1058" s="140" t="s">
        <v>5797</v>
      </c>
      <c r="AE1058" s="782">
        <v>7.0</v>
      </c>
      <c r="AF1058" s="782">
        <v>430.0</v>
      </c>
      <c r="AG1058" s="225" t="s">
        <v>5798</v>
      </c>
      <c r="AH1058" s="119" t="s">
        <v>134</v>
      </c>
      <c r="AI1058" s="140" t="s">
        <v>132</v>
      </c>
      <c r="AJ1058" s="133">
        <v>0.03</v>
      </c>
      <c r="AK1058" s="126" t="s">
        <v>172</v>
      </c>
      <c r="AL1058" s="126" t="s">
        <v>186</v>
      </c>
      <c r="AM1058" s="140" t="s">
        <v>141</v>
      </c>
      <c r="AN1058" s="1322" t="s">
        <v>138</v>
      </c>
      <c r="AO1058" s="782">
        <v>36.0</v>
      </c>
      <c r="AP1058" s="782">
        <v>0.67703646753951</v>
      </c>
      <c r="AQ1058" s="140" t="s">
        <v>173</v>
      </c>
      <c r="AR1058" s="1322" t="s">
        <v>5604</v>
      </c>
      <c r="AS1058" s="782">
        <v>0.0469833588964036</v>
      </c>
      <c r="AT1058" s="140" t="s">
        <v>172</v>
      </c>
      <c r="AU1058" s="140" t="s">
        <v>186</v>
      </c>
      <c r="AV1058" s="140" t="s">
        <v>141</v>
      </c>
      <c r="AW1058" s="1323" t="s">
        <v>138</v>
      </c>
      <c r="AX1058" s="140" t="s">
        <v>143</v>
      </c>
      <c r="AY1058" s="61" t="str">
        <f>IFERROR(__xludf.DUMMYFUNCTION("vlookup(BB1058,importrange(""https://docs.google.com/spreadsheets/d/1d2vevQ_7D_v35q4wCQ4RpQ_IPoTwEMB9Yp6ymwlPqew/edit?gid=984458430#gid=984458430"", ""'replication success'!A:K""), 11, FAlSE)"),"successful")</f>
        <v>successful</v>
      </c>
      <c r="AZ1058" s="61" t="str">
        <f>IFERROR(__xludf.DUMMYFUNCTION("vlookup(BB1058,importrange(""https://docs.google.com/spreadsheets/d/1d2vevQ_7D_v35q4wCQ4RpQ_IPoTwEMB9Yp6ymwlPqew/edit?gid=984458430#gid=984458430"",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58" s="61" t="str">
        <f>IFERROR(__xludf.DUMMYFUNCTION("vlookup(BB1058,importrange(""https://docs.google.com/spreadsheets/d/1d2vevQ_7D_v35q4wCQ4RpQ_IPoTwEMB9Yp6ymwlPqew/edit?gid=984458430#gid=984458430"",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43041569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v>
      </c>
      <c r="BB1058" s="61" t="str">
        <f>IFERROR(__xludf.DUMMYFUNCTION("REGEXREPLACE(G1058, ""_[a-z]{1,2}$"", """")"),"Boyce_etal202340")</f>
        <v>Boyce_etal202340</v>
      </c>
      <c r="BD1058" s="1322" t="s">
        <v>5605</v>
      </c>
    </row>
    <row r="1059">
      <c r="A1059" s="44">
        <v>1059.0</v>
      </c>
      <c r="B1059" s="129" t="s">
        <v>152</v>
      </c>
      <c r="C1059" s="62" t="s">
        <v>115</v>
      </c>
      <c r="D1059" s="62" t="s">
        <v>145</v>
      </c>
      <c r="E1059" s="365"/>
      <c r="F1059" s="1313" t="s">
        <v>5799</v>
      </c>
      <c r="G1059" s="1314" t="s">
        <v>5800</v>
      </c>
      <c r="H1059" s="1315" t="s">
        <v>5592</v>
      </c>
      <c r="I1059" s="1316">
        <v>45688.0</v>
      </c>
      <c r="J1059" s="1317">
        <v>45692.0</v>
      </c>
      <c r="K1059" s="1313"/>
      <c r="L1059" s="1313" t="s">
        <v>5801</v>
      </c>
      <c r="M1059" s="1315" t="s">
        <v>5802</v>
      </c>
      <c r="N1059" s="1313" t="s">
        <v>5803</v>
      </c>
      <c r="O1059" s="1318">
        <v>1.0</v>
      </c>
      <c r="P1059" s="140" t="str">
        <f t="shared" si="61"/>
        <v>10.1371--journal.pone.0154854.pdf</v>
      </c>
      <c r="Q1059" s="52" t="str">
        <f t="array" ref="Q1059"> if(iserror(MATCH(V1059, 'File Links'!C:C, 0)), "N/A", HYPERLINK(INDEX('File Links'!B:B, MATCH(P1059, 'File Links'!C:C, 0))))</f>
        <v>https://drive.google.com/file/d/1-nd1hGa7j_Vwr7C63vLyw8Doq1Jw9jdo/view?usp=drivesdk</v>
      </c>
      <c r="R1059" s="1315" t="s">
        <v>3653</v>
      </c>
      <c r="S1059" s="159" t="s">
        <v>3654</v>
      </c>
      <c r="T1059" s="147" t="s">
        <v>138</v>
      </c>
      <c r="U1059" s="147" t="s">
        <v>138</v>
      </c>
      <c r="V1059" s="198" t="str">
        <f t="shared" si="57"/>
        <v>10.1098--rsos.231240.pdf</v>
      </c>
      <c r="W1059" s="140" t="s">
        <v>3804</v>
      </c>
      <c r="X1059" s="54" t="str">
        <f t="array" ref="X1059"> if(iserror(MATCH(V1059, 'File Links'!C:C, 0)), "N/A", HYPERLINK(INDEX('File Links'!B:B, MATCH(V1059, 'File Links'!C:C, 0))))</f>
        <v>https://drive.google.com/file/d/17gaf2Zy_ljFfcAEDk5L8GBnTl5i7RGJE/view?usp=drivesdk</v>
      </c>
      <c r="Y1059" s="1313"/>
      <c r="Z1059" s="1315" t="s">
        <v>295</v>
      </c>
      <c r="AA1059" s="374" t="s">
        <v>138</v>
      </c>
      <c r="AB1059" s="1313" t="s">
        <v>5804</v>
      </c>
      <c r="AC1059" s="1315" t="s">
        <v>5805</v>
      </c>
      <c r="AD1059" s="1313" t="s">
        <v>5806</v>
      </c>
      <c r="AE1059" s="1341">
        <v>9.0</v>
      </c>
      <c r="AF1059" s="1318">
        <v>51.0</v>
      </c>
      <c r="AG1059" s="1322">
        <v>1.28</v>
      </c>
      <c r="AH1059" s="194" t="s">
        <v>360</v>
      </c>
      <c r="AI1059" s="1322" t="s">
        <v>5807</v>
      </c>
      <c r="AJ1059" s="1345">
        <v>1.0E-4</v>
      </c>
      <c r="AK1059" s="1321" t="s">
        <v>135</v>
      </c>
      <c r="AL1059" s="1321" t="s">
        <v>186</v>
      </c>
      <c r="AM1059" s="1313" t="s">
        <v>137</v>
      </c>
      <c r="AN1059" s="1322" t="s">
        <v>138</v>
      </c>
      <c r="AO1059" s="1318">
        <v>48.0</v>
      </c>
      <c r="AP1059" s="1322">
        <v>0.53003</v>
      </c>
      <c r="AQ1059" s="159" t="s">
        <v>360</v>
      </c>
      <c r="AR1059" s="1322" t="s">
        <v>5604</v>
      </c>
      <c r="AS1059" s="374" t="s">
        <v>138</v>
      </c>
      <c r="AT1059" s="219" t="s">
        <v>138</v>
      </c>
      <c r="AU1059" s="1313" t="s">
        <v>186</v>
      </c>
      <c r="AV1059" s="1313" t="s">
        <v>137</v>
      </c>
      <c r="AW1059" s="1323" t="s">
        <v>138</v>
      </c>
      <c r="AX1059" s="1313" t="s">
        <v>143</v>
      </c>
      <c r="AY1059" s="61" t="str">
        <f>IFERROR(__xludf.DUMMYFUNCTION("vlookup(BB1059,importrange(""https://docs.google.com/spreadsheets/d/1d2vevQ_7D_v35q4wCQ4RpQ_IPoTwEMB9Yp6ymwlPqew/edit?gid=984458430#gid=984458430"", ""'replication success'!A:K""), 11, FAlSE)"),"")</f>
        <v/>
      </c>
      <c r="AZ1059" s="61" t="str">
        <f>IFERROR(__xludf.DUMMYFUNCTION("vlookup(BB1059,importrange(""https://docs.google.com/spreadsheets/d/1d2vevQ_7D_v35q4wCQ4RpQ_IPoTwEMB9Yp6ymwlPqew/edit?gid=984458430#gid=984458430"", ""'replication success'!A:M""), 12, FAlSE)"),"")</f>
        <v/>
      </c>
      <c r="BA1059" s="61" t="str">
        <f>IFERROR(__xludf.DUMMYFUNCTION("vlookup(BB1059,importrange(""https://docs.google.com/spreadsheets/d/1d2vevQ_7D_v35q4wCQ4RpQ_IPoTwEMB9Yp6ymwlPqew/edit?gid=984458430#gid=984458430"",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v>
      </c>
      <c r="BB1059" s="61" t="str">
        <f>IFERROR(__xludf.DUMMYFUNCTION("REGEXREPLACE(G1059, ""_[a-z]{1,2}$"", """")"),"Boyce_etal202341")</f>
        <v>Boyce_etal202341</v>
      </c>
      <c r="BD1059" s="1322" t="s">
        <v>5605</v>
      </c>
    </row>
    <row r="1060">
      <c r="A1060" s="44">
        <v>1060.0</v>
      </c>
      <c r="B1060" s="129" t="s">
        <v>152</v>
      </c>
      <c r="C1060" s="62" t="s">
        <v>115</v>
      </c>
      <c r="D1060" s="62" t="s">
        <v>145</v>
      </c>
      <c r="E1060" s="365"/>
      <c r="F1060" s="1313" t="s">
        <v>5799</v>
      </c>
      <c r="G1060" s="1314" t="s">
        <v>5808</v>
      </c>
      <c r="H1060" s="1315" t="s">
        <v>5592</v>
      </c>
      <c r="I1060" s="1316">
        <v>45688.0</v>
      </c>
      <c r="J1060" s="1317">
        <v>45692.0</v>
      </c>
      <c r="K1060" s="1313"/>
      <c r="L1060" s="1313" t="s">
        <v>5594</v>
      </c>
      <c r="M1060" s="1315" t="s">
        <v>5802</v>
      </c>
      <c r="N1060" s="1313" t="s">
        <v>5803</v>
      </c>
      <c r="O1060" s="1318">
        <v>1.0</v>
      </c>
      <c r="P1060" s="140" t="str">
        <f t="shared" si="61"/>
        <v>10.1371--journal.pone.0154854.pdf</v>
      </c>
      <c r="Q1060" s="52" t="str">
        <f t="array" ref="Q1060"> if(iserror(MATCH(V1060, 'File Links'!C:C, 0)), "N/A", HYPERLINK(INDEX('File Links'!B:B, MATCH(P1060, 'File Links'!C:C, 0))))</f>
        <v>https://drive.google.com/file/d/1-nd1hGa7j_Vwr7C63vLyw8Doq1Jw9jdo/view?usp=drivesdk</v>
      </c>
      <c r="R1060" s="1315" t="s">
        <v>3653</v>
      </c>
      <c r="S1060" s="159" t="s">
        <v>3654</v>
      </c>
      <c r="T1060" s="147" t="s">
        <v>138</v>
      </c>
      <c r="U1060" s="147" t="s">
        <v>138</v>
      </c>
      <c r="V1060" s="198" t="str">
        <f t="shared" si="57"/>
        <v>10.1098--rsos.231240.pdf</v>
      </c>
      <c r="W1060" s="140" t="s">
        <v>3804</v>
      </c>
      <c r="X1060" s="54" t="str">
        <f t="array" ref="X1060"> if(iserror(MATCH(V1060, 'File Links'!C:C, 0)), "N/A", HYPERLINK(INDEX('File Links'!B:B, MATCH(V1060, 'File Links'!C:C, 0))))</f>
        <v>https://drive.google.com/file/d/17gaf2Zy_ljFfcAEDk5L8GBnTl5i7RGJE/view?usp=drivesdk</v>
      </c>
      <c r="Y1060" s="1313"/>
      <c r="Z1060" s="1315" t="s">
        <v>295</v>
      </c>
      <c r="AA1060" s="374" t="s">
        <v>138</v>
      </c>
      <c r="AB1060" s="1313" t="s">
        <v>5804</v>
      </c>
      <c r="AC1060" s="1315" t="s">
        <v>5809</v>
      </c>
      <c r="AD1060" s="1313" t="s">
        <v>5810</v>
      </c>
      <c r="AE1060" s="1341">
        <v>9.0</v>
      </c>
      <c r="AF1060" s="1318">
        <v>51.0</v>
      </c>
      <c r="AG1060" s="1322">
        <v>0.44</v>
      </c>
      <c r="AH1060" s="194" t="s">
        <v>360</v>
      </c>
      <c r="AI1060" s="1322" t="s">
        <v>5811</v>
      </c>
      <c r="AJ1060" s="1345">
        <v>0.001</v>
      </c>
      <c r="AK1060" s="1321" t="s">
        <v>135</v>
      </c>
      <c r="AL1060" s="1321" t="s">
        <v>186</v>
      </c>
      <c r="AM1060" s="1313" t="s">
        <v>137</v>
      </c>
      <c r="AN1060" s="1322" t="s">
        <v>138</v>
      </c>
      <c r="AO1060" s="1318">
        <v>48.0</v>
      </c>
      <c r="AP1060" s="1322">
        <v>0.53003</v>
      </c>
      <c r="AQ1060" s="159" t="s">
        <v>360</v>
      </c>
      <c r="AR1060" s="1322" t="s">
        <v>5604</v>
      </c>
      <c r="AS1060" s="374" t="s">
        <v>138</v>
      </c>
      <c r="AT1060" s="219" t="s">
        <v>138</v>
      </c>
      <c r="AU1060" s="1313" t="s">
        <v>186</v>
      </c>
      <c r="AV1060" s="1313" t="s">
        <v>137</v>
      </c>
      <c r="AW1060" s="1323" t="s">
        <v>138</v>
      </c>
      <c r="AX1060" s="1313" t="s">
        <v>143</v>
      </c>
      <c r="AY1060" s="61" t="str">
        <f>IFERROR(__xludf.DUMMYFUNCTION("vlookup(BB1060,importrange(""https://docs.google.com/spreadsheets/d/1d2vevQ_7D_v35q4wCQ4RpQ_IPoTwEMB9Yp6ymwlPqew/edit?gid=984458430#gid=984458430"", ""'replication success'!A:K""), 11, FAlSE)"),"")</f>
        <v/>
      </c>
      <c r="AZ1060" s="61" t="str">
        <f>IFERROR(__xludf.DUMMYFUNCTION("vlookup(BB1060,importrange(""https://docs.google.com/spreadsheets/d/1d2vevQ_7D_v35q4wCQ4RpQ_IPoTwEMB9Yp6ymwlPqew/edit?gid=984458430#gid=984458430"", ""'replication success'!A:M""), 12, FAlSE)"),"")</f>
        <v/>
      </c>
      <c r="BA1060" s="61" t="str">
        <f>IFERROR(__xludf.DUMMYFUNCTION("vlookup(BB1060,importrange(""https://docs.google.com/spreadsheets/d/1d2vevQ_7D_v35q4wCQ4RpQ_IPoTwEMB9Yp6ymwlPqew/edit?gid=984458430#gid=984458430"",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v>
      </c>
      <c r="BB1060" s="61" t="str">
        <f>IFERROR(__xludf.DUMMYFUNCTION("REGEXREPLACE(G1060, ""_[a-z]{1,2}$"", """")"),"Boyce_etal202341")</f>
        <v>Boyce_etal202341</v>
      </c>
      <c r="BC1060" s="62" t="s">
        <v>5812</v>
      </c>
      <c r="BD1060" s="1322" t="s">
        <v>5605</v>
      </c>
    </row>
    <row r="1061">
      <c r="A1061" s="44">
        <v>1061.0</v>
      </c>
      <c r="B1061" s="129" t="s">
        <v>114</v>
      </c>
      <c r="C1061" s="62" t="s">
        <v>115</v>
      </c>
      <c r="D1061" s="62" t="s">
        <v>248</v>
      </c>
      <c r="E1061" s="365"/>
      <c r="F1061" s="126" t="s">
        <v>5799</v>
      </c>
      <c r="G1061" s="119" t="s">
        <v>5800</v>
      </c>
      <c r="H1061" s="140" t="s">
        <v>249</v>
      </c>
      <c r="I1061" s="317">
        <v>45665.0</v>
      </c>
      <c r="J1061" s="1326">
        <v>45692.0</v>
      </c>
      <c r="K1061" s="125"/>
      <c r="L1061" s="125" t="s">
        <v>5813</v>
      </c>
      <c r="M1061" s="140" t="s">
        <v>5802</v>
      </c>
      <c r="N1061" s="140" t="s">
        <v>5803</v>
      </c>
      <c r="O1061" s="125"/>
      <c r="P1061" s="140" t="str">
        <f t="shared" si="61"/>
        <v>10.1371--journal.pone.0154854.pdf</v>
      </c>
      <c r="Q1061" s="52" t="str">
        <f t="array" ref="Q1061"> if(iserror(MATCH(V1061, 'File Links'!C:C, 0)), "N/A", HYPERLINK(INDEX('File Links'!B:B, MATCH(P1061, 'File Links'!C:C, 0))))</f>
        <v>https://drive.google.com/file/d/1-nd1hGa7j_Vwr7C63vLyw8Doq1Jw9jdo/view?usp=drivesdk</v>
      </c>
      <c r="R1061" s="140" t="s">
        <v>5814</v>
      </c>
      <c r="S1061" s="159" t="s">
        <v>3654</v>
      </c>
      <c r="T1061" s="147" t="s">
        <v>138</v>
      </c>
      <c r="U1061" s="147" t="s">
        <v>138</v>
      </c>
      <c r="V1061" s="198" t="str">
        <f t="shared" si="57"/>
        <v>10.1098--rsos.231240.pdf</v>
      </c>
      <c r="W1061" s="140" t="s">
        <v>3804</v>
      </c>
      <c r="X1061" s="54" t="str">
        <f t="array" ref="X1061"> if(iserror(MATCH(V1061, 'File Links'!C:C, 0)), "N/A", HYPERLINK(INDEX('File Links'!B:B, MATCH(V1061, 'File Links'!C:C, 0))))</f>
        <v>https://drive.google.com/file/d/17gaf2Zy_ljFfcAEDk5L8GBnTl5i7RGJE/view?usp=drivesdk</v>
      </c>
      <c r="Y1061" s="125"/>
      <c r="Z1061" s="140" t="s">
        <v>210</v>
      </c>
      <c r="AA1061" s="125"/>
      <c r="AB1061" s="125"/>
      <c r="AC1061" s="125"/>
      <c r="AD1061" s="140" t="s">
        <v>5815</v>
      </c>
      <c r="AE1061" s="782">
        <v>9.0</v>
      </c>
      <c r="AF1061" s="782">
        <v>51.0</v>
      </c>
      <c r="AG1061" s="782">
        <v>1.28</v>
      </c>
      <c r="AH1061" s="140" t="s">
        <v>987</v>
      </c>
      <c r="AI1061" s="140" t="s">
        <v>628</v>
      </c>
      <c r="AJ1061" s="133">
        <v>1.0E-4</v>
      </c>
      <c r="AK1061" s="126" t="s">
        <v>2249</v>
      </c>
      <c r="AL1061" s="126" t="s">
        <v>186</v>
      </c>
      <c r="AM1061" s="140" t="s">
        <v>141</v>
      </c>
      <c r="AN1061" s="1322" t="s">
        <v>138</v>
      </c>
      <c r="AO1061" s="782">
        <v>48.0</v>
      </c>
      <c r="AP1061" s="782">
        <v>0.53003</v>
      </c>
      <c r="AQ1061" s="140" t="s">
        <v>987</v>
      </c>
      <c r="AR1061" s="1322" t="s">
        <v>5604</v>
      </c>
      <c r="AS1061" s="140" t="s">
        <v>138</v>
      </c>
      <c r="AT1061" s="125"/>
      <c r="AU1061" s="140" t="s">
        <v>186</v>
      </c>
      <c r="AV1061" s="140" t="s">
        <v>141</v>
      </c>
      <c r="AW1061" s="1323" t="s">
        <v>138</v>
      </c>
      <c r="AX1061" s="140" t="s">
        <v>143</v>
      </c>
      <c r="AY1061" s="61" t="str">
        <f>IFERROR(__xludf.DUMMYFUNCTION("vlookup(BB1061,importrange(""https://docs.google.com/spreadsheets/d/1d2vevQ_7D_v35q4wCQ4RpQ_IPoTwEMB9Yp6ymwlPqew/edit?gid=984458430#gid=984458430"", ""'replication success'!A:K""), 11, FAlSE)"),"")</f>
        <v/>
      </c>
      <c r="AZ1061" s="61" t="str">
        <f>IFERROR(__xludf.DUMMYFUNCTION("vlookup(BB1061,importrange(""https://docs.google.com/spreadsheets/d/1d2vevQ_7D_v35q4wCQ4RpQ_IPoTwEMB9Yp6ymwlPqew/edit?gid=984458430#gid=984458430"", ""'replication success'!A:M""), 12, FAlSE)"),"")</f>
        <v/>
      </c>
      <c r="BA1061" s="61" t="str">
        <f>IFERROR(__xludf.DUMMYFUNCTION("vlookup(BB1061,importrange(""https://docs.google.com/spreadsheets/d/1d2vevQ_7D_v35q4wCQ4RpQ_IPoTwEMB9Yp6ymwlPqew/edit?gid=984458430#gid=984458430"",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v>
      </c>
      <c r="BB1061" s="61" t="str">
        <f>IFERROR(__xludf.DUMMYFUNCTION("REGEXREPLACE(G1061, ""_[a-z]{1,2}$"", """")"),"Boyce_etal202341")</f>
        <v>Boyce_etal202341</v>
      </c>
      <c r="BD1061" s="1322" t="s">
        <v>5605</v>
      </c>
    </row>
    <row r="1062">
      <c r="A1062" s="44">
        <v>1062.0</v>
      </c>
      <c r="B1062" s="129" t="s">
        <v>2013</v>
      </c>
      <c r="C1062" s="62" t="s">
        <v>115</v>
      </c>
      <c r="D1062" s="62" t="s">
        <v>145</v>
      </c>
      <c r="E1062" s="365"/>
      <c r="F1062" s="1313" t="s">
        <v>5816</v>
      </c>
      <c r="G1062" s="1314" t="s">
        <v>5817</v>
      </c>
      <c r="H1062" s="1315" t="s">
        <v>5592</v>
      </c>
      <c r="I1062" s="1316">
        <v>45688.0</v>
      </c>
      <c r="J1062" s="1317">
        <v>45692.0</v>
      </c>
      <c r="K1062" s="1313" t="s">
        <v>5818</v>
      </c>
      <c r="L1062" s="1313" t="s">
        <v>5594</v>
      </c>
      <c r="M1062" s="1315" t="s">
        <v>5819</v>
      </c>
      <c r="N1062" s="1313" t="s">
        <v>5820</v>
      </c>
      <c r="O1062" s="1318">
        <v>2.0</v>
      </c>
      <c r="P1062" s="140" t="str">
        <f t="shared" si="61"/>
        <v>10.1038--nn.2889.pdf</v>
      </c>
      <c r="Q1062" s="52" t="str">
        <f t="array" ref="Q1062"> if(iserror(MATCH(V1062, 'File Links'!C:C, 0)), "N/A", HYPERLINK(INDEX('File Links'!B:B, MATCH(P1062, 'File Links'!C:C, 0))))</f>
        <v>https://drive.google.com/file/d/1MkAewK7ChXvXFt_yHeQBeosTp7ozsocw/view?usp=drivesdk</v>
      </c>
      <c r="R1062" s="1315" t="s">
        <v>3653</v>
      </c>
      <c r="S1062" s="159" t="s">
        <v>3654</v>
      </c>
      <c r="T1062" s="147" t="s">
        <v>138</v>
      </c>
      <c r="U1062" s="147" t="s">
        <v>138</v>
      </c>
      <c r="V1062" s="198" t="str">
        <f t="shared" si="57"/>
        <v>10.1098--rsos.231240.pdf</v>
      </c>
      <c r="W1062" s="140" t="s">
        <v>324</v>
      </c>
      <c r="X1062" s="54" t="str">
        <f t="array" ref="X1062"> if(iserror(MATCH(V1062, 'File Links'!C:C, 0)), "N/A", HYPERLINK(INDEX('File Links'!B:B, MATCH(V1062, 'File Links'!C:C, 0))))</f>
        <v>https://drive.google.com/file/d/17gaf2Zy_ljFfcAEDk5L8GBnTl5i7RGJE/view?usp=drivesdk</v>
      </c>
      <c r="Y1062" s="1313"/>
      <c r="Z1062" s="1315" t="s">
        <v>838</v>
      </c>
      <c r="AA1062" s="1313" t="s">
        <v>1535</v>
      </c>
      <c r="AB1062" s="1313" t="s">
        <v>5821</v>
      </c>
      <c r="AC1062" s="1315" t="s">
        <v>5822</v>
      </c>
      <c r="AD1062" s="1313" t="s">
        <v>1535</v>
      </c>
      <c r="AE1062" s="1313" t="s">
        <v>1535</v>
      </c>
      <c r="AF1062" s="1318">
        <v>5.0</v>
      </c>
      <c r="AG1062" s="1313" t="s">
        <v>1535</v>
      </c>
      <c r="AH1062" s="167" t="s">
        <v>138</v>
      </c>
      <c r="AI1062" s="1313" t="s">
        <v>1535</v>
      </c>
      <c r="AJ1062" s="1320" t="s">
        <v>1535</v>
      </c>
      <c r="AK1062" s="1321" t="s">
        <v>1535</v>
      </c>
      <c r="AL1062" s="1321" t="s">
        <v>186</v>
      </c>
      <c r="AM1062" s="1313" t="s">
        <v>137</v>
      </c>
      <c r="AN1062" s="1322" t="s">
        <v>138</v>
      </c>
      <c r="AO1062" s="1318">
        <v>5.0</v>
      </c>
      <c r="AP1062" s="1313" t="s">
        <v>1535</v>
      </c>
      <c r="AQ1062" s="129" t="s">
        <v>138</v>
      </c>
      <c r="AR1062" s="1322" t="s">
        <v>5604</v>
      </c>
      <c r="AS1062" s="1313" t="s">
        <v>1535</v>
      </c>
      <c r="AT1062" s="1313" t="s">
        <v>1535</v>
      </c>
      <c r="AU1062" s="1313" t="s">
        <v>186</v>
      </c>
      <c r="AV1062" s="1313" t="s">
        <v>137</v>
      </c>
      <c r="AW1062" s="1323" t="s">
        <v>138</v>
      </c>
      <c r="AX1062" s="1313" t="s">
        <v>143</v>
      </c>
      <c r="AY1062" s="61" t="str">
        <f>IFERROR(__xludf.DUMMYFUNCTION("vlookup(BB1062,importrange(""https://docs.google.com/spreadsheets/d/1d2vevQ_7D_v35q4wCQ4RpQ_IPoTwEMB9Yp6ymwlPqew/edit?gid=984458430#gid=984458430"", ""'replication success'!A:K""), 11, FAlSE)"),"#N/A")</f>
        <v>#N/A</v>
      </c>
      <c r="AZ1062" s="61" t="str">
        <f>IFERROR(__xludf.DUMMYFUNCTION("vlookup(BB1062,importrange(""https://docs.google.com/spreadsheets/d/1d2vevQ_7D_v35q4wCQ4RpQ_IPoTwEMB9Yp6ymwlPqew/edit?gid=984458430#gid=984458430"", ""'replication success'!A:M""), 12, FAlSE)"),"#N/A")</f>
        <v>#N/A</v>
      </c>
      <c r="BA1062" s="61" t="str">
        <f>IFERROR(__xludf.DUMMYFUNCTION("vlookup(BB1062,importrange(""https://docs.google.com/spreadsheets/d/1d2vevQ_7D_v35q4wCQ4RpQ_IPoTwEMB9Yp6ymwlPqew/edit?gid=984458430#gid=984458430"", ""'replication success'!A:M""), 13, FAlSE)"),"#N/A")</f>
        <v>#N/A</v>
      </c>
      <c r="BB1062" s="61" t="str">
        <f>IFERROR(__xludf.DUMMYFUNCTION("REGEXREPLACE(G1062, ""_[a-z]{1,2}$"", """")"),"Boyce_etal202342")</f>
        <v>Boyce_etal202342</v>
      </c>
      <c r="BD1062" s="1322" t="s">
        <v>5605</v>
      </c>
    </row>
    <row r="1063">
      <c r="A1063" s="44">
        <v>1063.0</v>
      </c>
      <c r="B1063" s="129" t="s">
        <v>114</v>
      </c>
      <c r="C1063" s="62" t="s">
        <v>115</v>
      </c>
      <c r="D1063" s="62" t="s">
        <v>248</v>
      </c>
      <c r="E1063" s="365"/>
      <c r="F1063" s="126" t="s">
        <v>5816</v>
      </c>
      <c r="G1063" s="119" t="s">
        <v>5817</v>
      </c>
      <c r="H1063" s="140" t="s">
        <v>249</v>
      </c>
      <c r="I1063" s="317">
        <v>45665.0</v>
      </c>
      <c r="J1063" s="1326">
        <v>45692.0</v>
      </c>
      <c r="K1063" s="670" t="s">
        <v>5823</v>
      </c>
      <c r="L1063" s="125" t="s">
        <v>5594</v>
      </c>
      <c r="M1063" s="140" t="s">
        <v>5819</v>
      </c>
      <c r="N1063" s="140" t="s">
        <v>5820</v>
      </c>
      <c r="O1063" s="125"/>
      <c r="P1063" s="140" t="str">
        <f t="shared" si="61"/>
        <v>10.1038--nn.2889.pdf</v>
      </c>
      <c r="Q1063" s="52" t="str">
        <f t="array" ref="Q1063"> if(iserror(MATCH(V1063, 'File Links'!C:C, 0)), "N/A", HYPERLINK(INDEX('File Links'!B:B, MATCH(P1063, 'File Links'!C:C, 0))))</f>
        <v>https://drive.google.com/file/d/1MkAewK7ChXvXFt_yHeQBeosTp7ozsocw/view?usp=drivesdk</v>
      </c>
      <c r="R1063" s="140" t="s">
        <v>5824</v>
      </c>
      <c r="S1063" s="159" t="s">
        <v>3654</v>
      </c>
      <c r="T1063" s="147" t="s">
        <v>138</v>
      </c>
      <c r="U1063" s="147" t="s">
        <v>138</v>
      </c>
      <c r="V1063" s="198" t="str">
        <f t="shared" si="57"/>
        <v>10.1098--rsos.231240.pdf</v>
      </c>
      <c r="W1063" s="140" t="s">
        <v>324</v>
      </c>
      <c r="X1063" s="54" t="str">
        <f t="array" ref="X1063"> if(iserror(MATCH(V1063, 'File Links'!C:C, 0)), "N/A", HYPERLINK(INDEX('File Links'!B:B, MATCH(V1063, 'File Links'!C:C, 0))))</f>
        <v>https://drive.google.com/file/d/17gaf2Zy_ljFfcAEDk5L8GBnTl5i7RGJE/view?usp=drivesdk</v>
      </c>
      <c r="Y1063" s="125"/>
      <c r="Z1063" s="140" t="s">
        <v>838</v>
      </c>
      <c r="AA1063" s="125"/>
      <c r="AB1063" s="125"/>
      <c r="AC1063" s="125"/>
      <c r="AD1063" s="140" t="s">
        <v>138</v>
      </c>
      <c r="AE1063" s="140" t="s">
        <v>138</v>
      </c>
      <c r="AF1063" s="782">
        <v>5.0</v>
      </c>
      <c r="AG1063" s="140" t="s">
        <v>138</v>
      </c>
      <c r="AH1063" s="167" t="s">
        <v>138</v>
      </c>
      <c r="AI1063" s="140" t="s">
        <v>138</v>
      </c>
      <c r="AJ1063" s="223" t="s">
        <v>138</v>
      </c>
      <c r="AK1063" s="132"/>
      <c r="AL1063" s="126" t="s">
        <v>186</v>
      </c>
      <c r="AM1063" s="140" t="s">
        <v>1905</v>
      </c>
      <c r="AN1063" s="1322" t="s">
        <v>138</v>
      </c>
      <c r="AO1063" s="782">
        <v>5.0</v>
      </c>
      <c r="AP1063" s="140" t="s">
        <v>138</v>
      </c>
      <c r="AQ1063" s="125"/>
      <c r="AR1063" s="1322" t="s">
        <v>5604</v>
      </c>
      <c r="AS1063" s="140" t="s">
        <v>138</v>
      </c>
      <c r="AT1063" s="125"/>
      <c r="AU1063" s="140" t="s">
        <v>186</v>
      </c>
      <c r="AV1063" s="140" t="s">
        <v>1905</v>
      </c>
      <c r="AW1063" s="1323" t="s">
        <v>138</v>
      </c>
      <c r="AX1063" s="140" t="s">
        <v>143</v>
      </c>
      <c r="AY1063" s="61" t="str">
        <f>IFERROR(__xludf.DUMMYFUNCTION("vlookup(BB1063,importrange(""https://docs.google.com/spreadsheets/d/1d2vevQ_7D_v35q4wCQ4RpQ_IPoTwEMB9Yp6ymwlPqew/edit?gid=984458430#gid=984458430"", ""'replication success'!A:K""), 11, FAlSE)"),"#N/A")</f>
        <v>#N/A</v>
      </c>
      <c r="AZ1063" s="61" t="str">
        <f>IFERROR(__xludf.DUMMYFUNCTION("vlookup(BB1063,importrange(""https://docs.google.com/spreadsheets/d/1d2vevQ_7D_v35q4wCQ4RpQ_IPoTwEMB9Yp6ymwlPqew/edit?gid=984458430#gid=984458430"", ""'replication success'!A:M""), 12, FAlSE)"),"#N/A")</f>
        <v>#N/A</v>
      </c>
      <c r="BA1063" s="61" t="str">
        <f>IFERROR(__xludf.DUMMYFUNCTION("vlookup(BB1063,importrange(""https://docs.google.com/spreadsheets/d/1d2vevQ_7D_v35q4wCQ4RpQ_IPoTwEMB9Yp6ymwlPqew/edit?gid=984458430#gid=984458430"", ""'replication success'!A:M""), 13, FAlSE)"),"#N/A")</f>
        <v>#N/A</v>
      </c>
      <c r="BB1063" s="61" t="str">
        <f>IFERROR(__xludf.DUMMYFUNCTION("REGEXREPLACE(G1063, ""_[a-z]{1,2}$"", """")"),"Boyce_etal202342")</f>
        <v>Boyce_etal202342</v>
      </c>
      <c r="BD1063" s="1322" t="s">
        <v>5605</v>
      </c>
    </row>
    <row r="1064">
      <c r="A1064" s="44">
        <v>1064.0</v>
      </c>
      <c r="B1064" s="129" t="s">
        <v>152</v>
      </c>
      <c r="C1064" s="62" t="s">
        <v>115</v>
      </c>
      <c r="D1064" s="62" t="s">
        <v>145</v>
      </c>
      <c r="E1064" s="365"/>
      <c r="F1064" s="1313" t="s">
        <v>5825</v>
      </c>
      <c r="G1064" s="1314" t="s">
        <v>5826</v>
      </c>
      <c r="H1064" s="1315" t="s">
        <v>5592</v>
      </c>
      <c r="I1064" s="1316">
        <v>45688.0</v>
      </c>
      <c r="J1064" s="1317">
        <v>45692.0</v>
      </c>
      <c r="K1064" s="1339" t="s">
        <v>5827</v>
      </c>
      <c r="L1064" s="1313" t="s">
        <v>5594</v>
      </c>
      <c r="M1064" s="1315" t="s">
        <v>5828</v>
      </c>
      <c r="N1064" s="1315" t="s">
        <v>5829</v>
      </c>
      <c r="O1064" s="1315" t="s">
        <v>5562</v>
      </c>
      <c r="P1064" s="1315" t="s">
        <v>5830</v>
      </c>
      <c r="Q1064" s="52" t="str">
        <f t="array" ref="Q1064"> if(iserror(MATCH(V1064, 'File Links'!C:C, 0)), "N/A", HYPERLINK(INDEX('File Links'!B:B, MATCH(P1064, 'File Links'!C:C, 0))))</f>
        <v>https://drive.google.com/file/d/1oAjR8vSHaozIl7e-9ozgY9hFTpEChKb7/view?usp=drivesdk</v>
      </c>
      <c r="R1064" s="1315" t="s">
        <v>3653</v>
      </c>
      <c r="S1064" s="159" t="s">
        <v>3654</v>
      </c>
      <c r="T1064" s="147" t="s">
        <v>138</v>
      </c>
      <c r="U1064" s="147" t="s">
        <v>138</v>
      </c>
      <c r="V1064" s="198" t="str">
        <f t="shared" si="57"/>
        <v>10.1098--rsos.231240.pdf</v>
      </c>
      <c r="W1064" s="140" t="s">
        <v>3693</v>
      </c>
      <c r="X1064" s="54" t="str">
        <f t="array" ref="X1064"> if(iserror(MATCH(V1064, 'File Links'!C:C, 0)), "N/A", HYPERLINK(INDEX('File Links'!B:B, MATCH(V1064, 'File Links'!C:C, 0))))</f>
        <v>https://drive.google.com/file/d/17gaf2Zy_ljFfcAEDk5L8GBnTl5i7RGJE/view?usp=drivesdk</v>
      </c>
      <c r="Y1064" s="1313"/>
      <c r="Z1064" s="1315" t="s">
        <v>226</v>
      </c>
      <c r="AA1064" s="374" t="s">
        <v>138</v>
      </c>
      <c r="AB1064" s="1313" t="s">
        <v>5831</v>
      </c>
      <c r="AC1064" s="1315" t="s">
        <v>5832</v>
      </c>
      <c r="AD1064" s="140" t="s">
        <v>5833</v>
      </c>
      <c r="AE1064" s="782">
        <v>744.0</v>
      </c>
      <c r="AF1064" s="1318">
        <v>117.0</v>
      </c>
      <c r="AG1064" s="1347" t="s">
        <v>5834</v>
      </c>
      <c r="AH1064" s="1322" t="s">
        <v>134</v>
      </c>
      <c r="AI1064" s="140" t="s">
        <v>5835</v>
      </c>
      <c r="AJ1064" s="133">
        <v>0.01</v>
      </c>
      <c r="AK1064" s="126" t="s">
        <v>172</v>
      </c>
      <c r="AL1064" s="126" t="s">
        <v>136</v>
      </c>
      <c r="AM1064" s="140" t="s">
        <v>141</v>
      </c>
      <c r="AN1064" s="1322" t="s">
        <v>138</v>
      </c>
      <c r="AO1064" s="1318">
        <v>20.0</v>
      </c>
      <c r="AP1064" s="1341">
        <v>-0.122474487139158</v>
      </c>
      <c r="AQ1064" s="1313" t="s">
        <v>173</v>
      </c>
      <c r="AR1064" s="1322" t="s">
        <v>5604</v>
      </c>
      <c r="AS1064" s="1341">
        <v>0.810049856157626</v>
      </c>
      <c r="AT1064" s="1313" t="s">
        <v>172</v>
      </c>
      <c r="AU1064" s="1313" t="s">
        <v>186</v>
      </c>
      <c r="AV1064" s="1313" t="s">
        <v>137</v>
      </c>
      <c r="AW1064" s="1323" t="s">
        <v>138</v>
      </c>
      <c r="AX1064" s="1313" t="s">
        <v>151</v>
      </c>
      <c r="AY1064" s="61" t="str">
        <f>IFERROR(__xludf.DUMMYFUNCTION("vlookup(BB1064,importrange(""https://docs.google.com/spreadsheets/d/1d2vevQ_7D_v35q4wCQ4RpQ_IPoTwEMB9Yp6ymwlPqew/edit?gid=984458430#gid=984458430"", ""'replication success'!A:K""), 11, FAlSE)"),"failed")</f>
        <v>failed</v>
      </c>
      <c r="AZ1064" s="61" t="str">
        <f>IFERROR(__xludf.DUMMYFUNCTION("vlookup(BB1064,importrange(""https://docs.google.com/spreadsheets/d/1d2vevQ_7D_v35q4wCQ4RpQ_IPoTwEMB9Yp6ymwlPqew/edit?gid=984458430#gid=984458430"",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4" s="61" t="str">
        <f>IFERROR(__xludf.DUMMYFUNCTION("vlookup(BB1064,importrange(""https://docs.google.com/spreadsheets/d/1d2vevQ_7D_v35q4wCQ4RpQ_IPoTwEMB9Yp6ymwlPqew/edit?gid=984458430#gid=984458430"",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v>
      </c>
      <c r="BB1064" s="61" t="str">
        <f>IFERROR(__xludf.DUMMYFUNCTION("REGEXREPLACE(G1064, ""_[a-z]{1,2}$"", """")"),"Boyce_etal202343")</f>
        <v>Boyce_etal202343</v>
      </c>
      <c r="BD1064" s="1322" t="s">
        <v>5605</v>
      </c>
    </row>
    <row r="1065">
      <c r="A1065" s="44">
        <v>1065.0</v>
      </c>
      <c r="B1065" s="129" t="s">
        <v>114</v>
      </c>
      <c r="C1065" s="62" t="s">
        <v>115</v>
      </c>
      <c r="D1065" s="62" t="s">
        <v>248</v>
      </c>
      <c r="E1065" s="365"/>
      <c r="F1065" s="126" t="s">
        <v>5825</v>
      </c>
      <c r="G1065" s="119" t="s">
        <v>5826</v>
      </c>
      <c r="H1065" s="140" t="s">
        <v>249</v>
      </c>
      <c r="I1065" s="317">
        <v>45665.0</v>
      </c>
      <c r="J1065" s="1326">
        <v>45692.0</v>
      </c>
      <c r="K1065" s="125"/>
      <c r="L1065" s="125" t="s">
        <v>5594</v>
      </c>
      <c r="M1065" s="140" t="s">
        <v>5828</v>
      </c>
      <c r="N1065" s="140" t="s">
        <v>5829</v>
      </c>
      <c r="O1065" s="125"/>
      <c r="P1065" s="140" t="str">
        <f> SUBSTITUTE(lower(N1065), "/", "--") &amp;  ".pdf"</f>
        <v>10.1177--0146167214524992.pdf</v>
      </c>
      <c r="Q1065" s="52" t="str">
        <f t="array" ref="Q1065"> if(iserror(MATCH(V1065, 'File Links'!C:C, 0)), "N/A", HYPERLINK(INDEX('File Links'!B:B, MATCH(P1065, 'File Links'!C:C, 0))))</f>
        <v>https://drive.google.com/file/d/1oAjR8vSHaozIl7e-9ozgY9hFTpEChKb7/view?usp=drivesdk</v>
      </c>
      <c r="R1065" s="140" t="s">
        <v>5836</v>
      </c>
      <c r="S1065" s="159" t="s">
        <v>3654</v>
      </c>
      <c r="T1065" s="147" t="s">
        <v>138</v>
      </c>
      <c r="U1065" s="147" t="s">
        <v>138</v>
      </c>
      <c r="V1065" s="198" t="str">
        <f t="shared" si="57"/>
        <v>10.1098--rsos.231240.pdf</v>
      </c>
      <c r="W1065" s="140" t="s">
        <v>3693</v>
      </c>
      <c r="X1065" s="54" t="str">
        <f t="array" ref="X1065"> if(iserror(MATCH(V1065, 'File Links'!C:C, 0)), "N/A", HYPERLINK(INDEX('File Links'!B:B, MATCH(V1065, 'File Links'!C:C, 0))))</f>
        <v>https://drive.google.com/file/d/17gaf2Zy_ljFfcAEDk5L8GBnTl5i7RGJE/view?usp=drivesdk</v>
      </c>
      <c r="Y1065" s="125"/>
      <c r="Z1065" s="140" t="s">
        <v>226</v>
      </c>
      <c r="AA1065" s="125"/>
      <c r="AB1065" s="125"/>
      <c r="AC1065" s="125"/>
      <c r="AD1065" s="140" t="s">
        <v>5833</v>
      </c>
      <c r="AE1065" s="782">
        <v>744.0</v>
      </c>
      <c r="AF1065" s="782">
        <v>117.0</v>
      </c>
      <c r="AG1065" s="225" t="s">
        <v>5834</v>
      </c>
      <c r="AH1065" s="119" t="s">
        <v>134</v>
      </c>
      <c r="AI1065" s="140" t="s">
        <v>5835</v>
      </c>
      <c r="AJ1065" s="133">
        <v>0.01</v>
      </c>
      <c r="AK1065" s="126" t="s">
        <v>172</v>
      </c>
      <c r="AL1065" s="126" t="s">
        <v>136</v>
      </c>
      <c r="AM1065" s="140" t="s">
        <v>141</v>
      </c>
      <c r="AN1065" s="1322" t="s">
        <v>138</v>
      </c>
      <c r="AO1065" s="782">
        <v>20.0</v>
      </c>
      <c r="AP1065" s="782">
        <v>-0.122474487139158</v>
      </c>
      <c r="AQ1065" s="140" t="s">
        <v>173</v>
      </c>
      <c r="AR1065" s="1322" t="s">
        <v>5604</v>
      </c>
      <c r="AS1065" s="782">
        <v>0.810049856157626</v>
      </c>
      <c r="AT1065" s="140" t="s">
        <v>172</v>
      </c>
      <c r="AU1065" s="140" t="s">
        <v>136</v>
      </c>
      <c r="AV1065" s="140" t="s">
        <v>141</v>
      </c>
      <c r="AW1065" s="1323" t="s">
        <v>138</v>
      </c>
      <c r="AX1065" s="140" t="s">
        <v>151</v>
      </c>
      <c r="AY1065" s="61" t="str">
        <f>IFERROR(__xludf.DUMMYFUNCTION("vlookup(BB1065,importrange(""https://docs.google.com/spreadsheets/d/1d2vevQ_7D_v35q4wCQ4RpQ_IPoTwEMB9Yp6ymwlPqew/edit?gid=984458430#gid=984458430"", ""'replication success'!A:K""), 11, FAlSE)"),"failed")</f>
        <v>failed</v>
      </c>
      <c r="AZ1065" s="61" t="str">
        <f>IFERROR(__xludf.DUMMYFUNCTION("vlookup(BB1065,importrange(""https://docs.google.com/spreadsheets/d/1d2vevQ_7D_v35q4wCQ4RpQ_IPoTwEMB9Yp6ymwlPqew/edit?gid=984458430#gid=984458430"",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5" s="61" t="str">
        <f>IFERROR(__xludf.DUMMYFUNCTION("vlookup(BB1065,importrange(""https://docs.google.com/spreadsheets/d/1d2vevQ_7D_v35q4wCQ4RpQ_IPoTwEMB9Yp6ymwlPqew/edit?gid=984458430#gid=984458430"",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v>
      </c>
      <c r="BB1065" s="61" t="str">
        <f>IFERROR(__xludf.DUMMYFUNCTION("REGEXREPLACE(G1065, ""_[a-z]{1,2}$"", """")"),"Boyce_etal202343")</f>
        <v>Boyce_etal202343</v>
      </c>
      <c r="BD1065" s="1322" t="s">
        <v>5605</v>
      </c>
    </row>
    <row r="1066">
      <c r="A1066" s="44">
        <v>1066.0</v>
      </c>
      <c r="B1066" s="129" t="s">
        <v>152</v>
      </c>
      <c r="C1066" s="62" t="s">
        <v>115</v>
      </c>
      <c r="D1066" s="62" t="s">
        <v>145</v>
      </c>
      <c r="E1066" s="365"/>
      <c r="F1066" s="1313" t="s">
        <v>5837</v>
      </c>
      <c r="G1066" s="1314" t="s">
        <v>5838</v>
      </c>
      <c r="H1066" s="1315" t="s">
        <v>5592</v>
      </c>
      <c r="I1066" s="1316">
        <v>45688.0</v>
      </c>
      <c r="J1066" s="1317">
        <v>45692.0</v>
      </c>
      <c r="K1066" s="1313" t="s">
        <v>5839</v>
      </c>
      <c r="L1066" s="1322" t="s">
        <v>5840</v>
      </c>
      <c r="M1066" s="1315" t="s">
        <v>5841</v>
      </c>
      <c r="N1066" s="1315" t="s">
        <v>5842</v>
      </c>
      <c r="O1066" s="1318">
        <v>2.0</v>
      </c>
      <c r="P1066" s="1315" t="s">
        <v>5843</v>
      </c>
      <c r="Q1066" s="52" t="str">
        <f t="array" ref="Q1066"> if(iserror(MATCH(V1066, 'File Links'!C:C, 0)), "N/A", HYPERLINK(INDEX('File Links'!B:B, MATCH(P1066, 'File Links'!C:C, 0))))</f>
        <v>https://drive.google.com/file/d/1gbKPV2rhuEZ5YY7sLWcOmdMsnKF1lOwO/view?usp=drivesdk</v>
      </c>
      <c r="R1066" s="1315" t="s">
        <v>3653</v>
      </c>
      <c r="S1066" s="159" t="s">
        <v>3654</v>
      </c>
      <c r="T1066" s="147" t="s">
        <v>138</v>
      </c>
      <c r="U1066" s="147" t="s">
        <v>138</v>
      </c>
      <c r="V1066" s="198" t="str">
        <f t="shared" si="57"/>
        <v>10.1098--rsos.231240.pdf</v>
      </c>
      <c r="W1066" s="140" t="s">
        <v>3693</v>
      </c>
      <c r="X1066" s="54" t="str">
        <f t="array" ref="X1066"> if(iserror(MATCH(V1066, 'File Links'!C:C, 0)), "N/A", HYPERLINK(INDEX('File Links'!B:B, MATCH(V1066, 'File Links'!C:C, 0))))</f>
        <v>https://drive.google.com/file/d/17gaf2Zy_ljFfcAEDk5L8GBnTl5i7RGJE/view?usp=drivesdk</v>
      </c>
      <c r="Y1066" s="1313"/>
      <c r="Z1066" s="1315" t="s">
        <v>1679</v>
      </c>
      <c r="AA1066" s="374" t="s">
        <v>138</v>
      </c>
      <c r="AB1066" s="1313" t="s">
        <v>5844</v>
      </c>
      <c r="AC1066" s="1315" t="s">
        <v>5845</v>
      </c>
      <c r="AD1066" s="140" t="s">
        <v>5846</v>
      </c>
      <c r="AE1066" s="782">
        <v>16.0</v>
      </c>
      <c r="AF1066" s="1318">
        <v>212.0</v>
      </c>
      <c r="AG1066" s="1347" t="s">
        <v>5847</v>
      </c>
      <c r="AH1066" s="1313" t="s">
        <v>173</v>
      </c>
      <c r="AI1066" s="1322" t="s">
        <v>138</v>
      </c>
      <c r="AJ1066" s="1348">
        <v>0.001</v>
      </c>
      <c r="AK1066" s="1321" t="s">
        <v>172</v>
      </c>
      <c r="AL1066" s="1322" t="s">
        <v>136</v>
      </c>
      <c r="AM1066" s="1313" t="s">
        <v>137</v>
      </c>
      <c r="AN1066" s="1322" t="s">
        <v>138</v>
      </c>
      <c r="AO1066" s="1318">
        <v>137.0</v>
      </c>
      <c r="AP1066" s="1341">
        <v>-0.07914981074</v>
      </c>
      <c r="AQ1066" s="1313" t="s">
        <v>173</v>
      </c>
      <c r="AR1066" s="1322" t="s">
        <v>5604</v>
      </c>
      <c r="AS1066" s="1341">
        <v>0.357634457118059</v>
      </c>
      <c r="AT1066" s="1313" t="s">
        <v>172</v>
      </c>
      <c r="AU1066" s="1313" t="s">
        <v>186</v>
      </c>
      <c r="AV1066" s="1313" t="s">
        <v>137</v>
      </c>
      <c r="AW1066" s="1323" t="s">
        <v>138</v>
      </c>
      <c r="AX1066" s="140" t="s">
        <v>151</v>
      </c>
      <c r="AY1066" s="61" t="str">
        <f>IFERROR(__xludf.DUMMYFUNCTION("vlookup(BB1066,importrange(""https://docs.google.com/spreadsheets/d/1d2vevQ_7D_v35q4wCQ4RpQ_IPoTwEMB9Yp6ymwlPqew/edit?gid=984458430#gid=984458430"", ""'replication success'!A:K""), 11, FAlSE)"),"failed")</f>
        <v>failed</v>
      </c>
      <c r="AZ1066" s="61" t="str">
        <f>IFERROR(__xludf.DUMMYFUNCTION("vlookup(BB1066,importrange(""https://docs.google.com/spreadsheets/d/1d2vevQ_7D_v35q4wCQ4RpQ_IPoTwEMB9Yp6ymwlPqew/edit?gid=984458430#gid=984458430"",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6" s="61" t="str">
        <f>IFERROR(__xludf.DUMMYFUNCTION("vlookup(BB1066,importrange(""https://docs.google.com/spreadsheets/d/1d2vevQ_7D_v35q4wCQ4RpQ_IPoTwEMB9Yp6ymwlPqew/edit?gid=984458430#gid=984458430"",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v>
      </c>
      <c r="BB1066" s="61" t="str">
        <f>IFERROR(__xludf.DUMMYFUNCTION("REGEXREPLACE(G1066, ""_[a-z]{1,2}$"", """")"),"Boyce_etal202344")</f>
        <v>Boyce_etal202344</v>
      </c>
      <c r="BD1066" s="1322" t="s">
        <v>5605</v>
      </c>
    </row>
    <row r="1067">
      <c r="A1067" s="44">
        <v>1067.0</v>
      </c>
      <c r="B1067" s="129" t="s">
        <v>114</v>
      </c>
      <c r="C1067" s="62" t="s">
        <v>115</v>
      </c>
      <c r="D1067" s="62" t="s">
        <v>248</v>
      </c>
      <c r="E1067" s="365"/>
      <c r="F1067" s="126" t="s">
        <v>5837</v>
      </c>
      <c r="G1067" s="119" t="s">
        <v>5838</v>
      </c>
      <c r="H1067" s="140" t="s">
        <v>249</v>
      </c>
      <c r="I1067" s="317">
        <v>45665.0</v>
      </c>
      <c r="J1067" s="1326">
        <v>45692.0</v>
      </c>
      <c r="K1067" s="670" t="s">
        <v>5848</v>
      </c>
      <c r="L1067" s="125" t="s">
        <v>5849</v>
      </c>
      <c r="M1067" s="140" t="s">
        <v>5841</v>
      </c>
      <c r="N1067" s="140" t="s">
        <v>5842</v>
      </c>
      <c r="O1067" s="125"/>
      <c r="P1067" s="140" t="str">
        <f t="shared" ref="P1067:P1070" si="62"> SUBSTITUTE(lower(N1067), "/", "--") &amp;  ".pdf"</f>
        <v>10.1177--0001839219840022.pdf</v>
      </c>
      <c r="Q1067" s="52" t="str">
        <f t="array" ref="Q1067"> if(iserror(MATCH(V1067, 'File Links'!C:C, 0)), "N/A", HYPERLINK(INDEX('File Links'!B:B, MATCH(P1067, 'File Links'!C:C, 0))))</f>
        <v>https://drive.google.com/file/d/1gbKPV2rhuEZ5YY7sLWcOmdMsnKF1lOwO/view?usp=drivesdk</v>
      </c>
      <c r="R1067" s="140" t="s">
        <v>5850</v>
      </c>
      <c r="S1067" s="159" t="s">
        <v>3654</v>
      </c>
      <c r="T1067" s="147" t="s">
        <v>138</v>
      </c>
      <c r="U1067" s="147" t="s">
        <v>138</v>
      </c>
      <c r="V1067" s="198" t="str">
        <f t="shared" si="57"/>
        <v>10.1098--rsos.231240.pdf</v>
      </c>
      <c r="W1067" s="140" t="s">
        <v>3693</v>
      </c>
      <c r="X1067" s="54" t="str">
        <f t="array" ref="X1067"> if(iserror(MATCH(V1067, 'File Links'!C:C, 0)), "N/A", HYPERLINK(INDEX('File Links'!B:B, MATCH(V1067, 'File Links'!C:C, 0))))</f>
        <v>https://drive.google.com/file/d/17gaf2Zy_ljFfcAEDk5L8GBnTl5i7RGJE/view?usp=drivesdk</v>
      </c>
      <c r="Y1067" s="125"/>
      <c r="Z1067" s="140" t="s">
        <v>1809</v>
      </c>
      <c r="AA1067" s="125"/>
      <c r="AB1067" s="125"/>
      <c r="AC1067" s="125"/>
      <c r="AD1067" s="140" t="s">
        <v>5846</v>
      </c>
      <c r="AE1067" s="782">
        <v>16.0</v>
      </c>
      <c r="AF1067" s="782">
        <v>212.0</v>
      </c>
      <c r="AG1067" s="782">
        <v>0.655414885369319</v>
      </c>
      <c r="AH1067" s="140" t="s">
        <v>173</v>
      </c>
      <c r="AI1067" s="140" t="s">
        <v>182</v>
      </c>
      <c r="AJ1067" s="133">
        <v>0.001</v>
      </c>
      <c r="AK1067" s="126" t="s">
        <v>172</v>
      </c>
      <c r="AL1067" s="126" t="s">
        <v>136</v>
      </c>
      <c r="AM1067" s="140" t="s">
        <v>137</v>
      </c>
      <c r="AN1067" s="1322" t="s">
        <v>138</v>
      </c>
      <c r="AO1067" s="782">
        <v>137.0</v>
      </c>
      <c r="AP1067" s="782">
        <v>-0.0791498107444243</v>
      </c>
      <c r="AQ1067" s="140" t="s">
        <v>173</v>
      </c>
      <c r="AR1067" s="1322" t="s">
        <v>5604</v>
      </c>
      <c r="AS1067" s="782">
        <v>0.357634457118059</v>
      </c>
      <c r="AT1067" s="140" t="s">
        <v>172</v>
      </c>
      <c r="AU1067" s="140" t="s">
        <v>136</v>
      </c>
      <c r="AV1067" s="140" t="s">
        <v>137</v>
      </c>
      <c r="AW1067" s="1323" t="s">
        <v>138</v>
      </c>
      <c r="AX1067" s="140" t="s">
        <v>151</v>
      </c>
      <c r="AY1067" s="61" t="str">
        <f>IFERROR(__xludf.DUMMYFUNCTION("vlookup(BB1067,importrange(""https://docs.google.com/spreadsheets/d/1d2vevQ_7D_v35q4wCQ4RpQ_IPoTwEMB9Yp6ymwlPqew/edit?gid=984458430#gid=984458430"", ""'replication success'!A:K""), 11, FAlSE)"),"failed")</f>
        <v>failed</v>
      </c>
      <c r="AZ1067" s="61" t="str">
        <f>IFERROR(__xludf.DUMMYFUNCTION("vlookup(BB1067,importrange(""https://docs.google.com/spreadsheets/d/1d2vevQ_7D_v35q4wCQ4RpQ_IPoTwEMB9Yp6ymwlPqew/edit?gid=984458430#gid=984458430"",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7" s="61" t="str">
        <f>IFERROR(__xludf.DUMMYFUNCTION("vlookup(BB1067,importrange(""https://docs.google.com/spreadsheets/d/1d2vevQ_7D_v35q4wCQ4RpQ_IPoTwEMB9Yp6ymwlPqew/edit?gid=984458430#gid=984458430"",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v>
      </c>
      <c r="BB1067" s="61" t="str">
        <f>IFERROR(__xludf.DUMMYFUNCTION("REGEXREPLACE(G1067, ""_[a-z]{1,2}$"", """")"),"Boyce_etal202344")</f>
        <v>Boyce_etal202344</v>
      </c>
      <c r="BD1067" s="1322" t="s">
        <v>5605</v>
      </c>
    </row>
    <row r="1068">
      <c r="A1068" s="44">
        <v>1068.0</v>
      </c>
      <c r="B1068" s="129" t="s">
        <v>152</v>
      </c>
      <c r="C1068" s="62" t="s">
        <v>115</v>
      </c>
      <c r="D1068" s="62" t="s">
        <v>145</v>
      </c>
      <c r="E1068" s="365"/>
      <c r="F1068" s="1313" t="s">
        <v>5851</v>
      </c>
      <c r="G1068" s="1314" t="s">
        <v>5852</v>
      </c>
      <c r="H1068" s="1315" t="s">
        <v>5592</v>
      </c>
      <c r="I1068" s="1316">
        <v>45688.0</v>
      </c>
      <c r="J1068" s="1317">
        <v>45692.0</v>
      </c>
      <c r="K1068" s="1313"/>
      <c r="L1068" s="1322" t="s">
        <v>5853</v>
      </c>
      <c r="M1068" s="1315" t="s">
        <v>5854</v>
      </c>
      <c r="N1068" s="1313" t="s">
        <v>5855</v>
      </c>
      <c r="O1068" s="1315" t="s">
        <v>5562</v>
      </c>
      <c r="P1068" s="140" t="str">
        <f t="shared" si="62"/>
        <v>10.1016--j.jesp.2020.104019.pdf</v>
      </c>
      <c r="Q1068" s="52" t="str">
        <f t="array" ref="Q1068"> if(iserror(MATCH(V1068, 'File Links'!C:C, 0)), "N/A", HYPERLINK(INDEX('File Links'!B:B, MATCH(P1068, 'File Links'!C:C, 0))))</f>
        <v>https://drive.google.com/file/d/1HOPgbT8B7cSul5cTHeEI8GnCvj5F-kiw/view?usp=drivesdk</v>
      </c>
      <c r="R1068" s="1315" t="s">
        <v>3653</v>
      </c>
      <c r="S1068" s="159" t="s">
        <v>3654</v>
      </c>
      <c r="T1068" s="147" t="s">
        <v>138</v>
      </c>
      <c r="U1068" s="147" t="s">
        <v>138</v>
      </c>
      <c r="V1068" s="198" t="str">
        <f t="shared" si="57"/>
        <v>10.1098--rsos.231240.pdf</v>
      </c>
      <c r="W1068" s="140" t="s">
        <v>324</v>
      </c>
      <c r="X1068" s="54" t="str">
        <f t="array" ref="X1068"> if(iserror(MATCH(V1068, 'File Links'!C:C, 0)), "N/A", HYPERLINK(INDEX('File Links'!B:B, MATCH(V1068, 'File Links'!C:C, 0))))</f>
        <v>https://drive.google.com/file/d/17gaf2Zy_ljFfcAEDk5L8GBnTl5i7RGJE/view?usp=drivesdk</v>
      </c>
      <c r="Y1068" s="1313"/>
      <c r="Z1068" s="1315" t="s">
        <v>226</v>
      </c>
      <c r="AA1068" s="374" t="s">
        <v>138</v>
      </c>
      <c r="AB1068" s="1313" t="s">
        <v>5856</v>
      </c>
      <c r="AC1068" s="1315" t="s">
        <v>5857</v>
      </c>
      <c r="AD1068" s="140" t="s">
        <v>5858</v>
      </c>
      <c r="AE1068" s="782">
        <v>5.0</v>
      </c>
      <c r="AF1068" s="782">
        <v>372.0</v>
      </c>
      <c r="AG1068" s="782">
        <v>0.24</v>
      </c>
      <c r="AH1068" s="140" t="s">
        <v>173</v>
      </c>
      <c r="AI1068" s="140" t="s">
        <v>813</v>
      </c>
      <c r="AJ1068" s="133">
        <v>0.022</v>
      </c>
      <c r="AK1068" s="126" t="s">
        <v>172</v>
      </c>
      <c r="AL1068" s="126" t="s">
        <v>136</v>
      </c>
      <c r="AM1068" s="140" t="s">
        <v>137</v>
      </c>
      <c r="AN1068" s="1342" t="s">
        <v>5859</v>
      </c>
      <c r="AO1068" s="1318">
        <v>118.0</v>
      </c>
      <c r="AP1068" s="1341">
        <v>0.0985426851581148</v>
      </c>
      <c r="AQ1068" s="1313" t="s">
        <v>173</v>
      </c>
      <c r="AR1068" s="1322" t="s">
        <v>5604</v>
      </c>
      <c r="AS1068" s="1341">
        <v>0.288681420512208</v>
      </c>
      <c r="AT1068" s="1313" t="s">
        <v>172</v>
      </c>
      <c r="AU1068" s="1313" t="s">
        <v>186</v>
      </c>
      <c r="AV1068" s="1313" t="s">
        <v>137</v>
      </c>
      <c r="AW1068" s="1323" t="s">
        <v>138</v>
      </c>
      <c r="AX1068" s="1313" t="s">
        <v>143</v>
      </c>
      <c r="AY1068" s="61" t="str">
        <f>IFERROR(__xludf.DUMMYFUNCTION("vlookup(BB1068,importrange(""https://docs.google.com/spreadsheets/d/1d2vevQ_7D_v35q4wCQ4RpQ_IPoTwEMB9Yp6ymwlPqew/edit?gid=984458430#gid=984458430"", ""'replication success'!A:K""), 11, FAlSE)"),"failed")</f>
        <v>failed</v>
      </c>
      <c r="AZ1068" s="61" t="str">
        <f>IFERROR(__xludf.DUMMYFUNCTION("vlookup(BB1068,importrange(""https://docs.google.com/spreadsheets/d/1d2vevQ_7D_v35q4wCQ4RpQ_IPoTwEMB9Yp6ymwlPqew/edit?gid=984458430#gid=984458430"",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8" s="61" t="str">
        <f>IFERROR(__xludf.DUMMYFUNCTION("vlookup(BB1068,importrange(""https://docs.google.com/spreadsheets/d/1d2vevQ_7D_v35q4wCQ4RpQ_IPoTwEMB9Yp6ymwlPqew/edit?gid=984458430#gid=984458430"",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v>
      </c>
      <c r="BB1068" s="61" t="str">
        <f>IFERROR(__xludf.DUMMYFUNCTION("REGEXREPLACE(G1068, ""_[a-z]{1,2}$"", """")"),"Boyce_etal202345")</f>
        <v>Boyce_etal202345</v>
      </c>
      <c r="BD1068" s="1322" t="s">
        <v>5605</v>
      </c>
    </row>
    <row r="1069">
      <c r="A1069" s="44">
        <v>1069.0</v>
      </c>
      <c r="B1069" s="129" t="s">
        <v>152</v>
      </c>
      <c r="C1069" s="62" t="s">
        <v>115</v>
      </c>
      <c r="D1069" s="62" t="s">
        <v>145</v>
      </c>
      <c r="E1069" s="365"/>
      <c r="F1069" s="1313" t="s">
        <v>5851</v>
      </c>
      <c r="G1069" s="1314" t="s">
        <v>5860</v>
      </c>
      <c r="H1069" s="1315" t="s">
        <v>5592</v>
      </c>
      <c r="I1069" s="1316">
        <v>45688.0</v>
      </c>
      <c r="J1069" s="1317">
        <v>45692.0</v>
      </c>
      <c r="K1069" s="1313"/>
      <c r="L1069" s="1322" t="s">
        <v>5853</v>
      </c>
      <c r="M1069" s="1315" t="s">
        <v>5854</v>
      </c>
      <c r="N1069" s="1313" t="s">
        <v>5855</v>
      </c>
      <c r="O1069" s="1315" t="s">
        <v>5562</v>
      </c>
      <c r="P1069" s="140" t="str">
        <f t="shared" si="62"/>
        <v>10.1016--j.jesp.2020.104019.pdf</v>
      </c>
      <c r="Q1069" s="52" t="str">
        <f t="array" ref="Q1069"> if(iserror(MATCH(V1069, 'File Links'!C:C, 0)), "N/A", HYPERLINK(INDEX('File Links'!B:B, MATCH(P1069, 'File Links'!C:C, 0))))</f>
        <v>https://drive.google.com/file/d/1HOPgbT8B7cSul5cTHeEI8GnCvj5F-kiw/view?usp=drivesdk</v>
      </c>
      <c r="R1069" s="1315" t="s">
        <v>3653</v>
      </c>
      <c r="S1069" s="159" t="s">
        <v>3654</v>
      </c>
      <c r="T1069" s="147" t="s">
        <v>138</v>
      </c>
      <c r="U1069" s="147" t="s">
        <v>138</v>
      </c>
      <c r="V1069" s="198" t="str">
        <f t="shared" si="57"/>
        <v>10.1098--rsos.231240.pdf</v>
      </c>
      <c r="W1069" s="140" t="s">
        <v>324</v>
      </c>
      <c r="X1069" s="54" t="str">
        <f t="array" ref="X1069"> if(iserror(MATCH(V1069, 'File Links'!C:C, 0)), "N/A", HYPERLINK(INDEX('File Links'!B:B, MATCH(V1069, 'File Links'!C:C, 0))))</f>
        <v>https://drive.google.com/file/d/17gaf2Zy_ljFfcAEDk5L8GBnTl5i7RGJE/view?usp=drivesdk</v>
      </c>
      <c r="Y1069" s="1313"/>
      <c r="Z1069" s="1315" t="s">
        <v>226</v>
      </c>
      <c r="AA1069" s="374" t="s">
        <v>138</v>
      </c>
      <c r="AB1069" s="1313" t="s">
        <v>5856</v>
      </c>
      <c r="AC1069" s="1315" t="s">
        <v>5861</v>
      </c>
      <c r="AD1069" s="140" t="s">
        <v>5858</v>
      </c>
      <c r="AE1069" s="782">
        <v>5.0</v>
      </c>
      <c r="AF1069" s="782">
        <v>372.0</v>
      </c>
      <c r="AG1069" s="782">
        <v>0.24</v>
      </c>
      <c r="AH1069" s="140" t="s">
        <v>173</v>
      </c>
      <c r="AI1069" s="140" t="s">
        <v>813</v>
      </c>
      <c r="AJ1069" s="133">
        <v>0.022</v>
      </c>
      <c r="AK1069" s="126" t="s">
        <v>172</v>
      </c>
      <c r="AL1069" s="126" t="s">
        <v>136</v>
      </c>
      <c r="AM1069" s="140" t="s">
        <v>137</v>
      </c>
      <c r="AN1069" s="1342" t="s">
        <v>5859</v>
      </c>
      <c r="AO1069" s="1318">
        <v>118.0</v>
      </c>
      <c r="AP1069" s="1341">
        <v>0.0985426851581148</v>
      </c>
      <c r="AQ1069" s="1313" t="s">
        <v>173</v>
      </c>
      <c r="AR1069" s="1322" t="s">
        <v>5604</v>
      </c>
      <c r="AS1069" s="1341">
        <v>0.288681420512208</v>
      </c>
      <c r="AT1069" s="1313" t="s">
        <v>172</v>
      </c>
      <c r="AU1069" s="1313" t="s">
        <v>186</v>
      </c>
      <c r="AV1069" s="1313" t="s">
        <v>137</v>
      </c>
      <c r="AW1069" s="1323" t="s">
        <v>138</v>
      </c>
      <c r="AX1069" s="1313" t="s">
        <v>143</v>
      </c>
      <c r="AY1069" s="61" t="str">
        <f>IFERROR(__xludf.DUMMYFUNCTION("vlookup(BB1069,importrange(""https://docs.google.com/spreadsheets/d/1d2vevQ_7D_v35q4wCQ4RpQ_IPoTwEMB9Yp6ymwlPqew/edit?gid=984458430#gid=984458430"", ""'replication success'!A:K""), 11, FAlSE)"),"failed")</f>
        <v>failed</v>
      </c>
      <c r="AZ1069" s="61" t="str">
        <f>IFERROR(__xludf.DUMMYFUNCTION("vlookup(BB1069,importrange(""https://docs.google.com/spreadsheets/d/1d2vevQ_7D_v35q4wCQ4RpQ_IPoTwEMB9Yp6ymwlPqew/edit?gid=984458430#gid=984458430"",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69" s="61" t="str">
        <f>IFERROR(__xludf.DUMMYFUNCTION("vlookup(BB1069,importrange(""https://docs.google.com/spreadsheets/d/1d2vevQ_7D_v35q4wCQ4RpQ_IPoTwEMB9Yp6ymwlPqew/edit?gid=984458430#gid=984458430"",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v>
      </c>
      <c r="BB1069" s="61" t="str">
        <f>IFERROR(__xludf.DUMMYFUNCTION("REGEXREPLACE(G1069, ""_[a-z]{1,2}$"", """")"),"Boyce_etal202345")</f>
        <v>Boyce_etal202345</v>
      </c>
      <c r="BD1069" s="1322" t="s">
        <v>5605</v>
      </c>
    </row>
    <row r="1070">
      <c r="A1070" s="44">
        <v>1070.0</v>
      </c>
      <c r="B1070" s="129" t="s">
        <v>114</v>
      </c>
      <c r="C1070" s="62" t="s">
        <v>115</v>
      </c>
      <c r="D1070" s="62" t="s">
        <v>248</v>
      </c>
      <c r="E1070" s="365"/>
      <c r="F1070" s="126" t="s">
        <v>5851</v>
      </c>
      <c r="G1070" s="119" t="s">
        <v>5852</v>
      </c>
      <c r="H1070" s="140" t="s">
        <v>249</v>
      </c>
      <c r="I1070" s="317">
        <v>45665.0</v>
      </c>
      <c r="J1070" s="1326">
        <v>45692.0</v>
      </c>
      <c r="K1070" s="125"/>
      <c r="L1070" s="125" t="s">
        <v>5594</v>
      </c>
      <c r="M1070" s="140" t="s">
        <v>5854</v>
      </c>
      <c r="N1070" s="140" t="s">
        <v>5855</v>
      </c>
      <c r="O1070" s="125"/>
      <c r="P1070" s="140" t="str">
        <f t="shared" si="62"/>
        <v>10.1016--j.jesp.2020.104019.pdf</v>
      </c>
      <c r="Q1070" s="52" t="str">
        <f t="array" ref="Q1070"> if(iserror(MATCH(V1070, 'File Links'!C:C, 0)), "N/A", HYPERLINK(INDEX('File Links'!B:B, MATCH(P1070, 'File Links'!C:C, 0))))</f>
        <v>https://drive.google.com/file/d/1HOPgbT8B7cSul5cTHeEI8GnCvj5F-kiw/view?usp=drivesdk</v>
      </c>
      <c r="R1070" s="140" t="s">
        <v>5862</v>
      </c>
      <c r="S1070" s="159" t="s">
        <v>3654</v>
      </c>
      <c r="T1070" s="147" t="s">
        <v>138</v>
      </c>
      <c r="U1070" s="147" t="s">
        <v>138</v>
      </c>
      <c r="V1070" s="198" t="str">
        <f t="shared" si="57"/>
        <v>10.1098--rsos.231240.pdf</v>
      </c>
      <c r="W1070" s="140" t="s">
        <v>324</v>
      </c>
      <c r="X1070" s="54" t="str">
        <f t="array" ref="X1070"> if(iserror(MATCH(V1070, 'File Links'!C:C, 0)), "N/A", HYPERLINK(INDEX('File Links'!B:B, MATCH(V1070, 'File Links'!C:C, 0))))</f>
        <v>https://drive.google.com/file/d/17gaf2Zy_ljFfcAEDk5L8GBnTl5i7RGJE/view?usp=drivesdk</v>
      </c>
      <c r="Y1070" s="125"/>
      <c r="Z1070" s="140" t="s">
        <v>226</v>
      </c>
      <c r="AA1070" s="125"/>
      <c r="AB1070" s="125"/>
      <c r="AC1070" s="125"/>
      <c r="AD1070" s="140" t="s">
        <v>5858</v>
      </c>
      <c r="AE1070" s="782">
        <v>5.0</v>
      </c>
      <c r="AF1070" s="782">
        <v>372.0</v>
      </c>
      <c r="AG1070" s="782">
        <v>0.24</v>
      </c>
      <c r="AH1070" s="140" t="s">
        <v>173</v>
      </c>
      <c r="AI1070" s="140" t="s">
        <v>813</v>
      </c>
      <c r="AJ1070" s="133">
        <v>0.022</v>
      </c>
      <c r="AK1070" s="126" t="s">
        <v>172</v>
      </c>
      <c r="AL1070" s="126" t="s">
        <v>136</v>
      </c>
      <c r="AM1070" s="140" t="s">
        <v>137</v>
      </c>
      <c r="AN1070" s="1349" t="s">
        <v>5863</v>
      </c>
      <c r="AO1070" s="782">
        <v>118.0</v>
      </c>
      <c r="AP1070" s="782">
        <v>0.0985426851581148</v>
      </c>
      <c r="AQ1070" s="140" t="s">
        <v>173</v>
      </c>
      <c r="AR1070" s="1322" t="s">
        <v>5604</v>
      </c>
      <c r="AS1070" s="782">
        <v>0.288681420512208</v>
      </c>
      <c r="AT1070" s="140" t="s">
        <v>172</v>
      </c>
      <c r="AU1070" s="140" t="s">
        <v>136</v>
      </c>
      <c r="AV1070" s="140" t="s">
        <v>137</v>
      </c>
      <c r="AW1070" s="1323" t="s">
        <v>138</v>
      </c>
      <c r="AX1070" s="140" t="s">
        <v>143</v>
      </c>
      <c r="AY1070" s="61" t="str">
        <f>IFERROR(__xludf.DUMMYFUNCTION("vlookup(BB1070,importrange(""https://docs.google.com/spreadsheets/d/1d2vevQ_7D_v35q4wCQ4RpQ_IPoTwEMB9Yp6ymwlPqew/edit?gid=984458430#gid=984458430"", ""'replication success'!A:K""), 11, FAlSE)"),"failed")</f>
        <v>failed</v>
      </c>
      <c r="AZ1070" s="61" t="str">
        <f>IFERROR(__xludf.DUMMYFUNCTION("vlookup(BB1070,importrange(""https://docs.google.com/spreadsheets/d/1d2vevQ_7D_v35q4wCQ4RpQ_IPoTwEMB9Yp6ymwlPqew/edit?gid=984458430#gid=984458430"",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70" s="61" t="str">
        <f>IFERROR(__xludf.DUMMYFUNCTION("vlookup(BB1070,importrange(""https://docs.google.com/spreadsheets/d/1d2vevQ_7D_v35q4wCQ4RpQ_IPoTwEMB9Yp6ymwlPqew/edit?gid=984458430#gid=984458430"",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v>
      </c>
      <c r="BB1070" s="61" t="str">
        <f>IFERROR(__xludf.DUMMYFUNCTION("REGEXREPLACE(G1070, ""_[a-z]{1,2}$"", """")"),"Boyce_etal202345")</f>
        <v>Boyce_etal202345</v>
      </c>
      <c r="BD1070" s="1322" t="s">
        <v>5605</v>
      </c>
    </row>
    <row r="1071">
      <c r="A1071" s="44">
        <v>1071.0</v>
      </c>
      <c r="B1071" s="68" t="s">
        <v>114</v>
      </c>
      <c r="C1071" s="62" t="s">
        <v>115</v>
      </c>
      <c r="D1071" s="62" t="s">
        <v>145</v>
      </c>
      <c r="E1071" s="365"/>
      <c r="F1071" s="1313" t="s">
        <v>5864</v>
      </c>
      <c r="G1071" s="1314" t="s">
        <v>5865</v>
      </c>
      <c r="H1071" s="1315" t="s">
        <v>5592</v>
      </c>
      <c r="I1071" s="1316">
        <v>45688.0</v>
      </c>
      <c r="J1071" s="1317">
        <v>45692.0</v>
      </c>
      <c r="K1071" s="1313" t="s">
        <v>5677</v>
      </c>
      <c r="L1071" s="1313" t="s">
        <v>5594</v>
      </c>
      <c r="M1071" s="1315" t="s">
        <v>5866</v>
      </c>
      <c r="N1071" s="1315" t="s">
        <v>5867</v>
      </c>
      <c r="O1071" s="1318">
        <v>1.0</v>
      </c>
      <c r="P1071" s="1315" t="s">
        <v>5868</v>
      </c>
      <c r="Q1071" s="52" t="str">
        <f t="array" ref="Q1071"> if(iserror(MATCH(V1071, 'File Links'!C:C, 0)), "N/A", HYPERLINK(INDEX('File Links'!B:B, MATCH(P1071, 'File Links'!C:C, 0))))</f>
        <v>https://drive.google.com/file/d/1UjvynnYEPZHicucFMnLs5zd6tciLP1ET/view?usp=drivesdk</v>
      </c>
      <c r="R1071" s="1315" t="s">
        <v>3653</v>
      </c>
      <c r="S1071" s="159" t="s">
        <v>3654</v>
      </c>
      <c r="T1071" s="147" t="s">
        <v>138</v>
      </c>
      <c r="U1071" s="147" t="s">
        <v>138</v>
      </c>
      <c r="V1071" s="198" t="str">
        <f t="shared" si="57"/>
        <v>10.1098--rsos.231240.pdf</v>
      </c>
      <c r="W1071" s="140" t="s">
        <v>324</v>
      </c>
      <c r="X1071" s="54" t="str">
        <f t="array" ref="X1071"> if(iserror(MATCH(V1071, 'File Links'!C:C, 0)), "N/A", HYPERLINK(INDEX('File Links'!B:B, MATCH(V1071, 'File Links'!C:C, 0))))</f>
        <v>https://drive.google.com/file/d/17gaf2Zy_ljFfcAEDk5L8GBnTl5i7RGJE/view?usp=drivesdk</v>
      </c>
      <c r="Y1071" s="1313"/>
      <c r="Z1071" s="1315" t="s">
        <v>148</v>
      </c>
      <c r="AA1071" s="1313" t="s">
        <v>1535</v>
      </c>
      <c r="AB1071" s="1313" t="s">
        <v>5869</v>
      </c>
      <c r="AC1071" s="1315" t="s">
        <v>5870</v>
      </c>
      <c r="AD1071" s="1313" t="s">
        <v>1535</v>
      </c>
      <c r="AE1071" s="1313" t="s">
        <v>1535</v>
      </c>
      <c r="AF1071" s="1318">
        <v>180.0</v>
      </c>
      <c r="AG1071" s="1313" t="s">
        <v>1535</v>
      </c>
      <c r="AH1071" s="167" t="s">
        <v>138</v>
      </c>
      <c r="AI1071" s="1313" t="s">
        <v>1535</v>
      </c>
      <c r="AJ1071" s="1320" t="s">
        <v>1535</v>
      </c>
      <c r="AK1071" s="1321" t="s">
        <v>1535</v>
      </c>
      <c r="AL1071" s="1321" t="s">
        <v>186</v>
      </c>
      <c r="AM1071" s="1313" t="s">
        <v>137</v>
      </c>
      <c r="AN1071" s="1322" t="s">
        <v>138</v>
      </c>
      <c r="AO1071" s="1318">
        <v>179.0</v>
      </c>
      <c r="AP1071" s="1322" t="s">
        <v>138</v>
      </c>
      <c r="AQ1071" s="129" t="s">
        <v>138</v>
      </c>
      <c r="AR1071" s="1322" t="s">
        <v>5604</v>
      </c>
      <c r="AS1071" s="1313" t="s">
        <v>1535</v>
      </c>
      <c r="AT1071" s="1313" t="s">
        <v>1535</v>
      </c>
      <c r="AU1071" s="1313" t="s">
        <v>186</v>
      </c>
      <c r="AV1071" s="1313" t="s">
        <v>137</v>
      </c>
      <c r="AW1071" s="1323" t="s">
        <v>138</v>
      </c>
      <c r="AX1071" s="1313" t="s">
        <v>143</v>
      </c>
      <c r="AY1071" s="61" t="str">
        <f>IFERROR(__xludf.DUMMYFUNCTION("vlookup(BB1071,importrange(""https://docs.google.com/spreadsheets/d/1d2vevQ_7D_v35q4wCQ4RpQ_IPoTwEMB9Yp6ymwlPqew/edit?gid=984458430#gid=984458430"", ""'replication success'!A:K""), 11, FAlSE)"),"")</f>
        <v/>
      </c>
      <c r="AZ1071" s="61" t="str">
        <f>IFERROR(__xludf.DUMMYFUNCTION("vlookup(BB1071,importrange(""https://docs.google.com/spreadsheets/d/1d2vevQ_7D_v35q4wCQ4RpQ_IPoTwEMB9Yp6ymwlPqew/edit?gid=984458430#gid=984458430"", ""'replication success'!A:M""), 12, FAlSE)"),"")</f>
        <v/>
      </c>
      <c r="BA1071" s="61" t="str">
        <f>IFERROR(__xludf.DUMMYFUNCTION("vlookup(BB1071,importrange(""https://docs.google.com/spreadsheets/d/1d2vevQ_7D_v35q4wCQ4RpQ_IPoTwEMB9Yp6ymwlPqew/edit?gid=984458430#gid=984458430"",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v>
      </c>
      <c r="BB1071" s="61" t="str">
        <f>IFERROR(__xludf.DUMMYFUNCTION("REGEXREPLACE(G1071, ""_[a-z]{1,2}$"", """")"),"Boyce_etal202346")</f>
        <v>Boyce_etal202346</v>
      </c>
      <c r="BD1071" s="1322" t="s">
        <v>5605</v>
      </c>
    </row>
    <row r="1072">
      <c r="A1072" s="44">
        <v>1072.0</v>
      </c>
      <c r="B1072" s="129" t="s">
        <v>152</v>
      </c>
      <c r="C1072" s="62" t="s">
        <v>115</v>
      </c>
      <c r="D1072" s="62" t="s">
        <v>248</v>
      </c>
      <c r="E1072" s="365"/>
      <c r="F1072" s="126" t="s">
        <v>5864</v>
      </c>
      <c r="G1072" s="119" t="s">
        <v>5865</v>
      </c>
      <c r="H1072" s="140" t="s">
        <v>249</v>
      </c>
      <c r="I1072" s="317">
        <v>45665.0</v>
      </c>
      <c r="J1072" s="1326">
        <v>45692.0</v>
      </c>
      <c r="K1072" s="125"/>
      <c r="L1072" s="125" t="s">
        <v>5594</v>
      </c>
      <c r="M1072" s="140" t="s">
        <v>5866</v>
      </c>
      <c r="N1072" s="140" t="s">
        <v>5867</v>
      </c>
      <c r="O1072" s="1318">
        <v>1.0</v>
      </c>
      <c r="P1072" s="140" t="str">
        <f t="shared" ref="P1072:P1078" si="63"> SUBSTITUTE(lower(N1072), "/", "--") &amp;  ".pdf"</f>
        <v>10.1073--pnas.1216438110.pdf</v>
      </c>
      <c r="Q1072" s="52" t="str">
        <f t="array" ref="Q1072"> if(iserror(MATCH(V1072, 'File Links'!C:C, 0)), "N/A", HYPERLINK(INDEX('File Links'!B:B, MATCH(P1072, 'File Links'!C:C, 0))))</f>
        <v>https://drive.google.com/file/d/1UjvynnYEPZHicucFMnLs5zd6tciLP1ET/view?usp=drivesdk</v>
      </c>
      <c r="R1072" s="140" t="s">
        <v>5871</v>
      </c>
      <c r="S1072" s="159" t="s">
        <v>3654</v>
      </c>
      <c r="T1072" s="147" t="s">
        <v>138</v>
      </c>
      <c r="U1072" s="147" t="s">
        <v>138</v>
      </c>
      <c r="V1072" s="198" t="str">
        <f t="shared" si="57"/>
        <v>10.1098--rsos.231240.pdf</v>
      </c>
      <c r="W1072" s="140" t="s">
        <v>324</v>
      </c>
      <c r="X1072" s="54" t="str">
        <f t="array" ref="X1072"> if(iserror(MATCH(V1072, 'File Links'!C:C, 0)), "N/A", HYPERLINK(INDEX('File Links'!B:B, MATCH(V1072, 'File Links'!C:C, 0))))</f>
        <v>https://drive.google.com/file/d/17gaf2Zy_ljFfcAEDk5L8GBnTl5i7RGJE/view?usp=drivesdk</v>
      </c>
      <c r="Y1072" s="125"/>
      <c r="Z1072" s="140" t="s">
        <v>148</v>
      </c>
      <c r="AA1072" s="219" t="s">
        <v>138</v>
      </c>
      <c r="AB1072" s="1313" t="s">
        <v>5869</v>
      </c>
      <c r="AC1072" s="1315" t="s">
        <v>5870</v>
      </c>
      <c r="AD1072" s="140" t="s">
        <v>5872</v>
      </c>
      <c r="AE1072" s="782">
        <v>8054.0</v>
      </c>
      <c r="AF1072" s="782">
        <v>180.0</v>
      </c>
      <c r="AG1072" s="782">
        <v>3.37</v>
      </c>
      <c r="AH1072" s="140" t="s">
        <v>987</v>
      </c>
      <c r="AI1072" s="140" t="s">
        <v>5873</v>
      </c>
      <c r="AJ1072" s="133">
        <v>1.0E-4</v>
      </c>
      <c r="AK1072" s="126" t="s">
        <v>135</v>
      </c>
      <c r="AL1072" s="126" t="s">
        <v>186</v>
      </c>
      <c r="AM1072" s="140" t="s">
        <v>141</v>
      </c>
      <c r="AN1072" s="1322" t="s">
        <v>138</v>
      </c>
      <c r="AO1072" s="782">
        <v>179.0</v>
      </c>
      <c r="AP1072" s="782">
        <v>-1.827</v>
      </c>
      <c r="AQ1072" s="140" t="s">
        <v>987</v>
      </c>
      <c r="AR1072" s="1322" t="s">
        <v>5604</v>
      </c>
      <c r="AS1072" s="1343">
        <v>1.0E-4</v>
      </c>
      <c r="AT1072" s="140" t="s">
        <v>135</v>
      </c>
      <c r="AU1072" s="140" t="s">
        <v>186</v>
      </c>
      <c r="AV1072" s="140" t="s">
        <v>141</v>
      </c>
      <c r="AW1072" s="1323" t="s">
        <v>138</v>
      </c>
      <c r="AX1072" s="140" t="s">
        <v>143</v>
      </c>
      <c r="AY1072" s="61" t="str">
        <f>IFERROR(__xludf.DUMMYFUNCTION("vlookup(BB1072,importrange(""https://docs.google.com/spreadsheets/d/1d2vevQ_7D_v35q4wCQ4RpQ_IPoTwEMB9Yp6ymwlPqew/edit?gid=984458430#gid=984458430"", ""'replication success'!A:K""), 11, FAlSE)"),"")</f>
        <v/>
      </c>
      <c r="AZ1072" s="61" t="str">
        <f>IFERROR(__xludf.DUMMYFUNCTION("vlookup(BB1072,importrange(""https://docs.google.com/spreadsheets/d/1d2vevQ_7D_v35q4wCQ4RpQ_IPoTwEMB9Yp6ymwlPqew/edit?gid=984458430#gid=984458430"", ""'replication success'!A:M""), 12, FAlSE)"),"")</f>
        <v/>
      </c>
      <c r="BA1072" s="61" t="str">
        <f>IFERROR(__xludf.DUMMYFUNCTION("vlookup(BB1072,importrange(""https://docs.google.com/spreadsheets/d/1d2vevQ_7D_v35q4wCQ4RpQ_IPoTwEMB9Yp6ymwlPqew/edit?gid=984458430#gid=984458430"",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v>
      </c>
      <c r="BB1072" s="61" t="str">
        <f>IFERROR(__xludf.DUMMYFUNCTION("REGEXREPLACE(G1072, ""_[a-z]{1,2}$"", """")"),"Boyce_etal202346")</f>
        <v>Boyce_etal202346</v>
      </c>
      <c r="BD1072" s="1322" t="s">
        <v>5605</v>
      </c>
    </row>
    <row r="1073">
      <c r="A1073" s="44">
        <v>1073.0</v>
      </c>
      <c r="B1073" s="129" t="s">
        <v>152</v>
      </c>
      <c r="C1073" s="62" t="s">
        <v>115</v>
      </c>
      <c r="D1073" s="62" t="s">
        <v>145</v>
      </c>
      <c r="E1073" s="365"/>
      <c r="F1073" s="1313" t="s">
        <v>5874</v>
      </c>
      <c r="G1073" s="1314" t="s">
        <v>5875</v>
      </c>
      <c r="H1073" s="1315" t="s">
        <v>5592</v>
      </c>
      <c r="I1073" s="1316">
        <v>45688.0</v>
      </c>
      <c r="J1073" s="1317">
        <v>45692.0</v>
      </c>
      <c r="K1073" s="1313"/>
      <c r="L1073" s="1313" t="s">
        <v>5594</v>
      </c>
      <c r="M1073" s="1315" t="s">
        <v>5876</v>
      </c>
      <c r="N1073" s="1313" t="s">
        <v>5877</v>
      </c>
      <c r="O1073" s="1318">
        <v>5.0</v>
      </c>
      <c r="P1073" s="140" t="str">
        <f t="shared" si="63"/>
        <v>10.1016--0010-0285(83)90002-6.pdf</v>
      </c>
      <c r="Q1073" s="52" t="str">
        <f t="array" ref="Q1073"> if(iserror(MATCH(V1073, 'File Links'!C:C, 0)), "N/A", HYPERLINK(INDEX('File Links'!B:B, MATCH(P1073, 'File Links'!C:C, 0))))</f>
        <v>https://drive.google.com/file/d/1VK50exEXQ_rClong6zFoFteT2CKKkjmO/view?usp=drivesdk</v>
      </c>
      <c r="R1073" s="1315" t="s">
        <v>3653</v>
      </c>
      <c r="S1073" s="159" t="s">
        <v>3654</v>
      </c>
      <c r="T1073" s="147" t="s">
        <v>138</v>
      </c>
      <c r="U1073" s="147" t="s">
        <v>138</v>
      </c>
      <c r="V1073" s="198" t="str">
        <f t="shared" si="57"/>
        <v>10.1098--rsos.231240.pdf</v>
      </c>
      <c r="W1073" s="140" t="s">
        <v>3665</v>
      </c>
      <c r="X1073" s="54" t="str">
        <f t="array" ref="X1073"> if(iserror(MATCH(V1073, 'File Links'!C:C, 0)), "N/A", HYPERLINK(INDEX('File Links'!B:B, MATCH(V1073, 'File Links'!C:C, 0))))</f>
        <v>https://drive.google.com/file/d/17gaf2Zy_ljFfcAEDk5L8GBnTl5i7RGJE/view?usp=drivesdk</v>
      </c>
      <c r="Y1073" s="1313"/>
      <c r="Z1073" s="1315" t="s">
        <v>148</v>
      </c>
      <c r="AA1073" s="374" t="s">
        <v>138</v>
      </c>
      <c r="AB1073" s="1313" t="s">
        <v>5878</v>
      </c>
      <c r="AC1073" s="1315" t="s">
        <v>5879</v>
      </c>
      <c r="AD1073" s="1313" t="s">
        <v>5880</v>
      </c>
      <c r="AE1073" s="1341">
        <v>26.0</v>
      </c>
      <c r="AF1073" s="1318">
        <v>143.0</v>
      </c>
      <c r="AG1073" s="1313" t="s">
        <v>5881</v>
      </c>
      <c r="AH1073" s="1313" t="s">
        <v>134</v>
      </c>
      <c r="AI1073" s="1313" t="s">
        <v>2301</v>
      </c>
      <c r="AJ1073" s="1325">
        <v>0.01</v>
      </c>
      <c r="AK1073" s="1321" t="s">
        <v>135</v>
      </c>
      <c r="AL1073" s="1321" t="s">
        <v>186</v>
      </c>
      <c r="AM1073" s="1313" t="s">
        <v>137</v>
      </c>
      <c r="AN1073" s="1322" t="s">
        <v>138</v>
      </c>
      <c r="AO1073" s="1318">
        <v>175.0</v>
      </c>
      <c r="AP1073" s="1313" t="s">
        <v>5882</v>
      </c>
      <c r="AQ1073" s="129" t="s">
        <v>138</v>
      </c>
      <c r="AR1073" s="1322" t="s">
        <v>5604</v>
      </c>
      <c r="AS1073" s="374" t="s">
        <v>138</v>
      </c>
      <c r="AT1073" s="219" t="s">
        <v>138</v>
      </c>
      <c r="AU1073" s="1313" t="s">
        <v>186</v>
      </c>
      <c r="AV1073" s="1313" t="s">
        <v>137</v>
      </c>
      <c r="AW1073" s="1323" t="s">
        <v>138</v>
      </c>
      <c r="AX1073" s="1313" t="s">
        <v>143</v>
      </c>
      <c r="AY1073" s="61" t="str">
        <f>IFERROR(__xludf.DUMMYFUNCTION("vlookup(BB1073,importrange(""https://docs.google.com/spreadsheets/d/1d2vevQ_7D_v35q4wCQ4RpQ_IPoTwEMB9Yp6ymwlPqew/edit?gid=984458430#gid=984458430"", ""'replication success'!A:K""), 11, FAlSE)"),"")</f>
        <v/>
      </c>
      <c r="AZ1073" s="61" t="str">
        <f>IFERROR(__xludf.DUMMYFUNCTION("vlookup(BB1073,importrange(""https://docs.google.com/spreadsheets/d/1d2vevQ_7D_v35q4wCQ4RpQ_IPoTwEMB9Yp6ymwlPqew/edit?gid=984458430#gid=984458430"", ""'replication success'!A:M""), 12, FAlSE)"),"")</f>
        <v/>
      </c>
      <c r="BA1073" s="61" t="str">
        <f>IFERROR(__xludf.DUMMYFUNCTION("vlookup(BB1073,importrange(""https://docs.google.com/spreadsheets/d/1d2vevQ_7D_v35q4wCQ4RpQ_IPoTwEMB9Yp6ymwlPqew/edit?gid=984458430#gid=984458430"",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v>
      </c>
      <c r="BB1073" s="61" t="str">
        <f>IFERROR(__xludf.DUMMYFUNCTION("REGEXREPLACE(G1073, ""_[a-z]{1,2}$"", """")"),"Boyce_etal202347")</f>
        <v>Boyce_etal202347</v>
      </c>
      <c r="BD1073" s="1322" t="s">
        <v>5605</v>
      </c>
    </row>
    <row r="1074">
      <c r="A1074" s="44">
        <v>1074.0</v>
      </c>
      <c r="B1074" s="129" t="s">
        <v>114</v>
      </c>
      <c r="C1074" s="62" t="s">
        <v>115</v>
      </c>
      <c r="D1074" s="62" t="s">
        <v>248</v>
      </c>
      <c r="E1074" s="365"/>
      <c r="F1074" s="126" t="s">
        <v>5874</v>
      </c>
      <c r="G1074" s="119" t="s">
        <v>5875</v>
      </c>
      <c r="H1074" s="140" t="s">
        <v>249</v>
      </c>
      <c r="I1074" s="317">
        <v>45665.0</v>
      </c>
      <c r="J1074" s="1326">
        <v>45692.0</v>
      </c>
      <c r="K1074" s="140" t="s">
        <v>5883</v>
      </c>
      <c r="L1074" s="125" t="s">
        <v>5884</v>
      </c>
      <c r="M1074" s="140" t="s">
        <v>5876</v>
      </c>
      <c r="N1074" s="140" t="s">
        <v>5877</v>
      </c>
      <c r="O1074" s="1318">
        <v>5.0</v>
      </c>
      <c r="P1074" s="140" t="str">
        <f t="shared" si="63"/>
        <v>10.1016--0010-0285(83)90002-6.pdf</v>
      </c>
      <c r="Q1074" s="52" t="str">
        <f t="array" ref="Q1074"> if(iserror(MATCH(V1074, 'File Links'!C:C, 0)), "N/A", HYPERLINK(INDEX('File Links'!B:B, MATCH(P1074, 'File Links'!C:C, 0))))</f>
        <v>https://drive.google.com/file/d/1VK50exEXQ_rClong6zFoFteT2CKKkjmO/view?usp=drivesdk</v>
      </c>
      <c r="R1074" s="140" t="s">
        <v>5885</v>
      </c>
      <c r="S1074" s="159" t="s">
        <v>3654</v>
      </c>
      <c r="T1074" s="147" t="s">
        <v>138</v>
      </c>
      <c r="U1074" s="147" t="s">
        <v>138</v>
      </c>
      <c r="V1074" s="198" t="str">
        <f t="shared" si="57"/>
        <v>10.1098--rsos.231240.pdf</v>
      </c>
      <c r="W1074" s="140" t="s">
        <v>3665</v>
      </c>
      <c r="X1074" s="54" t="str">
        <f t="array" ref="X1074"> if(iserror(MATCH(V1074, 'File Links'!C:C, 0)), "N/A", HYPERLINK(INDEX('File Links'!B:B, MATCH(V1074, 'File Links'!C:C, 0))))</f>
        <v>https://drive.google.com/file/d/17gaf2Zy_ljFfcAEDk5L8GBnTl5i7RGJE/view?usp=drivesdk</v>
      </c>
      <c r="Y1074" s="125"/>
      <c r="Z1074" s="140" t="s">
        <v>148</v>
      </c>
      <c r="AA1074" s="125"/>
      <c r="AB1074" s="125"/>
      <c r="AC1074" s="125"/>
      <c r="AD1074" s="140" t="s">
        <v>138</v>
      </c>
      <c r="AE1074" s="140" t="s">
        <v>138</v>
      </c>
      <c r="AF1074" s="782">
        <v>143.0</v>
      </c>
      <c r="AG1074" s="140" t="s">
        <v>138</v>
      </c>
      <c r="AH1074" s="167" t="s">
        <v>138</v>
      </c>
      <c r="AI1074" s="140" t="s">
        <v>138</v>
      </c>
      <c r="AJ1074" s="223" t="s">
        <v>138</v>
      </c>
      <c r="AK1074" s="132"/>
      <c r="AL1074" s="126" t="s">
        <v>186</v>
      </c>
      <c r="AM1074" s="140" t="s">
        <v>1905</v>
      </c>
      <c r="AN1074" s="1322" t="s">
        <v>138</v>
      </c>
      <c r="AO1074" s="782">
        <v>175.0</v>
      </c>
      <c r="AP1074" s="140" t="s">
        <v>138</v>
      </c>
      <c r="AQ1074" s="125"/>
      <c r="AR1074" s="1322" t="s">
        <v>5604</v>
      </c>
      <c r="AS1074" s="1350" t="s">
        <v>138</v>
      </c>
      <c r="AT1074" s="125"/>
      <c r="AU1074" s="140" t="s">
        <v>186</v>
      </c>
      <c r="AV1074" s="140" t="s">
        <v>1905</v>
      </c>
      <c r="AW1074" s="1323" t="s">
        <v>138</v>
      </c>
      <c r="AX1074" s="140" t="s">
        <v>143</v>
      </c>
      <c r="AY1074" s="61" t="str">
        <f>IFERROR(__xludf.DUMMYFUNCTION("vlookup(BB1074,importrange(""https://docs.google.com/spreadsheets/d/1d2vevQ_7D_v35q4wCQ4RpQ_IPoTwEMB9Yp6ymwlPqew/edit?gid=984458430#gid=984458430"", ""'replication success'!A:K""), 11, FAlSE)"),"")</f>
        <v/>
      </c>
      <c r="AZ1074" s="61" t="str">
        <f>IFERROR(__xludf.DUMMYFUNCTION("vlookup(BB1074,importrange(""https://docs.google.com/spreadsheets/d/1d2vevQ_7D_v35q4wCQ4RpQ_IPoTwEMB9Yp6ymwlPqew/edit?gid=984458430#gid=984458430"", ""'replication success'!A:M""), 12, FAlSE)"),"")</f>
        <v/>
      </c>
      <c r="BA1074" s="61" t="str">
        <f>IFERROR(__xludf.DUMMYFUNCTION("vlookup(BB1074,importrange(""https://docs.google.com/spreadsheets/d/1d2vevQ_7D_v35q4wCQ4RpQ_IPoTwEMB9Yp6ymwlPqew/edit?gid=984458430#gid=984458430"",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v>
      </c>
      <c r="BB1074" s="61" t="str">
        <f>IFERROR(__xludf.DUMMYFUNCTION("REGEXREPLACE(G1074, ""_[a-z]{1,2}$"", """")"),"Boyce_etal202347")</f>
        <v>Boyce_etal202347</v>
      </c>
      <c r="BD1074" s="1322" t="s">
        <v>5605</v>
      </c>
    </row>
    <row r="1075">
      <c r="A1075" s="44">
        <v>1075.0</v>
      </c>
      <c r="B1075" s="129" t="s">
        <v>152</v>
      </c>
      <c r="C1075" s="62" t="s">
        <v>115</v>
      </c>
      <c r="D1075" s="62" t="s">
        <v>145</v>
      </c>
      <c r="E1075" s="365"/>
      <c r="F1075" s="1313" t="s">
        <v>5886</v>
      </c>
      <c r="G1075" s="1314" t="s">
        <v>5887</v>
      </c>
      <c r="H1075" s="1315" t="s">
        <v>5592</v>
      </c>
      <c r="I1075" s="1316">
        <v>45688.0</v>
      </c>
      <c r="J1075" s="1317">
        <v>45692.0</v>
      </c>
      <c r="K1075" s="1339" t="s">
        <v>5888</v>
      </c>
      <c r="L1075" s="1313" t="s">
        <v>5594</v>
      </c>
      <c r="M1075" s="1315" t="s">
        <v>5889</v>
      </c>
      <c r="N1075" s="1313" t="s">
        <v>5890</v>
      </c>
      <c r="O1075" s="1318">
        <v>1.0</v>
      </c>
      <c r="P1075" s="140" t="str">
        <f t="shared" si="63"/>
        <v>10.1037--a0035663.pdf</v>
      </c>
      <c r="Q1075" s="52" t="str">
        <f t="array" ref="Q1075"> if(iserror(MATCH(V1075, 'File Links'!C:C, 0)), "N/A", HYPERLINK(INDEX('File Links'!B:B, MATCH(P1075, 'File Links'!C:C, 0))))</f>
        <v>https://drive.google.com/file/d/1CjT1O6wWYuXyGwX2IDXgjfNdv5kWTW3m/view?usp=drivesdk</v>
      </c>
      <c r="R1075" s="1315" t="s">
        <v>3653</v>
      </c>
      <c r="S1075" s="159" t="s">
        <v>3654</v>
      </c>
      <c r="T1075" s="147" t="s">
        <v>138</v>
      </c>
      <c r="U1075" s="147" t="s">
        <v>138</v>
      </c>
      <c r="V1075" s="198" t="str">
        <f t="shared" si="57"/>
        <v>10.1098--rsos.231240.pdf</v>
      </c>
      <c r="W1075" s="140" t="s">
        <v>324</v>
      </c>
      <c r="X1075" s="54" t="str">
        <f t="array" ref="X1075"> if(iserror(MATCH(V1075, 'File Links'!C:C, 0)), "N/A", HYPERLINK(INDEX('File Links'!B:B, MATCH(V1075, 'File Links'!C:C, 0))))</f>
        <v>https://drive.google.com/file/d/17gaf2Zy_ljFfcAEDk5L8GBnTl5i7RGJE/view?usp=drivesdk</v>
      </c>
      <c r="Y1075" s="1313"/>
      <c r="Z1075" s="1315" t="s">
        <v>226</v>
      </c>
      <c r="AA1075" s="374" t="s">
        <v>138</v>
      </c>
      <c r="AB1075" s="1313" t="s">
        <v>5891</v>
      </c>
      <c r="AC1075" s="1315" t="s">
        <v>5892</v>
      </c>
      <c r="AD1075" s="1322" t="s">
        <v>138</v>
      </c>
      <c r="AE1075" s="1322" t="s">
        <v>138</v>
      </c>
      <c r="AF1075" s="1318">
        <v>123.0</v>
      </c>
      <c r="AG1075" s="1341">
        <v>0.727147426592434</v>
      </c>
      <c r="AH1075" s="1313" t="s">
        <v>173</v>
      </c>
      <c r="AI1075" s="1322" t="s">
        <v>138</v>
      </c>
      <c r="AJ1075" s="1325">
        <v>0.00148066986056677</v>
      </c>
      <c r="AK1075" s="1321" t="s">
        <v>172</v>
      </c>
      <c r="AL1075" s="1321" t="s">
        <v>186</v>
      </c>
      <c r="AM1075" s="1313" t="s">
        <v>137</v>
      </c>
      <c r="AN1075" s="1322" t="s">
        <v>138</v>
      </c>
      <c r="AO1075" s="1318">
        <v>50.0</v>
      </c>
      <c r="AP1075" s="1341">
        <v>-0.0689775913850995</v>
      </c>
      <c r="AQ1075" s="1313" t="s">
        <v>173</v>
      </c>
      <c r="AR1075" s="1322" t="s">
        <v>138</v>
      </c>
      <c r="AS1075" s="1341">
        <v>0.640831197761496</v>
      </c>
      <c r="AT1075" s="1313" t="s">
        <v>172</v>
      </c>
      <c r="AU1075" s="1313" t="s">
        <v>186</v>
      </c>
      <c r="AV1075" s="1313" t="s">
        <v>137</v>
      </c>
      <c r="AW1075" s="1323" t="s">
        <v>138</v>
      </c>
      <c r="AX1075" s="1313" t="s">
        <v>143</v>
      </c>
      <c r="AY1075" s="61" t="str">
        <f>IFERROR(__xludf.DUMMYFUNCTION("vlookup(BB1075,importrange(""https://docs.google.com/spreadsheets/d/1d2vevQ_7D_v35q4wCQ4RpQ_IPoTwEMB9Yp6ymwlPqew/edit?gid=984458430#gid=984458430"", ""'replication success'!A:K""), 11, FAlSE)"),"failed")</f>
        <v>failed</v>
      </c>
      <c r="AZ1075" s="61" t="str">
        <f>IFERROR(__xludf.DUMMYFUNCTION("vlookup(BB1075,importrange(""https://docs.google.com/spreadsheets/d/1d2vevQ_7D_v35q4wCQ4RpQ_IPoTwEMB9Yp6ymwlPqew/edit?gid=984458430#gid=984458430"",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75" s="61" t="str">
        <f>IFERROR(__xludf.DUMMYFUNCTION("vlookup(BB1075,importrange(""https://docs.google.com/spreadsheets/d/1d2vevQ_7D_v35q4wCQ4RpQ_IPoTwEMB9Yp6ymwlPqew/edit?gid=984458430#gid=984458430"",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v>
      </c>
      <c r="BB1075" s="61" t="str">
        <f>IFERROR(__xludf.DUMMYFUNCTION("REGEXREPLACE(G1075, ""_[a-z]{1,2}$"", """")"),"Boyce_etal202348")</f>
        <v>Boyce_etal202348</v>
      </c>
      <c r="BD1075" s="1322" t="s">
        <v>5605</v>
      </c>
    </row>
    <row r="1076">
      <c r="A1076" s="44">
        <v>1076.0</v>
      </c>
      <c r="B1076" s="129" t="s">
        <v>114</v>
      </c>
      <c r="C1076" s="62" t="s">
        <v>115</v>
      </c>
      <c r="D1076" s="62" t="s">
        <v>248</v>
      </c>
      <c r="E1076" s="365"/>
      <c r="F1076" s="126" t="s">
        <v>5886</v>
      </c>
      <c r="G1076" s="119" t="s">
        <v>5887</v>
      </c>
      <c r="H1076" s="140" t="s">
        <v>249</v>
      </c>
      <c r="I1076" s="317">
        <v>45665.0</v>
      </c>
      <c r="J1076" s="1326">
        <v>45692.0</v>
      </c>
      <c r="K1076" s="670" t="s">
        <v>5893</v>
      </c>
      <c r="L1076" s="125" t="s">
        <v>5894</v>
      </c>
      <c r="M1076" s="140" t="s">
        <v>5889</v>
      </c>
      <c r="N1076" s="140" t="s">
        <v>5890</v>
      </c>
      <c r="O1076" s="125"/>
      <c r="P1076" s="140" t="str">
        <f t="shared" si="63"/>
        <v>10.1037--a0035663.pdf</v>
      </c>
      <c r="Q1076" s="52" t="str">
        <f t="array" ref="Q1076"> if(iserror(MATCH(V1076, 'File Links'!C:C, 0)), "N/A", HYPERLINK(INDEX('File Links'!B:B, MATCH(P1076, 'File Links'!C:C, 0))))</f>
        <v>https://drive.google.com/file/d/1CjT1O6wWYuXyGwX2IDXgjfNdv5kWTW3m/view?usp=drivesdk</v>
      </c>
      <c r="R1076" s="140" t="s">
        <v>5895</v>
      </c>
      <c r="S1076" s="159" t="s">
        <v>3654</v>
      </c>
      <c r="T1076" s="147" t="s">
        <v>138</v>
      </c>
      <c r="U1076" s="147" t="s">
        <v>138</v>
      </c>
      <c r="V1076" s="198" t="str">
        <f t="shared" si="57"/>
        <v>10.1098--rsos.231240.pdf</v>
      </c>
      <c r="W1076" s="140" t="s">
        <v>324</v>
      </c>
      <c r="X1076" s="54" t="str">
        <f t="array" ref="X1076"> if(iserror(MATCH(V1076, 'File Links'!C:C, 0)), "N/A", HYPERLINK(INDEX('File Links'!B:B, MATCH(V1076, 'File Links'!C:C, 0))))</f>
        <v>https://drive.google.com/file/d/17gaf2Zy_ljFfcAEDk5L8GBnTl5i7RGJE/view?usp=drivesdk</v>
      </c>
      <c r="Y1076" s="125"/>
      <c r="Z1076" s="140" t="s">
        <v>226</v>
      </c>
      <c r="AA1076" s="125"/>
      <c r="AB1076" s="125"/>
      <c r="AC1076" s="125"/>
      <c r="AD1076" s="140" t="s">
        <v>138</v>
      </c>
      <c r="AE1076" s="140" t="s">
        <v>138</v>
      </c>
      <c r="AF1076" s="782">
        <v>123.0</v>
      </c>
      <c r="AG1076" s="782">
        <v>0.727147426592434</v>
      </c>
      <c r="AH1076" s="140" t="s">
        <v>173</v>
      </c>
      <c r="AI1076" s="140" t="s">
        <v>138</v>
      </c>
      <c r="AJ1076" s="133">
        <v>0.00148066986056677</v>
      </c>
      <c r="AK1076" s="132"/>
      <c r="AL1076" s="126" t="s">
        <v>186</v>
      </c>
      <c r="AM1076" s="140" t="s">
        <v>1905</v>
      </c>
      <c r="AN1076" s="1322" t="s">
        <v>138</v>
      </c>
      <c r="AO1076" s="782">
        <v>50.0</v>
      </c>
      <c r="AP1076" s="782">
        <v>-0.0689775913850995</v>
      </c>
      <c r="AQ1076" s="140" t="s">
        <v>173</v>
      </c>
      <c r="AR1076" s="1322" t="s">
        <v>5604</v>
      </c>
      <c r="AS1076" s="782">
        <v>0.640831197761496</v>
      </c>
      <c r="AT1076" s="140" t="s">
        <v>172</v>
      </c>
      <c r="AU1076" s="140" t="s">
        <v>186</v>
      </c>
      <c r="AV1076" s="140" t="s">
        <v>1905</v>
      </c>
      <c r="AW1076" s="1323" t="s">
        <v>138</v>
      </c>
      <c r="AX1076" s="140" t="s">
        <v>143</v>
      </c>
      <c r="AY1076" s="61" t="str">
        <f>IFERROR(__xludf.DUMMYFUNCTION("vlookup(BB1076,importrange(""https://docs.google.com/spreadsheets/d/1d2vevQ_7D_v35q4wCQ4RpQ_IPoTwEMB9Yp6ymwlPqew/edit?gid=984458430#gid=984458430"", ""'replication success'!A:K""), 11, FAlSE)"),"failed")</f>
        <v>failed</v>
      </c>
      <c r="AZ1076" s="61" t="str">
        <f>IFERROR(__xludf.DUMMYFUNCTION("vlookup(BB1076,importrange(""https://docs.google.com/spreadsheets/d/1d2vevQ_7D_v35q4wCQ4RpQ_IPoTwEMB9Yp6ymwlPqew/edit?gid=984458430#gid=984458430"",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76" s="61" t="str">
        <f>IFERROR(__xludf.DUMMYFUNCTION("vlookup(BB1076,importrange(""https://docs.google.com/spreadsheets/d/1d2vevQ_7D_v35q4wCQ4RpQ_IPoTwEMB9Yp6ymwlPqew/edit?gid=984458430#gid=984458430"",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v>
      </c>
      <c r="BB1076" s="61" t="str">
        <f>IFERROR(__xludf.DUMMYFUNCTION("REGEXREPLACE(G1076, ""_[a-z]{1,2}$"", """")"),"Boyce_etal202348")</f>
        <v>Boyce_etal202348</v>
      </c>
      <c r="BD1076" s="1322" t="s">
        <v>5605</v>
      </c>
    </row>
    <row r="1077">
      <c r="A1077" s="44">
        <v>1077.0</v>
      </c>
      <c r="B1077" s="129" t="s">
        <v>152</v>
      </c>
      <c r="C1077" s="62" t="s">
        <v>115</v>
      </c>
      <c r="D1077" s="62" t="s">
        <v>145</v>
      </c>
      <c r="E1077" s="365"/>
      <c r="F1077" s="1313" t="s">
        <v>5896</v>
      </c>
      <c r="G1077" s="1314" t="s">
        <v>5897</v>
      </c>
      <c r="H1077" s="1315" t="s">
        <v>5592</v>
      </c>
      <c r="I1077" s="1316">
        <v>45688.0</v>
      </c>
      <c r="J1077" s="1317">
        <v>45692.0</v>
      </c>
      <c r="K1077" s="1313"/>
      <c r="L1077" s="1313" t="s">
        <v>5594</v>
      </c>
      <c r="M1077" s="1315" t="s">
        <v>5898</v>
      </c>
      <c r="N1077" s="1313" t="s">
        <v>5899</v>
      </c>
      <c r="O1077" s="1318">
        <v>1.0</v>
      </c>
      <c r="P1077" s="140" t="str">
        <f t="shared" si="63"/>
        <v>10.1093--geronb--gbx099.pdf</v>
      </c>
      <c r="Q1077" s="52" t="str">
        <f t="array" ref="Q1077"> if(iserror(MATCH(V1077, 'File Links'!C:C, 0)), "N/A", HYPERLINK(INDEX('File Links'!B:B, MATCH(P1077, 'File Links'!C:C, 0))))</f>
        <v>https://drive.google.com/file/d/1Y64s8GHxNrRvDcvruC4sJnxL8xzdZcO-/view?usp=drivesdk</v>
      </c>
      <c r="R1077" s="1315" t="s">
        <v>3653</v>
      </c>
      <c r="S1077" s="159" t="s">
        <v>3654</v>
      </c>
      <c r="T1077" s="147" t="s">
        <v>138</v>
      </c>
      <c r="U1077" s="147" t="s">
        <v>138</v>
      </c>
      <c r="V1077" s="198" t="str">
        <f t="shared" si="57"/>
        <v>10.1098--rsos.231240.pdf</v>
      </c>
      <c r="W1077" s="140" t="s">
        <v>3693</v>
      </c>
      <c r="X1077" s="54" t="str">
        <f t="array" ref="X1077"> if(iserror(MATCH(V1077, 'File Links'!C:C, 0)), "N/A", HYPERLINK(INDEX('File Links'!B:B, MATCH(V1077, 'File Links'!C:C, 0))))</f>
        <v>https://drive.google.com/file/d/17gaf2Zy_ljFfcAEDk5L8GBnTl5i7RGJE/view?usp=drivesdk</v>
      </c>
      <c r="Y1077" s="1313"/>
      <c r="Z1077" s="1315" t="s">
        <v>226</v>
      </c>
      <c r="AA1077" s="374" t="s">
        <v>138</v>
      </c>
      <c r="AB1077" s="1313" t="s">
        <v>5900</v>
      </c>
      <c r="AC1077" s="1315" t="s">
        <v>5901</v>
      </c>
      <c r="AD1077" s="1313" t="s">
        <v>5902</v>
      </c>
      <c r="AE1077" s="1341">
        <v>5.0</v>
      </c>
      <c r="AF1077" s="1318">
        <v>155.0</v>
      </c>
      <c r="AG1077" s="1351" t="s">
        <v>5903</v>
      </c>
      <c r="AH1077" s="1336" t="s">
        <v>134</v>
      </c>
      <c r="AI1077" s="1352">
        <v>5.0</v>
      </c>
      <c r="AJ1077" s="1353">
        <v>0.05</v>
      </c>
      <c r="AK1077" s="313" t="s">
        <v>135</v>
      </c>
      <c r="AL1077" s="815" t="s">
        <v>186</v>
      </c>
      <c r="AM1077" s="140" t="s">
        <v>141</v>
      </c>
      <c r="AN1077" s="1322" t="s">
        <v>138</v>
      </c>
      <c r="AO1077" s="1318">
        <v>90.0</v>
      </c>
      <c r="AP1077" s="1340" t="s">
        <v>5904</v>
      </c>
      <c r="AQ1077" s="1354" t="s">
        <v>134</v>
      </c>
      <c r="AR1077" s="1322" t="s">
        <v>5604</v>
      </c>
      <c r="AS1077" s="1341">
        <v>0.807212595250987</v>
      </c>
      <c r="AT1077" s="1313" t="s">
        <v>172</v>
      </c>
      <c r="AU1077" s="1313" t="s">
        <v>186</v>
      </c>
      <c r="AV1077" s="1336" t="s">
        <v>141</v>
      </c>
      <c r="AW1077" s="1323" t="s">
        <v>138</v>
      </c>
      <c r="AX1077" s="1340" t="s">
        <v>151</v>
      </c>
      <c r="AY1077" s="61" t="str">
        <f>IFERROR(__xludf.DUMMYFUNCTION("vlookup(BB1077,importrange(""https://docs.google.com/spreadsheets/d/1d2vevQ_7D_v35q4wCQ4RpQ_IPoTwEMB9Yp6ymwlPqew/edit?gid=984458430#gid=984458430"", ""'replication success'!A:K""), 11, FAlSE)"),"")</f>
        <v/>
      </c>
      <c r="AZ1077" s="61" t="str">
        <f>IFERROR(__xludf.DUMMYFUNCTION("vlookup(BB1077,importrange(""https://docs.google.com/spreadsheets/d/1d2vevQ_7D_v35q4wCQ4RpQ_IPoTwEMB9Yp6ymwlPqew/edit?gid=984458430#gid=984458430"", ""'replication success'!A:M""), 12, FAlSE)"),"")</f>
        <v/>
      </c>
      <c r="BA1077" s="61" t="str">
        <f>IFERROR(__xludf.DUMMYFUNCTION("vlookup(BB1077,importrange(""https://docs.google.com/spreadsheets/d/1d2vevQ_7D_v35q4wCQ4RpQ_IPoTwEMB9Yp6ymwlPqew/edit?gid=984458430#gid=984458430"",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v>
      </c>
      <c r="BB1077" s="61" t="str">
        <f>IFERROR(__xludf.DUMMYFUNCTION("REGEXREPLACE(G1077, ""_[a-z]{1,2}$"", """")"),"Boyce_etal202349")</f>
        <v>Boyce_etal202349</v>
      </c>
      <c r="BD1077" s="1322" t="s">
        <v>5605</v>
      </c>
    </row>
    <row r="1078">
      <c r="A1078" s="44">
        <v>1078.0</v>
      </c>
      <c r="B1078" s="129" t="s">
        <v>114</v>
      </c>
      <c r="C1078" s="62" t="s">
        <v>115</v>
      </c>
      <c r="D1078" s="62" t="s">
        <v>248</v>
      </c>
      <c r="E1078" s="365"/>
      <c r="F1078" s="126" t="s">
        <v>5896</v>
      </c>
      <c r="G1078" s="119" t="s">
        <v>5897</v>
      </c>
      <c r="H1078" s="140" t="s">
        <v>249</v>
      </c>
      <c r="I1078" s="317">
        <v>45665.0</v>
      </c>
      <c r="J1078" s="1326">
        <v>45692.0</v>
      </c>
      <c r="K1078" s="125"/>
      <c r="L1078" s="125" t="s">
        <v>5594</v>
      </c>
      <c r="M1078" s="140" t="s">
        <v>5898</v>
      </c>
      <c r="N1078" s="140" t="s">
        <v>5899</v>
      </c>
      <c r="O1078" s="125"/>
      <c r="P1078" s="140" t="str">
        <f t="shared" si="63"/>
        <v>10.1093--geronb--gbx099.pdf</v>
      </c>
      <c r="Q1078" s="52" t="str">
        <f t="array" ref="Q1078"> if(iserror(MATCH(V1078, 'File Links'!C:C, 0)), "N/A", HYPERLINK(INDEX('File Links'!B:B, MATCH(P1078, 'File Links'!C:C, 0))))</f>
        <v>https://drive.google.com/file/d/1Y64s8GHxNrRvDcvruC4sJnxL8xzdZcO-/view?usp=drivesdk</v>
      </c>
      <c r="R1078" s="140" t="s">
        <v>5905</v>
      </c>
      <c r="S1078" s="159" t="s">
        <v>3654</v>
      </c>
      <c r="T1078" s="147" t="s">
        <v>138</v>
      </c>
      <c r="U1078" s="147" t="s">
        <v>138</v>
      </c>
      <c r="V1078" s="198" t="str">
        <f t="shared" si="57"/>
        <v>10.1098--rsos.231240.pdf</v>
      </c>
      <c r="W1078" s="140" t="s">
        <v>3693</v>
      </c>
      <c r="X1078" s="54" t="str">
        <f t="array" ref="X1078"> if(iserror(MATCH(V1078, 'File Links'!C:C, 0)), "N/A", HYPERLINK(INDEX('File Links'!B:B, MATCH(V1078, 'File Links'!C:C, 0))))</f>
        <v>https://drive.google.com/file/d/17gaf2Zy_ljFfcAEDk5L8GBnTl5i7RGJE/view?usp=drivesdk</v>
      </c>
      <c r="Y1078" s="125"/>
      <c r="Z1078" s="140" t="s">
        <v>226</v>
      </c>
      <c r="AA1078" s="125"/>
      <c r="AB1078" s="125"/>
      <c r="AC1078" s="125"/>
      <c r="AD1078" s="140" t="s">
        <v>5906</v>
      </c>
      <c r="AE1078" s="782">
        <v>444.0</v>
      </c>
      <c r="AF1078" s="782">
        <v>155.0</v>
      </c>
      <c r="AG1078" s="1340" t="s">
        <v>5903</v>
      </c>
      <c r="AH1078" s="119" t="s">
        <v>134</v>
      </c>
      <c r="AI1078" s="140" t="s">
        <v>5907</v>
      </c>
      <c r="AJ1078" s="133">
        <v>0.05</v>
      </c>
      <c r="AK1078" s="126" t="s">
        <v>135</v>
      </c>
      <c r="AL1078" s="126" t="s">
        <v>218</v>
      </c>
      <c r="AM1078" s="140" t="s">
        <v>141</v>
      </c>
      <c r="AN1078" s="1322" t="s">
        <v>138</v>
      </c>
      <c r="AO1078" s="782">
        <v>90.0</v>
      </c>
      <c r="AP1078" s="1340" t="s">
        <v>5904</v>
      </c>
      <c r="AQ1078" s="1354" t="s">
        <v>134</v>
      </c>
      <c r="AR1078" s="1322" t="s">
        <v>5604</v>
      </c>
      <c r="AS1078" s="782">
        <v>0.807212595250987</v>
      </c>
      <c r="AT1078" s="140" t="s">
        <v>172</v>
      </c>
      <c r="AU1078" s="140" t="s">
        <v>218</v>
      </c>
      <c r="AV1078" s="140" t="s">
        <v>141</v>
      </c>
      <c r="AW1078" s="1323" t="s">
        <v>138</v>
      </c>
      <c r="AX1078" s="140" t="s">
        <v>151</v>
      </c>
      <c r="AY1078" s="61" t="str">
        <f>IFERROR(__xludf.DUMMYFUNCTION("vlookup(BB1078,importrange(""https://docs.google.com/spreadsheets/d/1d2vevQ_7D_v35q4wCQ4RpQ_IPoTwEMB9Yp6ymwlPqew/edit?gid=984458430#gid=984458430"", ""'replication success'!A:K""), 11, FAlSE)"),"")</f>
        <v/>
      </c>
      <c r="AZ1078" s="61" t="str">
        <f>IFERROR(__xludf.DUMMYFUNCTION("vlookup(BB1078,importrange(""https://docs.google.com/spreadsheets/d/1d2vevQ_7D_v35q4wCQ4RpQ_IPoTwEMB9Yp6ymwlPqew/edit?gid=984458430#gid=984458430"", ""'replication success'!A:M""), 12, FAlSE)"),"")</f>
        <v/>
      </c>
      <c r="BA1078" s="61" t="str">
        <f>IFERROR(__xludf.DUMMYFUNCTION("vlookup(BB1078,importrange(""https://docs.google.com/spreadsheets/d/1d2vevQ_7D_v35q4wCQ4RpQ_IPoTwEMB9Yp6ymwlPqew/edit?gid=984458430#gid=984458430"",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v>
      </c>
      <c r="BB1078" s="61" t="str">
        <f>IFERROR(__xludf.DUMMYFUNCTION("REGEXREPLACE(G1078, ""_[a-z]{1,2}$"", """")"),"Boyce_etal202349")</f>
        <v>Boyce_etal202349</v>
      </c>
      <c r="BD1078" s="1322" t="s">
        <v>5605</v>
      </c>
    </row>
    <row r="1079">
      <c r="A1079" s="44">
        <v>1079.0</v>
      </c>
      <c r="B1079" s="68" t="s">
        <v>114</v>
      </c>
      <c r="C1079" s="62" t="s">
        <v>115</v>
      </c>
      <c r="D1079" s="62" t="s">
        <v>145</v>
      </c>
      <c r="E1079" s="365"/>
      <c r="F1079" s="1313" t="s">
        <v>5908</v>
      </c>
      <c r="G1079" s="1314" t="s">
        <v>5909</v>
      </c>
      <c r="H1079" s="1315" t="s">
        <v>5592</v>
      </c>
      <c r="I1079" s="1316">
        <v>45688.0</v>
      </c>
      <c r="J1079" s="1317">
        <v>45692.0</v>
      </c>
      <c r="K1079" s="1313" t="s">
        <v>5677</v>
      </c>
      <c r="L1079" s="1313" t="s">
        <v>5594</v>
      </c>
      <c r="M1079" s="1315" t="s">
        <v>5910</v>
      </c>
      <c r="N1079" s="1315" t="s">
        <v>5911</v>
      </c>
      <c r="O1079" s="1318">
        <v>4.0</v>
      </c>
      <c r="P1079" s="1315" t="s">
        <v>5912</v>
      </c>
      <c r="Q1079" s="52" t="str">
        <f t="array" ref="Q1079"> if(iserror(MATCH(V1079, 'File Links'!C:C, 0)), "N/A", HYPERLINK(INDEX('File Links'!B:B, MATCH(P1079, 'File Links'!C:C, 0))))</f>
        <v>https://drive.google.com/file/d/1mu475Zzy_-pzVxpT6L8wHxxpOPeohqGN/view?usp=drivesdk</v>
      </c>
      <c r="R1079" s="1315" t="s">
        <v>3653</v>
      </c>
      <c r="S1079" s="159" t="s">
        <v>3654</v>
      </c>
      <c r="T1079" s="1344" t="s">
        <v>5913</v>
      </c>
      <c r="U1079" s="147" t="s">
        <v>138</v>
      </c>
      <c r="V1079" s="198" t="str">
        <f t="shared" si="57"/>
        <v>10.1098--rsos.231240.pdf</v>
      </c>
      <c r="W1079" s="140" t="s">
        <v>324</v>
      </c>
      <c r="X1079" s="54" t="str">
        <f t="array" ref="X1079"> if(iserror(MATCH(V1079, 'File Links'!C:C, 0)), "N/A", HYPERLINK(INDEX('File Links'!B:B, MATCH(V1079, 'File Links'!C:C, 0))))</f>
        <v>https://drive.google.com/file/d/17gaf2Zy_ljFfcAEDk5L8GBnTl5i7RGJE/view?usp=drivesdk</v>
      </c>
      <c r="Y1079" s="1313"/>
      <c r="Z1079" s="1315" t="s">
        <v>148</v>
      </c>
      <c r="AA1079" s="1313" t="s">
        <v>1535</v>
      </c>
      <c r="AB1079" s="1313" t="s">
        <v>5914</v>
      </c>
      <c r="AC1079" s="1315" t="s">
        <v>5915</v>
      </c>
      <c r="AD1079" s="1322" t="s">
        <v>138</v>
      </c>
      <c r="AE1079" s="1313" t="s">
        <v>1535</v>
      </c>
      <c r="AF1079" s="1318">
        <v>25.0</v>
      </c>
      <c r="AG1079" s="1313" t="s">
        <v>1535</v>
      </c>
      <c r="AH1079" s="167" t="s">
        <v>138</v>
      </c>
      <c r="AI1079" s="1313" t="s">
        <v>1535</v>
      </c>
      <c r="AJ1079" s="1320" t="s">
        <v>1535</v>
      </c>
      <c r="AK1079" s="1321" t="s">
        <v>1535</v>
      </c>
      <c r="AL1079" s="1321" t="s">
        <v>186</v>
      </c>
      <c r="AM1079" s="1313" t="s">
        <v>137</v>
      </c>
      <c r="AN1079" s="1322" t="s">
        <v>138</v>
      </c>
      <c r="AO1079" s="1318">
        <v>50.0</v>
      </c>
      <c r="AP1079" s="1313" t="s">
        <v>1535</v>
      </c>
      <c r="AQ1079" s="129" t="s">
        <v>138</v>
      </c>
      <c r="AR1079" s="1322" t="s">
        <v>5604</v>
      </c>
      <c r="AS1079" s="1313" t="s">
        <v>1535</v>
      </c>
      <c r="AT1079" s="1313" t="s">
        <v>1535</v>
      </c>
      <c r="AU1079" s="1313" t="s">
        <v>186</v>
      </c>
      <c r="AV1079" s="1313" t="s">
        <v>137</v>
      </c>
      <c r="AW1079" s="1323" t="s">
        <v>138</v>
      </c>
      <c r="AX1079" s="1339" t="s">
        <v>143</v>
      </c>
      <c r="AY1079" s="61" t="str">
        <f>IFERROR(__xludf.DUMMYFUNCTION("vlookup(BB1079,importrange(""https://docs.google.com/spreadsheets/d/1d2vevQ_7D_v35q4wCQ4RpQ_IPoTwEMB9Yp6ymwlPqew/edit?gid=984458430#gid=984458430"", ""'replication success'!A:K""), 11, FAlSE)"),"")</f>
        <v/>
      </c>
      <c r="AZ1079" s="61" t="str">
        <f>IFERROR(__xludf.DUMMYFUNCTION("vlookup(BB1079,importrange(""https://docs.google.com/spreadsheets/d/1d2vevQ_7D_v35q4wCQ4RpQ_IPoTwEMB9Yp6ymwlPqew/edit?gid=984458430#gid=984458430"", ""'replication success'!A:M""), 12, FAlSE)"),"WefailedtoreplicateAusterweil&amp;Griffith’s(2011)keyresult—thatchangingthepriorprobabilityofunderlyingruleschangedhowlikelypeopleweretotestcertainhypotheses—usingachi-squaredtest.")</f>
        <v>WefailedtoreplicateAusterweil&amp;Griffith’s(2011)keyresult—thatchangingthepriorprobabilityofunderlyingruleschangedhowlikelypeopleweretotestcertainhypotheses—usingachi-squaredtest.</v>
      </c>
      <c r="BA1079" s="91" t="str">
        <f>IFERROR(__xludf.DUMMYFUNCTION("vlookup(BB1079,importrange(""https://docs.google.com/spreadsheets/d/1d2vevQ_7D_v35q4wCQ4RpQ_IPoTwEMB9Yp6ymwlPqew/edit?gid=984458430#gid=984458430"", ""'replication success'!A:M""), 13, FAlSE)"),"Abstract of https://osf.io/9fcjx ")</f>
        <v>Abstract of https://osf.io/9fcjx </v>
      </c>
      <c r="BB1079" s="61" t="str">
        <f>IFERROR(__xludf.DUMMYFUNCTION("REGEXREPLACE(G1079, ""_[a-z]{1,2}$"", """")"),"Boyce_etal20235")</f>
        <v>Boyce_etal20235</v>
      </c>
      <c r="BD1079" s="1322" t="s">
        <v>5605</v>
      </c>
    </row>
    <row r="1080">
      <c r="A1080" s="44">
        <v>1080.0</v>
      </c>
      <c r="B1080" s="129" t="s">
        <v>152</v>
      </c>
      <c r="C1080" s="62" t="s">
        <v>115</v>
      </c>
      <c r="D1080" s="62" t="s">
        <v>248</v>
      </c>
      <c r="E1080" s="365"/>
      <c r="F1080" s="126" t="s">
        <v>5908</v>
      </c>
      <c r="G1080" s="119" t="s">
        <v>5909</v>
      </c>
      <c r="H1080" s="140" t="s">
        <v>249</v>
      </c>
      <c r="I1080" s="317">
        <v>45663.0</v>
      </c>
      <c r="J1080" s="1326">
        <v>45692.0</v>
      </c>
      <c r="K1080" s="119" t="s">
        <v>5916</v>
      </c>
      <c r="L1080" s="219" t="s">
        <v>5917</v>
      </c>
      <c r="M1080" s="140" t="s">
        <v>5910</v>
      </c>
      <c r="N1080" s="140" t="s">
        <v>5911</v>
      </c>
      <c r="O1080" s="1318">
        <v>4.0</v>
      </c>
      <c r="P1080" s="140" t="str">
        <f> SUBSTITUTE(lower(N1080), "/", "--") &amp;  ".pdf"</f>
        <v>10.1111--j.1551-6709.2010.01161.x.pdf</v>
      </c>
      <c r="Q1080" s="52" t="str">
        <f t="array" ref="Q1080"> if(iserror(MATCH(V1080, 'File Links'!C:C, 0)), "N/A", HYPERLINK(INDEX('File Links'!B:B, MATCH(P1080, 'File Links'!C:C, 0))))</f>
        <v>https://drive.google.com/file/d/1mu475Zzy_-pzVxpT6L8wHxxpOPeohqGN/view?usp=drivesdk</v>
      </c>
      <c r="R1080" s="140" t="s">
        <v>5918</v>
      </c>
      <c r="S1080" s="159" t="s">
        <v>3654</v>
      </c>
      <c r="T1080" s="781" t="s">
        <v>5913</v>
      </c>
      <c r="U1080" s="147" t="s">
        <v>138</v>
      </c>
      <c r="V1080" s="198" t="str">
        <f t="shared" si="57"/>
        <v>10.1098--rsos.231240.pdf</v>
      </c>
      <c r="W1080" s="140" t="s">
        <v>324</v>
      </c>
      <c r="X1080" s="54" t="str">
        <f t="array" ref="X1080"> if(iserror(MATCH(V1080, 'File Links'!C:C, 0)), "N/A", HYPERLINK(INDEX('File Links'!B:B, MATCH(V1080, 'File Links'!C:C, 0))))</f>
        <v>https://drive.google.com/file/d/17gaf2Zy_ljFfcAEDk5L8GBnTl5i7RGJE/view?usp=drivesdk</v>
      </c>
      <c r="Y1080" s="140"/>
      <c r="Z1080" s="140" t="s">
        <v>148</v>
      </c>
      <c r="AA1080" s="125"/>
      <c r="AB1080" s="1313" t="s">
        <v>5914</v>
      </c>
      <c r="AC1080" s="1315" t="s">
        <v>5915</v>
      </c>
      <c r="AD1080" s="119" t="s">
        <v>5919</v>
      </c>
      <c r="AE1080" s="782">
        <v>519.0</v>
      </c>
      <c r="AF1080" s="782">
        <v>29.0</v>
      </c>
      <c r="AG1080" s="225" t="s">
        <v>5920</v>
      </c>
      <c r="AH1080" s="119" t="s">
        <v>134</v>
      </c>
      <c r="AI1080" s="140" t="s">
        <v>5921</v>
      </c>
      <c r="AJ1080" s="133">
        <v>0.05</v>
      </c>
      <c r="AK1080" s="126" t="s">
        <v>135</v>
      </c>
      <c r="AL1080" s="126" t="s">
        <v>186</v>
      </c>
      <c r="AM1080" s="119" t="s">
        <v>137</v>
      </c>
      <c r="AN1080" s="1322" t="s">
        <v>138</v>
      </c>
      <c r="AO1080" s="782">
        <v>50.0</v>
      </c>
      <c r="AP1080" s="140" t="s">
        <v>138</v>
      </c>
      <c r="AQ1080" s="129" t="s">
        <v>138</v>
      </c>
      <c r="AR1080" s="1322" t="s">
        <v>5604</v>
      </c>
      <c r="AS1080" s="140" t="s">
        <v>138</v>
      </c>
      <c r="AT1080" s="219" t="s">
        <v>138</v>
      </c>
      <c r="AU1080" s="140" t="s">
        <v>186</v>
      </c>
      <c r="AV1080" s="119" t="s">
        <v>137</v>
      </c>
      <c r="AW1080" s="1323" t="s">
        <v>138</v>
      </c>
      <c r="AX1080" s="670" t="s">
        <v>143</v>
      </c>
      <c r="AY1080" s="61" t="str">
        <f>IFERROR(__xludf.DUMMYFUNCTION("vlookup(BB1080,importrange(""https://docs.google.com/spreadsheets/d/1d2vevQ_7D_v35q4wCQ4RpQ_IPoTwEMB9Yp6ymwlPqew/edit?gid=984458430#gid=984458430"", ""'replication success'!A:K""), 11, FAlSE)"),"")</f>
        <v/>
      </c>
      <c r="AZ1080" s="61" t="str">
        <f>IFERROR(__xludf.DUMMYFUNCTION("vlookup(BB1080,importrange(""https://docs.google.com/spreadsheets/d/1d2vevQ_7D_v35q4wCQ4RpQ_IPoTwEMB9Yp6ymwlPqew/edit?gid=984458430#gid=984458430"", ""'replication success'!A:M""), 12, FAlSE)"),"WefailedtoreplicateAusterweil&amp;Griffith’s(2011)keyresult—thatchangingthepriorprobabilityofunderlyingruleschangedhowlikelypeopleweretotestcertainhypotheses—usingachi-squaredtest.")</f>
        <v>WefailedtoreplicateAusterweil&amp;Griffith’s(2011)keyresult—thatchangingthepriorprobabilityofunderlyingruleschangedhowlikelypeopleweretotestcertainhypotheses—usingachi-squaredtest.</v>
      </c>
      <c r="BA1080" s="91" t="str">
        <f>IFERROR(__xludf.DUMMYFUNCTION("vlookup(BB1080,importrange(""https://docs.google.com/spreadsheets/d/1d2vevQ_7D_v35q4wCQ4RpQ_IPoTwEMB9Yp6ymwlPqew/edit?gid=984458430#gid=984458430"", ""'replication success'!A:M""), 13, FAlSE)"),"Abstract of https://osf.io/9fcjx ")</f>
        <v>Abstract of https://osf.io/9fcjx </v>
      </c>
      <c r="BB1080" s="61" t="str">
        <f>IFERROR(__xludf.DUMMYFUNCTION("REGEXREPLACE(G1080, ""_[a-z]{1,2}$"", """")"),"Boyce_etal20235")</f>
        <v>Boyce_etal20235</v>
      </c>
      <c r="BD1080" s="1322" t="s">
        <v>5605</v>
      </c>
    </row>
    <row r="1081">
      <c r="A1081" s="44">
        <v>1081.0</v>
      </c>
      <c r="B1081" s="129" t="s">
        <v>2013</v>
      </c>
      <c r="C1081" s="62" t="s">
        <v>115</v>
      </c>
      <c r="D1081" s="62" t="s">
        <v>145</v>
      </c>
      <c r="E1081" s="365"/>
      <c r="F1081" s="1313" t="s">
        <v>5922</v>
      </c>
      <c r="G1081" s="1314" t="s">
        <v>5923</v>
      </c>
      <c r="H1081" s="1315" t="s">
        <v>5592</v>
      </c>
      <c r="I1081" s="1316">
        <v>45688.0</v>
      </c>
      <c r="J1081" s="1317">
        <v>45692.0</v>
      </c>
      <c r="K1081" s="1313" t="s">
        <v>5677</v>
      </c>
      <c r="L1081" s="1313" t="s">
        <v>5594</v>
      </c>
      <c r="M1081" s="1315" t="s">
        <v>5924</v>
      </c>
      <c r="N1081" s="1315" t="s">
        <v>5925</v>
      </c>
      <c r="O1081" s="1318">
        <v>1.0</v>
      </c>
      <c r="P1081" s="1315" t="s">
        <v>5926</v>
      </c>
      <c r="Q1081" s="52" t="str">
        <f t="array" ref="Q1081"> if(iserror(MATCH(V1081, 'File Links'!C:C, 0)), "N/A", HYPERLINK(INDEX('File Links'!B:B, MATCH(P1081, 'File Links'!C:C, 0))))</f>
        <v>https://drive.google.com/file/d/1JcrIIJziv9H4c66sUbolfvMwbkPdlR44/view?usp=drivesdk</v>
      </c>
      <c r="R1081" s="1315" t="s">
        <v>3653</v>
      </c>
      <c r="S1081" s="159" t="s">
        <v>3654</v>
      </c>
      <c r="T1081" s="147" t="s">
        <v>138</v>
      </c>
      <c r="U1081" s="147" t="s">
        <v>138</v>
      </c>
      <c r="V1081" s="198" t="str">
        <f t="shared" si="57"/>
        <v>10.1098--rsos.231240.pdf</v>
      </c>
      <c r="W1081" s="140" t="s">
        <v>324</v>
      </c>
      <c r="X1081" s="54" t="str">
        <f t="array" ref="X1081"> if(iserror(MATCH(V1081, 'File Links'!C:C, 0)), "N/A", HYPERLINK(INDEX('File Links'!B:B, MATCH(V1081, 'File Links'!C:C, 0))))</f>
        <v>https://drive.google.com/file/d/17gaf2Zy_ljFfcAEDk5L8GBnTl5i7RGJE/view?usp=drivesdk</v>
      </c>
      <c r="Y1081" s="1313"/>
      <c r="Z1081" s="1315" t="s">
        <v>226</v>
      </c>
      <c r="AA1081" s="1313" t="s">
        <v>1535</v>
      </c>
      <c r="AB1081" s="1313" t="s">
        <v>5927</v>
      </c>
      <c r="AC1081" s="1315" t="s">
        <v>3788</v>
      </c>
      <c r="AD1081" s="1322" t="s">
        <v>138</v>
      </c>
      <c r="AE1081" s="1313" t="s">
        <v>1535</v>
      </c>
      <c r="AF1081" s="1318">
        <v>1800.0</v>
      </c>
      <c r="AG1081" s="1313" t="s">
        <v>1535</v>
      </c>
      <c r="AH1081" s="167" t="s">
        <v>138</v>
      </c>
      <c r="AI1081" s="1313" t="s">
        <v>1535</v>
      </c>
      <c r="AJ1081" s="1320" t="s">
        <v>1535</v>
      </c>
      <c r="AK1081" s="1321" t="s">
        <v>1535</v>
      </c>
      <c r="AL1081" s="1321" t="s">
        <v>186</v>
      </c>
      <c r="AM1081" s="1313" t="s">
        <v>137</v>
      </c>
      <c r="AN1081" s="1322" t="s">
        <v>138</v>
      </c>
      <c r="AO1081" s="1318">
        <v>54.0</v>
      </c>
      <c r="AP1081" s="1313" t="s">
        <v>1535</v>
      </c>
      <c r="AQ1081" s="129" t="s">
        <v>138</v>
      </c>
      <c r="AR1081" s="1322" t="s">
        <v>5604</v>
      </c>
      <c r="AS1081" s="1313" t="s">
        <v>1535</v>
      </c>
      <c r="AT1081" s="1313" t="s">
        <v>1535</v>
      </c>
      <c r="AU1081" s="1313" t="s">
        <v>186</v>
      </c>
      <c r="AV1081" s="1313" t="s">
        <v>137</v>
      </c>
      <c r="AW1081" s="1323" t="s">
        <v>138</v>
      </c>
      <c r="AX1081" s="1339" t="s">
        <v>143</v>
      </c>
      <c r="AY1081" s="61" t="str">
        <f>IFERROR(__xludf.DUMMYFUNCTION("vlookup(BB1081,importrange(""https://docs.google.com/spreadsheets/d/1d2vevQ_7D_v35q4wCQ4RpQ_IPoTwEMB9Yp6ymwlPqew/edit?gid=984458430#gid=984458430"", ""'replication success'!A:K""), 11, FAlSE)"),"#N/A")</f>
        <v>#N/A</v>
      </c>
      <c r="AZ1081" s="61" t="str">
        <f>IFERROR(__xludf.DUMMYFUNCTION("vlookup(BB1081,importrange(""https://docs.google.com/spreadsheets/d/1d2vevQ_7D_v35q4wCQ4RpQ_IPoTwEMB9Yp6ymwlPqew/edit?gid=984458430#gid=984458430"", ""'replication success'!A:M""), 12, FAlSE)"),"#N/A")</f>
        <v>#N/A</v>
      </c>
      <c r="BA1081" s="61" t="str">
        <f>IFERROR(__xludf.DUMMYFUNCTION("vlookup(BB1081,importrange(""https://docs.google.com/spreadsheets/d/1d2vevQ_7D_v35q4wCQ4RpQ_IPoTwEMB9Yp6ymwlPqew/edit?gid=984458430#gid=984458430"", ""'replication success'!A:M""), 13, FAlSE)"),"#N/A")</f>
        <v>#N/A</v>
      </c>
      <c r="BB1081" s="61" t="str">
        <f>IFERROR(__xludf.DUMMYFUNCTION("REGEXREPLACE(G1081, ""_[a-z]{1,2}$"", """")"),"Boyce_etal202350")</f>
        <v>Boyce_etal202350</v>
      </c>
      <c r="BD1081" s="1322" t="s">
        <v>5605</v>
      </c>
    </row>
    <row r="1082">
      <c r="A1082" s="44">
        <v>1082.0</v>
      </c>
      <c r="B1082" s="129" t="s">
        <v>114</v>
      </c>
      <c r="C1082" s="62" t="s">
        <v>115</v>
      </c>
      <c r="D1082" s="62" t="s">
        <v>248</v>
      </c>
      <c r="E1082" s="365"/>
      <c r="F1082" s="126" t="s">
        <v>5922</v>
      </c>
      <c r="G1082" s="119" t="s">
        <v>5923</v>
      </c>
      <c r="H1082" s="140" t="s">
        <v>249</v>
      </c>
      <c r="I1082" s="317">
        <v>45665.0</v>
      </c>
      <c r="J1082" s="1326">
        <v>45692.0</v>
      </c>
      <c r="K1082" s="140" t="s">
        <v>5928</v>
      </c>
      <c r="L1082" s="125" t="s">
        <v>5594</v>
      </c>
      <c r="M1082" s="140" t="s">
        <v>5924</v>
      </c>
      <c r="N1082" s="140" t="s">
        <v>5925</v>
      </c>
      <c r="O1082" s="125"/>
      <c r="P1082" s="140" t="str">
        <f t="shared" ref="P1082:P1084" si="64"> SUBSTITUTE(lower(N1082), "/", "--") &amp;  ".pdf"</f>
        <v>10.1126--science.1134475.pdf</v>
      </c>
      <c r="Q1082" s="52" t="str">
        <f t="array" ref="Q1082"> if(iserror(MATCH(V1082, 'File Links'!C:C, 0)), "N/A", HYPERLINK(INDEX('File Links'!B:B, MATCH(P1082, 'File Links'!C:C, 0))))</f>
        <v>https://drive.google.com/file/d/1JcrIIJziv9H4c66sUbolfvMwbkPdlR44/view?usp=drivesdk</v>
      </c>
      <c r="R1082" s="140" t="s">
        <v>5929</v>
      </c>
      <c r="S1082" s="159" t="s">
        <v>3654</v>
      </c>
      <c r="T1082" s="125"/>
      <c r="U1082" s="147" t="s">
        <v>138</v>
      </c>
      <c r="V1082" s="198" t="str">
        <f t="shared" si="57"/>
        <v>10.1098--rsos.231240.pdf</v>
      </c>
      <c r="W1082" s="140" t="s">
        <v>324</v>
      </c>
      <c r="X1082" s="54" t="str">
        <f t="array" ref="X1082"> if(iserror(MATCH(V1082, 'File Links'!C:C, 0)), "N/A", HYPERLINK(INDEX('File Links'!B:B, MATCH(V1082, 'File Links'!C:C, 0))))</f>
        <v>https://drive.google.com/file/d/17gaf2Zy_ljFfcAEDk5L8GBnTl5i7RGJE/view?usp=drivesdk</v>
      </c>
      <c r="Y1082" s="125"/>
      <c r="Z1082" s="140" t="s">
        <v>226</v>
      </c>
      <c r="AA1082" s="125"/>
      <c r="AB1082" s="125"/>
      <c r="AC1082" s="125"/>
      <c r="AD1082" s="140" t="s">
        <v>138</v>
      </c>
      <c r="AE1082" s="140" t="s">
        <v>138</v>
      </c>
      <c r="AF1082" s="782">
        <v>2399.0</v>
      </c>
      <c r="AG1082" s="140" t="s">
        <v>138</v>
      </c>
      <c r="AH1082" s="125"/>
      <c r="AI1082" s="140" t="s">
        <v>138</v>
      </c>
      <c r="AJ1082" s="318"/>
      <c r="AK1082" s="132"/>
      <c r="AL1082" s="126" t="s">
        <v>186</v>
      </c>
      <c r="AM1082" s="140" t="s">
        <v>1905</v>
      </c>
      <c r="AN1082" s="1322" t="s">
        <v>138</v>
      </c>
      <c r="AO1082" s="782">
        <v>54.0</v>
      </c>
      <c r="AP1082" s="140" t="s">
        <v>138</v>
      </c>
      <c r="AQ1082" s="125"/>
      <c r="AR1082" s="1322" t="s">
        <v>5604</v>
      </c>
      <c r="AS1082" s="140" t="s">
        <v>138</v>
      </c>
      <c r="AT1082" s="125"/>
      <c r="AU1082" s="140" t="s">
        <v>186</v>
      </c>
      <c r="AV1082" s="140" t="s">
        <v>1905</v>
      </c>
      <c r="AW1082" s="1323" t="s">
        <v>138</v>
      </c>
      <c r="AX1082" s="140" t="s">
        <v>143</v>
      </c>
      <c r="AY1082" s="61" t="str">
        <f>IFERROR(__xludf.DUMMYFUNCTION("vlookup(BB1082,importrange(""https://docs.google.com/spreadsheets/d/1d2vevQ_7D_v35q4wCQ4RpQ_IPoTwEMB9Yp6ymwlPqew/edit?gid=984458430#gid=984458430"", ""'replication success'!A:K""), 11, FAlSE)"),"#N/A")</f>
        <v>#N/A</v>
      </c>
      <c r="AZ1082" s="61" t="str">
        <f>IFERROR(__xludf.DUMMYFUNCTION("vlookup(BB1082,importrange(""https://docs.google.com/spreadsheets/d/1d2vevQ_7D_v35q4wCQ4RpQ_IPoTwEMB9Yp6ymwlPqew/edit?gid=984458430#gid=984458430"", ""'replication success'!A:M""), 12, FAlSE)"),"#N/A")</f>
        <v>#N/A</v>
      </c>
      <c r="BA1082" s="61" t="str">
        <f>IFERROR(__xludf.DUMMYFUNCTION("vlookup(BB1082,importrange(""https://docs.google.com/spreadsheets/d/1d2vevQ_7D_v35q4wCQ4RpQ_IPoTwEMB9Yp6ymwlPqew/edit?gid=984458430#gid=984458430"", ""'replication success'!A:M""), 13, FAlSE)"),"#N/A")</f>
        <v>#N/A</v>
      </c>
      <c r="BB1082" s="61" t="str">
        <f>IFERROR(__xludf.DUMMYFUNCTION("REGEXREPLACE(G1082, ""_[a-z]{1,2}$"", """")"),"Boyce_etal202350")</f>
        <v>Boyce_etal202350</v>
      </c>
      <c r="BD1082" s="1322" t="s">
        <v>5605</v>
      </c>
    </row>
    <row r="1083">
      <c r="A1083" s="44">
        <v>1083.0</v>
      </c>
      <c r="B1083" s="129" t="s">
        <v>152</v>
      </c>
      <c r="C1083" s="62" t="s">
        <v>115</v>
      </c>
      <c r="D1083" s="62" t="s">
        <v>145</v>
      </c>
      <c r="E1083" s="365"/>
      <c r="F1083" s="1313" t="s">
        <v>5930</v>
      </c>
      <c r="G1083" s="1314" t="s">
        <v>5931</v>
      </c>
      <c r="H1083" s="1315" t="s">
        <v>5592</v>
      </c>
      <c r="I1083" s="1316">
        <v>45688.0</v>
      </c>
      <c r="J1083" s="1317">
        <v>45692.0</v>
      </c>
      <c r="K1083" s="1313"/>
      <c r="L1083" s="1313" t="s">
        <v>5594</v>
      </c>
      <c r="M1083" s="1315" t="s">
        <v>5932</v>
      </c>
      <c r="N1083" s="1313" t="s">
        <v>5933</v>
      </c>
      <c r="O1083" s="1315" t="s">
        <v>5934</v>
      </c>
      <c r="P1083" s="140" t="str">
        <f t="shared" si="64"/>
        <v>10.1037--a0031047.pdf</v>
      </c>
      <c r="Q1083" s="52" t="str">
        <f t="array" ref="Q1083"> if(iserror(MATCH(V1083, 'File Links'!C:C, 0)), "N/A", HYPERLINK(INDEX('File Links'!B:B, MATCH(P1083, 'File Links'!C:C, 0))))</f>
        <v>https://drive.google.com/file/d/1zdQKRoaKTgqYFpQsFj5QvQQ6FD0ed3fh/view?usp=drivesdk</v>
      </c>
      <c r="R1083" s="1355" t="s">
        <v>3653</v>
      </c>
      <c r="S1083" s="159" t="s">
        <v>3654</v>
      </c>
      <c r="T1083" s="147" t="s">
        <v>138</v>
      </c>
      <c r="U1083" s="147" t="s">
        <v>138</v>
      </c>
      <c r="V1083" s="198" t="str">
        <f t="shared" si="57"/>
        <v>10.1098--rsos.231240.pdf</v>
      </c>
      <c r="W1083" s="140" t="s">
        <v>3804</v>
      </c>
      <c r="X1083" s="54" t="str">
        <f t="array" ref="X1083"> if(iserror(MATCH(V1083, 'File Links'!C:C, 0)), "N/A", HYPERLINK(INDEX('File Links'!B:B, MATCH(V1083, 'File Links'!C:C, 0))))</f>
        <v>https://drive.google.com/file/d/17gaf2Zy_ljFfcAEDk5L8GBnTl5i7RGJE/view?usp=drivesdk</v>
      </c>
      <c r="Y1083" s="1313"/>
      <c r="Z1083" s="1315" t="s">
        <v>226</v>
      </c>
      <c r="AA1083" s="1313" t="s">
        <v>1535</v>
      </c>
      <c r="AB1083" s="1313" t="s">
        <v>5935</v>
      </c>
      <c r="AC1083" s="1315" t="s">
        <v>5936</v>
      </c>
      <c r="AD1083" s="1313" t="s">
        <v>5937</v>
      </c>
      <c r="AE1083" s="1341">
        <v>6.0</v>
      </c>
      <c r="AF1083" s="1318">
        <v>165.0</v>
      </c>
      <c r="AG1083" s="1341">
        <v>0.414462472492135</v>
      </c>
      <c r="AH1083" s="1313" t="s">
        <v>173</v>
      </c>
      <c r="AI1083" s="1313" t="s">
        <v>1535</v>
      </c>
      <c r="AJ1083" s="1325">
        <v>0.01</v>
      </c>
      <c r="AK1083" s="1321" t="s">
        <v>135</v>
      </c>
      <c r="AL1083" s="1321" t="s">
        <v>186</v>
      </c>
      <c r="AM1083" s="1313" t="s">
        <v>137</v>
      </c>
      <c r="AN1083" s="1322" t="s">
        <v>138</v>
      </c>
      <c r="AO1083" s="1318">
        <v>145.0</v>
      </c>
      <c r="AP1083" s="1341">
        <v>-0.0869048189253481</v>
      </c>
      <c r="AQ1083" s="1313" t="s">
        <v>173</v>
      </c>
      <c r="AR1083" s="1322" t="s">
        <v>5604</v>
      </c>
      <c r="AS1083" s="1341">
        <v>0.604146530304818</v>
      </c>
      <c r="AT1083" s="1313" t="s">
        <v>172</v>
      </c>
      <c r="AU1083" s="1313" t="s">
        <v>186</v>
      </c>
      <c r="AV1083" s="1313" t="s">
        <v>137</v>
      </c>
      <c r="AW1083" s="1323" t="s">
        <v>138</v>
      </c>
      <c r="AX1083" s="1339" t="s">
        <v>143</v>
      </c>
      <c r="AY1083" s="61" t="str">
        <f>IFERROR(__xludf.DUMMYFUNCTION("vlookup(BB1083,importrange(""https://docs.google.com/spreadsheets/d/1d2vevQ_7D_v35q4wCQ4RpQ_IPoTwEMB9Yp6ymwlPqew/edit?gid=984458430#gid=984458430"", ""'replication success'!A:K""), 11, FAlSE)"),"failed")</f>
        <v>failed</v>
      </c>
      <c r="AZ1083" s="61" t="str">
        <f>IFERROR(__xludf.DUMMYFUNCTION("vlookup(BB1083,importrange(""https://docs.google.com/spreadsheets/d/1d2vevQ_7D_v35q4wCQ4RpQ_IPoTwEMB9Yp6ymwlPqew/edit?gid=984458430#gid=984458430"",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83" s="61" t="str">
        <f>IFERROR(__xludf.DUMMYFUNCTION("vlookup(BB1083,importrange(""https://docs.google.com/spreadsheets/d/1d2vevQ_7D_v35q4wCQ4RpQ_IPoTwEMB9Yp6ymwlPqew/edit?gid=984458430#gid=984458430"",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v>
      </c>
      <c r="BB1083" s="61" t="str">
        <f>IFERROR(__xludf.DUMMYFUNCTION("REGEXREPLACE(G1083, ""_[a-z]{1,2}$"", """")"),"Boyce_etal202351")</f>
        <v>Boyce_etal202351</v>
      </c>
      <c r="BD1083" s="1322" t="s">
        <v>5605</v>
      </c>
    </row>
    <row r="1084">
      <c r="A1084" s="44">
        <v>1084.0</v>
      </c>
      <c r="B1084" s="129" t="s">
        <v>152</v>
      </c>
      <c r="C1084" s="62" t="s">
        <v>115</v>
      </c>
      <c r="D1084" s="62" t="s">
        <v>248</v>
      </c>
      <c r="E1084" s="365"/>
      <c r="F1084" s="126" t="s">
        <v>5930</v>
      </c>
      <c r="G1084" s="119" t="s">
        <v>5931</v>
      </c>
      <c r="H1084" s="140" t="s">
        <v>249</v>
      </c>
      <c r="I1084" s="317">
        <v>45666.0</v>
      </c>
      <c r="J1084" s="1326">
        <v>45692.0</v>
      </c>
      <c r="K1084" s="125"/>
      <c r="L1084" s="125" t="s">
        <v>5938</v>
      </c>
      <c r="M1084" s="140" t="s">
        <v>5932</v>
      </c>
      <c r="N1084" s="140" t="s">
        <v>5933</v>
      </c>
      <c r="O1084" s="1315" t="s">
        <v>5934</v>
      </c>
      <c r="P1084" s="140" t="str">
        <f t="shared" si="64"/>
        <v>10.1037--a0031047.pdf</v>
      </c>
      <c r="Q1084" s="52" t="str">
        <f t="array" ref="Q1084"> if(iserror(MATCH(V1084, 'File Links'!C:C, 0)), "N/A", HYPERLINK(INDEX('File Links'!B:B, MATCH(P1084, 'File Links'!C:C, 0))))</f>
        <v>https://drive.google.com/file/d/1zdQKRoaKTgqYFpQsFj5QvQQ6FD0ed3fh/view?usp=drivesdk</v>
      </c>
      <c r="R1084" s="140" t="s">
        <v>5939</v>
      </c>
      <c r="S1084" s="159" t="s">
        <v>3654</v>
      </c>
      <c r="T1084" s="212" t="s">
        <v>138</v>
      </c>
      <c r="U1084" s="147" t="s">
        <v>138</v>
      </c>
      <c r="V1084" s="198" t="str">
        <f t="shared" si="57"/>
        <v>10.1098--rsos.231240.pdf</v>
      </c>
      <c r="W1084" s="140" t="s">
        <v>3804</v>
      </c>
      <c r="X1084" s="54" t="str">
        <f t="array" ref="X1084"> if(iserror(MATCH(V1084, 'File Links'!C:C, 0)), "N/A", HYPERLINK(INDEX('File Links'!B:B, MATCH(V1084, 'File Links'!C:C, 0))))</f>
        <v>https://drive.google.com/file/d/17gaf2Zy_ljFfcAEDk5L8GBnTl5i7RGJE/view?usp=drivesdk</v>
      </c>
      <c r="Y1084" s="125"/>
      <c r="Z1084" s="140" t="s">
        <v>226</v>
      </c>
      <c r="AA1084" s="374" t="s">
        <v>138</v>
      </c>
      <c r="AB1084" s="1313" t="s">
        <v>5935</v>
      </c>
      <c r="AC1084" s="1315" t="s">
        <v>5936</v>
      </c>
      <c r="AD1084" s="1313" t="s">
        <v>5937</v>
      </c>
      <c r="AE1084" s="1341">
        <v>6.0</v>
      </c>
      <c r="AF1084" s="782">
        <v>165.0</v>
      </c>
      <c r="AG1084" s="1356" t="s">
        <v>5940</v>
      </c>
      <c r="AH1084" s="1131" t="s">
        <v>134</v>
      </c>
      <c r="AI1084" s="140" t="s">
        <v>5941</v>
      </c>
      <c r="AJ1084" s="133">
        <v>0.01</v>
      </c>
      <c r="AK1084" s="126" t="s">
        <v>135</v>
      </c>
      <c r="AL1084" s="126" t="s">
        <v>136</v>
      </c>
      <c r="AM1084" s="140" t="s">
        <v>141</v>
      </c>
      <c r="AN1084" s="1322" t="s">
        <v>138</v>
      </c>
      <c r="AO1084" s="782">
        <v>145.0</v>
      </c>
      <c r="AP1084" s="782">
        <v>-0.0869048189253481</v>
      </c>
      <c r="AQ1084" s="140" t="s">
        <v>173</v>
      </c>
      <c r="AR1084" s="1322" t="s">
        <v>5604</v>
      </c>
      <c r="AS1084" s="782">
        <v>0.604146530304818</v>
      </c>
      <c r="AT1084" s="140" t="s">
        <v>172</v>
      </c>
      <c r="AU1084" s="140" t="s">
        <v>136</v>
      </c>
      <c r="AV1084" s="140" t="s">
        <v>141</v>
      </c>
      <c r="AW1084" s="1323" t="s">
        <v>138</v>
      </c>
      <c r="AX1084" s="140" t="s">
        <v>143</v>
      </c>
      <c r="AY1084" s="61" t="str">
        <f>IFERROR(__xludf.DUMMYFUNCTION("vlookup(BB1084,importrange(""https://docs.google.com/spreadsheets/d/1d2vevQ_7D_v35q4wCQ4RpQ_IPoTwEMB9Yp6ymwlPqew/edit?gid=984458430#gid=984458430"", ""'replication success'!A:K""), 11, FAlSE)"),"failed")</f>
        <v>failed</v>
      </c>
      <c r="AZ1084" s="61" t="str">
        <f>IFERROR(__xludf.DUMMYFUNCTION("vlookup(BB1084,importrange(""https://docs.google.com/spreadsheets/d/1d2vevQ_7D_v35q4wCQ4RpQ_IPoTwEMB9Yp6ymwlPqew/edit?gid=984458430#gid=984458430"",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84" s="61" t="str">
        <f>IFERROR(__xludf.DUMMYFUNCTION("vlookup(BB1084,importrange(""https://docs.google.com/spreadsheets/d/1d2vevQ_7D_v35q4wCQ4RpQ_IPoTwEMB9Yp6ymwlPqew/edit?gid=984458430#gid=984458430"",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43041579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v>
      </c>
      <c r="BB1084" s="61" t="str">
        <f>IFERROR(__xludf.DUMMYFUNCTION("REGEXREPLACE(G1084, ""_[a-z]{1,2}$"", """")"),"Boyce_etal202351")</f>
        <v>Boyce_etal202351</v>
      </c>
      <c r="BD1084" s="1322" t="s">
        <v>5605</v>
      </c>
    </row>
    <row r="1085">
      <c r="A1085" s="44">
        <v>1085.0</v>
      </c>
      <c r="B1085" s="129" t="s">
        <v>152</v>
      </c>
      <c r="C1085" s="62" t="s">
        <v>115</v>
      </c>
      <c r="D1085" s="62" t="s">
        <v>145</v>
      </c>
      <c r="E1085" s="365"/>
      <c r="F1085" s="1313" t="s">
        <v>5942</v>
      </c>
      <c r="G1085" s="1314" t="s">
        <v>5943</v>
      </c>
      <c r="H1085" s="1315" t="s">
        <v>5592</v>
      </c>
      <c r="I1085" s="1316">
        <v>45690.0</v>
      </c>
      <c r="J1085" s="1317">
        <v>45692.0</v>
      </c>
      <c r="K1085" s="1339" t="s">
        <v>5944</v>
      </c>
      <c r="L1085" s="1313" t="s">
        <v>5945</v>
      </c>
      <c r="M1085" s="1315" t="s">
        <v>5946</v>
      </c>
      <c r="N1085" s="1315" t="s">
        <v>5947</v>
      </c>
      <c r="O1085" s="1318">
        <v>1.0</v>
      </c>
      <c r="P1085" s="1315" t="s">
        <v>5948</v>
      </c>
      <c r="Q1085" s="52" t="str">
        <f t="array" ref="Q1085"> if(iserror(MATCH(V1085, 'File Links'!C:C, 0)), "N/A", HYPERLINK(INDEX('File Links'!B:B, MATCH(P1085, 'File Links'!C:C, 0))))</f>
        <v>https://drive.google.com/file/d/1ZJao6drmlp_5iFzVLwLBVxZ7mZzQpGwX/view?usp=drivesdk</v>
      </c>
      <c r="R1085" s="1315" t="s">
        <v>3653</v>
      </c>
      <c r="S1085" s="159" t="s">
        <v>3654</v>
      </c>
      <c r="T1085" s="147" t="s">
        <v>138</v>
      </c>
      <c r="U1085" s="147" t="s">
        <v>138</v>
      </c>
      <c r="V1085" s="198" t="str">
        <f t="shared" si="57"/>
        <v>10.1098--rsos.231240.pdf</v>
      </c>
      <c r="W1085" s="140" t="s">
        <v>3804</v>
      </c>
      <c r="X1085" s="54" t="str">
        <f t="array" ref="X1085"> if(iserror(MATCH(V1085, 'File Links'!C:C, 0)), "N/A", HYPERLINK(INDEX('File Links'!B:B, MATCH(V1085, 'File Links'!C:C, 0))))</f>
        <v>https://drive.google.com/file/d/17gaf2Zy_ljFfcAEDk5L8GBnTl5i7RGJE/view?usp=drivesdk</v>
      </c>
      <c r="Y1085" s="1313"/>
      <c r="Z1085" s="1315" t="s">
        <v>226</v>
      </c>
      <c r="AA1085" s="374" t="s">
        <v>138</v>
      </c>
      <c r="AB1085" s="1313" t="s">
        <v>5949</v>
      </c>
      <c r="AC1085" s="1315" t="s">
        <v>5950</v>
      </c>
      <c r="AD1085" s="1313" t="s">
        <v>5951</v>
      </c>
      <c r="AE1085" s="1341">
        <v>3.0</v>
      </c>
      <c r="AF1085" s="1318">
        <v>101.0</v>
      </c>
      <c r="AG1085" s="1313" t="s">
        <v>5952</v>
      </c>
      <c r="AH1085" s="1313" t="s">
        <v>134</v>
      </c>
      <c r="AI1085" s="1313" t="s">
        <v>5953</v>
      </c>
      <c r="AJ1085" s="1325">
        <v>0.023</v>
      </c>
      <c r="AK1085" s="1321" t="s">
        <v>172</v>
      </c>
      <c r="AL1085" s="1321" t="s">
        <v>186</v>
      </c>
      <c r="AM1085" s="1313" t="s">
        <v>137</v>
      </c>
      <c r="AN1085" s="1322" t="s">
        <v>138</v>
      </c>
      <c r="AO1085" s="1318">
        <v>28.0</v>
      </c>
      <c r="AP1085" s="1341">
        <v>0.8933932</v>
      </c>
      <c r="AQ1085" s="1313" t="s">
        <v>173</v>
      </c>
      <c r="AR1085" s="1322" t="s">
        <v>5604</v>
      </c>
      <c r="AS1085" s="1341">
        <v>0.0355327857460011</v>
      </c>
      <c r="AT1085" s="1313" t="s">
        <v>172</v>
      </c>
      <c r="AU1085" s="1313" t="s">
        <v>186</v>
      </c>
      <c r="AV1085" s="1313" t="s">
        <v>137</v>
      </c>
      <c r="AW1085" s="1323" t="s">
        <v>138</v>
      </c>
      <c r="AX1085" s="1339" t="s">
        <v>143</v>
      </c>
      <c r="AY1085" s="61" t="str">
        <f>IFERROR(__xludf.DUMMYFUNCTION("vlookup(BB1085,importrange(""https://docs.google.com/spreadsheets/d/1d2vevQ_7D_v35q4wCQ4RpQ_IPoTwEMB9Yp6ymwlPqew/edit?gid=984458430#gid=984458430"", ""'replication success'!A:K""), 11, FAlSE)"),"successful")</f>
        <v>successful</v>
      </c>
      <c r="AZ1085" s="61" t="str">
        <f>IFERROR(__xludf.DUMMYFUNCTION("vlookup(BB1085,importrange(""https://docs.google.com/spreadsheets/d/1d2vevQ_7D_v35q4wCQ4RpQ_IPoTwEMB9Yp6ymwlPqew/edit?gid=984458430#gid=984458430"",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85" s="61" t="str">
        <f>IFERROR(__xludf.DUMMYFUNCTION("vlookup(BB1085,importrange(""https://docs.google.com/spreadsheets/d/1d2vevQ_7D_v35q4wCQ4RpQ_IPoTwEMB9Yp6ymwlPqew/edit?gid=984458430#gid=984458430"",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v>
      </c>
      <c r="BB1085" s="61" t="str">
        <f>IFERROR(__xludf.DUMMYFUNCTION("REGEXREPLACE(G1085, ""_[a-z]{1,2}$"", """")"),"Boyce_etal202352")</f>
        <v>Boyce_etal202352</v>
      </c>
      <c r="BD1085" s="1322" t="s">
        <v>5605</v>
      </c>
    </row>
    <row r="1086">
      <c r="A1086" s="44">
        <v>1086.0</v>
      </c>
      <c r="B1086" s="129" t="s">
        <v>114</v>
      </c>
      <c r="C1086" s="62" t="s">
        <v>115</v>
      </c>
      <c r="D1086" s="62" t="s">
        <v>248</v>
      </c>
      <c r="E1086" s="365"/>
      <c r="F1086" s="126" t="s">
        <v>5942</v>
      </c>
      <c r="G1086" s="119" t="s">
        <v>5943</v>
      </c>
      <c r="H1086" s="140" t="s">
        <v>249</v>
      </c>
      <c r="I1086" s="317">
        <v>45666.0</v>
      </c>
      <c r="J1086" s="1326">
        <v>45692.0</v>
      </c>
      <c r="K1086" s="125"/>
      <c r="L1086" s="125" t="s">
        <v>5945</v>
      </c>
      <c r="M1086" s="140" t="s">
        <v>5946</v>
      </c>
      <c r="N1086" s="140" t="s">
        <v>5947</v>
      </c>
      <c r="O1086" s="125"/>
      <c r="P1086" s="140" t="str">
        <f t="shared" ref="P1086:P1088" si="65"> SUBSTITUTE(lower(N1086), "/", "--") &amp;  ".pdf"</f>
        <v>10.1177--0956797615608267.pdf</v>
      </c>
      <c r="Q1086" s="52" t="str">
        <f t="array" ref="Q1086"> if(iserror(MATCH(V1086, 'File Links'!C:C, 0)), "N/A", HYPERLINK(INDEX('File Links'!B:B, MATCH(P1086, 'File Links'!C:C, 0))))</f>
        <v>https://drive.google.com/file/d/1ZJao6drmlp_5iFzVLwLBVxZ7mZzQpGwX/view?usp=drivesdk</v>
      </c>
      <c r="R1086" s="140" t="s">
        <v>5954</v>
      </c>
      <c r="S1086" s="159" t="s">
        <v>3654</v>
      </c>
      <c r="T1086" s="147" t="s">
        <v>138</v>
      </c>
      <c r="U1086" s="147" t="s">
        <v>138</v>
      </c>
      <c r="V1086" s="198" t="str">
        <f t="shared" si="57"/>
        <v>10.1098--rsos.231240.pdf</v>
      </c>
      <c r="W1086" s="140" t="s">
        <v>3804</v>
      </c>
      <c r="X1086" s="54" t="str">
        <f t="array" ref="X1086"> if(iserror(MATCH(V1086, 'File Links'!C:C, 0)), "N/A", HYPERLINK(INDEX('File Links'!B:B, MATCH(V1086, 'File Links'!C:C, 0))))</f>
        <v>https://drive.google.com/file/d/17gaf2Zy_ljFfcAEDk5L8GBnTl5i7RGJE/view?usp=drivesdk</v>
      </c>
      <c r="Y1086" s="125"/>
      <c r="Z1086" s="140" t="s">
        <v>210</v>
      </c>
      <c r="AA1086" s="125"/>
      <c r="AB1086" s="125"/>
      <c r="AC1086" s="125"/>
      <c r="AD1086" s="140" t="s">
        <v>5955</v>
      </c>
      <c r="AE1086" s="782">
        <v>106.0</v>
      </c>
      <c r="AF1086" s="782">
        <v>101.0</v>
      </c>
      <c r="AG1086" s="782">
        <v>1.011</v>
      </c>
      <c r="AH1086" s="140" t="s">
        <v>987</v>
      </c>
      <c r="AI1086" s="140" t="s">
        <v>5956</v>
      </c>
      <c r="AJ1086" s="133">
        <v>0.23</v>
      </c>
      <c r="AK1086" s="126" t="s">
        <v>172</v>
      </c>
      <c r="AL1086" s="126" t="s">
        <v>136</v>
      </c>
      <c r="AM1086" s="140" t="s">
        <v>1905</v>
      </c>
      <c r="AN1086" s="1322" t="s">
        <v>138</v>
      </c>
      <c r="AO1086" s="782">
        <v>28.0</v>
      </c>
      <c r="AP1086" s="782">
        <v>0.8933932</v>
      </c>
      <c r="AQ1086" s="140" t="s">
        <v>173</v>
      </c>
      <c r="AR1086" s="1322" t="s">
        <v>5604</v>
      </c>
      <c r="AS1086" s="782">
        <v>0.0355327857460011</v>
      </c>
      <c r="AT1086" s="140" t="s">
        <v>172</v>
      </c>
      <c r="AU1086" s="140" t="s">
        <v>186</v>
      </c>
      <c r="AV1086" s="140" t="s">
        <v>1905</v>
      </c>
      <c r="AW1086" s="1323" t="s">
        <v>138</v>
      </c>
      <c r="AX1086" s="140" t="s">
        <v>143</v>
      </c>
      <c r="AY1086" s="61" t="str">
        <f>IFERROR(__xludf.DUMMYFUNCTION("vlookup(BB1086,importrange(""https://docs.google.com/spreadsheets/d/1d2vevQ_7D_v35q4wCQ4RpQ_IPoTwEMB9Yp6ymwlPqew/edit?gid=984458430#gid=984458430"", ""'replication success'!A:K""), 11, FAlSE)"),"successful")</f>
        <v>successful</v>
      </c>
      <c r="AZ1086" s="61" t="str">
        <f>IFERROR(__xludf.DUMMYFUNCTION("vlookup(BB1086,importrange(""https://docs.google.com/spreadsheets/d/1d2vevQ_7D_v35q4wCQ4RpQ_IPoTwEMB9Yp6ymwlPqew/edit?gid=984458430#gid=984458430"",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086" s="61" t="str">
        <f>IFERROR(__xludf.DUMMYFUNCTION("vlookup(BB1086,importrange(""https://docs.google.com/spreadsheets/d/1d2vevQ_7D_v35q4wCQ4RpQ_IPoTwEMB9Yp6ymwlPqew/edit?gid=984458430#gid=984458430"",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v>
      </c>
      <c r="BB1086" s="61" t="str">
        <f>IFERROR(__xludf.DUMMYFUNCTION("REGEXREPLACE(G1086, ""_[a-z]{1,2}$"", """")"),"Boyce_etal202352")</f>
        <v>Boyce_etal202352</v>
      </c>
      <c r="BD1086" s="1322" t="s">
        <v>5605</v>
      </c>
    </row>
    <row r="1087">
      <c r="A1087" s="44">
        <v>1087.0</v>
      </c>
      <c r="B1087" s="129" t="s">
        <v>2013</v>
      </c>
      <c r="C1087" s="62" t="s">
        <v>115</v>
      </c>
      <c r="D1087" s="62" t="s">
        <v>145</v>
      </c>
      <c r="E1087" s="365"/>
      <c r="F1087" s="1313" t="s">
        <v>5957</v>
      </c>
      <c r="G1087" s="1314" t="s">
        <v>5958</v>
      </c>
      <c r="H1087" s="1315" t="s">
        <v>5592</v>
      </c>
      <c r="I1087" s="1316">
        <v>45690.0</v>
      </c>
      <c r="J1087" s="1317">
        <v>45692.0</v>
      </c>
      <c r="K1087" s="1313" t="s">
        <v>5686</v>
      </c>
      <c r="L1087" s="1313" t="s">
        <v>5594</v>
      </c>
      <c r="M1087" s="1315" t="s">
        <v>5959</v>
      </c>
      <c r="N1087" s="1313" t="s">
        <v>5960</v>
      </c>
      <c r="O1087" s="1318">
        <v>1.0</v>
      </c>
      <c r="P1087" s="140" t="str">
        <f t="shared" si="65"/>
        <v>10.1016--j.cognition.2007.11.004.pdf</v>
      </c>
      <c r="Q1087" s="52" t="str">
        <f t="array" ref="Q1087"> if(iserror(MATCH(V1087, 'File Links'!C:C, 0)), "N/A", HYPERLINK(INDEX('File Links'!B:B, MATCH(P1087, 'File Links'!C:C, 0))))</f>
        <v>https://drive.google.com/file/d/15WVNsHu4qw18Mufo3UCjKv6cq2gXORb0/view?usp=drivesdk</v>
      </c>
      <c r="R1087" s="1315" t="s">
        <v>3653</v>
      </c>
      <c r="S1087" s="159" t="s">
        <v>3654</v>
      </c>
      <c r="T1087" s="147" t="s">
        <v>138</v>
      </c>
      <c r="U1087" s="147" t="s">
        <v>138</v>
      </c>
      <c r="V1087" s="198" t="str">
        <f t="shared" si="57"/>
        <v>10.1098--rsos.231240.pdf</v>
      </c>
      <c r="W1087" s="140" t="s">
        <v>3665</v>
      </c>
      <c r="X1087" s="54" t="str">
        <f t="array" ref="X1087"> if(iserror(MATCH(V1087, 'File Links'!C:C, 0)), "N/A", HYPERLINK(INDEX('File Links'!B:B, MATCH(V1087, 'File Links'!C:C, 0))))</f>
        <v>https://drive.google.com/file/d/17gaf2Zy_ljFfcAEDk5L8GBnTl5i7RGJE/view?usp=drivesdk</v>
      </c>
      <c r="Y1087" s="1313"/>
      <c r="Z1087" s="1315" t="s">
        <v>148</v>
      </c>
      <c r="AA1087" s="1313" t="s">
        <v>1535</v>
      </c>
      <c r="AB1087" s="1313" t="s">
        <v>5961</v>
      </c>
      <c r="AC1087" s="1315" t="s">
        <v>5962</v>
      </c>
      <c r="AD1087" s="1313" t="s">
        <v>5963</v>
      </c>
      <c r="AE1087" s="1313" t="s">
        <v>5964</v>
      </c>
      <c r="AF1087" s="1318">
        <v>82.0</v>
      </c>
      <c r="AG1087" s="1313" t="s">
        <v>5965</v>
      </c>
      <c r="AH1087" s="1313" t="s">
        <v>134</v>
      </c>
      <c r="AI1087" s="1313" t="s">
        <v>140</v>
      </c>
      <c r="AJ1087" s="1325">
        <v>0.005</v>
      </c>
      <c r="AK1087" s="1321" t="s">
        <v>172</v>
      </c>
      <c r="AL1087" s="1321" t="s">
        <v>186</v>
      </c>
      <c r="AM1087" s="1313" t="s">
        <v>137</v>
      </c>
      <c r="AN1087" s="1322" t="s">
        <v>138</v>
      </c>
      <c r="AO1087" s="1318">
        <v>25.0</v>
      </c>
      <c r="AP1087" s="1313" t="s">
        <v>1535</v>
      </c>
      <c r="AQ1087" s="129" t="s">
        <v>138</v>
      </c>
      <c r="AR1087" s="1322" t="s">
        <v>5604</v>
      </c>
      <c r="AS1087" s="1313" t="s">
        <v>1535</v>
      </c>
      <c r="AT1087" s="1313" t="s">
        <v>1535</v>
      </c>
      <c r="AU1087" s="1313" t="s">
        <v>186</v>
      </c>
      <c r="AV1087" s="1313" t="s">
        <v>137</v>
      </c>
      <c r="AW1087" s="1323" t="s">
        <v>138</v>
      </c>
      <c r="AX1087" s="1339" t="s">
        <v>143</v>
      </c>
      <c r="AY1087" s="61" t="str">
        <f>IFERROR(__xludf.DUMMYFUNCTION("vlookup(BB1087,importrange(""https://docs.google.com/spreadsheets/d/1d2vevQ_7D_v35q4wCQ4RpQ_IPoTwEMB9Yp6ymwlPqew/edit?gid=984458430#gid=984458430"", ""'replication success'!A:K""), 11, FAlSE)"),"#N/A")</f>
        <v>#N/A</v>
      </c>
      <c r="AZ1087" s="61" t="str">
        <f>IFERROR(__xludf.DUMMYFUNCTION("vlookup(BB1087,importrange(""https://docs.google.com/spreadsheets/d/1d2vevQ_7D_v35q4wCQ4RpQ_IPoTwEMB9Yp6ymwlPqew/edit?gid=984458430#gid=984458430"", ""'replication success'!A:M""), 12, FAlSE)"),"#N/A")</f>
        <v>#N/A</v>
      </c>
      <c r="BA1087" s="61" t="str">
        <f>IFERROR(__xludf.DUMMYFUNCTION("vlookup(BB1087,importrange(""https://docs.google.com/spreadsheets/d/1d2vevQ_7D_v35q4wCQ4RpQ_IPoTwEMB9Yp6ymwlPqew/edit?gid=984458430#gid=984458430"", ""'replication success'!A:M""), 13, FAlSE)"),"#N/A")</f>
        <v>#N/A</v>
      </c>
      <c r="BB1087" s="61" t="str">
        <f>IFERROR(__xludf.DUMMYFUNCTION("REGEXREPLACE(G1087, ""_[a-z]{1,2}$"", """")"),"Boyce_etal202353")</f>
        <v>Boyce_etal202353</v>
      </c>
      <c r="BD1087" s="1322" t="s">
        <v>5605</v>
      </c>
    </row>
    <row r="1088">
      <c r="A1088" s="44">
        <v>1088.0</v>
      </c>
      <c r="B1088" s="129" t="s">
        <v>114</v>
      </c>
      <c r="C1088" s="62" t="s">
        <v>115</v>
      </c>
      <c r="D1088" s="62" t="s">
        <v>248</v>
      </c>
      <c r="E1088" s="365"/>
      <c r="F1088" s="126" t="s">
        <v>5957</v>
      </c>
      <c r="G1088" s="119" t="s">
        <v>5958</v>
      </c>
      <c r="H1088" s="140" t="s">
        <v>249</v>
      </c>
      <c r="I1088" s="317">
        <v>45666.0</v>
      </c>
      <c r="J1088" s="1326">
        <v>45692.0</v>
      </c>
      <c r="K1088" s="140" t="s">
        <v>5966</v>
      </c>
      <c r="L1088" s="125" t="s">
        <v>5594</v>
      </c>
      <c r="M1088" s="140" t="s">
        <v>5959</v>
      </c>
      <c r="N1088" s="140" t="s">
        <v>5960</v>
      </c>
      <c r="O1088" s="125"/>
      <c r="P1088" s="140" t="str">
        <f t="shared" si="65"/>
        <v>10.1016--j.cognition.2007.11.004.pdf</v>
      </c>
      <c r="Q1088" s="52" t="str">
        <f t="array" ref="Q1088"> if(iserror(MATCH(V1088, 'File Links'!C:C, 0)), "N/A", HYPERLINK(INDEX('File Links'!B:B, MATCH(P1088, 'File Links'!C:C, 0))))</f>
        <v>https://drive.google.com/file/d/15WVNsHu4qw18Mufo3UCjKv6cq2gXORb0/view?usp=drivesdk</v>
      </c>
      <c r="R1088" s="140" t="s">
        <v>5967</v>
      </c>
      <c r="S1088" s="159" t="s">
        <v>3654</v>
      </c>
      <c r="T1088" s="147" t="s">
        <v>138</v>
      </c>
      <c r="U1088" s="147" t="s">
        <v>138</v>
      </c>
      <c r="V1088" s="198" t="str">
        <f t="shared" si="57"/>
        <v>10.1098--rsos.231240.pdf</v>
      </c>
      <c r="W1088" s="140" t="s">
        <v>3665</v>
      </c>
      <c r="X1088" s="54" t="str">
        <f t="array" ref="X1088"> if(iserror(MATCH(V1088, 'File Links'!C:C, 0)), "N/A", HYPERLINK(INDEX('File Links'!B:B, MATCH(V1088, 'File Links'!C:C, 0))))</f>
        <v>https://drive.google.com/file/d/17gaf2Zy_ljFfcAEDk5L8GBnTl5i7RGJE/view?usp=drivesdk</v>
      </c>
      <c r="Y1088" s="125"/>
      <c r="Z1088" s="140" t="s">
        <v>148</v>
      </c>
      <c r="AA1088" s="125"/>
      <c r="AB1088" s="125"/>
      <c r="AC1088" s="125"/>
      <c r="AD1088" s="140" t="s">
        <v>5968</v>
      </c>
      <c r="AE1088" s="782">
        <v>1149.0</v>
      </c>
      <c r="AF1088" s="782">
        <v>82.0</v>
      </c>
      <c r="AG1088" s="225" t="s">
        <v>5969</v>
      </c>
      <c r="AH1088" s="119" t="s">
        <v>134</v>
      </c>
      <c r="AI1088" s="140" t="s">
        <v>5970</v>
      </c>
      <c r="AJ1088" s="133">
        <v>0.005</v>
      </c>
      <c r="AK1088" s="126" t="s">
        <v>172</v>
      </c>
      <c r="AL1088" s="126" t="s">
        <v>218</v>
      </c>
      <c r="AM1088" s="140" t="s">
        <v>141</v>
      </c>
      <c r="AN1088" s="1322" t="s">
        <v>138</v>
      </c>
      <c r="AO1088" s="782">
        <v>25.0</v>
      </c>
      <c r="AP1088" s="140" t="s">
        <v>138</v>
      </c>
      <c r="AQ1088" s="125"/>
      <c r="AR1088" s="1322" t="s">
        <v>5604</v>
      </c>
      <c r="AS1088" s="125"/>
      <c r="AT1088" s="125"/>
      <c r="AU1088" s="140" t="s">
        <v>218</v>
      </c>
      <c r="AV1088" s="140" t="s">
        <v>141</v>
      </c>
      <c r="AW1088" s="1323" t="s">
        <v>138</v>
      </c>
      <c r="AX1088" s="670" t="s">
        <v>143</v>
      </c>
      <c r="AY1088" s="61" t="str">
        <f>IFERROR(__xludf.DUMMYFUNCTION("vlookup(BB1088,importrange(""https://docs.google.com/spreadsheets/d/1d2vevQ_7D_v35q4wCQ4RpQ_IPoTwEMB9Yp6ymwlPqew/edit?gid=984458430#gid=984458430"", ""'replication success'!A:K""), 11, FAlSE)"),"#N/A")</f>
        <v>#N/A</v>
      </c>
      <c r="AZ1088" s="61" t="str">
        <f>IFERROR(__xludf.DUMMYFUNCTION("vlookup(BB1088,importrange(""https://docs.google.com/spreadsheets/d/1d2vevQ_7D_v35q4wCQ4RpQ_IPoTwEMB9Yp6ymwlPqew/edit?gid=984458430#gid=984458430"", ""'replication success'!A:M""), 12, FAlSE)"),"#N/A")</f>
        <v>#N/A</v>
      </c>
      <c r="BA1088" s="61" t="str">
        <f>IFERROR(__xludf.DUMMYFUNCTION("vlookup(BB1088,importrange(""https://docs.google.com/spreadsheets/d/1d2vevQ_7D_v35q4wCQ4RpQ_IPoTwEMB9Yp6ymwlPqew/edit?gid=984458430#gid=984458430"", ""'replication success'!A:M""), 13, FAlSE)"),"#N/A")</f>
        <v>#N/A</v>
      </c>
      <c r="BB1088" s="61" t="str">
        <f>IFERROR(__xludf.DUMMYFUNCTION("REGEXREPLACE(G1088, ""_[a-z]{1,2}$"", """")"),"Boyce_etal202353")</f>
        <v>Boyce_etal202353</v>
      </c>
      <c r="BD1088" s="1322" t="s">
        <v>5605</v>
      </c>
    </row>
    <row r="1089">
      <c r="A1089" s="44">
        <v>1089.0</v>
      </c>
      <c r="B1089" s="129" t="s">
        <v>2013</v>
      </c>
      <c r="C1089" s="62" t="s">
        <v>115</v>
      </c>
      <c r="D1089" s="62" t="s">
        <v>145</v>
      </c>
      <c r="E1089" s="365"/>
      <c r="F1089" s="1313" t="s">
        <v>5971</v>
      </c>
      <c r="G1089" s="1314" t="s">
        <v>5972</v>
      </c>
      <c r="H1089" s="1315" t="s">
        <v>5592</v>
      </c>
      <c r="I1089" s="1316">
        <v>45690.0</v>
      </c>
      <c r="J1089" s="1317">
        <v>45692.0</v>
      </c>
      <c r="K1089" s="140" t="s">
        <v>5973</v>
      </c>
      <c r="L1089" s="1313" t="s">
        <v>5594</v>
      </c>
      <c r="M1089" s="1315" t="s">
        <v>5974</v>
      </c>
      <c r="N1089" s="1315" t="s">
        <v>5975</v>
      </c>
      <c r="O1089" s="1318">
        <v>1.0</v>
      </c>
      <c r="P1089" s="1315" t="s">
        <v>5976</v>
      </c>
      <c r="Q1089" s="52" t="str">
        <f t="array" ref="Q1089"> if(iserror(MATCH(V1089, 'File Links'!C:C, 0)), "N/A", HYPERLINK(INDEX('File Links'!B:B, MATCH(P1089, 'File Links'!C:C, 0))))</f>
        <v>https://drive.google.com/file/d/1OF9OzNZ0RezTr91hWpWHMHWrXH9SCFAS/view?usp=drivesdk</v>
      </c>
      <c r="R1089" s="1315" t="s">
        <v>3653</v>
      </c>
      <c r="S1089" s="159" t="s">
        <v>3654</v>
      </c>
      <c r="T1089" s="147" t="s">
        <v>138</v>
      </c>
      <c r="U1089" s="147" t="s">
        <v>138</v>
      </c>
      <c r="V1089" s="198" t="str">
        <f t="shared" si="57"/>
        <v>10.1098--rsos.231240.pdf</v>
      </c>
      <c r="W1089" s="140" t="s">
        <v>3665</v>
      </c>
      <c r="X1089" s="54" t="str">
        <f t="array" ref="X1089"> if(iserror(MATCH(V1089, 'File Links'!C:C, 0)), "N/A", HYPERLINK(INDEX('File Links'!B:B, MATCH(V1089, 'File Links'!C:C, 0))))</f>
        <v>https://drive.google.com/file/d/17gaf2Zy_ljFfcAEDk5L8GBnTl5i7RGJE/view?usp=drivesdk</v>
      </c>
      <c r="Y1089" s="1313"/>
      <c r="Z1089" s="1315" t="s">
        <v>148</v>
      </c>
      <c r="AA1089" s="1313" t="s">
        <v>1535</v>
      </c>
      <c r="AB1089" s="1313" t="s">
        <v>5977</v>
      </c>
      <c r="AC1089" s="1315" t="s">
        <v>5978</v>
      </c>
      <c r="AD1089" s="1313" t="s">
        <v>1535</v>
      </c>
      <c r="AE1089" s="1313" t="s">
        <v>1535</v>
      </c>
      <c r="AF1089" s="1318">
        <v>350.0</v>
      </c>
      <c r="AG1089" s="1313" t="s">
        <v>1535</v>
      </c>
      <c r="AH1089" s="167" t="s">
        <v>138</v>
      </c>
      <c r="AI1089" s="1313" t="s">
        <v>1535</v>
      </c>
      <c r="AJ1089" s="1320" t="s">
        <v>1535</v>
      </c>
      <c r="AK1089" s="1321" t="s">
        <v>1535</v>
      </c>
      <c r="AL1089" s="1321" t="s">
        <v>186</v>
      </c>
      <c r="AM1089" s="1313" t="s">
        <v>137</v>
      </c>
      <c r="AN1089" s="1322" t="s">
        <v>138</v>
      </c>
      <c r="AO1089" s="1318">
        <v>349.0</v>
      </c>
      <c r="AP1089" s="1313" t="s">
        <v>1535</v>
      </c>
      <c r="AQ1089" s="129" t="s">
        <v>138</v>
      </c>
      <c r="AR1089" s="1322" t="s">
        <v>5604</v>
      </c>
      <c r="AS1089" s="1313" t="s">
        <v>1535</v>
      </c>
      <c r="AT1089" s="1313" t="s">
        <v>1535</v>
      </c>
      <c r="AU1089" s="1313" t="s">
        <v>186</v>
      </c>
      <c r="AV1089" s="1313" t="s">
        <v>137</v>
      </c>
      <c r="AW1089" s="1323" t="s">
        <v>138</v>
      </c>
      <c r="AX1089" s="1339" t="s">
        <v>143</v>
      </c>
      <c r="AY1089" s="61" t="str">
        <f>IFERROR(__xludf.DUMMYFUNCTION("vlookup(BB1089,importrange(""https://docs.google.com/spreadsheets/d/1d2vevQ_7D_v35q4wCQ4RpQ_IPoTwEMB9Yp6ymwlPqew/edit?gid=984458430#gid=984458430"", ""'replication success'!A:K""), 11, FAlSE)"),"#N/A")</f>
        <v>#N/A</v>
      </c>
      <c r="AZ1089" s="61" t="str">
        <f>IFERROR(__xludf.DUMMYFUNCTION("vlookup(BB1089,importrange(""https://docs.google.com/spreadsheets/d/1d2vevQ_7D_v35q4wCQ4RpQ_IPoTwEMB9Yp6ymwlPqew/edit?gid=984458430#gid=984458430"", ""'replication success'!A:M""), 12, FAlSE)"),"#N/A")</f>
        <v>#N/A</v>
      </c>
      <c r="BA1089" s="61" t="str">
        <f>IFERROR(__xludf.DUMMYFUNCTION("vlookup(BB1089,importrange(""https://docs.google.com/spreadsheets/d/1d2vevQ_7D_v35q4wCQ4RpQ_IPoTwEMB9Yp6ymwlPqew/edit?gid=984458430#gid=984458430"", ""'replication success'!A:M""), 13, FAlSE)"),"#N/A")</f>
        <v>#N/A</v>
      </c>
      <c r="BB1089" s="61" t="str">
        <f>IFERROR(__xludf.DUMMYFUNCTION("REGEXREPLACE(G1089, ""_[a-z]{1,2}$"", """")"),"Boyce_etal202354")</f>
        <v>Boyce_etal202354</v>
      </c>
      <c r="BD1089" s="1322" t="s">
        <v>5605</v>
      </c>
    </row>
    <row r="1090">
      <c r="A1090" s="44">
        <v>1090.0</v>
      </c>
      <c r="B1090" s="129" t="s">
        <v>114</v>
      </c>
      <c r="C1090" s="62" t="s">
        <v>115</v>
      </c>
      <c r="D1090" s="62" t="s">
        <v>248</v>
      </c>
      <c r="E1090" s="365"/>
      <c r="F1090" s="126" t="s">
        <v>5971</v>
      </c>
      <c r="G1090" s="119" t="s">
        <v>5972</v>
      </c>
      <c r="H1090" s="140" t="s">
        <v>249</v>
      </c>
      <c r="I1090" s="317">
        <v>45666.0</v>
      </c>
      <c r="J1090" s="1326">
        <v>45692.0</v>
      </c>
      <c r="K1090" s="140" t="s">
        <v>5973</v>
      </c>
      <c r="L1090" s="125" t="s">
        <v>5594</v>
      </c>
      <c r="M1090" s="140" t="s">
        <v>5974</v>
      </c>
      <c r="N1090" s="140" t="s">
        <v>5975</v>
      </c>
      <c r="O1090" s="125"/>
      <c r="P1090" s="140" t="str">
        <f t="shared" ref="P1090:P1096" si="66"> SUBSTITUTE(lower(N1090), "/", "--") &amp;  ".pdf"</f>
        <v>10.1111--j.1467-9280.2006.01780.x.pdf</v>
      </c>
      <c r="Q1090" s="52" t="str">
        <f t="array" ref="Q1090"> if(iserror(MATCH(V1090, 'File Links'!C:C, 0)), "N/A", HYPERLINK(INDEX('File Links'!B:B, MATCH(P1090, 'File Links'!C:C, 0))))</f>
        <v>https://drive.google.com/file/d/1OF9OzNZ0RezTr91hWpWHMHWrXH9SCFAS/view?usp=drivesdk</v>
      </c>
      <c r="R1090" s="140" t="s">
        <v>5979</v>
      </c>
      <c r="S1090" s="159" t="s">
        <v>3654</v>
      </c>
      <c r="T1090" s="147" t="s">
        <v>138</v>
      </c>
      <c r="U1090" s="147" t="s">
        <v>138</v>
      </c>
      <c r="V1090" s="198" t="str">
        <f t="shared" si="57"/>
        <v>10.1098--rsos.231240.pdf</v>
      </c>
      <c r="W1090" s="140" t="s">
        <v>3665</v>
      </c>
      <c r="X1090" s="54" t="str">
        <f t="array" ref="X1090"> if(iserror(MATCH(V1090, 'File Links'!C:C, 0)), "N/A", HYPERLINK(INDEX('File Links'!B:B, MATCH(V1090, 'File Links'!C:C, 0))))</f>
        <v>https://drive.google.com/file/d/17gaf2Zy_ljFfcAEDk5L8GBnTl5i7RGJE/view?usp=drivesdk</v>
      </c>
      <c r="Y1090" s="125"/>
      <c r="Z1090" s="140" t="s">
        <v>148</v>
      </c>
      <c r="AA1090" s="125"/>
      <c r="AB1090" s="125"/>
      <c r="AC1090" s="125"/>
      <c r="AD1090" s="140" t="s">
        <v>138</v>
      </c>
      <c r="AE1090" s="140" t="s">
        <v>138</v>
      </c>
      <c r="AF1090" s="782">
        <v>350.0</v>
      </c>
      <c r="AG1090" s="140" t="s">
        <v>138</v>
      </c>
      <c r="AH1090" s="125"/>
      <c r="AI1090" s="140" t="s">
        <v>138</v>
      </c>
      <c r="AJ1090" s="318"/>
      <c r="AK1090" s="132"/>
      <c r="AL1090" s="126" t="s">
        <v>186</v>
      </c>
      <c r="AM1090" s="140" t="s">
        <v>1905</v>
      </c>
      <c r="AN1090" s="1322" t="s">
        <v>138</v>
      </c>
      <c r="AO1090" s="782">
        <v>349.0</v>
      </c>
      <c r="AP1090" s="140" t="s">
        <v>138</v>
      </c>
      <c r="AQ1090" s="125"/>
      <c r="AR1090" s="1322" t="s">
        <v>5604</v>
      </c>
      <c r="AS1090" s="125"/>
      <c r="AT1090" s="125"/>
      <c r="AU1090" s="140" t="s">
        <v>186</v>
      </c>
      <c r="AV1090" s="140" t="s">
        <v>1905</v>
      </c>
      <c r="AW1090" s="1323" t="s">
        <v>138</v>
      </c>
      <c r="AX1090" s="670" t="s">
        <v>143</v>
      </c>
      <c r="AY1090" s="61" t="str">
        <f>IFERROR(__xludf.DUMMYFUNCTION("vlookup(BB1090,importrange(""https://docs.google.com/spreadsheets/d/1d2vevQ_7D_v35q4wCQ4RpQ_IPoTwEMB9Yp6ymwlPqew/edit?gid=984458430#gid=984458430"", ""'replication success'!A:K""), 11, FAlSE)"),"#N/A")</f>
        <v>#N/A</v>
      </c>
      <c r="AZ1090" s="61" t="str">
        <f>IFERROR(__xludf.DUMMYFUNCTION("vlookup(BB1090,importrange(""https://docs.google.com/spreadsheets/d/1d2vevQ_7D_v35q4wCQ4RpQ_IPoTwEMB9Yp6ymwlPqew/edit?gid=984458430#gid=984458430"", ""'replication success'!A:M""), 12, FAlSE)"),"#N/A")</f>
        <v>#N/A</v>
      </c>
      <c r="BA1090" s="61" t="str">
        <f>IFERROR(__xludf.DUMMYFUNCTION("vlookup(BB1090,importrange(""https://docs.google.com/spreadsheets/d/1d2vevQ_7D_v35q4wCQ4RpQ_IPoTwEMB9Yp6ymwlPqew/edit?gid=984458430#gid=984458430"", ""'replication success'!A:M""), 13, FAlSE)"),"#N/A")</f>
        <v>#N/A</v>
      </c>
      <c r="BB1090" s="61" t="str">
        <f>IFERROR(__xludf.DUMMYFUNCTION("REGEXREPLACE(G1090, ""_[a-z]{1,2}$"", """")"),"Boyce_etal202354")</f>
        <v>Boyce_etal202354</v>
      </c>
      <c r="BD1090" s="1322" t="s">
        <v>5605</v>
      </c>
    </row>
    <row r="1091">
      <c r="A1091" s="44">
        <v>1091.0</v>
      </c>
      <c r="B1091" s="129" t="s">
        <v>152</v>
      </c>
      <c r="C1091" s="62" t="s">
        <v>115</v>
      </c>
      <c r="D1091" s="62" t="s">
        <v>145</v>
      </c>
      <c r="E1091" s="365"/>
      <c r="F1091" s="1313" t="s">
        <v>5980</v>
      </c>
      <c r="G1091" s="1314" t="s">
        <v>5981</v>
      </c>
      <c r="H1091" s="1315" t="s">
        <v>5592</v>
      </c>
      <c r="I1091" s="1316">
        <v>45690.0</v>
      </c>
      <c r="J1091" s="1317">
        <v>45692.0</v>
      </c>
      <c r="K1091" s="1313"/>
      <c r="L1091" s="1313" t="s">
        <v>5594</v>
      </c>
      <c r="M1091" s="1315" t="s">
        <v>5982</v>
      </c>
      <c r="N1091" s="1313" t="s">
        <v>5983</v>
      </c>
      <c r="O1091" s="1318">
        <v>4.0</v>
      </c>
      <c r="P1091" s="140" t="str">
        <f t="shared" si="66"/>
        <v>10.1177--0956797616639727.pdf</v>
      </c>
      <c r="Q1091" s="52" t="str">
        <f t="array" ref="Q1091"> if(iserror(MATCH(V1091, 'File Links'!C:C, 0)), "N/A", HYPERLINK(INDEX('File Links'!B:B, MATCH(P1091, 'File Links'!C:C, 0))))</f>
        <v>https://drive.google.com/file/d/1_UEC3DvYLPby3ewaxAHguC5Mm0ainire/view?usp=drivesdk</v>
      </c>
      <c r="R1091" s="1315" t="s">
        <v>3653</v>
      </c>
      <c r="S1091" s="159" t="s">
        <v>3654</v>
      </c>
      <c r="T1091" s="147" t="s">
        <v>138</v>
      </c>
      <c r="U1091" s="147" t="s">
        <v>138</v>
      </c>
      <c r="V1091" s="198" t="str">
        <f t="shared" si="57"/>
        <v>10.1098--rsos.231240.pdf</v>
      </c>
      <c r="W1091" s="140" t="s">
        <v>3804</v>
      </c>
      <c r="X1091" s="54" t="str">
        <f t="array" ref="X1091"> if(iserror(MATCH(V1091, 'File Links'!C:C, 0)), "N/A", HYPERLINK(INDEX('File Links'!B:B, MATCH(V1091, 'File Links'!C:C, 0))))</f>
        <v>https://drive.google.com/file/d/17gaf2Zy_ljFfcAEDk5L8GBnTl5i7RGJE/view?usp=drivesdk</v>
      </c>
      <c r="Y1091" s="1313"/>
      <c r="Z1091" s="1315" t="s">
        <v>226</v>
      </c>
      <c r="AA1091" s="374" t="s">
        <v>138</v>
      </c>
      <c r="AB1091" s="1313" t="s">
        <v>5984</v>
      </c>
      <c r="AC1091" s="1315" t="s">
        <v>5985</v>
      </c>
      <c r="AD1091" s="1313" t="s">
        <v>5986</v>
      </c>
      <c r="AE1091" s="1313" t="s">
        <v>5987</v>
      </c>
      <c r="AF1091" s="1318">
        <v>132.0</v>
      </c>
      <c r="AG1091" s="1357" t="s">
        <v>5988</v>
      </c>
      <c r="AH1091" s="1336" t="s">
        <v>134</v>
      </c>
      <c r="AI1091" s="1313" t="s">
        <v>132</v>
      </c>
      <c r="AJ1091" s="1325">
        <v>0.001</v>
      </c>
      <c r="AK1091" s="1321" t="s">
        <v>135</v>
      </c>
      <c r="AL1091" s="1321" t="s">
        <v>186</v>
      </c>
      <c r="AM1091" s="1313" t="s">
        <v>137</v>
      </c>
      <c r="AN1091" s="1322" t="s">
        <v>138</v>
      </c>
      <c r="AO1091" s="1318">
        <v>97.0</v>
      </c>
      <c r="AP1091" s="1341">
        <v>-0.396027643904869</v>
      </c>
      <c r="AQ1091" s="1313" t="s">
        <v>173</v>
      </c>
      <c r="AR1091" s="1322" t="s">
        <v>5989</v>
      </c>
      <c r="AS1091" s="1345">
        <v>0.0566541751146468</v>
      </c>
      <c r="AT1091" s="1313" t="s">
        <v>172</v>
      </c>
      <c r="AU1091" s="1313" t="s">
        <v>186</v>
      </c>
      <c r="AV1091" s="1358" t="s">
        <v>141</v>
      </c>
      <c r="AW1091" s="1323" t="s">
        <v>138</v>
      </c>
      <c r="AX1091" s="1339" t="s">
        <v>143</v>
      </c>
      <c r="AY1091" s="61" t="str">
        <f>IFERROR(__xludf.DUMMYFUNCTION("vlookup(BB1091,importrange(""https://docs.google.com/spreadsheets/d/1d2vevQ_7D_v35q4wCQ4RpQ_IPoTwEMB9Yp6ymwlPqew/edit?gid=984458430#gid=984458430"", ""'replication success'!A:K""), 11, FAlSE)"),"failed")</f>
        <v>failed</v>
      </c>
      <c r="AZ1091" s="61" t="str">
        <f>IFERROR(__xludf.DUMMYFUNCTION("vlookup(BB1091,importrange(""https://docs.google.com/spreadsheets/d/1d2vevQ_7D_v35q4wCQ4RpQ_IPoTwEMB9Yp6ymwlPqew/edit?gid=984458430#gid=984458430"",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91" s="61" t="str">
        <f>IFERROR(__xludf.DUMMYFUNCTION("vlookup(BB1091,importrange(""https://docs.google.com/spreadsheets/d/1d2vevQ_7D_v35q4wCQ4RpQ_IPoTwEMB9Yp6ymwlPqew/edit?gid=984458430#gid=984458430"",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v>
      </c>
      <c r="BB1091" s="61" t="str">
        <f>IFERROR(__xludf.DUMMYFUNCTION("REGEXREPLACE(G1091, ""_[a-z]{1,2}$"", """")"),"Boyce_etal202355")</f>
        <v>Boyce_etal202355</v>
      </c>
      <c r="BD1091" s="1322" t="s">
        <v>5605</v>
      </c>
    </row>
    <row r="1092">
      <c r="A1092" s="44">
        <v>1092.0</v>
      </c>
      <c r="B1092" s="129" t="s">
        <v>114</v>
      </c>
      <c r="C1092" s="62" t="s">
        <v>115</v>
      </c>
      <c r="D1092" s="62" t="s">
        <v>248</v>
      </c>
      <c r="E1092" s="365"/>
      <c r="F1092" s="126" t="s">
        <v>5980</v>
      </c>
      <c r="G1092" s="119" t="s">
        <v>5981</v>
      </c>
      <c r="H1092" s="140" t="s">
        <v>249</v>
      </c>
      <c r="I1092" s="317">
        <v>45666.0</v>
      </c>
      <c r="J1092" s="1326">
        <v>45692.0</v>
      </c>
      <c r="K1092" s="125"/>
      <c r="L1092" s="219" t="s">
        <v>5990</v>
      </c>
      <c r="M1092" s="140" t="s">
        <v>5982</v>
      </c>
      <c r="N1092" s="140" t="s">
        <v>5983</v>
      </c>
      <c r="O1092" s="125"/>
      <c r="P1092" s="140" t="str">
        <f t="shared" si="66"/>
        <v>10.1177--0956797616639727.pdf</v>
      </c>
      <c r="Q1092" s="52" t="str">
        <f t="array" ref="Q1092"> if(iserror(MATCH(V1092, 'File Links'!C:C, 0)), "N/A", HYPERLINK(INDEX('File Links'!B:B, MATCH(P1092, 'File Links'!C:C, 0))))</f>
        <v>https://drive.google.com/file/d/1_UEC3DvYLPby3ewaxAHguC5Mm0ainire/view?usp=drivesdk</v>
      </c>
      <c r="R1092" s="140" t="s">
        <v>5991</v>
      </c>
      <c r="S1092" s="159" t="s">
        <v>3654</v>
      </c>
      <c r="T1092" s="147" t="s">
        <v>138</v>
      </c>
      <c r="U1092" s="147" t="s">
        <v>138</v>
      </c>
      <c r="V1092" s="198" t="str">
        <f t="shared" si="57"/>
        <v>10.1098--rsos.231240.pdf</v>
      </c>
      <c r="W1092" s="140" t="s">
        <v>3804</v>
      </c>
      <c r="X1092" s="54" t="str">
        <f t="array" ref="X1092"> if(iserror(MATCH(V1092, 'File Links'!C:C, 0)), "N/A", HYPERLINK(INDEX('File Links'!B:B, MATCH(V1092, 'File Links'!C:C, 0))))</f>
        <v>https://drive.google.com/file/d/17gaf2Zy_ljFfcAEDk5L8GBnTl5i7RGJE/view?usp=drivesdk</v>
      </c>
      <c r="Y1092" s="125"/>
      <c r="Z1092" s="140" t="s">
        <v>226</v>
      </c>
      <c r="AA1092" s="125"/>
      <c r="AB1092" s="140" t="s">
        <v>5992</v>
      </c>
      <c r="AC1092" s="125"/>
      <c r="AD1092" s="1313" t="s">
        <v>5986</v>
      </c>
      <c r="AE1092" s="1313" t="s">
        <v>5987</v>
      </c>
      <c r="AF1092" s="782">
        <v>132.0</v>
      </c>
      <c r="AG1092" s="1357" t="s">
        <v>5988</v>
      </c>
      <c r="AH1092" s="1336" t="s">
        <v>134</v>
      </c>
      <c r="AI1092" s="1313" t="s">
        <v>132</v>
      </c>
      <c r="AJ1092" s="133">
        <v>0.001</v>
      </c>
      <c r="AK1092" s="126" t="s">
        <v>135</v>
      </c>
      <c r="AL1092" s="126" t="s">
        <v>186</v>
      </c>
      <c r="AM1092" s="140" t="s">
        <v>141</v>
      </c>
      <c r="AN1092" s="1322" t="s">
        <v>138</v>
      </c>
      <c r="AO1092" s="782">
        <v>97.0</v>
      </c>
      <c r="AP1092" s="782">
        <v>-0.396027643904869</v>
      </c>
      <c r="AQ1092" s="140" t="s">
        <v>173</v>
      </c>
      <c r="AR1092" s="1322" t="s">
        <v>5604</v>
      </c>
      <c r="AS1092" s="782">
        <v>0.0566541751146468</v>
      </c>
      <c r="AT1092" s="140" t="s">
        <v>172</v>
      </c>
      <c r="AU1092" s="140" t="s">
        <v>186</v>
      </c>
      <c r="AV1092" s="140" t="s">
        <v>141</v>
      </c>
      <c r="AW1092" s="1323" t="s">
        <v>138</v>
      </c>
      <c r="AX1092" s="670" t="s">
        <v>143</v>
      </c>
      <c r="AY1092" s="61" t="str">
        <f>IFERROR(__xludf.DUMMYFUNCTION("vlookup(BB1092,importrange(""https://docs.google.com/spreadsheets/d/1d2vevQ_7D_v35q4wCQ4RpQ_IPoTwEMB9Yp6ymwlPqew/edit?gid=984458430#gid=984458430"", ""'replication success'!A:K""), 11, FAlSE)"),"failed")</f>
        <v>failed</v>
      </c>
      <c r="AZ1092" s="61" t="str">
        <f>IFERROR(__xludf.DUMMYFUNCTION("vlookup(BB1092,importrange(""https://docs.google.com/spreadsheets/d/1d2vevQ_7D_v35q4wCQ4RpQ_IPoTwEMB9Yp6ymwlPqew/edit?gid=984458430#gid=984458430"",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92" s="61" t="str">
        <f>IFERROR(__xludf.DUMMYFUNCTION("vlookup(BB1092,importrange(""https://docs.google.com/spreadsheets/d/1d2vevQ_7D_v35q4wCQ4RpQ_IPoTwEMB9Yp6ymwlPqew/edit?gid=984458430#gid=984458430"",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v>
      </c>
      <c r="BB1092" s="61" t="str">
        <f>IFERROR(__xludf.DUMMYFUNCTION("REGEXREPLACE(G1092, ""_[a-z]{1,2}$"", """")"),"Boyce_etal202355")</f>
        <v>Boyce_etal202355</v>
      </c>
      <c r="BD1092" s="1322" t="s">
        <v>5605</v>
      </c>
    </row>
    <row r="1093">
      <c r="A1093" s="44">
        <v>1093.0</v>
      </c>
      <c r="B1093" s="129" t="s">
        <v>152</v>
      </c>
      <c r="C1093" s="62" t="s">
        <v>115</v>
      </c>
      <c r="D1093" s="62" t="s">
        <v>248</v>
      </c>
      <c r="E1093" s="365"/>
      <c r="F1093" s="126" t="s">
        <v>5980</v>
      </c>
      <c r="G1093" s="119" t="s">
        <v>5993</v>
      </c>
      <c r="H1093" s="140" t="s">
        <v>249</v>
      </c>
      <c r="I1093" s="317">
        <v>45666.0</v>
      </c>
      <c r="J1093" s="1326">
        <v>45692.0</v>
      </c>
      <c r="K1093" s="125"/>
      <c r="L1093" s="125" t="s">
        <v>5594</v>
      </c>
      <c r="M1093" s="140" t="s">
        <v>5982</v>
      </c>
      <c r="N1093" s="140" t="s">
        <v>5983</v>
      </c>
      <c r="O1093" s="125"/>
      <c r="P1093" s="140" t="str">
        <f t="shared" si="66"/>
        <v>10.1177--0956797616639727.pdf</v>
      </c>
      <c r="Q1093" s="52" t="str">
        <f t="array" ref="Q1093"> if(iserror(MATCH(V1093, 'File Links'!C:C, 0)), "N/A", HYPERLINK(INDEX('File Links'!B:B, MATCH(P1093, 'File Links'!C:C, 0))))</f>
        <v>https://drive.google.com/file/d/1_UEC3DvYLPby3ewaxAHguC5Mm0ainire/view?usp=drivesdk</v>
      </c>
      <c r="R1093" s="140" t="s">
        <v>5994</v>
      </c>
      <c r="S1093" s="159" t="s">
        <v>3654</v>
      </c>
      <c r="T1093" s="147" t="s">
        <v>138</v>
      </c>
      <c r="U1093" s="147" t="s">
        <v>138</v>
      </c>
      <c r="V1093" s="198" t="str">
        <f t="shared" si="57"/>
        <v>10.1098--rsos.231240.pdf</v>
      </c>
      <c r="W1093" s="140" t="s">
        <v>3665</v>
      </c>
      <c r="X1093" s="54" t="str">
        <f t="array" ref="X1093"> if(iserror(MATCH(V1093, 'File Links'!C:C, 0)), "N/A", HYPERLINK(INDEX('File Links'!B:B, MATCH(V1093, 'File Links'!C:C, 0))))</f>
        <v>https://drive.google.com/file/d/17gaf2Zy_ljFfcAEDk5L8GBnTl5i7RGJE/view?usp=drivesdk</v>
      </c>
      <c r="Y1093" s="125"/>
      <c r="Z1093" s="140" t="s">
        <v>226</v>
      </c>
      <c r="AA1093" s="125"/>
      <c r="AB1093" s="1359" t="s">
        <v>5995</v>
      </c>
      <c r="AC1093" s="125"/>
      <c r="AD1093" s="1313" t="s">
        <v>5986</v>
      </c>
      <c r="AE1093" s="1313" t="s">
        <v>5987</v>
      </c>
      <c r="AF1093" s="782">
        <v>132.0</v>
      </c>
      <c r="AG1093" s="1357" t="s">
        <v>5988</v>
      </c>
      <c r="AH1093" s="1336" t="s">
        <v>134</v>
      </c>
      <c r="AI1093" s="1313" t="s">
        <v>132</v>
      </c>
      <c r="AJ1093" s="133">
        <v>0.001</v>
      </c>
      <c r="AK1093" s="126" t="s">
        <v>135</v>
      </c>
      <c r="AL1093" s="126" t="s">
        <v>186</v>
      </c>
      <c r="AM1093" s="140" t="s">
        <v>141</v>
      </c>
      <c r="AN1093" s="1322" t="s">
        <v>138</v>
      </c>
      <c r="AO1093" s="782">
        <v>115.0</v>
      </c>
      <c r="AP1093" s="782">
        <v>0.359779005115277</v>
      </c>
      <c r="AQ1093" s="140" t="s">
        <v>173</v>
      </c>
      <c r="AR1093" s="1322" t="s">
        <v>5996</v>
      </c>
      <c r="AS1093" s="782">
        <v>0.0562263367816061</v>
      </c>
      <c r="AT1093" s="140" t="s">
        <v>172</v>
      </c>
      <c r="AU1093" s="140" t="s">
        <v>186</v>
      </c>
      <c r="AV1093" s="140" t="s">
        <v>141</v>
      </c>
      <c r="AW1093" s="1323" t="s">
        <v>138</v>
      </c>
      <c r="AX1093" s="670" t="s">
        <v>143</v>
      </c>
      <c r="AY1093" s="61" t="str">
        <f>IFERROR(__xludf.DUMMYFUNCTION("vlookup(BB1093,importrange(""https://docs.google.com/spreadsheets/d/1d2vevQ_7D_v35q4wCQ4RpQ_IPoTwEMB9Yp6ymwlPqew/edit?gid=984458430#gid=984458430"", ""'replication success'!A:K""), 11, FAlSE)"),"failed")</f>
        <v>failed</v>
      </c>
      <c r="AZ1093" s="61" t="str">
        <f>IFERROR(__xludf.DUMMYFUNCTION("vlookup(BB1093,importrange(""https://docs.google.com/spreadsheets/d/1d2vevQ_7D_v35q4wCQ4RpQ_IPoTwEMB9Yp6ymwlPqew/edit?gid=984458430#gid=984458430"",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93" s="61" t="str">
        <f>IFERROR(__xludf.DUMMYFUNCTION("vlookup(BB1093,importrange(""https://docs.google.com/spreadsheets/d/1d2vevQ_7D_v35q4wCQ4RpQ_IPoTwEMB9Yp6ymwlPqew/edit?gid=984458430#gid=984458430"",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v>
      </c>
      <c r="BB1093" s="61" t="str">
        <f>IFERROR(__xludf.DUMMYFUNCTION("REGEXREPLACE(G1093, ""_[a-z]{1,2}$"", """")"),"Boyce_etal202355")</f>
        <v>Boyce_etal202355</v>
      </c>
      <c r="BD1093" s="1322" t="s">
        <v>5605</v>
      </c>
    </row>
    <row r="1094">
      <c r="A1094" s="44">
        <v>1094.0</v>
      </c>
      <c r="B1094" s="68" t="s">
        <v>590</v>
      </c>
      <c r="C1094" s="62" t="s">
        <v>115</v>
      </c>
      <c r="D1094" s="62" t="s">
        <v>145</v>
      </c>
      <c r="E1094" s="365"/>
      <c r="F1094" s="1313" t="s">
        <v>5997</v>
      </c>
      <c r="G1094" s="1314" t="s">
        <v>5998</v>
      </c>
      <c r="H1094" s="1315" t="s">
        <v>5592</v>
      </c>
      <c r="I1094" s="1316">
        <v>45690.0</v>
      </c>
      <c r="J1094" s="1317">
        <v>45692.0</v>
      </c>
      <c r="K1094" s="1313"/>
      <c r="L1094" s="1313" t="s">
        <v>5594</v>
      </c>
      <c r="M1094" s="1315" t="s">
        <v>5982</v>
      </c>
      <c r="N1094" s="1313" t="s">
        <v>5983</v>
      </c>
      <c r="O1094" s="1318">
        <v>4.0</v>
      </c>
      <c r="P1094" s="140" t="str">
        <f t="shared" si="66"/>
        <v>10.1177--0956797616639727.pdf</v>
      </c>
      <c r="Q1094" s="52" t="str">
        <f t="array" ref="Q1094"> if(iserror(MATCH(V1094, 'File Links'!C:C, 0)), "N/A", HYPERLINK(INDEX('File Links'!B:B, MATCH(P1094, 'File Links'!C:C, 0))))</f>
        <v>https://drive.google.com/file/d/1_UEC3DvYLPby3ewaxAHguC5Mm0ainire/view?usp=drivesdk</v>
      </c>
      <c r="R1094" s="1315" t="s">
        <v>3653</v>
      </c>
      <c r="S1094" s="159" t="s">
        <v>3654</v>
      </c>
      <c r="T1094" s="147" t="s">
        <v>138</v>
      </c>
      <c r="U1094" s="147" t="s">
        <v>138</v>
      </c>
      <c r="V1094" s="198" t="str">
        <f t="shared" si="57"/>
        <v>10.1098--rsos.231240.pdf</v>
      </c>
      <c r="W1094" s="140" t="s">
        <v>324</v>
      </c>
      <c r="X1094" s="54" t="str">
        <f t="array" ref="X1094"> if(iserror(MATCH(V1094, 'File Links'!C:C, 0)), "N/A", HYPERLINK(INDEX('File Links'!B:B, MATCH(V1094, 'File Links'!C:C, 0))))</f>
        <v>https://drive.google.com/file/d/17gaf2Zy_ljFfcAEDk5L8GBnTl5i7RGJE/view?usp=drivesdk</v>
      </c>
      <c r="Y1094" s="1313"/>
      <c r="Z1094" s="1315" t="s">
        <v>226</v>
      </c>
      <c r="AA1094" s="1313" t="s">
        <v>1535</v>
      </c>
      <c r="AB1094" s="1313" t="s">
        <v>5984</v>
      </c>
      <c r="AC1094" s="1315" t="s">
        <v>5985</v>
      </c>
      <c r="AD1094" s="1313" t="s">
        <v>5986</v>
      </c>
      <c r="AE1094" s="1313" t="s">
        <v>5987</v>
      </c>
      <c r="AF1094" s="1318">
        <v>132.0</v>
      </c>
      <c r="AG1094" s="1341">
        <v>0.075</v>
      </c>
      <c r="AH1094" s="1313" t="s">
        <v>139</v>
      </c>
      <c r="AI1094" s="1313" t="s">
        <v>132</v>
      </c>
      <c r="AJ1094" s="1325">
        <v>0.001</v>
      </c>
      <c r="AK1094" s="1321" t="s">
        <v>135</v>
      </c>
      <c r="AL1094" s="1321" t="s">
        <v>186</v>
      </c>
      <c r="AM1094" s="1313" t="s">
        <v>137</v>
      </c>
      <c r="AN1094" s="1322" t="s">
        <v>138</v>
      </c>
      <c r="AO1094" s="1318">
        <v>115.0</v>
      </c>
      <c r="AP1094" s="1341">
        <v>0.359779005115277</v>
      </c>
      <c r="AQ1094" s="1313" t="s">
        <v>173</v>
      </c>
      <c r="AR1094" s="1322" t="s">
        <v>5604</v>
      </c>
      <c r="AS1094" s="1341">
        <v>0.0562263367816061</v>
      </c>
      <c r="AT1094" s="1313" t="s">
        <v>172</v>
      </c>
      <c r="AU1094" s="1313" t="s">
        <v>186</v>
      </c>
      <c r="AV1094" s="1340" t="s">
        <v>1905</v>
      </c>
      <c r="AW1094" s="1323" t="s">
        <v>138</v>
      </c>
      <c r="AX1094" s="1339" t="s">
        <v>143</v>
      </c>
      <c r="AY1094" s="61" t="str">
        <f>IFERROR(__xludf.DUMMYFUNCTION("vlookup(BB1094,importrange(""https://docs.google.com/spreadsheets/d/1d2vevQ_7D_v35q4wCQ4RpQ_IPoTwEMB9Yp6ymwlPqew/edit?gid=984458430#gid=984458430"", ""'replication success'!A:K""), 11, FAlSE)"),"#N/A")</f>
        <v>#N/A</v>
      </c>
      <c r="AZ1094" s="61" t="str">
        <f>IFERROR(__xludf.DUMMYFUNCTION("vlookup(BB1094,importrange(""https://docs.google.com/spreadsheets/d/1d2vevQ_7D_v35q4wCQ4RpQ_IPoTwEMB9Yp6ymwlPqew/edit?gid=984458430#gid=984458430"", ""'replication success'!A:M""), 12, FAlSE)"),"#N/A")</f>
        <v>#N/A</v>
      </c>
      <c r="BA1094" s="61" t="str">
        <f>IFERROR(__xludf.DUMMYFUNCTION("vlookup(BB1094,importrange(""https://docs.google.com/spreadsheets/d/1d2vevQ_7D_v35q4wCQ4RpQ_IPoTwEMB9Yp6ymwlPqew/edit?gid=984458430#gid=984458430"", ""'replication success'!A:M""), 13, FAlSE)"),"#N/A")</f>
        <v>#N/A</v>
      </c>
      <c r="BB1094" s="61" t="str">
        <f>IFERROR(__xludf.DUMMYFUNCTION("REGEXREPLACE(G1094, ""_[a-z]{1,2}$"", """")"),"Boyce_etal202356")</f>
        <v>Boyce_etal202356</v>
      </c>
      <c r="BD1094" s="1322" t="s">
        <v>5605</v>
      </c>
    </row>
    <row r="1095">
      <c r="A1095" s="44">
        <v>1095.0</v>
      </c>
      <c r="B1095" s="129" t="s">
        <v>114</v>
      </c>
      <c r="C1095" s="62" t="s">
        <v>115</v>
      </c>
      <c r="D1095" s="62" t="s">
        <v>145</v>
      </c>
      <c r="E1095" s="365"/>
      <c r="F1095" s="1313" t="s">
        <v>5999</v>
      </c>
      <c r="G1095" s="1314" t="s">
        <v>6000</v>
      </c>
      <c r="H1095" s="1315" t="s">
        <v>5592</v>
      </c>
      <c r="I1095" s="1316">
        <v>45690.0</v>
      </c>
      <c r="J1095" s="1317">
        <v>45692.0</v>
      </c>
      <c r="K1095" s="1313" t="s">
        <v>6001</v>
      </c>
      <c r="L1095" s="1313" t="s">
        <v>5594</v>
      </c>
      <c r="M1095" s="1315" t="s">
        <v>6002</v>
      </c>
      <c r="N1095" s="1313" t="s">
        <v>6003</v>
      </c>
      <c r="O1095" s="1318">
        <v>2.0</v>
      </c>
      <c r="P1095" s="140" t="str">
        <f t="shared" si="66"/>
        <v>10.1038--s41598-018-30314-y.pdf</v>
      </c>
      <c r="Q1095" s="52" t="str">
        <f t="array" ref="Q1095"> if(iserror(MATCH(V1095, 'File Links'!C:C, 0)), "N/A", HYPERLINK(INDEX('File Links'!B:B, MATCH(P1095, 'File Links'!C:C, 0))))</f>
        <v>https://drive.google.com/file/d/1RLxYB-xp9gCuylzG8fMEpa5rGt6OdoMh/view?usp=drivesdk</v>
      </c>
      <c r="R1095" s="1315" t="s">
        <v>3653</v>
      </c>
      <c r="S1095" s="159" t="s">
        <v>3654</v>
      </c>
      <c r="T1095" s="147" t="s">
        <v>138</v>
      </c>
      <c r="U1095" s="147" t="s">
        <v>138</v>
      </c>
      <c r="V1095" s="198" t="str">
        <f t="shared" si="57"/>
        <v>10.1098--rsos.231240.pdf</v>
      </c>
      <c r="W1095" s="140" t="s">
        <v>324</v>
      </c>
      <c r="X1095" s="54" t="str">
        <f t="array" ref="X1095"> if(iserror(MATCH(V1095, 'File Links'!C:C, 0)), "N/A", HYPERLINK(INDEX('File Links'!B:B, MATCH(V1095, 'File Links'!C:C, 0))))</f>
        <v>https://drive.google.com/file/d/17gaf2Zy_ljFfcAEDk5L8GBnTl5i7RGJE/view?usp=drivesdk</v>
      </c>
      <c r="Y1095" s="1313"/>
      <c r="Z1095" s="1315" t="s">
        <v>148</v>
      </c>
      <c r="AA1095" s="1313" t="s">
        <v>1535</v>
      </c>
      <c r="AB1095" s="1313" t="s">
        <v>6004</v>
      </c>
      <c r="AC1095" s="1315" t="s">
        <v>6005</v>
      </c>
      <c r="AD1095" s="1313" t="s">
        <v>1535</v>
      </c>
      <c r="AE1095" s="1313" t="s">
        <v>1535</v>
      </c>
      <c r="AF1095" s="1318">
        <v>100.0</v>
      </c>
      <c r="AG1095" s="1313" t="s">
        <v>6006</v>
      </c>
      <c r="AH1095" s="1313" t="s">
        <v>134</v>
      </c>
      <c r="AI1095" s="1313" t="s">
        <v>1535</v>
      </c>
      <c r="AJ1095" s="1320" t="s">
        <v>1535</v>
      </c>
      <c r="AK1095" s="1321" t="s">
        <v>1535</v>
      </c>
      <c r="AL1095" s="1321" t="s">
        <v>186</v>
      </c>
      <c r="AM1095" s="1313" t="s">
        <v>137</v>
      </c>
      <c r="AN1095" s="1322" t="s">
        <v>138</v>
      </c>
      <c r="AO1095" s="1318">
        <v>37.0</v>
      </c>
      <c r="AP1095" s="1341">
        <v>1.06038990801828</v>
      </c>
      <c r="AQ1095" s="1313" t="s">
        <v>173</v>
      </c>
      <c r="AR1095" s="1322" t="s">
        <v>5604</v>
      </c>
      <c r="AS1095" s="1345">
        <v>1.74700225281248E-7</v>
      </c>
      <c r="AT1095" s="1313" t="s">
        <v>172</v>
      </c>
      <c r="AU1095" s="1313" t="s">
        <v>186</v>
      </c>
      <c r="AV1095" s="1313" t="s">
        <v>137</v>
      </c>
      <c r="AW1095" s="1323" t="s">
        <v>138</v>
      </c>
      <c r="AX1095" s="1339" t="s">
        <v>143</v>
      </c>
      <c r="AY1095" s="61" t="str">
        <f>IFERROR(__xludf.DUMMYFUNCTION("vlookup(BB1095,importrange(""https://docs.google.com/spreadsheets/d/1d2vevQ_7D_v35q4wCQ4RpQ_IPoTwEMB9Yp6ymwlPqew/edit?gid=984458430#gid=984458430"", ""'replication success'!A:K""), 11, FAlSE)"),"mixed")</f>
        <v>mixed</v>
      </c>
      <c r="AZ1095" s="61" t="str">
        <f>IFERROR(__xludf.DUMMYFUNCTION("vlookup(BB1095,importrange(""https://docs.google.com/spreadsheets/d/1d2vevQ_7D_v35q4wCQ4RpQ_IPoTwEMB9Yp6ymwlPqew/edit?gid=984458430#gid=984458430"",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095" s="61" t="str">
        <f>IFERROR(__xludf.DUMMYFUNCTION("vlookup(BB1095,importrange(""https://docs.google.com/spreadsheets/d/1d2vevQ_7D_v35q4wCQ4RpQ_IPoTwEMB9Yp6ymwlPqew/edit?gid=984458430#gid=984458430"",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v>
      </c>
      <c r="BB1095" s="61" t="str">
        <f>IFERROR(__xludf.DUMMYFUNCTION("REGEXREPLACE(G1095, ""_[a-z]{1,2}$"", """")"),"Boyce_etal202357")</f>
        <v>Boyce_etal202357</v>
      </c>
      <c r="BD1095" s="1322" t="s">
        <v>5605</v>
      </c>
    </row>
    <row r="1096">
      <c r="A1096" s="44">
        <v>1096.0</v>
      </c>
      <c r="B1096" s="129" t="s">
        <v>152</v>
      </c>
      <c r="C1096" s="62" t="s">
        <v>115</v>
      </c>
      <c r="D1096" s="62" t="s">
        <v>248</v>
      </c>
      <c r="E1096" s="365"/>
      <c r="F1096" s="126" t="s">
        <v>5999</v>
      </c>
      <c r="G1096" s="119" t="s">
        <v>6000</v>
      </c>
      <c r="H1096" s="140" t="s">
        <v>249</v>
      </c>
      <c r="I1096" s="317">
        <v>45666.0</v>
      </c>
      <c r="J1096" s="1326">
        <v>45692.0</v>
      </c>
      <c r="K1096" s="140" t="s">
        <v>6007</v>
      </c>
      <c r="L1096" s="219" t="s">
        <v>6008</v>
      </c>
      <c r="M1096" s="140" t="s">
        <v>6002</v>
      </c>
      <c r="N1096" s="140" t="s">
        <v>6003</v>
      </c>
      <c r="O1096" s="1318">
        <v>2.0</v>
      </c>
      <c r="P1096" s="140" t="str">
        <f t="shared" si="66"/>
        <v>10.1038--s41598-018-30314-y.pdf</v>
      </c>
      <c r="Q1096" s="52" t="str">
        <f t="array" ref="Q1096"> if(iserror(MATCH(V1096, 'File Links'!C:C, 0)), "N/A", HYPERLINK(INDEX('File Links'!B:B, MATCH(P1096, 'File Links'!C:C, 0))))</f>
        <v>https://drive.google.com/file/d/1RLxYB-xp9gCuylzG8fMEpa5rGt6OdoMh/view?usp=drivesdk</v>
      </c>
      <c r="R1096" s="140" t="s">
        <v>6009</v>
      </c>
      <c r="S1096" s="159" t="s">
        <v>3654</v>
      </c>
      <c r="T1096" s="147" t="s">
        <v>138</v>
      </c>
      <c r="U1096" s="147" t="s">
        <v>138</v>
      </c>
      <c r="V1096" s="198" t="str">
        <f t="shared" si="57"/>
        <v>10.1098--rsos.231240.pdf</v>
      </c>
      <c r="W1096" s="140" t="s">
        <v>324</v>
      </c>
      <c r="X1096" s="54" t="str">
        <f t="array" ref="X1096"> if(iserror(MATCH(V1096, 'File Links'!C:C, 0)), "N/A", HYPERLINK(INDEX('File Links'!B:B, MATCH(V1096, 'File Links'!C:C, 0))))</f>
        <v>https://drive.google.com/file/d/17gaf2Zy_ljFfcAEDk5L8GBnTl5i7RGJE/view?usp=drivesdk</v>
      </c>
      <c r="Y1096" s="125"/>
      <c r="Z1096" s="140" t="s">
        <v>148</v>
      </c>
      <c r="AA1096" s="374" t="s">
        <v>138</v>
      </c>
      <c r="AB1096" s="1313" t="s">
        <v>6004</v>
      </c>
      <c r="AC1096" s="1315" t="s">
        <v>6005</v>
      </c>
      <c r="AD1096" s="119" t="s">
        <v>138</v>
      </c>
      <c r="AE1096" s="219" t="s">
        <v>138</v>
      </c>
      <c r="AF1096" s="782">
        <v>100.0</v>
      </c>
      <c r="AG1096" s="782">
        <v>0.6354</v>
      </c>
      <c r="AH1096" s="140" t="s">
        <v>173</v>
      </c>
      <c r="AI1096" s="140" t="s">
        <v>138</v>
      </c>
      <c r="AJ1096" s="1343">
        <v>6.44373736390437E-9</v>
      </c>
      <c r="AK1096" s="126" t="s">
        <v>172</v>
      </c>
      <c r="AL1096" s="126" t="s">
        <v>186</v>
      </c>
      <c r="AM1096" s="119" t="s">
        <v>141</v>
      </c>
      <c r="AN1096" s="1322" t="s">
        <v>138</v>
      </c>
      <c r="AO1096" s="782">
        <v>37.0</v>
      </c>
      <c r="AP1096" s="782">
        <v>1.06038990801828</v>
      </c>
      <c r="AQ1096" s="140" t="s">
        <v>173</v>
      </c>
      <c r="AR1096" s="1322" t="s">
        <v>5604</v>
      </c>
      <c r="AS1096" s="1343">
        <v>1.74700225281248E-7</v>
      </c>
      <c r="AT1096" s="140" t="s">
        <v>172</v>
      </c>
      <c r="AU1096" s="140" t="s">
        <v>186</v>
      </c>
      <c r="AV1096" s="119" t="s">
        <v>137</v>
      </c>
      <c r="AW1096" s="1323" t="s">
        <v>138</v>
      </c>
      <c r="AX1096" s="670" t="s">
        <v>143</v>
      </c>
      <c r="AY1096" s="61" t="str">
        <f>IFERROR(__xludf.DUMMYFUNCTION("vlookup(BB1096,importrange(""https://docs.google.com/spreadsheets/d/1d2vevQ_7D_v35q4wCQ4RpQ_IPoTwEMB9Yp6ymwlPqew/edit?gid=984458430#gid=984458430"", ""'replication success'!A:K""), 11, FAlSE)"),"mixed")</f>
        <v>mixed</v>
      </c>
      <c r="AZ1096" s="61" t="str">
        <f>IFERROR(__xludf.DUMMYFUNCTION("vlookup(BB1096,importrange(""https://docs.google.com/spreadsheets/d/1d2vevQ_7D_v35q4wCQ4RpQ_IPoTwEMB9Yp6ymwlPqew/edit?gid=984458430#gid=984458430"",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096" s="61" t="str">
        <f>IFERROR(__xludf.DUMMYFUNCTION("vlookup(BB1096,importrange(""https://docs.google.com/spreadsheets/d/1d2vevQ_7D_v35q4wCQ4RpQ_IPoTwEMB9Yp6ymwlPqew/edit?gid=984458430#gid=984458430"",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v>
      </c>
      <c r="BB1096" s="61" t="str">
        <f>IFERROR(__xludf.DUMMYFUNCTION("REGEXREPLACE(G1096, ""_[a-z]{1,2}$"", """")"),"Boyce_etal202357")</f>
        <v>Boyce_etal202357</v>
      </c>
      <c r="BD1096" s="1322" t="s">
        <v>5605</v>
      </c>
    </row>
    <row r="1097">
      <c r="A1097" s="44">
        <v>1097.0</v>
      </c>
      <c r="B1097" s="129" t="s">
        <v>152</v>
      </c>
      <c r="C1097" s="62" t="s">
        <v>115</v>
      </c>
      <c r="D1097" s="62" t="s">
        <v>145</v>
      </c>
      <c r="E1097" s="365"/>
      <c r="F1097" s="1313" t="s">
        <v>6010</v>
      </c>
      <c r="G1097" s="1314" t="s">
        <v>6011</v>
      </c>
      <c r="H1097" s="1315" t="s">
        <v>5592</v>
      </c>
      <c r="I1097" s="1316">
        <v>45690.0</v>
      </c>
      <c r="J1097" s="1317">
        <v>45692.0</v>
      </c>
      <c r="K1097" s="1313"/>
      <c r="L1097" s="1322" t="s">
        <v>6012</v>
      </c>
      <c r="M1097" s="1315" t="s">
        <v>6013</v>
      </c>
      <c r="N1097" s="1315" t="s">
        <v>6014</v>
      </c>
      <c r="O1097" s="1318">
        <v>2.0</v>
      </c>
      <c r="P1097" s="1315" t="s">
        <v>6015</v>
      </c>
      <c r="Q1097" s="52" t="str">
        <f t="array" ref="Q1097"> if(iserror(MATCH(V1097, 'File Links'!C:C, 0)), "N/A", HYPERLINK(INDEX('File Links'!B:B, MATCH(P1097, 'File Links'!C:C, 0))))</f>
        <v>https://drive.google.com/file/d/133wAd9ADUXthw033LGhcEhvxSj0cXryx/view?usp=drivesdk</v>
      </c>
      <c r="R1097" s="1315" t="s">
        <v>3653</v>
      </c>
      <c r="S1097" s="159" t="s">
        <v>3654</v>
      </c>
      <c r="T1097" s="147" t="s">
        <v>138</v>
      </c>
      <c r="U1097" s="147" t="s">
        <v>138</v>
      </c>
      <c r="V1097" s="198" t="str">
        <f t="shared" si="57"/>
        <v>10.1098--rsos.231240.pdf</v>
      </c>
      <c r="W1097" s="140" t="s">
        <v>3804</v>
      </c>
      <c r="X1097" s="54" t="str">
        <f t="array" ref="X1097"> if(iserror(MATCH(V1097, 'File Links'!C:C, 0)), "N/A", HYPERLINK(INDEX('File Links'!B:B, MATCH(V1097, 'File Links'!C:C, 0))))</f>
        <v>https://drive.google.com/file/d/17gaf2Zy_ljFfcAEDk5L8GBnTl5i7RGJE/view?usp=drivesdk</v>
      </c>
      <c r="Y1097" s="1313"/>
      <c r="Z1097" s="1315" t="s">
        <v>165</v>
      </c>
      <c r="AA1097" s="1313" t="s">
        <v>6016</v>
      </c>
      <c r="AB1097" s="1313" t="s">
        <v>6017</v>
      </c>
      <c r="AC1097" s="1315" t="s">
        <v>6018</v>
      </c>
      <c r="AD1097" s="140" t="s">
        <v>6019</v>
      </c>
      <c r="AE1097" s="782">
        <v>1.0</v>
      </c>
      <c r="AF1097" s="1318">
        <v>301.0</v>
      </c>
      <c r="AG1097" s="782">
        <v>0.39</v>
      </c>
      <c r="AH1097" s="140" t="s">
        <v>173</v>
      </c>
      <c r="AI1097" s="140" t="s">
        <v>217</v>
      </c>
      <c r="AJ1097" s="1325">
        <v>0.001</v>
      </c>
      <c r="AK1097" s="1321" t="s">
        <v>135</v>
      </c>
      <c r="AL1097" s="1321" t="s">
        <v>136</v>
      </c>
      <c r="AM1097" s="1322" t="s">
        <v>141</v>
      </c>
      <c r="AN1097" s="1342" t="s">
        <v>6020</v>
      </c>
      <c r="AO1097" s="1318">
        <v>104.0</v>
      </c>
      <c r="AP1097" s="1341">
        <v>0.0632160750004422</v>
      </c>
      <c r="AQ1097" s="1313" t="s">
        <v>173</v>
      </c>
      <c r="AR1097" s="1322" t="s">
        <v>5604</v>
      </c>
      <c r="AS1097" s="1341">
        <v>0.520567835597779</v>
      </c>
      <c r="AT1097" s="1313" t="s">
        <v>172</v>
      </c>
      <c r="AU1097" s="1313" t="s">
        <v>186</v>
      </c>
      <c r="AV1097" s="1322" t="s">
        <v>141</v>
      </c>
      <c r="AW1097" s="1323" t="s">
        <v>138</v>
      </c>
      <c r="AX1097" s="1339" t="s">
        <v>143</v>
      </c>
      <c r="AY1097" s="61" t="str">
        <f>IFERROR(__xludf.DUMMYFUNCTION("vlookup(BB1097,importrange(""https://docs.google.com/spreadsheets/d/1d2vevQ_7D_v35q4wCQ4RpQ_IPoTwEMB9Yp6ymwlPqew/edit?gid=984458430#gid=984458430"", ""'replication success'!A:K""), 11, FAlSE)"),"mixed")</f>
        <v>mixed</v>
      </c>
      <c r="AZ1097" s="61" t="str">
        <f>IFERROR(__xludf.DUMMYFUNCTION("vlookup(BB1097,importrange(""https://docs.google.com/spreadsheets/d/1d2vevQ_7D_v35q4wCQ4RpQ_IPoTwEMB9Yp6ymwlPqew/edit?gid=984458430#gid=984458430"",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097" s="61" t="str">
        <f>IFERROR(__xludf.DUMMYFUNCTION("vlookup(BB1097,importrange(""https://docs.google.com/spreadsheets/d/1d2vevQ_7D_v35q4wCQ4RpQ_IPoTwEMB9Yp6ymwlPqew/edit?gid=984458430#gid=984458430"",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v>
      </c>
      <c r="BB1097" s="61" t="str">
        <f>IFERROR(__xludf.DUMMYFUNCTION("REGEXREPLACE(G1097, ""_[a-z]{1,2}$"", """")"),"Boyce_etal202358")</f>
        <v>Boyce_etal202358</v>
      </c>
      <c r="BD1097" s="1322" t="s">
        <v>5605</v>
      </c>
    </row>
    <row r="1098">
      <c r="A1098" s="44">
        <v>1098.0</v>
      </c>
      <c r="B1098" s="129" t="s">
        <v>114</v>
      </c>
      <c r="C1098" s="62" t="s">
        <v>115</v>
      </c>
      <c r="D1098" s="62" t="s">
        <v>248</v>
      </c>
      <c r="E1098" s="365"/>
      <c r="F1098" s="126" t="s">
        <v>6010</v>
      </c>
      <c r="G1098" s="119" t="s">
        <v>6011</v>
      </c>
      <c r="H1098" s="140" t="s">
        <v>249</v>
      </c>
      <c r="I1098" s="317">
        <v>45666.0</v>
      </c>
      <c r="J1098" s="1326">
        <v>45692.0</v>
      </c>
      <c r="K1098" s="125"/>
      <c r="L1098" s="1313" t="s">
        <v>6021</v>
      </c>
      <c r="M1098" s="140" t="s">
        <v>6013</v>
      </c>
      <c r="N1098" s="140" t="s">
        <v>6014</v>
      </c>
      <c r="O1098" s="125"/>
      <c r="P1098" s="140" t="str">
        <f> SUBSTITUTE(lower(N1098), "/", "--") &amp;  ".pdf"</f>
        <v>10.1073--pnas.2009030117.pdf</v>
      </c>
      <c r="Q1098" s="52" t="str">
        <f t="array" ref="Q1098"> if(iserror(MATCH(V1098, 'File Links'!C:C, 0)), "N/A", HYPERLINK(INDEX('File Links'!B:B, MATCH(P1098, 'File Links'!C:C, 0))))</f>
        <v>https://drive.google.com/file/d/133wAd9ADUXthw033LGhcEhvxSj0cXryx/view?usp=drivesdk</v>
      </c>
      <c r="R1098" s="140" t="s">
        <v>6022</v>
      </c>
      <c r="S1098" s="159" t="s">
        <v>3654</v>
      </c>
      <c r="T1098" s="147" t="s">
        <v>138</v>
      </c>
      <c r="U1098" s="147" t="s">
        <v>138</v>
      </c>
      <c r="V1098" s="198" t="str">
        <f t="shared" si="57"/>
        <v>10.1098--rsos.231240.pdf</v>
      </c>
      <c r="W1098" s="140" t="s">
        <v>3804</v>
      </c>
      <c r="X1098" s="54" t="str">
        <f t="array" ref="X1098"> if(iserror(MATCH(V1098, 'File Links'!C:C, 0)), "N/A", HYPERLINK(INDEX('File Links'!B:B, MATCH(V1098, 'File Links'!C:C, 0))))</f>
        <v>https://drive.google.com/file/d/17gaf2Zy_ljFfcAEDk5L8GBnTl5i7RGJE/view?usp=drivesdk</v>
      </c>
      <c r="Y1098" s="125"/>
      <c r="Z1098" s="140" t="s">
        <v>165</v>
      </c>
      <c r="AA1098" s="125"/>
      <c r="AB1098" s="125"/>
      <c r="AC1098" s="125"/>
      <c r="AD1098" s="140" t="s">
        <v>6019</v>
      </c>
      <c r="AE1098" s="782">
        <v>1.0</v>
      </c>
      <c r="AF1098" s="782">
        <v>301.0</v>
      </c>
      <c r="AG1098" s="782">
        <v>0.39</v>
      </c>
      <c r="AH1098" s="140" t="s">
        <v>173</v>
      </c>
      <c r="AI1098" s="140" t="s">
        <v>217</v>
      </c>
      <c r="AJ1098" s="133">
        <v>0.001</v>
      </c>
      <c r="AK1098" s="126" t="s">
        <v>135</v>
      </c>
      <c r="AL1098" s="126" t="s">
        <v>136</v>
      </c>
      <c r="AM1098" s="140" t="s">
        <v>141</v>
      </c>
      <c r="AN1098" s="1349" t="s">
        <v>6020</v>
      </c>
      <c r="AO1098" s="782">
        <v>104.0</v>
      </c>
      <c r="AP1098" s="782">
        <v>0.0632160750004422</v>
      </c>
      <c r="AQ1098" s="140" t="s">
        <v>173</v>
      </c>
      <c r="AR1098" s="1322" t="s">
        <v>5604</v>
      </c>
      <c r="AS1098" s="1360">
        <v>0.520567835597779</v>
      </c>
      <c r="AT1098" s="140" t="s">
        <v>172</v>
      </c>
      <c r="AU1098" s="140" t="s">
        <v>136</v>
      </c>
      <c r="AV1098" s="140" t="s">
        <v>141</v>
      </c>
      <c r="AW1098" s="1323" t="s">
        <v>138</v>
      </c>
      <c r="AX1098" s="670" t="s">
        <v>143</v>
      </c>
      <c r="AY1098" s="61" t="str">
        <f>IFERROR(__xludf.DUMMYFUNCTION("vlookup(BB1098,importrange(""https://docs.google.com/spreadsheets/d/1d2vevQ_7D_v35q4wCQ4RpQ_IPoTwEMB9Yp6ymwlPqew/edit?gid=984458430#gid=984458430"", ""'replication success'!A:K""), 11, FAlSE)"),"mixed")</f>
        <v>mixed</v>
      </c>
      <c r="AZ1098" s="61" t="str">
        <f>IFERROR(__xludf.DUMMYFUNCTION("vlookup(BB1098,importrange(""https://docs.google.com/spreadsheets/d/1d2vevQ_7D_v35q4wCQ4RpQ_IPoTwEMB9Yp6ymwlPqew/edit?gid=984458430#gid=984458430"",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098" s="61" t="str">
        <f>IFERROR(__xludf.DUMMYFUNCTION("vlookup(BB1098,importrange(""https://docs.google.com/spreadsheets/d/1d2vevQ_7D_v35q4wCQ4RpQ_IPoTwEMB9Yp6ymwlPqew/edit?gid=984458430#gid=984458430"",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v>
      </c>
      <c r="BB1098" s="61" t="str">
        <f>IFERROR(__xludf.DUMMYFUNCTION("REGEXREPLACE(G1098, ""_[a-z]{1,2}$"", """")"),"Boyce_etal202358")</f>
        <v>Boyce_etal202358</v>
      </c>
      <c r="BD1098" s="1322" t="s">
        <v>5605</v>
      </c>
    </row>
    <row r="1099">
      <c r="A1099" s="44">
        <v>1099.0</v>
      </c>
      <c r="B1099" s="129" t="s">
        <v>152</v>
      </c>
      <c r="C1099" s="62" t="s">
        <v>115</v>
      </c>
      <c r="D1099" s="62" t="s">
        <v>145</v>
      </c>
      <c r="E1099" s="365"/>
      <c r="F1099" s="1313" t="s">
        <v>6023</v>
      </c>
      <c r="G1099" s="1314" t="s">
        <v>6024</v>
      </c>
      <c r="H1099" s="1315" t="s">
        <v>5592</v>
      </c>
      <c r="I1099" s="1316">
        <v>45690.0</v>
      </c>
      <c r="J1099" s="1317">
        <v>45692.0</v>
      </c>
      <c r="K1099" s="1313"/>
      <c r="L1099" s="1322" t="s">
        <v>6025</v>
      </c>
      <c r="M1099" s="1315" t="s">
        <v>6026</v>
      </c>
      <c r="N1099" s="1313" t="s">
        <v>6027</v>
      </c>
      <c r="O1099" s="1318">
        <v>2.0</v>
      </c>
      <c r="P1099" s="159" t="str">
        <f>SUBSTITUTE(LOWER(N1099), "/", "--") &amp;  ".pdf"</f>
        <v>10.1037--0022-3514.94.3.396 (1).pdf</v>
      </c>
      <c r="Q1099" s="52" t="str">
        <f t="array" ref="Q1099"> if(iserror(MATCH(V1099, 'File Links'!C:C, 0)), "N/A", HYPERLINK(INDEX('File Links'!B:B, MATCH(P1099, 'File Links'!C:C, 0))))</f>
        <v>https://drive.google.com/file/d/1mWjj8mxrG8UD8YXr2nZ-cGzIZBtUwLal/view?usp=drivesdk</v>
      </c>
      <c r="R1099" s="1315" t="s">
        <v>3653</v>
      </c>
      <c r="S1099" s="159" t="s">
        <v>3654</v>
      </c>
      <c r="T1099" s="147" t="s">
        <v>138</v>
      </c>
      <c r="U1099" s="147" t="s">
        <v>138</v>
      </c>
      <c r="V1099" s="198" t="str">
        <f t="shared" si="57"/>
        <v>10.1098--rsos.231240.pdf</v>
      </c>
      <c r="W1099" s="140" t="s">
        <v>3665</v>
      </c>
      <c r="X1099" s="54" t="str">
        <f t="array" ref="X1099"> if(iserror(MATCH(V1099, 'File Links'!C:C, 0)), "N/A", HYPERLINK(INDEX('File Links'!B:B, MATCH(V1099, 'File Links'!C:C, 0))))</f>
        <v>https://drive.google.com/file/d/17gaf2Zy_ljFfcAEDk5L8GBnTl5i7RGJE/view?usp=drivesdk</v>
      </c>
      <c r="Y1099" s="1313"/>
      <c r="Z1099" s="1315" t="s">
        <v>226</v>
      </c>
      <c r="AA1099" s="374" t="s">
        <v>138</v>
      </c>
      <c r="AB1099" s="1313" t="s">
        <v>6028</v>
      </c>
      <c r="AC1099" s="1315" t="s">
        <v>6029</v>
      </c>
      <c r="AD1099" s="1361" t="s">
        <v>6030</v>
      </c>
      <c r="AE1099" s="1362">
        <v>401.0</v>
      </c>
      <c r="AF1099" s="1362">
        <v>123.0</v>
      </c>
      <c r="AG1099" s="1362">
        <v>0.45</v>
      </c>
      <c r="AH1099" s="140" t="s">
        <v>173</v>
      </c>
      <c r="AI1099" s="140" t="s">
        <v>6031</v>
      </c>
      <c r="AJ1099" s="133">
        <v>0.05</v>
      </c>
      <c r="AK1099" s="1321" t="s">
        <v>135</v>
      </c>
      <c r="AL1099" s="1321" t="s">
        <v>186</v>
      </c>
      <c r="AM1099" s="1313" t="s">
        <v>137</v>
      </c>
      <c r="AN1099" s="1322" t="s">
        <v>138</v>
      </c>
      <c r="AO1099" s="1318">
        <v>23.0</v>
      </c>
      <c r="AP1099" s="1341">
        <v>-0.638230402761701</v>
      </c>
      <c r="AQ1099" s="1313" t="s">
        <v>173</v>
      </c>
      <c r="AR1099" s="1322" t="s">
        <v>5604</v>
      </c>
      <c r="AS1099" s="1341">
        <v>0.00692284686075806</v>
      </c>
      <c r="AT1099" s="1313" t="s">
        <v>172</v>
      </c>
      <c r="AU1099" s="1313" t="s">
        <v>186</v>
      </c>
      <c r="AV1099" s="1313" t="s">
        <v>137</v>
      </c>
      <c r="AW1099" s="1323" t="s">
        <v>138</v>
      </c>
      <c r="AX1099" s="1339" t="s">
        <v>143</v>
      </c>
      <c r="AY1099" s="61" t="str">
        <f>IFERROR(__xludf.DUMMYFUNCTION("vlookup(BB1099,importrange(""https://docs.google.com/spreadsheets/d/1d2vevQ_7D_v35q4wCQ4RpQ_IPoTwEMB9Yp6ymwlPqew/edit?gid=984458430#gid=984458430"", ""'replication success'!A:K""), 11, FAlSE)"),"failed")</f>
        <v>failed</v>
      </c>
      <c r="AZ1099" s="61" t="str">
        <f>IFERROR(__xludf.DUMMYFUNCTION("vlookup(BB1099,importrange(""https://docs.google.com/spreadsheets/d/1d2vevQ_7D_v35q4wCQ4RpQ_IPoTwEMB9Yp6ymwlPqew/edit?gid=984458430#gid=984458430"",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099" s="61" t="str">
        <f>IFERROR(__xludf.DUMMYFUNCTION("vlookup(BB1099,importrange(""https://docs.google.com/spreadsheets/d/1d2vevQ_7D_v35q4wCQ4RpQ_IPoTwEMB9Yp6ymwlPqew/edit?gid=984458430#gid=984458430"",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v>
      </c>
      <c r="BB1099" s="61" t="str">
        <f>IFERROR(__xludf.DUMMYFUNCTION("REGEXREPLACE(G1099, ""_[a-z]{1,2}$"", """")"),"Boyce_etal202359")</f>
        <v>Boyce_etal202359</v>
      </c>
      <c r="BD1099" s="1322" t="s">
        <v>5605</v>
      </c>
    </row>
    <row r="1100">
      <c r="A1100" s="44">
        <v>1100.0</v>
      </c>
      <c r="B1100" s="129" t="s">
        <v>114</v>
      </c>
      <c r="C1100" s="62" t="s">
        <v>115</v>
      </c>
      <c r="D1100" s="62" t="s">
        <v>248</v>
      </c>
      <c r="E1100" s="365"/>
      <c r="F1100" s="126" t="s">
        <v>6023</v>
      </c>
      <c r="G1100" s="119" t="s">
        <v>6024</v>
      </c>
      <c r="H1100" s="140" t="s">
        <v>249</v>
      </c>
      <c r="I1100" s="317">
        <v>45671.0</v>
      </c>
      <c r="J1100" s="1326">
        <v>45692.0</v>
      </c>
      <c r="K1100" s="125"/>
      <c r="L1100" s="125" t="s">
        <v>6021</v>
      </c>
      <c r="M1100" s="140" t="s">
        <v>6026</v>
      </c>
      <c r="N1100" s="140" t="s">
        <v>6032</v>
      </c>
      <c r="O1100" s="125"/>
      <c r="P1100" s="140" t="str">
        <f> SUBSTITUTE(lower(N1100), "/", "--") &amp;  ".pdf"</f>
        <v>10.1037--0022-3514.94.3.396.pdf</v>
      </c>
      <c r="Q1100" s="52" t="str">
        <f t="array" ref="Q1100"> if(iserror(MATCH(V1100, 'File Links'!C:C, 0)), "N/A", HYPERLINK(INDEX('File Links'!B:B, MATCH(P1100, 'File Links'!C:C, 0))))</f>
        <v>https://drive.google.com/file/d/11YlCMyN4uuL8Bm15aAIWE8inJeqhHaiW/view?usp=drivesdk</v>
      </c>
      <c r="R1100" s="140" t="s">
        <v>6033</v>
      </c>
      <c r="S1100" s="159" t="s">
        <v>3654</v>
      </c>
      <c r="T1100" s="147" t="s">
        <v>138</v>
      </c>
      <c r="U1100" s="147" t="s">
        <v>138</v>
      </c>
      <c r="V1100" s="198" t="str">
        <f t="shared" si="57"/>
        <v>10.1098--rsos.231240.pdf</v>
      </c>
      <c r="W1100" s="140" t="s">
        <v>3665</v>
      </c>
      <c r="X1100" s="54" t="str">
        <f t="array" ref="X1100"> if(iserror(MATCH(V1100, 'File Links'!C:C, 0)), "N/A", HYPERLINK(INDEX('File Links'!B:B, MATCH(V1100, 'File Links'!C:C, 0))))</f>
        <v>https://drive.google.com/file/d/17gaf2Zy_ljFfcAEDk5L8GBnTl5i7RGJE/view?usp=drivesdk</v>
      </c>
      <c r="Y1100" s="125"/>
      <c r="Z1100" s="140" t="s">
        <v>226</v>
      </c>
      <c r="AA1100" s="125"/>
      <c r="AB1100" s="140" t="s">
        <v>6034</v>
      </c>
      <c r="AC1100" s="125"/>
      <c r="AD1100" s="140" t="s">
        <v>6030</v>
      </c>
      <c r="AE1100" s="782">
        <v>401.0</v>
      </c>
      <c r="AF1100" s="782">
        <v>123.0</v>
      </c>
      <c r="AG1100" s="782">
        <v>0.45</v>
      </c>
      <c r="AH1100" s="140" t="s">
        <v>173</v>
      </c>
      <c r="AI1100" s="140" t="s">
        <v>6031</v>
      </c>
      <c r="AJ1100" s="133">
        <v>0.05</v>
      </c>
      <c r="AK1100" s="126" t="s">
        <v>135</v>
      </c>
      <c r="AL1100" s="126" t="s">
        <v>186</v>
      </c>
      <c r="AM1100" s="815" t="s">
        <v>137</v>
      </c>
      <c r="AN1100" s="1322" t="s">
        <v>138</v>
      </c>
      <c r="AO1100" s="782">
        <v>23.0</v>
      </c>
      <c r="AP1100" s="782">
        <v>-0.638230402761701</v>
      </c>
      <c r="AQ1100" s="140" t="s">
        <v>173</v>
      </c>
      <c r="AR1100" s="1322" t="s">
        <v>5604</v>
      </c>
      <c r="AS1100" s="782">
        <v>0.00692284686075806</v>
      </c>
      <c r="AT1100" s="140" t="s">
        <v>172</v>
      </c>
      <c r="AU1100" s="140" t="s">
        <v>186</v>
      </c>
      <c r="AV1100" s="140" t="s">
        <v>1905</v>
      </c>
      <c r="AW1100" s="1323" t="s">
        <v>138</v>
      </c>
      <c r="AX1100" s="140" t="s">
        <v>143</v>
      </c>
      <c r="AY1100" s="61" t="str">
        <f>IFERROR(__xludf.DUMMYFUNCTION("vlookup(BB1100,importrange(""https://docs.google.com/spreadsheets/d/1d2vevQ_7D_v35q4wCQ4RpQ_IPoTwEMB9Yp6ymwlPqew/edit?gid=984458430#gid=984458430"", ""'replication success'!A:K""), 11, FAlSE)"),"failed")</f>
        <v>failed</v>
      </c>
      <c r="AZ1100" s="61" t="str">
        <f>IFERROR(__xludf.DUMMYFUNCTION("vlookup(BB1100,importrange(""https://docs.google.com/spreadsheets/d/1d2vevQ_7D_v35q4wCQ4RpQ_IPoTwEMB9Yp6ymwlPqew/edit?gid=984458430#gid=984458430"",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00" s="61" t="str">
        <f>IFERROR(__xludf.DUMMYFUNCTION("vlookup(BB1100,importrange(""https://docs.google.com/spreadsheets/d/1d2vevQ_7D_v35q4wCQ4RpQ_IPoTwEMB9Yp6ymwlPqew/edit?gid=984458430#gid=984458430"",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v>
      </c>
      <c r="BB1100" s="61" t="str">
        <f>IFERROR(__xludf.DUMMYFUNCTION("REGEXREPLACE(G1100, ""_[a-z]{1,2}$"", """")"),"Boyce_etal202359")</f>
        <v>Boyce_etal202359</v>
      </c>
      <c r="BD1100" s="1322" t="s">
        <v>5605</v>
      </c>
    </row>
    <row r="1101">
      <c r="A1101" s="44">
        <v>1101.0</v>
      </c>
      <c r="B1101" s="129" t="s">
        <v>2013</v>
      </c>
      <c r="C1101" s="62" t="s">
        <v>115</v>
      </c>
      <c r="D1101" s="62" t="s">
        <v>145</v>
      </c>
      <c r="E1101" s="365"/>
      <c r="F1101" s="1313" t="s">
        <v>6035</v>
      </c>
      <c r="G1101" s="1314" t="s">
        <v>6036</v>
      </c>
      <c r="H1101" s="1315" t="s">
        <v>5592</v>
      </c>
      <c r="I1101" s="1316">
        <v>45690.0</v>
      </c>
      <c r="J1101" s="1317">
        <v>45692.0</v>
      </c>
      <c r="K1101" s="1313" t="s">
        <v>5677</v>
      </c>
      <c r="L1101" s="1313" t="s">
        <v>6037</v>
      </c>
      <c r="M1101" s="1315" t="s">
        <v>6038</v>
      </c>
      <c r="N1101" s="1315" t="s">
        <v>6039</v>
      </c>
      <c r="O1101" s="1318">
        <v>1.0</v>
      </c>
      <c r="P1101" s="1315" t="s">
        <v>6040</v>
      </c>
      <c r="Q1101" s="52" t="str">
        <f t="array" ref="Q1101"> if(iserror(MATCH(V1101, 'File Links'!C:C, 0)), "N/A", HYPERLINK(INDEX('File Links'!B:B, MATCH(P1101, 'File Links'!C:C, 0))))</f>
        <v>https://drive.google.com/file/d/1tL5SefgazspPrHDE7uspX1rbNInieF1Y/view?usp=drivesdk</v>
      </c>
      <c r="R1101" s="1315" t="s">
        <v>3653</v>
      </c>
      <c r="S1101" s="159" t="s">
        <v>3654</v>
      </c>
      <c r="T1101" s="147" t="s">
        <v>138</v>
      </c>
      <c r="U1101" s="147" t="s">
        <v>138</v>
      </c>
      <c r="V1101" s="198" t="str">
        <f t="shared" si="57"/>
        <v>10.1098--rsos.231240.pdf</v>
      </c>
      <c r="W1101" s="140" t="s">
        <v>324</v>
      </c>
      <c r="X1101" s="54" t="str">
        <f t="array" ref="X1101"> if(iserror(MATCH(V1101, 'File Links'!C:C, 0)), "N/A", HYPERLINK(INDEX('File Links'!B:B, MATCH(V1101, 'File Links'!C:C, 0))))</f>
        <v>https://drive.google.com/file/d/17gaf2Zy_ljFfcAEDk5L8GBnTl5i7RGJE/view?usp=drivesdk</v>
      </c>
      <c r="Y1101" s="1313"/>
      <c r="Z1101" s="1315" t="s">
        <v>148</v>
      </c>
      <c r="AA1101" s="1313" t="s">
        <v>1535</v>
      </c>
      <c r="AB1101" s="1313" t="s">
        <v>6041</v>
      </c>
      <c r="AC1101" s="1315" t="s">
        <v>6042</v>
      </c>
      <c r="AD1101" s="1313" t="s">
        <v>1535</v>
      </c>
      <c r="AE1101" s="1313" t="s">
        <v>1535</v>
      </c>
      <c r="AF1101" s="1318">
        <v>8.0</v>
      </c>
      <c r="AG1101" s="1313" t="s">
        <v>1535</v>
      </c>
      <c r="AH1101" s="167" t="s">
        <v>138</v>
      </c>
      <c r="AI1101" s="1313" t="s">
        <v>1535</v>
      </c>
      <c r="AJ1101" s="1320" t="s">
        <v>1535</v>
      </c>
      <c r="AK1101" s="1321" t="s">
        <v>1535</v>
      </c>
      <c r="AL1101" s="1321" t="s">
        <v>186</v>
      </c>
      <c r="AM1101" s="1313" t="s">
        <v>141</v>
      </c>
      <c r="AN1101" s="1322" t="s">
        <v>138</v>
      </c>
      <c r="AO1101" s="1318">
        <v>315.0</v>
      </c>
      <c r="AP1101" s="1313" t="s">
        <v>1535</v>
      </c>
      <c r="AQ1101" s="129" t="s">
        <v>138</v>
      </c>
      <c r="AR1101" s="1322" t="s">
        <v>5604</v>
      </c>
      <c r="AS1101" s="1313" t="s">
        <v>1535</v>
      </c>
      <c r="AT1101" s="1313" t="s">
        <v>1535</v>
      </c>
      <c r="AU1101" s="1313" t="s">
        <v>186</v>
      </c>
      <c r="AV1101" s="1313" t="s">
        <v>137</v>
      </c>
      <c r="AW1101" s="1323" t="s">
        <v>138</v>
      </c>
      <c r="AX1101" s="1339" t="s">
        <v>143</v>
      </c>
      <c r="AY1101" s="61" t="str">
        <f>IFERROR(__xludf.DUMMYFUNCTION("vlookup(BB1101,importrange(""https://docs.google.com/spreadsheets/d/1d2vevQ_7D_v35q4wCQ4RpQ_IPoTwEMB9Yp6ymwlPqew/edit?gid=984458430#gid=984458430"", ""'replication success'!A:K""), 11, FAlSE)"),"#N/A")</f>
        <v>#N/A</v>
      </c>
      <c r="AZ1101" s="61" t="str">
        <f>IFERROR(__xludf.DUMMYFUNCTION("vlookup(BB1101,importrange(""https://docs.google.com/spreadsheets/d/1d2vevQ_7D_v35q4wCQ4RpQ_IPoTwEMB9Yp6ymwlPqew/edit?gid=984458430#gid=984458430"", ""'replication success'!A:M""), 12, FAlSE)"),"#N/A")</f>
        <v>#N/A</v>
      </c>
      <c r="BA1101" s="61" t="str">
        <f>IFERROR(__xludf.DUMMYFUNCTION("vlookup(BB1101,importrange(""https://docs.google.com/spreadsheets/d/1d2vevQ_7D_v35q4wCQ4RpQ_IPoTwEMB9Yp6ymwlPqew/edit?gid=984458430#gid=984458430"", ""'replication success'!A:M""), 13, FAlSE)"),"#N/A")</f>
        <v>#N/A</v>
      </c>
      <c r="BB1101" s="61" t="str">
        <f>IFERROR(__xludf.DUMMYFUNCTION("REGEXREPLACE(G1101, ""_[a-z]{1,2}$"", """")"),"Boyce_etal20236")</f>
        <v>Boyce_etal20236</v>
      </c>
      <c r="BD1101" s="1322" t="s">
        <v>5605</v>
      </c>
    </row>
    <row r="1102">
      <c r="A1102" s="44">
        <v>1102.0</v>
      </c>
      <c r="B1102" s="129" t="s">
        <v>114</v>
      </c>
      <c r="C1102" s="62" t="s">
        <v>115</v>
      </c>
      <c r="D1102" s="62" t="s">
        <v>248</v>
      </c>
      <c r="E1102" s="365"/>
      <c r="F1102" s="126" t="s">
        <v>6035</v>
      </c>
      <c r="G1102" s="119" t="s">
        <v>6036</v>
      </c>
      <c r="H1102" s="140" t="s">
        <v>249</v>
      </c>
      <c r="I1102" s="317">
        <v>45663.0</v>
      </c>
      <c r="J1102" s="1326">
        <v>45692.0</v>
      </c>
      <c r="K1102" s="140" t="s">
        <v>3683</v>
      </c>
      <c r="L1102" s="125" t="s">
        <v>6037</v>
      </c>
      <c r="M1102" s="140" t="s">
        <v>6038</v>
      </c>
      <c r="N1102" s="140" t="s">
        <v>6039</v>
      </c>
      <c r="O1102" s="125"/>
      <c r="P1102" s="140" t="str">
        <f t="shared" ref="P1102:P1106" si="67"> SUBSTITUTE(lower(N1102), "/", "--") &amp;  ".pdf"</f>
        <v>10.1016--j.visres.2005.04.013.pdf</v>
      </c>
      <c r="Q1102" s="52" t="str">
        <f t="array" ref="Q1102"> if(iserror(MATCH(V1102, 'File Links'!C:C, 0)), "N/A", HYPERLINK(INDEX('File Links'!B:B, MATCH(P1102, 'File Links'!C:C, 0))))</f>
        <v>https://drive.google.com/file/d/1tL5SefgazspPrHDE7uspX1rbNInieF1Y/view?usp=drivesdk</v>
      </c>
      <c r="R1102" s="140" t="s">
        <v>6043</v>
      </c>
      <c r="S1102" s="159" t="s">
        <v>3654</v>
      </c>
      <c r="T1102" s="147" t="s">
        <v>138</v>
      </c>
      <c r="U1102" s="147" t="s">
        <v>138</v>
      </c>
      <c r="V1102" s="198" t="str">
        <f t="shared" si="57"/>
        <v>10.1098--rsos.231240.pdf</v>
      </c>
      <c r="W1102" s="140" t="s">
        <v>324</v>
      </c>
      <c r="X1102" s="54" t="str">
        <f t="array" ref="X1102"> if(iserror(MATCH(V1102, 'File Links'!C:C, 0)), "N/A", HYPERLINK(INDEX('File Links'!B:B, MATCH(V1102, 'File Links'!C:C, 0))))</f>
        <v>https://drive.google.com/file/d/17gaf2Zy_ljFfcAEDk5L8GBnTl5i7RGJE/view?usp=drivesdk</v>
      </c>
      <c r="Y1102" s="125"/>
      <c r="Z1102" s="140" t="s">
        <v>148</v>
      </c>
      <c r="AA1102" s="125"/>
      <c r="AB1102" s="125"/>
      <c r="AC1102" s="125"/>
      <c r="AD1102" s="140" t="s">
        <v>138</v>
      </c>
      <c r="AE1102" s="140" t="s">
        <v>138</v>
      </c>
      <c r="AF1102" s="782">
        <v>8.0</v>
      </c>
      <c r="AG1102" s="140" t="s">
        <v>138</v>
      </c>
      <c r="AH1102" s="125"/>
      <c r="AI1102" s="140" t="s">
        <v>138</v>
      </c>
      <c r="AJ1102" s="223" t="s">
        <v>138</v>
      </c>
      <c r="AK1102" s="132"/>
      <c r="AL1102" s="126" t="s">
        <v>186</v>
      </c>
      <c r="AM1102" s="140" t="s">
        <v>137</v>
      </c>
      <c r="AN1102" s="1322" t="s">
        <v>138</v>
      </c>
      <c r="AO1102" s="782">
        <v>315.0</v>
      </c>
      <c r="AP1102" s="140" t="s">
        <v>138</v>
      </c>
      <c r="AQ1102" s="125"/>
      <c r="AR1102" s="1322" t="s">
        <v>5604</v>
      </c>
      <c r="AS1102" s="140" t="s">
        <v>138</v>
      </c>
      <c r="AT1102" s="125"/>
      <c r="AU1102" s="140" t="s">
        <v>186</v>
      </c>
      <c r="AV1102" s="140" t="s">
        <v>137</v>
      </c>
      <c r="AW1102" s="1323" t="s">
        <v>138</v>
      </c>
      <c r="AX1102" s="670" t="s">
        <v>143</v>
      </c>
      <c r="AY1102" s="61" t="str">
        <f>IFERROR(__xludf.DUMMYFUNCTION("vlookup(BB1102,importrange(""https://docs.google.com/spreadsheets/d/1d2vevQ_7D_v35q4wCQ4RpQ_IPoTwEMB9Yp6ymwlPqew/edit?gid=984458430#gid=984458430"", ""'replication success'!A:K""), 11, FAlSE)"),"#N/A")</f>
        <v>#N/A</v>
      </c>
      <c r="AZ1102" s="61" t="str">
        <f>IFERROR(__xludf.DUMMYFUNCTION("vlookup(BB1102,importrange(""https://docs.google.com/spreadsheets/d/1d2vevQ_7D_v35q4wCQ4RpQ_IPoTwEMB9Yp6ymwlPqew/edit?gid=984458430#gid=984458430"", ""'replication success'!A:M""), 12, FAlSE)"),"#N/A")</f>
        <v>#N/A</v>
      </c>
      <c r="BA1102" s="61" t="str">
        <f>IFERROR(__xludf.DUMMYFUNCTION("vlookup(BB1102,importrange(""https://docs.google.com/spreadsheets/d/1d2vevQ_7D_v35q4wCQ4RpQ_IPoTwEMB9Yp6ymwlPqew/edit?gid=984458430#gid=984458430"", ""'replication success'!A:M""), 13, FAlSE)"),"#N/A")</f>
        <v>#N/A</v>
      </c>
      <c r="BB1102" s="61" t="str">
        <f>IFERROR(__xludf.DUMMYFUNCTION("REGEXREPLACE(G1102, ""_[a-z]{1,2}$"", """")"),"Boyce_etal20236")</f>
        <v>Boyce_etal20236</v>
      </c>
      <c r="BD1102" s="1322" t="s">
        <v>5605</v>
      </c>
    </row>
    <row r="1103">
      <c r="A1103" s="44">
        <v>1103.0</v>
      </c>
      <c r="B1103" s="129" t="s">
        <v>152</v>
      </c>
      <c r="C1103" s="62" t="s">
        <v>115</v>
      </c>
      <c r="D1103" s="62" t="s">
        <v>145</v>
      </c>
      <c r="E1103" s="365"/>
      <c r="F1103" s="1313" t="s">
        <v>6044</v>
      </c>
      <c r="G1103" s="1314" t="s">
        <v>6045</v>
      </c>
      <c r="H1103" s="1315" t="s">
        <v>5592</v>
      </c>
      <c r="I1103" s="1316">
        <v>45690.0</v>
      </c>
      <c r="J1103" s="1317">
        <v>45692.0</v>
      </c>
      <c r="K1103" s="1313"/>
      <c r="L1103" s="1313" t="s">
        <v>5594</v>
      </c>
      <c r="M1103" s="1315" t="s">
        <v>6046</v>
      </c>
      <c r="N1103" s="1313" t="s">
        <v>6047</v>
      </c>
      <c r="O1103" s="1318">
        <v>1.0</v>
      </c>
      <c r="P1103" s="140" t="str">
        <f t="shared" si="67"/>
        <v>10.1016--j.jesp.2020.104080.pdf</v>
      </c>
      <c r="Q1103" s="52" t="str">
        <f t="array" ref="Q1103"> if(iserror(MATCH(V1103, 'File Links'!C:C, 0)), "N/A", HYPERLINK(INDEX('File Links'!B:B, MATCH(P1103, 'File Links'!C:C, 0))))</f>
        <v>https://drive.google.com/file/d/18nULESXZN8TdVjSkyh5ultgqH2EvBSm0/view?usp=drivesdk</v>
      </c>
      <c r="R1103" s="1315" t="s">
        <v>3653</v>
      </c>
      <c r="S1103" s="159" t="s">
        <v>3654</v>
      </c>
      <c r="T1103" s="147" t="s">
        <v>138</v>
      </c>
      <c r="U1103" s="147" t="s">
        <v>138</v>
      </c>
      <c r="V1103" s="198" t="str">
        <f t="shared" si="57"/>
        <v>10.1098--rsos.231240.pdf</v>
      </c>
      <c r="W1103" s="140" t="s">
        <v>3804</v>
      </c>
      <c r="X1103" s="54" t="str">
        <f t="array" ref="X1103"> if(iserror(MATCH(V1103, 'File Links'!C:C, 0)), "N/A", HYPERLINK(INDEX('File Links'!B:B, MATCH(V1103, 'File Links'!C:C, 0))))</f>
        <v>https://drive.google.com/file/d/17gaf2Zy_ljFfcAEDk5L8GBnTl5i7RGJE/view?usp=drivesdk</v>
      </c>
      <c r="Y1103" s="1313"/>
      <c r="Z1103" s="1315" t="s">
        <v>226</v>
      </c>
      <c r="AA1103" s="374" t="s">
        <v>138</v>
      </c>
      <c r="AB1103" s="1313" t="s">
        <v>6048</v>
      </c>
      <c r="AC1103" s="1315" t="s">
        <v>6049</v>
      </c>
      <c r="AD1103" s="1313" t="s">
        <v>6050</v>
      </c>
      <c r="AE1103" s="1341">
        <v>3.0</v>
      </c>
      <c r="AF1103" s="1318">
        <v>199.0</v>
      </c>
      <c r="AG1103" s="1322">
        <v>0.32</v>
      </c>
      <c r="AH1103" s="1322" t="s">
        <v>361</v>
      </c>
      <c r="AI1103" s="1313" t="s">
        <v>507</v>
      </c>
      <c r="AJ1103" s="1325">
        <v>0.001</v>
      </c>
      <c r="AK1103" s="1321" t="s">
        <v>135</v>
      </c>
      <c r="AL1103" s="1321" t="s">
        <v>186</v>
      </c>
      <c r="AM1103" s="1313" t="s">
        <v>137</v>
      </c>
      <c r="AN1103" s="1342" t="s">
        <v>6051</v>
      </c>
      <c r="AO1103" s="1318">
        <v>136.0</v>
      </c>
      <c r="AP1103" s="1322">
        <v>0.457207</v>
      </c>
      <c r="AQ1103" s="1322" t="s">
        <v>361</v>
      </c>
      <c r="AR1103" s="1322" t="s">
        <v>5604</v>
      </c>
      <c r="AS1103" s="1322" t="s">
        <v>138</v>
      </c>
      <c r="AT1103" s="219" t="s">
        <v>138</v>
      </c>
      <c r="AU1103" s="1313" t="s">
        <v>186</v>
      </c>
      <c r="AV1103" s="1313" t="s">
        <v>137</v>
      </c>
      <c r="AW1103" s="1323" t="s">
        <v>138</v>
      </c>
      <c r="AX1103" s="1339" t="s">
        <v>143</v>
      </c>
      <c r="AY1103" s="61" t="str">
        <f>IFERROR(__xludf.DUMMYFUNCTION("vlookup(BB1103,importrange(""https://docs.google.com/spreadsheets/d/1d2vevQ_7D_v35q4wCQ4RpQ_IPoTwEMB9Yp6ymwlPqew/edit?gid=984458430#gid=984458430"", ""'replication success'!A:K""), 11, FAlSE)"),"")</f>
        <v/>
      </c>
      <c r="AZ1103" s="61" t="str">
        <f>IFERROR(__xludf.DUMMYFUNCTION("vlookup(BB1103,importrange(""https://docs.google.com/spreadsheets/d/1d2vevQ_7D_v35q4wCQ4RpQ_IPoTwEMB9Yp6ymwlPqew/edit?gid=984458430#gid=984458430"", ""'replication success'!A:M""), 12, FAlSE)"),"")</f>
        <v/>
      </c>
      <c r="BA1103" s="61" t="str">
        <f>IFERROR(__xludf.DUMMYFUNCTION("vlookup(BB1103,importrange(""https://docs.google.com/spreadsheets/d/1d2vevQ_7D_v35q4wCQ4RpQ_IPoTwEMB9Yp6ymwlPqew/edit?gid=984458430#gid=984458430"",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v>
      </c>
      <c r="BB1103" s="61" t="str">
        <f>IFERROR(__xludf.DUMMYFUNCTION("REGEXREPLACE(G1103, ""_[a-z]{1,2}$"", """")"),"Boyce_etal202360")</f>
        <v>Boyce_etal202360</v>
      </c>
      <c r="BD1103" s="1322" t="s">
        <v>5605</v>
      </c>
    </row>
    <row r="1104">
      <c r="A1104" s="44">
        <v>1104.0</v>
      </c>
      <c r="B1104" s="129" t="s">
        <v>114</v>
      </c>
      <c r="C1104" s="62" t="s">
        <v>115</v>
      </c>
      <c r="D1104" s="62" t="s">
        <v>248</v>
      </c>
      <c r="E1104" s="365"/>
      <c r="F1104" s="126" t="s">
        <v>6044</v>
      </c>
      <c r="G1104" s="119" t="s">
        <v>6045</v>
      </c>
      <c r="H1104" s="140" t="s">
        <v>249</v>
      </c>
      <c r="I1104" s="317">
        <v>45666.0</v>
      </c>
      <c r="J1104" s="1326">
        <v>45692.0</v>
      </c>
      <c r="K1104" s="125"/>
      <c r="L1104" s="125" t="s">
        <v>5594</v>
      </c>
      <c r="M1104" s="140" t="s">
        <v>6046</v>
      </c>
      <c r="N1104" s="140" t="s">
        <v>6047</v>
      </c>
      <c r="O1104" s="125"/>
      <c r="P1104" s="140" t="str">
        <f t="shared" si="67"/>
        <v>10.1016--j.jesp.2020.104080.pdf</v>
      </c>
      <c r="Q1104" s="52" t="str">
        <f t="array" ref="Q1104"> if(iserror(MATCH(V1104, 'File Links'!C:C, 0)), "N/A", HYPERLINK(INDEX('File Links'!B:B, MATCH(P1104, 'File Links'!C:C, 0))))</f>
        <v>https://drive.google.com/file/d/18nULESXZN8TdVjSkyh5ultgqH2EvBSm0/view?usp=drivesdk</v>
      </c>
      <c r="R1104" s="140" t="s">
        <v>6052</v>
      </c>
      <c r="S1104" s="159" t="s">
        <v>3654</v>
      </c>
      <c r="T1104" s="147" t="s">
        <v>138</v>
      </c>
      <c r="U1104" s="147" t="s">
        <v>138</v>
      </c>
      <c r="V1104" s="198" t="str">
        <f t="shared" si="57"/>
        <v>10.1098--rsos.231240.pdf</v>
      </c>
      <c r="W1104" s="140" t="s">
        <v>3804</v>
      </c>
      <c r="X1104" s="54" t="str">
        <f t="array" ref="X1104"> if(iserror(MATCH(V1104, 'File Links'!C:C, 0)), "N/A", HYPERLINK(INDEX('File Links'!B:B, MATCH(V1104, 'File Links'!C:C, 0))))</f>
        <v>https://drive.google.com/file/d/17gaf2Zy_ljFfcAEDk5L8GBnTl5i7RGJE/view?usp=drivesdk</v>
      </c>
      <c r="Y1104" s="125"/>
      <c r="Z1104" s="140" t="s">
        <v>226</v>
      </c>
      <c r="AA1104" s="125"/>
      <c r="AB1104" s="125"/>
      <c r="AC1104" s="125"/>
      <c r="AD1104" s="140" t="s">
        <v>6053</v>
      </c>
      <c r="AE1104" s="782">
        <v>3.0</v>
      </c>
      <c r="AF1104" s="782">
        <v>199.0</v>
      </c>
      <c r="AG1104" s="782">
        <v>0.32</v>
      </c>
      <c r="AH1104" s="761" t="s">
        <v>987</v>
      </c>
      <c r="AI1104" s="140" t="s">
        <v>217</v>
      </c>
      <c r="AJ1104" s="133">
        <v>0.001</v>
      </c>
      <c r="AK1104" s="126" t="s">
        <v>135</v>
      </c>
      <c r="AL1104" s="126" t="s">
        <v>186</v>
      </c>
      <c r="AM1104" s="140" t="s">
        <v>1905</v>
      </c>
      <c r="AN1104" s="1349" t="s">
        <v>6051</v>
      </c>
      <c r="AO1104" s="782">
        <v>136.0</v>
      </c>
      <c r="AP1104" s="782">
        <v>0.457207</v>
      </c>
      <c r="AQ1104" s="140" t="s">
        <v>987</v>
      </c>
      <c r="AR1104" s="1322" t="s">
        <v>5604</v>
      </c>
      <c r="AS1104" s="140" t="s">
        <v>138</v>
      </c>
      <c r="AT1104" s="125"/>
      <c r="AU1104" s="140" t="s">
        <v>186</v>
      </c>
      <c r="AV1104" s="140" t="s">
        <v>1905</v>
      </c>
      <c r="AW1104" s="1323" t="s">
        <v>138</v>
      </c>
      <c r="AX1104" s="670" t="s">
        <v>143</v>
      </c>
      <c r="AY1104" s="61" t="str">
        <f>IFERROR(__xludf.DUMMYFUNCTION("vlookup(BB1104,importrange(""https://docs.google.com/spreadsheets/d/1d2vevQ_7D_v35q4wCQ4RpQ_IPoTwEMB9Yp6ymwlPqew/edit?gid=984458430#gid=984458430"", ""'replication success'!A:K""), 11, FAlSE)"),"")</f>
        <v/>
      </c>
      <c r="AZ1104" s="61" t="str">
        <f>IFERROR(__xludf.DUMMYFUNCTION("vlookup(BB1104,importrange(""https://docs.google.com/spreadsheets/d/1d2vevQ_7D_v35q4wCQ4RpQ_IPoTwEMB9Yp6ymwlPqew/edit?gid=984458430#gid=984458430"", ""'replication success'!A:M""), 12, FAlSE)"),"")</f>
        <v/>
      </c>
      <c r="BA1104" s="61" t="str">
        <f>IFERROR(__xludf.DUMMYFUNCTION("vlookup(BB1104,importrange(""https://docs.google.com/spreadsheets/d/1d2vevQ_7D_v35q4wCQ4RpQ_IPoTwEMB9Yp6ymwlPqew/edit?gid=984458430#gid=984458430"",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v>
      </c>
      <c r="BB1104" s="61" t="str">
        <f>IFERROR(__xludf.DUMMYFUNCTION("REGEXREPLACE(G1104, ""_[a-z]{1,2}$"", """")"),"Boyce_etal202360")</f>
        <v>Boyce_etal202360</v>
      </c>
      <c r="BD1104" s="1322" t="s">
        <v>5605</v>
      </c>
    </row>
    <row r="1105">
      <c r="A1105" s="44">
        <v>1105.0</v>
      </c>
      <c r="B1105" s="129" t="s">
        <v>152</v>
      </c>
      <c r="C1105" s="62" t="s">
        <v>115</v>
      </c>
      <c r="D1105" s="62" t="s">
        <v>145</v>
      </c>
      <c r="E1105" s="365"/>
      <c r="F1105" s="1313" t="s">
        <v>6054</v>
      </c>
      <c r="G1105" s="1314" t="s">
        <v>6055</v>
      </c>
      <c r="H1105" s="1315" t="s">
        <v>5592</v>
      </c>
      <c r="I1105" s="1316">
        <v>45690.0</v>
      </c>
      <c r="J1105" s="1317">
        <v>45692.0</v>
      </c>
      <c r="K1105" s="1313" t="s">
        <v>5686</v>
      </c>
      <c r="L1105" s="1322" t="s">
        <v>6056</v>
      </c>
      <c r="M1105" s="1315" t="s">
        <v>6057</v>
      </c>
      <c r="N1105" s="1313" t="s">
        <v>6058</v>
      </c>
      <c r="O1105" s="1318">
        <v>1.0</v>
      </c>
      <c r="P1105" s="140" t="str">
        <f t="shared" si="67"/>
        <v>10.1016--j.cognition.2016.06.011.pdf</v>
      </c>
      <c r="Q1105" s="52" t="str">
        <f t="array" ref="Q1105"> if(iserror(MATCH(V1105, 'File Links'!C:C, 0)), "N/A", HYPERLINK(INDEX('File Links'!B:B, MATCH(P1105, 'File Links'!C:C, 0))))</f>
        <v>https://drive.google.com/file/d/117IKlIHBXRWO7KM1helymQPvsGoEIXdX/view?usp=drivesdk</v>
      </c>
      <c r="R1105" s="1315" t="s">
        <v>3653</v>
      </c>
      <c r="S1105" s="159" t="s">
        <v>3654</v>
      </c>
      <c r="T1105" s="147" t="s">
        <v>138</v>
      </c>
      <c r="U1105" s="147" t="s">
        <v>138</v>
      </c>
      <c r="V1105" s="198" t="str">
        <f t="shared" si="57"/>
        <v>10.1098--rsos.231240.pdf</v>
      </c>
      <c r="W1105" s="140" t="s">
        <v>3665</v>
      </c>
      <c r="X1105" s="54" t="str">
        <f t="array" ref="X1105"> if(iserror(MATCH(V1105, 'File Links'!C:C, 0)), "N/A", HYPERLINK(INDEX('File Links'!B:B, MATCH(V1105, 'File Links'!C:C, 0))))</f>
        <v>https://drive.google.com/file/d/17gaf2Zy_ljFfcAEDk5L8GBnTl5i7RGJE/view?usp=drivesdk</v>
      </c>
      <c r="Y1105" s="1313"/>
      <c r="Z1105" s="1315" t="s">
        <v>148</v>
      </c>
      <c r="AA1105" s="1313" t="s">
        <v>6059</v>
      </c>
      <c r="AB1105" s="1313" t="s">
        <v>6060</v>
      </c>
      <c r="AC1105" s="1315" t="s">
        <v>6061</v>
      </c>
      <c r="AD1105" s="1322" t="s">
        <v>6062</v>
      </c>
      <c r="AE1105" s="1313" t="s">
        <v>5747</v>
      </c>
      <c r="AF1105" s="1318">
        <v>147.0</v>
      </c>
      <c r="AG1105" s="1322">
        <v>0.21</v>
      </c>
      <c r="AH1105" s="1322" t="s">
        <v>987</v>
      </c>
      <c r="AI1105" s="1313" t="s">
        <v>6063</v>
      </c>
      <c r="AJ1105" s="1325">
        <v>0.05</v>
      </c>
      <c r="AK1105" s="1321" t="s">
        <v>135</v>
      </c>
      <c r="AL1105" s="1321" t="s">
        <v>186</v>
      </c>
      <c r="AM1105" s="140" t="s">
        <v>141</v>
      </c>
      <c r="AN1105" s="1322" t="s">
        <v>138</v>
      </c>
      <c r="AO1105" s="1318">
        <v>93.0</v>
      </c>
      <c r="AP1105" s="1322">
        <v>0.14</v>
      </c>
      <c r="AQ1105" s="1322" t="s">
        <v>987</v>
      </c>
      <c r="AR1105" s="1322" t="s">
        <v>5604</v>
      </c>
      <c r="AS1105" s="1322" t="s">
        <v>138</v>
      </c>
      <c r="AT1105" s="219" t="s">
        <v>138</v>
      </c>
      <c r="AU1105" s="1313" t="s">
        <v>186</v>
      </c>
      <c r="AV1105" s="140" t="s">
        <v>141</v>
      </c>
      <c r="AW1105" s="1323" t="s">
        <v>138</v>
      </c>
      <c r="AX1105" s="1339" t="s">
        <v>143</v>
      </c>
      <c r="AY1105" s="61" t="str">
        <f>IFERROR(__xludf.DUMMYFUNCTION("vlookup(BB1105,importrange(""https://docs.google.com/spreadsheets/d/1d2vevQ_7D_v35q4wCQ4RpQ_IPoTwEMB9Yp6ymwlPqew/edit?gid=984458430#gid=984458430"", ""'replication success'!A:K""), 11, FAlSE)"),"")</f>
        <v/>
      </c>
      <c r="AZ1105" s="61" t="str">
        <f>IFERROR(__xludf.DUMMYFUNCTION("vlookup(BB1105,importrange(""https://docs.google.com/spreadsheets/d/1d2vevQ_7D_v35q4wCQ4RpQ_IPoTwEMB9Yp6ymwlPqew/edit?gid=984458430#gid=984458430"", ""'replication success'!A:M""), 12, FAlSE)"),"")</f>
        <v/>
      </c>
      <c r="BA1105" s="61" t="str">
        <f>IFERROR(__xludf.DUMMYFUNCTION("vlookup(BB1105,importrange(""https://docs.google.com/spreadsheets/d/1d2vevQ_7D_v35q4wCQ4RpQ_IPoTwEMB9Yp6ymwlPqew/edit?gid=984458430#gid=984458430"",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v>
      </c>
      <c r="BB1105" s="61" t="str">
        <f>IFERROR(__xludf.DUMMYFUNCTION("REGEXREPLACE(G1105, ""_[a-z]{1,2}$"", """")"),"Boyce_etal202361")</f>
        <v>Boyce_etal202361</v>
      </c>
      <c r="BD1105" s="1322" t="s">
        <v>5605</v>
      </c>
    </row>
    <row r="1106">
      <c r="A1106" s="44">
        <v>1106.0</v>
      </c>
      <c r="B1106" s="129" t="s">
        <v>114</v>
      </c>
      <c r="C1106" s="62" t="s">
        <v>115</v>
      </c>
      <c r="D1106" s="62" t="s">
        <v>248</v>
      </c>
      <c r="E1106" s="365"/>
      <c r="F1106" s="126" t="s">
        <v>6054</v>
      </c>
      <c r="G1106" s="119" t="s">
        <v>6055</v>
      </c>
      <c r="H1106" s="140" t="s">
        <v>249</v>
      </c>
      <c r="I1106" s="317">
        <v>45666.0</v>
      </c>
      <c r="J1106" s="1326">
        <v>45692.0</v>
      </c>
      <c r="K1106" s="125"/>
      <c r="L1106" s="219" t="s">
        <v>6064</v>
      </c>
      <c r="M1106" s="140" t="s">
        <v>6057</v>
      </c>
      <c r="N1106" s="140" t="s">
        <v>6058</v>
      </c>
      <c r="O1106" s="125"/>
      <c r="P1106" s="140" t="str">
        <f t="shared" si="67"/>
        <v>10.1016--j.cognition.2016.06.011.pdf</v>
      </c>
      <c r="Q1106" s="52" t="str">
        <f t="array" ref="Q1106"> if(iserror(MATCH(V1106, 'File Links'!C:C, 0)), "N/A", HYPERLINK(INDEX('File Links'!B:B, MATCH(P1106, 'File Links'!C:C, 0))))</f>
        <v>https://drive.google.com/file/d/117IKlIHBXRWO7KM1helymQPvsGoEIXdX/view?usp=drivesdk</v>
      </c>
      <c r="R1106" s="140" t="s">
        <v>6065</v>
      </c>
      <c r="S1106" s="159" t="s">
        <v>3654</v>
      </c>
      <c r="T1106" s="147" t="s">
        <v>138</v>
      </c>
      <c r="U1106" s="147" t="s">
        <v>138</v>
      </c>
      <c r="V1106" s="198" t="str">
        <f t="shared" si="57"/>
        <v>10.1098--rsos.231240.pdf</v>
      </c>
      <c r="W1106" s="140" t="s">
        <v>3665</v>
      </c>
      <c r="X1106" s="54" t="str">
        <f t="array" ref="X1106"> if(iserror(MATCH(V1106, 'File Links'!C:C, 0)), "N/A", HYPERLINK(INDEX('File Links'!B:B, MATCH(V1106, 'File Links'!C:C, 0))))</f>
        <v>https://drive.google.com/file/d/17gaf2Zy_ljFfcAEDk5L8GBnTl5i7RGJE/view?usp=drivesdk</v>
      </c>
      <c r="Y1106" s="125"/>
      <c r="Z1106" s="140" t="s">
        <v>148</v>
      </c>
      <c r="AA1106" s="125"/>
      <c r="AB1106" s="140" t="s">
        <v>6066</v>
      </c>
      <c r="AC1106" s="125"/>
      <c r="AD1106" s="140" t="s">
        <v>6067</v>
      </c>
      <c r="AE1106" s="782">
        <v>71.0</v>
      </c>
      <c r="AF1106" s="782">
        <v>147.0</v>
      </c>
      <c r="AG1106" s="782">
        <v>0.21</v>
      </c>
      <c r="AH1106" s="140" t="s">
        <v>987</v>
      </c>
      <c r="AI1106" s="140" t="s">
        <v>6068</v>
      </c>
      <c r="AJ1106" s="133">
        <v>0.05</v>
      </c>
      <c r="AK1106" s="126" t="s">
        <v>135</v>
      </c>
      <c r="AL1106" s="126" t="s">
        <v>136</v>
      </c>
      <c r="AM1106" s="140" t="s">
        <v>141</v>
      </c>
      <c r="AN1106" s="1322" t="s">
        <v>138</v>
      </c>
      <c r="AO1106" s="782">
        <v>93.0</v>
      </c>
      <c r="AP1106" s="782">
        <v>0.14</v>
      </c>
      <c r="AQ1106" s="140" t="s">
        <v>987</v>
      </c>
      <c r="AR1106" s="1322" t="s">
        <v>5604</v>
      </c>
      <c r="AS1106" s="140" t="s">
        <v>138</v>
      </c>
      <c r="AT1106" s="125"/>
      <c r="AU1106" s="140" t="s">
        <v>136</v>
      </c>
      <c r="AV1106" s="140" t="s">
        <v>141</v>
      </c>
      <c r="AW1106" s="1323" t="s">
        <v>138</v>
      </c>
      <c r="AX1106" s="670" t="s">
        <v>143</v>
      </c>
      <c r="AY1106" s="61" t="str">
        <f>IFERROR(__xludf.DUMMYFUNCTION("vlookup(BB1106,importrange(""https://docs.google.com/spreadsheets/d/1d2vevQ_7D_v35q4wCQ4RpQ_IPoTwEMB9Yp6ymwlPqew/edit?gid=984458430#gid=984458430"", ""'replication success'!A:K""), 11, FAlSE)"),"")</f>
        <v/>
      </c>
      <c r="AZ1106" s="61" t="str">
        <f>IFERROR(__xludf.DUMMYFUNCTION("vlookup(BB1106,importrange(""https://docs.google.com/spreadsheets/d/1d2vevQ_7D_v35q4wCQ4RpQ_IPoTwEMB9Yp6ymwlPqew/edit?gid=984458430#gid=984458430"", ""'replication success'!A:M""), 12, FAlSE)"),"")</f>
        <v/>
      </c>
      <c r="BA1106" s="61" t="str">
        <f>IFERROR(__xludf.DUMMYFUNCTION("vlookup(BB1106,importrange(""https://docs.google.com/spreadsheets/d/1d2vevQ_7D_v35q4wCQ4RpQ_IPoTwEMB9Yp6ymwlPqew/edit?gid=984458430#gid=984458430"",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v>
      </c>
      <c r="BB1106" s="61" t="str">
        <f>IFERROR(__xludf.DUMMYFUNCTION("REGEXREPLACE(G1106, ""_[a-z]{1,2}$"", """")"),"Boyce_etal202361")</f>
        <v>Boyce_etal202361</v>
      </c>
      <c r="BD1106" s="1322" t="s">
        <v>5605</v>
      </c>
    </row>
    <row r="1107">
      <c r="A1107" s="44">
        <v>1107.0</v>
      </c>
      <c r="B1107" s="129" t="s">
        <v>114</v>
      </c>
      <c r="C1107" s="62" t="s">
        <v>115</v>
      </c>
      <c r="D1107" s="62" t="s">
        <v>145</v>
      </c>
      <c r="E1107" s="365"/>
      <c r="F1107" s="1313" t="s">
        <v>6069</v>
      </c>
      <c r="G1107" s="1314" t="s">
        <v>6070</v>
      </c>
      <c r="H1107" s="1315" t="s">
        <v>5592</v>
      </c>
      <c r="I1107" s="1316">
        <v>45690.0</v>
      </c>
      <c r="J1107" s="1317">
        <v>45692.0</v>
      </c>
      <c r="K1107" s="1313" t="s">
        <v>5944</v>
      </c>
      <c r="L1107" s="1313" t="s">
        <v>5594</v>
      </c>
      <c r="M1107" s="1315" t="s">
        <v>6071</v>
      </c>
      <c r="N1107" s="1315" t="s">
        <v>6072</v>
      </c>
      <c r="O1107" s="1318">
        <v>3.0</v>
      </c>
      <c r="P1107" s="1315" t="s">
        <v>6073</v>
      </c>
      <c r="Q1107" s="52" t="str">
        <f t="array" ref="Q1107"> if(iserror(MATCH(V1107, 'File Links'!C:C, 0)), "N/A", HYPERLINK(INDEX('File Links'!B:B, MATCH(P1107, 'File Links'!C:C, 0))))</f>
        <v>https://drive.google.com/file/d/1W2aCwE3Z8jN-Xdqb3awaTWO-3SquFMRh/view?usp=drivesdk</v>
      </c>
      <c r="R1107" s="1315" t="s">
        <v>3653</v>
      </c>
      <c r="S1107" s="159" t="s">
        <v>3654</v>
      </c>
      <c r="T1107" s="147" t="s">
        <v>138</v>
      </c>
      <c r="U1107" s="147" t="s">
        <v>138</v>
      </c>
      <c r="V1107" s="198" t="str">
        <f t="shared" si="57"/>
        <v>10.1098--rsos.231240.pdf</v>
      </c>
      <c r="W1107" s="140" t="s">
        <v>3665</v>
      </c>
      <c r="X1107" s="54" t="str">
        <f t="array" ref="X1107"> if(iserror(MATCH(V1107, 'File Links'!C:C, 0)), "N/A", HYPERLINK(INDEX('File Links'!B:B, MATCH(V1107, 'File Links'!C:C, 0))))</f>
        <v>https://drive.google.com/file/d/17gaf2Zy_ljFfcAEDk5L8GBnTl5i7RGJE/view?usp=drivesdk</v>
      </c>
      <c r="Y1107" s="1313"/>
      <c r="Z1107" s="1315" t="s">
        <v>226</v>
      </c>
      <c r="AA1107" s="1313" t="s">
        <v>6074</v>
      </c>
      <c r="AB1107" s="1313" t="s">
        <v>6075</v>
      </c>
      <c r="AC1107" s="1315" t="s">
        <v>6076</v>
      </c>
      <c r="AD1107" s="1313" t="s">
        <v>6077</v>
      </c>
      <c r="AE1107" s="1341">
        <v>6.0</v>
      </c>
      <c r="AF1107" s="1318">
        <v>57.0</v>
      </c>
      <c r="AG1107" s="1341">
        <v>0.76</v>
      </c>
      <c r="AH1107" s="1313" t="s">
        <v>173</v>
      </c>
      <c r="AI1107" s="1313" t="s">
        <v>140</v>
      </c>
      <c r="AJ1107" s="1325">
        <v>0.05</v>
      </c>
      <c r="AK1107" s="1321" t="s">
        <v>135</v>
      </c>
      <c r="AL1107" s="1321" t="s">
        <v>186</v>
      </c>
      <c r="AM1107" s="1340" t="s">
        <v>1905</v>
      </c>
      <c r="AN1107" s="1322" t="s">
        <v>138</v>
      </c>
      <c r="AO1107" s="1318">
        <v>60.0</v>
      </c>
      <c r="AP1107" s="1341">
        <v>1.19038369164456</v>
      </c>
      <c r="AQ1107" s="1313" t="s">
        <v>173</v>
      </c>
      <c r="AR1107" s="1322" t="s">
        <v>5604</v>
      </c>
      <c r="AS1107" s="1341">
        <v>0.00292409499639768</v>
      </c>
      <c r="AT1107" s="1313" t="s">
        <v>172</v>
      </c>
      <c r="AU1107" s="1313" t="s">
        <v>186</v>
      </c>
      <c r="AV1107" s="1340" t="s">
        <v>1905</v>
      </c>
      <c r="AW1107" s="1323" t="s">
        <v>138</v>
      </c>
      <c r="AX1107" s="1339" t="s">
        <v>143</v>
      </c>
      <c r="AY1107" s="61" t="str">
        <f>IFERROR(__xludf.DUMMYFUNCTION("vlookup(BB1107,importrange(""https://docs.google.com/spreadsheets/d/1d2vevQ_7D_v35q4wCQ4RpQ_IPoTwEMB9Yp6ymwlPqew/edit?gid=984458430#gid=984458430"", ""'replication success'!A:K""), 11, FAlSE)"),"successful")</f>
        <v>successful</v>
      </c>
      <c r="AZ1107" s="61" t="str">
        <f>IFERROR(__xludf.DUMMYFUNCTION("vlookup(BB1107,importrange(""https://docs.google.com/spreadsheets/d/1d2vevQ_7D_v35q4wCQ4RpQ_IPoTwEMB9Yp6ymwlPqew/edit?gid=984458430#gid=984458430"",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07" s="61" t="str">
        <f>IFERROR(__xludf.DUMMYFUNCTION("vlookup(BB1107,importrange(""https://docs.google.com/spreadsheets/d/1d2vevQ_7D_v35q4wCQ4RpQ_IPoTwEMB9Yp6ymwlPqew/edit?gid=984458430#gid=984458430"",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v>
      </c>
      <c r="BB1107" s="61" t="str">
        <f>IFERROR(__xludf.DUMMYFUNCTION("REGEXREPLACE(G1107, ""_[a-z]{1,2}$"", """")"),"Boyce_etal202362")</f>
        <v>Boyce_etal202362</v>
      </c>
      <c r="BD1107" s="1322" t="s">
        <v>5605</v>
      </c>
    </row>
    <row r="1108">
      <c r="A1108" s="44">
        <v>1108.0</v>
      </c>
      <c r="B1108" s="129" t="s">
        <v>152</v>
      </c>
      <c r="C1108" s="62" t="s">
        <v>115</v>
      </c>
      <c r="D1108" s="62" t="s">
        <v>248</v>
      </c>
      <c r="E1108" s="365"/>
      <c r="F1108" s="126" t="s">
        <v>6069</v>
      </c>
      <c r="G1108" s="119" t="s">
        <v>6070</v>
      </c>
      <c r="H1108" s="140" t="s">
        <v>249</v>
      </c>
      <c r="I1108" s="317">
        <v>45666.0</v>
      </c>
      <c r="J1108" s="1326">
        <v>45692.0</v>
      </c>
      <c r="K1108" s="119" t="s">
        <v>6078</v>
      </c>
      <c r="L1108" s="219" t="s">
        <v>6079</v>
      </c>
      <c r="M1108" s="140" t="s">
        <v>6071</v>
      </c>
      <c r="N1108" s="140" t="s">
        <v>6072</v>
      </c>
      <c r="O1108" s="219">
        <v>3.0</v>
      </c>
      <c r="P1108" s="140" t="str">
        <f> SUBSTITUTE(lower(N1108), "/", "--") &amp;  ".pdf"</f>
        <v>10.1177--0956797613494853.pdf</v>
      </c>
      <c r="Q1108" s="52" t="str">
        <f t="array" ref="Q1108"> if(iserror(MATCH(V1108, 'File Links'!C:C, 0)), "N/A", HYPERLINK(INDEX('File Links'!B:B, MATCH(P1108, 'File Links'!C:C, 0))))</f>
        <v>https://drive.google.com/file/d/1W2aCwE3Z8jN-Xdqb3awaTWO-3SquFMRh/view?usp=drivesdk</v>
      </c>
      <c r="R1108" s="140" t="s">
        <v>6080</v>
      </c>
      <c r="S1108" s="159" t="s">
        <v>3654</v>
      </c>
      <c r="T1108" s="147" t="s">
        <v>138</v>
      </c>
      <c r="U1108" s="147" t="s">
        <v>138</v>
      </c>
      <c r="V1108" s="198" t="str">
        <f t="shared" si="57"/>
        <v>10.1098--rsos.231240.pdf</v>
      </c>
      <c r="W1108" s="140" t="s">
        <v>3665</v>
      </c>
      <c r="X1108" s="54" t="str">
        <f t="array" ref="X1108"> if(iserror(MATCH(V1108, 'File Links'!C:C, 0)), "N/A", HYPERLINK(INDEX('File Links'!B:B, MATCH(V1108, 'File Links'!C:C, 0))))</f>
        <v>https://drive.google.com/file/d/17gaf2Zy_ljFfcAEDk5L8GBnTl5i7RGJE/view?usp=drivesdk</v>
      </c>
      <c r="Y1108" s="125"/>
      <c r="Z1108" s="119" t="s">
        <v>148</v>
      </c>
      <c r="AA1108" s="125"/>
      <c r="AB1108" s="140" t="s">
        <v>4343</v>
      </c>
      <c r="AC1108" s="125"/>
      <c r="AD1108" s="140" t="s">
        <v>6081</v>
      </c>
      <c r="AE1108" s="782">
        <v>5.0</v>
      </c>
      <c r="AF1108" s="1356">
        <v>29.0</v>
      </c>
      <c r="AG1108" s="782">
        <v>0.76</v>
      </c>
      <c r="AH1108" s="140" t="s">
        <v>173</v>
      </c>
      <c r="AI1108" s="140" t="s">
        <v>882</v>
      </c>
      <c r="AJ1108" s="1357" t="s">
        <v>138</v>
      </c>
      <c r="AK1108" s="1336" t="s">
        <v>138</v>
      </c>
      <c r="AL1108" s="1363" t="s">
        <v>186</v>
      </c>
      <c r="AM1108" s="140" t="s">
        <v>141</v>
      </c>
      <c r="AN1108" s="1322" t="s">
        <v>138</v>
      </c>
      <c r="AO1108" s="782">
        <v>60.0</v>
      </c>
      <c r="AP1108" s="782">
        <v>1.19038369164456</v>
      </c>
      <c r="AQ1108" s="140" t="s">
        <v>173</v>
      </c>
      <c r="AR1108" s="1322" t="s">
        <v>5604</v>
      </c>
      <c r="AS1108" s="782">
        <v>0.00292409499639768</v>
      </c>
      <c r="AT1108" s="140" t="s">
        <v>172</v>
      </c>
      <c r="AU1108" s="140" t="s">
        <v>186</v>
      </c>
      <c r="AV1108" s="140" t="s">
        <v>141</v>
      </c>
      <c r="AW1108" s="1323" t="s">
        <v>138</v>
      </c>
      <c r="AX1108" s="670" t="s">
        <v>143</v>
      </c>
      <c r="AY1108" s="61" t="str">
        <f>IFERROR(__xludf.DUMMYFUNCTION("vlookup(BB1108,importrange(""https://docs.google.com/spreadsheets/d/1d2vevQ_7D_v35q4wCQ4RpQ_IPoTwEMB9Yp6ymwlPqew/edit?gid=984458430#gid=984458430"", ""'replication success'!A:K""), 11, FAlSE)"),"successful")</f>
        <v>successful</v>
      </c>
      <c r="AZ1108" s="61" t="str">
        <f>IFERROR(__xludf.DUMMYFUNCTION("vlookup(BB1108,importrange(""https://docs.google.com/spreadsheets/d/1d2vevQ_7D_v35q4wCQ4RpQ_IPoTwEMB9Yp6ymwlPqew/edit?gid=984458430#gid=984458430"",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08" s="61" t="str">
        <f>IFERROR(__xludf.DUMMYFUNCTION("vlookup(BB1108,importrange(""https://docs.google.com/spreadsheets/d/1d2vevQ_7D_v35q4wCQ4RpQ_IPoTwEMB9Yp6ymwlPqew/edit?gid=984458430#gid=984458430"",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v>
      </c>
      <c r="BB1108" s="61" t="str">
        <f>IFERROR(__xludf.DUMMYFUNCTION("REGEXREPLACE(G1108, ""_[a-z]{1,2}$"", """")"),"Boyce_etal202362")</f>
        <v>Boyce_etal202362</v>
      </c>
      <c r="BD1108" s="1322" t="s">
        <v>5605</v>
      </c>
    </row>
    <row r="1109">
      <c r="A1109" s="44">
        <v>1109.0</v>
      </c>
      <c r="B1109" s="129" t="s">
        <v>152</v>
      </c>
      <c r="C1109" s="62" t="s">
        <v>115</v>
      </c>
      <c r="D1109" s="62" t="s">
        <v>145</v>
      </c>
      <c r="E1109" s="365"/>
      <c r="F1109" s="1313" t="s">
        <v>6082</v>
      </c>
      <c r="G1109" s="1314" t="s">
        <v>6083</v>
      </c>
      <c r="H1109" s="1315" t="s">
        <v>5592</v>
      </c>
      <c r="I1109" s="1316">
        <v>45690.0</v>
      </c>
      <c r="J1109" s="1317">
        <v>45692.0</v>
      </c>
      <c r="K1109" s="1313" t="s">
        <v>5944</v>
      </c>
      <c r="L1109" s="1322" t="s">
        <v>6084</v>
      </c>
      <c r="M1109" s="1315" t="s">
        <v>6085</v>
      </c>
      <c r="N1109" s="1315" t="s">
        <v>6086</v>
      </c>
      <c r="O1109" s="1318">
        <v>1.0</v>
      </c>
      <c r="P1109" s="1315" t="s">
        <v>6087</v>
      </c>
      <c r="Q1109" s="52" t="str">
        <f t="array" ref="Q1109"> if(iserror(MATCH(V1109, 'File Links'!C:C, 0)), "N/A", HYPERLINK(INDEX('File Links'!B:B, MATCH(P1109, 'File Links'!C:C, 0))))</f>
        <v>https://drive.google.com/file/d/1lHQosDuo6gaE1kApTnMYX-PdVa7g5c2f/view?usp=drivesdk</v>
      </c>
      <c r="R1109" s="1315" t="s">
        <v>3653</v>
      </c>
      <c r="S1109" s="159" t="s">
        <v>3654</v>
      </c>
      <c r="T1109" s="147" t="s">
        <v>138</v>
      </c>
      <c r="U1109" s="147" t="s">
        <v>138</v>
      </c>
      <c r="V1109" s="198" t="str">
        <f t="shared" si="57"/>
        <v>10.1098--rsos.231240.pdf</v>
      </c>
      <c r="W1109" s="140" t="s">
        <v>3804</v>
      </c>
      <c r="X1109" s="54" t="str">
        <f t="array" ref="X1109"> if(iserror(MATCH(V1109, 'File Links'!C:C, 0)), "N/A", HYPERLINK(INDEX('File Links'!B:B, MATCH(V1109, 'File Links'!C:C, 0))))</f>
        <v>https://drive.google.com/file/d/17gaf2Zy_ljFfcAEDk5L8GBnTl5i7RGJE/view?usp=drivesdk</v>
      </c>
      <c r="Y1109" s="1313"/>
      <c r="Z1109" s="1315" t="s">
        <v>226</v>
      </c>
      <c r="AA1109" s="1313" t="s">
        <v>6088</v>
      </c>
      <c r="AB1109" s="1313" t="s">
        <v>6089</v>
      </c>
      <c r="AC1109" s="1315" t="s">
        <v>6090</v>
      </c>
      <c r="AD1109" s="1313" t="s">
        <v>6091</v>
      </c>
      <c r="AE1109" s="1313" t="s">
        <v>6092</v>
      </c>
      <c r="AF1109" s="1318">
        <v>101.0</v>
      </c>
      <c r="AG1109" s="1341">
        <v>0.724143923</v>
      </c>
      <c r="AH1109" s="1313" t="s">
        <v>173</v>
      </c>
      <c r="AI1109" s="1322" t="s">
        <v>138</v>
      </c>
      <c r="AJ1109" s="1325">
        <v>0.001</v>
      </c>
      <c r="AK1109" s="1321" t="s">
        <v>135</v>
      </c>
      <c r="AL1109" s="1321" t="s">
        <v>186</v>
      </c>
      <c r="AM1109" s="1336" t="s">
        <v>141</v>
      </c>
      <c r="AN1109" s="1322" t="s">
        <v>138</v>
      </c>
      <c r="AO1109" s="1318">
        <v>55.0</v>
      </c>
      <c r="AP1109" s="1341">
        <v>0.889133895505657</v>
      </c>
      <c r="AQ1109" s="1313" t="s">
        <v>173</v>
      </c>
      <c r="AR1109" s="1322" t="s">
        <v>5604</v>
      </c>
      <c r="AS1109" s="1345">
        <v>2.35092757182492E-8</v>
      </c>
      <c r="AT1109" s="1313" t="s">
        <v>172</v>
      </c>
      <c r="AU1109" s="1313" t="s">
        <v>186</v>
      </c>
      <c r="AV1109" s="1361" t="s">
        <v>141</v>
      </c>
      <c r="AW1109" s="1323" t="s">
        <v>138</v>
      </c>
      <c r="AX1109" s="1339" t="s">
        <v>143</v>
      </c>
      <c r="AY1109" s="61" t="str">
        <f>IFERROR(__xludf.DUMMYFUNCTION("vlookup(BB1109,importrange(""https://docs.google.com/spreadsheets/d/1d2vevQ_7D_v35q4wCQ4RpQ_IPoTwEMB9Yp6ymwlPqew/edit?gid=984458430#gid=984458430"", ""'replication success'!A:K""), 11, FAlSE)"),"successful")</f>
        <v>successful</v>
      </c>
      <c r="AZ1109" s="61" t="str">
        <f>IFERROR(__xludf.DUMMYFUNCTION("vlookup(BB1109,importrange(""https://docs.google.com/spreadsheets/d/1d2vevQ_7D_v35q4wCQ4RpQ_IPoTwEMB9Yp6ymwlPqew/edit?gid=984458430#gid=984458430"",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09" s="61" t="str">
        <f>IFERROR(__xludf.DUMMYFUNCTION("vlookup(BB1109,importrange(""https://docs.google.com/spreadsheets/d/1d2vevQ_7D_v35q4wCQ4RpQ_IPoTwEMB9Yp6ymwlPqew/edit?gid=984458430#gid=984458430"",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v>
      </c>
      <c r="BB1109" s="61" t="str">
        <f>IFERROR(__xludf.DUMMYFUNCTION("REGEXREPLACE(G1109, ""_[a-z]{1,2}$"", """")"),"Boyce_etal202363")</f>
        <v>Boyce_etal202363</v>
      </c>
      <c r="BD1109" s="1322" t="s">
        <v>5605</v>
      </c>
    </row>
    <row r="1110">
      <c r="A1110" s="44">
        <v>1110.0</v>
      </c>
      <c r="B1110" s="129" t="s">
        <v>114</v>
      </c>
      <c r="C1110" s="62" t="s">
        <v>115</v>
      </c>
      <c r="D1110" s="62" t="s">
        <v>248</v>
      </c>
      <c r="E1110" s="365"/>
      <c r="F1110" s="126" t="s">
        <v>6082</v>
      </c>
      <c r="G1110" s="119" t="s">
        <v>6083</v>
      </c>
      <c r="H1110" s="140" t="s">
        <v>249</v>
      </c>
      <c r="I1110" s="317">
        <v>45666.0</v>
      </c>
      <c r="J1110" s="1326">
        <v>45692.0</v>
      </c>
      <c r="K1110" s="125"/>
      <c r="L1110" s="125" t="s">
        <v>5594</v>
      </c>
      <c r="M1110" s="140" t="s">
        <v>6085</v>
      </c>
      <c r="N1110" s="140" t="s">
        <v>6086</v>
      </c>
      <c r="O1110" s="125"/>
      <c r="P1110" s="140" t="str">
        <f> SUBSTITUTE(lower(N1110), "/", "--") &amp;  ".pdf"</f>
        <v>10.1177--0956797616640705.pdf</v>
      </c>
      <c r="Q1110" s="52" t="str">
        <f t="array" ref="Q1110"> if(iserror(MATCH(V1110, 'File Links'!C:C, 0)), "N/A", HYPERLINK(INDEX('File Links'!B:B, MATCH(P1110, 'File Links'!C:C, 0))))</f>
        <v>https://drive.google.com/file/d/1lHQosDuo6gaE1kApTnMYX-PdVa7g5c2f/view?usp=drivesdk</v>
      </c>
      <c r="R1110" s="140" t="s">
        <v>6093</v>
      </c>
      <c r="S1110" s="159" t="s">
        <v>3654</v>
      </c>
      <c r="T1110" s="147" t="s">
        <v>138</v>
      </c>
      <c r="U1110" s="147" t="s">
        <v>138</v>
      </c>
      <c r="V1110" s="198" t="str">
        <f t="shared" si="57"/>
        <v>10.1098--rsos.231240.pdf</v>
      </c>
      <c r="W1110" s="140" t="s">
        <v>3804</v>
      </c>
      <c r="X1110" s="54" t="str">
        <f t="array" ref="X1110"> if(iserror(MATCH(V1110, 'File Links'!C:C, 0)), "N/A", HYPERLINK(INDEX('File Links'!B:B, MATCH(V1110, 'File Links'!C:C, 0))))</f>
        <v>https://drive.google.com/file/d/17gaf2Zy_ljFfcAEDk5L8GBnTl5i7RGJE/view?usp=drivesdk</v>
      </c>
      <c r="Y1110" s="125"/>
      <c r="Z1110" s="140" t="s">
        <v>210</v>
      </c>
      <c r="AA1110" s="125"/>
      <c r="AB1110" s="125"/>
      <c r="AC1110" s="125"/>
      <c r="AD1110" s="140" t="s">
        <v>6094</v>
      </c>
      <c r="AE1110" s="782">
        <v>3.0</v>
      </c>
      <c r="AF1110" s="782">
        <v>101.0</v>
      </c>
      <c r="AG1110" s="782">
        <v>0.724143923024744</v>
      </c>
      <c r="AH1110" s="140" t="s">
        <v>173</v>
      </c>
      <c r="AI1110" s="140" t="s">
        <v>507</v>
      </c>
      <c r="AJ1110" s="133">
        <v>0.001</v>
      </c>
      <c r="AK1110" s="126" t="s">
        <v>135</v>
      </c>
      <c r="AL1110" s="126" t="s">
        <v>186</v>
      </c>
      <c r="AM1110" s="140" t="s">
        <v>141</v>
      </c>
      <c r="AN1110" s="1322" t="s">
        <v>138</v>
      </c>
      <c r="AO1110" s="782">
        <v>55.0</v>
      </c>
      <c r="AP1110" s="782">
        <v>0.889133895505657</v>
      </c>
      <c r="AQ1110" s="140" t="s">
        <v>173</v>
      </c>
      <c r="AR1110" s="1322" t="s">
        <v>5604</v>
      </c>
      <c r="AS1110" s="1343">
        <v>2.35092757182492E-8</v>
      </c>
      <c r="AT1110" s="140" t="s">
        <v>172</v>
      </c>
      <c r="AU1110" s="140" t="s">
        <v>186</v>
      </c>
      <c r="AV1110" s="140" t="s">
        <v>141</v>
      </c>
      <c r="AW1110" s="1323" t="s">
        <v>138</v>
      </c>
      <c r="AX1110" s="140" t="s">
        <v>143</v>
      </c>
      <c r="AY1110" s="61" t="str">
        <f>IFERROR(__xludf.DUMMYFUNCTION("vlookup(BB1110,importrange(""https://docs.google.com/spreadsheets/d/1d2vevQ_7D_v35q4wCQ4RpQ_IPoTwEMB9Yp6ymwlPqew/edit?gid=984458430#gid=984458430"", ""'replication success'!A:K""), 11, FAlSE)"),"successful")</f>
        <v>successful</v>
      </c>
      <c r="AZ1110" s="61" t="str">
        <f>IFERROR(__xludf.DUMMYFUNCTION("vlookup(BB1110,importrange(""https://docs.google.com/spreadsheets/d/1d2vevQ_7D_v35q4wCQ4RpQ_IPoTwEMB9Yp6ymwlPqew/edit?gid=984458430#gid=984458430"",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10" s="61" t="str">
        <f>IFERROR(__xludf.DUMMYFUNCTION("vlookup(BB1110,importrange(""https://docs.google.com/spreadsheets/d/1d2vevQ_7D_v35q4wCQ4RpQ_IPoTwEMB9Yp6ymwlPqew/edit?gid=984458430#gid=984458430"",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v>
      </c>
      <c r="BB1110" s="61" t="str">
        <f>IFERROR(__xludf.DUMMYFUNCTION("REGEXREPLACE(G1110, ""_[a-z]{1,2}$"", """")"),"Boyce_etal202363")</f>
        <v>Boyce_etal202363</v>
      </c>
      <c r="BD1110" s="1322" t="s">
        <v>5605</v>
      </c>
    </row>
    <row r="1111">
      <c r="A1111" s="44">
        <v>1111.0</v>
      </c>
      <c r="B1111" s="129" t="s">
        <v>152</v>
      </c>
      <c r="C1111" s="62" t="s">
        <v>115</v>
      </c>
      <c r="D1111" s="62" t="s">
        <v>145</v>
      </c>
      <c r="E1111" s="365"/>
      <c r="F1111" s="1313" t="s">
        <v>6095</v>
      </c>
      <c r="G1111" s="1314" t="s">
        <v>6096</v>
      </c>
      <c r="H1111" s="1315" t="s">
        <v>5592</v>
      </c>
      <c r="I1111" s="1316">
        <v>45690.0</v>
      </c>
      <c r="J1111" s="1317">
        <v>45692.0</v>
      </c>
      <c r="K1111" s="1313" t="s">
        <v>6097</v>
      </c>
      <c r="L1111" s="1313" t="s">
        <v>6098</v>
      </c>
      <c r="M1111" s="1315" t="s">
        <v>6099</v>
      </c>
      <c r="N1111" s="1315" t="s">
        <v>6100</v>
      </c>
      <c r="O1111" s="1318">
        <v>1.0</v>
      </c>
      <c r="P1111" s="1315" t="s">
        <v>6101</v>
      </c>
      <c r="Q1111" s="52" t="str">
        <f t="array" ref="Q1111"> if(iserror(MATCH(V1111, 'File Links'!C:C, 0)), "N/A", HYPERLINK(INDEX('File Links'!B:B, MATCH(P1111, 'File Links'!C:C, 0))))</f>
        <v>https://drive.google.com/file/d/1_3kOREsSMo-zmS04srVes69SaYsErPmR/view?usp=drivesdk</v>
      </c>
      <c r="R1111" s="1315" t="s">
        <v>3653</v>
      </c>
      <c r="S1111" s="159" t="s">
        <v>3654</v>
      </c>
      <c r="T1111" s="147" t="s">
        <v>138</v>
      </c>
      <c r="U1111" s="147" t="s">
        <v>138</v>
      </c>
      <c r="V1111" s="198" t="str">
        <f t="shared" si="57"/>
        <v>10.1098--rsos.231240.pdf</v>
      </c>
      <c r="W1111" s="140" t="s">
        <v>3693</v>
      </c>
      <c r="X1111" s="54" t="str">
        <f t="array" ref="X1111"> if(iserror(MATCH(V1111, 'File Links'!C:C, 0)), "N/A", HYPERLINK(INDEX('File Links'!B:B, MATCH(V1111, 'File Links'!C:C, 0))))</f>
        <v>https://drive.google.com/file/d/17gaf2Zy_ljFfcAEDk5L8GBnTl5i7RGJE/view?usp=drivesdk</v>
      </c>
      <c r="Y1111" s="1313"/>
      <c r="Z1111" s="1354" t="s">
        <v>210</v>
      </c>
      <c r="AA1111" s="1313" t="s">
        <v>6102</v>
      </c>
      <c r="AB1111" s="1313" t="s">
        <v>6103</v>
      </c>
      <c r="AC1111" s="1315" t="s">
        <v>6104</v>
      </c>
      <c r="AD1111" s="140" t="s">
        <v>6105</v>
      </c>
      <c r="AE1111" s="782">
        <v>1210.0</v>
      </c>
      <c r="AF1111" s="782">
        <v>484.0</v>
      </c>
      <c r="AG1111" s="225">
        <v>0.07</v>
      </c>
      <c r="AH1111" s="119" t="s">
        <v>987</v>
      </c>
      <c r="AI1111" s="119" t="s">
        <v>6106</v>
      </c>
      <c r="AJ1111" s="225">
        <v>0.01</v>
      </c>
      <c r="AK1111" s="126" t="s">
        <v>135</v>
      </c>
      <c r="AL1111" s="126" t="s">
        <v>186</v>
      </c>
      <c r="AM1111" s="140" t="s">
        <v>137</v>
      </c>
      <c r="AN1111" s="1322" t="s">
        <v>138</v>
      </c>
      <c r="AO1111" s="1318">
        <v>102.0</v>
      </c>
      <c r="AP1111" s="1322" t="s">
        <v>6107</v>
      </c>
      <c r="AQ1111" s="1322" t="s">
        <v>987</v>
      </c>
      <c r="AR1111" s="1322" t="s">
        <v>5604</v>
      </c>
      <c r="AS1111" s="1322" t="s">
        <v>138</v>
      </c>
      <c r="AT1111" s="219" t="s">
        <v>138</v>
      </c>
      <c r="AU1111" s="1313" t="s">
        <v>186</v>
      </c>
      <c r="AV1111" s="1313" t="s">
        <v>137</v>
      </c>
      <c r="AW1111" s="1323" t="s">
        <v>138</v>
      </c>
      <c r="AX1111" s="1339" t="s">
        <v>151</v>
      </c>
      <c r="AY1111" s="61" t="str">
        <f>IFERROR(__xludf.DUMMYFUNCTION("vlookup(BB1111,importrange(""https://docs.google.com/spreadsheets/d/1d2vevQ_7D_v35q4wCQ4RpQ_IPoTwEMB9Yp6ymwlPqew/edit?gid=984458430#gid=984458430"", ""'replication success'!A:K""), 11, FAlSE)"),"")</f>
        <v/>
      </c>
      <c r="AZ1111" s="61" t="str">
        <f>IFERROR(__xludf.DUMMYFUNCTION("vlookup(BB1111,importrange(""https://docs.google.com/spreadsheets/d/1d2vevQ_7D_v35q4wCQ4RpQ_IPoTwEMB9Yp6ymwlPqew/edit?gid=984458430#gid=984458430"", ""'replication success'!A:M""), 12, FAlSE)"),"")</f>
        <v/>
      </c>
      <c r="BA1111" s="61" t="str">
        <f>IFERROR(__xludf.DUMMYFUNCTION("vlookup(BB1111,importrange(""https://docs.google.com/spreadsheets/d/1d2vevQ_7D_v35q4wCQ4RpQ_IPoTwEMB9Yp6ymwlPqew/edit?gid=984458430#gid=984458430"",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v>
      </c>
      <c r="BB1111" s="61" t="str">
        <f>IFERROR(__xludf.DUMMYFUNCTION("REGEXREPLACE(G1111, ""_[a-z]{1,2}$"", """")"),"Boyce_etal202364")</f>
        <v>Boyce_etal202364</v>
      </c>
      <c r="BD1111" s="1322" t="s">
        <v>5605</v>
      </c>
    </row>
    <row r="1112">
      <c r="A1112" s="44">
        <v>1112.0</v>
      </c>
      <c r="B1112" s="129" t="s">
        <v>114</v>
      </c>
      <c r="C1112" s="62" t="s">
        <v>115</v>
      </c>
      <c r="D1112" s="62" t="s">
        <v>248</v>
      </c>
      <c r="E1112" s="365"/>
      <c r="F1112" s="126" t="s">
        <v>6095</v>
      </c>
      <c r="G1112" s="119" t="s">
        <v>6096</v>
      </c>
      <c r="H1112" s="140" t="s">
        <v>249</v>
      </c>
      <c r="I1112" s="317">
        <v>45666.0</v>
      </c>
      <c r="J1112" s="1326">
        <v>45692.0</v>
      </c>
      <c r="K1112" s="140" t="s">
        <v>6108</v>
      </c>
      <c r="L1112" s="125" t="s">
        <v>6109</v>
      </c>
      <c r="M1112" s="140" t="s">
        <v>6099</v>
      </c>
      <c r="N1112" s="140" t="s">
        <v>6100</v>
      </c>
      <c r="O1112" s="125"/>
      <c r="P1112" s="1364" t="str">
        <f> SUBSTITUTE(lower(N1112), "/", "--") &amp;  ".pdf"</f>
        <v>10.1111--ecin.12470.pdf</v>
      </c>
      <c r="Q1112" s="52" t="str">
        <f t="array" ref="Q1112"> if(iserror(MATCH(V1112, 'File Links'!C:C, 0)), "N/A", HYPERLINK(INDEX('File Links'!B:B, MATCH(P1112, 'File Links'!C:C, 0))))</f>
        <v>https://drive.google.com/file/d/1_3kOREsSMo-zmS04srVes69SaYsErPmR/view?usp=drivesdk</v>
      </c>
      <c r="R1112" s="140" t="s">
        <v>6110</v>
      </c>
      <c r="S1112" s="159" t="s">
        <v>3654</v>
      </c>
      <c r="T1112" s="147" t="s">
        <v>138</v>
      </c>
      <c r="U1112" s="147" t="s">
        <v>138</v>
      </c>
      <c r="V1112" s="198" t="str">
        <f t="shared" si="57"/>
        <v>10.1098--rsos.231240.pdf</v>
      </c>
      <c r="W1112" s="140" t="s">
        <v>3693</v>
      </c>
      <c r="X1112" s="54" t="str">
        <f t="array" ref="X1112"> if(iserror(MATCH(V1112, 'File Links'!C:C, 0)), "N/A", HYPERLINK(INDEX('File Links'!B:B, MATCH(V1112, 'File Links'!C:C, 0))))</f>
        <v>https://drive.google.com/file/d/17gaf2Zy_ljFfcAEDk5L8GBnTl5i7RGJE/view?usp=drivesdk</v>
      </c>
      <c r="Y1112" s="125"/>
      <c r="Z1112" s="140" t="s">
        <v>210</v>
      </c>
      <c r="AA1112" s="125"/>
      <c r="AB1112" s="125"/>
      <c r="AC1112" s="125"/>
      <c r="AD1112" s="140" t="s">
        <v>6105</v>
      </c>
      <c r="AE1112" s="782">
        <v>1210.0</v>
      </c>
      <c r="AF1112" s="782">
        <v>484.0</v>
      </c>
      <c r="AG1112" s="782">
        <v>0.618</v>
      </c>
      <c r="AH1112" s="140" t="s">
        <v>173</v>
      </c>
      <c r="AI1112" s="140" t="s">
        <v>6111</v>
      </c>
      <c r="AJ1112" s="133">
        <v>0.001</v>
      </c>
      <c r="AK1112" s="126" t="s">
        <v>135</v>
      </c>
      <c r="AL1112" s="126" t="s">
        <v>186</v>
      </c>
      <c r="AM1112" s="140" t="s">
        <v>137</v>
      </c>
      <c r="AN1112" s="1322" t="s">
        <v>138</v>
      </c>
      <c r="AO1112" s="782">
        <v>102.0</v>
      </c>
      <c r="AP1112" s="140" t="s">
        <v>138</v>
      </c>
      <c r="AQ1112" s="125"/>
      <c r="AR1112" s="1322" t="s">
        <v>5604</v>
      </c>
      <c r="AS1112" s="140" t="s">
        <v>138</v>
      </c>
      <c r="AT1112" s="125"/>
      <c r="AU1112" s="140" t="s">
        <v>186</v>
      </c>
      <c r="AV1112" s="140" t="s">
        <v>137</v>
      </c>
      <c r="AW1112" s="1323" t="s">
        <v>138</v>
      </c>
      <c r="AX1112" s="670" t="s">
        <v>143</v>
      </c>
      <c r="AY1112" s="61" t="str">
        <f>IFERROR(__xludf.DUMMYFUNCTION("vlookup(BB1112,importrange(""https://docs.google.com/spreadsheets/d/1d2vevQ_7D_v35q4wCQ4RpQ_IPoTwEMB9Yp6ymwlPqew/edit?gid=984458430#gid=984458430"", ""'replication success'!A:K""), 11, FAlSE)"),"")</f>
        <v/>
      </c>
      <c r="AZ1112" s="61" t="str">
        <f>IFERROR(__xludf.DUMMYFUNCTION("vlookup(BB1112,importrange(""https://docs.google.com/spreadsheets/d/1d2vevQ_7D_v35q4wCQ4RpQ_IPoTwEMB9Yp6ymwlPqew/edit?gid=984458430#gid=984458430"", ""'replication success'!A:M""), 12, FAlSE)"),"")</f>
        <v/>
      </c>
      <c r="BA1112" s="61" t="str">
        <f>IFERROR(__xludf.DUMMYFUNCTION("vlookup(BB1112,importrange(""https://docs.google.com/spreadsheets/d/1d2vevQ_7D_v35q4wCQ4RpQ_IPoTwEMB9Yp6ymwlPqew/edit?gid=984458430#gid=984458430"",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43041589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v>
      </c>
      <c r="BB1112" s="61" t="str">
        <f>IFERROR(__xludf.DUMMYFUNCTION("REGEXREPLACE(G1112, ""_[a-z]{1,2}$"", """")"),"Boyce_etal202364")</f>
        <v>Boyce_etal202364</v>
      </c>
      <c r="BD1112" s="1322" t="s">
        <v>5605</v>
      </c>
    </row>
    <row r="1113">
      <c r="A1113" s="44">
        <v>1113.0</v>
      </c>
      <c r="B1113" s="68" t="s">
        <v>590</v>
      </c>
      <c r="C1113" s="62" t="s">
        <v>115</v>
      </c>
      <c r="D1113" s="62" t="s">
        <v>145</v>
      </c>
      <c r="E1113" s="365"/>
      <c r="F1113" s="1313" t="s">
        <v>6112</v>
      </c>
      <c r="G1113" s="1314" t="s">
        <v>6113</v>
      </c>
      <c r="H1113" s="1315" t="s">
        <v>5592</v>
      </c>
      <c r="I1113" s="1316">
        <v>45690.0</v>
      </c>
      <c r="J1113" s="1317">
        <v>45692.0</v>
      </c>
      <c r="K1113" s="1313" t="s">
        <v>6114</v>
      </c>
      <c r="L1113" s="1313" t="s">
        <v>6115</v>
      </c>
      <c r="M1113" s="1315" t="s">
        <v>6116</v>
      </c>
      <c r="N1113" s="1315" t="s">
        <v>6117</v>
      </c>
      <c r="O1113" s="1318">
        <v>3.0</v>
      </c>
      <c r="P1113" s="1315" t="s">
        <v>6118</v>
      </c>
      <c r="Q1113" s="52" t="str">
        <f t="array" ref="Q1113"> if(iserror(MATCH(V1113, 'File Links'!C:C, 0)), "N/A", HYPERLINK(INDEX('File Links'!B:B, MATCH(P1113, 'File Links'!C:C, 0))))</f>
        <v>https://drive.google.com/file/d/1lOqUFhZvkowPd-Ne3aczCZ30vQ08jqm-/view?usp=drivesdk</v>
      </c>
      <c r="R1113" s="1315" t="s">
        <v>3653</v>
      </c>
      <c r="S1113" s="159" t="s">
        <v>3654</v>
      </c>
      <c r="T1113" s="147" t="s">
        <v>138</v>
      </c>
      <c r="U1113" s="147" t="s">
        <v>138</v>
      </c>
      <c r="V1113" s="198" t="str">
        <f t="shared" si="57"/>
        <v>10.1098--rsos.231240.pdf</v>
      </c>
      <c r="W1113" s="140" t="s">
        <v>3804</v>
      </c>
      <c r="X1113" s="54" t="str">
        <f t="array" ref="X1113"> if(iserror(MATCH(V1113, 'File Links'!C:C, 0)), "N/A", HYPERLINK(INDEX('File Links'!B:B, MATCH(V1113, 'File Links'!C:C, 0))))</f>
        <v>https://drive.google.com/file/d/17gaf2Zy_ljFfcAEDk5L8GBnTl5i7RGJE/view?usp=drivesdk</v>
      </c>
      <c r="Y1113" s="1313"/>
      <c r="Z1113" s="1354" t="s">
        <v>210</v>
      </c>
      <c r="AA1113" s="1313" t="s">
        <v>6119</v>
      </c>
      <c r="AB1113" s="1313" t="s">
        <v>6120</v>
      </c>
      <c r="AC1113" s="1315" t="s">
        <v>6121</v>
      </c>
      <c r="AD1113" s="1313" t="s">
        <v>6122</v>
      </c>
      <c r="AE1113" s="1341">
        <v>8.0</v>
      </c>
      <c r="AF1113" s="1318">
        <v>108.0</v>
      </c>
      <c r="AG1113" s="1313" t="s">
        <v>6123</v>
      </c>
      <c r="AH1113" s="1313" t="s">
        <v>134</v>
      </c>
      <c r="AI1113" s="1313" t="s">
        <v>5733</v>
      </c>
      <c r="AJ1113" s="1325">
        <v>0.05</v>
      </c>
      <c r="AK1113" s="1321" t="s">
        <v>135</v>
      </c>
      <c r="AL1113" s="1321" t="s">
        <v>186</v>
      </c>
      <c r="AM1113" s="1313" t="s">
        <v>137</v>
      </c>
      <c r="AN1113" s="1365" t="s">
        <v>6124</v>
      </c>
      <c r="AO1113" s="1318">
        <v>110.0</v>
      </c>
      <c r="AP1113" s="1313" t="s">
        <v>6125</v>
      </c>
      <c r="AQ1113" s="1313" t="s">
        <v>134</v>
      </c>
      <c r="AR1113" s="1322" t="s">
        <v>5604</v>
      </c>
      <c r="AS1113" s="1313" t="s">
        <v>1535</v>
      </c>
      <c r="AT1113" s="1313" t="s">
        <v>1535</v>
      </c>
      <c r="AU1113" s="1313" t="s">
        <v>186</v>
      </c>
      <c r="AV1113" s="1313" t="s">
        <v>137</v>
      </c>
      <c r="AW1113" s="1323" t="s">
        <v>138</v>
      </c>
      <c r="AX1113" s="1339" t="s">
        <v>143</v>
      </c>
      <c r="AY1113" s="61" t="str">
        <f>IFERROR(__xludf.DUMMYFUNCTION("vlookup(BB1113,importrange(""https://docs.google.com/spreadsheets/d/1d2vevQ_7D_v35q4wCQ4RpQ_IPoTwEMB9Yp6ymwlPqew/edit?gid=984458430#gid=984458430"", ""'replication success'!A:K""), 11, FAlSE)"),"#N/A")</f>
        <v>#N/A</v>
      </c>
      <c r="AZ1113" s="61" t="str">
        <f>IFERROR(__xludf.DUMMYFUNCTION("vlookup(BB1113,importrange(""https://docs.google.com/spreadsheets/d/1d2vevQ_7D_v35q4wCQ4RpQ_IPoTwEMB9Yp6ymwlPqew/edit?gid=984458430#gid=984458430"", ""'replication success'!A:M""), 12, FAlSE)"),"#N/A")</f>
        <v>#N/A</v>
      </c>
      <c r="BA1113" s="61" t="str">
        <f>IFERROR(__xludf.DUMMYFUNCTION("vlookup(BB1113,importrange(""https://docs.google.com/spreadsheets/d/1d2vevQ_7D_v35q4wCQ4RpQ_IPoTwEMB9Yp6ymwlPqew/edit?gid=984458430#gid=984458430"", ""'replication success'!A:M""), 13, FAlSE)"),"#N/A")</f>
        <v>#N/A</v>
      </c>
      <c r="BB1113" s="61" t="str">
        <f>IFERROR(__xludf.DUMMYFUNCTION("REGEXREPLACE(G1113, ""_[a-z]{1,2}$"", """")"),"Boyce_etal202365")</f>
        <v>Boyce_etal202365</v>
      </c>
      <c r="BD1113" s="1322" t="s">
        <v>5605</v>
      </c>
    </row>
    <row r="1114">
      <c r="A1114" s="44">
        <v>1114.0</v>
      </c>
      <c r="B1114" s="68" t="s">
        <v>590</v>
      </c>
      <c r="C1114" s="62" t="s">
        <v>115</v>
      </c>
      <c r="D1114" s="62" t="s">
        <v>145</v>
      </c>
      <c r="E1114" s="365"/>
      <c r="F1114" s="1313" t="s">
        <v>6112</v>
      </c>
      <c r="G1114" s="1314" t="s">
        <v>6126</v>
      </c>
      <c r="H1114" s="1315" t="s">
        <v>5592</v>
      </c>
      <c r="I1114" s="1316">
        <v>45690.0</v>
      </c>
      <c r="J1114" s="1317">
        <v>45692.0</v>
      </c>
      <c r="K1114" s="1313" t="s">
        <v>6114</v>
      </c>
      <c r="L1114" s="1313" t="s">
        <v>6115</v>
      </c>
      <c r="M1114" s="1315" t="s">
        <v>6116</v>
      </c>
      <c r="N1114" s="1315" t="s">
        <v>6117</v>
      </c>
      <c r="O1114" s="1318">
        <v>3.0</v>
      </c>
      <c r="P1114" s="1315" t="s">
        <v>6118</v>
      </c>
      <c r="Q1114" s="52" t="str">
        <f t="array" ref="Q1114"> if(iserror(MATCH(V1114, 'File Links'!C:C, 0)), "N/A", HYPERLINK(INDEX('File Links'!B:B, MATCH(P1114, 'File Links'!C:C, 0))))</f>
        <v>https://drive.google.com/file/d/1lOqUFhZvkowPd-Ne3aczCZ30vQ08jqm-/view?usp=drivesdk</v>
      </c>
      <c r="R1114" s="1315" t="s">
        <v>3653</v>
      </c>
      <c r="S1114" s="159" t="s">
        <v>3654</v>
      </c>
      <c r="T1114" s="147" t="s">
        <v>138</v>
      </c>
      <c r="U1114" s="147" t="s">
        <v>138</v>
      </c>
      <c r="V1114" s="198" t="str">
        <f t="shared" si="57"/>
        <v>10.1098--rsos.231240.pdf</v>
      </c>
      <c r="W1114" s="140" t="s">
        <v>3804</v>
      </c>
      <c r="X1114" s="54" t="str">
        <f t="array" ref="X1114"> if(iserror(MATCH(V1114, 'File Links'!C:C, 0)), "N/A", HYPERLINK(INDEX('File Links'!B:B, MATCH(V1114, 'File Links'!C:C, 0))))</f>
        <v>https://drive.google.com/file/d/17gaf2Zy_ljFfcAEDk5L8GBnTl5i7RGJE/view?usp=drivesdk</v>
      </c>
      <c r="Y1114" s="1313"/>
      <c r="Z1114" s="1354" t="s">
        <v>210</v>
      </c>
      <c r="AA1114" s="1313" t="s">
        <v>6119</v>
      </c>
      <c r="AB1114" s="1313" t="s">
        <v>6120</v>
      </c>
      <c r="AC1114" s="1315" t="s">
        <v>6127</v>
      </c>
      <c r="AD1114" s="1313" t="s">
        <v>6122</v>
      </c>
      <c r="AE1114" s="1341">
        <v>8.0</v>
      </c>
      <c r="AF1114" s="1318">
        <v>108.0</v>
      </c>
      <c r="AG1114" s="1313" t="s">
        <v>6128</v>
      </c>
      <c r="AH1114" s="1313" t="s">
        <v>134</v>
      </c>
      <c r="AI1114" s="1313" t="s">
        <v>5733</v>
      </c>
      <c r="AJ1114" s="1325">
        <v>0.05</v>
      </c>
      <c r="AK1114" s="1321" t="s">
        <v>135</v>
      </c>
      <c r="AL1114" s="1321" t="s">
        <v>186</v>
      </c>
      <c r="AM1114" s="1313" t="s">
        <v>137</v>
      </c>
      <c r="AN1114" s="1365" t="s">
        <v>6124</v>
      </c>
      <c r="AO1114" s="1318">
        <v>110.0</v>
      </c>
      <c r="AP1114" s="1313" t="s">
        <v>6125</v>
      </c>
      <c r="AQ1114" s="1313" t="s">
        <v>134</v>
      </c>
      <c r="AR1114" s="1322" t="s">
        <v>5604</v>
      </c>
      <c r="AS1114" s="1313" t="s">
        <v>1535</v>
      </c>
      <c r="AT1114" s="1313" t="s">
        <v>1535</v>
      </c>
      <c r="AU1114" s="1313" t="s">
        <v>186</v>
      </c>
      <c r="AV1114" s="1313" t="s">
        <v>137</v>
      </c>
      <c r="AW1114" s="1323" t="s">
        <v>138</v>
      </c>
      <c r="AX1114" s="1313" t="s">
        <v>143</v>
      </c>
      <c r="AY1114" s="61" t="str">
        <f>IFERROR(__xludf.DUMMYFUNCTION("vlookup(BB1114,importrange(""https://docs.google.com/spreadsheets/d/1d2vevQ_7D_v35q4wCQ4RpQ_IPoTwEMB9Yp6ymwlPqew/edit?gid=984458430#gid=984458430"", ""'replication success'!A:K""), 11, FAlSE)"),"#N/A")</f>
        <v>#N/A</v>
      </c>
      <c r="AZ1114" s="61" t="str">
        <f>IFERROR(__xludf.DUMMYFUNCTION("vlookup(BB1114,importrange(""https://docs.google.com/spreadsheets/d/1d2vevQ_7D_v35q4wCQ4RpQ_IPoTwEMB9Yp6ymwlPqew/edit?gid=984458430#gid=984458430"", ""'replication success'!A:M""), 12, FAlSE)"),"#N/A")</f>
        <v>#N/A</v>
      </c>
      <c r="BA1114" s="61" t="str">
        <f>IFERROR(__xludf.DUMMYFUNCTION("vlookup(BB1114,importrange(""https://docs.google.com/spreadsheets/d/1d2vevQ_7D_v35q4wCQ4RpQ_IPoTwEMB9Yp6ymwlPqew/edit?gid=984458430#gid=984458430"", ""'replication success'!A:M""), 13, FAlSE)"),"#N/A")</f>
        <v>#N/A</v>
      </c>
      <c r="BB1114" s="61" t="str">
        <f>IFERROR(__xludf.DUMMYFUNCTION("REGEXREPLACE(G1114, ""_[a-z]{1,2}$"", """")"),"Boyce_etal202365")</f>
        <v>Boyce_etal202365</v>
      </c>
      <c r="BD1114" s="1322" t="s">
        <v>5605</v>
      </c>
    </row>
    <row r="1115">
      <c r="A1115" s="44">
        <v>1115.0</v>
      </c>
      <c r="B1115" s="68" t="s">
        <v>590</v>
      </c>
      <c r="C1115" s="62" t="s">
        <v>115</v>
      </c>
      <c r="D1115" s="62" t="s">
        <v>145</v>
      </c>
      <c r="E1115" s="365"/>
      <c r="F1115" s="1313" t="s">
        <v>6112</v>
      </c>
      <c r="G1115" s="1314" t="s">
        <v>6129</v>
      </c>
      <c r="H1115" s="1315" t="s">
        <v>5592</v>
      </c>
      <c r="I1115" s="1316">
        <v>45690.0</v>
      </c>
      <c r="J1115" s="1317">
        <v>45692.0</v>
      </c>
      <c r="K1115" s="1313" t="s">
        <v>6114</v>
      </c>
      <c r="L1115" s="1313" t="s">
        <v>6115</v>
      </c>
      <c r="M1115" s="1315" t="s">
        <v>6116</v>
      </c>
      <c r="N1115" s="1315" t="s">
        <v>6117</v>
      </c>
      <c r="O1115" s="1318">
        <v>3.0</v>
      </c>
      <c r="P1115" s="1315" t="s">
        <v>6118</v>
      </c>
      <c r="Q1115" s="52" t="str">
        <f t="array" ref="Q1115"> if(iserror(MATCH(V1115, 'File Links'!C:C, 0)), "N/A", HYPERLINK(INDEX('File Links'!B:B, MATCH(P1115, 'File Links'!C:C, 0))))</f>
        <v>https://drive.google.com/file/d/1lOqUFhZvkowPd-Ne3aczCZ30vQ08jqm-/view?usp=drivesdk</v>
      </c>
      <c r="R1115" s="1315" t="s">
        <v>3653</v>
      </c>
      <c r="S1115" s="159" t="s">
        <v>3654</v>
      </c>
      <c r="T1115" s="147" t="s">
        <v>138</v>
      </c>
      <c r="U1115" s="147" t="s">
        <v>138</v>
      </c>
      <c r="V1115" s="198" t="str">
        <f t="shared" si="57"/>
        <v>10.1098--rsos.231240.pdf</v>
      </c>
      <c r="W1115" s="140" t="s">
        <v>3804</v>
      </c>
      <c r="X1115" s="54" t="str">
        <f t="array" ref="X1115"> if(iserror(MATCH(V1115, 'File Links'!C:C, 0)), "N/A", HYPERLINK(INDEX('File Links'!B:B, MATCH(V1115, 'File Links'!C:C, 0))))</f>
        <v>https://drive.google.com/file/d/17gaf2Zy_ljFfcAEDk5L8GBnTl5i7RGJE/view?usp=drivesdk</v>
      </c>
      <c r="Y1115" s="1313"/>
      <c r="Z1115" s="1354" t="s">
        <v>210</v>
      </c>
      <c r="AA1115" s="1313" t="s">
        <v>6119</v>
      </c>
      <c r="AB1115" s="1313" t="s">
        <v>6120</v>
      </c>
      <c r="AC1115" s="1315" t="s">
        <v>6130</v>
      </c>
      <c r="AD1115" s="1313" t="s">
        <v>6122</v>
      </c>
      <c r="AE1115" s="1341">
        <v>8.0</v>
      </c>
      <c r="AF1115" s="1318">
        <v>108.0</v>
      </c>
      <c r="AG1115" s="1313" t="s">
        <v>6131</v>
      </c>
      <c r="AH1115" s="1313" t="s">
        <v>134</v>
      </c>
      <c r="AI1115" s="1313" t="s">
        <v>5733</v>
      </c>
      <c r="AJ1115" s="1325">
        <v>0.05</v>
      </c>
      <c r="AK1115" s="1321" t="s">
        <v>135</v>
      </c>
      <c r="AL1115" s="1321" t="s">
        <v>186</v>
      </c>
      <c r="AM1115" s="1313" t="s">
        <v>137</v>
      </c>
      <c r="AN1115" s="1365" t="s">
        <v>6124</v>
      </c>
      <c r="AO1115" s="1318">
        <v>110.0</v>
      </c>
      <c r="AP1115" s="1313" t="s">
        <v>6125</v>
      </c>
      <c r="AQ1115" s="1313" t="s">
        <v>134</v>
      </c>
      <c r="AR1115" s="1322" t="s">
        <v>5604</v>
      </c>
      <c r="AS1115" s="1313" t="s">
        <v>1535</v>
      </c>
      <c r="AT1115" s="1313" t="s">
        <v>1535</v>
      </c>
      <c r="AU1115" s="1313" t="s">
        <v>186</v>
      </c>
      <c r="AV1115" s="1313" t="s">
        <v>137</v>
      </c>
      <c r="AW1115" s="1323" t="s">
        <v>138</v>
      </c>
      <c r="AX1115" s="1339" t="s">
        <v>143</v>
      </c>
      <c r="AY1115" s="61" t="str">
        <f>IFERROR(__xludf.DUMMYFUNCTION("vlookup(BB1115,importrange(""https://docs.google.com/spreadsheets/d/1d2vevQ_7D_v35q4wCQ4RpQ_IPoTwEMB9Yp6ymwlPqew/edit?gid=984458430#gid=984458430"", ""'replication success'!A:K""), 11, FAlSE)"),"#N/A")</f>
        <v>#N/A</v>
      </c>
      <c r="AZ1115" s="61" t="str">
        <f>IFERROR(__xludf.DUMMYFUNCTION("vlookup(BB1115,importrange(""https://docs.google.com/spreadsheets/d/1d2vevQ_7D_v35q4wCQ4RpQ_IPoTwEMB9Yp6ymwlPqew/edit?gid=984458430#gid=984458430"", ""'replication success'!A:M""), 12, FAlSE)"),"#N/A")</f>
        <v>#N/A</v>
      </c>
      <c r="BA1115" s="61" t="str">
        <f>IFERROR(__xludf.DUMMYFUNCTION("vlookup(BB1115,importrange(""https://docs.google.com/spreadsheets/d/1d2vevQ_7D_v35q4wCQ4RpQ_IPoTwEMB9Yp6ymwlPqew/edit?gid=984458430#gid=984458430"", ""'replication success'!A:M""), 13, FAlSE)"),"#N/A")</f>
        <v>#N/A</v>
      </c>
      <c r="BB1115" s="61" t="str">
        <f>IFERROR(__xludf.DUMMYFUNCTION("REGEXREPLACE(G1115, ""_[a-z]{1,2}$"", """")"),"Boyce_etal202365")</f>
        <v>Boyce_etal202365</v>
      </c>
      <c r="BD1115" s="1322" t="s">
        <v>5605</v>
      </c>
    </row>
    <row r="1116">
      <c r="A1116" s="44">
        <v>1116.0</v>
      </c>
      <c r="B1116" s="68" t="s">
        <v>590</v>
      </c>
      <c r="C1116" s="62" t="s">
        <v>115</v>
      </c>
      <c r="D1116" s="62" t="s">
        <v>145</v>
      </c>
      <c r="E1116" s="365"/>
      <c r="F1116" s="1313" t="s">
        <v>6112</v>
      </c>
      <c r="G1116" s="1314" t="s">
        <v>6132</v>
      </c>
      <c r="H1116" s="1315" t="s">
        <v>5592</v>
      </c>
      <c r="I1116" s="1316">
        <v>45690.0</v>
      </c>
      <c r="J1116" s="1317">
        <v>45692.0</v>
      </c>
      <c r="K1116" s="1313" t="s">
        <v>6114</v>
      </c>
      <c r="L1116" s="1313" t="s">
        <v>6115</v>
      </c>
      <c r="M1116" s="1315" t="s">
        <v>6116</v>
      </c>
      <c r="N1116" s="1315" t="s">
        <v>6117</v>
      </c>
      <c r="O1116" s="1318">
        <v>3.0</v>
      </c>
      <c r="P1116" s="1315" t="s">
        <v>6118</v>
      </c>
      <c r="Q1116" s="52" t="str">
        <f t="array" ref="Q1116"> if(iserror(MATCH(V1116, 'File Links'!C:C, 0)), "N/A", HYPERLINK(INDEX('File Links'!B:B, MATCH(P1116, 'File Links'!C:C, 0))))</f>
        <v>https://drive.google.com/file/d/1lOqUFhZvkowPd-Ne3aczCZ30vQ08jqm-/view?usp=drivesdk</v>
      </c>
      <c r="R1116" s="1315" t="s">
        <v>3653</v>
      </c>
      <c r="S1116" s="159" t="s">
        <v>3654</v>
      </c>
      <c r="T1116" s="147" t="s">
        <v>138</v>
      </c>
      <c r="U1116" s="147" t="s">
        <v>138</v>
      </c>
      <c r="V1116" s="198" t="str">
        <f t="shared" si="57"/>
        <v>10.1098--rsos.231240.pdf</v>
      </c>
      <c r="W1116" s="140" t="s">
        <v>3804</v>
      </c>
      <c r="X1116" s="54" t="str">
        <f t="array" ref="X1116"> if(iserror(MATCH(V1116, 'File Links'!C:C, 0)), "N/A", HYPERLINK(INDEX('File Links'!B:B, MATCH(V1116, 'File Links'!C:C, 0))))</f>
        <v>https://drive.google.com/file/d/17gaf2Zy_ljFfcAEDk5L8GBnTl5i7RGJE/view?usp=drivesdk</v>
      </c>
      <c r="Y1116" s="1313"/>
      <c r="Z1116" s="1354" t="s">
        <v>210</v>
      </c>
      <c r="AA1116" s="1313" t="s">
        <v>6119</v>
      </c>
      <c r="AB1116" s="1313" t="s">
        <v>6120</v>
      </c>
      <c r="AC1116" s="1315" t="s">
        <v>6133</v>
      </c>
      <c r="AD1116" s="1313" t="s">
        <v>6122</v>
      </c>
      <c r="AE1116" s="1341">
        <v>8.0</v>
      </c>
      <c r="AF1116" s="1318">
        <v>108.0</v>
      </c>
      <c r="AG1116" s="1313" t="s">
        <v>6134</v>
      </c>
      <c r="AH1116" s="1313" t="s">
        <v>134</v>
      </c>
      <c r="AI1116" s="1313" t="s">
        <v>5733</v>
      </c>
      <c r="AJ1116" s="1325">
        <v>0.05</v>
      </c>
      <c r="AK1116" s="1321" t="s">
        <v>135</v>
      </c>
      <c r="AL1116" s="1321" t="s">
        <v>186</v>
      </c>
      <c r="AM1116" s="1313" t="s">
        <v>137</v>
      </c>
      <c r="AN1116" s="1365" t="s">
        <v>6124</v>
      </c>
      <c r="AO1116" s="1318">
        <v>110.0</v>
      </c>
      <c r="AP1116" s="1313" t="s">
        <v>6125</v>
      </c>
      <c r="AQ1116" s="1313" t="s">
        <v>134</v>
      </c>
      <c r="AR1116" s="1322" t="s">
        <v>5604</v>
      </c>
      <c r="AS1116" s="1313" t="s">
        <v>1535</v>
      </c>
      <c r="AT1116" s="1313" t="s">
        <v>1535</v>
      </c>
      <c r="AU1116" s="1313" t="s">
        <v>186</v>
      </c>
      <c r="AV1116" s="1313" t="s">
        <v>137</v>
      </c>
      <c r="AW1116" s="1323" t="s">
        <v>138</v>
      </c>
      <c r="AX1116" s="1313" t="s">
        <v>143</v>
      </c>
      <c r="AY1116" s="61" t="str">
        <f>IFERROR(__xludf.DUMMYFUNCTION("vlookup(BB1116,importrange(""https://docs.google.com/spreadsheets/d/1d2vevQ_7D_v35q4wCQ4RpQ_IPoTwEMB9Yp6ymwlPqew/edit?gid=984458430#gid=984458430"", ""'replication success'!A:K""), 11, FAlSE)"),"#N/A")</f>
        <v>#N/A</v>
      </c>
      <c r="AZ1116" s="61" t="str">
        <f>IFERROR(__xludf.DUMMYFUNCTION("vlookup(BB1116,importrange(""https://docs.google.com/spreadsheets/d/1d2vevQ_7D_v35q4wCQ4RpQ_IPoTwEMB9Yp6ymwlPqew/edit?gid=984458430#gid=984458430"", ""'replication success'!A:M""), 12, FAlSE)"),"#N/A")</f>
        <v>#N/A</v>
      </c>
      <c r="BA1116" s="61" t="str">
        <f>IFERROR(__xludf.DUMMYFUNCTION("vlookup(BB1116,importrange(""https://docs.google.com/spreadsheets/d/1d2vevQ_7D_v35q4wCQ4RpQ_IPoTwEMB9Yp6ymwlPqew/edit?gid=984458430#gid=984458430"", ""'replication success'!A:M""), 13, FAlSE)"),"#N/A")</f>
        <v>#N/A</v>
      </c>
      <c r="BB1116" s="61" t="str">
        <f>IFERROR(__xludf.DUMMYFUNCTION("REGEXREPLACE(G1116, ""_[a-z]{1,2}$"", """")"),"Boyce_etal202365")</f>
        <v>Boyce_etal202365</v>
      </c>
      <c r="BD1116" s="1322" t="s">
        <v>5605</v>
      </c>
    </row>
    <row r="1117">
      <c r="A1117" s="44">
        <v>1117.0</v>
      </c>
      <c r="B1117" s="68" t="s">
        <v>590</v>
      </c>
      <c r="C1117" s="62" t="s">
        <v>115</v>
      </c>
      <c r="D1117" s="62" t="s">
        <v>248</v>
      </c>
      <c r="E1117" s="365"/>
      <c r="F1117" s="126" t="s">
        <v>6112</v>
      </c>
      <c r="G1117" s="119" t="s">
        <v>6113</v>
      </c>
      <c r="H1117" s="140" t="s">
        <v>249</v>
      </c>
      <c r="I1117" s="317">
        <v>45666.0</v>
      </c>
      <c r="J1117" s="1326">
        <v>45692.0</v>
      </c>
      <c r="K1117" s="140" t="s">
        <v>6135</v>
      </c>
      <c r="L1117" s="125" t="s">
        <v>6115</v>
      </c>
      <c r="M1117" s="140" t="s">
        <v>6116</v>
      </c>
      <c r="N1117" s="140" t="s">
        <v>6117</v>
      </c>
      <c r="O1117" s="125"/>
      <c r="P1117" s="140" t="str">
        <f t="shared" ref="P1117:P1121" si="68"> SUBSTITUTE(lower(N1117), "/", "--") &amp;  ".pdf"</f>
        <v>10.1145--3290605.3300469.pdf</v>
      </c>
      <c r="Q1117" s="52" t="str">
        <f t="array" ref="Q1117"> if(iserror(MATCH(V1117, 'File Links'!C:C, 0)), "N/A", HYPERLINK(INDEX('File Links'!B:B, MATCH(P1117, 'File Links'!C:C, 0))))</f>
        <v>https://drive.google.com/file/d/1lOqUFhZvkowPd-Ne3aczCZ30vQ08jqm-/view?usp=drivesdk</v>
      </c>
      <c r="R1117" s="140" t="s">
        <v>6136</v>
      </c>
      <c r="S1117" s="159" t="s">
        <v>3654</v>
      </c>
      <c r="T1117" s="147" t="s">
        <v>138</v>
      </c>
      <c r="U1117" s="147" t="s">
        <v>138</v>
      </c>
      <c r="V1117" s="198" t="str">
        <f t="shared" si="57"/>
        <v>10.1098--rsos.231240.pdf</v>
      </c>
      <c r="W1117" s="140" t="s">
        <v>3804</v>
      </c>
      <c r="X1117" s="54" t="str">
        <f t="array" ref="X1117"> if(iserror(MATCH(V1117, 'File Links'!C:C, 0)), "N/A", HYPERLINK(INDEX('File Links'!B:B, MATCH(V1117, 'File Links'!C:C, 0))))</f>
        <v>https://drive.google.com/file/d/17gaf2Zy_ljFfcAEDk5L8GBnTl5i7RGJE/view?usp=drivesdk</v>
      </c>
      <c r="Y1117" s="125"/>
      <c r="Z1117" s="140" t="s">
        <v>210</v>
      </c>
      <c r="AA1117" s="125"/>
      <c r="AB1117" s="125"/>
      <c r="AC1117" s="125"/>
      <c r="AD1117" s="140" t="s">
        <v>6137</v>
      </c>
      <c r="AE1117" s="782">
        <v>8.0</v>
      </c>
      <c r="AF1117" s="496">
        <v>208.0</v>
      </c>
      <c r="AG1117" s="140" t="s">
        <v>138</v>
      </c>
      <c r="AH1117" s="125"/>
      <c r="AI1117" s="140" t="s">
        <v>604</v>
      </c>
      <c r="AJ1117" s="133">
        <v>0.001</v>
      </c>
      <c r="AK1117" s="126" t="s">
        <v>135</v>
      </c>
      <c r="AL1117" s="126" t="s">
        <v>186</v>
      </c>
      <c r="AM1117" s="140" t="s">
        <v>141</v>
      </c>
      <c r="AN1117" s="1349" t="s">
        <v>6138</v>
      </c>
      <c r="AO1117" s="782">
        <v>110.0</v>
      </c>
      <c r="AP1117" s="140" t="s">
        <v>138</v>
      </c>
      <c r="AQ1117" s="125"/>
      <c r="AR1117" s="1322" t="s">
        <v>5604</v>
      </c>
      <c r="AS1117" s="140" t="s">
        <v>138</v>
      </c>
      <c r="AT1117" s="125"/>
      <c r="AU1117" s="140" t="s">
        <v>186</v>
      </c>
      <c r="AV1117" s="140" t="s">
        <v>141</v>
      </c>
      <c r="AW1117" s="1323" t="s">
        <v>138</v>
      </c>
      <c r="AX1117" s="670" t="s">
        <v>143</v>
      </c>
      <c r="AY1117" s="61" t="str">
        <f>IFERROR(__xludf.DUMMYFUNCTION("vlookup(BB1117,importrange(""https://docs.google.com/spreadsheets/d/1d2vevQ_7D_v35q4wCQ4RpQ_IPoTwEMB9Yp6ymwlPqew/edit?gid=984458430#gid=984458430"", ""'replication success'!A:K""), 11, FAlSE)"),"#N/A")</f>
        <v>#N/A</v>
      </c>
      <c r="AZ1117" s="61" t="str">
        <f>IFERROR(__xludf.DUMMYFUNCTION("vlookup(BB1117,importrange(""https://docs.google.com/spreadsheets/d/1d2vevQ_7D_v35q4wCQ4RpQ_IPoTwEMB9Yp6ymwlPqew/edit?gid=984458430#gid=984458430"", ""'replication success'!A:M""), 12, FAlSE)"),"#N/A")</f>
        <v>#N/A</v>
      </c>
      <c r="BA1117" s="61" t="str">
        <f>IFERROR(__xludf.DUMMYFUNCTION("vlookup(BB1117,importrange(""https://docs.google.com/spreadsheets/d/1d2vevQ_7D_v35q4wCQ4RpQ_IPoTwEMB9Yp6ymwlPqew/edit?gid=984458430#gid=984458430"", ""'replication success'!A:M""), 13, FAlSE)"),"#N/A")</f>
        <v>#N/A</v>
      </c>
      <c r="BB1117" s="61" t="str">
        <f>IFERROR(__xludf.DUMMYFUNCTION("REGEXREPLACE(G1117, ""_[a-z]{1,2}$"", """")"),"Boyce_etal202365")</f>
        <v>Boyce_etal202365</v>
      </c>
      <c r="BD1117" s="1322" t="s">
        <v>5605</v>
      </c>
    </row>
    <row r="1118">
      <c r="A1118" s="44">
        <v>1118.0</v>
      </c>
      <c r="B1118" s="129" t="s">
        <v>152</v>
      </c>
      <c r="C1118" s="62" t="s">
        <v>115</v>
      </c>
      <c r="D1118" s="62" t="s">
        <v>145</v>
      </c>
      <c r="E1118" s="365"/>
      <c r="F1118" s="1313" t="s">
        <v>6139</v>
      </c>
      <c r="G1118" s="1314" t="s">
        <v>6140</v>
      </c>
      <c r="H1118" s="1315" t="s">
        <v>5592</v>
      </c>
      <c r="I1118" s="1316">
        <v>45690.0</v>
      </c>
      <c r="J1118" s="1317">
        <v>45692.0</v>
      </c>
      <c r="K1118" s="1313"/>
      <c r="L1118" s="1313" t="s">
        <v>5594</v>
      </c>
      <c r="M1118" s="1315" t="s">
        <v>6141</v>
      </c>
      <c r="N1118" s="1313" t="s">
        <v>6142</v>
      </c>
      <c r="O1118" s="1318">
        <v>5.0</v>
      </c>
      <c r="P1118" s="140" t="str">
        <f t="shared" si="68"/>
        <v>10.1037--xge0001195.pdf</v>
      </c>
      <c r="Q1118" s="52" t="str">
        <f t="array" ref="Q1118"> if(iserror(MATCH(V1118, 'File Links'!C:C, 0)), "N/A", HYPERLINK(INDEX('File Links'!B:B, MATCH(P1118, 'File Links'!C:C, 0))))</f>
        <v>https://drive.google.com/file/d/1v6kgKeSqXz-kIHf5HXexB2cCnGBup8pu/view?usp=drivesdk</v>
      </c>
      <c r="R1118" s="1315" t="s">
        <v>3653</v>
      </c>
      <c r="S1118" s="159" t="s">
        <v>3654</v>
      </c>
      <c r="T1118" s="147" t="s">
        <v>138</v>
      </c>
      <c r="U1118" s="147" t="s">
        <v>138</v>
      </c>
      <c r="V1118" s="198" t="str">
        <f t="shared" si="57"/>
        <v>10.1098--rsos.231240.pdf</v>
      </c>
      <c r="W1118" s="140" t="s">
        <v>3804</v>
      </c>
      <c r="X1118" s="54" t="str">
        <f t="array" ref="X1118"> if(iserror(MATCH(V1118, 'File Links'!C:C, 0)), "N/A", HYPERLINK(INDEX('File Links'!B:B, MATCH(V1118, 'File Links'!C:C, 0))))</f>
        <v>https://drive.google.com/file/d/17gaf2Zy_ljFfcAEDk5L8GBnTl5i7RGJE/view?usp=drivesdk</v>
      </c>
      <c r="Y1118" s="1313"/>
      <c r="Z1118" s="1315" t="s">
        <v>148</v>
      </c>
      <c r="AA1118" s="374" t="s">
        <v>138</v>
      </c>
      <c r="AB1118" s="1313" t="s">
        <v>6143</v>
      </c>
      <c r="AC1118" s="1315" t="s">
        <v>6144</v>
      </c>
      <c r="AD1118" s="1313" t="s">
        <v>6145</v>
      </c>
      <c r="AE1118" s="1313" t="s">
        <v>6146</v>
      </c>
      <c r="AF1118" s="1318">
        <v>144.0</v>
      </c>
      <c r="AG1118" s="1322" t="s">
        <v>6147</v>
      </c>
      <c r="AH1118" s="1322" t="s">
        <v>6148</v>
      </c>
      <c r="AI1118" s="1313" t="s">
        <v>140</v>
      </c>
      <c r="AJ1118" s="1322" t="s">
        <v>138</v>
      </c>
      <c r="AK1118" s="1336" t="s">
        <v>138</v>
      </c>
      <c r="AL1118" s="1321" t="s">
        <v>186</v>
      </c>
      <c r="AM1118" s="1313" t="s">
        <v>137</v>
      </c>
      <c r="AN1118" s="1365" t="s">
        <v>6149</v>
      </c>
      <c r="AO1118" s="1318">
        <v>147.0</v>
      </c>
      <c r="AP1118" s="1322" t="s">
        <v>6150</v>
      </c>
      <c r="AQ1118" s="1322" t="s">
        <v>6148</v>
      </c>
      <c r="AR1118" s="1322" t="s">
        <v>5604</v>
      </c>
      <c r="AS1118" s="1322" t="s">
        <v>138</v>
      </c>
      <c r="AT1118" s="219" t="s">
        <v>138</v>
      </c>
      <c r="AU1118" s="1313" t="s">
        <v>186</v>
      </c>
      <c r="AV1118" s="1313" t="s">
        <v>137</v>
      </c>
      <c r="AW1118" s="1323" t="s">
        <v>138</v>
      </c>
      <c r="AX1118" s="1339" t="s">
        <v>143</v>
      </c>
      <c r="AY1118" s="61" t="str">
        <f>IFERROR(__xludf.DUMMYFUNCTION("vlookup(BB1118,importrange(""https://docs.google.com/spreadsheets/d/1d2vevQ_7D_v35q4wCQ4RpQ_IPoTwEMB9Yp6ymwlPqew/edit?gid=984458430#gid=984458430"", ""'replication success'!A:K""), 11, FAlSE)"),"")</f>
        <v/>
      </c>
      <c r="AZ1118" s="61" t="str">
        <f>IFERROR(__xludf.DUMMYFUNCTION("vlookup(BB1118,importrange(""https://docs.google.com/spreadsheets/d/1d2vevQ_7D_v35q4wCQ4RpQ_IPoTwEMB9Yp6ymwlPqew/edit?gid=984458430#gid=984458430"", ""'replication success'!A:M""), 12, FAlSE)"),"")</f>
        <v/>
      </c>
      <c r="BA1118" s="61" t="str">
        <f>IFERROR(__xludf.DUMMYFUNCTION("vlookup(BB1118,importrange(""https://docs.google.com/spreadsheets/d/1d2vevQ_7D_v35q4wCQ4RpQ_IPoTwEMB9Yp6ymwlPqew/edit?gid=984458430#gid=984458430"",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v>
      </c>
      <c r="BB1118" s="61" t="str">
        <f>IFERROR(__xludf.DUMMYFUNCTION("REGEXREPLACE(G1118, ""_[a-z]{1,2}$"", """")"),"Boyce_etal202366")</f>
        <v>Boyce_etal202366</v>
      </c>
      <c r="BD1118" s="1322" t="s">
        <v>5605</v>
      </c>
    </row>
    <row r="1119">
      <c r="A1119" s="44">
        <v>1119.0</v>
      </c>
      <c r="B1119" s="68" t="s">
        <v>114</v>
      </c>
      <c r="C1119" s="62" t="s">
        <v>115</v>
      </c>
      <c r="D1119" s="62" t="s">
        <v>248</v>
      </c>
      <c r="E1119" s="365"/>
      <c r="F1119" s="126" t="s">
        <v>6139</v>
      </c>
      <c r="G1119" s="119" t="s">
        <v>6140</v>
      </c>
      <c r="H1119" s="140" t="s">
        <v>249</v>
      </c>
      <c r="I1119" s="317">
        <v>45666.0</v>
      </c>
      <c r="J1119" s="1326">
        <v>45692.0</v>
      </c>
      <c r="K1119" s="140" t="s">
        <v>3683</v>
      </c>
      <c r="L1119" s="125" t="s">
        <v>5594</v>
      </c>
      <c r="M1119" s="140" t="s">
        <v>6141</v>
      </c>
      <c r="N1119" s="140" t="s">
        <v>6142</v>
      </c>
      <c r="O1119" s="125"/>
      <c r="P1119" s="140" t="str">
        <f t="shared" si="68"/>
        <v>10.1037--xge0001195.pdf</v>
      </c>
      <c r="Q1119" s="52" t="str">
        <f t="array" ref="Q1119"> if(iserror(MATCH(V1119, 'File Links'!C:C, 0)), "N/A", HYPERLINK(INDEX('File Links'!B:B, MATCH(P1119, 'File Links'!C:C, 0))))</f>
        <v>https://drive.google.com/file/d/1v6kgKeSqXz-kIHf5HXexB2cCnGBup8pu/view?usp=drivesdk</v>
      </c>
      <c r="R1119" s="140" t="s">
        <v>6151</v>
      </c>
      <c r="S1119" s="159" t="s">
        <v>3654</v>
      </c>
      <c r="T1119" s="147" t="s">
        <v>138</v>
      </c>
      <c r="U1119" s="147" t="s">
        <v>138</v>
      </c>
      <c r="V1119" s="198" t="str">
        <f t="shared" si="57"/>
        <v>10.1098--rsos.231240.pdf</v>
      </c>
      <c r="W1119" s="140" t="s">
        <v>3804</v>
      </c>
      <c r="X1119" s="54" t="str">
        <f t="array" ref="X1119"> if(iserror(MATCH(V1119, 'File Links'!C:C, 0)), "N/A", HYPERLINK(INDEX('File Links'!B:B, MATCH(V1119, 'File Links'!C:C, 0))))</f>
        <v>https://drive.google.com/file/d/17gaf2Zy_ljFfcAEDk5L8GBnTl5i7RGJE/view?usp=drivesdk</v>
      </c>
      <c r="Y1119" s="125"/>
      <c r="Z1119" s="140" t="s">
        <v>148</v>
      </c>
      <c r="AA1119" s="125"/>
      <c r="AB1119" s="125"/>
      <c r="AC1119" s="125"/>
      <c r="AD1119" s="140" t="s">
        <v>138</v>
      </c>
      <c r="AE1119" s="140" t="s">
        <v>138</v>
      </c>
      <c r="AF1119" s="782">
        <v>144.0</v>
      </c>
      <c r="AG1119" s="125"/>
      <c r="AH1119" s="125"/>
      <c r="AI1119" s="140" t="s">
        <v>138</v>
      </c>
      <c r="AJ1119" s="318"/>
      <c r="AK1119" s="132"/>
      <c r="AL1119" s="126" t="s">
        <v>186</v>
      </c>
      <c r="AM1119" s="140" t="s">
        <v>1905</v>
      </c>
      <c r="AN1119" s="1349" t="s">
        <v>6152</v>
      </c>
      <c r="AO1119" s="782">
        <v>147.0</v>
      </c>
      <c r="AP1119" s="140" t="s">
        <v>138</v>
      </c>
      <c r="AQ1119" s="125"/>
      <c r="AR1119" s="1322" t="s">
        <v>5604</v>
      </c>
      <c r="AS1119" s="140" t="s">
        <v>138</v>
      </c>
      <c r="AT1119" s="125"/>
      <c r="AU1119" s="140" t="s">
        <v>186</v>
      </c>
      <c r="AV1119" s="140" t="s">
        <v>1905</v>
      </c>
      <c r="AW1119" s="1323" t="s">
        <v>138</v>
      </c>
      <c r="AX1119" s="670" t="s">
        <v>143</v>
      </c>
      <c r="AY1119" s="61" t="str">
        <f>IFERROR(__xludf.DUMMYFUNCTION("vlookup(BB1119,importrange(""https://docs.google.com/spreadsheets/d/1d2vevQ_7D_v35q4wCQ4RpQ_IPoTwEMB9Yp6ymwlPqew/edit?gid=984458430#gid=984458430"", ""'replication success'!A:K""), 11, FAlSE)"),"")</f>
        <v/>
      </c>
      <c r="AZ1119" s="61" t="str">
        <f>IFERROR(__xludf.DUMMYFUNCTION("vlookup(BB1119,importrange(""https://docs.google.com/spreadsheets/d/1d2vevQ_7D_v35q4wCQ4RpQ_IPoTwEMB9Yp6ymwlPqew/edit?gid=984458430#gid=984458430"", ""'replication success'!A:M""), 12, FAlSE)"),"")</f>
        <v/>
      </c>
      <c r="BA1119" s="61" t="str">
        <f>IFERROR(__xludf.DUMMYFUNCTION("vlookup(BB1119,importrange(""https://docs.google.com/spreadsheets/d/1d2vevQ_7D_v35q4wCQ4RpQ_IPoTwEMB9Yp6ymwlPqew/edit?gid=984458430#gid=984458430"",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v>
      </c>
      <c r="BB1119" s="61" t="str">
        <f>IFERROR(__xludf.DUMMYFUNCTION("REGEXREPLACE(G1119, ""_[a-z]{1,2}$"", """")"),"Boyce_etal202366")</f>
        <v>Boyce_etal202366</v>
      </c>
      <c r="BD1119" s="1322" t="s">
        <v>5605</v>
      </c>
    </row>
    <row r="1120">
      <c r="A1120" s="44">
        <v>1120.0</v>
      </c>
      <c r="B1120" s="129" t="s">
        <v>152</v>
      </c>
      <c r="C1120" s="62" t="s">
        <v>115</v>
      </c>
      <c r="D1120" s="62" t="s">
        <v>145</v>
      </c>
      <c r="E1120" s="365"/>
      <c r="F1120" s="1313" t="s">
        <v>6153</v>
      </c>
      <c r="G1120" s="1314" t="s">
        <v>6154</v>
      </c>
      <c r="H1120" s="1315" t="s">
        <v>5592</v>
      </c>
      <c r="I1120" s="1316">
        <v>45690.0</v>
      </c>
      <c r="J1120" s="1317">
        <v>45692.0</v>
      </c>
      <c r="K1120" s="1313"/>
      <c r="L1120" s="1322" t="s">
        <v>6155</v>
      </c>
      <c r="M1120" s="1315" t="s">
        <v>6156</v>
      </c>
      <c r="N1120" s="1313" t="s">
        <v>6157</v>
      </c>
      <c r="O1120" s="1318">
        <v>2.0</v>
      </c>
      <c r="P1120" s="140" t="str">
        <f t="shared" si="68"/>
        <v>10.1016--j.jml.2006.02.004.pdf</v>
      </c>
      <c r="Q1120" s="52" t="str">
        <f t="array" ref="Q1120"> if(iserror(MATCH(V1120, 'File Links'!C:C, 0)), "N/A", HYPERLINK(INDEX('File Links'!B:B, MATCH(P1120, 'File Links'!C:C, 0))))</f>
        <v>https://drive.google.com/file/d/1e5Wm6ChazDKUJftaKFfLoaBKNbaofYfP/view?usp=drivesdk</v>
      </c>
      <c r="R1120" s="1315" t="s">
        <v>3653</v>
      </c>
      <c r="S1120" s="159" t="s">
        <v>3654</v>
      </c>
      <c r="T1120" s="147" t="s">
        <v>138</v>
      </c>
      <c r="U1120" s="147" t="s">
        <v>138</v>
      </c>
      <c r="V1120" s="198" t="str">
        <f t="shared" si="57"/>
        <v>10.1098--rsos.231240.pdf</v>
      </c>
      <c r="W1120" s="140" t="s">
        <v>324</v>
      </c>
      <c r="X1120" s="54" t="str">
        <f t="array" ref="X1120"> if(iserror(MATCH(V1120, 'File Links'!C:C, 0)), "N/A", HYPERLINK(INDEX('File Links'!B:B, MATCH(V1120, 'File Links'!C:C, 0))))</f>
        <v>https://drive.google.com/file/d/17gaf2Zy_ljFfcAEDk5L8GBnTl5i7RGJE/view?usp=drivesdk</v>
      </c>
      <c r="Y1120" s="1313"/>
      <c r="Z1120" s="1315" t="s">
        <v>148</v>
      </c>
      <c r="AA1120" s="374" t="s">
        <v>138</v>
      </c>
      <c r="AB1120" s="1313" t="s">
        <v>6158</v>
      </c>
      <c r="AC1120" s="1315" t="s">
        <v>6159</v>
      </c>
      <c r="AD1120" s="1313" t="s">
        <v>6160</v>
      </c>
      <c r="AE1120" s="1313" t="s">
        <v>5987</v>
      </c>
      <c r="AF1120" s="1318">
        <v>60.0</v>
      </c>
      <c r="AG1120" s="1357" t="s">
        <v>6161</v>
      </c>
      <c r="AH1120" s="1336" t="s">
        <v>134</v>
      </c>
      <c r="AI1120" s="140" t="s">
        <v>1888</v>
      </c>
      <c r="AJ1120" s="133">
        <v>0.001</v>
      </c>
      <c r="AK1120" s="126" t="s">
        <v>135</v>
      </c>
      <c r="AL1120" s="126" t="s">
        <v>186</v>
      </c>
      <c r="AM1120" s="140" t="s">
        <v>141</v>
      </c>
      <c r="AN1120" s="1322" t="s">
        <v>138</v>
      </c>
      <c r="AO1120" s="1318">
        <v>39.0</v>
      </c>
      <c r="AP1120" s="1341">
        <v>0.256674071435679</v>
      </c>
      <c r="AQ1120" s="1313" t="s">
        <v>173</v>
      </c>
      <c r="AR1120" s="1322" t="s">
        <v>5604</v>
      </c>
      <c r="AS1120" s="1341">
        <v>0.0281747341040883</v>
      </c>
      <c r="AT1120" s="1313" t="s">
        <v>172</v>
      </c>
      <c r="AU1120" s="1313" t="s">
        <v>186</v>
      </c>
      <c r="AV1120" s="140" t="s">
        <v>141</v>
      </c>
      <c r="AW1120" s="1323" t="s">
        <v>138</v>
      </c>
      <c r="AX1120" s="1339" t="s">
        <v>143</v>
      </c>
      <c r="AY1120" s="61" t="str">
        <f>IFERROR(__xludf.DUMMYFUNCTION("vlookup(BB1120,importrange(""https://docs.google.com/spreadsheets/d/1d2vevQ_7D_v35q4wCQ4RpQ_IPoTwEMB9Yp6ymwlPqew/edit?gid=984458430#gid=984458430"", ""'replication success'!A:K""), 11, FAlSE)"),"successful")</f>
        <v>successful</v>
      </c>
      <c r="AZ1120" s="61" t="str">
        <f>IFERROR(__xludf.DUMMYFUNCTION("vlookup(BB1120,importrange(""https://docs.google.com/spreadsheets/d/1d2vevQ_7D_v35q4wCQ4RpQ_IPoTwEMB9Yp6ymwlPqew/edit?gid=984458430#gid=984458430"",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20" s="61" t="str">
        <f>IFERROR(__xludf.DUMMYFUNCTION("vlookup(BB1120,importrange(""https://docs.google.com/spreadsheets/d/1d2vevQ_7D_v35q4wCQ4RpQ_IPoTwEMB9Yp6ymwlPqew/edit?gid=984458430#gid=984458430"",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v>
      </c>
      <c r="BB1120" s="61" t="str">
        <f>IFERROR(__xludf.DUMMYFUNCTION("REGEXREPLACE(G1120, ""_[a-z]{1,2}$"", """")"),"Boyce_etal202367")</f>
        <v>Boyce_etal202367</v>
      </c>
      <c r="BD1120" s="1322" t="s">
        <v>5605</v>
      </c>
    </row>
    <row r="1121">
      <c r="A1121" s="44">
        <v>1121.0</v>
      </c>
      <c r="B1121" s="129" t="s">
        <v>114</v>
      </c>
      <c r="C1121" s="62" t="s">
        <v>115</v>
      </c>
      <c r="D1121" s="62" t="s">
        <v>248</v>
      </c>
      <c r="E1121" s="365"/>
      <c r="F1121" s="126" t="s">
        <v>6153</v>
      </c>
      <c r="G1121" s="119" t="s">
        <v>6154</v>
      </c>
      <c r="H1121" s="140" t="s">
        <v>249</v>
      </c>
      <c r="I1121" s="317">
        <v>45666.0</v>
      </c>
      <c r="J1121" s="1326">
        <v>45692.0</v>
      </c>
      <c r="K1121" s="125"/>
      <c r="L1121" s="125" t="s">
        <v>5594</v>
      </c>
      <c r="M1121" s="140" t="s">
        <v>6156</v>
      </c>
      <c r="N1121" s="140" t="s">
        <v>6157</v>
      </c>
      <c r="O1121" s="125"/>
      <c r="P1121" s="140" t="str">
        <f t="shared" si="68"/>
        <v>10.1016--j.jml.2006.02.004.pdf</v>
      </c>
      <c r="Q1121" s="52" t="str">
        <f t="array" ref="Q1121"> if(iserror(MATCH(V1121, 'File Links'!C:C, 0)), "N/A", HYPERLINK(INDEX('File Links'!B:B, MATCH(P1121, 'File Links'!C:C, 0))))</f>
        <v>https://drive.google.com/file/d/1e5Wm6ChazDKUJftaKFfLoaBKNbaofYfP/view?usp=drivesdk</v>
      </c>
      <c r="R1121" s="140" t="s">
        <v>6162</v>
      </c>
      <c r="S1121" s="159" t="s">
        <v>3654</v>
      </c>
      <c r="T1121" s="147" t="s">
        <v>138</v>
      </c>
      <c r="U1121" s="147" t="s">
        <v>138</v>
      </c>
      <c r="V1121" s="198" t="str">
        <f t="shared" si="57"/>
        <v>10.1098--rsos.231240.pdf</v>
      </c>
      <c r="W1121" s="140" t="s">
        <v>324</v>
      </c>
      <c r="X1121" s="54" t="str">
        <f t="array" ref="X1121"> if(iserror(MATCH(V1121, 'File Links'!C:C, 0)), "N/A", HYPERLINK(INDEX('File Links'!B:B, MATCH(V1121, 'File Links'!C:C, 0))))</f>
        <v>https://drive.google.com/file/d/17gaf2Zy_ljFfcAEDk5L8GBnTl5i7RGJE/view?usp=drivesdk</v>
      </c>
      <c r="Y1121" s="125"/>
      <c r="Z1121" s="140" t="s">
        <v>148</v>
      </c>
      <c r="AA1121" s="125"/>
      <c r="AB1121" s="140" t="s">
        <v>6163</v>
      </c>
      <c r="AC1121" s="125"/>
      <c r="AD1121" s="119" t="s">
        <v>6164</v>
      </c>
      <c r="AE1121" s="140" t="s">
        <v>6165</v>
      </c>
      <c r="AF1121" s="782">
        <v>60.0</v>
      </c>
      <c r="AG1121" s="378" t="s">
        <v>6166</v>
      </c>
      <c r="AH1121" s="119" t="s">
        <v>134</v>
      </c>
      <c r="AI1121" s="140" t="s">
        <v>1888</v>
      </c>
      <c r="AJ1121" s="133">
        <v>0.001</v>
      </c>
      <c r="AK1121" s="126" t="s">
        <v>135</v>
      </c>
      <c r="AL1121" s="126" t="s">
        <v>186</v>
      </c>
      <c r="AM1121" s="140" t="s">
        <v>141</v>
      </c>
      <c r="AN1121" s="1322" t="s">
        <v>138</v>
      </c>
      <c r="AO1121" s="782">
        <v>39.0</v>
      </c>
      <c r="AP1121" s="782">
        <v>0.256674071435679</v>
      </c>
      <c r="AQ1121" s="140" t="s">
        <v>173</v>
      </c>
      <c r="AR1121" s="1322" t="s">
        <v>5604</v>
      </c>
      <c r="AS1121" s="782">
        <v>0.0281747341040883</v>
      </c>
      <c r="AT1121" s="140" t="s">
        <v>172</v>
      </c>
      <c r="AU1121" s="140" t="s">
        <v>186</v>
      </c>
      <c r="AV1121" s="140" t="s">
        <v>141</v>
      </c>
      <c r="AW1121" s="1323" t="s">
        <v>138</v>
      </c>
      <c r="AX1121" s="670" t="s">
        <v>143</v>
      </c>
      <c r="AY1121" s="61" t="str">
        <f>IFERROR(__xludf.DUMMYFUNCTION("vlookup(BB1121,importrange(""https://docs.google.com/spreadsheets/d/1d2vevQ_7D_v35q4wCQ4RpQ_IPoTwEMB9Yp6ymwlPqew/edit?gid=984458430#gid=984458430"", ""'replication success'!A:K""), 11, FAlSE)"),"successful")</f>
        <v>successful</v>
      </c>
      <c r="AZ1121" s="61" t="str">
        <f>IFERROR(__xludf.DUMMYFUNCTION("vlookup(BB1121,importrange(""https://docs.google.com/spreadsheets/d/1d2vevQ_7D_v35q4wCQ4RpQ_IPoTwEMB9Yp6ymwlPqew/edit?gid=984458430#gid=984458430"",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21" s="61" t="str">
        <f>IFERROR(__xludf.DUMMYFUNCTION("vlookup(BB1121,importrange(""https://docs.google.com/spreadsheets/d/1d2vevQ_7D_v35q4wCQ4RpQ_IPoTwEMB9Yp6ymwlPqew/edit?gid=984458430#gid=984458430"",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v>
      </c>
      <c r="BB1121" s="61" t="str">
        <f>IFERROR(__xludf.DUMMYFUNCTION("REGEXREPLACE(G1121, ""_[a-z]{1,2}$"", """")"),"Boyce_etal202367")</f>
        <v>Boyce_etal202367</v>
      </c>
      <c r="BD1121" s="1322" t="s">
        <v>5605</v>
      </c>
    </row>
    <row r="1122">
      <c r="A1122" s="44">
        <v>1122.0</v>
      </c>
      <c r="B1122" s="129" t="s">
        <v>114</v>
      </c>
      <c r="C1122" s="62" t="s">
        <v>115</v>
      </c>
      <c r="D1122" s="62" t="s">
        <v>145</v>
      </c>
      <c r="E1122" s="365"/>
      <c r="F1122" s="1313" t="s">
        <v>6167</v>
      </c>
      <c r="G1122" s="1314" t="s">
        <v>6168</v>
      </c>
      <c r="H1122" s="1315" t="s">
        <v>5592</v>
      </c>
      <c r="I1122" s="1316">
        <v>45690.0</v>
      </c>
      <c r="J1122" s="1317">
        <v>45692.0</v>
      </c>
      <c r="K1122" s="1313" t="s">
        <v>5944</v>
      </c>
      <c r="L1122" s="1313" t="s">
        <v>5594</v>
      </c>
      <c r="M1122" s="1315" t="s">
        <v>6169</v>
      </c>
      <c r="N1122" s="1315" t="s">
        <v>6170</v>
      </c>
      <c r="O1122" s="1318">
        <v>3.0</v>
      </c>
      <c r="P1122" s="1315" t="s">
        <v>6171</v>
      </c>
      <c r="Q1122" s="52" t="str">
        <f t="array" ref="Q1122"> if(iserror(MATCH(V1122, 'File Links'!C:C, 0)), "N/A", HYPERLINK(INDEX('File Links'!B:B, MATCH(P1122, 'File Links'!C:C, 0))))</f>
        <v>https://drive.google.com/file/d/14l2Iyllp2BRKK4GUgjOnaxtE-5V5_oxZ/view?usp=drivesdk</v>
      </c>
      <c r="R1122" s="1315" t="s">
        <v>3653</v>
      </c>
      <c r="S1122" s="159" t="s">
        <v>3654</v>
      </c>
      <c r="T1122" s="147" t="s">
        <v>138</v>
      </c>
      <c r="U1122" s="147" t="s">
        <v>138</v>
      </c>
      <c r="V1122" s="198" t="str">
        <f t="shared" si="57"/>
        <v>10.1098--rsos.231240.pdf</v>
      </c>
      <c r="W1122" s="140" t="s">
        <v>3804</v>
      </c>
      <c r="X1122" s="54" t="str">
        <f t="array" ref="X1122"> if(iserror(MATCH(V1122, 'File Links'!C:C, 0)), "N/A", HYPERLINK(INDEX('File Links'!B:B, MATCH(V1122, 'File Links'!C:C, 0))))</f>
        <v>https://drive.google.com/file/d/17gaf2Zy_ljFfcAEDk5L8GBnTl5i7RGJE/view?usp=drivesdk</v>
      </c>
      <c r="Y1122" s="1313"/>
      <c r="Z1122" s="1315" t="s">
        <v>226</v>
      </c>
      <c r="AA1122" s="1313" t="s">
        <v>1535</v>
      </c>
      <c r="AB1122" s="1313" t="s">
        <v>6172</v>
      </c>
      <c r="AC1122" s="1315" t="s">
        <v>6173</v>
      </c>
      <c r="AD1122" s="1313" t="s">
        <v>6174</v>
      </c>
      <c r="AE1122" s="1313" t="s">
        <v>5645</v>
      </c>
      <c r="AF1122" s="1318">
        <v>451.0</v>
      </c>
      <c r="AG1122" s="1341">
        <v>0.106</v>
      </c>
      <c r="AH1122" s="1313" t="s">
        <v>139</v>
      </c>
      <c r="AI1122" s="1313" t="s">
        <v>132</v>
      </c>
      <c r="AJ1122" s="1345">
        <v>0.001</v>
      </c>
      <c r="AK1122" s="1321" t="s">
        <v>135</v>
      </c>
      <c r="AL1122" s="1321" t="s">
        <v>186</v>
      </c>
      <c r="AM1122" s="1313" t="s">
        <v>137</v>
      </c>
      <c r="AN1122" s="1322" t="s">
        <v>138</v>
      </c>
      <c r="AO1122" s="1318">
        <v>338.0</v>
      </c>
      <c r="AP1122" s="1341">
        <v>0.0817102066054265</v>
      </c>
      <c r="AQ1122" s="1313" t="s">
        <v>173</v>
      </c>
      <c r="AR1122" s="1322" t="s">
        <v>5604</v>
      </c>
      <c r="AS1122" s="1341">
        <v>0.134553425569185</v>
      </c>
      <c r="AT1122" s="1313" t="s">
        <v>172</v>
      </c>
      <c r="AU1122" s="1313" t="s">
        <v>186</v>
      </c>
      <c r="AV1122" s="1313" t="s">
        <v>137</v>
      </c>
      <c r="AW1122" s="1323" t="s">
        <v>138</v>
      </c>
      <c r="AX1122" s="1339" t="s">
        <v>143</v>
      </c>
      <c r="AY1122" s="61" t="str">
        <f>IFERROR(__xludf.DUMMYFUNCTION("vlookup(BB1122,importrange(""https://docs.google.com/spreadsheets/d/1d2vevQ_7D_v35q4wCQ4RpQ_IPoTwEMB9Yp6ymwlPqew/edit?gid=984458430#gid=984458430"", ""'replication success'!A:K""), 11, FAlSE)"),"successful")</f>
        <v>successful</v>
      </c>
      <c r="AZ1122" s="61" t="str">
        <f>IFERROR(__xludf.DUMMYFUNCTION("vlookup(BB1122,importrange(""https://docs.google.com/spreadsheets/d/1d2vevQ_7D_v35q4wCQ4RpQ_IPoTwEMB9Yp6ymwlPqew/edit?gid=984458430#gid=984458430"",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22" s="61" t="str">
        <f>IFERROR(__xludf.DUMMYFUNCTION("vlookup(BB1122,importrange(""https://docs.google.com/spreadsheets/d/1d2vevQ_7D_v35q4wCQ4RpQ_IPoTwEMB9Yp6ymwlPqew/edit?gid=984458430#gid=984458430"",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v>
      </c>
      <c r="BB1122" s="61" t="str">
        <f>IFERROR(__xludf.DUMMYFUNCTION("REGEXREPLACE(G1122, ""_[a-z]{1,2}$"", """")"),"Boyce_etal202368")</f>
        <v>Boyce_etal202368</v>
      </c>
      <c r="BD1122" s="1322" t="s">
        <v>5605</v>
      </c>
    </row>
    <row r="1123">
      <c r="A1123" s="44">
        <v>1123.0</v>
      </c>
      <c r="B1123" s="129" t="s">
        <v>152</v>
      </c>
      <c r="C1123" s="62" t="s">
        <v>115</v>
      </c>
      <c r="D1123" s="62" t="s">
        <v>248</v>
      </c>
      <c r="E1123" s="365"/>
      <c r="F1123" s="126" t="s">
        <v>6167</v>
      </c>
      <c r="G1123" s="119" t="s">
        <v>6168</v>
      </c>
      <c r="H1123" s="140" t="s">
        <v>249</v>
      </c>
      <c r="I1123" s="317">
        <v>45666.0</v>
      </c>
      <c r="J1123" s="1326">
        <v>45692.0</v>
      </c>
      <c r="K1123" s="125"/>
      <c r="L1123" s="219" t="s">
        <v>6175</v>
      </c>
      <c r="M1123" s="140" t="s">
        <v>6169</v>
      </c>
      <c r="N1123" s="140" t="s">
        <v>6170</v>
      </c>
      <c r="O1123" s="125"/>
      <c r="P1123" s="140" t="str">
        <f t="shared" ref="P1123:P1124" si="69"> SUBSTITUTE(lower(N1123), "/", "--") &amp;  ".pdf"</f>
        <v>10.1177--0956797616685771.pdf</v>
      </c>
      <c r="Q1123" s="52" t="str">
        <f t="array" ref="Q1123"> if(iserror(MATCH(V1123, 'File Links'!C:C, 0)), "N/A", HYPERLINK(INDEX('File Links'!B:B, MATCH(P1123, 'File Links'!C:C, 0))))</f>
        <v>https://drive.google.com/file/d/14l2Iyllp2BRKK4GUgjOnaxtE-5V5_oxZ/view?usp=drivesdk</v>
      </c>
      <c r="R1123" s="140" t="s">
        <v>6176</v>
      </c>
      <c r="S1123" s="159" t="s">
        <v>3654</v>
      </c>
      <c r="T1123" s="147" t="s">
        <v>138</v>
      </c>
      <c r="U1123" s="147" t="s">
        <v>138</v>
      </c>
      <c r="V1123" s="198" t="str">
        <f t="shared" si="57"/>
        <v>10.1098--rsos.231240.pdf</v>
      </c>
      <c r="W1123" s="140" t="s">
        <v>3804</v>
      </c>
      <c r="X1123" s="54" t="str">
        <f t="array" ref="X1123"> if(iserror(MATCH(V1123, 'File Links'!C:C, 0)), "N/A", HYPERLINK(INDEX('File Links'!B:B, MATCH(V1123, 'File Links'!C:C, 0))))</f>
        <v>https://drive.google.com/file/d/17gaf2Zy_ljFfcAEDk5L8GBnTl5i7RGJE/view?usp=drivesdk</v>
      </c>
      <c r="Y1123" s="125"/>
      <c r="Z1123" s="140" t="s">
        <v>226</v>
      </c>
      <c r="AA1123" s="125"/>
      <c r="AB1123" s="125"/>
      <c r="AC1123" s="125"/>
      <c r="AD1123" s="119" t="s">
        <v>6177</v>
      </c>
      <c r="AE1123" s="1313" t="s">
        <v>5645</v>
      </c>
      <c r="AF1123" s="782">
        <v>451.0</v>
      </c>
      <c r="AG1123" s="758">
        <v>-0.26</v>
      </c>
      <c r="AH1123" s="140" t="s">
        <v>173</v>
      </c>
      <c r="AI1123" s="119" t="s">
        <v>6178</v>
      </c>
      <c r="AJ1123" s="133">
        <v>0.025</v>
      </c>
      <c r="AK1123" s="126" t="s">
        <v>172</v>
      </c>
      <c r="AL1123" s="126" t="s">
        <v>186</v>
      </c>
      <c r="AM1123" s="140" t="s">
        <v>137</v>
      </c>
      <c r="AN1123" s="1322" t="s">
        <v>138</v>
      </c>
      <c r="AO1123" s="782">
        <v>338.0</v>
      </c>
      <c r="AP1123" s="782">
        <v>0.0817102066054265</v>
      </c>
      <c r="AQ1123" s="140" t="s">
        <v>173</v>
      </c>
      <c r="AR1123" s="1322" t="s">
        <v>5604</v>
      </c>
      <c r="AS1123" s="1366">
        <v>0.134553425569185</v>
      </c>
      <c r="AT1123" s="140" t="s">
        <v>172</v>
      </c>
      <c r="AU1123" s="140" t="s">
        <v>186</v>
      </c>
      <c r="AV1123" s="140" t="s">
        <v>137</v>
      </c>
      <c r="AW1123" s="1323" t="s">
        <v>138</v>
      </c>
      <c r="AX1123" s="670" t="s">
        <v>143</v>
      </c>
      <c r="AY1123" s="61" t="str">
        <f>IFERROR(__xludf.DUMMYFUNCTION("vlookup(BB1123,importrange(""https://docs.google.com/spreadsheets/d/1d2vevQ_7D_v35q4wCQ4RpQ_IPoTwEMB9Yp6ymwlPqew/edit?gid=984458430#gid=984458430"", ""'replication success'!A:K""), 11, FAlSE)"),"successful")</f>
        <v>successful</v>
      </c>
      <c r="AZ1123" s="61" t="str">
        <f>IFERROR(__xludf.DUMMYFUNCTION("vlookup(BB1123,importrange(""https://docs.google.com/spreadsheets/d/1d2vevQ_7D_v35q4wCQ4RpQ_IPoTwEMB9Yp6ymwlPqew/edit?gid=984458430#gid=984458430"",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23" s="61" t="str">
        <f>IFERROR(__xludf.DUMMYFUNCTION("vlookup(BB1123,importrange(""https://docs.google.com/spreadsheets/d/1d2vevQ_7D_v35q4wCQ4RpQ_IPoTwEMB9Yp6ymwlPqew/edit?gid=984458430#gid=984458430"",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v>
      </c>
      <c r="BB1123" s="61" t="str">
        <f>IFERROR(__xludf.DUMMYFUNCTION("REGEXREPLACE(G1123, ""_[a-z]{1,2}$"", """")"),"Boyce_etal202368")</f>
        <v>Boyce_etal202368</v>
      </c>
      <c r="BD1123" s="1322" t="s">
        <v>5605</v>
      </c>
    </row>
    <row r="1124">
      <c r="A1124" s="44">
        <v>1124.0</v>
      </c>
      <c r="B1124" s="129" t="s">
        <v>152</v>
      </c>
      <c r="C1124" s="62" t="s">
        <v>115</v>
      </c>
      <c r="D1124" s="62" t="s">
        <v>248</v>
      </c>
      <c r="E1124" s="365"/>
      <c r="F1124" s="126" t="s">
        <v>6167</v>
      </c>
      <c r="G1124" s="119" t="s">
        <v>6179</v>
      </c>
      <c r="H1124" s="140" t="s">
        <v>249</v>
      </c>
      <c r="I1124" s="317">
        <v>45666.0</v>
      </c>
      <c r="J1124" s="1326">
        <v>45692.0</v>
      </c>
      <c r="K1124" s="125"/>
      <c r="L1124" s="219" t="s">
        <v>6175</v>
      </c>
      <c r="M1124" s="140" t="s">
        <v>6169</v>
      </c>
      <c r="N1124" s="140" t="s">
        <v>6170</v>
      </c>
      <c r="O1124" s="125"/>
      <c r="P1124" s="140" t="str">
        <f t="shared" si="69"/>
        <v>10.1177--0956797616685771.pdf</v>
      </c>
      <c r="Q1124" s="52" t="str">
        <f t="array" ref="Q1124"> if(iserror(MATCH(V1124, 'File Links'!C:C, 0)), "N/A", HYPERLINK(INDEX('File Links'!B:B, MATCH(P1124, 'File Links'!C:C, 0))))</f>
        <v>https://drive.google.com/file/d/14l2Iyllp2BRKK4GUgjOnaxtE-5V5_oxZ/view?usp=drivesdk</v>
      </c>
      <c r="R1124" s="140" t="s">
        <v>6180</v>
      </c>
      <c r="S1124" s="159" t="s">
        <v>3654</v>
      </c>
      <c r="T1124" s="147" t="s">
        <v>138</v>
      </c>
      <c r="U1124" s="147" t="s">
        <v>138</v>
      </c>
      <c r="V1124" s="198" t="str">
        <f t="shared" si="57"/>
        <v>10.1098--rsos.231240.pdf</v>
      </c>
      <c r="W1124" s="140" t="s">
        <v>3804</v>
      </c>
      <c r="X1124" s="54" t="str">
        <f t="array" ref="X1124"> if(iserror(MATCH(V1124, 'File Links'!C:C, 0)), "N/A", HYPERLINK(INDEX('File Links'!B:B, MATCH(V1124, 'File Links'!C:C, 0))))</f>
        <v>https://drive.google.com/file/d/17gaf2Zy_ljFfcAEDk5L8GBnTl5i7RGJE/view?usp=drivesdk</v>
      </c>
      <c r="Y1124" s="125"/>
      <c r="Z1124" s="140" t="s">
        <v>226</v>
      </c>
      <c r="AA1124" s="125"/>
      <c r="AB1124" s="125"/>
      <c r="AC1124" s="125"/>
      <c r="AD1124" s="119" t="s">
        <v>6181</v>
      </c>
      <c r="AE1124" s="1313" t="s">
        <v>5645</v>
      </c>
      <c r="AF1124" s="782">
        <v>457.0</v>
      </c>
      <c r="AG1124" s="758">
        <v>-0.88</v>
      </c>
      <c r="AH1124" s="140" t="s">
        <v>173</v>
      </c>
      <c r="AI1124" s="140" t="s">
        <v>624</v>
      </c>
      <c r="AJ1124" s="133">
        <v>0.001</v>
      </c>
      <c r="AK1124" s="126" t="s">
        <v>135</v>
      </c>
      <c r="AL1124" s="126" t="s">
        <v>186</v>
      </c>
      <c r="AM1124" s="140" t="s">
        <v>141</v>
      </c>
      <c r="AN1124" s="1322" t="s">
        <v>138</v>
      </c>
      <c r="AO1124" s="782">
        <v>300.0</v>
      </c>
      <c r="AP1124" s="225">
        <v>-0.91</v>
      </c>
      <c r="AQ1124" s="140" t="s">
        <v>173</v>
      </c>
      <c r="AR1124" s="1322" t="s">
        <v>6182</v>
      </c>
      <c r="AS1124" s="1366">
        <v>5.12986065631356E-41</v>
      </c>
      <c r="AT1124" s="140" t="s">
        <v>172</v>
      </c>
      <c r="AU1124" s="140" t="s">
        <v>186</v>
      </c>
      <c r="AV1124" s="140" t="s">
        <v>141</v>
      </c>
      <c r="AW1124" s="1323" t="s">
        <v>138</v>
      </c>
      <c r="AX1124" s="670" t="s">
        <v>143</v>
      </c>
      <c r="AY1124" s="61" t="str">
        <f>IFERROR(__xludf.DUMMYFUNCTION("vlookup(BB1124,importrange(""https://docs.google.com/spreadsheets/d/1d2vevQ_7D_v35q4wCQ4RpQ_IPoTwEMB9Yp6ymwlPqew/edit?gid=984458430#gid=984458430"", ""'replication success'!A:K""), 11, FAlSE)"),"successful")</f>
        <v>successful</v>
      </c>
      <c r="AZ1124" s="61" t="str">
        <f>IFERROR(__xludf.DUMMYFUNCTION("vlookup(BB1124,importrange(""https://docs.google.com/spreadsheets/d/1d2vevQ_7D_v35q4wCQ4RpQ_IPoTwEMB9Yp6ymwlPqew/edit?gid=984458430#gid=984458430"",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24" s="61" t="str">
        <f>IFERROR(__xludf.DUMMYFUNCTION("vlookup(BB1124,importrange(""https://docs.google.com/spreadsheets/d/1d2vevQ_7D_v35q4wCQ4RpQ_IPoTwEMB9Yp6ymwlPqew/edit?gid=984458430#gid=984458430"",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v>
      </c>
      <c r="BB1124" s="61" t="str">
        <f>IFERROR(__xludf.DUMMYFUNCTION("REGEXREPLACE(G1124, ""_[a-z]{1,2}$"", """")"),"Boyce_etal202368")</f>
        <v>Boyce_etal202368</v>
      </c>
      <c r="BD1124" s="1322" t="s">
        <v>5605</v>
      </c>
    </row>
    <row r="1125">
      <c r="A1125" s="44">
        <v>1125.0</v>
      </c>
      <c r="B1125" s="129" t="s">
        <v>152</v>
      </c>
      <c r="C1125" s="62" t="s">
        <v>115</v>
      </c>
      <c r="D1125" s="62" t="s">
        <v>145</v>
      </c>
      <c r="E1125" s="365"/>
      <c r="F1125" s="1313" t="s">
        <v>6183</v>
      </c>
      <c r="G1125" s="1314" t="s">
        <v>6184</v>
      </c>
      <c r="H1125" s="1315" t="s">
        <v>5592</v>
      </c>
      <c r="I1125" s="1316">
        <v>45690.0</v>
      </c>
      <c r="J1125" s="1317">
        <v>45692.0</v>
      </c>
      <c r="K1125" s="1313" t="s">
        <v>5944</v>
      </c>
      <c r="L1125" s="1313" t="s">
        <v>5594</v>
      </c>
      <c r="M1125" s="1315" t="s">
        <v>6169</v>
      </c>
      <c r="N1125" s="1315" t="s">
        <v>6170</v>
      </c>
      <c r="O1125" s="1318">
        <v>4.0</v>
      </c>
      <c r="P1125" s="1315" t="s">
        <v>6171</v>
      </c>
      <c r="Q1125" s="52" t="str">
        <f t="array" ref="Q1125"> if(iserror(MATCH(V1125, 'File Links'!C:C, 0)), "N/A", HYPERLINK(INDEX('File Links'!B:B, MATCH(P1125, 'File Links'!C:C, 0))))</f>
        <v>https://drive.google.com/file/d/14l2Iyllp2BRKK4GUgjOnaxtE-5V5_oxZ/view?usp=drivesdk</v>
      </c>
      <c r="R1125" s="1315" t="s">
        <v>3653</v>
      </c>
      <c r="S1125" s="159" t="s">
        <v>3654</v>
      </c>
      <c r="T1125" s="147" t="s">
        <v>138</v>
      </c>
      <c r="U1125" s="147" t="s">
        <v>138</v>
      </c>
      <c r="V1125" s="198" t="str">
        <f t="shared" si="57"/>
        <v>10.1098--rsos.231240.pdf</v>
      </c>
      <c r="W1125" s="140" t="s">
        <v>3804</v>
      </c>
      <c r="X1125" s="54" t="str">
        <f t="array" ref="X1125"> if(iserror(MATCH(V1125, 'File Links'!C:C, 0)), "N/A", HYPERLINK(INDEX('File Links'!B:B, MATCH(V1125, 'File Links'!C:C, 0))))</f>
        <v>https://drive.google.com/file/d/17gaf2Zy_ljFfcAEDk5L8GBnTl5i7RGJE/view?usp=drivesdk</v>
      </c>
      <c r="Y1125" s="1313"/>
      <c r="Z1125" s="1315" t="s">
        <v>226</v>
      </c>
      <c r="AA1125" s="1313" t="s">
        <v>1535</v>
      </c>
      <c r="AB1125" s="1313" t="s">
        <v>6172</v>
      </c>
      <c r="AC1125" s="1315" t="s">
        <v>6173</v>
      </c>
      <c r="AD1125" s="1313" t="s">
        <v>6185</v>
      </c>
      <c r="AE1125" s="1341">
        <v>9.0</v>
      </c>
      <c r="AF1125" s="1318">
        <v>457.0</v>
      </c>
      <c r="AG1125" s="1341">
        <v>0.137</v>
      </c>
      <c r="AH1125" s="1313" t="s">
        <v>139</v>
      </c>
      <c r="AI1125" s="1313" t="s">
        <v>628</v>
      </c>
      <c r="AJ1125" s="1345">
        <v>0.001</v>
      </c>
      <c r="AK1125" s="1321" t="s">
        <v>135</v>
      </c>
      <c r="AL1125" s="1321" t="s">
        <v>186</v>
      </c>
      <c r="AM1125" s="1313" t="s">
        <v>137</v>
      </c>
      <c r="AN1125" s="1322" t="s">
        <v>138</v>
      </c>
      <c r="AO1125" s="1318">
        <v>300.0</v>
      </c>
      <c r="AP1125" s="1341">
        <v>0.909813508242608</v>
      </c>
      <c r="AQ1125" s="1313" t="s">
        <v>173</v>
      </c>
      <c r="AR1125" s="1322" t="s">
        <v>5604</v>
      </c>
      <c r="AS1125" s="1345">
        <v>5.12986065631356E-41</v>
      </c>
      <c r="AT1125" s="1313" t="s">
        <v>172</v>
      </c>
      <c r="AU1125" s="1313" t="s">
        <v>186</v>
      </c>
      <c r="AV1125" s="1313" t="s">
        <v>137</v>
      </c>
      <c r="AW1125" s="1323" t="s">
        <v>138</v>
      </c>
      <c r="AX1125" s="1339" t="s">
        <v>143</v>
      </c>
      <c r="AY1125" s="61" t="str">
        <f>IFERROR(__xludf.DUMMYFUNCTION("vlookup(BB1125,importrange(""https://docs.google.com/spreadsheets/d/1d2vevQ_7D_v35q4wCQ4RpQ_IPoTwEMB9Yp6ymwlPqew/edit?gid=984458430#gid=984458430"", ""'replication success'!A:K""), 11, FAlSE)"),"#N/A")</f>
        <v>#N/A</v>
      </c>
      <c r="AZ1125" s="61" t="str">
        <f>IFERROR(__xludf.DUMMYFUNCTION("vlookup(BB1125,importrange(""https://docs.google.com/spreadsheets/d/1d2vevQ_7D_v35q4wCQ4RpQ_IPoTwEMB9Yp6ymwlPqew/edit?gid=984458430#gid=984458430"", ""'replication success'!A:M""), 12, FAlSE)"),"#N/A")</f>
        <v>#N/A</v>
      </c>
      <c r="BA1125" s="61" t="str">
        <f>IFERROR(__xludf.DUMMYFUNCTION("vlookup(BB1125,importrange(""https://docs.google.com/spreadsheets/d/1d2vevQ_7D_v35q4wCQ4RpQ_IPoTwEMB9Yp6ymwlPqew/edit?gid=984458430#gid=984458430"", ""'replication success'!A:M""), 13, FAlSE)"),"#N/A")</f>
        <v>#N/A</v>
      </c>
      <c r="BB1125" s="61" t="str">
        <f>IFERROR(__xludf.DUMMYFUNCTION("REGEXREPLACE(G1125, ""_[a-z]{1,2}$"", """")"),"Boyce_etal202369")</f>
        <v>Boyce_etal202369</v>
      </c>
      <c r="BD1125" s="1322" t="s">
        <v>5605</v>
      </c>
    </row>
    <row r="1126">
      <c r="A1126" s="44">
        <v>1126.0</v>
      </c>
      <c r="B1126" s="129" t="s">
        <v>152</v>
      </c>
      <c r="C1126" s="62" t="s">
        <v>115</v>
      </c>
      <c r="D1126" s="62" t="s">
        <v>145</v>
      </c>
      <c r="E1126" s="365"/>
      <c r="F1126" s="1313" t="s">
        <v>6186</v>
      </c>
      <c r="G1126" s="1314" t="s">
        <v>6187</v>
      </c>
      <c r="H1126" s="1315" t="s">
        <v>5592</v>
      </c>
      <c r="I1126" s="1316">
        <v>45690.0</v>
      </c>
      <c r="J1126" s="1317">
        <v>45692.0</v>
      </c>
      <c r="K1126" s="1313"/>
      <c r="L1126" s="1313" t="s">
        <v>6188</v>
      </c>
      <c r="M1126" s="1315" t="s">
        <v>6189</v>
      </c>
      <c r="N1126" s="1315" t="s">
        <v>6190</v>
      </c>
      <c r="O1126" s="1315" t="s">
        <v>6191</v>
      </c>
      <c r="P1126" s="1315" t="s">
        <v>6192</v>
      </c>
      <c r="Q1126" s="52" t="str">
        <f t="array" ref="Q1126"> if(iserror(MATCH(V1126, 'File Links'!C:C, 0)), "N/A", HYPERLINK(INDEX('File Links'!B:B, MATCH(P1126, 'File Links'!C:C, 0))))</f>
        <v>https://drive.google.com/file/d/1sQ8SgRlBMbqW6PR-9YQps9sVh-rL9tXw/view?usp=drivesdk</v>
      </c>
      <c r="R1126" s="1315" t="s">
        <v>3653</v>
      </c>
      <c r="S1126" s="159" t="s">
        <v>3654</v>
      </c>
      <c r="T1126" s="147" t="s">
        <v>138</v>
      </c>
      <c r="U1126" s="147" t="s">
        <v>138</v>
      </c>
      <c r="V1126" s="198" t="str">
        <f t="shared" si="57"/>
        <v>10.1098--rsos.231240.pdf</v>
      </c>
      <c r="W1126" s="140" t="s">
        <v>3804</v>
      </c>
      <c r="X1126" s="54" t="str">
        <f t="array" ref="X1126"> if(iserror(MATCH(V1126, 'File Links'!C:C, 0)), "N/A", HYPERLINK(INDEX('File Links'!B:B, MATCH(V1126, 'File Links'!C:C, 0))))</f>
        <v>https://drive.google.com/file/d/17gaf2Zy_ljFfcAEDk5L8GBnTl5i7RGJE/view?usp=drivesdk</v>
      </c>
      <c r="Y1126" s="1313"/>
      <c r="Z1126" s="1315" t="s">
        <v>226</v>
      </c>
      <c r="AA1126" s="374" t="s">
        <v>138</v>
      </c>
      <c r="AB1126" s="1313" t="s">
        <v>6193</v>
      </c>
      <c r="AC1126" s="1315" t="s">
        <v>6194</v>
      </c>
      <c r="AD1126" s="1313" t="s">
        <v>6195</v>
      </c>
      <c r="AE1126" s="1313" t="s">
        <v>6196</v>
      </c>
      <c r="AF1126" s="1318">
        <v>327.0</v>
      </c>
      <c r="AG1126" s="1341">
        <v>0.44</v>
      </c>
      <c r="AH1126" s="1313" t="s">
        <v>173</v>
      </c>
      <c r="AI1126" s="1313" t="s">
        <v>613</v>
      </c>
      <c r="AJ1126" s="1345">
        <v>0.006</v>
      </c>
      <c r="AK1126" s="1321" t="s">
        <v>172</v>
      </c>
      <c r="AL1126" s="1321" t="s">
        <v>186</v>
      </c>
      <c r="AM1126" s="1313" t="s">
        <v>137</v>
      </c>
      <c r="AN1126" s="1322" t="s">
        <v>138</v>
      </c>
      <c r="AO1126" s="1318">
        <v>292.0</v>
      </c>
      <c r="AP1126" s="1341">
        <v>0.0550913677484325</v>
      </c>
      <c r="AQ1126" s="1313" t="s">
        <v>173</v>
      </c>
      <c r="AR1126" s="1322" t="s">
        <v>5604</v>
      </c>
      <c r="AS1126" s="1341">
        <v>0.348108250387705</v>
      </c>
      <c r="AT1126" s="1313" t="s">
        <v>172</v>
      </c>
      <c r="AU1126" s="1313" t="s">
        <v>186</v>
      </c>
      <c r="AV1126" s="1313" t="s">
        <v>137</v>
      </c>
      <c r="AW1126" s="1323" t="s">
        <v>138</v>
      </c>
      <c r="AX1126" s="1339" t="s">
        <v>143</v>
      </c>
      <c r="AY1126" s="61" t="str">
        <f>IFERROR(__xludf.DUMMYFUNCTION("vlookup(BB1126,importrange(""https://docs.google.com/spreadsheets/d/1d2vevQ_7D_v35q4wCQ4RpQ_IPoTwEMB9Yp6ymwlPqew/edit?gid=984458430#gid=984458430"", ""'replication success'!A:K""), 11, FAlSE)"),"failed")</f>
        <v>failed</v>
      </c>
      <c r="AZ1126" s="61" t="str">
        <f>IFERROR(__xludf.DUMMYFUNCTION("vlookup(BB1126,importrange(""https://docs.google.com/spreadsheets/d/1d2vevQ_7D_v35q4wCQ4RpQ_IPoTwEMB9Yp6ymwlPqew/edit?gid=984458430#gid=984458430"",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26" s="61" t="str">
        <f>IFERROR(__xludf.DUMMYFUNCTION("vlookup(BB1126,importrange(""https://docs.google.com/spreadsheets/d/1d2vevQ_7D_v35q4wCQ4RpQ_IPoTwEMB9Yp6ymwlPqew/edit?gid=984458430#gid=984458430"",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v>
      </c>
      <c r="BB1126" s="61" t="str">
        <f>IFERROR(__xludf.DUMMYFUNCTION("REGEXREPLACE(G1126, ""_[a-z]{1,2}$"", """")"),"Boyce_etal20237")</f>
        <v>Boyce_etal20237</v>
      </c>
      <c r="BD1126" s="1322" t="s">
        <v>5605</v>
      </c>
    </row>
    <row r="1127">
      <c r="A1127" s="44">
        <v>1127.0</v>
      </c>
      <c r="B1127" s="129" t="s">
        <v>114</v>
      </c>
      <c r="C1127" s="62" t="s">
        <v>115</v>
      </c>
      <c r="D1127" s="62" t="s">
        <v>248</v>
      </c>
      <c r="E1127" s="365"/>
      <c r="F1127" s="126" t="s">
        <v>6186</v>
      </c>
      <c r="G1127" s="119" t="s">
        <v>6187</v>
      </c>
      <c r="H1127" s="140" t="s">
        <v>249</v>
      </c>
      <c r="I1127" s="317">
        <v>45663.0</v>
      </c>
      <c r="J1127" s="1326">
        <v>45692.0</v>
      </c>
      <c r="K1127" s="125"/>
      <c r="L1127" s="125" t="s">
        <v>6188</v>
      </c>
      <c r="M1127" s="140" t="s">
        <v>6189</v>
      </c>
      <c r="N1127" s="1367" t="s">
        <v>6190</v>
      </c>
      <c r="O1127" s="125"/>
      <c r="P1127" s="140" t="str">
        <f> SUBSTITUTE(lower(N1127), "/", "--") &amp;  ".pdf"</f>
        <v>10.1177--0146167215580776.pdf</v>
      </c>
      <c r="Q1127" s="52" t="str">
        <f t="array" ref="Q1127"> if(iserror(MATCH(V1127, 'File Links'!C:C, 0)), "N/A", HYPERLINK(INDEX('File Links'!B:B, MATCH(P1127, 'File Links'!C:C, 0))))</f>
        <v>https://drive.google.com/file/d/1sQ8SgRlBMbqW6PR-9YQps9sVh-rL9tXw/view?usp=drivesdk</v>
      </c>
      <c r="R1127" s="140" t="s">
        <v>6197</v>
      </c>
      <c r="S1127" s="159" t="s">
        <v>3654</v>
      </c>
      <c r="T1127" s="147" t="s">
        <v>138</v>
      </c>
      <c r="U1127" s="147" t="s">
        <v>138</v>
      </c>
      <c r="V1127" s="198" t="str">
        <f t="shared" si="57"/>
        <v>10.1098--rsos.231240.pdf</v>
      </c>
      <c r="W1127" s="140" t="s">
        <v>3804</v>
      </c>
      <c r="X1127" s="54" t="str">
        <f t="array" ref="X1127"> if(iserror(MATCH(V1127, 'File Links'!C:C, 0)), "N/A", HYPERLINK(INDEX('File Links'!B:B, MATCH(V1127, 'File Links'!C:C, 0))))</f>
        <v>https://drive.google.com/file/d/17gaf2Zy_ljFfcAEDk5L8GBnTl5i7RGJE/view?usp=drivesdk</v>
      </c>
      <c r="Y1127" s="125"/>
      <c r="Z1127" s="140" t="s">
        <v>226</v>
      </c>
      <c r="AA1127" s="125"/>
      <c r="AB1127" s="125"/>
      <c r="AC1127" s="125"/>
      <c r="AD1127" s="140" t="s">
        <v>6198</v>
      </c>
      <c r="AE1127" s="782">
        <v>829.0</v>
      </c>
      <c r="AF1127" s="782">
        <v>327.0</v>
      </c>
      <c r="AG1127" s="782">
        <v>0.44</v>
      </c>
      <c r="AH1127" s="140" t="s">
        <v>173</v>
      </c>
      <c r="AI1127" s="140" t="s">
        <v>6199</v>
      </c>
      <c r="AJ1127" s="133">
        <v>0.006</v>
      </c>
      <c r="AK1127" s="126" t="s">
        <v>172</v>
      </c>
      <c r="AL1127" s="126" t="s">
        <v>186</v>
      </c>
      <c r="AM1127" s="140" t="s">
        <v>141</v>
      </c>
      <c r="AN1127" s="1322" t="s">
        <v>138</v>
      </c>
      <c r="AO1127" s="782">
        <v>292.0</v>
      </c>
      <c r="AP1127" s="782">
        <v>0.0550913677484325</v>
      </c>
      <c r="AQ1127" s="140" t="s">
        <v>173</v>
      </c>
      <c r="AR1127" s="1322" t="s">
        <v>5604</v>
      </c>
      <c r="AS1127" s="782">
        <v>0.348108250387705</v>
      </c>
      <c r="AT1127" s="140" t="s">
        <v>172</v>
      </c>
      <c r="AU1127" s="140" t="s">
        <v>186</v>
      </c>
      <c r="AV1127" s="140" t="s">
        <v>141</v>
      </c>
      <c r="AW1127" s="1323" t="s">
        <v>138</v>
      </c>
      <c r="AX1127" s="670" t="s">
        <v>143</v>
      </c>
      <c r="AY1127" s="61" t="str">
        <f>IFERROR(__xludf.DUMMYFUNCTION("vlookup(BB1127,importrange(""https://docs.google.com/spreadsheets/d/1d2vevQ_7D_v35q4wCQ4RpQ_IPoTwEMB9Yp6ymwlPqew/edit?gid=984458430#gid=984458430"", ""'replication success'!A:K""), 11, FAlSE)"),"failed")</f>
        <v>failed</v>
      </c>
      <c r="AZ1127" s="61" t="str">
        <f>IFERROR(__xludf.DUMMYFUNCTION("vlookup(BB1127,importrange(""https://docs.google.com/spreadsheets/d/1d2vevQ_7D_v35q4wCQ4RpQ_IPoTwEMB9Yp6ymwlPqew/edit?gid=984458430#gid=984458430"",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27" s="61" t="str">
        <f>IFERROR(__xludf.DUMMYFUNCTION("vlookup(BB1127,importrange(""https://docs.google.com/spreadsheets/d/1d2vevQ_7D_v35q4wCQ4RpQ_IPoTwEMB9Yp6ymwlPqew/edit?gid=984458430#gid=984458430"",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v>
      </c>
      <c r="BB1127" s="61" t="str">
        <f>IFERROR(__xludf.DUMMYFUNCTION("REGEXREPLACE(G1127, ""_[a-z]{1,2}$"", """")"),"Boyce_etal20237")</f>
        <v>Boyce_etal20237</v>
      </c>
      <c r="BD1127" s="1322" t="s">
        <v>5605</v>
      </c>
    </row>
    <row r="1128">
      <c r="A1128" s="44">
        <v>1128.0</v>
      </c>
      <c r="B1128" s="129" t="s">
        <v>152</v>
      </c>
      <c r="C1128" s="62" t="s">
        <v>115</v>
      </c>
      <c r="D1128" s="62" t="s">
        <v>1458</v>
      </c>
      <c r="E1128" s="365"/>
      <c r="F1128" s="1313" t="s">
        <v>6200</v>
      </c>
      <c r="G1128" s="1314" t="s">
        <v>6201</v>
      </c>
      <c r="H1128" s="1315" t="s">
        <v>5592</v>
      </c>
      <c r="I1128" s="1316">
        <v>45690.0</v>
      </c>
      <c r="J1128" s="1317">
        <v>45692.0</v>
      </c>
      <c r="K1128" s="1313" t="s">
        <v>6202</v>
      </c>
      <c r="L1128" s="1322" t="s">
        <v>6203</v>
      </c>
      <c r="M1128" s="1315" t="s">
        <v>6204</v>
      </c>
      <c r="N1128" s="1315" t="s">
        <v>6205</v>
      </c>
      <c r="O1128" s="1318">
        <v>2.0</v>
      </c>
      <c r="P1128" s="1315" t="s">
        <v>6206</v>
      </c>
      <c r="Q1128" s="52" t="str">
        <f t="array" ref="Q1128"> if(iserror(MATCH(V1128, 'File Links'!C:C, 0)), "N/A", HYPERLINK(INDEX('File Links'!B:B, MATCH(P1128, 'File Links'!C:C, 0))))</f>
        <v>https://drive.google.com/file/d/1AFvmNMhSk-QV-2cVhQI1IIbAhqjPhXWN/view?usp=drivesdk</v>
      </c>
      <c r="R1128" s="1315" t="s">
        <v>3653</v>
      </c>
      <c r="S1128" s="159" t="s">
        <v>3654</v>
      </c>
      <c r="T1128" s="147" t="s">
        <v>138</v>
      </c>
      <c r="U1128" s="147" t="s">
        <v>138</v>
      </c>
      <c r="V1128" s="198" t="str">
        <f t="shared" si="57"/>
        <v>10.1098--rsos.231240.pdf</v>
      </c>
      <c r="W1128" s="140" t="s">
        <v>3693</v>
      </c>
      <c r="X1128" s="54" t="str">
        <f t="array" ref="X1128"> if(iserror(MATCH(V1128, 'File Links'!C:C, 0)), "N/A", HYPERLINK(INDEX('File Links'!B:B, MATCH(V1128, 'File Links'!C:C, 0))))</f>
        <v>https://drive.google.com/file/d/17gaf2Zy_ljFfcAEDk5L8GBnTl5i7RGJE/view?usp=drivesdk</v>
      </c>
      <c r="Y1128" s="1313"/>
      <c r="Z1128" s="1354" t="s">
        <v>1809</v>
      </c>
      <c r="AA1128" s="374" t="s">
        <v>138</v>
      </c>
      <c r="AB1128" s="1313" t="s">
        <v>6207</v>
      </c>
      <c r="AC1128" s="1315" t="s">
        <v>6208</v>
      </c>
      <c r="AD1128" s="1313" t="s">
        <v>6209</v>
      </c>
      <c r="AE1128" s="1313" t="s">
        <v>6210</v>
      </c>
      <c r="AF1128" s="1318">
        <v>413.0</v>
      </c>
      <c r="AG1128" s="1341">
        <v>0.2017478108</v>
      </c>
      <c r="AH1128" s="1313" t="s">
        <v>173</v>
      </c>
      <c r="AI1128" s="1322" t="s">
        <v>138</v>
      </c>
      <c r="AJ1128" s="1325">
        <v>0.0409984059452884</v>
      </c>
      <c r="AK1128" s="1321" t="s">
        <v>172</v>
      </c>
      <c r="AL1128" s="1321" t="s">
        <v>186</v>
      </c>
      <c r="AM1128" s="1313" t="s">
        <v>137</v>
      </c>
      <c r="AN1128" s="1322" t="s">
        <v>138</v>
      </c>
      <c r="AO1128" s="1318">
        <v>188.0</v>
      </c>
      <c r="AP1128" s="1341">
        <v>-0.12765697549428</v>
      </c>
      <c r="AQ1128" s="1313" t="s">
        <v>173</v>
      </c>
      <c r="AR1128" s="1322" t="s">
        <v>5604</v>
      </c>
      <c r="AS1128" s="1341">
        <v>0.424197305150009</v>
      </c>
      <c r="AT1128" s="1313" t="s">
        <v>172</v>
      </c>
      <c r="AU1128" s="1313" t="s">
        <v>186</v>
      </c>
      <c r="AV1128" s="1313" t="s">
        <v>137</v>
      </c>
      <c r="AW1128" s="1323" t="s">
        <v>138</v>
      </c>
      <c r="AX1128" s="1368" t="s">
        <v>151</v>
      </c>
      <c r="AY1128" s="61" t="str">
        <f>IFERROR(__xludf.DUMMYFUNCTION("vlookup(BB1128,importrange(""https://docs.google.com/spreadsheets/d/1d2vevQ_7D_v35q4wCQ4RpQ_IPoTwEMB9Yp6ymwlPqew/edit?gid=984458430#gid=984458430"", ""'replication success'!A:K""), 11, FAlSE)"),"mixed")</f>
        <v>mixed</v>
      </c>
      <c r="AZ1128" s="61" t="str">
        <f>IFERROR(__xludf.DUMMYFUNCTION("vlookup(BB1128,importrange(""https://docs.google.com/spreadsheets/d/1d2vevQ_7D_v35q4wCQ4RpQ_IPoTwEMB9Yp6ymwlPqew/edit?gid=984458430#gid=984458430"",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1128" s="61" t="str">
        <f>IFERROR(__xludf.DUMMYFUNCTION("vlookup(BB1128,importrange(""https://docs.google.com/spreadsheets/d/1d2vevQ_7D_v35q4wCQ4RpQ_IPoTwEMB9Yp6ymwlPqew/edit?gid=984458430#gid=984458430"",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v>
      </c>
      <c r="BB1128" s="61" t="str">
        <f>IFERROR(__xludf.DUMMYFUNCTION("REGEXREPLACE(G1128, ""_[a-z]{1,2}$"", """")"),"Boyce_etal202370")</f>
        <v>Boyce_etal202370</v>
      </c>
      <c r="BD1128" s="1322" t="s">
        <v>5605</v>
      </c>
    </row>
    <row r="1129">
      <c r="A1129" s="44">
        <v>1129.0</v>
      </c>
      <c r="B1129" s="129" t="s">
        <v>114</v>
      </c>
      <c r="C1129" s="62" t="s">
        <v>115</v>
      </c>
      <c r="D1129" s="62" t="s">
        <v>6211</v>
      </c>
      <c r="E1129" s="365"/>
      <c r="F1129" s="126" t="s">
        <v>6200</v>
      </c>
      <c r="G1129" s="119" t="s">
        <v>6201</v>
      </c>
      <c r="H1129" s="140" t="s">
        <v>249</v>
      </c>
      <c r="I1129" s="317">
        <v>45666.0</v>
      </c>
      <c r="J1129" s="1326">
        <v>45692.0</v>
      </c>
      <c r="K1129" s="125"/>
      <c r="L1129" s="125" t="s">
        <v>5594</v>
      </c>
      <c r="M1129" s="140" t="s">
        <v>6204</v>
      </c>
      <c r="N1129" s="140" t="s">
        <v>6205</v>
      </c>
      <c r="O1129" s="125"/>
      <c r="P1129" s="140" t="str">
        <f> SUBSTITUTE(lower(N1129), "/", "--") &amp;  ".pdf"</f>
        <v>10.1287--orsc.2021.1456.pdf</v>
      </c>
      <c r="Q1129" s="52" t="str">
        <f t="array" ref="Q1129"> if(iserror(MATCH(V1129, 'File Links'!C:C, 0)), "N/A", HYPERLINK(INDEX('File Links'!B:B, MATCH(P1129, 'File Links'!C:C, 0))))</f>
        <v>https://drive.google.com/file/d/1AFvmNMhSk-QV-2cVhQI1IIbAhqjPhXWN/view?usp=drivesdk</v>
      </c>
      <c r="R1129" s="140" t="s">
        <v>6212</v>
      </c>
      <c r="S1129" s="159" t="s">
        <v>3654</v>
      </c>
      <c r="T1129" s="147" t="s">
        <v>138</v>
      </c>
      <c r="U1129" s="147" t="s">
        <v>138</v>
      </c>
      <c r="V1129" s="198" t="str">
        <f t="shared" si="57"/>
        <v>10.1098--rsos.231240.pdf</v>
      </c>
      <c r="W1129" s="140" t="s">
        <v>3693</v>
      </c>
      <c r="X1129" s="54" t="str">
        <f t="array" ref="X1129"> if(iserror(MATCH(V1129, 'File Links'!C:C, 0)), "N/A", HYPERLINK(INDEX('File Links'!B:B, MATCH(V1129, 'File Links'!C:C, 0))))</f>
        <v>https://drive.google.com/file/d/17gaf2Zy_ljFfcAEDk5L8GBnTl5i7RGJE/view?usp=drivesdk</v>
      </c>
      <c r="Y1129" s="125"/>
      <c r="Z1129" s="140" t="s">
        <v>1809</v>
      </c>
      <c r="AA1129" s="125"/>
      <c r="AB1129" s="125"/>
      <c r="AC1129" s="125"/>
      <c r="AD1129" s="140" t="s">
        <v>6213</v>
      </c>
      <c r="AE1129" s="782">
        <v>730.0</v>
      </c>
      <c r="AF1129" s="782">
        <v>413.0</v>
      </c>
      <c r="AG1129" s="782">
        <v>0.2017478108351</v>
      </c>
      <c r="AH1129" s="140" t="s">
        <v>173</v>
      </c>
      <c r="AI1129" s="140" t="s">
        <v>6214</v>
      </c>
      <c r="AJ1129" s="133">
        <v>0.04</v>
      </c>
      <c r="AK1129" s="126" t="s">
        <v>172</v>
      </c>
      <c r="AL1129" s="126" t="s">
        <v>186</v>
      </c>
      <c r="AM1129" s="140" t="s">
        <v>137</v>
      </c>
      <c r="AN1129" s="1322" t="s">
        <v>138</v>
      </c>
      <c r="AO1129" s="782">
        <v>188.0</v>
      </c>
      <c r="AP1129" s="782">
        <v>-0.12765697549428</v>
      </c>
      <c r="AQ1129" s="140" t="s">
        <v>173</v>
      </c>
      <c r="AR1129" s="1322" t="s">
        <v>5604</v>
      </c>
      <c r="AS1129" s="782">
        <v>0.424197305150009</v>
      </c>
      <c r="AT1129" s="140" t="s">
        <v>172</v>
      </c>
      <c r="AU1129" s="140" t="s">
        <v>186</v>
      </c>
      <c r="AV1129" s="140" t="s">
        <v>137</v>
      </c>
      <c r="AW1129" s="1323" t="s">
        <v>138</v>
      </c>
      <c r="AX1129" s="670" t="s">
        <v>151</v>
      </c>
      <c r="AY1129" s="61" t="str">
        <f>IFERROR(__xludf.DUMMYFUNCTION("vlookup(BB1129,importrange(""https://docs.google.com/spreadsheets/d/1d2vevQ_7D_v35q4wCQ4RpQ_IPoTwEMB9Yp6ymwlPqew/edit?gid=984458430#gid=984458430"", ""'replication success'!A:K""), 11, FAlSE)"),"mixed")</f>
        <v>mixed</v>
      </c>
      <c r="AZ1129" s="61" t="str">
        <f>IFERROR(__xludf.DUMMYFUNCTION("vlookup(BB1129,importrange(""https://docs.google.com/spreadsheets/d/1d2vevQ_7D_v35q4wCQ4RpQ_IPoTwEMB9Yp6ymwlPqew/edit?gid=984458430#gid=984458430"",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1129" s="61" t="str">
        <f>IFERROR(__xludf.DUMMYFUNCTION("vlookup(BB1129,importrange(""https://docs.google.com/spreadsheets/d/1d2vevQ_7D_v35q4wCQ4RpQ_IPoTwEMB9Yp6ymwlPqew/edit?gid=984458430#gid=984458430"",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v>
      </c>
      <c r="BB1129" s="61" t="str">
        <f>IFERROR(__xludf.DUMMYFUNCTION("REGEXREPLACE(G1129, ""_[a-z]{1,2}$"", """")"),"Boyce_etal202370")</f>
        <v>Boyce_etal202370</v>
      </c>
      <c r="BD1129" s="1322" t="s">
        <v>5605</v>
      </c>
    </row>
    <row r="1130">
      <c r="A1130" s="44">
        <v>1130.0</v>
      </c>
      <c r="B1130" s="129" t="s">
        <v>152</v>
      </c>
      <c r="C1130" s="62" t="s">
        <v>115</v>
      </c>
      <c r="D1130" s="62" t="s">
        <v>145</v>
      </c>
      <c r="E1130" s="365"/>
      <c r="F1130" s="1313" t="s">
        <v>6215</v>
      </c>
      <c r="G1130" s="1314" t="s">
        <v>6216</v>
      </c>
      <c r="H1130" s="1315" t="s">
        <v>5592</v>
      </c>
      <c r="I1130" s="1316">
        <v>45690.0</v>
      </c>
      <c r="J1130" s="1317">
        <v>45692.0</v>
      </c>
      <c r="K1130" s="1313" t="s">
        <v>5686</v>
      </c>
      <c r="L1130" s="1313" t="s">
        <v>5594</v>
      </c>
      <c r="M1130" s="1315" t="s">
        <v>6217</v>
      </c>
      <c r="N1130" s="1315" t="s">
        <v>6218</v>
      </c>
      <c r="O1130" s="1318">
        <v>1.0</v>
      </c>
      <c r="P1130" s="1315" t="s">
        <v>6219</v>
      </c>
      <c r="Q1130" s="52" t="str">
        <f t="array" ref="Q1130"> if(iserror(MATCH(V1130, 'File Links'!C:C, 0)), "N/A", HYPERLINK(INDEX('File Links'!B:B, MATCH(P1130, 'File Links'!C:C, 0))))</f>
        <v>https://drive.google.com/file/d/1eermV6x-0NkuxwsqnprduFouBUdTshGn/view?usp=drivesdk</v>
      </c>
      <c r="R1130" s="1315" t="s">
        <v>3653</v>
      </c>
      <c r="S1130" s="159" t="s">
        <v>3654</v>
      </c>
      <c r="T1130" s="147" t="s">
        <v>138</v>
      </c>
      <c r="U1130" s="147" t="s">
        <v>138</v>
      </c>
      <c r="V1130" s="198" t="str">
        <f t="shared" si="57"/>
        <v>10.1098--rsos.231240.pdf</v>
      </c>
      <c r="W1130" s="140" t="s">
        <v>324</v>
      </c>
      <c r="X1130" s="54" t="str">
        <f t="array" ref="X1130"> if(iserror(MATCH(V1130, 'File Links'!C:C, 0)), "N/A", HYPERLINK(INDEX('File Links'!B:B, MATCH(V1130, 'File Links'!C:C, 0))))</f>
        <v>https://drive.google.com/file/d/17gaf2Zy_ljFfcAEDk5L8GBnTl5i7RGJE/view?usp=drivesdk</v>
      </c>
      <c r="Y1130" s="1313"/>
      <c r="Z1130" s="1315" t="s">
        <v>148</v>
      </c>
      <c r="AA1130" s="1313" t="s">
        <v>1535</v>
      </c>
      <c r="AB1130" s="1313" t="s">
        <v>6220</v>
      </c>
      <c r="AC1130" s="1315" t="s">
        <v>6221</v>
      </c>
      <c r="AD1130" s="1313" t="s">
        <v>6222</v>
      </c>
      <c r="AE1130" s="1341">
        <v>9.0</v>
      </c>
      <c r="AF1130" s="1318">
        <v>38.0</v>
      </c>
      <c r="AG1130" s="1313" t="s">
        <v>6223</v>
      </c>
      <c r="AH1130" s="1313" t="s">
        <v>134</v>
      </c>
      <c r="AI1130" s="1313" t="s">
        <v>628</v>
      </c>
      <c r="AJ1130" s="1320" t="s">
        <v>1535</v>
      </c>
      <c r="AK1130" s="1321" t="s">
        <v>1535</v>
      </c>
      <c r="AL1130" s="1321" t="s">
        <v>186</v>
      </c>
      <c r="AM1130" s="1313" t="s">
        <v>137</v>
      </c>
      <c r="AN1130" s="1322" t="s">
        <v>138</v>
      </c>
      <c r="AO1130" s="1318">
        <v>14.0</v>
      </c>
      <c r="AP1130" s="1313" t="s">
        <v>6224</v>
      </c>
      <c r="AQ1130" s="1313" t="s">
        <v>134</v>
      </c>
      <c r="AR1130" s="1322" t="s">
        <v>5604</v>
      </c>
      <c r="AS1130" s="1313" t="s">
        <v>1535</v>
      </c>
      <c r="AT1130" s="1313" t="s">
        <v>1535</v>
      </c>
      <c r="AU1130" s="1313" t="s">
        <v>186</v>
      </c>
      <c r="AV1130" s="1313" t="s">
        <v>137</v>
      </c>
      <c r="AW1130" s="1323" t="s">
        <v>138</v>
      </c>
      <c r="AX1130" s="1339" t="s">
        <v>143</v>
      </c>
      <c r="AY1130" s="61" t="str">
        <f>IFERROR(__xludf.DUMMYFUNCTION("vlookup(BB1130,importrange(""https://docs.google.com/spreadsheets/d/1d2vevQ_7D_v35q4wCQ4RpQ_IPoTwEMB9Yp6ymwlPqew/edit?gid=984458430#gid=984458430"", ""'replication success'!A:K""), 11, FAlSE)"),"")</f>
        <v/>
      </c>
      <c r="AZ1130" s="61" t="str">
        <f>IFERROR(__xludf.DUMMYFUNCTION("vlookup(BB1130,importrange(""https://docs.google.com/spreadsheets/d/1d2vevQ_7D_v35q4wCQ4RpQ_IPoTwEMB9Yp6ymwlPqew/edit?gid=984458430#gid=984458430"", ""'replication success'!A:M""), 12, FAlSE)"),"")</f>
        <v/>
      </c>
      <c r="BA1130" s="61" t="str">
        <f>IFERROR(__xludf.DUMMYFUNCTION("vlookup(BB1130,importrange(""https://docs.google.com/spreadsheets/d/1d2vevQ_7D_v35q4wCQ4RpQ_IPoTwEMB9Yp6ymwlPqew/edit?gid=984458430#gid=984458430"",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v>
      </c>
      <c r="BB1130" s="61" t="str">
        <f>IFERROR(__xludf.DUMMYFUNCTION("REGEXREPLACE(G1130, ""_[a-z]{1,2}$"", """")"),"Boyce_etal202371")</f>
        <v>Boyce_etal202371</v>
      </c>
      <c r="BD1130" s="1322" t="s">
        <v>5605</v>
      </c>
    </row>
    <row r="1131">
      <c r="A1131" s="44">
        <v>1131.0</v>
      </c>
      <c r="B1131" s="68" t="s">
        <v>114</v>
      </c>
      <c r="C1131" s="62" t="s">
        <v>115</v>
      </c>
      <c r="D1131" s="62" t="s">
        <v>248</v>
      </c>
      <c r="E1131" s="365"/>
      <c r="F1131" s="126" t="s">
        <v>6215</v>
      </c>
      <c r="G1131" s="119" t="s">
        <v>6216</v>
      </c>
      <c r="H1131" s="140" t="s">
        <v>249</v>
      </c>
      <c r="I1131" s="317">
        <v>45666.0</v>
      </c>
      <c r="J1131" s="1326">
        <v>45692.0</v>
      </c>
      <c r="K1131" s="140" t="s">
        <v>3683</v>
      </c>
      <c r="L1131" s="125" t="s">
        <v>5594</v>
      </c>
      <c r="M1131" s="140" t="s">
        <v>6217</v>
      </c>
      <c r="N1131" s="140" t="s">
        <v>6218</v>
      </c>
      <c r="O1131" s="125"/>
      <c r="P1131" s="140" t="str">
        <f t="shared" ref="P1131:P1133" si="70"> SUBSTITUTE(lower(N1131), "/", "--") &amp;  ".pdf"</f>
        <v>10.1016--s0010-0277(03)00064-7.pdf</v>
      </c>
      <c r="Q1131" s="52" t="str">
        <f t="array" ref="Q1131"> if(iserror(MATCH(V1131, 'File Links'!C:C, 0)), "N/A", HYPERLINK(INDEX('File Links'!B:B, MATCH(P1131, 'File Links'!C:C, 0))))</f>
        <v>https://drive.google.com/file/d/1eermV6x-0NkuxwsqnprduFouBUdTshGn/view?usp=drivesdk</v>
      </c>
      <c r="R1131" s="140" t="s">
        <v>6225</v>
      </c>
      <c r="S1131" s="159" t="s">
        <v>3654</v>
      </c>
      <c r="T1131" s="147" t="s">
        <v>138</v>
      </c>
      <c r="U1131" s="147" t="s">
        <v>138</v>
      </c>
      <c r="V1131" s="198" t="str">
        <f t="shared" si="57"/>
        <v>10.1098--rsos.231240.pdf</v>
      </c>
      <c r="W1131" s="140" t="s">
        <v>324</v>
      </c>
      <c r="X1131" s="54" t="str">
        <f t="array" ref="X1131"> if(iserror(MATCH(V1131, 'File Links'!C:C, 0)), "N/A", HYPERLINK(INDEX('File Links'!B:B, MATCH(V1131, 'File Links'!C:C, 0))))</f>
        <v>https://drive.google.com/file/d/17gaf2Zy_ljFfcAEDk5L8GBnTl5i7RGJE/view?usp=drivesdk</v>
      </c>
      <c r="Y1131" s="125"/>
      <c r="Z1131" s="140" t="s">
        <v>148</v>
      </c>
      <c r="AA1131" s="125"/>
      <c r="AB1131" s="125"/>
      <c r="AC1131" s="125"/>
      <c r="AD1131" s="140" t="s">
        <v>138</v>
      </c>
      <c r="AE1131" s="140" t="s">
        <v>138</v>
      </c>
      <c r="AF1131" s="782">
        <v>38.0</v>
      </c>
      <c r="AG1131" s="140" t="s">
        <v>138</v>
      </c>
      <c r="AH1131" s="125"/>
      <c r="AI1131" s="140" t="s">
        <v>138</v>
      </c>
      <c r="AJ1131" s="318"/>
      <c r="AK1131" s="132"/>
      <c r="AL1131" s="126" t="s">
        <v>186</v>
      </c>
      <c r="AM1131" s="140" t="s">
        <v>1905</v>
      </c>
      <c r="AN1131" s="1322" t="s">
        <v>138</v>
      </c>
      <c r="AO1131" s="782">
        <v>14.0</v>
      </c>
      <c r="AP1131" s="140" t="s">
        <v>138</v>
      </c>
      <c r="AQ1131" s="125"/>
      <c r="AR1131" s="1322" t="s">
        <v>5604</v>
      </c>
      <c r="AS1131" s="140" t="s">
        <v>138</v>
      </c>
      <c r="AT1131" s="125"/>
      <c r="AU1131" s="140" t="s">
        <v>186</v>
      </c>
      <c r="AV1131" s="140" t="s">
        <v>1905</v>
      </c>
      <c r="AW1131" s="1323" t="s">
        <v>138</v>
      </c>
      <c r="AX1131" s="670" t="s">
        <v>143</v>
      </c>
      <c r="AY1131" s="61" t="str">
        <f>IFERROR(__xludf.DUMMYFUNCTION("vlookup(BB1131,importrange(""https://docs.google.com/spreadsheets/d/1d2vevQ_7D_v35q4wCQ4RpQ_IPoTwEMB9Yp6ymwlPqew/edit?gid=984458430#gid=984458430"", ""'replication success'!A:K""), 11, FAlSE)"),"")</f>
        <v/>
      </c>
      <c r="AZ1131" s="61" t="str">
        <f>IFERROR(__xludf.DUMMYFUNCTION("vlookup(BB1131,importrange(""https://docs.google.com/spreadsheets/d/1d2vevQ_7D_v35q4wCQ4RpQ_IPoTwEMB9Yp6ymwlPqew/edit?gid=984458430#gid=984458430"", ""'replication success'!A:M""), 12, FAlSE)"),"")</f>
        <v/>
      </c>
      <c r="BA1131" s="61" t="str">
        <f>IFERROR(__xludf.DUMMYFUNCTION("vlookup(BB1131,importrange(""https://docs.google.com/spreadsheets/d/1d2vevQ_7D_v35q4wCQ4RpQ_IPoTwEMB9Yp6ymwlPqew/edit?gid=984458430#gid=984458430"",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v>
      </c>
      <c r="BB1131" s="61" t="str">
        <f>IFERROR(__xludf.DUMMYFUNCTION("REGEXREPLACE(G1131, ""_[a-z]{1,2}$"", """")"),"Boyce_etal202371")</f>
        <v>Boyce_etal202371</v>
      </c>
      <c r="BD1131" s="1322" t="s">
        <v>5605</v>
      </c>
    </row>
    <row r="1132">
      <c r="A1132" s="44">
        <v>1132.0</v>
      </c>
      <c r="B1132" s="129" t="s">
        <v>152</v>
      </c>
      <c r="C1132" s="62" t="s">
        <v>115</v>
      </c>
      <c r="D1132" s="62" t="s">
        <v>145</v>
      </c>
      <c r="E1132" s="365"/>
      <c r="F1132" s="1313" t="s">
        <v>6226</v>
      </c>
      <c r="G1132" s="1314" t="s">
        <v>6227</v>
      </c>
      <c r="H1132" s="1315" t="s">
        <v>5592</v>
      </c>
      <c r="I1132" s="1316">
        <v>45690.0</v>
      </c>
      <c r="J1132" s="1317">
        <v>45692.0</v>
      </c>
      <c r="K1132" s="1313"/>
      <c r="L1132" s="1313" t="s">
        <v>5594</v>
      </c>
      <c r="M1132" s="1315" t="s">
        <v>6228</v>
      </c>
      <c r="N1132" s="1313" t="s">
        <v>6229</v>
      </c>
      <c r="O1132" s="1318">
        <v>2.0</v>
      </c>
      <c r="P1132" s="140" t="str">
        <f t="shared" si="70"/>
        <v>10.1037--0022-3514.77.4.785.pdf</v>
      </c>
      <c r="Q1132" s="52" t="str">
        <f t="array" ref="Q1132"> if(iserror(MATCH(V1132, 'File Links'!C:C, 0)), "N/A", HYPERLINK(INDEX('File Links'!B:B, MATCH(P1132, 'File Links'!C:C, 0))))</f>
        <v>https://drive.google.com/file/d/19BYjzsMkYCiipD-HEqq4sHumZDCTO5SQ/view?usp=drivesdk</v>
      </c>
      <c r="R1132" s="1315" t="s">
        <v>3653</v>
      </c>
      <c r="S1132" s="159" t="s">
        <v>3654</v>
      </c>
      <c r="T1132" s="147" t="s">
        <v>138</v>
      </c>
      <c r="U1132" s="147" t="s">
        <v>138</v>
      </c>
      <c r="V1132" s="198" t="str">
        <f t="shared" si="57"/>
        <v>10.1098--rsos.231240.pdf</v>
      </c>
      <c r="W1132" s="140" t="s">
        <v>324</v>
      </c>
      <c r="X1132" s="54" t="str">
        <f t="array" ref="X1132"> if(iserror(MATCH(V1132, 'File Links'!C:C, 0)), "N/A", HYPERLINK(INDEX('File Links'!B:B, MATCH(V1132, 'File Links'!C:C, 0))))</f>
        <v>https://drive.google.com/file/d/17gaf2Zy_ljFfcAEDk5L8GBnTl5i7RGJE/view?usp=drivesdk</v>
      </c>
      <c r="Y1132" s="1313"/>
      <c r="Z1132" s="1315" t="s">
        <v>226</v>
      </c>
      <c r="AA1132" s="1313" t="s">
        <v>1535</v>
      </c>
      <c r="AB1132" s="1315" t="s">
        <v>6230</v>
      </c>
      <c r="AC1132" s="1315" t="s">
        <v>6231</v>
      </c>
      <c r="AD1132" s="1313" t="s">
        <v>6232</v>
      </c>
      <c r="AE1132" s="1341">
        <v>5.0</v>
      </c>
      <c r="AF1132" s="1318">
        <v>76.0</v>
      </c>
      <c r="AG1132" s="1341">
        <v>0.4365620244</v>
      </c>
      <c r="AH1132" s="1313" t="s">
        <v>173</v>
      </c>
      <c r="AI1132" s="1313" t="s">
        <v>1535</v>
      </c>
      <c r="AJ1132" s="1345">
        <v>0.01</v>
      </c>
      <c r="AK1132" s="1321" t="s">
        <v>135</v>
      </c>
      <c r="AL1132" s="1321" t="s">
        <v>186</v>
      </c>
      <c r="AM1132" s="1313" t="s">
        <v>137</v>
      </c>
      <c r="AN1132" s="1322" t="s">
        <v>138</v>
      </c>
      <c r="AO1132" s="1318">
        <v>31.0</v>
      </c>
      <c r="AP1132" s="1341">
        <v>0.0281000730772987</v>
      </c>
      <c r="AQ1132" s="1313" t="s">
        <v>173</v>
      </c>
      <c r="AR1132" s="1322" t="s">
        <v>5604</v>
      </c>
      <c r="AS1132" s="1341">
        <v>0.878746428689911</v>
      </c>
      <c r="AT1132" s="1313" t="s">
        <v>172</v>
      </c>
      <c r="AU1132" s="1313" t="s">
        <v>186</v>
      </c>
      <c r="AV1132" s="1313" t="s">
        <v>137</v>
      </c>
      <c r="AW1132" s="1323" t="s">
        <v>138</v>
      </c>
      <c r="AX1132" s="1339" t="s">
        <v>143</v>
      </c>
      <c r="AY1132" s="61" t="str">
        <f>IFERROR(__xludf.DUMMYFUNCTION("vlookup(BB1132,importrange(""https://docs.google.com/spreadsheets/d/1d2vevQ_7D_v35q4wCQ4RpQ_IPoTwEMB9Yp6ymwlPqew/edit?gid=984458430#gid=984458430"", ""'replication success'!A:K""), 11, FAlSE)"),"successful")</f>
        <v>successful</v>
      </c>
      <c r="AZ1132" s="61" t="str">
        <f>IFERROR(__xludf.DUMMYFUNCTION("vlookup(BB1132,importrange(""https://docs.google.com/spreadsheets/d/1d2vevQ_7D_v35q4wCQ4RpQ_IPoTwEMB9Yp6ymwlPqew/edit?gid=984458430#gid=984458430"",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32" s="61" t="str">
        <f>IFERROR(__xludf.DUMMYFUNCTION("vlookup(BB1132,importrange(""https://docs.google.com/spreadsheets/d/1d2vevQ_7D_v35q4wCQ4RpQ_IPoTwEMB9Yp6ymwlPqew/edit?gid=984458430#gid=984458430"",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v>
      </c>
      <c r="BB1132" s="61" t="str">
        <f>IFERROR(__xludf.DUMMYFUNCTION("REGEXREPLACE(G1132, ""_[a-z]{1,2}$"", """")"),"Boyce_etal202372")</f>
        <v>Boyce_etal202372</v>
      </c>
      <c r="BD1132" s="1322" t="s">
        <v>5605</v>
      </c>
    </row>
    <row r="1133">
      <c r="A1133" s="44">
        <v>1133.0</v>
      </c>
      <c r="B1133" s="129" t="s">
        <v>152</v>
      </c>
      <c r="C1133" s="62" t="s">
        <v>115</v>
      </c>
      <c r="D1133" s="62" t="s">
        <v>248</v>
      </c>
      <c r="E1133" s="365"/>
      <c r="F1133" s="126" t="s">
        <v>6226</v>
      </c>
      <c r="G1133" s="119" t="s">
        <v>6227</v>
      </c>
      <c r="H1133" s="140" t="s">
        <v>249</v>
      </c>
      <c r="I1133" s="317">
        <v>45666.0</v>
      </c>
      <c r="J1133" s="1326">
        <v>45692.0</v>
      </c>
      <c r="K1133" s="140" t="s">
        <v>6233</v>
      </c>
      <c r="L1133" s="125" t="s">
        <v>6234</v>
      </c>
      <c r="M1133" s="140" t="s">
        <v>6228</v>
      </c>
      <c r="N1133" s="140" t="s">
        <v>6229</v>
      </c>
      <c r="O1133" s="125"/>
      <c r="P1133" s="140" t="str">
        <f t="shared" si="70"/>
        <v>10.1037--0022-3514.77.4.785.pdf</v>
      </c>
      <c r="Q1133" s="52" t="str">
        <f t="array" ref="Q1133"> if(iserror(MATCH(V1133, 'File Links'!C:C, 0)), "N/A", HYPERLINK(INDEX('File Links'!B:B, MATCH(P1133, 'File Links'!C:C, 0))))</f>
        <v>https://drive.google.com/file/d/19BYjzsMkYCiipD-HEqq4sHumZDCTO5SQ/view?usp=drivesdk</v>
      </c>
      <c r="R1133" s="140" t="s">
        <v>6235</v>
      </c>
      <c r="S1133" s="159" t="s">
        <v>3654</v>
      </c>
      <c r="T1133" s="147" t="s">
        <v>138</v>
      </c>
      <c r="U1133" s="147" t="s">
        <v>138</v>
      </c>
      <c r="V1133" s="198" t="str">
        <f t="shared" si="57"/>
        <v>10.1098--rsos.231240.pdf</v>
      </c>
      <c r="W1133" s="140" t="s">
        <v>324</v>
      </c>
      <c r="X1133" s="54" t="str">
        <f t="array" ref="X1133"> if(iserror(MATCH(V1133, 'File Links'!C:C, 0)), "N/A", HYPERLINK(INDEX('File Links'!B:B, MATCH(V1133, 'File Links'!C:C, 0))))</f>
        <v>https://drive.google.com/file/d/17gaf2Zy_ljFfcAEDk5L8GBnTl5i7RGJE/view?usp=drivesdk</v>
      </c>
      <c r="Y1133" s="125"/>
      <c r="Z1133" s="140" t="s">
        <v>226</v>
      </c>
      <c r="AA1133" s="125"/>
      <c r="AB1133" s="125"/>
      <c r="AC1133" s="125"/>
      <c r="AD1133" s="140" t="s">
        <v>6236</v>
      </c>
      <c r="AE1133" s="782">
        <v>789.0</v>
      </c>
      <c r="AF1133" s="782">
        <v>76.0</v>
      </c>
      <c r="AG1133" s="782">
        <v>0.436562024402928</v>
      </c>
      <c r="AH1133" s="140" t="s">
        <v>173</v>
      </c>
      <c r="AI1133" s="140" t="s">
        <v>6237</v>
      </c>
      <c r="AJ1133" s="133">
        <v>0.01</v>
      </c>
      <c r="AK1133" s="126" t="s">
        <v>135</v>
      </c>
      <c r="AL1133" s="126" t="s">
        <v>186</v>
      </c>
      <c r="AM1133" s="140" t="s">
        <v>141</v>
      </c>
      <c r="AN1133" s="1322" t="s">
        <v>138</v>
      </c>
      <c r="AO1133" s="782">
        <v>31.0</v>
      </c>
      <c r="AP1133" s="782">
        <v>0.0281000730772987</v>
      </c>
      <c r="AQ1133" s="140" t="s">
        <v>173</v>
      </c>
      <c r="AR1133" s="1322" t="s">
        <v>5604</v>
      </c>
      <c r="AS1133" s="782">
        <v>0.878746428689911</v>
      </c>
      <c r="AT1133" s="140" t="s">
        <v>172</v>
      </c>
      <c r="AU1133" s="140" t="s">
        <v>186</v>
      </c>
      <c r="AV1133" s="140" t="s">
        <v>141</v>
      </c>
      <c r="AW1133" s="1323" t="s">
        <v>138</v>
      </c>
      <c r="AX1133" s="670" t="s">
        <v>143</v>
      </c>
      <c r="AY1133" s="61" t="str">
        <f>IFERROR(__xludf.DUMMYFUNCTION("vlookup(BB1133,importrange(""https://docs.google.com/spreadsheets/d/1d2vevQ_7D_v35q4wCQ4RpQ_IPoTwEMB9Yp6ymwlPqew/edit?gid=984458430#gid=984458430"", ""'replication success'!A:K""), 11, FAlSE)"),"successful")</f>
        <v>successful</v>
      </c>
      <c r="AZ1133" s="61" t="str">
        <f>IFERROR(__xludf.DUMMYFUNCTION("vlookup(BB1133,importrange(""https://docs.google.com/spreadsheets/d/1d2vevQ_7D_v35q4wCQ4RpQ_IPoTwEMB9Yp6ymwlPqew/edit?gid=984458430#gid=984458430"",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33" s="61" t="str">
        <f>IFERROR(__xludf.DUMMYFUNCTION("vlookup(BB1133,importrange(""https://docs.google.com/spreadsheets/d/1d2vevQ_7D_v35q4wCQ4RpQ_IPoTwEMB9Yp6ymwlPqew/edit?gid=984458430#gid=984458430"",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v>
      </c>
      <c r="BB1133" s="61" t="str">
        <f>IFERROR(__xludf.DUMMYFUNCTION("REGEXREPLACE(G1133, ""_[a-z]{1,2}$"", """")"),"Boyce_etal202372")</f>
        <v>Boyce_etal202372</v>
      </c>
      <c r="BD1133" s="1322" t="s">
        <v>5605</v>
      </c>
    </row>
    <row r="1134">
      <c r="A1134" s="44">
        <v>1134.0</v>
      </c>
      <c r="B1134" s="129" t="s">
        <v>152</v>
      </c>
      <c r="C1134" s="62" t="s">
        <v>115</v>
      </c>
      <c r="D1134" s="62" t="s">
        <v>145</v>
      </c>
      <c r="E1134" s="365"/>
      <c r="F1134" s="1313" t="s">
        <v>6238</v>
      </c>
      <c r="G1134" s="1314" t="s">
        <v>6239</v>
      </c>
      <c r="H1134" s="1315" t="s">
        <v>5592</v>
      </c>
      <c r="I1134" s="1316">
        <v>45690.0</v>
      </c>
      <c r="J1134" s="1317">
        <v>45692.0</v>
      </c>
      <c r="K1134" s="1313"/>
      <c r="L1134" s="1313" t="s">
        <v>6240</v>
      </c>
      <c r="M1134" s="1315" t="s">
        <v>6241</v>
      </c>
      <c r="N1134" s="1315" t="s">
        <v>6242</v>
      </c>
      <c r="O1134" s="1318">
        <v>1.0</v>
      </c>
      <c r="P1134" s="1315" t="s">
        <v>6243</v>
      </c>
      <c r="Q1134" s="52" t="str">
        <f t="array" ref="Q1134"> if(iserror(MATCH(V1134, 'File Links'!C:C, 0)), "N/A", HYPERLINK(INDEX('File Links'!B:B, MATCH(P1134, 'File Links'!C:C, 0))))</f>
        <v>https://drive.google.com/file/d/1c-T-gBsf13rctIADi3rUqpv_LDEac7l1/view?usp=drivesdk</v>
      </c>
      <c r="R1134" s="1315" t="s">
        <v>3653</v>
      </c>
      <c r="S1134" s="159" t="s">
        <v>3654</v>
      </c>
      <c r="T1134" s="147" t="s">
        <v>138</v>
      </c>
      <c r="U1134" s="147" t="s">
        <v>138</v>
      </c>
      <c r="V1134" s="198" t="str">
        <f t="shared" si="57"/>
        <v>10.1098--rsos.231240.pdf</v>
      </c>
      <c r="W1134" s="140" t="s">
        <v>324</v>
      </c>
      <c r="X1134" s="54" t="str">
        <f t="array" ref="X1134"> if(iserror(MATCH(V1134, 'File Links'!C:C, 0)), "N/A", HYPERLINK(INDEX('File Links'!B:B, MATCH(V1134, 'File Links'!C:C, 0))))</f>
        <v>https://drive.google.com/file/d/17gaf2Zy_ljFfcAEDk5L8GBnTl5i7RGJE/view?usp=drivesdk</v>
      </c>
      <c r="Y1134" s="1313"/>
      <c r="Z1134" s="1315" t="s">
        <v>148</v>
      </c>
      <c r="AA1134" s="1313" t="s">
        <v>6244</v>
      </c>
      <c r="AB1134" s="1313" t="s">
        <v>6245</v>
      </c>
      <c r="AC1134" s="1315" t="s">
        <v>6246</v>
      </c>
      <c r="AD1134" s="1313" t="s">
        <v>6247</v>
      </c>
      <c r="AE1134" s="1313" t="s">
        <v>5747</v>
      </c>
      <c r="AF1134" s="1318">
        <v>35.0</v>
      </c>
      <c r="AG1134" s="1341">
        <v>0.69</v>
      </c>
      <c r="AH1134" s="1313" t="s">
        <v>139</v>
      </c>
      <c r="AI1134" s="1313" t="s">
        <v>882</v>
      </c>
      <c r="AJ1134" s="1325">
        <v>0.001</v>
      </c>
      <c r="AK1134" s="1321" t="s">
        <v>135</v>
      </c>
      <c r="AL1134" s="1321" t="s">
        <v>186</v>
      </c>
      <c r="AM1134" s="1313" t="s">
        <v>137</v>
      </c>
      <c r="AN1134" s="1322" t="s">
        <v>138</v>
      </c>
      <c r="AO1134" s="1318">
        <v>32.0</v>
      </c>
      <c r="AP1134" s="1341">
        <v>0.827178432058932</v>
      </c>
      <c r="AQ1134" s="1313" t="s">
        <v>173</v>
      </c>
      <c r="AR1134" s="1322" t="s">
        <v>5604</v>
      </c>
      <c r="AS1134" s="1345">
        <v>6.63139204670043E-5</v>
      </c>
      <c r="AT1134" s="1313" t="s">
        <v>172</v>
      </c>
      <c r="AU1134" s="1313" t="s">
        <v>186</v>
      </c>
      <c r="AV1134" s="1313" t="s">
        <v>137</v>
      </c>
      <c r="AW1134" s="1323" t="s">
        <v>138</v>
      </c>
      <c r="AX1134" s="1339" t="s">
        <v>143</v>
      </c>
      <c r="AY1134" s="61" t="str">
        <f>IFERROR(__xludf.DUMMYFUNCTION("vlookup(BB1134,importrange(""https://docs.google.com/spreadsheets/d/1d2vevQ_7D_v35q4wCQ4RpQ_IPoTwEMB9Yp6ymwlPqew/edit?gid=984458430#gid=984458430"", ""'replication success'!A:K""), 11, FAlSE)"),"mixed")</f>
        <v>mixed</v>
      </c>
      <c r="AZ1134" s="61" t="str">
        <f>IFERROR(__xludf.DUMMYFUNCTION("vlookup(BB1134,importrange(""https://docs.google.com/spreadsheets/d/1d2vevQ_7D_v35q4wCQ4RpQ_IPoTwEMB9Yp6ymwlPqew/edit?gid=984458430#gid=984458430"",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1134" s="61" t="str">
        <f>IFERROR(__xludf.DUMMYFUNCTION("vlookup(BB1134,importrange(""https://docs.google.com/spreadsheets/d/1d2vevQ_7D_v35q4wCQ4RpQ_IPoTwEMB9Yp6ymwlPqew/edit?gid=984458430#gid=984458430"",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v>
      </c>
      <c r="BB1134" s="61" t="str">
        <f>IFERROR(__xludf.DUMMYFUNCTION("REGEXREPLACE(G1134, ""_[a-z]{1,2}$"", """")"),"Boyce_etal202373")</f>
        <v>Boyce_etal202373</v>
      </c>
      <c r="BD1134" s="1322" t="s">
        <v>5605</v>
      </c>
    </row>
    <row r="1135">
      <c r="A1135" s="44">
        <v>1135.0</v>
      </c>
      <c r="B1135" s="129" t="s">
        <v>152</v>
      </c>
      <c r="C1135" s="62" t="s">
        <v>115</v>
      </c>
      <c r="D1135" s="62" t="s">
        <v>248</v>
      </c>
      <c r="E1135" s="365"/>
      <c r="F1135" s="126" t="s">
        <v>6238</v>
      </c>
      <c r="G1135" s="119" t="s">
        <v>6239</v>
      </c>
      <c r="H1135" s="140" t="s">
        <v>249</v>
      </c>
      <c r="I1135" s="317">
        <v>45666.0</v>
      </c>
      <c r="J1135" s="1326">
        <v>45692.0</v>
      </c>
      <c r="K1135" s="125"/>
      <c r="L1135" s="125" t="s">
        <v>6240</v>
      </c>
      <c r="M1135" s="140" t="s">
        <v>6241</v>
      </c>
      <c r="N1135" s="140" t="s">
        <v>6242</v>
      </c>
      <c r="O1135" s="125"/>
      <c r="P1135" s="140" t="str">
        <f> SUBSTITUTE(lower(N1135), "/", "--") &amp;  ".pdf"</f>
        <v>10.1177--0956797614536739.pdf</v>
      </c>
      <c r="Q1135" s="52" t="str">
        <f t="array" ref="Q1135"> if(iserror(MATCH(V1135, 'File Links'!C:C, 0)), "N/A", HYPERLINK(INDEX('File Links'!B:B, MATCH(P1135, 'File Links'!C:C, 0))))</f>
        <v>https://drive.google.com/file/d/1c-T-gBsf13rctIADi3rUqpv_LDEac7l1/view?usp=drivesdk</v>
      </c>
      <c r="R1135" s="140" t="s">
        <v>6248</v>
      </c>
      <c r="S1135" s="159" t="s">
        <v>3654</v>
      </c>
      <c r="T1135" s="147" t="s">
        <v>138</v>
      </c>
      <c r="U1135" s="147" t="s">
        <v>138</v>
      </c>
      <c r="V1135" s="198" t="str">
        <f t="shared" si="57"/>
        <v>10.1098--rsos.231240.pdf</v>
      </c>
      <c r="W1135" s="140" t="s">
        <v>324</v>
      </c>
      <c r="X1135" s="54" t="str">
        <f t="array" ref="X1135"> if(iserror(MATCH(V1135, 'File Links'!C:C, 0)), "N/A", HYPERLINK(INDEX('File Links'!B:B, MATCH(V1135, 'File Links'!C:C, 0))))</f>
        <v>https://drive.google.com/file/d/17gaf2Zy_ljFfcAEDk5L8GBnTl5i7RGJE/view?usp=drivesdk</v>
      </c>
      <c r="Y1135" s="125"/>
      <c r="Z1135" s="140" t="s">
        <v>148</v>
      </c>
      <c r="AA1135" s="125"/>
      <c r="AB1135" s="140" t="s">
        <v>4426</v>
      </c>
      <c r="AC1135" s="125"/>
      <c r="AD1135" s="140" t="s">
        <v>6249</v>
      </c>
      <c r="AE1135" s="782">
        <v>1622.0</v>
      </c>
      <c r="AF1135" s="782">
        <v>35.0</v>
      </c>
      <c r="AG1135" s="782">
        <v>0.69</v>
      </c>
      <c r="AH1135" s="140" t="s">
        <v>139</v>
      </c>
      <c r="AI1135" s="140" t="s">
        <v>6250</v>
      </c>
      <c r="AJ1135" s="133">
        <v>0.001</v>
      </c>
      <c r="AK1135" s="126" t="s">
        <v>135</v>
      </c>
      <c r="AL1135" s="126" t="s">
        <v>136</v>
      </c>
      <c r="AM1135" s="140" t="s">
        <v>141</v>
      </c>
      <c r="AN1135" s="1322" t="s">
        <v>138</v>
      </c>
      <c r="AO1135" s="782">
        <v>32.0</v>
      </c>
      <c r="AP1135" s="782">
        <v>0.827178432058932</v>
      </c>
      <c r="AQ1135" s="140" t="s">
        <v>173</v>
      </c>
      <c r="AR1135" s="1322" t="s">
        <v>5604</v>
      </c>
      <c r="AS1135" s="1343">
        <v>6.63139204670043E-5</v>
      </c>
      <c r="AT1135" s="140" t="s">
        <v>172</v>
      </c>
      <c r="AU1135" s="140" t="s">
        <v>136</v>
      </c>
      <c r="AV1135" s="140" t="s">
        <v>141</v>
      </c>
      <c r="AW1135" s="1323" t="s">
        <v>138</v>
      </c>
      <c r="AX1135" s="670" t="s">
        <v>143</v>
      </c>
      <c r="AY1135" s="61" t="str">
        <f>IFERROR(__xludf.DUMMYFUNCTION("vlookup(BB1135,importrange(""https://docs.google.com/spreadsheets/d/1d2vevQ_7D_v35q4wCQ4RpQ_IPoTwEMB9Yp6ymwlPqew/edit?gid=984458430#gid=984458430"", ""'replication success'!A:K""), 11, FAlSE)"),"mixed")</f>
        <v>mixed</v>
      </c>
      <c r="AZ1135" s="61" t="str">
        <f>IFERROR(__xludf.DUMMYFUNCTION("vlookup(BB1135,importrange(""https://docs.google.com/spreadsheets/d/1d2vevQ_7D_v35q4wCQ4RpQ_IPoTwEMB9Yp6ymwlPqew/edit?gid=984458430#gid=984458430"", ""'replication success'!A:M""), 12, FAlSE)"),"0.75 [In figure 2, authors quantified subjective success on a more nuanced scale from 0, 0.25, 0.5, 0.75 and 1. I am coding 0 as 'failed', 1 as 'success' and anything inbetween as 'mixed']")</f>
        <v>0.75 [In figure 2, authors quantified subjective success on a more nuanced scale from 0, 0.25, 0.5, 0.75 and 1. I am coding 0 as 'failed', 1 as 'success' and anything inbetween as 'mixed']</v>
      </c>
      <c r="BA1135" s="61" t="str">
        <f>IFERROR(__xludf.DUMMYFUNCTION("vlookup(BB1135,importrange(""https://docs.google.com/spreadsheets/d/1d2vevQ_7D_v35q4wCQ4RpQ_IPoTwEMB9Yp6ymwlPqew/edit?gid=984458430#gid=984458430"",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v>
      </c>
      <c r="BB1135" s="61" t="str">
        <f>IFERROR(__xludf.DUMMYFUNCTION("REGEXREPLACE(G1135, ""_[a-z]{1,2}$"", """")"),"Boyce_etal202373")</f>
        <v>Boyce_etal202373</v>
      </c>
      <c r="BD1135" s="1322" t="s">
        <v>5605</v>
      </c>
    </row>
    <row r="1136">
      <c r="A1136" s="44">
        <v>1136.0</v>
      </c>
      <c r="B1136" s="129" t="s">
        <v>152</v>
      </c>
      <c r="C1136" s="62" t="s">
        <v>115</v>
      </c>
      <c r="D1136" s="62" t="s">
        <v>145</v>
      </c>
      <c r="E1136" s="365"/>
      <c r="F1136" s="1313" t="s">
        <v>6251</v>
      </c>
      <c r="G1136" s="1314" t="s">
        <v>6252</v>
      </c>
      <c r="H1136" s="1315" t="s">
        <v>5592</v>
      </c>
      <c r="I1136" s="1316">
        <v>45690.0</v>
      </c>
      <c r="J1136" s="1317">
        <v>45692.0</v>
      </c>
      <c r="K1136" s="1313"/>
      <c r="L1136" s="1322" t="s">
        <v>6253</v>
      </c>
      <c r="M1136" s="1315" t="s">
        <v>6254</v>
      </c>
      <c r="N1136" s="1315" t="s">
        <v>6255</v>
      </c>
      <c r="O1136" s="1318">
        <v>2.0</v>
      </c>
      <c r="P1136" s="1315" t="s">
        <v>6256</v>
      </c>
      <c r="Q1136" s="52" t="str">
        <f t="array" ref="Q1136"> if(iserror(MATCH(V1136, 'File Links'!C:C, 0)), "N/A", HYPERLINK(INDEX('File Links'!B:B, MATCH(P1136, 'File Links'!C:C, 0))))</f>
        <v>https://drive.google.com/file/d/1ZRJcq-rd4pEQb0DmJ1HQenA2-OH5dbEb/view?usp=drivesdk</v>
      </c>
      <c r="R1136" s="1315" t="s">
        <v>3653</v>
      </c>
      <c r="S1136" s="159" t="s">
        <v>3654</v>
      </c>
      <c r="T1136" s="147" t="s">
        <v>138</v>
      </c>
      <c r="U1136" s="147" t="s">
        <v>138</v>
      </c>
      <c r="V1136" s="198" t="str">
        <f t="shared" si="57"/>
        <v>10.1098--rsos.231240.pdf</v>
      </c>
      <c r="W1136" s="140" t="s">
        <v>324</v>
      </c>
      <c r="X1136" s="54" t="str">
        <f t="array" ref="X1136"> if(iserror(MATCH(V1136, 'File Links'!C:C, 0)), "N/A", HYPERLINK(INDEX('File Links'!B:B, MATCH(V1136, 'File Links'!C:C, 0))))</f>
        <v>https://drive.google.com/file/d/17gaf2Zy_ljFfcAEDk5L8GBnTl5i7RGJE/view?usp=drivesdk</v>
      </c>
      <c r="Y1136" s="1313"/>
      <c r="Z1136" s="1315" t="s">
        <v>226</v>
      </c>
      <c r="AA1136" s="1313" t="s">
        <v>1535</v>
      </c>
      <c r="AB1136" s="1313" t="s">
        <v>6257</v>
      </c>
      <c r="AC1136" s="1315" t="s">
        <v>6258</v>
      </c>
      <c r="AD1136" s="1313" t="s">
        <v>6259</v>
      </c>
      <c r="AE1136" s="1341">
        <v>8.0</v>
      </c>
      <c r="AF1136" s="1318">
        <v>40.0</v>
      </c>
      <c r="AG1136" s="1341">
        <v>1.233398852</v>
      </c>
      <c r="AH1136" s="1313" t="s">
        <v>173</v>
      </c>
      <c r="AI1136" s="1313" t="s">
        <v>1535</v>
      </c>
      <c r="AJ1136" s="1345">
        <v>0.001</v>
      </c>
      <c r="AK1136" s="1321" t="s">
        <v>135</v>
      </c>
      <c r="AL1136" s="1321" t="s">
        <v>186</v>
      </c>
      <c r="AM1136" s="1358" t="s">
        <v>137</v>
      </c>
      <c r="AN1136" s="1322" t="s">
        <v>138</v>
      </c>
      <c r="AO1136" s="1318">
        <v>39.0</v>
      </c>
      <c r="AP1136" s="1341">
        <v>1.24362373730964</v>
      </c>
      <c r="AQ1136" s="1313" t="s">
        <v>173</v>
      </c>
      <c r="AR1136" s="1322" t="s">
        <v>5604</v>
      </c>
      <c r="AS1136" s="1345">
        <v>1.91723363847369E-5</v>
      </c>
      <c r="AT1136" s="1313" t="s">
        <v>172</v>
      </c>
      <c r="AU1136" s="1313" t="s">
        <v>186</v>
      </c>
      <c r="AV1136" s="1313" t="s">
        <v>137</v>
      </c>
      <c r="AW1136" s="1323" t="s">
        <v>138</v>
      </c>
      <c r="AX1136" s="1339" t="s">
        <v>143</v>
      </c>
      <c r="AY1136" s="61" t="str">
        <f>IFERROR(__xludf.DUMMYFUNCTION("vlookup(BB1136,importrange(""https://docs.google.com/spreadsheets/d/1d2vevQ_7D_v35q4wCQ4RpQ_IPoTwEMB9Yp6ymwlPqew/edit?gid=984458430#gid=984458430"", ""'replication success'!A:K""), 11, FAlSE)"),"successful")</f>
        <v>successful</v>
      </c>
      <c r="AZ1136" s="61" t="str">
        <f>IFERROR(__xludf.DUMMYFUNCTION("vlookup(BB1136,importrange(""https://docs.google.com/spreadsheets/d/1d2vevQ_7D_v35q4wCQ4RpQ_IPoTwEMB9Yp6ymwlPqew/edit?gid=984458430#gid=984458430"",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36" s="61" t="str">
        <f>IFERROR(__xludf.DUMMYFUNCTION("vlookup(BB1136,importrange(""https://docs.google.com/spreadsheets/d/1d2vevQ_7D_v35q4wCQ4RpQ_IPoTwEMB9Yp6ymwlPqew/edit?gid=984458430#gid=984458430"",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v>
      </c>
      <c r="BB1136" s="61" t="str">
        <f>IFERROR(__xludf.DUMMYFUNCTION("REGEXREPLACE(G1136, ""_[a-z]{1,2}$"", """")"),"Boyce_etal202374")</f>
        <v>Boyce_etal202374</v>
      </c>
      <c r="BD1136" s="1322" t="s">
        <v>5605</v>
      </c>
    </row>
    <row r="1137">
      <c r="A1137" s="44">
        <v>1137.0</v>
      </c>
      <c r="B1137" s="129" t="s">
        <v>152</v>
      </c>
      <c r="C1137" s="62" t="s">
        <v>115</v>
      </c>
      <c r="D1137" s="62" t="s">
        <v>248</v>
      </c>
      <c r="E1137" s="365"/>
      <c r="F1137" s="126" t="s">
        <v>6251</v>
      </c>
      <c r="G1137" s="119" t="s">
        <v>6252</v>
      </c>
      <c r="H1137" s="140" t="s">
        <v>249</v>
      </c>
      <c r="I1137" s="317">
        <v>45666.0</v>
      </c>
      <c r="J1137" s="1326">
        <v>45692.0</v>
      </c>
      <c r="K1137" s="125"/>
      <c r="L1137" s="125" t="s">
        <v>5594</v>
      </c>
      <c r="M1137" s="140" t="s">
        <v>6254</v>
      </c>
      <c r="N1137" s="140" t="s">
        <v>6255</v>
      </c>
      <c r="O1137" s="125"/>
      <c r="P1137" s="140" t="str">
        <f t="shared" ref="P1137:P1143" si="71"> SUBSTITUTE(lower(N1137), "/", "--") &amp;  ".pdf"</f>
        <v>10.1177--0956797614553009.pdf</v>
      </c>
      <c r="Q1137" s="52" t="str">
        <f t="array" ref="Q1137"> if(iserror(MATCH(V1137, 'File Links'!C:C, 0)), "N/A", HYPERLINK(INDEX('File Links'!B:B, MATCH(P1137, 'File Links'!C:C, 0))))</f>
        <v>https://drive.google.com/file/d/1ZRJcq-rd4pEQb0DmJ1HQenA2-OH5dbEb/view?usp=drivesdk</v>
      </c>
      <c r="R1137" s="140" t="s">
        <v>6260</v>
      </c>
      <c r="S1137" s="159" t="s">
        <v>3654</v>
      </c>
      <c r="T1137" s="147" t="s">
        <v>138</v>
      </c>
      <c r="U1137" s="147" t="s">
        <v>138</v>
      </c>
      <c r="V1137" s="198" t="str">
        <f t="shared" si="57"/>
        <v>10.1098--rsos.231240.pdf</v>
      </c>
      <c r="W1137" s="140" t="s">
        <v>324</v>
      </c>
      <c r="X1137" s="54" t="str">
        <f t="array" ref="X1137"> if(iserror(MATCH(V1137, 'File Links'!C:C, 0)), "N/A", HYPERLINK(INDEX('File Links'!B:B, MATCH(V1137, 'File Links'!C:C, 0))))</f>
        <v>https://drive.google.com/file/d/17gaf2Zy_ljFfcAEDk5L8GBnTl5i7RGJE/view?usp=drivesdk</v>
      </c>
      <c r="Y1137" s="125"/>
      <c r="Z1137" s="140" t="s">
        <v>226</v>
      </c>
      <c r="AA1137" s="125"/>
      <c r="AB1137" s="125"/>
      <c r="AC1137" s="125"/>
      <c r="AD1137" s="140" t="s">
        <v>6261</v>
      </c>
      <c r="AE1137" s="782">
        <v>7.0</v>
      </c>
      <c r="AF1137" s="782">
        <v>40.0</v>
      </c>
      <c r="AG1137" s="378" t="s">
        <v>6262</v>
      </c>
      <c r="AH1137" s="119" t="s">
        <v>134</v>
      </c>
      <c r="AI1137" s="140" t="s">
        <v>4979</v>
      </c>
      <c r="AJ1137" s="133">
        <v>0.001</v>
      </c>
      <c r="AK1137" s="126" t="s">
        <v>135</v>
      </c>
      <c r="AL1137" s="126" t="s">
        <v>136</v>
      </c>
      <c r="AM1137" s="140" t="s">
        <v>141</v>
      </c>
      <c r="AN1137" s="1322" t="s">
        <v>138</v>
      </c>
      <c r="AO1137" s="782">
        <v>39.0</v>
      </c>
      <c r="AP1137" s="225" t="s">
        <v>6263</v>
      </c>
      <c r="AQ1137" s="119" t="s">
        <v>134</v>
      </c>
      <c r="AR1137" s="1322" t="s">
        <v>5604</v>
      </c>
      <c r="AS1137" s="1343">
        <v>1.91723363847369E-5</v>
      </c>
      <c r="AT1137" s="140" t="s">
        <v>172</v>
      </c>
      <c r="AU1137" s="140" t="s">
        <v>136</v>
      </c>
      <c r="AV1137" s="140" t="s">
        <v>141</v>
      </c>
      <c r="AW1137" s="1323" t="s">
        <v>138</v>
      </c>
      <c r="AX1137" s="670" t="s">
        <v>143</v>
      </c>
      <c r="AY1137" s="61" t="str">
        <f>IFERROR(__xludf.DUMMYFUNCTION("vlookup(BB1137,importrange(""https://docs.google.com/spreadsheets/d/1d2vevQ_7D_v35q4wCQ4RpQ_IPoTwEMB9Yp6ymwlPqew/edit?gid=984458430#gid=984458430"", ""'replication success'!A:K""), 11, FAlSE)"),"successful")</f>
        <v>successful</v>
      </c>
      <c r="AZ1137" s="61" t="str">
        <f>IFERROR(__xludf.DUMMYFUNCTION("vlookup(BB1137,importrange(""https://docs.google.com/spreadsheets/d/1d2vevQ_7D_v35q4wCQ4RpQ_IPoTwEMB9Yp6ymwlPqew/edit?gid=984458430#gid=984458430"",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37" s="61" t="str">
        <f>IFERROR(__xludf.DUMMYFUNCTION("vlookup(BB1137,importrange(""https://docs.google.com/spreadsheets/d/1d2vevQ_7D_v35q4wCQ4RpQ_IPoTwEMB9Yp6ymwlPqew/edit?gid=984458430#gid=984458430"",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v>
      </c>
      <c r="BB1137" s="61" t="str">
        <f>IFERROR(__xludf.DUMMYFUNCTION("REGEXREPLACE(G1137, ""_[a-z]{1,2}$"", """")"),"Boyce_etal202374")</f>
        <v>Boyce_etal202374</v>
      </c>
      <c r="BD1137" s="1322" t="s">
        <v>5605</v>
      </c>
    </row>
    <row r="1138">
      <c r="A1138" s="44">
        <v>1138.0</v>
      </c>
      <c r="B1138" s="68" t="s">
        <v>590</v>
      </c>
      <c r="C1138" s="62" t="s">
        <v>115</v>
      </c>
      <c r="D1138" s="62" t="s">
        <v>145</v>
      </c>
      <c r="E1138" s="365"/>
      <c r="F1138" s="1313" t="s">
        <v>6264</v>
      </c>
      <c r="G1138" s="1314" t="s">
        <v>6265</v>
      </c>
      <c r="H1138" s="1315" t="s">
        <v>5592</v>
      </c>
      <c r="I1138" s="1316">
        <v>45690.0</v>
      </c>
      <c r="J1138" s="1317">
        <v>45692.0</v>
      </c>
      <c r="K1138" s="1313"/>
      <c r="L1138" s="1313" t="s">
        <v>6266</v>
      </c>
      <c r="M1138" s="1315" t="s">
        <v>6267</v>
      </c>
      <c r="N1138" s="1313" t="s">
        <v>6268</v>
      </c>
      <c r="O1138" s="1318">
        <v>1.0</v>
      </c>
      <c r="P1138" s="140" t="str">
        <f t="shared" si="71"/>
        <v>10.1037--a0020413.pdf</v>
      </c>
      <c r="Q1138" s="52" t="str">
        <f t="array" ref="Q1138"> if(iserror(MATCH(V1138, 'File Links'!C:C, 0)), "N/A", HYPERLINK(INDEX('File Links'!B:B, MATCH(P1138, 'File Links'!C:C, 0))))</f>
        <v>https://drive.google.com/file/d/1s3htODPJ-fx2SsrGMPuuPnrS-QkOjVmW/view?usp=drivesdk</v>
      </c>
      <c r="R1138" s="1315" t="s">
        <v>3653</v>
      </c>
      <c r="S1138" s="159" t="s">
        <v>3654</v>
      </c>
      <c r="T1138" s="147" t="s">
        <v>138</v>
      </c>
      <c r="U1138" s="147" t="s">
        <v>138</v>
      </c>
      <c r="V1138" s="198" t="str">
        <f t="shared" si="57"/>
        <v>10.1098--rsos.231240.pdf</v>
      </c>
      <c r="W1138" s="140" t="s">
        <v>3665</v>
      </c>
      <c r="X1138" s="54" t="str">
        <f t="array" ref="X1138"> if(iserror(MATCH(V1138, 'File Links'!C:C, 0)), "N/A", HYPERLINK(INDEX('File Links'!B:B, MATCH(V1138, 'File Links'!C:C, 0))))</f>
        <v>https://drive.google.com/file/d/17gaf2Zy_ljFfcAEDk5L8GBnTl5i7RGJE/view?usp=drivesdk</v>
      </c>
      <c r="Y1138" s="1313"/>
      <c r="Z1138" s="1315" t="s">
        <v>148</v>
      </c>
      <c r="AA1138" s="1313" t="s">
        <v>1535</v>
      </c>
      <c r="AB1138" s="1313" t="s">
        <v>6269</v>
      </c>
      <c r="AC1138" s="1315" t="s">
        <v>6270</v>
      </c>
      <c r="AD1138" s="1313" t="s">
        <v>6271</v>
      </c>
      <c r="AE1138" s="1341">
        <v>4.0</v>
      </c>
      <c r="AF1138" s="1318">
        <v>22.0</v>
      </c>
      <c r="AG1138" s="1341">
        <v>0.35</v>
      </c>
      <c r="AH1138" s="1313" t="s">
        <v>139</v>
      </c>
      <c r="AI1138" s="1313" t="s">
        <v>850</v>
      </c>
      <c r="AJ1138" s="1325">
        <v>0.001</v>
      </c>
      <c r="AK1138" s="1321" t="s">
        <v>135</v>
      </c>
      <c r="AL1138" s="1321" t="s">
        <v>186</v>
      </c>
      <c r="AM1138" s="1313" t="s">
        <v>137</v>
      </c>
      <c r="AN1138" s="1322" t="s">
        <v>138</v>
      </c>
      <c r="AO1138" s="1318">
        <v>22.0</v>
      </c>
      <c r="AP1138" s="1341">
        <v>0.298469090943318</v>
      </c>
      <c r="AQ1138" s="1313" t="s">
        <v>173</v>
      </c>
      <c r="AR1138" s="1322" t="s">
        <v>5604</v>
      </c>
      <c r="AS1138" s="1341">
        <v>0.00539563199687963</v>
      </c>
      <c r="AT1138" s="1313" t="s">
        <v>172</v>
      </c>
      <c r="AU1138" s="1313" t="s">
        <v>186</v>
      </c>
      <c r="AV1138" s="1313" t="s">
        <v>137</v>
      </c>
      <c r="AW1138" s="1323" t="s">
        <v>138</v>
      </c>
      <c r="AX1138" s="1339" t="s">
        <v>143</v>
      </c>
      <c r="AY1138" s="61" t="str">
        <f>IFERROR(__xludf.DUMMYFUNCTION("vlookup(BB1138,importrange(""https://docs.google.com/spreadsheets/d/1d2vevQ_7D_v35q4wCQ4RpQ_IPoTwEMB9Yp6ymwlPqew/edit?gid=984458430#gid=984458430"", ""'replication success'!A:K""), 11, FAlSE)"),"#N/A")</f>
        <v>#N/A</v>
      </c>
      <c r="AZ1138" s="61" t="str">
        <f>IFERROR(__xludf.DUMMYFUNCTION("vlookup(BB1138,importrange(""https://docs.google.com/spreadsheets/d/1d2vevQ_7D_v35q4wCQ4RpQ_IPoTwEMB9Yp6ymwlPqew/edit?gid=984458430#gid=984458430"", ""'replication success'!A:M""), 12, FAlSE)"),"#N/A")</f>
        <v>#N/A</v>
      </c>
      <c r="BA1138" s="61" t="str">
        <f>IFERROR(__xludf.DUMMYFUNCTION("vlookup(BB1138,importrange(""https://docs.google.com/spreadsheets/d/1d2vevQ_7D_v35q4wCQ4RpQ_IPoTwEMB9Yp6ymwlPqew/edit?gid=984458430#gid=984458430"", ""'replication success'!A:M""), 13, FAlSE)"),"#N/A")</f>
        <v>#N/A</v>
      </c>
      <c r="BB1138" s="61" t="str">
        <f>IFERROR(__xludf.DUMMYFUNCTION("REGEXREPLACE(G1138, ""_[a-z]{1,2}$"", """")"),"Boyce_etal202375")</f>
        <v>Boyce_etal202375</v>
      </c>
      <c r="BD1138" s="1322" t="s">
        <v>5605</v>
      </c>
    </row>
    <row r="1139">
      <c r="A1139" s="44">
        <v>1139.0</v>
      </c>
      <c r="B1139" s="68" t="s">
        <v>590</v>
      </c>
      <c r="C1139" s="62" t="s">
        <v>115</v>
      </c>
      <c r="D1139" s="62" t="s">
        <v>145</v>
      </c>
      <c r="E1139" s="365"/>
      <c r="F1139" s="1313" t="s">
        <v>6264</v>
      </c>
      <c r="G1139" s="1314" t="s">
        <v>6272</v>
      </c>
      <c r="H1139" s="1315" t="s">
        <v>5592</v>
      </c>
      <c r="I1139" s="1316">
        <v>45690.0</v>
      </c>
      <c r="J1139" s="1317">
        <v>45692.0</v>
      </c>
      <c r="K1139" s="1313"/>
      <c r="L1139" s="1313" t="s">
        <v>6266</v>
      </c>
      <c r="M1139" s="1315" t="s">
        <v>6267</v>
      </c>
      <c r="N1139" s="1313" t="s">
        <v>6268</v>
      </c>
      <c r="O1139" s="1318">
        <v>1.0</v>
      </c>
      <c r="P1139" s="140" t="str">
        <f t="shared" si="71"/>
        <v>10.1037--a0020413.pdf</v>
      </c>
      <c r="Q1139" s="52" t="str">
        <f t="array" ref="Q1139"> if(iserror(MATCH(V1139, 'File Links'!C:C, 0)), "N/A", HYPERLINK(INDEX('File Links'!B:B, MATCH(P1139, 'File Links'!C:C, 0))))</f>
        <v>https://drive.google.com/file/d/1s3htODPJ-fx2SsrGMPuuPnrS-QkOjVmW/view?usp=drivesdk</v>
      </c>
      <c r="R1139" s="1315" t="s">
        <v>3653</v>
      </c>
      <c r="S1139" s="159" t="s">
        <v>3654</v>
      </c>
      <c r="T1139" s="147" t="s">
        <v>138</v>
      </c>
      <c r="U1139" s="147" t="s">
        <v>138</v>
      </c>
      <c r="V1139" s="198" t="str">
        <f t="shared" si="57"/>
        <v>10.1098--rsos.231240.pdf</v>
      </c>
      <c r="W1139" s="140" t="s">
        <v>3665</v>
      </c>
      <c r="X1139" s="54" t="str">
        <f t="array" ref="X1139"> if(iserror(MATCH(V1139, 'File Links'!C:C, 0)), "N/A", HYPERLINK(INDEX('File Links'!B:B, MATCH(V1139, 'File Links'!C:C, 0))))</f>
        <v>https://drive.google.com/file/d/17gaf2Zy_ljFfcAEDk5L8GBnTl5i7RGJE/view?usp=drivesdk</v>
      </c>
      <c r="Y1139" s="1313"/>
      <c r="Z1139" s="1315" t="s">
        <v>148</v>
      </c>
      <c r="AA1139" s="1313" t="s">
        <v>1535</v>
      </c>
      <c r="AB1139" s="1313" t="s">
        <v>6269</v>
      </c>
      <c r="AC1139" s="1315" t="s">
        <v>6273</v>
      </c>
      <c r="AD1139" s="1313" t="s">
        <v>6274</v>
      </c>
      <c r="AE1139" s="1341">
        <v>4.0</v>
      </c>
      <c r="AF1139" s="1318">
        <v>22.0</v>
      </c>
      <c r="AG1139" s="1341">
        <v>0.78</v>
      </c>
      <c r="AH1139" s="1313" t="s">
        <v>139</v>
      </c>
      <c r="AI1139" s="1313" t="s">
        <v>850</v>
      </c>
      <c r="AJ1139" s="1325">
        <v>0.001</v>
      </c>
      <c r="AK1139" s="1321" t="s">
        <v>135</v>
      </c>
      <c r="AL1139" s="1321" t="s">
        <v>186</v>
      </c>
      <c r="AM1139" s="1313" t="s">
        <v>137</v>
      </c>
      <c r="AN1139" s="1322" t="s">
        <v>138</v>
      </c>
      <c r="AO1139" s="1318">
        <v>22.0</v>
      </c>
      <c r="AP1139" s="1341">
        <v>0.298469090943318</v>
      </c>
      <c r="AQ1139" s="1313" t="s">
        <v>173</v>
      </c>
      <c r="AR1139" s="1322" t="s">
        <v>5604</v>
      </c>
      <c r="AS1139" s="1341">
        <v>0.00539563199687963</v>
      </c>
      <c r="AT1139" s="1313" t="s">
        <v>172</v>
      </c>
      <c r="AU1139" s="1313" t="s">
        <v>186</v>
      </c>
      <c r="AV1139" s="1313" t="s">
        <v>137</v>
      </c>
      <c r="AW1139" s="1323" t="s">
        <v>138</v>
      </c>
      <c r="AX1139" s="1339" t="s">
        <v>143</v>
      </c>
      <c r="AY1139" s="61" t="str">
        <f>IFERROR(__xludf.DUMMYFUNCTION("vlookup(BB1139,importrange(""https://docs.google.com/spreadsheets/d/1d2vevQ_7D_v35q4wCQ4RpQ_IPoTwEMB9Yp6ymwlPqew/edit?gid=984458430#gid=984458430"", ""'replication success'!A:K""), 11, FAlSE)"),"#N/A")</f>
        <v>#N/A</v>
      </c>
      <c r="AZ1139" s="61" t="str">
        <f>IFERROR(__xludf.DUMMYFUNCTION("vlookup(BB1139,importrange(""https://docs.google.com/spreadsheets/d/1d2vevQ_7D_v35q4wCQ4RpQ_IPoTwEMB9Yp6ymwlPqew/edit?gid=984458430#gid=984458430"", ""'replication success'!A:M""), 12, FAlSE)"),"#N/A")</f>
        <v>#N/A</v>
      </c>
      <c r="BA1139" s="61" t="str">
        <f>IFERROR(__xludf.DUMMYFUNCTION("vlookup(BB1139,importrange(""https://docs.google.com/spreadsheets/d/1d2vevQ_7D_v35q4wCQ4RpQ_IPoTwEMB9Yp6ymwlPqew/edit?gid=984458430#gid=984458430"", ""'replication success'!A:M""), 13, FAlSE)"),"#N/A")</f>
        <v>#N/A</v>
      </c>
      <c r="BB1139" s="61" t="str">
        <f>IFERROR(__xludf.DUMMYFUNCTION("REGEXREPLACE(G1139, ""_[a-z]{1,2}$"", """")"),"Boyce_etal202375")</f>
        <v>Boyce_etal202375</v>
      </c>
      <c r="BD1139" s="1322" t="s">
        <v>5605</v>
      </c>
    </row>
    <row r="1140">
      <c r="A1140" s="44">
        <v>1140.0</v>
      </c>
      <c r="B1140" s="68" t="s">
        <v>590</v>
      </c>
      <c r="C1140" s="62" t="s">
        <v>115</v>
      </c>
      <c r="D1140" s="62" t="s">
        <v>145</v>
      </c>
      <c r="E1140" s="365"/>
      <c r="F1140" s="1313" t="s">
        <v>6264</v>
      </c>
      <c r="G1140" s="1314" t="s">
        <v>6275</v>
      </c>
      <c r="H1140" s="1315" t="s">
        <v>5592</v>
      </c>
      <c r="I1140" s="1316">
        <v>45690.0</v>
      </c>
      <c r="J1140" s="1317">
        <v>45692.0</v>
      </c>
      <c r="K1140" s="1313"/>
      <c r="L1140" s="1313" t="s">
        <v>6266</v>
      </c>
      <c r="M1140" s="1315" t="s">
        <v>6267</v>
      </c>
      <c r="N1140" s="1313" t="s">
        <v>6268</v>
      </c>
      <c r="O1140" s="1318">
        <v>1.0</v>
      </c>
      <c r="P1140" s="140" t="str">
        <f t="shared" si="71"/>
        <v>10.1037--a0020413.pdf</v>
      </c>
      <c r="Q1140" s="52" t="str">
        <f t="array" ref="Q1140"> if(iserror(MATCH(V1140, 'File Links'!C:C, 0)), "N/A", HYPERLINK(INDEX('File Links'!B:B, MATCH(P1140, 'File Links'!C:C, 0))))</f>
        <v>https://drive.google.com/file/d/1s3htODPJ-fx2SsrGMPuuPnrS-QkOjVmW/view?usp=drivesdk</v>
      </c>
      <c r="R1140" s="1315" t="s">
        <v>3653</v>
      </c>
      <c r="S1140" s="159" t="s">
        <v>3654</v>
      </c>
      <c r="T1140" s="147" t="s">
        <v>138</v>
      </c>
      <c r="U1140" s="147" t="s">
        <v>138</v>
      </c>
      <c r="V1140" s="198" t="str">
        <f t="shared" si="57"/>
        <v>10.1098--rsos.231240.pdf</v>
      </c>
      <c r="W1140" s="140" t="s">
        <v>3665</v>
      </c>
      <c r="X1140" s="54" t="str">
        <f t="array" ref="X1140"> if(iserror(MATCH(V1140, 'File Links'!C:C, 0)), "N/A", HYPERLINK(INDEX('File Links'!B:B, MATCH(V1140, 'File Links'!C:C, 0))))</f>
        <v>https://drive.google.com/file/d/17gaf2Zy_ljFfcAEDk5L8GBnTl5i7RGJE/view?usp=drivesdk</v>
      </c>
      <c r="Y1140" s="1313"/>
      <c r="Z1140" s="1315" t="s">
        <v>148</v>
      </c>
      <c r="AA1140" s="1313" t="s">
        <v>1535</v>
      </c>
      <c r="AB1140" s="1313" t="s">
        <v>6269</v>
      </c>
      <c r="AC1140" s="1315" t="s">
        <v>6276</v>
      </c>
      <c r="AD1140" s="1313" t="s">
        <v>6277</v>
      </c>
      <c r="AE1140" s="1341">
        <v>4.0</v>
      </c>
      <c r="AF1140" s="1318">
        <v>22.0</v>
      </c>
      <c r="AG1140" s="1341">
        <v>0.13</v>
      </c>
      <c r="AH1140" s="1313" t="s">
        <v>139</v>
      </c>
      <c r="AI1140" s="1313" t="s">
        <v>850</v>
      </c>
      <c r="AJ1140" s="1325">
        <v>0.001</v>
      </c>
      <c r="AK1140" s="1321" t="s">
        <v>135</v>
      </c>
      <c r="AL1140" s="1321" t="s">
        <v>186</v>
      </c>
      <c r="AM1140" s="1313" t="s">
        <v>137</v>
      </c>
      <c r="AN1140" s="1322" t="s">
        <v>138</v>
      </c>
      <c r="AO1140" s="1318">
        <v>22.0</v>
      </c>
      <c r="AP1140" s="1341">
        <v>0.298469090943318</v>
      </c>
      <c r="AQ1140" s="1313" t="s">
        <v>173</v>
      </c>
      <c r="AR1140" s="1322" t="s">
        <v>5604</v>
      </c>
      <c r="AS1140" s="1341">
        <v>0.00539563199687963</v>
      </c>
      <c r="AT1140" s="1313" t="s">
        <v>172</v>
      </c>
      <c r="AU1140" s="1313" t="s">
        <v>186</v>
      </c>
      <c r="AV1140" s="1313" t="s">
        <v>137</v>
      </c>
      <c r="AW1140" s="1323" t="s">
        <v>138</v>
      </c>
      <c r="AX1140" s="1339" t="s">
        <v>143</v>
      </c>
      <c r="AY1140" s="61" t="str">
        <f>IFERROR(__xludf.DUMMYFUNCTION("vlookup(BB1140,importrange(""https://docs.google.com/spreadsheets/d/1d2vevQ_7D_v35q4wCQ4RpQ_IPoTwEMB9Yp6ymwlPqew/edit?gid=984458430#gid=984458430"", ""'replication success'!A:K""), 11, FAlSE)"),"#N/A")</f>
        <v>#N/A</v>
      </c>
      <c r="AZ1140" s="61" t="str">
        <f>IFERROR(__xludf.DUMMYFUNCTION("vlookup(BB1140,importrange(""https://docs.google.com/spreadsheets/d/1d2vevQ_7D_v35q4wCQ4RpQ_IPoTwEMB9Yp6ymwlPqew/edit?gid=984458430#gid=984458430"", ""'replication success'!A:M""), 12, FAlSE)"),"#N/A")</f>
        <v>#N/A</v>
      </c>
      <c r="BA1140" s="61" t="str">
        <f>IFERROR(__xludf.DUMMYFUNCTION("vlookup(BB1140,importrange(""https://docs.google.com/spreadsheets/d/1d2vevQ_7D_v35q4wCQ4RpQ_IPoTwEMB9Yp6ymwlPqew/edit?gid=984458430#gid=984458430"", ""'replication success'!A:M""), 13, FAlSE)"),"#N/A")</f>
        <v>#N/A</v>
      </c>
      <c r="BB1140" s="61" t="str">
        <f>IFERROR(__xludf.DUMMYFUNCTION("REGEXREPLACE(G1140, ""_[a-z]{1,2}$"", """")"),"Boyce_etal202375")</f>
        <v>Boyce_etal202375</v>
      </c>
      <c r="BD1140" s="1322" t="s">
        <v>5605</v>
      </c>
    </row>
    <row r="1141">
      <c r="A1141" s="44">
        <v>1141.0</v>
      </c>
      <c r="B1141" s="68" t="s">
        <v>590</v>
      </c>
      <c r="C1141" s="62" t="s">
        <v>115</v>
      </c>
      <c r="D1141" s="62" t="s">
        <v>248</v>
      </c>
      <c r="E1141" s="365"/>
      <c r="F1141" s="126" t="s">
        <v>6264</v>
      </c>
      <c r="G1141" s="119" t="s">
        <v>6265</v>
      </c>
      <c r="H1141" s="140" t="s">
        <v>249</v>
      </c>
      <c r="I1141" s="317">
        <v>45666.0</v>
      </c>
      <c r="J1141" s="1326">
        <v>45692.0</v>
      </c>
      <c r="K1141" s="140" t="s">
        <v>6278</v>
      </c>
      <c r="L1141" s="125" t="s">
        <v>6266</v>
      </c>
      <c r="M1141" s="140" t="s">
        <v>6267</v>
      </c>
      <c r="N1141" s="140" t="s">
        <v>6268</v>
      </c>
      <c r="O1141" s="125"/>
      <c r="P1141" s="140" t="str">
        <f t="shared" si="71"/>
        <v>10.1037--a0020413.pdf</v>
      </c>
      <c r="Q1141" s="52" t="str">
        <f t="array" ref="Q1141"> if(iserror(MATCH(V1141, 'File Links'!C:C, 0)), "N/A", HYPERLINK(INDEX('File Links'!B:B, MATCH(P1141, 'File Links'!C:C, 0))))</f>
        <v>https://drive.google.com/file/d/1s3htODPJ-fx2SsrGMPuuPnrS-QkOjVmW/view?usp=drivesdk</v>
      </c>
      <c r="R1141" s="140" t="s">
        <v>6279</v>
      </c>
      <c r="S1141" s="159" t="s">
        <v>3654</v>
      </c>
      <c r="T1141" s="147" t="s">
        <v>138</v>
      </c>
      <c r="U1141" s="147" t="s">
        <v>138</v>
      </c>
      <c r="V1141" s="198" t="str">
        <f t="shared" si="57"/>
        <v>10.1098--rsos.231240.pdf</v>
      </c>
      <c r="W1141" s="140" t="s">
        <v>3665</v>
      </c>
      <c r="X1141" s="54" t="str">
        <f t="array" ref="X1141"> if(iserror(MATCH(V1141, 'File Links'!C:C, 0)), "N/A", HYPERLINK(INDEX('File Links'!B:B, MATCH(V1141, 'File Links'!C:C, 0))))</f>
        <v>https://drive.google.com/file/d/17gaf2Zy_ljFfcAEDk5L8GBnTl5i7RGJE/view?usp=drivesdk</v>
      </c>
      <c r="Y1141" s="125"/>
      <c r="Z1141" s="140" t="s">
        <v>148</v>
      </c>
      <c r="AA1141" s="125"/>
      <c r="AB1141" s="125"/>
      <c r="AC1141" s="125"/>
      <c r="AD1141" s="140" t="s">
        <v>138</v>
      </c>
      <c r="AE1141" s="140" t="s">
        <v>138</v>
      </c>
      <c r="AF1141" s="782">
        <v>22.0</v>
      </c>
      <c r="AG1141" s="782">
        <v>5.41602791419206</v>
      </c>
      <c r="AH1141" s="140" t="s">
        <v>173</v>
      </c>
      <c r="AI1141" s="140" t="s">
        <v>138</v>
      </c>
      <c r="AJ1141" s="223" t="s">
        <v>138</v>
      </c>
      <c r="AK1141" s="132"/>
      <c r="AL1141" s="126" t="s">
        <v>186</v>
      </c>
      <c r="AM1141" s="140" t="s">
        <v>1905</v>
      </c>
      <c r="AN1141" s="1322" t="s">
        <v>138</v>
      </c>
      <c r="AO1141" s="782">
        <v>22.0</v>
      </c>
      <c r="AP1141" s="782">
        <v>0.298469090943318</v>
      </c>
      <c r="AQ1141" s="140" t="s">
        <v>173</v>
      </c>
      <c r="AR1141" s="1322" t="s">
        <v>5604</v>
      </c>
      <c r="AS1141" s="782">
        <v>0.00539563199687963</v>
      </c>
      <c r="AT1141" s="140" t="s">
        <v>172</v>
      </c>
      <c r="AU1141" s="140" t="s">
        <v>186</v>
      </c>
      <c r="AV1141" s="140" t="s">
        <v>1905</v>
      </c>
      <c r="AW1141" s="1323" t="s">
        <v>138</v>
      </c>
      <c r="AX1141" s="670" t="s">
        <v>143</v>
      </c>
      <c r="AY1141" s="61" t="str">
        <f>IFERROR(__xludf.DUMMYFUNCTION("vlookup(BB1141,importrange(""https://docs.google.com/spreadsheets/d/1d2vevQ_7D_v35q4wCQ4RpQ_IPoTwEMB9Yp6ymwlPqew/edit?gid=984458430#gid=984458430"", ""'replication success'!A:K""), 11, FAlSE)"),"#N/A")</f>
        <v>#N/A</v>
      </c>
      <c r="AZ1141" s="61" t="str">
        <f>IFERROR(__xludf.DUMMYFUNCTION("vlookup(BB1141,importrange(""https://docs.google.com/spreadsheets/d/1d2vevQ_7D_v35q4wCQ4RpQ_IPoTwEMB9Yp6ymwlPqew/edit?gid=984458430#gid=984458430"", ""'replication success'!A:M""), 12, FAlSE)"),"#N/A")</f>
        <v>#N/A</v>
      </c>
      <c r="BA1141" s="61" t="str">
        <f>IFERROR(__xludf.DUMMYFUNCTION("vlookup(BB1141,importrange(""https://docs.google.com/spreadsheets/d/1d2vevQ_7D_v35q4wCQ4RpQ_IPoTwEMB9Yp6ymwlPqew/edit?gid=984458430#gid=984458430"", ""'replication success'!A:M""), 13, FAlSE)"),"#N/A")</f>
        <v>#N/A</v>
      </c>
      <c r="BB1141" s="61" t="str">
        <f>IFERROR(__xludf.DUMMYFUNCTION("REGEXREPLACE(G1141, ""_[a-z]{1,2}$"", """")"),"Boyce_etal202375")</f>
        <v>Boyce_etal202375</v>
      </c>
      <c r="BD1141" s="1322" t="s">
        <v>5605</v>
      </c>
    </row>
    <row r="1142">
      <c r="A1142" s="44">
        <v>1142.0</v>
      </c>
      <c r="B1142" s="129" t="s">
        <v>2013</v>
      </c>
      <c r="C1142" s="62" t="s">
        <v>115</v>
      </c>
      <c r="D1142" s="62" t="s">
        <v>145</v>
      </c>
      <c r="E1142" s="365"/>
      <c r="F1142" s="1313" t="s">
        <v>6280</v>
      </c>
      <c r="G1142" s="1314" t="s">
        <v>6281</v>
      </c>
      <c r="H1142" s="1315" t="s">
        <v>5592</v>
      </c>
      <c r="I1142" s="1316">
        <v>45690.0</v>
      </c>
      <c r="J1142" s="1317">
        <v>45692.0</v>
      </c>
      <c r="K1142" s="1313" t="s">
        <v>5677</v>
      </c>
      <c r="L1142" s="1313" t="s">
        <v>6282</v>
      </c>
      <c r="M1142" s="1315" t="s">
        <v>6283</v>
      </c>
      <c r="N1142" s="1313" t="s">
        <v>6284</v>
      </c>
      <c r="O1142" s="1318">
        <v>1.0</v>
      </c>
      <c r="P1142" s="140" t="str">
        <f t="shared" si="71"/>
        <v>10.1016--j.cognition.2019.104157.pdf</v>
      </c>
      <c r="Q1142" s="52" t="str">
        <f t="array" ref="Q1142"> if(iserror(MATCH(V1142, 'File Links'!C:C, 0)), "N/A", HYPERLINK(INDEX('File Links'!B:B, MATCH(P1142, 'File Links'!C:C, 0))))</f>
        <v>https://drive.google.com/file/d/1vD03nf0a0BC3Ui7dZPBwsHBn8uBFVmTS/view?usp=drivesdk</v>
      </c>
      <c r="R1142" s="1315" t="s">
        <v>3653</v>
      </c>
      <c r="S1142" s="159" t="s">
        <v>3654</v>
      </c>
      <c r="T1142" s="147" t="s">
        <v>138</v>
      </c>
      <c r="U1142" s="147" t="s">
        <v>138</v>
      </c>
      <c r="V1142" s="198" t="str">
        <f t="shared" si="57"/>
        <v>10.1098--rsos.231240.pdf</v>
      </c>
      <c r="W1142" s="140" t="s">
        <v>3665</v>
      </c>
      <c r="X1142" s="54" t="str">
        <f t="array" ref="X1142"> if(iserror(MATCH(V1142, 'File Links'!C:C, 0)), "N/A", HYPERLINK(INDEX('File Links'!B:B, MATCH(V1142, 'File Links'!C:C, 0))))</f>
        <v>https://drive.google.com/file/d/17gaf2Zy_ljFfcAEDk5L8GBnTl5i7RGJE/view?usp=drivesdk</v>
      </c>
      <c r="Y1142" s="1313"/>
      <c r="Z1142" s="1315" t="s">
        <v>148</v>
      </c>
      <c r="AA1142" s="1313" t="s">
        <v>1535</v>
      </c>
      <c r="AB1142" s="1313" t="s">
        <v>6285</v>
      </c>
      <c r="AC1142" s="1315" t="s">
        <v>6286</v>
      </c>
      <c r="AD1142" s="1313" t="s">
        <v>1535</v>
      </c>
      <c r="AE1142" s="1313" t="s">
        <v>1535</v>
      </c>
      <c r="AF1142" s="1318">
        <v>51.0</v>
      </c>
      <c r="AG1142" s="1313" t="s">
        <v>1535</v>
      </c>
      <c r="AH1142" s="167" t="s">
        <v>138</v>
      </c>
      <c r="AI1142" s="1313" t="s">
        <v>1535</v>
      </c>
      <c r="AJ1142" s="1320" t="s">
        <v>1535</v>
      </c>
      <c r="AK1142" s="1321" t="s">
        <v>1535</v>
      </c>
      <c r="AL1142" s="1321" t="s">
        <v>186</v>
      </c>
      <c r="AM1142" s="1313" t="s">
        <v>137</v>
      </c>
      <c r="AN1142" s="1342" t="s">
        <v>6287</v>
      </c>
      <c r="AO1142" s="1318">
        <v>24.0</v>
      </c>
      <c r="AP1142" s="1313" t="s">
        <v>1535</v>
      </c>
      <c r="AQ1142" s="129" t="s">
        <v>138</v>
      </c>
      <c r="AR1142" s="1322" t="s">
        <v>5604</v>
      </c>
      <c r="AS1142" s="1313" t="s">
        <v>1535</v>
      </c>
      <c r="AT1142" s="1313" t="s">
        <v>1535</v>
      </c>
      <c r="AU1142" s="1313" t="s">
        <v>186</v>
      </c>
      <c r="AV1142" s="1313" t="s">
        <v>137</v>
      </c>
      <c r="AW1142" s="1323" t="s">
        <v>138</v>
      </c>
      <c r="AX1142" s="1339" t="s">
        <v>143</v>
      </c>
      <c r="AY1142" s="61" t="str">
        <f>IFERROR(__xludf.DUMMYFUNCTION("vlookup(BB1142,importrange(""https://docs.google.com/spreadsheets/d/1d2vevQ_7D_v35q4wCQ4RpQ_IPoTwEMB9Yp6ymwlPqew/edit?gid=984458430#gid=984458430"", ""'replication success'!A:K""), 11, FAlSE)"),"#N/A")</f>
        <v>#N/A</v>
      </c>
      <c r="AZ1142" s="61" t="str">
        <f>IFERROR(__xludf.DUMMYFUNCTION("vlookup(BB1142,importrange(""https://docs.google.com/spreadsheets/d/1d2vevQ_7D_v35q4wCQ4RpQ_IPoTwEMB9Yp6ymwlPqew/edit?gid=984458430#gid=984458430"", ""'replication success'!A:M""), 12, FAlSE)"),"#N/A")</f>
        <v>#N/A</v>
      </c>
      <c r="BA1142" s="61" t="str">
        <f>IFERROR(__xludf.DUMMYFUNCTION("vlookup(BB1142,importrange(""https://docs.google.com/spreadsheets/d/1d2vevQ_7D_v35q4wCQ4RpQ_IPoTwEMB9Yp6ymwlPqew/edit?gid=984458430#gid=984458430"", ""'replication success'!A:M""), 13, FAlSE)"),"#N/A")</f>
        <v>#N/A</v>
      </c>
      <c r="BB1142" s="61" t="str">
        <f>IFERROR(__xludf.DUMMYFUNCTION("REGEXREPLACE(G1142, ""_[a-z]{1,2}$"", """")"),"Boyce_etal202376")</f>
        <v>Boyce_etal202376</v>
      </c>
      <c r="BD1142" s="1322" t="s">
        <v>5605</v>
      </c>
    </row>
    <row r="1143">
      <c r="A1143" s="44">
        <v>1143.0</v>
      </c>
      <c r="B1143" s="129" t="s">
        <v>2013</v>
      </c>
      <c r="C1143" s="62" t="s">
        <v>115</v>
      </c>
      <c r="D1143" s="62" t="s">
        <v>248</v>
      </c>
      <c r="E1143" s="365"/>
      <c r="F1143" s="126" t="s">
        <v>6280</v>
      </c>
      <c r="G1143" s="119" t="s">
        <v>6281</v>
      </c>
      <c r="H1143" s="140" t="s">
        <v>249</v>
      </c>
      <c r="I1143" s="317">
        <v>45666.0</v>
      </c>
      <c r="J1143" s="1326">
        <v>45692.0</v>
      </c>
      <c r="K1143" s="140" t="s">
        <v>3683</v>
      </c>
      <c r="L1143" s="125" t="s">
        <v>6282</v>
      </c>
      <c r="M1143" s="140" t="s">
        <v>6283</v>
      </c>
      <c r="N1143" s="140" t="s">
        <v>6284</v>
      </c>
      <c r="O1143" s="125"/>
      <c r="P1143" s="140" t="str">
        <f t="shared" si="71"/>
        <v>10.1016--j.cognition.2019.104157.pdf</v>
      </c>
      <c r="Q1143" s="52" t="str">
        <f t="array" ref="Q1143"> if(iserror(MATCH(V1143, 'File Links'!C:C, 0)), "N/A", HYPERLINK(INDEX('File Links'!B:B, MATCH(P1143, 'File Links'!C:C, 0))))</f>
        <v>https://drive.google.com/file/d/1vD03nf0a0BC3Ui7dZPBwsHBn8uBFVmTS/view?usp=drivesdk</v>
      </c>
      <c r="R1143" s="140" t="s">
        <v>6288</v>
      </c>
      <c r="S1143" s="159" t="s">
        <v>3654</v>
      </c>
      <c r="T1143" s="147" t="s">
        <v>138</v>
      </c>
      <c r="U1143" s="147" t="s">
        <v>138</v>
      </c>
      <c r="V1143" s="198" t="str">
        <f t="shared" si="57"/>
        <v>10.1098--rsos.231240.pdf</v>
      </c>
      <c r="W1143" s="140" t="s">
        <v>3665</v>
      </c>
      <c r="X1143" s="54" t="str">
        <f t="array" ref="X1143"> if(iserror(MATCH(V1143, 'File Links'!C:C, 0)), "N/A", HYPERLINK(INDEX('File Links'!B:B, MATCH(V1143, 'File Links'!C:C, 0))))</f>
        <v>https://drive.google.com/file/d/17gaf2Zy_ljFfcAEDk5L8GBnTl5i7RGJE/view?usp=drivesdk</v>
      </c>
      <c r="Y1143" s="125"/>
      <c r="Z1143" s="140" t="s">
        <v>148</v>
      </c>
      <c r="AA1143" s="125"/>
      <c r="AB1143" s="125"/>
      <c r="AC1143" s="125"/>
      <c r="AD1143" s="140" t="s">
        <v>138</v>
      </c>
      <c r="AE1143" s="140" t="s">
        <v>138</v>
      </c>
      <c r="AF1143" s="782">
        <v>51.0</v>
      </c>
      <c r="AG1143" s="140" t="s">
        <v>138</v>
      </c>
      <c r="AH1143" s="125"/>
      <c r="AI1143" s="140" t="s">
        <v>138</v>
      </c>
      <c r="AJ1143" s="223" t="s">
        <v>138</v>
      </c>
      <c r="AK1143" s="132"/>
      <c r="AL1143" s="126" t="s">
        <v>186</v>
      </c>
      <c r="AM1143" s="140" t="s">
        <v>1905</v>
      </c>
      <c r="AN1143" s="1349" t="s">
        <v>6289</v>
      </c>
      <c r="AO1143" s="782">
        <v>24.0</v>
      </c>
      <c r="AP1143" s="140" t="s">
        <v>138</v>
      </c>
      <c r="AQ1143" s="125"/>
      <c r="AR1143" s="1322" t="s">
        <v>5604</v>
      </c>
      <c r="AS1143" s="140" t="s">
        <v>138</v>
      </c>
      <c r="AT1143" s="125"/>
      <c r="AU1143" s="140" t="s">
        <v>186</v>
      </c>
      <c r="AV1143" s="140" t="s">
        <v>1905</v>
      </c>
      <c r="AW1143" s="1323" t="s">
        <v>138</v>
      </c>
      <c r="AX1143" s="670" t="s">
        <v>143</v>
      </c>
      <c r="AY1143" s="61" t="str">
        <f>IFERROR(__xludf.DUMMYFUNCTION("vlookup(BB1143,importrange(""https://docs.google.com/spreadsheets/d/1d2vevQ_7D_v35q4wCQ4RpQ_IPoTwEMB9Yp6ymwlPqew/edit?gid=984458430#gid=984458430"", ""'replication success'!A:K""), 11, FAlSE)"),"#N/A")</f>
        <v>#N/A</v>
      </c>
      <c r="AZ1143" s="61" t="str">
        <f>IFERROR(__xludf.DUMMYFUNCTION("vlookup(BB1143,importrange(""https://docs.google.com/spreadsheets/d/1d2vevQ_7D_v35q4wCQ4RpQ_IPoTwEMB9Yp6ymwlPqew/edit?gid=984458430#gid=984458430"", ""'replication success'!A:M""), 12, FAlSE)"),"#N/A")</f>
        <v>#N/A</v>
      </c>
      <c r="BA1143" s="61" t="str">
        <f>IFERROR(__xludf.DUMMYFUNCTION("vlookup(BB1143,importrange(""https://docs.google.com/spreadsheets/d/1d2vevQ_7D_v35q4wCQ4RpQ_IPoTwEMB9Yp6ymwlPqew/edit?gid=984458430#gid=984458430"", ""'replication success'!A:M""), 13, FAlSE)"),"#N/A")</f>
        <v>#N/A</v>
      </c>
      <c r="BB1143" s="61" t="str">
        <f>IFERROR(__xludf.DUMMYFUNCTION("REGEXREPLACE(G1143, ""_[a-z]{1,2}$"", """")"),"Boyce_etal202376")</f>
        <v>Boyce_etal202376</v>
      </c>
      <c r="BD1143" s="1322" t="s">
        <v>5605</v>
      </c>
    </row>
    <row r="1144">
      <c r="A1144" s="44">
        <v>1144.0</v>
      </c>
      <c r="B1144" s="68" t="s">
        <v>152</v>
      </c>
      <c r="C1144" s="62" t="s">
        <v>115</v>
      </c>
      <c r="D1144" s="62" t="s">
        <v>145</v>
      </c>
      <c r="E1144" s="365"/>
      <c r="F1144" s="1313" t="s">
        <v>6290</v>
      </c>
      <c r="G1144" s="1314" t="s">
        <v>6291</v>
      </c>
      <c r="H1144" s="1315" t="s">
        <v>5592</v>
      </c>
      <c r="I1144" s="1316">
        <v>45690.0</v>
      </c>
      <c r="J1144" s="1317">
        <v>45692.0</v>
      </c>
      <c r="K1144" s="1313"/>
      <c r="L1144" s="1313" t="s">
        <v>5594</v>
      </c>
      <c r="M1144" s="1315" t="s">
        <v>6292</v>
      </c>
      <c r="N1144" s="1315" t="s">
        <v>6293</v>
      </c>
      <c r="O1144" s="1315" t="s">
        <v>4092</v>
      </c>
      <c r="P1144" s="1315" t="s">
        <v>6294</v>
      </c>
      <c r="Q1144" s="52" t="str">
        <f t="array" ref="Q1144"> if(iserror(MATCH(V1144, 'File Links'!C:C, 0)), "N/A", HYPERLINK(INDEX('File Links'!B:B, MATCH(P1144, 'File Links'!C:C, 0))))</f>
        <v>https://drive.google.com/file/d/17x3I7jUwdIldQm5GP-fj0zgsKCgIUoRP/view?usp=drivesdk</v>
      </c>
      <c r="R1144" s="1315" t="s">
        <v>3653</v>
      </c>
      <c r="S1144" s="159" t="s">
        <v>3654</v>
      </c>
      <c r="T1144" s="147" t="s">
        <v>138</v>
      </c>
      <c r="U1144" s="147" t="s">
        <v>138</v>
      </c>
      <c r="V1144" s="198" t="str">
        <f t="shared" si="57"/>
        <v>10.1098--rsos.231240.pdf</v>
      </c>
      <c r="W1144" s="140" t="s">
        <v>3804</v>
      </c>
      <c r="X1144" s="54" t="str">
        <f t="array" ref="X1144"> if(iserror(MATCH(V1144, 'File Links'!C:C, 0)), "N/A", HYPERLINK(INDEX('File Links'!B:B, MATCH(V1144, 'File Links'!C:C, 0))))</f>
        <v>https://drive.google.com/file/d/17gaf2Zy_ljFfcAEDk5L8GBnTl5i7RGJE/view?usp=drivesdk</v>
      </c>
      <c r="Y1144" s="1313"/>
      <c r="Z1144" s="1315" t="s">
        <v>226</v>
      </c>
      <c r="AA1144" s="374" t="s">
        <v>138</v>
      </c>
      <c r="AB1144" s="1313" t="s">
        <v>6295</v>
      </c>
      <c r="AC1144" s="1315" t="s">
        <v>6296</v>
      </c>
      <c r="AD1144" s="1313" t="s">
        <v>6297</v>
      </c>
      <c r="AE1144" s="1341">
        <v>3.0</v>
      </c>
      <c r="AF1144" s="1318">
        <v>156.0</v>
      </c>
      <c r="AG1144" s="1341">
        <v>0.04</v>
      </c>
      <c r="AH1144" s="1313" t="s">
        <v>139</v>
      </c>
      <c r="AI1144" s="1313" t="s">
        <v>507</v>
      </c>
      <c r="AJ1144" s="1345">
        <v>0.033</v>
      </c>
      <c r="AK1144" s="1321" t="s">
        <v>172</v>
      </c>
      <c r="AL1144" s="1321" t="s">
        <v>186</v>
      </c>
      <c r="AM1144" s="1313" t="s">
        <v>137</v>
      </c>
      <c r="AN1144" s="1322" t="s">
        <v>138</v>
      </c>
      <c r="AO1144" s="1318">
        <v>119.0</v>
      </c>
      <c r="AP1144" s="1341">
        <v>1.23747033259459</v>
      </c>
      <c r="AQ1144" s="1313" t="s">
        <v>173</v>
      </c>
      <c r="AR1144" s="1322" t="s">
        <v>5604</v>
      </c>
      <c r="AS1144" s="1345">
        <v>5.74940043546499E-4</v>
      </c>
      <c r="AT1144" s="1313" t="s">
        <v>172</v>
      </c>
      <c r="AU1144" s="1313" t="s">
        <v>186</v>
      </c>
      <c r="AV1144" s="1313" t="s">
        <v>137</v>
      </c>
      <c r="AW1144" s="1323" t="s">
        <v>138</v>
      </c>
      <c r="AX1144" s="1339" t="s">
        <v>143</v>
      </c>
      <c r="AY1144" s="61" t="str">
        <f>IFERROR(__xludf.DUMMYFUNCTION("vlookup(BB1144,importrange(""https://docs.google.com/spreadsheets/d/1d2vevQ_7D_v35q4wCQ4RpQ_IPoTwEMB9Yp6ymwlPqew/edit?gid=984458430#gid=984458430"", ""'replication success'!A:K""), 11, FAlSE)"),"successful")</f>
        <v>successful</v>
      </c>
      <c r="AZ1144" s="61" t="str">
        <f>IFERROR(__xludf.DUMMYFUNCTION("vlookup(BB1144,importrange(""https://docs.google.com/spreadsheets/d/1d2vevQ_7D_v35q4wCQ4RpQ_IPoTwEMB9Yp6ymwlPqew/edit?gid=984458430#gid=984458430"",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44" s="61" t="str">
        <f>IFERROR(__xludf.DUMMYFUNCTION("vlookup(BB1144,importrange(""https://docs.google.com/spreadsheets/d/1d2vevQ_7D_v35q4wCQ4RpQ_IPoTwEMB9Yp6ymwlPqew/edit?gid=984458430#gid=984458430"",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v>
      </c>
      <c r="BB1144" s="61" t="str">
        <f>IFERROR(__xludf.DUMMYFUNCTION("REGEXREPLACE(G1144, ""_[a-z]{1,2}$"", """")"),"Boyce_etal202377")</f>
        <v>Boyce_etal202377</v>
      </c>
      <c r="BD1144" s="1322" t="s">
        <v>5605</v>
      </c>
    </row>
    <row r="1145">
      <c r="A1145" s="44">
        <v>1145.0</v>
      </c>
      <c r="B1145" s="68" t="s">
        <v>590</v>
      </c>
      <c r="C1145" s="62" t="s">
        <v>115</v>
      </c>
      <c r="D1145" s="62" t="s">
        <v>248</v>
      </c>
      <c r="E1145" s="365"/>
      <c r="F1145" s="126" t="s">
        <v>6290</v>
      </c>
      <c r="G1145" s="119" t="s">
        <v>6291</v>
      </c>
      <c r="H1145" s="140" t="s">
        <v>249</v>
      </c>
      <c r="I1145" s="317">
        <v>45666.0</v>
      </c>
      <c r="J1145" s="1326">
        <v>45692.0</v>
      </c>
      <c r="K1145" s="140" t="s">
        <v>6298</v>
      </c>
      <c r="L1145" s="125" t="s">
        <v>6299</v>
      </c>
      <c r="M1145" s="140" t="s">
        <v>6292</v>
      </c>
      <c r="N1145" s="140" t="s">
        <v>6293</v>
      </c>
      <c r="O1145" s="125"/>
      <c r="P1145" s="140" t="str">
        <f> SUBSTITUTE(lower(N1145), "/", "--") &amp;  ".pdf"</f>
        <v>10.1177--0956797618760784.pdf</v>
      </c>
      <c r="Q1145" s="52" t="str">
        <f t="array" ref="Q1145"> if(iserror(MATCH(V1145, 'File Links'!C:C, 0)), "N/A", HYPERLINK(INDEX('File Links'!B:B, MATCH(P1145, 'File Links'!C:C, 0))))</f>
        <v>https://drive.google.com/file/d/17x3I7jUwdIldQm5GP-fj0zgsKCgIUoRP/view?usp=drivesdk</v>
      </c>
      <c r="R1145" s="140" t="s">
        <v>6300</v>
      </c>
      <c r="S1145" s="159" t="s">
        <v>3654</v>
      </c>
      <c r="T1145" s="147" t="s">
        <v>138</v>
      </c>
      <c r="U1145" s="147" t="s">
        <v>138</v>
      </c>
      <c r="V1145" s="198" t="str">
        <f t="shared" si="57"/>
        <v>10.1098--rsos.231240.pdf</v>
      </c>
      <c r="W1145" s="140" t="s">
        <v>3804</v>
      </c>
      <c r="X1145" s="54" t="str">
        <f t="array" ref="X1145"> if(iserror(MATCH(V1145, 'File Links'!C:C, 0)), "N/A", HYPERLINK(INDEX('File Links'!B:B, MATCH(V1145, 'File Links'!C:C, 0))))</f>
        <v>https://drive.google.com/file/d/17gaf2Zy_ljFfcAEDk5L8GBnTl5i7RGJE/view?usp=drivesdk</v>
      </c>
      <c r="Y1145" s="125"/>
      <c r="Z1145" s="140" t="s">
        <v>226</v>
      </c>
      <c r="AA1145" s="125"/>
      <c r="AB1145" s="140" t="s">
        <v>6301</v>
      </c>
      <c r="AC1145" s="125"/>
      <c r="AD1145" s="140" t="s">
        <v>6302</v>
      </c>
      <c r="AE1145" s="782">
        <v>3.0</v>
      </c>
      <c r="AF1145" s="782">
        <v>156.0</v>
      </c>
      <c r="AG1145" s="782">
        <v>0.450767238816211</v>
      </c>
      <c r="AH1145" s="140" t="s">
        <v>173</v>
      </c>
      <c r="AI1145" s="140" t="s">
        <v>507</v>
      </c>
      <c r="AJ1145" s="133">
        <v>0.022</v>
      </c>
      <c r="AK1145" s="126" t="s">
        <v>172</v>
      </c>
      <c r="AL1145" s="126" t="s">
        <v>218</v>
      </c>
      <c r="AM1145" s="140" t="s">
        <v>137</v>
      </c>
      <c r="AN1145" s="1349" t="s">
        <v>6303</v>
      </c>
      <c r="AO1145" s="782">
        <v>119.0</v>
      </c>
      <c r="AP1145" s="782">
        <v>1.23747033259459</v>
      </c>
      <c r="AQ1145" s="140" t="s">
        <v>173</v>
      </c>
      <c r="AR1145" s="1322" t="s">
        <v>5604</v>
      </c>
      <c r="AS1145" s="1343">
        <v>5.74940043546499E-4</v>
      </c>
      <c r="AT1145" s="140" t="s">
        <v>172</v>
      </c>
      <c r="AU1145" s="140" t="s">
        <v>218</v>
      </c>
      <c r="AV1145" s="140" t="s">
        <v>137</v>
      </c>
      <c r="AW1145" s="1323" t="s">
        <v>138</v>
      </c>
      <c r="AX1145" s="670" t="s">
        <v>143</v>
      </c>
      <c r="AY1145" s="61" t="str">
        <f>IFERROR(__xludf.DUMMYFUNCTION("vlookup(BB1145,importrange(""https://docs.google.com/spreadsheets/d/1d2vevQ_7D_v35q4wCQ4RpQ_IPoTwEMB9Yp6ymwlPqew/edit?gid=984458430#gid=984458430"", ""'replication success'!A:K""), 11, FAlSE)"),"successful")</f>
        <v>successful</v>
      </c>
      <c r="AZ1145" s="61" t="str">
        <f>IFERROR(__xludf.DUMMYFUNCTION("vlookup(BB1145,importrange(""https://docs.google.com/spreadsheets/d/1d2vevQ_7D_v35q4wCQ4RpQ_IPoTwEMB9Yp6ymwlPqew/edit?gid=984458430#gid=984458430"",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45" s="61" t="str">
        <f>IFERROR(__xludf.DUMMYFUNCTION("vlookup(BB1145,importrange(""https://docs.google.com/spreadsheets/d/1d2vevQ_7D_v35q4wCQ4RpQ_IPoTwEMB9Yp6ymwlPqew/edit?gid=984458430#gid=984458430"",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43041599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v>
      </c>
      <c r="BB1145" s="61" t="str">
        <f>IFERROR(__xludf.DUMMYFUNCTION("REGEXREPLACE(G1145, ""_[a-z]{1,2}$"", """")"),"Boyce_etal202377")</f>
        <v>Boyce_etal202377</v>
      </c>
      <c r="BD1145" s="1322" t="s">
        <v>5605</v>
      </c>
    </row>
    <row r="1146">
      <c r="A1146" s="44">
        <v>1146.0</v>
      </c>
      <c r="B1146" s="129" t="s">
        <v>2013</v>
      </c>
      <c r="C1146" s="62" t="s">
        <v>115</v>
      </c>
      <c r="D1146" s="62" t="s">
        <v>145</v>
      </c>
      <c r="E1146" s="365"/>
      <c r="F1146" s="1313" t="s">
        <v>6304</v>
      </c>
      <c r="G1146" s="1314" t="s">
        <v>6305</v>
      </c>
      <c r="H1146" s="1315" t="s">
        <v>5592</v>
      </c>
      <c r="I1146" s="1316">
        <v>45690.0</v>
      </c>
      <c r="J1146" s="1317">
        <v>45692.0</v>
      </c>
      <c r="K1146" s="1313"/>
      <c r="L1146" s="1313" t="s">
        <v>5594</v>
      </c>
      <c r="M1146" s="1315" t="s">
        <v>6306</v>
      </c>
      <c r="N1146" s="1315" t="s">
        <v>6307</v>
      </c>
      <c r="O1146" s="1318">
        <v>1.0</v>
      </c>
      <c r="P1146" s="1315" t="s">
        <v>6308</v>
      </c>
      <c r="Q1146" s="52" t="str">
        <f t="array" ref="Q1146"> if(iserror(MATCH(V1146, 'File Links'!C:C, 0)), "N/A", HYPERLINK(INDEX('File Links'!B:B, MATCH(P1146, 'File Links'!C:C, 0))))</f>
        <v>https://drive.google.com/file/d/1Chyql9h2DEg41XAYeRupg6Etz-OFp0us/view?usp=drivesdk</v>
      </c>
      <c r="R1146" s="1315" t="s">
        <v>3653</v>
      </c>
      <c r="S1146" s="159" t="s">
        <v>3654</v>
      </c>
      <c r="T1146" s="147" t="s">
        <v>138</v>
      </c>
      <c r="U1146" s="147" t="s">
        <v>138</v>
      </c>
      <c r="V1146" s="198" t="str">
        <f t="shared" si="57"/>
        <v>10.1098--rsos.231240.pdf</v>
      </c>
      <c r="W1146" s="140" t="s">
        <v>324</v>
      </c>
      <c r="X1146" s="54" t="str">
        <f t="array" ref="X1146"> if(iserror(MATCH(V1146, 'File Links'!C:C, 0)), "N/A", HYPERLINK(INDEX('File Links'!B:B, MATCH(V1146, 'File Links'!C:C, 0))))</f>
        <v>https://drive.google.com/file/d/17gaf2Zy_ljFfcAEDk5L8GBnTl5i7RGJE/view?usp=drivesdk</v>
      </c>
      <c r="Y1146" s="1313"/>
      <c r="Z1146" s="1315" t="s">
        <v>148</v>
      </c>
      <c r="AA1146" s="1313" t="s">
        <v>1535</v>
      </c>
      <c r="AB1146" s="1313" t="s">
        <v>6309</v>
      </c>
      <c r="AC1146" s="1315" t="s">
        <v>6310</v>
      </c>
      <c r="AD1146" s="1313" t="s">
        <v>6311</v>
      </c>
      <c r="AE1146" s="1341">
        <v>3.0</v>
      </c>
      <c r="AF1146" s="1318">
        <v>24.0</v>
      </c>
      <c r="AG1146" s="1318">
        <v>0.4939804315</v>
      </c>
      <c r="AH1146" s="1315" t="s">
        <v>173</v>
      </c>
      <c r="AI1146" s="1313" t="s">
        <v>1535</v>
      </c>
      <c r="AJ1146" s="1325">
        <v>0.02</v>
      </c>
      <c r="AK1146" s="1321" t="s">
        <v>172</v>
      </c>
      <c r="AL1146" s="1321" t="s">
        <v>186</v>
      </c>
      <c r="AM1146" s="1313" t="s">
        <v>137</v>
      </c>
      <c r="AN1146" s="1322" t="s">
        <v>138</v>
      </c>
      <c r="AO1146" s="1318">
        <v>54.0</v>
      </c>
      <c r="AP1146" s="1318">
        <v>0.5941373454</v>
      </c>
      <c r="AQ1146" s="1315" t="s">
        <v>173</v>
      </c>
      <c r="AR1146" s="1322" t="s">
        <v>5604</v>
      </c>
      <c r="AS1146" s="1345">
        <v>5.90006114667716E-5</v>
      </c>
      <c r="AT1146" s="1313" t="s">
        <v>172</v>
      </c>
      <c r="AU1146" s="1313" t="s">
        <v>186</v>
      </c>
      <c r="AV1146" s="1313" t="s">
        <v>137</v>
      </c>
      <c r="AW1146" s="1323" t="s">
        <v>138</v>
      </c>
      <c r="AX1146" s="1339" t="s">
        <v>143</v>
      </c>
      <c r="AY1146" s="61" t="str">
        <f>IFERROR(__xludf.DUMMYFUNCTION("vlookup(BB1146,importrange(""https://docs.google.com/spreadsheets/d/1d2vevQ_7D_v35q4wCQ4RpQ_IPoTwEMB9Yp6ymwlPqew/edit?gid=984458430#gid=984458430"", ""'replication success'!A:K""), 11, FAlSE)"),"#N/A")</f>
        <v>#N/A</v>
      </c>
      <c r="AZ1146" s="61" t="str">
        <f>IFERROR(__xludf.DUMMYFUNCTION("vlookup(BB1146,importrange(""https://docs.google.com/spreadsheets/d/1d2vevQ_7D_v35q4wCQ4RpQ_IPoTwEMB9Yp6ymwlPqew/edit?gid=984458430#gid=984458430"", ""'replication success'!A:M""), 12, FAlSE)"),"#N/A")</f>
        <v>#N/A</v>
      </c>
      <c r="BA1146" s="61" t="str">
        <f>IFERROR(__xludf.DUMMYFUNCTION("vlookup(BB1146,importrange(""https://docs.google.com/spreadsheets/d/1d2vevQ_7D_v35q4wCQ4RpQ_IPoTwEMB9Yp6ymwlPqew/edit?gid=984458430#gid=984458430"", ""'replication success'!A:M""), 13, FAlSE)"),"#N/A")</f>
        <v>#N/A</v>
      </c>
      <c r="BB1146" s="61" t="str">
        <f>IFERROR(__xludf.DUMMYFUNCTION("REGEXREPLACE(G1146, ""_[a-z]{1,2}$"", """")"),"Boyce_etal202378")</f>
        <v>Boyce_etal202378</v>
      </c>
      <c r="BD1146" s="1322" t="s">
        <v>5605</v>
      </c>
    </row>
    <row r="1147">
      <c r="A1147" s="44">
        <v>1147.0</v>
      </c>
      <c r="B1147" s="129" t="s">
        <v>2013</v>
      </c>
      <c r="C1147" s="62" t="s">
        <v>115</v>
      </c>
      <c r="D1147" s="62" t="s">
        <v>145</v>
      </c>
      <c r="E1147" s="365"/>
      <c r="F1147" s="1313" t="s">
        <v>6312</v>
      </c>
      <c r="G1147" s="1314" t="s">
        <v>6313</v>
      </c>
      <c r="H1147" s="1315" t="s">
        <v>5592</v>
      </c>
      <c r="I1147" s="1316">
        <v>45690.0</v>
      </c>
      <c r="J1147" s="1317">
        <v>45692.0</v>
      </c>
      <c r="K1147" s="1313" t="s">
        <v>6314</v>
      </c>
      <c r="L1147" s="1313" t="s">
        <v>6282</v>
      </c>
      <c r="M1147" s="1315" t="s">
        <v>6315</v>
      </c>
      <c r="N1147" s="1313" t="s">
        <v>6316</v>
      </c>
      <c r="O1147" s="1318">
        <v>1.0</v>
      </c>
      <c r="P1147" s="1315" t="s">
        <v>6308</v>
      </c>
      <c r="Q1147" s="52" t="str">
        <f t="array" ref="Q1147"> if(iserror(MATCH(V1147, 'File Links'!C:C, 0)), "N/A", HYPERLINK(INDEX('File Links'!B:B, MATCH(P1147, 'File Links'!C:C, 0))))</f>
        <v>https://drive.google.com/file/d/1Chyql9h2DEg41XAYeRupg6Etz-OFp0us/view?usp=drivesdk</v>
      </c>
      <c r="R1147" s="1315" t="s">
        <v>3653</v>
      </c>
      <c r="S1147" s="159" t="s">
        <v>3654</v>
      </c>
      <c r="T1147" s="147" t="s">
        <v>138</v>
      </c>
      <c r="U1147" s="147" t="s">
        <v>138</v>
      </c>
      <c r="V1147" s="198" t="str">
        <f t="shared" si="57"/>
        <v>10.1098--rsos.231240.pdf</v>
      </c>
      <c r="W1147" s="140" t="s">
        <v>324</v>
      </c>
      <c r="X1147" s="54" t="str">
        <f t="array" ref="X1147"> if(iserror(MATCH(V1147, 'File Links'!C:C, 0)), "N/A", HYPERLINK(INDEX('File Links'!B:B, MATCH(V1147, 'File Links'!C:C, 0))))</f>
        <v>https://drive.google.com/file/d/17gaf2Zy_ljFfcAEDk5L8GBnTl5i7RGJE/view?usp=drivesdk</v>
      </c>
      <c r="Y1147" s="1313"/>
      <c r="Z1147" s="1315" t="s">
        <v>148</v>
      </c>
      <c r="AA1147" s="1313" t="s">
        <v>1535</v>
      </c>
      <c r="AB1147" s="1313" t="s">
        <v>6317</v>
      </c>
      <c r="AC1147" s="1315" t="s">
        <v>6318</v>
      </c>
      <c r="AD1147" s="1313" t="s">
        <v>1535</v>
      </c>
      <c r="AE1147" s="1313" t="s">
        <v>1535</v>
      </c>
      <c r="AF1147" s="1318">
        <v>101.0</v>
      </c>
      <c r="AG1147" s="1313" t="s">
        <v>1535</v>
      </c>
      <c r="AH1147" s="167" t="s">
        <v>138</v>
      </c>
      <c r="AI1147" s="1313" t="s">
        <v>1535</v>
      </c>
      <c r="AJ1147" s="1320" t="s">
        <v>1535</v>
      </c>
      <c r="AK1147" s="1321" t="s">
        <v>1535</v>
      </c>
      <c r="AL1147" s="1321" t="s">
        <v>186</v>
      </c>
      <c r="AM1147" s="1313" t="s">
        <v>137</v>
      </c>
      <c r="AN1147" s="1322" t="s">
        <v>138</v>
      </c>
      <c r="AO1147" s="1318">
        <v>19.0</v>
      </c>
      <c r="AP1147" s="1313" t="s">
        <v>1535</v>
      </c>
      <c r="AQ1147" s="129" t="s">
        <v>138</v>
      </c>
      <c r="AR1147" s="1322" t="s">
        <v>5604</v>
      </c>
      <c r="AS1147" s="1313" t="s">
        <v>1535</v>
      </c>
      <c r="AT1147" s="1313" t="s">
        <v>1535</v>
      </c>
      <c r="AU1147" s="1313" t="s">
        <v>186</v>
      </c>
      <c r="AV1147" s="1313" t="s">
        <v>137</v>
      </c>
      <c r="AW1147" s="1323" t="s">
        <v>138</v>
      </c>
      <c r="AX1147" s="1339" t="s">
        <v>143</v>
      </c>
      <c r="AY1147" s="61" t="str">
        <f>IFERROR(__xludf.DUMMYFUNCTION("vlookup(BB1147,importrange(""https://docs.google.com/spreadsheets/d/1d2vevQ_7D_v35q4wCQ4RpQ_IPoTwEMB9Yp6ymwlPqew/edit?gid=984458430#gid=984458430"", ""'replication success'!A:K""), 11, FAlSE)"),"#N/A")</f>
        <v>#N/A</v>
      </c>
      <c r="AZ1147" s="61" t="str">
        <f>IFERROR(__xludf.DUMMYFUNCTION("vlookup(BB1147,importrange(""https://docs.google.com/spreadsheets/d/1d2vevQ_7D_v35q4wCQ4RpQ_IPoTwEMB9Yp6ymwlPqew/edit?gid=984458430#gid=984458430"", ""'replication success'!A:M""), 12, FAlSE)"),"#N/A")</f>
        <v>#N/A</v>
      </c>
      <c r="BA1147" s="61" t="str">
        <f>IFERROR(__xludf.DUMMYFUNCTION("vlookup(BB1147,importrange(""https://docs.google.com/spreadsheets/d/1d2vevQ_7D_v35q4wCQ4RpQ_IPoTwEMB9Yp6ymwlPqew/edit?gid=984458430#gid=984458430"", ""'replication success'!A:M""), 13, FAlSE)"),"#N/A")</f>
        <v>#N/A</v>
      </c>
      <c r="BB1147" s="61" t="str">
        <f>IFERROR(__xludf.DUMMYFUNCTION("REGEXREPLACE(G1147, ""_[a-z]{1,2}$"", """")"),"Boyce_etal202379")</f>
        <v>Boyce_etal202379</v>
      </c>
      <c r="BD1147" s="1322" t="s">
        <v>5605</v>
      </c>
    </row>
    <row r="1148">
      <c r="A1148" s="44">
        <v>1148.0</v>
      </c>
      <c r="B1148" s="129" t="s">
        <v>114</v>
      </c>
      <c r="C1148" s="62" t="s">
        <v>115</v>
      </c>
      <c r="D1148" s="62" t="s">
        <v>248</v>
      </c>
      <c r="E1148" s="365"/>
      <c r="F1148" s="126" t="s">
        <v>6312</v>
      </c>
      <c r="G1148" s="119" t="s">
        <v>6313</v>
      </c>
      <c r="H1148" s="140" t="s">
        <v>249</v>
      </c>
      <c r="I1148" s="317">
        <v>45666.0</v>
      </c>
      <c r="J1148" s="1326">
        <v>45692.0</v>
      </c>
      <c r="K1148" s="140" t="s">
        <v>3683</v>
      </c>
      <c r="L1148" s="125" t="s">
        <v>6282</v>
      </c>
      <c r="M1148" s="140" t="s">
        <v>6315</v>
      </c>
      <c r="N1148" s="140" t="s">
        <v>6316</v>
      </c>
      <c r="O1148" s="125"/>
      <c r="P1148" s="140" t="str">
        <f> SUBSTITUTE(lower(N1148), "/", "--") &amp;  ".pdf"</f>
        <v>10.1037--0096-3445.132.1.3.pdf</v>
      </c>
      <c r="Q1148" s="52" t="str">
        <f t="array" ref="Q1148"> if(iserror(MATCH(V1148, 'File Links'!C:C, 0)), "N/A", HYPERLINK(INDEX('File Links'!B:B, MATCH(P1148, 'File Links'!C:C, 0))))</f>
        <v>https://drive.google.com/file/d/1uSaalqURvSDrwFTwn8d56akyZ5pLqmJn/view?usp=drivesdk</v>
      </c>
      <c r="R1148" s="140" t="s">
        <v>6319</v>
      </c>
      <c r="S1148" s="159" t="s">
        <v>3654</v>
      </c>
      <c r="T1148" s="147" t="s">
        <v>138</v>
      </c>
      <c r="U1148" s="147" t="s">
        <v>138</v>
      </c>
      <c r="V1148" s="198" t="str">
        <f t="shared" si="57"/>
        <v>10.1098--rsos.231240.pdf</v>
      </c>
      <c r="W1148" s="140" t="s">
        <v>324</v>
      </c>
      <c r="X1148" s="54" t="str">
        <f t="array" ref="X1148"> if(iserror(MATCH(V1148, 'File Links'!C:C, 0)), "N/A", HYPERLINK(INDEX('File Links'!B:B, MATCH(V1148, 'File Links'!C:C, 0))))</f>
        <v>https://drive.google.com/file/d/17gaf2Zy_ljFfcAEDk5L8GBnTl5i7RGJE/view?usp=drivesdk</v>
      </c>
      <c r="Y1148" s="125"/>
      <c r="Z1148" s="140" t="s">
        <v>148</v>
      </c>
      <c r="AA1148" s="125"/>
      <c r="AB1148" s="125"/>
      <c r="AC1148" s="125"/>
      <c r="AD1148" s="140" t="s">
        <v>138</v>
      </c>
      <c r="AE1148" s="140" t="s">
        <v>138</v>
      </c>
      <c r="AF1148" s="782">
        <v>101.0</v>
      </c>
      <c r="AG1148" s="140" t="s">
        <v>138</v>
      </c>
      <c r="AH1148" s="125"/>
      <c r="AI1148" s="140" t="s">
        <v>138</v>
      </c>
      <c r="AJ1148" s="223" t="s">
        <v>138</v>
      </c>
      <c r="AK1148" s="132"/>
      <c r="AL1148" s="132"/>
      <c r="AM1148" s="140" t="s">
        <v>1905</v>
      </c>
      <c r="AN1148" s="1322" t="s">
        <v>138</v>
      </c>
      <c r="AO1148" s="782">
        <v>19.0</v>
      </c>
      <c r="AP1148" s="140" t="s">
        <v>138</v>
      </c>
      <c r="AQ1148" s="125"/>
      <c r="AR1148" s="1322" t="s">
        <v>5604</v>
      </c>
      <c r="AS1148" s="140" t="s">
        <v>6320</v>
      </c>
      <c r="AT1148" s="125"/>
      <c r="AU1148" s="140" t="s">
        <v>186</v>
      </c>
      <c r="AV1148" s="140" t="s">
        <v>1905</v>
      </c>
      <c r="AW1148" s="1323" t="s">
        <v>138</v>
      </c>
      <c r="AX1148" s="670" t="s">
        <v>143</v>
      </c>
      <c r="AY1148" s="61" t="str">
        <f>IFERROR(__xludf.DUMMYFUNCTION("vlookup(BB1148,importrange(""https://docs.google.com/spreadsheets/d/1d2vevQ_7D_v35q4wCQ4RpQ_IPoTwEMB9Yp6ymwlPqew/edit?gid=984458430#gid=984458430"", ""'replication success'!A:K""), 11, FAlSE)"),"#N/A")</f>
        <v>#N/A</v>
      </c>
      <c r="AZ1148" s="61" t="str">
        <f>IFERROR(__xludf.DUMMYFUNCTION("vlookup(BB1148,importrange(""https://docs.google.com/spreadsheets/d/1d2vevQ_7D_v35q4wCQ4RpQ_IPoTwEMB9Yp6ymwlPqew/edit?gid=984458430#gid=984458430"", ""'replication success'!A:M""), 12, FAlSE)"),"#N/A")</f>
        <v>#N/A</v>
      </c>
      <c r="BA1148" s="61" t="str">
        <f>IFERROR(__xludf.DUMMYFUNCTION("vlookup(BB1148,importrange(""https://docs.google.com/spreadsheets/d/1d2vevQ_7D_v35q4wCQ4RpQ_IPoTwEMB9Yp6ymwlPqew/edit?gid=984458430#gid=984458430"", ""'replication success'!A:M""), 13, FAlSE)"),"#N/A")</f>
        <v>#N/A</v>
      </c>
      <c r="BB1148" s="61" t="str">
        <f>IFERROR(__xludf.DUMMYFUNCTION("REGEXREPLACE(G1148, ""_[a-z]{1,2}$"", """")"),"Boyce_etal202379")</f>
        <v>Boyce_etal202379</v>
      </c>
      <c r="BD1148" s="1322" t="s">
        <v>5605</v>
      </c>
    </row>
    <row r="1149">
      <c r="A1149" s="44">
        <v>1149.0</v>
      </c>
      <c r="B1149" s="68" t="s">
        <v>590</v>
      </c>
      <c r="C1149" s="62" t="s">
        <v>115</v>
      </c>
      <c r="D1149" s="62" t="s">
        <v>145</v>
      </c>
      <c r="E1149" s="365"/>
      <c r="F1149" s="1313" t="s">
        <v>6321</v>
      </c>
      <c r="G1149" s="1314" t="s">
        <v>6322</v>
      </c>
      <c r="H1149" s="1315" t="s">
        <v>5592</v>
      </c>
      <c r="I1149" s="1316">
        <v>45690.0</v>
      </c>
      <c r="J1149" s="1317">
        <v>45692.0</v>
      </c>
      <c r="K1149" s="1313"/>
      <c r="L1149" s="1313" t="s">
        <v>6323</v>
      </c>
      <c r="M1149" s="1315" t="s">
        <v>6324</v>
      </c>
      <c r="N1149" s="1315" t="s">
        <v>6325</v>
      </c>
      <c r="O1149" s="1318">
        <v>1.0</v>
      </c>
      <c r="P1149" s="1315" t="s">
        <v>6326</v>
      </c>
      <c r="Q1149" s="52" t="str">
        <f t="array" ref="Q1149"> if(iserror(MATCH(V1149, 'File Links'!C:C, 0)), "N/A", HYPERLINK(INDEX('File Links'!B:B, MATCH(P1149, 'File Links'!C:C, 0))))</f>
        <v>https://drive.google.com/file/d/1vWGgcW4pZ3FoyQKsaRTBIF-qNoze2NOS/view?usp=drivesdk</v>
      </c>
      <c r="R1149" s="1315" t="s">
        <v>3653</v>
      </c>
      <c r="S1149" s="159" t="s">
        <v>3654</v>
      </c>
      <c r="T1149" s="1365" t="s">
        <v>6327</v>
      </c>
      <c r="U1149" s="147" t="s">
        <v>138</v>
      </c>
      <c r="V1149" s="198" t="str">
        <f t="shared" si="57"/>
        <v>10.1098--rsos.231240.pdf</v>
      </c>
      <c r="W1149" s="140" t="s">
        <v>324</v>
      </c>
      <c r="X1149" s="54" t="str">
        <f t="array" ref="X1149"> if(iserror(MATCH(V1149, 'File Links'!C:C, 0)), "N/A", HYPERLINK(INDEX('File Links'!B:B, MATCH(V1149, 'File Links'!C:C, 0))))</f>
        <v>https://drive.google.com/file/d/17gaf2Zy_ljFfcAEDk5L8GBnTl5i7RGJE/view?usp=drivesdk</v>
      </c>
      <c r="Y1149" s="1313"/>
      <c r="Z1149" s="1315" t="s">
        <v>148</v>
      </c>
      <c r="AA1149" s="1313" t="s">
        <v>1535</v>
      </c>
      <c r="AB1149" s="1313" t="s">
        <v>6328</v>
      </c>
      <c r="AC1149" s="1315" t="s">
        <v>6329</v>
      </c>
      <c r="AD1149" s="1313" t="s">
        <v>6330</v>
      </c>
      <c r="AE1149" s="1313" t="s">
        <v>6331</v>
      </c>
      <c r="AF1149" s="1318">
        <v>155.0</v>
      </c>
      <c r="AG1149" s="1341">
        <v>0.472</v>
      </c>
      <c r="AH1149" s="1313" t="s">
        <v>173</v>
      </c>
      <c r="AI1149" s="1313" t="s">
        <v>217</v>
      </c>
      <c r="AJ1149" s="1325">
        <v>0.017238199239407</v>
      </c>
      <c r="AK1149" s="1321" t="s">
        <v>172</v>
      </c>
      <c r="AL1149" s="1321" t="s">
        <v>186</v>
      </c>
      <c r="AM1149" s="1313" t="s">
        <v>137</v>
      </c>
      <c r="AN1149" s="1322" t="s">
        <v>138</v>
      </c>
      <c r="AO1149" s="1318">
        <v>225.0</v>
      </c>
      <c r="AP1149" s="1341">
        <v>0.194935210038986</v>
      </c>
      <c r="AQ1149" s="1313" t="s">
        <v>173</v>
      </c>
      <c r="AR1149" s="1322" t="s">
        <v>5604</v>
      </c>
      <c r="AS1149" s="1341">
        <v>0.232036496781515</v>
      </c>
      <c r="AT1149" s="1313" t="s">
        <v>172</v>
      </c>
      <c r="AU1149" s="1313" t="s">
        <v>186</v>
      </c>
      <c r="AV1149" s="1313" t="s">
        <v>137</v>
      </c>
      <c r="AW1149" s="1323" t="s">
        <v>138</v>
      </c>
      <c r="AX1149" s="1339" t="s">
        <v>143</v>
      </c>
      <c r="AY1149" s="61" t="str">
        <f>IFERROR(__xludf.DUMMYFUNCTION("vlookup(BB1149,importrange(""https://docs.google.com/spreadsheets/d/1d2vevQ_7D_v35q4wCQ4RpQ_IPoTwEMB9Yp6ymwlPqew/edit?gid=984458430#gid=984458430"", ""'replication success'!A:K""), 11, FAlSE)"),"#N/A")</f>
        <v>#N/A</v>
      </c>
      <c r="AZ1149" s="61" t="str">
        <f>IFERROR(__xludf.DUMMYFUNCTION("vlookup(BB1149,importrange(""https://docs.google.com/spreadsheets/d/1d2vevQ_7D_v35q4wCQ4RpQ_IPoTwEMB9Yp6ymwlPqew/edit?gid=984458430#gid=984458430"", ""'replication success'!A:M""), 12, FAlSE)"),"#N/A")</f>
        <v>#N/A</v>
      </c>
      <c r="BA1149" s="61" t="str">
        <f>IFERROR(__xludf.DUMMYFUNCTION("vlookup(BB1149,importrange(""https://docs.google.com/spreadsheets/d/1d2vevQ_7D_v35q4wCQ4RpQ_IPoTwEMB9Yp6ymwlPqew/edit?gid=984458430#gid=984458430"", ""'replication success'!A:M""), 13, FAlSE)"),"#N/A")</f>
        <v>#N/A</v>
      </c>
      <c r="BB1149" s="61" t="str">
        <f>IFERROR(__xludf.DUMMYFUNCTION("REGEXREPLACE(G1149, ""_[a-z]{1,2}$"", """")"),"Boyce_etal20238")</f>
        <v>Boyce_etal20238</v>
      </c>
      <c r="BD1149" s="1322" t="s">
        <v>5605</v>
      </c>
    </row>
    <row r="1150">
      <c r="A1150" s="44">
        <v>1150.0</v>
      </c>
      <c r="B1150" s="68" t="s">
        <v>590</v>
      </c>
      <c r="C1150" s="62" t="s">
        <v>115</v>
      </c>
      <c r="D1150" s="62" t="s">
        <v>145</v>
      </c>
      <c r="E1150" s="365"/>
      <c r="F1150" s="1313" t="s">
        <v>6321</v>
      </c>
      <c r="G1150" s="1314" t="s">
        <v>6332</v>
      </c>
      <c r="H1150" s="1315" t="s">
        <v>5592</v>
      </c>
      <c r="I1150" s="1316">
        <v>45691.0</v>
      </c>
      <c r="J1150" s="1317">
        <v>45692.0</v>
      </c>
      <c r="K1150" s="1313"/>
      <c r="L1150" s="1313" t="s">
        <v>6323</v>
      </c>
      <c r="M1150" s="1315" t="s">
        <v>6324</v>
      </c>
      <c r="N1150" s="1315" t="s">
        <v>6325</v>
      </c>
      <c r="O1150" s="1318">
        <v>1.0</v>
      </c>
      <c r="P1150" s="1315" t="s">
        <v>6326</v>
      </c>
      <c r="Q1150" s="52" t="str">
        <f t="array" ref="Q1150"> if(iserror(MATCH(V1150, 'File Links'!C:C, 0)), "N/A", HYPERLINK(INDEX('File Links'!B:B, MATCH(P1150, 'File Links'!C:C, 0))))</f>
        <v>https://drive.google.com/file/d/1vWGgcW4pZ3FoyQKsaRTBIF-qNoze2NOS/view?usp=drivesdk</v>
      </c>
      <c r="R1150" s="1315" t="s">
        <v>3653</v>
      </c>
      <c r="S1150" s="159" t="s">
        <v>3654</v>
      </c>
      <c r="T1150" s="1365" t="s">
        <v>6327</v>
      </c>
      <c r="U1150" s="147" t="s">
        <v>138</v>
      </c>
      <c r="V1150" s="198" t="str">
        <f t="shared" si="57"/>
        <v>10.1098--rsos.231240.pdf</v>
      </c>
      <c r="W1150" s="140" t="s">
        <v>324</v>
      </c>
      <c r="X1150" s="54" t="str">
        <f t="array" ref="X1150"> if(iserror(MATCH(V1150, 'File Links'!C:C, 0)), "N/A", HYPERLINK(INDEX('File Links'!B:B, MATCH(V1150, 'File Links'!C:C, 0))))</f>
        <v>https://drive.google.com/file/d/17gaf2Zy_ljFfcAEDk5L8GBnTl5i7RGJE/view?usp=drivesdk</v>
      </c>
      <c r="Y1150" s="1313"/>
      <c r="Z1150" s="1315" t="s">
        <v>148</v>
      </c>
      <c r="AA1150" s="1313" t="s">
        <v>1535</v>
      </c>
      <c r="AB1150" s="1313" t="s">
        <v>6328</v>
      </c>
      <c r="AC1150" s="1315" t="s">
        <v>6333</v>
      </c>
      <c r="AD1150" s="1313" t="s">
        <v>6334</v>
      </c>
      <c r="AE1150" s="1313" t="s">
        <v>6331</v>
      </c>
      <c r="AF1150" s="1318">
        <v>155.0</v>
      </c>
      <c r="AG1150" s="1341">
        <v>0.459</v>
      </c>
      <c r="AH1150" s="1313" t="s">
        <v>173</v>
      </c>
      <c r="AI1150" s="1313" t="s">
        <v>3626</v>
      </c>
      <c r="AJ1150" s="1325">
        <v>0.017238199239407</v>
      </c>
      <c r="AK1150" s="1321" t="s">
        <v>172</v>
      </c>
      <c r="AL1150" s="1321" t="s">
        <v>186</v>
      </c>
      <c r="AM1150" s="1313" t="s">
        <v>137</v>
      </c>
      <c r="AN1150" s="1322" t="s">
        <v>138</v>
      </c>
      <c r="AO1150" s="1318">
        <v>225.0</v>
      </c>
      <c r="AP1150" s="1341">
        <v>0.194935210038986</v>
      </c>
      <c r="AQ1150" s="1313" t="s">
        <v>173</v>
      </c>
      <c r="AR1150" s="1322" t="s">
        <v>5604</v>
      </c>
      <c r="AS1150" s="1341">
        <v>0.232036496781515</v>
      </c>
      <c r="AT1150" s="1313" t="s">
        <v>172</v>
      </c>
      <c r="AU1150" s="1313" t="s">
        <v>186</v>
      </c>
      <c r="AV1150" s="1313" t="s">
        <v>137</v>
      </c>
      <c r="AW1150" s="1323" t="s">
        <v>138</v>
      </c>
      <c r="AX1150" s="1339" t="s">
        <v>143</v>
      </c>
      <c r="AY1150" s="61" t="str">
        <f>IFERROR(__xludf.DUMMYFUNCTION("vlookup(BB1150,importrange(""https://docs.google.com/spreadsheets/d/1d2vevQ_7D_v35q4wCQ4RpQ_IPoTwEMB9Yp6ymwlPqew/edit?gid=984458430#gid=984458430"", ""'replication success'!A:K""), 11, FAlSE)"),"#N/A")</f>
        <v>#N/A</v>
      </c>
      <c r="AZ1150" s="61" t="str">
        <f>IFERROR(__xludf.DUMMYFUNCTION("vlookup(BB1150,importrange(""https://docs.google.com/spreadsheets/d/1d2vevQ_7D_v35q4wCQ4RpQ_IPoTwEMB9Yp6ymwlPqew/edit?gid=984458430#gid=984458430"", ""'replication success'!A:M""), 12, FAlSE)"),"#N/A")</f>
        <v>#N/A</v>
      </c>
      <c r="BA1150" s="61" t="str">
        <f>IFERROR(__xludf.DUMMYFUNCTION("vlookup(BB1150,importrange(""https://docs.google.com/spreadsheets/d/1d2vevQ_7D_v35q4wCQ4RpQ_IPoTwEMB9Yp6ymwlPqew/edit?gid=984458430#gid=984458430"", ""'replication success'!A:M""), 13, FAlSE)"),"#N/A")</f>
        <v>#N/A</v>
      </c>
      <c r="BB1150" s="61" t="str">
        <f>IFERROR(__xludf.DUMMYFUNCTION("REGEXREPLACE(G1150, ""_[a-z]{1,2}$"", """")"),"Boyce_etal20238")</f>
        <v>Boyce_etal20238</v>
      </c>
      <c r="BD1150" s="1322" t="s">
        <v>5605</v>
      </c>
    </row>
    <row r="1151">
      <c r="A1151" s="44">
        <v>1151.0</v>
      </c>
      <c r="B1151" s="68" t="s">
        <v>590</v>
      </c>
      <c r="C1151" s="62" t="s">
        <v>115</v>
      </c>
      <c r="D1151" s="62" t="s">
        <v>248</v>
      </c>
      <c r="E1151" s="365"/>
      <c r="F1151" s="126" t="s">
        <v>6321</v>
      </c>
      <c r="G1151" s="119" t="s">
        <v>6322</v>
      </c>
      <c r="H1151" s="140" t="s">
        <v>249</v>
      </c>
      <c r="I1151" s="317">
        <v>45663.0</v>
      </c>
      <c r="J1151" s="1326">
        <v>45692.0</v>
      </c>
      <c r="K1151" s="125"/>
      <c r="L1151" s="125" t="s">
        <v>6323</v>
      </c>
      <c r="M1151" s="140" t="s">
        <v>6324</v>
      </c>
      <c r="N1151" s="140" t="s">
        <v>6325</v>
      </c>
      <c r="O1151" s="125"/>
      <c r="P1151" s="140" t="str">
        <f> SUBSTITUTE(lower(N1151), "/", "--") &amp;  ".pdf"</f>
        <v>10.1111--j.1467-9280.2007.01909.x.pdf</v>
      </c>
      <c r="Q1151" s="52" t="str">
        <f t="array" ref="Q1151"> if(iserror(MATCH(V1151, 'File Links'!C:C, 0)), "N/A", HYPERLINK(INDEX('File Links'!B:B, MATCH(P1151, 'File Links'!C:C, 0))))</f>
        <v>https://drive.google.com/file/d/1vWGgcW4pZ3FoyQKsaRTBIF-qNoze2NOS/view?usp=drivesdk</v>
      </c>
      <c r="R1151" s="140" t="s">
        <v>6335</v>
      </c>
      <c r="S1151" s="159" t="s">
        <v>3654</v>
      </c>
      <c r="T1151" s="1365" t="s">
        <v>6327</v>
      </c>
      <c r="U1151" s="147" t="s">
        <v>138</v>
      </c>
      <c r="V1151" s="198" t="str">
        <f t="shared" si="57"/>
        <v>10.1098--rsos.231240.pdf</v>
      </c>
      <c r="W1151" s="140" t="s">
        <v>324</v>
      </c>
      <c r="X1151" s="54" t="str">
        <f t="array" ref="X1151"> if(iserror(MATCH(V1151, 'File Links'!C:C, 0)), "N/A", HYPERLINK(INDEX('File Links'!B:B, MATCH(V1151, 'File Links'!C:C, 0))))</f>
        <v>https://drive.google.com/file/d/17gaf2Zy_ljFfcAEDk5L8GBnTl5i7RGJE/view?usp=drivesdk</v>
      </c>
      <c r="Y1151" s="125"/>
      <c r="Z1151" s="140" t="s">
        <v>148</v>
      </c>
      <c r="AA1151" s="125"/>
      <c r="AB1151" s="125"/>
      <c r="AC1151" s="125"/>
      <c r="AD1151" s="140" t="s">
        <v>6336</v>
      </c>
      <c r="AE1151" s="782">
        <v>384.0</v>
      </c>
      <c r="AF1151" s="782">
        <v>155.0</v>
      </c>
      <c r="AG1151" s="782">
        <v>0.472</v>
      </c>
      <c r="AH1151" s="140" t="s">
        <v>173</v>
      </c>
      <c r="AI1151" s="140" t="s">
        <v>6337</v>
      </c>
      <c r="AJ1151" s="133">
        <v>0.05</v>
      </c>
      <c r="AK1151" s="126" t="s">
        <v>135</v>
      </c>
      <c r="AL1151" s="126" t="s">
        <v>186</v>
      </c>
      <c r="AM1151" s="140" t="s">
        <v>1905</v>
      </c>
      <c r="AN1151" s="1322" t="s">
        <v>138</v>
      </c>
      <c r="AO1151" s="782">
        <v>225.0</v>
      </c>
      <c r="AP1151" s="782">
        <v>0.194935210038986</v>
      </c>
      <c r="AQ1151" s="140" t="s">
        <v>173</v>
      </c>
      <c r="AR1151" s="1322" t="s">
        <v>5604</v>
      </c>
      <c r="AS1151" s="782">
        <v>0.232036496781515</v>
      </c>
      <c r="AT1151" s="140" t="s">
        <v>172</v>
      </c>
      <c r="AU1151" s="140" t="s">
        <v>186</v>
      </c>
      <c r="AV1151" s="140" t="s">
        <v>1905</v>
      </c>
      <c r="AW1151" s="1323" t="s">
        <v>138</v>
      </c>
      <c r="AX1151" s="670" t="s">
        <v>143</v>
      </c>
      <c r="AY1151" s="61" t="str">
        <f>IFERROR(__xludf.DUMMYFUNCTION("vlookup(BB1151,importrange(""https://docs.google.com/spreadsheets/d/1d2vevQ_7D_v35q4wCQ4RpQ_IPoTwEMB9Yp6ymwlPqew/edit?gid=984458430#gid=984458430"", ""'replication success'!A:K""), 11, FAlSE)"),"#N/A")</f>
        <v>#N/A</v>
      </c>
      <c r="AZ1151" s="61" t="str">
        <f>IFERROR(__xludf.DUMMYFUNCTION("vlookup(BB1151,importrange(""https://docs.google.com/spreadsheets/d/1d2vevQ_7D_v35q4wCQ4RpQ_IPoTwEMB9Yp6ymwlPqew/edit?gid=984458430#gid=984458430"", ""'replication success'!A:M""), 12, FAlSE)"),"#N/A")</f>
        <v>#N/A</v>
      </c>
      <c r="BA1151" s="61" t="str">
        <f>IFERROR(__xludf.DUMMYFUNCTION("vlookup(BB1151,importrange(""https://docs.google.com/spreadsheets/d/1d2vevQ_7D_v35q4wCQ4RpQ_IPoTwEMB9Yp6ymwlPqew/edit?gid=984458430#gid=984458430"", ""'replication success'!A:M""), 13, FAlSE)"),"#N/A")</f>
        <v>#N/A</v>
      </c>
      <c r="BB1151" s="61" t="str">
        <f>IFERROR(__xludf.DUMMYFUNCTION("REGEXREPLACE(G1151, ""_[a-z]{1,2}$"", """")"),"Boyce_etal20238")</f>
        <v>Boyce_etal20238</v>
      </c>
      <c r="BD1151" s="1322" t="s">
        <v>5605</v>
      </c>
    </row>
    <row r="1152">
      <c r="A1152" s="44">
        <v>1152.0</v>
      </c>
      <c r="B1152" s="129" t="s">
        <v>152</v>
      </c>
      <c r="C1152" s="62" t="s">
        <v>115</v>
      </c>
      <c r="D1152" s="62" t="s">
        <v>145</v>
      </c>
      <c r="E1152" s="365"/>
      <c r="F1152" s="1313" t="s">
        <v>6338</v>
      </c>
      <c r="G1152" s="1314" t="s">
        <v>6339</v>
      </c>
      <c r="H1152" s="1315" t="s">
        <v>5592</v>
      </c>
      <c r="I1152" s="1316">
        <v>45691.0</v>
      </c>
      <c r="J1152" s="1317">
        <v>45692.0</v>
      </c>
      <c r="K1152" s="1313"/>
      <c r="L1152" s="1313" t="s">
        <v>5594</v>
      </c>
      <c r="M1152" s="1315" t="s">
        <v>6340</v>
      </c>
      <c r="N1152" s="1315" t="s">
        <v>6341</v>
      </c>
      <c r="O1152" s="1318">
        <v>3.0</v>
      </c>
      <c r="P1152" s="1315" t="s">
        <v>6342</v>
      </c>
      <c r="Q1152" s="52" t="str">
        <f t="array" ref="Q1152"> if(iserror(MATCH(V1152, 'File Links'!C:C, 0)), "N/A", HYPERLINK(INDEX('File Links'!B:B, MATCH(P1152, 'File Links'!C:C, 0))))</f>
        <v>https://drive.google.com/file/d/1CNUuCil5aZVO_tdA1GgelrRiq8I7q6J4/view?usp=drivesdk</v>
      </c>
      <c r="R1152" s="1315" t="s">
        <v>3653</v>
      </c>
      <c r="S1152" s="159" t="s">
        <v>3654</v>
      </c>
      <c r="T1152" s="780" t="s">
        <v>138</v>
      </c>
      <c r="U1152" s="147" t="s">
        <v>138</v>
      </c>
      <c r="V1152" s="198" t="str">
        <f t="shared" si="57"/>
        <v>10.1098--rsos.231240.pdf</v>
      </c>
      <c r="W1152" s="140" t="s">
        <v>3665</v>
      </c>
      <c r="X1152" s="54" t="str">
        <f t="array" ref="X1152"> if(iserror(MATCH(V1152, 'File Links'!C:C, 0)), "N/A", HYPERLINK(INDEX('File Links'!B:B, MATCH(V1152, 'File Links'!C:C, 0))))</f>
        <v>https://drive.google.com/file/d/17gaf2Zy_ljFfcAEDk5L8GBnTl5i7RGJE/view?usp=drivesdk</v>
      </c>
      <c r="Y1152" s="1313"/>
      <c r="Z1152" s="1315" t="s">
        <v>226</v>
      </c>
      <c r="AA1152" s="1322" t="s">
        <v>138</v>
      </c>
      <c r="AB1152" s="1313" t="s">
        <v>6343</v>
      </c>
      <c r="AC1152" s="1315" t="s">
        <v>6344</v>
      </c>
      <c r="AD1152" s="1313" t="s">
        <v>6345</v>
      </c>
      <c r="AE1152" s="1341">
        <v>6.0</v>
      </c>
      <c r="AF1152" s="1318">
        <v>101.0</v>
      </c>
      <c r="AG1152" s="1313" t="s">
        <v>6346</v>
      </c>
      <c r="AH1152" s="1313" t="s">
        <v>134</v>
      </c>
      <c r="AI1152" s="1313" t="s">
        <v>140</v>
      </c>
      <c r="AJ1152" s="1353">
        <v>0.24</v>
      </c>
      <c r="AK1152" s="1321" t="s">
        <v>172</v>
      </c>
      <c r="AL1152" s="1321" t="s">
        <v>186</v>
      </c>
      <c r="AM1152" s="1313" t="s">
        <v>137</v>
      </c>
      <c r="AN1152" s="1322" t="s">
        <v>138</v>
      </c>
      <c r="AO1152" s="1318">
        <v>160.0</v>
      </c>
      <c r="AP1152" s="1341">
        <v>0.20193923478476</v>
      </c>
      <c r="AQ1152" s="1313" t="s">
        <v>173</v>
      </c>
      <c r="AR1152" s="1322" t="s">
        <v>5604</v>
      </c>
      <c r="AS1152" s="1341">
        <v>0.212129833599919</v>
      </c>
      <c r="AT1152" s="1313" t="s">
        <v>172</v>
      </c>
      <c r="AU1152" s="1313" t="s">
        <v>186</v>
      </c>
      <c r="AV1152" s="1313" t="s">
        <v>137</v>
      </c>
      <c r="AW1152" s="1323" t="s">
        <v>138</v>
      </c>
      <c r="AX1152" s="1339" t="s">
        <v>143</v>
      </c>
      <c r="AY1152" s="61" t="str">
        <f>IFERROR(__xludf.DUMMYFUNCTION("vlookup(BB1152,importrange(""https://docs.google.com/spreadsheets/d/1d2vevQ_7D_v35q4wCQ4RpQ_IPoTwEMB9Yp6ymwlPqew/edit?gid=984458430#gid=984458430"", ""'replication success'!A:K""), 11, FAlSE)"),"failed")</f>
        <v>failed</v>
      </c>
      <c r="AZ1152" s="61" t="str">
        <f>IFERROR(__xludf.DUMMYFUNCTION("vlookup(BB1152,importrange(""https://docs.google.com/spreadsheets/d/1d2vevQ_7D_v35q4wCQ4RpQ_IPoTwEMB9Yp6ymwlPqew/edit?gid=984458430#gid=984458430"",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52" s="61" t="str">
        <f>IFERROR(__xludf.DUMMYFUNCTION("vlookup(BB1152,importrange(""https://docs.google.com/spreadsheets/d/1d2vevQ_7D_v35q4wCQ4RpQ_IPoTwEMB9Yp6ymwlPqew/edit?gid=984458430#gid=984458430"",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v>
      </c>
      <c r="BB1152" s="61" t="str">
        <f>IFERROR(__xludf.DUMMYFUNCTION("REGEXREPLACE(G1152, ""_[a-z]{1,2}$"", """")"),"Boyce_etal202380")</f>
        <v>Boyce_etal202380</v>
      </c>
      <c r="BD1152" s="1322" t="s">
        <v>5605</v>
      </c>
    </row>
    <row r="1153">
      <c r="A1153" s="44">
        <v>1153.0</v>
      </c>
      <c r="B1153" s="129" t="s">
        <v>114</v>
      </c>
      <c r="C1153" s="62" t="s">
        <v>115</v>
      </c>
      <c r="D1153" s="62" t="s">
        <v>248</v>
      </c>
      <c r="E1153" s="365"/>
      <c r="F1153" s="126" t="s">
        <v>6338</v>
      </c>
      <c r="G1153" s="119" t="s">
        <v>6339</v>
      </c>
      <c r="H1153" s="140" t="s">
        <v>249</v>
      </c>
      <c r="I1153" s="317">
        <v>45666.0</v>
      </c>
      <c r="J1153" s="1326">
        <v>45692.0</v>
      </c>
      <c r="K1153" s="125"/>
      <c r="L1153" s="125" t="s">
        <v>5594</v>
      </c>
      <c r="M1153" s="140" t="s">
        <v>6340</v>
      </c>
      <c r="N1153" s="140" t="s">
        <v>6341</v>
      </c>
      <c r="O1153" s="125"/>
      <c r="P1153" s="140" t="str">
        <f> SUBSTITUTE(lower(N1153), "/", "--") &amp;  ".pdf"</f>
        <v>10.1177--0956797614563108.pdf</v>
      </c>
      <c r="Q1153" s="52" t="str">
        <f t="array" ref="Q1153"> if(iserror(MATCH(V1153, 'File Links'!C:C, 0)), "N/A", HYPERLINK(INDEX('File Links'!B:B, MATCH(P1153, 'File Links'!C:C, 0))))</f>
        <v>https://drive.google.com/file/d/1CNUuCil5aZVO_tdA1GgelrRiq8I7q6J4/view?usp=drivesdk</v>
      </c>
      <c r="R1153" s="140" t="s">
        <v>6347</v>
      </c>
      <c r="S1153" s="159" t="s">
        <v>3654</v>
      </c>
      <c r="T1153" s="780" t="s">
        <v>138</v>
      </c>
      <c r="U1153" s="147" t="s">
        <v>138</v>
      </c>
      <c r="V1153" s="198" t="str">
        <f t="shared" si="57"/>
        <v>10.1098--rsos.231240.pdf</v>
      </c>
      <c r="W1153" s="140" t="s">
        <v>3665</v>
      </c>
      <c r="X1153" s="54" t="str">
        <f t="array" ref="X1153"> if(iserror(MATCH(V1153, 'File Links'!C:C, 0)), "N/A", HYPERLINK(INDEX('File Links'!B:B, MATCH(V1153, 'File Links'!C:C, 0))))</f>
        <v>https://drive.google.com/file/d/17gaf2Zy_ljFfcAEDk5L8GBnTl5i7RGJE/view?usp=drivesdk</v>
      </c>
      <c r="Y1153" s="125"/>
      <c r="Z1153" s="140" t="s">
        <v>226</v>
      </c>
      <c r="AA1153" s="125"/>
      <c r="AB1153" s="140" t="s">
        <v>4343</v>
      </c>
      <c r="AC1153" s="125"/>
      <c r="AD1153" s="140" t="s">
        <v>6348</v>
      </c>
      <c r="AE1153" s="782">
        <v>6.0</v>
      </c>
      <c r="AF1153" s="782">
        <v>101.0</v>
      </c>
      <c r="AG1153" s="782">
        <v>0.61</v>
      </c>
      <c r="AH1153" s="119" t="s">
        <v>361</v>
      </c>
      <c r="AI1153" s="140" t="s">
        <v>1042</v>
      </c>
      <c r="AJ1153" s="133">
        <v>0.24</v>
      </c>
      <c r="AK1153" s="126" t="s">
        <v>172</v>
      </c>
      <c r="AL1153" s="126" t="s">
        <v>218</v>
      </c>
      <c r="AM1153" s="140" t="s">
        <v>141</v>
      </c>
      <c r="AN1153" s="1322" t="s">
        <v>138</v>
      </c>
      <c r="AO1153" s="782">
        <v>160.0</v>
      </c>
      <c r="AP1153" s="782">
        <v>0.20193923478476</v>
      </c>
      <c r="AQ1153" s="140" t="s">
        <v>173</v>
      </c>
      <c r="AR1153" s="1322" t="s">
        <v>5604</v>
      </c>
      <c r="AS1153" s="782">
        <v>0.212129833599919</v>
      </c>
      <c r="AT1153" s="140" t="s">
        <v>172</v>
      </c>
      <c r="AU1153" s="140" t="s">
        <v>218</v>
      </c>
      <c r="AV1153" s="140" t="s">
        <v>141</v>
      </c>
      <c r="AW1153" s="1323" t="s">
        <v>138</v>
      </c>
      <c r="AX1153" s="670" t="s">
        <v>143</v>
      </c>
      <c r="AY1153" s="61" t="str">
        <f>IFERROR(__xludf.DUMMYFUNCTION("vlookup(BB1153,importrange(""https://docs.google.com/spreadsheets/d/1d2vevQ_7D_v35q4wCQ4RpQ_IPoTwEMB9Yp6ymwlPqew/edit?gid=984458430#gid=984458430"", ""'replication success'!A:K""), 11, FAlSE)"),"failed")</f>
        <v>failed</v>
      </c>
      <c r="AZ1153" s="61" t="str">
        <f>IFERROR(__xludf.DUMMYFUNCTION("vlookup(BB1153,importrange(""https://docs.google.com/spreadsheets/d/1d2vevQ_7D_v35q4wCQ4RpQ_IPoTwEMB9Yp6ymwlPqew/edit?gid=984458430#gid=984458430"",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53" s="61" t="str">
        <f>IFERROR(__xludf.DUMMYFUNCTION("vlookup(BB1153,importrange(""https://docs.google.com/spreadsheets/d/1d2vevQ_7D_v35q4wCQ4RpQ_IPoTwEMB9Yp6ymwlPqew/edit?gid=984458430#gid=984458430"",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v>
      </c>
      <c r="BB1153" s="61" t="str">
        <f>IFERROR(__xludf.DUMMYFUNCTION("REGEXREPLACE(G1153, ""_[a-z]{1,2}$"", """")"),"Boyce_etal202380")</f>
        <v>Boyce_etal202380</v>
      </c>
      <c r="BD1153" s="1322" t="s">
        <v>5605</v>
      </c>
    </row>
    <row r="1154">
      <c r="A1154" s="44">
        <v>1154.0</v>
      </c>
      <c r="B1154" s="129" t="s">
        <v>152</v>
      </c>
      <c r="C1154" s="62" t="s">
        <v>115</v>
      </c>
      <c r="D1154" s="62" t="s">
        <v>145</v>
      </c>
      <c r="E1154" s="365"/>
      <c r="F1154" s="1313" t="s">
        <v>6349</v>
      </c>
      <c r="G1154" s="1314" t="s">
        <v>6350</v>
      </c>
      <c r="H1154" s="1315" t="s">
        <v>5592</v>
      </c>
      <c r="I1154" s="1316">
        <v>45691.0</v>
      </c>
      <c r="J1154" s="1317">
        <v>45692.0</v>
      </c>
      <c r="K1154" s="1313"/>
      <c r="L1154" s="1313" t="s">
        <v>5594</v>
      </c>
      <c r="M1154" s="1315" t="s">
        <v>6351</v>
      </c>
      <c r="N1154" s="1315" t="s">
        <v>6352</v>
      </c>
      <c r="O1154" s="1318">
        <v>1.0</v>
      </c>
      <c r="P1154" s="1315" t="s">
        <v>6353</v>
      </c>
      <c r="Q1154" s="52" t="str">
        <f t="array" ref="Q1154"> if(iserror(MATCH(V1154, 'File Links'!C:C, 0)), "N/A", HYPERLINK(INDEX('File Links'!B:B, MATCH(P1154, 'File Links'!C:C, 0))))</f>
        <v>https://drive.google.com/file/d/1cd2Q3usXoNSUYACYaL4eodYUxZsj-SOb/view?usp=drivesdk</v>
      </c>
      <c r="R1154" s="1315" t="s">
        <v>3653</v>
      </c>
      <c r="S1154" s="159" t="s">
        <v>3654</v>
      </c>
      <c r="T1154" s="780" t="s">
        <v>138</v>
      </c>
      <c r="U1154" s="147" t="s">
        <v>138</v>
      </c>
      <c r="V1154" s="198" t="str">
        <f t="shared" si="57"/>
        <v>10.1098--rsos.231240.pdf</v>
      </c>
      <c r="W1154" s="140" t="s">
        <v>324</v>
      </c>
      <c r="X1154" s="54" t="str">
        <f t="array" ref="X1154"> if(iserror(MATCH(V1154, 'File Links'!C:C, 0)), "N/A", HYPERLINK(INDEX('File Links'!B:B, MATCH(V1154, 'File Links'!C:C, 0))))</f>
        <v>https://drive.google.com/file/d/17gaf2Zy_ljFfcAEDk5L8GBnTl5i7RGJE/view?usp=drivesdk</v>
      </c>
      <c r="Y1154" s="1313"/>
      <c r="Z1154" s="1315" t="s">
        <v>226</v>
      </c>
      <c r="AA1154" s="374" t="s">
        <v>138</v>
      </c>
      <c r="AB1154" s="1313" t="s">
        <v>6354</v>
      </c>
      <c r="AC1154" s="1315" t="s">
        <v>6355</v>
      </c>
      <c r="AD1154" s="1322" t="s">
        <v>6356</v>
      </c>
      <c r="AE1154" s="1341">
        <v>2.0</v>
      </c>
      <c r="AF1154" s="1318">
        <v>36.0</v>
      </c>
      <c r="AG1154" s="1313" t="s">
        <v>6357</v>
      </c>
      <c r="AH1154" s="1313" t="s">
        <v>134</v>
      </c>
      <c r="AI1154" s="1313" t="s">
        <v>875</v>
      </c>
      <c r="AJ1154" s="1347" t="s">
        <v>138</v>
      </c>
      <c r="AK1154" s="1321" t="s">
        <v>172</v>
      </c>
      <c r="AL1154" s="1321" t="s">
        <v>186</v>
      </c>
      <c r="AM1154" s="1358" t="s">
        <v>137</v>
      </c>
      <c r="AN1154" s="1322" t="s">
        <v>138</v>
      </c>
      <c r="AO1154" s="1318">
        <v>39.0</v>
      </c>
      <c r="AP1154" s="1313" t="s">
        <v>6358</v>
      </c>
      <c r="AQ1154" s="1313" t="s">
        <v>134</v>
      </c>
      <c r="AR1154" s="1322" t="s">
        <v>5604</v>
      </c>
      <c r="AS1154" s="1341">
        <v>0.2</v>
      </c>
      <c r="AT1154" s="1313" t="s">
        <v>335</v>
      </c>
      <c r="AU1154" s="1313" t="s">
        <v>186</v>
      </c>
      <c r="AV1154" s="1313" t="s">
        <v>137</v>
      </c>
      <c r="AW1154" s="1323" t="s">
        <v>138</v>
      </c>
      <c r="AX1154" s="1339" t="s">
        <v>143</v>
      </c>
      <c r="AY1154" s="61" t="str">
        <f>IFERROR(__xludf.DUMMYFUNCTION("vlookup(BB1154,importrange(""https://docs.google.com/spreadsheets/d/1d2vevQ_7D_v35q4wCQ4RpQ_IPoTwEMB9Yp6ymwlPqew/edit?gid=984458430#gid=984458430"", ""'replication success'!A:K""), 11, FAlSE)"),"")</f>
        <v/>
      </c>
      <c r="AZ1154" s="61" t="str">
        <f>IFERROR(__xludf.DUMMYFUNCTION("vlookup(BB1154,importrange(""https://docs.google.com/spreadsheets/d/1d2vevQ_7D_v35q4wCQ4RpQ_IPoTwEMB9Yp6ymwlPqew/edit?gid=984458430#gid=984458430"", ""'replication success'!A:M""), 12, FAlSE)"),"")</f>
        <v/>
      </c>
      <c r="BA1154" s="61" t="str">
        <f>IFERROR(__xludf.DUMMYFUNCTION("vlookup(BB1154,importrange(""https://docs.google.com/spreadsheets/d/1d2vevQ_7D_v35q4wCQ4RpQ_IPoTwEMB9Yp6ymwlPqew/edit?gid=984458430#gid=984458430"",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v>
      </c>
      <c r="BB1154" s="61" t="str">
        <f>IFERROR(__xludf.DUMMYFUNCTION("REGEXREPLACE(G1154, ""_[a-z]{1,2}$"", """")"),"Boyce_etal202381")</f>
        <v>Boyce_etal202381</v>
      </c>
      <c r="BD1154" s="1322" t="s">
        <v>5605</v>
      </c>
    </row>
    <row r="1155">
      <c r="A1155" s="44">
        <v>1155.0</v>
      </c>
      <c r="B1155" s="129" t="s">
        <v>114</v>
      </c>
      <c r="C1155" s="62" t="s">
        <v>115</v>
      </c>
      <c r="D1155" s="62" t="s">
        <v>248</v>
      </c>
      <c r="E1155" s="365"/>
      <c r="F1155" s="126" t="s">
        <v>6349</v>
      </c>
      <c r="G1155" s="119" t="s">
        <v>6350</v>
      </c>
      <c r="H1155" s="140" t="s">
        <v>249</v>
      </c>
      <c r="I1155" s="317">
        <v>45667.0</v>
      </c>
      <c r="J1155" s="1326">
        <v>45692.0</v>
      </c>
      <c r="K1155" s="140" t="s">
        <v>6359</v>
      </c>
      <c r="L1155" s="125" t="s">
        <v>5594</v>
      </c>
      <c r="M1155" s="140" t="s">
        <v>6351</v>
      </c>
      <c r="N1155" s="140" t="s">
        <v>6352</v>
      </c>
      <c r="O1155" s="125"/>
      <c r="P1155" s="140" t="str">
        <f> SUBSTITUTE(lower(N1155), "/", "--") &amp;  ".pdf"</f>
        <v>10.1111--j.1467-9280.2008.02040.x.pdf</v>
      </c>
      <c r="Q1155" s="52" t="str">
        <f t="array" ref="Q1155"> if(iserror(MATCH(V1155, 'File Links'!C:C, 0)), "N/A", HYPERLINK(INDEX('File Links'!B:B, MATCH(P1155, 'File Links'!C:C, 0))))</f>
        <v>https://drive.google.com/file/d/1cd2Q3usXoNSUYACYaL4eodYUxZsj-SOb/view?usp=drivesdk</v>
      </c>
      <c r="R1155" s="140" t="s">
        <v>6360</v>
      </c>
      <c r="S1155" s="159" t="s">
        <v>3654</v>
      </c>
      <c r="T1155" s="780" t="s">
        <v>138</v>
      </c>
      <c r="U1155" s="147" t="s">
        <v>138</v>
      </c>
      <c r="V1155" s="198" t="str">
        <f t="shared" si="57"/>
        <v>10.1098--rsos.231240.pdf</v>
      </c>
      <c r="W1155" s="140" t="s">
        <v>324</v>
      </c>
      <c r="X1155" s="54" t="str">
        <f t="array" ref="X1155"> if(iserror(MATCH(V1155, 'File Links'!C:C, 0)), "N/A", HYPERLINK(INDEX('File Links'!B:B, MATCH(V1155, 'File Links'!C:C, 0))))</f>
        <v>https://drive.google.com/file/d/17gaf2Zy_ljFfcAEDk5L8GBnTl5i7RGJE/view?usp=drivesdk</v>
      </c>
      <c r="Y1155" s="125"/>
      <c r="Z1155" s="140" t="s">
        <v>226</v>
      </c>
      <c r="AA1155" s="125"/>
      <c r="AB1155" s="125"/>
      <c r="AC1155" s="125"/>
      <c r="AD1155" s="140" t="s">
        <v>6361</v>
      </c>
      <c r="AE1155" s="782">
        <v>21.0</v>
      </c>
      <c r="AF1155" s="782">
        <v>36.0</v>
      </c>
      <c r="AG1155" s="225" t="s">
        <v>6357</v>
      </c>
      <c r="AH1155" s="119" t="s">
        <v>134</v>
      </c>
      <c r="AI1155" s="140" t="s">
        <v>6362</v>
      </c>
      <c r="AJ1155" s="133">
        <v>0.0206772695323613</v>
      </c>
      <c r="AK1155" s="126" t="s">
        <v>172</v>
      </c>
      <c r="AL1155" s="126" t="s">
        <v>136</v>
      </c>
      <c r="AM1155" s="140" t="s">
        <v>1905</v>
      </c>
      <c r="AN1155" s="1322" t="s">
        <v>138</v>
      </c>
      <c r="AO1155" s="782">
        <v>39.0</v>
      </c>
      <c r="AP1155" s="225" t="s">
        <v>6358</v>
      </c>
      <c r="AQ1155" s="119" t="s">
        <v>134</v>
      </c>
      <c r="AR1155" s="1322" t="s">
        <v>5604</v>
      </c>
      <c r="AS1155" s="782">
        <v>0.226694821848151</v>
      </c>
      <c r="AT1155" s="140" t="s">
        <v>172</v>
      </c>
      <c r="AU1155" s="140" t="s">
        <v>136</v>
      </c>
      <c r="AV1155" s="140" t="s">
        <v>1905</v>
      </c>
      <c r="AW1155" s="1323" t="s">
        <v>138</v>
      </c>
      <c r="AX1155" s="140" t="s">
        <v>143</v>
      </c>
      <c r="AY1155" s="61" t="str">
        <f>IFERROR(__xludf.DUMMYFUNCTION("vlookup(BB1155,importrange(""https://docs.google.com/spreadsheets/d/1d2vevQ_7D_v35q4wCQ4RpQ_IPoTwEMB9Yp6ymwlPqew/edit?gid=984458430#gid=984458430"", ""'replication success'!A:K""), 11, FAlSE)"),"")</f>
        <v/>
      </c>
      <c r="AZ1155" s="61" t="str">
        <f>IFERROR(__xludf.DUMMYFUNCTION("vlookup(BB1155,importrange(""https://docs.google.com/spreadsheets/d/1d2vevQ_7D_v35q4wCQ4RpQ_IPoTwEMB9Yp6ymwlPqew/edit?gid=984458430#gid=984458430"", ""'replication success'!A:M""), 12, FAlSE)"),"")</f>
        <v/>
      </c>
      <c r="BA1155" s="61" t="str">
        <f>IFERROR(__xludf.DUMMYFUNCTION("vlookup(BB1155,importrange(""https://docs.google.com/spreadsheets/d/1d2vevQ_7D_v35q4wCQ4RpQ_IPoTwEMB9Yp6ymwlPqew/edit?gid=984458430#gid=984458430"",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v>
      </c>
      <c r="BB1155" s="61" t="str">
        <f>IFERROR(__xludf.DUMMYFUNCTION("REGEXREPLACE(G1155, ""_[a-z]{1,2}$"", """")"),"Boyce_etal202381")</f>
        <v>Boyce_etal202381</v>
      </c>
      <c r="BD1155" s="1322" t="s">
        <v>5605</v>
      </c>
    </row>
    <row r="1156">
      <c r="A1156" s="44">
        <v>1156.0</v>
      </c>
      <c r="B1156" s="129" t="s">
        <v>152</v>
      </c>
      <c r="C1156" s="62" t="s">
        <v>115</v>
      </c>
      <c r="D1156" s="62" t="s">
        <v>145</v>
      </c>
      <c r="E1156" s="365"/>
      <c r="F1156" s="1313" t="s">
        <v>6363</v>
      </c>
      <c r="G1156" s="1314" t="s">
        <v>6364</v>
      </c>
      <c r="H1156" s="1315" t="s">
        <v>5592</v>
      </c>
      <c r="I1156" s="1316">
        <v>45691.0</v>
      </c>
      <c r="J1156" s="1317">
        <v>45692.0</v>
      </c>
      <c r="K1156" s="1313"/>
      <c r="L1156" s="1313" t="s">
        <v>5594</v>
      </c>
      <c r="M1156" s="1315" t="s">
        <v>6365</v>
      </c>
      <c r="N1156" s="1315" t="s">
        <v>6366</v>
      </c>
      <c r="O1156" s="1315" t="s">
        <v>3580</v>
      </c>
      <c r="P1156" s="1315" t="s">
        <v>6367</v>
      </c>
      <c r="Q1156" s="52" t="str">
        <f t="array" ref="Q1156"> if(iserror(MATCH(V1156, 'File Links'!C:C, 0)), "N/A", HYPERLINK(INDEX('File Links'!B:B, MATCH(P1156, 'File Links'!C:C, 0))))</f>
        <v>https://drive.google.com/file/d/1OSEYoq50TRvyqkjozHLp1CtvXHG-6rLL/view?usp=drivesdk</v>
      </c>
      <c r="R1156" s="1315" t="s">
        <v>3653</v>
      </c>
      <c r="S1156" s="159" t="s">
        <v>3654</v>
      </c>
      <c r="T1156" s="780" t="s">
        <v>138</v>
      </c>
      <c r="U1156" s="147" t="s">
        <v>138</v>
      </c>
      <c r="V1156" s="198" t="str">
        <f t="shared" si="57"/>
        <v>10.1098--rsos.231240.pdf</v>
      </c>
      <c r="W1156" s="140" t="s">
        <v>3665</v>
      </c>
      <c r="X1156" s="54" t="str">
        <f t="array" ref="X1156"> if(iserror(MATCH(V1156, 'File Links'!C:C, 0)), "N/A", HYPERLINK(INDEX('File Links'!B:B, MATCH(V1156, 'File Links'!C:C, 0))))</f>
        <v>https://drive.google.com/file/d/17gaf2Zy_ljFfcAEDk5L8GBnTl5i7RGJE/view?usp=drivesdk</v>
      </c>
      <c r="Y1156" s="1313"/>
      <c r="Z1156" s="1315" t="s">
        <v>148</v>
      </c>
      <c r="AA1156" s="374" t="s">
        <v>138</v>
      </c>
      <c r="AB1156" s="1313" t="s">
        <v>6368</v>
      </c>
      <c r="AC1156" s="1315" t="s">
        <v>6369</v>
      </c>
      <c r="AD1156" s="1322" t="s">
        <v>6370</v>
      </c>
      <c r="AE1156" s="1341">
        <v>5.0</v>
      </c>
      <c r="AF1156" s="1318">
        <v>608.0</v>
      </c>
      <c r="AG1156" s="1336">
        <v>0.32</v>
      </c>
      <c r="AH1156" s="1336" t="s">
        <v>1256</v>
      </c>
      <c r="AI1156" s="1313" t="s">
        <v>813</v>
      </c>
      <c r="AJ1156" s="1325">
        <v>0.001</v>
      </c>
      <c r="AK1156" s="1321" t="s">
        <v>135</v>
      </c>
      <c r="AL1156" s="1321" t="s">
        <v>136</v>
      </c>
      <c r="AM1156" s="1313" t="s">
        <v>137</v>
      </c>
      <c r="AN1156" s="1342" t="s">
        <v>6371</v>
      </c>
      <c r="AO1156" s="1318">
        <v>51.0</v>
      </c>
      <c r="AP1156" s="1313" t="s">
        <v>6372</v>
      </c>
      <c r="AQ1156" s="1313" t="s">
        <v>134</v>
      </c>
      <c r="AR1156" s="1322" t="s">
        <v>5604</v>
      </c>
      <c r="AS1156" s="1322" t="s">
        <v>138</v>
      </c>
      <c r="AT1156" s="219" t="s">
        <v>138</v>
      </c>
      <c r="AU1156" s="1313" t="s">
        <v>186</v>
      </c>
      <c r="AV1156" s="1313" t="s">
        <v>137</v>
      </c>
      <c r="AW1156" s="1323" t="s">
        <v>138</v>
      </c>
      <c r="AX1156" s="1313" t="s">
        <v>143</v>
      </c>
      <c r="AY1156" s="61" t="str">
        <f>IFERROR(__xludf.DUMMYFUNCTION("vlookup(BB1156,importrange(""https://docs.google.com/spreadsheets/d/1d2vevQ_7D_v35q4wCQ4RpQ_IPoTwEMB9Yp6ymwlPqew/edit?gid=984458430#gid=984458430"", ""'replication success'!A:K""), 11, FAlSE)"),"")</f>
        <v/>
      </c>
      <c r="AZ1156" s="61" t="str">
        <f>IFERROR(__xludf.DUMMYFUNCTION("vlookup(BB1156,importrange(""https://docs.google.com/spreadsheets/d/1d2vevQ_7D_v35q4wCQ4RpQ_IPoTwEMB9Yp6ymwlPqew/edit?gid=984458430#gid=984458430"", ""'replication success'!A:M""), 12, FAlSE)"),"")</f>
        <v/>
      </c>
      <c r="BA1156" s="61" t="str">
        <f>IFERROR(__xludf.DUMMYFUNCTION("vlookup(BB1156,importrange(""https://docs.google.com/spreadsheets/d/1d2vevQ_7D_v35q4wCQ4RpQ_IPoTwEMB9Yp6ymwlPqew/edit?gid=984458430#gid=984458430"",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v>
      </c>
      <c r="BB1156" s="61" t="str">
        <f>IFERROR(__xludf.DUMMYFUNCTION("REGEXREPLACE(G1156, ""_[a-z]{1,2}$"", """")"),"Boyce_etal202382")</f>
        <v>Boyce_etal202382</v>
      </c>
      <c r="BD1156" s="1322" t="s">
        <v>5605</v>
      </c>
    </row>
    <row r="1157">
      <c r="A1157" s="44">
        <v>1157.0</v>
      </c>
      <c r="B1157" s="68" t="s">
        <v>114</v>
      </c>
      <c r="C1157" s="62" t="s">
        <v>115</v>
      </c>
      <c r="D1157" s="62" t="s">
        <v>248</v>
      </c>
      <c r="E1157" s="365"/>
      <c r="F1157" s="126" t="s">
        <v>6363</v>
      </c>
      <c r="G1157" s="119" t="s">
        <v>6364</v>
      </c>
      <c r="H1157" s="140" t="s">
        <v>249</v>
      </c>
      <c r="I1157" s="317">
        <v>45667.0</v>
      </c>
      <c r="J1157" s="1326">
        <v>45692.0</v>
      </c>
      <c r="K1157" s="140" t="s">
        <v>3683</v>
      </c>
      <c r="L1157" s="125" t="s">
        <v>5594</v>
      </c>
      <c r="M1157" s="140" t="s">
        <v>6365</v>
      </c>
      <c r="N1157" s="140" t="s">
        <v>6366</v>
      </c>
      <c r="O1157" s="125"/>
      <c r="P1157" s="140" t="str">
        <f> SUBSTITUTE(lower(N1157), "/", "--") &amp;  ".pdf"</f>
        <v>10.1073--pnas.2014505117.pdf</v>
      </c>
      <c r="Q1157" s="52" t="str">
        <f t="array" ref="Q1157"> if(iserror(MATCH(V1157, 'File Links'!C:C, 0)), "N/A", HYPERLINK(INDEX('File Links'!B:B, MATCH(P1157, 'File Links'!C:C, 0))))</f>
        <v>https://drive.google.com/file/d/1OSEYoq50TRvyqkjozHLp1CtvXHG-6rLL/view?usp=drivesdk</v>
      </c>
      <c r="R1157" s="140" t="s">
        <v>6373</v>
      </c>
      <c r="S1157" s="159" t="s">
        <v>3654</v>
      </c>
      <c r="T1157" s="780" t="s">
        <v>138</v>
      </c>
      <c r="U1157" s="147" t="s">
        <v>138</v>
      </c>
      <c r="V1157" s="198" t="str">
        <f t="shared" si="57"/>
        <v>10.1098--rsos.231240.pdf</v>
      </c>
      <c r="W1157" s="140" t="s">
        <v>3665</v>
      </c>
      <c r="X1157" s="54" t="str">
        <f t="array" ref="X1157"> if(iserror(MATCH(V1157, 'File Links'!C:C, 0)), "N/A", HYPERLINK(INDEX('File Links'!B:B, MATCH(V1157, 'File Links'!C:C, 0))))</f>
        <v>https://drive.google.com/file/d/17gaf2Zy_ljFfcAEDk5L8GBnTl5i7RGJE/view?usp=drivesdk</v>
      </c>
      <c r="Y1157" s="125"/>
      <c r="Z1157" s="140" t="s">
        <v>148</v>
      </c>
      <c r="AA1157" s="125"/>
      <c r="AB1157" s="125"/>
      <c r="AC1157" s="125"/>
      <c r="AD1157" s="140" t="s">
        <v>138</v>
      </c>
      <c r="AE1157" s="140" t="s">
        <v>138</v>
      </c>
      <c r="AF1157" s="782">
        <v>608.0</v>
      </c>
      <c r="AG1157" s="140" t="s">
        <v>138</v>
      </c>
      <c r="AH1157" s="167" t="s">
        <v>138</v>
      </c>
      <c r="AI1157" s="140" t="s">
        <v>138</v>
      </c>
      <c r="AJ1157" s="223" t="s">
        <v>138</v>
      </c>
      <c r="AK1157" s="132"/>
      <c r="AL1157" s="126" t="s">
        <v>186</v>
      </c>
      <c r="AM1157" s="140" t="s">
        <v>1905</v>
      </c>
      <c r="AN1157" s="126" t="s">
        <v>6374</v>
      </c>
      <c r="AO1157" s="782">
        <v>51.0</v>
      </c>
      <c r="AP1157" s="140" t="s">
        <v>138</v>
      </c>
      <c r="AQ1157" s="125"/>
      <c r="AR1157" s="1322" t="s">
        <v>5604</v>
      </c>
      <c r="AS1157" s="140" t="s">
        <v>138</v>
      </c>
      <c r="AT1157" s="125"/>
      <c r="AU1157" s="140" t="s">
        <v>186</v>
      </c>
      <c r="AV1157" s="140" t="s">
        <v>1905</v>
      </c>
      <c r="AW1157" s="1323" t="s">
        <v>138</v>
      </c>
      <c r="AX1157" s="670" t="s">
        <v>143</v>
      </c>
      <c r="AY1157" s="61" t="str">
        <f>IFERROR(__xludf.DUMMYFUNCTION("vlookup(BB1157,importrange(""https://docs.google.com/spreadsheets/d/1d2vevQ_7D_v35q4wCQ4RpQ_IPoTwEMB9Yp6ymwlPqew/edit?gid=984458430#gid=984458430"", ""'replication success'!A:K""), 11, FAlSE)"),"")</f>
        <v/>
      </c>
      <c r="AZ1157" s="61" t="str">
        <f>IFERROR(__xludf.DUMMYFUNCTION("vlookup(BB1157,importrange(""https://docs.google.com/spreadsheets/d/1d2vevQ_7D_v35q4wCQ4RpQ_IPoTwEMB9Yp6ymwlPqew/edit?gid=984458430#gid=984458430"", ""'replication success'!A:M""), 12, FAlSE)"),"")</f>
        <v/>
      </c>
      <c r="BA1157" s="61" t="str">
        <f>IFERROR(__xludf.DUMMYFUNCTION("vlookup(BB1157,importrange(""https://docs.google.com/spreadsheets/d/1d2vevQ_7D_v35q4wCQ4RpQ_IPoTwEMB9Yp6ymwlPqew/edit?gid=984458430#gid=984458430"",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v>
      </c>
      <c r="BB1157" s="61" t="str">
        <f>IFERROR(__xludf.DUMMYFUNCTION("REGEXREPLACE(G1157, ""_[a-z]{1,2}$"", """")"),"Boyce_etal202382")</f>
        <v>Boyce_etal202382</v>
      </c>
      <c r="BD1157" s="1322" t="s">
        <v>5605</v>
      </c>
    </row>
    <row r="1158">
      <c r="A1158" s="44">
        <v>1158.0</v>
      </c>
      <c r="B1158" s="129" t="s">
        <v>152</v>
      </c>
      <c r="C1158" s="62" t="s">
        <v>115</v>
      </c>
      <c r="D1158" s="62" t="s">
        <v>145</v>
      </c>
      <c r="E1158" s="365"/>
      <c r="F1158" s="1313" t="s">
        <v>6375</v>
      </c>
      <c r="G1158" s="1314" t="s">
        <v>6376</v>
      </c>
      <c r="H1158" s="1315" t="s">
        <v>5592</v>
      </c>
      <c r="I1158" s="1316">
        <v>45691.0</v>
      </c>
      <c r="J1158" s="1317">
        <v>45692.0</v>
      </c>
      <c r="K1158" s="1313" t="s">
        <v>6377</v>
      </c>
      <c r="L1158" s="1322" t="s">
        <v>6378</v>
      </c>
      <c r="M1158" s="1315" t="s">
        <v>6379</v>
      </c>
      <c r="N1158" s="1315" t="s">
        <v>6380</v>
      </c>
      <c r="O1158" s="1318">
        <v>4.0</v>
      </c>
      <c r="P1158" s="1315" t="s">
        <v>6381</v>
      </c>
      <c r="Q1158" s="52" t="str">
        <f t="array" ref="Q1158"> if(iserror(MATCH(V1158, 'File Links'!C:C, 0)), "N/A", HYPERLINK(INDEX('File Links'!B:B, MATCH(P1158, 'File Links'!C:C, 0))))</f>
        <v>https://drive.google.com/file/d/1nhF9YyHcpfCFAHZNSHYOdrHjNY6W4OdA/view?usp=drivesdk</v>
      </c>
      <c r="R1158" s="1315" t="s">
        <v>3653</v>
      </c>
      <c r="S1158" s="159" t="s">
        <v>3654</v>
      </c>
      <c r="T1158" s="780" t="s">
        <v>138</v>
      </c>
      <c r="U1158" s="147" t="s">
        <v>138</v>
      </c>
      <c r="V1158" s="198" t="str">
        <f t="shared" si="57"/>
        <v>10.1098--rsos.231240.pdf</v>
      </c>
      <c r="W1158" s="140" t="s">
        <v>324</v>
      </c>
      <c r="X1158" s="54" t="str">
        <f t="array" ref="X1158"> if(iserror(MATCH(V1158, 'File Links'!C:C, 0)), "N/A", HYPERLINK(INDEX('File Links'!B:B, MATCH(V1158, 'File Links'!C:C, 0))))</f>
        <v>https://drive.google.com/file/d/17gaf2Zy_ljFfcAEDk5L8GBnTl5i7RGJE/view?usp=drivesdk</v>
      </c>
      <c r="Y1158" s="1313"/>
      <c r="Z1158" s="1315" t="s">
        <v>226</v>
      </c>
      <c r="AA1158" s="374" t="s">
        <v>138</v>
      </c>
      <c r="AB1158" s="1313" t="s">
        <v>6382</v>
      </c>
      <c r="AC1158" s="1315" t="s">
        <v>6383</v>
      </c>
      <c r="AD1158" s="1322" t="s">
        <v>138</v>
      </c>
      <c r="AE1158" s="1322" t="s">
        <v>138</v>
      </c>
      <c r="AF1158" s="1318">
        <v>122.0</v>
      </c>
      <c r="AG1158" s="1322">
        <v>0.5062683995</v>
      </c>
      <c r="AH1158" s="1313" t="s">
        <v>173</v>
      </c>
      <c r="AI1158" s="1322" t="s">
        <v>6384</v>
      </c>
      <c r="AJ1158" s="1325">
        <v>0.00716387110547914</v>
      </c>
      <c r="AK1158" s="1321" t="s">
        <v>172</v>
      </c>
      <c r="AL1158" s="1321" t="s">
        <v>186</v>
      </c>
      <c r="AM1158" s="1313" t="s">
        <v>137</v>
      </c>
      <c r="AN1158" s="1322" t="s">
        <v>138</v>
      </c>
      <c r="AO1158" s="1318">
        <v>126.0</v>
      </c>
      <c r="AP1158" s="1341">
        <v>0.187279695136782</v>
      </c>
      <c r="AQ1158" s="1313" t="s">
        <v>173</v>
      </c>
      <c r="AR1158" s="1322" t="s">
        <v>5604</v>
      </c>
      <c r="AS1158" s="1341">
        <v>0.363766425742599</v>
      </c>
      <c r="AT1158" s="1313" t="s">
        <v>172</v>
      </c>
      <c r="AU1158" s="1313" t="s">
        <v>186</v>
      </c>
      <c r="AV1158" s="1313" t="s">
        <v>137</v>
      </c>
      <c r="AW1158" s="1323" t="s">
        <v>138</v>
      </c>
      <c r="AX1158" s="1313" t="s">
        <v>143</v>
      </c>
      <c r="AY1158" s="61" t="str">
        <f>IFERROR(__xludf.DUMMYFUNCTION("vlookup(BB1158,importrange(""https://docs.google.com/spreadsheets/d/1d2vevQ_7D_v35q4wCQ4RpQ_IPoTwEMB9Yp6ymwlPqew/edit?gid=984458430#gid=984458430"", ""'replication success'!A:K""), 11, FAlSE)"),"mixed")</f>
        <v>mixed</v>
      </c>
      <c r="AZ1158" s="61" t="str">
        <f>IFERROR(__xludf.DUMMYFUNCTION("vlookup(BB1158,importrange(""https://docs.google.com/spreadsheets/d/1d2vevQ_7D_v35q4wCQ4RpQ_IPoTwEMB9Yp6ymwlPqew/edit?gid=984458430#gid=984458430"",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158" s="61" t="str">
        <f>IFERROR(__xludf.DUMMYFUNCTION("vlookup(BB1158,importrange(""https://docs.google.com/spreadsheets/d/1d2vevQ_7D_v35q4wCQ4RpQ_IPoTwEMB9Yp6ymwlPqew/edit?gid=984458430#gid=984458430"",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v>
      </c>
      <c r="BB1158" s="61" t="str">
        <f>IFERROR(__xludf.DUMMYFUNCTION("REGEXREPLACE(G1158, ""_[a-z]{1,2}$"", """")"),"Boyce_etal202383")</f>
        <v>Boyce_etal202383</v>
      </c>
      <c r="BD1158" s="1322" t="s">
        <v>5605</v>
      </c>
    </row>
    <row r="1159">
      <c r="A1159" s="44">
        <v>1159.0</v>
      </c>
      <c r="B1159" s="129" t="s">
        <v>114</v>
      </c>
      <c r="C1159" s="62" t="s">
        <v>115</v>
      </c>
      <c r="D1159" s="62" t="s">
        <v>248</v>
      </c>
      <c r="E1159" s="365"/>
      <c r="F1159" s="126" t="s">
        <v>6375</v>
      </c>
      <c r="G1159" s="119" t="s">
        <v>6376</v>
      </c>
      <c r="H1159" s="140" t="s">
        <v>249</v>
      </c>
      <c r="I1159" s="317">
        <v>45667.0</v>
      </c>
      <c r="J1159" s="1326">
        <v>45692.0</v>
      </c>
      <c r="K1159" s="140" t="s">
        <v>6385</v>
      </c>
      <c r="L1159" s="125" t="s">
        <v>5594</v>
      </c>
      <c r="M1159" s="140" t="s">
        <v>6379</v>
      </c>
      <c r="N1159" s="140" t="s">
        <v>6380</v>
      </c>
      <c r="O1159" s="125"/>
      <c r="P1159" s="140" t="str">
        <f t="shared" ref="P1159:P1163" si="72"> SUBSTITUTE(lower(N1159), "/", "--") &amp;  ".pdf"</f>
        <v>10.1177--0956797615572231.pdf</v>
      </c>
      <c r="Q1159" s="52" t="str">
        <f t="array" ref="Q1159"> if(iserror(MATCH(V1159, 'File Links'!C:C, 0)), "N/A", HYPERLINK(INDEX('File Links'!B:B, MATCH(P1159, 'File Links'!C:C, 0))))</f>
        <v>https://drive.google.com/file/d/1nhF9YyHcpfCFAHZNSHYOdrHjNY6W4OdA/view?usp=drivesdk</v>
      </c>
      <c r="R1159" s="140" t="s">
        <v>6386</v>
      </c>
      <c r="S1159" s="159" t="s">
        <v>3654</v>
      </c>
      <c r="T1159" s="780" t="s">
        <v>138</v>
      </c>
      <c r="U1159" s="147" t="s">
        <v>138</v>
      </c>
      <c r="V1159" s="198" t="str">
        <f t="shared" si="57"/>
        <v>10.1098--rsos.231240.pdf</v>
      </c>
      <c r="W1159" s="140" t="s">
        <v>324</v>
      </c>
      <c r="X1159" s="54" t="str">
        <f t="array" ref="X1159"> if(iserror(MATCH(V1159, 'File Links'!C:C, 0)), "N/A", HYPERLINK(INDEX('File Links'!B:B, MATCH(V1159, 'File Links'!C:C, 0))))</f>
        <v>https://drive.google.com/file/d/17gaf2Zy_ljFfcAEDk5L8GBnTl5i7RGJE/view?usp=drivesdk</v>
      </c>
      <c r="Y1159" s="125"/>
      <c r="Z1159" s="140" t="s">
        <v>226</v>
      </c>
      <c r="AA1159" s="125"/>
      <c r="AB1159" s="125"/>
      <c r="AC1159" s="125"/>
      <c r="AD1159" s="140" t="s">
        <v>138</v>
      </c>
      <c r="AE1159" s="782">
        <v>122.0</v>
      </c>
      <c r="AF1159" s="140" t="s">
        <v>138</v>
      </c>
      <c r="AG1159" s="782">
        <v>0.506268399475705</v>
      </c>
      <c r="AH1159" s="140" t="s">
        <v>173</v>
      </c>
      <c r="AI1159" s="140" t="s">
        <v>138</v>
      </c>
      <c r="AJ1159" s="133">
        <v>0.00716387110547914</v>
      </c>
      <c r="AK1159" s="126" t="s">
        <v>172</v>
      </c>
      <c r="AL1159" s="126" t="s">
        <v>186</v>
      </c>
      <c r="AM1159" s="140" t="s">
        <v>1905</v>
      </c>
      <c r="AN1159" s="1322" t="s">
        <v>138</v>
      </c>
      <c r="AO1159" s="782">
        <v>126.0</v>
      </c>
      <c r="AP1159" s="782">
        <v>0.187279695136782</v>
      </c>
      <c r="AQ1159" s="140" t="s">
        <v>173</v>
      </c>
      <c r="AR1159" s="1322" t="s">
        <v>5604</v>
      </c>
      <c r="AS1159" s="782">
        <v>0.363766425742599</v>
      </c>
      <c r="AT1159" s="140" t="s">
        <v>172</v>
      </c>
      <c r="AU1159" s="140" t="s">
        <v>186</v>
      </c>
      <c r="AV1159" s="140" t="s">
        <v>1905</v>
      </c>
      <c r="AW1159" s="1323" t="s">
        <v>138</v>
      </c>
      <c r="AX1159" s="670" t="s">
        <v>143</v>
      </c>
      <c r="AY1159" s="61" t="str">
        <f>IFERROR(__xludf.DUMMYFUNCTION("vlookup(BB1159,importrange(""https://docs.google.com/spreadsheets/d/1d2vevQ_7D_v35q4wCQ4RpQ_IPoTwEMB9Yp6ymwlPqew/edit?gid=984458430#gid=984458430"", ""'replication success'!A:K""), 11, FAlSE)"),"mixed")</f>
        <v>mixed</v>
      </c>
      <c r="AZ1159" s="61" t="str">
        <f>IFERROR(__xludf.DUMMYFUNCTION("vlookup(BB1159,importrange(""https://docs.google.com/spreadsheets/d/1d2vevQ_7D_v35q4wCQ4RpQ_IPoTwEMB9Yp6ymwlPqew/edit?gid=984458430#gid=984458430"",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159" s="61" t="str">
        <f>IFERROR(__xludf.DUMMYFUNCTION("vlookup(BB1159,importrange(""https://docs.google.com/spreadsheets/d/1d2vevQ_7D_v35q4wCQ4RpQ_IPoTwEMB9Yp6ymwlPqew/edit?gid=984458430#gid=984458430"",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v>
      </c>
      <c r="BB1159" s="61" t="str">
        <f>IFERROR(__xludf.DUMMYFUNCTION("REGEXREPLACE(G1159, ""_[a-z]{1,2}$"", """")"),"Boyce_etal202383")</f>
        <v>Boyce_etal202383</v>
      </c>
      <c r="BD1159" s="1322" t="s">
        <v>5605</v>
      </c>
    </row>
    <row r="1160">
      <c r="A1160" s="44">
        <v>1160.0</v>
      </c>
      <c r="B1160" s="129" t="s">
        <v>152</v>
      </c>
      <c r="C1160" s="62" t="s">
        <v>115</v>
      </c>
      <c r="D1160" s="62" t="s">
        <v>145</v>
      </c>
      <c r="E1160" s="365"/>
      <c r="F1160" s="1313" t="s">
        <v>6387</v>
      </c>
      <c r="G1160" s="1314" t="s">
        <v>6388</v>
      </c>
      <c r="H1160" s="1315" t="s">
        <v>5592</v>
      </c>
      <c r="I1160" s="1316">
        <v>45691.0</v>
      </c>
      <c r="J1160" s="1317">
        <v>45692.0</v>
      </c>
      <c r="K1160" s="1313"/>
      <c r="L1160" s="1313" t="s">
        <v>5594</v>
      </c>
      <c r="M1160" s="1315" t="s">
        <v>6389</v>
      </c>
      <c r="N1160" s="1313" t="s">
        <v>6390</v>
      </c>
      <c r="O1160" s="1318">
        <v>4.0</v>
      </c>
      <c r="P1160" s="140" t="str">
        <f t="shared" si="72"/>
        <v>10.1038--s41598-019-57204-1.pdf</v>
      </c>
      <c r="Q1160" s="52" t="str">
        <f t="array" ref="Q1160"> if(iserror(MATCH(V1160, 'File Links'!C:C, 0)), "N/A", HYPERLINK(INDEX('File Links'!B:B, MATCH(P1160, 'File Links'!C:C, 0))))</f>
        <v>https://drive.google.com/file/d/1-ByeeNB55CftwPMrOwFmhKHJtA2Cargu/view?usp=drivesdk</v>
      </c>
      <c r="R1160" s="1315" t="s">
        <v>3653</v>
      </c>
      <c r="S1160" s="159" t="s">
        <v>3654</v>
      </c>
      <c r="T1160" s="780" t="s">
        <v>138</v>
      </c>
      <c r="U1160" s="147" t="s">
        <v>138</v>
      </c>
      <c r="V1160" s="198" t="str">
        <f t="shared" si="57"/>
        <v>10.1098--rsos.231240.pdf</v>
      </c>
      <c r="W1160" s="140" t="s">
        <v>3693</v>
      </c>
      <c r="X1160" s="54" t="str">
        <f t="array" ref="X1160"> if(iserror(MATCH(V1160, 'File Links'!C:C, 0)), "N/A", HYPERLINK(INDEX('File Links'!B:B, MATCH(V1160, 'File Links'!C:C, 0))))</f>
        <v>https://drive.google.com/file/d/17gaf2Zy_ljFfcAEDk5L8GBnTl5i7RGJE/view?usp=drivesdk</v>
      </c>
      <c r="Y1160" s="1313"/>
      <c r="Z1160" s="1315" t="s">
        <v>148</v>
      </c>
      <c r="AA1160" s="374" t="s">
        <v>138</v>
      </c>
      <c r="AB1160" s="1313" t="s">
        <v>6391</v>
      </c>
      <c r="AC1160" s="1315" t="s">
        <v>6392</v>
      </c>
      <c r="AD1160" s="1313" t="s">
        <v>6393</v>
      </c>
      <c r="AE1160" s="1313" t="s">
        <v>6146</v>
      </c>
      <c r="AF1160" s="1318">
        <v>793.0</v>
      </c>
      <c r="AG1160" s="1341">
        <v>1.18059532</v>
      </c>
      <c r="AH1160" s="1313" t="s">
        <v>173</v>
      </c>
      <c r="AI1160" s="1322" t="s">
        <v>6394</v>
      </c>
      <c r="AJ1160" s="1345">
        <v>3.26311635515222E-152</v>
      </c>
      <c r="AK1160" s="1321" t="s">
        <v>172</v>
      </c>
      <c r="AL1160" s="1321" t="s">
        <v>186</v>
      </c>
      <c r="AM1160" s="1313" t="s">
        <v>137</v>
      </c>
      <c r="AN1160" s="1322" t="s">
        <v>138</v>
      </c>
      <c r="AO1160" s="1318">
        <v>37.0</v>
      </c>
      <c r="AP1160" s="1341">
        <v>0.485734799228491</v>
      </c>
      <c r="AQ1160" s="1313" t="s">
        <v>173</v>
      </c>
      <c r="AR1160" s="1322" t="s">
        <v>5604</v>
      </c>
      <c r="AS1160" s="1341">
        <v>0.00617483036055436</v>
      </c>
      <c r="AT1160" s="1313" t="s">
        <v>172</v>
      </c>
      <c r="AU1160" s="1313" t="s">
        <v>186</v>
      </c>
      <c r="AV1160" s="1313" t="s">
        <v>137</v>
      </c>
      <c r="AW1160" s="1323" t="s">
        <v>138</v>
      </c>
      <c r="AX1160" s="1339" t="s">
        <v>143</v>
      </c>
      <c r="AY1160" s="61" t="str">
        <f>IFERROR(__xludf.DUMMYFUNCTION("vlookup(BB1160,importrange(""https://docs.google.com/spreadsheets/d/1d2vevQ_7D_v35q4wCQ4RpQ_IPoTwEMB9Yp6ymwlPqew/edit?gid=984458430#gid=984458430"", ""'replication success'!A:K""), 11, FAlSE)"),"mixed")</f>
        <v>mixed</v>
      </c>
      <c r="AZ1160" s="61" t="str">
        <f>IFERROR(__xludf.DUMMYFUNCTION("vlookup(BB1160,importrange(""https://docs.google.com/spreadsheets/d/1d2vevQ_7D_v35q4wCQ4RpQ_IPoTwEMB9Yp6ymwlPqew/edit?gid=984458430#gid=984458430"",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60" s="61" t="str">
        <f>IFERROR(__xludf.DUMMYFUNCTION("vlookup(BB1160,importrange(""https://docs.google.com/spreadsheets/d/1d2vevQ_7D_v35q4wCQ4RpQ_IPoTwEMB9Yp6ymwlPqew/edit?gid=984458430#gid=984458430"",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v>
      </c>
      <c r="BB1160" s="61" t="str">
        <f>IFERROR(__xludf.DUMMYFUNCTION("REGEXREPLACE(G1160, ""_[a-z]{1,2}$"", """")"),"Boyce_etal202384")</f>
        <v>Boyce_etal202384</v>
      </c>
      <c r="BD1160" s="1322" t="s">
        <v>5605</v>
      </c>
    </row>
    <row r="1161">
      <c r="A1161" s="44">
        <v>1161.0</v>
      </c>
      <c r="B1161" s="129" t="s">
        <v>114</v>
      </c>
      <c r="C1161" s="62" t="s">
        <v>115</v>
      </c>
      <c r="D1161" s="62" t="s">
        <v>248</v>
      </c>
      <c r="E1161" s="365"/>
      <c r="F1161" s="126" t="s">
        <v>6387</v>
      </c>
      <c r="G1161" s="119" t="s">
        <v>6388</v>
      </c>
      <c r="H1161" s="140" t="s">
        <v>249</v>
      </c>
      <c r="I1161" s="317">
        <v>45667.0</v>
      </c>
      <c r="J1161" s="1326">
        <v>45692.0</v>
      </c>
      <c r="K1161" s="125"/>
      <c r="L1161" s="125" t="s">
        <v>5594</v>
      </c>
      <c r="M1161" s="140" t="s">
        <v>6389</v>
      </c>
      <c r="N1161" s="140" t="s">
        <v>6390</v>
      </c>
      <c r="O1161" s="125"/>
      <c r="P1161" s="140" t="str">
        <f t="shared" si="72"/>
        <v>10.1038--s41598-019-57204-1.pdf</v>
      </c>
      <c r="Q1161" s="52" t="str">
        <f t="array" ref="Q1161"> if(iserror(MATCH(V1161, 'File Links'!C:C, 0)), "N/A", HYPERLINK(INDEX('File Links'!B:B, MATCH(P1161, 'File Links'!C:C, 0))))</f>
        <v>https://drive.google.com/file/d/1-ByeeNB55CftwPMrOwFmhKHJtA2Cargu/view?usp=drivesdk</v>
      </c>
      <c r="R1161" s="140" t="s">
        <v>6395</v>
      </c>
      <c r="S1161" s="159" t="s">
        <v>3654</v>
      </c>
      <c r="T1161" s="780" t="s">
        <v>138</v>
      </c>
      <c r="U1161" s="147" t="s">
        <v>138</v>
      </c>
      <c r="V1161" s="198" t="str">
        <f t="shared" si="57"/>
        <v>10.1098--rsos.231240.pdf</v>
      </c>
      <c r="W1161" s="140" t="s">
        <v>3693</v>
      </c>
      <c r="X1161" s="54" t="str">
        <f t="array" ref="X1161"> if(iserror(MATCH(V1161, 'File Links'!C:C, 0)), "N/A", HYPERLINK(INDEX('File Links'!B:B, MATCH(V1161, 'File Links'!C:C, 0))))</f>
        <v>https://drive.google.com/file/d/17gaf2Zy_ljFfcAEDk5L8GBnTl5i7RGJE/view?usp=drivesdk</v>
      </c>
      <c r="Y1161" s="125"/>
      <c r="Z1161" s="140" t="s">
        <v>148</v>
      </c>
      <c r="AA1161" s="125"/>
      <c r="AB1161" s="125"/>
      <c r="AC1161" s="125"/>
      <c r="AD1161" s="140" t="s">
        <v>6396</v>
      </c>
      <c r="AE1161" s="782">
        <v>6.0</v>
      </c>
      <c r="AF1161" s="782">
        <v>793.0</v>
      </c>
      <c r="AG1161" s="782">
        <v>60502.0</v>
      </c>
      <c r="AH1161" s="119" t="s">
        <v>271</v>
      </c>
      <c r="AI1161" s="140" t="s">
        <v>4979</v>
      </c>
      <c r="AJ1161" s="133">
        <v>0.001</v>
      </c>
      <c r="AK1161" s="126" t="s">
        <v>135</v>
      </c>
      <c r="AL1161" s="126" t="s">
        <v>186</v>
      </c>
      <c r="AM1161" s="140" t="s">
        <v>1905</v>
      </c>
      <c r="AN1161" s="1322" t="s">
        <v>138</v>
      </c>
      <c r="AO1161" s="782">
        <v>37.0</v>
      </c>
      <c r="AP1161" s="782">
        <v>0.485734799228491</v>
      </c>
      <c r="AQ1161" s="140" t="s">
        <v>173</v>
      </c>
      <c r="AR1161" s="1322" t="s">
        <v>5604</v>
      </c>
      <c r="AS1161" s="782">
        <v>0.00617483036055436</v>
      </c>
      <c r="AT1161" s="140" t="s">
        <v>172</v>
      </c>
      <c r="AU1161" s="140" t="s">
        <v>186</v>
      </c>
      <c r="AV1161" s="140" t="s">
        <v>1905</v>
      </c>
      <c r="AW1161" s="1323" t="s">
        <v>138</v>
      </c>
      <c r="AX1161" s="670" t="s">
        <v>143</v>
      </c>
      <c r="AY1161" s="61" t="str">
        <f>IFERROR(__xludf.DUMMYFUNCTION("vlookup(BB1161,importrange(""https://docs.google.com/spreadsheets/d/1d2vevQ_7D_v35q4wCQ4RpQ_IPoTwEMB9Yp6ymwlPqew/edit?gid=984458430#gid=984458430"", ""'replication success'!A:K""), 11, FAlSE)"),"mixed")</f>
        <v>mixed</v>
      </c>
      <c r="AZ1161" s="61" t="str">
        <f>IFERROR(__xludf.DUMMYFUNCTION("vlookup(BB1161,importrange(""https://docs.google.com/spreadsheets/d/1d2vevQ_7D_v35q4wCQ4RpQ_IPoTwEMB9Yp6ymwlPqew/edit?gid=984458430#gid=984458430"",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61" s="61" t="str">
        <f>IFERROR(__xludf.DUMMYFUNCTION("vlookup(BB1161,importrange(""https://docs.google.com/spreadsheets/d/1d2vevQ_7D_v35q4wCQ4RpQ_IPoTwEMB9Yp6ymwlPqew/edit?gid=984458430#gid=984458430"",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v>
      </c>
      <c r="BB1161" s="61" t="str">
        <f>IFERROR(__xludf.DUMMYFUNCTION("REGEXREPLACE(G1161, ""_[a-z]{1,2}$"", """")"),"Boyce_etal202384")</f>
        <v>Boyce_etal202384</v>
      </c>
      <c r="BD1161" s="1322" t="s">
        <v>5605</v>
      </c>
    </row>
    <row r="1162">
      <c r="A1162" s="44">
        <v>1162.0</v>
      </c>
      <c r="B1162" s="129" t="s">
        <v>152</v>
      </c>
      <c r="C1162" s="62" t="s">
        <v>115</v>
      </c>
      <c r="D1162" s="62" t="s">
        <v>145</v>
      </c>
      <c r="E1162" s="365"/>
      <c r="F1162" s="1313" t="s">
        <v>6397</v>
      </c>
      <c r="G1162" s="1314" t="s">
        <v>6398</v>
      </c>
      <c r="H1162" s="1315" t="s">
        <v>5592</v>
      </c>
      <c r="I1162" s="1316">
        <v>45691.0</v>
      </c>
      <c r="J1162" s="1317">
        <v>45692.0</v>
      </c>
      <c r="K1162" s="1313"/>
      <c r="L1162" s="1313" t="s">
        <v>5594</v>
      </c>
      <c r="M1162" s="1315" t="s">
        <v>6399</v>
      </c>
      <c r="N1162" s="1313" t="s">
        <v>6400</v>
      </c>
      <c r="O1162" s="1318">
        <v>5.0</v>
      </c>
      <c r="P1162" s="140" t="str">
        <f t="shared" si="72"/>
        <v>10.1037--a0016795.pdf</v>
      </c>
      <c r="Q1162" s="52" t="str">
        <f t="array" ref="Q1162"> if(iserror(MATCH(V1162, 'File Links'!C:C, 0)), "N/A", HYPERLINK(INDEX('File Links'!B:B, MATCH(P1162, 'File Links'!C:C, 0))))</f>
        <v>https://drive.google.com/file/d/10tpM-QAfI0H0NH6vAvH9VLJJki0FnCbu/view?usp=drivesdk</v>
      </c>
      <c r="R1162" s="1315" t="s">
        <v>3653</v>
      </c>
      <c r="S1162" s="159" t="s">
        <v>3654</v>
      </c>
      <c r="T1162" s="780" t="s">
        <v>138</v>
      </c>
      <c r="U1162" s="147" t="s">
        <v>138</v>
      </c>
      <c r="V1162" s="198" t="str">
        <f t="shared" si="57"/>
        <v>10.1098--rsos.231240.pdf</v>
      </c>
      <c r="W1162" s="140" t="s">
        <v>324</v>
      </c>
      <c r="X1162" s="54" t="str">
        <f t="array" ref="X1162"> if(iserror(MATCH(V1162, 'File Links'!C:C, 0)), "N/A", HYPERLINK(INDEX('File Links'!B:B, MATCH(V1162, 'File Links'!C:C, 0))))</f>
        <v>https://drive.google.com/file/d/17gaf2Zy_ljFfcAEDk5L8GBnTl5i7RGJE/view?usp=drivesdk</v>
      </c>
      <c r="Y1162" s="1313"/>
      <c r="Z1162" s="1315" t="s">
        <v>148</v>
      </c>
      <c r="AA1162" s="374" t="s">
        <v>138</v>
      </c>
      <c r="AB1162" s="1313" t="s">
        <v>6401</v>
      </c>
      <c r="AC1162" s="1315" t="s">
        <v>6402</v>
      </c>
      <c r="AD1162" s="1313" t="s">
        <v>6403</v>
      </c>
      <c r="AE1162" s="1341">
        <v>10.0</v>
      </c>
      <c r="AF1162" s="1318">
        <v>172.0</v>
      </c>
      <c r="AG1162" s="1318">
        <v>1.49</v>
      </c>
      <c r="AH1162" s="1315" t="s">
        <v>173</v>
      </c>
      <c r="AI1162" s="1313" t="s">
        <v>632</v>
      </c>
      <c r="AJ1162" s="1345">
        <v>0.001</v>
      </c>
      <c r="AK1162" s="1321" t="s">
        <v>135</v>
      </c>
      <c r="AL1162" s="1321" t="s">
        <v>186</v>
      </c>
      <c r="AM1162" s="1313" t="s">
        <v>137</v>
      </c>
      <c r="AN1162" s="1322" t="s">
        <v>138</v>
      </c>
      <c r="AO1162" s="1318">
        <v>81.0</v>
      </c>
      <c r="AP1162" s="1318">
        <v>1.35099963</v>
      </c>
      <c r="AQ1162" s="1315" t="s">
        <v>173</v>
      </c>
      <c r="AR1162" s="1322" t="s">
        <v>5604</v>
      </c>
      <c r="AS1162" s="1341">
        <v>0.0413395620626535</v>
      </c>
      <c r="AT1162" s="1313" t="s">
        <v>172</v>
      </c>
      <c r="AU1162" s="1313" t="s">
        <v>186</v>
      </c>
      <c r="AV1162" s="1313" t="s">
        <v>137</v>
      </c>
      <c r="AW1162" s="1323" t="s">
        <v>138</v>
      </c>
      <c r="AX1162" s="1339" t="s">
        <v>143</v>
      </c>
      <c r="AY1162" s="61" t="str">
        <f>IFERROR(__xludf.DUMMYFUNCTION("vlookup(BB1162,importrange(""https://docs.google.com/spreadsheets/d/1d2vevQ_7D_v35q4wCQ4RpQ_IPoTwEMB9Yp6ymwlPqew/edit?gid=984458430#gid=984458430"", ""'replication success'!A:K""), 11, FAlSE)"),"successful")</f>
        <v>successful</v>
      </c>
      <c r="AZ1162" s="61" t="str">
        <f>IFERROR(__xludf.DUMMYFUNCTION("vlookup(BB1162,importrange(""https://docs.google.com/spreadsheets/d/1d2vevQ_7D_v35q4wCQ4RpQ_IPoTwEMB9Yp6ymwlPqew/edit?gid=984458430#gid=984458430"",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62" s="61" t="str">
        <f>IFERROR(__xludf.DUMMYFUNCTION("vlookup(BB1162,importrange(""https://docs.google.com/spreadsheets/d/1d2vevQ_7D_v35q4wCQ4RpQ_IPoTwEMB9Yp6ymwlPqew/edit?gid=984458430#gid=984458430"",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v>
      </c>
      <c r="BB1162" s="61" t="str">
        <f>IFERROR(__xludf.DUMMYFUNCTION("REGEXREPLACE(G1162, ""_[a-z]{1,2}$"", """")"),"Boyce_etal202385")</f>
        <v>Boyce_etal202385</v>
      </c>
      <c r="BD1162" s="1322" t="s">
        <v>5605</v>
      </c>
    </row>
    <row r="1163">
      <c r="A1163" s="44">
        <v>1163.0</v>
      </c>
      <c r="B1163" s="129" t="s">
        <v>114</v>
      </c>
      <c r="C1163" s="62" t="s">
        <v>115</v>
      </c>
      <c r="D1163" s="62" t="s">
        <v>248</v>
      </c>
      <c r="E1163" s="365"/>
      <c r="F1163" s="126" t="s">
        <v>6397</v>
      </c>
      <c r="G1163" s="119" t="s">
        <v>6398</v>
      </c>
      <c r="H1163" s="140" t="s">
        <v>249</v>
      </c>
      <c r="I1163" s="317">
        <v>45667.0</v>
      </c>
      <c r="J1163" s="1326">
        <v>45692.0</v>
      </c>
      <c r="K1163" s="125"/>
      <c r="L1163" s="125" t="s">
        <v>5594</v>
      </c>
      <c r="M1163" s="140" t="s">
        <v>6399</v>
      </c>
      <c r="N1163" s="140" t="s">
        <v>6400</v>
      </c>
      <c r="O1163" s="125"/>
      <c r="P1163" s="140" t="str">
        <f t="shared" si="72"/>
        <v>10.1037--a0016795.pdf</v>
      </c>
      <c r="Q1163" s="52" t="str">
        <f t="array" ref="Q1163"> if(iserror(MATCH(V1163, 'File Links'!C:C, 0)), "N/A", HYPERLINK(INDEX('File Links'!B:B, MATCH(P1163, 'File Links'!C:C, 0))))</f>
        <v>https://drive.google.com/file/d/10tpM-QAfI0H0NH6vAvH9VLJJki0FnCbu/view?usp=drivesdk</v>
      </c>
      <c r="R1163" s="140" t="s">
        <v>6404</v>
      </c>
      <c r="S1163" s="159" t="s">
        <v>3654</v>
      </c>
      <c r="T1163" s="780" t="s">
        <v>138</v>
      </c>
      <c r="U1163" s="147" t="s">
        <v>138</v>
      </c>
      <c r="V1163" s="198" t="str">
        <f t="shared" si="57"/>
        <v>10.1098--rsos.231240.pdf</v>
      </c>
      <c r="W1163" s="140" t="s">
        <v>324</v>
      </c>
      <c r="X1163" s="54" t="str">
        <f t="array" ref="X1163"> if(iserror(MATCH(V1163, 'File Links'!C:C, 0)), "N/A", HYPERLINK(INDEX('File Links'!B:B, MATCH(V1163, 'File Links'!C:C, 0))))</f>
        <v>https://drive.google.com/file/d/17gaf2Zy_ljFfcAEDk5L8GBnTl5i7RGJE/view?usp=drivesdk</v>
      </c>
      <c r="Y1163" s="125"/>
      <c r="Z1163" s="140" t="s">
        <v>226</v>
      </c>
      <c r="AA1163" s="125"/>
      <c r="AB1163" s="125"/>
      <c r="AC1163" s="125"/>
      <c r="AD1163" s="140" t="s">
        <v>6405</v>
      </c>
      <c r="AE1163" s="782">
        <v>512.0</v>
      </c>
      <c r="AF1163" s="782">
        <v>172.0</v>
      </c>
      <c r="AG1163" s="782">
        <v>1.49</v>
      </c>
      <c r="AH1163" s="140" t="s">
        <v>173</v>
      </c>
      <c r="AI1163" s="140" t="s">
        <v>6406</v>
      </c>
      <c r="AJ1163" s="133">
        <v>0.001</v>
      </c>
      <c r="AK1163" s="126" t="s">
        <v>135</v>
      </c>
      <c r="AL1163" s="126" t="s">
        <v>218</v>
      </c>
      <c r="AM1163" s="140" t="s">
        <v>137</v>
      </c>
      <c r="AN1163" s="1322" t="s">
        <v>138</v>
      </c>
      <c r="AO1163" s="782">
        <v>81.0</v>
      </c>
      <c r="AP1163" s="782">
        <v>1.35099962990372</v>
      </c>
      <c r="AQ1163" s="140" t="s">
        <v>173</v>
      </c>
      <c r="AR1163" s="1322" t="s">
        <v>5604</v>
      </c>
      <c r="AS1163" s="782">
        <v>0.0413395620626535</v>
      </c>
      <c r="AT1163" s="140" t="s">
        <v>172</v>
      </c>
      <c r="AU1163" s="140" t="s">
        <v>218</v>
      </c>
      <c r="AV1163" s="140" t="s">
        <v>137</v>
      </c>
      <c r="AW1163" s="1323" t="s">
        <v>138</v>
      </c>
      <c r="AX1163" s="670" t="s">
        <v>143</v>
      </c>
      <c r="AY1163" s="61" t="str">
        <f>IFERROR(__xludf.DUMMYFUNCTION("vlookup(BB1163,importrange(""https://docs.google.com/spreadsheets/d/1d2vevQ_7D_v35q4wCQ4RpQ_IPoTwEMB9Yp6ymwlPqew/edit?gid=984458430#gid=984458430"", ""'replication success'!A:K""), 11, FAlSE)"),"successful")</f>
        <v>successful</v>
      </c>
      <c r="AZ1163" s="61" t="str">
        <f>IFERROR(__xludf.DUMMYFUNCTION("vlookup(BB1163,importrange(""https://docs.google.com/spreadsheets/d/1d2vevQ_7D_v35q4wCQ4RpQ_IPoTwEMB9Yp6ymwlPqew/edit?gid=984458430#gid=984458430"",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63" s="61" t="str">
        <f>IFERROR(__xludf.DUMMYFUNCTION("vlookup(BB1163,importrange(""https://docs.google.com/spreadsheets/d/1d2vevQ_7D_v35q4wCQ4RpQ_IPoTwEMB9Yp6ymwlPqew/edit?gid=984458430#gid=984458430"",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v>
      </c>
      <c r="BB1163" s="61" t="str">
        <f>IFERROR(__xludf.DUMMYFUNCTION("REGEXREPLACE(G1163, ""_[a-z]{1,2}$"", """")"),"Boyce_etal202385")</f>
        <v>Boyce_etal202385</v>
      </c>
      <c r="BD1163" s="1322" t="s">
        <v>5605</v>
      </c>
    </row>
    <row r="1164">
      <c r="A1164" s="44">
        <v>1164.0</v>
      </c>
      <c r="B1164" s="129" t="s">
        <v>152</v>
      </c>
      <c r="C1164" s="62" t="s">
        <v>115</v>
      </c>
      <c r="D1164" s="62" t="s">
        <v>145</v>
      </c>
      <c r="E1164" s="365"/>
      <c r="F1164" s="1313" t="s">
        <v>6407</v>
      </c>
      <c r="G1164" s="1314" t="s">
        <v>6408</v>
      </c>
      <c r="H1164" s="1315" t="s">
        <v>5592</v>
      </c>
      <c r="I1164" s="1316">
        <v>45691.0</v>
      </c>
      <c r="J1164" s="1317">
        <v>45692.0</v>
      </c>
      <c r="K1164" s="1322" t="s">
        <v>6409</v>
      </c>
      <c r="L1164" s="1322" t="s">
        <v>6410</v>
      </c>
      <c r="M1164" s="1315" t="s">
        <v>6411</v>
      </c>
      <c r="N1164" s="1315" t="s">
        <v>6412</v>
      </c>
      <c r="O1164" s="1318">
        <v>1.0</v>
      </c>
      <c r="P1164" s="1315" t="s">
        <v>6413</v>
      </c>
      <c r="Q1164" s="52" t="str">
        <f t="array" ref="Q1164"> if(iserror(MATCH(V1164, 'File Links'!C:C, 0)), "N/A", HYPERLINK(INDEX('File Links'!B:B, MATCH(P1164, 'File Links'!C:C, 0))))</f>
        <v>https://drive.google.com/file/d/18ZlWgEtYOKx4ampRaantI27kYPgBvB4J/view?usp=drivesdk</v>
      </c>
      <c r="R1164" s="1315" t="s">
        <v>3653</v>
      </c>
      <c r="S1164" s="159" t="s">
        <v>3654</v>
      </c>
      <c r="T1164" s="780" t="s">
        <v>138</v>
      </c>
      <c r="U1164" s="147" t="s">
        <v>138</v>
      </c>
      <c r="V1164" s="198" t="str">
        <f t="shared" si="57"/>
        <v>10.1098--rsos.231240.pdf</v>
      </c>
      <c r="W1164" s="140" t="s">
        <v>3665</v>
      </c>
      <c r="X1164" s="54" t="str">
        <f t="array" ref="X1164"> if(iserror(MATCH(V1164, 'File Links'!C:C, 0)), "N/A", HYPERLINK(INDEX('File Links'!B:B, MATCH(V1164, 'File Links'!C:C, 0))))</f>
        <v>https://drive.google.com/file/d/17gaf2Zy_ljFfcAEDk5L8GBnTl5i7RGJE/view?usp=drivesdk</v>
      </c>
      <c r="Y1164" s="1313"/>
      <c r="Z1164" s="1315" t="s">
        <v>226</v>
      </c>
      <c r="AA1164" s="374" t="s">
        <v>138</v>
      </c>
      <c r="AB1164" s="1315" t="s">
        <v>6414</v>
      </c>
      <c r="AC1164" s="1315" t="s">
        <v>6415</v>
      </c>
      <c r="AD1164" s="1322" t="s">
        <v>6416</v>
      </c>
      <c r="AE1164" s="1322">
        <v>4.0</v>
      </c>
      <c r="AF1164" s="1318">
        <v>82.0</v>
      </c>
      <c r="AG1164" s="1318">
        <v>0.82</v>
      </c>
      <c r="AH1164" s="1315" t="s">
        <v>173</v>
      </c>
      <c r="AI1164" s="1313" t="s">
        <v>6417</v>
      </c>
      <c r="AJ1164" s="1345">
        <v>0.001</v>
      </c>
      <c r="AK1164" s="1321" t="s">
        <v>135</v>
      </c>
      <c r="AL1164" s="1322" t="s">
        <v>218</v>
      </c>
      <c r="AM1164" s="1313" t="s">
        <v>137</v>
      </c>
      <c r="AN1164" s="1342" t="s">
        <v>6418</v>
      </c>
      <c r="AO1164" s="1318">
        <v>19.0</v>
      </c>
      <c r="AP1164" s="1318">
        <v>0.5914796451</v>
      </c>
      <c r="AQ1164" s="1315" t="s">
        <v>173</v>
      </c>
      <c r="AR1164" s="1322" t="s">
        <v>5604</v>
      </c>
      <c r="AS1164" s="1341">
        <v>0.0189471698469944</v>
      </c>
      <c r="AT1164" s="1313" t="s">
        <v>172</v>
      </c>
      <c r="AU1164" s="1313" t="s">
        <v>186</v>
      </c>
      <c r="AV1164" s="1313" t="s">
        <v>137</v>
      </c>
      <c r="AW1164" s="1323" t="s">
        <v>138</v>
      </c>
      <c r="AX1164" s="1339" t="s">
        <v>143</v>
      </c>
      <c r="AY1164" s="61" t="str">
        <f>IFERROR(__xludf.DUMMYFUNCTION("vlookup(BB1164,importrange(""https://docs.google.com/spreadsheets/d/1d2vevQ_7D_v35q4wCQ4RpQ_IPoTwEMB9Yp6ymwlPqew/edit?gid=984458430#gid=984458430"", ""'replication success'!A:K""), 11, FAlSE)"),"successful")</f>
        <v>successful</v>
      </c>
      <c r="AZ1164" s="61" t="str">
        <f>IFERROR(__xludf.DUMMYFUNCTION("vlookup(BB1164,importrange(""https://docs.google.com/spreadsheets/d/1d2vevQ_7D_v35q4wCQ4RpQ_IPoTwEMB9Yp6ymwlPqew/edit?gid=984458430#gid=984458430"",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64" s="61" t="str">
        <f>IFERROR(__xludf.DUMMYFUNCTION("vlookup(BB1164,importrange(""https://docs.google.com/spreadsheets/d/1d2vevQ_7D_v35q4wCQ4RpQ_IPoTwEMB9Yp6ymwlPqew/edit?gid=984458430#gid=984458430"",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v>
      </c>
      <c r="BB1164" s="61" t="str">
        <f>IFERROR(__xludf.DUMMYFUNCTION("REGEXREPLACE(G1164, ""_[a-z]{1,2}$"", """")"),"Boyce_etal202386")</f>
        <v>Boyce_etal202386</v>
      </c>
      <c r="BD1164" s="1322" t="s">
        <v>5605</v>
      </c>
    </row>
    <row r="1165">
      <c r="A1165" s="44">
        <v>1165.0</v>
      </c>
      <c r="B1165" s="129" t="s">
        <v>114</v>
      </c>
      <c r="C1165" s="62" t="s">
        <v>115</v>
      </c>
      <c r="D1165" s="62" t="s">
        <v>248</v>
      </c>
      <c r="E1165" s="365"/>
      <c r="F1165" s="126" t="s">
        <v>6407</v>
      </c>
      <c r="G1165" s="119" t="s">
        <v>6408</v>
      </c>
      <c r="H1165" s="140" t="s">
        <v>249</v>
      </c>
      <c r="I1165" s="317">
        <v>45667.0</v>
      </c>
      <c r="J1165" s="1326">
        <v>45692.0</v>
      </c>
      <c r="K1165" s="125"/>
      <c r="L1165" s="125" t="s">
        <v>5594</v>
      </c>
      <c r="M1165" s="140" t="s">
        <v>6411</v>
      </c>
      <c r="N1165" s="140" t="s">
        <v>6412</v>
      </c>
      <c r="O1165" s="125"/>
      <c r="P1165" s="140" t="str">
        <f> SUBSTITUTE(lower(N1165), "/", "--") &amp;  ".pdf"</f>
        <v>10.1177--0956797618788882.pdf</v>
      </c>
      <c r="Q1165" s="52" t="str">
        <f t="array" ref="Q1165"> if(iserror(MATCH(V1165, 'File Links'!C:C, 0)), "N/A", HYPERLINK(INDEX('File Links'!B:B, MATCH(P1165, 'File Links'!C:C, 0))))</f>
        <v>https://drive.google.com/file/d/18ZlWgEtYOKx4ampRaantI27kYPgBvB4J/view?usp=drivesdk</v>
      </c>
      <c r="R1165" s="140" t="s">
        <v>6419</v>
      </c>
      <c r="S1165" s="159" t="s">
        <v>3654</v>
      </c>
      <c r="T1165" s="780" t="s">
        <v>138</v>
      </c>
      <c r="U1165" s="147" t="s">
        <v>138</v>
      </c>
      <c r="V1165" s="198" t="str">
        <f t="shared" si="57"/>
        <v>10.1098--rsos.231240.pdf</v>
      </c>
      <c r="W1165" s="140" t="s">
        <v>3665</v>
      </c>
      <c r="X1165" s="54" t="str">
        <f t="array" ref="X1165"> if(iserror(MATCH(V1165, 'File Links'!C:C, 0)), "N/A", HYPERLINK(INDEX('File Links'!B:B, MATCH(V1165, 'File Links'!C:C, 0))))</f>
        <v>https://drive.google.com/file/d/17gaf2Zy_ljFfcAEDk5L8GBnTl5i7RGJE/view?usp=drivesdk</v>
      </c>
      <c r="Y1165" s="125"/>
      <c r="Z1165" s="140" t="s">
        <v>226</v>
      </c>
      <c r="AA1165" s="125"/>
      <c r="AB1165" s="140" t="s">
        <v>6420</v>
      </c>
      <c r="AC1165" s="125"/>
      <c r="AD1165" s="140" t="s">
        <v>6421</v>
      </c>
      <c r="AE1165" s="782">
        <v>4.0</v>
      </c>
      <c r="AF1165" s="782">
        <v>82.0</v>
      </c>
      <c r="AG1165" s="782">
        <v>0.82</v>
      </c>
      <c r="AH1165" s="140" t="s">
        <v>173</v>
      </c>
      <c r="AI1165" s="140" t="s">
        <v>882</v>
      </c>
      <c r="AJ1165" s="133">
        <v>0.001</v>
      </c>
      <c r="AK1165" s="126" t="s">
        <v>135</v>
      </c>
      <c r="AL1165" s="126" t="s">
        <v>218</v>
      </c>
      <c r="AM1165" s="140" t="s">
        <v>141</v>
      </c>
      <c r="AN1165" s="1349" t="s">
        <v>6418</v>
      </c>
      <c r="AO1165" s="782">
        <v>19.0</v>
      </c>
      <c r="AP1165" s="782">
        <v>0.591479645065082</v>
      </c>
      <c r="AQ1165" s="140" t="s">
        <v>173</v>
      </c>
      <c r="AR1165" s="1322" t="s">
        <v>5604</v>
      </c>
      <c r="AS1165" s="782">
        <v>0.0189471698469944</v>
      </c>
      <c r="AT1165" s="140" t="s">
        <v>172</v>
      </c>
      <c r="AU1165" s="140" t="s">
        <v>218</v>
      </c>
      <c r="AV1165" s="140" t="s">
        <v>141</v>
      </c>
      <c r="AW1165" s="1323" t="s">
        <v>138</v>
      </c>
      <c r="AX1165" s="670" t="s">
        <v>143</v>
      </c>
      <c r="AY1165" s="61" t="str">
        <f>IFERROR(__xludf.DUMMYFUNCTION("vlookup(BB1165,importrange(""https://docs.google.com/spreadsheets/d/1d2vevQ_7D_v35q4wCQ4RpQ_IPoTwEMB9Yp6ymwlPqew/edit?gid=984458430#gid=984458430"", ""'replication success'!A:K""), 11, FAlSE)"),"successful")</f>
        <v>successful</v>
      </c>
      <c r="AZ1165" s="61" t="str">
        <f>IFERROR(__xludf.DUMMYFUNCTION("vlookup(BB1165,importrange(""https://docs.google.com/spreadsheets/d/1d2vevQ_7D_v35q4wCQ4RpQ_IPoTwEMB9Yp6ymwlPqew/edit?gid=984458430#gid=984458430"",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65" s="61" t="str">
        <f>IFERROR(__xludf.DUMMYFUNCTION("vlookup(BB1165,importrange(""https://docs.google.com/spreadsheets/d/1d2vevQ_7D_v35q4wCQ4RpQ_IPoTwEMB9Yp6ymwlPqew/edit?gid=984458430#gid=984458430"",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v>
      </c>
      <c r="BB1165" s="61" t="str">
        <f>IFERROR(__xludf.DUMMYFUNCTION("REGEXREPLACE(G1165, ""_[a-z]{1,2}$"", """")"),"Boyce_etal202386")</f>
        <v>Boyce_etal202386</v>
      </c>
      <c r="BD1165" s="1322" t="s">
        <v>5605</v>
      </c>
    </row>
    <row r="1166">
      <c r="A1166" s="44">
        <v>1166.0</v>
      </c>
      <c r="B1166" s="129" t="s">
        <v>152</v>
      </c>
      <c r="C1166" s="62" t="s">
        <v>115</v>
      </c>
      <c r="D1166" s="62" t="s">
        <v>145</v>
      </c>
      <c r="E1166" s="365"/>
      <c r="F1166" s="1313" t="s">
        <v>6422</v>
      </c>
      <c r="G1166" s="1314" t="s">
        <v>6423</v>
      </c>
      <c r="H1166" s="1315" t="s">
        <v>5592</v>
      </c>
      <c r="I1166" s="1316">
        <v>45691.0</v>
      </c>
      <c r="J1166" s="1317">
        <v>45692.0</v>
      </c>
      <c r="K1166" s="1313"/>
      <c r="L1166" s="1313" t="s">
        <v>5594</v>
      </c>
      <c r="M1166" s="1315" t="s">
        <v>6424</v>
      </c>
      <c r="N1166" s="1315" t="s">
        <v>6425</v>
      </c>
      <c r="O1166" s="1318">
        <v>1.0</v>
      </c>
      <c r="P1166" s="1315" t="s">
        <v>6426</v>
      </c>
      <c r="Q1166" s="52" t="str">
        <f t="array" ref="Q1166"> if(iserror(MATCH(V1166, 'File Links'!C:C, 0)), "N/A", HYPERLINK(INDEX('File Links'!B:B, MATCH(P1166, 'File Links'!C:C, 0))))</f>
        <v>https://drive.google.com/file/d/1hMU234raFGJtbZQ16uhu9mUFuosskYBK/view?usp=drivesdk</v>
      </c>
      <c r="R1166" s="1315" t="s">
        <v>3653</v>
      </c>
      <c r="S1166" s="159" t="s">
        <v>3654</v>
      </c>
      <c r="T1166" s="780" t="s">
        <v>138</v>
      </c>
      <c r="U1166" s="147" t="s">
        <v>138</v>
      </c>
      <c r="V1166" s="198" t="str">
        <f t="shared" si="57"/>
        <v>10.1098--rsos.231240.pdf</v>
      </c>
      <c r="W1166" s="140" t="s">
        <v>324</v>
      </c>
      <c r="X1166" s="54" t="str">
        <f t="array" ref="X1166"> if(iserror(MATCH(V1166, 'File Links'!C:C, 0)), "N/A", HYPERLINK(INDEX('File Links'!B:B, MATCH(V1166, 'File Links'!C:C, 0))))</f>
        <v>https://drive.google.com/file/d/17gaf2Zy_ljFfcAEDk5L8GBnTl5i7RGJE/view?usp=drivesdk</v>
      </c>
      <c r="Y1166" s="1313"/>
      <c r="Z1166" s="1315" t="s">
        <v>148</v>
      </c>
      <c r="AA1166" s="374" t="s">
        <v>138</v>
      </c>
      <c r="AB1166" s="1313" t="s">
        <v>6427</v>
      </c>
      <c r="AC1166" s="1315" t="s">
        <v>6428</v>
      </c>
      <c r="AD1166" s="1313" t="s">
        <v>6429</v>
      </c>
      <c r="AE1166" s="1341">
        <v>5.0</v>
      </c>
      <c r="AF1166" s="1318">
        <v>18.0</v>
      </c>
      <c r="AG1166" s="1341">
        <v>1.23</v>
      </c>
      <c r="AH1166" s="1313" t="s">
        <v>173</v>
      </c>
      <c r="AI1166" s="1313" t="s">
        <v>813</v>
      </c>
      <c r="AJ1166" s="1345">
        <v>0.001</v>
      </c>
      <c r="AK1166" s="1321" t="s">
        <v>135</v>
      </c>
      <c r="AL1166" s="1321" t="s">
        <v>186</v>
      </c>
      <c r="AM1166" s="1313" t="s">
        <v>137</v>
      </c>
      <c r="AN1166" s="1322" t="s">
        <v>138</v>
      </c>
      <c r="AO1166" s="1318">
        <v>19.0</v>
      </c>
      <c r="AP1166" s="1341">
        <v>0.220239104515739</v>
      </c>
      <c r="AQ1166" s="1313" t="s">
        <v>173</v>
      </c>
      <c r="AR1166" s="1322" t="s">
        <v>5604</v>
      </c>
      <c r="AS1166" s="1341">
        <v>0.349774194915251</v>
      </c>
      <c r="AT1166" s="1313" t="s">
        <v>172</v>
      </c>
      <c r="AU1166" s="1313" t="s">
        <v>186</v>
      </c>
      <c r="AV1166" s="1313" t="s">
        <v>137</v>
      </c>
      <c r="AW1166" s="1323" t="s">
        <v>138</v>
      </c>
      <c r="AX1166" s="1339" t="s">
        <v>143</v>
      </c>
      <c r="AY1166" s="61" t="str">
        <f>IFERROR(__xludf.DUMMYFUNCTION("vlookup(BB1166,importrange(""https://docs.google.com/spreadsheets/d/1d2vevQ_7D_v35q4wCQ4RpQ_IPoTwEMB9Yp6ymwlPqew/edit?gid=984458430#gid=984458430"", ""'replication success'!A:K""), 11, FAlSE)"),"mixed")</f>
        <v>mixed</v>
      </c>
      <c r="AZ1166" s="61" t="str">
        <f>IFERROR(__xludf.DUMMYFUNCTION("vlookup(BB1166,importrange(""https://docs.google.com/spreadsheets/d/1d2vevQ_7D_v35q4wCQ4RpQ_IPoTwEMB9Yp6ymwlPqew/edit?gid=984458430#gid=984458430"",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166" s="61" t="str">
        <f>IFERROR(__xludf.DUMMYFUNCTION("vlookup(BB1166,importrange(""https://docs.google.com/spreadsheets/d/1d2vevQ_7D_v35q4wCQ4RpQ_IPoTwEMB9Yp6ymwlPqew/edit?gid=984458430#gid=984458430"",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v>
      </c>
      <c r="BB1166" s="61" t="str">
        <f>IFERROR(__xludf.DUMMYFUNCTION("REGEXREPLACE(G1166, ""_[a-z]{1,2}$"", """")"),"Boyce_etal202387")</f>
        <v>Boyce_etal202387</v>
      </c>
      <c r="BD1166" s="1322" t="s">
        <v>5605</v>
      </c>
    </row>
    <row r="1167">
      <c r="A1167" s="44">
        <v>1167.0</v>
      </c>
      <c r="B1167" s="129" t="s">
        <v>114</v>
      </c>
      <c r="C1167" s="62" t="s">
        <v>115</v>
      </c>
      <c r="D1167" s="62" t="s">
        <v>248</v>
      </c>
      <c r="E1167" s="365"/>
      <c r="F1167" s="126" t="s">
        <v>6422</v>
      </c>
      <c r="G1167" s="119" t="s">
        <v>6423</v>
      </c>
      <c r="H1167" s="140" t="s">
        <v>249</v>
      </c>
      <c r="I1167" s="317">
        <v>45667.0</v>
      </c>
      <c r="J1167" s="1326">
        <v>45692.0</v>
      </c>
      <c r="K1167" s="125"/>
      <c r="L1167" s="125" t="s">
        <v>5594</v>
      </c>
      <c r="M1167" s="140" t="s">
        <v>6424</v>
      </c>
      <c r="N1167" s="140" t="s">
        <v>6425</v>
      </c>
      <c r="O1167" s="125"/>
      <c r="P1167" s="140" t="str">
        <f> SUBSTITUTE(lower(N1167), "/", "--") &amp;  ".pdf"</f>
        <v>10.1177--0956797614547705.pdf</v>
      </c>
      <c r="Q1167" s="52" t="str">
        <f t="array" ref="Q1167"> if(iserror(MATCH(V1167, 'File Links'!C:C, 0)), "N/A", HYPERLINK(INDEX('File Links'!B:B, MATCH(P1167, 'File Links'!C:C, 0))))</f>
        <v>https://drive.google.com/file/d/1hMU234raFGJtbZQ16uhu9mUFuosskYBK/view?usp=drivesdk</v>
      </c>
      <c r="R1167" s="140" t="s">
        <v>6430</v>
      </c>
      <c r="S1167" s="159" t="s">
        <v>3654</v>
      </c>
      <c r="T1167" s="780" t="s">
        <v>138</v>
      </c>
      <c r="U1167" s="147" t="s">
        <v>138</v>
      </c>
      <c r="V1167" s="198" t="str">
        <f t="shared" si="57"/>
        <v>10.1098--rsos.231240.pdf</v>
      </c>
      <c r="W1167" s="140" t="s">
        <v>324</v>
      </c>
      <c r="X1167" s="54" t="str">
        <f t="array" ref="X1167"> if(iserror(MATCH(V1167, 'File Links'!C:C, 0)), "N/A", HYPERLINK(INDEX('File Links'!B:B, MATCH(V1167, 'File Links'!C:C, 0))))</f>
        <v>https://drive.google.com/file/d/17gaf2Zy_ljFfcAEDk5L8GBnTl5i7RGJE/view?usp=drivesdk</v>
      </c>
      <c r="Y1167" s="125"/>
      <c r="Z1167" s="140" t="s">
        <v>148</v>
      </c>
      <c r="AA1167" s="125"/>
      <c r="AB1167" s="125"/>
      <c r="AC1167" s="125"/>
      <c r="AD1167" s="140" t="s">
        <v>6431</v>
      </c>
      <c r="AE1167" s="782">
        <v>959.0</v>
      </c>
      <c r="AF1167" s="782">
        <v>18.0</v>
      </c>
      <c r="AG1167" s="782">
        <v>1.23</v>
      </c>
      <c r="AH1167" s="140" t="s">
        <v>173</v>
      </c>
      <c r="AI1167" s="140" t="s">
        <v>6432</v>
      </c>
      <c r="AJ1167" s="133">
        <v>0.001</v>
      </c>
      <c r="AK1167" s="126" t="s">
        <v>135</v>
      </c>
      <c r="AL1167" s="126" t="s">
        <v>186</v>
      </c>
      <c r="AM1167" s="140" t="s">
        <v>137</v>
      </c>
      <c r="AN1167" s="1322" t="s">
        <v>138</v>
      </c>
      <c r="AO1167" s="782">
        <v>19.0</v>
      </c>
      <c r="AP1167" s="782">
        <v>0.220239104515739</v>
      </c>
      <c r="AQ1167" s="140" t="s">
        <v>173</v>
      </c>
      <c r="AR1167" s="1322" t="s">
        <v>5604</v>
      </c>
      <c r="AS1167" s="782">
        <v>0.349774194915251</v>
      </c>
      <c r="AT1167" s="140" t="s">
        <v>172</v>
      </c>
      <c r="AU1167" s="140" t="s">
        <v>186</v>
      </c>
      <c r="AV1167" s="140" t="s">
        <v>137</v>
      </c>
      <c r="AW1167" s="1323" t="s">
        <v>138</v>
      </c>
      <c r="AX1167" s="670" t="s">
        <v>143</v>
      </c>
      <c r="AY1167" s="61" t="str">
        <f>IFERROR(__xludf.DUMMYFUNCTION("vlookup(BB1167,importrange(""https://docs.google.com/spreadsheets/d/1d2vevQ_7D_v35q4wCQ4RpQ_IPoTwEMB9Yp6ymwlPqew/edit?gid=984458430#gid=984458430"", ""'replication success'!A:K""), 11, FAlSE)"),"mixed")</f>
        <v>mixed</v>
      </c>
      <c r="AZ1167" s="61" t="str">
        <f>IFERROR(__xludf.DUMMYFUNCTION("vlookup(BB1167,importrange(""https://docs.google.com/spreadsheets/d/1d2vevQ_7D_v35q4wCQ4RpQ_IPoTwEMB9Yp6ymwlPqew/edit?gid=984458430#gid=984458430"", ""'replication success'!A:M""), 12, FAlSE)"),"0.25 [In figure 2, authors quantified subjective success on a more nuanced scale from 0, 0.25, 0.5, 0.75 and 1. I am coding 0 as 'failed', 1 as 'success' and anything inbetween as 'mixed']")</f>
        <v>0.25 [In figure 2, authors quantified subjective success on a more nuanced scale from 0, 0.25, 0.5, 0.75 and 1. I am coding 0 as 'failed', 1 as 'success' and anything inbetween as 'mixed']</v>
      </c>
      <c r="BA1167" s="61" t="str">
        <f>IFERROR(__xludf.DUMMYFUNCTION("vlookup(BB1167,importrange(""https://docs.google.com/spreadsheets/d/1d2vevQ_7D_v35q4wCQ4RpQ_IPoTwEMB9Yp6ymwlPqew/edit?gid=984458430#gid=984458430"",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v>
      </c>
      <c r="BB1167" s="61" t="str">
        <f>IFERROR(__xludf.DUMMYFUNCTION("REGEXREPLACE(G1167, ""_[a-z]{1,2}$"", """")"),"Boyce_etal202387")</f>
        <v>Boyce_etal202387</v>
      </c>
      <c r="BD1167" s="1322" t="s">
        <v>5605</v>
      </c>
    </row>
    <row r="1168">
      <c r="A1168" s="44">
        <v>1168.0</v>
      </c>
      <c r="B1168" s="129" t="s">
        <v>152</v>
      </c>
      <c r="C1168" s="62" t="s">
        <v>115</v>
      </c>
      <c r="D1168" s="62" t="s">
        <v>145</v>
      </c>
      <c r="E1168" s="365"/>
      <c r="F1168" s="1313" t="s">
        <v>6433</v>
      </c>
      <c r="G1168" s="1314" t="s">
        <v>6434</v>
      </c>
      <c r="H1168" s="1315" t="s">
        <v>5592</v>
      </c>
      <c r="I1168" s="1316">
        <v>45691.0</v>
      </c>
      <c r="J1168" s="1317">
        <v>45692.0</v>
      </c>
      <c r="K1168" s="1313"/>
      <c r="L1168" s="1313" t="s">
        <v>5594</v>
      </c>
      <c r="M1168" s="1315" t="s">
        <v>6435</v>
      </c>
      <c r="N1168" s="1315" t="s">
        <v>6436</v>
      </c>
      <c r="O1168" s="1318">
        <v>1.0</v>
      </c>
      <c r="P1168" s="1315" t="s">
        <v>6437</v>
      </c>
      <c r="Q1168" s="52" t="str">
        <f t="array" ref="Q1168"> if(iserror(MATCH(V1168, 'File Links'!C:C, 0)), "N/A", HYPERLINK(INDEX('File Links'!B:B, MATCH(P1168, 'File Links'!C:C, 0))))</f>
        <v>https://drive.google.com/file/d/18dLuHsJaHfEuFpmJ9coLBrlcbxYHVgpG/view?usp=drivesdk</v>
      </c>
      <c r="R1168" s="1315" t="s">
        <v>3653</v>
      </c>
      <c r="S1168" s="159" t="s">
        <v>3654</v>
      </c>
      <c r="T1168" s="780" t="s">
        <v>138</v>
      </c>
      <c r="U1168" s="147" t="s">
        <v>138</v>
      </c>
      <c r="V1168" s="198" t="str">
        <f t="shared" si="57"/>
        <v>10.1098--rsos.231240.pdf</v>
      </c>
      <c r="W1168" s="140" t="s">
        <v>3693</v>
      </c>
      <c r="X1168" s="54" t="str">
        <f t="array" ref="X1168"> if(iserror(MATCH(V1168, 'File Links'!C:C, 0)), "N/A", HYPERLINK(INDEX('File Links'!B:B, MATCH(V1168, 'File Links'!C:C, 0))))</f>
        <v>https://drive.google.com/file/d/17gaf2Zy_ljFfcAEDk5L8GBnTl5i7RGJE/view?usp=drivesdk</v>
      </c>
      <c r="Y1168" s="1313"/>
      <c r="Z1168" s="1315" t="s">
        <v>226</v>
      </c>
      <c r="AA1168" s="374" t="s">
        <v>138</v>
      </c>
      <c r="AB1168" s="1313" t="s">
        <v>6438</v>
      </c>
      <c r="AC1168" s="1315" t="s">
        <v>6439</v>
      </c>
      <c r="AD1168" s="1313" t="s">
        <v>6440</v>
      </c>
      <c r="AE1168" s="1313" t="s">
        <v>6331</v>
      </c>
      <c r="AF1168" s="1318">
        <v>84.0</v>
      </c>
      <c r="AG1168" s="1341">
        <v>0.13</v>
      </c>
      <c r="AH1168" s="1313" t="s">
        <v>139</v>
      </c>
      <c r="AI1168" s="1313" t="s">
        <v>217</v>
      </c>
      <c r="AJ1168" s="1325">
        <v>0.001</v>
      </c>
      <c r="AK1168" s="1321" t="s">
        <v>135</v>
      </c>
      <c r="AL1168" s="1321" t="s">
        <v>186</v>
      </c>
      <c r="AM1168" s="1313" t="s">
        <v>137</v>
      </c>
      <c r="AN1168" s="1322" t="s">
        <v>138</v>
      </c>
      <c r="AO1168" s="1318">
        <v>131.0</v>
      </c>
      <c r="AP1168" s="1341">
        <v>0.112161169751389</v>
      </c>
      <c r="AQ1168" s="1313" t="s">
        <v>173</v>
      </c>
      <c r="AR1168" s="1322" t="s">
        <v>5604</v>
      </c>
      <c r="AS1168" s="1341">
        <v>0.531821336454792</v>
      </c>
      <c r="AT1168" s="1313" t="s">
        <v>172</v>
      </c>
      <c r="AU1168" s="1313" t="s">
        <v>186</v>
      </c>
      <c r="AV1168" s="1313" t="s">
        <v>137</v>
      </c>
      <c r="AW1168" s="1323" t="s">
        <v>138</v>
      </c>
      <c r="AX1168" s="1336" t="s">
        <v>151</v>
      </c>
      <c r="AY1168" s="61" t="str">
        <f>IFERROR(__xludf.DUMMYFUNCTION("vlookup(BB1168,importrange(""https://docs.google.com/spreadsheets/d/1d2vevQ_7D_v35q4wCQ4RpQ_IPoTwEMB9Yp6ymwlPqew/edit?gid=984458430#gid=984458430"", ""'replication success'!A:K""), 11, FAlSE)"),"failed")</f>
        <v>failed</v>
      </c>
      <c r="AZ1168" s="61" t="str">
        <f>IFERROR(__xludf.DUMMYFUNCTION("vlookup(BB1168,importrange(""https://docs.google.com/spreadsheets/d/1d2vevQ_7D_v35q4wCQ4RpQ_IPoTwEMB9Yp6ymwlPqew/edit?gid=984458430#gid=984458430"",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68" s="61" t="str">
        <f>IFERROR(__xludf.DUMMYFUNCTION("vlookup(BB1168,importrange(""https://docs.google.com/spreadsheets/d/1d2vevQ_7D_v35q4wCQ4RpQ_IPoTwEMB9Yp6ymwlPqew/edit?gid=984458430#gid=984458430"",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v>
      </c>
      <c r="BB1168" s="61" t="str">
        <f>IFERROR(__xludf.DUMMYFUNCTION("REGEXREPLACE(G1168, ""_[a-z]{1,2}$"", """")"),"Boyce_etal202388")</f>
        <v>Boyce_etal202388</v>
      </c>
      <c r="BD1168" s="1322" t="s">
        <v>5605</v>
      </c>
    </row>
    <row r="1169">
      <c r="A1169" s="44">
        <v>1169.0</v>
      </c>
      <c r="B1169" s="129" t="s">
        <v>114</v>
      </c>
      <c r="C1169" s="62" t="s">
        <v>115</v>
      </c>
      <c r="D1169" s="62" t="s">
        <v>248</v>
      </c>
      <c r="E1169" s="365"/>
      <c r="F1169" s="126" t="s">
        <v>6433</v>
      </c>
      <c r="G1169" s="119" t="s">
        <v>6434</v>
      </c>
      <c r="H1169" s="140" t="s">
        <v>249</v>
      </c>
      <c r="I1169" s="317">
        <v>45667.0</v>
      </c>
      <c r="J1169" s="1326">
        <v>45692.0</v>
      </c>
      <c r="K1169" s="125"/>
      <c r="L1169" s="125" t="s">
        <v>5594</v>
      </c>
      <c r="M1169" s="140" t="s">
        <v>6435</v>
      </c>
      <c r="N1169" s="140" t="s">
        <v>6436</v>
      </c>
      <c r="O1169" s="125"/>
      <c r="P1169" s="140" t="str">
        <f> SUBSTITUTE(lower(N1169), "/", "--") &amp;  ".pdf"</f>
        <v>10.1177--0956797611428079.pdf</v>
      </c>
      <c r="Q1169" s="52" t="str">
        <f t="array" ref="Q1169"> if(iserror(MATCH(V1169, 'File Links'!C:C, 0)), "N/A", HYPERLINK(INDEX('File Links'!B:B, MATCH(P1169, 'File Links'!C:C, 0))))</f>
        <v>https://drive.google.com/file/d/18dLuHsJaHfEuFpmJ9coLBrlcbxYHVgpG/view?usp=drivesdk</v>
      </c>
      <c r="R1169" s="140" t="s">
        <v>6441</v>
      </c>
      <c r="S1169" s="159" t="s">
        <v>3654</v>
      </c>
      <c r="T1169" s="780" t="s">
        <v>138</v>
      </c>
      <c r="U1169" s="147" t="s">
        <v>138</v>
      </c>
      <c r="V1169" s="198" t="str">
        <f t="shared" si="57"/>
        <v>10.1098--rsos.231240.pdf</v>
      </c>
      <c r="W1169" s="140" t="s">
        <v>3693</v>
      </c>
      <c r="X1169" s="54" t="str">
        <f t="array" ref="X1169"> if(iserror(MATCH(V1169, 'File Links'!C:C, 0)), "N/A", HYPERLINK(INDEX('File Links'!B:B, MATCH(V1169, 'File Links'!C:C, 0))))</f>
        <v>https://drive.google.com/file/d/17gaf2Zy_ljFfcAEDk5L8GBnTl5i7RGJE/view?usp=drivesdk</v>
      </c>
      <c r="Y1169" s="125"/>
      <c r="Z1169" s="140" t="s">
        <v>226</v>
      </c>
      <c r="AA1169" s="125"/>
      <c r="AB1169" s="125"/>
      <c r="AC1169" s="125"/>
      <c r="AD1169" s="140" t="s">
        <v>6442</v>
      </c>
      <c r="AE1169" s="782">
        <v>356.0</v>
      </c>
      <c r="AF1169" s="782">
        <v>84.0</v>
      </c>
      <c r="AG1169" s="378" t="s">
        <v>6443</v>
      </c>
      <c r="AH1169" s="119" t="s">
        <v>134</v>
      </c>
      <c r="AI1169" s="140" t="s">
        <v>6444</v>
      </c>
      <c r="AJ1169" s="133">
        <v>0.001</v>
      </c>
      <c r="AK1169" s="126" t="s">
        <v>135</v>
      </c>
      <c r="AL1169" s="126" t="s">
        <v>186</v>
      </c>
      <c r="AM1169" s="140" t="s">
        <v>141</v>
      </c>
      <c r="AN1169" s="1322" t="s">
        <v>138</v>
      </c>
      <c r="AO1169" s="782">
        <v>131.0</v>
      </c>
      <c r="AP1169" s="782">
        <v>0.112161169751389</v>
      </c>
      <c r="AQ1169" s="140" t="s">
        <v>173</v>
      </c>
      <c r="AR1169" s="1322" t="s">
        <v>5604</v>
      </c>
      <c r="AS1169" s="782">
        <v>0.531821336454792</v>
      </c>
      <c r="AT1169" s="140" t="s">
        <v>172</v>
      </c>
      <c r="AU1169" s="140" t="s">
        <v>186</v>
      </c>
      <c r="AV1169" s="140" t="s">
        <v>141</v>
      </c>
      <c r="AW1169" s="1323" t="s">
        <v>138</v>
      </c>
      <c r="AX1169" s="670" t="s">
        <v>151</v>
      </c>
      <c r="AY1169" s="61" t="str">
        <f>IFERROR(__xludf.DUMMYFUNCTION("vlookup(BB1169,importrange(""https://docs.google.com/spreadsheets/d/1d2vevQ_7D_v35q4wCQ4RpQ_IPoTwEMB9Yp6ymwlPqew/edit?gid=984458430#gid=984458430"", ""'replication success'!A:K""), 11, FAlSE)"),"failed")</f>
        <v>failed</v>
      </c>
      <c r="AZ1169" s="61" t="str">
        <f>IFERROR(__xludf.DUMMYFUNCTION("vlookup(BB1169,importrange(""https://docs.google.com/spreadsheets/d/1d2vevQ_7D_v35q4wCQ4RpQ_IPoTwEMB9Yp6ymwlPqew/edit?gid=984458430#gid=984458430"",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69" s="61" t="str">
        <f>IFERROR(__xludf.DUMMYFUNCTION("vlookup(BB1169,importrange(""https://docs.google.com/spreadsheets/d/1d2vevQ_7D_v35q4wCQ4RpQ_IPoTwEMB9Yp6ymwlPqew/edit?gid=984458430#gid=984458430"",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v>
      </c>
      <c r="BB1169" s="61" t="str">
        <f>IFERROR(__xludf.DUMMYFUNCTION("REGEXREPLACE(G1169, ""_[a-z]{1,2}$"", """")"),"Boyce_etal202388")</f>
        <v>Boyce_etal202388</v>
      </c>
      <c r="BD1169" s="1322" t="s">
        <v>5605</v>
      </c>
    </row>
    <row r="1170">
      <c r="A1170" s="44">
        <v>1170.0</v>
      </c>
      <c r="B1170" s="129" t="s">
        <v>152</v>
      </c>
      <c r="C1170" s="62" t="s">
        <v>115</v>
      </c>
      <c r="D1170" s="62" t="s">
        <v>145</v>
      </c>
      <c r="E1170" s="365"/>
      <c r="F1170" s="1313" t="s">
        <v>6445</v>
      </c>
      <c r="G1170" s="1314" t="s">
        <v>6446</v>
      </c>
      <c r="H1170" s="1315" t="s">
        <v>5592</v>
      </c>
      <c r="I1170" s="1316">
        <v>45691.0</v>
      </c>
      <c r="J1170" s="1317">
        <v>45692.0</v>
      </c>
      <c r="K1170" s="1313"/>
      <c r="L1170" s="1313" t="s">
        <v>5594</v>
      </c>
      <c r="M1170" s="1315" t="s">
        <v>6447</v>
      </c>
      <c r="N1170" s="1315" t="s">
        <v>6448</v>
      </c>
      <c r="O1170" s="1315" t="s">
        <v>1554</v>
      </c>
      <c r="P1170" s="1315" t="s">
        <v>6449</v>
      </c>
      <c r="Q1170" s="52" t="str">
        <f t="array" ref="Q1170"> if(iserror(MATCH(V1170, 'File Links'!C:C, 0)), "N/A", HYPERLINK(INDEX('File Links'!B:B, MATCH(P1170, 'File Links'!C:C, 0))))</f>
        <v>https://drive.google.com/file/d/1yCifhK2ZQwpUZAjclr5TAmGCQqTbBrUa/view?usp=drivesdk</v>
      </c>
      <c r="R1170" s="1315" t="s">
        <v>3653</v>
      </c>
      <c r="S1170" s="159" t="s">
        <v>3654</v>
      </c>
      <c r="T1170" s="780" t="s">
        <v>138</v>
      </c>
      <c r="U1170" s="147" t="s">
        <v>138</v>
      </c>
      <c r="V1170" s="198" t="str">
        <f t="shared" si="57"/>
        <v>10.1098--rsos.231240.pdf</v>
      </c>
      <c r="W1170" s="1313" t="s">
        <v>2125</v>
      </c>
      <c r="X1170" s="54" t="str">
        <f t="array" ref="X1170"> if(iserror(MATCH(V1170, 'File Links'!C:C, 0)), "N/A", HYPERLINK(INDEX('File Links'!B:B, MATCH(V1170, 'File Links'!C:C, 0))))</f>
        <v>https://drive.google.com/file/d/17gaf2Zy_ljFfcAEDk5L8GBnTl5i7RGJE/view?usp=drivesdk</v>
      </c>
      <c r="Y1170" s="1313"/>
      <c r="Z1170" s="1315" t="s">
        <v>226</v>
      </c>
      <c r="AA1170" s="374" t="s">
        <v>138</v>
      </c>
      <c r="AB1170" s="1313" t="s">
        <v>6450</v>
      </c>
      <c r="AC1170" s="1315" t="s">
        <v>6451</v>
      </c>
      <c r="AD1170" s="1313" t="s">
        <v>6452</v>
      </c>
      <c r="AE1170" s="1341">
        <v>5.0</v>
      </c>
      <c r="AF1170" s="1318">
        <v>58.0</v>
      </c>
      <c r="AG1170" s="1341">
        <v>1.09</v>
      </c>
      <c r="AH1170" s="1313" t="s">
        <v>173</v>
      </c>
      <c r="AI1170" s="1313" t="s">
        <v>813</v>
      </c>
      <c r="AJ1170" s="1353">
        <v>0.001</v>
      </c>
      <c r="AK1170" s="1321" t="s">
        <v>135</v>
      </c>
      <c r="AL1170" s="1321" t="s">
        <v>186</v>
      </c>
      <c r="AM1170" s="1336" t="s">
        <v>141</v>
      </c>
      <c r="AN1170" s="1322" t="s">
        <v>138</v>
      </c>
      <c r="AO1170" s="1318">
        <v>27.0</v>
      </c>
      <c r="AP1170" s="1341">
        <v>0.72336</v>
      </c>
      <c r="AQ1170" s="1313" t="s">
        <v>173</v>
      </c>
      <c r="AR1170" s="1322" t="s">
        <v>5604</v>
      </c>
      <c r="AS1170" s="1341">
        <v>0.00137873815724571</v>
      </c>
      <c r="AT1170" s="1313" t="s">
        <v>172</v>
      </c>
      <c r="AU1170" s="1313" t="s">
        <v>186</v>
      </c>
      <c r="AV1170" s="1313" t="s">
        <v>137</v>
      </c>
      <c r="AW1170" s="1323" t="s">
        <v>138</v>
      </c>
      <c r="AX1170" s="1339" t="s">
        <v>143</v>
      </c>
      <c r="AY1170" s="61" t="str">
        <f>IFERROR(__xludf.DUMMYFUNCTION("vlookup(BB1170,importrange(""https://docs.google.com/spreadsheets/d/1d2vevQ_7D_v35q4wCQ4RpQ_IPoTwEMB9Yp6ymwlPqew/edit?gid=984458430#gid=984458430"", ""'replication success'!A:K""), 11, FAlSE)"),"successful")</f>
        <v>successful</v>
      </c>
      <c r="AZ1170" s="61" t="str">
        <f>IFERROR(__xludf.DUMMYFUNCTION("vlookup(BB1170,importrange(""https://docs.google.com/spreadsheets/d/1d2vevQ_7D_v35q4wCQ4RpQ_IPoTwEMB9Yp6ymwlPqew/edit?gid=984458430#gid=984458430"",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0" s="61" t="str">
        <f>IFERROR(__xludf.DUMMYFUNCTION("vlookup(BB1170,importrange(""https://docs.google.com/spreadsheets/d/1d2vevQ_7D_v35q4wCQ4RpQ_IPoTwEMB9Yp6ymwlPqew/edit?gid=984458430#gid=984458430"",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v>
      </c>
      <c r="BB1170" s="61" t="str">
        <f>IFERROR(__xludf.DUMMYFUNCTION("REGEXREPLACE(G1170, ""_[a-z]{1,2}$"", """")"),"Boyce_etal202389")</f>
        <v>Boyce_etal202389</v>
      </c>
      <c r="BD1170" s="1322" t="s">
        <v>5605</v>
      </c>
    </row>
    <row r="1171">
      <c r="A1171" s="44">
        <v>1171.0</v>
      </c>
      <c r="B1171" s="129" t="s">
        <v>114</v>
      </c>
      <c r="C1171" s="62" t="s">
        <v>115</v>
      </c>
      <c r="D1171" s="62" t="s">
        <v>248</v>
      </c>
      <c r="E1171" s="365"/>
      <c r="F1171" s="126" t="s">
        <v>6445</v>
      </c>
      <c r="G1171" s="119" t="s">
        <v>6446</v>
      </c>
      <c r="H1171" s="140" t="s">
        <v>249</v>
      </c>
      <c r="I1171" s="317">
        <v>45667.0</v>
      </c>
      <c r="J1171" s="1326">
        <v>45692.0</v>
      </c>
      <c r="K1171" s="125"/>
      <c r="L1171" s="125" t="s">
        <v>5594</v>
      </c>
      <c r="M1171" s="140" t="s">
        <v>6447</v>
      </c>
      <c r="N1171" s="140" t="s">
        <v>6448</v>
      </c>
      <c r="O1171" s="125"/>
      <c r="P1171" s="140" t="str">
        <f> SUBSTITUTE(lower(N1171), "/", "--") &amp;  ".pdf"</f>
        <v>10.1177--0956797617705399.pdf</v>
      </c>
      <c r="Q1171" s="52" t="str">
        <f t="array" ref="Q1171"> if(iserror(MATCH(V1171, 'File Links'!C:C, 0)), "N/A", HYPERLINK(INDEX('File Links'!B:B, MATCH(P1171, 'File Links'!C:C, 0))))</f>
        <v>https://drive.google.com/file/d/1yCifhK2ZQwpUZAjclr5TAmGCQqTbBrUa/view?usp=drivesdk</v>
      </c>
      <c r="R1171" s="140" t="s">
        <v>6453</v>
      </c>
      <c r="S1171" s="159" t="s">
        <v>3654</v>
      </c>
      <c r="T1171" s="780" t="s">
        <v>138</v>
      </c>
      <c r="U1171" s="147" t="s">
        <v>138</v>
      </c>
      <c r="V1171" s="198" t="str">
        <f t="shared" si="57"/>
        <v>10.1098--rsos.231240.pdf</v>
      </c>
      <c r="W1171" s="140" t="s">
        <v>324</v>
      </c>
      <c r="X1171" s="54" t="str">
        <f t="array" ref="X1171"> if(iserror(MATCH(V1171, 'File Links'!C:C, 0)), "N/A", HYPERLINK(INDEX('File Links'!B:B, MATCH(V1171, 'File Links'!C:C, 0))))</f>
        <v>https://drive.google.com/file/d/17gaf2Zy_ljFfcAEDk5L8GBnTl5i7RGJE/view?usp=drivesdk</v>
      </c>
      <c r="Y1171" s="125"/>
      <c r="Z1171" s="140" t="s">
        <v>226</v>
      </c>
      <c r="AA1171" s="125"/>
      <c r="AB1171" s="140" t="s">
        <v>6454</v>
      </c>
      <c r="AC1171" s="125"/>
      <c r="AD1171" s="140" t="s">
        <v>6455</v>
      </c>
      <c r="AE1171" s="782">
        <v>5.0</v>
      </c>
      <c r="AF1171" s="782">
        <v>58.0</v>
      </c>
      <c r="AG1171" s="782">
        <v>1.09</v>
      </c>
      <c r="AH1171" s="140" t="s">
        <v>173</v>
      </c>
      <c r="AI1171" s="140" t="s">
        <v>882</v>
      </c>
      <c r="AJ1171" s="133">
        <v>0.001</v>
      </c>
      <c r="AK1171" s="126" t="s">
        <v>135</v>
      </c>
      <c r="AL1171" s="126" t="s">
        <v>186</v>
      </c>
      <c r="AM1171" s="140" t="s">
        <v>137</v>
      </c>
      <c r="AN1171" s="1322" t="s">
        <v>138</v>
      </c>
      <c r="AO1171" s="782">
        <v>27.0</v>
      </c>
      <c r="AP1171" s="782">
        <v>0.72336</v>
      </c>
      <c r="AQ1171" s="140" t="s">
        <v>173</v>
      </c>
      <c r="AR1171" s="1322" t="s">
        <v>5604</v>
      </c>
      <c r="AS1171" s="782">
        <v>0.00137873815724571</v>
      </c>
      <c r="AT1171" s="140" t="s">
        <v>172</v>
      </c>
      <c r="AU1171" s="140" t="s">
        <v>186</v>
      </c>
      <c r="AV1171" s="140" t="s">
        <v>137</v>
      </c>
      <c r="AW1171" s="1323" t="s">
        <v>138</v>
      </c>
      <c r="AX1171" s="670" t="s">
        <v>143</v>
      </c>
      <c r="AY1171" s="61" t="str">
        <f>IFERROR(__xludf.DUMMYFUNCTION("vlookup(BB1171,importrange(""https://docs.google.com/spreadsheets/d/1d2vevQ_7D_v35q4wCQ4RpQ_IPoTwEMB9Yp6ymwlPqew/edit?gid=984458430#gid=984458430"", ""'replication success'!A:K""), 11, FAlSE)"),"successful")</f>
        <v>successful</v>
      </c>
      <c r="AZ1171" s="61" t="str">
        <f>IFERROR(__xludf.DUMMYFUNCTION("vlookup(BB1171,importrange(""https://docs.google.com/spreadsheets/d/1d2vevQ_7D_v35q4wCQ4RpQ_IPoTwEMB9Yp6ymwlPqew/edit?gid=984458430#gid=984458430"",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1" s="61" t="str">
        <f>IFERROR(__xludf.DUMMYFUNCTION("vlookup(BB1171,importrange(""https://docs.google.com/spreadsheets/d/1d2vevQ_7D_v35q4wCQ4RpQ_IPoTwEMB9Yp6ymwlPqew/edit?gid=984458430#gid=984458430"",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43041609")</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v>
      </c>
      <c r="BB1171" s="61" t="str">
        <f>IFERROR(__xludf.DUMMYFUNCTION("REGEXREPLACE(G1171, ""_[a-z]{1,2}$"", """")"),"Boyce_etal202389")</f>
        <v>Boyce_etal202389</v>
      </c>
      <c r="BD1171" s="1322" t="s">
        <v>5605</v>
      </c>
    </row>
    <row r="1172">
      <c r="A1172" s="44">
        <v>1172.0</v>
      </c>
      <c r="B1172" s="129" t="s">
        <v>152</v>
      </c>
      <c r="C1172" s="62" t="s">
        <v>115</v>
      </c>
      <c r="D1172" s="62" t="s">
        <v>145</v>
      </c>
      <c r="E1172" s="365"/>
      <c r="F1172" s="1313" t="s">
        <v>6456</v>
      </c>
      <c r="G1172" s="1314" t="s">
        <v>6457</v>
      </c>
      <c r="H1172" s="1315" t="s">
        <v>5592</v>
      </c>
      <c r="I1172" s="1316">
        <v>45691.0</v>
      </c>
      <c r="J1172" s="1317">
        <v>45692.0</v>
      </c>
      <c r="K1172" s="1313" t="s">
        <v>6458</v>
      </c>
      <c r="L1172" s="1313" t="s">
        <v>5594</v>
      </c>
      <c r="M1172" s="1315" t="s">
        <v>6324</v>
      </c>
      <c r="N1172" s="1315" t="s">
        <v>6325</v>
      </c>
      <c r="O1172" s="1318">
        <v>1.0</v>
      </c>
      <c r="P1172" s="1315" t="s">
        <v>6326</v>
      </c>
      <c r="Q1172" s="52" t="str">
        <f t="array" ref="Q1172"> if(iserror(MATCH(V1172, 'File Links'!C:C, 0)), "N/A", HYPERLINK(INDEX('File Links'!B:B, MATCH(P1172, 'File Links'!C:C, 0))))</f>
        <v>https://drive.google.com/file/d/1vWGgcW4pZ3FoyQKsaRTBIF-qNoze2NOS/view?usp=drivesdk</v>
      </c>
      <c r="R1172" s="1315" t="s">
        <v>3653</v>
      </c>
      <c r="S1172" s="159" t="s">
        <v>3654</v>
      </c>
      <c r="T1172" s="780" t="s">
        <v>138</v>
      </c>
      <c r="U1172" s="147" t="s">
        <v>138</v>
      </c>
      <c r="V1172" s="198" t="str">
        <f t="shared" si="57"/>
        <v>10.1098--rsos.231240.pdf</v>
      </c>
      <c r="W1172" s="140" t="s">
        <v>3665</v>
      </c>
      <c r="X1172" s="54" t="str">
        <f t="array" ref="X1172"> if(iserror(MATCH(V1172, 'File Links'!C:C, 0)), "N/A", HYPERLINK(INDEX('File Links'!B:B, MATCH(V1172, 'File Links'!C:C, 0))))</f>
        <v>https://drive.google.com/file/d/17gaf2Zy_ljFfcAEDk5L8GBnTl5i7RGJE/view?usp=drivesdk</v>
      </c>
      <c r="Y1172" s="1313"/>
      <c r="Z1172" s="1315" t="s">
        <v>226</v>
      </c>
      <c r="AA1172" s="1313" t="s">
        <v>1535</v>
      </c>
      <c r="AB1172" s="1313" t="s">
        <v>6328</v>
      </c>
      <c r="AC1172" s="1315" t="s">
        <v>6459</v>
      </c>
      <c r="AD1172" s="1313"/>
      <c r="AE1172" s="1313"/>
      <c r="AF1172" s="1318">
        <v>155.0</v>
      </c>
      <c r="AG1172" s="1313" t="s">
        <v>6460</v>
      </c>
      <c r="AH1172" s="1313" t="s">
        <v>173</v>
      </c>
      <c r="AI1172" s="1313"/>
      <c r="AJ1172" s="1345">
        <v>0.01723819924</v>
      </c>
      <c r="AK1172" s="1321" t="s">
        <v>172</v>
      </c>
      <c r="AL1172" s="1321" t="s">
        <v>186</v>
      </c>
      <c r="AM1172" s="1313" t="s">
        <v>137</v>
      </c>
      <c r="AN1172" s="1322" t="s">
        <v>138</v>
      </c>
      <c r="AO1172" s="1318">
        <v>225.0</v>
      </c>
      <c r="AP1172" s="1341">
        <v>0.19493521</v>
      </c>
      <c r="AQ1172" s="1313" t="s">
        <v>173</v>
      </c>
      <c r="AR1172" s="1322" t="s">
        <v>5604</v>
      </c>
      <c r="AS1172" s="1341">
        <v>0.2320364968</v>
      </c>
      <c r="AT1172" s="1313" t="s">
        <v>172</v>
      </c>
      <c r="AU1172" s="1313" t="s">
        <v>186</v>
      </c>
      <c r="AV1172" s="1313" t="s">
        <v>137</v>
      </c>
      <c r="AW1172" s="1323" t="s">
        <v>138</v>
      </c>
      <c r="AX1172" s="1339" t="s">
        <v>143</v>
      </c>
      <c r="AY1172" s="61" t="str">
        <f>IFERROR(__xludf.DUMMYFUNCTION("vlookup(BB1172,importrange(""https://docs.google.com/spreadsheets/d/1d2vevQ_7D_v35q4wCQ4RpQ_IPoTwEMB9Yp6ymwlPqew/edit?gid=984458430#gid=984458430"", ""'replication success'!A:K""), 11, FAlSE)"),"failed")</f>
        <v>failed</v>
      </c>
      <c r="AZ1172" s="61" t="str">
        <f>IFERROR(__xludf.DUMMYFUNCTION("vlookup(BB1172,importrange(""https://docs.google.com/spreadsheets/d/1d2vevQ_7D_v35q4wCQ4RpQ_IPoTwEMB9Yp6ymwlPqew/edit?gid=984458430#gid=984458430"",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72" s="61" t="str">
        <f>IFERROR(__xludf.DUMMYFUNCTION("vlookup(BB1172,importrange(""https://docs.google.com/spreadsheets/d/1d2vevQ_7D_v35q4wCQ4RpQ_IPoTwEMB9Yp6ymwlPqew/edit?gid=984458430#gid=984458430"",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43041610")</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v>
      </c>
      <c r="BB1172" s="61" t="str">
        <f>IFERROR(__xludf.DUMMYFUNCTION("REGEXREPLACE(G1172, ""_[a-z]{1,2}$"", """")"),"Boyce_etal20239")</f>
        <v>Boyce_etal20239</v>
      </c>
      <c r="BD1172" s="1322" t="s">
        <v>5605</v>
      </c>
    </row>
    <row r="1173">
      <c r="A1173" s="44">
        <v>1173.0</v>
      </c>
      <c r="B1173" s="129" t="s">
        <v>152</v>
      </c>
      <c r="C1173" s="62" t="s">
        <v>115</v>
      </c>
      <c r="D1173" s="62" t="s">
        <v>145</v>
      </c>
      <c r="E1173" s="365"/>
      <c r="F1173" s="1313" t="s">
        <v>6461</v>
      </c>
      <c r="G1173" s="1314" t="s">
        <v>6462</v>
      </c>
      <c r="H1173" s="1315" t="s">
        <v>5592</v>
      </c>
      <c r="I1173" s="1316">
        <v>45692.0</v>
      </c>
      <c r="J1173" s="1317">
        <v>45692.0</v>
      </c>
      <c r="K1173" s="1313"/>
      <c r="L1173" s="1322" t="s">
        <v>6463</v>
      </c>
      <c r="M1173" s="1315" t="s">
        <v>6464</v>
      </c>
      <c r="N1173" s="1313" t="s">
        <v>6465</v>
      </c>
      <c r="O1173" s="1318">
        <v>1.0</v>
      </c>
      <c r="P1173" s="140" t="str">
        <f t="shared" ref="P1173:P1174" si="73"> SUBSTITUTE(lower(N1173), "/", "--") &amp;  ".pdf"</f>
        <v>10.1016--j.cognition.2017.06.025.pdf</v>
      </c>
      <c r="Q1173" s="52" t="str">
        <f t="array" ref="Q1173"> if(iserror(MATCH(V1173, 'File Links'!C:C, 0)), "N/A", HYPERLINK(INDEX('File Links'!B:B, MATCH(P1173, 'File Links'!C:C, 0))))</f>
        <v>https://drive.google.com/file/d/13eFbDRsrT4E_alMlB_gHi3f-ptev6t5p/view?usp=drivesdk</v>
      </c>
      <c r="R1173" s="1315" t="s">
        <v>3653</v>
      </c>
      <c r="S1173" s="159" t="s">
        <v>3654</v>
      </c>
      <c r="T1173" s="780" t="s">
        <v>138</v>
      </c>
      <c r="U1173" s="147" t="s">
        <v>138</v>
      </c>
      <c r="V1173" s="198" t="str">
        <f t="shared" si="57"/>
        <v>10.1098--rsos.231240.pdf</v>
      </c>
      <c r="W1173" s="140" t="s">
        <v>3665</v>
      </c>
      <c r="X1173" s="54" t="str">
        <f t="array" ref="X1173"> if(iserror(MATCH(V1173, 'File Links'!C:C, 0)), "N/A", HYPERLINK(INDEX('File Links'!B:B, MATCH(V1173, 'File Links'!C:C, 0))))</f>
        <v>https://drive.google.com/file/d/17gaf2Zy_ljFfcAEDk5L8GBnTl5i7RGJE/view?usp=drivesdk</v>
      </c>
      <c r="Y1173" s="1313"/>
      <c r="Z1173" s="1315" t="s">
        <v>148</v>
      </c>
      <c r="AA1173" s="1313" t="s">
        <v>6466</v>
      </c>
      <c r="AB1173" s="1313" t="s">
        <v>6467</v>
      </c>
      <c r="AC1173" s="1315" t="s">
        <v>6468</v>
      </c>
      <c r="AD1173" s="1313" t="s">
        <v>6469</v>
      </c>
      <c r="AE1173" s="1341">
        <v>3.0</v>
      </c>
      <c r="AF1173" s="1318">
        <v>16.0</v>
      </c>
      <c r="AG1173" s="1341">
        <v>0.95</v>
      </c>
      <c r="AH1173" s="1313" t="s">
        <v>173</v>
      </c>
      <c r="AI1173" s="1313" t="s">
        <v>850</v>
      </c>
      <c r="AJ1173" s="1325">
        <v>0.002</v>
      </c>
      <c r="AK1173" s="1321" t="s">
        <v>172</v>
      </c>
      <c r="AL1173" s="1321" t="s">
        <v>186</v>
      </c>
      <c r="AM1173" s="1369" t="s">
        <v>141</v>
      </c>
      <c r="AN1173" s="1322" t="s">
        <v>138</v>
      </c>
      <c r="AO1173" s="1318">
        <v>16.0</v>
      </c>
      <c r="AP1173" s="1357">
        <v>0.938139826109804</v>
      </c>
      <c r="AQ1173" s="1313" t="s">
        <v>173</v>
      </c>
      <c r="AR1173" s="1322" t="s">
        <v>5604</v>
      </c>
      <c r="AS1173" s="1341">
        <v>0.00245187028514065</v>
      </c>
      <c r="AT1173" s="1313" t="s">
        <v>172</v>
      </c>
      <c r="AU1173" s="1313" t="s">
        <v>186</v>
      </c>
      <c r="AV1173" s="1313" t="s">
        <v>137</v>
      </c>
      <c r="AW1173" s="1323" t="s">
        <v>138</v>
      </c>
      <c r="AX1173" s="1339" t="s">
        <v>143</v>
      </c>
      <c r="AY1173" s="61" t="str">
        <f>IFERROR(__xludf.DUMMYFUNCTION("vlookup(BB1173,importrange(""https://docs.google.com/spreadsheets/d/1d2vevQ_7D_v35q4wCQ4RpQ_IPoTwEMB9Yp6ymwlPqew/edit?gid=984458430#gid=984458430"", ""'replication success'!A:K""), 11, FAlSE)"),"successful")</f>
        <v>successful</v>
      </c>
      <c r="AZ1173" s="61" t="str">
        <f>IFERROR(__xludf.DUMMYFUNCTION("vlookup(BB1173,importrange(""https://docs.google.com/spreadsheets/d/1d2vevQ_7D_v35q4wCQ4RpQ_IPoTwEMB9Yp6ymwlPqew/edit?gid=984458430#gid=984458430"",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3" s="61" t="str">
        <f>IFERROR(__xludf.DUMMYFUNCTION("vlookup(BB1173,importrange(""https://docs.google.com/spreadsheets/d/1d2vevQ_7D_v35q4wCQ4RpQ_IPoTwEMB9Yp6ymwlPqew/edit?gid=984458430#gid=984458430"",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v>
      </c>
      <c r="BB1173" s="61" t="str">
        <f>IFERROR(__xludf.DUMMYFUNCTION("REGEXREPLACE(G1173, ""_[a-z]{1,2}$"", """")"),"Boyce_etal202390")</f>
        <v>Boyce_etal202390</v>
      </c>
      <c r="BD1173" s="1322" t="s">
        <v>5605</v>
      </c>
    </row>
    <row r="1174">
      <c r="A1174" s="44">
        <v>1174.0</v>
      </c>
      <c r="B1174" s="129" t="s">
        <v>114</v>
      </c>
      <c r="C1174" s="62" t="s">
        <v>115</v>
      </c>
      <c r="D1174" s="62" t="s">
        <v>248</v>
      </c>
      <c r="E1174" s="365"/>
      <c r="F1174" s="126" t="s">
        <v>6461</v>
      </c>
      <c r="G1174" s="119" t="s">
        <v>6462</v>
      </c>
      <c r="H1174" s="140" t="s">
        <v>249</v>
      </c>
      <c r="I1174" s="317">
        <v>45667.0</v>
      </c>
      <c r="J1174" s="1326">
        <v>45692.0</v>
      </c>
      <c r="K1174" s="125"/>
      <c r="L1174" s="125" t="s">
        <v>5594</v>
      </c>
      <c r="M1174" s="140" t="s">
        <v>6464</v>
      </c>
      <c r="N1174" s="140" t="s">
        <v>6465</v>
      </c>
      <c r="O1174" s="125"/>
      <c r="P1174" s="140" t="str">
        <f t="shared" si="73"/>
        <v>10.1016--j.cognition.2017.06.025.pdf</v>
      </c>
      <c r="Q1174" s="52" t="str">
        <f t="array" ref="Q1174"> if(iserror(MATCH(V1174, 'File Links'!C:C, 0)), "N/A", HYPERLINK(INDEX('File Links'!B:B, MATCH(P1174, 'File Links'!C:C, 0))))</f>
        <v>https://drive.google.com/file/d/13eFbDRsrT4E_alMlB_gHi3f-ptev6t5p/view?usp=drivesdk</v>
      </c>
      <c r="R1174" s="140" t="s">
        <v>6470</v>
      </c>
      <c r="S1174" s="159" t="s">
        <v>3654</v>
      </c>
      <c r="T1174" s="780" t="s">
        <v>138</v>
      </c>
      <c r="U1174" s="147" t="s">
        <v>138</v>
      </c>
      <c r="V1174" s="198" t="str">
        <f t="shared" si="57"/>
        <v>10.1098--rsos.231240.pdf</v>
      </c>
      <c r="W1174" s="140" t="s">
        <v>3665</v>
      </c>
      <c r="X1174" s="54" t="str">
        <f t="array" ref="X1174"> if(iserror(MATCH(V1174, 'File Links'!C:C, 0)), "N/A", HYPERLINK(INDEX('File Links'!B:B, MATCH(V1174, 'File Links'!C:C, 0))))</f>
        <v>https://drive.google.com/file/d/17gaf2Zy_ljFfcAEDk5L8GBnTl5i7RGJE/view?usp=drivesdk</v>
      </c>
      <c r="Y1174" s="125"/>
      <c r="Z1174" s="140" t="s">
        <v>148</v>
      </c>
      <c r="AA1174" s="125"/>
      <c r="AB1174" s="140" t="s">
        <v>6471</v>
      </c>
      <c r="AC1174" s="125"/>
      <c r="AD1174" s="140" t="s">
        <v>6472</v>
      </c>
      <c r="AE1174" s="782">
        <v>237.0</v>
      </c>
      <c r="AF1174" s="782">
        <v>16.0</v>
      </c>
      <c r="AG1174" s="782">
        <v>0.95</v>
      </c>
      <c r="AH1174" s="140" t="s">
        <v>173</v>
      </c>
      <c r="AI1174" s="140" t="s">
        <v>6473</v>
      </c>
      <c r="AJ1174" s="133">
        <v>0.489</v>
      </c>
      <c r="AK1174" s="126" t="s">
        <v>172</v>
      </c>
      <c r="AL1174" s="126" t="s">
        <v>186</v>
      </c>
      <c r="AM1174" s="140" t="s">
        <v>141</v>
      </c>
      <c r="AN1174" s="1322" t="s">
        <v>138</v>
      </c>
      <c r="AO1174" s="782">
        <v>16.0</v>
      </c>
      <c r="AP1174" s="782">
        <v>0.938139826109804</v>
      </c>
      <c r="AQ1174" s="140" t="s">
        <v>173</v>
      </c>
      <c r="AR1174" s="1322" t="s">
        <v>5604</v>
      </c>
      <c r="AS1174" s="782">
        <v>0.00245187028514065</v>
      </c>
      <c r="AT1174" s="140" t="s">
        <v>172</v>
      </c>
      <c r="AU1174" s="140" t="s">
        <v>186</v>
      </c>
      <c r="AV1174" s="140" t="s">
        <v>141</v>
      </c>
      <c r="AW1174" s="1323" t="s">
        <v>138</v>
      </c>
      <c r="AX1174" s="670" t="s">
        <v>151</v>
      </c>
      <c r="AY1174" s="61" t="str">
        <f>IFERROR(__xludf.DUMMYFUNCTION("vlookup(BB1174,importrange(""https://docs.google.com/spreadsheets/d/1d2vevQ_7D_v35q4wCQ4RpQ_IPoTwEMB9Yp6ymwlPqew/edit?gid=984458430#gid=984458430"", ""'replication success'!A:K""), 11, FAlSE)"),"successful")</f>
        <v>successful</v>
      </c>
      <c r="AZ1174" s="61" t="str">
        <f>IFERROR(__xludf.DUMMYFUNCTION("vlookup(BB1174,importrange(""https://docs.google.com/spreadsheets/d/1d2vevQ_7D_v35q4wCQ4RpQ_IPoTwEMB9Yp6ymwlPqew/edit?gid=984458430#gid=984458430"",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4" s="61" t="str">
        <f>IFERROR(__xludf.DUMMYFUNCTION("vlookup(BB1174,importrange(""https://docs.google.com/spreadsheets/d/1d2vevQ_7D_v35q4wCQ4RpQ_IPoTwEMB9Yp6ymwlPqew/edit?gid=984458430#gid=984458430"",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43041611")</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v>
      </c>
      <c r="BB1174" s="61" t="str">
        <f>IFERROR(__xludf.DUMMYFUNCTION("REGEXREPLACE(G1174, ""_[a-z]{1,2}$"", """")"),"Boyce_etal202390")</f>
        <v>Boyce_etal202390</v>
      </c>
      <c r="BD1174" s="1322" t="s">
        <v>5605</v>
      </c>
    </row>
    <row r="1175">
      <c r="A1175" s="44">
        <v>1175.0</v>
      </c>
      <c r="B1175" s="129" t="s">
        <v>152</v>
      </c>
      <c r="C1175" s="62" t="s">
        <v>115</v>
      </c>
      <c r="D1175" s="62" t="s">
        <v>145</v>
      </c>
      <c r="F1175" s="68" t="s">
        <v>6474</v>
      </c>
      <c r="G1175" s="57" t="s">
        <v>6475</v>
      </c>
      <c r="H1175" s="159" t="s">
        <v>5592</v>
      </c>
      <c r="I1175" s="152">
        <v>45692.0</v>
      </c>
      <c r="J1175" s="529">
        <v>45692.0</v>
      </c>
      <c r="K1175" s="68"/>
      <c r="L1175" s="129" t="s">
        <v>6476</v>
      </c>
      <c r="M1175" s="159" t="s">
        <v>6477</v>
      </c>
      <c r="N1175" s="159" t="s">
        <v>6478</v>
      </c>
      <c r="O1175" s="156">
        <v>1.0</v>
      </c>
      <c r="P1175" s="159" t="s">
        <v>6479</v>
      </c>
      <c r="Q1175" s="52" t="str">
        <f t="array" ref="Q1175"> if(iserror(MATCH(V1175, 'File Links'!C:C, 0)), "N/A", HYPERLINK(INDEX('File Links'!B:B, MATCH(P1175, 'File Links'!C:C, 0))))</f>
        <v>https://drive.google.com/file/d/1a_-X1vjB6N4-IwfcVsM4fHxFavXCK8pH/view?usp=drivesdk</v>
      </c>
      <c r="R1175" s="159" t="s">
        <v>3653</v>
      </c>
      <c r="S1175" s="159" t="s">
        <v>3654</v>
      </c>
      <c r="T1175" s="441" t="s">
        <v>138</v>
      </c>
      <c r="U1175" s="129" t="s">
        <v>138</v>
      </c>
      <c r="V1175" s="198" t="str">
        <f t="shared" si="57"/>
        <v>10.1098--rsos.231240.pdf</v>
      </c>
      <c r="W1175" s="159" t="s">
        <v>3665</v>
      </c>
      <c r="X1175" s="54" t="str">
        <f t="array" ref="X1175"> if(iserror(MATCH(V1175, 'File Links'!C:C, 0)), "N/A", HYPERLINK(INDEX('File Links'!B:B, MATCH(V1175, 'File Links'!C:C, 0))))</f>
        <v>https://drive.google.com/file/d/17gaf2Zy_ljFfcAEDk5L8GBnTl5i7RGJE/view?usp=drivesdk</v>
      </c>
      <c r="Y1175" s="68"/>
      <c r="Z1175" s="159" t="s">
        <v>226</v>
      </c>
      <c r="AA1175" s="374" t="s">
        <v>138</v>
      </c>
      <c r="AB1175" s="68" t="s">
        <v>6480</v>
      </c>
      <c r="AC1175" s="159" t="s">
        <v>6481</v>
      </c>
      <c r="AD1175" s="129" t="s">
        <v>6482</v>
      </c>
      <c r="AE1175" s="1370" t="s">
        <v>813</v>
      </c>
      <c r="AF1175" s="156">
        <v>415.0</v>
      </c>
      <c r="AG1175" s="129">
        <v>0.3</v>
      </c>
      <c r="AH1175" s="129" t="s">
        <v>3563</v>
      </c>
      <c r="AI1175" s="68" t="s">
        <v>813</v>
      </c>
      <c r="AJ1175" s="337">
        <v>0.001</v>
      </c>
      <c r="AK1175" s="61" t="s">
        <v>135</v>
      </c>
      <c r="AL1175" s="61" t="s">
        <v>186</v>
      </c>
      <c r="AM1175" s="68" t="s">
        <v>137</v>
      </c>
      <c r="AN1175" s="1371" t="s">
        <v>6483</v>
      </c>
      <c r="AO1175" s="156">
        <v>46.0</v>
      </c>
      <c r="AP1175" s="68" t="s">
        <v>6484</v>
      </c>
      <c r="AQ1175" s="68" t="s">
        <v>134</v>
      </c>
      <c r="AR1175" s="129" t="s">
        <v>5604</v>
      </c>
      <c r="AS1175" s="336">
        <v>0.977005295638734</v>
      </c>
      <c r="AT1175" s="68" t="s">
        <v>172</v>
      </c>
      <c r="AU1175" s="68" t="s">
        <v>186</v>
      </c>
      <c r="AV1175" s="68" t="s">
        <v>137</v>
      </c>
      <c r="AW1175" s="1337" t="s">
        <v>138</v>
      </c>
      <c r="AX1175" s="594" t="s">
        <v>143</v>
      </c>
      <c r="AY1175" s="61" t="str">
        <f>IFERROR(__xludf.DUMMYFUNCTION("vlookup(BB1175,importrange(""https://docs.google.com/spreadsheets/d/1d2vevQ_7D_v35q4wCQ4RpQ_IPoTwEMB9Yp6ymwlPqew/edit?gid=984458430#gid=984458430"", ""'replication success'!A:K""), 11, FAlSE)"),"")</f>
        <v/>
      </c>
      <c r="AZ1175" s="61" t="str">
        <f>IFERROR(__xludf.DUMMYFUNCTION("vlookup(BB1175,importrange(""https://docs.google.com/spreadsheets/d/1d2vevQ_7D_v35q4wCQ4RpQ_IPoTwEMB9Yp6ymwlPqew/edit?gid=984458430#gid=984458430"", ""'replication success'!A:M""), 12, FAlSE)"),"")</f>
        <v/>
      </c>
      <c r="BA1175" s="61" t="str">
        <f>IFERROR(__xludf.DUMMYFUNCTION("vlookup(BB1175,importrange(""https://docs.google.com/spreadsheets/d/1d2vevQ_7D_v35q4wCQ4RpQ_IPoTwEMB9Yp6ymwlPqew/edit?gid=984458430#gid=984458430"",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v>
      </c>
      <c r="BB1175" s="61" t="str">
        <f>IFERROR(__xludf.DUMMYFUNCTION("REGEXREPLACE(G1175, ""_[a-z]{1,2}$"", """")"),"Boyce_etal202391")</f>
        <v>Boyce_etal202391</v>
      </c>
      <c r="BD1175" s="129" t="s">
        <v>6485</v>
      </c>
    </row>
    <row r="1176">
      <c r="A1176" s="44">
        <v>1176.0</v>
      </c>
      <c r="B1176" s="129" t="s">
        <v>114</v>
      </c>
      <c r="C1176" s="62" t="s">
        <v>115</v>
      </c>
      <c r="D1176" s="62" t="s">
        <v>248</v>
      </c>
      <c r="F1176" s="57" t="s">
        <v>6474</v>
      </c>
      <c r="G1176" s="151" t="s">
        <v>6475</v>
      </c>
      <c r="H1176" s="159" t="s">
        <v>249</v>
      </c>
      <c r="I1176" s="152">
        <v>45667.0</v>
      </c>
      <c r="J1176" s="529">
        <v>45692.0</v>
      </c>
      <c r="K1176" s="159" t="s">
        <v>6486</v>
      </c>
      <c r="L1176" s="129" t="s">
        <v>6487</v>
      </c>
      <c r="M1176" s="159" t="s">
        <v>6477</v>
      </c>
      <c r="N1176" s="159" t="s">
        <v>6478</v>
      </c>
      <c r="O1176" s="1370">
        <v>1.0</v>
      </c>
      <c r="P1176" s="159" t="str">
        <f> SUBSTITUTE(lower(N1176), "/", "--") &amp;  ".pdf"</f>
        <v>10.1177--0956797619854706.pdf</v>
      </c>
      <c r="Q1176" s="52" t="str">
        <f t="array" ref="Q1176"> if(iserror(MATCH(V1176, 'File Links'!C:C, 0)), "N/A", HYPERLINK(INDEX('File Links'!B:B, MATCH(P1176, 'File Links'!C:C, 0))))</f>
        <v>https://drive.google.com/file/d/1a_-X1vjB6N4-IwfcVsM4fHxFavXCK8pH/view?usp=drivesdk</v>
      </c>
      <c r="R1176" s="159" t="s">
        <v>6488</v>
      </c>
      <c r="S1176" s="159" t="s">
        <v>3654</v>
      </c>
      <c r="T1176" s="441" t="s">
        <v>138</v>
      </c>
      <c r="U1176" s="129" t="s">
        <v>138</v>
      </c>
      <c r="V1176" s="198" t="str">
        <f t="shared" si="57"/>
        <v>10.1098--rsos.231240.pdf</v>
      </c>
      <c r="W1176" s="159" t="s">
        <v>3665</v>
      </c>
      <c r="X1176" s="54" t="str">
        <f t="array" ref="X1176"> if(iserror(MATCH(V1176, 'File Links'!C:C, 0)), "N/A", HYPERLINK(INDEX('File Links'!B:B, MATCH(V1176, 'File Links'!C:C, 0))))</f>
        <v>https://drive.google.com/file/d/17gaf2Zy_ljFfcAEDk5L8GBnTl5i7RGJE/view?usp=drivesdk</v>
      </c>
      <c r="Y1176" s="68"/>
      <c r="Z1176" s="159" t="s">
        <v>226</v>
      </c>
      <c r="AA1176" s="68"/>
      <c r="AB1176" s="1060" t="s">
        <v>6489</v>
      </c>
      <c r="AC1176" s="68"/>
      <c r="AD1176" s="159" t="s">
        <v>6490</v>
      </c>
      <c r="AE1176" s="156">
        <v>5.0</v>
      </c>
      <c r="AF1176" s="156">
        <v>415.0</v>
      </c>
      <c r="AG1176" s="156">
        <v>0.329099978906873</v>
      </c>
      <c r="AH1176" s="159" t="s">
        <v>173</v>
      </c>
      <c r="AI1176" s="159" t="s">
        <v>882</v>
      </c>
      <c r="AJ1176" s="709">
        <v>0.001</v>
      </c>
      <c r="AK1176" s="57" t="s">
        <v>135</v>
      </c>
      <c r="AL1176" s="57" t="s">
        <v>186</v>
      </c>
      <c r="AM1176" s="1060" t="s">
        <v>141</v>
      </c>
      <c r="AN1176" s="690" t="s">
        <v>6491</v>
      </c>
      <c r="AO1176" s="156">
        <v>46.0</v>
      </c>
      <c r="AP1176" s="159" t="s">
        <v>138</v>
      </c>
      <c r="AQ1176" s="159" t="s">
        <v>173</v>
      </c>
      <c r="AR1176" s="129" t="s">
        <v>5604</v>
      </c>
      <c r="AS1176" s="156">
        <v>0.977005295638734</v>
      </c>
      <c r="AT1176" s="159" t="s">
        <v>172</v>
      </c>
      <c r="AU1176" s="159" t="s">
        <v>186</v>
      </c>
      <c r="AV1176" s="159" t="s">
        <v>141</v>
      </c>
      <c r="AW1176" s="1337" t="s">
        <v>138</v>
      </c>
      <c r="AX1176" s="680" t="s">
        <v>143</v>
      </c>
      <c r="AY1176" s="61" t="str">
        <f>IFERROR(__xludf.DUMMYFUNCTION("vlookup(BB1176,importrange(""https://docs.google.com/spreadsheets/d/1d2vevQ_7D_v35q4wCQ4RpQ_IPoTwEMB9Yp6ymwlPqew/edit?gid=984458430#gid=984458430"", ""'replication success'!A:K""), 11, FAlSE)"),"")</f>
        <v/>
      </c>
      <c r="AZ1176" s="61" t="str">
        <f>IFERROR(__xludf.DUMMYFUNCTION("vlookup(BB1176,importrange(""https://docs.google.com/spreadsheets/d/1d2vevQ_7D_v35q4wCQ4RpQ_IPoTwEMB9Yp6ymwlPqew/edit?gid=984458430#gid=984458430"", ""'replication success'!A:M""), 12, FAlSE)"),"")</f>
        <v/>
      </c>
      <c r="BA1176" s="61" t="str">
        <f>IFERROR(__xludf.DUMMYFUNCTION("vlookup(BB1176,importrange(""https://docs.google.com/spreadsheets/d/1d2vevQ_7D_v35q4wCQ4RpQ_IPoTwEMB9Yp6ymwlPqew/edit?gid=984458430#gid=984458430"",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43041612")</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v>
      </c>
      <c r="BB1176" s="61" t="str">
        <f>IFERROR(__xludf.DUMMYFUNCTION("REGEXREPLACE(G1176, ""_[a-z]{1,2}$"", """")"),"Boyce_etal202391")</f>
        <v>Boyce_etal202391</v>
      </c>
      <c r="BD1176" s="129" t="s">
        <v>6485</v>
      </c>
    </row>
    <row r="1177">
      <c r="A1177" s="44">
        <v>1177.0</v>
      </c>
      <c r="B1177" s="129" t="s">
        <v>152</v>
      </c>
      <c r="C1177" s="62" t="s">
        <v>115</v>
      </c>
      <c r="D1177" s="62" t="s">
        <v>145</v>
      </c>
      <c r="F1177" s="68" t="s">
        <v>6492</v>
      </c>
      <c r="G1177" s="57" t="s">
        <v>6493</v>
      </c>
      <c r="H1177" s="159" t="s">
        <v>5592</v>
      </c>
      <c r="I1177" s="152">
        <v>45692.0</v>
      </c>
      <c r="J1177" s="529">
        <v>45692.0</v>
      </c>
      <c r="K1177" s="68"/>
      <c r="L1177" s="129" t="s">
        <v>6494</v>
      </c>
      <c r="M1177" s="159" t="s">
        <v>6495</v>
      </c>
      <c r="N1177" s="159" t="s">
        <v>6496</v>
      </c>
      <c r="O1177" s="156">
        <v>3.0</v>
      </c>
      <c r="P1177" s="159" t="s">
        <v>6497</v>
      </c>
      <c r="Q1177" s="52" t="str">
        <f t="array" ref="Q1177"> if(iserror(MATCH(V1177, 'File Links'!C:C, 0)), "N/A", HYPERLINK(INDEX('File Links'!B:B, MATCH(P1177, 'File Links'!C:C, 0))))</f>
        <v>https://drive.google.com/file/d/1Pb_juPmIU_Q7VY9NrSeQKbDclKBuO2i4/view?usp=drivesdk</v>
      </c>
      <c r="R1177" s="159" t="s">
        <v>3653</v>
      </c>
      <c r="S1177" s="159" t="s">
        <v>3654</v>
      </c>
      <c r="T1177" s="441" t="s">
        <v>138</v>
      </c>
      <c r="U1177" s="129" t="s">
        <v>138</v>
      </c>
      <c r="V1177" s="198" t="str">
        <f t="shared" si="57"/>
        <v>10.1098--rsos.231240.pdf</v>
      </c>
      <c r="W1177" s="159" t="s">
        <v>324</v>
      </c>
      <c r="X1177" s="54" t="str">
        <f t="array" ref="X1177"> if(iserror(MATCH(V1177, 'File Links'!C:C, 0)), "N/A", HYPERLINK(INDEX('File Links'!B:B, MATCH(V1177, 'File Links'!C:C, 0))))</f>
        <v>https://drive.google.com/file/d/17gaf2Zy_ljFfcAEDk5L8GBnTl5i7RGJE/view?usp=drivesdk</v>
      </c>
      <c r="Y1177" s="68"/>
      <c r="Z1177" s="159" t="s">
        <v>226</v>
      </c>
      <c r="AA1177" s="374" t="s">
        <v>138</v>
      </c>
      <c r="AB1177" s="68" t="s">
        <v>6498</v>
      </c>
      <c r="AC1177" s="159" t="s">
        <v>6499</v>
      </c>
      <c r="AD1177" s="129" t="s">
        <v>6500</v>
      </c>
      <c r="AE1177" s="1372" t="s">
        <v>6501</v>
      </c>
      <c r="AF1177" s="156">
        <v>40.0</v>
      </c>
      <c r="AG1177" s="336">
        <v>0.146</v>
      </c>
      <c r="AH1177" s="129" t="s">
        <v>874</v>
      </c>
      <c r="AI1177" s="129" t="s">
        <v>6501</v>
      </c>
      <c r="AJ1177" s="709">
        <v>0.015</v>
      </c>
      <c r="AK1177" s="61" t="s">
        <v>172</v>
      </c>
      <c r="AL1177" s="129" t="s">
        <v>186</v>
      </c>
      <c r="AM1177" s="68" t="s">
        <v>137</v>
      </c>
      <c r="AN1177" s="129" t="s">
        <v>138</v>
      </c>
      <c r="AO1177" s="156">
        <v>77.0</v>
      </c>
      <c r="AP1177" s="336">
        <v>0.498565288609021</v>
      </c>
      <c r="AQ1177" s="68" t="s">
        <v>173</v>
      </c>
      <c r="AR1177" s="129" t="s">
        <v>5604</v>
      </c>
      <c r="AS1177" s="1304">
        <f>IFERROR(__xludf.DUMMYFUNCTION("4.29*10^-5"),4.2900000000000006E-5)</f>
        <v>0.0000429</v>
      </c>
      <c r="AT1177" s="68" t="s">
        <v>172</v>
      </c>
      <c r="AU1177" s="1370" t="s">
        <v>186</v>
      </c>
      <c r="AV1177" s="68" t="s">
        <v>137</v>
      </c>
      <c r="AW1177" s="1337" t="s">
        <v>138</v>
      </c>
      <c r="AX1177" s="594" t="s">
        <v>143</v>
      </c>
      <c r="AY1177" s="61" t="str">
        <f>IFERROR(__xludf.DUMMYFUNCTION("vlookup(BB1177,importrange(""https://docs.google.com/spreadsheets/d/1d2vevQ_7D_v35q4wCQ4RpQ_IPoTwEMB9Yp6ymwlPqew/edit?gid=984458430#gid=984458430"", ""'replication success'!A:K""), 11, FAlSE)"),"successful")</f>
        <v>successful</v>
      </c>
      <c r="AZ1177" s="61" t="str">
        <f>IFERROR(__xludf.DUMMYFUNCTION("vlookup(BB1177,importrange(""https://docs.google.com/spreadsheets/d/1d2vevQ_7D_v35q4wCQ4RpQ_IPoTwEMB9Yp6ymwlPqew/edit?gid=984458430#gid=984458430"",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7" s="61" t="str">
        <f>IFERROR(__xludf.DUMMYFUNCTION("vlookup(BB1177,importrange(""https://docs.google.com/spreadsheets/d/1d2vevQ_7D_v35q4wCQ4RpQ_IPoTwEMB9Yp6ymwlPqew/edit?gid=984458430#gid=984458430"",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v>
      </c>
      <c r="BB1177" s="61" t="str">
        <f>IFERROR(__xludf.DUMMYFUNCTION("REGEXREPLACE(G1177, ""_[a-z]{1,2}$"", """")"),"Boyce_etal202392")</f>
        <v>Boyce_etal202392</v>
      </c>
      <c r="BD1177" s="129" t="s">
        <v>6485</v>
      </c>
    </row>
    <row r="1178">
      <c r="A1178" s="44">
        <v>1178.0</v>
      </c>
      <c r="B1178" s="129" t="s">
        <v>114</v>
      </c>
      <c r="C1178" s="62" t="s">
        <v>115</v>
      </c>
      <c r="D1178" s="62" t="s">
        <v>248</v>
      </c>
      <c r="F1178" s="57" t="s">
        <v>6492</v>
      </c>
      <c r="G1178" s="151" t="s">
        <v>6493</v>
      </c>
      <c r="H1178" s="159" t="s">
        <v>249</v>
      </c>
      <c r="I1178" s="152">
        <v>45667.0</v>
      </c>
      <c r="J1178" s="529">
        <v>45692.0</v>
      </c>
      <c r="K1178" s="68"/>
      <c r="L1178" s="68"/>
      <c r="M1178" s="159" t="s">
        <v>6495</v>
      </c>
      <c r="N1178" s="159" t="s">
        <v>6496</v>
      </c>
      <c r="O1178" s="1370">
        <v>3.0</v>
      </c>
      <c r="P1178" s="159" t="str">
        <f> SUBSTITUTE(lower(N1178), "/", "--") &amp;  ".pdf"</f>
        <v>10.1177--0146167207309195.pdf</v>
      </c>
      <c r="Q1178" s="52" t="str">
        <f t="array" ref="Q1178"> if(iserror(MATCH(V1178, 'File Links'!C:C, 0)), "N/A", HYPERLINK(INDEX('File Links'!B:B, MATCH(P1178, 'File Links'!C:C, 0))))</f>
        <v>https://drive.google.com/file/d/1Pb_juPmIU_Q7VY9NrSeQKbDclKBuO2i4/view?usp=drivesdk</v>
      </c>
      <c r="R1178" s="159" t="s">
        <v>6502</v>
      </c>
      <c r="S1178" s="159" t="s">
        <v>3654</v>
      </c>
      <c r="T1178" s="441" t="s">
        <v>138</v>
      </c>
      <c r="U1178" s="129" t="s">
        <v>138</v>
      </c>
      <c r="V1178" s="198" t="str">
        <f t="shared" si="57"/>
        <v>10.1098--rsos.231240.pdf</v>
      </c>
      <c r="W1178" s="159" t="s">
        <v>324</v>
      </c>
      <c r="X1178" s="54" t="str">
        <f t="array" ref="X1178"> if(iserror(MATCH(V1178, 'File Links'!C:C, 0)), "N/A", HYPERLINK(INDEX('File Links'!B:B, MATCH(V1178, 'File Links'!C:C, 0))))</f>
        <v>https://drive.google.com/file/d/17gaf2Zy_ljFfcAEDk5L8GBnTl5i7RGJE/view?usp=drivesdk</v>
      </c>
      <c r="Y1178" s="68"/>
      <c r="Z1178" s="159" t="s">
        <v>226</v>
      </c>
      <c r="AA1178" s="68"/>
      <c r="AB1178" s="68"/>
      <c r="AC1178" s="68"/>
      <c r="AD1178" s="159" t="s">
        <v>6503</v>
      </c>
      <c r="AE1178" s="156">
        <v>83.0</v>
      </c>
      <c r="AF1178" s="156">
        <v>40.0</v>
      </c>
      <c r="AG1178" s="161" t="s">
        <v>6504</v>
      </c>
      <c r="AH1178" s="119" t="s">
        <v>134</v>
      </c>
      <c r="AI1178" s="159" t="s">
        <v>6501</v>
      </c>
      <c r="AJ1178" s="709">
        <v>0.015</v>
      </c>
      <c r="AK1178" s="57" t="s">
        <v>172</v>
      </c>
      <c r="AL1178" s="57" t="s">
        <v>186</v>
      </c>
      <c r="AM1178" s="1060" t="s">
        <v>141</v>
      </c>
      <c r="AN1178" s="129" t="s">
        <v>138</v>
      </c>
      <c r="AO1178" s="156">
        <v>77.0</v>
      </c>
      <c r="AP1178" s="156">
        <v>0.498565288609021</v>
      </c>
      <c r="AQ1178" s="159" t="s">
        <v>173</v>
      </c>
      <c r="AR1178" s="129" t="s">
        <v>5604</v>
      </c>
      <c r="AS1178" s="1373">
        <v>4.28962951808074E-5</v>
      </c>
      <c r="AT1178" s="159" t="s">
        <v>172</v>
      </c>
      <c r="AU1178" s="159" t="s">
        <v>186</v>
      </c>
      <c r="AV1178" s="159" t="s">
        <v>141</v>
      </c>
      <c r="AW1178" s="1337" t="s">
        <v>138</v>
      </c>
      <c r="AX1178" s="680" t="s">
        <v>143</v>
      </c>
      <c r="AY1178" s="61" t="str">
        <f>IFERROR(__xludf.DUMMYFUNCTION("vlookup(BB1178,importrange(""https://docs.google.com/spreadsheets/d/1d2vevQ_7D_v35q4wCQ4RpQ_IPoTwEMB9Yp6ymwlPqew/edit?gid=984458430#gid=984458430"", ""'replication success'!A:K""), 11, FAlSE)"),"successful")</f>
        <v>successful</v>
      </c>
      <c r="AZ1178" s="61" t="str">
        <f>IFERROR(__xludf.DUMMYFUNCTION("vlookup(BB1178,importrange(""https://docs.google.com/spreadsheets/d/1d2vevQ_7D_v35q4wCQ4RpQ_IPoTwEMB9Yp6ymwlPqew/edit?gid=984458430#gid=984458430"",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78" s="61" t="str">
        <f>IFERROR(__xludf.DUMMYFUNCTION("vlookup(BB1178,importrange(""https://docs.google.com/spreadsheets/d/1d2vevQ_7D_v35q4wCQ4RpQ_IPoTwEMB9Yp6ymwlPqew/edit?gid=984458430#gid=984458430"",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43041613")</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v>
      </c>
      <c r="BB1178" s="61" t="str">
        <f>IFERROR(__xludf.DUMMYFUNCTION("REGEXREPLACE(G1178, ""_[a-z]{1,2}$"", """")"),"Boyce_etal202392")</f>
        <v>Boyce_etal202392</v>
      </c>
      <c r="BD1178" s="129" t="s">
        <v>6485</v>
      </c>
    </row>
    <row r="1179">
      <c r="A1179" s="44">
        <v>1179.0</v>
      </c>
      <c r="B1179" s="129" t="s">
        <v>152</v>
      </c>
      <c r="C1179" s="62" t="s">
        <v>115</v>
      </c>
      <c r="D1179" s="62" t="s">
        <v>145</v>
      </c>
      <c r="F1179" s="68" t="s">
        <v>6505</v>
      </c>
      <c r="G1179" s="57" t="s">
        <v>6506</v>
      </c>
      <c r="H1179" s="159" t="s">
        <v>5592</v>
      </c>
      <c r="I1179" s="152">
        <v>45692.0</v>
      </c>
      <c r="J1179" s="529">
        <v>45692.0</v>
      </c>
      <c r="K1179" s="68"/>
      <c r="L1179" s="129" t="s">
        <v>6507</v>
      </c>
      <c r="M1179" s="159" t="s">
        <v>6508</v>
      </c>
      <c r="N1179" s="159" t="s">
        <v>6509</v>
      </c>
      <c r="O1179" s="156">
        <v>1.0</v>
      </c>
      <c r="P1179" s="159" t="s">
        <v>6510</v>
      </c>
      <c r="Q1179" s="52" t="str">
        <f t="array" ref="Q1179"> if(iserror(MATCH(V1179, 'File Links'!C:C, 0)), "N/A", HYPERLINK(INDEX('File Links'!B:B, MATCH(P1179, 'File Links'!C:C, 0))))</f>
        <v>https://drive.google.com/file/d/18geCDJ5bRB3bpM43MHvE6GJwLIjojiV3/view?usp=drivesdk</v>
      </c>
      <c r="R1179" s="159" t="s">
        <v>3653</v>
      </c>
      <c r="S1179" s="159" t="s">
        <v>3654</v>
      </c>
      <c r="T1179" s="441" t="s">
        <v>138</v>
      </c>
      <c r="U1179" s="129" t="s">
        <v>138</v>
      </c>
      <c r="V1179" s="198" t="str">
        <f t="shared" si="57"/>
        <v>10.1098--rsos.231240.pdf</v>
      </c>
      <c r="W1179" s="159" t="s">
        <v>324</v>
      </c>
      <c r="X1179" s="54" t="str">
        <f t="array" ref="X1179"> if(iserror(MATCH(V1179, 'File Links'!C:C, 0)), "N/A", HYPERLINK(INDEX('File Links'!B:B, MATCH(V1179, 'File Links'!C:C, 0))))</f>
        <v>https://drive.google.com/file/d/17gaf2Zy_ljFfcAEDk5L8GBnTl5i7RGJE/view?usp=drivesdk</v>
      </c>
      <c r="Y1179" s="68"/>
      <c r="Z1179" s="159" t="s">
        <v>148</v>
      </c>
      <c r="AA1179" s="374" t="s">
        <v>138</v>
      </c>
      <c r="AB1179" s="129" t="s">
        <v>6511</v>
      </c>
      <c r="AC1179" s="159" t="s">
        <v>6512</v>
      </c>
      <c r="AD1179" s="1370" t="s">
        <v>6513</v>
      </c>
      <c r="AE1179" s="501" t="s">
        <v>6514</v>
      </c>
      <c r="AF1179" s="156">
        <v>101.0</v>
      </c>
      <c r="AG1179" s="1370" t="s">
        <v>6515</v>
      </c>
      <c r="AH1179" s="119" t="s">
        <v>134</v>
      </c>
      <c r="AI1179" s="1370" t="s">
        <v>6514</v>
      </c>
      <c r="AJ1179" s="1372">
        <v>0.01</v>
      </c>
      <c r="AK1179" s="1370" t="s">
        <v>135</v>
      </c>
      <c r="AL1179" s="1370" t="s">
        <v>186</v>
      </c>
      <c r="AM1179" s="1370" t="s">
        <v>137</v>
      </c>
      <c r="AN1179" s="129" t="s">
        <v>138</v>
      </c>
      <c r="AO1179" s="156">
        <v>45.0</v>
      </c>
      <c r="AP1179" s="336">
        <v>0.343443573781914</v>
      </c>
      <c r="AQ1179" s="68" t="s">
        <v>173</v>
      </c>
      <c r="AR1179" s="129" t="s">
        <v>5604</v>
      </c>
      <c r="AS1179" s="336">
        <v>0.266690424017411</v>
      </c>
      <c r="AT1179" s="68" t="s">
        <v>172</v>
      </c>
      <c r="AU1179" s="68" t="s">
        <v>186</v>
      </c>
      <c r="AV1179" s="1370" t="s">
        <v>137</v>
      </c>
      <c r="AW1179" s="1337" t="s">
        <v>138</v>
      </c>
      <c r="AX1179" s="594" t="s">
        <v>143</v>
      </c>
      <c r="AY1179" s="61" t="str">
        <f>IFERROR(__xludf.DUMMYFUNCTION("vlookup(BB1179,importrange(""https://docs.google.com/spreadsheets/d/1d2vevQ_7D_v35q4wCQ4RpQ_IPoTwEMB9Yp6ymwlPqew/edit?gid=984458430#gid=984458430"", ""'replication success'!A:K""), 11, FAlSE)"),"failed")</f>
        <v>failed</v>
      </c>
      <c r="AZ1179" s="61" t="str">
        <f>IFERROR(__xludf.DUMMYFUNCTION("vlookup(BB1179,importrange(""https://docs.google.com/spreadsheets/d/1d2vevQ_7D_v35q4wCQ4RpQ_IPoTwEMB9Yp6ymwlPqew/edit?gid=984458430#gid=984458430"",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79" s="61" t="str">
        <f>IFERROR(__xludf.DUMMYFUNCTION("vlookup(BB1179,importrange(""https://docs.google.com/spreadsheets/d/1d2vevQ_7D_v35q4wCQ4RpQ_IPoTwEMB9Yp6ymwlPqew/edit?gid=984458430#gid=984458430"",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v>
      </c>
      <c r="BB1179" s="61" t="str">
        <f>IFERROR(__xludf.DUMMYFUNCTION("REGEXREPLACE(G1179, ""_[a-z]{1,2}$"", """")"),"Boyce_etal202393")</f>
        <v>Boyce_etal202393</v>
      </c>
      <c r="BD1179" s="129" t="s">
        <v>6485</v>
      </c>
    </row>
    <row r="1180">
      <c r="A1180" s="44">
        <v>1180.0</v>
      </c>
      <c r="B1180" s="129" t="s">
        <v>114</v>
      </c>
      <c r="C1180" s="62" t="s">
        <v>115</v>
      </c>
      <c r="D1180" s="62" t="s">
        <v>248</v>
      </c>
      <c r="F1180" s="57" t="s">
        <v>6505</v>
      </c>
      <c r="G1180" s="151" t="s">
        <v>6506</v>
      </c>
      <c r="H1180" s="159" t="s">
        <v>249</v>
      </c>
      <c r="I1180" s="152">
        <v>45667.0</v>
      </c>
      <c r="J1180" s="529">
        <v>45692.0</v>
      </c>
      <c r="K1180" s="68"/>
      <c r="L1180" s="68"/>
      <c r="M1180" s="159" t="s">
        <v>6508</v>
      </c>
      <c r="N1180" s="159" t="s">
        <v>6509</v>
      </c>
      <c r="O1180" s="1370">
        <v>1.0</v>
      </c>
      <c r="P1180" s="159" t="str">
        <f t="shared" ref="P1180:P1182" si="74"> SUBSTITUTE(lower(N1180), "/", "--") &amp;  ".pdf"</f>
        <v>10.1126--science.1238041.pdf</v>
      </c>
      <c r="Q1180" s="52" t="str">
        <f t="array" ref="Q1180"> if(iserror(MATCH(V1180, 'File Links'!C:C, 0)), "N/A", HYPERLINK(INDEX('File Links'!B:B, MATCH(P1180, 'File Links'!C:C, 0))))</f>
        <v>https://drive.google.com/file/d/18geCDJ5bRB3bpM43MHvE6GJwLIjojiV3/view?usp=drivesdk</v>
      </c>
      <c r="R1180" s="159" t="s">
        <v>6516</v>
      </c>
      <c r="S1180" s="159" t="s">
        <v>3654</v>
      </c>
      <c r="T1180" s="441" t="s">
        <v>138</v>
      </c>
      <c r="U1180" s="129" t="s">
        <v>138</v>
      </c>
      <c r="V1180" s="198" t="str">
        <f t="shared" si="57"/>
        <v>10.1098--rsos.231240.pdf</v>
      </c>
      <c r="W1180" s="159" t="s">
        <v>324</v>
      </c>
      <c r="X1180" s="54" t="str">
        <f t="array" ref="X1180"> if(iserror(MATCH(V1180, 'File Links'!C:C, 0)), "N/A", HYPERLINK(INDEX('File Links'!B:B, MATCH(V1180, 'File Links'!C:C, 0))))</f>
        <v>https://drive.google.com/file/d/17gaf2Zy_ljFfcAEDk5L8GBnTl5i7RGJE/view?usp=drivesdk</v>
      </c>
      <c r="Y1180" s="68"/>
      <c r="Z1180" s="159" t="s">
        <v>148</v>
      </c>
      <c r="AA1180" s="68"/>
      <c r="AB1180" s="159" t="s">
        <v>6517</v>
      </c>
      <c r="AC1180" s="68"/>
      <c r="AD1180" s="159" t="s">
        <v>6518</v>
      </c>
      <c r="AE1180" s="156">
        <v>977.0</v>
      </c>
      <c r="AF1180" s="156">
        <v>101.0</v>
      </c>
      <c r="AG1180" s="161" t="s">
        <v>6519</v>
      </c>
      <c r="AH1180" s="119" t="s">
        <v>134</v>
      </c>
      <c r="AI1180" s="159" t="s">
        <v>6514</v>
      </c>
      <c r="AJ1180" s="709">
        <v>0.01</v>
      </c>
      <c r="AK1180" s="57" t="s">
        <v>135</v>
      </c>
      <c r="AL1180" s="57" t="s">
        <v>186</v>
      </c>
      <c r="AM1180" s="159" t="s">
        <v>141</v>
      </c>
      <c r="AN1180" s="129" t="s">
        <v>138</v>
      </c>
      <c r="AO1180" s="156">
        <v>45.0</v>
      </c>
      <c r="AP1180" s="156">
        <v>0.343443573781914</v>
      </c>
      <c r="AQ1180" s="159" t="s">
        <v>173</v>
      </c>
      <c r="AR1180" s="129" t="s">
        <v>5604</v>
      </c>
      <c r="AS1180" s="1061">
        <v>0.266690424017411</v>
      </c>
      <c r="AT1180" s="159" t="s">
        <v>172</v>
      </c>
      <c r="AU1180" s="159" t="s">
        <v>186</v>
      </c>
      <c r="AV1180" s="159" t="s">
        <v>141</v>
      </c>
      <c r="AW1180" s="1337" t="s">
        <v>138</v>
      </c>
      <c r="AX1180" s="680" t="s">
        <v>143</v>
      </c>
      <c r="AY1180" s="61" t="str">
        <f>IFERROR(__xludf.DUMMYFUNCTION("vlookup(BB1180,importrange(""https://docs.google.com/spreadsheets/d/1d2vevQ_7D_v35q4wCQ4RpQ_IPoTwEMB9Yp6ymwlPqew/edit?gid=984458430#gid=984458430"", ""'replication success'!A:K""), 11, FAlSE)"),"failed")</f>
        <v>failed</v>
      </c>
      <c r="AZ1180" s="61" t="str">
        <f>IFERROR(__xludf.DUMMYFUNCTION("vlookup(BB1180,importrange(""https://docs.google.com/spreadsheets/d/1d2vevQ_7D_v35q4wCQ4RpQ_IPoTwEMB9Yp6ymwlPqew/edit?gid=984458430#gid=984458430"",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80" s="61" t="str">
        <f>IFERROR(__xludf.DUMMYFUNCTION("vlookup(BB1180,importrange(""https://docs.google.com/spreadsheets/d/1d2vevQ_7D_v35q4wCQ4RpQ_IPoTwEMB9Yp6ymwlPqew/edit?gid=984458430#gid=984458430"",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43041614")</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v>
      </c>
      <c r="BB1180" s="61" t="str">
        <f>IFERROR(__xludf.DUMMYFUNCTION("REGEXREPLACE(G1180, ""_[a-z]{1,2}$"", """")"),"Boyce_etal202393")</f>
        <v>Boyce_etal202393</v>
      </c>
      <c r="BD1180" s="129" t="s">
        <v>6485</v>
      </c>
    </row>
    <row r="1181">
      <c r="A1181" s="44">
        <v>1181.0</v>
      </c>
      <c r="B1181" s="129" t="s">
        <v>152</v>
      </c>
      <c r="C1181" s="62" t="s">
        <v>115</v>
      </c>
      <c r="D1181" s="62" t="s">
        <v>145</v>
      </c>
      <c r="F1181" s="68" t="s">
        <v>6520</v>
      </c>
      <c r="G1181" s="57" t="s">
        <v>6521</v>
      </c>
      <c r="H1181" s="159" t="s">
        <v>5592</v>
      </c>
      <c r="I1181" s="152">
        <v>45692.0</v>
      </c>
      <c r="J1181" s="529">
        <v>45692.0</v>
      </c>
      <c r="K1181" s="68"/>
      <c r="L1181" s="129" t="s">
        <v>6522</v>
      </c>
      <c r="M1181" s="159" t="s">
        <v>6523</v>
      </c>
      <c r="N1181" s="151" t="s">
        <v>6524</v>
      </c>
      <c r="O1181" s="156">
        <v>1.0</v>
      </c>
      <c r="P1181" s="159" t="str">
        <f t="shared" si="74"/>
        <v>10.1037--a0032108.pdf</v>
      </c>
      <c r="Q1181" s="108" t="str">
        <f t="array" ref="Q1181"> if(iserror(MATCH(V1181, 'File Links'!C:C, 0)), "N/A", HYPERLINK(INDEX('File Links'!B:B, MATCH(P1181, 'File Links'!C:C, 0))))</f>
        <v>#N/A</v>
      </c>
      <c r="R1181" s="159" t="s">
        <v>3653</v>
      </c>
      <c r="S1181" s="159" t="s">
        <v>3654</v>
      </c>
      <c r="T1181" s="441" t="s">
        <v>138</v>
      </c>
      <c r="U1181" s="129" t="s">
        <v>138</v>
      </c>
      <c r="V1181" s="198" t="str">
        <f t="shared" si="57"/>
        <v>10.1098--rsos.231240.pdf</v>
      </c>
      <c r="W1181" s="159" t="s">
        <v>324</v>
      </c>
      <c r="X1181" s="54" t="str">
        <f t="array" ref="X1181"> if(iserror(MATCH(V1181, 'File Links'!C:C, 0)), "N/A", HYPERLINK(INDEX('File Links'!B:B, MATCH(V1181, 'File Links'!C:C, 0))))</f>
        <v>https://drive.google.com/file/d/17gaf2Zy_ljFfcAEDk5L8GBnTl5i7RGJE/view?usp=drivesdk</v>
      </c>
      <c r="Y1181" s="68"/>
      <c r="Z1181" s="159" t="s">
        <v>148</v>
      </c>
      <c r="AA1181" s="374" t="s">
        <v>138</v>
      </c>
      <c r="AB1181" s="159" t="s">
        <v>6525</v>
      </c>
      <c r="AC1181" s="159" t="s">
        <v>6526</v>
      </c>
      <c r="AD1181" s="129" t="s">
        <v>6527</v>
      </c>
      <c r="AE1181" s="1372" t="s">
        <v>1255</v>
      </c>
      <c r="AF1181" s="1117">
        <v>59.0</v>
      </c>
      <c r="AG1181" s="161" t="s">
        <v>6528</v>
      </c>
      <c r="AH1181" s="151" t="s">
        <v>134</v>
      </c>
      <c r="AI1181" s="129" t="s">
        <v>1255</v>
      </c>
      <c r="AJ1181" s="1372">
        <v>0.07</v>
      </c>
      <c r="AK1181" s="61" t="s">
        <v>172</v>
      </c>
      <c r="AL1181" s="61" t="s">
        <v>186</v>
      </c>
      <c r="AM1181" s="68" t="s">
        <v>137</v>
      </c>
      <c r="AN1181" s="129" t="s">
        <v>138</v>
      </c>
      <c r="AO1181" s="156">
        <v>48.0</v>
      </c>
      <c r="AP1181" s="156">
        <v>0.6884827599</v>
      </c>
      <c r="AQ1181" s="159" t="s">
        <v>173</v>
      </c>
      <c r="AR1181" s="129" t="s">
        <v>5604</v>
      </c>
      <c r="AS1181" s="336">
        <v>0.0226713058255987</v>
      </c>
      <c r="AT1181" s="68" t="s">
        <v>172</v>
      </c>
      <c r="AU1181" s="68" t="s">
        <v>186</v>
      </c>
      <c r="AV1181" s="68" t="s">
        <v>137</v>
      </c>
      <c r="AW1181" s="1337" t="s">
        <v>138</v>
      </c>
      <c r="AX1181" s="594" t="s">
        <v>143</v>
      </c>
      <c r="AY1181" s="61" t="str">
        <f>IFERROR(__xludf.DUMMYFUNCTION("vlookup(BB1181,importrange(""https://docs.google.com/spreadsheets/d/1d2vevQ_7D_v35q4wCQ4RpQ_IPoTwEMB9Yp6ymwlPqew/edit?gid=984458430#gid=984458430"", ""'replication success'!A:K""), 11, FAlSE)"),"successful")</f>
        <v>successful</v>
      </c>
      <c r="AZ1181" s="61" t="str">
        <f>IFERROR(__xludf.DUMMYFUNCTION("vlookup(BB1181,importrange(""https://docs.google.com/spreadsheets/d/1d2vevQ_7D_v35q4wCQ4RpQ_IPoTwEMB9Yp6ymwlPqew/edit?gid=984458430#gid=984458430"",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81" s="61" t="str">
        <f>IFERROR(__xludf.DUMMYFUNCTION("vlookup(BB1181,importrange(""https://docs.google.com/spreadsheets/d/1d2vevQ_7D_v35q4wCQ4RpQ_IPoTwEMB9Yp6ymwlPqew/edit?gid=984458430#gid=984458430"",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v>
      </c>
      <c r="BB1181" s="61" t="str">
        <f>IFERROR(__xludf.DUMMYFUNCTION("REGEXREPLACE(G1181, ""_[a-z]{1,2}$"", """")"),"Boyce_etal202394")</f>
        <v>Boyce_etal202394</v>
      </c>
      <c r="BD1181" s="129" t="s">
        <v>6485</v>
      </c>
    </row>
    <row r="1182">
      <c r="A1182" s="44">
        <v>1182.0</v>
      </c>
      <c r="B1182" s="129" t="s">
        <v>114</v>
      </c>
      <c r="C1182" s="62" t="s">
        <v>115</v>
      </c>
      <c r="D1182" s="62" t="s">
        <v>248</v>
      </c>
      <c r="F1182" s="57" t="s">
        <v>6520</v>
      </c>
      <c r="G1182" s="151" t="s">
        <v>6521</v>
      </c>
      <c r="H1182" s="159" t="s">
        <v>249</v>
      </c>
      <c r="I1182" s="152">
        <v>45667.0</v>
      </c>
      <c r="J1182" s="529">
        <v>45692.0</v>
      </c>
      <c r="K1182" s="159" t="s">
        <v>6529</v>
      </c>
      <c r="L1182" s="68"/>
      <c r="M1182" s="159" t="s">
        <v>6523</v>
      </c>
      <c r="N1182" s="151" t="s">
        <v>6524</v>
      </c>
      <c r="O1182" s="1370">
        <v>1.0</v>
      </c>
      <c r="P1182" s="159" t="str">
        <f t="shared" si="74"/>
        <v>10.1037--a0032108.pdf</v>
      </c>
      <c r="Q1182" s="108" t="str">
        <f t="array" ref="Q1182"> if(iserror(MATCH(V1182, 'File Links'!C:C, 0)), "N/A", HYPERLINK(INDEX('File Links'!B:B, MATCH(P1182, 'File Links'!C:C, 0))))</f>
        <v>#N/A</v>
      </c>
      <c r="R1182" s="159" t="s">
        <v>6530</v>
      </c>
      <c r="S1182" s="159" t="s">
        <v>3654</v>
      </c>
      <c r="T1182" s="441" t="s">
        <v>138</v>
      </c>
      <c r="U1182" s="129" t="s">
        <v>138</v>
      </c>
      <c r="V1182" s="198" t="str">
        <f t="shared" si="57"/>
        <v>10.1098--rsos.231240.pdf</v>
      </c>
      <c r="W1182" s="159" t="s">
        <v>324</v>
      </c>
      <c r="X1182" s="54" t="str">
        <f t="array" ref="X1182"> if(iserror(MATCH(V1182, 'File Links'!C:C, 0)), "N/A", HYPERLINK(INDEX('File Links'!B:B, MATCH(V1182, 'File Links'!C:C, 0))))</f>
        <v>https://drive.google.com/file/d/17gaf2Zy_ljFfcAEDk5L8GBnTl5i7RGJE/view?usp=drivesdk</v>
      </c>
      <c r="Y1182" s="68"/>
      <c r="Z1182" s="159" t="s">
        <v>148</v>
      </c>
      <c r="AA1182" s="68"/>
      <c r="AB1182" s="68"/>
      <c r="AC1182" s="68"/>
      <c r="AD1182" s="159" t="s">
        <v>6531</v>
      </c>
      <c r="AE1182" s="156">
        <v>105.0</v>
      </c>
      <c r="AF1182" s="156">
        <v>240.0</v>
      </c>
      <c r="AG1182" s="1059">
        <v>0.473887635970198</v>
      </c>
      <c r="AH1182" s="1060" t="s">
        <v>173</v>
      </c>
      <c r="AI1182" s="159" t="s">
        <v>1255</v>
      </c>
      <c r="AJ1182" s="709">
        <v>0.07</v>
      </c>
      <c r="AK1182" s="57" t="s">
        <v>172</v>
      </c>
      <c r="AL1182" s="57" t="s">
        <v>186</v>
      </c>
      <c r="AM1182" s="159" t="s">
        <v>137</v>
      </c>
      <c r="AN1182" s="129" t="s">
        <v>138</v>
      </c>
      <c r="AO1182" s="156">
        <v>48.0</v>
      </c>
      <c r="AP1182" s="156">
        <v>0.688482759870062</v>
      </c>
      <c r="AQ1182" s="159" t="s">
        <v>173</v>
      </c>
      <c r="AR1182" s="129" t="s">
        <v>5604</v>
      </c>
      <c r="AS1182" s="156">
        <v>0.0226713058255987</v>
      </c>
      <c r="AT1182" s="159" t="s">
        <v>172</v>
      </c>
      <c r="AU1182" s="159" t="s">
        <v>186</v>
      </c>
      <c r="AV1182" s="159" t="s">
        <v>137</v>
      </c>
      <c r="AW1182" s="1337" t="s">
        <v>138</v>
      </c>
      <c r="AX1182" s="680" t="s">
        <v>143</v>
      </c>
      <c r="AY1182" s="61" t="str">
        <f>IFERROR(__xludf.DUMMYFUNCTION("vlookup(BB1182,importrange(""https://docs.google.com/spreadsheets/d/1d2vevQ_7D_v35q4wCQ4RpQ_IPoTwEMB9Yp6ymwlPqew/edit?gid=984458430#gid=984458430"", ""'replication success'!A:K""), 11, FAlSE)"),"successful")</f>
        <v>successful</v>
      </c>
      <c r="AZ1182" s="61" t="str">
        <f>IFERROR(__xludf.DUMMYFUNCTION("vlookup(BB1182,importrange(""https://docs.google.com/spreadsheets/d/1d2vevQ_7D_v35q4wCQ4RpQ_IPoTwEMB9Yp6ymwlPqew/edit?gid=984458430#gid=984458430"", ""'replication success'!A:M""), 12, FAlSE)"),"1 [In figure 2, authors quantified subjective success on a more nuanced scale from 0, 0.25, 0.5, 0.75 and 1. I am coding 0 as 'failed', 1 as 'success' and anything inbetween as 'mixed']")</f>
        <v>1 [In figure 2, authors quantified subjective success on a more nuanced scale from 0, 0.25, 0.5, 0.75 and 1. I am coding 0 as 'failed', 1 as 'success' and anything inbetween as 'mixed']</v>
      </c>
      <c r="BA1182" s="61" t="str">
        <f>IFERROR(__xludf.DUMMYFUNCTION("vlookup(BB1182,importrange(""https://docs.google.com/spreadsheets/d/1d2vevQ_7D_v35q4wCQ4RpQ_IPoTwEMB9Yp6ymwlPqew/edit?gid=984458430#gid=984458430"",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43041615")</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v>
      </c>
      <c r="BB1182" s="61" t="str">
        <f>IFERROR(__xludf.DUMMYFUNCTION("REGEXREPLACE(G1182, ""_[a-z]{1,2}$"", """")"),"Boyce_etal202394")</f>
        <v>Boyce_etal202394</v>
      </c>
      <c r="BD1182" s="129" t="s">
        <v>6485</v>
      </c>
    </row>
    <row r="1183">
      <c r="A1183" s="44">
        <v>1183.0</v>
      </c>
      <c r="B1183" s="129" t="s">
        <v>152</v>
      </c>
      <c r="C1183" s="62" t="s">
        <v>115</v>
      </c>
      <c r="D1183" s="62" t="s">
        <v>145</v>
      </c>
      <c r="E1183" s="365"/>
      <c r="F1183" s="1313" t="s">
        <v>6532</v>
      </c>
      <c r="G1183" s="1314" t="s">
        <v>6533</v>
      </c>
      <c r="H1183" s="1315" t="s">
        <v>5592</v>
      </c>
      <c r="I1183" s="1316">
        <v>45692.0</v>
      </c>
      <c r="J1183" s="1317">
        <v>45692.0</v>
      </c>
      <c r="K1183" s="1313"/>
      <c r="L1183" s="1313" t="s">
        <v>5594</v>
      </c>
      <c r="M1183" s="1315" t="s">
        <v>6534</v>
      </c>
      <c r="N1183" s="1315" t="s">
        <v>6535</v>
      </c>
      <c r="O1183" s="1318">
        <v>1.0</v>
      </c>
      <c r="P1183" s="1315" t="s">
        <v>6536</v>
      </c>
      <c r="Q1183" s="52" t="str">
        <f t="array" ref="Q1183"> if(iserror(MATCH(V1183, 'File Links'!C:C, 0)), "N/A", HYPERLINK(INDEX('File Links'!B:B, MATCH(P1183, 'File Links'!C:C, 0))))</f>
        <v>https://drive.google.com/file/d/12yIYc8a3z4MzJ_-PiAeu39d1ppwYynMI/view?usp=drivesdk</v>
      </c>
      <c r="R1183" s="1315" t="s">
        <v>3653</v>
      </c>
      <c r="S1183" s="159" t="s">
        <v>3654</v>
      </c>
      <c r="T1183" s="780" t="s">
        <v>138</v>
      </c>
      <c r="U1183" s="147" t="s">
        <v>138</v>
      </c>
      <c r="V1183" s="198" t="str">
        <f t="shared" si="57"/>
        <v>10.1098--rsos.231240.pdf</v>
      </c>
      <c r="W1183" s="140" t="s">
        <v>3804</v>
      </c>
      <c r="X1183" s="54" t="str">
        <f t="array" ref="X1183"> if(iserror(MATCH(V1183, 'File Links'!C:C, 0)), "N/A", HYPERLINK(INDEX('File Links'!B:B, MATCH(V1183, 'File Links'!C:C, 0))))</f>
        <v>https://drive.google.com/file/d/17gaf2Zy_ljFfcAEDk5L8GBnTl5i7RGJE/view?usp=drivesdk</v>
      </c>
      <c r="Y1183" s="1313"/>
      <c r="Z1183" s="1315" t="s">
        <v>226</v>
      </c>
      <c r="AA1183" s="1313" t="s">
        <v>1535</v>
      </c>
      <c r="AB1183" s="1313" t="s">
        <v>6537</v>
      </c>
      <c r="AC1183" s="1315" t="s">
        <v>6538</v>
      </c>
      <c r="AD1183" s="1313" t="s">
        <v>6539</v>
      </c>
      <c r="AE1183" s="1341">
        <v>4.0</v>
      </c>
      <c r="AF1183" s="1318">
        <v>110.0</v>
      </c>
      <c r="AG1183" s="1341">
        <v>0.62</v>
      </c>
      <c r="AH1183" s="1313" t="s">
        <v>173</v>
      </c>
      <c r="AI1183" s="1313" t="s">
        <v>850</v>
      </c>
      <c r="AJ1183" s="1345">
        <v>0.001</v>
      </c>
      <c r="AK1183" s="1321" t="s">
        <v>172</v>
      </c>
      <c r="AL1183" s="1321" t="s">
        <v>186</v>
      </c>
      <c r="AM1183" s="1313" t="s">
        <v>137</v>
      </c>
      <c r="AN1183" s="1322" t="s">
        <v>138</v>
      </c>
      <c r="AO1183" s="1318">
        <v>98.0</v>
      </c>
      <c r="AP1183" s="1341">
        <v>0.743298262941807</v>
      </c>
      <c r="AQ1183" s="1313" t="s">
        <v>173</v>
      </c>
      <c r="AR1183" s="1322" t="s">
        <v>5604</v>
      </c>
      <c r="AS1183" s="1341">
        <v>0.00994269298</v>
      </c>
      <c r="AT1183" s="1313" t="s">
        <v>172</v>
      </c>
      <c r="AU1183" s="1313" t="s">
        <v>186</v>
      </c>
      <c r="AV1183" s="1313" t="s">
        <v>137</v>
      </c>
      <c r="AW1183" s="1323" t="s">
        <v>138</v>
      </c>
      <c r="AX1183" s="1339" t="s">
        <v>143</v>
      </c>
      <c r="AY1183" s="61" t="str">
        <f>IFERROR(__xludf.DUMMYFUNCTION("vlookup(BB1183,importrange(""https://docs.google.com/spreadsheets/d/1d2vevQ_7D_v35q4wCQ4RpQ_IPoTwEMB9Yp6ymwlPqew/edit?gid=984458430#gid=984458430"", ""'replication success'!A:K""), 11, FAlSE)"),"mixed")</f>
        <v>mixed</v>
      </c>
      <c r="AZ1183" s="61" t="str">
        <f>IFERROR(__xludf.DUMMYFUNCTION("vlookup(BB1183,importrange(""https://docs.google.com/spreadsheets/d/1d2vevQ_7D_v35q4wCQ4RpQ_IPoTwEMB9Yp6ymwlPqew/edit?gid=984458430#gid=984458430"",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3" s="61" t="str">
        <f>IFERROR(__xludf.DUMMYFUNCTION("vlookup(BB1183,importrange(""https://docs.google.com/spreadsheets/d/1d2vevQ_7D_v35q4wCQ4RpQ_IPoTwEMB9Yp6ymwlPqew/edit?gid=984458430#gid=984458430"",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3" s="61" t="str">
        <f>IFERROR(__xludf.DUMMYFUNCTION("REGEXREPLACE(G1183, ""_[a-z]{1,2}$"", """")"),"Boyce_etal202395")</f>
        <v>Boyce_etal202395</v>
      </c>
      <c r="BD1183" s="1322" t="s">
        <v>5605</v>
      </c>
    </row>
    <row r="1184">
      <c r="A1184" s="44">
        <v>1184.0</v>
      </c>
      <c r="B1184" s="68" t="s">
        <v>590</v>
      </c>
      <c r="C1184" s="62" t="s">
        <v>115</v>
      </c>
      <c r="D1184" s="62" t="s">
        <v>145</v>
      </c>
      <c r="E1184" s="365"/>
      <c r="F1184" s="1313" t="s">
        <v>6532</v>
      </c>
      <c r="G1184" s="1314" t="s">
        <v>6540</v>
      </c>
      <c r="H1184" s="1315" t="s">
        <v>5592</v>
      </c>
      <c r="I1184" s="1316">
        <v>45692.0</v>
      </c>
      <c r="J1184" s="1317">
        <v>45692.0</v>
      </c>
      <c r="K1184" s="1313"/>
      <c r="L1184" s="1313" t="s">
        <v>6541</v>
      </c>
      <c r="M1184" s="1315" t="s">
        <v>6534</v>
      </c>
      <c r="N1184" s="1315" t="s">
        <v>6535</v>
      </c>
      <c r="O1184" s="1318">
        <v>1.0</v>
      </c>
      <c r="P1184" s="1315" t="s">
        <v>6536</v>
      </c>
      <c r="Q1184" s="52" t="str">
        <f t="array" ref="Q1184"> if(iserror(MATCH(V1184, 'File Links'!C:C, 0)), "N/A", HYPERLINK(INDEX('File Links'!B:B, MATCH(P1184, 'File Links'!C:C, 0))))</f>
        <v>https://drive.google.com/file/d/12yIYc8a3z4MzJ_-PiAeu39d1ppwYynMI/view?usp=drivesdk</v>
      </c>
      <c r="R1184" s="1315" t="s">
        <v>3653</v>
      </c>
      <c r="S1184" s="159" t="s">
        <v>3654</v>
      </c>
      <c r="T1184" s="780" t="s">
        <v>138</v>
      </c>
      <c r="U1184" s="147" t="s">
        <v>138</v>
      </c>
      <c r="V1184" s="198" t="str">
        <f t="shared" si="57"/>
        <v>10.1098--rsos.231240.pdf</v>
      </c>
      <c r="W1184" s="140" t="s">
        <v>3804</v>
      </c>
      <c r="X1184" s="54" t="str">
        <f t="array" ref="X1184"> if(iserror(MATCH(V1184, 'File Links'!C:C, 0)), "N/A", HYPERLINK(INDEX('File Links'!B:B, MATCH(V1184, 'File Links'!C:C, 0))))</f>
        <v>https://drive.google.com/file/d/17gaf2Zy_ljFfcAEDk5L8GBnTl5i7RGJE/view?usp=drivesdk</v>
      </c>
      <c r="Y1184" s="1313"/>
      <c r="Z1184" s="1315" t="s">
        <v>226</v>
      </c>
      <c r="AA1184" s="1313" t="s">
        <v>1535</v>
      </c>
      <c r="AB1184" s="1313" t="s">
        <v>6537</v>
      </c>
      <c r="AC1184" s="1315" t="s">
        <v>6542</v>
      </c>
      <c r="AD1184" s="1313" t="s">
        <v>6543</v>
      </c>
      <c r="AE1184" s="1341">
        <v>4.0</v>
      </c>
      <c r="AF1184" s="1318">
        <v>110.0</v>
      </c>
      <c r="AG1184" s="1341">
        <v>0.67</v>
      </c>
      <c r="AH1184" s="1313" t="s">
        <v>173</v>
      </c>
      <c r="AI1184" s="1313" t="s">
        <v>850</v>
      </c>
      <c r="AJ1184" s="1345">
        <v>0.001</v>
      </c>
      <c r="AK1184" s="1321" t="s">
        <v>135</v>
      </c>
      <c r="AL1184" s="1321" t="s">
        <v>186</v>
      </c>
      <c r="AM1184" s="1313" t="s">
        <v>137</v>
      </c>
      <c r="AN1184" s="1322" t="s">
        <v>138</v>
      </c>
      <c r="AO1184" s="1318">
        <v>98.0</v>
      </c>
      <c r="AP1184" s="1341">
        <v>0.743298262941807</v>
      </c>
      <c r="AQ1184" s="1313" t="s">
        <v>173</v>
      </c>
      <c r="AR1184" s="1322" t="s">
        <v>5604</v>
      </c>
      <c r="AS1184" s="1341">
        <v>0.00994269298</v>
      </c>
      <c r="AT1184" s="1313" t="s">
        <v>172</v>
      </c>
      <c r="AU1184" s="1313" t="s">
        <v>186</v>
      </c>
      <c r="AV1184" s="1313" t="s">
        <v>137</v>
      </c>
      <c r="AW1184" s="1323" t="s">
        <v>138</v>
      </c>
      <c r="AX1184" s="1339" t="s">
        <v>143</v>
      </c>
      <c r="AY1184" s="61" t="str">
        <f>IFERROR(__xludf.DUMMYFUNCTION("vlookup(BB1184,importrange(""https://docs.google.com/spreadsheets/d/1d2vevQ_7D_v35q4wCQ4RpQ_IPoTwEMB9Yp6ymwlPqew/edit?gid=984458430#gid=984458430"", ""'replication success'!A:K""), 11, FAlSE)"),"mixed")</f>
        <v>mixed</v>
      </c>
      <c r="AZ1184" s="61" t="str">
        <f>IFERROR(__xludf.DUMMYFUNCTION("vlookup(BB1184,importrange(""https://docs.google.com/spreadsheets/d/1d2vevQ_7D_v35q4wCQ4RpQ_IPoTwEMB9Yp6ymwlPqew/edit?gid=984458430#gid=984458430"",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4" s="61" t="str">
        <f>IFERROR(__xludf.DUMMYFUNCTION("vlookup(BB1184,importrange(""https://docs.google.com/spreadsheets/d/1d2vevQ_7D_v35q4wCQ4RpQ_IPoTwEMB9Yp6ymwlPqew/edit?gid=984458430#gid=984458430"",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4" s="61" t="str">
        <f>IFERROR(__xludf.DUMMYFUNCTION("REGEXREPLACE(G1184, ""_[a-z]{1,2}$"", """")"),"Boyce_etal202395")</f>
        <v>Boyce_etal202395</v>
      </c>
      <c r="BD1184" s="1322" t="s">
        <v>5605</v>
      </c>
    </row>
    <row r="1185">
      <c r="A1185" s="44">
        <v>1185.0</v>
      </c>
      <c r="B1185" s="68" t="s">
        <v>590</v>
      </c>
      <c r="C1185" s="62" t="s">
        <v>115</v>
      </c>
      <c r="D1185" s="62" t="s">
        <v>145</v>
      </c>
      <c r="E1185" s="365"/>
      <c r="F1185" s="1313" t="s">
        <v>6532</v>
      </c>
      <c r="G1185" s="1314" t="s">
        <v>6544</v>
      </c>
      <c r="H1185" s="1315" t="s">
        <v>5592</v>
      </c>
      <c r="I1185" s="1316">
        <v>45692.0</v>
      </c>
      <c r="J1185" s="1317">
        <v>45692.0</v>
      </c>
      <c r="K1185" s="1313"/>
      <c r="L1185" s="1313" t="s">
        <v>6541</v>
      </c>
      <c r="M1185" s="1315" t="s">
        <v>6534</v>
      </c>
      <c r="N1185" s="1315" t="s">
        <v>6535</v>
      </c>
      <c r="O1185" s="1318">
        <v>1.0</v>
      </c>
      <c r="P1185" s="1315" t="s">
        <v>6536</v>
      </c>
      <c r="Q1185" s="52" t="str">
        <f t="array" ref="Q1185"> if(iserror(MATCH(V1185, 'File Links'!C:C, 0)), "N/A", HYPERLINK(INDEX('File Links'!B:B, MATCH(P1185, 'File Links'!C:C, 0))))</f>
        <v>https://drive.google.com/file/d/12yIYc8a3z4MzJ_-PiAeu39d1ppwYynMI/view?usp=drivesdk</v>
      </c>
      <c r="R1185" s="1315" t="s">
        <v>3653</v>
      </c>
      <c r="S1185" s="159" t="s">
        <v>3654</v>
      </c>
      <c r="T1185" s="780" t="s">
        <v>138</v>
      </c>
      <c r="U1185" s="147" t="s">
        <v>138</v>
      </c>
      <c r="V1185" s="198" t="str">
        <f t="shared" si="57"/>
        <v>10.1098--rsos.231240.pdf</v>
      </c>
      <c r="W1185" s="140" t="s">
        <v>3804</v>
      </c>
      <c r="X1185" s="54" t="str">
        <f t="array" ref="X1185"> if(iserror(MATCH(V1185, 'File Links'!C:C, 0)), "N/A", HYPERLINK(INDEX('File Links'!B:B, MATCH(V1185, 'File Links'!C:C, 0))))</f>
        <v>https://drive.google.com/file/d/17gaf2Zy_ljFfcAEDk5L8GBnTl5i7RGJE/view?usp=drivesdk</v>
      </c>
      <c r="Y1185" s="1313"/>
      <c r="Z1185" s="1315" t="s">
        <v>226</v>
      </c>
      <c r="AA1185" s="1313" t="s">
        <v>1535</v>
      </c>
      <c r="AB1185" s="1313" t="s">
        <v>6537</v>
      </c>
      <c r="AC1185" s="1315" t="s">
        <v>6545</v>
      </c>
      <c r="AD1185" s="1313" t="s">
        <v>6546</v>
      </c>
      <c r="AE1185" s="1341">
        <v>4.0</v>
      </c>
      <c r="AF1185" s="1318">
        <v>110.0</v>
      </c>
      <c r="AG1185" s="1341">
        <v>0.47</v>
      </c>
      <c r="AH1185" s="1313" t="s">
        <v>173</v>
      </c>
      <c r="AI1185" s="1313" t="s">
        <v>850</v>
      </c>
      <c r="AJ1185" s="1345">
        <v>0.01</v>
      </c>
      <c r="AK1185" s="1321" t="s">
        <v>172</v>
      </c>
      <c r="AL1185" s="1321" t="s">
        <v>186</v>
      </c>
      <c r="AM1185" s="1313" t="s">
        <v>137</v>
      </c>
      <c r="AN1185" s="1322" t="s">
        <v>138</v>
      </c>
      <c r="AO1185" s="1318">
        <v>98.0</v>
      </c>
      <c r="AP1185" s="1341">
        <v>0.743298262941807</v>
      </c>
      <c r="AQ1185" s="1313" t="s">
        <v>173</v>
      </c>
      <c r="AR1185" s="1322" t="s">
        <v>5604</v>
      </c>
      <c r="AS1185" s="1341">
        <v>0.00994269298</v>
      </c>
      <c r="AT1185" s="1313" t="s">
        <v>172</v>
      </c>
      <c r="AU1185" s="1313" t="s">
        <v>186</v>
      </c>
      <c r="AV1185" s="1313" t="s">
        <v>137</v>
      </c>
      <c r="AW1185" s="1323" t="s">
        <v>138</v>
      </c>
      <c r="AX1185" s="1339" t="s">
        <v>143</v>
      </c>
      <c r="AY1185" s="61" t="str">
        <f>IFERROR(__xludf.DUMMYFUNCTION("vlookup(BB1185,importrange(""https://docs.google.com/spreadsheets/d/1d2vevQ_7D_v35q4wCQ4RpQ_IPoTwEMB9Yp6ymwlPqew/edit?gid=984458430#gid=984458430"", ""'replication success'!A:K""), 11, FAlSE)"),"mixed")</f>
        <v>mixed</v>
      </c>
      <c r="AZ1185" s="61" t="str">
        <f>IFERROR(__xludf.DUMMYFUNCTION("vlookup(BB1185,importrange(""https://docs.google.com/spreadsheets/d/1d2vevQ_7D_v35q4wCQ4RpQ_IPoTwEMB9Yp6ymwlPqew/edit?gid=984458430#gid=984458430"",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5" s="61" t="str">
        <f>IFERROR(__xludf.DUMMYFUNCTION("vlookup(BB1185,importrange(""https://docs.google.com/spreadsheets/d/1d2vevQ_7D_v35q4wCQ4RpQ_IPoTwEMB9Yp6ymwlPqew/edit?gid=984458430#gid=984458430"",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5" s="61" t="str">
        <f>IFERROR(__xludf.DUMMYFUNCTION("REGEXREPLACE(G1185, ""_[a-z]{1,2}$"", """")"),"Boyce_etal202395")</f>
        <v>Boyce_etal202395</v>
      </c>
      <c r="BD1185" s="1322" t="s">
        <v>5605</v>
      </c>
    </row>
    <row r="1186">
      <c r="A1186" s="44">
        <v>1186.0</v>
      </c>
      <c r="B1186" s="68" t="s">
        <v>590</v>
      </c>
      <c r="C1186" s="62" t="s">
        <v>115</v>
      </c>
      <c r="D1186" s="62" t="s">
        <v>145</v>
      </c>
      <c r="E1186" s="365"/>
      <c r="F1186" s="1313" t="s">
        <v>6532</v>
      </c>
      <c r="G1186" s="1314" t="s">
        <v>6547</v>
      </c>
      <c r="H1186" s="1315" t="s">
        <v>5592</v>
      </c>
      <c r="I1186" s="1316">
        <v>45692.0</v>
      </c>
      <c r="J1186" s="1317">
        <v>45692.0</v>
      </c>
      <c r="K1186" s="1313"/>
      <c r="L1186" s="1313" t="s">
        <v>6541</v>
      </c>
      <c r="M1186" s="1315" t="s">
        <v>6534</v>
      </c>
      <c r="N1186" s="1315" t="s">
        <v>6535</v>
      </c>
      <c r="O1186" s="1318">
        <v>1.0</v>
      </c>
      <c r="P1186" s="1315" t="s">
        <v>6536</v>
      </c>
      <c r="Q1186" s="52" t="str">
        <f t="array" ref="Q1186"> if(iserror(MATCH(V1186, 'File Links'!C:C, 0)), "N/A", HYPERLINK(INDEX('File Links'!B:B, MATCH(P1186, 'File Links'!C:C, 0))))</f>
        <v>https://drive.google.com/file/d/12yIYc8a3z4MzJ_-PiAeu39d1ppwYynMI/view?usp=drivesdk</v>
      </c>
      <c r="R1186" s="1315" t="s">
        <v>3653</v>
      </c>
      <c r="S1186" s="159" t="s">
        <v>3654</v>
      </c>
      <c r="T1186" s="780" t="s">
        <v>138</v>
      </c>
      <c r="U1186" s="147" t="s">
        <v>138</v>
      </c>
      <c r="V1186" s="198" t="str">
        <f t="shared" si="57"/>
        <v>10.1098--rsos.231240.pdf</v>
      </c>
      <c r="W1186" s="140" t="s">
        <v>3804</v>
      </c>
      <c r="X1186" s="54" t="str">
        <f t="array" ref="X1186"> if(iserror(MATCH(V1186, 'File Links'!C:C, 0)), "N/A", HYPERLINK(INDEX('File Links'!B:B, MATCH(V1186, 'File Links'!C:C, 0))))</f>
        <v>https://drive.google.com/file/d/17gaf2Zy_ljFfcAEDk5L8GBnTl5i7RGJE/view?usp=drivesdk</v>
      </c>
      <c r="Y1186" s="1313"/>
      <c r="Z1186" s="1315" t="s">
        <v>226</v>
      </c>
      <c r="AA1186" s="1313" t="s">
        <v>1535</v>
      </c>
      <c r="AB1186" s="1313" t="s">
        <v>6537</v>
      </c>
      <c r="AC1186" s="1315" t="s">
        <v>6548</v>
      </c>
      <c r="AD1186" s="1313" t="s">
        <v>6549</v>
      </c>
      <c r="AE1186" s="1341">
        <v>4.0</v>
      </c>
      <c r="AF1186" s="1318">
        <v>110.0</v>
      </c>
      <c r="AG1186" s="1341">
        <v>0.61</v>
      </c>
      <c r="AH1186" s="1313" t="s">
        <v>173</v>
      </c>
      <c r="AI1186" s="1313" t="s">
        <v>850</v>
      </c>
      <c r="AJ1186" s="1345">
        <v>0.001</v>
      </c>
      <c r="AK1186" s="1321" t="s">
        <v>172</v>
      </c>
      <c r="AL1186" s="1321" t="s">
        <v>186</v>
      </c>
      <c r="AM1186" s="1313" t="s">
        <v>137</v>
      </c>
      <c r="AN1186" s="1322" t="s">
        <v>138</v>
      </c>
      <c r="AO1186" s="1318">
        <v>98.0</v>
      </c>
      <c r="AP1186" s="1341">
        <v>0.743298262941807</v>
      </c>
      <c r="AQ1186" s="1313" t="s">
        <v>173</v>
      </c>
      <c r="AR1186" s="1322" t="s">
        <v>5604</v>
      </c>
      <c r="AS1186" s="1341">
        <v>0.00994269298</v>
      </c>
      <c r="AT1186" s="1313" t="s">
        <v>172</v>
      </c>
      <c r="AU1186" s="1313" t="s">
        <v>186</v>
      </c>
      <c r="AV1186" s="1313" t="s">
        <v>137</v>
      </c>
      <c r="AW1186" s="1323" t="s">
        <v>138</v>
      </c>
      <c r="AX1186" s="1339" t="s">
        <v>143</v>
      </c>
      <c r="AY1186" s="61" t="str">
        <f>IFERROR(__xludf.DUMMYFUNCTION("vlookup(BB1186,importrange(""https://docs.google.com/spreadsheets/d/1d2vevQ_7D_v35q4wCQ4RpQ_IPoTwEMB9Yp6ymwlPqew/edit?gid=984458430#gid=984458430"", ""'replication success'!A:K""), 11, FAlSE)"),"mixed")</f>
        <v>mixed</v>
      </c>
      <c r="AZ1186" s="61" t="str">
        <f>IFERROR(__xludf.DUMMYFUNCTION("vlookup(BB1186,importrange(""https://docs.google.com/spreadsheets/d/1d2vevQ_7D_v35q4wCQ4RpQ_IPoTwEMB9Yp6ymwlPqew/edit?gid=984458430#gid=984458430"",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6" s="61" t="str">
        <f>IFERROR(__xludf.DUMMYFUNCTION("vlookup(BB1186,importrange(""https://docs.google.com/spreadsheets/d/1d2vevQ_7D_v35q4wCQ4RpQ_IPoTwEMB9Yp6ymwlPqew/edit?gid=984458430#gid=984458430"",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6" s="61" t="str">
        <f>IFERROR(__xludf.DUMMYFUNCTION("REGEXREPLACE(G1186, ""_[a-z]{1,2}$"", """")"),"Boyce_etal202395")</f>
        <v>Boyce_etal202395</v>
      </c>
      <c r="BD1186" s="1322" t="s">
        <v>5605</v>
      </c>
    </row>
    <row r="1187">
      <c r="A1187" s="44">
        <v>1187.0</v>
      </c>
      <c r="B1187" s="68" t="s">
        <v>590</v>
      </c>
      <c r="C1187" s="62" t="s">
        <v>115</v>
      </c>
      <c r="D1187" s="62" t="s">
        <v>145</v>
      </c>
      <c r="E1187" s="365"/>
      <c r="F1187" s="1313" t="s">
        <v>6532</v>
      </c>
      <c r="G1187" s="1314" t="s">
        <v>6550</v>
      </c>
      <c r="H1187" s="1315" t="s">
        <v>5592</v>
      </c>
      <c r="I1187" s="1316">
        <v>45692.0</v>
      </c>
      <c r="J1187" s="1317">
        <v>45692.0</v>
      </c>
      <c r="K1187" s="1313"/>
      <c r="L1187" s="1313" t="s">
        <v>6541</v>
      </c>
      <c r="M1187" s="1315" t="s">
        <v>6534</v>
      </c>
      <c r="N1187" s="1315" t="s">
        <v>6535</v>
      </c>
      <c r="O1187" s="1318">
        <v>1.0</v>
      </c>
      <c r="P1187" s="1315" t="s">
        <v>6536</v>
      </c>
      <c r="Q1187" s="52" t="str">
        <f t="array" ref="Q1187"> if(iserror(MATCH(V1187, 'File Links'!C:C, 0)), "N/A", HYPERLINK(INDEX('File Links'!B:B, MATCH(P1187, 'File Links'!C:C, 0))))</f>
        <v>https://drive.google.com/file/d/12yIYc8a3z4MzJ_-PiAeu39d1ppwYynMI/view?usp=drivesdk</v>
      </c>
      <c r="R1187" s="1315" t="s">
        <v>3653</v>
      </c>
      <c r="S1187" s="159" t="s">
        <v>3654</v>
      </c>
      <c r="T1187" s="780" t="s">
        <v>138</v>
      </c>
      <c r="U1187" s="147" t="s">
        <v>138</v>
      </c>
      <c r="V1187" s="198" t="str">
        <f t="shared" si="57"/>
        <v>10.1098--rsos.231240.pdf</v>
      </c>
      <c r="W1187" s="140" t="s">
        <v>3804</v>
      </c>
      <c r="X1187" s="54" t="str">
        <f t="array" ref="X1187"> if(iserror(MATCH(V1187, 'File Links'!C:C, 0)), "N/A", HYPERLINK(INDEX('File Links'!B:B, MATCH(V1187, 'File Links'!C:C, 0))))</f>
        <v>https://drive.google.com/file/d/17gaf2Zy_ljFfcAEDk5L8GBnTl5i7RGJE/view?usp=drivesdk</v>
      </c>
      <c r="Y1187" s="1313"/>
      <c r="Z1187" s="1315" t="s">
        <v>226</v>
      </c>
      <c r="AA1187" s="1313" t="s">
        <v>1535</v>
      </c>
      <c r="AB1187" s="1313" t="s">
        <v>6537</v>
      </c>
      <c r="AC1187" s="1315" t="s">
        <v>6551</v>
      </c>
      <c r="AD1187" s="1313" t="s">
        <v>6552</v>
      </c>
      <c r="AE1187" s="1341">
        <v>4.0</v>
      </c>
      <c r="AF1187" s="1318">
        <v>110.0</v>
      </c>
      <c r="AG1187" s="1341">
        <v>0.64</v>
      </c>
      <c r="AH1187" s="1313" t="s">
        <v>173</v>
      </c>
      <c r="AI1187" s="1313" t="s">
        <v>850</v>
      </c>
      <c r="AJ1187" s="1345">
        <v>0.001</v>
      </c>
      <c r="AK1187" s="1321" t="s">
        <v>135</v>
      </c>
      <c r="AL1187" s="1321" t="s">
        <v>186</v>
      </c>
      <c r="AM1187" s="1313" t="s">
        <v>137</v>
      </c>
      <c r="AN1187" s="1322" t="s">
        <v>138</v>
      </c>
      <c r="AO1187" s="1318">
        <v>98.0</v>
      </c>
      <c r="AP1187" s="1341">
        <v>0.743298262941807</v>
      </c>
      <c r="AQ1187" s="1313" t="s">
        <v>173</v>
      </c>
      <c r="AR1187" s="1322" t="s">
        <v>5604</v>
      </c>
      <c r="AS1187" s="1341">
        <v>0.00994269298</v>
      </c>
      <c r="AT1187" s="1313" t="s">
        <v>172</v>
      </c>
      <c r="AU1187" s="1313" t="s">
        <v>186</v>
      </c>
      <c r="AV1187" s="1313" t="s">
        <v>137</v>
      </c>
      <c r="AW1187" s="1323" t="s">
        <v>138</v>
      </c>
      <c r="AX1187" s="1339" t="s">
        <v>143</v>
      </c>
      <c r="AY1187" s="61" t="str">
        <f>IFERROR(__xludf.DUMMYFUNCTION("vlookup(BB1187,importrange(""https://docs.google.com/spreadsheets/d/1d2vevQ_7D_v35q4wCQ4RpQ_IPoTwEMB9Yp6ymwlPqew/edit?gid=984458430#gid=984458430"", ""'replication success'!A:K""), 11, FAlSE)"),"mixed")</f>
        <v>mixed</v>
      </c>
      <c r="AZ1187" s="61" t="str">
        <f>IFERROR(__xludf.DUMMYFUNCTION("vlookup(BB1187,importrange(""https://docs.google.com/spreadsheets/d/1d2vevQ_7D_v35q4wCQ4RpQ_IPoTwEMB9Yp6ymwlPqew/edit?gid=984458430#gid=984458430"",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7" s="61" t="str">
        <f>IFERROR(__xludf.DUMMYFUNCTION("vlookup(BB1187,importrange(""https://docs.google.com/spreadsheets/d/1d2vevQ_7D_v35q4wCQ4RpQ_IPoTwEMB9Yp6ymwlPqew/edit?gid=984458430#gid=984458430"",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7" s="61" t="str">
        <f>IFERROR(__xludf.DUMMYFUNCTION("REGEXREPLACE(G1187, ""_[a-z]{1,2}$"", """")"),"Boyce_etal202395")</f>
        <v>Boyce_etal202395</v>
      </c>
      <c r="BD1187" s="1322" t="s">
        <v>5605</v>
      </c>
    </row>
    <row r="1188">
      <c r="A1188" s="44">
        <v>1188.0</v>
      </c>
      <c r="B1188" s="68" t="s">
        <v>590</v>
      </c>
      <c r="C1188" s="62" t="s">
        <v>115</v>
      </c>
      <c r="D1188" s="62" t="s">
        <v>145</v>
      </c>
      <c r="E1188" s="365"/>
      <c r="F1188" s="1313" t="s">
        <v>6532</v>
      </c>
      <c r="G1188" s="1314" t="s">
        <v>6553</v>
      </c>
      <c r="H1188" s="1315" t="s">
        <v>5592</v>
      </c>
      <c r="I1188" s="1316">
        <v>45692.0</v>
      </c>
      <c r="J1188" s="1317">
        <v>45692.0</v>
      </c>
      <c r="K1188" s="1313"/>
      <c r="L1188" s="1313" t="s">
        <v>6541</v>
      </c>
      <c r="M1188" s="1315" t="s">
        <v>6534</v>
      </c>
      <c r="N1188" s="1315" t="s">
        <v>6535</v>
      </c>
      <c r="O1188" s="1318">
        <v>1.0</v>
      </c>
      <c r="P1188" s="1315" t="s">
        <v>6536</v>
      </c>
      <c r="Q1188" s="52" t="str">
        <f t="array" ref="Q1188"> if(iserror(MATCH(V1188, 'File Links'!C:C, 0)), "N/A", HYPERLINK(INDEX('File Links'!B:B, MATCH(P1188, 'File Links'!C:C, 0))))</f>
        <v>https://drive.google.com/file/d/12yIYc8a3z4MzJ_-PiAeu39d1ppwYynMI/view?usp=drivesdk</v>
      </c>
      <c r="R1188" s="1315" t="s">
        <v>3653</v>
      </c>
      <c r="S1188" s="159" t="s">
        <v>3654</v>
      </c>
      <c r="T1188" s="780" t="s">
        <v>138</v>
      </c>
      <c r="U1188" s="147" t="s">
        <v>138</v>
      </c>
      <c r="V1188" s="198" t="str">
        <f t="shared" si="57"/>
        <v>10.1098--rsos.231240.pdf</v>
      </c>
      <c r="W1188" s="140" t="s">
        <v>3804</v>
      </c>
      <c r="X1188" s="54" t="str">
        <f t="array" ref="X1188"> if(iserror(MATCH(V1188, 'File Links'!C:C, 0)), "N/A", HYPERLINK(INDEX('File Links'!B:B, MATCH(V1188, 'File Links'!C:C, 0))))</f>
        <v>https://drive.google.com/file/d/17gaf2Zy_ljFfcAEDk5L8GBnTl5i7RGJE/view?usp=drivesdk</v>
      </c>
      <c r="Y1188" s="1313"/>
      <c r="Z1188" s="1315" t="s">
        <v>226</v>
      </c>
      <c r="AA1188" s="1313" t="s">
        <v>1535</v>
      </c>
      <c r="AB1188" s="1313" t="s">
        <v>6537</v>
      </c>
      <c r="AC1188" s="1315" t="s">
        <v>6554</v>
      </c>
      <c r="AD1188" s="1313" t="s">
        <v>6555</v>
      </c>
      <c r="AE1188" s="1341">
        <v>4.0</v>
      </c>
      <c r="AF1188" s="1318">
        <v>110.0</v>
      </c>
      <c r="AG1188" s="1341">
        <v>-0.88</v>
      </c>
      <c r="AH1188" s="1313" t="s">
        <v>173</v>
      </c>
      <c r="AI1188" s="1313" t="s">
        <v>850</v>
      </c>
      <c r="AJ1188" s="1345">
        <v>0.001</v>
      </c>
      <c r="AK1188" s="1321" t="s">
        <v>135</v>
      </c>
      <c r="AL1188" s="1321" t="s">
        <v>186</v>
      </c>
      <c r="AM1188" s="1313" t="s">
        <v>137</v>
      </c>
      <c r="AN1188" s="1322" t="s">
        <v>138</v>
      </c>
      <c r="AO1188" s="1318">
        <v>98.0</v>
      </c>
      <c r="AP1188" s="1341">
        <v>0.743298262941807</v>
      </c>
      <c r="AQ1188" s="1313" t="s">
        <v>173</v>
      </c>
      <c r="AR1188" s="1322" t="s">
        <v>5604</v>
      </c>
      <c r="AS1188" s="1341">
        <v>0.00994269298</v>
      </c>
      <c r="AT1188" s="1313" t="s">
        <v>172</v>
      </c>
      <c r="AU1188" s="1313" t="s">
        <v>186</v>
      </c>
      <c r="AV1188" s="1313" t="s">
        <v>137</v>
      </c>
      <c r="AW1188" s="1323" t="s">
        <v>138</v>
      </c>
      <c r="AX1188" s="1339" t="s">
        <v>143</v>
      </c>
      <c r="AY1188" s="61" t="str">
        <f>IFERROR(__xludf.DUMMYFUNCTION("vlookup(BB1188,importrange(""https://docs.google.com/spreadsheets/d/1d2vevQ_7D_v35q4wCQ4RpQ_IPoTwEMB9Yp6ymwlPqew/edit?gid=984458430#gid=984458430"", ""'replication success'!A:K""), 11, FAlSE)"),"mixed")</f>
        <v>mixed</v>
      </c>
      <c r="AZ1188" s="61" t="str">
        <f>IFERROR(__xludf.DUMMYFUNCTION("vlookup(BB1188,importrange(""https://docs.google.com/spreadsheets/d/1d2vevQ_7D_v35q4wCQ4RpQ_IPoTwEMB9Yp6ymwlPqew/edit?gid=984458430#gid=984458430"",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8" s="61" t="str">
        <f>IFERROR(__xludf.DUMMYFUNCTION("vlookup(BB1188,importrange(""https://docs.google.com/spreadsheets/d/1d2vevQ_7D_v35q4wCQ4RpQ_IPoTwEMB9Yp6ymwlPqew/edit?gid=984458430#gid=984458430"",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8" s="61" t="str">
        <f>IFERROR(__xludf.DUMMYFUNCTION("REGEXREPLACE(G1188, ""_[a-z]{1,2}$"", """")"),"Boyce_etal202395")</f>
        <v>Boyce_etal202395</v>
      </c>
      <c r="BD1188" s="1322" t="s">
        <v>5605</v>
      </c>
    </row>
    <row r="1189">
      <c r="A1189" s="44">
        <v>1189.0</v>
      </c>
      <c r="B1189" s="129" t="s">
        <v>152</v>
      </c>
      <c r="C1189" s="62" t="s">
        <v>115</v>
      </c>
      <c r="D1189" s="62" t="s">
        <v>248</v>
      </c>
      <c r="E1189" s="365"/>
      <c r="F1189" s="126" t="s">
        <v>6532</v>
      </c>
      <c r="G1189" s="119" t="s">
        <v>6533</v>
      </c>
      <c r="H1189" s="140" t="s">
        <v>249</v>
      </c>
      <c r="I1189" s="317">
        <v>45667.0</v>
      </c>
      <c r="J1189" s="1326">
        <v>45692.0</v>
      </c>
      <c r="K1189" s="125"/>
      <c r="L1189" s="125" t="s">
        <v>5594</v>
      </c>
      <c r="M1189" s="140" t="s">
        <v>6534</v>
      </c>
      <c r="N1189" s="140" t="s">
        <v>6535</v>
      </c>
      <c r="O1189" s="125"/>
      <c r="P1189" s="140" t="str">
        <f> SUBSTITUTE(lower(N1189), "/", "--") &amp;  ".pdf"</f>
        <v>10.1145--3173574.3174188.pdf</v>
      </c>
      <c r="Q1189" s="52" t="str">
        <f t="array" ref="Q1189"> if(iserror(MATCH(V1189, 'File Links'!C:C, 0)), "N/A", HYPERLINK(INDEX('File Links'!B:B, MATCH(P1189, 'File Links'!C:C, 0))))</f>
        <v>https://drive.google.com/file/d/12yIYc8a3z4MzJ_-PiAeu39d1ppwYynMI/view?usp=drivesdk</v>
      </c>
      <c r="R1189" s="140" t="s">
        <v>6556</v>
      </c>
      <c r="S1189" s="159" t="s">
        <v>3654</v>
      </c>
      <c r="T1189" s="780" t="s">
        <v>138</v>
      </c>
      <c r="U1189" s="147" t="s">
        <v>138</v>
      </c>
      <c r="V1189" s="198" t="str">
        <f t="shared" si="57"/>
        <v>10.1098--rsos.231240.pdf</v>
      </c>
      <c r="W1189" s="140" t="s">
        <v>3804</v>
      </c>
      <c r="X1189" s="54" t="str">
        <f t="array" ref="X1189"> if(iserror(MATCH(V1189, 'File Links'!C:C, 0)), "N/A", HYPERLINK(INDEX('File Links'!B:B, MATCH(V1189, 'File Links'!C:C, 0))))</f>
        <v>https://drive.google.com/file/d/17gaf2Zy_ljFfcAEDk5L8GBnTl5i7RGJE/view?usp=drivesdk</v>
      </c>
      <c r="Y1189" s="125"/>
      <c r="Z1189" s="140" t="s">
        <v>226</v>
      </c>
      <c r="AA1189" s="125"/>
      <c r="AB1189" s="140" t="s">
        <v>6557</v>
      </c>
      <c r="AC1189" s="125"/>
      <c r="AD1189" s="140" t="s">
        <v>6558</v>
      </c>
      <c r="AE1189" s="782">
        <v>614.0</v>
      </c>
      <c r="AF1189" s="782">
        <v>110.0</v>
      </c>
      <c r="AG1189" s="782">
        <v>0.67</v>
      </c>
      <c r="AH1189" s="140" t="s">
        <v>173</v>
      </c>
      <c r="AI1189" s="140" t="s">
        <v>6559</v>
      </c>
      <c r="AJ1189" s="133">
        <v>0.001</v>
      </c>
      <c r="AK1189" s="126" t="s">
        <v>135</v>
      </c>
      <c r="AL1189" s="126" t="s">
        <v>186</v>
      </c>
      <c r="AM1189" s="140" t="s">
        <v>137</v>
      </c>
      <c r="AN1189" s="1322" t="s">
        <v>138</v>
      </c>
      <c r="AO1189" s="782">
        <v>98.0</v>
      </c>
      <c r="AP1189" s="782">
        <v>0.743298262941807</v>
      </c>
      <c r="AQ1189" s="140" t="s">
        <v>173</v>
      </c>
      <c r="AR1189" s="1322" t="s">
        <v>5604</v>
      </c>
      <c r="AS1189" s="1343">
        <v>0.00994269297968994</v>
      </c>
      <c r="AT1189" s="140" t="s">
        <v>172</v>
      </c>
      <c r="AU1189" s="140" t="s">
        <v>186</v>
      </c>
      <c r="AV1189" s="140" t="s">
        <v>137</v>
      </c>
      <c r="AW1189" s="1323" t="s">
        <v>138</v>
      </c>
      <c r="AX1189" s="670" t="s">
        <v>143</v>
      </c>
      <c r="AY1189" s="61" t="str">
        <f>IFERROR(__xludf.DUMMYFUNCTION("vlookup(BB1189,importrange(""https://docs.google.com/spreadsheets/d/1d2vevQ_7D_v35q4wCQ4RpQ_IPoTwEMB9Yp6ymwlPqew/edit?gid=984458430#gid=984458430"", ""'replication success'!A:K""), 11, FAlSE)"),"mixed")</f>
        <v>mixed</v>
      </c>
      <c r="AZ1189" s="61" t="str">
        <f>IFERROR(__xludf.DUMMYFUNCTION("vlookup(BB1189,importrange(""https://docs.google.com/spreadsheets/d/1d2vevQ_7D_v35q4wCQ4RpQ_IPoTwEMB9Yp6ymwlPqew/edit?gid=984458430#gid=984458430"", ""'replication success'!A:M""), 12, FAlSE)"),"0.5 [In figure 2, authors quantified subjective success on a more nuanced scale from 0, 0.25, 0.5, 0.75 and 1. I am coding 0 as 'failed', 1 as 'success' and anything inbetween as 'mixed']")</f>
        <v>0.5 [In figure 2, authors quantified subjective success on a more nuanced scale from 0, 0.25, 0.5, 0.75 and 1. I am coding 0 as 'failed', 1 as 'success' and anything inbetween as 'mixed']</v>
      </c>
      <c r="BA1189" s="61" t="str">
        <f>IFERROR(__xludf.DUMMYFUNCTION("vlookup(BB1189,importrange(""https://docs.google.com/spreadsheets/d/1d2vevQ_7D_v35q4wCQ4RpQ_IPoTwEMB9Yp6ymwlPqew/edit?gid=984458430#gid=984458430"",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43041616")</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v>
      </c>
      <c r="BB1189" s="61" t="str">
        <f>IFERROR(__xludf.DUMMYFUNCTION("REGEXREPLACE(G1189, ""_[a-z]{1,2}$"", """")"),"Boyce_etal202395")</f>
        <v>Boyce_etal202395</v>
      </c>
      <c r="BD1189" s="1322" t="s">
        <v>5605</v>
      </c>
    </row>
    <row r="1190">
      <c r="A1190" s="44">
        <v>1190.0</v>
      </c>
      <c r="B1190" s="542" t="s">
        <v>590</v>
      </c>
      <c r="C1190" s="62" t="s">
        <v>115</v>
      </c>
      <c r="D1190" s="62" t="s">
        <v>145</v>
      </c>
      <c r="F1190" s="68" t="s">
        <v>6560</v>
      </c>
      <c r="G1190" s="57" t="s">
        <v>6561</v>
      </c>
      <c r="H1190" s="159" t="s">
        <v>5592</v>
      </c>
      <c r="I1190" s="152">
        <v>45692.0</v>
      </c>
      <c r="J1190" s="529">
        <v>45692.0</v>
      </c>
      <c r="K1190" s="68"/>
      <c r="L1190" s="1374" t="s">
        <v>6562</v>
      </c>
      <c r="M1190" s="159" t="s">
        <v>6563</v>
      </c>
      <c r="N1190" s="159" t="s">
        <v>6564</v>
      </c>
      <c r="O1190" s="156">
        <v>2.0</v>
      </c>
      <c r="P1190" s="159" t="s">
        <v>6565</v>
      </c>
      <c r="Q1190" s="52" t="str">
        <f t="array" ref="Q1190"> if(iserror(MATCH(V1190, 'File Links'!C:C, 0)), "N/A", HYPERLINK(INDEX('File Links'!B:B, MATCH(P1190, 'File Links'!C:C, 0))))</f>
        <v>https://drive.google.com/file/d/1St2O5UfYoWXX1n7crfXuAdRXy1k6nYoo/view?usp=drivesdk</v>
      </c>
      <c r="R1190" s="159" t="s">
        <v>3653</v>
      </c>
      <c r="S1190" s="159" t="s">
        <v>3654</v>
      </c>
      <c r="T1190" s="441" t="s">
        <v>138</v>
      </c>
      <c r="U1190" s="129" t="s">
        <v>138</v>
      </c>
      <c r="V1190" s="198" t="str">
        <f t="shared" si="57"/>
        <v>10.1098--rsos.231240.pdf</v>
      </c>
      <c r="W1190" s="159" t="s">
        <v>324</v>
      </c>
      <c r="X1190" s="54" t="str">
        <f t="array" ref="X1190"> if(iserror(MATCH(V1190, 'File Links'!C:C, 0)), "N/A", HYPERLINK(INDEX('File Links'!B:B, MATCH(V1190, 'File Links'!C:C, 0))))</f>
        <v>https://drive.google.com/file/d/17gaf2Zy_ljFfcAEDk5L8GBnTl5i7RGJE/view?usp=drivesdk</v>
      </c>
      <c r="Y1190" s="68"/>
      <c r="Z1190" s="159" t="s">
        <v>1679</v>
      </c>
      <c r="AA1190" s="68" t="s">
        <v>1535</v>
      </c>
      <c r="AB1190" s="68" t="s">
        <v>6566</v>
      </c>
      <c r="AC1190" s="159" t="s">
        <v>6567</v>
      </c>
      <c r="AD1190" s="129" t="s">
        <v>6568</v>
      </c>
      <c r="AE1190" s="129" t="s">
        <v>6569</v>
      </c>
      <c r="AF1190" s="156">
        <v>327.0</v>
      </c>
      <c r="AG1190" s="1370">
        <v>-0.27</v>
      </c>
      <c r="AH1190" s="129" t="s">
        <v>987</v>
      </c>
      <c r="AI1190" s="68" t="s">
        <v>632</v>
      </c>
      <c r="AJ1190" s="337">
        <v>0.01</v>
      </c>
      <c r="AK1190" s="61" t="s">
        <v>135</v>
      </c>
      <c r="AL1190" s="61" t="s">
        <v>186</v>
      </c>
      <c r="AM1190" s="68" t="s">
        <v>137</v>
      </c>
      <c r="AN1190" s="129" t="s">
        <v>138</v>
      </c>
      <c r="AO1190" s="156">
        <v>79.0</v>
      </c>
      <c r="AP1190" s="1370" t="s">
        <v>138</v>
      </c>
      <c r="AQ1190" s="1300"/>
      <c r="AR1190" s="129" t="s">
        <v>5604</v>
      </c>
      <c r="AS1190" s="1300" t="s">
        <v>1535</v>
      </c>
      <c r="AT1190" s="1300" t="s">
        <v>1535</v>
      </c>
      <c r="AU1190" s="1300" t="s">
        <v>186</v>
      </c>
      <c r="AV1190" s="1370" t="s">
        <v>1905</v>
      </c>
      <c r="AW1190" s="1337" t="s">
        <v>138</v>
      </c>
      <c r="AX1190" s="594" t="s">
        <v>143</v>
      </c>
      <c r="AY1190" s="61" t="str">
        <f>IFERROR(__xludf.DUMMYFUNCTION("vlookup(BB1190,importrange(""https://docs.google.com/spreadsheets/d/1d2vevQ_7D_v35q4wCQ4RpQ_IPoTwEMB9Yp6ymwlPqew/edit?gid=984458430#gid=984458430"", ""'replication success'!A:K""), 11, FAlSE)"),"#N/A")</f>
        <v>#N/A</v>
      </c>
      <c r="AZ1190" s="61" t="str">
        <f>IFERROR(__xludf.DUMMYFUNCTION("vlookup(BB1190,importrange(""https://docs.google.com/spreadsheets/d/1d2vevQ_7D_v35q4wCQ4RpQ_IPoTwEMB9Yp6ymwlPqew/edit?gid=984458430#gid=984458430"", ""'replication success'!A:M""), 12, FAlSE)"),"#N/A")</f>
        <v>#N/A</v>
      </c>
      <c r="BA1190" s="61" t="str">
        <f>IFERROR(__xludf.DUMMYFUNCTION("vlookup(BB1190,importrange(""https://docs.google.com/spreadsheets/d/1d2vevQ_7D_v35q4wCQ4RpQ_IPoTwEMB9Yp6ymwlPqew/edit?gid=984458430#gid=984458430"", ""'replication success'!A:M""), 13, FAlSE)"),"#N/A")</f>
        <v>#N/A</v>
      </c>
      <c r="BB1190" s="61" t="str">
        <f>IFERROR(__xludf.DUMMYFUNCTION("REGEXREPLACE(G1190, ""_[a-z]{1,2}$"", """")"),"Boyce_etal202396")</f>
        <v>Boyce_etal202396</v>
      </c>
      <c r="BD1190" s="129" t="s">
        <v>5605</v>
      </c>
    </row>
    <row r="1191">
      <c r="A1191" s="44">
        <v>1191.0</v>
      </c>
      <c r="B1191" s="129" t="s">
        <v>114</v>
      </c>
      <c r="C1191" s="62" t="s">
        <v>115</v>
      </c>
      <c r="D1191" s="62" t="s">
        <v>248</v>
      </c>
      <c r="F1191" s="57" t="s">
        <v>6560</v>
      </c>
      <c r="G1191" s="151" t="s">
        <v>6561</v>
      </c>
      <c r="H1191" s="159" t="s">
        <v>249</v>
      </c>
      <c r="I1191" s="152">
        <v>45667.0</v>
      </c>
      <c r="J1191" s="529">
        <v>45692.0</v>
      </c>
      <c r="K1191" s="159" t="s">
        <v>6570</v>
      </c>
      <c r="L1191" s="68"/>
      <c r="M1191" s="159" t="s">
        <v>6563</v>
      </c>
      <c r="N1191" s="159" t="s">
        <v>6564</v>
      </c>
      <c r="O1191" s="1370">
        <v>2.0</v>
      </c>
      <c r="P1191" s="159" t="str">
        <f> SUBSTITUTE(lower(N1191), "/", "--") &amp;  ".pdf"</f>
        <v>10.1287--mnsc.2019.3362.pdf</v>
      </c>
      <c r="Q1191" s="52" t="str">
        <f t="array" ref="Q1191"> if(iserror(MATCH(V1191, 'File Links'!C:C, 0)), "N/A", HYPERLINK(INDEX('File Links'!B:B, MATCH(P1191, 'File Links'!C:C, 0))))</f>
        <v>https://drive.google.com/file/d/1St2O5UfYoWXX1n7crfXuAdRXy1k6nYoo/view?usp=drivesdk</v>
      </c>
      <c r="R1191" s="159" t="s">
        <v>6571</v>
      </c>
      <c r="S1191" s="159" t="s">
        <v>3654</v>
      </c>
      <c r="T1191" s="441" t="s">
        <v>138</v>
      </c>
      <c r="U1191" s="129" t="s">
        <v>138</v>
      </c>
      <c r="V1191" s="198" t="str">
        <f t="shared" si="57"/>
        <v>10.1098--rsos.231240.pdf</v>
      </c>
      <c r="W1191" s="159" t="s">
        <v>324</v>
      </c>
      <c r="X1191" s="54" t="str">
        <f t="array" ref="X1191"> if(iserror(MATCH(V1191, 'File Links'!C:C, 0)), "N/A", HYPERLINK(INDEX('File Links'!B:B, MATCH(V1191, 'File Links'!C:C, 0))))</f>
        <v>https://drive.google.com/file/d/17gaf2Zy_ljFfcAEDk5L8GBnTl5i7RGJE/view?usp=drivesdk</v>
      </c>
      <c r="Y1191" s="68"/>
      <c r="Z1191" s="159" t="s">
        <v>1679</v>
      </c>
      <c r="AA1191" s="68"/>
      <c r="AB1191" s="159" t="s">
        <v>6572</v>
      </c>
      <c r="AC1191" s="68"/>
      <c r="AD1191" s="159" t="s">
        <v>6573</v>
      </c>
      <c r="AE1191" s="156">
        <v>10.0</v>
      </c>
      <c r="AF1191" s="1059">
        <v>400.0</v>
      </c>
      <c r="AG1191" s="159" t="s">
        <v>6574</v>
      </c>
      <c r="AH1191" s="159" t="s">
        <v>987</v>
      </c>
      <c r="AI1191" s="159" t="s">
        <v>632</v>
      </c>
      <c r="AJ1191" s="709">
        <v>0.01</v>
      </c>
      <c r="AK1191" s="57" t="s">
        <v>135</v>
      </c>
      <c r="AL1191" s="57" t="s">
        <v>186</v>
      </c>
      <c r="AM1191" s="1060" t="s">
        <v>141</v>
      </c>
      <c r="AN1191" s="1099" t="s">
        <v>6575</v>
      </c>
      <c r="AO1191" s="156">
        <v>79.0</v>
      </c>
      <c r="AP1191" s="159" t="s">
        <v>138</v>
      </c>
      <c r="AQ1191" s="68"/>
      <c r="AR1191" s="129" t="s">
        <v>5604</v>
      </c>
      <c r="AS1191" s="159" t="s">
        <v>138</v>
      </c>
      <c r="AT1191" s="68"/>
      <c r="AU1191" s="159" t="s">
        <v>186</v>
      </c>
      <c r="AV1191" s="159" t="s">
        <v>141</v>
      </c>
      <c r="AW1191" s="1337" t="s">
        <v>138</v>
      </c>
      <c r="AX1191" s="680" t="s">
        <v>143</v>
      </c>
      <c r="AY1191" s="61" t="str">
        <f>IFERROR(__xludf.DUMMYFUNCTION("vlookup(BB1191,importrange(""https://docs.google.com/spreadsheets/d/1d2vevQ_7D_v35q4wCQ4RpQ_IPoTwEMB9Yp6ymwlPqew/edit?gid=984458430#gid=984458430"", ""'replication success'!A:K""), 11, FAlSE)"),"#N/A")</f>
        <v>#N/A</v>
      </c>
      <c r="AZ1191" s="61" t="str">
        <f>IFERROR(__xludf.DUMMYFUNCTION("vlookup(BB1191,importrange(""https://docs.google.com/spreadsheets/d/1d2vevQ_7D_v35q4wCQ4RpQ_IPoTwEMB9Yp6ymwlPqew/edit?gid=984458430#gid=984458430"", ""'replication success'!A:M""), 12, FAlSE)"),"#N/A")</f>
        <v>#N/A</v>
      </c>
      <c r="BA1191" s="61" t="str">
        <f>IFERROR(__xludf.DUMMYFUNCTION("vlookup(BB1191,importrange(""https://docs.google.com/spreadsheets/d/1d2vevQ_7D_v35q4wCQ4RpQ_IPoTwEMB9Yp6ymwlPqew/edit?gid=984458430#gid=984458430"", ""'replication success'!A:M""), 13, FAlSE)"),"#N/A")</f>
        <v>#N/A</v>
      </c>
      <c r="BB1191" s="61" t="str">
        <f>IFERROR(__xludf.DUMMYFUNCTION("REGEXREPLACE(G1191, ""_[a-z]{1,2}$"", """")"),"Boyce_etal202396")</f>
        <v>Boyce_etal202396</v>
      </c>
      <c r="BD1191" s="129" t="s">
        <v>5605</v>
      </c>
    </row>
    <row r="1192">
      <c r="A1192" s="44">
        <v>1192.0</v>
      </c>
      <c r="B1192" s="129" t="s">
        <v>152</v>
      </c>
      <c r="C1192" s="62" t="s">
        <v>115</v>
      </c>
      <c r="D1192" s="62" t="s">
        <v>145</v>
      </c>
      <c r="F1192" s="68" t="s">
        <v>6576</v>
      </c>
      <c r="G1192" s="57" t="s">
        <v>6577</v>
      </c>
      <c r="H1192" s="159" t="s">
        <v>5592</v>
      </c>
      <c r="I1192" s="152">
        <v>45692.0</v>
      </c>
      <c r="J1192" s="529">
        <v>45692.0</v>
      </c>
      <c r="K1192" s="68"/>
      <c r="L1192" s="129" t="s">
        <v>6578</v>
      </c>
      <c r="M1192" s="159" t="s">
        <v>6579</v>
      </c>
      <c r="N1192" s="159" t="s">
        <v>6580</v>
      </c>
      <c r="O1192" s="156">
        <v>2.0</v>
      </c>
      <c r="P1192" s="159" t="s">
        <v>6581</v>
      </c>
      <c r="Q1192" s="52" t="str">
        <f t="array" ref="Q1192"> if(iserror(MATCH(V1192, 'File Links'!C:C, 0)), "N/A", HYPERLINK(INDEX('File Links'!B:B, MATCH(P1192, 'File Links'!C:C, 0))))</f>
        <v>https://drive.google.com/file/d/1KanaZYJkrnwi0ABQ2gUtWRMUjQnhMt0r/view?usp=drivesdk</v>
      </c>
      <c r="R1192" s="159" t="s">
        <v>3653</v>
      </c>
      <c r="S1192" s="159" t="s">
        <v>3654</v>
      </c>
      <c r="T1192" s="441" t="s">
        <v>138</v>
      </c>
      <c r="U1192" s="129" t="s">
        <v>138</v>
      </c>
      <c r="V1192" s="198" t="str">
        <f t="shared" si="57"/>
        <v>10.1098--rsos.231240.pdf</v>
      </c>
      <c r="W1192" s="159" t="s">
        <v>3693</v>
      </c>
      <c r="X1192" s="54" t="str">
        <f t="array" ref="X1192"> if(iserror(MATCH(V1192, 'File Links'!C:C, 0)), "N/A", HYPERLINK(INDEX('File Links'!B:B, MATCH(V1192, 'File Links'!C:C, 0))))</f>
        <v>https://drive.google.com/file/d/17gaf2Zy_ljFfcAEDk5L8GBnTl5i7RGJE/view?usp=drivesdk</v>
      </c>
      <c r="Y1192" s="68"/>
      <c r="Z1192" s="159" t="s">
        <v>148</v>
      </c>
      <c r="AA1192" s="374" t="s">
        <v>138</v>
      </c>
      <c r="AB1192" s="159" t="s">
        <v>6582</v>
      </c>
      <c r="AC1192" s="159" t="s">
        <v>6583</v>
      </c>
      <c r="AD1192" s="129" t="s">
        <v>6584</v>
      </c>
      <c r="AE1192" s="1372" t="s">
        <v>6585</v>
      </c>
      <c r="AF1192" s="156">
        <v>94.0</v>
      </c>
      <c r="AG1192" s="1370">
        <v>0.03</v>
      </c>
      <c r="AH1192" s="1370" t="s">
        <v>987</v>
      </c>
      <c r="AI1192" s="1370" t="s">
        <v>6585</v>
      </c>
      <c r="AJ1192" s="1370">
        <v>0.05</v>
      </c>
      <c r="AK1192" s="1370" t="s">
        <v>135</v>
      </c>
      <c r="AL1192" s="61" t="s">
        <v>186</v>
      </c>
      <c r="AM1192" s="1370" t="s">
        <v>141</v>
      </c>
      <c r="AN1192" s="129" t="s">
        <v>138</v>
      </c>
      <c r="AO1192" s="156">
        <v>24.0</v>
      </c>
      <c r="AP1192" s="1370">
        <v>0.0548801</v>
      </c>
      <c r="AQ1192" s="1370" t="s">
        <v>173</v>
      </c>
      <c r="AR1192" s="129" t="s">
        <v>5604</v>
      </c>
      <c r="AS1192" s="129" t="s">
        <v>138</v>
      </c>
      <c r="AT1192" s="219" t="s">
        <v>138</v>
      </c>
      <c r="AU1192" s="68" t="s">
        <v>186</v>
      </c>
      <c r="AV1192" s="1370" t="s">
        <v>141</v>
      </c>
      <c r="AW1192" s="123" t="s">
        <v>6586</v>
      </c>
      <c r="AX1192" s="594" t="s">
        <v>151</v>
      </c>
      <c r="AY1192" s="61" t="str">
        <f>IFERROR(__xludf.DUMMYFUNCTION("vlookup(BB1192,importrange(""https://docs.google.com/spreadsheets/d/1d2vevQ_7D_v35q4wCQ4RpQ_IPoTwEMB9Yp6ymwlPqew/edit?gid=984458430#gid=984458430"", ""'replication success'!A:K""), 11, FAlSE)"),"")</f>
        <v/>
      </c>
      <c r="AZ1192" s="61" t="str">
        <f>IFERROR(__xludf.DUMMYFUNCTION("vlookup(BB1192,importrange(""https://docs.google.com/spreadsheets/d/1d2vevQ_7D_v35q4wCQ4RpQ_IPoTwEMB9Yp6ymwlPqew/edit?gid=984458430#gid=984458430"", ""'replication success'!A:M""), 12, FAlSE)"),"")</f>
        <v/>
      </c>
      <c r="BA1192" s="61" t="str">
        <f>IFERROR(__xludf.DUMMYFUNCTION("vlookup(BB1192,importrange(""https://docs.google.com/spreadsheets/d/1d2vevQ_7D_v35q4wCQ4RpQ_IPoTwEMB9Yp6ymwlPqew/edit?gid=984458430#gid=984458430"",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v>
      </c>
      <c r="BB1192" s="61" t="str">
        <f>IFERROR(__xludf.DUMMYFUNCTION("REGEXREPLACE(G1192, ""_[a-z]{1,2}$"", """")"),"Boyce_etal202397")</f>
        <v>Boyce_etal202397</v>
      </c>
      <c r="BD1192" s="129" t="s">
        <v>5605</v>
      </c>
    </row>
    <row r="1193">
      <c r="A1193" s="44">
        <v>1193.0</v>
      </c>
      <c r="B1193" s="129" t="s">
        <v>114</v>
      </c>
      <c r="C1193" s="62" t="s">
        <v>115</v>
      </c>
      <c r="D1193" s="62" t="s">
        <v>248</v>
      </c>
      <c r="F1193" s="57" t="s">
        <v>6576</v>
      </c>
      <c r="G1193" s="151" t="s">
        <v>6577</v>
      </c>
      <c r="H1193" s="159" t="s">
        <v>249</v>
      </c>
      <c r="I1193" s="152">
        <v>45667.0</v>
      </c>
      <c r="J1193" s="529">
        <v>45692.0</v>
      </c>
      <c r="K1193" s="159" t="s">
        <v>6587</v>
      </c>
      <c r="L1193" s="68" t="s">
        <v>5594</v>
      </c>
      <c r="M1193" s="159" t="s">
        <v>6579</v>
      </c>
      <c r="N1193" s="159" t="s">
        <v>6580</v>
      </c>
      <c r="O1193" s="323">
        <v>2.0</v>
      </c>
      <c r="P1193" s="159" t="str">
        <f t="shared" ref="P1193:P1197" si="75"> SUBSTITUTE(lower(N1193), "/", "--") &amp;  ".pdf"</f>
        <v>10.1177--0956797618806296.pdf</v>
      </c>
      <c r="Q1193" s="52" t="str">
        <f t="array" ref="Q1193"> if(iserror(MATCH(V1193, 'File Links'!C:C, 0)), "N/A", HYPERLINK(INDEX('File Links'!B:B, MATCH(P1193, 'File Links'!C:C, 0))))</f>
        <v>https://drive.google.com/file/d/1KanaZYJkrnwi0ABQ2gUtWRMUjQnhMt0r/view?usp=drivesdk</v>
      </c>
      <c r="R1193" s="159" t="s">
        <v>6588</v>
      </c>
      <c r="S1193" s="159" t="s">
        <v>3654</v>
      </c>
      <c r="T1193" s="441" t="s">
        <v>138</v>
      </c>
      <c r="U1193" s="129" t="s">
        <v>138</v>
      </c>
      <c r="V1193" s="198" t="str">
        <f t="shared" si="57"/>
        <v>10.1098--rsos.231240.pdf</v>
      </c>
      <c r="W1193" s="159" t="s">
        <v>3693</v>
      </c>
      <c r="X1193" s="54" t="str">
        <f t="array" ref="X1193"> if(iserror(MATCH(V1193, 'File Links'!C:C, 0)), "N/A", HYPERLINK(INDEX('File Links'!B:B, MATCH(V1193, 'File Links'!C:C, 0))))</f>
        <v>https://drive.google.com/file/d/17gaf2Zy_ljFfcAEDk5L8GBnTl5i7RGJE/view?usp=drivesdk</v>
      </c>
      <c r="Y1193" s="68"/>
      <c r="Z1193" s="159" t="s">
        <v>148</v>
      </c>
      <c r="AA1193" s="68"/>
      <c r="AB1193" s="68"/>
      <c r="AC1193" s="68"/>
      <c r="AD1193" s="159" t="s">
        <v>6589</v>
      </c>
      <c r="AE1193" s="156">
        <v>1927.0</v>
      </c>
      <c r="AF1193" s="156">
        <v>94.0</v>
      </c>
      <c r="AG1193" s="156">
        <v>0.03</v>
      </c>
      <c r="AH1193" s="159" t="s">
        <v>987</v>
      </c>
      <c r="AI1193" s="159" t="s">
        <v>138</v>
      </c>
      <c r="AJ1193" s="339" t="s">
        <v>138</v>
      </c>
      <c r="AK1193" s="61"/>
      <c r="AL1193" s="57" t="s">
        <v>186</v>
      </c>
      <c r="AM1193" s="159" t="s">
        <v>141</v>
      </c>
      <c r="AN1193" s="129" t="s">
        <v>138</v>
      </c>
      <c r="AO1193" s="156">
        <v>24.0</v>
      </c>
      <c r="AP1193" s="159" t="s">
        <v>138</v>
      </c>
      <c r="AQ1193" s="68"/>
      <c r="AR1193" s="129" t="s">
        <v>5604</v>
      </c>
      <c r="AS1193" s="159" t="s">
        <v>138</v>
      </c>
      <c r="AT1193" s="68"/>
      <c r="AU1193" s="159" t="s">
        <v>186</v>
      </c>
      <c r="AV1193" s="159" t="s">
        <v>141</v>
      </c>
      <c r="AW1193" s="1337" t="s">
        <v>138</v>
      </c>
      <c r="AX1193" s="680" t="s">
        <v>151</v>
      </c>
      <c r="AY1193" s="61" t="str">
        <f>IFERROR(__xludf.DUMMYFUNCTION("vlookup(BB1193,importrange(""https://docs.google.com/spreadsheets/d/1d2vevQ_7D_v35q4wCQ4RpQ_IPoTwEMB9Yp6ymwlPqew/edit?gid=984458430#gid=984458430"", ""'replication success'!A:K""), 11, FAlSE)"),"")</f>
        <v/>
      </c>
      <c r="AZ1193" s="61" t="str">
        <f>IFERROR(__xludf.DUMMYFUNCTION("vlookup(BB1193,importrange(""https://docs.google.com/spreadsheets/d/1d2vevQ_7D_v35q4wCQ4RpQ_IPoTwEMB9Yp6ymwlPqew/edit?gid=984458430#gid=984458430"", ""'replication success'!A:M""), 12, FAlSE)"),"")</f>
        <v/>
      </c>
      <c r="BA1193" s="61" t="str">
        <f>IFERROR(__xludf.DUMMYFUNCTION("vlookup(BB1193,importrange(""https://docs.google.com/spreadsheets/d/1d2vevQ_7D_v35q4wCQ4RpQ_IPoTwEMB9Yp6ymwlPqew/edit?gid=984458430#gid=984458430"",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43041617")</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v>
      </c>
      <c r="BB1193" s="61" t="str">
        <f>IFERROR(__xludf.DUMMYFUNCTION("REGEXREPLACE(G1193, ""_[a-z]{1,2}$"", """")"),"Boyce_etal202397")</f>
        <v>Boyce_etal202397</v>
      </c>
      <c r="BD1193" s="129" t="s">
        <v>5605</v>
      </c>
    </row>
    <row r="1194">
      <c r="A1194" s="44">
        <v>1194.0</v>
      </c>
      <c r="B1194" s="129" t="s">
        <v>152</v>
      </c>
      <c r="C1194" s="62" t="s">
        <v>115</v>
      </c>
      <c r="D1194" s="62" t="s">
        <v>145</v>
      </c>
      <c r="F1194" s="68" t="s">
        <v>6590</v>
      </c>
      <c r="G1194" s="57" t="s">
        <v>6591</v>
      </c>
      <c r="H1194" s="159" t="s">
        <v>5592</v>
      </c>
      <c r="I1194" s="152">
        <v>45692.0</v>
      </c>
      <c r="J1194" s="529">
        <v>45692.0</v>
      </c>
      <c r="K1194" s="68" t="s">
        <v>6592</v>
      </c>
      <c r="L1194" s="129" t="s">
        <v>6593</v>
      </c>
      <c r="M1194" s="159" t="s">
        <v>6594</v>
      </c>
      <c r="N1194" s="68" t="s">
        <v>6595</v>
      </c>
      <c r="O1194" s="156">
        <v>4.0</v>
      </c>
      <c r="P1194" s="159" t="str">
        <f t="shared" si="75"/>
        <v>10.1037--0022-3514.95.1.76.pdf</v>
      </c>
      <c r="Q1194" s="52" t="str">
        <f t="array" ref="Q1194"> if(iserror(MATCH(V1194, 'File Links'!C:C, 0)), "N/A", HYPERLINK(INDEX('File Links'!B:B, MATCH(P1194, 'File Links'!C:C, 0))))</f>
        <v>https://drive.google.com/file/d/14KU35or-OxTWODmUyKwRoB3qwuTQZobO/view?usp=drivesdk</v>
      </c>
      <c r="R1194" s="159" t="s">
        <v>3653</v>
      </c>
      <c r="S1194" s="159" t="s">
        <v>3654</v>
      </c>
      <c r="T1194" s="441" t="s">
        <v>138</v>
      </c>
      <c r="U1194" s="129" t="s">
        <v>138</v>
      </c>
      <c r="V1194" s="198" t="str">
        <f t="shared" si="57"/>
        <v>10.1098--rsos.231240.pdf</v>
      </c>
      <c r="W1194" s="159" t="s">
        <v>324</v>
      </c>
      <c r="X1194" s="54" t="str">
        <f t="array" ref="X1194"> if(iserror(MATCH(V1194, 'File Links'!C:C, 0)), "N/A", HYPERLINK(INDEX('File Links'!B:B, MATCH(V1194, 'File Links'!C:C, 0))))</f>
        <v>https://drive.google.com/file/d/17gaf2Zy_ljFfcAEDk5L8GBnTl5i7RGJE/view?usp=drivesdk</v>
      </c>
      <c r="Y1194" s="68"/>
      <c r="Z1194" s="159" t="s">
        <v>226</v>
      </c>
      <c r="AA1194" s="1370" t="s">
        <v>6596</v>
      </c>
      <c r="AB1194" s="68" t="s">
        <v>6597</v>
      </c>
      <c r="AC1194" s="159" t="s">
        <v>6598</v>
      </c>
      <c r="AD1194" s="1370" t="s">
        <v>6599</v>
      </c>
      <c r="AE1194" s="1370" t="s">
        <v>6600</v>
      </c>
      <c r="AF1194" s="156">
        <v>67.0</v>
      </c>
      <c r="AG1194" s="501">
        <v>-1.158</v>
      </c>
      <c r="AH1194" s="68" t="s">
        <v>173</v>
      </c>
      <c r="AI1194" s="1300" t="s">
        <v>6601</v>
      </c>
      <c r="AJ1194" s="1372">
        <v>0.05</v>
      </c>
      <c r="AK1194" s="129" t="s">
        <v>135</v>
      </c>
      <c r="AL1194" s="61" t="s">
        <v>186</v>
      </c>
      <c r="AM1194" s="68" t="s">
        <v>137</v>
      </c>
      <c r="AN1194" s="129" t="s">
        <v>138</v>
      </c>
      <c r="AO1194" s="156">
        <v>75.0</v>
      </c>
      <c r="AP1194" s="336">
        <v>-0.138751917564751</v>
      </c>
      <c r="AQ1194" s="68" t="s">
        <v>173</v>
      </c>
      <c r="AR1194" s="129" t="s">
        <v>5604</v>
      </c>
      <c r="AS1194" s="336">
        <v>0.236503257258824</v>
      </c>
      <c r="AT1194" s="68" t="s">
        <v>172</v>
      </c>
      <c r="AU1194" s="68" t="s">
        <v>186</v>
      </c>
      <c r="AV1194" s="68" t="s">
        <v>137</v>
      </c>
      <c r="AW1194" s="1337" t="s">
        <v>138</v>
      </c>
      <c r="AX1194" s="594" t="s">
        <v>143</v>
      </c>
      <c r="AY1194" s="61" t="str">
        <f>IFERROR(__xludf.DUMMYFUNCTION("vlookup(BB1194,importrange(""https://docs.google.com/spreadsheets/d/1d2vevQ_7D_v35q4wCQ4RpQ_IPoTwEMB9Yp6ymwlPqew/edit?gid=984458430#gid=984458430"", ""'replication success'!A:K""), 11, FAlSE)"),"failed")</f>
        <v>failed</v>
      </c>
      <c r="AZ1194" s="61" t="str">
        <f>IFERROR(__xludf.DUMMYFUNCTION("vlookup(BB1194,importrange(""https://docs.google.com/spreadsheets/d/1d2vevQ_7D_v35q4wCQ4RpQ_IPoTwEMB9Yp6ymwlPqew/edit?gid=984458430#gid=984458430"",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94" s="61" t="str">
        <f>IFERROR(__xludf.DUMMYFUNCTION("vlookup(BB1194,importrange(""https://docs.google.com/spreadsheets/d/1d2vevQ_7D_v35q4wCQ4RpQ_IPoTwEMB9Yp6ymwlPqew/edit?gid=984458430#gid=984458430"",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v>
      </c>
      <c r="BB1194" s="61" t="str">
        <f>IFERROR(__xludf.DUMMYFUNCTION("REGEXREPLACE(G1194, ""_[a-z]{1,2}$"", """")"),"Boyce_etal202398")</f>
        <v>Boyce_etal202398</v>
      </c>
      <c r="BD1194" s="129" t="s">
        <v>6485</v>
      </c>
    </row>
    <row r="1195">
      <c r="A1195" s="44">
        <v>1195.0</v>
      </c>
      <c r="B1195" s="129" t="s">
        <v>114</v>
      </c>
      <c r="C1195" s="62" t="s">
        <v>115</v>
      </c>
      <c r="D1195" s="62" t="s">
        <v>248</v>
      </c>
      <c r="F1195" s="57" t="s">
        <v>6590</v>
      </c>
      <c r="G1195" s="151" t="s">
        <v>6591</v>
      </c>
      <c r="H1195" s="159" t="s">
        <v>249</v>
      </c>
      <c r="I1195" s="152">
        <v>45667.0</v>
      </c>
      <c r="J1195" s="529">
        <v>45692.0</v>
      </c>
      <c r="K1195" s="159" t="s">
        <v>6602</v>
      </c>
      <c r="L1195" s="68"/>
      <c r="M1195" s="159" t="s">
        <v>6594</v>
      </c>
      <c r="N1195" s="159" t="s">
        <v>6595</v>
      </c>
      <c r="O1195" s="323">
        <v>4.0</v>
      </c>
      <c r="P1195" s="159" t="str">
        <f t="shared" si="75"/>
        <v>10.1037--0022-3514.95.1.76.pdf</v>
      </c>
      <c r="Q1195" s="52" t="str">
        <f t="array" ref="Q1195"> if(iserror(MATCH(V1195, 'File Links'!C:C, 0)), "N/A", HYPERLINK(INDEX('File Links'!B:B, MATCH(P1195, 'File Links'!C:C, 0))))</f>
        <v>https://drive.google.com/file/d/14KU35or-OxTWODmUyKwRoB3qwuTQZobO/view?usp=drivesdk</v>
      </c>
      <c r="R1195" s="159" t="s">
        <v>6603</v>
      </c>
      <c r="S1195" s="159" t="s">
        <v>3654</v>
      </c>
      <c r="T1195" s="441" t="s">
        <v>138</v>
      </c>
      <c r="U1195" s="129" t="s">
        <v>138</v>
      </c>
      <c r="V1195" s="198" t="str">
        <f t="shared" si="57"/>
        <v>10.1098--rsos.231240.pdf</v>
      </c>
      <c r="W1195" s="159" t="s">
        <v>324</v>
      </c>
      <c r="X1195" s="54" t="str">
        <f t="array" ref="X1195"> if(iserror(MATCH(V1195, 'File Links'!C:C, 0)), "N/A", HYPERLINK(INDEX('File Links'!B:B, MATCH(V1195, 'File Links'!C:C, 0))))</f>
        <v>https://drive.google.com/file/d/17gaf2Zy_ljFfcAEDk5L8GBnTl5i7RGJE/view?usp=drivesdk</v>
      </c>
      <c r="Y1195" s="68"/>
      <c r="Z1195" s="159" t="s">
        <v>226</v>
      </c>
      <c r="AA1195" s="68"/>
      <c r="AB1195" s="159" t="s">
        <v>5768</v>
      </c>
      <c r="AC1195" s="68"/>
      <c r="AD1195" s="159" t="s">
        <v>6604</v>
      </c>
      <c r="AE1195" s="156">
        <v>86.0</v>
      </c>
      <c r="AF1195" s="156">
        <v>67.0</v>
      </c>
      <c r="AG1195" s="156">
        <v>1.15827489621123</v>
      </c>
      <c r="AH1195" s="159" t="s">
        <v>173</v>
      </c>
      <c r="AI1195" s="159" t="s">
        <v>6605</v>
      </c>
      <c r="AJ1195" s="1375">
        <v>9.45528557450159E-14</v>
      </c>
      <c r="AK1195" s="57" t="s">
        <v>172</v>
      </c>
      <c r="AL1195" s="57" t="s">
        <v>186</v>
      </c>
      <c r="AM1195" s="159" t="s">
        <v>1905</v>
      </c>
      <c r="AN1195" s="129" t="s">
        <v>138</v>
      </c>
      <c r="AO1195" s="156">
        <v>75.0</v>
      </c>
      <c r="AP1195" s="156">
        <v>-0.138751917564751</v>
      </c>
      <c r="AQ1195" s="159" t="s">
        <v>173</v>
      </c>
      <c r="AR1195" s="129" t="s">
        <v>5604</v>
      </c>
      <c r="AS1195" s="156">
        <v>0.236503257258824</v>
      </c>
      <c r="AT1195" s="159" t="s">
        <v>172</v>
      </c>
      <c r="AU1195" s="159" t="s">
        <v>186</v>
      </c>
      <c r="AV1195" s="1060" t="s">
        <v>1905</v>
      </c>
      <c r="AW1195" s="1337" t="s">
        <v>138</v>
      </c>
      <c r="AX1195" s="680" t="s">
        <v>143</v>
      </c>
      <c r="AY1195" s="61" t="str">
        <f>IFERROR(__xludf.DUMMYFUNCTION("vlookup(BB1195,importrange(""https://docs.google.com/spreadsheets/d/1d2vevQ_7D_v35q4wCQ4RpQ_IPoTwEMB9Yp6ymwlPqew/edit?gid=984458430#gid=984458430"", ""'replication success'!A:K""), 11, FAlSE)"),"failed")</f>
        <v>failed</v>
      </c>
      <c r="AZ1195" s="61" t="str">
        <f>IFERROR(__xludf.DUMMYFUNCTION("vlookup(BB1195,importrange(""https://docs.google.com/spreadsheets/d/1d2vevQ_7D_v35q4wCQ4RpQ_IPoTwEMB9Yp6ymwlPqew/edit?gid=984458430#gid=984458430"",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95" s="61" t="str">
        <f>IFERROR(__xludf.DUMMYFUNCTION("vlookup(BB1195,importrange(""https://docs.google.com/spreadsheets/d/1d2vevQ_7D_v35q4wCQ4RpQ_IPoTwEMB9Yp6ymwlPqew/edit?gid=984458430#gid=984458430"",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43041618")</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v>
      </c>
      <c r="BB1195" s="61" t="str">
        <f>IFERROR(__xludf.DUMMYFUNCTION("REGEXREPLACE(G1195, ""_[a-z]{1,2}$"", """")"),"Boyce_etal202398")</f>
        <v>Boyce_etal202398</v>
      </c>
      <c r="BD1195" s="129" t="s">
        <v>6485</v>
      </c>
      <c r="BK1195" s="62" t="s">
        <v>141</v>
      </c>
      <c r="BL1195" s="97" t="s">
        <v>300</v>
      </c>
      <c r="BM1195" s="62" t="s">
        <v>143</v>
      </c>
    </row>
    <row r="1196">
      <c r="A1196" s="44">
        <v>1196.0</v>
      </c>
      <c r="B1196" s="129" t="s">
        <v>152</v>
      </c>
      <c r="C1196" s="62" t="s">
        <v>115</v>
      </c>
      <c r="D1196" s="62" t="s">
        <v>145</v>
      </c>
      <c r="F1196" s="68" t="s">
        <v>6606</v>
      </c>
      <c r="G1196" s="57" t="s">
        <v>6607</v>
      </c>
      <c r="H1196" s="159" t="s">
        <v>5592</v>
      </c>
      <c r="I1196" s="152">
        <v>45692.0</v>
      </c>
      <c r="J1196" s="1376">
        <v>45695.0</v>
      </c>
      <c r="K1196" s="68"/>
      <c r="L1196" s="129" t="s">
        <v>6608</v>
      </c>
      <c r="M1196" s="159" t="s">
        <v>6609</v>
      </c>
      <c r="N1196" s="68" t="s">
        <v>6610</v>
      </c>
      <c r="O1196" s="156">
        <v>6.0</v>
      </c>
      <c r="P1196" s="159" t="str">
        <f t="shared" si="75"/>
        <v>10.1037--0278-7393.34.1.146.pdf</v>
      </c>
      <c r="Q1196" s="52" t="str">
        <f t="array" ref="Q1196"> if(iserror(MATCH(V1196, 'File Links'!C:C, 0)), "N/A", HYPERLINK(INDEX('File Links'!B:B, MATCH(P1196, 'File Links'!C:C, 0))))</f>
        <v>https://drive.google.com/file/d/1qNTfBnw7SpCi3blakzyKQFcGYOfOx3la/view?usp=drivesdk</v>
      </c>
      <c r="R1196" s="159" t="s">
        <v>3653</v>
      </c>
      <c r="S1196" s="159" t="s">
        <v>3654</v>
      </c>
      <c r="T1196" s="441" t="s">
        <v>138</v>
      </c>
      <c r="U1196" s="129" t="s">
        <v>138</v>
      </c>
      <c r="V1196" s="198" t="str">
        <f t="shared" si="57"/>
        <v>10.1098--rsos.231240.pdf</v>
      </c>
      <c r="W1196" s="159" t="s">
        <v>3665</v>
      </c>
      <c r="X1196" s="54" t="str">
        <f t="array" ref="X1196"> if(iserror(MATCH(V1196, 'File Links'!C:C, 0)), "N/A", HYPERLINK(INDEX('File Links'!B:B, MATCH(V1196, 'File Links'!C:C, 0))))</f>
        <v>https://drive.google.com/file/d/17gaf2Zy_ljFfcAEDk5L8GBnTl5i7RGJE/view?usp=drivesdk</v>
      </c>
      <c r="Y1196" s="68"/>
      <c r="Z1196" s="159" t="s">
        <v>148</v>
      </c>
      <c r="AA1196" s="1370" t="s">
        <v>6611</v>
      </c>
      <c r="AB1196" s="68" t="s">
        <v>6612</v>
      </c>
      <c r="AC1196" s="159" t="s">
        <v>6613</v>
      </c>
      <c r="AD1196" s="129" t="s">
        <v>6614</v>
      </c>
      <c r="AE1196" s="129" t="s">
        <v>6615</v>
      </c>
      <c r="AF1196" s="156">
        <v>24.0</v>
      </c>
      <c r="AG1196" s="1372">
        <v>7.212</v>
      </c>
      <c r="AH1196" s="1370" t="s">
        <v>722</v>
      </c>
      <c r="AI1196" s="1300" t="s">
        <v>6616</v>
      </c>
      <c r="AJ1196" s="1377">
        <v>0.001</v>
      </c>
      <c r="AK1196" s="61" t="s">
        <v>135</v>
      </c>
      <c r="AL1196" s="1370" t="s">
        <v>186</v>
      </c>
      <c r="AM1196" s="68" t="s">
        <v>141</v>
      </c>
      <c r="AN1196" s="129" t="s">
        <v>138</v>
      </c>
      <c r="AO1196" s="156">
        <v>35.0</v>
      </c>
      <c r="AP1196" s="336">
        <v>0.850778190489016</v>
      </c>
      <c r="AQ1196" s="68" t="s">
        <v>173</v>
      </c>
      <c r="AR1196" s="129" t="s">
        <v>5604</v>
      </c>
      <c r="AS1196" s="1304">
        <v>1.93056826666521E-5</v>
      </c>
      <c r="AT1196" s="68" t="s">
        <v>172</v>
      </c>
      <c r="AU1196" s="1370" t="s">
        <v>218</v>
      </c>
      <c r="AV1196" s="1370" t="s">
        <v>141</v>
      </c>
      <c r="AW1196" s="1337" t="s">
        <v>138</v>
      </c>
      <c r="AX1196" s="594" t="s">
        <v>143</v>
      </c>
      <c r="AY1196" s="61" t="str">
        <f>IFERROR(__xludf.DUMMYFUNCTION("vlookup(BB1196,importrange(""https://docs.google.com/spreadsheets/d/1d2vevQ_7D_v35q4wCQ4RpQ_IPoTwEMB9Yp6ymwlPqew/edit?gid=984458430#gid=984458430"", ""'replication success'!A:K""), 11, FAlSE)"),"failed")</f>
        <v>failed</v>
      </c>
      <c r="AZ1196" s="61" t="str">
        <f>IFERROR(__xludf.DUMMYFUNCTION("vlookup(BB1196,importrange(""https://docs.google.com/spreadsheets/d/1d2vevQ_7D_v35q4wCQ4RpQ_IPoTwEMB9Yp6ymwlPqew/edit?gid=984458430#gid=984458430"",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96" s="91" t="str">
        <f>IFERROR(__xludf.DUMMYFUNCTION("vlookup(BB1196,importrange(""https://docs.google.com/spreadsheets/d/1d2vevQ_7D_v35q4wCQ4RpQ_IPoTwEMB9Yp6ymwlPqew/edit?gid=984458430#gid=984458430"",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43041619 ")</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 </v>
      </c>
      <c r="BB1196" s="61" t="str">
        <f>IFERROR(__xludf.DUMMYFUNCTION("REGEXREPLACE(G1196, ""_[a-z]{1,2}$"", """")"),"Boyce_etal202399")</f>
        <v>Boyce_etal202399</v>
      </c>
      <c r="BD1196" s="129" t="s">
        <v>6485</v>
      </c>
    </row>
    <row r="1197">
      <c r="A1197" s="44">
        <v>1197.0</v>
      </c>
      <c r="B1197" s="129" t="s">
        <v>114</v>
      </c>
      <c r="C1197" s="62" t="s">
        <v>115</v>
      </c>
      <c r="D1197" s="62" t="s">
        <v>248</v>
      </c>
      <c r="F1197" s="57" t="s">
        <v>6606</v>
      </c>
      <c r="G1197" s="151" t="s">
        <v>6607</v>
      </c>
      <c r="H1197" s="159" t="s">
        <v>249</v>
      </c>
      <c r="I1197" s="152">
        <v>45667.0</v>
      </c>
      <c r="J1197" s="529">
        <v>45692.0</v>
      </c>
      <c r="K1197" s="68"/>
      <c r="L1197" s="68"/>
      <c r="M1197" s="159" t="s">
        <v>6609</v>
      </c>
      <c r="N1197" s="159" t="s">
        <v>6610</v>
      </c>
      <c r="O1197" s="1370">
        <v>6.0</v>
      </c>
      <c r="P1197" s="159" t="str">
        <f t="shared" si="75"/>
        <v>10.1037--0278-7393.34.1.146.pdf</v>
      </c>
      <c r="Q1197" s="52" t="str">
        <f t="array" ref="Q1197"> if(iserror(MATCH(V1197, 'File Links'!C:C, 0)), "N/A", HYPERLINK(INDEX('File Links'!B:B, MATCH(P1197, 'File Links'!C:C, 0))))</f>
        <v>https://drive.google.com/file/d/1qNTfBnw7SpCi3blakzyKQFcGYOfOx3la/view?usp=drivesdk</v>
      </c>
      <c r="R1197" s="159" t="s">
        <v>6617</v>
      </c>
      <c r="S1197" s="159" t="s">
        <v>3654</v>
      </c>
      <c r="T1197" s="441" t="s">
        <v>138</v>
      </c>
      <c r="U1197" s="129" t="s">
        <v>138</v>
      </c>
      <c r="V1197" s="198" t="str">
        <f t="shared" si="57"/>
        <v>10.1098--rsos.231240.pdf</v>
      </c>
      <c r="W1197" s="159" t="s">
        <v>3665</v>
      </c>
      <c r="X1197" s="54" t="str">
        <f t="array" ref="X1197"> if(iserror(MATCH(V1197, 'File Links'!C:C, 0)), "N/A", HYPERLINK(INDEX('File Links'!B:B, MATCH(V1197, 'File Links'!C:C, 0))))</f>
        <v>https://drive.google.com/file/d/17gaf2Zy_ljFfcAEDk5L8GBnTl5i7RGJE/view?usp=drivesdk</v>
      </c>
      <c r="Y1197" s="68"/>
      <c r="Z1197" s="159" t="s">
        <v>148</v>
      </c>
      <c r="AA1197" s="68"/>
      <c r="AB1197" s="1060" t="s">
        <v>6618</v>
      </c>
      <c r="AC1197" s="68"/>
      <c r="AD1197" s="159" t="s">
        <v>6619</v>
      </c>
      <c r="AE1197" s="156">
        <v>162.0</v>
      </c>
      <c r="AF1197" s="156">
        <v>24.0</v>
      </c>
      <c r="AG1197" s="161" t="s">
        <v>6620</v>
      </c>
      <c r="AH1197" s="119" t="s">
        <v>134</v>
      </c>
      <c r="AI1197" s="159" t="s">
        <v>6615</v>
      </c>
      <c r="AJ1197" s="709">
        <v>0.001</v>
      </c>
      <c r="AK1197" s="57" t="s">
        <v>135</v>
      </c>
      <c r="AL1197" s="57" t="s">
        <v>186</v>
      </c>
      <c r="AM1197" s="159" t="s">
        <v>141</v>
      </c>
      <c r="AN1197" s="129" t="s">
        <v>138</v>
      </c>
      <c r="AO1197" s="156">
        <v>35.0</v>
      </c>
      <c r="AP1197" s="156">
        <v>0.850778190489016</v>
      </c>
      <c r="AQ1197" s="159" t="s">
        <v>173</v>
      </c>
      <c r="AR1197" s="129" t="s">
        <v>5604</v>
      </c>
      <c r="AS1197" s="1061">
        <v>1.93056826666521E-5</v>
      </c>
      <c r="AT1197" s="159" t="s">
        <v>172</v>
      </c>
      <c r="AU1197" s="159" t="s">
        <v>186</v>
      </c>
      <c r="AV1197" s="159" t="s">
        <v>141</v>
      </c>
      <c r="AW1197" s="1337" t="s">
        <v>138</v>
      </c>
      <c r="AX1197" s="680" t="s">
        <v>143</v>
      </c>
      <c r="AY1197" s="61" t="str">
        <f>IFERROR(__xludf.DUMMYFUNCTION("vlookup(BB1197,importrange(""https://docs.google.com/spreadsheets/d/1d2vevQ_7D_v35q4wCQ4RpQ_IPoTwEMB9Yp6ymwlPqew/edit?gid=984458430#gid=984458430"", ""'replication success'!A:K""), 11, FAlSE)"),"failed")</f>
        <v>failed</v>
      </c>
      <c r="AZ1197" s="61" t="str">
        <f>IFERROR(__xludf.DUMMYFUNCTION("vlookup(BB1197,importrange(""https://docs.google.com/spreadsheets/d/1d2vevQ_7D_v35q4wCQ4RpQ_IPoTwEMB9Yp6ymwlPqew/edit?gid=984458430#gid=984458430"", ""'replication success'!A:M""), 12, FAlSE)"),"0 [In figure 2, authors quantified subjective success on a more nuanced scale from 0, 0.25, 0.5, 0.75 and 1. I am coding 0 as 'failed', 1 as 'success' and anything inbetween as 'mixed']")</f>
        <v>0 [In figure 2, authors quantified subjective success on a more nuanced scale from 0, 0.25, 0.5, 0.75 and 1. I am coding 0 as 'failed', 1 as 'success' and anything inbetween as 'mixed']</v>
      </c>
      <c r="BA1197" s="91" t="str">
        <f>IFERROR(__xludf.DUMMYFUNCTION("vlookup(BB1197,importrange(""https://docs.google.com/spreadsheets/d/1d2vevQ_7D_v35q4wCQ4RpQ_IPoTwEMB9Yp6ymwlPqew/edit?gid=984458430#gid=984458430"", ""'replication success'!A:M""), 13, FAlSE)"),"pg. 3 of supplementary materials https://rs.figshare.com/articles/journal_contribution/Supplemental_Information_from_Eleven_years_of_student_replication_projects_provide_evidence_on_the_correlates_of_replicability_in_psychology/24499288?backTo=%2Fcollecti"&amp;"ons%2FSupplementary_material_from_Eleven_years_of_student_replication_projects_provide_evidence_on_the_correlates_of_replicability_in_psychology_%2F6914086&amp;file=43041619 ")</f>
        <v>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 </v>
      </c>
      <c r="BB1197" s="61" t="str">
        <f>IFERROR(__xludf.DUMMYFUNCTION("REGEXREPLACE(G1197, ""_[a-z]{1,2}$"", """")"),"Boyce_etal202399")</f>
        <v>Boyce_etal202399</v>
      </c>
      <c r="BD1197" s="129" t="s">
        <v>6485</v>
      </c>
    </row>
    <row r="1198">
      <c r="A1198" s="44">
        <v>1198.0</v>
      </c>
      <c r="B1198" s="45" t="s">
        <v>152</v>
      </c>
      <c r="C1198" s="45" t="s">
        <v>115</v>
      </c>
      <c r="D1198" s="62" t="s">
        <v>145</v>
      </c>
      <c r="F1198" s="46" t="s">
        <v>6621</v>
      </c>
      <c r="G1198" s="47" t="s">
        <v>6622</v>
      </c>
      <c r="H1198" s="47" t="s">
        <v>191</v>
      </c>
      <c r="I1198" s="48">
        <v>45641.0</v>
      </c>
      <c r="J1198" s="995">
        <v>45673.0</v>
      </c>
      <c r="K1198" s="49" t="s">
        <v>120</v>
      </c>
      <c r="L1198" s="212" t="s">
        <v>6623</v>
      </c>
      <c r="M1198" s="47" t="s">
        <v>121</v>
      </c>
      <c r="N1198" s="47" t="s">
        <v>122</v>
      </c>
      <c r="O1198" s="50">
        <v>1.0</v>
      </c>
      <c r="P1198" s="51" t="s">
        <v>123</v>
      </c>
      <c r="Q1198" s="52" t="str">
        <f t="array" ref="Q1198"> if(iserror(MATCH(V1198, 'File Links'!C:C, 0)), "N/A", HYPERLINK(INDEX('File Links'!B:B, MATCH(P1198, 'File Links'!C:C, 0))))</f>
        <v>https://drive.google.com/file/d/1HsW-lUSPFaIpISHQ1bNk6CKMtH3z9rau/view?usp=drivesdk</v>
      </c>
      <c r="R1198" s="868" t="s">
        <v>6624</v>
      </c>
      <c r="S1198" s="343" t="s">
        <v>6625</v>
      </c>
      <c r="T1198" s="49"/>
      <c r="U1198" s="53">
        <v>1.0</v>
      </c>
      <c r="V1198" s="198" t="str">
        <f t="shared" si="57"/>
        <v>10.1177--0956797617719730.pdf</v>
      </c>
      <c r="W1198" s="56" t="s">
        <v>209</v>
      </c>
      <c r="X1198" s="54" t="str">
        <f t="array" ref="X1198"> if(iserror(MATCH(V1198, 'File Links'!C:C, 0)), "N/A", HYPERLINK(INDEX('File Links'!B:B, MATCH(V1198, 'File Links'!C:C, 0))))</f>
        <v>https://drive.google.com/file/d/1_tN97pqKnfamGcztRzQHZ9UG0A8Hag_0/view?usp=drivesdk</v>
      </c>
      <c r="Y1198" s="49"/>
      <c r="Z1198" s="45" t="s">
        <v>148</v>
      </c>
      <c r="AA1198" s="49"/>
      <c r="AB1198" s="49" t="s">
        <v>129</v>
      </c>
      <c r="AC1198" s="49"/>
      <c r="AD1198" s="56" t="s">
        <v>6626</v>
      </c>
      <c r="AE1198" s="56">
        <v>5.0</v>
      </c>
      <c r="AF1198" s="50">
        <v>12.0</v>
      </c>
      <c r="AG1198" s="55" t="s">
        <v>133</v>
      </c>
      <c r="AH1198" s="99" t="s">
        <v>134</v>
      </c>
      <c r="AI1198" s="56">
        <v>5.0</v>
      </c>
      <c r="AJ1198" s="50">
        <v>0.01</v>
      </c>
      <c r="AK1198" s="46" t="s">
        <v>135</v>
      </c>
      <c r="AL1198" s="57" t="s">
        <v>186</v>
      </c>
      <c r="AM1198" s="56" t="s">
        <v>141</v>
      </c>
      <c r="AN1198" s="56" t="s">
        <v>138</v>
      </c>
      <c r="AO1198" s="50">
        <v>39.0</v>
      </c>
      <c r="AP1198" s="55">
        <v>0.313</v>
      </c>
      <c r="AQ1198" s="49" t="s">
        <v>139</v>
      </c>
      <c r="AR1198" s="49" t="s">
        <v>140</v>
      </c>
      <c r="AS1198" s="55">
        <v>0.004</v>
      </c>
      <c r="AT1198" s="407" t="s">
        <v>172</v>
      </c>
      <c r="AU1198" s="407" t="s">
        <v>186</v>
      </c>
      <c r="AV1198" s="46" t="s">
        <v>141</v>
      </c>
      <c r="AW1198" s="59" t="s">
        <v>6627</v>
      </c>
      <c r="AX1198" s="60" t="s">
        <v>143</v>
      </c>
      <c r="AY1198" s="61" t="str">
        <f>IFERROR(__xludf.DUMMYFUNCTION("vlookup(BB1198,importrange(""https://docs.google.com/spreadsheets/d/1d2vevQ_7D_v35q4wCQ4RpQ_IPoTwEMB9Yp6ymwlPqew/edit?gid=984458430#gid=984458430"", ""'replication success'!A:K""), 11, FAlSE)"),"successful")</f>
        <v>successful</v>
      </c>
      <c r="AZ1198" s="61" t="str">
        <f>IFERROR(__xludf.DUMMYFUNCTION("vlookup(BB1198,importrange(""https://docs.google.com/spreadsheets/d/1d2vevQ_7D_v35q4wCQ4RpQ_IPoTwEMB9Yp6ymwlPqew/edit?gid=984458430#gid=984458430"", ""'replication success'!A:M""), 12, FAlSE)"),"We observed an interaction between condition and rating type, identified as the effect of interest in Cunningham et al. (2008). Specifically, postscan positivity, but not negativity, ratings predicted left amygdala activation
when participants were asked"&amp;" to evaluate positive, but not negative, associations with the names. These results provide
convergent evidence that cognitive framing, in the form of evaluative goals, can significantly alter whether amygdala
activation indexes positivity or negativity"&amp;".")</f>
        <v>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v>
      </c>
      <c r="BA1198" s="61" t="str">
        <f>IFERROR(__xludf.DUMMYFUNCTION("vlookup(BB1198,importrange(""https://docs.google.com/spreadsheets/d/1d2vevQ_7D_v35q4wCQ4RpQ_IPoTwEMB9Yp6ymwlPqew/edit?gid=984458430#gid=984458430"", ""'replication success'!A:M""), 13, FAlSE)"),"abstract")</f>
        <v>abstract</v>
      </c>
      <c r="BB1198" s="61" t="str">
        <f>IFERROR(__xludf.DUMMYFUNCTION("REGEXREPLACE(G1198, ""_[a-z]{1,2}$"", """")"),"bth36")</f>
        <v>bth36</v>
      </c>
      <c r="BC1198" s="129" t="s">
        <v>6623</v>
      </c>
      <c r="BD1198" s="62" t="s">
        <v>144</v>
      </c>
    </row>
    <row r="1199">
      <c r="A1199" s="44">
        <v>1199.0</v>
      </c>
      <c r="B1199" s="62" t="s">
        <v>114</v>
      </c>
      <c r="C1199" s="62" t="s">
        <v>115</v>
      </c>
      <c r="D1199" s="62" t="s">
        <v>195</v>
      </c>
      <c r="F1199" s="62" t="s">
        <v>6621</v>
      </c>
      <c r="G1199" s="45" t="s">
        <v>6622</v>
      </c>
      <c r="H1199" s="45" t="s">
        <v>196</v>
      </c>
      <c r="I1199" s="64">
        <v>45644.0</v>
      </c>
      <c r="J1199" s="995">
        <v>45673.0</v>
      </c>
      <c r="K1199" s="65"/>
      <c r="L1199" s="65"/>
      <c r="M1199" s="45" t="s">
        <v>121</v>
      </c>
      <c r="N1199" s="45" t="s">
        <v>122</v>
      </c>
      <c r="O1199" s="45">
        <v>1.0</v>
      </c>
      <c r="P1199" s="66" t="s">
        <v>123</v>
      </c>
      <c r="Q1199" s="108" t="str">
        <f t="array" ref="Q1199"> if(iserror(MATCH(V1199, 'File Links'!C:C, 0)), "N/A", HYPERLINK(INDEX('File Links'!B:B, MATCH(P1199, 'File Links'!C:C, 0))))</f>
        <v>N/A</v>
      </c>
      <c r="R1199" s="45" t="s">
        <v>6628</v>
      </c>
      <c r="S1199" s="45" t="s">
        <v>6629</v>
      </c>
      <c r="T1199" s="65"/>
      <c r="U1199" s="66"/>
      <c r="V1199" s="45" t="s">
        <v>6630</v>
      </c>
      <c r="W1199" s="65"/>
      <c r="X1199" s="49" t="str">
        <f t="array" ref="X1199"> if(iserror(MATCH(V1199, 'File Links'!C:C, 0)), "N/A", HYPERLINK(INDEX('File Links'!B:B, MATCH(V1199, 'File Links'!C:C, 0))))</f>
        <v>N/A</v>
      </c>
      <c r="Y1199" s="45" t="s">
        <v>147</v>
      </c>
      <c r="Z1199" s="45" t="s">
        <v>148</v>
      </c>
      <c r="AA1199" s="65"/>
      <c r="AB1199" s="45" t="s">
        <v>149</v>
      </c>
      <c r="AC1199" s="65"/>
      <c r="AD1199" s="65"/>
      <c r="AE1199" s="65"/>
      <c r="AF1199" s="65"/>
      <c r="AG1199" s="65"/>
      <c r="AH1199" s="45"/>
      <c r="AI1199" s="65"/>
      <c r="AJ1199" s="65"/>
      <c r="AK1199" s="67"/>
      <c r="AL1199" s="65"/>
      <c r="AM1199" s="65"/>
      <c r="AN1199" s="151" t="s">
        <v>138</v>
      </c>
      <c r="AO1199" s="65"/>
      <c r="AP1199" s="45">
        <v>0.313</v>
      </c>
      <c r="AQ1199" s="65"/>
      <c r="AR1199" s="65"/>
      <c r="AS1199" s="45" t="s">
        <v>150</v>
      </c>
      <c r="AT1199" s="67"/>
      <c r="AU1199" s="67"/>
      <c r="AV1199" s="68"/>
      <c r="AX1199" s="67"/>
      <c r="AY1199" s="61" t="str">
        <f>IFERROR(__xludf.DUMMYFUNCTION("vlookup(BB1199,importrange(""https://docs.google.com/spreadsheets/d/1d2vevQ_7D_v35q4wCQ4RpQ_IPoTwEMB9Yp6ymwlPqew/edit?gid=984458430#gid=984458430"", ""'replication success'!A:K""), 11, FAlSE)"),"successful")</f>
        <v>successful</v>
      </c>
      <c r="AZ1199" s="61" t="str">
        <f>IFERROR(__xludf.DUMMYFUNCTION("vlookup(BB1199,importrange(""https://docs.google.com/spreadsheets/d/1d2vevQ_7D_v35q4wCQ4RpQ_IPoTwEMB9Yp6ymwlPqew/edit?gid=984458430#gid=984458430"", ""'replication success'!A:M""), 12, FAlSE)"),"We observed an interaction between condition and rating type, identified as the effect of interest in Cunningham et al. (2008). Specifically, postscan positivity, but not negativity, ratings predicted left amygdala activation
when participants were asked"&amp;" to evaluate positive, but not negative, associations with the names. These results provide
convergent evidence that cognitive framing, in the form of evaluative goals, can significantly alter whether amygdala
activation indexes positivity or negativity"&amp;".")</f>
        <v>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v>
      </c>
      <c r="BA1199" s="61" t="str">
        <f>IFERROR(__xludf.DUMMYFUNCTION("vlookup(BB1199,importrange(""https://docs.google.com/spreadsheets/d/1d2vevQ_7D_v35q4wCQ4RpQ_IPoTwEMB9Yp6ymwlPqew/edit?gid=984458430#gid=984458430"", ""'replication success'!A:M""), 13, FAlSE)"),"abstract")</f>
        <v>abstract</v>
      </c>
      <c r="BB1199" s="61" t="str">
        <f>IFERROR(__xludf.DUMMYFUNCTION("REGEXREPLACE(G1199, ""_[a-z]{1,2}$"", """")"),"bth36")</f>
        <v>bth36</v>
      </c>
      <c r="BC1199" s="65"/>
      <c r="BD1199" s="62" t="s">
        <v>144</v>
      </c>
    </row>
    <row r="1200">
      <c r="A1200" s="44">
        <v>1200.0</v>
      </c>
      <c r="B1200" s="129" t="s">
        <v>152</v>
      </c>
      <c r="C1200" s="62" t="s">
        <v>115</v>
      </c>
      <c r="D1200" s="62" t="s">
        <v>232</v>
      </c>
      <c r="F1200" s="68" t="s">
        <v>6631</v>
      </c>
      <c r="G1200" s="68" t="s">
        <v>6631</v>
      </c>
      <c r="H1200" s="159" t="s">
        <v>5074</v>
      </c>
      <c r="I1200" s="152">
        <v>45690.0</v>
      </c>
      <c r="J1200" s="68"/>
      <c r="K1200" s="159" t="s">
        <v>6632</v>
      </c>
      <c r="L1200" s="68"/>
      <c r="M1200" s="68" t="s">
        <v>6633</v>
      </c>
      <c r="N1200" s="68" t="s">
        <v>6634</v>
      </c>
      <c r="O1200" s="336">
        <v>1.0</v>
      </c>
      <c r="P1200" s="159" t="str">
        <f t="shared" ref="P1200:P1277" si="76">SUBSTITUTE(LOWER(N1200), "/", "--") &amp;  ".pdf"</f>
        <v>10.1257--aer.101.2.470.pdf</v>
      </c>
      <c r="Q1200" s="52" t="str">
        <f t="array" ref="Q1200"> if(iserror(MATCH(V1200, 'File Links'!C:C, 0)), "N/A", HYPERLINK(INDEX('File Links'!B:B, MATCH(P1200, 'File Links'!C:C, 0))))</f>
        <v>https://drive.google.com/file/d/1nZRWE8YtR8lD6JVTIYbN9Kn9F6IO3Tol/view?usp=drivesdk</v>
      </c>
      <c r="R1200" s="1378" t="s">
        <v>6635</v>
      </c>
      <c r="S1200" s="88" t="s">
        <v>6636</v>
      </c>
      <c r="T1200" s="1379"/>
      <c r="U1200" s="336">
        <v>1.0</v>
      </c>
      <c r="V1200" s="198" t="str">
        <f t="shared" ref="V1200:V1277" si="77"> hyperlink(vlookup(lower(S1200),#REF!, 2, FALSE), SUBSTITUTE(lower(S1200), "/", "--") &amp;  ".pdf")</f>
        <v>10.1126--science.aaf0918.pdf</v>
      </c>
      <c r="W1200" s="159" t="s">
        <v>6637</v>
      </c>
      <c r="X1200" s="54" t="str">
        <f t="array" ref="X1200"> if(iserror(MATCH(V1200, 'File Links'!C:C, 0)), "N/A", HYPERLINK(INDEX('File Links'!B:B, MATCH(V1200, 'File Links'!C:C, 0))))</f>
        <v>https://drive.google.com/file/d/1g2LUlGntoVWUQi433rats2xlfqkwajdf/view?usp=drivesdk</v>
      </c>
      <c r="Y1200" s="68"/>
      <c r="Z1200" s="159" t="s">
        <v>1809</v>
      </c>
      <c r="AA1200" s="374" t="s">
        <v>138</v>
      </c>
      <c r="AB1200" s="159" t="s">
        <v>6638</v>
      </c>
      <c r="AC1200" s="151" t="s">
        <v>6639</v>
      </c>
      <c r="AD1200" s="151" t="s">
        <v>6640</v>
      </c>
      <c r="AE1200" s="159" t="s">
        <v>6641</v>
      </c>
      <c r="AF1200" s="156">
        <v>120.0</v>
      </c>
      <c r="AG1200" s="156">
        <f> 1.85/(0.917 * sqrt(60*60/120))</f>
        <v>0.3683339627</v>
      </c>
      <c r="AH1200" s="151" t="s">
        <v>173</v>
      </c>
      <c r="AI1200" s="129" t="s">
        <v>6642</v>
      </c>
      <c r="AJ1200" s="156">
        <v>0.05</v>
      </c>
      <c r="AK1200" s="159" t="s">
        <v>135</v>
      </c>
      <c r="AL1200" s="159" t="s">
        <v>136</v>
      </c>
      <c r="AM1200" s="68" t="s">
        <v>137</v>
      </c>
      <c r="AN1200" s="151" t="s">
        <v>138</v>
      </c>
      <c r="AO1200" s="156">
        <v>318.0</v>
      </c>
      <c r="AP1200" s="156">
        <f> 0.667/(0.474 * sqrt(159*159/318))</f>
        <v>0.1578206864</v>
      </c>
      <c r="AQ1200" s="151" t="s">
        <v>173</v>
      </c>
      <c r="AR1200" s="151" t="s">
        <v>6643</v>
      </c>
      <c r="AS1200" s="156">
        <v>0.16</v>
      </c>
      <c r="AT1200" s="159" t="s">
        <v>172</v>
      </c>
      <c r="AU1200" s="159" t="s">
        <v>186</v>
      </c>
      <c r="AV1200" s="68" t="s">
        <v>137</v>
      </c>
      <c r="AW1200" s="435" t="s">
        <v>6644</v>
      </c>
      <c r="AX1200" s="68" t="s">
        <v>143</v>
      </c>
      <c r="AY1200" s="61" t="str">
        <f>IFERROR(__xludf.DUMMYFUNCTION("vlookup(BB1200,importrange(""https://docs.google.com/spreadsheets/d/1d2vevQ_7D_v35q4wCQ4RpQ_IPoTwEMB9Yp6ymwlPqew/edit?gid=984458430#gid=984458430"", ""'replication success'!A:K""), 11, FAlSE)"),"failed")</f>
        <v>failed</v>
      </c>
      <c r="AZ1200" s="61" t="str">
        <f>IFERROR(__xludf.DUMMYFUNCTION("vlookup(BB1200,importrange(""https://docs.google.com/spreadsheets/d/1d2vevQ_7D_v35q4wCQ4RpQ_IPoTwEMB9Yp6ymwlPqew/edit?gid=984458430#gid=984458430"",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0" s="61" t="str">
        <f>IFERROR(__xludf.DUMMYFUNCTION("vlookup(BB1200,importrange(""https://docs.google.com/spreadsheets/d/1d2vevQ_7D_v35q4wCQ4RpQ_IPoTwEMB9Yp6ymwlPqew/edit?gid=984458430#gid=984458430"", ""'replication success'!A:M""), 13, FAlSE)"),"Table S1, pg.28")</f>
        <v>Table S1, pg.28</v>
      </c>
      <c r="BB1200" s="61" t="str">
        <f>IFERROR(__xludf.DUMMYFUNCTION("REGEXREPLACE(G1200, ""_[a-z]{1,2}$"", """")"),"Camereretal2016_1")</f>
        <v>Camereretal2016_1</v>
      </c>
      <c r="BD1200" s="62" t="s">
        <v>6645</v>
      </c>
    </row>
    <row r="1201">
      <c r="A1201" s="44">
        <v>1201.0</v>
      </c>
      <c r="B1201" s="62" t="s">
        <v>114</v>
      </c>
      <c r="C1201" s="45" t="s">
        <v>115</v>
      </c>
      <c r="D1201" s="62" t="s">
        <v>286</v>
      </c>
      <c r="F1201" s="68" t="s">
        <v>6631</v>
      </c>
      <c r="G1201" s="61" t="s">
        <v>6631</v>
      </c>
      <c r="H1201" s="159" t="s">
        <v>289</v>
      </c>
      <c r="I1201" s="152">
        <v>45662.0</v>
      </c>
      <c r="J1201" s="152">
        <v>45665.0</v>
      </c>
      <c r="K1201" s="159" t="s">
        <v>6646</v>
      </c>
      <c r="L1201" s="68"/>
      <c r="M1201" s="68" t="s">
        <v>6633</v>
      </c>
      <c r="N1201" s="68" t="s">
        <v>6634</v>
      </c>
      <c r="O1201" s="68"/>
      <c r="P1201" s="159" t="str">
        <f t="shared" si="76"/>
        <v>10.1257--aer.101.2.470.pdf</v>
      </c>
      <c r="Q1201" s="52" t="str">
        <f t="array" ref="Q1201"> if(iserror(MATCH(V1201, 'File Links'!C:C, 0)), "N/A", HYPERLINK(INDEX('File Links'!B:B, MATCH(P1201, 'File Links'!C:C, 0))))</f>
        <v>https://drive.google.com/file/d/1nZRWE8YtR8lD6JVTIYbN9Kn9F6IO3Tol/view?usp=drivesdk</v>
      </c>
      <c r="R1201" s="1380" t="s">
        <v>6635</v>
      </c>
      <c r="S1201" s="88" t="s">
        <v>6636</v>
      </c>
      <c r="T1201" s="68"/>
      <c r="U1201" s="68"/>
      <c r="V1201" s="198" t="str">
        <f t="shared" si="77"/>
        <v>10.1126--science.aaf0918.pdf</v>
      </c>
      <c r="W1201" s="159" t="s">
        <v>6647</v>
      </c>
      <c r="X1201" s="54" t="str">
        <f t="array" ref="X1201"> if(iserror(MATCH(V1201, 'File Links'!C:C, 0)), "N/A", HYPERLINK(INDEX('File Links'!B:B, MATCH(V1201, 'File Links'!C:C, 0))))</f>
        <v>https://drive.google.com/file/d/1g2LUlGntoVWUQi433rats2xlfqkwajdf/view?usp=drivesdk</v>
      </c>
      <c r="Y1201" s="68"/>
      <c r="Z1201" s="159" t="s">
        <v>1809</v>
      </c>
      <c r="AA1201" s="159" t="s">
        <v>6648</v>
      </c>
      <c r="AB1201" s="159" t="s">
        <v>6649</v>
      </c>
      <c r="AC1201" s="159" t="s">
        <v>6650</v>
      </c>
      <c r="AD1201" s="159" t="s">
        <v>6651</v>
      </c>
      <c r="AE1201" s="159" t="s">
        <v>6652</v>
      </c>
      <c r="AF1201" s="156">
        <v>120.0</v>
      </c>
      <c r="AG1201" s="156">
        <v>0.18</v>
      </c>
      <c r="AH1201" s="159" t="s">
        <v>215</v>
      </c>
      <c r="AI1201" s="68" t="s">
        <v>6653</v>
      </c>
      <c r="AJ1201" s="709">
        <v>0.05</v>
      </c>
      <c r="AK1201" s="57" t="s">
        <v>135</v>
      </c>
      <c r="AL1201" s="57" t="s">
        <v>136</v>
      </c>
      <c r="AM1201" s="68" t="s">
        <v>137</v>
      </c>
      <c r="AN1201" s="151" t="s">
        <v>138</v>
      </c>
      <c r="AO1201" s="156">
        <v>318.0</v>
      </c>
      <c r="AP1201" s="156">
        <v>0.08</v>
      </c>
      <c r="AQ1201" s="159" t="s">
        <v>215</v>
      </c>
      <c r="AR1201" s="159" t="s">
        <v>3255</v>
      </c>
      <c r="AS1201" s="156">
        <v>0.16</v>
      </c>
      <c r="AT1201" s="159" t="s">
        <v>172</v>
      </c>
      <c r="AU1201" s="159" t="s">
        <v>186</v>
      </c>
      <c r="AV1201" s="68" t="s">
        <v>137</v>
      </c>
      <c r="AW1201" s="68"/>
      <c r="AX1201" s="68" t="s">
        <v>143</v>
      </c>
      <c r="AY1201" s="61" t="str">
        <f>IFERROR(__xludf.DUMMYFUNCTION("vlookup(BB1201,importrange(""https://docs.google.com/spreadsheets/d/1d2vevQ_7D_v35q4wCQ4RpQ_IPoTwEMB9Yp6ymwlPqew/edit?gid=984458430#gid=984458430"", ""'replication success'!A:K""), 11, FAlSE)"),"failed")</f>
        <v>failed</v>
      </c>
      <c r="AZ1201" s="61" t="str">
        <f>IFERROR(__xludf.DUMMYFUNCTION("vlookup(BB1201,importrange(""https://docs.google.com/spreadsheets/d/1d2vevQ_7D_v35q4wCQ4RpQ_IPoTwEMB9Yp6ymwlPqew/edit?gid=984458430#gid=984458430"",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1" s="61" t="str">
        <f>IFERROR(__xludf.DUMMYFUNCTION("vlookup(BB1201,importrange(""https://docs.google.com/spreadsheets/d/1d2vevQ_7D_v35q4wCQ4RpQ_IPoTwEMB9Yp6ymwlPqew/edit?gid=984458430#gid=984458430"", ""'replication success'!A:M""), 13, FAlSE)"),"Table S1, pg.28")</f>
        <v>Table S1, pg.28</v>
      </c>
      <c r="BB1201" s="61" t="str">
        <f>IFERROR(__xludf.DUMMYFUNCTION("REGEXREPLACE(G1201, ""_[a-z]{1,2}$"", """")"),"Camereretal2016_1")</f>
        <v>Camereretal2016_1</v>
      </c>
      <c r="BD1201" s="62" t="s">
        <v>6645</v>
      </c>
    </row>
    <row r="1202">
      <c r="A1202" s="44">
        <v>1202.0</v>
      </c>
      <c r="B1202" s="129" t="s">
        <v>152</v>
      </c>
      <c r="C1202" s="62" t="s">
        <v>115</v>
      </c>
      <c r="D1202" s="62" t="s">
        <v>232</v>
      </c>
      <c r="F1202" s="68" t="s">
        <v>6654</v>
      </c>
      <c r="G1202" s="68" t="s">
        <v>6654</v>
      </c>
      <c r="H1202" s="159" t="s">
        <v>5074</v>
      </c>
      <c r="I1202" s="152">
        <v>45690.0</v>
      </c>
      <c r="J1202" s="68"/>
      <c r="K1202" s="68"/>
      <c r="L1202" s="68"/>
      <c r="M1202" s="68" t="s">
        <v>6655</v>
      </c>
      <c r="N1202" s="68" t="s">
        <v>6656</v>
      </c>
      <c r="O1202" s="336">
        <v>1.0</v>
      </c>
      <c r="P1202" s="159" t="str">
        <f t="shared" si="76"/>
        <v>10.1257--aer.103.4.1325.pdf</v>
      </c>
      <c r="Q1202" s="52" t="str">
        <f t="array" ref="Q1202"> if(iserror(MATCH(V1202, 'File Links'!C:C, 0)), "N/A", HYPERLINK(INDEX('File Links'!B:B, MATCH(P1202, 'File Links'!C:C, 0))))</f>
        <v>https://drive.google.com/file/d/11sSauXb0HoVRgYDG9CnOlMBheFEjk0NQ/view?usp=drivesdk</v>
      </c>
      <c r="R1202" s="1380" t="s">
        <v>6635</v>
      </c>
      <c r="S1202" s="88" t="s">
        <v>6636</v>
      </c>
      <c r="T1202" s="1379"/>
      <c r="U1202" s="336">
        <v>9.0</v>
      </c>
      <c r="V1202" s="198" t="str">
        <f t="shared" si="77"/>
        <v>10.1126--science.aaf0918.pdf</v>
      </c>
      <c r="W1202" s="159" t="s">
        <v>6637</v>
      </c>
      <c r="X1202" s="54" t="str">
        <f t="array" ref="X1202"> if(iserror(MATCH(V1202, 'File Links'!C:C, 0)), "N/A", HYPERLINK(INDEX('File Links'!B:B, MATCH(V1202, 'File Links'!C:C, 0))))</f>
        <v>https://drive.google.com/file/d/1g2LUlGntoVWUQi433rats2xlfqkwajdf/view?usp=drivesdk</v>
      </c>
      <c r="Y1202" s="68"/>
      <c r="Z1202" s="159" t="s">
        <v>1809</v>
      </c>
      <c r="AA1202" s="159" t="s">
        <v>6657</v>
      </c>
      <c r="AB1202" s="68" t="s">
        <v>6658</v>
      </c>
      <c r="AC1202" s="159" t="s">
        <v>6659</v>
      </c>
      <c r="AD1202" s="151" t="s">
        <v>6660</v>
      </c>
      <c r="AE1202" s="159" t="s">
        <v>6661</v>
      </c>
      <c r="AF1202" s="156">
        <v>60.0</v>
      </c>
      <c r="AG1202" s="385">
        <v>2.899</v>
      </c>
      <c r="AH1202" s="159" t="s">
        <v>722</v>
      </c>
      <c r="AI1202" s="46" t="s">
        <v>6662</v>
      </c>
      <c r="AJ1202" s="156">
        <v>0.011</v>
      </c>
      <c r="AK1202" s="159" t="s">
        <v>172</v>
      </c>
      <c r="AL1202" s="159" t="s">
        <v>186</v>
      </c>
      <c r="AM1202" s="68" t="s">
        <v>137</v>
      </c>
      <c r="AN1202" s="151" t="s">
        <v>138</v>
      </c>
      <c r="AO1202" s="156">
        <v>102.0</v>
      </c>
      <c r="AP1202" s="161">
        <v>2.737</v>
      </c>
      <c r="AQ1202" s="380" t="s">
        <v>722</v>
      </c>
      <c r="AR1202" s="151" t="s">
        <v>6663</v>
      </c>
      <c r="AS1202" s="156">
        <v>0.026</v>
      </c>
      <c r="AT1202" s="159" t="s">
        <v>172</v>
      </c>
      <c r="AU1202" s="159" t="s">
        <v>186</v>
      </c>
      <c r="AV1202" s="68" t="s">
        <v>137</v>
      </c>
      <c r="AW1202" s="435" t="s">
        <v>6664</v>
      </c>
      <c r="AX1202" s="68" t="s">
        <v>143</v>
      </c>
      <c r="AY1202" s="61" t="str">
        <f>IFERROR(__xludf.DUMMYFUNCTION("vlookup(BB1202,importrange(""https://docs.google.com/spreadsheets/d/1d2vevQ_7D_v35q4wCQ4RpQ_IPoTwEMB9Yp6ymwlPqew/edit?gid=984458430#gid=984458430"", ""'replication success'!A:K""), 11, FAlSE)"),"successful")</f>
        <v>successful</v>
      </c>
      <c r="AZ1202" s="61" t="str">
        <f>IFERROR(__xludf.DUMMYFUNCTION("vlookup(BB1202,importrange(""https://docs.google.com/spreadsheets/d/1d2vevQ_7D_v35q4wCQ4RpQ_IPoTwEMB9Yp6ymwlPqew/edit?gid=984458430#gid=984458430"",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2" s="61" t="str">
        <f>IFERROR(__xludf.DUMMYFUNCTION("vlookup(BB1202,importrange(""https://docs.google.com/spreadsheets/d/1d2vevQ_7D_v35q4wCQ4RpQ_IPoTwEMB9Yp6ymwlPqew/edit?gid=984458430#gid=984458430"", ""'replication success'!A:M""), 13, FAlSE)"),"Table S1, pg.29")</f>
        <v>Table S1, pg.29</v>
      </c>
      <c r="BB1202" s="61" t="str">
        <f>IFERROR(__xludf.DUMMYFUNCTION("REGEXREPLACE(G1202, ""_[a-z]{1,2}$"", """")"),"Camereretal2016_10")</f>
        <v>Camereretal2016_10</v>
      </c>
      <c r="BD1202" s="62" t="s">
        <v>6645</v>
      </c>
    </row>
    <row r="1203">
      <c r="A1203" s="44">
        <v>1203.0</v>
      </c>
      <c r="B1203" s="62" t="s">
        <v>114</v>
      </c>
      <c r="C1203" s="45" t="s">
        <v>115</v>
      </c>
      <c r="D1203" s="62" t="s">
        <v>286</v>
      </c>
      <c r="F1203" s="68" t="s">
        <v>6654</v>
      </c>
      <c r="G1203" s="61" t="s">
        <v>6654</v>
      </c>
      <c r="H1203" s="159" t="s">
        <v>289</v>
      </c>
      <c r="I1203" s="152">
        <v>45664.0</v>
      </c>
      <c r="J1203" s="152">
        <v>45667.0</v>
      </c>
      <c r="K1203" s="159" t="s">
        <v>6665</v>
      </c>
      <c r="L1203" s="68"/>
      <c r="M1203" s="68" t="s">
        <v>6655</v>
      </c>
      <c r="N1203" s="68" t="s">
        <v>6656</v>
      </c>
      <c r="O1203" s="68"/>
      <c r="P1203" s="159" t="str">
        <f t="shared" si="76"/>
        <v>10.1257--aer.103.4.1325.pdf</v>
      </c>
      <c r="Q1203" s="52" t="str">
        <f t="array" ref="Q1203"> if(iserror(MATCH(V1203, 'File Links'!C:C, 0)), "N/A", HYPERLINK(INDEX('File Links'!B:B, MATCH(P1203, 'File Links'!C:C, 0))))</f>
        <v>https://drive.google.com/file/d/11sSauXb0HoVRgYDG9CnOlMBheFEjk0NQ/view?usp=drivesdk</v>
      </c>
      <c r="R1203" s="1380" t="s">
        <v>6635</v>
      </c>
      <c r="S1203" s="88" t="s">
        <v>6636</v>
      </c>
      <c r="T1203" s="68"/>
      <c r="U1203" s="68"/>
      <c r="V1203" s="198" t="str">
        <f t="shared" si="77"/>
        <v>10.1126--science.aaf0918.pdf</v>
      </c>
      <c r="W1203" s="159" t="s">
        <v>6647</v>
      </c>
      <c r="X1203" s="54" t="str">
        <f t="array" ref="X1203"> if(iserror(MATCH(V1203, 'File Links'!C:C, 0)), "N/A", HYPERLINK(INDEX('File Links'!B:B, MATCH(V1203, 'File Links'!C:C, 0))))</f>
        <v>https://drive.google.com/file/d/1g2LUlGntoVWUQi433rats2xlfqkwajdf/view?usp=drivesdk</v>
      </c>
      <c r="Y1203" s="68"/>
      <c r="Z1203" s="159" t="s">
        <v>1809</v>
      </c>
      <c r="AA1203" s="159" t="s">
        <v>6657</v>
      </c>
      <c r="AB1203" s="68"/>
      <c r="AC1203" s="159" t="s">
        <v>6666</v>
      </c>
      <c r="AD1203" s="159" t="s">
        <v>6667</v>
      </c>
      <c r="AE1203" s="159" t="s">
        <v>6661</v>
      </c>
      <c r="AF1203" s="156">
        <v>60.0</v>
      </c>
      <c r="AG1203" s="1120">
        <v>2.8987760989718647</v>
      </c>
      <c r="AH1203" s="159" t="s">
        <v>722</v>
      </c>
      <c r="AI1203" s="46" t="s">
        <v>6668</v>
      </c>
      <c r="AJ1203" s="709">
        <v>0.011</v>
      </c>
      <c r="AK1203" s="57" t="s">
        <v>172</v>
      </c>
      <c r="AL1203" s="57" t="s">
        <v>186</v>
      </c>
      <c r="AM1203" s="68" t="s">
        <v>1905</v>
      </c>
      <c r="AN1203" s="151" t="s">
        <v>138</v>
      </c>
      <c r="AO1203" s="156">
        <v>102.0</v>
      </c>
      <c r="AP1203" s="156">
        <v>0.31</v>
      </c>
      <c r="AQ1203" s="159" t="s">
        <v>215</v>
      </c>
      <c r="AR1203" s="159" t="s">
        <v>3255</v>
      </c>
      <c r="AS1203" s="156">
        <v>0.026</v>
      </c>
      <c r="AT1203" s="159" t="s">
        <v>172</v>
      </c>
      <c r="AU1203" s="159" t="s">
        <v>186</v>
      </c>
      <c r="AV1203" s="68" t="s">
        <v>1905</v>
      </c>
      <c r="AW1203" s="68"/>
      <c r="AX1203" s="68" t="s">
        <v>143</v>
      </c>
      <c r="AY1203" s="61" t="str">
        <f>IFERROR(__xludf.DUMMYFUNCTION("vlookup(BB1203,importrange(""https://docs.google.com/spreadsheets/d/1d2vevQ_7D_v35q4wCQ4RpQ_IPoTwEMB9Yp6ymwlPqew/edit?gid=984458430#gid=984458430"", ""'replication success'!A:K""), 11, FAlSE)"),"successful")</f>
        <v>successful</v>
      </c>
      <c r="AZ1203" s="61" t="str">
        <f>IFERROR(__xludf.DUMMYFUNCTION("vlookup(BB1203,importrange(""https://docs.google.com/spreadsheets/d/1d2vevQ_7D_v35q4wCQ4RpQ_IPoTwEMB9Yp6ymwlPqew/edit?gid=984458430#gid=984458430"",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3" s="61" t="str">
        <f>IFERROR(__xludf.DUMMYFUNCTION("vlookup(BB1203,importrange(""https://docs.google.com/spreadsheets/d/1d2vevQ_7D_v35q4wCQ4RpQ_IPoTwEMB9Yp6ymwlPqew/edit?gid=984458430#gid=984458430"", ""'replication success'!A:M""), 13, FAlSE)"),"Table S1, pg.29")</f>
        <v>Table S1, pg.29</v>
      </c>
      <c r="BB1203" s="61" t="str">
        <f>IFERROR(__xludf.DUMMYFUNCTION("REGEXREPLACE(G1203, ""_[a-z]{1,2}$"", """")"),"Camereretal2016_10")</f>
        <v>Camereretal2016_10</v>
      </c>
      <c r="BD1203" s="62" t="s">
        <v>6645</v>
      </c>
    </row>
    <row r="1204">
      <c r="A1204" s="44">
        <v>1204.0</v>
      </c>
      <c r="B1204" s="129" t="s">
        <v>152</v>
      </c>
      <c r="C1204" s="62" t="s">
        <v>115</v>
      </c>
      <c r="D1204" s="62" t="s">
        <v>232</v>
      </c>
      <c r="F1204" s="68" t="s">
        <v>6669</v>
      </c>
      <c r="G1204" s="68" t="s">
        <v>6669</v>
      </c>
      <c r="H1204" s="159" t="s">
        <v>5074</v>
      </c>
      <c r="I1204" s="152">
        <v>45690.0</v>
      </c>
      <c r="J1204" s="68"/>
      <c r="K1204" s="159" t="s">
        <v>6632</v>
      </c>
      <c r="L1204" s="68"/>
      <c r="M1204" s="68" t="s">
        <v>6670</v>
      </c>
      <c r="N1204" s="68" t="s">
        <v>6671</v>
      </c>
      <c r="O1204" s="336">
        <v>1.0</v>
      </c>
      <c r="P1204" s="159" t="str">
        <f t="shared" si="76"/>
        <v>10.1257--aer.102.1.337.pdf</v>
      </c>
      <c r="Q1204" s="52" t="str">
        <f t="array" ref="Q1204"> if(iserror(MATCH(V1204, 'File Links'!C:C, 0)), "N/A", HYPERLINK(INDEX('File Links'!B:B, MATCH(P1204, 'File Links'!C:C, 0))))</f>
        <v>https://drive.google.com/file/d/1hWfokltwBkoqHFEcC6Y6_dIRzbc3xn2Q/view?usp=drivesdk</v>
      </c>
      <c r="R1204" s="1380" t="s">
        <v>6635</v>
      </c>
      <c r="S1204" s="88" t="s">
        <v>6636</v>
      </c>
      <c r="T1204" s="1379"/>
      <c r="U1204" s="336">
        <v>10.0</v>
      </c>
      <c r="V1204" s="198" t="str">
        <f t="shared" si="77"/>
        <v>10.1126--science.aaf0918.pdf</v>
      </c>
      <c r="W1204" s="159" t="s">
        <v>6637</v>
      </c>
      <c r="X1204" s="54" t="str">
        <f t="array" ref="X1204"> if(iserror(MATCH(V1204, 'File Links'!C:C, 0)), "N/A", HYPERLINK(INDEX('File Links'!B:B, MATCH(V1204, 'File Links'!C:C, 0))))</f>
        <v>https://drive.google.com/file/d/1g2LUlGntoVWUQi433rats2xlfqkwajdf/view?usp=drivesdk</v>
      </c>
      <c r="Y1204" s="68"/>
      <c r="Z1204" s="159" t="s">
        <v>1809</v>
      </c>
      <c r="AA1204" s="129" t="s">
        <v>6672</v>
      </c>
      <c r="AB1204" s="159" t="s">
        <v>6673</v>
      </c>
      <c r="AC1204" s="151" t="s">
        <v>6674</v>
      </c>
      <c r="AD1204" s="151" t="s">
        <v>6675</v>
      </c>
      <c r="AE1204" s="159" t="s">
        <v>6676</v>
      </c>
      <c r="AF1204" s="156">
        <v>78.0</v>
      </c>
      <c r="AG1204" s="1381">
        <v>0.643</v>
      </c>
      <c r="AH1204" s="151" t="s">
        <v>6677</v>
      </c>
      <c r="AI1204" s="151" t="s">
        <v>6678</v>
      </c>
      <c r="AJ1204" s="161">
        <v>0.01</v>
      </c>
      <c r="AK1204" s="159" t="s">
        <v>135</v>
      </c>
      <c r="AL1204" s="159" t="s">
        <v>186</v>
      </c>
      <c r="AM1204" s="68" t="s">
        <v>137</v>
      </c>
      <c r="AN1204" s="151" t="s">
        <v>138</v>
      </c>
      <c r="AO1204" s="156">
        <v>40.0</v>
      </c>
      <c r="AP1204" s="161">
        <v>0.504</v>
      </c>
      <c r="AQ1204" s="151" t="s">
        <v>6677</v>
      </c>
      <c r="AR1204" s="159" t="s">
        <v>3255</v>
      </c>
      <c r="AS1204" s="156">
        <v>0.004</v>
      </c>
      <c r="AT1204" s="159" t="s">
        <v>172</v>
      </c>
      <c r="AU1204" s="159" t="s">
        <v>186</v>
      </c>
      <c r="AV1204" s="68" t="s">
        <v>137</v>
      </c>
      <c r="AW1204" s="435" t="s">
        <v>6679</v>
      </c>
      <c r="AX1204" s="68" t="s">
        <v>143</v>
      </c>
      <c r="AY1204" s="61" t="str">
        <f>IFERROR(__xludf.DUMMYFUNCTION("vlookup(BB1204,importrange(""https://docs.google.com/spreadsheets/d/1d2vevQ_7D_v35q4wCQ4RpQ_IPoTwEMB9Yp6ymwlPqew/edit?gid=984458430#gid=984458430"", ""'replication success'!A:K""), 11, FAlSE)"),"successful")</f>
        <v>successful</v>
      </c>
      <c r="AZ1204" s="61" t="str">
        <f>IFERROR(__xludf.DUMMYFUNCTION("vlookup(BB1204,importrange(""https://docs.google.com/spreadsheets/d/1d2vevQ_7D_v35q4wCQ4RpQ_IPoTwEMB9Yp6ymwlPqew/edit?gid=984458430#gid=984458430"",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4" s="61" t="str">
        <f>IFERROR(__xludf.DUMMYFUNCTION("vlookup(BB1204,importrange(""https://docs.google.com/spreadsheets/d/1d2vevQ_7D_v35q4wCQ4RpQ_IPoTwEMB9Yp6ymwlPqew/edit?gid=984458430#gid=984458430"", ""'replication success'!A:M""), 13, FAlSE)"),"Table S1, pg.30")</f>
        <v>Table S1, pg.30</v>
      </c>
      <c r="BB1204" s="61" t="str">
        <f>IFERROR(__xludf.DUMMYFUNCTION("REGEXREPLACE(G1204, ""_[a-z]{1,2}$"", """")"),"Camereretal2016_11")</f>
        <v>Camereretal2016_11</v>
      </c>
      <c r="BD1204" s="62" t="s">
        <v>6645</v>
      </c>
    </row>
    <row r="1205">
      <c r="A1205" s="44">
        <v>1205.0</v>
      </c>
      <c r="B1205" s="62" t="s">
        <v>114</v>
      </c>
      <c r="C1205" s="45" t="s">
        <v>115</v>
      </c>
      <c r="D1205" s="62" t="s">
        <v>286</v>
      </c>
      <c r="F1205" s="68" t="s">
        <v>6669</v>
      </c>
      <c r="G1205" s="61" t="s">
        <v>6669</v>
      </c>
      <c r="H1205" s="159" t="s">
        <v>289</v>
      </c>
      <c r="I1205" s="152">
        <v>45664.0</v>
      </c>
      <c r="J1205" s="152">
        <v>45667.0</v>
      </c>
      <c r="K1205" s="159" t="s">
        <v>6680</v>
      </c>
      <c r="L1205" s="68"/>
      <c r="M1205" s="68" t="s">
        <v>6670</v>
      </c>
      <c r="N1205" s="68" t="s">
        <v>6671</v>
      </c>
      <c r="O1205" s="68"/>
      <c r="P1205" s="159" t="str">
        <f t="shared" si="76"/>
        <v>10.1257--aer.102.1.337.pdf</v>
      </c>
      <c r="Q1205" s="52" t="str">
        <f t="array" ref="Q1205"> if(iserror(MATCH(V1205, 'File Links'!C:C, 0)), "N/A", HYPERLINK(INDEX('File Links'!B:B, MATCH(P1205, 'File Links'!C:C, 0))))</f>
        <v>https://drive.google.com/file/d/1hWfokltwBkoqHFEcC6Y6_dIRzbc3xn2Q/view?usp=drivesdk</v>
      </c>
      <c r="R1205" s="1380" t="s">
        <v>6635</v>
      </c>
      <c r="S1205" s="88" t="s">
        <v>6636</v>
      </c>
      <c r="T1205" s="68"/>
      <c r="U1205" s="68"/>
      <c r="V1205" s="198" t="str">
        <f t="shared" si="77"/>
        <v>10.1126--science.aaf0918.pdf</v>
      </c>
      <c r="W1205" s="159" t="s">
        <v>6647</v>
      </c>
      <c r="X1205" s="54" t="str">
        <f t="array" ref="X1205"> if(iserror(MATCH(V1205, 'File Links'!C:C, 0)), "N/A", HYPERLINK(INDEX('File Links'!B:B, MATCH(V1205, 'File Links'!C:C, 0))))</f>
        <v>https://drive.google.com/file/d/1g2LUlGntoVWUQi433rats2xlfqkwajdf/view?usp=drivesdk</v>
      </c>
      <c r="Y1205" s="68"/>
      <c r="Z1205" s="159" t="s">
        <v>1809</v>
      </c>
      <c r="AA1205" s="151" t="s">
        <v>6681</v>
      </c>
      <c r="AB1205" s="159" t="s">
        <v>6682</v>
      </c>
      <c r="AC1205" s="159" t="s">
        <v>6683</v>
      </c>
      <c r="AD1205" s="159" t="s">
        <v>6684</v>
      </c>
      <c r="AE1205" s="159" t="s">
        <v>6676</v>
      </c>
      <c r="AF1205" s="156">
        <v>78.0</v>
      </c>
      <c r="AG1205" s="1381">
        <v>0.643</v>
      </c>
      <c r="AH1205" s="151" t="s">
        <v>173</v>
      </c>
      <c r="AI1205" s="159" t="s">
        <v>6685</v>
      </c>
      <c r="AJ1205" s="709">
        <v>0.001</v>
      </c>
      <c r="AK1205" s="57" t="s">
        <v>135</v>
      </c>
      <c r="AL1205" s="57" t="s">
        <v>186</v>
      </c>
      <c r="AM1205" s="68" t="s">
        <v>1905</v>
      </c>
      <c r="AN1205" s="151" t="s">
        <v>138</v>
      </c>
      <c r="AO1205" s="156">
        <v>40.0</v>
      </c>
      <c r="AP1205" s="156">
        <v>0.44</v>
      </c>
      <c r="AQ1205" s="159" t="s">
        <v>215</v>
      </c>
      <c r="AR1205" s="159" t="s">
        <v>3255</v>
      </c>
      <c r="AS1205" s="156">
        <v>0.004</v>
      </c>
      <c r="AT1205" s="159" t="s">
        <v>172</v>
      </c>
      <c r="AU1205" s="159" t="s">
        <v>186</v>
      </c>
      <c r="AV1205" s="68" t="s">
        <v>1905</v>
      </c>
      <c r="AW1205" s="68"/>
      <c r="AX1205" s="68" t="s">
        <v>143</v>
      </c>
      <c r="AY1205" s="61" t="str">
        <f>IFERROR(__xludf.DUMMYFUNCTION("vlookup(BB1205,importrange(""https://docs.google.com/spreadsheets/d/1d2vevQ_7D_v35q4wCQ4RpQ_IPoTwEMB9Yp6ymwlPqew/edit?gid=984458430#gid=984458430"", ""'replication success'!A:K""), 11, FAlSE)"),"successful")</f>
        <v>successful</v>
      </c>
      <c r="AZ1205" s="61" t="str">
        <f>IFERROR(__xludf.DUMMYFUNCTION("vlookup(BB1205,importrange(""https://docs.google.com/spreadsheets/d/1d2vevQ_7D_v35q4wCQ4RpQ_IPoTwEMB9Yp6ymwlPqew/edit?gid=984458430#gid=984458430"",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5" s="61" t="str">
        <f>IFERROR(__xludf.DUMMYFUNCTION("vlookup(BB1205,importrange(""https://docs.google.com/spreadsheets/d/1d2vevQ_7D_v35q4wCQ4RpQ_IPoTwEMB9Yp6ymwlPqew/edit?gid=984458430#gid=984458430"", ""'replication success'!A:M""), 13, FAlSE)"),"Table S1, pg.30")</f>
        <v>Table S1, pg.30</v>
      </c>
      <c r="BB1205" s="61" t="str">
        <f>IFERROR(__xludf.DUMMYFUNCTION("REGEXREPLACE(G1205, ""_[a-z]{1,2}$"", """")"),"Camereretal2016_11")</f>
        <v>Camereretal2016_11</v>
      </c>
      <c r="BD1205" s="62" t="s">
        <v>6645</v>
      </c>
    </row>
    <row r="1206">
      <c r="A1206" s="44">
        <v>1206.0</v>
      </c>
      <c r="B1206" s="129" t="s">
        <v>152</v>
      </c>
      <c r="C1206" s="62" t="s">
        <v>115</v>
      </c>
      <c r="D1206" s="62" t="s">
        <v>232</v>
      </c>
      <c r="F1206" s="68" t="s">
        <v>6686</v>
      </c>
      <c r="G1206" s="68" t="s">
        <v>6686</v>
      </c>
      <c r="H1206" s="159" t="s">
        <v>5074</v>
      </c>
      <c r="I1206" s="152">
        <v>45690.0</v>
      </c>
      <c r="J1206" s="68"/>
      <c r="K1206" s="68"/>
      <c r="L1206" s="68"/>
      <c r="M1206" s="68" t="s">
        <v>6687</v>
      </c>
      <c r="N1206" s="68" t="s">
        <v>6688</v>
      </c>
      <c r="O1206" s="336">
        <v>1.0</v>
      </c>
      <c r="P1206" s="159" t="str">
        <f t="shared" si="76"/>
        <v>10.1257--aer.102.2.720.pdf</v>
      </c>
      <c r="Q1206" s="52" t="str">
        <f t="array" ref="Q1206"> if(iserror(MATCH(V1206, 'File Links'!C:C, 0)), "N/A", HYPERLINK(INDEX('File Links'!B:B, MATCH(P1206, 'File Links'!C:C, 0))))</f>
        <v>https://drive.google.com/file/d/1CGw2aFqdeWSzTPWBi4Jhk_HVOrooYuQO/view?usp=drivesdk</v>
      </c>
      <c r="R1206" s="1378" t="s">
        <v>6635</v>
      </c>
      <c r="S1206" s="88" t="s">
        <v>6636</v>
      </c>
      <c r="T1206" s="1379"/>
      <c r="U1206" s="336">
        <v>11.0</v>
      </c>
      <c r="V1206" s="198" t="str">
        <f t="shared" si="77"/>
        <v>10.1126--science.aaf0918.pdf</v>
      </c>
      <c r="W1206" s="159" t="s">
        <v>6637</v>
      </c>
      <c r="X1206" s="54" t="str">
        <f t="array" ref="X1206"> if(iserror(MATCH(V1206, 'File Links'!C:C, 0)), "N/A", HYPERLINK(INDEX('File Links'!B:B, MATCH(V1206, 'File Links'!C:C, 0))))</f>
        <v>https://drive.google.com/file/d/1g2LUlGntoVWUQi433rats2xlfqkwajdf/view?usp=drivesdk</v>
      </c>
      <c r="Y1206" s="68"/>
      <c r="Z1206" s="159" t="s">
        <v>1809</v>
      </c>
      <c r="AA1206" s="129" t="s">
        <v>6689</v>
      </c>
      <c r="AB1206" s="1382" t="s">
        <v>6690</v>
      </c>
      <c r="AC1206" s="129" t="s">
        <v>6691</v>
      </c>
      <c r="AD1206" s="151" t="s">
        <v>6692</v>
      </c>
      <c r="AE1206" s="151" t="s">
        <v>6693</v>
      </c>
      <c r="AF1206" s="156">
        <v>124.0</v>
      </c>
      <c r="AG1206" s="1120">
        <v>0.27150462314373774</v>
      </c>
      <c r="AH1206" s="159" t="s">
        <v>722</v>
      </c>
      <c r="AI1206" s="151" t="s">
        <v>6694</v>
      </c>
      <c r="AJ1206" s="161">
        <v>0.016</v>
      </c>
      <c r="AK1206" s="159" t="s">
        <v>172</v>
      </c>
      <c r="AL1206" s="159" t="s">
        <v>186</v>
      </c>
      <c r="AM1206" s="68" t="s">
        <v>137</v>
      </c>
      <c r="AN1206" s="151" t="s">
        <v>138</v>
      </c>
      <c r="AO1206" s="156">
        <v>128.0</v>
      </c>
      <c r="AP1206" s="378">
        <v>-0.33</v>
      </c>
      <c r="AQ1206" s="159" t="s">
        <v>215</v>
      </c>
      <c r="AR1206" s="151" t="s">
        <v>6695</v>
      </c>
      <c r="AS1206" s="156">
        <v>0.001</v>
      </c>
      <c r="AT1206" s="159" t="s">
        <v>135</v>
      </c>
      <c r="AU1206" s="159" t="s">
        <v>186</v>
      </c>
      <c r="AV1206" s="68" t="s">
        <v>137</v>
      </c>
      <c r="AW1206" s="435" t="s">
        <v>6696</v>
      </c>
      <c r="AX1206" s="68" t="s">
        <v>143</v>
      </c>
      <c r="AY1206" s="61" t="str">
        <f>IFERROR(__xludf.DUMMYFUNCTION("vlookup(BB1206,importrange(""https://docs.google.com/spreadsheets/d/1d2vevQ_7D_v35q4wCQ4RpQ_IPoTwEMB9Yp6ymwlPqew/edit?gid=984458430#gid=984458430"", ""'replication success'!A:K""), 11, FAlSE)"),"successful")</f>
        <v>successful</v>
      </c>
      <c r="AZ1206" s="61" t="str">
        <f>IFERROR(__xludf.DUMMYFUNCTION("vlookup(BB1206,importrange(""https://docs.google.com/spreadsheets/d/1d2vevQ_7D_v35q4wCQ4RpQ_IPoTwEMB9Yp6ymwlPqew/edit?gid=984458430#gid=984458430"",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6" s="61" t="str">
        <f>IFERROR(__xludf.DUMMYFUNCTION("vlookup(BB1206,importrange(""https://docs.google.com/spreadsheets/d/1d2vevQ_7D_v35q4wCQ4RpQ_IPoTwEMB9Yp6ymwlPqew/edit?gid=984458430#gid=984458430"", ""'replication success'!A:M""), 13, FAlSE)"),"Table S1, pg.31")</f>
        <v>Table S1, pg.31</v>
      </c>
      <c r="BB1206" s="61" t="str">
        <f>IFERROR(__xludf.DUMMYFUNCTION("REGEXREPLACE(G1206, ""_[a-z]{1,2}$"", """")"),"Camereretal2016_12")</f>
        <v>Camereretal2016_12</v>
      </c>
      <c r="BD1206" s="62" t="s">
        <v>6645</v>
      </c>
    </row>
    <row r="1207">
      <c r="A1207" s="44">
        <v>1207.0</v>
      </c>
      <c r="B1207" s="62" t="s">
        <v>114</v>
      </c>
      <c r="C1207" s="45" t="s">
        <v>115</v>
      </c>
      <c r="D1207" s="62" t="s">
        <v>286</v>
      </c>
      <c r="F1207" s="68" t="s">
        <v>6686</v>
      </c>
      <c r="G1207" s="61" t="s">
        <v>6686</v>
      </c>
      <c r="H1207" s="159" t="s">
        <v>289</v>
      </c>
      <c r="I1207" s="152">
        <v>45664.0</v>
      </c>
      <c r="J1207" s="152">
        <v>45667.0</v>
      </c>
      <c r="K1207" s="159" t="s">
        <v>6697</v>
      </c>
      <c r="L1207" s="68"/>
      <c r="M1207" s="68" t="s">
        <v>6687</v>
      </c>
      <c r="N1207" s="68" t="s">
        <v>6688</v>
      </c>
      <c r="O1207" s="68"/>
      <c r="P1207" s="159" t="str">
        <f t="shared" si="76"/>
        <v>10.1257--aer.102.2.720.pdf</v>
      </c>
      <c r="Q1207" s="52" t="str">
        <f t="array" ref="Q1207"> if(iserror(MATCH(V1207, 'File Links'!C:C, 0)), "N/A", HYPERLINK(INDEX('File Links'!B:B, MATCH(P1207, 'File Links'!C:C, 0))))</f>
        <v>https://drive.google.com/file/d/1CGw2aFqdeWSzTPWBi4Jhk_HVOrooYuQO/view?usp=drivesdk</v>
      </c>
      <c r="R1207" s="1380" t="s">
        <v>6635</v>
      </c>
      <c r="S1207" s="88" t="s">
        <v>6636</v>
      </c>
      <c r="T1207" s="68"/>
      <c r="U1207" s="68"/>
      <c r="V1207" s="198" t="str">
        <f t="shared" si="77"/>
        <v>10.1126--science.aaf0918.pdf</v>
      </c>
      <c r="W1207" s="159" t="s">
        <v>6647</v>
      </c>
      <c r="X1207" s="54" t="str">
        <f t="array" ref="X1207"> if(iserror(MATCH(V1207, 'File Links'!C:C, 0)), "N/A", HYPERLINK(INDEX('File Links'!B:B, MATCH(V1207, 'File Links'!C:C, 0))))</f>
        <v>https://drive.google.com/file/d/1g2LUlGntoVWUQi433rats2xlfqkwajdf/view?usp=drivesdk</v>
      </c>
      <c r="Y1207" s="68"/>
      <c r="Z1207" s="159" t="s">
        <v>1809</v>
      </c>
      <c r="AA1207" s="159" t="s">
        <v>6698</v>
      </c>
      <c r="AB1207" s="159" t="s">
        <v>6699</v>
      </c>
      <c r="AC1207" s="159" t="s">
        <v>6700</v>
      </c>
      <c r="AD1207" s="159" t="s">
        <v>6701</v>
      </c>
      <c r="AE1207" s="159" t="s">
        <v>6702</v>
      </c>
      <c r="AF1207" s="156">
        <v>124.0</v>
      </c>
      <c r="AG1207" s="1120">
        <v>1.9999999999999996</v>
      </c>
      <c r="AH1207" s="151" t="s">
        <v>173</v>
      </c>
      <c r="AI1207" s="159" t="s">
        <v>6703</v>
      </c>
      <c r="AJ1207" s="709">
        <v>0.001</v>
      </c>
      <c r="AK1207" s="57" t="s">
        <v>135</v>
      </c>
      <c r="AL1207" s="57" t="s">
        <v>186</v>
      </c>
      <c r="AM1207" s="68" t="s">
        <v>141</v>
      </c>
      <c r="AN1207" s="151" t="s">
        <v>138</v>
      </c>
      <c r="AO1207" s="156">
        <v>128.0</v>
      </c>
      <c r="AP1207" s="156">
        <v>0.33</v>
      </c>
      <c r="AQ1207" s="159" t="s">
        <v>215</v>
      </c>
      <c r="AR1207" s="159" t="s">
        <v>3255</v>
      </c>
      <c r="AS1207" s="156">
        <v>0.001</v>
      </c>
      <c r="AT1207" s="159" t="s">
        <v>135</v>
      </c>
      <c r="AU1207" s="159" t="s">
        <v>186</v>
      </c>
      <c r="AV1207" s="68" t="s">
        <v>141</v>
      </c>
      <c r="AW1207" s="68"/>
      <c r="AX1207" s="68" t="s">
        <v>143</v>
      </c>
      <c r="AY1207" s="61" t="str">
        <f>IFERROR(__xludf.DUMMYFUNCTION("vlookup(BB1207,importrange(""https://docs.google.com/spreadsheets/d/1d2vevQ_7D_v35q4wCQ4RpQ_IPoTwEMB9Yp6ymwlPqew/edit?gid=984458430#gid=984458430"", ""'replication success'!A:K""), 11, FAlSE)"),"successful")</f>
        <v>successful</v>
      </c>
      <c r="AZ1207" s="61" t="str">
        <f>IFERROR(__xludf.DUMMYFUNCTION("vlookup(BB1207,importrange(""https://docs.google.com/spreadsheets/d/1d2vevQ_7D_v35q4wCQ4RpQ_IPoTwEMB9Yp6ymwlPqew/edit?gid=984458430#gid=984458430"",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7" s="61" t="str">
        <f>IFERROR(__xludf.DUMMYFUNCTION("vlookup(BB1207,importrange(""https://docs.google.com/spreadsheets/d/1d2vevQ_7D_v35q4wCQ4RpQ_IPoTwEMB9Yp6ymwlPqew/edit?gid=984458430#gid=984458430"", ""'replication success'!A:M""), 13, FAlSE)"),"Table S1, pg.31")</f>
        <v>Table S1, pg.31</v>
      </c>
      <c r="BB1207" s="61" t="str">
        <f>IFERROR(__xludf.DUMMYFUNCTION("REGEXREPLACE(G1207, ""_[a-z]{1,2}$"", """")"),"Camereretal2016_12")</f>
        <v>Camereretal2016_12</v>
      </c>
      <c r="BD1207" s="62" t="s">
        <v>6645</v>
      </c>
    </row>
    <row r="1208">
      <c r="A1208" s="44">
        <v>1208.0</v>
      </c>
      <c r="B1208" s="129" t="s">
        <v>152</v>
      </c>
      <c r="C1208" s="62" t="s">
        <v>115</v>
      </c>
      <c r="D1208" s="62" t="s">
        <v>232</v>
      </c>
      <c r="F1208" s="68" t="s">
        <v>6704</v>
      </c>
      <c r="G1208" s="68" t="s">
        <v>6704</v>
      </c>
      <c r="H1208" s="159" t="s">
        <v>5074</v>
      </c>
      <c r="I1208" s="152">
        <v>45690.0</v>
      </c>
      <c r="J1208" s="68"/>
      <c r="K1208" s="159" t="s">
        <v>6705</v>
      </c>
      <c r="L1208" s="68"/>
      <c r="M1208" s="68" t="s">
        <v>6706</v>
      </c>
      <c r="N1208" s="68" t="s">
        <v>6707</v>
      </c>
      <c r="O1208" s="336">
        <v>1.0</v>
      </c>
      <c r="P1208" s="159" t="str">
        <f t="shared" si="76"/>
        <v>10.1257--aer.101.2.819.pdf</v>
      </c>
      <c r="Q1208" s="52" t="str">
        <f t="array" ref="Q1208"> if(iserror(MATCH(V1208, 'File Links'!C:C, 0)), "N/A", HYPERLINK(INDEX('File Links'!B:B, MATCH(P1208, 'File Links'!C:C, 0))))</f>
        <v>https://drive.google.com/file/d/1gPKErZn0U75GIXRc3TyDKhjO1YYEA8-a/view?usp=drivesdk</v>
      </c>
      <c r="R1208" s="1380" t="s">
        <v>6635</v>
      </c>
      <c r="S1208" s="88" t="s">
        <v>6636</v>
      </c>
      <c r="T1208" s="1379"/>
      <c r="U1208" s="336">
        <v>12.0</v>
      </c>
      <c r="V1208" s="198" t="str">
        <f t="shared" si="77"/>
        <v>10.1126--science.aaf0918.pdf</v>
      </c>
      <c r="W1208" s="159" t="s">
        <v>6637</v>
      </c>
      <c r="X1208" s="54" t="str">
        <f t="array" ref="X1208"> if(iserror(MATCH(V1208, 'File Links'!C:C, 0)), "N/A", HYPERLINK(INDEX('File Links'!B:B, MATCH(V1208, 'File Links'!C:C, 0))))</f>
        <v>https://drive.google.com/file/d/1g2LUlGntoVWUQi433rats2xlfqkwajdf/view?usp=drivesdk</v>
      </c>
      <c r="Y1208" s="68"/>
      <c r="Z1208" s="159" t="s">
        <v>1809</v>
      </c>
      <c r="AA1208" s="159" t="s">
        <v>6708</v>
      </c>
      <c r="AB1208" s="159" t="s">
        <v>6709</v>
      </c>
      <c r="AC1208" s="159" t="s">
        <v>6710</v>
      </c>
      <c r="AD1208" s="151" t="s">
        <v>6711</v>
      </c>
      <c r="AE1208" s="151" t="s">
        <v>6712</v>
      </c>
      <c r="AF1208" s="156">
        <v>120.0</v>
      </c>
      <c r="AG1208" s="156">
        <v>33.43</v>
      </c>
      <c r="AH1208" s="151" t="s">
        <v>6713</v>
      </c>
      <c r="AI1208" s="151" t="s">
        <v>6714</v>
      </c>
      <c r="AJ1208" s="709">
        <v>0.01</v>
      </c>
      <c r="AK1208" s="57" t="s">
        <v>135</v>
      </c>
      <c r="AL1208" s="159" t="s">
        <v>186</v>
      </c>
      <c r="AM1208" s="68" t="s">
        <v>137</v>
      </c>
      <c r="AN1208" s="151" t="s">
        <v>138</v>
      </c>
      <c r="AO1208" s="156">
        <v>160.0</v>
      </c>
      <c r="AP1208" s="161">
        <v>14.23</v>
      </c>
      <c r="AQ1208" s="151" t="s">
        <v>6713</v>
      </c>
      <c r="AR1208" s="151" t="s">
        <v>217</v>
      </c>
      <c r="AS1208" s="156">
        <v>0.142</v>
      </c>
      <c r="AT1208" s="159" t="s">
        <v>172</v>
      </c>
      <c r="AU1208" s="159" t="s">
        <v>186</v>
      </c>
      <c r="AV1208" s="68" t="s">
        <v>137</v>
      </c>
      <c r="AW1208" s="435" t="s">
        <v>6715</v>
      </c>
      <c r="AX1208" s="68" t="s">
        <v>143</v>
      </c>
      <c r="AY1208" s="61" t="str">
        <f>IFERROR(__xludf.DUMMYFUNCTION("vlookup(BB1208,importrange(""https://docs.google.com/spreadsheets/d/1d2vevQ_7D_v35q4wCQ4RpQ_IPoTwEMB9Yp6ymwlPqew/edit?gid=984458430#gid=984458430"", ""'replication success'!A:K""), 11, FAlSE)"),"failed")</f>
        <v>failed</v>
      </c>
      <c r="AZ1208" s="61" t="str">
        <f>IFERROR(__xludf.DUMMYFUNCTION("vlookup(BB1208,importrange(""https://docs.google.com/spreadsheets/d/1d2vevQ_7D_v35q4wCQ4RpQ_IPoTwEMB9Yp6ymwlPqew/edit?gid=984458430#gid=984458430"",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8" s="61" t="str">
        <f>IFERROR(__xludf.DUMMYFUNCTION("vlookup(BB1208,importrange(""https://docs.google.com/spreadsheets/d/1d2vevQ_7D_v35q4wCQ4RpQ_IPoTwEMB9Yp6ymwlPqew/edit?gid=984458430#gid=984458430"", ""'replication success'!A:M""), 13, FAlSE)"),"Table S1, pg.32")</f>
        <v>Table S1, pg.32</v>
      </c>
      <c r="BB1208" s="61" t="str">
        <f>IFERROR(__xludf.DUMMYFUNCTION("REGEXREPLACE(G1208, ""_[a-z]{1,2}$"", """")"),"Camereretal2016_13")</f>
        <v>Camereretal2016_13</v>
      </c>
      <c r="BD1208" s="62" t="s">
        <v>6645</v>
      </c>
    </row>
    <row r="1209">
      <c r="A1209" s="44">
        <v>1209.0</v>
      </c>
      <c r="B1209" s="62" t="s">
        <v>114</v>
      </c>
      <c r="C1209" s="45" t="s">
        <v>115</v>
      </c>
      <c r="D1209" s="62" t="s">
        <v>286</v>
      </c>
      <c r="F1209" s="68" t="s">
        <v>6704</v>
      </c>
      <c r="G1209" s="61" t="s">
        <v>6704</v>
      </c>
      <c r="H1209" s="159" t="s">
        <v>289</v>
      </c>
      <c r="I1209" s="152">
        <v>45667.0</v>
      </c>
      <c r="J1209" s="68"/>
      <c r="K1209" s="159" t="s">
        <v>6716</v>
      </c>
      <c r="L1209" s="68"/>
      <c r="M1209" s="68" t="s">
        <v>6706</v>
      </c>
      <c r="N1209" s="68" t="s">
        <v>6707</v>
      </c>
      <c r="O1209" s="68"/>
      <c r="P1209" s="159" t="str">
        <f t="shared" si="76"/>
        <v>10.1257--aer.101.2.819.pdf</v>
      </c>
      <c r="Q1209" s="52" t="str">
        <f t="array" ref="Q1209"> if(iserror(MATCH(V1209, 'File Links'!C:C, 0)), "N/A", HYPERLINK(INDEX('File Links'!B:B, MATCH(P1209, 'File Links'!C:C, 0))))</f>
        <v>https://drive.google.com/file/d/1gPKErZn0U75GIXRc3TyDKhjO1YYEA8-a/view?usp=drivesdk</v>
      </c>
      <c r="R1209" s="1380" t="s">
        <v>6635</v>
      </c>
      <c r="S1209" s="88" t="s">
        <v>6636</v>
      </c>
      <c r="T1209" s="68"/>
      <c r="U1209" s="68"/>
      <c r="V1209" s="198" t="str">
        <f t="shared" si="77"/>
        <v>10.1126--science.aaf0918.pdf</v>
      </c>
      <c r="W1209" s="159" t="s">
        <v>6647</v>
      </c>
      <c r="X1209" s="54" t="str">
        <f t="array" ref="X1209"> if(iserror(MATCH(V1209, 'File Links'!C:C, 0)), "N/A", HYPERLINK(INDEX('File Links'!B:B, MATCH(V1209, 'File Links'!C:C, 0))))</f>
        <v>https://drive.google.com/file/d/1g2LUlGntoVWUQi433rats2xlfqkwajdf/view?usp=drivesdk</v>
      </c>
      <c r="Y1209" s="68"/>
      <c r="Z1209" s="159" t="s">
        <v>1809</v>
      </c>
      <c r="AA1209" s="159" t="s">
        <v>6708</v>
      </c>
      <c r="AB1209" s="159" t="s">
        <v>6717</v>
      </c>
      <c r="AC1209" s="159" t="s">
        <v>6718</v>
      </c>
      <c r="AD1209" s="159" t="s">
        <v>6719</v>
      </c>
      <c r="AE1209" s="159" t="s">
        <v>6720</v>
      </c>
      <c r="AF1209" s="156">
        <v>120.0</v>
      </c>
      <c r="AG1209" s="156">
        <v>33.43</v>
      </c>
      <c r="AH1209" s="360" t="s">
        <v>6721</v>
      </c>
      <c r="AI1209" s="159" t="s">
        <v>6722</v>
      </c>
      <c r="AJ1209" s="709">
        <v>0.01</v>
      </c>
      <c r="AK1209" s="57" t="s">
        <v>135</v>
      </c>
      <c r="AL1209" s="57" t="s">
        <v>186</v>
      </c>
      <c r="AM1209" s="68" t="s">
        <v>1905</v>
      </c>
      <c r="AN1209" s="151" t="s">
        <v>138</v>
      </c>
      <c r="AO1209" s="156">
        <v>160.0</v>
      </c>
      <c r="AP1209" s="156">
        <v>0.37</v>
      </c>
      <c r="AQ1209" s="159" t="s">
        <v>215</v>
      </c>
      <c r="AR1209" s="159" t="s">
        <v>3255</v>
      </c>
      <c r="AS1209" s="156">
        <v>0.142</v>
      </c>
      <c r="AT1209" s="159" t="s">
        <v>172</v>
      </c>
      <c r="AU1209" s="159" t="s">
        <v>186</v>
      </c>
      <c r="AV1209" s="68" t="s">
        <v>1905</v>
      </c>
      <c r="AW1209" s="68"/>
      <c r="AX1209" s="68" t="s">
        <v>143</v>
      </c>
      <c r="AY1209" s="61" t="str">
        <f>IFERROR(__xludf.DUMMYFUNCTION("vlookup(BB1209,importrange(""https://docs.google.com/spreadsheets/d/1d2vevQ_7D_v35q4wCQ4RpQ_IPoTwEMB9Yp6ymwlPqew/edit?gid=984458430#gid=984458430"", ""'replication success'!A:K""), 11, FAlSE)"),"failed")</f>
        <v>failed</v>
      </c>
      <c r="AZ1209" s="61" t="str">
        <f>IFERROR(__xludf.DUMMYFUNCTION("vlookup(BB1209,importrange(""https://docs.google.com/spreadsheets/d/1d2vevQ_7D_v35q4wCQ4RpQ_IPoTwEMB9Yp6ymwlPqew/edit?gid=984458430#gid=984458430"",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09" s="61" t="str">
        <f>IFERROR(__xludf.DUMMYFUNCTION("vlookup(BB1209,importrange(""https://docs.google.com/spreadsheets/d/1d2vevQ_7D_v35q4wCQ4RpQ_IPoTwEMB9Yp6ymwlPqew/edit?gid=984458430#gid=984458430"", ""'replication success'!A:M""), 13, FAlSE)"),"Table S1, pg.32")</f>
        <v>Table S1, pg.32</v>
      </c>
      <c r="BB1209" s="61" t="str">
        <f>IFERROR(__xludf.DUMMYFUNCTION("REGEXREPLACE(G1209, ""_[a-z]{1,2}$"", """")"),"Camereretal2016_13")</f>
        <v>Camereretal2016_13</v>
      </c>
      <c r="BD1209" s="62" t="s">
        <v>6645</v>
      </c>
    </row>
    <row r="1210">
      <c r="A1210" s="44">
        <v>1210.0</v>
      </c>
      <c r="B1210" s="129" t="s">
        <v>152</v>
      </c>
      <c r="C1210" s="62" t="s">
        <v>115</v>
      </c>
      <c r="D1210" s="62" t="s">
        <v>232</v>
      </c>
      <c r="F1210" s="68" t="s">
        <v>6723</v>
      </c>
      <c r="G1210" s="68" t="s">
        <v>6723</v>
      </c>
      <c r="H1210" s="159" t="s">
        <v>5074</v>
      </c>
      <c r="I1210" s="152">
        <v>45690.0</v>
      </c>
      <c r="J1210" s="68"/>
      <c r="K1210" s="68"/>
      <c r="L1210" s="68"/>
      <c r="M1210" s="68" t="s">
        <v>6724</v>
      </c>
      <c r="N1210" s="68" t="s">
        <v>6725</v>
      </c>
      <c r="O1210" s="336">
        <v>1.0</v>
      </c>
      <c r="P1210" s="159" t="str">
        <f t="shared" si="76"/>
        <v>10.1257--aer.101.7.3109.pdf</v>
      </c>
      <c r="Q1210" s="52" t="str">
        <f t="array" ref="Q1210"> if(iserror(MATCH(V1210, 'File Links'!C:C, 0)), "N/A", HYPERLINK(INDEX('File Links'!B:B, MATCH(P1210, 'File Links'!C:C, 0))))</f>
        <v>https://drive.google.com/file/d/19J7SxgV3TKuAhMt2JaFPTLscquaGkcBh/view?usp=drivesdk</v>
      </c>
      <c r="R1210" s="1380" t="s">
        <v>6635</v>
      </c>
      <c r="S1210" s="88" t="s">
        <v>6636</v>
      </c>
      <c r="T1210" s="1379"/>
      <c r="U1210" s="336">
        <v>13.0</v>
      </c>
      <c r="V1210" s="198" t="str">
        <f t="shared" si="77"/>
        <v>10.1126--science.aaf0918.pdf</v>
      </c>
      <c r="W1210" s="159" t="s">
        <v>6637</v>
      </c>
      <c r="X1210" s="54" t="str">
        <f t="array" ref="X1210"> if(iserror(MATCH(V1210, 'File Links'!C:C, 0)), "N/A", HYPERLINK(INDEX('File Links'!B:B, MATCH(V1210, 'File Links'!C:C, 0))))</f>
        <v>https://drive.google.com/file/d/1g2LUlGntoVWUQi433rats2xlfqkwajdf/view?usp=drivesdk</v>
      </c>
      <c r="Y1210" s="68"/>
      <c r="Z1210" s="159" t="s">
        <v>1809</v>
      </c>
      <c r="AA1210" s="129" t="s">
        <v>6726</v>
      </c>
      <c r="AB1210" s="151" t="s">
        <v>6727</v>
      </c>
      <c r="AC1210" s="159" t="s">
        <v>6728</v>
      </c>
      <c r="AD1210" s="151" t="s">
        <v>6729</v>
      </c>
      <c r="AE1210" s="159" t="s">
        <v>6730</v>
      </c>
      <c r="AF1210" s="156">
        <v>58.0</v>
      </c>
      <c r="AG1210" s="161">
        <v>2.997</v>
      </c>
      <c r="AH1210" s="151" t="s">
        <v>6713</v>
      </c>
      <c r="AI1210" s="159" t="s">
        <v>6730</v>
      </c>
      <c r="AJ1210" s="156">
        <v>0.05</v>
      </c>
      <c r="AK1210" s="159" t="s">
        <v>135</v>
      </c>
      <c r="AL1210" s="159" t="s">
        <v>186</v>
      </c>
      <c r="AM1210" s="129" t="s">
        <v>141</v>
      </c>
      <c r="AN1210" s="151" t="s">
        <v>138</v>
      </c>
      <c r="AO1210" s="156">
        <v>131.0</v>
      </c>
      <c r="AP1210" s="161">
        <v>-0.057</v>
      </c>
      <c r="AQ1210" s="151" t="s">
        <v>6713</v>
      </c>
      <c r="AR1210" s="151" t="s">
        <v>813</v>
      </c>
      <c r="AS1210" s="156">
        <v>0.933</v>
      </c>
      <c r="AT1210" s="159" t="s">
        <v>172</v>
      </c>
      <c r="AU1210" s="159" t="s">
        <v>186</v>
      </c>
      <c r="AV1210" s="129" t="s">
        <v>141</v>
      </c>
      <c r="AW1210" s="435" t="s">
        <v>6731</v>
      </c>
      <c r="AX1210" s="68" t="s">
        <v>143</v>
      </c>
      <c r="AY1210" s="61" t="str">
        <f>IFERROR(__xludf.DUMMYFUNCTION("vlookup(BB1210,importrange(""https://docs.google.com/spreadsheets/d/1d2vevQ_7D_v35q4wCQ4RpQ_IPoTwEMB9Yp6ymwlPqew/edit?gid=984458430#gid=984458430"", ""'replication success'!A:K""), 11, FAlSE)"),"failed")</f>
        <v>failed</v>
      </c>
      <c r="AZ1210" s="61" t="str">
        <f>IFERROR(__xludf.DUMMYFUNCTION("vlookup(BB1210,importrange(""https://docs.google.com/spreadsheets/d/1d2vevQ_7D_v35q4wCQ4RpQ_IPoTwEMB9Yp6ymwlPqew/edit?gid=984458430#gid=984458430"",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0" s="61" t="str">
        <f>IFERROR(__xludf.DUMMYFUNCTION("vlookup(BB1210,importrange(""https://docs.google.com/spreadsheets/d/1d2vevQ_7D_v35q4wCQ4RpQ_IPoTwEMB9Yp6ymwlPqew/edit?gid=984458430#gid=984458430"", ""'replication success'!A:M""), 13, FAlSE)"),"Table S1, pg.33")</f>
        <v>Table S1, pg.33</v>
      </c>
      <c r="BB1210" s="61" t="str">
        <f>IFERROR(__xludf.DUMMYFUNCTION("REGEXREPLACE(G1210, ""_[a-z]{1,2}$"", """")"),"Camereretal2016_14")</f>
        <v>Camereretal2016_14</v>
      </c>
      <c r="BC1210" s="62" t="s">
        <v>6732</v>
      </c>
      <c r="BD1210" s="62" t="s">
        <v>6645</v>
      </c>
    </row>
    <row r="1211">
      <c r="A1211" s="44">
        <v>1211.0</v>
      </c>
      <c r="B1211" s="62" t="s">
        <v>114</v>
      </c>
      <c r="C1211" s="45" t="s">
        <v>115</v>
      </c>
      <c r="D1211" s="62" t="s">
        <v>286</v>
      </c>
      <c r="F1211" s="68" t="s">
        <v>6723</v>
      </c>
      <c r="G1211" s="61" t="s">
        <v>6723</v>
      </c>
      <c r="H1211" s="159" t="s">
        <v>289</v>
      </c>
      <c r="I1211" s="152">
        <v>45667.0</v>
      </c>
      <c r="J1211" s="68"/>
      <c r="K1211" s="159" t="s">
        <v>6733</v>
      </c>
      <c r="L1211" s="68"/>
      <c r="M1211" s="68" t="s">
        <v>6724</v>
      </c>
      <c r="N1211" s="68" t="s">
        <v>6725</v>
      </c>
      <c r="O1211" s="68"/>
      <c r="P1211" s="159" t="str">
        <f t="shared" si="76"/>
        <v>10.1257--aer.101.7.3109.pdf</v>
      </c>
      <c r="Q1211" s="52" t="str">
        <f t="array" ref="Q1211"> if(iserror(MATCH(V1211, 'File Links'!C:C, 0)), "N/A", HYPERLINK(INDEX('File Links'!B:B, MATCH(P1211, 'File Links'!C:C, 0))))</f>
        <v>https://drive.google.com/file/d/19J7SxgV3TKuAhMt2JaFPTLscquaGkcBh/view?usp=drivesdk</v>
      </c>
      <c r="R1211" s="1380" t="s">
        <v>6635</v>
      </c>
      <c r="S1211" s="88" t="s">
        <v>6636</v>
      </c>
      <c r="T1211" s="68"/>
      <c r="U1211" s="68"/>
      <c r="V1211" s="198" t="str">
        <f t="shared" si="77"/>
        <v>10.1126--science.aaf0918.pdf</v>
      </c>
      <c r="W1211" s="159" t="s">
        <v>6647</v>
      </c>
      <c r="X1211" s="54" t="str">
        <f t="array" ref="X1211"> if(iserror(MATCH(V1211, 'File Links'!C:C, 0)), "N/A", HYPERLINK(INDEX('File Links'!B:B, MATCH(V1211, 'File Links'!C:C, 0))))</f>
        <v>https://drive.google.com/file/d/1g2LUlGntoVWUQi433rats2xlfqkwajdf/view?usp=drivesdk</v>
      </c>
      <c r="Y1211" s="68"/>
      <c r="Z1211" s="159" t="s">
        <v>1809</v>
      </c>
      <c r="AA1211" s="159" t="s">
        <v>6734</v>
      </c>
      <c r="AB1211" s="159" t="s">
        <v>6735</v>
      </c>
      <c r="AC1211" s="159" t="s">
        <v>6736</v>
      </c>
      <c r="AD1211" s="151" t="s">
        <v>6737</v>
      </c>
      <c r="AE1211" s="159" t="s">
        <v>6730</v>
      </c>
      <c r="AF1211" s="156">
        <v>58.0</v>
      </c>
      <c r="AG1211" s="156">
        <v>2.217</v>
      </c>
      <c r="AH1211" s="151" t="s">
        <v>134</v>
      </c>
      <c r="AI1211" s="159" t="s">
        <v>6738</v>
      </c>
      <c r="AJ1211" s="709">
        <v>0.05</v>
      </c>
      <c r="AK1211" s="57" t="s">
        <v>135</v>
      </c>
      <c r="AL1211" s="57" t="s">
        <v>186</v>
      </c>
      <c r="AM1211" s="68" t="s">
        <v>137</v>
      </c>
      <c r="AN1211" s="151" t="s">
        <v>138</v>
      </c>
      <c r="AO1211" s="156">
        <v>131.0</v>
      </c>
      <c r="AP1211" s="156">
        <v>-0.01</v>
      </c>
      <c r="AQ1211" s="159" t="s">
        <v>215</v>
      </c>
      <c r="AR1211" s="159" t="s">
        <v>3255</v>
      </c>
      <c r="AS1211" s="156">
        <v>0.933</v>
      </c>
      <c r="AT1211" s="159" t="s">
        <v>172</v>
      </c>
      <c r="AU1211" s="159" t="s">
        <v>136</v>
      </c>
      <c r="AV1211" s="68" t="s">
        <v>137</v>
      </c>
      <c r="AW1211" s="68"/>
      <c r="AX1211" s="68" t="s">
        <v>143</v>
      </c>
      <c r="AY1211" s="61" t="str">
        <f>IFERROR(__xludf.DUMMYFUNCTION("vlookup(BB1211,importrange(""https://docs.google.com/spreadsheets/d/1d2vevQ_7D_v35q4wCQ4RpQ_IPoTwEMB9Yp6ymwlPqew/edit?gid=984458430#gid=984458430"", ""'replication success'!A:K""), 11, FAlSE)"),"failed")</f>
        <v>failed</v>
      </c>
      <c r="AZ1211" s="61" t="str">
        <f>IFERROR(__xludf.DUMMYFUNCTION("vlookup(BB1211,importrange(""https://docs.google.com/spreadsheets/d/1d2vevQ_7D_v35q4wCQ4RpQ_IPoTwEMB9Yp6ymwlPqew/edit?gid=984458430#gid=984458430"",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1" s="61" t="str">
        <f>IFERROR(__xludf.DUMMYFUNCTION("vlookup(BB1211,importrange(""https://docs.google.com/spreadsheets/d/1d2vevQ_7D_v35q4wCQ4RpQ_IPoTwEMB9Yp6ymwlPqew/edit?gid=984458430#gid=984458430"", ""'replication success'!A:M""), 13, FAlSE)"),"Table S1, pg.33")</f>
        <v>Table S1, pg.33</v>
      </c>
      <c r="BB1211" s="61" t="str">
        <f>IFERROR(__xludf.DUMMYFUNCTION("REGEXREPLACE(G1211, ""_[a-z]{1,2}$"", """")"),"Camereretal2016_14")</f>
        <v>Camereretal2016_14</v>
      </c>
      <c r="BD1211" s="62" t="s">
        <v>6645</v>
      </c>
    </row>
    <row r="1212">
      <c r="A1212" s="44">
        <v>1212.0</v>
      </c>
      <c r="B1212" s="129" t="s">
        <v>152</v>
      </c>
      <c r="C1212" s="62" t="s">
        <v>115</v>
      </c>
      <c r="D1212" s="62" t="s">
        <v>232</v>
      </c>
      <c r="F1212" s="68" t="s">
        <v>6739</v>
      </c>
      <c r="G1212" s="68" t="s">
        <v>6739</v>
      </c>
      <c r="H1212" s="159" t="s">
        <v>5074</v>
      </c>
      <c r="I1212" s="152">
        <v>45690.0</v>
      </c>
      <c r="J1212" s="68"/>
      <c r="K1212" s="68"/>
      <c r="L1212" s="129"/>
      <c r="M1212" s="68" t="s">
        <v>6740</v>
      </c>
      <c r="N1212" s="68" t="s">
        <v>6741</v>
      </c>
      <c r="O1212" s="336">
        <v>1.0</v>
      </c>
      <c r="P1212" s="159" t="str">
        <f t="shared" si="76"/>
        <v>10.1257--aer.102.5.2018.pdf</v>
      </c>
      <c r="Q1212" s="52" t="str">
        <f t="array" ref="Q1212"> if(iserror(MATCH(V1212, 'File Links'!C:C, 0)), "N/A", HYPERLINK(INDEX('File Links'!B:B, MATCH(P1212, 'File Links'!C:C, 0))))</f>
        <v>https://drive.google.com/file/d/17yYMWhyDAG179mIfO09X_DXEZMxaYLjP/view?usp=drivesdk</v>
      </c>
      <c r="R1212" s="1380" t="s">
        <v>6635</v>
      </c>
      <c r="S1212" s="88" t="s">
        <v>6636</v>
      </c>
      <c r="T1212" s="1379"/>
      <c r="U1212" s="336">
        <v>14.0</v>
      </c>
      <c r="V1212" s="198" t="str">
        <f t="shared" si="77"/>
        <v>10.1126--science.aaf0918.pdf</v>
      </c>
      <c r="W1212" s="159" t="s">
        <v>6637</v>
      </c>
      <c r="X1212" s="54" t="str">
        <f t="array" ref="X1212"> if(iserror(MATCH(V1212, 'File Links'!C:C, 0)), "N/A", HYPERLINK(INDEX('File Links'!B:B, MATCH(V1212, 'File Links'!C:C, 0))))</f>
        <v>https://drive.google.com/file/d/1g2LUlGntoVWUQi433rats2xlfqkwajdf/view?usp=drivesdk</v>
      </c>
      <c r="Y1212" s="68"/>
      <c r="Z1212" s="159" t="s">
        <v>1809</v>
      </c>
      <c r="AA1212" s="129" t="s">
        <v>6742</v>
      </c>
      <c r="AB1212" s="159" t="s">
        <v>6743</v>
      </c>
      <c r="AC1212" s="159" t="s">
        <v>6744</v>
      </c>
      <c r="AD1212" s="159" t="s">
        <v>6745</v>
      </c>
      <c r="AE1212" s="159" t="s">
        <v>6746</v>
      </c>
      <c r="AF1212" s="156">
        <v>288.0</v>
      </c>
      <c r="AG1212" s="1120">
        <v>5.135086696465202</v>
      </c>
      <c r="AH1212" s="159" t="s">
        <v>722</v>
      </c>
      <c r="AI1212" s="159" t="s">
        <v>6747</v>
      </c>
      <c r="AJ1212" s="709">
        <v>0.01</v>
      </c>
      <c r="AK1212" s="57" t="s">
        <v>135</v>
      </c>
      <c r="AL1212" s="159" t="s">
        <v>186</v>
      </c>
      <c r="AM1212" s="68" t="s">
        <v>137</v>
      </c>
      <c r="AN1212" s="151" t="s">
        <v>138</v>
      </c>
      <c r="AO1212" s="156">
        <v>48.0</v>
      </c>
      <c r="AP1212" s="161">
        <v>0.34</v>
      </c>
      <c r="AQ1212" s="151" t="s">
        <v>215</v>
      </c>
      <c r="AR1212" s="151" t="s">
        <v>6748</v>
      </c>
      <c r="AS1212" s="156">
        <v>0.016</v>
      </c>
      <c r="AT1212" s="159" t="s">
        <v>172</v>
      </c>
      <c r="AU1212" s="159" t="s">
        <v>186</v>
      </c>
      <c r="AV1212" s="129" t="s">
        <v>137</v>
      </c>
      <c r="AW1212" s="435" t="s">
        <v>6749</v>
      </c>
      <c r="AX1212" s="68" t="s">
        <v>143</v>
      </c>
      <c r="AY1212" s="61" t="str">
        <f>IFERROR(__xludf.DUMMYFUNCTION("vlookup(BB1212,importrange(""https://docs.google.com/spreadsheets/d/1d2vevQ_7D_v35q4wCQ4RpQ_IPoTwEMB9Yp6ymwlPqew/edit?gid=984458430#gid=984458430"", ""'replication success'!A:K""), 11, FAlSE)"),"successful")</f>
        <v>successful</v>
      </c>
      <c r="AZ1212" s="61" t="str">
        <f>IFERROR(__xludf.DUMMYFUNCTION("vlookup(BB1212,importrange(""https://docs.google.com/spreadsheets/d/1d2vevQ_7D_v35q4wCQ4RpQ_IPoTwEMB9Yp6ymwlPqew/edit?gid=984458430#gid=984458430"",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2" s="61" t="str">
        <f>IFERROR(__xludf.DUMMYFUNCTION("vlookup(BB1212,importrange(""https://docs.google.com/spreadsheets/d/1d2vevQ_7D_v35q4wCQ4RpQ_IPoTwEMB9Yp6ymwlPqew/edit?gid=984458430#gid=984458430"", ""'replication success'!A:M""), 13, FAlSE)"),"Table S1, pg.34")</f>
        <v>Table S1, pg.34</v>
      </c>
      <c r="BB1212" s="61" t="str">
        <f>IFERROR(__xludf.DUMMYFUNCTION("REGEXREPLACE(G1212, ""_[a-z]{1,2}$"", """")"),"Camereretal2016_15")</f>
        <v>Camereretal2016_15</v>
      </c>
      <c r="BD1212" s="62" t="s">
        <v>6645</v>
      </c>
    </row>
    <row r="1213">
      <c r="A1213" s="44">
        <v>1213.0</v>
      </c>
      <c r="B1213" s="62" t="s">
        <v>114</v>
      </c>
      <c r="C1213" s="45" t="s">
        <v>115</v>
      </c>
      <c r="D1213" s="62" t="s">
        <v>286</v>
      </c>
      <c r="F1213" s="68" t="s">
        <v>6739</v>
      </c>
      <c r="G1213" s="61" t="s">
        <v>6739</v>
      </c>
      <c r="H1213" s="159" t="s">
        <v>289</v>
      </c>
      <c r="I1213" s="152">
        <v>45667.0</v>
      </c>
      <c r="J1213" s="68"/>
      <c r="K1213" s="159" t="s">
        <v>6750</v>
      </c>
      <c r="L1213" s="68"/>
      <c r="M1213" s="68" t="s">
        <v>6740</v>
      </c>
      <c r="N1213" s="68" t="s">
        <v>6741</v>
      </c>
      <c r="O1213" s="68"/>
      <c r="P1213" s="159" t="str">
        <f t="shared" si="76"/>
        <v>10.1257--aer.102.5.2018.pdf</v>
      </c>
      <c r="Q1213" s="52" t="str">
        <f t="array" ref="Q1213"> if(iserror(MATCH(V1213, 'File Links'!C:C, 0)), "N/A", HYPERLINK(INDEX('File Links'!B:B, MATCH(P1213, 'File Links'!C:C, 0))))</f>
        <v>https://drive.google.com/file/d/17yYMWhyDAG179mIfO09X_DXEZMxaYLjP/view?usp=drivesdk</v>
      </c>
      <c r="R1213" s="1380" t="s">
        <v>6635</v>
      </c>
      <c r="S1213" s="88" t="s">
        <v>6636</v>
      </c>
      <c r="T1213" s="68"/>
      <c r="U1213" s="68"/>
      <c r="V1213" s="198" t="str">
        <f t="shared" si="77"/>
        <v>10.1126--science.aaf0918.pdf</v>
      </c>
      <c r="W1213" s="159" t="s">
        <v>6647</v>
      </c>
      <c r="X1213" s="54" t="str">
        <f t="array" ref="X1213"> if(iserror(MATCH(V1213, 'File Links'!C:C, 0)), "N/A", HYPERLINK(INDEX('File Links'!B:B, MATCH(V1213, 'File Links'!C:C, 0))))</f>
        <v>https://drive.google.com/file/d/1g2LUlGntoVWUQi433rats2xlfqkwajdf/view?usp=drivesdk</v>
      </c>
      <c r="Y1213" s="68"/>
      <c r="Z1213" s="159" t="s">
        <v>1809</v>
      </c>
      <c r="AA1213" s="159" t="s">
        <v>6751</v>
      </c>
      <c r="AB1213" s="159" t="s">
        <v>6752</v>
      </c>
      <c r="AC1213" s="159" t="s">
        <v>6753</v>
      </c>
      <c r="AD1213" s="159" t="s">
        <v>6754</v>
      </c>
      <c r="AE1213" s="159" t="s">
        <v>6755</v>
      </c>
      <c r="AF1213" s="156">
        <v>288.0</v>
      </c>
      <c r="AG1213" s="156">
        <v>9.34</v>
      </c>
      <c r="AH1213" s="151" t="s">
        <v>134</v>
      </c>
      <c r="AI1213" s="159" t="s">
        <v>6756</v>
      </c>
      <c r="AJ1213" s="709">
        <v>0.01</v>
      </c>
      <c r="AK1213" s="57" t="s">
        <v>135</v>
      </c>
      <c r="AL1213" s="57" t="s">
        <v>186</v>
      </c>
      <c r="AM1213" s="68" t="s">
        <v>141</v>
      </c>
      <c r="AN1213" s="151" t="s">
        <v>138</v>
      </c>
      <c r="AO1213" s="156">
        <v>48.0</v>
      </c>
      <c r="AP1213" s="156">
        <v>0.34</v>
      </c>
      <c r="AQ1213" s="159" t="s">
        <v>215</v>
      </c>
      <c r="AR1213" s="159" t="s">
        <v>3255</v>
      </c>
      <c r="AS1213" s="156">
        <v>0.016</v>
      </c>
      <c r="AT1213" s="159" t="s">
        <v>172</v>
      </c>
      <c r="AU1213" s="159" t="s">
        <v>186</v>
      </c>
      <c r="AV1213" s="68" t="s">
        <v>1905</v>
      </c>
      <c r="AW1213" s="68"/>
      <c r="AX1213" s="68" t="s">
        <v>143</v>
      </c>
      <c r="AY1213" s="61" t="str">
        <f>IFERROR(__xludf.DUMMYFUNCTION("vlookup(BB1213,importrange(""https://docs.google.com/spreadsheets/d/1d2vevQ_7D_v35q4wCQ4RpQ_IPoTwEMB9Yp6ymwlPqew/edit?gid=984458430#gid=984458430"", ""'replication success'!A:K""), 11, FAlSE)"),"successful")</f>
        <v>successful</v>
      </c>
      <c r="AZ1213" s="61" t="str">
        <f>IFERROR(__xludf.DUMMYFUNCTION("vlookup(BB1213,importrange(""https://docs.google.com/spreadsheets/d/1d2vevQ_7D_v35q4wCQ4RpQ_IPoTwEMB9Yp6ymwlPqew/edit?gid=984458430#gid=984458430"",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3" s="61" t="str">
        <f>IFERROR(__xludf.DUMMYFUNCTION("vlookup(BB1213,importrange(""https://docs.google.com/spreadsheets/d/1d2vevQ_7D_v35q4wCQ4RpQ_IPoTwEMB9Yp6ymwlPqew/edit?gid=984458430#gid=984458430"", ""'replication success'!A:M""), 13, FAlSE)"),"Table S1, pg.34")</f>
        <v>Table S1, pg.34</v>
      </c>
      <c r="BB1213" s="61" t="str">
        <f>IFERROR(__xludf.DUMMYFUNCTION("REGEXREPLACE(G1213, ""_[a-z]{1,2}$"", """")"),"Camereretal2016_15")</f>
        <v>Camereretal2016_15</v>
      </c>
      <c r="BD1213" s="62" t="s">
        <v>6645</v>
      </c>
    </row>
    <row r="1214">
      <c r="A1214" s="44">
        <v>1214.0</v>
      </c>
      <c r="B1214" s="129" t="s">
        <v>152</v>
      </c>
      <c r="C1214" s="62" t="s">
        <v>115</v>
      </c>
      <c r="D1214" s="62" t="s">
        <v>232</v>
      </c>
      <c r="F1214" s="68" t="s">
        <v>6757</v>
      </c>
      <c r="G1214" s="68" t="s">
        <v>6757</v>
      </c>
      <c r="H1214" s="159" t="s">
        <v>5074</v>
      </c>
      <c r="I1214" s="152">
        <v>45690.0</v>
      </c>
      <c r="J1214" s="68"/>
      <c r="K1214" s="159" t="s">
        <v>6758</v>
      </c>
      <c r="L1214" s="68"/>
      <c r="M1214" s="68" t="s">
        <v>6759</v>
      </c>
      <c r="N1214" s="68" t="s">
        <v>6760</v>
      </c>
      <c r="O1214" s="336">
        <v>1.0</v>
      </c>
      <c r="P1214" s="159" t="str">
        <f t="shared" si="76"/>
        <v>10.1257--aer.102.2.865.pdf</v>
      </c>
      <c r="Q1214" s="52" t="str">
        <f t="array" ref="Q1214"> if(iserror(MATCH(V1214, 'File Links'!C:C, 0)), "N/A", HYPERLINK(INDEX('File Links'!B:B, MATCH(P1214, 'File Links'!C:C, 0))))</f>
        <v>https://drive.google.com/file/d/1b2FC_ZxV315l7N6zoTHVU2AgAr7SbyXB/view?usp=drivesdk</v>
      </c>
      <c r="R1214" s="1380" t="s">
        <v>6635</v>
      </c>
      <c r="S1214" s="88" t="s">
        <v>6636</v>
      </c>
      <c r="T1214" s="1379"/>
      <c r="U1214" s="336">
        <v>15.0</v>
      </c>
      <c r="V1214" s="198" t="str">
        <f t="shared" si="77"/>
        <v>10.1126--science.aaf0918.pdf</v>
      </c>
      <c r="W1214" s="159" t="s">
        <v>6637</v>
      </c>
      <c r="X1214" s="54" t="str">
        <f t="array" ref="X1214"> if(iserror(MATCH(V1214, 'File Links'!C:C, 0)), "N/A", HYPERLINK(INDEX('File Links'!B:B, MATCH(V1214, 'File Links'!C:C, 0))))</f>
        <v>https://drive.google.com/file/d/1g2LUlGntoVWUQi433rats2xlfqkwajdf/view?usp=drivesdk</v>
      </c>
      <c r="Y1214" s="68"/>
      <c r="Z1214" s="159" t="s">
        <v>1809</v>
      </c>
      <c r="AA1214" s="374" t="s">
        <v>138</v>
      </c>
      <c r="AB1214" s="151" t="s">
        <v>6761</v>
      </c>
      <c r="AC1214" s="151" t="s">
        <v>6762</v>
      </c>
      <c r="AD1214" s="151" t="s">
        <v>6763</v>
      </c>
      <c r="AE1214" s="159" t="s">
        <v>6764</v>
      </c>
      <c r="AF1214" s="156">
        <v>120.0</v>
      </c>
      <c r="AG1214" s="161">
        <v>0.335</v>
      </c>
      <c r="AH1214" s="151" t="s">
        <v>6713</v>
      </c>
      <c r="AI1214" s="129" t="s">
        <v>6765</v>
      </c>
      <c r="AJ1214" s="156">
        <v>0.05</v>
      </c>
      <c r="AK1214" s="159" t="s">
        <v>135</v>
      </c>
      <c r="AL1214" s="159" t="s">
        <v>186</v>
      </c>
      <c r="AM1214" s="129" t="s">
        <v>141</v>
      </c>
      <c r="AN1214" s="151" t="s">
        <v>138</v>
      </c>
      <c r="AO1214" s="156">
        <v>220.0</v>
      </c>
      <c r="AP1214" s="161">
        <v>0.108</v>
      </c>
      <c r="AQ1214" s="151" t="s">
        <v>6713</v>
      </c>
      <c r="AR1214" s="151" t="s">
        <v>850</v>
      </c>
      <c r="AS1214" s="156">
        <v>0.01</v>
      </c>
      <c r="AT1214" s="159" t="s">
        <v>172</v>
      </c>
      <c r="AU1214" s="159" t="s">
        <v>186</v>
      </c>
      <c r="AV1214" s="129" t="s">
        <v>141</v>
      </c>
      <c r="AW1214" s="435" t="s">
        <v>6766</v>
      </c>
      <c r="AX1214" s="68" t="s">
        <v>438</v>
      </c>
      <c r="AY1214" s="61" t="str">
        <f>IFERROR(__xludf.DUMMYFUNCTION("vlookup(BB1214,importrange(""https://docs.google.com/spreadsheets/d/1d2vevQ_7D_v35q4wCQ4RpQ_IPoTwEMB9Yp6ymwlPqew/edit?gid=984458430#gid=984458430"", ""'replication success'!A:K""), 11, FAlSE)"),"successful")</f>
        <v>successful</v>
      </c>
      <c r="AZ1214" s="61" t="str">
        <f>IFERROR(__xludf.DUMMYFUNCTION("vlookup(BB1214,importrange(""https://docs.google.com/spreadsheets/d/1d2vevQ_7D_v35q4wCQ4RpQ_IPoTwEMB9Yp6ymwlPqew/edit?gid=984458430#gid=984458430"",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4" s="61" t="str">
        <f>IFERROR(__xludf.DUMMYFUNCTION("vlookup(BB1214,importrange(""https://docs.google.com/spreadsheets/d/1d2vevQ_7D_v35q4wCQ4RpQ_IPoTwEMB9Yp6ymwlPqew/edit?gid=984458430#gid=984458430"", ""'replication success'!A:M""), 13, FAlSE)"),"Table S1, pg.35")</f>
        <v>Table S1, pg.35</v>
      </c>
      <c r="BB1214" s="61" t="str">
        <f>IFERROR(__xludf.DUMMYFUNCTION("REGEXREPLACE(G1214, ""_[a-z]{1,2}$"", """")"),"Camereretal2016_16")</f>
        <v>Camereretal2016_16</v>
      </c>
      <c r="BC1214" s="62" t="s">
        <v>6767</v>
      </c>
      <c r="BD1214" s="62" t="s">
        <v>6645</v>
      </c>
    </row>
    <row r="1215">
      <c r="A1215" s="44">
        <v>1215.0</v>
      </c>
      <c r="B1215" s="62" t="s">
        <v>114</v>
      </c>
      <c r="C1215" s="45" t="s">
        <v>115</v>
      </c>
      <c r="D1215" s="62" t="s">
        <v>286</v>
      </c>
      <c r="F1215" s="68" t="s">
        <v>6757</v>
      </c>
      <c r="G1215" s="61" t="s">
        <v>6757</v>
      </c>
      <c r="H1215" s="159" t="s">
        <v>289</v>
      </c>
      <c r="I1215" s="152">
        <v>45667.0</v>
      </c>
      <c r="J1215" s="68"/>
      <c r="K1215" s="159" t="s">
        <v>6768</v>
      </c>
      <c r="L1215" s="68"/>
      <c r="M1215" s="68" t="s">
        <v>6759</v>
      </c>
      <c r="N1215" s="68" t="s">
        <v>6760</v>
      </c>
      <c r="O1215" s="68"/>
      <c r="P1215" s="159" t="str">
        <f t="shared" si="76"/>
        <v>10.1257--aer.102.2.865.pdf</v>
      </c>
      <c r="Q1215" s="52" t="str">
        <f t="array" ref="Q1215"> if(iserror(MATCH(V1215, 'File Links'!C:C, 0)), "N/A", HYPERLINK(INDEX('File Links'!B:B, MATCH(P1215, 'File Links'!C:C, 0))))</f>
        <v>https://drive.google.com/file/d/1b2FC_ZxV315l7N6zoTHVU2AgAr7SbyXB/view?usp=drivesdk</v>
      </c>
      <c r="R1215" s="1380" t="s">
        <v>6635</v>
      </c>
      <c r="S1215" s="88" t="s">
        <v>6636</v>
      </c>
      <c r="T1215" s="68"/>
      <c r="U1215" s="68"/>
      <c r="V1215" s="198" t="str">
        <f t="shared" si="77"/>
        <v>10.1126--science.aaf0918.pdf</v>
      </c>
      <c r="W1215" s="159" t="s">
        <v>6647</v>
      </c>
      <c r="X1215" s="54" t="str">
        <f t="array" ref="X1215"> if(iserror(MATCH(V1215, 'File Links'!C:C, 0)), "N/A", HYPERLINK(INDEX('File Links'!B:B, MATCH(V1215, 'File Links'!C:C, 0))))</f>
        <v>https://drive.google.com/file/d/1g2LUlGntoVWUQi433rats2xlfqkwajdf/view?usp=drivesdk</v>
      </c>
      <c r="Y1215" s="68"/>
      <c r="Z1215" s="159" t="s">
        <v>1809</v>
      </c>
      <c r="AA1215" s="159" t="s">
        <v>6769</v>
      </c>
      <c r="AB1215" s="159" t="s">
        <v>6770</v>
      </c>
      <c r="AC1215" s="159" t="s">
        <v>6771</v>
      </c>
      <c r="AD1215" s="159" t="s">
        <v>6772</v>
      </c>
      <c r="AE1215" s="159" t="s">
        <v>6773</v>
      </c>
      <c r="AF1215" s="156">
        <v>120.0</v>
      </c>
      <c r="AG1215" s="156">
        <v>0.035</v>
      </c>
      <c r="AH1215" s="159" t="s">
        <v>6774</v>
      </c>
      <c r="AI1215" s="68"/>
      <c r="AJ1215" s="709">
        <v>0.05</v>
      </c>
      <c r="AK1215" s="57" t="s">
        <v>135</v>
      </c>
      <c r="AL1215" s="57" t="s">
        <v>186</v>
      </c>
      <c r="AM1215" s="68" t="s">
        <v>137</v>
      </c>
      <c r="AN1215" s="151" t="s">
        <v>138</v>
      </c>
      <c r="AO1215" s="156">
        <v>220.0</v>
      </c>
      <c r="AP1215" s="156">
        <v>0.53</v>
      </c>
      <c r="AQ1215" s="159" t="s">
        <v>215</v>
      </c>
      <c r="AR1215" s="159" t="s">
        <v>3255</v>
      </c>
      <c r="AS1215" s="156">
        <v>0.01</v>
      </c>
      <c r="AT1215" s="159" t="s">
        <v>172</v>
      </c>
      <c r="AU1215" s="159" t="s">
        <v>186</v>
      </c>
      <c r="AV1215" s="68" t="s">
        <v>137</v>
      </c>
      <c r="AW1215" s="68"/>
      <c r="AX1215" s="68" t="s">
        <v>143</v>
      </c>
      <c r="AY1215" s="61" t="str">
        <f>IFERROR(__xludf.DUMMYFUNCTION("vlookup(BB1215,importrange(""https://docs.google.com/spreadsheets/d/1d2vevQ_7D_v35q4wCQ4RpQ_IPoTwEMB9Yp6ymwlPqew/edit?gid=984458430#gid=984458430"", ""'replication success'!A:K""), 11, FAlSE)"),"successful")</f>
        <v>successful</v>
      </c>
      <c r="AZ1215" s="61" t="str">
        <f>IFERROR(__xludf.DUMMYFUNCTION("vlookup(BB1215,importrange(""https://docs.google.com/spreadsheets/d/1d2vevQ_7D_v35q4wCQ4RpQ_IPoTwEMB9Yp6ymwlPqew/edit?gid=984458430#gid=984458430"",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5" s="61" t="str">
        <f>IFERROR(__xludf.DUMMYFUNCTION("vlookup(BB1215,importrange(""https://docs.google.com/spreadsheets/d/1d2vevQ_7D_v35q4wCQ4RpQ_IPoTwEMB9Yp6ymwlPqew/edit?gid=984458430#gid=984458430"", ""'replication success'!A:M""), 13, FAlSE)"),"Table S1, pg.35")</f>
        <v>Table S1, pg.35</v>
      </c>
      <c r="BB1215" s="61" t="str">
        <f>IFERROR(__xludf.DUMMYFUNCTION("REGEXREPLACE(G1215, ""_[a-z]{1,2}$"", """")"),"Camereretal2016_16")</f>
        <v>Camereretal2016_16</v>
      </c>
      <c r="BD1215" s="62" t="s">
        <v>6645</v>
      </c>
    </row>
    <row r="1216">
      <c r="A1216" s="44">
        <v>1216.0</v>
      </c>
      <c r="B1216" s="129" t="s">
        <v>152</v>
      </c>
      <c r="C1216" s="62" t="s">
        <v>115</v>
      </c>
      <c r="D1216" s="62" t="s">
        <v>232</v>
      </c>
      <c r="F1216" s="68" t="s">
        <v>6775</v>
      </c>
      <c r="G1216" s="68" t="s">
        <v>6775</v>
      </c>
      <c r="H1216" s="159" t="s">
        <v>5074</v>
      </c>
      <c r="I1216" s="152">
        <v>45690.0</v>
      </c>
      <c r="J1216" s="68"/>
      <c r="K1216" s="68"/>
      <c r="L1216" s="68"/>
      <c r="M1216" s="68" t="s">
        <v>6776</v>
      </c>
      <c r="N1216" s="68" t="s">
        <v>6777</v>
      </c>
      <c r="O1216" s="336">
        <v>2.0</v>
      </c>
      <c r="P1216" s="159" t="str">
        <f t="shared" si="76"/>
        <v>10.1257--aer.101.2.927.pdf</v>
      </c>
      <c r="Q1216" s="52" t="str">
        <f t="array" ref="Q1216"> if(iserror(MATCH(V1216, 'File Links'!C:C, 0)), "N/A", HYPERLINK(INDEX('File Links'!B:B, MATCH(P1216, 'File Links'!C:C, 0))))</f>
        <v>https://drive.google.com/file/d/1BktRBxUCABNKOmBS08ZeWLX5NwbuQmVb/view?usp=drivesdk</v>
      </c>
      <c r="R1216" s="1380" t="s">
        <v>6635</v>
      </c>
      <c r="S1216" s="88" t="s">
        <v>6636</v>
      </c>
      <c r="T1216" s="1379"/>
      <c r="U1216" s="336">
        <v>16.0</v>
      </c>
      <c r="V1216" s="198" t="str">
        <f t="shared" si="77"/>
        <v>10.1126--science.aaf0918.pdf</v>
      </c>
      <c r="W1216" s="159" t="s">
        <v>6637</v>
      </c>
      <c r="X1216" s="54" t="str">
        <f t="array" ref="X1216"> if(iserror(MATCH(V1216, 'File Links'!C:C, 0)), "N/A", HYPERLINK(INDEX('File Links'!B:B, MATCH(V1216, 'File Links'!C:C, 0))))</f>
        <v>https://drive.google.com/file/d/1g2LUlGntoVWUQi433rats2xlfqkwajdf/view?usp=drivesdk</v>
      </c>
      <c r="Y1216" s="68"/>
      <c r="Z1216" s="159" t="s">
        <v>1809</v>
      </c>
      <c r="AA1216" s="151" t="s">
        <v>6778</v>
      </c>
      <c r="AB1216" s="68" t="s">
        <v>6779</v>
      </c>
      <c r="AC1216" s="129" t="s">
        <v>6780</v>
      </c>
      <c r="AD1216" s="151" t="s">
        <v>6781</v>
      </c>
      <c r="AE1216" s="151" t="s">
        <v>6782</v>
      </c>
      <c r="AF1216" s="156">
        <v>126.0</v>
      </c>
      <c r="AG1216" s="156">
        <v>-2.739</v>
      </c>
      <c r="AH1216" s="151" t="s">
        <v>6783</v>
      </c>
      <c r="AI1216" s="159" t="s">
        <v>6784</v>
      </c>
      <c r="AJ1216" s="709">
        <v>0.01</v>
      </c>
      <c r="AK1216" s="159" t="s">
        <v>135</v>
      </c>
      <c r="AL1216" s="159" t="s">
        <v>186</v>
      </c>
      <c r="AM1216" s="129" t="s">
        <v>141</v>
      </c>
      <c r="AN1216" s="151" t="s">
        <v>138</v>
      </c>
      <c r="AO1216" s="156">
        <v>90.0</v>
      </c>
      <c r="AP1216" s="161">
        <v>-2.534</v>
      </c>
      <c r="AQ1216" s="151" t="s">
        <v>6783</v>
      </c>
      <c r="AR1216" s="151" t="s">
        <v>217</v>
      </c>
      <c r="AS1216" s="156">
        <v>0.001</v>
      </c>
      <c r="AT1216" s="159" t="s">
        <v>172</v>
      </c>
      <c r="AU1216" s="159" t="s">
        <v>186</v>
      </c>
      <c r="AV1216" s="129" t="s">
        <v>141</v>
      </c>
      <c r="AW1216" s="435" t="s">
        <v>6785</v>
      </c>
      <c r="AX1216" s="68" t="s">
        <v>143</v>
      </c>
      <c r="AY1216" s="61" t="str">
        <f>IFERROR(__xludf.DUMMYFUNCTION("vlookup(BB1216,importrange(""https://docs.google.com/spreadsheets/d/1d2vevQ_7D_v35q4wCQ4RpQ_IPoTwEMB9Yp6ymwlPqew/edit?gid=984458430#gid=984458430"", ""'replication success'!A:K""), 11, FAlSE)"),"successful")</f>
        <v>successful</v>
      </c>
      <c r="AZ1216" s="61" t="str">
        <f>IFERROR(__xludf.DUMMYFUNCTION("vlookup(BB1216,importrange(""https://docs.google.com/spreadsheets/d/1d2vevQ_7D_v35q4wCQ4RpQ_IPoTwEMB9Yp6ymwlPqew/edit?gid=984458430#gid=984458430"",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6" s="61" t="str">
        <f>IFERROR(__xludf.DUMMYFUNCTION("vlookup(BB1216,importrange(""https://docs.google.com/spreadsheets/d/1d2vevQ_7D_v35q4wCQ4RpQ_IPoTwEMB9Yp6ymwlPqew/edit?gid=984458430#gid=984458430"", ""'replication success'!A:M""), 13, FAlSE)"),"Table S1, pg.36")</f>
        <v>Table S1, pg.36</v>
      </c>
      <c r="BB1216" s="61" t="str">
        <f>IFERROR(__xludf.DUMMYFUNCTION("REGEXREPLACE(G1216, ""_[a-z]{1,2}$"", """")"),"Camereretal2016_17")</f>
        <v>Camereretal2016_17</v>
      </c>
      <c r="BC1216" s="62" t="s">
        <v>6786</v>
      </c>
      <c r="BD1216" s="62" t="s">
        <v>6645</v>
      </c>
    </row>
    <row r="1217">
      <c r="A1217" s="44">
        <v>1217.0</v>
      </c>
      <c r="B1217" s="62" t="s">
        <v>114</v>
      </c>
      <c r="C1217" s="45" t="s">
        <v>115</v>
      </c>
      <c r="D1217" s="62" t="s">
        <v>286</v>
      </c>
      <c r="F1217" s="68" t="s">
        <v>6775</v>
      </c>
      <c r="G1217" s="61" t="s">
        <v>6775</v>
      </c>
      <c r="H1217" s="159" t="s">
        <v>289</v>
      </c>
      <c r="I1217" s="152">
        <v>45667.0</v>
      </c>
      <c r="J1217" s="68"/>
      <c r="K1217" s="159" t="s">
        <v>6787</v>
      </c>
      <c r="L1217" s="68"/>
      <c r="M1217" s="68" t="s">
        <v>6776</v>
      </c>
      <c r="N1217" s="68" t="s">
        <v>6777</v>
      </c>
      <c r="O1217" s="68"/>
      <c r="P1217" s="159" t="str">
        <f t="shared" si="76"/>
        <v>10.1257--aer.101.2.927.pdf</v>
      </c>
      <c r="Q1217" s="52" t="str">
        <f t="array" ref="Q1217"> if(iserror(MATCH(V1217, 'File Links'!C:C, 0)), "N/A", HYPERLINK(INDEX('File Links'!B:B, MATCH(P1217, 'File Links'!C:C, 0))))</f>
        <v>https://drive.google.com/file/d/1BktRBxUCABNKOmBS08ZeWLX5NwbuQmVb/view?usp=drivesdk</v>
      </c>
      <c r="R1217" s="1380" t="s">
        <v>6635</v>
      </c>
      <c r="S1217" s="88" t="s">
        <v>6636</v>
      </c>
      <c r="T1217" s="68"/>
      <c r="U1217" s="68"/>
      <c r="V1217" s="198" t="str">
        <f t="shared" si="77"/>
        <v>10.1126--science.aaf0918.pdf</v>
      </c>
      <c r="W1217" s="159" t="s">
        <v>6647</v>
      </c>
      <c r="X1217" s="54" t="str">
        <f t="array" ref="X1217"> if(iserror(MATCH(V1217, 'File Links'!C:C, 0)), "N/A", HYPERLINK(INDEX('File Links'!B:B, MATCH(V1217, 'File Links'!C:C, 0))))</f>
        <v>https://drive.google.com/file/d/1g2LUlGntoVWUQi433rats2xlfqkwajdf/view?usp=drivesdk</v>
      </c>
      <c r="Y1217" s="68"/>
      <c r="Z1217" s="159" t="s">
        <v>1809</v>
      </c>
      <c r="AA1217" s="151" t="s">
        <v>6778</v>
      </c>
      <c r="AB1217" s="68"/>
      <c r="AC1217" s="68"/>
      <c r="AD1217" s="159" t="s">
        <v>6788</v>
      </c>
      <c r="AE1217" s="159" t="s">
        <v>6789</v>
      </c>
      <c r="AF1217" s="156">
        <v>126.0</v>
      </c>
      <c r="AG1217" s="156">
        <v>-4.2</v>
      </c>
      <c r="AH1217" s="151" t="s">
        <v>134</v>
      </c>
      <c r="AI1217" s="159" t="s">
        <v>6790</v>
      </c>
      <c r="AJ1217" s="709">
        <v>0.01</v>
      </c>
      <c r="AK1217" s="57" t="s">
        <v>135</v>
      </c>
      <c r="AL1217" s="57" t="s">
        <v>186</v>
      </c>
      <c r="AM1217" s="68" t="s">
        <v>141</v>
      </c>
      <c r="AN1217" s="151" t="s">
        <v>138</v>
      </c>
      <c r="AO1217" s="156">
        <v>90.0</v>
      </c>
      <c r="AP1217" s="156">
        <v>0.3</v>
      </c>
      <c r="AQ1217" s="159" t="s">
        <v>215</v>
      </c>
      <c r="AR1217" s="159" t="s">
        <v>3255</v>
      </c>
      <c r="AS1217" s="156">
        <v>0.001</v>
      </c>
      <c r="AT1217" s="159" t="s">
        <v>172</v>
      </c>
      <c r="AU1217" s="159" t="s">
        <v>186</v>
      </c>
      <c r="AV1217" s="68" t="s">
        <v>141</v>
      </c>
      <c r="AW1217" s="68"/>
      <c r="AX1217" s="68" t="s">
        <v>143</v>
      </c>
      <c r="AY1217" s="61" t="str">
        <f>IFERROR(__xludf.DUMMYFUNCTION("vlookup(BB1217,importrange(""https://docs.google.com/spreadsheets/d/1d2vevQ_7D_v35q4wCQ4RpQ_IPoTwEMB9Yp6ymwlPqew/edit?gid=984458430#gid=984458430"", ""'replication success'!A:K""), 11, FAlSE)"),"successful")</f>
        <v>successful</v>
      </c>
      <c r="AZ1217" s="61" t="str">
        <f>IFERROR(__xludf.DUMMYFUNCTION("vlookup(BB1217,importrange(""https://docs.google.com/spreadsheets/d/1d2vevQ_7D_v35q4wCQ4RpQ_IPoTwEMB9Yp6ymwlPqew/edit?gid=984458430#gid=984458430"",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7" s="61" t="str">
        <f>IFERROR(__xludf.DUMMYFUNCTION("vlookup(BB1217,importrange(""https://docs.google.com/spreadsheets/d/1d2vevQ_7D_v35q4wCQ4RpQ_IPoTwEMB9Yp6ymwlPqew/edit?gid=984458430#gid=984458430"", ""'replication success'!A:M""), 13, FAlSE)"),"Table S1, pg.36")</f>
        <v>Table S1, pg.36</v>
      </c>
      <c r="BB1217" s="61" t="str">
        <f>IFERROR(__xludf.DUMMYFUNCTION("REGEXREPLACE(G1217, ""_[a-z]{1,2}$"", """")"),"Camereretal2016_17")</f>
        <v>Camereretal2016_17</v>
      </c>
      <c r="BD1217" s="62" t="s">
        <v>6645</v>
      </c>
    </row>
    <row r="1218">
      <c r="A1218" s="44">
        <v>1218.0</v>
      </c>
      <c r="B1218" s="129" t="s">
        <v>152</v>
      </c>
      <c r="C1218" s="62" t="s">
        <v>115</v>
      </c>
      <c r="D1218" s="62" t="s">
        <v>232</v>
      </c>
      <c r="F1218" s="68" t="s">
        <v>6791</v>
      </c>
      <c r="G1218" s="68" t="s">
        <v>6791</v>
      </c>
      <c r="H1218" s="159" t="s">
        <v>5074</v>
      </c>
      <c r="I1218" s="152">
        <v>45690.0</v>
      </c>
      <c r="J1218" s="68"/>
      <c r="K1218" s="68"/>
      <c r="L1218" s="68"/>
      <c r="M1218" s="68" t="s">
        <v>6792</v>
      </c>
      <c r="N1218" s="68" t="s">
        <v>6793</v>
      </c>
      <c r="O1218" s="336">
        <v>1.0</v>
      </c>
      <c r="P1218" s="159" t="str">
        <f t="shared" si="76"/>
        <v>10.1093--qje--qjt035.pdf</v>
      </c>
      <c r="Q1218" s="52" t="str">
        <f t="array" ref="Q1218"> if(iserror(MATCH(V1218, 'File Links'!C:C, 0)), "N/A", HYPERLINK(INDEX('File Links'!B:B, MATCH(P1218, 'File Links'!C:C, 0))))</f>
        <v>https://drive.google.com/file/d/1AEIAMNY49STOE6ElNt-b8Hq1Zx5-39DC/view?usp=drivesdk</v>
      </c>
      <c r="R1218" s="1380" t="s">
        <v>6635</v>
      </c>
      <c r="S1218" s="88" t="s">
        <v>6636</v>
      </c>
      <c r="T1218" s="1379"/>
      <c r="U1218" s="336">
        <v>17.0</v>
      </c>
      <c r="V1218" s="198" t="str">
        <f t="shared" si="77"/>
        <v>10.1126--science.aaf0918.pdf</v>
      </c>
      <c r="W1218" s="159" t="s">
        <v>6637</v>
      </c>
      <c r="X1218" s="54" t="str">
        <f t="array" ref="X1218"> if(iserror(MATCH(V1218, 'File Links'!C:C, 0)), "N/A", HYPERLINK(INDEX('File Links'!B:B, MATCH(V1218, 'File Links'!C:C, 0))))</f>
        <v>https://drive.google.com/file/d/1g2LUlGntoVWUQi433rats2xlfqkwajdf/view?usp=drivesdk</v>
      </c>
      <c r="Y1218" s="68"/>
      <c r="Z1218" s="159" t="s">
        <v>1809</v>
      </c>
      <c r="AA1218" s="374" t="s">
        <v>138</v>
      </c>
      <c r="AB1218" s="159" t="s">
        <v>6794</v>
      </c>
      <c r="AC1218" s="68" t="s">
        <v>6795</v>
      </c>
      <c r="AD1218" s="151" t="s">
        <v>6796</v>
      </c>
      <c r="AE1218" s="151" t="s">
        <v>6797</v>
      </c>
      <c r="AF1218" s="156">
        <v>42.0</v>
      </c>
      <c r="AG1218" s="161">
        <v>-0.116</v>
      </c>
      <c r="AH1218" s="151" t="s">
        <v>6798</v>
      </c>
      <c r="AI1218" s="159" t="s">
        <v>6799</v>
      </c>
      <c r="AJ1218" s="156">
        <v>0.1</v>
      </c>
      <c r="AK1218" s="159" t="s">
        <v>135</v>
      </c>
      <c r="AL1218" s="159" t="s">
        <v>186</v>
      </c>
      <c r="AM1218" s="129" t="s">
        <v>141</v>
      </c>
      <c r="AN1218" s="151" t="s">
        <v>138</v>
      </c>
      <c r="AO1218" s="156">
        <v>144.0</v>
      </c>
      <c r="AP1218" s="161">
        <v>0.045</v>
      </c>
      <c r="AQ1218" s="151" t="s">
        <v>6798</v>
      </c>
      <c r="AR1218" s="151" t="s">
        <v>850</v>
      </c>
      <c r="AS1218" s="156">
        <v>0.154</v>
      </c>
      <c r="AT1218" s="159" t="s">
        <v>172</v>
      </c>
      <c r="AU1218" s="159" t="s">
        <v>186</v>
      </c>
      <c r="AV1218" s="129" t="s">
        <v>141</v>
      </c>
      <c r="AW1218" s="435" t="s">
        <v>6800</v>
      </c>
      <c r="AX1218" s="68" t="s">
        <v>143</v>
      </c>
      <c r="AY1218" s="61" t="str">
        <f>IFERROR(__xludf.DUMMYFUNCTION("vlookup(BB1218,importrange(""https://docs.google.com/spreadsheets/d/1d2vevQ_7D_v35q4wCQ4RpQ_IPoTwEMB9Yp6ymwlPqew/edit?gid=984458430#gid=984458430"", ""'replication success'!A:K""), 11, FAlSE)"),"failed")</f>
        <v>failed</v>
      </c>
      <c r="AZ1218" s="61" t="str">
        <f>IFERROR(__xludf.DUMMYFUNCTION("vlookup(BB1218,importrange(""https://docs.google.com/spreadsheets/d/1d2vevQ_7D_v35q4wCQ4RpQ_IPoTwEMB9Yp6ymwlPqew/edit?gid=984458430#gid=984458430"",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8" s="61" t="str">
        <f>IFERROR(__xludf.DUMMYFUNCTION("vlookup(BB1218,importrange(""https://docs.google.com/spreadsheets/d/1d2vevQ_7D_v35q4wCQ4RpQ_IPoTwEMB9Yp6ymwlPqew/edit?gid=984458430#gid=984458430"", ""'replication success'!A:M""), 13, FAlSE)"),"Table S1, pg.37")</f>
        <v>Table S1, pg.37</v>
      </c>
      <c r="BB1218" s="61" t="str">
        <f>IFERROR(__xludf.DUMMYFUNCTION("REGEXREPLACE(G1218, ""_[a-z]{1,2}$"", """")"),"Camereretal2016_18")</f>
        <v>Camereretal2016_18</v>
      </c>
      <c r="BD1218" s="62" t="s">
        <v>6645</v>
      </c>
    </row>
    <row r="1219">
      <c r="A1219" s="44">
        <v>1219.0</v>
      </c>
      <c r="B1219" s="62" t="s">
        <v>114</v>
      </c>
      <c r="C1219" s="45" t="s">
        <v>115</v>
      </c>
      <c r="D1219" s="62" t="s">
        <v>286</v>
      </c>
      <c r="F1219" s="68" t="s">
        <v>6791</v>
      </c>
      <c r="G1219" s="61" t="s">
        <v>6791</v>
      </c>
      <c r="H1219" s="159" t="s">
        <v>289</v>
      </c>
      <c r="I1219" s="152">
        <v>45667.0</v>
      </c>
      <c r="J1219" s="68"/>
      <c r="K1219" s="159" t="s">
        <v>6801</v>
      </c>
      <c r="L1219" s="68"/>
      <c r="M1219" s="68" t="s">
        <v>6792</v>
      </c>
      <c r="N1219" s="68" t="s">
        <v>6793</v>
      </c>
      <c r="O1219" s="68"/>
      <c r="P1219" s="159" t="str">
        <f t="shared" si="76"/>
        <v>10.1093--qje--qjt035.pdf</v>
      </c>
      <c r="Q1219" s="52" t="str">
        <f t="array" ref="Q1219"> if(iserror(MATCH(V1219, 'File Links'!C:C, 0)), "N/A", HYPERLINK(INDEX('File Links'!B:B, MATCH(P1219, 'File Links'!C:C, 0))))</f>
        <v>https://drive.google.com/file/d/1AEIAMNY49STOE6ElNt-b8Hq1Zx5-39DC/view?usp=drivesdk</v>
      </c>
      <c r="R1219" s="1380" t="s">
        <v>6635</v>
      </c>
      <c r="S1219" s="88" t="s">
        <v>6636</v>
      </c>
      <c r="T1219" s="68"/>
      <c r="U1219" s="68"/>
      <c r="V1219" s="198" t="str">
        <f t="shared" si="77"/>
        <v>10.1126--science.aaf0918.pdf</v>
      </c>
      <c r="W1219" s="159" t="s">
        <v>6647</v>
      </c>
      <c r="X1219" s="54" t="str">
        <f t="array" ref="X1219"> if(iserror(MATCH(V1219, 'File Links'!C:C, 0)), "N/A", HYPERLINK(INDEX('File Links'!B:B, MATCH(V1219, 'File Links'!C:C, 0))))</f>
        <v>https://drive.google.com/file/d/1g2LUlGntoVWUQi433rats2xlfqkwajdf/view?usp=drivesdk</v>
      </c>
      <c r="Y1219" s="68"/>
      <c r="Z1219" s="159" t="s">
        <v>1809</v>
      </c>
      <c r="AA1219" s="159" t="s">
        <v>6802</v>
      </c>
      <c r="AB1219" s="159" t="s">
        <v>6803</v>
      </c>
      <c r="AC1219" s="68" t="s">
        <v>6804</v>
      </c>
      <c r="AD1219" s="159" t="s">
        <v>6805</v>
      </c>
      <c r="AE1219" s="159" t="s">
        <v>6806</v>
      </c>
      <c r="AF1219" s="156">
        <v>42.0</v>
      </c>
      <c r="AG1219" s="156">
        <v>-0.181</v>
      </c>
      <c r="AH1219" s="151" t="s">
        <v>134</v>
      </c>
      <c r="AI1219" s="159" t="s">
        <v>6807</v>
      </c>
      <c r="AJ1219" s="709">
        <v>0.1</v>
      </c>
      <c r="AK1219" s="57" t="s">
        <v>135</v>
      </c>
      <c r="AL1219" s="57" t="s">
        <v>186</v>
      </c>
      <c r="AM1219" s="68" t="s">
        <v>141</v>
      </c>
      <c r="AN1219" s="151" t="s">
        <v>138</v>
      </c>
      <c r="AO1219" s="156">
        <v>144.0</v>
      </c>
      <c r="AP1219" s="156">
        <v>-0.12</v>
      </c>
      <c r="AQ1219" s="159" t="s">
        <v>215</v>
      </c>
      <c r="AR1219" s="159" t="s">
        <v>3255</v>
      </c>
      <c r="AS1219" s="156">
        <v>0.154</v>
      </c>
      <c r="AT1219" s="159" t="s">
        <v>172</v>
      </c>
      <c r="AU1219" s="159" t="s">
        <v>186</v>
      </c>
      <c r="AV1219" s="68" t="s">
        <v>141</v>
      </c>
      <c r="AW1219" s="68"/>
      <c r="AX1219" s="68" t="s">
        <v>143</v>
      </c>
      <c r="AY1219" s="61" t="str">
        <f>IFERROR(__xludf.DUMMYFUNCTION("vlookup(BB1219,importrange(""https://docs.google.com/spreadsheets/d/1d2vevQ_7D_v35q4wCQ4RpQ_IPoTwEMB9Yp6ymwlPqew/edit?gid=984458430#gid=984458430"", ""'replication success'!A:K""), 11, FAlSE)"),"failed")</f>
        <v>failed</v>
      </c>
      <c r="AZ1219" s="61" t="str">
        <f>IFERROR(__xludf.DUMMYFUNCTION("vlookup(BB1219,importrange(""https://docs.google.com/spreadsheets/d/1d2vevQ_7D_v35q4wCQ4RpQ_IPoTwEMB9Yp6ymwlPqew/edit?gid=984458430#gid=984458430"",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19" s="61" t="str">
        <f>IFERROR(__xludf.DUMMYFUNCTION("vlookup(BB1219,importrange(""https://docs.google.com/spreadsheets/d/1d2vevQ_7D_v35q4wCQ4RpQ_IPoTwEMB9Yp6ymwlPqew/edit?gid=984458430#gid=984458430"", ""'replication success'!A:M""), 13, FAlSE)"),"Table S1, pg.37")</f>
        <v>Table S1, pg.37</v>
      </c>
      <c r="BB1219" s="61" t="str">
        <f>IFERROR(__xludf.DUMMYFUNCTION("REGEXREPLACE(G1219, ""_[a-z]{1,2}$"", """")"),"Camereretal2016_18")</f>
        <v>Camereretal2016_18</v>
      </c>
      <c r="BD1219" s="62" t="s">
        <v>6645</v>
      </c>
    </row>
    <row r="1220">
      <c r="A1220" s="44">
        <v>1220.0</v>
      </c>
      <c r="B1220" s="129" t="s">
        <v>152</v>
      </c>
      <c r="C1220" s="62" t="s">
        <v>115</v>
      </c>
      <c r="D1220" s="62" t="s">
        <v>232</v>
      </c>
      <c r="F1220" s="68" t="s">
        <v>6808</v>
      </c>
      <c r="G1220" s="68" t="s">
        <v>6808</v>
      </c>
      <c r="H1220" s="159" t="s">
        <v>5074</v>
      </c>
      <c r="I1220" s="152">
        <v>45690.0</v>
      </c>
      <c r="J1220" s="68"/>
      <c r="K1220" s="68"/>
      <c r="L1220" s="68"/>
      <c r="M1220" s="68" t="s">
        <v>6809</v>
      </c>
      <c r="N1220" s="68" t="s">
        <v>6810</v>
      </c>
      <c r="O1220" s="336">
        <v>1.0</v>
      </c>
      <c r="P1220" s="159" t="str">
        <f t="shared" si="76"/>
        <v>10.1257--aer.102.7.3317.pdf</v>
      </c>
      <c r="Q1220" s="52" t="str">
        <f t="array" ref="Q1220"> if(iserror(MATCH(V1220, 'File Links'!C:C, 0)), "N/A", HYPERLINK(INDEX('File Links'!B:B, MATCH(P1220, 'File Links'!C:C, 0))))</f>
        <v>https://drive.google.com/file/d/1vGGh8iNvz5riiPFFfaYWDPoBsN1DieSC/view?usp=drivesdk</v>
      </c>
      <c r="R1220" s="1380" t="s">
        <v>6635</v>
      </c>
      <c r="S1220" s="88" t="s">
        <v>6636</v>
      </c>
      <c r="T1220" s="1379"/>
      <c r="U1220" s="336">
        <v>2.0</v>
      </c>
      <c r="V1220" s="198" t="str">
        <f t="shared" si="77"/>
        <v>10.1126--science.aaf0918.pdf</v>
      </c>
      <c r="W1220" s="159" t="s">
        <v>6637</v>
      </c>
      <c r="X1220" s="54" t="str">
        <f t="array" ref="X1220"> if(iserror(MATCH(V1220, 'File Links'!C:C, 0)), "N/A", HYPERLINK(INDEX('File Links'!B:B, MATCH(V1220, 'File Links'!C:C, 0))))</f>
        <v>https://drive.google.com/file/d/1g2LUlGntoVWUQi433rats2xlfqkwajdf/view?usp=drivesdk</v>
      </c>
      <c r="Y1220" s="68"/>
      <c r="Z1220" s="159" t="s">
        <v>1809</v>
      </c>
      <c r="AA1220" s="129" t="s">
        <v>6811</v>
      </c>
      <c r="AB1220" s="151" t="s">
        <v>6812</v>
      </c>
      <c r="AC1220" s="151" t="s">
        <v>6813</v>
      </c>
      <c r="AD1220" s="151" t="s">
        <v>6814</v>
      </c>
      <c r="AE1220" s="159" t="s">
        <v>6815</v>
      </c>
      <c r="AF1220" s="156">
        <v>117.0</v>
      </c>
      <c r="AG1220" s="161">
        <v>2.91</v>
      </c>
      <c r="AH1220" s="151" t="s">
        <v>987</v>
      </c>
      <c r="AI1220" s="129" t="s">
        <v>6816</v>
      </c>
      <c r="AJ1220" s="709">
        <v>0.05</v>
      </c>
      <c r="AK1220" s="159" t="s">
        <v>135</v>
      </c>
      <c r="AL1220" s="159" t="s">
        <v>186</v>
      </c>
      <c r="AM1220" s="68" t="s">
        <v>137</v>
      </c>
      <c r="AN1220" s="151" t="s">
        <v>138</v>
      </c>
      <c r="AO1220" s="156">
        <v>357.0</v>
      </c>
      <c r="AP1220" s="501">
        <v>2.021</v>
      </c>
      <c r="AQ1220" s="151" t="s">
        <v>987</v>
      </c>
      <c r="AR1220" s="151" t="s">
        <v>217</v>
      </c>
      <c r="AS1220" s="156">
        <v>0.012</v>
      </c>
      <c r="AT1220" s="159" t="s">
        <v>172</v>
      </c>
      <c r="AU1220" s="159" t="s">
        <v>186</v>
      </c>
      <c r="AV1220" s="68" t="s">
        <v>137</v>
      </c>
      <c r="AW1220" s="435" t="s">
        <v>6817</v>
      </c>
      <c r="AX1220" s="68" t="s">
        <v>143</v>
      </c>
      <c r="AY1220" s="61" t="str">
        <f>IFERROR(__xludf.DUMMYFUNCTION("vlookup(BB1220,importrange(""https://docs.google.com/spreadsheets/d/1d2vevQ_7D_v35q4wCQ4RpQ_IPoTwEMB9Yp6ymwlPqew/edit?gid=984458430#gid=984458430"", ""'replication success'!A:K""), 11, FAlSE)"),"successful")</f>
        <v>successful</v>
      </c>
      <c r="AZ1220" s="61" t="str">
        <f>IFERROR(__xludf.DUMMYFUNCTION("vlookup(BB1220,importrange(""https://docs.google.com/spreadsheets/d/1d2vevQ_7D_v35q4wCQ4RpQ_IPoTwEMB9Yp6ymwlPqew/edit?gid=984458430#gid=984458430"",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0" s="61" t="str">
        <f>IFERROR(__xludf.DUMMYFUNCTION("vlookup(BB1220,importrange(""https://docs.google.com/spreadsheets/d/1d2vevQ_7D_v35q4wCQ4RpQ_IPoTwEMB9Yp6ymwlPqew/edit?gid=984458430#gid=984458430"", ""'replication success'!A:M""), 13, FAlSE)"),"Table S1, pg.38")</f>
        <v>Table S1, pg.38</v>
      </c>
      <c r="BB1220" s="61" t="str">
        <f>IFERROR(__xludf.DUMMYFUNCTION("REGEXREPLACE(G1220, ""_[a-z]{1,2}$"", """")"),"Camereretal2016_2")</f>
        <v>Camereretal2016_2</v>
      </c>
      <c r="BC1220" s="62" t="s">
        <v>6818</v>
      </c>
      <c r="BD1220" s="62" t="s">
        <v>6645</v>
      </c>
    </row>
    <row r="1221">
      <c r="A1221" s="44">
        <v>1221.0</v>
      </c>
      <c r="B1221" s="62" t="s">
        <v>114</v>
      </c>
      <c r="C1221" s="45" t="s">
        <v>115</v>
      </c>
      <c r="D1221" s="62" t="s">
        <v>286</v>
      </c>
      <c r="F1221" s="68" t="s">
        <v>6808</v>
      </c>
      <c r="G1221" s="61" t="s">
        <v>6808</v>
      </c>
      <c r="H1221" s="159" t="s">
        <v>289</v>
      </c>
      <c r="I1221" s="152">
        <v>45662.0</v>
      </c>
      <c r="J1221" s="152">
        <v>45665.0</v>
      </c>
      <c r="K1221" s="159" t="s">
        <v>6819</v>
      </c>
      <c r="L1221" s="68"/>
      <c r="M1221" s="68" t="s">
        <v>6809</v>
      </c>
      <c r="N1221" s="68" t="s">
        <v>6810</v>
      </c>
      <c r="O1221" s="68"/>
      <c r="P1221" s="159" t="str">
        <f t="shared" si="76"/>
        <v>10.1257--aer.102.7.3317.pdf</v>
      </c>
      <c r="Q1221" s="52" t="str">
        <f t="array" ref="Q1221"> if(iserror(MATCH(V1221, 'File Links'!C:C, 0)), "N/A", HYPERLINK(INDEX('File Links'!B:B, MATCH(P1221, 'File Links'!C:C, 0))))</f>
        <v>https://drive.google.com/file/d/1vGGh8iNvz5riiPFFfaYWDPoBsN1DieSC/view?usp=drivesdk</v>
      </c>
      <c r="R1221" s="1380" t="s">
        <v>6635</v>
      </c>
      <c r="S1221" s="88" t="s">
        <v>6636</v>
      </c>
      <c r="T1221" s="68"/>
      <c r="U1221" s="68"/>
      <c r="V1221" s="198" t="str">
        <f t="shared" si="77"/>
        <v>10.1126--science.aaf0918.pdf</v>
      </c>
      <c r="W1221" s="159" t="s">
        <v>6647</v>
      </c>
      <c r="X1221" s="54" t="str">
        <f t="array" ref="X1221"> if(iserror(MATCH(V1221, 'File Links'!C:C, 0)), "N/A", HYPERLINK(INDEX('File Links'!B:B, MATCH(V1221, 'File Links'!C:C, 0))))</f>
        <v>https://drive.google.com/file/d/1g2LUlGntoVWUQi433rats2xlfqkwajdf/view?usp=drivesdk</v>
      </c>
      <c r="Y1221" s="159"/>
      <c r="Z1221" s="159" t="s">
        <v>1809</v>
      </c>
      <c r="AA1221" s="159" t="s">
        <v>6820</v>
      </c>
      <c r="AB1221" s="159" t="s">
        <v>6821</v>
      </c>
      <c r="AC1221" s="159" t="s">
        <v>6822</v>
      </c>
      <c r="AD1221" s="159" t="s">
        <v>6823</v>
      </c>
      <c r="AE1221" s="159" t="s">
        <v>6815</v>
      </c>
      <c r="AF1221" s="156">
        <v>117.0</v>
      </c>
      <c r="AG1221" s="156">
        <v>-2.914</v>
      </c>
      <c r="AH1221" s="159" t="s">
        <v>6774</v>
      </c>
      <c r="AI1221" s="68"/>
      <c r="AJ1221" s="709">
        <v>0.05</v>
      </c>
      <c r="AK1221" s="57" t="s">
        <v>135</v>
      </c>
      <c r="AL1221" s="57" t="s">
        <v>136</v>
      </c>
      <c r="AM1221" s="68" t="s">
        <v>1905</v>
      </c>
      <c r="AN1221" s="151" t="s">
        <v>138</v>
      </c>
      <c r="AO1221" s="156">
        <v>357.0</v>
      </c>
      <c r="AP1221" s="336">
        <v>0.23</v>
      </c>
      <c r="AQ1221" s="159" t="s">
        <v>215</v>
      </c>
      <c r="AR1221" s="159" t="s">
        <v>3255</v>
      </c>
      <c r="AS1221" s="156">
        <v>0.012</v>
      </c>
      <c r="AT1221" s="159" t="s">
        <v>172</v>
      </c>
      <c r="AU1221" s="159" t="s">
        <v>186</v>
      </c>
      <c r="AV1221" s="68" t="s">
        <v>1905</v>
      </c>
      <c r="AW1221" s="68"/>
      <c r="AX1221" s="68" t="s">
        <v>143</v>
      </c>
      <c r="AY1221" s="61" t="str">
        <f>IFERROR(__xludf.DUMMYFUNCTION("vlookup(BB1221,importrange(""https://docs.google.com/spreadsheets/d/1d2vevQ_7D_v35q4wCQ4RpQ_IPoTwEMB9Yp6ymwlPqew/edit?gid=984458430#gid=984458430"", ""'replication success'!A:K""), 11, FAlSE)"),"successful")</f>
        <v>successful</v>
      </c>
      <c r="AZ1221" s="61" t="str">
        <f>IFERROR(__xludf.DUMMYFUNCTION("vlookup(BB1221,importrange(""https://docs.google.com/spreadsheets/d/1d2vevQ_7D_v35q4wCQ4RpQ_IPoTwEMB9Yp6ymwlPqew/edit?gid=984458430#gid=984458430"",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1" s="61" t="str">
        <f>IFERROR(__xludf.DUMMYFUNCTION("vlookup(BB1221,importrange(""https://docs.google.com/spreadsheets/d/1d2vevQ_7D_v35q4wCQ4RpQ_IPoTwEMB9Yp6ymwlPqew/edit?gid=984458430#gid=984458430"", ""'replication success'!A:M""), 13, FAlSE)"),"Table S1, pg.38")</f>
        <v>Table S1, pg.38</v>
      </c>
      <c r="BB1221" s="61" t="str">
        <f>IFERROR(__xludf.DUMMYFUNCTION("REGEXREPLACE(G1221, ""_[a-z]{1,2}$"", """")"),"Camereretal2016_2")</f>
        <v>Camereretal2016_2</v>
      </c>
      <c r="BD1221" s="62" t="s">
        <v>6645</v>
      </c>
    </row>
    <row r="1222">
      <c r="A1222" s="44">
        <v>1222.0</v>
      </c>
      <c r="B1222" s="129" t="s">
        <v>152</v>
      </c>
      <c r="C1222" s="62" t="s">
        <v>115</v>
      </c>
      <c r="D1222" s="62" t="s">
        <v>232</v>
      </c>
      <c r="F1222" s="68" t="s">
        <v>6824</v>
      </c>
      <c r="G1222" s="68" t="s">
        <v>6824</v>
      </c>
      <c r="H1222" s="159" t="s">
        <v>5074</v>
      </c>
      <c r="I1222" s="152">
        <v>45690.0</v>
      </c>
      <c r="J1222" s="68"/>
      <c r="K1222" s="68"/>
      <c r="L1222" s="68"/>
      <c r="M1222" s="68" t="s">
        <v>6825</v>
      </c>
      <c r="N1222" s="68" t="s">
        <v>6826</v>
      </c>
      <c r="O1222" s="336">
        <v>1.0</v>
      </c>
      <c r="P1222" s="159" t="str">
        <f t="shared" si="76"/>
        <v>10.1257--aer.102.2.834.pdf</v>
      </c>
      <c r="Q1222" s="52" t="str">
        <f t="array" ref="Q1222"> if(iserror(MATCH(V1222, 'File Links'!C:C, 0)), "N/A", HYPERLINK(INDEX('File Links'!B:B, MATCH(P1222, 'File Links'!C:C, 0))))</f>
        <v>https://drive.google.com/file/d/15obABizUe2mVP6tTA7xfzSOU9zsFeGRP/view?usp=drivesdk</v>
      </c>
      <c r="R1222" s="1380" t="s">
        <v>6635</v>
      </c>
      <c r="S1222" s="88" t="s">
        <v>6636</v>
      </c>
      <c r="T1222" s="1379"/>
      <c r="U1222" s="336">
        <v>3.0</v>
      </c>
      <c r="V1222" s="198" t="str">
        <f t="shared" si="77"/>
        <v>10.1126--science.aaf0918.pdf</v>
      </c>
      <c r="W1222" s="159" t="s">
        <v>6637</v>
      </c>
      <c r="X1222" s="54" t="str">
        <f t="array" ref="X1222"> if(iserror(MATCH(V1222, 'File Links'!C:C, 0)), "N/A", HYPERLINK(INDEX('File Links'!B:B, MATCH(V1222, 'File Links'!C:C, 0))))</f>
        <v>https://drive.google.com/file/d/1g2LUlGntoVWUQi433rats2xlfqkwajdf/view?usp=drivesdk</v>
      </c>
      <c r="Y1222" s="68"/>
      <c r="Z1222" s="159" t="s">
        <v>1809</v>
      </c>
      <c r="AA1222" s="374" t="s">
        <v>138</v>
      </c>
      <c r="AB1222" s="151" t="s">
        <v>6827</v>
      </c>
      <c r="AC1222" s="151" t="s">
        <v>6828</v>
      </c>
      <c r="AD1222" s="151" t="s">
        <v>6829</v>
      </c>
      <c r="AE1222" s="159" t="s">
        <v>6830</v>
      </c>
      <c r="AF1222" s="156">
        <v>216.0</v>
      </c>
      <c r="AG1222" s="161">
        <v>57.8</v>
      </c>
      <c r="AH1222" s="151" t="s">
        <v>6831</v>
      </c>
      <c r="AI1222" s="151" t="s">
        <v>6830</v>
      </c>
      <c r="AJ1222" s="156">
        <v>0.007</v>
      </c>
      <c r="AK1222" s="159" t="s">
        <v>172</v>
      </c>
      <c r="AL1222" s="159" t="s">
        <v>186</v>
      </c>
      <c r="AM1222" s="129" t="s">
        <v>141</v>
      </c>
      <c r="AN1222" s="151" t="s">
        <v>138</v>
      </c>
      <c r="AO1222" s="156">
        <v>360.0</v>
      </c>
      <c r="AP1222" s="161">
        <v>80.28</v>
      </c>
      <c r="AQ1222" s="151" t="s">
        <v>6831</v>
      </c>
      <c r="AR1222" s="151" t="s">
        <v>217</v>
      </c>
      <c r="AS1222" s="156">
        <v>0.001</v>
      </c>
      <c r="AT1222" s="159" t="s">
        <v>172</v>
      </c>
      <c r="AU1222" s="159" t="s">
        <v>186</v>
      </c>
      <c r="AV1222" s="129" t="s">
        <v>141</v>
      </c>
      <c r="AW1222" s="435" t="s">
        <v>6832</v>
      </c>
      <c r="AX1222" s="68" t="s">
        <v>143</v>
      </c>
      <c r="AY1222" s="61" t="str">
        <f>IFERROR(__xludf.DUMMYFUNCTION("vlookup(BB1222,importrange(""https://docs.google.com/spreadsheets/d/1d2vevQ_7D_v35q4wCQ4RpQ_IPoTwEMB9Yp6ymwlPqew/edit?gid=984458430#gid=984458430"", ""'replication success'!A:K""), 11, FAlSE)"),"successful")</f>
        <v>successful</v>
      </c>
      <c r="AZ1222" s="61" t="str">
        <f>IFERROR(__xludf.DUMMYFUNCTION("vlookup(BB1222,importrange(""https://docs.google.com/spreadsheets/d/1d2vevQ_7D_v35q4wCQ4RpQ_IPoTwEMB9Yp6ymwlPqew/edit?gid=984458430#gid=984458430"",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2" s="61" t="str">
        <f>IFERROR(__xludf.DUMMYFUNCTION("vlookup(BB1222,importrange(""https://docs.google.com/spreadsheets/d/1d2vevQ_7D_v35q4wCQ4RpQ_IPoTwEMB9Yp6ymwlPqew/edit?gid=984458430#gid=984458430"", ""'replication success'!A:M""), 13, FAlSE)"),"Table S1, pg.39")</f>
        <v>Table S1, pg.39</v>
      </c>
      <c r="BB1222" s="61" t="str">
        <f>IFERROR(__xludf.DUMMYFUNCTION("REGEXREPLACE(G1222, ""_[a-z]{1,2}$"", """")"),"Camereretal2016_3")</f>
        <v>Camereretal2016_3</v>
      </c>
      <c r="BD1222" s="62" t="s">
        <v>6645</v>
      </c>
    </row>
    <row r="1223">
      <c r="A1223" s="44">
        <v>1223.0</v>
      </c>
      <c r="B1223" s="62" t="s">
        <v>114</v>
      </c>
      <c r="C1223" s="45" t="s">
        <v>115</v>
      </c>
      <c r="D1223" s="62" t="s">
        <v>286</v>
      </c>
      <c r="F1223" s="68" t="s">
        <v>6824</v>
      </c>
      <c r="G1223" s="61" t="s">
        <v>6824</v>
      </c>
      <c r="H1223" s="159" t="s">
        <v>289</v>
      </c>
      <c r="I1223" s="152">
        <v>45662.0</v>
      </c>
      <c r="J1223" s="152">
        <v>45665.0</v>
      </c>
      <c r="K1223" s="159" t="s">
        <v>6833</v>
      </c>
      <c r="L1223" s="68"/>
      <c r="M1223" s="68" t="s">
        <v>6825</v>
      </c>
      <c r="N1223" s="68" t="s">
        <v>6826</v>
      </c>
      <c r="O1223" s="68"/>
      <c r="P1223" s="159" t="str">
        <f t="shared" si="76"/>
        <v>10.1257--aer.102.2.834.pdf</v>
      </c>
      <c r="Q1223" s="52" t="str">
        <f t="array" ref="Q1223"> if(iserror(MATCH(V1223, 'File Links'!C:C, 0)), "N/A", HYPERLINK(INDEX('File Links'!B:B, MATCH(P1223, 'File Links'!C:C, 0))))</f>
        <v>https://drive.google.com/file/d/15obABizUe2mVP6tTA7xfzSOU9zsFeGRP/view?usp=drivesdk</v>
      </c>
      <c r="R1223" s="1380" t="s">
        <v>6635</v>
      </c>
      <c r="S1223" s="88" t="s">
        <v>6636</v>
      </c>
      <c r="T1223" s="68"/>
      <c r="U1223" s="68"/>
      <c r="V1223" s="198" t="str">
        <f t="shared" si="77"/>
        <v>10.1126--science.aaf0918.pdf</v>
      </c>
      <c r="W1223" s="159" t="s">
        <v>6647</v>
      </c>
      <c r="X1223" s="54" t="str">
        <f t="array" ref="X1223"> if(iserror(MATCH(V1223, 'File Links'!C:C, 0)), "N/A", HYPERLINK(INDEX('File Links'!B:B, MATCH(V1223, 'File Links'!C:C, 0))))</f>
        <v>https://drive.google.com/file/d/1g2LUlGntoVWUQi433rats2xlfqkwajdf/view?usp=drivesdk</v>
      </c>
      <c r="Y1223" s="68"/>
      <c r="Z1223" s="159" t="s">
        <v>1809</v>
      </c>
      <c r="AA1223" s="159" t="s">
        <v>6834</v>
      </c>
      <c r="AB1223" s="159" t="s">
        <v>6835</v>
      </c>
      <c r="AC1223" s="159" t="s">
        <v>6836</v>
      </c>
      <c r="AD1223" s="159" t="s">
        <v>6837</v>
      </c>
      <c r="AE1223" s="159" t="s">
        <v>6830</v>
      </c>
      <c r="AF1223" s="156">
        <v>216.0</v>
      </c>
      <c r="AG1223" s="156">
        <v>5.92</v>
      </c>
      <c r="AH1223" s="159" t="s">
        <v>6838</v>
      </c>
      <c r="AI1223" s="159" t="s">
        <v>6839</v>
      </c>
      <c r="AJ1223" s="709">
        <v>0.007</v>
      </c>
      <c r="AK1223" s="57" t="s">
        <v>172</v>
      </c>
      <c r="AL1223" s="57" t="s">
        <v>136</v>
      </c>
      <c r="AM1223" s="68" t="s">
        <v>141</v>
      </c>
      <c r="AN1223" s="151" t="s">
        <v>138</v>
      </c>
      <c r="AO1223" s="156">
        <v>360.0</v>
      </c>
      <c r="AP1223" s="156">
        <v>0.66</v>
      </c>
      <c r="AQ1223" s="159" t="s">
        <v>215</v>
      </c>
      <c r="AR1223" s="159" t="s">
        <v>3255</v>
      </c>
      <c r="AS1223" s="156">
        <v>0.001</v>
      </c>
      <c r="AT1223" s="159" t="s">
        <v>172</v>
      </c>
      <c r="AU1223" s="159" t="s">
        <v>186</v>
      </c>
      <c r="AV1223" s="68" t="s">
        <v>141</v>
      </c>
      <c r="AW1223" s="68"/>
      <c r="AX1223" s="68" t="s">
        <v>143</v>
      </c>
      <c r="AY1223" s="61" t="str">
        <f>IFERROR(__xludf.DUMMYFUNCTION("vlookup(BB1223,importrange(""https://docs.google.com/spreadsheets/d/1d2vevQ_7D_v35q4wCQ4RpQ_IPoTwEMB9Yp6ymwlPqew/edit?gid=984458430#gid=984458430"", ""'replication success'!A:K""), 11, FAlSE)"),"successful")</f>
        <v>successful</v>
      </c>
      <c r="AZ1223" s="61" t="str">
        <f>IFERROR(__xludf.DUMMYFUNCTION("vlookup(BB1223,importrange(""https://docs.google.com/spreadsheets/d/1d2vevQ_7D_v35q4wCQ4RpQ_IPoTwEMB9Yp6ymwlPqew/edit?gid=984458430#gid=984458430"",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3" s="61" t="str">
        <f>IFERROR(__xludf.DUMMYFUNCTION("vlookup(BB1223,importrange(""https://docs.google.com/spreadsheets/d/1d2vevQ_7D_v35q4wCQ4RpQ_IPoTwEMB9Yp6ymwlPqew/edit?gid=984458430#gid=984458430"", ""'replication success'!A:M""), 13, FAlSE)"),"Table S1, pg.39")</f>
        <v>Table S1, pg.39</v>
      </c>
      <c r="BB1223" s="61" t="str">
        <f>IFERROR(__xludf.DUMMYFUNCTION("REGEXREPLACE(G1223, ""_[a-z]{1,2}$"", """")"),"Camereretal2016_3")</f>
        <v>Camereretal2016_3</v>
      </c>
      <c r="BD1223" s="62" t="s">
        <v>6645</v>
      </c>
    </row>
    <row r="1224">
      <c r="A1224" s="44">
        <v>1224.0</v>
      </c>
      <c r="B1224" s="129" t="s">
        <v>152</v>
      </c>
      <c r="C1224" s="62" t="s">
        <v>115</v>
      </c>
      <c r="D1224" s="62" t="s">
        <v>232</v>
      </c>
      <c r="F1224" s="68" t="s">
        <v>6840</v>
      </c>
      <c r="G1224" s="68" t="s">
        <v>6840</v>
      </c>
      <c r="H1224" s="159" t="s">
        <v>5074</v>
      </c>
      <c r="I1224" s="152">
        <v>45690.0</v>
      </c>
      <c r="J1224" s="68"/>
      <c r="K1224" s="68"/>
      <c r="L1224" s="68"/>
      <c r="M1224" s="68" t="s">
        <v>6841</v>
      </c>
      <c r="N1224" s="68" t="s">
        <v>6842</v>
      </c>
      <c r="O1224" s="336">
        <v>1.0</v>
      </c>
      <c r="P1224" s="159" t="str">
        <f t="shared" si="76"/>
        <v>10.1257--aer.101.4.1211.pdf</v>
      </c>
      <c r="Q1224" s="52" t="str">
        <f t="array" ref="Q1224"> if(iserror(MATCH(V1224, 'File Links'!C:C, 0)), "N/A", HYPERLINK(INDEX('File Links'!B:B, MATCH(P1224, 'File Links'!C:C, 0))))</f>
        <v>https://drive.google.com/file/d/1NxbR_bwAiYFpZjIg55CMPxWtvCoOVIAQ/view?usp=drivesdk</v>
      </c>
      <c r="R1224" s="1380" t="s">
        <v>6635</v>
      </c>
      <c r="S1224" s="88" t="s">
        <v>6636</v>
      </c>
      <c r="T1224" s="1379"/>
      <c r="U1224" s="336">
        <v>4.0</v>
      </c>
      <c r="V1224" s="198" t="str">
        <f t="shared" si="77"/>
        <v>10.1126--science.aaf0918.pdf</v>
      </c>
      <c r="W1224" s="159" t="s">
        <v>6637</v>
      </c>
      <c r="X1224" s="54" t="str">
        <f t="array" ref="X1224"> if(iserror(MATCH(V1224, 'File Links'!C:C, 0)), "N/A", HYPERLINK(INDEX('File Links'!B:B, MATCH(V1224, 'File Links'!C:C, 0))))</f>
        <v>https://drive.google.com/file/d/1g2LUlGntoVWUQi433rats2xlfqkwajdf/view?usp=drivesdk</v>
      </c>
      <c r="Y1224" s="68"/>
      <c r="Z1224" s="159" t="s">
        <v>1809</v>
      </c>
      <c r="AA1224" s="374" t="s">
        <v>138</v>
      </c>
      <c r="AB1224" s="159" t="s">
        <v>6843</v>
      </c>
      <c r="AC1224" s="151" t="s">
        <v>6844</v>
      </c>
      <c r="AD1224" s="151" t="s">
        <v>6845</v>
      </c>
      <c r="AE1224" s="151" t="s">
        <v>6846</v>
      </c>
      <c r="AF1224" s="156">
        <v>162.0</v>
      </c>
      <c r="AG1224" s="1120">
        <v>5.318181818181818</v>
      </c>
      <c r="AH1224" s="159" t="s">
        <v>722</v>
      </c>
      <c r="AI1224" s="159" t="s">
        <v>6847</v>
      </c>
      <c r="AJ1224" s="161">
        <v>0.001</v>
      </c>
      <c r="AK1224" s="159" t="s">
        <v>135</v>
      </c>
      <c r="AL1224" s="151" t="s">
        <v>136</v>
      </c>
      <c r="AM1224" s="68" t="s">
        <v>137</v>
      </c>
      <c r="AN1224" s="151" t="s">
        <v>138</v>
      </c>
      <c r="AO1224" s="156">
        <v>264.0</v>
      </c>
      <c r="AP1224" s="161">
        <v>5.1</v>
      </c>
      <c r="AQ1224" s="151" t="s">
        <v>722</v>
      </c>
      <c r="AR1224" s="151" t="s">
        <v>6848</v>
      </c>
      <c r="AS1224" s="156">
        <v>0.003</v>
      </c>
      <c r="AT1224" s="159" t="s">
        <v>172</v>
      </c>
      <c r="AU1224" s="159" t="s">
        <v>186</v>
      </c>
      <c r="AV1224" s="68" t="s">
        <v>137</v>
      </c>
      <c r="AW1224" s="435" t="s">
        <v>6849</v>
      </c>
      <c r="AX1224" s="68" t="s">
        <v>143</v>
      </c>
      <c r="AY1224" s="61" t="str">
        <f>IFERROR(__xludf.DUMMYFUNCTION("vlookup(BB1224,importrange(""https://docs.google.com/spreadsheets/d/1d2vevQ_7D_v35q4wCQ4RpQ_IPoTwEMB9Yp6ymwlPqew/edit?gid=984458430#gid=984458430"", ""'replication success'!A:K""), 11, FAlSE)"),"successful")</f>
        <v>successful</v>
      </c>
      <c r="AZ1224" s="61" t="str">
        <f>IFERROR(__xludf.DUMMYFUNCTION("vlookup(BB1224,importrange(""https://docs.google.com/spreadsheets/d/1d2vevQ_7D_v35q4wCQ4RpQ_IPoTwEMB9Yp6ymwlPqew/edit?gid=984458430#gid=984458430"",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4" s="61" t="str">
        <f>IFERROR(__xludf.DUMMYFUNCTION("vlookup(BB1224,importrange(""https://docs.google.com/spreadsheets/d/1d2vevQ_7D_v35q4wCQ4RpQ_IPoTwEMB9Yp6ymwlPqew/edit?gid=984458430#gid=984458430"", ""'replication success'!A:M""), 13, FAlSE)"),"Table S1, pg.40")</f>
        <v>Table S1, pg.40</v>
      </c>
      <c r="BB1224" s="61" t="str">
        <f>IFERROR(__xludf.DUMMYFUNCTION("REGEXREPLACE(G1224, ""_[a-z]{1,2}$"", """")"),"Camereretal2016_4")</f>
        <v>Camereretal2016_4</v>
      </c>
      <c r="BD1224" s="62" t="s">
        <v>6645</v>
      </c>
    </row>
    <row r="1225">
      <c r="A1225" s="44">
        <v>1225.0</v>
      </c>
      <c r="B1225" s="62" t="s">
        <v>114</v>
      </c>
      <c r="C1225" s="45" t="s">
        <v>115</v>
      </c>
      <c r="D1225" s="62" t="s">
        <v>286</v>
      </c>
      <c r="F1225" s="68" t="s">
        <v>6840</v>
      </c>
      <c r="G1225" s="61" t="s">
        <v>6840</v>
      </c>
      <c r="H1225" s="159" t="s">
        <v>289</v>
      </c>
      <c r="I1225" s="152">
        <v>45662.0</v>
      </c>
      <c r="J1225" s="152">
        <v>45665.0</v>
      </c>
      <c r="K1225" s="159" t="s">
        <v>6850</v>
      </c>
      <c r="L1225" s="68"/>
      <c r="M1225" s="68" t="s">
        <v>6841</v>
      </c>
      <c r="N1225" s="68" t="s">
        <v>6842</v>
      </c>
      <c r="O1225" s="68"/>
      <c r="P1225" s="159" t="str">
        <f t="shared" si="76"/>
        <v>10.1257--aer.101.4.1211.pdf</v>
      </c>
      <c r="Q1225" s="52" t="str">
        <f t="array" ref="Q1225"> if(iserror(MATCH(V1225, 'File Links'!C:C, 0)), "N/A", HYPERLINK(INDEX('File Links'!B:B, MATCH(P1225, 'File Links'!C:C, 0))))</f>
        <v>https://drive.google.com/file/d/1NxbR_bwAiYFpZjIg55CMPxWtvCoOVIAQ/view?usp=drivesdk</v>
      </c>
      <c r="R1225" s="1380" t="s">
        <v>6635</v>
      </c>
      <c r="S1225" s="88" t="s">
        <v>6636</v>
      </c>
      <c r="T1225" s="68"/>
      <c r="U1225" s="68"/>
      <c r="V1225" s="198" t="str">
        <f t="shared" si="77"/>
        <v>10.1126--science.aaf0918.pdf</v>
      </c>
      <c r="W1225" s="159" t="s">
        <v>6647</v>
      </c>
      <c r="X1225" s="54" t="str">
        <f t="array" ref="X1225"> if(iserror(MATCH(V1225, 'File Links'!C:C, 0)), "N/A", HYPERLINK(INDEX('File Links'!B:B, MATCH(V1225, 'File Links'!C:C, 0))))</f>
        <v>https://drive.google.com/file/d/1g2LUlGntoVWUQi433rats2xlfqkwajdf/view?usp=drivesdk</v>
      </c>
      <c r="Y1225" s="68"/>
      <c r="Z1225" s="159" t="s">
        <v>1809</v>
      </c>
      <c r="AA1225" s="159" t="s">
        <v>6851</v>
      </c>
      <c r="AB1225" s="159" t="s">
        <v>6852</v>
      </c>
      <c r="AC1225" s="159" t="s">
        <v>6853</v>
      </c>
      <c r="AD1225" s="159" t="s">
        <v>6854</v>
      </c>
      <c r="AE1225" s="159" t="s">
        <v>6855</v>
      </c>
      <c r="AF1225" s="156">
        <v>162.0</v>
      </c>
      <c r="AG1225" s="1120">
        <v>5.318181818181818</v>
      </c>
      <c r="AH1225" s="159" t="s">
        <v>722</v>
      </c>
      <c r="AI1225" s="159" t="s">
        <v>6847</v>
      </c>
      <c r="AJ1225" s="709">
        <v>0.01</v>
      </c>
      <c r="AK1225" s="57" t="s">
        <v>172</v>
      </c>
      <c r="AL1225" s="57" t="s">
        <v>218</v>
      </c>
      <c r="AM1225" s="68" t="s">
        <v>137</v>
      </c>
      <c r="AN1225" s="151" t="s">
        <v>138</v>
      </c>
      <c r="AO1225" s="156">
        <v>264.0</v>
      </c>
      <c r="AP1225" s="156">
        <v>0.36</v>
      </c>
      <c r="AQ1225" s="159" t="s">
        <v>215</v>
      </c>
      <c r="AR1225" s="159" t="s">
        <v>3255</v>
      </c>
      <c r="AS1225" s="156">
        <v>0.003</v>
      </c>
      <c r="AT1225" s="159" t="s">
        <v>172</v>
      </c>
      <c r="AU1225" s="159" t="s">
        <v>186</v>
      </c>
      <c r="AV1225" s="68" t="s">
        <v>137</v>
      </c>
      <c r="AW1225" s="68"/>
      <c r="AX1225" s="68" t="s">
        <v>143</v>
      </c>
      <c r="AY1225" s="61" t="str">
        <f>IFERROR(__xludf.DUMMYFUNCTION("vlookup(BB1225,importrange(""https://docs.google.com/spreadsheets/d/1d2vevQ_7D_v35q4wCQ4RpQ_IPoTwEMB9Yp6ymwlPqew/edit?gid=984458430#gid=984458430"", ""'replication success'!A:K""), 11, FAlSE)"),"successful")</f>
        <v>successful</v>
      </c>
      <c r="AZ1225" s="61" t="str">
        <f>IFERROR(__xludf.DUMMYFUNCTION("vlookup(BB1225,importrange(""https://docs.google.com/spreadsheets/d/1d2vevQ_7D_v35q4wCQ4RpQ_IPoTwEMB9Yp6ymwlPqew/edit?gid=984458430#gid=984458430"",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5" s="61" t="str">
        <f>IFERROR(__xludf.DUMMYFUNCTION("vlookup(BB1225,importrange(""https://docs.google.com/spreadsheets/d/1d2vevQ_7D_v35q4wCQ4RpQ_IPoTwEMB9Yp6ymwlPqew/edit?gid=984458430#gid=984458430"", ""'replication success'!A:M""), 13, FAlSE)"),"Table S1, pg.40")</f>
        <v>Table S1, pg.40</v>
      </c>
      <c r="BB1225" s="61" t="str">
        <f>IFERROR(__xludf.DUMMYFUNCTION("REGEXREPLACE(G1225, ""_[a-z]{1,2}$"", """")"),"Camereretal2016_4")</f>
        <v>Camereretal2016_4</v>
      </c>
      <c r="BD1225" s="62" t="s">
        <v>6645</v>
      </c>
    </row>
    <row r="1226">
      <c r="A1226" s="44">
        <v>1226.0</v>
      </c>
      <c r="B1226" s="129" t="s">
        <v>152</v>
      </c>
      <c r="C1226" s="62" t="s">
        <v>115</v>
      </c>
      <c r="D1226" s="62" t="s">
        <v>232</v>
      </c>
      <c r="F1226" s="68" t="s">
        <v>6856</v>
      </c>
      <c r="G1226" s="68" t="s">
        <v>6856</v>
      </c>
      <c r="H1226" s="159" t="s">
        <v>5074</v>
      </c>
      <c r="I1226" s="152">
        <v>45690.0</v>
      </c>
      <c r="J1226" s="68"/>
      <c r="K1226" s="68"/>
      <c r="L1226" s="68"/>
      <c r="M1226" s="68" t="s">
        <v>6857</v>
      </c>
      <c r="N1226" s="68" t="s">
        <v>6858</v>
      </c>
      <c r="O1226" s="336">
        <v>1.0</v>
      </c>
      <c r="P1226" s="159" t="str">
        <f t="shared" si="76"/>
        <v>10.1257--aer.101.6.2562.pdf</v>
      </c>
      <c r="Q1226" s="52" t="str">
        <f t="array" ref="Q1226"> if(iserror(MATCH(V1226, 'File Links'!C:C, 0)), "N/A", HYPERLINK(INDEX('File Links'!B:B, MATCH(P1226, 'File Links'!C:C, 0))))</f>
        <v>https://drive.google.com/file/d/1CufoZHl_KItNfmOr5x_-4R-WsAKrS65V/view?usp=drivesdk</v>
      </c>
      <c r="R1226" s="1380" t="s">
        <v>6635</v>
      </c>
      <c r="S1226" s="88" t="s">
        <v>6636</v>
      </c>
      <c r="T1226" s="1379"/>
      <c r="U1226" s="336">
        <v>5.0</v>
      </c>
      <c r="V1226" s="198" t="str">
        <f t="shared" si="77"/>
        <v>10.1126--science.aaf0918.pdf</v>
      </c>
      <c r="W1226" s="159" t="s">
        <v>6637</v>
      </c>
      <c r="X1226" s="54" t="str">
        <f t="array" ref="X1226"> if(iserror(MATCH(V1226, 'File Links'!C:C, 0)), "N/A", HYPERLINK(INDEX('File Links'!B:B, MATCH(V1226, 'File Links'!C:C, 0))))</f>
        <v>https://drive.google.com/file/d/1g2LUlGntoVWUQi433rats2xlfqkwajdf/view?usp=drivesdk</v>
      </c>
      <c r="Y1226" s="68"/>
      <c r="Z1226" s="159" t="s">
        <v>1809</v>
      </c>
      <c r="AA1226" s="129" t="s">
        <v>6859</v>
      </c>
      <c r="AB1226" s="151" t="s">
        <v>6860</v>
      </c>
      <c r="AC1226" s="151" t="s">
        <v>6861</v>
      </c>
      <c r="AD1226" s="151" t="s">
        <v>6862</v>
      </c>
      <c r="AE1226" s="159" t="s">
        <v>6863</v>
      </c>
      <c r="AF1226" s="156">
        <v>72.0</v>
      </c>
      <c r="AG1226" s="156">
        <v>23.8</v>
      </c>
      <c r="AH1226" s="151" t="s">
        <v>6713</v>
      </c>
      <c r="AI1226" s="159" t="s">
        <v>6864</v>
      </c>
      <c r="AJ1226" s="709">
        <v>0.023</v>
      </c>
      <c r="AK1226" s="57" t="s">
        <v>172</v>
      </c>
      <c r="AL1226" s="159" t="s">
        <v>186</v>
      </c>
      <c r="AM1226" s="68" t="s">
        <v>141</v>
      </c>
      <c r="AN1226" s="151" t="s">
        <v>138</v>
      </c>
      <c r="AO1226" s="156">
        <v>168.0</v>
      </c>
      <c r="AP1226" s="161">
        <v>5.204</v>
      </c>
      <c r="AQ1226" s="151" t="s">
        <v>6713</v>
      </c>
      <c r="AR1226" s="151" t="s">
        <v>850</v>
      </c>
      <c r="AS1226" s="156">
        <v>0.571</v>
      </c>
      <c r="AT1226" s="159" t="s">
        <v>172</v>
      </c>
      <c r="AU1226" s="159" t="s">
        <v>186</v>
      </c>
      <c r="AV1226" s="129" t="s">
        <v>141</v>
      </c>
      <c r="AW1226" s="435" t="s">
        <v>6865</v>
      </c>
      <c r="AX1226" s="68" t="s">
        <v>143</v>
      </c>
      <c r="AY1226" s="61" t="str">
        <f>IFERROR(__xludf.DUMMYFUNCTION("vlookup(BB1226,importrange(""https://docs.google.com/spreadsheets/d/1d2vevQ_7D_v35q4wCQ4RpQ_IPoTwEMB9Yp6ymwlPqew/edit?gid=984458430#gid=984458430"", ""'replication success'!A:K""), 11, FAlSE)"),"failed")</f>
        <v>failed</v>
      </c>
      <c r="AZ1226" s="61" t="str">
        <f>IFERROR(__xludf.DUMMYFUNCTION("vlookup(BB1226,importrange(""https://docs.google.com/spreadsheets/d/1d2vevQ_7D_v35q4wCQ4RpQ_IPoTwEMB9Yp6ymwlPqew/edit?gid=984458430#gid=984458430"",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6" s="61" t="str">
        <f>IFERROR(__xludf.DUMMYFUNCTION("vlookup(BB1226,importrange(""https://docs.google.com/spreadsheets/d/1d2vevQ_7D_v35q4wCQ4RpQ_IPoTwEMB9Yp6ymwlPqew/edit?gid=984458430#gid=984458430"", ""'replication success'!A:M""), 13, FAlSE)"),"Table S1, pg.41")</f>
        <v>Table S1, pg.41</v>
      </c>
      <c r="BB1226" s="61" t="str">
        <f>IFERROR(__xludf.DUMMYFUNCTION("REGEXREPLACE(G1226, ""_[a-z]{1,2}$"", """")"),"Camereretal2016_5")</f>
        <v>Camereretal2016_5</v>
      </c>
      <c r="BD1226" s="62" t="s">
        <v>6645</v>
      </c>
    </row>
    <row r="1227">
      <c r="A1227" s="44">
        <v>1227.0</v>
      </c>
      <c r="B1227" s="62" t="s">
        <v>114</v>
      </c>
      <c r="C1227" s="45" t="s">
        <v>115</v>
      </c>
      <c r="D1227" s="62" t="s">
        <v>286</v>
      </c>
      <c r="F1227" s="68" t="s">
        <v>6856</v>
      </c>
      <c r="G1227" s="61" t="s">
        <v>6856</v>
      </c>
      <c r="H1227" s="159" t="s">
        <v>289</v>
      </c>
      <c r="I1227" s="152">
        <v>45662.0</v>
      </c>
      <c r="J1227" s="152">
        <v>45666.0</v>
      </c>
      <c r="K1227" s="159" t="s">
        <v>6866</v>
      </c>
      <c r="L1227" s="68"/>
      <c r="M1227" s="68" t="s">
        <v>6857</v>
      </c>
      <c r="N1227" s="68" t="s">
        <v>6858</v>
      </c>
      <c r="O1227" s="68"/>
      <c r="P1227" s="159" t="str">
        <f t="shared" si="76"/>
        <v>10.1257--aer.101.6.2562.pdf</v>
      </c>
      <c r="Q1227" s="52" t="str">
        <f t="array" ref="Q1227"> if(iserror(MATCH(V1227, 'File Links'!C:C, 0)), "N/A", HYPERLINK(INDEX('File Links'!B:B, MATCH(P1227, 'File Links'!C:C, 0))))</f>
        <v>https://drive.google.com/file/d/1CufoZHl_KItNfmOr5x_-4R-WsAKrS65V/view?usp=drivesdk</v>
      </c>
      <c r="R1227" s="1380" t="s">
        <v>6635</v>
      </c>
      <c r="S1227" s="88" t="s">
        <v>6636</v>
      </c>
      <c r="T1227" s="68"/>
      <c r="U1227" s="68"/>
      <c r="V1227" s="198" t="str">
        <f t="shared" si="77"/>
        <v>10.1126--science.aaf0918.pdf</v>
      </c>
      <c r="W1227" s="159" t="s">
        <v>6647</v>
      </c>
      <c r="X1227" s="54" t="str">
        <f t="array" ref="X1227"> if(iserror(MATCH(V1227, 'File Links'!C:C, 0)), "N/A", HYPERLINK(INDEX('File Links'!B:B, MATCH(V1227, 'File Links'!C:C, 0))))</f>
        <v>https://drive.google.com/file/d/1g2LUlGntoVWUQi433rats2xlfqkwajdf/view?usp=drivesdk</v>
      </c>
      <c r="Y1227" s="68"/>
      <c r="Z1227" s="159" t="s">
        <v>1809</v>
      </c>
      <c r="AA1227" s="159" t="s">
        <v>6867</v>
      </c>
      <c r="AB1227" s="159" t="s">
        <v>6868</v>
      </c>
      <c r="AC1227" s="159" t="s">
        <v>6869</v>
      </c>
      <c r="AD1227" s="159" t="s">
        <v>6870</v>
      </c>
      <c r="AE1227" s="159" t="s">
        <v>6863</v>
      </c>
      <c r="AF1227" s="156">
        <v>72.0</v>
      </c>
      <c r="AG1227" s="156">
        <v>23.8</v>
      </c>
      <c r="AH1227" s="68" t="s">
        <v>6721</v>
      </c>
      <c r="AI1227" s="159" t="s">
        <v>6864</v>
      </c>
      <c r="AJ1227" s="709">
        <v>0.023</v>
      </c>
      <c r="AK1227" s="57" t="s">
        <v>172</v>
      </c>
      <c r="AL1227" s="57" t="s">
        <v>186</v>
      </c>
      <c r="AM1227" s="68" t="s">
        <v>141</v>
      </c>
      <c r="AN1227" s="151" t="s">
        <v>138</v>
      </c>
      <c r="AO1227" s="156">
        <v>168.0</v>
      </c>
      <c r="AP1227" s="156">
        <v>0.17</v>
      </c>
      <c r="AQ1227" s="159" t="s">
        <v>215</v>
      </c>
      <c r="AR1227" s="159" t="s">
        <v>3255</v>
      </c>
      <c r="AS1227" s="156">
        <v>0.571</v>
      </c>
      <c r="AT1227" s="159" t="s">
        <v>172</v>
      </c>
      <c r="AU1227" s="159" t="s">
        <v>186</v>
      </c>
      <c r="AV1227" s="68" t="s">
        <v>141</v>
      </c>
      <c r="AW1227" s="68"/>
      <c r="AX1227" s="68" t="s">
        <v>143</v>
      </c>
      <c r="AY1227" s="61" t="str">
        <f>IFERROR(__xludf.DUMMYFUNCTION("vlookup(BB1227,importrange(""https://docs.google.com/spreadsheets/d/1d2vevQ_7D_v35q4wCQ4RpQ_IPoTwEMB9Yp6ymwlPqew/edit?gid=984458430#gid=984458430"", ""'replication success'!A:K""), 11, FAlSE)"),"failed")</f>
        <v>failed</v>
      </c>
      <c r="AZ1227" s="61" t="str">
        <f>IFERROR(__xludf.DUMMYFUNCTION("vlookup(BB1227,importrange(""https://docs.google.com/spreadsheets/d/1d2vevQ_7D_v35q4wCQ4RpQ_IPoTwEMB9Yp6ymwlPqew/edit?gid=984458430#gid=984458430"",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7" s="61" t="str">
        <f>IFERROR(__xludf.DUMMYFUNCTION("vlookup(BB1227,importrange(""https://docs.google.com/spreadsheets/d/1d2vevQ_7D_v35q4wCQ4RpQ_IPoTwEMB9Yp6ymwlPqew/edit?gid=984458430#gid=984458430"", ""'replication success'!A:M""), 13, FAlSE)"),"Table S1, pg.41")</f>
        <v>Table S1, pg.41</v>
      </c>
      <c r="BB1227" s="61" t="str">
        <f>IFERROR(__xludf.DUMMYFUNCTION("REGEXREPLACE(G1227, ""_[a-z]{1,2}$"", """")"),"Camereretal2016_5")</f>
        <v>Camereretal2016_5</v>
      </c>
      <c r="BD1227" s="62" t="s">
        <v>6645</v>
      </c>
    </row>
    <row r="1228">
      <c r="A1228" s="44">
        <v>1228.0</v>
      </c>
      <c r="B1228" s="129" t="s">
        <v>152</v>
      </c>
      <c r="C1228" s="62" t="s">
        <v>115</v>
      </c>
      <c r="D1228" s="62" t="s">
        <v>232</v>
      </c>
      <c r="F1228" s="68" t="s">
        <v>6871</v>
      </c>
      <c r="G1228" s="68" t="s">
        <v>6871</v>
      </c>
      <c r="H1228" s="159" t="s">
        <v>5074</v>
      </c>
      <c r="I1228" s="152">
        <v>45693.0</v>
      </c>
      <c r="J1228" s="68"/>
      <c r="K1228" s="159" t="s">
        <v>6872</v>
      </c>
      <c r="L1228" s="68"/>
      <c r="M1228" s="68" t="s">
        <v>6873</v>
      </c>
      <c r="N1228" s="68" t="s">
        <v>6874</v>
      </c>
      <c r="O1228" s="336">
        <v>1.0</v>
      </c>
      <c r="P1228" s="159" t="str">
        <f t="shared" si="76"/>
        <v>10.1257--aer.104.11.3434.pdf</v>
      </c>
      <c r="Q1228" s="52" t="str">
        <f t="array" ref="Q1228"> if(iserror(MATCH(V1228, 'File Links'!C:C, 0)), "N/A", HYPERLINK(INDEX('File Links'!B:B, MATCH(P1228, 'File Links'!C:C, 0))))</f>
        <v>https://drive.google.com/file/d/1_GSFYpdpPE9KlDDSJISHSbkxPaGiv90y/view?usp=drivesdk</v>
      </c>
      <c r="R1228" s="1380" t="s">
        <v>6635</v>
      </c>
      <c r="S1228" s="88" t="s">
        <v>6636</v>
      </c>
      <c r="T1228" s="1379"/>
      <c r="U1228" s="336">
        <v>6.0</v>
      </c>
      <c r="V1228" s="198" t="str">
        <f t="shared" si="77"/>
        <v>10.1126--science.aaf0918.pdf</v>
      </c>
      <c r="W1228" s="159" t="s">
        <v>6637</v>
      </c>
      <c r="X1228" s="54" t="str">
        <f t="array" ref="X1228"> if(iserror(MATCH(V1228, 'File Links'!C:C, 0)), "N/A", HYPERLINK(INDEX('File Links'!B:B, MATCH(V1228, 'File Links'!C:C, 0))))</f>
        <v>https://drive.google.com/file/d/1g2LUlGntoVWUQi433rats2xlfqkwajdf/view?usp=drivesdk</v>
      </c>
      <c r="Y1228" s="68"/>
      <c r="Z1228" s="159" t="s">
        <v>1809</v>
      </c>
      <c r="AA1228" s="129" t="s">
        <v>6875</v>
      </c>
      <c r="AB1228" s="159" t="s">
        <v>6876</v>
      </c>
      <c r="AC1228" s="151" t="s">
        <v>6877</v>
      </c>
      <c r="AD1228" s="151" t="s">
        <v>6878</v>
      </c>
      <c r="AE1228" s="68" t="s">
        <v>6879</v>
      </c>
      <c r="AF1228" s="156">
        <v>158.0</v>
      </c>
      <c r="AG1228" s="161">
        <v>0.0517</v>
      </c>
      <c r="AH1228" s="151" t="s">
        <v>6713</v>
      </c>
      <c r="AI1228" s="151" t="s">
        <v>6880</v>
      </c>
      <c r="AJ1228" s="156">
        <v>0.001</v>
      </c>
      <c r="AK1228" s="159" t="s">
        <v>172</v>
      </c>
      <c r="AL1228" s="159" t="s">
        <v>186</v>
      </c>
      <c r="AM1228" s="68" t="s">
        <v>137</v>
      </c>
      <c r="AN1228" s="151" t="s">
        <v>138</v>
      </c>
      <c r="AO1228" s="156">
        <v>156.0</v>
      </c>
      <c r="AP1228" s="161">
        <v>0.167</v>
      </c>
      <c r="AQ1228" s="151" t="s">
        <v>6713</v>
      </c>
      <c r="AR1228" s="151" t="s">
        <v>217</v>
      </c>
      <c r="AS1228" s="156">
        <v>0.001</v>
      </c>
      <c r="AT1228" s="159" t="s">
        <v>135</v>
      </c>
      <c r="AU1228" s="159" t="s">
        <v>186</v>
      </c>
      <c r="AV1228" s="68" t="s">
        <v>137</v>
      </c>
      <c r="AW1228" s="435" t="s">
        <v>6881</v>
      </c>
      <c r="AX1228" s="68" t="s">
        <v>143</v>
      </c>
      <c r="AY1228" s="61" t="str">
        <f>IFERROR(__xludf.DUMMYFUNCTION("vlookup(BB1228,importrange(""https://docs.google.com/spreadsheets/d/1d2vevQ_7D_v35q4wCQ4RpQ_IPoTwEMB9Yp6ymwlPqew/edit?gid=984458430#gid=984458430"", ""'replication success'!A:K""), 11, FAlSE)"),"successful")</f>
        <v>successful</v>
      </c>
      <c r="AZ1228" s="61" t="str">
        <f>IFERROR(__xludf.DUMMYFUNCTION("vlookup(BB1228,importrange(""https://docs.google.com/spreadsheets/d/1d2vevQ_7D_v35q4wCQ4RpQ_IPoTwEMB9Yp6ymwlPqew/edit?gid=984458430#gid=984458430"",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8" s="61" t="str">
        <f>IFERROR(__xludf.DUMMYFUNCTION("vlookup(BB1228,importrange(""https://docs.google.com/spreadsheets/d/1d2vevQ_7D_v35q4wCQ4RpQ_IPoTwEMB9Yp6ymwlPqew/edit?gid=984458430#gid=984458430"", ""'replication success'!A:M""), 13, FAlSE)"),"Table S1, pg.42")</f>
        <v>Table S1, pg.42</v>
      </c>
      <c r="BB1228" s="61" t="str">
        <f>IFERROR(__xludf.DUMMYFUNCTION("REGEXREPLACE(G1228, ""_[a-z]{1,2}$"", """")"),"Camereretal2016_6")</f>
        <v>Camereretal2016_6</v>
      </c>
      <c r="BD1228" s="62" t="s">
        <v>6645</v>
      </c>
    </row>
    <row r="1229">
      <c r="A1229" s="44">
        <v>1229.0</v>
      </c>
      <c r="B1229" s="62" t="s">
        <v>114</v>
      </c>
      <c r="C1229" s="45" t="s">
        <v>115</v>
      </c>
      <c r="D1229" s="62" t="s">
        <v>286</v>
      </c>
      <c r="F1229" s="68" t="s">
        <v>6871</v>
      </c>
      <c r="G1229" s="61" t="s">
        <v>6871</v>
      </c>
      <c r="H1229" s="159" t="s">
        <v>289</v>
      </c>
      <c r="I1229" s="152">
        <v>45662.0</v>
      </c>
      <c r="J1229" s="152">
        <v>45666.0</v>
      </c>
      <c r="K1229" s="159" t="s">
        <v>6882</v>
      </c>
      <c r="L1229" s="68"/>
      <c r="M1229" s="68" t="s">
        <v>6873</v>
      </c>
      <c r="N1229" s="68" t="s">
        <v>6874</v>
      </c>
      <c r="O1229" s="68"/>
      <c r="P1229" s="159" t="str">
        <f t="shared" si="76"/>
        <v>10.1257--aer.104.11.3434.pdf</v>
      </c>
      <c r="Q1229" s="52" t="str">
        <f t="array" ref="Q1229"> if(iserror(MATCH(V1229, 'File Links'!C:C, 0)), "N/A", HYPERLINK(INDEX('File Links'!B:B, MATCH(P1229, 'File Links'!C:C, 0))))</f>
        <v>https://drive.google.com/file/d/1_GSFYpdpPE9KlDDSJISHSbkxPaGiv90y/view?usp=drivesdk</v>
      </c>
      <c r="R1229" s="1380" t="s">
        <v>6635</v>
      </c>
      <c r="S1229" s="88" t="s">
        <v>6636</v>
      </c>
      <c r="T1229" s="68"/>
      <c r="U1229" s="68"/>
      <c r="V1229" s="198" t="str">
        <f t="shared" si="77"/>
        <v>10.1126--science.aaf0918.pdf</v>
      </c>
      <c r="W1229" s="159" t="s">
        <v>6647</v>
      </c>
      <c r="X1229" s="54" t="str">
        <f t="array" ref="X1229"> if(iserror(MATCH(V1229, 'File Links'!C:C, 0)), "N/A", HYPERLINK(INDEX('File Links'!B:B, MATCH(V1229, 'File Links'!C:C, 0))))</f>
        <v>https://drive.google.com/file/d/1g2LUlGntoVWUQi433rats2xlfqkwajdf/view?usp=drivesdk</v>
      </c>
      <c r="Y1229" s="68"/>
      <c r="Z1229" s="159" t="s">
        <v>1809</v>
      </c>
      <c r="AA1229" s="159" t="s">
        <v>6883</v>
      </c>
      <c r="AB1229" s="159" t="s">
        <v>6884</v>
      </c>
      <c r="AC1229" s="159" t="s">
        <v>6885</v>
      </c>
      <c r="AD1229" s="159" t="s">
        <v>6886</v>
      </c>
      <c r="AE1229" s="159" t="s">
        <v>6887</v>
      </c>
      <c r="AF1229" s="156">
        <v>158.0</v>
      </c>
      <c r="AG1229" s="156">
        <v>0.0517</v>
      </c>
      <c r="AH1229" s="151" t="s">
        <v>6888</v>
      </c>
      <c r="AI1229" s="151" t="s">
        <v>6880</v>
      </c>
      <c r="AJ1229" s="709">
        <v>0.001</v>
      </c>
      <c r="AK1229" s="57" t="s">
        <v>172</v>
      </c>
      <c r="AL1229" s="57" t="s">
        <v>186</v>
      </c>
      <c r="AM1229" s="68" t="s">
        <v>137</v>
      </c>
      <c r="AN1229" s="151" t="s">
        <v>138</v>
      </c>
      <c r="AO1229" s="156">
        <v>156.0</v>
      </c>
      <c r="AP1229" s="156">
        <v>0.27</v>
      </c>
      <c r="AQ1229" s="159" t="s">
        <v>215</v>
      </c>
      <c r="AR1229" s="159" t="s">
        <v>3255</v>
      </c>
      <c r="AS1229" s="156">
        <v>0.001</v>
      </c>
      <c r="AT1229" s="159" t="s">
        <v>135</v>
      </c>
      <c r="AU1229" s="159" t="s">
        <v>186</v>
      </c>
      <c r="AV1229" s="68" t="s">
        <v>137</v>
      </c>
      <c r="AW1229" s="68"/>
      <c r="AX1229" s="68" t="s">
        <v>143</v>
      </c>
      <c r="AY1229" s="61" t="str">
        <f>IFERROR(__xludf.DUMMYFUNCTION("vlookup(BB1229,importrange(""https://docs.google.com/spreadsheets/d/1d2vevQ_7D_v35q4wCQ4RpQ_IPoTwEMB9Yp6ymwlPqew/edit?gid=984458430#gid=984458430"", ""'replication success'!A:K""), 11, FAlSE)"),"successful")</f>
        <v>successful</v>
      </c>
      <c r="AZ1229" s="61" t="str">
        <f>IFERROR(__xludf.DUMMYFUNCTION("vlookup(BB1229,importrange(""https://docs.google.com/spreadsheets/d/1d2vevQ_7D_v35q4wCQ4RpQ_IPoTwEMB9Yp6ymwlPqew/edit?gid=984458430#gid=984458430"",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29" s="61" t="str">
        <f>IFERROR(__xludf.DUMMYFUNCTION("vlookup(BB1229,importrange(""https://docs.google.com/spreadsheets/d/1d2vevQ_7D_v35q4wCQ4RpQ_IPoTwEMB9Yp6ymwlPqew/edit?gid=984458430#gid=984458430"", ""'replication success'!A:M""), 13, FAlSE)"),"Table S1, pg.42")</f>
        <v>Table S1, pg.42</v>
      </c>
      <c r="BB1229" s="61" t="str">
        <f>IFERROR(__xludf.DUMMYFUNCTION("REGEXREPLACE(G1229, ""_[a-z]{1,2}$"", """")"),"Camereretal2016_6")</f>
        <v>Camereretal2016_6</v>
      </c>
      <c r="BD1229" s="62" t="s">
        <v>6645</v>
      </c>
    </row>
    <row r="1230">
      <c r="A1230" s="44">
        <v>1230.0</v>
      </c>
      <c r="B1230" s="129" t="s">
        <v>152</v>
      </c>
      <c r="C1230" s="62" t="s">
        <v>115</v>
      </c>
      <c r="D1230" s="62" t="s">
        <v>232</v>
      </c>
      <c r="F1230" s="68" t="s">
        <v>6889</v>
      </c>
      <c r="G1230" s="68" t="s">
        <v>6889</v>
      </c>
      <c r="H1230" s="159" t="s">
        <v>5074</v>
      </c>
      <c r="I1230" s="152">
        <v>45690.0</v>
      </c>
      <c r="J1230" s="68"/>
      <c r="K1230" s="159" t="s">
        <v>6890</v>
      </c>
      <c r="L1230" s="68"/>
      <c r="M1230" s="68" t="s">
        <v>6891</v>
      </c>
      <c r="N1230" s="68" t="s">
        <v>6892</v>
      </c>
      <c r="O1230" s="336">
        <v>1.0</v>
      </c>
      <c r="P1230" s="159" t="str">
        <f t="shared" si="76"/>
        <v>10.1257--aer.104.6.1735.pdf</v>
      </c>
      <c r="Q1230" s="52" t="str">
        <f t="array" ref="Q1230"> if(iserror(MATCH(V1230, 'File Links'!C:C, 0)), "N/A", HYPERLINK(INDEX('File Links'!B:B, MATCH(P1230, 'File Links'!C:C, 0))))</f>
        <v>https://drive.google.com/file/d/1wDNXb0olz39__EV_LKeVH7NGHiDMCeB6/view?usp=drivesdk</v>
      </c>
      <c r="R1230" s="1380" t="s">
        <v>6635</v>
      </c>
      <c r="S1230" s="88" t="s">
        <v>6636</v>
      </c>
      <c r="T1230" s="1379"/>
      <c r="U1230" s="336">
        <v>7.0</v>
      </c>
      <c r="V1230" s="198" t="str">
        <f t="shared" si="77"/>
        <v>10.1126--science.aaf0918.pdf</v>
      </c>
      <c r="W1230" s="159" t="s">
        <v>6637</v>
      </c>
      <c r="X1230" s="54" t="str">
        <f t="array" ref="X1230"> if(iserror(MATCH(V1230, 'File Links'!C:C, 0)), "N/A", HYPERLINK(INDEX('File Links'!B:B, MATCH(V1230, 'File Links'!C:C, 0))))</f>
        <v>https://drive.google.com/file/d/1g2LUlGntoVWUQi433rats2xlfqkwajdf/view?usp=drivesdk</v>
      </c>
      <c r="Y1230" s="68"/>
      <c r="Z1230" s="159" t="s">
        <v>1809</v>
      </c>
      <c r="AA1230" s="374" t="s">
        <v>138</v>
      </c>
      <c r="AB1230" s="151" t="s">
        <v>6893</v>
      </c>
      <c r="AC1230" s="159" t="s">
        <v>6894</v>
      </c>
      <c r="AD1230" s="151" t="s">
        <v>6895</v>
      </c>
      <c r="AE1230" s="159" t="s">
        <v>6896</v>
      </c>
      <c r="AF1230" s="156">
        <v>54.0</v>
      </c>
      <c r="AG1230" s="1381">
        <v>0.16</v>
      </c>
      <c r="AH1230" s="151" t="s">
        <v>6713</v>
      </c>
      <c r="AI1230" s="151" t="s">
        <v>6897</v>
      </c>
      <c r="AJ1230" s="156">
        <v>0.01</v>
      </c>
      <c r="AK1230" s="159" t="s">
        <v>172</v>
      </c>
      <c r="AL1230" s="159" t="s">
        <v>186</v>
      </c>
      <c r="AM1230" s="68" t="s">
        <v>137</v>
      </c>
      <c r="AN1230" s="151" t="s">
        <v>138</v>
      </c>
      <c r="AO1230" s="156">
        <v>96.0</v>
      </c>
      <c r="AP1230" s="161">
        <v>-0.03</v>
      </c>
      <c r="AQ1230" s="151" t="s">
        <v>6713</v>
      </c>
      <c r="AR1230" s="151" t="s">
        <v>217</v>
      </c>
      <c r="AS1230" s="156">
        <v>0.674</v>
      </c>
      <c r="AT1230" s="159" t="s">
        <v>172</v>
      </c>
      <c r="AU1230" s="159" t="s">
        <v>186</v>
      </c>
      <c r="AV1230" s="68" t="s">
        <v>137</v>
      </c>
      <c r="AW1230" s="435" t="s">
        <v>6898</v>
      </c>
      <c r="AX1230" s="68" t="s">
        <v>143</v>
      </c>
      <c r="AY1230" s="61" t="str">
        <f>IFERROR(__xludf.DUMMYFUNCTION("vlookup(BB1230,importrange(""https://docs.google.com/spreadsheets/d/1d2vevQ_7D_v35q4wCQ4RpQ_IPoTwEMB9Yp6ymwlPqew/edit?gid=984458430#gid=984458430"", ""'replication success'!A:K""), 11, FAlSE)"),"failed")</f>
        <v>failed</v>
      </c>
      <c r="AZ1230" s="61" t="str">
        <f>IFERROR(__xludf.DUMMYFUNCTION("vlookup(BB1230,importrange(""https://docs.google.com/spreadsheets/d/1d2vevQ_7D_v35q4wCQ4RpQ_IPoTwEMB9Yp6ymwlPqew/edit?gid=984458430#gid=984458430"",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0" s="61" t="str">
        <f>IFERROR(__xludf.DUMMYFUNCTION("vlookup(BB1230,importrange(""https://docs.google.com/spreadsheets/d/1d2vevQ_7D_v35q4wCQ4RpQ_IPoTwEMB9Yp6ymwlPqew/edit?gid=984458430#gid=984458430"", ""'replication success'!A:M""), 13, FAlSE)"),"Table S1, pg.43")</f>
        <v>Table S1, pg.43</v>
      </c>
      <c r="BB1230" s="61" t="str">
        <f>IFERROR(__xludf.DUMMYFUNCTION("REGEXREPLACE(G1230, ""_[a-z]{1,2}$"", """")"),"Camereretal2016_7")</f>
        <v>Camereretal2016_7</v>
      </c>
      <c r="BC1230" s="62" t="s">
        <v>6899</v>
      </c>
      <c r="BD1230" s="62" t="s">
        <v>6645</v>
      </c>
    </row>
    <row r="1231">
      <c r="A1231" s="44">
        <v>1231.0</v>
      </c>
      <c r="B1231" s="62" t="s">
        <v>114</v>
      </c>
      <c r="C1231" s="45" t="s">
        <v>115</v>
      </c>
      <c r="D1231" s="62" t="s">
        <v>286</v>
      </c>
      <c r="F1231" s="68" t="s">
        <v>6889</v>
      </c>
      <c r="G1231" s="61" t="s">
        <v>6889</v>
      </c>
      <c r="H1231" s="159" t="s">
        <v>289</v>
      </c>
      <c r="I1231" s="152">
        <v>45662.0</v>
      </c>
      <c r="J1231" s="152">
        <v>45666.0</v>
      </c>
      <c r="K1231" s="159" t="s">
        <v>6900</v>
      </c>
      <c r="L1231" s="68"/>
      <c r="M1231" s="68" t="s">
        <v>6891</v>
      </c>
      <c r="N1231" s="68" t="s">
        <v>6892</v>
      </c>
      <c r="O1231" s="68"/>
      <c r="P1231" s="159" t="str">
        <f t="shared" si="76"/>
        <v>10.1257--aer.104.6.1735.pdf</v>
      </c>
      <c r="Q1231" s="52" t="str">
        <f t="array" ref="Q1231"> if(iserror(MATCH(V1231, 'File Links'!C:C, 0)), "N/A", HYPERLINK(INDEX('File Links'!B:B, MATCH(P1231, 'File Links'!C:C, 0))))</f>
        <v>https://drive.google.com/file/d/1wDNXb0olz39__EV_LKeVH7NGHiDMCeB6/view?usp=drivesdk</v>
      </c>
      <c r="R1231" s="1380" t="s">
        <v>6635</v>
      </c>
      <c r="S1231" s="88" t="s">
        <v>6636</v>
      </c>
      <c r="T1231" s="68"/>
      <c r="U1231" s="68"/>
      <c r="V1231" s="198" t="str">
        <f t="shared" si="77"/>
        <v>10.1126--science.aaf0918.pdf</v>
      </c>
      <c r="W1231" s="159" t="s">
        <v>6647</v>
      </c>
      <c r="X1231" s="54" t="str">
        <f t="array" ref="X1231"> if(iserror(MATCH(V1231, 'File Links'!C:C, 0)), "N/A", HYPERLINK(INDEX('File Links'!B:B, MATCH(V1231, 'File Links'!C:C, 0))))</f>
        <v>https://drive.google.com/file/d/1g2LUlGntoVWUQi433rats2xlfqkwajdf/view?usp=drivesdk</v>
      </c>
      <c r="Y1231" s="68"/>
      <c r="Z1231" s="159" t="s">
        <v>1809</v>
      </c>
      <c r="AA1231" s="159" t="s">
        <v>6901</v>
      </c>
      <c r="AB1231" s="159" t="s">
        <v>6902</v>
      </c>
      <c r="AC1231" s="159" t="s">
        <v>6903</v>
      </c>
      <c r="AD1231" s="159" t="s">
        <v>6904</v>
      </c>
      <c r="AE1231" s="159" t="s">
        <v>6896</v>
      </c>
      <c r="AF1231" s="156">
        <v>56.0</v>
      </c>
      <c r="AG1231" s="1120">
        <v>2.039636127355425</v>
      </c>
      <c r="AH1231" s="159" t="s">
        <v>722</v>
      </c>
      <c r="AI1231" s="159" t="s">
        <v>6905</v>
      </c>
      <c r="AJ1231" s="709">
        <v>0.01</v>
      </c>
      <c r="AK1231" s="57" t="s">
        <v>172</v>
      </c>
      <c r="AL1231" s="57" t="s">
        <v>136</v>
      </c>
      <c r="AM1231" s="68" t="s">
        <v>137</v>
      </c>
      <c r="AN1231" s="151" t="s">
        <v>138</v>
      </c>
      <c r="AO1231" s="156">
        <v>96.0</v>
      </c>
      <c r="AP1231" s="156">
        <v>-0.12</v>
      </c>
      <c r="AQ1231" s="159" t="s">
        <v>215</v>
      </c>
      <c r="AR1231" s="159" t="s">
        <v>3255</v>
      </c>
      <c r="AS1231" s="156">
        <v>0.674</v>
      </c>
      <c r="AT1231" s="159" t="s">
        <v>172</v>
      </c>
      <c r="AU1231" s="159" t="s">
        <v>186</v>
      </c>
      <c r="AV1231" s="68" t="s">
        <v>137</v>
      </c>
      <c r="AW1231" s="68"/>
      <c r="AX1231" s="68" t="s">
        <v>143</v>
      </c>
      <c r="AY1231" s="61" t="str">
        <f>IFERROR(__xludf.DUMMYFUNCTION("vlookup(BB1231,importrange(""https://docs.google.com/spreadsheets/d/1d2vevQ_7D_v35q4wCQ4RpQ_IPoTwEMB9Yp6ymwlPqew/edit?gid=984458430#gid=984458430"", ""'replication success'!A:K""), 11, FAlSE)"),"failed")</f>
        <v>failed</v>
      </c>
      <c r="AZ1231" s="61" t="str">
        <f>IFERROR(__xludf.DUMMYFUNCTION("vlookup(BB1231,importrange(""https://docs.google.com/spreadsheets/d/1d2vevQ_7D_v35q4wCQ4RpQ_IPoTwEMB9Yp6ymwlPqew/edit?gid=984458430#gid=984458430"",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1" s="61" t="str">
        <f>IFERROR(__xludf.DUMMYFUNCTION("vlookup(BB1231,importrange(""https://docs.google.com/spreadsheets/d/1d2vevQ_7D_v35q4wCQ4RpQ_IPoTwEMB9Yp6ymwlPqew/edit?gid=984458430#gid=984458430"", ""'replication success'!A:M""), 13, FAlSE)"),"Table S1, pg.43")</f>
        <v>Table S1, pg.43</v>
      </c>
      <c r="BB1231" s="61" t="str">
        <f>IFERROR(__xludf.DUMMYFUNCTION("REGEXREPLACE(G1231, ""_[a-z]{1,2}$"", """")"),"Camereretal2016_7")</f>
        <v>Camereretal2016_7</v>
      </c>
      <c r="BD1231" s="62" t="s">
        <v>6645</v>
      </c>
    </row>
    <row r="1232">
      <c r="A1232" s="44">
        <v>1232.0</v>
      </c>
      <c r="B1232" s="129" t="s">
        <v>152</v>
      </c>
      <c r="C1232" s="62" t="s">
        <v>115</v>
      </c>
      <c r="D1232" s="62" t="s">
        <v>232</v>
      </c>
      <c r="F1232" s="46" t="s">
        <v>6906</v>
      </c>
      <c r="G1232" s="46" t="s">
        <v>6906</v>
      </c>
      <c r="H1232" s="159" t="s">
        <v>5074</v>
      </c>
      <c r="I1232" s="152">
        <v>45690.0</v>
      </c>
      <c r="J1232" s="68"/>
      <c r="K1232" s="46"/>
      <c r="L1232" s="46"/>
      <c r="M1232" s="46" t="s">
        <v>6907</v>
      </c>
      <c r="N1232" s="46" t="s">
        <v>6908</v>
      </c>
      <c r="O1232" s="385">
        <v>1.0</v>
      </c>
      <c r="P1232" s="159" t="str">
        <f t="shared" si="76"/>
        <v>10.1257--aer.101.2.526.pdf</v>
      </c>
      <c r="Q1232" s="52" t="str">
        <f t="array" ref="Q1232"> if(iserror(MATCH(V1232, 'File Links'!C:C, 0)), "N/A", HYPERLINK(INDEX('File Links'!B:B, MATCH(P1232, 'File Links'!C:C, 0))))</f>
        <v>https://drive.google.com/file/d/1DOLllL6R7032IvCSzFDDyxUuY_nU2qkX/view?usp=drivesdk</v>
      </c>
      <c r="R1232" s="1380" t="s">
        <v>6635</v>
      </c>
      <c r="S1232" s="88" t="s">
        <v>6636</v>
      </c>
      <c r="T1232" s="1379"/>
      <c r="U1232" s="336">
        <v>8.0</v>
      </c>
      <c r="V1232" s="198" t="str">
        <f t="shared" si="77"/>
        <v>10.1126--science.aaf0918.pdf</v>
      </c>
      <c r="W1232" s="159" t="s">
        <v>6637</v>
      </c>
      <c r="X1232" s="54" t="str">
        <f t="array" ref="X1232"> if(iserror(MATCH(V1232, 'File Links'!C:C, 0)), "N/A", HYPERLINK(INDEX('File Links'!B:B, MATCH(V1232, 'File Links'!C:C, 0))))</f>
        <v>https://drive.google.com/file/d/1g2LUlGntoVWUQi433rats2xlfqkwajdf/view?usp=drivesdk</v>
      </c>
      <c r="Y1232" s="46"/>
      <c r="Z1232" s="360" t="s">
        <v>1809</v>
      </c>
      <c r="AA1232" s="56" t="s">
        <v>6909</v>
      </c>
      <c r="AB1232" s="343" t="s">
        <v>6910</v>
      </c>
      <c r="AC1232" s="56" t="s">
        <v>6911</v>
      </c>
      <c r="AD1232" s="343" t="s">
        <v>6912</v>
      </c>
      <c r="AE1232" s="360" t="s">
        <v>6913</v>
      </c>
      <c r="AF1232" s="156">
        <v>168.0</v>
      </c>
      <c r="AG1232" s="357">
        <v>0.65</v>
      </c>
      <c r="AH1232" s="151" t="s">
        <v>6713</v>
      </c>
      <c r="AI1232" s="151" t="s">
        <v>6914</v>
      </c>
      <c r="AJ1232" s="156">
        <v>0.05</v>
      </c>
      <c r="AK1232" s="159" t="s">
        <v>135</v>
      </c>
      <c r="AL1232" s="159" t="s">
        <v>186</v>
      </c>
      <c r="AM1232" s="129" t="s">
        <v>141</v>
      </c>
      <c r="AN1232" s="151" t="s">
        <v>138</v>
      </c>
      <c r="AO1232" s="357">
        <v>128.0</v>
      </c>
      <c r="AP1232" s="347">
        <v>0.61</v>
      </c>
      <c r="AQ1232" s="151" t="s">
        <v>6713</v>
      </c>
      <c r="AR1232" s="151" t="s">
        <v>217</v>
      </c>
      <c r="AS1232" s="357">
        <v>0.001</v>
      </c>
      <c r="AT1232" s="360" t="s">
        <v>172</v>
      </c>
      <c r="AU1232" s="159" t="s">
        <v>186</v>
      </c>
      <c r="AV1232" s="129" t="s">
        <v>141</v>
      </c>
      <c r="AW1232" s="59" t="s">
        <v>6915</v>
      </c>
      <c r="AX1232" s="46" t="s">
        <v>143</v>
      </c>
      <c r="AY1232" s="61" t="str">
        <f>IFERROR(__xludf.DUMMYFUNCTION("vlookup(BB1232,importrange(""https://docs.google.com/spreadsheets/d/1d2vevQ_7D_v35q4wCQ4RpQ_IPoTwEMB9Yp6ymwlPqew/edit?gid=984458430#gid=984458430"", ""'replication success'!A:K""), 11, FAlSE)"),"successful")</f>
        <v>successful</v>
      </c>
      <c r="AZ1232" s="61" t="str">
        <f>IFERROR(__xludf.DUMMYFUNCTION("vlookup(BB1232,importrange(""https://docs.google.com/spreadsheets/d/1d2vevQ_7D_v35q4wCQ4RpQ_IPoTwEMB9Yp6ymwlPqew/edit?gid=984458430#gid=984458430"",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2" s="61" t="str">
        <f>IFERROR(__xludf.DUMMYFUNCTION("vlookup(BB1232,importrange(""https://docs.google.com/spreadsheets/d/1d2vevQ_7D_v35q4wCQ4RpQ_IPoTwEMB9Yp6ymwlPqew/edit?gid=984458430#gid=984458430"", ""'replication success'!A:M""), 13, FAlSE)"),"Table S1, pg.44")</f>
        <v>Table S1, pg.44</v>
      </c>
      <c r="BB1232" s="61" t="str">
        <f>IFERROR(__xludf.DUMMYFUNCTION("REGEXREPLACE(G1232, ""_[a-z]{1,2}$"", """")"),"Camereretal2016_8")</f>
        <v>Camereretal2016_8</v>
      </c>
      <c r="BD1232" s="62" t="s">
        <v>6645</v>
      </c>
    </row>
    <row r="1233">
      <c r="A1233" s="44">
        <v>1233.0</v>
      </c>
      <c r="B1233" s="62" t="s">
        <v>114</v>
      </c>
      <c r="C1233" s="45" t="s">
        <v>115</v>
      </c>
      <c r="D1233" s="62" t="s">
        <v>286</v>
      </c>
      <c r="F1233" s="46" t="s">
        <v>6906</v>
      </c>
      <c r="G1233" s="49" t="s">
        <v>6906</v>
      </c>
      <c r="H1233" s="360" t="s">
        <v>289</v>
      </c>
      <c r="I1233" s="344">
        <v>45662.0</v>
      </c>
      <c r="J1233" s="152">
        <v>45666.0</v>
      </c>
      <c r="K1233" s="360" t="s">
        <v>6916</v>
      </c>
      <c r="L1233" s="46"/>
      <c r="M1233" s="46" t="s">
        <v>6907</v>
      </c>
      <c r="N1233" s="46" t="s">
        <v>6908</v>
      </c>
      <c r="O1233" s="46"/>
      <c r="P1233" s="159" t="str">
        <f t="shared" si="76"/>
        <v>10.1257--aer.101.2.526.pdf</v>
      </c>
      <c r="Q1233" s="52" t="str">
        <f t="array" ref="Q1233"> if(iserror(MATCH(V1233, 'File Links'!C:C, 0)), "N/A", HYPERLINK(INDEX('File Links'!B:B, MATCH(P1233, 'File Links'!C:C, 0))))</f>
        <v>https://drive.google.com/file/d/1DOLllL6R7032IvCSzFDDyxUuY_nU2qkX/view?usp=drivesdk</v>
      </c>
      <c r="R1233" s="1380" t="s">
        <v>6635</v>
      </c>
      <c r="S1233" s="88" t="s">
        <v>6636</v>
      </c>
      <c r="T1233" s="46"/>
      <c r="U1233" s="46"/>
      <c r="V1233" s="198" t="str">
        <f t="shared" si="77"/>
        <v>10.1126--science.aaf0918.pdf</v>
      </c>
      <c r="W1233" s="360" t="s">
        <v>6647</v>
      </c>
      <c r="X1233" s="54" t="str">
        <f t="array" ref="X1233"> if(iserror(MATCH(V1233, 'File Links'!C:C, 0)), "N/A", HYPERLINK(INDEX('File Links'!B:B, MATCH(V1233, 'File Links'!C:C, 0))))</f>
        <v>https://drive.google.com/file/d/1g2LUlGntoVWUQi433rats2xlfqkwajdf/view?usp=drivesdk</v>
      </c>
      <c r="Y1233" s="46"/>
      <c r="Z1233" s="360" t="s">
        <v>1809</v>
      </c>
      <c r="AA1233" s="360" t="s">
        <v>6917</v>
      </c>
      <c r="AB1233" s="360" t="s">
        <v>6918</v>
      </c>
      <c r="AC1233" s="46" t="s">
        <v>6919</v>
      </c>
      <c r="AD1233" s="343" t="s">
        <v>6920</v>
      </c>
      <c r="AE1233" s="360" t="s">
        <v>6913</v>
      </c>
      <c r="AF1233" s="357">
        <v>168.0</v>
      </c>
      <c r="AG1233" s="357">
        <v>0.65</v>
      </c>
      <c r="AH1233" s="360" t="s">
        <v>6721</v>
      </c>
      <c r="AI1233" s="360" t="s">
        <v>6921</v>
      </c>
      <c r="AJ1233" s="386">
        <v>0.05</v>
      </c>
      <c r="AK1233" s="47" t="s">
        <v>135</v>
      </c>
      <c r="AL1233" s="47" t="s">
        <v>136</v>
      </c>
      <c r="AM1233" s="46" t="s">
        <v>137</v>
      </c>
      <c r="AN1233" s="151" t="s">
        <v>138</v>
      </c>
      <c r="AO1233" s="357">
        <v>128.0</v>
      </c>
      <c r="AP1233" s="357">
        <v>0.73</v>
      </c>
      <c r="AQ1233" s="360" t="s">
        <v>215</v>
      </c>
      <c r="AR1233" s="360" t="s">
        <v>3255</v>
      </c>
      <c r="AS1233" s="357">
        <v>0.001</v>
      </c>
      <c r="AT1233" s="360" t="s">
        <v>172</v>
      </c>
      <c r="AU1233" s="360" t="s">
        <v>186</v>
      </c>
      <c r="AV1233" s="46" t="s">
        <v>137</v>
      </c>
      <c r="AW1233" s="46"/>
      <c r="AX1233" s="46" t="s">
        <v>143</v>
      </c>
      <c r="AY1233" s="61" t="str">
        <f>IFERROR(__xludf.DUMMYFUNCTION("vlookup(BB1233,importrange(""https://docs.google.com/spreadsheets/d/1d2vevQ_7D_v35q4wCQ4RpQ_IPoTwEMB9Yp6ymwlPqew/edit?gid=984458430#gid=984458430"", ""'replication success'!A:K""), 11, FAlSE)"),"successful")</f>
        <v>successful</v>
      </c>
      <c r="AZ1233" s="61" t="str">
        <f>IFERROR(__xludf.DUMMYFUNCTION("vlookup(BB1233,importrange(""https://docs.google.com/spreadsheets/d/1d2vevQ_7D_v35q4wCQ4RpQ_IPoTwEMB9Yp6ymwlPqew/edit?gid=984458430#gid=984458430"",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3" s="61" t="str">
        <f>IFERROR(__xludf.DUMMYFUNCTION("vlookup(BB1233,importrange(""https://docs.google.com/spreadsheets/d/1d2vevQ_7D_v35q4wCQ4RpQ_IPoTwEMB9Yp6ymwlPqew/edit?gid=984458430#gid=984458430"", ""'replication success'!A:M""), 13, FAlSE)"),"Table S1, pg.44")</f>
        <v>Table S1, pg.44</v>
      </c>
      <c r="BB1233" s="61" t="str">
        <f>IFERROR(__xludf.DUMMYFUNCTION("REGEXREPLACE(G1233, ""_[a-z]{1,2}$"", """")"),"Camereretal2016_8")</f>
        <v>Camereretal2016_8</v>
      </c>
      <c r="BD1233" s="62" t="s">
        <v>6645</v>
      </c>
    </row>
    <row r="1234">
      <c r="A1234" s="44">
        <v>1234.0</v>
      </c>
      <c r="B1234" s="129" t="s">
        <v>152</v>
      </c>
      <c r="C1234" s="62" t="s">
        <v>115</v>
      </c>
      <c r="D1234" s="62" t="s">
        <v>232</v>
      </c>
      <c r="F1234" s="68" t="s">
        <v>6922</v>
      </c>
      <c r="G1234" s="68" t="s">
        <v>6922</v>
      </c>
      <c r="H1234" s="159" t="s">
        <v>5074</v>
      </c>
      <c r="I1234" s="152">
        <v>45690.0</v>
      </c>
      <c r="J1234" s="68"/>
      <c r="K1234" s="159" t="s">
        <v>6923</v>
      </c>
      <c r="L1234" s="68"/>
      <c r="M1234" s="68" t="s">
        <v>6924</v>
      </c>
      <c r="N1234" s="68" t="s">
        <v>6925</v>
      </c>
      <c r="O1234" s="336">
        <v>2.0</v>
      </c>
      <c r="P1234" s="159" t="str">
        <f t="shared" si="76"/>
        <v>10.1093--qje--qjr034.pdf</v>
      </c>
      <c r="Q1234" s="52" t="str">
        <f t="array" ref="Q1234"> if(iserror(MATCH(V1234, 'File Links'!C:C, 0)), "N/A", HYPERLINK(INDEX('File Links'!B:B, MATCH(P1234, 'File Links'!C:C, 0))))</f>
        <v>https://drive.google.com/file/d/1aDSm4Lq4K8IFN4JH8XXWURoEKbUjjmL3/view?usp=drivesdk</v>
      </c>
      <c r="R1234" s="1380" t="s">
        <v>6635</v>
      </c>
      <c r="S1234" s="88" t="s">
        <v>6636</v>
      </c>
      <c r="T1234" s="1379"/>
      <c r="U1234" s="501">
        <v>18.0</v>
      </c>
      <c r="V1234" s="198" t="str">
        <f t="shared" si="77"/>
        <v>10.1126--science.aaf0918.pdf</v>
      </c>
      <c r="W1234" s="159" t="s">
        <v>6637</v>
      </c>
      <c r="X1234" s="54" t="str">
        <f t="array" ref="X1234"> if(iserror(MATCH(V1234, 'File Links'!C:C, 0)), "N/A", HYPERLINK(INDEX('File Links'!B:B, MATCH(V1234, 'File Links'!C:C, 0))))</f>
        <v>https://drive.google.com/file/d/1g2LUlGntoVWUQi433rats2xlfqkwajdf/view?usp=drivesdk</v>
      </c>
      <c r="Y1234" s="68"/>
      <c r="Z1234" s="159" t="s">
        <v>1809</v>
      </c>
      <c r="AA1234" s="374" t="s">
        <v>138</v>
      </c>
      <c r="AB1234" s="159" t="s">
        <v>6926</v>
      </c>
      <c r="AC1234" s="1383" t="s">
        <v>6927</v>
      </c>
      <c r="AD1234" s="151" t="s">
        <v>6928</v>
      </c>
      <c r="AE1234" s="159" t="s">
        <v>6929</v>
      </c>
      <c r="AF1234" s="156">
        <v>112.0</v>
      </c>
      <c r="AG1234" s="161">
        <v>0.32</v>
      </c>
      <c r="AH1234" s="151" t="s">
        <v>6713</v>
      </c>
      <c r="AI1234" s="159" t="s">
        <v>6930</v>
      </c>
      <c r="AJ1234" s="156">
        <v>0.03</v>
      </c>
      <c r="AK1234" s="57" t="s">
        <v>172</v>
      </c>
      <c r="AL1234" s="57" t="s">
        <v>186</v>
      </c>
      <c r="AM1234" s="129" t="s">
        <v>141</v>
      </c>
      <c r="AN1234" s="151" t="s">
        <v>138</v>
      </c>
      <c r="AO1234" s="156">
        <v>262.0</v>
      </c>
      <c r="AP1234" s="161">
        <v>0.22</v>
      </c>
      <c r="AQ1234" s="151" t="s">
        <v>6713</v>
      </c>
      <c r="AR1234" s="151" t="s">
        <v>813</v>
      </c>
      <c r="AS1234" s="156">
        <v>0.055</v>
      </c>
      <c r="AT1234" s="159" t="s">
        <v>172</v>
      </c>
      <c r="AU1234" s="159" t="s">
        <v>186</v>
      </c>
      <c r="AV1234" s="129" t="s">
        <v>141</v>
      </c>
      <c r="AW1234" s="435" t="s">
        <v>6931</v>
      </c>
      <c r="AX1234" s="68" t="s">
        <v>143</v>
      </c>
      <c r="AY1234" s="61" t="str">
        <f>IFERROR(__xludf.DUMMYFUNCTION("vlookup(BB1234,importrange(""https://docs.google.com/spreadsheets/d/1d2vevQ_7D_v35q4wCQ4RpQ_IPoTwEMB9Yp6ymwlPqew/edit?gid=984458430#gid=984458430"", ""'replication success'!A:K""), 11, FAlSE)"),"failed")</f>
        <v>failed</v>
      </c>
      <c r="AZ1234" s="61" t="str">
        <f>IFERROR(__xludf.DUMMYFUNCTION("vlookup(BB1234,importrange(""https://docs.google.com/spreadsheets/d/1d2vevQ_7D_v35q4wCQ4RpQ_IPoTwEMB9Yp6ymwlPqew/edit?gid=984458430#gid=984458430"",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4" s="61" t="str">
        <f>IFERROR(__xludf.DUMMYFUNCTION("vlookup(BB1234,importrange(""https://docs.google.com/spreadsheets/d/1d2vevQ_7D_v35q4wCQ4RpQ_IPoTwEMB9Yp6ymwlPqew/edit?gid=984458430#gid=984458430"", ""'replication success'!A:M""), 13, FAlSE)"),"Table S1, pg.45")</f>
        <v>Table S1, pg.45</v>
      </c>
      <c r="BB1234" s="61" t="str">
        <f>IFERROR(__xludf.DUMMYFUNCTION("REGEXREPLACE(G1234, ""_[a-z]{1,2}$"", """")"),"Camereretal2016_9")</f>
        <v>Camereretal2016_9</v>
      </c>
      <c r="BD1234" s="62" t="s">
        <v>6645</v>
      </c>
    </row>
    <row r="1235">
      <c r="A1235" s="44">
        <v>1235.0</v>
      </c>
      <c r="B1235" s="62" t="s">
        <v>114</v>
      </c>
      <c r="C1235" s="45" t="s">
        <v>115</v>
      </c>
      <c r="D1235" s="62" t="s">
        <v>286</v>
      </c>
      <c r="F1235" s="68" t="s">
        <v>6922</v>
      </c>
      <c r="G1235" s="61" t="s">
        <v>6922</v>
      </c>
      <c r="H1235" s="159" t="s">
        <v>289</v>
      </c>
      <c r="I1235" s="152">
        <v>45664.0</v>
      </c>
      <c r="J1235" s="344">
        <v>45667.0</v>
      </c>
      <c r="K1235" s="159" t="s">
        <v>6932</v>
      </c>
      <c r="L1235" s="68"/>
      <c r="M1235" s="68" t="s">
        <v>6924</v>
      </c>
      <c r="N1235" s="68" t="s">
        <v>6925</v>
      </c>
      <c r="O1235" s="68"/>
      <c r="P1235" s="159" t="str">
        <f t="shared" si="76"/>
        <v>10.1093--qje--qjr034.pdf</v>
      </c>
      <c r="Q1235" s="52" t="str">
        <f t="array" ref="Q1235"> if(iserror(MATCH(V1235, 'File Links'!C:C, 0)), "N/A", HYPERLINK(INDEX('File Links'!B:B, MATCH(P1235, 'File Links'!C:C, 0))))</f>
        <v>https://drive.google.com/file/d/1aDSm4Lq4K8IFN4JH8XXWURoEKbUjjmL3/view?usp=drivesdk</v>
      </c>
      <c r="R1235" s="1380" t="s">
        <v>6635</v>
      </c>
      <c r="S1235" s="88" t="s">
        <v>6636</v>
      </c>
      <c r="T1235" s="68"/>
      <c r="U1235" s="68"/>
      <c r="V1235" s="198" t="str">
        <f t="shared" si="77"/>
        <v>10.1126--science.aaf0918.pdf</v>
      </c>
      <c r="W1235" s="159" t="s">
        <v>6647</v>
      </c>
      <c r="X1235" s="54" t="str">
        <f t="array" ref="X1235"> if(iserror(MATCH(V1235, 'File Links'!C:C, 0)), "N/A", HYPERLINK(INDEX('File Links'!B:B, MATCH(V1235, 'File Links'!C:C, 0))))</f>
        <v>https://drive.google.com/file/d/1g2LUlGntoVWUQi433rats2xlfqkwajdf/view?usp=drivesdk</v>
      </c>
      <c r="Y1235" s="68"/>
      <c r="Z1235" s="159" t="s">
        <v>1809</v>
      </c>
      <c r="AA1235" s="159" t="s">
        <v>6933</v>
      </c>
      <c r="AB1235" s="159" t="s">
        <v>6934</v>
      </c>
      <c r="AC1235" s="159" t="s">
        <v>6935</v>
      </c>
      <c r="AD1235" s="159" t="s">
        <v>6936</v>
      </c>
      <c r="AE1235" s="159" t="s">
        <v>6929</v>
      </c>
      <c r="AF1235" s="156">
        <v>112.0</v>
      </c>
      <c r="AG1235" s="156">
        <v>0.32</v>
      </c>
      <c r="AH1235" s="360" t="s">
        <v>6721</v>
      </c>
      <c r="AI1235" s="159" t="s">
        <v>6937</v>
      </c>
      <c r="AJ1235" s="709">
        <v>0.03</v>
      </c>
      <c r="AK1235" s="57" t="s">
        <v>172</v>
      </c>
      <c r="AL1235" s="57" t="s">
        <v>136</v>
      </c>
      <c r="AM1235" s="68" t="s">
        <v>137</v>
      </c>
      <c r="AN1235" s="151" t="s">
        <v>138</v>
      </c>
      <c r="AO1235" s="156">
        <v>262.0</v>
      </c>
      <c r="AP1235" s="156">
        <v>0.12</v>
      </c>
      <c r="AQ1235" s="159" t="s">
        <v>215</v>
      </c>
      <c r="AR1235" s="159" t="s">
        <v>3255</v>
      </c>
      <c r="AS1235" s="156">
        <v>0.055</v>
      </c>
      <c r="AT1235" s="159" t="s">
        <v>172</v>
      </c>
      <c r="AU1235" s="159" t="s">
        <v>186</v>
      </c>
      <c r="AV1235" s="68" t="s">
        <v>137</v>
      </c>
      <c r="AW1235" s="68"/>
      <c r="AX1235" s="68" t="s">
        <v>143</v>
      </c>
      <c r="AY1235" s="61" t="str">
        <f>IFERROR(__xludf.DUMMYFUNCTION("vlookup(BB1235,importrange(""https://docs.google.com/spreadsheets/d/1d2vevQ_7D_v35q4wCQ4RpQ_IPoTwEMB9Yp6ymwlPqew/edit?gid=984458430#gid=984458430"", ""'replication success'!A:K""), 11, FAlSE)"),"failed")</f>
        <v>failed</v>
      </c>
      <c r="AZ1235" s="61" t="str">
        <f>IFERROR(__xludf.DUMMYFUNCTION("vlookup(BB1235,importrange(""https://docs.google.com/spreadsheets/d/1d2vevQ_7D_v35q4wCQ4RpQ_IPoTwEMB9Yp6ymwlPqew/edit?gid=984458430#gid=984458430"", ""'replication success'!A:M""), 12, FAlSE)"),"[In table S1, there is a column for whether these replicated or not, so I am coding based off that]")</f>
        <v>[In table S1, there is a column for whether these replicated or not, so I am coding based off that]</v>
      </c>
      <c r="BA1235" s="61" t="str">
        <f>IFERROR(__xludf.DUMMYFUNCTION("vlookup(BB1235,importrange(""https://docs.google.com/spreadsheets/d/1d2vevQ_7D_v35q4wCQ4RpQ_IPoTwEMB9Yp6ymwlPqew/edit?gid=984458430#gid=984458430"", ""'replication success'!A:M""), 13, FAlSE)"),"Table S1, pg.45")</f>
        <v>Table S1, pg.45</v>
      </c>
      <c r="BB1235" s="61" t="str">
        <f>IFERROR(__xludf.DUMMYFUNCTION("REGEXREPLACE(G1235, ""_[a-z]{1,2}$"", """")"),"Camereretal2016_9")</f>
        <v>Camereretal2016_9</v>
      </c>
      <c r="BD1235" s="62" t="s">
        <v>6645</v>
      </c>
    </row>
    <row r="1236">
      <c r="A1236" s="44">
        <v>1236.0</v>
      </c>
      <c r="B1236" s="129" t="s">
        <v>152</v>
      </c>
      <c r="C1236" s="62" t="s">
        <v>115</v>
      </c>
      <c r="D1236" s="62" t="s">
        <v>232</v>
      </c>
      <c r="F1236" s="68" t="s">
        <v>6938</v>
      </c>
      <c r="G1236" s="159" t="s">
        <v>6939</v>
      </c>
      <c r="H1236" s="159" t="s">
        <v>6940</v>
      </c>
      <c r="I1236" s="152">
        <v>45682.0</v>
      </c>
      <c r="J1236" s="152">
        <v>45687.0</v>
      </c>
      <c r="K1236" s="68"/>
      <c r="L1236" s="159" t="s">
        <v>6941</v>
      </c>
      <c r="M1236" s="159" t="s">
        <v>6942</v>
      </c>
      <c r="N1236" s="159" t="s">
        <v>6943</v>
      </c>
      <c r="O1236" s="156">
        <v>1.0</v>
      </c>
      <c r="P1236" s="159" t="str">
        <f t="shared" si="76"/>
        <v>10.1126--science.1189993.pdf</v>
      </c>
      <c r="Q1236" s="52" t="str">
        <f t="array" ref="Q1236"> if(iserror(MATCH(V1236, 'File Links'!C:C, 0)), "N/A", HYPERLINK(INDEX('File Links'!B:B, MATCH(P1236, 'File Links'!C:C, 0))))</f>
        <v>https://drive.google.com/file/d/1AKsdj68dbJXeSGboPcfZ2uD3ua_fvFPP/view?usp=drivesdk</v>
      </c>
      <c r="R1236" s="159" t="s">
        <v>6944</v>
      </c>
      <c r="S1236" s="159" t="s">
        <v>6945</v>
      </c>
      <c r="T1236" s="1115" t="s">
        <v>6946</v>
      </c>
      <c r="U1236" s="156">
        <v>1.0</v>
      </c>
      <c r="V1236" s="198" t="str">
        <f t="shared" si="77"/>
        <v>10.1038--s41562-018-0399-z.pdf</v>
      </c>
      <c r="W1236" s="159" t="s">
        <v>209</v>
      </c>
      <c r="X1236" s="54" t="str">
        <f t="array" ref="X1236"> if(iserror(MATCH(V1236, 'File Links'!C:C, 0)), "N/A", HYPERLINK(INDEX('File Links'!B:B, MATCH(V1236, 'File Links'!C:C, 0))))</f>
        <v>https://drive.google.com/file/d/1XgVMa01TtKbRfWaCjSCwCg4zPwJV_vw6/view?usp=drivesdk</v>
      </c>
      <c r="Y1236" s="68"/>
      <c r="Z1236" s="159" t="s">
        <v>226</v>
      </c>
      <c r="AA1236" s="159" t="s">
        <v>6947</v>
      </c>
      <c r="AB1236" s="159" t="s">
        <v>6948</v>
      </c>
      <c r="AC1236" s="159" t="s">
        <v>6949</v>
      </c>
      <c r="AD1236" s="159" t="s">
        <v>6950</v>
      </c>
      <c r="AE1236" s="159" t="s">
        <v>6951</v>
      </c>
      <c r="AF1236" s="156">
        <v>54.0</v>
      </c>
      <c r="AG1236" s="1120">
        <v>0.5414312553775226</v>
      </c>
      <c r="AH1236" s="159" t="s">
        <v>173</v>
      </c>
      <c r="AI1236" s="159" t="s">
        <v>6952</v>
      </c>
      <c r="AJ1236" s="156">
        <v>0.049</v>
      </c>
      <c r="AK1236" s="159" t="s">
        <v>172</v>
      </c>
      <c r="AL1236" s="1115" t="s">
        <v>218</v>
      </c>
      <c r="AM1236" s="68" t="s">
        <v>137</v>
      </c>
      <c r="AN1236" s="151" t="s">
        <v>138</v>
      </c>
      <c r="AO1236" s="156">
        <v>599.0</v>
      </c>
      <c r="AP1236" s="336">
        <v>0.063</v>
      </c>
      <c r="AQ1236" s="159" t="s">
        <v>215</v>
      </c>
      <c r="AR1236" s="159" t="s">
        <v>6953</v>
      </c>
      <c r="AS1236" s="156">
        <v>0.125</v>
      </c>
      <c r="AT1236" s="159" t="s">
        <v>172</v>
      </c>
      <c r="AU1236" s="1115" t="s">
        <v>136</v>
      </c>
      <c r="AV1236" s="68" t="s">
        <v>137</v>
      </c>
      <c r="AW1236" s="435" t="s">
        <v>6954</v>
      </c>
      <c r="AX1236" s="1300" t="s">
        <v>143</v>
      </c>
      <c r="AY1236" s="61" t="str">
        <f>IFERROR(__xludf.DUMMYFUNCTION("vlookup(BB1236,importrange(""https://docs.google.com/spreadsheets/d/1d2vevQ_7D_v35q4wCQ4RpQ_IPoTwEMB9Yp6ymwlPqew/edit?gid=984458430#gid=984458430"", ""'replication success'!A:K""), 11, FAlSE)"),"successful")</f>
        <v>successful</v>
      </c>
      <c r="AZ1236" s="91" t="str">
        <f>IFERROR(__xludf.DUMMYFUNCTION("vlookup(BB1236,importrange(""https://docs.google.com/spreadsheets/d/1d2vevQ_7D_v35q4wCQ4RpQ_IPoTwEMB9Yp6ymwlPqew/edit?gid=984458430#gid=984458430"",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36" s="61" t="str">
        <f>IFERROR(__xludf.DUMMYFUNCTION("vlookup(BB1236,importrange(""https://docs.google.com/spreadsheets/d/1d2vevQ_7D_v35q4wCQ4RpQ_IPoTwEMB9Yp6ymwlPqew/edit?gid=984458430#gid=984458430"", ""'replication success'!A:M""), 13, FAlSE)"),"Table 3 in Supplementary Materials, pg. 53")</f>
        <v>Table 3 in Supplementary Materials, pg. 53</v>
      </c>
      <c r="BB1236" s="61" t="str">
        <f>IFERROR(__xludf.DUMMYFUNCTION("REGEXREPLACE(G1236, ""_[a-z]{1,2}$"", """")"),"Camereretal2018_1_1")</f>
        <v>Camereretal2018_1_1</v>
      </c>
      <c r="BC1236" s="68"/>
      <c r="BD1236" s="68" t="s">
        <v>5074</v>
      </c>
    </row>
    <row r="1237">
      <c r="A1237" s="44">
        <v>1237.0</v>
      </c>
      <c r="B1237" s="68" t="s">
        <v>114</v>
      </c>
      <c r="C1237" s="62" t="s">
        <v>115</v>
      </c>
      <c r="D1237" s="62" t="s">
        <v>1234</v>
      </c>
      <c r="F1237" s="154" t="s">
        <v>6938</v>
      </c>
      <c r="G1237" s="159" t="s">
        <v>6939</v>
      </c>
      <c r="H1237" s="159" t="s">
        <v>6955</v>
      </c>
      <c r="I1237" s="152">
        <v>45663.0</v>
      </c>
      <c r="J1237" s="152">
        <v>45687.0</v>
      </c>
      <c r="K1237" s="68"/>
      <c r="L1237" s="68"/>
      <c r="M1237" s="154" t="s">
        <v>6942</v>
      </c>
      <c r="N1237" s="154" t="s">
        <v>6943</v>
      </c>
      <c r="O1237" s="156">
        <v>1.0</v>
      </c>
      <c r="P1237" s="159" t="str">
        <f t="shared" si="76"/>
        <v>10.1126--science.1189993.pdf</v>
      </c>
      <c r="Q1237" s="52" t="str">
        <f t="array" ref="Q1237"> if(iserror(MATCH(V1237, 'File Links'!C:C, 0)), "N/A", HYPERLINK(INDEX('File Links'!B:B, MATCH(P1237, 'File Links'!C:C, 0))))</f>
        <v>https://drive.google.com/file/d/1AKsdj68dbJXeSGboPcfZ2uD3ua_fvFPP/view?usp=drivesdk</v>
      </c>
      <c r="R1237" s="159" t="s">
        <v>6944</v>
      </c>
      <c r="S1237" s="159" t="s">
        <v>6945</v>
      </c>
      <c r="T1237" s="68"/>
      <c r="U1237" s="156">
        <v>2.0</v>
      </c>
      <c r="V1237" s="198" t="str">
        <f t="shared" si="77"/>
        <v>10.1038--s41562-018-0399-z.pdf</v>
      </c>
      <c r="W1237" s="68"/>
      <c r="X1237" s="54" t="str">
        <f t="array" ref="X1237"> if(iserror(MATCH(V1237, 'File Links'!C:C, 0)), "N/A", HYPERLINK(INDEX('File Links'!B:B, MATCH(V1237, 'File Links'!C:C, 0))))</f>
        <v>https://drive.google.com/file/d/1XgVMa01TtKbRfWaCjSCwCg4zPwJV_vw6/view?usp=drivesdk</v>
      </c>
      <c r="Y1237" s="68"/>
      <c r="Z1237" s="159" t="s">
        <v>226</v>
      </c>
      <c r="AA1237" s="68"/>
      <c r="AB1237" s="68"/>
      <c r="AC1237" s="68"/>
      <c r="AD1237" s="1384" t="s">
        <v>6956</v>
      </c>
      <c r="AE1237" s="156">
        <v>1713.0</v>
      </c>
      <c r="AF1237" s="156">
        <v>54.0</v>
      </c>
      <c r="AG1237" s="1059">
        <v>0.27</v>
      </c>
      <c r="AH1237" s="1060" t="s">
        <v>215</v>
      </c>
      <c r="AI1237" s="1060" t="s">
        <v>6957</v>
      </c>
      <c r="AJ1237" s="156">
        <v>0.049</v>
      </c>
      <c r="AK1237" s="159" t="s">
        <v>172</v>
      </c>
      <c r="AL1237" s="159" t="s">
        <v>218</v>
      </c>
      <c r="AM1237" s="68" t="s">
        <v>137</v>
      </c>
      <c r="AN1237" s="68"/>
      <c r="AO1237" s="156">
        <v>599.0</v>
      </c>
      <c r="AP1237" s="156">
        <v>0.0627</v>
      </c>
      <c r="AQ1237" s="159" t="s">
        <v>215</v>
      </c>
      <c r="AR1237" s="68"/>
      <c r="AS1237" s="156">
        <v>0.125</v>
      </c>
      <c r="AT1237" s="159" t="s">
        <v>172</v>
      </c>
      <c r="AU1237" s="159" t="s">
        <v>136</v>
      </c>
      <c r="AV1237" s="68" t="s">
        <v>137</v>
      </c>
      <c r="AW1237" s="1385" t="s">
        <v>6946</v>
      </c>
      <c r="AX1237" s="68" t="s">
        <v>143</v>
      </c>
      <c r="AY1237" s="61" t="str">
        <f>IFERROR(__xludf.DUMMYFUNCTION("vlookup(BB1237,importrange(""https://docs.google.com/spreadsheets/d/1d2vevQ_7D_v35q4wCQ4RpQ_IPoTwEMB9Yp6ymwlPqew/edit?gid=984458430#gid=984458430"", ""'replication success'!A:K""), 11, FAlSE)"),"successful")</f>
        <v>successful</v>
      </c>
      <c r="AZ1237" s="91" t="str">
        <f>IFERROR(__xludf.DUMMYFUNCTION("vlookup(BB1237,importrange(""https://docs.google.com/spreadsheets/d/1d2vevQ_7D_v35q4wCQ4RpQ_IPoTwEMB9Yp6ymwlPqew/edit?gid=984458430#gid=984458430"",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37" s="61" t="str">
        <f>IFERROR(__xludf.DUMMYFUNCTION("vlookup(BB1237,importrange(""https://docs.google.com/spreadsheets/d/1d2vevQ_7D_v35q4wCQ4RpQ_IPoTwEMB9Yp6ymwlPqew/edit?gid=984458430#gid=984458430"", ""'replication success'!A:M""), 13, FAlSE)"),"Table 3 in Supplementary Materials, pg. 53")</f>
        <v>Table 3 in Supplementary Materials, pg. 53</v>
      </c>
      <c r="BB1237" s="61" t="str">
        <f>IFERROR(__xludf.DUMMYFUNCTION("REGEXREPLACE(G1237, ""_[a-z]{1,2}$"", """")"),"Camereretal2018_1_1")</f>
        <v>Camereretal2018_1_1</v>
      </c>
      <c r="BC1237" s="68"/>
      <c r="BD1237" s="68" t="s">
        <v>5074</v>
      </c>
    </row>
    <row r="1238">
      <c r="A1238" s="44">
        <v>1238.0</v>
      </c>
      <c r="B1238" s="129" t="s">
        <v>152</v>
      </c>
      <c r="C1238" s="62" t="s">
        <v>115</v>
      </c>
      <c r="D1238" s="62" t="s">
        <v>232</v>
      </c>
      <c r="F1238" s="154" t="s">
        <v>6958</v>
      </c>
      <c r="G1238" s="159" t="s">
        <v>6959</v>
      </c>
      <c r="H1238" s="159" t="s">
        <v>6940</v>
      </c>
      <c r="I1238" s="152">
        <v>45682.0</v>
      </c>
      <c r="J1238" s="152">
        <v>45687.0</v>
      </c>
      <c r="K1238" s="159" t="s">
        <v>6960</v>
      </c>
      <c r="L1238" s="159" t="s">
        <v>6961</v>
      </c>
      <c r="M1238" s="159" t="s">
        <v>6962</v>
      </c>
      <c r="N1238" s="159" t="s">
        <v>6963</v>
      </c>
      <c r="O1238" s="156">
        <v>1.0</v>
      </c>
      <c r="P1238" s="159" t="str">
        <f t="shared" si="76"/>
        <v>10.1126--science.1199327.pdf</v>
      </c>
      <c r="Q1238" s="52" t="str">
        <f t="array" ref="Q1238"> if(iserror(MATCH(V1238, 'File Links'!C:C, 0)), "N/A", HYPERLINK(INDEX('File Links'!B:B, MATCH(P1238, 'File Links'!C:C, 0))))</f>
        <v>https://drive.google.com/file/d/1nLprzUcZjsicDG7JT3icjAuAK7g2gLY1/view?usp=drivesdk</v>
      </c>
      <c r="R1238" s="159" t="s">
        <v>6944</v>
      </c>
      <c r="S1238" s="159" t="s">
        <v>6945</v>
      </c>
      <c r="T1238" s="1115" t="s">
        <v>6964</v>
      </c>
      <c r="U1238" s="156">
        <v>10.0</v>
      </c>
      <c r="V1238" s="198" t="str">
        <f t="shared" si="77"/>
        <v>10.1038--s41562-018-0399-z.pdf</v>
      </c>
      <c r="W1238" s="159" t="s">
        <v>209</v>
      </c>
      <c r="X1238" s="54" t="str">
        <f t="array" ref="X1238"> if(iserror(MATCH(V1238, 'File Links'!C:C, 0)), "N/A", HYPERLINK(INDEX('File Links'!B:B, MATCH(V1238, 'File Links'!C:C, 0))))</f>
        <v>https://drive.google.com/file/d/1XgVMa01TtKbRfWaCjSCwCg4zPwJV_vw6/view?usp=drivesdk</v>
      </c>
      <c r="Y1238" s="68"/>
      <c r="Z1238" s="1115" t="s">
        <v>148</v>
      </c>
      <c r="AA1238" s="159" t="s">
        <v>6965</v>
      </c>
      <c r="AB1238" s="159" t="s">
        <v>6948</v>
      </c>
      <c r="AC1238" s="159" t="s">
        <v>6966</v>
      </c>
      <c r="AD1238" s="159" t="s">
        <v>6967</v>
      </c>
      <c r="AE1238" s="159" t="s">
        <v>6968</v>
      </c>
      <c r="AF1238" s="156">
        <v>40.0</v>
      </c>
      <c r="AG1238" s="156">
        <v>1.5</v>
      </c>
      <c r="AH1238" s="159" t="s">
        <v>173</v>
      </c>
      <c r="AI1238" s="159" t="s">
        <v>6969</v>
      </c>
      <c r="AJ1238" s="156">
        <v>0.05</v>
      </c>
      <c r="AK1238" s="159" t="s">
        <v>135</v>
      </c>
      <c r="AL1238" s="1115" t="s">
        <v>218</v>
      </c>
      <c r="AM1238" s="68" t="s">
        <v>137</v>
      </c>
      <c r="AN1238" s="159" t="s">
        <v>138</v>
      </c>
      <c r="AO1238" s="156">
        <v>49.0</v>
      </c>
      <c r="AP1238" s="336">
        <v>0.384</v>
      </c>
      <c r="AQ1238" s="159" t="s">
        <v>215</v>
      </c>
      <c r="AR1238" s="159" t="s">
        <v>6970</v>
      </c>
      <c r="AS1238" s="156">
        <v>0.006</v>
      </c>
      <c r="AT1238" s="159" t="s">
        <v>172</v>
      </c>
      <c r="AU1238" s="1115" t="s">
        <v>136</v>
      </c>
      <c r="AV1238" s="68" t="s">
        <v>137</v>
      </c>
      <c r="AW1238" s="435" t="s">
        <v>6971</v>
      </c>
      <c r="AX1238" s="1300" t="s">
        <v>143</v>
      </c>
      <c r="AY1238" s="61" t="str">
        <f>IFERROR(__xludf.DUMMYFUNCTION("vlookup(BB1238,importrange(""https://docs.google.com/spreadsheets/d/1d2vevQ_7D_v35q4wCQ4RpQ_IPoTwEMB9Yp6ymwlPqew/edit?gid=984458430#gid=984458430"", ""'replication success'!A:K""), 11, FAlSE)"),"successful")</f>
        <v>successful</v>
      </c>
      <c r="AZ1238" s="91" t="str">
        <f>IFERROR(__xludf.DUMMYFUNCTION("vlookup(BB1238,importrange(""https://docs.google.com/spreadsheets/d/1d2vevQ_7D_v35q4wCQ4RpQ_IPoTwEMB9Yp6ymwlPqew/edit?gid=984458430#gid=984458430"",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38" s="61" t="str">
        <f>IFERROR(__xludf.DUMMYFUNCTION("vlookup(BB1238,importrange(""https://docs.google.com/spreadsheets/d/1d2vevQ_7D_v35q4wCQ4RpQ_IPoTwEMB9Yp6ymwlPqew/edit?gid=984458430#gid=984458430"", ""'replication success'!A:M""), 13, FAlSE)"),"Table 3 in Supplementary Materials, pg. 53")</f>
        <v>Table 3 in Supplementary Materials, pg. 53</v>
      </c>
      <c r="BB1238" s="61" t="str">
        <f>IFERROR(__xludf.DUMMYFUNCTION("REGEXREPLACE(G1238, ""_[a-z]{1,2}$"", """")"),"Camereretal2018_10_1")</f>
        <v>Camereretal2018_10_1</v>
      </c>
      <c r="BC1238" s="68"/>
      <c r="BD1238" s="68" t="s">
        <v>5074</v>
      </c>
    </row>
    <row r="1239">
      <c r="A1239" s="44">
        <v>1239.0</v>
      </c>
      <c r="B1239" s="68" t="s">
        <v>114</v>
      </c>
      <c r="C1239" s="62" t="s">
        <v>115</v>
      </c>
      <c r="D1239" s="62" t="s">
        <v>1234</v>
      </c>
      <c r="F1239" s="154" t="s">
        <v>6958</v>
      </c>
      <c r="G1239" s="159" t="s">
        <v>6959</v>
      </c>
      <c r="H1239" s="159" t="s">
        <v>6955</v>
      </c>
      <c r="I1239" s="152">
        <v>45663.0</v>
      </c>
      <c r="J1239" s="152">
        <v>45687.0</v>
      </c>
      <c r="K1239" s="68"/>
      <c r="L1239" s="68"/>
      <c r="M1239" s="154" t="s">
        <v>6962</v>
      </c>
      <c r="N1239" s="154" t="s">
        <v>6963</v>
      </c>
      <c r="O1239" s="156">
        <v>1.0</v>
      </c>
      <c r="P1239" s="159" t="str">
        <f t="shared" si="76"/>
        <v>10.1126--science.1199327.pdf</v>
      </c>
      <c r="Q1239" s="52" t="str">
        <f t="array" ref="Q1239"> if(iserror(MATCH(V1239, 'File Links'!C:C, 0)), "N/A", HYPERLINK(INDEX('File Links'!B:B, MATCH(P1239, 'File Links'!C:C, 0))))</f>
        <v>https://drive.google.com/file/d/1nLprzUcZjsicDG7JT3icjAuAK7g2gLY1/view?usp=drivesdk</v>
      </c>
      <c r="R1239" s="159" t="s">
        <v>6944</v>
      </c>
      <c r="S1239" s="159" t="s">
        <v>6945</v>
      </c>
      <c r="T1239" s="68"/>
      <c r="U1239" s="156">
        <v>1.0</v>
      </c>
      <c r="V1239" s="198" t="str">
        <f t="shared" si="77"/>
        <v>10.1038--s41562-018-0399-z.pdf</v>
      </c>
      <c r="W1239" s="68"/>
      <c r="X1239" s="54" t="str">
        <f t="array" ref="X1239"> if(iserror(MATCH(V1239, 'File Links'!C:C, 0)), "N/A", HYPERLINK(INDEX('File Links'!B:B, MATCH(V1239, 'File Links'!C:C, 0))))</f>
        <v>https://drive.google.com/file/d/1XgVMa01TtKbRfWaCjSCwCg4zPwJV_vw6/view?usp=drivesdk</v>
      </c>
      <c r="Y1239" s="68"/>
      <c r="Z1239" s="159" t="s">
        <v>148</v>
      </c>
      <c r="AA1239" s="68"/>
      <c r="AB1239" s="68"/>
      <c r="AC1239" s="68"/>
      <c r="AD1239" s="1384" t="s">
        <v>6972</v>
      </c>
      <c r="AE1239" s="156">
        <v>773.0</v>
      </c>
      <c r="AF1239" s="156">
        <v>40.0</v>
      </c>
      <c r="AG1239" s="1386">
        <v>0.602</v>
      </c>
      <c r="AH1239" s="1060" t="s">
        <v>215</v>
      </c>
      <c r="AI1239" s="68"/>
      <c r="AJ1239" s="162">
        <v>3.9E-5</v>
      </c>
      <c r="AK1239" s="159" t="s">
        <v>172</v>
      </c>
      <c r="AL1239" s="68"/>
      <c r="AM1239" s="68" t="s">
        <v>137</v>
      </c>
      <c r="AN1239" s="68"/>
      <c r="AO1239" s="156">
        <v>49.0</v>
      </c>
      <c r="AP1239" s="156">
        <v>0.38</v>
      </c>
      <c r="AQ1239" s="159" t="s">
        <v>215</v>
      </c>
      <c r="AR1239" s="68"/>
      <c r="AS1239" s="156">
        <v>0.006</v>
      </c>
      <c r="AT1239" s="159" t="s">
        <v>172</v>
      </c>
      <c r="AU1239" s="159" t="s">
        <v>136</v>
      </c>
      <c r="AV1239" s="68" t="s">
        <v>137</v>
      </c>
      <c r="AW1239" s="1385" t="s">
        <v>6964</v>
      </c>
      <c r="AX1239" s="68" t="s">
        <v>143</v>
      </c>
      <c r="AY1239" s="61" t="str">
        <f>IFERROR(__xludf.DUMMYFUNCTION("vlookup(BB1239,importrange(""https://docs.google.com/spreadsheets/d/1d2vevQ_7D_v35q4wCQ4RpQ_IPoTwEMB9Yp6ymwlPqew/edit?gid=984458430#gid=984458430"", ""'replication success'!A:K""), 11, FAlSE)"),"successful")</f>
        <v>successful</v>
      </c>
      <c r="AZ1239" s="91" t="str">
        <f>IFERROR(__xludf.DUMMYFUNCTION("vlookup(BB1239,importrange(""https://docs.google.com/spreadsheets/d/1d2vevQ_7D_v35q4wCQ4RpQ_IPoTwEMB9Yp6ymwlPqew/edit?gid=984458430#gid=984458430"",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39" s="61" t="str">
        <f>IFERROR(__xludf.DUMMYFUNCTION("vlookup(BB1239,importrange(""https://docs.google.com/spreadsheets/d/1d2vevQ_7D_v35q4wCQ4RpQ_IPoTwEMB9Yp6ymwlPqew/edit?gid=984458430#gid=984458430"", ""'replication success'!A:M""), 13, FAlSE)"),"Table 3 in Supplementary Materials, pg. 53")</f>
        <v>Table 3 in Supplementary Materials, pg. 53</v>
      </c>
      <c r="BB1239" s="61" t="str">
        <f>IFERROR(__xludf.DUMMYFUNCTION("REGEXREPLACE(G1239, ""_[a-z]{1,2}$"", """")"),"Camereretal2018_10_1")</f>
        <v>Camereretal2018_10_1</v>
      </c>
      <c r="BC1239" s="68"/>
      <c r="BD1239" s="68" t="s">
        <v>5074</v>
      </c>
    </row>
    <row r="1240">
      <c r="A1240" s="44">
        <v>1240.0</v>
      </c>
      <c r="B1240" s="129" t="s">
        <v>152</v>
      </c>
      <c r="C1240" s="62" t="s">
        <v>115</v>
      </c>
      <c r="D1240" s="62" t="s">
        <v>232</v>
      </c>
      <c r="F1240" s="154" t="s">
        <v>6973</v>
      </c>
      <c r="G1240" s="159" t="s">
        <v>6974</v>
      </c>
      <c r="H1240" s="159" t="s">
        <v>6940</v>
      </c>
      <c r="I1240" s="152">
        <v>45682.0</v>
      </c>
      <c r="J1240" s="152">
        <v>45687.0</v>
      </c>
      <c r="K1240" s="159" t="s">
        <v>6975</v>
      </c>
      <c r="L1240" s="151" t="s">
        <v>6976</v>
      </c>
      <c r="M1240" s="159" t="s">
        <v>6977</v>
      </c>
      <c r="N1240" s="159" t="s">
        <v>6978</v>
      </c>
      <c r="O1240" s="156">
        <v>1.0</v>
      </c>
      <c r="P1240" s="159" t="str">
        <f t="shared" si="76"/>
        <v>10.1126--science.1239918.pdf</v>
      </c>
      <c r="Q1240" s="52" t="str">
        <f t="array" ref="Q1240"> if(iserror(MATCH(V1240, 'File Links'!C:C, 0)), "N/A", HYPERLINK(INDEX('File Links'!B:B, MATCH(P1240, 'File Links'!C:C, 0))))</f>
        <v>https://drive.google.com/file/d/16w-mzwoY4czOLW1CWtNqG_1fcM557vJf/view?usp=drivesdk</v>
      </c>
      <c r="R1240" s="159" t="s">
        <v>6944</v>
      </c>
      <c r="S1240" s="159" t="s">
        <v>6945</v>
      </c>
      <c r="T1240" s="1115" t="s">
        <v>6979</v>
      </c>
      <c r="U1240" s="156">
        <v>11.0</v>
      </c>
      <c r="V1240" s="198" t="str">
        <f t="shared" si="77"/>
        <v>10.1038--s41562-018-0399-z.pdf</v>
      </c>
      <c r="W1240" s="159" t="s">
        <v>209</v>
      </c>
      <c r="X1240" s="54" t="str">
        <f t="array" ref="X1240"> if(iserror(MATCH(V1240, 'File Links'!C:C, 0)), "N/A", HYPERLINK(INDEX('File Links'!B:B, MATCH(V1240, 'File Links'!C:C, 0))))</f>
        <v>https://drive.google.com/file/d/1XgVMa01TtKbRfWaCjSCwCg4zPwJV_vw6/view?usp=drivesdk</v>
      </c>
      <c r="Y1240" s="68"/>
      <c r="Z1240" s="159" t="s">
        <v>226</v>
      </c>
      <c r="AA1240" s="374" t="s">
        <v>138</v>
      </c>
      <c r="AB1240" s="159" t="s">
        <v>6948</v>
      </c>
      <c r="AC1240" s="159" t="s">
        <v>6980</v>
      </c>
      <c r="AD1240" s="159" t="s">
        <v>6981</v>
      </c>
      <c r="AE1240" s="159" t="s">
        <v>6982</v>
      </c>
      <c r="AF1240" s="156">
        <v>86.0</v>
      </c>
      <c r="AG1240" s="501" t="s">
        <v>6983</v>
      </c>
      <c r="AH1240" s="151" t="s">
        <v>134</v>
      </c>
      <c r="AI1240" s="159" t="s">
        <v>6982</v>
      </c>
      <c r="AJ1240" s="156">
        <v>0.01</v>
      </c>
      <c r="AK1240" s="159" t="s">
        <v>172</v>
      </c>
      <c r="AL1240" s="159" t="s">
        <v>186</v>
      </c>
      <c r="AM1240" s="68" t="s">
        <v>137</v>
      </c>
      <c r="AN1240" s="159" t="s">
        <v>138</v>
      </c>
      <c r="AO1240" s="156">
        <v>714.0</v>
      </c>
      <c r="AP1240" s="336">
        <v>-0.027</v>
      </c>
      <c r="AQ1240" s="159" t="s">
        <v>215</v>
      </c>
      <c r="AR1240" s="159" t="s">
        <v>6953</v>
      </c>
      <c r="AS1240" s="156">
        <v>0.468</v>
      </c>
      <c r="AT1240" s="159" t="s">
        <v>172</v>
      </c>
      <c r="AU1240" s="1115" t="s">
        <v>136</v>
      </c>
      <c r="AV1240" s="68" t="s">
        <v>137</v>
      </c>
      <c r="AW1240" s="435" t="s">
        <v>6984</v>
      </c>
      <c r="AX1240" s="1300" t="s">
        <v>143</v>
      </c>
      <c r="AY1240" s="61" t="str">
        <f>IFERROR(__xludf.DUMMYFUNCTION("vlookup(BB1240,importrange(""https://docs.google.com/spreadsheets/d/1d2vevQ_7D_v35q4wCQ4RpQ_IPoTwEMB9Yp6ymwlPqew/edit?gid=984458430#gid=984458430"", ""'replication success'!A:K""), 11, FAlSE)"),"failed")</f>
        <v>failed</v>
      </c>
      <c r="AZ1240" s="61" t="str">
        <f>IFERROR(__xludf.DUMMYFUNCTION("vlookup(BB1240,importrange(""https://docs.google.com/spreadsheets/d/1d2vevQ_7D_v35q4wCQ4RpQ_IPoTwEMB9Yp6ymwlPqew/edit?gid=984458430#gid=984458430"",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40" s="61" t="str">
        <f>IFERROR(__xludf.DUMMYFUNCTION("vlookup(BB1240,importrange(""https://docs.google.com/spreadsheets/d/1d2vevQ_7D_v35q4wCQ4RpQ_IPoTwEMB9Yp6ymwlPqew/edit?gid=984458430#gid=984458430"", ""'replication success'!A:M""), 13, FAlSE)"),"Table 4 in Supplementary Materials, pg. 54")</f>
        <v>Table 4 in Supplementary Materials, pg. 54</v>
      </c>
      <c r="BB1240" s="61" t="str">
        <f>IFERROR(__xludf.DUMMYFUNCTION("REGEXREPLACE(G1240, ""_[a-z]{1,2}$"", """")"),"Camereretal2018_11_1")</f>
        <v>Camereretal2018_11_1</v>
      </c>
      <c r="BC1240" s="68"/>
      <c r="BD1240" s="129" t="s">
        <v>6985</v>
      </c>
    </row>
    <row r="1241" ht="15.75" customHeight="1">
      <c r="A1241" s="44">
        <v>1241.0</v>
      </c>
      <c r="B1241" s="68" t="s">
        <v>114</v>
      </c>
      <c r="C1241" s="62" t="s">
        <v>115</v>
      </c>
      <c r="D1241" s="62" t="s">
        <v>1234</v>
      </c>
      <c r="F1241" s="154" t="s">
        <v>6973</v>
      </c>
      <c r="G1241" s="159" t="s">
        <v>6974</v>
      </c>
      <c r="H1241" s="159" t="s">
        <v>6955</v>
      </c>
      <c r="I1241" s="152">
        <v>45663.0</v>
      </c>
      <c r="J1241" s="152">
        <v>45687.0</v>
      </c>
      <c r="K1241" s="68"/>
      <c r="L1241" s="68"/>
      <c r="M1241" s="154" t="s">
        <v>6977</v>
      </c>
      <c r="N1241" s="154" t="s">
        <v>6978</v>
      </c>
      <c r="O1241" s="156">
        <v>1.0</v>
      </c>
      <c r="P1241" s="159" t="str">
        <f t="shared" si="76"/>
        <v>10.1126--science.1239918.pdf</v>
      </c>
      <c r="Q1241" s="52" t="str">
        <f t="array" ref="Q1241"> if(iserror(MATCH(V1241, 'File Links'!C:C, 0)), "N/A", HYPERLINK(INDEX('File Links'!B:B, MATCH(P1241, 'File Links'!C:C, 0))))</f>
        <v>https://drive.google.com/file/d/16w-mzwoY4czOLW1CWtNqG_1fcM557vJf/view?usp=drivesdk</v>
      </c>
      <c r="R1241" s="159" t="s">
        <v>6944</v>
      </c>
      <c r="S1241" s="159" t="s">
        <v>6945</v>
      </c>
      <c r="T1241" s="68"/>
      <c r="U1241" s="156">
        <v>1.0</v>
      </c>
      <c r="V1241" s="198" t="str">
        <f t="shared" si="77"/>
        <v>10.1038--s41562-018-0399-z.pdf</v>
      </c>
      <c r="W1241" s="68"/>
      <c r="X1241" s="54" t="str">
        <f t="array" ref="X1241"> if(iserror(MATCH(V1241, 'File Links'!C:C, 0)), "N/A", HYPERLINK(INDEX('File Links'!B:B, MATCH(V1241, 'File Links'!C:C, 0))))</f>
        <v>https://drive.google.com/file/d/1XgVMa01TtKbRfWaCjSCwCg4zPwJV_vw6/view?usp=drivesdk</v>
      </c>
      <c r="Y1241" s="68"/>
      <c r="Z1241" s="159" t="s">
        <v>226</v>
      </c>
      <c r="AA1241" s="68"/>
      <c r="AB1241" s="68"/>
      <c r="AC1241" s="68"/>
      <c r="AD1241" s="1384" t="s">
        <v>6986</v>
      </c>
      <c r="AE1241" s="156">
        <v>378.0</v>
      </c>
      <c r="AF1241" s="156">
        <v>86.0</v>
      </c>
      <c r="AG1241" s="1059">
        <v>0.269</v>
      </c>
      <c r="AH1241" s="1060" t="s">
        <v>215</v>
      </c>
      <c r="AI1241" s="68"/>
      <c r="AJ1241" s="156">
        <v>0.01</v>
      </c>
      <c r="AK1241" s="159" t="s">
        <v>172</v>
      </c>
      <c r="AL1241" s="68"/>
      <c r="AM1241" s="68"/>
      <c r="AN1241" s="68"/>
      <c r="AO1241" s="156">
        <v>714.0</v>
      </c>
      <c r="AP1241" s="1387">
        <v>0.08204666802424937</v>
      </c>
      <c r="AQ1241" s="1060" t="s">
        <v>173</v>
      </c>
      <c r="AR1241" s="1060" t="s">
        <v>6987</v>
      </c>
      <c r="AS1241" s="156">
        <v>0.4681</v>
      </c>
      <c r="AT1241" s="159" t="s">
        <v>172</v>
      </c>
      <c r="AU1241" s="159" t="s">
        <v>136</v>
      </c>
      <c r="AV1241" s="68" t="s">
        <v>137</v>
      </c>
      <c r="AW1241" s="1385" t="s">
        <v>6979</v>
      </c>
      <c r="AX1241" s="68" t="s">
        <v>143</v>
      </c>
      <c r="AY1241" s="61" t="str">
        <f>IFERROR(__xludf.DUMMYFUNCTION("vlookup(BB1241,importrange(""https://docs.google.com/spreadsheets/d/1d2vevQ_7D_v35q4wCQ4RpQ_IPoTwEMB9Yp6ymwlPqew/edit?gid=984458430#gid=984458430"", ""'replication success'!A:K""), 11, FAlSE)"),"failed")</f>
        <v>failed</v>
      </c>
      <c r="AZ1241" s="61" t="str">
        <f>IFERROR(__xludf.DUMMYFUNCTION("vlookup(BB1241,importrange(""https://docs.google.com/spreadsheets/d/1d2vevQ_7D_v35q4wCQ4RpQ_IPoTwEMB9Yp6ymwlPqew/edit?gid=984458430#gid=984458430"",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41" s="61" t="str">
        <f>IFERROR(__xludf.DUMMYFUNCTION("vlookup(BB1241,importrange(""https://docs.google.com/spreadsheets/d/1d2vevQ_7D_v35q4wCQ4RpQ_IPoTwEMB9Yp6ymwlPqew/edit?gid=984458430#gid=984458430"", ""'replication success'!A:M""), 13, FAlSE)"),"Table 4 in Supplementary Materials, pg. 54")</f>
        <v>Table 4 in Supplementary Materials, pg. 54</v>
      </c>
      <c r="BB1241" s="61" t="str">
        <f>IFERROR(__xludf.DUMMYFUNCTION("REGEXREPLACE(G1241, ""_[a-z]{1,2}$"", """")"),"Camereretal2018_11_1")</f>
        <v>Camereretal2018_11_1</v>
      </c>
      <c r="BC1241" s="68"/>
      <c r="BD1241" s="68" t="s">
        <v>5074</v>
      </c>
    </row>
    <row r="1242">
      <c r="A1242" s="44">
        <v>1242.0</v>
      </c>
      <c r="B1242" s="129" t="s">
        <v>152</v>
      </c>
      <c r="C1242" s="62" t="s">
        <v>115</v>
      </c>
      <c r="D1242" s="62" t="s">
        <v>232</v>
      </c>
      <c r="F1242" s="154" t="s">
        <v>6988</v>
      </c>
      <c r="G1242" s="159" t="s">
        <v>6989</v>
      </c>
      <c r="H1242" s="159" t="s">
        <v>6940</v>
      </c>
      <c r="I1242" s="152">
        <v>45682.0</v>
      </c>
      <c r="J1242" s="152">
        <v>45692.0</v>
      </c>
      <c r="K1242" s="68"/>
      <c r="L1242" s="159" t="s">
        <v>6990</v>
      </c>
      <c r="M1242" s="159" t="s">
        <v>6306</v>
      </c>
      <c r="N1242" s="159" t="s">
        <v>6307</v>
      </c>
      <c r="O1242" s="156">
        <v>1.0</v>
      </c>
      <c r="P1242" s="159" t="str">
        <f t="shared" si="76"/>
        <v>10.1126--science.1190792.pdf</v>
      </c>
      <c r="Q1242" s="52" t="str">
        <f t="array" ref="Q1242"> if(iserror(MATCH(V1242, 'File Links'!C:C, 0)), "N/A", HYPERLINK(INDEX('File Links'!B:B, MATCH(P1242, 'File Links'!C:C, 0))))</f>
        <v>https://drive.google.com/file/d/1Chyql9h2DEg41XAYeRupg6Etz-OFp0us/view?usp=drivesdk</v>
      </c>
      <c r="R1242" s="159" t="s">
        <v>6944</v>
      </c>
      <c r="S1242" s="159" t="s">
        <v>6945</v>
      </c>
      <c r="T1242" s="1115" t="s">
        <v>6991</v>
      </c>
      <c r="U1242" s="156">
        <v>12.0</v>
      </c>
      <c r="V1242" s="198" t="str">
        <f t="shared" si="77"/>
        <v>10.1038--s41562-018-0399-z.pdf</v>
      </c>
      <c r="W1242" s="159" t="s">
        <v>209</v>
      </c>
      <c r="X1242" s="54" t="str">
        <f t="array" ref="X1242"> if(iserror(MATCH(V1242, 'File Links'!C:C, 0)), "N/A", HYPERLINK(INDEX('File Links'!B:B, MATCH(V1242, 'File Links'!C:C, 0))))</f>
        <v>https://drive.google.com/file/d/1XgVMa01TtKbRfWaCjSCwCg4zPwJV_vw6/view?usp=drivesdk</v>
      </c>
      <c r="Y1242" s="68"/>
      <c r="Z1242" s="159" t="s">
        <v>226</v>
      </c>
      <c r="AA1242" s="374" t="s">
        <v>138</v>
      </c>
      <c r="AB1242" s="159" t="s">
        <v>6948</v>
      </c>
      <c r="AC1242" s="159" t="s">
        <v>6992</v>
      </c>
      <c r="AD1242" s="159" t="s">
        <v>6993</v>
      </c>
      <c r="AE1242" s="159" t="s">
        <v>6994</v>
      </c>
      <c r="AF1242" s="156">
        <v>24.0</v>
      </c>
      <c r="AG1242" s="159" t="s">
        <v>6995</v>
      </c>
      <c r="AH1242" s="159" t="s">
        <v>134</v>
      </c>
      <c r="AI1242" s="159" t="s">
        <v>6994</v>
      </c>
      <c r="AJ1242" s="156">
        <v>0.02</v>
      </c>
      <c r="AK1242" s="159" t="s">
        <v>172</v>
      </c>
      <c r="AL1242" s="159" t="s">
        <v>186</v>
      </c>
      <c r="AM1242" s="68" t="s">
        <v>137</v>
      </c>
      <c r="AN1242" s="159" t="s">
        <v>138</v>
      </c>
      <c r="AO1242" s="156">
        <v>95.0</v>
      </c>
      <c r="AP1242" s="1093">
        <v>0.586204</v>
      </c>
      <c r="AQ1242" s="159" t="s">
        <v>215</v>
      </c>
      <c r="AR1242" s="159" t="s">
        <v>6970</v>
      </c>
      <c r="AS1242" s="1093">
        <v>3.497E-10</v>
      </c>
      <c r="AT1242" s="1115" t="s">
        <v>172</v>
      </c>
      <c r="AU1242" s="1115" t="s">
        <v>136</v>
      </c>
      <c r="AV1242" s="68" t="s">
        <v>137</v>
      </c>
      <c r="AW1242" s="435" t="s">
        <v>6996</v>
      </c>
      <c r="AX1242" s="1300" t="s">
        <v>143</v>
      </c>
      <c r="AY1242" s="61" t="str">
        <f>IFERROR(__xludf.DUMMYFUNCTION("vlookup(BB1242,importrange(""https://docs.google.com/spreadsheets/d/1d2vevQ_7D_v35q4wCQ4RpQ_IPoTwEMB9Yp6ymwlPqew/edit?gid=984458430#gid=984458430"", ""'replication success'!A:K""), 11, FAlSE)"),"successful")</f>
        <v>successful</v>
      </c>
      <c r="AZ1242" s="91" t="str">
        <f>IFERROR(__xludf.DUMMYFUNCTION("vlookup(BB1242,importrange(""https://docs.google.com/spreadsheets/d/1d2vevQ_7D_v35q4wCQ4RpQ_IPoTwEMB9Yp6ymwlPqew/edit?gid=984458430#gid=984458430"",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42" s="61" t="str">
        <f>IFERROR(__xludf.DUMMYFUNCTION("vlookup(BB1242,importrange(""https://docs.google.com/spreadsheets/d/1d2vevQ_7D_v35q4wCQ4RpQ_IPoTwEMB9Yp6ymwlPqew/edit?gid=984458430#gid=984458430"", ""'replication success'!A:M""), 13, FAlSE)"),"Table 3 in Supplementary Materials, pg. 53")</f>
        <v>Table 3 in Supplementary Materials, pg. 53</v>
      </c>
      <c r="BB1242" s="61" t="str">
        <f>IFERROR(__xludf.DUMMYFUNCTION("REGEXREPLACE(G1242, ""_[a-z]{1,2}$"", """")"),"Camereretal2018_12_1")</f>
        <v>Camereretal2018_12_1</v>
      </c>
      <c r="BC1242" s="68"/>
      <c r="BD1242" s="68" t="s">
        <v>5074</v>
      </c>
    </row>
    <row r="1243">
      <c r="A1243" s="44">
        <v>1243.0</v>
      </c>
      <c r="B1243" s="68" t="s">
        <v>114</v>
      </c>
      <c r="C1243" s="62" t="s">
        <v>115</v>
      </c>
      <c r="D1243" s="62" t="s">
        <v>1234</v>
      </c>
      <c r="F1243" s="154" t="s">
        <v>6988</v>
      </c>
      <c r="G1243" s="159" t="s">
        <v>6989</v>
      </c>
      <c r="H1243" s="159" t="s">
        <v>6955</v>
      </c>
      <c r="I1243" s="152">
        <v>45663.0</v>
      </c>
      <c r="J1243" s="152">
        <v>45692.0</v>
      </c>
      <c r="K1243" s="68"/>
      <c r="L1243" s="68"/>
      <c r="M1243" s="154" t="s">
        <v>6306</v>
      </c>
      <c r="N1243" s="154" t="s">
        <v>6307</v>
      </c>
      <c r="O1243" s="156">
        <v>1.0</v>
      </c>
      <c r="P1243" s="159" t="str">
        <f t="shared" si="76"/>
        <v>10.1126--science.1190792.pdf</v>
      </c>
      <c r="Q1243" s="52" t="str">
        <f t="array" ref="Q1243"> if(iserror(MATCH(V1243, 'File Links'!C:C, 0)), "N/A", HYPERLINK(INDEX('File Links'!B:B, MATCH(P1243, 'File Links'!C:C, 0))))</f>
        <v>https://drive.google.com/file/d/1Chyql9h2DEg41XAYeRupg6Etz-OFp0us/view?usp=drivesdk</v>
      </c>
      <c r="R1243" s="159" t="s">
        <v>6944</v>
      </c>
      <c r="S1243" s="159" t="s">
        <v>6945</v>
      </c>
      <c r="T1243" s="68"/>
      <c r="U1243" s="156">
        <v>1.0</v>
      </c>
      <c r="V1243" s="198" t="str">
        <f t="shared" si="77"/>
        <v>10.1038--s41562-018-0399-z.pdf</v>
      </c>
      <c r="W1243" s="68"/>
      <c r="X1243" s="54" t="str">
        <f t="array" ref="X1243"> if(iserror(MATCH(V1243, 'File Links'!C:C, 0)), "N/A", HYPERLINK(INDEX('File Links'!B:B, MATCH(V1243, 'File Links'!C:C, 0))))</f>
        <v>https://drive.google.com/file/d/1XgVMa01TtKbRfWaCjSCwCg4zPwJV_vw6/view?usp=drivesdk</v>
      </c>
      <c r="Y1243" s="68"/>
      <c r="Z1243" s="1060" t="s">
        <v>148</v>
      </c>
      <c r="AA1243" s="68"/>
      <c r="AB1243" s="68"/>
      <c r="AC1243" s="68"/>
      <c r="AD1243" s="1388" t="s">
        <v>6997</v>
      </c>
      <c r="AE1243" s="156">
        <v>1832.0</v>
      </c>
      <c r="AF1243" s="156">
        <v>24.0</v>
      </c>
      <c r="AG1243" s="1059">
        <v>0.45</v>
      </c>
      <c r="AH1243" s="1060" t="s">
        <v>215</v>
      </c>
      <c r="AI1243" s="68"/>
      <c r="AJ1243" s="162">
        <v>0.0238</v>
      </c>
      <c r="AK1243" s="159" t="s">
        <v>172</v>
      </c>
      <c r="AL1243" s="68"/>
      <c r="AM1243" s="68"/>
      <c r="AN1243" s="68"/>
      <c r="AO1243" s="156">
        <v>95.0</v>
      </c>
      <c r="AP1243" s="156">
        <v>0.586204</v>
      </c>
      <c r="AQ1243" s="159" t="s">
        <v>215</v>
      </c>
      <c r="AR1243" s="159" t="s">
        <v>6998</v>
      </c>
      <c r="AS1243" s="156">
        <v>3.497E-10</v>
      </c>
      <c r="AT1243" s="159" t="s">
        <v>172</v>
      </c>
      <c r="AU1243" s="159" t="s">
        <v>136</v>
      </c>
      <c r="AV1243" s="68"/>
      <c r="AW1243" s="1385" t="s">
        <v>6991</v>
      </c>
      <c r="AX1243" s="68" t="s">
        <v>143</v>
      </c>
      <c r="AY1243" s="61" t="str">
        <f>IFERROR(__xludf.DUMMYFUNCTION("vlookup(BB1243,importrange(""https://docs.google.com/spreadsheets/d/1d2vevQ_7D_v35q4wCQ4RpQ_IPoTwEMB9Yp6ymwlPqew/edit?gid=984458430#gid=984458430"", ""'replication success'!A:K""), 11, FAlSE)"),"successful")</f>
        <v>successful</v>
      </c>
      <c r="AZ1243" s="91" t="str">
        <f>IFERROR(__xludf.DUMMYFUNCTION("vlookup(BB1243,importrange(""https://docs.google.com/spreadsheets/d/1d2vevQ_7D_v35q4wCQ4RpQ_IPoTwEMB9Yp6ymwlPqew/edit?gid=984458430#gid=984458430"",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43" s="61" t="str">
        <f>IFERROR(__xludf.DUMMYFUNCTION("vlookup(BB1243,importrange(""https://docs.google.com/spreadsheets/d/1d2vevQ_7D_v35q4wCQ4RpQ_IPoTwEMB9Yp6ymwlPqew/edit?gid=984458430#gid=984458430"", ""'replication success'!A:M""), 13, FAlSE)"),"Table 3 in Supplementary Materials, pg. 53")</f>
        <v>Table 3 in Supplementary Materials, pg. 53</v>
      </c>
      <c r="BB1243" s="61" t="str">
        <f>IFERROR(__xludf.DUMMYFUNCTION("REGEXREPLACE(G1243, ""_[a-z]{1,2}$"", """")"),"Camereretal2018_12_1")</f>
        <v>Camereretal2018_12_1</v>
      </c>
      <c r="BC1243" s="68"/>
      <c r="BD1243" s="68" t="s">
        <v>5074</v>
      </c>
    </row>
    <row r="1244">
      <c r="A1244" s="44">
        <v>1244.0</v>
      </c>
      <c r="B1244" s="129" t="s">
        <v>152</v>
      </c>
      <c r="C1244" s="62" t="s">
        <v>115</v>
      </c>
      <c r="D1244" s="62" t="s">
        <v>232</v>
      </c>
      <c r="F1244" s="159" t="s">
        <v>6999</v>
      </c>
      <c r="G1244" s="159" t="s">
        <v>7000</v>
      </c>
      <c r="H1244" s="159" t="s">
        <v>6940</v>
      </c>
      <c r="I1244" s="152">
        <v>45682.0</v>
      </c>
      <c r="J1244" s="152">
        <v>45692.0</v>
      </c>
      <c r="K1244" s="68"/>
      <c r="L1244" s="159" t="s">
        <v>7001</v>
      </c>
      <c r="M1244" s="159" t="s">
        <v>7002</v>
      </c>
      <c r="N1244" s="159" t="s">
        <v>7003</v>
      </c>
      <c r="O1244" s="156">
        <v>1.0</v>
      </c>
      <c r="P1244" s="159" t="str">
        <f t="shared" si="76"/>
        <v>10.1126--science.1186799.pdf</v>
      </c>
      <c r="Q1244" s="52" t="str">
        <f t="array" ref="Q1244"> if(iserror(MATCH(V1244, 'File Links'!C:C, 0)), "N/A", HYPERLINK(INDEX('File Links'!B:B, MATCH(P1244, 'File Links'!C:C, 0))))</f>
        <v>https://drive.google.com/file/d/1E31uybgDVJiRN0FEcJfVIX_of85BuGEz/view?usp=drivesdk</v>
      </c>
      <c r="R1244" s="159" t="s">
        <v>6944</v>
      </c>
      <c r="S1244" s="159" t="s">
        <v>6945</v>
      </c>
      <c r="T1244" s="1115" t="s">
        <v>7004</v>
      </c>
      <c r="U1244" s="156">
        <v>13.0</v>
      </c>
      <c r="V1244" s="198" t="str">
        <f t="shared" si="77"/>
        <v>10.1038--s41562-018-0399-z.pdf</v>
      </c>
      <c r="W1244" s="159" t="s">
        <v>209</v>
      </c>
      <c r="X1244" s="54" t="str">
        <f t="array" ref="X1244"> if(iserror(MATCH(V1244, 'File Links'!C:C, 0)), "N/A", HYPERLINK(INDEX('File Links'!B:B, MATCH(V1244, 'File Links'!C:C, 0))))</f>
        <v>https://drive.google.com/file/d/1XgVMa01TtKbRfWaCjSCwCg4zPwJV_vw6/view?usp=drivesdk</v>
      </c>
      <c r="Y1244" s="68"/>
      <c r="Z1244" s="159" t="s">
        <v>226</v>
      </c>
      <c r="AA1244" s="159" t="s">
        <v>7005</v>
      </c>
      <c r="AB1244" s="159" t="s">
        <v>6948</v>
      </c>
      <c r="AC1244" s="159" t="s">
        <v>7006</v>
      </c>
      <c r="AD1244" s="159" t="s">
        <v>7007</v>
      </c>
      <c r="AE1244" s="159" t="s">
        <v>7008</v>
      </c>
      <c r="AF1244" s="156">
        <v>40.0</v>
      </c>
      <c r="AG1244" s="1120">
        <v>0.8705228793740944</v>
      </c>
      <c r="AH1244" s="159" t="s">
        <v>173</v>
      </c>
      <c r="AI1244" s="159" t="s">
        <v>7009</v>
      </c>
      <c r="AJ1244" s="156">
        <v>0.01</v>
      </c>
      <c r="AK1244" s="159" t="s">
        <v>172</v>
      </c>
      <c r="AL1244" s="159" t="s">
        <v>218</v>
      </c>
      <c r="AM1244" s="68" t="s">
        <v>137</v>
      </c>
      <c r="AN1244" s="159" t="s">
        <v>138</v>
      </c>
      <c r="AO1244" s="156">
        <v>286.0</v>
      </c>
      <c r="AP1244" s="156">
        <v>-0.046</v>
      </c>
      <c r="AQ1244" s="159" t="s">
        <v>215</v>
      </c>
      <c r="AR1244" s="159" t="s">
        <v>6953</v>
      </c>
      <c r="AS1244" s="156">
        <v>0.436</v>
      </c>
      <c r="AT1244" s="159" t="s">
        <v>172</v>
      </c>
      <c r="AU1244" s="159" t="s">
        <v>218</v>
      </c>
      <c r="AV1244" s="68" t="s">
        <v>137</v>
      </c>
      <c r="AW1244" s="435" t="s">
        <v>7010</v>
      </c>
      <c r="AX1244" s="1300" t="s">
        <v>143</v>
      </c>
      <c r="AY1244" s="61" t="str">
        <f>IFERROR(__xludf.DUMMYFUNCTION("vlookup(BB1244,importrange(""https://docs.google.com/spreadsheets/d/1d2vevQ_7D_v35q4wCQ4RpQ_IPoTwEMB9Yp6ymwlPqew/edit?gid=984458430#gid=984458430"", ""'replication success'!A:K""), 11, FAlSE)"),"failed")</f>
        <v>failed</v>
      </c>
      <c r="AZ1244" s="61" t="str">
        <f>IFERROR(__xludf.DUMMYFUNCTION("vlookup(BB1244,importrange(""https://docs.google.com/spreadsheets/d/1d2vevQ_7D_v35q4wCQ4RpQ_IPoTwEMB9Yp6ymwlPqew/edit?gid=984458430#gid=984458430"",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44" s="61" t="str">
        <f>IFERROR(__xludf.DUMMYFUNCTION("vlookup(BB1244,importrange(""https://docs.google.com/spreadsheets/d/1d2vevQ_7D_v35q4wCQ4RpQ_IPoTwEMB9Yp6ymwlPqew/edit?gid=984458430#gid=984458430"", ""'replication success'!A:M""), 13, FAlSE)"),"Table 4 in Supplementary Materials, pg. 54")</f>
        <v>Table 4 in Supplementary Materials, pg. 54</v>
      </c>
      <c r="BB1244" s="61" t="str">
        <f>IFERROR(__xludf.DUMMYFUNCTION("REGEXREPLACE(G1244, ""_[a-z]{1,2}$"", """")"),"Camereretal2018_13_1")</f>
        <v>Camereretal2018_13_1</v>
      </c>
      <c r="BC1244" s="68"/>
      <c r="BD1244" s="68" t="s">
        <v>5074</v>
      </c>
    </row>
    <row r="1245">
      <c r="A1245" s="44">
        <v>1245.0</v>
      </c>
      <c r="B1245" s="68" t="s">
        <v>114</v>
      </c>
      <c r="C1245" s="62" t="s">
        <v>115</v>
      </c>
      <c r="D1245" s="62" t="s">
        <v>1234</v>
      </c>
      <c r="F1245" s="154" t="s">
        <v>6999</v>
      </c>
      <c r="G1245" s="159" t="s">
        <v>7000</v>
      </c>
      <c r="H1245" s="159" t="s">
        <v>6955</v>
      </c>
      <c r="I1245" s="152">
        <v>45663.0</v>
      </c>
      <c r="J1245" s="152">
        <v>45692.0</v>
      </c>
      <c r="K1245" s="68"/>
      <c r="L1245" s="68"/>
      <c r="M1245" s="154" t="s">
        <v>7002</v>
      </c>
      <c r="N1245" s="154" t="s">
        <v>7003</v>
      </c>
      <c r="O1245" s="156">
        <v>1.0</v>
      </c>
      <c r="P1245" s="159" t="str">
        <f t="shared" si="76"/>
        <v>10.1126--science.1186799.pdf</v>
      </c>
      <c r="Q1245" s="52" t="str">
        <f t="array" ref="Q1245"> if(iserror(MATCH(V1245, 'File Links'!C:C, 0)), "N/A", HYPERLINK(INDEX('File Links'!B:B, MATCH(P1245, 'File Links'!C:C, 0))))</f>
        <v>https://drive.google.com/file/d/1E31uybgDVJiRN0FEcJfVIX_of85BuGEz/view?usp=drivesdk</v>
      </c>
      <c r="R1245" s="159" t="s">
        <v>6944</v>
      </c>
      <c r="S1245" s="159" t="s">
        <v>6945</v>
      </c>
      <c r="T1245" s="68"/>
      <c r="U1245" s="156">
        <v>1.0</v>
      </c>
      <c r="V1245" s="198" t="str">
        <f t="shared" si="77"/>
        <v>10.1038--s41562-018-0399-z.pdf</v>
      </c>
      <c r="W1245" s="68"/>
      <c r="X1245" s="54" t="str">
        <f t="array" ref="X1245"> if(iserror(MATCH(V1245, 'File Links'!C:C, 0)), "N/A", HYPERLINK(INDEX('File Links'!B:B, MATCH(V1245, 'File Links'!C:C, 0))))</f>
        <v>https://drive.google.com/file/d/1XgVMa01TtKbRfWaCjSCwCg4zPwJV_vw6/view?usp=drivesdk</v>
      </c>
      <c r="Y1245" s="68"/>
      <c r="Z1245" s="1060" t="s">
        <v>1809</v>
      </c>
      <c r="AA1245" s="68"/>
      <c r="AB1245" s="68"/>
      <c r="AC1245" s="68"/>
      <c r="AD1245" s="1388" t="s">
        <v>7011</v>
      </c>
      <c r="AE1245" s="156">
        <v>709.0</v>
      </c>
      <c r="AF1245" s="156">
        <v>40.0</v>
      </c>
      <c r="AG1245" s="1059">
        <v>0.388</v>
      </c>
      <c r="AH1245" s="1060" t="s">
        <v>215</v>
      </c>
      <c r="AI1245" s="68"/>
      <c r="AJ1245" s="156">
        <v>0.01</v>
      </c>
      <c r="AK1245" s="159" t="s">
        <v>172</v>
      </c>
      <c r="AL1245" s="159" t="s">
        <v>186</v>
      </c>
      <c r="AM1245" s="68" t="s">
        <v>137</v>
      </c>
      <c r="AN1245" s="68"/>
      <c r="AO1245" s="156">
        <v>286.0</v>
      </c>
      <c r="AP1245" s="1387">
        <v>0.09145300219901326</v>
      </c>
      <c r="AQ1245" s="1060" t="s">
        <v>215</v>
      </c>
      <c r="AR1245" s="1060" t="s">
        <v>7012</v>
      </c>
      <c r="AS1245" s="156">
        <v>0.4362</v>
      </c>
      <c r="AT1245" s="159" t="s">
        <v>172</v>
      </c>
      <c r="AU1245" s="1060" t="s">
        <v>136</v>
      </c>
      <c r="AV1245" s="68" t="s">
        <v>137</v>
      </c>
      <c r="AW1245" s="1385" t="s">
        <v>7004</v>
      </c>
      <c r="AX1245" s="68" t="s">
        <v>143</v>
      </c>
      <c r="AY1245" s="61" t="str">
        <f>IFERROR(__xludf.DUMMYFUNCTION("vlookup(BB1245,importrange(""https://docs.google.com/spreadsheets/d/1d2vevQ_7D_v35q4wCQ4RpQ_IPoTwEMB9Yp6ymwlPqew/edit?gid=984458430#gid=984458430"", ""'replication success'!A:K""), 11, FAlSE)"),"failed")</f>
        <v>failed</v>
      </c>
      <c r="AZ1245" s="61" t="str">
        <f>IFERROR(__xludf.DUMMYFUNCTION("vlookup(BB1245,importrange(""https://docs.google.com/spreadsheets/d/1d2vevQ_7D_v35q4wCQ4RpQ_IPoTwEMB9Yp6ymwlPqew/edit?gid=984458430#gid=984458430"",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45" s="61" t="str">
        <f>IFERROR(__xludf.DUMMYFUNCTION("vlookup(BB1245,importrange(""https://docs.google.com/spreadsheets/d/1d2vevQ_7D_v35q4wCQ4RpQ_IPoTwEMB9Yp6ymwlPqew/edit?gid=984458430#gid=984458430"", ""'replication success'!A:M""), 13, FAlSE)"),"Table 4 in Supplementary Materials, pg. 54")</f>
        <v>Table 4 in Supplementary Materials, pg. 54</v>
      </c>
      <c r="BB1245" s="61" t="str">
        <f>IFERROR(__xludf.DUMMYFUNCTION("REGEXREPLACE(G1245, ""_[a-z]{1,2}$"", """")"),"Camereretal2018_13_1")</f>
        <v>Camereretal2018_13_1</v>
      </c>
      <c r="BC1245" s="68"/>
      <c r="BD1245" s="68" t="s">
        <v>5074</v>
      </c>
    </row>
    <row r="1246">
      <c r="A1246" s="44">
        <v>1246.0</v>
      </c>
      <c r="B1246" s="129" t="s">
        <v>590</v>
      </c>
      <c r="C1246" s="62" t="s">
        <v>115</v>
      </c>
      <c r="D1246" s="62" t="s">
        <v>232</v>
      </c>
      <c r="F1246" s="154" t="s">
        <v>7013</v>
      </c>
      <c r="G1246" s="68" t="s">
        <v>7014</v>
      </c>
      <c r="H1246" s="159" t="s">
        <v>6940</v>
      </c>
      <c r="I1246" s="152">
        <v>45682.0</v>
      </c>
      <c r="J1246" s="152">
        <v>45692.0</v>
      </c>
      <c r="K1246" s="380" t="s">
        <v>7015</v>
      </c>
      <c r="L1246" s="159" t="s">
        <v>7016</v>
      </c>
      <c r="M1246" s="159" t="s">
        <v>7017</v>
      </c>
      <c r="N1246" s="159" t="s">
        <v>7018</v>
      </c>
      <c r="O1246" s="156">
        <v>1.0</v>
      </c>
      <c r="P1246" s="159" t="str">
        <f t="shared" si="76"/>
        <v>10.1126--science.1195701.pdf</v>
      </c>
      <c r="Q1246" s="52" t="str">
        <f t="array" ref="Q1246"> if(iserror(MATCH(V1246, 'File Links'!C:C, 0)), "N/A", HYPERLINK(INDEX('File Links'!B:B, MATCH(P1246, 'File Links'!C:C, 0))))</f>
        <v>https://drive.google.com/file/d/19X5spXSqhBiEOOUR62_YtANpegjkcJ1f/view?usp=drivesdk</v>
      </c>
      <c r="R1246" s="159" t="s">
        <v>6944</v>
      </c>
      <c r="S1246" s="159" t="s">
        <v>6945</v>
      </c>
      <c r="T1246" s="1389" t="s">
        <v>7019</v>
      </c>
      <c r="U1246" s="156">
        <v>14.0</v>
      </c>
      <c r="V1246" s="198" t="str">
        <f t="shared" si="77"/>
        <v>10.1038--s41562-018-0399-z.pdf</v>
      </c>
      <c r="W1246" s="159" t="s">
        <v>209</v>
      </c>
      <c r="X1246" s="54" t="str">
        <f t="array" ref="X1246"> if(iserror(MATCH(V1246, 'File Links'!C:C, 0)), "N/A", HYPERLINK(INDEX('File Links'!B:B, MATCH(V1246, 'File Links'!C:C, 0))))</f>
        <v>https://drive.google.com/file/d/1XgVMa01TtKbRfWaCjSCwCg4zPwJV_vw6/view?usp=drivesdk</v>
      </c>
      <c r="Y1246" s="68"/>
      <c r="Z1246" s="159" t="s">
        <v>226</v>
      </c>
      <c r="AA1246" s="68"/>
      <c r="AB1246" s="159" t="s">
        <v>6948</v>
      </c>
      <c r="AC1246" s="159" t="s">
        <v>7020</v>
      </c>
      <c r="AD1246" s="159" t="s">
        <v>7021</v>
      </c>
      <c r="AE1246" s="159" t="s">
        <v>7022</v>
      </c>
      <c r="AF1246" s="156">
        <v>32.0</v>
      </c>
      <c r="AG1246" s="159" t="s">
        <v>7023</v>
      </c>
      <c r="AH1246" s="159" t="s">
        <v>134</v>
      </c>
      <c r="AI1246" s="159" t="s">
        <v>7022</v>
      </c>
      <c r="AJ1246" s="156">
        <v>0.05</v>
      </c>
      <c r="AK1246" s="159" t="s">
        <v>135</v>
      </c>
      <c r="AL1246" s="159" t="s">
        <v>186</v>
      </c>
      <c r="AM1246" s="68" t="s">
        <v>137</v>
      </c>
      <c r="AN1246" s="159" t="s">
        <v>138</v>
      </c>
      <c r="AO1246" s="156">
        <v>89.0</v>
      </c>
      <c r="AP1246" s="336">
        <v>0.355</v>
      </c>
      <c r="AQ1246" s="159" t="s">
        <v>215</v>
      </c>
      <c r="AR1246" s="159" t="s">
        <v>6970</v>
      </c>
      <c r="AS1246" s="156">
        <v>0.001</v>
      </c>
      <c r="AT1246" s="159" t="s">
        <v>135</v>
      </c>
      <c r="AU1246" s="1115" t="s">
        <v>136</v>
      </c>
      <c r="AV1246" s="68" t="s">
        <v>137</v>
      </c>
      <c r="AW1246" s="435" t="s">
        <v>7024</v>
      </c>
      <c r="AX1246" s="1300" t="s">
        <v>143</v>
      </c>
      <c r="AY1246" s="61" t="str">
        <f>IFERROR(__xludf.DUMMYFUNCTION("vlookup(BB1246,importrange(""https://docs.google.com/spreadsheets/d/1d2vevQ_7D_v35q4wCQ4RpQ_IPoTwEMB9Yp6ymwlPqew/edit?gid=984458430#gid=984458430"", ""'replication success'!A:K""), 11, FAlSE)"),"#N/A")</f>
        <v>#N/A</v>
      </c>
      <c r="AZ1246" s="61" t="str">
        <f>IFERROR(__xludf.DUMMYFUNCTION("vlookup(BB1246,importrange(""https://docs.google.com/spreadsheets/d/1d2vevQ_7D_v35q4wCQ4RpQ_IPoTwEMB9Yp6ymwlPqew/edit?gid=984458430#gid=984458430"", ""'replication success'!A:M""), 12, FAlSE)"),"#N/A")</f>
        <v>#N/A</v>
      </c>
      <c r="BA1246" s="61" t="str">
        <f>IFERROR(__xludf.DUMMYFUNCTION("vlookup(BB1246,importrange(""https://docs.google.com/spreadsheets/d/1d2vevQ_7D_v35q4wCQ4RpQ_IPoTwEMB9Yp6ymwlPqew/edit?gid=984458430#gid=984458430"", ""'replication success'!A:M""), 13, FAlSE)"),"#N/A")</f>
        <v>#N/A</v>
      </c>
      <c r="BB1246" s="61" t="str">
        <f>IFERROR(__xludf.DUMMYFUNCTION("REGEXREPLACE(G1246, ""_[a-z]{1,2}$"", """")"),"Camereretal2018_14_1")</f>
        <v>Camereretal2018_14_1</v>
      </c>
      <c r="BC1246" s="68"/>
      <c r="BD1246" s="68" t="s">
        <v>5074</v>
      </c>
    </row>
    <row r="1247">
      <c r="A1247" s="44">
        <v>1247.0</v>
      </c>
      <c r="B1247" s="68" t="s">
        <v>114</v>
      </c>
      <c r="C1247" s="62" t="s">
        <v>115</v>
      </c>
      <c r="D1247" s="62" t="s">
        <v>1234</v>
      </c>
      <c r="F1247" s="154" t="s">
        <v>7013</v>
      </c>
      <c r="G1247" s="68" t="s">
        <v>7014</v>
      </c>
      <c r="H1247" s="159" t="s">
        <v>6955</v>
      </c>
      <c r="I1247" s="152">
        <v>45663.0</v>
      </c>
      <c r="J1247" s="152">
        <v>45692.0</v>
      </c>
      <c r="K1247" s="68"/>
      <c r="L1247" s="68"/>
      <c r="M1247" s="154" t="s">
        <v>7017</v>
      </c>
      <c r="N1247" s="154" t="s">
        <v>7018</v>
      </c>
      <c r="O1247" s="156">
        <v>1.0</v>
      </c>
      <c r="P1247" s="159" t="str">
        <f t="shared" si="76"/>
        <v>10.1126--science.1195701.pdf</v>
      </c>
      <c r="Q1247" s="52" t="str">
        <f t="array" ref="Q1247"> if(iserror(MATCH(V1247, 'File Links'!C:C, 0)), "N/A", HYPERLINK(INDEX('File Links'!B:B, MATCH(P1247, 'File Links'!C:C, 0))))</f>
        <v>https://drive.google.com/file/d/19X5spXSqhBiEOOUR62_YtANpegjkcJ1f/view?usp=drivesdk</v>
      </c>
      <c r="R1247" s="159" t="s">
        <v>6944</v>
      </c>
      <c r="S1247" s="159" t="s">
        <v>6945</v>
      </c>
      <c r="T1247" s="68"/>
      <c r="U1247" s="156">
        <v>1.0</v>
      </c>
      <c r="V1247" s="198" t="str">
        <f t="shared" si="77"/>
        <v>10.1038--s41562-018-0399-z.pdf</v>
      </c>
      <c r="W1247" s="68"/>
      <c r="X1247" s="54" t="str">
        <f t="array" ref="X1247"> if(iserror(MATCH(V1247, 'File Links'!C:C, 0)), "N/A", HYPERLINK(INDEX('File Links'!B:B, MATCH(V1247, 'File Links'!C:C, 0))))</f>
        <v>https://drive.google.com/file/d/1XgVMa01TtKbRfWaCjSCwCg4zPwJV_vw6/view?usp=drivesdk</v>
      </c>
      <c r="Y1247" s="68"/>
      <c r="Z1247" s="1060" t="s">
        <v>1809</v>
      </c>
      <c r="AA1247" s="68"/>
      <c r="AB1247" s="68"/>
      <c r="AC1247" s="68"/>
      <c r="AD1247" s="1388" t="s">
        <v>7025</v>
      </c>
      <c r="AE1247" s="156">
        <v>1531.0</v>
      </c>
      <c r="AF1247" s="156">
        <v>32.0</v>
      </c>
      <c r="AG1247" s="1059">
        <v>0.453</v>
      </c>
      <c r="AH1247" s="1060" t="s">
        <v>215</v>
      </c>
      <c r="AI1247" s="68"/>
      <c r="AJ1247" s="1059">
        <v>0.0092</v>
      </c>
      <c r="AK1247" s="159" t="s">
        <v>172</v>
      </c>
      <c r="AL1247" s="68"/>
      <c r="AM1247" s="68" t="s">
        <v>137</v>
      </c>
      <c r="AN1247" s="68"/>
      <c r="AO1247" s="156">
        <v>89.0</v>
      </c>
      <c r="AP1247" s="1387">
        <v>0.750614756155934</v>
      </c>
      <c r="AQ1247" s="1060" t="s">
        <v>173</v>
      </c>
      <c r="AR1247" s="1060" t="s">
        <v>7026</v>
      </c>
      <c r="AS1247" s="1059">
        <v>6.0E-4</v>
      </c>
      <c r="AT1247" s="159" t="s">
        <v>172</v>
      </c>
      <c r="AU1247" s="159" t="s">
        <v>136</v>
      </c>
      <c r="AV1247" s="68" t="s">
        <v>137</v>
      </c>
      <c r="AW1247" s="1390" t="s">
        <v>7019</v>
      </c>
      <c r="AX1247" s="68" t="s">
        <v>143</v>
      </c>
      <c r="AY1247" s="61" t="str">
        <f>IFERROR(__xludf.DUMMYFUNCTION("vlookup(BB1247,importrange(""https://docs.google.com/spreadsheets/d/1d2vevQ_7D_v35q4wCQ4RpQ_IPoTwEMB9Yp6ymwlPqew/edit?gid=984458430#gid=984458430"", ""'replication success'!A:K""), 11, FAlSE)"),"#N/A")</f>
        <v>#N/A</v>
      </c>
      <c r="AZ1247" s="61" t="str">
        <f>IFERROR(__xludf.DUMMYFUNCTION("vlookup(BB1247,importrange(""https://docs.google.com/spreadsheets/d/1d2vevQ_7D_v35q4wCQ4RpQ_IPoTwEMB9Yp6ymwlPqew/edit?gid=984458430#gid=984458430"", ""'replication success'!A:M""), 12, FAlSE)"),"#N/A")</f>
        <v>#N/A</v>
      </c>
      <c r="BA1247" s="61" t="str">
        <f>IFERROR(__xludf.DUMMYFUNCTION("vlookup(BB1247,importrange(""https://docs.google.com/spreadsheets/d/1d2vevQ_7D_v35q4wCQ4RpQ_IPoTwEMB9Yp6ymwlPqew/edit?gid=984458430#gid=984458430"", ""'replication success'!A:M""), 13, FAlSE)"),"#N/A")</f>
        <v>#N/A</v>
      </c>
      <c r="BB1247" s="61" t="str">
        <f>IFERROR(__xludf.DUMMYFUNCTION("REGEXREPLACE(G1247, ""_[a-z]{1,2}$"", """")"),"Camereretal2018_14_1")</f>
        <v>Camereretal2018_14_1</v>
      </c>
      <c r="BC1247" s="68"/>
      <c r="BD1247" s="68" t="s">
        <v>5074</v>
      </c>
    </row>
    <row r="1248">
      <c r="A1248" s="44">
        <v>1248.0</v>
      </c>
      <c r="B1248" s="129" t="s">
        <v>152</v>
      </c>
      <c r="C1248" s="62" t="s">
        <v>115</v>
      </c>
      <c r="D1248" s="62" t="s">
        <v>232</v>
      </c>
      <c r="F1248" s="154" t="s">
        <v>7027</v>
      </c>
      <c r="G1248" s="68" t="s">
        <v>7028</v>
      </c>
      <c r="H1248" s="159" t="s">
        <v>6940</v>
      </c>
      <c r="I1248" s="152">
        <v>45682.0</v>
      </c>
      <c r="J1248" s="152">
        <v>45692.0</v>
      </c>
      <c r="K1248" s="481" t="s">
        <v>7029</v>
      </c>
      <c r="L1248" s="159" t="s">
        <v>7030</v>
      </c>
      <c r="M1248" s="159" t="s">
        <v>7031</v>
      </c>
      <c r="N1248" s="159" t="s">
        <v>7032</v>
      </c>
      <c r="O1248" s="156">
        <v>1.0</v>
      </c>
      <c r="P1248" s="159" t="str">
        <f t="shared" si="76"/>
        <v>10.1038--nature15392.pdf</v>
      </c>
      <c r="Q1248" s="52" t="str">
        <f t="array" ref="Q1248"> if(iserror(MATCH(V1248, 'File Links'!C:C, 0)), "N/A", HYPERLINK(INDEX('File Links'!B:B, MATCH(P1248, 'File Links'!C:C, 0))))</f>
        <v>https://drive.google.com/file/d/1yPKBulDUT2sA_EL4XHrVvgND1nEVQNHI/view?usp=drivesdk</v>
      </c>
      <c r="R1248" s="159" t="s">
        <v>6944</v>
      </c>
      <c r="S1248" s="159" t="s">
        <v>6945</v>
      </c>
      <c r="T1248" s="1389" t="s">
        <v>7033</v>
      </c>
      <c r="U1248" s="156">
        <v>15.0</v>
      </c>
      <c r="V1248" s="198" t="str">
        <f t="shared" si="77"/>
        <v>10.1038--s41562-018-0399-z.pdf</v>
      </c>
      <c r="W1248" s="159" t="s">
        <v>209</v>
      </c>
      <c r="X1248" s="54" t="str">
        <f t="array" ref="X1248"> if(iserror(MATCH(V1248, 'File Links'!C:C, 0)), "N/A", HYPERLINK(INDEX('File Links'!B:B, MATCH(V1248, 'File Links'!C:C, 0))))</f>
        <v>https://drive.google.com/file/d/1XgVMa01TtKbRfWaCjSCwCg4zPwJV_vw6/view?usp=drivesdk</v>
      </c>
      <c r="Y1248" s="68"/>
      <c r="Z1248" s="159" t="s">
        <v>226</v>
      </c>
      <c r="AA1248" s="374" t="s">
        <v>138</v>
      </c>
      <c r="AB1248" s="151" t="s">
        <v>7034</v>
      </c>
      <c r="AC1248" s="159" t="s">
        <v>7035</v>
      </c>
      <c r="AD1248" s="159" t="s">
        <v>7036</v>
      </c>
      <c r="AE1248" s="159" t="s">
        <v>875</v>
      </c>
      <c r="AF1248" s="156">
        <v>200.0</v>
      </c>
      <c r="AG1248" s="156">
        <v>0.104</v>
      </c>
      <c r="AH1248" s="194" t="s">
        <v>360</v>
      </c>
      <c r="AI1248" s="159" t="s">
        <v>7037</v>
      </c>
      <c r="AJ1248" s="156">
        <v>0.004</v>
      </c>
      <c r="AK1248" s="159" t="s">
        <v>172</v>
      </c>
      <c r="AL1248" s="159" t="s">
        <v>186</v>
      </c>
      <c r="AM1248" s="68" t="s">
        <v>141</v>
      </c>
      <c r="AN1248" s="159" t="s">
        <v>138</v>
      </c>
      <c r="AO1248" s="156">
        <v>480.0</v>
      </c>
      <c r="AP1248" s="336">
        <v>0.116</v>
      </c>
      <c r="AQ1248" s="159" t="s">
        <v>215</v>
      </c>
      <c r="AR1248" s="159" t="s">
        <v>6970</v>
      </c>
      <c r="AS1248" s="156">
        <v>0.011</v>
      </c>
      <c r="AT1248" s="159" t="s">
        <v>172</v>
      </c>
      <c r="AU1248" s="1115" t="s">
        <v>136</v>
      </c>
      <c r="AV1248" s="68" t="s">
        <v>141</v>
      </c>
      <c r="AW1248" s="435" t="s">
        <v>7038</v>
      </c>
      <c r="AX1248" s="1300" t="s">
        <v>143</v>
      </c>
      <c r="AY1248" s="61" t="str">
        <f>IFERROR(__xludf.DUMMYFUNCTION("vlookup(BB1248,importrange(""https://docs.google.com/spreadsheets/d/1d2vevQ_7D_v35q4wCQ4RpQ_IPoTwEMB9Yp6ymwlPqew/edit?gid=984458430#gid=984458430"", ""'replication success'!A:K""), 11, FAlSE)"),"successful")</f>
        <v>successful</v>
      </c>
      <c r="AZ1248" s="91" t="str">
        <f>IFERROR(__xludf.DUMMYFUNCTION("vlookup(BB1248,importrange(""https://docs.google.com/spreadsheets/d/1d2vevQ_7D_v35q4wCQ4RpQ_IPoTwEMB9Yp6ymwlPqew/edit?gid=984458430#gid=984458430"",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48" s="61" t="str">
        <f>IFERROR(__xludf.DUMMYFUNCTION("vlookup(BB1248,importrange(""https://docs.google.com/spreadsheets/d/1d2vevQ_7D_v35q4wCQ4RpQ_IPoTwEMB9Yp6ymwlPqew/edit?gid=984458430#gid=984458430"", ""'replication success'!A:M""), 13, FAlSE)"),"Table 3 in Supplementary Materials, pg. 53")</f>
        <v>Table 3 in Supplementary Materials, pg. 53</v>
      </c>
      <c r="BB1248" s="61" t="str">
        <f>IFERROR(__xludf.DUMMYFUNCTION("REGEXREPLACE(G1248, ""_[a-z]{1,2}$"", """")"),"Camereretal2018_15_1")</f>
        <v>Camereretal2018_15_1</v>
      </c>
      <c r="BC1248" s="68"/>
      <c r="BD1248" s="129" t="s">
        <v>6985</v>
      </c>
    </row>
    <row r="1249">
      <c r="A1249" s="44">
        <v>1249.0</v>
      </c>
      <c r="B1249" s="68" t="s">
        <v>114</v>
      </c>
      <c r="C1249" s="62" t="s">
        <v>115</v>
      </c>
      <c r="D1249" s="62" t="s">
        <v>1234</v>
      </c>
      <c r="F1249" s="154" t="s">
        <v>7027</v>
      </c>
      <c r="G1249" s="68" t="s">
        <v>7028</v>
      </c>
      <c r="H1249" s="159" t="s">
        <v>6955</v>
      </c>
      <c r="I1249" s="152">
        <v>45663.0</v>
      </c>
      <c r="J1249" s="152">
        <v>45692.0</v>
      </c>
      <c r="K1249" s="68"/>
      <c r="L1249" s="68"/>
      <c r="M1249" s="154" t="s">
        <v>7031</v>
      </c>
      <c r="N1249" s="154" t="s">
        <v>7032</v>
      </c>
      <c r="O1249" s="156">
        <v>1.0</v>
      </c>
      <c r="P1249" s="159" t="str">
        <f t="shared" si="76"/>
        <v>10.1038--nature15392.pdf</v>
      </c>
      <c r="Q1249" s="52" t="str">
        <f t="array" ref="Q1249"> if(iserror(MATCH(V1249, 'File Links'!C:C, 0)), "N/A", HYPERLINK(INDEX('File Links'!B:B, MATCH(P1249, 'File Links'!C:C, 0))))</f>
        <v>https://drive.google.com/file/d/1yPKBulDUT2sA_EL4XHrVvgND1nEVQNHI/view?usp=drivesdk</v>
      </c>
      <c r="R1249" s="159" t="s">
        <v>6944</v>
      </c>
      <c r="S1249" s="159" t="s">
        <v>6945</v>
      </c>
      <c r="T1249" s="68"/>
      <c r="U1249" s="156">
        <v>1.0</v>
      </c>
      <c r="V1249" s="198" t="str">
        <f t="shared" si="77"/>
        <v>10.1038--s41562-018-0399-z.pdf</v>
      </c>
      <c r="W1249" s="68"/>
      <c r="X1249" s="54" t="str">
        <f t="array" ref="X1249"> if(iserror(MATCH(V1249, 'File Links'!C:C, 0)), "N/A", HYPERLINK(INDEX('File Links'!B:B, MATCH(V1249, 'File Links'!C:C, 0))))</f>
        <v>https://drive.google.com/file/d/1XgVMa01TtKbRfWaCjSCwCg4zPwJV_vw6/view?usp=drivesdk</v>
      </c>
      <c r="Y1249" s="68"/>
      <c r="Z1249" s="1060" t="s">
        <v>1809</v>
      </c>
      <c r="AA1249" s="68"/>
      <c r="AB1249" s="68"/>
      <c r="AC1249" s="68"/>
      <c r="AD1249" s="159" t="s">
        <v>7039</v>
      </c>
      <c r="AE1249" s="156">
        <v>2.0</v>
      </c>
      <c r="AF1249" s="156">
        <v>200.0</v>
      </c>
      <c r="AG1249" s="1386">
        <v>0.201</v>
      </c>
      <c r="AH1249" s="1060" t="s">
        <v>215</v>
      </c>
      <c r="AI1249" s="68"/>
      <c r="AJ1249" s="156">
        <v>0.0044</v>
      </c>
      <c r="AK1249" s="159" t="s">
        <v>172</v>
      </c>
      <c r="AL1249" s="159" t="s">
        <v>186</v>
      </c>
      <c r="AM1249" s="68" t="s">
        <v>141</v>
      </c>
      <c r="AN1249" s="68"/>
      <c r="AO1249" s="156">
        <v>480.0</v>
      </c>
      <c r="AP1249" s="156">
        <v>0.1160417</v>
      </c>
      <c r="AQ1249" s="159" t="s">
        <v>215</v>
      </c>
      <c r="AR1249" s="1060" t="s">
        <v>7040</v>
      </c>
      <c r="AS1249" s="156">
        <v>0.0109</v>
      </c>
      <c r="AT1249" s="159" t="s">
        <v>172</v>
      </c>
      <c r="AU1249" s="159" t="s">
        <v>136</v>
      </c>
      <c r="AV1249" s="68" t="s">
        <v>141</v>
      </c>
      <c r="AW1249" s="1390" t="s">
        <v>7033</v>
      </c>
      <c r="AX1249" s="68" t="s">
        <v>143</v>
      </c>
      <c r="AY1249" s="61" t="str">
        <f>IFERROR(__xludf.DUMMYFUNCTION("vlookup(BB1249,importrange(""https://docs.google.com/spreadsheets/d/1d2vevQ_7D_v35q4wCQ4RpQ_IPoTwEMB9Yp6ymwlPqew/edit?gid=984458430#gid=984458430"", ""'replication success'!A:K""), 11, FAlSE)"),"successful")</f>
        <v>successful</v>
      </c>
      <c r="AZ1249" s="91" t="str">
        <f>IFERROR(__xludf.DUMMYFUNCTION("vlookup(BB1249,importrange(""https://docs.google.com/spreadsheets/d/1d2vevQ_7D_v35q4wCQ4RpQ_IPoTwEMB9Yp6ymwlPqew/edit?gid=984458430#gid=984458430"",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49" s="61" t="str">
        <f>IFERROR(__xludf.DUMMYFUNCTION("vlookup(BB1249,importrange(""https://docs.google.com/spreadsheets/d/1d2vevQ_7D_v35q4wCQ4RpQ_IPoTwEMB9Yp6ymwlPqew/edit?gid=984458430#gid=984458430"", ""'replication success'!A:M""), 13, FAlSE)"),"Table 3 in Supplementary Materials, pg. 53")</f>
        <v>Table 3 in Supplementary Materials, pg. 53</v>
      </c>
      <c r="BB1249" s="61" t="str">
        <f>IFERROR(__xludf.DUMMYFUNCTION("REGEXREPLACE(G1249, ""_[a-z]{1,2}$"", """")"),"Camereretal2018_15_1")</f>
        <v>Camereretal2018_15_1</v>
      </c>
      <c r="BC1249" s="68"/>
      <c r="BD1249" s="68" t="s">
        <v>5074</v>
      </c>
    </row>
    <row r="1250">
      <c r="A1250" s="44">
        <v>1250.0</v>
      </c>
      <c r="B1250" s="129" t="s">
        <v>152</v>
      </c>
      <c r="C1250" s="62" t="s">
        <v>115</v>
      </c>
      <c r="D1250" s="62" t="s">
        <v>232</v>
      </c>
      <c r="F1250" s="154" t="s">
        <v>7041</v>
      </c>
      <c r="G1250" s="68" t="s">
        <v>7042</v>
      </c>
      <c r="H1250" s="159" t="s">
        <v>6940</v>
      </c>
      <c r="I1250" s="152">
        <v>45682.0</v>
      </c>
      <c r="J1250" s="152">
        <v>45692.0</v>
      </c>
      <c r="K1250" s="159" t="s">
        <v>7043</v>
      </c>
      <c r="L1250" s="159" t="s">
        <v>7044</v>
      </c>
      <c r="M1250" s="159" t="s">
        <v>7045</v>
      </c>
      <c r="N1250" s="159" t="s">
        <v>7046</v>
      </c>
      <c r="O1250" s="156">
        <v>1.0</v>
      </c>
      <c r="P1250" s="159" t="str">
        <f t="shared" si="76"/>
        <v>10.1126--science.1191465.pdf</v>
      </c>
      <c r="Q1250" s="52" t="str">
        <f t="array" ref="Q1250"> if(iserror(MATCH(V1250, 'File Links'!C:C, 0)), "N/A", HYPERLINK(INDEX('File Links'!B:B, MATCH(P1250, 'File Links'!C:C, 0))))</f>
        <v>https://drive.google.com/file/d/14xOP8LLETNXBDDadvwleV2pKnaxwaGBi/view?usp=drivesdk</v>
      </c>
      <c r="R1250" s="159" t="s">
        <v>6944</v>
      </c>
      <c r="S1250" s="159" t="s">
        <v>6945</v>
      </c>
      <c r="T1250" s="1389" t="s">
        <v>7047</v>
      </c>
      <c r="U1250" s="156">
        <v>16.0</v>
      </c>
      <c r="V1250" s="198" t="str">
        <f t="shared" si="77"/>
        <v>10.1038--s41562-018-0399-z.pdf</v>
      </c>
      <c r="W1250" s="159" t="s">
        <v>209</v>
      </c>
      <c r="X1250" s="54" t="str">
        <f t="array" ref="X1250"> if(iserror(MATCH(V1250, 'File Links'!C:C, 0)), "N/A", HYPERLINK(INDEX('File Links'!B:B, MATCH(V1250, 'File Links'!C:C, 0))))</f>
        <v>https://drive.google.com/file/d/1XgVMa01TtKbRfWaCjSCwCg4zPwJV_vw6/view?usp=drivesdk</v>
      </c>
      <c r="Y1250" s="68"/>
      <c r="Z1250" s="1115" t="s">
        <v>148</v>
      </c>
      <c r="AA1250" s="159" t="s">
        <v>7048</v>
      </c>
      <c r="AB1250" s="159" t="s">
        <v>6948</v>
      </c>
      <c r="AC1250" s="159" t="s">
        <v>7049</v>
      </c>
      <c r="AD1250" s="159" t="s">
        <v>7050</v>
      </c>
      <c r="AE1250" s="159" t="s">
        <v>7051</v>
      </c>
      <c r="AF1250" s="156">
        <v>36.0</v>
      </c>
      <c r="AG1250" s="1391" t="s">
        <v>7052</v>
      </c>
      <c r="AH1250" s="159" t="s">
        <v>134</v>
      </c>
      <c r="AI1250" s="159" t="s">
        <v>7053</v>
      </c>
      <c r="AJ1250" s="156">
        <v>0.02</v>
      </c>
      <c r="AK1250" s="159" t="s">
        <v>172</v>
      </c>
      <c r="AL1250" s="159" t="s">
        <v>136</v>
      </c>
      <c r="AM1250" s="68" t="s">
        <v>137</v>
      </c>
      <c r="AN1250" s="159" t="s">
        <v>138</v>
      </c>
      <c r="AO1250" s="156">
        <v>306.0</v>
      </c>
      <c r="AP1250" s="336">
        <v>0.15</v>
      </c>
      <c r="AQ1250" s="159" t="s">
        <v>215</v>
      </c>
      <c r="AR1250" s="159" t="s">
        <v>6953</v>
      </c>
      <c r="AS1250" s="156">
        <v>0.009</v>
      </c>
      <c r="AT1250" s="159" t="s">
        <v>172</v>
      </c>
      <c r="AU1250" s="1115" t="s">
        <v>136</v>
      </c>
      <c r="AV1250" s="68" t="s">
        <v>137</v>
      </c>
      <c r="AW1250" s="435" t="s">
        <v>7054</v>
      </c>
      <c r="AX1250" s="1300" t="s">
        <v>143</v>
      </c>
      <c r="AY1250" s="61" t="str">
        <f>IFERROR(__xludf.DUMMYFUNCTION("vlookup(BB1250,importrange(""https://docs.google.com/spreadsheets/d/1d2vevQ_7D_v35q4wCQ4RpQ_IPoTwEMB9Yp6ymwlPqew/edit?gid=984458430#gid=984458430"", ""'replication success'!A:K""), 11, FAlSE)"),"successful")</f>
        <v>successful</v>
      </c>
      <c r="AZ1250" s="61" t="str">
        <f>IFERROR(__xludf.DUMMYFUNCTION("vlookup(BB1250,importrange(""https://docs.google.com/spreadsheets/d/1d2vevQ_7D_v35q4wCQ4RpQ_IPoTwEMB9Yp6ymwlPqew/edit?gid=984458430#gid=984458430"",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0" s="61" t="str">
        <f>IFERROR(__xludf.DUMMYFUNCTION("vlookup(BB1250,importrange(""https://docs.google.com/spreadsheets/d/1d2vevQ_7D_v35q4wCQ4RpQ_IPoTwEMB9Yp6ymwlPqew/edit?gid=984458430#gid=984458430"", ""'replication success'!A:M""), 13, FAlSE)"),"Table 4 in Supplementary Materials, pg. 54")</f>
        <v>Table 4 in Supplementary Materials, pg. 54</v>
      </c>
      <c r="BB1250" s="61" t="str">
        <f>IFERROR(__xludf.DUMMYFUNCTION("REGEXREPLACE(G1250, ""_[a-z]{1,2}$"", """")"),"Camereretal2018_16_1")</f>
        <v>Camereretal2018_16_1</v>
      </c>
      <c r="BC1250" s="68"/>
      <c r="BD1250" s="68" t="s">
        <v>5074</v>
      </c>
    </row>
    <row r="1251">
      <c r="A1251" s="44">
        <v>1251.0</v>
      </c>
      <c r="B1251" s="68" t="s">
        <v>114</v>
      </c>
      <c r="C1251" s="62" t="s">
        <v>115</v>
      </c>
      <c r="D1251" s="62" t="s">
        <v>1234</v>
      </c>
      <c r="F1251" s="154" t="s">
        <v>7041</v>
      </c>
      <c r="G1251" s="68" t="s">
        <v>7042</v>
      </c>
      <c r="H1251" s="159" t="s">
        <v>6955</v>
      </c>
      <c r="I1251" s="152">
        <v>45663.0</v>
      </c>
      <c r="J1251" s="152">
        <v>45692.0</v>
      </c>
      <c r="K1251" s="68"/>
      <c r="L1251" s="68"/>
      <c r="M1251" s="154" t="s">
        <v>7045</v>
      </c>
      <c r="N1251" s="154" t="s">
        <v>7046</v>
      </c>
      <c r="O1251" s="156">
        <v>1.0</v>
      </c>
      <c r="P1251" s="159" t="str">
        <f t="shared" si="76"/>
        <v>10.1126--science.1191465.pdf</v>
      </c>
      <c r="Q1251" s="52" t="str">
        <f t="array" ref="Q1251"> if(iserror(MATCH(V1251, 'File Links'!C:C, 0)), "N/A", HYPERLINK(INDEX('File Links'!B:B, MATCH(P1251, 'File Links'!C:C, 0))))</f>
        <v>https://drive.google.com/file/d/14xOP8LLETNXBDDadvwleV2pKnaxwaGBi/view?usp=drivesdk</v>
      </c>
      <c r="R1251" s="159" t="s">
        <v>6944</v>
      </c>
      <c r="S1251" s="159" t="s">
        <v>6945</v>
      </c>
      <c r="T1251" s="68"/>
      <c r="U1251" s="156">
        <v>2.0</v>
      </c>
      <c r="V1251" s="198" t="str">
        <f t="shared" si="77"/>
        <v>10.1038--s41562-018-0399-z.pdf</v>
      </c>
      <c r="W1251" s="68"/>
      <c r="X1251" s="54" t="str">
        <f t="array" ref="X1251"> if(iserror(MATCH(V1251, 'File Links'!C:C, 0)), "N/A", HYPERLINK(INDEX('File Links'!B:B, MATCH(V1251, 'File Links'!C:C, 0))))</f>
        <v>https://drive.google.com/file/d/1XgVMa01TtKbRfWaCjSCwCg4zPwJV_vw6/view?usp=drivesdk</v>
      </c>
      <c r="Y1251" s="68"/>
      <c r="Z1251" s="159" t="s">
        <v>148</v>
      </c>
      <c r="AA1251" s="68"/>
      <c r="AB1251" s="68"/>
      <c r="AC1251" s="68"/>
      <c r="AD1251" s="1388" t="s">
        <v>7055</v>
      </c>
      <c r="AE1251" s="156">
        <v>335.0</v>
      </c>
      <c r="AF1251" s="156">
        <v>36.0</v>
      </c>
      <c r="AG1251" s="1059">
        <v>0.377</v>
      </c>
      <c r="AH1251" s="1060" t="s">
        <v>215</v>
      </c>
      <c r="AI1251" s="68"/>
      <c r="AJ1251" s="156">
        <v>0.02</v>
      </c>
      <c r="AK1251" s="159" t="s">
        <v>172</v>
      </c>
      <c r="AL1251" s="68"/>
      <c r="AM1251" s="68"/>
      <c r="AN1251" s="68"/>
      <c r="AO1251" s="156">
        <v>306.0</v>
      </c>
      <c r="AP1251" s="1059">
        <v>0.1192779</v>
      </c>
      <c r="AQ1251" s="68"/>
      <c r="AR1251" s="1060" t="s">
        <v>7056</v>
      </c>
      <c r="AS1251" s="156">
        <v>0.0087</v>
      </c>
      <c r="AT1251" s="159" t="s">
        <v>172</v>
      </c>
      <c r="AU1251" s="159" t="s">
        <v>136</v>
      </c>
      <c r="AV1251" s="68" t="s">
        <v>141</v>
      </c>
      <c r="AW1251" s="1390" t="s">
        <v>7047</v>
      </c>
      <c r="AX1251" s="68" t="s">
        <v>143</v>
      </c>
      <c r="AY1251" s="61" t="str">
        <f>IFERROR(__xludf.DUMMYFUNCTION("vlookup(BB1251,importrange(""https://docs.google.com/spreadsheets/d/1d2vevQ_7D_v35q4wCQ4RpQ_IPoTwEMB9Yp6ymwlPqew/edit?gid=984458430#gid=984458430"", ""'replication success'!A:K""), 11, FAlSE)"),"successful")</f>
        <v>successful</v>
      </c>
      <c r="AZ1251" s="61" t="str">
        <f>IFERROR(__xludf.DUMMYFUNCTION("vlookup(BB1251,importrange(""https://docs.google.com/spreadsheets/d/1d2vevQ_7D_v35q4wCQ4RpQ_IPoTwEMB9Yp6ymwlPqew/edit?gid=984458430#gid=984458430"",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1" s="61" t="str">
        <f>IFERROR(__xludf.DUMMYFUNCTION("vlookup(BB1251,importrange(""https://docs.google.com/spreadsheets/d/1d2vevQ_7D_v35q4wCQ4RpQ_IPoTwEMB9Yp6ymwlPqew/edit?gid=984458430#gid=984458430"", ""'replication success'!A:M""), 13, FAlSE)"),"Table 4 in Supplementary Materials, pg. 54")</f>
        <v>Table 4 in Supplementary Materials, pg. 54</v>
      </c>
      <c r="BB1251" s="61" t="str">
        <f>IFERROR(__xludf.DUMMYFUNCTION("REGEXREPLACE(G1251, ""_[a-z]{1,2}$"", """")"),"Camereretal2018_16_1")</f>
        <v>Camereretal2018_16_1</v>
      </c>
      <c r="BC1251" s="68"/>
      <c r="BD1251" s="68" t="s">
        <v>5074</v>
      </c>
    </row>
    <row r="1252">
      <c r="A1252" s="44">
        <v>1252.0</v>
      </c>
      <c r="B1252" s="129" t="s">
        <v>152</v>
      </c>
      <c r="C1252" s="62" t="s">
        <v>115</v>
      </c>
      <c r="D1252" s="62" t="s">
        <v>232</v>
      </c>
      <c r="F1252" s="154" t="s">
        <v>7057</v>
      </c>
      <c r="G1252" s="68" t="s">
        <v>7058</v>
      </c>
      <c r="H1252" s="159" t="s">
        <v>6940</v>
      </c>
      <c r="I1252" s="152">
        <v>45682.0</v>
      </c>
      <c r="J1252" s="152">
        <v>45692.0</v>
      </c>
      <c r="K1252" s="68"/>
      <c r="L1252" s="159" t="s">
        <v>7059</v>
      </c>
      <c r="M1252" s="159" t="s">
        <v>7060</v>
      </c>
      <c r="N1252" s="159" t="s">
        <v>7061</v>
      </c>
      <c r="O1252" s="156">
        <v>1.0</v>
      </c>
      <c r="P1252" s="159" t="str">
        <f t="shared" si="76"/>
        <v>10.1126--science.1199427.pdf</v>
      </c>
      <c r="Q1252" s="52" t="str">
        <f t="array" ref="Q1252"> if(iserror(MATCH(V1252, 'File Links'!C:C, 0)), "N/A", HYPERLINK(INDEX('File Links'!B:B, MATCH(P1252, 'File Links'!C:C, 0))))</f>
        <v>https://drive.google.com/file/d/1VlyFF2XH_n9dzHKe2EMaqBWsh-0cgYrJ/view?usp=drivesdk</v>
      </c>
      <c r="R1252" s="159" t="s">
        <v>6944</v>
      </c>
      <c r="S1252" s="159" t="s">
        <v>6945</v>
      </c>
      <c r="T1252" s="1389" t="s">
        <v>7062</v>
      </c>
      <c r="U1252" s="156">
        <v>17.0</v>
      </c>
      <c r="V1252" s="198" t="str">
        <f t="shared" si="77"/>
        <v>10.1038--s41562-018-0399-z.pdf</v>
      </c>
      <c r="W1252" s="159" t="s">
        <v>209</v>
      </c>
      <c r="X1252" s="54" t="str">
        <f t="array" ref="X1252"> if(iserror(MATCH(V1252, 'File Links'!C:C, 0)), "N/A", HYPERLINK(INDEX('File Links'!B:B, MATCH(V1252, 'File Links'!C:C, 0))))</f>
        <v>https://drive.google.com/file/d/1XgVMa01TtKbRfWaCjSCwCg4zPwJV_vw6/view?usp=drivesdk</v>
      </c>
      <c r="Y1252" s="68"/>
      <c r="Z1252" s="1115" t="s">
        <v>241</v>
      </c>
      <c r="AA1252" s="129" t="s">
        <v>138</v>
      </c>
      <c r="AB1252" s="159" t="s">
        <v>6948</v>
      </c>
      <c r="AC1252" s="159" t="s">
        <v>7063</v>
      </c>
      <c r="AD1252" s="159" t="s">
        <v>7064</v>
      </c>
      <c r="AE1252" s="159" t="s">
        <v>7065</v>
      </c>
      <c r="AF1252" s="156">
        <v>20.0</v>
      </c>
      <c r="AG1252" s="68" t="s">
        <v>7066</v>
      </c>
      <c r="AH1252" s="159" t="s">
        <v>134</v>
      </c>
      <c r="AI1252" s="159" t="s">
        <v>7067</v>
      </c>
      <c r="AJ1252" s="156">
        <v>0.01</v>
      </c>
      <c r="AK1252" s="159" t="s">
        <v>135</v>
      </c>
      <c r="AL1252" s="159" t="s">
        <v>218</v>
      </c>
      <c r="AM1252" s="68" t="s">
        <v>137</v>
      </c>
      <c r="AN1252" s="159" t="s">
        <v>138</v>
      </c>
      <c r="AO1252" s="156">
        <v>79.0</v>
      </c>
      <c r="AP1252" s="336">
        <v>-0.098</v>
      </c>
      <c r="AQ1252" s="159" t="s">
        <v>215</v>
      </c>
      <c r="AR1252" s="159" t="s">
        <v>6953</v>
      </c>
      <c r="AS1252" s="156">
        <v>0.394</v>
      </c>
      <c r="AT1252" s="159" t="s">
        <v>172</v>
      </c>
      <c r="AU1252" s="1115" t="s">
        <v>136</v>
      </c>
      <c r="AV1252" s="68" t="s">
        <v>137</v>
      </c>
      <c r="AW1252" s="435" t="s">
        <v>7068</v>
      </c>
      <c r="AX1252" s="1300" t="s">
        <v>143</v>
      </c>
      <c r="AY1252" s="61" t="str">
        <f>IFERROR(__xludf.DUMMYFUNCTION("vlookup(BB1252,importrange(""https://docs.google.com/spreadsheets/d/1d2vevQ_7D_v35q4wCQ4RpQ_IPoTwEMB9Yp6ymwlPqew/edit?gid=984458430#gid=984458430"", ""'replication success'!A:K""), 11, FAlSE)"),"failed")</f>
        <v>failed</v>
      </c>
      <c r="AZ1252" s="61" t="str">
        <f>IFERROR(__xludf.DUMMYFUNCTION("vlookup(BB1252,importrange(""https://docs.google.com/spreadsheets/d/1d2vevQ_7D_v35q4wCQ4RpQ_IPoTwEMB9Yp6ymwlPqew/edit?gid=984458430#gid=984458430"",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2" s="61" t="str">
        <f>IFERROR(__xludf.DUMMYFUNCTION("vlookup(BB1252,importrange(""https://docs.google.com/spreadsheets/d/1d2vevQ_7D_v35q4wCQ4RpQ_IPoTwEMB9Yp6ymwlPqew/edit?gid=984458430#gid=984458430"", ""'replication success'!A:M""), 13, FAlSE)"),"Table 4 in Supplementary Materials, pg. 54")</f>
        <v>Table 4 in Supplementary Materials, pg. 54</v>
      </c>
      <c r="BB1252" s="61" t="str">
        <f>IFERROR(__xludf.DUMMYFUNCTION("REGEXREPLACE(G1252, ""_[a-z]{1,2}$"", """")"),"Camereretal2018_17_1")</f>
        <v>Camereretal2018_17_1</v>
      </c>
      <c r="BC1252" s="68"/>
      <c r="BD1252" s="68" t="s">
        <v>5074</v>
      </c>
    </row>
    <row r="1253">
      <c r="A1253" s="44">
        <v>1253.0</v>
      </c>
      <c r="B1253" s="68" t="s">
        <v>114</v>
      </c>
      <c r="C1253" s="62" t="s">
        <v>115</v>
      </c>
      <c r="D1253" s="62" t="s">
        <v>1234</v>
      </c>
      <c r="F1253" s="154" t="s">
        <v>7057</v>
      </c>
      <c r="G1253" s="68" t="s">
        <v>7058</v>
      </c>
      <c r="H1253" s="159" t="s">
        <v>6955</v>
      </c>
      <c r="I1253" s="152">
        <v>45663.0</v>
      </c>
      <c r="J1253" s="152">
        <v>45692.0</v>
      </c>
      <c r="K1253" s="68"/>
      <c r="L1253" s="68"/>
      <c r="M1253" s="154" t="s">
        <v>7060</v>
      </c>
      <c r="N1253" s="154" t="s">
        <v>7061</v>
      </c>
      <c r="O1253" s="156">
        <v>1.0</v>
      </c>
      <c r="P1253" s="159" t="str">
        <f t="shared" si="76"/>
        <v>10.1126--science.1199427.pdf</v>
      </c>
      <c r="Q1253" s="52" t="str">
        <f t="array" ref="Q1253"> if(iserror(MATCH(V1253, 'File Links'!C:C, 0)), "N/A", HYPERLINK(INDEX('File Links'!B:B, MATCH(P1253, 'File Links'!C:C, 0))))</f>
        <v>https://drive.google.com/file/d/1VlyFF2XH_n9dzHKe2EMaqBWsh-0cgYrJ/view?usp=drivesdk</v>
      </c>
      <c r="R1253" s="159" t="s">
        <v>6944</v>
      </c>
      <c r="S1253" s="159" t="s">
        <v>6945</v>
      </c>
      <c r="T1253" s="68"/>
      <c r="U1253" s="156">
        <v>2.0</v>
      </c>
      <c r="V1253" s="198" t="str">
        <f t="shared" si="77"/>
        <v>10.1038--s41562-018-0399-z.pdf</v>
      </c>
      <c r="W1253" s="68"/>
      <c r="X1253" s="54" t="str">
        <f t="array" ref="X1253"> if(iserror(MATCH(V1253, 'File Links'!C:C, 0)), "N/A", HYPERLINK(INDEX('File Links'!B:B, MATCH(V1253, 'File Links'!C:C, 0))))</f>
        <v>https://drive.google.com/file/d/1XgVMa01TtKbRfWaCjSCwCg4zPwJV_vw6/view?usp=drivesdk</v>
      </c>
      <c r="Y1253" s="68"/>
      <c r="Z1253" s="159" t="s">
        <v>241</v>
      </c>
      <c r="AA1253" s="68"/>
      <c r="AB1253" s="68"/>
      <c r="AC1253" s="68"/>
      <c r="AD1253" s="154" t="s">
        <v>7069</v>
      </c>
      <c r="AE1253" s="156">
        <v>212.0</v>
      </c>
      <c r="AF1253" s="156">
        <v>20.0</v>
      </c>
      <c r="AG1253" s="1386">
        <v>0.793</v>
      </c>
      <c r="AH1253" s="1060" t="s">
        <v>215</v>
      </c>
      <c r="AI1253" s="68"/>
      <c r="AJ1253" s="162">
        <v>0.01</v>
      </c>
      <c r="AK1253" s="159" t="s">
        <v>135</v>
      </c>
      <c r="AL1253" s="159" t="s">
        <v>186</v>
      </c>
      <c r="AM1253" s="1392" t="s">
        <v>141</v>
      </c>
      <c r="AN1253" s="68"/>
      <c r="AO1253" s="156">
        <v>79.0</v>
      </c>
      <c r="AP1253" s="1059">
        <v>-0.06</v>
      </c>
      <c r="AQ1253" s="1060" t="s">
        <v>173</v>
      </c>
      <c r="AR1253" s="68"/>
      <c r="AS1253" s="156">
        <v>0.39</v>
      </c>
      <c r="AT1253" s="159" t="s">
        <v>172</v>
      </c>
      <c r="AU1253" s="159" t="s">
        <v>136</v>
      </c>
      <c r="AV1253" s="68" t="s">
        <v>141</v>
      </c>
      <c r="AW1253" s="1390" t="s">
        <v>7062</v>
      </c>
      <c r="AX1253" s="68" t="s">
        <v>143</v>
      </c>
      <c r="AY1253" s="61" t="str">
        <f>IFERROR(__xludf.DUMMYFUNCTION("vlookup(BB1253,importrange(""https://docs.google.com/spreadsheets/d/1d2vevQ_7D_v35q4wCQ4RpQ_IPoTwEMB9Yp6ymwlPqew/edit?gid=984458430#gid=984458430"", ""'replication success'!A:K""), 11, FAlSE)"),"failed")</f>
        <v>failed</v>
      </c>
      <c r="AZ1253" s="61" t="str">
        <f>IFERROR(__xludf.DUMMYFUNCTION("vlookup(BB1253,importrange(""https://docs.google.com/spreadsheets/d/1d2vevQ_7D_v35q4wCQ4RpQ_IPoTwEMB9Yp6ymwlPqew/edit?gid=984458430#gid=984458430"",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3" s="61" t="str">
        <f>IFERROR(__xludf.DUMMYFUNCTION("vlookup(BB1253,importrange(""https://docs.google.com/spreadsheets/d/1d2vevQ_7D_v35q4wCQ4RpQ_IPoTwEMB9Yp6ymwlPqew/edit?gid=984458430#gid=984458430"", ""'replication success'!A:M""), 13, FAlSE)"),"Table 4 in Supplementary Materials, pg. 54")</f>
        <v>Table 4 in Supplementary Materials, pg. 54</v>
      </c>
      <c r="BB1253" s="61" t="str">
        <f>IFERROR(__xludf.DUMMYFUNCTION("REGEXREPLACE(G1253, ""_[a-z]{1,2}$"", """")"),"Camereretal2018_17_1")</f>
        <v>Camereretal2018_17_1</v>
      </c>
      <c r="BC1253" s="68"/>
      <c r="BD1253" s="68" t="s">
        <v>5074</v>
      </c>
    </row>
    <row r="1254">
      <c r="A1254" s="44">
        <v>1254.0</v>
      </c>
      <c r="B1254" s="129" t="s">
        <v>152</v>
      </c>
      <c r="C1254" s="62" t="s">
        <v>115</v>
      </c>
      <c r="D1254" s="62" t="s">
        <v>232</v>
      </c>
      <c r="F1254" s="154" t="s">
        <v>7070</v>
      </c>
      <c r="G1254" s="68" t="s">
        <v>7071</v>
      </c>
      <c r="H1254" s="159" t="s">
        <v>6940</v>
      </c>
      <c r="I1254" s="152">
        <v>45682.0</v>
      </c>
      <c r="J1254" s="152">
        <v>45692.0</v>
      </c>
      <c r="K1254" s="481" t="s">
        <v>7072</v>
      </c>
      <c r="L1254" s="151" t="s">
        <v>7073</v>
      </c>
      <c r="M1254" s="159" t="s">
        <v>7074</v>
      </c>
      <c r="N1254" s="159" t="s">
        <v>7075</v>
      </c>
      <c r="O1254" s="156">
        <v>8.0</v>
      </c>
      <c r="P1254" s="159" t="str">
        <f t="shared" si="76"/>
        <v>10.1038--nature11467.pdf</v>
      </c>
      <c r="Q1254" s="52" t="str">
        <f t="array" ref="Q1254"> if(iserror(MATCH(V1254, 'File Links'!C:C, 0)), "N/A", HYPERLINK(INDEX('File Links'!B:B, MATCH(P1254, 'File Links'!C:C, 0))))</f>
        <v>https://drive.google.com/file/d/1FElRRlWoVi2usxTFNme1Bwz9RgmJPLKp/view?usp=drivesdk</v>
      </c>
      <c r="R1254" s="159" t="s">
        <v>6944</v>
      </c>
      <c r="S1254" s="159" t="s">
        <v>6945</v>
      </c>
      <c r="T1254" s="1389" t="s">
        <v>7076</v>
      </c>
      <c r="U1254" s="156">
        <v>18.0</v>
      </c>
      <c r="V1254" s="198" t="str">
        <f t="shared" si="77"/>
        <v>10.1038--s41562-018-0399-z.pdf</v>
      </c>
      <c r="W1254" s="159" t="s">
        <v>209</v>
      </c>
      <c r="X1254" s="54" t="str">
        <f t="array" ref="X1254"> if(iserror(MATCH(V1254, 'File Links'!C:C, 0)), "N/A", HYPERLINK(INDEX('File Links'!B:B, MATCH(V1254, 'File Links'!C:C, 0))))</f>
        <v>https://drive.google.com/file/d/1XgVMa01TtKbRfWaCjSCwCg4zPwJV_vw6/view?usp=drivesdk</v>
      </c>
      <c r="Y1254" s="68"/>
      <c r="Z1254" s="1115" t="s">
        <v>210</v>
      </c>
      <c r="AA1254" s="129" t="s">
        <v>138</v>
      </c>
      <c r="AB1254" s="159" t="s">
        <v>6948</v>
      </c>
      <c r="AC1254" s="159" t="s">
        <v>7077</v>
      </c>
      <c r="AD1254" s="159" t="s">
        <v>7078</v>
      </c>
      <c r="AE1254" s="159" t="s">
        <v>752</v>
      </c>
      <c r="AF1254" s="156">
        <v>343.0</v>
      </c>
      <c r="AG1254" s="156">
        <v>10.95</v>
      </c>
      <c r="AH1254" s="194" t="s">
        <v>360</v>
      </c>
      <c r="AI1254" s="159" t="s">
        <v>7079</v>
      </c>
      <c r="AJ1254" s="156">
        <v>0.01</v>
      </c>
      <c r="AK1254" s="159" t="s">
        <v>135</v>
      </c>
      <c r="AL1254" s="159" t="s">
        <v>186</v>
      </c>
      <c r="AM1254" s="68" t="s">
        <v>137</v>
      </c>
      <c r="AN1254" s="159" t="s">
        <v>138</v>
      </c>
      <c r="AO1254" s="156">
        <v>2136.0</v>
      </c>
      <c r="AP1254" s="336">
        <v>0.026</v>
      </c>
      <c r="AQ1254" s="159" t="s">
        <v>215</v>
      </c>
      <c r="AR1254" s="159" t="s">
        <v>6953</v>
      </c>
      <c r="AS1254" s="156">
        <v>0.234</v>
      </c>
      <c r="AT1254" s="159" t="s">
        <v>172</v>
      </c>
      <c r="AU1254" s="1115" t="s">
        <v>136</v>
      </c>
      <c r="AV1254" s="68" t="s">
        <v>137</v>
      </c>
      <c r="AW1254" s="435" t="s">
        <v>7080</v>
      </c>
      <c r="AX1254" s="1300" t="s">
        <v>143</v>
      </c>
      <c r="AY1254" s="61" t="str">
        <f>IFERROR(__xludf.DUMMYFUNCTION("vlookup(BB1254,importrange(""https://docs.google.com/spreadsheets/d/1d2vevQ_7D_v35q4wCQ4RpQ_IPoTwEMB9Yp6ymwlPqew/edit?gid=984458430#gid=984458430"", ""'replication success'!A:K""), 11, FAlSE)"),"failed")</f>
        <v>failed</v>
      </c>
      <c r="AZ1254" s="61" t="str">
        <f>IFERROR(__xludf.DUMMYFUNCTION("vlookup(BB1254,importrange(""https://docs.google.com/spreadsheets/d/1d2vevQ_7D_v35q4wCQ4RpQ_IPoTwEMB9Yp6ymwlPqew/edit?gid=984458430#gid=984458430"",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4" s="61" t="str">
        <f>IFERROR(__xludf.DUMMYFUNCTION("vlookup(BB1254,importrange(""https://docs.google.com/spreadsheets/d/1d2vevQ_7D_v35q4wCQ4RpQ_IPoTwEMB9Yp6ymwlPqew/edit?gid=984458430#gid=984458430"", ""'replication success'!A:M""), 13, FAlSE)"),"Table 4 in Supplementary Materials, pg. 54")</f>
        <v>Table 4 in Supplementary Materials, pg. 54</v>
      </c>
      <c r="BB1254" s="61" t="str">
        <f>IFERROR(__xludf.DUMMYFUNCTION("REGEXREPLACE(G1254, ""_[a-z]{1,2}$"", """")"),"Camereretal2018_18_1")</f>
        <v>Camereretal2018_18_1</v>
      </c>
      <c r="BC1254" s="68"/>
      <c r="BD1254" s="129" t="s">
        <v>7081</v>
      </c>
    </row>
    <row r="1255">
      <c r="A1255" s="44">
        <v>1255.0</v>
      </c>
      <c r="B1255" s="68" t="s">
        <v>114</v>
      </c>
      <c r="C1255" s="62" t="s">
        <v>115</v>
      </c>
      <c r="D1255" s="62" t="s">
        <v>1234</v>
      </c>
      <c r="F1255" s="154" t="s">
        <v>7070</v>
      </c>
      <c r="G1255" s="68" t="s">
        <v>7071</v>
      </c>
      <c r="H1255" s="159" t="s">
        <v>6955</v>
      </c>
      <c r="I1255" s="152">
        <v>45663.0</v>
      </c>
      <c r="J1255" s="152">
        <v>45687.0</v>
      </c>
      <c r="K1255" s="68"/>
      <c r="L1255" s="68"/>
      <c r="M1255" s="154" t="s">
        <v>7074</v>
      </c>
      <c r="N1255" s="154" t="s">
        <v>7075</v>
      </c>
      <c r="O1255" s="156">
        <v>8.0</v>
      </c>
      <c r="P1255" s="159" t="str">
        <f t="shared" si="76"/>
        <v>10.1038--nature11467.pdf</v>
      </c>
      <c r="Q1255" s="52" t="str">
        <f t="array" ref="Q1255"> if(iserror(MATCH(V1255, 'File Links'!C:C, 0)), "N/A", HYPERLINK(INDEX('File Links'!B:B, MATCH(P1255, 'File Links'!C:C, 0))))</f>
        <v>https://drive.google.com/file/d/1FElRRlWoVi2usxTFNme1Bwz9RgmJPLKp/view?usp=drivesdk</v>
      </c>
      <c r="R1255" s="159" t="s">
        <v>6944</v>
      </c>
      <c r="S1255" s="159" t="s">
        <v>6945</v>
      </c>
      <c r="T1255" s="68"/>
      <c r="U1255" s="156">
        <v>2.0</v>
      </c>
      <c r="V1255" s="198" t="str">
        <f t="shared" si="77"/>
        <v>10.1038--s41562-018-0399-z.pdf</v>
      </c>
      <c r="W1255" s="68"/>
      <c r="X1255" s="54" t="str">
        <f t="array" ref="X1255"> if(iserror(MATCH(V1255, 'File Links'!C:C, 0)), "N/A", HYPERLINK(INDEX('File Links'!B:B, MATCH(V1255, 'File Links'!C:C, 0))))</f>
        <v>https://drive.google.com/file/d/1XgVMa01TtKbRfWaCjSCwCg4zPwJV_vw6/view?usp=drivesdk</v>
      </c>
      <c r="Y1255" s="68"/>
      <c r="Z1255" s="159" t="s">
        <v>210</v>
      </c>
      <c r="AA1255" s="68"/>
      <c r="AB1255" s="68"/>
      <c r="AC1255" s="68"/>
      <c r="AD1255" s="1393" t="s">
        <v>7082</v>
      </c>
      <c r="AE1255" s="156">
        <v>428.0</v>
      </c>
      <c r="AF1255" s="156">
        <v>343.0</v>
      </c>
      <c r="AG1255" s="1059">
        <v>0.141</v>
      </c>
      <c r="AH1255" s="1060" t="s">
        <v>215</v>
      </c>
      <c r="AI1255" s="68"/>
      <c r="AJ1255" s="156">
        <v>0.0089</v>
      </c>
      <c r="AK1255" s="159" t="s">
        <v>172</v>
      </c>
      <c r="AL1255" s="159" t="s">
        <v>186</v>
      </c>
      <c r="AM1255" s="68" t="s">
        <v>137</v>
      </c>
      <c r="AN1255" s="68"/>
      <c r="AO1255" s="156">
        <v>2136.0</v>
      </c>
      <c r="AP1255" s="1387">
        <v>0.04352736305001212</v>
      </c>
      <c r="AQ1255" s="1060" t="s">
        <v>173</v>
      </c>
      <c r="AR1255" s="1060" t="s">
        <v>7083</v>
      </c>
      <c r="AS1255" s="156">
        <v>0.2336</v>
      </c>
      <c r="AT1255" s="159" t="s">
        <v>172</v>
      </c>
      <c r="AU1255" s="159" t="s">
        <v>136</v>
      </c>
      <c r="AV1255" s="68" t="s">
        <v>137</v>
      </c>
      <c r="AW1255" s="1390" t="s">
        <v>7076</v>
      </c>
      <c r="AX1255" s="68" t="s">
        <v>143</v>
      </c>
      <c r="AY1255" s="61" t="str">
        <f>IFERROR(__xludf.DUMMYFUNCTION("vlookup(BB1255,importrange(""https://docs.google.com/spreadsheets/d/1d2vevQ_7D_v35q4wCQ4RpQ_IPoTwEMB9Yp6ymwlPqew/edit?gid=984458430#gid=984458430"", ""'replication success'!A:K""), 11, FAlSE)"),"failed")</f>
        <v>failed</v>
      </c>
      <c r="AZ1255" s="61" t="str">
        <f>IFERROR(__xludf.DUMMYFUNCTION("vlookup(BB1255,importrange(""https://docs.google.com/spreadsheets/d/1d2vevQ_7D_v35q4wCQ4RpQ_IPoTwEMB9Yp6ymwlPqew/edit?gid=984458430#gid=984458430"",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5" s="61" t="str">
        <f>IFERROR(__xludf.DUMMYFUNCTION("vlookup(BB1255,importrange(""https://docs.google.com/spreadsheets/d/1d2vevQ_7D_v35q4wCQ4RpQ_IPoTwEMB9Yp6ymwlPqew/edit?gid=984458430#gid=984458430"", ""'replication success'!A:M""), 13, FAlSE)"),"Table 4 in Supplementary Materials, pg. 54")</f>
        <v>Table 4 in Supplementary Materials, pg. 54</v>
      </c>
      <c r="BB1255" s="61" t="str">
        <f>IFERROR(__xludf.DUMMYFUNCTION("REGEXREPLACE(G1255, ""_[a-z]{1,2}$"", """")"),"Camereretal2018_18_1")</f>
        <v>Camereretal2018_18_1</v>
      </c>
      <c r="BC1255" s="68"/>
      <c r="BD1255" s="68" t="s">
        <v>5074</v>
      </c>
    </row>
    <row r="1256">
      <c r="A1256" s="44">
        <v>1256.0</v>
      </c>
      <c r="B1256" s="129" t="s">
        <v>152</v>
      </c>
      <c r="C1256" s="62" t="s">
        <v>115</v>
      </c>
      <c r="D1256" s="62" t="s">
        <v>232</v>
      </c>
      <c r="F1256" s="154" t="s">
        <v>7084</v>
      </c>
      <c r="G1256" s="68" t="s">
        <v>7085</v>
      </c>
      <c r="H1256" s="159" t="s">
        <v>6940</v>
      </c>
      <c r="I1256" s="152">
        <v>45687.0</v>
      </c>
      <c r="J1256" s="152">
        <v>45692.0</v>
      </c>
      <c r="K1256" s="159" t="s">
        <v>7086</v>
      </c>
      <c r="L1256" s="151" t="s">
        <v>7087</v>
      </c>
      <c r="M1256" s="159" t="s">
        <v>7088</v>
      </c>
      <c r="N1256" s="159" t="s">
        <v>7089</v>
      </c>
      <c r="O1256" s="156">
        <v>1.0</v>
      </c>
      <c r="P1256" s="159" t="str">
        <f t="shared" si="76"/>
        <v>10.1126--science.1222426.pdf</v>
      </c>
      <c r="Q1256" s="52" t="str">
        <f t="array" ref="Q1256"> if(iserror(MATCH(V1256, 'File Links'!C:C, 0)), "N/A", HYPERLINK(INDEX('File Links'!B:B, MATCH(P1256, 'File Links'!C:C, 0))))</f>
        <v>https://drive.google.com/file/d/1wNBIYZ5dm9n9bSFCAgoMnPNgBJBMSCyH/view?usp=drivesdk</v>
      </c>
      <c r="R1256" s="159" t="s">
        <v>6944</v>
      </c>
      <c r="S1256" s="159" t="s">
        <v>6945</v>
      </c>
      <c r="T1256" s="1389" t="s">
        <v>7090</v>
      </c>
      <c r="U1256" s="156">
        <v>19.0</v>
      </c>
      <c r="V1256" s="198" t="str">
        <f t="shared" si="77"/>
        <v>10.1038--s41562-018-0399-z.pdf</v>
      </c>
      <c r="W1256" s="159" t="s">
        <v>209</v>
      </c>
      <c r="X1256" s="54" t="str">
        <f t="array" ref="X1256"> if(iserror(MATCH(V1256, 'File Links'!C:C, 0)), "N/A", HYPERLINK(INDEX('File Links'!B:B, MATCH(V1256, 'File Links'!C:C, 0))))</f>
        <v>https://drive.google.com/file/d/1XgVMa01TtKbRfWaCjSCwCg4zPwJV_vw6/view?usp=drivesdk</v>
      </c>
      <c r="Y1256" s="68"/>
      <c r="Z1256" s="1115" t="s">
        <v>210</v>
      </c>
      <c r="AA1256" s="374" t="s">
        <v>138</v>
      </c>
      <c r="AB1256" s="159" t="s">
        <v>6948</v>
      </c>
      <c r="AC1256" s="159" t="s">
        <v>7091</v>
      </c>
      <c r="AD1256" s="159" t="s">
        <v>7092</v>
      </c>
      <c r="AE1256" s="159" t="s">
        <v>7093</v>
      </c>
      <c r="AF1256" s="156">
        <v>56.0</v>
      </c>
      <c r="AG1256" s="156">
        <v>0.07</v>
      </c>
      <c r="AH1256" s="159" t="s">
        <v>874</v>
      </c>
      <c r="AI1256" s="159" t="s">
        <v>7093</v>
      </c>
      <c r="AJ1256" s="156">
        <v>0.05</v>
      </c>
      <c r="AK1256" s="159" t="s">
        <v>135</v>
      </c>
      <c r="AL1256" s="151" t="s">
        <v>186</v>
      </c>
      <c r="AM1256" s="68" t="s">
        <v>137</v>
      </c>
      <c r="AN1256" s="159" t="s">
        <v>138</v>
      </c>
      <c r="AO1256" s="156">
        <v>619.0</v>
      </c>
      <c r="AP1256" s="336">
        <v>-0.015</v>
      </c>
      <c r="AQ1256" s="159" t="s">
        <v>215</v>
      </c>
      <c r="AR1256" s="159" t="s">
        <v>6953</v>
      </c>
      <c r="AS1256" s="156">
        <v>0.71</v>
      </c>
      <c r="AT1256" s="159" t="s">
        <v>172</v>
      </c>
      <c r="AU1256" s="1115" t="s">
        <v>136</v>
      </c>
      <c r="AV1256" s="68" t="s">
        <v>137</v>
      </c>
      <c r="AW1256" s="435" t="s">
        <v>7094</v>
      </c>
      <c r="AX1256" s="1300" t="s">
        <v>143</v>
      </c>
      <c r="AY1256" s="61" t="str">
        <f>IFERROR(__xludf.DUMMYFUNCTION("vlookup(BB1256,importrange(""https://docs.google.com/spreadsheets/d/1d2vevQ_7D_v35q4wCQ4RpQ_IPoTwEMB9Yp6ymwlPqew/edit?gid=984458430#gid=984458430"", ""'replication success'!A:K""), 11, FAlSE)"),"failed")</f>
        <v>failed</v>
      </c>
      <c r="AZ1256" s="61" t="str">
        <f>IFERROR(__xludf.DUMMYFUNCTION("vlookup(BB1256,importrange(""https://docs.google.com/spreadsheets/d/1d2vevQ_7D_v35q4wCQ4RpQ_IPoTwEMB9Yp6ymwlPqew/edit?gid=984458430#gid=984458430"",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6" s="61" t="str">
        <f>IFERROR(__xludf.DUMMYFUNCTION("vlookup(BB1256,importrange(""https://docs.google.com/spreadsheets/d/1d2vevQ_7D_v35q4wCQ4RpQ_IPoTwEMB9Yp6ymwlPqew/edit?gid=984458430#gid=984458430"", ""'replication success'!A:M""), 13, FAlSE)"),"Table 4 in Supplementary Materials, pg. 54")</f>
        <v>Table 4 in Supplementary Materials, pg. 54</v>
      </c>
      <c r="BB1256" s="61" t="str">
        <f>IFERROR(__xludf.DUMMYFUNCTION("REGEXREPLACE(G1256, ""_[a-z]{1,2}$"", """")"),"Camereretal2018_19_1")</f>
        <v>Camereretal2018_19_1</v>
      </c>
      <c r="BC1256" s="68"/>
      <c r="BD1256" s="129" t="s">
        <v>7081</v>
      </c>
    </row>
    <row r="1257">
      <c r="A1257" s="44">
        <v>1257.0</v>
      </c>
      <c r="B1257" s="68" t="s">
        <v>114</v>
      </c>
      <c r="C1257" s="62" t="s">
        <v>115</v>
      </c>
      <c r="D1257" s="62" t="s">
        <v>1234</v>
      </c>
      <c r="F1257" s="154" t="s">
        <v>7084</v>
      </c>
      <c r="G1257" s="68" t="s">
        <v>7085</v>
      </c>
      <c r="H1257" s="159" t="s">
        <v>6955</v>
      </c>
      <c r="I1257" s="152">
        <v>45663.0</v>
      </c>
      <c r="J1257" s="152">
        <v>45692.0</v>
      </c>
      <c r="K1257" s="68"/>
      <c r="L1257" s="68"/>
      <c r="M1257" s="154" t="s">
        <v>7088</v>
      </c>
      <c r="N1257" s="154" t="s">
        <v>7089</v>
      </c>
      <c r="O1257" s="156">
        <v>1.0</v>
      </c>
      <c r="P1257" s="159" t="str">
        <f t="shared" si="76"/>
        <v>10.1126--science.1222426.pdf</v>
      </c>
      <c r="Q1257" s="52" t="str">
        <f t="array" ref="Q1257"> if(iserror(MATCH(V1257, 'File Links'!C:C, 0)), "N/A", HYPERLINK(INDEX('File Links'!B:B, MATCH(P1257, 'File Links'!C:C, 0))))</f>
        <v>https://drive.google.com/file/d/1wNBIYZ5dm9n9bSFCAgoMnPNgBJBMSCyH/view?usp=drivesdk</v>
      </c>
      <c r="R1257" s="159" t="s">
        <v>6944</v>
      </c>
      <c r="S1257" s="159" t="s">
        <v>6945</v>
      </c>
      <c r="T1257" s="68"/>
      <c r="U1257" s="156">
        <v>2.0</v>
      </c>
      <c r="V1257" s="198" t="str">
        <f t="shared" si="77"/>
        <v>10.1038--s41562-018-0399-z.pdf</v>
      </c>
      <c r="W1257" s="68"/>
      <c r="X1257" s="54" t="str">
        <f t="array" ref="X1257"> if(iserror(MATCH(V1257, 'File Links'!C:C, 0)), "N/A", HYPERLINK(INDEX('File Links'!B:B, MATCH(V1257, 'File Links'!C:C, 0))))</f>
        <v>https://drive.google.com/file/d/1XgVMa01TtKbRfWaCjSCwCg4zPwJV_vw6/view?usp=drivesdk</v>
      </c>
      <c r="Y1257" s="68"/>
      <c r="Z1257" s="159" t="s">
        <v>1809</v>
      </c>
      <c r="AA1257" s="68"/>
      <c r="AB1257" s="68"/>
      <c r="AC1257" s="68"/>
      <c r="AD1257" s="1384" t="s">
        <v>7095</v>
      </c>
      <c r="AE1257" s="156">
        <v>683.0</v>
      </c>
      <c r="AF1257" s="156">
        <v>56.0</v>
      </c>
      <c r="AG1257" s="1386">
        <v>0.267</v>
      </c>
      <c r="AH1257" s="1060" t="s">
        <v>215</v>
      </c>
      <c r="AI1257" s="68"/>
      <c r="AJ1257" s="156">
        <v>0.046</v>
      </c>
      <c r="AK1257" s="159" t="s">
        <v>172</v>
      </c>
      <c r="AL1257" s="159" t="s">
        <v>186</v>
      </c>
      <c r="AM1257" s="68" t="s">
        <v>137</v>
      </c>
      <c r="AN1257" s="68"/>
      <c r="AO1257" s="156">
        <v>619.0</v>
      </c>
      <c r="AP1257" s="1387">
        <v>-0.029893513429658274</v>
      </c>
      <c r="AQ1257" s="1060" t="s">
        <v>173</v>
      </c>
      <c r="AR1257" s="1060" t="s">
        <v>7096</v>
      </c>
      <c r="AS1257" s="156">
        <v>0.7095</v>
      </c>
      <c r="AT1257" s="159" t="s">
        <v>172</v>
      </c>
      <c r="AU1257" s="159" t="s">
        <v>136</v>
      </c>
      <c r="AV1257" s="68" t="s">
        <v>137</v>
      </c>
      <c r="AW1257" s="1390" t="s">
        <v>7090</v>
      </c>
      <c r="AX1257" s="68" t="s">
        <v>143</v>
      </c>
      <c r="AY1257" s="61" t="str">
        <f>IFERROR(__xludf.DUMMYFUNCTION("vlookup(BB1257,importrange(""https://docs.google.com/spreadsheets/d/1d2vevQ_7D_v35q4wCQ4RpQ_IPoTwEMB9Yp6ymwlPqew/edit?gid=984458430#gid=984458430"", ""'replication success'!A:K""), 11, FAlSE)"),"failed")</f>
        <v>failed</v>
      </c>
      <c r="AZ1257" s="61" t="str">
        <f>IFERROR(__xludf.DUMMYFUNCTION("vlookup(BB1257,importrange(""https://docs.google.com/spreadsheets/d/1d2vevQ_7D_v35q4wCQ4RpQ_IPoTwEMB9Yp6ymwlPqew/edit?gid=984458430#gid=984458430"",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57" s="61" t="str">
        <f>IFERROR(__xludf.DUMMYFUNCTION("vlookup(BB1257,importrange(""https://docs.google.com/spreadsheets/d/1d2vevQ_7D_v35q4wCQ4RpQ_IPoTwEMB9Yp6ymwlPqew/edit?gid=984458430#gid=984458430"", ""'replication success'!A:M""), 13, FAlSE)"),"Table 4 in Supplementary Materials, pg. 54")</f>
        <v>Table 4 in Supplementary Materials, pg. 54</v>
      </c>
      <c r="BB1257" s="61" t="str">
        <f>IFERROR(__xludf.DUMMYFUNCTION("REGEXREPLACE(G1257, ""_[a-z]{1,2}$"", """")"),"Camereretal2018_19_1")</f>
        <v>Camereretal2018_19_1</v>
      </c>
      <c r="BC1257" s="68"/>
      <c r="BD1257" s="68" t="s">
        <v>5074</v>
      </c>
    </row>
    <row r="1258">
      <c r="A1258" s="44">
        <v>1258.0</v>
      </c>
      <c r="B1258" s="129" t="s">
        <v>590</v>
      </c>
      <c r="C1258" s="62" t="s">
        <v>115</v>
      </c>
      <c r="D1258" s="62" t="s">
        <v>232</v>
      </c>
      <c r="F1258" s="154" t="s">
        <v>7097</v>
      </c>
      <c r="G1258" s="68" t="s">
        <v>7098</v>
      </c>
      <c r="H1258" s="159" t="s">
        <v>6940</v>
      </c>
      <c r="I1258" s="152">
        <v>45687.0</v>
      </c>
      <c r="J1258" s="152">
        <v>45692.0</v>
      </c>
      <c r="K1258" s="159" t="s">
        <v>7099</v>
      </c>
      <c r="L1258" s="159" t="s">
        <v>7100</v>
      </c>
      <c r="M1258" s="159" t="s">
        <v>7101</v>
      </c>
      <c r="N1258" s="159" t="s">
        <v>7102</v>
      </c>
      <c r="O1258" s="156">
        <v>1.0</v>
      </c>
      <c r="P1258" s="159" t="str">
        <f t="shared" si="76"/>
        <v>10.1126--science.1224313.pdf</v>
      </c>
      <c r="Q1258" s="52" t="str">
        <f t="array" ref="Q1258"> if(iserror(MATCH(V1258, 'File Links'!C:C, 0)), "N/A", HYPERLINK(INDEX('File Links'!B:B, MATCH(P1258, 'File Links'!C:C, 0))))</f>
        <v>https://drive.google.com/file/d/19EgT43RHjwkUo0_VH9RxY_gZl2qByBLZ/view?usp=drivesdk</v>
      </c>
      <c r="R1258" s="159" t="s">
        <v>6944</v>
      </c>
      <c r="S1258" s="159" t="s">
        <v>6945</v>
      </c>
      <c r="T1258" s="1389" t="s">
        <v>7103</v>
      </c>
      <c r="U1258" s="156">
        <v>2.0</v>
      </c>
      <c r="V1258" s="198" t="str">
        <f t="shared" si="77"/>
        <v>10.1038--s41562-018-0399-z.pdf</v>
      </c>
      <c r="W1258" s="159" t="s">
        <v>209</v>
      </c>
      <c r="X1258" s="54" t="str">
        <f t="array" ref="X1258"> if(iserror(MATCH(V1258, 'File Links'!C:C, 0)), "N/A", HYPERLINK(INDEX('File Links'!B:B, MATCH(V1258, 'File Links'!C:C, 0))))</f>
        <v>https://drive.google.com/file/d/1XgVMa01TtKbRfWaCjSCwCg4zPwJV_vw6/view?usp=drivesdk</v>
      </c>
      <c r="Y1258" s="68"/>
      <c r="Z1258" s="159" t="s">
        <v>226</v>
      </c>
      <c r="AA1258" s="159" t="s">
        <v>7104</v>
      </c>
      <c r="AB1258" s="159" t="s">
        <v>6948</v>
      </c>
      <c r="AC1258" s="159" t="s">
        <v>7105</v>
      </c>
      <c r="AD1258" s="159" t="s">
        <v>7106</v>
      </c>
      <c r="AE1258" s="159" t="s">
        <v>7107</v>
      </c>
      <c r="AF1258" s="156">
        <v>15.0</v>
      </c>
      <c r="AG1258" s="68" t="s">
        <v>7108</v>
      </c>
      <c r="AH1258" s="159" t="s">
        <v>134</v>
      </c>
      <c r="AI1258" s="159" t="s">
        <v>7109</v>
      </c>
      <c r="AJ1258" s="156">
        <v>1.0E-4</v>
      </c>
      <c r="AK1258" s="159" t="s">
        <v>135</v>
      </c>
      <c r="AL1258" s="159" t="s">
        <v>136</v>
      </c>
      <c r="AM1258" s="68" t="s">
        <v>141</v>
      </c>
      <c r="AN1258" s="159" t="s">
        <v>138</v>
      </c>
      <c r="AO1258" s="156">
        <v>14.0</v>
      </c>
      <c r="AP1258" s="336">
        <v>0.829</v>
      </c>
      <c r="AQ1258" s="159" t="s">
        <v>215</v>
      </c>
      <c r="AR1258" s="159" t="s">
        <v>6970</v>
      </c>
      <c r="AS1258" s="156">
        <v>0.001</v>
      </c>
      <c r="AT1258" s="159" t="s">
        <v>135</v>
      </c>
      <c r="AU1258" s="159" t="s">
        <v>136</v>
      </c>
      <c r="AV1258" s="68" t="s">
        <v>141</v>
      </c>
      <c r="AW1258" s="435" t="s">
        <v>7110</v>
      </c>
      <c r="AX1258" s="1300" t="s">
        <v>143</v>
      </c>
      <c r="AY1258" s="61" t="str">
        <f>IFERROR(__xludf.DUMMYFUNCTION("vlookup(BB1258,importrange(""https://docs.google.com/spreadsheets/d/1d2vevQ_7D_v35q4wCQ4RpQ_IPoTwEMB9Yp6ymwlPqew/edit?gid=984458430#gid=984458430"", ""'replication success'!A:K""), 11, FAlSE)"),"#N/A")</f>
        <v>#N/A</v>
      </c>
      <c r="AZ1258" s="61" t="str">
        <f>IFERROR(__xludf.DUMMYFUNCTION("vlookup(BB1258,importrange(""https://docs.google.com/spreadsheets/d/1d2vevQ_7D_v35q4wCQ4RpQ_IPoTwEMB9Yp6ymwlPqew/edit?gid=984458430#gid=984458430"", ""'replication success'!A:M""), 12, FAlSE)"),"#N/A")</f>
        <v>#N/A</v>
      </c>
      <c r="BA1258" s="61" t="str">
        <f>IFERROR(__xludf.DUMMYFUNCTION("vlookup(BB1258,importrange(""https://docs.google.com/spreadsheets/d/1d2vevQ_7D_v35q4wCQ4RpQ_IPoTwEMB9Yp6ymwlPqew/edit?gid=984458430#gid=984458430"", ""'replication success'!A:M""), 13, FAlSE)"),"#N/A")</f>
        <v>#N/A</v>
      </c>
      <c r="BB1258" s="61" t="str">
        <f>IFERROR(__xludf.DUMMYFUNCTION("REGEXREPLACE(G1258, ""_[a-z]{1,2}$"", """")"),"Camereretal2018_2_1")</f>
        <v>Camereretal2018_2_1</v>
      </c>
      <c r="BC1258" s="68"/>
      <c r="BD1258" s="68" t="s">
        <v>5074</v>
      </c>
    </row>
    <row r="1259">
      <c r="A1259" s="44">
        <v>1259.0</v>
      </c>
      <c r="B1259" s="68" t="s">
        <v>114</v>
      </c>
      <c r="C1259" s="62" t="s">
        <v>115</v>
      </c>
      <c r="D1259" s="62" t="s">
        <v>1234</v>
      </c>
      <c r="F1259" s="154" t="s">
        <v>7097</v>
      </c>
      <c r="G1259" s="68" t="s">
        <v>7098</v>
      </c>
      <c r="H1259" s="159" t="s">
        <v>6955</v>
      </c>
      <c r="I1259" s="152">
        <v>45663.0</v>
      </c>
      <c r="J1259" s="152">
        <v>45692.0</v>
      </c>
      <c r="K1259" s="68"/>
      <c r="L1259" s="68"/>
      <c r="M1259" s="154" t="s">
        <v>7101</v>
      </c>
      <c r="N1259" s="154" t="s">
        <v>7102</v>
      </c>
      <c r="O1259" s="156">
        <v>1.0</v>
      </c>
      <c r="P1259" s="159" t="str">
        <f t="shared" si="76"/>
        <v>10.1126--science.1224313.pdf</v>
      </c>
      <c r="Q1259" s="52" t="str">
        <f t="array" ref="Q1259"> if(iserror(MATCH(V1259, 'File Links'!C:C, 0)), "N/A", HYPERLINK(INDEX('File Links'!B:B, MATCH(P1259, 'File Links'!C:C, 0))))</f>
        <v>https://drive.google.com/file/d/19EgT43RHjwkUo0_VH9RxY_gZl2qByBLZ/view?usp=drivesdk</v>
      </c>
      <c r="R1259" s="159" t="s">
        <v>6944</v>
      </c>
      <c r="S1259" s="159" t="s">
        <v>6945</v>
      </c>
      <c r="T1259" s="68"/>
      <c r="U1259" s="156">
        <v>1.0</v>
      </c>
      <c r="V1259" s="198" t="str">
        <f t="shared" si="77"/>
        <v>10.1038--s41562-018-0399-z.pdf</v>
      </c>
      <c r="W1259" s="68"/>
      <c r="X1259" s="54" t="str">
        <f t="array" ref="X1259"> if(iserror(MATCH(V1259, 'File Links'!C:C, 0)), "N/A", HYPERLINK(INDEX('File Links'!B:B, MATCH(V1259, 'File Links'!C:C, 0))))</f>
        <v>https://drive.google.com/file/d/1XgVMa01TtKbRfWaCjSCwCg4zPwJV_vw6/view?usp=drivesdk</v>
      </c>
      <c r="Y1259" s="68"/>
      <c r="Z1259" s="159" t="s">
        <v>226</v>
      </c>
      <c r="AA1259" s="68"/>
      <c r="AB1259" s="68"/>
      <c r="AC1259" s="68"/>
      <c r="AD1259" s="159" t="s">
        <v>7111</v>
      </c>
      <c r="AE1259" s="156">
        <v>1226.0</v>
      </c>
      <c r="AF1259" s="156">
        <v>15.0</v>
      </c>
      <c r="AG1259" s="1059">
        <v>0.961</v>
      </c>
      <c r="AH1259" s="1060" t="s">
        <v>215</v>
      </c>
      <c r="AI1259" s="68"/>
      <c r="AJ1259" s="156">
        <v>1.0E-4</v>
      </c>
      <c r="AK1259" s="159" t="s">
        <v>135</v>
      </c>
      <c r="AL1259" s="1060" t="s">
        <v>186</v>
      </c>
      <c r="AM1259" s="68" t="s">
        <v>141</v>
      </c>
      <c r="AN1259" s="68"/>
      <c r="AO1259" s="336">
        <v>14.0</v>
      </c>
      <c r="AP1259" s="542"/>
      <c r="AQ1259" s="542"/>
      <c r="AR1259" s="542"/>
      <c r="AS1259" s="162">
        <v>1.338E-4</v>
      </c>
      <c r="AT1259" s="159" t="s">
        <v>172</v>
      </c>
      <c r="AU1259" s="68"/>
      <c r="AV1259" s="68"/>
      <c r="AW1259" s="1385" t="s">
        <v>7103</v>
      </c>
      <c r="AX1259" s="68" t="s">
        <v>143</v>
      </c>
      <c r="AY1259" s="61" t="str">
        <f>IFERROR(__xludf.DUMMYFUNCTION("vlookup(BB1259,importrange(""https://docs.google.com/spreadsheets/d/1d2vevQ_7D_v35q4wCQ4RpQ_IPoTwEMB9Yp6ymwlPqew/edit?gid=984458430#gid=984458430"", ""'replication success'!A:K""), 11, FAlSE)"),"#N/A")</f>
        <v>#N/A</v>
      </c>
      <c r="AZ1259" s="61" t="str">
        <f>IFERROR(__xludf.DUMMYFUNCTION("vlookup(BB1259,importrange(""https://docs.google.com/spreadsheets/d/1d2vevQ_7D_v35q4wCQ4RpQ_IPoTwEMB9Yp6ymwlPqew/edit?gid=984458430#gid=984458430"", ""'replication success'!A:M""), 12, FAlSE)"),"#N/A")</f>
        <v>#N/A</v>
      </c>
      <c r="BA1259" s="61" t="str">
        <f>IFERROR(__xludf.DUMMYFUNCTION("vlookup(BB1259,importrange(""https://docs.google.com/spreadsheets/d/1d2vevQ_7D_v35q4wCQ4RpQ_IPoTwEMB9Yp6ymwlPqew/edit?gid=984458430#gid=984458430"", ""'replication success'!A:M""), 13, FAlSE)"),"#N/A")</f>
        <v>#N/A</v>
      </c>
      <c r="BB1259" s="61" t="str">
        <f>IFERROR(__xludf.DUMMYFUNCTION("REGEXREPLACE(G1259, ""_[a-z]{1,2}$"", """")"),"Camereretal2018_2_1")</f>
        <v>Camereretal2018_2_1</v>
      </c>
      <c r="BC1259" s="68"/>
      <c r="BD1259" s="68" t="s">
        <v>5074</v>
      </c>
    </row>
    <row r="1260">
      <c r="A1260" s="44">
        <v>1260.0</v>
      </c>
      <c r="B1260" s="129" t="s">
        <v>590</v>
      </c>
      <c r="C1260" s="62" t="s">
        <v>115</v>
      </c>
      <c r="D1260" s="62" t="s">
        <v>232</v>
      </c>
      <c r="F1260" s="154" t="s">
        <v>7112</v>
      </c>
      <c r="G1260" s="68" t="s">
        <v>7113</v>
      </c>
      <c r="H1260" s="159" t="s">
        <v>6940</v>
      </c>
      <c r="I1260" s="152">
        <v>45687.0</v>
      </c>
      <c r="J1260" s="152">
        <v>45692.0</v>
      </c>
      <c r="K1260" s="481" t="s">
        <v>7114</v>
      </c>
      <c r="L1260" s="159" t="s">
        <v>7115</v>
      </c>
      <c r="M1260" s="159" t="s">
        <v>7116</v>
      </c>
      <c r="N1260" s="159" t="s">
        <v>7117</v>
      </c>
      <c r="O1260" s="156">
        <v>1.0</v>
      </c>
      <c r="P1260" s="159" t="str">
        <f t="shared" si="76"/>
        <v>10.1126--science.1207745.pdf</v>
      </c>
      <c r="Q1260" s="52" t="str">
        <f t="array" ref="Q1260"> if(iserror(MATCH(V1260, 'File Links'!C:C, 0)), "N/A", HYPERLINK(INDEX('File Links'!B:B, MATCH(P1260, 'File Links'!C:C, 0))))</f>
        <v>https://drive.google.com/file/d/1Ea_lj0SN0yiXoEUsbmTc67SPDOrQH-yU/view?usp=drivesdk</v>
      </c>
      <c r="R1260" s="159" t="s">
        <v>6944</v>
      </c>
      <c r="S1260" s="159" t="s">
        <v>6945</v>
      </c>
      <c r="T1260" s="1389" t="s">
        <v>7118</v>
      </c>
      <c r="U1260" s="156">
        <v>20.0</v>
      </c>
      <c r="V1260" s="198" t="str">
        <f t="shared" si="77"/>
        <v>10.1038--s41562-018-0399-z.pdf</v>
      </c>
      <c r="W1260" s="159" t="s">
        <v>209</v>
      </c>
      <c r="X1260" s="54" t="str">
        <f t="array" ref="X1260"> if(iserror(MATCH(V1260, 'File Links'!C:C, 0)), "N/A", HYPERLINK(INDEX('File Links'!B:B, MATCH(V1260, 'File Links'!C:C, 0))))</f>
        <v>https://drive.google.com/file/d/1XgVMa01TtKbRfWaCjSCwCg4zPwJV_vw6/view?usp=drivesdk</v>
      </c>
      <c r="Y1260" s="68"/>
      <c r="Z1260" s="1115" t="s">
        <v>148</v>
      </c>
      <c r="AA1260" s="159" t="s">
        <v>7119</v>
      </c>
      <c r="AB1260" s="159" t="s">
        <v>6948</v>
      </c>
      <c r="AC1260" s="159" t="s">
        <v>7120</v>
      </c>
      <c r="AD1260" s="159" t="s">
        <v>7121</v>
      </c>
      <c r="AE1260" s="159" t="s">
        <v>7122</v>
      </c>
      <c r="AF1260" s="156">
        <v>46.0</v>
      </c>
      <c r="AG1260" s="156">
        <v>0.371</v>
      </c>
      <c r="AH1260" s="159" t="s">
        <v>173</v>
      </c>
      <c r="AI1260" s="159" t="s">
        <v>7123</v>
      </c>
      <c r="AJ1260" s="156">
        <v>0.0021</v>
      </c>
      <c r="AK1260" s="159" t="s">
        <v>172</v>
      </c>
      <c r="AL1260" s="159" t="s">
        <v>136</v>
      </c>
      <c r="AM1260" s="68" t="s">
        <v>141</v>
      </c>
      <c r="AN1260" s="159" t="s">
        <v>138</v>
      </c>
      <c r="AO1260" s="156">
        <v>234.0</v>
      </c>
      <c r="AP1260" s="336">
        <v>0.05</v>
      </c>
      <c r="AQ1260" s="159" t="s">
        <v>215</v>
      </c>
      <c r="AR1260" s="159" t="s">
        <v>6953</v>
      </c>
      <c r="AS1260" s="156">
        <v>0.449</v>
      </c>
      <c r="AT1260" s="159" t="s">
        <v>172</v>
      </c>
      <c r="AU1260" s="159" t="s">
        <v>136</v>
      </c>
      <c r="AV1260" s="68" t="s">
        <v>141</v>
      </c>
      <c r="AW1260" s="435" t="s">
        <v>7124</v>
      </c>
      <c r="AX1260" s="1300" t="s">
        <v>143</v>
      </c>
      <c r="AY1260" s="61" t="str">
        <f>IFERROR(__xludf.DUMMYFUNCTION("vlookup(BB1260,importrange(""https://docs.google.com/spreadsheets/d/1d2vevQ_7D_v35q4wCQ4RpQ_IPoTwEMB9Yp6ymwlPqew/edit?gid=984458430#gid=984458430"", ""'replication success'!A:K""), 11, FAlSE)"),"#N/A")</f>
        <v>#N/A</v>
      </c>
      <c r="AZ1260" s="61" t="str">
        <f>IFERROR(__xludf.DUMMYFUNCTION("vlookup(BB1260,importrange(""https://docs.google.com/spreadsheets/d/1d2vevQ_7D_v35q4wCQ4RpQ_IPoTwEMB9Yp6ymwlPqew/edit?gid=984458430#gid=984458430"", ""'replication success'!A:M""), 12, FAlSE)"),"#N/A")</f>
        <v>#N/A</v>
      </c>
      <c r="BA1260" s="61" t="str">
        <f>IFERROR(__xludf.DUMMYFUNCTION("vlookup(BB1260,importrange(""https://docs.google.com/spreadsheets/d/1d2vevQ_7D_v35q4wCQ4RpQ_IPoTwEMB9Yp6ymwlPqew/edit?gid=984458430#gid=984458430"", ""'replication success'!A:M""), 13, FAlSE)"),"#N/A")</f>
        <v>#N/A</v>
      </c>
      <c r="BB1260" s="61" t="str">
        <f>IFERROR(__xludf.DUMMYFUNCTION("REGEXREPLACE(G1260, ""_[a-z]{1,2}$"", """")"),"Camereretal2018_20_1")</f>
        <v>Camereretal2018_20_1</v>
      </c>
      <c r="BC1260" s="68"/>
      <c r="BD1260" s="68" t="s">
        <v>5074</v>
      </c>
    </row>
    <row r="1261">
      <c r="A1261" s="44">
        <v>1261.0</v>
      </c>
      <c r="B1261" s="68" t="s">
        <v>114</v>
      </c>
      <c r="C1261" s="62" t="s">
        <v>115</v>
      </c>
      <c r="D1261" s="62" t="s">
        <v>1234</v>
      </c>
      <c r="F1261" s="154" t="s">
        <v>7112</v>
      </c>
      <c r="G1261" s="68" t="s">
        <v>7113</v>
      </c>
      <c r="H1261" s="159" t="s">
        <v>6955</v>
      </c>
      <c r="I1261" s="152">
        <v>45663.0</v>
      </c>
      <c r="J1261" s="152">
        <v>45692.0</v>
      </c>
      <c r="K1261" s="68"/>
      <c r="L1261" s="68"/>
      <c r="M1261" s="154" t="s">
        <v>7116</v>
      </c>
      <c r="N1261" s="154" t="s">
        <v>7117</v>
      </c>
      <c r="O1261" s="156">
        <v>1.0</v>
      </c>
      <c r="P1261" s="159" t="str">
        <f t="shared" si="76"/>
        <v>10.1126--science.1207745.pdf</v>
      </c>
      <c r="Q1261" s="52" t="str">
        <f t="array" ref="Q1261"> if(iserror(MATCH(V1261, 'File Links'!C:C, 0)), "N/A", HYPERLINK(INDEX('File Links'!B:B, MATCH(P1261, 'File Links'!C:C, 0))))</f>
        <v>https://drive.google.com/file/d/1Ea_lj0SN0yiXoEUsbmTc67SPDOrQH-yU/view?usp=drivesdk</v>
      </c>
      <c r="R1261" s="159" t="s">
        <v>6944</v>
      </c>
      <c r="S1261" s="159" t="s">
        <v>6945</v>
      </c>
      <c r="T1261" s="68"/>
      <c r="U1261" s="156">
        <v>2.0</v>
      </c>
      <c r="V1261" s="198" t="str">
        <f t="shared" si="77"/>
        <v>10.1038--s41562-018-0399-z.pdf</v>
      </c>
      <c r="W1261" s="68"/>
      <c r="X1261" s="54" t="str">
        <f t="array" ref="X1261"> if(iserror(MATCH(V1261, 'File Links'!C:C, 0)), "N/A", HYPERLINK(INDEX('File Links'!B:B, MATCH(V1261, 'File Links'!C:C, 0))))</f>
        <v>https://drive.google.com/file/d/1XgVMa01TtKbRfWaCjSCwCg4zPwJV_vw6/view?usp=drivesdk</v>
      </c>
      <c r="Y1261" s="68"/>
      <c r="Z1261" s="159" t="s">
        <v>148</v>
      </c>
      <c r="AA1261" s="68"/>
      <c r="AB1261" s="68"/>
      <c r="AC1261" s="68"/>
      <c r="AD1261" s="1060" t="s">
        <v>7125</v>
      </c>
      <c r="AE1261" s="156">
        <v>776.0</v>
      </c>
      <c r="AF1261" s="156">
        <v>46.0</v>
      </c>
      <c r="AG1261" s="1059">
        <v>0.437</v>
      </c>
      <c r="AH1261" s="1060" t="s">
        <v>215</v>
      </c>
      <c r="AI1261" s="68"/>
      <c r="AJ1261" s="156">
        <v>0.0021</v>
      </c>
      <c r="AK1261" s="159" t="s">
        <v>172</v>
      </c>
      <c r="AL1261" s="1060" t="s">
        <v>186</v>
      </c>
      <c r="AM1261" s="68" t="s">
        <v>141</v>
      </c>
      <c r="AN1261" s="68"/>
      <c r="AO1261" s="156">
        <v>234.0</v>
      </c>
      <c r="AP1261" s="156">
        <v>0.04959059</v>
      </c>
      <c r="AQ1261" s="68"/>
      <c r="AR1261" s="1060" t="s">
        <v>7126</v>
      </c>
      <c r="AS1261" s="162">
        <v>0.4493</v>
      </c>
      <c r="AT1261" s="159" t="s">
        <v>172</v>
      </c>
      <c r="AU1261" s="159" t="s">
        <v>136</v>
      </c>
      <c r="AV1261" s="68" t="s">
        <v>141</v>
      </c>
      <c r="AW1261" s="1390" t="s">
        <v>7118</v>
      </c>
      <c r="AX1261" s="68" t="s">
        <v>143</v>
      </c>
      <c r="AY1261" s="61" t="str">
        <f>IFERROR(__xludf.DUMMYFUNCTION("vlookup(BB1261,importrange(""https://docs.google.com/spreadsheets/d/1d2vevQ_7D_v35q4wCQ4RpQ_IPoTwEMB9Yp6ymwlPqew/edit?gid=984458430#gid=984458430"", ""'replication success'!A:K""), 11, FAlSE)"),"#N/A")</f>
        <v>#N/A</v>
      </c>
      <c r="AZ1261" s="61" t="str">
        <f>IFERROR(__xludf.DUMMYFUNCTION("vlookup(BB1261,importrange(""https://docs.google.com/spreadsheets/d/1d2vevQ_7D_v35q4wCQ4RpQ_IPoTwEMB9Yp6ymwlPqew/edit?gid=984458430#gid=984458430"", ""'replication success'!A:M""), 12, FAlSE)"),"#N/A")</f>
        <v>#N/A</v>
      </c>
      <c r="BA1261" s="61" t="str">
        <f>IFERROR(__xludf.DUMMYFUNCTION("vlookup(BB1261,importrange(""https://docs.google.com/spreadsheets/d/1d2vevQ_7D_v35q4wCQ4RpQ_IPoTwEMB9Yp6ymwlPqew/edit?gid=984458430#gid=984458430"", ""'replication success'!A:M""), 13, FAlSE)"),"#N/A")</f>
        <v>#N/A</v>
      </c>
      <c r="BB1261" s="61" t="str">
        <f>IFERROR(__xludf.DUMMYFUNCTION("REGEXREPLACE(G1261, ""_[a-z]{1,2}$"", """")"),"Camereretal2018_20_1")</f>
        <v>Camereretal2018_20_1</v>
      </c>
      <c r="BC1261" s="68"/>
      <c r="BD1261" s="68" t="s">
        <v>5074</v>
      </c>
    </row>
    <row r="1262">
      <c r="A1262" s="44">
        <v>1262.0</v>
      </c>
      <c r="B1262" s="129" t="s">
        <v>152</v>
      </c>
      <c r="C1262" s="62" t="s">
        <v>115</v>
      </c>
      <c r="D1262" s="62" t="s">
        <v>232</v>
      </c>
      <c r="F1262" s="154" t="s">
        <v>7127</v>
      </c>
      <c r="G1262" s="68" t="s">
        <v>7128</v>
      </c>
      <c r="H1262" s="159" t="s">
        <v>6940</v>
      </c>
      <c r="I1262" s="152">
        <v>45687.0</v>
      </c>
      <c r="J1262" s="152">
        <v>45692.0</v>
      </c>
      <c r="K1262" s="68"/>
      <c r="L1262" s="159" t="s">
        <v>7129</v>
      </c>
      <c r="M1262" s="159" t="s">
        <v>5169</v>
      </c>
      <c r="N1262" s="159" t="s">
        <v>5170</v>
      </c>
      <c r="O1262" s="156">
        <v>8.0</v>
      </c>
      <c r="P1262" s="159" t="str">
        <f t="shared" si="76"/>
        <v>10.1126--science.1250830.pdf</v>
      </c>
      <c r="Q1262" s="52" t="str">
        <f t="array" ref="Q1262"> if(iserror(MATCH(V1262, 'File Links'!C:C, 0)), "N/A", HYPERLINK(INDEX('File Links'!B:B, MATCH(P1262, 'File Links'!C:C, 0))))</f>
        <v>https://drive.google.com/file/d/164yvRbDzBp4QTOt60ne0zLFnKfzz6qWW/view?usp=drivesdk</v>
      </c>
      <c r="R1262" s="159" t="s">
        <v>6944</v>
      </c>
      <c r="S1262" s="159" t="s">
        <v>6945</v>
      </c>
      <c r="T1262" s="1389" t="s">
        <v>7130</v>
      </c>
      <c r="U1262" s="156">
        <v>21.0</v>
      </c>
      <c r="V1262" s="198" t="str">
        <f t="shared" si="77"/>
        <v>10.1038--s41562-018-0399-z.pdf</v>
      </c>
      <c r="W1262" s="159" t="s">
        <v>209</v>
      </c>
      <c r="X1262" s="54" t="str">
        <f t="array" ref="X1262"> if(iserror(MATCH(V1262, 'File Links'!C:C, 0)), "N/A", HYPERLINK(INDEX('File Links'!B:B, MATCH(V1262, 'File Links'!C:C, 0))))</f>
        <v>https://drive.google.com/file/d/1XgVMa01TtKbRfWaCjSCwCg4zPwJV_vw6/view?usp=drivesdk</v>
      </c>
      <c r="Y1262" s="68"/>
      <c r="Z1262" s="159" t="s">
        <v>226</v>
      </c>
      <c r="AA1262" s="374" t="s">
        <v>138</v>
      </c>
      <c r="AB1262" s="159" t="s">
        <v>6948</v>
      </c>
      <c r="AC1262" s="159" t="s">
        <v>7131</v>
      </c>
      <c r="AD1262" s="159" t="s">
        <v>7132</v>
      </c>
      <c r="AE1262" s="159" t="s">
        <v>7133</v>
      </c>
      <c r="AF1262" s="156">
        <v>30.0</v>
      </c>
      <c r="AG1262" s="1394">
        <v>1.76767426631627</v>
      </c>
      <c r="AH1262" s="159" t="s">
        <v>173</v>
      </c>
      <c r="AI1262" s="151" t="s">
        <v>7134</v>
      </c>
      <c r="AJ1262" s="156">
        <v>0.001</v>
      </c>
      <c r="AK1262" s="159" t="s">
        <v>135</v>
      </c>
      <c r="AL1262" s="159" t="s">
        <v>186</v>
      </c>
      <c r="AM1262" s="68" t="s">
        <v>137</v>
      </c>
      <c r="AN1262" s="159" t="s">
        <v>138</v>
      </c>
      <c r="AO1262" s="156">
        <v>39.0</v>
      </c>
      <c r="AP1262" s="336">
        <v>0.594</v>
      </c>
      <c r="AQ1262" s="159" t="s">
        <v>215</v>
      </c>
      <c r="AR1262" s="159" t="s">
        <v>6970</v>
      </c>
      <c r="AS1262" s="156">
        <v>0.001</v>
      </c>
      <c r="AT1262" s="159" t="s">
        <v>135</v>
      </c>
      <c r="AU1262" s="1115" t="s">
        <v>136</v>
      </c>
      <c r="AV1262" s="68" t="s">
        <v>137</v>
      </c>
      <c r="AW1262" s="435" t="s">
        <v>7135</v>
      </c>
      <c r="AX1262" s="1300" t="s">
        <v>143</v>
      </c>
      <c r="AY1262" s="61" t="str">
        <f>IFERROR(__xludf.DUMMYFUNCTION("vlookup(BB1262,importrange(""https://docs.google.com/spreadsheets/d/1d2vevQ_7D_v35q4wCQ4RpQ_IPoTwEMB9Yp6ymwlPqew/edit?gid=984458430#gid=984458430"", ""'replication success'!A:K""), 11, FAlSE)"),"successful")</f>
        <v>successful</v>
      </c>
      <c r="AZ1262" s="91" t="str">
        <f>IFERROR(__xludf.DUMMYFUNCTION("vlookup(BB1262,importrange(""https://docs.google.com/spreadsheets/d/1d2vevQ_7D_v35q4wCQ4RpQ_IPoTwEMB9Yp6ymwlPqew/edit?gid=984458430#gid=984458430"",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2" s="61" t="str">
        <f>IFERROR(__xludf.DUMMYFUNCTION("vlookup(BB1262,importrange(""https://docs.google.com/spreadsheets/d/1d2vevQ_7D_v35q4wCQ4RpQ_IPoTwEMB9Yp6ymwlPqew/edit?gid=984458430#gid=984458430"", ""'replication success'!A:M""), 13, FAlSE)"),"Table 3 in Supplementary Materials, pg. 53")</f>
        <v>Table 3 in Supplementary Materials, pg. 53</v>
      </c>
      <c r="BB1262" s="61" t="str">
        <f>IFERROR(__xludf.DUMMYFUNCTION("REGEXREPLACE(G1262, ""_[a-z]{1,2}$"", """")"),"Camereretal2018_21_1")</f>
        <v>Camereretal2018_21_1</v>
      </c>
      <c r="BC1262" s="68"/>
      <c r="BD1262" s="129" t="s">
        <v>6985</v>
      </c>
    </row>
    <row r="1263">
      <c r="A1263" s="44">
        <v>1263.0</v>
      </c>
      <c r="B1263" s="68" t="s">
        <v>114</v>
      </c>
      <c r="C1263" s="62" t="s">
        <v>115</v>
      </c>
      <c r="D1263" s="62" t="s">
        <v>1234</v>
      </c>
      <c r="F1263" s="154" t="s">
        <v>7127</v>
      </c>
      <c r="G1263" s="68" t="s">
        <v>7128</v>
      </c>
      <c r="H1263" s="159" t="s">
        <v>6955</v>
      </c>
      <c r="I1263" s="152">
        <v>45663.0</v>
      </c>
      <c r="J1263" s="152">
        <v>45692.0</v>
      </c>
      <c r="K1263" s="68"/>
      <c r="L1263" s="68"/>
      <c r="M1263" s="154" t="s">
        <v>5169</v>
      </c>
      <c r="N1263" s="154" t="s">
        <v>5170</v>
      </c>
      <c r="O1263" s="156">
        <v>8.0</v>
      </c>
      <c r="P1263" s="159" t="str">
        <f t="shared" si="76"/>
        <v>10.1126--science.1250830.pdf</v>
      </c>
      <c r="Q1263" s="52" t="str">
        <f t="array" ref="Q1263"> if(iserror(MATCH(V1263, 'File Links'!C:C, 0)), "N/A", HYPERLINK(INDEX('File Links'!B:B, MATCH(P1263, 'File Links'!C:C, 0))))</f>
        <v>https://drive.google.com/file/d/164yvRbDzBp4QTOt60ne0zLFnKfzz6qWW/view?usp=drivesdk</v>
      </c>
      <c r="R1263" s="159" t="s">
        <v>6944</v>
      </c>
      <c r="S1263" s="159" t="s">
        <v>6945</v>
      </c>
      <c r="T1263" s="68"/>
      <c r="U1263" s="156">
        <v>1.0</v>
      </c>
      <c r="V1263" s="198" t="str">
        <f t="shared" si="77"/>
        <v>10.1038--s41562-018-0399-z.pdf</v>
      </c>
      <c r="W1263" s="68"/>
      <c r="X1263" s="54" t="str">
        <f t="array" ref="X1263"> if(iserror(MATCH(V1263, 'File Links'!C:C, 0)), "N/A", HYPERLINK(INDEX('File Links'!B:B, MATCH(V1263, 'File Links'!C:C, 0))))</f>
        <v>https://drive.google.com/file/d/1XgVMa01TtKbRfWaCjSCwCg4zPwJV_vw6/view?usp=drivesdk</v>
      </c>
      <c r="Y1263" s="68"/>
      <c r="Z1263" s="159" t="s">
        <v>226</v>
      </c>
      <c r="AA1263" s="68"/>
      <c r="AB1263" s="68"/>
      <c r="AC1263" s="68"/>
      <c r="AD1263" s="158" t="s">
        <v>7136</v>
      </c>
      <c r="AE1263" s="156">
        <v>76.0</v>
      </c>
      <c r="AF1263" s="156">
        <v>30.0</v>
      </c>
      <c r="AG1263" s="1059">
        <v>0.674</v>
      </c>
      <c r="AH1263" s="1060" t="s">
        <v>215</v>
      </c>
      <c r="AI1263" s="68"/>
      <c r="AJ1263" s="162">
        <v>4.4E-5</v>
      </c>
      <c r="AK1263" s="159" t="s">
        <v>172</v>
      </c>
      <c r="AL1263" s="159" t="s">
        <v>186</v>
      </c>
      <c r="AM1263" s="68" t="s">
        <v>137</v>
      </c>
      <c r="AN1263" s="68"/>
      <c r="AO1263" s="156">
        <v>39.0</v>
      </c>
      <c r="AP1263" s="156">
        <v>0.594</v>
      </c>
      <c r="AQ1263" s="159" t="s">
        <v>215</v>
      </c>
      <c r="AR1263" s="68"/>
      <c r="AS1263" s="162">
        <v>6.8E-5</v>
      </c>
      <c r="AT1263" s="159" t="s">
        <v>172</v>
      </c>
      <c r="AU1263" s="159" t="s">
        <v>136</v>
      </c>
      <c r="AV1263" s="68" t="s">
        <v>137</v>
      </c>
      <c r="AW1263" s="1390" t="s">
        <v>7130</v>
      </c>
      <c r="AX1263" s="68" t="s">
        <v>143</v>
      </c>
      <c r="AY1263" s="61" t="str">
        <f>IFERROR(__xludf.DUMMYFUNCTION("vlookup(BB1263,importrange(""https://docs.google.com/spreadsheets/d/1d2vevQ_7D_v35q4wCQ4RpQ_IPoTwEMB9Yp6ymwlPqew/edit?gid=984458430#gid=984458430"", ""'replication success'!A:K""), 11, FAlSE)"),"successful")</f>
        <v>successful</v>
      </c>
      <c r="AZ1263" s="91" t="str">
        <f>IFERROR(__xludf.DUMMYFUNCTION("vlookup(BB1263,importrange(""https://docs.google.com/spreadsheets/d/1d2vevQ_7D_v35q4wCQ4RpQ_IPoTwEMB9Yp6ymwlPqew/edit?gid=984458430#gid=984458430"",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3" s="61" t="str">
        <f>IFERROR(__xludf.DUMMYFUNCTION("vlookup(BB1263,importrange(""https://docs.google.com/spreadsheets/d/1d2vevQ_7D_v35q4wCQ4RpQ_IPoTwEMB9Yp6ymwlPqew/edit?gid=984458430#gid=984458430"", ""'replication success'!A:M""), 13, FAlSE)"),"Table 3 in Supplementary Materials, pg. 53")</f>
        <v>Table 3 in Supplementary Materials, pg. 53</v>
      </c>
      <c r="BB1263" s="61" t="str">
        <f>IFERROR(__xludf.DUMMYFUNCTION("REGEXREPLACE(G1263, ""_[a-z]{1,2}$"", """")"),"Camereretal2018_21_1")</f>
        <v>Camereretal2018_21_1</v>
      </c>
      <c r="BC1263" s="68"/>
      <c r="BD1263" s="68" t="s">
        <v>5074</v>
      </c>
    </row>
    <row r="1264">
      <c r="A1264" s="44">
        <v>1264.0</v>
      </c>
      <c r="B1264" s="129" t="s">
        <v>152</v>
      </c>
      <c r="C1264" s="62" t="s">
        <v>115</v>
      </c>
      <c r="D1264" s="62" t="s">
        <v>232</v>
      </c>
      <c r="F1264" s="154" t="s">
        <v>7137</v>
      </c>
      <c r="G1264" s="68" t="s">
        <v>7138</v>
      </c>
      <c r="H1264" s="159" t="s">
        <v>6940</v>
      </c>
      <c r="I1264" s="152">
        <v>45687.0</v>
      </c>
      <c r="J1264" s="152">
        <v>45692.0</v>
      </c>
      <c r="K1264" s="68"/>
      <c r="L1264" s="159" t="s">
        <v>7139</v>
      </c>
      <c r="M1264" s="159" t="s">
        <v>7140</v>
      </c>
      <c r="N1264" s="159" t="s">
        <v>7141</v>
      </c>
      <c r="O1264" s="156">
        <v>1.0</v>
      </c>
      <c r="P1264" s="159" t="str">
        <f t="shared" si="76"/>
        <v>10.1126--science.1211180.pdf</v>
      </c>
      <c r="Q1264" s="52" t="str">
        <f t="array" ref="Q1264"> if(iserror(MATCH(V1264, 'File Links'!C:C, 0)), "N/A", HYPERLINK(INDEX('File Links'!B:B, MATCH(P1264, 'File Links'!C:C, 0))))</f>
        <v>https://drive.google.com/file/d/1SP5jHd3WRyyvYJcl4eFapcMBBizKeGUl/view?usp=drivesdk</v>
      </c>
      <c r="R1264" s="159" t="s">
        <v>6944</v>
      </c>
      <c r="S1264" s="159" t="s">
        <v>6945</v>
      </c>
      <c r="T1264" s="1115" t="s">
        <v>7142</v>
      </c>
      <c r="U1264" s="156">
        <v>3.0</v>
      </c>
      <c r="V1264" s="198" t="str">
        <f t="shared" si="77"/>
        <v>10.1038--s41562-018-0399-z.pdf</v>
      </c>
      <c r="W1264" s="159" t="s">
        <v>209</v>
      </c>
      <c r="X1264" s="54" t="str">
        <f t="array" ref="X1264"> if(iserror(MATCH(V1264, 'File Links'!C:C, 0)), "N/A", HYPERLINK(INDEX('File Links'!B:B, MATCH(V1264, 'File Links'!C:C, 0))))</f>
        <v>https://drive.google.com/file/d/1XgVMa01TtKbRfWaCjSCwCg4zPwJV_vw6/view?usp=drivesdk</v>
      </c>
      <c r="Y1264" s="68"/>
      <c r="Z1264" s="159" t="s">
        <v>226</v>
      </c>
      <c r="AA1264" s="159" t="s">
        <v>7143</v>
      </c>
      <c r="AB1264" s="159" t="s">
        <v>6948</v>
      </c>
      <c r="AC1264" s="159" t="s">
        <v>7144</v>
      </c>
      <c r="AD1264" s="159" t="s">
        <v>7145</v>
      </c>
      <c r="AE1264" s="159" t="s">
        <v>7146</v>
      </c>
      <c r="AF1264" s="156">
        <v>72.0</v>
      </c>
      <c r="AG1264" s="1381">
        <v>3.17</v>
      </c>
      <c r="AH1264" s="159" t="s">
        <v>722</v>
      </c>
      <c r="AI1264" s="1395" t="s">
        <v>7147</v>
      </c>
      <c r="AJ1264" s="156">
        <v>0.018</v>
      </c>
      <c r="AK1264" s="159" t="s">
        <v>172</v>
      </c>
      <c r="AL1264" s="159" t="s">
        <v>218</v>
      </c>
      <c r="AM1264" s="68" t="s">
        <v>137</v>
      </c>
      <c r="AN1264" s="159" t="s">
        <v>138</v>
      </c>
      <c r="AO1264" s="156">
        <v>243.0</v>
      </c>
      <c r="AP1264" s="336">
        <v>0.146</v>
      </c>
      <c r="AQ1264" s="159" t="s">
        <v>215</v>
      </c>
      <c r="AR1264" s="159" t="s">
        <v>6970</v>
      </c>
      <c r="AS1264" s="156">
        <v>0.022</v>
      </c>
      <c r="AT1264" s="159" t="s">
        <v>172</v>
      </c>
      <c r="AU1264" s="159" t="s">
        <v>136</v>
      </c>
      <c r="AV1264" s="68" t="s">
        <v>137</v>
      </c>
      <c r="AW1264" s="435" t="s">
        <v>7148</v>
      </c>
      <c r="AX1264" s="1300" t="s">
        <v>143</v>
      </c>
      <c r="AY1264" s="61" t="str">
        <f>IFERROR(__xludf.DUMMYFUNCTION("vlookup(BB1264,importrange(""https://docs.google.com/spreadsheets/d/1d2vevQ_7D_v35q4wCQ4RpQ_IPoTwEMB9Yp6ymwlPqew/edit?gid=984458430#gid=984458430"", ""'replication success'!A:K""), 11, FAlSE)"),"successful")</f>
        <v>successful</v>
      </c>
      <c r="AZ1264" s="91" t="str">
        <f>IFERROR(__xludf.DUMMYFUNCTION("vlookup(BB1264,importrange(""https://docs.google.com/spreadsheets/d/1d2vevQ_7D_v35q4wCQ4RpQ_IPoTwEMB9Yp6ymwlPqew/edit?gid=984458430#gid=984458430"",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4" s="61" t="str">
        <f>IFERROR(__xludf.DUMMYFUNCTION("vlookup(BB1264,importrange(""https://docs.google.com/spreadsheets/d/1d2vevQ_7D_v35q4wCQ4RpQ_IPoTwEMB9Yp6ymwlPqew/edit?gid=984458430#gid=984458430"", ""'replication success'!A:M""), 13, FAlSE)"),"Table 3 in Supplementary Materials, pg. 53")</f>
        <v>Table 3 in Supplementary Materials, pg. 53</v>
      </c>
      <c r="BB1264" s="61" t="str">
        <f>IFERROR(__xludf.DUMMYFUNCTION("REGEXREPLACE(G1264, ""_[a-z]{1,2}$"", """")"),"Camereretal2018_3_1")</f>
        <v>Camereretal2018_3_1</v>
      </c>
      <c r="BC1264" s="68"/>
      <c r="BD1264" s="68" t="s">
        <v>5074</v>
      </c>
    </row>
    <row r="1265">
      <c r="A1265" s="44">
        <v>1265.0</v>
      </c>
      <c r="B1265" s="68" t="s">
        <v>114</v>
      </c>
      <c r="C1265" s="62" t="s">
        <v>115</v>
      </c>
      <c r="D1265" s="62" t="s">
        <v>1234</v>
      </c>
      <c r="F1265" s="154" t="s">
        <v>7137</v>
      </c>
      <c r="G1265" s="68" t="s">
        <v>7138</v>
      </c>
      <c r="H1265" s="159" t="s">
        <v>6955</v>
      </c>
      <c r="I1265" s="152">
        <v>45663.0</v>
      </c>
      <c r="J1265" s="152">
        <v>45692.0</v>
      </c>
      <c r="K1265" s="68"/>
      <c r="L1265" s="68"/>
      <c r="M1265" s="154" t="s">
        <v>7140</v>
      </c>
      <c r="N1265" s="154" t="s">
        <v>7141</v>
      </c>
      <c r="O1265" s="156">
        <v>1.0</v>
      </c>
      <c r="P1265" s="159" t="str">
        <f t="shared" si="76"/>
        <v>10.1126--science.1211180.pdf</v>
      </c>
      <c r="Q1265" s="52" t="str">
        <f t="array" ref="Q1265"> if(iserror(MATCH(V1265, 'File Links'!C:C, 0)), "N/A", HYPERLINK(INDEX('File Links'!B:B, MATCH(P1265, 'File Links'!C:C, 0))))</f>
        <v>https://drive.google.com/file/d/1SP5jHd3WRyyvYJcl4eFapcMBBizKeGUl/view?usp=drivesdk</v>
      </c>
      <c r="R1265" s="159" t="s">
        <v>6944</v>
      </c>
      <c r="S1265" s="159" t="s">
        <v>6945</v>
      </c>
      <c r="T1265" s="68"/>
      <c r="U1265" s="156">
        <v>1.0</v>
      </c>
      <c r="V1265" s="198" t="str">
        <f t="shared" si="77"/>
        <v>10.1038--s41562-018-0399-z.pdf</v>
      </c>
      <c r="W1265" s="68"/>
      <c r="X1265" s="54" t="str">
        <f t="array" ref="X1265"> if(iserror(MATCH(V1265, 'File Links'!C:C, 0)), "N/A", HYPERLINK(INDEX('File Links'!B:B, MATCH(V1265, 'File Links'!C:C, 0))))</f>
        <v>https://drive.google.com/file/d/1XgVMa01TtKbRfWaCjSCwCg4zPwJV_vw6/view?usp=drivesdk</v>
      </c>
      <c r="Y1265" s="68"/>
      <c r="Z1265" s="159" t="s">
        <v>226</v>
      </c>
      <c r="AA1265" s="68"/>
      <c r="AB1265" s="68"/>
      <c r="AC1265" s="68"/>
      <c r="AD1265" s="1396" t="s">
        <v>7149</v>
      </c>
      <c r="AE1265" s="162">
        <v>580.0</v>
      </c>
      <c r="AF1265" s="1059">
        <v>144.0</v>
      </c>
      <c r="AG1265" s="1059">
        <v>0.197</v>
      </c>
      <c r="AH1265" s="1060" t="s">
        <v>215</v>
      </c>
      <c r="AI1265" s="68"/>
      <c r="AJ1265" s="162">
        <v>0.018</v>
      </c>
      <c r="AK1265" s="159" t="s">
        <v>172</v>
      </c>
      <c r="AL1265" s="68"/>
      <c r="AM1265" s="68"/>
      <c r="AN1265" s="68"/>
      <c r="AO1265" s="1059">
        <v>486.0</v>
      </c>
      <c r="AP1265" s="542"/>
      <c r="AQ1265" s="542"/>
      <c r="AR1265" s="542"/>
      <c r="AS1265" s="162">
        <v>0.0223</v>
      </c>
      <c r="AT1265" s="159" t="s">
        <v>172</v>
      </c>
      <c r="AU1265" s="68"/>
      <c r="AV1265" s="68"/>
      <c r="AW1265" s="1385" t="s">
        <v>7142</v>
      </c>
      <c r="AX1265" s="68" t="s">
        <v>143</v>
      </c>
      <c r="AY1265" s="61" t="str">
        <f>IFERROR(__xludf.DUMMYFUNCTION("vlookup(BB1265,importrange(""https://docs.google.com/spreadsheets/d/1d2vevQ_7D_v35q4wCQ4RpQ_IPoTwEMB9Yp6ymwlPqew/edit?gid=984458430#gid=984458430"", ""'replication success'!A:K""), 11, FAlSE)"),"successful")</f>
        <v>successful</v>
      </c>
      <c r="AZ1265" s="91" t="str">
        <f>IFERROR(__xludf.DUMMYFUNCTION("vlookup(BB1265,importrange(""https://docs.google.com/spreadsheets/d/1d2vevQ_7D_v35q4wCQ4RpQ_IPoTwEMB9Yp6ymwlPqew/edit?gid=984458430#gid=984458430"",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5" s="61" t="str">
        <f>IFERROR(__xludf.DUMMYFUNCTION("vlookup(BB1265,importrange(""https://docs.google.com/spreadsheets/d/1d2vevQ_7D_v35q4wCQ4RpQ_IPoTwEMB9Yp6ymwlPqew/edit?gid=984458430#gid=984458430"", ""'replication success'!A:M""), 13, FAlSE)"),"Table 3 in Supplementary Materials, pg. 53")</f>
        <v>Table 3 in Supplementary Materials, pg. 53</v>
      </c>
      <c r="BB1265" s="61" t="str">
        <f>IFERROR(__xludf.DUMMYFUNCTION("REGEXREPLACE(G1265, ""_[a-z]{1,2}$"", """")"),"Camereretal2018_3_1")</f>
        <v>Camereretal2018_3_1</v>
      </c>
      <c r="BC1265" s="68"/>
      <c r="BD1265" s="68" t="s">
        <v>5074</v>
      </c>
    </row>
    <row r="1266">
      <c r="A1266" s="44">
        <v>1266.0</v>
      </c>
      <c r="B1266" s="129" t="s">
        <v>152</v>
      </c>
      <c r="C1266" s="62" t="s">
        <v>115</v>
      </c>
      <c r="D1266" s="62" t="s">
        <v>232</v>
      </c>
      <c r="F1266" s="154" t="s">
        <v>7150</v>
      </c>
      <c r="G1266" s="68" t="s">
        <v>7151</v>
      </c>
      <c r="H1266" s="159" t="s">
        <v>6940</v>
      </c>
      <c r="I1266" s="152">
        <v>45687.0</v>
      </c>
      <c r="J1266" s="152">
        <v>45692.0</v>
      </c>
      <c r="K1266" s="68"/>
      <c r="L1266" s="159" t="s">
        <v>7152</v>
      </c>
      <c r="M1266" s="159" t="s">
        <v>7153</v>
      </c>
      <c r="N1266" s="159" t="s">
        <v>7154</v>
      </c>
      <c r="O1266" s="156">
        <v>1.0</v>
      </c>
      <c r="P1266" s="159" t="str">
        <f t="shared" si="76"/>
        <v>10.1038--nature12774.pdf</v>
      </c>
      <c r="Q1266" s="52" t="str">
        <f t="array" ref="Q1266"> if(iserror(MATCH(V1266, 'File Links'!C:C, 0)), "N/A", HYPERLINK(INDEX('File Links'!B:B, MATCH(P1266, 'File Links'!C:C, 0))))</f>
        <v>https://drive.google.com/file/d/1J8NYov-XHHaVlQCOR0yx9UGTvAN_EjiG/view?usp=drivesdk</v>
      </c>
      <c r="R1266" s="159" t="s">
        <v>6944</v>
      </c>
      <c r="S1266" s="159" t="s">
        <v>6945</v>
      </c>
      <c r="T1266" s="1389" t="s">
        <v>7155</v>
      </c>
      <c r="U1266" s="156">
        <v>4.0</v>
      </c>
      <c r="V1266" s="198" t="str">
        <f t="shared" si="77"/>
        <v>10.1038--s41562-018-0399-z.pdf</v>
      </c>
      <c r="W1266" s="159" t="s">
        <v>209</v>
      </c>
      <c r="X1266" s="54" t="str">
        <f t="array" ref="X1266"> if(iserror(MATCH(V1266, 'File Links'!C:C, 0)), "N/A", HYPERLINK(INDEX('File Links'!B:B, MATCH(V1266, 'File Links'!C:C, 0))))</f>
        <v>https://drive.google.com/file/d/1XgVMa01TtKbRfWaCjSCwCg4zPwJV_vw6/view?usp=drivesdk</v>
      </c>
      <c r="Y1266" s="68"/>
      <c r="Z1266" s="159" t="s">
        <v>226</v>
      </c>
      <c r="AA1266" s="129" t="s">
        <v>138</v>
      </c>
      <c r="AB1266" s="159" t="s">
        <v>6948</v>
      </c>
      <c r="AC1266" s="159" t="s">
        <v>7156</v>
      </c>
      <c r="AD1266" s="159" t="s">
        <v>7157</v>
      </c>
      <c r="AE1266" s="1115" t="s">
        <v>7158</v>
      </c>
      <c r="AF1266" s="1093">
        <v>366.0</v>
      </c>
      <c r="AG1266" s="151" t="s">
        <v>7159</v>
      </c>
      <c r="AH1266" s="159" t="s">
        <v>134</v>
      </c>
      <c r="AI1266" s="159" t="s">
        <v>7158</v>
      </c>
      <c r="AJ1266" s="156">
        <v>1.0E-4</v>
      </c>
      <c r="AK1266" s="159" t="s">
        <v>135</v>
      </c>
      <c r="AL1266" s="159" t="s">
        <v>218</v>
      </c>
      <c r="AM1266" s="68" t="s">
        <v>137</v>
      </c>
      <c r="AN1266" s="159" t="s">
        <v>138</v>
      </c>
      <c r="AO1266" s="1093">
        <v>482.0</v>
      </c>
      <c r="AP1266" s="336">
        <v>0.361</v>
      </c>
      <c r="AQ1266" s="159" t="s">
        <v>215</v>
      </c>
      <c r="AR1266" s="159" t="s">
        <v>6970</v>
      </c>
      <c r="AS1266" s="156">
        <v>0.003</v>
      </c>
      <c r="AT1266" s="159" t="s">
        <v>172</v>
      </c>
      <c r="AU1266" s="159" t="s">
        <v>218</v>
      </c>
      <c r="AV1266" s="68" t="s">
        <v>137</v>
      </c>
      <c r="AW1266" s="435" t="s">
        <v>7160</v>
      </c>
      <c r="AX1266" s="1300" t="s">
        <v>143</v>
      </c>
      <c r="AY1266" s="61" t="str">
        <f>IFERROR(__xludf.DUMMYFUNCTION("vlookup(BB1266,importrange(""https://docs.google.com/spreadsheets/d/1d2vevQ_7D_v35q4wCQ4RpQ_IPoTwEMB9Yp6ymwlPqew/edit?gid=984458430#gid=984458430"", ""'replication success'!A:K""), 11, FAlSE)"),"successful")</f>
        <v>successful</v>
      </c>
      <c r="AZ1266" s="91" t="str">
        <f>IFERROR(__xludf.DUMMYFUNCTION("vlookup(BB1266,importrange(""https://docs.google.com/spreadsheets/d/1d2vevQ_7D_v35q4wCQ4RpQ_IPoTwEMB9Yp6ymwlPqew/edit?gid=984458430#gid=984458430"",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6" s="61" t="str">
        <f>IFERROR(__xludf.DUMMYFUNCTION("vlookup(BB1266,importrange(""https://docs.google.com/spreadsheets/d/1d2vevQ_7D_v35q4wCQ4RpQ_IPoTwEMB9Yp6ymwlPqew/edit?gid=984458430#gid=984458430"", ""'replication success'!A:M""), 13, FAlSE)"),"Table 3 in Supplementary Materials, pg. 53")</f>
        <v>Table 3 in Supplementary Materials, pg. 53</v>
      </c>
      <c r="BB1266" s="61" t="str">
        <f>IFERROR(__xludf.DUMMYFUNCTION("REGEXREPLACE(G1266, ""_[a-z]{1,2}$"", """")"),"Camereretal2018_4_1")</f>
        <v>Camereretal2018_4_1</v>
      </c>
      <c r="BC1266" s="68"/>
      <c r="BD1266" s="68" t="s">
        <v>5074</v>
      </c>
    </row>
    <row r="1267">
      <c r="A1267" s="44">
        <v>1267.0</v>
      </c>
      <c r="B1267" s="68" t="s">
        <v>114</v>
      </c>
      <c r="C1267" s="62" t="s">
        <v>115</v>
      </c>
      <c r="D1267" s="62" t="s">
        <v>1234</v>
      </c>
      <c r="F1267" s="154" t="s">
        <v>7150</v>
      </c>
      <c r="G1267" s="68" t="s">
        <v>7151</v>
      </c>
      <c r="H1267" s="159" t="s">
        <v>6955</v>
      </c>
      <c r="I1267" s="152">
        <v>45663.0</v>
      </c>
      <c r="J1267" s="152">
        <v>45692.0</v>
      </c>
      <c r="K1267" s="68"/>
      <c r="L1267" s="68"/>
      <c r="M1267" s="154" t="s">
        <v>7153</v>
      </c>
      <c r="N1267" s="154" t="s">
        <v>7154</v>
      </c>
      <c r="O1267" s="156">
        <v>1.0</v>
      </c>
      <c r="P1267" s="159" t="str">
        <f t="shared" si="76"/>
        <v>10.1038--nature12774.pdf</v>
      </c>
      <c r="Q1267" s="52" t="str">
        <f t="array" ref="Q1267"> if(iserror(MATCH(V1267, 'File Links'!C:C, 0)), "N/A", HYPERLINK(INDEX('File Links'!B:B, MATCH(P1267, 'File Links'!C:C, 0))))</f>
        <v>https://drive.google.com/file/d/1J8NYov-XHHaVlQCOR0yx9UGTvAN_EjiG/view?usp=drivesdk</v>
      </c>
      <c r="R1267" s="159" t="s">
        <v>6944</v>
      </c>
      <c r="S1267" s="159" t="s">
        <v>6945</v>
      </c>
      <c r="T1267" s="68"/>
      <c r="U1267" s="156">
        <v>1.0</v>
      </c>
      <c r="V1267" s="198" t="str">
        <f t="shared" si="77"/>
        <v>10.1038--s41562-018-0399-z.pdf</v>
      </c>
      <c r="W1267" s="68"/>
      <c r="X1267" s="54" t="str">
        <f t="array" ref="X1267"> if(iserror(MATCH(V1267, 'File Links'!C:C, 0)), "N/A", HYPERLINK(INDEX('File Links'!B:B, MATCH(V1267, 'File Links'!C:C, 0))))</f>
        <v>https://drive.google.com/file/d/1XgVMa01TtKbRfWaCjSCwCg4zPwJV_vw6/view?usp=drivesdk</v>
      </c>
      <c r="Y1267" s="68"/>
      <c r="Z1267" s="159" t="s">
        <v>226</v>
      </c>
      <c r="AA1267" s="68"/>
      <c r="AB1267" s="68"/>
      <c r="AC1267" s="68"/>
      <c r="AD1267" s="68" t="s">
        <v>7161</v>
      </c>
      <c r="AE1267" s="156">
        <v>389.0</v>
      </c>
      <c r="AF1267" s="156">
        <v>366.0</v>
      </c>
      <c r="AG1267" s="1059">
        <v>0.525</v>
      </c>
      <c r="AH1267" s="1060" t="s">
        <v>215</v>
      </c>
      <c r="AI1267" s="68"/>
      <c r="AJ1267" s="162">
        <v>5.4E-5</v>
      </c>
      <c r="AK1267" s="159" t="s">
        <v>172</v>
      </c>
      <c r="AL1267" s="68"/>
      <c r="AM1267" s="68"/>
      <c r="AN1267" s="68"/>
      <c r="AO1267" s="162">
        <v>482.0</v>
      </c>
      <c r="AP1267" s="162">
        <v>0.361</v>
      </c>
      <c r="AQ1267" s="159" t="s">
        <v>215</v>
      </c>
      <c r="AR1267" s="68"/>
      <c r="AS1267" s="162">
        <v>0.003</v>
      </c>
      <c r="AT1267" s="159" t="s">
        <v>172</v>
      </c>
      <c r="AU1267" s="68"/>
      <c r="AV1267" s="68"/>
      <c r="AW1267" s="1385" t="s">
        <v>7162</v>
      </c>
      <c r="AX1267" s="68" t="s">
        <v>143</v>
      </c>
      <c r="AY1267" s="61" t="str">
        <f>IFERROR(__xludf.DUMMYFUNCTION("vlookup(BB1267,importrange(""https://docs.google.com/spreadsheets/d/1d2vevQ_7D_v35q4wCQ4RpQ_IPoTwEMB9Yp6ymwlPqew/edit?gid=984458430#gid=984458430"", ""'replication success'!A:K""), 11, FAlSE)"),"successful")</f>
        <v>successful</v>
      </c>
      <c r="AZ1267" s="91" t="str">
        <f>IFERROR(__xludf.DUMMYFUNCTION("vlookup(BB1267,importrange(""https://docs.google.com/spreadsheets/d/1d2vevQ_7D_v35q4wCQ4RpQ_IPoTwEMB9Yp6ymwlPqew/edit?gid=984458430#gid=984458430"",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67" s="61" t="str">
        <f>IFERROR(__xludf.DUMMYFUNCTION("vlookup(BB1267,importrange(""https://docs.google.com/spreadsheets/d/1d2vevQ_7D_v35q4wCQ4RpQ_IPoTwEMB9Yp6ymwlPqew/edit?gid=984458430#gid=984458430"", ""'replication success'!A:M""), 13, FAlSE)"),"Table 3 in Supplementary Materials, pg. 53")</f>
        <v>Table 3 in Supplementary Materials, pg. 53</v>
      </c>
      <c r="BB1267" s="61" t="str">
        <f>IFERROR(__xludf.DUMMYFUNCTION("REGEXREPLACE(G1267, ""_[a-z]{1,2}$"", """")"),"Camereretal2018_4_1")</f>
        <v>Camereretal2018_4_1</v>
      </c>
      <c r="BC1267" s="68"/>
      <c r="BD1267" s="68" t="s">
        <v>5074</v>
      </c>
    </row>
    <row r="1268">
      <c r="A1268" s="44">
        <v>1268.0</v>
      </c>
      <c r="B1268" s="129" t="s">
        <v>152</v>
      </c>
      <c r="C1268" s="62" t="s">
        <v>115</v>
      </c>
      <c r="D1268" s="62" t="s">
        <v>232</v>
      </c>
      <c r="F1268" s="154" t="s">
        <v>7163</v>
      </c>
      <c r="G1268" s="68" t="s">
        <v>7164</v>
      </c>
      <c r="H1268" s="159" t="s">
        <v>6940</v>
      </c>
      <c r="I1268" s="152">
        <v>45687.0</v>
      </c>
      <c r="J1268" s="152">
        <v>45692.0</v>
      </c>
      <c r="K1268" s="68"/>
      <c r="L1268" s="159" t="s">
        <v>7165</v>
      </c>
      <c r="M1268" s="159" t="s">
        <v>7166</v>
      </c>
      <c r="N1268" s="159" t="s">
        <v>7167</v>
      </c>
      <c r="O1268" s="68" t="s">
        <v>5535</v>
      </c>
      <c r="P1268" s="159" t="str">
        <f t="shared" si="76"/>
        <v>10.1126--science.1221936.pdf</v>
      </c>
      <c r="Q1268" s="52" t="str">
        <f t="array" ref="Q1268"> if(iserror(MATCH(V1268, 'File Links'!C:C, 0)), "N/A", HYPERLINK(INDEX('File Links'!B:B, MATCH(P1268, 'File Links'!C:C, 0))))</f>
        <v>https://drive.google.com/file/d/1iB1iRJQEIss4hSoqw92nY3NXxa2obChZ/view?usp=drivesdk</v>
      </c>
      <c r="R1268" s="159" t="s">
        <v>6944</v>
      </c>
      <c r="S1268" s="159" t="s">
        <v>6945</v>
      </c>
      <c r="T1268" s="1389" t="s">
        <v>7168</v>
      </c>
      <c r="U1268" s="156">
        <v>5.0</v>
      </c>
      <c r="V1268" s="198" t="str">
        <f t="shared" si="77"/>
        <v>10.1038--s41562-018-0399-z.pdf</v>
      </c>
      <c r="W1268" s="159" t="s">
        <v>209</v>
      </c>
      <c r="X1268" s="54" t="str">
        <f t="array" ref="X1268"> if(iserror(MATCH(V1268, 'File Links'!C:C, 0)), "N/A", HYPERLINK(INDEX('File Links'!B:B, MATCH(V1268, 'File Links'!C:C, 0))))</f>
        <v>https://drive.google.com/file/d/1XgVMa01TtKbRfWaCjSCwCg4zPwJV_vw6/view?usp=drivesdk</v>
      </c>
      <c r="Y1268" s="68"/>
      <c r="Z1268" s="1115" t="s">
        <v>148</v>
      </c>
      <c r="AA1268" s="159" t="s">
        <v>7169</v>
      </c>
      <c r="AB1268" s="159" t="s">
        <v>6948</v>
      </c>
      <c r="AC1268" s="159" t="s">
        <v>7170</v>
      </c>
      <c r="AD1268" s="159" t="s">
        <v>7171</v>
      </c>
      <c r="AE1268" s="159" t="s">
        <v>7172</v>
      </c>
      <c r="AF1268" s="156">
        <v>15.0</v>
      </c>
      <c r="AG1268" s="156">
        <v>1.301</v>
      </c>
      <c r="AH1268" s="159" t="s">
        <v>722</v>
      </c>
      <c r="AI1268" s="159" t="s">
        <v>7173</v>
      </c>
      <c r="AJ1268" s="156">
        <v>0.005</v>
      </c>
      <c r="AK1268" s="159" t="s">
        <v>135</v>
      </c>
      <c r="AL1268" s="159" t="s">
        <v>186</v>
      </c>
      <c r="AM1268" s="1300" t="s">
        <v>141</v>
      </c>
      <c r="AN1268" s="159" t="s">
        <v>138</v>
      </c>
      <c r="AO1268" s="156">
        <v>92.0</v>
      </c>
      <c r="AP1268" s="336">
        <v>0.436</v>
      </c>
      <c r="AQ1268" s="159" t="s">
        <v>215</v>
      </c>
      <c r="AR1268" s="159" t="s">
        <v>6953</v>
      </c>
      <c r="AS1268" s="156">
        <v>0.001</v>
      </c>
      <c r="AT1268" s="159" t="s">
        <v>135</v>
      </c>
      <c r="AU1268" s="1115" t="s">
        <v>136</v>
      </c>
      <c r="AV1268" s="68" t="s">
        <v>141</v>
      </c>
      <c r="AW1268" s="435" t="s">
        <v>7174</v>
      </c>
      <c r="AX1268" s="1300" t="s">
        <v>143</v>
      </c>
      <c r="AY1268" s="61" t="str">
        <f>IFERROR(__xludf.DUMMYFUNCTION("vlookup(BB1268,importrange(""https://docs.google.com/spreadsheets/d/1d2vevQ_7D_v35q4wCQ4RpQ_IPoTwEMB9Yp6ymwlPqew/edit?gid=984458430#gid=984458430"", ""'replication success'!A:K""), 11, FAlSE)"),"successful")</f>
        <v>successful</v>
      </c>
      <c r="AZ1268" s="61" t="str">
        <f>IFERROR(__xludf.DUMMYFUNCTION("vlookup(BB1268,importrange(""https://docs.google.com/spreadsheets/d/1d2vevQ_7D_v35q4wCQ4RpQ_IPoTwEMB9Yp6ymwlPqew/edit?gid=984458430#gid=984458430"",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68" s="61" t="str">
        <f>IFERROR(__xludf.DUMMYFUNCTION("vlookup(BB1268,importrange(""https://docs.google.com/spreadsheets/d/1d2vevQ_7D_v35q4wCQ4RpQ_IPoTwEMB9Yp6ymwlPqew/edit?gid=984458430#gid=984458430"", ""'replication success'!A:M""), 13, FAlSE)"),"Table 4 in Supplementary Materials, pg. 54")</f>
        <v>Table 4 in Supplementary Materials, pg. 54</v>
      </c>
      <c r="BB1268" s="61" t="str">
        <f>IFERROR(__xludf.DUMMYFUNCTION("REGEXREPLACE(G1268, ""_[a-z]{1,2}$"", """")"),"Camereretal2018_5_1")</f>
        <v>Camereretal2018_5_1</v>
      </c>
      <c r="BC1268" s="68"/>
      <c r="BD1268" s="68" t="s">
        <v>5074</v>
      </c>
    </row>
    <row r="1269">
      <c r="A1269" s="44">
        <v>1269.0</v>
      </c>
      <c r="B1269" s="68" t="s">
        <v>114</v>
      </c>
      <c r="C1269" s="62" t="s">
        <v>115</v>
      </c>
      <c r="D1269" s="62" t="s">
        <v>1234</v>
      </c>
      <c r="F1269" s="154" t="s">
        <v>7163</v>
      </c>
      <c r="G1269" s="68" t="s">
        <v>7164</v>
      </c>
      <c r="H1269" s="159" t="s">
        <v>6955</v>
      </c>
      <c r="I1269" s="152">
        <v>45663.0</v>
      </c>
      <c r="J1269" s="152">
        <v>45692.0</v>
      </c>
      <c r="K1269" s="68"/>
      <c r="L1269" s="68"/>
      <c r="M1269" s="154" t="s">
        <v>7166</v>
      </c>
      <c r="N1269" s="154" t="s">
        <v>7167</v>
      </c>
      <c r="O1269" s="1059">
        <v>1.0</v>
      </c>
      <c r="P1269" s="159" t="str">
        <f t="shared" si="76"/>
        <v>10.1126--science.1221936.pdf</v>
      </c>
      <c r="Q1269" s="52" t="str">
        <f t="array" ref="Q1269"> if(iserror(MATCH(V1269, 'File Links'!C:C, 0)), "N/A", HYPERLINK(INDEX('File Links'!B:B, MATCH(P1269, 'File Links'!C:C, 0))))</f>
        <v>https://drive.google.com/file/d/1iB1iRJQEIss4hSoqw92nY3NXxa2obChZ/view?usp=drivesdk</v>
      </c>
      <c r="R1269" s="159" t="s">
        <v>6944</v>
      </c>
      <c r="S1269" s="159" t="s">
        <v>6945</v>
      </c>
      <c r="T1269" s="68"/>
      <c r="U1269" s="156">
        <v>2.0</v>
      </c>
      <c r="V1269" s="198" t="str">
        <f t="shared" si="77"/>
        <v>10.1038--s41562-018-0399-z.pdf</v>
      </c>
      <c r="W1269" s="68"/>
      <c r="X1269" s="54" t="str">
        <f t="array" ref="X1269"> if(iserror(MATCH(V1269, 'File Links'!C:C, 0)), "N/A", HYPERLINK(INDEX('File Links'!B:B, MATCH(V1269, 'File Links'!C:C, 0))))</f>
        <v>https://drive.google.com/file/d/1XgVMa01TtKbRfWaCjSCwCg4zPwJV_vw6/view?usp=drivesdk</v>
      </c>
      <c r="Y1269" s="68"/>
      <c r="Z1269" s="159" t="s">
        <v>148</v>
      </c>
      <c r="AA1269" s="68"/>
      <c r="AB1269" s="68"/>
      <c r="AC1269" s="68"/>
      <c r="AD1269" s="1384" t="s">
        <v>7175</v>
      </c>
      <c r="AE1269" s="156">
        <v>486.0</v>
      </c>
      <c r="AF1269" s="156">
        <v>15.0</v>
      </c>
      <c r="AG1269" s="1059">
        <v>0.674</v>
      </c>
      <c r="AH1269" s="1060" t="s">
        <v>215</v>
      </c>
      <c r="AI1269" s="68"/>
      <c r="AJ1269" s="156">
        <v>0.0042</v>
      </c>
      <c r="AK1269" s="159" t="s">
        <v>172</v>
      </c>
      <c r="AL1269" s="68"/>
      <c r="AM1269" s="68" t="s">
        <v>141</v>
      </c>
      <c r="AN1269" s="68"/>
      <c r="AO1269" s="156">
        <v>92.0</v>
      </c>
      <c r="AP1269" s="156">
        <v>0.43646</v>
      </c>
      <c r="AQ1269" s="159" t="s">
        <v>215</v>
      </c>
      <c r="AR1269" s="1060" t="s">
        <v>7176</v>
      </c>
      <c r="AS1269" s="162">
        <v>1.222E-5</v>
      </c>
      <c r="AT1269" s="159" t="s">
        <v>172</v>
      </c>
      <c r="AU1269" s="159" t="s">
        <v>136</v>
      </c>
      <c r="AV1269" s="68" t="s">
        <v>141</v>
      </c>
      <c r="AW1269" s="1385" t="s">
        <v>7177</v>
      </c>
      <c r="AX1269" s="68" t="s">
        <v>143</v>
      </c>
      <c r="AY1269" s="61" t="str">
        <f>IFERROR(__xludf.DUMMYFUNCTION("vlookup(BB1269,importrange(""https://docs.google.com/spreadsheets/d/1d2vevQ_7D_v35q4wCQ4RpQ_IPoTwEMB9Yp6ymwlPqew/edit?gid=984458430#gid=984458430"", ""'replication success'!A:K""), 11, FAlSE)"),"successful")</f>
        <v>successful</v>
      </c>
      <c r="AZ1269" s="61" t="str">
        <f>IFERROR(__xludf.DUMMYFUNCTION("vlookup(BB1269,importrange(""https://docs.google.com/spreadsheets/d/1d2vevQ_7D_v35q4wCQ4RpQ_IPoTwEMB9Yp6ymwlPqew/edit?gid=984458430#gid=984458430"", ""'replication success'!A:M""), 12, FAlSE)"),"[In supplementary table 4, under 'replicated' column, as unsuccessful replications in stage 1, underwent more data collection in stage 2]")</f>
        <v>[In supplementary table 4, under 'replicated' column, as unsuccessful replications in stage 1, underwent more data collection in stage 2]</v>
      </c>
      <c r="BA1269" s="61" t="str">
        <f>IFERROR(__xludf.DUMMYFUNCTION("vlookup(BB1269,importrange(""https://docs.google.com/spreadsheets/d/1d2vevQ_7D_v35q4wCQ4RpQ_IPoTwEMB9Yp6ymwlPqew/edit?gid=984458430#gid=984458430"", ""'replication success'!A:M""), 13, FAlSE)"),"Table 4 in Supplementary Materials, pg. 54")</f>
        <v>Table 4 in Supplementary Materials, pg. 54</v>
      </c>
      <c r="BB1269" s="61" t="str">
        <f>IFERROR(__xludf.DUMMYFUNCTION("REGEXREPLACE(G1269, ""_[a-z]{1,2}$"", """")"),"Camereretal2018_5_1")</f>
        <v>Camereretal2018_5_1</v>
      </c>
      <c r="BC1269" s="68"/>
      <c r="BD1269" s="68" t="s">
        <v>5074</v>
      </c>
    </row>
    <row r="1270">
      <c r="A1270" s="44">
        <v>1270.0</v>
      </c>
      <c r="B1270" s="68" t="s">
        <v>590</v>
      </c>
      <c r="C1270" s="62" t="s">
        <v>115</v>
      </c>
      <c r="D1270" s="62" t="s">
        <v>232</v>
      </c>
      <c r="F1270" s="154" t="s">
        <v>7178</v>
      </c>
      <c r="G1270" s="68" t="s">
        <v>7179</v>
      </c>
      <c r="H1270" s="159" t="s">
        <v>6940</v>
      </c>
      <c r="I1270" s="152">
        <v>45687.0</v>
      </c>
      <c r="J1270" s="152">
        <v>45692.0</v>
      </c>
      <c r="K1270" s="159" t="s">
        <v>7180</v>
      </c>
      <c r="L1270" s="151" t="s">
        <v>7181</v>
      </c>
      <c r="M1270" s="159" t="s">
        <v>7182</v>
      </c>
      <c r="N1270" s="159" t="s">
        <v>7183</v>
      </c>
      <c r="O1270" s="156">
        <v>2.0</v>
      </c>
      <c r="P1270" s="159" t="str">
        <f t="shared" si="76"/>
        <v>10.1126--science.1215647.pdf</v>
      </c>
      <c r="Q1270" s="52" t="str">
        <f t="array" ref="Q1270"> if(iserror(MATCH(V1270, 'File Links'!C:C, 0)), "N/A", HYPERLINK(INDEX('File Links'!B:B, MATCH(P1270, 'File Links'!C:C, 0))))</f>
        <v>https://drive.google.com/file/d/1Vg-OUhY15FAok2mtyokmeZIHZaqgAHg5/view?usp=drivesdk</v>
      </c>
      <c r="R1270" s="159" t="s">
        <v>6944</v>
      </c>
      <c r="S1270" s="159" t="s">
        <v>6945</v>
      </c>
      <c r="T1270" s="1389" t="s">
        <v>7184</v>
      </c>
      <c r="U1270" s="156">
        <v>6.0</v>
      </c>
      <c r="V1270" s="198" t="str">
        <f t="shared" si="77"/>
        <v>10.1038--s41562-018-0399-z.pdf</v>
      </c>
      <c r="W1270" s="159" t="s">
        <v>209</v>
      </c>
      <c r="X1270" s="54" t="str">
        <f t="array" ref="X1270"> if(iserror(MATCH(V1270, 'File Links'!C:C, 0)), "N/A", HYPERLINK(INDEX('File Links'!B:B, MATCH(V1270, 'File Links'!C:C, 0))))</f>
        <v>https://drive.google.com/file/d/1XgVMa01TtKbRfWaCjSCwCg4zPwJV_vw6/view?usp=drivesdk</v>
      </c>
      <c r="Y1270" s="68"/>
      <c r="Z1270" s="159" t="s">
        <v>226</v>
      </c>
      <c r="AA1270" s="159" t="s">
        <v>7185</v>
      </c>
      <c r="AB1270" s="159" t="s">
        <v>6948</v>
      </c>
      <c r="AC1270" s="159" t="s">
        <v>7186</v>
      </c>
      <c r="AD1270" s="159" t="s">
        <v>7187</v>
      </c>
      <c r="AE1270" s="159" t="s">
        <v>7188</v>
      </c>
      <c r="AF1270" s="156">
        <v>57.0</v>
      </c>
      <c r="AG1270" s="156">
        <v>0.59</v>
      </c>
      <c r="AH1270" s="159" t="s">
        <v>173</v>
      </c>
      <c r="AI1270" s="159" t="s">
        <v>7188</v>
      </c>
      <c r="AJ1270" s="156">
        <v>0.03</v>
      </c>
      <c r="AK1270" s="159" t="s">
        <v>172</v>
      </c>
      <c r="AL1270" s="159" t="s">
        <v>136</v>
      </c>
      <c r="AM1270" s="68" t="s">
        <v>137</v>
      </c>
      <c r="AN1270" s="159" t="s">
        <v>138</v>
      </c>
      <c r="AO1270" s="156">
        <v>531.0</v>
      </c>
      <c r="AP1270" s="336">
        <v>-0.035</v>
      </c>
      <c r="AQ1270" s="159" t="s">
        <v>215</v>
      </c>
      <c r="AR1270" s="159" t="s">
        <v>6953</v>
      </c>
      <c r="AS1270" s="496">
        <v>0.415</v>
      </c>
      <c r="AT1270" s="159" t="s">
        <v>172</v>
      </c>
      <c r="AU1270" s="1115" t="s">
        <v>136</v>
      </c>
      <c r="AV1270" s="68" t="s">
        <v>137</v>
      </c>
      <c r="AW1270" s="435" t="s">
        <v>7189</v>
      </c>
      <c r="AX1270" s="1300" t="s">
        <v>143</v>
      </c>
      <c r="AY1270" s="61" t="str">
        <f>IFERROR(__xludf.DUMMYFUNCTION("vlookup(BB1270,importrange(""https://docs.google.com/spreadsheets/d/1d2vevQ_7D_v35q4wCQ4RpQ_IPoTwEMB9Yp6ymwlPqew/edit?gid=984458430#gid=984458430"", ""'replication success'!A:K""), 11, FAlSE)"),"#N/A")</f>
        <v>#N/A</v>
      </c>
      <c r="AZ1270" s="61" t="str">
        <f>IFERROR(__xludf.DUMMYFUNCTION("vlookup(BB1270,importrange(""https://docs.google.com/spreadsheets/d/1d2vevQ_7D_v35q4wCQ4RpQ_IPoTwEMB9Yp6ymwlPqew/edit?gid=984458430#gid=984458430"", ""'replication success'!A:M""), 12, FAlSE)"),"#N/A")</f>
        <v>#N/A</v>
      </c>
      <c r="BA1270" s="61" t="str">
        <f>IFERROR(__xludf.DUMMYFUNCTION("vlookup(BB1270,importrange(""https://docs.google.com/spreadsheets/d/1d2vevQ_7D_v35q4wCQ4RpQ_IPoTwEMB9Yp6ymwlPqew/edit?gid=984458430#gid=984458430"", ""'replication success'!A:M""), 13, FAlSE)"),"#N/A")</f>
        <v>#N/A</v>
      </c>
      <c r="BB1270" s="61" t="str">
        <f>IFERROR(__xludf.DUMMYFUNCTION("REGEXREPLACE(G1270, ""_[a-z]{1,2}$"", """")"),"Camereretal2018_6_1")</f>
        <v>Camereretal2018_6_1</v>
      </c>
      <c r="BC1270" s="68"/>
      <c r="BD1270" s="68" t="s">
        <v>5074</v>
      </c>
    </row>
    <row r="1271">
      <c r="A1271" s="44">
        <v>1271.0</v>
      </c>
      <c r="B1271" s="68" t="s">
        <v>114</v>
      </c>
      <c r="C1271" s="62" t="s">
        <v>115</v>
      </c>
      <c r="D1271" s="62" t="s">
        <v>1234</v>
      </c>
      <c r="F1271" s="154" t="s">
        <v>7178</v>
      </c>
      <c r="G1271" s="68" t="s">
        <v>7179</v>
      </c>
      <c r="H1271" s="159" t="s">
        <v>6955</v>
      </c>
      <c r="I1271" s="152">
        <v>45663.0</v>
      </c>
      <c r="J1271" s="152">
        <v>45692.0</v>
      </c>
      <c r="K1271" s="68"/>
      <c r="L1271" s="68"/>
      <c r="M1271" s="154" t="s">
        <v>7182</v>
      </c>
      <c r="N1271" s="154" t="s">
        <v>7183</v>
      </c>
      <c r="O1271" s="156">
        <v>2.0</v>
      </c>
      <c r="P1271" s="159" t="str">
        <f t="shared" si="76"/>
        <v>10.1126--science.1215647.pdf</v>
      </c>
      <c r="Q1271" s="52" t="str">
        <f t="array" ref="Q1271"> if(iserror(MATCH(V1271, 'File Links'!C:C, 0)), "N/A", HYPERLINK(INDEX('File Links'!B:B, MATCH(P1271, 'File Links'!C:C, 0))))</f>
        <v>https://drive.google.com/file/d/1Vg-OUhY15FAok2mtyokmeZIHZaqgAHg5/view?usp=drivesdk</v>
      </c>
      <c r="R1271" s="159" t="s">
        <v>6944</v>
      </c>
      <c r="S1271" s="159" t="s">
        <v>6945</v>
      </c>
      <c r="T1271" s="68"/>
      <c r="U1271" s="156">
        <v>2.0</v>
      </c>
      <c r="V1271" s="198" t="str">
        <f t="shared" si="77"/>
        <v>10.1038--s41562-018-0399-z.pdf</v>
      </c>
      <c r="W1271" s="68"/>
      <c r="X1271" s="54" t="str">
        <f t="array" ref="X1271"> if(iserror(MATCH(V1271, 'File Links'!C:C, 0)), "N/A", HYPERLINK(INDEX('File Links'!B:B, MATCH(V1271, 'File Links'!C:C, 0))))</f>
        <v>https://drive.google.com/file/d/1XgVMa01TtKbRfWaCjSCwCg4zPwJV_vw6/view?usp=drivesdk</v>
      </c>
      <c r="Y1271" s="68"/>
      <c r="Z1271" s="159" t="s">
        <v>226</v>
      </c>
      <c r="AA1271" s="68"/>
      <c r="AB1271" s="68"/>
      <c r="AC1271" s="68"/>
      <c r="AD1271" s="1384" t="s">
        <v>7190</v>
      </c>
      <c r="AE1271" s="156">
        <v>494.0</v>
      </c>
      <c r="AF1271" s="156">
        <v>57.0</v>
      </c>
      <c r="AG1271" s="1059">
        <v>0.289</v>
      </c>
      <c r="AH1271" s="1060" t="s">
        <v>215</v>
      </c>
      <c r="AI1271" s="68"/>
      <c r="AJ1271" s="156">
        <v>0.03</v>
      </c>
      <c r="AK1271" s="159" t="s">
        <v>172</v>
      </c>
      <c r="AL1271" s="68"/>
      <c r="AM1271" s="68"/>
      <c r="AN1271" s="68"/>
      <c r="AO1271" s="156">
        <v>531.0</v>
      </c>
      <c r="AP1271" s="1059">
        <v>-0.04</v>
      </c>
      <c r="AQ1271" s="68"/>
      <c r="AR1271" s="68"/>
      <c r="AS1271" s="496">
        <v>0.414</v>
      </c>
      <c r="AT1271" s="159" t="s">
        <v>172</v>
      </c>
      <c r="AU1271" s="159" t="s">
        <v>136</v>
      </c>
      <c r="AV1271" s="68"/>
      <c r="AW1271" s="1385" t="s">
        <v>7191</v>
      </c>
      <c r="AX1271" s="68" t="s">
        <v>143</v>
      </c>
      <c r="AY1271" s="61" t="str">
        <f>IFERROR(__xludf.DUMMYFUNCTION("vlookup(BB1271,importrange(""https://docs.google.com/spreadsheets/d/1d2vevQ_7D_v35q4wCQ4RpQ_IPoTwEMB9Yp6ymwlPqew/edit?gid=984458430#gid=984458430"", ""'replication success'!A:K""), 11, FAlSE)"),"#N/A")</f>
        <v>#N/A</v>
      </c>
      <c r="AZ1271" s="61" t="str">
        <f>IFERROR(__xludf.DUMMYFUNCTION("vlookup(BB1271,importrange(""https://docs.google.com/spreadsheets/d/1d2vevQ_7D_v35q4wCQ4RpQ_IPoTwEMB9Yp6ymwlPqew/edit?gid=984458430#gid=984458430"", ""'replication success'!A:M""), 12, FAlSE)"),"#N/A")</f>
        <v>#N/A</v>
      </c>
      <c r="BA1271" s="61" t="str">
        <f>IFERROR(__xludf.DUMMYFUNCTION("vlookup(BB1271,importrange(""https://docs.google.com/spreadsheets/d/1d2vevQ_7D_v35q4wCQ4RpQ_IPoTwEMB9Yp6ymwlPqew/edit?gid=984458430#gid=984458430"", ""'replication success'!A:M""), 13, FAlSE)"),"#N/A")</f>
        <v>#N/A</v>
      </c>
      <c r="BB1271" s="61" t="str">
        <f>IFERROR(__xludf.DUMMYFUNCTION("REGEXREPLACE(G1271, ""_[a-z]{1,2}$"", """")"),"Camereretal2018_6_1")</f>
        <v>Camereretal2018_6_1</v>
      </c>
      <c r="BC1271" s="68"/>
      <c r="BD1271" s="68" t="s">
        <v>5074</v>
      </c>
    </row>
    <row r="1272">
      <c r="A1272" s="44">
        <v>1272.0</v>
      </c>
      <c r="B1272" s="68" t="s">
        <v>590</v>
      </c>
      <c r="C1272" s="62" t="s">
        <v>115</v>
      </c>
      <c r="D1272" s="62" t="s">
        <v>232</v>
      </c>
      <c r="F1272" s="154" t="s">
        <v>7192</v>
      </c>
      <c r="G1272" s="159" t="str">
        <f>F1272&amp;"_"&amp;COUNTIF($C$3:F1272, F1272)</f>
        <v>Camereretal2018_7_1</v>
      </c>
      <c r="H1272" s="159" t="s">
        <v>6940</v>
      </c>
      <c r="I1272" s="152">
        <v>45687.0</v>
      </c>
      <c r="J1272" s="152">
        <v>45692.0</v>
      </c>
      <c r="K1272" s="159" t="s">
        <v>7193</v>
      </c>
      <c r="L1272" s="159" t="s">
        <v>7194</v>
      </c>
      <c r="M1272" s="159" t="s">
        <v>7195</v>
      </c>
      <c r="N1272" s="159" t="s">
        <v>7196</v>
      </c>
      <c r="O1272" s="156">
        <v>1.0</v>
      </c>
      <c r="P1272" s="159" t="str">
        <f t="shared" si="76"/>
        <v>10.1126--science.1253932.pdf</v>
      </c>
      <c r="Q1272" s="52" t="str">
        <f t="array" ref="Q1272"> if(iserror(MATCH(V1272, 'File Links'!C:C, 0)), "N/A", HYPERLINK(INDEX('File Links'!B:B, MATCH(P1272, 'File Links'!C:C, 0))))</f>
        <v>https://drive.google.com/file/d/1u3UeZsgg-pu1ZHEEX1uaXHGyGnnbQIHr/view?usp=drivesdk</v>
      </c>
      <c r="R1272" s="159" t="s">
        <v>6944</v>
      </c>
      <c r="S1272" s="159" t="s">
        <v>6945</v>
      </c>
      <c r="T1272" s="1389" t="s">
        <v>7197</v>
      </c>
      <c r="U1272" s="156">
        <v>7.0</v>
      </c>
      <c r="V1272" s="198" t="str">
        <f t="shared" si="77"/>
        <v>10.1038--s41562-018-0399-z.pdf</v>
      </c>
      <c r="W1272" s="159" t="s">
        <v>209</v>
      </c>
      <c r="X1272" s="54" t="str">
        <f t="array" ref="X1272"> if(iserror(MATCH(V1272, 'File Links'!C:C, 0)), "N/A", HYPERLINK(INDEX('File Links'!B:B, MATCH(V1272, 'File Links'!C:C, 0))))</f>
        <v>https://drive.google.com/file/d/1XgVMa01TtKbRfWaCjSCwCg4zPwJV_vw6/view?usp=drivesdk</v>
      </c>
      <c r="Y1272" s="68"/>
      <c r="Z1272" s="159" t="s">
        <v>210</v>
      </c>
      <c r="AA1272" s="68"/>
      <c r="AB1272" s="159" t="s">
        <v>6948</v>
      </c>
      <c r="AC1272" s="159" t="s">
        <v>7198</v>
      </c>
      <c r="AD1272" s="68" t="s">
        <v>7199</v>
      </c>
      <c r="AE1272" s="68" t="s">
        <v>7200</v>
      </c>
      <c r="AF1272" s="496">
        <v>178.0</v>
      </c>
      <c r="AG1272" s="1120">
        <v>0.38892740882854915</v>
      </c>
      <c r="AH1272" s="159" t="s">
        <v>722</v>
      </c>
      <c r="AI1272" s="159" t="s">
        <v>7201</v>
      </c>
      <c r="AJ1272" s="156">
        <v>0.01</v>
      </c>
      <c r="AK1272" s="159" t="s">
        <v>135</v>
      </c>
      <c r="AL1272" s="159" t="s">
        <v>186</v>
      </c>
      <c r="AM1272" s="68" t="s">
        <v>137</v>
      </c>
      <c r="AN1272" s="159" t="s">
        <v>138</v>
      </c>
      <c r="AO1272" s="156">
        <v>407.0</v>
      </c>
      <c r="AP1272" s="336">
        <v>0.182</v>
      </c>
      <c r="AQ1272" s="159" t="s">
        <v>215</v>
      </c>
      <c r="AR1272" s="159" t="s">
        <v>6970</v>
      </c>
      <c r="AS1272" s="156">
        <v>0.001</v>
      </c>
      <c r="AT1272" s="159" t="s">
        <v>135</v>
      </c>
      <c r="AU1272" s="159" t="s">
        <v>186</v>
      </c>
      <c r="AV1272" s="68" t="s">
        <v>1905</v>
      </c>
      <c r="AW1272" s="435" t="s">
        <v>7202</v>
      </c>
      <c r="AX1272" s="1300" t="s">
        <v>143</v>
      </c>
      <c r="AY1272" s="61" t="str">
        <f>IFERROR(__xludf.DUMMYFUNCTION("vlookup(BB1272,importrange(""https://docs.google.com/spreadsheets/d/1d2vevQ_7D_v35q4wCQ4RpQ_IPoTwEMB9Yp6ymwlPqew/edit?gid=984458430#gid=984458430"", ""'replication success'!A:K""), 11, FAlSE)"),"#N/A")</f>
        <v>#N/A</v>
      </c>
      <c r="AZ1272" s="61" t="str">
        <f>IFERROR(__xludf.DUMMYFUNCTION("vlookup(BB1272,importrange(""https://docs.google.com/spreadsheets/d/1d2vevQ_7D_v35q4wCQ4RpQ_IPoTwEMB9Yp6ymwlPqew/edit?gid=984458430#gid=984458430"", ""'replication success'!A:M""), 12, FAlSE)"),"#N/A")</f>
        <v>#N/A</v>
      </c>
      <c r="BA1272" s="61" t="str">
        <f>IFERROR(__xludf.DUMMYFUNCTION("vlookup(BB1272,importrange(""https://docs.google.com/spreadsheets/d/1d2vevQ_7D_v35q4wCQ4RpQ_IPoTwEMB9Yp6ymwlPqew/edit?gid=984458430#gid=984458430"", ""'replication success'!A:M""), 13, FAlSE)"),"#N/A")</f>
        <v>#N/A</v>
      </c>
      <c r="BB1272" s="61" t="str">
        <f>IFERROR(__xludf.DUMMYFUNCTION("REGEXREPLACE(G1272, ""_[a-z]{1,2}$"", """")"),"Camereretal2018_7_1")</f>
        <v>Camereretal2018_7_1</v>
      </c>
      <c r="BC1272" s="68"/>
      <c r="BD1272" s="68" t="s">
        <v>5074</v>
      </c>
    </row>
    <row r="1273">
      <c r="A1273" s="44">
        <v>1273.0</v>
      </c>
      <c r="B1273" s="68" t="s">
        <v>114</v>
      </c>
      <c r="C1273" s="62" t="s">
        <v>115</v>
      </c>
      <c r="D1273" s="62" t="s">
        <v>1234</v>
      </c>
      <c r="F1273" s="154" t="s">
        <v>7192</v>
      </c>
      <c r="G1273" s="159" t="s">
        <v>7203</v>
      </c>
      <c r="H1273" s="159" t="s">
        <v>6955</v>
      </c>
      <c r="I1273" s="152">
        <v>45663.0</v>
      </c>
      <c r="J1273" s="152">
        <v>45692.0</v>
      </c>
      <c r="K1273" s="68"/>
      <c r="L1273" s="68"/>
      <c r="M1273" s="154" t="s">
        <v>7195</v>
      </c>
      <c r="N1273" s="154" t="s">
        <v>7196</v>
      </c>
      <c r="O1273" s="156">
        <v>1.0</v>
      </c>
      <c r="P1273" s="159" t="str">
        <f t="shared" si="76"/>
        <v>10.1126--science.1253932.pdf</v>
      </c>
      <c r="Q1273" s="52" t="str">
        <f t="array" ref="Q1273"> if(iserror(MATCH(V1273, 'File Links'!C:C, 0)), "N/A", HYPERLINK(INDEX('File Links'!B:B, MATCH(P1273, 'File Links'!C:C, 0))))</f>
        <v>https://drive.google.com/file/d/1u3UeZsgg-pu1ZHEEX1uaXHGyGnnbQIHr/view?usp=drivesdk</v>
      </c>
      <c r="R1273" s="159" t="s">
        <v>6944</v>
      </c>
      <c r="S1273" s="159" t="s">
        <v>6945</v>
      </c>
      <c r="T1273" s="68"/>
      <c r="U1273" s="156">
        <v>1.0</v>
      </c>
      <c r="V1273" s="198" t="str">
        <f t="shared" si="77"/>
        <v>10.1038--s41562-018-0399-z.pdf</v>
      </c>
      <c r="W1273" s="68"/>
      <c r="X1273" s="54" t="str">
        <f t="array" ref="X1273"> if(iserror(MATCH(V1273, 'File Links'!C:C, 0)), "N/A", HYPERLINK(INDEX('File Links'!B:B, MATCH(V1273, 'File Links'!C:C, 0))))</f>
        <v>https://drive.google.com/file/d/1XgVMa01TtKbRfWaCjSCwCg4zPwJV_vw6/view?usp=drivesdk</v>
      </c>
      <c r="Y1273" s="68"/>
      <c r="Z1273" s="159" t="s">
        <v>1809</v>
      </c>
      <c r="AA1273" s="68"/>
      <c r="AB1273" s="68"/>
      <c r="AC1273" s="68"/>
      <c r="AD1273" s="1397" t="s">
        <v>7204</v>
      </c>
      <c r="AE1273" s="156">
        <v>633.0</v>
      </c>
      <c r="AF1273" s="1059">
        <v>449.0</v>
      </c>
      <c r="AG1273" s="1059">
        <v>0.223</v>
      </c>
      <c r="AH1273" s="1060" t="s">
        <v>215</v>
      </c>
      <c r="AI1273" s="68"/>
      <c r="AJ1273" s="156">
        <v>0.0027</v>
      </c>
      <c r="AK1273" s="159" t="s">
        <v>172</v>
      </c>
      <c r="AL1273" s="68"/>
      <c r="AM1273" s="68" t="s">
        <v>137</v>
      </c>
      <c r="AN1273" s="68"/>
      <c r="AO1273" s="156">
        <v>407.0</v>
      </c>
      <c r="AP1273" s="1059">
        <v>0.3702</v>
      </c>
      <c r="AQ1273" s="1060" t="s">
        <v>2805</v>
      </c>
      <c r="AR1273" s="1060" t="s">
        <v>7205</v>
      </c>
      <c r="AS1273" s="1059">
        <v>2.1E-4</v>
      </c>
      <c r="AT1273" s="159" t="s">
        <v>172</v>
      </c>
      <c r="AU1273" s="159" t="s">
        <v>136</v>
      </c>
      <c r="AV1273" s="68"/>
      <c r="AW1273" s="1385" t="s">
        <v>7206</v>
      </c>
      <c r="AX1273" s="68" t="s">
        <v>143</v>
      </c>
      <c r="AY1273" s="61" t="str">
        <f>IFERROR(__xludf.DUMMYFUNCTION("vlookup(BB1273,importrange(""https://docs.google.com/spreadsheets/d/1d2vevQ_7D_v35q4wCQ4RpQ_IPoTwEMB9Yp6ymwlPqew/edit?gid=984458430#gid=984458430"", ""'replication success'!A:K""), 11, FAlSE)"),"#N/A")</f>
        <v>#N/A</v>
      </c>
      <c r="AZ1273" s="61" t="str">
        <f>IFERROR(__xludf.DUMMYFUNCTION("vlookup(BB1273,importrange(""https://docs.google.com/spreadsheets/d/1d2vevQ_7D_v35q4wCQ4RpQ_IPoTwEMB9Yp6ymwlPqew/edit?gid=984458430#gid=984458430"", ""'replication success'!A:M""), 12, FAlSE)"),"#N/A")</f>
        <v>#N/A</v>
      </c>
      <c r="BA1273" s="61" t="str">
        <f>IFERROR(__xludf.DUMMYFUNCTION("vlookup(BB1273,importrange(""https://docs.google.com/spreadsheets/d/1d2vevQ_7D_v35q4wCQ4RpQ_IPoTwEMB9Yp6ymwlPqew/edit?gid=984458430#gid=984458430"", ""'replication success'!A:M""), 13, FAlSE)"),"#N/A")</f>
        <v>#N/A</v>
      </c>
      <c r="BB1273" s="61" t="str">
        <f>IFERROR(__xludf.DUMMYFUNCTION("REGEXREPLACE(G1273, ""_[a-z]{1,2}$"", """")"),"Camereretal2018_7_1")</f>
        <v>Camereretal2018_7_1</v>
      </c>
      <c r="BC1273" s="68"/>
      <c r="BD1273" s="68" t="s">
        <v>5074</v>
      </c>
    </row>
    <row r="1274">
      <c r="A1274" s="44">
        <v>1274.0</v>
      </c>
      <c r="B1274" s="129" t="s">
        <v>152</v>
      </c>
      <c r="C1274" s="62" t="s">
        <v>115</v>
      </c>
      <c r="D1274" s="62" t="s">
        <v>232</v>
      </c>
      <c r="F1274" s="154" t="s">
        <v>7207</v>
      </c>
      <c r="G1274" s="159" t="str">
        <f>F1274&amp;"_"&amp;COUNTIF($C$3:F1274, F1274)</f>
        <v>Camereretal2018_8_1</v>
      </c>
      <c r="H1274" s="159" t="s">
        <v>6940</v>
      </c>
      <c r="I1274" s="152">
        <v>45687.0</v>
      </c>
      <c r="J1274" s="152">
        <v>45692.0</v>
      </c>
      <c r="K1274" s="68"/>
      <c r="L1274" s="159" t="s">
        <v>7208</v>
      </c>
      <c r="M1274" s="159" t="s">
        <v>7209</v>
      </c>
      <c r="N1274" s="159" t="s">
        <v>7210</v>
      </c>
      <c r="O1274" s="156">
        <v>1.0</v>
      </c>
      <c r="P1274" s="159" t="str">
        <f t="shared" si="76"/>
        <v>10.1038--nature13530.pdf</v>
      </c>
      <c r="Q1274" s="52" t="str">
        <f t="array" ref="Q1274"> if(iserror(MATCH(V1274, 'File Links'!C:C, 0)), "N/A", HYPERLINK(INDEX('File Links'!B:B, MATCH(P1274, 'File Links'!C:C, 0))))</f>
        <v>https://drive.google.com/file/d/1-E1dAlVOdBXhL1-Ucgrt44k9SzyhPTJ-/view?usp=drivesdk</v>
      </c>
      <c r="R1274" s="159" t="s">
        <v>6944</v>
      </c>
      <c r="S1274" s="159" t="s">
        <v>6945</v>
      </c>
      <c r="T1274" s="1389" t="s">
        <v>7211</v>
      </c>
      <c r="U1274" s="156">
        <v>8.0</v>
      </c>
      <c r="V1274" s="198" t="str">
        <f t="shared" si="77"/>
        <v>10.1038--s41562-018-0399-z.pdf</v>
      </c>
      <c r="W1274" s="159" t="s">
        <v>209</v>
      </c>
      <c r="X1274" s="54" t="str">
        <f t="array" ref="X1274"> if(iserror(MATCH(V1274, 'File Links'!C:C, 0)), "N/A", HYPERLINK(INDEX('File Links'!B:B, MATCH(V1274, 'File Links'!C:C, 0))))</f>
        <v>https://drive.google.com/file/d/1XgVMa01TtKbRfWaCjSCwCg4zPwJV_vw6/view?usp=drivesdk</v>
      </c>
      <c r="Y1274" s="68"/>
      <c r="Z1274" s="159" t="s">
        <v>226</v>
      </c>
      <c r="AA1274" s="374" t="s">
        <v>138</v>
      </c>
      <c r="AB1274" s="159" t="s">
        <v>6948</v>
      </c>
      <c r="AC1274" s="159" t="s">
        <v>7212</v>
      </c>
      <c r="AD1274" s="159" t="s">
        <v>7213</v>
      </c>
      <c r="AE1274" s="68" t="s">
        <v>812</v>
      </c>
      <c r="AF1274" s="156">
        <v>40.0</v>
      </c>
      <c r="AG1274" s="156">
        <v>0.8</v>
      </c>
      <c r="AH1274" s="194" t="s">
        <v>360</v>
      </c>
      <c r="AI1274" s="159" t="s">
        <v>7214</v>
      </c>
      <c r="AJ1274" s="156">
        <v>0.001</v>
      </c>
      <c r="AK1274" s="159" t="s">
        <v>135</v>
      </c>
      <c r="AL1274" s="159" t="s">
        <v>186</v>
      </c>
      <c r="AM1274" s="68" t="s">
        <v>137</v>
      </c>
      <c r="AN1274" s="159" t="s">
        <v>138</v>
      </c>
      <c r="AO1274" s="156">
        <v>22.0</v>
      </c>
      <c r="AP1274" s="336">
        <v>0.832</v>
      </c>
      <c r="AQ1274" s="159" t="s">
        <v>215</v>
      </c>
      <c r="AR1274" s="159" t="s">
        <v>6970</v>
      </c>
      <c r="AS1274" s="156">
        <v>0.001</v>
      </c>
      <c r="AT1274" s="159" t="s">
        <v>135</v>
      </c>
      <c r="AU1274" s="159" t="s">
        <v>136</v>
      </c>
      <c r="AV1274" s="68" t="s">
        <v>137</v>
      </c>
      <c r="AW1274" s="435" t="s">
        <v>7215</v>
      </c>
      <c r="AX1274" s="1300" t="s">
        <v>143</v>
      </c>
      <c r="AY1274" s="61" t="str">
        <f>IFERROR(__xludf.DUMMYFUNCTION("vlookup(BB1274,importrange(""https://docs.google.com/spreadsheets/d/1d2vevQ_7D_v35q4wCQ4RpQ_IPoTwEMB9Yp6ymwlPqew/edit?gid=984458430#gid=984458430"", ""'replication success'!A:K""), 11, FAlSE)"),"successful")</f>
        <v>successful</v>
      </c>
      <c r="AZ1274" s="91" t="str">
        <f>IFERROR(__xludf.DUMMYFUNCTION("vlookup(BB1274,importrange(""https://docs.google.com/spreadsheets/d/1d2vevQ_7D_v35q4wCQ4RpQ_IPoTwEMB9Yp6ymwlPqew/edit?gid=984458430#gid=984458430"",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74" s="61" t="str">
        <f>IFERROR(__xludf.DUMMYFUNCTION("vlookup(BB1274,importrange(""https://docs.google.com/spreadsheets/d/1d2vevQ_7D_v35q4wCQ4RpQ_IPoTwEMB9Yp6ymwlPqew/edit?gid=984458430#gid=984458430"", ""'replication success'!A:M""), 13, FAlSE)"),"Table 3 in Supplementary Materials, pg. 53")</f>
        <v>Table 3 in Supplementary Materials, pg. 53</v>
      </c>
      <c r="BB1274" s="61" t="str">
        <f>IFERROR(__xludf.DUMMYFUNCTION("REGEXREPLACE(G1274, ""_[a-z]{1,2}$"", """")"),"Camereretal2018_8_1")</f>
        <v>Camereretal2018_8_1</v>
      </c>
      <c r="BC1274" s="68"/>
      <c r="BD1274" s="68" t="s">
        <v>5074</v>
      </c>
    </row>
    <row r="1275">
      <c r="A1275" s="44">
        <v>1275.0</v>
      </c>
      <c r="B1275" s="68" t="s">
        <v>114</v>
      </c>
      <c r="C1275" s="62" t="s">
        <v>115</v>
      </c>
      <c r="D1275" s="62" t="s">
        <v>1234</v>
      </c>
      <c r="F1275" s="154" t="s">
        <v>7207</v>
      </c>
      <c r="G1275" s="159" t="s">
        <v>7216</v>
      </c>
      <c r="H1275" s="159" t="s">
        <v>6955</v>
      </c>
      <c r="I1275" s="152">
        <v>45663.0</v>
      </c>
      <c r="J1275" s="152">
        <v>45692.0</v>
      </c>
      <c r="K1275" s="68"/>
      <c r="L1275" s="68"/>
      <c r="M1275" s="154" t="s">
        <v>7209</v>
      </c>
      <c r="N1275" s="154" t="s">
        <v>7210</v>
      </c>
      <c r="O1275" s="156">
        <v>1.0</v>
      </c>
      <c r="P1275" s="159" t="str">
        <f t="shared" si="76"/>
        <v>10.1038--nature13530.pdf</v>
      </c>
      <c r="Q1275" s="52" t="str">
        <f t="array" ref="Q1275"> if(iserror(MATCH(V1275, 'File Links'!C:C, 0)), "N/A", HYPERLINK(INDEX('File Links'!B:B, MATCH(P1275, 'File Links'!C:C, 0))))</f>
        <v>https://drive.google.com/file/d/1-E1dAlVOdBXhL1-Ucgrt44k9SzyhPTJ-/view?usp=drivesdk</v>
      </c>
      <c r="R1275" s="159" t="s">
        <v>6944</v>
      </c>
      <c r="S1275" s="159" t="s">
        <v>6945</v>
      </c>
      <c r="T1275" s="68"/>
      <c r="U1275" s="156">
        <v>1.0</v>
      </c>
      <c r="V1275" s="198" t="str">
        <f t="shared" si="77"/>
        <v>10.1038--s41562-018-0399-z.pdf</v>
      </c>
      <c r="W1275" s="68"/>
      <c r="X1275" s="54" t="str">
        <f t="array" ref="X1275"> if(iserror(MATCH(V1275, 'File Links'!C:C, 0)), "N/A", HYPERLINK(INDEX('File Links'!B:B, MATCH(V1275, 'File Links'!C:C, 0))))</f>
        <v>https://drive.google.com/file/d/1XgVMa01TtKbRfWaCjSCwCg4zPwJV_vw6/view?usp=drivesdk</v>
      </c>
      <c r="Y1275" s="68"/>
      <c r="Z1275" s="159" t="s">
        <v>2940</v>
      </c>
      <c r="AA1275" s="68"/>
      <c r="AB1275" s="68"/>
      <c r="AC1275" s="68"/>
      <c r="AD1275" s="159" t="s">
        <v>7217</v>
      </c>
      <c r="AE1275" s="156">
        <v>2.0</v>
      </c>
      <c r="AF1275" s="156">
        <v>40.0</v>
      </c>
      <c r="AG1275" s="1059">
        <v>0.816</v>
      </c>
      <c r="AH1275" s="1060" t="s">
        <v>215</v>
      </c>
      <c r="AI1275" s="68"/>
      <c r="AJ1275" s="156">
        <v>0.001</v>
      </c>
      <c r="AK1275" s="159" t="s">
        <v>135</v>
      </c>
      <c r="AL1275" s="68"/>
      <c r="AM1275" s="68" t="s">
        <v>137</v>
      </c>
      <c r="AN1275" s="68"/>
      <c r="AO1275" s="156">
        <v>22.0</v>
      </c>
      <c r="AP1275" s="156">
        <v>0.8320501</v>
      </c>
      <c r="AQ1275" s="159" t="s">
        <v>215</v>
      </c>
      <c r="AR1275" s="1060" t="s">
        <v>7218</v>
      </c>
      <c r="AS1275" s="156">
        <v>1.58E-6</v>
      </c>
      <c r="AT1275" s="159" t="s">
        <v>172</v>
      </c>
      <c r="AU1275" s="159" t="s">
        <v>136</v>
      </c>
      <c r="AV1275" s="68" t="s">
        <v>137</v>
      </c>
      <c r="AW1275" s="1385" t="s">
        <v>6964</v>
      </c>
      <c r="AX1275" s="68" t="s">
        <v>143</v>
      </c>
      <c r="AY1275" s="61" t="str">
        <f>IFERROR(__xludf.DUMMYFUNCTION("vlookup(BB1275,importrange(""https://docs.google.com/spreadsheets/d/1d2vevQ_7D_v35q4wCQ4RpQ_IPoTwEMB9Yp6ymwlPqew/edit?gid=984458430#gid=984458430"", ""'replication success'!A:K""), 11, FAlSE)"),"successful")</f>
        <v>successful</v>
      </c>
      <c r="AZ1275" s="91" t="str">
        <f>IFERROR(__xludf.DUMMYFUNCTION("vlookup(BB1275,importrange(""https://docs.google.com/spreadsheets/d/1d2vevQ_7D_v35q4wCQ4RpQ_IPoTwEMB9Yp6ymwlPqew/edit?gid=984458430#gid=984458430"", ""'replication success'!A:M""), 12, FAlSE)"),"[In supplementary table 3, under 'replicated' column] https://osf.io/sva2k")</f>
        <v>[In supplementary table 3, under 'replicated' column] https://osf.io/sva2k</v>
      </c>
      <c r="BA1275" s="61" t="str">
        <f>IFERROR(__xludf.DUMMYFUNCTION("vlookup(BB1275,importrange(""https://docs.google.com/spreadsheets/d/1d2vevQ_7D_v35q4wCQ4RpQ_IPoTwEMB9Yp6ymwlPqew/edit?gid=984458430#gid=984458430"", ""'replication success'!A:M""), 13, FAlSE)"),"Table 3 in Supplementary Materials, pg. 53")</f>
        <v>Table 3 in Supplementary Materials, pg. 53</v>
      </c>
      <c r="BB1275" s="61" t="str">
        <f>IFERROR(__xludf.DUMMYFUNCTION("REGEXREPLACE(G1275, ""_[a-z]{1,2}$"", """")"),"Camereretal2018_8_1")</f>
        <v>Camereretal2018_8_1</v>
      </c>
      <c r="BC1275" s="68"/>
      <c r="BD1275" s="68" t="s">
        <v>5074</v>
      </c>
    </row>
    <row r="1276">
      <c r="A1276" s="44">
        <v>1276.0</v>
      </c>
      <c r="B1276" s="68" t="s">
        <v>590</v>
      </c>
      <c r="C1276" s="62" t="s">
        <v>115</v>
      </c>
      <c r="D1276" s="62" t="s">
        <v>232</v>
      </c>
      <c r="F1276" s="154" t="s">
        <v>7219</v>
      </c>
      <c r="G1276" s="159" t="str">
        <f>F1276&amp;"_"&amp;COUNTIF($C$3:F1276, F1276)</f>
        <v>Camereretal2018_9_1</v>
      </c>
      <c r="H1276" s="159" t="s">
        <v>6940</v>
      </c>
      <c r="I1276" s="152">
        <v>45687.0</v>
      </c>
      <c r="J1276" s="152">
        <v>45692.0</v>
      </c>
      <c r="K1276" s="159" t="s">
        <v>7220</v>
      </c>
      <c r="L1276" s="159" t="s">
        <v>7221</v>
      </c>
      <c r="M1276" s="159" t="s">
        <v>7222</v>
      </c>
      <c r="N1276" s="159" t="s">
        <v>7223</v>
      </c>
      <c r="O1276" s="156">
        <v>1.0</v>
      </c>
      <c r="P1276" s="159" t="str">
        <f t="shared" si="76"/>
        <v>10.1126--science.1183532.pdf</v>
      </c>
      <c r="Q1276" s="52" t="str">
        <f t="array" ref="Q1276"> if(iserror(MATCH(V1276, 'File Links'!C:C, 0)), "N/A", HYPERLINK(INDEX('File Links'!B:B, MATCH(P1276, 'File Links'!C:C, 0))))</f>
        <v>https://drive.google.com/file/d/1evQDXWr9N4KV0RMwcCRfMKAkbspCGUUG/view?usp=drivesdk</v>
      </c>
      <c r="R1276" s="159" t="s">
        <v>6944</v>
      </c>
      <c r="S1276" s="159" t="s">
        <v>6945</v>
      </c>
      <c r="T1276" s="1389" t="s">
        <v>7224</v>
      </c>
      <c r="U1276" s="156">
        <v>9.0</v>
      </c>
      <c r="V1276" s="198" t="str">
        <f t="shared" si="77"/>
        <v>10.1038--s41562-018-0399-z.pdf</v>
      </c>
      <c r="W1276" s="159" t="s">
        <v>209</v>
      </c>
      <c r="X1276" s="54" t="str">
        <f t="array" ref="X1276"> if(iserror(MATCH(V1276, 'File Links'!C:C, 0)), "N/A", HYPERLINK(INDEX('File Links'!B:B, MATCH(V1276, 'File Links'!C:C, 0))))</f>
        <v>https://drive.google.com/file/d/1XgVMa01TtKbRfWaCjSCwCg4zPwJV_vw6/view?usp=drivesdk</v>
      </c>
      <c r="Y1276" s="68"/>
      <c r="Z1276" s="159" t="s">
        <v>226</v>
      </c>
      <c r="AA1276" s="159" t="s">
        <v>7225</v>
      </c>
      <c r="AB1276" s="159" t="s">
        <v>6948</v>
      </c>
      <c r="AC1276" s="159" t="s">
        <v>7226</v>
      </c>
      <c r="AD1276" s="159" t="s">
        <v>7227</v>
      </c>
      <c r="AE1276" s="159" t="s">
        <v>7228</v>
      </c>
      <c r="AF1276" s="156">
        <v>63.0</v>
      </c>
      <c r="AG1276" s="159" t="s">
        <v>7229</v>
      </c>
      <c r="AH1276" s="159" t="s">
        <v>134</v>
      </c>
      <c r="AI1276" s="159" t="s">
        <v>7230</v>
      </c>
      <c r="AJ1276" s="156">
        <v>0.0</v>
      </c>
      <c r="AK1276" s="159" t="s">
        <v>172</v>
      </c>
      <c r="AL1276" s="159" t="s">
        <v>136</v>
      </c>
      <c r="AM1276" s="68" t="s">
        <v>137</v>
      </c>
      <c r="AN1276" s="159" t="s">
        <v>138</v>
      </c>
      <c r="AO1276" s="156">
        <v>42.0</v>
      </c>
      <c r="AP1276" s="336">
        <v>0.344</v>
      </c>
      <c r="AQ1276" s="159" t="s">
        <v>215</v>
      </c>
      <c r="AR1276" s="159" t="s">
        <v>6970</v>
      </c>
      <c r="AS1276" s="156">
        <v>0.025</v>
      </c>
      <c r="AT1276" s="159" t="s">
        <v>172</v>
      </c>
      <c r="AU1276" s="159" t="s">
        <v>136</v>
      </c>
      <c r="AV1276" s="68" t="s">
        <v>137</v>
      </c>
      <c r="AW1276" s="435" t="s">
        <v>7231</v>
      </c>
      <c r="AX1276" s="1300" t="s">
        <v>143</v>
      </c>
      <c r="AY1276" s="61" t="str">
        <f>IFERROR(__xludf.DUMMYFUNCTION("vlookup(BB1276,importrange(""https://docs.google.com/spreadsheets/d/1d2vevQ_7D_v35q4wCQ4RpQ_IPoTwEMB9Yp6ymwlPqew/edit?gid=984458430#gid=984458430"", ""'replication success'!A:K""), 11, FAlSE)"),"#N/A")</f>
        <v>#N/A</v>
      </c>
      <c r="AZ1276" s="61" t="str">
        <f>IFERROR(__xludf.DUMMYFUNCTION("vlookup(BB1276,importrange(""https://docs.google.com/spreadsheets/d/1d2vevQ_7D_v35q4wCQ4RpQ_IPoTwEMB9Yp6ymwlPqew/edit?gid=984458430#gid=984458430"", ""'replication success'!A:M""), 12, FAlSE)"),"#N/A")</f>
        <v>#N/A</v>
      </c>
      <c r="BA1276" s="61" t="str">
        <f>IFERROR(__xludf.DUMMYFUNCTION("vlookup(BB1276,importrange(""https://docs.google.com/spreadsheets/d/1d2vevQ_7D_v35q4wCQ4RpQ_IPoTwEMB9Yp6ymwlPqew/edit?gid=984458430#gid=984458430"", ""'replication success'!A:M""), 13, FAlSE)"),"#N/A")</f>
        <v>#N/A</v>
      </c>
      <c r="BB1276" s="61" t="str">
        <f>IFERROR(__xludf.DUMMYFUNCTION("REGEXREPLACE(G1276, ""_[a-z]{1,2}$"", """")"),"Camereretal2018_9_1")</f>
        <v>Camereretal2018_9_1</v>
      </c>
      <c r="BC1276" s="68"/>
      <c r="BD1276" s="68" t="s">
        <v>5074</v>
      </c>
    </row>
    <row r="1277">
      <c r="A1277" s="44">
        <v>1277.0</v>
      </c>
      <c r="B1277" s="68" t="s">
        <v>114</v>
      </c>
      <c r="C1277" s="62" t="s">
        <v>115</v>
      </c>
      <c r="D1277" s="62" t="s">
        <v>1234</v>
      </c>
      <c r="F1277" s="154" t="s">
        <v>7219</v>
      </c>
      <c r="G1277" s="159" t="s">
        <v>7232</v>
      </c>
      <c r="H1277" s="159" t="s">
        <v>6955</v>
      </c>
      <c r="I1277" s="152">
        <v>45663.0</v>
      </c>
      <c r="J1277" s="152">
        <v>45692.0</v>
      </c>
      <c r="K1277" s="68"/>
      <c r="L1277" s="68"/>
      <c r="M1277" s="154" t="s">
        <v>7222</v>
      </c>
      <c r="N1277" s="154" t="s">
        <v>7223</v>
      </c>
      <c r="O1277" s="156">
        <v>1.0</v>
      </c>
      <c r="P1277" s="159" t="str">
        <f t="shared" si="76"/>
        <v>10.1126--science.1183532.pdf</v>
      </c>
      <c r="Q1277" s="52" t="str">
        <f t="array" ref="Q1277"> if(iserror(MATCH(V1277, 'File Links'!C:C, 0)), "N/A", HYPERLINK(INDEX('File Links'!B:B, MATCH(P1277, 'File Links'!C:C, 0))))</f>
        <v>https://drive.google.com/file/d/1evQDXWr9N4KV0RMwcCRfMKAkbspCGUUG/view?usp=drivesdk</v>
      </c>
      <c r="R1277" s="159" t="s">
        <v>6944</v>
      </c>
      <c r="S1277" s="159" t="s">
        <v>6945</v>
      </c>
      <c r="T1277" s="68"/>
      <c r="U1277" s="156">
        <v>1.0</v>
      </c>
      <c r="V1277" s="198" t="str">
        <f t="shared" si="77"/>
        <v>10.1038--s41562-018-0399-z.pdf</v>
      </c>
      <c r="W1277" s="68"/>
      <c r="X1277" s="54" t="str">
        <f t="array" ref="X1277"> if(iserror(MATCH(V1277, 'File Links'!C:C, 0)), "N/A", HYPERLINK(INDEX('File Links'!B:B, MATCH(V1277, 'File Links'!C:C, 0))))</f>
        <v>https://drive.google.com/file/d/1XgVMa01TtKbRfWaCjSCwCg4zPwJV_vw6/view?usp=drivesdk</v>
      </c>
      <c r="Y1277" s="68"/>
      <c r="Z1277" s="159" t="s">
        <v>226</v>
      </c>
      <c r="AA1277" s="68"/>
      <c r="AB1277" s="68"/>
      <c r="AC1277" s="68"/>
      <c r="AD1277" s="1388" t="s">
        <v>7233</v>
      </c>
      <c r="AE1277" s="156">
        <v>615.0</v>
      </c>
      <c r="AF1277" s="1059">
        <v>105.0</v>
      </c>
      <c r="AG1277" s="1059">
        <v>0.631</v>
      </c>
      <c r="AH1277" s="1060" t="s">
        <v>215</v>
      </c>
      <c r="AI1277" s="68"/>
      <c r="AJ1277" s="156">
        <v>8.362E-9</v>
      </c>
      <c r="AK1277" s="159" t="s">
        <v>172</v>
      </c>
      <c r="AL1277" s="68"/>
      <c r="AM1277" s="68" t="s">
        <v>137</v>
      </c>
      <c r="AN1277" s="68"/>
      <c r="AO1277" s="156">
        <v>70.0</v>
      </c>
      <c r="AP1277" s="156">
        <v>0.344</v>
      </c>
      <c r="AQ1277" s="159" t="s">
        <v>215</v>
      </c>
      <c r="AR1277" s="68"/>
      <c r="AS1277" s="156">
        <v>0.0252</v>
      </c>
      <c r="AT1277" s="159" t="s">
        <v>172</v>
      </c>
      <c r="AU1277" s="68"/>
      <c r="AV1277" s="68" t="s">
        <v>137</v>
      </c>
      <c r="AW1277" s="1385" t="s">
        <v>7234</v>
      </c>
      <c r="AX1277" s="68" t="s">
        <v>143</v>
      </c>
      <c r="AY1277" s="61" t="str">
        <f>IFERROR(__xludf.DUMMYFUNCTION("vlookup(BB1277,importrange(""https://docs.google.com/spreadsheets/d/1d2vevQ_7D_v35q4wCQ4RpQ_IPoTwEMB9Yp6ymwlPqew/edit?gid=984458430#gid=984458430"", ""'replication success'!A:K""), 11, FAlSE)"),"#N/A")</f>
        <v>#N/A</v>
      </c>
      <c r="AZ1277" s="61" t="str">
        <f>IFERROR(__xludf.DUMMYFUNCTION("vlookup(BB1277,importrange(""https://docs.google.com/spreadsheets/d/1d2vevQ_7D_v35q4wCQ4RpQ_IPoTwEMB9Yp6ymwlPqew/edit?gid=984458430#gid=984458430"", ""'replication success'!A:M""), 12, FAlSE)"),"#N/A")</f>
        <v>#N/A</v>
      </c>
      <c r="BA1277" s="61" t="str">
        <f>IFERROR(__xludf.DUMMYFUNCTION("vlookup(BB1277,importrange(""https://docs.google.com/spreadsheets/d/1d2vevQ_7D_v35q4wCQ4RpQ_IPoTwEMB9Yp6ymwlPqew/edit?gid=984458430#gid=984458430"", ""'replication success'!A:M""), 13, FAlSE)"),"#N/A")</f>
        <v>#N/A</v>
      </c>
      <c r="BB1277" s="61" t="str">
        <f>IFERROR(__xludf.DUMMYFUNCTION("REGEXREPLACE(G1277, ""_[a-z]{1,2}$"", """")"),"Camereretal2018_9_1")</f>
        <v>Camereretal2018_9_1</v>
      </c>
      <c r="BC1277" s="68"/>
      <c r="BD1277" s="68" t="s">
        <v>5074</v>
      </c>
    </row>
    <row r="1278">
      <c r="A1278" s="1398">
        <v>1278.0</v>
      </c>
      <c r="B1278" s="695" t="s">
        <v>152</v>
      </c>
      <c r="C1278" s="227" t="s">
        <v>115</v>
      </c>
      <c r="D1278" s="227" t="s">
        <v>990</v>
      </c>
      <c r="E1278" s="228"/>
      <c r="F1278" s="237" t="s">
        <v>7235</v>
      </c>
      <c r="G1278" s="235" t="s">
        <v>7236</v>
      </c>
      <c r="H1278" s="235" t="s">
        <v>7237</v>
      </c>
      <c r="I1278" s="1399" t="s">
        <v>119</v>
      </c>
      <c r="J1278" s="235" t="s">
        <v>7238</v>
      </c>
      <c r="K1278" s="235" t="s">
        <v>7239</v>
      </c>
      <c r="L1278" s="235" t="s">
        <v>7240</v>
      </c>
      <c r="M1278" s="235" t="s">
        <v>7241</v>
      </c>
      <c r="N1278" s="235" t="s">
        <v>4493</v>
      </c>
      <c r="O1278" s="696">
        <v>1.0</v>
      </c>
      <c r="P1278" s="235" t="s">
        <v>7242</v>
      </c>
      <c r="Q1278" s="1400" t="str">
        <f t="array" ref="Q1278"> if(iserror(MATCH(V1278, 'File Links'!C:C, 0)), "N/A", HYPERLINK(INDEX('File Links'!B:B, MATCH(P1278, 'File Links'!C:C, 0))))</f>
        <v>N/A</v>
      </c>
      <c r="R1278" s="235" t="s">
        <v>7243</v>
      </c>
      <c r="S1278" s="235" t="s">
        <v>138</v>
      </c>
      <c r="T1278" s="694" t="s">
        <v>7244</v>
      </c>
      <c r="U1278" s="696">
        <v>1.0</v>
      </c>
      <c r="V1278" s="235" t="s">
        <v>7245</v>
      </c>
      <c r="W1278" s="235" t="s">
        <v>7246</v>
      </c>
      <c r="X1278" s="231" t="str">
        <f t="array" ref="X1278"> if(iserror(MATCH(V1278, 'File Links'!C:C, 0)), "N/A", HYPERLINK(INDEX('File Links'!B:B, MATCH(V1278, 'File Links'!C:C, 0))))</f>
        <v>N/A</v>
      </c>
      <c r="Y1278" s="235"/>
      <c r="Z1278" s="235" t="s">
        <v>226</v>
      </c>
      <c r="AA1278" s="235" t="s">
        <v>7247</v>
      </c>
      <c r="AB1278" s="235" t="s">
        <v>7248</v>
      </c>
      <c r="AC1278" s="235" t="s">
        <v>7249</v>
      </c>
      <c r="AD1278" s="235" t="s">
        <v>7250</v>
      </c>
      <c r="AE1278" s="235" t="s">
        <v>507</v>
      </c>
      <c r="AF1278" s="696">
        <v>40.0</v>
      </c>
      <c r="AG1278" s="696">
        <v>0.09</v>
      </c>
      <c r="AH1278" s="1401" t="s">
        <v>874</v>
      </c>
      <c r="AI1278" s="235" t="s">
        <v>507</v>
      </c>
      <c r="AJ1278" s="235" t="s">
        <v>138</v>
      </c>
      <c r="AK1278" s="235" t="s">
        <v>172</v>
      </c>
      <c r="AL1278" s="235" t="s">
        <v>186</v>
      </c>
      <c r="AM1278" s="235" t="s">
        <v>137</v>
      </c>
      <c r="AN1278" s="235" t="s">
        <v>138</v>
      </c>
      <c r="AO1278" s="696">
        <v>60.0</v>
      </c>
      <c r="AP1278" s="1402">
        <v>0.48</v>
      </c>
      <c r="AQ1278" s="235" t="s">
        <v>173</v>
      </c>
      <c r="AR1278" s="235" t="s">
        <v>7251</v>
      </c>
      <c r="AS1278" s="696">
        <v>0.03</v>
      </c>
      <c r="AT1278" s="235" t="s">
        <v>172</v>
      </c>
      <c r="AU1278" s="235" t="s">
        <v>218</v>
      </c>
      <c r="AV1278" s="235" t="s">
        <v>137</v>
      </c>
      <c r="AW1278" s="235" t="s">
        <v>138</v>
      </c>
      <c r="AX1278" s="235" t="s">
        <v>143</v>
      </c>
      <c r="AY1278" s="61" t="str">
        <f>IFERROR(__xludf.DUMMYFUNCTION("vlookup(BB1278,importrange(""https://docs.google.com/spreadsheets/d/1d2vevQ_7D_v35q4wCQ4RpQ_IPoTwEMB9Yp6ymwlPqew/edit?gid=984458430#gid=984458430"", ""'replication success'!A:K""), 11, FAlSE)"),"#N/A")</f>
        <v>#N/A</v>
      </c>
      <c r="AZ1278" s="61" t="str">
        <f>IFERROR(__xludf.DUMMYFUNCTION("vlookup(BB1278,importrange(""https://docs.google.com/spreadsheets/d/1d2vevQ_7D_v35q4wCQ4RpQ_IPoTwEMB9Yp6ymwlPqew/edit?gid=984458430#gid=984458430"", ""'replication success'!A:M""), 12, FAlSE)"),"#N/A")</f>
        <v>#N/A</v>
      </c>
      <c r="BA1278" s="61" t="str">
        <f>IFERROR(__xludf.DUMMYFUNCTION("vlookup(BB1278,importrange(""https://docs.google.com/spreadsheets/d/1d2vevQ_7D_v35q4wCQ4RpQ_IPoTwEMB9Yp6ymwlPqew/edit?gid=984458430#gid=984458430"", ""'replication success'!A:M""), 13, FAlSE)"),"#N/A")</f>
        <v>#N/A</v>
      </c>
      <c r="BB1278" s="61" t="str">
        <f>IFERROR(__xludf.DUMMYFUNCTION("REGEXREPLACE(G1278, ""_[a-z]{1,2}$"", """")"),"curatescience10")</f>
        <v>curatescience10</v>
      </c>
      <c r="BC1278" s="237"/>
      <c r="BD1278" s="227" t="s">
        <v>692</v>
      </c>
      <c r="BE1278" s="228"/>
      <c r="BF1278" s="228"/>
      <c r="BG1278" s="228"/>
      <c r="BH1278" s="228"/>
      <c r="BI1278" s="228"/>
      <c r="BJ1278" s="228"/>
      <c r="BK1278" s="228"/>
      <c r="BL1278" s="228"/>
      <c r="BM1278" s="228"/>
      <c r="BN1278" s="228"/>
      <c r="BO1278" s="228"/>
      <c r="BP1278" s="228"/>
      <c r="BQ1278" s="228"/>
      <c r="BR1278" s="228"/>
      <c r="BS1278" s="228"/>
      <c r="BT1278" s="228"/>
      <c r="BU1278" s="228"/>
      <c r="BV1278" s="228"/>
      <c r="BW1278" s="228"/>
      <c r="BX1278" s="228"/>
      <c r="BY1278" s="228"/>
      <c r="BZ1278" s="228"/>
      <c r="CA1278" s="228"/>
      <c r="CB1278" s="228"/>
      <c r="CC1278" s="228"/>
      <c r="CD1278" s="228"/>
      <c r="CE1278" s="228"/>
      <c r="CF1278" s="228"/>
      <c r="CG1278" s="228"/>
      <c r="CH1278" s="228"/>
      <c r="CI1278" s="228"/>
      <c r="CJ1278" s="228"/>
      <c r="CK1278" s="228"/>
      <c r="CL1278" s="228"/>
      <c r="CM1278" s="228"/>
      <c r="CN1278" s="228"/>
      <c r="CO1278" s="228"/>
      <c r="CP1278" s="228"/>
      <c r="CQ1278" s="228"/>
      <c r="CR1278" s="228"/>
      <c r="CS1278" s="228"/>
      <c r="CT1278" s="228"/>
      <c r="CU1278" s="228"/>
      <c r="CV1278" s="228"/>
      <c r="CW1278" s="228"/>
      <c r="CX1278" s="228"/>
      <c r="CY1278" s="228"/>
      <c r="CZ1278" s="228"/>
      <c r="DA1278" s="228"/>
      <c r="DB1278" s="228"/>
      <c r="DC1278" s="228"/>
      <c r="DD1278" s="228"/>
      <c r="DE1278" s="228"/>
      <c r="DF1278" s="228"/>
      <c r="DG1278" s="228"/>
      <c r="DH1278" s="228"/>
      <c r="DI1278" s="228"/>
      <c r="DJ1278" s="228"/>
      <c r="DK1278" s="228"/>
      <c r="DL1278" s="228"/>
    </row>
    <row r="1279">
      <c r="A1279" s="110">
        <v>1279.0</v>
      </c>
      <c r="B1279" s="147" t="s">
        <v>114</v>
      </c>
      <c r="C1279" s="149" t="s">
        <v>115</v>
      </c>
      <c r="D1279" s="149" t="s">
        <v>176</v>
      </c>
      <c r="E1279" s="71"/>
      <c r="F1279" s="111" t="s">
        <v>7235</v>
      </c>
      <c r="G1279" s="122" t="s">
        <v>7236</v>
      </c>
      <c r="H1279" s="122" t="s">
        <v>7252</v>
      </c>
      <c r="I1279" s="1403" t="s">
        <v>7253</v>
      </c>
      <c r="J1279" s="111"/>
      <c r="K1279" s="122" t="s">
        <v>7254</v>
      </c>
      <c r="L1279" s="122" t="s">
        <v>7240</v>
      </c>
      <c r="M1279" s="122" t="s">
        <v>7241</v>
      </c>
      <c r="N1279" s="122" t="s">
        <v>4493</v>
      </c>
      <c r="O1279" s="537">
        <v>1.0</v>
      </c>
      <c r="P1279" s="122" t="s">
        <v>7242</v>
      </c>
      <c r="Q1279" s="1404" t="str">
        <f t="array" ref="Q1279"> if(iserror(MATCH(V1279, 'File Links'!C:C, 0)), "N/A", HYPERLINK(INDEX('File Links'!B:B, MATCH(P1279, 'File Links'!C:C, 0))))</f>
        <v>N/A</v>
      </c>
      <c r="R1279" s="122" t="s">
        <v>7243</v>
      </c>
      <c r="S1279" s="111"/>
      <c r="T1279" s="420" t="s">
        <v>7255</v>
      </c>
      <c r="U1279" s="537">
        <v>1.0</v>
      </c>
      <c r="V1279" s="122" t="s">
        <v>577</v>
      </c>
      <c r="W1279" s="122" t="s">
        <v>7246</v>
      </c>
      <c r="X1279" s="462" t="str">
        <f t="array" ref="X1279"> if(iserror(MATCH(V1279, 'File Links'!C:C, 0)), "N/A", HYPERLINK(INDEX('File Links'!B:B, MATCH(V1279, 'File Links'!C:C, 0))))</f>
        <v>N/A</v>
      </c>
      <c r="Y1279" s="111"/>
      <c r="Z1279" s="122" t="s">
        <v>226</v>
      </c>
      <c r="AA1279" s="122" t="s">
        <v>7247</v>
      </c>
      <c r="AB1279" s="122" t="s">
        <v>7256</v>
      </c>
      <c r="AC1279" s="122" t="s">
        <v>7249</v>
      </c>
      <c r="AD1279" s="122" t="s">
        <v>7257</v>
      </c>
      <c r="AE1279" s="122" t="s">
        <v>2771</v>
      </c>
      <c r="AF1279" s="537">
        <v>40.0</v>
      </c>
      <c r="AG1279" s="1405" t="s">
        <v>7258</v>
      </c>
      <c r="AH1279" s="122" t="s">
        <v>134</v>
      </c>
      <c r="AI1279" s="122" t="s">
        <v>2771</v>
      </c>
      <c r="AJ1279" s="122" t="s">
        <v>138</v>
      </c>
      <c r="AK1279" s="122" t="s">
        <v>138</v>
      </c>
      <c r="AL1279" s="122" t="s">
        <v>138</v>
      </c>
      <c r="AM1279" s="122" t="s">
        <v>138</v>
      </c>
      <c r="AN1279" s="111"/>
      <c r="AO1279" s="537">
        <v>60.0</v>
      </c>
      <c r="AP1279" s="1406">
        <v>0.48</v>
      </c>
      <c r="AQ1279" s="122" t="s">
        <v>173</v>
      </c>
      <c r="AR1279" s="122" t="s">
        <v>138</v>
      </c>
      <c r="AS1279" s="1407">
        <v>0.03</v>
      </c>
      <c r="AT1279" s="122" t="s">
        <v>172</v>
      </c>
      <c r="AU1279" s="122" t="s">
        <v>218</v>
      </c>
      <c r="AV1279" s="122" t="s">
        <v>137</v>
      </c>
      <c r="AW1279" s="122" t="s">
        <v>138</v>
      </c>
      <c r="AX1279" s="122" t="s">
        <v>143</v>
      </c>
      <c r="AY1279" s="61" t="str">
        <f>IFERROR(__xludf.DUMMYFUNCTION("vlookup(BB1279,importrange(""https://docs.google.com/spreadsheets/d/1d2vevQ_7D_v35q4wCQ4RpQ_IPoTwEMB9Yp6ymwlPqew/edit?gid=984458430#gid=984458430"", ""'replication success'!A:K""), 11, FAlSE)"),"#N/A")</f>
        <v>#N/A</v>
      </c>
      <c r="AZ1279" s="61" t="str">
        <f>IFERROR(__xludf.DUMMYFUNCTION("vlookup(BB1279,importrange(""https://docs.google.com/spreadsheets/d/1d2vevQ_7D_v35q4wCQ4RpQ_IPoTwEMB9Yp6ymwlPqew/edit?gid=984458430#gid=984458430"", ""'replication success'!A:M""), 12, FAlSE)"),"#N/A")</f>
        <v>#N/A</v>
      </c>
      <c r="BA1279" s="61" t="str">
        <f>IFERROR(__xludf.DUMMYFUNCTION("vlookup(BB1279,importrange(""https://docs.google.com/spreadsheets/d/1d2vevQ_7D_v35q4wCQ4RpQ_IPoTwEMB9Yp6ymwlPqew/edit?gid=984458430#gid=984458430"", ""'replication success'!A:M""), 13, FAlSE)"),"#N/A")</f>
        <v>#N/A</v>
      </c>
      <c r="BB1279" s="61" t="str">
        <f>IFERROR(__xludf.DUMMYFUNCTION("REGEXREPLACE(G1279, ""_[a-z]{1,2}$"", """")"),"curatescience10")</f>
        <v>curatescience10</v>
      </c>
      <c r="BC1279" s="111"/>
      <c r="BD1279" s="227" t="s">
        <v>692</v>
      </c>
      <c r="BE1279" s="71"/>
      <c r="BF1279" s="71"/>
      <c r="BG1279" s="71"/>
      <c r="BH1279" s="71"/>
      <c r="BI1279" s="71"/>
      <c r="BJ1279" s="71"/>
      <c r="BK1279" s="71"/>
      <c r="BL1279" s="71"/>
      <c r="BM1279" s="71"/>
      <c r="BN1279" s="71"/>
      <c r="BO1279" s="71"/>
      <c r="BP1279" s="71"/>
      <c r="BQ1279" s="71"/>
      <c r="BR1279" s="71"/>
      <c r="BS1279" s="71"/>
      <c r="BT1279" s="71"/>
      <c r="BU1279" s="71"/>
      <c r="BV1279" s="71"/>
      <c r="BW1279" s="71"/>
      <c r="BX1279" s="71"/>
      <c r="BY1279" s="71"/>
      <c r="BZ1279" s="71"/>
      <c r="CA1279" s="71"/>
      <c r="CB1279" s="71"/>
      <c r="CC1279" s="71"/>
      <c r="CD1279" s="71"/>
      <c r="CE1279" s="71"/>
      <c r="CF1279" s="71"/>
      <c r="CG1279" s="71"/>
      <c r="CH1279" s="71"/>
      <c r="CI1279" s="71"/>
      <c r="CJ1279" s="71"/>
      <c r="CK1279" s="71"/>
      <c r="CL1279" s="71"/>
      <c r="CM1279" s="71"/>
      <c r="CN1279" s="71"/>
      <c r="CO1279" s="71"/>
      <c r="CP1279" s="71"/>
      <c r="CQ1279" s="71"/>
      <c r="CR1279" s="71"/>
      <c r="CS1279" s="71"/>
      <c r="CT1279" s="71"/>
      <c r="CU1279" s="71"/>
      <c r="CV1279" s="71"/>
      <c r="CW1279" s="71"/>
      <c r="CX1279" s="71"/>
      <c r="CY1279" s="71"/>
      <c r="CZ1279" s="71"/>
      <c r="DA1279" s="71"/>
      <c r="DB1279" s="71"/>
      <c r="DC1279" s="71"/>
      <c r="DD1279" s="71"/>
      <c r="DE1279" s="71"/>
      <c r="DF1279" s="71"/>
      <c r="DG1279" s="71"/>
      <c r="DH1279" s="71"/>
      <c r="DI1279" s="71"/>
      <c r="DJ1279" s="71"/>
      <c r="DK1279" s="71"/>
      <c r="DL1279" s="71"/>
    </row>
    <row r="1280">
      <c r="A1280" s="1398">
        <v>1280.0</v>
      </c>
      <c r="B1280" s="695" t="s">
        <v>152</v>
      </c>
      <c r="C1280" s="227" t="s">
        <v>115</v>
      </c>
      <c r="D1280" s="227" t="s">
        <v>990</v>
      </c>
      <c r="E1280" s="228"/>
      <c r="F1280" s="237" t="s">
        <v>7259</v>
      </c>
      <c r="G1280" s="235" t="s">
        <v>7260</v>
      </c>
      <c r="H1280" s="235" t="s">
        <v>7237</v>
      </c>
      <c r="I1280" s="1399" t="s">
        <v>119</v>
      </c>
      <c r="J1280" s="1408" t="s">
        <v>7238</v>
      </c>
      <c r="K1280" s="235" t="s">
        <v>7261</v>
      </c>
      <c r="L1280" s="235" t="s">
        <v>7262</v>
      </c>
      <c r="M1280" s="235" t="s">
        <v>7241</v>
      </c>
      <c r="N1280" s="235" t="s">
        <v>4493</v>
      </c>
      <c r="O1280" s="696">
        <v>1.0</v>
      </c>
      <c r="P1280" s="235" t="s">
        <v>7242</v>
      </c>
      <c r="Q1280" s="1409" t="str">
        <f t="array" ref="Q1280"> if(iserror(MATCH(V1280, 'File Links'!C:C, 0)), "N/A", HYPERLINK(INDEX('File Links'!B:B, MATCH(P1280, 'File Links'!C:C, 0))))</f>
        <v>https://drive.google.com/file/d/1WZ-wmp0ZBZO-MwxvYanAL8j3J4k47183/view?usp=drivesdk</v>
      </c>
      <c r="R1280" s="235" t="s">
        <v>7263</v>
      </c>
      <c r="S1280" s="235" t="s">
        <v>7264</v>
      </c>
      <c r="T1280" s="694" t="s">
        <v>7265</v>
      </c>
      <c r="U1280" s="696">
        <v>1.0</v>
      </c>
      <c r="V1280" s="235" t="s">
        <v>7266</v>
      </c>
      <c r="W1280" s="235" t="s">
        <v>209</v>
      </c>
      <c r="X1280" s="1410" t="str">
        <f t="array" ref="X1280"> if(iserror(MATCH(V1280, 'File Links'!C:C, 0)), "N/A", HYPERLINK(INDEX('File Links'!B:B, MATCH(V1280, 'File Links'!C:C, 0))))</f>
        <v>https://drive.google.com/file/d/1DDCuEgQah24QordxkRGO0EIt6Q681jyL/view?usp=drivesdk</v>
      </c>
      <c r="Y1280" s="235"/>
      <c r="Z1280" s="235" t="s">
        <v>226</v>
      </c>
      <c r="AA1280" s="235" t="s">
        <v>7247</v>
      </c>
      <c r="AB1280" s="235" t="s">
        <v>7248</v>
      </c>
      <c r="AC1280" s="235" t="s">
        <v>7249</v>
      </c>
      <c r="AD1280" s="235" t="s">
        <v>7250</v>
      </c>
      <c r="AE1280" s="235" t="s">
        <v>507</v>
      </c>
      <c r="AF1280" s="696">
        <v>40.0</v>
      </c>
      <c r="AG1280" s="696">
        <v>0.09</v>
      </c>
      <c r="AH1280" s="1401" t="s">
        <v>874</v>
      </c>
      <c r="AI1280" s="235" t="s">
        <v>507</v>
      </c>
      <c r="AJ1280" s="235" t="s">
        <v>138</v>
      </c>
      <c r="AK1280" s="235" t="s">
        <v>172</v>
      </c>
      <c r="AL1280" s="235" t="s">
        <v>186</v>
      </c>
      <c r="AM1280" s="235" t="s">
        <v>137</v>
      </c>
      <c r="AN1280" s="235" t="s">
        <v>138</v>
      </c>
      <c r="AO1280" s="696">
        <v>90.0</v>
      </c>
      <c r="AP1280" s="1411">
        <v>-0.07313434738422134</v>
      </c>
      <c r="AQ1280" s="235" t="s">
        <v>173</v>
      </c>
      <c r="AR1280" s="235" t="s">
        <v>882</v>
      </c>
      <c r="AS1280" s="696">
        <v>0.1</v>
      </c>
      <c r="AT1280" s="235" t="s">
        <v>335</v>
      </c>
      <c r="AU1280" s="235" t="s">
        <v>186</v>
      </c>
      <c r="AV1280" s="235" t="s">
        <v>137</v>
      </c>
      <c r="AW1280" s="235" t="s">
        <v>138</v>
      </c>
      <c r="AX1280" s="235" t="s">
        <v>143</v>
      </c>
      <c r="AY1280" s="61" t="str">
        <f>IFERROR(__xludf.DUMMYFUNCTION("vlookup(BB1280,importrange(""https://docs.google.com/spreadsheets/d/1d2vevQ_7D_v35q4wCQ4RpQ_IPoTwEMB9Yp6ymwlPqew/edit?gid=984458430#gid=984458430"", ""'replication success'!A:K""), 11, FAlSE)"),"#N/A")</f>
        <v>#N/A</v>
      </c>
      <c r="AZ1280" s="61" t="str">
        <f>IFERROR(__xludf.DUMMYFUNCTION("vlookup(BB1280,importrange(""https://docs.google.com/spreadsheets/d/1d2vevQ_7D_v35q4wCQ4RpQ_IPoTwEMB9Yp6ymwlPqew/edit?gid=984458430#gid=984458430"", ""'replication success'!A:M""), 12, FAlSE)"),"#N/A")</f>
        <v>#N/A</v>
      </c>
      <c r="BA1280" s="61" t="str">
        <f>IFERROR(__xludf.DUMMYFUNCTION("vlookup(BB1280,importrange(""https://docs.google.com/spreadsheets/d/1d2vevQ_7D_v35q4wCQ4RpQ_IPoTwEMB9Yp6ymwlPqew/edit?gid=984458430#gid=984458430"", ""'replication success'!A:M""), 13, FAlSE)"),"#N/A")</f>
        <v>#N/A</v>
      </c>
      <c r="BB1280" s="61" t="str">
        <f>IFERROR(__xludf.DUMMYFUNCTION("REGEXREPLACE(G1280, ""_[a-z]{1,2}$"", """")"),"curatescience11")</f>
        <v>curatescience11</v>
      </c>
      <c r="BC1280" s="237"/>
      <c r="BD1280" s="227" t="s">
        <v>692</v>
      </c>
      <c r="BE1280" s="228"/>
      <c r="BF1280" s="228"/>
      <c r="BG1280" s="228"/>
      <c r="BH1280" s="228"/>
      <c r="BI1280" s="228"/>
      <c r="BJ1280" s="228"/>
      <c r="BK1280" s="228"/>
      <c r="BL1280" s="228"/>
      <c r="BM1280" s="228"/>
      <c r="BN1280" s="228"/>
      <c r="BO1280" s="228"/>
      <c r="BP1280" s="228"/>
      <c r="BQ1280" s="228"/>
      <c r="BR1280" s="228"/>
      <c r="BS1280" s="228"/>
      <c r="BT1280" s="228"/>
      <c r="BU1280" s="228"/>
      <c r="BV1280" s="228"/>
      <c r="BW1280" s="228"/>
      <c r="BX1280" s="228"/>
      <c r="BY1280" s="228"/>
      <c r="BZ1280" s="228"/>
      <c r="CA1280" s="228"/>
      <c r="CB1280" s="228"/>
      <c r="CC1280" s="228"/>
      <c r="CD1280" s="228"/>
      <c r="CE1280" s="228"/>
      <c r="CF1280" s="228"/>
      <c r="CG1280" s="228"/>
      <c r="CH1280" s="228"/>
      <c r="CI1280" s="228"/>
      <c r="CJ1280" s="228"/>
      <c r="CK1280" s="228"/>
      <c r="CL1280" s="228"/>
      <c r="CM1280" s="228"/>
      <c r="CN1280" s="228"/>
      <c r="CO1280" s="228"/>
      <c r="CP1280" s="228"/>
      <c r="CQ1280" s="228"/>
      <c r="CR1280" s="228"/>
      <c r="CS1280" s="228"/>
      <c r="CT1280" s="228"/>
      <c r="CU1280" s="228"/>
      <c r="CV1280" s="228"/>
      <c r="CW1280" s="228"/>
      <c r="CX1280" s="228"/>
      <c r="CY1280" s="228"/>
      <c r="CZ1280" s="228"/>
      <c r="DA1280" s="228"/>
      <c r="DB1280" s="228"/>
      <c r="DC1280" s="228"/>
      <c r="DD1280" s="228"/>
      <c r="DE1280" s="228"/>
      <c r="DF1280" s="228"/>
      <c r="DG1280" s="228"/>
      <c r="DH1280" s="228"/>
      <c r="DI1280" s="228"/>
      <c r="DJ1280" s="228"/>
      <c r="DK1280" s="228"/>
      <c r="DL1280" s="228"/>
    </row>
    <row r="1281">
      <c r="A1281" s="110">
        <v>1281.0</v>
      </c>
      <c r="B1281" s="147" t="s">
        <v>114</v>
      </c>
      <c r="C1281" s="149" t="s">
        <v>115</v>
      </c>
      <c r="D1281" s="149" t="s">
        <v>176</v>
      </c>
      <c r="E1281" s="71"/>
      <c r="F1281" s="111" t="s">
        <v>7259</v>
      </c>
      <c r="G1281" s="122" t="s">
        <v>7260</v>
      </c>
      <c r="H1281" s="122" t="s">
        <v>7252</v>
      </c>
      <c r="I1281" s="1403" t="s">
        <v>7253</v>
      </c>
      <c r="J1281" s="111"/>
      <c r="K1281" s="122" t="s">
        <v>7267</v>
      </c>
      <c r="L1281" s="122" t="s">
        <v>7262</v>
      </c>
      <c r="M1281" s="122" t="s">
        <v>7241</v>
      </c>
      <c r="N1281" s="122" t="s">
        <v>4493</v>
      </c>
      <c r="O1281" s="537">
        <v>1.0</v>
      </c>
      <c r="P1281" s="122" t="s">
        <v>7242</v>
      </c>
      <c r="Q1281" s="1161" t="str">
        <f t="array" ref="Q1281"> if(iserror(MATCH(V1281, 'File Links'!C:C, 0)), "N/A", HYPERLINK(INDEX('File Links'!B:B, MATCH(P1281, 'File Links'!C:C, 0))))</f>
        <v>https://drive.google.com/file/d/1WZ-wmp0ZBZO-MwxvYanAL8j3J4k47183/view?usp=drivesdk</v>
      </c>
      <c r="R1281" s="122" t="s">
        <v>7263</v>
      </c>
      <c r="S1281" s="122" t="s">
        <v>7264</v>
      </c>
      <c r="T1281" s="542"/>
      <c r="U1281" s="537">
        <v>1.0</v>
      </c>
      <c r="V1281" s="122" t="s">
        <v>7266</v>
      </c>
      <c r="W1281" s="122" t="s">
        <v>164</v>
      </c>
      <c r="X1281" s="1162" t="str">
        <f t="array" ref="X1281"> if(iserror(MATCH(V1281, 'File Links'!C:C, 0)), "N/A", HYPERLINK(INDEX('File Links'!B:B, MATCH(V1281, 'File Links'!C:C, 0))))</f>
        <v>https://drive.google.com/file/d/1DDCuEgQah24QordxkRGO0EIt6Q681jyL/view?usp=drivesdk</v>
      </c>
      <c r="Y1281" s="111"/>
      <c r="Z1281" s="122" t="s">
        <v>226</v>
      </c>
      <c r="AA1281" s="122" t="s">
        <v>7247</v>
      </c>
      <c r="AB1281" s="122" t="s">
        <v>7256</v>
      </c>
      <c r="AC1281" s="122" t="s">
        <v>7249</v>
      </c>
      <c r="AD1281" s="122" t="s">
        <v>7257</v>
      </c>
      <c r="AE1281" s="122" t="s">
        <v>2771</v>
      </c>
      <c r="AF1281" s="537">
        <v>40.0</v>
      </c>
      <c r="AG1281" s="1405" t="s">
        <v>7258</v>
      </c>
      <c r="AH1281" s="122" t="s">
        <v>134</v>
      </c>
      <c r="AI1281" s="122" t="s">
        <v>2771</v>
      </c>
      <c r="AJ1281" s="1412" t="s">
        <v>138</v>
      </c>
      <c r="AK1281" s="122" t="s">
        <v>138</v>
      </c>
      <c r="AL1281" s="122" t="s">
        <v>138</v>
      </c>
      <c r="AM1281" s="122" t="s">
        <v>138</v>
      </c>
      <c r="AN1281" s="111"/>
      <c r="AO1281" s="537">
        <v>90.0</v>
      </c>
      <c r="AP1281" s="116" t="s">
        <v>7268</v>
      </c>
      <c r="AQ1281" s="122" t="s">
        <v>134</v>
      </c>
      <c r="AR1281" s="1413">
        <v>45750.0</v>
      </c>
      <c r="AS1281" s="1407">
        <v>0.01</v>
      </c>
      <c r="AT1281" s="122" t="s">
        <v>335</v>
      </c>
      <c r="AU1281" s="122" t="s">
        <v>186</v>
      </c>
      <c r="AV1281" s="122" t="s">
        <v>137</v>
      </c>
      <c r="AW1281" s="122" t="s">
        <v>138</v>
      </c>
      <c r="AX1281" s="122" t="s">
        <v>143</v>
      </c>
      <c r="AY1281" s="61" t="str">
        <f>IFERROR(__xludf.DUMMYFUNCTION("vlookup(BB1281,importrange(""https://docs.google.com/spreadsheets/d/1d2vevQ_7D_v35q4wCQ4RpQ_IPoTwEMB9Yp6ymwlPqew/edit?gid=984458430#gid=984458430"", ""'replication success'!A:K""), 11, FAlSE)"),"#N/A")</f>
        <v>#N/A</v>
      </c>
      <c r="AZ1281" s="61" t="str">
        <f>IFERROR(__xludf.DUMMYFUNCTION("vlookup(BB1281,importrange(""https://docs.google.com/spreadsheets/d/1d2vevQ_7D_v35q4wCQ4RpQ_IPoTwEMB9Yp6ymwlPqew/edit?gid=984458430#gid=984458430"", ""'replication success'!A:M""), 12, FAlSE)"),"#N/A")</f>
        <v>#N/A</v>
      </c>
      <c r="BA1281" s="61" t="str">
        <f>IFERROR(__xludf.DUMMYFUNCTION("vlookup(BB1281,importrange(""https://docs.google.com/spreadsheets/d/1d2vevQ_7D_v35q4wCQ4RpQ_IPoTwEMB9Yp6ymwlPqew/edit?gid=984458430#gid=984458430"", ""'replication success'!A:M""), 13, FAlSE)"),"#N/A")</f>
        <v>#N/A</v>
      </c>
      <c r="BB1281" s="61" t="str">
        <f>IFERROR(__xludf.DUMMYFUNCTION("REGEXREPLACE(G1281, ""_[a-z]{1,2}$"", """")"),"curatescience11")</f>
        <v>curatescience11</v>
      </c>
      <c r="BC1281" s="111"/>
      <c r="BD1281" s="227" t="s">
        <v>692</v>
      </c>
      <c r="BE1281" s="71"/>
      <c r="BF1281" s="71"/>
      <c r="BG1281" s="71"/>
      <c r="BH1281" s="71"/>
      <c r="BI1281" s="71"/>
      <c r="BJ1281" s="71"/>
      <c r="BK1281" s="71"/>
      <c r="BL1281" s="71"/>
      <c r="BM1281" s="71"/>
      <c r="BN1281" s="71"/>
      <c r="BO1281" s="71"/>
      <c r="BP1281" s="71"/>
      <c r="BQ1281" s="71"/>
      <c r="BR1281" s="71"/>
      <c r="BS1281" s="71"/>
      <c r="BT1281" s="71"/>
      <c r="BU1281" s="71"/>
      <c r="BV1281" s="71"/>
      <c r="BW1281" s="71"/>
      <c r="BX1281" s="71"/>
      <c r="BY1281" s="71"/>
      <c r="BZ1281" s="71"/>
      <c r="CA1281" s="71"/>
      <c r="CB1281" s="71"/>
      <c r="CC1281" s="71"/>
      <c r="CD1281" s="71"/>
      <c r="CE1281" s="71"/>
      <c r="CF1281" s="71"/>
      <c r="CG1281" s="71"/>
      <c r="CH1281" s="71"/>
      <c r="CI1281" s="71"/>
      <c r="CJ1281" s="71"/>
      <c r="CK1281" s="71"/>
      <c r="CL1281" s="71"/>
      <c r="CM1281" s="71"/>
      <c r="CN1281" s="71"/>
      <c r="CO1281" s="71"/>
      <c r="CP1281" s="71"/>
      <c r="CQ1281" s="71"/>
      <c r="CR1281" s="71"/>
      <c r="CS1281" s="71"/>
      <c r="CT1281" s="71"/>
      <c r="CU1281" s="71"/>
      <c r="CV1281" s="71"/>
      <c r="CW1281" s="71"/>
      <c r="CX1281" s="71"/>
      <c r="CY1281" s="71"/>
      <c r="CZ1281" s="71"/>
      <c r="DA1281" s="71"/>
      <c r="DB1281" s="71"/>
      <c r="DC1281" s="71"/>
      <c r="DD1281" s="71"/>
      <c r="DE1281" s="71"/>
      <c r="DF1281" s="71"/>
      <c r="DG1281" s="71"/>
      <c r="DH1281" s="71"/>
      <c r="DI1281" s="71"/>
      <c r="DJ1281" s="71"/>
      <c r="DK1281" s="71"/>
      <c r="DL1281" s="71"/>
    </row>
    <row r="1282">
      <c r="A1282" s="1398">
        <v>1282.0</v>
      </c>
      <c r="B1282" s="695" t="s">
        <v>152</v>
      </c>
      <c r="C1282" s="227" t="s">
        <v>115</v>
      </c>
      <c r="D1282" s="227" t="s">
        <v>990</v>
      </c>
      <c r="E1282" s="228"/>
      <c r="F1282" s="237" t="s">
        <v>7269</v>
      </c>
      <c r="G1282" s="235" t="s">
        <v>7270</v>
      </c>
      <c r="H1282" s="235" t="s">
        <v>7237</v>
      </c>
      <c r="I1282" s="1399" t="s">
        <v>119</v>
      </c>
      <c r="J1282" s="235" t="s">
        <v>7238</v>
      </c>
      <c r="K1282" s="235" t="s">
        <v>138</v>
      </c>
      <c r="L1282" s="235" t="s">
        <v>7271</v>
      </c>
      <c r="M1282" s="235" t="s">
        <v>7241</v>
      </c>
      <c r="N1282" s="235" t="s">
        <v>4493</v>
      </c>
      <c r="O1282" s="696">
        <v>1.0</v>
      </c>
      <c r="P1282" s="235" t="s">
        <v>7242</v>
      </c>
      <c r="Q1282" s="1409" t="str">
        <f t="array" ref="Q1282"> if(iserror(MATCH(V1282, 'File Links'!C:C, 0)), "N/A", HYPERLINK(INDEX('File Links'!B:B, MATCH(P1282, 'File Links'!C:C, 0))))</f>
        <v>https://drive.google.com/file/d/1WZ-wmp0ZBZO-MwxvYanAL8j3J4k47183/view?usp=drivesdk</v>
      </c>
      <c r="R1282" s="235" t="s">
        <v>7272</v>
      </c>
      <c r="S1282" s="235" t="s">
        <v>7273</v>
      </c>
      <c r="T1282" s="694" t="s">
        <v>7265</v>
      </c>
      <c r="U1282" s="696">
        <v>1.0</v>
      </c>
      <c r="V1282" s="235" t="s">
        <v>7274</v>
      </c>
      <c r="W1282" s="235" t="s">
        <v>209</v>
      </c>
      <c r="X1282" s="1410" t="str">
        <f t="array" ref="X1282"> if(iserror(MATCH(V1282, 'File Links'!C:C, 0)), "N/A", HYPERLINK(INDEX('File Links'!B:B, MATCH(V1282, 'File Links'!C:C, 0))))</f>
        <v>https://drive.google.com/file/d/1CSCUNAQZCt3s32RgzUwXe6pe5scvK0yY/view?usp=drivesdk</v>
      </c>
      <c r="Y1282" s="235"/>
      <c r="Z1282" s="235" t="s">
        <v>226</v>
      </c>
      <c r="AA1282" s="235" t="s">
        <v>7247</v>
      </c>
      <c r="AB1282" s="235" t="s">
        <v>7248</v>
      </c>
      <c r="AC1282" s="235" t="s">
        <v>7249</v>
      </c>
      <c r="AD1282" s="235" t="s">
        <v>7250</v>
      </c>
      <c r="AE1282" s="235" t="s">
        <v>507</v>
      </c>
      <c r="AF1282" s="696">
        <v>40.0</v>
      </c>
      <c r="AG1282" s="696">
        <v>0.09</v>
      </c>
      <c r="AH1282" s="1401" t="s">
        <v>874</v>
      </c>
      <c r="AI1282" s="235" t="s">
        <v>507</v>
      </c>
      <c r="AJ1282" s="235" t="s">
        <v>138</v>
      </c>
      <c r="AK1282" s="235" t="s">
        <v>172</v>
      </c>
      <c r="AL1282" s="235" t="s">
        <v>186</v>
      </c>
      <c r="AM1282" s="235" t="s">
        <v>137</v>
      </c>
      <c r="AN1282" s="235" t="s">
        <v>138</v>
      </c>
      <c r="AO1282" s="696">
        <v>214.0</v>
      </c>
      <c r="AP1282" s="696">
        <v>-0.17</v>
      </c>
      <c r="AQ1282" s="235" t="s">
        <v>173</v>
      </c>
      <c r="AR1282" s="235" t="s">
        <v>496</v>
      </c>
      <c r="AS1282" s="696">
        <v>0.23</v>
      </c>
      <c r="AT1282" s="235" t="s">
        <v>172</v>
      </c>
      <c r="AU1282" s="235" t="s">
        <v>218</v>
      </c>
      <c r="AV1282" s="235" t="s">
        <v>137</v>
      </c>
      <c r="AW1282" s="237" t="s">
        <v>138</v>
      </c>
      <c r="AX1282" s="235" t="s">
        <v>143</v>
      </c>
      <c r="AY1282" s="61" t="str">
        <f>IFERROR(__xludf.DUMMYFUNCTION("vlookup(BB1282,importrange(""https://docs.google.com/spreadsheets/d/1d2vevQ_7D_v35q4wCQ4RpQ_IPoTwEMB9Yp6ymwlPqew/edit?gid=984458430#gid=984458430"", ""'replication success'!A:K""), 11, FAlSE)"),"#N/A")</f>
        <v>#N/A</v>
      </c>
      <c r="AZ1282" s="61" t="str">
        <f>IFERROR(__xludf.DUMMYFUNCTION("vlookup(BB1282,importrange(""https://docs.google.com/spreadsheets/d/1d2vevQ_7D_v35q4wCQ4RpQ_IPoTwEMB9Yp6ymwlPqew/edit?gid=984458430#gid=984458430"", ""'replication success'!A:M""), 12, FAlSE)"),"#N/A")</f>
        <v>#N/A</v>
      </c>
      <c r="BA1282" s="61" t="str">
        <f>IFERROR(__xludf.DUMMYFUNCTION("vlookup(BB1282,importrange(""https://docs.google.com/spreadsheets/d/1d2vevQ_7D_v35q4wCQ4RpQ_IPoTwEMB9Yp6ymwlPqew/edit?gid=984458430#gid=984458430"", ""'replication success'!A:M""), 13, FAlSE)"),"#N/A")</f>
        <v>#N/A</v>
      </c>
      <c r="BB1282" s="61" t="str">
        <f>IFERROR(__xludf.DUMMYFUNCTION("REGEXREPLACE(G1282, ""_[a-z]{1,2}$"", """")"),"curatescience12")</f>
        <v>curatescience12</v>
      </c>
      <c r="BC1282" s="237"/>
      <c r="BD1282" s="227" t="s">
        <v>692</v>
      </c>
      <c r="BE1282" s="228"/>
      <c r="BF1282" s="228"/>
      <c r="BG1282" s="228"/>
      <c r="BH1282" s="228"/>
      <c r="BI1282" s="228"/>
      <c r="BJ1282" s="228"/>
      <c r="BK1282" s="228"/>
      <c r="BL1282" s="228"/>
      <c r="BM1282" s="228"/>
      <c r="BN1282" s="228"/>
      <c r="BO1282" s="228"/>
      <c r="BP1282" s="228"/>
      <c r="BQ1282" s="228"/>
      <c r="BR1282" s="228"/>
      <c r="BS1282" s="228"/>
      <c r="BT1282" s="228"/>
      <c r="BU1282" s="228"/>
      <c r="BV1282" s="228"/>
      <c r="BW1282" s="228"/>
      <c r="BX1282" s="228"/>
      <c r="BY1282" s="228"/>
      <c r="BZ1282" s="228"/>
      <c r="CA1282" s="228"/>
      <c r="CB1282" s="228"/>
      <c r="CC1282" s="228"/>
      <c r="CD1282" s="228"/>
      <c r="CE1282" s="228"/>
      <c r="CF1282" s="228"/>
      <c r="CG1282" s="228"/>
      <c r="CH1282" s="228"/>
      <c r="CI1282" s="228"/>
      <c r="CJ1282" s="228"/>
      <c r="CK1282" s="228"/>
      <c r="CL1282" s="228"/>
      <c r="CM1282" s="228"/>
      <c r="CN1282" s="228"/>
      <c r="CO1282" s="228"/>
      <c r="CP1282" s="228"/>
      <c r="CQ1282" s="228"/>
      <c r="CR1282" s="228"/>
      <c r="CS1282" s="228"/>
      <c r="CT1282" s="228"/>
      <c r="CU1282" s="228"/>
      <c r="CV1282" s="228"/>
      <c r="CW1282" s="228"/>
      <c r="CX1282" s="228"/>
      <c r="CY1282" s="228"/>
      <c r="CZ1282" s="228"/>
      <c r="DA1282" s="228"/>
      <c r="DB1282" s="228"/>
      <c r="DC1282" s="228"/>
      <c r="DD1282" s="228"/>
      <c r="DE1282" s="228"/>
      <c r="DF1282" s="228"/>
      <c r="DG1282" s="228"/>
      <c r="DH1282" s="228"/>
      <c r="DI1282" s="228"/>
      <c r="DJ1282" s="228"/>
      <c r="DK1282" s="228"/>
      <c r="DL1282" s="228"/>
    </row>
    <row r="1283">
      <c r="A1283" s="110">
        <v>1283.0</v>
      </c>
      <c r="B1283" s="147" t="s">
        <v>114</v>
      </c>
      <c r="C1283" s="149" t="s">
        <v>115</v>
      </c>
      <c r="D1283" s="149" t="s">
        <v>176</v>
      </c>
      <c r="E1283" s="71"/>
      <c r="F1283" s="111" t="s">
        <v>7269</v>
      </c>
      <c r="G1283" s="122" t="s">
        <v>7270</v>
      </c>
      <c r="H1283" s="122" t="s">
        <v>7252</v>
      </c>
      <c r="I1283" s="1403" t="s">
        <v>7253</v>
      </c>
      <c r="J1283" s="111"/>
      <c r="K1283" s="122" t="s">
        <v>7275</v>
      </c>
      <c r="L1283" s="122" t="s">
        <v>7271</v>
      </c>
      <c r="M1283" s="122" t="s">
        <v>7241</v>
      </c>
      <c r="N1283" s="122" t="s">
        <v>4493</v>
      </c>
      <c r="O1283" s="537">
        <v>1.0</v>
      </c>
      <c r="P1283" s="122" t="s">
        <v>7242</v>
      </c>
      <c r="Q1283" s="1161" t="str">
        <f t="array" ref="Q1283"> if(iserror(MATCH(V1283, 'File Links'!C:C, 0)), "N/A", HYPERLINK(INDEX('File Links'!B:B, MATCH(P1283, 'File Links'!C:C, 0))))</f>
        <v>https://drive.google.com/file/d/1WZ-wmp0ZBZO-MwxvYanAL8j3J4k47183/view?usp=drivesdk</v>
      </c>
      <c r="R1283" s="122" t="s">
        <v>7272</v>
      </c>
      <c r="S1283" s="122" t="s">
        <v>7273</v>
      </c>
      <c r="T1283" s="542"/>
      <c r="U1283" s="537">
        <v>1.0</v>
      </c>
      <c r="V1283" s="122" t="s">
        <v>7274</v>
      </c>
      <c r="W1283" s="122" t="s">
        <v>7276</v>
      </c>
      <c r="X1283" s="1162" t="str">
        <f t="array" ref="X1283"> if(iserror(MATCH(V1283, 'File Links'!C:C, 0)), "N/A", HYPERLINK(INDEX('File Links'!B:B, MATCH(V1283, 'File Links'!C:C, 0))))</f>
        <v>https://drive.google.com/file/d/1CSCUNAQZCt3s32RgzUwXe6pe5scvK0yY/view?usp=drivesdk</v>
      </c>
      <c r="Y1283" s="111"/>
      <c r="Z1283" s="122" t="s">
        <v>226</v>
      </c>
      <c r="AA1283" s="122" t="s">
        <v>7247</v>
      </c>
      <c r="AB1283" s="122" t="s">
        <v>7248</v>
      </c>
      <c r="AC1283" s="122" t="s">
        <v>7249</v>
      </c>
      <c r="AD1283" s="122" t="s">
        <v>7257</v>
      </c>
      <c r="AE1283" s="122" t="s">
        <v>2771</v>
      </c>
      <c r="AF1283" s="537">
        <v>40.0</v>
      </c>
      <c r="AG1283" s="122" t="s">
        <v>7258</v>
      </c>
      <c r="AH1283" s="122" t="s">
        <v>134</v>
      </c>
      <c r="AI1283" s="122" t="s">
        <v>2771</v>
      </c>
      <c r="AJ1283" s="122" t="s">
        <v>138</v>
      </c>
      <c r="AK1283" s="122" t="s">
        <v>138</v>
      </c>
      <c r="AL1283" s="122" t="s">
        <v>138</v>
      </c>
      <c r="AM1283" s="122" t="s">
        <v>138</v>
      </c>
      <c r="AN1283" s="111"/>
      <c r="AO1283" s="537">
        <v>214.0</v>
      </c>
      <c r="AP1283" s="537">
        <v>-0.17</v>
      </c>
      <c r="AQ1283" s="122" t="s">
        <v>173</v>
      </c>
      <c r="AR1283" s="537">
        <v>4.0</v>
      </c>
      <c r="AS1283" s="1407">
        <v>0.23</v>
      </c>
      <c r="AT1283" s="122" t="s">
        <v>172</v>
      </c>
      <c r="AU1283" s="122" t="s">
        <v>186</v>
      </c>
      <c r="AV1283" s="122" t="s">
        <v>137</v>
      </c>
      <c r="AW1283" s="122" t="s">
        <v>138</v>
      </c>
      <c r="AX1283" s="122" t="s">
        <v>151</v>
      </c>
      <c r="AY1283" s="61" t="str">
        <f>IFERROR(__xludf.DUMMYFUNCTION("vlookup(BB1283,importrange(""https://docs.google.com/spreadsheets/d/1d2vevQ_7D_v35q4wCQ4RpQ_IPoTwEMB9Yp6ymwlPqew/edit?gid=984458430#gid=984458430"", ""'replication success'!A:K""), 11, FAlSE)"),"#N/A")</f>
        <v>#N/A</v>
      </c>
      <c r="AZ1283" s="61" t="str">
        <f>IFERROR(__xludf.DUMMYFUNCTION("vlookup(BB1283,importrange(""https://docs.google.com/spreadsheets/d/1d2vevQ_7D_v35q4wCQ4RpQ_IPoTwEMB9Yp6ymwlPqew/edit?gid=984458430#gid=984458430"", ""'replication success'!A:M""), 12, FAlSE)"),"#N/A")</f>
        <v>#N/A</v>
      </c>
      <c r="BA1283" s="61" t="str">
        <f>IFERROR(__xludf.DUMMYFUNCTION("vlookup(BB1283,importrange(""https://docs.google.com/spreadsheets/d/1d2vevQ_7D_v35q4wCQ4RpQ_IPoTwEMB9Yp6ymwlPqew/edit?gid=984458430#gid=984458430"", ""'replication success'!A:M""), 13, FAlSE)"),"#N/A")</f>
        <v>#N/A</v>
      </c>
      <c r="BB1283" s="61" t="str">
        <f>IFERROR(__xludf.DUMMYFUNCTION("REGEXREPLACE(G1283, ""_[a-z]{1,2}$"", """")"),"curatescience12")</f>
        <v>curatescience12</v>
      </c>
      <c r="BC1283" s="111"/>
      <c r="BD1283" s="227" t="s">
        <v>692</v>
      </c>
      <c r="BE1283" s="71"/>
      <c r="BF1283" s="71"/>
      <c r="BG1283" s="71"/>
      <c r="BH1283" s="71"/>
      <c r="BI1283" s="71"/>
      <c r="BJ1283" s="71"/>
      <c r="BK1283" s="71"/>
      <c r="BL1283" s="71"/>
      <c r="BM1283" s="71"/>
      <c r="BN1283" s="71"/>
      <c r="BO1283" s="71"/>
      <c r="BP1283" s="71"/>
      <c r="BQ1283" s="71"/>
      <c r="BR1283" s="71"/>
      <c r="BS1283" s="71"/>
      <c r="BT1283" s="71"/>
      <c r="BU1283" s="71"/>
      <c r="BV1283" s="71"/>
      <c r="BW1283" s="71"/>
      <c r="BX1283" s="71"/>
      <c r="BY1283" s="71"/>
      <c r="BZ1283" s="71"/>
      <c r="CA1283" s="71"/>
      <c r="CB1283" s="71"/>
      <c r="CC1283" s="71"/>
      <c r="CD1283" s="71"/>
      <c r="CE1283" s="71"/>
      <c r="CF1283" s="71"/>
      <c r="CG1283" s="71"/>
      <c r="CH1283" s="71"/>
      <c r="CI1283" s="71"/>
      <c r="CJ1283" s="71"/>
      <c r="CK1283" s="71"/>
      <c r="CL1283" s="71"/>
      <c r="CM1283" s="71"/>
      <c r="CN1283" s="71"/>
      <c r="CO1283" s="71"/>
      <c r="CP1283" s="71"/>
      <c r="CQ1283" s="71"/>
      <c r="CR1283" s="71"/>
      <c r="CS1283" s="71"/>
      <c r="CT1283" s="71"/>
      <c r="CU1283" s="71"/>
      <c r="CV1283" s="71"/>
      <c r="CW1283" s="71"/>
      <c r="CX1283" s="71"/>
      <c r="CY1283" s="71"/>
      <c r="CZ1283" s="71"/>
      <c r="DA1283" s="71"/>
      <c r="DB1283" s="71"/>
      <c r="DC1283" s="71"/>
      <c r="DD1283" s="71"/>
      <c r="DE1283" s="71"/>
      <c r="DF1283" s="71"/>
      <c r="DG1283" s="71"/>
      <c r="DH1283" s="71"/>
      <c r="DI1283" s="71"/>
      <c r="DJ1283" s="71"/>
      <c r="DK1283" s="71"/>
      <c r="DL1283" s="71"/>
    </row>
    <row r="1284">
      <c r="A1284" s="44">
        <v>1284.0</v>
      </c>
      <c r="B1284" s="227" t="s">
        <v>152</v>
      </c>
      <c r="C1284" s="227" t="s">
        <v>115</v>
      </c>
      <c r="D1284" s="227" t="s">
        <v>248</v>
      </c>
      <c r="E1284" s="228"/>
      <c r="F1284" s="227" t="s">
        <v>7277</v>
      </c>
      <c r="G1284" s="238" t="s">
        <v>7278</v>
      </c>
      <c r="H1284" s="238" t="s">
        <v>249</v>
      </c>
      <c r="I1284" s="1414">
        <v>45813.0</v>
      </c>
      <c r="J1284" s="238" t="s">
        <v>7279</v>
      </c>
      <c r="K1284" s="238"/>
      <c r="L1284" s="238" t="s">
        <v>7280</v>
      </c>
      <c r="M1284" s="238" t="s">
        <v>7281</v>
      </c>
      <c r="N1284" s="238" t="s">
        <v>7282</v>
      </c>
      <c r="O1284" s="238">
        <v>1.0</v>
      </c>
      <c r="P1284" s="238" t="s">
        <v>7283</v>
      </c>
      <c r="Q1284" s="1400" t="s">
        <v>7284</v>
      </c>
      <c r="R1284" s="238" t="s">
        <v>7285</v>
      </c>
      <c r="S1284" s="238" t="s">
        <v>7286</v>
      </c>
      <c r="T1284" s="1415" t="s">
        <v>7287</v>
      </c>
      <c r="U1284" s="238">
        <v>1.0</v>
      </c>
      <c r="V1284" s="234" t="s">
        <v>7288</v>
      </c>
      <c r="W1284" s="238" t="s">
        <v>7289</v>
      </c>
      <c r="X1284" s="695" t="s">
        <v>7284</v>
      </c>
      <c r="Y1284" s="1398"/>
      <c r="Z1284" s="238" t="s">
        <v>947</v>
      </c>
      <c r="AA1284" s="238" t="s">
        <v>7290</v>
      </c>
      <c r="AB1284" s="238" t="s">
        <v>7291</v>
      </c>
      <c r="AC1284" s="238" t="s">
        <v>7292</v>
      </c>
      <c r="AD1284" s="238" t="s">
        <v>7293</v>
      </c>
      <c r="AE1284" s="238" t="s">
        <v>496</v>
      </c>
      <c r="AF1284" s="238">
        <v>37.0</v>
      </c>
      <c r="AG1284" s="238" t="s">
        <v>138</v>
      </c>
      <c r="AH1284" s="238"/>
      <c r="AI1284" s="238" t="s">
        <v>7294</v>
      </c>
      <c r="AJ1284" s="238">
        <v>0.01</v>
      </c>
      <c r="AK1284" s="227" t="s">
        <v>135</v>
      </c>
      <c r="AL1284" s="238" t="s">
        <v>186</v>
      </c>
      <c r="AM1284" s="238" t="s">
        <v>137</v>
      </c>
      <c r="AN1284" s="238" t="s">
        <v>138</v>
      </c>
      <c r="AO1284" s="238">
        <v>240.0</v>
      </c>
      <c r="AP1284" s="238" t="s">
        <v>138</v>
      </c>
      <c r="AQ1284" s="238" t="s">
        <v>138</v>
      </c>
      <c r="AR1284" s="238" t="s">
        <v>7295</v>
      </c>
      <c r="AS1284" s="238">
        <v>0.001</v>
      </c>
      <c r="AT1284" s="227" t="s">
        <v>135</v>
      </c>
      <c r="AU1284" s="227" t="s">
        <v>186</v>
      </c>
      <c r="AV1284" s="695" t="s">
        <v>137</v>
      </c>
      <c r="AW1284" s="1416" t="s">
        <v>7296</v>
      </c>
      <c r="AX1284" s="227" t="s">
        <v>143</v>
      </c>
      <c r="AY1284" s="61" t="str">
        <f>IFERROR(__xludf.DUMMYFUNCTION("vlookup(BB1284,importrange(""https://docs.google.com/spreadsheets/d/1d2vevQ_7D_v35q4wCQ4RpQ_IPoTwEMB9Yp6ymwlPqew/edit?gid=984458430#gid=984458430"", ""'replication success'!A:K""), 11, FAlSE)"),"successful")</f>
        <v>successful</v>
      </c>
      <c r="AZ1284" s="61" t="str">
        <f>IFERROR(__xludf.DUMMYFUNCTION("vlookup(BB1284,importrange(""https://docs.google.com/spreadsheets/d/1d2vevQ_7D_v35q4wCQ4RpQ_IPoTwEMB9Yp6ymwlPqew/edit?gid=984458430#gid=984458430"",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4" s="61" t="str">
        <f>IFERROR(__xludf.DUMMYFUNCTION("vlookup(BB1284,importrange(""https://docs.google.com/spreadsheets/d/1d2vevQ_7D_v35q4wCQ4RpQ_IPoTwEMB9Yp6ymwlPqew/edit?gid=984458430#gid=984458430"", ""'replication success'!A:M""), 13, FAlSE)"),"abstract")</f>
        <v>abstract</v>
      </c>
      <c r="BB1284" s="61" t="str">
        <f>IFERROR(__xludf.DUMMYFUNCTION("REGEXREPLACE(G1284, ""_[a-z]{1,2}$"", """")"),"CORE_1")</f>
        <v>CORE_1</v>
      </c>
      <c r="BC1284" s="228"/>
      <c r="BD1284" s="227" t="s">
        <v>814</v>
      </c>
      <c r="BE1284" s="228"/>
      <c r="BF1284" s="228"/>
      <c r="BG1284" s="228"/>
      <c r="BH1284" s="228"/>
      <c r="BI1284" s="228"/>
      <c r="BJ1284" s="228"/>
      <c r="BK1284" s="228"/>
      <c r="BL1284" s="228"/>
      <c r="BM1284" s="228"/>
      <c r="BN1284" s="228"/>
      <c r="BO1284" s="228"/>
      <c r="BP1284" s="228"/>
      <c r="BQ1284" s="228"/>
      <c r="BR1284" s="228"/>
      <c r="BS1284" s="228"/>
      <c r="BT1284" s="228"/>
      <c r="BU1284" s="228"/>
      <c r="BV1284" s="228"/>
      <c r="BW1284" s="228"/>
      <c r="BX1284" s="228"/>
      <c r="BY1284" s="228"/>
      <c r="BZ1284" s="228"/>
      <c r="CA1284" s="228"/>
      <c r="CB1284" s="228"/>
      <c r="CC1284" s="228"/>
      <c r="CD1284" s="228"/>
      <c r="CE1284" s="228"/>
      <c r="CF1284" s="228"/>
      <c r="CG1284" s="228"/>
      <c r="CH1284" s="228"/>
      <c r="CI1284" s="228"/>
      <c r="CJ1284" s="228"/>
      <c r="CK1284" s="228"/>
      <c r="CL1284" s="228"/>
      <c r="CM1284" s="228"/>
      <c r="CN1284" s="228"/>
      <c r="CO1284" s="228"/>
      <c r="CP1284" s="228"/>
      <c r="CQ1284" s="228"/>
      <c r="CR1284" s="228"/>
      <c r="CS1284" s="228"/>
      <c r="CT1284" s="228"/>
      <c r="CU1284" s="228"/>
      <c r="CV1284" s="228"/>
      <c r="CW1284" s="228"/>
      <c r="CX1284" s="228"/>
      <c r="CY1284" s="228"/>
      <c r="CZ1284" s="228"/>
      <c r="DA1284" s="228"/>
      <c r="DB1284" s="228"/>
      <c r="DC1284" s="228"/>
      <c r="DD1284" s="228"/>
      <c r="DE1284" s="228"/>
      <c r="DF1284" s="228"/>
      <c r="DG1284" s="228"/>
      <c r="DH1284" s="228"/>
      <c r="DI1284" s="228"/>
      <c r="DJ1284" s="228"/>
      <c r="DK1284" s="228"/>
      <c r="DL1284" s="228"/>
    </row>
    <row r="1285">
      <c r="A1285" s="44">
        <v>1285.0</v>
      </c>
      <c r="B1285" s="62" t="s">
        <v>523</v>
      </c>
      <c r="C1285" s="62" t="s">
        <v>115</v>
      </c>
      <c r="D1285" s="62" t="s">
        <v>248</v>
      </c>
      <c r="F1285" s="62" t="s">
        <v>7277</v>
      </c>
      <c r="G1285" s="45" t="s">
        <v>7297</v>
      </c>
      <c r="H1285" s="45" t="s">
        <v>249</v>
      </c>
      <c r="I1285" s="63">
        <v>45813.0</v>
      </c>
      <c r="J1285" s="64"/>
      <c r="K1285" s="45"/>
      <c r="L1285" s="45"/>
      <c r="M1285" s="45" t="s">
        <v>7281</v>
      </c>
      <c r="N1285" s="45" t="s">
        <v>7282</v>
      </c>
      <c r="O1285" s="45"/>
      <c r="P1285" s="66" t="s">
        <v>7283</v>
      </c>
      <c r="Q1285" s="108" t="s">
        <v>7284</v>
      </c>
      <c r="R1285" s="45" t="s">
        <v>7285</v>
      </c>
      <c r="S1285" s="45" t="s">
        <v>7286</v>
      </c>
      <c r="T1285" s="1417" t="s">
        <v>7287</v>
      </c>
      <c r="U1285" s="66">
        <v>1.0</v>
      </c>
      <c r="V1285" s="575" t="s">
        <v>7288</v>
      </c>
      <c r="W1285" s="65"/>
      <c r="X1285" s="56" t="s">
        <v>7284</v>
      </c>
      <c r="Y1285" s="65"/>
      <c r="Z1285" s="45" t="s">
        <v>947</v>
      </c>
      <c r="AA1285" s="45" t="s">
        <v>7298</v>
      </c>
      <c r="AB1285" s="45" t="s">
        <v>7291</v>
      </c>
      <c r="AC1285" s="45" t="s">
        <v>7299</v>
      </c>
      <c r="AD1285" s="45" t="s">
        <v>7293</v>
      </c>
      <c r="AE1285" s="45" t="s">
        <v>496</v>
      </c>
      <c r="AF1285" s="45">
        <v>31.0</v>
      </c>
      <c r="AG1285" s="45" t="s">
        <v>138</v>
      </c>
      <c r="AH1285" s="45"/>
      <c r="AI1285" s="45" t="s">
        <v>7300</v>
      </c>
      <c r="AJ1285" s="45">
        <v>1.0E-4</v>
      </c>
      <c r="AK1285" s="62" t="s">
        <v>135</v>
      </c>
      <c r="AL1285" s="45" t="s">
        <v>186</v>
      </c>
      <c r="AM1285" s="45" t="s">
        <v>137</v>
      </c>
      <c r="AN1285" s="45" t="s">
        <v>138</v>
      </c>
      <c r="AO1285" s="45">
        <v>240.0</v>
      </c>
      <c r="AP1285" s="45" t="s">
        <v>138</v>
      </c>
      <c r="AQ1285" s="65"/>
      <c r="AR1285" s="45" t="s">
        <v>7301</v>
      </c>
      <c r="AS1285" s="45">
        <v>0.001</v>
      </c>
      <c r="AT1285" s="62" t="s">
        <v>135</v>
      </c>
      <c r="AU1285" s="62" t="s">
        <v>186</v>
      </c>
      <c r="AV1285" s="129" t="s">
        <v>137</v>
      </c>
      <c r="AW1285" s="97" t="s">
        <v>7296</v>
      </c>
      <c r="AX1285" s="62" t="s">
        <v>143</v>
      </c>
      <c r="AY1285" s="61" t="str">
        <f>IFERROR(__xludf.DUMMYFUNCTION("vlookup(BB1285,importrange(""https://docs.google.com/spreadsheets/d/1d2vevQ_7D_v35q4wCQ4RpQ_IPoTwEMB9Yp6ymwlPqew/edit?gid=984458430#gid=984458430"", ""'replication success'!A:K""), 11, FAlSE)"),"successful")</f>
        <v>successful</v>
      </c>
      <c r="AZ1285" s="61" t="str">
        <f>IFERROR(__xludf.DUMMYFUNCTION("vlookup(BB1285,importrange(""https://docs.google.com/spreadsheets/d/1d2vevQ_7D_v35q4wCQ4RpQ_IPoTwEMB9Yp6ymwlPqew/edit?gid=984458430#gid=984458430"",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5" s="61" t="str">
        <f>IFERROR(__xludf.DUMMYFUNCTION("vlookup(BB1285,importrange(""https://docs.google.com/spreadsheets/d/1d2vevQ_7D_v35q4wCQ4RpQ_IPoTwEMB9Yp6ymwlPqew/edit?gid=984458430#gid=984458430"", ""'replication success'!A:M""), 13, FAlSE)"),"abstract")</f>
        <v>abstract</v>
      </c>
      <c r="BB1285" s="61" t="str">
        <f>IFERROR(__xludf.DUMMYFUNCTION("REGEXREPLACE(G1285, ""_[a-z]{1,2}$"", """")"),"CORE_1")</f>
        <v>CORE_1</v>
      </c>
      <c r="BD1285" s="62" t="s">
        <v>7302</v>
      </c>
    </row>
    <row r="1286">
      <c r="A1286" s="44">
        <v>1286.0</v>
      </c>
      <c r="B1286" s="62" t="s">
        <v>523</v>
      </c>
      <c r="C1286" s="62" t="s">
        <v>115</v>
      </c>
      <c r="D1286" s="62" t="s">
        <v>248</v>
      </c>
      <c r="F1286" s="62" t="s">
        <v>7277</v>
      </c>
      <c r="G1286" s="45" t="s">
        <v>7303</v>
      </c>
      <c r="H1286" s="45" t="s">
        <v>249</v>
      </c>
      <c r="I1286" s="63">
        <v>45813.0</v>
      </c>
      <c r="J1286" s="64"/>
      <c r="K1286" s="45"/>
      <c r="L1286" s="45"/>
      <c r="M1286" s="45" t="s">
        <v>7281</v>
      </c>
      <c r="N1286" s="45" t="s">
        <v>7282</v>
      </c>
      <c r="O1286" s="45"/>
      <c r="P1286" s="66" t="s">
        <v>7283</v>
      </c>
      <c r="Q1286" s="108" t="s">
        <v>7284</v>
      </c>
      <c r="R1286" s="45" t="s">
        <v>7285</v>
      </c>
      <c r="S1286" s="45" t="s">
        <v>7286</v>
      </c>
      <c r="T1286" s="1417" t="s">
        <v>7287</v>
      </c>
      <c r="U1286" s="66">
        <v>1.0</v>
      </c>
      <c r="V1286" s="575" t="s">
        <v>7288</v>
      </c>
      <c r="W1286" s="65"/>
      <c r="X1286" s="56" t="s">
        <v>7284</v>
      </c>
      <c r="Y1286" s="65"/>
      <c r="Z1286" s="45" t="s">
        <v>947</v>
      </c>
      <c r="AA1286" s="45" t="s">
        <v>7298</v>
      </c>
      <c r="AB1286" s="45" t="s">
        <v>7291</v>
      </c>
      <c r="AC1286" s="45" t="s">
        <v>7304</v>
      </c>
      <c r="AD1286" s="45" t="s">
        <v>7293</v>
      </c>
      <c r="AE1286" s="45" t="s">
        <v>496</v>
      </c>
      <c r="AF1286" s="45">
        <v>31.0</v>
      </c>
      <c r="AG1286" s="45" t="s">
        <v>138</v>
      </c>
      <c r="AH1286" s="45"/>
      <c r="AI1286" s="45" t="s">
        <v>7305</v>
      </c>
      <c r="AJ1286" s="45">
        <v>1.0E-4</v>
      </c>
      <c r="AK1286" s="62" t="s">
        <v>135</v>
      </c>
      <c r="AL1286" s="45" t="s">
        <v>186</v>
      </c>
      <c r="AM1286" s="45" t="s">
        <v>137</v>
      </c>
      <c r="AN1286" s="45" t="s">
        <v>138</v>
      </c>
      <c r="AO1286" s="45">
        <v>240.0</v>
      </c>
      <c r="AP1286" s="45" t="s">
        <v>138</v>
      </c>
      <c r="AQ1286" s="65"/>
      <c r="AR1286" s="45" t="s">
        <v>7306</v>
      </c>
      <c r="AS1286" s="45">
        <v>0.001</v>
      </c>
      <c r="AT1286" s="62" t="s">
        <v>135</v>
      </c>
      <c r="AU1286" s="62" t="s">
        <v>186</v>
      </c>
      <c r="AV1286" s="129" t="s">
        <v>137</v>
      </c>
      <c r="AW1286" s="97" t="s">
        <v>7296</v>
      </c>
      <c r="AX1286" s="62" t="s">
        <v>143</v>
      </c>
      <c r="AY1286" s="61" t="str">
        <f>IFERROR(__xludf.DUMMYFUNCTION("vlookup(BB1286,importrange(""https://docs.google.com/spreadsheets/d/1d2vevQ_7D_v35q4wCQ4RpQ_IPoTwEMB9Yp6ymwlPqew/edit?gid=984458430#gid=984458430"", ""'replication success'!A:K""), 11, FAlSE)"),"successful")</f>
        <v>successful</v>
      </c>
      <c r="AZ1286" s="61" t="str">
        <f>IFERROR(__xludf.DUMMYFUNCTION("vlookup(BB1286,importrange(""https://docs.google.com/spreadsheets/d/1d2vevQ_7D_v35q4wCQ4RpQ_IPoTwEMB9Yp6ymwlPqew/edit?gid=984458430#gid=984458430"",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6" s="61" t="str">
        <f>IFERROR(__xludf.DUMMYFUNCTION("vlookup(BB1286,importrange(""https://docs.google.com/spreadsheets/d/1d2vevQ_7D_v35q4wCQ4RpQ_IPoTwEMB9Yp6ymwlPqew/edit?gid=984458430#gid=984458430"", ""'replication success'!A:M""), 13, FAlSE)"),"abstract")</f>
        <v>abstract</v>
      </c>
      <c r="BB1286" s="61" t="str">
        <f>IFERROR(__xludf.DUMMYFUNCTION("REGEXREPLACE(G1286, ""_[a-z]{1,2}$"", """")"),"CORE_1")</f>
        <v>CORE_1</v>
      </c>
      <c r="BD1286" s="62" t="s">
        <v>7302</v>
      </c>
    </row>
    <row r="1287">
      <c r="A1287" s="44">
        <v>1287.0</v>
      </c>
      <c r="B1287" s="62" t="s">
        <v>523</v>
      </c>
      <c r="C1287" s="62" t="s">
        <v>115</v>
      </c>
      <c r="D1287" s="62" t="s">
        <v>248</v>
      </c>
      <c r="F1287" s="62" t="s">
        <v>7277</v>
      </c>
      <c r="G1287" s="45" t="s">
        <v>7307</v>
      </c>
      <c r="H1287" s="45" t="s">
        <v>249</v>
      </c>
      <c r="I1287" s="63">
        <v>45813.0</v>
      </c>
      <c r="J1287" s="64"/>
      <c r="K1287" s="45"/>
      <c r="L1287" s="45"/>
      <c r="M1287" s="45" t="s">
        <v>7281</v>
      </c>
      <c r="N1287" s="45" t="s">
        <v>7282</v>
      </c>
      <c r="O1287" s="45"/>
      <c r="P1287" s="66" t="s">
        <v>7283</v>
      </c>
      <c r="Q1287" s="108" t="s">
        <v>7284</v>
      </c>
      <c r="R1287" s="45" t="s">
        <v>7285</v>
      </c>
      <c r="S1287" s="45" t="s">
        <v>7286</v>
      </c>
      <c r="T1287" s="1417" t="s">
        <v>7287</v>
      </c>
      <c r="U1287" s="66">
        <v>1.0</v>
      </c>
      <c r="V1287" s="575" t="s">
        <v>7288</v>
      </c>
      <c r="W1287" s="65"/>
      <c r="X1287" s="56" t="s">
        <v>7284</v>
      </c>
      <c r="Y1287" s="65"/>
      <c r="Z1287" s="45" t="s">
        <v>947</v>
      </c>
      <c r="AA1287" s="45" t="s">
        <v>7298</v>
      </c>
      <c r="AB1287" s="45" t="s">
        <v>7291</v>
      </c>
      <c r="AC1287" s="45" t="s">
        <v>7308</v>
      </c>
      <c r="AD1287" s="45" t="s">
        <v>7293</v>
      </c>
      <c r="AE1287" s="45" t="s">
        <v>496</v>
      </c>
      <c r="AF1287" s="45">
        <v>31.0</v>
      </c>
      <c r="AG1287" s="45" t="s">
        <v>138</v>
      </c>
      <c r="AH1287" s="45"/>
      <c r="AI1287" s="45" t="s">
        <v>7309</v>
      </c>
      <c r="AJ1287" s="45">
        <v>0.01</v>
      </c>
      <c r="AK1287" s="62" t="s">
        <v>135</v>
      </c>
      <c r="AL1287" s="45" t="s">
        <v>186</v>
      </c>
      <c r="AM1287" s="45" t="s">
        <v>137</v>
      </c>
      <c r="AN1287" s="45" t="s">
        <v>138</v>
      </c>
      <c r="AO1287" s="45">
        <v>240.0</v>
      </c>
      <c r="AP1287" s="45" t="s">
        <v>138</v>
      </c>
      <c r="AQ1287" s="65"/>
      <c r="AR1287" s="45" t="s">
        <v>7310</v>
      </c>
      <c r="AS1287" s="45">
        <v>0.001</v>
      </c>
      <c r="AT1287" s="62" t="s">
        <v>135</v>
      </c>
      <c r="AU1287" s="62" t="s">
        <v>186</v>
      </c>
      <c r="AV1287" s="129" t="s">
        <v>137</v>
      </c>
      <c r="AW1287" s="97" t="s">
        <v>7296</v>
      </c>
      <c r="AX1287" s="62" t="s">
        <v>143</v>
      </c>
      <c r="AY1287" s="61" t="str">
        <f>IFERROR(__xludf.DUMMYFUNCTION("vlookup(BB1287,importrange(""https://docs.google.com/spreadsheets/d/1d2vevQ_7D_v35q4wCQ4RpQ_IPoTwEMB9Yp6ymwlPqew/edit?gid=984458430#gid=984458430"", ""'replication success'!A:K""), 11, FAlSE)"),"successful")</f>
        <v>successful</v>
      </c>
      <c r="AZ1287" s="61" t="str">
        <f>IFERROR(__xludf.DUMMYFUNCTION("vlookup(BB1287,importrange(""https://docs.google.com/spreadsheets/d/1d2vevQ_7D_v35q4wCQ4RpQ_IPoTwEMB9Yp6ymwlPqew/edit?gid=984458430#gid=984458430"",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7" s="61" t="str">
        <f>IFERROR(__xludf.DUMMYFUNCTION("vlookup(BB1287,importrange(""https://docs.google.com/spreadsheets/d/1d2vevQ_7D_v35q4wCQ4RpQ_IPoTwEMB9Yp6ymwlPqew/edit?gid=984458430#gid=984458430"", ""'replication success'!A:M""), 13, FAlSE)"),"abstract")</f>
        <v>abstract</v>
      </c>
      <c r="BB1287" s="61" t="str">
        <f>IFERROR(__xludf.DUMMYFUNCTION("REGEXREPLACE(G1287, ""_[a-z]{1,2}$"", """")"),"CORE_1")</f>
        <v>CORE_1</v>
      </c>
      <c r="BD1287" s="62" t="s">
        <v>7302</v>
      </c>
    </row>
    <row r="1288">
      <c r="A1288" s="44">
        <v>1288.0</v>
      </c>
      <c r="B1288" s="62" t="s">
        <v>523</v>
      </c>
      <c r="C1288" s="62" t="s">
        <v>115</v>
      </c>
      <c r="D1288" s="62" t="s">
        <v>248</v>
      </c>
      <c r="F1288" s="62" t="s">
        <v>7277</v>
      </c>
      <c r="G1288" s="45" t="s">
        <v>7311</v>
      </c>
      <c r="H1288" s="45" t="s">
        <v>249</v>
      </c>
      <c r="I1288" s="63">
        <v>45813.0</v>
      </c>
      <c r="J1288" s="64"/>
      <c r="K1288" s="45"/>
      <c r="L1288" s="45"/>
      <c r="M1288" s="45" t="s">
        <v>7281</v>
      </c>
      <c r="N1288" s="45" t="s">
        <v>7282</v>
      </c>
      <c r="O1288" s="45"/>
      <c r="P1288" s="66" t="s">
        <v>7283</v>
      </c>
      <c r="Q1288" s="108" t="s">
        <v>7284</v>
      </c>
      <c r="R1288" s="45" t="s">
        <v>7285</v>
      </c>
      <c r="S1288" s="45" t="s">
        <v>7286</v>
      </c>
      <c r="T1288" s="1417" t="s">
        <v>7287</v>
      </c>
      <c r="U1288" s="66">
        <v>1.0</v>
      </c>
      <c r="V1288" s="575" t="s">
        <v>7288</v>
      </c>
      <c r="W1288" s="65"/>
      <c r="X1288" s="56" t="s">
        <v>7284</v>
      </c>
      <c r="Y1288" s="65"/>
      <c r="Z1288" s="45" t="s">
        <v>947</v>
      </c>
      <c r="AA1288" s="45" t="s">
        <v>7298</v>
      </c>
      <c r="AB1288" s="45" t="s">
        <v>7291</v>
      </c>
      <c r="AC1288" s="45" t="s">
        <v>7312</v>
      </c>
      <c r="AD1288" s="45" t="s">
        <v>7293</v>
      </c>
      <c r="AE1288" s="45" t="s">
        <v>496</v>
      </c>
      <c r="AF1288" s="45">
        <v>31.0</v>
      </c>
      <c r="AG1288" s="45" t="s">
        <v>138</v>
      </c>
      <c r="AH1288" s="45"/>
      <c r="AI1288" s="45" t="s">
        <v>7313</v>
      </c>
      <c r="AJ1288" s="45">
        <v>0.05</v>
      </c>
      <c r="AK1288" s="62" t="s">
        <v>335</v>
      </c>
      <c r="AL1288" s="45" t="s">
        <v>186</v>
      </c>
      <c r="AM1288" s="45" t="s">
        <v>137</v>
      </c>
      <c r="AN1288" s="45" t="s">
        <v>138</v>
      </c>
      <c r="AO1288" s="45">
        <v>240.0</v>
      </c>
      <c r="AP1288" s="45" t="s">
        <v>138</v>
      </c>
      <c r="AQ1288" s="65"/>
      <c r="AR1288" s="45" t="s">
        <v>7314</v>
      </c>
      <c r="AS1288" s="45">
        <v>0.05</v>
      </c>
      <c r="AT1288" s="62" t="s">
        <v>335</v>
      </c>
      <c r="AU1288" s="62" t="s">
        <v>186</v>
      </c>
      <c r="AV1288" s="129" t="s">
        <v>137</v>
      </c>
      <c r="AW1288" s="97" t="s">
        <v>7296</v>
      </c>
      <c r="AX1288" s="62" t="s">
        <v>143</v>
      </c>
      <c r="AY1288" s="61" t="str">
        <f>IFERROR(__xludf.DUMMYFUNCTION("vlookup(BB1288,importrange(""https://docs.google.com/spreadsheets/d/1d2vevQ_7D_v35q4wCQ4RpQ_IPoTwEMB9Yp6ymwlPqew/edit?gid=984458430#gid=984458430"", ""'replication success'!A:K""), 11, FAlSE)"),"successful")</f>
        <v>successful</v>
      </c>
      <c r="AZ1288" s="61" t="str">
        <f>IFERROR(__xludf.DUMMYFUNCTION("vlookup(BB1288,importrange(""https://docs.google.com/spreadsheets/d/1d2vevQ_7D_v35q4wCQ4RpQ_IPoTwEMB9Yp6ymwlPqew/edit?gid=984458430#gid=984458430"",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8" s="61" t="str">
        <f>IFERROR(__xludf.DUMMYFUNCTION("vlookup(BB1288,importrange(""https://docs.google.com/spreadsheets/d/1d2vevQ_7D_v35q4wCQ4RpQ_IPoTwEMB9Yp6ymwlPqew/edit?gid=984458430#gid=984458430"", ""'replication success'!A:M""), 13, FAlSE)"),"abstract")</f>
        <v>abstract</v>
      </c>
      <c r="BB1288" s="61" t="str">
        <f>IFERROR(__xludf.DUMMYFUNCTION("REGEXREPLACE(G1288, ""_[a-z]{1,2}$"", """")"),"CORE_1")</f>
        <v>CORE_1</v>
      </c>
      <c r="BD1288" s="62" t="s">
        <v>7302</v>
      </c>
    </row>
    <row r="1289">
      <c r="A1289" s="44">
        <v>1289.0</v>
      </c>
      <c r="B1289" s="62" t="s">
        <v>523</v>
      </c>
      <c r="C1289" s="62" t="s">
        <v>115</v>
      </c>
      <c r="D1289" s="62" t="s">
        <v>248</v>
      </c>
      <c r="F1289" s="62" t="s">
        <v>7277</v>
      </c>
      <c r="G1289" s="45" t="s">
        <v>7315</v>
      </c>
      <c r="H1289" s="45" t="s">
        <v>249</v>
      </c>
      <c r="I1289" s="63">
        <v>45813.0</v>
      </c>
      <c r="J1289" s="64"/>
      <c r="K1289" s="45"/>
      <c r="L1289" s="45"/>
      <c r="M1289" s="45" t="s">
        <v>7281</v>
      </c>
      <c r="N1289" s="45" t="s">
        <v>7282</v>
      </c>
      <c r="O1289" s="45"/>
      <c r="P1289" s="66" t="s">
        <v>7283</v>
      </c>
      <c r="Q1289" s="108" t="s">
        <v>7284</v>
      </c>
      <c r="R1289" s="45" t="s">
        <v>7285</v>
      </c>
      <c r="S1289" s="45" t="s">
        <v>7286</v>
      </c>
      <c r="T1289" s="1417" t="s">
        <v>7287</v>
      </c>
      <c r="U1289" s="66">
        <v>1.0</v>
      </c>
      <c r="V1289" s="575" t="s">
        <v>7288</v>
      </c>
      <c r="W1289" s="65"/>
      <c r="X1289" s="56" t="s">
        <v>7284</v>
      </c>
      <c r="Y1289" s="65"/>
      <c r="Z1289" s="45" t="s">
        <v>947</v>
      </c>
      <c r="AA1289" s="45" t="s">
        <v>7298</v>
      </c>
      <c r="AB1289" s="45" t="s">
        <v>7291</v>
      </c>
      <c r="AC1289" s="45" t="s">
        <v>7316</v>
      </c>
      <c r="AD1289" s="45" t="s">
        <v>7293</v>
      </c>
      <c r="AE1289" s="45" t="s">
        <v>496</v>
      </c>
      <c r="AF1289" s="45">
        <v>31.0</v>
      </c>
      <c r="AG1289" s="45" t="s">
        <v>138</v>
      </c>
      <c r="AH1289" s="45"/>
      <c r="AI1289" s="45" t="s">
        <v>7317</v>
      </c>
      <c r="AJ1289" s="45">
        <v>1.0E-4</v>
      </c>
      <c r="AK1289" s="62" t="s">
        <v>135</v>
      </c>
      <c r="AL1289" s="45" t="s">
        <v>186</v>
      </c>
      <c r="AM1289" s="45" t="s">
        <v>137</v>
      </c>
      <c r="AN1289" s="45" t="s">
        <v>138</v>
      </c>
      <c r="AO1289" s="45">
        <v>240.0</v>
      </c>
      <c r="AP1289" s="45" t="s">
        <v>138</v>
      </c>
      <c r="AQ1289" s="65"/>
      <c r="AR1289" s="45" t="s">
        <v>7318</v>
      </c>
      <c r="AS1289" s="45">
        <v>0.001</v>
      </c>
      <c r="AT1289" s="62" t="s">
        <v>135</v>
      </c>
      <c r="AU1289" s="62" t="s">
        <v>186</v>
      </c>
      <c r="AV1289" s="129" t="s">
        <v>137</v>
      </c>
      <c r="AW1289" s="97" t="s">
        <v>7296</v>
      </c>
      <c r="AX1289" s="62" t="s">
        <v>143</v>
      </c>
      <c r="AY1289" s="61" t="str">
        <f>IFERROR(__xludf.DUMMYFUNCTION("vlookup(BB1289,importrange(""https://docs.google.com/spreadsheets/d/1d2vevQ_7D_v35q4wCQ4RpQ_IPoTwEMB9Yp6ymwlPqew/edit?gid=984458430#gid=984458430"", ""'replication success'!A:K""), 11, FAlSE)"),"successful")</f>
        <v>successful</v>
      </c>
      <c r="AZ1289" s="61" t="str">
        <f>IFERROR(__xludf.DUMMYFUNCTION("vlookup(BB1289,importrange(""https://docs.google.com/spreadsheets/d/1d2vevQ_7D_v35q4wCQ4RpQ_IPoTwEMB9Yp6ymwlPqew/edit?gid=984458430#gid=984458430"",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89" s="61" t="str">
        <f>IFERROR(__xludf.DUMMYFUNCTION("vlookup(BB1289,importrange(""https://docs.google.com/spreadsheets/d/1d2vevQ_7D_v35q4wCQ4RpQ_IPoTwEMB9Yp6ymwlPqew/edit?gid=984458430#gid=984458430"", ""'replication success'!A:M""), 13, FAlSE)"),"abstract")</f>
        <v>abstract</v>
      </c>
      <c r="BB1289" s="61" t="str">
        <f>IFERROR(__xludf.DUMMYFUNCTION("REGEXREPLACE(G1289, ""_[a-z]{1,2}$"", """")"),"CORE_1")</f>
        <v>CORE_1</v>
      </c>
      <c r="BD1289" s="62" t="s">
        <v>7302</v>
      </c>
    </row>
    <row r="1290">
      <c r="A1290" s="44">
        <v>1290.0</v>
      </c>
      <c r="B1290" s="62" t="s">
        <v>523</v>
      </c>
      <c r="C1290" s="62" t="s">
        <v>115</v>
      </c>
      <c r="D1290" s="62" t="s">
        <v>248</v>
      </c>
      <c r="F1290" s="62" t="s">
        <v>7277</v>
      </c>
      <c r="G1290" s="45" t="s">
        <v>7319</v>
      </c>
      <c r="H1290" s="45" t="s">
        <v>249</v>
      </c>
      <c r="I1290" s="63">
        <v>45813.0</v>
      </c>
      <c r="J1290" s="64"/>
      <c r="K1290" s="45"/>
      <c r="L1290" s="45"/>
      <c r="M1290" s="45" t="s">
        <v>7281</v>
      </c>
      <c r="N1290" s="45" t="s">
        <v>7282</v>
      </c>
      <c r="O1290" s="45"/>
      <c r="P1290" s="66" t="s">
        <v>7283</v>
      </c>
      <c r="Q1290" s="108" t="s">
        <v>7284</v>
      </c>
      <c r="R1290" s="45" t="s">
        <v>7285</v>
      </c>
      <c r="S1290" s="45" t="s">
        <v>7286</v>
      </c>
      <c r="T1290" s="1417" t="s">
        <v>7287</v>
      </c>
      <c r="U1290" s="66">
        <v>1.0</v>
      </c>
      <c r="V1290" s="575" t="s">
        <v>7288</v>
      </c>
      <c r="W1290" s="65"/>
      <c r="X1290" s="56" t="s">
        <v>7284</v>
      </c>
      <c r="Y1290" s="65"/>
      <c r="Z1290" s="45" t="s">
        <v>947</v>
      </c>
      <c r="AA1290" s="45" t="s">
        <v>7298</v>
      </c>
      <c r="AB1290" s="45" t="s">
        <v>7291</v>
      </c>
      <c r="AC1290" s="45" t="s">
        <v>7320</v>
      </c>
      <c r="AD1290" s="45" t="s">
        <v>7293</v>
      </c>
      <c r="AE1290" s="45" t="s">
        <v>496</v>
      </c>
      <c r="AF1290" s="45">
        <v>31.0</v>
      </c>
      <c r="AG1290" s="45" t="s">
        <v>138</v>
      </c>
      <c r="AH1290" s="45"/>
      <c r="AI1290" s="45" t="s">
        <v>7321</v>
      </c>
      <c r="AJ1290" s="45">
        <v>1.0E-4</v>
      </c>
      <c r="AK1290" s="62" t="s">
        <v>135</v>
      </c>
      <c r="AL1290" s="45" t="s">
        <v>186</v>
      </c>
      <c r="AM1290" s="45" t="s">
        <v>137</v>
      </c>
      <c r="AN1290" s="45" t="s">
        <v>138</v>
      </c>
      <c r="AO1290" s="45">
        <v>240.0</v>
      </c>
      <c r="AP1290" s="45" t="s">
        <v>138</v>
      </c>
      <c r="AQ1290" s="65"/>
      <c r="AR1290" s="45" t="s">
        <v>7322</v>
      </c>
      <c r="AS1290" s="45">
        <v>0.001</v>
      </c>
      <c r="AT1290" s="62" t="s">
        <v>135</v>
      </c>
      <c r="AU1290" s="62" t="s">
        <v>186</v>
      </c>
      <c r="AV1290" s="129" t="s">
        <v>137</v>
      </c>
      <c r="AW1290" s="97" t="s">
        <v>7296</v>
      </c>
      <c r="AX1290" s="62" t="s">
        <v>143</v>
      </c>
      <c r="AY1290" s="61" t="str">
        <f>IFERROR(__xludf.DUMMYFUNCTION("vlookup(BB1290,importrange(""https://docs.google.com/spreadsheets/d/1d2vevQ_7D_v35q4wCQ4RpQ_IPoTwEMB9Yp6ymwlPqew/edit?gid=984458430#gid=984458430"", ""'replication success'!A:K""), 11, FAlSE)"),"successful")</f>
        <v>successful</v>
      </c>
      <c r="AZ1290" s="61" t="str">
        <f>IFERROR(__xludf.DUMMYFUNCTION("vlookup(BB1290,importrange(""https://docs.google.com/spreadsheets/d/1d2vevQ_7D_v35q4wCQ4RpQ_IPoTwEMB9Yp6ymwlPqew/edit?gid=984458430#gid=984458430"",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90" s="61" t="str">
        <f>IFERROR(__xludf.DUMMYFUNCTION("vlookup(BB1290,importrange(""https://docs.google.com/spreadsheets/d/1d2vevQ_7D_v35q4wCQ4RpQ_IPoTwEMB9Yp6ymwlPqew/edit?gid=984458430#gid=984458430"", ""'replication success'!A:M""), 13, FAlSE)"),"abstract")</f>
        <v>abstract</v>
      </c>
      <c r="BB1290" s="61" t="str">
        <f>IFERROR(__xludf.DUMMYFUNCTION("REGEXREPLACE(G1290, ""_[a-z]{1,2}$"", """")"),"CORE_1")</f>
        <v>CORE_1</v>
      </c>
      <c r="BD1290" s="62" t="s">
        <v>7302</v>
      </c>
    </row>
    <row r="1291">
      <c r="A1291" s="44">
        <v>1291.0</v>
      </c>
      <c r="B1291" s="62" t="s">
        <v>523</v>
      </c>
      <c r="C1291" s="62" t="s">
        <v>115</v>
      </c>
      <c r="D1291" s="62" t="s">
        <v>248</v>
      </c>
      <c r="F1291" s="62" t="s">
        <v>7277</v>
      </c>
      <c r="G1291" s="45" t="s">
        <v>7323</v>
      </c>
      <c r="H1291" s="45" t="s">
        <v>249</v>
      </c>
      <c r="I1291" s="63">
        <v>45813.0</v>
      </c>
      <c r="J1291" s="64"/>
      <c r="K1291" s="45"/>
      <c r="L1291" s="45"/>
      <c r="M1291" s="45" t="s">
        <v>7281</v>
      </c>
      <c r="N1291" s="45" t="s">
        <v>7282</v>
      </c>
      <c r="O1291" s="45"/>
      <c r="P1291" s="66" t="s">
        <v>7283</v>
      </c>
      <c r="Q1291" s="108" t="s">
        <v>7284</v>
      </c>
      <c r="R1291" s="45" t="s">
        <v>7285</v>
      </c>
      <c r="S1291" s="45" t="s">
        <v>7286</v>
      </c>
      <c r="T1291" s="1417" t="s">
        <v>7287</v>
      </c>
      <c r="U1291" s="66">
        <v>1.0</v>
      </c>
      <c r="V1291" s="575" t="s">
        <v>7288</v>
      </c>
      <c r="W1291" s="65"/>
      <c r="X1291" s="56" t="s">
        <v>7284</v>
      </c>
      <c r="Y1291" s="65"/>
      <c r="Z1291" s="45" t="s">
        <v>947</v>
      </c>
      <c r="AA1291" s="45" t="s">
        <v>7298</v>
      </c>
      <c r="AB1291" s="45" t="s">
        <v>7291</v>
      </c>
      <c r="AC1291" s="45" t="s">
        <v>7324</v>
      </c>
      <c r="AD1291" s="45" t="s">
        <v>7293</v>
      </c>
      <c r="AE1291" s="45" t="s">
        <v>496</v>
      </c>
      <c r="AF1291" s="45">
        <v>31.0</v>
      </c>
      <c r="AG1291" s="45" t="s">
        <v>138</v>
      </c>
      <c r="AH1291" s="45"/>
      <c r="AI1291" s="45" t="s">
        <v>7325</v>
      </c>
      <c r="AJ1291" s="45">
        <v>1.0E-4</v>
      </c>
      <c r="AK1291" s="62" t="s">
        <v>135</v>
      </c>
      <c r="AL1291" s="45" t="s">
        <v>186</v>
      </c>
      <c r="AM1291" s="45" t="s">
        <v>137</v>
      </c>
      <c r="AN1291" s="45" t="s">
        <v>138</v>
      </c>
      <c r="AO1291" s="45">
        <v>240.0</v>
      </c>
      <c r="AP1291" s="45" t="s">
        <v>138</v>
      </c>
      <c r="AQ1291" s="65"/>
      <c r="AR1291" s="45" t="s">
        <v>7326</v>
      </c>
      <c r="AS1291" s="45">
        <v>0.001</v>
      </c>
      <c r="AT1291" s="62" t="s">
        <v>135</v>
      </c>
      <c r="AU1291" s="62" t="s">
        <v>186</v>
      </c>
      <c r="AV1291" s="129" t="s">
        <v>137</v>
      </c>
      <c r="AW1291" s="97" t="s">
        <v>7296</v>
      </c>
      <c r="AX1291" s="62" t="s">
        <v>143</v>
      </c>
      <c r="AY1291" s="61" t="str">
        <f>IFERROR(__xludf.DUMMYFUNCTION("vlookup(BB1291,importrange(""https://docs.google.com/spreadsheets/d/1d2vevQ_7D_v35q4wCQ4RpQ_IPoTwEMB9Yp6ymwlPqew/edit?gid=984458430#gid=984458430"", ""'replication success'!A:K""), 11, FAlSE)"),"successful")</f>
        <v>successful</v>
      </c>
      <c r="AZ1291" s="61" t="str">
        <f>IFERROR(__xludf.DUMMYFUNCTION("vlookup(BB1291,importrange(""https://docs.google.com/spreadsheets/d/1d2vevQ_7D_v35q4wCQ4RpQ_IPoTwEMB9Yp6ymwlPqew/edit?gid=984458430#gid=984458430"",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91" s="61" t="str">
        <f>IFERROR(__xludf.DUMMYFUNCTION("vlookup(BB1291,importrange(""https://docs.google.com/spreadsheets/d/1d2vevQ_7D_v35q4wCQ4RpQ_IPoTwEMB9Yp6ymwlPqew/edit?gid=984458430#gid=984458430"", ""'replication success'!A:M""), 13, FAlSE)"),"abstract")</f>
        <v>abstract</v>
      </c>
      <c r="BB1291" s="61" t="str">
        <f>IFERROR(__xludf.DUMMYFUNCTION("REGEXREPLACE(G1291, ""_[a-z]{1,2}$"", """")"),"CORE_1")</f>
        <v>CORE_1</v>
      </c>
      <c r="BD1291" s="62" t="s">
        <v>7302</v>
      </c>
    </row>
    <row r="1292">
      <c r="A1292" s="44">
        <v>1292.0</v>
      </c>
      <c r="B1292" s="62" t="s">
        <v>523</v>
      </c>
      <c r="C1292" s="62" t="s">
        <v>115</v>
      </c>
      <c r="D1292" s="62" t="s">
        <v>248</v>
      </c>
      <c r="F1292" s="62" t="s">
        <v>7277</v>
      </c>
      <c r="G1292" s="45" t="s">
        <v>7327</v>
      </c>
      <c r="H1292" s="45" t="s">
        <v>249</v>
      </c>
      <c r="I1292" s="63">
        <v>45813.0</v>
      </c>
      <c r="J1292" s="64"/>
      <c r="K1292" s="45"/>
      <c r="L1292" s="45"/>
      <c r="M1292" s="45" t="s">
        <v>7281</v>
      </c>
      <c r="N1292" s="45" t="s">
        <v>7282</v>
      </c>
      <c r="O1292" s="45"/>
      <c r="P1292" s="66" t="s">
        <v>7283</v>
      </c>
      <c r="Q1292" s="108" t="s">
        <v>7284</v>
      </c>
      <c r="R1292" s="45" t="s">
        <v>7285</v>
      </c>
      <c r="S1292" s="45" t="s">
        <v>7286</v>
      </c>
      <c r="T1292" s="1417" t="s">
        <v>7287</v>
      </c>
      <c r="U1292" s="66">
        <v>1.0</v>
      </c>
      <c r="V1292" s="575" t="s">
        <v>7288</v>
      </c>
      <c r="W1292" s="65"/>
      <c r="X1292" s="56" t="s">
        <v>7284</v>
      </c>
      <c r="Y1292" s="65"/>
      <c r="Z1292" s="45" t="s">
        <v>947</v>
      </c>
      <c r="AA1292" s="45" t="s">
        <v>7298</v>
      </c>
      <c r="AB1292" s="45" t="s">
        <v>7291</v>
      </c>
      <c r="AC1292" s="45"/>
      <c r="AD1292" s="45" t="s">
        <v>7328</v>
      </c>
      <c r="AE1292" s="45" t="s">
        <v>496</v>
      </c>
      <c r="AF1292" s="45">
        <v>31.0</v>
      </c>
      <c r="AG1292" s="45">
        <v>-0.96</v>
      </c>
      <c r="AH1292" s="45"/>
      <c r="AI1292" s="45" t="s">
        <v>7329</v>
      </c>
      <c r="AJ1292" s="45">
        <v>0.001</v>
      </c>
      <c r="AK1292" s="62" t="s">
        <v>135</v>
      </c>
      <c r="AL1292" s="45" t="s">
        <v>186</v>
      </c>
      <c r="AM1292" s="45" t="s">
        <v>137</v>
      </c>
      <c r="AN1292" s="45" t="s">
        <v>138</v>
      </c>
      <c r="AO1292" s="45">
        <v>240.0</v>
      </c>
      <c r="AP1292" s="45">
        <v>-0.85</v>
      </c>
      <c r="AQ1292" s="45" t="s">
        <v>215</v>
      </c>
      <c r="AR1292" s="45" t="s">
        <v>7330</v>
      </c>
      <c r="AS1292" s="45">
        <v>0.0073</v>
      </c>
      <c r="AT1292" s="62" t="s">
        <v>172</v>
      </c>
      <c r="AU1292" s="62" t="s">
        <v>186</v>
      </c>
      <c r="AV1292" s="129" t="s">
        <v>137</v>
      </c>
      <c r="AW1292" s="97" t="s">
        <v>7296</v>
      </c>
      <c r="AX1292" s="62" t="s">
        <v>143</v>
      </c>
      <c r="AY1292" s="61" t="str">
        <f>IFERROR(__xludf.DUMMYFUNCTION("vlookup(BB1292,importrange(""https://docs.google.com/spreadsheets/d/1d2vevQ_7D_v35q4wCQ4RpQ_IPoTwEMB9Yp6ymwlPqew/edit?gid=984458430#gid=984458430"", ""'replication success'!A:K""), 11, FAlSE)"),"successful")</f>
        <v>successful</v>
      </c>
      <c r="AZ1292" s="61" t="str">
        <f>IFERROR(__xludf.DUMMYFUNCTION("vlookup(BB1292,importrange(""https://docs.google.com/spreadsheets/d/1d2vevQ_7D_v35q4wCQ4RpQ_IPoTwEMB9Yp6ymwlPqew/edit?gid=984458430#gid=984458430"",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92" s="61" t="str">
        <f>IFERROR(__xludf.DUMMYFUNCTION("vlookup(BB1292,importrange(""https://docs.google.com/spreadsheets/d/1d2vevQ_7D_v35q4wCQ4RpQ_IPoTwEMB9Yp6ymwlPqew/edit?gid=984458430#gid=984458430"", ""'replication success'!A:M""), 13, FAlSE)"),"abstract")</f>
        <v>abstract</v>
      </c>
      <c r="BB1292" s="61" t="str">
        <f>IFERROR(__xludf.DUMMYFUNCTION("REGEXREPLACE(G1292, ""_[a-z]{1,2}$"", """")"),"CORE_1")</f>
        <v>CORE_1</v>
      </c>
      <c r="BD1292" s="62" t="s">
        <v>7302</v>
      </c>
    </row>
    <row r="1293">
      <c r="A1293" s="44">
        <v>1293.0</v>
      </c>
      <c r="B1293" s="62" t="s">
        <v>523</v>
      </c>
      <c r="C1293" s="62" t="s">
        <v>115</v>
      </c>
      <c r="D1293" s="62" t="s">
        <v>248</v>
      </c>
      <c r="F1293" s="62" t="s">
        <v>7277</v>
      </c>
      <c r="G1293" s="45" t="s">
        <v>7331</v>
      </c>
      <c r="H1293" s="45" t="s">
        <v>249</v>
      </c>
      <c r="I1293" s="63">
        <v>45813.0</v>
      </c>
      <c r="J1293" s="64"/>
      <c r="K1293" s="45"/>
      <c r="L1293" s="45"/>
      <c r="M1293" s="45" t="s">
        <v>7281</v>
      </c>
      <c r="N1293" s="45" t="s">
        <v>7282</v>
      </c>
      <c r="O1293" s="45"/>
      <c r="P1293" s="66" t="s">
        <v>7283</v>
      </c>
      <c r="Q1293" s="108" t="s">
        <v>7284</v>
      </c>
      <c r="R1293" s="45" t="s">
        <v>7285</v>
      </c>
      <c r="S1293" s="45" t="s">
        <v>7286</v>
      </c>
      <c r="T1293" s="1417" t="s">
        <v>7287</v>
      </c>
      <c r="U1293" s="66">
        <v>1.0</v>
      </c>
      <c r="V1293" s="575" t="s">
        <v>7288</v>
      </c>
      <c r="W1293" s="65"/>
      <c r="X1293" s="56" t="s">
        <v>7284</v>
      </c>
      <c r="Y1293" s="65"/>
      <c r="Z1293" s="45" t="s">
        <v>947</v>
      </c>
      <c r="AA1293" s="45" t="s">
        <v>7298</v>
      </c>
      <c r="AB1293" s="45" t="s">
        <v>7291</v>
      </c>
      <c r="AC1293" s="45"/>
      <c r="AD1293" s="45" t="s">
        <v>7332</v>
      </c>
      <c r="AE1293" s="45" t="s">
        <v>496</v>
      </c>
      <c r="AF1293" s="45">
        <v>31.0</v>
      </c>
      <c r="AG1293" s="45">
        <v>0.95</v>
      </c>
      <c r="AH1293" s="45"/>
      <c r="AI1293" s="45" t="s">
        <v>7333</v>
      </c>
      <c r="AJ1293" s="45">
        <v>0.001</v>
      </c>
      <c r="AK1293" s="62" t="s">
        <v>135</v>
      </c>
      <c r="AL1293" s="45" t="s">
        <v>186</v>
      </c>
      <c r="AM1293" s="45" t="s">
        <v>137</v>
      </c>
      <c r="AN1293" s="45" t="s">
        <v>138</v>
      </c>
      <c r="AO1293" s="45">
        <v>240.0</v>
      </c>
      <c r="AP1293" s="45">
        <v>0.99</v>
      </c>
      <c r="AQ1293" s="45" t="s">
        <v>215</v>
      </c>
      <c r="AR1293" s="45" t="s">
        <v>7334</v>
      </c>
      <c r="AS1293" s="45">
        <v>0.001</v>
      </c>
      <c r="AT1293" s="62" t="s">
        <v>135</v>
      </c>
      <c r="AU1293" s="62" t="s">
        <v>186</v>
      </c>
      <c r="AV1293" s="129" t="s">
        <v>137</v>
      </c>
      <c r="AW1293" s="97" t="s">
        <v>7296</v>
      </c>
      <c r="AX1293" s="62" t="s">
        <v>143</v>
      </c>
      <c r="AY1293" s="61" t="str">
        <f>IFERROR(__xludf.DUMMYFUNCTION("vlookup(BB1293,importrange(""https://docs.google.com/spreadsheets/d/1d2vevQ_7D_v35q4wCQ4RpQ_IPoTwEMB9Yp6ymwlPqew/edit?gid=984458430#gid=984458430"", ""'replication success'!A:K""), 11, FAlSE)"),"successful")</f>
        <v>successful</v>
      </c>
      <c r="AZ1293" s="61" t="str">
        <f>IFERROR(__xludf.DUMMYFUNCTION("vlookup(BB1293,importrange(""https://docs.google.com/spreadsheets/d/1d2vevQ_7D_v35q4wCQ4RpQ_IPoTwEMB9Yp6ymwlPqew/edit?gid=984458430#gid=984458430"",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1293" s="61" t="str">
        <f>IFERROR(__xludf.DUMMYFUNCTION("vlookup(BB1293,importrange(""https://docs.google.com/spreadsheets/d/1d2vevQ_7D_v35q4wCQ4RpQ_IPoTwEMB9Yp6ymwlPqew/edit?gid=984458430#gid=984458430"", ""'replication success'!A:M""), 13, FAlSE)"),"abstract")</f>
        <v>abstract</v>
      </c>
      <c r="BB1293" s="61" t="str">
        <f>IFERROR(__xludf.DUMMYFUNCTION("REGEXREPLACE(G1293, ""_[a-z]{1,2}$"", """")"),"CORE_1")</f>
        <v>CORE_1</v>
      </c>
      <c r="BD1293" s="62" t="s">
        <v>7302</v>
      </c>
    </row>
    <row r="1294">
      <c r="A1294" s="44">
        <v>1294.0</v>
      </c>
      <c r="B1294" s="62" t="s">
        <v>590</v>
      </c>
      <c r="C1294" s="62" t="s">
        <v>115</v>
      </c>
      <c r="D1294" s="421" t="s">
        <v>195</v>
      </c>
      <c r="F1294" s="62" t="s">
        <v>7335</v>
      </c>
      <c r="G1294" s="45" t="s">
        <v>7336</v>
      </c>
      <c r="H1294" s="700" t="s">
        <v>7337</v>
      </c>
      <c r="I1294" s="63">
        <v>44986.0</v>
      </c>
      <c r="J1294" s="64">
        <v>45638.0</v>
      </c>
      <c r="K1294" s="45" t="s">
        <v>7338</v>
      </c>
      <c r="L1294" s="45" t="s">
        <v>7339</v>
      </c>
      <c r="M1294" s="45" t="s">
        <v>7340</v>
      </c>
      <c r="N1294" s="45" t="s">
        <v>7341</v>
      </c>
      <c r="O1294" s="45">
        <v>9.0</v>
      </c>
      <c r="P1294" s="66" t="s">
        <v>7342</v>
      </c>
      <c r="Q1294" s="52" t="str">
        <f t="array" ref="Q1294"> if(iserror(MATCH(V1294, 'File Links'!C:C, 0)), "N/A", HYPERLINK(INDEX('File Links'!B:B, MATCH(P1294, 'File Links'!C:C, 0))))</f>
        <v>https://drive.google.com/file/d/1gBF1OSh84_PEaQuwMpzqMOVewrJw3LKJ/view?usp=drivesdk</v>
      </c>
      <c r="R1294" s="45" t="s">
        <v>7343</v>
      </c>
      <c r="S1294" s="45" t="s">
        <v>7344</v>
      </c>
      <c r="T1294" s="65"/>
      <c r="U1294" s="66"/>
      <c r="V1294" s="198" t="str">
        <f t="shared" ref="V1294:V1301" si="78"> hyperlink(vlookup(lower(S1294),#REF!, 2, FALSE), SUBSTITUTE(lower(S1294), "/", "--") &amp;  ".pdf")</f>
        <v>10.1016--j.jesp.2012.10.014.pdf</v>
      </c>
      <c r="W1294" s="65"/>
      <c r="X1294" s="54" t="str">
        <f t="array" ref="X1294"> if(iserror(MATCH(V1294, 'File Links'!C:C, 0)), "N/A", HYPERLINK(INDEX('File Links'!B:B, MATCH(V1294, 'File Links'!C:C, 0))))</f>
        <v>https://drive.google.com/file/d/1_rFVHDaWBDKF-ni6stLki1Wt7mspwAb2/view?usp=drivesdk</v>
      </c>
      <c r="Y1294" s="65"/>
      <c r="Z1294" s="45" t="s">
        <v>226</v>
      </c>
      <c r="AA1294" s="65"/>
      <c r="AB1294" s="45" t="s">
        <v>7345</v>
      </c>
      <c r="AC1294" s="45" t="s">
        <v>7346</v>
      </c>
      <c r="AD1294" s="65"/>
      <c r="AE1294" s="65"/>
      <c r="AF1294" s="65"/>
      <c r="AG1294" s="65"/>
      <c r="AH1294" s="45"/>
      <c r="AI1294" s="65"/>
      <c r="AJ1294" s="65"/>
      <c r="AK1294" s="67"/>
      <c r="AL1294" s="65"/>
      <c r="AM1294" s="65"/>
      <c r="AN1294" s="65"/>
      <c r="AO1294" s="65"/>
      <c r="AP1294" s="65"/>
      <c r="AQ1294" s="65"/>
      <c r="AR1294" s="65"/>
      <c r="AS1294" s="65"/>
      <c r="AT1294" s="67"/>
      <c r="AU1294" s="67"/>
      <c r="AV1294" s="68"/>
      <c r="AX1294" s="67"/>
      <c r="AY1294" s="61" t="str">
        <f>IFERROR(__xludf.DUMMYFUNCTION("vlookup(BB1294,importrange(""https://docs.google.com/spreadsheets/d/1d2vevQ_7D_v35q4wCQ4RpQ_IPoTwEMB9Yp6ymwlPqew/edit?gid=984458430#gid=984458430"", ""'replication success'!A:K""), 11, FAlSE)"),"#N/A")</f>
        <v>#N/A</v>
      </c>
      <c r="AZ1294" s="61" t="str">
        <f>IFERROR(__xludf.DUMMYFUNCTION("vlookup(BB1294,importrange(""https://docs.google.com/spreadsheets/d/1d2vevQ_7D_v35q4wCQ4RpQ_IPoTwEMB9Yp6ymwlPqew/edit?gid=984458430#gid=984458430"", ""'replication success'!A:M""), 12, FAlSE)"),"#N/A")</f>
        <v>#N/A</v>
      </c>
      <c r="BA1294" s="61" t="str">
        <f>IFERROR(__xludf.DUMMYFUNCTION("vlookup(BB1294,importrange(""https://docs.google.com/spreadsheets/d/1d2vevQ_7D_v35q4wCQ4RpQ_IPoTwEMB9Yp6ymwlPqew/edit?gid=984458430#gid=984458430"", ""'replication success'!A:M""), 13, FAlSE)"),"#N/A")</f>
        <v>#N/A</v>
      </c>
      <c r="BB1294" s="61" t="str">
        <f>IFERROR(__xludf.DUMMYFUNCTION("REGEXREPLACE(G1294, ""_[a-z]{1,2}$"", """")"),"curatescience13")</f>
        <v>curatescience13</v>
      </c>
      <c r="BC1294" s="45"/>
    </row>
    <row r="1295">
      <c r="A1295" s="171">
        <v>1295.0</v>
      </c>
      <c r="B1295" s="168" t="s">
        <v>152</v>
      </c>
      <c r="C1295" s="168" t="s">
        <v>115</v>
      </c>
      <c r="D1295" s="168" t="s">
        <v>1458</v>
      </c>
      <c r="E1295" s="164"/>
      <c r="F1295" s="180" t="s">
        <v>7347</v>
      </c>
      <c r="G1295" s="186" t="s">
        <v>7348</v>
      </c>
      <c r="H1295" s="732" t="s">
        <v>1518</v>
      </c>
      <c r="I1295" s="1418" t="s">
        <v>119</v>
      </c>
      <c r="J1295" s="733">
        <v>45684.0</v>
      </c>
      <c r="K1295" s="732" t="s">
        <v>7349</v>
      </c>
      <c r="L1295" s="732" t="s">
        <v>7350</v>
      </c>
      <c r="M1295" s="732" t="s">
        <v>7351</v>
      </c>
      <c r="N1295" s="732" t="s">
        <v>7352</v>
      </c>
      <c r="O1295" s="180"/>
      <c r="P1295" s="732" t="s">
        <v>7353</v>
      </c>
      <c r="Q1295" s="1166" t="str">
        <f t="array" ref="Q1295"> if(iserror(MATCH(V1295, 'File Links'!C:C, 0)), "N/A", HYPERLINK(INDEX('File Links'!B:B, MATCH(P1295, 'File Links'!C:C, 0))))</f>
        <v>https://drive.google.com/file/d/1u2KiampcOcT7G124TEOiIzae-KDknBmd/view?usp=drivesdk</v>
      </c>
      <c r="R1295" s="1419" t="s">
        <v>7354</v>
      </c>
      <c r="S1295" s="732" t="s">
        <v>7355</v>
      </c>
      <c r="T1295" s="180"/>
      <c r="U1295" s="371">
        <v>1.0</v>
      </c>
      <c r="V1295" s="732" t="str">
        <f t="shared" si="78"/>
        <v>10.1016--j.appet.2013.12.020.pdf</v>
      </c>
      <c r="W1295" s="732" t="s">
        <v>7356</v>
      </c>
      <c r="X1295" s="1167" t="str">
        <f t="array" ref="X1295"> if(iserror(MATCH(V1295, 'File Links'!C:C, 0)), "N/A", HYPERLINK(INDEX('File Links'!B:B, MATCH(V1295, 'File Links'!C:C, 0))))</f>
        <v>https://drive.google.com/file/d/1c8fXNnhmY13vK0FI3aMB_LAx3-JbSZd7/view?usp=drivesdk</v>
      </c>
      <c r="Y1295" s="180"/>
      <c r="Z1295" s="732" t="s">
        <v>226</v>
      </c>
      <c r="AA1295" s="732" t="s">
        <v>7357</v>
      </c>
      <c r="AB1295" s="732" t="s">
        <v>7358</v>
      </c>
      <c r="AC1295" s="732" t="s">
        <v>7359</v>
      </c>
      <c r="AD1295" s="732" t="s">
        <v>7360</v>
      </c>
      <c r="AE1295" s="183">
        <v>4.0</v>
      </c>
      <c r="AF1295" s="183">
        <v>65.0</v>
      </c>
      <c r="AG1295" s="183">
        <v>0.21</v>
      </c>
      <c r="AH1295" s="732" t="s">
        <v>139</v>
      </c>
      <c r="AI1295" s="732" t="s">
        <v>496</v>
      </c>
      <c r="AJ1295" s="833">
        <v>0.999</v>
      </c>
      <c r="AK1295" s="186" t="s">
        <v>335</v>
      </c>
      <c r="AL1295" s="186" t="s">
        <v>186</v>
      </c>
      <c r="AM1295" s="180" t="s">
        <v>141</v>
      </c>
      <c r="AN1295" s="1420" t="s">
        <v>138</v>
      </c>
      <c r="AO1295" s="183">
        <v>70.0</v>
      </c>
      <c r="AP1295" s="183">
        <v>0.02</v>
      </c>
      <c r="AQ1295" s="732" t="s">
        <v>139</v>
      </c>
      <c r="AR1295" s="732" t="s">
        <v>882</v>
      </c>
      <c r="AS1295" s="183">
        <v>0.29</v>
      </c>
      <c r="AT1295" s="732" t="s">
        <v>172</v>
      </c>
      <c r="AU1295" s="732" t="s">
        <v>186</v>
      </c>
      <c r="AV1295" s="180" t="s">
        <v>141</v>
      </c>
      <c r="AW1295" s="1420" t="s">
        <v>138</v>
      </c>
      <c r="AX1295" s="180" t="s">
        <v>151</v>
      </c>
      <c r="AY1295" s="61" t="str">
        <f>IFERROR(__xludf.DUMMYFUNCTION("vlookup(BB1295,importrange(""https://docs.google.com/spreadsheets/d/1d2vevQ_7D_v35q4wCQ4RpQ_IPoTwEMB9Yp6ymwlPqew/edit?gid=984458430#gid=984458430"", ""'replication success'!A:K""), 11, FAlSE)"),"#N/A")</f>
        <v>#N/A</v>
      </c>
      <c r="AZ1295" s="61" t="str">
        <f>IFERROR(__xludf.DUMMYFUNCTION("vlookup(BB1295,importrange(""https://docs.google.com/spreadsheets/d/1d2vevQ_7D_v35q4wCQ4RpQ_IPoTwEMB9Yp6ymwlPqew/edit?gid=984458430#gid=984458430"", ""'replication success'!A:M""), 12, FAlSE)"),"#N/A")</f>
        <v>#N/A</v>
      </c>
      <c r="BA1295" s="61" t="str">
        <f>IFERROR(__xludf.DUMMYFUNCTION("vlookup(BB1295,importrange(""https://docs.google.com/spreadsheets/d/1d2vevQ_7D_v35q4wCQ4RpQ_IPoTwEMB9Yp6ymwlPqew/edit?gid=984458430#gid=984458430"", ""'replication success'!A:M""), 13, FAlSE)"),"#N/A")</f>
        <v>#N/A</v>
      </c>
      <c r="BB1295" s="61" t="str">
        <f>IFERROR(__xludf.DUMMYFUNCTION("REGEXREPLACE(G1295, ""_[a-z]{1,2}$"", """")"),"curatescience14")</f>
        <v>curatescience14</v>
      </c>
      <c r="BC1295" s="168" t="s">
        <v>7361</v>
      </c>
      <c r="BD1295" s="168" t="s">
        <v>692</v>
      </c>
      <c r="BE1295" s="164"/>
      <c r="BF1295" s="164"/>
      <c r="BG1295" s="164"/>
      <c r="BH1295" s="164"/>
      <c r="BI1295" s="164"/>
      <c r="BJ1295" s="164"/>
      <c r="BK1295" s="164"/>
      <c r="BL1295" s="164"/>
      <c r="BM1295" s="164"/>
      <c r="BN1295" s="164"/>
      <c r="BO1295" s="164"/>
      <c r="BP1295" s="164"/>
      <c r="BQ1295" s="164"/>
      <c r="BR1295" s="164"/>
      <c r="BS1295" s="164"/>
      <c r="BT1295" s="164"/>
      <c r="BU1295" s="164"/>
      <c r="BV1295" s="164"/>
      <c r="BW1295" s="164"/>
      <c r="BX1295" s="164"/>
      <c r="BY1295" s="164"/>
      <c r="BZ1295" s="164"/>
      <c r="CA1295" s="164"/>
      <c r="CB1295" s="164"/>
      <c r="CC1295" s="164"/>
      <c r="CD1295" s="164"/>
      <c r="CE1295" s="164"/>
      <c r="CF1295" s="164"/>
      <c r="CG1295" s="164"/>
      <c r="CH1295" s="164"/>
      <c r="CI1295" s="164"/>
      <c r="CJ1295" s="164"/>
      <c r="CK1295" s="164"/>
      <c r="CL1295" s="164"/>
      <c r="CM1295" s="164"/>
      <c r="CN1295" s="164"/>
      <c r="CO1295" s="164"/>
      <c r="CP1295" s="164"/>
      <c r="CQ1295" s="164"/>
      <c r="CR1295" s="164"/>
      <c r="CS1295" s="164"/>
      <c r="CT1295" s="164"/>
      <c r="CU1295" s="164"/>
      <c r="CV1295" s="164"/>
      <c r="CW1295" s="164"/>
      <c r="CX1295" s="164"/>
      <c r="CY1295" s="164"/>
      <c r="CZ1295" s="164"/>
      <c r="DA1295" s="164"/>
      <c r="DB1295" s="164"/>
      <c r="DC1295" s="164"/>
      <c r="DD1295" s="164"/>
      <c r="DE1295" s="164"/>
      <c r="DF1295" s="164"/>
      <c r="DG1295" s="164"/>
      <c r="DH1295" s="164"/>
      <c r="DI1295" s="164"/>
      <c r="DJ1295" s="164"/>
      <c r="DK1295" s="164"/>
      <c r="DL1295" s="164"/>
    </row>
    <row r="1296">
      <c r="A1296" s="171">
        <v>1296.0</v>
      </c>
      <c r="B1296" s="175" t="s">
        <v>114</v>
      </c>
      <c r="C1296" s="168" t="s">
        <v>115</v>
      </c>
      <c r="D1296" s="168" t="s">
        <v>248</v>
      </c>
      <c r="E1296" s="164"/>
      <c r="F1296" s="180" t="s">
        <v>7347</v>
      </c>
      <c r="G1296" s="732" t="s">
        <v>7348</v>
      </c>
      <c r="H1296" s="732" t="s">
        <v>249</v>
      </c>
      <c r="I1296" s="733">
        <v>45783.0</v>
      </c>
      <c r="J1296" s="180"/>
      <c r="K1296" s="732" t="s">
        <v>7362</v>
      </c>
      <c r="L1296" s="732" t="s">
        <v>7350</v>
      </c>
      <c r="M1296" s="732" t="s">
        <v>7351</v>
      </c>
      <c r="N1296" s="732" t="s">
        <v>7363</v>
      </c>
      <c r="O1296" s="180"/>
      <c r="P1296" s="732" t="str">
        <f>SUBSTITUTE(LOWER(N1296), "/", "--") &amp;  ".pdf"</f>
        <v>10.1177--0956797609358096.pdf</v>
      </c>
      <c r="Q1296" s="1166" t="str">
        <f t="array" ref="Q1296"> if(iserror(MATCH(V1296, 'File Links'!C:C, 0)), "N/A", HYPERLINK(INDEX('File Links'!B:B, MATCH(P1296, 'File Links'!C:C, 0))))</f>
        <v>https://drive.google.com/file/d/1u2KiampcOcT7G124TEOiIzae-KDknBmd/view?usp=drivesdk</v>
      </c>
      <c r="R1296" s="732" t="s">
        <v>7364</v>
      </c>
      <c r="S1296" s="732" t="s">
        <v>7355</v>
      </c>
      <c r="T1296" s="180"/>
      <c r="U1296" s="175">
        <v>1.0</v>
      </c>
      <c r="V1296" s="732" t="str">
        <f t="shared" si="78"/>
        <v>10.1016--j.appet.2013.12.020.pdf</v>
      </c>
      <c r="W1296" s="732" t="s">
        <v>164</v>
      </c>
      <c r="X1296" s="1167" t="str">
        <f t="array" ref="X1296"> if(iserror(MATCH(V1296, 'File Links'!C:C, 0)), "N/A", HYPERLINK(INDEX('File Links'!B:B, MATCH(V1296, 'File Links'!C:C, 0))))</f>
        <v>https://drive.google.com/file/d/1c8fXNnhmY13vK0FI3aMB_LAx3-JbSZd7/view?usp=drivesdk</v>
      </c>
      <c r="Y1296" s="180"/>
      <c r="Z1296" s="732" t="s">
        <v>210</v>
      </c>
      <c r="AA1296" s="732" t="s">
        <v>7365</v>
      </c>
      <c r="AB1296" s="167" t="s">
        <v>7366</v>
      </c>
      <c r="AC1296" s="732" t="s">
        <v>7367</v>
      </c>
      <c r="AD1296" s="732" t="s">
        <v>7368</v>
      </c>
      <c r="AE1296" s="732" t="s">
        <v>496</v>
      </c>
      <c r="AF1296" s="183">
        <v>65.0</v>
      </c>
      <c r="AG1296" s="183">
        <v>0.21</v>
      </c>
      <c r="AH1296" s="732" t="s">
        <v>874</v>
      </c>
      <c r="AI1296" s="732" t="s">
        <v>7369</v>
      </c>
      <c r="AJ1296" s="1421">
        <v>0.001</v>
      </c>
      <c r="AK1296" s="732" t="s">
        <v>135</v>
      </c>
      <c r="AL1296" s="732" t="s">
        <v>186</v>
      </c>
      <c r="AM1296" s="180" t="s">
        <v>137</v>
      </c>
      <c r="AN1296" s="175" t="s">
        <v>138</v>
      </c>
      <c r="AO1296" s="183">
        <v>70.0</v>
      </c>
      <c r="AP1296" s="183">
        <v>0.2</v>
      </c>
      <c r="AQ1296" s="732" t="s">
        <v>874</v>
      </c>
      <c r="AR1296" s="732" t="s">
        <v>7370</v>
      </c>
      <c r="AS1296" s="183">
        <v>0.29</v>
      </c>
      <c r="AT1296" s="732" t="s">
        <v>172</v>
      </c>
      <c r="AU1296" s="732" t="s">
        <v>186</v>
      </c>
      <c r="AV1296" s="180" t="s">
        <v>137</v>
      </c>
      <c r="AW1296" s="1420" t="s">
        <v>138</v>
      </c>
      <c r="AX1296" s="180" t="s">
        <v>143</v>
      </c>
      <c r="AY1296" s="61" t="str">
        <f>IFERROR(__xludf.DUMMYFUNCTION("vlookup(BB1296,importrange(""https://docs.google.com/spreadsheets/d/1d2vevQ_7D_v35q4wCQ4RpQ_IPoTwEMB9Yp6ymwlPqew/edit?gid=984458430#gid=984458430"", ""'replication success'!A:K""), 11, FAlSE)"),"#N/A")</f>
        <v>#N/A</v>
      </c>
      <c r="AZ1296" s="61" t="str">
        <f>IFERROR(__xludf.DUMMYFUNCTION("vlookup(BB1296,importrange(""https://docs.google.com/spreadsheets/d/1d2vevQ_7D_v35q4wCQ4RpQ_IPoTwEMB9Yp6ymwlPqew/edit?gid=984458430#gid=984458430"", ""'replication success'!A:M""), 12, FAlSE)"),"#N/A")</f>
        <v>#N/A</v>
      </c>
      <c r="BA1296" s="61" t="str">
        <f>IFERROR(__xludf.DUMMYFUNCTION("vlookup(BB1296,importrange(""https://docs.google.com/spreadsheets/d/1d2vevQ_7D_v35q4wCQ4RpQ_IPoTwEMB9Yp6ymwlPqew/edit?gid=984458430#gid=984458430"", ""'replication success'!A:M""), 13, FAlSE)"),"#N/A")</f>
        <v>#N/A</v>
      </c>
      <c r="BB1296" s="61" t="str">
        <f>IFERROR(__xludf.DUMMYFUNCTION("REGEXREPLACE(G1296, ""_[a-z]{1,2}$"", """")"),"curatescience14")</f>
        <v>curatescience14</v>
      </c>
      <c r="BC1296" s="168" t="s">
        <v>7371</v>
      </c>
      <c r="BD1296" s="168" t="s">
        <v>692</v>
      </c>
      <c r="BE1296" s="164"/>
      <c r="BF1296" s="164"/>
      <c r="BG1296" s="164"/>
      <c r="BH1296" s="164"/>
      <c r="BI1296" s="164"/>
      <c r="BJ1296" s="164"/>
      <c r="BK1296" s="164"/>
      <c r="BL1296" s="164"/>
      <c r="BM1296" s="164"/>
      <c r="BN1296" s="164"/>
      <c r="BO1296" s="164"/>
      <c r="BP1296" s="164"/>
      <c r="BQ1296" s="164"/>
      <c r="BR1296" s="164"/>
      <c r="BS1296" s="164"/>
      <c r="BT1296" s="164"/>
      <c r="BU1296" s="164"/>
      <c r="BV1296" s="164"/>
      <c r="BW1296" s="164"/>
      <c r="BX1296" s="164"/>
      <c r="BY1296" s="164"/>
      <c r="BZ1296" s="164"/>
      <c r="CA1296" s="164"/>
      <c r="CB1296" s="164"/>
      <c r="CC1296" s="164"/>
      <c r="CD1296" s="164"/>
      <c r="CE1296" s="164"/>
      <c r="CF1296" s="164"/>
      <c r="CG1296" s="164"/>
      <c r="CH1296" s="164"/>
      <c r="CI1296" s="164"/>
      <c r="CJ1296" s="164"/>
      <c r="CK1296" s="164"/>
      <c r="CL1296" s="164"/>
      <c r="CM1296" s="164"/>
      <c r="CN1296" s="164"/>
      <c r="CO1296" s="164"/>
      <c r="CP1296" s="164"/>
      <c r="CQ1296" s="164"/>
      <c r="CR1296" s="164"/>
      <c r="CS1296" s="164"/>
      <c r="CT1296" s="164"/>
      <c r="CU1296" s="164"/>
      <c r="CV1296" s="164"/>
      <c r="CW1296" s="164"/>
      <c r="CX1296" s="164"/>
      <c r="CY1296" s="164"/>
      <c r="CZ1296" s="164"/>
      <c r="DA1296" s="164"/>
      <c r="DB1296" s="164"/>
      <c r="DC1296" s="164"/>
      <c r="DD1296" s="164"/>
      <c r="DE1296" s="164"/>
      <c r="DF1296" s="164"/>
      <c r="DG1296" s="164"/>
      <c r="DH1296" s="164"/>
      <c r="DI1296" s="164"/>
      <c r="DJ1296" s="164"/>
      <c r="DK1296" s="164"/>
      <c r="DL1296" s="164"/>
    </row>
    <row r="1297">
      <c r="A1297" s="44">
        <v>1297.0</v>
      </c>
      <c r="B1297" s="368" t="s">
        <v>152</v>
      </c>
      <c r="C1297" s="368" t="s">
        <v>115</v>
      </c>
      <c r="D1297" s="188" t="s">
        <v>145</v>
      </c>
      <c r="E1297" s="189"/>
      <c r="F1297" s="190" t="s">
        <v>7372</v>
      </c>
      <c r="G1297" s="58" t="s">
        <v>7373</v>
      </c>
      <c r="H1297" s="49"/>
      <c r="I1297" s="47" t="s">
        <v>119</v>
      </c>
      <c r="J1297" s="48">
        <v>45639.0</v>
      </c>
      <c r="K1297" s="49" t="s">
        <v>7374</v>
      </c>
      <c r="L1297" s="343" t="s">
        <v>7375</v>
      </c>
      <c r="M1297" s="343" t="s">
        <v>7376</v>
      </c>
      <c r="N1297" s="47" t="s">
        <v>7377</v>
      </c>
      <c r="O1297" s="508">
        <v>2.0</v>
      </c>
      <c r="P1297" s="51" t="s">
        <v>7378</v>
      </c>
      <c r="Q1297" s="52" t="str">
        <f t="array" ref="Q1297"> if(iserror(MATCH(V1297, 'File Links'!C:C, 0)), "N/A", HYPERLINK(INDEX('File Links'!B:B, MATCH(P1297, 'File Links'!C:C, 0))))</f>
        <v>https://drive.google.com/file/d/1jvY3Sgds8iuvtsLXHlpUqcaSBliH2tJV/view?usp=drivesdk</v>
      </c>
      <c r="R1297" s="47" t="s">
        <v>7379</v>
      </c>
      <c r="S1297" s="56" t="s">
        <v>7380</v>
      </c>
      <c r="T1297" s="390"/>
      <c r="U1297" s="1176">
        <v>2.0</v>
      </c>
      <c r="V1297" s="198" t="str">
        <f t="shared" si="78"/>
        <v>murtagh_2004.pdf</v>
      </c>
      <c r="W1297" s="390" t="s">
        <v>7381</v>
      </c>
      <c r="X1297" s="54" t="str">
        <f t="array" ref="X1297"> if(iserror(MATCH(V1297, 'File Links'!C:C, 0)), "N/A", HYPERLINK(INDEX('File Links'!B:B, MATCH(V1297, 'File Links'!C:C, 0))))</f>
        <v>https://drive.google.com/file/d/1y0uavGuuD3FfKExlt9hI-j32m6j_RxXx/view?usp=drivesdk</v>
      </c>
      <c r="Y1297" s="390"/>
      <c r="Z1297" s="390" t="s">
        <v>226</v>
      </c>
      <c r="AA1297" s="390" t="s">
        <v>7382</v>
      </c>
      <c r="AB1297" s="390" t="s">
        <v>7383</v>
      </c>
      <c r="AC1297" s="390" t="s">
        <v>7384</v>
      </c>
      <c r="AD1297" s="390" t="s">
        <v>7385</v>
      </c>
      <c r="AE1297" s="390" t="s">
        <v>7386</v>
      </c>
      <c r="AF1297" s="1422">
        <v>58.0</v>
      </c>
      <c r="AG1297" s="1184" t="s">
        <v>7387</v>
      </c>
      <c r="AH1297" s="330" t="s">
        <v>134</v>
      </c>
      <c r="AI1297" s="390" t="s">
        <v>813</v>
      </c>
      <c r="AJ1297" s="1422">
        <v>0.001</v>
      </c>
      <c r="AK1297" s="331" t="s">
        <v>135</v>
      </c>
      <c r="AL1297" s="390" t="s">
        <v>218</v>
      </c>
      <c r="AM1297" s="390" t="s">
        <v>137</v>
      </c>
      <c r="AN1297" s="330" t="s">
        <v>138</v>
      </c>
      <c r="AO1297" s="1422">
        <v>76.0</v>
      </c>
      <c r="AP1297" s="1184" t="s">
        <v>7388</v>
      </c>
      <c r="AQ1297" s="330" t="s">
        <v>134</v>
      </c>
      <c r="AR1297" s="390" t="s">
        <v>7389</v>
      </c>
      <c r="AS1297" s="1422">
        <v>0.761</v>
      </c>
      <c r="AT1297" s="331" t="s">
        <v>172</v>
      </c>
      <c r="AU1297" s="331" t="s">
        <v>136</v>
      </c>
      <c r="AV1297" s="68" t="s">
        <v>137</v>
      </c>
      <c r="AW1297" s="330" t="s">
        <v>138</v>
      </c>
      <c r="AX1297" s="331" t="s">
        <v>143</v>
      </c>
      <c r="AY1297" s="61" t="str">
        <f>IFERROR(__xludf.DUMMYFUNCTION("vlookup(BB1297,importrange(""https://docs.google.com/spreadsheets/d/1d2vevQ_7D_v35q4wCQ4RpQ_IPoTwEMB9Yp6ymwlPqew/edit?gid=984458430#gid=984458430"", ""'replication success'!A:K""), 11, FAlSE)"),"failed")</f>
        <v>failed</v>
      </c>
      <c r="AZ1297" s="61" t="str">
        <f>IFERROR(__xludf.DUMMYFUNCTION("vlookup(BB1297,importrange(""https://docs.google.com/spreadsheets/d/1d2vevQ_7D_v35q4wCQ4RpQ_IPoTwEMB9Yp6ymwlPqew/edit?gid=984458430#gid=984458430"", ""'replication success'!A:M""), 12, FAlSE)"),"Self-regulatory depletion was not evident
in either study.")</f>
        <v>Self-regulatory depletion was not evident
in either study.</v>
      </c>
      <c r="BA1297" s="61" t="str">
        <f>IFERROR(__xludf.DUMMYFUNCTION("vlookup(BB1297,importrange(""https://docs.google.com/spreadsheets/d/1d2vevQ_7D_v35q4wCQ4RpQ_IPoTwEMB9Yp6ymwlPqew/edit?gid=984458430#gid=984458430"", ""'replication success'!A:M""), 13, FAlSE)"),"abstract")</f>
        <v>abstract</v>
      </c>
      <c r="BB1297" s="61" t="str">
        <f>IFERROR(__xludf.DUMMYFUNCTION("REGEXREPLACE(G1297, ""_[a-z]{1,2}$"", """")"),"curatescience15")</f>
        <v>curatescience15</v>
      </c>
      <c r="BC1297" s="324" t="s">
        <v>7390</v>
      </c>
      <c r="BD1297" s="325" t="s">
        <v>144</v>
      </c>
    </row>
    <row r="1298">
      <c r="A1298" s="44">
        <v>1298.0</v>
      </c>
      <c r="B1298" s="368" t="s">
        <v>114</v>
      </c>
      <c r="C1298" s="188" t="s">
        <v>115</v>
      </c>
      <c r="D1298" s="188" t="s">
        <v>195</v>
      </c>
      <c r="E1298" s="189"/>
      <c r="F1298" s="188" t="s">
        <v>7372</v>
      </c>
      <c r="G1298" s="368" t="s">
        <v>7373</v>
      </c>
      <c r="H1298" s="45" t="s">
        <v>7391</v>
      </c>
      <c r="I1298" s="63">
        <v>44927.0</v>
      </c>
      <c r="J1298" s="64">
        <v>45636.0</v>
      </c>
      <c r="K1298" s="65"/>
      <c r="L1298" s="700" t="s">
        <v>7392</v>
      </c>
      <c r="M1298" s="343" t="s">
        <v>7376</v>
      </c>
      <c r="N1298" s="45" t="s">
        <v>7377</v>
      </c>
      <c r="O1298" s="45">
        <v>4.0</v>
      </c>
      <c r="P1298" s="66" t="s">
        <v>7378</v>
      </c>
      <c r="Q1298" s="52" t="str">
        <f t="array" ref="Q1298"> if(iserror(MATCH(V1298, 'File Links'!C:C, 0)), "N/A", HYPERLINK(INDEX('File Links'!B:B, MATCH(P1298, 'File Links'!C:C, 0))))</f>
        <v>https://drive.google.com/file/d/1jvY3Sgds8iuvtsLXHlpUqcaSBliH2tJV/view?usp=drivesdk</v>
      </c>
      <c r="R1298" s="45" t="s">
        <v>7379</v>
      </c>
      <c r="S1298" s="56" t="s">
        <v>7380</v>
      </c>
      <c r="T1298" s="328"/>
      <c r="U1298" s="322">
        <v>2.0</v>
      </c>
      <c r="V1298" s="198" t="str">
        <f t="shared" si="78"/>
        <v>murtagh_2004.pdf</v>
      </c>
      <c r="W1298" s="328"/>
      <c r="X1298" s="54" t="str">
        <f t="array" ref="X1298"> if(iserror(MATCH(V1298, 'File Links'!C:C, 0)), "N/A", HYPERLINK(INDEX('File Links'!B:B, MATCH(V1298, 'File Links'!C:C, 0))))</f>
        <v>https://drive.google.com/file/d/1y0uavGuuD3FfKExlt9hI-j32m6j_RxXx/view?usp=drivesdk</v>
      </c>
      <c r="Y1298" s="328"/>
      <c r="Z1298" s="322" t="s">
        <v>226</v>
      </c>
      <c r="AA1298" s="328"/>
      <c r="AB1298" s="322" t="s">
        <v>7393</v>
      </c>
      <c r="AC1298" s="328"/>
      <c r="AD1298" s="328"/>
      <c r="AE1298" s="328"/>
      <c r="AF1298" s="328"/>
      <c r="AG1298" s="328"/>
      <c r="AH1298" s="322"/>
      <c r="AI1298" s="328"/>
      <c r="AJ1298" s="328"/>
      <c r="AK1298" s="226"/>
      <c r="AL1298" s="328"/>
      <c r="AM1298" s="328"/>
      <c r="AN1298" s="330" t="s">
        <v>138</v>
      </c>
      <c r="AO1298" s="328"/>
      <c r="AP1298" s="328"/>
      <c r="AQ1298" s="328"/>
      <c r="AR1298" s="328"/>
      <c r="AS1298" s="328"/>
      <c r="AT1298" s="226"/>
      <c r="AU1298" s="226"/>
      <c r="AV1298" s="331"/>
      <c r="AW1298" s="226"/>
      <c r="AX1298" s="226"/>
      <c r="AY1298" s="61" t="str">
        <f>IFERROR(__xludf.DUMMYFUNCTION("vlookup(BB1298,importrange(""https://docs.google.com/spreadsheets/d/1d2vevQ_7D_v35q4wCQ4RpQ_IPoTwEMB9Yp6ymwlPqew/edit?gid=984458430#gid=984458430"", ""'replication success'!A:K""), 11, FAlSE)"),"failed")</f>
        <v>failed</v>
      </c>
      <c r="AZ1298" s="61" t="str">
        <f>IFERROR(__xludf.DUMMYFUNCTION("vlookup(BB1298,importrange(""https://docs.google.com/spreadsheets/d/1d2vevQ_7D_v35q4wCQ4RpQ_IPoTwEMB9Yp6ymwlPqew/edit?gid=984458430#gid=984458430"", ""'replication success'!A:M""), 12, FAlSE)"),"Self-regulatory depletion was not evident
in either study.")</f>
        <v>Self-regulatory depletion was not evident
in either study.</v>
      </c>
      <c r="BA1298" s="61" t="str">
        <f>IFERROR(__xludf.DUMMYFUNCTION("vlookup(BB1298,importrange(""https://docs.google.com/spreadsheets/d/1d2vevQ_7D_v35q4wCQ4RpQ_IPoTwEMB9Yp6ymwlPqew/edit?gid=984458430#gid=984458430"", ""'replication success'!A:M""), 13, FAlSE)"),"abstract")</f>
        <v>abstract</v>
      </c>
      <c r="BB1298" s="61" t="str">
        <f>IFERROR(__xludf.DUMMYFUNCTION("REGEXREPLACE(G1298, ""_[a-z]{1,2}$"", """")"),"curatescience15")</f>
        <v>curatescience15</v>
      </c>
      <c r="BC1298" s="322"/>
      <c r="BD1298" s="325" t="s">
        <v>144</v>
      </c>
    </row>
    <row r="1299">
      <c r="A1299" s="44">
        <v>1299.0</v>
      </c>
      <c r="B1299" s="368" t="s">
        <v>152</v>
      </c>
      <c r="C1299" s="368" t="s">
        <v>115</v>
      </c>
      <c r="D1299" s="188" t="s">
        <v>145</v>
      </c>
      <c r="E1299" s="189"/>
      <c r="F1299" s="188" t="s">
        <v>7372</v>
      </c>
      <c r="G1299" s="58" t="s">
        <v>7394</v>
      </c>
      <c r="H1299" s="49"/>
      <c r="I1299" s="47" t="s">
        <v>119</v>
      </c>
      <c r="J1299" s="48">
        <v>45639.0</v>
      </c>
      <c r="K1299" s="49" t="s">
        <v>7374</v>
      </c>
      <c r="L1299" s="343" t="s">
        <v>7375</v>
      </c>
      <c r="M1299" s="343" t="s">
        <v>7376</v>
      </c>
      <c r="N1299" s="47" t="s">
        <v>7377</v>
      </c>
      <c r="O1299" s="508">
        <v>2.0</v>
      </c>
      <c r="P1299" s="51" t="s">
        <v>7378</v>
      </c>
      <c r="Q1299" s="52" t="str">
        <f t="array" ref="Q1299"> if(iserror(MATCH(V1299, 'File Links'!C:C, 0)), "N/A", HYPERLINK(INDEX('File Links'!B:B, MATCH(P1299, 'File Links'!C:C, 0))))</f>
        <v>https://drive.google.com/file/d/1jvY3Sgds8iuvtsLXHlpUqcaSBliH2tJV/view?usp=drivesdk</v>
      </c>
      <c r="R1299" s="47" t="s">
        <v>7379</v>
      </c>
      <c r="S1299" s="56" t="s">
        <v>7380</v>
      </c>
      <c r="T1299" s="390"/>
      <c r="U1299" s="1176">
        <v>2.0</v>
      </c>
      <c r="V1299" s="198" t="str">
        <f t="shared" si="78"/>
        <v>murtagh_2004.pdf</v>
      </c>
      <c r="W1299" s="390" t="s">
        <v>7381</v>
      </c>
      <c r="X1299" s="54" t="str">
        <f t="array" ref="X1299"> if(iserror(MATCH(V1299, 'File Links'!C:C, 0)), "N/A", HYPERLINK(INDEX('File Links'!B:B, MATCH(V1299, 'File Links'!C:C, 0))))</f>
        <v>https://drive.google.com/file/d/1y0uavGuuD3FfKExlt9hI-j32m6j_RxXx/view?usp=drivesdk</v>
      </c>
      <c r="Y1299" s="390"/>
      <c r="Z1299" s="390" t="s">
        <v>226</v>
      </c>
      <c r="AA1299" s="390" t="s">
        <v>7382</v>
      </c>
      <c r="AB1299" s="390" t="s">
        <v>7383</v>
      </c>
      <c r="AC1299" s="390" t="s">
        <v>7395</v>
      </c>
      <c r="AD1299" s="390" t="s">
        <v>7396</v>
      </c>
      <c r="AE1299" s="390" t="s">
        <v>813</v>
      </c>
      <c r="AF1299" s="1184">
        <v>40.0</v>
      </c>
      <c r="AG1299" s="1184" t="s">
        <v>7397</v>
      </c>
      <c r="AH1299" s="330" t="s">
        <v>134</v>
      </c>
      <c r="AI1299" s="390" t="s">
        <v>813</v>
      </c>
      <c r="AJ1299" s="1422">
        <v>0.01</v>
      </c>
      <c r="AK1299" s="331" t="s">
        <v>135</v>
      </c>
      <c r="AL1299" s="390" t="s">
        <v>218</v>
      </c>
      <c r="AM1299" s="390" t="s">
        <v>137</v>
      </c>
      <c r="AN1299" s="330" t="s">
        <v>138</v>
      </c>
      <c r="AO1299" s="1422">
        <v>76.0</v>
      </c>
      <c r="AP1299" s="1422">
        <v>-0.019</v>
      </c>
      <c r="AQ1299" s="390" t="s">
        <v>215</v>
      </c>
      <c r="AR1299" s="390" t="s">
        <v>7398</v>
      </c>
      <c r="AS1299" s="1422">
        <v>0.929</v>
      </c>
      <c r="AT1299" s="331" t="s">
        <v>172</v>
      </c>
      <c r="AU1299" s="331" t="s">
        <v>136</v>
      </c>
      <c r="AV1299" s="68" t="s">
        <v>137</v>
      </c>
      <c r="AW1299" s="330" t="s">
        <v>138</v>
      </c>
      <c r="AX1299" s="331" t="s">
        <v>143</v>
      </c>
      <c r="AY1299" s="61" t="str">
        <f>IFERROR(__xludf.DUMMYFUNCTION("vlookup(BB1299,importrange(""https://docs.google.com/spreadsheets/d/1d2vevQ_7D_v35q4wCQ4RpQ_IPoTwEMB9Yp6ymwlPqew/edit?gid=984458430#gid=984458430"", ""'replication success'!A:K""), 11, FAlSE)"),"failed")</f>
        <v>failed</v>
      </c>
      <c r="AZ1299" s="61" t="str">
        <f>IFERROR(__xludf.DUMMYFUNCTION("vlookup(BB1299,importrange(""https://docs.google.com/spreadsheets/d/1d2vevQ_7D_v35q4wCQ4RpQ_IPoTwEMB9Yp6ymwlPqew/edit?gid=984458430#gid=984458430"", ""'replication success'!A:M""), 12, FAlSE)"),"Self-regulatory depletion was not evident
in either study.")</f>
        <v>Self-regulatory depletion was not evident
in either study.</v>
      </c>
      <c r="BA1299" s="61" t="str">
        <f>IFERROR(__xludf.DUMMYFUNCTION("vlookup(BB1299,importrange(""https://docs.google.com/spreadsheets/d/1d2vevQ_7D_v35q4wCQ4RpQ_IPoTwEMB9Yp6ymwlPqew/edit?gid=984458430#gid=984458430"", ""'replication success'!A:M""), 13, FAlSE)"),"abstract")</f>
        <v>abstract</v>
      </c>
      <c r="BB1299" s="61" t="str">
        <f>IFERROR(__xludf.DUMMYFUNCTION("REGEXREPLACE(G1299, ""_[a-z]{1,2}$"", """")"),"curatescience15")</f>
        <v>curatescience15</v>
      </c>
      <c r="BC1299" s="412"/>
      <c r="BD1299" s="325" t="s">
        <v>144</v>
      </c>
    </row>
    <row r="1300">
      <c r="A1300" s="44">
        <v>1300.0</v>
      </c>
      <c r="B1300" s="368" t="s">
        <v>152</v>
      </c>
      <c r="C1300" s="368" t="s">
        <v>115</v>
      </c>
      <c r="D1300" s="188" t="s">
        <v>145</v>
      </c>
      <c r="E1300" s="189"/>
      <c r="F1300" s="188" t="s">
        <v>7372</v>
      </c>
      <c r="G1300" s="58" t="s">
        <v>7399</v>
      </c>
      <c r="H1300" s="49"/>
      <c r="I1300" s="47" t="s">
        <v>119</v>
      </c>
      <c r="J1300" s="48">
        <v>45639.0</v>
      </c>
      <c r="K1300" s="49" t="s">
        <v>7374</v>
      </c>
      <c r="L1300" s="343" t="s">
        <v>7375</v>
      </c>
      <c r="M1300" s="343" t="s">
        <v>7376</v>
      </c>
      <c r="N1300" s="47" t="s">
        <v>7377</v>
      </c>
      <c r="O1300" s="508">
        <v>2.0</v>
      </c>
      <c r="P1300" s="51" t="s">
        <v>7378</v>
      </c>
      <c r="Q1300" s="52" t="str">
        <f t="array" ref="Q1300"> if(iserror(MATCH(V1300, 'File Links'!C:C, 0)), "N/A", HYPERLINK(INDEX('File Links'!B:B, MATCH(P1300, 'File Links'!C:C, 0))))</f>
        <v>https://drive.google.com/file/d/1jvY3Sgds8iuvtsLXHlpUqcaSBliH2tJV/view?usp=drivesdk</v>
      </c>
      <c r="R1300" s="47" t="s">
        <v>7379</v>
      </c>
      <c r="S1300" s="56" t="s">
        <v>7380</v>
      </c>
      <c r="T1300" s="390"/>
      <c r="U1300" s="1176">
        <v>2.0</v>
      </c>
      <c r="V1300" s="198" t="str">
        <f t="shared" si="78"/>
        <v>murtagh_2004.pdf</v>
      </c>
      <c r="W1300" s="390" t="s">
        <v>7381</v>
      </c>
      <c r="X1300" s="54" t="str">
        <f t="array" ref="X1300"> if(iserror(MATCH(V1300, 'File Links'!C:C, 0)), "N/A", HYPERLINK(INDEX('File Links'!B:B, MATCH(V1300, 'File Links'!C:C, 0))))</f>
        <v>https://drive.google.com/file/d/1y0uavGuuD3FfKExlt9hI-j32m6j_RxXx/view?usp=drivesdk</v>
      </c>
      <c r="Y1300" s="390"/>
      <c r="Z1300" s="390" t="s">
        <v>226</v>
      </c>
      <c r="AA1300" s="390" t="s">
        <v>7382</v>
      </c>
      <c r="AB1300" s="390" t="s">
        <v>7383</v>
      </c>
      <c r="AC1300" s="390" t="s">
        <v>7400</v>
      </c>
      <c r="AD1300" s="390" t="s">
        <v>7401</v>
      </c>
      <c r="AE1300" s="390" t="s">
        <v>813</v>
      </c>
      <c r="AF1300" s="1184">
        <v>39.0</v>
      </c>
      <c r="AG1300" s="1184" t="s">
        <v>7402</v>
      </c>
      <c r="AH1300" s="330" t="s">
        <v>134</v>
      </c>
      <c r="AI1300" s="390" t="s">
        <v>813</v>
      </c>
      <c r="AJ1300" s="1422">
        <v>0.001</v>
      </c>
      <c r="AK1300" s="331" t="s">
        <v>135</v>
      </c>
      <c r="AL1300" s="390" t="s">
        <v>218</v>
      </c>
      <c r="AM1300" s="390" t="s">
        <v>137</v>
      </c>
      <c r="AN1300" s="330" t="s">
        <v>138</v>
      </c>
      <c r="AO1300" s="1422">
        <v>76.0</v>
      </c>
      <c r="AP1300" s="1422">
        <v>0.091</v>
      </c>
      <c r="AQ1300" s="390" t="s">
        <v>215</v>
      </c>
      <c r="AR1300" s="390" t="s">
        <v>7398</v>
      </c>
      <c r="AS1300" s="1422">
        <v>0.666</v>
      </c>
      <c r="AT1300" s="331" t="s">
        <v>172</v>
      </c>
      <c r="AU1300" s="331" t="s">
        <v>136</v>
      </c>
      <c r="AV1300" s="68" t="s">
        <v>137</v>
      </c>
      <c r="AW1300" s="330" t="s">
        <v>138</v>
      </c>
      <c r="AX1300" s="331" t="s">
        <v>143</v>
      </c>
      <c r="AY1300" s="61" t="str">
        <f>IFERROR(__xludf.DUMMYFUNCTION("vlookup(BB1300,importrange(""https://docs.google.com/spreadsheets/d/1d2vevQ_7D_v35q4wCQ4RpQ_IPoTwEMB9Yp6ymwlPqew/edit?gid=984458430#gid=984458430"", ""'replication success'!A:K""), 11, FAlSE)"),"failed")</f>
        <v>failed</v>
      </c>
      <c r="AZ1300" s="61" t="str">
        <f>IFERROR(__xludf.DUMMYFUNCTION("vlookup(BB1300,importrange(""https://docs.google.com/spreadsheets/d/1d2vevQ_7D_v35q4wCQ4RpQ_IPoTwEMB9Yp6ymwlPqew/edit?gid=984458430#gid=984458430"", ""'replication success'!A:M""), 12, FAlSE)"),"Self-regulatory depletion was not evident
in either study.")</f>
        <v>Self-regulatory depletion was not evident
in either study.</v>
      </c>
      <c r="BA1300" s="61" t="str">
        <f>IFERROR(__xludf.DUMMYFUNCTION("vlookup(BB1300,importrange(""https://docs.google.com/spreadsheets/d/1d2vevQ_7D_v35q4wCQ4RpQ_IPoTwEMB9Yp6ymwlPqew/edit?gid=984458430#gid=984458430"", ""'replication success'!A:M""), 13, FAlSE)"),"abstract")</f>
        <v>abstract</v>
      </c>
      <c r="BB1300" s="61" t="str">
        <f>IFERROR(__xludf.DUMMYFUNCTION("REGEXREPLACE(G1300, ""_[a-z]{1,2}$"", """")"),"curatescience15")</f>
        <v>curatescience15</v>
      </c>
      <c r="BC1300" s="412"/>
      <c r="BD1300" s="325" t="s">
        <v>144</v>
      </c>
    </row>
    <row r="1301">
      <c r="A1301" s="44">
        <v>1301.0</v>
      </c>
      <c r="B1301" s="322" t="s">
        <v>114</v>
      </c>
      <c r="C1301" s="322" t="s">
        <v>115</v>
      </c>
      <c r="D1301" s="325" t="s">
        <v>145</v>
      </c>
      <c r="E1301" s="226"/>
      <c r="F1301" s="331" t="s">
        <v>7403</v>
      </c>
      <c r="G1301" s="412" t="s">
        <v>7404</v>
      </c>
      <c r="H1301" s="49"/>
      <c r="I1301" s="47" t="s">
        <v>119</v>
      </c>
      <c r="J1301" s="48">
        <v>45641.0</v>
      </c>
      <c r="K1301" s="49" t="s">
        <v>7405</v>
      </c>
      <c r="L1301" s="343" t="s">
        <v>7406</v>
      </c>
      <c r="M1301" s="343" t="s">
        <v>7407</v>
      </c>
      <c r="N1301" s="47" t="s">
        <v>7408</v>
      </c>
      <c r="O1301" s="508">
        <v>1.0</v>
      </c>
      <c r="P1301" s="51" t="s">
        <v>7409</v>
      </c>
      <c r="Q1301" s="108" t="str">
        <f t="array" ref="Q1301"> if(iserror(MATCH(V1301, 'File Links'!C:C, 0)), "N/A", HYPERLINK(INDEX('File Links'!B:B, MATCH(P1301, 'File Links'!C:C, 0))))</f>
        <v>N/A</v>
      </c>
      <c r="R1301" s="47" t="s">
        <v>7410</v>
      </c>
      <c r="S1301" s="49"/>
      <c r="T1301" s="356" t="s">
        <v>7411</v>
      </c>
      <c r="U1301" s="386">
        <v>3.0</v>
      </c>
      <c r="V1301" s="198" t="str">
        <f t="shared" si="78"/>
        <v>.pdf</v>
      </c>
      <c r="W1301" s="49"/>
      <c r="X1301" s="49" t="str">
        <f t="array" ref="X1301"> if(iserror(MATCH(V1301, 'File Links'!C:C, 0)), "N/A", HYPERLINK(INDEX('File Links'!B:B, MATCH(V1301, 'File Links'!C:C, 0))))</f>
        <v>N/A</v>
      </c>
      <c r="Y1301" s="49"/>
      <c r="Z1301" s="49" t="s">
        <v>226</v>
      </c>
      <c r="AA1301" s="49"/>
      <c r="AB1301" s="49"/>
      <c r="AC1301" s="49"/>
      <c r="AD1301" s="49"/>
      <c r="AE1301" s="49"/>
      <c r="AF1301" s="49"/>
      <c r="AG1301" s="49"/>
      <c r="AH1301" s="105"/>
      <c r="AI1301" s="49"/>
      <c r="AJ1301" s="49"/>
      <c r="AK1301" s="46"/>
      <c r="AL1301" s="49"/>
      <c r="AM1301" s="49"/>
      <c r="AN1301" s="330" t="s">
        <v>138</v>
      </c>
      <c r="AO1301" s="49"/>
      <c r="AP1301" s="49"/>
      <c r="AQ1301" s="49"/>
      <c r="AR1301" s="49"/>
      <c r="AS1301" s="49"/>
      <c r="AT1301" s="46"/>
      <c r="AU1301" s="46"/>
      <c r="AV1301" s="46"/>
      <c r="AW1301" s="46"/>
      <c r="AX1301" s="46"/>
      <c r="AY1301" s="61" t="str">
        <f>IFERROR(__xludf.DUMMYFUNCTION("vlookup(BB1301,importrange(""https://docs.google.com/spreadsheets/d/1d2vevQ_7D_v35q4wCQ4RpQ_IPoTwEMB9Yp6ymwlPqew/edit?gid=984458430#gid=984458430"", ""'replication success'!A:K""), 11, FAlSE)"),"#N/A")</f>
        <v>#N/A</v>
      </c>
      <c r="AZ1301" s="61" t="str">
        <f>IFERROR(__xludf.DUMMYFUNCTION("vlookup(BB1301,importrange(""https://docs.google.com/spreadsheets/d/1d2vevQ_7D_v35q4wCQ4RpQ_IPoTwEMB9Yp6ymwlPqew/edit?gid=984458430#gid=984458430"", ""'replication success'!A:M""), 12, FAlSE)"),"#N/A")</f>
        <v>#N/A</v>
      </c>
      <c r="BA1301" s="61" t="str">
        <f>IFERROR(__xludf.DUMMYFUNCTION("vlookup(BB1301,importrange(""https://docs.google.com/spreadsheets/d/1d2vevQ_7D_v35q4wCQ4RpQ_IPoTwEMB9Yp6ymwlPqew/edit?gid=984458430#gid=984458430"", ""'replication success'!A:M""), 13, FAlSE)"),"#N/A")</f>
        <v>#N/A</v>
      </c>
      <c r="BB1301" s="61" t="str">
        <f>IFERROR(__xludf.DUMMYFUNCTION("REGEXREPLACE(G1301, ""_[a-z]{1,2}$"", """")"),"curatescience16")</f>
        <v>curatescience16</v>
      </c>
      <c r="BC1301" s="57"/>
    </row>
    <row r="1302">
      <c r="A1302" s="44">
        <v>1302.0</v>
      </c>
      <c r="B1302" s="322" t="s">
        <v>114</v>
      </c>
      <c r="C1302" s="325" t="s">
        <v>115</v>
      </c>
      <c r="D1302" s="325" t="s">
        <v>195</v>
      </c>
      <c r="E1302" s="226"/>
      <c r="F1302" s="325" t="s">
        <v>7403</v>
      </c>
      <c r="G1302" s="322" t="s">
        <v>7404</v>
      </c>
      <c r="H1302" s="45" t="s">
        <v>7391</v>
      </c>
      <c r="I1302" s="63">
        <v>44958.0</v>
      </c>
      <c r="J1302" s="64">
        <v>45638.0</v>
      </c>
      <c r="K1302" s="45" t="s">
        <v>7412</v>
      </c>
      <c r="L1302" s="700" t="s">
        <v>7392</v>
      </c>
      <c r="M1302" s="343" t="s">
        <v>7407</v>
      </c>
      <c r="N1302" s="45" t="s">
        <v>7408</v>
      </c>
      <c r="O1302" s="45">
        <v>3.0</v>
      </c>
      <c r="P1302" s="66" t="s">
        <v>7409</v>
      </c>
      <c r="Q1302" s="108" t="str">
        <f t="array" ref="Q1302"> if(iserror(MATCH(V1302, 'File Links'!C:C, 0)), "N/A", HYPERLINK(INDEX('File Links'!B:B, MATCH(P1302, 'File Links'!C:C, 0))))</f>
        <v>N/A</v>
      </c>
      <c r="R1302" s="45" t="s">
        <v>7410</v>
      </c>
      <c r="S1302" s="65"/>
      <c r="T1302" s="65"/>
      <c r="U1302" s="66">
        <v>3.0</v>
      </c>
      <c r="V1302" s="45" t="s">
        <v>577</v>
      </c>
      <c r="W1302" s="65"/>
      <c r="X1302" s="49" t="str">
        <f t="array" ref="X1302"> if(iserror(MATCH(V1302, 'File Links'!C:C, 0)), "N/A", HYPERLINK(INDEX('File Links'!B:B, MATCH(V1302, 'File Links'!C:C, 0))))</f>
        <v>N/A</v>
      </c>
      <c r="Y1302" s="45" t="s">
        <v>147</v>
      </c>
      <c r="Z1302" s="45" t="s">
        <v>226</v>
      </c>
      <c r="AA1302" s="65"/>
      <c r="AB1302" s="45" t="s">
        <v>7413</v>
      </c>
      <c r="AC1302" s="45" t="s">
        <v>7414</v>
      </c>
      <c r="AD1302" s="65"/>
      <c r="AE1302" s="65"/>
      <c r="AF1302" s="65"/>
      <c r="AG1302" s="65"/>
      <c r="AH1302" s="45"/>
      <c r="AI1302" s="65"/>
      <c r="AJ1302" s="65"/>
      <c r="AK1302" s="67"/>
      <c r="AL1302" s="65"/>
      <c r="AM1302" s="65"/>
      <c r="AN1302" s="330" t="s">
        <v>138</v>
      </c>
      <c r="AO1302" s="65"/>
      <c r="AP1302" s="65"/>
      <c r="AQ1302" s="65"/>
      <c r="AR1302" s="65"/>
      <c r="AS1302" s="65"/>
      <c r="AT1302" s="67"/>
      <c r="AU1302" s="67"/>
      <c r="AV1302" s="68"/>
      <c r="AX1302" s="67"/>
      <c r="AY1302" s="61" t="str">
        <f>IFERROR(__xludf.DUMMYFUNCTION("vlookup(BB1302,importrange(""https://docs.google.com/spreadsheets/d/1d2vevQ_7D_v35q4wCQ4RpQ_IPoTwEMB9Yp6ymwlPqew/edit?gid=984458430#gid=984458430"", ""'replication success'!A:K""), 11, FAlSE)"),"#N/A")</f>
        <v>#N/A</v>
      </c>
      <c r="AZ1302" s="61" t="str">
        <f>IFERROR(__xludf.DUMMYFUNCTION("vlookup(BB1302,importrange(""https://docs.google.com/spreadsheets/d/1d2vevQ_7D_v35q4wCQ4RpQ_IPoTwEMB9Yp6ymwlPqew/edit?gid=984458430#gid=984458430"", ""'replication success'!A:M""), 12, FAlSE)"),"#N/A")</f>
        <v>#N/A</v>
      </c>
      <c r="BA1302" s="61" t="str">
        <f>IFERROR(__xludf.DUMMYFUNCTION("vlookup(BB1302,importrange(""https://docs.google.com/spreadsheets/d/1d2vevQ_7D_v35q4wCQ4RpQ_IPoTwEMB9Yp6ymwlPqew/edit?gid=984458430#gid=984458430"", ""'replication success'!A:M""), 13, FAlSE)"),"#N/A")</f>
        <v>#N/A</v>
      </c>
      <c r="BB1302" s="61" t="str">
        <f>IFERROR(__xludf.DUMMYFUNCTION("REGEXREPLACE(G1302, ""_[a-z]{1,2}$"", """")"),"curatescience16")</f>
        <v>curatescience16</v>
      </c>
      <c r="BC1302" s="45"/>
    </row>
    <row r="1303">
      <c r="A1303" s="44">
        <v>1303.0</v>
      </c>
      <c r="B1303" s="149" t="s">
        <v>590</v>
      </c>
      <c r="C1303" s="149" t="s">
        <v>115</v>
      </c>
      <c r="D1303" s="149" t="s">
        <v>2630</v>
      </c>
      <c r="E1303" s="71"/>
      <c r="F1303" s="111" t="s">
        <v>7415</v>
      </c>
      <c r="G1303" s="112" t="s">
        <v>7416</v>
      </c>
      <c r="H1303" s="122" t="s">
        <v>7417</v>
      </c>
      <c r="I1303" s="113">
        <v>45654.0</v>
      </c>
      <c r="J1303" s="1423">
        <v>45673.0</v>
      </c>
      <c r="K1303" s="111"/>
      <c r="L1303" s="1424" t="s">
        <v>7418</v>
      </c>
      <c r="M1303" s="116" t="s">
        <v>7419</v>
      </c>
      <c r="N1303" s="218" t="s">
        <v>7420</v>
      </c>
      <c r="O1303" s="537">
        <v>1.0</v>
      </c>
      <c r="P1303" s="122" t="s">
        <v>7421</v>
      </c>
      <c r="Q1303" s="52" t="str">
        <f t="array" ref="Q1303"> if(iserror(MATCH(V1303, 'File Links'!C:C, 0)), "N/A", HYPERLINK(INDEX('File Links'!B:B, MATCH(P1303, 'File Links'!C:C, 0))))</f>
        <v>https://drive.google.com/file/d/1D8E42YuXrxlGwF61UWB4V8lYywAWr8dY/view?usp=drivesdk</v>
      </c>
      <c r="R1303" s="122" t="s">
        <v>7422</v>
      </c>
      <c r="S1303" s="218" t="s">
        <v>7423</v>
      </c>
      <c r="T1303" s="111"/>
      <c r="U1303" s="111"/>
      <c r="V1303" s="198" t="str">
        <f t="shared" ref="V1303:V1329" si="79"> hyperlink(vlookup(lower(S1303),#REF!, 2, FALSE), SUBSTITUTE(lower(S1303), "/", "--") &amp;  ".pdf")</f>
        <v>10.1037--a0024587.pdf</v>
      </c>
      <c r="W1303" s="218" t="s">
        <v>164</v>
      </c>
      <c r="X1303" s="54" t="str">
        <f t="array" ref="X1303"> if(iserror(MATCH(V1303, 'File Links'!C:C, 0)), "N/A", HYPERLINK(INDEX('File Links'!B:B, MATCH(V1303, 'File Links'!C:C, 0))))</f>
        <v>https://drive.google.com/file/d/1GYDJkUHLj_0GiFfIztass97sMyACxxL_/view?usp=drivesdk</v>
      </c>
      <c r="Y1303" s="111"/>
      <c r="Z1303" s="218" t="s">
        <v>226</v>
      </c>
      <c r="AA1303" s="218" t="s">
        <v>7424</v>
      </c>
      <c r="AB1303" s="218" t="s">
        <v>7425</v>
      </c>
      <c r="AC1303" s="218" t="s">
        <v>7426</v>
      </c>
      <c r="AD1303" s="218" t="s">
        <v>7427</v>
      </c>
      <c r="AE1303" s="224" t="s">
        <v>7428</v>
      </c>
      <c r="AF1303" s="1425">
        <v>97.0</v>
      </c>
      <c r="AG1303" s="1425">
        <v>0.55</v>
      </c>
      <c r="AH1303" s="1426" t="s">
        <v>139</v>
      </c>
      <c r="AI1303" s="210" t="s">
        <v>7429</v>
      </c>
      <c r="AJ1303" s="217">
        <v>0.023</v>
      </c>
      <c r="AK1303" s="218" t="s">
        <v>172</v>
      </c>
      <c r="AL1303" s="112" t="s">
        <v>186</v>
      </c>
      <c r="AM1303" s="1427" t="s">
        <v>137</v>
      </c>
      <c r="AN1303" s="330" t="s">
        <v>138</v>
      </c>
      <c r="AO1303" s="1425">
        <v>72.0</v>
      </c>
      <c r="AP1303" s="1425">
        <v>0.18</v>
      </c>
      <c r="AQ1303" s="218" t="s">
        <v>173</v>
      </c>
      <c r="AR1303" s="218" t="s">
        <v>7430</v>
      </c>
      <c r="AS1303" s="1425">
        <v>0.45</v>
      </c>
      <c r="AT1303" s="218" t="s">
        <v>172</v>
      </c>
      <c r="AU1303" s="218" t="s">
        <v>136</v>
      </c>
      <c r="AV1303" s="1427" t="s">
        <v>137</v>
      </c>
      <c r="AW1303" s="111"/>
      <c r="AX1303" s="1427" t="s">
        <v>143</v>
      </c>
      <c r="AY1303" s="61" t="str">
        <f>IFERROR(__xludf.DUMMYFUNCTION("vlookup(BB1303,importrange(""https://docs.google.com/spreadsheets/d/1d2vevQ_7D_v35q4wCQ4RpQ_IPoTwEMB9Yp6ymwlPqew/edit?gid=984458430#gid=984458430"", ""'replication success'!A:K""), 11, FAlSE)"),"#N/A")</f>
        <v>#N/A</v>
      </c>
      <c r="AZ1303" s="61" t="str">
        <f>IFERROR(__xludf.DUMMYFUNCTION("vlookup(BB1303,importrange(""https://docs.google.com/spreadsheets/d/1d2vevQ_7D_v35q4wCQ4RpQ_IPoTwEMB9Yp6ymwlPqew/edit?gid=984458430#gid=984458430"", ""'replication success'!A:M""), 12, FAlSE)"),"#N/A")</f>
        <v>#N/A</v>
      </c>
      <c r="BA1303" s="61" t="str">
        <f>IFERROR(__xludf.DUMMYFUNCTION("vlookup(BB1303,importrange(""https://docs.google.com/spreadsheets/d/1d2vevQ_7D_v35q4wCQ4RpQ_IPoTwEMB9Yp6ymwlPqew/edit?gid=984458430#gid=984458430"", ""'replication success'!A:M""), 13, FAlSE)"),"#N/A")</f>
        <v>#N/A</v>
      </c>
      <c r="BB1303" s="61" t="str">
        <f>IFERROR(__xludf.DUMMYFUNCTION("REGEXREPLACE(G1303, ""_[a-z]{1,2}$"", """")"),"curatescience17")</f>
        <v>curatescience17</v>
      </c>
      <c r="BC1303" s="151" t="s">
        <v>7418</v>
      </c>
      <c r="BD1303" s="149" t="s">
        <v>144</v>
      </c>
    </row>
    <row r="1304">
      <c r="A1304" s="44">
        <v>1304.0</v>
      </c>
      <c r="B1304" s="149" t="s">
        <v>590</v>
      </c>
      <c r="C1304" s="149" t="s">
        <v>115</v>
      </c>
      <c r="D1304" s="149" t="s">
        <v>1270</v>
      </c>
      <c r="E1304" s="71"/>
      <c r="F1304" s="111" t="s">
        <v>7415</v>
      </c>
      <c r="G1304" s="112" t="s">
        <v>7416</v>
      </c>
      <c r="H1304" s="122" t="s">
        <v>5024</v>
      </c>
      <c r="I1304" s="113">
        <v>45646.0</v>
      </c>
      <c r="J1304" s="1423">
        <v>45673.0</v>
      </c>
      <c r="K1304" s="111"/>
      <c r="L1304" s="111"/>
      <c r="M1304" s="116" t="s">
        <v>7419</v>
      </c>
      <c r="N1304" s="122" t="s">
        <v>7420</v>
      </c>
      <c r="O1304" s="537">
        <v>1.0</v>
      </c>
      <c r="P1304" s="122" t="s">
        <v>7421</v>
      </c>
      <c r="Q1304" s="52" t="str">
        <f t="array" ref="Q1304"> if(iserror(MATCH(V1304, 'File Links'!C:C, 0)), "N/A", HYPERLINK(INDEX('File Links'!B:B, MATCH(P1304, 'File Links'!C:C, 0))))</f>
        <v>https://drive.google.com/file/d/1D8E42YuXrxlGwF61UWB4V8lYywAWr8dY/view?usp=drivesdk</v>
      </c>
      <c r="R1304" s="122" t="s">
        <v>7422</v>
      </c>
      <c r="S1304" s="122" t="s">
        <v>7423</v>
      </c>
      <c r="T1304" s="111"/>
      <c r="U1304" s="537">
        <v>1.0</v>
      </c>
      <c r="V1304" s="198" t="str">
        <f t="shared" si="79"/>
        <v>10.1037--a0024587.pdf</v>
      </c>
      <c r="W1304" s="122" t="s">
        <v>7431</v>
      </c>
      <c r="X1304" s="54" t="str">
        <f t="array" ref="X1304"> if(iserror(MATCH(V1304, 'File Links'!C:C, 0)), "N/A", HYPERLINK(INDEX('File Links'!B:B, MATCH(V1304, 'File Links'!C:C, 0))))</f>
        <v>https://drive.google.com/file/d/1GYDJkUHLj_0GiFfIztass97sMyACxxL_/view?usp=drivesdk</v>
      </c>
      <c r="Y1304" s="111"/>
      <c r="Z1304" s="122" t="s">
        <v>148</v>
      </c>
      <c r="AA1304" s="122" t="s">
        <v>7432</v>
      </c>
      <c r="AB1304" s="122" t="s">
        <v>7433</v>
      </c>
      <c r="AC1304" s="122" t="s">
        <v>7434</v>
      </c>
      <c r="AD1304" s="122" t="s">
        <v>7435</v>
      </c>
      <c r="AE1304" s="683" t="s">
        <v>7436</v>
      </c>
      <c r="AF1304" s="537">
        <v>141.0</v>
      </c>
      <c r="AG1304" s="537">
        <v>0.42</v>
      </c>
      <c r="AH1304" s="121" t="s">
        <v>173</v>
      </c>
      <c r="AI1304" s="112" t="s">
        <v>850</v>
      </c>
      <c r="AJ1304" s="117">
        <v>0.009</v>
      </c>
      <c r="AK1304" s="122" t="s">
        <v>172</v>
      </c>
      <c r="AL1304" s="112" t="s">
        <v>186</v>
      </c>
      <c r="AM1304" s="111" t="s">
        <v>137</v>
      </c>
      <c r="AN1304" s="330" t="s">
        <v>138</v>
      </c>
      <c r="AO1304" s="537">
        <v>38.0</v>
      </c>
      <c r="AP1304" s="537">
        <v>1.35</v>
      </c>
      <c r="AQ1304" s="122" t="s">
        <v>173</v>
      </c>
      <c r="AR1304" s="122" t="s">
        <v>813</v>
      </c>
      <c r="AS1304" s="537">
        <v>0.001</v>
      </c>
      <c r="AT1304" s="122" t="s">
        <v>135</v>
      </c>
      <c r="AU1304" s="122" t="s">
        <v>186</v>
      </c>
      <c r="AV1304" s="111" t="s">
        <v>137</v>
      </c>
      <c r="AW1304" s="111"/>
      <c r="AX1304" s="111" t="s">
        <v>143</v>
      </c>
      <c r="AY1304" s="61" t="str">
        <f>IFERROR(__xludf.DUMMYFUNCTION("vlookup(BB1304,importrange(""https://docs.google.com/spreadsheets/d/1d2vevQ_7D_v35q4wCQ4RpQ_IPoTwEMB9Yp6ymwlPqew/edit?gid=984458430#gid=984458430"", ""'replication success'!A:K""), 11, FAlSE)"),"#N/A")</f>
        <v>#N/A</v>
      </c>
      <c r="AZ1304" s="61" t="str">
        <f>IFERROR(__xludf.DUMMYFUNCTION("vlookup(BB1304,importrange(""https://docs.google.com/spreadsheets/d/1d2vevQ_7D_v35q4wCQ4RpQ_IPoTwEMB9Yp6ymwlPqew/edit?gid=984458430#gid=984458430"", ""'replication success'!A:M""), 12, FAlSE)"),"#N/A")</f>
        <v>#N/A</v>
      </c>
      <c r="BA1304" s="61" t="str">
        <f>IFERROR(__xludf.DUMMYFUNCTION("vlookup(BB1304,importrange(""https://docs.google.com/spreadsheets/d/1d2vevQ_7D_v35q4wCQ4RpQ_IPoTwEMB9Yp6ymwlPqew/edit?gid=984458430#gid=984458430"", ""'replication success'!A:M""), 13, FAlSE)"),"#N/A")</f>
        <v>#N/A</v>
      </c>
      <c r="BB1304" s="61" t="str">
        <f>IFERROR(__xludf.DUMMYFUNCTION("REGEXREPLACE(G1304, ""_[a-z]{1,2}$"", """")"),"curatescience17")</f>
        <v>curatescience17</v>
      </c>
      <c r="BC1304" s="68"/>
      <c r="BD1304" s="149" t="s">
        <v>144</v>
      </c>
    </row>
    <row r="1305">
      <c r="A1305" s="44">
        <v>1305.0</v>
      </c>
      <c r="B1305" s="149" t="s">
        <v>590</v>
      </c>
      <c r="C1305" s="149" t="s">
        <v>115</v>
      </c>
      <c r="D1305" s="149" t="s">
        <v>1270</v>
      </c>
      <c r="E1305" s="71"/>
      <c r="F1305" s="111" t="s">
        <v>7415</v>
      </c>
      <c r="G1305" s="112" t="s">
        <v>7416</v>
      </c>
      <c r="H1305" s="122" t="s">
        <v>5024</v>
      </c>
      <c r="I1305" s="113">
        <v>45646.0</v>
      </c>
      <c r="J1305" s="1423">
        <v>45673.0</v>
      </c>
      <c r="K1305" s="122" t="s">
        <v>7437</v>
      </c>
      <c r="L1305" s="1424" t="s">
        <v>7438</v>
      </c>
      <c r="M1305" s="116" t="s">
        <v>7419</v>
      </c>
      <c r="N1305" s="122" t="s">
        <v>7420</v>
      </c>
      <c r="O1305" s="537">
        <v>1.0</v>
      </c>
      <c r="P1305" s="122" t="s">
        <v>7421</v>
      </c>
      <c r="Q1305" s="52" t="str">
        <f t="array" ref="Q1305"> if(iserror(MATCH(V1305, 'File Links'!C:C, 0)), "N/A", HYPERLINK(INDEX('File Links'!B:B, MATCH(P1305, 'File Links'!C:C, 0))))</f>
        <v>https://drive.google.com/file/d/1D8E42YuXrxlGwF61UWB4V8lYywAWr8dY/view?usp=drivesdk</v>
      </c>
      <c r="R1305" s="122" t="s">
        <v>7422</v>
      </c>
      <c r="S1305" s="122" t="s">
        <v>7423</v>
      </c>
      <c r="T1305" s="111"/>
      <c r="U1305" s="537">
        <v>1.0</v>
      </c>
      <c r="V1305" s="198" t="str">
        <f t="shared" si="79"/>
        <v>10.1037--a0024587.pdf</v>
      </c>
      <c r="W1305" s="122" t="s">
        <v>7431</v>
      </c>
      <c r="X1305" s="54" t="str">
        <f t="array" ref="X1305"> if(iserror(MATCH(V1305, 'File Links'!C:C, 0)), "N/A", HYPERLINK(INDEX('File Links'!B:B, MATCH(V1305, 'File Links'!C:C, 0))))</f>
        <v>https://drive.google.com/file/d/1GYDJkUHLj_0GiFfIztass97sMyACxxL_/view?usp=drivesdk</v>
      </c>
      <c r="Y1305" s="111"/>
      <c r="Z1305" s="122" t="s">
        <v>148</v>
      </c>
      <c r="AA1305" s="122" t="s">
        <v>7432</v>
      </c>
      <c r="AB1305" s="122" t="s">
        <v>7433</v>
      </c>
      <c r="AC1305" s="122" t="s">
        <v>7434</v>
      </c>
      <c r="AD1305" s="122" t="s">
        <v>7439</v>
      </c>
      <c r="AE1305" s="683" t="s">
        <v>813</v>
      </c>
      <c r="AF1305" s="537">
        <v>141.0</v>
      </c>
      <c r="AG1305" s="537">
        <v>0.34</v>
      </c>
      <c r="AH1305" s="121" t="s">
        <v>173</v>
      </c>
      <c r="AI1305" s="112" t="s">
        <v>813</v>
      </c>
      <c r="AJ1305" s="117">
        <v>0.06</v>
      </c>
      <c r="AK1305" s="122" t="s">
        <v>172</v>
      </c>
      <c r="AL1305" s="112" t="s">
        <v>186</v>
      </c>
      <c r="AM1305" s="111" t="s">
        <v>137</v>
      </c>
      <c r="AN1305" s="330" t="s">
        <v>138</v>
      </c>
      <c r="AO1305" s="537">
        <v>38.0</v>
      </c>
      <c r="AP1305" s="537">
        <v>0.439</v>
      </c>
      <c r="AQ1305" s="122" t="s">
        <v>173</v>
      </c>
      <c r="AR1305" s="122" t="s">
        <v>140</v>
      </c>
      <c r="AS1305" s="111"/>
      <c r="AT1305" s="111"/>
      <c r="AU1305" s="111"/>
      <c r="AV1305" s="111"/>
      <c r="AW1305" s="111"/>
      <c r="AX1305" s="111" t="s">
        <v>143</v>
      </c>
      <c r="AY1305" s="61" t="str">
        <f>IFERROR(__xludf.DUMMYFUNCTION("vlookup(BB1305,importrange(""https://docs.google.com/spreadsheets/d/1d2vevQ_7D_v35q4wCQ4RpQ_IPoTwEMB9Yp6ymwlPqew/edit?gid=984458430#gid=984458430"", ""'replication success'!A:K""), 11, FAlSE)"),"#N/A")</f>
        <v>#N/A</v>
      </c>
      <c r="AZ1305" s="61" t="str">
        <f>IFERROR(__xludf.DUMMYFUNCTION("vlookup(BB1305,importrange(""https://docs.google.com/spreadsheets/d/1d2vevQ_7D_v35q4wCQ4RpQ_IPoTwEMB9Yp6ymwlPqew/edit?gid=984458430#gid=984458430"", ""'replication success'!A:M""), 12, FAlSE)"),"#N/A")</f>
        <v>#N/A</v>
      </c>
      <c r="BA1305" s="61" t="str">
        <f>IFERROR(__xludf.DUMMYFUNCTION("vlookup(BB1305,importrange(""https://docs.google.com/spreadsheets/d/1d2vevQ_7D_v35q4wCQ4RpQ_IPoTwEMB9Yp6ymwlPqew/edit?gid=984458430#gid=984458430"", ""'replication success'!A:M""), 13, FAlSE)"),"#N/A")</f>
        <v>#N/A</v>
      </c>
      <c r="BB1305" s="61" t="str">
        <f>IFERROR(__xludf.DUMMYFUNCTION("REGEXREPLACE(G1305, ""_[a-z]{1,2}$"", """")"),"curatescience17")</f>
        <v>curatescience17</v>
      </c>
      <c r="BC1305" s="151" t="s">
        <v>7438</v>
      </c>
      <c r="BD1305" s="149" t="s">
        <v>144</v>
      </c>
    </row>
    <row r="1306">
      <c r="A1306" s="44">
        <v>1306.0</v>
      </c>
      <c r="B1306" s="716" t="s">
        <v>114</v>
      </c>
      <c r="C1306" s="716" t="s">
        <v>115</v>
      </c>
      <c r="D1306" s="716" t="s">
        <v>2630</v>
      </c>
      <c r="E1306" s="697"/>
      <c r="F1306" s="1428" t="s">
        <v>7440</v>
      </c>
      <c r="G1306" s="718" t="s">
        <v>7441</v>
      </c>
      <c r="H1306" s="717" t="s">
        <v>7417</v>
      </c>
      <c r="I1306" s="719">
        <v>45654.0</v>
      </c>
      <c r="J1306" s="763">
        <v>45673.0</v>
      </c>
      <c r="K1306" s="1428"/>
      <c r="L1306" s="730" t="s">
        <v>7442</v>
      </c>
      <c r="M1306" s="116" t="s">
        <v>7419</v>
      </c>
      <c r="N1306" s="1429" t="s">
        <v>7420</v>
      </c>
      <c r="O1306" s="1430">
        <v>1.0</v>
      </c>
      <c r="P1306" s="717" t="s">
        <v>7421</v>
      </c>
      <c r="Q1306" s="52" t="str">
        <f t="array" ref="Q1306"> if(iserror(MATCH(V1306, 'File Links'!C:C, 0)), "N/A", HYPERLINK(INDEX('File Links'!B:B, MATCH(P1306, 'File Links'!C:C, 0))))</f>
        <v>https://drive.google.com/file/d/1D8E42YuXrxlGwF61UWB4V8lYywAWr8dY/view?usp=drivesdk</v>
      </c>
      <c r="R1306" s="717" t="s">
        <v>7443</v>
      </c>
      <c r="S1306" s="1429" t="s">
        <v>7444</v>
      </c>
      <c r="T1306" s="1428"/>
      <c r="U1306" s="1428"/>
      <c r="V1306" s="198" t="str">
        <f t="shared" si="79"/>
        <v>10.1186--2050-7283-1-22.pdf</v>
      </c>
      <c r="W1306" s="1429"/>
      <c r="X1306" s="54" t="str">
        <f t="array" ref="X1306"> if(iserror(MATCH(V1306, 'File Links'!C:C, 0)), "N/A", HYPERLINK(INDEX('File Links'!B:B, MATCH(V1306, 'File Links'!C:C, 0))))</f>
        <v>https://drive.google.com/file/d/177P2xO1D22ODvu0Zcz9Ls-wtsZM0ck_y/view?usp=drivesdk</v>
      </c>
      <c r="Y1306" s="1428"/>
      <c r="Z1306" s="1429" t="s">
        <v>226</v>
      </c>
      <c r="AA1306" s="1429" t="s">
        <v>7424</v>
      </c>
      <c r="AB1306" s="1429" t="s">
        <v>7425</v>
      </c>
      <c r="AC1306" s="1429" t="s">
        <v>7426</v>
      </c>
      <c r="AD1306" s="1429" t="s">
        <v>7427</v>
      </c>
      <c r="AE1306" s="1431">
        <v>245.0</v>
      </c>
      <c r="AF1306" s="1431">
        <v>97.0</v>
      </c>
      <c r="AG1306" s="1431">
        <v>0.55</v>
      </c>
      <c r="AH1306" s="1426" t="s">
        <v>139</v>
      </c>
      <c r="AI1306" s="1432" t="s">
        <v>7429</v>
      </c>
      <c r="AJ1306" s="1433">
        <v>0.023</v>
      </c>
      <c r="AK1306" s="1429" t="s">
        <v>172</v>
      </c>
      <c r="AL1306" s="1432" t="s">
        <v>136</v>
      </c>
      <c r="AM1306" s="1434" t="s">
        <v>137</v>
      </c>
      <c r="AN1306" s="330" t="s">
        <v>138</v>
      </c>
      <c r="AO1306" s="1431">
        <v>93.0</v>
      </c>
      <c r="AP1306" s="1431">
        <v>0.28</v>
      </c>
      <c r="AQ1306" s="1429" t="s">
        <v>173</v>
      </c>
      <c r="AR1306" s="1429" t="s">
        <v>7445</v>
      </c>
      <c r="AS1306" s="1431">
        <v>0.17</v>
      </c>
      <c r="AT1306" s="1429" t="s">
        <v>172</v>
      </c>
      <c r="AU1306" s="1429" t="s">
        <v>136</v>
      </c>
      <c r="AV1306" s="1434" t="s">
        <v>137</v>
      </c>
      <c r="AW1306" s="1428"/>
      <c r="AX1306" s="398" t="s">
        <v>151</v>
      </c>
      <c r="AY1306" s="61" t="str">
        <f>IFERROR(__xludf.DUMMYFUNCTION("vlookup(BB1306,importrange(""https://docs.google.com/spreadsheets/d/1d2vevQ_7D_v35q4wCQ4RpQ_IPoTwEMB9Yp6ymwlPqew/edit?gid=984458430#gid=984458430"", ""'replication success'!A:K""), 11, FAlSE)"),"failed")</f>
        <v>failed</v>
      </c>
      <c r="AZ1306" s="61" t="str">
        <f>IFERROR(__xludf.DUMMYFUNCTION("vlookup(BB1306,importrange(""https://docs.google.com/spreadsheets/d/1d2vevQ_7D_v35q4wCQ4RpQ_IPoTwEMB9Yp6ymwlPqew/edit?gid=984458430#gid=984458430"", ""'replication success'!A:M""), 12, FAlSE)"),"An even more favorable interpretation (albeit, one that
ignores the meta-analytic conclusions that we have re-
ported elsewhere; Carter &amp; McCullough 2013) might be
that the depletion effect is moderated by the type of ex-
perimental task used in the s"&amp;"equential task paradigm—
that is, contrary to what was shown by Schmeichel
(2007) perhaps OSPAN performance does not decrease
when participants are depleted, but performance on
other outcome tasks, such as persistence at difficult
tasks, does (e.g., "&amp;"Baumeister, et al. 1998).")</f>
        <v>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v>
      </c>
      <c r="BA1306" s="61" t="str">
        <f>IFERROR(__xludf.DUMMYFUNCTION("vlookup(BB1306,importrange(""https://docs.google.com/spreadsheets/d/1d2vevQ_7D_v35q4wCQ4RpQ_IPoTwEMB9Yp6ymwlPqew/edit?gid=984458430#gid=984458430"", ""'replication success'!A:M""), 13, FAlSE)"),"abstract")</f>
        <v>abstract</v>
      </c>
      <c r="BB1306" s="61" t="str">
        <f>IFERROR(__xludf.DUMMYFUNCTION("REGEXREPLACE(G1306, ""_[a-z]{1,2}$"", """")"),"curatescience18")</f>
        <v>curatescience18</v>
      </c>
      <c r="BC1306" s="730" t="s">
        <v>7446</v>
      </c>
      <c r="BD1306" s="149" t="s">
        <v>144</v>
      </c>
    </row>
    <row r="1307">
      <c r="A1307" s="44">
        <v>1307.0</v>
      </c>
      <c r="B1307" s="397" t="s">
        <v>152</v>
      </c>
      <c r="C1307" s="397" t="s">
        <v>115</v>
      </c>
      <c r="D1307" s="397" t="s">
        <v>1270</v>
      </c>
      <c r="E1307" s="220"/>
      <c r="F1307" s="398" t="s">
        <v>7440</v>
      </c>
      <c r="G1307" s="399" t="s">
        <v>7441</v>
      </c>
      <c r="H1307" s="407" t="s">
        <v>5024</v>
      </c>
      <c r="I1307" s="727">
        <v>45646.0</v>
      </c>
      <c r="J1307" s="1435">
        <v>45673.0</v>
      </c>
      <c r="K1307" s="398"/>
      <c r="L1307" s="730" t="s">
        <v>7442</v>
      </c>
      <c r="M1307" s="116" t="s">
        <v>7419</v>
      </c>
      <c r="N1307" s="407" t="s">
        <v>7420</v>
      </c>
      <c r="O1307" s="728">
        <v>1.0</v>
      </c>
      <c r="P1307" s="407" t="s">
        <v>7421</v>
      </c>
      <c r="Q1307" s="52" t="str">
        <f t="array" ref="Q1307"> if(iserror(MATCH(V1307, 'File Links'!C:C, 0)), "N/A", HYPERLINK(INDEX('File Links'!B:B, MATCH(P1307, 'File Links'!C:C, 0))))</f>
        <v>https://drive.google.com/file/d/1D8E42YuXrxlGwF61UWB4V8lYywAWr8dY/view?usp=drivesdk</v>
      </c>
      <c r="R1307" s="407" t="s">
        <v>7443</v>
      </c>
      <c r="S1307" s="407" t="s">
        <v>7444</v>
      </c>
      <c r="T1307" s="398"/>
      <c r="U1307" s="398"/>
      <c r="V1307" s="198" t="str">
        <f t="shared" si="79"/>
        <v>10.1186--2050-7283-1-22.pdf</v>
      </c>
      <c r="W1307" s="407" t="s">
        <v>7447</v>
      </c>
      <c r="X1307" s="54" t="str">
        <f t="array" ref="X1307"> if(iserror(MATCH(V1307, 'File Links'!C:C, 0)), "N/A", HYPERLINK(INDEX('File Links'!B:B, MATCH(V1307, 'File Links'!C:C, 0))))</f>
        <v>https://drive.google.com/file/d/177P2xO1D22ODvu0Zcz9Ls-wtsZM0ck_y/view?usp=drivesdk</v>
      </c>
      <c r="Y1307" s="398"/>
      <c r="Z1307" s="407" t="s">
        <v>148</v>
      </c>
      <c r="AA1307" s="407" t="s">
        <v>7432</v>
      </c>
      <c r="AB1307" s="407" t="s">
        <v>7433</v>
      </c>
      <c r="AC1307" s="407" t="s">
        <v>7434</v>
      </c>
      <c r="AD1307" s="407" t="s">
        <v>7435</v>
      </c>
      <c r="AE1307" s="1436">
        <v>45416.0</v>
      </c>
      <c r="AF1307" s="728">
        <v>141.0</v>
      </c>
      <c r="AG1307" s="728">
        <v>0.42</v>
      </c>
      <c r="AH1307" s="403" t="s">
        <v>173</v>
      </c>
      <c r="AI1307" s="399" t="s">
        <v>850</v>
      </c>
      <c r="AJ1307" s="406">
        <v>0.009</v>
      </c>
      <c r="AK1307" s="407" t="s">
        <v>172</v>
      </c>
      <c r="AL1307" s="399" t="s">
        <v>186</v>
      </c>
      <c r="AM1307" s="398" t="s">
        <v>137</v>
      </c>
      <c r="AN1307" s="330" t="s">
        <v>138</v>
      </c>
      <c r="AO1307" s="770">
        <v>235.0</v>
      </c>
      <c r="AP1307" s="770">
        <v>-0.3</v>
      </c>
      <c r="AQ1307" s="398" t="s">
        <v>173</v>
      </c>
      <c r="AR1307" s="398" t="s">
        <v>7386</v>
      </c>
      <c r="AS1307" s="728">
        <v>0.05</v>
      </c>
      <c r="AT1307" s="407" t="s">
        <v>135</v>
      </c>
      <c r="AU1307" s="407" t="s">
        <v>186</v>
      </c>
      <c r="AV1307" s="398" t="s">
        <v>137</v>
      </c>
      <c r="AW1307" s="398"/>
      <c r="AX1307" s="398" t="s">
        <v>151</v>
      </c>
      <c r="AY1307" s="61" t="str">
        <f>IFERROR(__xludf.DUMMYFUNCTION("vlookup(BB1307,importrange(""https://docs.google.com/spreadsheets/d/1d2vevQ_7D_v35q4wCQ4RpQ_IPoTwEMB9Yp6ymwlPqew/edit?gid=984458430#gid=984458430"", ""'replication success'!A:K""), 11, FAlSE)"),"failed")</f>
        <v>failed</v>
      </c>
      <c r="AZ1307" s="61" t="str">
        <f>IFERROR(__xludf.DUMMYFUNCTION("vlookup(BB1307,importrange(""https://docs.google.com/spreadsheets/d/1d2vevQ_7D_v35q4wCQ4RpQ_IPoTwEMB9Yp6ymwlPqew/edit?gid=984458430#gid=984458430"", ""'replication success'!A:M""), 12, FAlSE)"),"An even more favorable interpretation (albeit, one that
ignores the meta-analytic conclusions that we have re-
ported elsewhere; Carter &amp; McCullough 2013) might be
that the depletion effect is moderated by the type of ex-
perimental task used in the s"&amp;"equential task paradigm—
that is, contrary to what was shown by Schmeichel
(2007) perhaps OSPAN performance does not decrease
when participants are depleted, but performance on
other outcome tasks, such as persistence at difficult
tasks, does (e.g., "&amp;"Baumeister, et al. 1998).")</f>
        <v>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v>
      </c>
      <c r="BA1307" s="61" t="str">
        <f>IFERROR(__xludf.DUMMYFUNCTION("vlookup(BB1307,importrange(""https://docs.google.com/spreadsheets/d/1d2vevQ_7D_v35q4wCQ4RpQ_IPoTwEMB9Yp6ymwlPqew/edit?gid=984458430#gid=984458430"", ""'replication success'!A:M""), 13, FAlSE)"),"abstract")</f>
        <v>abstract</v>
      </c>
      <c r="BB1307" s="61" t="str">
        <f>IFERROR(__xludf.DUMMYFUNCTION("REGEXREPLACE(G1307, ""_[a-z]{1,2}$"", """")"),"curatescience18")</f>
        <v>curatescience18</v>
      </c>
      <c r="BC1307" s="407"/>
      <c r="BD1307" s="149" t="s">
        <v>144</v>
      </c>
    </row>
    <row r="1308">
      <c r="A1308" s="44">
        <v>1308.0</v>
      </c>
      <c r="B1308" s="397" t="s">
        <v>114</v>
      </c>
      <c r="C1308" s="397" t="s">
        <v>115</v>
      </c>
      <c r="D1308" s="397" t="s">
        <v>1270</v>
      </c>
      <c r="E1308" s="220"/>
      <c r="F1308" s="398" t="s">
        <v>7440</v>
      </c>
      <c r="G1308" s="399" t="s">
        <v>7441</v>
      </c>
      <c r="H1308" s="407" t="s">
        <v>5024</v>
      </c>
      <c r="I1308" s="727">
        <v>45646.0</v>
      </c>
      <c r="J1308" s="1435">
        <v>45673.0</v>
      </c>
      <c r="K1308" s="407" t="s">
        <v>7448</v>
      </c>
      <c r="L1308" s="407"/>
      <c r="M1308" s="116" t="s">
        <v>7419</v>
      </c>
      <c r="N1308" s="407" t="s">
        <v>7420</v>
      </c>
      <c r="O1308" s="728">
        <v>1.0</v>
      </c>
      <c r="P1308" s="407" t="s">
        <v>7421</v>
      </c>
      <c r="Q1308" s="52" t="str">
        <f t="array" ref="Q1308"> if(iserror(MATCH(V1308, 'File Links'!C:C, 0)), "N/A", HYPERLINK(INDEX('File Links'!B:B, MATCH(P1308, 'File Links'!C:C, 0))))</f>
        <v>https://drive.google.com/file/d/1D8E42YuXrxlGwF61UWB4V8lYywAWr8dY/view?usp=drivesdk</v>
      </c>
      <c r="R1308" s="407" t="s">
        <v>7443</v>
      </c>
      <c r="S1308" s="407" t="s">
        <v>7444</v>
      </c>
      <c r="T1308" s="398"/>
      <c r="U1308" s="398"/>
      <c r="V1308" s="198" t="str">
        <f t="shared" si="79"/>
        <v>10.1186--2050-7283-1-22.pdf</v>
      </c>
      <c r="W1308" s="407" t="s">
        <v>7447</v>
      </c>
      <c r="X1308" s="54" t="str">
        <f t="array" ref="X1308"> if(iserror(MATCH(V1308, 'File Links'!C:C, 0)), "N/A", HYPERLINK(INDEX('File Links'!B:B, MATCH(V1308, 'File Links'!C:C, 0))))</f>
        <v>https://drive.google.com/file/d/177P2xO1D22ODvu0Zcz9Ls-wtsZM0ck_y/view?usp=drivesdk</v>
      </c>
      <c r="Y1308" s="398"/>
      <c r="Z1308" s="407" t="s">
        <v>148</v>
      </c>
      <c r="AA1308" s="407" t="s">
        <v>7432</v>
      </c>
      <c r="AB1308" s="407" t="s">
        <v>7433</v>
      </c>
      <c r="AC1308" s="407" t="s">
        <v>7434</v>
      </c>
      <c r="AD1308" s="407" t="s">
        <v>7435</v>
      </c>
      <c r="AE1308" s="1436">
        <v>45416.0</v>
      </c>
      <c r="AF1308" s="728">
        <v>141.0</v>
      </c>
      <c r="AG1308" s="728">
        <v>0.42</v>
      </c>
      <c r="AH1308" s="403" t="s">
        <v>173</v>
      </c>
      <c r="AI1308" s="399" t="s">
        <v>850</v>
      </c>
      <c r="AJ1308" s="406">
        <v>0.009</v>
      </c>
      <c r="AK1308" s="407" t="s">
        <v>172</v>
      </c>
      <c r="AL1308" s="399" t="s">
        <v>186</v>
      </c>
      <c r="AM1308" s="398" t="s">
        <v>137</v>
      </c>
      <c r="AN1308" s="330" t="s">
        <v>138</v>
      </c>
      <c r="AO1308" s="728">
        <v>235.0</v>
      </c>
      <c r="AP1308" s="407" t="s">
        <v>7449</v>
      </c>
      <c r="AQ1308" s="407" t="s">
        <v>134</v>
      </c>
      <c r="AR1308" s="398" t="s">
        <v>813</v>
      </c>
      <c r="AS1308" s="728">
        <v>0.05</v>
      </c>
      <c r="AT1308" s="407" t="s">
        <v>135</v>
      </c>
      <c r="AU1308" s="407" t="s">
        <v>186</v>
      </c>
      <c r="AV1308" s="398" t="s">
        <v>137</v>
      </c>
      <c r="AW1308" s="398"/>
      <c r="AX1308" s="398" t="s">
        <v>151</v>
      </c>
      <c r="AY1308" s="61" t="str">
        <f>IFERROR(__xludf.DUMMYFUNCTION("vlookup(BB1308,importrange(""https://docs.google.com/spreadsheets/d/1d2vevQ_7D_v35q4wCQ4RpQ_IPoTwEMB9Yp6ymwlPqew/edit?gid=984458430#gid=984458430"", ""'replication success'!A:K""), 11, FAlSE)"),"failed")</f>
        <v>failed</v>
      </c>
      <c r="AZ1308" s="61" t="str">
        <f>IFERROR(__xludf.DUMMYFUNCTION("vlookup(BB1308,importrange(""https://docs.google.com/spreadsheets/d/1d2vevQ_7D_v35q4wCQ4RpQ_IPoTwEMB9Yp6ymwlPqew/edit?gid=984458430#gid=984458430"", ""'replication success'!A:M""), 12, FAlSE)"),"An even more favorable interpretation (albeit, one that
ignores the meta-analytic conclusions that we have re-
ported elsewhere; Carter &amp; McCullough 2013) might be
that the depletion effect is moderated by the type of ex-
perimental task used in the s"&amp;"equential task paradigm—
that is, contrary to what was shown by Schmeichel
(2007) perhaps OSPAN performance does not decrease
when participants are depleted, but performance on
other outcome tasks, such as persistence at difficult
tasks, does (e.g., "&amp;"Baumeister, et al. 1998).")</f>
        <v>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v>
      </c>
      <c r="BA1308" s="61" t="str">
        <f>IFERROR(__xludf.DUMMYFUNCTION("vlookup(BB1308,importrange(""https://docs.google.com/spreadsheets/d/1d2vevQ_7D_v35q4wCQ4RpQ_IPoTwEMB9Yp6ymwlPqew/edit?gid=984458430#gid=984458430"", ""'replication success'!A:M""), 13, FAlSE)"),"abstract")</f>
        <v>abstract</v>
      </c>
      <c r="BB1308" s="61" t="str">
        <f>IFERROR(__xludf.DUMMYFUNCTION("REGEXREPLACE(G1308, ""_[a-z]{1,2}$"", """")"),"curatescience18")</f>
        <v>curatescience18</v>
      </c>
      <c r="BC1308" s="407"/>
      <c r="BD1308" s="149" t="s">
        <v>144</v>
      </c>
    </row>
    <row r="1309">
      <c r="A1309" s="44">
        <v>1309.0</v>
      </c>
      <c r="B1309" s="124" t="s">
        <v>114</v>
      </c>
      <c r="C1309" s="124" t="s">
        <v>115</v>
      </c>
      <c r="D1309" s="124" t="s">
        <v>2630</v>
      </c>
      <c r="E1309" s="107"/>
      <c r="F1309" s="125" t="s">
        <v>7450</v>
      </c>
      <c r="G1309" s="126" t="s">
        <v>7451</v>
      </c>
      <c r="H1309" s="140" t="s">
        <v>7417</v>
      </c>
      <c r="I1309" s="127">
        <v>45654.0</v>
      </c>
      <c r="J1309" s="818">
        <v>45674.0</v>
      </c>
      <c r="K1309" s="125"/>
      <c r="L1309" s="119" t="s">
        <v>7452</v>
      </c>
      <c r="M1309" s="116" t="s">
        <v>7419</v>
      </c>
      <c r="N1309" s="819" t="s">
        <v>7420</v>
      </c>
      <c r="O1309" s="782">
        <v>1.0</v>
      </c>
      <c r="P1309" s="140" t="s">
        <v>7421</v>
      </c>
      <c r="Q1309" s="52" t="str">
        <f t="array" ref="Q1309"> if(iserror(MATCH(V1309, 'File Links'!C:C, 0)), "N/A", HYPERLINK(INDEX('File Links'!B:B, MATCH(P1309, 'File Links'!C:C, 0))))</f>
        <v>https://drive.google.com/file/d/1D8E42YuXrxlGwF61UWB4V8lYywAWr8dY/view?usp=drivesdk</v>
      </c>
      <c r="R1309" s="140" t="s">
        <v>7453</v>
      </c>
      <c r="S1309" s="819" t="s">
        <v>7454</v>
      </c>
      <c r="T1309" s="125"/>
      <c r="U1309" s="125"/>
      <c r="V1309" s="198" t="str">
        <f t="shared" si="79"/>
        <v>10.1371--journal.pone.0147770.pdf</v>
      </c>
      <c r="W1309" s="122" t="s">
        <v>7447</v>
      </c>
      <c r="X1309" s="54" t="str">
        <f t="array" ref="X1309"> if(iserror(MATCH(V1309, 'File Links'!C:C, 0)), "N/A", HYPERLINK(INDEX('File Links'!B:B, MATCH(V1309, 'File Links'!C:C, 0))))</f>
        <v>https://drive.google.com/file/d/1UXS2QTqJQUfE_Pyj2Qy0nOdEsfBcSrJD/view?usp=drivesdk</v>
      </c>
      <c r="Y1309" s="125"/>
      <c r="Z1309" s="819" t="s">
        <v>226</v>
      </c>
      <c r="AA1309" s="824" t="s">
        <v>7424</v>
      </c>
      <c r="AB1309" s="819" t="s">
        <v>7425</v>
      </c>
      <c r="AC1309" s="824" t="s">
        <v>7426</v>
      </c>
      <c r="AD1309" s="819" t="s">
        <v>7427</v>
      </c>
      <c r="AE1309" s="820">
        <v>245.0</v>
      </c>
      <c r="AF1309" s="820">
        <v>97.0</v>
      </c>
      <c r="AG1309" s="820">
        <v>0.55</v>
      </c>
      <c r="AH1309" s="1426" t="s">
        <v>139</v>
      </c>
      <c r="AI1309" s="222" t="s">
        <v>7429</v>
      </c>
      <c r="AJ1309" s="823">
        <v>0.023</v>
      </c>
      <c r="AK1309" s="819" t="s">
        <v>172</v>
      </c>
      <c r="AL1309" s="222" t="s">
        <v>136</v>
      </c>
      <c r="AM1309" s="824" t="s">
        <v>137</v>
      </c>
      <c r="AN1309" s="330" t="s">
        <v>138</v>
      </c>
      <c r="AO1309" s="820">
        <v>228.0</v>
      </c>
      <c r="AP1309" s="820">
        <v>0.02</v>
      </c>
      <c r="AQ1309" s="819" t="s">
        <v>173</v>
      </c>
      <c r="AR1309" s="819" t="s">
        <v>7455</v>
      </c>
      <c r="AS1309" s="820">
        <v>0.78</v>
      </c>
      <c r="AT1309" s="819" t="s">
        <v>172</v>
      </c>
      <c r="AU1309" s="819" t="s">
        <v>136</v>
      </c>
      <c r="AV1309" s="824" t="s">
        <v>137</v>
      </c>
      <c r="AW1309" s="125"/>
      <c r="AX1309" s="824" t="s">
        <v>143</v>
      </c>
      <c r="AY1309" s="61" t="str">
        <f>IFERROR(__xludf.DUMMYFUNCTION("vlookup(BB1309,importrange(""https://docs.google.com/spreadsheets/d/1d2vevQ_7D_v35q4wCQ4RpQ_IPoTwEMB9Yp6ymwlPqew/edit?gid=984458430#gid=984458430"", ""'replication success'!A:K""), 11, FAlSE)"),"failed")</f>
        <v>failed</v>
      </c>
      <c r="AZ1309" s="61" t="str">
        <f>IFERROR(__xludf.DUMMYFUNCTION("vlookup(BB1309,importrange(""https://docs.google.com/spreadsheets/d/1d2vevQ_7D_v35q4wCQ4RpQ_IPoTwEMB9Yp6ymwlPqew/edit?gid=984458430#gid=984458430"", ""'replication success'!A:M""), 12, FAlSE)"),"Contrary to the ego-
depletion hypothesis, participants in the depletion condition did not perform worse than con-
trol participants on the subsequent self-control task, even after considering moderator vari-
ables. These findings add to a growing body of"&amp;" evidence suggesting ego-depletion is not a
reliable phenomenon, though more research is needed that uses large sample sizes, con-
siders moderator variables, and pre-registers prior to data collection.")</f>
        <v>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v>
      </c>
      <c r="BA1309" s="61" t="str">
        <f>IFERROR(__xludf.DUMMYFUNCTION("vlookup(BB1309,importrange(""https://docs.google.com/spreadsheets/d/1d2vevQ_7D_v35q4wCQ4RpQ_IPoTwEMB9Yp6ymwlPqew/edit?gid=984458430#gid=984458430"", ""'replication success'!A:M""), 13, FAlSE)"),"abstract")</f>
        <v>abstract</v>
      </c>
      <c r="BB1309" s="61" t="str">
        <f>IFERROR(__xludf.DUMMYFUNCTION("REGEXREPLACE(G1309, ""_[a-z]{1,2}$"", """")"),"curatescience19")</f>
        <v>curatescience19</v>
      </c>
      <c r="BC1309" s="119" t="s">
        <v>7456</v>
      </c>
      <c r="BD1309" s="149" t="s">
        <v>144</v>
      </c>
    </row>
    <row r="1310">
      <c r="A1310" s="44">
        <v>1310.0</v>
      </c>
      <c r="B1310" s="149" t="s">
        <v>152</v>
      </c>
      <c r="C1310" s="149" t="s">
        <v>115</v>
      </c>
      <c r="D1310" s="149" t="s">
        <v>1270</v>
      </c>
      <c r="E1310" s="71"/>
      <c r="F1310" s="111" t="s">
        <v>7450</v>
      </c>
      <c r="G1310" s="112" t="s">
        <v>7451</v>
      </c>
      <c r="H1310" s="122" t="s">
        <v>5024</v>
      </c>
      <c r="I1310" s="113">
        <v>45646.0</v>
      </c>
      <c r="J1310" s="818">
        <v>45674.0</v>
      </c>
      <c r="K1310" s="122" t="s">
        <v>7457</v>
      </c>
      <c r="L1310" s="116" t="s">
        <v>7458</v>
      </c>
      <c r="M1310" s="116" t="s">
        <v>7419</v>
      </c>
      <c r="N1310" s="122" t="s">
        <v>7420</v>
      </c>
      <c r="O1310" s="537">
        <v>1.0</v>
      </c>
      <c r="P1310" s="122" t="s">
        <v>7421</v>
      </c>
      <c r="Q1310" s="52" t="str">
        <f t="array" ref="Q1310"> if(iserror(MATCH(V1310, 'File Links'!C:C, 0)), "N/A", HYPERLINK(INDEX('File Links'!B:B, MATCH(P1310, 'File Links'!C:C, 0))))</f>
        <v>https://drive.google.com/file/d/1D8E42YuXrxlGwF61UWB4V8lYywAWr8dY/view?usp=drivesdk</v>
      </c>
      <c r="R1310" s="122" t="s">
        <v>7453</v>
      </c>
      <c r="S1310" s="122" t="s">
        <v>7454</v>
      </c>
      <c r="T1310" s="111"/>
      <c r="U1310" s="147">
        <v>1.0</v>
      </c>
      <c r="V1310" s="198" t="str">
        <f t="shared" si="79"/>
        <v>10.1371--journal.pone.0147770.pdf</v>
      </c>
      <c r="W1310" s="122" t="s">
        <v>7447</v>
      </c>
      <c r="X1310" s="54" t="str">
        <f t="array" ref="X1310"> if(iserror(MATCH(V1310, 'File Links'!C:C, 0)), "N/A", HYPERLINK(INDEX('File Links'!B:B, MATCH(V1310, 'File Links'!C:C, 0))))</f>
        <v>https://drive.google.com/file/d/1UXS2QTqJQUfE_Pyj2Qy0nOdEsfBcSrJD/view?usp=drivesdk</v>
      </c>
      <c r="Y1310" s="111"/>
      <c r="Z1310" s="122" t="s">
        <v>148</v>
      </c>
      <c r="AA1310" s="122" t="s">
        <v>7432</v>
      </c>
      <c r="AB1310" s="122" t="s">
        <v>7433</v>
      </c>
      <c r="AC1310" s="122" t="s">
        <v>7434</v>
      </c>
      <c r="AD1310" s="122" t="s">
        <v>7435</v>
      </c>
      <c r="AE1310" s="1437">
        <v>45416.0</v>
      </c>
      <c r="AF1310" s="537">
        <v>141.0</v>
      </c>
      <c r="AG1310" s="537">
        <v>0.42</v>
      </c>
      <c r="AH1310" s="121" t="s">
        <v>173</v>
      </c>
      <c r="AI1310" s="112" t="s">
        <v>850</v>
      </c>
      <c r="AJ1310" s="117">
        <v>0.009</v>
      </c>
      <c r="AK1310" s="122" t="s">
        <v>172</v>
      </c>
      <c r="AL1310" s="112" t="s">
        <v>186</v>
      </c>
      <c r="AM1310" s="111" t="s">
        <v>137</v>
      </c>
      <c r="AN1310" s="330" t="s">
        <v>138</v>
      </c>
      <c r="AO1310" s="537">
        <v>200.0</v>
      </c>
      <c r="AP1310" s="537">
        <v>-0.22</v>
      </c>
      <c r="AQ1310" s="122" t="s">
        <v>173</v>
      </c>
      <c r="AR1310" s="122" t="s">
        <v>307</v>
      </c>
      <c r="AS1310" s="537">
        <v>0.146</v>
      </c>
      <c r="AT1310" s="122" t="s">
        <v>172</v>
      </c>
      <c r="AU1310" s="122" t="s">
        <v>186</v>
      </c>
      <c r="AV1310" s="111" t="s">
        <v>137</v>
      </c>
      <c r="AW1310" s="780" t="s">
        <v>7459</v>
      </c>
      <c r="AX1310" s="111" t="s">
        <v>143</v>
      </c>
      <c r="AY1310" s="61" t="str">
        <f>IFERROR(__xludf.DUMMYFUNCTION("vlookup(BB1310,importrange(""https://docs.google.com/spreadsheets/d/1d2vevQ_7D_v35q4wCQ4RpQ_IPoTwEMB9Yp6ymwlPqew/edit?gid=984458430#gid=984458430"", ""'replication success'!A:K""), 11, FAlSE)"),"failed")</f>
        <v>failed</v>
      </c>
      <c r="AZ1310" s="61" t="str">
        <f>IFERROR(__xludf.DUMMYFUNCTION("vlookup(BB1310,importrange(""https://docs.google.com/spreadsheets/d/1d2vevQ_7D_v35q4wCQ4RpQ_IPoTwEMB9Yp6ymwlPqew/edit?gid=984458430#gid=984458430"", ""'replication success'!A:M""), 12, FAlSE)"),"Contrary to the ego-
depletion hypothesis, participants in the depletion condition did not perform worse than con-
trol participants on the subsequent self-control task, even after considering moderator vari-
ables. These findings add to a growing body of"&amp;" evidence suggesting ego-depletion is not a
reliable phenomenon, though more research is needed that uses large sample sizes, con-
siders moderator variables, and pre-registers prior to data collection.")</f>
        <v>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v>
      </c>
      <c r="BA1310" s="61" t="str">
        <f>IFERROR(__xludf.DUMMYFUNCTION("vlookup(BB1310,importrange(""https://docs.google.com/spreadsheets/d/1d2vevQ_7D_v35q4wCQ4RpQ_IPoTwEMB9Yp6ymwlPqew/edit?gid=984458430#gid=984458430"", ""'replication success'!A:M""), 13, FAlSE)"),"abstract")</f>
        <v>abstract</v>
      </c>
      <c r="BB1310" s="61" t="str">
        <f>IFERROR(__xludf.DUMMYFUNCTION("REGEXREPLACE(G1310, ""_[a-z]{1,2}$"", """")"),"curatescience19")</f>
        <v>curatescience19</v>
      </c>
      <c r="BC1310" s="116" t="s">
        <v>7460</v>
      </c>
      <c r="BD1310" s="149" t="s">
        <v>144</v>
      </c>
    </row>
    <row r="1311">
      <c r="A1311" s="44">
        <v>1311.0</v>
      </c>
      <c r="B1311" s="149" t="s">
        <v>152</v>
      </c>
      <c r="C1311" s="149" t="s">
        <v>115</v>
      </c>
      <c r="D1311" s="149" t="s">
        <v>1270</v>
      </c>
      <c r="E1311" s="71"/>
      <c r="F1311" s="111" t="s">
        <v>7450</v>
      </c>
      <c r="G1311" s="112" t="s">
        <v>7451</v>
      </c>
      <c r="H1311" s="122" t="s">
        <v>5024</v>
      </c>
      <c r="I1311" s="113">
        <v>45646.0</v>
      </c>
      <c r="J1311" s="818">
        <v>45674.0</v>
      </c>
      <c r="K1311" s="122" t="s">
        <v>7461</v>
      </c>
      <c r="L1311" s="122"/>
      <c r="M1311" s="116" t="s">
        <v>7419</v>
      </c>
      <c r="N1311" s="122" t="s">
        <v>7420</v>
      </c>
      <c r="O1311" s="537">
        <v>1.0</v>
      </c>
      <c r="P1311" s="122" t="s">
        <v>7421</v>
      </c>
      <c r="Q1311" s="52" t="str">
        <f t="array" ref="Q1311"> if(iserror(MATCH(V1311, 'File Links'!C:C, 0)), "N/A", HYPERLINK(INDEX('File Links'!B:B, MATCH(P1311, 'File Links'!C:C, 0))))</f>
        <v>https://drive.google.com/file/d/1D8E42YuXrxlGwF61UWB4V8lYywAWr8dY/view?usp=drivesdk</v>
      </c>
      <c r="R1311" s="122" t="s">
        <v>7453</v>
      </c>
      <c r="S1311" s="122" t="s">
        <v>7454</v>
      </c>
      <c r="T1311" s="111"/>
      <c r="U1311" s="147">
        <v>1.0</v>
      </c>
      <c r="V1311" s="198" t="str">
        <f t="shared" si="79"/>
        <v>10.1371--journal.pone.0147770.pdf</v>
      </c>
      <c r="W1311" s="122" t="s">
        <v>7447</v>
      </c>
      <c r="X1311" s="54" t="str">
        <f t="array" ref="X1311"> if(iserror(MATCH(V1311, 'File Links'!C:C, 0)), "N/A", HYPERLINK(INDEX('File Links'!B:B, MATCH(V1311, 'File Links'!C:C, 0))))</f>
        <v>https://drive.google.com/file/d/1UXS2QTqJQUfE_Pyj2Qy0nOdEsfBcSrJD/view?usp=drivesdk</v>
      </c>
      <c r="Y1311" s="111"/>
      <c r="Z1311" s="122" t="s">
        <v>148</v>
      </c>
      <c r="AA1311" s="122" t="s">
        <v>7432</v>
      </c>
      <c r="AB1311" s="122" t="s">
        <v>7433</v>
      </c>
      <c r="AC1311" s="122" t="s">
        <v>7434</v>
      </c>
      <c r="AD1311" s="122" t="s">
        <v>7462</v>
      </c>
      <c r="AE1311" s="537">
        <v>4.0</v>
      </c>
      <c r="AF1311" s="537">
        <v>141.0</v>
      </c>
      <c r="AG1311" s="122" t="s">
        <v>7463</v>
      </c>
      <c r="AH1311" s="121" t="s">
        <v>134</v>
      </c>
      <c r="AI1311" s="112" t="s">
        <v>850</v>
      </c>
      <c r="AJ1311" s="117">
        <v>0.001</v>
      </c>
      <c r="AK1311" s="122" t="s">
        <v>135</v>
      </c>
      <c r="AL1311" s="112" t="s">
        <v>186</v>
      </c>
      <c r="AM1311" s="111" t="s">
        <v>137</v>
      </c>
      <c r="AN1311" s="330" t="s">
        <v>138</v>
      </c>
      <c r="AO1311" s="537">
        <v>200.0</v>
      </c>
      <c r="AP1311" s="537">
        <v>0.28</v>
      </c>
      <c r="AQ1311" s="122" t="s">
        <v>173</v>
      </c>
      <c r="AR1311" s="122" t="s">
        <v>612</v>
      </c>
      <c r="AS1311" s="683">
        <v>0.05</v>
      </c>
      <c r="AT1311" s="122" t="s">
        <v>172</v>
      </c>
      <c r="AU1311" s="122" t="s">
        <v>186</v>
      </c>
      <c r="AV1311" s="111" t="s">
        <v>137</v>
      </c>
      <c r="AW1311" s="780" t="s">
        <v>7459</v>
      </c>
      <c r="AX1311" s="111" t="s">
        <v>143</v>
      </c>
      <c r="AY1311" s="61" t="str">
        <f>IFERROR(__xludf.DUMMYFUNCTION("vlookup(BB1311,importrange(""https://docs.google.com/spreadsheets/d/1d2vevQ_7D_v35q4wCQ4RpQ_IPoTwEMB9Yp6ymwlPqew/edit?gid=984458430#gid=984458430"", ""'replication success'!A:K""), 11, FAlSE)"),"failed")</f>
        <v>failed</v>
      </c>
      <c r="AZ1311" s="61" t="str">
        <f>IFERROR(__xludf.DUMMYFUNCTION("vlookup(BB1311,importrange(""https://docs.google.com/spreadsheets/d/1d2vevQ_7D_v35q4wCQ4RpQ_IPoTwEMB9Yp6ymwlPqew/edit?gid=984458430#gid=984458430"", ""'replication success'!A:M""), 12, FAlSE)"),"Contrary to the ego-
depletion hypothesis, participants in the depletion condition did not perform worse than con-
trol participants on the subsequent self-control task, even after considering moderator vari-
ables. These findings add to a growing body of"&amp;" evidence suggesting ego-depletion is not a
reliable phenomenon, though more research is needed that uses large sample sizes, con-
siders moderator variables, and pre-registers prior to data collection.")</f>
        <v>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v>
      </c>
      <c r="BA1311" s="61" t="str">
        <f>IFERROR(__xludf.DUMMYFUNCTION("vlookup(BB1311,importrange(""https://docs.google.com/spreadsheets/d/1d2vevQ_7D_v35q4wCQ4RpQ_IPoTwEMB9Yp6ymwlPqew/edit?gid=984458430#gid=984458430"", ""'replication success'!A:M""), 13, FAlSE)"),"abstract")</f>
        <v>abstract</v>
      </c>
      <c r="BB1311" s="61" t="str">
        <f>IFERROR(__xludf.DUMMYFUNCTION("REGEXREPLACE(G1311, ""_[a-z]{1,2}$"", """")"),"curatescience19")</f>
        <v>curatescience19</v>
      </c>
      <c r="BC1311" s="122"/>
      <c r="BD1311" s="149" t="s">
        <v>144</v>
      </c>
    </row>
    <row r="1312">
      <c r="A1312" s="44">
        <v>1312.0</v>
      </c>
      <c r="B1312" s="322" t="s">
        <v>152</v>
      </c>
      <c r="C1312" s="322" t="s">
        <v>115</v>
      </c>
      <c r="D1312" s="325" t="s">
        <v>145</v>
      </c>
      <c r="E1312" s="226"/>
      <c r="F1312" s="331" t="s">
        <v>7464</v>
      </c>
      <c r="G1312" s="412" t="s">
        <v>7465</v>
      </c>
      <c r="H1312" s="330" t="s">
        <v>145</v>
      </c>
      <c r="I1312" s="1438">
        <v>45641.0</v>
      </c>
      <c r="J1312" s="170">
        <v>45674.0</v>
      </c>
      <c r="K1312" s="390"/>
      <c r="L1312" s="324" t="s">
        <v>7466</v>
      </c>
      <c r="M1312" s="412" t="s">
        <v>7467</v>
      </c>
      <c r="N1312" s="412" t="s">
        <v>7468</v>
      </c>
      <c r="O1312" s="1422">
        <v>2.0</v>
      </c>
      <c r="P1312" s="660" t="s">
        <v>7469</v>
      </c>
      <c r="Q1312" s="52" t="str">
        <f t="array" ref="Q1312"> if(iserror(MATCH(V1312, 'File Links'!C:C, 0)), "N/A", HYPERLINK(INDEX('File Links'!B:B, MATCH(P1312, 'File Links'!C:C, 0))))</f>
        <v>https://drive.google.com/file/d/15Wsn7yRLOjnPIu3oOYbA1lhbZIRp1-8K/view?usp=drivesdk</v>
      </c>
      <c r="R1312" s="1038" t="s">
        <v>7470</v>
      </c>
      <c r="S1312" s="1038" t="s">
        <v>7471</v>
      </c>
      <c r="T1312" s="390"/>
      <c r="U1312" s="1182">
        <v>2.0</v>
      </c>
      <c r="V1312" s="198" t="str">
        <f t="shared" si="79"/>
        <v>10.1371--journal.pone.0096339.pdf</v>
      </c>
      <c r="W1312" s="122" t="s">
        <v>7447</v>
      </c>
      <c r="X1312" s="54" t="str">
        <f t="array" ref="X1312"> if(iserror(MATCH(V1312, 'File Links'!C:C, 0)), "N/A", HYPERLINK(INDEX('File Links'!B:B, MATCH(V1312, 'File Links'!C:C, 0))))</f>
        <v>https://drive.google.com/file/d/1gBBT6EBomzmICcRfzrG_6jxfvMnRuQIj/view?usp=drivesdk</v>
      </c>
      <c r="Y1312" s="390"/>
      <c r="Z1312" s="1439" t="s">
        <v>226</v>
      </c>
      <c r="AA1312" s="335" t="s">
        <v>7365</v>
      </c>
      <c r="AB1312" s="390" t="s">
        <v>7472</v>
      </c>
      <c r="AC1312" s="390" t="s">
        <v>7473</v>
      </c>
      <c r="AD1312" s="330" t="s">
        <v>7474</v>
      </c>
      <c r="AE1312" s="390" t="s">
        <v>217</v>
      </c>
      <c r="AF1312" s="1184">
        <v>33.0</v>
      </c>
      <c r="AG1312" s="1422">
        <v>1.1</v>
      </c>
      <c r="AH1312" s="662" t="s">
        <v>173</v>
      </c>
      <c r="AI1312" s="390" t="s">
        <v>217</v>
      </c>
      <c r="AJ1312" s="1422">
        <v>0.97</v>
      </c>
      <c r="AK1312" s="331" t="s">
        <v>172</v>
      </c>
      <c r="AL1312" s="112" t="s">
        <v>186</v>
      </c>
      <c r="AM1312" s="390" t="s">
        <v>137</v>
      </c>
      <c r="AN1312" s="330" t="s">
        <v>138</v>
      </c>
      <c r="AO1312" s="1422">
        <v>58.0</v>
      </c>
      <c r="AP1312" s="1422">
        <v>0.007</v>
      </c>
      <c r="AQ1312" s="390" t="s">
        <v>139</v>
      </c>
      <c r="AR1312" s="390" t="s">
        <v>140</v>
      </c>
      <c r="AS1312" s="1422">
        <v>0.851</v>
      </c>
      <c r="AT1312" s="331" t="s">
        <v>172</v>
      </c>
      <c r="AU1312" s="122" t="s">
        <v>186</v>
      </c>
      <c r="AV1312" s="331" t="s">
        <v>137</v>
      </c>
      <c r="AW1312" s="330" t="s">
        <v>138</v>
      </c>
      <c r="AX1312" s="331" t="s">
        <v>143</v>
      </c>
      <c r="AY1312" s="61" t="str">
        <f>IFERROR(__xludf.DUMMYFUNCTION("vlookup(BB1312,importrange(""https://docs.google.com/spreadsheets/d/1d2vevQ_7D_v35q4wCQ4RpQ_IPoTwEMB9Yp6ymwlPqew/edit?gid=984458430#gid=984458430"", ""'replication success'!A:K""), 11, FAlSE)"),"mixed")</f>
        <v>mixed</v>
      </c>
      <c r="AZ1312" s="61" t="str">
        <f>IFERROR(__xludf.DUMMYFUNCTION("vlookup(BB1312,importrange(""https://docs.google.com/spreadsheets/d/1d2vevQ_7D_v35q4wCQ4RpQ_IPoTwEMB9Yp6ymwlPqew/edit?gid=984458430#gid=984458430"", ""'replication success'!A:M""), 12, FAlSE)"),"The results showed that emotion
suppression during a sad movie clip led to attenuated error
detection during a subsequent Stroop task, as indexed by ERNs.
However, reappraisal didn’t weaken subsequent error detection,
with ERN amplitude corresponding "&amp;"to a solely watching control
group.")</f>
        <v>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v>
      </c>
      <c r="BA1312" s="61" t="str">
        <f>IFERROR(__xludf.DUMMYFUNCTION("vlookup(BB1312,importrange(""https://docs.google.com/spreadsheets/d/1d2vevQ_7D_v35q4wCQ4RpQ_IPoTwEMB9Yp6ymwlPqew/edit?gid=984458430#gid=984458430"", ""'replication success'!A:M""), 13, FAlSE)"),"abstract")</f>
        <v>abstract</v>
      </c>
      <c r="BB1312" s="61" t="str">
        <f>IFERROR(__xludf.DUMMYFUNCTION("REGEXREPLACE(G1312, ""_[a-z]{1,2}$"", """")"),"curatescience20")</f>
        <v>curatescience20</v>
      </c>
      <c r="BC1312" s="324" t="s">
        <v>7475</v>
      </c>
      <c r="BD1312" s="149" t="s">
        <v>144</v>
      </c>
    </row>
    <row r="1313" ht="47.25" customHeight="1">
      <c r="A1313" s="44">
        <v>1313.0</v>
      </c>
      <c r="B1313" s="1440" t="s">
        <v>114</v>
      </c>
      <c r="C1313" s="1440" t="s">
        <v>115</v>
      </c>
      <c r="D1313" s="1440" t="s">
        <v>195</v>
      </c>
      <c r="E1313" s="812"/>
      <c r="F1313" s="1440" t="s">
        <v>7464</v>
      </c>
      <c r="G1313" s="1441" t="s">
        <v>7465</v>
      </c>
      <c r="H1313" s="1441" t="s">
        <v>7391</v>
      </c>
      <c r="I1313" s="1442">
        <v>45638.0</v>
      </c>
      <c r="J1313" s="170">
        <v>45674.0</v>
      </c>
      <c r="K1313" s="1441" t="s">
        <v>7476</v>
      </c>
      <c r="L1313" s="1441"/>
      <c r="M1313" s="1441" t="s">
        <v>7467</v>
      </c>
      <c r="N1313" s="1441" t="s">
        <v>7468</v>
      </c>
      <c r="O1313" s="1441">
        <v>1.0</v>
      </c>
      <c r="P1313" s="1441" t="s">
        <v>7469</v>
      </c>
      <c r="Q1313" s="52" t="str">
        <f t="array" ref="Q1313"> if(iserror(MATCH(V1313, 'File Links'!C:C, 0)), "N/A", HYPERLINK(INDEX('File Links'!B:B, MATCH(P1313, 'File Links'!C:C, 0))))</f>
        <v>https://drive.google.com/file/d/15Wsn7yRLOjnPIu3oOYbA1lhbZIRp1-8K/view?usp=drivesdk</v>
      </c>
      <c r="R1313" s="1441" t="s">
        <v>7477</v>
      </c>
      <c r="S1313" s="1441" t="s">
        <v>7471</v>
      </c>
      <c r="T1313" s="1443"/>
      <c r="U1313" s="1441"/>
      <c r="V1313" s="198" t="str">
        <f t="shared" si="79"/>
        <v>10.1371--journal.pone.0096339.pdf</v>
      </c>
      <c r="W1313" s="122" t="s">
        <v>7447</v>
      </c>
      <c r="X1313" s="54" t="str">
        <f t="array" ref="X1313"> if(iserror(MATCH(V1313, 'File Links'!C:C, 0)), "N/A", HYPERLINK(INDEX('File Links'!B:B, MATCH(V1313, 'File Links'!C:C, 0))))</f>
        <v>https://drive.google.com/file/d/1gBBT6EBomzmICcRfzrG_6jxfvMnRuQIj/view?usp=drivesdk</v>
      </c>
      <c r="Y1313" s="1443"/>
      <c r="Z1313" s="1439" t="s">
        <v>226</v>
      </c>
      <c r="AA1313" s="335" t="s">
        <v>7365</v>
      </c>
      <c r="AB1313" s="1441" t="s">
        <v>7478</v>
      </c>
      <c r="AC1313" s="1441" t="s">
        <v>7479</v>
      </c>
      <c r="AD1313" s="1441" t="s">
        <v>7480</v>
      </c>
      <c r="AE1313" s="1441" t="s">
        <v>7481</v>
      </c>
      <c r="AF1313" s="1441">
        <v>33.0</v>
      </c>
      <c r="AG1313" s="1441">
        <v>1.1</v>
      </c>
      <c r="AH1313" s="1441" t="s">
        <v>173</v>
      </c>
      <c r="AI1313" s="1441" t="s">
        <v>7481</v>
      </c>
      <c r="AJ1313" s="1441">
        <v>0.97</v>
      </c>
      <c r="AK1313" s="1440" t="s">
        <v>172</v>
      </c>
      <c r="AL1313" s="112" t="s">
        <v>186</v>
      </c>
      <c r="AM1313" s="1443"/>
      <c r="AN1313" s="330" t="s">
        <v>138</v>
      </c>
      <c r="AO1313" s="1443"/>
      <c r="AP1313" s="1443"/>
      <c r="AQ1313" s="1443"/>
      <c r="AR1313" s="1443"/>
      <c r="AS1313" s="1443"/>
      <c r="AT1313" s="812"/>
      <c r="AU1313" s="122" t="s">
        <v>186</v>
      </c>
      <c r="AV1313" s="1444"/>
      <c r="AW1313" s="812"/>
      <c r="AX1313" s="812"/>
      <c r="AY1313" s="61" t="str">
        <f>IFERROR(__xludf.DUMMYFUNCTION("vlookup(BB1313,importrange(""https://docs.google.com/spreadsheets/d/1d2vevQ_7D_v35q4wCQ4RpQ_IPoTwEMB9Yp6ymwlPqew/edit?gid=984458430#gid=984458430"", ""'replication success'!A:K""), 11, FAlSE)"),"mixed")</f>
        <v>mixed</v>
      </c>
      <c r="AZ1313" s="61" t="str">
        <f>IFERROR(__xludf.DUMMYFUNCTION("vlookup(BB1313,importrange(""https://docs.google.com/spreadsheets/d/1d2vevQ_7D_v35q4wCQ4RpQ_IPoTwEMB9Yp6ymwlPqew/edit?gid=984458430#gid=984458430"", ""'replication success'!A:M""), 12, FAlSE)"),"The results showed that emotion
suppression during a sad movie clip led to attenuated error
detection during a subsequent Stroop task, as indexed by ERNs.
However, reappraisal didn’t weaken subsequent error detection,
with ERN amplitude corresponding "&amp;"to a solely watching control
group.")</f>
        <v>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v>
      </c>
      <c r="BA1313" s="61" t="str">
        <f>IFERROR(__xludf.DUMMYFUNCTION("vlookup(BB1313,importrange(""https://docs.google.com/spreadsheets/d/1d2vevQ_7D_v35q4wCQ4RpQ_IPoTwEMB9Yp6ymwlPqew/edit?gid=984458430#gid=984458430"", ""'replication success'!A:M""), 13, FAlSE)"),"abstract")</f>
        <v>abstract</v>
      </c>
      <c r="BB1313" s="61" t="str">
        <f>IFERROR(__xludf.DUMMYFUNCTION("REGEXREPLACE(G1313, ""_[a-z]{1,2}$"", """")"),"curatescience20")</f>
        <v>curatescience20</v>
      </c>
      <c r="BC1313" s="1441"/>
      <c r="BD1313" s="149" t="s">
        <v>144</v>
      </c>
    </row>
    <row r="1314">
      <c r="A1314" s="44">
        <v>1314.0</v>
      </c>
      <c r="B1314" s="322" t="s">
        <v>152</v>
      </c>
      <c r="C1314" s="322" t="s">
        <v>115</v>
      </c>
      <c r="D1314" s="325" t="s">
        <v>145</v>
      </c>
      <c r="E1314" s="226"/>
      <c r="F1314" s="1440" t="s">
        <v>7464</v>
      </c>
      <c r="G1314" s="412" t="s">
        <v>7482</v>
      </c>
      <c r="H1314" s="330" t="s">
        <v>145</v>
      </c>
      <c r="I1314" s="1438">
        <v>45641.0</v>
      </c>
      <c r="J1314" s="170">
        <v>45674.0</v>
      </c>
      <c r="K1314" s="330" t="s">
        <v>7483</v>
      </c>
      <c r="L1314" s="324" t="s">
        <v>7466</v>
      </c>
      <c r="M1314" s="412" t="s">
        <v>7467</v>
      </c>
      <c r="N1314" s="412" t="s">
        <v>7468</v>
      </c>
      <c r="O1314" s="1422">
        <v>2.0</v>
      </c>
      <c r="P1314" s="660" t="s">
        <v>7469</v>
      </c>
      <c r="Q1314" s="52" t="str">
        <f t="array" ref="Q1314"> if(iserror(MATCH(V1314, 'File Links'!C:C, 0)), "N/A", HYPERLINK(INDEX('File Links'!B:B, MATCH(P1314, 'File Links'!C:C, 0))))</f>
        <v>https://drive.google.com/file/d/15Wsn7yRLOjnPIu3oOYbA1lhbZIRp1-8K/view?usp=drivesdk</v>
      </c>
      <c r="R1314" s="1038" t="s">
        <v>7484</v>
      </c>
      <c r="S1314" s="1038" t="s">
        <v>7471</v>
      </c>
      <c r="T1314" s="390"/>
      <c r="U1314" s="1182">
        <v>2.0</v>
      </c>
      <c r="V1314" s="198" t="str">
        <f t="shared" si="79"/>
        <v>10.1371--journal.pone.0096339.pdf</v>
      </c>
      <c r="W1314" s="122" t="s">
        <v>7447</v>
      </c>
      <c r="X1314" s="54" t="str">
        <f t="array" ref="X1314"> if(iserror(MATCH(V1314, 'File Links'!C:C, 0)), "N/A", HYPERLINK(INDEX('File Links'!B:B, MATCH(V1314, 'File Links'!C:C, 0))))</f>
        <v>https://drive.google.com/file/d/1gBBT6EBomzmICcRfzrG_6jxfvMnRuQIj/view?usp=drivesdk</v>
      </c>
      <c r="Y1314" s="390"/>
      <c r="Z1314" s="1439" t="s">
        <v>226</v>
      </c>
      <c r="AA1314" s="335" t="s">
        <v>7365</v>
      </c>
      <c r="AB1314" s="390" t="s">
        <v>7472</v>
      </c>
      <c r="AC1314" s="390" t="s">
        <v>7485</v>
      </c>
      <c r="AD1314" s="330" t="s">
        <v>7486</v>
      </c>
      <c r="AE1314" s="390" t="s">
        <v>217</v>
      </c>
      <c r="AF1314" s="1184">
        <v>33.0</v>
      </c>
      <c r="AG1314" s="1422">
        <v>1.071</v>
      </c>
      <c r="AH1314" s="662" t="s">
        <v>173</v>
      </c>
      <c r="AI1314" s="390" t="s">
        <v>217</v>
      </c>
      <c r="AJ1314" s="1422">
        <v>0.97</v>
      </c>
      <c r="AK1314" s="331" t="s">
        <v>172</v>
      </c>
      <c r="AL1314" s="112" t="s">
        <v>186</v>
      </c>
      <c r="AM1314" s="390" t="s">
        <v>137</v>
      </c>
      <c r="AN1314" s="330" t="s">
        <v>138</v>
      </c>
      <c r="AO1314" s="1422">
        <v>58.0</v>
      </c>
      <c r="AP1314" s="1422">
        <v>0.454</v>
      </c>
      <c r="AQ1314" s="390" t="s">
        <v>139</v>
      </c>
      <c r="AR1314" s="390" t="s">
        <v>140</v>
      </c>
      <c r="AS1314" s="1422">
        <v>0.001</v>
      </c>
      <c r="AT1314" s="331" t="s">
        <v>135</v>
      </c>
      <c r="AU1314" s="122" t="s">
        <v>186</v>
      </c>
      <c r="AV1314" s="331" t="s">
        <v>137</v>
      </c>
      <c r="AW1314" s="330" t="s">
        <v>138</v>
      </c>
      <c r="AX1314" s="331" t="s">
        <v>143</v>
      </c>
      <c r="AY1314" s="61" t="str">
        <f>IFERROR(__xludf.DUMMYFUNCTION("vlookup(BB1314,importrange(""https://docs.google.com/spreadsheets/d/1d2vevQ_7D_v35q4wCQ4RpQ_IPoTwEMB9Yp6ymwlPqew/edit?gid=984458430#gid=984458430"", ""'replication success'!A:K""), 11, FAlSE)"),"mixed")</f>
        <v>mixed</v>
      </c>
      <c r="AZ1314" s="61" t="str">
        <f>IFERROR(__xludf.DUMMYFUNCTION("vlookup(BB1314,importrange(""https://docs.google.com/spreadsheets/d/1d2vevQ_7D_v35q4wCQ4RpQ_IPoTwEMB9Yp6ymwlPqew/edit?gid=984458430#gid=984458430"", ""'replication success'!A:M""), 12, FAlSE)"),"The results showed that emotion
suppression during a sad movie clip led to attenuated error
detection during a subsequent Stroop task, as indexed by ERNs.
However, reappraisal didn’t weaken subsequent error detection,
with ERN amplitude corresponding "&amp;"to a solely watching control
group.")</f>
        <v>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v>
      </c>
      <c r="BA1314" s="61" t="str">
        <f>IFERROR(__xludf.DUMMYFUNCTION("vlookup(BB1314,importrange(""https://docs.google.com/spreadsheets/d/1d2vevQ_7D_v35q4wCQ4RpQ_IPoTwEMB9Yp6ymwlPqew/edit?gid=984458430#gid=984458430"", ""'replication success'!A:M""), 13, FAlSE)"),"abstract")</f>
        <v>abstract</v>
      </c>
      <c r="BB1314" s="61" t="str">
        <f>IFERROR(__xludf.DUMMYFUNCTION("REGEXREPLACE(G1314, ""_[a-z]{1,2}$"", """")"),"curatescience20")</f>
        <v>curatescience20</v>
      </c>
      <c r="BC1314" s="412"/>
      <c r="BD1314" s="149" t="s">
        <v>144</v>
      </c>
    </row>
    <row r="1315">
      <c r="A1315" s="44">
        <v>1315.0</v>
      </c>
      <c r="B1315" s="1440" t="s">
        <v>114</v>
      </c>
      <c r="C1315" s="1440" t="s">
        <v>115</v>
      </c>
      <c r="D1315" s="1440" t="s">
        <v>195</v>
      </c>
      <c r="E1315" s="812"/>
      <c r="F1315" s="1440" t="s">
        <v>7464</v>
      </c>
      <c r="G1315" s="1441" t="s">
        <v>7482</v>
      </c>
      <c r="H1315" s="1441" t="s">
        <v>7391</v>
      </c>
      <c r="I1315" s="1442">
        <v>45638.0</v>
      </c>
      <c r="J1315" s="170">
        <v>45674.0</v>
      </c>
      <c r="K1315" s="1443"/>
      <c r="L1315" s="1441"/>
      <c r="M1315" s="1441" t="s">
        <v>7467</v>
      </c>
      <c r="N1315" s="1441" t="s">
        <v>7468</v>
      </c>
      <c r="O1315" s="1441">
        <v>1.0</v>
      </c>
      <c r="P1315" s="1441" t="s">
        <v>7469</v>
      </c>
      <c r="Q1315" s="52" t="str">
        <f t="array" ref="Q1315"> if(iserror(MATCH(V1315, 'File Links'!C:C, 0)), "N/A", HYPERLINK(INDEX('File Links'!B:B, MATCH(P1315, 'File Links'!C:C, 0))))</f>
        <v>https://drive.google.com/file/d/15Wsn7yRLOjnPIu3oOYbA1lhbZIRp1-8K/view?usp=drivesdk</v>
      </c>
      <c r="R1315" s="1441" t="s">
        <v>7477</v>
      </c>
      <c r="S1315" s="1441" t="s">
        <v>7471</v>
      </c>
      <c r="T1315" s="1443"/>
      <c r="U1315" s="1441"/>
      <c r="V1315" s="198" t="str">
        <f t="shared" si="79"/>
        <v>10.1371--journal.pone.0096339.pdf</v>
      </c>
      <c r="W1315" s="122" t="s">
        <v>7447</v>
      </c>
      <c r="X1315" s="54" t="str">
        <f t="array" ref="X1315"> if(iserror(MATCH(V1315, 'File Links'!C:C, 0)), "N/A", HYPERLINK(INDEX('File Links'!B:B, MATCH(V1315, 'File Links'!C:C, 0))))</f>
        <v>https://drive.google.com/file/d/1gBBT6EBomzmICcRfzrG_6jxfvMnRuQIj/view?usp=drivesdk</v>
      </c>
      <c r="Y1315" s="1443"/>
      <c r="Z1315" s="1439" t="s">
        <v>226</v>
      </c>
      <c r="AA1315" s="335" t="s">
        <v>7365</v>
      </c>
      <c r="AB1315" s="1441" t="s">
        <v>7478</v>
      </c>
      <c r="AC1315" s="1441" t="s">
        <v>7487</v>
      </c>
      <c r="AD1315" s="1443"/>
      <c r="AE1315" s="1443"/>
      <c r="AF1315" s="1441">
        <v>33.0</v>
      </c>
      <c r="AG1315" s="1441">
        <v>1.1</v>
      </c>
      <c r="AH1315" s="1441" t="s">
        <v>173</v>
      </c>
      <c r="AI1315" s="1441" t="s">
        <v>7481</v>
      </c>
      <c r="AJ1315" s="1441">
        <v>0.97</v>
      </c>
      <c r="AK1315" s="1440" t="s">
        <v>172</v>
      </c>
      <c r="AL1315" s="112" t="s">
        <v>186</v>
      </c>
      <c r="AM1315" s="1443"/>
      <c r="AN1315" s="330" t="s">
        <v>138</v>
      </c>
      <c r="AO1315" s="1443"/>
      <c r="AP1315" s="1443"/>
      <c r="AQ1315" s="1443"/>
      <c r="AR1315" s="1443"/>
      <c r="AS1315" s="1443"/>
      <c r="AT1315" s="812"/>
      <c r="AU1315" s="812"/>
      <c r="AV1315" s="1444"/>
      <c r="AW1315" s="812"/>
      <c r="AX1315" s="812"/>
      <c r="AY1315" s="61" t="str">
        <f>IFERROR(__xludf.DUMMYFUNCTION("vlookup(BB1315,importrange(""https://docs.google.com/spreadsheets/d/1d2vevQ_7D_v35q4wCQ4RpQ_IPoTwEMB9Yp6ymwlPqew/edit?gid=984458430#gid=984458430"", ""'replication success'!A:K""), 11, FAlSE)"),"mixed")</f>
        <v>mixed</v>
      </c>
      <c r="AZ1315" s="61" t="str">
        <f>IFERROR(__xludf.DUMMYFUNCTION("vlookup(BB1315,importrange(""https://docs.google.com/spreadsheets/d/1d2vevQ_7D_v35q4wCQ4RpQ_IPoTwEMB9Yp6ymwlPqew/edit?gid=984458430#gid=984458430"", ""'replication success'!A:M""), 12, FAlSE)"),"The results showed that emotion
suppression during a sad movie clip led to attenuated error
detection during a subsequent Stroop task, as indexed by ERNs.
However, reappraisal didn’t weaken subsequent error detection,
with ERN amplitude corresponding "&amp;"to a solely watching control
group.")</f>
        <v>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v>
      </c>
      <c r="BA1315" s="61" t="str">
        <f>IFERROR(__xludf.DUMMYFUNCTION("vlookup(BB1315,importrange(""https://docs.google.com/spreadsheets/d/1d2vevQ_7D_v35q4wCQ4RpQ_IPoTwEMB9Yp6ymwlPqew/edit?gid=984458430#gid=984458430"", ""'replication success'!A:M""), 13, FAlSE)"),"abstract")</f>
        <v>abstract</v>
      </c>
      <c r="BB1315" s="61" t="str">
        <f>IFERROR(__xludf.DUMMYFUNCTION("REGEXREPLACE(G1315, ""_[a-z]{1,2}$"", """")"),"curatescience20")</f>
        <v>curatescience20</v>
      </c>
      <c r="BC1315" s="1440" t="s">
        <v>7488</v>
      </c>
      <c r="BD1315" s="149" t="s">
        <v>144</v>
      </c>
    </row>
    <row r="1316">
      <c r="A1316" s="44">
        <v>1316.0</v>
      </c>
      <c r="B1316" s="1440" t="s">
        <v>114</v>
      </c>
      <c r="C1316" s="1440" t="s">
        <v>115</v>
      </c>
      <c r="D1316" s="1440" t="s">
        <v>195</v>
      </c>
      <c r="E1316" s="812"/>
      <c r="F1316" s="1440" t="s">
        <v>7464</v>
      </c>
      <c r="G1316" s="1441" t="s">
        <v>7489</v>
      </c>
      <c r="H1316" s="1441" t="s">
        <v>7391</v>
      </c>
      <c r="I1316" s="1442">
        <v>45638.0</v>
      </c>
      <c r="J1316" s="170">
        <v>45674.0</v>
      </c>
      <c r="K1316" s="1443"/>
      <c r="L1316" s="1441"/>
      <c r="M1316" s="1441" t="s">
        <v>7467</v>
      </c>
      <c r="N1316" s="1441" t="s">
        <v>7468</v>
      </c>
      <c r="O1316" s="1441">
        <v>1.0</v>
      </c>
      <c r="P1316" s="1441" t="s">
        <v>7469</v>
      </c>
      <c r="Q1316" s="52" t="str">
        <f t="array" ref="Q1316"> if(iserror(MATCH(V1316, 'File Links'!C:C, 0)), "N/A", HYPERLINK(INDEX('File Links'!B:B, MATCH(P1316, 'File Links'!C:C, 0))))</f>
        <v>https://drive.google.com/file/d/15Wsn7yRLOjnPIu3oOYbA1lhbZIRp1-8K/view?usp=drivesdk</v>
      </c>
      <c r="R1316" s="1441" t="s">
        <v>7477</v>
      </c>
      <c r="S1316" s="1441" t="s">
        <v>7471</v>
      </c>
      <c r="T1316" s="1443"/>
      <c r="U1316" s="1441"/>
      <c r="V1316" s="198" t="str">
        <f t="shared" si="79"/>
        <v>10.1371--journal.pone.0096339.pdf</v>
      </c>
      <c r="W1316" s="122" t="s">
        <v>7447</v>
      </c>
      <c r="X1316" s="54" t="str">
        <f t="array" ref="X1316"> if(iserror(MATCH(V1316, 'File Links'!C:C, 0)), "N/A", HYPERLINK(INDEX('File Links'!B:B, MATCH(V1316, 'File Links'!C:C, 0))))</f>
        <v>https://drive.google.com/file/d/1gBBT6EBomzmICcRfzrG_6jxfvMnRuQIj/view?usp=drivesdk</v>
      </c>
      <c r="Y1316" s="1443"/>
      <c r="Z1316" s="1439" t="s">
        <v>226</v>
      </c>
      <c r="AA1316" s="335" t="s">
        <v>7365</v>
      </c>
      <c r="AB1316" s="1441" t="s">
        <v>7478</v>
      </c>
      <c r="AC1316" s="1441" t="s">
        <v>7490</v>
      </c>
      <c r="AD1316" s="1443"/>
      <c r="AE1316" s="1443"/>
      <c r="AF1316" s="1441">
        <v>33.0</v>
      </c>
      <c r="AG1316" s="1441">
        <v>1.1</v>
      </c>
      <c r="AH1316" s="1441" t="s">
        <v>173</v>
      </c>
      <c r="AI1316" s="1441" t="s">
        <v>7481</v>
      </c>
      <c r="AJ1316" s="1441">
        <v>0.97</v>
      </c>
      <c r="AK1316" s="1440" t="s">
        <v>172</v>
      </c>
      <c r="AL1316" s="112" t="s">
        <v>186</v>
      </c>
      <c r="AM1316" s="1443"/>
      <c r="AN1316" s="330" t="s">
        <v>138</v>
      </c>
      <c r="AO1316" s="1443"/>
      <c r="AP1316" s="1443"/>
      <c r="AQ1316" s="1443"/>
      <c r="AR1316" s="1443"/>
      <c r="AS1316" s="1443"/>
      <c r="AT1316" s="812"/>
      <c r="AU1316" s="812"/>
      <c r="AV1316" s="1444"/>
      <c r="AW1316" s="812"/>
      <c r="AX1316" s="812"/>
      <c r="AY1316" s="61" t="str">
        <f>IFERROR(__xludf.DUMMYFUNCTION("vlookup(BB1316,importrange(""https://docs.google.com/spreadsheets/d/1d2vevQ_7D_v35q4wCQ4RpQ_IPoTwEMB9Yp6ymwlPqew/edit?gid=984458430#gid=984458430"", ""'replication success'!A:K""), 11, FAlSE)"),"mixed")</f>
        <v>mixed</v>
      </c>
      <c r="AZ1316" s="61" t="str">
        <f>IFERROR(__xludf.DUMMYFUNCTION("vlookup(BB1316,importrange(""https://docs.google.com/spreadsheets/d/1d2vevQ_7D_v35q4wCQ4RpQ_IPoTwEMB9Yp6ymwlPqew/edit?gid=984458430#gid=984458430"", ""'replication success'!A:M""), 12, FAlSE)"),"The results showed that emotion
suppression during a sad movie clip led to attenuated error
detection during a subsequent Stroop task, as indexed by ERNs.
However, reappraisal didn’t weaken subsequent error detection,
with ERN amplitude corresponding "&amp;"to a solely watching control
group.")</f>
        <v>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v>
      </c>
      <c r="BA1316" s="61" t="str">
        <f>IFERROR(__xludf.DUMMYFUNCTION("vlookup(BB1316,importrange(""https://docs.google.com/spreadsheets/d/1d2vevQ_7D_v35q4wCQ4RpQ_IPoTwEMB9Yp6ymwlPqew/edit?gid=984458430#gid=984458430"", ""'replication success'!A:M""), 13, FAlSE)"),"abstract")</f>
        <v>abstract</v>
      </c>
      <c r="BB1316" s="61" t="str">
        <f>IFERROR(__xludf.DUMMYFUNCTION("REGEXREPLACE(G1316, ""_[a-z]{1,2}$"", """")"),"curatescience20")</f>
        <v>curatescience20</v>
      </c>
      <c r="BC1316" s="1441"/>
      <c r="BD1316" s="149" t="s">
        <v>144</v>
      </c>
    </row>
    <row r="1317">
      <c r="A1317" s="44">
        <v>1317.0</v>
      </c>
      <c r="B1317" s="62" t="s">
        <v>114</v>
      </c>
      <c r="C1317" s="62" t="s">
        <v>115</v>
      </c>
      <c r="D1317" s="62" t="s">
        <v>2630</v>
      </c>
      <c r="F1317" s="437" t="s">
        <v>7491</v>
      </c>
      <c r="G1317" s="1445" t="str">
        <f t="shared" ref="G1317:G1318" si="80">F1317&amp;"_"&amp;COUNTIF($B$3:F1317, F1317)</f>
        <v>curatescience204_1</v>
      </c>
      <c r="H1317" s="437" t="s">
        <v>7492</v>
      </c>
      <c r="I1317" s="438">
        <v>45675.0</v>
      </c>
      <c r="J1317" s="438">
        <v>45676.0</v>
      </c>
      <c r="K1317" s="68"/>
      <c r="L1317" s="129" t="s">
        <v>7493</v>
      </c>
      <c r="M1317" s="1446" t="s">
        <v>7494</v>
      </c>
      <c r="N1317" s="437" t="s">
        <v>7495</v>
      </c>
      <c r="O1317" s="129">
        <v>1.0</v>
      </c>
      <c r="P1317" s="1447" t="str">
        <f t="shared" ref="P1317:P1318" si="81"> SUBSTITUTE(lower(N1317), "/", "--") &amp;  ".pdf"</f>
        <v>10.1086--268936.pdf</v>
      </c>
      <c r="Q1317" s="52" t="str">
        <f t="array" ref="Q1317"> if(iserror(MATCH(V1317, 'File Links'!C:C, 0)), "N/A", HYPERLINK(INDEX('File Links'!B:B, MATCH(P1317, 'File Links'!C:C, 0))))</f>
        <v>https://drive.google.com/file/d/151z21j0N9goJiyhqVea_1u4UA83qXS6l/view?usp=drivesdk</v>
      </c>
      <c r="R1317" s="437" t="s">
        <v>7496</v>
      </c>
      <c r="S1317" s="437" t="s">
        <v>7497</v>
      </c>
      <c r="T1317" s="1055" t="s">
        <v>7498</v>
      </c>
      <c r="U1317" s="437" t="s">
        <v>7499</v>
      </c>
      <c r="V1317" s="198" t="str">
        <f t="shared" si="79"/>
        <v>10.1027--1864-9335--a000178.pdf</v>
      </c>
      <c r="W1317" s="437" t="s">
        <v>7500</v>
      </c>
      <c r="X1317" s="54" t="str">
        <f t="array" ref="X1317"> if(iserror(MATCH(V1317, 'File Links'!C:C, 0)), "N/A", HYPERLINK(INDEX('File Links'!B:B, MATCH(V1317, 'File Links'!C:C, 0))))</f>
        <v>https://drive.google.com/file/d/1fIqa3RxgdnsQkWwGnLkF4XAbM2g_WN4q/view?usp=drivesdk</v>
      </c>
      <c r="Z1317" s="437" t="s">
        <v>226</v>
      </c>
      <c r="AA1317" s="437" t="s">
        <v>7501</v>
      </c>
      <c r="AB1317" s="437" t="s">
        <v>7502</v>
      </c>
      <c r="AC1317" s="437" t="s">
        <v>7503</v>
      </c>
      <c r="AD1317" s="437" t="s">
        <v>7504</v>
      </c>
      <c r="AE1317" s="437" t="s">
        <v>7505</v>
      </c>
      <c r="AF1317" s="828">
        <v>61.0</v>
      </c>
      <c r="AG1317" s="828">
        <v>0.26</v>
      </c>
      <c r="AH1317" s="1426" t="s">
        <v>139</v>
      </c>
      <c r="AI1317" s="437" t="s">
        <v>7506</v>
      </c>
      <c r="AJ1317" s="337">
        <v>0.001</v>
      </c>
      <c r="AK1317" s="376" t="s">
        <v>135</v>
      </c>
      <c r="AL1317" s="376" t="s">
        <v>136</v>
      </c>
      <c r="AM1317" s="832" t="s">
        <v>137</v>
      </c>
      <c r="AN1317" s="330" t="s">
        <v>138</v>
      </c>
      <c r="AO1317" s="1448">
        <v>6289.0</v>
      </c>
      <c r="AP1317" s="828">
        <v>0.16</v>
      </c>
      <c r="AQ1317" s="437" t="s">
        <v>139</v>
      </c>
      <c r="AR1317" s="437" t="s">
        <v>7507</v>
      </c>
      <c r="AS1317" s="828">
        <v>0.001</v>
      </c>
      <c r="AT1317" s="437" t="s">
        <v>135</v>
      </c>
      <c r="AU1317" s="437" t="s">
        <v>136</v>
      </c>
      <c r="AV1317" s="832" t="s">
        <v>137</v>
      </c>
      <c r="AW1317" s="832" t="s">
        <v>7508</v>
      </c>
      <c r="AX1317" s="832" t="s">
        <v>143</v>
      </c>
      <c r="AY1317" s="61" t="str">
        <f>IFERROR(__xludf.DUMMYFUNCTION("vlookup(BB1317,importrange(""https://docs.google.com/spreadsheets/d/1d2vevQ_7D_v35q4wCQ4RpQ_IPoTwEMB9Yp6ymwlPqew/edit?gid=984458430#gid=984458430"", ""'replication success'!A:K""), 11, FAlSE)"),"#N/A")</f>
        <v>#N/A</v>
      </c>
      <c r="AZ1317" s="61" t="str">
        <f>IFERROR(__xludf.DUMMYFUNCTION("vlookup(BB1317,importrange(""https://docs.google.com/spreadsheets/d/1d2vevQ_7D_v35q4wCQ4RpQ_IPoTwEMB9Yp6ymwlPqew/edit?gid=984458430#gid=984458430"", ""'replication success'!A:M""), 12, FAlSE)"),"#N/A")</f>
        <v>#N/A</v>
      </c>
      <c r="BA1317" s="61" t="str">
        <f>IFERROR(__xludf.DUMMYFUNCTION("vlookup(BB1317,importrange(""https://docs.google.com/spreadsheets/d/1d2vevQ_7D_v35q4wCQ4RpQ_IPoTwEMB9Yp6ymwlPqew/edit?gid=984458430#gid=984458430"", ""'replication success'!A:M""), 13, FAlSE)"),"#N/A")</f>
        <v>#N/A</v>
      </c>
      <c r="BB1317" s="61" t="str">
        <f>IFERROR(__xludf.DUMMYFUNCTION("REGEXREPLACE(G1317, ""_[a-z]{1,2}$"", """")"),"curatescience204_1")</f>
        <v>curatescience204_1</v>
      </c>
    </row>
    <row r="1318">
      <c r="A1318" s="44">
        <v>1318.0</v>
      </c>
      <c r="B1318" s="62" t="s">
        <v>114</v>
      </c>
      <c r="C1318" s="62" t="s">
        <v>115</v>
      </c>
      <c r="D1318" s="62" t="s">
        <v>1234</v>
      </c>
      <c r="F1318" s="159" t="s">
        <v>7491</v>
      </c>
      <c r="G1318" s="1449" t="str">
        <f t="shared" si="80"/>
        <v>curatescience204_2</v>
      </c>
      <c r="H1318" s="159" t="s">
        <v>6955</v>
      </c>
      <c r="I1318" s="152">
        <v>45901.0</v>
      </c>
      <c r="J1318" s="152">
        <v>45901.0</v>
      </c>
      <c r="K1318" s="159" t="s">
        <v>7509</v>
      </c>
      <c r="L1318" s="68"/>
      <c r="M1318" s="1450" t="s">
        <v>7494</v>
      </c>
      <c r="N1318" s="159" t="s">
        <v>7495</v>
      </c>
      <c r="O1318" s="156">
        <v>1.0</v>
      </c>
      <c r="P1318" s="382" t="str">
        <f t="shared" si="81"/>
        <v>10.1086--268936.pdf</v>
      </c>
      <c r="Q1318" s="52" t="str">
        <f t="array" ref="Q1318"> if(iserror(MATCH(V1318, 'File Links'!C:C, 0)), "N/A", HYPERLINK(INDEX('File Links'!B:B, MATCH(P1318, 'File Links'!C:C, 0))))</f>
        <v>https://drive.google.com/file/d/151z21j0N9goJiyhqVea_1u4UA83qXS6l/view?usp=drivesdk</v>
      </c>
      <c r="R1318" s="437" t="s">
        <v>7496</v>
      </c>
      <c r="S1318" s="437" t="s">
        <v>7497</v>
      </c>
      <c r="T1318" s="1055" t="s">
        <v>7498</v>
      </c>
      <c r="U1318" s="68"/>
      <c r="V1318" s="198" t="str">
        <f t="shared" si="79"/>
        <v>10.1027--1864-9335--a000178.pdf</v>
      </c>
      <c r="W1318" s="68"/>
      <c r="X1318" s="54" t="str">
        <f t="array" ref="X1318"> if(iserror(MATCH(V1318, 'File Links'!C:C, 0)), "N/A", HYPERLINK(INDEX('File Links'!B:B, MATCH(V1318, 'File Links'!C:C, 0))))</f>
        <v>https://drive.google.com/file/d/1fIqa3RxgdnsQkWwGnLkF4XAbM2g_WN4q/view?usp=drivesdk</v>
      </c>
      <c r="Y1318" s="68"/>
      <c r="Z1318" s="159" t="s">
        <v>2045</v>
      </c>
      <c r="AA1318" s="159" t="s">
        <v>7510</v>
      </c>
      <c r="AB1318" s="68"/>
      <c r="AC1318" s="68"/>
      <c r="AD1318" s="159" t="s">
        <v>7511</v>
      </c>
      <c r="AE1318" s="156">
        <v>390.0</v>
      </c>
      <c r="AF1318" s="156">
        <v>132.0</v>
      </c>
      <c r="AG1318" s="68"/>
      <c r="AH1318" s="68"/>
      <c r="AI1318" s="68"/>
      <c r="AJ1318" s="709">
        <v>0.005</v>
      </c>
      <c r="AK1318" s="57" t="s">
        <v>135</v>
      </c>
      <c r="AL1318" s="61"/>
      <c r="AM1318" s="68" t="s">
        <v>137</v>
      </c>
      <c r="AN1318" s="330" t="s">
        <v>138</v>
      </c>
      <c r="AO1318" s="156">
        <v>5899.0</v>
      </c>
      <c r="AP1318" s="156">
        <v>0.49</v>
      </c>
      <c r="AQ1318" s="159" t="s">
        <v>173</v>
      </c>
      <c r="AR1318" s="68"/>
      <c r="AS1318" s="156">
        <v>0.001</v>
      </c>
      <c r="AT1318" s="159" t="s">
        <v>135</v>
      </c>
      <c r="AU1318" s="68"/>
      <c r="AV1318" s="68" t="s">
        <v>137</v>
      </c>
      <c r="AW1318" s="68"/>
      <c r="AX1318" s="68" t="s">
        <v>143</v>
      </c>
      <c r="AY1318" s="61" t="str">
        <f>IFERROR(__xludf.DUMMYFUNCTION("vlookup(BB1318,importrange(""https://docs.google.com/spreadsheets/d/1d2vevQ_7D_v35q4wCQ4RpQ_IPoTwEMB9Yp6ymwlPqew/edit?gid=984458430#gid=984458430"", ""'replication success'!A:K""), 11, FAlSE)"),"#N/A")</f>
        <v>#N/A</v>
      </c>
      <c r="AZ1318" s="61" t="str">
        <f>IFERROR(__xludf.DUMMYFUNCTION("vlookup(BB1318,importrange(""https://docs.google.com/spreadsheets/d/1d2vevQ_7D_v35q4wCQ4RpQ_IPoTwEMB9Yp6ymwlPqew/edit?gid=984458430#gid=984458430"", ""'replication success'!A:M""), 12, FAlSE)"),"#N/A")</f>
        <v>#N/A</v>
      </c>
      <c r="BA1318" s="61" t="str">
        <f>IFERROR(__xludf.DUMMYFUNCTION("vlookup(BB1318,importrange(""https://docs.google.com/spreadsheets/d/1d2vevQ_7D_v35q4wCQ4RpQ_IPoTwEMB9Yp6ymwlPqew/edit?gid=984458430#gid=984458430"", ""'replication success'!A:M""), 13, FAlSE)"),"#N/A")</f>
        <v>#N/A</v>
      </c>
      <c r="BB1318" s="61" t="str">
        <f>IFERROR(__xludf.DUMMYFUNCTION("REGEXREPLACE(G1318, ""_[a-z]{1,2}$"", """")"),"curatescience204_2")</f>
        <v>curatescience204_2</v>
      </c>
    </row>
    <row r="1319">
      <c r="A1319" s="44">
        <v>1319.0</v>
      </c>
      <c r="B1319" s="62" t="s">
        <v>152</v>
      </c>
      <c r="C1319" s="62" t="s">
        <v>115</v>
      </c>
      <c r="D1319" s="62" t="s">
        <v>1270</v>
      </c>
      <c r="F1319" s="159" t="s">
        <v>7512</v>
      </c>
      <c r="G1319" s="57" t="s">
        <v>7513</v>
      </c>
      <c r="H1319" s="159" t="s">
        <v>5024</v>
      </c>
      <c r="I1319" s="434">
        <v>45643.0</v>
      </c>
      <c r="J1319" s="540">
        <v>45736.0</v>
      </c>
      <c r="K1319" s="159" t="s">
        <v>7514</v>
      </c>
      <c r="L1319" s="151" t="s">
        <v>7515</v>
      </c>
      <c r="M1319" s="690" t="s">
        <v>7516</v>
      </c>
      <c r="N1319" s="159" t="s">
        <v>7517</v>
      </c>
      <c r="O1319" s="159" t="s">
        <v>3580</v>
      </c>
      <c r="P1319" s="382" t="s">
        <v>7518</v>
      </c>
      <c r="Q1319" s="52" t="str">
        <f t="array" ref="Q1319"> if(iserror(MATCH(V1319, 'File Links'!C:C, 0)), "N/A", HYPERLINK(INDEX('File Links'!B:B, MATCH(P1319, 'File Links'!C:C, 0))))</f>
        <v>https://drive.google.com/file/d/1k_ITkShMoY3bps8YyiRV8_CnbYN3486s/view?usp=drivesdk</v>
      </c>
      <c r="R1319" s="159" t="s">
        <v>7519</v>
      </c>
      <c r="S1319" s="159" t="s">
        <v>7520</v>
      </c>
      <c r="T1319" s="68"/>
      <c r="U1319" s="159" t="s">
        <v>4092</v>
      </c>
      <c r="V1319" s="198" t="str">
        <f t="shared" si="79"/>
        <v>10.1037--0022-3514.83.2.406.pdf</v>
      </c>
      <c r="W1319" s="159" t="s">
        <v>7521</v>
      </c>
      <c r="X1319" s="54" t="str">
        <f t="array" ref="X1319"> if(iserror(MATCH(V1319, 'File Links'!C:C, 0)), "N/A", HYPERLINK(INDEX('File Links'!B:B, MATCH(V1319, 'File Links'!C:C, 0))))</f>
        <v>https://drive.google.com/file/d/1OuxVCUkVnVBw7IH1mtlkV9HYUNX7kOe5/view?usp=drivesdk</v>
      </c>
      <c r="Y1319" s="68"/>
      <c r="Z1319" s="159" t="s">
        <v>226</v>
      </c>
      <c r="AA1319" s="159" t="s">
        <v>7522</v>
      </c>
      <c r="AB1319" s="68"/>
      <c r="AC1319" s="159" t="s">
        <v>7523</v>
      </c>
      <c r="AD1319" s="1290" t="s">
        <v>7524</v>
      </c>
      <c r="AE1319" s="156">
        <v>8.0</v>
      </c>
      <c r="AF1319" s="156">
        <v>30.0</v>
      </c>
      <c r="AG1319" s="159" t="s">
        <v>7525</v>
      </c>
      <c r="AH1319" s="339" t="s">
        <v>134</v>
      </c>
      <c r="AI1319" s="57" t="s">
        <v>613</v>
      </c>
      <c r="AJ1319" s="379">
        <v>0.01</v>
      </c>
      <c r="AK1319" s="159" t="s">
        <v>135</v>
      </c>
      <c r="AL1319" s="57" t="s">
        <v>186</v>
      </c>
      <c r="AM1319" s="68" t="s">
        <v>137</v>
      </c>
      <c r="AN1319" s="330" t="s">
        <v>138</v>
      </c>
      <c r="AO1319" s="156">
        <v>28.0</v>
      </c>
      <c r="AP1319" s="159" t="s">
        <v>7526</v>
      </c>
      <c r="AQ1319" s="159" t="s">
        <v>134</v>
      </c>
      <c r="AR1319" s="159" t="s">
        <v>850</v>
      </c>
      <c r="AS1319" s="156">
        <v>0.13</v>
      </c>
      <c r="AT1319" s="159" t="s">
        <v>172</v>
      </c>
      <c r="AU1319" s="159" t="s">
        <v>186</v>
      </c>
      <c r="AV1319" s="68" t="s">
        <v>137</v>
      </c>
      <c r="AW1319" s="1058" t="s">
        <v>138</v>
      </c>
      <c r="AX1319" s="68" t="s">
        <v>143</v>
      </c>
      <c r="AY1319" s="61" t="str">
        <f>IFERROR(__xludf.DUMMYFUNCTION("vlookup(BB1319,importrange(""https://docs.google.com/spreadsheets/d/1d2vevQ_7D_v35q4wCQ4RpQ_IPoTwEMB9Yp6ymwlPqew/edit?gid=984458430#gid=984458430"", ""'replication success'!A:K""), 11, FAlSE)"),"mixed")</f>
        <v>mixed</v>
      </c>
      <c r="AZ1319" s="61" t="str">
        <f>IFERROR(__xludf.DUMMYFUNCTION("vlookup(BB1319,importrange(""https://docs.google.com/spreadsheets/d/1d2vevQ_7D_v35q4wCQ4RpQ_IPoTwEMB9Yp6ymwlPqew/edit?gid=984458430#gid=984458430"", ""'replication success'!A:M""), 12, FAlSE)"),"The prime main effect approached
significance in the predicted direction, F(1, 27)  2.47, p  .13,
whereas the self-consciousness main effect did not approach sig-
nificance, F(1, 27)  1.00, ns. More important for the present
hypotheses, the Self-Conscious"&amp;"ness  Prime interaction was sig-
nificant, F(1, 27)  4.44, p  .05, such that high self-conscious
individuals walked down the hallway more slowly following the
elderly prime (M  11.1 s) than following the neutral prime (M  8.9 s).")</f>
        <v>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v>
      </c>
      <c r="BA1319" s="61" t="str">
        <f>IFERROR(__xludf.DUMMYFUNCTION("vlookup(BB1319,importrange(""https://docs.google.com/spreadsheets/d/1d2vevQ_7D_v35q4wCQ4RpQ_IPoTwEMB9Yp6ymwlPqew/edit?gid=984458430#gid=984458430"", ""'replication success'!A:M""), 13, FAlSE)"),"pg. 4")</f>
        <v>pg. 4</v>
      </c>
      <c r="BB1319" s="61" t="str">
        <f>IFERROR(__xludf.DUMMYFUNCTION("REGEXREPLACE(G1319, ""_[a-z]{1,2}$"", """")"),"curatescience21")</f>
        <v>curatescience21</v>
      </c>
      <c r="BC1319" s="159"/>
      <c r="BD1319" s="62" t="s">
        <v>144</v>
      </c>
    </row>
    <row r="1320">
      <c r="A1320" s="44">
        <v>1320.0</v>
      </c>
      <c r="B1320" s="62" t="s">
        <v>114</v>
      </c>
      <c r="C1320" s="62" t="s">
        <v>115</v>
      </c>
      <c r="D1320" s="62" t="s">
        <v>1270</v>
      </c>
      <c r="F1320" s="159" t="s">
        <v>7512</v>
      </c>
      <c r="G1320" s="57" t="s">
        <v>7513</v>
      </c>
      <c r="H1320" s="159" t="s">
        <v>5024</v>
      </c>
      <c r="I1320" s="434">
        <v>45643.0</v>
      </c>
      <c r="J1320" s="540">
        <v>45736.0</v>
      </c>
      <c r="K1320" s="159" t="s">
        <v>7527</v>
      </c>
      <c r="L1320" s="159"/>
      <c r="M1320" s="690" t="s">
        <v>7528</v>
      </c>
      <c r="N1320" s="159" t="s">
        <v>7517</v>
      </c>
      <c r="O1320" s="159" t="s">
        <v>3580</v>
      </c>
      <c r="P1320" s="382" t="s">
        <v>7518</v>
      </c>
      <c r="Q1320" s="52" t="str">
        <f t="array" ref="Q1320"> if(iserror(MATCH(V1320, 'File Links'!C:C, 0)), "N/A", HYPERLINK(INDEX('File Links'!B:B, MATCH(P1320, 'File Links'!C:C, 0))))</f>
        <v>https://drive.google.com/file/d/1k_ITkShMoY3bps8YyiRV8_CnbYN3486s/view?usp=drivesdk</v>
      </c>
      <c r="R1320" s="159" t="s">
        <v>7519</v>
      </c>
      <c r="S1320" s="159" t="s">
        <v>7520</v>
      </c>
      <c r="T1320" s="68"/>
      <c r="U1320" s="159" t="s">
        <v>4092</v>
      </c>
      <c r="V1320" s="198" t="str">
        <f t="shared" si="79"/>
        <v>10.1037--0022-3514.83.2.406.pdf</v>
      </c>
      <c r="W1320" s="159" t="s">
        <v>7521</v>
      </c>
      <c r="X1320" s="54" t="str">
        <f t="array" ref="X1320"> if(iserror(MATCH(V1320, 'File Links'!C:C, 0)), "N/A", HYPERLINK(INDEX('File Links'!B:B, MATCH(V1320, 'File Links'!C:C, 0))))</f>
        <v>https://drive.google.com/file/d/1OuxVCUkVnVBw7IH1mtlkV9HYUNX7kOe5/view?usp=drivesdk</v>
      </c>
      <c r="Y1320" s="68"/>
      <c r="Z1320" s="159" t="s">
        <v>226</v>
      </c>
      <c r="AA1320" s="159" t="s">
        <v>7522</v>
      </c>
      <c r="AB1320" s="68"/>
      <c r="AC1320" s="159" t="s">
        <v>7523</v>
      </c>
      <c r="AD1320" s="1290" t="s">
        <v>7524</v>
      </c>
      <c r="AE1320" s="68"/>
      <c r="AF1320" s="68"/>
      <c r="AG1320" s="68"/>
      <c r="AH1320" s="338"/>
      <c r="AI1320" s="61"/>
      <c r="AJ1320" s="61"/>
      <c r="AK1320" s="68"/>
      <c r="AL1320" s="61"/>
      <c r="AM1320" s="68"/>
      <c r="AN1320" s="330" t="s">
        <v>138</v>
      </c>
      <c r="AO1320" s="156">
        <v>28.0</v>
      </c>
      <c r="AP1320" s="159" t="s">
        <v>7529</v>
      </c>
      <c r="AQ1320" s="159" t="s">
        <v>134</v>
      </c>
      <c r="AR1320" s="159" t="s">
        <v>850</v>
      </c>
      <c r="AS1320" s="156">
        <v>0.05</v>
      </c>
      <c r="AT1320" s="159" t="s">
        <v>135</v>
      </c>
      <c r="AU1320" s="159" t="s">
        <v>186</v>
      </c>
      <c r="AV1320" s="68" t="s">
        <v>137</v>
      </c>
      <c r="AW1320" s="68"/>
      <c r="AX1320" s="68" t="s">
        <v>151</v>
      </c>
      <c r="AY1320" s="61" t="str">
        <f>IFERROR(__xludf.DUMMYFUNCTION("vlookup(BB1320,importrange(""https://docs.google.com/spreadsheets/d/1d2vevQ_7D_v35q4wCQ4RpQ_IPoTwEMB9Yp6ymwlPqew/edit?gid=984458430#gid=984458430"", ""'replication success'!A:K""), 11, FAlSE)"),"mixed")</f>
        <v>mixed</v>
      </c>
      <c r="AZ1320" s="61" t="str">
        <f>IFERROR(__xludf.DUMMYFUNCTION("vlookup(BB1320,importrange(""https://docs.google.com/spreadsheets/d/1d2vevQ_7D_v35q4wCQ4RpQ_IPoTwEMB9Yp6ymwlPqew/edit?gid=984458430#gid=984458430"", ""'replication success'!A:M""), 12, FAlSE)"),"The prime main effect approached
significance in the predicted direction, F(1, 27)  2.47, p  .13,
whereas the self-consciousness main effect did not approach sig-
nificance, F(1, 27)  1.00, ns. More important for the present
hypotheses, the Self-Conscious"&amp;"ness  Prime interaction was sig-
nificant, F(1, 27)  4.44, p  .05, such that high self-conscious
individuals walked down the hallway more slowly following the
elderly prime (M  11.1 s) than following the neutral prime (M  8.9 s).")</f>
        <v>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v>
      </c>
      <c r="BA1320" s="61" t="str">
        <f>IFERROR(__xludf.DUMMYFUNCTION("vlookup(BB1320,importrange(""https://docs.google.com/spreadsheets/d/1d2vevQ_7D_v35q4wCQ4RpQ_IPoTwEMB9Yp6ymwlPqew/edit?gid=984458430#gid=984458430"", ""'replication success'!A:M""), 13, FAlSE)"),"pg. 4")</f>
        <v>pg. 4</v>
      </c>
      <c r="BB1320" s="61" t="str">
        <f>IFERROR(__xludf.DUMMYFUNCTION("REGEXREPLACE(G1320, ""_[a-z]{1,2}$"", """")"),"curatescience21")</f>
        <v>curatescience21</v>
      </c>
      <c r="BD1320" s="62" t="s">
        <v>144</v>
      </c>
    </row>
    <row r="1321">
      <c r="A1321" s="44">
        <v>1321.0</v>
      </c>
      <c r="B1321" s="129" t="s">
        <v>114</v>
      </c>
      <c r="C1321" s="62" t="s">
        <v>115</v>
      </c>
      <c r="D1321" s="62" t="s">
        <v>248</v>
      </c>
      <c r="F1321" s="159" t="s">
        <v>7512</v>
      </c>
      <c r="G1321" s="159" t="s">
        <v>7513</v>
      </c>
      <c r="H1321" s="159" t="s">
        <v>249</v>
      </c>
      <c r="I1321" s="152">
        <v>45782.0</v>
      </c>
      <c r="J1321" s="540">
        <v>45736.0</v>
      </c>
      <c r="K1321" s="159" t="s">
        <v>7530</v>
      </c>
      <c r="L1321" s="159"/>
      <c r="M1321" s="159" t="s">
        <v>7531</v>
      </c>
      <c r="N1321" s="159" t="s">
        <v>7517</v>
      </c>
      <c r="O1321" s="159" t="s">
        <v>3580</v>
      </c>
      <c r="P1321" s="159" t="str">
        <f>SUBSTITUTE(LOWER(N1321), "/", "--") &amp;  ".pdf"</f>
        <v>10.1037--0022-3514.71.2.230.pdf</v>
      </c>
      <c r="Q1321" s="52" t="str">
        <f t="array" ref="Q1321"> if(iserror(MATCH(V1321, 'File Links'!C:C, 0)), "N/A", HYPERLINK(INDEX('File Links'!B:B, MATCH(P1321, 'File Links'!C:C, 0))))</f>
        <v>https://drive.google.com/file/d/1k_ITkShMoY3bps8YyiRV8_CnbYN3486s/view?usp=drivesdk</v>
      </c>
      <c r="R1321" s="159" t="s">
        <v>7519</v>
      </c>
      <c r="S1321" s="159" t="s">
        <v>7520</v>
      </c>
      <c r="T1321" s="68"/>
      <c r="U1321" s="159" t="s">
        <v>4092</v>
      </c>
      <c r="V1321" s="198" t="str">
        <f t="shared" si="79"/>
        <v>10.1037--0022-3514.83.2.406.pdf</v>
      </c>
      <c r="W1321" s="159" t="s">
        <v>138</v>
      </c>
      <c r="X1321" s="54" t="str">
        <f t="array" ref="X1321"> if(iserror(MATCH(V1321, 'File Links'!C:C, 0)), "N/A", HYPERLINK(INDEX('File Links'!B:B, MATCH(V1321, 'File Links'!C:C, 0))))</f>
        <v>https://drive.google.com/file/d/1OuxVCUkVnVBw7IH1mtlkV9HYUNX7kOe5/view?usp=drivesdk</v>
      </c>
      <c r="Y1321" s="68"/>
      <c r="Z1321" s="159" t="s">
        <v>226</v>
      </c>
      <c r="AA1321" s="159" t="s">
        <v>4052</v>
      </c>
      <c r="AB1321" s="159" t="s">
        <v>7532</v>
      </c>
      <c r="AC1321" s="159" t="s">
        <v>7533</v>
      </c>
      <c r="AD1321" s="1290" t="s">
        <v>7524</v>
      </c>
      <c r="AE1321" s="159" t="s">
        <v>604</v>
      </c>
      <c r="AF1321" s="156">
        <v>30.0</v>
      </c>
      <c r="AG1321" s="159" t="s">
        <v>7525</v>
      </c>
      <c r="AH1321" s="159" t="s">
        <v>134</v>
      </c>
      <c r="AI1321" s="159" t="s">
        <v>7534</v>
      </c>
      <c r="AJ1321" s="156">
        <v>0.01</v>
      </c>
      <c r="AK1321" s="159" t="s">
        <v>135</v>
      </c>
      <c r="AL1321" s="159" t="s">
        <v>186</v>
      </c>
      <c r="AM1321" s="68" t="s">
        <v>137</v>
      </c>
      <c r="AN1321" s="330" t="s">
        <v>138</v>
      </c>
      <c r="AO1321" s="156">
        <v>31.0</v>
      </c>
      <c r="AP1321" s="161" t="s">
        <v>7535</v>
      </c>
      <c r="AQ1321" s="151" t="s">
        <v>134</v>
      </c>
      <c r="AR1321" s="151" t="s">
        <v>850</v>
      </c>
      <c r="AS1321" s="156">
        <v>0.13</v>
      </c>
      <c r="AT1321" s="159" t="s">
        <v>172</v>
      </c>
      <c r="AU1321" s="159" t="s">
        <v>186</v>
      </c>
      <c r="AV1321" s="68" t="s">
        <v>137</v>
      </c>
      <c r="AW1321" s="68" t="s">
        <v>137</v>
      </c>
      <c r="AX1321" s="68" t="s">
        <v>143</v>
      </c>
      <c r="AY1321" s="61" t="str">
        <f>IFERROR(__xludf.DUMMYFUNCTION("vlookup(BB1321,importrange(""https://docs.google.com/spreadsheets/d/1d2vevQ_7D_v35q4wCQ4RpQ_IPoTwEMB9Yp6ymwlPqew/edit?gid=984458430#gid=984458430"", ""'replication success'!A:K""), 11, FAlSE)"),"mixed")</f>
        <v>mixed</v>
      </c>
      <c r="AZ1321" s="61" t="str">
        <f>IFERROR(__xludf.DUMMYFUNCTION("vlookup(BB1321,importrange(""https://docs.google.com/spreadsheets/d/1d2vevQ_7D_v35q4wCQ4RpQ_IPoTwEMB9Yp6ymwlPqew/edit?gid=984458430#gid=984458430"", ""'replication success'!A:M""), 12, FAlSE)"),"The prime main effect approached
significance in the predicted direction, F(1, 27)  2.47, p  .13,
whereas the self-consciousness main effect did not approach sig-
nificance, F(1, 27)  1.00, ns. More important for the present
hypotheses, the Self-Conscious"&amp;"ness  Prime interaction was sig-
nificant, F(1, 27)  4.44, p  .05, such that high self-conscious
individuals walked down the hallway more slowly following the
elderly prime (M  11.1 s) than following the neutral prime (M  8.9 s).")</f>
        <v>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v>
      </c>
      <c r="BA1321" s="61" t="str">
        <f>IFERROR(__xludf.DUMMYFUNCTION("vlookup(BB1321,importrange(""https://docs.google.com/spreadsheets/d/1d2vevQ_7D_v35q4wCQ4RpQ_IPoTwEMB9Yp6ymwlPqew/edit?gid=984458430#gid=984458430"", ""'replication success'!A:M""), 13, FAlSE)"),"pg. 4")</f>
        <v>pg. 4</v>
      </c>
      <c r="BB1321" s="61" t="str">
        <f>IFERROR(__xludf.DUMMYFUNCTION("REGEXREPLACE(G1321, ""_[a-z]{1,2}$"", """")"),"curatescience21")</f>
        <v>curatescience21</v>
      </c>
      <c r="BD1321" s="62" t="s">
        <v>144</v>
      </c>
    </row>
    <row r="1322">
      <c r="A1322" s="44">
        <v>1322.0</v>
      </c>
      <c r="B1322" s="62" t="s">
        <v>114</v>
      </c>
      <c r="C1322" s="62" t="s">
        <v>115</v>
      </c>
      <c r="D1322" s="62" t="s">
        <v>1270</v>
      </c>
      <c r="F1322" s="159" t="s">
        <v>7536</v>
      </c>
      <c r="G1322" s="57" t="s">
        <v>7537</v>
      </c>
      <c r="H1322" s="159" t="s">
        <v>5024</v>
      </c>
      <c r="I1322" s="434">
        <v>45643.0</v>
      </c>
      <c r="J1322" s="540">
        <v>45736.0</v>
      </c>
      <c r="K1322" s="159" t="s">
        <v>7538</v>
      </c>
      <c r="L1322" s="151" t="s">
        <v>7539</v>
      </c>
      <c r="M1322" s="690" t="s">
        <v>7540</v>
      </c>
      <c r="N1322" s="159" t="s">
        <v>7517</v>
      </c>
      <c r="O1322" s="159" t="s">
        <v>3580</v>
      </c>
      <c r="P1322" s="382" t="s">
        <v>7518</v>
      </c>
      <c r="Q1322" s="52" t="str">
        <f t="array" ref="Q1322"> if(iserror(MATCH(V1322, 'File Links'!C:C, 0)), "N/A", HYPERLINK(INDEX('File Links'!B:B, MATCH(P1322, 'File Links'!C:C, 0))))</f>
        <v>https://drive.google.com/file/d/1k_ITkShMoY3bps8YyiRV8_CnbYN3486s/view?usp=drivesdk</v>
      </c>
      <c r="R1322" s="159" t="s">
        <v>7541</v>
      </c>
      <c r="S1322" s="159" t="s">
        <v>7520</v>
      </c>
      <c r="T1322" s="68"/>
      <c r="U1322" s="159" t="s">
        <v>5535</v>
      </c>
      <c r="V1322" s="198" t="str">
        <f t="shared" si="79"/>
        <v>10.1037--0022-3514.83.2.406.pdf</v>
      </c>
      <c r="W1322" s="159" t="s">
        <v>7521</v>
      </c>
      <c r="X1322" s="54" t="str">
        <f t="array" ref="X1322"> if(iserror(MATCH(V1322, 'File Links'!C:C, 0)), "N/A", HYPERLINK(INDEX('File Links'!B:B, MATCH(V1322, 'File Links'!C:C, 0))))</f>
        <v>https://drive.google.com/file/d/1OuxVCUkVnVBw7IH1mtlkV9HYUNX7kOe5/view?usp=drivesdk</v>
      </c>
      <c r="Y1322" s="68"/>
      <c r="Z1322" s="159" t="s">
        <v>226</v>
      </c>
      <c r="AA1322" s="159" t="s">
        <v>7522</v>
      </c>
      <c r="AB1322" s="68"/>
      <c r="AC1322" s="159" t="s">
        <v>7523</v>
      </c>
      <c r="AD1322" s="1290" t="s">
        <v>7524</v>
      </c>
      <c r="AE1322" s="156">
        <v>8.0</v>
      </c>
      <c r="AF1322" s="156">
        <v>30.0</v>
      </c>
      <c r="AG1322" s="159" t="s">
        <v>7525</v>
      </c>
      <c r="AH1322" s="339" t="s">
        <v>134</v>
      </c>
      <c r="AI1322" s="57" t="s">
        <v>613</v>
      </c>
      <c r="AJ1322" s="379">
        <v>0.01</v>
      </c>
      <c r="AK1322" s="159" t="s">
        <v>135</v>
      </c>
      <c r="AL1322" s="57" t="s">
        <v>186</v>
      </c>
      <c r="AM1322" s="68" t="s">
        <v>137</v>
      </c>
      <c r="AN1322" s="330" t="s">
        <v>138</v>
      </c>
      <c r="AO1322" s="156">
        <v>37.0</v>
      </c>
      <c r="AP1322" s="159" t="s">
        <v>7542</v>
      </c>
      <c r="AQ1322" s="159" t="s">
        <v>134</v>
      </c>
      <c r="AR1322" s="159" t="s">
        <v>850</v>
      </c>
      <c r="AS1322" s="156">
        <v>0.09</v>
      </c>
      <c r="AT1322" s="159" t="s">
        <v>172</v>
      </c>
      <c r="AU1322" s="159" t="s">
        <v>186</v>
      </c>
      <c r="AV1322" s="68" t="s">
        <v>137</v>
      </c>
      <c r="AW1322" s="129" t="s">
        <v>138</v>
      </c>
      <c r="AX1322" s="68" t="s">
        <v>143</v>
      </c>
      <c r="AY1322" s="61" t="str">
        <f>IFERROR(__xludf.DUMMYFUNCTION("vlookup(BB1322,importrange(""https://docs.google.com/spreadsheets/d/1d2vevQ_7D_v35q4wCQ4RpQ_IPoTwEMB9Yp6ymwlPqew/edit?gid=984458430#gid=984458430"", ""'replication success'!A:K""), 11, FAlSE)"),"successful")</f>
        <v>successful</v>
      </c>
      <c r="AZ1322" s="61" t="str">
        <f>IFERROR(__xludf.DUMMYFUNCTION("vlookup(BB1322,importrange(""https://docs.google.com/spreadsheets/d/1d2vevQ_7D_v35q4wCQ4RpQ_IPoTwEMB9Yp6ymwlPqew/edit?gid=984458430#gid=984458430"", ""'replication success'!A:M""), 12, FAlSE)"),"A 2 (high vs. low private self-consciousness)  2 (elderly vs.
neutral prime) analysis of variance revealed a significant Self-
Consciousness  Prime interaction, F(1, 36)  6.77, p  .01, of
the same form observed in Study 1a: High self-conscious individ-"&amp;"
uals walked more slowly following the elderly prime (M  22.3 s)
than following the neutral prime (M  19.8 s). Low self-conscious
individuals fell between these extremes (low self-conscious elderly
prime, M  20.4 s; low self-conscious neutral prime, M"&amp;"  20.9 s).")</f>
        <v>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v>
      </c>
      <c r="BA1322" s="61" t="str">
        <f>IFERROR(__xludf.DUMMYFUNCTION("vlookup(BB1322,importrange(""https://docs.google.com/spreadsheets/d/1d2vevQ_7D_v35q4wCQ4RpQ_IPoTwEMB9Yp6ymwlPqew/edit?gid=984458430#gid=984458430"", ""'replication success'!A:M""), 13, FAlSE)"),"pg. 4")</f>
        <v>pg. 4</v>
      </c>
      <c r="BB1322" s="61" t="str">
        <f>IFERROR(__xludf.DUMMYFUNCTION("REGEXREPLACE(G1322, ""_[a-z]{1,2}$"", """")"),"curatescience22")</f>
        <v>curatescience22</v>
      </c>
      <c r="BD1322" s="62" t="s">
        <v>144</v>
      </c>
    </row>
    <row r="1323">
      <c r="A1323" s="44">
        <v>1323.0</v>
      </c>
      <c r="B1323" s="62" t="s">
        <v>114</v>
      </c>
      <c r="C1323" s="62" t="s">
        <v>115</v>
      </c>
      <c r="D1323" s="62" t="s">
        <v>1270</v>
      </c>
      <c r="F1323" s="159" t="s">
        <v>7536</v>
      </c>
      <c r="G1323" s="57" t="s">
        <v>7537</v>
      </c>
      <c r="H1323" s="159" t="s">
        <v>5024</v>
      </c>
      <c r="I1323" s="434">
        <v>45643.0</v>
      </c>
      <c r="J1323" s="540">
        <v>45736.0</v>
      </c>
      <c r="K1323" s="159" t="s">
        <v>7543</v>
      </c>
      <c r="L1323" s="159"/>
      <c r="M1323" s="690" t="s">
        <v>7544</v>
      </c>
      <c r="N1323" s="159" t="s">
        <v>7517</v>
      </c>
      <c r="O1323" s="159" t="s">
        <v>3580</v>
      </c>
      <c r="P1323" s="382" t="s">
        <v>7518</v>
      </c>
      <c r="Q1323" s="52" t="str">
        <f t="array" ref="Q1323"> if(iserror(MATCH(V1323, 'File Links'!C:C, 0)), "N/A", HYPERLINK(INDEX('File Links'!B:B, MATCH(P1323, 'File Links'!C:C, 0))))</f>
        <v>https://drive.google.com/file/d/1k_ITkShMoY3bps8YyiRV8_CnbYN3486s/view?usp=drivesdk</v>
      </c>
      <c r="R1323" s="159" t="s">
        <v>7541</v>
      </c>
      <c r="S1323" s="159" t="s">
        <v>7520</v>
      </c>
      <c r="T1323" s="68"/>
      <c r="U1323" s="159" t="s">
        <v>5535</v>
      </c>
      <c r="V1323" s="198" t="str">
        <f t="shared" si="79"/>
        <v>10.1037--0022-3514.83.2.406.pdf</v>
      </c>
      <c r="W1323" s="159" t="s">
        <v>7521</v>
      </c>
      <c r="X1323" s="54" t="str">
        <f t="array" ref="X1323"> if(iserror(MATCH(V1323, 'File Links'!C:C, 0)), "N/A", HYPERLINK(INDEX('File Links'!B:B, MATCH(V1323, 'File Links'!C:C, 0))))</f>
        <v>https://drive.google.com/file/d/1OuxVCUkVnVBw7IH1mtlkV9HYUNX7kOe5/view?usp=drivesdk</v>
      </c>
      <c r="Y1323" s="68"/>
      <c r="Z1323" s="159" t="s">
        <v>226</v>
      </c>
      <c r="AA1323" s="159" t="s">
        <v>7522</v>
      </c>
      <c r="AB1323" s="68"/>
      <c r="AC1323" s="159" t="s">
        <v>7523</v>
      </c>
      <c r="AD1323" s="1290" t="s">
        <v>7524</v>
      </c>
      <c r="AE1323" s="68"/>
      <c r="AF1323" s="68"/>
      <c r="AG1323" s="68"/>
      <c r="AH1323" s="338"/>
      <c r="AI1323" s="61"/>
      <c r="AJ1323" s="61"/>
      <c r="AK1323" s="68"/>
      <c r="AL1323" s="61"/>
      <c r="AM1323" s="68"/>
      <c r="AN1323" s="330" t="s">
        <v>138</v>
      </c>
      <c r="AO1323" s="156">
        <v>37.0</v>
      </c>
      <c r="AP1323" s="159" t="s">
        <v>7545</v>
      </c>
      <c r="AQ1323" s="159" t="s">
        <v>134</v>
      </c>
      <c r="AR1323" s="159" t="s">
        <v>850</v>
      </c>
      <c r="AS1323" s="156">
        <v>0.01</v>
      </c>
      <c r="AT1323" s="159" t="s">
        <v>172</v>
      </c>
      <c r="AU1323" s="159" t="s">
        <v>186</v>
      </c>
      <c r="AV1323" s="68" t="s">
        <v>137</v>
      </c>
      <c r="AW1323" s="129" t="s">
        <v>138</v>
      </c>
      <c r="AX1323" s="68" t="s">
        <v>151</v>
      </c>
      <c r="AY1323" s="61" t="str">
        <f>IFERROR(__xludf.DUMMYFUNCTION("vlookup(BB1323,importrange(""https://docs.google.com/spreadsheets/d/1d2vevQ_7D_v35q4wCQ4RpQ_IPoTwEMB9Yp6ymwlPqew/edit?gid=984458430#gid=984458430"", ""'replication success'!A:K""), 11, FAlSE)"),"successful")</f>
        <v>successful</v>
      </c>
      <c r="AZ1323" s="61" t="str">
        <f>IFERROR(__xludf.DUMMYFUNCTION("vlookup(BB1323,importrange(""https://docs.google.com/spreadsheets/d/1d2vevQ_7D_v35q4wCQ4RpQ_IPoTwEMB9Yp6ymwlPqew/edit?gid=984458430#gid=984458430"", ""'replication success'!A:M""), 12, FAlSE)"),"A 2 (high vs. low private self-consciousness)  2 (elderly vs.
neutral prime) analysis of variance revealed a significant Self-
Consciousness  Prime interaction, F(1, 36)  6.77, p  .01, of
the same form observed in Study 1a: High self-conscious individ-"&amp;"
uals walked more slowly following the elderly prime (M  22.3 s)
than following the neutral prime (M  19.8 s). Low self-conscious
individuals fell between these extremes (low self-conscious elderly
prime, M  20.4 s; low self-conscious neutral prime, M"&amp;"  20.9 s).")</f>
        <v>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v>
      </c>
      <c r="BA1323" s="61" t="str">
        <f>IFERROR(__xludf.DUMMYFUNCTION("vlookup(BB1323,importrange(""https://docs.google.com/spreadsheets/d/1d2vevQ_7D_v35q4wCQ4RpQ_IPoTwEMB9Yp6ymwlPqew/edit?gid=984458430#gid=984458430"", ""'replication success'!A:M""), 13, FAlSE)"),"pg. 4")</f>
        <v>pg. 4</v>
      </c>
      <c r="BB1323" s="61" t="str">
        <f>IFERROR(__xludf.DUMMYFUNCTION("REGEXREPLACE(G1323, ""_[a-z]{1,2}$"", """")"),"curatescience22")</f>
        <v>curatescience22</v>
      </c>
      <c r="BD1323" s="62" t="s">
        <v>144</v>
      </c>
    </row>
    <row r="1324">
      <c r="A1324" s="44">
        <v>1324.0</v>
      </c>
      <c r="B1324" s="129" t="s">
        <v>152</v>
      </c>
      <c r="C1324" s="62" t="s">
        <v>115</v>
      </c>
      <c r="D1324" s="62" t="s">
        <v>248</v>
      </c>
      <c r="F1324" s="159" t="s">
        <v>7536</v>
      </c>
      <c r="G1324" s="159" t="s">
        <v>7537</v>
      </c>
      <c r="H1324" s="159" t="s">
        <v>249</v>
      </c>
      <c r="I1324" s="152">
        <v>45782.0</v>
      </c>
      <c r="J1324" s="540">
        <v>45736.0</v>
      </c>
      <c r="K1324" s="159" t="s">
        <v>7530</v>
      </c>
      <c r="L1324" s="159"/>
      <c r="M1324" s="159" t="s">
        <v>7531</v>
      </c>
      <c r="N1324" s="159" t="s">
        <v>7517</v>
      </c>
      <c r="O1324" s="159" t="s">
        <v>3580</v>
      </c>
      <c r="P1324" s="159" t="str">
        <f>SUBSTITUTE(LOWER(N1324), "/", "--") &amp;  ".pdf"</f>
        <v>10.1037--0022-3514.71.2.230.pdf</v>
      </c>
      <c r="Q1324" s="52" t="str">
        <f t="array" ref="Q1324"> if(iserror(MATCH(V1324, 'File Links'!C:C, 0)), "N/A", HYPERLINK(INDEX('File Links'!B:B, MATCH(P1324, 'File Links'!C:C, 0))))</f>
        <v>https://drive.google.com/file/d/1k_ITkShMoY3bps8YyiRV8_CnbYN3486s/view?usp=drivesdk</v>
      </c>
      <c r="R1324" s="159" t="s">
        <v>7541</v>
      </c>
      <c r="S1324" s="159" t="s">
        <v>7520</v>
      </c>
      <c r="T1324" s="68"/>
      <c r="U1324" s="159" t="s">
        <v>5535</v>
      </c>
      <c r="V1324" s="198" t="str">
        <f t="shared" si="79"/>
        <v>10.1037--0022-3514.83.2.406.pdf</v>
      </c>
      <c r="W1324" s="1290" t="s">
        <v>7521</v>
      </c>
      <c r="X1324" s="54" t="str">
        <f t="array" ref="X1324"> if(iserror(MATCH(V1324, 'File Links'!C:C, 0)), "N/A", HYPERLINK(INDEX('File Links'!B:B, MATCH(V1324, 'File Links'!C:C, 0))))</f>
        <v>https://drive.google.com/file/d/1OuxVCUkVnVBw7IH1mtlkV9HYUNX7kOe5/view?usp=drivesdk</v>
      </c>
      <c r="Y1324" s="68"/>
      <c r="Z1324" s="159" t="s">
        <v>226</v>
      </c>
      <c r="AA1324" s="159" t="s">
        <v>4052</v>
      </c>
      <c r="AB1324" s="159" t="s">
        <v>7532</v>
      </c>
      <c r="AC1324" s="159" t="s">
        <v>7533</v>
      </c>
      <c r="AD1324" s="1290" t="s">
        <v>7524</v>
      </c>
      <c r="AE1324" s="159" t="s">
        <v>604</v>
      </c>
      <c r="AF1324" s="156">
        <v>30.0</v>
      </c>
      <c r="AG1324" s="159" t="s">
        <v>7525</v>
      </c>
      <c r="AH1324" s="159" t="s">
        <v>134</v>
      </c>
      <c r="AI1324" s="159" t="s">
        <v>7534</v>
      </c>
      <c r="AJ1324" s="156">
        <v>0.01</v>
      </c>
      <c r="AK1324" s="159" t="s">
        <v>135</v>
      </c>
      <c r="AL1324" s="159" t="s">
        <v>186</v>
      </c>
      <c r="AM1324" s="68" t="s">
        <v>137</v>
      </c>
      <c r="AN1324" s="330" t="s">
        <v>138</v>
      </c>
      <c r="AO1324" s="156">
        <v>40.0</v>
      </c>
      <c r="AP1324" s="161" t="s">
        <v>7546</v>
      </c>
      <c r="AQ1324" s="151" t="s">
        <v>134</v>
      </c>
      <c r="AR1324" s="151" t="s">
        <v>7547</v>
      </c>
      <c r="AS1324" s="156">
        <v>0.01</v>
      </c>
      <c r="AT1324" s="159" t="s">
        <v>172</v>
      </c>
      <c r="AU1324" s="159" t="s">
        <v>186</v>
      </c>
      <c r="AV1324" s="68" t="s">
        <v>137</v>
      </c>
      <c r="AW1324" s="129" t="s">
        <v>138</v>
      </c>
      <c r="AX1324" s="68" t="s">
        <v>143</v>
      </c>
      <c r="AY1324" s="61" t="str">
        <f>IFERROR(__xludf.DUMMYFUNCTION("vlookup(BB1324,importrange(""https://docs.google.com/spreadsheets/d/1d2vevQ_7D_v35q4wCQ4RpQ_IPoTwEMB9Yp6ymwlPqew/edit?gid=984458430#gid=984458430"", ""'replication success'!A:K""), 11, FAlSE)"),"successful")</f>
        <v>successful</v>
      </c>
      <c r="AZ1324" s="61" t="str">
        <f>IFERROR(__xludf.DUMMYFUNCTION("vlookup(BB1324,importrange(""https://docs.google.com/spreadsheets/d/1d2vevQ_7D_v35q4wCQ4RpQ_IPoTwEMB9Yp6ymwlPqew/edit?gid=984458430#gid=984458430"", ""'replication success'!A:M""), 12, FAlSE)"),"A 2 (high vs. low private self-consciousness)  2 (elderly vs.
neutral prime) analysis of variance revealed a significant Self-
Consciousness  Prime interaction, F(1, 36)  6.77, p  .01, of
the same form observed in Study 1a: High self-conscious individ-"&amp;"
uals walked more slowly following the elderly prime (M  22.3 s)
than following the neutral prime (M  19.8 s). Low self-conscious
individuals fell between these extremes (low self-conscious elderly
prime, M  20.4 s; low self-conscious neutral prime, M"&amp;"  20.9 s).")</f>
        <v>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v>
      </c>
      <c r="BA1324" s="61" t="str">
        <f>IFERROR(__xludf.DUMMYFUNCTION("vlookup(BB1324,importrange(""https://docs.google.com/spreadsheets/d/1d2vevQ_7D_v35q4wCQ4RpQ_IPoTwEMB9Yp6ymwlPqew/edit?gid=984458430#gid=984458430"", ""'replication success'!A:M""), 13, FAlSE)"),"pg. 4")</f>
        <v>pg. 4</v>
      </c>
      <c r="BB1324" s="61" t="str">
        <f>IFERROR(__xludf.DUMMYFUNCTION("REGEXREPLACE(G1324, ""_[a-z]{1,2}$"", """")"),"curatescience22")</f>
        <v>curatescience22</v>
      </c>
      <c r="BD1324" s="62" t="s">
        <v>144</v>
      </c>
    </row>
    <row r="1325">
      <c r="A1325" s="44">
        <v>1325.0</v>
      </c>
      <c r="B1325" s="62" t="s">
        <v>114</v>
      </c>
      <c r="C1325" s="62" t="s">
        <v>115</v>
      </c>
      <c r="D1325" s="62" t="s">
        <v>1270</v>
      </c>
      <c r="F1325" s="68" t="s">
        <v>7548</v>
      </c>
      <c r="G1325" s="57" t="s">
        <v>7549</v>
      </c>
      <c r="H1325" s="159" t="s">
        <v>5024</v>
      </c>
      <c r="I1325" s="434">
        <v>45643.0</v>
      </c>
      <c r="J1325" s="540">
        <v>45736.0</v>
      </c>
      <c r="K1325" s="159" t="s">
        <v>7550</v>
      </c>
      <c r="L1325" s="159"/>
      <c r="M1325" s="690" t="s">
        <v>7551</v>
      </c>
      <c r="N1325" s="159" t="s">
        <v>7517</v>
      </c>
      <c r="O1325" s="159" t="s">
        <v>3580</v>
      </c>
      <c r="P1325" s="382" t="s">
        <v>7518</v>
      </c>
      <c r="Q1325" s="52" t="str">
        <f t="array" ref="Q1325"> if(iserror(MATCH(V1325, 'File Links'!C:C, 0)), "N/A", HYPERLINK(INDEX('File Links'!B:B, MATCH(P1325, 'File Links'!C:C, 0))))</f>
        <v>https://drive.google.com/file/d/1k_ITkShMoY3bps8YyiRV8_CnbYN3486s/view?usp=drivesdk</v>
      </c>
      <c r="R1325" s="159" t="s">
        <v>7552</v>
      </c>
      <c r="S1325" s="159" t="s">
        <v>7553</v>
      </c>
      <c r="T1325" s="68"/>
      <c r="U1325" s="156">
        <v>2.0</v>
      </c>
      <c r="V1325" s="198" t="str">
        <f t="shared" si="79"/>
        <v>10.1037--0022-3514.90.6.893.pdf</v>
      </c>
      <c r="W1325" s="159" t="s">
        <v>7554</v>
      </c>
      <c r="X1325" s="54" t="str">
        <f t="array" ref="X1325"> if(iserror(MATCH(V1325, 'File Links'!C:C, 0)), "N/A", HYPERLINK(INDEX('File Links'!B:B, MATCH(V1325, 'File Links'!C:C, 0))))</f>
        <v>https://drive.google.com/file/d/1TGcGbqDcsz1Kyb3oCU4EoWJQ9dp-E7q6/view?usp=drivesdk</v>
      </c>
      <c r="Y1325" s="68"/>
      <c r="Z1325" s="159" t="s">
        <v>226</v>
      </c>
      <c r="AA1325" s="159" t="s">
        <v>7522</v>
      </c>
      <c r="AB1325" s="159" t="s">
        <v>7555</v>
      </c>
      <c r="AC1325" s="159" t="s">
        <v>7523</v>
      </c>
      <c r="AD1325" s="1290" t="s">
        <v>7524</v>
      </c>
      <c r="AE1325" s="156">
        <v>8.0</v>
      </c>
      <c r="AF1325" s="156">
        <v>30.0</v>
      </c>
      <c r="AG1325" s="159" t="s">
        <v>7525</v>
      </c>
      <c r="AH1325" s="339" t="s">
        <v>134</v>
      </c>
      <c r="AI1325" s="57" t="s">
        <v>613</v>
      </c>
      <c r="AJ1325" s="379">
        <v>0.01</v>
      </c>
      <c r="AK1325" s="159" t="s">
        <v>135</v>
      </c>
      <c r="AL1325" s="57" t="s">
        <v>186</v>
      </c>
      <c r="AM1325" s="68" t="s">
        <v>137</v>
      </c>
      <c r="AN1325" s="330" t="s">
        <v>138</v>
      </c>
      <c r="AO1325" s="156">
        <v>50.0</v>
      </c>
      <c r="AP1325" s="156">
        <v>0.225</v>
      </c>
      <c r="AQ1325" s="159" t="s">
        <v>173</v>
      </c>
      <c r="AR1325" s="159" t="s">
        <v>630</v>
      </c>
      <c r="AS1325" s="68"/>
      <c r="AT1325" s="68"/>
      <c r="AU1325" s="68"/>
      <c r="AV1325" s="68" t="s">
        <v>137</v>
      </c>
      <c r="AW1325" s="1058" t="s">
        <v>138</v>
      </c>
      <c r="AX1325" s="68" t="s">
        <v>143</v>
      </c>
      <c r="AY1325" s="61" t="str">
        <f>IFERROR(__xludf.DUMMYFUNCTION("vlookup(BB1325,importrange(""https://docs.google.com/spreadsheets/d/1d2vevQ_7D_v35q4wCQ4RpQ_IPoTwEMB9Yp6ymwlPqew/edit?gid=984458430#gid=984458430"", ""'replication success'!A:K""), 11, FAlSE)"),"uninformative")</f>
        <v>uninformative</v>
      </c>
      <c r="AZ1325" s="61" t="str">
        <f>IFERROR(__xludf.DUMMYFUNCTION("vlookup(BB1325,importrange(""https://docs.google.com/spreadsheets/d/1d2vevQ_7D_v35q4wCQ4RpQ_IPoTwEMB9Yp6ymwlPqew/edit?gid=984458430#gid=984458430"", ""'replication success'!A:M""), 12, FAlSE)"),"NA")</f>
        <v>NA</v>
      </c>
      <c r="BA1325" s="61" t="str">
        <f>IFERROR(__xludf.DUMMYFUNCTION("vlookup(BB1325,importrange(""https://docs.google.com/spreadsheets/d/1d2vevQ_7D_v35q4wCQ4RpQ_IPoTwEMB9Yp6ymwlPqew/edit?gid=984458430#gid=984458430"", ""'replication success'!A:M""), 13, FAlSE)"),"abstract")</f>
        <v>abstract</v>
      </c>
      <c r="BB1325" s="61" t="str">
        <f>IFERROR(__xludf.DUMMYFUNCTION("REGEXREPLACE(G1325, ""_[a-z]{1,2}$"", """")"),"curatescience23")</f>
        <v>curatescience23</v>
      </c>
      <c r="BD1325" s="62" t="s">
        <v>144</v>
      </c>
    </row>
    <row r="1326">
      <c r="A1326" s="44">
        <v>1326.0</v>
      </c>
      <c r="B1326" s="129" t="s">
        <v>152</v>
      </c>
      <c r="C1326" s="62" t="s">
        <v>115</v>
      </c>
      <c r="D1326" s="62" t="s">
        <v>248</v>
      </c>
      <c r="F1326" s="68" t="s">
        <v>7548</v>
      </c>
      <c r="G1326" s="159" t="s">
        <v>7549</v>
      </c>
      <c r="H1326" s="159" t="s">
        <v>249</v>
      </c>
      <c r="I1326" s="152">
        <v>45782.0</v>
      </c>
      <c r="J1326" s="540">
        <v>45736.0</v>
      </c>
      <c r="K1326" s="1060" t="s">
        <v>7530</v>
      </c>
      <c r="L1326" s="159"/>
      <c r="M1326" s="159" t="s">
        <v>7531</v>
      </c>
      <c r="N1326" s="159" t="s">
        <v>7517</v>
      </c>
      <c r="O1326" s="159" t="s">
        <v>3580</v>
      </c>
      <c r="P1326" s="159" t="str">
        <f>SUBSTITUTE(LOWER(N1326), "/", "--") &amp;  ".pdf"</f>
        <v>10.1037--0022-3514.71.2.230.pdf</v>
      </c>
      <c r="Q1326" s="52" t="str">
        <f t="array" ref="Q1326"> if(iserror(MATCH(V1326, 'File Links'!C:C, 0)), "N/A", HYPERLINK(INDEX('File Links'!B:B, MATCH(P1326, 'File Links'!C:C, 0))))</f>
        <v>https://drive.google.com/file/d/1k_ITkShMoY3bps8YyiRV8_CnbYN3486s/view?usp=drivesdk</v>
      </c>
      <c r="R1326" s="1290" t="s">
        <v>7552</v>
      </c>
      <c r="S1326" s="1290" t="s">
        <v>7553</v>
      </c>
      <c r="T1326" s="68"/>
      <c r="U1326" s="129">
        <v>2.0</v>
      </c>
      <c r="V1326" s="198" t="str">
        <f t="shared" si="79"/>
        <v>10.1037--0022-3514.90.6.893.pdf</v>
      </c>
      <c r="W1326" s="159" t="s">
        <v>164</v>
      </c>
      <c r="X1326" s="54" t="str">
        <f t="array" ref="X1326"> if(iserror(MATCH(V1326, 'File Links'!C:C, 0)), "N/A", HYPERLINK(INDEX('File Links'!B:B, MATCH(V1326, 'File Links'!C:C, 0))))</f>
        <v>https://drive.google.com/file/d/1TGcGbqDcsz1Kyb3oCU4EoWJQ9dp-E7q6/view?usp=drivesdk</v>
      </c>
      <c r="Y1326" s="68"/>
      <c r="Z1326" s="159" t="s">
        <v>226</v>
      </c>
      <c r="AA1326" s="159" t="s">
        <v>4052</v>
      </c>
      <c r="AB1326" s="159" t="s">
        <v>7532</v>
      </c>
      <c r="AC1326" s="159" t="s">
        <v>7533</v>
      </c>
      <c r="AD1326" s="1290" t="s">
        <v>7524</v>
      </c>
      <c r="AE1326" s="159" t="s">
        <v>604</v>
      </c>
      <c r="AF1326" s="156">
        <v>30.0</v>
      </c>
      <c r="AG1326" s="159" t="s">
        <v>7525</v>
      </c>
      <c r="AH1326" s="159" t="s">
        <v>134</v>
      </c>
      <c r="AI1326" s="159" t="s">
        <v>7534</v>
      </c>
      <c r="AJ1326" s="156">
        <v>0.01</v>
      </c>
      <c r="AK1326" s="159" t="s">
        <v>135</v>
      </c>
      <c r="AL1326" s="159" t="s">
        <v>186</v>
      </c>
      <c r="AM1326" s="68" t="s">
        <v>137</v>
      </c>
      <c r="AN1326" s="330" t="s">
        <v>138</v>
      </c>
      <c r="AO1326" s="156">
        <v>80.0</v>
      </c>
      <c r="AP1326" s="156">
        <v>0.08</v>
      </c>
      <c r="AQ1326" s="159" t="s">
        <v>874</v>
      </c>
      <c r="AR1326" s="159" t="s">
        <v>7556</v>
      </c>
      <c r="AS1326" s="156">
        <v>0.06</v>
      </c>
      <c r="AT1326" s="159" t="s">
        <v>172</v>
      </c>
      <c r="AU1326" s="159" t="s">
        <v>186</v>
      </c>
      <c r="AV1326" s="68" t="s">
        <v>137</v>
      </c>
      <c r="AW1326" s="1058" t="s">
        <v>138</v>
      </c>
      <c r="AX1326" s="68" t="s">
        <v>143</v>
      </c>
      <c r="AY1326" s="61" t="str">
        <f>IFERROR(__xludf.DUMMYFUNCTION("vlookup(BB1326,importrange(""https://docs.google.com/spreadsheets/d/1d2vevQ_7D_v35q4wCQ4RpQ_IPoTwEMB9Yp6ymwlPqew/edit?gid=984458430#gid=984458430"", ""'replication success'!A:K""), 11, FAlSE)"),"uninformative")</f>
        <v>uninformative</v>
      </c>
      <c r="AZ1326" s="61" t="str">
        <f>IFERROR(__xludf.DUMMYFUNCTION("vlookup(BB1326,importrange(""https://docs.google.com/spreadsheets/d/1d2vevQ_7D_v35q4wCQ4RpQ_IPoTwEMB9Yp6ymwlPqew/edit?gid=984458430#gid=984458430"", ""'replication success'!A:M""), 12, FAlSE)"),"NA")</f>
        <v>NA</v>
      </c>
      <c r="BA1326" s="61" t="str">
        <f>IFERROR(__xludf.DUMMYFUNCTION("vlookup(BB1326,importrange(""https://docs.google.com/spreadsheets/d/1d2vevQ_7D_v35q4wCQ4RpQ_IPoTwEMB9Yp6ymwlPqew/edit?gid=984458430#gid=984458430"", ""'replication success'!A:M""), 13, FAlSE)"),"abstract")</f>
        <v>abstract</v>
      </c>
      <c r="BB1326" s="61" t="str">
        <f>IFERROR(__xludf.DUMMYFUNCTION("REGEXREPLACE(G1326, ""_[a-z]{1,2}$"", """")"),"curatescience23")</f>
        <v>curatescience23</v>
      </c>
      <c r="BD1326" s="62" t="s">
        <v>144</v>
      </c>
    </row>
    <row r="1327">
      <c r="A1327" s="44">
        <v>1327.0</v>
      </c>
      <c r="B1327" s="62" t="s">
        <v>152</v>
      </c>
      <c r="C1327" s="62" t="s">
        <v>115</v>
      </c>
      <c r="D1327" s="62" t="s">
        <v>1270</v>
      </c>
      <c r="F1327" s="46" t="s">
        <v>7557</v>
      </c>
      <c r="G1327" s="47" t="s">
        <v>7558</v>
      </c>
      <c r="H1327" s="159" t="s">
        <v>5024</v>
      </c>
      <c r="I1327" s="511">
        <v>45646.0</v>
      </c>
      <c r="J1327" s="540">
        <v>45736.0</v>
      </c>
      <c r="K1327" s="360" t="s">
        <v>7559</v>
      </c>
      <c r="L1327" s="360" t="s">
        <v>7350</v>
      </c>
      <c r="M1327" s="690" t="s">
        <v>7560</v>
      </c>
      <c r="N1327" s="360" t="s">
        <v>7517</v>
      </c>
      <c r="O1327" s="360" t="s">
        <v>3580</v>
      </c>
      <c r="P1327" s="360" t="s">
        <v>7518</v>
      </c>
      <c r="Q1327" s="52" t="str">
        <f t="array" ref="Q1327"> if(iserror(MATCH(V1327, 'File Links'!C:C, 0)), "N/A", HYPERLINK(INDEX('File Links'!B:B, MATCH(P1327, 'File Links'!C:C, 0))))</f>
        <v>https://drive.google.com/file/d/1k_ITkShMoY3bps8YyiRV8_CnbYN3486s/view?usp=drivesdk</v>
      </c>
      <c r="R1327" s="360" t="s">
        <v>7561</v>
      </c>
      <c r="S1327" s="56" t="s">
        <v>7562</v>
      </c>
      <c r="T1327" s="46"/>
      <c r="U1327" s="46"/>
      <c r="V1327" s="198" t="str">
        <f t="shared" si="79"/>
        <v>pashler_2011.pdf</v>
      </c>
      <c r="W1327" s="46"/>
      <c r="X1327" s="54" t="str">
        <f t="array" ref="X1327"> if(iserror(MATCH(V1327, 'File Links'!C:C, 0)), "N/A", HYPERLINK(INDEX('File Links'!B:B, MATCH(V1327, 'File Links'!C:C, 0))))</f>
        <v>https://drive.google.com/file/d/1i2aa1erQ9i9knP8Z5bgGiSt6DXX7U7Fa/view?usp=drivesdk</v>
      </c>
      <c r="Y1327" s="46"/>
      <c r="Z1327" s="360" t="s">
        <v>226</v>
      </c>
      <c r="AA1327" s="360" t="s">
        <v>7522</v>
      </c>
      <c r="AB1327" s="46"/>
      <c r="AC1327" s="159" t="s">
        <v>7523</v>
      </c>
      <c r="AD1327" s="1290" t="s">
        <v>7524</v>
      </c>
      <c r="AE1327" s="357">
        <v>8.0</v>
      </c>
      <c r="AF1327" s="357">
        <v>30.0</v>
      </c>
      <c r="AG1327" s="360" t="s">
        <v>7525</v>
      </c>
      <c r="AH1327" s="51" t="s">
        <v>134</v>
      </c>
      <c r="AI1327" s="47" t="s">
        <v>613</v>
      </c>
      <c r="AJ1327" s="508">
        <v>0.01</v>
      </c>
      <c r="AK1327" s="360" t="s">
        <v>135</v>
      </c>
      <c r="AL1327" s="47" t="s">
        <v>186</v>
      </c>
      <c r="AM1327" s="46" t="s">
        <v>137</v>
      </c>
      <c r="AN1327" s="330" t="s">
        <v>138</v>
      </c>
      <c r="AO1327" s="357">
        <v>66.0</v>
      </c>
      <c r="AP1327" s="380" t="s">
        <v>7563</v>
      </c>
      <c r="AQ1327" s="360" t="s">
        <v>134</v>
      </c>
      <c r="AR1327" s="360" t="s">
        <v>875</v>
      </c>
      <c r="AS1327" s="357">
        <v>0.38</v>
      </c>
      <c r="AT1327" s="360" t="s">
        <v>172</v>
      </c>
      <c r="AU1327" s="360" t="s">
        <v>186</v>
      </c>
      <c r="AV1327" s="46" t="s">
        <v>137</v>
      </c>
      <c r="AW1327" s="1058" t="s">
        <v>138</v>
      </c>
      <c r="AX1327" s="46" t="s">
        <v>143</v>
      </c>
      <c r="AY1327" s="61" t="str">
        <f>IFERROR(__xludf.DUMMYFUNCTION("vlookup(BB1327,importrange(""https://docs.google.com/spreadsheets/d/1d2vevQ_7D_v35q4wCQ4RpQ_IPoTwEMB9Yp6ymwlPqew/edit?gid=984458430#gid=984458430"", ""'replication success'!A:K""), 11, FAlSE)"),"failed")</f>
        <v>failed</v>
      </c>
      <c r="AZ1327" s="61" t="str">
        <f>IFERROR(__xludf.DUMMYFUNCTION("vlookup(BB1327,importrange(""https://docs.google.com/spreadsheets/d/1d2vevQ_7D_v35q4wCQ4RpQ_IPoTwEMB9Yp6ymwlPqew/edit?gid=984458430#gid=984458430"", ""'replication success'!A:M""), 12, FAlSE)"),"Failure to Replicate")</f>
        <v>Failure to Replicate</v>
      </c>
      <c r="BA1327" s="61" t="str">
        <f>IFERROR(__xludf.DUMMYFUNCTION("vlookup(BB1327,importrange(""https://docs.google.com/spreadsheets/d/1d2vevQ_7D_v35q4wCQ4RpQ_IPoTwEMB9Yp6ymwlPqew/edit?gid=984458430#gid=984458430"", ""'replication success'!A:M""), 13, FAlSE)"),"abstract")</f>
        <v>abstract</v>
      </c>
      <c r="BB1327" s="61" t="str">
        <f>IFERROR(__xludf.DUMMYFUNCTION("REGEXREPLACE(G1327, ""_[a-z]{1,2}$"", """")"),"curatescience24")</f>
        <v>curatescience24</v>
      </c>
      <c r="BD1327" s="62" t="s">
        <v>144</v>
      </c>
    </row>
    <row r="1328">
      <c r="A1328" s="44">
        <v>1328.0</v>
      </c>
      <c r="B1328" s="129" t="s">
        <v>114</v>
      </c>
      <c r="C1328" s="62" t="s">
        <v>115</v>
      </c>
      <c r="D1328" s="62" t="s">
        <v>248</v>
      </c>
      <c r="F1328" s="68" t="s">
        <v>7557</v>
      </c>
      <c r="G1328" s="159" t="s">
        <v>7558</v>
      </c>
      <c r="H1328" s="159" t="s">
        <v>249</v>
      </c>
      <c r="I1328" s="152">
        <v>45782.0</v>
      </c>
      <c r="J1328" s="540">
        <v>45736.0</v>
      </c>
      <c r="K1328" s="159" t="s">
        <v>7530</v>
      </c>
      <c r="L1328" s="159" t="s">
        <v>7350</v>
      </c>
      <c r="M1328" s="159" t="s">
        <v>7531</v>
      </c>
      <c r="N1328" s="159" t="s">
        <v>7517</v>
      </c>
      <c r="O1328" s="159" t="s">
        <v>3580</v>
      </c>
      <c r="P1328" s="159" t="str">
        <f>SUBSTITUTE(LOWER(N1328), "/", "--") &amp;  ".pdf"</f>
        <v>10.1037--0022-3514.71.2.230.pdf</v>
      </c>
      <c r="Q1328" s="52" t="str">
        <f t="array" ref="Q1328"> if(iserror(MATCH(V1328, 'File Links'!C:C, 0)), "N/A", HYPERLINK(INDEX('File Links'!B:B, MATCH(P1328, 'File Links'!C:C, 0))))</f>
        <v>https://drive.google.com/file/d/1k_ITkShMoY3bps8YyiRV8_CnbYN3486s/view?usp=drivesdk</v>
      </c>
      <c r="R1328" s="159" t="s">
        <v>7561</v>
      </c>
      <c r="S1328" s="56" t="s">
        <v>7562</v>
      </c>
      <c r="T1328" s="68"/>
      <c r="U1328" s="129">
        <v>1.0</v>
      </c>
      <c r="V1328" s="198" t="str">
        <f t="shared" si="79"/>
        <v>pashler_2011.pdf</v>
      </c>
      <c r="W1328" s="159" t="s">
        <v>7564</v>
      </c>
      <c r="X1328" s="54" t="str">
        <f t="array" ref="X1328"> if(iserror(MATCH(V1328, 'File Links'!C:C, 0)), "N/A", HYPERLINK(INDEX('File Links'!B:B, MATCH(V1328, 'File Links'!C:C, 0))))</f>
        <v>https://drive.google.com/file/d/1i2aa1erQ9i9knP8Z5bgGiSt6DXX7U7Fa/view?usp=drivesdk</v>
      </c>
      <c r="Y1328" s="68"/>
      <c r="Z1328" s="159" t="s">
        <v>226</v>
      </c>
      <c r="AA1328" s="159" t="s">
        <v>4052</v>
      </c>
      <c r="AB1328" s="159" t="s">
        <v>7532</v>
      </c>
      <c r="AC1328" s="159" t="s">
        <v>7533</v>
      </c>
      <c r="AD1328" s="1290" t="s">
        <v>7524</v>
      </c>
      <c r="AE1328" s="159" t="s">
        <v>604</v>
      </c>
      <c r="AF1328" s="156">
        <v>30.0</v>
      </c>
      <c r="AG1328" s="159" t="s">
        <v>7525</v>
      </c>
      <c r="AH1328" s="159" t="s">
        <v>134</v>
      </c>
      <c r="AI1328" s="159" t="s">
        <v>7534</v>
      </c>
      <c r="AJ1328" s="156">
        <v>0.01</v>
      </c>
      <c r="AK1328" s="159" t="s">
        <v>135</v>
      </c>
      <c r="AL1328" s="159" t="s">
        <v>186</v>
      </c>
      <c r="AM1328" s="68" t="s">
        <v>137</v>
      </c>
      <c r="AN1328" s="330" t="s">
        <v>138</v>
      </c>
      <c r="AO1328" s="156">
        <v>66.0</v>
      </c>
      <c r="AP1328" s="159" t="s">
        <v>7563</v>
      </c>
      <c r="AQ1328" s="159" t="s">
        <v>134</v>
      </c>
      <c r="AR1328" s="159" t="s">
        <v>7565</v>
      </c>
      <c r="AS1328" s="156">
        <v>0.38</v>
      </c>
      <c r="AT1328" s="159" t="s">
        <v>172</v>
      </c>
      <c r="AU1328" s="159" t="s">
        <v>186</v>
      </c>
      <c r="AV1328" s="68" t="s">
        <v>137</v>
      </c>
      <c r="AW1328" s="1058" t="s">
        <v>138</v>
      </c>
      <c r="AX1328" s="68" t="s">
        <v>143</v>
      </c>
      <c r="AY1328" s="61" t="str">
        <f>IFERROR(__xludf.DUMMYFUNCTION("vlookup(BB1328,importrange(""https://docs.google.com/spreadsheets/d/1d2vevQ_7D_v35q4wCQ4RpQ_IPoTwEMB9Yp6ymwlPqew/edit?gid=984458430#gid=984458430"", ""'replication success'!A:K""), 11, FAlSE)"),"failed")</f>
        <v>failed</v>
      </c>
      <c r="AZ1328" s="61" t="str">
        <f>IFERROR(__xludf.DUMMYFUNCTION("vlookup(BB1328,importrange(""https://docs.google.com/spreadsheets/d/1d2vevQ_7D_v35q4wCQ4RpQ_IPoTwEMB9Yp6ymwlPqew/edit?gid=984458430#gid=984458430"", ""'replication success'!A:M""), 12, FAlSE)"),"Failure to Replicate")</f>
        <v>Failure to Replicate</v>
      </c>
      <c r="BA1328" s="61" t="str">
        <f>IFERROR(__xludf.DUMMYFUNCTION("vlookup(BB1328,importrange(""https://docs.google.com/spreadsheets/d/1d2vevQ_7D_v35q4wCQ4RpQ_IPoTwEMB9Yp6ymwlPqew/edit?gid=984458430#gid=984458430"", ""'replication success'!A:M""), 13, FAlSE)"),"abstract")</f>
        <v>abstract</v>
      </c>
      <c r="BB1328" s="61" t="str">
        <f>IFERROR(__xludf.DUMMYFUNCTION("REGEXREPLACE(G1328, ""_[a-z]{1,2}$"", """")"),"curatescience24")</f>
        <v>curatescience24</v>
      </c>
      <c r="BD1328" s="62" t="s">
        <v>144</v>
      </c>
    </row>
    <row r="1329">
      <c r="A1329" s="44">
        <v>1329.0</v>
      </c>
      <c r="B1329" s="149" t="s">
        <v>152</v>
      </c>
      <c r="C1329" s="149" t="s">
        <v>115</v>
      </c>
      <c r="D1329" s="149" t="s">
        <v>2630</v>
      </c>
      <c r="E1329" s="71"/>
      <c r="F1329" s="218" t="s">
        <v>7566</v>
      </c>
      <c r="G1329" s="210" t="str">
        <f t="shared" ref="G1329:G1332" si="82">F1329&amp;"_"&amp;COUNTIF($B$3:F1329, F1329)</f>
        <v>curatescience241_1</v>
      </c>
      <c r="H1329" s="218" t="s">
        <v>7492</v>
      </c>
      <c r="I1329" s="415">
        <v>45676.0</v>
      </c>
      <c r="J1329" s="1451">
        <v>45681.0</v>
      </c>
      <c r="K1329" s="111"/>
      <c r="L1329" s="149" t="s">
        <v>7567</v>
      </c>
      <c r="M1329" s="1452" t="s">
        <v>7568</v>
      </c>
      <c r="N1329" s="218" t="s">
        <v>7495</v>
      </c>
      <c r="O1329" s="147">
        <v>1.0</v>
      </c>
      <c r="P1329" s="218" t="str">
        <f t="shared" ref="P1329:P1331" si="83"> SUBSTITUTE(lower(N1329), "/", "--") &amp;  ".pdf"</f>
        <v>10.1086--268936.pdf</v>
      </c>
      <c r="Q1329" s="52" t="str">
        <f t="array" ref="Q1329"> if(iserror(MATCH(V1329, 'File Links'!C:C, 0)), "N/A", HYPERLINK(INDEX('File Links'!B:B, MATCH(P1329, 'File Links'!C:C, 0))))</f>
        <v>https://drive.google.com/file/d/151z21j0N9goJiyhqVea_1u4UA83qXS6l/view?usp=drivesdk</v>
      </c>
      <c r="R1329" s="218" t="s">
        <v>7496</v>
      </c>
      <c r="S1329" s="218" t="s">
        <v>7497</v>
      </c>
      <c r="T1329" s="1121" t="s">
        <v>7498</v>
      </c>
      <c r="U1329" s="218" t="s">
        <v>7499</v>
      </c>
      <c r="V1329" s="198" t="str">
        <f t="shared" si="79"/>
        <v>10.1027--1864-9335--a000178.pdf</v>
      </c>
      <c r="W1329" s="216" t="s">
        <v>7500</v>
      </c>
      <c r="X1329" s="54" t="str">
        <f t="array" ref="X1329"> if(iserror(MATCH(V1329, 'File Links'!C:C, 0)), "N/A", HYPERLINK(INDEX('File Links'!B:B, MATCH(V1329, 'File Links'!C:C, 0))))</f>
        <v>https://drive.google.com/file/d/1fIqa3RxgdnsQkWwGnLkF4XAbM2g_WN4q/view?usp=drivesdk</v>
      </c>
      <c r="Y1329" s="111"/>
      <c r="Z1329" s="218" t="s">
        <v>226</v>
      </c>
      <c r="AA1329" s="218" t="s">
        <v>7501</v>
      </c>
      <c r="AB1329" s="218" t="s">
        <v>7502</v>
      </c>
      <c r="AC1329" s="218" t="s">
        <v>7503</v>
      </c>
      <c r="AD1329" s="218" t="s">
        <v>7504</v>
      </c>
      <c r="AE1329" s="216">
        <v>391.0</v>
      </c>
      <c r="AF1329" s="1453">
        <v>132.0</v>
      </c>
      <c r="AG1329" s="224" t="s">
        <v>7569</v>
      </c>
      <c r="AH1329" s="216" t="s">
        <v>134</v>
      </c>
      <c r="AI1329" s="216" t="s">
        <v>7570</v>
      </c>
      <c r="AJ1329" s="1164">
        <v>0.004</v>
      </c>
      <c r="AK1329" s="210" t="s">
        <v>135</v>
      </c>
      <c r="AL1329" s="47" t="s">
        <v>186</v>
      </c>
      <c r="AM1329" s="1427" t="s">
        <v>137</v>
      </c>
      <c r="AN1329" s="330" t="s">
        <v>138</v>
      </c>
      <c r="AO1329" s="1454">
        <v>5899.0</v>
      </c>
      <c r="AP1329" s="1453" t="s">
        <v>7571</v>
      </c>
      <c r="AQ1329" s="1455" t="s">
        <v>134</v>
      </c>
      <c r="AR1329" s="1456" t="s">
        <v>7572</v>
      </c>
      <c r="AS1329" s="1425">
        <v>0.001</v>
      </c>
      <c r="AT1329" s="218" t="s">
        <v>135</v>
      </c>
      <c r="AU1329" s="360" t="s">
        <v>186</v>
      </c>
      <c r="AV1329" s="1427" t="s">
        <v>137</v>
      </c>
      <c r="AW1329" s="1058" t="s">
        <v>138</v>
      </c>
      <c r="AX1329" s="1427" t="s">
        <v>143</v>
      </c>
      <c r="AY1329" s="61" t="str">
        <f>IFERROR(__xludf.DUMMYFUNCTION("vlookup(BB1329,importrange(""https://docs.google.com/spreadsheets/d/1d2vevQ_7D_v35q4wCQ4RpQ_IPoTwEMB9Yp6ymwlPqew/edit?gid=984458430#gid=984458430"", ""'replication success'!A:K""), 11, FAlSE)"),"successful")</f>
        <v>successful</v>
      </c>
      <c r="AZ1329" s="61" t="str">
        <f>IFERROR(__xludf.DUMMYFUNCTION("vlookup(BB1329,importrange(""https://docs.google.com/spreadsheets/d/1d2vevQ_7D_v35q4wCQ4RpQ_IPoTwEMB9Yp6ymwlPqew/edit?gid=984458430#gid=984458430"", ""'replication success'!A:M""), 12, FAlSE)"),"[Figure 1, pg.6]")</f>
        <v>[Figure 1, pg.6]</v>
      </c>
      <c r="BA1329" s="61" t="str">
        <f>IFERROR(__xludf.DUMMYFUNCTION("vlookup(BB1329,importrange(""https://docs.google.com/spreadsheets/d/1d2vevQ_7D_v35q4wCQ4RpQ_IPoTwEMB9Yp6ymwlPqew/edit?gid=984458430#gid=984458430"", ""'replication success'!A:M""), 13, FAlSE)"),"Figure 1, pg. 6")</f>
        <v>Figure 1, pg. 6</v>
      </c>
      <c r="BB1329" s="61" t="str">
        <f>IFERROR(__xludf.DUMMYFUNCTION("REGEXREPLACE(G1329, ""_[a-z]{1,2}$"", """")"),"curatescience241_1")</f>
        <v>curatescience241_1</v>
      </c>
      <c r="BC1329" s="1457" t="s">
        <v>7573</v>
      </c>
      <c r="BD1329" s="149" t="s">
        <v>144</v>
      </c>
    </row>
    <row r="1330">
      <c r="A1330" s="44">
        <v>1330.0</v>
      </c>
      <c r="B1330" s="149" t="s">
        <v>114</v>
      </c>
      <c r="C1330" s="149" t="s">
        <v>115</v>
      </c>
      <c r="D1330" s="149" t="s">
        <v>1234</v>
      </c>
      <c r="E1330" s="71"/>
      <c r="F1330" s="122" t="s">
        <v>7566</v>
      </c>
      <c r="G1330" s="112" t="str">
        <f t="shared" si="82"/>
        <v>curatescience241_2</v>
      </c>
      <c r="H1330" s="122" t="s">
        <v>6955</v>
      </c>
      <c r="I1330" s="417">
        <v>45901.0</v>
      </c>
      <c r="J1330" s="417">
        <v>45901.0</v>
      </c>
      <c r="K1330" s="122" t="s">
        <v>7509</v>
      </c>
      <c r="L1330" s="111"/>
      <c r="M1330" s="1458" t="s">
        <v>7568</v>
      </c>
      <c r="N1330" s="122" t="s">
        <v>7495</v>
      </c>
      <c r="O1330" s="111"/>
      <c r="P1330" s="122" t="str">
        <f t="shared" si="83"/>
        <v>10.1086--268936.pdf</v>
      </c>
      <c r="Q1330" s="108" t="str">
        <f t="array" ref="Q1330"> if(iserror(MATCH(V1330, 'File Links'!C:C, 0)), "N/A", HYPERLINK(INDEX('File Links'!B:B, MATCH(P1330, 'File Links'!C:C, 0))))</f>
        <v>N/A</v>
      </c>
      <c r="R1330" s="111"/>
      <c r="S1330" s="111"/>
      <c r="T1330" s="111"/>
      <c r="U1330" s="111"/>
      <c r="V1330" s="111"/>
      <c r="W1330" s="111"/>
      <c r="X1330" s="49" t="str">
        <f t="array" ref="X1330"> if(iserror(MATCH(V1330, 'File Links'!C:C, 0)), "N/A", HYPERLINK(INDEX('File Links'!B:B, MATCH(V1330, 'File Links'!C:C, 0))))</f>
        <v>N/A</v>
      </c>
      <c r="Y1330" s="122" t="s">
        <v>7574</v>
      </c>
      <c r="Z1330" s="111"/>
      <c r="AA1330" s="111"/>
      <c r="AB1330" s="111"/>
      <c r="AC1330" s="111"/>
      <c r="AD1330" s="111"/>
      <c r="AE1330" s="111"/>
      <c r="AF1330" s="111"/>
      <c r="AG1330" s="111"/>
      <c r="AH1330" s="111"/>
      <c r="AI1330" s="111"/>
      <c r="AJ1330" s="120"/>
      <c r="AK1330" s="114"/>
      <c r="AL1330" s="114"/>
      <c r="AM1330" s="111"/>
      <c r="AN1330" s="330" t="s">
        <v>138</v>
      </c>
      <c r="AO1330" s="111"/>
      <c r="AP1330" s="111"/>
      <c r="AQ1330" s="111"/>
      <c r="AR1330" s="111"/>
      <c r="AS1330" s="111"/>
      <c r="AT1330" s="111"/>
      <c r="AU1330" s="111"/>
      <c r="AV1330" s="111"/>
      <c r="AW1330" s="111"/>
      <c r="AX1330" s="111"/>
      <c r="AY1330" s="61" t="str">
        <f>IFERROR(__xludf.DUMMYFUNCTION("vlookup(BB1330,importrange(""https://docs.google.com/spreadsheets/d/1d2vevQ_7D_v35q4wCQ4RpQ_IPoTwEMB9Yp6ymwlPqew/edit?gid=984458430#gid=984458430"", ""'replication success'!A:K""), 11, FAlSE)"),"#N/A")</f>
        <v>#N/A</v>
      </c>
      <c r="AZ1330" s="61" t="str">
        <f>IFERROR(__xludf.DUMMYFUNCTION("vlookup(BB1330,importrange(""https://docs.google.com/spreadsheets/d/1d2vevQ_7D_v35q4wCQ4RpQ_IPoTwEMB9Yp6ymwlPqew/edit?gid=984458430#gid=984458430"", ""'replication success'!A:M""), 12, FAlSE)"),"#N/A")</f>
        <v>#N/A</v>
      </c>
      <c r="BA1330" s="61" t="str">
        <f>IFERROR(__xludf.DUMMYFUNCTION("vlookup(BB1330,importrange(""https://docs.google.com/spreadsheets/d/1d2vevQ_7D_v35q4wCQ4RpQ_IPoTwEMB9Yp6ymwlPqew/edit?gid=984458430#gid=984458430"", ""'replication success'!A:M""), 13, FAlSE)"),"#N/A")</f>
        <v>#N/A</v>
      </c>
      <c r="BB1330" s="61" t="str">
        <f>IFERROR(__xludf.DUMMYFUNCTION("REGEXREPLACE(G1330, ""_[a-z]{1,2}$"", """")"),"curatescience241_2")</f>
        <v>curatescience241_2</v>
      </c>
      <c r="BC1330" s="71"/>
      <c r="BD1330" s="149" t="s">
        <v>144</v>
      </c>
    </row>
    <row r="1331">
      <c r="A1331" s="44">
        <v>1331.0</v>
      </c>
      <c r="B1331" s="381" t="s">
        <v>114</v>
      </c>
      <c r="C1331" s="381" t="s">
        <v>115</v>
      </c>
      <c r="D1331" s="381" t="s">
        <v>2630</v>
      </c>
      <c r="E1331" s="484"/>
      <c r="F1331" s="1193" t="s">
        <v>7575</v>
      </c>
      <c r="G1331" s="1008" t="str">
        <f t="shared" si="82"/>
        <v>curatescience244_1</v>
      </c>
      <c r="H1331" s="1193" t="s">
        <v>7492</v>
      </c>
      <c r="I1331" s="1459">
        <v>45676.0</v>
      </c>
      <c r="J1331" s="170">
        <v>45684.0</v>
      </c>
      <c r="K1331" s="489"/>
      <c r="L1331" s="488" t="s">
        <v>7576</v>
      </c>
      <c r="M1331" s="1460" t="s">
        <v>7577</v>
      </c>
      <c r="N1331" s="1193" t="s">
        <v>7578</v>
      </c>
      <c r="O1331" s="488">
        <v>1.0</v>
      </c>
      <c r="P1331" s="1193" t="str">
        <f t="shared" si="83"/>
        <v>10.1037--1089-2699.6.1.101.pdf</v>
      </c>
      <c r="Q1331" s="52" t="str">
        <f t="array" ref="Q1331"> if(iserror(MATCH(V1331, 'File Links'!C:C, 0)), "N/A", HYPERLINK(INDEX('File Links'!B:B, MATCH(P1331, 'File Links'!C:C, 0))))</f>
        <v>https://drive.google.com/file/d/120bw0itAYyHMiW9T7e3mTuddlQMPW3x8/view?usp=drivesdk</v>
      </c>
      <c r="R1331" s="1193" t="s">
        <v>7496</v>
      </c>
      <c r="S1331" s="1193" t="s">
        <v>7497</v>
      </c>
      <c r="T1331" s="1461" t="s">
        <v>7498</v>
      </c>
      <c r="U1331" s="1193" t="s">
        <v>7579</v>
      </c>
      <c r="V1331" s="198" t="str">
        <f t="shared" ref="V1331:V1339" si="84"> hyperlink(vlookup(lower(S1331),#REF!, 2, FALSE), SUBSTITUTE(lower(S1331), "/", "--") &amp;  ".pdf")</f>
        <v>10.1027--1864-9335--a000178.pdf</v>
      </c>
      <c r="W1331" s="1193" t="s">
        <v>7500</v>
      </c>
      <c r="X1331" s="54" t="str">
        <f t="array" ref="X1331"> if(iserror(MATCH(V1331, 'File Links'!C:C, 0)), "N/A", HYPERLINK(INDEX('File Links'!B:B, MATCH(V1331, 'File Links'!C:C, 0))))</f>
        <v>https://drive.google.com/file/d/1fIqa3RxgdnsQkWwGnLkF4XAbM2g_WN4q/view?usp=drivesdk</v>
      </c>
      <c r="Z1331" s="1193" t="s">
        <v>226</v>
      </c>
      <c r="AA1331" s="1193" t="s">
        <v>7580</v>
      </c>
      <c r="AB1331" s="1193" t="s">
        <v>7581</v>
      </c>
      <c r="AC1331" s="1193" t="s">
        <v>7582</v>
      </c>
      <c r="AD1331" s="1193" t="s">
        <v>7583</v>
      </c>
      <c r="AE1331" s="1193" t="s">
        <v>7584</v>
      </c>
      <c r="AF1331" s="1462">
        <v>160857.0</v>
      </c>
      <c r="AG1331" s="1463">
        <v>0.71</v>
      </c>
      <c r="AH1331" s="1464" t="s">
        <v>173</v>
      </c>
      <c r="AI1331" s="1193" t="s">
        <v>7585</v>
      </c>
      <c r="AJ1331" s="1465" t="s">
        <v>138</v>
      </c>
      <c r="AK1331" s="1465" t="s">
        <v>138</v>
      </c>
      <c r="AL1331" s="1465" t="s">
        <v>138</v>
      </c>
      <c r="AM1331" s="1466" t="s">
        <v>137</v>
      </c>
      <c r="AN1331" s="330" t="s">
        <v>138</v>
      </c>
      <c r="AO1331" s="1462">
        <v>6120.0</v>
      </c>
      <c r="AP1331" s="1463">
        <v>0.68</v>
      </c>
      <c r="AQ1331" s="1193" t="s">
        <v>173</v>
      </c>
      <c r="AR1331" s="1193" t="s">
        <v>7586</v>
      </c>
      <c r="AS1331" s="1463">
        <v>0.001</v>
      </c>
      <c r="AT1331" s="1193" t="s">
        <v>135</v>
      </c>
      <c r="AU1331" s="1193" t="s">
        <v>136</v>
      </c>
      <c r="AV1331" s="1466" t="s">
        <v>137</v>
      </c>
      <c r="AW1331" s="1058" t="s">
        <v>138</v>
      </c>
      <c r="AX1331" s="1466" t="s">
        <v>143</v>
      </c>
      <c r="AY1331" s="61" t="str">
        <f>IFERROR(__xludf.DUMMYFUNCTION("vlookup(BB1331,importrange(""https://docs.google.com/spreadsheets/d/1d2vevQ_7D_v35q4wCQ4RpQ_IPoTwEMB9Yp6ymwlPqew/edit?gid=984458430#gid=984458430"", ""'replication success'!A:K""), 11, FAlSE)"),"#N/A")</f>
        <v>#N/A</v>
      </c>
      <c r="AZ1331" s="61" t="str">
        <f>IFERROR(__xludf.DUMMYFUNCTION("vlookup(BB1331,importrange(""https://docs.google.com/spreadsheets/d/1d2vevQ_7D_v35q4wCQ4RpQ_IPoTwEMB9Yp6ymwlPqew/edit?gid=984458430#gid=984458430"", ""'replication success'!A:M""), 12, FAlSE)"),"#N/A")</f>
        <v>#N/A</v>
      </c>
      <c r="BA1331" s="61" t="str">
        <f>IFERROR(__xludf.DUMMYFUNCTION("vlookup(BB1331,importrange(""https://docs.google.com/spreadsheets/d/1d2vevQ_7D_v35q4wCQ4RpQ_IPoTwEMB9Yp6ymwlPqew/edit?gid=984458430#gid=984458430"", ""'replication success'!A:M""), 13, FAlSE)"),"#N/A")</f>
        <v>#N/A</v>
      </c>
      <c r="BB1331" s="61" t="str">
        <f>IFERROR(__xludf.DUMMYFUNCTION("REGEXREPLACE(G1331, ""_[a-z]{1,2}$"", """")"),"curatescience244_1")</f>
        <v>curatescience244_1</v>
      </c>
      <c r="BC1331" s="381" t="s">
        <v>7587</v>
      </c>
      <c r="BD1331" s="381" t="s">
        <v>144</v>
      </c>
    </row>
    <row r="1332">
      <c r="A1332" s="44">
        <v>1332.0</v>
      </c>
      <c r="B1332" s="381" t="s">
        <v>152</v>
      </c>
      <c r="C1332" s="381" t="s">
        <v>115</v>
      </c>
      <c r="D1332" s="381" t="s">
        <v>1234</v>
      </c>
      <c r="E1332" s="484"/>
      <c r="F1332" s="485" t="s">
        <v>7575</v>
      </c>
      <c r="G1332" s="486" t="str">
        <f t="shared" si="82"/>
        <v>curatescience244_2</v>
      </c>
      <c r="H1332" s="485" t="s">
        <v>6955</v>
      </c>
      <c r="I1332" s="487">
        <v>45901.0</v>
      </c>
      <c r="J1332" s="170">
        <v>45684.0</v>
      </c>
      <c r="K1332" s="489"/>
      <c r="L1332" s="489"/>
      <c r="M1332" s="1467" t="s">
        <v>7588</v>
      </c>
      <c r="N1332" s="349" t="s">
        <v>7589</v>
      </c>
      <c r="O1332" s="495">
        <v>1.0</v>
      </c>
      <c r="P1332" s="159" t="str">
        <f>SUBSTITUTE(LOWER(N1332), "/", "--") &amp;  ".pdf"</f>
        <v>10.1037--0022-3514.83.1.44.pdf</v>
      </c>
      <c r="Q1332" s="52" t="str">
        <f t="array" ref="Q1332"> if(iserror(MATCH(V1332, 'File Links'!C:C, 0)), "N/A", HYPERLINK(INDEX('File Links'!B:B, MATCH(P1332, 'File Links'!C:C, 0))))</f>
        <v>https://drive.google.com/file/d/1fhnK_MpUTUYrtfdIB-pGhbkxyiXV1Wjs/view?usp=drivesdk</v>
      </c>
      <c r="R1332" s="1193" t="s">
        <v>7496</v>
      </c>
      <c r="S1332" s="1464" t="s">
        <v>7497</v>
      </c>
      <c r="T1332" s="1461" t="s">
        <v>7498</v>
      </c>
      <c r="U1332" s="1193" t="s">
        <v>7579</v>
      </c>
      <c r="V1332" s="198" t="str">
        <f t="shared" si="84"/>
        <v>10.1027--1864-9335--a000178.pdf</v>
      </c>
      <c r="W1332" s="1193" t="s">
        <v>7500</v>
      </c>
      <c r="X1332" s="54" t="str">
        <f t="array" ref="X1332"> if(iserror(MATCH(V1332, 'File Links'!C:C, 0)), "N/A", HYPERLINK(INDEX('File Links'!B:B, MATCH(V1332, 'File Links'!C:C, 0))))</f>
        <v>https://drive.google.com/file/d/1fIqa3RxgdnsQkWwGnLkF4XAbM2g_WN4q/view?usp=drivesdk</v>
      </c>
      <c r="Z1332" s="485" t="s">
        <v>226</v>
      </c>
      <c r="AA1332" s="488" t="s">
        <v>7590</v>
      </c>
      <c r="AB1332" s="1193" t="s">
        <v>7581</v>
      </c>
      <c r="AC1332" s="488" t="s">
        <v>7591</v>
      </c>
      <c r="AD1332" s="349" t="s">
        <v>7592</v>
      </c>
      <c r="AE1332" s="495">
        <v>49.0</v>
      </c>
      <c r="AF1332" s="495">
        <v>79.0</v>
      </c>
      <c r="AG1332" s="495">
        <v>1.01</v>
      </c>
      <c r="AH1332" s="485" t="s">
        <v>173</v>
      </c>
      <c r="AI1332" s="488" t="s">
        <v>7593</v>
      </c>
      <c r="AJ1332" s="494">
        <f>IFERROR(__xludf.DUMMYFUNCTION("1*10^-5"),1.0E-5)</f>
        <v>0.00001</v>
      </c>
      <c r="AK1332" s="486" t="s">
        <v>172</v>
      </c>
      <c r="AL1332" s="486" t="s">
        <v>186</v>
      </c>
      <c r="AM1332" s="489" t="s">
        <v>137</v>
      </c>
      <c r="AN1332" s="330" t="s">
        <v>138</v>
      </c>
      <c r="AO1332" s="495">
        <v>5842.0</v>
      </c>
      <c r="AP1332" s="495">
        <v>0.53</v>
      </c>
      <c r="AQ1332" s="485" t="s">
        <v>173</v>
      </c>
      <c r="AR1332" s="488" t="s">
        <v>7594</v>
      </c>
      <c r="AS1332" s="495">
        <v>0.001</v>
      </c>
      <c r="AT1332" s="485" t="s">
        <v>135</v>
      </c>
      <c r="AU1332" s="485" t="s">
        <v>186</v>
      </c>
      <c r="AV1332" s="489" t="s">
        <v>137</v>
      </c>
      <c r="AW1332" s="1468" t="s">
        <v>7595</v>
      </c>
      <c r="AX1332" s="489" t="s">
        <v>143</v>
      </c>
      <c r="AY1332" s="61" t="str">
        <f>IFERROR(__xludf.DUMMYFUNCTION("vlookup(BB1332,importrange(""https://docs.google.com/spreadsheets/d/1d2vevQ_7D_v35q4wCQ4RpQ_IPoTwEMB9Yp6ymwlPqew/edit?gid=984458430#gid=984458430"", ""'replication success'!A:K""), 11, FAlSE)"),"failed")</f>
        <v>failed</v>
      </c>
      <c r="AZ1332" s="61" t="str">
        <f>IFERROR(__xludf.DUMMYFUNCTION("vlookup(BB1332,importrange(""https://docs.google.com/spreadsheets/d/1d2vevQ_7D_v35q4wCQ4RpQ_IPoTwEMB9Yp6ymwlPqew/edit?gid=984458430#gid=984458430"", ""'replication success'!A:M""), 12, FAlSE)"),"[Figure 1, pg.6]")</f>
        <v>[Figure 1, pg.6]</v>
      </c>
      <c r="BA1332" s="61" t="str">
        <f>IFERROR(__xludf.DUMMYFUNCTION("vlookup(BB1332,importrange(""https://docs.google.com/spreadsheets/d/1d2vevQ_7D_v35q4wCQ4RpQ_IPoTwEMB9Yp6ymwlPqew/edit?gid=984458430#gid=984458430"", ""'replication success'!A:M""), 13, FAlSE)"),"Figure 1, pg. 7")</f>
        <v>Figure 1, pg. 7</v>
      </c>
      <c r="BB1332" s="61" t="str">
        <f>IFERROR(__xludf.DUMMYFUNCTION("REGEXREPLACE(G1332, ""_[a-z]{1,2}$"", """")"),"curatescience244_2")</f>
        <v>curatescience244_2</v>
      </c>
      <c r="BC1332" s="381" t="s">
        <v>7596</v>
      </c>
      <c r="BD1332" s="381" t="s">
        <v>144</v>
      </c>
    </row>
    <row r="1333">
      <c r="A1333" s="44">
        <v>1333.0</v>
      </c>
      <c r="B1333" s="62" t="s">
        <v>114</v>
      </c>
      <c r="C1333" s="62" t="s">
        <v>115</v>
      </c>
      <c r="D1333" s="62" t="s">
        <v>1270</v>
      </c>
      <c r="F1333" s="68" t="s">
        <v>7597</v>
      </c>
      <c r="G1333" s="57" t="s">
        <v>7598</v>
      </c>
      <c r="H1333" s="159" t="s">
        <v>5024</v>
      </c>
      <c r="I1333" s="434">
        <v>45644.0</v>
      </c>
      <c r="J1333" s="540">
        <v>45736.0</v>
      </c>
      <c r="K1333" s="159" t="s">
        <v>7599</v>
      </c>
      <c r="L1333" s="159"/>
      <c r="M1333" s="690" t="s">
        <v>7600</v>
      </c>
      <c r="N1333" s="159" t="s">
        <v>7517</v>
      </c>
      <c r="O1333" s="159" t="s">
        <v>3580</v>
      </c>
      <c r="P1333" s="382" t="s">
        <v>7518</v>
      </c>
      <c r="Q1333" s="52" t="str">
        <f t="array" ref="Q1333"> if(iserror(MATCH(V1333, 'File Links'!C:C, 0)), "N/A", HYPERLINK(INDEX('File Links'!B:B, MATCH(P1333, 'File Links'!C:C, 0))))</f>
        <v>https://drive.google.com/file/d/1k_ITkShMoY3bps8YyiRV8_CnbYN3486s/view?usp=drivesdk</v>
      </c>
      <c r="R1333" s="159" t="s">
        <v>7601</v>
      </c>
      <c r="S1333" s="159" t="s">
        <v>7602</v>
      </c>
      <c r="T1333" s="68"/>
      <c r="U1333" s="156">
        <v>1.0</v>
      </c>
      <c r="V1333" s="198" t="str">
        <f t="shared" si="84"/>
        <v>10.1371--journal.pone.0029081.pdf</v>
      </c>
      <c r="W1333" s="159" t="s">
        <v>7603</v>
      </c>
      <c r="X1333" s="54" t="str">
        <f t="array" ref="X1333"> if(iserror(MATCH(V1333, 'File Links'!C:C, 0)), "N/A", HYPERLINK(INDEX('File Links'!B:B, MATCH(V1333, 'File Links'!C:C, 0))))</f>
        <v>https://drive.google.com/file/d/13yA5wer3pEP6DzO7ZMN-jDmSL2aYTKUo/view?usp=drivesdk</v>
      </c>
      <c r="Z1333" s="159" t="s">
        <v>226</v>
      </c>
      <c r="AA1333" s="159" t="s">
        <v>7522</v>
      </c>
      <c r="AB1333" s="68"/>
      <c r="AC1333" s="159" t="s">
        <v>7523</v>
      </c>
      <c r="AD1333" s="159" t="s">
        <v>7524</v>
      </c>
      <c r="AE1333" s="156">
        <v>8.0</v>
      </c>
      <c r="AF1333" s="156">
        <v>30.0</v>
      </c>
      <c r="AG1333" s="159" t="s">
        <v>7525</v>
      </c>
      <c r="AH1333" s="339" t="s">
        <v>134</v>
      </c>
      <c r="AI1333" s="57" t="s">
        <v>613</v>
      </c>
      <c r="AJ1333" s="379">
        <v>0.01</v>
      </c>
      <c r="AK1333" s="159" t="s">
        <v>135</v>
      </c>
      <c r="AL1333" s="57" t="s">
        <v>186</v>
      </c>
      <c r="AM1333" s="68" t="s">
        <v>137</v>
      </c>
      <c r="AN1333" s="330" t="s">
        <v>138</v>
      </c>
      <c r="AO1333" s="156">
        <v>120.0</v>
      </c>
      <c r="AP1333" s="156">
        <v>0.01</v>
      </c>
      <c r="AQ1333" s="159" t="s">
        <v>139</v>
      </c>
      <c r="AR1333" s="159" t="s">
        <v>217</v>
      </c>
      <c r="AS1333" s="129" t="s">
        <v>138</v>
      </c>
      <c r="AT1333" s="129" t="s">
        <v>138</v>
      </c>
      <c r="AU1333" s="129" t="s">
        <v>186</v>
      </c>
      <c r="AV1333" s="129" t="s">
        <v>137</v>
      </c>
      <c r="AW1333" s="1058" t="s">
        <v>138</v>
      </c>
      <c r="AX1333" s="68" t="s">
        <v>143</v>
      </c>
      <c r="AY1333" s="61" t="str">
        <f>IFERROR(__xludf.DUMMYFUNCTION("vlookup(BB1333,importrange(""https://docs.google.com/spreadsheets/d/1d2vevQ_7D_v35q4wCQ4RpQ_IPoTwEMB9Yp6ymwlPqew/edit?gid=984458430#gid=984458430"", ""'replication success'!A:K""), 11, FAlSE)"),"failed")</f>
        <v>failed</v>
      </c>
      <c r="AZ1333" s="61" t="str">
        <f>IFERROR(__xludf.DUMMYFUNCTION("vlookup(BB1333,importrange(""https://docs.google.com/spreadsheets/d/1d2vevQ_7D_v35q4wCQ4RpQ_IPoTwEMB9Yp6ymwlPqew/edit?gid=984458430#gid=984458430"",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3" s="61" t="str">
        <f>IFERROR(__xludf.DUMMYFUNCTION("vlookup(BB1333,importrange(""https://docs.google.com/spreadsheets/d/1d2vevQ_7D_v35q4wCQ4RpQ_IPoTwEMB9Yp6ymwlPqew/edit?gid=984458430#gid=984458430"", ""'replication success'!A:M""), 13, FAlSE)"),"pg. 6")</f>
        <v>pg. 6</v>
      </c>
      <c r="BB1333" s="61" t="str">
        <f>IFERROR(__xludf.DUMMYFUNCTION("REGEXREPLACE(G1333, ""_[a-z]{1,2}$"", """")"),"curatescience25")</f>
        <v>curatescience25</v>
      </c>
      <c r="BD1333" s="62" t="s">
        <v>144</v>
      </c>
    </row>
    <row r="1334">
      <c r="A1334" s="44">
        <v>1334.0</v>
      </c>
      <c r="B1334" s="62" t="s">
        <v>114</v>
      </c>
      <c r="C1334" s="62" t="s">
        <v>115</v>
      </c>
      <c r="D1334" s="62" t="s">
        <v>1270</v>
      </c>
      <c r="F1334" s="68" t="s">
        <v>7597</v>
      </c>
      <c r="G1334" s="57" t="s">
        <v>7604</v>
      </c>
      <c r="H1334" s="159" t="s">
        <v>5024</v>
      </c>
      <c r="I1334" s="434">
        <v>45644.0</v>
      </c>
      <c r="J1334" s="540">
        <v>45736.0</v>
      </c>
      <c r="K1334" s="159" t="s">
        <v>7605</v>
      </c>
      <c r="L1334" s="159"/>
      <c r="M1334" s="690" t="s">
        <v>7606</v>
      </c>
      <c r="N1334" s="159" t="s">
        <v>7517</v>
      </c>
      <c r="O1334" s="159" t="s">
        <v>3580</v>
      </c>
      <c r="P1334" s="382" t="s">
        <v>7518</v>
      </c>
      <c r="Q1334" s="52" t="str">
        <f t="array" ref="Q1334"> if(iserror(MATCH(V1334, 'File Links'!C:C, 0)), "N/A", HYPERLINK(INDEX('File Links'!B:B, MATCH(P1334, 'File Links'!C:C, 0))))</f>
        <v>https://drive.google.com/file/d/1k_ITkShMoY3bps8YyiRV8_CnbYN3486s/view?usp=drivesdk</v>
      </c>
      <c r="R1334" s="159" t="s">
        <v>7601</v>
      </c>
      <c r="S1334" s="159" t="s">
        <v>7602</v>
      </c>
      <c r="T1334" s="68"/>
      <c r="U1334" s="156">
        <v>2.0</v>
      </c>
      <c r="V1334" s="198" t="str">
        <f t="shared" si="84"/>
        <v>10.1371--journal.pone.0029081.pdf</v>
      </c>
      <c r="W1334" s="159" t="s">
        <v>7603</v>
      </c>
      <c r="X1334" s="54" t="str">
        <f t="array" ref="X1334"> if(iserror(MATCH(V1334, 'File Links'!C:C, 0)), "N/A", HYPERLINK(INDEX('File Links'!B:B, MATCH(V1334, 'File Links'!C:C, 0))))</f>
        <v>https://drive.google.com/file/d/13yA5wer3pEP6DzO7ZMN-jDmSL2aYTKUo/view?usp=drivesdk</v>
      </c>
      <c r="Z1334" s="159" t="s">
        <v>226</v>
      </c>
      <c r="AA1334" s="159" t="s">
        <v>7522</v>
      </c>
      <c r="AB1334" s="68"/>
      <c r="AC1334" s="159" t="s">
        <v>7523</v>
      </c>
      <c r="AD1334" s="159" t="s">
        <v>7524</v>
      </c>
      <c r="AE1334" s="156">
        <v>8.0</v>
      </c>
      <c r="AF1334" s="156">
        <v>30.0</v>
      </c>
      <c r="AG1334" s="159" t="s">
        <v>7525</v>
      </c>
      <c r="AH1334" s="339" t="s">
        <v>134</v>
      </c>
      <c r="AI1334" s="57" t="s">
        <v>613</v>
      </c>
      <c r="AJ1334" s="379">
        <v>0.01</v>
      </c>
      <c r="AK1334" s="159" t="s">
        <v>135</v>
      </c>
      <c r="AL1334" s="57" t="s">
        <v>186</v>
      </c>
      <c r="AM1334" s="68" t="s">
        <v>137</v>
      </c>
      <c r="AN1334" s="330" t="s">
        <v>138</v>
      </c>
      <c r="AO1334" s="156">
        <v>25.0</v>
      </c>
      <c r="AP1334" s="156">
        <v>0.339</v>
      </c>
      <c r="AQ1334" s="159" t="s">
        <v>139</v>
      </c>
      <c r="AR1334" s="159" t="s">
        <v>496</v>
      </c>
      <c r="AS1334" s="156">
        <v>0.002</v>
      </c>
      <c r="AT1334" s="159" t="s">
        <v>172</v>
      </c>
      <c r="AU1334" s="159" t="s">
        <v>186</v>
      </c>
      <c r="AV1334" s="68" t="s">
        <v>137</v>
      </c>
      <c r="AW1334" s="1058" t="s">
        <v>138</v>
      </c>
      <c r="AX1334" s="68" t="s">
        <v>151</v>
      </c>
      <c r="AY1334" s="61" t="str">
        <f>IFERROR(__xludf.DUMMYFUNCTION("vlookup(BB1334,importrange(""https://docs.google.com/spreadsheets/d/1d2vevQ_7D_v35q4wCQ4RpQ_IPoTwEMB9Yp6ymwlPqew/edit?gid=984458430#gid=984458430"", ""'replication success'!A:K""), 11, FAlSE)"),"failed")</f>
        <v>failed</v>
      </c>
      <c r="AZ1334" s="61" t="str">
        <f>IFERROR(__xludf.DUMMYFUNCTION("vlookup(BB1334,importrange(""https://docs.google.com/spreadsheets/d/1d2vevQ_7D_v35q4wCQ4RpQ_IPoTwEMB9Yp6ymwlPqew/edit?gid=984458430#gid=984458430"",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4" s="61" t="str">
        <f>IFERROR(__xludf.DUMMYFUNCTION("vlookup(BB1334,importrange(""https://docs.google.com/spreadsheets/d/1d2vevQ_7D_v35q4wCQ4RpQ_IPoTwEMB9Yp6ymwlPqew/edit?gid=984458430#gid=984458430"", ""'replication success'!A:M""), 13, FAlSE)"),"pg. 6")</f>
        <v>pg. 6</v>
      </c>
      <c r="BB1334" s="61" t="str">
        <f>IFERROR(__xludf.DUMMYFUNCTION("REGEXREPLACE(G1334, ""_[a-z]{1,2}$"", """")"),"curatescience25")</f>
        <v>curatescience25</v>
      </c>
      <c r="BD1334" s="62" t="s">
        <v>144</v>
      </c>
    </row>
    <row r="1335">
      <c r="A1335" s="44">
        <v>1335.0</v>
      </c>
      <c r="B1335" s="62" t="s">
        <v>114</v>
      </c>
      <c r="C1335" s="62" t="s">
        <v>115</v>
      </c>
      <c r="D1335" s="62" t="s">
        <v>1270</v>
      </c>
      <c r="F1335" s="68" t="s">
        <v>7597</v>
      </c>
      <c r="G1335" s="57" t="s">
        <v>7604</v>
      </c>
      <c r="H1335" s="159" t="s">
        <v>5024</v>
      </c>
      <c r="I1335" s="434">
        <v>45646.0</v>
      </c>
      <c r="J1335" s="540">
        <v>45736.0</v>
      </c>
      <c r="K1335" s="159" t="s">
        <v>7607</v>
      </c>
      <c r="L1335" s="68"/>
      <c r="M1335" s="690" t="s">
        <v>7608</v>
      </c>
      <c r="N1335" s="159" t="s">
        <v>7517</v>
      </c>
      <c r="O1335" s="159" t="s">
        <v>3580</v>
      </c>
      <c r="P1335" s="382" t="s">
        <v>7518</v>
      </c>
      <c r="Q1335" s="52" t="str">
        <f t="array" ref="Q1335"> if(iserror(MATCH(V1335, 'File Links'!C:C, 0)), "N/A", HYPERLINK(INDEX('File Links'!B:B, MATCH(P1335, 'File Links'!C:C, 0))))</f>
        <v>https://drive.google.com/file/d/1k_ITkShMoY3bps8YyiRV8_CnbYN3486s/view?usp=drivesdk</v>
      </c>
      <c r="R1335" s="159" t="s">
        <v>7601</v>
      </c>
      <c r="S1335" s="159" t="s">
        <v>7602</v>
      </c>
      <c r="T1335" s="68"/>
      <c r="U1335" s="156">
        <v>2.0</v>
      </c>
      <c r="V1335" s="198" t="str">
        <f t="shared" si="84"/>
        <v>10.1371--journal.pone.0029081.pdf</v>
      </c>
      <c r="W1335" s="159" t="s">
        <v>7603</v>
      </c>
      <c r="X1335" s="54" t="str">
        <f t="array" ref="X1335"> if(iserror(MATCH(V1335, 'File Links'!C:C, 0)), "N/A", HYPERLINK(INDEX('File Links'!B:B, MATCH(V1335, 'File Links'!C:C, 0))))</f>
        <v>https://drive.google.com/file/d/13yA5wer3pEP6DzO7ZMN-jDmSL2aYTKUo/view?usp=drivesdk</v>
      </c>
      <c r="Z1335" s="159" t="s">
        <v>226</v>
      </c>
      <c r="AA1335" s="159" t="s">
        <v>7522</v>
      </c>
      <c r="AB1335" s="68"/>
      <c r="AC1335" s="159" t="s">
        <v>7523</v>
      </c>
      <c r="AD1335" s="159" t="s">
        <v>7524</v>
      </c>
      <c r="AE1335" s="156">
        <v>8.0</v>
      </c>
      <c r="AF1335" s="156">
        <v>30.0</v>
      </c>
      <c r="AG1335" s="159" t="s">
        <v>7525</v>
      </c>
      <c r="AH1335" s="339" t="s">
        <v>134</v>
      </c>
      <c r="AI1335" s="57" t="s">
        <v>613</v>
      </c>
      <c r="AJ1335" s="379">
        <v>0.01</v>
      </c>
      <c r="AK1335" s="159" t="s">
        <v>135</v>
      </c>
      <c r="AL1335" s="57" t="s">
        <v>186</v>
      </c>
      <c r="AM1335" s="68" t="s">
        <v>137</v>
      </c>
      <c r="AN1335" s="330" t="s">
        <v>138</v>
      </c>
      <c r="AO1335" s="156">
        <v>50.0</v>
      </c>
      <c r="AP1335" s="156">
        <v>0.295</v>
      </c>
      <c r="AQ1335" s="159" t="s">
        <v>139</v>
      </c>
      <c r="AR1335" s="159" t="s">
        <v>496</v>
      </c>
      <c r="AS1335" s="156">
        <v>0.001</v>
      </c>
      <c r="AT1335" s="159" t="s">
        <v>135</v>
      </c>
      <c r="AU1335" s="159" t="s">
        <v>186</v>
      </c>
      <c r="AV1335" s="68" t="s">
        <v>137</v>
      </c>
      <c r="AW1335" s="1058" t="s">
        <v>138</v>
      </c>
      <c r="AX1335" s="68" t="s">
        <v>151</v>
      </c>
      <c r="AY1335" s="61" t="str">
        <f>IFERROR(__xludf.DUMMYFUNCTION("vlookup(BB1335,importrange(""https://docs.google.com/spreadsheets/d/1d2vevQ_7D_v35q4wCQ4RpQ_IPoTwEMB9Yp6ymwlPqew/edit?gid=984458430#gid=984458430"", ""'replication success'!A:K""), 11, FAlSE)"),"failed")</f>
        <v>failed</v>
      </c>
      <c r="AZ1335" s="61" t="str">
        <f>IFERROR(__xludf.DUMMYFUNCTION("vlookup(BB1335,importrange(""https://docs.google.com/spreadsheets/d/1d2vevQ_7D_v35q4wCQ4RpQ_IPoTwEMB9Yp6ymwlPqew/edit?gid=984458430#gid=984458430"",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5" s="61" t="str">
        <f>IFERROR(__xludf.DUMMYFUNCTION("vlookup(BB1335,importrange(""https://docs.google.com/spreadsheets/d/1d2vevQ_7D_v35q4wCQ4RpQ_IPoTwEMB9Yp6ymwlPqew/edit?gid=984458430#gid=984458430"", ""'replication success'!A:M""), 13, FAlSE)"),"pg. 6")</f>
        <v>pg. 6</v>
      </c>
      <c r="BB1335" s="61" t="str">
        <f>IFERROR(__xludf.DUMMYFUNCTION("REGEXREPLACE(G1335, ""_[a-z]{1,2}$"", """")"),"curatescience25")</f>
        <v>curatescience25</v>
      </c>
      <c r="BD1335" s="62" t="s">
        <v>144</v>
      </c>
    </row>
    <row r="1336">
      <c r="A1336" s="44">
        <v>1336.0</v>
      </c>
      <c r="B1336" s="62" t="s">
        <v>114</v>
      </c>
      <c r="C1336" s="62" t="s">
        <v>115</v>
      </c>
      <c r="D1336" s="62" t="s">
        <v>1270</v>
      </c>
      <c r="F1336" s="68" t="s">
        <v>7597</v>
      </c>
      <c r="G1336" s="57" t="s">
        <v>7604</v>
      </c>
      <c r="H1336" s="159" t="s">
        <v>5024</v>
      </c>
      <c r="I1336" s="434">
        <v>45646.0</v>
      </c>
      <c r="J1336" s="540">
        <v>45736.0</v>
      </c>
      <c r="K1336" s="159" t="s">
        <v>7609</v>
      </c>
      <c r="L1336" s="68"/>
      <c r="M1336" s="690" t="s">
        <v>7610</v>
      </c>
      <c r="N1336" s="159" t="s">
        <v>7517</v>
      </c>
      <c r="O1336" s="159" t="s">
        <v>3580</v>
      </c>
      <c r="P1336" s="382" t="s">
        <v>7518</v>
      </c>
      <c r="Q1336" s="52" t="str">
        <f t="array" ref="Q1336"> if(iserror(MATCH(V1336, 'File Links'!C:C, 0)), "N/A", HYPERLINK(INDEX('File Links'!B:B, MATCH(P1336, 'File Links'!C:C, 0))))</f>
        <v>https://drive.google.com/file/d/1k_ITkShMoY3bps8YyiRV8_CnbYN3486s/view?usp=drivesdk</v>
      </c>
      <c r="R1336" s="159" t="s">
        <v>7601</v>
      </c>
      <c r="S1336" s="159" t="s">
        <v>7602</v>
      </c>
      <c r="T1336" s="68"/>
      <c r="U1336" s="156">
        <v>2.0</v>
      </c>
      <c r="V1336" s="198" t="str">
        <f t="shared" si="84"/>
        <v>10.1371--journal.pone.0029081.pdf</v>
      </c>
      <c r="W1336" s="159" t="s">
        <v>7603</v>
      </c>
      <c r="X1336" s="54" t="str">
        <f t="array" ref="X1336"> if(iserror(MATCH(V1336, 'File Links'!C:C, 0)), "N/A", HYPERLINK(INDEX('File Links'!B:B, MATCH(V1336, 'File Links'!C:C, 0))))</f>
        <v>https://drive.google.com/file/d/13yA5wer3pEP6DzO7ZMN-jDmSL2aYTKUo/view?usp=drivesdk</v>
      </c>
      <c r="Z1336" s="159" t="s">
        <v>226</v>
      </c>
      <c r="AA1336" s="159" t="s">
        <v>7522</v>
      </c>
      <c r="AB1336" s="68"/>
      <c r="AC1336" s="159" t="s">
        <v>7523</v>
      </c>
      <c r="AD1336" s="159" t="s">
        <v>7524</v>
      </c>
      <c r="AE1336" s="156">
        <v>8.0</v>
      </c>
      <c r="AF1336" s="156">
        <v>30.0</v>
      </c>
      <c r="AG1336" s="159" t="s">
        <v>7525</v>
      </c>
      <c r="AH1336" s="339" t="s">
        <v>134</v>
      </c>
      <c r="AI1336" s="57" t="s">
        <v>613</v>
      </c>
      <c r="AJ1336" s="379">
        <v>0.01</v>
      </c>
      <c r="AK1336" s="159" t="s">
        <v>135</v>
      </c>
      <c r="AL1336" s="57" t="s">
        <v>186</v>
      </c>
      <c r="AM1336" s="68" t="s">
        <v>137</v>
      </c>
      <c r="AN1336" s="330" t="s">
        <v>138</v>
      </c>
      <c r="AO1336" s="156">
        <v>25.0</v>
      </c>
      <c r="AP1336" s="156">
        <v>0.274</v>
      </c>
      <c r="AQ1336" s="159" t="s">
        <v>139</v>
      </c>
      <c r="AR1336" s="159" t="s">
        <v>496</v>
      </c>
      <c r="AS1336" s="156">
        <v>0.012</v>
      </c>
      <c r="AT1336" s="159" t="s">
        <v>172</v>
      </c>
      <c r="AU1336" s="159" t="s">
        <v>186</v>
      </c>
      <c r="AV1336" s="68" t="s">
        <v>137</v>
      </c>
      <c r="AW1336" s="1058" t="s">
        <v>138</v>
      </c>
      <c r="AX1336" s="68" t="s">
        <v>151</v>
      </c>
      <c r="AY1336" s="61" t="str">
        <f>IFERROR(__xludf.DUMMYFUNCTION("vlookup(BB1336,importrange(""https://docs.google.com/spreadsheets/d/1d2vevQ_7D_v35q4wCQ4RpQ_IPoTwEMB9Yp6ymwlPqew/edit?gid=984458430#gid=984458430"", ""'replication success'!A:K""), 11, FAlSE)"),"failed")</f>
        <v>failed</v>
      </c>
      <c r="AZ1336" s="61" t="str">
        <f>IFERROR(__xludf.DUMMYFUNCTION("vlookup(BB1336,importrange(""https://docs.google.com/spreadsheets/d/1d2vevQ_7D_v35q4wCQ4RpQ_IPoTwEMB9Yp6ymwlPqew/edit?gid=984458430#gid=984458430"",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6" s="61" t="str">
        <f>IFERROR(__xludf.DUMMYFUNCTION("vlookup(BB1336,importrange(""https://docs.google.com/spreadsheets/d/1d2vevQ_7D_v35q4wCQ4RpQ_IPoTwEMB9Yp6ymwlPqew/edit?gid=984458430#gid=984458430"", ""'replication success'!A:M""), 13, FAlSE)"),"pg. 6")</f>
        <v>pg. 6</v>
      </c>
      <c r="BB1336" s="61" t="str">
        <f>IFERROR(__xludf.DUMMYFUNCTION("REGEXREPLACE(G1336, ""_[a-z]{1,2}$"", """")"),"curatescience25")</f>
        <v>curatescience25</v>
      </c>
      <c r="BD1336" s="62" t="s">
        <v>144</v>
      </c>
    </row>
    <row r="1337">
      <c r="A1337" s="44">
        <v>1337.0</v>
      </c>
      <c r="B1337" s="62" t="s">
        <v>114</v>
      </c>
      <c r="C1337" s="62" t="s">
        <v>115</v>
      </c>
      <c r="D1337" s="62" t="s">
        <v>1270</v>
      </c>
      <c r="F1337" s="68" t="s">
        <v>7597</v>
      </c>
      <c r="G1337" s="57" t="s">
        <v>7604</v>
      </c>
      <c r="H1337" s="159" t="s">
        <v>5024</v>
      </c>
      <c r="I1337" s="434">
        <v>45646.0</v>
      </c>
      <c r="J1337" s="540">
        <v>45736.0</v>
      </c>
      <c r="K1337" s="159" t="s">
        <v>7611</v>
      </c>
      <c r="L1337" s="68"/>
      <c r="M1337" s="690" t="s">
        <v>7612</v>
      </c>
      <c r="N1337" s="159" t="s">
        <v>7517</v>
      </c>
      <c r="O1337" s="159" t="s">
        <v>3580</v>
      </c>
      <c r="P1337" s="382" t="s">
        <v>7518</v>
      </c>
      <c r="Q1337" s="52" t="str">
        <f t="array" ref="Q1337"> if(iserror(MATCH(V1337, 'File Links'!C:C, 0)), "N/A", HYPERLINK(INDEX('File Links'!B:B, MATCH(P1337, 'File Links'!C:C, 0))))</f>
        <v>https://drive.google.com/file/d/1k_ITkShMoY3bps8YyiRV8_CnbYN3486s/view?usp=drivesdk</v>
      </c>
      <c r="R1337" s="159" t="s">
        <v>7601</v>
      </c>
      <c r="S1337" s="159" t="s">
        <v>7602</v>
      </c>
      <c r="T1337" s="68"/>
      <c r="U1337" s="156">
        <v>2.0</v>
      </c>
      <c r="V1337" s="198" t="str">
        <f t="shared" si="84"/>
        <v>10.1371--journal.pone.0029081.pdf</v>
      </c>
      <c r="W1337" s="159" t="s">
        <v>7603</v>
      </c>
      <c r="X1337" s="54" t="str">
        <f t="array" ref="X1337"> if(iserror(MATCH(V1337, 'File Links'!C:C, 0)), "N/A", HYPERLINK(INDEX('File Links'!B:B, MATCH(V1337, 'File Links'!C:C, 0))))</f>
        <v>https://drive.google.com/file/d/13yA5wer3pEP6DzO7ZMN-jDmSL2aYTKUo/view?usp=drivesdk</v>
      </c>
      <c r="Z1337" s="159" t="s">
        <v>226</v>
      </c>
      <c r="AA1337" s="159" t="s">
        <v>7522</v>
      </c>
      <c r="AB1337" s="68"/>
      <c r="AC1337" s="159" t="s">
        <v>7523</v>
      </c>
      <c r="AD1337" s="159" t="s">
        <v>7524</v>
      </c>
      <c r="AE1337" s="156">
        <v>8.0</v>
      </c>
      <c r="AF1337" s="156">
        <v>30.0</v>
      </c>
      <c r="AG1337" s="159" t="s">
        <v>7525</v>
      </c>
      <c r="AH1337" s="339" t="s">
        <v>134</v>
      </c>
      <c r="AI1337" s="57" t="s">
        <v>613</v>
      </c>
      <c r="AJ1337" s="379">
        <v>0.01</v>
      </c>
      <c r="AK1337" s="159" t="s">
        <v>135</v>
      </c>
      <c r="AL1337" s="57" t="s">
        <v>186</v>
      </c>
      <c r="AM1337" s="68" t="s">
        <v>137</v>
      </c>
      <c r="AN1337" s="330" t="s">
        <v>138</v>
      </c>
      <c r="AO1337" s="156">
        <v>25.0</v>
      </c>
      <c r="AP1337" s="156">
        <v>0.228</v>
      </c>
      <c r="AQ1337" s="159" t="s">
        <v>139</v>
      </c>
      <c r="AR1337" s="159" t="s">
        <v>496</v>
      </c>
      <c r="AS1337" s="156">
        <v>0.014</v>
      </c>
      <c r="AT1337" s="159" t="s">
        <v>172</v>
      </c>
      <c r="AU1337" s="159" t="s">
        <v>186</v>
      </c>
      <c r="AV1337" s="68" t="s">
        <v>137</v>
      </c>
      <c r="AW1337" s="1058" t="s">
        <v>138</v>
      </c>
      <c r="AX1337" s="68" t="s">
        <v>151</v>
      </c>
      <c r="AY1337" s="61" t="str">
        <f>IFERROR(__xludf.DUMMYFUNCTION("vlookup(BB1337,importrange(""https://docs.google.com/spreadsheets/d/1d2vevQ_7D_v35q4wCQ4RpQ_IPoTwEMB9Yp6ymwlPqew/edit?gid=984458430#gid=984458430"", ""'replication success'!A:K""), 11, FAlSE)"),"failed")</f>
        <v>failed</v>
      </c>
      <c r="AZ1337" s="61" t="str">
        <f>IFERROR(__xludf.DUMMYFUNCTION("vlookup(BB1337,importrange(""https://docs.google.com/spreadsheets/d/1d2vevQ_7D_v35q4wCQ4RpQ_IPoTwEMB9Yp6ymwlPqew/edit?gid=984458430#gid=984458430"",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7" s="61" t="str">
        <f>IFERROR(__xludf.DUMMYFUNCTION("vlookup(BB1337,importrange(""https://docs.google.com/spreadsheets/d/1d2vevQ_7D_v35q4wCQ4RpQ_IPoTwEMB9Yp6ymwlPqew/edit?gid=984458430#gid=984458430"", ""'replication success'!A:M""), 13, FAlSE)"),"pg. 6")</f>
        <v>pg. 6</v>
      </c>
      <c r="BB1337" s="61" t="str">
        <f>IFERROR(__xludf.DUMMYFUNCTION("REGEXREPLACE(G1337, ""_[a-z]{1,2}$"", """")"),"curatescience25")</f>
        <v>curatescience25</v>
      </c>
      <c r="BD1337" s="62" t="s">
        <v>144</v>
      </c>
    </row>
    <row r="1338">
      <c r="A1338" s="44">
        <v>1338.0</v>
      </c>
      <c r="B1338" s="62" t="s">
        <v>114</v>
      </c>
      <c r="C1338" s="62" t="s">
        <v>115</v>
      </c>
      <c r="D1338" s="62" t="s">
        <v>1270</v>
      </c>
      <c r="F1338" s="68" t="s">
        <v>7597</v>
      </c>
      <c r="G1338" s="57" t="s">
        <v>7604</v>
      </c>
      <c r="H1338" s="159" t="s">
        <v>5024</v>
      </c>
      <c r="I1338" s="434">
        <v>45646.0</v>
      </c>
      <c r="J1338" s="540">
        <v>45736.0</v>
      </c>
      <c r="K1338" s="159" t="s">
        <v>7613</v>
      </c>
      <c r="L1338" s="68"/>
      <c r="M1338" s="690" t="s">
        <v>7614</v>
      </c>
      <c r="N1338" s="159" t="s">
        <v>7517</v>
      </c>
      <c r="O1338" s="159" t="s">
        <v>3580</v>
      </c>
      <c r="P1338" s="382" t="s">
        <v>7518</v>
      </c>
      <c r="Q1338" s="52" t="str">
        <f t="array" ref="Q1338"> if(iserror(MATCH(V1338, 'File Links'!C:C, 0)), "N/A", HYPERLINK(INDEX('File Links'!B:B, MATCH(P1338, 'File Links'!C:C, 0))))</f>
        <v>https://drive.google.com/file/d/1k_ITkShMoY3bps8YyiRV8_CnbYN3486s/view?usp=drivesdk</v>
      </c>
      <c r="R1338" s="159" t="s">
        <v>7601</v>
      </c>
      <c r="S1338" s="159" t="s">
        <v>7602</v>
      </c>
      <c r="T1338" s="68"/>
      <c r="U1338" s="156">
        <v>2.0</v>
      </c>
      <c r="V1338" s="198" t="str">
        <f t="shared" si="84"/>
        <v>10.1371--journal.pone.0029081.pdf</v>
      </c>
      <c r="W1338" s="159" t="s">
        <v>7603</v>
      </c>
      <c r="X1338" s="54" t="str">
        <f t="array" ref="X1338"> if(iserror(MATCH(V1338, 'File Links'!C:C, 0)), "N/A", HYPERLINK(INDEX('File Links'!B:B, MATCH(V1338, 'File Links'!C:C, 0))))</f>
        <v>https://drive.google.com/file/d/13yA5wer3pEP6DzO7ZMN-jDmSL2aYTKUo/view?usp=drivesdk</v>
      </c>
      <c r="Z1338" s="159" t="s">
        <v>226</v>
      </c>
      <c r="AA1338" s="159" t="s">
        <v>7522</v>
      </c>
      <c r="AB1338" s="68"/>
      <c r="AC1338" s="159" t="s">
        <v>7523</v>
      </c>
      <c r="AD1338" s="159" t="s">
        <v>7524</v>
      </c>
      <c r="AE1338" s="156">
        <v>8.0</v>
      </c>
      <c r="AF1338" s="156">
        <v>30.0</v>
      </c>
      <c r="AG1338" s="159" t="s">
        <v>7525</v>
      </c>
      <c r="AH1338" s="339" t="s">
        <v>134</v>
      </c>
      <c r="AI1338" s="57" t="s">
        <v>613</v>
      </c>
      <c r="AJ1338" s="379">
        <v>0.01</v>
      </c>
      <c r="AK1338" s="159" t="s">
        <v>135</v>
      </c>
      <c r="AL1338" s="57" t="s">
        <v>186</v>
      </c>
      <c r="AM1338" s="68" t="s">
        <v>137</v>
      </c>
      <c r="AN1338" s="330" t="s">
        <v>138</v>
      </c>
      <c r="AO1338" s="156">
        <v>25.0</v>
      </c>
      <c r="AP1338" s="156">
        <v>0.011</v>
      </c>
      <c r="AQ1338" s="159" t="s">
        <v>139</v>
      </c>
      <c r="AR1338" s="159" t="s">
        <v>496</v>
      </c>
      <c r="AS1338" s="156">
        <v>0.636</v>
      </c>
      <c r="AT1338" s="159" t="s">
        <v>172</v>
      </c>
      <c r="AU1338" s="159" t="s">
        <v>186</v>
      </c>
      <c r="AV1338" s="68" t="s">
        <v>137</v>
      </c>
      <c r="AW1338" s="1058" t="s">
        <v>138</v>
      </c>
      <c r="AX1338" s="68" t="s">
        <v>151</v>
      </c>
      <c r="AY1338" s="61" t="str">
        <f>IFERROR(__xludf.DUMMYFUNCTION("vlookup(BB1338,importrange(""https://docs.google.com/spreadsheets/d/1d2vevQ_7D_v35q4wCQ4RpQ_IPoTwEMB9Yp6ymwlPqew/edit?gid=984458430#gid=984458430"", ""'replication success'!A:K""), 11, FAlSE)"),"failed")</f>
        <v>failed</v>
      </c>
      <c r="AZ1338" s="61" t="str">
        <f>IFERROR(__xludf.DUMMYFUNCTION("vlookup(BB1338,importrange(""https://docs.google.com/spreadsheets/d/1d2vevQ_7D_v35q4wCQ4RpQ_IPoTwEMB9Yp6ymwlPqew/edit?gid=984458430#gid=984458430"",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8" s="61" t="str">
        <f>IFERROR(__xludf.DUMMYFUNCTION("vlookup(BB1338,importrange(""https://docs.google.com/spreadsheets/d/1d2vevQ_7D_v35q4wCQ4RpQ_IPoTwEMB9Yp6ymwlPqew/edit?gid=984458430#gid=984458430"", ""'replication success'!A:M""), 13, FAlSE)"),"pg. 6")</f>
        <v>pg. 6</v>
      </c>
      <c r="BB1338" s="61" t="str">
        <f>IFERROR(__xludf.DUMMYFUNCTION("REGEXREPLACE(G1338, ""_[a-z]{1,2}$"", """")"),"curatescience25")</f>
        <v>curatescience25</v>
      </c>
      <c r="BD1338" s="62" t="s">
        <v>144</v>
      </c>
      <c r="BE1338" s="189"/>
      <c r="BF1338" s="189"/>
      <c r="BG1338" s="189"/>
      <c r="BH1338" s="189"/>
      <c r="BI1338" s="189"/>
      <c r="BJ1338" s="189"/>
      <c r="BK1338" s="189"/>
      <c r="BL1338" s="189"/>
      <c r="BM1338" s="189"/>
      <c r="BN1338" s="189"/>
      <c r="BO1338" s="189"/>
      <c r="BP1338" s="189"/>
      <c r="BQ1338" s="189"/>
      <c r="BR1338" s="189"/>
      <c r="BS1338" s="189"/>
      <c r="BT1338" s="189"/>
      <c r="BU1338" s="189"/>
      <c r="BV1338" s="189"/>
      <c r="BW1338" s="189"/>
      <c r="BX1338" s="189"/>
      <c r="BY1338" s="189"/>
      <c r="BZ1338" s="189"/>
      <c r="CA1338" s="189"/>
      <c r="CB1338" s="189"/>
      <c r="CC1338" s="189"/>
      <c r="CD1338" s="189"/>
      <c r="CE1338" s="189"/>
      <c r="CF1338" s="189"/>
      <c r="CG1338" s="189"/>
      <c r="CH1338" s="189"/>
      <c r="CI1338" s="189"/>
      <c r="CJ1338" s="189"/>
      <c r="CK1338" s="189"/>
      <c r="CL1338" s="189"/>
      <c r="CM1338" s="189"/>
      <c r="CN1338" s="189"/>
      <c r="CO1338" s="189"/>
      <c r="CP1338" s="189"/>
      <c r="CQ1338" s="189"/>
      <c r="CR1338" s="189"/>
      <c r="CS1338" s="189"/>
      <c r="CT1338" s="189"/>
      <c r="CU1338" s="189"/>
      <c r="CV1338" s="189"/>
      <c r="CW1338" s="189"/>
      <c r="CX1338" s="189"/>
      <c r="CY1338" s="189"/>
      <c r="CZ1338" s="189"/>
      <c r="DA1338" s="189"/>
      <c r="DB1338" s="189"/>
      <c r="DC1338" s="189"/>
      <c r="DD1338" s="189"/>
      <c r="DE1338" s="189"/>
      <c r="DF1338" s="189"/>
      <c r="DG1338" s="189"/>
      <c r="DH1338" s="189"/>
      <c r="DI1338" s="189"/>
      <c r="DJ1338" s="189"/>
      <c r="DK1338" s="189"/>
      <c r="DL1338" s="189"/>
    </row>
    <row r="1339">
      <c r="A1339" s="44">
        <v>1339.0</v>
      </c>
      <c r="B1339" s="129" t="s">
        <v>152</v>
      </c>
      <c r="C1339" s="62" t="s">
        <v>115</v>
      </c>
      <c r="D1339" s="62" t="s">
        <v>248</v>
      </c>
      <c r="F1339" s="68" t="s">
        <v>7597</v>
      </c>
      <c r="G1339" s="159" t="s">
        <v>7598</v>
      </c>
      <c r="H1339" s="159" t="s">
        <v>249</v>
      </c>
      <c r="I1339" s="152">
        <v>45782.0</v>
      </c>
      <c r="J1339" s="540">
        <v>45736.0</v>
      </c>
      <c r="K1339" s="1060" t="s">
        <v>7530</v>
      </c>
      <c r="L1339" s="159" t="s">
        <v>7350</v>
      </c>
      <c r="M1339" s="159" t="s">
        <v>7531</v>
      </c>
      <c r="N1339" s="159" t="s">
        <v>7517</v>
      </c>
      <c r="O1339" s="159" t="s">
        <v>3580</v>
      </c>
      <c r="P1339" s="159" t="str">
        <f>SUBSTITUTE(LOWER(N1339), "/", "--") &amp;  ".pdf"</f>
        <v>10.1037--0022-3514.71.2.230.pdf</v>
      </c>
      <c r="Q1339" s="52" t="str">
        <f t="array" ref="Q1339"> if(iserror(MATCH(V1339, 'File Links'!C:C, 0)), "N/A", HYPERLINK(INDEX('File Links'!B:B, MATCH(P1339, 'File Links'!C:C, 0))))</f>
        <v>https://drive.google.com/file/d/1k_ITkShMoY3bps8YyiRV8_CnbYN3486s/view?usp=drivesdk</v>
      </c>
      <c r="R1339" s="159" t="s">
        <v>7601</v>
      </c>
      <c r="S1339" s="159" t="s">
        <v>7602</v>
      </c>
      <c r="T1339" s="68"/>
      <c r="U1339" s="156">
        <v>1.0</v>
      </c>
      <c r="V1339" s="198" t="str">
        <f t="shared" si="84"/>
        <v>10.1371--journal.pone.0029081.pdf</v>
      </c>
      <c r="W1339" s="159" t="s">
        <v>138</v>
      </c>
      <c r="X1339" s="54" t="str">
        <f t="array" ref="X1339"> if(iserror(MATCH(V1339, 'File Links'!C:C, 0)), "N/A", HYPERLINK(INDEX('File Links'!B:B, MATCH(V1339, 'File Links'!C:C, 0))))</f>
        <v>https://drive.google.com/file/d/13yA5wer3pEP6DzO7ZMN-jDmSL2aYTKUo/view?usp=drivesdk</v>
      </c>
      <c r="Y1339" s="68"/>
      <c r="Z1339" s="159" t="s">
        <v>226</v>
      </c>
      <c r="AA1339" s="159" t="s">
        <v>4052</v>
      </c>
      <c r="AB1339" s="159" t="s">
        <v>7532</v>
      </c>
      <c r="AC1339" s="159" t="s">
        <v>7533</v>
      </c>
      <c r="AD1339" s="159" t="s">
        <v>7615</v>
      </c>
      <c r="AE1339" s="159" t="s">
        <v>604</v>
      </c>
      <c r="AF1339" s="156">
        <v>30.0</v>
      </c>
      <c r="AG1339" s="159" t="s">
        <v>7525</v>
      </c>
      <c r="AH1339" s="159" t="s">
        <v>134</v>
      </c>
      <c r="AI1339" s="159" t="s">
        <v>7534</v>
      </c>
      <c r="AJ1339" s="156">
        <v>0.01</v>
      </c>
      <c r="AK1339" s="159" t="s">
        <v>135</v>
      </c>
      <c r="AL1339" s="159" t="s">
        <v>186</v>
      </c>
      <c r="AM1339" s="68" t="s">
        <v>141</v>
      </c>
      <c r="AN1339" s="330" t="s">
        <v>138</v>
      </c>
      <c r="AO1339" s="156">
        <v>120.0</v>
      </c>
      <c r="AP1339" s="156">
        <v>0.01</v>
      </c>
      <c r="AQ1339" s="159" t="s">
        <v>139</v>
      </c>
      <c r="AR1339" s="159" t="s">
        <v>7616</v>
      </c>
      <c r="AS1339" s="156">
        <v>0.05</v>
      </c>
      <c r="AT1339" s="159" t="s">
        <v>335</v>
      </c>
      <c r="AU1339" s="159" t="s">
        <v>186</v>
      </c>
      <c r="AV1339" s="68" t="s">
        <v>137</v>
      </c>
      <c r="AW1339" s="68" t="s">
        <v>137</v>
      </c>
      <c r="AX1339" s="68" t="s">
        <v>143</v>
      </c>
      <c r="AY1339" s="61" t="str">
        <f>IFERROR(__xludf.DUMMYFUNCTION("vlookup(BB1339,importrange(""https://docs.google.com/spreadsheets/d/1d2vevQ_7D_v35q4wCQ4RpQ_IPoTwEMB9Yp6ymwlPqew/edit?gid=984458430#gid=984458430"", ""'replication success'!A:K""), 11, FAlSE)"),"failed")</f>
        <v>failed</v>
      </c>
      <c r="AZ1339" s="61" t="str">
        <f>IFERROR(__xludf.DUMMYFUNCTION("vlookup(BB1339,importrange(""https://docs.google.com/spreadsheets/d/1d2vevQ_7D_v35q4wCQ4RpQ_IPoTwEMB9Yp6ymwlPqew/edit?gid=984458430#gid=984458430"", ""'replication success'!A:M""), 12, FAlSE)"),"First, in Experiment 1, despite the use of a larger sample and an
experimental procedure devoid of the limitations present in the
original experiment, we were not able to replicate Bargh et al’s [1]
automatic effect of priming on walking speed.")</f>
        <v>First, in Experiment 1, despite the use of a larger sample and an
experimental procedure devoid of the limitations present in the
original experiment, we were not able to replicate Bargh et al’s [1]
automatic effect of priming on walking speed.</v>
      </c>
      <c r="BA1339" s="61" t="str">
        <f>IFERROR(__xludf.DUMMYFUNCTION("vlookup(BB1339,importrange(""https://docs.google.com/spreadsheets/d/1d2vevQ_7D_v35q4wCQ4RpQ_IPoTwEMB9Yp6ymwlPqew/edit?gid=984458430#gid=984458430"", ""'replication success'!A:M""), 13, FAlSE)"),"pg. 6")</f>
        <v>pg. 6</v>
      </c>
      <c r="BB1339" s="61" t="str">
        <f>IFERROR(__xludf.DUMMYFUNCTION("REGEXREPLACE(G1339, ""_[a-z]{1,2}$"", """")"),"curatescience25")</f>
        <v>curatescience25</v>
      </c>
      <c r="BD1339" s="62" t="s">
        <v>144</v>
      </c>
      <c r="BE1339" s="189"/>
      <c r="BF1339" s="189"/>
      <c r="BG1339" s="189"/>
      <c r="BH1339" s="189"/>
      <c r="BI1339" s="189"/>
      <c r="BJ1339" s="189"/>
      <c r="BK1339" s="189"/>
      <c r="BL1339" s="189"/>
      <c r="BM1339" s="189"/>
      <c r="BN1339" s="189"/>
      <c r="BO1339" s="189"/>
      <c r="BP1339" s="189"/>
      <c r="BQ1339" s="189"/>
      <c r="BR1339" s="189"/>
      <c r="BS1339" s="189"/>
      <c r="BT1339" s="189"/>
      <c r="BU1339" s="189"/>
      <c r="BV1339" s="189"/>
      <c r="BW1339" s="189"/>
      <c r="BX1339" s="189"/>
      <c r="BY1339" s="189"/>
      <c r="BZ1339" s="189"/>
      <c r="CA1339" s="189"/>
      <c r="CB1339" s="189"/>
      <c r="CC1339" s="189"/>
      <c r="CD1339" s="189"/>
      <c r="CE1339" s="189"/>
      <c r="CF1339" s="189"/>
      <c r="CG1339" s="189"/>
      <c r="CH1339" s="189"/>
      <c r="CI1339" s="189"/>
      <c r="CJ1339" s="189"/>
      <c r="CK1339" s="189"/>
      <c r="CL1339" s="189"/>
      <c r="CM1339" s="189"/>
      <c r="CN1339" s="189"/>
      <c r="CO1339" s="189"/>
      <c r="CP1339" s="189"/>
      <c r="CQ1339" s="189"/>
      <c r="CR1339" s="189"/>
      <c r="CS1339" s="189"/>
      <c r="CT1339" s="189"/>
      <c r="CU1339" s="189"/>
      <c r="CV1339" s="189"/>
      <c r="CW1339" s="189"/>
      <c r="CX1339" s="189"/>
      <c r="CY1339" s="189"/>
      <c r="CZ1339" s="189"/>
      <c r="DA1339" s="189"/>
      <c r="DB1339" s="189"/>
      <c r="DC1339" s="189"/>
      <c r="DD1339" s="189"/>
      <c r="DE1339" s="189"/>
      <c r="DF1339" s="189"/>
      <c r="DG1339" s="189"/>
      <c r="DH1339" s="189"/>
      <c r="DI1339" s="189"/>
      <c r="DJ1339" s="189"/>
      <c r="DK1339" s="189"/>
      <c r="DL1339" s="189"/>
    </row>
    <row r="1340">
      <c r="A1340" s="171">
        <v>1340.0</v>
      </c>
      <c r="B1340" s="175" t="s">
        <v>114</v>
      </c>
      <c r="C1340" s="168" t="s">
        <v>115</v>
      </c>
      <c r="D1340" s="168" t="s">
        <v>2930</v>
      </c>
      <c r="E1340" s="164"/>
      <c r="F1340" s="180" t="s">
        <v>7617</v>
      </c>
      <c r="G1340" s="732" t="s">
        <v>7618</v>
      </c>
      <c r="H1340" s="732" t="s">
        <v>7619</v>
      </c>
      <c r="I1340" s="1418" t="s">
        <v>7238</v>
      </c>
      <c r="J1340" s="180"/>
      <c r="K1340" s="732" t="s">
        <v>7620</v>
      </c>
      <c r="L1340" s="732" t="s">
        <v>7621</v>
      </c>
      <c r="M1340" s="732" t="s">
        <v>7622</v>
      </c>
      <c r="N1340" s="732" t="s">
        <v>7623</v>
      </c>
      <c r="O1340" s="183">
        <v>1.0</v>
      </c>
      <c r="P1340" s="732" t="s">
        <v>7624</v>
      </c>
      <c r="Q1340" s="958" t="str">
        <f t="array" ref="Q1340"> if(iserror(MATCH(V1340, 'File Links'!C:C, 0)), "N/A", HYPERLINK(INDEX('File Links'!B:B, MATCH(P1340, 'File Links'!C:C, 0))))</f>
        <v>N/A</v>
      </c>
      <c r="R1340" s="732" t="s">
        <v>7625</v>
      </c>
      <c r="S1340" s="732" t="s">
        <v>138</v>
      </c>
      <c r="T1340" s="1419" t="s">
        <v>7626</v>
      </c>
      <c r="U1340" s="183" t="s">
        <v>138</v>
      </c>
      <c r="V1340" s="732" t="s">
        <v>577</v>
      </c>
      <c r="W1340" s="732" t="s">
        <v>138</v>
      </c>
      <c r="X1340" s="737" t="str">
        <f t="array" ref="X1340"> if(iserror(MATCH(V1340, 'File Links'!C:C, 0)), "N/A", HYPERLINK(INDEX('File Links'!B:B, MATCH(V1340, 'File Links'!C:C, 0))))</f>
        <v>N/A</v>
      </c>
      <c r="Y1340" s="1469" t="s">
        <v>7627</v>
      </c>
      <c r="Z1340" s="732" t="s">
        <v>226</v>
      </c>
      <c r="AA1340" s="732" t="s">
        <v>7628</v>
      </c>
      <c r="AB1340" s="732" t="s">
        <v>7629</v>
      </c>
      <c r="AC1340" s="732" t="s">
        <v>7630</v>
      </c>
      <c r="AD1340" s="732" t="s">
        <v>7631</v>
      </c>
      <c r="AE1340" s="183">
        <v>2.0</v>
      </c>
      <c r="AF1340" s="183">
        <v>40.0</v>
      </c>
      <c r="AG1340" s="183">
        <v>0.52</v>
      </c>
      <c r="AH1340" s="732" t="s">
        <v>215</v>
      </c>
      <c r="AI1340" s="183">
        <v>2.0</v>
      </c>
      <c r="AJ1340" s="183">
        <v>0.001</v>
      </c>
      <c r="AK1340" s="732" t="s">
        <v>172</v>
      </c>
      <c r="AL1340" s="732" t="s">
        <v>186</v>
      </c>
      <c r="AM1340" s="732" t="s">
        <v>137</v>
      </c>
      <c r="AN1340" s="175" t="s">
        <v>138</v>
      </c>
      <c r="AO1340" s="183">
        <v>314.0</v>
      </c>
      <c r="AP1340" s="183">
        <v>0.19</v>
      </c>
      <c r="AQ1340" s="732" t="s">
        <v>173</v>
      </c>
      <c r="AR1340" s="732" t="s">
        <v>138</v>
      </c>
      <c r="AS1340" s="183" t="s">
        <v>138</v>
      </c>
      <c r="AT1340" s="180"/>
      <c r="AU1340" s="732" t="s">
        <v>186</v>
      </c>
      <c r="AV1340" s="732" t="s">
        <v>137</v>
      </c>
      <c r="AW1340" s="180" t="s">
        <v>138</v>
      </c>
      <c r="AX1340" s="180"/>
      <c r="AY1340" s="61" t="str">
        <f>IFERROR(__xludf.DUMMYFUNCTION("vlookup(BB1340,importrange(""https://docs.google.com/spreadsheets/d/1d2vevQ_7D_v35q4wCQ4RpQ_IPoTwEMB9Yp6ymwlPqew/edit?gid=984458430#gid=984458430"", ""'replication success'!A:K""), 11, FAlSE)"),"#N/A")</f>
        <v>#N/A</v>
      </c>
      <c r="AZ1340" s="61" t="str">
        <f>IFERROR(__xludf.DUMMYFUNCTION("vlookup(BB1340,importrange(""https://docs.google.com/spreadsheets/d/1d2vevQ_7D_v35q4wCQ4RpQ_IPoTwEMB9Yp6ymwlPqew/edit?gid=984458430#gid=984458430"", ""'replication success'!A:M""), 12, FAlSE)"),"#N/A")</f>
        <v>#N/A</v>
      </c>
      <c r="BA1340" s="61" t="str">
        <f>IFERROR(__xludf.DUMMYFUNCTION("vlookup(BB1340,importrange(""https://docs.google.com/spreadsheets/d/1d2vevQ_7D_v35q4wCQ4RpQ_IPoTwEMB9Yp6ymwlPqew/edit?gid=984458430#gid=984458430"", ""'replication success'!A:M""), 13, FAlSE)"),"#N/A")</f>
        <v>#N/A</v>
      </c>
      <c r="BB1340" s="61" t="str">
        <f>IFERROR(__xludf.DUMMYFUNCTION("REGEXREPLACE(G1340, ""_[a-z]{1,2}$"", """")"),"curatescience26")</f>
        <v>curatescience26</v>
      </c>
      <c r="BC1340" s="164"/>
      <c r="BD1340" s="168" t="s">
        <v>7632</v>
      </c>
      <c r="BE1340" s="164"/>
      <c r="BF1340" s="164"/>
      <c r="BG1340" s="164"/>
      <c r="BH1340" s="164"/>
      <c r="BI1340" s="164"/>
      <c r="BJ1340" s="164"/>
      <c r="BK1340" s="164"/>
      <c r="BL1340" s="164"/>
      <c r="BM1340" s="164"/>
      <c r="BN1340" s="164"/>
      <c r="BO1340" s="164"/>
      <c r="BP1340" s="164"/>
      <c r="BQ1340" s="164"/>
      <c r="BR1340" s="164"/>
      <c r="BS1340" s="164"/>
      <c r="BT1340" s="164"/>
      <c r="BU1340" s="164"/>
      <c r="BV1340" s="164"/>
      <c r="BW1340" s="164"/>
      <c r="BX1340" s="164"/>
      <c r="BY1340" s="164"/>
      <c r="BZ1340" s="164"/>
      <c r="CA1340" s="164"/>
      <c r="CB1340" s="164"/>
      <c r="CC1340" s="164"/>
      <c r="CD1340" s="164"/>
      <c r="CE1340" s="164"/>
      <c r="CF1340" s="164"/>
      <c r="CG1340" s="164"/>
      <c r="CH1340" s="164"/>
      <c r="CI1340" s="164"/>
      <c r="CJ1340" s="164"/>
      <c r="CK1340" s="164"/>
      <c r="CL1340" s="164"/>
      <c r="CM1340" s="164"/>
      <c r="CN1340" s="164"/>
      <c r="CO1340" s="164"/>
      <c r="CP1340" s="164"/>
      <c r="CQ1340" s="164"/>
      <c r="CR1340" s="164"/>
      <c r="CS1340" s="164"/>
      <c r="CT1340" s="164"/>
      <c r="CU1340" s="164"/>
      <c r="CV1340" s="164"/>
      <c r="CW1340" s="164"/>
      <c r="CX1340" s="164"/>
      <c r="CY1340" s="164"/>
      <c r="CZ1340" s="164"/>
      <c r="DA1340" s="164"/>
      <c r="DB1340" s="164"/>
      <c r="DC1340" s="164"/>
      <c r="DD1340" s="164"/>
      <c r="DE1340" s="164"/>
      <c r="DF1340" s="164"/>
      <c r="DG1340" s="164"/>
      <c r="DH1340" s="164"/>
      <c r="DI1340" s="164"/>
      <c r="DJ1340" s="164"/>
      <c r="DK1340" s="164"/>
      <c r="DL1340" s="164"/>
    </row>
    <row r="1341">
      <c r="A1341" s="171">
        <v>1341.0</v>
      </c>
      <c r="B1341" s="175" t="s">
        <v>114</v>
      </c>
      <c r="C1341" s="168" t="s">
        <v>115</v>
      </c>
      <c r="D1341" s="168" t="s">
        <v>2930</v>
      </c>
      <c r="E1341" s="164"/>
      <c r="F1341" s="180" t="s">
        <v>7617</v>
      </c>
      <c r="G1341" s="732" t="s">
        <v>7618</v>
      </c>
      <c r="H1341" s="732" t="s">
        <v>7619</v>
      </c>
      <c r="I1341" s="1418" t="s">
        <v>7238</v>
      </c>
      <c r="J1341" s="180"/>
      <c r="K1341" s="732" t="s">
        <v>7620</v>
      </c>
      <c r="L1341" s="732" t="s">
        <v>7621</v>
      </c>
      <c r="M1341" s="732" t="s">
        <v>7622</v>
      </c>
      <c r="N1341" s="732" t="s">
        <v>7623</v>
      </c>
      <c r="O1341" s="183">
        <v>1.0</v>
      </c>
      <c r="P1341" s="732" t="s">
        <v>7624</v>
      </c>
      <c r="Q1341" s="958" t="str">
        <f t="array" ref="Q1341"> if(iserror(MATCH(V1341, 'File Links'!C:C, 0)), "N/A", HYPERLINK(INDEX('File Links'!B:B, MATCH(P1341, 'File Links'!C:C, 0))))</f>
        <v>N/A</v>
      </c>
      <c r="R1341" s="732" t="s">
        <v>7625</v>
      </c>
      <c r="S1341" s="732" t="s">
        <v>138</v>
      </c>
      <c r="T1341" s="1419" t="s">
        <v>7626</v>
      </c>
      <c r="U1341" s="183" t="s">
        <v>138</v>
      </c>
      <c r="V1341" s="732" t="s">
        <v>577</v>
      </c>
      <c r="W1341" s="732" t="s">
        <v>138</v>
      </c>
      <c r="X1341" s="737" t="str">
        <f t="array" ref="X1341"> if(iserror(MATCH(V1341, 'File Links'!C:C, 0)), "N/A", HYPERLINK(INDEX('File Links'!B:B, MATCH(V1341, 'File Links'!C:C, 0))))</f>
        <v>N/A</v>
      </c>
      <c r="Y1341" s="1469" t="s">
        <v>7633</v>
      </c>
      <c r="Z1341" s="732" t="s">
        <v>226</v>
      </c>
      <c r="AA1341" s="732" t="s">
        <v>7628</v>
      </c>
      <c r="AB1341" s="732" t="s">
        <v>7629</v>
      </c>
      <c r="AC1341" s="732" t="s">
        <v>7630</v>
      </c>
      <c r="AD1341" s="732" t="s">
        <v>7631</v>
      </c>
      <c r="AE1341" s="183">
        <v>2.0</v>
      </c>
      <c r="AF1341" s="183">
        <v>40.0</v>
      </c>
      <c r="AG1341" s="183">
        <v>0.52</v>
      </c>
      <c r="AH1341" s="732" t="s">
        <v>215</v>
      </c>
      <c r="AI1341" s="183">
        <v>2.0</v>
      </c>
      <c r="AJ1341" s="183">
        <v>0.001</v>
      </c>
      <c r="AK1341" s="732" t="s">
        <v>172</v>
      </c>
      <c r="AL1341" s="732" t="s">
        <v>186</v>
      </c>
      <c r="AM1341" s="732" t="s">
        <v>137</v>
      </c>
      <c r="AN1341" s="732" t="s">
        <v>138</v>
      </c>
      <c r="AO1341" s="183">
        <v>314.0</v>
      </c>
      <c r="AP1341" s="183">
        <v>0.19</v>
      </c>
      <c r="AQ1341" s="732" t="s">
        <v>173</v>
      </c>
      <c r="AR1341" s="732" t="s">
        <v>138</v>
      </c>
      <c r="AS1341" s="183" t="s">
        <v>138</v>
      </c>
      <c r="AT1341" s="183" t="s">
        <v>138</v>
      </c>
      <c r="AU1341" s="732" t="s">
        <v>186</v>
      </c>
      <c r="AV1341" s="732" t="s">
        <v>137</v>
      </c>
      <c r="AW1341" s="180" t="s">
        <v>138</v>
      </c>
      <c r="AX1341" s="180"/>
      <c r="AY1341" s="61" t="str">
        <f>IFERROR(__xludf.DUMMYFUNCTION("vlookup(BB1341,importrange(""https://docs.google.com/spreadsheets/d/1d2vevQ_7D_v35q4wCQ4RpQ_IPoTwEMB9Yp6ymwlPqew/edit?gid=984458430#gid=984458430"", ""'replication success'!A:K""), 11, FAlSE)"),"#N/A")</f>
        <v>#N/A</v>
      </c>
      <c r="AZ1341" s="61" t="str">
        <f>IFERROR(__xludf.DUMMYFUNCTION("vlookup(BB1341,importrange(""https://docs.google.com/spreadsheets/d/1d2vevQ_7D_v35q4wCQ4RpQ_IPoTwEMB9Yp6ymwlPqew/edit?gid=984458430#gid=984458430"", ""'replication success'!A:M""), 12, FAlSE)"),"#N/A")</f>
        <v>#N/A</v>
      </c>
      <c r="BA1341" s="61" t="str">
        <f>IFERROR(__xludf.DUMMYFUNCTION("vlookup(BB1341,importrange(""https://docs.google.com/spreadsheets/d/1d2vevQ_7D_v35q4wCQ4RpQ_IPoTwEMB9Yp6ymwlPqew/edit?gid=984458430#gid=984458430"", ""'replication success'!A:M""), 13, FAlSE)"),"#N/A")</f>
        <v>#N/A</v>
      </c>
      <c r="BB1341" s="61" t="str">
        <f>IFERROR(__xludf.DUMMYFUNCTION("REGEXREPLACE(G1341, ""_[a-z]{1,2}$"", """")"),"curatescience26")</f>
        <v>curatescience26</v>
      </c>
      <c r="BC1341" s="164"/>
      <c r="BD1341" s="168" t="s">
        <v>7632</v>
      </c>
      <c r="BE1341" s="164"/>
      <c r="BF1341" s="164"/>
      <c r="BG1341" s="164"/>
      <c r="BH1341" s="164"/>
      <c r="BI1341" s="164"/>
      <c r="BJ1341" s="164"/>
      <c r="BK1341" s="164"/>
      <c r="BL1341" s="164"/>
      <c r="BM1341" s="164"/>
      <c r="BN1341" s="164"/>
      <c r="BO1341" s="164"/>
      <c r="BP1341" s="164"/>
      <c r="BQ1341" s="164"/>
      <c r="BR1341" s="164"/>
      <c r="BS1341" s="164"/>
      <c r="BT1341" s="164"/>
      <c r="BU1341" s="164"/>
      <c r="BV1341" s="164"/>
      <c r="BW1341" s="164"/>
      <c r="BX1341" s="164"/>
      <c r="BY1341" s="164"/>
      <c r="BZ1341" s="164"/>
      <c r="CA1341" s="164"/>
      <c r="CB1341" s="164"/>
      <c r="CC1341" s="164"/>
      <c r="CD1341" s="164"/>
      <c r="CE1341" s="164"/>
      <c r="CF1341" s="164"/>
      <c r="CG1341" s="164"/>
      <c r="CH1341" s="164"/>
      <c r="CI1341" s="164"/>
      <c r="CJ1341" s="164"/>
      <c r="CK1341" s="164"/>
      <c r="CL1341" s="164"/>
      <c r="CM1341" s="164"/>
      <c r="CN1341" s="164"/>
      <c r="CO1341" s="164"/>
      <c r="CP1341" s="164"/>
      <c r="CQ1341" s="164"/>
      <c r="CR1341" s="164"/>
      <c r="CS1341" s="164"/>
      <c r="CT1341" s="164"/>
      <c r="CU1341" s="164"/>
      <c r="CV1341" s="164"/>
      <c r="CW1341" s="164"/>
      <c r="CX1341" s="164"/>
      <c r="CY1341" s="164"/>
      <c r="CZ1341" s="164"/>
      <c r="DA1341" s="164"/>
      <c r="DB1341" s="164"/>
      <c r="DC1341" s="164"/>
      <c r="DD1341" s="164"/>
      <c r="DE1341" s="164"/>
      <c r="DF1341" s="164"/>
      <c r="DG1341" s="164"/>
      <c r="DH1341" s="164"/>
      <c r="DI1341" s="164"/>
      <c r="DJ1341" s="164"/>
      <c r="DK1341" s="164"/>
      <c r="DL1341" s="164"/>
    </row>
    <row r="1342">
      <c r="A1342" s="44">
        <v>1342.0</v>
      </c>
      <c r="B1342" s="129" t="s">
        <v>152</v>
      </c>
      <c r="C1342" s="62" t="s">
        <v>115</v>
      </c>
      <c r="D1342" s="62" t="s">
        <v>2930</v>
      </c>
      <c r="F1342" s="68" t="s">
        <v>7634</v>
      </c>
      <c r="G1342" s="159" t="s">
        <v>7635</v>
      </c>
      <c r="H1342" s="159" t="s">
        <v>7619</v>
      </c>
      <c r="I1342" s="1287" t="s">
        <v>7238</v>
      </c>
      <c r="J1342" s="540">
        <v>45736.0</v>
      </c>
      <c r="K1342" s="159" t="s">
        <v>7636</v>
      </c>
      <c r="L1342" s="151" t="s">
        <v>7637</v>
      </c>
      <c r="M1342" s="159" t="s">
        <v>7622</v>
      </c>
      <c r="N1342" s="159" t="s">
        <v>7623</v>
      </c>
      <c r="O1342" s="156">
        <v>1.0</v>
      </c>
      <c r="P1342" s="382" t="s">
        <v>7624</v>
      </c>
      <c r="Q1342" s="52" t="str">
        <f t="array" ref="Q1342"> if(iserror(MATCH(V1342, 'File Links'!C:C, 0)), "N/A", HYPERLINK(INDEX('File Links'!B:B, MATCH(P1342, 'File Links'!C:C, 0))))</f>
        <v>https://drive.google.com/file/d/1-8hoTcDzN7GjN92fqlhu7SLhxRSQTUrd/view?usp=drivesdk</v>
      </c>
      <c r="R1342" s="159" t="s">
        <v>7638</v>
      </c>
      <c r="S1342" s="159" t="s">
        <v>7639</v>
      </c>
      <c r="T1342" s="159" t="s">
        <v>138</v>
      </c>
      <c r="U1342" s="156">
        <v>1.0</v>
      </c>
      <c r="V1342" s="382" t="s">
        <v>7640</v>
      </c>
      <c r="W1342" s="159" t="s">
        <v>209</v>
      </c>
      <c r="X1342" s="54" t="str">
        <f t="array" ref="X1342"> if(iserror(MATCH(V1342, 'File Links'!C:C, 0)), "N/A", HYPERLINK(INDEX('File Links'!B:B, MATCH(V1342, 'File Links'!C:C, 0))))</f>
        <v>https://drive.google.com/file/d/1x9sfN1Qyptlpks3NPyyD6PckLhoE6G6J/view?usp=drivesdk</v>
      </c>
      <c r="Y1342" s="68"/>
      <c r="Z1342" s="159" t="s">
        <v>226</v>
      </c>
      <c r="AA1342" s="159" t="s">
        <v>7628</v>
      </c>
      <c r="AB1342" s="159" t="s">
        <v>7629</v>
      </c>
      <c r="AC1342" s="151" t="s">
        <v>7641</v>
      </c>
      <c r="AD1342" s="159" t="s">
        <v>7631</v>
      </c>
      <c r="AE1342" s="156">
        <v>2.0</v>
      </c>
      <c r="AF1342" s="156">
        <v>40.0</v>
      </c>
      <c r="AG1342" s="156">
        <v>0.52</v>
      </c>
      <c r="AH1342" s="159" t="s">
        <v>215</v>
      </c>
      <c r="AI1342" s="156">
        <v>2.0</v>
      </c>
      <c r="AJ1342" s="156">
        <v>0.001</v>
      </c>
      <c r="AK1342" s="159" t="s">
        <v>172</v>
      </c>
      <c r="AL1342" s="159" t="s">
        <v>186</v>
      </c>
      <c r="AM1342" s="159" t="s">
        <v>137</v>
      </c>
      <c r="AN1342" s="330" t="s">
        <v>138</v>
      </c>
      <c r="AO1342" s="156">
        <v>240.0</v>
      </c>
      <c r="AP1342" s="1470">
        <v>0.06</v>
      </c>
      <c r="AQ1342" s="159" t="s">
        <v>215</v>
      </c>
      <c r="AR1342" s="159" t="s">
        <v>217</v>
      </c>
      <c r="AS1342" s="156" t="s">
        <v>138</v>
      </c>
      <c r="AT1342" s="129" t="s">
        <v>138</v>
      </c>
      <c r="AU1342" s="159" t="s">
        <v>186</v>
      </c>
      <c r="AV1342" s="159" t="s">
        <v>137</v>
      </c>
      <c r="AW1342" s="1471" t="s">
        <v>7642</v>
      </c>
      <c r="AX1342" s="1290" t="s">
        <v>143</v>
      </c>
      <c r="AY1342" s="61" t="str">
        <f>IFERROR(__xludf.DUMMYFUNCTION("vlookup(BB1342,importrange(""https://docs.google.com/spreadsheets/d/1d2vevQ_7D_v35q4wCQ4RpQ_IPoTwEMB9Yp6ymwlPqew/edit?gid=984458430#gid=984458430"", ""'replication success'!A:K""), 11, FAlSE)"),"failed")</f>
        <v>failed</v>
      </c>
      <c r="AZ1342" s="61" t="str">
        <f>IFERROR(__xludf.DUMMYFUNCTION("vlookup(BB1342,importrange(""https://docs.google.com/spreadsheets/d/1d2vevQ_7D_v35q4wCQ4RpQ_IPoTwEMB9Yp6ymwlPqew/edit?gid=984458430#gid=984458430"",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1342" s="61" t="str">
        <f>IFERROR(__xludf.DUMMYFUNCTION("vlookup(BB1342,importrange(""https://docs.google.com/spreadsheets/d/1d2vevQ_7D_v35q4wCQ4RpQ_IPoTwEMB9Yp6ymwlPqew/edit?gid=984458430#gid=984458430"", ""'replication success'!A:M""), 13, FAlSE)"),"abstract")</f>
        <v>abstract</v>
      </c>
      <c r="BB1342" s="61" t="str">
        <f>IFERROR(__xludf.DUMMYFUNCTION("REGEXREPLACE(G1342, ""_[a-z]{1,2}$"", """")"),"curatescience27")</f>
        <v>curatescience27</v>
      </c>
      <c r="BD1342" s="62" t="s">
        <v>144</v>
      </c>
      <c r="BE1342" s="71"/>
      <c r="BF1342" s="71"/>
      <c r="BG1342" s="71"/>
      <c r="BH1342" s="71"/>
      <c r="BI1342" s="71"/>
      <c r="BJ1342" s="71"/>
      <c r="BK1342" s="71"/>
      <c r="BL1342" s="71"/>
      <c r="BM1342" s="71"/>
      <c r="BN1342" s="71"/>
      <c r="BO1342" s="71"/>
      <c r="BP1342" s="71"/>
      <c r="BQ1342" s="71"/>
      <c r="BR1342" s="71"/>
      <c r="BS1342" s="71"/>
      <c r="BT1342" s="71"/>
      <c r="BU1342" s="71"/>
      <c r="BV1342" s="71"/>
      <c r="BW1342" s="71"/>
      <c r="BX1342" s="71"/>
      <c r="BY1342" s="71"/>
      <c r="BZ1342" s="71"/>
      <c r="CA1342" s="71"/>
      <c r="CB1342" s="71"/>
      <c r="CC1342" s="71"/>
      <c r="CD1342" s="71"/>
      <c r="CE1342" s="71"/>
      <c r="CF1342" s="71"/>
      <c r="CG1342" s="71"/>
      <c r="CH1342" s="71"/>
      <c r="CI1342" s="71"/>
      <c r="CJ1342" s="71"/>
      <c r="CK1342" s="71"/>
      <c r="CL1342" s="71"/>
      <c r="CM1342" s="71"/>
      <c r="CN1342" s="71"/>
      <c r="CO1342" s="71"/>
      <c r="CP1342" s="71"/>
      <c r="CQ1342" s="71"/>
      <c r="CR1342" s="71"/>
      <c r="CS1342" s="71"/>
      <c r="CT1342" s="71"/>
      <c r="CU1342" s="71"/>
      <c r="CV1342" s="71"/>
      <c r="CW1342" s="71"/>
      <c r="CX1342" s="71"/>
      <c r="CY1342" s="71"/>
      <c r="CZ1342" s="71"/>
      <c r="DA1342" s="71"/>
      <c r="DB1342" s="71"/>
      <c r="DC1342" s="71"/>
      <c r="DD1342" s="71"/>
      <c r="DE1342" s="71"/>
      <c r="DF1342" s="71"/>
      <c r="DG1342" s="71"/>
      <c r="DH1342" s="71"/>
      <c r="DI1342" s="71"/>
      <c r="DJ1342" s="71"/>
      <c r="DK1342" s="71"/>
      <c r="DL1342" s="71"/>
    </row>
    <row r="1343">
      <c r="A1343" s="44">
        <v>1343.0</v>
      </c>
      <c r="B1343" s="129" t="s">
        <v>114</v>
      </c>
      <c r="C1343" s="62" t="s">
        <v>115</v>
      </c>
      <c r="D1343" s="62" t="s">
        <v>2930</v>
      </c>
      <c r="F1343" s="68" t="s">
        <v>7634</v>
      </c>
      <c r="G1343" s="159" t="s">
        <v>7635</v>
      </c>
      <c r="H1343" s="159" t="s">
        <v>7619</v>
      </c>
      <c r="I1343" s="1287" t="s">
        <v>7238</v>
      </c>
      <c r="J1343" s="68"/>
      <c r="K1343" s="159" t="s">
        <v>7636</v>
      </c>
      <c r="L1343" s="159" t="s">
        <v>7643</v>
      </c>
      <c r="M1343" s="159" t="s">
        <v>7622</v>
      </c>
      <c r="N1343" s="159" t="s">
        <v>7623</v>
      </c>
      <c r="O1343" s="156">
        <v>1.0</v>
      </c>
      <c r="P1343" s="382" t="s">
        <v>7624</v>
      </c>
      <c r="Q1343" s="52" t="str">
        <f t="array" ref="Q1343"> if(iserror(MATCH(V1343, 'File Links'!C:C, 0)), "N/A", HYPERLINK(INDEX('File Links'!B:B, MATCH(P1343, 'File Links'!C:C, 0))))</f>
        <v>https://drive.google.com/file/d/1-8hoTcDzN7GjN92fqlhu7SLhxRSQTUrd/view?usp=drivesdk</v>
      </c>
      <c r="R1343" s="159" t="s">
        <v>7638</v>
      </c>
      <c r="S1343" s="159" t="s">
        <v>7639</v>
      </c>
      <c r="T1343" s="159" t="s">
        <v>138</v>
      </c>
      <c r="U1343" s="156">
        <v>1.0</v>
      </c>
      <c r="V1343" s="382" t="s">
        <v>7640</v>
      </c>
      <c r="W1343" s="159" t="s">
        <v>209</v>
      </c>
      <c r="X1343" s="54" t="str">
        <f t="array" ref="X1343"> if(iserror(MATCH(V1343, 'File Links'!C:C, 0)), "N/A", HYPERLINK(INDEX('File Links'!B:B, MATCH(V1343, 'File Links'!C:C, 0))))</f>
        <v>https://drive.google.com/file/d/1x9sfN1Qyptlpks3NPyyD6PckLhoE6G6J/view?usp=drivesdk</v>
      </c>
      <c r="Y1343" s="68"/>
      <c r="Z1343" s="159" t="s">
        <v>226</v>
      </c>
      <c r="AA1343" s="159" t="s">
        <v>7628</v>
      </c>
      <c r="AB1343" s="159" t="s">
        <v>7629</v>
      </c>
      <c r="AC1343" s="159" t="s">
        <v>7630</v>
      </c>
      <c r="AD1343" s="159" t="s">
        <v>7631</v>
      </c>
      <c r="AE1343" s="156">
        <v>2.0</v>
      </c>
      <c r="AF1343" s="156">
        <v>40.0</v>
      </c>
      <c r="AG1343" s="156">
        <v>0.52</v>
      </c>
      <c r="AH1343" s="159" t="s">
        <v>215</v>
      </c>
      <c r="AI1343" s="156">
        <v>2.0</v>
      </c>
      <c r="AJ1343" s="156">
        <v>0.001</v>
      </c>
      <c r="AK1343" s="159" t="s">
        <v>172</v>
      </c>
      <c r="AL1343" s="159" t="s">
        <v>186</v>
      </c>
      <c r="AM1343" s="159" t="s">
        <v>137</v>
      </c>
      <c r="AN1343" s="159" t="s">
        <v>138</v>
      </c>
      <c r="AO1343" s="156">
        <v>240.0</v>
      </c>
      <c r="AP1343" s="156">
        <v>0.06</v>
      </c>
      <c r="AQ1343" s="159" t="s">
        <v>215</v>
      </c>
      <c r="AR1343" s="159" t="s">
        <v>217</v>
      </c>
      <c r="AS1343" s="156" t="s">
        <v>138</v>
      </c>
      <c r="AT1343" s="156" t="s">
        <v>138</v>
      </c>
      <c r="AU1343" s="159" t="s">
        <v>186</v>
      </c>
      <c r="AV1343" s="159" t="s">
        <v>137</v>
      </c>
      <c r="AW1343" s="435" t="s">
        <v>7644</v>
      </c>
      <c r="AX1343" s="159" t="s">
        <v>438</v>
      </c>
      <c r="AY1343" s="61" t="str">
        <f>IFERROR(__xludf.DUMMYFUNCTION("vlookup(BB1343,importrange(""https://docs.google.com/spreadsheets/d/1d2vevQ_7D_v35q4wCQ4RpQ_IPoTwEMB9Yp6ymwlPqew/edit?gid=984458430#gid=984458430"", ""'replication success'!A:K""), 11, FAlSE)"),"failed")</f>
        <v>failed</v>
      </c>
      <c r="AZ1343" s="61" t="str">
        <f>IFERROR(__xludf.DUMMYFUNCTION("vlookup(BB1343,importrange(""https://docs.google.com/spreadsheets/d/1d2vevQ_7D_v35q4wCQ4RpQ_IPoTwEMB9Yp6ymwlPqew/edit?gid=984458430#gid=984458430"",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1343" s="61" t="str">
        <f>IFERROR(__xludf.DUMMYFUNCTION("vlookup(BB1343,importrange(""https://docs.google.com/spreadsheets/d/1d2vevQ_7D_v35q4wCQ4RpQ_IPoTwEMB9Yp6ymwlPqew/edit?gid=984458430#gid=984458430"", ""'replication success'!A:M""), 13, FAlSE)"),"abstract")</f>
        <v>abstract</v>
      </c>
      <c r="BB1343" s="61" t="str">
        <f>IFERROR(__xludf.DUMMYFUNCTION("REGEXREPLACE(G1343, ""_[a-z]{1,2}$"", """")"),"curatescience27")</f>
        <v>curatescience27</v>
      </c>
    </row>
    <row r="1344">
      <c r="A1344" s="44">
        <v>1344.0</v>
      </c>
      <c r="B1344" s="129" t="s">
        <v>114</v>
      </c>
      <c r="C1344" s="62" t="s">
        <v>115</v>
      </c>
      <c r="D1344" s="62" t="s">
        <v>990</v>
      </c>
      <c r="F1344" s="68" t="s">
        <v>7645</v>
      </c>
      <c r="G1344" s="159" t="s">
        <v>7646</v>
      </c>
      <c r="H1344" s="159" t="s">
        <v>7237</v>
      </c>
      <c r="I1344" s="1287" t="s">
        <v>119</v>
      </c>
      <c r="J1344" s="540">
        <v>45736.0</v>
      </c>
      <c r="K1344" s="159" t="s">
        <v>138</v>
      </c>
      <c r="L1344" s="151" t="s">
        <v>7647</v>
      </c>
      <c r="M1344" s="159" t="s">
        <v>7622</v>
      </c>
      <c r="N1344" s="159" t="s">
        <v>7623</v>
      </c>
      <c r="O1344" s="156">
        <v>1.0</v>
      </c>
      <c r="P1344" s="382" t="s">
        <v>7624</v>
      </c>
      <c r="Q1344" s="52" t="str">
        <f t="array" ref="Q1344"> if(iserror(MATCH(V1344, 'File Links'!C:C, 0)), "N/A", HYPERLINK(INDEX('File Links'!B:B, MATCH(P1344, 'File Links'!C:C, 0))))</f>
        <v>https://drive.google.com/file/d/1-8hoTcDzN7GjN92fqlhu7SLhxRSQTUrd/view?usp=drivesdk</v>
      </c>
      <c r="R1344" s="159" t="s">
        <v>7648</v>
      </c>
      <c r="S1344" s="159" t="s">
        <v>7639</v>
      </c>
      <c r="T1344" s="159" t="s">
        <v>138</v>
      </c>
      <c r="U1344" s="336">
        <v>2.0</v>
      </c>
      <c r="V1344" s="159" t="s">
        <v>7640</v>
      </c>
      <c r="W1344" s="159" t="s">
        <v>7649</v>
      </c>
      <c r="X1344" s="54" t="str">
        <f t="array" ref="X1344"> if(iserror(MATCH(V1344, 'File Links'!C:C, 0)), "N/A", HYPERLINK(INDEX('File Links'!B:B, MATCH(V1344, 'File Links'!C:C, 0))))</f>
        <v>https://drive.google.com/file/d/1x9sfN1Qyptlpks3NPyyD6PckLhoE6G6J/view?usp=drivesdk</v>
      </c>
      <c r="Y1344" s="159"/>
      <c r="Z1344" s="159" t="s">
        <v>226</v>
      </c>
      <c r="AA1344" s="159" t="s">
        <v>7628</v>
      </c>
      <c r="AB1344" s="159" t="s">
        <v>7650</v>
      </c>
      <c r="AC1344" s="159" t="s">
        <v>7628</v>
      </c>
      <c r="AD1344" s="159" t="s">
        <v>7651</v>
      </c>
      <c r="AE1344" s="159" t="s">
        <v>2771</v>
      </c>
      <c r="AF1344" s="156">
        <v>40.0</v>
      </c>
      <c r="AG1344" s="156">
        <v>0.52</v>
      </c>
      <c r="AH1344" s="159" t="s">
        <v>215</v>
      </c>
      <c r="AI1344" s="159" t="s">
        <v>2771</v>
      </c>
      <c r="AJ1344" s="156">
        <v>0.001</v>
      </c>
      <c r="AK1344" s="159" t="s">
        <v>172</v>
      </c>
      <c r="AL1344" s="159" t="s">
        <v>186</v>
      </c>
      <c r="AM1344" s="159" t="s">
        <v>137</v>
      </c>
      <c r="AN1344" s="330" t="s">
        <v>138</v>
      </c>
      <c r="AO1344" s="156">
        <v>240.0</v>
      </c>
      <c r="AP1344" s="156">
        <v>-0.319</v>
      </c>
      <c r="AQ1344" s="159" t="s">
        <v>173</v>
      </c>
      <c r="AR1344" s="159" t="s">
        <v>507</v>
      </c>
      <c r="AS1344" s="156">
        <v>0.071</v>
      </c>
      <c r="AT1344" s="159" t="s">
        <v>172</v>
      </c>
      <c r="AU1344" s="159" t="s">
        <v>186</v>
      </c>
      <c r="AV1344" s="159" t="s">
        <v>137</v>
      </c>
      <c r="AW1344" s="435" t="s">
        <v>7652</v>
      </c>
      <c r="AX1344" s="159" t="s">
        <v>143</v>
      </c>
      <c r="AY1344" s="61" t="str">
        <f>IFERROR(__xludf.DUMMYFUNCTION("vlookup(BB1344,importrange(""https://docs.google.com/spreadsheets/d/1d2vevQ_7D_v35q4wCQ4RpQ_IPoTwEMB9Yp6ymwlPqew/edit?gid=984458430#gid=984458430"", ""'replication success'!A:K""), 11, FAlSE)"),"failed")</f>
        <v>failed</v>
      </c>
      <c r="AZ1344" s="61" t="str">
        <f>IFERROR(__xludf.DUMMYFUNCTION("vlookup(BB1344,importrange(""https://docs.google.com/spreadsheets/d/1d2vevQ_7D_v35q4wCQ4RpQ_IPoTwEMB9Yp6ymwlPqew/edit?gid=984458430#gid=984458430"",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1344" s="61" t="str">
        <f>IFERROR(__xludf.DUMMYFUNCTION("vlookup(BB1344,importrange(""https://docs.google.com/spreadsheets/d/1d2vevQ_7D_v35q4wCQ4RpQ_IPoTwEMB9Yp6ymwlPqew/edit?gid=984458430#gid=984458430"", ""'replication success'!A:M""), 13, FAlSE)"),"abstract")</f>
        <v>abstract</v>
      </c>
      <c r="BB1344" s="61" t="str">
        <f>IFERROR(__xludf.DUMMYFUNCTION("REGEXREPLACE(G1344, ""_[a-z]{1,2}$"", """")"),"curatescience28")</f>
        <v>curatescience28</v>
      </c>
      <c r="BC1344" s="68"/>
      <c r="BD1344" s="62" t="s">
        <v>144</v>
      </c>
    </row>
    <row r="1345">
      <c r="A1345" s="44">
        <v>1345.0</v>
      </c>
      <c r="B1345" s="129" t="s">
        <v>152</v>
      </c>
      <c r="C1345" s="62" t="s">
        <v>115</v>
      </c>
      <c r="D1345" s="62" t="s">
        <v>2930</v>
      </c>
      <c r="F1345" s="68" t="s">
        <v>7645</v>
      </c>
      <c r="G1345" s="159" t="s">
        <v>7646</v>
      </c>
      <c r="H1345" s="159" t="s">
        <v>7619</v>
      </c>
      <c r="I1345" s="1287" t="s">
        <v>7238</v>
      </c>
      <c r="J1345" s="540">
        <v>45736.0</v>
      </c>
      <c r="K1345" s="159" t="s">
        <v>7636</v>
      </c>
      <c r="L1345" s="151" t="s">
        <v>7637</v>
      </c>
      <c r="M1345" s="159" t="s">
        <v>7622</v>
      </c>
      <c r="N1345" s="159" t="s">
        <v>7623</v>
      </c>
      <c r="O1345" s="156">
        <v>1.0</v>
      </c>
      <c r="P1345" s="382" t="s">
        <v>7624</v>
      </c>
      <c r="Q1345" s="52" t="str">
        <f t="array" ref="Q1345"> if(iserror(MATCH(V1345, 'File Links'!C:C, 0)), "N/A", HYPERLINK(INDEX('File Links'!B:B, MATCH(P1345, 'File Links'!C:C, 0))))</f>
        <v>https://drive.google.com/file/d/1-8hoTcDzN7GjN92fqlhu7SLhxRSQTUrd/view?usp=drivesdk</v>
      </c>
      <c r="R1345" s="159" t="s">
        <v>7648</v>
      </c>
      <c r="S1345" s="159" t="s">
        <v>7639</v>
      </c>
      <c r="T1345" s="68" t="s">
        <v>138</v>
      </c>
      <c r="U1345" s="336">
        <v>2.0</v>
      </c>
      <c r="V1345" s="159" t="s">
        <v>7640</v>
      </c>
      <c r="W1345" s="159" t="s">
        <v>209</v>
      </c>
      <c r="X1345" s="54" t="str">
        <f t="array" ref="X1345"> if(iserror(MATCH(V1345, 'File Links'!C:C, 0)), "N/A", HYPERLINK(INDEX('File Links'!B:B, MATCH(V1345, 'File Links'!C:C, 0))))</f>
        <v>https://drive.google.com/file/d/1x9sfN1Qyptlpks3NPyyD6PckLhoE6G6J/view?usp=drivesdk</v>
      </c>
      <c r="Y1345" s="68"/>
      <c r="Z1345" s="159" t="s">
        <v>226</v>
      </c>
      <c r="AA1345" s="159" t="s">
        <v>7628</v>
      </c>
      <c r="AB1345" s="159" t="s">
        <v>7629</v>
      </c>
      <c r="AC1345" s="151" t="s">
        <v>7653</v>
      </c>
      <c r="AD1345" s="159" t="s">
        <v>7631</v>
      </c>
      <c r="AE1345" s="156">
        <v>2.0</v>
      </c>
      <c r="AF1345" s="156">
        <v>40.0</v>
      </c>
      <c r="AG1345" s="156">
        <v>0.52</v>
      </c>
      <c r="AH1345" s="159" t="s">
        <v>215</v>
      </c>
      <c r="AI1345" s="156">
        <v>2.0</v>
      </c>
      <c r="AJ1345" s="156">
        <v>0.001</v>
      </c>
      <c r="AK1345" s="159" t="s">
        <v>172</v>
      </c>
      <c r="AL1345" s="159" t="s">
        <v>186</v>
      </c>
      <c r="AM1345" s="159" t="s">
        <v>137</v>
      </c>
      <c r="AN1345" s="330" t="s">
        <v>138</v>
      </c>
      <c r="AO1345" s="156">
        <v>90.0</v>
      </c>
      <c r="AP1345" s="156">
        <v>0.19</v>
      </c>
      <c r="AQ1345" s="159" t="s">
        <v>215</v>
      </c>
      <c r="AR1345" s="159" t="s">
        <v>217</v>
      </c>
      <c r="AS1345" s="156" t="s">
        <v>138</v>
      </c>
      <c r="AT1345" s="129" t="s">
        <v>138</v>
      </c>
      <c r="AU1345" s="159" t="s">
        <v>186</v>
      </c>
      <c r="AV1345" s="159" t="s">
        <v>137</v>
      </c>
      <c r="AW1345" s="1471" t="s">
        <v>7642</v>
      </c>
      <c r="AX1345" s="1290" t="s">
        <v>143</v>
      </c>
      <c r="AY1345" s="61" t="str">
        <f>IFERROR(__xludf.DUMMYFUNCTION("vlookup(BB1345,importrange(""https://docs.google.com/spreadsheets/d/1d2vevQ_7D_v35q4wCQ4RpQ_IPoTwEMB9Yp6ymwlPqew/edit?gid=984458430#gid=984458430"", ""'replication success'!A:K""), 11, FAlSE)"),"failed")</f>
        <v>failed</v>
      </c>
      <c r="AZ1345" s="61" t="str">
        <f>IFERROR(__xludf.DUMMYFUNCTION("vlookup(BB1345,importrange(""https://docs.google.com/spreadsheets/d/1d2vevQ_7D_v35q4wCQ4RpQ_IPoTwEMB9Yp6ymwlPqew/edit?gid=984458430#gid=984458430"",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1345" s="61" t="str">
        <f>IFERROR(__xludf.DUMMYFUNCTION("vlookup(BB1345,importrange(""https://docs.google.com/spreadsheets/d/1d2vevQ_7D_v35q4wCQ4RpQ_IPoTwEMB9Yp6ymwlPqew/edit?gid=984458430#gid=984458430"", ""'replication success'!A:M""), 13, FAlSE)"),"abstract")</f>
        <v>abstract</v>
      </c>
      <c r="BB1345" s="61" t="str">
        <f>IFERROR(__xludf.DUMMYFUNCTION("REGEXREPLACE(G1345, ""_[a-z]{1,2}$"", """")"),"curatescience28")</f>
        <v>curatescience28</v>
      </c>
      <c r="BD1345" s="62" t="s">
        <v>144</v>
      </c>
    </row>
    <row r="1346">
      <c r="A1346" s="44">
        <v>1346.0</v>
      </c>
      <c r="B1346" s="188" t="s">
        <v>590</v>
      </c>
      <c r="C1346" s="188" t="s">
        <v>115</v>
      </c>
      <c r="D1346" s="188" t="s">
        <v>2630</v>
      </c>
      <c r="E1346" s="189"/>
      <c r="F1346" s="369" t="s">
        <v>7654</v>
      </c>
      <c r="G1346" s="192" t="str">
        <f t="shared" ref="G1346:G1347" si="85">F1346&amp;"_"&amp;COUNTIF($B$3:F1346, F1346)</f>
        <v>curatescience283_1</v>
      </c>
      <c r="H1346" s="369" t="s">
        <v>7492</v>
      </c>
      <c r="I1346" s="370">
        <v>45675.0</v>
      </c>
      <c r="J1346" s="370">
        <v>45676.0</v>
      </c>
      <c r="K1346" s="190"/>
      <c r="L1346" s="190"/>
      <c r="M1346" s="1472" t="s">
        <v>7655</v>
      </c>
      <c r="N1346" s="369" t="s">
        <v>7656</v>
      </c>
      <c r="O1346" s="374">
        <v>1.0</v>
      </c>
      <c r="P1346" s="369" t="str">
        <f t="shared" ref="P1346:P1347" si="86"> SUBSTITUTE(lower(N1346), "/", "--") &amp;  ".pdf"</f>
        <v>10.1126--science.7455683.pdf</v>
      </c>
      <c r="Q1346" s="52" t="str">
        <f t="array" ref="Q1346"> if(iserror(MATCH(V1346, 'File Links'!C:C, 0)), "N/A", HYPERLINK(INDEX('File Links'!B:B, MATCH(P1346, 'File Links'!C:C, 0))))</f>
        <v>https://drive.google.com/file/d/1KdKryH9Qx-Olx2xYcWf9zZPlU9JsWLmq/view?usp=drivesdk</v>
      </c>
      <c r="R1346" s="369" t="s">
        <v>7496</v>
      </c>
      <c r="S1346" s="369" t="s">
        <v>7497</v>
      </c>
      <c r="T1346" s="1098" t="s">
        <v>7498</v>
      </c>
      <c r="U1346" s="369" t="s">
        <v>7657</v>
      </c>
      <c r="V1346" s="198" t="str">
        <f t="shared" ref="V1346:V1347" si="87"> hyperlink(vlookup(lower(S1346),#REF!, 2, FALSE), SUBSTITUTE(lower(S1346), "/", "--") &amp;  ".pdf")</f>
        <v>10.1027--1864-9335--a000178.pdf</v>
      </c>
      <c r="W1346" s="369" t="s">
        <v>7500</v>
      </c>
      <c r="X1346" s="54" t="str">
        <f t="array" ref="X1346"> if(iserror(MATCH(V1346, 'File Links'!C:C, 0)), "N/A", HYPERLINK(INDEX('File Links'!B:B, MATCH(V1346, 'File Links'!C:C, 0))))</f>
        <v>https://drive.google.com/file/d/1fIqa3RxgdnsQkWwGnLkF4XAbM2g_WN4q/view?usp=drivesdk</v>
      </c>
      <c r="Z1346" s="369" t="s">
        <v>226</v>
      </c>
      <c r="AA1346" s="369" t="s">
        <v>7658</v>
      </c>
      <c r="AB1346" s="369" t="s">
        <v>7659</v>
      </c>
      <c r="AC1346" s="369" t="s">
        <v>7660</v>
      </c>
      <c r="AD1346" s="369" t="s">
        <v>7661</v>
      </c>
      <c r="AE1346" s="369" t="s">
        <v>7662</v>
      </c>
      <c r="AF1346" s="369" t="s">
        <v>7663</v>
      </c>
      <c r="AG1346" s="369" t="s">
        <v>7664</v>
      </c>
      <c r="AH1346" s="167" t="s">
        <v>138</v>
      </c>
      <c r="AI1346" s="369" t="s">
        <v>7665</v>
      </c>
      <c r="AJ1346" s="1473">
        <v>0.05</v>
      </c>
      <c r="AK1346" s="192" t="s">
        <v>135</v>
      </c>
      <c r="AL1346" s="192" t="s">
        <v>136</v>
      </c>
      <c r="AM1346" s="1474" t="s">
        <v>137</v>
      </c>
      <c r="AN1346" s="330" t="s">
        <v>138</v>
      </c>
      <c r="AO1346" s="1475">
        <v>1243.0</v>
      </c>
      <c r="AP1346" s="1476">
        <v>0.65</v>
      </c>
      <c r="AQ1346" s="369" t="s">
        <v>173</v>
      </c>
      <c r="AR1346" s="369" t="s">
        <v>7666</v>
      </c>
      <c r="AS1346" s="1476">
        <v>0.001</v>
      </c>
      <c r="AT1346" s="369" t="s">
        <v>135</v>
      </c>
      <c r="AU1346" s="369" t="s">
        <v>136</v>
      </c>
      <c r="AV1346" s="1474" t="s">
        <v>137</v>
      </c>
      <c r="AW1346" s="1474" t="s">
        <v>7508</v>
      </c>
      <c r="AX1346" s="1474" t="s">
        <v>143</v>
      </c>
      <c r="AY1346" s="61" t="str">
        <f>IFERROR(__xludf.DUMMYFUNCTION("vlookup(BB1346,importrange(""https://docs.google.com/spreadsheets/d/1d2vevQ_7D_v35q4wCQ4RpQ_IPoTwEMB9Yp6ymwlPqew/edit?gid=984458430#gid=984458430"", ""'replication success'!A:K""), 11, FAlSE)"),"#N/A")</f>
        <v>#N/A</v>
      </c>
      <c r="AZ1346" s="61" t="str">
        <f>IFERROR(__xludf.DUMMYFUNCTION("vlookup(BB1346,importrange(""https://docs.google.com/spreadsheets/d/1d2vevQ_7D_v35q4wCQ4RpQ_IPoTwEMB9Yp6ymwlPqew/edit?gid=984458430#gid=984458430"", ""'replication success'!A:M""), 12, FAlSE)"),"#N/A")</f>
        <v>#N/A</v>
      </c>
      <c r="BA1346" s="61" t="str">
        <f>IFERROR(__xludf.DUMMYFUNCTION("vlookup(BB1346,importrange(""https://docs.google.com/spreadsheets/d/1d2vevQ_7D_v35q4wCQ4RpQ_IPoTwEMB9Yp6ymwlPqew/edit?gid=984458430#gid=984458430"", ""'replication success'!A:M""), 13, FAlSE)"),"#N/A")</f>
        <v>#N/A</v>
      </c>
      <c r="BB1346" s="61" t="str">
        <f>IFERROR(__xludf.DUMMYFUNCTION("REGEXREPLACE(G1346, ""_[a-z]{1,2}$"", """")"),"curatescience283_1")</f>
        <v>curatescience283_1</v>
      </c>
      <c r="BC1346" s="189"/>
      <c r="BD1346" s="189"/>
    </row>
    <row r="1347">
      <c r="A1347" s="44">
        <v>1347.0</v>
      </c>
      <c r="B1347" s="188" t="s">
        <v>590</v>
      </c>
      <c r="C1347" s="188" t="s">
        <v>115</v>
      </c>
      <c r="D1347" s="188" t="s">
        <v>1234</v>
      </c>
      <c r="E1347" s="189"/>
      <c r="F1347" s="198" t="s">
        <v>7654</v>
      </c>
      <c r="G1347" s="58" t="str">
        <f t="shared" si="85"/>
        <v>curatescience283_2</v>
      </c>
      <c r="H1347" s="198" t="s">
        <v>6955</v>
      </c>
      <c r="I1347" s="191">
        <v>45901.0</v>
      </c>
      <c r="J1347" s="191">
        <v>45901.0</v>
      </c>
      <c r="K1347" s="190"/>
      <c r="L1347" s="190"/>
      <c r="M1347" s="1472" t="s">
        <v>7655</v>
      </c>
      <c r="N1347" s="198" t="s">
        <v>7656</v>
      </c>
      <c r="O1347" s="758">
        <v>1.0</v>
      </c>
      <c r="P1347" s="198" t="str">
        <f t="shared" si="86"/>
        <v>10.1126--science.7455683.pdf</v>
      </c>
      <c r="Q1347" s="52" t="str">
        <f t="array" ref="Q1347"> if(iserror(MATCH(V1347, 'File Links'!C:C, 0)), "N/A", HYPERLINK(INDEX('File Links'!B:B, MATCH(P1347, 'File Links'!C:C, 0))))</f>
        <v>https://drive.google.com/file/d/1KdKryH9Qx-Olx2xYcWf9zZPlU9JsWLmq/view?usp=drivesdk</v>
      </c>
      <c r="R1347" s="369" t="s">
        <v>7496</v>
      </c>
      <c r="S1347" s="369" t="s">
        <v>7497</v>
      </c>
      <c r="T1347" s="1098" t="s">
        <v>7498</v>
      </c>
      <c r="U1347" s="190"/>
      <c r="V1347" s="198" t="str">
        <f t="shared" si="87"/>
        <v>10.1027--1864-9335--a000178.pdf</v>
      </c>
      <c r="W1347" s="190"/>
      <c r="X1347" s="54" t="str">
        <f t="array" ref="X1347"> if(iserror(MATCH(V1347, 'File Links'!C:C, 0)), "N/A", HYPERLINK(INDEX('File Links'!B:B, MATCH(V1347, 'File Links'!C:C, 0))))</f>
        <v>https://drive.google.com/file/d/1fIqa3RxgdnsQkWwGnLkF4XAbM2g_WN4q/view?usp=drivesdk</v>
      </c>
      <c r="Z1347" s="198" t="s">
        <v>210</v>
      </c>
      <c r="AA1347" s="198" t="s">
        <v>7667</v>
      </c>
      <c r="AB1347" s="190"/>
      <c r="AC1347" s="190"/>
      <c r="AD1347" s="198" t="s">
        <v>7668</v>
      </c>
      <c r="AE1347" s="758">
        <v>453.0</v>
      </c>
      <c r="AF1347" s="758">
        <v>307.0</v>
      </c>
      <c r="AG1347" s="190"/>
      <c r="AH1347" s="190"/>
      <c r="AI1347" s="190"/>
      <c r="AJ1347" s="195"/>
      <c r="AK1347" s="193"/>
      <c r="AL1347" s="193"/>
      <c r="AM1347" s="190"/>
      <c r="AN1347" s="193"/>
      <c r="AO1347" s="758">
        <v>6271.0</v>
      </c>
      <c r="AP1347" s="758">
        <v>0.62</v>
      </c>
      <c r="AQ1347" s="198" t="s">
        <v>173</v>
      </c>
      <c r="AR1347" s="190"/>
      <c r="AS1347" s="758">
        <v>0.001</v>
      </c>
      <c r="AT1347" s="198" t="s">
        <v>135</v>
      </c>
      <c r="AU1347" s="198" t="s">
        <v>186</v>
      </c>
      <c r="AV1347" s="190" t="s">
        <v>137</v>
      </c>
      <c r="AW1347" s="190"/>
      <c r="AX1347" s="190" t="s">
        <v>143</v>
      </c>
      <c r="AY1347" s="61" t="str">
        <f>IFERROR(__xludf.DUMMYFUNCTION("vlookup(BB1347,importrange(""https://docs.google.com/spreadsheets/d/1d2vevQ_7D_v35q4wCQ4RpQ_IPoTwEMB9Yp6ymwlPqew/edit?gid=984458430#gid=984458430"", ""'replication success'!A:K""), 11, FAlSE)"),"#N/A")</f>
        <v>#N/A</v>
      </c>
      <c r="AZ1347" s="61" t="str">
        <f>IFERROR(__xludf.DUMMYFUNCTION("vlookup(BB1347,importrange(""https://docs.google.com/spreadsheets/d/1d2vevQ_7D_v35q4wCQ4RpQ_IPoTwEMB9Yp6ymwlPqew/edit?gid=984458430#gid=984458430"", ""'replication success'!A:M""), 12, FAlSE)"),"#N/A")</f>
        <v>#N/A</v>
      </c>
      <c r="BA1347" s="61" t="str">
        <f>IFERROR(__xludf.DUMMYFUNCTION("vlookup(BB1347,importrange(""https://docs.google.com/spreadsheets/d/1d2vevQ_7D_v35q4wCQ4RpQ_IPoTwEMB9Yp6ymwlPqew/edit?gid=984458430#gid=984458430"", ""'replication success'!A:M""), 13, FAlSE)"),"#N/A")</f>
        <v>#N/A</v>
      </c>
      <c r="BB1347" s="61" t="str">
        <f>IFERROR(__xludf.DUMMYFUNCTION("REGEXREPLACE(G1347, ""_[a-z]{1,2}$"", """")"),"curatescience283_2")</f>
        <v>curatescience283_2</v>
      </c>
      <c r="BC1347" s="189"/>
      <c r="BD1347" s="189"/>
    </row>
    <row r="1348">
      <c r="A1348" s="44">
        <v>1348.0</v>
      </c>
      <c r="B1348" s="129" t="s">
        <v>152</v>
      </c>
      <c r="C1348" s="62" t="s">
        <v>115</v>
      </c>
      <c r="D1348" s="62" t="s">
        <v>990</v>
      </c>
      <c r="F1348" s="68" t="s">
        <v>7669</v>
      </c>
      <c r="G1348" s="159" t="s">
        <v>7670</v>
      </c>
      <c r="H1348" s="159" t="s">
        <v>7237</v>
      </c>
      <c r="I1348" s="1287" t="s">
        <v>119</v>
      </c>
      <c r="J1348" s="540">
        <v>45736.0</v>
      </c>
      <c r="K1348" s="159" t="s">
        <v>138</v>
      </c>
      <c r="L1348" s="159"/>
      <c r="M1348" s="159" t="s">
        <v>7622</v>
      </c>
      <c r="N1348" s="159" t="s">
        <v>7623</v>
      </c>
      <c r="O1348" s="156">
        <v>1.0</v>
      </c>
      <c r="P1348" s="382" t="s">
        <v>7624</v>
      </c>
      <c r="Q1348" s="52" t="str">
        <f t="array" ref="Q1348"> if(iserror(MATCH(V1348, 'File Links'!C:C, 0)), "N/A", HYPERLINK(INDEX('File Links'!B:B, MATCH(P1348, 'File Links'!C:C, 0))))</f>
        <v>https://drive.google.com/file/d/1-8hoTcDzN7GjN92fqlhu7SLhxRSQTUrd/view?usp=drivesdk</v>
      </c>
      <c r="R1348" s="159" t="s">
        <v>7671</v>
      </c>
      <c r="S1348" s="159" t="s">
        <v>7672</v>
      </c>
      <c r="T1348" s="68"/>
      <c r="U1348" s="156">
        <v>1.0</v>
      </c>
      <c r="V1348" s="382" t="s">
        <v>7673</v>
      </c>
      <c r="W1348" s="159" t="s">
        <v>6637</v>
      </c>
      <c r="X1348" s="54" t="str">
        <f t="array" ref="X1348"> if(iserror(MATCH(V1348, 'File Links'!C:C, 0)), "N/A", HYPERLINK(INDEX('File Links'!B:B, MATCH(V1348, 'File Links'!C:C, 0))))</f>
        <v>https://drive.google.com/file/d/1TOxKvkgLgldkEiOl4Cnst0AYk7w8IBCh/view?usp=drivesdk</v>
      </c>
      <c r="Y1348" s="159"/>
      <c r="Z1348" s="159" t="s">
        <v>226</v>
      </c>
      <c r="AA1348" s="159" t="s">
        <v>7628</v>
      </c>
      <c r="AB1348" s="159" t="s">
        <v>7674</v>
      </c>
      <c r="AC1348" s="159" t="s">
        <v>7628</v>
      </c>
      <c r="AD1348" s="159" t="s">
        <v>7651</v>
      </c>
      <c r="AE1348" s="159" t="s">
        <v>2771</v>
      </c>
      <c r="AF1348" s="156">
        <v>40.0</v>
      </c>
      <c r="AG1348" s="156">
        <v>0.52</v>
      </c>
      <c r="AH1348" s="159" t="s">
        <v>215</v>
      </c>
      <c r="AI1348" s="159" t="s">
        <v>2771</v>
      </c>
      <c r="AJ1348" s="156">
        <v>0.001</v>
      </c>
      <c r="AK1348" s="159" t="s">
        <v>172</v>
      </c>
      <c r="AL1348" s="159" t="s">
        <v>186</v>
      </c>
      <c r="AM1348" s="159" t="s">
        <v>137</v>
      </c>
      <c r="AN1348" s="159" t="s">
        <v>138</v>
      </c>
      <c r="AO1348" s="156">
        <v>100.0</v>
      </c>
      <c r="AP1348" s="156">
        <v>0.08</v>
      </c>
      <c r="AQ1348" s="159" t="s">
        <v>173</v>
      </c>
      <c r="AR1348" s="159" t="s">
        <v>507</v>
      </c>
      <c r="AS1348" s="156">
        <v>0.68</v>
      </c>
      <c r="AT1348" s="159" t="s">
        <v>172</v>
      </c>
      <c r="AU1348" s="159" t="s">
        <v>136</v>
      </c>
      <c r="AV1348" s="159" t="s">
        <v>137</v>
      </c>
      <c r="AW1348" s="68" t="s">
        <v>138</v>
      </c>
      <c r="AX1348" s="159" t="s">
        <v>143</v>
      </c>
      <c r="AY1348" s="61" t="str">
        <f>IFERROR(__xludf.DUMMYFUNCTION("vlookup(BB1348,importrange(""https://docs.google.com/spreadsheets/d/1d2vevQ_7D_v35q4wCQ4RpQ_IPoTwEMB9Yp6ymwlPqew/edit?gid=984458430#gid=984458430"", ""'replication success'!A:K""), 11, FAlSE)"),"failed")</f>
        <v>failed</v>
      </c>
      <c r="AZ1348" s="61" t="str">
        <f>IFERROR(__xludf.DUMMYFUNCTION("vlookup(BB1348,importrange(""https://docs.google.com/spreadsheets/d/1d2vevQ_7D_v35q4wCQ4RpQ_IPoTwEMB9Yp6ymwlPqew/edit?gid=984458430#gid=984458430"",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48" s="61" t="str">
        <f>IFERROR(__xludf.DUMMYFUNCTION("vlookup(BB1348,importrange(""https://docs.google.com/spreadsheets/d/1d2vevQ_7D_v35q4wCQ4RpQ_IPoTwEMB9Yp6ymwlPqew/edit?gid=984458430#gid=984458430"", ""'replication success'!A:M""), 13, FAlSE)"),"abstract")</f>
        <v>abstract</v>
      </c>
      <c r="BB1348" s="61" t="str">
        <f>IFERROR(__xludf.DUMMYFUNCTION("REGEXREPLACE(G1348, ""_[a-z]{1,2}$"", """")"),"curatescience29")</f>
        <v>curatescience29</v>
      </c>
      <c r="BC1348" s="68"/>
      <c r="BD1348" s="62" t="s">
        <v>144</v>
      </c>
    </row>
    <row r="1349">
      <c r="A1349" s="44">
        <v>1349.0</v>
      </c>
      <c r="B1349" s="129" t="s">
        <v>114</v>
      </c>
      <c r="C1349" s="62" t="s">
        <v>115</v>
      </c>
      <c r="D1349" s="62" t="s">
        <v>2930</v>
      </c>
      <c r="F1349" s="68" t="s">
        <v>7669</v>
      </c>
      <c r="G1349" s="159" t="s">
        <v>7670</v>
      </c>
      <c r="H1349" s="159" t="s">
        <v>7619</v>
      </c>
      <c r="I1349" s="1287" t="s">
        <v>7238</v>
      </c>
      <c r="J1349" s="540">
        <v>45736.0</v>
      </c>
      <c r="K1349" s="159" t="s">
        <v>7675</v>
      </c>
      <c r="L1349" s="151" t="s">
        <v>7676</v>
      </c>
      <c r="M1349" s="159" t="s">
        <v>7622</v>
      </c>
      <c r="N1349" s="159" t="s">
        <v>7623</v>
      </c>
      <c r="O1349" s="156">
        <v>1.0</v>
      </c>
      <c r="P1349" s="382" t="s">
        <v>7624</v>
      </c>
      <c r="Q1349" s="52" t="str">
        <f t="array" ref="Q1349"> if(iserror(MATCH(V1349, 'File Links'!C:C, 0)), "N/A", HYPERLINK(INDEX('File Links'!B:B, MATCH(P1349, 'File Links'!C:C, 0))))</f>
        <v>https://drive.google.com/file/d/1-8hoTcDzN7GjN92fqlhu7SLhxRSQTUrd/view?usp=drivesdk</v>
      </c>
      <c r="R1349" s="159" t="s">
        <v>7671</v>
      </c>
      <c r="S1349" s="159" t="s">
        <v>7672</v>
      </c>
      <c r="T1349" s="159" t="s">
        <v>138</v>
      </c>
      <c r="U1349" s="156">
        <v>1.0</v>
      </c>
      <c r="V1349" s="382" t="s">
        <v>7673</v>
      </c>
      <c r="W1349" s="159" t="s">
        <v>209</v>
      </c>
      <c r="X1349" s="54" t="str">
        <f t="array" ref="X1349"> if(iserror(MATCH(V1349, 'File Links'!C:C, 0)), "N/A", HYPERLINK(INDEX('File Links'!B:B, MATCH(V1349, 'File Links'!C:C, 0))))</f>
        <v>https://drive.google.com/file/d/1TOxKvkgLgldkEiOl4Cnst0AYk7w8IBCh/view?usp=drivesdk</v>
      </c>
      <c r="Y1349" s="68"/>
      <c r="Z1349" s="159" t="s">
        <v>226</v>
      </c>
      <c r="AA1349" s="159" t="s">
        <v>7628</v>
      </c>
      <c r="AB1349" s="159" t="s">
        <v>7629</v>
      </c>
      <c r="AC1349" s="159" t="s">
        <v>7630</v>
      </c>
      <c r="AD1349" s="159" t="s">
        <v>7631</v>
      </c>
      <c r="AE1349" s="156">
        <v>2.0</v>
      </c>
      <c r="AF1349" s="156">
        <v>40.0</v>
      </c>
      <c r="AG1349" s="156">
        <v>0.52</v>
      </c>
      <c r="AH1349" s="159" t="s">
        <v>215</v>
      </c>
      <c r="AI1349" s="156">
        <v>2.0</v>
      </c>
      <c r="AJ1349" s="156">
        <v>0.001</v>
      </c>
      <c r="AK1349" s="159" t="s">
        <v>172</v>
      </c>
      <c r="AL1349" s="159" t="s">
        <v>186</v>
      </c>
      <c r="AM1349" s="159" t="s">
        <v>137</v>
      </c>
      <c r="AN1349" s="159" t="s">
        <v>138</v>
      </c>
      <c r="AO1349" s="156">
        <v>100.0</v>
      </c>
      <c r="AP1349" s="156">
        <v>0.08</v>
      </c>
      <c r="AQ1349" s="159" t="s">
        <v>173</v>
      </c>
      <c r="AR1349" s="159" t="s">
        <v>507</v>
      </c>
      <c r="AS1349" s="156" t="s">
        <v>138</v>
      </c>
      <c r="AT1349" s="159" t="s">
        <v>172</v>
      </c>
      <c r="AU1349" s="159" t="s">
        <v>136</v>
      </c>
      <c r="AV1349" s="159" t="s">
        <v>137</v>
      </c>
      <c r="AW1349" s="68" t="s">
        <v>138</v>
      </c>
      <c r="AX1349" s="159" t="s">
        <v>143</v>
      </c>
      <c r="AY1349" s="61" t="str">
        <f>IFERROR(__xludf.DUMMYFUNCTION("vlookup(BB1349,importrange(""https://docs.google.com/spreadsheets/d/1d2vevQ_7D_v35q4wCQ4RpQ_IPoTwEMB9Yp6ymwlPqew/edit?gid=984458430#gid=984458430"", ""'replication success'!A:K""), 11, FAlSE)"),"failed")</f>
        <v>failed</v>
      </c>
      <c r="AZ1349" s="61" t="str">
        <f>IFERROR(__xludf.DUMMYFUNCTION("vlookup(BB1349,importrange(""https://docs.google.com/spreadsheets/d/1d2vevQ_7D_v35q4wCQ4RpQ_IPoTwEMB9Yp6ymwlPqew/edit?gid=984458430#gid=984458430"",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49" s="61" t="str">
        <f>IFERROR(__xludf.DUMMYFUNCTION("vlookup(BB1349,importrange(""https://docs.google.com/spreadsheets/d/1d2vevQ_7D_v35q4wCQ4RpQ_IPoTwEMB9Yp6ymwlPqew/edit?gid=984458430#gid=984458430"", ""'replication success'!A:M""), 13, FAlSE)"),"abstract")</f>
        <v>abstract</v>
      </c>
      <c r="BB1349" s="61" t="str">
        <f>IFERROR(__xludf.DUMMYFUNCTION("REGEXREPLACE(G1349, ""_[a-z]{1,2}$"", """")"),"curatescience29")</f>
        <v>curatescience29</v>
      </c>
      <c r="BD1349" s="62" t="s">
        <v>144</v>
      </c>
    </row>
    <row r="1350">
      <c r="A1350" s="44">
        <v>1350.0</v>
      </c>
      <c r="B1350" s="129" t="s">
        <v>114</v>
      </c>
      <c r="C1350" s="62" t="s">
        <v>115</v>
      </c>
      <c r="D1350" s="62" t="s">
        <v>2930</v>
      </c>
      <c r="F1350" s="68" t="s">
        <v>7669</v>
      </c>
      <c r="G1350" s="159" t="s">
        <v>7670</v>
      </c>
      <c r="H1350" s="159" t="s">
        <v>7619</v>
      </c>
      <c r="I1350" s="1287" t="s">
        <v>7238</v>
      </c>
      <c r="J1350" s="68"/>
      <c r="K1350" s="159" t="s">
        <v>7675</v>
      </c>
      <c r="L1350" s="159" t="s">
        <v>7621</v>
      </c>
      <c r="M1350" s="159" t="s">
        <v>7622</v>
      </c>
      <c r="N1350" s="159" t="s">
        <v>7623</v>
      </c>
      <c r="O1350" s="156">
        <v>1.0</v>
      </c>
      <c r="P1350" s="382" t="s">
        <v>7624</v>
      </c>
      <c r="Q1350" s="52" t="str">
        <f t="array" ref="Q1350"> if(iserror(MATCH(V1350, 'File Links'!C:C, 0)), "N/A", HYPERLINK(INDEX('File Links'!B:B, MATCH(P1350, 'File Links'!C:C, 0))))</f>
        <v>https://drive.google.com/file/d/1-8hoTcDzN7GjN92fqlhu7SLhxRSQTUrd/view?usp=drivesdk</v>
      </c>
      <c r="R1350" s="159" t="s">
        <v>7671</v>
      </c>
      <c r="S1350" s="159" t="s">
        <v>7672</v>
      </c>
      <c r="T1350" s="159" t="s">
        <v>138</v>
      </c>
      <c r="U1350" s="156">
        <v>1.0</v>
      </c>
      <c r="V1350" s="382" t="s">
        <v>7673</v>
      </c>
      <c r="W1350" s="159" t="s">
        <v>209</v>
      </c>
      <c r="X1350" s="54" t="str">
        <f t="array" ref="X1350"> if(iserror(MATCH(V1350, 'File Links'!C:C, 0)), "N/A", HYPERLINK(INDEX('File Links'!B:B, MATCH(V1350, 'File Links'!C:C, 0))))</f>
        <v>https://drive.google.com/file/d/1TOxKvkgLgldkEiOl4Cnst0AYk7w8IBCh/view?usp=drivesdk</v>
      </c>
      <c r="Y1350" s="68"/>
      <c r="Z1350" s="159" t="s">
        <v>226</v>
      </c>
      <c r="AA1350" s="159" t="s">
        <v>7628</v>
      </c>
      <c r="AB1350" s="159" t="s">
        <v>7629</v>
      </c>
      <c r="AC1350" s="159" t="s">
        <v>7630</v>
      </c>
      <c r="AD1350" s="159" t="s">
        <v>7631</v>
      </c>
      <c r="AE1350" s="156">
        <v>2.0</v>
      </c>
      <c r="AF1350" s="156">
        <v>40.0</v>
      </c>
      <c r="AG1350" s="156">
        <v>0.52</v>
      </c>
      <c r="AH1350" s="159" t="s">
        <v>215</v>
      </c>
      <c r="AI1350" s="156">
        <v>2.0</v>
      </c>
      <c r="AJ1350" s="156">
        <v>0.001</v>
      </c>
      <c r="AK1350" s="159" t="s">
        <v>172</v>
      </c>
      <c r="AL1350" s="159" t="s">
        <v>186</v>
      </c>
      <c r="AM1350" s="159" t="s">
        <v>137</v>
      </c>
      <c r="AN1350" s="159" t="s">
        <v>138</v>
      </c>
      <c r="AO1350" s="156">
        <v>100.0</v>
      </c>
      <c r="AP1350" s="156">
        <v>0.08</v>
      </c>
      <c r="AQ1350" s="159" t="s">
        <v>173</v>
      </c>
      <c r="AR1350" s="159" t="s">
        <v>507</v>
      </c>
      <c r="AS1350" s="156" t="s">
        <v>138</v>
      </c>
      <c r="AT1350" s="159" t="s">
        <v>172</v>
      </c>
      <c r="AU1350" s="159" t="s">
        <v>136</v>
      </c>
      <c r="AV1350" s="159" t="s">
        <v>137</v>
      </c>
      <c r="AW1350" s="68" t="s">
        <v>138</v>
      </c>
      <c r="AX1350" s="159" t="s">
        <v>143</v>
      </c>
      <c r="AY1350" s="61" t="str">
        <f>IFERROR(__xludf.DUMMYFUNCTION("vlookup(BB1350,importrange(""https://docs.google.com/spreadsheets/d/1d2vevQ_7D_v35q4wCQ4RpQ_IPoTwEMB9Yp6ymwlPqew/edit?gid=984458430#gid=984458430"", ""'replication success'!A:K""), 11, FAlSE)"),"failed")</f>
        <v>failed</v>
      </c>
      <c r="AZ1350" s="61" t="str">
        <f>IFERROR(__xludf.DUMMYFUNCTION("vlookup(BB1350,importrange(""https://docs.google.com/spreadsheets/d/1d2vevQ_7D_v35q4wCQ4RpQ_IPoTwEMB9Yp6ymwlPqew/edit?gid=984458430#gid=984458430"",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50" s="61" t="str">
        <f>IFERROR(__xludf.DUMMYFUNCTION("vlookup(BB1350,importrange(""https://docs.google.com/spreadsheets/d/1d2vevQ_7D_v35q4wCQ4RpQ_IPoTwEMB9Yp6ymwlPqew/edit?gid=984458430#gid=984458430"", ""'replication success'!A:M""), 13, FAlSE)"),"abstract")</f>
        <v>abstract</v>
      </c>
      <c r="BB1350" s="61" t="str">
        <f>IFERROR(__xludf.DUMMYFUNCTION("REGEXREPLACE(G1350, ""_[a-z]{1,2}$"", """")"),"curatescience29")</f>
        <v>curatescience29</v>
      </c>
    </row>
    <row r="1351">
      <c r="A1351" s="44">
        <v>1351.0</v>
      </c>
      <c r="B1351" s="129" t="s">
        <v>152</v>
      </c>
      <c r="C1351" s="62" t="s">
        <v>115</v>
      </c>
      <c r="D1351" s="62" t="s">
        <v>990</v>
      </c>
      <c r="F1351" s="68" t="s">
        <v>7677</v>
      </c>
      <c r="G1351" s="159" t="s">
        <v>7678</v>
      </c>
      <c r="H1351" s="159" t="s">
        <v>7237</v>
      </c>
      <c r="I1351" s="1287" t="s">
        <v>119</v>
      </c>
      <c r="J1351" s="540">
        <v>45736.0</v>
      </c>
      <c r="K1351" s="159" t="s">
        <v>138</v>
      </c>
      <c r="L1351" s="159"/>
      <c r="M1351" s="159" t="s">
        <v>7622</v>
      </c>
      <c r="N1351" s="159" t="s">
        <v>7623</v>
      </c>
      <c r="O1351" s="156">
        <v>1.0</v>
      </c>
      <c r="P1351" s="382" t="s">
        <v>7624</v>
      </c>
      <c r="Q1351" s="52" t="str">
        <f t="array" ref="Q1351"> if(iserror(MATCH(V1351, 'File Links'!C:C, 0)), "N/A", HYPERLINK(INDEX('File Links'!B:B, MATCH(P1351, 'File Links'!C:C, 0))))</f>
        <v>https://drive.google.com/file/d/1-8hoTcDzN7GjN92fqlhu7SLhxRSQTUrd/view?usp=drivesdk</v>
      </c>
      <c r="R1351" s="159" t="s">
        <v>7679</v>
      </c>
      <c r="S1351" s="159" t="s">
        <v>7672</v>
      </c>
      <c r="T1351" s="68"/>
      <c r="U1351" s="156">
        <v>2.0</v>
      </c>
      <c r="V1351" s="382" t="s">
        <v>7673</v>
      </c>
      <c r="W1351" s="159" t="s">
        <v>6637</v>
      </c>
      <c r="X1351" s="54" t="str">
        <f t="array" ref="X1351"> if(iserror(MATCH(V1351, 'File Links'!C:C, 0)), "N/A", HYPERLINK(INDEX('File Links'!B:B, MATCH(V1351, 'File Links'!C:C, 0))))</f>
        <v>https://drive.google.com/file/d/1TOxKvkgLgldkEiOl4Cnst0AYk7w8IBCh/view?usp=drivesdk</v>
      </c>
      <c r="Y1351" s="159"/>
      <c r="Z1351" s="159" t="s">
        <v>226</v>
      </c>
      <c r="AA1351" s="159" t="s">
        <v>7628</v>
      </c>
      <c r="AB1351" s="159" t="s">
        <v>7674</v>
      </c>
      <c r="AC1351" s="159" t="s">
        <v>7628</v>
      </c>
      <c r="AD1351" s="159" t="s">
        <v>7651</v>
      </c>
      <c r="AE1351" s="159" t="s">
        <v>2771</v>
      </c>
      <c r="AF1351" s="156">
        <v>40.0</v>
      </c>
      <c r="AG1351" s="156">
        <v>0.52</v>
      </c>
      <c r="AH1351" s="159" t="s">
        <v>215</v>
      </c>
      <c r="AI1351" s="159" t="s">
        <v>2771</v>
      </c>
      <c r="AJ1351" s="156">
        <v>0.001</v>
      </c>
      <c r="AK1351" s="159" t="s">
        <v>172</v>
      </c>
      <c r="AL1351" s="159" t="s">
        <v>186</v>
      </c>
      <c r="AM1351" s="159" t="s">
        <v>137</v>
      </c>
      <c r="AN1351" s="159" t="s">
        <v>138</v>
      </c>
      <c r="AO1351" s="156">
        <v>100.0</v>
      </c>
      <c r="AP1351" s="156">
        <v>0.21</v>
      </c>
      <c r="AQ1351" s="159" t="s">
        <v>173</v>
      </c>
      <c r="AR1351" s="159" t="s">
        <v>882</v>
      </c>
      <c r="AS1351" s="156">
        <v>0.29</v>
      </c>
      <c r="AT1351" s="159" t="s">
        <v>172</v>
      </c>
      <c r="AU1351" s="159" t="s">
        <v>136</v>
      </c>
      <c r="AV1351" s="159" t="s">
        <v>137</v>
      </c>
      <c r="AW1351" s="435" t="s">
        <v>7680</v>
      </c>
      <c r="AX1351" s="159" t="s">
        <v>143</v>
      </c>
      <c r="AY1351" s="61" t="str">
        <f>IFERROR(__xludf.DUMMYFUNCTION("vlookup(BB1351,importrange(""https://docs.google.com/spreadsheets/d/1d2vevQ_7D_v35q4wCQ4RpQ_IPoTwEMB9Yp6ymwlPqew/edit?gid=984458430#gid=984458430"", ""'replication success'!A:K""), 11, FAlSE)"),"failed")</f>
        <v>failed</v>
      </c>
      <c r="AZ1351" s="61" t="str">
        <f>IFERROR(__xludf.DUMMYFUNCTION("vlookup(BB1351,importrange(""https://docs.google.com/spreadsheets/d/1d2vevQ_7D_v35q4wCQ4RpQ_IPoTwEMB9Yp6ymwlPqew/edit?gid=984458430#gid=984458430"",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51" s="61" t="str">
        <f>IFERROR(__xludf.DUMMYFUNCTION("vlookup(BB1351,importrange(""https://docs.google.com/spreadsheets/d/1d2vevQ_7D_v35q4wCQ4RpQ_IPoTwEMB9Yp6ymwlPqew/edit?gid=984458430#gid=984458430"", ""'replication success'!A:M""), 13, FAlSE)"),"abstract")</f>
        <v>abstract</v>
      </c>
      <c r="BB1351" s="61" t="str">
        <f>IFERROR(__xludf.DUMMYFUNCTION("REGEXREPLACE(G1351, ""_[a-z]{1,2}$"", """")"),"curatescience30")</f>
        <v>curatescience30</v>
      </c>
      <c r="BC1351" s="68"/>
      <c r="BD1351" s="62" t="s">
        <v>144</v>
      </c>
    </row>
    <row r="1352">
      <c r="A1352" s="44">
        <v>1352.0</v>
      </c>
      <c r="B1352" s="129" t="s">
        <v>114</v>
      </c>
      <c r="C1352" s="62" t="s">
        <v>115</v>
      </c>
      <c r="D1352" s="62" t="s">
        <v>2930</v>
      </c>
      <c r="F1352" s="68" t="s">
        <v>7677</v>
      </c>
      <c r="G1352" s="159" t="s">
        <v>7678</v>
      </c>
      <c r="H1352" s="159" t="s">
        <v>7619</v>
      </c>
      <c r="I1352" s="1287" t="s">
        <v>7238</v>
      </c>
      <c r="J1352" s="540">
        <v>45736.0</v>
      </c>
      <c r="K1352" s="159" t="s">
        <v>7681</v>
      </c>
      <c r="L1352" s="151" t="s">
        <v>7676</v>
      </c>
      <c r="M1352" s="159" t="s">
        <v>7622</v>
      </c>
      <c r="N1352" s="159" t="s">
        <v>7623</v>
      </c>
      <c r="O1352" s="156">
        <v>1.0</v>
      </c>
      <c r="P1352" s="382" t="s">
        <v>7624</v>
      </c>
      <c r="Q1352" s="52" t="str">
        <f t="array" ref="Q1352"> if(iserror(MATCH(V1352, 'File Links'!C:C, 0)), "N/A", HYPERLINK(INDEX('File Links'!B:B, MATCH(P1352, 'File Links'!C:C, 0))))</f>
        <v>https://drive.google.com/file/d/1-8hoTcDzN7GjN92fqlhu7SLhxRSQTUrd/view?usp=drivesdk</v>
      </c>
      <c r="R1352" s="159" t="s">
        <v>7679</v>
      </c>
      <c r="S1352" s="159" t="s">
        <v>7672</v>
      </c>
      <c r="T1352" s="159" t="s">
        <v>138</v>
      </c>
      <c r="U1352" s="156">
        <v>2.0</v>
      </c>
      <c r="V1352" s="382" t="s">
        <v>7673</v>
      </c>
      <c r="W1352" s="159" t="s">
        <v>209</v>
      </c>
      <c r="X1352" s="54" t="str">
        <f t="array" ref="X1352"> if(iserror(MATCH(V1352, 'File Links'!C:C, 0)), "N/A", HYPERLINK(INDEX('File Links'!B:B, MATCH(V1352, 'File Links'!C:C, 0))))</f>
        <v>https://drive.google.com/file/d/1TOxKvkgLgldkEiOl4Cnst0AYk7w8IBCh/view?usp=drivesdk</v>
      </c>
      <c r="Y1352" s="68"/>
      <c r="Z1352" s="159" t="s">
        <v>226</v>
      </c>
      <c r="AA1352" s="159" t="s">
        <v>7628</v>
      </c>
      <c r="AB1352" s="159" t="s">
        <v>7629</v>
      </c>
      <c r="AC1352" s="159" t="s">
        <v>7630</v>
      </c>
      <c r="AD1352" s="159" t="s">
        <v>7631</v>
      </c>
      <c r="AE1352" s="156">
        <v>2.0</v>
      </c>
      <c r="AF1352" s="156">
        <v>40.0</v>
      </c>
      <c r="AG1352" s="156">
        <v>0.52</v>
      </c>
      <c r="AH1352" s="159" t="s">
        <v>215</v>
      </c>
      <c r="AI1352" s="156">
        <v>2.0</v>
      </c>
      <c r="AJ1352" s="156">
        <v>0.001</v>
      </c>
      <c r="AK1352" s="159" t="s">
        <v>172</v>
      </c>
      <c r="AL1352" s="159" t="s">
        <v>186</v>
      </c>
      <c r="AM1352" s="159" t="s">
        <v>137</v>
      </c>
      <c r="AN1352" s="159" t="s">
        <v>138</v>
      </c>
      <c r="AO1352" s="156">
        <v>100.0</v>
      </c>
      <c r="AP1352" s="156">
        <v>0.21</v>
      </c>
      <c r="AQ1352" s="159" t="s">
        <v>173</v>
      </c>
      <c r="AR1352" s="159" t="s">
        <v>813</v>
      </c>
      <c r="AS1352" s="156" t="s">
        <v>138</v>
      </c>
      <c r="AT1352" s="129" t="s">
        <v>138</v>
      </c>
      <c r="AU1352" s="159" t="s">
        <v>136</v>
      </c>
      <c r="AV1352" s="159" t="s">
        <v>137</v>
      </c>
      <c r="AW1352" s="435" t="s">
        <v>7680</v>
      </c>
      <c r="AX1352" s="159" t="s">
        <v>143</v>
      </c>
      <c r="AY1352" s="61" t="str">
        <f>IFERROR(__xludf.DUMMYFUNCTION("vlookup(BB1352,importrange(""https://docs.google.com/spreadsheets/d/1d2vevQ_7D_v35q4wCQ4RpQ_IPoTwEMB9Yp6ymwlPqew/edit?gid=984458430#gid=984458430"", ""'replication success'!A:K""), 11, FAlSE)"),"failed")</f>
        <v>failed</v>
      </c>
      <c r="AZ1352" s="61" t="str">
        <f>IFERROR(__xludf.DUMMYFUNCTION("vlookup(BB1352,importrange(""https://docs.google.com/spreadsheets/d/1d2vevQ_7D_v35q4wCQ4RpQ_IPoTwEMB9Yp6ymwlPqew/edit?gid=984458430#gid=984458430"",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52" s="61" t="str">
        <f>IFERROR(__xludf.DUMMYFUNCTION("vlookup(BB1352,importrange(""https://docs.google.com/spreadsheets/d/1d2vevQ_7D_v35q4wCQ4RpQ_IPoTwEMB9Yp6ymwlPqew/edit?gid=984458430#gid=984458430"", ""'replication success'!A:M""), 13, FAlSE)"),"abstract")</f>
        <v>abstract</v>
      </c>
      <c r="BB1352" s="61" t="str">
        <f>IFERROR(__xludf.DUMMYFUNCTION("REGEXREPLACE(G1352, ""_[a-z]{1,2}$"", """")"),"curatescience30")</f>
        <v>curatescience30</v>
      </c>
      <c r="BD1352" s="62" t="s">
        <v>144</v>
      </c>
    </row>
    <row r="1353">
      <c r="A1353" s="44">
        <v>1353.0</v>
      </c>
      <c r="B1353" s="129" t="s">
        <v>114</v>
      </c>
      <c r="C1353" s="62" t="s">
        <v>115</v>
      </c>
      <c r="D1353" s="62" t="s">
        <v>2930</v>
      </c>
      <c r="F1353" s="68" t="s">
        <v>7677</v>
      </c>
      <c r="G1353" s="159" t="s">
        <v>7678</v>
      </c>
      <c r="H1353" s="159" t="s">
        <v>7619</v>
      </c>
      <c r="I1353" s="1287" t="s">
        <v>7238</v>
      </c>
      <c r="J1353" s="68"/>
      <c r="K1353" s="159" t="s">
        <v>7681</v>
      </c>
      <c r="L1353" s="159" t="s">
        <v>7621</v>
      </c>
      <c r="M1353" s="159" t="s">
        <v>7622</v>
      </c>
      <c r="N1353" s="159" t="s">
        <v>7623</v>
      </c>
      <c r="O1353" s="156">
        <v>1.0</v>
      </c>
      <c r="P1353" s="382" t="s">
        <v>7624</v>
      </c>
      <c r="Q1353" s="52" t="str">
        <f t="array" ref="Q1353"> if(iserror(MATCH(V1353, 'File Links'!C:C, 0)), "N/A", HYPERLINK(INDEX('File Links'!B:B, MATCH(P1353, 'File Links'!C:C, 0))))</f>
        <v>https://drive.google.com/file/d/1-8hoTcDzN7GjN92fqlhu7SLhxRSQTUrd/view?usp=drivesdk</v>
      </c>
      <c r="R1353" s="159" t="s">
        <v>7679</v>
      </c>
      <c r="S1353" s="159" t="s">
        <v>7672</v>
      </c>
      <c r="T1353" s="159" t="s">
        <v>138</v>
      </c>
      <c r="U1353" s="156">
        <v>2.0</v>
      </c>
      <c r="V1353" s="382" t="s">
        <v>7673</v>
      </c>
      <c r="W1353" s="159" t="s">
        <v>209</v>
      </c>
      <c r="X1353" s="54" t="str">
        <f t="array" ref="X1353"> if(iserror(MATCH(V1353, 'File Links'!C:C, 0)), "N/A", HYPERLINK(INDEX('File Links'!B:B, MATCH(V1353, 'File Links'!C:C, 0))))</f>
        <v>https://drive.google.com/file/d/1TOxKvkgLgldkEiOl4Cnst0AYk7w8IBCh/view?usp=drivesdk</v>
      </c>
      <c r="Y1353" s="68"/>
      <c r="Z1353" s="159" t="s">
        <v>226</v>
      </c>
      <c r="AA1353" s="159" t="s">
        <v>7628</v>
      </c>
      <c r="AB1353" s="159" t="s">
        <v>7629</v>
      </c>
      <c r="AC1353" s="159" t="s">
        <v>7630</v>
      </c>
      <c r="AD1353" s="159" t="s">
        <v>7631</v>
      </c>
      <c r="AE1353" s="156">
        <v>2.0</v>
      </c>
      <c r="AF1353" s="156">
        <v>40.0</v>
      </c>
      <c r="AG1353" s="156">
        <v>0.52</v>
      </c>
      <c r="AH1353" s="159" t="s">
        <v>215</v>
      </c>
      <c r="AI1353" s="156">
        <v>2.0</v>
      </c>
      <c r="AJ1353" s="156">
        <v>0.001</v>
      </c>
      <c r="AK1353" s="159" t="s">
        <v>172</v>
      </c>
      <c r="AL1353" s="159" t="s">
        <v>186</v>
      </c>
      <c r="AM1353" s="159" t="s">
        <v>137</v>
      </c>
      <c r="AN1353" s="159" t="s">
        <v>138</v>
      </c>
      <c r="AO1353" s="156">
        <v>100.0</v>
      </c>
      <c r="AP1353" s="156">
        <v>0.21</v>
      </c>
      <c r="AQ1353" s="159" t="s">
        <v>173</v>
      </c>
      <c r="AR1353" s="159" t="s">
        <v>813</v>
      </c>
      <c r="AS1353" s="156" t="s">
        <v>138</v>
      </c>
      <c r="AT1353" s="156" t="s">
        <v>138</v>
      </c>
      <c r="AU1353" s="159" t="s">
        <v>136</v>
      </c>
      <c r="AV1353" s="159" t="s">
        <v>137</v>
      </c>
      <c r="AW1353" s="435" t="s">
        <v>7680</v>
      </c>
      <c r="AX1353" s="159" t="s">
        <v>143</v>
      </c>
      <c r="AY1353" s="61" t="str">
        <f>IFERROR(__xludf.DUMMYFUNCTION("vlookup(BB1353,importrange(""https://docs.google.com/spreadsheets/d/1d2vevQ_7D_v35q4wCQ4RpQ_IPoTwEMB9Yp6ymwlPqew/edit?gid=984458430#gid=984458430"", ""'replication success'!A:K""), 11, FAlSE)"),"failed")</f>
        <v>failed</v>
      </c>
      <c r="AZ1353" s="61" t="str">
        <f>IFERROR(__xludf.DUMMYFUNCTION("vlookup(BB1353,importrange(""https://docs.google.com/spreadsheets/d/1d2vevQ_7D_v35q4wCQ4RpQ_IPoTwEMB9Yp6ymwlPqew/edit?gid=984458430#gid=984458430"", ""'replication success'!A:M""), 12, FAlSE)"),"In 2 experiments, we tried to
replicate this finding, but, despite larger power, did not find a difference in slant estimates between
participants who recalled a big secret and those who recalled a small secret.")</f>
        <v>In 2 experiments, we tried to
replicate this finding, but, despite larger power, did not find a difference in slant estimates between
participants who recalled a big secret and those who recalled a small secret.</v>
      </c>
      <c r="BA1353" s="61" t="str">
        <f>IFERROR(__xludf.DUMMYFUNCTION("vlookup(BB1353,importrange(""https://docs.google.com/spreadsheets/d/1d2vevQ_7D_v35q4wCQ4RpQ_IPoTwEMB9Yp6ymwlPqew/edit?gid=984458430#gid=984458430"", ""'replication success'!A:M""), 13, FAlSE)"),"abstract")</f>
        <v>abstract</v>
      </c>
      <c r="BB1353" s="61" t="str">
        <f>IFERROR(__xludf.DUMMYFUNCTION("REGEXREPLACE(G1353, ""_[a-z]{1,2}$"", """")"),"curatescience30")</f>
        <v>curatescience30</v>
      </c>
    </row>
    <row r="1354">
      <c r="A1354" s="44">
        <v>1354.0</v>
      </c>
      <c r="B1354" s="129" t="s">
        <v>114</v>
      </c>
      <c r="C1354" s="62" t="s">
        <v>115</v>
      </c>
      <c r="D1354" s="62" t="s">
        <v>990</v>
      </c>
      <c r="F1354" s="68" t="s">
        <v>7682</v>
      </c>
      <c r="G1354" s="159" t="s">
        <v>7683</v>
      </c>
      <c r="H1354" s="159" t="s">
        <v>7237</v>
      </c>
      <c r="I1354" s="1287" t="s">
        <v>119</v>
      </c>
      <c r="J1354" s="540">
        <v>45736.0</v>
      </c>
      <c r="K1354" s="159" t="s">
        <v>138</v>
      </c>
      <c r="L1354" s="159"/>
      <c r="M1354" s="159" t="s">
        <v>7684</v>
      </c>
      <c r="N1354" s="159" t="s">
        <v>7623</v>
      </c>
      <c r="O1354" s="156">
        <v>2.0</v>
      </c>
      <c r="P1354" s="382" t="s">
        <v>7624</v>
      </c>
      <c r="Q1354" s="108" t="str">
        <f t="array" ref="Q1354"> if(iserror(MATCH(V1354, 'File Links'!C:C, 0)), "N/A", HYPERLINK(INDEX('File Links'!B:B, MATCH(P1354, 'File Links'!C:C, 0))))</f>
        <v>N/A</v>
      </c>
      <c r="R1354" s="159" t="s">
        <v>7685</v>
      </c>
      <c r="S1354" s="159" t="s">
        <v>138</v>
      </c>
      <c r="T1354" s="680" t="s">
        <v>7626</v>
      </c>
      <c r="U1354" s="156">
        <v>2.0</v>
      </c>
      <c r="V1354" s="382" t="s">
        <v>7686</v>
      </c>
      <c r="W1354" s="159" t="s">
        <v>7687</v>
      </c>
      <c r="X1354" s="49" t="str">
        <f t="array" ref="X1354"> if(iserror(MATCH(V1354, 'File Links'!C:C, 0)), "N/A", HYPERLINK(INDEX('File Links'!B:B, MATCH(V1354, 'File Links'!C:C, 0))))</f>
        <v>N/A</v>
      </c>
      <c r="Y1354" s="68"/>
      <c r="Z1354" s="159" t="s">
        <v>226</v>
      </c>
      <c r="AA1354" s="159" t="s">
        <v>7628</v>
      </c>
      <c r="AB1354" s="159" t="s">
        <v>7674</v>
      </c>
      <c r="AC1354" s="159" t="s">
        <v>7628</v>
      </c>
      <c r="AD1354" s="159" t="s">
        <v>7688</v>
      </c>
      <c r="AE1354" s="159" t="s">
        <v>507</v>
      </c>
      <c r="AF1354" s="156">
        <v>36.0</v>
      </c>
      <c r="AG1354" s="156">
        <v>0.671</v>
      </c>
      <c r="AH1354" s="159" t="s">
        <v>173</v>
      </c>
      <c r="AI1354" s="159" t="s">
        <v>507</v>
      </c>
      <c r="AJ1354" s="864">
        <v>0.02</v>
      </c>
      <c r="AK1354" s="159" t="s">
        <v>172</v>
      </c>
      <c r="AL1354" s="159" t="s">
        <v>186</v>
      </c>
      <c r="AM1354" s="159" t="s">
        <v>137</v>
      </c>
      <c r="AN1354" s="159" t="s">
        <v>138</v>
      </c>
      <c r="AO1354" s="156">
        <v>60.0</v>
      </c>
      <c r="AP1354" s="156">
        <v>0.31</v>
      </c>
      <c r="AQ1354" s="159" t="s">
        <v>173</v>
      </c>
      <c r="AR1354" s="159" t="s">
        <v>7251</v>
      </c>
      <c r="AS1354" s="1477" t="s">
        <v>138</v>
      </c>
      <c r="AT1354" s="159" t="s">
        <v>172</v>
      </c>
      <c r="AU1354" s="159" t="s">
        <v>186</v>
      </c>
      <c r="AV1354" s="159" t="s">
        <v>137</v>
      </c>
      <c r="AW1354" s="68" t="s">
        <v>138</v>
      </c>
      <c r="AX1354" s="159" t="s">
        <v>143</v>
      </c>
      <c r="AY1354" s="61" t="str">
        <f>IFERROR(__xludf.DUMMYFUNCTION("vlookup(BB1354,importrange(""https://docs.google.com/spreadsheets/d/1d2vevQ_7D_v35q4wCQ4RpQ_IPoTwEMB9Yp6ymwlPqew/edit?gid=984458430#gid=984458430"", ""'replication success'!A:K""), 11, FAlSE)"),"failed")</f>
        <v>failed</v>
      </c>
      <c r="AZ1354" s="61" t="str">
        <f>IFERROR(__xludf.DUMMYFUNCTION("vlookup(BB1354,importrange(""https://docs.google.com/spreadsheets/d/1d2vevQ_7D_v35q4wCQ4RpQ_IPoTwEMB9Yp6ymwlPqew/edit?gid=984458430#gid=984458430"", ""'replication success'!A:M""), 12, FAlSE)"),"no signal - inconsistent")</f>
        <v>no signal - inconsistent</v>
      </c>
      <c r="BA1354" s="91" t="str">
        <f>IFERROR(__xludf.DUMMYFUNCTION("vlookup(BB1354,importrange(""https://docs.google.com/spreadsheets/d/1d2vevQ_7D_v35q4wCQ4RpQ_IPoTwEMB9Yp6ymwlPqew/edit?gid=984458430#gid=984458430"", ""'replication success'!A:M""), 13, FAlSE)"),"https://web.archive.org/web/20220128104303mp_/https://curatescience.org/app/replications")</f>
        <v>https://web.archive.org/web/20220128104303mp_/https://curatescience.org/app/replications</v>
      </c>
      <c r="BB1354" s="61" t="str">
        <f>IFERROR(__xludf.DUMMYFUNCTION("REGEXREPLACE(G1354, ""_[a-z]{1,2}$"", """")"),"curatescience31")</f>
        <v>curatescience31</v>
      </c>
      <c r="BC1354" s="68"/>
      <c r="BD1354" s="62" t="s">
        <v>144</v>
      </c>
    </row>
    <row r="1355">
      <c r="A1355" s="44">
        <v>1355.0</v>
      </c>
      <c r="B1355" s="129" t="s">
        <v>152</v>
      </c>
      <c r="C1355" s="62" t="s">
        <v>115</v>
      </c>
      <c r="D1355" s="62" t="s">
        <v>2930</v>
      </c>
      <c r="F1355" s="68" t="s">
        <v>7682</v>
      </c>
      <c r="G1355" s="159" t="s">
        <v>7683</v>
      </c>
      <c r="H1355" s="159" t="s">
        <v>7619</v>
      </c>
      <c r="I1355" s="1287" t="s">
        <v>7689</v>
      </c>
      <c r="J1355" s="540">
        <v>45736.0</v>
      </c>
      <c r="K1355" s="159" t="s">
        <v>7690</v>
      </c>
      <c r="L1355" s="159"/>
      <c r="M1355" s="159" t="s">
        <v>7684</v>
      </c>
      <c r="N1355" s="159" t="s">
        <v>7623</v>
      </c>
      <c r="O1355" s="156">
        <v>2.0</v>
      </c>
      <c r="P1355" s="382" t="s">
        <v>7624</v>
      </c>
      <c r="Q1355" s="108" t="str">
        <f t="array" ref="Q1355"> if(iserror(MATCH(V1355, 'File Links'!C:C, 0)), "N/A", HYPERLINK(INDEX('File Links'!B:B, MATCH(P1355, 'File Links'!C:C, 0))))</f>
        <v>N/A</v>
      </c>
      <c r="R1355" s="159" t="s">
        <v>7685</v>
      </c>
      <c r="S1355" s="159" t="s">
        <v>138</v>
      </c>
      <c r="T1355" s="680" t="s">
        <v>7626</v>
      </c>
      <c r="U1355" s="156">
        <v>2.0</v>
      </c>
      <c r="V1355" s="382" t="s">
        <v>7686</v>
      </c>
      <c r="W1355" s="159" t="s">
        <v>7687</v>
      </c>
      <c r="X1355" s="49" t="str">
        <f t="array" ref="X1355"> if(iserror(MATCH(V1355, 'File Links'!C:C, 0)), "N/A", HYPERLINK(INDEX('File Links'!B:B, MATCH(V1355, 'File Links'!C:C, 0))))</f>
        <v>N/A</v>
      </c>
      <c r="Y1355" s="68"/>
      <c r="Z1355" s="159" t="s">
        <v>226</v>
      </c>
      <c r="AA1355" s="159" t="s">
        <v>7628</v>
      </c>
      <c r="AB1355" s="159" t="s">
        <v>7629</v>
      </c>
      <c r="AC1355" s="159" t="s">
        <v>7691</v>
      </c>
      <c r="AD1355" s="159" t="s">
        <v>7692</v>
      </c>
      <c r="AE1355" s="156">
        <v>3.0</v>
      </c>
      <c r="AF1355" s="156">
        <v>36.0</v>
      </c>
      <c r="AG1355" s="156">
        <v>0.81</v>
      </c>
      <c r="AH1355" s="159" t="s">
        <v>173</v>
      </c>
      <c r="AI1355" s="159" t="s">
        <v>138</v>
      </c>
      <c r="AJ1355" s="156" t="s">
        <v>138</v>
      </c>
      <c r="AK1355" s="68"/>
      <c r="AL1355" s="159" t="s">
        <v>186</v>
      </c>
      <c r="AM1355" s="159" t="s">
        <v>137</v>
      </c>
      <c r="AN1355" s="159" t="s">
        <v>138</v>
      </c>
      <c r="AO1355" s="156">
        <v>60.0</v>
      </c>
      <c r="AP1355" s="156">
        <v>0.31</v>
      </c>
      <c r="AQ1355" s="159" t="s">
        <v>173</v>
      </c>
      <c r="AR1355" s="159" t="s">
        <v>138</v>
      </c>
      <c r="AS1355" s="156" t="s">
        <v>138</v>
      </c>
      <c r="AT1355" s="129" t="s">
        <v>138</v>
      </c>
      <c r="AU1355" s="159" t="s">
        <v>186</v>
      </c>
      <c r="AV1355" s="159" t="s">
        <v>137</v>
      </c>
      <c r="AW1355" s="68" t="s">
        <v>138</v>
      </c>
      <c r="AX1355" s="159" t="s">
        <v>143</v>
      </c>
      <c r="AY1355" s="61" t="str">
        <f>IFERROR(__xludf.DUMMYFUNCTION("vlookup(BB1355,importrange(""https://docs.google.com/spreadsheets/d/1d2vevQ_7D_v35q4wCQ4RpQ_IPoTwEMB9Yp6ymwlPqew/edit?gid=984458430#gid=984458430"", ""'replication success'!A:K""), 11, FAlSE)"),"failed")</f>
        <v>failed</v>
      </c>
      <c r="AZ1355" s="61" t="str">
        <f>IFERROR(__xludf.DUMMYFUNCTION("vlookup(BB1355,importrange(""https://docs.google.com/spreadsheets/d/1d2vevQ_7D_v35q4wCQ4RpQ_IPoTwEMB9Yp6ymwlPqew/edit?gid=984458430#gid=984458430"", ""'replication success'!A:M""), 12, FAlSE)"),"no signal - inconsistent")</f>
        <v>no signal - inconsistent</v>
      </c>
      <c r="BA1355" s="91" t="str">
        <f>IFERROR(__xludf.DUMMYFUNCTION("vlookup(BB1355,importrange(""https://docs.google.com/spreadsheets/d/1d2vevQ_7D_v35q4wCQ4RpQ_IPoTwEMB9Yp6ymwlPqew/edit?gid=984458430#gid=984458430"", ""'replication success'!A:M""), 13, FAlSE)"),"https://web.archive.org/web/20220128104303mp_/https://curatescience.org/app/replications")</f>
        <v>https://web.archive.org/web/20220128104303mp_/https://curatescience.org/app/replications</v>
      </c>
      <c r="BB1355" s="61" t="str">
        <f>IFERROR(__xludf.DUMMYFUNCTION("REGEXREPLACE(G1355, ""_[a-z]{1,2}$"", """")"),"curatescience31")</f>
        <v>curatescience31</v>
      </c>
      <c r="BD1355" s="62" t="s">
        <v>144</v>
      </c>
    </row>
    <row r="1356">
      <c r="A1356" s="44">
        <v>1356.0</v>
      </c>
      <c r="B1356" s="129" t="s">
        <v>114</v>
      </c>
      <c r="C1356" s="62" t="s">
        <v>115</v>
      </c>
      <c r="D1356" s="62" t="s">
        <v>2930</v>
      </c>
      <c r="F1356" s="68" t="s">
        <v>7682</v>
      </c>
      <c r="G1356" s="159" t="s">
        <v>7683</v>
      </c>
      <c r="H1356" s="159" t="s">
        <v>7619</v>
      </c>
      <c r="I1356" s="1287" t="s">
        <v>7689</v>
      </c>
      <c r="J1356" s="68"/>
      <c r="K1356" s="159" t="s">
        <v>7690</v>
      </c>
      <c r="L1356" s="159" t="s">
        <v>7693</v>
      </c>
      <c r="M1356" s="159" t="s">
        <v>7684</v>
      </c>
      <c r="N1356" s="159" t="s">
        <v>7623</v>
      </c>
      <c r="O1356" s="156">
        <v>2.0</v>
      </c>
      <c r="P1356" s="382" t="s">
        <v>7624</v>
      </c>
      <c r="Q1356" s="108" t="str">
        <f t="array" ref="Q1356"> if(iserror(MATCH(V1356, 'File Links'!C:C, 0)), "N/A", HYPERLINK(INDEX('File Links'!B:B, MATCH(P1356, 'File Links'!C:C, 0))))</f>
        <v>N/A</v>
      </c>
      <c r="R1356" s="159" t="s">
        <v>7685</v>
      </c>
      <c r="S1356" s="159" t="s">
        <v>138</v>
      </c>
      <c r="T1356" s="680" t="s">
        <v>7626</v>
      </c>
      <c r="U1356" s="156">
        <v>2.0</v>
      </c>
      <c r="V1356" s="382" t="s">
        <v>577</v>
      </c>
      <c r="W1356" s="159" t="s">
        <v>138</v>
      </c>
      <c r="X1356" s="49" t="str">
        <f t="array" ref="X1356"> if(iserror(MATCH(V1356, 'File Links'!C:C, 0)), "N/A", HYPERLINK(INDEX('File Links'!B:B, MATCH(V1356, 'File Links'!C:C, 0))))</f>
        <v>N/A</v>
      </c>
      <c r="Y1356" s="68"/>
      <c r="Z1356" s="159" t="s">
        <v>226</v>
      </c>
      <c r="AA1356" s="159" t="s">
        <v>7628</v>
      </c>
      <c r="AB1356" s="159" t="s">
        <v>7629</v>
      </c>
      <c r="AC1356" s="159" t="s">
        <v>7691</v>
      </c>
      <c r="AD1356" s="159" t="s">
        <v>7692</v>
      </c>
      <c r="AE1356" s="156">
        <v>3.0</v>
      </c>
      <c r="AF1356" s="156">
        <v>36.0</v>
      </c>
      <c r="AG1356" s="156">
        <v>0.81</v>
      </c>
      <c r="AH1356" s="159" t="s">
        <v>173</v>
      </c>
      <c r="AI1356" s="159" t="s">
        <v>138</v>
      </c>
      <c r="AJ1356" s="156" t="s">
        <v>138</v>
      </c>
      <c r="AK1356" s="156" t="s">
        <v>138</v>
      </c>
      <c r="AL1356" s="159" t="s">
        <v>186</v>
      </c>
      <c r="AM1356" s="159" t="s">
        <v>137</v>
      </c>
      <c r="AN1356" s="159" t="s">
        <v>138</v>
      </c>
      <c r="AO1356" s="156">
        <v>60.0</v>
      </c>
      <c r="AP1356" s="156">
        <v>0.31</v>
      </c>
      <c r="AQ1356" s="159" t="s">
        <v>173</v>
      </c>
      <c r="AR1356" s="159" t="s">
        <v>138</v>
      </c>
      <c r="AS1356" s="156" t="s">
        <v>138</v>
      </c>
      <c r="AT1356" s="156" t="s">
        <v>138</v>
      </c>
      <c r="AU1356" s="159" t="s">
        <v>186</v>
      </c>
      <c r="AV1356" s="159" t="s">
        <v>137</v>
      </c>
      <c r="AW1356" s="68" t="s">
        <v>138</v>
      </c>
      <c r="AX1356" s="68"/>
      <c r="AY1356" s="61" t="str">
        <f>IFERROR(__xludf.DUMMYFUNCTION("vlookup(BB1356,importrange(""https://docs.google.com/spreadsheets/d/1d2vevQ_7D_v35q4wCQ4RpQ_IPoTwEMB9Yp6ymwlPqew/edit?gid=984458430#gid=984458430"", ""'replication success'!A:K""), 11, FAlSE)"),"failed")</f>
        <v>failed</v>
      </c>
      <c r="AZ1356" s="61" t="str">
        <f>IFERROR(__xludf.DUMMYFUNCTION("vlookup(BB1356,importrange(""https://docs.google.com/spreadsheets/d/1d2vevQ_7D_v35q4wCQ4RpQ_IPoTwEMB9Yp6ymwlPqew/edit?gid=984458430#gid=984458430"", ""'replication success'!A:M""), 12, FAlSE)"),"no signal - inconsistent")</f>
        <v>no signal - inconsistent</v>
      </c>
      <c r="BA1356" s="91" t="str">
        <f>IFERROR(__xludf.DUMMYFUNCTION("vlookup(BB1356,importrange(""https://docs.google.com/spreadsheets/d/1d2vevQ_7D_v35q4wCQ4RpQ_IPoTwEMB9Yp6ymwlPqew/edit?gid=984458430#gid=984458430"", ""'replication success'!A:M""), 13, FAlSE)"),"https://web.archive.org/web/20220128104303mp_/https://curatescience.org/app/replications")</f>
        <v>https://web.archive.org/web/20220128104303mp_/https://curatescience.org/app/replications</v>
      </c>
      <c r="BB1356" s="61" t="str">
        <f>IFERROR(__xludf.DUMMYFUNCTION("REGEXREPLACE(G1356, ""_[a-z]{1,2}$"", """")"),"curatescience31")</f>
        <v>curatescience31</v>
      </c>
    </row>
    <row r="1357">
      <c r="A1357" s="44">
        <v>1357.0</v>
      </c>
      <c r="B1357" s="129" t="s">
        <v>114</v>
      </c>
      <c r="C1357" s="62" t="s">
        <v>115</v>
      </c>
      <c r="D1357" s="62" t="s">
        <v>990</v>
      </c>
      <c r="F1357" s="159" t="s">
        <v>7694</v>
      </c>
      <c r="G1357" s="159" t="s">
        <v>7695</v>
      </c>
      <c r="H1357" s="159" t="s">
        <v>7237</v>
      </c>
      <c r="I1357" s="1287" t="s">
        <v>119</v>
      </c>
      <c r="J1357" s="540">
        <v>45736.0</v>
      </c>
      <c r="K1357" s="159" t="s">
        <v>138</v>
      </c>
      <c r="L1357" s="159"/>
      <c r="M1357" s="159" t="s">
        <v>7684</v>
      </c>
      <c r="N1357" s="159" t="s">
        <v>7623</v>
      </c>
      <c r="O1357" s="156">
        <v>1.0</v>
      </c>
      <c r="P1357" s="382" t="s">
        <v>7624</v>
      </c>
      <c r="Q1357" s="52" t="str">
        <f t="array" ref="Q1357"> if(iserror(MATCH(V1357, 'File Links'!C:C, 0)), "N/A", HYPERLINK(INDEX('File Links'!B:B, MATCH(P1357, 'File Links'!C:C, 0))))</f>
        <v>https://drive.google.com/file/d/1-8hoTcDzN7GjN92fqlhu7SLhxRSQTUrd/view?usp=drivesdk</v>
      </c>
      <c r="R1357" s="159" t="s">
        <v>7696</v>
      </c>
      <c r="S1357" s="159" t="s">
        <v>7672</v>
      </c>
      <c r="T1357" s="159" t="s">
        <v>138</v>
      </c>
      <c r="U1357" s="156">
        <v>1.0</v>
      </c>
      <c r="V1357" s="382" t="s">
        <v>7673</v>
      </c>
      <c r="W1357" s="159" t="s">
        <v>7697</v>
      </c>
      <c r="X1357" s="54" t="str">
        <f t="array" ref="X1357"> if(iserror(MATCH(V1357, 'File Links'!C:C, 0)), "N/A", HYPERLINK(INDEX('File Links'!B:B, MATCH(V1357, 'File Links'!C:C, 0))))</f>
        <v>https://drive.google.com/file/d/1TOxKvkgLgldkEiOl4Cnst0AYk7w8IBCh/view?usp=drivesdk</v>
      </c>
      <c r="Y1357" s="159"/>
      <c r="Z1357" s="159" t="s">
        <v>226</v>
      </c>
      <c r="AA1357" s="159" t="s">
        <v>7628</v>
      </c>
      <c r="AB1357" s="159" t="s">
        <v>7674</v>
      </c>
      <c r="AC1357" s="159" t="s">
        <v>7628</v>
      </c>
      <c r="AD1357" s="159" t="s">
        <v>7698</v>
      </c>
      <c r="AE1357" s="159" t="s">
        <v>2771</v>
      </c>
      <c r="AF1357" s="156">
        <v>40.0</v>
      </c>
      <c r="AG1357" s="156">
        <v>0.37</v>
      </c>
      <c r="AH1357" s="159" t="s">
        <v>215</v>
      </c>
      <c r="AI1357" s="159" t="s">
        <v>2771</v>
      </c>
      <c r="AJ1357" s="156">
        <v>0.02</v>
      </c>
      <c r="AK1357" s="159" t="s">
        <v>172</v>
      </c>
      <c r="AL1357" s="159" t="s">
        <v>186</v>
      </c>
      <c r="AM1357" s="159" t="s">
        <v>137</v>
      </c>
      <c r="AN1357" s="68" t="s">
        <v>138</v>
      </c>
      <c r="AO1357" s="156">
        <v>100.0</v>
      </c>
      <c r="AP1357" s="1478">
        <v>0.08</v>
      </c>
      <c r="AQ1357" s="1060" t="s">
        <v>173</v>
      </c>
      <c r="AR1357" s="1060" t="s">
        <v>507</v>
      </c>
      <c r="AS1357" s="1059">
        <v>0.68</v>
      </c>
      <c r="AT1357" s="159" t="s">
        <v>172</v>
      </c>
      <c r="AU1357" s="159" t="s">
        <v>136</v>
      </c>
      <c r="AV1357" s="159" t="s">
        <v>137</v>
      </c>
      <c r="AW1357" s="310" t="s">
        <v>7680</v>
      </c>
      <c r="AX1357" s="159" t="s">
        <v>143</v>
      </c>
      <c r="AY1357" s="61" t="str">
        <f>IFERROR(__xludf.DUMMYFUNCTION("vlookup(BB1357,importrange(""https://docs.google.com/spreadsheets/d/1d2vevQ_7D_v35q4wCQ4RpQ_IPoTwEMB9Yp6ymwlPqew/edit?gid=984458430#gid=984458430"", ""'replication success'!A:K""), 11, FAlSE)"),"failed")</f>
        <v>failed</v>
      </c>
      <c r="AZ1357" s="61" t="str">
        <f>IFERROR(__xludf.DUMMYFUNCTION("vlookup(BB1357,importrange(""https://docs.google.com/spreadsheets/d/1d2vevQ_7D_v35q4wCQ4RpQ_IPoTwEMB9Yp6ymwlPqew/edit?gid=984458430#gid=984458430"", ""'replication success'!A:M""), 12, FAlSE)"),"In a third experiment, we also failed to
replicate the effect of recalling a secret on throwing a beanbag at a target (Slepian et al., 2012,
Experiment 2). Together, our findings question the robustness of the original empirical findings.")</f>
        <v>In a third experiment, we also failed to
replicate the effect of recalling a secret on throwing a beanbag at a target (Slepian et al., 2012,
Experiment 2). Together, our findings question the robustness of the original empirical findings.</v>
      </c>
      <c r="BA1357" s="61" t="str">
        <f>IFERROR(__xludf.DUMMYFUNCTION("vlookup(BB1357,importrange(""https://docs.google.com/spreadsheets/d/1d2vevQ_7D_v35q4wCQ4RpQ_IPoTwEMB9Yp6ymwlPqew/edit?gid=984458430#gid=984458430"", ""'replication success'!A:M""), 13, FAlSE)"),"abstract")</f>
        <v>abstract</v>
      </c>
      <c r="BB1357" s="61" t="str">
        <f>IFERROR(__xludf.DUMMYFUNCTION("REGEXREPLACE(G1357, ""_[a-z]{1,2}$"", """")"),"curatescience32")</f>
        <v>curatescience32</v>
      </c>
      <c r="BC1357" s="68"/>
      <c r="BD1357" s="62" t="s">
        <v>144</v>
      </c>
    </row>
    <row r="1358">
      <c r="A1358" s="44">
        <v>1358.0</v>
      </c>
      <c r="B1358" s="129" t="s">
        <v>152</v>
      </c>
      <c r="C1358" s="62" t="s">
        <v>115</v>
      </c>
      <c r="D1358" s="62" t="s">
        <v>990</v>
      </c>
      <c r="F1358" s="159" t="s">
        <v>7694</v>
      </c>
      <c r="G1358" s="151" t="s">
        <v>7699</v>
      </c>
      <c r="H1358" s="159" t="s">
        <v>7237</v>
      </c>
      <c r="I1358" s="1287" t="s">
        <v>119</v>
      </c>
      <c r="J1358" s="540">
        <v>45736.0</v>
      </c>
      <c r="K1358" s="159" t="s">
        <v>138</v>
      </c>
      <c r="L1358" s="159"/>
      <c r="M1358" s="159" t="s">
        <v>7684</v>
      </c>
      <c r="N1358" s="159" t="s">
        <v>7623</v>
      </c>
      <c r="O1358" s="156">
        <v>1.0</v>
      </c>
      <c r="P1358" s="382" t="s">
        <v>7624</v>
      </c>
      <c r="Q1358" s="52" t="str">
        <f t="array" ref="Q1358"> if(iserror(MATCH(V1358, 'File Links'!C:C, 0)), "N/A", HYPERLINK(INDEX('File Links'!B:B, MATCH(P1358, 'File Links'!C:C, 0))))</f>
        <v>https://drive.google.com/file/d/1-8hoTcDzN7GjN92fqlhu7SLhxRSQTUrd/view?usp=drivesdk</v>
      </c>
      <c r="R1358" s="159" t="s">
        <v>7696</v>
      </c>
      <c r="S1358" s="159" t="s">
        <v>7672</v>
      </c>
      <c r="T1358" s="159" t="s">
        <v>138</v>
      </c>
      <c r="U1358" s="156">
        <v>2.0</v>
      </c>
      <c r="V1358" s="382" t="s">
        <v>7673</v>
      </c>
      <c r="W1358" s="159" t="s">
        <v>7697</v>
      </c>
      <c r="X1358" s="54" t="str">
        <f t="array" ref="X1358"> if(iserror(MATCH(V1358, 'File Links'!C:C, 0)), "N/A", HYPERLINK(INDEX('File Links'!B:B, MATCH(V1358, 'File Links'!C:C, 0))))</f>
        <v>https://drive.google.com/file/d/1TOxKvkgLgldkEiOl4Cnst0AYk7w8IBCh/view?usp=drivesdk</v>
      </c>
      <c r="Y1358" s="159"/>
      <c r="Z1358" s="159" t="s">
        <v>226</v>
      </c>
      <c r="AA1358" s="159" t="s">
        <v>7628</v>
      </c>
      <c r="AB1358" s="159" t="s">
        <v>7674</v>
      </c>
      <c r="AC1358" s="159" t="s">
        <v>7628</v>
      </c>
      <c r="AD1358" s="159" t="s">
        <v>7698</v>
      </c>
      <c r="AE1358" s="159" t="s">
        <v>2771</v>
      </c>
      <c r="AF1358" s="156">
        <v>40.0</v>
      </c>
      <c r="AG1358" s="156">
        <v>0.37</v>
      </c>
      <c r="AH1358" s="159" t="s">
        <v>215</v>
      </c>
      <c r="AI1358" s="159" t="s">
        <v>2771</v>
      </c>
      <c r="AJ1358" s="156">
        <v>0.02</v>
      </c>
      <c r="AK1358" s="159" t="s">
        <v>172</v>
      </c>
      <c r="AL1358" s="159" t="s">
        <v>186</v>
      </c>
      <c r="AM1358" s="159" t="s">
        <v>137</v>
      </c>
      <c r="AN1358" s="68" t="s">
        <v>138</v>
      </c>
      <c r="AO1358" s="156">
        <v>100.0</v>
      </c>
      <c r="AP1358" s="1479">
        <v>0.21</v>
      </c>
      <c r="AQ1358" s="159" t="s">
        <v>173</v>
      </c>
      <c r="AR1358" s="159" t="s">
        <v>882</v>
      </c>
      <c r="AS1358" s="156">
        <v>0.29</v>
      </c>
      <c r="AT1358" s="159" t="s">
        <v>172</v>
      </c>
      <c r="AU1358" s="159" t="s">
        <v>136</v>
      </c>
      <c r="AV1358" s="159" t="s">
        <v>137</v>
      </c>
      <c r="AW1358" s="310" t="s">
        <v>7680</v>
      </c>
      <c r="AX1358" s="159" t="s">
        <v>143</v>
      </c>
      <c r="AY1358" s="61" t="str">
        <f>IFERROR(__xludf.DUMMYFUNCTION("vlookup(BB1358,importrange(""https://docs.google.com/spreadsheets/d/1d2vevQ_7D_v35q4wCQ4RpQ_IPoTwEMB9Yp6ymwlPqew/edit?gid=984458430#gid=984458430"", ""'replication success'!A:K""), 11, FAlSE)"),"failed")</f>
        <v>failed</v>
      </c>
      <c r="AZ1358" s="61" t="str">
        <f>IFERROR(__xludf.DUMMYFUNCTION("vlookup(BB1358,importrange(""https://docs.google.com/spreadsheets/d/1d2vevQ_7D_v35q4wCQ4RpQ_IPoTwEMB9Yp6ymwlPqew/edit?gid=984458430#gid=984458430"", ""'replication success'!A:M""), 12, FAlSE)"),"In a third experiment, we also failed to
replicate the effect of recalling a secret on throwing a beanbag at a target (Slepian et al., 2012,
Experiment 2). Together, our findings question the robustness of the original empirical findings.")</f>
        <v>In a third experiment, we also failed to
replicate the effect of recalling a secret on throwing a beanbag at a target (Slepian et al., 2012,
Experiment 2). Together, our findings question the robustness of the original empirical findings.</v>
      </c>
      <c r="BA1358" s="61" t="str">
        <f>IFERROR(__xludf.DUMMYFUNCTION("vlookup(BB1358,importrange(""https://docs.google.com/spreadsheets/d/1d2vevQ_7D_v35q4wCQ4RpQ_IPoTwEMB9Yp6ymwlPqew/edit?gid=984458430#gid=984458430"", ""'replication success'!A:M""), 13, FAlSE)"),"abstract")</f>
        <v>abstract</v>
      </c>
      <c r="BB1358" s="61" t="str">
        <f>IFERROR(__xludf.DUMMYFUNCTION("REGEXREPLACE(G1358, ""_[a-z]{1,2}$"", """")"),"curatescience32")</f>
        <v>curatescience32</v>
      </c>
      <c r="BC1358" s="68"/>
      <c r="BD1358" s="62" t="s">
        <v>144</v>
      </c>
    </row>
    <row r="1359">
      <c r="A1359" s="44">
        <v>1359.0</v>
      </c>
      <c r="B1359" s="129" t="s">
        <v>152</v>
      </c>
      <c r="C1359" s="62" t="s">
        <v>115</v>
      </c>
      <c r="D1359" s="62" t="s">
        <v>990</v>
      </c>
      <c r="F1359" s="159" t="s">
        <v>7694</v>
      </c>
      <c r="G1359" s="151" t="s">
        <v>7700</v>
      </c>
      <c r="H1359" s="159" t="s">
        <v>7237</v>
      </c>
      <c r="I1359" s="1287" t="s">
        <v>119</v>
      </c>
      <c r="J1359" s="540">
        <v>45736.0</v>
      </c>
      <c r="K1359" s="159" t="s">
        <v>7701</v>
      </c>
      <c r="L1359" s="159"/>
      <c r="M1359" s="159" t="s">
        <v>7684</v>
      </c>
      <c r="N1359" s="159" t="s">
        <v>7623</v>
      </c>
      <c r="O1359" s="156">
        <v>2.0</v>
      </c>
      <c r="P1359" s="382" t="s">
        <v>7624</v>
      </c>
      <c r="Q1359" s="52" t="str">
        <f t="array" ref="Q1359"> if(iserror(MATCH(V1359, 'File Links'!C:C, 0)), "N/A", HYPERLINK(INDEX('File Links'!B:B, MATCH(P1359, 'File Links'!C:C, 0))))</f>
        <v>https://drive.google.com/file/d/1-8hoTcDzN7GjN92fqlhu7SLhxRSQTUrd/view?usp=drivesdk</v>
      </c>
      <c r="R1359" s="159" t="s">
        <v>7696</v>
      </c>
      <c r="S1359" s="159" t="s">
        <v>7672</v>
      </c>
      <c r="T1359" s="159" t="s">
        <v>138</v>
      </c>
      <c r="U1359" s="156">
        <v>3.0</v>
      </c>
      <c r="V1359" s="382" t="s">
        <v>7673</v>
      </c>
      <c r="W1359" s="159" t="s">
        <v>7697</v>
      </c>
      <c r="X1359" s="54" t="str">
        <f t="array" ref="X1359"> if(iserror(MATCH(V1359, 'File Links'!C:C, 0)), "N/A", HYPERLINK(INDEX('File Links'!B:B, MATCH(V1359, 'File Links'!C:C, 0))))</f>
        <v>https://drive.google.com/file/d/1TOxKvkgLgldkEiOl4Cnst0AYk7w8IBCh/view?usp=drivesdk</v>
      </c>
      <c r="Y1359" s="159"/>
      <c r="Z1359" s="159" t="s">
        <v>226</v>
      </c>
      <c r="AA1359" s="159" t="s">
        <v>7628</v>
      </c>
      <c r="AB1359" s="159" t="s">
        <v>7674</v>
      </c>
      <c r="AC1359" s="159" t="s">
        <v>7628</v>
      </c>
      <c r="AD1359" s="159" t="s">
        <v>7688</v>
      </c>
      <c r="AE1359" s="159" t="s">
        <v>507</v>
      </c>
      <c r="AF1359" s="156">
        <v>36.0</v>
      </c>
      <c r="AG1359" s="156">
        <v>0.671</v>
      </c>
      <c r="AH1359" s="159" t="s">
        <v>173</v>
      </c>
      <c r="AI1359" s="159" t="s">
        <v>507</v>
      </c>
      <c r="AJ1359" s="156">
        <v>0.02</v>
      </c>
      <c r="AK1359" s="159" t="s">
        <v>172</v>
      </c>
      <c r="AL1359" s="159" t="s">
        <v>186</v>
      </c>
      <c r="AM1359" s="159" t="s">
        <v>137</v>
      </c>
      <c r="AN1359" s="159" t="s">
        <v>138</v>
      </c>
      <c r="AO1359" s="156">
        <v>118.0</v>
      </c>
      <c r="AP1359" s="1479">
        <v>0.21</v>
      </c>
      <c r="AQ1359" s="159" t="s">
        <v>173</v>
      </c>
      <c r="AR1359" s="159" t="s">
        <v>1042</v>
      </c>
      <c r="AS1359" s="156">
        <v>0.26</v>
      </c>
      <c r="AT1359" s="159" t="s">
        <v>172</v>
      </c>
      <c r="AU1359" s="159" t="s">
        <v>136</v>
      </c>
      <c r="AV1359" s="159" t="s">
        <v>137</v>
      </c>
      <c r="AW1359" s="310" t="s">
        <v>7680</v>
      </c>
      <c r="AX1359" s="159" t="s">
        <v>143</v>
      </c>
      <c r="AY1359" s="61" t="str">
        <f>IFERROR(__xludf.DUMMYFUNCTION("vlookup(BB1359,importrange(""https://docs.google.com/spreadsheets/d/1d2vevQ_7D_v35q4wCQ4RpQ_IPoTwEMB9Yp6ymwlPqew/edit?gid=984458430#gid=984458430"", ""'replication success'!A:K""), 11, FAlSE)"),"failed")</f>
        <v>failed</v>
      </c>
      <c r="AZ1359" s="61" t="str">
        <f>IFERROR(__xludf.DUMMYFUNCTION("vlookup(BB1359,importrange(""https://docs.google.com/spreadsheets/d/1d2vevQ_7D_v35q4wCQ4RpQ_IPoTwEMB9Yp6ymwlPqew/edit?gid=984458430#gid=984458430"", ""'replication success'!A:M""), 12, FAlSE)"),"In a third experiment, we also failed to
replicate the effect of recalling a secret on throwing a beanbag at a target (Slepian et al., 2012,
Experiment 2). Together, our findings question the robustness of the original empirical findings.")</f>
        <v>In a third experiment, we also failed to
replicate the effect of recalling a secret on throwing a beanbag at a target (Slepian et al., 2012,
Experiment 2). Together, our findings question the robustness of the original empirical findings.</v>
      </c>
      <c r="BA1359" s="61" t="str">
        <f>IFERROR(__xludf.DUMMYFUNCTION("vlookup(BB1359,importrange(""https://docs.google.com/spreadsheets/d/1d2vevQ_7D_v35q4wCQ4RpQ_IPoTwEMB9Yp6ymwlPqew/edit?gid=984458430#gid=984458430"", ""'replication success'!A:M""), 13, FAlSE)"),"abstract")</f>
        <v>abstract</v>
      </c>
      <c r="BB1359" s="61" t="str">
        <f>IFERROR(__xludf.DUMMYFUNCTION("REGEXREPLACE(G1359, ""_[a-z]{1,2}$"", """")"),"curatescience32")</f>
        <v>curatescience32</v>
      </c>
      <c r="BC1359" s="68"/>
      <c r="BD1359" s="62" t="s">
        <v>144</v>
      </c>
    </row>
    <row r="1360">
      <c r="A1360" s="44">
        <v>1360.0</v>
      </c>
      <c r="B1360" s="129" t="s">
        <v>114</v>
      </c>
      <c r="C1360" s="62" t="s">
        <v>115</v>
      </c>
      <c r="D1360" s="62" t="s">
        <v>2930</v>
      </c>
      <c r="F1360" s="68" t="s">
        <v>7694</v>
      </c>
      <c r="G1360" s="159" t="s">
        <v>7695</v>
      </c>
      <c r="H1360" s="159" t="s">
        <v>7619</v>
      </c>
      <c r="I1360" s="1287" t="s">
        <v>7689</v>
      </c>
      <c r="J1360" s="540">
        <v>45736.0</v>
      </c>
      <c r="K1360" s="159" t="s">
        <v>7702</v>
      </c>
      <c r="L1360" s="159"/>
      <c r="M1360" s="159" t="s">
        <v>7684</v>
      </c>
      <c r="N1360" s="159" t="s">
        <v>7623</v>
      </c>
      <c r="O1360" s="156">
        <v>2.0</v>
      </c>
      <c r="P1360" s="382" t="s">
        <v>7624</v>
      </c>
      <c r="Q1360" s="52" t="str">
        <f t="array" ref="Q1360"> if(iserror(MATCH(V1360, 'File Links'!C:C, 0)), "N/A", HYPERLINK(INDEX('File Links'!B:B, MATCH(P1360, 'File Links'!C:C, 0))))</f>
        <v>https://drive.google.com/file/d/1-8hoTcDzN7GjN92fqlhu7SLhxRSQTUrd/view?usp=drivesdk</v>
      </c>
      <c r="R1360" s="159" t="s">
        <v>7696</v>
      </c>
      <c r="S1360" s="159" t="s">
        <v>7672</v>
      </c>
      <c r="T1360" s="159" t="s">
        <v>138</v>
      </c>
      <c r="U1360" s="156">
        <v>3.0</v>
      </c>
      <c r="V1360" s="382" t="s">
        <v>7673</v>
      </c>
      <c r="W1360" s="159" t="s">
        <v>209</v>
      </c>
      <c r="X1360" s="54" t="str">
        <f t="array" ref="X1360"> if(iserror(MATCH(V1360, 'File Links'!C:C, 0)), "N/A", HYPERLINK(INDEX('File Links'!B:B, MATCH(V1360, 'File Links'!C:C, 0))))</f>
        <v>https://drive.google.com/file/d/1TOxKvkgLgldkEiOl4Cnst0AYk7w8IBCh/view?usp=drivesdk</v>
      </c>
      <c r="Y1360" s="68"/>
      <c r="Z1360" s="159" t="s">
        <v>226</v>
      </c>
      <c r="AA1360" s="159" t="s">
        <v>7628</v>
      </c>
      <c r="AB1360" s="159" t="s">
        <v>7629</v>
      </c>
      <c r="AC1360" s="159" t="s">
        <v>7691</v>
      </c>
      <c r="AD1360" s="159" t="s">
        <v>7692</v>
      </c>
      <c r="AE1360" s="156">
        <v>3.0</v>
      </c>
      <c r="AF1360" s="156">
        <v>36.0</v>
      </c>
      <c r="AG1360" s="156">
        <v>0.67</v>
      </c>
      <c r="AH1360" s="159" t="s">
        <v>173</v>
      </c>
      <c r="AI1360" s="159" t="s">
        <v>7703</v>
      </c>
      <c r="AJ1360" s="156" t="s">
        <v>138</v>
      </c>
      <c r="AK1360" s="68"/>
      <c r="AL1360" s="159" t="s">
        <v>186</v>
      </c>
      <c r="AM1360" s="159" t="s">
        <v>137</v>
      </c>
      <c r="AN1360" s="159" t="s">
        <v>138</v>
      </c>
      <c r="AO1360" s="156">
        <v>118.0</v>
      </c>
      <c r="AP1360" s="1059">
        <v>0.21</v>
      </c>
      <c r="AQ1360" s="1060" t="s">
        <v>173</v>
      </c>
      <c r="AR1360" s="1060" t="s">
        <v>140</v>
      </c>
      <c r="AS1360" s="1059" t="s">
        <v>138</v>
      </c>
      <c r="AT1360" s="129" t="s">
        <v>138</v>
      </c>
      <c r="AU1360" s="159" t="s">
        <v>136</v>
      </c>
      <c r="AV1360" s="159" t="s">
        <v>137</v>
      </c>
      <c r="AW1360" s="435" t="s">
        <v>7704</v>
      </c>
      <c r="AX1360" s="159" t="s">
        <v>143</v>
      </c>
      <c r="AY1360" s="61" t="str">
        <f>IFERROR(__xludf.DUMMYFUNCTION("vlookup(BB1360,importrange(""https://docs.google.com/spreadsheets/d/1d2vevQ_7D_v35q4wCQ4RpQ_IPoTwEMB9Yp6ymwlPqew/edit?gid=984458430#gid=984458430"", ""'replication success'!A:K""), 11, FAlSE)"),"failed")</f>
        <v>failed</v>
      </c>
      <c r="AZ1360" s="61" t="str">
        <f>IFERROR(__xludf.DUMMYFUNCTION("vlookup(BB1360,importrange(""https://docs.google.com/spreadsheets/d/1d2vevQ_7D_v35q4wCQ4RpQ_IPoTwEMB9Yp6ymwlPqew/edit?gid=984458430#gid=984458430"", ""'replication success'!A:M""), 12, FAlSE)"),"In a third experiment, we also failed to
replicate the effect of recalling a secret on throwing a beanbag at a target (Slepian et al., 2012,
Experiment 2). Together, our findings question the robustness of the original empirical findings.")</f>
        <v>In a third experiment, we also failed to
replicate the effect of recalling a secret on throwing a beanbag at a target (Slepian et al., 2012,
Experiment 2). Together, our findings question the robustness of the original empirical findings.</v>
      </c>
      <c r="BA1360" s="61" t="str">
        <f>IFERROR(__xludf.DUMMYFUNCTION("vlookup(BB1360,importrange(""https://docs.google.com/spreadsheets/d/1d2vevQ_7D_v35q4wCQ4RpQ_IPoTwEMB9Yp6ymwlPqew/edit?gid=984458430#gid=984458430"", ""'replication success'!A:M""), 13, FAlSE)"),"abstract")</f>
        <v>abstract</v>
      </c>
      <c r="BB1360" s="61" t="str">
        <f>IFERROR(__xludf.DUMMYFUNCTION("REGEXREPLACE(G1360, ""_[a-z]{1,2}$"", """")"),"curatescience32")</f>
        <v>curatescience32</v>
      </c>
      <c r="BD1360" s="62" t="s">
        <v>144</v>
      </c>
    </row>
    <row r="1361">
      <c r="A1361" s="44">
        <v>1361.0</v>
      </c>
      <c r="B1361" s="129" t="s">
        <v>114</v>
      </c>
      <c r="C1361" s="62" t="s">
        <v>115</v>
      </c>
      <c r="D1361" s="62" t="s">
        <v>2930</v>
      </c>
      <c r="F1361" s="68" t="s">
        <v>7694</v>
      </c>
      <c r="G1361" s="159" t="s">
        <v>7695</v>
      </c>
      <c r="H1361" s="159" t="s">
        <v>7619</v>
      </c>
      <c r="I1361" s="1287" t="s">
        <v>7689</v>
      </c>
      <c r="J1361" s="68"/>
      <c r="K1361" s="159" t="s">
        <v>7702</v>
      </c>
      <c r="L1361" s="159" t="s">
        <v>7693</v>
      </c>
      <c r="M1361" s="159" t="s">
        <v>7684</v>
      </c>
      <c r="N1361" s="159" t="s">
        <v>7623</v>
      </c>
      <c r="O1361" s="156">
        <v>2.0</v>
      </c>
      <c r="P1361" s="382" t="s">
        <v>7624</v>
      </c>
      <c r="Q1361" s="52" t="str">
        <f t="array" ref="Q1361"> if(iserror(MATCH(V1361, 'File Links'!C:C, 0)), "N/A", HYPERLINK(INDEX('File Links'!B:B, MATCH(P1361, 'File Links'!C:C, 0))))</f>
        <v>https://drive.google.com/file/d/1-8hoTcDzN7GjN92fqlhu7SLhxRSQTUrd/view?usp=drivesdk</v>
      </c>
      <c r="R1361" s="159" t="s">
        <v>7696</v>
      </c>
      <c r="S1361" s="159" t="s">
        <v>7672</v>
      </c>
      <c r="T1361" s="159" t="s">
        <v>138</v>
      </c>
      <c r="U1361" s="156">
        <v>3.0</v>
      </c>
      <c r="V1361" s="382" t="s">
        <v>7673</v>
      </c>
      <c r="W1361" s="159" t="s">
        <v>209</v>
      </c>
      <c r="X1361" s="54" t="str">
        <f t="array" ref="X1361"> if(iserror(MATCH(V1361, 'File Links'!C:C, 0)), "N/A", HYPERLINK(INDEX('File Links'!B:B, MATCH(V1361, 'File Links'!C:C, 0))))</f>
        <v>https://drive.google.com/file/d/1TOxKvkgLgldkEiOl4Cnst0AYk7w8IBCh/view?usp=drivesdk</v>
      </c>
      <c r="Y1361" s="68"/>
      <c r="Z1361" s="159" t="s">
        <v>226</v>
      </c>
      <c r="AA1361" s="159" t="s">
        <v>7628</v>
      </c>
      <c r="AB1361" s="159" t="s">
        <v>7629</v>
      </c>
      <c r="AC1361" s="159" t="s">
        <v>7691</v>
      </c>
      <c r="AD1361" s="159" t="s">
        <v>7692</v>
      </c>
      <c r="AE1361" s="156">
        <v>3.0</v>
      </c>
      <c r="AF1361" s="156">
        <v>36.0</v>
      </c>
      <c r="AG1361" s="156">
        <v>0.67</v>
      </c>
      <c r="AH1361" s="159" t="s">
        <v>173</v>
      </c>
      <c r="AI1361" s="159" t="s">
        <v>7703</v>
      </c>
      <c r="AJ1361" s="156" t="s">
        <v>138</v>
      </c>
      <c r="AK1361" s="156" t="s">
        <v>138</v>
      </c>
      <c r="AL1361" s="159" t="s">
        <v>186</v>
      </c>
      <c r="AM1361" s="159" t="s">
        <v>137</v>
      </c>
      <c r="AN1361" s="159" t="s">
        <v>138</v>
      </c>
      <c r="AO1361" s="156">
        <v>118.0</v>
      </c>
      <c r="AP1361" s="156">
        <v>0.21</v>
      </c>
      <c r="AQ1361" s="159" t="s">
        <v>173</v>
      </c>
      <c r="AR1361" s="159" t="s">
        <v>140</v>
      </c>
      <c r="AS1361" s="156" t="s">
        <v>138</v>
      </c>
      <c r="AT1361" s="156" t="s">
        <v>138</v>
      </c>
      <c r="AU1361" s="159" t="s">
        <v>136</v>
      </c>
      <c r="AV1361" s="159" t="s">
        <v>137</v>
      </c>
      <c r="AW1361" s="435" t="s">
        <v>7704</v>
      </c>
      <c r="AX1361" s="159" t="s">
        <v>143</v>
      </c>
      <c r="AY1361" s="61" t="str">
        <f>IFERROR(__xludf.DUMMYFUNCTION("vlookup(BB1361,importrange(""https://docs.google.com/spreadsheets/d/1d2vevQ_7D_v35q4wCQ4RpQ_IPoTwEMB9Yp6ymwlPqew/edit?gid=984458430#gid=984458430"", ""'replication success'!A:K""), 11, FAlSE)"),"failed")</f>
        <v>failed</v>
      </c>
      <c r="AZ1361" s="61" t="str">
        <f>IFERROR(__xludf.DUMMYFUNCTION("vlookup(BB1361,importrange(""https://docs.google.com/spreadsheets/d/1d2vevQ_7D_v35q4wCQ4RpQ_IPoTwEMB9Yp6ymwlPqew/edit?gid=984458430#gid=984458430"", ""'replication success'!A:M""), 12, FAlSE)"),"In a third experiment, we also failed to
replicate the effect of recalling a secret on throwing a beanbag at a target (Slepian et al., 2012,
Experiment 2). Together, our findings question the robustness of the original empirical findings.")</f>
        <v>In a third experiment, we also failed to
replicate the effect of recalling a secret on throwing a beanbag at a target (Slepian et al., 2012,
Experiment 2). Together, our findings question the robustness of the original empirical findings.</v>
      </c>
      <c r="BA1361" s="61" t="str">
        <f>IFERROR(__xludf.DUMMYFUNCTION("vlookup(BB1361,importrange(""https://docs.google.com/spreadsheets/d/1d2vevQ_7D_v35q4wCQ4RpQ_IPoTwEMB9Yp6ymwlPqew/edit?gid=984458430#gid=984458430"", ""'replication success'!A:M""), 13, FAlSE)"),"abstract")</f>
        <v>abstract</v>
      </c>
      <c r="BB1361" s="61" t="str">
        <f>IFERROR(__xludf.DUMMYFUNCTION("REGEXREPLACE(G1361, ""_[a-z]{1,2}$"", """")"),"curatescience32")</f>
        <v>curatescience32</v>
      </c>
    </row>
    <row r="1362">
      <c r="A1362" s="354">
        <v>1362.0</v>
      </c>
      <c r="B1362" s="341" t="s">
        <v>152</v>
      </c>
      <c r="C1362" s="341" t="s">
        <v>115</v>
      </c>
      <c r="D1362" s="341" t="s">
        <v>2630</v>
      </c>
      <c r="E1362" s="342"/>
      <c r="F1362" s="503" t="s">
        <v>7705</v>
      </c>
      <c r="G1362" s="504" t="str">
        <f t="shared" ref="G1362:G1363" si="88">F1362&amp;"_"&amp;COUNTIF($B$3:F1362, F1362)</f>
        <v>curatescience320_1</v>
      </c>
      <c r="H1362" s="503" t="s">
        <v>7492</v>
      </c>
      <c r="I1362" s="505">
        <v>45675.0</v>
      </c>
      <c r="J1362" s="505">
        <v>45676.0</v>
      </c>
      <c r="K1362" s="46"/>
      <c r="L1362" s="46"/>
      <c r="M1362" s="1446" t="s">
        <v>7706</v>
      </c>
      <c r="N1362" s="503" t="s">
        <v>7707</v>
      </c>
      <c r="O1362" s="56" t="s">
        <v>3580</v>
      </c>
      <c r="P1362" s="503" t="str">
        <f t="shared" ref="P1362:P1363" si="89"> SUBSTITUTE(lower(N1362), "/", "--") &amp;  ".pdf"</f>
        <v>10.1017--s1930297500001170.pdf</v>
      </c>
      <c r="Q1362" s="104" t="str">
        <f t="array" ref="Q1362"> if(iserror(MATCH(V1362, 'File Links'!C:C, 0)), "N/A", HYPERLINK(INDEX('File Links'!B:B, MATCH(P1362, 'File Links'!C:C, 0))))</f>
        <v>https://drive.google.com/file/d/1htcfPlWHtz8E91jbq14ETkimhcWUSyMj/view?usp=drivesdk</v>
      </c>
      <c r="R1362" s="503" t="s">
        <v>7496</v>
      </c>
      <c r="S1362" s="503" t="s">
        <v>7497</v>
      </c>
      <c r="T1362" s="510" t="s">
        <v>7498</v>
      </c>
      <c r="U1362" s="503" t="s">
        <v>7708</v>
      </c>
      <c r="V1362" s="360" t="str">
        <f t="shared" ref="V1362:V1363" si="90"> hyperlink(vlookup(lower(S1362),#REF!, 2, FALSE), SUBSTITUTE(lower(S1362), "/", "--") &amp;  ".pdf")</f>
        <v>10.1027--1864-9335--a000178.pdf</v>
      </c>
      <c r="W1362" s="503" t="s">
        <v>7500</v>
      </c>
      <c r="X1362" s="54" t="str">
        <f t="array" ref="X1362"> if(iserror(MATCH(V1362, 'File Links'!C:C, 0)), "N/A", HYPERLINK(INDEX('File Links'!B:B, MATCH(V1362, 'File Links'!C:C, 0))))</f>
        <v>https://drive.google.com/file/d/1fIqa3RxgdnsQkWwGnLkF4XAbM2g_WN4q/view?usp=drivesdk</v>
      </c>
      <c r="Y1362" s="342"/>
      <c r="Z1362" s="503" t="s">
        <v>226</v>
      </c>
      <c r="AA1362" s="503" t="s">
        <v>7709</v>
      </c>
      <c r="AB1362" s="503" t="s">
        <v>7710</v>
      </c>
      <c r="AC1362" s="503" t="s">
        <v>7711</v>
      </c>
      <c r="AD1362" s="503" t="s">
        <v>7712</v>
      </c>
      <c r="AE1362" s="503" t="s">
        <v>7713</v>
      </c>
      <c r="AF1362" s="1480">
        <v>80.0</v>
      </c>
      <c r="AG1362" s="1480">
        <v>0.69</v>
      </c>
      <c r="AH1362" s="514" t="s">
        <v>173</v>
      </c>
      <c r="AI1362" s="503" t="s">
        <v>7714</v>
      </c>
      <c r="AJ1362" s="1481">
        <v>0.05</v>
      </c>
      <c r="AK1362" s="504" t="s">
        <v>135</v>
      </c>
      <c r="AL1362" s="504" t="s">
        <v>136</v>
      </c>
      <c r="AM1362" s="1482" t="s">
        <v>137</v>
      </c>
      <c r="AN1362" s="56" t="s">
        <v>138</v>
      </c>
      <c r="AO1362" s="1483">
        <v>5979.0</v>
      </c>
      <c r="AP1362" s="1480">
        <v>0.02</v>
      </c>
      <c r="AQ1362" s="503" t="s">
        <v>173</v>
      </c>
      <c r="AR1362" s="503" t="s">
        <v>7715</v>
      </c>
      <c r="AS1362" s="1480">
        <v>0.27</v>
      </c>
      <c r="AT1362" s="503" t="s">
        <v>172</v>
      </c>
      <c r="AU1362" s="503" t="s">
        <v>136</v>
      </c>
      <c r="AV1362" s="1482" t="s">
        <v>137</v>
      </c>
      <c r="AW1362" s="1484" t="s">
        <v>138</v>
      </c>
      <c r="AX1362" s="1482" t="s">
        <v>143</v>
      </c>
      <c r="AY1362" s="61" t="str">
        <f>IFERROR(__xludf.DUMMYFUNCTION("vlookup(BB1362,importrange(""https://docs.google.com/spreadsheets/d/1d2vevQ_7D_v35q4wCQ4RpQ_IPoTwEMB9Yp6ymwlPqew/edit?gid=984458430#gid=984458430"", ""'replication success'!A:K""), 11, FAlSE)"),"#N/A")</f>
        <v>#N/A</v>
      </c>
      <c r="AZ1362" s="61" t="str">
        <f>IFERROR(__xludf.DUMMYFUNCTION("vlookup(BB1362,importrange(""https://docs.google.com/spreadsheets/d/1d2vevQ_7D_v35q4wCQ4RpQ_IPoTwEMB9Yp6ymwlPqew/edit?gid=984458430#gid=984458430"", ""'replication success'!A:M""), 12, FAlSE)"),"#N/A")</f>
        <v>#N/A</v>
      </c>
      <c r="BA1362" s="61" t="str">
        <f>IFERROR(__xludf.DUMMYFUNCTION("vlookup(BB1362,importrange(""https://docs.google.com/spreadsheets/d/1d2vevQ_7D_v35q4wCQ4RpQ_IPoTwEMB9Yp6ymwlPqew/edit?gid=984458430#gid=984458430"", ""'replication success'!A:M""), 13, FAlSE)"),"#N/A")</f>
        <v>#N/A</v>
      </c>
      <c r="BB1362" s="61" t="str">
        <f>IFERROR(__xludf.DUMMYFUNCTION("REGEXREPLACE(G1362, ""_[a-z]{1,2}$"", """")"),"curatescience320_1")</f>
        <v>curatescience320_1</v>
      </c>
      <c r="BC1362" s="341" t="s">
        <v>7716</v>
      </c>
      <c r="BD1362" s="341" t="s">
        <v>692</v>
      </c>
      <c r="BE1362" s="342"/>
      <c r="BF1362" s="342"/>
      <c r="BG1362" s="342"/>
      <c r="BH1362" s="342"/>
      <c r="BI1362" s="342"/>
      <c r="BJ1362" s="342"/>
      <c r="BK1362" s="342"/>
      <c r="BL1362" s="342"/>
      <c r="BM1362" s="342"/>
      <c r="BN1362" s="342"/>
      <c r="BO1362" s="342"/>
      <c r="BP1362" s="342"/>
      <c r="BQ1362" s="342"/>
      <c r="BR1362" s="342"/>
      <c r="BS1362" s="342"/>
      <c r="BT1362" s="342"/>
      <c r="BU1362" s="342"/>
      <c r="BV1362" s="342"/>
      <c r="BW1362" s="342"/>
      <c r="BX1362" s="342"/>
      <c r="BY1362" s="342"/>
      <c r="BZ1362" s="342"/>
      <c r="CA1362" s="342"/>
      <c r="CB1362" s="342"/>
      <c r="CC1362" s="342"/>
      <c r="CD1362" s="342"/>
      <c r="CE1362" s="342"/>
      <c r="CF1362" s="342"/>
      <c r="CG1362" s="342"/>
      <c r="CH1362" s="342"/>
      <c r="CI1362" s="342"/>
      <c r="CJ1362" s="342"/>
      <c r="CK1362" s="342"/>
      <c r="CL1362" s="342"/>
      <c r="CM1362" s="342"/>
      <c r="CN1362" s="342"/>
      <c r="CO1362" s="342"/>
      <c r="CP1362" s="342"/>
      <c r="CQ1362" s="342"/>
      <c r="CR1362" s="342"/>
      <c r="CS1362" s="342"/>
      <c r="CT1362" s="342"/>
      <c r="CU1362" s="342"/>
      <c r="CV1362" s="342"/>
      <c r="CW1362" s="342"/>
      <c r="CX1362" s="342"/>
      <c r="CY1362" s="342"/>
      <c r="CZ1362" s="342"/>
      <c r="DA1362" s="342"/>
      <c r="DB1362" s="342"/>
      <c r="DC1362" s="342"/>
      <c r="DD1362" s="342"/>
      <c r="DE1362" s="342"/>
      <c r="DF1362" s="342"/>
      <c r="DG1362" s="342"/>
      <c r="DH1362" s="342"/>
      <c r="DI1362" s="342"/>
      <c r="DJ1362" s="342"/>
      <c r="DK1362" s="342"/>
      <c r="DL1362" s="342"/>
    </row>
    <row r="1363">
      <c r="A1363" s="354">
        <v>1363.0</v>
      </c>
      <c r="B1363" s="341" t="s">
        <v>114</v>
      </c>
      <c r="C1363" s="341" t="s">
        <v>115</v>
      </c>
      <c r="D1363" s="341" t="s">
        <v>1234</v>
      </c>
      <c r="E1363" s="342"/>
      <c r="F1363" s="360" t="s">
        <v>7705</v>
      </c>
      <c r="G1363" s="47" t="str">
        <f t="shared" si="88"/>
        <v>curatescience320_2</v>
      </c>
      <c r="H1363" s="360" t="s">
        <v>6955</v>
      </c>
      <c r="I1363" s="344">
        <v>45901.0</v>
      </c>
      <c r="J1363" s="344">
        <v>45901.0</v>
      </c>
      <c r="K1363" s="360" t="s">
        <v>7717</v>
      </c>
      <c r="L1363" s="46"/>
      <c r="M1363" s="1446" t="s">
        <v>7706</v>
      </c>
      <c r="N1363" s="360" t="s">
        <v>7707</v>
      </c>
      <c r="O1363" s="343" t="s">
        <v>3580</v>
      </c>
      <c r="P1363" s="360" t="str">
        <f t="shared" si="89"/>
        <v>10.1017--s1930297500001170.pdf</v>
      </c>
      <c r="Q1363" s="104" t="str">
        <f t="array" ref="Q1363"> if(iserror(MATCH(V1363, 'File Links'!C:C, 0)), "N/A", HYPERLINK(INDEX('File Links'!B:B, MATCH(P1363, 'File Links'!C:C, 0))))</f>
        <v>https://drive.google.com/file/d/1htcfPlWHtz8E91jbq14ETkimhcWUSyMj/view?usp=drivesdk</v>
      </c>
      <c r="R1363" s="503" t="s">
        <v>7496</v>
      </c>
      <c r="S1363" s="503" t="s">
        <v>7497</v>
      </c>
      <c r="T1363" s="46"/>
      <c r="U1363" s="46"/>
      <c r="V1363" s="360" t="str">
        <f t="shared" si="90"/>
        <v>10.1027--1864-9335--a000178.pdf</v>
      </c>
      <c r="W1363" s="46"/>
      <c r="X1363" s="54" t="str">
        <f t="array" ref="X1363"> if(iserror(MATCH(V1363, 'File Links'!C:C, 0)), "N/A", HYPERLINK(INDEX('File Links'!B:B, MATCH(V1363, 'File Links'!C:C, 0))))</f>
        <v>https://drive.google.com/file/d/1fIqa3RxgdnsQkWwGnLkF4XAbM2g_WN4q/view?usp=drivesdk</v>
      </c>
      <c r="Y1363" s="342"/>
      <c r="Z1363" s="360" t="s">
        <v>210</v>
      </c>
      <c r="AA1363" s="46"/>
      <c r="AB1363" s="46"/>
      <c r="AC1363" s="46"/>
      <c r="AD1363" s="360" t="s">
        <v>7718</v>
      </c>
      <c r="AE1363" s="357">
        <v>328.0</v>
      </c>
      <c r="AF1363" s="357">
        <v>80.0</v>
      </c>
      <c r="AG1363" s="357">
        <v>0.69</v>
      </c>
      <c r="AH1363" s="360" t="s">
        <v>173</v>
      </c>
      <c r="AI1363" s="46"/>
      <c r="AJ1363" s="386">
        <v>0.05</v>
      </c>
      <c r="AK1363" s="47" t="s">
        <v>135</v>
      </c>
      <c r="AL1363" s="47" t="s">
        <v>186</v>
      </c>
      <c r="AM1363" s="46" t="s">
        <v>137</v>
      </c>
      <c r="AN1363" s="49"/>
      <c r="AO1363" s="357">
        <v>5942.0</v>
      </c>
      <c r="AP1363" s="357">
        <v>0.61</v>
      </c>
      <c r="AQ1363" s="360" t="s">
        <v>173</v>
      </c>
      <c r="AR1363" s="46"/>
      <c r="AS1363" s="357">
        <v>0.001</v>
      </c>
      <c r="AT1363" s="360" t="s">
        <v>135</v>
      </c>
      <c r="AU1363" s="360" t="s">
        <v>186</v>
      </c>
      <c r="AV1363" s="46" t="s">
        <v>137</v>
      </c>
      <c r="AW1363" s="46"/>
      <c r="AX1363" s="46" t="s">
        <v>143</v>
      </c>
      <c r="AY1363" s="61" t="str">
        <f>IFERROR(__xludf.DUMMYFUNCTION("vlookup(BB1363,importrange(""https://docs.google.com/spreadsheets/d/1d2vevQ_7D_v35q4wCQ4RpQ_IPoTwEMB9Yp6ymwlPqew/edit?gid=984458430#gid=984458430"", ""'replication success'!A:K""), 11, FAlSE)"),"#N/A")</f>
        <v>#N/A</v>
      </c>
      <c r="AZ1363" s="61" t="str">
        <f>IFERROR(__xludf.DUMMYFUNCTION("vlookup(BB1363,importrange(""https://docs.google.com/spreadsheets/d/1d2vevQ_7D_v35q4wCQ4RpQ_IPoTwEMB9Yp6ymwlPqew/edit?gid=984458430#gid=984458430"", ""'replication success'!A:M""), 12, FAlSE)"),"#N/A")</f>
        <v>#N/A</v>
      </c>
      <c r="BA1363" s="61" t="str">
        <f>IFERROR(__xludf.DUMMYFUNCTION("vlookup(BB1363,importrange(""https://docs.google.com/spreadsheets/d/1d2vevQ_7D_v35q4wCQ4RpQ_IPoTwEMB9Yp6ymwlPqew/edit?gid=984458430#gid=984458430"", ""'replication success'!A:M""), 13, FAlSE)"),"#N/A")</f>
        <v>#N/A</v>
      </c>
      <c r="BB1363" s="61" t="str">
        <f>IFERROR(__xludf.DUMMYFUNCTION("REGEXREPLACE(G1363, ""_[a-z]{1,2}$"", """")"),"curatescience320_2")</f>
        <v>curatescience320_2</v>
      </c>
      <c r="BC1363" s="342"/>
      <c r="BD1363" s="341" t="s">
        <v>692</v>
      </c>
      <c r="BE1363" s="342"/>
      <c r="BF1363" s="342"/>
      <c r="BG1363" s="342"/>
      <c r="BH1363" s="342"/>
      <c r="BI1363" s="342"/>
      <c r="BJ1363" s="342"/>
      <c r="BK1363" s="342"/>
      <c r="BL1363" s="342"/>
      <c r="BM1363" s="342"/>
      <c r="BN1363" s="342"/>
      <c r="BO1363" s="342"/>
      <c r="BP1363" s="342"/>
      <c r="BQ1363" s="342"/>
      <c r="BR1363" s="342"/>
      <c r="BS1363" s="342"/>
      <c r="BT1363" s="342"/>
      <c r="BU1363" s="342"/>
      <c r="BV1363" s="342"/>
      <c r="BW1363" s="342"/>
      <c r="BX1363" s="342"/>
      <c r="BY1363" s="342"/>
      <c r="BZ1363" s="342"/>
      <c r="CA1363" s="342"/>
      <c r="CB1363" s="342"/>
      <c r="CC1363" s="342"/>
      <c r="CD1363" s="342"/>
      <c r="CE1363" s="342"/>
      <c r="CF1363" s="342"/>
      <c r="CG1363" s="342"/>
      <c r="CH1363" s="342"/>
      <c r="CI1363" s="342"/>
      <c r="CJ1363" s="342"/>
      <c r="CK1363" s="342"/>
      <c r="CL1363" s="342"/>
      <c r="CM1363" s="342"/>
      <c r="CN1363" s="342"/>
      <c r="CO1363" s="342"/>
      <c r="CP1363" s="342"/>
      <c r="CQ1363" s="342"/>
      <c r="CR1363" s="342"/>
      <c r="CS1363" s="342"/>
      <c r="CT1363" s="342"/>
      <c r="CU1363" s="342"/>
      <c r="CV1363" s="342"/>
      <c r="CW1363" s="342"/>
      <c r="CX1363" s="342"/>
      <c r="CY1363" s="342"/>
      <c r="CZ1363" s="342"/>
      <c r="DA1363" s="342"/>
      <c r="DB1363" s="342"/>
      <c r="DC1363" s="342"/>
      <c r="DD1363" s="342"/>
      <c r="DE1363" s="342"/>
      <c r="DF1363" s="342"/>
      <c r="DG1363" s="342"/>
      <c r="DH1363" s="342"/>
      <c r="DI1363" s="342"/>
      <c r="DJ1363" s="342"/>
      <c r="DK1363" s="342"/>
      <c r="DL1363" s="342"/>
    </row>
    <row r="1364">
      <c r="A1364" s="1485">
        <v>1364.0</v>
      </c>
      <c r="B1364" s="1486" t="s">
        <v>114</v>
      </c>
      <c r="C1364" s="910" t="s">
        <v>115</v>
      </c>
      <c r="D1364" s="910" t="s">
        <v>2930</v>
      </c>
      <c r="E1364" s="911"/>
      <c r="F1364" s="912" t="s">
        <v>7719</v>
      </c>
      <c r="G1364" s="912" t="s">
        <v>7720</v>
      </c>
      <c r="H1364" s="912" t="s">
        <v>7619</v>
      </c>
      <c r="I1364" s="1487" t="s">
        <v>7721</v>
      </c>
      <c r="J1364" s="915"/>
      <c r="K1364" s="912" t="s">
        <v>7722</v>
      </c>
      <c r="L1364" s="912" t="s">
        <v>7350</v>
      </c>
      <c r="M1364" s="912" t="s">
        <v>7723</v>
      </c>
      <c r="N1364" s="912" t="s">
        <v>7724</v>
      </c>
      <c r="O1364" s="918">
        <v>1.0</v>
      </c>
      <c r="P1364" s="912" t="s">
        <v>7725</v>
      </c>
      <c r="Q1364" s="916" t="str">
        <f t="array" ref="Q1364"> if(iserror(MATCH(V1364, 'File Links'!C:C, 0)), "N/A", HYPERLINK(INDEX('File Links'!B:B, MATCH(P1364, 'File Links'!C:C, 0))))</f>
        <v>https://drive.google.com/file/d/13IdVrs_fFWj8hYxe5OVSE67tGuCcKPct/view?usp=drivesdk</v>
      </c>
      <c r="R1364" s="912" t="s">
        <v>7726</v>
      </c>
      <c r="S1364" s="912" t="s">
        <v>7727</v>
      </c>
      <c r="T1364" s="912" t="s">
        <v>138</v>
      </c>
      <c r="U1364" s="918">
        <v>1.0</v>
      </c>
      <c r="V1364" s="912" t="s">
        <v>7728</v>
      </c>
      <c r="W1364" s="912" t="s">
        <v>209</v>
      </c>
      <c r="X1364" s="917" t="str">
        <f t="array" ref="X1364"> if(iserror(MATCH(V1364, 'File Links'!C:C, 0)), "N/A", HYPERLINK(INDEX('File Links'!B:B, MATCH(V1364, 'File Links'!C:C, 0))))</f>
        <v>https://drive.google.com/file/d/1JdFF8pu65hv5yMW8kuJKZT-omhqW3568/view?usp=drivesdk</v>
      </c>
      <c r="Y1364" s="915"/>
      <c r="Z1364" s="912" t="s">
        <v>226</v>
      </c>
      <c r="AA1364" s="912" t="s">
        <v>7729</v>
      </c>
      <c r="AB1364" s="912" t="s">
        <v>7730</v>
      </c>
      <c r="AC1364" s="912" t="s">
        <v>7729</v>
      </c>
      <c r="AD1364" s="912" t="s">
        <v>7731</v>
      </c>
      <c r="AE1364" s="912" t="s">
        <v>7732</v>
      </c>
      <c r="AF1364" s="918">
        <v>62.0</v>
      </c>
      <c r="AG1364" s="918">
        <v>1.21</v>
      </c>
      <c r="AH1364" s="912" t="s">
        <v>173</v>
      </c>
      <c r="AI1364" s="912" t="s">
        <v>7733</v>
      </c>
      <c r="AJ1364" s="918" t="s">
        <v>138</v>
      </c>
      <c r="AK1364" s="915"/>
      <c r="AL1364" s="912" t="s">
        <v>186</v>
      </c>
      <c r="AM1364" s="912" t="s">
        <v>137</v>
      </c>
      <c r="AN1364" s="912" t="s">
        <v>138</v>
      </c>
      <c r="AO1364" s="918">
        <v>149.0</v>
      </c>
      <c r="AP1364" s="1488">
        <v>0.184</v>
      </c>
      <c r="AQ1364" s="912" t="s">
        <v>173</v>
      </c>
      <c r="AR1364" s="912" t="s">
        <v>217</v>
      </c>
      <c r="AS1364" s="918">
        <v>0.26</v>
      </c>
      <c r="AT1364" s="912" t="s">
        <v>172</v>
      </c>
      <c r="AU1364" s="912" t="s">
        <v>186</v>
      </c>
      <c r="AV1364" s="912" t="s">
        <v>137</v>
      </c>
      <c r="AW1364" s="912" t="s">
        <v>138</v>
      </c>
      <c r="AX1364" s="912" t="s">
        <v>143</v>
      </c>
      <c r="AY1364" s="61" t="str">
        <f>IFERROR(__xludf.DUMMYFUNCTION("vlookup(BB1364,importrange(""https://docs.google.com/spreadsheets/d/1d2vevQ_7D_v35q4wCQ4RpQ_IPoTwEMB9Yp6ymwlPqew/edit?gid=984458430#gid=984458430"", ""'replication success'!A:K""), 11, FAlSE)"),"#N/A")</f>
        <v>#N/A</v>
      </c>
      <c r="AZ1364" s="61" t="str">
        <f>IFERROR(__xludf.DUMMYFUNCTION("vlookup(BB1364,importrange(""https://docs.google.com/spreadsheets/d/1d2vevQ_7D_v35q4wCQ4RpQ_IPoTwEMB9Yp6ymwlPqew/edit?gid=984458430#gid=984458430"", ""'replication success'!A:M""), 12, FAlSE)"),"#N/A")</f>
        <v>#N/A</v>
      </c>
      <c r="BA1364" s="61" t="str">
        <f>IFERROR(__xludf.DUMMYFUNCTION("vlookup(BB1364,importrange(""https://docs.google.com/spreadsheets/d/1d2vevQ_7D_v35q4wCQ4RpQ_IPoTwEMB9Yp6ymwlPqew/edit?gid=984458430#gid=984458430"", ""'replication success'!A:M""), 13, FAlSE)"),"#N/A")</f>
        <v>#N/A</v>
      </c>
      <c r="BB1364" s="61" t="str">
        <f>IFERROR(__xludf.DUMMYFUNCTION("REGEXREPLACE(G1364, ""_[a-z]{1,2}$"", """")"),"curatescience33")</f>
        <v>curatescience33</v>
      </c>
      <c r="BC1364" s="911"/>
      <c r="BD1364" s="341" t="s">
        <v>692</v>
      </c>
      <c r="BE1364" s="911"/>
      <c r="BF1364" s="911"/>
      <c r="BG1364" s="911"/>
      <c r="BH1364" s="911"/>
      <c r="BI1364" s="911"/>
      <c r="BJ1364" s="911"/>
      <c r="BK1364" s="911"/>
      <c r="BL1364" s="911"/>
      <c r="BM1364" s="911"/>
      <c r="BN1364" s="911"/>
      <c r="BO1364" s="911"/>
      <c r="BP1364" s="911"/>
      <c r="BQ1364" s="911"/>
      <c r="BR1364" s="911"/>
      <c r="BS1364" s="911"/>
      <c r="BT1364" s="911"/>
      <c r="BU1364" s="911"/>
      <c r="BV1364" s="911"/>
      <c r="BW1364" s="911"/>
      <c r="BX1364" s="911"/>
      <c r="BY1364" s="911"/>
      <c r="BZ1364" s="911"/>
      <c r="CA1364" s="911"/>
      <c r="CB1364" s="911"/>
      <c r="CC1364" s="911"/>
      <c r="CD1364" s="911"/>
      <c r="CE1364" s="911"/>
      <c r="CF1364" s="911"/>
      <c r="CG1364" s="911"/>
      <c r="CH1364" s="911"/>
      <c r="CI1364" s="911"/>
      <c r="CJ1364" s="911"/>
      <c r="CK1364" s="911"/>
      <c r="CL1364" s="911"/>
      <c r="CM1364" s="911"/>
      <c r="CN1364" s="911"/>
      <c r="CO1364" s="911"/>
      <c r="CP1364" s="911"/>
      <c r="CQ1364" s="911"/>
      <c r="CR1364" s="911"/>
      <c r="CS1364" s="911"/>
      <c r="CT1364" s="911"/>
      <c r="CU1364" s="911"/>
      <c r="CV1364" s="911"/>
      <c r="CW1364" s="911"/>
      <c r="CX1364" s="911"/>
      <c r="CY1364" s="911"/>
      <c r="CZ1364" s="911"/>
      <c r="DA1364" s="911"/>
      <c r="DB1364" s="911"/>
      <c r="DC1364" s="911"/>
      <c r="DD1364" s="911"/>
      <c r="DE1364" s="911"/>
      <c r="DF1364" s="911"/>
      <c r="DG1364" s="911"/>
      <c r="DH1364" s="911"/>
      <c r="DI1364" s="911"/>
      <c r="DJ1364" s="911"/>
      <c r="DK1364" s="911"/>
      <c r="DL1364" s="911"/>
    </row>
    <row r="1365">
      <c r="A1365" s="1489">
        <v>1365.0</v>
      </c>
      <c r="B1365" s="1490" t="s">
        <v>152</v>
      </c>
      <c r="C1365" s="1491" t="s">
        <v>115</v>
      </c>
      <c r="D1365" s="1491" t="s">
        <v>1441</v>
      </c>
      <c r="E1365" s="1492"/>
      <c r="F1365" s="1490" t="s">
        <v>7719</v>
      </c>
      <c r="G1365" s="1490" t="s">
        <v>7720</v>
      </c>
      <c r="H1365" s="1493" t="s">
        <v>1441</v>
      </c>
      <c r="I1365" s="1494" t="s">
        <v>119</v>
      </c>
      <c r="J1365" s="1495">
        <v>45740.0</v>
      </c>
      <c r="K1365" s="1496"/>
      <c r="L1365" s="1490" t="s">
        <v>7350</v>
      </c>
      <c r="M1365" s="1490" t="s">
        <v>7723</v>
      </c>
      <c r="N1365" s="1490" t="s">
        <v>7724</v>
      </c>
      <c r="O1365" s="1497">
        <v>1.0</v>
      </c>
      <c r="P1365" s="1493" t="s">
        <v>7725</v>
      </c>
      <c r="Q1365" s="1498" t="str">
        <f t="array" ref="Q1365"> if(iserror(MATCH(V1365, 'File Links'!C:C, 0)), "N/A", HYPERLINK(INDEX('File Links'!B:B, MATCH(P1365, 'File Links'!C:C, 0))))</f>
        <v>https://drive.google.com/file/d/13IdVrs_fFWj8hYxe5OVSE67tGuCcKPct/view?usp=drivesdk</v>
      </c>
      <c r="R1365" s="1499" t="s">
        <v>7726</v>
      </c>
      <c r="S1365" s="1490" t="s">
        <v>7727</v>
      </c>
      <c r="T1365" s="1500"/>
      <c r="U1365" s="1501">
        <v>1.0</v>
      </c>
      <c r="V1365" s="1493" t="s">
        <v>7728</v>
      </c>
      <c r="W1365" s="1493" t="s">
        <v>3570</v>
      </c>
      <c r="X1365" s="1502" t="str">
        <f t="array" ref="X1365"> if(iserror(MATCH(V1365, 'File Links'!C:C, 0)), "N/A", HYPERLINK(INDEX('File Links'!B:B, MATCH(V1365, 'File Links'!C:C, 0))))</f>
        <v>https://drive.google.com/file/d/1JdFF8pu65hv5yMW8kuJKZT-omhqW3568/view?usp=drivesdk</v>
      </c>
      <c r="Y1365" s="1490"/>
      <c r="Z1365" s="1493" t="s">
        <v>226</v>
      </c>
      <c r="AA1365" s="1490" t="s">
        <v>7734</v>
      </c>
      <c r="AB1365" s="1493" t="s">
        <v>7735</v>
      </c>
      <c r="AC1365" s="1493" t="s">
        <v>7736</v>
      </c>
      <c r="AD1365" s="1493" t="s">
        <v>7737</v>
      </c>
      <c r="AE1365" s="1493">
        <v>4.0</v>
      </c>
      <c r="AF1365" s="1494">
        <v>64.0</v>
      </c>
      <c r="AG1365" s="1494" t="s">
        <v>7738</v>
      </c>
      <c r="AH1365" s="1493" t="s">
        <v>134</v>
      </c>
      <c r="AI1365" s="1493" t="s">
        <v>850</v>
      </c>
      <c r="AJ1365" s="1494">
        <v>0.001</v>
      </c>
      <c r="AK1365" s="1493" t="s">
        <v>135</v>
      </c>
      <c r="AL1365" s="1493" t="s">
        <v>186</v>
      </c>
      <c r="AM1365" s="1490" t="s">
        <v>137</v>
      </c>
      <c r="AN1365" s="1490" t="s">
        <v>138</v>
      </c>
      <c r="AO1365" s="1494">
        <v>149.0</v>
      </c>
      <c r="AP1365" s="1494">
        <v>0.184</v>
      </c>
      <c r="AQ1365" s="1493" t="s">
        <v>173</v>
      </c>
      <c r="AR1365" s="1493" t="s">
        <v>632</v>
      </c>
      <c r="AS1365" s="1494">
        <v>0.26</v>
      </c>
      <c r="AT1365" s="1493" t="s">
        <v>172</v>
      </c>
      <c r="AU1365" s="1493" t="s">
        <v>186</v>
      </c>
      <c r="AV1365" s="1490" t="s">
        <v>137</v>
      </c>
      <c r="AW1365" s="1503" t="s">
        <v>138</v>
      </c>
      <c r="AX1365" s="1490" t="s">
        <v>143</v>
      </c>
      <c r="AY1365" s="61" t="str">
        <f>IFERROR(__xludf.DUMMYFUNCTION("vlookup(BB1365,importrange(""https://docs.google.com/spreadsheets/d/1d2vevQ_7D_v35q4wCQ4RpQ_IPoTwEMB9Yp6ymwlPqew/edit?gid=984458430#gid=984458430"", ""'replication success'!A:K""), 11, FAlSE)"),"#N/A")</f>
        <v>#N/A</v>
      </c>
      <c r="AZ1365" s="61" t="str">
        <f>IFERROR(__xludf.DUMMYFUNCTION("vlookup(BB1365,importrange(""https://docs.google.com/spreadsheets/d/1d2vevQ_7D_v35q4wCQ4RpQ_IPoTwEMB9Yp6ymwlPqew/edit?gid=984458430#gid=984458430"", ""'replication success'!A:M""), 12, FAlSE)"),"#N/A")</f>
        <v>#N/A</v>
      </c>
      <c r="BA1365" s="61" t="str">
        <f>IFERROR(__xludf.DUMMYFUNCTION("vlookup(BB1365,importrange(""https://docs.google.com/spreadsheets/d/1d2vevQ_7D_v35q4wCQ4RpQ_IPoTwEMB9Yp6ymwlPqew/edit?gid=984458430#gid=984458430"", ""'replication success'!A:M""), 13, FAlSE)"),"#N/A")</f>
        <v>#N/A</v>
      </c>
      <c r="BB1365" s="61" t="str">
        <f>IFERROR(__xludf.DUMMYFUNCTION("REGEXREPLACE(G1365, ""_[a-z]{1,2}$"", """")"),"curatescience33")</f>
        <v>curatescience33</v>
      </c>
      <c r="BC1365" s="1492"/>
      <c r="BD1365" s="341" t="s">
        <v>692</v>
      </c>
      <c r="BE1365" s="1492"/>
      <c r="BF1365" s="1492"/>
      <c r="BG1365" s="1492"/>
      <c r="BH1365" s="1492"/>
      <c r="BI1365" s="1492"/>
      <c r="BJ1365" s="1492"/>
      <c r="BK1365" s="1492"/>
      <c r="BL1365" s="1492"/>
      <c r="BM1365" s="1492"/>
      <c r="BN1365" s="1492"/>
      <c r="BO1365" s="1492"/>
      <c r="BP1365" s="1492"/>
      <c r="BQ1365" s="1492"/>
      <c r="BR1365" s="1492"/>
      <c r="BS1365" s="1492"/>
      <c r="BT1365" s="1492"/>
      <c r="BU1365" s="1492"/>
      <c r="BV1365" s="1492"/>
      <c r="BW1365" s="1492"/>
      <c r="BX1365" s="1492"/>
      <c r="BY1365" s="1492"/>
      <c r="BZ1365" s="1492"/>
      <c r="CA1365" s="1492"/>
      <c r="CB1365" s="1492"/>
      <c r="CC1365" s="1492"/>
      <c r="CD1365" s="1492"/>
      <c r="CE1365" s="1492"/>
      <c r="CF1365" s="1492"/>
      <c r="CG1365" s="1492"/>
      <c r="CH1365" s="1492"/>
      <c r="CI1365" s="1492"/>
      <c r="CJ1365" s="1492"/>
      <c r="CK1365" s="1492"/>
      <c r="CL1365" s="1492"/>
      <c r="CM1365" s="1492"/>
      <c r="CN1365" s="1492"/>
      <c r="CO1365" s="1492"/>
      <c r="CP1365" s="1492"/>
      <c r="CQ1365" s="1492"/>
      <c r="CR1365" s="1492"/>
      <c r="CS1365" s="1492"/>
      <c r="CT1365" s="1492"/>
      <c r="CU1365" s="1492"/>
      <c r="CV1365" s="1492"/>
      <c r="CW1365" s="1492"/>
      <c r="CX1365" s="1492"/>
      <c r="CY1365" s="1492"/>
      <c r="CZ1365" s="1492"/>
      <c r="DA1365" s="1492"/>
      <c r="DB1365" s="1492"/>
      <c r="DC1365" s="1492"/>
      <c r="DD1365" s="1492"/>
      <c r="DE1365" s="1492"/>
      <c r="DF1365" s="1492"/>
      <c r="DG1365" s="1492"/>
      <c r="DH1365" s="1492"/>
      <c r="DI1365" s="1492"/>
      <c r="DJ1365" s="1492"/>
      <c r="DK1365" s="1492"/>
      <c r="DL1365" s="1492"/>
    </row>
    <row r="1366">
      <c r="A1366" s="1485">
        <v>1366.0</v>
      </c>
      <c r="B1366" s="1486" t="s">
        <v>114</v>
      </c>
      <c r="C1366" s="910" t="s">
        <v>115</v>
      </c>
      <c r="D1366" s="910" t="s">
        <v>2930</v>
      </c>
      <c r="E1366" s="911"/>
      <c r="F1366" s="912" t="s">
        <v>7719</v>
      </c>
      <c r="G1366" s="912" t="s">
        <v>7720</v>
      </c>
      <c r="H1366" s="912" t="s">
        <v>7619</v>
      </c>
      <c r="I1366" s="1487" t="s">
        <v>7721</v>
      </c>
      <c r="J1366" s="915"/>
      <c r="K1366" s="912" t="s">
        <v>7722</v>
      </c>
      <c r="L1366" s="912" t="s">
        <v>7350</v>
      </c>
      <c r="M1366" s="912" t="s">
        <v>7723</v>
      </c>
      <c r="N1366" s="912" t="s">
        <v>7724</v>
      </c>
      <c r="O1366" s="918">
        <v>1.0</v>
      </c>
      <c r="P1366" s="912" t="s">
        <v>7725</v>
      </c>
      <c r="Q1366" s="916" t="str">
        <f t="array" ref="Q1366"> if(iserror(MATCH(V1366, 'File Links'!C:C, 0)), "N/A", HYPERLINK(INDEX('File Links'!B:B, MATCH(P1366, 'File Links'!C:C, 0))))</f>
        <v>https://drive.google.com/file/d/13IdVrs_fFWj8hYxe5OVSE67tGuCcKPct/view?usp=drivesdk</v>
      </c>
      <c r="R1366" s="912" t="s">
        <v>7726</v>
      </c>
      <c r="S1366" s="912" t="s">
        <v>7727</v>
      </c>
      <c r="T1366" s="912" t="s">
        <v>138</v>
      </c>
      <c r="U1366" s="918">
        <v>1.0</v>
      </c>
      <c r="V1366" s="912" t="s">
        <v>7728</v>
      </c>
      <c r="W1366" s="912" t="s">
        <v>209</v>
      </c>
      <c r="X1366" s="917" t="str">
        <f t="array" ref="X1366"> if(iserror(MATCH(V1366, 'File Links'!C:C, 0)), "N/A", HYPERLINK(INDEX('File Links'!B:B, MATCH(V1366, 'File Links'!C:C, 0))))</f>
        <v>https://drive.google.com/file/d/1JdFF8pu65hv5yMW8kuJKZT-omhqW3568/view?usp=drivesdk</v>
      </c>
      <c r="Y1366" s="915"/>
      <c r="Z1366" s="912" t="s">
        <v>226</v>
      </c>
      <c r="AA1366" s="912" t="s">
        <v>7729</v>
      </c>
      <c r="AB1366" s="912" t="s">
        <v>7730</v>
      </c>
      <c r="AC1366" s="912" t="s">
        <v>7729</v>
      </c>
      <c r="AD1366" s="912" t="s">
        <v>7731</v>
      </c>
      <c r="AE1366" s="912" t="s">
        <v>7732</v>
      </c>
      <c r="AF1366" s="918">
        <v>62.0</v>
      </c>
      <c r="AG1366" s="918">
        <v>1.21</v>
      </c>
      <c r="AH1366" s="912" t="s">
        <v>173</v>
      </c>
      <c r="AI1366" s="912" t="s">
        <v>7733</v>
      </c>
      <c r="AJ1366" s="918" t="s">
        <v>138</v>
      </c>
      <c r="AK1366" s="918" t="s">
        <v>138</v>
      </c>
      <c r="AL1366" s="912" t="s">
        <v>186</v>
      </c>
      <c r="AM1366" s="912" t="s">
        <v>137</v>
      </c>
      <c r="AN1366" s="912" t="s">
        <v>138</v>
      </c>
      <c r="AO1366" s="918">
        <v>149.0</v>
      </c>
      <c r="AP1366" s="1488">
        <v>0.184</v>
      </c>
      <c r="AQ1366" s="912" t="s">
        <v>173</v>
      </c>
      <c r="AR1366" s="912" t="s">
        <v>217</v>
      </c>
      <c r="AS1366" s="918">
        <v>0.26</v>
      </c>
      <c r="AT1366" s="912" t="s">
        <v>172</v>
      </c>
      <c r="AU1366" s="912" t="s">
        <v>186</v>
      </c>
      <c r="AV1366" s="912" t="s">
        <v>137</v>
      </c>
      <c r="AW1366" s="912" t="s">
        <v>138</v>
      </c>
      <c r="AX1366" s="912" t="s">
        <v>143</v>
      </c>
      <c r="AY1366" s="61" t="str">
        <f>IFERROR(__xludf.DUMMYFUNCTION("vlookup(BB1366,importrange(""https://docs.google.com/spreadsheets/d/1d2vevQ_7D_v35q4wCQ4RpQ_IPoTwEMB9Yp6ymwlPqew/edit?gid=984458430#gid=984458430"", ""'replication success'!A:K""), 11, FAlSE)"),"#N/A")</f>
        <v>#N/A</v>
      </c>
      <c r="AZ1366" s="61" t="str">
        <f>IFERROR(__xludf.DUMMYFUNCTION("vlookup(BB1366,importrange(""https://docs.google.com/spreadsheets/d/1d2vevQ_7D_v35q4wCQ4RpQ_IPoTwEMB9Yp6ymwlPqew/edit?gid=984458430#gid=984458430"", ""'replication success'!A:M""), 12, FAlSE)"),"#N/A")</f>
        <v>#N/A</v>
      </c>
      <c r="BA1366" s="61" t="str">
        <f>IFERROR(__xludf.DUMMYFUNCTION("vlookup(BB1366,importrange(""https://docs.google.com/spreadsheets/d/1d2vevQ_7D_v35q4wCQ4RpQ_IPoTwEMB9Yp6ymwlPqew/edit?gid=984458430#gid=984458430"", ""'replication success'!A:M""), 13, FAlSE)"),"#N/A")</f>
        <v>#N/A</v>
      </c>
      <c r="BB1366" s="61" t="str">
        <f>IFERROR(__xludf.DUMMYFUNCTION("REGEXREPLACE(G1366, ""_[a-z]{1,2}$"", """")"),"curatescience33")</f>
        <v>curatescience33</v>
      </c>
      <c r="BC1366" s="911"/>
      <c r="BD1366" s="341" t="s">
        <v>692</v>
      </c>
      <c r="BE1366" s="911"/>
      <c r="BF1366" s="911"/>
      <c r="BG1366" s="911"/>
      <c r="BH1366" s="911"/>
      <c r="BI1366" s="911"/>
      <c r="BJ1366" s="911"/>
      <c r="BK1366" s="911"/>
      <c r="BL1366" s="911"/>
      <c r="BM1366" s="911"/>
      <c r="BN1366" s="911"/>
      <c r="BO1366" s="911"/>
      <c r="BP1366" s="911"/>
      <c r="BQ1366" s="911"/>
      <c r="BR1366" s="911"/>
      <c r="BS1366" s="911"/>
      <c r="BT1366" s="911"/>
      <c r="BU1366" s="911"/>
      <c r="BV1366" s="911"/>
      <c r="BW1366" s="911"/>
      <c r="BX1366" s="911"/>
      <c r="BY1366" s="911"/>
      <c r="BZ1366" s="911"/>
      <c r="CA1366" s="911"/>
      <c r="CB1366" s="911"/>
      <c r="CC1366" s="911"/>
      <c r="CD1366" s="911"/>
      <c r="CE1366" s="911"/>
      <c r="CF1366" s="911"/>
      <c r="CG1366" s="911"/>
      <c r="CH1366" s="911"/>
      <c r="CI1366" s="911"/>
      <c r="CJ1366" s="911"/>
      <c r="CK1366" s="911"/>
      <c r="CL1366" s="911"/>
      <c r="CM1366" s="911"/>
      <c r="CN1366" s="911"/>
      <c r="CO1366" s="911"/>
      <c r="CP1366" s="911"/>
      <c r="CQ1366" s="911"/>
      <c r="CR1366" s="911"/>
      <c r="CS1366" s="911"/>
      <c r="CT1366" s="911"/>
      <c r="CU1366" s="911"/>
      <c r="CV1366" s="911"/>
      <c r="CW1366" s="911"/>
      <c r="CX1366" s="911"/>
      <c r="CY1366" s="911"/>
      <c r="CZ1366" s="911"/>
      <c r="DA1366" s="911"/>
      <c r="DB1366" s="911"/>
      <c r="DC1366" s="911"/>
      <c r="DD1366" s="911"/>
      <c r="DE1366" s="911"/>
      <c r="DF1366" s="911"/>
      <c r="DG1366" s="911"/>
      <c r="DH1366" s="911"/>
      <c r="DI1366" s="911"/>
      <c r="DJ1366" s="911"/>
      <c r="DK1366" s="911"/>
      <c r="DL1366" s="911"/>
    </row>
    <row r="1367">
      <c r="A1367" s="1485">
        <v>1367.0</v>
      </c>
      <c r="B1367" s="1486" t="s">
        <v>114</v>
      </c>
      <c r="C1367" s="910" t="s">
        <v>115</v>
      </c>
      <c r="D1367" s="910" t="s">
        <v>2930</v>
      </c>
      <c r="E1367" s="911"/>
      <c r="F1367" s="912" t="s">
        <v>7739</v>
      </c>
      <c r="G1367" s="912" t="s">
        <v>7740</v>
      </c>
      <c r="H1367" s="912" t="s">
        <v>7619</v>
      </c>
      <c r="I1367" s="1487" t="s">
        <v>7741</v>
      </c>
      <c r="J1367" s="915"/>
      <c r="K1367" s="912" t="s">
        <v>7722</v>
      </c>
      <c r="L1367" s="912" t="s">
        <v>7350</v>
      </c>
      <c r="M1367" s="912" t="s">
        <v>7723</v>
      </c>
      <c r="N1367" s="912" t="s">
        <v>7724</v>
      </c>
      <c r="O1367" s="918">
        <v>1.0</v>
      </c>
      <c r="P1367" s="912" t="s">
        <v>7725</v>
      </c>
      <c r="Q1367" s="916" t="str">
        <f t="array" ref="Q1367"> if(iserror(MATCH(V1367, 'File Links'!C:C, 0)), "N/A", HYPERLINK(INDEX('File Links'!B:B, MATCH(P1367, 'File Links'!C:C, 0))))</f>
        <v>https://drive.google.com/file/d/13IdVrs_fFWj8hYxe5OVSE67tGuCcKPct/view?usp=drivesdk</v>
      </c>
      <c r="R1367" s="912" t="s">
        <v>7742</v>
      </c>
      <c r="S1367" s="912" t="s">
        <v>7727</v>
      </c>
      <c r="T1367" s="912" t="s">
        <v>138</v>
      </c>
      <c r="U1367" s="918">
        <v>2.0</v>
      </c>
      <c r="V1367" s="912" t="s">
        <v>7728</v>
      </c>
      <c r="W1367" s="912" t="s">
        <v>209</v>
      </c>
      <c r="X1367" s="917" t="str">
        <f t="array" ref="X1367"> if(iserror(MATCH(V1367, 'File Links'!C:C, 0)), "N/A", HYPERLINK(INDEX('File Links'!B:B, MATCH(V1367, 'File Links'!C:C, 0))))</f>
        <v>https://drive.google.com/file/d/1JdFF8pu65hv5yMW8kuJKZT-omhqW3568/view?usp=drivesdk</v>
      </c>
      <c r="Y1367" s="915"/>
      <c r="Z1367" s="912" t="s">
        <v>226</v>
      </c>
      <c r="AA1367" s="912" t="s">
        <v>7729</v>
      </c>
      <c r="AB1367" s="912" t="s">
        <v>7730</v>
      </c>
      <c r="AC1367" s="912" t="s">
        <v>7729</v>
      </c>
      <c r="AD1367" s="912" t="s">
        <v>7743</v>
      </c>
      <c r="AE1367" s="912" t="s">
        <v>7732</v>
      </c>
      <c r="AF1367" s="918">
        <v>62.0</v>
      </c>
      <c r="AG1367" s="918">
        <v>1.21</v>
      </c>
      <c r="AH1367" s="912" t="s">
        <v>173</v>
      </c>
      <c r="AI1367" s="912" t="s">
        <v>7733</v>
      </c>
      <c r="AJ1367" s="918" t="s">
        <v>138</v>
      </c>
      <c r="AK1367" s="915"/>
      <c r="AL1367" s="912" t="s">
        <v>186</v>
      </c>
      <c r="AM1367" s="912" t="s">
        <v>137</v>
      </c>
      <c r="AN1367" s="912" t="s">
        <v>138</v>
      </c>
      <c r="AO1367" s="918">
        <v>152.0</v>
      </c>
      <c r="AP1367" s="1488">
        <v>-0.136</v>
      </c>
      <c r="AQ1367" s="912" t="s">
        <v>173</v>
      </c>
      <c r="AR1367" s="912" t="s">
        <v>507</v>
      </c>
      <c r="AS1367" s="918">
        <v>0.406</v>
      </c>
      <c r="AT1367" s="912" t="s">
        <v>172</v>
      </c>
      <c r="AU1367" s="912" t="s">
        <v>186</v>
      </c>
      <c r="AV1367" s="912" t="s">
        <v>137</v>
      </c>
      <c r="AW1367" s="912" t="s">
        <v>138</v>
      </c>
      <c r="AX1367" s="912" t="s">
        <v>143</v>
      </c>
      <c r="AY1367" s="61" t="str">
        <f>IFERROR(__xludf.DUMMYFUNCTION("vlookup(BB1367,importrange(""https://docs.google.com/spreadsheets/d/1d2vevQ_7D_v35q4wCQ4RpQ_IPoTwEMB9Yp6ymwlPqew/edit?gid=984458430#gid=984458430"", ""'replication success'!A:K""), 11, FAlSE)"),"#N/A")</f>
        <v>#N/A</v>
      </c>
      <c r="AZ1367" s="61" t="str">
        <f>IFERROR(__xludf.DUMMYFUNCTION("vlookup(BB1367,importrange(""https://docs.google.com/spreadsheets/d/1d2vevQ_7D_v35q4wCQ4RpQ_IPoTwEMB9Yp6ymwlPqew/edit?gid=984458430#gid=984458430"", ""'replication success'!A:M""), 12, FAlSE)"),"#N/A")</f>
        <v>#N/A</v>
      </c>
      <c r="BA1367" s="61" t="str">
        <f>IFERROR(__xludf.DUMMYFUNCTION("vlookup(BB1367,importrange(""https://docs.google.com/spreadsheets/d/1d2vevQ_7D_v35q4wCQ4RpQ_IPoTwEMB9Yp6ymwlPqew/edit?gid=984458430#gid=984458430"", ""'replication success'!A:M""), 13, FAlSE)"),"#N/A")</f>
        <v>#N/A</v>
      </c>
      <c r="BB1367" s="61" t="str">
        <f>IFERROR(__xludf.DUMMYFUNCTION("REGEXREPLACE(G1367, ""_[a-z]{1,2}$"", """")"),"curatescience34")</f>
        <v>curatescience34</v>
      </c>
      <c r="BC1367" s="911"/>
      <c r="BD1367" s="341" t="s">
        <v>692</v>
      </c>
      <c r="BE1367" s="911"/>
      <c r="BF1367" s="911"/>
      <c r="BG1367" s="911"/>
      <c r="BH1367" s="911"/>
      <c r="BI1367" s="911"/>
      <c r="BJ1367" s="911"/>
      <c r="BK1367" s="911"/>
      <c r="BL1367" s="911"/>
      <c r="BM1367" s="911"/>
      <c r="BN1367" s="911"/>
      <c r="BO1367" s="911"/>
      <c r="BP1367" s="911"/>
      <c r="BQ1367" s="911"/>
      <c r="BR1367" s="911"/>
      <c r="BS1367" s="911"/>
      <c r="BT1367" s="911"/>
      <c r="BU1367" s="911"/>
      <c r="BV1367" s="911"/>
      <c r="BW1367" s="911"/>
      <c r="BX1367" s="911"/>
      <c r="BY1367" s="911"/>
      <c r="BZ1367" s="911"/>
      <c r="CA1367" s="911"/>
      <c r="CB1367" s="911"/>
      <c r="CC1367" s="911"/>
      <c r="CD1367" s="911"/>
      <c r="CE1367" s="911"/>
      <c r="CF1367" s="911"/>
      <c r="CG1367" s="911"/>
      <c r="CH1367" s="911"/>
      <c r="CI1367" s="911"/>
      <c r="CJ1367" s="911"/>
      <c r="CK1367" s="911"/>
      <c r="CL1367" s="911"/>
      <c r="CM1367" s="911"/>
      <c r="CN1367" s="911"/>
      <c r="CO1367" s="911"/>
      <c r="CP1367" s="911"/>
      <c r="CQ1367" s="911"/>
      <c r="CR1367" s="911"/>
      <c r="CS1367" s="911"/>
      <c r="CT1367" s="911"/>
      <c r="CU1367" s="911"/>
      <c r="CV1367" s="911"/>
      <c r="CW1367" s="911"/>
      <c r="CX1367" s="911"/>
      <c r="CY1367" s="911"/>
      <c r="CZ1367" s="911"/>
      <c r="DA1367" s="911"/>
      <c r="DB1367" s="911"/>
      <c r="DC1367" s="911"/>
      <c r="DD1367" s="911"/>
      <c r="DE1367" s="911"/>
      <c r="DF1367" s="911"/>
      <c r="DG1367" s="911"/>
      <c r="DH1367" s="911"/>
      <c r="DI1367" s="911"/>
      <c r="DJ1367" s="911"/>
      <c r="DK1367" s="911"/>
      <c r="DL1367" s="911"/>
    </row>
    <row r="1368">
      <c r="A1368" s="1489">
        <v>1368.0</v>
      </c>
      <c r="B1368" s="1490" t="s">
        <v>152</v>
      </c>
      <c r="C1368" s="1491" t="s">
        <v>115</v>
      </c>
      <c r="D1368" s="1491" t="s">
        <v>1441</v>
      </c>
      <c r="E1368" s="1492"/>
      <c r="F1368" s="1490" t="s">
        <v>7739</v>
      </c>
      <c r="G1368" s="1490" t="s">
        <v>7740</v>
      </c>
      <c r="H1368" s="1493" t="s">
        <v>1441</v>
      </c>
      <c r="I1368" s="1494" t="s">
        <v>119</v>
      </c>
      <c r="J1368" s="1495">
        <v>45740.0</v>
      </c>
      <c r="K1368" s="1496"/>
      <c r="L1368" s="1490" t="s">
        <v>7350</v>
      </c>
      <c r="M1368" s="1490" t="s">
        <v>7723</v>
      </c>
      <c r="N1368" s="1490" t="s">
        <v>7724</v>
      </c>
      <c r="O1368" s="1497">
        <v>1.0</v>
      </c>
      <c r="P1368" s="1493" t="s">
        <v>7725</v>
      </c>
      <c r="Q1368" s="1498" t="str">
        <f t="array" ref="Q1368"> if(iserror(MATCH(V1368, 'File Links'!C:C, 0)), "N/A", HYPERLINK(INDEX('File Links'!B:B, MATCH(P1368, 'File Links'!C:C, 0))))</f>
        <v>https://drive.google.com/file/d/13IdVrs_fFWj8hYxe5OVSE67tGuCcKPct/view?usp=drivesdk</v>
      </c>
      <c r="R1368" s="1499" t="s">
        <v>7742</v>
      </c>
      <c r="S1368" s="1490" t="s">
        <v>7727</v>
      </c>
      <c r="T1368" s="1500"/>
      <c r="U1368" s="1501">
        <v>2.0</v>
      </c>
      <c r="V1368" s="1493" t="s">
        <v>7728</v>
      </c>
      <c r="W1368" s="1493" t="s">
        <v>164</v>
      </c>
      <c r="X1368" s="1502" t="str">
        <f t="array" ref="X1368"> if(iserror(MATCH(V1368, 'File Links'!C:C, 0)), "N/A", HYPERLINK(INDEX('File Links'!B:B, MATCH(V1368, 'File Links'!C:C, 0))))</f>
        <v>https://drive.google.com/file/d/1JdFF8pu65hv5yMW8kuJKZT-omhqW3568/view?usp=drivesdk</v>
      </c>
      <c r="Y1368" s="1490"/>
      <c r="Z1368" s="1493" t="s">
        <v>226</v>
      </c>
      <c r="AA1368" s="1490" t="s">
        <v>7734</v>
      </c>
      <c r="AB1368" s="1493" t="s">
        <v>7735</v>
      </c>
      <c r="AC1368" s="1493" t="s">
        <v>7736</v>
      </c>
      <c r="AD1368" s="1493" t="s">
        <v>7737</v>
      </c>
      <c r="AE1368" s="1493">
        <v>4.0</v>
      </c>
      <c r="AF1368" s="1494">
        <v>64.0</v>
      </c>
      <c r="AG1368" s="1494" t="s">
        <v>7738</v>
      </c>
      <c r="AH1368" s="1493" t="s">
        <v>134</v>
      </c>
      <c r="AI1368" s="1493" t="s">
        <v>850</v>
      </c>
      <c r="AJ1368" s="1494">
        <v>0.001</v>
      </c>
      <c r="AK1368" s="1493" t="s">
        <v>135</v>
      </c>
      <c r="AL1368" s="1493" t="s">
        <v>186</v>
      </c>
      <c r="AM1368" s="1490" t="s">
        <v>137</v>
      </c>
      <c r="AN1368" s="1490" t="s">
        <v>138</v>
      </c>
      <c r="AO1368" s="1494">
        <v>152.0</v>
      </c>
      <c r="AP1368" s="1494">
        <v>-0.136</v>
      </c>
      <c r="AQ1368" s="1493" t="s">
        <v>173</v>
      </c>
      <c r="AR1368" s="1493" t="s">
        <v>307</v>
      </c>
      <c r="AS1368" s="1494">
        <v>0.406</v>
      </c>
      <c r="AT1368" s="1493" t="s">
        <v>172</v>
      </c>
      <c r="AU1368" s="1493" t="s">
        <v>186</v>
      </c>
      <c r="AV1368" s="1490" t="s">
        <v>137</v>
      </c>
      <c r="AW1368" s="1503" t="s">
        <v>138</v>
      </c>
      <c r="AX1368" s="1490" t="s">
        <v>143</v>
      </c>
      <c r="AY1368" s="61" t="str">
        <f>IFERROR(__xludf.DUMMYFUNCTION("vlookup(BB1368,importrange(""https://docs.google.com/spreadsheets/d/1d2vevQ_7D_v35q4wCQ4RpQ_IPoTwEMB9Yp6ymwlPqew/edit?gid=984458430#gid=984458430"", ""'replication success'!A:K""), 11, FAlSE)"),"#N/A")</f>
        <v>#N/A</v>
      </c>
      <c r="AZ1368" s="61" t="str">
        <f>IFERROR(__xludf.DUMMYFUNCTION("vlookup(BB1368,importrange(""https://docs.google.com/spreadsheets/d/1d2vevQ_7D_v35q4wCQ4RpQ_IPoTwEMB9Yp6ymwlPqew/edit?gid=984458430#gid=984458430"", ""'replication success'!A:M""), 12, FAlSE)"),"#N/A")</f>
        <v>#N/A</v>
      </c>
      <c r="BA1368" s="61" t="str">
        <f>IFERROR(__xludf.DUMMYFUNCTION("vlookup(BB1368,importrange(""https://docs.google.com/spreadsheets/d/1d2vevQ_7D_v35q4wCQ4RpQ_IPoTwEMB9Yp6ymwlPqew/edit?gid=984458430#gid=984458430"", ""'replication success'!A:M""), 13, FAlSE)"),"#N/A")</f>
        <v>#N/A</v>
      </c>
      <c r="BB1368" s="61" t="str">
        <f>IFERROR(__xludf.DUMMYFUNCTION("REGEXREPLACE(G1368, ""_[a-z]{1,2}$"", """")"),"curatescience34")</f>
        <v>curatescience34</v>
      </c>
      <c r="BC1368" s="1492"/>
      <c r="BD1368" s="341" t="s">
        <v>692</v>
      </c>
      <c r="BE1368" s="1492"/>
      <c r="BF1368" s="1492"/>
      <c r="BG1368" s="1492"/>
      <c r="BH1368" s="1492"/>
      <c r="BI1368" s="1492"/>
      <c r="BJ1368" s="1492"/>
      <c r="BK1368" s="1492"/>
      <c r="BL1368" s="1492"/>
      <c r="BM1368" s="1492"/>
      <c r="BN1368" s="1492"/>
      <c r="BO1368" s="1492"/>
      <c r="BP1368" s="1492"/>
      <c r="BQ1368" s="1492"/>
      <c r="BR1368" s="1492"/>
      <c r="BS1368" s="1492"/>
      <c r="BT1368" s="1492"/>
      <c r="BU1368" s="1492"/>
      <c r="BV1368" s="1492"/>
      <c r="BW1368" s="1492"/>
      <c r="BX1368" s="1492"/>
      <c r="BY1368" s="1492"/>
      <c r="BZ1368" s="1492"/>
      <c r="CA1368" s="1492"/>
      <c r="CB1368" s="1492"/>
      <c r="CC1368" s="1492"/>
      <c r="CD1368" s="1492"/>
      <c r="CE1368" s="1492"/>
      <c r="CF1368" s="1492"/>
      <c r="CG1368" s="1492"/>
      <c r="CH1368" s="1492"/>
      <c r="CI1368" s="1492"/>
      <c r="CJ1368" s="1492"/>
      <c r="CK1368" s="1492"/>
      <c r="CL1368" s="1492"/>
      <c r="CM1368" s="1492"/>
      <c r="CN1368" s="1492"/>
      <c r="CO1368" s="1492"/>
      <c r="CP1368" s="1492"/>
      <c r="CQ1368" s="1492"/>
      <c r="CR1368" s="1492"/>
      <c r="CS1368" s="1492"/>
      <c r="CT1368" s="1492"/>
      <c r="CU1368" s="1492"/>
      <c r="CV1368" s="1492"/>
      <c r="CW1368" s="1492"/>
      <c r="CX1368" s="1492"/>
      <c r="CY1368" s="1492"/>
      <c r="CZ1368" s="1492"/>
      <c r="DA1368" s="1492"/>
      <c r="DB1368" s="1492"/>
      <c r="DC1368" s="1492"/>
      <c r="DD1368" s="1492"/>
      <c r="DE1368" s="1492"/>
      <c r="DF1368" s="1492"/>
      <c r="DG1368" s="1492"/>
      <c r="DH1368" s="1492"/>
      <c r="DI1368" s="1492"/>
      <c r="DJ1368" s="1492"/>
      <c r="DK1368" s="1492"/>
      <c r="DL1368" s="1492"/>
    </row>
    <row r="1369">
      <c r="A1369" s="1485">
        <v>1369.0</v>
      </c>
      <c r="B1369" s="1486" t="s">
        <v>114</v>
      </c>
      <c r="C1369" s="910" t="s">
        <v>115</v>
      </c>
      <c r="D1369" s="910" t="s">
        <v>2930</v>
      </c>
      <c r="E1369" s="911"/>
      <c r="F1369" s="912" t="s">
        <v>7739</v>
      </c>
      <c r="G1369" s="912" t="s">
        <v>7740</v>
      </c>
      <c r="H1369" s="912" t="s">
        <v>7619</v>
      </c>
      <c r="I1369" s="1487" t="s">
        <v>7741</v>
      </c>
      <c r="J1369" s="915"/>
      <c r="K1369" s="912" t="s">
        <v>7722</v>
      </c>
      <c r="L1369" s="912" t="s">
        <v>7350</v>
      </c>
      <c r="M1369" s="912" t="s">
        <v>7723</v>
      </c>
      <c r="N1369" s="912" t="s">
        <v>7724</v>
      </c>
      <c r="O1369" s="918">
        <v>1.0</v>
      </c>
      <c r="P1369" s="912" t="s">
        <v>7725</v>
      </c>
      <c r="Q1369" s="916" t="str">
        <f t="array" ref="Q1369"> if(iserror(MATCH(V1369, 'File Links'!C:C, 0)), "N/A", HYPERLINK(INDEX('File Links'!B:B, MATCH(P1369, 'File Links'!C:C, 0))))</f>
        <v>https://drive.google.com/file/d/13IdVrs_fFWj8hYxe5OVSE67tGuCcKPct/view?usp=drivesdk</v>
      </c>
      <c r="R1369" s="912" t="s">
        <v>7742</v>
      </c>
      <c r="S1369" s="912" t="s">
        <v>7727</v>
      </c>
      <c r="T1369" s="912" t="s">
        <v>138</v>
      </c>
      <c r="U1369" s="918">
        <v>2.0</v>
      </c>
      <c r="V1369" s="912" t="s">
        <v>7728</v>
      </c>
      <c r="W1369" s="912" t="s">
        <v>209</v>
      </c>
      <c r="X1369" s="917" t="str">
        <f t="array" ref="X1369"> if(iserror(MATCH(V1369, 'File Links'!C:C, 0)), "N/A", HYPERLINK(INDEX('File Links'!B:B, MATCH(V1369, 'File Links'!C:C, 0))))</f>
        <v>https://drive.google.com/file/d/1JdFF8pu65hv5yMW8kuJKZT-omhqW3568/view?usp=drivesdk</v>
      </c>
      <c r="Y1369" s="915"/>
      <c r="Z1369" s="912" t="s">
        <v>226</v>
      </c>
      <c r="AA1369" s="912" t="s">
        <v>7729</v>
      </c>
      <c r="AB1369" s="912" t="s">
        <v>7730</v>
      </c>
      <c r="AC1369" s="912" t="s">
        <v>7729</v>
      </c>
      <c r="AD1369" s="912" t="s">
        <v>7743</v>
      </c>
      <c r="AE1369" s="912" t="s">
        <v>7732</v>
      </c>
      <c r="AF1369" s="918">
        <v>62.0</v>
      </c>
      <c r="AG1369" s="918">
        <v>1.21</v>
      </c>
      <c r="AH1369" s="912" t="s">
        <v>173</v>
      </c>
      <c r="AI1369" s="912" t="s">
        <v>7733</v>
      </c>
      <c r="AJ1369" s="918" t="s">
        <v>138</v>
      </c>
      <c r="AK1369" s="918" t="s">
        <v>138</v>
      </c>
      <c r="AL1369" s="912" t="s">
        <v>186</v>
      </c>
      <c r="AM1369" s="912" t="s">
        <v>137</v>
      </c>
      <c r="AN1369" s="912" t="s">
        <v>138</v>
      </c>
      <c r="AO1369" s="918">
        <v>152.0</v>
      </c>
      <c r="AP1369" s="1488">
        <v>-0.136</v>
      </c>
      <c r="AQ1369" s="912" t="s">
        <v>173</v>
      </c>
      <c r="AR1369" s="912" t="s">
        <v>507</v>
      </c>
      <c r="AS1369" s="918">
        <v>0.406</v>
      </c>
      <c r="AT1369" s="912" t="s">
        <v>172</v>
      </c>
      <c r="AU1369" s="912" t="s">
        <v>186</v>
      </c>
      <c r="AV1369" s="912" t="s">
        <v>137</v>
      </c>
      <c r="AW1369" s="912" t="s">
        <v>138</v>
      </c>
      <c r="AX1369" s="912" t="s">
        <v>143</v>
      </c>
      <c r="AY1369" s="61" t="str">
        <f>IFERROR(__xludf.DUMMYFUNCTION("vlookup(BB1369,importrange(""https://docs.google.com/spreadsheets/d/1d2vevQ_7D_v35q4wCQ4RpQ_IPoTwEMB9Yp6ymwlPqew/edit?gid=984458430#gid=984458430"", ""'replication success'!A:K""), 11, FAlSE)"),"#N/A")</f>
        <v>#N/A</v>
      </c>
      <c r="AZ1369" s="61" t="str">
        <f>IFERROR(__xludf.DUMMYFUNCTION("vlookup(BB1369,importrange(""https://docs.google.com/spreadsheets/d/1d2vevQ_7D_v35q4wCQ4RpQ_IPoTwEMB9Yp6ymwlPqew/edit?gid=984458430#gid=984458430"", ""'replication success'!A:M""), 12, FAlSE)"),"#N/A")</f>
        <v>#N/A</v>
      </c>
      <c r="BA1369" s="61" t="str">
        <f>IFERROR(__xludf.DUMMYFUNCTION("vlookup(BB1369,importrange(""https://docs.google.com/spreadsheets/d/1d2vevQ_7D_v35q4wCQ4RpQ_IPoTwEMB9Yp6ymwlPqew/edit?gid=984458430#gid=984458430"", ""'replication success'!A:M""), 13, FAlSE)"),"#N/A")</f>
        <v>#N/A</v>
      </c>
      <c r="BB1369" s="61" t="str">
        <f>IFERROR(__xludf.DUMMYFUNCTION("REGEXREPLACE(G1369, ""_[a-z]{1,2}$"", """")"),"curatescience34")</f>
        <v>curatescience34</v>
      </c>
      <c r="BC1369" s="911"/>
      <c r="BD1369" s="341" t="s">
        <v>692</v>
      </c>
      <c r="BE1369" s="911"/>
      <c r="BF1369" s="911"/>
      <c r="BG1369" s="911"/>
      <c r="BH1369" s="911"/>
      <c r="BI1369" s="911"/>
      <c r="BJ1369" s="911"/>
      <c r="BK1369" s="911"/>
      <c r="BL1369" s="911"/>
      <c r="BM1369" s="911"/>
      <c r="BN1369" s="911"/>
      <c r="BO1369" s="911"/>
      <c r="BP1369" s="911"/>
      <c r="BQ1369" s="911"/>
      <c r="BR1369" s="911"/>
      <c r="BS1369" s="911"/>
      <c r="BT1369" s="911"/>
      <c r="BU1369" s="911"/>
      <c r="BV1369" s="911"/>
      <c r="BW1369" s="911"/>
      <c r="BX1369" s="911"/>
      <c r="BY1369" s="911"/>
      <c r="BZ1369" s="911"/>
      <c r="CA1369" s="911"/>
      <c r="CB1369" s="911"/>
      <c r="CC1369" s="911"/>
      <c r="CD1369" s="911"/>
      <c r="CE1369" s="911"/>
      <c r="CF1369" s="911"/>
      <c r="CG1369" s="911"/>
      <c r="CH1369" s="911"/>
      <c r="CI1369" s="911"/>
      <c r="CJ1369" s="911"/>
      <c r="CK1369" s="911"/>
      <c r="CL1369" s="911"/>
      <c r="CM1369" s="911"/>
      <c r="CN1369" s="911"/>
      <c r="CO1369" s="911"/>
      <c r="CP1369" s="911"/>
      <c r="CQ1369" s="911"/>
      <c r="CR1369" s="911"/>
      <c r="CS1369" s="911"/>
      <c r="CT1369" s="911"/>
      <c r="CU1369" s="911"/>
      <c r="CV1369" s="911"/>
      <c r="CW1369" s="911"/>
      <c r="CX1369" s="911"/>
      <c r="CY1369" s="911"/>
      <c r="CZ1369" s="911"/>
      <c r="DA1369" s="911"/>
      <c r="DB1369" s="911"/>
      <c r="DC1369" s="911"/>
      <c r="DD1369" s="911"/>
      <c r="DE1369" s="911"/>
      <c r="DF1369" s="911"/>
      <c r="DG1369" s="911"/>
      <c r="DH1369" s="911"/>
      <c r="DI1369" s="911"/>
      <c r="DJ1369" s="911"/>
      <c r="DK1369" s="911"/>
      <c r="DL1369" s="911"/>
    </row>
    <row r="1370">
      <c r="A1370" s="1485">
        <v>1370.0</v>
      </c>
      <c r="B1370" s="1486" t="s">
        <v>114</v>
      </c>
      <c r="C1370" s="910" t="s">
        <v>115</v>
      </c>
      <c r="D1370" s="910" t="s">
        <v>2930</v>
      </c>
      <c r="E1370" s="911"/>
      <c r="F1370" s="915" t="s">
        <v>7744</v>
      </c>
      <c r="G1370" s="912" t="s">
        <v>7745</v>
      </c>
      <c r="H1370" s="912" t="s">
        <v>7619</v>
      </c>
      <c r="I1370" s="1487" t="s">
        <v>7741</v>
      </c>
      <c r="J1370" s="915"/>
      <c r="K1370" s="912" t="s">
        <v>7746</v>
      </c>
      <c r="L1370" s="912" t="s">
        <v>7350</v>
      </c>
      <c r="M1370" s="912" t="s">
        <v>7723</v>
      </c>
      <c r="N1370" s="912" t="s">
        <v>7724</v>
      </c>
      <c r="O1370" s="918">
        <v>1.0</v>
      </c>
      <c r="P1370" s="912" t="s">
        <v>7725</v>
      </c>
      <c r="Q1370" s="916" t="str">
        <f t="array" ref="Q1370"> if(iserror(MATCH(V1370, 'File Links'!C:C, 0)), "N/A", HYPERLINK(INDEX('File Links'!B:B, MATCH(P1370, 'File Links'!C:C, 0))))</f>
        <v>https://drive.google.com/file/d/13IdVrs_fFWj8hYxe5OVSE67tGuCcKPct/view?usp=drivesdk</v>
      </c>
      <c r="R1370" s="912" t="s">
        <v>7747</v>
      </c>
      <c r="S1370" s="912" t="s">
        <v>7727</v>
      </c>
      <c r="T1370" s="912" t="s">
        <v>138</v>
      </c>
      <c r="U1370" s="918">
        <v>3.0</v>
      </c>
      <c r="V1370" s="912" t="s">
        <v>7728</v>
      </c>
      <c r="W1370" s="912" t="s">
        <v>209</v>
      </c>
      <c r="X1370" s="917" t="str">
        <f t="array" ref="X1370"> if(iserror(MATCH(V1370, 'File Links'!C:C, 0)), "N/A", HYPERLINK(INDEX('File Links'!B:B, MATCH(V1370, 'File Links'!C:C, 0))))</f>
        <v>https://drive.google.com/file/d/1JdFF8pu65hv5yMW8kuJKZT-omhqW3568/view?usp=drivesdk</v>
      </c>
      <c r="Y1370" s="915"/>
      <c r="Z1370" s="912" t="s">
        <v>226</v>
      </c>
      <c r="AA1370" s="912" t="s">
        <v>7729</v>
      </c>
      <c r="AB1370" s="912" t="s">
        <v>7730</v>
      </c>
      <c r="AC1370" s="912" t="s">
        <v>7729</v>
      </c>
      <c r="AD1370" s="912" t="s">
        <v>7743</v>
      </c>
      <c r="AE1370" s="912" t="s">
        <v>7732</v>
      </c>
      <c r="AF1370" s="918">
        <v>62.0</v>
      </c>
      <c r="AG1370" s="918">
        <v>1.21</v>
      </c>
      <c r="AH1370" s="912" t="s">
        <v>173</v>
      </c>
      <c r="AI1370" s="912" t="s">
        <v>7733</v>
      </c>
      <c r="AJ1370" s="918" t="s">
        <v>138</v>
      </c>
      <c r="AK1370" s="915"/>
      <c r="AL1370" s="912" t="s">
        <v>186</v>
      </c>
      <c r="AM1370" s="912" t="s">
        <v>137</v>
      </c>
      <c r="AN1370" s="912" t="s">
        <v>138</v>
      </c>
      <c r="AO1370" s="918">
        <v>151.0</v>
      </c>
      <c r="AP1370" s="1488">
        <v>-0.144</v>
      </c>
      <c r="AQ1370" s="912" t="s">
        <v>173</v>
      </c>
      <c r="AR1370" s="912" t="s">
        <v>496</v>
      </c>
      <c r="AS1370" s="918" t="s">
        <v>138</v>
      </c>
      <c r="AT1370" s="915"/>
      <c r="AU1370" s="912" t="s">
        <v>186</v>
      </c>
      <c r="AV1370" s="912" t="s">
        <v>137</v>
      </c>
      <c r="AW1370" s="912" t="s">
        <v>138</v>
      </c>
      <c r="AX1370" s="912" t="s">
        <v>151</v>
      </c>
      <c r="AY1370" s="61" t="str">
        <f>IFERROR(__xludf.DUMMYFUNCTION("vlookup(BB1370,importrange(""https://docs.google.com/spreadsheets/d/1d2vevQ_7D_v35q4wCQ4RpQ_IPoTwEMB9Yp6ymwlPqew/edit?gid=984458430#gid=984458430"", ""'replication success'!A:K""), 11, FAlSE)"),"#N/A")</f>
        <v>#N/A</v>
      </c>
      <c r="AZ1370" s="61" t="str">
        <f>IFERROR(__xludf.DUMMYFUNCTION("vlookup(BB1370,importrange(""https://docs.google.com/spreadsheets/d/1d2vevQ_7D_v35q4wCQ4RpQ_IPoTwEMB9Yp6ymwlPqew/edit?gid=984458430#gid=984458430"", ""'replication success'!A:M""), 12, FAlSE)"),"#N/A")</f>
        <v>#N/A</v>
      </c>
      <c r="BA1370" s="61" t="str">
        <f>IFERROR(__xludf.DUMMYFUNCTION("vlookup(BB1370,importrange(""https://docs.google.com/spreadsheets/d/1d2vevQ_7D_v35q4wCQ4RpQ_IPoTwEMB9Yp6ymwlPqew/edit?gid=984458430#gid=984458430"", ""'replication success'!A:M""), 13, FAlSE)"),"#N/A")</f>
        <v>#N/A</v>
      </c>
      <c r="BB1370" s="61" t="str">
        <f>IFERROR(__xludf.DUMMYFUNCTION("REGEXREPLACE(G1370, ""_[a-z]{1,2}$"", """")"),"curatescience35")</f>
        <v>curatescience35</v>
      </c>
      <c r="BC1370" s="911"/>
      <c r="BD1370" s="341" t="s">
        <v>692</v>
      </c>
      <c r="BE1370" s="911"/>
      <c r="BF1370" s="911"/>
      <c r="BG1370" s="911"/>
      <c r="BH1370" s="911"/>
      <c r="BI1370" s="911"/>
      <c r="BJ1370" s="911"/>
      <c r="BK1370" s="911"/>
      <c r="BL1370" s="911"/>
      <c r="BM1370" s="911"/>
      <c r="BN1370" s="911"/>
      <c r="BO1370" s="911"/>
      <c r="BP1370" s="911"/>
      <c r="BQ1370" s="911"/>
      <c r="BR1370" s="911"/>
      <c r="BS1370" s="911"/>
      <c r="BT1370" s="911"/>
      <c r="BU1370" s="911"/>
      <c r="BV1370" s="911"/>
      <c r="BW1370" s="911"/>
      <c r="BX1370" s="911"/>
      <c r="BY1370" s="911"/>
      <c r="BZ1370" s="911"/>
      <c r="CA1370" s="911"/>
      <c r="CB1370" s="911"/>
      <c r="CC1370" s="911"/>
      <c r="CD1370" s="911"/>
      <c r="CE1370" s="911"/>
      <c r="CF1370" s="911"/>
      <c r="CG1370" s="911"/>
      <c r="CH1370" s="911"/>
      <c r="CI1370" s="911"/>
      <c r="CJ1370" s="911"/>
      <c r="CK1370" s="911"/>
      <c r="CL1370" s="911"/>
      <c r="CM1370" s="911"/>
      <c r="CN1370" s="911"/>
      <c r="CO1370" s="911"/>
      <c r="CP1370" s="911"/>
      <c r="CQ1370" s="911"/>
      <c r="CR1370" s="911"/>
      <c r="CS1370" s="911"/>
      <c r="CT1370" s="911"/>
      <c r="CU1370" s="911"/>
      <c r="CV1370" s="911"/>
      <c r="CW1370" s="911"/>
      <c r="CX1370" s="911"/>
      <c r="CY1370" s="911"/>
      <c r="CZ1370" s="911"/>
      <c r="DA1370" s="911"/>
      <c r="DB1370" s="911"/>
      <c r="DC1370" s="911"/>
      <c r="DD1370" s="911"/>
      <c r="DE1370" s="911"/>
      <c r="DF1370" s="911"/>
      <c r="DG1370" s="911"/>
      <c r="DH1370" s="911"/>
      <c r="DI1370" s="911"/>
      <c r="DJ1370" s="911"/>
      <c r="DK1370" s="911"/>
      <c r="DL1370" s="911"/>
    </row>
    <row r="1371">
      <c r="A1371" s="1504">
        <v>1371.0</v>
      </c>
      <c r="B1371" s="720" t="s">
        <v>152</v>
      </c>
      <c r="C1371" s="716" t="s">
        <v>115</v>
      </c>
      <c r="D1371" s="716" t="s">
        <v>1441</v>
      </c>
      <c r="E1371" s="697"/>
      <c r="F1371" s="720" t="s">
        <v>7744</v>
      </c>
      <c r="G1371" s="720" t="s">
        <v>7745</v>
      </c>
      <c r="H1371" s="730" t="s">
        <v>1441</v>
      </c>
      <c r="I1371" s="1505" t="s">
        <v>119</v>
      </c>
      <c r="J1371" s="1506">
        <v>45740.0</v>
      </c>
      <c r="K1371" s="717"/>
      <c r="L1371" s="720" t="s">
        <v>7350</v>
      </c>
      <c r="M1371" s="720" t="s">
        <v>7723</v>
      </c>
      <c r="N1371" s="720" t="s">
        <v>7724</v>
      </c>
      <c r="O1371" s="1497">
        <v>1.0</v>
      </c>
      <c r="P1371" s="730" t="s">
        <v>7725</v>
      </c>
      <c r="Q1371" s="1507" t="str">
        <f t="array" ref="Q1371"> if(iserror(MATCH(V1371, 'File Links'!C:C, 0)), "N/A", HYPERLINK(INDEX('File Links'!B:B, MATCH(P1371, 'File Links'!C:C, 0))))</f>
        <v>https://drive.google.com/file/d/13IdVrs_fFWj8hYxe5OVSE67tGuCcKPct/view?usp=drivesdk</v>
      </c>
      <c r="R1371" s="1508" t="s">
        <v>7747</v>
      </c>
      <c r="S1371" s="720" t="s">
        <v>7727</v>
      </c>
      <c r="T1371" s="1509"/>
      <c r="U1371" s="1510">
        <v>3.0</v>
      </c>
      <c r="V1371" s="730" t="s">
        <v>7728</v>
      </c>
      <c r="W1371" s="730" t="s">
        <v>2050</v>
      </c>
      <c r="X1371" s="1511" t="str">
        <f t="array" ref="X1371"> if(iserror(MATCH(V1371, 'File Links'!C:C, 0)), "N/A", HYPERLINK(INDEX('File Links'!B:B, MATCH(V1371, 'File Links'!C:C, 0))))</f>
        <v>https://drive.google.com/file/d/1JdFF8pu65hv5yMW8kuJKZT-omhqW3568/view?usp=drivesdk</v>
      </c>
      <c r="Y1371" s="720"/>
      <c r="Z1371" s="730" t="s">
        <v>226</v>
      </c>
      <c r="AA1371" s="720" t="s">
        <v>7734</v>
      </c>
      <c r="AB1371" s="730" t="s">
        <v>7735</v>
      </c>
      <c r="AC1371" s="730" t="s">
        <v>7748</v>
      </c>
      <c r="AD1371" s="730" t="s">
        <v>7737</v>
      </c>
      <c r="AE1371" s="730">
        <v>4.0</v>
      </c>
      <c r="AF1371" s="1505">
        <v>64.0</v>
      </c>
      <c r="AG1371" s="1505" t="s">
        <v>7738</v>
      </c>
      <c r="AH1371" s="730" t="s">
        <v>134</v>
      </c>
      <c r="AI1371" s="730" t="s">
        <v>850</v>
      </c>
      <c r="AJ1371" s="1505">
        <v>0.001</v>
      </c>
      <c r="AK1371" s="730" t="s">
        <v>135</v>
      </c>
      <c r="AL1371" s="730" t="s">
        <v>186</v>
      </c>
      <c r="AM1371" s="720" t="s">
        <v>137</v>
      </c>
      <c r="AN1371" s="720" t="s">
        <v>138</v>
      </c>
      <c r="AO1371" s="1505">
        <v>151.0</v>
      </c>
      <c r="AP1371" s="1505">
        <v>-0.144</v>
      </c>
      <c r="AQ1371" s="730" t="s">
        <v>173</v>
      </c>
      <c r="AR1371" s="730" t="s">
        <v>7749</v>
      </c>
      <c r="AS1371" s="1505">
        <v>0.38</v>
      </c>
      <c r="AT1371" s="730" t="s">
        <v>172</v>
      </c>
      <c r="AU1371" s="730" t="s">
        <v>186</v>
      </c>
      <c r="AV1371" s="720" t="s">
        <v>137</v>
      </c>
      <c r="AW1371" s="1512" t="s">
        <v>138</v>
      </c>
      <c r="AX1371" s="720" t="s">
        <v>151</v>
      </c>
      <c r="AY1371" s="61" t="str">
        <f>IFERROR(__xludf.DUMMYFUNCTION("vlookup(BB1371,importrange(""https://docs.google.com/spreadsheets/d/1d2vevQ_7D_v35q4wCQ4RpQ_IPoTwEMB9Yp6ymwlPqew/edit?gid=984458430#gid=984458430"", ""'replication success'!A:K""), 11, FAlSE)"),"#N/A")</f>
        <v>#N/A</v>
      </c>
      <c r="AZ1371" s="61" t="str">
        <f>IFERROR(__xludf.DUMMYFUNCTION("vlookup(BB1371,importrange(""https://docs.google.com/spreadsheets/d/1d2vevQ_7D_v35q4wCQ4RpQ_IPoTwEMB9Yp6ymwlPqew/edit?gid=984458430#gid=984458430"", ""'replication success'!A:M""), 12, FAlSE)"),"#N/A")</f>
        <v>#N/A</v>
      </c>
      <c r="BA1371" s="61" t="str">
        <f>IFERROR(__xludf.DUMMYFUNCTION("vlookup(BB1371,importrange(""https://docs.google.com/spreadsheets/d/1d2vevQ_7D_v35q4wCQ4RpQ_IPoTwEMB9Yp6ymwlPqew/edit?gid=984458430#gid=984458430"", ""'replication success'!A:M""), 13, FAlSE)"),"#N/A")</f>
        <v>#N/A</v>
      </c>
      <c r="BB1371" s="61" t="str">
        <f>IFERROR(__xludf.DUMMYFUNCTION("REGEXREPLACE(G1371, ""_[a-z]{1,2}$"", """")"),"curatescience35")</f>
        <v>curatescience35</v>
      </c>
      <c r="BC1371" s="697"/>
      <c r="BD1371" s="341" t="s">
        <v>692</v>
      </c>
      <c r="BE1371" s="697"/>
      <c r="BF1371" s="697"/>
      <c r="BG1371" s="697"/>
      <c r="BH1371" s="697"/>
      <c r="BI1371" s="697"/>
      <c r="BJ1371" s="697"/>
      <c r="BK1371" s="697"/>
      <c r="BL1371" s="697"/>
      <c r="BM1371" s="697"/>
      <c r="BN1371" s="697"/>
      <c r="BO1371" s="697"/>
      <c r="BP1371" s="697"/>
      <c r="BQ1371" s="697"/>
      <c r="BR1371" s="697"/>
      <c r="BS1371" s="697"/>
      <c r="BT1371" s="697"/>
      <c r="BU1371" s="697"/>
      <c r="BV1371" s="697"/>
      <c r="BW1371" s="697"/>
      <c r="BX1371" s="697"/>
      <c r="BY1371" s="697"/>
      <c r="BZ1371" s="697"/>
      <c r="CA1371" s="697"/>
      <c r="CB1371" s="697"/>
      <c r="CC1371" s="697"/>
      <c r="CD1371" s="697"/>
      <c r="CE1371" s="697"/>
      <c r="CF1371" s="697"/>
      <c r="CG1371" s="697"/>
      <c r="CH1371" s="697"/>
      <c r="CI1371" s="697"/>
      <c r="CJ1371" s="697"/>
      <c r="CK1371" s="697"/>
      <c r="CL1371" s="697"/>
      <c r="CM1371" s="697"/>
      <c r="CN1371" s="697"/>
      <c r="CO1371" s="697"/>
      <c r="CP1371" s="697"/>
      <c r="CQ1371" s="697"/>
      <c r="CR1371" s="697"/>
      <c r="CS1371" s="697"/>
      <c r="CT1371" s="697"/>
      <c r="CU1371" s="697"/>
      <c r="CV1371" s="697"/>
      <c r="CW1371" s="697"/>
      <c r="CX1371" s="697"/>
      <c r="CY1371" s="697"/>
      <c r="CZ1371" s="697"/>
      <c r="DA1371" s="697"/>
      <c r="DB1371" s="697"/>
      <c r="DC1371" s="697"/>
      <c r="DD1371" s="697"/>
      <c r="DE1371" s="697"/>
      <c r="DF1371" s="697"/>
      <c r="DG1371" s="697"/>
      <c r="DH1371" s="697"/>
      <c r="DI1371" s="697"/>
      <c r="DJ1371" s="697"/>
      <c r="DK1371" s="697"/>
      <c r="DL1371" s="697"/>
    </row>
    <row r="1372">
      <c r="A1372" s="1513">
        <v>1372.0</v>
      </c>
      <c r="B1372" s="1514" t="s">
        <v>152</v>
      </c>
      <c r="C1372" s="1515" t="s">
        <v>115</v>
      </c>
      <c r="D1372" s="1515" t="s">
        <v>1441</v>
      </c>
      <c r="E1372" s="1516"/>
      <c r="F1372" s="1514" t="s">
        <v>7744</v>
      </c>
      <c r="G1372" s="1514" t="s">
        <v>7750</v>
      </c>
      <c r="H1372" s="1517" t="s">
        <v>1441</v>
      </c>
      <c r="I1372" s="1518" t="s">
        <v>119</v>
      </c>
      <c r="J1372" s="1519">
        <v>45740.0</v>
      </c>
      <c r="K1372" s="1520"/>
      <c r="L1372" s="1514" t="s">
        <v>7350</v>
      </c>
      <c r="M1372" s="1514" t="s">
        <v>7723</v>
      </c>
      <c r="N1372" s="1514" t="s">
        <v>7724</v>
      </c>
      <c r="O1372" s="1497">
        <v>1.0</v>
      </c>
      <c r="P1372" s="1517" t="s">
        <v>7725</v>
      </c>
      <c r="Q1372" s="1521" t="str">
        <f t="array" ref="Q1372"> if(iserror(MATCH(V1372, 'File Links'!C:C, 0)), "N/A", HYPERLINK(INDEX('File Links'!B:B, MATCH(P1372, 'File Links'!C:C, 0))))</f>
        <v>https://drive.google.com/file/d/13IdVrs_fFWj8hYxe5OVSE67tGuCcKPct/view?usp=drivesdk</v>
      </c>
      <c r="R1372" s="1522" t="s">
        <v>7747</v>
      </c>
      <c r="S1372" s="1514" t="s">
        <v>7727</v>
      </c>
      <c r="T1372" s="1523"/>
      <c r="U1372" s="1524">
        <v>3.0</v>
      </c>
      <c r="V1372" s="1517" t="s">
        <v>7728</v>
      </c>
      <c r="W1372" s="1517" t="s">
        <v>2050</v>
      </c>
      <c r="X1372" s="1525" t="str">
        <f t="array" ref="X1372"> if(iserror(MATCH(V1372, 'File Links'!C:C, 0)), "N/A", HYPERLINK(INDEX('File Links'!B:B, MATCH(V1372, 'File Links'!C:C, 0))))</f>
        <v>https://drive.google.com/file/d/1JdFF8pu65hv5yMW8kuJKZT-omhqW3568/view?usp=drivesdk</v>
      </c>
      <c r="Y1372" s="1514"/>
      <c r="Z1372" s="1517" t="s">
        <v>226</v>
      </c>
      <c r="AA1372" s="1514" t="s">
        <v>7734</v>
      </c>
      <c r="AB1372" s="1517" t="s">
        <v>7735</v>
      </c>
      <c r="AC1372" s="1517" t="s">
        <v>7751</v>
      </c>
      <c r="AD1372" s="1517" t="s">
        <v>7737</v>
      </c>
      <c r="AE1372" s="1517">
        <v>4.0</v>
      </c>
      <c r="AF1372" s="1518">
        <v>64.0</v>
      </c>
      <c r="AG1372" s="1518" t="s">
        <v>7738</v>
      </c>
      <c r="AH1372" s="1517" t="s">
        <v>134</v>
      </c>
      <c r="AI1372" s="1517" t="s">
        <v>850</v>
      </c>
      <c r="AJ1372" s="1518">
        <v>0.001</v>
      </c>
      <c r="AK1372" s="1517" t="s">
        <v>135</v>
      </c>
      <c r="AL1372" s="1517" t="s">
        <v>186</v>
      </c>
      <c r="AM1372" s="1514" t="s">
        <v>137</v>
      </c>
      <c r="AN1372" s="1514" t="s">
        <v>138</v>
      </c>
      <c r="AO1372" s="1518">
        <v>151.0</v>
      </c>
      <c r="AP1372" s="1518">
        <v>-0.127</v>
      </c>
      <c r="AQ1372" s="1517" t="s">
        <v>173</v>
      </c>
      <c r="AR1372" s="1517" t="s">
        <v>7749</v>
      </c>
      <c r="AS1372" s="1518">
        <v>0.437</v>
      </c>
      <c r="AT1372" s="1517" t="s">
        <v>172</v>
      </c>
      <c r="AU1372" s="1517" t="s">
        <v>186</v>
      </c>
      <c r="AV1372" s="1514" t="s">
        <v>137</v>
      </c>
      <c r="AW1372" s="1526" t="s">
        <v>138</v>
      </c>
      <c r="AX1372" s="1514" t="s">
        <v>151</v>
      </c>
      <c r="AY1372" s="61" t="str">
        <f>IFERROR(__xludf.DUMMYFUNCTION("vlookup(BB1372,importrange(""https://docs.google.com/spreadsheets/d/1d2vevQ_7D_v35q4wCQ4RpQ_IPoTwEMB9Yp6ymwlPqew/edit?gid=984458430#gid=984458430"", ""'replication success'!A:K""), 11, FAlSE)"),"#N/A")</f>
        <v>#N/A</v>
      </c>
      <c r="AZ1372" s="61" t="str">
        <f>IFERROR(__xludf.DUMMYFUNCTION("vlookup(BB1372,importrange(""https://docs.google.com/spreadsheets/d/1d2vevQ_7D_v35q4wCQ4RpQ_IPoTwEMB9Yp6ymwlPqew/edit?gid=984458430#gid=984458430"", ""'replication success'!A:M""), 12, FAlSE)"),"#N/A")</f>
        <v>#N/A</v>
      </c>
      <c r="BA1372" s="61" t="str">
        <f>IFERROR(__xludf.DUMMYFUNCTION("vlookup(BB1372,importrange(""https://docs.google.com/spreadsheets/d/1d2vevQ_7D_v35q4wCQ4RpQ_IPoTwEMB9Yp6ymwlPqew/edit?gid=984458430#gid=984458430"", ""'replication success'!A:M""), 13, FAlSE)"),"#N/A")</f>
        <v>#N/A</v>
      </c>
      <c r="BB1372" s="61" t="str">
        <f>IFERROR(__xludf.DUMMYFUNCTION("REGEXREPLACE(G1372, ""_[a-z]{1,2}$"", """")"),"curatescience35")</f>
        <v>curatescience35</v>
      </c>
      <c r="BC1372" s="1516"/>
      <c r="BD1372" s="341" t="s">
        <v>692</v>
      </c>
      <c r="BE1372" s="1516"/>
      <c r="BF1372" s="1516"/>
      <c r="BG1372" s="1516"/>
      <c r="BH1372" s="1516"/>
      <c r="BI1372" s="1516"/>
      <c r="BJ1372" s="1516"/>
      <c r="BK1372" s="1516"/>
      <c r="BL1372" s="1516"/>
      <c r="BM1372" s="1516"/>
      <c r="BN1372" s="1516"/>
      <c r="BO1372" s="1516"/>
      <c r="BP1372" s="1516"/>
      <c r="BQ1372" s="1516"/>
      <c r="BR1372" s="1516"/>
      <c r="BS1372" s="1516"/>
      <c r="BT1372" s="1516"/>
      <c r="BU1372" s="1516"/>
      <c r="BV1372" s="1516"/>
      <c r="BW1372" s="1516"/>
      <c r="BX1372" s="1516"/>
      <c r="BY1372" s="1516"/>
      <c r="BZ1372" s="1516"/>
      <c r="CA1372" s="1516"/>
      <c r="CB1372" s="1516"/>
      <c r="CC1372" s="1516"/>
      <c r="CD1372" s="1516"/>
      <c r="CE1372" s="1516"/>
      <c r="CF1372" s="1516"/>
      <c r="CG1372" s="1516"/>
      <c r="CH1372" s="1516"/>
      <c r="CI1372" s="1516"/>
      <c r="CJ1372" s="1516"/>
      <c r="CK1372" s="1516"/>
      <c r="CL1372" s="1516"/>
      <c r="CM1372" s="1516"/>
      <c r="CN1372" s="1516"/>
      <c r="CO1372" s="1516"/>
      <c r="CP1372" s="1516"/>
      <c r="CQ1372" s="1516"/>
      <c r="CR1372" s="1516"/>
      <c r="CS1372" s="1516"/>
      <c r="CT1372" s="1516"/>
      <c r="CU1372" s="1516"/>
      <c r="CV1372" s="1516"/>
      <c r="CW1372" s="1516"/>
      <c r="CX1372" s="1516"/>
      <c r="CY1372" s="1516"/>
      <c r="CZ1372" s="1516"/>
      <c r="DA1372" s="1516"/>
      <c r="DB1372" s="1516"/>
      <c r="DC1372" s="1516"/>
      <c r="DD1372" s="1516"/>
      <c r="DE1372" s="1516"/>
      <c r="DF1372" s="1516"/>
      <c r="DG1372" s="1516"/>
      <c r="DH1372" s="1516"/>
      <c r="DI1372" s="1516"/>
      <c r="DJ1372" s="1516"/>
      <c r="DK1372" s="1516"/>
      <c r="DL1372" s="1516"/>
    </row>
    <row r="1373">
      <c r="A1373" s="1485">
        <v>1373.0</v>
      </c>
      <c r="B1373" s="1486" t="s">
        <v>114</v>
      </c>
      <c r="C1373" s="910" t="s">
        <v>115</v>
      </c>
      <c r="D1373" s="910" t="s">
        <v>2930</v>
      </c>
      <c r="E1373" s="911"/>
      <c r="F1373" s="915" t="s">
        <v>7744</v>
      </c>
      <c r="G1373" s="912" t="s">
        <v>7745</v>
      </c>
      <c r="H1373" s="912" t="s">
        <v>7619</v>
      </c>
      <c r="I1373" s="1487" t="s">
        <v>7741</v>
      </c>
      <c r="J1373" s="915"/>
      <c r="K1373" s="912" t="s">
        <v>7746</v>
      </c>
      <c r="L1373" s="912" t="s">
        <v>7350</v>
      </c>
      <c r="M1373" s="912" t="s">
        <v>7723</v>
      </c>
      <c r="N1373" s="912" t="s">
        <v>7724</v>
      </c>
      <c r="O1373" s="918">
        <v>1.0</v>
      </c>
      <c r="P1373" s="912" t="s">
        <v>7725</v>
      </c>
      <c r="Q1373" s="916" t="str">
        <f t="array" ref="Q1373"> if(iserror(MATCH(V1373, 'File Links'!C:C, 0)), "N/A", HYPERLINK(INDEX('File Links'!B:B, MATCH(P1373, 'File Links'!C:C, 0))))</f>
        <v>https://drive.google.com/file/d/13IdVrs_fFWj8hYxe5OVSE67tGuCcKPct/view?usp=drivesdk</v>
      </c>
      <c r="R1373" s="912" t="s">
        <v>7747</v>
      </c>
      <c r="S1373" s="912" t="s">
        <v>7727</v>
      </c>
      <c r="T1373" s="912" t="s">
        <v>138</v>
      </c>
      <c r="U1373" s="918">
        <v>3.0</v>
      </c>
      <c r="V1373" s="912" t="s">
        <v>7728</v>
      </c>
      <c r="W1373" s="912" t="s">
        <v>209</v>
      </c>
      <c r="X1373" s="917" t="str">
        <f t="array" ref="X1373"> if(iserror(MATCH(V1373, 'File Links'!C:C, 0)), "N/A", HYPERLINK(INDEX('File Links'!B:B, MATCH(V1373, 'File Links'!C:C, 0))))</f>
        <v>https://drive.google.com/file/d/1JdFF8pu65hv5yMW8kuJKZT-omhqW3568/view?usp=drivesdk</v>
      </c>
      <c r="Y1373" s="915"/>
      <c r="Z1373" s="912" t="s">
        <v>226</v>
      </c>
      <c r="AA1373" s="912" t="s">
        <v>7729</v>
      </c>
      <c r="AB1373" s="912" t="s">
        <v>7730</v>
      </c>
      <c r="AC1373" s="912" t="s">
        <v>7729</v>
      </c>
      <c r="AD1373" s="912" t="s">
        <v>7743</v>
      </c>
      <c r="AE1373" s="912" t="s">
        <v>7732</v>
      </c>
      <c r="AF1373" s="918">
        <v>62.0</v>
      </c>
      <c r="AG1373" s="918">
        <v>1.21</v>
      </c>
      <c r="AH1373" s="912" t="s">
        <v>173</v>
      </c>
      <c r="AI1373" s="912" t="s">
        <v>7733</v>
      </c>
      <c r="AJ1373" s="918" t="s">
        <v>138</v>
      </c>
      <c r="AK1373" s="918" t="s">
        <v>138</v>
      </c>
      <c r="AL1373" s="912" t="s">
        <v>186</v>
      </c>
      <c r="AM1373" s="912" t="s">
        <v>137</v>
      </c>
      <c r="AN1373" s="912" t="s">
        <v>138</v>
      </c>
      <c r="AO1373" s="918">
        <v>151.0</v>
      </c>
      <c r="AP1373" s="1488">
        <v>-0.144</v>
      </c>
      <c r="AQ1373" s="912" t="s">
        <v>173</v>
      </c>
      <c r="AR1373" s="912" t="s">
        <v>496</v>
      </c>
      <c r="AS1373" s="918" t="s">
        <v>138</v>
      </c>
      <c r="AT1373" s="918" t="s">
        <v>138</v>
      </c>
      <c r="AU1373" s="912" t="s">
        <v>186</v>
      </c>
      <c r="AV1373" s="912" t="s">
        <v>137</v>
      </c>
      <c r="AW1373" s="912" t="s">
        <v>138</v>
      </c>
      <c r="AX1373" s="912" t="s">
        <v>151</v>
      </c>
      <c r="AY1373" s="61" t="str">
        <f>IFERROR(__xludf.DUMMYFUNCTION("vlookup(BB1373,importrange(""https://docs.google.com/spreadsheets/d/1d2vevQ_7D_v35q4wCQ4RpQ_IPoTwEMB9Yp6ymwlPqew/edit?gid=984458430#gid=984458430"", ""'replication success'!A:K""), 11, FAlSE)"),"#N/A")</f>
        <v>#N/A</v>
      </c>
      <c r="AZ1373" s="61" t="str">
        <f>IFERROR(__xludf.DUMMYFUNCTION("vlookup(BB1373,importrange(""https://docs.google.com/spreadsheets/d/1d2vevQ_7D_v35q4wCQ4RpQ_IPoTwEMB9Yp6ymwlPqew/edit?gid=984458430#gid=984458430"", ""'replication success'!A:M""), 12, FAlSE)"),"#N/A")</f>
        <v>#N/A</v>
      </c>
      <c r="BA1373" s="61" t="str">
        <f>IFERROR(__xludf.DUMMYFUNCTION("vlookup(BB1373,importrange(""https://docs.google.com/spreadsheets/d/1d2vevQ_7D_v35q4wCQ4RpQ_IPoTwEMB9Yp6ymwlPqew/edit?gid=984458430#gid=984458430"", ""'replication success'!A:M""), 13, FAlSE)"),"#N/A")</f>
        <v>#N/A</v>
      </c>
      <c r="BB1373" s="61" t="str">
        <f>IFERROR(__xludf.DUMMYFUNCTION("REGEXREPLACE(G1373, ""_[a-z]{1,2}$"", """")"),"curatescience35")</f>
        <v>curatescience35</v>
      </c>
      <c r="BC1373" s="911"/>
      <c r="BD1373" s="341" t="s">
        <v>692</v>
      </c>
      <c r="BE1373" s="911"/>
      <c r="BF1373" s="911"/>
      <c r="BG1373" s="911"/>
      <c r="BH1373" s="911"/>
      <c r="BI1373" s="911"/>
      <c r="BJ1373" s="911"/>
      <c r="BK1373" s="911"/>
      <c r="BL1373" s="911"/>
      <c r="BM1373" s="911"/>
      <c r="BN1373" s="911"/>
      <c r="BO1373" s="911"/>
      <c r="BP1373" s="911"/>
      <c r="BQ1373" s="911"/>
      <c r="BR1373" s="911"/>
      <c r="BS1373" s="911"/>
      <c r="BT1373" s="911"/>
      <c r="BU1373" s="911"/>
      <c r="BV1373" s="911"/>
      <c r="BW1373" s="911"/>
      <c r="BX1373" s="911"/>
      <c r="BY1373" s="911"/>
      <c r="BZ1373" s="911"/>
      <c r="CA1373" s="911"/>
      <c r="CB1373" s="911"/>
      <c r="CC1373" s="911"/>
      <c r="CD1373" s="911"/>
      <c r="CE1373" s="911"/>
      <c r="CF1373" s="911"/>
      <c r="CG1373" s="911"/>
      <c r="CH1373" s="911"/>
      <c r="CI1373" s="911"/>
      <c r="CJ1373" s="911"/>
      <c r="CK1373" s="911"/>
      <c r="CL1373" s="911"/>
      <c r="CM1373" s="911"/>
      <c r="CN1373" s="911"/>
      <c r="CO1373" s="911"/>
      <c r="CP1373" s="911"/>
      <c r="CQ1373" s="911"/>
      <c r="CR1373" s="911"/>
      <c r="CS1373" s="911"/>
      <c r="CT1373" s="911"/>
      <c r="CU1373" s="911"/>
      <c r="CV1373" s="911"/>
      <c r="CW1373" s="911"/>
      <c r="CX1373" s="911"/>
      <c r="CY1373" s="911"/>
      <c r="CZ1373" s="911"/>
      <c r="DA1373" s="911"/>
      <c r="DB1373" s="911"/>
      <c r="DC1373" s="911"/>
      <c r="DD1373" s="911"/>
      <c r="DE1373" s="911"/>
      <c r="DF1373" s="911"/>
      <c r="DG1373" s="911"/>
      <c r="DH1373" s="911"/>
      <c r="DI1373" s="911"/>
      <c r="DJ1373" s="911"/>
      <c r="DK1373" s="911"/>
      <c r="DL1373" s="911"/>
    </row>
    <row r="1374">
      <c r="A1374" s="1485">
        <v>1374.0</v>
      </c>
      <c r="B1374" s="1486" t="s">
        <v>114</v>
      </c>
      <c r="C1374" s="910" t="s">
        <v>115</v>
      </c>
      <c r="D1374" s="910" t="s">
        <v>2930</v>
      </c>
      <c r="E1374" s="911"/>
      <c r="F1374" s="915" t="s">
        <v>7752</v>
      </c>
      <c r="G1374" s="912" t="s">
        <v>7753</v>
      </c>
      <c r="H1374" s="912" t="s">
        <v>7619</v>
      </c>
      <c r="I1374" s="1487" t="s">
        <v>7741</v>
      </c>
      <c r="J1374" s="915"/>
      <c r="K1374" s="912" t="s">
        <v>7746</v>
      </c>
      <c r="L1374" s="912" t="s">
        <v>7350</v>
      </c>
      <c r="M1374" s="912" t="s">
        <v>7723</v>
      </c>
      <c r="N1374" s="912" t="s">
        <v>7724</v>
      </c>
      <c r="O1374" s="918">
        <v>1.0</v>
      </c>
      <c r="P1374" s="912" t="s">
        <v>7725</v>
      </c>
      <c r="Q1374" s="916" t="str">
        <f t="array" ref="Q1374"> if(iserror(MATCH(V1374, 'File Links'!C:C, 0)), "N/A", HYPERLINK(INDEX('File Links'!B:B, MATCH(P1374, 'File Links'!C:C, 0))))</f>
        <v>https://drive.google.com/file/d/13IdVrs_fFWj8hYxe5OVSE67tGuCcKPct/view?usp=drivesdk</v>
      </c>
      <c r="R1374" s="912" t="s">
        <v>7754</v>
      </c>
      <c r="S1374" s="912" t="s">
        <v>7727</v>
      </c>
      <c r="T1374" s="912" t="s">
        <v>138</v>
      </c>
      <c r="U1374" s="918">
        <v>4.0</v>
      </c>
      <c r="V1374" s="912" t="s">
        <v>7728</v>
      </c>
      <c r="W1374" s="912" t="s">
        <v>209</v>
      </c>
      <c r="X1374" s="917" t="str">
        <f t="array" ref="X1374"> if(iserror(MATCH(V1374, 'File Links'!C:C, 0)), "N/A", HYPERLINK(INDEX('File Links'!B:B, MATCH(V1374, 'File Links'!C:C, 0))))</f>
        <v>https://drive.google.com/file/d/1JdFF8pu65hv5yMW8kuJKZT-omhqW3568/view?usp=drivesdk</v>
      </c>
      <c r="Y1374" s="915"/>
      <c r="Z1374" s="912" t="s">
        <v>226</v>
      </c>
      <c r="AA1374" s="912" t="s">
        <v>7729</v>
      </c>
      <c r="AB1374" s="912" t="s">
        <v>7730</v>
      </c>
      <c r="AC1374" s="912" t="s">
        <v>7729</v>
      </c>
      <c r="AD1374" s="912" t="s">
        <v>7743</v>
      </c>
      <c r="AE1374" s="912" t="s">
        <v>7732</v>
      </c>
      <c r="AF1374" s="918">
        <v>62.0</v>
      </c>
      <c r="AG1374" s="918">
        <v>1.21</v>
      </c>
      <c r="AH1374" s="912" t="s">
        <v>173</v>
      </c>
      <c r="AI1374" s="912" t="s">
        <v>7733</v>
      </c>
      <c r="AJ1374" s="918" t="s">
        <v>138</v>
      </c>
      <c r="AK1374" s="915"/>
      <c r="AL1374" s="912" t="s">
        <v>186</v>
      </c>
      <c r="AM1374" s="912" t="s">
        <v>137</v>
      </c>
      <c r="AN1374" s="912" t="s">
        <v>138</v>
      </c>
      <c r="AO1374" s="918">
        <v>153.0</v>
      </c>
      <c r="AP1374" s="918">
        <v>0.042</v>
      </c>
      <c r="AQ1374" s="912" t="s">
        <v>173</v>
      </c>
      <c r="AR1374" s="912" t="s">
        <v>7755</v>
      </c>
      <c r="AS1374" s="918" t="s">
        <v>138</v>
      </c>
      <c r="AT1374" s="915"/>
      <c r="AU1374" s="912" t="s">
        <v>186</v>
      </c>
      <c r="AV1374" s="912" t="s">
        <v>137</v>
      </c>
      <c r="AW1374" s="915" t="s">
        <v>138</v>
      </c>
      <c r="AX1374" s="912" t="s">
        <v>151</v>
      </c>
      <c r="AY1374" s="61" t="str">
        <f>IFERROR(__xludf.DUMMYFUNCTION("vlookup(BB1374,importrange(""https://docs.google.com/spreadsheets/d/1d2vevQ_7D_v35q4wCQ4RpQ_IPoTwEMB9Yp6ymwlPqew/edit?gid=984458430#gid=984458430"", ""'replication success'!A:K""), 11, FAlSE)"),"#N/A")</f>
        <v>#N/A</v>
      </c>
      <c r="AZ1374" s="61" t="str">
        <f>IFERROR(__xludf.DUMMYFUNCTION("vlookup(BB1374,importrange(""https://docs.google.com/spreadsheets/d/1d2vevQ_7D_v35q4wCQ4RpQ_IPoTwEMB9Yp6ymwlPqew/edit?gid=984458430#gid=984458430"", ""'replication success'!A:M""), 12, FAlSE)"),"#N/A")</f>
        <v>#N/A</v>
      </c>
      <c r="BA1374" s="61" t="str">
        <f>IFERROR(__xludf.DUMMYFUNCTION("vlookup(BB1374,importrange(""https://docs.google.com/spreadsheets/d/1d2vevQ_7D_v35q4wCQ4RpQ_IPoTwEMB9Yp6ymwlPqew/edit?gid=984458430#gid=984458430"", ""'replication success'!A:M""), 13, FAlSE)"),"#N/A")</f>
        <v>#N/A</v>
      </c>
      <c r="BB1374" s="61" t="str">
        <f>IFERROR(__xludf.DUMMYFUNCTION("REGEXREPLACE(G1374, ""_[a-z]{1,2}$"", """")"),"curatescience36")</f>
        <v>curatescience36</v>
      </c>
      <c r="BC1374" s="911"/>
      <c r="BD1374" s="341" t="s">
        <v>692</v>
      </c>
      <c r="BE1374" s="911"/>
      <c r="BF1374" s="911"/>
      <c r="BG1374" s="911"/>
      <c r="BH1374" s="911"/>
      <c r="BI1374" s="911"/>
      <c r="BJ1374" s="911"/>
      <c r="BK1374" s="911"/>
      <c r="BL1374" s="911"/>
      <c r="BM1374" s="911"/>
      <c r="BN1374" s="911"/>
      <c r="BO1374" s="911"/>
      <c r="BP1374" s="911"/>
      <c r="BQ1374" s="911"/>
      <c r="BR1374" s="911"/>
      <c r="BS1374" s="911"/>
      <c r="BT1374" s="911"/>
      <c r="BU1374" s="911"/>
      <c r="BV1374" s="911"/>
      <c r="BW1374" s="911"/>
      <c r="BX1374" s="911"/>
      <c r="BY1374" s="911"/>
      <c r="BZ1374" s="911"/>
      <c r="CA1374" s="911"/>
      <c r="CB1374" s="911"/>
      <c r="CC1374" s="911"/>
      <c r="CD1374" s="911"/>
      <c r="CE1374" s="911"/>
      <c r="CF1374" s="911"/>
      <c r="CG1374" s="911"/>
      <c r="CH1374" s="911"/>
      <c r="CI1374" s="911"/>
      <c r="CJ1374" s="911"/>
      <c r="CK1374" s="911"/>
      <c r="CL1374" s="911"/>
      <c r="CM1374" s="911"/>
      <c r="CN1374" s="911"/>
      <c r="CO1374" s="911"/>
      <c r="CP1374" s="911"/>
      <c r="CQ1374" s="911"/>
      <c r="CR1374" s="911"/>
      <c r="CS1374" s="911"/>
      <c r="CT1374" s="911"/>
      <c r="CU1374" s="911"/>
      <c r="CV1374" s="911"/>
      <c r="CW1374" s="911"/>
      <c r="CX1374" s="911"/>
      <c r="CY1374" s="911"/>
      <c r="CZ1374" s="911"/>
      <c r="DA1374" s="911"/>
      <c r="DB1374" s="911"/>
      <c r="DC1374" s="911"/>
      <c r="DD1374" s="911"/>
      <c r="DE1374" s="911"/>
      <c r="DF1374" s="911"/>
      <c r="DG1374" s="911"/>
      <c r="DH1374" s="911"/>
      <c r="DI1374" s="911"/>
      <c r="DJ1374" s="911"/>
      <c r="DK1374" s="911"/>
      <c r="DL1374" s="911"/>
    </row>
    <row r="1375">
      <c r="A1375" s="1513">
        <v>1375.0</v>
      </c>
      <c r="B1375" s="1514" t="s">
        <v>152</v>
      </c>
      <c r="C1375" s="1515" t="s">
        <v>115</v>
      </c>
      <c r="D1375" s="1515" t="s">
        <v>1441</v>
      </c>
      <c r="E1375" s="1516"/>
      <c r="F1375" s="1514" t="s">
        <v>7752</v>
      </c>
      <c r="G1375" s="1514" t="s">
        <v>7753</v>
      </c>
      <c r="H1375" s="1517" t="s">
        <v>1441</v>
      </c>
      <c r="I1375" s="1518" t="s">
        <v>119</v>
      </c>
      <c r="J1375" s="1519">
        <v>45740.0</v>
      </c>
      <c r="K1375" s="1517" t="s">
        <v>7756</v>
      </c>
      <c r="L1375" s="1514" t="s">
        <v>7350</v>
      </c>
      <c r="M1375" s="1514" t="s">
        <v>7723</v>
      </c>
      <c r="N1375" s="1514" t="s">
        <v>7724</v>
      </c>
      <c r="O1375" s="1497">
        <v>1.0</v>
      </c>
      <c r="P1375" s="1517" t="s">
        <v>7725</v>
      </c>
      <c r="Q1375" s="1521" t="str">
        <f t="array" ref="Q1375"> if(iserror(MATCH(V1375, 'File Links'!C:C, 0)), "N/A", HYPERLINK(INDEX('File Links'!B:B, MATCH(P1375, 'File Links'!C:C, 0))))</f>
        <v>https://drive.google.com/file/d/13IdVrs_fFWj8hYxe5OVSE67tGuCcKPct/view?usp=drivesdk</v>
      </c>
      <c r="R1375" s="1522" t="s">
        <v>7754</v>
      </c>
      <c r="S1375" s="1514" t="s">
        <v>7727</v>
      </c>
      <c r="T1375" s="1523"/>
      <c r="U1375" s="1524">
        <v>4.0</v>
      </c>
      <c r="V1375" s="1517" t="s">
        <v>7728</v>
      </c>
      <c r="W1375" s="1517" t="s">
        <v>7757</v>
      </c>
      <c r="X1375" s="1525" t="str">
        <f t="array" ref="X1375"> if(iserror(MATCH(V1375, 'File Links'!C:C, 0)), "N/A", HYPERLINK(INDEX('File Links'!B:B, MATCH(V1375, 'File Links'!C:C, 0))))</f>
        <v>https://drive.google.com/file/d/1JdFF8pu65hv5yMW8kuJKZT-omhqW3568/view?usp=drivesdk</v>
      </c>
      <c r="Y1375" s="1514"/>
      <c r="Z1375" s="1517" t="s">
        <v>226</v>
      </c>
      <c r="AA1375" s="1514" t="s">
        <v>7734</v>
      </c>
      <c r="AB1375" s="1517" t="s">
        <v>7735</v>
      </c>
      <c r="AC1375" s="1517" t="s">
        <v>7748</v>
      </c>
      <c r="AD1375" s="1517" t="s">
        <v>7737</v>
      </c>
      <c r="AE1375" s="1517">
        <v>4.0</v>
      </c>
      <c r="AF1375" s="1518">
        <v>64.0</v>
      </c>
      <c r="AG1375" s="1518" t="s">
        <v>7738</v>
      </c>
      <c r="AH1375" s="1517" t="s">
        <v>134</v>
      </c>
      <c r="AI1375" s="1517" t="s">
        <v>850</v>
      </c>
      <c r="AJ1375" s="1518">
        <v>0.001</v>
      </c>
      <c r="AK1375" s="1517" t="s">
        <v>135</v>
      </c>
      <c r="AL1375" s="1517" t="s">
        <v>186</v>
      </c>
      <c r="AM1375" s="1514" t="s">
        <v>137</v>
      </c>
      <c r="AN1375" s="1514" t="s">
        <v>138</v>
      </c>
      <c r="AO1375" s="1518">
        <v>153.0</v>
      </c>
      <c r="AP1375" s="1518">
        <v>0.042</v>
      </c>
      <c r="AQ1375" s="1517" t="s">
        <v>173</v>
      </c>
      <c r="AR1375" s="1517" t="s">
        <v>7758</v>
      </c>
      <c r="AS1375" s="1518">
        <v>0.789</v>
      </c>
      <c r="AT1375" s="1517" t="s">
        <v>172</v>
      </c>
      <c r="AU1375" s="1517" t="s">
        <v>186</v>
      </c>
      <c r="AV1375" s="1514" t="s">
        <v>137</v>
      </c>
      <c r="AW1375" s="1526" t="s">
        <v>138</v>
      </c>
      <c r="AX1375" s="1514" t="s">
        <v>151</v>
      </c>
      <c r="AY1375" s="61" t="str">
        <f>IFERROR(__xludf.DUMMYFUNCTION("vlookup(BB1375,importrange(""https://docs.google.com/spreadsheets/d/1d2vevQ_7D_v35q4wCQ4RpQ_IPoTwEMB9Yp6ymwlPqew/edit?gid=984458430#gid=984458430"", ""'replication success'!A:K""), 11, FAlSE)"),"#N/A")</f>
        <v>#N/A</v>
      </c>
      <c r="AZ1375" s="61" t="str">
        <f>IFERROR(__xludf.DUMMYFUNCTION("vlookup(BB1375,importrange(""https://docs.google.com/spreadsheets/d/1d2vevQ_7D_v35q4wCQ4RpQ_IPoTwEMB9Yp6ymwlPqew/edit?gid=984458430#gid=984458430"", ""'replication success'!A:M""), 12, FAlSE)"),"#N/A")</f>
        <v>#N/A</v>
      </c>
      <c r="BA1375" s="61" t="str">
        <f>IFERROR(__xludf.DUMMYFUNCTION("vlookup(BB1375,importrange(""https://docs.google.com/spreadsheets/d/1d2vevQ_7D_v35q4wCQ4RpQ_IPoTwEMB9Yp6ymwlPqew/edit?gid=984458430#gid=984458430"", ""'replication success'!A:M""), 13, FAlSE)"),"#N/A")</f>
        <v>#N/A</v>
      </c>
      <c r="BB1375" s="61" t="str">
        <f>IFERROR(__xludf.DUMMYFUNCTION("REGEXREPLACE(G1375, ""_[a-z]{1,2}$"", """")"),"curatescience36")</f>
        <v>curatescience36</v>
      </c>
      <c r="BC1375" s="1516"/>
      <c r="BD1375" s="341" t="s">
        <v>692</v>
      </c>
      <c r="BE1375" s="1516"/>
      <c r="BF1375" s="1516"/>
      <c r="BG1375" s="1516"/>
      <c r="BH1375" s="1516"/>
      <c r="BI1375" s="1516"/>
      <c r="BJ1375" s="1516"/>
      <c r="BK1375" s="1516"/>
      <c r="BL1375" s="1516"/>
      <c r="BM1375" s="1516"/>
      <c r="BN1375" s="1516"/>
      <c r="BO1375" s="1516"/>
      <c r="BP1375" s="1516"/>
      <c r="BQ1375" s="1516"/>
      <c r="BR1375" s="1516"/>
      <c r="BS1375" s="1516"/>
      <c r="BT1375" s="1516"/>
      <c r="BU1375" s="1516"/>
      <c r="BV1375" s="1516"/>
      <c r="BW1375" s="1516"/>
      <c r="BX1375" s="1516"/>
      <c r="BY1375" s="1516"/>
      <c r="BZ1375" s="1516"/>
      <c r="CA1375" s="1516"/>
      <c r="CB1375" s="1516"/>
      <c r="CC1375" s="1516"/>
      <c r="CD1375" s="1516"/>
      <c r="CE1375" s="1516"/>
      <c r="CF1375" s="1516"/>
      <c r="CG1375" s="1516"/>
      <c r="CH1375" s="1516"/>
      <c r="CI1375" s="1516"/>
      <c r="CJ1375" s="1516"/>
      <c r="CK1375" s="1516"/>
      <c r="CL1375" s="1516"/>
      <c r="CM1375" s="1516"/>
      <c r="CN1375" s="1516"/>
      <c r="CO1375" s="1516"/>
      <c r="CP1375" s="1516"/>
      <c r="CQ1375" s="1516"/>
      <c r="CR1375" s="1516"/>
      <c r="CS1375" s="1516"/>
      <c r="CT1375" s="1516"/>
      <c r="CU1375" s="1516"/>
      <c r="CV1375" s="1516"/>
      <c r="CW1375" s="1516"/>
      <c r="CX1375" s="1516"/>
      <c r="CY1375" s="1516"/>
      <c r="CZ1375" s="1516"/>
      <c r="DA1375" s="1516"/>
      <c r="DB1375" s="1516"/>
      <c r="DC1375" s="1516"/>
      <c r="DD1375" s="1516"/>
      <c r="DE1375" s="1516"/>
      <c r="DF1375" s="1516"/>
      <c r="DG1375" s="1516"/>
      <c r="DH1375" s="1516"/>
      <c r="DI1375" s="1516"/>
      <c r="DJ1375" s="1516"/>
      <c r="DK1375" s="1516"/>
      <c r="DL1375" s="1516"/>
    </row>
    <row r="1376">
      <c r="A1376" s="44">
        <v>1376.0</v>
      </c>
      <c r="B1376" s="129" t="s">
        <v>152</v>
      </c>
      <c r="C1376" s="62" t="s">
        <v>115</v>
      </c>
      <c r="D1376" s="62" t="s">
        <v>1234</v>
      </c>
      <c r="F1376" s="159" t="s">
        <v>7759</v>
      </c>
      <c r="G1376" s="159" t="s">
        <v>7760</v>
      </c>
      <c r="H1376" s="159" t="s">
        <v>7761</v>
      </c>
      <c r="I1376" s="151" t="s">
        <v>7762</v>
      </c>
      <c r="J1376" s="170">
        <v>45736.0</v>
      </c>
      <c r="K1376" s="159" t="s">
        <v>7763</v>
      </c>
      <c r="L1376" s="159" t="s">
        <v>7764</v>
      </c>
      <c r="M1376" s="151" t="s">
        <v>7765</v>
      </c>
      <c r="N1376" s="159" t="s">
        <v>7766</v>
      </c>
      <c r="O1376" s="156">
        <v>3.0</v>
      </c>
      <c r="P1376" s="382" t="s">
        <v>7767</v>
      </c>
      <c r="Q1376" s="108" t="str">
        <f t="array" ref="Q1376"> if(iserror(MATCH(V1376, 'File Links'!C:C, 0)), "N/A", HYPERLINK(INDEX('File Links'!B:B, MATCH(P1376, 'File Links'!C:C, 0))))</f>
        <v>N/A</v>
      </c>
      <c r="R1376" s="159" t="s">
        <v>7768</v>
      </c>
      <c r="S1376" s="159" t="s">
        <v>7769</v>
      </c>
      <c r="T1376" s="159" t="s">
        <v>138</v>
      </c>
      <c r="U1376" s="156">
        <v>1.0</v>
      </c>
      <c r="V1376" s="309" t="s">
        <v>138</v>
      </c>
      <c r="W1376" s="159" t="s">
        <v>7770</v>
      </c>
      <c r="X1376" s="49" t="str">
        <f t="array" ref="X1376"> if(iserror(MATCH(V1376, 'File Links'!C:C, 0)), "N/A", HYPERLINK(INDEX('File Links'!B:B, MATCH(V1376, 'File Links'!C:C, 0))))</f>
        <v>N/A</v>
      </c>
      <c r="Y1376" s="159"/>
      <c r="Z1376" s="159" t="s">
        <v>226</v>
      </c>
      <c r="AA1376" s="159" t="s">
        <v>7771</v>
      </c>
      <c r="AB1376" s="159" t="s">
        <v>138</v>
      </c>
      <c r="AC1376" s="159" t="s">
        <v>7772</v>
      </c>
      <c r="AD1376" s="159" t="s">
        <v>7773</v>
      </c>
      <c r="AE1376" s="156">
        <v>2.0</v>
      </c>
      <c r="AF1376" s="156">
        <v>32.0</v>
      </c>
      <c r="AG1376" s="156">
        <v>0.77</v>
      </c>
      <c r="AH1376" s="159" t="s">
        <v>2805</v>
      </c>
      <c r="AI1376" s="159" t="s">
        <v>7774</v>
      </c>
      <c r="AJ1376" s="864">
        <v>0.03</v>
      </c>
      <c r="AK1376" s="159" t="s">
        <v>172</v>
      </c>
      <c r="AL1376" s="159" t="s">
        <v>186</v>
      </c>
      <c r="AM1376" s="159" t="s">
        <v>137</v>
      </c>
      <c r="AN1376" s="159" t="s">
        <v>138</v>
      </c>
      <c r="AO1376" s="156">
        <v>210.0</v>
      </c>
      <c r="AP1376" s="1479">
        <v>0.095</v>
      </c>
      <c r="AQ1376" s="159" t="s">
        <v>2805</v>
      </c>
      <c r="AR1376" s="159" t="s">
        <v>7775</v>
      </c>
      <c r="AS1376" s="156">
        <v>0.63</v>
      </c>
      <c r="AT1376" s="159" t="s">
        <v>172</v>
      </c>
      <c r="AU1376" s="159" t="s">
        <v>186</v>
      </c>
      <c r="AV1376" s="159" t="s">
        <v>137</v>
      </c>
      <c r="AW1376" s="159" t="s">
        <v>138</v>
      </c>
      <c r="AX1376" s="159" t="s">
        <v>151</v>
      </c>
      <c r="AY1376" s="61" t="str">
        <f>IFERROR(__xludf.DUMMYFUNCTION("vlookup(BB1376,importrange(""https://docs.google.com/spreadsheets/d/1d2vevQ_7D_v35q4wCQ4RpQ_IPoTwEMB9Yp6ymwlPqew/edit?gid=984458430#gid=984458430"", ""'replication success'!A:K""), 11, FAlSE)"),"failed")</f>
        <v>failed</v>
      </c>
      <c r="AZ1376" s="61" t="str">
        <f>IFERROR(__xludf.DUMMYFUNCTION("vlookup(BB1376,importrange(""https://docs.google.com/spreadsheets/d/1d2vevQ_7D_v35q4wCQ4RpQ_IPoTwEMB9Yp6ymwlPqew/edit?gid=984458430#gid=984458430"", ""'replication success'!A:M""), 12, FAlSE)"),"Despite larger samples and thus greater power to 
detect effects, both studies failed to replicate the original work of Zhong and 
Liljenquist (2006)")</f>
        <v>Despite larger samples and thus greater power to 
detect effects, both studies failed to replicate the original work of Zhong and 
Liljenquist (2006)</v>
      </c>
      <c r="BA1376" s="61" t="str">
        <f>IFERROR(__xludf.DUMMYFUNCTION("vlookup(BB1376,importrange(""https://docs.google.com/spreadsheets/d/1d2vevQ_7D_v35q4wCQ4RpQ_IPoTwEMB9Yp6ymwlPqew/edit?gid=984458430#gid=984458430"", ""'replication success'!A:M""), 13, FAlSE)"),"abstract")</f>
        <v>abstract</v>
      </c>
      <c r="BB1376" s="61" t="str">
        <f>IFERROR(__xludf.DUMMYFUNCTION("REGEXREPLACE(G1376, ""_[a-z]{1,2}$"", """")"),"curatescience37")</f>
        <v>curatescience37</v>
      </c>
      <c r="BC1376" s="68"/>
      <c r="BD1376" s="62" t="s">
        <v>144</v>
      </c>
    </row>
    <row r="1377">
      <c r="A1377" s="44">
        <v>1377.0</v>
      </c>
      <c r="B1377" s="129" t="s">
        <v>114</v>
      </c>
      <c r="C1377" s="62" t="s">
        <v>115</v>
      </c>
      <c r="D1377" s="62" t="s">
        <v>1458</v>
      </c>
      <c r="F1377" s="159" t="s">
        <v>7759</v>
      </c>
      <c r="G1377" s="159" t="s">
        <v>7760</v>
      </c>
      <c r="H1377" s="159" t="s">
        <v>1518</v>
      </c>
      <c r="I1377" s="152">
        <v>45714.0</v>
      </c>
      <c r="J1377" s="170">
        <v>45736.0</v>
      </c>
      <c r="K1377" s="159" t="s">
        <v>7776</v>
      </c>
      <c r="L1377" s="159" t="s">
        <v>7764</v>
      </c>
      <c r="M1377" s="151" t="s">
        <v>7765</v>
      </c>
      <c r="N1377" s="159" t="s">
        <v>7766</v>
      </c>
      <c r="O1377" s="156">
        <v>3.0</v>
      </c>
      <c r="P1377" s="159" t="s">
        <v>7767</v>
      </c>
      <c r="Q1377" s="108" t="str">
        <f t="array" ref="Q1377"> if(iserror(MATCH(V1377, 'File Links'!C:C, 0)), "N/A", HYPERLINK(INDEX('File Links'!B:B, MATCH(P1377, 'File Links'!C:C, 0))))</f>
        <v>N/A</v>
      </c>
      <c r="R1377" s="159" t="s">
        <v>7768</v>
      </c>
      <c r="S1377" s="159" t="s">
        <v>7769</v>
      </c>
      <c r="T1377" s="159" t="s">
        <v>138</v>
      </c>
      <c r="U1377" s="156">
        <v>1.0</v>
      </c>
      <c r="V1377" s="151" t="s">
        <v>138</v>
      </c>
      <c r="W1377" s="159" t="s">
        <v>7777</v>
      </c>
      <c r="X1377" s="49" t="str">
        <f t="array" ref="X1377"> if(iserror(MATCH(V1377, 'File Links'!C:C, 0)), "N/A", HYPERLINK(INDEX('File Links'!B:B, MATCH(V1377, 'File Links'!C:C, 0))))</f>
        <v>N/A</v>
      </c>
      <c r="Y1377" s="159"/>
      <c r="Z1377" s="159" t="s">
        <v>226</v>
      </c>
      <c r="AA1377" s="159" t="s">
        <v>7771</v>
      </c>
      <c r="AB1377" s="159" t="s">
        <v>7778</v>
      </c>
      <c r="AC1377" s="159" t="s">
        <v>7772</v>
      </c>
      <c r="AD1377" s="159" t="s">
        <v>7779</v>
      </c>
      <c r="AE1377" s="156">
        <v>2.0</v>
      </c>
      <c r="AF1377" s="156">
        <v>32.0</v>
      </c>
      <c r="AG1377" s="159" t="s">
        <v>7780</v>
      </c>
      <c r="AH1377" s="159" t="s">
        <v>134</v>
      </c>
      <c r="AI1377" s="159" t="s">
        <v>2771</v>
      </c>
      <c r="AJ1377" s="156">
        <v>0.03</v>
      </c>
      <c r="AK1377" s="159" t="s">
        <v>172</v>
      </c>
      <c r="AL1377" s="159" t="s">
        <v>186</v>
      </c>
      <c r="AM1377" s="159" t="s">
        <v>137</v>
      </c>
      <c r="AN1377" s="159" t="s">
        <v>138</v>
      </c>
      <c r="AO1377" s="156">
        <v>210.0</v>
      </c>
      <c r="AP1377" s="1527" t="s">
        <v>7781</v>
      </c>
      <c r="AQ1377" s="159" t="s">
        <v>134</v>
      </c>
      <c r="AR1377" s="159" t="s">
        <v>882</v>
      </c>
      <c r="AS1377" s="156">
        <v>0.63</v>
      </c>
      <c r="AT1377" s="159" t="s">
        <v>172</v>
      </c>
      <c r="AU1377" s="159" t="s">
        <v>186</v>
      </c>
      <c r="AV1377" s="159" t="s">
        <v>137</v>
      </c>
      <c r="AW1377" s="159" t="s">
        <v>138</v>
      </c>
      <c r="AX1377" s="159" t="s">
        <v>151</v>
      </c>
      <c r="AY1377" s="61" t="str">
        <f>IFERROR(__xludf.DUMMYFUNCTION("vlookup(BB1377,importrange(""https://docs.google.com/spreadsheets/d/1d2vevQ_7D_v35q4wCQ4RpQ_IPoTwEMB9Yp6ymwlPqew/edit?gid=984458430#gid=984458430"", ""'replication success'!A:K""), 11, FAlSE)"),"failed")</f>
        <v>failed</v>
      </c>
      <c r="AZ1377" s="61" t="str">
        <f>IFERROR(__xludf.DUMMYFUNCTION("vlookup(BB1377,importrange(""https://docs.google.com/spreadsheets/d/1d2vevQ_7D_v35q4wCQ4RpQ_IPoTwEMB9Yp6ymwlPqew/edit?gid=984458430#gid=984458430"", ""'replication success'!A:M""), 12, FAlSE)"),"Despite larger samples and thus greater power to 
detect effects, both studies failed to replicate the original work of Zhong and 
Liljenquist (2006)")</f>
        <v>Despite larger samples and thus greater power to 
detect effects, both studies failed to replicate the original work of Zhong and 
Liljenquist (2006)</v>
      </c>
      <c r="BA1377" s="61" t="str">
        <f>IFERROR(__xludf.DUMMYFUNCTION("vlookup(BB1377,importrange(""https://docs.google.com/spreadsheets/d/1d2vevQ_7D_v35q4wCQ4RpQ_IPoTwEMB9Yp6ymwlPqew/edit?gid=984458430#gid=984458430"", ""'replication success'!A:M""), 13, FAlSE)"),"abstract")</f>
        <v>abstract</v>
      </c>
      <c r="BB1377" s="61" t="str">
        <f>IFERROR(__xludf.DUMMYFUNCTION("REGEXREPLACE(G1377, ""_[a-z]{1,2}$"", """")"),"curatescience37")</f>
        <v>curatescience37</v>
      </c>
      <c r="BD1377" s="62" t="s">
        <v>144</v>
      </c>
    </row>
    <row r="1378">
      <c r="A1378" s="44">
        <v>1378.0</v>
      </c>
      <c r="B1378" s="129" t="s">
        <v>152</v>
      </c>
      <c r="C1378" s="62" t="s">
        <v>115</v>
      </c>
      <c r="D1378" s="62" t="s">
        <v>1234</v>
      </c>
      <c r="F1378" s="159" t="s">
        <v>7782</v>
      </c>
      <c r="G1378" s="159" t="s">
        <v>7783</v>
      </c>
      <c r="H1378" s="159" t="s">
        <v>7761</v>
      </c>
      <c r="I1378" s="151" t="s">
        <v>7762</v>
      </c>
      <c r="J1378" s="170">
        <v>45736.0</v>
      </c>
      <c r="K1378" s="151" t="s">
        <v>7784</v>
      </c>
      <c r="L1378" s="159" t="s">
        <v>7350</v>
      </c>
      <c r="M1378" s="151" t="s">
        <v>7765</v>
      </c>
      <c r="N1378" s="159" t="s">
        <v>7766</v>
      </c>
      <c r="O1378" s="156">
        <v>1.0</v>
      </c>
      <c r="P1378" s="382" t="s">
        <v>7767</v>
      </c>
      <c r="Q1378" s="52" t="str">
        <f t="array" ref="Q1378"> if(iserror(MATCH(V1378, 'File Links'!C:C, 0)), "N/A", HYPERLINK(INDEX('File Links'!B:B, MATCH(P1378, 'File Links'!C:C, 0))))</f>
        <v>https://drive.google.com/file/d/1w2KBBoT3U7JrwQsTrJduC-AS9fihTDq0/view?usp=drivesdk</v>
      </c>
      <c r="R1378" s="159" t="s">
        <v>7785</v>
      </c>
      <c r="S1378" s="159" t="s">
        <v>7786</v>
      </c>
      <c r="T1378" s="159" t="s">
        <v>138</v>
      </c>
      <c r="U1378" s="156">
        <v>1.0</v>
      </c>
      <c r="V1378" s="382" t="s">
        <v>7787</v>
      </c>
      <c r="W1378" s="159" t="s">
        <v>7788</v>
      </c>
      <c r="X1378" s="54" t="str">
        <f t="array" ref="X1378"> if(iserror(MATCH(V1378, 'File Links'!C:C, 0)), "N/A", HYPERLINK(INDEX('File Links'!B:B, MATCH(V1378, 'File Links'!C:C, 0))))</f>
        <v>https://drive.google.com/file/d/1G4tP3z0FT61HHKi1B51ImyPr28TywEAv/view?usp=drivesdk</v>
      </c>
      <c r="Y1378" s="159"/>
      <c r="Z1378" s="159" t="s">
        <v>226</v>
      </c>
      <c r="AA1378" s="159" t="s">
        <v>7771</v>
      </c>
      <c r="AB1378" s="159" t="s">
        <v>7789</v>
      </c>
      <c r="AC1378" s="159" t="s">
        <v>7772</v>
      </c>
      <c r="AD1378" s="129" t="s">
        <v>7790</v>
      </c>
      <c r="AE1378" s="156">
        <v>1.0</v>
      </c>
      <c r="AF1378" s="156">
        <v>32.0</v>
      </c>
      <c r="AG1378" s="151" t="s">
        <v>7791</v>
      </c>
      <c r="AH1378" s="159" t="s">
        <v>134</v>
      </c>
      <c r="AI1378" s="159" t="s">
        <v>2771</v>
      </c>
      <c r="AJ1378" s="156">
        <v>0.04</v>
      </c>
      <c r="AK1378" s="159" t="s">
        <v>172</v>
      </c>
      <c r="AL1378" s="159" t="s">
        <v>186</v>
      </c>
      <c r="AM1378" s="159" t="s">
        <v>137</v>
      </c>
      <c r="AN1378" s="159" t="s">
        <v>138</v>
      </c>
      <c r="AO1378" s="156">
        <v>47.0</v>
      </c>
      <c r="AP1378" s="1479">
        <v>0.14</v>
      </c>
      <c r="AQ1378" s="159" t="s">
        <v>7792</v>
      </c>
      <c r="AR1378" s="159" t="s">
        <v>882</v>
      </c>
      <c r="AS1378" s="159" t="s">
        <v>138</v>
      </c>
      <c r="AT1378" s="159" t="s">
        <v>172</v>
      </c>
      <c r="AU1378" s="159" t="s">
        <v>186</v>
      </c>
      <c r="AV1378" s="159" t="s">
        <v>137</v>
      </c>
      <c r="AW1378" s="159" t="s">
        <v>138</v>
      </c>
      <c r="AX1378" s="159" t="s">
        <v>143</v>
      </c>
      <c r="AY1378" s="61" t="str">
        <f>IFERROR(__xludf.DUMMYFUNCTION("vlookup(BB1378,importrange(""https://docs.google.com/spreadsheets/d/1d2vevQ_7D_v35q4wCQ4RpQ_IPoTwEMB9Yp6ymwlPqew/edit?gid=984458430#gid=984458430"", ""'replication success'!A:K""), 11, FAlSE)"),"failed")</f>
        <v>failed</v>
      </c>
      <c r="AZ1378" s="61" t="str">
        <f>IFERROR(__xludf.DUMMYFUNCTION("vlookup(BB1378,importrange(""https://docs.google.com/spreadsheets/d/1d2vevQ_7D_v35q4wCQ4RpQ_IPoTwEMB9Yp6ymwlPqew/edit?gid=984458430#gid=984458430"", ""'replication success'!A:M""), 12, FAlSE)"),"We were unsuccessful in replicating the Zhong &amp; Liljenquist ́s results that supported cleansing as
a psychological mechanism for compensating guilty: results couldn’t confirm an increased mental
accessibility of cleansing-related concepts or even a grea"&amp;"ter desire for cleansing products, neither
a greater likelihood of taking antiseptic wipes.")</f>
        <v>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v>
      </c>
      <c r="BA1378" s="61" t="str">
        <f>IFERROR(__xludf.DUMMYFUNCTION("vlookup(BB1378,importrange(""https://docs.google.com/spreadsheets/d/1d2vevQ_7D_v35q4wCQ4RpQ_IPoTwEMB9Yp6ymwlPqew/edit?gid=984458430#gid=984458430"", ""'replication success'!A:M""), 13, FAlSE)"),"abstract")</f>
        <v>abstract</v>
      </c>
      <c r="BB1378" s="61" t="str">
        <f>IFERROR(__xludf.DUMMYFUNCTION("REGEXREPLACE(G1378, ""_[a-z]{1,2}$"", """")"),"curatescience38")</f>
        <v>curatescience38</v>
      </c>
      <c r="BC1378" s="68"/>
      <c r="BD1378" s="62" t="s">
        <v>144</v>
      </c>
    </row>
    <row r="1379">
      <c r="A1379" s="44">
        <v>1379.0</v>
      </c>
      <c r="B1379" s="129" t="s">
        <v>114</v>
      </c>
      <c r="C1379" s="62" t="s">
        <v>115</v>
      </c>
      <c r="D1379" s="62" t="s">
        <v>1458</v>
      </c>
      <c r="F1379" s="159" t="s">
        <v>7782</v>
      </c>
      <c r="G1379" s="159" t="s">
        <v>7783</v>
      </c>
      <c r="H1379" s="159" t="s">
        <v>1518</v>
      </c>
      <c r="I1379" s="152">
        <v>45715.0</v>
      </c>
      <c r="J1379" s="170">
        <v>45736.0</v>
      </c>
      <c r="K1379" s="159" t="s">
        <v>7793</v>
      </c>
      <c r="L1379" s="159" t="s">
        <v>7350</v>
      </c>
      <c r="M1379" s="151" t="s">
        <v>7765</v>
      </c>
      <c r="N1379" s="159" t="s">
        <v>7766</v>
      </c>
      <c r="O1379" s="156">
        <v>3.0</v>
      </c>
      <c r="P1379" s="159" t="s">
        <v>7767</v>
      </c>
      <c r="Q1379" s="52" t="str">
        <f t="array" ref="Q1379"> if(iserror(MATCH(V1379, 'File Links'!C:C, 0)), "N/A", HYPERLINK(INDEX('File Links'!B:B, MATCH(P1379, 'File Links'!C:C, 0))))</f>
        <v>https://drive.google.com/file/d/1w2KBBoT3U7JrwQsTrJduC-AS9fihTDq0/view?usp=drivesdk</v>
      </c>
      <c r="R1379" s="159" t="s">
        <v>7785</v>
      </c>
      <c r="S1379" s="159" t="s">
        <v>7786</v>
      </c>
      <c r="T1379" s="159" t="s">
        <v>138</v>
      </c>
      <c r="U1379" s="156">
        <v>3.0</v>
      </c>
      <c r="V1379" s="159" t="s">
        <v>7787</v>
      </c>
      <c r="W1379" s="159" t="s">
        <v>7794</v>
      </c>
      <c r="X1379" s="54" t="str">
        <f t="array" ref="X1379"> if(iserror(MATCH(V1379, 'File Links'!C:C, 0)), "N/A", HYPERLINK(INDEX('File Links'!B:B, MATCH(V1379, 'File Links'!C:C, 0))))</f>
        <v>https://drive.google.com/file/d/1G4tP3z0FT61HHKi1B51ImyPr28TywEAv/view?usp=drivesdk</v>
      </c>
      <c r="Y1379" s="159"/>
      <c r="Z1379" s="159" t="s">
        <v>226</v>
      </c>
      <c r="AA1379" s="159" t="s">
        <v>7771</v>
      </c>
      <c r="AB1379" s="159" t="s">
        <v>7795</v>
      </c>
      <c r="AC1379" s="159" t="s">
        <v>7772</v>
      </c>
      <c r="AD1379" s="159" t="s">
        <v>7779</v>
      </c>
      <c r="AE1379" s="156">
        <v>2.0</v>
      </c>
      <c r="AF1379" s="156">
        <v>32.0</v>
      </c>
      <c r="AG1379" s="159" t="s">
        <v>7780</v>
      </c>
      <c r="AH1379" s="159" t="s">
        <v>134</v>
      </c>
      <c r="AI1379" s="159" t="s">
        <v>2771</v>
      </c>
      <c r="AJ1379" s="156">
        <v>0.03</v>
      </c>
      <c r="AK1379" s="159" t="s">
        <v>172</v>
      </c>
      <c r="AL1379" s="159" t="s">
        <v>186</v>
      </c>
      <c r="AM1379" s="159" t="s">
        <v>137</v>
      </c>
      <c r="AN1379" s="159" t="s">
        <v>138</v>
      </c>
      <c r="AO1379" s="156">
        <v>45.0</v>
      </c>
      <c r="AP1379" s="1528" t="s">
        <v>7796</v>
      </c>
      <c r="AQ1379" s="159" t="s">
        <v>134</v>
      </c>
      <c r="AR1379" s="159" t="s">
        <v>882</v>
      </c>
      <c r="AS1379" s="159" t="s">
        <v>138</v>
      </c>
      <c r="AT1379" s="159" t="s">
        <v>172</v>
      </c>
      <c r="AU1379" s="159" t="s">
        <v>186</v>
      </c>
      <c r="AV1379" s="159" t="s">
        <v>137</v>
      </c>
      <c r="AW1379" s="159" t="s">
        <v>138</v>
      </c>
      <c r="AX1379" s="159" t="s">
        <v>143</v>
      </c>
      <c r="AY1379" s="61" t="str">
        <f>IFERROR(__xludf.DUMMYFUNCTION("vlookup(BB1379,importrange(""https://docs.google.com/spreadsheets/d/1d2vevQ_7D_v35q4wCQ4RpQ_IPoTwEMB9Yp6ymwlPqew/edit?gid=984458430#gid=984458430"", ""'replication success'!A:K""), 11, FAlSE)"),"failed")</f>
        <v>failed</v>
      </c>
      <c r="AZ1379" s="61" t="str">
        <f>IFERROR(__xludf.DUMMYFUNCTION("vlookup(BB1379,importrange(""https://docs.google.com/spreadsheets/d/1d2vevQ_7D_v35q4wCQ4RpQ_IPoTwEMB9Yp6ymwlPqew/edit?gid=984458430#gid=984458430"", ""'replication success'!A:M""), 12, FAlSE)"),"We were unsuccessful in replicating the Zhong &amp; Liljenquist ́s results that supported cleansing as
a psychological mechanism for compensating guilty: results couldn’t confirm an increased mental
accessibility of cleansing-related concepts or even a grea"&amp;"ter desire for cleansing products, neither
a greater likelihood of taking antiseptic wipes.")</f>
        <v>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v>
      </c>
      <c r="BA1379" s="61" t="str">
        <f>IFERROR(__xludf.DUMMYFUNCTION("vlookup(BB1379,importrange(""https://docs.google.com/spreadsheets/d/1d2vevQ_7D_v35q4wCQ4RpQ_IPoTwEMB9Yp6ymwlPqew/edit?gid=984458430#gid=984458430"", ""'replication success'!A:M""), 13, FAlSE)"),"abstract")</f>
        <v>abstract</v>
      </c>
      <c r="BB1379" s="61" t="str">
        <f>IFERROR(__xludf.DUMMYFUNCTION("REGEXREPLACE(G1379, ""_[a-z]{1,2}$"", """")"),"curatescience38")</f>
        <v>curatescience38</v>
      </c>
      <c r="BD1379" s="62" t="s">
        <v>144</v>
      </c>
    </row>
    <row r="1380">
      <c r="A1380" s="44">
        <v>1380.0</v>
      </c>
      <c r="B1380" s="1440" t="s">
        <v>590</v>
      </c>
      <c r="C1380" s="1440" t="s">
        <v>115</v>
      </c>
      <c r="D1380" s="1440" t="s">
        <v>2630</v>
      </c>
      <c r="E1380" s="812"/>
      <c r="F1380" s="1529" t="s">
        <v>7797</v>
      </c>
      <c r="G1380" s="1530" t="str">
        <f>F1380&amp;"_"&amp;COUNTIF($B$3:F1380, F1380)</f>
        <v>curatescience395_1</v>
      </c>
      <c r="H1380" s="1529" t="s">
        <v>7492</v>
      </c>
      <c r="I1380" s="1531">
        <v>45675.0</v>
      </c>
      <c r="J1380" s="1531">
        <v>45676.0</v>
      </c>
      <c r="K1380" s="1444"/>
      <c r="L1380" s="1444"/>
      <c r="M1380" s="1532" t="s">
        <v>7798</v>
      </c>
      <c r="N1380" s="1529" t="s">
        <v>7799</v>
      </c>
      <c r="O1380" s="1444"/>
      <c r="P1380" s="1529" t="str">
        <f t="shared" ref="P1380:P1384" si="91"> SUBSTITUTE(lower(N1380), "/", "--") &amp;  ".pdf"</f>
        <v>10.1177--01461672952111004.pdf</v>
      </c>
      <c r="Q1380" s="52" t="str">
        <f t="array" ref="Q1380"> if(iserror(MATCH(V1380, 'File Links'!C:C, 0)), "N/A", HYPERLINK(INDEX('File Links'!B:B, MATCH(P1380, 'File Links'!C:C, 0))))</f>
        <v>https://drive.google.com/file/d/1DouZu51tYUlHCJt3ED5926-nk58IBtuY/view?usp=drivesdk</v>
      </c>
      <c r="R1380" s="1529" t="s">
        <v>7496</v>
      </c>
      <c r="S1380" s="1529" t="s">
        <v>7497</v>
      </c>
      <c r="T1380" s="1533" t="s">
        <v>7498</v>
      </c>
      <c r="U1380" s="1529" t="s">
        <v>7800</v>
      </c>
      <c r="V1380" s="198" t="str">
        <f t="shared" ref="V1380:V1384" si="92"> hyperlink(vlookup(lower(S1380),#REF!, 2, FALSE), SUBSTITUTE(lower(S1380), "/", "--") &amp;  ".pdf")</f>
        <v>10.1027--1864-9335--a000178.pdf</v>
      </c>
      <c r="W1380" s="1529" t="s">
        <v>7500</v>
      </c>
      <c r="X1380" s="54" t="str">
        <f t="array" ref="X1380"> if(iserror(MATCH(V1380, 'File Links'!C:C, 0)), "N/A", HYPERLINK(INDEX('File Links'!B:B, MATCH(V1380, 'File Links'!C:C, 0))))</f>
        <v>https://drive.google.com/file/d/1fIqa3RxgdnsQkWwGnLkF4XAbM2g_WN4q/view?usp=drivesdk</v>
      </c>
      <c r="Z1380" s="244" t="s">
        <v>210</v>
      </c>
      <c r="AA1380" s="1534" t="s">
        <v>7801</v>
      </c>
      <c r="AB1380" s="1529" t="s">
        <v>7802</v>
      </c>
      <c r="AC1380" s="1534" t="s">
        <v>7803</v>
      </c>
      <c r="AD1380" s="1529" t="s">
        <v>7804</v>
      </c>
      <c r="AE1380" s="1529" t="s">
        <v>7805</v>
      </c>
      <c r="AF1380" s="1535">
        <v>80.0</v>
      </c>
      <c r="AG1380" s="1535">
        <v>1.87</v>
      </c>
      <c r="AH1380" s="1534" t="s">
        <v>173</v>
      </c>
      <c r="AI1380" s="1529" t="s">
        <v>7806</v>
      </c>
      <c r="AJ1380" s="1536">
        <v>0.001</v>
      </c>
      <c r="AK1380" s="1530" t="s">
        <v>135</v>
      </c>
      <c r="AL1380" s="1530" t="s">
        <v>136</v>
      </c>
      <c r="AM1380" s="1537" t="s">
        <v>137</v>
      </c>
      <c r="AN1380" s="330" t="s">
        <v>138</v>
      </c>
      <c r="AO1380" s="1538">
        <v>6432.0</v>
      </c>
      <c r="AP1380" s="1535">
        <v>0.42</v>
      </c>
      <c r="AQ1380" s="1529" t="s">
        <v>173</v>
      </c>
      <c r="AR1380" s="1529" t="s">
        <v>7807</v>
      </c>
      <c r="AS1380" s="1535">
        <v>0.001</v>
      </c>
      <c r="AT1380" s="1529" t="s">
        <v>135</v>
      </c>
      <c r="AU1380" s="1529" t="s">
        <v>136</v>
      </c>
      <c r="AV1380" s="1537" t="s">
        <v>137</v>
      </c>
      <c r="AW1380" s="1468" t="s">
        <v>7595</v>
      </c>
      <c r="AX1380" s="1537" t="s">
        <v>143</v>
      </c>
      <c r="AY1380" s="61" t="str">
        <f>IFERROR(__xludf.DUMMYFUNCTION("vlookup(BB1380,importrange(""https://docs.google.com/spreadsheets/d/1d2vevQ_7D_v35q4wCQ4RpQ_IPoTwEMB9Yp6ymwlPqew/edit?gid=984458430#gid=984458430"", ""'replication success'!A:K""), 11, FAlSE)"),"successful")</f>
        <v>successful</v>
      </c>
      <c r="AZ1380" s="61" t="str">
        <f>IFERROR(__xludf.DUMMYFUNCTION("vlookup(BB1380,importrange(""https://docs.google.com/spreadsheets/d/1d2vevQ_7D_v35q4wCQ4RpQ_IPoTwEMB9Yp6ymwlPqew/edit?gid=984458430#gid=984458430"",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justification"&amp;" –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380" s="61" t="str">
        <f>IFERROR(__xludf.DUMMYFUNCTION("vlookup(BB1380,importrange(""https://docs.google.com/spreadsheets/d/1d2vevQ_7D_v35q4wCQ4RpQ_IPoTwEMB9Yp6ymwlPqew/edit?gid=984458430#gid=984458430"", ""'replication success'!A:M""), 13, FAlSE)"),"abstract")</f>
        <v>abstract</v>
      </c>
      <c r="BB1380" s="61" t="str">
        <f>IFERROR(__xludf.DUMMYFUNCTION("REGEXREPLACE(G1380, ""_[a-z]{1,2}$"", """")"),"curatescience395_1")</f>
        <v>curatescience395_1</v>
      </c>
      <c r="BC1380" s="1440" t="s">
        <v>7808</v>
      </c>
      <c r="BD1380" s="812"/>
    </row>
    <row r="1381">
      <c r="A1381" s="44">
        <v>1381.0</v>
      </c>
      <c r="B1381" s="1440" t="s">
        <v>152</v>
      </c>
      <c r="C1381" s="325" t="s">
        <v>115</v>
      </c>
      <c r="D1381" s="325" t="s">
        <v>1234</v>
      </c>
      <c r="E1381" s="226"/>
      <c r="F1381" s="244" t="s">
        <v>7797</v>
      </c>
      <c r="G1381" s="412" t="s">
        <v>7809</v>
      </c>
      <c r="H1381" s="244" t="s">
        <v>6955</v>
      </c>
      <c r="I1381" s="658">
        <v>45901.0</v>
      </c>
      <c r="J1381" s="1539">
        <v>45684.0</v>
      </c>
      <c r="K1381" s="331"/>
      <c r="L1381" s="330" t="s">
        <v>7810</v>
      </c>
      <c r="M1381" s="1540" t="s">
        <v>7798</v>
      </c>
      <c r="N1381" s="244" t="s">
        <v>7799</v>
      </c>
      <c r="O1381" s="334">
        <v>1.0</v>
      </c>
      <c r="P1381" s="244" t="str">
        <f t="shared" si="91"/>
        <v>10.1177--01461672952111004.pdf</v>
      </c>
      <c r="Q1381" s="52" t="str">
        <f t="array" ref="Q1381"> if(iserror(MATCH(V1381, 'File Links'!C:C, 0)), "N/A", HYPERLINK(INDEX('File Links'!B:B, MATCH(P1381, 'File Links'!C:C, 0))))</f>
        <v>https://drive.google.com/file/d/1DouZu51tYUlHCJt3ED5926-nk58IBtuY/view?usp=drivesdk</v>
      </c>
      <c r="R1381" s="1529" t="s">
        <v>7496</v>
      </c>
      <c r="S1381" s="1529" t="s">
        <v>7497</v>
      </c>
      <c r="T1381" s="1533" t="s">
        <v>7498</v>
      </c>
      <c r="U1381" s="1529" t="s">
        <v>7800</v>
      </c>
      <c r="V1381" s="198" t="str">
        <f t="shared" si="92"/>
        <v>10.1027--1864-9335--a000178.pdf</v>
      </c>
      <c r="W1381" s="1529" t="s">
        <v>7500</v>
      </c>
      <c r="X1381" s="54" t="str">
        <f t="array" ref="X1381"> if(iserror(MATCH(V1381, 'File Links'!C:C, 0)), "N/A", HYPERLINK(INDEX('File Links'!B:B, MATCH(V1381, 'File Links'!C:C, 0))))</f>
        <v>https://drive.google.com/file/d/1fIqa3RxgdnsQkWwGnLkF4XAbM2g_WN4q/view?usp=drivesdk</v>
      </c>
      <c r="Z1381" s="244" t="s">
        <v>210</v>
      </c>
      <c r="AA1381" s="1534" t="s">
        <v>7801</v>
      </c>
      <c r="AB1381" s="1529" t="s">
        <v>7802</v>
      </c>
      <c r="AC1381" s="244" t="s">
        <v>7811</v>
      </c>
      <c r="AD1381" s="244" t="s">
        <v>7812</v>
      </c>
      <c r="AE1381" s="334">
        <v>1163.0</v>
      </c>
      <c r="AF1381" s="1192">
        <v>104.0</v>
      </c>
      <c r="AG1381" s="1192" t="s">
        <v>7813</v>
      </c>
      <c r="AH1381" s="324" t="s">
        <v>134</v>
      </c>
      <c r="AI1381" s="330" t="s">
        <v>7814</v>
      </c>
      <c r="AJ1381" s="1176">
        <v>0.01</v>
      </c>
      <c r="AK1381" s="412" t="s">
        <v>135</v>
      </c>
      <c r="AL1381" s="412" t="s">
        <v>186</v>
      </c>
      <c r="AM1381" s="331" t="s">
        <v>137</v>
      </c>
      <c r="AN1381" s="330" t="s">
        <v>138</v>
      </c>
      <c r="AO1381" s="334">
        <v>5627.0</v>
      </c>
      <c r="AP1381" s="1192">
        <v>2.2</v>
      </c>
      <c r="AQ1381" s="244" t="s">
        <v>173</v>
      </c>
      <c r="AR1381" s="330" t="s">
        <v>813</v>
      </c>
      <c r="AS1381" s="334">
        <v>0.001</v>
      </c>
      <c r="AT1381" s="244" t="s">
        <v>135</v>
      </c>
      <c r="AU1381" s="244" t="s">
        <v>186</v>
      </c>
      <c r="AV1381" s="331" t="s">
        <v>137</v>
      </c>
      <c r="AW1381" s="1468" t="s">
        <v>7595</v>
      </c>
      <c r="AX1381" s="331" t="s">
        <v>143</v>
      </c>
      <c r="AY1381" s="61" t="str">
        <f>IFERROR(__xludf.DUMMYFUNCTION("vlookup(BB1381,importrange(""https://docs.google.com/spreadsheets/d/1d2vevQ_7D_v35q4wCQ4RpQ_IPoTwEMB9Yp6ymwlPqew/edit?gid=984458430#gid=984458430"", ""'replication success'!A:K""), 11, FAlSE)"),"successful")</f>
        <v>successful</v>
      </c>
      <c r="AZ1381" s="61" t="str">
        <f>IFERROR(__xludf.DUMMYFUNCTION("vlookup(BB1381,importrange(""https://docs.google.com/spreadsheets/d/1d2vevQ_7D_v35q4wCQ4RpQ_IPoTwEMB9Yp6ymwlPqew/edit?gid=984458430#gid=984458430"",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justification"&amp;" –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381" s="61" t="str">
        <f>IFERROR(__xludf.DUMMYFUNCTION("vlookup(BB1381,importrange(""https://docs.google.com/spreadsheets/d/1d2vevQ_7D_v35q4wCQ4RpQ_IPoTwEMB9Yp6ymwlPqew/edit?gid=984458430#gid=984458430"", ""'replication success'!A:M""), 13, FAlSE)"),"abstract")</f>
        <v>abstract</v>
      </c>
      <c r="BB1381" s="61" t="str">
        <f>IFERROR(__xludf.DUMMYFUNCTION("REGEXREPLACE(G1381, ""_[a-z]{1,2}$"", """")"),"curatescience395_1")</f>
        <v>curatescience395_1</v>
      </c>
      <c r="BC1381" s="226"/>
      <c r="BD1381" s="325" t="s">
        <v>144</v>
      </c>
    </row>
    <row r="1382">
      <c r="A1382" s="44">
        <v>1382.0</v>
      </c>
      <c r="B1382" s="1440" t="s">
        <v>152</v>
      </c>
      <c r="C1382" s="325" t="s">
        <v>115</v>
      </c>
      <c r="D1382" s="325" t="s">
        <v>1234</v>
      </c>
      <c r="E1382" s="226"/>
      <c r="F1382" s="244" t="s">
        <v>7797</v>
      </c>
      <c r="G1382" s="412" t="s">
        <v>7815</v>
      </c>
      <c r="H1382" s="244" t="s">
        <v>6955</v>
      </c>
      <c r="I1382" s="658">
        <v>45901.0</v>
      </c>
      <c r="J1382" s="1539">
        <v>45684.0</v>
      </c>
      <c r="K1382" s="331"/>
      <c r="L1382" s="331"/>
      <c r="M1382" s="1540" t="s">
        <v>7798</v>
      </c>
      <c r="N1382" s="244" t="s">
        <v>7799</v>
      </c>
      <c r="O1382" s="334">
        <v>1.0</v>
      </c>
      <c r="P1382" s="244" t="str">
        <f t="shared" si="91"/>
        <v>10.1177--01461672952111004.pdf</v>
      </c>
      <c r="Q1382" s="52" t="str">
        <f t="array" ref="Q1382"> if(iserror(MATCH(V1382, 'File Links'!C:C, 0)), "N/A", HYPERLINK(INDEX('File Links'!B:B, MATCH(P1382, 'File Links'!C:C, 0))))</f>
        <v>https://drive.google.com/file/d/1DouZu51tYUlHCJt3ED5926-nk58IBtuY/view?usp=drivesdk</v>
      </c>
      <c r="R1382" s="1529" t="s">
        <v>7496</v>
      </c>
      <c r="S1382" s="1529" t="s">
        <v>7497</v>
      </c>
      <c r="T1382" s="1533" t="s">
        <v>7498</v>
      </c>
      <c r="U1382" s="1529" t="s">
        <v>7800</v>
      </c>
      <c r="V1382" s="198" t="str">
        <f t="shared" si="92"/>
        <v>10.1027--1864-9335--a000178.pdf</v>
      </c>
      <c r="W1382" s="1529" t="s">
        <v>7500</v>
      </c>
      <c r="X1382" s="54" t="str">
        <f t="array" ref="X1382"> if(iserror(MATCH(V1382, 'File Links'!C:C, 0)), "N/A", HYPERLINK(INDEX('File Links'!B:B, MATCH(V1382, 'File Links'!C:C, 0))))</f>
        <v>https://drive.google.com/file/d/1fIqa3RxgdnsQkWwGnLkF4XAbM2g_WN4q/view?usp=drivesdk</v>
      </c>
      <c r="Z1382" s="244" t="s">
        <v>210</v>
      </c>
      <c r="AA1382" s="1534" t="s">
        <v>7801</v>
      </c>
      <c r="AB1382" s="1529" t="s">
        <v>7802</v>
      </c>
      <c r="AC1382" s="244" t="s">
        <v>7816</v>
      </c>
      <c r="AD1382" s="244" t="s">
        <v>7812</v>
      </c>
      <c r="AE1382" s="334">
        <v>1163.0</v>
      </c>
      <c r="AF1382" s="1192">
        <v>104.0</v>
      </c>
      <c r="AG1382" s="1192" t="s">
        <v>7813</v>
      </c>
      <c r="AH1382" s="324" t="s">
        <v>134</v>
      </c>
      <c r="AI1382" s="330" t="s">
        <v>7814</v>
      </c>
      <c r="AJ1382" s="1176">
        <v>0.01</v>
      </c>
      <c r="AK1382" s="412" t="s">
        <v>135</v>
      </c>
      <c r="AL1382" s="412" t="s">
        <v>186</v>
      </c>
      <c r="AM1382" s="331" t="s">
        <v>137</v>
      </c>
      <c r="AN1382" s="330" t="s">
        <v>138</v>
      </c>
      <c r="AO1382" s="334">
        <v>5284.0</v>
      </c>
      <c r="AP1382" s="1192">
        <v>1.79</v>
      </c>
      <c r="AQ1382" s="244" t="s">
        <v>173</v>
      </c>
      <c r="AR1382" s="330" t="s">
        <v>813</v>
      </c>
      <c r="AS1382" s="334">
        <v>0.001</v>
      </c>
      <c r="AT1382" s="244" t="s">
        <v>135</v>
      </c>
      <c r="AU1382" s="244" t="s">
        <v>186</v>
      </c>
      <c r="AV1382" s="331" t="s">
        <v>137</v>
      </c>
      <c r="AW1382" s="1468" t="s">
        <v>7595</v>
      </c>
      <c r="AX1382" s="331" t="s">
        <v>143</v>
      </c>
      <c r="AY1382" s="61" t="str">
        <f>IFERROR(__xludf.DUMMYFUNCTION("vlookup(BB1382,importrange(""https://docs.google.com/spreadsheets/d/1d2vevQ_7D_v35q4wCQ4RpQ_IPoTwEMB9Yp6ymwlPqew/edit?gid=984458430#gid=984458430"", ""'replication success'!A:K""), 11, FAlSE)"),"successful")</f>
        <v>successful</v>
      </c>
      <c r="AZ1382" s="61" t="str">
        <f>IFERROR(__xludf.DUMMYFUNCTION("vlookup(BB1382,importrange(""https://docs.google.com/spreadsheets/d/1d2vevQ_7D_v35q4wCQ4RpQ_IPoTwEMB9Yp6ymwlPqew/edit?gid=984458430#gid=984458430"",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justification"&amp;" –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382" s="61" t="str">
        <f>IFERROR(__xludf.DUMMYFUNCTION("vlookup(BB1382,importrange(""https://docs.google.com/spreadsheets/d/1d2vevQ_7D_v35q4wCQ4RpQ_IPoTwEMB9Yp6ymwlPqew/edit?gid=984458430#gid=984458430"", ""'replication success'!A:M""), 13, FAlSE)"),"abstract")</f>
        <v>abstract</v>
      </c>
      <c r="BB1382" s="61" t="str">
        <f>IFERROR(__xludf.DUMMYFUNCTION("REGEXREPLACE(G1382, ""_[a-z]{1,2}$"", """")"),"curatescience395_1")</f>
        <v>curatescience395_1</v>
      </c>
      <c r="BC1382" s="226"/>
      <c r="BD1382" s="325" t="s">
        <v>144</v>
      </c>
    </row>
    <row r="1383">
      <c r="A1383" s="44">
        <v>1383.0</v>
      </c>
      <c r="B1383" s="1440" t="s">
        <v>152</v>
      </c>
      <c r="C1383" s="325" t="s">
        <v>115</v>
      </c>
      <c r="D1383" s="325" t="s">
        <v>1234</v>
      </c>
      <c r="E1383" s="226"/>
      <c r="F1383" s="244" t="s">
        <v>7797</v>
      </c>
      <c r="G1383" s="412" t="s">
        <v>7817</v>
      </c>
      <c r="H1383" s="244" t="s">
        <v>6955</v>
      </c>
      <c r="I1383" s="658">
        <v>45901.0</v>
      </c>
      <c r="J1383" s="1539">
        <v>45684.0</v>
      </c>
      <c r="K1383" s="331"/>
      <c r="L1383" s="330" t="s">
        <v>7818</v>
      </c>
      <c r="M1383" s="1540" t="s">
        <v>7798</v>
      </c>
      <c r="N1383" s="244" t="s">
        <v>7799</v>
      </c>
      <c r="O1383" s="334">
        <v>1.0</v>
      </c>
      <c r="P1383" s="244" t="str">
        <f t="shared" si="91"/>
        <v>10.1177--01461672952111004.pdf</v>
      </c>
      <c r="Q1383" s="52" t="str">
        <f t="array" ref="Q1383"> if(iserror(MATCH(V1383, 'File Links'!C:C, 0)), "N/A", HYPERLINK(INDEX('File Links'!B:B, MATCH(P1383, 'File Links'!C:C, 0))))</f>
        <v>https://drive.google.com/file/d/1DouZu51tYUlHCJt3ED5926-nk58IBtuY/view?usp=drivesdk</v>
      </c>
      <c r="R1383" s="1529" t="s">
        <v>7496</v>
      </c>
      <c r="S1383" s="1529" t="s">
        <v>7497</v>
      </c>
      <c r="T1383" s="1533" t="s">
        <v>7498</v>
      </c>
      <c r="U1383" s="1529" t="s">
        <v>7800</v>
      </c>
      <c r="V1383" s="198" t="str">
        <f t="shared" si="92"/>
        <v>10.1027--1864-9335--a000178.pdf</v>
      </c>
      <c r="W1383" s="1529" t="s">
        <v>7500</v>
      </c>
      <c r="X1383" s="54" t="str">
        <f t="array" ref="X1383"> if(iserror(MATCH(V1383, 'File Links'!C:C, 0)), "N/A", HYPERLINK(INDEX('File Links'!B:B, MATCH(V1383, 'File Links'!C:C, 0))))</f>
        <v>https://drive.google.com/file/d/1fIqa3RxgdnsQkWwGnLkF4XAbM2g_WN4q/view?usp=drivesdk</v>
      </c>
      <c r="Z1383" s="244" t="s">
        <v>210</v>
      </c>
      <c r="AA1383" s="1534" t="s">
        <v>7801</v>
      </c>
      <c r="AB1383" s="1529" t="s">
        <v>7802</v>
      </c>
      <c r="AC1383" s="244" t="s">
        <v>7819</v>
      </c>
      <c r="AD1383" s="244" t="s">
        <v>7812</v>
      </c>
      <c r="AE1383" s="334">
        <v>1163.0</v>
      </c>
      <c r="AF1383" s="1192">
        <v>104.0</v>
      </c>
      <c r="AG1383" s="1192" t="s">
        <v>7813</v>
      </c>
      <c r="AH1383" s="324" t="s">
        <v>134</v>
      </c>
      <c r="AI1383" s="330" t="s">
        <v>7814</v>
      </c>
      <c r="AJ1383" s="1176">
        <v>0.01</v>
      </c>
      <c r="AK1383" s="412" t="s">
        <v>135</v>
      </c>
      <c r="AL1383" s="412" t="s">
        <v>186</v>
      </c>
      <c r="AM1383" s="331" t="s">
        <v>137</v>
      </c>
      <c r="AN1383" s="330" t="s">
        <v>138</v>
      </c>
      <c r="AO1383" s="1541">
        <v>5609.0</v>
      </c>
      <c r="AP1383" s="334">
        <v>1.17</v>
      </c>
      <c r="AQ1383" s="244" t="s">
        <v>173</v>
      </c>
      <c r="AR1383" s="330" t="s">
        <v>813</v>
      </c>
      <c r="AS1383" s="334">
        <v>0.001</v>
      </c>
      <c r="AT1383" s="244" t="s">
        <v>135</v>
      </c>
      <c r="AU1383" s="244" t="s">
        <v>186</v>
      </c>
      <c r="AV1383" s="331" t="s">
        <v>137</v>
      </c>
      <c r="AW1383" s="1468" t="s">
        <v>7595</v>
      </c>
      <c r="AX1383" s="331" t="s">
        <v>143</v>
      </c>
      <c r="AY1383" s="61" t="str">
        <f>IFERROR(__xludf.DUMMYFUNCTION("vlookup(BB1383,importrange(""https://docs.google.com/spreadsheets/d/1d2vevQ_7D_v35q4wCQ4RpQ_IPoTwEMB9Yp6ymwlPqew/edit?gid=984458430#gid=984458430"", ""'replication success'!A:K""), 11, FAlSE)"),"successful")</f>
        <v>successful</v>
      </c>
      <c r="AZ1383" s="61" t="str">
        <f>IFERROR(__xludf.DUMMYFUNCTION("vlookup(BB1383,importrange(""https://docs.google.com/spreadsheets/d/1d2vevQ_7D_v35q4wCQ4RpQ_IPoTwEMB9Yp6ymwlPqew/edit?gid=984458430#gid=984458430"",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justification"&amp;" –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383" s="61" t="str">
        <f>IFERROR(__xludf.DUMMYFUNCTION("vlookup(BB1383,importrange(""https://docs.google.com/spreadsheets/d/1d2vevQ_7D_v35q4wCQ4RpQ_IPoTwEMB9Yp6ymwlPqew/edit?gid=984458430#gid=984458430"", ""'replication success'!A:M""), 13, FAlSE)"),"abstract")</f>
        <v>abstract</v>
      </c>
      <c r="BB1383" s="61" t="str">
        <f>IFERROR(__xludf.DUMMYFUNCTION("REGEXREPLACE(G1383, ""_[a-z]{1,2}$"", """")"),"curatescience395_1")</f>
        <v>curatescience395_1</v>
      </c>
      <c r="BC1383" s="325" t="s">
        <v>7820</v>
      </c>
      <c r="BD1383" s="325" t="s">
        <v>144</v>
      </c>
    </row>
    <row r="1384">
      <c r="A1384" s="44">
        <v>1384.0</v>
      </c>
      <c r="B1384" s="1440" t="s">
        <v>152</v>
      </c>
      <c r="C1384" s="325" t="s">
        <v>115</v>
      </c>
      <c r="D1384" s="325" t="s">
        <v>1234</v>
      </c>
      <c r="E1384" s="226"/>
      <c r="F1384" s="244" t="s">
        <v>7797</v>
      </c>
      <c r="G1384" s="412" t="str">
        <f>F1384&amp;"_"&amp;COUNTIF($B$3:F1384, F1384)</f>
        <v>curatescience395_5</v>
      </c>
      <c r="H1384" s="244" t="s">
        <v>6955</v>
      </c>
      <c r="I1384" s="658">
        <v>45901.0</v>
      </c>
      <c r="J1384" s="1539">
        <v>45684.0</v>
      </c>
      <c r="K1384" s="331"/>
      <c r="L1384" s="330" t="s">
        <v>7810</v>
      </c>
      <c r="M1384" s="1540" t="s">
        <v>7798</v>
      </c>
      <c r="N1384" s="244" t="s">
        <v>7799</v>
      </c>
      <c r="O1384" s="334">
        <v>1.0</v>
      </c>
      <c r="P1384" s="244" t="str">
        <f t="shared" si="91"/>
        <v>10.1177--01461672952111004.pdf</v>
      </c>
      <c r="Q1384" s="52" t="str">
        <f t="array" ref="Q1384"> if(iserror(MATCH(V1384, 'File Links'!C:C, 0)), "N/A", HYPERLINK(INDEX('File Links'!B:B, MATCH(P1384, 'File Links'!C:C, 0))))</f>
        <v>https://drive.google.com/file/d/1DouZu51tYUlHCJt3ED5926-nk58IBtuY/view?usp=drivesdk</v>
      </c>
      <c r="R1384" s="1529" t="s">
        <v>7496</v>
      </c>
      <c r="S1384" s="1529" t="s">
        <v>7497</v>
      </c>
      <c r="T1384" s="1533" t="s">
        <v>7498</v>
      </c>
      <c r="U1384" s="1529" t="s">
        <v>7800</v>
      </c>
      <c r="V1384" s="198" t="str">
        <f t="shared" si="92"/>
        <v>10.1027--1864-9335--a000178.pdf</v>
      </c>
      <c r="W1384" s="1529" t="s">
        <v>7500</v>
      </c>
      <c r="X1384" s="54" t="str">
        <f t="array" ref="X1384"> if(iserror(MATCH(V1384, 'File Links'!C:C, 0)), "N/A", HYPERLINK(INDEX('File Links'!B:B, MATCH(V1384, 'File Links'!C:C, 0))))</f>
        <v>https://drive.google.com/file/d/1fIqa3RxgdnsQkWwGnLkF4XAbM2g_WN4q/view?usp=drivesdk</v>
      </c>
      <c r="Z1384" s="244" t="s">
        <v>210</v>
      </c>
      <c r="AA1384" s="1534" t="s">
        <v>7801</v>
      </c>
      <c r="AB1384" s="1529" t="s">
        <v>7802</v>
      </c>
      <c r="AC1384" s="244" t="s">
        <v>7821</v>
      </c>
      <c r="AD1384" s="244" t="s">
        <v>7812</v>
      </c>
      <c r="AE1384" s="334">
        <v>1163.0</v>
      </c>
      <c r="AF1384" s="1192">
        <v>104.0</v>
      </c>
      <c r="AG1384" s="1192" t="s">
        <v>7813</v>
      </c>
      <c r="AH1384" s="324" t="s">
        <v>134</v>
      </c>
      <c r="AI1384" s="330" t="s">
        <v>7814</v>
      </c>
      <c r="AJ1384" s="1176">
        <v>0.01</v>
      </c>
      <c r="AK1384" s="412" t="s">
        <v>135</v>
      </c>
      <c r="AL1384" s="412" t="s">
        <v>186</v>
      </c>
      <c r="AM1384" s="331" t="s">
        <v>137</v>
      </c>
      <c r="AN1384" s="330" t="s">
        <v>138</v>
      </c>
      <c r="AO1384" s="334">
        <v>5609.0</v>
      </c>
      <c r="AP1384" s="1192">
        <v>2.4</v>
      </c>
      <c r="AQ1384" s="244" t="s">
        <v>173</v>
      </c>
      <c r="AR1384" s="330" t="s">
        <v>813</v>
      </c>
      <c r="AS1384" s="334">
        <v>0.001</v>
      </c>
      <c r="AT1384" s="244" t="s">
        <v>135</v>
      </c>
      <c r="AU1384" s="244" t="s">
        <v>186</v>
      </c>
      <c r="AV1384" s="331" t="s">
        <v>137</v>
      </c>
      <c r="AW1384" s="1468" t="s">
        <v>7595</v>
      </c>
      <c r="AX1384" s="331" t="s">
        <v>143</v>
      </c>
      <c r="AY1384" s="61" t="str">
        <f>IFERROR(__xludf.DUMMYFUNCTION("vlookup(BB1384,importrange(""https://docs.google.com/spreadsheets/d/1d2vevQ_7D_v35q4wCQ4RpQ_IPoTwEMB9Yp6ymwlPqew/edit?gid=984458430#gid=984458430"", ""'replication success'!A:K""), 11, FAlSE)"),"#N/A")</f>
        <v>#N/A</v>
      </c>
      <c r="AZ1384" s="61" t="str">
        <f>IFERROR(__xludf.DUMMYFUNCTION("vlookup(BB1384,importrange(""https://docs.google.com/spreadsheets/d/1d2vevQ_7D_v35q4wCQ4RpQ_IPoTwEMB9Yp6ymwlPqew/edit?gid=984458430#gid=984458430"", ""'replication success'!A:M""), 12, FAlSE)"),"#N/A")</f>
        <v>#N/A</v>
      </c>
      <c r="BA1384" s="61" t="str">
        <f>IFERROR(__xludf.DUMMYFUNCTION("vlookup(BB1384,importrange(""https://docs.google.com/spreadsheets/d/1d2vevQ_7D_v35q4wCQ4RpQ_IPoTwEMB9Yp6ymwlPqew/edit?gid=984458430#gid=984458430"", ""'replication success'!A:M""), 13, FAlSE)"),"#N/A")</f>
        <v>#N/A</v>
      </c>
      <c r="BB1384" s="61" t="str">
        <f>IFERROR(__xludf.DUMMYFUNCTION("REGEXREPLACE(G1384, ""_[a-z]{1,2}$"", """")"),"curatescience395_5")</f>
        <v>curatescience395_5</v>
      </c>
      <c r="BC1384" s="226"/>
      <c r="BD1384" s="325" t="s">
        <v>144</v>
      </c>
    </row>
    <row r="1385">
      <c r="A1385" s="44">
        <v>1385.0</v>
      </c>
      <c r="B1385" s="129" t="s">
        <v>523</v>
      </c>
      <c r="C1385" s="62" t="s">
        <v>115</v>
      </c>
      <c r="D1385" s="62" t="s">
        <v>1234</v>
      </c>
      <c r="F1385" s="68" t="s">
        <v>7822</v>
      </c>
      <c r="G1385" s="159" t="s">
        <v>7823</v>
      </c>
      <c r="H1385" s="159" t="s">
        <v>7761</v>
      </c>
      <c r="I1385" s="1287" t="s">
        <v>119</v>
      </c>
      <c r="J1385" s="1542">
        <v>45758.0</v>
      </c>
      <c r="K1385" s="159" t="s">
        <v>138</v>
      </c>
      <c r="L1385" s="151" t="s">
        <v>7824</v>
      </c>
      <c r="M1385" s="151" t="s">
        <v>7825</v>
      </c>
      <c r="N1385" s="159" t="s">
        <v>7766</v>
      </c>
      <c r="O1385" s="156">
        <v>2.0</v>
      </c>
      <c r="P1385" s="382" t="s">
        <v>7767</v>
      </c>
      <c r="Q1385" s="108" t="str">
        <f t="array" ref="Q1385"> if(iserror(MATCH(V1385, 'File Links'!C:C, 0)), "N/A", HYPERLINK(INDEX('File Links'!B:B, MATCH(P1385, 'File Links'!C:C, 0))))</f>
        <v>N/A</v>
      </c>
      <c r="R1385" s="159" t="s">
        <v>7826</v>
      </c>
      <c r="S1385" s="159" t="s">
        <v>138</v>
      </c>
      <c r="T1385" s="680" t="s">
        <v>7626</v>
      </c>
      <c r="U1385" s="156">
        <v>1.0</v>
      </c>
      <c r="V1385" s="382" t="s">
        <v>577</v>
      </c>
      <c r="W1385" s="1543" t="s">
        <v>164</v>
      </c>
      <c r="X1385" s="49" t="str">
        <f t="array" ref="X1385"> if(iserror(MATCH(V1385, 'File Links'!C:C, 0)), "N/A", HYPERLINK(INDEX('File Links'!B:B, MATCH(V1385, 'File Links'!C:C, 0))))</f>
        <v>N/A</v>
      </c>
      <c r="Y1385" s="159"/>
      <c r="Z1385" s="159" t="s">
        <v>226</v>
      </c>
      <c r="AA1385" s="159" t="s">
        <v>7771</v>
      </c>
      <c r="AB1385" s="1543" t="s">
        <v>7827</v>
      </c>
      <c r="AC1385" s="1543" t="s">
        <v>7828</v>
      </c>
      <c r="AD1385" s="68" t="s">
        <v>7829</v>
      </c>
      <c r="AE1385" s="156">
        <v>1.0</v>
      </c>
      <c r="AF1385" s="378">
        <v>27.0</v>
      </c>
      <c r="AG1385" s="159" t="s">
        <v>138</v>
      </c>
      <c r="AH1385" s="167" t="s">
        <v>138</v>
      </c>
      <c r="AI1385" s="159" t="s">
        <v>138</v>
      </c>
      <c r="AJ1385" s="864">
        <v>0.04</v>
      </c>
      <c r="AK1385" s="159" t="s">
        <v>172</v>
      </c>
      <c r="AL1385" s="159" t="s">
        <v>186</v>
      </c>
      <c r="AM1385" s="159" t="s">
        <v>137</v>
      </c>
      <c r="AN1385" s="159" t="s">
        <v>138</v>
      </c>
      <c r="AO1385" s="156">
        <v>235.0</v>
      </c>
      <c r="AP1385" s="156">
        <v>0.029299</v>
      </c>
      <c r="AQ1385" s="159" t="s">
        <v>2805</v>
      </c>
      <c r="AR1385" s="159" t="s">
        <v>7830</v>
      </c>
      <c r="AS1385" s="864">
        <v>0.927</v>
      </c>
      <c r="AT1385" s="159" t="s">
        <v>172</v>
      </c>
      <c r="AU1385" s="159" t="s">
        <v>136</v>
      </c>
      <c r="AV1385" s="159" t="s">
        <v>137</v>
      </c>
      <c r="AW1385" s="159" t="s">
        <v>138</v>
      </c>
      <c r="AX1385" s="159" t="s">
        <v>143</v>
      </c>
      <c r="AY1385" s="61" t="str">
        <f>IFERROR(__xludf.DUMMYFUNCTION("vlookup(BB1385,importrange(""https://docs.google.com/spreadsheets/d/1d2vevQ_7D_v35q4wCQ4RpQ_IPoTwEMB9Yp6ymwlPqew/edit?gid=984458430#gid=984458430"", ""'replication success'!A:K""), 11, FAlSE)"),"#N/A")</f>
        <v>#N/A</v>
      </c>
      <c r="AZ1385" s="61" t="str">
        <f>IFERROR(__xludf.DUMMYFUNCTION("vlookup(BB1385,importrange(""https://docs.google.com/spreadsheets/d/1d2vevQ_7D_v35q4wCQ4RpQ_IPoTwEMB9Yp6ymwlPqew/edit?gid=984458430#gid=984458430"", ""'replication success'!A:M""), 12, FAlSE)"),"#N/A")</f>
        <v>#N/A</v>
      </c>
      <c r="BA1385" s="61" t="str">
        <f>IFERROR(__xludf.DUMMYFUNCTION("vlookup(BB1385,importrange(""https://docs.google.com/spreadsheets/d/1d2vevQ_7D_v35q4wCQ4RpQ_IPoTwEMB9Yp6ymwlPqew/edit?gid=984458430#gid=984458430"", ""'replication success'!A:M""), 13, FAlSE)"),"#N/A")</f>
        <v>#N/A</v>
      </c>
      <c r="BB1385" s="61" t="str">
        <f>IFERROR(__xludf.DUMMYFUNCTION("REGEXREPLACE(G1385, ""_[a-z]{1,2}$"", """")"),"curatescience40")</f>
        <v>curatescience40</v>
      </c>
      <c r="BC1385" s="68"/>
      <c r="BD1385" s="62" t="s">
        <v>7831</v>
      </c>
    </row>
    <row r="1386">
      <c r="A1386" s="44">
        <v>1386.0</v>
      </c>
      <c r="B1386" s="129" t="s">
        <v>523</v>
      </c>
      <c r="C1386" s="62" t="s">
        <v>115</v>
      </c>
      <c r="D1386" s="62" t="s">
        <v>1458</v>
      </c>
      <c r="F1386" s="68" t="s">
        <v>7822</v>
      </c>
      <c r="G1386" s="159" t="s">
        <v>7823</v>
      </c>
      <c r="H1386" s="159" t="s">
        <v>1518</v>
      </c>
      <c r="I1386" s="1287" t="s">
        <v>119</v>
      </c>
      <c r="J1386" s="153">
        <v>45758.0</v>
      </c>
      <c r="K1386" s="159" t="s">
        <v>7832</v>
      </c>
      <c r="L1386" s="159" t="s">
        <v>7350</v>
      </c>
      <c r="M1386" s="151" t="s">
        <v>7825</v>
      </c>
      <c r="N1386" s="159" t="s">
        <v>7766</v>
      </c>
      <c r="O1386" s="156">
        <v>2.0</v>
      </c>
      <c r="P1386" s="382" t="s">
        <v>7767</v>
      </c>
      <c r="Q1386" s="108" t="str">
        <f t="array" ref="Q1386"> if(iserror(MATCH(V1386, 'File Links'!C:C, 0)), "N/A", HYPERLINK(INDEX('File Links'!B:B, MATCH(P1386, 'File Links'!C:C, 0))))</f>
        <v>N/A</v>
      </c>
      <c r="R1386" s="159" t="s">
        <v>7826</v>
      </c>
      <c r="S1386" s="159" t="s">
        <v>138</v>
      </c>
      <c r="T1386" s="680" t="s">
        <v>7626</v>
      </c>
      <c r="U1386" s="1370">
        <v>1.0</v>
      </c>
      <c r="V1386" s="382" t="s">
        <v>577</v>
      </c>
      <c r="W1386" s="1544" t="s">
        <v>164</v>
      </c>
      <c r="X1386" s="49" t="str">
        <f t="array" ref="X1386"> if(iserror(MATCH(V1386, 'File Links'!C:C, 0)), "N/A", HYPERLINK(INDEX('File Links'!B:B, MATCH(V1386, 'File Links'!C:C, 0))))</f>
        <v>N/A</v>
      </c>
      <c r="Y1386" s="159" t="s">
        <v>7833</v>
      </c>
      <c r="Z1386" s="159" t="s">
        <v>226</v>
      </c>
      <c r="AA1386" s="159" t="s">
        <v>7771</v>
      </c>
      <c r="AB1386" s="159" t="s">
        <v>7795</v>
      </c>
      <c r="AC1386" s="1543" t="s">
        <v>7828</v>
      </c>
      <c r="AD1386" s="159" t="s">
        <v>7834</v>
      </c>
      <c r="AE1386" s="1545">
        <v>45689.0</v>
      </c>
      <c r="AF1386" s="156">
        <v>27.0</v>
      </c>
      <c r="AG1386" s="159" t="s">
        <v>7835</v>
      </c>
      <c r="AH1386" s="159" t="s">
        <v>134</v>
      </c>
      <c r="AI1386" s="159" t="s">
        <v>2771</v>
      </c>
      <c r="AJ1386" s="156">
        <v>0.01</v>
      </c>
      <c r="AK1386" s="159" t="s">
        <v>172</v>
      </c>
      <c r="AL1386" s="159" t="s">
        <v>186</v>
      </c>
      <c r="AM1386" s="159" t="s">
        <v>137</v>
      </c>
      <c r="AN1386" s="159" t="s">
        <v>138</v>
      </c>
      <c r="AO1386" s="156">
        <v>335.0</v>
      </c>
      <c r="AP1386" s="156">
        <v>-0.04</v>
      </c>
      <c r="AQ1386" s="159" t="s">
        <v>215</v>
      </c>
      <c r="AR1386" s="68"/>
      <c r="AS1386" s="68"/>
      <c r="AT1386" s="68"/>
      <c r="AU1386" s="68"/>
      <c r="AV1386" s="68"/>
      <c r="AW1386" s="68"/>
      <c r="AX1386" s="159" t="s">
        <v>143</v>
      </c>
      <c r="AY1386" s="61" t="str">
        <f>IFERROR(__xludf.DUMMYFUNCTION("vlookup(BB1386,importrange(""https://docs.google.com/spreadsheets/d/1d2vevQ_7D_v35q4wCQ4RpQ_IPoTwEMB9Yp6ymwlPqew/edit?gid=984458430#gid=984458430"", ""'replication success'!A:K""), 11, FAlSE)"),"#N/A")</f>
        <v>#N/A</v>
      </c>
      <c r="AZ1386" s="61" t="str">
        <f>IFERROR(__xludf.DUMMYFUNCTION("vlookup(BB1386,importrange(""https://docs.google.com/spreadsheets/d/1d2vevQ_7D_v35q4wCQ4RpQ_IPoTwEMB9Yp6ymwlPqew/edit?gid=984458430#gid=984458430"", ""'replication success'!A:M""), 12, FAlSE)"),"#N/A")</f>
        <v>#N/A</v>
      </c>
      <c r="BA1386" s="61" t="str">
        <f>IFERROR(__xludf.DUMMYFUNCTION("vlookup(BB1386,importrange(""https://docs.google.com/spreadsheets/d/1d2vevQ_7D_v35q4wCQ4RpQ_IPoTwEMB9Yp6ymwlPqew/edit?gid=984458430#gid=984458430"", ""'replication success'!A:M""), 13, FAlSE)"),"#N/A")</f>
        <v>#N/A</v>
      </c>
      <c r="BB1386" s="61" t="str">
        <f>IFERROR(__xludf.DUMMYFUNCTION("REGEXREPLACE(G1386, ""_[a-z]{1,2}$"", """")"),"curatescience40")</f>
        <v>curatescience40</v>
      </c>
      <c r="BD1386" s="62" t="s">
        <v>7831</v>
      </c>
    </row>
    <row r="1387">
      <c r="A1387" s="44">
        <v>1387.0</v>
      </c>
      <c r="B1387" s="129" t="s">
        <v>523</v>
      </c>
      <c r="C1387" s="62" t="s">
        <v>115</v>
      </c>
      <c r="D1387" s="62" t="s">
        <v>1234</v>
      </c>
      <c r="F1387" s="68" t="s">
        <v>7836</v>
      </c>
      <c r="G1387" s="159" t="s">
        <v>7837</v>
      </c>
      <c r="H1387" s="159" t="s">
        <v>7761</v>
      </c>
      <c r="I1387" s="1287" t="s">
        <v>119</v>
      </c>
      <c r="J1387" s="1542">
        <v>45758.0</v>
      </c>
      <c r="K1387" s="159" t="s">
        <v>138</v>
      </c>
      <c r="L1387" s="159" t="s">
        <v>7350</v>
      </c>
      <c r="M1387" s="151" t="s">
        <v>7825</v>
      </c>
      <c r="N1387" s="159" t="s">
        <v>7766</v>
      </c>
      <c r="O1387" s="156">
        <v>3.0</v>
      </c>
      <c r="P1387" s="382" t="s">
        <v>7767</v>
      </c>
      <c r="Q1387" s="108" t="str">
        <f t="array" ref="Q1387"> if(iserror(MATCH(V1387, 'File Links'!C:C, 0)), "N/A", HYPERLINK(INDEX('File Links'!B:B, MATCH(P1387, 'File Links'!C:C, 0))))</f>
        <v>N/A</v>
      </c>
      <c r="R1387" s="159" t="s">
        <v>7838</v>
      </c>
      <c r="S1387" s="159" t="s">
        <v>138</v>
      </c>
      <c r="T1387" s="680" t="s">
        <v>7626</v>
      </c>
      <c r="U1387" s="156">
        <v>2.0</v>
      </c>
      <c r="V1387" s="382" t="s">
        <v>577</v>
      </c>
      <c r="W1387" s="159" t="s">
        <v>7839</v>
      </c>
      <c r="X1387" s="49" t="str">
        <f t="array" ref="X1387"> if(iserror(MATCH(V1387, 'File Links'!C:C, 0)), "N/A", HYPERLINK(INDEX('File Links'!B:B, MATCH(V1387, 'File Links'!C:C, 0))))</f>
        <v>N/A</v>
      </c>
      <c r="Y1387" s="159"/>
      <c r="Z1387" s="159" t="s">
        <v>226</v>
      </c>
      <c r="AA1387" s="159" t="s">
        <v>7771</v>
      </c>
      <c r="AB1387" s="159" t="s">
        <v>138</v>
      </c>
      <c r="AC1387" s="159" t="s">
        <v>7840</v>
      </c>
      <c r="AD1387" s="159" t="s">
        <v>7841</v>
      </c>
      <c r="AE1387" s="156">
        <v>2.0</v>
      </c>
      <c r="AF1387" s="156">
        <v>27.0</v>
      </c>
      <c r="AG1387" s="159" t="s">
        <v>138</v>
      </c>
      <c r="AH1387" s="167" t="s">
        <v>138</v>
      </c>
      <c r="AI1387" s="159" t="s">
        <v>138</v>
      </c>
      <c r="AJ1387" s="864">
        <v>0.01</v>
      </c>
      <c r="AK1387" s="159" t="s">
        <v>172</v>
      </c>
      <c r="AL1387" s="159" t="s">
        <v>136</v>
      </c>
      <c r="AM1387" s="159" t="s">
        <v>137</v>
      </c>
      <c r="AN1387" s="159" t="s">
        <v>138</v>
      </c>
      <c r="AO1387" s="156">
        <v>108.0</v>
      </c>
      <c r="AP1387" s="156">
        <v>-0.18</v>
      </c>
      <c r="AQ1387" s="159" t="s">
        <v>173</v>
      </c>
      <c r="AR1387" s="159" t="s">
        <v>7842</v>
      </c>
      <c r="AS1387" s="864">
        <v>0.35</v>
      </c>
      <c r="AT1387" s="159" t="s">
        <v>172</v>
      </c>
      <c r="AU1387" s="159" t="s">
        <v>136</v>
      </c>
      <c r="AV1387" s="159" t="s">
        <v>137</v>
      </c>
      <c r="AW1387" s="68" t="s">
        <v>138</v>
      </c>
      <c r="AX1387" s="159" t="s">
        <v>143</v>
      </c>
      <c r="AY1387" s="61" t="str">
        <f>IFERROR(__xludf.DUMMYFUNCTION("vlookup(BB1387,importrange(""https://docs.google.com/spreadsheets/d/1d2vevQ_7D_v35q4wCQ4RpQ_IPoTwEMB9Yp6ymwlPqew/edit?gid=984458430#gid=984458430"", ""'replication success'!A:K""), 11, FAlSE)"),"#N/A")</f>
        <v>#N/A</v>
      </c>
      <c r="AZ1387" s="61" t="str">
        <f>IFERROR(__xludf.DUMMYFUNCTION("vlookup(BB1387,importrange(""https://docs.google.com/spreadsheets/d/1d2vevQ_7D_v35q4wCQ4RpQ_IPoTwEMB9Yp6ymwlPqew/edit?gid=984458430#gid=984458430"", ""'replication success'!A:M""), 12, FAlSE)"),"#N/A")</f>
        <v>#N/A</v>
      </c>
      <c r="BA1387" s="61" t="str">
        <f>IFERROR(__xludf.DUMMYFUNCTION("vlookup(BB1387,importrange(""https://docs.google.com/spreadsheets/d/1d2vevQ_7D_v35q4wCQ4RpQ_IPoTwEMB9Yp6ymwlPqew/edit?gid=984458430#gid=984458430"", ""'replication success'!A:M""), 13, FAlSE)"),"#N/A")</f>
        <v>#N/A</v>
      </c>
      <c r="BB1387" s="61" t="str">
        <f>IFERROR(__xludf.DUMMYFUNCTION("REGEXREPLACE(G1387, ""_[a-z]{1,2}$"", """")"),"curatescience41")</f>
        <v>curatescience41</v>
      </c>
      <c r="BC1387" s="68"/>
      <c r="BD1387" s="62" t="s">
        <v>7831</v>
      </c>
    </row>
    <row r="1388">
      <c r="A1388" s="44">
        <v>1388.0</v>
      </c>
      <c r="B1388" s="129" t="s">
        <v>114</v>
      </c>
      <c r="C1388" s="62" t="s">
        <v>115</v>
      </c>
      <c r="D1388" s="62" t="s">
        <v>1234</v>
      </c>
      <c r="F1388" s="68" t="s">
        <v>7843</v>
      </c>
      <c r="G1388" s="159" t="s">
        <v>7844</v>
      </c>
      <c r="H1388" s="159" t="s">
        <v>7761</v>
      </c>
      <c r="I1388" s="1287" t="s">
        <v>119</v>
      </c>
      <c r="J1388" s="1542">
        <v>45758.0</v>
      </c>
      <c r="K1388" s="159" t="s">
        <v>7845</v>
      </c>
      <c r="L1388" s="151" t="s">
        <v>7846</v>
      </c>
      <c r="M1388" s="151" t="s">
        <v>7825</v>
      </c>
      <c r="N1388" s="159" t="s">
        <v>7766</v>
      </c>
      <c r="O1388" s="156">
        <v>2.0</v>
      </c>
      <c r="P1388" s="382" t="s">
        <v>7767</v>
      </c>
      <c r="Q1388" s="52" t="str">
        <f t="array" ref="Q1388"> if(iserror(MATCH(V1388, 'File Links'!C:C, 0)), "N/A", HYPERLINK(INDEX('File Links'!B:B, MATCH(P1388, 'File Links'!C:C, 0))))</f>
        <v>https://drive.google.com/file/d/1w2KBBoT3U7JrwQsTrJduC-AS9fihTDq0/view?usp=drivesdk</v>
      </c>
      <c r="R1388" s="159" t="s">
        <v>7847</v>
      </c>
      <c r="S1388" s="159" t="s">
        <v>7848</v>
      </c>
      <c r="T1388" s="159" t="s">
        <v>138</v>
      </c>
      <c r="U1388" s="378">
        <v>1.0</v>
      </c>
      <c r="V1388" s="382" t="s">
        <v>7849</v>
      </c>
      <c r="W1388" s="380" t="s">
        <v>7850</v>
      </c>
      <c r="X1388" s="54" t="str">
        <f t="array" ref="X1388"> if(iserror(MATCH(V1388, 'File Links'!C:C, 0)), "N/A", HYPERLINK(INDEX('File Links'!B:B, MATCH(V1388, 'File Links'!C:C, 0))))</f>
        <v>https://drive.google.com/file/d/1grC_-CjFVn77v-PGNS3-UDB1Sv0gUwum/view?usp=drivesdk</v>
      </c>
      <c r="Y1388" s="159"/>
      <c r="Z1388" s="159" t="s">
        <v>226</v>
      </c>
      <c r="AA1388" s="159" t="s">
        <v>7771</v>
      </c>
      <c r="AB1388" s="1543" t="s">
        <v>7827</v>
      </c>
      <c r="AC1388" s="1543" t="s">
        <v>7851</v>
      </c>
      <c r="AD1388" s="481" t="s">
        <v>7834</v>
      </c>
      <c r="AE1388" s="1546">
        <v>45689.0</v>
      </c>
      <c r="AF1388" s="156">
        <v>27.0</v>
      </c>
      <c r="AG1388" s="481" t="s">
        <v>7835</v>
      </c>
      <c r="AH1388" s="481" t="s">
        <v>134</v>
      </c>
      <c r="AI1388" s="380" t="s">
        <v>875</v>
      </c>
      <c r="AJ1388" s="156">
        <v>0.01</v>
      </c>
      <c r="AK1388" s="159" t="s">
        <v>172</v>
      </c>
      <c r="AL1388" s="481" t="s">
        <v>186</v>
      </c>
      <c r="AM1388" s="159" t="s">
        <v>137</v>
      </c>
      <c r="AN1388" s="159" t="s">
        <v>138</v>
      </c>
      <c r="AO1388" s="336">
        <v>153.0</v>
      </c>
      <c r="AP1388" s="380" t="s">
        <v>7852</v>
      </c>
      <c r="AQ1388" s="481" t="s">
        <v>134</v>
      </c>
      <c r="AR1388" s="481" t="s">
        <v>882</v>
      </c>
      <c r="AS1388" s="156">
        <v>0.97</v>
      </c>
      <c r="AT1388" s="159" t="s">
        <v>172</v>
      </c>
      <c r="AU1388" s="159" t="s">
        <v>136</v>
      </c>
      <c r="AV1388" s="159" t="s">
        <v>137</v>
      </c>
      <c r="AW1388" s="68" t="s">
        <v>138</v>
      </c>
      <c r="AX1388" s="159" t="s">
        <v>143</v>
      </c>
      <c r="AY1388" s="61" t="str">
        <f>IFERROR(__xludf.DUMMYFUNCTION("vlookup(BB1388,importrange(""https://docs.google.com/spreadsheets/d/1d2vevQ_7D_v35q4wCQ4RpQ_IPoTwEMB9Yp6ymwlPqew/edit?gid=984458430#gid=984458430"", ""'replication success'!A:K""), 11, FAlSE)"),"failed")</f>
        <v>failed</v>
      </c>
      <c r="AZ1388" s="61" t="str">
        <f>IFERROR(__xludf.DUMMYFUNCTION("vlookup(BB1388,importrange(""https://docs.google.com/spreadsheets/d/1d2vevQ_7D_v35q4wCQ4RpQ_IPoTwEMB9Yp6ymwlPqew/edit?gid=984458430#gid=984458430"",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88" s="61" t="str">
        <f>IFERROR(__xludf.DUMMYFUNCTION("vlookup(BB1388,importrange(""https://docs.google.com/spreadsheets/d/1d2vevQ_7D_v35q4wCQ4RpQ_IPoTwEMB9Yp6ymwlPqew/edit?gid=984458430#gid=984458430"", ""'replication success'!A:M""), 13, FAlSE)"),"abstract")</f>
        <v>abstract</v>
      </c>
      <c r="BB1388" s="61" t="str">
        <f>IFERROR(__xludf.DUMMYFUNCTION("REGEXREPLACE(G1388, ""_[a-z]{1,2}$"", """")"),"curatescience42")</f>
        <v>curatescience42</v>
      </c>
      <c r="BC1388" s="68"/>
      <c r="BD1388" s="62" t="s">
        <v>7853</v>
      </c>
    </row>
    <row r="1389">
      <c r="A1389" s="44">
        <v>1389.0</v>
      </c>
      <c r="B1389" s="129" t="s">
        <v>152</v>
      </c>
      <c r="C1389" s="62" t="s">
        <v>115</v>
      </c>
      <c r="D1389" s="62" t="s">
        <v>1458</v>
      </c>
      <c r="F1389" s="68" t="s">
        <v>7843</v>
      </c>
      <c r="G1389" s="159" t="s">
        <v>7844</v>
      </c>
      <c r="H1389" s="159" t="s">
        <v>1518</v>
      </c>
      <c r="I1389" s="1287" t="s">
        <v>119</v>
      </c>
      <c r="J1389" s="1542">
        <v>45758.0</v>
      </c>
      <c r="K1389" s="159" t="s">
        <v>7854</v>
      </c>
      <c r="L1389" s="151" t="s">
        <v>7855</v>
      </c>
      <c r="M1389" s="151" t="s">
        <v>7825</v>
      </c>
      <c r="N1389" s="159" t="s">
        <v>7766</v>
      </c>
      <c r="O1389" s="156">
        <v>2.0</v>
      </c>
      <c r="P1389" s="382" t="s">
        <v>7767</v>
      </c>
      <c r="Q1389" s="52" t="str">
        <f t="array" ref="Q1389"> if(iserror(MATCH(V1389, 'File Links'!C:C, 0)), "N/A", HYPERLINK(INDEX('File Links'!B:B, MATCH(P1389, 'File Links'!C:C, 0))))</f>
        <v>https://drive.google.com/file/d/1w2KBBoT3U7JrwQsTrJduC-AS9fihTDq0/view?usp=drivesdk</v>
      </c>
      <c r="R1389" s="159" t="s">
        <v>7847</v>
      </c>
      <c r="S1389" s="159" t="s">
        <v>7848</v>
      </c>
      <c r="T1389" s="159" t="s">
        <v>138</v>
      </c>
      <c r="U1389" s="357">
        <v>1.0</v>
      </c>
      <c r="V1389" s="382" t="s">
        <v>7849</v>
      </c>
      <c r="W1389" s="159" t="s">
        <v>7850</v>
      </c>
      <c r="X1389" s="54" t="str">
        <f t="array" ref="X1389"> if(iserror(MATCH(V1389, 'File Links'!C:C, 0)), "N/A", HYPERLINK(INDEX('File Links'!B:B, MATCH(V1389, 'File Links'!C:C, 0))))</f>
        <v>https://drive.google.com/file/d/1grC_-CjFVn77v-PGNS3-UDB1Sv0gUwum/view?usp=drivesdk</v>
      </c>
      <c r="Y1389" s="159"/>
      <c r="Z1389" s="159" t="s">
        <v>226</v>
      </c>
      <c r="AA1389" s="159" t="s">
        <v>7771</v>
      </c>
      <c r="AB1389" s="159" t="s">
        <v>7795</v>
      </c>
      <c r="AC1389" s="1543" t="s">
        <v>7851</v>
      </c>
      <c r="AD1389" s="159" t="s">
        <v>7834</v>
      </c>
      <c r="AE1389" s="1545">
        <v>45689.0</v>
      </c>
      <c r="AF1389" s="156">
        <v>27.0</v>
      </c>
      <c r="AG1389" s="159" t="s">
        <v>7835</v>
      </c>
      <c r="AH1389" s="159" t="s">
        <v>134</v>
      </c>
      <c r="AI1389" s="159" t="s">
        <v>2771</v>
      </c>
      <c r="AJ1389" s="156">
        <v>0.01</v>
      </c>
      <c r="AK1389" s="159" t="s">
        <v>172</v>
      </c>
      <c r="AL1389" s="159" t="s">
        <v>186</v>
      </c>
      <c r="AM1389" s="159" t="s">
        <v>137</v>
      </c>
      <c r="AN1389" s="159" t="s">
        <v>138</v>
      </c>
      <c r="AO1389" s="156">
        <v>153.0</v>
      </c>
      <c r="AP1389" s="151" t="s">
        <v>7852</v>
      </c>
      <c r="AQ1389" s="159" t="s">
        <v>134</v>
      </c>
      <c r="AR1389" s="159" t="s">
        <v>882</v>
      </c>
      <c r="AS1389" s="156">
        <v>0.97</v>
      </c>
      <c r="AT1389" s="159" t="s">
        <v>172</v>
      </c>
      <c r="AU1389" s="159" t="s">
        <v>136</v>
      </c>
      <c r="AV1389" s="159" t="s">
        <v>137</v>
      </c>
      <c r="AW1389" s="68" t="s">
        <v>138</v>
      </c>
      <c r="AX1389" s="159" t="s">
        <v>143</v>
      </c>
      <c r="AY1389" s="61" t="str">
        <f>IFERROR(__xludf.DUMMYFUNCTION("vlookup(BB1389,importrange(""https://docs.google.com/spreadsheets/d/1d2vevQ_7D_v35q4wCQ4RpQ_IPoTwEMB9Yp6ymwlPqew/edit?gid=984458430#gid=984458430"", ""'replication success'!A:K""), 11, FAlSE)"),"failed")</f>
        <v>failed</v>
      </c>
      <c r="AZ1389" s="61" t="str">
        <f>IFERROR(__xludf.DUMMYFUNCTION("vlookup(BB1389,importrange(""https://docs.google.com/spreadsheets/d/1d2vevQ_7D_v35q4wCQ4RpQ_IPoTwEMB9Yp6ymwlPqew/edit?gid=984458430#gid=984458430"",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89" s="61" t="str">
        <f>IFERROR(__xludf.DUMMYFUNCTION("vlookup(BB1389,importrange(""https://docs.google.com/spreadsheets/d/1d2vevQ_7D_v35q4wCQ4RpQ_IPoTwEMB9Yp6ymwlPqew/edit?gid=984458430#gid=984458430"", ""'replication success'!A:M""), 13, FAlSE)"),"abstract")</f>
        <v>abstract</v>
      </c>
      <c r="BB1389" s="61" t="str">
        <f>IFERROR(__xludf.DUMMYFUNCTION("REGEXREPLACE(G1389, ""_[a-z]{1,2}$"", """")"),"curatescience42")</f>
        <v>curatescience42</v>
      </c>
      <c r="BD1389" s="62" t="s">
        <v>7853</v>
      </c>
    </row>
    <row r="1390">
      <c r="A1390" s="44">
        <v>1390.0</v>
      </c>
      <c r="B1390" s="129" t="s">
        <v>114</v>
      </c>
      <c r="C1390" s="62" t="s">
        <v>115</v>
      </c>
      <c r="D1390" s="62" t="s">
        <v>1234</v>
      </c>
      <c r="F1390" s="68" t="s">
        <v>7856</v>
      </c>
      <c r="G1390" s="159" t="s">
        <v>7857</v>
      </c>
      <c r="H1390" s="159" t="s">
        <v>7761</v>
      </c>
      <c r="I1390" s="1287" t="s">
        <v>119</v>
      </c>
      <c r="J1390" s="1542">
        <v>45758.0</v>
      </c>
      <c r="K1390" s="159" t="s">
        <v>7858</v>
      </c>
      <c r="L1390" s="151" t="s">
        <v>7859</v>
      </c>
      <c r="M1390" s="151" t="s">
        <v>7825</v>
      </c>
      <c r="N1390" s="159" t="s">
        <v>7766</v>
      </c>
      <c r="O1390" s="156">
        <v>2.0</v>
      </c>
      <c r="P1390" s="382" t="s">
        <v>7767</v>
      </c>
      <c r="Q1390" s="52" t="str">
        <f t="array" ref="Q1390"> if(iserror(MATCH(V1390, 'File Links'!C:C, 0)), "N/A", HYPERLINK(INDEX('File Links'!B:B, MATCH(P1390, 'File Links'!C:C, 0))))</f>
        <v>https://drive.google.com/file/d/1w2KBBoT3U7JrwQsTrJduC-AS9fihTDq0/view?usp=drivesdk</v>
      </c>
      <c r="R1390" s="159" t="s">
        <v>7847</v>
      </c>
      <c r="S1390" s="159" t="s">
        <v>7848</v>
      </c>
      <c r="T1390" s="68" t="s">
        <v>138</v>
      </c>
      <c r="U1390" s="336">
        <v>2.0</v>
      </c>
      <c r="V1390" s="159" t="s">
        <v>7849</v>
      </c>
      <c r="W1390" s="380" t="s">
        <v>7850</v>
      </c>
      <c r="X1390" s="54" t="str">
        <f t="array" ref="X1390"> if(iserror(MATCH(V1390, 'File Links'!C:C, 0)), "N/A", HYPERLINK(INDEX('File Links'!B:B, MATCH(V1390, 'File Links'!C:C, 0))))</f>
        <v>https://drive.google.com/file/d/1grC_-CjFVn77v-PGNS3-UDB1Sv0gUwum/view?usp=drivesdk</v>
      </c>
      <c r="Y1390" s="159"/>
      <c r="Z1390" s="159" t="s">
        <v>226</v>
      </c>
      <c r="AA1390" s="159" t="s">
        <v>7771</v>
      </c>
      <c r="AB1390" s="1543" t="s">
        <v>7827</v>
      </c>
      <c r="AC1390" s="1543" t="s">
        <v>7851</v>
      </c>
      <c r="AD1390" s="481" t="s">
        <v>7834</v>
      </c>
      <c r="AE1390" s="1546">
        <v>45689.0</v>
      </c>
      <c r="AF1390" s="156">
        <v>27.0</v>
      </c>
      <c r="AG1390" s="481" t="s">
        <v>7835</v>
      </c>
      <c r="AH1390" s="481" t="s">
        <v>134</v>
      </c>
      <c r="AI1390" s="380" t="s">
        <v>875</v>
      </c>
      <c r="AJ1390" s="156">
        <v>0.01</v>
      </c>
      <c r="AK1390" s="159" t="s">
        <v>172</v>
      </c>
      <c r="AL1390" s="481" t="s">
        <v>186</v>
      </c>
      <c r="AM1390" s="159" t="s">
        <v>137</v>
      </c>
      <c r="AN1390" s="159" t="s">
        <v>138</v>
      </c>
      <c r="AO1390" s="156">
        <v>148.0</v>
      </c>
      <c r="AP1390" s="380" t="s">
        <v>7860</v>
      </c>
      <c r="AQ1390" s="481" t="s">
        <v>134</v>
      </c>
      <c r="AR1390" s="380" t="s">
        <v>140</v>
      </c>
      <c r="AS1390" s="156">
        <v>0.43</v>
      </c>
      <c r="AT1390" s="159" t="s">
        <v>172</v>
      </c>
      <c r="AU1390" s="159" t="s">
        <v>136</v>
      </c>
      <c r="AV1390" s="159" t="s">
        <v>137</v>
      </c>
      <c r="AW1390" s="68" t="s">
        <v>138</v>
      </c>
      <c r="AX1390" s="159" t="s">
        <v>143</v>
      </c>
      <c r="AY1390" s="61" t="str">
        <f>IFERROR(__xludf.DUMMYFUNCTION("vlookup(BB1390,importrange(""https://docs.google.com/spreadsheets/d/1d2vevQ_7D_v35q4wCQ4RpQ_IPoTwEMB9Yp6ymwlPqew/edit?gid=984458430#gid=984458430"", ""'replication success'!A:K""), 11, FAlSE)"),"failed")</f>
        <v>failed</v>
      </c>
      <c r="AZ1390" s="61" t="str">
        <f>IFERROR(__xludf.DUMMYFUNCTION("vlookup(BB1390,importrange(""https://docs.google.com/spreadsheets/d/1d2vevQ_7D_v35q4wCQ4RpQ_IPoTwEMB9Yp6ymwlPqew/edit?gid=984458430#gid=984458430"",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90" s="61" t="str">
        <f>IFERROR(__xludf.DUMMYFUNCTION("vlookup(BB1390,importrange(""https://docs.google.com/spreadsheets/d/1d2vevQ_7D_v35q4wCQ4RpQ_IPoTwEMB9Yp6ymwlPqew/edit?gid=984458430#gid=984458430"", ""'replication success'!A:M""), 13, FAlSE)"),"abstract")</f>
        <v>abstract</v>
      </c>
      <c r="BB1390" s="61" t="str">
        <f>IFERROR(__xludf.DUMMYFUNCTION("REGEXREPLACE(G1390, ""_[a-z]{1,2}$"", """")"),"curatescience43")</f>
        <v>curatescience43</v>
      </c>
      <c r="BC1390" s="68"/>
      <c r="BD1390" s="62" t="s">
        <v>7853</v>
      </c>
    </row>
    <row r="1391">
      <c r="A1391" s="44">
        <v>1391.0</v>
      </c>
      <c r="B1391" s="129" t="s">
        <v>152</v>
      </c>
      <c r="C1391" s="62" t="s">
        <v>115</v>
      </c>
      <c r="D1391" s="62" t="s">
        <v>1458</v>
      </c>
      <c r="F1391" s="68" t="s">
        <v>7856</v>
      </c>
      <c r="G1391" s="159" t="s">
        <v>7857</v>
      </c>
      <c r="H1391" s="159" t="s">
        <v>1518</v>
      </c>
      <c r="I1391" s="1287" t="s">
        <v>119</v>
      </c>
      <c r="J1391" s="1542">
        <v>45758.0</v>
      </c>
      <c r="K1391" s="159" t="s">
        <v>7861</v>
      </c>
      <c r="L1391" s="151" t="s">
        <v>7855</v>
      </c>
      <c r="M1391" s="151" t="s">
        <v>7825</v>
      </c>
      <c r="N1391" s="159" t="s">
        <v>7766</v>
      </c>
      <c r="O1391" s="156">
        <v>2.0</v>
      </c>
      <c r="P1391" s="382" t="s">
        <v>7767</v>
      </c>
      <c r="Q1391" s="52" t="str">
        <f t="array" ref="Q1391"> if(iserror(MATCH(V1391, 'File Links'!C:C, 0)), "N/A", HYPERLINK(INDEX('File Links'!B:B, MATCH(P1391, 'File Links'!C:C, 0))))</f>
        <v>https://drive.google.com/file/d/1w2KBBoT3U7JrwQsTrJduC-AS9fihTDq0/view?usp=drivesdk</v>
      </c>
      <c r="R1391" s="159" t="s">
        <v>7847</v>
      </c>
      <c r="S1391" s="159" t="s">
        <v>7848</v>
      </c>
      <c r="T1391" s="68" t="s">
        <v>138</v>
      </c>
      <c r="U1391" s="336">
        <v>2.0</v>
      </c>
      <c r="V1391" s="159" t="s">
        <v>7849</v>
      </c>
      <c r="W1391" s="159" t="s">
        <v>7850</v>
      </c>
      <c r="X1391" s="54" t="str">
        <f t="array" ref="X1391"> if(iserror(MATCH(V1391, 'File Links'!C:C, 0)), "N/A", HYPERLINK(INDEX('File Links'!B:B, MATCH(V1391, 'File Links'!C:C, 0))))</f>
        <v>https://drive.google.com/file/d/1grC_-CjFVn77v-PGNS3-UDB1Sv0gUwum/view?usp=drivesdk</v>
      </c>
      <c r="Y1391" s="159"/>
      <c r="Z1391" s="159" t="s">
        <v>226</v>
      </c>
      <c r="AA1391" s="159" t="s">
        <v>7771</v>
      </c>
      <c r="AB1391" s="159" t="s">
        <v>7795</v>
      </c>
      <c r="AC1391" s="1543" t="s">
        <v>7851</v>
      </c>
      <c r="AD1391" s="159" t="s">
        <v>7834</v>
      </c>
      <c r="AE1391" s="1545">
        <v>45689.0</v>
      </c>
      <c r="AF1391" s="156">
        <v>27.0</v>
      </c>
      <c r="AG1391" s="159" t="s">
        <v>7835</v>
      </c>
      <c r="AH1391" s="159" t="s">
        <v>134</v>
      </c>
      <c r="AI1391" s="159" t="s">
        <v>2771</v>
      </c>
      <c r="AJ1391" s="156">
        <v>0.01</v>
      </c>
      <c r="AK1391" s="159" t="s">
        <v>172</v>
      </c>
      <c r="AL1391" s="159" t="s">
        <v>186</v>
      </c>
      <c r="AM1391" s="159" t="s">
        <v>137</v>
      </c>
      <c r="AN1391" s="159" t="s">
        <v>138</v>
      </c>
      <c r="AO1391" s="156">
        <v>156.0</v>
      </c>
      <c r="AP1391" s="151" t="s">
        <v>7860</v>
      </c>
      <c r="AQ1391" s="159" t="s">
        <v>134</v>
      </c>
      <c r="AR1391" s="159" t="s">
        <v>1042</v>
      </c>
      <c r="AS1391" s="156">
        <v>0.43</v>
      </c>
      <c r="AT1391" s="159" t="s">
        <v>172</v>
      </c>
      <c r="AU1391" s="159" t="s">
        <v>136</v>
      </c>
      <c r="AV1391" s="159" t="s">
        <v>137</v>
      </c>
      <c r="AW1391" s="68" t="s">
        <v>138</v>
      </c>
      <c r="AX1391" s="159" t="s">
        <v>143</v>
      </c>
      <c r="AY1391" s="61" t="str">
        <f>IFERROR(__xludf.DUMMYFUNCTION("vlookup(BB1391,importrange(""https://docs.google.com/spreadsheets/d/1d2vevQ_7D_v35q4wCQ4RpQ_IPoTwEMB9Yp6ymwlPqew/edit?gid=984458430#gid=984458430"", ""'replication success'!A:K""), 11, FAlSE)"),"failed")</f>
        <v>failed</v>
      </c>
      <c r="AZ1391" s="61" t="str">
        <f>IFERROR(__xludf.DUMMYFUNCTION("vlookup(BB1391,importrange(""https://docs.google.com/spreadsheets/d/1d2vevQ_7D_v35q4wCQ4RpQ_IPoTwEMB9Yp6ymwlPqew/edit?gid=984458430#gid=984458430"",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91" s="61" t="str">
        <f>IFERROR(__xludf.DUMMYFUNCTION("vlookup(BB1391,importrange(""https://docs.google.com/spreadsheets/d/1d2vevQ_7D_v35q4wCQ4RpQ_IPoTwEMB9Yp6ymwlPqew/edit?gid=984458430#gid=984458430"", ""'replication success'!A:M""), 13, FAlSE)"),"abstract")</f>
        <v>abstract</v>
      </c>
      <c r="BB1391" s="61" t="str">
        <f>IFERROR(__xludf.DUMMYFUNCTION("REGEXREPLACE(G1391, ""_[a-z]{1,2}$"", """")"),"curatescience43")</f>
        <v>curatescience43</v>
      </c>
      <c r="BD1391" s="62" t="s">
        <v>7853</v>
      </c>
    </row>
    <row r="1392">
      <c r="A1392" s="44">
        <v>1392.0</v>
      </c>
      <c r="B1392" s="129" t="s">
        <v>114</v>
      </c>
      <c r="C1392" s="62" t="s">
        <v>115</v>
      </c>
      <c r="D1392" s="62" t="s">
        <v>1234</v>
      </c>
      <c r="F1392" s="68" t="s">
        <v>7862</v>
      </c>
      <c r="G1392" s="159" t="s">
        <v>7863</v>
      </c>
      <c r="H1392" s="159" t="s">
        <v>7761</v>
      </c>
      <c r="I1392" s="1287" t="s">
        <v>119</v>
      </c>
      <c r="J1392" s="1542">
        <v>45758.0</v>
      </c>
      <c r="K1392" s="159" t="s">
        <v>138</v>
      </c>
      <c r="L1392" s="151" t="s">
        <v>7864</v>
      </c>
      <c r="M1392" s="151" t="s">
        <v>7825</v>
      </c>
      <c r="N1392" s="159" t="s">
        <v>7766</v>
      </c>
      <c r="O1392" s="156">
        <v>2.0</v>
      </c>
      <c r="P1392" s="382" t="s">
        <v>7767</v>
      </c>
      <c r="Q1392" s="52" t="str">
        <f t="array" ref="Q1392"> if(iserror(MATCH(V1392, 'File Links'!C:C, 0)), "N/A", HYPERLINK(INDEX('File Links'!B:B, MATCH(P1392, 'File Links'!C:C, 0))))</f>
        <v>https://drive.google.com/file/d/1w2KBBoT3U7JrwQsTrJduC-AS9fihTDq0/view?usp=drivesdk</v>
      </c>
      <c r="R1392" s="159" t="s">
        <v>7847</v>
      </c>
      <c r="S1392" s="159" t="s">
        <v>7848</v>
      </c>
      <c r="T1392" s="159" t="s">
        <v>138</v>
      </c>
      <c r="U1392" s="378">
        <v>3.0</v>
      </c>
      <c r="V1392" s="382" t="s">
        <v>7849</v>
      </c>
      <c r="W1392" s="380" t="s">
        <v>7850</v>
      </c>
      <c r="X1392" s="54" t="str">
        <f t="array" ref="X1392"> if(iserror(MATCH(V1392, 'File Links'!C:C, 0)), "N/A", HYPERLINK(INDEX('File Links'!B:B, MATCH(V1392, 'File Links'!C:C, 0))))</f>
        <v>https://drive.google.com/file/d/1grC_-CjFVn77v-PGNS3-UDB1Sv0gUwum/view?usp=drivesdk</v>
      </c>
      <c r="Y1392" s="159"/>
      <c r="Z1392" s="159" t="s">
        <v>226</v>
      </c>
      <c r="AA1392" s="159" t="s">
        <v>7771</v>
      </c>
      <c r="AB1392" s="1543" t="s">
        <v>7827</v>
      </c>
      <c r="AC1392" s="1543" t="s">
        <v>7851</v>
      </c>
      <c r="AD1392" s="481" t="s">
        <v>7834</v>
      </c>
      <c r="AE1392" s="1546">
        <v>45689.0</v>
      </c>
      <c r="AF1392" s="156">
        <v>27.0</v>
      </c>
      <c r="AG1392" s="481" t="s">
        <v>7835</v>
      </c>
      <c r="AH1392" s="481" t="s">
        <v>134</v>
      </c>
      <c r="AI1392" s="380" t="s">
        <v>875</v>
      </c>
      <c r="AJ1392" s="156">
        <v>0.01</v>
      </c>
      <c r="AK1392" s="159" t="s">
        <v>172</v>
      </c>
      <c r="AL1392" s="481" t="s">
        <v>186</v>
      </c>
      <c r="AM1392" s="159" t="s">
        <v>137</v>
      </c>
      <c r="AN1392" s="159" t="s">
        <v>138</v>
      </c>
      <c r="AO1392" s="156">
        <v>269.0</v>
      </c>
      <c r="AP1392" s="481" t="s">
        <v>7865</v>
      </c>
      <c r="AQ1392" s="481" t="s">
        <v>134</v>
      </c>
      <c r="AR1392" s="481" t="s">
        <v>4979</v>
      </c>
      <c r="AS1392" s="864">
        <v>0.07</v>
      </c>
      <c r="AT1392" s="159" t="s">
        <v>172</v>
      </c>
      <c r="AU1392" s="159" t="s">
        <v>136</v>
      </c>
      <c r="AV1392" s="159" t="s">
        <v>137</v>
      </c>
      <c r="AW1392" s="68" t="s">
        <v>138</v>
      </c>
      <c r="AX1392" s="159" t="s">
        <v>143</v>
      </c>
      <c r="AY1392" s="61" t="str">
        <f>IFERROR(__xludf.DUMMYFUNCTION("vlookup(BB1392,importrange(""https://docs.google.com/spreadsheets/d/1d2vevQ_7D_v35q4wCQ4RpQ_IPoTwEMB9Yp6ymwlPqew/edit?gid=984458430#gid=984458430"", ""'replication success'!A:K""), 11, FAlSE)"),"failed")</f>
        <v>failed</v>
      </c>
      <c r="AZ1392" s="61" t="str">
        <f>IFERROR(__xludf.DUMMYFUNCTION("vlookup(BB1392,importrange(""https://docs.google.com/spreadsheets/d/1d2vevQ_7D_v35q4wCQ4RpQ_IPoTwEMB9Yp6ymwlPqew/edit?gid=984458430#gid=984458430"",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92" s="61" t="str">
        <f>IFERROR(__xludf.DUMMYFUNCTION("vlookup(BB1392,importrange(""https://docs.google.com/spreadsheets/d/1d2vevQ_7D_v35q4wCQ4RpQ_IPoTwEMB9Yp6ymwlPqew/edit?gid=984458430#gid=984458430"", ""'replication success'!A:M""), 13, FAlSE)"),"abstract")</f>
        <v>abstract</v>
      </c>
      <c r="BB1392" s="61" t="str">
        <f>IFERROR(__xludf.DUMMYFUNCTION("REGEXREPLACE(G1392, ""_[a-z]{1,2}$"", """")"),"curatescience44")</f>
        <v>curatescience44</v>
      </c>
      <c r="BC1392" s="68"/>
      <c r="BD1392" s="62" t="s">
        <v>7853</v>
      </c>
    </row>
    <row r="1393">
      <c r="A1393" s="44">
        <v>1393.0</v>
      </c>
      <c r="B1393" s="129" t="s">
        <v>152</v>
      </c>
      <c r="C1393" s="62" t="s">
        <v>115</v>
      </c>
      <c r="D1393" s="62" t="s">
        <v>1458</v>
      </c>
      <c r="F1393" s="68" t="s">
        <v>7862</v>
      </c>
      <c r="G1393" s="159" t="s">
        <v>7863</v>
      </c>
      <c r="H1393" s="159" t="s">
        <v>1518</v>
      </c>
      <c r="I1393" s="1287" t="s">
        <v>119</v>
      </c>
      <c r="J1393" s="1542">
        <v>45758.0</v>
      </c>
      <c r="K1393" s="159" t="s">
        <v>7861</v>
      </c>
      <c r="L1393" s="151" t="s">
        <v>7866</v>
      </c>
      <c r="M1393" s="151" t="s">
        <v>7825</v>
      </c>
      <c r="N1393" s="159" t="s">
        <v>7766</v>
      </c>
      <c r="O1393" s="156">
        <v>2.0</v>
      </c>
      <c r="P1393" s="382" t="s">
        <v>7767</v>
      </c>
      <c r="Q1393" s="52" t="str">
        <f t="array" ref="Q1393"> if(iserror(MATCH(V1393, 'File Links'!C:C, 0)), "N/A", HYPERLINK(INDEX('File Links'!B:B, MATCH(P1393, 'File Links'!C:C, 0))))</f>
        <v>https://drive.google.com/file/d/1w2KBBoT3U7JrwQsTrJduC-AS9fihTDq0/view?usp=drivesdk</v>
      </c>
      <c r="R1393" s="159" t="s">
        <v>7847</v>
      </c>
      <c r="S1393" s="159" t="s">
        <v>7848</v>
      </c>
      <c r="T1393" s="159" t="s">
        <v>138</v>
      </c>
      <c r="U1393" s="156">
        <v>3.0</v>
      </c>
      <c r="V1393" s="382" t="s">
        <v>7849</v>
      </c>
      <c r="W1393" s="159" t="s">
        <v>7850</v>
      </c>
      <c r="X1393" s="54" t="str">
        <f t="array" ref="X1393"> if(iserror(MATCH(V1393, 'File Links'!C:C, 0)), "N/A", HYPERLINK(INDEX('File Links'!B:B, MATCH(V1393, 'File Links'!C:C, 0))))</f>
        <v>https://drive.google.com/file/d/1grC_-CjFVn77v-PGNS3-UDB1Sv0gUwum/view?usp=drivesdk</v>
      </c>
      <c r="Y1393" s="159"/>
      <c r="Z1393" s="159" t="s">
        <v>226</v>
      </c>
      <c r="AA1393" s="159" t="s">
        <v>7771</v>
      </c>
      <c r="AB1393" s="159" t="s">
        <v>7795</v>
      </c>
      <c r="AC1393" s="1543" t="s">
        <v>7851</v>
      </c>
      <c r="AD1393" s="159" t="s">
        <v>7834</v>
      </c>
      <c r="AE1393" s="1545">
        <v>45689.0</v>
      </c>
      <c r="AF1393" s="156">
        <v>27.0</v>
      </c>
      <c r="AG1393" s="159" t="s">
        <v>7835</v>
      </c>
      <c r="AH1393" s="159" t="s">
        <v>134</v>
      </c>
      <c r="AI1393" s="159" t="s">
        <v>2771</v>
      </c>
      <c r="AJ1393" s="156">
        <v>0.01</v>
      </c>
      <c r="AK1393" s="159" t="s">
        <v>172</v>
      </c>
      <c r="AL1393" s="159" t="s">
        <v>186</v>
      </c>
      <c r="AM1393" s="159" t="s">
        <v>137</v>
      </c>
      <c r="AN1393" s="159" t="s">
        <v>138</v>
      </c>
      <c r="AO1393" s="378">
        <v>269.0</v>
      </c>
      <c r="AP1393" s="159" t="s">
        <v>7865</v>
      </c>
      <c r="AQ1393" s="159" t="s">
        <v>134</v>
      </c>
      <c r="AR1393" s="159" t="s">
        <v>4979</v>
      </c>
      <c r="AS1393" s="156">
        <v>0.07</v>
      </c>
      <c r="AT1393" s="159" t="s">
        <v>172</v>
      </c>
      <c r="AU1393" s="159" t="s">
        <v>136</v>
      </c>
      <c r="AV1393" s="159" t="s">
        <v>137</v>
      </c>
      <c r="AW1393" s="68" t="s">
        <v>138</v>
      </c>
      <c r="AX1393" s="159" t="s">
        <v>143</v>
      </c>
      <c r="AY1393" s="61" t="str">
        <f>IFERROR(__xludf.DUMMYFUNCTION("vlookup(BB1393,importrange(""https://docs.google.com/spreadsheets/d/1d2vevQ_7D_v35q4wCQ4RpQ_IPoTwEMB9Yp6ymwlPqew/edit?gid=984458430#gid=984458430"", ""'replication success'!A:K""), 11, FAlSE)"),"failed")</f>
        <v>failed</v>
      </c>
      <c r="AZ1393" s="61" t="str">
        <f>IFERROR(__xludf.DUMMYFUNCTION("vlookup(BB1393,importrange(""https://docs.google.com/spreadsheets/d/1d2vevQ_7D_v35q4wCQ4RpQ_IPoTwEMB9Yp6ymwlPqew/edit?gid=984458430#gid=984458430"", ""'replication success'!A:M""), 12, FAlSE)"),"Despite multiple good-faith efforts, however, we were unable
to detect a “Macbeth Effect” in any of our experiments.")</f>
        <v>Despite multiple good-faith efforts, however, we were unable
to detect a “Macbeth Effect” in any of our experiments.</v>
      </c>
      <c r="BA1393" s="61" t="str">
        <f>IFERROR(__xludf.DUMMYFUNCTION("vlookup(BB1393,importrange(""https://docs.google.com/spreadsheets/d/1d2vevQ_7D_v35q4wCQ4RpQ_IPoTwEMB9Yp6ymwlPqew/edit?gid=984458430#gid=984458430"", ""'replication success'!A:M""), 13, FAlSE)"),"abstract")</f>
        <v>abstract</v>
      </c>
      <c r="BB1393" s="61" t="str">
        <f>IFERROR(__xludf.DUMMYFUNCTION("REGEXREPLACE(G1393, ""_[a-z]{1,2}$"", """")"),"curatescience44")</f>
        <v>curatescience44</v>
      </c>
      <c r="BD1393" s="62" t="s">
        <v>7853</v>
      </c>
    </row>
    <row r="1394" ht="21.75" customHeight="1">
      <c r="A1394" s="44">
        <v>1394.0</v>
      </c>
      <c r="B1394" s="129" t="s">
        <v>114</v>
      </c>
      <c r="C1394" s="62" t="s">
        <v>115</v>
      </c>
      <c r="D1394" s="62" t="s">
        <v>1234</v>
      </c>
      <c r="F1394" s="68" t="s">
        <v>7867</v>
      </c>
      <c r="G1394" s="159" t="s">
        <v>7868</v>
      </c>
      <c r="H1394" s="159" t="s">
        <v>7761</v>
      </c>
      <c r="I1394" s="1287" t="s">
        <v>119</v>
      </c>
      <c r="J1394" s="1542">
        <v>45758.0</v>
      </c>
      <c r="K1394" s="159" t="s">
        <v>138</v>
      </c>
      <c r="L1394" s="151" t="s">
        <v>7869</v>
      </c>
      <c r="M1394" s="151" t="s">
        <v>7825</v>
      </c>
      <c r="N1394" s="159" t="s">
        <v>7766</v>
      </c>
      <c r="O1394" s="156">
        <v>4.0</v>
      </c>
      <c r="P1394" s="382" t="s">
        <v>7767</v>
      </c>
      <c r="Q1394" s="52" t="str">
        <f t="array" ref="Q1394"> if(iserror(MATCH(V1394, 'File Links'!C:C, 0)), "N/A", HYPERLINK(INDEX('File Links'!B:B, MATCH(P1394, 'File Links'!C:C, 0))))</f>
        <v>https://drive.google.com/file/d/1w2KBBoT3U7JrwQsTrJduC-AS9fihTDq0/view?usp=drivesdk</v>
      </c>
      <c r="R1394" s="159" t="s">
        <v>7870</v>
      </c>
      <c r="S1394" s="159" t="s">
        <v>7769</v>
      </c>
      <c r="T1394" s="159" t="s">
        <v>138</v>
      </c>
      <c r="U1394" s="156">
        <v>2.0</v>
      </c>
      <c r="V1394" s="159" t="s">
        <v>7871</v>
      </c>
      <c r="W1394" s="380" t="s">
        <v>2456</v>
      </c>
      <c r="X1394" s="54" t="str">
        <f t="array" ref="X1394"> if(iserror(MATCH(V1394, 'File Links'!C:C, 0)), "N/A", HYPERLINK(INDEX('File Links'!B:B, MATCH(V1394, 'File Links'!C:C, 0))))</f>
        <v>https://drive.google.com/file/d/1TZ4v__dPOmI3xNzFpnJFIk9lq8TKq6BL/view?usp=drivesdk</v>
      </c>
      <c r="Y1394" s="159"/>
      <c r="Z1394" s="159" t="s">
        <v>226</v>
      </c>
      <c r="AA1394" s="159" t="s">
        <v>7771</v>
      </c>
      <c r="AB1394" s="1543" t="s">
        <v>7872</v>
      </c>
      <c r="AC1394" s="1543" t="s">
        <v>7873</v>
      </c>
      <c r="AD1394" s="380" t="s">
        <v>7874</v>
      </c>
      <c r="AE1394" s="156">
        <v>2.0</v>
      </c>
      <c r="AF1394" s="156">
        <v>45.0</v>
      </c>
      <c r="AG1394" s="380" t="s">
        <v>7875</v>
      </c>
      <c r="AH1394" s="481" t="s">
        <v>134</v>
      </c>
      <c r="AI1394" s="481" t="s">
        <v>2771</v>
      </c>
      <c r="AJ1394" s="156">
        <v>0.025</v>
      </c>
      <c r="AK1394" s="159" t="s">
        <v>172</v>
      </c>
      <c r="AL1394" s="159" t="s">
        <v>186</v>
      </c>
      <c r="AM1394" s="159" t="s">
        <v>137</v>
      </c>
      <c r="AN1394" s="159" t="s">
        <v>138</v>
      </c>
      <c r="AO1394" s="156">
        <v>115.0</v>
      </c>
      <c r="AP1394" s="864">
        <v>0.01</v>
      </c>
      <c r="AQ1394" s="159" t="s">
        <v>874</v>
      </c>
      <c r="AR1394" s="481" t="s">
        <v>4979</v>
      </c>
      <c r="AS1394" s="156">
        <v>0.22</v>
      </c>
      <c r="AT1394" s="159" t="s">
        <v>172</v>
      </c>
      <c r="AU1394" s="159" t="s">
        <v>186</v>
      </c>
      <c r="AV1394" s="159" t="s">
        <v>137</v>
      </c>
      <c r="AW1394" s="159" t="s">
        <v>138</v>
      </c>
      <c r="AX1394" s="159" t="s">
        <v>151</v>
      </c>
      <c r="AY1394" s="61" t="str">
        <f>IFERROR(__xludf.DUMMYFUNCTION("vlookup(BB1394,importrange(""https://docs.google.com/spreadsheets/d/1d2vevQ_7D_v35q4wCQ4RpQ_IPoTwEMB9Yp6ymwlPqew/edit?gid=984458430#gid=984458430"", ""'replication success'!A:K""), 11, FAlSE)"),"failed")</f>
        <v>failed</v>
      </c>
      <c r="AZ1394" s="61" t="str">
        <f>IFERROR(__xludf.DUMMYFUNCTION("vlookup(BB1394,importrange(""https://docs.google.com/spreadsheets/d/1d2vevQ_7D_v35q4wCQ4RpQ_IPoTwEMB9Yp6ymwlPqew/edit?gid=984458430#gid=984458430"", ""'replication success'!A:M""), 12, FAlSE)"),"Despite larger samples and thus greater power to 
detect effects, both studies failed to replicate the original work of Zhong and 
Liljenquist (2006)")</f>
        <v>Despite larger samples and thus greater power to 
detect effects, both studies failed to replicate the original work of Zhong and 
Liljenquist (2006)</v>
      </c>
      <c r="BA1394" s="61" t="str">
        <f>IFERROR(__xludf.DUMMYFUNCTION("vlookup(BB1394,importrange(""https://docs.google.com/spreadsheets/d/1d2vevQ_7D_v35q4wCQ4RpQ_IPoTwEMB9Yp6ymwlPqew/edit?gid=984458430#gid=984458430"", ""'replication success'!A:M""), 13, FAlSE)"),"abstract")</f>
        <v>abstract</v>
      </c>
      <c r="BB1394" s="61" t="str">
        <f>IFERROR(__xludf.DUMMYFUNCTION("REGEXREPLACE(G1394, ""_[a-z]{1,2}$"", """")"),"curatescience45")</f>
        <v>curatescience45</v>
      </c>
      <c r="BC1394" s="68"/>
      <c r="BD1394" s="62" t="s">
        <v>7853</v>
      </c>
    </row>
    <row r="1395" ht="24.0" customHeight="1">
      <c r="A1395" s="44">
        <v>1395.0</v>
      </c>
      <c r="B1395" s="129" t="s">
        <v>152</v>
      </c>
      <c r="C1395" s="62" t="s">
        <v>115</v>
      </c>
      <c r="D1395" s="62" t="s">
        <v>1458</v>
      </c>
      <c r="F1395" s="68" t="s">
        <v>7867</v>
      </c>
      <c r="G1395" s="159" t="s">
        <v>7868</v>
      </c>
      <c r="H1395" s="159" t="s">
        <v>1518</v>
      </c>
      <c r="I1395" s="1287" t="s">
        <v>119</v>
      </c>
      <c r="J1395" s="1542">
        <v>45758.0</v>
      </c>
      <c r="K1395" s="159" t="s">
        <v>7876</v>
      </c>
      <c r="L1395" s="151" t="s">
        <v>7877</v>
      </c>
      <c r="M1395" s="151" t="s">
        <v>7825</v>
      </c>
      <c r="N1395" s="159" t="s">
        <v>7766</v>
      </c>
      <c r="O1395" s="156">
        <v>4.0</v>
      </c>
      <c r="P1395" s="382" t="s">
        <v>7767</v>
      </c>
      <c r="Q1395" s="52" t="str">
        <f t="array" ref="Q1395"> if(iserror(MATCH(V1395, 'File Links'!C:C, 0)), "N/A", HYPERLINK(INDEX('File Links'!B:B, MATCH(P1395, 'File Links'!C:C, 0))))</f>
        <v>https://drive.google.com/file/d/1w2KBBoT3U7JrwQsTrJduC-AS9fihTDq0/view?usp=drivesdk</v>
      </c>
      <c r="R1395" s="159" t="s">
        <v>7870</v>
      </c>
      <c r="S1395" s="159" t="s">
        <v>7769</v>
      </c>
      <c r="T1395" s="159" t="s">
        <v>138</v>
      </c>
      <c r="U1395" s="156">
        <v>2.0</v>
      </c>
      <c r="V1395" s="159" t="s">
        <v>7871</v>
      </c>
      <c r="W1395" s="159" t="s">
        <v>7777</v>
      </c>
      <c r="X1395" s="54" t="str">
        <f t="array" ref="X1395"> if(iserror(MATCH(V1395, 'File Links'!C:C, 0)), "N/A", HYPERLINK(INDEX('File Links'!B:B, MATCH(V1395, 'File Links'!C:C, 0))))</f>
        <v>https://drive.google.com/file/d/1TZ4v__dPOmI3xNzFpnJFIk9lq8TKq6BL/view?usp=drivesdk</v>
      </c>
      <c r="Y1395" s="159"/>
      <c r="Z1395" s="159" t="s">
        <v>226</v>
      </c>
      <c r="AA1395" s="159" t="s">
        <v>7771</v>
      </c>
      <c r="AB1395" s="159" t="s">
        <v>7795</v>
      </c>
      <c r="AC1395" s="1543" t="s">
        <v>7873</v>
      </c>
      <c r="AD1395" s="151" t="s">
        <v>7874</v>
      </c>
      <c r="AE1395" s="156">
        <v>2.0</v>
      </c>
      <c r="AF1395" s="156">
        <v>45.0</v>
      </c>
      <c r="AG1395" s="151" t="s">
        <v>7878</v>
      </c>
      <c r="AH1395" s="159" t="s">
        <v>134</v>
      </c>
      <c r="AI1395" s="159" t="s">
        <v>2771</v>
      </c>
      <c r="AJ1395" s="156">
        <v>0.025</v>
      </c>
      <c r="AK1395" s="159" t="s">
        <v>172</v>
      </c>
      <c r="AL1395" s="159" t="s">
        <v>186</v>
      </c>
      <c r="AM1395" s="159" t="s">
        <v>137</v>
      </c>
      <c r="AN1395" s="159" t="s">
        <v>138</v>
      </c>
      <c r="AO1395" s="156">
        <v>115.0</v>
      </c>
      <c r="AP1395" s="156">
        <v>0.01</v>
      </c>
      <c r="AQ1395" s="159" t="s">
        <v>874</v>
      </c>
      <c r="AR1395" s="159" t="s">
        <v>4979</v>
      </c>
      <c r="AS1395" s="156">
        <v>0.22</v>
      </c>
      <c r="AT1395" s="159" t="s">
        <v>172</v>
      </c>
      <c r="AU1395" s="159" t="s">
        <v>186</v>
      </c>
      <c r="AV1395" s="159" t="s">
        <v>137</v>
      </c>
      <c r="AW1395" s="68" t="s">
        <v>138</v>
      </c>
      <c r="AX1395" s="159" t="s">
        <v>151</v>
      </c>
      <c r="AY1395" s="61" t="str">
        <f>IFERROR(__xludf.DUMMYFUNCTION("vlookup(BB1395,importrange(""https://docs.google.com/spreadsheets/d/1d2vevQ_7D_v35q4wCQ4RpQ_IPoTwEMB9Yp6ymwlPqew/edit?gid=984458430#gid=984458430"", ""'replication success'!A:K""), 11, FAlSE)"),"failed")</f>
        <v>failed</v>
      </c>
      <c r="AZ1395" s="61" t="str">
        <f>IFERROR(__xludf.DUMMYFUNCTION("vlookup(BB1395,importrange(""https://docs.google.com/spreadsheets/d/1d2vevQ_7D_v35q4wCQ4RpQ_IPoTwEMB9Yp6ymwlPqew/edit?gid=984458430#gid=984458430"", ""'replication success'!A:M""), 12, FAlSE)"),"Despite larger samples and thus greater power to 
detect effects, both studies failed to replicate the original work of Zhong and 
Liljenquist (2006)")</f>
        <v>Despite larger samples and thus greater power to 
detect effects, both studies failed to replicate the original work of Zhong and 
Liljenquist (2006)</v>
      </c>
      <c r="BA1395" s="61" t="str">
        <f>IFERROR(__xludf.DUMMYFUNCTION("vlookup(BB1395,importrange(""https://docs.google.com/spreadsheets/d/1d2vevQ_7D_v35q4wCQ4RpQ_IPoTwEMB9Yp6ymwlPqew/edit?gid=984458430#gid=984458430"", ""'replication success'!A:M""), 13, FAlSE)"),"abstract")</f>
        <v>abstract</v>
      </c>
      <c r="BB1395" s="61" t="str">
        <f>IFERROR(__xludf.DUMMYFUNCTION("REGEXREPLACE(G1395, ""_[a-z]{1,2}$"", """")"),"curatescience45")</f>
        <v>curatescience45</v>
      </c>
      <c r="BD1395" s="62" t="s">
        <v>7853</v>
      </c>
    </row>
    <row r="1396" ht="19.5" customHeight="1">
      <c r="A1396" s="44">
        <v>1396.0</v>
      </c>
      <c r="B1396" s="129" t="s">
        <v>590</v>
      </c>
      <c r="C1396" s="62" t="s">
        <v>115</v>
      </c>
      <c r="D1396" s="62" t="s">
        <v>1234</v>
      </c>
      <c r="F1396" s="68" t="s">
        <v>7879</v>
      </c>
      <c r="G1396" s="159" t="s">
        <v>7880</v>
      </c>
      <c r="H1396" s="159" t="s">
        <v>7761</v>
      </c>
      <c r="I1396" s="1287" t="s">
        <v>119</v>
      </c>
      <c r="J1396" s="1542">
        <v>45758.0</v>
      </c>
      <c r="K1396" s="159" t="s">
        <v>138</v>
      </c>
      <c r="L1396" s="151" t="s">
        <v>7881</v>
      </c>
      <c r="M1396" s="151" t="s">
        <v>7825</v>
      </c>
      <c r="N1396" s="159" t="s">
        <v>7766</v>
      </c>
      <c r="O1396" s="156">
        <v>3.0</v>
      </c>
      <c r="P1396" s="382" t="s">
        <v>7767</v>
      </c>
      <c r="Q1396" s="52" t="str">
        <f t="array" ref="Q1396"> if(iserror(MATCH(V1396, 'File Links'!C:C, 0)), "N/A", HYPERLINK(INDEX('File Links'!B:B, MATCH(P1396, 'File Links'!C:C, 0))))</f>
        <v>https://drive.google.com/file/d/1w2KBBoT3U7JrwQsTrJduC-AS9fihTDq0/view?usp=drivesdk</v>
      </c>
      <c r="R1396" s="159" t="s">
        <v>7785</v>
      </c>
      <c r="S1396" s="159" t="s">
        <v>7786</v>
      </c>
      <c r="T1396" s="159" t="s">
        <v>138</v>
      </c>
      <c r="U1396" s="156">
        <v>3.0</v>
      </c>
      <c r="V1396" s="382" t="s">
        <v>7787</v>
      </c>
      <c r="W1396" s="380" t="s">
        <v>6637</v>
      </c>
      <c r="X1396" s="54" t="str">
        <f t="array" ref="X1396"> if(iserror(MATCH(V1396, 'File Links'!C:C, 0)), "N/A", HYPERLINK(INDEX('File Links'!B:B, MATCH(V1396, 'File Links'!C:C, 0))))</f>
        <v>https://drive.google.com/file/d/1G4tP3z0FT61HHKi1B51ImyPr28TywEAv/view?usp=drivesdk</v>
      </c>
      <c r="Y1396" s="159"/>
      <c r="Z1396" s="159" t="s">
        <v>226</v>
      </c>
      <c r="AA1396" s="159" t="s">
        <v>7771</v>
      </c>
      <c r="AB1396" s="159" t="s">
        <v>7789</v>
      </c>
      <c r="AC1396" s="1543" t="s">
        <v>7882</v>
      </c>
      <c r="AD1396" s="159" t="s">
        <v>7773</v>
      </c>
      <c r="AE1396" s="156">
        <v>2.0</v>
      </c>
      <c r="AF1396" s="156">
        <v>32.0</v>
      </c>
      <c r="AG1396" s="380" t="s">
        <v>7780</v>
      </c>
      <c r="AH1396" s="481" t="s">
        <v>134</v>
      </c>
      <c r="AI1396" s="380" t="s">
        <v>875</v>
      </c>
      <c r="AJ1396" s="156">
        <v>0.03</v>
      </c>
      <c r="AK1396" s="159" t="s">
        <v>172</v>
      </c>
      <c r="AL1396" s="159" t="s">
        <v>186</v>
      </c>
      <c r="AM1396" s="159" t="s">
        <v>137</v>
      </c>
      <c r="AN1396" s="159" t="s">
        <v>138</v>
      </c>
      <c r="AO1396" s="156">
        <v>45.0</v>
      </c>
      <c r="AP1396" s="1479">
        <v>0.14</v>
      </c>
      <c r="AQ1396" s="159" t="s">
        <v>7792</v>
      </c>
      <c r="AR1396" s="380" t="s">
        <v>813</v>
      </c>
      <c r="AS1396" s="159" t="s">
        <v>138</v>
      </c>
      <c r="AT1396" s="159" t="s">
        <v>172</v>
      </c>
      <c r="AU1396" s="159" t="s">
        <v>186</v>
      </c>
      <c r="AV1396" s="159" t="s">
        <v>137</v>
      </c>
      <c r="AW1396" s="159" t="s">
        <v>138</v>
      </c>
      <c r="AX1396" s="159" t="s">
        <v>143</v>
      </c>
      <c r="AY1396" s="61" t="str">
        <f>IFERROR(__xludf.DUMMYFUNCTION("vlookup(BB1396,importrange(""https://docs.google.com/spreadsheets/d/1d2vevQ_7D_v35q4wCQ4RpQ_IPoTwEMB9Yp6ymwlPqew/edit?gid=984458430#gid=984458430"", ""'replication success'!A:K""), 11, FAlSE)"),"#N/A")</f>
        <v>#N/A</v>
      </c>
      <c r="AZ1396" s="61" t="str">
        <f>IFERROR(__xludf.DUMMYFUNCTION("vlookup(BB1396,importrange(""https://docs.google.com/spreadsheets/d/1d2vevQ_7D_v35q4wCQ4RpQ_IPoTwEMB9Yp6ymwlPqew/edit?gid=984458430#gid=984458430"", ""'replication success'!A:M""), 12, FAlSE)"),"#N/A")</f>
        <v>#N/A</v>
      </c>
      <c r="BA1396" s="61" t="str">
        <f>IFERROR(__xludf.DUMMYFUNCTION("vlookup(BB1396,importrange(""https://docs.google.com/spreadsheets/d/1d2vevQ_7D_v35q4wCQ4RpQ_IPoTwEMB9Yp6ymwlPqew/edit?gid=984458430#gid=984458430"", ""'replication success'!A:M""), 13, FAlSE)"),"#N/A")</f>
        <v>#N/A</v>
      </c>
      <c r="BB1396" s="61" t="str">
        <f>IFERROR(__xludf.DUMMYFUNCTION("REGEXREPLACE(G1396, ""_[a-z]{1,2}$"", """")"),"curatescience46")</f>
        <v>curatescience46</v>
      </c>
      <c r="BC1396" s="68"/>
      <c r="BD1396" s="62" t="s">
        <v>7853</v>
      </c>
    </row>
    <row r="1397">
      <c r="A1397" s="44">
        <v>1397.0</v>
      </c>
      <c r="B1397" s="129" t="s">
        <v>590</v>
      </c>
      <c r="C1397" s="62" t="s">
        <v>115</v>
      </c>
      <c r="D1397" s="62" t="s">
        <v>1458</v>
      </c>
      <c r="F1397" s="68" t="s">
        <v>7879</v>
      </c>
      <c r="G1397" s="159" t="s">
        <v>7880</v>
      </c>
      <c r="H1397" s="159" t="s">
        <v>1518</v>
      </c>
      <c r="I1397" s="1287" t="s">
        <v>119</v>
      </c>
      <c r="J1397" s="1542">
        <v>45758.0</v>
      </c>
      <c r="K1397" s="159" t="s">
        <v>7883</v>
      </c>
      <c r="L1397" s="151" t="s">
        <v>7884</v>
      </c>
      <c r="M1397" s="151" t="s">
        <v>7825</v>
      </c>
      <c r="N1397" s="159" t="s">
        <v>7766</v>
      </c>
      <c r="O1397" s="156">
        <v>4.0</v>
      </c>
      <c r="P1397" s="382" t="s">
        <v>7767</v>
      </c>
      <c r="Q1397" s="52" t="str">
        <f t="array" ref="Q1397"> if(iserror(MATCH(V1397, 'File Links'!C:C, 0)), "N/A", HYPERLINK(INDEX('File Links'!B:B, MATCH(P1397, 'File Links'!C:C, 0))))</f>
        <v>https://drive.google.com/file/d/1w2KBBoT3U7JrwQsTrJduC-AS9fihTDq0/view?usp=drivesdk</v>
      </c>
      <c r="R1397" s="159" t="s">
        <v>7785</v>
      </c>
      <c r="S1397" s="159" t="s">
        <v>7786</v>
      </c>
      <c r="T1397" s="159" t="s">
        <v>138</v>
      </c>
      <c r="U1397" s="156">
        <v>4.0</v>
      </c>
      <c r="V1397" s="382" t="s">
        <v>7787</v>
      </c>
      <c r="W1397" s="159" t="s">
        <v>7794</v>
      </c>
      <c r="X1397" s="54" t="str">
        <f t="array" ref="X1397"> if(iserror(MATCH(V1397, 'File Links'!C:C, 0)), "N/A", HYPERLINK(INDEX('File Links'!B:B, MATCH(V1397, 'File Links'!C:C, 0))))</f>
        <v>https://drive.google.com/file/d/1G4tP3z0FT61HHKi1B51ImyPr28TywEAv/view?usp=drivesdk</v>
      </c>
      <c r="Y1397" s="159"/>
      <c r="Z1397" s="159" t="s">
        <v>226</v>
      </c>
      <c r="AA1397" s="159" t="s">
        <v>7771</v>
      </c>
      <c r="AB1397" s="159" t="s">
        <v>7795</v>
      </c>
      <c r="AC1397" s="1543" t="s">
        <v>7882</v>
      </c>
      <c r="AD1397" s="159" t="s">
        <v>7885</v>
      </c>
      <c r="AE1397" s="156">
        <v>2.0</v>
      </c>
      <c r="AF1397" s="156">
        <v>45.0</v>
      </c>
      <c r="AG1397" s="159" t="s">
        <v>7875</v>
      </c>
      <c r="AH1397" s="159" t="s">
        <v>134</v>
      </c>
      <c r="AI1397" s="159" t="s">
        <v>2771</v>
      </c>
      <c r="AJ1397" s="156">
        <v>0.025</v>
      </c>
      <c r="AK1397" s="159" t="s">
        <v>172</v>
      </c>
      <c r="AL1397" s="159" t="s">
        <v>186</v>
      </c>
      <c r="AM1397" s="159" t="s">
        <v>137</v>
      </c>
      <c r="AN1397" s="159" t="s">
        <v>138</v>
      </c>
      <c r="AO1397" s="156">
        <v>28.0</v>
      </c>
      <c r="AP1397" s="1543">
        <v>0.2</v>
      </c>
      <c r="AQ1397" s="481" t="s">
        <v>7792</v>
      </c>
      <c r="AR1397" s="151" t="s">
        <v>7886</v>
      </c>
      <c r="AS1397" s="159" t="s">
        <v>138</v>
      </c>
      <c r="AT1397" s="159" t="s">
        <v>172</v>
      </c>
      <c r="AU1397" s="159" t="s">
        <v>186</v>
      </c>
      <c r="AV1397" s="159" t="s">
        <v>137</v>
      </c>
      <c r="AW1397" s="68" t="s">
        <v>138</v>
      </c>
      <c r="AX1397" s="159" t="s">
        <v>143</v>
      </c>
      <c r="AY1397" s="61" t="str">
        <f>IFERROR(__xludf.DUMMYFUNCTION("vlookup(BB1397,importrange(""https://docs.google.com/spreadsheets/d/1d2vevQ_7D_v35q4wCQ4RpQ_IPoTwEMB9Yp6ymwlPqew/edit?gid=984458430#gid=984458430"", ""'replication success'!A:K""), 11, FAlSE)"),"#N/A")</f>
        <v>#N/A</v>
      </c>
      <c r="AZ1397" s="61" t="str">
        <f>IFERROR(__xludf.DUMMYFUNCTION("vlookup(BB1397,importrange(""https://docs.google.com/spreadsheets/d/1d2vevQ_7D_v35q4wCQ4RpQ_IPoTwEMB9Yp6ymwlPqew/edit?gid=984458430#gid=984458430"", ""'replication success'!A:M""), 12, FAlSE)"),"#N/A")</f>
        <v>#N/A</v>
      </c>
      <c r="BA1397" s="61" t="str">
        <f>IFERROR(__xludf.DUMMYFUNCTION("vlookup(BB1397,importrange(""https://docs.google.com/spreadsheets/d/1d2vevQ_7D_v35q4wCQ4RpQ_IPoTwEMB9Yp6ymwlPqew/edit?gid=984458430#gid=984458430"", ""'replication success'!A:M""), 13, FAlSE)"),"#N/A")</f>
        <v>#N/A</v>
      </c>
      <c r="BB1397" s="61" t="str">
        <f>IFERROR(__xludf.DUMMYFUNCTION("REGEXREPLACE(G1397, ""_[a-z]{1,2}$"", """")"),"curatescience46")</f>
        <v>curatescience46</v>
      </c>
      <c r="BD1397" s="62" t="s">
        <v>7853</v>
      </c>
    </row>
    <row r="1398">
      <c r="A1398" s="44">
        <v>1398.0</v>
      </c>
      <c r="B1398" s="129" t="s">
        <v>152</v>
      </c>
      <c r="C1398" s="62" t="s">
        <v>115</v>
      </c>
      <c r="D1398" s="62" t="s">
        <v>1234</v>
      </c>
      <c r="F1398" s="68" t="s">
        <v>7887</v>
      </c>
      <c r="G1398" s="159" t="s">
        <v>7888</v>
      </c>
      <c r="H1398" s="159" t="s">
        <v>7761</v>
      </c>
      <c r="I1398" s="1287" t="s">
        <v>119</v>
      </c>
      <c r="J1398" s="1542">
        <v>45758.0</v>
      </c>
      <c r="K1398" s="159" t="s">
        <v>7889</v>
      </c>
      <c r="L1398" s="151" t="s">
        <v>7890</v>
      </c>
      <c r="M1398" s="151" t="s">
        <v>7825</v>
      </c>
      <c r="N1398" s="159" t="s">
        <v>7766</v>
      </c>
      <c r="O1398" s="156">
        <v>4.0</v>
      </c>
      <c r="P1398" s="382" t="s">
        <v>7767</v>
      </c>
      <c r="Q1398" s="52" t="str">
        <f t="array" ref="Q1398"> if(iserror(MATCH(V1398, 'File Links'!C:C, 0)), "N/A", HYPERLINK(INDEX('File Links'!B:B, MATCH(P1398, 'File Links'!C:C, 0))))</f>
        <v>https://drive.google.com/file/d/1w2KBBoT3U7JrwQsTrJduC-AS9fihTDq0/view?usp=drivesdk</v>
      </c>
      <c r="R1398" s="159" t="s">
        <v>7891</v>
      </c>
      <c r="S1398" s="159" t="s">
        <v>7892</v>
      </c>
      <c r="T1398" s="159" t="s">
        <v>138</v>
      </c>
      <c r="U1398" s="378">
        <v>1.0</v>
      </c>
      <c r="V1398" s="382" t="s">
        <v>7893</v>
      </c>
      <c r="W1398" s="380" t="s">
        <v>7894</v>
      </c>
      <c r="X1398" s="54" t="str">
        <f t="array" ref="X1398"> if(iserror(MATCH(V1398, 'File Links'!C:C, 0)), "N/A", HYPERLINK(INDEX('File Links'!B:B, MATCH(V1398, 'File Links'!C:C, 0))))</f>
        <v>https://drive.google.com/file/d/1_Adjy9YHg45Gx42zRW_GMddJujIpRnLp/view?usp=drivesdk</v>
      </c>
      <c r="Y1398" s="159"/>
      <c r="Z1398" s="159" t="s">
        <v>226</v>
      </c>
      <c r="AA1398" s="159" t="s">
        <v>7771</v>
      </c>
      <c r="AB1398" s="1547" t="s">
        <v>7895</v>
      </c>
      <c r="AC1398" s="1543" t="s">
        <v>7882</v>
      </c>
      <c r="AD1398" s="481" t="s">
        <v>7885</v>
      </c>
      <c r="AE1398" s="156">
        <v>2.0</v>
      </c>
      <c r="AF1398" s="156">
        <v>45.0</v>
      </c>
      <c r="AG1398" s="380" t="s">
        <v>7878</v>
      </c>
      <c r="AH1398" s="481" t="s">
        <v>134</v>
      </c>
      <c r="AI1398" s="481" t="s">
        <v>2771</v>
      </c>
      <c r="AJ1398" s="864">
        <v>0.025</v>
      </c>
      <c r="AK1398" s="159" t="s">
        <v>172</v>
      </c>
      <c r="AL1398" s="159" t="s">
        <v>186</v>
      </c>
      <c r="AM1398" s="159" t="s">
        <v>137</v>
      </c>
      <c r="AN1398" s="159" t="s">
        <v>138</v>
      </c>
      <c r="AO1398" s="156">
        <v>57.0</v>
      </c>
      <c r="AP1398" s="156">
        <v>0.076</v>
      </c>
      <c r="AQ1398" s="159" t="s">
        <v>874</v>
      </c>
      <c r="AR1398" s="481" t="s">
        <v>507</v>
      </c>
      <c r="AS1398" s="864">
        <v>0.001</v>
      </c>
      <c r="AT1398" s="159" t="s">
        <v>135</v>
      </c>
      <c r="AU1398" s="159" t="s">
        <v>186</v>
      </c>
      <c r="AV1398" s="159" t="s">
        <v>137</v>
      </c>
      <c r="AW1398" s="159" t="s">
        <v>138</v>
      </c>
      <c r="AX1398" s="159" t="s">
        <v>151</v>
      </c>
      <c r="AY1398" s="61" t="str">
        <f>IFERROR(__xludf.DUMMYFUNCTION("vlookup(BB1398,importrange(""https://docs.google.com/spreadsheets/d/1d2vevQ_7D_v35q4wCQ4RpQ_IPoTwEMB9Yp6ymwlPqew/edit?gid=984458430#gid=984458430"", ""'replication success'!A:K""), 11, FAlSE)"),"successful")</f>
        <v>successful</v>
      </c>
      <c r="AZ1398" s="61" t="str">
        <f>IFERROR(__xludf.DUMMYFUNCTION("vlookup(BB1398,importrange(""https://docs.google.com/spreadsheets/d/1d2vevQ_7D_v35q4wCQ4RpQ_IPoTwEMB9Yp6ymwlPqew/edit?gid=984458430#gid=984458430"", ""'replication success'!A:M""), 12, FAlSE)"),"Replicating previous
findings, physical cleaning reduced the willingness to help and relieved moral emotions. As predicted, this effect was
particularly prominent among participants with OCD.")</f>
        <v>Replicating previous
findings, physical cleaning reduced the willingness to help and relieved moral emotions. As predicted, this effect was
particularly prominent among participants with OCD.</v>
      </c>
      <c r="BA1398" s="61" t="str">
        <f>IFERROR(__xludf.DUMMYFUNCTION("vlookup(BB1398,importrange(""https://docs.google.com/spreadsheets/d/1d2vevQ_7D_v35q4wCQ4RpQ_IPoTwEMB9Yp6ymwlPqew/edit?gid=984458430#gid=984458430"", ""'replication success'!A:M""), 13, FAlSE)"),"abstract")</f>
        <v>abstract</v>
      </c>
      <c r="BB1398" s="61" t="str">
        <f>IFERROR(__xludf.DUMMYFUNCTION("REGEXREPLACE(G1398, ""_[a-z]{1,2}$"", """")"),"curatescience47")</f>
        <v>curatescience47</v>
      </c>
      <c r="BC1398" s="68"/>
      <c r="BD1398" s="62" t="s">
        <v>7853</v>
      </c>
    </row>
    <row r="1399">
      <c r="A1399" s="44">
        <v>1399.0</v>
      </c>
      <c r="B1399" s="129" t="s">
        <v>114</v>
      </c>
      <c r="C1399" s="62" t="s">
        <v>115</v>
      </c>
      <c r="D1399" s="62" t="s">
        <v>1458</v>
      </c>
      <c r="F1399" s="68" t="s">
        <v>7887</v>
      </c>
      <c r="G1399" s="159" t="s">
        <v>7888</v>
      </c>
      <c r="H1399" s="159" t="s">
        <v>1518</v>
      </c>
      <c r="I1399" s="1287" t="s">
        <v>119</v>
      </c>
      <c r="J1399" s="1542">
        <v>45758.0</v>
      </c>
      <c r="K1399" s="159" t="s">
        <v>7896</v>
      </c>
      <c r="L1399" s="151" t="s">
        <v>7897</v>
      </c>
      <c r="M1399" s="151" t="s">
        <v>7825</v>
      </c>
      <c r="N1399" s="159" t="s">
        <v>7766</v>
      </c>
      <c r="O1399" s="156">
        <v>4.0</v>
      </c>
      <c r="P1399" s="382" t="s">
        <v>7767</v>
      </c>
      <c r="Q1399" s="52" t="str">
        <f t="array" ref="Q1399"> if(iserror(MATCH(V1399, 'File Links'!C:C, 0)), "N/A", HYPERLINK(INDEX('File Links'!B:B, MATCH(P1399, 'File Links'!C:C, 0))))</f>
        <v>https://drive.google.com/file/d/1w2KBBoT3U7JrwQsTrJduC-AS9fihTDq0/view?usp=drivesdk</v>
      </c>
      <c r="R1399" s="159" t="s">
        <v>7891</v>
      </c>
      <c r="S1399" s="159" t="s">
        <v>7892</v>
      </c>
      <c r="T1399" s="159" t="s">
        <v>138</v>
      </c>
      <c r="U1399" s="156">
        <v>1.0</v>
      </c>
      <c r="V1399" s="382" t="s">
        <v>7893</v>
      </c>
      <c r="W1399" s="159" t="s">
        <v>7898</v>
      </c>
      <c r="X1399" s="54" t="str">
        <f t="array" ref="X1399"> if(iserror(MATCH(V1399, 'File Links'!C:C, 0)), "N/A", HYPERLINK(INDEX('File Links'!B:B, MATCH(V1399, 'File Links'!C:C, 0))))</f>
        <v>https://drive.google.com/file/d/1_Adjy9YHg45Gx42zRW_GMddJujIpRnLp/view?usp=drivesdk</v>
      </c>
      <c r="Y1399" s="159"/>
      <c r="Z1399" s="159" t="s">
        <v>226</v>
      </c>
      <c r="AA1399" s="159" t="s">
        <v>7771</v>
      </c>
      <c r="AB1399" s="159" t="s">
        <v>7795</v>
      </c>
      <c r="AC1399" s="1543" t="s">
        <v>7882</v>
      </c>
      <c r="AD1399" s="159" t="s">
        <v>7885</v>
      </c>
      <c r="AE1399" s="156">
        <v>2.0</v>
      </c>
      <c r="AF1399" s="156">
        <v>45.0</v>
      </c>
      <c r="AG1399" s="159" t="s">
        <v>7875</v>
      </c>
      <c r="AH1399" s="159" t="s">
        <v>134</v>
      </c>
      <c r="AI1399" s="159" t="s">
        <v>2771</v>
      </c>
      <c r="AJ1399" s="156">
        <v>0.025</v>
      </c>
      <c r="AK1399" s="159" t="s">
        <v>172</v>
      </c>
      <c r="AL1399" s="159" t="s">
        <v>186</v>
      </c>
      <c r="AM1399" s="159" t="s">
        <v>137</v>
      </c>
      <c r="AN1399" s="159" t="s">
        <v>138</v>
      </c>
      <c r="AO1399" s="378">
        <v>57.0</v>
      </c>
      <c r="AP1399" s="156">
        <v>0.076</v>
      </c>
      <c r="AQ1399" s="159" t="s">
        <v>139</v>
      </c>
      <c r="AR1399" s="159" t="s">
        <v>507</v>
      </c>
      <c r="AS1399" s="156">
        <v>0.001</v>
      </c>
      <c r="AT1399" s="159" t="s">
        <v>135</v>
      </c>
      <c r="AU1399" s="159" t="s">
        <v>186</v>
      </c>
      <c r="AV1399" s="159" t="s">
        <v>137</v>
      </c>
      <c r="AW1399" s="68" t="s">
        <v>138</v>
      </c>
      <c r="AX1399" s="159" t="s">
        <v>143</v>
      </c>
      <c r="AY1399" s="61" t="str">
        <f>IFERROR(__xludf.DUMMYFUNCTION("vlookup(BB1399,importrange(""https://docs.google.com/spreadsheets/d/1d2vevQ_7D_v35q4wCQ4RpQ_IPoTwEMB9Yp6ymwlPqew/edit?gid=984458430#gid=984458430"", ""'replication success'!A:K""), 11, FAlSE)"),"successful")</f>
        <v>successful</v>
      </c>
      <c r="AZ1399" s="61" t="str">
        <f>IFERROR(__xludf.DUMMYFUNCTION("vlookup(BB1399,importrange(""https://docs.google.com/spreadsheets/d/1d2vevQ_7D_v35q4wCQ4RpQ_IPoTwEMB9Yp6ymwlPqew/edit?gid=984458430#gid=984458430"", ""'replication success'!A:M""), 12, FAlSE)"),"Replicating previous
findings, physical cleaning reduced the willingness to help and relieved moral emotions. As predicted, this effect was
particularly prominent among participants with OCD.")</f>
        <v>Replicating previous
findings, physical cleaning reduced the willingness to help and relieved moral emotions. As predicted, this effect was
particularly prominent among participants with OCD.</v>
      </c>
      <c r="BA1399" s="61" t="str">
        <f>IFERROR(__xludf.DUMMYFUNCTION("vlookup(BB1399,importrange(""https://docs.google.com/spreadsheets/d/1d2vevQ_7D_v35q4wCQ4RpQ_IPoTwEMB9Yp6ymwlPqew/edit?gid=984458430#gid=984458430"", ""'replication success'!A:M""), 13, FAlSE)"),"abstract")</f>
        <v>abstract</v>
      </c>
      <c r="BB1399" s="61" t="str">
        <f>IFERROR(__xludf.DUMMYFUNCTION("REGEXREPLACE(G1399, ""_[a-z]{1,2}$"", """")"),"curatescience47")</f>
        <v>curatescience47</v>
      </c>
      <c r="BD1399" s="62" t="s">
        <v>7853</v>
      </c>
    </row>
    <row r="1400">
      <c r="A1400" s="44">
        <v>1400.0</v>
      </c>
      <c r="B1400" s="1548" t="s">
        <v>114</v>
      </c>
      <c r="C1400" s="1548" t="s">
        <v>115</v>
      </c>
      <c r="D1400" s="1457" t="s">
        <v>2630</v>
      </c>
      <c r="E1400" s="1549"/>
      <c r="F1400" s="68" t="s">
        <v>7899</v>
      </c>
      <c r="G1400" s="57" t="s">
        <v>7900</v>
      </c>
      <c r="H1400" s="159" t="s">
        <v>7417</v>
      </c>
      <c r="I1400" s="1550">
        <v>45292.0</v>
      </c>
      <c r="J1400" s="434">
        <v>45681.0</v>
      </c>
      <c r="K1400" s="68"/>
      <c r="L1400" s="339" t="s">
        <v>7350</v>
      </c>
      <c r="M1400" s="339" t="s">
        <v>7901</v>
      </c>
      <c r="N1400" s="437" t="s">
        <v>7902</v>
      </c>
      <c r="O1400" s="156">
        <v>2.0</v>
      </c>
      <c r="P1400" s="382" t="s">
        <v>7903</v>
      </c>
      <c r="Q1400" s="1551" t="str">
        <f> hyperlink(vlookup(lower(N1400),'File Links'!E:F, 2, FALSE), "LINK")</f>
        <v>LINK</v>
      </c>
      <c r="R1400" s="339" t="s">
        <v>7904</v>
      </c>
      <c r="S1400" s="437" t="s">
        <v>7905</v>
      </c>
      <c r="T1400" s="68"/>
      <c r="U1400" s="156">
        <v>1.0</v>
      </c>
      <c r="V1400" s="382" t="s">
        <v>7906</v>
      </c>
      <c r="W1400" s="140" t="s">
        <v>164</v>
      </c>
      <c r="X1400" s="1552" t="str">
        <f> hyperlink(vlookup(lower(S1400),'File Links'!E:F, 2, FALSE), "LINK")</f>
        <v>LINK</v>
      </c>
      <c r="Y1400" s="68"/>
      <c r="Z1400" s="437" t="s">
        <v>226</v>
      </c>
      <c r="AA1400" s="437" t="s">
        <v>7907</v>
      </c>
      <c r="AB1400" s="437" t="s">
        <v>7908</v>
      </c>
      <c r="AC1400" s="437" t="s">
        <v>7909</v>
      </c>
      <c r="AD1400" s="437" t="s">
        <v>7910</v>
      </c>
      <c r="AE1400" s="828">
        <v>55.0</v>
      </c>
      <c r="AF1400" s="828">
        <v>71.0</v>
      </c>
      <c r="AG1400" s="828">
        <v>0.34</v>
      </c>
      <c r="AH1400" s="1553" t="s">
        <v>173</v>
      </c>
      <c r="AI1400" s="376" t="s">
        <v>7911</v>
      </c>
      <c r="AJ1400" s="831">
        <v>0.02</v>
      </c>
      <c r="AK1400" s="437" t="s">
        <v>172</v>
      </c>
      <c r="AL1400" s="376" t="s">
        <v>136</v>
      </c>
      <c r="AM1400" s="832" t="s">
        <v>137</v>
      </c>
      <c r="AN1400" s="68"/>
      <c r="AO1400" s="828">
        <v>148.0</v>
      </c>
      <c r="AP1400" s="828">
        <v>0.16</v>
      </c>
      <c r="AQ1400" s="437" t="s">
        <v>173</v>
      </c>
      <c r="AR1400" s="437" t="s">
        <v>7912</v>
      </c>
      <c r="AS1400" s="828">
        <v>0.37</v>
      </c>
      <c r="AT1400" s="437" t="s">
        <v>335</v>
      </c>
      <c r="AU1400" s="437" t="s">
        <v>136</v>
      </c>
      <c r="AV1400" s="832" t="s">
        <v>137</v>
      </c>
      <c r="AW1400" s="1554" t="s">
        <v>7913</v>
      </c>
      <c r="AX1400" s="832" t="s">
        <v>143</v>
      </c>
      <c r="AY1400" s="61" t="str">
        <f>IFERROR(__xludf.DUMMYFUNCTION("vlookup(BB1400,importrange(""https://docs.google.com/spreadsheets/d/1d2vevQ_7D_v35q4wCQ4RpQ_IPoTwEMB9Yp6ymwlPqew/edit?gid=984458430#gid=984458430"", ""'replication success'!A:K""), 11, FAlSE)"),"failed")</f>
        <v>failed</v>
      </c>
      <c r="AZ1400" s="61" t="str">
        <f>IFERROR(__xludf.DUMMYFUNCTION("vlookup(BB1400,importrange(""https://docs.google.com/spreadsheets/d/1d2vevQ_7D_v35q4wCQ4RpQ_IPoTwEMB9Yp6ymwlPqew/edit?gid=984458430#gid=984458430"", ""'replication success'!A:M""), 12, FAlSE)"),"Despite considerable effort to closely
duplicate all procedural and methodological details of the original study (i.e., same cover story, experimental manipula-
tion, implicit measure task, original stimuli, task instructions, sampling frame, population"&amp;", and statistical analyses), both replication attempts were unsuccessful in replicating the original finding challenging the theoretical account that 1/f noise
in racial bias tasks reflects a deliberative process.")</f>
        <v>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v>
      </c>
      <c r="BA1400" s="61" t="str">
        <f>IFERROR(__xludf.DUMMYFUNCTION("vlookup(BB1400,importrange(""https://docs.google.com/spreadsheets/d/1d2vevQ_7D_v35q4wCQ4RpQ_IPoTwEMB9Yp6ymwlPqew/edit?gid=984458430#gid=984458430"", ""'replication success'!A:M""), 13, FAlSE)"),"abstract")</f>
        <v>abstract</v>
      </c>
      <c r="BB1400" s="61" t="str">
        <f>IFERROR(__xludf.DUMMYFUNCTION("REGEXREPLACE(G1400, ""_[a-z]{1,2}$"", """")"),"curatescience48")</f>
        <v>curatescience48</v>
      </c>
      <c r="BC1400" s="68"/>
      <c r="BD1400" s="338"/>
      <c r="BE1400" s="68"/>
      <c r="BF1400" s="68"/>
      <c r="BG1400" s="68"/>
      <c r="BH1400" s="68"/>
      <c r="BI1400" s="68"/>
      <c r="BJ1400" s="68"/>
      <c r="BN1400" s="107"/>
      <c r="BO1400" s="107"/>
      <c r="BP1400" s="107"/>
      <c r="BQ1400" s="107"/>
      <c r="BR1400" s="107"/>
      <c r="BS1400" s="107"/>
      <c r="BT1400" s="107"/>
      <c r="BU1400" s="107"/>
      <c r="BV1400" s="107"/>
      <c r="BW1400" s="107"/>
      <c r="BX1400" s="107"/>
      <c r="BY1400" s="107"/>
      <c r="BZ1400" s="107"/>
      <c r="CA1400" s="107"/>
      <c r="CB1400" s="107"/>
      <c r="CC1400" s="107"/>
      <c r="CD1400" s="107"/>
      <c r="CE1400" s="107"/>
      <c r="CF1400" s="107"/>
      <c r="CG1400" s="107"/>
      <c r="CH1400" s="107"/>
      <c r="CI1400" s="107"/>
      <c r="CJ1400" s="107"/>
      <c r="CK1400" s="107"/>
      <c r="CL1400" s="107"/>
      <c r="CM1400" s="107"/>
      <c r="CN1400" s="107"/>
      <c r="CO1400" s="107"/>
      <c r="CP1400" s="107"/>
      <c r="CQ1400" s="107"/>
      <c r="CR1400" s="107"/>
      <c r="CS1400" s="107"/>
      <c r="CT1400" s="107"/>
      <c r="CU1400" s="107"/>
      <c r="CV1400" s="107"/>
      <c r="CW1400" s="107"/>
      <c r="CX1400" s="107"/>
      <c r="CY1400" s="107"/>
      <c r="CZ1400" s="107"/>
      <c r="DA1400" s="107"/>
      <c r="DB1400" s="107"/>
      <c r="DC1400" s="107"/>
      <c r="DD1400" s="107"/>
      <c r="DE1400" s="107"/>
      <c r="DF1400" s="107"/>
      <c r="DG1400" s="107"/>
      <c r="DH1400" s="107"/>
      <c r="DI1400" s="107"/>
      <c r="DJ1400" s="107"/>
      <c r="DK1400" s="107"/>
      <c r="DL1400" s="107"/>
    </row>
    <row r="1401">
      <c r="A1401" s="44">
        <v>1401.0</v>
      </c>
      <c r="B1401" s="124" t="s">
        <v>152</v>
      </c>
      <c r="C1401" s="124" t="s">
        <v>115</v>
      </c>
      <c r="D1401" s="124" t="s">
        <v>1270</v>
      </c>
      <c r="E1401" s="107"/>
      <c r="F1401" s="1555" t="s">
        <v>7899</v>
      </c>
      <c r="G1401" s="119" t="s">
        <v>7900</v>
      </c>
      <c r="H1401" s="140" t="s">
        <v>5024</v>
      </c>
      <c r="I1401" s="127">
        <v>45646.0</v>
      </c>
      <c r="J1401" s="1539">
        <v>45684.0</v>
      </c>
      <c r="K1401" s="140" t="s">
        <v>7914</v>
      </c>
      <c r="L1401" s="140"/>
      <c r="M1401" s="119" t="s">
        <v>7915</v>
      </c>
      <c r="N1401" s="140" t="s">
        <v>7902</v>
      </c>
      <c r="O1401" s="782">
        <v>2.0</v>
      </c>
      <c r="P1401" s="140" t="s">
        <v>7903</v>
      </c>
      <c r="Q1401" s="52" t="str">
        <f t="array" ref="Q1401"> if(iserror(MATCH(V1401, 'File Links'!C:C, 0)), "N/A", HYPERLINK(INDEX('File Links'!B:B, MATCH(P1401, 'File Links'!C:C, 0))))</f>
        <v>https://drive.google.com/file/d/12hPE3_ROkrr-EwAg8DQR8e8OYrtwuoYT/view?usp=drivesdk</v>
      </c>
      <c r="R1401" s="116" t="s">
        <v>7916</v>
      </c>
      <c r="S1401" s="140" t="s">
        <v>7905</v>
      </c>
      <c r="T1401" s="125"/>
      <c r="U1401" s="782">
        <v>1.0</v>
      </c>
      <c r="V1401" s="198" t="str">
        <f> hyperlink(vlookup(lower(S1401),#REF!, 2, FALSE), SUBSTITUTE(lower(S1401), "/", "--") &amp;  ".pdf")</f>
        <v>10.3758--s13423-014-0757-4.pdf</v>
      </c>
      <c r="W1401" s="140" t="s">
        <v>164</v>
      </c>
      <c r="X1401" s="54" t="str">
        <f t="array" ref="X1401"> if(iserror(MATCH(V1401, 'File Links'!C:C, 0)), "N/A", HYPERLINK(INDEX('File Links'!B:B, MATCH(V1401, 'File Links'!C:C, 0))))</f>
        <v>https://drive.google.com/file/d/1p5ydRsZ4brAO2FqzQtlUbRAhPkcmRVgm/view?usp=drivesdk</v>
      </c>
      <c r="Y1401" s="125"/>
      <c r="Z1401" s="140" t="s">
        <v>226</v>
      </c>
      <c r="AA1401" s="140" t="s">
        <v>7917</v>
      </c>
      <c r="AB1401" s="140" t="s">
        <v>7918</v>
      </c>
      <c r="AC1401" s="140" t="s">
        <v>7919</v>
      </c>
      <c r="AD1401" s="119" t="s">
        <v>7920</v>
      </c>
      <c r="AE1401" s="1556">
        <v>45574.0</v>
      </c>
      <c r="AF1401" s="782">
        <v>71.0</v>
      </c>
      <c r="AG1401" s="140" t="s">
        <v>7921</v>
      </c>
      <c r="AH1401" s="223" t="s">
        <v>134</v>
      </c>
      <c r="AI1401" s="126" t="s">
        <v>628</v>
      </c>
      <c r="AJ1401" s="130">
        <v>0.02</v>
      </c>
      <c r="AK1401" s="140" t="s">
        <v>135</v>
      </c>
      <c r="AL1401" s="126" t="s">
        <v>186</v>
      </c>
      <c r="AM1401" s="125" t="s">
        <v>137</v>
      </c>
      <c r="AN1401" s="330" t="s">
        <v>138</v>
      </c>
      <c r="AO1401" s="782">
        <v>148.0</v>
      </c>
      <c r="AP1401" s="782">
        <v>0.16</v>
      </c>
      <c r="AQ1401" s="140" t="s">
        <v>173</v>
      </c>
      <c r="AR1401" s="140" t="s">
        <v>496</v>
      </c>
      <c r="AS1401" s="782">
        <v>0.37</v>
      </c>
      <c r="AT1401" s="140" t="s">
        <v>172</v>
      </c>
      <c r="AU1401" s="140" t="s">
        <v>186</v>
      </c>
      <c r="AV1401" s="125" t="s">
        <v>137</v>
      </c>
      <c r="AW1401" s="1557" t="s">
        <v>7913</v>
      </c>
      <c r="AX1401" s="909" t="s">
        <v>143</v>
      </c>
      <c r="AY1401" s="61" t="str">
        <f>IFERROR(__xludf.DUMMYFUNCTION("vlookup(BB1401,importrange(""https://docs.google.com/spreadsheets/d/1d2vevQ_7D_v35q4wCQ4RpQ_IPoTwEMB9Yp6ymwlPqew/edit?gid=984458430#gid=984458430"", ""'replication success'!A:K""), 11, FAlSE)"),"failed")</f>
        <v>failed</v>
      </c>
      <c r="AZ1401" s="61" t="str">
        <f>IFERROR(__xludf.DUMMYFUNCTION("vlookup(BB1401,importrange(""https://docs.google.com/spreadsheets/d/1d2vevQ_7D_v35q4wCQ4RpQ_IPoTwEMB9Yp6ymwlPqew/edit?gid=984458430#gid=984458430"", ""'replication success'!A:M""), 12, FAlSE)"),"Despite considerable effort to closely
duplicate all procedural and methodological details of the original study (i.e., same cover story, experimental manipula-
tion, implicit measure task, original stimuli, task instructions, sampling frame, population"&amp;", and statistical analyses), both replication attempts were unsuccessful in replicating the original finding challenging the theoretical account that 1/f noise
in racial bias tasks reflects a deliberative process.")</f>
        <v>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v>
      </c>
      <c r="BA1401" s="61" t="str">
        <f>IFERROR(__xludf.DUMMYFUNCTION("vlookup(BB1401,importrange(""https://docs.google.com/spreadsheets/d/1d2vevQ_7D_v35q4wCQ4RpQ_IPoTwEMB9Yp6ymwlPqew/edit?gid=984458430#gid=984458430"", ""'replication success'!A:M""), 13, FAlSE)"),"abstract")</f>
        <v>abstract</v>
      </c>
      <c r="BB1401" s="61" t="str">
        <f>IFERROR(__xludf.DUMMYFUNCTION("REGEXREPLACE(G1401, ""_[a-z]{1,2}$"", """")"),"curatescience48")</f>
        <v>curatescience48</v>
      </c>
      <c r="BC1401" s="107"/>
      <c r="BD1401" s="124" t="s">
        <v>144</v>
      </c>
      <c r="BN1401" s="107"/>
      <c r="BO1401" s="107"/>
      <c r="BP1401" s="107"/>
      <c r="BQ1401" s="107"/>
      <c r="BR1401" s="107"/>
      <c r="BS1401" s="107"/>
      <c r="BT1401" s="107"/>
      <c r="BU1401" s="107"/>
      <c r="BV1401" s="107"/>
      <c r="BW1401" s="107"/>
      <c r="BX1401" s="107"/>
      <c r="BY1401" s="107"/>
      <c r="BZ1401" s="107"/>
      <c r="CA1401" s="107"/>
      <c r="CB1401" s="107"/>
      <c r="CC1401" s="107"/>
      <c r="CD1401" s="107"/>
      <c r="CE1401" s="107"/>
      <c r="CF1401" s="107"/>
      <c r="CG1401" s="107"/>
      <c r="CH1401" s="107"/>
      <c r="CI1401" s="107"/>
      <c r="CJ1401" s="107"/>
      <c r="CK1401" s="107"/>
      <c r="CL1401" s="107"/>
      <c r="CM1401" s="107"/>
      <c r="CN1401" s="107"/>
      <c r="CO1401" s="107"/>
      <c r="CP1401" s="107"/>
      <c r="CQ1401" s="107"/>
      <c r="CR1401" s="107"/>
      <c r="CS1401" s="107"/>
      <c r="CT1401" s="107"/>
      <c r="CU1401" s="107"/>
      <c r="CV1401" s="107"/>
      <c r="CW1401" s="107"/>
      <c r="CX1401" s="107"/>
      <c r="CY1401" s="107"/>
      <c r="CZ1401" s="107"/>
      <c r="DA1401" s="107"/>
      <c r="DB1401" s="107"/>
      <c r="DC1401" s="107"/>
      <c r="DD1401" s="107"/>
      <c r="DE1401" s="107"/>
      <c r="DF1401" s="107"/>
      <c r="DG1401" s="107"/>
      <c r="DH1401" s="107"/>
      <c r="DI1401" s="107"/>
      <c r="DJ1401" s="107"/>
      <c r="DK1401" s="107"/>
      <c r="DL1401" s="107"/>
    </row>
    <row r="1402">
      <c r="A1402" s="44">
        <v>1402.0</v>
      </c>
      <c r="B1402" s="1548" t="s">
        <v>114</v>
      </c>
      <c r="C1402" s="1548" t="s">
        <v>115</v>
      </c>
      <c r="D1402" s="1548" t="s">
        <v>2630</v>
      </c>
      <c r="E1402" s="1549"/>
      <c r="F1402" s="338" t="s">
        <v>7922</v>
      </c>
      <c r="G1402" s="57" t="s">
        <v>7923</v>
      </c>
      <c r="H1402" s="159" t="s">
        <v>7417</v>
      </c>
      <c r="I1402" s="1550">
        <v>45292.0</v>
      </c>
      <c r="J1402" s="434">
        <v>45681.0</v>
      </c>
      <c r="K1402" s="68"/>
      <c r="L1402" s="159" t="s">
        <v>7350</v>
      </c>
      <c r="M1402" s="339" t="s">
        <v>7901</v>
      </c>
      <c r="N1402" s="437" t="s">
        <v>7902</v>
      </c>
      <c r="O1402" s="156">
        <v>2.0</v>
      </c>
      <c r="P1402" s="382" t="s">
        <v>7903</v>
      </c>
      <c r="Q1402" s="1551" t="str">
        <f> HYPERLINK(VLOOKUP(LOWER(N1402),'File Links'!E:F, 2, FALSE), "LINK")</f>
        <v>LINK</v>
      </c>
      <c r="R1402" s="339" t="s">
        <v>7924</v>
      </c>
      <c r="S1402" s="437" t="s">
        <v>7905</v>
      </c>
      <c r="T1402" s="68"/>
      <c r="U1402" s="156">
        <v>2.0</v>
      </c>
      <c r="V1402" s="382" t="s">
        <v>7906</v>
      </c>
      <c r="W1402" s="140" t="s">
        <v>164</v>
      </c>
      <c r="X1402" s="1552" t="str">
        <f> hyperlink(vlookup(lower(S1402),'File Links'!E:F, 2, FALSE), "LINK")</f>
        <v>LINK</v>
      </c>
      <c r="Y1402" s="68"/>
      <c r="Z1402" s="437" t="s">
        <v>226</v>
      </c>
      <c r="AA1402" s="437" t="s">
        <v>7907</v>
      </c>
      <c r="AB1402" s="437" t="s">
        <v>7908</v>
      </c>
      <c r="AC1402" s="437" t="s">
        <v>7925</v>
      </c>
      <c r="AD1402" s="437" t="s">
        <v>7910</v>
      </c>
      <c r="AE1402" s="828">
        <v>55.0</v>
      </c>
      <c r="AF1402" s="828">
        <v>71.0</v>
      </c>
      <c r="AG1402" s="828">
        <v>0.34</v>
      </c>
      <c r="AH1402" s="1553" t="s">
        <v>173</v>
      </c>
      <c r="AI1402" s="376" t="s">
        <v>7911</v>
      </c>
      <c r="AJ1402" s="831">
        <v>0.02</v>
      </c>
      <c r="AK1402" s="437" t="s">
        <v>172</v>
      </c>
      <c r="AL1402" s="376" t="s">
        <v>136</v>
      </c>
      <c r="AM1402" s="832" t="s">
        <v>137</v>
      </c>
      <c r="AN1402" s="68"/>
      <c r="AO1402" s="828">
        <v>148.0</v>
      </c>
      <c r="AP1402" s="828">
        <v>0.09</v>
      </c>
      <c r="AQ1402" s="437" t="s">
        <v>173</v>
      </c>
      <c r="AR1402" s="437" t="s">
        <v>7926</v>
      </c>
      <c r="AS1402" s="828">
        <v>0.62</v>
      </c>
      <c r="AT1402" s="437" t="s">
        <v>335</v>
      </c>
      <c r="AU1402" s="437" t="s">
        <v>136</v>
      </c>
      <c r="AV1402" s="832" t="s">
        <v>137</v>
      </c>
      <c r="AW1402" s="1554" t="s">
        <v>7927</v>
      </c>
      <c r="AX1402" s="832" t="s">
        <v>143</v>
      </c>
      <c r="AY1402" s="61" t="str">
        <f>IFERROR(__xludf.DUMMYFUNCTION("vlookup(BB1402,importrange(""https://docs.google.com/spreadsheets/d/1d2vevQ_7D_v35q4wCQ4RpQ_IPoTwEMB9Yp6ymwlPqew/edit?gid=984458430#gid=984458430"", ""'replication success'!A:K""), 11, FAlSE)"),"failed")</f>
        <v>failed</v>
      </c>
      <c r="AZ1402" s="61" t="str">
        <f>IFERROR(__xludf.DUMMYFUNCTION("vlookup(BB1402,importrange(""https://docs.google.com/spreadsheets/d/1d2vevQ_7D_v35q4wCQ4RpQ_IPoTwEMB9Yp6ymwlPqew/edit?gid=984458430#gid=984458430"", ""'replication success'!A:M""), 12, FAlSE)"),"Despite considerable effort to closely
duplicate all procedural and methodological details of the original study (i.e., same cover story, experimental manipula-
tion, implicit measure task, original stimuli, task instructions, sampling frame, population"&amp;", and statistical analyses), both replication attempts were unsuccessful in replicating the original finding challenging the theoretical account that 1/f noise
in racial bias tasks reflects a deliberative process.")</f>
        <v>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v>
      </c>
      <c r="BA1402" s="61" t="str">
        <f>IFERROR(__xludf.DUMMYFUNCTION("vlookup(BB1402,importrange(""https://docs.google.com/spreadsheets/d/1d2vevQ_7D_v35q4wCQ4RpQ_IPoTwEMB9Yp6ymwlPqew/edit?gid=984458430#gid=984458430"", ""'replication success'!A:M""), 13, FAlSE)"),"abstract")</f>
        <v>abstract</v>
      </c>
      <c r="BB1402" s="61" t="str">
        <f>IFERROR(__xludf.DUMMYFUNCTION("REGEXREPLACE(G1402, ""_[a-z]{1,2}$"", """")"),"curatescience49")</f>
        <v>curatescience49</v>
      </c>
      <c r="BC1402" s="68"/>
      <c r="BD1402" s="338"/>
      <c r="BE1402" s="68"/>
      <c r="BF1402" s="68"/>
      <c r="BG1402" s="68"/>
      <c r="BN1402" s="107"/>
      <c r="BO1402" s="107"/>
      <c r="BP1402" s="107"/>
      <c r="BQ1402" s="107"/>
      <c r="BR1402" s="107"/>
      <c r="BS1402" s="107"/>
      <c r="BT1402" s="107"/>
      <c r="BU1402" s="107"/>
      <c r="BV1402" s="107"/>
      <c r="BW1402" s="107"/>
      <c r="BX1402" s="107"/>
      <c r="BY1402" s="107"/>
      <c r="BZ1402" s="107"/>
      <c r="CA1402" s="107"/>
      <c r="CB1402" s="107"/>
      <c r="CC1402" s="107"/>
      <c r="CD1402" s="107"/>
      <c r="CE1402" s="107"/>
      <c r="CF1402" s="107"/>
      <c r="CG1402" s="107"/>
      <c r="CH1402" s="107"/>
      <c r="CI1402" s="107"/>
      <c r="CJ1402" s="107"/>
      <c r="CK1402" s="107"/>
      <c r="CL1402" s="107"/>
      <c r="CM1402" s="107"/>
      <c r="CN1402" s="107"/>
      <c r="CO1402" s="107"/>
      <c r="CP1402" s="107"/>
      <c r="CQ1402" s="107"/>
      <c r="CR1402" s="107"/>
      <c r="CS1402" s="107"/>
      <c r="CT1402" s="107"/>
      <c r="CU1402" s="107"/>
      <c r="CV1402" s="107"/>
      <c r="CW1402" s="107"/>
      <c r="CX1402" s="107"/>
      <c r="CY1402" s="107"/>
      <c r="CZ1402" s="107"/>
      <c r="DA1402" s="107"/>
      <c r="DB1402" s="107"/>
      <c r="DC1402" s="107"/>
      <c r="DD1402" s="107"/>
      <c r="DE1402" s="107"/>
      <c r="DF1402" s="107"/>
      <c r="DG1402" s="107"/>
      <c r="DH1402" s="107"/>
      <c r="DI1402" s="107"/>
      <c r="DJ1402" s="107"/>
      <c r="DK1402" s="107"/>
      <c r="DL1402" s="107"/>
    </row>
    <row r="1403">
      <c r="A1403" s="44">
        <v>1403.0</v>
      </c>
      <c r="B1403" s="124" t="s">
        <v>152</v>
      </c>
      <c r="C1403" s="124" t="s">
        <v>115</v>
      </c>
      <c r="D1403" s="124" t="s">
        <v>1270</v>
      </c>
      <c r="E1403" s="107"/>
      <c r="F1403" s="1558" t="s">
        <v>7922</v>
      </c>
      <c r="G1403" s="119" t="s">
        <v>7923</v>
      </c>
      <c r="H1403" s="140" t="s">
        <v>5024</v>
      </c>
      <c r="I1403" s="127">
        <v>45646.0</v>
      </c>
      <c r="J1403" s="1539">
        <v>45684.0</v>
      </c>
      <c r="K1403" s="140" t="s">
        <v>7928</v>
      </c>
      <c r="L1403" s="140"/>
      <c r="M1403" s="119" t="s">
        <v>7915</v>
      </c>
      <c r="N1403" s="140" t="s">
        <v>7902</v>
      </c>
      <c r="O1403" s="782">
        <v>2.0</v>
      </c>
      <c r="P1403" s="140" t="s">
        <v>7903</v>
      </c>
      <c r="Q1403" s="52" t="str">
        <f t="array" ref="Q1403"> if(iserror(MATCH(V1403, 'File Links'!C:C, 0)), "N/A", HYPERLINK(INDEX('File Links'!B:B, MATCH(P1403, 'File Links'!C:C, 0))))</f>
        <v>https://drive.google.com/file/d/12hPE3_ROkrr-EwAg8DQR8e8OYrtwuoYT/view?usp=drivesdk</v>
      </c>
      <c r="R1403" s="116" t="s">
        <v>7916</v>
      </c>
      <c r="S1403" s="140" t="s">
        <v>7905</v>
      </c>
      <c r="T1403" s="125"/>
      <c r="U1403" s="782">
        <v>2.0</v>
      </c>
      <c r="V1403" s="198" t="str">
        <f> hyperlink(vlookup(lower(S1403),#REF!, 2, FALSE), SUBSTITUTE(lower(S1403), "/", "--") &amp;  ".pdf")</f>
        <v>10.3758--s13423-014-0757-4.pdf</v>
      </c>
      <c r="W1403" s="140" t="s">
        <v>164</v>
      </c>
      <c r="X1403" s="54" t="str">
        <f t="array" ref="X1403"> if(iserror(MATCH(V1403, 'File Links'!C:C, 0)), "N/A", HYPERLINK(INDEX('File Links'!B:B, MATCH(V1403, 'File Links'!C:C, 0))))</f>
        <v>https://drive.google.com/file/d/1p5ydRsZ4brAO2FqzQtlUbRAhPkcmRVgm/view?usp=drivesdk</v>
      </c>
      <c r="Y1403" s="125"/>
      <c r="Z1403" s="140" t="s">
        <v>226</v>
      </c>
      <c r="AA1403" s="140" t="s">
        <v>7917</v>
      </c>
      <c r="AB1403" s="140" t="s">
        <v>7918</v>
      </c>
      <c r="AC1403" s="140" t="s">
        <v>7919</v>
      </c>
      <c r="AD1403" s="140" t="s">
        <v>7929</v>
      </c>
      <c r="AE1403" s="1556">
        <v>45574.0</v>
      </c>
      <c r="AF1403" s="782">
        <v>71.0</v>
      </c>
      <c r="AG1403" s="140" t="s">
        <v>7921</v>
      </c>
      <c r="AH1403" s="223" t="s">
        <v>134</v>
      </c>
      <c r="AI1403" s="126" t="s">
        <v>628</v>
      </c>
      <c r="AJ1403" s="130">
        <v>0.02</v>
      </c>
      <c r="AK1403" s="140" t="s">
        <v>135</v>
      </c>
      <c r="AL1403" s="126" t="s">
        <v>186</v>
      </c>
      <c r="AM1403" s="125" t="s">
        <v>137</v>
      </c>
      <c r="AN1403" s="330" t="s">
        <v>138</v>
      </c>
      <c r="AO1403" s="782">
        <v>148.0</v>
      </c>
      <c r="AP1403" s="782">
        <v>-0.09</v>
      </c>
      <c r="AQ1403" s="140" t="s">
        <v>173</v>
      </c>
      <c r="AR1403" s="140" t="s">
        <v>496</v>
      </c>
      <c r="AS1403" s="782">
        <v>0.62</v>
      </c>
      <c r="AT1403" s="140" t="s">
        <v>172</v>
      </c>
      <c r="AU1403" s="140" t="s">
        <v>186</v>
      </c>
      <c r="AV1403" s="125" t="s">
        <v>137</v>
      </c>
      <c r="AW1403" s="669" t="s">
        <v>7927</v>
      </c>
      <c r="AX1403" s="909" t="s">
        <v>143</v>
      </c>
      <c r="AY1403" s="61" t="str">
        <f>IFERROR(__xludf.DUMMYFUNCTION("vlookup(BB1403,importrange(""https://docs.google.com/spreadsheets/d/1d2vevQ_7D_v35q4wCQ4RpQ_IPoTwEMB9Yp6ymwlPqew/edit?gid=984458430#gid=984458430"", ""'replication success'!A:K""), 11, FAlSE)"),"failed")</f>
        <v>failed</v>
      </c>
      <c r="AZ1403" s="61" t="str">
        <f>IFERROR(__xludf.DUMMYFUNCTION("vlookup(BB1403,importrange(""https://docs.google.com/spreadsheets/d/1d2vevQ_7D_v35q4wCQ4RpQ_IPoTwEMB9Yp6ymwlPqew/edit?gid=984458430#gid=984458430"", ""'replication success'!A:M""), 12, FAlSE)"),"Despite considerable effort to closely
duplicate all procedural and methodological details of the original study (i.e., same cover story, experimental manipula-
tion, implicit measure task, original stimuli, task instructions, sampling frame, population"&amp;", and statistical analyses), both replication attempts were unsuccessful in replicating the original finding challenging the theoretical account that 1/f noise
in racial bias tasks reflects a deliberative process.")</f>
        <v>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v>
      </c>
      <c r="BA1403" s="61" t="str">
        <f>IFERROR(__xludf.DUMMYFUNCTION("vlookup(BB1403,importrange(""https://docs.google.com/spreadsheets/d/1d2vevQ_7D_v35q4wCQ4RpQ_IPoTwEMB9Yp6ymwlPqew/edit?gid=984458430#gid=984458430"", ""'replication success'!A:M""), 13, FAlSE)"),"abstract")</f>
        <v>abstract</v>
      </c>
      <c r="BB1403" s="61" t="str">
        <f>IFERROR(__xludf.DUMMYFUNCTION("REGEXREPLACE(G1403, ""_[a-z]{1,2}$"", """")"),"curatescience49")</f>
        <v>curatescience49</v>
      </c>
      <c r="BC1403" s="107"/>
      <c r="BD1403" s="124" t="s">
        <v>144</v>
      </c>
    </row>
    <row r="1404">
      <c r="A1404" s="44">
        <v>1404.0</v>
      </c>
      <c r="B1404" s="129" t="s">
        <v>152</v>
      </c>
      <c r="C1404" s="62" t="s">
        <v>115</v>
      </c>
      <c r="D1404" s="62" t="s">
        <v>1234</v>
      </c>
      <c r="F1404" s="68" t="s">
        <v>7930</v>
      </c>
      <c r="G1404" s="159" t="s">
        <v>7931</v>
      </c>
      <c r="H1404" s="159" t="s">
        <v>7761</v>
      </c>
      <c r="I1404" s="1287" t="s">
        <v>119</v>
      </c>
      <c r="J1404" s="1542">
        <v>45758.0</v>
      </c>
      <c r="K1404" s="159" t="s">
        <v>138</v>
      </c>
      <c r="L1404" s="151" t="s">
        <v>7932</v>
      </c>
      <c r="M1404" s="159" t="s">
        <v>7933</v>
      </c>
      <c r="N1404" s="159" t="s">
        <v>7934</v>
      </c>
      <c r="O1404" s="156">
        <v>1.0</v>
      </c>
      <c r="P1404" s="382" t="s">
        <v>7935</v>
      </c>
      <c r="Q1404" s="52" t="str">
        <f t="array" ref="Q1404"> if(iserror(MATCH(V1404, 'File Links'!C:C, 0)), "N/A", HYPERLINK(INDEX('File Links'!B:B, MATCH(P1404, 'File Links'!C:C, 0))))</f>
        <v>https://drive.google.com/file/d/1qeprGIAy7AN_pByPqzOUMvJ-k5SpkEYf/view?usp=drivesdk</v>
      </c>
      <c r="R1404" s="159" t="s">
        <v>7936</v>
      </c>
      <c r="S1404" s="159" t="s">
        <v>7937</v>
      </c>
      <c r="T1404" s="159" t="s">
        <v>138</v>
      </c>
      <c r="U1404" s="156">
        <v>1.0</v>
      </c>
      <c r="V1404" s="382" t="s">
        <v>7938</v>
      </c>
      <c r="W1404" s="481" t="s">
        <v>2456</v>
      </c>
      <c r="X1404" s="54" t="str">
        <f t="array" ref="X1404"> if(iserror(MATCH(V1404, 'File Links'!C:C, 0)), "N/A", HYPERLINK(INDEX('File Links'!B:B, MATCH(V1404, 'File Links'!C:C, 0))))</f>
        <v>https://drive.google.com/file/d/182GXuG3qegDOfzlWQwH4rNCoeEmBWZVE/view?usp=drivesdk</v>
      </c>
      <c r="Y1404" s="159"/>
      <c r="Z1404" s="159" t="s">
        <v>226</v>
      </c>
      <c r="AA1404" s="159" t="s">
        <v>7939</v>
      </c>
      <c r="AB1404" s="1559" t="s">
        <v>7940</v>
      </c>
      <c r="AC1404" s="1543" t="s">
        <v>7941</v>
      </c>
      <c r="AD1404" s="1543" t="s">
        <v>7942</v>
      </c>
      <c r="AE1404" s="156">
        <v>5.0</v>
      </c>
      <c r="AF1404" s="156">
        <v>42.0</v>
      </c>
      <c r="AG1404" s="864">
        <v>0.34</v>
      </c>
      <c r="AH1404" s="380" t="s">
        <v>215</v>
      </c>
      <c r="AI1404" s="159" t="s">
        <v>882</v>
      </c>
      <c r="AJ1404" s="864">
        <v>0.05</v>
      </c>
      <c r="AK1404" s="159" t="s">
        <v>135</v>
      </c>
      <c r="AL1404" s="383" t="s">
        <v>186</v>
      </c>
      <c r="AM1404" s="542" t="s">
        <v>141</v>
      </c>
      <c r="AN1404" s="159" t="s">
        <v>138</v>
      </c>
      <c r="AO1404" s="156">
        <v>200.0</v>
      </c>
      <c r="AP1404" s="156">
        <v>-0.2</v>
      </c>
      <c r="AQ1404" s="159" t="s">
        <v>173</v>
      </c>
      <c r="AR1404" s="380" t="s">
        <v>875</v>
      </c>
      <c r="AS1404" s="864">
        <v>0.162</v>
      </c>
      <c r="AT1404" s="159" t="s">
        <v>172</v>
      </c>
      <c r="AU1404" s="159" t="s">
        <v>136</v>
      </c>
      <c r="AV1404" s="159" t="s">
        <v>137</v>
      </c>
      <c r="AW1404" s="159" t="s">
        <v>138</v>
      </c>
      <c r="AX1404" s="159" t="s">
        <v>143</v>
      </c>
      <c r="AY1404" s="61" t="str">
        <f>IFERROR(__xludf.DUMMYFUNCTION("vlookup(BB1404,importrange(""https://docs.google.com/spreadsheets/d/1d2vevQ_7D_v35q4wCQ4RpQ_IPoTwEMB9Yp6ymwlPqew/edit?gid=984458430#gid=984458430"", ""'replication success'!A:K""), 11, FAlSE)"),"failed")</f>
        <v>failed</v>
      </c>
      <c r="AZ1404" s="61" t="str">
        <f>IFERROR(__xludf.DUMMYFUNCTION("vlookup(BB1404,importrange(""https://docs.google.com/spreadsheets/d/1d2vevQ_7D_v35q4wCQ4RpQ_IPoTwEMB9Yp6ymwlPqew/edit?gid=984458430#gid=984458430"", ""'replication success'!A:M""), 12, FAlSE)"),"Using a much
larger sample size but similar procedures as Carney et al.
did, we failed to confirm an effect of power posing on
testosterone, cortisol, and financial risk taking.")</f>
        <v>Using a much
larger sample size but similar procedures as Carney et al.
did, we failed to confirm an effect of power posing on
testosterone, cortisol, and financial risk taking.</v>
      </c>
      <c r="BA1404" s="61" t="str">
        <f>IFERROR(__xludf.DUMMYFUNCTION("vlookup(BB1404,importrange(""https://docs.google.com/spreadsheets/d/1d2vevQ_7D_v35q4wCQ4RpQ_IPoTwEMB9Yp6ymwlPqew/edit?gid=984458430#gid=984458430"", ""'replication success'!A:M""), 13, FAlSE)"),"pg.2")</f>
        <v>pg.2</v>
      </c>
      <c r="BB1404" s="61" t="str">
        <f>IFERROR(__xludf.DUMMYFUNCTION("REGEXREPLACE(G1404, ""_[a-z]{1,2}$"", """")"),"curatescience50")</f>
        <v>curatescience50</v>
      </c>
      <c r="BC1404" s="68"/>
      <c r="BD1404" s="62" t="s">
        <v>7943</v>
      </c>
    </row>
    <row r="1405">
      <c r="A1405" s="44">
        <v>1405.0</v>
      </c>
      <c r="B1405" s="129" t="s">
        <v>152</v>
      </c>
      <c r="C1405" s="62" t="s">
        <v>115</v>
      </c>
      <c r="D1405" s="62" t="s">
        <v>1458</v>
      </c>
      <c r="F1405" s="68" t="s">
        <v>7930</v>
      </c>
      <c r="G1405" s="159" t="s">
        <v>7931</v>
      </c>
      <c r="H1405" s="159" t="s">
        <v>1518</v>
      </c>
      <c r="I1405" s="1287" t="s">
        <v>119</v>
      </c>
      <c r="J1405" s="1542">
        <v>45758.0</v>
      </c>
      <c r="K1405" s="159" t="s">
        <v>7944</v>
      </c>
      <c r="L1405" s="151" t="s">
        <v>7945</v>
      </c>
      <c r="M1405" s="159" t="s">
        <v>7933</v>
      </c>
      <c r="N1405" s="159" t="s">
        <v>7934</v>
      </c>
      <c r="O1405" s="156">
        <v>1.0</v>
      </c>
      <c r="P1405" s="382" t="s">
        <v>7935</v>
      </c>
      <c r="Q1405" s="52" t="str">
        <f t="array" ref="Q1405"> if(iserror(MATCH(V1405, 'File Links'!C:C, 0)), "N/A", HYPERLINK(INDEX('File Links'!B:B, MATCH(P1405, 'File Links'!C:C, 0))))</f>
        <v>https://drive.google.com/file/d/1qeprGIAy7AN_pByPqzOUMvJ-k5SpkEYf/view?usp=drivesdk</v>
      </c>
      <c r="R1405" s="159" t="s">
        <v>7936</v>
      </c>
      <c r="S1405" s="159" t="s">
        <v>7937</v>
      </c>
      <c r="T1405" s="159" t="s">
        <v>138</v>
      </c>
      <c r="U1405" s="156">
        <v>1.0</v>
      </c>
      <c r="V1405" s="382" t="s">
        <v>7938</v>
      </c>
      <c r="W1405" s="159" t="s">
        <v>2456</v>
      </c>
      <c r="X1405" s="54" t="str">
        <f t="array" ref="X1405"> if(iserror(MATCH(V1405, 'File Links'!C:C, 0)), "N/A", HYPERLINK(INDEX('File Links'!B:B, MATCH(V1405, 'File Links'!C:C, 0))))</f>
        <v>https://drive.google.com/file/d/182GXuG3qegDOfzlWQwH4rNCoeEmBWZVE/view?usp=drivesdk</v>
      </c>
      <c r="Y1405" s="159"/>
      <c r="Z1405" s="159" t="s">
        <v>226</v>
      </c>
      <c r="AA1405" s="159" t="s">
        <v>7939</v>
      </c>
      <c r="AB1405" s="159" t="s">
        <v>7940</v>
      </c>
      <c r="AC1405" s="1543" t="s">
        <v>7941</v>
      </c>
      <c r="AD1405" s="151" t="s">
        <v>7946</v>
      </c>
      <c r="AE1405" s="156">
        <v>5.0</v>
      </c>
      <c r="AF1405" s="156">
        <v>42.0</v>
      </c>
      <c r="AG1405" s="380" t="s">
        <v>7947</v>
      </c>
      <c r="AH1405" s="380" t="s">
        <v>7948</v>
      </c>
      <c r="AI1405" s="159" t="s">
        <v>882</v>
      </c>
      <c r="AJ1405" s="156">
        <v>0.05</v>
      </c>
      <c r="AK1405" s="159" t="s">
        <v>135</v>
      </c>
      <c r="AL1405" s="383" t="s">
        <v>186</v>
      </c>
      <c r="AM1405" s="542" t="s">
        <v>141</v>
      </c>
      <c r="AN1405" s="159" t="s">
        <v>138</v>
      </c>
      <c r="AO1405" s="156">
        <v>200.0</v>
      </c>
      <c r="AP1405" s="159" t="s">
        <v>7949</v>
      </c>
      <c r="AQ1405" s="159" t="s">
        <v>173</v>
      </c>
      <c r="AR1405" s="159" t="s">
        <v>2771</v>
      </c>
      <c r="AS1405" s="156">
        <v>0.215</v>
      </c>
      <c r="AT1405" s="159" t="s">
        <v>172</v>
      </c>
      <c r="AU1405" s="159" t="s">
        <v>136</v>
      </c>
      <c r="AV1405" s="159" t="s">
        <v>137</v>
      </c>
      <c r="AW1405" s="68" t="s">
        <v>138</v>
      </c>
      <c r="AX1405" s="159" t="s">
        <v>151</v>
      </c>
      <c r="AY1405" s="61" t="str">
        <f>IFERROR(__xludf.DUMMYFUNCTION("vlookup(BB1405,importrange(""https://docs.google.com/spreadsheets/d/1d2vevQ_7D_v35q4wCQ4RpQ_IPoTwEMB9Yp6ymwlPqew/edit?gid=984458430#gid=984458430"", ""'replication success'!A:K""), 11, FAlSE)"),"failed")</f>
        <v>failed</v>
      </c>
      <c r="AZ1405" s="61" t="str">
        <f>IFERROR(__xludf.DUMMYFUNCTION("vlookup(BB1405,importrange(""https://docs.google.com/spreadsheets/d/1d2vevQ_7D_v35q4wCQ4RpQ_IPoTwEMB9Yp6ymwlPqew/edit?gid=984458430#gid=984458430"", ""'replication success'!A:M""), 12, FAlSE)"),"Using a much
larger sample size but similar procedures as Carney et al.
did, we failed to confirm an effect of power posing on
testosterone, cortisol, and financial risk taking.")</f>
        <v>Using a much
larger sample size but similar procedures as Carney et al.
did, we failed to confirm an effect of power posing on
testosterone, cortisol, and financial risk taking.</v>
      </c>
      <c r="BA1405" s="61" t="str">
        <f>IFERROR(__xludf.DUMMYFUNCTION("vlookup(BB1405,importrange(""https://docs.google.com/spreadsheets/d/1d2vevQ_7D_v35q4wCQ4RpQ_IPoTwEMB9Yp6ymwlPqew/edit?gid=984458430#gid=984458430"", ""'replication success'!A:M""), 13, FAlSE)"),"pg.2")</f>
        <v>pg.2</v>
      </c>
      <c r="BB1405" s="61" t="str">
        <f>IFERROR(__xludf.DUMMYFUNCTION("REGEXREPLACE(G1405, ""_[a-z]{1,2}$"", """")"),"curatescience50")</f>
        <v>curatescience50</v>
      </c>
      <c r="BD1405" s="62" t="s">
        <v>7943</v>
      </c>
    </row>
    <row r="1406" ht="15.75" customHeight="1">
      <c r="A1406" s="44">
        <v>1406.0</v>
      </c>
      <c r="B1406" s="129" t="s">
        <v>590</v>
      </c>
      <c r="C1406" s="62" t="s">
        <v>115</v>
      </c>
      <c r="D1406" s="62" t="s">
        <v>1234</v>
      </c>
      <c r="F1406" s="68" t="s">
        <v>7950</v>
      </c>
      <c r="G1406" s="159" t="s">
        <v>7951</v>
      </c>
      <c r="H1406" s="159" t="s">
        <v>7761</v>
      </c>
      <c r="I1406" s="1287" t="s">
        <v>119</v>
      </c>
      <c r="J1406" s="1542">
        <v>45758.0</v>
      </c>
      <c r="K1406" s="159" t="s">
        <v>7952</v>
      </c>
      <c r="L1406" s="151" t="s">
        <v>7953</v>
      </c>
      <c r="M1406" s="159" t="s">
        <v>7933</v>
      </c>
      <c r="N1406" s="159" t="s">
        <v>7934</v>
      </c>
      <c r="O1406" s="156">
        <v>1.0</v>
      </c>
      <c r="P1406" s="382" t="s">
        <v>7935</v>
      </c>
      <c r="Q1406" s="52" t="str">
        <f t="array" ref="Q1406"> if(iserror(MATCH(V1406, 'File Links'!C:C, 0)), "N/A", HYPERLINK(INDEX('File Links'!B:B, MATCH(P1406, 'File Links'!C:C, 0))))</f>
        <v>https://drive.google.com/file/d/1qeprGIAy7AN_pByPqzOUMvJ-k5SpkEYf/view?usp=drivesdk</v>
      </c>
      <c r="R1406" s="159" t="s">
        <v>7954</v>
      </c>
      <c r="S1406" s="159" t="s">
        <v>7955</v>
      </c>
      <c r="T1406" s="159" t="s">
        <v>138</v>
      </c>
      <c r="U1406" s="156">
        <v>1.0</v>
      </c>
      <c r="V1406" s="382" t="s">
        <v>7956</v>
      </c>
      <c r="W1406" s="380" t="s">
        <v>209</v>
      </c>
      <c r="X1406" s="54" t="str">
        <f t="array" ref="X1406"> if(iserror(MATCH(V1406, 'File Links'!C:C, 0)), "N/A", HYPERLINK(INDEX('File Links'!B:B, MATCH(V1406, 'File Links'!C:C, 0))))</f>
        <v>https://drive.google.com/file/d/1Siah8cHN9e47_gL9zhIF1EGajvH1CyAB/view?usp=drivesdk</v>
      </c>
      <c r="Y1406" s="159" t="s">
        <v>7957</v>
      </c>
      <c r="Z1406" s="159" t="s">
        <v>226</v>
      </c>
      <c r="AA1406" s="159" t="s">
        <v>7939</v>
      </c>
      <c r="AB1406" s="159" t="s">
        <v>7958</v>
      </c>
      <c r="AC1406" s="1543" t="s">
        <v>7941</v>
      </c>
      <c r="AD1406" s="159" t="s">
        <v>138</v>
      </c>
      <c r="AE1406" s="156">
        <v>5.0</v>
      </c>
      <c r="AF1406" s="156">
        <v>42.0</v>
      </c>
      <c r="AG1406" s="864">
        <v>0.34</v>
      </c>
      <c r="AH1406" s="159" t="s">
        <v>722</v>
      </c>
      <c r="AI1406" s="159" t="s">
        <v>882</v>
      </c>
      <c r="AJ1406" s="864">
        <v>0.05</v>
      </c>
      <c r="AK1406" s="159" t="s">
        <v>135</v>
      </c>
      <c r="AL1406" s="159" t="s">
        <v>136</v>
      </c>
      <c r="AM1406" s="159" t="s">
        <v>137</v>
      </c>
      <c r="AN1406" s="159" t="s">
        <v>138</v>
      </c>
      <c r="AO1406" s="159" t="s">
        <v>138</v>
      </c>
      <c r="AP1406" s="1477" t="s">
        <v>138</v>
      </c>
      <c r="AQ1406" s="129" t="s">
        <v>138</v>
      </c>
      <c r="AR1406" s="159" t="s">
        <v>138</v>
      </c>
      <c r="AS1406" s="1477" t="s">
        <v>138</v>
      </c>
      <c r="AT1406" s="159" t="s">
        <v>172</v>
      </c>
      <c r="AU1406" s="159" t="s">
        <v>218</v>
      </c>
      <c r="AV1406" s="159" t="s">
        <v>1905</v>
      </c>
      <c r="AW1406" s="159" t="s">
        <v>138</v>
      </c>
      <c r="AX1406" s="159" t="s">
        <v>151</v>
      </c>
      <c r="AY1406" s="61" t="str">
        <f>IFERROR(__xludf.DUMMYFUNCTION("vlookup(BB1406,importrange(""https://docs.google.com/spreadsheets/d/1d2vevQ_7D_v35q4wCQ4RpQ_IPoTwEMB9Yp6ymwlPqew/edit?gid=984458430#gid=984458430"", ""'replication success'!A:K""), 11, FAlSE)"),"#N/A")</f>
        <v>#N/A</v>
      </c>
      <c r="AZ1406" s="61" t="str">
        <f>IFERROR(__xludf.DUMMYFUNCTION("vlookup(BB1406,importrange(""https://docs.google.com/spreadsheets/d/1d2vevQ_7D_v35q4wCQ4RpQ_IPoTwEMB9Yp6ymwlPqew/edit?gid=984458430#gid=984458430"", ""'replication success'!A:M""), 12, FAlSE)"),"#N/A")</f>
        <v>#N/A</v>
      </c>
      <c r="BA1406" s="61" t="str">
        <f>IFERROR(__xludf.DUMMYFUNCTION("vlookup(BB1406,importrange(""https://docs.google.com/spreadsheets/d/1d2vevQ_7D_v35q4wCQ4RpQ_IPoTwEMB9Yp6ymwlPqew/edit?gid=984458430#gid=984458430"", ""'replication success'!A:M""), 13, FAlSE)"),"#N/A")</f>
        <v>#N/A</v>
      </c>
      <c r="BB1406" s="61" t="str">
        <f>IFERROR(__xludf.DUMMYFUNCTION("REGEXREPLACE(G1406, ""_[a-z]{1,2}$"", """")"),"curatescience51")</f>
        <v>curatescience51</v>
      </c>
      <c r="BC1406" s="68"/>
      <c r="BD1406" s="62" t="s">
        <v>7943</v>
      </c>
    </row>
    <row r="1407" ht="18.0" customHeight="1">
      <c r="A1407" s="44">
        <v>1407.0</v>
      </c>
      <c r="B1407" s="129" t="s">
        <v>7959</v>
      </c>
      <c r="C1407" s="62" t="s">
        <v>115</v>
      </c>
      <c r="D1407" s="62" t="s">
        <v>1458</v>
      </c>
      <c r="F1407" s="68" t="s">
        <v>7950</v>
      </c>
      <c r="G1407" s="159" t="s">
        <v>7951</v>
      </c>
      <c r="H1407" s="159" t="s">
        <v>1518</v>
      </c>
      <c r="I1407" s="1287" t="s">
        <v>119</v>
      </c>
      <c r="J1407" s="1542">
        <v>45758.0</v>
      </c>
      <c r="K1407" s="159" t="s">
        <v>7960</v>
      </c>
      <c r="L1407" s="151" t="s">
        <v>7961</v>
      </c>
      <c r="M1407" s="159" t="s">
        <v>7933</v>
      </c>
      <c r="N1407" s="159" t="s">
        <v>7934</v>
      </c>
      <c r="O1407" s="156">
        <v>1.0</v>
      </c>
      <c r="P1407" s="382" t="s">
        <v>7935</v>
      </c>
      <c r="Q1407" s="52" t="str">
        <f t="array" ref="Q1407"> if(iserror(MATCH(V1407, 'File Links'!C:C, 0)), "N/A", HYPERLINK(INDEX('File Links'!B:B, MATCH(P1407, 'File Links'!C:C, 0))))</f>
        <v>https://drive.google.com/file/d/1qeprGIAy7AN_pByPqzOUMvJ-k5SpkEYf/view?usp=drivesdk</v>
      </c>
      <c r="R1407" s="159" t="s">
        <v>7954</v>
      </c>
      <c r="S1407" s="159" t="s">
        <v>7955</v>
      </c>
      <c r="T1407" s="159" t="s">
        <v>138</v>
      </c>
      <c r="U1407" s="156">
        <v>1.0</v>
      </c>
      <c r="V1407" s="382" t="s">
        <v>7956</v>
      </c>
      <c r="W1407" s="159" t="s">
        <v>7962</v>
      </c>
      <c r="X1407" s="54" t="str">
        <f t="array" ref="X1407"> if(iserror(MATCH(V1407, 'File Links'!C:C, 0)), "N/A", HYPERLINK(INDEX('File Links'!B:B, MATCH(V1407, 'File Links'!C:C, 0))))</f>
        <v>https://drive.google.com/file/d/1Siah8cHN9e47_gL9zhIF1EGajvH1CyAB/view?usp=drivesdk</v>
      </c>
      <c r="Y1407" s="159"/>
      <c r="Z1407" s="159" t="s">
        <v>226</v>
      </c>
      <c r="AA1407" s="159" t="s">
        <v>7939</v>
      </c>
      <c r="AB1407" s="159" t="s">
        <v>7940</v>
      </c>
      <c r="AC1407" s="1543" t="s">
        <v>7941</v>
      </c>
      <c r="AD1407" s="151" t="s">
        <v>7946</v>
      </c>
      <c r="AE1407" s="156">
        <v>5.0</v>
      </c>
      <c r="AF1407" s="156">
        <v>42.0</v>
      </c>
      <c r="AG1407" s="380" t="s">
        <v>7947</v>
      </c>
      <c r="AH1407" s="380" t="s">
        <v>7948</v>
      </c>
      <c r="AI1407" s="159" t="s">
        <v>882</v>
      </c>
      <c r="AJ1407" s="156">
        <v>0.05</v>
      </c>
      <c r="AK1407" s="159" t="s">
        <v>135</v>
      </c>
      <c r="AL1407" s="383" t="s">
        <v>186</v>
      </c>
      <c r="AM1407" s="542" t="s">
        <v>141</v>
      </c>
      <c r="AN1407" s="159" t="s">
        <v>138</v>
      </c>
      <c r="AO1407" s="156">
        <v>305.0</v>
      </c>
      <c r="AP1407" s="156">
        <v>0.67</v>
      </c>
      <c r="AQ1407" s="159" t="s">
        <v>722</v>
      </c>
      <c r="AR1407" s="159" t="s">
        <v>507</v>
      </c>
      <c r="AS1407" s="156">
        <v>0.167</v>
      </c>
      <c r="AT1407" s="159" t="s">
        <v>172</v>
      </c>
      <c r="AU1407" s="159" t="s">
        <v>186</v>
      </c>
      <c r="AV1407" s="159" t="s">
        <v>137</v>
      </c>
      <c r="AW1407" s="435" t="s">
        <v>7963</v>
      </c>
      <c r="AX1407" s="159" t="s">
        <v>151</v>
      </c>
      <c r="AY1407" s="61" t="str">
        <f>IFERROR(__xludf.DUMMYFUNCTION("vlookup(BB1407,importrange(""https://docs.google.com/spreadsheets/d/1d2vevQ_7D_v35q4wCQ4RpQ_IPoTwEMB9Yp6ymwlPqew/edit?gid=984458430#gid=984458430"", ""'replication success'!A:K""), 11, FAlSE)"),"#N/A")</f>
        <v>#N/A</v>
      </c>
      <c r="AZ1407" s="61" t="str">
        <f>IFERROR(__xludf.DUMMYFUNCTION("vlookup(BB1407,importrange(""https://docs.google.com/spreadsheets/d/1d2vevQ_7D_v35q4wCQ4RpQ_IPoTwEMB9Yp6ymwlPqew/edit?gid=984458430#gid=984458430"", ""'replication success'!A:M""), 12, FAlSE)"),"#N/A")</f>
        <v>#N/A</v>
      </c>
      <c r="BA1407" s="61" t="str">
        <f>IFERROR(__xludf.DUMMYFUNCTION("vlookup(BB1407,importrange(""https://docs.google.com/spreadsheets/d/1d2vevQ_7D_v35q4wCQ4RpQ_IPoTwEMB9Yp6ymwlPqew/edit?gid=984458430#gid=984458430"", ""'replication success'!A:M""), 13, FAlSE)"),"#N/A")</f>
        <v>#N/A</v>
      </c>
      <c r="BB1407" s="61" t="str">
        <f>IFERROR(__xludf.DUMMYFUNCTION("REGEXREPLACE(G1407, ""_[a-z]{1,2}$"", """")"),"curatescience51")</f>
        <v>curatescience51</v>
      </c>
      <c r="BD1407" s="62" t="s">
        <v>7943</v>
      </c>
    </row>
    <row r="1408" ht="20.25" customHeight="1">
      <c r="A1408" s="44">
        <v>1408.0</v>
      </c>
      <c r="B1408" s="72" t="s">
        <v>152</v>
      </c>
      <c r="C1408" s="72" t="s">
        <v>115</v>
      </c>
      <c r="D1408" s="72" t="s">
        <v>199</v>
      </c>
      <c r="E1408" s="73"/>
      <c r="F1408" s="94" t="s">
        <v>7964</v>
      </c>
      <c r="G1408" s="76" t="s">
        <v>7965</v>
      </c>
      <c r="H1408" s="76" t="s">
        <v>202</v>
      </c>
      <c r="I1408" s="629">
        <v>45639.0</v>
      </c>
      <c r="J1408" s="1539">
        <v>45684.0</v>
      </c>
      <c r="K1408" s="76" t="s">
        <v>7966</v>
      </c>
      <c r="L1408" s="1560" t="s">
        <v>7967</v>
      </c>
      <c r="M1408" s="101" t="s">
        <v>7968</v>
      </c>
      <c r="N1408" s="76" t="s">
        <v>7969</v>
      </c>
      <c r="O1408" s="635">
        <v>1.0</v>
      </c>
      <c r="P1408" s="99" t="s">
        <v>7970</v>
      </c>
      <c r="Q1408" s="52" t="str">
        <f t="array" ref="Q1408"> if(iserror(MATCH(V1408, 'File Links'!C:C, 0)), "N/A", HYPERLINK(INDEX('File Links'!B:B, MATCH(P1408, 'File Links'!C:C, 0))))</f>
        <v>https://drive.google.com/file/d/1Sg7pV5-MRMEfG7acPaIDjV0AQ3yqElU4/view?usp=drivesdk</v>
      </c>
      <c r="R1408" s="76" t="s">
        <v>7971</v>
      </c>
      <c r="S1408" s="76" t="s">
        <v>7972</v>
      </c>
      <c r="T1408" s="82"/>
      <c r="U1408" s="79">
        <v>1.0</v>
      </c>
      <c r="V1408" s="198" t="str">
        <f t="shared" ref="V1408:V1429" si="93"> hyperlink(vlookup(lower(S1408),#REF!, 2, FALSE), SUBSTITUTE(lower(S1408), "/", "--") &amp;  ".pdf")</f>
        <v>10.1177--1745691612463078.pdf</v>
      </c>
      <c r="W1408" s="841" t="s">
        <v>7973</v>
      </c>
      <c r="X1408" s="54" t="str">
        <f t="array" ref="X1408"> if(iserror(MATCH(V1408, 'File Links'!C:C, 0)), "N/A", HYPERLINK(INDEX('File Links'!B:B, MATCH(V1408, 'File Links'!C:C, 0))))</f>
        <v>https://drive.google.com/file/d/1SA7ZP2ow52I8kFKx4p2nJ0nUspPn6as_/view?usp=drivesdk</v>
      </c>
      <c r="Y1408" s="82"/>
      <c r="Z1408" s="76" t="s">
        <v>226</v>
      </c>
      <c r="AA1408" s="76" t="s">
        <v>7974</v>
      </c>
      <c r="AB1408" s="76" t="s">
        <v>7975</v>
      </c>
      <c r="AC1408" s="76" t="s">
        <v>7976</v>
      </c>
      <c r="AD1408" s="76" t="s">
        <v>7977</v>
      </c>
      <c r="AE1408" s="635">
        <v>409.0</v>
      </c>
      <c r="AF1408" s="635">
        <v>100.0</v>
      </c>
      <c r="AG1408" s="635">
        <v>0.25</v>
      </c>
      <c r="AH1408" s="99" t="s">
        <v>173</v>
      </c>
      <c r="AI1408" s="76" t="s">
        <v>7978</v>
      </c>
      <c r="AJ1408" s="635">
        <v>0.01</v>
      </c>
      <c r="AK1408" s="95" t="s">
        <v>172</v>
      </c>
      <c r="AL1408" s="126" t="s">
        <v>186</v>
      </c>
      <c r="AM1408" s="843" t="s">
        <v>137</v>
      </c>
      <c r="AN1408" s="330" t="s">
        <v>138</v>
      </c>
      <c r="AO1408" s="79" t="s">
        <v>138</v>
      </c>
      <c r="AP1408" s="79" t="s">
        <v>138</v>
      </c>
      <c r="AQ1408" s="129" t="s">
        <v>138</v>
      </c>
      <c r="AR1408" s="82"/>
      <c r="AS1408" s="79" t="s">
        <v>138</v>
      </c>
      <c r="AT1408" s="79" t="s">
        <v>138</v>
      </c>
      <c r="AU1408" s="79" t="s">
        <v>138</v>
      </c>
      <c r="AV1408" s="79" t="s">
        <v>138</v>
      </c>
      <c r="AW1408" s="79" t="s">
        <v>138</v>
      </c>
      <c r="AX1408" s="79" t="s">
        <v>574</v>
      </c>
      <c r="AY1408" s="61" t="str">
        <f>IFERROR(__xludf.DUMMYFUNCTION("vlookup(BB1408,importrange(""https://docs.google.com/spreadsheets/d/1d2vevQ_7D_v35q4wCQ4RpQ_IPoTwEMB9Yp6ymwlPqew/edit?gid=984458430#gid=984458430"", ""'replication success'!A:K""), 11, FAlSE)"),"failed")</f>
        <v>failed</v>
      </c>
      <c r="AZ1408" s="61" t="str">
        <f>IFERROR(__xludf.DUMMYFUNCTION("vlookup(BB1408,importrange(""https://docs.google.com/spreadsheets/d/1d2vevQ_7D_v35q4wCQ4RpQ_IPoTwEMB9Yp6ymwlPqew/edit?gid=984458430#gid=984458430"", ""'replication success'!A:M""), 12, FAlSE)"),"With the default prior, the data are 16.6
times more likely under H0 than under H1; with the “knowl-
edge-based prior” from Bem, Utts, and Johnson (2011), the
data are 6.2 times more likely under H0 than under H1.")</f>
        <v>With the default prior, the data are 16.6
times more likely under H0 than under H1; with the “knowl-
edge-based prior” from Bem, Utts, and Johnson (2011), the
data are 6.2 times more likely under H0 than under H1.</v>
      </c>
      <c r="BA1408" s="61" t="str">
        <f>IFERROR(__xludf.DUMMYFUNCTION("vlookup(BB1408,importrange(""https://docs.google.com/spreadsheets/d/1d2vevQ_7D_v35q4wCQ4RpQ_IPoTwEMB9Yp6ymwlPqew/edit?gid=984458430#gid=984458430"", ""'replication success'!A:M""), 13, FAlSE)"),"pg. 6")</f>
        <v>pg. 6</v>
      </c>
      <c r="BB1408" s="61" t="str">
        <f>IFERROR(__xludf.DUMMYFUNCTION("REGEXREPLACE(G1408, ""_[a-z]{1,2}$"", """")"),"curatescience52")</f>
        <v>curatescience52</v>
      </c>
      <c r="BC1408" s="92"/>
      <c r="BD1408" s="93" t="s">
        <v>144</v>
      </c>
    </row>
    <row r="1409">
      <c r="A1409" s="44">
        <v>1409.0</v>
      </c>
      <c r="B1409" s="839" t="s">
        <v>114</v>
      </c>
      <c r="C1409" s="839" t="s">
        <v>115</v>
      </c>
      <c r="D1409" s="839" t="s">
        <v>221</v>
      </c>
      <c r="E1409" s="752"/>
      <c r="F1409" s="851" t="s">
        <v>7964</v>
      </c>
      <c r="G1409" s="841" t="s">
        <v>7965</v>
      </c>
      <c r="H1409" s="841" t="s">
        <v>222</v>
      </c>
      <c r="I1409" s="994">
        <v>45641.0</v>
      </c>
      <c r="J1409" s="1539">
        <v>45684.0</v>
      </c>
      <c r="K1409" s="841" t="s">
        <v>7979</v>
      </c>
      <c r="L1409" s="841"/>
      <c r="M1409" s="999" t="s">
        <v>7968</v>
      </c>
      <c r="N1409" s="841" t="s">
        <v>7969</v>
      </c>
      <c r="O1409" s="844">
        <v>1.0</v>
      </c>
      <c r="P1409" s="845" t="s">
        <v>7970</v>
      </c>
      <c r="Q1409" s="52" t="str">
        <f t="array" ref="Q1409"> if(iserror(MATCH(V1409, 'File Links'!C:C, 0)), "N/A", HYPERLINK(INDEX('File Links'!B:B, MATCH(P1409, 'File Links'!C:C, 0))))</f>
        <v>https://drive.google.com/file/d/1Sg7pV5-MRMEfG7acPaIDjV0AQ3yqElU4/view?usp=drivesdk</v>
      </c>
      <c r="R1409" s="841" t="s">
        <v>7971</v>
      </c>
      <c r="S1409" s="841" t="s">
        <v>7972</v>
      </c>
      <c r="T1409" s="843"/>
      <c r="U1409" s="850"/>
      <c r="V1409" s="198" t="str">
        <f t="shared" si="93"/>
        <v>10.1177--1745691612463078.pdf</v>
      </c>
      <c r="W1409" s="841" t="s">
        <v>7973</v>
      </c>
      <c r="X1409" s="54" t="str">
        <f t="array" ref="X1409"> if(iserror(MATCH(V1409, 'File Links'!C:C, 0)), "N/A", HYPERLINK(INDEX('File Links'!B:B, MATCH(V1409, 'File Links'!C:C, 0))))</f>
        <v>https://drive.google.com/file/d/1SA7ZP2ow52I8kFKx4p2nJ0nUspPn6as_/view?usp=drivesdk</v>
      </c>
      <c r="Y1409" s="843"/>
      <c r="Z1409" s="76" t="s">
        <v>226</v>
      </c>
      <c r="AA1409" s="841" t="s">
        <v>7980</v>
      </c>
      <c r="AB1409" s="841" t="s">
        <v>7981</v>
      </c>
      <c r="AC1409" s="841" t="s">
        <v>7982</v>
      </c>
      <c r="AD1409" s="841" t="s">
        <v>7983</v>
      </c>
      <c r="AE1409" s="844">
        <v>411.0</v>
      </c>
      <c r="AF1409" s="844">
        <v>100.0</v>
      </c>
      <c r="AG1409" s="844">
        <v>0.25</v>
      </c>
      <c r="AH1409" s="845" t="s">
        <v>173</v>
      </c>
      <c r="AI1409" s="844">
        <v>409.0</v>
      </c>
      <c r="AJ1409" s="844">
        <v>0.01</v>
      </c>
      <c r="AK1409" s="840" t="s">
        <v>172</v>
      </c>
      <c r="AL1409" s="126" t="s">
        <v>186</v>
      </c>
      <c r="AM1409" s="843" t="s">
        <v>137</v>
      </c>
      <c r="AN1409" s="843"/>
      <c r="AO1409" s="844">
        <v>52.0</v>
      </c>
      <c r="AP1409" s="843"/>
      <c r="AQ1409" s="843"/>
      <c r="AR1409" s="843"/>
      <c r="AS1409" s="843"/>
      <c r="AT1409" s="851"/>
      <c r="AU1409" s="851"/>
      <c r="AV1409" s="851"/>
      <c r="AW1409" s="851"/>
      <c r="AX1409" s="851"/>
      <c r="AY1409" s="61" t="str">
        <f>IFERROR(__xludf.DUMMYFUNCTION("vlookup(BB1409,importrange(""https://docs.google.com/spreadsheets/d/1d2vevQ_7D_v35q4wCQ4RpQ_IPoTwEMB9Yp6ymwlPqew/edit?gid=984458430#gid=984458430"", ""'replication success'!A:K""), 11, FAlSE)"),"failed")</f>
        <v>failed</v>
      </c>
      <c r="AZ1409" s="61" t="str">
        <f>IFERROR(__xludf.DUMMYFUNCTION("vlookup(BB1409,importrange(""https://docs.google.com/spreadsheets/d/1d2vevQ_7D_v35q4wCQ4RpQ_IPoTwEMB9Yp6ymwlPqew/edit?gid=984458430#gid=984458430"", ""'replication success'!A:M""), 12, FAlSE)"),"With the default prior, the data are 16.6
times more likely under H0 than under H1; with the “knowl-
edge-based prior” from Bem, Utts, and Johnson (2011), the
data are 6.2 times more likely under H0 than under H1.")</f>
        <v>With the default prior, the data are 16.6
times more likely under H0 than under H1; with the “knowl-
edge-based prior” from Bem, Utts, and Johnson (2011), the
data are 6.2 times more likely under H0 than under H1.</v>
      </c>
      <c r="BA1409" s="61" t="str">
        <f>IFERROR(__xludf.DUMMYFUNCTION("vlookup(BB1409,importrange(""https://docs.google.com/spreadsheets/d/1d2vevQ_7D_v35q4wCQ4RpQ_IPoTwEMB9Yp6ymwlPqew/edit?gid=984458430#gid=984458430"", ""'replication success'!A:M""), 13, FAlSE)"),"pg. 6")</f>
        <v>pg. 6</v>
      </c>
      <c r="BB1409" s="61" t="str">
        <f>IFERROR(__xludf.DUMMYFUNCTION("REGEXREPLACE(G1409, ""_[a-z]{1,2}$"", """")"),"curatescience52")</f>
        <v>curatescience52</v>
      </c>
      <c r="BC1409" s="752"/>
      <c r="BD1409" s="752"/>
    </row>
    <row r="1410">
      <c r="A1410" s="44">
        <v>1410.0</v>
      </c>
      <c r="B1410" s="72" t="s">
        <v>152</v>
      </c>
      <c r="C1410" s="72" t="s">
        <v>115</v>
      </c>
      <c r="D1410" s="72" t="s">
        <v>199</v>
      </c>
      <c r="E1410" s="73"/>
      <c r="F1410" s="851" t="s">
        <v>7964</v>
      </c>
      <c r="G1410" s="76" t="s">
        <v>7984</v>
      </c>
      <c r="H1410" s="76" t="s">
        <v>202</v>
      </c>
      <c r="I1410" s="629">
        <v>45639.0</v>
      </c>
      <c r="J1410" s="1539">
        <v>45684.0</v>
      </c>
      <c r="K1410" s="76" t="s">
        <v>7966</v>
      </c>
      <c r="L1410" s="1560" t="s">
        <v>7985</v>
      </c>
      <c r="M1410" s="101" t="s">
        <v>7968</v>
      </c>
      <c r="N1410" s="76" t="s">
        <v>7969</v>
      </c>
      <c r="O1410" s="635">
        <v>1.0</v>
      </c>
      <c r="P1410" s="99" t="s">
        <v>7970</v>
      </c>
      <c r="Q1410" s="52" t="str">
        <f t="array" ref="Q1410"> if(iserror(MATCH(V1410, 'File Links'!C:C, 0)), "N/A", HYPERLINK(INDEX('File Links'!B:B, MATCH(P1410, 'File Links'!C:C, 0))))</f>
        <v>https://drive.google.com/file/d/1Sg7pV5-MRMEfG7acPaIDjV0AQ3yqElU4/view?usp=drivesdk</v>
      </c>
      <c r="R1410" s="76" t="s">
        <v>7971</v>
      </c>
      <c r="S1410" s="76" t="s">
        <v>7972</v>
      </c>
      <c r="T1410" s="82"/>
      <c r="U1410" s="79">
        <v>1.0</v>
      </c>
      <c r="V1410" s="198" t="str">
        <f t="shared" si="93"/>
        <v>10.1177--1745691612463078.pdf</v>
      </c>
      <c r="W1410" s="841" t="s">
        <v>7973</v>
      </c>
      <c r="X1410" s="54" t="str">
        <f t="array" ref="X1410"> if(iserror(MATCH(V1410, 'File Links'!C:C, 0)), "N/A", HYPERLINK(INDEX('File Links'!B:B, MATCH(V1410, 'File Links'!C:C, 0))))</f>
        <v>https://drive.google.com/file/d/1SA7ZP2ow52I8kFKx4p2nJ0nUspPn6as_/view?usp=drivesdk</v>
      </c>
      <c r="Y1410" s="82"/>
      <c r="Z1410" s="76" t="s">
        <v>226</v>
      </c>
      <c r="AA1410" s="76" t="s">
        <v>7974</v>
      </c>
      <c r="AB1410" s="76" t="s">
        <v>7975</v>
      </c>
      <c r="AC1410" s="76" t="s">
        <v>7986</v>
      </c>
      <c r="AD1410" s="76" t="s">
        <v>7987</v>
      </c>
      <c r="AE1410" s="635">
        <v>409.0</v>
      </c>
      <c r="AF1410" s="635">
        <v>100.0</v>
      </c>
      <c r="AG1410" s="101" t="s">
        <v>7988</v>
      </c>
      <c r="AH1410" s="101" t="s">
        <v>134</v>
      </c>
      <c r="AI1410" s="62">
        <v>409.0</v>
      </c>
      <c r="AJ1410" s="635">
        <v>0.56</v>
      </c>
      <c r="AK1410" s="95" t="s">
        <v>172</v>
      </c>
      <c r="AL1410" s="126" t="s">
        <v>186</v>
      </c>
      <c r="AM1410" s="843" t="s">
        <v>137</v>
      </c>
      <c r="AN1410" s="330" t="s">
        <v>138</v>
      </c>
      <c r="AO1410" s="79" t="s">
        <v>138</v>
      </c>
      <c r="AP1410" s="79" t="s">
        <v>138</v>
      </c>
      <c r="AQ1410" s="129" t="s">
        <v>138</v>
      </c>
      <c r="AR1410" s="82"/>
      <c r="AS1410" s="79" t="s">
        <v>138</v>
      </c>
      <c r="AT1410" s="79" t="s">
        <v>138</v>
      </c>
      <c r="AU1410" s="79" t="s">
        <v>138</v>
      </c>
      <c r="AV1410" s="79" t="s">
        <v>138</v>
      </c>
      <c r="AW1410" s="79" t="s">
        <v>138</v>
      </c>
      <c r="AX1410" s="79" t="s">
        <v>574</v>
      </c>
      <c r="AY1410" s="61" t="str">
        <f>IFERROR(__xludf.DUMMYFUNCTION("vlookup(BB1410,importrange(""https://docs.google.com/spreadsheets/d/1d2vevQ_7D_v35q4wCQ4RpQ_IPoTwEMB9Yp6ymwlPqew/edit?gid=984458430#gid=984458430"", ""'replication success'!A:K""), 11, FAlSE)"),"failed")</f>
        <v>failed</v>
      </c>
      <c r="AZ1410" s="61" t="str">
        <f>IFERROR(__xludf.DUMMYFUNCTION("vlookup(BB1410,importrange(""https://docs.google.com/spreadsheets/d/1d2vevQ_7D_v35q4wCQ4RpQ_IPoTwEMB9Yp6ymwlPqew/edit?gid=984458430#gid=984458430"", ""'replication success'!A:M""), 12, FAlSE)"),"With the default prior, the data are 16.6
times more likely under H0 than under H1; with the “knowl-
edge-based prior” from Bem, Utts, and Johnson (2011), the
data are 6.2 times more likely under H0 than under H1.")</f>
        <v>With the default prior, the data are 16.6
times more likely under H0 than under H1; with the “knowl-
edge-based prior” from Bem, Utts, and Johnson (2011), the
data are 6.2 times more likely under H0 than under H1.</v>
      </c>
      <c r="BA1410" s="61" t="str">
        <f>IFERROR(__xludf.DUMMYFUNCTION("vlookup(BB1410,importrange(""https://docs.google.com/spreadsheets/d/1d2vevQ_7D_v35q4wCQ4RpQ_IPoTwEMB9Yp6ymwlPqew/edit?gid=984458430#gid=984458430"", ""'replication success'!A:M""), 13, FAlSE)"),"pg. 6")</f>
        <v>pg. 6</v>
      </c>
      <c r="BB1410" s="61" t="str">
        <f>IFERROR(__xludf.DUMMYFUNCTION("REGEXREPLACE(G1410, ""_[a-z]{1,2}$"", """")"),"curatescience52")</f>
        <v>curatescience52</v>
      </c>
      <c r="BC1410" s="92"/>
      <c r="BD1410" s="93" t="s">
        <v>144</v>
      </c>
    </row>
    <row r="1411">
      <c r="A1411" s="44">
        <v>1411.0</v>
      </c>
      <c r="B1411" s="62" t="s">
        <v>152</v>
      </c>
      <c r="C1411" s="62" t="s">
        <v>115</v>
      </c>
      <c r="D1411" s="62" t="s">
        <v>1458</v>
      </c>
      <c r="F1411" s="125" t="s">
        <v>7989</v>
      </c>
      <c r="G1411" s="126" t="s">
        <v>7990</v>
      </c>
      <c r="H1411" s="140" t="s">
        <v>1518</v>
      </c>
      <c r="I1411" s="1561" t="s">
        <v>119</v>
      </c>
      <c r="J1411" s="1542">
        <v>45758.0</v>
      </c>
      <c r="K1411" s="140" t="s">
        <v>7991</v>
      </c>
      <c r="L1411" s="119" t="s">
        <v>7992</v>
      </c>
      <c r="M1411" s="140" t="s">
        <v>7993</v>
      </c>
      <c r="N1411" s="140" t="s">
        <v>6978</v>
      </c>
      <c r="O1411" s="378">
        <v>1.0</v>
      </c>
      <c r="P1411" s="140" t="s">
        <v>7994</v>
      </c>
      <c r="Q1411" s="52" t="str">
        <f t="array" ref="Q1411"> if(iserror(MATCH(V1411, 'File Links'!C:C, 0)), "N/A", HYPERLINK(INDEX('File Links'!B:B, MATCH(P1411, 'File Links'!C:C, 0))))</f>
        <v>https://drive.google.com/file/d/16w-mzwoY4czOLW1CWtNqG_1fcM557vJf/view?usp=drivesdk</v>
      </c>
      <c r="R1411" s="140" t="s">
        <v>7995</v>
      </c>
      <c r="S1411" s="140" t="s">
        <v>7996</v>
      </c>
      <c r="T1411" s="125"/>
      <c r="U1411" s="371">
        <v>1.0</v>
      </c>
      <c r="V1411" s="198" t="str">
        <f t="shared" si="93"/>
        <v>10.1037--pspa0000064.pdf</v>
      </c>
      <c r="W1411" s="119" t="s">
        <v>209</v>
      </c>
      <c r="X1411" s="54" t="str">
        <f t="array" ref="X1411"> if(iserror(MATCH(V1411, 'File Links'!C:C, 0)), "N/A", HYPERLINK(INDEX('File Links'!B:B, MATCH(V1411, 'File Links'!C:C, 0))))</f>
        <v>https://drive.google.com/file/d/1RF-nEXDyW9UWyQIuqmtLdTtTuTs-52JT/view?usp=drivesdk</v>
      </c>
      <c r="Y1411" s="125"/>
      <c r="Z1411" s="140" t="s">
        <v>226</v>
      </c>
      <c r="AA1411" s="140" t="s">
        <v>7997</v>
      </c>
      <c r="AB1411" s="140" t="s">
        <v>7998</v>
      </c>
      <c r="AC1411" s="380" t="s">
        <v>7999</v>
      </c>
      <c r="AD1411" s="380" t="s">
        <v>8000</v>
      </c>
      <c r="AE1411" s="782">
        <v>2.0</v>
      </c>
      <c r="AF1411" s="782">
        <v>80.0</v>
      </c>
      <c r="AG1411" s="782">
        <v>0.05</v>
      </c>
      <c r="AH1411" s="140" t="s">
        <v>8001</v>
      </c>
      <c r="AI1411" s="140" t="s">
        <v>8002</v>
      </c>
      <c r="AJ1411" s="133">
        <v>0.01</v>
      </c>
      <c r="AK1411" s="126" t="s">
        <v>172</v>
      </c>
      <c r="AL1411" s="126" t="s">
        <v>186</v>
      </c>
      <c r="AM1411" s="125" t="s">
        <v>137</v>
      </c>
      <c r="AN1411" s="371" t="s">
        <v>138</v>
      </c>
      <c r="AO1411" s="782">
        <v>300.0</v>
      </c>
      <c r="AP1411" s="782">
        <v>0.07</v>
      </c>
      <c r="AQ1411" s="140" t="s">
        <v>173</v>
      </c>
      <c r="AR1411" s="140" t="s">
        <v>882</v>
      </c>
      <c r="AS1411" s="782">
        <v>0.775</v>
      </c>
      <c r="AT1411" s="140" t="s">
        <v>172</v>
      </c>
      <c r="AU1411" s="140" t="s">
        <v>186</v>
      </c>
      <c r="AV1411" s="371" t="s">
        <v>141</v>
      </c>
      <c r="AW1411" s="371" t="s">
        <v>138</v>
      </c>
      <c r="AX1411" s="125" t="s">
        <v>143</v>
      </c>
      <c r="AY1411" s="61" t="str">
        <f>IFERROR(__xludf.DUMMYFUNCTION("vlookup(BB1411,importrange(""https://docs.google.com/spreadsheets/d/1d2vevQ_7D_v35q4wCQ4RpQ_IPoTwEMB9Yp6ymwlPqew/edit?gid=984458430#gid=984458430"", ""'replication success'!A:K""), 11, FAlSE)"),"mixed")</f>
        <v>mixed</v>
      </c>
      <c r="AZ1411" s="61" t="str">
        <f>IFERROR(__xludf.DUMMYFUNCTION("vlookup(BB1411,importrange(""https://docs.google.com/spreadsheets/d/1d2vevQ_7D_v35q4wCQ4RpQ_IPoTwEMB9Yp6ymwlPqew/edit?gid=984458430#gid=984458430"",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1" s="61" t="str">
        <f>IFERROR(__xludf.DUMMYFUNCTION("vlookup(BB1411,importrange(""https://docs.google.com/spreadsheets/d/1d2vevQ_7D_v35q4wCQ4RpQ_IPoTwEMB9Yp6ymwlPqew/edit?gid=984458430#gid=984458430"", ""'replication success'!A:M""), 13, FAlSE)"),"abstract")</f>
        <v>abstract</v>
      </c>
      <c r="BB1411" s="61" t="str">
        <f>IFERROR(__xludf.DUMMYFUNCTION("REGEXREPLACE(G1411, ""_[a-z]{1,2}$"", """")"),"curatescience53")</f>
        <v>curatescience53</v>
      </c>
      <c r="BD1411" s="62" t="s">
        <v>7943</v>
      </c>
    </row>
    <row r="1412">
      <c r="A1412" s="44">
        <v>1412.0</v>
      </c>
      <c r="B1412" s="62" t="s">
        <v>114</v>
      </c>
      <c r="C1412" s="62" t="s">
        <v>115</v>
      </c>
      <c r="D1412" s="62" t="s">
        <v>1458</v>
      </c>
      <c r="F1412" s="125" t="s">
        <v>7989</v>
      </c>
      <c r="G1412" s="126" t="s">
        <v>8003</v>
      </c>
      <c r="H1412" s="140" t="s">
        <v>1518</v>
      </c>
      <c r="I1412" s="1562"/>
      <c r="J1412" s="1542">
        <v>45758.0</v>
      </c>
      <c r="K1412" s="140" t="s">
        <v>8004</v>
      </c>
      <c r="L1412" s="119" t="s">
        <v>8005</v>
      </c>
      <c r="M1412" s="140" t="s">
        <v>7993</v>
      </c>
      <c r="N1412" s="140" t="s">
        <v>6978</v>
      </c>
      <c r="O1412" s="782">
        <v>5.0</v>
      </c>
      <c r="P1412" s="140" t="s">
        <v>7994</v>
      </c>
      <c r="Q1412" s="52" t="str">
        <f t="array" ref="Q1412"> if(iserror(MATCH(V1412, 'File Links'!C:C, 0)), "N/A", HYPERLINK(INDEX('File Links'!B:B, MATCH(P1412, 'File Links'!C:C, 0))))</f>
        <v>https://drive.google.com/file/d/16w-mzwoY4czOLW1CWtNqG_1fcM557vJf/view?usp=drivesdk</v>
      </c>
      <c r="R1412" s="140" t="s">
        <v>7995</v>
      </c>
      <c r="S1412" s="140" t="s">
        <v>7996</v>
      </c>
      <c r="T1412" s="125"/>
      <c r="U1412" s="371">
        <v>1.0</v>
      </c>
      <c r="V1412" s="198" t="str">
        <f t="shared" si="93"/>
        <v>10.1037--pspa0000064.pdf</v>
      </c>
      <c r="W1412" s="119" t="s">
        <v>209</v>
      </c>
      <c r="X1412" s="54" t="str">
        <f t="array" ref="X1412"> if(iserror(MATCH(V1412, 'File Links'!C:C, 0)), "N/A", HYPERLINK(INDEX('File Links'!B:B, MATCH(V1412, 'File Links'!C:C, 0))))</f>
        <v>https://drive.google.com/file/d/1RF-nEXDyW9UWyQIuqmtLdTtTuTs-52JT/view?usp=drivesdk</v>
      </c>
      <c r="Y1412" s="125"/>
      <c r="Z1412" s="140" t="s">
        <v>226</v>
      </c>
      <c r="AA1412" s="140" t="s">
        <v>7997</v>
      </c>
      <c r="AB1412" s="140" t="s">
        <v>7998</v>
      </c>
      <c r="AC1412" s="380" t="s">
        <v>7999</v>
      </c>
      <c r="AD1412" s="140" t="s">
        <v>8006</v>
      </c>
      <c r="AE1412" s="782">
        <v>2.0</v>
      </c>
      <c r="AF1412" s="782">
        <v>80.0</v>
      </c>
      <c r="AG1412" s="782">
        <v>0.13</v>
      </c>
      <c r="AH1412" s="140" t="s">
        <v>8001</v>
      </c>
      <c r="AI1412" s="140" t="s">
        <v>8002</v>
      </c>
      <c r="AJ1412" s="133">
        <v>3.0E-4</v>
      </c>
      <c r="AK1412" s="126" t="s">
        <v>172</v>
      </c>
      <c r="AL1412" s="126" t="s">
        <v>186</v>
      </c>
      <c r="AM1412" s="125" t="s">
        <v>137</v>
      </c>
      <c r="AN1412" s="371" t="s">
        <v>138</v>
      </c>
      <c r="AO1412" s="782">
        <v>300.0</v>
      </c>
      <c r="AP1412" s="782">
        <v>0.19</v>
      </c>
      <c r="AQ1412" s="140" t="s">
        <v>987</v>
      </c>
      <c r="AR1412" s="140" t="s">
        <v>882</v>
      </c>
      <c r="AS1412" s="782">
        <v>0.001</v>
      </c>
      <c r="AT1412" s="140" t="s">
        <v>135</v>
      </c>
      <c r="AU1412" s="140" t="s">
        <v>186</v>
      </c>
      <c r="AV1412" s="371" t="s">
        <v>141</v>
      </c>
      <c r="AW1412" s="371" t="s">
        <v>138</v>
      </c>
      <c r="AX1412" s="125" t="s">
        <v>143</v>
      </c>
      <c r="AY1412" s="61" t="str">
        <f>IFERROR(__xludf.DUMMYFUNCTION("vlookup(BB1412,importrange(""https://docs.google.com/spreadsheets/d/1d2vevQ_7D_v35q4wCQ4RpQ_IPoTwEMB9Yp6ymwlPqew/edit?gid=984458430#gid=984458430"", ""'replication success'!A:K""), 11, FAlSE)"),"mixed")</f>
        <v>mixed</v>
      </c>
      <c r="AZ1412" s="61" t="str">
        <f>IFERROR(__xludf.DUMMYFUNCTION("vlookup(BB1412,importrange(""https://docs.google.com/spreadsheets/d/1d2vevQ_7D_v35q4wCQ4RpQ_IPoTwEMB9Yp6ymwlPqew/edit?gid=984458430#gid=984458430"",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2" s="61" t="str">
        <f>IFERROR(__xludf.DUMMYFUNCTION("vlookup(BB1412,importrange(""https://docs.google.com/spreadsheets/d/1d2vevQ_7D_v35q4wCQ4RpQ_IPoTwEMB9Yp6ymwlPqew/edit?gid=984458430#gid=984458430"", ""'replication success'!A:M""), 13, FAlSE)"),"abstract")</f>
        <v>abstract</v>
      </c>
      <c r="BB1412" s="61" t="str">
        <f>IFERROR(__xludf.DUMMYFUNCTION("REGEXREPLACE(G1412, ""_[a-z]{1,2}$"", """")"),"curatescience53")</f>
        <v>curatescience53</v>
      </c>
      <c r="BD1412" s="62" t="s">
        <v>7943</v>
      </c>
    </row>
    <row r="1413">
      <c r="A1413" s="44">
        <v>1413.0</v>
      </c>
      <c r="B1413" s="62" t="s">
        <v>152</v>
      </c>
      <c r="C1413" s="62" t="s">
        <v>115</v>
      </c>
      <c r="D1413" s="62" t="s">
        <v>1458</v>
      </c>
      <c r="F1413" s="125" t="s">
        <v>7989</v>
      </c>
      <c r="G1413" s="126" t="s">
        <v>8007</v>
      </c>
      <c r="H1413" s="140" t="s">
        <v>1518</v>
      </c>
      <c r="I1413" s="1562"/>
      <c r="J1413" s="1542">
        <v>45758.0</v>
      </c>
      <c r="K1413" s="140" t="s">
        <v>8008</v>
      </c>
      <c r="L1413" s="119" t="s">
        <v>8009</v>
      </c>
      <c r="M1413" s="140" t="s">
        <v>7993</v>
      </c>
      <c r="N1413" s="140" t="s">
        <v>6978</v>
      </c>
      <c r="O1413" s="782">
        <v>5.0</v>
      </c>
      <c r="P1413" s="140" t="s">
        <v>7994</v>
      </c>
      <c r="Q1413" s="52" t="str">
        <f t="array" ref="Q1413"> if(iserror(MATCH(V1413, 'File Links'!C:C, 0)), "N/A", HYPERLINK(INDEX('File Links'!B:B, MATCH(P1413, 'File Links'!C:C, 0))))</f>
        <v>https://drive.google.com/file/d/16w-mzwoY4czOLW1CWtNqG_1fcM557vJf/view?usp=drivesdk</v>
      </c>
      <c r="R1413" s="140" t="s">
        <v>7995</v>
      </c>
      <c r="S1413" s="140" t="s">
        <v>7996</v>
      </c>
      <c r="T1413" s="125"/>
      <c r="U1413" s="371">
        <v>1.0</v>
      </c>
      <c r="V1413" s="198" t="str">
        <f t="shared" si="93"/>
        <v>10.1037--pspa0000064.pdf</v>
      </c>
      <c r="W1413" s="119" t="s">
        <v>209</v>
      </c>
      <c r="X1413" s="54" t="str">
        <f t="array" ref="X1413"> if(iserror(MATCH(V1413, 'File Links'!C:C, 0)), "N/A", HYPERLINK(INDEX('File Links'!B:B, MATCH(V1413, 'File Links'!C:C, 0))))</f>
        <v>https://drive.google.com/file/d/1RF-nEXDyW9UWyQIuqmtLdTtTuTs-52JT/view?usp=drivesdk</v>
      </c>
      <c r="Y1413" s="125"/>
      <c r="Z1413" s="140" t="s">
        <v>226</v>
      </c>
      <c r="AA1413" s="140" t="s">
        <v>7997</v>
      </c>
      <c r="AB1413" s="140" t="s">
        <v>7998</v>
      </c>
      <c r="AC1413" s="380" t="s">
        <v>7999</v>
      </c>
      <c r="AD1413" s="140" t="s">
        <v>8010</v>
      </c>
      <c r="AE1413" s="782">
        <v>2.0</v>
      </c>
      <c r="AF1413" s="782">
        <v>80.0</v>
      </c>
      <c r="AG1413" s="782">
        <v>0.0</v>
      </c>
      <c r="AH1413" s="140" t="s">
        <v>8001</v>
      </c>
      <c r="AI1413" s="140" t="s">
        <v>8002</v>
      </c>
      <c r="AJ1413" s="133">
        <v>0.3</v>
      </c>
      <c r="AK1413" s="126" t="s">
        <v>172</v>
      </c>
      <c r="AL1413" s="126" t="s">
        <v>186</v>
      </c>
      <c r="AM1413" s="125" t="s">
        <v>141</v>
      </c>
      <c r="AN1413" s="371" t="s">
        <v>138</v>
      </c>
      <c r="AO1413" s="782">
        <v>300.0</v>
      </c>
      <c r="AP1413" s="140" t="s">
        <v>8011</v>
      </c>
      <c r="AQ1413" s="140" t="s">
        <v>134</v>
      </c>
      <c r="AR1413" s="140" t="s">
        <v>882</v>
      </c>
      <c r="AS1413" s="1563">
        <v>0.625</v>
      </c>
      <c r="AT1413" s="140" t="s">
        <v>172</v>
      </c>
      <c r="AU1413" s="140" t="s">
        <v>186</v>
      </c>
      <c r="AV1413" s="125" t="s">
        <v>141</v>
      </c>
      <c r="AW1413" s="371" t="s">
        <v>138</v>
      </c>
      <c r="AX1413" s="125" t="s">
        <v>143</v>
      </c>
      <c r="AY1413" s="61" t="str">
        <f>IFERROR(__xludf.DUMMYFUNCTION("vlookup(BB1413,importrange(""https://docs.google.com/spreadsheets/d/1d2vevQ_7D_v35q4wCQ4RpQ_IPoTwEMB9Yp6ymwlPqew/edit?gid=984458430#gid=984458430"", ""'replication success'!A:K""), 11, FAlSE)"),"mixed")</f>
        <v>mixed</v>
      </c>
      <c r="AZ1413" s="61" t="str">
        <f>IFERROR(__xludf.DUMMYFUNCTION("vlookup(BB1413,importrange(""https://docs.google.com/spreadsheets/d/1d2vevQ_7D_v35q4wCQ4RpQ_IPoTwEMB9Yp6ymwlPqew/edit?gid=984458430#gid=984458430"",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3" s="61" t="str">
        <f>IFERROR(__xludf.DUMMYFUNCTION("vlookup(BB1413,importrange(""https://docs.google.com/spreadsheets/d/1d2vevQ_7D_v35q4wCQ4RpQ_IPoTwEMB9Yp6ymwlPqew/edit?gid=984458430#gid=984458430"", ""'replication success'!A:M""), 13, FAlSE)"),"abstract")</f>
        <v>abstract</v>
      </c>
      <c r="BB1413" s="61" t="str">
        <f>IFERROR(__xludf.DUMMYFUNCTION("REGEXREPLACE(G1413, ""_[a-z]{1,2}$"", """")"),"curatescience53")</f>
        <v>curatescience53</v>
      </c>
      <c r="BD1413" s="62" t="s">
        <v>7943</v>
      </c>
    </row>
    <row r="1414">
      <c r="A1414" s="44">
        <v>1414.0</v>
      </c>
      <c r="B1414" s="62" t="s">
        <v>114</v>
      </c>
      <c r="C1414" s="62" t="s">
        <v>115</v>
      </c>
      <c r="D1414" s="62" t="s">
        <v>1458</v>
      </c>
      <c r="F1414" s="125" t="s">
        <v>7989</v>
      </c>
      <c r="G1414" s="126" t="s">
        <v>8012</v>
      </c>
      <c r="H1414" s="140" t="s">
        <v>1518</v>
      </c>
      <c r="I1414" s="1562"/>
      <c r="J1414" s="221">
        <v>45761.0</v>
      </c>
      <c r="K1414" s="140" t="s">
        <v>8013</v>
      </c>
      <c r="L1414" s="119" t="s">
        <v>8014</v>
      </c>
      <c r="M1414" s="140" t="s">
        <v>7993</v>
      </c>
      <c r="N1414" s="140" t="s">
        <v>6978</v>
      </c>
      <c r="O1414" s="782">
        <v>5.0</v>
      </c>
      <c r="P1414" s="140" t="s">
        <v>7994</v>
      </c>
      <c r="Q1414" s="52" t="str">
        <f t="array" ref="Q1414"> if(iserror(MATCH(V1414, 'File Links'!C:C, 0)), "N/A", HYPERLINK(INDEX('File Links'!B:B, MATCH(P1414, 'File Links'!C:C, 0))))</f>
        <v>https://drive.google.com/file/d/16w-mzwoY4czOLW1CWtNqG_1fcM557vJf/view?usp=drivesdk</v>
      </c>
      <c r="R1414" s="140" t="s">
        <v>7995</v>
      </c>
      <c r="S1414" s="140" t="s">
        <v>7996</v>
      </c>
      <c r="T1414" s="125"/>
      <c r="U1414" s="371">
        <v>1.0</v>
      </c>
      <c r="V1414" s="198" t="str">
        <f t="shared" si="93"/>
        <v>10.1037--pspa0000064.pdf</v>
      </c>
      <c r="W1414" s="119" t="s">
        <v>209</v>
      </c>
      <c r="X1414" s="54" t="str">
        <f t="array" ref="X1414"> if(iserror(MATCH(V1414, 'File Links'!C:C, 0)), "N/A", HYPERLINK(INDEX('File Links'!B:B, MATCH(V1414, 'File Links'!C:C, 0))))</f>
        <v>https://drive.google.com/file/d/1RF-nEXDyW9UWyQIuqmtLdTtTuTs-52JT/view?usp=drivesdk</v>
      </c>
      <c r="Y1414" s="125"/>
      <c r="Z1414" s="140" t="s">
        <v>226</v>
      </c>
      <c r="AA1414" s="140" t="s">
        <v>7997</v>
      </c>
      <c r="AB1414" s="140" t="s">
        <v>7998</v>
      </c>
      <c r="AC1414" s="380" t="s">
        <v>7999</v>
      </c>
      <c r="AD1414" s="140" t="s">
        <v>8015</v>
      </c>
      <c r="AE1414" s="1564" t="s">
        <v>8016</v>
      </c>
      <c r="AF1414" s="782">
        <v>69.0</v>
      </c>
      <c r="AG1414" s="782">
        <v>0.04</v>
      </c>
      <c r="AH1414" s="140" t="s">
        <v>8001</v>
      </c>
      <c r="AI1414" s="140" t="s">
        <v>8002</v>
      </c>
      <c r="AJ1414" s="133">
        <v>0.04</v>
      </c>
      <c r="AK1414" s="126" t="s">
        <v>172</v>
      </c>
      <c r="AL1414" s="126" t="s">
        <v>186</v>
      </c>
      <c r="AM1414" s="125" t="s">
        <v>137</v>
      </c>
      <c r="AN1414" s="132"/>
      <c r="AO1414" s="496">
        <v>303.0</v>
      </c>
      <c r="AP1414" s="782">
        <v>0.05</v>
      </c>
      <c r="AQ1414" s="140" t="s">
        <v>173</v>
      </c>
      <c r="AR1414" s="140" t="s">
        <v>1042</v>
      </c>
      <c r="AS1414" s="782">
        <v>0.363</v>
      </c>
      <c r="AT1414" s="140" t="s">
        <v>172</v>
      </c>
      <c r="AU1414" s="140" t="s">
        <v>186</v>
      </c>
      <c r="AV1414" s="125" t="s">
        <v>137</v>
      </c>
      <c r="AW1414" s="371" t="s">
        <v>138</v>
      </c>
      <c r="AX1414" s="125" t="s">
        <v>143</v>
      </c>
      <c r="AY1414" s="61" t="str">
        <f>IFERROR(__xludf.DUMMYFUNCTION("vlookup(BB1414,importrange(""https://docs.google.com/spreadsheets/d/1d2vevQ_7D_v35q4wCQ4RpQ_IPoTwEMB9Yp6ymwlPqew/edit?gid=984458430#gid=984458430"", ""'replication success'!A:K""), 11, FAlSE)"),"mixed")</f>
        <v>mixed</v>
      </c>
      <c r="AZ1414" s="61" t="str">
        <f>IFERROR(__xludf.DUMMYFUNCTION("vlookup(BB1414,importrange(""https://docs.google.com/spreadsheets/d/1d2vevQ_7D_v35q4wCQ4RpQ_IPoTwEMB9Yp6ymwlPqew/edit?gid=984458430#gid=984458430"",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4" s="61" t="str">
        <f>IFERROR(__xludf.DUMMYFUNCTION("vlookup(BB1414,importrange(""https://docs.google.com/spreadsheets/d/1d2vevQ_7D_v35q4wCQ4RpQ_IPoTwEMB9Yp6ymwlPqew/edit?gid=984458430#gid=984458430"", ""'replication success'!A:M""), 13, FAlSE)"),"abstract")</f>
        <v>abstract</v>
      </c>
      <c r="BB1414" s="61" t="str">
        <f>IFERROR(__xludf.DUMMYFUNCTION("REGEXREPLACE(G1414, ""_[a-z]{1,2}$"", """")"),"curatescience53")</f>
        <v>curatescience53</v>
      </c>
      <c r="BD1414" s="62" t="s">
        <v>7943</v>
      </c>
    </row>
    <row r="1415">
      <c r="A1415" s="44">
        <v>1415.0</v>
      </c>
      <c r="B1415" s="62" t="s">
        <v>114</v>
      </c>
      <c r="C1415" s="62" t="s">
        <v>115</v>
      </c>
      <c r="D1415" s="62" t="s">
        <v>1458</v>
      </c>
      <c r="F1415" s="125" t="s">
        <v>7989</v>
      </c>
      <c r="G1415" s="126" t="s">
        <v>8017</v>
      </c>
      <c r="H1415" s="140" t="s">
        <v>1518</v>
      </c>
      <c r="I1415" s="1562"/>
      <c r="J1415" s="221">
        <v>45761.0</v>
      </c>
      <c r="K1415" s="140" t="s">
        <v>8018</v>
      </c>
      <c r="L1415" s="140" t="s">
        <v>7350</v>
      </c>
      <c r="M1415" s="140" t="s">
        <v>7993</v>
      </c>
      <c r="N1415" s="140" t="s">
        <v>6978</v>
      </c>
      <c r="O1415" s="782">
        <v>5.0</v>
      </c>
      <c r="P1415" s="140" t="s">
        <v>7994</v>
      </c>
      <c r="Q1415" s="52" t="str">
        <f t="array" ref="Q1415"> if(iserror(MATCH(V1415, 'File Links'!C:C, 0)), "N/A", HYPERLINK(INDEX('File Links'!B:B, MATCH(P1415, 'File Links'!C:C, 0))))</f>
        <v>https://drive.google.com/file/d/16w-mzwoY4czOLW1CWtNqG_1fcM557vJf/view?usp=drivesdk</v>
      </c>
      <c r="R1415" s="140" t="s">
        <v>7995</v>
      </c>
      <c r="S1415" s="140" t="s">
        <v>7996</v>
      </c>
      <c r="T1415" s="125"/>
      <c r="U1415" s="371">
        <v>1.0</v>
      </c>
      <c r="V1415" s="198" t="str">
        <f t="shared" si="93"/>
        <v>10.1037--pspa0000064.pdf</v>
      </c>
      <c r="W1415" s="119" t="s">
        <v>209</v>
      </c>
      <c r="X1415" s="54" t="str">
        <f t="array" ref="X1415"> if(iserror(MATCH(V1415, 'File Links'!C:C, 0)), "N/A", HYPERLINK(INDEX('File Links'!B:B, MATCH(V1415, 'File Links'!C:C, 0))))</f>
        <v>https://drive.google.com/file/d/1RF-nEXDyW9UWyQIuqmtLdTtTuTs-52JT/view?usp=drivesdk</v>
      </c>
      <c r="Y1415" s="125"/>
      <c r="Z1415" s="140" t="s">
        <v>226</v>
      </c>
      <c r="AA1415" s="140" t="s">
        <v>7997</v>
      </c>
      <c r="AB1415" s="140" t="s">
        <v>7998</v>
      </c>
      <c r="AC1415" s="380" t="s">
        <v>7999</v>
      </c>
      <c r="AD1415" s="140" t="s">
        <v>8019</v>
      </c>
      <c r="AE1415" s="782">
        <v>3.0</v>
      </c>
      <c r="AF1415" s="782">
        <v>69.0</v>
      </c>
      <c r="AG1415" s="782">
        <v>-0.01</v>
      </c>
      <c r="AH1415" s="140" t="s">
        <v>8001</v>
      </c>
      <c r="AI1415" s="140" t="s">
        <v>8002</v>
      </c>
      <c r="AJ1415" s="133">
        <v>0.9</v>
      </c>
      <c r="AK1415" s="126" t="s">
        <v>172</v>
      </c>
      <c r="AL1415" s="126" t="s">
        <v>186</v>
      </c>
      <c r="AM1415" s="125" t="s">
        <v>137</v>
      </c>
      <c r="AN1415" s="132"/>
      <c r="AO1415" s="496">
        <v>303.0</v>
      </c>
      <c r="AP1415" s="782">
        <v>0.37</v>
      </c>
      <c r="AQ1415" s="140" t="s">
        <v>987</v>
      </c>
      <c r="AR1415" s="140" t="s">
        <v>1042</v>
      </c>
      <c r="AS1415" s="782">
        <v>0.01</v>
      </c>
      <c r="AT1415" s="140" t="s">
        <v>135</v>
      </c>
      <c r="AU1415" s="140" t="s">
        <v>186</v>
      </c>
      <c r="AV1415" s="125" t="s">
        <v>137</v>
      </c>
      <c r="AW1415" s="371" t="s">
        <v>138</v>
      </c>
      <c r="AX1415" s="125" t="s">
        <v>143</v>
      </c>
      <c r="AY1415" s="61" t="str">
        <f>IFERROR(__xludf.DUMMYFUNCTION("vlookup(BB1415,importrange(""https://docs.google.com/spreadsheets/d/1d2vevQ_7D_v35q4wCQ4RpQ_IPoTwEMB9Yp6ymwlPqew/edit?gid=984458430#gid=984458430"", ""'replication success'!A:K""), 11, FAlSE)"),"mixed")</f>
        <v>mixed</v>
      </c>
      <c r="AZ1415" s="61" t="str">
        <f>IFERROR(__xludf.DUMMYFUNCTION("vlookup(BB1415,importrange(""https://docs.google.com/spreadsheets/d/1d2vevQ_7D_v35q4wCQ4RpQ_IPoTwEMB9Yp6ymwlPqew/edit?gid=984458430#gid=984458430"",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5" s="61" t="str">
        <f>IFERROR(__xludf.DUMMYFUNCTION("vlookup(BB1415,importrange(""https://docs.google.com/spreadsheets/d/1d2vevQ_7D_v35q4wCQ4RpQ_IPoTwEMB9Yp6ymwlPqew/edit?gid=984458430#gid=984458430"", ""'replication success'!A:M""), 13, FAlSE)"),"abstract")</f>
        <v>abstract</v>
      </c>
      <c r="BB1415" s="61" t="str">
        <f>IFERROR(__xludf.DUMMYFUNCTION("REGEXREPLACE(G1415, ""_[a-z]{1,2}$"", """")"),"curatescience53")</f>
        <v>curatescience53</v>
      </c>
      <c r="BD1415" s="62" t="s">
        <v>7943</v>
      </c>
    </row>
    <row r="1416">
      <c r="A1416" s="44">
        <v>1416.0</v>
      </c>
      <c r="B1416" s="62" t="s">
        <v>114</v>
      </c>
      <c r="C1416" s="62" t="s">
        <v>115</v>
      </c>
      <c r="D1416" s="62" t="s">
        <v>1458</v>
      </c>
      <c r="F1416" s="125" t="s">
        <v>7989</v>
      </c>
      <c r="G1416" s="126" t="s">
        <v>8020</v>
      </c>
      <c r="H1416" s="140" t="s">
        <v>1518</v>
      </c>
      <c r="I1416" s="1562"/>
      <c r="J1416" s="221">
        <v>45761.0</v>
      </c>
      <c r="K1416" s="140" t="s">
        <v>8021</v>
      </c>
      <c r="L1416" s="140" t="s">
        <v>7350</v>
      </c>
      <c r="M1416" s="140" t="s">
        <v>7993</v>
      </c>
      <c r="N1416" s="140" t="s">
        <v>6978</v>
      </c>
      <c r="O1416" s="782">
        <v>5.0</v>
      </c>
      <c r="P1416" s="140" t="s">
        <v>7994</v>
      </c>
      <c r="Q1416" s="52" t="str">
        <f t="array" ref="Q1416"> if(iserror(MATCH(V1416, 'File Links'!C:C, 0)), "N/A", HYPERLINK(INDEX('File Links'!B:B, MATCH(P1416, 'File Links'!C:C, 0))))</f>
        <v>https://drive.google.com/file/d/16w-mzwoY4czOLW1CWtNqG_1fcM557vJf/view?usp=drivesdk</v>
      </c>
      <c r="R1416" s="140" t="s">
        <v>7995</v>
      </c>
      <c r="S1416" s="140" t="s">
        <v>7996</v>
      </c>
      <c r="T1416" s="125"/>
      <c r="U1416" s="371">
        <v>1.0</v>
      </c>
      <c r="V1416" s="198" t="str">
        <f t="shared" si="93"/>
        <v>10.1037--pspa0000064.pdf</v>
      </c>
      <c r="W1416" s="119" t="s">
        <v>209</v>
      </c>
      <c r="X1416" s="54" t="str">
        <f t="array" ref="X1416"> if(iserror(MATCH(V1416, 'File Links'!C:C, 0)), "N/A", HYPERLINK(INDEX('File Links'!B:B, MATCH(V1416, 'File Links'!C:C, 0))))</f>
        <v>https://drive.google.com/file/d/1RF-nEXDyW9UWyQIuqmtLdTtTuTs-52JT/view?usp=drivesdk</v>
      </c>
      <c r="Y1416" s="125"/>
      <c r="Z1416" s="140" t="s">
        <v>226</v>
      </c>
      <c r="AA1416" s="140" t="s">
        <v>7997</v>
      </c>
      <c r="AB1416" s="140" t="s">
        <v>7998</v>
      </c>
      <c r="AC1416" s="380" t="s">
        <v>7999</v>
      </c>
      <c r="AD1416" s="140" t="s">
        <v>8010</v>
      </c>
      <c r="AE1416" s="782">
        <v>2.0</v>
      </c>
      <c r="AF1416" s="782">
        <v>69.0</v>
      </c>
      <c r="AG1416" s="782">
        <v>-0.01</v>
      </c>
      <c r="AH1416" s="140" t="s">
        <v>8001</v>
      </c>
      <c r="AI1416" s="140" t="s">
        <v>8002</v>
      </c>
      <c r="AJ1416" s="133">
        <v>0.9</v>
      </c>
      <c r="AK1416" s="126" t="s">
        <v>172</v>
      </c>
      <c r="AL1416" s="126" t="s">
        <v>186</v>
      </c>
      <c r="AM1416" s="125" t="s">
        <v>141</v>
      </c>
      <c r="AN1416" s="132"/>
      <c r="AO1416" s="496">
        <v>303.0</v>
      </c>
      <c r="AP1416" s="140" t="s">
        <v>8022</v>
      </c>
      <c r="AQ1416" s="140" t="s">
        <v>134</v>
      </c>
      <c r="AR1416" s="140" t="s">
        <v>1042</v>
      </c>
      <c r="AS1416" s="782">
        <v>0.412</v>
      </c>
      <c r="AT1416" s="140" t="s">
        <v>172</v>
      </c>
      <c r="AU1416" s="140" t="s">
        <v>186</v>
      </c>
      <c r="AV1416" s="125" t="s">
        <v>141</v>
      </c>
      <c r="AW1416" s="371" t="s">
        <v>138</v>
      </c>
      <c r="AX1416" s="125" t="s">
        <v>143</v>
      </c>
      <c r="AY1416" s="61" t="str">
        <f>IFERROR(__xludf.DUMMYFUNCTION("vlookup(BB1416,importrange(""https://docs.google.com/spreadsheets/d/1d2vevQ_7D_v35q4wCQ4RpQ_IPoTwEMB9Yp6ymwlPqew/edit?gid=984458430#gid=984458430"", ""'replication success'!A:K""), 11, FAlSE)"),"mixed")</f>
        <v>mixed</v>
      </c>
      <c r="AZ1416" s="61" t="str">
        <f>IFERROR(__xludf.DUMMYFUNCTION("vlookup(BB1416,importrange(""https://docs.google.com/spreadsheets/d/1d2vevQ_7D_v35q4wCQ4RpQ_IPoTwEMB9Yp6ymwlPqew/edit?gid=984458430#gid=984458430"",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6" s="61" t="str">
        <f>IFERROR(__xludf.DUMMYFUNCTION("vlookup(BB1416,importrange(""https://docs.google.com/spreadsheets/d/1d2vevQ_7D_v35q4wCQ4RpQ_IPoTwEMB9Yp6ymwlPqew/edit?gid=984458430#gid=984458430"", ""'replication success'!A:M""), 13, FAlSE)"),"abstract")</f>
        <v>abstract</v>
      </c>
      <c r="BB1416" s="61" t="str">
        <f>IFERROR(__xludf.DUMMYFUNCTION("REGEXREPLACE(G1416, ""_[a-z]{1,2}$"", """")"),"curatescience53")</f>
        <v>curatescience53</v>
      </c>
      <c r="BD1416" s="62" t="s">
        <v>7943</v>
      </c>
    </row>
    <row r="1417">
      <c r="A1417" s="44">
        <v>1417.0</v>
      </c>
      <c r="B1417" s="124" t="s">
        <v>114</v>
      </c>
      <c r="C1417" s="124" t="s">
        <v>115</v>
      </c>
      <c r="D1417" s="124" t="s">
        <v>1458</v>
      </c>
      <c r="E1417" s="107"/>
      <c r="F1417" s="125" t="s">
        <v>7989</v>
      </c>
      <c r="G1417" s="126" t="s">
        <v>8023</v>
      </c>
      <c r="H1417" s="140" t="s">
        <v>1518</v>
      </c>
      <c r="I1417" s="1562"/>
      <c r="J1417" s="221">
        <v>45761.0</v>
      </c>
      <c r="K1417" s="140" t="s">
        <v>8024</v>
      </c>
      <c r="L1417" s="119" t="s">
        <v>8025</v>
      </c>
      <c r="M1417" s="140" t="s">
        <v>7993</v>
      </c>
      <c r="N1417" s="140" t="s">
        <v>6978</v>
      </c>
      <c r="O1417" s="225">
        <v>3.0</v>
      </c>
      <c r="P1417" s="1364" t="s">
        <v>7994</v>
      </c>
      <c r="Q1417" s="52" t="str">
        <f t="array" ref="Q1417"> if(iserror(MATCH(V1417, 'File Links'!C:C, 0)), "N/A", HYPERLINK(INDEX('File Links'!B:B, MATCH(P1417, 'File Links'!C:C, 0))))</f>
        <v>https://drive.google.com/file/d/16w-mzwoY4czOLW1CWtNqG_1fcM557vJf/view?usp=drivesdk</v>
      </c>
      <c r="R1417" s="140" t="s">
        <v>7995</v>
      </c>
      <c r="S1417" s="140" t="s">
        <v>7996</v>
      </c>
      <c r="T1417" s="125"/>
      <c r="U1417" s="219">
        <v>1.0</v>
      </c>
      <c r="V1417" s="140" t="str">
        <f t="shared" si="93"/>
        <v>10.1037--pspa0000064.pdf</v>
      </c>
      <c r="W1417" s="119" t="s">
        <v>209</v>
      </c>
      <c r="X1417" s="54" t="str">
        <f t="array" ref="X1417"> if(iserror(MATCH(V1417, 'File Links'!C:C, 0)), "N/A", HYPERLINK(INDEX('File Links'!B:B, MATCH(V1417, 'File Links'!C:C, 0))))</f>
        <v>https://drive.google.com/file/d/1RF-nEXDyW9UWyQIuqmtLdTtTuTs-52JT/view?usp=drivesdk</v>
      </c>
      <c r="Y1417" s="125"/>
      <c r="Z1417" s="140" t="s">
        <v>226</v>
      </c>
      <c r="AA1417" s="140" t="s">
        <v>7997</v>
      </c>
      <c r="AB1417" s="140" t="s">
        <v>7998</v>
      </c>
      <c r="AC1417" s="119" t="s">
        <v>7999</v>
      </c>
      <c r="AD1417" s="140" t="s">
        <v>8026</v>
      </c>
      <c r="AE1417" s="782">
        <v>3.0</v>
      </c>
      <c r="AF1417" s="225">
        <v>69.0</v>
      </c>
      <c r="AG1417" s="782">
        <v>0.04</v>
      </c>
      <c r="AH1417" s="140" t="s">
        <v>8001</v>
      </c>
      <c r="AI1417" s="140" t="s">
        <v>8002</v>
      </c>
      <c r="AJ1417" s="133">
        <v>0.04</v>
      </c>
      <c r="AK1417" s="126" t="s">
        <v>172</v>
      </c>
      <c r="AL1417" s="126" t="s">
        <v>186</v>
      </c>
      <c r="AM1417" s="125" t="s">
        <v>137</v>
      </c>
      <c r="AN1417" s="132"/>
      <c r="AO1417" s="782">
        <v>303.0</v>
      </c>
      <c r="AP1417" s="782">
        <v>0.05</v>
      </c>
      <c r="AQ1417" s="140" t="s">
        <v>173</v>
      </c>
      <c r="AR1417" s="140" t="s">
        <v>1042</v>
      </c>
      <c r="AS1417" s="782">
        <v>0.363</v>
      </c>
      <c r="AT1417" s="140" t="s">
        <v>172</v>
      </c>
      <c r="AU1417" s="140" t="s">
        <v>186</v>
      </c>
      <c r="AV1417" s="219" t="s">
        <v>141</v>
      </c>
      <c r="AW1417" s="371" t="s">
        <v>138</v>
      </c>
      <c r="AX1417" s="125" t="s">
        <v>143</v>
      </c>
      <c r="AY1417" s="61" t="str">
        <f>IFERROR(__xludf.DUMMYFUNCTION("vlookup(BB1417,importrange(""https://docs.google.com/spreadsheets/d/1d2vevQ_7D_v35q4wCQ4RpQ_IPoTwEMB9Yp6ymwlPqew/edit?gid=984458430#gid=984458430"", ""'replication success'!A:K""), 11, FAlSE)"),"mixed")</f>
        <v>mixed</v>
      </c>
      <c r="AZ1417" s="61" t="str">
        <f>IFERROR(__xludf.DUMMYFUNCTION("vlookup(BB1417,importrange(""https://docs.google.com/spreadsheets/d/1d2vevQ_7D_v35q4wCQ4RpQ_IPoTwEMB9Yp6ymwlPqew/edit?gid=984458430#gid=984458430"",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7" s="61" t="str">
        <f>IFERROR(__xludf.DUMMYFUNCTION("vlookup(BB1417,importrange(""https://docs.google.com/spreadsheets/d/1d2vevQ_7D_v35q4wCQ4RpQ_IPoTwEMB9Yp6ymwlPqew/edit?gid=984458430#gid=984458430"", ""'replication success'!A:M""), 13, FAlSE)"),"abstract")</f>
        <v>abstract</v>
      </c>
      <c r="BB1417" s="61" t="str">
        <f>IFERROR(__xludf.DUMMYFUNCTION("REGEXREPLACE(G1417, ""_[a-z]{1,2}$"", """")"),"curatescience53")</f>
        <v>curatescience53</v>
      </c>
      <c r="BC1417" s="107"/>
      <c r="BD1417" s="124" t="s">
        <v>7853</v>
      </c>
    </row>
    <row r="1418" ht="18.0" customHeight="1">
      <c r="A1418" s="44">
        <v>1418.0</v>
      </c>
      <c r="B1418" s="124" t="s">
        <v>114</v>
      </c>
      <c r="C1418" s="124" t="s">
        <v>115</v>
      </c>
      <c r="D1418" s="124" t="s">
        <v>1458</v>
      </c>
      <c r="E1418" s="107"/>
      <c r="F1418" s="125" t="s">
        <v>7989</v>
      </c>
      <c r="G1418" s="126" t="s">
        <v>8027</v>
      </c>
      <c r="H1418" s="140" t="s">
        <v>1518</v>
      </c>
      <c r="I1418" s="1562"/>
      <c r="J1418" s="221">
        <v>45761.0</v>
      </c>
      <c r="K1418" s="140" t="s">
        <v>8028</v>
      </c>
      <c r="L1418" s="119" t="s">
        <v>8025</v>
      </c>
      <c r="M1418" s="140" t="s">
        <v>7993</v>
      </c>
      <c r="N1418" s="140" t="s">
        <v>6978</v>
      </c>
      <c r="O1418" s="225">
        <v>3.0</v>
      </c>
      <c r="P1418" s="1364" t="s">
        <v>7994</v>
      </c>
      <c r="Q1418" s="52" t="str">
        <f t="array" ref="Q1418"> if(iserror(MATCH(V1418, 'File Links'!C:C, 0)), "N/A", HYPERLINK(INDEX('File Links'!B:B, MATCH(P1418, 'File Links'!C:C, 0))))</f>
        <v>https://drive.google.com/file/d/16w-mzwoY4czOLW1CWtNqG_1fcM557vJf/view?usp=drivesdk</v>
      </c>
      <c r="R1418" s="140" t="s">
        <v>7995</v>
      </c>
      <c r="S1418" s="140" t="s">
        <v>7996</v>
      </c>
      <c r="T1418" s="125"/>
      <c r="U1418" s="219">
        <v>1.0</v>
      </c>
      <c r="V1418" s="140" t="str">
        <f t="shared" si="93"/>
        <v>10.1037--pspa0000064.pdf</v>
      </c>
      <c r="W1418" s="119" t="s">
        <v>209</v>
      </c>
      <c r="X1418" s="54" t="str">
        <f t="array" ref="X1418"> if(iserror(MATCH(V1418, 'File Links'!C:C, 0)), "N/A", HYPERLINK(INDEX('File Links'!B:B, MATCH(V1418, 'File Links'!C:C, 0))))</f>
        <v>https://drive.google.com/file/d/1RF-nEXDyW9UWyQIuqmtLdTtTuTs-52JT/view?usp=drivesdk</v>
      </c>
      <c r="Y1418" s="125"/>
      <c r="Z1418" s="140" t="s">
        <v>226</v>
      </c>
      <c r="AA1418" s="140" t="s">
        <v>7997</v>
      </c>
      <c r="AB1418" s="140" t="s">
        <v>7998</v>
      </c>
      <c r="AC1418" s="119" t="s">
        <v>7999</v>
      </c>
      <c r="AD1418" s="140" t="s">
        <v>8029</v>
      </c>
      <c r="AE1418" s="782">
        <v>3.0</v>
      </c>
      <c r="AF1418" s="225">
        <v>69.0</v>
      </c>
      <c r="AG1418" s="782">
        <v>0.15</v>
      </c>
      <c r="AH1418" s="140" t="s">
        <v>8001</v>
      </c>
      <c r="AI1418" s="140" t="s">
        <v>8002</v>
      </c>
      <c r="AJ1418" s="133">
        <v>0.001</v>
      </c>
      <c r="AK1418" s="126" t="s">
        <v>135</v>
      </c>
      <c r="AL1418" s="126" t="s">
        <v>186</v>
      </c>
      <c r="AM1418" s="125" t="s">
        <v>137</v>
      </c>
      <c r="AN1418" s="132"/>
      <c r="AO1418" s="782">
        <v>303.0</v>
      </c>
      <c r="AP1418" s="782">
        <v>0.37</v>
      </c>
      <c r="AQ1418" s="140" t="s">
        <v>987</v>
      </c>
      <c r="AR1418" s="140" t="s">
        <v>1042</v>
      </c>
      <c r="AS1418" s="782">
        <v>0.01</v>
      </c>
      <c r="AT1418" s="140" t="s">
        <v>135</v>
      </c>
      <c r="AU1418" s="140" t="s">
        <v>186</v>
      </c>
      <c r="AV1418" s="219" t="s">
        <v>141</v>
      </c>
      <c r="AW1418" s="371" t="s">
        <v>138</v>
      </c>
      <c r="AX1418" s="125" t="s">
        <v>143</v>
      </c>
      <c r="AY1418" s="61" t="str">
        <f>IFERROR(__xludf.DUMMYFUNCTION("vlookup(BB1418,importrange(""https://docs.google.com/spreadsheets/d/1d2vevQ_7D_v35q4wCQ4RpQ_IPoTwEMB9Yp6ymwlPqew/edit?gid=984458430#gid=984458430"", ""'replication success'!A:K""), 11, FAlSE)"),"mixed")</f>
        <v>mixed</v>
      </c>
      <c r="AZ1418" s="61" t="str">
        <f>IFERROR(__xludf.DUMMYFUNCTION("vlookup(BB1418,importrange(""https://docs.google.com/spreadsheets/d/1d2vevQ_7D_v35q4wCQ4RpQ_IPoTwEMB9Yp6ymwlPqew/edit?gid=984458430#gid=984458430"",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8" s="61" t="str">
        <f>IFERROR(__xludf.DUMMYFUNCTION("vlookup(BB1418,importrange(""https://docs.google.com/spreadsheets/d/1d2vevQ_7D_v35q4wCQ4RpQ_IPoTwEMB9Yp6ymwlPqew/edit?gid=984458430#gid=984458430"", ""'replication success'!A:M""), 13, FAlSE)"),"abstract")</f>
        <v>abstract</v>
      </c>
      <c r="BB1418" s="61" t="str">
        <f>IFERROR(__xludf.DUMMYFUNCTION("REGEXREPLACE(G1418, ""_[a-z]{1,2}$"", """")"),"curatescience53")</f>
        <v>curatescience53</v>
      </c>
      <c r="BC1418" s="107"/>
      <c r="BD1418" s="124" t="s">
        <v>7943</v>
      </c>
    </row>
    <row r="1419" ht="18.0" customHeight="1">
      <c r="A1419" s="44">
        <v>1419.0</v>
      </c>
      <c r="B1419" s="124" t="s">
        <v>114</v>
      </c>
      <c r="C1419" s="124" t="s">
        <v>115</v>
      </c>
      <c r="D1419" s="124" t="s">
        <v>1458</v>
      </c>
      <c r="E1419" s="107"/>
      <c r="F1419" s="125" t="s">
        <v>7989</v>
      </c>
      <c r="G1419" s="126" t="s">
        <v>8030</v>
      </c>
      <c r="H1419" s="140" t="s">
        <v>1518</v>
      </c>
      <c r="I1419" s="1562"/>
      <c r="J1419" s="221">
        <v>45761.0</v>
      </c>
      <c r="K1419" s="140" t="s">
        <v>8031</v>
      </c>
      <c r="L1419" s="119" t="s">
        <v>8032</v>
      </c>
      <c r="M1419" s="140" t="s">
        <v>7993</v>
      </c>
      <c r="N1419" s="140" t="s">
        <v>6978</v>
      </c>
      <c r="O1419" s="225">
        <v>3.0</v>
      </c>
      <c r="P1419" s="1364" t="s">
        <v>7994</v>
      </c>
      <c r="Q1419" s="52" t="str">
        <f t="array" ref="Q1419"> if(iserror(MATCH(V1419, 'File Links'!C:C, 0)), "N/A", HYPERLINK(INDEX('File Links'!B:B, MATCH(P1419, 'File Links'!C:C, 0))))</f>
        <v>https://drive.google.com/file/d/16w-mzwoY4czOLW1CWtNqG_1fcM557vJf/view?usp=drivesdk</v>
      </c>
      <c r="R1419" s="140" t="s">
        <v>7995</v>
      </c>
      <c r="S1419" s="140" t="s">
        <v>7996</v>
      </c>
      <c r="T1419" s="125"/>
      <c r="U1419" s="219">
        <v>1.0</v>
      </c>
      <c r="V1419" s="140" t="str">
        <f t="shared" si="93"/>
        <v>10.1037--pspa0000064.pdf</v>
      </c>
      <c r="W1419" s="119" t="s">
        <v>209</v>
      </c>
      <c r="X1419" s="54" t="str">
        <f t="array" ref="X1419"> if(iserror(MATCH(V1419, 'File Links'!C:C, 0)), "N/A", HYPERLINK(INDEX('File Links'!B:B, MATCH(V1419, 'File Links'!C:C, 0))))</f>
        <v>https://drive.google.com/file/d/1RF-nEXDyW9UWyQIuqmtLdTtTuTs-52JT/view?usp=drivesdk</v>
      </c>
      <c r="Y1419" s="125"/>
      <c r="Z1419" s="140" t="s">
        <v>226</v>
      </c>
      <c r="AA1419" s="140" t="s">
        <v>7997</v>
      </c>
      <c r="AB1419" s="140" t="s">
        <v>7998</v>
      </c>
      <c r="AC1419" s="119" t="s">
        <v>7999</v>
      </c>
      <c r="AD1419" s="140" t="s">
        <v>8010</v>
      </c>
      <c r="AE1419" s="782">
        <v>3.0</v>
      </c>
      <c r="AF1419" s="225">
        <v>69.0</v>
      </c>
      <c r="AG1419" s="782">
        <v>0.0</v>
      </c>
      <c r="AH1419" s="140" t="s">
        <v>8001</v>
      </c>
      <c r="AI1419" s="140" t="s">
        <v>8002</v>
      </c>
      <c r="AJ1419" s="133">
        <v>0.22</v>
      </c>
      <c r="AK1419" s="126" t="s">
        <v>172</v>
      </c>
      <c r="AL1419" s="126" t="s">
        <v>186</v>
      </c>
      <c r="AM1419" s="125" t="s">
        <v>141</v>
      </c>
      <c r="AN1419" s="132"/>
      <c r="AO1419" s="782">
        <v>303.0</v>
      </c>
      <c r="AP1419" s="140" t="s">
        <v>8022</v>
      </c>
      <c r="AQ1419" s="140" t="s">
        <v>134</v>
      </c>
      <c r="AR1419" s="140" t="s">
        <v>1042</v>
      </c>
      <c r="AS1419" s="782">
        <v>0.412</v>
      </c>
      <c r="AT1419" s="140" t="s">
        <v>172</v>
      </c>
      <c r="AU1419" s="140" t="s">
        <v>186</v>
      </c>
      <c r="AV1419" s="125" t="s">
        <v>141</v>
      </c>
      <c r="AW1419" s="371" t="s">
        <v>138</v>
      </c>
      <c r="AX1419" s="125" t="s">
        <v>143</v>
      </c>
      <c r="AY1419" s="61" t="str">
        <f>IFERROR(__xludf.DUMMYFUNCTION("vlookup(BB1419,importrange(""https://docs.google.com/spreadsheets/d/1d2vevQ_7D_v35q4wCQ4RpQ_IPoTwEMB9Yp6ymwlPqew/edit?gid=984458430#gid=984458430"", ""'replication success'!A:K""), 11, FAlSE)"),"mixed")</f>
        <v>mixed</v>
      </c>
      <c r="AZ1419" s="61" t="str">
        <f>IFERROR(__xludf.DUMMYFUNCTION("vlookup(BB1419,importrange(""https://docs.google.com/spreadsheets/d/1d2vevQ_7D_v35q4wCQ4RpQ_IPoTwEMB9Yp6ymwlPqew/edit?gid=984458430#gid=984458430"",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19" s="61" t="str">
        <f>IFERROR(__xludf.DUMMYFUNCTION("vlookup(BB1419,importrange(""https://docs.google.com/spreadsheets/d/1d2vevQ_7D_v35q4wCQ4RpQ_IPoTwEMB9Yp6ymwlPqew/edit?gid=984458430#gid=984458430"", ""'replication success'!A:M""), 13, FAlSE)"),"abstract")</f>
        <v>abstract</v>
      </c>
      <c r="BB1419" s="61" t="str">
        <f>IFERROR(__xludf.DUMMYFUNCTION("REGEXREPLACE(G1419, ""_[a-z]{1,2}$"", """")"),"curatescience53")</f>
        <v>curatescience53</v>
      </c>
      <c r="BC1419" s="107"/>
      <c r="BD1419" s="124" t="s">
        <v>7853</v>
      </c>
    </row>
    <row r="1420" ht="21.0" customHeight="1">
      <c r="A1420" s="44">
        <v>1420.0</v>
      </c>
      <c r="B1420" s="62" t="s">
        <v>114</v>
      </c>
      <c r="C1420" s="62" t="s">
        <v>115</v>
      </c>
      <c r="D1420" s="62" t="s">
        <v>1458</v>
      </c>
      <c r="F1420" s="125" t="s">
        <v>7989</v>
      </c>
      <c r="G1420" s="126" t="s">
        <v>8033</v>
      </c>
      <c r="H1420" s="140" t="s">
        <v>1518</v>
      </c>
      <c r="I1420" s="1562"/>
      <c r="J1420" s="221">
        <v>45761.0</v>
      </c>
      <c r="K1420" s="140" t="s">
        <v>8034</v>
      </c>
      <c r="L1420" s="119" t="s">
        <v>8035</v>
      </c>
      <c r="M1420" s="140" t="s">
        <v>7993</v>
      </c>
      <c r="N1420" s="140" t="s">
        <v>6978</v>
      </c>
      <c r="O1420" s="782">
        <v>5.0</v>
      </c>
      <c r="P1420" s="1364" t="s">
        <v>7994</v>
      </c>
      <c r="Q1420" s="52" t="str">
        <f t="array" ref="Q1420"> if(iserror(MATCH(V1420, 'File Links'!C:C, 0)), "N/A", HYPERLINK(INDEX('File Links'!B:B, MATCH(P1420, 'File Links'!C:C, 0))))</f>
        <v>https://drive.google.com/file/d/16w-mzwoY4czOLW1CWtNqG_1fcM557vJf/view?usp=drivesdk</v>
      </c>
      <c r="R1420" s="140" t="s">
        <v>7995</v>
      </c>
      <c r="S1420" s="140" t="s">
        <v>7996</v>
      </c>
      <c r="T1420" s="125"/>
      <c r="U1420" s="371">
        <v>1.0</v>
      </c>
      <c r="V1420" s="198" t="str">
        <f t="shared" si="93"/>
        <v>10.1037--pspa0000064.pdf</v>
      </c>
      <c r="W1420" s="119" t="s">
        <v>209</v>
      </c>
      <c r="X1420" s="54" t="str">
        <f t="array" ref="X1420"> if(iserror(MATCH(V1420, 'File Links'!C:C, 0)), "N/A", HYPERLINK(INDEX('File Links'!B:B, MATCH(V1420, 'File Links'!C:C, 0))))</f>
        <v>https://drive.google.com/file/d/1RF-nEXDyW9UWyQIuqmtLdTtTuTs-52JT/view?usp=drivesdk</v>
      </c>
      <c r="Y1420" s="125"/>
      <c r="Z1420" s="140" t="s">
        <v>226</v>
      </c>
      <c r="AA1420" s="140" t="s">
        <v>7997</v>
      </c>
      <c r="AB1420" s="140" t="s">
        <v>7998</v>
      </c>
      <c r="AC1420" s="380" t="s">
        <v>7999</v>
      </c>
      <c r="AD1420" s="119" t="s">
        <v>8036</v>
      </c>
      <c r="AE1420" s="782">
        <v>3.0</v>
      </c>
      <c r="AF1420" s="782">
        <v>356.0</v>
      </c>
      <c r="AG1420" s="782">
        <v>0.01</v>
      </c>
      <c r="AH1420" s="140" t="s">
        <v>8001</v>
      </c>
      <c r="AI1420" s="140" t="s">
        <v>8002</v>
      </c>
      <c r="AJ1420" s="133">
        <v>0.04</v>
      </c>
      <c r="AK1420" s="126" t="s">
        <v>172</v>
      </c>
      <c r="AL1420" s="126" t="s">
        <v>186</v>
      </c>
      <c r="AM1420" s="125" t="s">
        <v>137</v>
      </c>
      <c r="AN1420" s="132"/>
      <c r="AO1420" s="782">
        <v>369.0</v>
      </c>
      <c r="AP1420" s="782">
        <v>0.01</v>
      </c>
      <c r="AQ1420" s="140" t="s">
        <v>173</v>
      </c>
      <c r="AR1420" s="140" t="s">
        <v>1042</v>
      </c>
      <c r="AS1420" s="782">
        <v>0.775</v>
      </c>
      <c r="AT1420" s="140" t="s">
        <v>172</v>
      </c>
      <c r="AU1420" s="140" t="s">
        <v>186</v>
      </c>
      <c r="AV1420" s="219" t="s">
        <v>141</v>
      </c>
      <c r="AW1420" s="371" t="s">
        <v>138</v>
      </c>
      <c r="AX1420" s="125" t="s">
        <v>143</v>
      </c>
      <c r="AY1420" s="61" t="str">
        <f>IFERROR(__xludf.DUMMYFUNCTION("vlookup(BB1420,importrange(""https://docs.google.com/spreadsheets/d/1d2vevQ_7D_v35q4wCQ4RpQ_IPoTwEMB9Yp6ymwlPqew/edit?gid=984458430#gid=984458430"", ""'replication success'!A:K""), 11, FAlSE)"),"mixed")</f>
        <v>mixed</v>
      </c>
      <c r="AZ1420" s="61" t="str">
        <f>IFERROR(__xludf.DUMMYFUNCTION("vlookup(BB1420,importrange(""https://docs.google.com/spreadsheets/d/1d2vevQ_7D_v35q4wCQ4RpQ_IPoTwEMB9Yp6ymwlPqew/edit?gid=984458430#gid=984458430"",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0" s="61" t="str">
        <f>IFERROR(__xludf.DUMMYFUNCTION("vlookup(BB1420,importrange(""https://docs.google.com/spreadsheets/d/1d2vevQ_7D_v35q4wCQ4RpQ_IPoTwEMB9Yp6ymwlPqew/edit?gid=984458430#gid=984458430"", ""'replication success'!A:M""), 13, FAlSE)"),"abstract")</f>
        <v>abstract</v>
      </c>
      <c r="BB1420" s="61" t="str">
        <f>IFERROR(__xludf.DUMMYFUNCTION("REGEXREPLACE(G1420, ""_[a-z]{1,2}$"", """")"),"curatescience53")</f>
        <v>curatescience53</v>
      </c>
      <c r="BD1420" s="62" t="s">
        <v>7943</v>
      </c>
    </row>
    <row r="1421">
      <c r="A1421" s="44">
        <v>1421.0</v>
      </c>
      <c r="B1421" s="62" t="s">
        <v>114</v>
      </c>
      <c r="C1421" s="62" t="s">
        <v>115</v>
      </c>
      <c r="D1421" s="62" t="s">
        <v>1458</v>
      </c>
      <c r="F1421" s="125" t="s">
        <v>7989</v>
      </c>
      <c r="G1421" s="126" t="s">
        <v>8037</v>
      </c>
      <c r="H1421" s="140" t="s">
        <v>1518</v>
      </c>
      <c r="I1421" s="1562"/>
      <c r="J1421" s="221">
        <v>45761.0</v>
      </c>
      <c r="K1421" s="140" t="s">
        <v>8038</v>
      </c>
      <c r="L1421" s="119" t="s">
        <v>8039</v>
      </c>
      <c r="M1421" s="140" t="s">
        <v>7993</v>
      </c>
      <c r="N1421" s="140" t="s">
        <v>6978</v>
      </c>
      <c r="O1421" s="782">
        <v>5.0</v>
      </c>
      <c r="P1421" s="1364" t="s">
        <v>7994</v>
      </c>
      <c r="Q1421" s="52" t="str">
        <f t="array" ref="Q1421"> if(iserror(MATCH(V1421, 'File Links'!C:C, 0)), "N/A", HYPERLINK(INDEX('File Links'!B:B, MATCH(P1421, 'File Links'!C:C, 0))))</f>
        <v>https://drive.google.com/file/d/16w-mzwoY4czOLW1CWtNqG_1fcM557vJf/view?usp=drivesdk</v>
      </c>
      <c r="R1421" s="140" t="s">
        <v>7995</v>
      </c>
      <c r="S1421" s="140" t="s">
        <v>7996</v>
      </c>
      <c r="T1421" s="125"/>
      <c r="U1421" s="371">
        <v>1.0</v>
      </c>
      <c r="V1421" s="198" t="str">
        <f t="shared" si="93"/>
        <v>10.1037--pspa0000064.pdf</v>
      </c>
      <c r="W1421" s="119" t="s">
        <v>209</v>
      </c>
      <c r="X1421" s="54" t="str">
        <f t="array" ref="X1421"> if(iserror(MATCH(V1421, 'File Links'!C:C, 0)), "N/A", HYPERLINK(INDEX('File Links'!B:B, MATCH(V1421, 'File Links'!C:C, 0))))</f>
        <v>https://drive.google.com/file/d/1RF-nEXDyW9UWyQIuqmtLdTtTuTs-52JT/view?usp=drivesdk</v>
      </c>
      <c r="Y1421" s="125"/>
      <c r="Z1421" s="140" t="s">
        <v>226</v>
      </c>
      <c r="AA1421" s="140" t="s">
        <v>7997</v>
      </c>
      <c r="AB1421" s="140" t="s">
        <v>7998</v>
      </c>
      <c r="AC1421" s="380" t="s">
        <v>7999</v>
      </c>
      <c r="AD1421" s="140" t="s">
        <v>8040</v>
      </c>
      <c r="AE1421" s="782">
        <v>3.0</v>
      </c>
      <c r="AF1421" s="782">
        <v>356.0</v>
      </c>
      <c r="AG1421" s="782">
        <v>0.07</v>
      </c>
      <c r="AH1421" s="140" t="s">
        <v>8001</v>
      </c>
      <c r="AI1421" s="140" t="s">
        <v>8002</v>
      </c>
      <c r="AJ1421" s="133">
        <v>0.001</v>
      </c>
      <c r="AK1421" s="126" t="s">
        <v>135</v>
      </c>
      <c r="AL1421" s="126" t="s">
        <v>186</v>
      </c>
      <c r="AM1421" s="125" t="s">
        <v>137</v>
      </c>
      <c r="AN1421" s="132"/>
      <c r="AO1421" s="782">
        <v>369.0</v>
      </c>
      <c r="AP1421" s="140" t="s">
        <v>8041</v>
      </c>
      <c r="AQ1421" s="140" t="s">
        <v>134</v>
      </c>
      <c r="AR1421" s="140" t="s">
        <v>1042</v>
      </c>
      <c r="AS1421" s="782">
        <v>0.001</v>
      </c>
      <c r="AT1421" s="140" t="s">
        <v>135</v>
      </c>
      <c r="AU1421" s="140" t="s">
        <v>186</v>
      </c>
      <c r="AV1421" s="219" t="s">
        <v>141</v>
      </c>
      <c r="AW1421" s="371" t="s">
        <v>138</v>
      </c>
      <c r="AX1421" s="125" t="s">
        <v>143</v>
      </c>
      <c r="AY1421" s="61" t="str">
        <f>IFERROR(__xludf.DUMMYFUNCTION("vlookup(BB1421,importrange(""https://docs.google.com/spreadsheets/d/1d2vevQ_7D_v35q4wCQ4RpQ_IPoTwEMB9Yp6ymwlPqew/edit?gid=984458430#gid=984458430"", ""'replication success'!A:K""), 11, FAlSE)"),"mixed")</f>
        <v>mixed</v>
      </c>
      <c r="AZ1421" s="61" t="str">
        <f>IFERROR(__xludf.DUMMYFUNCTION("vlookup(BB1421,importrange(""https://docs.google.com/spreadsheets/d/1d2vevQ_7D_v35q4wCQ4RpQ_IPoTwEMB9Yp6ymwlPqew/edit?gid=984458430#gid=984458430"",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1" s="61" t="str">
        <f>IFERROR(__xludf.DUMMYFUNCTION("vlookup(BB1421,importrange(""https://docs.google.com/spreadsheets/d/1d2vevQ_7D_v35q4wCQ4RpQ_IPoTwEMB9Yp6ymwlPqew/edit?gid=984458430#gid=984458430"", ""'replication success'!A:M""), 13, FAlSE)"),"abstract")</f>
        <v>abstract</v>
      </c>
      <c r="BB1421" s="61" t="str">
        <f>IFERROR(__xludf.DUMMYFUNCTION("REGEXREPLACE(G1421, ""_[a-z]{1,2}$"", """")"),"curatescience53")</f>
        <v>curatescience53</v>
      </c>
      <c r="BD1421" s="62" t="s">
        <v>7943</v>
      </c>
    </row>
    <row r="1422">
      <c r="A1422" s="44">
        <v>1422.0</v>
      </c>
      <c r="B1422" s="62" t="s">
        <v>114</v>
      </c>
      <c r="C1422" s="62" t="s">
        <v>115</v>
      </c>
      <c r="D1422" s="62" t="s">
        <v>1458</v>
      </c>
      <c r="F1422" s="125" t="s">
        <v>7989</v>
      </c>
      <c r="G1422" s="126" t="s">
        <v>8042</v>
      </c>
      <c r="H1422" s="140" t="s">
        <v>1518</v>
      </c>
      <c r="I1422" s="1562"/>
      <c r="J1422" s="221">
        <v>45761.0</v>
      </c>
      <c r="K1422" s="140" t="s">
        <v>8043</v>
      </c>
      <c r="L1422" s="119" t="s">
        <v>8039</v>
      </c>
      <c r="M1422" s="140" t="s">
        <v>7993</v>
      </c>
      <c r="N1422" s="140" t="s">
        <v>6978</v>
      </c>
      <c r="O1422" s="782">
        <v>5.0</v>
      </c>
      <c r="P1422" s="1364" t="s">
        <v>7994</v>
      </c>
      <c r="Q1422" s="52" t="str">
        <f t="array" ref="Q1422"> if(iserror(MATCH(V1422, 'File Links'!C:C, 0)), "N/A", HYPERLINK(INDEX('File Links'!B:B, MATCH(P1422, 'File Links'!C:C, 0))))</f>
        <v>https://drive.google.com/file/d/16w-mzwoY4czOLW1CWtNqG_1fcM557vJf/view?usp=drivesdk</v>
      </c>
      <c r="R1422" s="140" t="s">
        <v>7995</v>
      </c>
      <c r="S1422" s="140" t="s">
        <v>7996</v>
      </c>
      <c r="T1422" s="125"/>
      <c r="U1422" s="371">
        <v>1.0</v>
      </c>
      <c r="V1422" s="198" t="str">
        <f t="shared" si="93"/>
        <v>10.1037--pspa0000064.pdf</v>
      </c>
      <c r="W1422" s="119" t="s">
        <v>209</v>
      </c>
      <c r="X1422" s="54" t="str">
        <f t="array" ref="X1422"> if(iserror(MATCH(V1422, 'File Links'!C:C, 0)), "N/A", HYPERLINK(INDEX('File Links'!B:B, MATCH(V1422, 'File Links'!C:C, 0))))</f>
        <v>https://drive.google.com/file/d/1RF-nEXDyW9UWyQIuqmtLdTtTuTs-52JT/view?usp=drivesdk</v>
      </c>
      <c r="Y1422" s="125"/>
      <c r="Z1422" s="140" t="s">
        <v>226</v>
      </c>
      <c r="AA1422" s="140" t="s">
        <v>7997</v>
      </c>
      <c r="AB1422" s="140" t="s">
        <v>7998</v>
      </c>
      <c r="AC1422" s="380" t="s">
        <v>7999</v>
      </c>
      <c r="AD1422" s="140" t="s">
        <v>8010</v>
      </c>
      <c r="AE1422" s="782">
        <v>3.0</v>
      </c>
      <c r="AF1422" s="782">
        <v>356.0</v>
      </c>
      <c r="AG1422" s="782">
        <v>0.0</v>
      </c>
      <c r="AH1422" s="140" t="s">
        <v>8001</v>
      </c>
      <c r="AI1422" s="140" t="s">
        <v>8002</v>
      </c>
      <c r="AJ1422" s="133">
        <v>0.25</v>
      </c>
      <c r="AK1422" s="126" t="s">
        <v>172</v>
      </c>
      <c r="AL1422" s="126" t="s">
        <v>186</v>
      </c>
      <c r="AM1422" s="125" t="s">
        <v>141</v>
      </c>
      <c r="AN1422" s="132"/>
      <c r="AO1422" s="782">
        <v>369.0</v>
      </c>
      <c r="AP1422" s="140" t="s">
        <v>8044</v>
      </c>
      <c r="AQ1422" s="140" t="s">
        <v>134</v>
      </c>
      <c r="AR1422" s="140" t="s">
        <v>1042</v>
      </c>
      <c r="AS1422" s="782">
        <v>0.045</v>
      </c>
      <c r="AT1422" s="140" t="s">
        <v>172</v>
      </c>
      <c r="AU1422" s="140" t="s">
        <v>186</v>
      </c>
      <c r="AV1422" s="125" t="s">
        <v>141</v>
      </c>
      <c r="AW1422" s="371" t="s">
        <v>138</v>
      </c>
      <c r="AX1422" s="125" t="s">
        <v>143</v>
      </c>
      <c r="AY1422" s="61" t="str">
        <f>IFERROR(__xludf.DUMMYFUNCTION("vlookup(BB1422,importrange(""https://docs.google.com/spreadsheets/d/1d2vevQ_7D_v35q4wCQ4RpQ_IPoTwEMB9Yp6ymwlPqew/edit?gid=984458430#gid=984458430"", ""'replication success'!A:K""), 11, FAlSE)"),"mixed")</f>
        <v>mixed</v>
      </c>
      <c r="AZ1422" s="61" t="str">
        <f>IFERROR(__xludf.DUMMYFUNCTION("vlookup(BB1422,importrange(""https://docs.google.com/spreadsheets/d/1d2vevQ_7D_v35q4wCQ4RpQ_IPoTwEMB9Yp6ymwlPqew/edit?gid=984458430#gid=984458430"",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2" s="61" t="str">
        <f>IFERROR(__xludf.DUMMYFUNCTION("vlookup(BB1422,importrange(""https://docs.google.com/spreadsheets/d/1d2vevQ_7D_v35q4wCQ4RpQ_IPoTwEMB9Yp6ymwlPqew/edit?gid=984458430#gid=984458430"", ""'replication success'!A:M""), 13, FAlSE)"),"abstract")</f>
        <v>abstract</v>
      </c>
      <c r="BB1422" s="61" t="str">
        <f>IFERROR(__xludf.DUMMYFUNCTION("REGEXREPLACE(G1422, ""_[a-z]{1,2}$"", """")"),"curatescience53")</f>
        <v>curatescience53</v>
      </c>
      <c r="BD1422" s="62" t="s">
        <v>7943</v>
      </c>
    </row>
    <row r="1423">
      <c r="A1423" s="44">
        <v>1423.0</v>
      </c>
      <c r="B1423" s="62" t="s">
        <v>114</v>
      </c>
      <c r="C1423" s="62" t="s">
        <v>115</v>
      </c>
      <c r="D1423" s="62" t="s">
        <v>248</v>
      </c>
      <c r="F1423" s="68" t="s">
        <v>7989</v>
      </c>
      <c r="G1423" s="159" t="s">
        <v>8045</v>
      </c>
      <c r="H1423" s="159" t="s">
        <v>249</v>
      </c>
      <c r="I1423" s="152">
        <v>45782.0</v>
      </c>
      <c r="J1423" s="1542">
        <v>45758.0</v>
      </c>
      <c r="K1423" s="159" t="s">
        <v>8046</v>
      </c>
      <c r="L1423" s="151" t="s">
        <v>8047</v>
      </c>
      <c r="M1423" s="159" t="s">
        <v>8048</v>
      </c>
      <c r="N1423" s="159" t="s">
        <v>6978</v>
      </c>
      <c r="O1423" s="156">
        <v>1.0</v>
      </c>
      <c r="P1423" s="606" t="str">
        <f t="shared" ref="P1423:P1425" si="94">SUBSTITUTE(LOWER(N1423), "/", "--") &amp;  ".pdf"</f>
        <v>10.1126--science.1239918.pdf</v>
      </c>
      <c r="Q1423" s="52" t="str">
        <f t="array" ref="Q1423"> if(iserror(MATCH(V1423, 'File Links'!C:C, 0)), "N/A", HYPERLINK(INDEX('File Links'!B:B, MATCH(P1423, 'File Links'!C:C, 0))))</f>
        <v>https://drive.google.com/file/d/16w-mzwoY4czOLW1CWtNqG_1fcM557vJf/view?usp=drivesdk</v>
      </c>
      <c r="R1423" s="159" t="s">
        <v>7995</v>
      </c>
      <c r="S1423" s="159" t="s">
        <v>7996</v>
      </c>
      <c r="T1423" s="68"/>
      <c r="U1423" s="129">
        <v>1.0</v>
      </c>
      <c r="V1423" s="198" t="str">
        <f t="shared" si="93"/>
        <v>10.1037--pspa0000064.pdf</v>
      </c>
      <c r="W1423" s="159" t="s">
        <v>164</v>
      </c>
      <c r="X1423" s="54" t="str">
        <f t="array" ref="X1423"> if(iserror(MATCH(V1423, 'File Links'!C:C, 0)), "N/A", HYPERLINK(INDEX('File Links'!B:B, MATCH(V1423, 'File Links'!C:C, 0))))</f>
        <v>https://drive.google.com/file/d/1RF-nEXDyW9UWyQIuqmtLdTtTuTs-52JT/view?usp=drivesdk</v>
      </c>
      <c r="Y1423" s="68"/>
      <c r="Z1423" s="159" t="s">
        <v>226</v>
      </c>
      <c r="AA1423" s="159" t="s">
        <v>4052</v>
      </c>
      <c r="AB1423" s="159" t="s">
        <v>8049</v>
      </c>
      <c r="AC1423" s="159" t="s">
        <v>7533</v>
      </c>
      <c r="AD1423" s="159" t="s">
        <v>8050</v>
      </c>
      <c r="AE1423" s="159" t="s">
        <v>2771</v>
      </c>
      <c r="AF1423" s="378">
        <v>80.0</v>
      </c>
      <c r="AG1423" s="496">
        <v>0.05</v>
      </c>
      <c r="AH1423" s="140" t="s">
        <v>8001</v>
      </c>
      <c r="AI1423" s="159" t="s">
        <v>8051</v>
      </c>
      <c r="AJ1423" s="156">
        <v>0.01</v>
      </c>
      <c r="AK1423" s="159" t="s">
        <v>172</v>
      </c>
      <c r="AL1423" s="159" t="s">
        <v>186</v>
      </c>
      <c r="AM1423" s="68" t="s">
        <v>137</v>
      </c>
      <c r="AN1423" s="371" t="s">
        <v>138</v>
      </c>
      <c r="AO1423" s="378">
        <v>300.0</v>
      </c>
      <c r="AP1423" s="156">
        <v>0.07</v>
      </c>
      <c r="AQ1423" s="159" t="s">
        <v>173</v>
      </c>
      <c r="AR1423" s="159" t="s">
        <v>8052</v>
      </c>
      <c r="AS1423" s="1565">
        <v>0.775</v>
      </c>
      <c r="AT1423" s="159" t="s">
        <v>172</v>
      </c>
      <c r="AU1423" s="159" t="s">
        <v>186</v>
      </c>
      <c r="AV1423" s="68" t="s">
        <v>141</v>
      </c>
      <c r="AW1423" s="371" t="s">
        <v>138</v>
      </c>
      <c r="AX1423" s="68" t="s">
        <v>143</v>
      </c>
      <c r="AY1423" s="61" t="str">
        <f>IFERROR(__xludf.DUMMYFUNCTION("vlookup(BB1423,importrange(""https://docs.google.com/spreadsheets/d/1d2vevQ_7D_v35q4wCQ4RpQ_IPoTwEMB9Yp6ymwlPqew/edit?gid=984458430#gid=984458430"", ""'replication success'!A:K""), 11, FAlSE)"),"mixed")</f>
        <v>mixed</v>
      </c>
      <c r="AZ1423" s="61" t="str">
        <f>IFERROR(__xludf.DUMMYFUNCTION("vlookup(BB1423,importrange(""https://docs.google.com/spreadsheets/d/1d2vevQ_7D_v35q4wCQ4RpQ_IPoTwEMB9Yp6ymwlPqew/edit?gid=984458430#gid=984458430"",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3" s="61" t="str">
        <f>IFERROR(__xludf.DUMMYFUNCTION("vlookup(BB1423,importrange(""https://docs.google.com/spreadsheets/d/1d2vevQ_7D_v35q4wCQ4RpQ_IPoTwEMB9Yp6ymwlPqew/edit?gid=984458430#gid=984458430"", ""'replication success'!A:M""), 13, FAlSE)"),"abstract")</f>
        <v>abstract</v>
      </c>
      <c r="BB1423" s="61" t="str">
        <f>IFERROR(__xludf.DUMMYFUNCTION("REGEXREPLACE(G1423, ""_[a-z]{1,2}$"", """")"),"curatescience53")</f>
        <v>curatescience53</v>
      </c>
      <c r="BD1423" s="62" t="s">
        <v>7943</v>
      </c>
    </row>
    <row r="1424">
      <c r="A1424" s="44">
        <v>1424.0</v>
      </c>
      <c r="B1424" s="62" t="s">
        <v>152</v>
      </c>
      <c r="C1424" s="62" t="s">
        <v>115</v>
      </c>
      <c r="D1424" s="62" t="s">
        <v>248</v>
      </c>
      <c r="F1424" s="68" t="s">
        <v>7989</v>
      </c>
      <c r="G1424" s="159" t="s">
        <v>7990</v>
      </c>
      <c r="H1424" s="159" t="s">
        <v>249</v>
      </c>
      <c r="I1424" s="152">
        <v>45783.0</v>
      </c>
      <c r="J1424" s="1542">
        <v>45758.0</v>
      </c>
      <c r="K1424" s="159" t="s">
        <v>8046</v>
      </c>
      <c r="L1424" s="151" t="s">
        <v>8053</v>
      </c>
      <c r="M1424" s="159" t="s">
        <v>8048</v>
      </c>
      <c r="N1424" s="159" t="s">
        <v>6978</v>
      </c>
      <c r="O1424" s="156">
        <v>1.0</v>
      </c>
      <c r="P1424" s="606" t="str">
        <f t="shared" si="94"/>
        <v>10.1126--science.1239918.pdf</v>
      </c>
      <c r="Q1424" s="52" t="str">
        <f t="array" ref="Q1424"> if(iserror(MATCH(V1424, 'File Links'!C:C, 0)), "N/A", HYPERLINK(INDEX('File Links'!B:B, MATCH(P1424, 'File Links'!C:C, 0))))</f>
        <v>https://drive.google.com/file/d/16w-mzwoY4czOLW1CWtNqG_1fcM557vJf/view?usp=drivesdk</v>
      </c>
      <c r="R1424" s="159" t="s">
        <v>7995</v>
      </c>
      <c r="S1424" s="159" t="s">
        <v>7996</v>
      </c>
      <c r="T1424" s="68"/>
      <c r="U1424" s="129">
        <v>1.0</v>
      </c>
      <c r="V1424" s="198" t="str">
        <f t="shared" si="93"/>
        <v>10.1037--pspa0000064.pdf</v>
      </c>
      <c r="W1424" s="159" t="s">
        <v>164</v>
      </c>
      <c r="X1424" s="54" t="str">
        <f t="array" ref="X1424"> if(iserror(MATCH(V1424, 'File Links'!C:C, 0)), "N/A", HYPERLINK(INDEX('File Links'!B:B, MATCH(V1424, 'File Links'!C:C, 0))))</f>
        <v>https://drive.google.com/file/d/1RF-nEXDyW9UWyQIuqmtLdTtTuTs-52JT/view?usp=drivesdk</v>
      </c>
      <c r="Y1424" s="68"/>
      <c r="Z1424" s="159" t="s">
        <v>226</v>
      </c>
      <c r="AA1424" s="159" t="s">
        <v>4052</v>
      </c>
      <c r="AB1424" s="159" t="s">
        <v>8054</v>
      </c>
      <c r="AC1424" s="159" t="s">
        <v>8055</v>
      </c>
      <c r="AD1424" s="159" t="s">
        <v>8006</v>
      </c>
      <c r="AE1424" s="159" t="s">
        <v>2771</v>
      </c>
      <c r="AF1424" s="378">
        <v>80.0</v>
      </c>
      <c r="AG1424" s="496">
        <v>0.13</v>
      </c>
      <c r="AH1424" s="140" t="s">
        <v>8001</v>
      </c>
      <c r="AI1424" s="159" t="s">
        <v>8056</v>
      </c>
      <c r="AJ1424" s="156">
        <v>3.0E-4</v>
      </c>
      <c r="AK1424" s="159" t="s">
        <v>172</v>
      </c>
      <c r="AL1424" s="159" t="s">
        <v>186</v>
      </c>
      <c r="AM1424" s="68" t="s">
        <v>137</v>
      </c>
      <c r="AN1424" s="371" t="s">
        <v>138</v>
      </c>
      <c r="AO1424" s="378">
        <v>300.0</v>
      </c>
      <c r="AP1424" s="156">
        <v>0.19</v>
      </c>
      <c r="AQ1424" s="159" t="s">
        <v>987</v>
      </c>
      <c r="AR1424" s="159" t="s">
        <v>8057</v>
      </c>
      <c r="AS1424" s="1565">
        <v>0.001</v>
      </c>
      <c r="AT1424" s="159" t="s">
        <v>135</v>
      </c>
      <c r="AU1424" s="159" t="s">
        <v>186</v>
      </c>
      <c r="AV1424" s="68" t="s">
        <v>141</v>
      </c>
      <c r="AW1424" s="371" t="s">
        <v>138</v>
      </c>
      <c r="AX1424" s="68" t="s">
        <v>143</v>
      </c>
      <c r="AY1424" s="61" t="str">
        <f>IFERROR(__xludf.DUMMYFUNCTION("vlookup(BB1424,importrange(""https://docs.google.com/spreadsheets/d/1d2vevQ_7D_v35q4wCQ4RpQ_IPoTwEMB9Yp6ymwlPqew/edit?gid=984458430#gid=984458430"", ""'replication success'!A:K""), 11, FAlSE)"),"mixed")</f>
        <v>mixed</v>
      </c>
      <c r="AZ1424" s="61" t="str">
        <f>IFERROR(__xludf.DUMMYFUNCTION("vlookup(BB1424,importrange(""https://docs.google.com/spreadsheets/d/1d2vevQ_7D_v35q4wCQ4RpQ_IPoTwEMB9Yp6ymwlPqew/edit?gid=984458430#gid=984458430"",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4" s="61" t="str">
        <f>IFERROR(__xludf.DUMMYFUNCTION("vlookup(BB1424,importrange(""https://docs.google.com/spreadsheets/d/1d2vevQ_7D_v35q4wCQ4RpQ_IPoTwEMB9Yp6ymwlPqew/edit?gid=984458430#gid=984458430"", ""'replication success'!A:M""), 13, FAlSE)"),"abstract")</f>
        <v>abstract</v>
      </c>
      <c r="BB1424" s="61" t="str">
        <f>IFERROR(__xludf.DUMMYFUNCTION("REGEXREPLACE(G1424, ""_[a-z]{1,2}$"", """")"),"curatescience53")</f>
        <v>curatescience53</v>
      </c>
      <c r="BD1424" s="62" t="s">
        <v>7943</v>
      </c>
      <c r="BE1424" s="342"/>
      <c r="BF1424" s="342"/>
      <c r="BG1424" s="342"/>
      <c r="BH1424" s="342"/>
      <c r="BI1424" s="342"/>
      <c r="BJ1424" s="342"/>
      <c r="BK1424" s="342"/>
      <c r="BL1424" s="342"/>
      <c r="BM1424" s="342"/>
      <c r="BN1424" s="342"/>
      <c r="BO1424" s="342"/>
      <c r="BP1424" s="342"/>
      <c r="BQ1424" s="342"/>
      <c r="BR1424" s="342"/>
      <c r="BS1424" s="342"/>
      <c r="BT1424" s="342"/>
      <c r="BU1424" s="342"/>
      <c r="BV1424" s="342"/>
      <c r="BW1424" s="342"/>
      <c r="BX1424" s="342"/>
      <c r="BY1424" s="342"/>
      <c r="BZ1424" s="342"/>
      <c r="CA1424" s="342"/>
      <c r="CB1424" s="342"/>
      <c r="CC1424" s="342"/>
      <c r="CD1424" s="342"/>
      <c r="CE1424" s="342"/>
      <c r="CF1424" s="342"/>
      <c r="CG1424" s="342"/>
      <c r="CH1424" s="342"/>
      <c r="CI1424" s="342"/>
      <c r="CJ1424" s="342"/>
      <c r="CK1424" s="342"/>
      <c r="CL1424" s="342"/>
      <c r="CM1424" s="342"/>
      <c r="CN1424" s="342"/>
      <c r="CO1424" s="342"/>
      <c r="CP1424" s="342"/>
      <c r="CQ1424" s="342"/>
      <c r="CR1424" s="342"/>
      <c r="CS1424" s="342"/>
      <c r="CT1424" s="342"/>
      <c r="CU1424" s="342"/>
      <c r="CV1424" s="342"/>
      <c r="CW1424" s="342"/>
      <c r="CX1424" s="342"/>
      <c r="CY1424" s="342"/>
      <c r="CZ1424" s="342"/>
      <c r="DA1424" s="342"/>
      <c r="DB1424" s="342"/>
      <c r="DC1424" s="342"/>
      <c r="DD1424" s="342"/>
      <c r="DE1424" s="342"/>
      <c r="DF1424" s="342"/>
      <c r="DG1424" s="342"/>
      <c r="DH1424" s="342"/>
      <c r="DI1424" s="342"/>
      <c r="DJ1424" s="342"/>
      <c r="DK1424" s="342"/>
      <c r="DL1424" s="342"/>
    </row>
    <row r="1425">
      <c r="A1425" s="44">
        <v>1425.0</v>
      </c>
      <c r="B1425" s="62" t="s">
        <v>114</v>
      </c>
      <c r="C1425" s="62" t="s">
        <v>115</v>
      </c>
      <c r="D1425" s="62" t="s">
        <v>248</v>
      </c>
      <c r="F1425" s="68" t="s">
        <v>7989</v>
      </c>
      <c r="G1425" s="159" t="s">
        <v>8003</v>
      </c>
      <c r="H1425" s="159" t="s">
        <v>249</v>
      </c>
      <c r="I1425" s="152">
        <v>45783.0</v>
      </c>
      <c r="J1425" s="1542">
        <v>45758.0</v>
      </c>
      <c r="K1425" s="159" t="s">
        <v>8046</v>
      </c>
      <c r="L1425" s="151" t="s">
        <v>8058</v>
      </c>
      <c r="M1425" s="159" t="s">
        <v>8048</v>
      </c>
      <c r="N1425" s="159" t="s">
        <v>6978</v>
      </c>
      <c r="O1425" s="156">
        <v>1.0</v>
      </c>
      <c r="P1425" s="606" t="str">
        <f t="shared" si="94"/>
        <v>10.1126--science.1239918.pdf</v>
      </c>
      <c r="Q1425" s="52" t="str">
        <f t="array" ref="Q1425"> if(iserror(MATCH(V1425, 'File Links'!C:C, 0)), "N/A", HYPERLINK(INDEX('File Links'!B:B, MATCH(P1425, 'File Links'!C:C, 0))))</f>
        <v>https://drive.google.com/file/d/16w-mzwoY4czOLW1CWtNqG_1fcM557vJf/view?usp=drivesdk</v>
      </c>
      <c r="R1425" s="159" t="s">
        <v>7995</v>
      </c>
      <c r="S1425" s="159" t="s">
        <v>7996</v>
      </c>
      <c r="T1425" s="68"/>
      <c r="U1425" s="129">
        <v>1.0</v>
      </c>
      <c r="V1425" s="198" t="str">
        <f t="shared" si="93"/>
        <v>10.1037--pspa0000064.pdf</v>
      </c>
      <c r="W1425" s="159" t="s">
        <v>164</v>
      </c>
      <c r="X1425" s="54" t="str">
        <f t="array" ref="X1425"> if(iserror(MATCH(V1425, 'File Links'!C:C, 0)), "N/A", HYPERLINK(INDEX('File Links'!B:B, MATCH(V1425, 'File Links'!C:C, 0))))</f>
        <v>https://drive.google.com/file/d/1RF-nEXDyW9UWyQIuqmtLdTtTuTs-52JT/view?usp=drivesdk</v>
      </c>
      <c r="Y1425" s="68"/>
      <c r="Z1425" s="159" t="s">
        <v>226</v>
      </c>
      <c r="AA1425" s="159" t="s">
        <v>4052</v>
      </c>
      <c r="AB1425" s="159" t="s">
        <v>8059</v>
      </c>
      <c r="AC1425" s="159" t="s">
        <v>8055</v>
      </c>
      <c r="AD1425" s="159" t="s">
        <v>8060</v>
      </c>
      <c r="AE1425" s="159" t="s">
        <v>2771</v>
      </c>
      <c r="AF1425" s="378">
        <v>80.0</v>
      </c>
      <c r="AG1425" s="378">
        <v>0.0</v>
      </c>
      <c r="AH1425" s="140" t="s">
        <v>8001</v>
      </c>
      <c r="AI1425" s="159" t="s">
        <v>8061</v>
      </c>
      <c r="AJ1425" s="156">
        <v>0.3</v>
      </c>
      <c r="AK1425" s="159" t="s">
        <v>172</v>
      </c>
      <c r="AL1425" s="159" t="s">
        <v>186</v>
      </c>
      <c r="AM1425" s="68" t="s">
        <v>137</v>
      </c>
      <c r="AN1425" s="371" t="s">
        <v>138</v>
      </c>
      <c r="AO1425" s="378">
        <v>300.0</v>
      </c>
      <c r="AP1425" s="481" t="s">
        <v>8011</v>
      </c>
      <c r="AQ1425" s="481" t="s">
        <v>134</v>
      </c>
      <c r="AR1425" s="159" t="s">
        <v>8062</v>
      </c>
      <c r="AS1425" s="1563">
        <v>0.625</v>
      </c>
      <c r="AT1425" s="159" t="s">
        <v>172</v>
      </c>
      <c r="AU1425" s="159" t="s">
        <v>186</v>
      </c>
      <c r="AV1425" s="68" t="s">
        <v>141</v>
      </c>
      <c r="AW1425" s="371" t="s">
        <v>138</v>
      </c>
      <c r="AX1425" s="68" t="s">
        <v>143</v>
      </c>
      <c r="AY1425" s="61" t="str">
        <f>IFERROR(__xludf.DUMMYFUNCTION("vlookup(BB1425,importrange(""https://docs.google.com/spreadsheets/d/1d2vevQ_7D_v35q4wCQ4RpQ_IPoTwEMB9Yp6ymwlPqew/edit?gid=984458430#gid=984458430"", ""'replication success'!A:K""), 11, FAlSE)"),"mixed")</f>
        <v>mixed</v>
      </c>
      <c r="AZ1425" s="61" t="str">
        <f>IFERROR(__xludf.DUMMYFUNCTION("vlookup(BB1425,importrange(""https://docs.google.com/spreadsheets/d/1d2vevQ_7D_v35q4wCQ4RpQ_IPoTwEMB9Yp6ymwlPqew/edit?gid=984458430#gid=984458430"",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25" s="61" t="str">
        <f>IFERROR(__xludf.DUMMYFUNCTION("vlookup(BB1425,importrange(""https://docs.google.com/spreadsheets/d/1d2vevQ_7D_v35q4wCQ4RpQ_IPoTwEMB9Yp6ymwlPqew/edit?gid=984458430#gid=984458430"", ""'replication success'!A:M""), 13, FAlSE)"),"abstract")</f>
        <v>abstract</v>
      </c>
      <c r="BB1425" s="61" t="str">
        <f>IFERROR(__xludf.DUMMYFUNCTION("REGEXREPLACE(G1425, ""_[a-z]{1,2}$"", """")"),"curatescience53")</f>
        <v>curatescience53</v>
      </c>
      <c r="BD1425" s="62" t="s">
        <v>7943</v>
      </c>
      <c r="BE1425" s="342"/>
      <c r="BF1425" s="342"/>
      <c r="BG1425" s="342"/>
      <c r="BH1425" s="342"/>
      <c r="BI1425" s="342"/>
      <c r="BJ1425" s="342"/>
      <c r="BK1425" s="342"/>
      <c r="BL1425" s="342"/>
      <c r="BM1425" s="342"/>
      <c r="BN1425" s="342"/>
      <c r="BO1425" s="342"/>
      <c r="BP1425" s="342"/>
      <c r="BQ1425" s="342"/>
      <c r="BR1425" s="342"/>
      <c r="BS1425" s="342"/>
      <c r="BT1425" s="342"/>
      <c r="BU1425" s="342"/>
      <c r="BV1425" s="342"/>
      <c r="BW1425" s="342"/>
      <c r="BX1425" s="342"/>
      <c r="BY1425" s="342"/>
      <c r="BZ1425" s="342"/>
      <c r="CA1425" s="342"/>
      <c r="CB1425" s="342"/>
      <c r="CC1425" s="342"/>
      <c r="CD1425" s="342"/>
      <c r="CE1425" s="342"/>
      <c r="CF1425" s="342"/>
      <c r="CG1425" s="342"/>
      <c r="CH1425" s="342"/>
      <c r="CI1425" s="342"/>
      <c r="CJ1425" s="342"/>
      <c r="CK1425" s="342"/>
      <c r="CL1425" s="342"/>
      <c r="CM1425" s="342"/>
      <c r="CN1425" s="342"/>
      <c r="CO1425" s="342"/>
      <c r="CP1425" s="342"/>
      <c r="CQ1425" s="342"/>
      <c r="CR1425" s="342"/>
      <c r="CS1425" s="342"/>
      <c r="CT1425" s="342"/>
      <c r="CU1425" s="342"/>
      <c r="CV1425" s="342"/>
      <c r="CW1425" s="342"/>
      <c r="CX1425" s="342"/>
      <c r="CY1425" s="342"/>
      <c r="CZ1425" s="342"/>
      <c r="DA1425" s="342"/>
      <c r="DB1425" s="342"/>
      <c r="DC1425" s="342"/>
      <c r="DD1425" s="342"/>
      <c r="DE1425" s="342"/>
      <c r="DF1425" s="342"/>
      <c r="DG1425" s="342"/>
      <c r="DH1425" s="342"/>
      <c r="DI1425" s="342"/>
      <c r="DJ1425" s="342"/>
      <c r="DK1425" s="342"/>
      <c r="DL1425" s="342"/>
    </row>
    <row r="1426">
      <c r="A1426" s="44">
        <v>1426.0</v>
      </c>
      <c r="B1426" s="188" t="s">
        <v>152</v>
      </c>
      <c r="C1426" s="188" t="s">
        <v>115</v>
      </c>
      <c r="D1426" s="188" t="s">
        <v>2630</v>
      </c>
      <c r="E1426" s="189"/>
      <c r="F1426" s="369" t="s">
        <v>8063</v>
      </c>
      <c r="G1426" s="192" t="str">
        <f t="shared" ref="G1426:G1429" si="95">F1426&amp;"_"&amp;COUNTIF($B$3:F1426, F1426)</f>
        <v>curatescience533_1</v>
      </c>
      <c r="H1426" s="369" t="s">
        <v>7492</v>
      </c>
      <c r="I1426" s="370">
        <v>45676.0</v>
      </c>
      <c r="J1426" s="1539">
        <v>45684.0</v>
      </c>
      <c r="K1426" s="190"/>
      <c r="L1426" s="374" t="s">
        <v>8064</v>
      </c>
      <c r="M1426" s="1472" t="s">
        <v>8065</v>
      </c>
      <c r="N1426" s="369" t="s">
        <v>8066</v>
      </c>
      <c r="O1426" s="374">
        <v>2.0</v>
      </c>
      <c r="P1426" s="1566" t="str">
        <f t="shared" ref="P1426:P1429" si="96"> SUBSTITUTE(lower(N1426), "/", "--") &amp;  ".pdf"</f>
        <v>10.1111--j.1467-9280.2009.02426.x.pdf</v>
      </c>
      <c r="Q1426" s="52" t="str">
        <f t="array" ref="Q1426"> if(iserror(MATCH(V1426, 'File Links'!C:C, 0)), "N/A", HYPERLINK(INDEX('File Links'!B:B, MATCH(P1426, 'File Links'!C:C, 0))))</f>
        <v>https://drive.google.com/file/d/1dqYztlMOBsUY1H2Tadvsh9mJOiZQ1nVh/view?usp=drivesdk</v>
      </c>
      <c r="R1426" s="369" t="s">
        <v>8067</v>
      </c>
      <c r="S1426" s="369" t="s">
        <v>8068</v>
      </c>
      <c r="T1426" s="1098" t="s">
        <v>8069</v>
      </c>
      <c r="U1426" s="369" t="s">
        <v>8070</v>
      </c>
      <c r="V1426" s="198" t="str">
        <f t="shared" si="93"/>
        <v>10.1016--j.jesp.2015.10.012.pdf</v>
      </c>
      <c r="W1426" s="369" t="s">
        <v>7500</v>
      </c>
      <c r="X1426" s="54" t="str">
        <f t="array" ref="X1426"> if(iserror(MATCH(V1426, 'File Links'!C:C, 0)), "N/A", HYPERLINK(INDEX('File Links'!B:B, MATCH(V1426, 'File Links'!C:C, 0))))</f>
        <v>https://drive.google.com/file/d/1xuc-fvipcLZQMaybgsFtBL29-3ClXZFF/view?usp=drivesdk</v>
      </c>
      <c r="Z1426" s="369" t="s">
        <v>226</v>
      </c>
      <c r="AA1426" s="369" t="s">
        <v>8071</v>
      </c>
      <c r="AB1426" s="369" t="s">
        <v>8072</v>
      </c>
      <c r="AC1426" s="369" t="s">
        <v>8073</v>
      </c>
      <c r="AD1426" s="369" t="s">
        <v>8074</v>
      </c>
      <c r="AE1426" s="1567">
        <v>1171.0</v>
      </c>
      <c r="AF1426" s="1476">
        <v>51.0</v>
      </c>
      <c r="AG1426" s="1476">
        <v>0.59</v>
      </c>
      <c r="AH1426" s="1567" t="s">
        <v>173</v>
      </c>
      <c r="AI1426" s="369" t="s">
        <v>8075</v>
      </c>
      <c r="AJ1426" s="1473">
        <v>0.05</v>
      </c>
      <c r="AK1426" s="192" t="s">
        <v>135</v>
      </c>
      <c r="AL1426" s="1568" t="s">
        <v>186</v>
      </c>
      <c r="AM1426" s="1474" t="s">
        <v>137</v>
      </c>
      <c r="AN1426" s="1568" t="s">
        <v>138</v>
      </c>
      <c r="AO1426" s="1569">
        <v>2374.0</v>
      </c>
      <c r="AP1426" s="1096">
        <v>0.03</v>
      </c>
      <c r="AQ1426" s="369" t="s">
        <v>173</v>
      </c>
      <c r="AR1426" s="1567">
        <v>6.0</v>
      </c>
      <c r="AS1426" s="1096">
        <v>0.543</v>
      </c>
      <c r="AT1426" s="369" t="s">
        <v>172</v>
      </c>
      <c r="AU1426" s="369" t="s">
        <v>136</v>
      </c>
      <c r="AV1426" s="1474" t="s">
        <v>137</v>
      </c>
      <c r="AW1426" s="1570" t="s">
        <v>138</v>
      </c>
      <c r="AX1426" s="1474" t="s">
        <v>143</v>
      </c>
      <c r="AY1426" s="61" t="str">
        <f>IFERROR(__xludf.DUMMYFUNCTION("vlookup(BB1426,importrange(""https://docs.google.com/spreadsheets/d/1d2vevQ_7D_v35q4wCQ4RpQ_IPoTwEMB9Yp6ymwlPqew/edit?gid=984458430#gid=984458430"", ""'replication success'!A:K""), 11, FAlSE)"),"failed")</f>
        <v>failed</v>
      </c>
      <c r="AZ1426" s="61" t="str">
        <f>IFERROR(__xludf.DUMMYFUNCTION("vlookup(BB1426,importrange(""https://docs.google.com/spreadsheets/d/1d2vevQ_7D_v35q4wCQ4RpQ_IPoTwEMB9Yp6ymwlPqew/edit?gid=984458430#gid=984458430"", ""'replication success'!A:M""), 12, FAlSE)"),"Across all in-lab replications (N = 2,285), participants in the heavy (M = 6.16, SD = 1.02) and light (M = 6.14, SD = 1.03) clipboard conditions believed that it was similarly important for the university committee to listen to the students' opinions, t(2"&amp;"283) = 0.61, p = .543, d = .03, 95% CI = [−.06, .11].")</f>
        <v>Across all in-lab replications (N = 2,285), participants in the heavy (M = 6.16, SD = 1.02) and light (M = 6.14, SD = 1.03) clipboard conditions believed that it was similarly important for the university committee to listen to the students' opinions, t(2283) = 0.61, p = .543, d = .03, 95% CI = [−.06, .11].</v>
      </c>
      <c r="BA1426" s="61" t="str">
        <f>IFERROR(__xludf.DUMMYFUNCTION("vlookup(BB1426,importrange(""https://docs.google.com/spreadsheets/d/1d2vevQ_7D_v35q4wCQ4RpQ_IPoTwEMB9Yp6ymwlPqew/edit?gid=984458430#gid=984458430"", ""'replication success'!A:M""), 13, FAlSE)"),"pg.8")</f>
        <v>pg.8</v>
      </c>
      <c r="BB1426" s="61" t="str">
        <f>IFERROR(__xludf.DUMMYFUNCTION("REGEXREPLACE(G1426, ""_[a-z]{1,2}$"", """")"),"curatescience533_1")</f>
        <v>curatescience533_1</v>
      </c>
      <c r="BC1426" s="188" t="s">
        <v>8076</v>
      </c>
      <c r="BD1426" s="188" t="s">
        <v>144</v>
      </c>
      <c r="BE1426" s="342"/>
      <c r="BF1426" s="342"/>
      <c r="BG1426" s="342"/>
      <c r="BH1426" s="342"/>
      <c r="BI1426" s="342"/>
      <c r="BJ1426" s="342"/>
      <c r="BK1426" s="342"/>
      <c r="BL1426" s="342"/>
      <c r="BM1426" s="342"/>
      <c r="BN1426" s="342"/>
      <c r="BO1426" s="342"/>
      <c r="BP1426" s="342"/>
      <c r="BQ1426" s="342"/>
      <c r="BR1426" s="342"/>
      <c r="BS1426" s="342"/>
      <c r="BT1426" s="342"/>
      <c r="BU1426" s="342"/>
      <c r="BV1426" s="342"/>
      <c r="BW1426" s="342"/>
      <c r="BX1426" s="342"/>
      <c r="BY1426" s="342"/>
      <c r="BZ1426" s="342"/>
      <c r="CA1426" s="342"/>
      <c r="CB1426" s="342"/>
      <c r="CC1426" s="342"/>
      <c r="CD1426" s="342"/>
      <c r="CE1426" s="342"/>
      <c r="CF1426" s="342"/>
      <c r="CG1426" s="342"/>
      <c r="CH1426" s="342"/>
      <c r="CI1426" s="342"/>
      <c r="CJ1426" s="342"/>
      <c r="CK1426" s="342"/>
      <c r="CL1426" s="342"/>
      <c r="CM1426" s="342"/>
      <c r="CN1426" s="342"/>
      <c r="CO1426" s="342"/>
      <c r="CP1426" s="342"/>
      <c r="CQ1426" s="342"/>
      <c r="CR1426" s="342"/>
      <c r="CS1426" s="342"/>
      <c r="CT1426" s="342"/>
      <c r="CU1426" s="342"/>
      <c r="CV1426" s="342"/>
      <c r="CW1426" s="342"/>
      <c r="CX1426" s="342"/>
      <c r="CY1426" s="342"/>
      <c r="CZ1426" s="342"/>
      <c r="DA1426" s="342"/>
      <c r="DB1426" s="342"/>
      <c r="DC1426" s="342"/>
      <c r="DD1426" s="342"/>
      <c r="DE1426" s="342"/>
      <c r="DF1426" s="342"/>
      <c r="DG1426" s="342"/>
      <c r="DH1426" s="342"/>
      <c r="DI1426" s="342"/>
      <c r="DJ1426" s="342"/>
      <c r="DK1426" s="342"/>
      <c r="DL1426" s="342"/>
    </row>
    <row r="1427">
      <c r="A1427" s="44">
        <v>1427.0</v>
      </c>
      <c r="B1427" s="188" t="s">
        <v>114</v>
      </c>
      <c r="C1427" s="188" t="s">
        <v>115</v>
      </c>
      <c r="D1427" s="188" t="s">
        <v>1234</v>
      </c>
      <c r="E1427" s="189"/>
      <c r="F1427" s="198" t="s">
        <v>8063</v>
      </c>
      <c r="G1427" s="58" t="str">
        <f t="shared" si="95"/>
        <v>curatescience533_2</v>
      </c>
      <c r="H1427" s="198" t="s">
        <v>6955</v>
      </c>
      <c r="I1427" s="191">
        <v>45901.0</v>
      </c>
      <c r="J1427" s="1539">
        <v>45684.0</v>
      </c>
      <c r="K1427" s="190"/>
      <c r="L1427" s="190"/>
      <c r="M1427" s="1472" t="s">
        <v>8065</v>
      </c>
      <c r="N1427" s="198" t="s">
        <v>8066</v>
      </c>
      <c r="O1427" s="758">
        <v>2.0</v>
      </c>
      <c r="P1427" s="977" t="str">
        <f t="shared" si="96"/>
        <v>10.1111--j.1467-9280.2009.02426.x.pdf</v>
      </c>
      <c r="Q1427" s="52" t="str">
        <f t="array" ref="Q1427"> if(iserror(MATCH(V1427, 'File Links'!C:C, 0)), "N/A", HYPERLINK(INDEX('File Links'!B:B, MATCH(P1427, 'File Links'!C:C, 0))))</f>
        <v>https://drive.google.com/file/d/1dqYztlMOBsUY1H2Tadvsh9mJOiZQ1nVh/view?usp=drivesdk</v>
      </c>
      <c r="R1427" s="369" t="s">
        <v>8067</v>
      </c>
      <c r="S1427" s="369" t="s">
        <v>8068</v>
      </c>
      <c r="T1427" s="1098" t="s">
        <v>8069</v>
      </c>
      <c r="U1427" s="1571" t="s">
        <v>8070</v>
      </c>
      <c r="V1427" s="198" t="str">
        <f t="shared" si="93"/>
        <v>10.1016--j.jesp.2015.10.012.pdf</v>
      </c>
      <c r="W1427" s="190"/>
      <c r="X1427" s="54" t="str">
        <f t="array" ref="X1427"> if(iserror(MATCH(V1427, 'File Links'!C:C, 0)), "N/A", HYPERLINK(INDEX('File Links'!B:B, MATCH(V1427, 'File Links'!C:C, 0))))</f>
        <v>https://drive.google.com/file/d/1xuc-fvipcLZQMaybgsFtBL29-3ClXZFF/view?usp=drivesdk</v>
      </c>
      <c r="Z1427" s="198" t="s">
        <v>226</v>
      </c>
      <c r="AA1427" s="198" t="s">
        <v>8077</v>
      </c>
      <c r="AB1427" s="190"/>
      <c r="AC1427" s="190"/>
      <c r="AD1427" s="198" t="s">
        <v>8078</v>
      </c>
      <c r="AE1427" s="758">
        <v>1171.0</v>
      </c>
      <c r="AF1427" s="990">
        <v>50.0</v>
      </c>
      <c r="AG1427" s="758">
        <v>0.59</v>
      </c>
      <c r="AH1427" s="198" t="s">
        <v>173</v>
      </c>
      <c r="AI1427" s="190"/>
      <c r="AJ1427" s="1122">
        <v>0.043</v>
      </c>
      <c r="AK1427" s="58" t="s">
        <v>172</v>
      </c>
      <c r="AL1427" s="193"/>
      <c r="AM1427" s="190" t="s">
        <v>137</v>
      </c>
      <c r="AN1427" s="193"/>
      <c r="AO1427" s="758">
        <v>2285.0</v>
      </c>
      <c r="AP1427" s="758">
        <v>0.03</v>
      </c>
      <c r="AQ1427" s="198" t="s">
        <v>173</v>
      </c>
      <c r="AR1427" s="190"/>
      <c r="AS1427" s="758">
        <v>0.543</v>
      </c>
      <c r="AT1427" s="198" t="s">
        <v>172</v>
      </c>
      <c r="AU1427" s="190"/>
      <c r="AV1427" s="190" t="s">
        <v>137</v>
      </c>
      <c r="AW1427" s="190"/>
      <c r="AX1427" s="190" t="s">
        <v>143</v>
      </c>
      <c r="AY1427" s="61" t="str">
        <f>IFERROR(__xludf.DUMMYFUNCTION("vlookup(BB1427,importrange(""https://docs.google.com/spreadsheets/d/1d2vevQ_7D_v35q4wCQ4RpQ_IPoTwEMB9Yp6ymwlPqew/edit?gid=984458430#gid=984458430"", ""'replication success'!A:K""), 11, FAlSE)"),"#N/A")</f>
        <v>#N/A</v>
      </c>
      <c r="AZ1427" s="61" t="str">
        <f>IFERROR(__xludf.DUMMYFUNCTION("vlookup(BB1427,importrange(""https://docs.google.com/spreadsheets/d/1d2vevQ_7D_v35q4wCQ4RpQ_IPoTwEMB9Yp6ymwlPqew/edit?gid=984458430#gid=984458430"", ""'replication success'!A:M""), 12, FAlSE)"),"#N/A")</f>
        <v>#N/A</v>
      </c>
      <c r="BA1427" s="61" t="str">
        <f>IFERROR(__xludf.DUMMYFUNCTION("vlookup(BB1427,importrange(""https://docs.google.com/spreadsheets/d/1d2vevQ_7D_v35q4wCQ4RpQ_IPoTwEMB9Yp6ymwlPqew/edit?gid=984458430#gid=984458430"", ""'replication success'!A:M""), 13, FAlSE)"),"#N/A")</f>
        <v>#N/A</v>
      </c>
      <c r="BB1427" s="61" t="str">
        <f>IFERROR(__xludf.DUMMYFUNCTION("REGEXREPLACE(G1427, ""_[a-z]{1,2}$"", """")"),"curatescience533_2")</f>
        <v>curatescience533_2</v>
      </c>
      <c r="BC1427" s="188" t="s">
        <v>8079</v>
      </c>
      <c r="BD1427" s="188" t="s">
        <v>144</v>
      </c>
      <c r="BE1427" s="1572"/>
      <c r="BF1427" s="1572"/>
      <c r="BG1427" s="1572"/>
      <c r="BH1427" s="1572"/>
      <c r="BI1427" s="1572"/>
      <c r="BJ1427" s="1572"/>
      <c r="BK1427" s="1572"/>
      <c r="BL1427" s="1572"/>
      <c r="BM1427" s="1572"/>
      <c r="BN1427" s="1572"/>
      <c r="BO1427" s="1572"/>
      <c r="BP1427" s="1572"/>
      <c r="BQ1427" s="1572"/>
      <c r="BR1427" s="1572"/>
      <c r="BS1427" s="1572"/>
      <c r="BT1427" s="1572"/>
      <c r="BU1427" s="1572"/>
      <c r="BV1427" s="1572"/>
      <c r="BW1427" s="1572"/>
      <c r="BX1427" s="1572"/>
      <c r="BY1427" s="1572"/>
      <c r="BZ1427" s="1572"/>
      <c r="CA1427" s="1572"/>
      <c r="CB1427" s="1572"/>
      <c r="CC1427" s="1572"/>
      <c r="CD1427" s="1572"/>
      <c r="CE1427" s="1572"/>
      <c r="CF1427" s="1572"/>
      <c r="CG1427" s="1572"/>
      <c r="CH1427" s="1572"/>
      <c r="CI1427" s="1572"/>
      <c r="CJ1427" s="1572"/>
      <c r="CK1427" s="1572"/>
      <c r="CL1427" s="1572"/>
      <c r="CM1427" s="1572"/>
      <c r="CN1427" s="1572"/>
      <c r="CO1427" s="1572"/>
      <c r="CP1427" s="1572"/>
      <c r="CQ1427" s="1572"/>
      <c r="CR1427" s="1572"/>
      <c r="CS1427" s="1572"/>
      <c r="CT1427" s="1572"/>
      <c r="CU1427" s="1572"/>
      <c r="CV1427" s="1572"/>
      <c r="CW1427" s="1572"/>
      <c r="CX1427" s="1572"/>
      <c r="CY1427" s="1572"/>
      <c r="CZ1427" s="1572"/>
      <c r="DA1427" s="1572"/>
      <c r="DB1427" s="1572"/>
      <c r="DC1427" s="1572"/>
      <c r="DD1427" s="1572"/>
      <c r="DE1427" s="1572"/>
      <c r="DF1427" s="1572"/>
      <c r="DG1427" s="1572"/>
      <c r="DH1427" s="1572"/>
      <c r="DI1427" s="1572"/>
      <c r="DJ1427" s="1572"/>
      <c r="DK1427" s="1572"/>
      <c r="DL1427" s="1572"/>
    </row>
    <row r="1428">
      <c r="A1428" s="44">
        <v>1428.0</v>
      </c>
      <c r="B1428" s="188" t="s">
        <v>152</v>
      </c>
      <c r="C1428" s="325" t="s">
        <v>115</v>
      </c>
      <c r="D1428" s="325" t="s">
        <v>2630</v>
      </c>
      <c r="E1428" s="226"/>
      <c r="F1428" s="387" t="s">
        <v>8080</v>
      </c>
      <c r="G1428" s="388" t="str">
        <f t="shared" si="95"/>
        <v>curatescience537_1</v>
      </c>
      <c r="H1428" s="387" t="s">
        <v>7492</v>
      </c>
      <c r="I1428" s="389">
        <v>45675.0</v>
      </c>
      <c r="J1428" s="389">
        <v>45676.0</v>
      </c>
      <c r="K1428" s="331"/>
      <c r="L1428" s="331"/>
      <c r="M1428" s="1573" t="s">
        <v>8081</v>
      </c>
      <c r="N1428" s="387" t="s">
        <v>8082</v>
      </c>
      <c r="O1428" s="330">
        <v>1.0</v>
      </c>
      <c r="P1428" s="1574" t="str">
        <f t="shared" si="96"/>
        <v>10.1027--1864-9335--a000147.pdf</v>
      </c>
      <c r="Q1428" s="52" t="str">
        <f t="array" ref="Q1428"> if(iserror(MATCH(V1428, 'File Links'!C:C, 0)), "N/A", HYPERLINK(INDEX('File Links'!B:B, MATCH(P1428, 'File Links'!C:C, 0))))</f>
        <v>https://drive.google.com/file/d/1Nb1xwSCq02ajI3h9-mZBwiuifn_7H1iR/view?usp=drivesdk</v>
      </c>
      <c r="R1428" s="387" t="s">
        <v>8067</v>
      </c>
      <c r="S1428" s="387" t="s">
        <v>8068</v>
      </c>
      <c r="T1428" s="396" t="s">
        <v>8069</v>
      </c>
      <c r="U1428" s="387" t="s">
        <v>8083</v>
      </c>
      <c r="V1428" s="198" t="str">
        <f t="shared" si="93"/>
        <v>10.1016--j.jesp.2015.10.012.pdf</v>
      </c>
      <c r="W1428" s="387" t="s">
        <v>7500</v>
      </c>
      <c r="X1428" s="54" t="str">
        <f t="array" ref="X1428"> if(iserror(MATCH(V1428, 'File Links'!C:C, 0)), "N/A", HYPERLINK(INDEX('File Links'!B:B, MATCH(V1428, 'File Links'!C:C, 0))))</f>
        <v>https://drive.google.com/file/d/1xuc-fvipcLZQMaybgsFtBL29-3ClXZFF/view?usp=drivesdk</v>
      </c>
      <c r="Z1428" s="387" t="s">
        <v>226</v>
      </c>
      <c r="AA1428" s="387" t="s">
        <v>8084</v>
      </c>
      <c r="AB1428" s="387" t="s">
        <v>8085</v>
      </c>
      <c r="AC1428" s="387" t="s">
        <v>8086</v>
      </c>
      <c r="AD1428" s="387" t="s">
        <v>8087</v>
      </c>
      <c r="AE1428" s="387" t="s">
        <v>8088</v>
      </c>
      <c r="AF1428" s="1575">
        <v>80.0</v>
      </c>
      <c r="AG1428" s="1575">
        <v>0.86</v>
      </c>
      <c r="AH1428" s="392" t="s">
        <v>173</v>
      </c>
      <c r="AI1428" s="387" t="s">
        <v>8089</v>
      </c>
      <c r="AJ1428" s="1576">
        <v>0.001</v>
      </c>
      <c r="AK1428" s="388" t="s">
        <v>135</v>
      </c>
      <c r="AL1428" s="388" t="s">
        <v>136</v>
      </c>
      <c r="AM1428" s="1577" t="s">
        <v>137</v>
      </c>
      <c r="AN1428" s="330" t="s">
        <v>138</v>
      </c>
      <c r="AO1428" s="1578">
        <v>3119.0</v>
      </c>
      <c r="AP1428" s="1578">
        <v>0.01</v>
      </c>
      <c r="AQ1428" s="1579" t="s">
        <v>173</v>
      </c>
      <c r="AR1428" s="335">
        <v>73.0</v>
      </c>
      <c r="AS1428" s="1578">
        <v>0.827</v>
      </c>
      <c r="AT1428" s="387" t="s">
        <v>172</v>
      </c>
      <c r="AU1428" s="387" t="s">
        <v>136</v>
      </c>
      <c r="AV1428" s="1577" t="s">
        <v>137</v>
      </c>
      <c r="AW1428" s="1580" t="s">
        <v>138</v>
      </c>
      <c r="AX1428" s="1577" t="s">
        <v>143</v>
      </c>
      <c r="AY1428" s="61" t="str">
        <f>IFERROR(__xludf.DUMMYFUNCTION("vlookup(BB1428,importrange(""https://docs.google.com/spreadsheets/d/1d2vevQ_7D_v35q4wCQ4RpQ_IPoTwEMB9Yp6ymwlPqew/edit?gid=984458430#gid=984458430"", ""'replication success'!A:K""), 11, FAlSE)"),"failed")</f>
        <v>failed</v>
      </c>
      <c r="AZ1428" s="61" t="str">
        <f>IFERROR(__xludf.DUMMYFUNCTION("vlookup(BB1428,importrange(""https://docs.google.com/spreadsheets/d/1d2vevQ_7D_v35q4wCQ4RpQ_IPoTwEMB9Yp6ymwlPqew/edit?gid=984458430#gid=984458430"", ""'replication success'!A:M""), 12, FAlSE)"),"The replications did not show evidence of the orig-
inal effect.8")</f>
        <v>The replications did not show evidence of the orig-
inal effect.8</v>
      </c>
      <c r="BA1428" s="61" t="str">
        <f>IFERROR(__xludf.DUMMYFUNCTION("vlookup(BB1428,importrange(""https://docs.google.com/spreadsheets/d/1d2vevQ_7D_v35q4wCQ4RpQ_IPoTwEMB9Yp6ymwlPqew/edit?gid=984458430#gid=984458430"", ""'replication success'!A:M""), 13, FAlSE)"),"pg.9")</f>
        <v>pg.9</v>
      </c>
      <c r="BB1428" s="61" t="str">
        <f>IFERROR(__xludf.DUMMYFUNCTION("REGEXREPLACE(G1428, ""_[a-z]{1,2}$"", """")"),"curatescience537_1")</f>
        <v>curatescience537_1</v>
      </c>
      <c r="BC1428" s="226"/>
      <c r="BD1428" s="325" t="s">
        <v>144</v>
      </c>
      <c r="BE1428" s="342"/>
      <c r="BF1428" s="342"/>
      <c r="BG1428" s="342"/>
      <c r="BH1428" s="342"/>
      <c r="BI1428" s="342"/>
      <c r="BJ1428" s="342"/>
      <c r="BK1428" s="342"/>
      <c r="BL1428" s="342"/>
      <c r="BM1428" s="342"/>
      <c r="BN1428" s="342"/>
      <c r="BO1428" s="342"/>
      <c r="BP1428" s="342"/>
      <c r="BQ1428" s="342"/>
      <c r="BR1428" s="342"/>
      <c r="BS1428" s="342"/>
      <c r="BT1428" s="342"/>
      <c r="BU1428" s="342"/>
      <c r="BV1428" s="342"/>
      <c r="BW1428" s="342"/>
      <c r="BX1428" s="342"/>
      <c r="BY1428" s="342"/>
      <c r="BZ1428" s="342"/>
      <c r="CA1428" s="342"/>
      <c r="CB1428" s="342"/>
      <c r="CC1428" s="342"/>
      <c r="CD1428" s="342"/>
      <c r="CE1428" s="342"/>
      <c r="CF1428" s="342"/>
      <c r="CG1428" s="342"/>
      <c r="CH1428" s="342"/>
      <c r="CI1428" s="342"/>
      <c r="CJ1428" s="342"/>
      <c r="CK1428" s="342"/>
      <c r="CL1428" s="342"/>
      <c r="CM1428" s="342"/>
      <c r="CN1428" s="342"/>
      <c r="CO1428" s="342"/>
      <c r="CP1428" s="342"/>
      <c r="CQ1428" s="342"/>
      <c r="CR1428" s="342"/>
      <c r="CS1428" s="342"/>
      <c r="CT1428" s="342"/>
      <c r="CU1428" s="342"/>
      <c r="CV1428" s="342"/>
      <c r="CW1428" s="342"/>
      <c r="CX1428" s="342"/>
      <c r="CY1428" s="342"/>
      <c r="CZ1428" s="342"/>
      <c r="DA1428" s="342"/>
      <c r="DB1428" s="342"/>
      <c r="DC1428" s="342"/>
      <c r="DD1428" s="342"/>
      <c r="DE1428" s="342"/>
      <c r="DF1428" s="342"/>
      <c r="DG1428" s="342"/>
      <c r="DH1428" s="342"/>
      <c r="DI1428" s="342"/>
      <c r="DJ1428" s="342"/>
      <c r="DK1428" s="342"/>
      <c r="DL1428" s="342"/>
    </row>
    <row r="1429">
      <c r="A1429" s="44">
        <v>1429.0</v>
      </c>
      <c r="B1429" s="188" t="s">
        <v>114</v>
      </c>
      <c r="C1429" s="325" t="s">
        <v>115</v>
      </c>
      <c r="D1429" s="325" t="s">
        <v>1234</v>
      </c>
      <c r="E1429" s="226"/>
      <c r="F1429" s="244" t="s">
        <v>8080</v>
      </c>
      <c r="G1429" s="412" t="str">
        <f t="shared" si="95"/>
        <v>curatescience537_2</v>
      </c>
      <c r="H1429" s="244" t="s">
        <v>6955</v>
      </c>
      <c r="I1429" s="658">
        <v>45901.0</v>
      </c>
      <c r="J1429" s="658">
        <v>45901.0</v>
      </c>
      <c r="K1429" s="331"/>
      <c r="L1429" s="331"/>
      <c r="M1429" s="1573" t="s">
        <v>8081</v>
      </c>
      <c r="N1429" s="244" t="s">
        <v>8082</v>
      </c>
      <c r="O1429" s="334">
        <v>1.0</v>
      </c>
      <c r="P1429" s="1309" t="str">
        <f t="shared" si="96"/>
        <v>10.1027--1864-9335--a000147.pdf</v>
      </c>
      <c r="Q1429" s="52" t="str">
        <f t="array" ref="Q1429"> if(iserror(MATCH(V1429, 'File Links'!C:C, 0)), "N/A", HYPERLINK(INDEX('File Links'!B:B, MATCH(P1429, 'File Links'!C:C, 0))))</f>
        <v>https://drive.google.com/file/d/1Nb1xwSCq02ajI3h9-mZBwiuifn_7H1iR/view?usp=drivesdk</v>
      </c>
      <c r="R1429" s="387" t="s">
        <v>8067</v>
      </c>
      <c r="S1429" s="387" t="s">
        <v>8068</v>
      </c>
      <c r="T1429" s="396" t="s">
        <v>8069</v>
      </c>
      <c r="U1429" s="331"/>
      <c r="V1429" s="198" t="str">
        <f t="shared" si="93"/>
        <v>10.1016--j.jesp.2015.10.012.pdf</v>
      </c>
      <c r="W1429" s="331"/>
      <c r="X1429" s="54" t="str">
        <f t="array" ref="X1429"> if(iserror(MATCH(V1429, 'File Links'!C:C, 0)), "N/A", HYPERLINK(INDEX('File Links'!B:B, MATCH(V1429, 'File Links'!C:C, 0))))</f>
        <v>https://drive.google.com/file/d/1xuc-fvipcLZQMaybgsFtBL29-3ClXZFF/view?usp=drivesdk</v>
      </c>
      <c r="Z1429" s="244" t="s">
        <v>226</v>
      </c>
      <c r="AA1429" s="244" t="s">
        <v>8090</v>
      </c>
      <c r="AB1429" s="331"/>
      <c r="AC1429" s="331"/>
      <c r="AD1429" s="244" t="s">
        <v>8091</v>
      </c>
      <c r="AE1429" s="334">
        <v>170.0</v>
      </c>
      <c r="AF1429" s="334">
        <v>80.0</v>
      </c>
      <c r="AG1429" s="334">
        <v>0.86</v>
      </c>
      <c r="AH1429" s="244" t="s">
        <v>173</v>
      </c>
      <c r="AI1429" s="331"/>
      <c r="AJ1429" s="1176">
        <v>0.001</v>
      </c>
      <c r="AK1429" s="412" t="s">
        <v>135</v>
      </c>
      <c r="AL1429" s="412" t="s">
        <v>186</v>
      </c>
      <c r="AM1429" s="331" t="s">
        <v>137</v>
      </c>
      <c r="AN1429" s="330" t="s">
        <v>138</v>
      </c>
      <c r="AO1429" s="334">
        <v>3119.0</v>
      </c>
      <c r="AP1429" s="334">
        <v>0.01</v>
      </c>
      <c r="AQ1429" s="244" t="s">
        <v>173</v>
      </c>
      <c r="AR1429" s="330">
        <v>73.0</v>
      </c>
      <c r="AS1429" s="334">
        <v>0.827</v>
      </c>
      <c r="AT1429" s="244" t="s">
        <v>172</v>
      </c>
      <c r="AU1429" s="331"/>
      <c r="AV1429" s="331"/>
      <c r="AW1429" s="331"/>
      <c r="AX1429" s="331" t="s">
        <v>143</v>
      </c>
      <c r="AY1429" s="61" t="str">
        <f>IFERROR(__xludf.DUMMYFUNCTION("vlookup(BB1429,importrange(""https://docs.google.com/spreadsheets/d/1d2vevQ_7D_v35q4wCQ4RpQ_IPoTwEMB9Yp6ymwlPqew/edit?gid=984458430#gid=984458430"", ""'replication success'!A:K""), 11, FAlSE)"),"#N/A")</f>
        <v>#N/A</v>
      </c>
      <c r="AZ1429" s="61" t="str">
        <f>IFERROR(__xludf.DUMMYFUNCTION("vlookup(BB1429,importrange(""https://docs.google.com/spreadsheets/d/1d2vevQ_7D_v35q4wCQ4RpQ_IPoTwEMB9Yp6ymwlPqew/edit?gid=984458430#gid=984458430"", ""'replication success'!A:M""), 12, FAlSE)"),"#N/A")</f>
        <v>#N/A</v>
      </c>
      <c r="BA1429" s="61" t="str">
        <f>IFERROR(__xludf.DUMMYFUNCTION("vlookup(BB1429,importrange(""https://docs.google.com/spreadsheets/d/1d2vevQ_7D_v35q4wCQ4RpQ_IPoTwEMB9Yp6ymwlPqew/edit?gid=984458430#gid=984458430"", ""'replication success'!A:M""), 13, FAlSE)"),"#N/A")</f>
        <v>#N/A</v>
      </c>
      <c r="BB1429" s="61" t="str">
        <f>IFERROR(__xludf.DUMMYFUNCTION("REGEXREPLACE(G1429, ""_[a-z]{1,2}$"", """")"),"curatescience537_2")</f>
        <v>curatescience537_2</v>
      </c>
      <c r="BC1429" s="226"/>
      <c r="BD1429" s="325" t="s">
        <v>144</v>
      </c>
      <c r="BE1429" s="342"/>
      <c r="BF1429" s="342"/>
      <c r="BG1429" s="342"/>
      <c r="BH1429" s="342"/>
      <c r="BI1429" s="342"/>
      <c r="BJ1429" s="342"/>
      <c r="BK1429" s="342"/>
      <c r="BL1429" s="342"/>
      <c r="BM1429" s="342"/>
      <c r="BN1429" s="342"/>
      <c r="BO1429" s="342"/>
      <c r="BP1429" s="342"/>
      <c r="BQ1429" s="342"/>
      <c r="BR1429" s="342"/>
      <c r="BS1429" s="342"/>
      <c r="BT1429" s="342"/>
      <c r="BU1429" s="342"/>
      <c r="BV1429" s="342"/>
      <c r="BW1429" s="342"/>
      <c r="BX1429" s="342"/>
      <c r="BY1429" s="342"/>
      <c r="BZ1429" s="342"/>
      <c r="CA1429" s="342"/>
      <c r="CB1429" s="342"/>
      <c r="CC1429" s="342"/>
      <c r="CD1429" s="342"/>
      <c r="CE1429" s="342"/>
      <c r="CF1429" s="342"/>
      <c r="CG1429" s="342"/>
      <c r="CH1429" s="342"/>
      <c r="CI1429" s="342"/>
      <c r="CJ1429" s="342"/>
      <c r="CK1429" s="342"/>
      <c r="CL1429" s="342"/>
      <c r="CM1429" s="342"/>
      <c r="CN1429" s="342"/>
      <c r="CO1429" s="342"/>
      <c r="CP1429" s="342"/>
      <c r="CQ1429" s="342"/>
      <c r="CR1429" s="342"/>
      <c r="CS1429" s="342"/>
      <c r="CT1429" s="342"/>
      <c r="CU1429" s="342"/>
      <c r="CV1429" s="342"/>
      <c r="CW1429" s="342"/>
      <c r="CX1429" s="342"/>
      <c r="CY1429" s="342"/>
      <c r="CZ1429" s="342"/>
      <c r="DA1429" s="342"/>
      <c r="DB1429" s="342"/>
      <c r="DC1429" s="342"/>
      <c r="DD1429" s="342"/>
      <c r="DE1429" s="342"/>
      <c r="DF1429" s="342"/>
      <c r="DG1429" s="342"/>
      <c r="DH1429" s="342"/>
      <c r="DI1429" s="342"/>
      <c r="DJ1429" s="342"/>
      <c r="DK1429" s="342"/>
      <c r="DL1429" s="342"/>
    </row>
    <row r="1430">
      <c r="A1430" s="44">
        <v>1430.0</v>
      </c>
      <c r="B1430" s="62" t="s">
        <v>523</v>
      </c>
      <c r="C1430" s="62" t="s">
        <v>115</v>
      </c>
      <c r="D1430" s="62" t="s">
        <v>1458</v>
      </c>
      <c r="F1430" s="68" t="s">
        <v>8092</v>
      </c>
      <c r="G1430" s="57" t="s">
        <v>8093</v>
      </c>
      <c r="H1430" s="68"/>
      <c r="I1430" s="1287" t="s">
        <v>119</v>
      </c>
      <c r="J1430" s="540">
        <v>45761.0</v>
      </c>
      <c r="K1430" s="68"/>
      <c r="L1430" s="159" t="s">
        <v>7350</v>
      </c>
      <c r="M1430" s="159" t="s">
        <v>8094</v>
      </c>
      <c r="N1430" s="159" t="s">
        <v>6978</v>
      </c>
      <c r="O1430" s="68"/>
      <c r="P1430" s="1581" t="s">
        <v>7994</v>
      </c>
      <c r="Q1430" s="108" t="str">
        <f t="array" ref="Q1430"> if(iserror(MATCH(V1430, 'File Links'!C:C, 0)), "N/A", HYPERLINK(INDEX('File Links'!B:B, MATCH(P1430, 'File Links'!C:C, 0))))</f>
        <v>N/A</v>
      </c>
      <c r="R1430" s="680" t="s">
        <v>8095</v>
      </c>
      <c r="S1430" s="159" t="s">
        <v>7996</v>
      </c>
      <c r="T1430" s="68"/>
      <c r="U1430" s="68"/>
      <c r="V1430" s="382" t="s">
        <v>577</v>
      </c>
      <c r="W1430" s="68"/>
      <c r="X1430" s="49" t="str">
        <f t="array" ref="X1430"> if(iserror(MATCH(V1430, 'File Links'!C:C, 0)), "N/A", HYPERLINK(INDEX('File Links'!B:B, MATCH(V1430, 'File Links'!C:C, 0))))</f>
        <v>N/A</v>
      </c>
      <c r="Y1430" s="159" t="s">
        <v>7574</v>
      </c>
      <c r="Z1430" s="68"/>
      <c r="AA1430" s="68"/>
      <c r="AB1430" s="68"/>
      <c r="AC1430" s="68"/>
      <c r="AD1430" s="68"/>
      <c r="AE1430" s="68"/>
      <c r="AF1430" s="68"/>
      <c r="AG1430" s="68"/>
      <c r="AH1430" s="68"/>
      <c r="AI1430" s="68"/>
      <c r="AJ1430" s="338"/>
      <c r="AK1430" s="61"/>
      <c r="AL1430" s="61"/>
      <c r="AM1430" s="68"/>
      <c r="AN1430" s="330" t="s">
        <v>138</v>
      </c>
      <c r="AO1430" s="68"/>
      <c r="AP1430" s="68"/>
      <c r="AQ1430" s="68"/>
      <c r="AR1430" s="68"/>
      <c r="AS1430" s="68"/>
      <c r="AT1430" s="68"/>
      <c r="AU1430" s="68"/>
      <c r="AV1430" s="68"/>
      <c r="AW1430" s="68"/>
      <c r="AX1430" s="68"/>
      <c r="AY1430" s="61" t="str">
        <f>IFERROR(__xludf.DUMMYFUNCTION("vlookup(BB1430,importrange(""https://docs.google.com/spreadsheets/d/1d2vevQ_7D_v35q4wCQ4RpQ_IPoTwEMB9Yp6ymwlPqew/edit?gid=984458430#gid=984458430"", ""'replication success'!A:K""), 11, FAlSE)"),"#N/A")</f>
        <v>#N/A</v>
      </c>
      <c r="AZ1430" s="61" t="str">
        <f>IFERROR(__xludf.DUMMYFUNCTION("vlookup(BB1430,importrange(""https://docs.google.com/spreadsheets/d/1d2vevQ_7D_v35q4wCQ4RpQ_IPoTwEMB9Yp6ymwlPqew/edit?gid=984458430#gid=984458430"", ""'replication success'!A:M""), 12, FAlSE)"),"#N/A")</f>
        <v>#N/A</v>
      </c>
      <c r="BA1430" s="61" t="str">
        <f>IFERROR(__xludf.DUMMYFUNCTION("vlookup(BB1430,importrange(""https://docs.google.com/spreadsheets/d/1d2vevQ_7D_v35q4wCQ4RpQ_IPoTwEMB9Yp6ymwlPqew/edit?gid=984458430#gid=984458430"", ""'replication success'!A:M""), 13, FAlSE)"),"#N/A")</f>
        <v>#N/A</v>
      </c>
      <c r="BB1430" s="61" t="str">
        <f>IFERROR(__xludf.DUMMYFUNCTION("REGEXREPLACE(G1430, ""_[a-z]{1,2}$"", """")"),"curatescience54")</f>
        <v>curatescience54</v>
      </c>
      <c r="BD1430" s="62" t="s">
        <v>7831</v>
      </c>
      <c r="BE1430" s="342"/>
      <c r="BF1430" s="342"/>
      <c r="BG1430" s="342"/>
      <c r="BH1430" s="342"/>
      <c r="BI1430" s="342"/>
      <c r="BJ1430" s="342"/>
      <c r="BK1430" s="342"/>
      <c r="BL1430" s="342"/>
      <c r="BM1430" s="342"/>
      <c r="BN1430" s="342"/>
      <c r="BO1430" s="342"/>
      <c r="BP1430" s="342"/>
      <c r="BQ1430" s="342"/>
      <c r="BR1430" s="342"/>
      <c r="BS1430" s="342"/>
      <c r="BT1430" s="342"/>
      <c r="BU1430" s="342"/>
      <c r="BV1430" s="342"/>
      <c r="BW1430" s="342"/>
      <c r="BX1430" s="342"/>
      <c r="BY1430" s="342"/>
      <c r="BZ1430" s="342"/>
      <c r="CA1430" s="342"/>
      <c r="CB1430" s="342"/>
      <c r="CC1430" s="342"/>
      <c r="CD1430" s="342"/>
      <c r="CE1430" s="342"/>
      <c r="CF1430" s="342"/>
      <c r="CG1430" s="342"/>
      <c r="CH1430" s="342"/>
      <c r="CI1430" s="342"/>
      <c r="CJ1430" s="342"/>
      <c r="CK1430" s="342"/>
      <c r="CL1430" s="342"/>
      <c r="CM1430" s="342"/>
      <c r="CN1430" s="342"/>
      <c r="CO1430" s="342"/>
      <c r="CP1430" s="342"/>
      <c r="CQ1430" s="342"/>
      <c r="CR1430" s="342"/>
      <c r="CS1430" s="342"/>
      <c r="CT1430" s="342"/>
      <c r="CU1430" s="342"/>
      <c r="CV1430" s="342"/>
      <c r="CW1430" s="342"/>
      <c r="CX1430" s="342"/>
      <c r="CY1430" s="342"/>
      <c r="CZ1430" s="342"/>
      <c r="DA1430" s="342"/>
      <c r="DB1430" s="342"/>
      <c r="DC1430" s="342"/>
      <c r="DD1430" s="342"/>
      <c r="DE1430" s="342"/>
      <c r="DF1430" s="342"/>
      <c r="DG1430" s="342"/>
      <c r="DH1430" s="342"/>
      <c r="DI1430" s="342"/>
      <c r="DJ1430" s="342"/>
      <c r="DK1430" s="342"/>
      <c r="DL1430" s="342"/>
    </row>
    <row r="1431">
      <c r="A1431" s="44">
        <v>1431.0</v>
      </c>
      <c r="B1431" s="62" t="s">
        <v>523</v>
      </c>
      <c r="C1431" s="62" t="s">
        <v>115</v>
      </c>
      <c r="D1431" s="62" t="s">
        <v>248</v>
      </c>
      <c r="F1431" s="68" t="s">
        <v>8092</v>
      </c>
      <c r="G1431" s="159" t="s">
        <v>8093</v>
      </c>
      <c r="H1431" s="159" t="s">
        <v>249</v>
      </c>
      <c r="I1431" s="152">
        <v>45782.0</v>
      </c>
      <c r="J1431" s="540"/>
      <c r="K1431" s="159" t="s">
        <v>8096</v>
      </c>
      <c r="L1431" s="159" t="s">
        <v>7350</v>
      </c>
      <c r="M1431" s="159" t="s">
        <v>8094</v>
      </c>
      <c r="N1431" s="159" t="s">
        <v>6978</v>
      </c>
      <c r="O1431" s="156">
        <v>3.0</v>
      </c>
      <c r="P1431" s="606" t="str">
        <f t="shared" ref="P1431:P1433" si="97">SUBSTITUTE(LOWER(N1431), "/", "--") &amp;  ".pdf"</f>
        <v>10.1126--science.1239918.pdf</v>
      </c>
      <c r="Q1431" s="108" t="str">
        <f t="array" ref="Q1431"> if(iserror(MATCH(V1431, 'File Links'!C:C, 0)), "N/A", HYPERLINK(INDEX('File Links'!B:B, MATCH(P1431, 'File Links'!C:C, 0))))</f>
        <v>N/A</v>
      </c>
      <c r="R1431" s="704" t="s">
        <v>8097</v>
      </c>
      <c r="S1431" s="68"/>
      <c r="T1431" s="68"/>
      <c r="U1431" s="68"/>
      <c r="V1431" s="382" t="s">
        <v>577</v>
      </c>
      <c r="W1431" s="68"/>
      <c r="X1431" s="49" t="str">
        <f t="array" ref="X1431"> if(iserror(MATCH(V1431, 'File Links'!C:C, 0)), "N/A", HYPERLINK(INDEX('File Links'!B:B, MATCH(V1431, 'File Links'!C:C, 0))))</f>
        <v>N/A</v>
      </c>
      <c r="Y1431" s="1582" t="s">
        <v>8098</v>
      </c>
      <c r="Z1431" s="159" t="s">
        <v>226</v>
      </c>
      <c r="AA1431" s="159" t="s">
        <v>4052</v>
      </c>
      <c r="AB1431" s="159" t="s">
        <v>8099</v>
      </c>
      <c r="AC1431" s="159" t="s">
        <v>8055</v>
      </c>
      <c r="AD1431" s="159" t="s">
        <v>8100</v>
      </c>
      <c r="AE1431" s="159" t="s">
        <v>8101</v>
      </c>
      <c r="AF1431" s="156">
        <v>69.0</v>
      </c>
      <c r="AG1431" s="161" t="s">
        <v>8102</v>
      </c>
      <c r="AH1431" s="119" t="s">
        <v>134</v>
      </c>
      <c r="AI1431" s="151" t="s">
        <v>8103</v>
      </c>
      <c r="AJ1431" s="156">
        <v>0.04</v>
      </c>
      <c r="AK1431" s="159" t="s">
        <v>172</v>
      </c>
      <c r="AL1431" s="159" t="s">
        <v>186</v>
      </c>
      <c r="AM1431" s="68"/>
      <c r="AN1431" s="330" t="s">
        <v>138</v>
      </c>
      <c r="AO1431" s="68"/>
      <c r="AP1431" s="68"/>
      <c r="AQ1431" s="68"/>
      <c r="AR1431" s="68"/>
      <c r="AS1431" s="68"/>
      <c r="AT1431" s="68"/>
      <c r="AU1431" s="68"/>
      <c r="AV1431" s="68"/>
      <c r="AW1431" s="68"/>
      <c r="AX1431" s="68"/>
      <c r="AY1431" s="61" t="str">
        <f>IFERROR(__xludf.DUMMYFUNCTION("vlookup(BB1431,importrange(""https://docs.google.com/spreadsheets/d/1d2vevQ_7D_v35q4wCQ4RpQ_IPoTwEMB9Yp6ymwlPqew/edit?gid=984458430#gid=984458430"", ""'replication success'!A:K""), 11, FAlSE)"),"#N/A")</f>
        <v>#N/A</v>
      </c>
      <c r="AZ1431" s="61" t="str">
        <f>IFERROR(__xludf.DUMMYFUNCTION("vlookup(BB1431,importrange(""https://docs.google.com/spreadsheets/d/1d2vevQ_7D_v35q4wCQ4RpQ_IPoTwEMB9Yp6ymwlPqew/edit?gid=984458430#gid=984458430"", ""'replication success'!A:M""), 12, FAlSE)"),"#N/A")</f>
        <v>#N/A</v>
      </c>
      <c r="BA1431" s="61" t="str">
        <f>IFERROR(__xludf.DUMMYFUNCTION("vlookup(BB1431,importrange(""https://docs.google.com/spreadsheets/d/1d2vevQ_7D_v35q4wCQ4RpQ_IPoTwEMB9Yp6ymwlPqew/edit?gid=984458430#gid=984458430"", ""'replication success'!A:M""), 13, FAlSE)"),"#N/A")</f>
        <v>#N/A</v>
      </c>
      <c r="BB1431" s="61" t="str">
        <f>IFERROR(__xludf.DUMMYFUNCTION("REGEXREPLACE(G1431, ""_[a-z]{1,2}$"", """")"),"curatescience54")</f>
        <v>curatescience54</v>
      </c>
      <c r="BD1431" s="62" t="s">
        <v>7831</v>
      </c>
      <c r="BE1431" s="342"/>
      <c r="BF1431" s="342"/>
      <c r="BG1431" s="342"/>
      <c r="BH1431" s="342"/>
      <c r="BI1431" s="342"/>
      <c r="BJ1431" s="342"/>
      <c r="BK1431" s="342"/>
      <c r="BL1431" s="342"/>
      <c r="BM1431" s="342"/>
      <c r="BN1431" s="342"/>
      <c r="BO1431" s="342"/>
      <c r="BP1431" s="342"/>
      <c r="BQ1431" s="342"/>
      <c r="BR1431" s="342"/>
      <c r="BS1431" s="342"/>
      <c r="BT1431" s="342"/>
      <c r="BU1431" s="342"/>
      <c r="BV1431" s="342"/>
      <c r="BW1431" s="342"/>
      <c r="BX1431" s="342"/>
      <c r="BY1431" s="342"/>
      <c r="BZ1431" s="342"/>
      <c r="CA1431" s="342"/>
      <c r="CB1431" s="342"/>
      <c r="CC1431" s="342"/>
      <c r="CD1431" s="342"/>
      <c r="CE1431" s="342"/>
      <c r="CF1431" s="342"/>
      <c r="CG1431" s="342"/>
      <c r="CH1431" s="342"/>
      <c r="CI1431" s="342"/>
      <c r="CJ1431" s="342"/>
      <c r="CK1431" s="342"/>
      <c r="CL1431" s="342"/>
      <c r="CM1431" s="342"/>
      <c r="CN1431" s="342"/>
      <c r="CO1431" s="342"/>
      <c r="CP1431" s="342"/>
      <c r="CQ1431" s="342"/>
      <c r="CR1431" s="342"/>
      <c r="CS1431" s="342"/>
      <c r="CT1431" s="342"/>
      <c r="CU1431" s="342"/>
      <c r="CV1431" s="342"/>
      <c r="CW1431" s="342"/>
      <c r="CX1431" s="342"/>
      <c r="CY1431" s="342"/>
      <c r="CZ1431" s="342"/>
      <c r="DA1431" s="342"/>
      <c r="DB1431" s="342"/>
      <c r="DC1431" s="342"/>
      <c r="DD1431" s="342"/>
      <c r="DE1431" s="342"/>
      <c r="DF1431" s="342"/>
      <c r="DG1431" s="342"/>
      <c r="DH1431" s="342"/>
      <c r="DI1431" s="342"/>
      <c r="DJ1431" s="342"/>
      <c r="DK1431" s="342"/>
      <c r="DL1431" s="342"/>
    </row>
    <row r="1432">
      <c r="A1432" s="44">
        <v>1432.0</v>
      </c>
      <c r="B1432" s="62" t="s">
        <v>523</v>
      </c>
      <c r="C1432" s="62" t="s">
        <v>115</v>
      </c>
      <c r="D1432" s="62" t="s">
        <v>248</v>
      </c>
      <c r="F1432" s="68" t="s">
        <v>8092</v>
      </c>
      <c r="G1432" s="159" t="s">
        <v>8104</v>
      </c>
      <c r="H1432" s="159" t="s">
        <v>249</v>
      </c>
      <c r="I1432" s="152">
        <v>45783.0</v>
      </c>
      <c r="J1432" s="68"/>
      <c r="K1432" s="159" t="s">
        <v>8096</v>
      </c>
      <c r="L1432" s="159" t="s">
        <v>7350</v>
      </c>
      <c r="M1432" s="159" t="s">
        <v>8094</v>
      </c>
      <c r="N1432" s="159" t="s">
        <v>6978</v>
      </c>
      <c r="O1432" s="156">
        <v>3.0</v>
      </c>
      <c r="P1432" s="606" t="str">
        <f t="shared" si="97"/>
        <v>10.1126--science.1239918.pdf</v>
      </c>
      <c r="Q1432" s="108" t="str">
        <f t="array" ref="Q1432"> if(iserror(MATCH(V1432, 'File Links'!C:C, 0)), "N/A", HYPERLINK(INDEX('File Links'!B:B, MATCH(P1432, 'File Links'!C:C, 0))))</f>
        <v>N/A</v>
      </c>
      <c r="R1432" s="704" t="s">
        <v>8097</v>
      </c>
      <c r="S1432" s="68"/>
      <c r="T1432" s="68"/>
      <c r="U1432" s="68"/>
      <c r="V1432" s="573"/>
      <c r="W1432" s="68"/>
      <c r="X1432" s="49" t="str">
        <f t="array" ref="X1432"> if(iserror(MATCH(V1432, 'File Links'!C:C, 0)), "N/A", HYPERLINK(INDEX('File Links'!B:B, MATCH(V1432, 'File Links'!C:C, 0))))</f>
        <v>N/A</v>
      </c>
      <c r="Y1432" s="1582" t="s">
        <v>8098</v>
      </c>
      <c r="Z1432" s="159" t="s">
        <v>226</v>
      </c>
      <c r="AA1432" s="159" t="s">
        <v>4052</v>
      </c>
      <c r="AB1432" s="159" t="s">
        <v>8105</v>
      </c>
      <c r="AC1432" s="68"/>
      <c r="AD1432" s="159" t="s">
        <v>8106</v>
      </c>
      <c r="AE1432" s="159" t="s">
        <v>217</v>
      </c>
      <c r="AF1432" s="156">
        <v>69.0</v>
      </c>
      <c r="AG1432" s="156">
        <v>-0.01</v>
      </c>
      <c r="AH1432" s="159" t="s">
        <v>987</v>
      </c>
      <c r="AI1432" s="159" t="s">
        <v>8107</v>
      </c>
      <c r="AJ1432" s="156">
        <v>0.9</v>
      </c>
      <c r="AK1432" s="159" t="s">
        <v>172</v>
      </c>
      <c r="AL1432" s="159" t="s">
        <v>186</v>
      </c>
      <c r="AM1432" s="68"/>
      <c r="AN1432" s="330" t="s">
        <v>138</v>
      </c>
      <c r="AO1432" s="68"/>
      <c r="AP1432" s="68"/>
      <c r="AQ1432" s="68"/>
      <c r="AR1432" s="68"/>
      <c r="AS1432" s="68"/>
      <c r="AT1432" s="68"/>
      <c r="AU1432" s="68"/>
      <c r="AV1432" s="68"/>
      <c r="AW1432" s="68"/>
      <c r="AX1432" s="68"/>
      <c r="AY1432" s="61" t="str">
        <f>IFERROR(__xludf.DUMMYFUNCTION("vlookup(BB1432,importrange(""https://docs.google.com/spreadsheets/d/1d2vevQ_7D_v35q4wCQ4RpQ_IPoTwEMB9Yp6ymwlPqew/edit?gid=984458430#gid=984458430"", ""'replication success'!A:K""), 11, FAlSE)"),"#N/A")</f>
        <v>#N/A</v>
      </c>
      <c r="AZ1432" s="61" t="str">
        <f>IFERROR(__xludf.DUMMYFUNCTION("vlookup(BB1432,importrange(""https://docs.google.com/spreadsheets/d/1d2vevQ_7D_v35q4wCQ4RpQ_IPoTwEMB9Yp6ymwlPqew/edit?gid=984458430#gid=984458430"", ""'replication success'!A:M""), 12, FAlSE)"),"#N/A")</f>
        <v>#N/A</v>
      </c>
      <c r="BA1432" s="61" t="str">
        <f>IFERROR(__xludf.DUMMYFUNCTION("vlookup(BB1432,importrange(""https://docs.google.com/spreadsheets/d/1d2vevQ_7D_v35q4wCQ4RpQ_IPoTwEMB9Yp6ymwlPqew/edit?gid=984458430#gid=984458430"", ""'replication success'!A:M""), 13, FAlSE)"),"#N/A")</f>
        <v>#N/A</v>
      </c>
      <c r="BB1432" s="61" t="str">
        <f>IFERROR(__xludf.DUMMYFUNCTION("REGEXREPLACE(G1432, ""_[a-z]{1,2}$"", """")"),"curatescience54")</f>
        <v>curatescience54</v>
      </c>
      <c r="BD1432" s="62" t="s">
        <v>7831</v>
      </c>
      <c r="BE1432" s="220"/>
      <c r="BF1432" s="220"/>
      <c r="BG1432" s="220"/>
      <c r="BH1432" s="220"/>
      <c r="BI1432" s="220"/>
      <c r="BJ1432" s="220"/>
      <c r="BK1432" s="220"/>
      <c r="BL1432" s="220"/>
      <c r="BM1432" s="220"/>
      <c r="BN1432" s="220"/>
      <c r="BO1432" s="220"/>
      <c r="BP1432" s="220"/>
      <c r="BQ1432" s="220"/>
      <c r="BR1432" s="220"/>
      <c r="BS1432" s="220"/>
      <c r="BT1432" s="220"/>
      <c r="BU1432" s="220"/>
      <c r="BV1432" s="220"/>
      <c r="BW1432" s="220"/>
      <c r="BX1432" s="220"/>
      <c r="BY1432" s="220"/>
      <c r="BZ1432" s="220"/>
      <c r="CA1432" s="220"/>
      <c r="CB1432" s="220"/>
      <c r="CC1432" s="220"/>
      <c r="CD1432" s="220"/>
      <c r="CE1432" s="220"/>
      <c r="CF1432" s="220"/>
      <c r="CG1432" s="220"/>
      <c r="CH1432" s="220"/>
      <c r="CI1432" s="220"/>
      <c r="CJ1432" s="220"/>
      <c r="CK1432" s="220"/>
      <c r="CL1432" s="220"/>
      <c r="CM1432" s="220"/>
      <c r="CN1432" s="220"/>
      <c r="CO1432" s="220"/>
      <c r="CP1432" s="220"/>
      <c r="CQ1432" s="220"/>
      <c r="CR1432" s="220"/>
      <c r="CS1432" s="220"/>
      <c r="CT1432" s="220"/>
      <c r="CU1432" s="220"/>
      <c r="CV1432" s="220"/>
      <c r="CW1432" s="220"/>
      <c r="CX1432" s="220"/>
      <c r="CY1432" s="220"/>
      <c r="CZ1432" s="220"/>
      <c r="DA1432" s="220"/>
      <c r="DB1432" s="220"/>
      <c r="DC1432" s="220"/>
      <c r="DD1432" s="220"/>
      <c r="DE1432" s="220"/>
      <c r="DF1432" s="220"/>
      <c r="DG1432" s="220"/>
      <c r="DH1432" s="220"/>
      <c r="DI1432" s="220"/>
      <c r="DJ1432" s="220"/>
      <c r="DK1432" s="220"/>
      <c r="DL1432" s="220"/>
    </row>
    <row r="1433">
      <c r="A1433" s="44">
        <v>1433.0</v>
      </c>
      <c r="B1433" s="62" t="s">
        <v>523</v>
      </c>
      <c r="C1433" s="62" t="s">
        <v>115</v>
      </c>
      <c r="D1433" s="62" t="s">
        <v>248</v>
      </c>
      <c r="F1433" s="68" t="s">
        <v>8092</v>
      </c>
      <c r="G1433" s="159" t="s">
        <v>8108</v>
      </c>
      <c r="H1433" s="159" t="s">
        <v>249</v>
      </c>
      <c r="I1433" s="152">
        <v>45783.0</v>
      </c>
      <c r="J1433" s="68"/>
      <c r="K1433" s="159" t="s">
        <v>8096</v>
      </c>
      <c r="L1433" s="159" t="s">
        <v>7350</v>
      </c>
      <c r="M1433" s="159" t="s">
        <v>8094</v>
      </c>
      <c r="N1433" s="159" t="s">
        <v>6978</v>
      </c>
      <c r="O1433" s="156">
        <v>3.0</v>
      </c>
      <c r="P1433" s="606" t="str">
        <f t="shared" si="97"/>
        <v>10.1126--science.1239918.pdf</v>
      </c>
      <c r="Q1433" s="108" t="str">
        <f t="array" ref="Q1433"> if(iserror(MATCH(V1433, 'File Links'!C:C, 0)), "N/A", HYPERLINK(INDEX('File Links'!B:B, MATCH(P1433, 'File Links'!C:C, 0))))</f>
        <v>N/A</v>
      </c>
      <c r="R1433" s="704" t="s">
        <v>8097</v>
      </c>
      <c r="S1433" s="68"/>
      <c r="T1433" s="68"/>
      <c r="U1433" s="68"/>
      <c r="V1433" s="573"/>
      <c r="W1433" s="68"/>
      <c r="X1433" s="49" t="str">
        <f t="array" ref="X1433"> if(iserror(MATCH(V1433, 'File Links'!C:C, 0)), "N/A", HYPERLINK(INDEX('File Links'!B:B, MATCH(V1433, 'File Links'!C:C, 0))))</f>
        <v>N/A</v>
      </c>
      <c r="Y1433" s="1582" t="s">
        <v>8098</v>
      </c>
      <c r="Z1433" s="159" t="s">
        <v>226</v>
      </c>
      <c r="AA1433" s="159" t="s">
        <v>4052</v>
      </c>
      <c r="AB1433" s="159" t="s">
        <v>8109</v>
      </c>
      <c r="AC1433" s="68"/>
      <c r="AD1433" s="159" t="s">
        <v>8060</v>
      </c>
      <c r="AE1433" s="68"/>
      <c r="AF1433" s="156">
        <v>69.0</v>
      </c>
      <c r="AG1433" s="161" t="s">
        <v>8110</v>
      </c>
      <c r="AH1433" s="119" t="s">
        <v>134</v>
      </c>
      <c r="AI1433" s="151" t="s">
        <v>8103</v>
      </c>
      <c r="AJ1433" s="156">
        <v>0.9</v>
      </c>
      <c r="AK1433" s="159" t="s">
        <v>172</v>
      </c>
      <c r="AL1433" s="159" t="s">
        <v>186</v>
      </c>
      <c r="AM1433" s="68"/>
      <c r="AN1433" s="330" t="s">
        <v>138</v>
      </c>
      <c r="AO1433" s="68"/>
      <c r="AP1433" s="68"/>
      <c r="AQ1433" s="68"/>
      <c r="AR1433" s="68"/>
      <c r="AS1433" s="68"/>
      <c r="AT1433" s="68"/>
      <c r="AU1433" s="68"/>
      <c r="AV1433" s="68"/>
      <c r="AW1433" s="68"/>
      <c r="AX1433" s="68"/>
      <c r="AY1433" s="61" t="str">
        <f>IFERROR(__xludf.DUMMYFUNCTION("vlookup(BB1433,importrange(""https://docs.google.com/spreadsheets/d/1d2vevQ_7D_v35q4wCQ4RpQ_IPoTwEMB9Yp6ymwlPqew/edit?gid=984458430#gid=984458430"", ""'replication success'!A:K""), 11, FAlSE)"),"#N/A")</f>
        <v>#N/A</v>
      </c>
      <c r="AZ1433" s="61" t="str">
        <f>IFERROR(__xludf.DUMMYFUNCTION("vlookup(BB1433,importrange(""https://docs.google.com/spreadsheets/d/1d2vevQ_7D_v35q4wCQ4RpQ_IPoTwEMB9Yp6ymwlPqew/edit?gid=984458430#gid=984458430"", ""'replication success'!A:M""), 12, FAlSE)"),"#N/A")</f>
        <v>#N/A</v>
      </c>
      <c r="BA1433" s="61" t="str">
        <f>IFERROR(__xludf.DUMMYFUNCTION("vlookup(BB1433,importrange(""https://docs.google.com/spreadsheets/d/1d2vevQ_7D_v35q4wCQ4RpQ_IPoTwEMB9Yp6ymwlPqew/edit?gid=984458430#gid=984458430"", ""'replication success'!A:M""), 13, FAlSE)"),"#N/A")</f>
        <v>#N/A</v>
      </c>
      <c r="BB1433" s="61" t="str">
        <f>IFERROR(__xludf.DUMMYFUNCTION("REGEXREPLACE(G1433, ""_[a-z]{1,2}$"", """")"),"curatescience54")</f>
        <v>curatescience54</v>
      </c>
      <c r="BD1433" s="62" t="s">
        <v>7831</v>
      </c>
      <c r="BE1433" s="220"/>
      <c r="BF1433" s="220"/>
      <c r="BG1433" s="220"/>
      <c r="BH1433" s="220"/>
      <c r="BI1433" s="220"/>
      <c r="BJ1433" s="220"/>
      <c r="BK1433" s="220"/>
      <c r="BL1433" s="220"/>
      <c r="BM1433" s="220"/>
      <c r="BN1433" s="220"/>
      <c r="BO1433" s="220"/>
      <c r="BP1433" s="220"/>
      <c r="BQ1433" s="220"/>
      <c r="BR1433" s="220"/>
      <c r="BS1433" s="220"/>
      <c r="BT1433" s="220"/>
      <c r="BU1433" s="220"/>
      <c r="BV1433" s="220"/>
      <c r="BW1433" s="220"/>
      <c r="BX1433" s="220"/>
      <c r="BY1433" s="220"/>
      <c r="BZ1433" s="220"/>
      <c r="CA1433" s="220"/>
      <c r="CB1433" s="220"/>
      <c r="CC1433" s="220"/>
      <c r="CD1433" s="220"/>
      <c r="CE1433" s="220"/>
      <c r="CF1433" s="220"/>
      <c r="CG1433" s="220"/>
      <c r="CH1433" s="220"/>
      <c r="CI1433" s="220"/>
      <c r="CJ1433" s="220"/>
      <c r="CK1433" s="220"/>
      <c r="CL1433" s="220"/>
      <c r="CM1433" s="220"/>
      <c r="CN1433" s="220"/>
      <c r="CO1433" s="220"/>
      <c r="CP1433" s="220"/>
      <c r="CQ1433" s="220"/>
      <c r="CR1433" s="220"/>
      <c r="CS1433" s="220"/>
      <c r="CT1433" s="220"/>
      <c r="CU1433" s="220"/>
      <c r="CV1433" s="220"/>
      <c r="CW1433" s="220"/>
      <c r="CX1433" s="220"/>
      <c r="CY1433" s="220"/>
      <c r="CZ1433" s="220"/>
      <c r="DA1433" s="220"/>
      <c r="DB1433" s="220"/>
      <c r="DC1433" s="220"/>
      <c r="DD1433" s="220"/>
      <c r="DE1433" s="220"/>
      <c r="DF1433" s="220"/>
      <c r="DG1433" s="220"/>
      <c r="DH1433" s="220"/>
      <c r="DI1433" s="220"/>
      <c r="DJ1433" s="220"/>
      <c r="DK1433" s="220"/>
      <c r="DL1433" s="220"/>
    </row>
    <row r="1434">
      <c r="A1434" s="44">
        <v>1434.0</v>
      </c>
      <c r="B1434" s="62" t="s">
        <v>114</v>
      </c>
      <c r="C1434" s="62" t="s">
        <v>115</v>
      </c>
      <c r="D1434" s="62" t="s">
        <v>1458</v>
      </c>
      <c r="F1434" s="68" t="s">
        <v>8111</v>
      </c>
      <c r="G1434" s="57" t="s">
        <v>8112</v>
      </c>
      <c r="H1434" s="68"/>
      <c r="I1434" s="1287" t="s">
        <v>119</v>
      </c>
      <c r="J1434" s="540">
        <v>45761.0</v>
      </c>
      <c r="K1434" s="68"/>
      <c r="L1434" s="159" t="s">
        <v>7350</v>
      </c>
      <c r="M1434" s="159" t="s">
        <v>8094</v>
      </c>
      <c r="N1434" s="159" t="s">
        <v>6978</v>
      </c>
      <c r="O1434" s="156">
        <v>5.0</v>
      </c>
      <c r="P1434" s="1581" t="s">
        <v>7994</v>
      </c>
      <c r="Q1434" s="52" t="str">
        <f t="array" ref="Q1434"> if(iserror(MATCH(V1434, 'File Links'!C:C, 0)), "N/A", HYPERLINK(INDEX('File Links'!B:B, MATCH(P1434, 'File Links'!C:C, 0))))</f>
        <v>https://drive.google.com/file/d/16w-mzwoY4czOLW1CWtNqG_1fcM557vJf/view?usp=drivesdk</v>
      </c>
      <c r="R1434" s="159" t="s">
        <v>8113</v>
      </c>
      <c r="S1434" s="159" t="s">
        <v>7996</v>
      </c>
      <c r="T1434" s="68"/>
      <c r="U1434" s="68"/>
      <c r="V1434" s="382" t="s">
        <v>8114</v>
      </c>
      <c r="W1434" s="68"/>
      <c r="X1434" s="54" t="str">
        <f t="array" ref="X1434"> if(iserror(MATCH(V1434, 'File Links'!C:C, 0)), "N/A", HYPERLINK(INDEX('File Links'!B:B, MATCH(V1434, 'File Links'!C:C, 0))))</f>
        <v>https://drive.google.com/file/d/1RF-nEXDyW9UWyQIuqmtLdTtTuTs-52JT/view?usp=drivesdk</v>
      </c>
      <c r="Y1434" s="159" t="s">
        <v>7574</v>
      </c>
      <c r="Z1434" s="68"/>
      <c r="AA1434" s="68"/>
      <c r="AB1434" s="68"/>
      <c r="AC1434" s="68"/>
      <c r="AD1434" s="68"/>
      <c r="AE1434" s="68"/>
      <c r="AF1434" s="68"/>
      <c r="AG1434" s="68"/>
      <c r="AH1434" s="68"/>
      <c r="AI1434" s="68"/>
      <c r="AJ1434" s="338"/>
      <c r="AK1434" s="61"/>
      <c r="AL1434" s="61"/>
      <c r="AM1434" s="68"/>
      <c r="AN1434" s="330" t="s">
        <v>138</v>
      </c>
      <c r="AO1434" s="68"/>
      <c r="AP1434" s="68"/>
      <c r="AQ1434" s="68"/>
      <c r="AR1434" s="68"/>
      <c r="AS1434" s="68"/>
      <c r="AT1434" s="68"/>
      <c r="AU1434" s="68"/>
      <c r="AV1434" s="68"/>
      <c r="AW1434" s="68"/>
      <c r="AX1434" s="68"/>
      <c r="AY1434" s="61" t="str">
        <f>IFERROR(__xludf.DUMMYFUNCTION("vlookup(BB1434,importrange(""https://docs.google.com/spreadsheets/d/1d2vevQ_7D_v35q4wCQ4RpQ_IPoTwEMB9Yp6ymwlPqew/edit?gid=984458430#gid=984458430"", ""'replication success'!A:K""), 11, FAlSE)"),"mixed")</f>
        <v>mixed</v>
      </c>
      <c r="AZ1434" s="61" t="str">
        <f>IFERROR(__xludf.DUMMYFUNCTION("vlookup(BB1434,importrange(""https://docs.google.com/spreadsheets/d/1d2vevQ_7D_v35q4wCQ4RpQ_IPoTwEMB9Yp6ymwlPqew/edit?gid=984458430#gid=984458430"",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34" s="61" t="str">
        <f>IFERROR(__xludf.DUMMYFUNCTION("vlookup(BB1434,importrange(""https://docs.google.com/spreadsheets/d/1d2vevQ_7D_v35q4wCQ4RpQ_IPoTwEMB9Yp6ymwlPqew/edit?gid=984458430#gid=984458430"", ""'replication success'!A:M""), 13, FAlSE)"),"abstract")</f>
        <v>abstract</v>
      </c>
      <c r="BB1434" s="61" t="str">
        <f>IFERROR(__xludf.DUMMYFUNCTION("REGEXREPLACE(G1434, ""_[a-z]{1,2}$"", """")"),"curatescience55")</f>
        <v>curatescience55</v>
      </c>
      <c r="BD1434" s="62" t="s">
        <v>7853</v>
      </c>
      <c r="BE1434" s="92"/>
      <c r="BF1434" s="92"/>
      <c r="BG1434" s="92"/>
      <c r="BH1434" s="92"/>
      <c r="BI1434" s="92"/>
      <c r="BJ1434" s="92"/>
      <c r="BK1434" s="92"/>
      <c r="BL1434" s="92"/>
      <c r="BM1434" s="92"/>
      <c r="BN1434" s="92"/>
      <c r="BO1434" s="92"/>
      <c r="BP1434" s="92"/>
      <c r="BQ1434" s="92"/>
      <c r="BR1434" s="92"/>
      <c r="BS1434" s="92"/>
      <c r="BT1434" s="92"/>
      <c r="BU1434" s="92"/>
      <c r="BV1434" s="92"/>
      <c r="BW1434" s="92"/>
      <c r="BX1434" s="92"/>
      <c r="BY1434" s="92"/>
      <c r="BZ1434" s="92"/>
      <c r="CA1434" s="92"/>
      <c r="CB1434" s="92"/>
      <c r="CC1434" s="92"/>
      <c r="CD1434" s="92"/>
      <c r="CE1434" s="92"/>
      <c r="CF1434" s="92"/>
      <c r="CG1434" s="92"/>
      <c r="CH1434" s="92"/>
      <c r="CI1434" s="92"/>
      <c r="CJ1434" s="92"/>
      <c r="CK1434" s="92"/>
      <c r="CL1434" s="92"/>
      <c r="CM1434" s="92"/>
      <c r="CN1434" s="92"/>
      <c r="CO1434" s="92"/>
      <c r="CP1434" s="92"/>
      <c r="CQ1434" s="92"/>
      <c r="CR1434" s="92"/>
      <c r="CS1434" s="92"/>
      <c r="CT1434" s="92"/>
      <c r="CU1434" s="92"/>
      <c r="CV1434" s="92"/>
      <c r="CW1434" s="92"/>
      <c r="CX1434" s="92"/>
      <c r="CY1434" s="92"/>
      <c r="CZ1434" s="92"/>
      <c r="DA1434" s="92"/>
      <c r="DB1434" s="92"/>
      <c r="DC1434" s="92"/>
      <c r="DD1434" s="92"/>
      <c r="DE1434" s="92"/>
      <c r="DF1434" s="92"/>
      <c r="DG1434" s="92"/>
      <c r="DH1434" s="92"/>
      <c r="DI1434" s="92"/>
      <c r="DJ1434" s="92"/>
      <c r="DK1434" s="92"/>
      <c r="DL1434" s="92"/>
    </row>
    <row r="1435">
      <c r="A1435" s="44">
        <v>1435.0</v>
      </c>
      <c r="B1435" s="62" t="s">
        <v>152</v>
      </c>
      <c r="C1435" s="62" t="s">
        <v>115</v>
      </c>
      <c r="D1435" s="62" t="s">
        <v>248</v>
      </c>
      <c r="F1435" s="68" t="s">
        <v>8111</v>
      </c>
      <c r="G1435" s="159" t="s">
        <v>8112</v>
      </c>
      <c r="H1435" s="159" t="s">
        <v>249</v>
      </c>
      <c r="I1435" s="152">
        <v>45782.0</v>
      </c>
      <c r="J1435" s="540">
        <v>45761.0</v>
      </c>
      <c r="K1435" s="159" t="s">
        <v>8115</v>
      </c>
      <c r="L1435" s="151" t="s">
        <v>8116</v>
      </c>
      <c r="M1435" s="159" t="s">
        <v>8094</v>
      </c>
      <c r="N1435" s="159" t="s">
        <v>6978</v>
      </c>
      <c r="O1435" s="156">
        <v>3.0</v>
      </c>
      <c r="P1435" s="606" t="str">
        <f t="shared" ref="P1435:P1437" si="98">SUBSTITUTE(LOWER(N1435), "/", "--") &amp;  ".pdf"</f>
        <v>10.1126--science.1239918.pdf</v>
      </c>
      <c r="Q1435" s="52" t="str">
        <f t="array" ref="Q1435"> if(iserror(MATCH(V1435, 'File Links'!C:C, 0)), "N/A", HYPERLINK(INDEX('File Links'!B:B, MATCH(P1435, 'File Links'!C:C, 0))))</f>
        <v>https://drive.google.com/file/d/16w-mzwoY4czOLW1CWtNqG_1fcM557vJf/view?usp=drivesdk</v>
      </c>
      <c r="R1435" s="159" t="s">
        <v>8113</v>
      </c>
      <c r="S1435" s="159" t="s">
        <v>7996</v>
      </c>
      <c r="T1435" s="68"/>
      <c r="U1435" s="129">
        <v>2.0</v>
      </c>
      <c r="V1435" s="198" t="str">
        <f t="shared" ref="V1435:V1439" si="99"> hyperlink(vlookup(lower(S1435),#REF!, 2, FALSE), SUBSTITUTE(lower(S1435), "/", "--") &amp;  ".pdf")</f>
        <v>10.1037--pspa0000064.pdf</v>
      </c>
      <c r="W1435" s="159" t="s">
        <v>164</v>
      </c>
      <c r="X1435" s="54" t="str">
        <f t="array" ref="X1435"> if(iserror(MATCH(V1435, 'File Links'!C:C, 0)), "N/A", HYPERLINK(INDEX('File Links'!B:B, MATCH(V1435, 'File Links'!C:C, 0))))</f>
        <v>https://drive.google.com/file/d/1RF-nEXDyW9UWyQIuqmtLdTtTuTs-52JT/view?usp=drivesdk</v>
      </c>
      <c r="Y1435" s="68"/>
      <c r="Z1435" s="159" t="s">
        <v>226</v>
      </c>
      <c r="AA1435" s="380" t="s">
        <v>8117</v>
      </c>
      <c r="AB1435" s="159" t="s">
        <v>8099</v>
      </c>
      <c r="AC1435" s="371" t="s">
        <v>8118</v>
      </c>
      <c r="AD1435" s="151" t="s">
        <v>8119</v>
      </c>
      <c r="AE1435" s="159" t="s">
        <v>8101</v>
      </c>
      <c r="AF1435" s="156">
        <v>69.0</v>
      </c>
      <c r="AG1435" s="378">
        <v>0.04</v>
      </c>
      <c r="AH1435" s="140" t="s">
        <v>8001</v>
      </c>
      <c r="AI1435" s="159" t="s">
        <v>8120</v>
      </c>
      <c r="AJ1435" s="156">
        <v>0.04</v>
      </c>
      <c r="AK1435" s="159" t="s">
        <v>172</v>
      </c>
      <c r="AL1435" s="159" t="s">
        <v>186</v>
      </c>
      <c r="AM1435" s="68" t="s">
        <v>137</v>
      </c>
      <c r="AN1435" s="330" t="s">
        <v>138</v>
      </c>
      <c r="AO1435" s="378">
        <v>193.0</v>
      </c>
      <c r="AP1435" s="156">
        <v>0.05</v>
      </c>
      <c r="AQ1435" s="159" t="s">
        <v>173</v>
      </c>
      <c r="AR1435" s="159" t="s">
        <v>8121</v>
      </c>
      <c r="AS1435" s="156">
        <v>0.363</v>
      </c>
      <c r="AT1435" s="159" t="s">
        <v>172</v>
      </c>
      <c r="AU1435" s="159" t="s">
        <v>186</v>
      </c>
      <c r="AV1435" s="68" t="s">
        <v>141</v>
      </c>
      <c r="AW1435" s="371" t="s">
        <v>138</v>
      </c>
      <c r="AX1435" s="68" t="s">
        <v>143</v>
      </c>
      <c r="AY1435" s="61" t="str">
        <f>IFERROR(__xludf.DUMMYFUNCTION("vlookup(BB1435,importrange(""https://docs.google.com/spreadsheets/d/1d2vevQ_7D_v35q4wCQ4RpQ_IPoTwEMB9Yp6ymwlPqew/edit?gid=984458430#gid=984458430"", ""'replication success'!A:K""), 11, FAlSE)"),"mixed")</f>
        <v>mixed</v>
      </c>
      <c r="AZ1435" s="61" t="str">
        <f>IFERROR(__xludf.DUMMYFUNCTION("vlookup(BB1435,importrange(""https://docs.google.com/spreadsheets/d/1d2vevQ_7D_v35q4wCQ4RpQ_IPoTwEMB9Yp6ymwlPqew/edit?gid=984458430#gid=984458430"",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35" s="61" t="str">
        <f>IFERROR(__xludf.DUMMYFUNCTION("vlookup(BB1435,importrange(""https://docs.google.com/spreadsheets/d/1d2vevQ_7D_v35q4wCQ4RpQ_IPoTwEMB9Yp6ymwlPqew/edit?gid=984458430#gid=984458430"", ""'replication success'!A:M""), 13, FAlSE)"),"abstract")</f>
        <v>abstract</v>
      </c>
      <c r="BB1435" s="61" t="str">
        <f>IFERROR(__xludf.DUMMYFUNCTION("REGEXREPLACE(G1435, ""_[a-z]{1,2}$"", """")"),"curatescience55")</f>
        <v>curatescience55</v>
      </c>
      <c r="BD1435" s="62" t="s">
        <v>7943</v>
      </c>
    </row>
    <row r="1436">
      <c r="A1436" s="44">
        <v>1436.0</v>
      </c>
      <c r="B1436" s="62" t="s">
        <v>152</v>
      </c>
      <c r="C1436" s="62" t="s">
        <v>115</v>
      </c>
      <c r="D1436" s="62" t="s">
        <v>248</v>
      </c>
      <c r="F1436" s="68" t="s">
        <v>8111</v>
      </c>
      <c r="G1436" s="159" t="s">
        <v>8122</v>
      </c>
      <c r="H1436" s="159" t="s">
        <v>249</v>
      </c>
      <c r="I1436" s="152">
        <v>45783.0</v>
      </c>
      <c r="J1436" s="540">
        <v>45761.0</v>
      </c>
      <c r="K1436" s="159" t="s">
        <v>8115</v>
      </c>
      <c r="L1436" s="151" t="s">
        <v>8123</v>
      </c>
      <c r="M1436" s="159" t="s">
        <v>8094</v>
      </c>
      <c r="N1436" s="159" t="s">
        <v>6978</v>
      </c>
      <c r="O1436" s="156">
        <v>3.0</v>
      </c>
      <c r="P1436" s="606" t="str">
        <f t="shared" si="98"/>
        <v>10.1126--science.1239918.pdf</v>
      </c>
      <c r="Q1436" s="52" t="str">
        <f t="array" ref="Q1436"> if(iserror(MATCH(V1436, 'File Links'!C:C, 0)), "N/A", HYPERLINK(INDEX('File Links'!B:B, MATCH(P1436, 'File Links'!C:C, 0))))</f>
        <v>https://drive.google.com/file/d/16w-mzwoY4czOLW1CWtNqG_1fcM557vJf/view?usp=drivesdk</v>
      </c>
      <c r="R1436" s="159" t="s">
        <v>8113</v>
      </c>
      <c r="S1436" s="159" t="s">
        <v>7996</v>
      </c>
      <c r="T1436" s="68"/>
      <c r="U1436" s="129">
        <v>2.0</v>
      </c>
      <c r="V1436" s="198" t="str">
        <f t="shared" si="99"/>
        <v>10.1037--pspa0000064.pdf</v>
      </c>
      <c r="W1436" s="159" t="s">
        <v>164</v>
      </c>
      <c r="X1436" s="54" t="str">
        <f t="array" ref="X1436"> if(iserror(MATCH(V1436, 'File Links'!C:C, 0)), "N/A", HYPERLINK(INDEX('File Links'!B:B, MATCH(V1436, 'File Links'!C:C, 0))))</f>
        <v>https://drive.google.com/file/d/1RF-nEXDyW9UWyQIuqmtLdTtTuTs-52JT/view?usp=drivesdk</v>
      </c>
      <c r="Y1436" s="68"/>
      <c r="Z1436" s="159" t="s">
        <v>226</v>
      </c>
      <c r="AA1436" s="380" t="s">
        <v>8117</v>
      </c>
      <c r="AB1436" s="159" t="s">
        <v>8105</v>
      </c>
      <c r="AC1436" s="159" t="s">
        <v>8055</v>
      </c>
      <c r="AD1436" s="159" t="s">
        <v>8106</v>
      </c>
      <c r="AE1436" s="371" t="s">
        <v>217</v>
      </c>
      <c r="AF1436" s="156">
        <v>69.0</v>
      </c>
      <c r="AG1436" s="496">
        <v>-0.01</v>
      </c>
      <c r="AH1436" s="140" t="s">
        <v>8001</v>
      </c>
      <c r="AI1436" s="159" t="s">
        <v>8107</v>
      </c>
      <c r="AJ1436" s="156">
        <v>0.9</v>
      </c>
      <c r="AK1436" s="159" t="s">
        <v>172</v>
      </c>
      <c r="AL1436" s="159" t="s">
        <v>186</v>
      </c>
      <c r="AM1436" s="68" t="s">
        <v>137</v>
      </c>
      <c r="AN1436" s="330" t="s">
        <v>138</v>
      </c>
      <c r="AO1436" s="156">
        <v>290.0</v>
      </c>
      <c r="AP1436" s="156">
        <v>0.37</v>
      </c>
      <c r="AQ1436" s="159" t="s">
        <v>987</v>
      </c>
      <c r="AR1436" s="159" t="s">
        <v>8124</v>
      </c>
      <c r="AS1436" s="156">
        <v>0.001</v>
      </c>
      <c r="AT1436" s="159" t="s">
        <v>135</v>
      </c>
      <c r="AU1436" s="159" t="s">
        <v>186</v>
      </c>
      <c r="AV1436" s="68" t="s">
        <v>141</v>
      </c>
      <c r="AW1436" s="371" t="s">
        <v>138</v>
      </c>
      <c r="AX1436" s="68" t="s">
        <v>143</v>
      </c>
      <c r="AY1436" s="61" t="str">
        <f>IFERROR(__xludf.DUMMYFUNCTION("vlookup(BB1436,importrange(""https://docs.google.com/spreadsheets/d/1d2vevQ_7D_v35q4wCQ4RpQ_IPoTwEMB9Yp6ymwlPqew/edit?gid=984458430#gid=984458430"", ""'replication success'!A:K""), 11, FAlSE)"),"mixed")</f>
        <v>mixed</v>
      </c>
      <c r="AZ1436" s="61" t="str">
        <f>IFERROR(__xludf.DUMMYFUNCTION("vlookup(BB1436,importrange(""https://docs.google.com/spreadsheets/d/1d2vevQ_7D_v35q4wCQ4RpQ_IPoTwEMB9Yp6ymwlPqew/edit?gid=984458430#gid=984458430"",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36" s="61" t="str">
        <f>IFERROR(__xludf.DUMMYFUNCTION("vlookup(BB1436,importrange(""https://docs.google.com/spreadsheets/d/1d2vevQ_7D_v35q4wCQ4RpQ_IPoTwEMB9Yp6ymwlPqew/edit?gid=984458430#gid=984458430"", ""'replication success'!A:M""), 13, FAlSE)"),"abstract")</f>
        <v>abstract</v>
      </c>
      <c r="BB1436" s="61" t="str">
        <f>IFERROR(__xludf.DUMMYFUNCTION("REGEXREPLACE(G1436, ""_[a-z]{1,2}$"", """")"),"curatescience55")</f>
        <v>curatescience55</v>
      </c>
      <c r="BD1436" s="62" t="s">
        <v>7853</v>
      </c>
      <c r="BE1436" s="92"/>
      <c r="BF1436" s="92"/>
      <c r="BG1436" s="92"/>
      <c r="BH1436" s="92"/>
      <c r="BI1436" s="92"/>
      <c r="BJ1436" s="92"/>
      <c r="BK1436" s="92"/>
      <c r="BL1436" s="92"/>
      <c r="BM1436" s="92"/>
      <c r="BN1436" s="92"/>
      <c r="BO1436" s="92"/>
      <c r="BP1436" s="92"/>
      <c r="BQ1436" s="92"/>
      <c r="BR1436" s="92"/>
      <c r="BS1436" s="92"/>
      <c r="BT1436" s="92"/>
      <c r="BU1436" s="92"/>
      <c r="BV1436" s="92"/>
      <c r="BW1436" s="92"/>
      <c r="BX1436" s="92"/>
      <c r="BY1436" s="92"/>
      <c r="BZ1436" s="92"/>
      <c r="CA1436" s="92"/>
      <c r="CB1436" s="92"/>
      <c r="CC1436" s="92"/>
      <c r="CD1436" s="92"/>
      <c r="CE1436" s="92"/>
      <c r="CF1436" s="92"/>
      <c r="CG1436" s="92"/>
      <c r="CH1436" s="92"/>
      <c r="CI1436" s="92"/>
      <c r="CJ1436" s="92"/>
      <c r="CK1436" s="92"/>
      <c r="CL1436" s="92"/>
      <c r="CM1436" s="92"/>
      <c r="CN1436" s="92"/>
      <c r="CO1436" s="92"/>
      <c r="CP1436" s="92"/>
      <c r="CQ1436" s="92"/>
      <c r="CR1436" s="92"/>
      <c r="CS1436" s="92"/>
      <c r="CT1436" s="92"/>
      <c r="CU1436" s="92"/>
      <c r="CV1436" s="92"/>
      <c r="CW1436" s="92"/>
      <c r="CX1436" s="92"/>
      <c r="CY1436" s="92"/>
      <c r="CZ1436" s="92"/>
      <c r="DA1436" s="92"/>
      <c r="DB1436" s="92"/>
      <c r="DC1436" s="92"/>
      <c r="DD1436" s="92"/>
      <c r="DE1436" s="92"/>
      <c r="DF1436" s="92"/>
      <c r="DG1436" s="92"/>
      <c r="DH1436" s="92"/>
      <c r="DI1436" s="92"/>
      <c r="DJ1436" s="92"/>
      <c r="DK1436" s="92"/>
      <c r="DL1436" s="92"/>
    </row>
    <row r="1437">
      <c r="A1437" s="44">
        <v>1437.0</v>
      </c>
      <c r="B1437" s="62" t="s">
        <v>152</v>
      </c>
      <c r="C1437" s="62" t="s">
        <v>115</v>
      </c>
      <c r="D1437" s="62" t="s">
        <v>248</v>
      </c>
      <c r="F1437" s="68" t="s">
        <v>8111</v>
      </c>
      <c r="G1437" s="159" t="s">
        <v>8125</v>
      </c>
      <c r="H1437" s="159" t="s">
        <v>249</v>
      </c>
      <c r="I1437" s="152">
        <v>45783.0</v>
      </c>
      <c r="J1437" s="540">
        <v>45761.0</v>
      </c>
      <c r="K1437" s="159" t="s">
        <v>8115</v>
      </c>
      <c r="L1437" s="151" t="s">
        <v>8126</v>
      </c>
      <c r="M1437" s="159" t="s">
        <v>8094</v>
      </c>
      <c r="N1437" s="159" t="s">
        <v>6978</v>
      </c>
      <c r="O1437" s="156">
        <v>3.0</v>
      </c>
      <c r="P1437" s="606" t="str">
        <f t="shared" si="98"/>
        <v>10.1126--science.1239918.pdf</v>
      </c>
      <c r="Q1437" s="52" t="str">
        <f t="array" ref="Q1437"> if(iserror(MATCH(V1437, 'File Links'!C:C, 0)), "N/A", HYPERLINK(INDEX('File Links'!B:B, MATCH(P1437, 'File Links'!C:C, 0))))</f>
        <v>https://drive.google.com/file/d/16w-mzwoY4czOLW1CWtNqG_1fcM557vJf/view?usp=drivesdk</v>
      </c>
      <c r="R1437" s="159" t="s">
        <v>8113</v>
      </c>
      <c r="S1437" s="159" t="s">
        <v>7996</v>
      </c>
      <c r="T1437" s="68"/>
      <c r="U1437" s="129">
        <v>2.0</v>
      </c>
      <c r="V1437" s="198" t="str">
        <f t="shared" si="99"/>
        <v>10.1037--pspa0000064.pdf</v>
      </c>
      <c r="W1437" s="159" t="s">
        <v>164</v>
      </c>
      <c r="X1437" s="54" t="str">
        <f t="array" ref="X1437"> if(iserror(MATCH(V1437, 'File Links'!C:C, 0)), "N/A", HYPERLINK(INDEX('File Links'!B:B, MATCH(V1437, 'File Links'!C:C, 0))))</f>
        <v>https://drive.google.com/file/d/1RF-nEXDyW9UWyQIuqmtLdTtTuTs-52JT/view?usp=drivesdk</v>
      </c>
      <c r="Y1437" s="68"/>
      <c r="Z1437" s="159" t="s">
        <v>226</v>
      </c>
      <c r="AA1437" s="380" t="s">
        <v>8117</v>
      </c>
      <c r="AB1437" s="159" t="s">
        <v>8109</v>
      </c>
      <c r="AC1437" s="159" t="s">
        <v>8055</v>
      </c>
      <c r="AD1437" s="159" t="s">
        <v>8060</v>
      </c>
      <c r="AE1437" s="371" t="s">
        <v>217</v>
      </c>
      <c r="AF1437" s="156">
        <v>69.0</v>
      </c>
      <c r="AG1437" s="496">
        <v>-0.01</v>
      </c>
      <c r="AH1437" s="140" t="s">
        <v>8001</v>
      </c>
      <c r="AI1437" s="159" t="s">
        <v>8127</v>
      </c>
      <c r="AJ1437" s="156">
        <v>0.9</v>
      </c>
      <c r="AK1437" s="159" t="s">
        <v>172</v>
      </c>
      <c r="AL1437" s="159" t="s">
        <v>186</v>
      </c>
      <c r="AM1437" s="542" t="s">
        <v>141</v>
      </c>
      <c r="AN1437" s="330" t="s">
        <v>138</v>
      </c>
      <c r="AO1437" s="156">
        <v>290.0</v>
      </c>
      <c r="AP1437" s="378" t="s">
        <v>8022</v>
      </c>
      <c r="AQ1437" s="380" t="s">
        <v>134</v>
      </c>
      <c r="AR1437" s="159" t="s">
        <v>8128</v>
      </c>
      <c r="AS1437" s="156">
        <v>0.412</v>
      </c>
      <c r="AT1437" s="159" t="s">
        <v>172</v>
      </c>
      <c r="AU1437" s="159" t="s">
        <v>186</v>
      </c>
      <c r="AV1437" s="68" t="s">
        <v>141</v>
      </c>
      <c r="AW1437" s="371" t="s">
        <v>138</v>
      </c>
      <c r="AX1437" s="68" t="s">
        <v>143</v>
      </c>
      <c r="AY1437" s="61" t="str">
        <f>IFERROR(__xludf.DUMMYFUNCTION("vlookup(BB1437,importrange(""https://docs.google.com/spreadsheets/d/1d2vevQ_7D_v35q4wCQ4RpQ_IPoTwEMB9Yp6ymwlPqew/edit?gid=984458430#gid=984458430"", ""'replication success'!A:K""), 11, FAlSE)"),"mixed")</f>
        <v>mixed</v>
      </c>
      <c r="AZ1437" s="61" t="str">
        <f>IFERROR(__xludf.DUMMYFUNCTION("vlookup(BB1437,importrange(""https://docs.google.com/spreadsheets/d/1d2vevQ_7D_v35q4wCQ4RpQ_IPoTwEMB9Yp6ymwlPqew/edit?gid=984458430#gid=984458430"",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37" s="61" t="str">
        <f>IFERROR(__xludf.DUMMYFUNCTION("vlookup(BB1437,importrange(""https://docs.google.com/spreadsheets/d/1d2vevQ_7D_v35q4wCQ4RpQ_IPoTwEMB9Yp6ymwlPqew/edit?gid=984458430#gid=984458430"", ""'replication success'!A:M""), 13, FAlSE)"),"abstract")</f>
        <v>abstract</v>
      </c>
      <c r="BB1437" s="61" t="str">
        <f>IFERROR(__xludf.DUMMYFUNCTION("REGEXREPLACE(G1437, ""_[a-z]{1,2}$"", """")"),"curatescience55")</f>
        <v>curatescience55</v>
      </c>
      <c r="BD1437" s="62" t="s">
        <v>7853</v>
      </c>
    </row>
    <row r="1438">
      <c r="A1438" s="44">
        <v>1438.0</v>
      </c>
      <c r="B1438" s="188" t="s">
        <v>152</v>
      </c>
      <c r="C1438" s="149" t="s">
        <v>115</v>
      </c>
      <c r="D1438" s="149" t="s">
        <v>2630</v>
      </c>
      <c r="E1438" s="71"/>
      <c r="F1438" s="218" t="s">
        <v>8129</v>
      </c>
      <c r="G1438" s="210" t="str">
        <f t="shared" ref="G1438:G1439" si="100">F1438&amp;"_"&amp;COUNTIF($B$3:F1438, F1438)</f>
        <v>curatescience558_1</v>
      </c>
      <c r="H1438" s="218" t="s">
        <v>7492</v>
      </c>
      <c r="I1438" s="415">
        <v>45675.0</v>
      </c>
      <c r="J1438" s="415">
        <v>45676.0</v>
      </c>
      <c r="K1438" s="111"/>
      <c r="L1438" s="111"/>
      <c r="M1438" s="1452" t="s">
        <v>8130</v>
      </c>
      <c r="N1438" s="218" t="s">
        <v>8131</v>
      </c>
      <c r="O1438" s="147">
        <v>1.0</v>
      </c>
      <c r="P1438" s="1583" t="str">
        <f t="shared" ref="P1438:P1439" si="101"> SUBSTITUTE(lower(N1438), "/", "--") &amp;  ".pdf"</f>
        <v>10.1037--0022-3514.45.4.805.pdf</v>
      </c>
      <c r="Q1438" s="52" t="str">
        <f t="array" ref="Q1438"> if(iserror(MATCH(V1438, 'File Links'!C:C, 0)), "N/A", HYPERLINK(INDEX('File Links'!B:B, MATCH(P1438, 'File Links'!C:C, 0))))</f>
        <v>https://drive.google.com/file/d/1VbP_Ewf88OEuvCt9ZwvGSNNhhGDSj19O/view?usp=drivesdk</v>
      </c>
      <c r="R1438" s="218" t="s">
        <v>8067</v>
      </c>
      <c r="S1438" s="218" t="s">
        <v>8068</v>
      </c>
      <c r="T1438" s="1121" t="s">
        <v>8069</v>
      </c>
      <c r="U1438" s="218" t="s">
        <v>8132</v>
      </c>
      <c r="V1438" s="198" t="str">
        <f t="shared" si="99"/>
        <v>10.1016--j.jesp.2015.10.012.pdf</v>
      </c>
      <c r="W1438" s="218" t="s">
        <v>7500</v>
      </c>
      <c r="X1438" s="54" t="str">
        <f t="array" ref="X1438"> if(iserror(MATCH(V1438, 'File Links'!C:C, 0)), "N/A", HYPERLINK(INDEX('File Links'!B:B, MATCH(V1438, 'File Links'!C:C, 0))))</f>
        <v>https://drive.google.com/file/d/1xuc-fvipcLZQMaybgsFtBL29-3ClXZFF/view?usp=drivesdk</v>
      </c>
      <c r="Z1438" s="218" t="s">
        <v>226</v>
      </c>
      <c r="AA1438" s="218" t="s">
        <v>8133</v>
      </c>
      <c r="AB1438" s="218" t="s">
        <v>8134</v>
      </c>
      <c r="AC1438" s="218" t="s">
        <v>8135</v>
      </c>
      <c r="AD1438" s="1456" t="s">
        <v>8136</v>
      </c>
      <c r="AE1438" s="537">
        <v>809.0</v>
      </c>
      <c r="AF1438" s="1425">
        <v>114.0</v>
      </c>
      <c r="AG1438" s="224" t="s">
        <v>8137</v>
      </c>
      <c r="AH1438" s="216" t="s">
        <v>134</v>
      </c>
      <c r="AI1438" s="216">
        <v>809.0</v>
      </c>
      <c r="AJ1438" s="1584">
        <v>0.001</v>
      </c>
      <c r="AK1438" s="210" t="s">
        <v>135</v>
      </c>
      <c r="AL1438" s="216" t="s">
        <v>186</v>
      </c>
      <c r="AM1438" s="1427" t="s">
        <v>137</v>
      </c>
      <c r="AN1438" s="216" t="s">
        <v>138</v>
      </c>
      <c r="AO1438" s="1585">
        <v>2365.0</v>
      </c>
      <c r="AP1438" s="1585">
        <v>5.0E-5</v>
      </c>
      <c r="AQ1438" s="817" t="s">
        <v>874</v>
      </c>
      <c r="AR1438" s="335">
        <v>73.0</v>
      </c>
      <c r="AS1438" s="1585">
        <v>0.72</v>
      </c>
      <c r="AT1438" s="122" t="s">
        <v>172</v>
      </c>
      <c r="AU1438" s="216" t="s">
        <v>186</v>
      </c>
      <c r="AV1438" s="1427" t="s">
        <v>137</v>
      </c>
      <c r="AW1438" s="1586" t="s">
        <v>138</v>
      </c>
      <c r="AX1438" s="1427" t="s">
        <v>143</v>
      </c>
      <c r="AY1438" s="61" t="str">
        <f>IFERROR(__xludf.DUMMYFUNCTION("vlookup(BB1438,importrange(""https://docs.google.com/spreadsheets/d/1d2vevQ_7D_v35q4wCQ4RpQ_IPoTwEMB9Yp6ymwlPqew/edit?gid=984458430#gid=984458430"", ""'replication success'!A:K""), 11, FAlSE)"),"failed")</f>
        <v>failed</v>
      </c>
      <c r="AZ1438" s="61" t="str">
        <f>IFERROR(__xludf.DUMMYFUNCTION("vlookup(BB1438,importrange(""https://docs.google.com/spreadsheets/d/1d2vevQ_7D_v35q4wCQ4RpQ_IPoTwEMB9Yp6ymwlPqew/edit?gid=984458430#gid=984458430"", ""'replication success'!A:M""), 12, FAlSE)"),"Across the in-lab replication studies (N =
2,365),9 participants found stronger arguments to be more compelling
than weaker arguments, F(1, 2361) = 79.925, p b .001, ηp
2 = 0.033, 95% CI = [.020, .048].10 However, unlike the original study, the interac-
t"&amp;"ion term was not reliably different from zero, F(1, 2361) = 0.129, p = .720, ηp
2 = 5.46 e-5, 95% CI = [0, .002].11")</f>
        <v>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v>
      </c>
      <c r="BA1438" s="61" t="str">
        <f>IFERROR(__xludf.DUMMYFUNCTION("vlookup(BB1438,importrange(""https://docs.google.com/spreadsheets/d/1d2vevQ_7D_v35q4wCQ4RpQ_IPoTwEMB9Yp6ymwlPqew/edit?gid=984458430#gid=984458430"", ""'replication success'!A:M""), 13, FAlSE)"),"pg.9")</f>
        <v>pg.9</v>
      </c>
      <c r="BB1438" s="61" t="str">
        <f>IFERROR(__xludf.DUMMYFUNCTION("REGEXREPLACE(G1438, ""_[a-z]{1,2}$"", """")"),"curatescience558_1")</f>
        <v>curatescience558_1</v>
      </c>
      <c r="BC1438" s="149" t="s">
        <v>8138</v>
      </c>
      <c r="BD1438" s="149" t="s">
        <v>144</v>
      </c>
    </row>
    <row r="1439">
      <c r="A1439" s="44">
        <v>1439.0</v>
      </c>
      <c r="B1439" s="188" t="s">
        <v>114</v>
      </c>
      <c r="C1439" s="149" t="s">
        <v>115</v>
      </c>
      <c r="D1439" s="149" t="s">
        <v>1234</v>
      </c>
      <c r="E1439" s="71"/>
      <c r="F1439" s="122" t="s">
        <v>8129</v>
      </c>
      <c r="G1439" s="112" t="str">
        <f t="shared" si="100"/>
        <v>curatescience558_2</v>
      </c>
      <c r="H1439" s="122" t="s">
        <v>6955</v>
      </c>
      <c r="I1439" s="417">
        <v>45901.0</v>
      </c>
      <c r="J1439" s="417">
        <v>45901.0</v>
      </c>
      <c r="K1439" s="111"/>
      <c r="L1439" s="111"/>
      <c r="M1439" s="1452" t="s">
        <v>8130</v>
      </c>
      <c r="N1439" s="122" t="s">
        <v>8131</v>
      </c>
      <c r="O1439" s="537">
        <v>1.0</v>
      </c>
      <c r="P1439" s="536" t="str">
        <f t="shared" si="101"/>
        <v>10.1037--0022-3514.45.4.805.pdf</v>
      </c>
      <c r="Q1439" s="52" t="str">
        <f t="array" ref="Q1439"> if(iserror(MATCH(V1439, 'File Links'!C:C, 0)), "N/A", HYPERLINK(INDEX('File Links'!B:B, MATCH(P1439, 'File Links'!C:C, 0))))</f>
        <v>https://drive.google.com/file/d/1VbP_Ewf88OEuvCt9ZwvGSNNhhGDSj19O/view?usp=drivesdk</v>
      </c>
      <c r="R1439" s="218" t="s">
        <v>8067</v>
      </c>
      <c r="S1439" s="218" t="s">
        <v>8068</v>
      </c>
      <c r="T1439" s="1121" t="s">
        <v>8069</v>
      </c>
      <c r="U1439" s="111"/>
      <c r="V1439" s="198" t="str">
        <f t="shared" si="99"/>
        <v>10.1016--j.jesp.2015.10.012.pdf</v>
      </c>
      <c r="W1439" s="111"/>
      <c r="X1439" s="54" t="str">
        <f t="array" ref="X1439"> if(iserror(MATCH(V1439, 'File Links'!C:C, 0)), "N/A", HYPERLINK(INDEX('File Links'!B:B, MATCH(V1439, 'File Links'!C:C, 0))))</f>
        <v>https://drive.google.com/file/d/1xuc-fvipcLZQMaybgsFtBL29-3ClXZFF/view?usp=drivesdk</v>
      </c>
      <c r="Z1439" s="122" t="s">
        <v>226</v>
      </c>
      <c r="AA1439" s="111"/>
      <c r="AB1439" s="111"/>
      <c r="AC1439" s="111"/>
      <c r="AD1439" s="122" t="s">
        <v>8139</v>
      </c>
      <c r="AE1439" s="537">
        <v>809.0</v>
      </c>
      <c r="AF1439" s="1106">
        <v>115.0</v>
      </c>
      <c r="AG1439" s="537">
        <v>0.17</v>
      </c>
      <c r="AH1439" s="116" t="s">
        <v>874</v>
      </c>
      <c r="AI1439" s="111"/>
      <c r="AJ1439" s="366">
        <v>0.001</v>
      </c>
      <c r="AK1439" s="112" t="s">
        <v>135</v>
      </c>
      <c r="AL1439" s="112" t="s">
        <v>186</v>
      </c>
      <c r="AM1439" s="111" t="s">
        <v>141</v>
      </c>
      <c r="AN1439" s="114"/>
      <c r="AO1439" s="537">
        <v>2365.0</v>
      </c>
      <c r="AP1439" s="537">
        <v>5.0E-5</v>
      </c>
      <c r="AQ1439" s="116" t="s">
        <v>874</v>
      </c>
      <c r="AR1439" s="335">
        <v>73.0</v>
      </c>
      <c r="AS1439" s="537">
        <v>0.72</v>
      </c>
      <c r="AT1439" s="122" t="s">
        <v>172</v>
      </c>
      <c r="AU1439" s="111"/>
      <c r="AV1439" s="111" t="s">
        <v>137</v>
      </c>
      <c r="AW1439" s="111"/>
      <c r="AX1439" s="111" t="s">
        <v>143</v>
      </c>
      <c r="AY1439" s="61" t="str">
        <f>IFERROR(__xludf.DUMMYFUNCTION("vlookup(BB1439,importrange(""https://docs.google.com/spreadsheets/d/1d2vevQ_7D_v35q4wCQ4RpQ_IPoTwEMB9Yp6ymwlPqew/edit?gid=984458430#gid=984458430"", ""'replication success'!A:K""), 11, FAlSE)"),"#N/A")</f>
        <v>#N/A</v>
      </c>
      <c r="AZ1439" s="61" t="str">
        <f>IFERROR(__xludf.DUMMYFUNCTION("vlookup(BB1439,importrange(""https://docs.google.com/spreadsheets/d/1d2vevQ_7D_v35q4wCQ4RpQ_IPoTwEMB9Yp6ymwlPqew/edit?gid=984458430#gid=984458430"", ""'replication success'!A:M""), 12, FAlSE)"),"#N/A")</f>
        <v>#N/A</v>
      </c>
      <c r="BA1439" s="61" t="str">
        <f>IFERROR(__xludf.DUMMYFUNCTION("vlookup(BB1439,importrange(""https://docs.google.com/spreadsheets/d/1d2vevQ_7D_v35q4wCQ4RpQ_IPoTwEMB9Yp6ymwlPqew/edit?gid=984458430#gid=984458430"", ""'replication success'!A:M""), 13, FAlSE)"),"#N/A")</f>
        <v>#N/A</v>
      </c>
      <c r="BB1439" s="61" t="str">
        <f>IFERROR(__xludf.DUMMYFUNCTION("REGEXREPLACE(G1439, ""_[a-z]{1,2}$"", """")"),"curatescience558_2")</f>
        <v>curatescience558_2</v>
      </c>
      <c r="BC1439" s="71"/>
      <c r="BD1439" s="149" t="s">
        <v>144</v>
      </c>
    </row>
    <row r="1440">
      <c r="A1440" s="44">
        <v>1440.0</v>
      </c>
      <c r="B1440" s="62" t="s">
        <v>114</v>
      </c>
      <c r="C1440" s="62" t="s">
        <v>115</v>
      </c>
      <c r="D1440" s="62" t="s">
        <v>1458</v>
      </c>
      <c r="F1440" s="68" t="s">
        <v>8140</v>
      </c>
      <c r="G1440" s="57" t="s">
        <v>8141</v>
      </c>
      <c r="H1440" s="68"/>
      <c r="I1440" s="1287" t="s">
        <v>119</v>
      </c>
      <c r="J1440" s="540">
        <v>45761.0</v>
      </c>
      <c r="K1440" s="68"/>
      <c r="L1440" s="159" t="s">
        <v>7350</v>
      </c>
      <c r="M1440" s="159" t="s">
        <v>8142</v>
      </c>
      <c r="N1440" s="159" t="s">
        <v>6978</v>
      </c>
      <c r="O1440" s="156">
        <v>5.0</v>
      </c>
      <c r="P1440" s="1581" t="s">
        <v>7994</v>
      </c>
      <c r="Q1440" s="52" t="str">
        <f t="array" ref="Q1440"> if(iserror(MATCH(V1440, 'File Links'!C:C, 0)), "N/A", HYPERLINK(INDEX('File Links'!B:B, MATCH(P1440, 'File Links'!C:C, 0))))</f>
        <v>https://drive.google.com/file/d/16w-mzwoY4czOLW1CWtNqG_1fcM557vJf/view?usp=drivesdk</v>
      </c>
      <c r="R1440" s="159" t="s">
        <v>8143</v>
      </c>
      <c r="S1440" s="159" t="s">
        <v>7996</v>
      </c>
      <c r="T1440" s="68"/>
      <c r="U1440" s="68"/>
      <c r="V1440" s="382" t="s">
        <v>8114</v>
      </c>
      <c r="W1440" s="68"/>
      <c r="X1440" s="54" t="str">
        <f t="array" ref="X1440"> if(iserror(MATCH(V1440, 'File Links'!C:C, 0)), "N/A", HYPERLINK(INDEX('File Links'!B:B, MATCH(V1440, 'File Links'!C:C, 0))))</f>
        <v>https://drive.google.com/file/d/1RF-nEXDyW9UWyQIuqmtLdTtTuTs-52JT/view?usp=drivesdk</v>
      </c>
      <c r="Y1440" s="159" t="s">
        <v>7574</v>
      </c>
      <c r="Z1440" s="68"/>
      <c r="AA1440" s="68"/>
      <c r="AB1440" s="68"/>
      <c r="AC1440" s="68"/>
      <c r="AD1440" s="68"/>
      <c r="AE1440" s="68"/>
      <c r="AF1440" s="68"/>
      <c r="AG1440" s="68"/>
      <c r="AH1440" s="68"/>
      <c r="AI1440" s="68"/>
      <c r="AJ1440" s="338"/>
      <c r="AK1440" s="61"/>
      <c r="AL1440" s="61"/>
      <c r="AM1440" s="68"/>
      <c r="AN1440" s="61"/>
      <c r="AO1440" s="68"/>
      <c r="AP1440" s="68"/>
      <c r="AQ1440" s="68"/>
      <c r="AR1440" s="68"/>
      <c r="AS1440" s="68"/>
      <c r="AT1440" s="68"/>
      <c r="AU1440" s="68"/>
      <c r="AV1440" s="68"/>
      <c r="AW1440" s="371"/>
      <c r="AX1440" s="68"/>
      <c r="AY1440" s="61" t="str">
        <f>IFERROR(__xludf.DUMMYFUNCTION("vlookup(BB1440,importrange(""https://docs.google.com/spreadsheets/d/1d2vevQ_7D_v35q4wCQ4RpQ_IPoTwEMB9Yp6ymwlPqew/edit?gid=984458430#gid=984458430"", ""'replication success'!A:K""), 11, FAlSE)"),"mixed")</f>
        <v>mixed</v>
      </c>
      <c r="AZ1440" s="61" t="str">
        <f>IFERROR(__xludf.DUMMYFUNCTION("vlookup(BB1440,importrange(""https://docs.google.com/spreadsheets/d/1d2vevQ_7D_v35q4wCQ4RpQ_IPoTwEMB9Yp6ymwlPqew/edit?gid=984458430#gid=984458430"",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40" s="61" t="str">
        <f>IFERROR(__xludf.DUMMYFUNCTION("vlookup(BB1440,importrange(""https://docs.google.com/spreadsheets/d/1d2vevQ_7D_v35q4wCQ4RpQ_IPoTwEMB9Yp6ymwlPqew/edit?gid=984458430#gid=984458430"", ""'replication success'!A:M""), 13, FAlSE)"),"abstract")</f>
        <v>abstract</v>
      </c>
      <c r="BB1440" s="61" t="str">
        <f>IFERROR(__xludf.DUMMYFUNCTION("REGEXREPLACE(G1440, ""_[a-z]{1,2}$"", """")"),"curatescience56")</f>
        <v>curatescience56</v>
      </c>
      <c r="BD1440" s="62" t="s">
        <v>7943</v>
      </c>
      <c r="BE1440" s="189"/>
      <c r="BF1440" s="189"/>
    </row>
    <row r="1441">
      <c r="A1441" s="44">
        <v>1441.0</v>
      </c>
      <c r="B1441" s="341" t="s">
        <v>152</v>
      </c>
      <c r="C1441" s="341" t="s">
        <v>115</v>
      </c>
      <c r="D1441" s="341" t="s">
        <v>248</v>
      </c>
      <c r="E1441" s="342"/>
      <c r="F1441" s="46" t="s">
        <v>8140</v>
      </c>
      <c r="G1441" s="360" t="s">
        <v>8141</v>
      </c>
      <c r="H1441" s="360" t="s">
        <v>249</v>
      </c>
      <c r="I1441" s="344">
        <v>45782.0</v>
      </c>
      <c r="J1441" s="1587">
        <v>45761.0</v>
      </c>
      <c r="K1441" s="360" t="s">
        <v>8144</v>
      </c>
      <c r="L1441" s="343" t="s">
        <v>8145</v>
      </c>
      <c r="M1441" s="360" t="s">
        <v>8142</v>
      </c>
      <c r="N1441" s="360" t="s">
        <v>6978</v>
      </c>
      <c r="O1441" s="357">
        <v>5.0</v>
      </c>
      <c r="P1441" s="517" t="str">
        <f t="shared" ref="P1441:P1443" si="102">SUBSTITUTE(LOWER(N1441), "/", "--") &amp;  ".pdf"</f>
        <v>10.1126--science.1239918.pdf</v>
      </c>
      <c r="Q1441" s="52" t="str">
        <f t="array" ref="Q1441"> if(iserror(MATCH(V1441, 'File Links'!C:C, 0)), "N/A", HYPERLINK(INDEX('File Links'!B:B, MATCH(P1441, 'File Links'!C:C, 0))))</f>
        <v>https://drive.google.com/file/d/16w-mzwoY4czOLW1CWtNqG_1fcM557vJf/view?usp=drivesdk</v>
      </c>
      <c r="R1441" s="360" t="s">
        <v>8143</v>
      </c>
      <c r="S1441" s="360" t="s">
        <v>7996</v>
      </c>
      <c r="T1441" s="46"/>
      <c r="U1441" s="56">
        <v>3.0</v>
      </c>
      <c r="V1441" s="360" t="str">
        <f t="shared" ref="V1441:V1449" si="103"> hyperlink(vlookup(lower(S1441),#REF!, 2, FALSE), SUBSTITUTE(lower(S1441), "/", "--") &amp;  ".pdf")</f>
        <v>10.1037--pspa0000064.pdf</v>
      </c>
      <c r="W1441" s="360" t="s">
        <v>164</v>
      </c>
      <c r="X1441" s="54" t="str">
        <f t="array" ref="X1441"> if(iserror(MATCH(V1441, 'File Links'!C:C, 0)), "N/A", HYPERLINK(INDEX('File Links'!B:B, MATCH(V1441, 'File Links'!C:C, 0))))</f>
        <v>https://drive.google.com/file/d/1RF-nEXDyW9UWyQIuqmtLdTtTuTs-52JT/view?usp=drivesdk</v>
      </c>
      <c r="Y1441" s="46"/>
      <c r="Z1441" s="360" t="s">
        <v>226</v>
      </c>
      <c r="AA1441" s="343" t="s">
        <v>8117</v>
      </c>
      <c r="AB1441" s="360" t="s">
        <v>8146</v>
      </c>
      <c r="AC1441" s="360" t="s">
        <v>8055</v>
      </c>
      <c r="AD1441" s="360" t="s">
        <v>8147</v>
      </c>
      <c r="AE1441" s="360" t="s">
        <v>507</v>
      </c>
      <c r="AF1441" s="357">
        <v>356.0</v>
      </c>
      <c r="AG1441" s="357">
        <v>0.01</v>
      </c>
      <c r="AH1441" s="140" t="s">
        <v>8001</v>
      </c>
      <c r="AI1441" s="360" t="s">
        <v>8148</v>
      </c>
      <c r="AJ1441" s="357">
        <v>0.04</v>
      </c>
      <c r="AK1441" s="360" t="s">
        <v>172</v>
      </c>
      <c r="AL1441" s="360" t="s">
        <v>186</v>
      </c>
      <c r="AM1441" s="46" t="s">
        <v>137</v>
      </c>
      <c r="AN1441" s="330" t="s">
        <v>138</v>
      </c>
      <c r="AO1441" s="357">
        <v>370.0</v>
      </c>
      <c r="AP1441" s="357">
        <v>0.01</v>
      </c>
      <c r="AQ1441" s="360" t="s">
        <v>173</v>
      </c>
      <c r="AR1441" s="360" t="s">
        <v>8149</v>
      </c>
      <c r="AS1441" s="357">
        <v>0.775</v>
      </c>
      <c r="AT1441" s="360" t="s">
        <v>172</v>
      </c>
      <c r="AU1441" s="360" t="s">
        <v>186</v>
      </c>
      <c r="AV1441" s="46" t="s">
        <v>141</v>
      </c>
      <c r="AW1441" s="371" t="s">
        <v>138</v>
      </c>
      <c r="AX1441" s="46" t="s">
        <v>143</v>
      </c>
      <c r="AY1441" s="61" t="str">
        <f>IFERROR(__xludf.DUMMYFUNCTION("vlookup(BB1441,importrange(""https://docs.google.com/spreadsheets/d/1d2vevQ_7D_v35q4wCQ4RpQ_IPoTwEMB9Yp6ymwlPqew/edit?gid=984458430#gid=984458430"", ""'replication success'!A:K""), 11, FAlSE)"),"mixed")</f>
        <v>mixed</v>
      </c>
      <c r="AZ1441" s="61" t="str">
        <f>IFERROR(__xludf.DUMMYFUNCTION("vlookup(BB1441,importrange(""https://docs.google.com/spreadsheets/d/1d2vevQ_7D_v35q4wCQ4RpQ_IPoTwEMB9Yp6ymwlPqew/edit?gid=984458430#gid=984458430"",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41" s="61" t="str">
        <f>IFERROR(__xludf.DUMMYFUNCTION("vlookup(BB1441,importrange(""https://docs.google.com/spreadsheets/d/1d2vevQ_7D_v35q4wCQ4RpQ_IPoTwEMB9Yp6ymwlPqew/edit?gid=984458430#gid=984458430"", ""'replication success'!A:M""), 13, FAlSE)"),"abstract")</f>
        <v>abstract</v>
      </c>
      <c r="BB1441" s="61" t="str">
        <f>IFERROR(__xludf.DUMMYFUNCTION("REGEXREPLACE(G1441, ""_[a-z]{1,2}$"", """")"),"curatescience56")</f>
        <v>curatescience56</v>
      </c>
      <c r="BC1441" s="342"/>
      <c r="BD1441" s="341" t="s">
        <v>7943</v>
      </c>
      <c r="BE1441" s="189"/>
      <c r="BF1441" s="189"/>
    </row>
    <row r="1442">
      <c r="A1442" s="44">
        <v>1442.0</v>
      </c>
      <c r="B1442" s="341" t="s">
        <v>152</v>
      </c>
      <c r="C1442" s="341" t="s">
        <v>115</v>
      </c>
      <c r="D1442" s="341" t="s">
        <v>248</v>
      </c>
      <c r="E1442" s="342"/>
      <c r="F1442" s="46" t="s">
        <v>8140</v>
      </c>
      <c r="G1442" s="360" t="s">
        <v>8150</v>
      </c>
      <c r="H1442" s="360" t="s">
        <v>249</v>
      </c>
      <c r="I1442" s="344">
        <v>45783.0</v>
      </c>
      <c r="J1442" s="1587">
        <v>45761.0</v>
      </c>
      <c r="K1442" s="360" t="s">
        <v>8144</v>
      </c>
      <c r="L1442" s="343" t="s">
        <v>8151</v>
      </c>
      <c r="M1442" s="360" t="s">
        <v>8142</v>
      </c>
      <c r="N1442" s="360" t="s">
        <v>6978</v>
      </c>
      <c r="O1442" s="357">
        <v>5.0</v>
      </c>
      <c r="P1442" s="517" t="str">
        <f t="shared" si="102"/>
        <v>10.1126--science.1239918.pdf</v>
      </c>
      <c r="Q1442" s="52" t="str">
        <f t="array" ref="Q1442"> if(iserror(MATCH(V1442, 'File Links'!C:C, 0)), "N/A", HYPERLINK(INDEX('File Links'!B:B, MATCH(P1442, 'File Links'!C:C, 0))))</f>
        <v>https://drive.google.com/file/d/16w-mzwoY4czOLW1CWtNqG_1fcM557vJf/view?usp=drivesdk</v>
      </c>
      <c r="R1442" s="360" t="s">
        <v>8143</v>
      </c>
      <c r="S1442" s="360" t="s">
        <v>7996</v>
      </c>
      <c r="T1442" s="46"/>
      <c r="U1442" s="56">
        <v>3.0</v>
      </c>
      <c r="V1442" s="360" t="str">
        <f t="shared" si="103"/>
        <v>10.1037--pspa0000064.pdf</v>
      </c>
      <c r="W1442" s="360" t="s">
        <v>164</v>
      </c>
      <c r="X1442" s="54" t="str">
        <f t="array" ref="X1442"> if(iserror(MATCH(V1442, 'File Links'!C:C, 0)), "N/A", HYPERLINK(INDEX('File Links'!B:B, MATCH(V1442, 'File Links'!C:C, 0))))</f>
        <v>https://drive.google.com/file/d/1RF-nEXDyW9UWyQIuqmtLdTtTuTs-52JT/view?usp=drivesdk</v>
      </c>
      <c r="Y1442" s="46"/>
      <c r="Z1442" s="360" t="s">
        <v>226</v>
      </c>
      <c r="AA1442" s="343" t="s">
        <v>8117</v>
      </c>
      <c r="AB1442" s="360" t="s">
        <v>8152</v>
      </c>
      <c r="AC1442" s="360" t="s">
        <v>8055</v>
      </c>
      <c r="AD1442" s="360" t="s">
        <v>8040</v>
      </c>
      <c r="AE1442" s="360" t="s">
        <v>507</v>
      </c>
      <c r="AF1442" s="357">
        <v>356.0</v>
      </c>
      <c r="AG1442" s="357">
        <v>0.07</v>
      </c>
      <c r="AH1442" s="140" t="s">
        <v>8001</v>
      </c>
      <c r="AI1442" s="360" t="s">
        <v>8153</v>
      </c>
      <c r="AJ1442" s="357">
        <v>0.001</v>
      </c>
      <c r="AK1442" s="360" t="s">
        <v>135</v>
      </c>
      <c r="AL1442" s="360" t="s">
        <v>186</v>
      </c>
      <c r="AM1442" s="46" t="s">
        <v>137</v>
      </c>
      <c r="AN1442" s="330" t="s">
        <v>138</v>
      </c>
      <c r="AO1442" s="357">
        <v>370.0</v>
      </c>
      <c r="AP1442" s="360" t="s">
        <v>8041</v>
      </c>
      <c r="AQ1442" s="360" t="s">
        <v>134</v>
      </c>
      <c r="AR1442" s="360" t="s">
        <v>8154</v>
      </c>
      <c r="AS1442" s="357">
        <v>0.001</v>
      </c>
      <c r="AT1442" s="360" t="s">
        <v>135</v>
      </c>
      <c r="AU1442" s="360" t="s">
        <v>186</v>
      </c>
      <c r="AV1442" s="46" t="s">
        <v>141</v>
      </c>
      <c r="AW1442" s="371" t="s">
        <v>138</v>
      </c>
      <c r="AX1442" s="46" t="s">
        <v>143</v>
      </c>
      <c r="AY1442" s="61" t="str">
        <f>IFERROR(__xludf.DUMMYFUNCTION("vlookup(BB1442,importrange(""https://docs.google.com/spreadsheets/d/1d2vevQ_7D_v35q4wCQ4RpQ_IPoTwEMB9Yp6ymwlPqew/edit?gid=984458430#gid=984458430"", ""'replication success'!A:K""), 11, FAlSE)"),"mixed")</f>
        <v>mixed</v>
      </c>
      <c r="AZ1442" s="61" t="str">
        <f>IFERROR(__xludf.DUMMYFUNCTION("vlookup(BB1442,importrange(""https://docs.google.com/spreadsheets/d/1d2vevQ_7D_v35q4wCQ4RpQ_IPoTwEMB9Yp6ymwlPqew/edit?gid=984458430#gid=984458430"",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42" s="61" t="str">
        <f>IFERROR(__xludf.DUMMYFUNCTION("vlookup(BB1442,importrange(""https://docs.google.com/spreadsheets/d/1d2vevQ_7D_v35q4wCQ4RpQ_IPoTwEMB9Yp6ymwlPqew/edit?gid=984458430#gid=984458430"", ""'replication success'!A:M""), 13, FAlSE)"),"abstract")</f>
        <v>abstract</v>
      </c>
      <c r="BB1442" s="61" t="str">
        <f>IFERROR(__xludf.DUMMYFUNCTION("REGEXREPLACE(G1442, ""_[a-z]{1,2}$"", """")"),"curatescience56")</f>
        <v>curatescience56</v>
      </c>
      <c r="BC1442" s="342"/>
      <c r="BD1442" s="341" t="s">
        <v>7943</v>
      </c>
      <c r="BE1442" s="189"/>
      <c r="BF1442" s="189"/>
    </row>
    <row r="1443">
      <c r="A1443" s="44">
        <v>1443.0</v>
      </c>
      <c r="B1443" s="341" t="s">
        <v>152</v>
      </c>
      <c r="C1443" s="341" t="s">
        <v>115</v>
      </c>
      <c r="D1443" s="341" t="s">
        <v>248</v>
      </c>
      <c r="E1443" s="342"/>
      <c r="F1443" s="46" t="s">
        <v>8140</v>
      </c>
      <c r="G1443" s="360" t="s">
        <v>8155</v>
      </c>
      <c r="H1443" s="360" t="s">
        <v>249</v>
      </c>
      <c r="I1443" s="344">
        <v>45783.0</v>
      </c>
      <c r="J1443" s="1587">
        <v>45761.0</v>
      </c>
      <c r="K1443" s="360" t="s">
        <v>8144</v>
      </c>
      <c r="L1443" s="343" t="s">
        <v>8156</v>
      </c>
      <c r="M1443" s="360" t="s">
        <v>8142</v>
      </c>
      <c r="N1443" s="360" t="s">
        <v>6978</v>
      </c>
      <c r="O1443" s="357">
        <v>5.0</v>
      </c>
      <c r="P1443" s="517" t="str">
        <f t="shared" si="102"/>
        <v>10.1126--science.1239918.pdf</v>
      </c>
      <c r="Q1443" s="52" t="str">
        <f t="array" ref="Q1443"> if(iserror(MATCH(V1443, 'File Links'!C:C, 0)), "N/A", HYPERLINK(INDEX('File Links'!B:B, MATCH(P1443, 'File Links'!C:C, 0))))</f>
        <v>https://drive.google.com/file/d/16w-mzwoY4czOLW1CWtNqG_1fcM557vJf/view?usp=drivesdk</v>
      </c>
      <c r="R1443" s="360" t="s">
        <v>8143</v>
      </c>
      <c r="S1443" s="360" t="s">
        <v>7996</v>
      </c>
      <c r="T1443" s="46"/>
      <c r="U1443" s="56">
        <v>3.0</v>
      </c>
      <c r="V1443" s="360" t="str">
        <f t="shared" si="103"/>
        <v>10.1037--pspa0000064.pdf</v>
      </c>
      <c r="W1443" s="360" t="s">
        <v>164</v>
      </c>
      <c r="X1443" s="54" t="str">
        <f t="array" ref="X1443"> if(iserror(MATCH(V1443, 'File Links'!C:C, 0)), "N/A", HYPERLINK(INDEX('File Links'!B:B, MATCH(V1443, 'File Links'!C:C, 0))))</f>
        <v>https://drive.google.com/file/d/1RF-nEXDyW9UWyQIuqmtLdTtTuTs-52JT/view?usp=drivesdk</v>
      </c>
      <c r="Y1443" s="46"/>
      <c r="Z1443" s="360" t="s">
        <v>226</v>
      </c>
      <c r="AA1443" s="343" t="s">
        <v>8117</v>
      </c>
      <c r="AB1443" s="360" t="s">
        <v>8157</v>
      </c>
      <c r="AC1443" s="360" t="s">
        <v>8055</v>
      </c>
      <c r="AD1443" s="360" t="s">
        <v>8010</v>
      </c>
      <c r="AE1443" s="360" t="s">
        <v>507</v>
      </c>
      <c r="AF1443" s="357">
        <v>356.0</v>
      </c>
      <c r="AG1443" s="357">
        <v>0.0</v>
      </c>
      <c r="AH1443" s="140" t="s">
        <v>8001</v>
      </c>
      <c r="AI1443" s="360" t="s">
        <v>8158</v>
      </c>
      <c r="AJ1443" s="357">
        <v>0.25</v>
      </c>
      <c r="AK1443" s="360" t="s">
        <v>172</v>
      </c>
      <c r="AL1443" s="360" t="s">
        <v>186</v>
      </c>
      <c r="AM1443" s="46" t="s">
        <v>141</v>
      </c>
      <c r="AN1443" s="330" t="s">
        <v>138</v>
      </c>
      <c r="AO1443" s="357">
        <v>370.0</v>
      </c>
      <c r="AP1443" s="360" t="s">
        <v>8044</v>
      </c>
      <c r="AQ1443" s="360" t="s">
        <v>134</v>
      </c>
      <c r="AR1443" s="360" t="s">
        <v>8159</v>
      </c>
      <c r="AS1443" s="357">
        <v>0.045</v>
      </c>
      <c r="AT1443" s="360" t="s">
        <v>172</v>
      </c>
      <c r="AU1443" s="360" t="s">
        <v>186</v>
      </c>
      <c r="AV1443" s="46" t="s">
        <v>141</v>
      </c>
      <c r="AW1443" s="371" t="s">
        <v>138</v>
      </c>
      <c r="AX1443" s="46" t="s">
        <v>143</v>
      </c>
      <c r="AY1443" s="61" t="str">
        <f>IFERROR(__xludf.DUMMYFUNCTION("vlookup(BB1443,importrange(""https://docs.google.com/spreadsheets/d/1d2vevQ_7D_v35q4wCQ4RpQ_IPoTwEMB9Yp6ymwlPqew/edit?gid=984458430#gid=984458430"", ""'replication success'!A:K""), 11, FAlSE)"),"mixed")</f>
        <v>mixed</v>
      </c>
      <c r="AZ1443" s="61" t="str">
        <f>IFERROR(__xludf.DUMMYFUNCTION("vlookup(BB1443,importrange(""https://docs.google.com/spreadsheets/d/1d2vevQ_7D_v35q4wCQ4RpQ_IPoTwEMB9Yp6ymwlPqew/edit?gid=984458430#gid=984458430"", ""'replication success'!A:M""), 12, FAlSE)"),"In contrast to Kidd
and Castano (2013), we found no significant advantage in RMET scores for literary fiction compared to any
of the other conditions. However, as in Kidd and Castano and previous research, the Author Recognition Test,
a measure of life"&amp;"time exposure to fiction, consistently predicted RMET scores across conditions.")</f>
        <v>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v>
      </c>
      <c r="BA1443" s="61" t="str">
        <f>IFERROR(__xludf.DUMMYFUNCTION("vlookup(BB1443,importrange(""https://docs.google.com/spreadsheets/d/1d2vevQ_7D_v35q4wCQ4RpQ_IPoTwEMB9Yp6ymwlPqew/edit?gid=984458430#gid=984458430"", ""'replication success'!A:M""), 13, FAlSE)"),"abstract")</f>
        <v>abstract</v>
      </c>
      <c r="BB1443" s="61" t="str">
        <f>IFERROR(__xludf.DUMMYFUNCTION("REGEXREPLACE(G1443, ""_[a-z]{1,2}$"", """")"),"curatescience56")</f>
        <v>curatescience56</v>
      </c>
      <c r="BC1443" s="342"/>
      <c r="BD1443" s="341" t="s">
        <v>7943</v>
      </c>
      <c r="BE1443" s="189"/>
      <c r="BF1443" s="189"/>
    </row>
    <row r="1444">
      <c r="A1444" s="44">
        <v>1444.0</v>
      </c>
      <c r="B1444" s="1588" t="s">
        <v>114</v>
      </c>
      <c r="C1444" s="1588" t="s">
        <v>115</v>
      </c>
      <c r="D1444" s="1588" t="s">
        <v>2630</v>
      </c>
      <c r="E1444" s="1572"/>
      <c r="F1444" s="1313" t="s">
        <v>8160</v>
      </c>
      <c r="G1444" s="1314" t="s">
        <v>8161</v>
      </c>
      <c r="H1444" s="1315" t="s">
        <v>7417</v>
      </c>
      <c r="I1444" s="1589">
        <v>45292.0</v>
      </c>
      <c r="J1444" s="1590">
        <v>45765.0</v>
      </c>
      <c r="K1444" s="1313"/>
      <c r="L1444" s="1591" t="s">
        <v>8162</v>
      </c>
      <c r="M1444" s="1591" t="s">
        <v>8163</v>
      </c>
      <c r="N1444" s="1592" t="s">
        <v>8164</v>
      </c>
      <c r="O1444" s="1318">
        <v>3.0</v>
      </c>
      <c r="P1444" s="1319" t="s">
        <v>8165</v>
      </c>
      <c r="Q1444" s="52" t="str">
        <f t="array" ref="Q1444"> if(iserror(MATCH(V1444, 'File Links'!C:C, 0)), "N/A", HYPERLINK(INDEX('File Links'!B:B, MATCH(P1444, 'File Links'!C:C, 0))))</f>
        <v>https://drive.google.com/file/d/1acuUVGe9a1FY0NzYPbpq8pAnbZKrjA2v/view?usp=drivesdk</v>
      </c>
      <c r="R1444" s="1315" t="s">
        <v>8166</v>
      </c>
      <c r="S1444" s="1592" t="s">
        <v>8167</v>
      </c>
      <c r="T1444" s="1313"/>
      <c r="U1444" s="1318">
        <v>1.0</v>
      </c>
      <c r="V1444" s="1315" t="str">
        <f t="shared" si="103"/>
        <v>10.1016--j.jesp.2015.08.005.pdf</v>
      </c>
      <c r="W1444" s="1593" t="s">
        <v>8168</v>
      </c>
      <c r="X1444" s="54" t="str">
        <f t="array" ref="X1444"> if(iserror(MATCH(V1444, 'File Links'!C:C, 0)), "N/A", HYPERLINK(INDEX('File Links'!B:B, MATCH(V1444, 'File Links'!C:C, 0))))</f>
        <v>https://drive.google.com/file/d/1-xurSGJuM3s6RBApJqwPJeMlgGlC3K_D/view?usp=drivesdk</v>
      </c>
      <c r="Y1444" s="1313"/>
      <c r="Z1444" s="1592" t="s">
        <v>226</v>
      </c>
      <c r="AA1444" s="1592" t="s">
        <v>8169</v>
      </c>
      <c r="AB1444" s="1592" t="s">
        <v>8170</v>
      </c>
      <c r="AC1444" s="1594" t="s">
        <v>8171</v>
      </c>
      <c r="AD1444" s="481" t="s">
        <v>8172</v>
      </c>
      <c r="AE1444" s="1595">
        <v>6.0</v>
      </c>
      <c r="AF1444" s="1596">
        <v>145.0</v>
      </c>
      <c r="AG1444" s="1596">
        <v>0.767</v>
      </c>
      <c r="AH1444" s="1597" t="s">
        <v>173</v>
      </c>
      <c r="AI1444" s="1598" t="s">
        <v>8173</v>
      </c>
      <c r="AJ1444" s="1599">
        <v>0.03</v>
      </c>
      <c r="AK1444" s="1592" t="s">
        <v>172</v>
      </c>
      <c r="AL1444" s="483" t="s">
        <v>186</v>
      </c>
      <c r="AM1444" s="1600" t="s">
        <v>137</v>
      </c>
      <c r="AN1444" s="371" t="s">
        <v>138</v>
      </c>
      <c r="AO1444" s="1595">
        <v>520.0</v>
      </c>
      <c r="AP1444" s="1596">
        <v>0.35</v>
      </c>
      <c r="AQ1444" s="1592" t="s">
        <v>173</v>
      </c>
      <c r="AR1444" s="1592" t="s">
        <v>8174</v>
      </c>
      <c r="AS1444" s="1596">
        <v>0.04</v>
      </c>
      <c r="AT1444" s="1592" t="s">
        <v>172</v>
      </c>
      <c r="AU1444" s="483" t="s">
        <v>186</v>
      </c>
      <c r="AV1444" s="1600" t="s">
        <v>137</v>
      </c>
      <c r="AW1444" s="1601" t="s">
        <v>8175</v>
      </c>
      <c r="AX1444" s="1602" t="s">
        <v>143</v>
      </c>
      <c r="AY1444" s="61" t="str">
        <f>IFERROR(__xludf.DUMMYFUNCTION("vlookup(BB1444,importrange(""https://docs.google.com/spreadsheets/d/1d2vevQ_7D_v35q4wCQ4RpQ_IPoTwEMB9Yp6ymwlPqew/edit?gid=984458430#gid=984458430"", ""'replication success'!A:K""), 11, FAlSE)"),"failed")</f>
        <v>failed</v>
      </c>
      <c r="AZ1444" s="61" t="str">
        <f>IFERROR(__xludf.DUMMYFUNCTION("vlookup(BB1444,importrange(""https://docs.google.com/spreadsheets/d/1d2vevQ_7D_v35q4wCQ4RpQ_IPoTwEMB9Yp6ymwlPqew/edit?gid=984458430#gid=984458430"", ""'replication success'!A:M""), 12, FAlSE)"),"These independent replication at-
tempts, as well as the analyses on the combined sample, failed to replicate the original pattern of findings.")</f>
        <v>These independent replication at-
tempts, as well as the analyses on the combined sample, failed to replicate the original pattern of findings.</v>
      </c>
      <c r="BA1444" s="61" t="str">
        <f>IFERROR(__xludf.DUMMYFUNCTION("vlookup(BB1444,importrange(""https://docs.google.com/spreadsheets/d/1d2vevQ_7D_v35q4wCQ4RpQ_IPoTwEMB9Yp6ymwlPqew/edit?gid=984458430#gid=984458430"", ""'replication success'!A:M""), 13, FAlSE)"),"abstract")</f>
        <v>abstract</v>
      </c>
      <c r="BB1444" s="61" t="str">
        <f>IFERROR(__xludf.DUMMYFUNCTION("REGEXREPLACE(G1444, ""_[a-z]{1,2}$"", """")"),"curatescience57")</f>
        <v>curatescience57</v>
      </c>
      <c r="BC1444" s="1572"/>
      <c r="BD1444" s="341" t="s">
        <v>7943</v>
      </c>
      <c r="BE1444" s="189"/>
      <c r="BF1444" s="189"/>
    </row>
    <row r="1445">
      <c r="A1445" s="44">
        <v>1445.0</v>
      </c>
      <c r="B1445" s="62" t="s">
        <v>152</v>
      </c>
      <c r="C1445" s="62" t="s">
        <v>115</v>
      </c>
      <c r="D1445" s="62" t="s">
        <v>1458</v>
      </c>
      <c r="F1445" s="1113" t="s">
        <v>8160</v>
      </c>
      <c r="G1445" s="1593" t="s">
        <v>8161</v>
      </c>
      <c r="H1445" s="1603" t="s">
        <v>1518</v>
      </c>
      <c r="I1445" s="1604" t="s">
        <v>119</v>
      </c>
      <c r="J1445" s="1590">
        <v>45765.0</v>
      </c>
      <c r="K1445" s="1603" t="s">
        <v>8176</v>
      </c>
      <c r="L1445" s="1605" t="s">
        <v>8177</v>
      </c>
      <c r="M1445" s="1606" t="s">
        <v>8178</v>
      </c>
      <c r="N1445" s="1603" t="s">
        <v>8164</v>
      </c>
      <c r="O1445" s="1092">
        <v>3.0</v>
      </c>
      <c r="P1445" s="1607" t="s">
        <v>8165</v>
      </c>
      <c r="Q1445" s="52" t="str">
        <f t="array" ref="Q1445"> if(iserror(MATCH(V1445, 'File Links'!C:C, 0)), "N/A", HYPERLINK(INDEX('File Links'!B:B, MATCH(P1445, 'File Links'!C:C, 0))))</f>
        <v>https://drive.google.com/file/d/1acuUVGe9a1FY0NzYPbpq8pAnbZKrjA2v/view?usp=drivesdk</v>
      </c>
      <c r="R1445" s="1603" t="s">
        <v>8179</v>
      </c>
      <c r="S1445" s="1603" t="s">
        <v>8167</v>
      </c>
      <c r="T1445" s="1113"/>
      <c r="U1445" s="1092">
        <v>1.0</v>
      </c>
      <c r="V1445" s="198" t="str">
        <f t="shared" si="103"/>
        <v>10.1016--j.jesp.2015.08.005.pdf</v>
      </c>
      <c r="W1445" s="1593" t="s">
        <v>8168</v>
      </c>
      <c r="X1445" s="54" t="str">
        <f t="array" ref="X1445"> if(iserror(MATCH(V1445, 'File Links'!C:C, 0)), "N/A", HYPERLINK(INDEX('File Links'!B:B, MATCH(V1445, 'File Links'!C:C, 0))))</f>
        <v>https://drive.google.com/file/d/1-xurSGJuM3s6RBApJqwPJeMlgGlC3K_D/view?usp=drivesdk</v>
      </c>
      <c r="Z1445" s="1603" t="s">
        <v>226</v>
      </c>
      <c r="AA1445" s="1603" t="s">
        <v>8180</v>
      </c>
      <c r="AB1445" s="1603" t="s">
        <v>8181</v>
      </c>
      <c r="AC1445" s="481" t="s">
        <v>8182</v>
      </c>
      <c r="AD1445" s="1603" t="s">
        <v>8172</v>
      </c>
      <c r="AE1445" s="1092">
        <v>6.0</v>
      </c>
      <c r="AF1445" s="1092">
        <v>145.0</v>
      </c>
      <c r="AG1445" s="1092">
        <v>0.033</v>
      </c>
      <c r="AH1445" s="1608" t="s">
        <v>874</v>
      </c>
      <c r="AI1445" s="1608" t="s">
        <v>1042</v>
      </c>
      <c r="AJ1445" s="1609">
        <v>0.03</v>
      </c>
      <c r="AK1445" s="1603" t="s">
        <v>172</v>
      </c>
      <c r="AL1445" s="1593" t="s">
        <v>186</v>
      </c>
      <c r="AM1445" s="1113" t="s">
        <v>137</v>
      </c>
      <c r="AN1445" s="371" t="s">
        <v>138</v>
      </c>
      <c r="AO1445" s="1092">
        <v>520.0</v>
      </c>
      <c r="AP1445" s="1092">
        <v>0.006</v>
      </c>
      <c r="AQ1445" s="1603" t="s">
        <v>139</v>
      </c>
      <c r="AR1445" s="1603" t="s">
        <v>8183</v>
      </c>
      <c r="AS1445" s="1092">
        <v>0.079</v>
      </c>
      <c r="AT1445" s="1603" t="s">
        <v>172</v>
      </c>
      <c r="AU1445" s="1603" t="s">
        <v>186</v>
      </c>
      <c r="AV1445" s="1113" t="s">
        <v>137</v>
      </c>
      <c r="AW1445" s="1610" t="s">
        <v>8184</v>
      </c>
      <c r="AX1445" s="1113" t="s">
        <v>143</v>
      </c>
      <c r="AY1445" s="61" t="str">
        <f>IFERROR(__xludf.DUMMYFUNCTION("vlookup(BB1445,importrange(""https://docs.google.com/spreadsheets/d/1d2vevQ_7D_v35q4wCQ4RpQ_IPoTwEMB9Yp6ymwlPqew/edit?gid=984458430#gid=984458430"", ""'replication success'!A:K""), 11, FAlSE)"),"failed")</f>
        <v>failed</v>
      </c>
      <c r="AZ1445" s="61" t="str">
        <f>IFERROR(__xludf.DUMMYFUNCTION("vlookup(BB1445,importrange(""https://docs.google.com/spreadsheets/d/1d2vevQ_7D_v35q4wCQ4RpQ_IPoTwEMB9Yp6ymwlPqew/edit?gid=984458430#gid=984458430"", ""'replication success'!A:M""), 12, FAlSE)"),"These independent replication at-
tempts, as well as the analyses on the combined sample, failed to replicate the original pattern of findings.")</f>
        <v>These independent replication at-
tempts, as well as the analyses on the combined sample, failed to replicate the original pattern of findings.</v>
      </c>
      <c r="BA1445" s="61" t="str">
        <f>IFERROR(__xludf.DUMMYFUNCTION("vlookup(BB1445,importrange(""https://docs.google.com/spreadsheets/d/1d2vevQ_7D_v35q4wCQ4RpQ_IPoTwEMB9Yp6ymwlPqew/edit?gid=984458430#gid=984458430"", ""'replication success'!A:M""), 13, FAlSE)"),"abstract")</f>
        <v>abstract</v>
      </c>
      <c r="BB1445" s="61" t="str">
        <f>IFERROR(__xludf.DUMMYFUNCTION("REGEXREPLACE(G1445, ""_[a-z]{1,2}$"", """")"),"curatescience57")</f>
        <v>curatescience57</v>
      </c>
      <c r="BC1445" s="1113"/>
      <c r="BD1445" s="341" t="s">
        <v>7943</v>
      </c>
      <c r="BE1445" s="189"/>
      <c r="BF1445" s="189"/>
    </row>
    <row r="1446">
      <c r="A1446" s="44">
        <v>1446.0</v>
      </c>
      <c r="B1446" s="62" t="s">
        <v>152</v>
      </c>
      <c r="C1446" s="62" t="s">
        <v>115</v>
      </c>
      <c r="D1446" s="62" t="s">
        <v>1458</v>
      </c>
      <c r="F1446" s="1113" t="s">
        <v>8160</v>
      </c>
      <c r="G1446" s="1593" t="s">
        <v>8185</v>
      </c>
      <c r="H1446" s="1603" t="s">
        <v>1518</v>
      </c>
      <c r="I1446" s="1611"/>
      <c r="J1446" s="1590">
        <v>45765.0</v>
      </c>
      <c r="K1446" s="1113"/>
      <c r="L1446" s="1605" t="s">
        <v>8177</v>
      </c>
      <c r="M1446" s="1606" t="s">
        <v>8178</v>
      </c>
      <c r="N1446" s="1603" t="s">
        <v>8164</v>
      </c>
      <c r="O1446" s="1092">
        <v>3.0</v>
      </c>
      <c r="P1446" s="1607" t="s">
        <v>8165</v>
      </c>
      <c r="Q1446" s="52" t="str">
        <f t="array" ref="Q1446"> if(iserror(MATCH(V1446, 'File Links'!C:C, 0)), "N/A", HYPERLINK(INDEX('File Links'!B:B, MATCH(P1446, 'File Links'!C:C, 0))))</f>
        <v>https://drive.google.com/file/d/1acuUVGe9a1FY0NzYPbpq8pAnbZKrjA2v/view?usp=drivesdk</v>
      </c>
      <c r="R1446" s="1603" t="s">
        <v>8179</v>
      </c>
      <c r="S1446" s="1603" t="s">
        <v>8167</v>
      </c>
      <c r="T1446" s="1113"/>
      <c r="U1446" s="1092">
        <v>1.0</v>
      </c>
      <c r="V1446" s="198" t="str">
        <f t="shared" si="103"/>
        <v>10.1016--j.jesp.2015.08.005.pdf</v>
      </c>
      <c r="W1446" s="1593" t="s">
        <v>8168</v>
      </c>
      <c r="X1446" s="54" t="str">
        <f t="array" ref="X1446"> if(iserror(MATCH(V1446, 'File Links'!C:C, 0)), "N/A", HYPERLINK(INDEX('File Links'!B:B, MATCH(V1446, 'File Links'!C:C, 0))))</f>
        <v>https://drive.google.com/file/d/1-xurSGJuM3s6RBApJqwPJeMlgGlC3K_D/view?usp=drivesdk</v>
      </c>
      <c r="Z1446" s="1603" t="s">
        <v>226</v>
      </c>
      <c r="AA1446" s="1603" t="s">
        <v>8186</v>
      </c>
      <c r="AB1446" s="1603" t="s">
        <v>8181</v>
      </c>
      <c r="AC1446" s="481" t="s">
        <v>8182</v>
      </c>
      <c r="AD1446" s="1603" t="s">
        <v>8187</v>
      </c>
      <c r="AE1446" s="1092">
        <v>6.0</v>
      </c>
      <c r="AF1446" s="1092">
        <v>145.0</v>
      </c>
      <c r="AG1446" s="1092">
        <v>0.048</v>
      </c>
      <c r="AH1446" s="1608" t="s">
        <v>874</v>
      </c>
      <c r="AI1446" s="1608" t="s">
        <v>1042</v>
      </c>
      <c r="AJ1446" s="1609">
        <v>0.008</v>
      </c>
      <c r="AK1446" s="1603" t="s">
        <v>172</v>
      </c>
      <c r="AL1446" s="1593" t="s">
        <v>186</v>
      </c>
      <c r="AM1446" s="1113" t="s">
        <v>137</v>
      </c>
      <c r="AN1446" s="371" t="s">
        <v>138</v>
      </c>
      <c r="AO1446" s="1092">
        <v>520.0</v>
      </c>
      <c r="AP1446" s="1092">
        <v>0.001</v>
      </c>
      <c r="AQ1446" s="1603" t="s">
        <v>139</v>
      </c>
      <c r="AR1446" s="1603" t="s">
        <v>8188</v>
      </c>
      <c r="AS1446" s="1092">
        <v>0.494</v>
      </c>
      <c r="AT1446" s="1603" t="s">
        <v>172</v>
      </c>
      <c r="AU1446" s="1603" t="s">
        <v>186</v>
      </c>
      <c r="AV1446" s="1113" t="s">
        <v>137</v>
      </c>
      <c r="AW1446" s="1610" t="s">
        <v>8184</v>
      </c>
      <c r="AX1446" s="1113" t="s">
        <v>143</v>
      </c>
      <c r="AY1446" s="61" t="str">
        <f>IFERROR(__xludf.DUMMYFUNCTION("vlookup(BB1446,importrange(""https://docs.google.com/spreadsheets/d/1d2vevQ_7D_v35q4wCQ4RpQ_IPoTwEMB9Yp6ymwlPqew/edit?gid=984458430#gid=984458430"", ""'replication success'!A:K""), 11, FAlSE)"),"failed")</f>
        <v>failed</v>
      </c>
      <c r="AZ1446" s="61" t="str">
        <f>IFERROR(__xludf.DUMMYFUNCTION("vlookup(BB1446,importrange(""https://docs.google.com/spreadsheets/d/1d2vevQ_7D_v35q4wCQ4RpQ_IPoTwEMB9Yp6ymwlPqew/edit?gid=984458430#gid=984458430"", ""'replication success'!A:M""), 12, FAlSE)"),"These independent replication at-
tempts, as well as the analyses on the combined sample, failed to replicate the original pattern of findings.")</f>
        <v>These independent replication at-
tempts, as well as the analyses on the combined sample, failed to replicate the original pattern of findings.</v>
      </c>
      <c r="BA1446" s="61" t="str">
        <f>IFERROR(__xludf.DUMMYFUNCTION("vlookup(BB1446,importrange(""https://docs.google.com/spreadsheets/d/1d2vevQ_7D_v35q4wCQ4RpQ_IPoTwEMB9Yp6ymwlPqew/edit?gid=984458430#gid=984458430"", ""'replication success'!A:M""), 13, FAlSE)"),"abstract")</f>
        <v>abstract</v>
      </c>
      <c r="BB1446" s="61" t="str">
        <f>IFERROR(__xludf.DUMMYFUNCTION("REGEXREPLACE(G1446, ""_[a-z]{1,2}$"", """")"),"curatescience57")</f>
        <v>curatescience57</v>
      </c>
      <c r="BC1446" s="1113"/>
      <c r="BD1446" s="341" t="s">
        <v>7943</v>
      </c>
      <c r="BE1446" s="189"/>
      <c r="BF1446" s="189"/>
    </row>
    <row r="1447">
      <c r="A1447" s="44">
        <v>1447.0</v>
      </c>
      <c r="B1447" s="188" t="s">
        <v>590</v>
      </c>
      <c r="C1447" s="168" t="s">
        <v>115</v>
      </c>
      <c r="D1447" s="168" t="s">
        <v>2630</v>
      </c>
      <c r="E1447" s="164"/>
      <c r="F1447" s="1165" t="s">
        <v>8189</v>
      </c>
      <c r="G1447" s="1612" t="str">
        <f t="shared" ref="G1447:G1448" si="104">F1447&amp;"_"&amp;COUNTIF($B$3:F1447, F1447)</f>
        <v>curatescience578_1</v>
      </c>
      <c r="H1447" s="1165" t="s">
        <v>7492</v>
      </c>
      <c r="I1447" s="1613">
        <v>45675.0</v>
      </c>
      <c r="J1447" s="1613">
        <v>45676.0</v>
      </c>
      <c r="K1447" s="180"/>
      <c r="L1447" s="180"/>
      <c r="M1447" s="1614" t="s">
        <v>8190</v>
      </c>
      <c r="N1447" s="1165" t="s">
        <v>8191</v>
      </c>
      <c r="O1447" s="175">
        <v>2.0</v>
      </c>
      <c r="P1447" s="1615" t="str">
        <f t="shared" ref="P1447:P1448" si="105"> SUBSTITUTE(lower(N1447), "/", "--") &amp;  ".pdf"</f>
        <v>10.1037--0022-3514.82.5.792.pdf</v>
      </c>
      <c r="Q1447" s="52" t="str">
        <f t="array" ref="Q1447"> if(iserror(MATCH(V1447, 'File Links'!C:C, 0)), "N/A", HYPERLINK(INDEX('File Links'!B:B, MATCH(P1447, 'File Links'!C:C, 0))))</f>
        <v>https://drive.google.com/file/d/1yhJ17uggr6j5uXr73Jms5KP35M6RDUxL/view?usp=drivesdk</v>
      </c>
      <c r="R1447" s="1165" t="s">
        <v>8067</v>
      </c>
      <c r="S1447" s="1165" t="s">
        <v>8068</v>
      </c>
      <c r="T1447" s="1616" t="s">
        <v>8069</v>
      </c>
      <c r="U1447" s="1165" t="s">
        <v>8192</v>
      </c>
      <c r="V1447" s="198" t="str">
        <f t="shared" si="103"/>
        <v>10.1016--j.jesp.2015.10.012.pdf</v>
      </c>
      <c r="W1447" s="1165" t="s">
        <v>7500</v>
      </c>
      <c r="X1447" s="54" t="str">
        <f t="array" ref="X1447"> if(iserror(MATCH(V1447, 'File Links'!C:C, 0)), "N/A", HYPERLINK(INDEX('File Links'!B:B, MATCH(V1447, 'File Links'!C:C, 0))))</f>
        <v>https://drive.google.com/file/d/1xuc-fvipcLZQMaybgsFtBL29-3ClXZFF/view?usp=drivesdk</v>
      </c>
      <c r="Y1447" s="180"/>
      <c r="Z1447" s="1165" t="s">
        <v>226</v>
      </c>
      <c r="AA1447" s="1165" t="s">
        <v>8193</v>
      </c>
      <c r="AB1447" s="1165" t="s">
        <v>8194</v>
      </c>
      <c r="AC1447" s="1165" t="s">
        <v>8195</v>
      </c>
      <c r="AD1447" s="1165" t="s">
        <v>8196</v>
      </c>
      <c r="AE1447" s="1165" t="s">
        <v>8197</v>
      </c>
      <c r="AF1447" s="1617">
        <v>357.0</v>
      </c>
      <c r="AG1447" s="1617">
        <v>0.45</v>
      </c>
      <c r="AH1447" s="1618" t="s">
        <v>173</v>
      </c>
      <c r="AI1447" s="1165" t="s">
        <v>8198</v>
      </c>
      <c r="AJ1447" s="1619">
        <v>0.001</v>
      </c>
      <c r="AK1447" s="1612" t="s">
        <v>172</v>
      </c>
      <c r="AL1447" s="1612" t="s">
        <v>136</v>
      </c>
      <c r="AM1447" s="1620" t="s">
        <v>137</v>
      </c>
      <c r="AN1447" s="1612" t="s">
        <v>7508</v>
      </c>
      <c r="AO1447" s="1621">
        <v>1200.0</v>
      </c>
      <c r="AP1447" s="1617">
        <v>0.15</v>
      </c>
      <c r="AQ1447" s="1165" t="s">
        <v>173</v>
      </c>
      <c r="AR1447" s="1165" t="s">
        <v>8199</v>
      </c>
      <c r="AS1447" s="1617">
        <v>0.02</v>
      </c>
      <c r="AT1447" s="1165" t="s">
        <v>135</v>
      </c>
      <c r="AU1447" s="1165" t="s">
        <v>136</v>
      </c>
      <c r="AV1447" s="1620" t="s">
        <v>137</v>
      </c>
      <c r="AW1447" s="1620" t="s">
        <v>7508</v>
      </c>
      <c r="AX1447" s="1620" t="s">
        <v>143</v>
      </c>
      <c r="AY1447" s="61" t="str">
        <f>IFERROR(__xludf.DUMMYFUNCTION("vlookup(BB1447,importrange(""https://docs.google.com/spreadsheets/d/1d2vevQ_7D_v35q4wCQ4RpQ_IPoTwEMB9Yp6ymwlPqew/edit?gid=984458430#gid=984458430"", ""'replication success'!A:K""), 11, FAlSE)"),"#N/A")</f>
        <v>#N/A</v>
      </c>
      <c r="AZ1447" s="61" t="str">
        <f>IFERROR(__xludf.DUMMYFUNCTION("vlookup(BB1447,importrange(""https://docs.google.com/spreadsheets/d/1d2vevQ_7D_v35q4wCQ4RpQ_IPoTwEMB9Yp6ymwlPqew/edit?gid=984458430#gid=984458430"", ""'replication success'!A:M""), 12, FAlSE)"),"#N/A")</f>
        <v>#N/A</v>
      </c>
      <c r="BA1447" s="61" t="str">
        <f>IFERROR(__xludf.DUMMYFUNCTION("vlookup(BB1447,importrange(""https://docs.google.com/spreadsheets/d/1d2vevQ_7D_v35q4wCQ4RpQ_IPoTwEMB9Yp6ymwlPqew/edit?gid=984458430#gid=984458430"", ""'replication success'!A:M""), 13, FAlSE)"),"#N/A")</f>
        <v>#N/A</v>
      </c>
      <c r="BB1447" s="61" t="str">
        <f>IFERROR(__xludf.DUMMYFUNCTION("REGEXREPLACE(G1447, ""_[a-z]{1,2}$"", """")"),"curatescience578_1")</f>
        <v>curatescience578_1</v>
      </c>
      <c r="BC1447" s="164"/>
      <c r="BD1447" s="164"/>
    </row>
    <row r="1448">
      <c r="A1448" s="44">
        <v>1448.0</v>
      </c>
      <c r="B1448" s="188" t="s">
        <v>590</v>
      </c>
      <c r="C1448" s="168" t="s">
        <v>115</v>
      </c>
      <c r="D1448" s="168" t="s">
        <v>1234</v>
      </c>
      <c r="E1448" s="164"/>
      <c r="F1448" s="732" t="s">
        <v>8189</v>
      </c>
      <c r="G1448" s="186" t="str">
        <f t="shared" si="104"/>
        <v>curatescience578_2</v>
      </c>
      <c r="H1448" s="732" t="s">
        <v>6955</v>
      </c>
      <c r="I1448" s="733">
        <v>45901.0</v>
      </c>
      <c r="J1448" s="733">
        <v>45901.0</v>
      </c>
      <c r="K1448" s="180"/>
      <c r="L1448" s="180"/>
      <c r="M1448" s="1614" t="s">
        <v>8190</v>
      </c>
      <c r="N1448" s="732" t="s">
        <v>8191</v>
      </c>
      <c r="O1448" s="183">
        <v>2.0</v>
      </c>
      <c r="P1448" s="954" t="str">
        <f t="shared" si="105"/>
        <v>10.1037--0022-3514.82.5.792.pdf</v>
      </c>
      <c r="Q1448" s="52" t="str">
        <f t="array" ref="Q1448"> if(iserror(MATCH(V1448, 'File Links'!C:C, 0)), "N/A", HYPERLINK(INDEX('File Links'!B:B, MATCH(P1448, 'File Links'!C:C, 0))))</f>
        <v>https://drive.google.com/file/d/1yhJ17uggr6j5uXr73Jms5KP35M6RDUxL/view?usp=drivesdk</v>
      </c>
      <c r="R1448" s="1165" t="s">
        <v>8067</v>
      </c>
      <c r="S1448" s="1165" t="s">
        <v>8068</v>
      </c>
      <c r="T1448" s="1616" t="s">
        <v>8069</v>
      </c>
      <c r="U1448" s="180"/>
      <c r="V1448" s="198" t="str">
        <f t="shared" si="103"/>
        <v>10.1016--j.jesp.2015.10.012.pdf</v>
      </c>
      <c r="W1448" s="180"/>
      <c r="X1448" s="54" t="str">
        <f t="array" ref="X1448"> if(iserror(MATCH(V1448, 'File Links'!C:C, 0)), "N/A", HYPERLINK(INDEX('File Links'!B:B, MATCH(V1448, 'File Links'!C:C, 0))))</f>
        <v>https://drive.google.com/file/d/1xuc-fvipcLZQMaybgsFtBL29-3ClXZFF/view?usp=drivesdk</v>
      </c>
      <c r="Y1448" s="180"/>
      <c r="Z1448" s="732" t="s">
        <v>226</v>
      </c>
      <c r="AA1448" s="180"/>
      <c r="AB1448" s="180"/>
      <c r="AC1448" s="180"/>
      <c r="AD1448" s="732" t="s">
        <v>8200</v>
      </c>
      <c r="AE1448" s="183">
        <v>796.0</v>
      </c>
      <c r="AF1448" s="183">
        <v>357.0</v>
      </c>
      <c r="AG1448" s="183">
        <v>0.21</v>
      </c>
      <c r="AH1448" s="732" t="s">
        <v>173</v>
      </c>
      <c r="AI1448" s="180"/>
      <c r="AJ1448" s="833">
        <v>0.001</v>
      </c>
      <c r="AK1448" s="186" t="s">
        <v>135</v>
      </c>
      <c r="AL1448" s="737"/>
      <c r="AM1448" s="180" t="s">
        <v>137</v>
      </c>
      <c r="AN1448" s="737"/>
      <c r="AO1448" s="183">
        <v>3136.0</v>
      </c>
      <c r="AP1448" s="183">
        <v>0.001</v>
      </c>
      <c r="AQ1448" s="167" t="s">
        <v>874</v>
      </c>
      <c r="AR1448" s="180"/>
      <c r="AS1448" s="183">
        <v>0.16</v>
      </c>
      <c r="AT1448" s="732" t="s">
        <v>172</v>
      </c>
      <c r="AU1448" s="180"/>
      <c r="AV1448" s="180"/>
      <c r="AW1448" s="180"/>
      <c r="AX1448" s="180" t="s">
        <v>143</v>
      </c>
      <c r="AY1448" s="61" t="str">
        <f>IFERROR(__xludf.DUMMYFUNCTION("vlookup(BB1448,importrange(""https://docs.google.com/spreadsheets/d/1d2vevQ_7D_v35q4wCQ4RpQ_IPoTwEMB9Yp6ymwlPqew/edit?gid=984458430#gid=984458430"", ""'replication success'!A:K""), 11, FAlSE)"),"#N/A")</f>
        <v>#N/A</v>
      </c>
      <c r="AZ1448" s="61" t="str">
        <f>IFERROR(__xludf.DUMMYFUNCTION("vlookup(BB1448,importrange(""https://docs.google.com/spreadsheets/d/1d2vevQ_7D_v35q4wCQ4RpQ_IPoTwEMB9Yp6ymwlPqew/edit?gid=984458430#gid=984458430"", ""'replication success'!A:M""), 12, FAlSE)"),"#N/A")</f>
        <v>#N/A</v>
      </c>
      <c r="BA1448" s="61" t="str">
        <f>IFERROR(__xludf.DUMMYFUNCTION("vlookup(BB1448,importrange(""https://docs.google.com/spreadsheets/d/1d2vevQ_7D_v35q4wCQ4RpQ_IPoTwEMB9Yp6ymwlPqew/edit?gid=984458430#gid=984458430"", ""'replication success'!A:M""), 13, FAlSE)"),"#N/A")</f>
        <v>#N/A</v>
      </c>
      <c r="BB1448" s="61" t="str">
        <f>IFERROR(__xludf.DUMMYFUNCTION("REGEXREPLACE(G1448, ""_[a-z]{1,2}$"", """")"),"curatescience578_2")</f>
        <v>curatescience578_2</v>
      </c>
      <c r="BC1448" s="164"/>
      <c r="BD1448" s="164"/>
    </row>
    <row r="1449">
      <c r="A1449" s="44">
        <v>1449.0</v>
      </c>
      <c r="B1449" s="62" t="s">
        <v>114</v>
      </c>
      <c r="C1449" s="62" t="s">
        <v>115</v>
      </c>
      <c r="D1449" s="62" t="s">
        <v>2630</v>
      </c>
      <c r="F1449" s="68" t="s">
        <v>8201</v>
      </c>
      <c r="G1449" s="57" t="s">
        <v>8202</v>
      </c>
      <c r="H1449" s="159" t="s">
        <v>7417</v>
      </c>
      <c r="I1449" s="1550">
        <v>45292.0</v>
      </c>
      <c r="J1449" s="1622">
        <v>45765.0</v>
      </c>
      <c r="K1449" s="68"/>
      <c r="L1449" s="151" t="s">
        <v>8203</v>
      </c>
      <c r="M1449" s="151" t="s">
        <v>8163</v>
      </c>
      <c r="N1449" s="437" t="s">
        <v>8164</v>
      </c>
      <c r="O1449" s="156">
        <v>3.0</v>
      </c>
      <c r="P1449" s="1581" t="s">
        <v>8165</v>
      </c>
      <c r="Q1449" s="52" t="str">
        <f t="array" ref="Q1449"> if(iserror(MATCH(V1449, 'File Links'!C:C, 0)), "N/A", HYPERLINK(INDEX('File Links'!B:B, MATCH(P1449, 'File Links'!C:C, 0))))</f>
        <v>https://drive.google.com/file/d/1acuUVGe9a1FY0NzYPbpq8pAnbZKrjA2v/view?usp=drivesdk</v>
      </c>
      <c r="R1449" s="159" t="s">
        <v>8204</v>
      </c>
      <c r="S1449" s="437" t="s">
        <v>8167</v>
      </c>
      <c r="T1449" s="68"/>
      <c r="U1449" s="156">
        <v>3.0</v>
      </c>
      <c r="V1449" s="198" t="str">
        <f t="shared" si="103"/>
        <v>10.1016--j.jesp.2015.08.005.pdf</v>
      </c>
      <c r="W1449" s="437" t="s">
        <v>164</v>
      </c>
      <c r="X1449" s="54" t="str">
        <f t="array" ref="X1449"> if(iserror(MATCH(V1449, 'File Links'!C:C, 0)), "N/A", HYPERLINK(INDEX('File Links'!B:B, MATCH(V1449, 'File Links'!C:C, 0))))</f>
        <v>https://drive.google.com/file/d/1-xurSGJuM3s6RBApJqwPJeMlgGlC3K_D/view?usp=drivesdk</v>
      </c>
      <c r="Y1449" s="481" t="s">
        <v>7574</v>
      </c>
      <c r="Z1449" s="437" t="s">
        <v>226</v>
      </c>
      <c r="AA1449" s="437" t="s">
        <v>8169</v>
      </c>
      <c r="AB1449" s="437" t="s">
        <v>8170</v>
      </c>
      <c r="AC1449" s="437" t="s">
        <v>8171</v>
      </c>
      <c r="AD1449" s="437" t="s">
        <v>8205</v>
      </c>
      <c r="AE1449" s="828">
        <v>470.0</v>
      </c>
      <c r="AF1449" s="828">
        <v>145.0</v>
      </c>
      <c r="AG1449" s="828">
        <v>0.767</v>
      </c>
      <c r="AH1449" s="829" t="s">
        <v>173</v>
      </c>
      <c r="AI1449" s="830" t="s">
        <v>8173</v>
      </c>
      <c r="AJ1449" s="831">
        <v>0.03</v>
      </c>
      <c r="AK1449" s="437" t="s">
        <v>172</v>
      </c>
      <c r="AL1449" s="376" t="s">
        <v>136</v>
      </c>
      <c r="AM1449" s="832" t="s">
        <v>137</v>
      </c>
      <c r="AN1449" s="68"/>
      <c r="AO1449" s="828">
        <v>254.0</v>
      </c>
      <c r="AP1449" s="828">
        <v>0.15</v>
      </c>
      <c r="AQ1449" s="437" t="s">
        <v>173</v>
      </c>
      <c r="AR1449" s="437" t="s">
        <v>8206</v>
      </c>
      <c r="AS1449" s="828">
        <v>0.15</v>
      </c>
      <c r="AT1449" s="437" t="s">
        <v>172</v>
      </c>
      <c r="AU1449" s="437" t="s">
        <v>136</v>
      </c>
      <c r="AV1449" s="832" t="s">
        <v>137</v>
      </c>
      <c r="AW1449" s="1554" t="s">
        <v>8175</v>
      </c>
      <c r="AX1449" s="1623" t="s">
        <v>143</v>
      </c>
      <c r="AY1449" s="61" t="str">
        <f>IFERROR(__xludf.DUMMYFUNCTION("vlookup(BB1449,importrange(""https://docs.google.com/spreadsheets/d/1d2vevQ_7D_v35q4wCQ4RpQ_IPoTwEMB9Yp6ymwlPqew/edit?gid=984458430#gid=984458430"", ""'replication success'!A:K""), 11, FAlSE)"),"#N/A")</f>
        <v>#N/A</v>
      </c>
      <c r="AZ1449" s="61" t="str">
        <f>IFERROR(__xludf.DUMMYFUNCTION("vlookup(BB1449,importrange(""https://docs.google.com/spreadsheets/d/1d2vevQ_7D_v35q4wCQ4RpQ_IPoTwEMB9Yp6ymwlPqew/edit?gid=984458430#gid=984458430"", ""'replication success'!A:M""), 12, FAlSE)"),"#N/A")</f>
        <v>#N/A</v>
      </c>
      <c r="BA1449" s="61" t="str">
        <f>IFERROR(__xludf.DUMMYFUNCTION("vlookup(BB1449,importrange(""https://docs.google.com/spreadsheets/d/1d2vevQ_7D_v35q4wCQ4RpQ_IPoTwEMB9Yp6ymwlPqew/edit?gid=984458430#gid=984458430"", ""'replication success'!A:M""), 13, FAlSE)"),"#N/A")</f>
        <v>#N/A</v>
      </c>
      <c r="BB1449" s="61" t="str">
        <f>IFERROR(__xludf.DUMMYFUNCTION("REGEXREPLACE(G1449, ""_[a-z]{1,2}$"", """")"),"curatescience58")</f>
        <v>curatescience58</v>
      </c>
      <c r="BD1449" s="341" t="s">
        <v>7943</v>
      </c>
    </row>
    <row r="1450">
      <c r="A1450" s="44">
        <v>1450.0</v>
      </c>
      <c r="B1450" s="62" t="s">
        <v>114</v>
      </c>
      <c r="C1450" s="62" t="s">
        <v>115</v>
      </c>
      <c r="D1450" s="62" t="s">
        <v>1458</v>
      </c>
      <c r="F1450" s="68" t="s">
        <v>8201</v>
      </c>
      <c r="G1450" s="57" t="s">
        <v>8202</v>
      </c>
      <c r="H1450" s="68"/>
      <c r="I1450" s="1624" t="s">
        <v>119</v>
      </c>
      <c r="J1450" s="1622">
        <v>45765.0</v>
      </c>
      <c r="K1450" s="68"/>
      <c r="L1450" s="151" t="s">
        <v>8207</v>
      </c>
      <c r="M1450" s="339" t="s">
        <v>8208</v>
      </c>
      <c r="N1450" s="159" t="s">
        <v>8164</v>
      </c>
      <c r="O1450" s="156">
        <v>3.0</v>
      </c>
      <c r="P1450" s="1581" t="s">
        <v>8165</v>
      </c>
      <c r="Q1450" s="52" t="str">
        <f t="array" ref="Q1450"> if(iserror(MATCH(V1450, 'File Links'!C:C, 0)), "N/A", HYPERLINK(INDEX('File Links'!B:B, MATCH(P1450, 'File Links'!C:C, 0))))</f>
        <v>https://drive.google.com/file/d/1acuUVGe9a1FY0NzYPbpq8pAnbZKrjA2v/view?usp=drivesdk</v>
      </c>
      <c r="R1450" s="159" t="s">
        <v>8204</v>
      </c>
      <c r="S1450" s="159" t="s">
        <v>8167</v>
      </c>
      <c r="T1450" s="68"/>
      <c r="U1450" s="156">
        <v>3.0</v>
      </c>
      <c r="V1450" s="382" t="s">
        <v>8209</v>
      </c>
      <c r="X1450" s="54" t="str">
        <f t="array" ref="X1450"> if(iserror(MATCH(V1450, 'File Links'!C:C, 0)), "N/A", HYPERLINK(INDEX('File Links'!B:B, MATCH(V1450, 'File Links'!C:C, 0))))</f>
        <v>https://drive.google.com/file/d/1-xurSGJuM3s6RBApJqwPJeMlgGlC3K_D/view?usp=drivesdk</v>
      </c>
      <c r="Y1450" s="159" t="s">
        <v>7574</v>
      </c>
      <c r="Z1450" s="68"/>
      <c r="AA1450" s="68"/>
      <c r="AB1450" s="68"/>
      <c r="AC1450" s="68"/>
      <c r="AD1450" s="68"/>
      <c r="AE1450" s="68"/>
      <c r="AF1450" s="68"/>
      <c r="AG1450" s="68"/>
      <c r="AH1450" s="1625"/>
      <c r="AI1450" s="1625"/>
      <c r="AJ1450" s="61"/>
      <c r="AK1450" s="68"/>
      <c r="AL1450" s="61"/>
      <c r="AM1450" s="68"/>
      <c r="AN1450" s="68"/>
      <c r="AO1450" s="68"/>
      <c r="AP1450" s="68"/>
      <c r="AQ1450" s="68"/>
      <c r="AR1450" s="68"/>
      <c r="AS1450" s="68"/>
      <c r="AT1450" s="68"/>
      <c r="AU1450" s="68"/>
      <c r="AV1450" s="68"/>
      <c r="AW1450" s="68"/>
      <c r="AX1450" s="68"/>
      <c r="AY1450" s="61" t="str">
        <f>IFERROR(__xludf.DUMMYFUNCTION("vlookup(BB1450,importrange(""https://docs.google.com/spreadsheets/d/1d2vevQ_7D_v35q4wCQ4RpQ_IPoTwEMB9Yp6ymwlPqew/edit?gid=984458430#gid=984458430"", ""'replication success'!A:K""), 11, FAlSE)"),"#N/A")</f>
        <v>#N/A</v>
      </c>
      <c r="AZ1450" s="61" t="str">
        <f>IFERROR(__xludf.DUMMYFUNCTION("vlookup(BB1450,importrange(""https://docs.google.com/spreadsheets/d/1d2vevQ_7D_v35q4wCQ4RpQ_IPoTwEMB9Yp6ymwlPqew/edit?gid=984458430#gid=984458430"", ""'replication success'!A:M""), 12, FAlSE)"),"#N/A")</f>
        <v>#N/A</v>
      </c>
      <c r="BA1450" s="61" t="str">
        <f>IFERROR(__xludf.DUMMYFUNCTION("vlookup(BB1450,importrange(""https://docs.google.com/spreadsheets/d/1d2vevQ_7D_v35q4wCQ4RpQ_IPoTwEMB9Yp6ymwlPqew/edit?gid=984458430#gid=984458430"", ""'replication success'!A:M""), 13, FAlSE)"),"#N/A")</f>
        <v>#N/A</v>
      </c>
      <c r="BB1450" s="61" t="str">
        <f>IFERROR(__xludf.DUMMYFUNCTION("REGEXREPLACE(G1450, ""_[a-z]{1,2}$"", """")"),"curatescience58")</f>
        <v>curatescience58</v>
      </c>
      <c r="BC1450" s="68"/>
      <c r="BD1450" s="341" t="s">
        <v>7943</v>
      </c>
    </row>
    <row r="1451">
      <c r="A1451" s="44">
        <v>1451.0</v>
      </c>
      <c r="B1451" s="62" t="s">
        <v>590</v>
      </c>
      <c r="C1451" s="62" t="s">
        <v>115</v>
      </c>
      <c r="D1451" s="62" t="s">
        <v>2630</v>
      </c>
      <c r="F1451" s="68" t="s">
        <v>8210</v>
      </c>
      <c r="G1451" s="57" t="s">
        <v>8211</v>
      </c>
      <c r="H1451" s="159" t="s">
        <v>7417</v>
      </c>
      <c r="I1451" s="1550">
        <v>45292.0</v>
      </c>
      <c r="J1451" s="1622">
        <v>45765.0</v>
      </c>
      <c r="K1451" s="68"/>
      <c r="L1451" s="151" t="s">
        <v>8212</v>
      </c>
      <c r="M1451" s="151" t="s">
        <v>8213</v>
      </c>
      <c r="N1451" s="437" t="s">
        <v>8164</v>
      </c>
      <c r="O1451" s="156">
        <v>2.0</v>
      </c>
      <c r="P1451" s="1581" t="s">
        <v>8165</v>
      </c>
      <c r="Q1451" s="52" t="str">
        <f t="array" ref="Q1451"> if(iserror(MATCH(V1451, 'File Links'!C:C, 0)), "N/A", HYPERLINK(INDEX('File Links'!B:B, MATCH(P1451, 'File Links'!C:C, 0))))</f>
        <v>https://drive.google.com/file/d/1acuUVGe9a1FY0NzYPbpq8pAnbZKrjA2v/view?usp=drivesdk</v>
      </c>
      <c r="R1451" s="680" t="s">
        <v>8214</v>
      </c>
      <c r="S1451" s="1055" t="s">
        <v>8215</v>
      </c>
      <c r="T1451" s="68"/>
      <c r="U1451" s="1626">
        <v>1.0</v>
      </c>
      <c r="V1451" s="198" t="str">
        <f t="shared" ref="V1451:V1477" si="106"> hyperlink(vlookup(lower(S1451),#REF!, 2, FALSE), SUBSTITUTE(lower(S1451), "/", "--") &amp;  ".pdf")</f>
        <v>10.1037--arc0000007.pdf</v>
      </c>
      <c r="W1451" s="437" t="s">
        <v>164</v>
      </c>
      <c r="X1451" s="54" t="str">
        <f t="array" ref="X1451"> if(iserror(MATCH(V1451, 'File Links'!C:C, 0)), "N/A", HYPERLINK(INDEX('File Links'!B:B, MATCH(V1451, 'File Links'!C:C, 0))))</f>
        <v>https://drive.google.com/file/d/1gyeq5B_qi3Jnlf4Z_IsX5vLD1Nya92z0/view?usp=drivesdk</v>
      </c>
      <c r="Y1451" s="68"/>
      <c r="Z1451" s="437" t="s">
        <v>226</v>
      </c>
      <c r="AA1451" s="437" t="s">
        <v>8216</v>
      </c>
      <c r="AB1451" s="437" t="s">
        <v>8217</v>
      </c>
      <c r="AC1451" s="437" t="s">
        <v>8218</v>
      </c>
      <c r="AD1451" s="1594" t="s">
        <v>8219</v>
      </c>
      <c r="AE1451" s="1627">
        <v>1215.0</v>
      </c>
      <c r="AF1451" s="1627">
        <v>77.0</v>
      </c>
      <c r="AG1451" s="1627">
        <v>0.28</v>
      </c>
      <c r="AH1451" s="194" t="s">
        <v>360</v>
      </c>
      <c r="AI1451" s="384" t="s">
        <v>8220</v>
      </c>
      <c r="AJ1451" s="1628">
        <v>0.001</v>
      </c>
      <c r="AK1451" s="1594" t="s">
        <v>172</v>
      </c>
      <c r="AL1451" s="384" t="s">
        <v>136</v>
      </c>
      <c r="AM1451" s="1629" t="s">
        <v>137</v>
      </c>
      <c r="AN1451" s="371" t="s">
        <v>138</v>
      </c>
      <c r="AO1451" s="1627">
        <v>90.0</v>
      </c>
      <c r="AP1451" s="1627">
        <v>0.12</v>
      </c>
      <c r="AQ1451" s="1594" t="s">
        <v>173</v>
      </c>
      <c r="AR1451" s="1594" t="s">
        <v>8221</v>
      </c>
      <c r="AS1451" s="1627">
        <v>0.15</v>
      </c>
      <c r="AT1451" s="1594" t="s">
        <v>172</v>
      </c>
      <c r="AU1451" s="1594" t="s">
        <v>136</v>
      </c>
      <c r="AV1451" s="1629" t="s">
        <v>137</v>
      </c>
      <c r="AW1451" s="68"/>
      <c r="AX1451" s="832" t="s">
        <v>143</v>
      </c>
      <c r="AY1451" s="61" t="str">
        <f>IFERROR(__xludf.DUMMYFUNCTION("vlookup(BB1451,importrange(""https://docs.google.com/spreadsheets/d/1d2vevQ_7D_v35q4wCQ4RpQ_IPoTwEMB9Yp6ymwlPqew/edit?gid=984458430#gid=984458430"", ""'replication success'!A:K""), 11, FAlSE)"),"failed")</f>
        <v>failed</v>
      </c>
      <c r="AZ1451" s="61" t="str">
        <f>IFERROR(__xludf.DUMMYFUNCTION("vlookup(BB1451,importrange(""https://docs.google.com/spreadsheets/d/1d2vevQ_7D_v35q4wCQ4RpQ_IPoTwEMB9Yp6ymwlPqew/edit?gid=984458430#gid=984458430"", ""'replication success'!A:M""), 12, FAlSE)"),"Using procedures that were very similar to those in the original
study and a sample size that was more than 5 times larger, we found that there was no difference between conditions, a
finding that failed to replicate the original study.")</f>
        <v>Using procedures that were very similar to those in the original
study and a sample size that was more than 5 times larger, we found that there was no difference between conditions, a
finding that failed to replicate the original study.</v>
      </c>
      <c r="BA1451" s="61" t="str">
        <f>IFERROR(__xludf.DUMMYFUNCTION("vlookup(BB1451,importrange(""https://docs.google.com/spreadsheets/d/1d2vevQ_7D_v35q4wCQ4RpQ_IPoTwEMB9Yp6ymwlPqew/edit?gid=984458430#gid=984458430"", ""'replication success'!A:M""), 13, FAlSE)"),"abstract")</f>
        <v>abstract</v>
      </c>
      <c r="BB1451" s="61" t="str">
        <f>IFERROR(__xludf.DUMMYFUNCTION("REGEXREPLACE(G1451, ""_[a-z]{1,2}$"", """")"),"curatescience59")</f>
        <v>curatescience59</v>
      </c>
      <c r="BD1451" s="341" t="s">
        <v>7943</v>
      </c>
      <c r="BE1451" s="92"/>
      <c r="BF1451" s="92"/>
    </row>
    <row r="1452">
      <c r="A1452" s="44">
        <v>1452.0</v>
      </c>
      <c r="B1452" s="62" t="s">
        <v>114</v>
      </c>
      <c r="C1452" s="62" t="s">
        <v>115</v>
      </c>
      <c r="D1452" s="62" t="s">
        <v>2630</v>
      </c>
      <c r="F1452" s="68" t="s">
        <v>8210</v>
      </c>
      <c r="G1452" s="57" t="s">
        <v>8211</v>
      </c>
      <c r="H1452" s="159" t="s">
        <v>7417</v>
      </c>
      <c r="I1452" s="1550">
        <v>45292.0</v>
      </c>
      <c r="J1452" s="1622">
        <v>45765.0</v>
      </c>
      <c r="K1452" s="68"/>
      <c r="L1452" s="151" t="s">
        <v>8222</v>
      </c>
      <c r="M1452" s="151" t="s">
        <v>8213</v>
      </c>
      <c r="N1452" s="437" t="s">
        <v>8164</v>
      </c>
      <c r="O1452" s="156">
        <v>2.0</v>
      </c>
      <c r="P1452" s="1581" t="s">
        <v>8165</v>
      </c>
      <c r="Q1452" s="52" t="str">
        <f t="array" ref="Q1452"> if(iserror(MATCH(V1452, 'File Links'!C:C, 0)), "N/A", HYPERLINK(INDEX('File Links'!B:B, MATCH(P1452, 'File Links'!C:C, 0))))</f>
        <v>https://drive.google.com/file/d/1acuUVGe9a1FY0NzYPbpq8pAnbZKrjA2v/view?usp=drivesdk</v>
      </c>
      <c r="R1452" s="680" t="s">
        <v>8223</v>
      </c>
      <c r="S1452" s="1055" t="s">
        <v>8215</v>
      </c>
      <c r="T1452" s="68"/>
      <c r="U1452" s="1626">
        <v>1.0</v>
      </c>
      <c r="V1452" s="198" t="str">
        <f t="shared" si="106"/>
        <v>10.1037--arc0000007.pdf</v>
      </c>
      <c r="W1452" s="437" t="s">
        <v>164</v>
      </c>
      <c r="X1452" s="54" t="str">
        <f t="array" ref="X1452"> if(iserror(MATCH(V1452, 'File Links'!C:C, 0)), "N/A", HYPERLINK(INDEX('File Links'!B:B, MATCH(V1452, 'File Links'!C:C, 0))))</f>
        <v>https://drive.google.com/file/d/1gyeq5B_qi3Jnlf4Z_IsX5vLD1Nya92z0/view?usp=drivesdk</v>
      </c>
      <c r="Y1452" s="68"/>
      <c r="Z1452" s="437" t="s">
        <v>226</v>
      </c>
      <c r="AA1452" s="437" t="s">
        <v>8216</v>
      </c>
      <c r="AB1452" s="437" t="s">
        <v>8217</v>
      </c>
      <c r="AC1452" s="437" t="s">
        <v>8218</v>
      </c>
      <c r="AD1452" s="1594" t="s">
        <v>8219</v>
      </c>
      <c r="AE1452" s="1627">
        <v>1215.0</v>
      </c>
      <c r="AF1452" s="1627">
        <v>77.0</v>
      </c>
      <c r="AG1452" s="1627">
        <v>0.28</v>
      </c>
      <c r="AH1452" s="194" t="s">
        <v>360</v>
      </c>
      <c r="AI1452" s="384" t="s">
        <v>8220</v>
      </c>
      <c r="AJ1452" s="1628">
        <v>0.001</v>
      </c>
      <c r="AK1452" s="1594" t="s">
        <v>172</v>
      </c>
      <c r="AL1452" s="384" t="s">
        <v>136</v>
      </c>
      <c r="AM1452" s="1629" t="s">
        <v>137</v>
      </c>
      <c r="AN1452" s="371" t="s">
        <v>138</v>
      </c>
      <c r="AO1452" s="1627">
        <v>96.0</v>
      </c>
      <c r="AP1452" s="1627">
        <v>0.09</v>
      </c>
      <c r="AQ1452" s="1594" t="s">
        <v>173</v>
      </c>
      <c r="AR1452" s="1594" t="s">
        <v>8224</v>
      </c>
      <c r="AS1452" s="1630">
        <v>0.2</v>
      </c>
      <c r="AT1452" s="1594" t="s">
        <v>172</v>
      </c>
      <c r="AU1452" s="1594" t="s">
        <v>136</v>
      </c>
      <c r="AV1452" s="1629" t="s">
        <v>137</v>
      </c>
      <c r="AW1452" s="68"/>
      <c r="AX1452" s="832" t="s">
        <v>143</v>
      </c>
      <c r="AY1452" s="61" t="str">
        <f>IFERROR(__xludf.DUMMYFUNCTION("vlookup(BB1452,importrange(""https://docs.google.com/spreadsheets/d/1d2vevQ_7D_v35q4wCQ4RpQ_IPoTwEMB9Yp6ymwlPqew/edit?gid=984458430#gid=984458430"", ""'replication success'!A:K""), 11, FAlSE)"),"failed")</f>
        <v>failed</v>
      </c>
      <c r="AZ1452" s="61" t="str">
        <f>IFERROR(__xludf.DUMMYFUNCTION("vlookup(BB1452,importrange(""https://docs.google.com/spreadsheets/d/1d2vevQ_7D_v35q4wCQ4RpQ_IPoTwEMB9Yp6ymwlPqew/edit?gid=984458430#gid=984458430"", ""'replication success'!A:M""), 12, FAlSE)"),"Using procedures that were very similar to those in the original
study and a sample size that was more than 5 times larger, we found that there was no difference between conditions, a
finding that failed to replicate the original study.")</f>
        <v>Using procedures that were very similar to those in the original
study and a sample size that was more than 5 times larger, we found that there was no difference between conditions, a
finding that failed to replicate the original study.</v>
      </c>
      <c r="BA1452" s="61" t="str">
        <f>IFERROR(__xludf.DUMMYFUNCTION("vlookup(BB1452,importrange(""https://docs.google.com/spreadsheets/d/1d2vevQ_7D_v35q4wCQ4RpQ_IPoTwEMB9Yp6ymwlPqew/edit?gid=984458430#gid=984458430"", ""'replication success'!A:M""), 13, FAlSE)"),"abstract")</f>
        <v>abstract</v>
      </c>
      <c r="BB1452" s="61" t="str">
        <f>IFERROR(__xludf.DUMMYFUNCTION("REGEXREPLACE(G1452, ""_[a-z]{1,2}$"", """")"),"curatescience59")</f>
        <v>curatescience59</v>
      </c>
      <c r="BD1452" s="341" t="s">
        <v>7943</v>
      </c>
      <c r="BE1452" s="92"/>
      <c r="BF1452" s="92"/>
    </row>
    <row r="1453">
      <c r="A1453" s="44">
        <v>1453.0</v>
      </c>
      <c r="B1453" s="62" t="s">
        <v>114</v>
      </c>
      <c r="C1453" s="62" t="s">
        <v>115</v>
      </c>
      <c r="D1453" s="62" t="s">
        <v>2630</v>
      </c>
      <c r="F1453" s="68" t="s">
        <v>8210</v>
      </c>
      <c r="G1453" s="57" t="s">
        <v>8211</v>
      </c>
      <c r="H1453" s="159" t="s">
        <v>7417</v>
      </c>
      <c r="I1453" s="1550">
        <v>45292.0</v>
      </c>
      <c r="J1453" s="1622">
        <v>45765.0</v>
      </c>
      <c r="K1453" s="68"/>
      <c r="L1453" s="151" t="s">
        <v>8222</v>
      </c>
      <c r="M1453" s="151" t="s">
        <v>8213</v>
      </c>
      <c r="N1453" s="437" t="s">
        <v>8164</v>
      </c>
      <c r="O1453" s="156">
        <v>2.0</v>
      </c>
      <c r="P1453" s="1581" t="s">
        <v>8165</v>
      </c>
      <c r="Q1453" s="52" t="str">
        <f t="array" ref="Q1453"> if(iserror(MATCH(V1453, 'File Links'!C:C, 0)), "N/A", HYPERLINK(INDEX('File Links'!B:B, MATCH(P1453, 'File Links'!C:C, 0))))</f>
        <v>https://drive.google.com/file/d/1acuUVGe9a1FY0NzYPbpq8pAnbZKrjA2v/view?usp=drivesdk</v>
      </c>
      <c r="R1453" s="680" t="s">
        <v>8225</v>
      </c>
      <c r="S1453" s="1055" t="s">
        <v>8215</v>
      </c>
      <c r="T1453" s="68"/>
      <c r="U1453" s="1626">
        <v>1.0</v>
      </c>
      <c r="V1453" s="198" t="str">
        <f t="shared" si="106"/>
        <v>10.1037--arc0000007.pdf</v>
      </c>
      <c r="W1453" s="437" t="s">
        <v>164</v>
      </c>
      <c r="X1453" s="54" t="str">
        <f t="array" ref="X1453"> if(iserror(MATCH(V1453, 'File Links'!C:C, 0)), "N/A", HYPERLINK(INDEX('File Links'!B:B, MATCH(V1453, 'File Links'!C:C, 0))))</f>
        <v>https://drive.google.com/file/d/1gyeq5B_qi3Jnlf4Z_IsX5vLD1Nya92z0/view?usp=drivesdk</v>
      </c>
      <c r="Y1453" s="68"/>
      <c r="Z1453" s="437" t="s">
        <v>226</v>
      </c>
      <c r="AA1453" s="437" t="s">
        <v>8216</v>
      </c>
      <c r="AB1453" s="437" t="s">
        <v>8217</v>
      </c>
      <c r="AC1453" s="437" t="s">
        <v>8218</v>
      </c>
      <c r="AD1453" s="1594" t="s">
        <v>8219</v>
      </c>
      <c r="AE1453" s="1627">
        <v>1215.0</v>
      </c>
      <c r="AF1453" s="1627">
        <v>77.0</v>
      </c>
      <c r="AG1453" s="1627">
        <v>0.28</v>
      </c>
      <c r="AH1453" s="194" t="s">
        <v>360</v>
      </c>
      <c r="AI1453" s="384" t="s">
        <v>8220</v>
      </c>
      <c r="AJ1453" s="1628">
        <v>0.001</v>
      </c>
      <c r="AK1453" s="1594" t="s">
        <v>172</v>
      </c>
      <c r="AL1453" s="384" t="s">
        <v>136</v>
      </c>
      <c r="AM1453" s="1629" t="s">
        <v>137</v>
      </c>
      <c r="AN1453" s="371" t="s">
        <v>138</v>
      </c>
      <c r="AO1453" s="1627">
        <v>110.0</v>
      </c>
      <c r="AP1453" s="1630">
        <v>0.05</v>
      </c>
      <c r="AQ1453" s="1594" t="s">
        <v>173</v>
      </c>
      <c r="AR1453" s="1594" t="s">
        <v>8226</v>
      </c>
      <c r="AS1453" s="1630">
        <v>0.3</v>
      </c>
      <c r="AT1453" s="1594" t="s">
        <v>172</v>
      </c>
      <c r="AU1453" s="1594" t="s">
        <v>136</v>
      </c>
      <c r="AV1453" s="1629" t="s">
        <v>137</v>
      </c>
      <c r="AW1453" s="68"/>
      <c r="AX1453" s="832" t="s">
        <v>143</v>
      </c>
      <c r="AY1453" s="61" t="str">
        <f>IFERROR(__xludf.DUMMYFUNCTION("vlookup(BB1453,importrange(""https://docs.google.com/spreadsheets/d/1d2vevQ_7D_v35q4wCQ4RpQ_IPoTwEMB9Yp6ymwlPqew/edit?gid=984458430#gid=984458430"", ""'replication success'!A:K""), 11, FAlSE)"),"failed")</f>
        <v>failed</v>
      </c>
      <c r="AZ1453" s="61" t="str">
        <f>IFERROR(__xludf.DUMMYFUNCTION("vlookup(BB1453,importrange(""https://docs.google.com/spreadsheets/d/1d2vevQ_7D_v35q4wCQ4RpQ_IPoTwEMB9Yp6ymwlPqew/edit?gid=984458430#gid=984458430"", ""'replication success'!A:M""), 12, FAlSE)"),"Using procedures that were very similar to those in the original
study and a sample size that was more than 5 times larger, we found that there was no difference between conditions, a
finding that failed to replicate the original study.")</f>
        <v>Using procedures that were very similar to those in the original
study and a sample size that was more than 5 times larger, we found that there was no difference between conditions, a
finding that failed to replicate the original study.</v>
      </c>
      <c r="BA1453" s="61" t="str">
        <f>IFERROR(__xludf.DUMMYFUNCTION("vlookup(BB1453,importrange(""https://docs.google.com/spreadsheets/d/1d2vevQ_7D_v35q4wCQ4RpQ_IPoTwEMB9Yp6ymwlPqew/edit?gid=984458430#gid=984458430"", ""'replication success'!A:M""), 13, FAlSE)"),"abstract")</f>
        <v>abstract</v>
      </c>
      <c r="BB1453" s="61" t="str">
        <f>IFERROR(__xludf.DUMMYFUNCTION("REGEXREPLACE(G1453, ""_[a-z]{1,2}$"", """")"),"curatescience59")</f>
        <v>curatescience59</v>
      </c>
      <c r="BD1453" s="341" t="s">
        <v>7943</v>
      </c>
      <c r="BE1453" s="92"/>
      <c r="BF1453" s="92"/>
    </row>
    <row r="1454">
      <c r="A1454" s="44">
        <v>1454.0</v>
      </c>
      <c r="B1454" s="62" t="s">
        <v>152</v>
      </c>
      <c r="C1454" s="1631" t="s">
        <v>115</v>
      </c>
      <c r="D1454" s="1631" t="s">
        <v>1458</v>
      </c>
      <c r="E1454" s="1123"/>
      <c r="F1454" s="1632" t="s">
        <v>8210</v>
      </c>
      <c r="G1454" s="1633" t="s">
        <v>8211</v>
      </c>
      <c r="H1454" s="1634" t="s">
        <v>1518</v>
      </c>
      <c r="I1454" s="1635" t="s">
        <v>119</v>
      </c>
      <c r="J1454" s="1622">
        <v>45765.0</v>
      </c>
      <c r="K1454" s="1634" t="s">
        <v>8227</v>
      </c>
      <c r="L1454" s="491" t="s">
        <v>8228</v>
      </c>
      <c r="M1454" s="1636" t="s">
        <v>8229</v>
      </c>
      <c r="N1454" s="1634" t="s">
        <v>8230</v>
      </c>
      <c r="O1454" s="496">
        <v>2.0</v>
      </c>
      <c r="P1454" s="1637" t="s">
        <v>8231</v>
      </c>
      <c r="Q1454" s="52" t="str">
        <f t="array" ref="Q1454"> if(iserror(MATCH(V1454, 'File Links'!C:C, 0)), "N/A", HYPERLINK(INDEX('File Links'!B:B, MATCH(P1454, 'File Links'!C:C, 0))))</f>
        <v>https://drive.google.com/file/d/1QDNRrzD1VCOwR4bsx3QJgYLm2e6VV-no/view?usp=drivesdk</v>
      </c>
      <c r="R1454" s="1638" t="s">
        <v>8232</v>
      </c>
      <c r="S1454" s="1634" t="s">
        <v>8215</v>
      </c>
      <c r="T1454" s="1632"/>
      <c r="U1454" s="1565">
        <v>1.0</v>
      </c>
      <c r="V1454" s="198" t="str">
        <f t="shared" si="106"/>
        <v>10.1037--arc0000007.pdf</v>
      </c>
      <c r="W1454" s="1633" t="s">
        <v>8233</v>
      </c>
      <c r="X1454" s="54" t="str">
        <f t="array" ref="X1454"> if(iserror(MATCH(V1454, 'File Links'!C:C, 0)), "N/A", HYPERLINK(INDEX('File Links'!B:B, MATCH(V1454, 'File Links'!C:C, 0))))</f>
        <v>https://drive.google.com/file/d/1gyeq5B_qi3Jnlf4Z_IsX5vLD1Nya92z0/view?usp=drivesdk</v>
      </c>
      <c r="Y1454" s="1632"/>
      <c r="Z1454" s="1634" t="s">
        <v>226</v>
      </c>
      <c r="AA1454" s="1634" t="s">
        <v>8234</v>
      </c>
      <c r="AB1454" s="1634" t="s">
        <v>8235</v>
      </c>
      <c r="AC1454" s="1634" t="s">
        <v>8236</v>
      </c>
      <c r="AD1454" s="491" t="s">
        <v>8237</v>
      </c>
      <c r="AE1454" s="1565">
        <v>4.0</v>
      </c>
      <c r="AF1454" s="1565">
        <v>75.0</v>
      </c>
      <c r="AG1454" s="1634" t="s">
        <v>8238</v>
      </c>
      <c r="AH1454" s="1639" t="s">
        <v>134</v>
      </c>
      <c r="AI1454" s="1633" t="s">
        <v>496</v>
      </c>
      <c r="AJ1454" s="1640">
        <v>0.04</v>
      </c>
      <c r="AK1454" s="1634" t="s">
        <v>172</v>
      </c>
      <c r="AL1454" s="1633" t="s">
        <v>186</v>
      </c>
      <c r="AM1454" s="1632" t="s">
        <v>137</v>
      </c>
      <c r="AN1454" s="371" t="s">
        <v>138</v>
      </c>
      <c r="AO1454" s="1565">
        <v>260.0</v>
      </c>
      <c r="AP1454" s="1641">
        <v>0.02</v>
      </c>
      <c r="AQ1454" s="1634" t="s">
        <v>173</v>
      </c>
      <c r="AR1454" s="1634" t="s">
        <v>496</v>
      </c>
      <c r="AS1454" s="1641">
        <v>0.995</v>
      </c>
      <c r="AT1454" s="1634" t="s">
        <v>172</v>
      </c>
      <c r="AU1454" s="1634" t="s">
        <v>186</v>
      </c>
      <c r="AV1454" s="1632" t="s">
        <v>137</v>
      </c>
      <c r="AW1454" s="1632"/>
      <c r="AX1454" s="1632" t="s">
        <v>143</v>
      </c>
      <c r="AY1454" s="61" t="str">
        <f>IFERROR(__xludf.DUMMYFUNCTION("vlookup(BB1454,importrange(""https://docs.google.com/spreadsheets/d/1d2vevQ_7D_v35q4wCQ4RpQ_IPoTwEMB9Yp6ymwlPqew/edit?gid=984458430#gid=984458430"", ""'replication success'!A:K""), 11, FAlSE)"),"failed")</f>
        <v>failed</v>
      </c>
      <c r="AZ1454" s="61" t="str">
        <f>IFERROR(__xludf.DUMMYFUNCTION("vlookup(BB1454,importrange(""https://docs.google.com/spreadsheets/d/1d2vevQ_7D_v35q4wCQ4RpQ_IPoTwEMB9Yp6ymwlPqew/edit?gid=984458430#gid=984458430"", ""'replication success'!A:M""), 12, FAlSE)"),"Using procedures that were very similar to those in the original
study and a sample size that was more than 5 times larger, we found that there was no difference between conditions, a
finding that failed to replicate the original study.")</f>
        <v>Using procedures that were very similar to those in the original
study and a sample size that was more than 5 times larger, we found that there was no difference between conditions, a
finding that failed to replicate the original study.</v>
      </c>
      <c r="BA1454" s="61" t="str">
        <f>IFERROR(__xludf.DUMMYFUNCTION("vlookup(BB1454,importrange(""https://docs.google.com/spreadsheets/d/1d2vevQ_7D_v35q4wCQ4RpQ_IPoTwEMB9Yp6ymwlPqew/edit?gid=984458430#gid=984458430"", ""'replication success'!A:M""), 13, FAlSE)"),"abstract")</f>
        <v>abstract</v>
      </c>
      <c r="BB1454" s="61" t="str">
        <f>IFERROR(__xludf.DUMMYFUNCTION("REGEXREPLACE(G1454, ""_[a-z]{1,2}$"", """")"),"curatescience59")</f>
        <v>curatescience59</v>
      </c>
      <c r="BC1454" s="1632"/>
      <c r="BD1454" s="62" t="s">
        <v>7943</v>
      </c>
      <c r="BE1454" s="92"/>
      <c r="BF1454" s="92"/>
    </row>
    <row r="1455">
      <c r="A1455" s="44">
        <v>1455.0</v>
      </c>
      <c r="B1455" s="341" t="s">
        <v>152</v>
      </c>
      <c r="C1455" s="341" t="s">
        <v>115</v>
      </c>
      <c r="D1455" s="341" t="s">
        <v>2630</v>
      </c>
      <c r="E1455" s="342"/>
      <c r="F1455" s="503" t="s">
        <v>8239</v>
      </c>
      <c r="G1455" s="504" t="str">
        <f t="shared" ref="G1455:G1462" si="107">F1455&amp;"_"&amp;COUNTIF($B$3:F1455, F1455)</f>
        <v>curatescience599_1</v>
      </c>
      <c r="H1455" s="503" t="s">
        <v>7492</v>
      </c>
      <c r="I1455" s="505">
        <v>45675.0</v>
      </c>
      <c r="J1455" s="505">
        <v>45676.0</v>
      </c>
      <c r="K1455" s="46"/>
      <c r="L1455" s="56" t="s">
        <v>8240</v>
      </c>
      <c r="M1455" s="1446" t="s">
        <v>8241</v>
      </c>
      <c r="N1455" s="503" t="s">
        <v>8242</v>
      </c>
      <c r="O1455" s="56">
        <v>2.0</v>
      </c>
      <c r="P1455" s="1642" t="str">
        <f t="shared" ref="P1455:P1462" si="108"> SUBSTITUTE(lower(N1455), "/", "--") &amp;  ".pdf"</f>
        <v>10.1037--h0054651.pdf</v>
      </c>
      <c r="Q1455" s="52" t="str">
        <f t="array" ref="Q1455"> if(iserror(MATCH(V1455, 'File Links'!C:C, 0)), "N/A", HYPERLINK(INDEX('File Links'!B:B, MATCH(P1455, 'File Links'!C:C, 0))))</f>
        <v>https://drive.google.com/file/d/16SOoUfTCSMe7mtchsl8axpkAxtRIR28i/view?usp=drivesdk</v>
      </c>
      <c r="R1455" s="503" t="s">
        <v>8067</v>
      </c>
      <c r="S1455" s="503" t="s">
        <v>8068</v>
      </c>
      <c r="T1455" s="510" t="s">
        <v>8069</v>
      </c>
      <c r="U1455" s="503" t="s">
        <v>8243</v>
      </c>
      <c r="V1455" s="360" t="str">
        <f t="shared" si="106"/>
        <v>10.1016--j.jesp.2015.10.012.pdf</v>
      </c>
      <c r="W1455" s="503" t="s">
        <v>7500</v>
      </c>
      <c r="X1455" s="54" t="str">
        <f t="array" ref="X1455"> if(iserror(MATCH(V1455, 'File Links'!C:C, 0)), "N/A", HYPERLINK(INDEX('File Links'!B:B, MATCH(V1455, 'File Links'!C:C, 0))))</f>
        <v>https://drive.google.com/file/d/1xuc-fvipcLZQMaybgsFtBL29-3ClXZFF/view?usp=drivesdk</v>
      </c>
      <c r="Y1455" s="342"/>
      <c r="Z1455" s="503" t="s">
        <v>148</v>
      </c>
      <c r="AA1455" s="503" t="s">
        <v>8244</v>
      </c>
      <c r="AB1455" s="503" t="s">
        <v>8245</v>
      </c>
      <c r="AC1455" s="503" t="s">
        <v>8246</v>
      </c>
      <c r="AD1455" s="503" t="s">
        <v>8247</v>
      </c>
      <c r="AE1455" s="514" t="s">
        <v>8248</v>
      </c>
      <c r="AF1455" s="515">
        <v>100.0</v>
      </c>
      <c r="AG1455" s="1480">
        <v>4.35</v>
      </c>
      <c r="AH1455" s="503" t="s">
        <v>8249</v>
      </c>
      <c r="AI1455" s="514" t="s">
        <v>8250</v>
      </c>
      <c r="AJ1455" s="1481" t="s">
        <v>138</v>
      </c>
      <c r="AK1455" s="507" t="s">
        <v>138</v>
      </c>
      <c r="AL1455" s="507" t="s">
        <v>138</v>
      </c>
      <c r="AM1455" s="1480" t="s">
        <v>138</v>
      </c>
      <c r="AN1455" s="330" t="s">
        <v>138</v>
      </c>
      <c r="AO1455" s="1643">
        <v>3279.0</v>
      </c>
      <c r="AP1455" s="515">
        <v>0.88</v>
      </c>
      <c r="AQ1455" s="503" t="s">
        <v>173</v>
      </c>
      <c r="AR1455" s="503" t="s">
        <v>8251</v>
      </c>
      <c r="AS1455" s="1480">
        <v>0.001</v>
      </c>
      <c r="AT1455" s="503" t="s">
        <v>135</v>
      </c>
      <c r="AU1455" s="514" t="s">
        <v>186</v>
      </c>
      <c r="AV1455" s="1482" t="s">
        <v>137</v>
      </c>
      <c r="AW1455" s="1482" t="s">
        <v>7508</v>
      </c>
      <c r="AX1455" s="1482" t="s">
        <v>143</v>
      </c>
      <c r="AY1455" s="61" t="str">
        <f>IFERROR(__xludf.DUMMYFUNCTION("vlookup(BB1455,importrange(""https://docs.google.com/spreadsheets/d/1d2vevQ_7D_v35q4wCQ4RpQ_IPoTwEMB9Yp6ymwlPqew/edit?gid=984458430#gid=984458430"", ""'replication success'!A:K""), 11, FAlSE)"),"successful")</f>
        <v>successful</v>
      </c>
      <c r="AZ1455" s="61" t="str">
        <f>IFERROR(__xludf.DUMMYFUNCTION("vlookup(BB1455,importrange(""https://docs.google.com/spreadsheets/d/1d2vevQ_7D_v35q4wCQ4RpQ_IPoTwEMB9Yp6ymwlPqew/edit?gid=984458430#gid=984458430"", ""'replication success'!A:M""), 12, FAlSE)"),"Across the replication studies (N = 3,279), participants took longer
to categorize incongruent words than congruent words (M = 0.27,
SD = 0.31), t(3,336) = 50.22, p b .001, d = .88, 95% CI = [.84, .92].
This replicated the basic effect from previous re"&amp;"search.2")</f>
        <v>Across the replication studies (N = 3,279), participants took longer
to categorize incongruent words than congruent words (M = 0.27,
SD = 0.31), t(3,336) = 50.22, p b .001, d = .88, 95% CI = [.84, .92].
This replicated the basic effect from previous research.2</v>
      </c>
      <c r="BA1455" s="61" t="str">
        <f>IFERROR(__xludf.DUMMYFUNCTION("vlookup(BB1455,importrange(""https://docs.google.com/spreadsheets/d/1d2vevQ_7D_v35q4wCQ4RpQ_IPoTwEMB9Yp6ymwlPqew/edit?gid=984458430#gid=984458430"", ""'replication success'!A:M""), 13, FAlSE)"),"pg.7")</f>
        <v>pg.7</v>
      </c>
      <c r="BB1455" s="61" t="str">
        <f>IFERROR(__xludf.DUMMYFUNCTION("REGEXREPLACE(G1455, ""_[a-z]{1,2}$"", """")"),"curatescience599_1")</f>
        <v>curatescience599_1</v>
      </c>
      <c r="BC1455" s="341" t="s">
        <v>8252</v>
      </c>
      <c r="BD1455" s="341" t="s">
        <v>692</v>
      </c>
      <c r="BE1455" s="92"/>
      <c r="BF1455" s="92"/>
    </row>
    <row r="1456">
      <c r="A1456" s="44">
        <v>1456.0</v>
      </c>
      <c r="B1456" s="341" t="s">
        <v>114</v>
      </c>
      <c r="C1456" s="341" t="s">
        <v>115</v>
      </c>
      <c r="D1456" s="341" t="s">
        <v>1234</v>
      </c>
      <c r="E1456" s="342"/>
      <c r="F1456" s="360" t="s">
        <v>8239</v>
      </c>
      <c r="G1456" s="47" t="str">
        <f t="shared" si="107"/>
        <v>curatescience599_2</v>
      </c>
      <c r="H1456" s="360" t="s">
        <v>6955</v>
      </c>
      <c r="I1456" s="344">
        <v>45901.0</v>
      </c>
      <c r="J1456" s="344">
        <v>45901.0</v>
      </c>
      <c r="K1456" s="46"/>
      <c r="L1456" s="56" t="s">
        <v>8253</v>
      </c>
      <c r="M1456" s="1450" t="s">
        <v>8241</v>
      </c>
      <c r="N1456" s="360" t="s">
        <v>8242</v>
      </c>
      <c r="O1456" s="357">
        <v>1.0</v>
      </c>
      <c r="P1456" s="517" t="str">
        <f t="shared" si="108"/>
        <v>10.1037--h0054651.pdf</v>
      </c>
      <c r="Q1456" s="52" t="str">
        <f t="array" ref="Q1456"> if(iserror(MATCH(V1456, 'File Links'!C:C, 0)), "N/A", HYPERLINK(INDEX('File Links'!B:B, MATCH(P1456, 'File Links'!C:C, 0))))</f>
        <v>https://drive.google.com/file/d/16SOoUfTCSMe7mtchsl8axpkAxtRIR28i/view?usp=drivesdk</v>
      </c>
      <c r="R1456" s="503" t="s">
        <v>8067</v>
      </c>
      <c r="S1456" s="503" t="s">
        <v>8068</v>
      </c>
      <c r="T1456" s="510" t="s">
        <v>8069</v>
      </c>
      <c r="U1456" s="46"/>
      <c r="V1456" s="360" t="str">
        <f t="shared" si="106"/>
        <v>10.1016--j.jesp.2015.10.012.pdf</v>
      </c>
      <c r="W1456" s="46"/>
      <c r="X1456" s="54" t="str">
        <f t="array" ref="X1456"> if(iserror(MATCH(V1456, 'File Links'!C:C, 0)), "N/A", HYPERLINK(INDEX('File Links'!B:B, MATCH(V1456, 'File Links'!C:C, 0))))</f>
        <v>https://drive.google.com/file/d/1xuc-fvipcLZQMaybgsFtBL29-3ClXZFF/view?usp=drivesdk</v>
      </c>
      <c r="Y1456" s="342"/>
      <c r="Z1456" s="360" t="s">
        <v>148</v>
      </c>
      <c r="AA1456" s="360" t="s">
        <v>6244</v>
      </c>
      <c r="AB1456" s="46"/>
      <c r="AC1456" s="46"/>
      <c r="AD1456" s="360" t="s">
        <v>8254</v>
      </c>
      <c r="AE1456" s="357">
        <v>649.0</v>
      </c>
      <c r="AF1456" s="357">
        <v>70.0</v>
      </c>
      <c r="AG1456" s="357">
        <v>2.04</v>
      </c>
      <c r="AH1456" s="360" t="s">
        <v>173</v>
      </c>
      <c r="AI1456" s="46"/>
      <c r="AJ1456" s="105"/>
      <c r="AK1456" s="49"/>
      <c r="AL1456" s="49"/>
      <c r="AM1456" s="46"/>
      <c r="AN1456" s="330" t="s">
        <v>138</v>
      </c>
      <c r="AO1456" s="357">
        <v>3337.0</v>
      </c>
      <c r="AP1456" s="357">
        <v>0.88</v>
      </c>
      <c r="AQ1456" s="360" t="s">
        <v>173</v>
      </c>
      <c r="AR1456" s="46"/>
      <c r="AS1456" s="357">
        <v>0.001</v>
      </c>
      <c r="AT1456" s="360" t="s">
        <v>135</v>
      </c>
      <c r="AU1456" s="360" t="s">
        <v>186</v>
      </c>
      <c r="AV1456" s="46" t="s">
        <v>141</v>
      </c>
      <c r="AW1456" s="46"/>
      <c r="AX1456" s="46" t="s">
        <v>143</v>
      </c>
      <c r="AY1456" s="61" t="str">
        <f>IFERROR(__xludf.DUMMYFUNCTION("vlookup(BB1456,importrange(""https://docs.google.com/spreadsheets/d/1d2vevQ_7D_v35q4wCQ4RpQ_IPoTwEMB9Yp6ymwlPqew/edit?gid=984458430#gid=984458430"", ""'replication success'!A:K""), 11, FAlSE)"),"#N/A")</f>
        <v>#N/A</v>
      </c>
      <c r="AZ1456" s="61" t="str">
        <f>IFERROR(__xludf.DUMMYFUNCTION("vlookup(BB1456,importrange(""https://docs.google.com/spreadsheets/d/1d2vevQ_7D_v35q4wCQ4RpQ_IPoTwEMB9Yp6ymwlPqew/edit?gid=984458430#gid=984458430"", ""'replication success'!A:M""), 12, FAlSE)"),"#N/A")</f>
        <v>#N/A</v>
      </c>
      <c r="BA1456" s="61" t="str">
        <f>IFERROR(__xludf.DUMMYFUNCTION("vlookup(BB1456,importrange(""https://docs.google.com/spreadsheets/d/1d2vevQ_7D_v35q4wCQ4RpQ_IPoTwEMB9Yp6ymwlPqew/edit?gid=984458430#gid=984458430"", ""'replication success'!A:M""), 13, FAlSE)"),"#N/A")</f>
        <v>#N/A</v>
      </c>
      <c r="BB1456" s="61" t="str">
        <f>IFERROR(__xludf.DUMMYFUNCTION("REGEXREPLACE(G1456, ""_[a-z]{1,2}$"", """")"),"curatescience599_2")</f>
        <v>curatescience599_2</v>
      </c>
      <c r="BC1456" s="342"/>
      <c r="BD1456" s="341" t="s">
        <v>692</v>
      </c>
      <c r="BE1456" s="92"/>
      <c r="BF1456" s="92"/>
    </row>
    <row r="1457">
      <c r="A1457" s="44">
        <v>1457.0</v>
      </c>
      <c r="B1457" s="341" t="s">
        <v>114</v>
      </c>
      <c r="C1457" s="341" t="s">
        <v>115</v>
      </c>
      <c r="D1457" s="341" t="s">
        <v>2630</v>
      </c>
      <c r="E1457" s="342"/>
      <c r="F1457" s="503" t="s">
        <v>8255</v>
      </c>
      <c r="G1457" s="504" t="str">
        <f t="shared" si="107"/>
        <v>curatescience600_1</v>
      </c>
      <c r="H1457" s="503" t="s">
        <v>7492</v>
      </c>
      <c r="I1457" s="505">
        <v>45675.0</v>
      </c>
      <c r="J1457" s="505">
        <v>45676.0</v>
      </c>
      <c r="K1457" s="46"/>
      <c r="L1457" s="56" t="s">
        <v>8256</v>
      </c>
      <c r="M1457" s="1446" t="s">
        <v>8257</v>
      </c>
      <c r="N1457" s="503" t="s">
        <v>8258</v>
      </c>
      <c r="O1457" s="357"/>
      <c r="P1457" s="1642" t="str">
        <f t="shared" si="108"/>
        <v>10.1016--s0010-0277(99)00073-6.pdf</v>
      </c>
      <c r="Q1457" s="52" t="str">
        <f t="array" ref="Q1457"> if(iserror(MATCH(V1457, 'File Links'!C:C, 0)), "N/A", HYPERLINK(INDEX('File Links'!B:B, MATCH(P1457, 'File Links'!C:C, 0))))</f>
        <v>https://drive.google.com/file/d/1-SOOgACp6dnzzYdlh2PFI-ANnAwmf5c6/view?usp=drivesdk</v>
      </c>
      <c r="R1457" s="503" t="s">
        <v>8067</v>
      </c>
      <c r="S1457" s="503" t="s">
        <v>8068</v>
      </c>
      <c r="T1457" s="510" t="s">
        <v>8069</v>
      </c>
      <c r="U1457" s="503" t="s">
        <v>8259</v>
      </c>
      <c r="V1457" s="360" t="str">
        <f t="shared" si="106"/>
        <v>10.1016--j.jesp.2015.10.012.pdf</v>
      </c>
      <c r="W1457" s="503" t="s">
        <v>7500</v>
      </c>
      <c r="X1457" s="54" t="str">
        <f t="array" ref="X1457"> if(iserror(MATCH(V1457, 'File Links'!C:C, 0)), "N/A", HYPERLINK(INDEX('File Links'!B:B, MATCH(V1457, 'File Links'!C:C, 0))))</f>
        <v>https://drive.google.com/file/d/1xuc-fvipcLZQMaybgsFtBL29-3ClXZFF/view?usp=drivesdk</v>
      </c>
      <c r="Y1457" s="342"/>
      <c r="Z1457" s="503" t="s">
        <v>148</v>
      </c>
      <c r="AA1457" s="503" t="s">
        <v>8260</v>
      </c>
      <c r="AB1457" s="503" t="s">
        <v>8261</v>
      </c>
      <c r="AC1457" s="503" t="s">
        <v>8262</v>
      </c>
      <c r="AD1457" s="503" t="s">
        <v>8263</v>
      </c>
      <c r="AE1457" s="503" t="s">
        <v>8264</v>
      </c>
      <c r="AF1457" s="1480">
        <v>98.0</v>
      </c>
      <c r="AG1457" s="503" t="s">
        <v>8265</v>
      </c>
      <c r="AH1457" s="167" t="s">
        <v>138</v>
      </c>
      <c r="AI1457" s="503" t="s">
        <v>8266</v>
      </c>
      <c r="AJ1457" s="1481">
        <v>0.05</v>
      </c>
      <c r="AK1457" s="504" t="s">
        <v>135</v>
      </c>
      <c r="AL1457" s="504" t="s">
        <v>136</v>
      </c>
      <c r="AM1457" s="1482" t="s">
        <v>137</v>
      </c>
      <c r="AN1457" s="330" t="s">
        <v>138</v>
      </c>
      <c r="AO1457" s="1483">
        <v>1200.0</v>
      </c>
      <c r="AP1457" s="1480">
        <v>0.12</v>
      </c>
      <c r="AQ1457" s="503" t="s">
        <v>173</v>
      </c>
      <c r="AR1457" s="503" t="s">
        <v>8267</v>
      </c>
      <c r="AS1457" s="1480">
        <v>0.03</v>
      </c>
      <c r="AT1457" s="503" t="s">
        <v>135</v>
      </c>
      <c r="AU1457" s="503" t="s">
        <v>136</v>
      </c>
      <c r="AV1457" s="1482" t="s">
        <v>137</v>
      </c>
      <c r="AW1457" s="1482" t="s">
        <v>7508</v>
      </c>
      <c r="AX1457" s="1482" t="s">
        <v>143</v>
      </c>
      <c r="AY1457" s="61" t="str">
        <f>IFERROR(__xludf.DUMMYFUNCTION("vlookup(BB1457,importrange(""https://docs.google.com/spreadsheets/d/1d2vevQ_7D_v35q4wCQ4RpQ_IPoTwEMB9Yp6ymwlPqew/edit?gid=984458430#gid=984458430"", ""'replication success'!A:K""), 11, FAlSE)"),"#N/A")</f>
        <v>#N/A</v>
      </c>
      <c r="AZ1457" s="61" t="str">
        <f>IFERROR(__xludf.DUMMYFUNCTION("vlookup(BB1457,importrange(""https://docs.google.com/spreadsheets/d/1d2vevQ_7D_v35q4wCQ4RpQ_IPoTwEMB9Yp6ymwlPqew/edit?gid=984458430#gid=984458430"", ""'replication success'!A:M""), 12, FAlSE)"),"#N/A")</f>
        <v>#N/A</v>
      </c>
      <c r="BA1457" s="61" t="str">
        <f>IFERROR(__xludf.DUMMYFUNCTION("vlookup(BB1457,importrange(""https://docs.google.com/spreadsheets/d/1d2vevQ_7D_v35q4wCQ4RpQ_IPoTwEMB9Yp6ymwlPqew/edit?gid=984458430#gid=984458430"", ""'replication success'!A:M""), 13, FAlSE)"),"#N/A")</f>
        <v>#N/A</v>
      </c>
      <c r="BB1457" s="61" t="str">
        <f>IFERROR(__xludf.DUMMYFUNCTION("REGEXREPLACE(G1457, ""_[a-z]{1,2}$"", """")"),"curatescience600_1")</f>
        <v>curatescience600_1</v>
      </c>
      <c r="BC1457" s="341" t="s">
        <v>8268</v>
      </c>
      <c r="BD1457" s="341" t="s">
        <v>692</v>
      </c>
      <c r="BE1457" s="92"/>
      <c r="BF1457" s="92"/>
    </row>
    <row r="1458">
      <c r="A1458" s="44">
        <v>1458.0</v>
      </c>
      <c r="B1458" s="341" t="s">
        <v>152</v>
      </c>
      <c r="C1458" s="341" t="s">
        <v>115</v>
      </c>
      <c r="D1458" s="341" t="s">
        <v>1234</v>
      </c>
      <c r="E1458" s="342"/>
      <c r="F1458" s="360" t="s">
        <v>8255</v>
      </c>
      <c r="G1458" s="47" t="str">
        <f t="shared" si="107"/>
        <v>curatescience600_2</v>
      </c>
      <c r="H1458" s="360" t="s">
        <v>6955</v>
      </c>
      <c r="I1458" s="344">
        <v>45901.0</v>
      </c>
      <c r="J1458" s="344">
        <v>45901.0</v>
      </c>
      <c r="K1458" s="46"/>
      <c r="L1458" s="56" t="s">
        <v>8269</v>
      </c>
      <c r="M1458" s="1450" t="s">
        <v>8257</v>
      </c>
      <c r="N1458" s="360" t="s">
        <v>8258</v>
      </c>
      <c r="O1458" s="357">
        <v>1.0</v>
      </c>
      <c r="P1458" s="517" t="str">
        <f t="shared" si="108"/>
        <v>10.1016--s0010-0277(99)00073-6.pdf</v>
      </c>
      <c r="Q1458" s="52" t="str">
        <f t="array" ref="Q1458"> if(iserror(MATCH(V1458, 'File Links'!C:C, 0)), "N/A", HYPERLINK(INDEX('File Links'!B:B, MATCH(P1458, 'File Links'!C:C, 0))))</f>
        <v>https://drive.google.com/file/d/1-SOOgACp6dnzzYdlh2PFI-ANnAwmf5c6/view?usp=drivesdk</v>
      </c>
      <c r="R1458" s="503" t="s">
        <v>8067</v>
      </c>
      <c r="S1458" s="503" t="s">
        <v>8068</v>
      </c>
      <c r="T1458" s="510" t="s">
        <v>8069</v>
      </c>
      <c r="U1458" s="56">
        <v>2.0</v>
      </c>
      <c r="V1458" s="360" t="str">
        <f t="shared" si="106"/>
        <v>10.1016--j.jesp.2015.10.012.pdf</v>
      </c>
      <c r="W1458" s="56" t="s">
        <v>8270</v>
      </c>
      <c r="X1458" s="54" t="str">
        <f t="array" ref="X1458"> if(iserror(MATCH(V1458, 'File Links'!C:C, 0)), "N/A", HYPERLINK(INDEX('File Links'!B:B, MATCH(V1458, 'File Links'!C:C, 0))))</f>
        <v>https://drive.google.com/file/d/1xuc-fvipcLZQMaybgsFtBL29-3ClXZFF/view?usp=drivesdk</v>
      </c>
      <c r="Y1458" s="342"/>
      <c r="Z1458" s="360" t="s">
        <v>148</v>
      </c>
      <c r="AA1458" s="360" t="s">
        <v>8271</v>
      </c>
      <c r="AB1458" s="503" t="s">
        <v>8261</v>
      </c>
      <c r="AC1458" s="503" t="s">
        <v>8262</v>
      </c>
      <c r="AD1458" s="1644" t="s">
        <v>8272</v>
      </c>
      <c r="AE1458" s="357">
        <v>9.0</v>
      </c>
      <c r="AF1458" s="357">
        <v>56.0</v>
      </c>
      <c r="AG1458" s="357">
        <v>0.63</v>
      </c>
      <c r="AH1458" s="360" t="s">
        <v>173</v>
      </c>
      <c r="AI1458" s="56" t="s">
        <v>8273</v>
      </c>
      <c r="AJ1458" s="386">
        <v>0.05</v>
      </c>
      <c r="AK1458" s="47" t="s">
        <v>135</v>
      </c>
      <c r="AL1458" s="56" t="s">
        <v>186</v>
      </c>
      <c r="AM1458" s="46" t="s">
        <v>137</v>
      </c>
      <c r="AN1458" s="330" t="s">
        <v>138</v>
      </c>
      <c r="AO1458" s="357">
        <v>1335.0</v>
      </c>
      <c r="AP1458" s="357">
        <v>0.26</v>
      </c>
      <c r="AQ1458" s="360" t="s">
        <v>173</v>
      </c>
      <c r="AR1458" s="56" t="s">
        <v>8274</v>
      </c>
      <c r="AS1458" s="357">
        <v>0.001</v>
      </c>
      <c r="AT1458" s="360" t="s">
        <v>135</v>
      </c>
      <c r="AU1458" s="56" t="s">
        <v>186</v>
      </c>
      <c r="AV1458" s="46" t="s">
        <v>137</v>
      </c>
      <c r="AW1458" s="1645" t="s">
        <v>8069</v>
      </c>
      <c r="AX1458" s="46" t="s">
        <v>143</v>
      </c>
      <c r="AY1458" s="61" t="str">
        <f>IFERROR(__xludf.DUMMYFUNCTION("vlookup(BB1458,importrange(""https://docs.google.com/spreadsheets/d/1d2vevQ_7D_v35q4wCQ4RpQ_IPoTwEMB9Yp6ymwlPqew/edit?gid=984458430#gid=984458430"", ""'replication success'!A:K""), 11, FAlSE)"),"successful")</f>
        <v>successful</v>
      </c>
      <c r="AZ1458" s="61" t="str">
        <f>IFERROR(__xludf.DUMMYFUNCTION("vlookup(BB1458,importrange(""https://docs.google.com/spreadsheets/d/1d2vevQ_7D_v35q4wCQ4RpQ_IPoTwEMB9Yp6ymwlPqew/edit?gid=984458430#gid=984458430"", ""'replication success'!A:M""), 12, FAlSE)"),"The effect size was weaker, and the condition differences were shifted toward selecting Friday, compared to the original study, but the replications were nonetheless consistent with the key feature of the original demonstration: object-priming increased t"&amp;"he likelihood of selecting Monday compared to Friday.")</f>
        <v>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v>
      </c>
      <c r="BA1458" s="61" t="str">
        <f>IFERROR(__xludf.DUMMYFUNCTION("vlookup(BB1458,importrange(""https://docs.google.com/spreadsheets/d/1d2vevQ_7D_v35q4wCQ4RpQ_IPoTwEMB9Yp6ymwlPqew/edit?gid=984458430#gid=984458430"", ""'replication success'!A:M""), 13, FAlSE)"),"pg.7")</f>
        <v>pg.7</v>
      </c>
      <c r="BB1458" s="61" t="str">
        <f>IFERROR(__xludf.DUMMYFUNCTION("REGEXREPLACE(G1458, ""_[a-z]{1,2}$"", """")"),"curatescience600_2")</f>
        <v>curatescience600_2</v>
      </c>
      <c r="BC1458" s="341" t="s">
        <v>8275</v>
      </c>
      <c r="BD1458" s="341" t="s">
        <v>692</v>
      </c>
    </row>
    <row r="1459">
      <c r="A1459" s="44">
        <v>1459.0</v>
      </c>
      <c r="B1459" s="341" t="s">
        <v>114</v>
      </c>
      <c r="C1459" s="341" t="s">
        <v>115</v>
      </c>
      <c r="D1459" s="341" t="s">
        <v>2630</v>
      </c>
      <c r="E1459" s="342"/>
      <c r="F1459" s="503" t="s">
        <v>8276</v>
      </c>
      <c r="G1459" s="504" t="str">
        <f t="shared" si="107"/>
        <v>curatescience620_1</v>
      </c>
      <c r="H1459" s="503" t="s">
        <v>7492</v>
      </c>
      <c r="I1459" s="505">
        <v>45675.0</v>
      </c>
      <c r="J1459" s="505">
        <v>45676.0</v>
      </c>
      <c r="K1459" s="46"/>
      <c r="L1459" s="46"/>
      <c r="M1459" s="1446" t="s">
        <v>8277</v>
      </c>
      <c r="N1459" s="503" t="s">
        <v>8278</v>
      </c>
      <c r="O1459" s="56">
        <v>3.0</v>
      </c>
      <c r="P1459" s="1642" t="str">
        <f t="shared" si="108"/>
        <v>10.1016--0010-0285(73)90033-9.pdf</v>
      </c>
      <c r="Q1459" s="52" t="str">
        <f t="array" ref="Q1459"> if(iserror(MATCH(V1459, 'File Links'!C:C, 0)), "N/A", HYPERLINK(INDEX('File Links'!B:B, MATCH(P1459, 'File Links'!C:C, 0))))</f>
        <v>https://drive.google.com/file/d/1p9X3tD24EWbnOA_5MSM9HTgujzLisIGn/view?usp=drivesdk</v>
      </c>
      <c r="R1459" s="503" t="s">
        <v>8067</v>
      </c>
      <c r="S1459" s="503" t="s">
        <v>8068</v>
      </c>
      <c r="T1459" s="510" t="s">
        <v>8069</v>
      </c>
      <c r="U1459" s="503" t="s">
        <v>8279</v>
      </c>
      <c r="V1459" s="360" t="str">
        <f t="shared" si="106"/>
        <v>10.1016--j.jesp.2015.10.012.pdf</v>
      </c>
      <c r="W1459" s="503" t="s">
        <v>7500</v>
      </c>
      <c r="X1459" s="54" t="str">
        <f t="array" ref="X1459"> if(iserror(MATCH(V1459, 'File Links'!C:C, 0)), "N/A", HYPERLINK(INDEX('File Links'!B:B, MATCH(V1459, 'File Links'!C:C, 0))))</f>
        <v>https://drive.google.com/file/d/1xuc-fvipcLZQMaybgsFtBL29-3ClXZFF/view?usp=drivesdk</v>
      </c>
      <c r="Y1459" s="342"/>
      <c r="Z1459" s="503" t="s">
        <v>148</v>
      </c>
      <c r="AA1459" s="503" t="s">
        <v>8280</v>
      </c>
      <c r="AB1459" s="503" t="s">
        <v>8281</v>
      </c>
      <c r="AC1459" s="503" t="s">
        <v>8282</v>
      </c>
      <c r="AD1459" s="503" t="s">
        <v>8283</v>
      </c>
      <c r="AE1459" s="503" t="s">
        <v>8284</v>
      </c>
      <c r="AF1459" s="1480">
        <v>152.0</v>
      </c>
      <c r="AG1459" s="1480">
        <v>0.82</v>
      </c>
      <c r="AH1459" s="514" t="s">
        <v>173</v>
      </c>
      <c r="AI1459" s="503" t="s">
        <v>8285</v>
      </c>
      <c r="AJ1459" s="1481">
        <v>0.001</v>
      </c>
      <c r="AK1459" s="504" t="s">
        <v>135</v>
      </c>
      <c r="AL1459" s="504" t="s">
        <v>136</v>
      </c>
      <c r="AM1459" s="1482" t="s">
        <v>137</v>
      </c>
      <c r="AN1459" s="330" t="s">
        <v>138</v>
      </c>
      <c r="AO1459" s="1483">
        <v>1450.0</v>
      </c>
      <c r="AP1459" s="1480">
        <v>0.78</v>
      </c>
      <c r="AQ1459" s="503" t="s">
        <v>173</v>
      </c>
      <c r="AR1459" s="503" t="s">
        <v>8286</v>
      </c>
      <c r="AS1459" s="1480">
        <v>0.001</v>
      </c>
      <c r="AT1459" s="503" t="s">
        <v>135</v>
      </c>
      <c r="AU1459" s="503" t="s">
        <v>136</v>
      </c>
      <c r="AV1459" s="1482" t="s">
        <v>137</v>
      </c>
      <c r="AW1459" s="1482" t="s">
        <v>7508</v>
      </c>
      <c r="AX1459" s="1482" t="s">
        <v>143</v>
      </c>
      <c r="AY1459" s="61" t="str">
        <f>IFERROR(__xludf.DUMMYFUNCTION("vlookup(BB1459,importrange(""https://docs.google.com/spreadsheets/d/1d2vevQ_7D_v35q4wCQ4RpQ_IPoTwEMB9Yp6ymwlPqew/edit?gid=984458430#gid=984458430"", ""'replication success'!A:K""), 11, FAlSE)"),"#N/A")</f>
        <v>#N/A</v>
      </c>
      <c r="AZ1459" s="61" t="str">
        <f>IFERROR(__xludf.DUMMYFUNCTION("vlookup(BB1459,importrange(""https://docs.google.com/spreadsheets/d/1d2vevQ_7D_v35q4wCQ4RpQ_IPoTwEMB9Yp6ymwlPqew/edit?gid=984458430#gid=984458430"", ""'replication success'!A:M""), 12, FAlSE)"),"#N/A")</f>
        <v>#N/A</v>
      </c>
      <c r="BA1459" s="61" t="str">
        <f>IFERROR(__xludf.DUMMYFUNCTION("vlookup(BB1459,importrange(""https://docs.google.com/spreadsheets/d/1d2vevQ_7D_v35q4wCQ4RpQ_IPoTwEMB9Yp6ymwlPqew/edit?gid=984458430#gid=984458430"", ""'replication success'!A:M""), 13, FAlSE)"),"#N/A")</f>
        <v>#N/A</v>
      </c>
      <c r="BB1459" s="61" t="str">
        <f>IFERROR(__xludf.DUMMYFUNCTION("REGEXREPLACE(G1459, ""_[a-z]{1,2}$"", """")"),"curatescience620_1")</f>
        <v>curatescience620_1</v>
      </c>
      <c r="BC1459" s="341" t="s">
        <v>8287</v>
      </c>
      <c r="BD1459" s="341" t="s">
        <v>692</v>
      </c>
    </row>
    <row r="1460">
      <c r="A1460" s="44">
        <v>1460.0</v>
      </c>
      <c r="B1460" s="341" t="s">
        <v>152</v>
      </c>
      <c r="C1460" s="341" t="s">
        <v>115</v>
      </c>
      <c r="D1460" s="341" t="s">
        <v>1234</v>
      </c>
      <c r="E1460" s="342"/>
      <c r="F1460" s="360" t="s">
        <v>8276</v>
      </c>
      <c r="G1460" s="47" t="str">
        <f t="shared" si="107"/>
        <v>curatescience620_2</v>
      </c>
      <c r="H1460" s="360" t="s">
        <v>6955</v>
      </c>
      <c r="I1460" s="344">
        <v>45901.0</v>
      </c>
      <c r="J1460" s="344">
        <v>45901.0</v>
      </c>
      <c r="K1460" s="46"/>
      <c r="L1460" s="56" t="s">
        <v>8288</v>
      </c>
      <c r="M1460" s="1446" t="s">
        <v>8277</v>
      </c>
      <c r="N1460" s="360" t="s">
        <v>8278</v>
      </c>
      <c r="O1460" s="357">
        <v>3.0</v>
      </c>
      <c r="P1460" s="517" t="str">
        <f t="shared" si="108"/>
        <v>10.1016--0010-0285(73)90033-9.pdf</v>
      </c>
      <c r="Q1460" s="52" t="str">
        <f t="array" ref="Q1460"> if(iserror(MATCH(V1460, 'File Links'!C:C, 0)), "N/A", HYPERLINK(INDEX('File Links'!B:B, MATCH(P1460, 'File Links'!C:C, 0))))</f>
        <v>https://drive.google.com/file/d/1p9X3tD24EWbnOA_5MSM9HTgujzLisIGn/view?usp=drivesdk</v>
      </c>
      <c r="R1460" s="503" t="s">
        <v>8067</v>
      </c>
      <c r="S1460" s="503" t="s">
        <v>8068</v>
      </c>
      <c r="T1460" s="510" t="s">
        <v>8069</v>
      </c>
      <c r="U1460" s="56">
        <v>4.3</v>
      </c>
      <c r="V1460" s="360" t="str">
        <f t="shared" si="106"/>
        <v>10.1016--j.jesp.2015.10.012.pdf</v>
      </c>
      <c r="W1460" s="56" t="s">
        <v>8270</v>
      </c>
      <c r="X1460" s="54" t="str">
        <f t="array" ref="X1460"> if(iserror(MATCH(V1460, 'File Links'!C:C, 0)), "N/A", HYPERLINK(INDEX('File Links'!B:B, MATCH(V1460, 'File Links'!C:C, 0))))</f>
        <v>https://drive.google.com/file/d/1xuc-fvipcLZQMaybgsFtBL29-3ClXZFF/view?usp=drivesdk</v>
      </c>
      <c r="Y1460" s="342"/>
      <c r="Z1460" s="360" t="s">
        <v>210</v>
      </c>
      <c r="AA1460" s="360" t="s">
        <v>8289</v>
      </c>
      <c r="AB1460" s="503" t="s">
        <v>8281</v>
      </c>
      <c r="AC1460" s="503" t="s">
        <v>8282</v>
      </c>
      <c r="AD1460" s="360" t="s">
        <v>8290</v>
      </c>
      <c r="AE1460" s="357">
        <v>212.0</v>
      </c>
      <c r="AF1460" s="357">
        <v>152.0</v>
      </c>
      <c r="AG1460" s="357">
        <v>0.82</v>
      </c>
      <c r="AH1460" s="360" t="s">
        <v>173</v>
      </c>
      <c r="AI1460" s="56" t="s">
        <v>8291</v>
      </c>
      <c r="AJ1460" s="386">
        <v>0.001</v>
      </c>
      <c r="AK1460" s="47" t="s">
        <v>135</v>
      </c>
      <c r="AL1460" s="47" t="s">
        <v>218</v>
      </c>
      <c r="AM1460" s="46" t="s">
        <v>137</v>
      </c>
      <c r="AN1460" s="330" t="s">
        <v>138</v>
      </c>
      <c r="AO1460" s="357">
        <v>3088.0</v>
      </c>
      <c r="AP1460" s="357">
        <v>0.09</v>
      </c>
      <c r="AQ1460" s="360" t="s">
        <v>173</v>
      </c>
      <c r="AR1460" s="56" t="s">
        <v>8292</v>
      </c>
      <c r="AS1460" s="357">
        <v>0.015</v>
      </c>
      <c r="AT1460" s="360" t="s">
        <v>172</v>
      </c>
      <c r="AU1460" s="56" t="s">
        <v>186</v>
      </c>
      <c r="AV1460" s="56" t="s">
        <v>137</v>
      </c>
      <c r="AW1460" s="1645" t="s">
        <v>8069</v>
      </c>
      <c r="AX1460" s="46" t="s">
        <v>143</v>
      </c>
      <c r="AY1460" s="61" t="str">
        <f>IFERROR(__xludf.DUMMYFUNCTION("vlookup(BB1460,importrange(""https://docs.google.com/spreadsheets/d/1d2vevQ_7D_v35q4wCQ4RpQ_IPoTwEMB9Yp6ymwlPqew/edit?gid=984458430#gid=984458430"", ""'replication success'!A:K""), 11, FAlSE)"),"successful")</f>
        <v>successful</v>
      </c>
      <c r="AZ1460" s="61" t="str">
        <f>IFERROR(__xludf.DUMMYFUNCTION("vlookup(BB1460,importrange(""https://docs.google.com/spreadsheets/d/1d2vevQ_7D_v35q4wCQ4RpQ_IPoTwEMB9Yp6ymwlPqew/edit?gid=984458430#gid=984458430"", ""'replication success'!A:M""), 12, FAlSE)"),"Participants estimated that the letters appeared more frequently in the first compared to the third position on average (M = −0.79, SD = 1.59), t(2901) = −26.77, p &lt; .001, d = −.50, 95% CI = [−.54, −.46], and the effect size was much stronger than the ori"&amp;"ginal estimation strategy.")</f>
        <v>Participants estimated that the letters appeared more frequently in the first compared to the third position on average (M = −0.79, SD = 1.59), t(2901) = −26.77, p &lt; .001, d = −.50, 95% CI = [−.54, −.46], and the effect size was much stronger than the original estimation strategy.</v>
      </c>
      <c r="BA1460" s="61" t="str">
        <f>IFERROR(__xludf.DUMMYFUNCTION("vlookup(BB1460,importrange(""https://docs.google.com/spreadsheets/d/1d2vevQ_7D_v35q4wCQ4RpQ_IPoTwEMB9Yp6ymwlPqew/edit?gid=984458430#gid=984458430"", ""'replication success'!A:M""), 13, FAlSE)"),"pg.7 ")</f>
        <v>pg.7 </v>
      </c>
      <c r="BB1460" s="61" t="str">
        <f>IFERROR(__xludf.DUMMYFUNCTION("REGEXREPLACE(G1460, ""_[a-z]{1,2}$"", """")"),"curatescience620_2")</f>
        <v>curatescience620_2</v>
      </c>
      <c r="BC1460" s="341" t="s">
        <v>8293</v>
      </c>
      <c r="BD1460" s="341" t="s">
        <v>692</v>
      </c>
    </row>
    <row r="1461">
      <c r="A1461" s="44">
        <v>1461.0</v>
      </c>
      <c r="B1461" s="341" t="s">
        <v>114</v>
      </c>
      <c r="C1461" s="341" t="s">
        <v>115</v>
      </c>
      <c r="D1461" s="341" t="s">
        <v>2630</v>
      </c>
      <c r="E1461" s="342"/>
      <c r="F1461" s="503" t="s">
        <v>8294</v>
      </c>
      <c r="G1461" s="504" t="str">
        <f t="shared" si="107"/>
        <v>curatescience641_1</v>
      </c>
      <c r="H1461" s="503" t="s">
        <v>7492</v>
      </c>
      <c r="I1461" s="505">
        <v>45675.0</v>
      </c>
      <c r="J1461" s="505">
        <v>45676.0</v>
      </c>
      <c r="K1461" s="46"/>
      <c r="L1461" s="46"/>
      <c r="M1461" s="1446" t="s">
        <v>8295</v>
      </c>
      <c r="N1461" s="503" t="s">
        <v>8296</v>
      </c>
      <c r="O1461" s="56" t="s">
        <v>3580</v>
      </c>
      <c r="P1461" s="1642" t="str">
        <f t="shared" si="108"/>
        <v>10.1111--j.1467-9280.2006.01824.x.pdf</v>
      </c>
      <c r="Q1461" s="52" t="str">
        <f t="array" ref="Q1461"> if(iserror(MATCH(V1461, 'File Links'!C:C, 0)), "N/A", HYPERLINK(INDEX('File Links'!B:B, MATCH(P1461, 'File Links'!C:C, 0))))</f>
        <v>https://drive.google.com/file/d/14h-UnLvc59XK91wSbRiIAUMtz5chtiz5/view?usp=drivesdk</v>
      </c>
      <c r="R1461" s="503" t="s">
        <v>8067</v>
      </c>
      <c r="S1461" s="503" t="s">
        <v>8068</v>
      </c>
      <c r="T1461" s="510" t="s">
        <v>8069</v>
      </c>
      <c r="U1461" s="503" t="s">
        <v>8297</v>
      </c>
      <c r="V1461" s="360" t="str">
        <f t="shared" si="106"/>
        <v>10.1016--j.jesp.2015.10.012.pdf</v>
      </c>
      <c r="W1461" s="503" t="s">
        <v>7500</v>
      </c>
      <c r="X1461" s="54" t="str">
        <f t="array" ref="X1461"> if(iserror(MATCH(V1461, 'File Links'!C:C, 0)), "N/A", HYPERLINK(INDEX('File Links'!B:B, MATCH(V1461, 'File Links'!C:C, 0))))</f>
        <v>https://drive.google.com/file/d/1xuc-fvipcLZQMaybgsFtBL29-3ClXZFF/view?usp=drivesdk</v>
      </c>
      <c r="Y1461" s="342"/>
      <c r="Z1461" s="503" t="s">
        <v>226</v>
      </c>
      <c r="AA1461" s="503" t="s">
        <v>8298</v>
      </c>
      <c r="AB1461" s="503" t="s">
        <v>8299</v>
      </c>
      <c r="AC1461" s="503" t="s">
        <v>8300</v>
      </c>
      <c r="AD1461" s="503" t="s">
        <v>8301</v>
      </c>
      <c r="AE1461" s="503" t="s">
        <v>8302</v>
      </c>
      <c r="AF1461" s="1480">
        <v>42.0</v>
      </c>
      <c r="AG1461" s="1480">
        <v>0.77</v>
      </c>
      <c r="AH1461" s="514" t="s">
        <v>173</v>
      </c>
      <c r="AI1461" s="503" t="s">
        <v>8303</v>
      </c>
      <c r="AJ1461" s="1481">
        <v>0.02</v>
      </c>
      <c r="AK1461" s="504" t="s">
        <v>172</v>
      </c>
      <c r="AL1461" s="504" t="s">
        <v>136</v>
      </c>
      <c r="AM1461" s="1482" t="s">
        <v>137</v>
      </c>
      <c r="AN1461" s="330" t="s">
        <v>138</v>
      </c>
      <c r="AO1461" s="1483">
        <v>1200.0</v>
      </c>
      <c r="AP1461" s="1480">
        <v>0.18</v>
      </c>
      <c r="AQ1461" s="503" t="s">
        <v>173</v>
      </c>
      <c r="AR1461" s="503" t="s">
        <v>8304</v>
      </c>
      <c r="AS1461" s="1480">
        <v>0.04</v>
      </c>
      <c r="AT1461" s="503" t="s">
        <v>135</v>
      </c>
      <c r="AU1461" s="503" t="s">
        <v>136</v>
      </c>
      <c r="AV1461" s="1482" t="s">
        <v>137</v>
      </c>
      <c r="AW1461" s="1482" t="s">
        <v>7508</v>
      </c>
      <c r="AX1461" s="1482" t="s">
        <v>143</v>
      </c>
      <c r="AY1461" s="61" t="str">
        <f>IFERROR(__xludf.DUMMYFUNCTION("vlookup(BB1461,importrange(""https://docs.google.com/spreadsheets/d/1d2vevQ_7D_v35q4wCQ4RpQ_IPoTwEMB9Yp6ymwlPqew/edit?gid=984458430#gid=984458430"", ""'replication success'!A:K""), 11, FAlSE)"),"#N/A")</f>
        <v>#N/A</v>
      </c>
      <c r="AZ1461" s="61" t="str">
        <f>IFERROR(__xludf.DUMMYFUNCTION("vlookup(BB1461,importrange(""https://docs.google.com/spreadsheets/d/1d2vevQ_7D_v35q4wCQ4RpQ_IPoTwEMB9Yp6ymwlPqew/edit?gid=984458430#gid=984458430"", ""'replication success'!A:M""), 12, FAlSE)"),"#N/A")</f>
        <v>#N/A</v>
      </c>
      <c r="BA1461" s="61" t="str">
        <f>IFERROR(__xludf.DUMMYFUNCTION("vlookup(BB1461,importrange(""https://docs.google.com/spreadsheets/d/1d2vevQ_7D_v35q4wCQ4RpQ_IPoTwEMB9Yp6ymwlPqew/edit?gid=984458430#gid=984458430"", ""'replication success'!A:M""), 13, FAlSE)"),"#N/A")</f>
        <v>#N/A</v>
      </c>
      <c r="BB1461" s="61" t="str">
        <f>IFERROR(__xludf.DUMMYFUNCTION("REGEXREPLACE(G1461, ""_[a-z]{1,2}$"", """")"),"curatescience641_1")</f>
        <v>curatescience641_1</v>
      </c>
      <c r="BC1461" s="342"/>
      <c r="BD1461" s="341" t="s">
        <v>692</v>
      </c>
    </row>
    <row r="1462">
      <c r="A1462" s="44">
        <v>1462.0</v>
      </c>
      <c r="B1462" s="341" t="s">
        <v>152</v>
      </c>
      <c r="C1462" s="341" t="s">
        <v>115</v>
      </c>
      <c r="D1462" s="341" t="s">
        <v>1234</v>
      </c>
      <c r="E1462" s="342"/>
      <c r="F1462" s="360" t="s">
        <v>8294</v>
      </c>
      <c r="G1462" s="47" t="str">
        <f t="shared" si="107"/>
        <v>curatescience641_2</v>
      </c>
      <c r="H1462" s="360" t="s">
        <v>6955</v>
      </c>
      <c r="I1462" s="344">
        <v>45901.0</v>
      </c>
      <c r="J1462" s="344">
        <v>45901.0</v>
      </c>
      <c r="K1462" s="46"/>
      <c r="L1462" s="56" t="s">
        <v>8305</v>
      </c>
      <c r="M1462" s="1446" t="s">
        <v>8295</v>
      </c>
      <c r="N1462" s="360" t="s">
        <v>8296</v>
      </c>
      <c r="O1462" s="343" t="s">
        <v>3580</v>
      </c>
      <c r="P1462" s="517" t="str">
        <f t="shared" si="108"/>
        <v>10.1111--j.1467-9280.2006.01824.x.pdf</v>
      </c>
      <c r="Q1462" s="52" t="str">
        <f t="array" ref="Q1462"> if(iserror(MATCH(V1462, 'File Links'!C:C, 0)), "N/A", HYPERLINK(INDEX('File Links'!B:B, MATCH(P1462, 'File Links'!C:C, 0))))</f>
        <v>https://drive.google.com/file/d/14h-UnLvc59XK91wSbRiIAUMtz5chtiz5/view?usp=drivesdk</v>
      </c>
      <c r="R1462" s="503" t="s">
        <v>8067</v>
      </c>
      <c r="S1462" s="503" t="s">
        <v>8068</v>
      </c>
      <c r="T1462" s="510" t="s">
        <v>8069</v>
      </c>
      <c r="U1462" s="56">
        <v>1.0</v>
      </c>
      <c r="V1462" s="360" t="str">
        <f t="shared" si="106"/>
        <v>10.1016--j.jesp.2015.10.012.pdf</v>
      </c>
      <c r="W1462" s="56" t="s">
        <v>8306</v>
      </c>
      <c r="X1462" s="54" t="str">
        <f t="array" ref="X1462"> if(iserror(MATCH(V1462, 'File Links'!C:C, 0)), "N/A", HYPERLINK(INDEX('File Links'!B:B, MATCH(V1462, 'File Links'!C:C, 0))))</f>
        <v>https://drive.google.com/file/d/1xuc-fvipcLZQMaybgsFtBL29-3ClXZFF/view?usp=drivesdk</v>
      </c>
      <c r="Y1462" s="46"/>
      <c r="Z1462" s="360" t="s">
        <v>295</v>
      </c>
      <c r="AA1462" s="503" t="s">
        <v>8298</v>
      </c>
      <c r="AB1462" s="503" t="s">
        <v>8299</v>
      </c>
      <c r="AC1462" s="503" t="s">
        <v>8300</v>
      </c>
      <c r="AD1462" s="360" t="s">
        <v>8307</v>
      </c>
      <c r="AE1462" s="357">
        <v>1071.0</v>
      </c>
      <c r="AF1462" s="357">
        <v>42.0</v>
      </c>
      <c r="AG1462" s="357">
        <v>0.77</v>
      </c>
      <c r="AH1462" s="360" t="s">
        <v>173</v>
      </c>
      <c r="AI1462" s="56" t="s">
        <v>8303</v>
      </c>
      <c r="AJ1462" s="386">
        <v>0.02</v>
      </c>
      <c r="AK1462" s="47" t="s">
        <v>172</v>
      </c>
      <c r="AL1462" s="47" t="s">
        <v>186</v>
      </c>
      <c r="AM1462" s="46" t="s">
        <v>137</v>
      </c>
      <c r="AN1462" s="56" t="s">
        <v>138</v>
      </c>
      <c r="AO1462" s="357">
        <v>2969.0</v>
      </c>
      <c r="AP1462" s="357">
        <v>0.03</v>
      </c>
      <c r="AQ1462" s="360" t="s">
        <v>173</v>
      </c>
      <c r="AR1462" s="56" t="s">
        <v>8308</v>
      </c>
      <c r="AS1462" s="357">
        <v>0.37</v>
      </c>
      <c r="AT1462" s="360" t="s">
        <v>172</v>
      </c>
      <c r="AU1462" s="360" t="s">
        <v>186</v>
      </c>
      <c r="AV1462" s="46" t="s">
        <v>137</v>
      </c>
      <c r="AW1462" s="1645" t="s">
        <v>8309</v>
      </c>
      <c r="AX1462" s="46" t="s">
        <v>143</v>
      </c>
      <c r="AY1462" s="61" t="str">
        <f>IFERROR(__xludf.DUMMYFUNCTION("vlookup(BB1462,importrange(""https://docs.google.com/spreadsheets/d/1d2vevQ_7D_v35q4wCQ4RpQ_IPoTwEMB9Yp6ymwlPqew/edit?gid=984458430#gid=984458430"", ""'replication success'!A:K""), 11, FAlSE)"),"failed")</f>
        <v>failed</v>
      </c>
      <c r="AZ1462" s="61" t="str">
        <f>IFERROR(__xludf.DUMMYFUNCTION("vlookup(BB1462,importrange(""https://docs.google.com/spreadsheets/d/1d2vevQ_7D_v35q4wCQ4RpQ_IPoTwEMB9Yp6ymwlPqew/edit?gid=984458430#gid=984458430"", ""'replication success'!A:M""), 12, FAlSE)"),"In sum, the replications did not provide evidence
of an effect of power on perspective taking.5")</f>
        <v>In sum, the replications did not provide evidence
of an effect of power on perspective taking.5</v>
      </c>
      <c r="BA1462" s="61" t="str">
        <f>IFERROR(__xludf.DUMMYFUNCTION("vlookup(BB1462,importrange(""https://docs.google.com/spreadsheets/d/1d2vevQ_7D_v35q4wCQ4RpQ_IPoTwEMB9Yp6ymwlPqew/edit?gid=984458430#gid=984458430"", ""'replication success'!A:M""), 13, FAlSE)"),"abstract")</f>
        <v>abstract</v>
      </c>
      <c r="BB1462" s="61" t="str">
        <f>IFERROR(__xludf.DUMMYFUNCTION("REGEXREPLACE(G1462, ""_[a-z]{1,2}$"", """")"),"curatescience641_2")</f>
        <v>curatescience641_2</v>
      </c>
      <c r="BC1462" s="341" t="s">
        <v>8310</v>
      </c>
      <c r="BD1462" s="341" t="s">
        <v>692</v>
      </c>
    </row>
    <row r="1463">
      <c r="A1463" s="44">
        <v>1463.0</v>
      </c>
      <c r="B1463" s="322" t="s">
        <v>152</v>
      </c>
      <c r="C1463" s="322" t="s">
        <v>115</v>
      </c>
      <c r="D1463" s="322" t="s">
        <v>153</v>
      </c>
      <c r="E1463" s="328"/>
      <c r="F1463" s="331" t="s">
        <v>8311</v>
      </c>
      <c r="G1463" s="412" t="s">
        <v>8312</v>
      </c>
      <c r="H1463" s="412" t="s">
        <v>153</v>
      </c>
      <c r="I1463" s="659">
        <v>45638.0</v>
      </c>
      <c r="J1463" s="1646">
        <v>45674.0</v>
      </c>
      <c r="K1463" s="390"/>
      <c r="L1463" s="390"/>
      <c r="M1463" s="324" t="s">
        <v>8313</v>
      </c>
      <c r="N1463" s="412" t="s">
        <v>8314</v>
      </c>
      <c r="O1463" s="1036">
        <v>1.0</v>
      </c>
      <c r="P1463" s="1647" t="s">
        <v>8315</v>
      </c>
      <c r="Q1463" s="52" t="str">
        <f t="array" ref="Q1463"> if(iserror(MATCH(V1463, 'File Links'!C:C, 0)), "N/A", HYPERLINK(INDEX('File Links'!B:B, MATCH(P1463, 'File Links'!C:C, 0))))</f>
        <v>https://drive.google.com/file/d/1VcKqsyqYAl_exqLf4Zk_sKFNXaU3WlBH/view?usp=drivesdk</v>
      </c>
      <c r="R1463" s="412" t="s">
        <v>8316</v>
      </c>
      <c r="S1463" s="412" t="s">
        <v>8317</v>
      </c>
      <c r="T1463" s="390"/>
      <c r="U1463" s="1037">
        <v>1.0</v>
      </c>
      <c r="V1463" s="198" t="str">
        <f t="shared" si="106"/>
        <v>10.1177--0956797613486983.pdf</v>
      </c>
      <c r="W1463" s="412" t="s">
        <v>3570</v>
      </c>
      <c r="X1463" s="54" t="str">
        <f t="array" ref="X1463"> if(iserror(MATCH(V1463, 'File Links'!C:C, 0)), "N/A", HYPERLINK(INDEX('File Links'!B:B, MATCH(V1463, 'File Links'!C:C, 0))))</f>
        <v>https://drive.google.com/file/d/1GB5oPjHVuDXBTZ2__Had-zRIf9ZK4G7S/view?usp=drivesdk</v>
      </c>
      <c r="Y1463" s="390"/>
      <c r="Z1463" s="412" t="s">
        <v>226</v>
      </c>
      <c r="AA1463" s="388" t="s">
        <v>8318</v>
      </c>
      <c r="AB1463" s="388" t="s">
        <v>8319</v>
      </c>
      <c r="AC1463" s="388" t="s">
        <v>8320</v>
      </c>
      <c r="AD1463" s="388" t="s">
        <v>8321</v>
      </c>
      <c r="AE1463" s="394">
        <v>1.0</v>
      </c>
      <c r="AF1463" s="1422">
        <v>56.0</v>
      </c>
      <c r="AG1463" s="412" t="s">
        <v>8322</v>
      </c>
      <c r="AH1463" s="660" t="s">
        <v>134</v>
      </c>
      <c r="AI1463" s="394">
        <v>1.0</v>
      </c>
      <c r="AJ1463" s="394">
        <v>0.028</v>
      </c>
      <c r="AK1463" s="244" t="s">
        <v>172</v>
      </c>
      <c r="AL1463" s="412" t="s">
        <v>136</v>
      </c>
      <c r="AM1463" s="390" t="s">
        <v>137</v>
      </c>
      <c r="AN1463" s="330" t="s">
        <v>138</v>
      </c>
      <c r="AO1463" s="394">
        <v>105.0</v>
      </c>
      <c r="AP1463" s="394">
        <v>2.28E-4</v>
      </c>
      <c r="AQ1463" s="116" t="s">
        <v>8323</v>
      </c>
      <c r="AR1463" s="412" t="s">
        <v>2771</v>
      </c>
      <c r="AS1463" s="394">
        <v>0.826</v>
      </c>
      <c r="AT1463" s="244" t="s">
        <v>172</v>
      </c>
      <c r="AU1463" s="1648" t="s">
        <v>186</v>
      </c>
      <c r="AV1463" s="331" t="s">
        <v>141</v>
      </c>
      <c r="AW1463" s="1040" t="s">
        <v>8324</v>
      </c>
      <c r="AX1463" s="1041" t="s">
        <v>143</v>
      </c>
      <c r="AY1463" s="61" t="str">
        <f>IFERROR(__xludf.DUMMYFUNCTION("vlookup(BB1463,importrange(""https://docs.google.com/spreadsheets/d/1d2vevQ_7D_v35q4wCQ4RpQ_IPoTwEMB9Yp6ymwlPqew/edit?gid=984458430#gid=984458430"", ""'replication success'!A:K""), 11, FAlSE)"),"failed")</f>
        <v>failed</v>
      </c>
      <c r="AZ1463" s="61" t="str">
        <f>IFERROR(__xludf.DUMMYFUNCTION("vlookup(BB1463,importrange(""https://docs.google.com/spreadsheets/d/1d2vevQ_7D_v35q4wCQ4RpQ_IPoTwEMB9Yp6ymwlPqew/edit?gid=984458430#gid=984458430"", ""'replication success'!A:M""), 12, FAlSE)"),"We did not replicate Vess’s finding in either sample (see Table 1).5
Inconsistent with what Vess reported, in
both of our samples, the nonsignificant positive relation
between anxious attachment and preferences for warm
refreshments was numerically larger"&amp;" in the ordinary-
event condition than in the romantic-breakup condition.")</f>
        <v>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v>
      </c>
      <c r="BA1463" s="61" t="str">
        <f>IFERROR(__xludf.DUMMYFUNCTION("vlookup(BB1463,importrange(""https://docs.google.com/spreadsheets/d/1d2vevQ_7D_v35q4wCQ4RpQ_IPoTwEMB9Yp6ymwlPqew/edit?gid=984458430#gid=984458430"", ""'replication success'!A:M""), 13, FAlSE)"),"abstract")</f>
        <v>abstract</v>
      </c>
      <c r="BB1463" s="61" t="str">
        <f>IFERROR(__xludf.DUMMYFUNCTION("REGEXREPLACE(G1463, ""_[a-z]{1,2}$"", """")"),"curatescience7")</f>
        <v>curatescience7</v>
      </c>
      <c r="BC1463" s="226"/>
      <c r="BD1463" s="1440" t="s">
        <v>144</v>
      </c>
    </row>
    <row r="1464">
      <c r="A1464" s="44">
        <v>1464.0</v>
      </c>
      <c r="B1464" s="1440" t="s">
        <v>114</v>
      </c>
      <c r="C1464" s="1440" t="s">
        <v>115</v>
      </c>
      <c r="D1464" s="1440" t="s">
        <v>176</v>
      </c>
      <c r="E1464" s="812"/>
      <c r="F1464" s="1444" t="s">
        <v>8311</v>
      </c>
      <c r="G1464" s="1649" t="s">
        <v>8312</v>
      </c>
      <c r="H1464" s="1648" t="s">
        <v>176</v>
      </c>
      <c r="I1464" s="1650">
        <v>45653.0</v>
      </c>
      <c r="J1464" s="1646">
        <v>45674.0</v>
      </c>
      <c r="K1464" s="1648" t="s">
        <v>8325</v>
      </c>
      <c r="L1464" s="1444"/>
      <c r="M1464" s="1651" t="s">
        <v>8313</v>
      </c>
      <c r="N1464" s="1648" t="s">
        <v>8314</v>
      </c>
      <c r="O1464" s="1652">
        <v>1.0</v>
      </c>
      <c r="P1464" s="1653" t="s">
        <v>8315</v>
      </c>
      <c r="Q1464" s="52" t="str">
        <f t="array" ref="Q1464"> if(iserror(MATCH(V1464, 'File Links'!C:C, 0)), "N/A", HYPERLINK(INDEX('File Links'!B:B, MATCH(P1464, 'File Links'!C:C, 0))))</f>
        <v>https://drive.google.com/file/d/1VcKqsyqYAl_exqLf4Zk_sKFNXaU3WlBH/view?usp=drivesdk</v>
      </c>
      <c r="R1464" s="1648" t="s">
        <v>8316</v>
      </c>
      <c r="S1464" s="1648" t="s">
        <v>8317</v>
      </c>
      <c r="T1464" s="1444"/>
      <c r="U1464" s="1652">
        <v>1.0</v>
      </c>
      <c r="V1464" s="198" t="str">
        <f t="shared" si="106"/>
        <v>10.1177--0956797613486983.pdf</v>
      </c>
      <c r="W1464" s="1648" t="s">
        <v>2125</v>
      </c>
      <c r="X1464" s="54" t="str">
        <f t="array" ref="X1464"> if(iserror(MATCH(V1464, 'File Links'!C:C, 0)), "N/A", HYPERLINK(INDEX('File Links'!B:B, MATCH(V1464, 'File Links'!C:C, 0))))</f>
        <v>https://drive.google.com/file/d/1GB5oPjHVuDXBTZ2__Had-zRIf9ZK4G7S/view?usp=drivesdk</v>
      </c>
      <c r="Y1464" s="1444"/>
      <c r="Z1464" s="1648" t="s">
        <v>226</v>
      </c>
      <c r="AA1464" s="1648" t="s">
        <v>8326</v>
      </c>
      <c r="AB1464" s="388" t="s">
        <v>8319</v>
      </c>
      <c r="AC1464" s="1648" t="s">
        <v>8327</v>
      </c>
      <c r="AD1464" s="1648" t="s">
        <v>8328</v>
      </c>
      <c r="AE1464" s="1648" t="s">
        <v>812</v>
      </c>
      <c r="AF1464" s="1652">
        <v>56.0</v>
      </c>
      <c r="AG1464" s="1648" t="s">
        <v>8329</v>
      </c>
      <c r="AH1464" s="194" t="s">
        <v>360</v>
      </c>
      <c r="AI1464" s="1649" t="s">
        <v>7251</v>
      </c>
      <c r="AJ1464" s="1649" t="s">
        <v>8330</v>
      </c>
      <c r="AK1464" s="1648" t="s">
        <v>172</v>
      </c>
      <c r="AL1464" s="1649" t="s">
        <v>186</v>
      </c>
      <c r="AM1464" s="1444" t="s">
        <v>137</v>
      </c>
      <c r="AN1464" s="1444"/>
      <c r="AO1464" s="1652">
        <v>219.0</v>
      </c>
      <c r="AP1464" s="1648" t="s">
        <v>8331</v>
      </c>
      <c r="AQ1464" s="116" t="s">
        <v>8323</v>
      </c>
      <c r="AR1464" s="1648" t="s">
        <v>875</v>
      </c>
      <c r="AS1464" s="1648" t="s">
        <v>8332</v>
      </c>
      <c r="AT1464" s="1648" t="s">
        <v>172</v>
      </c>
      <c r="AU1464" s="1648" t="s">
        <v>186</v>
      </c>
      <c r="AV1464" s="1654" t="s">
        <v>141</v>
      </c>
      <c r="AW1464" s="1040" t="s">
        <v>8324</v>
      </c>
      <c r="AX1464" s="1655" t="s">
        <v>438</v>
      </c>
      <c r="AY1464" s="61" t="str">
        <f>IFERROR(__xludf.DUMMYFUNCTION("vlookup(BB1464,importrange(""https://docs.google.com/spreadsheets/d/1d2vevQ_7D_v35q4wCQ4RpQ_IPoTwEMB9Yp6ymwlPqew/edit?gid=984458430#gid=984458430"", ""'replication success'!A:K""), 11, FAlSE)"),"failed")</f>
        <v>failed</v>
      </c>
      <c r="AZ1464" s="61" t="str">
        <f>IFERROR(__xludf.DUMMYFUNCTION("vlookup(BB1464,importrange(""https://docs.google.com/spreadsheets/d/1d2vevQ_7D_v35q4wCQ4RpQ_IPoTwEMB9Yp6ymwlPqew/edit?gid=984458430#gid=984458430"", ""'replication success'!A:M""), 12, FAlSE)"),"We did not replicate Vess’s finding in either sample (see Table 1).5
Inconsistent with what Vess reported, in
both of our samples, the nonsignificant positive relation
between anxious attachment and preferences for warm
refreshments was numerically larger"&amp;" in the ordinary-
event condition than in the romantic-breakup condition.")</f>
        <v>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v>
      </c>
      <c r="BA1464" s="61" t="str">
        <f>IFERROR(__xludf.DUMMYFUNCTION("vlookup(BB1464,importrange(""https://docs.google.com/spreadsheets/d/1d2vevQ_7D_v35q4wCQ4RpQ_IPoTwEMB9Yp6ymwlPqew/edit?gid=984458430#gid=984458430"", ""'replication success'!A:M""), 13, FAlSE)"),"abstract")</f>
        <v>abstract</v>
      </c>
      <c r="BB1464" s="61" t="str">
        <f>IFERROR(__xludf.DUMMYFUNCTION("REGEXREPLACE(G1464, ""_[a-z]{1,2}$"", """")"),"curatescience7")</f>
        <v>curatescience7</v>
      </c>
      <c r="BC1464" s="812"/>
      <c r="BD1464" s="1440" t="s">
        <v>144</v>
      </c>
    </row>
    <row r="1465">
      <c r="A1465" s="44">
        <v>1465.0</v>
      </c>
      <c r="B1465" s="1440" t="s">
        <v>114</v>
      </c>
      <c r="C1465" s="1440" t="s">
        <v>115</v>
      </c>
      <c r="D1465" s="1440" t="s">
        <v>176</v>
      </c>
      <c r="E1465" s="812"/>
      <c r="F1465" s="1444" t="s">
        <v>8311</v>
      </c>
      <c r="G1465" s="1649" t="s">
        <v>8333</v>
      </c>
      <c r="H1465" s="1648" t="s">
        <v>176</v>
      </c>
      <c r="I1465" s="1650">
        <v>45653.0</v>
      </c>
      <c r="J1465" s="1646">
        <v>45674.0</v>
      </c>
      <c r="K1465" s="1648" t="s">
        <v>8325</v>
      </c>
      <c r="L1465" s="1444"/>
      <c r="M1465" s="1651" t="s">
        <v>8313</v>
      </c>
      <c r="N1465" s="1648" t="s">
        <v>8314</v>
      </c>
      <c r="O1465" s="1652">
        <v>1.0</v>
      </c>
      <c r="P1465" s="1653" t="s">
        <v>8315</v>
      </c>
      <c r="Q1465" s="52" t="str">
        <f t="array" ref="Q1465"> if(iserror(MATCH(V1465, 'File Links'!C:C, 0)), "N/A", HYPERLINK(INDEX('File Links'!B:B, MATCH(P1465, 'File Links'!C:C, 0))))</f>
        <v>https://drive.google.com/file/d/1VcKqsyqYAl_exqLf4Zk_sKFNXaU3WlBH/view?usp=drivesdk</v>
      </c>
      <c r="R1465" s="1648" t="s">
        <v>8316</v>
      </c>
      <c r="S1465" s="1648" t="s">
        <v>8317</v>
      </c>
      <c r="T1465" s="1444"/>
      <c r="U1465" s="1652">
        <v>1.0</v>
      </c>
      <c r="V1465" s="198" t="str">
        <f t="shared" si="106"/>
        <v>10.1177--0956797613486983.pdf</v>
      </c>
      <c r="W1465" s="1648" t="s">
        <v>2125</v>
      </c>
      <c r="X1465" s="54" t="str">
        <f t="array" ref="X1465"> if(iserror(MATCH(V1465, 'File Links'!C:C, 0)), "N/A", HYPERLINK(INDEX('File Links'!B:B, MATCH(V1465, 'File Links'!C:C, 0))))</f>
        <v>https://drive.google.com/file/d/1GB5oPjHVuDXBTZ2__Had-zRIf9ZK4G7S/view?usp=drivesdk</v>
      </c>
      <c r="Y1465" s="1444"/>
      <c r="Z1465" s="1648" t="s">
        <v>226</v>
      </c>
      <c r="AA1465" s="1648" t="s">
        <v>8326</v>
      </c>
      <c r="AB1465" s="388" t="s">
        <v>8319</v>
      </c>
      <c r="AC1465" s="1648" t="s">
        <v>8334</v>
      </c>
      <c r="AD1465" s="1648" t="s">
        <v>8335</v>
      </c>
      <c r="AE1465" s="1648" t="s">
        <v>812</v>
      </c>
      <c r="AF1465" s="1652">
        <v>56.0</v>
      </c>
      <c r="AG1465" s="1648" t="s">
        <v>8336</v>
      </c>
      <c r="AH1465" s="194" t="s">
        <v>360</v>
      </c>
      <c r="AI1465" s="1649" t="s">
        <v>7251</v>
      </c>
      <c r="AJ1465" s="1649" t="s">
        <v>8337</v>
      </c>
      <c r="AK1465" s="1648" t="s">
        <v>172</v>
      </c>
      <c r="AL1465" s="1649" t="s">
        <v>186</v>
      </c>
      <c r="AM1465" s="1444" t="s">
        <v>137</v>
      </c>
      <c r="AN1465" s="1444"/>
      <c r="AO1465" s="1652">
        <v>105.0</v>
      </c>
      <c r="AP1465" s="1648" t="s">
        <v>8338</v>
      </c>
      <c r="AQ1465" s="159" t="s">
        <v>360</v>
      </c>
      <c r="AR1465" s="1648" t="s">
        <v>875</v>
      </c>
      <c r="AS1465" s="1444"/>
      <c r="AT1465" s="1444"/>
      <c r="AU1465" s="1444"/>
      <c r="AV1465" s="1654" t="s">
        <v>141</v>
      </c>
      <c r="AW1465" s="1040" t="s">
        <v>8324</v>
      </c>
      <c r="AX1465" s="1655" t="s">
        <v>438</v>
      </c>
      <c r="AY1465" s="61" t="str">
        <f>IFERROR(__xludf.DUMMYFUNCTION("vlookup(BB1465,importrange(""https://docs.google.com/spreadsheets/d/1d2vevQ_7D_v35q4wCQ4RpQ_IPoTwEMB9Yp6ymwlPqew/edit?gid=984458430#gid=984458430"", ""'replication success'!A:K""), 11, FAlSE)"),"failed")</f>
        <v>failed</v>
      </c>
      <c r="AZ1465" s="61" t="str">
        <f>IFERROR(__xludf.DUMMYFUNCTION("vlookup(BB1465,importrange(""https://docs.google.com/spreadsheets/d/1d2vevQ_7D_v35q4wCQ4RpQ_IPoTwEMB9Yp6ymwlPqew/edit?gid=984458430#gid=984458430"", ""'replication success'!A:M""), 12, FAlSE)"),"We did not replicate Vess’s finding in either sample (see Table 1).5
Inconsistent with what Vess reported, in
both of our samples, the nonsignificant positive relation
between anxious attachment and preferences for warm
refreshments was numerically larger"&amp;" in the ordinary-
event condition than in the romantic-breakup condition.")</f>
        <v>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v>
      </c>
      <c r="BA1465" s="61" t="str">
        <f>IFERROR(__xludf.DUMMYFUNCTION("vlookup(BB1465,importrange(""https://docs.google.com/spreadsheets/d/1d2vevQ_7D_v35q4wCQ4RpQ_IPoTwEMB9Yp6ymwlPqew/edit?gid=984458430#gid=984458430"", ""'replication success'!A:M""), 13, FAlSE)"),"abstract")</f>
        <v>abstract</v>
      </c>
      <c r="BB1465" s="61" t="str">
        <f>IFERROR(__xludf.DUMMYFUNCTION("REGEXREPLACE(G1465, ""_[a-z]{1,2}$"", """")"),"curatescience7")</f>
        <v>curatescience7</v>
      </c>
      <c r="BC1465" s="812"/>
      <c r="BD1465" s="1440" t="s">
        <v>144</v>
      </c>
    </row>
    <row r="1466">
      <c r="A1466" s="44">
        <v>1466.0</v>
      </c>
      <c r="B1466" s="1440" t="s">
        <v>114</v>
      </c>
      <c r="C1466" s="1440" t="s">
        <v>115</v>
      </c>
      <c r="D1466" s="1440" t="s">
        <v>176</v>
      </c>
      <c r="E1466" s="812"/>
      <c r="F1466" s="1444" t="s">
        <v>8311</v>
      </c>
      <c r="G1466" s="1649" t="s">
        <v>8339</v>
      </c>
      <c r="H1466" s="1648" t="s">
        <v>176</v>
      </c>
      <c r="I1466" s="1650">
        <v>45653.0</v>
      </c>
      <c r="J1466" s="1646">
        <v>45674.0</v>
      </c>
      <c r="K1466" s="1648" t="s">
        <v>8325</v>
      </c>
      <c r="L1466" s="1444"/>
      <c r="M1466" s="1651" t="s">
        <v>8313</v>
      </c>
      <c r="N1466" s="1648" t="s">
        <v>8314</v>
      </c>
      <c r="O1466" s="1652">
        <v>1.0</v>
      </c>
      <c r="P1466" s="1653" t="s">
        <v>8315</v>
      </c>
      <c r="Q1466" s="52" t="str">
        <f t="array" ref="Q1466"> if(iserror(MATCH(V1466, 'File Links'!C:C, 0)), "N/A", HYPERLINK(INDEX('File Links'!B:B, MATCH(P1466, 'File Links'!C:C, 0))))</f>
        <v>https://drive.google.com/file/d/1VcKqsyqYAl_exqLf4Zk_sKFNXaU3WlBH/view?usp=drivesdk</v>
      </c>
      <c r="R1466" s="1648" t="s">
        <v>8316</v>
      </c>
      <c r="S1466" s="1648" t="s">
        <v>8317</v>
      </c>
      <c r="T1466" s="1444"/>
      <c r="U1466" s="1652">
        <v>1.0</v>
      </c>
      <c r="V1466" s="198" t="str">
        <f t="shared" si="106"/>
        <v>10.1177--0956797613486983.pdf</v>
      </c>
      <c r="W1466" s="1648" t="s">
        <v>2125</v>
      </c>
      <c r="X1466" s="54" t="str">
        <f t="array" ref="X1466"> if(iserror(MATCH(V1466, 'File Links'!C:C, 0)), "N/A", HYPERLINK(INDEX('File Links'!B:B, MATCH(V1466, 'File Links'!C:C, 0))))</f>
        <v>https://drive.google.com/file/d/1GB5oPjHVuDXBTZ2__Had-zRIf9ZK4G7S/view?usp=drivesdk</v>
      </c>
      <c r="Y1466" s="1444"/>
      <c r="Z1466" s="1648" t="s">
        <v>226</v>
      </c>
      <c r="AA1466" s="1648" t="s">
        <v>8326</v>
      </c>
      <c r="AB1466" s="388" t="s">
        <v>8319</v>
      </c>
      <c r="AC1466" s="1648" t="s">
        <v>8340</v>
      </c>
      <c r="AD1466" s="1648" t="s">
        <v>8335</v>
      </c>
      <c r="AE1466" s="1648" t="s">
        <v>812</v>
      </c>
      <c r="AF1466" s="1652">
        <v>56.0</v>
      </c>
      <c r="AG1466" s="1648" t="s">
        <v>8341</v>
      </c>
      <c r="AH1466" s="194" t="s">
        <v>360</v>
      </c>
      <c r="AI1466" s="1649" t="s">
        <v>7251</v>
      </c>
      <c r="AJ1466" s="1649" t="s">
        <v>8342</v>
      </c>
      <c r="AK1466" s="1648" t="s">
        <v>172</v>
      </c>
      <c r="AL1466" s="1649" t="s">
        <v>186</v>
      </c>
      <c r="AM1466" s="1444" t="s">
        <v>137</v>
      </c>
      <c r="AN1466" s="1444"/>
      <c r="AO1466" s="1652">
        <v>114.0</v>
      </c>
      <c r="AP1466" s="1648" t="s">
        <v>8343</v>
      </c>
      <c r="AQ1466" s="159" t="s">
        <v>360</v>
      </c>
      <c r="AR1466" s="1648" t="s">
        <v>875</v>
      </c>
      <c r="AS1466" s="1444"/>
      <c r="AT1466" s="1444"/>
      <c r="AU1466" s="1444"/>
      <c r="AV1466" s="1654" t="s">
        <v>141</v>
      </c>
      <c r="AW1466" s="1040" t="s">
        <v>8324</v>
      </c>
      <c r="AX1466" s="1655" t="s">
        <v>438</v>
      </c>
      <c r="AY1466" s="61" t="str">
        <f>IFERROR(__xludf.DUMMYFUNCTION("vlookup(BB1466,importrange(""https://docs.google.com/spreadsheets/d/1d2vevQ_7D_v35q4wCQ4RpQ_IPoTwEMB9Yp6ymwlPqew/edit?gid=984458430#gid=984458430"", ""'replication success'!A:K""), 11, FAlSE)"),"failed")</f>
        <v>failed</v>
      </c>
      <c r="AZ1466" s="61" t="str">
        <f>IFERROR(__xludf.DUMMYFUNCTION("vlookup(BB1466,importrange(""https://docs.google.com/spreadsheets/d/1d2vevQ_7D_v35q4wCQ4RpQ_IPoTwEMB9Yp6ymwlPqew/edit?gid=984458430#gid=984458430"", ""'replication success'!A:M""), 12, FAlSE)"),"We did not replicate Vess’s finding in either sample (see Table 1).5
Inconsistent with what Vess reported, in
both of our samples, the nonsignificant positive relation
between anxious attachment and preferences for warm
refreshments was numerically larger"&amp;" in the ordinary-
event condition than in the romantic-breakup condition.")</f>
        <v>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v>
      </c>
      <c r="BA1466" s="61" t="str">
        <f>IFERROR(__xludf.DUMMYFUNCTION("vlookup(BB1466,importrange(""https://docs.google.com/spreadsheets/d/1d2vevQ_7D_v35q4wCQ4RpQ_IPoTwEMB9Yp6ymwlPqew/edit?gid=984458430#gid=984458430"", ""'replication success'!A:M""), 13, FAlSE)"),"abstract")</f>
        <v>abstract</v>
      </c>
      <c r="BB1466" s="61" t="str">
        <f>IFERROR(__xludf.DUMMYFUNCTION("REGEXREPLACE(G1466, ""_[a-z]{1,2}$"", """")"),"curatescience7")</f>
        <v>curatescience7</v>
      </c>
      <c r="BC1466" s="1440" t="s">
        <v>8344</v>
      </c>
      <c r="BD1466" s="1440" t="s">
        <v>144</v>
      </c>
      <c r="BE1466" s="71"/>
      <c r="BF1466" s="71"/>
    </row>
    <row r="1467">
      <c r="A1467" s="44">
        <v>1467.0</v>
      </c>
      <c r="B1467" s="322" t="s">
        <v>152</v>
      </c>
      <c r="C1467" s="322" t="s">
        <v>115</v>
      </c>
      <c r="D1467" s="322" t="s">
        <v>153</v>
      </c>
      <c r="E1467" s="328"/>
      <c r="F1467" s="331" t="s">
        <v>8311</v>
      </c>
      <c r="G1467" s="412" t="s">
        <v>8345</v>
      </c>
      <c r="H1467" s="412" t="s">
        <v>153</v>
      </c>
      <c r="I1467" s="659">
        <v>45638.0</v>
      </c>
      <c r="J1467" s="1646">
        <v>45674.0</v>
      </c>
      <c r="K1467" s="388" t="s">
        <v>8346</v>
      </c>
      <c r="L1467" s="330" t="s">
        <v>8347</v>
      </c>
      <c r="M1467" s="324" t="s">
        <v>8313</v>
      </c>
      <c r="N1467" s="412" t="s">
        <v>8314</v>
      </c>
      <c r="O1467" s="1036">
        <v>1.0</v>
      </c>
      <c r="P1467" s="1647" t="s">
        <v>8315</v>
      </c>
      <c r="Q1467" s="52" t="str">
        <f t="array" ref="Q1467"> if(iserror(MATCH(V1467, 'File Links'!C:C, 0)), "N/A", HYPERLINK(INDEX('File Links'!B:B, MATCH(P1467, 'File Links'!C:C, 0))))</f>
        <v>https://drive.google.com/file/d/1VcKqsyqYAl_exqLf4Zk_sKFNXaU3WlBH/view?usp=drivesdk</v>
      </c>
      <c r="R1467" s="412" t="s">
        <v>8316</v>
      </c>
      <c r="S1467" s="412" t="s">
        <v>8317</v>
      </c>
      <c r="T1467" s="390"/>
      <c r="U1467" s="1656">
        <v>2.0</v>
      </c>
      <c r="V1467" s="198" t="str">
        <f t="shared" si="106"/>
        <v>10.1177--0956797613486983.pdf</v>
      </c>
      <c r="W1467" s="412" t="s">
        <v>3570</v>
      </c>
      <c r="X1467" s="54" t="str">
        <f t="array" ref="X1467"> if(iserror(MATCH(V1467, 'File Links'!C:C, 0)), "N/A", HYPERLINK(INDEX('File Links'!B:B, MATCH(V1467, 'File Links'!C:C, 0))))</f>
        <v>https://drive.google.com/file/d/1GB5oPjHVuDXBTZ2__Had-zRIf9ZK4G7S/view?usp=drivesdk</v>
      </c>
      <c r="Y1467" s="390"/>
      <c r="Z1467" s="412" t="s">
        <v>226</v>
      </c>
      <c r="AA1467" s="388" t="s">
        <v>8318</v>
      </c>
      <c r="AB1467" s="388" t="s">
        <v>8319</v>
      </c>
      <c r="AC1467" s="392" t="s">
        <v>8348</v>
      </c>
      <c r="AD1467" s="388" t="s">
        <v>8321</v>
      </c>
      <c r="AE1467" s="394">
        <v>1.0</v>
      </c>
      <c r="AF1467" s="1422">
        <v>56.0</v>
      </c>
      <c r="AG1467" s="412" t="s">
        <v>8322</v>
      </c>
      <c r="AH1467" s="660" t="s">
        <v>134</v>
      </c>
      <c r="AI1467" s="394">
        <v>1.0</v>
      </c>
      <c r="AJ1467" s="394">
        <v>0.028</v>
      </c>
      <c r="AK1467" s="244" t="s">
        <v>172</v>
      </c>
      <c r="AL1467" s="412" t="s">
        <v>136</v>
      </c>
      <c r="AM1467" s="390" t="s">
        <v>137</v>
      </c>
      <c r="AN1467" s="330" t="s">
        <v>138</v>
      </c>
      <c r="AO1467" s="1192">
        <v>233.0</v>
      </c>
      <c r="AP1467" s="1192">
        <v>5.63E-4</v>
      </c>
      <c r="AQ1467" s="116" t="s">
        <v>8323</v>
      </c>
      <c r="AR1467" s="412" t="s">
        <v>2771</v>
      </c>
      <c r="AS1467" s="1192">
        <v>0.72</v>
      </c>
      <c r="AT1467" s="244" t="s">
        <v>172</v>
      </c>
      <c r="AU1467" s="1648" t="s">
        <v>186</v>
      </c>
      <c r="AV1467" s="331" t="s">
        <v>141</v>
      </c>
      <c r="AW1467" s="1040" t="s">
        <v>8324</v>
      </c>
      <c r="AX1467" s="331" t="s">
        <v>143</v>
      </c>
      <c r="AY1467" s="61" t="str">
        <f>IFERROR(__xludf.DUMMYFUNCTION("vlookup(BB1467,importrange(""https://docs.google.com/spreadsheets/d/1d2vevQ_7D_v35q4wCQ4RpQ_IPoTwEMB9Yp6ymwlPqew/edit?gid=984458430#gid=984458430"", ""'replication success'!A:K""), 11, FAlSE)"),"failed")</f>
        <v>failed</v>
      </c>
      <c r="AZ1467" s="61" t="str">
        <f>IFERROR(__xludf.DUMMYFUNCTION("vlookup(BB1467,importrange(""https://docs.google.com/spreadsheets/d/1d2vevQ_7D_v35q4wCQ4RpQ_IPoTwEMB9Yp6ymwlPqew/edit?gid=984458430#gid=984458430"", ""'replication success'!A:M""), 12, FAlSE)"),"We did not replicate Vess’s finding in either sample (see Table 1).5
Inconsistent with what Vess reported, in
both of our samples, the nonsignificant positive relation
between anxious attachment and preferences for warm
refreshments was numerically larger"&amp;" in the ordinary-
event condition than in the romantic-breakup condition.")</f>
        <v>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v>
      </c>
      <c r="BA1467" s="61" t="str">
        <f>IFERROR(__xludf.DUMMYFUNCTION("vlookup(BB1467,importrange(""https://docs.google.com/spreadsheets/d/1d2vevQ_7D_v35q4wCQ4RpQ_IPoTwEMB9Yp6ymwlPqew/edit?gid=984458430#gid=984458430"", ""'replication success'!A:M""), 13, FAlSE)"),"abstract")</f>
        <v>abstract</v>
      </c>
      <c r="BB1467" s="61" t="str">
        <f>IFERROR(__xludf.DUMMYFUNCTION("REGEXREPLACE(G1467, ""_[a-z]{1,2}$"", """")"),"curatescience7_overall")</f>
        <v>curatescience7_overall</v>
      </c>
      <c r="BC1467" s="226"/>
      <c r="BD1467" s="1440" t="s">
        <v>144</v>
      </c>
      <c r="BE1467" s="71"/>
      <c r="BF1467" s="71"/>
    </row>
    <row r="1468">
      <c r="A1468" s="44">
        <v>1468.0</v>
      </c>
      <c r="B1468" s="93" t="s">
        <v>152</v>
      </c>
      <c r="C1468" s="93" t="s">
        <v>115</v>
      </c>
      <c r="D1468" s="93" t="s">
        <v>2630</v>
      </c>
      <c r="E1468" s="92"/>
      <c r="F1468" s="85" t="s">
        <v>8349</v>
      </c>
      <c r="G1468" s="75" t="str">
        <f t="shared" ref="G1468:G1471" si="109">F1468&amp;"_"&amp;COUNTIF($B$3:F1468, F1468)</f>
        <v>curatescience73_1</v>
      </c>
      <c r="H1468" s="85" t="s">
        <v>7492</v>
      </c>
      <c r="I1468" s="1657">
        <v>45675.0</v>
      </c>
      <c r="J1468" s="1658">
        <v>45713.0</v>
      </c>
      <c r="K1468" s="94"/>
      <c r="L1468" s="94"/>
      <c r="M1468" s="1659" t="s">
        <v>8350</v>
      </c>
      <c r="N1468" s="85" t="s">
        <v>8351</v>
      </c>
      <c r="O1468" s="79">
        <v>1.0</v>
      </c>
      <c r="P1468" s="1660" t="str">
        <f t="shared" ref="P1468:P1471" si="110"> SUBSTITUTE(lower(N1468), "/", "--") &amp;  ".pdf"</f>
        <v>10.1037--a0029288.pdf</v>
      </c>
      <c r="Q1468" s="52" t="str">
        <f t="array" ref="Q1468"> if(iserror(MATCH(V1468, 'File Links'!C:C, 0)), "N/A", HYPERLINK(INDEX('File Links'!B:B, MATCH(P1468, 'File Links'!C:C, 0))))</f>
        <v>https://drive.google.com/file/d/1vcCVkrjNwZHH8glmh9tGMygAb5DPf3dE/view?usp=drivesdk</v>
      </c>
      <c r="R1468" s="85" t="s">
        <v>7496</v>
      </c>
      <c r="S1468" s="85" t="s">
        <v>7497</v>
      </c>
      <c r="T1468" s="1087" t="s">
        <v>7498</v>
      </c>
      <c r="U1468" s="85" t="s">
        <v>8352</v>
      </c>
      <c r="V1468" s="198" t="str">
        <f t="shared" si="106"/>
        <v>10.1027--1864-9335--a000178.pdf</v>
      </c>
      <c r="W1468" s="85" t="s">
        <v>7500</v>
      </c>
      <c r="X1468" s="54" t="str">
        <f t="array" ref="X1468"> if(iserror(MATCH(V1468, 'File Links'!C:C, 0)), "N/A", HYPERLINK(INDEX('File Links'!B:B, MATCH(V1468, 'File Links'!C:C, 0))))</f>
        <v>https://drive.google.com/file/d/1fIqa3RxgdnsQkWwGnLkF4XAbM2g_WN4q/view?usp=drivesdk</v>
      </c>
      <c r="Z1468" s="85" t="s">
        <v>226</v>
      </c>
      <c r="AA1468" s="85" t="s">
        <v>8353</v>
      </c>
      <c r="AB1468" s="85" t="s">
        <v>8354</v>
      </c>
      <c r="AC1468" s="85" t="s">
        <v>8355</v>
      </c>
      <c r="AD1468" s="85" t="s">
        <v>8356</v>
      </c>
      <c r="AE1468" s="85" t="s">
        <v>8357</v>
      </c>
      <c r="AF1468" s="1661">
        <v>30.0</v>
      </c>
      <c r="AG1468" s="1662">
        <v>0.8</v>
      </c>
      <c r="AH1468" s="1663" t="s">
        <v>173</v>
      </c>
      <c r="AI1468" s="85" t="s">
        <v>8358</v>
      </c>
      <c r="AJ1468" s="1664">
        <v>0.043</v>
      </c>
      <c r="AK1468" s="75" t="s">
        <v>172</v>
      </c>
      <c r="AL1468" s="1663" t="s">
        <v>186</v>
      </c>
      <c r="AM1468" s="74" t="s">
        <v>137</v>
      </c>
      <c r="AN1468" s="1665" t="s">
        <v>138</v>
      </c>
      <c r="AO1468" s="1666">
        <v>6340.0</v>
      </c>
      <c r="AP1468" s="1661">
        <v>-0.02</v>
      </c>
      <c r="AQ1468" s="85" t="s">
        <v>173</v>
      </c>
      <c r="AR1468" s="85" t="s">
        <v>8359</v>
      </c>
      <c r="AS1468" s="1661">
        <v>0.44</v>
      </c>
      <c r="AT1468" s="85" t="s">
        <v>172</v>
      </c>
      <c r="AU1468" s="85" t="s">
        <v>136</v>
      </c>
      <c r="AV1468" s="74" t="s">
        <v>137</v>
      </c>
      <c r="AW1468" s="1667" t="s">
        <v>138</v>
      </c>
      <c r="AX1468" s="74" t="s">
        <v>143</v>
      </c>
      <c r="AY1468" s="61" t="str">
        <f>IFERROR(__xludf.DUMMYFUNCTION("vlookup(BB1468,importrange(""https://docs.google.com/spreadsheets/d/1d2vevQ_7D_v35q4wCQ4RpQ_IPoTwEMB9Yp6ymwlPqew/edit?gid=984458430#gid=984458430"", ""'replication success'!A:K""), 11, FAlSE)"),"failed")</f>
        <v>failed</v>
      </c>
      <c r="AZ1468" s="61" t="str">
        <f>IFERROR(__xludf.DUMMYFUNCTION("vlookup(BB1468,importrange(""https://docs.google.com/spreadsheets/d/1d2vevQ_7D_v35q4wCQ4RpQ_IPoTwEMB9Yp6ymwlPqew/edit?gid=984458430#gid=984458430"",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 –"&amp;"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468" s="61" t="str">
        <f>IFERROR(__xludf.DUMMYFUNCTION("vlookup(BB1468,importrange(""https://docs.google.com/spreadsheets/d/1d2vevQ_7D_v35q4wCQ4RpQ_IPoTwEMB9Yp6ymwlPqew/edit?gid=984458430#gid=984458430"", ""'replication success'!A:M""), 13, FAlSE)"),"abstract")</f>
        <v>abstract</v>
      </c>
      <c r="BB1468" s="61" t="str">
        <f>IFERROR(__xludf.DUMMYFUNCTION("REGEXREPLACE(G1468, ""_[a-z]{1,2}$"", """")"),"curatescience73_1")</f>
        <v>curatescience73_1</v>
      </c>
      <c r="BC1468" s="92"/>
      <c r="BD1468" s="93" t="s">
        <v>144</v>
      </c>
      <c r="BE1468" s="71"/>
      <c r="BF1468" s="71"/>
    </row>
    <row r="1469">
      <c r="A1469" s="44">
        <v>1469.0</v>
      </c>
      <c r="B1469" s="93" t="s">
        <v>114</v>
      </c>
      <c r="C1469" s="93" t="s">
        <v>115</v>
      </c>
      <c r="D1469" s="93" t="s">
        <v>1234</v>
      </c>
      <c r="E1469" s="92"/>
      <c r="F1469" s="95" t="s">
        <v>8349</v>
      </c>
      <c r="G1469" s="76" t="str">
        <f t="shared" si="109"/>
        <v>curatescience73_2</v>
      </c>
      <c r="H1469" s="95" t="s">
        <v>6955</v>
      </c>
      <c r="I1469" s="853">
        <v>45901.0</v>
      </c>
      <c r="J1469" s="1658">
        <v>45713.0</v>
      </c>
      <c r="K1469" s="94"/>
      <c r="L1469" s="94"/>
      <c r="M1469" s="1668" t="s">
        <v>8350</v>
      </c>
      <c r="N1469" s="95" t="s">
        <v>8351</v>
      </c>
      <c r="O1469" s="98">
        <v>1.0</v>
      </c>
      <c r="P1469" s="937" t="str">
        <f t="shared" si="110"/>
        <v>10.1037--a0029288.pdf</v>
      </c>
      <c r="Q1469" s="52" t="str">
        <f t="array" ref="Q1469"> if(iserror(MATCH(V1469, 'File Links'!C:C, 0)), "N/A", HYPERLINK(INDEX('File Links'!B:B, MATCH(P1469, 'File Links'!C:C, 0))))</f>
        <v>https://drive.google.com/file/d/1vcCVkrjNwZHH8glmh9tGMygAb5DPf3dE/view?usp=drivesdk</v>
      </c>
      <c r="R1469" s="85" t="s">
        <v>7496</v>
      </c>
      <c r="S1469" s="85" t="s">
        <v>7497</v>
      </c>
      <c r="T1469" s="1087" t="s">
        <v>7498</v>
      </c>
      <c r="U1469" s="94"/>
      <c r="V1469" s="198" t="str">
        <f t="shared" si="106"/>
        <v>10.1027--1864-9335--a000178.pdf</v>
      </c>
      <c r="W1469" s="94"/>
      <c r="X1469" s="54" t="str">
        <f t="array" ref="X1469"> if(iserror(MATCH(V1469, 'File Links'!C:C, 0)), "N/A", HYPERLINK(INDEX('File Links'!B:B, MATCH(V1469, 'File Links'!C:C, 0))))</f>
        <v>https://drive.google.com/file/d/1fIqa3RxgdnsQkWwGnLkF4XAbM2g_WN4q/view?usp=drivesdk</v>
      </c>
      <c r="Y1469" s="94"/>
      <c r="Z1469" s="95" t="s">
        <v>1809</v>
      </c>
      <c r="AA1469" s="95" t="s">
        <v>8360</v>
      </c>
      <c r="AB1469" s="94"/>
      <c r="AC1469" s="94"/>
      <c r="AD1469" s="95" t="s">
        <v>8361</v>
      </c>
      <c r="AE1469" s="98">
        <v>302.0</v>
      </c>
      <c r="AF1469" s="98">
        <v>30.0</v>
      </c>
      <c r="AG1469" s="98">
        <v>0.8</v>
      </c>
      <c r="AH1469" s="95" t="s">
        <v>173</v>
      </c>
      <c r="AI1469" s="94"/>
      <c r="AJ1469" s="633">
        <v>0.043</v>
      </c>
      <c r="AK1469" s="76" t="s">
        <v>172</v>
      </c>
      <c r="AL1469" s="82"/>
      <c r="AM1469" s="94" t="s">
        <v>137</v>
      </c>
      <c r="AN1469" s="856" t="s">
        <v>138</v>
      </c>
      <c r="AO1469" s="1669">
        <v>6333.0</v>
      </c>
      <c r="AP1469" s="98">
        <v>-0.02</v>
      </c>
      <c r="AQ1469" s="95" t="s">
        <v>173</v>
      </c>
      <c r="AR1469" s="94"/>
      <c r="AS1469" s="98">
        <v>0.83</v>
      </c>
      <c r="AT1469" s="95" t="s">
        <v>172</v>
      </c>
      <c r="AU1469" s="95" t="s">
        <v>186</v>
      </c>
      <c r="AV1469" s="94" t="s">
        <v>137</v>
      </c>
      <c r="AW1469" s="94"/>
      <c r="AX1469" s="94" t="s">
        <v>143</v>
      </c>
      <c r="AY1469" s="61" t="str">
        <f>IFERROR(__xludf.DUMMYFUNCTION("vlookup(BB1469,importrange(""https://docs.google.com/spreadsheets/d/1d2vevQ_7D_v35q4wCQ4RpQ_IPoTwEMB9Yp6ymwlPqew/edit?gid=984458430#gid=984458430"", ""'replication success'!A:K""), 11, FAlSE)"),"#N/A")</f>
        <v>#N/A</v>
      </c>
      <c r="AZ1469" s="61" t="str">
        <f>IFERROR(__xludf.DUMMYFUNCTION("vlookup(BB1469,importrange(""https://docs.google.com/spreadsheets/d/1d2vevQ_7D_v35q4wCQ4RpQ_IPoTwEMB9Yp6ymwlPqew/edit?gid=984458430#gid=984458430"", ""'replication success'!A:M""), 12, FAlSE)"),"#N/A")</f>
        <v>#N/A</v>
      </c>
      <c r="BA1469" s="61" t="str">
        <f>IFERROR(__xludf.DUMMYFUNCTION("vlookup(BB1469,importrange(""https://docs.google.com/spreadsheets/d/1d2vevQ_7D_v35q4wCQ4RpQ_IPoTwEMB9Yp6ymwlPqew/edit?gid=984458430#gid=984458430"", ""'replication success'!A:M""), 13, FAlSE)"),"#N/A")</f>
        <v>#N/A</v>
      </c>
      <c r="BB1469" s="61" t="str">
        <f>IFERROR(__xludf.DUMMYFUNCTION("REGEXREPLACE(G1469, ""_[a-z]{1,2}$"", """")"),"curatescience73_2")</f>
        <v>curatescience73_2</v>
      </c>
      <c r="BC1469" s="92"/>
      <c r="BD1469" s="93" t="s">
        <v>144</v>
      </c>
      <c r="BE1469" s="71"/>
      <c r="BF1469" s="71"/>
    </row>
    <row r="1470">
      <c r="A1470" s="44">
        <v>1470.0</v>
      </c>
      <c r="B1470" s="538" t="s">
        <v>152</v>
      </c>
      <c r="C1470" s="538" t="s">
        <v>115</v>
      </c>
      <c r="D1470" s="538" t="s">
        <v>2630</v>
      </c>
      <c r="E1470" s="539"/>
      <c r="F1470" s="1206" t="s">
        <v>8362</v>
      </c>
      <c r="G1470" s="1022" t="str">
        <f t="shared" si="109"/>
        <v>curatescience75_1</v>
      </c>
      <c r="H1470" s="1206" t="s">
        <v>7492</v>
      </c>
      <c r="I1470" s="1670">
        <v>45675.0</v>
      </c>
      <c r="J1470" s="1658">
        <v>45713.0</v>
      </c>
      <c r="K1470" s="1032"/>
      <c r="L1470" s="1032"/>
      <c r="M1470" s="1671" t="s">
        <v>8363</v>
      </c>
      <c r="N1470" s="1206" t="s">
        <v>8364</v>
      </c>
      <c r="O1470" s="1672">
        <v>1.0</v>
      </c>
      <c r="P1470" s="1673" t="str">
        <f t="shared" si="110"/>
        <v>10.1016--j.jesp.2010.05.014.pdf</v>
      </c>
      <c r="Q1470" s="52" t="str">
        <f t="array" ref="Q1470"> if(iserror(MATCH(V1470, 'File Links'!C:C, 0)), "N/A", HYPERLINK(INDEX('File Links'!B:B, MATCH(P1470, 'File Links'!C:C, 0))))</f>
        <v>https://drive.google.com/file/d/1eGcl00TFvqtXToShjh3zwuqo-qNHAocO/view?usp=drivesdk</v>
      </c>
      <c r="R1470" s="1206" t="s">
        <v>7496</v>
      </c>
      <c r="S1470" s="1206" t="s">
        <v>7497</v>
      </c>
      <c r="T1470" s="1212" t="s">
        <v>7498</v>
      </c>
      <c r="U1470" s="1206" t="s">
        <v>8365</v>
      </c>
      <c r="V1470" s="198" t="str">
        <f t="shared" si="106"/>
        <v>10.1027--1864-9335--a000178.pdf</v>
      </c>
      <c r="W1470" s="1206" t="s">
        <v>7500</v>
      </c>
      <c r="X1470" s="54" t="str">
        <f t="array" ref="X1470"> if(iserror(MATCH(V1470, 'File Links'!C:C, 0)), "N/A", HYPERLINK(INDEX('File Links'!B:B, MATCH(V1470, 'File Links'!C:C, 0))))</f>
        <v>https://drive.google.com/file/d/1fIqa3RxgdnsQkWwGnLkF4XAbM2g_WN4q/view?usp=drivesdk</v>
      </c>
      <c r="Y1470" s="1032"/>
      <c r="Z1470" s="1206" t="s">
        <v>226</v>
      </c>
      <c r="AA1470" s="1206" t="s">
        <v>8366</v>
      </c>
      <c r="AB1470" s="1206" t="s">
        <v>8367</v>
      </c>
      <c r="AC1470" s="1206" t="s">
        <v>8368</v>
      </c>
      <c r="AD1470" s="1206" t="s">
        <v>8369</v>
      </c>
      <c r="AE1470" s="1206" t="s">
        <v>8370</v>
      </c>
      <c r="AF1470" s="1674">
        <v>33.0</v>
      </c>
      <c r="AG1470" s="1675">
        <v>0.86</v>
      </c>
      <c r="AH1470" s="1676" t="s">
        <v>173</v>
      </c>
      <c r="AI1470" s="1676">
        <v>945.0</v>
      </c>
      <c r="AJ1470" s="1677">
        <v>0.023</v>
      </c>
      <c r="AK1470" s="1022" t="s">
        <v>172</v>
      </c>
      <c r="AL1470" s="1676" t="s">
        <v>186</v>
      </c>
      <c r="AM1470" s="1678" t="s">
        <v>137</v>
      </c>
      <c r="AN1470" s="1679" t="s">
        <v>138</v>
      </c>
      <c r="AO1470" s="1680">
        <v>6335.0</v>
      </c>
      <c r="AP1470" s="1674">
        <v>0.13</v>
      </c>
      <c r="AQ1470" s="1206" t="s">
        <v>173</v>
      </c>
      <c r="AR1470" s="1206" t="s">
        <v>8371</v>
      </c>
      <c r="AS1470" s="1674">
        <v>0.001</v>
      </c>
      <c r="AT1470" s="1206" t="s">
        <v>135</v>
      </c>
      <c r="AU1470" s="1206" t="s">
        <v>136</v>
      </c>
      <c r="AV1470" s="1678" t="s">
        <v>137</v>
      </c>
      <c r="AW1470" s="1681" t="s">
        <v>138</v>
      </c>
      <c r="AX1470" s="1678" t="s">
        <v>143</v>
      </c>
      <c r="AY1470" s="61" t="str">
        <f>IFERROR(__xludf.DUMMYFUNCTION("vlookup(BB1470,importrange(""https://docs.google.com/spreadsheets/d/1d2vevQ_7D_v35q4wCQ4RpQ_IPoTwEMB9Yp6ymwlPqew/edit?gid=984458430#gid=984458430"", ""'replication success'!A:K""), 11, FAlSE)"),"mixed")</f>
        <v>mixed</v>
      </c>
      <c r="AZ1470" s="61" t="str">
        <f>IFERROR(__xludf.DUMMYFUNCTION("vlookup(BB1470,importrange(""https://docs.google.com/spreadsheets/d/1d2vevQ_7D_v35q4wCQ4RpQ_IPoTwEMB9Yp6ymwlPqew/edit?gid=984458430#gid=984458430"", ""'replication success'!A:M""), 12, FAlSE)"),"In the aggregate, 10 effects replicated consistently. One effect – imagined contact reducing prejudice – showed weak support for replicability. And two effects – flag priming influencing conservatism and currency priming influencing system justification –"&amp;" did not replicate.")</f>
        <v>In the aggregate, 10 effects replicated consistently. One effect – imagined contact reducing prejudice – showed weak support for replicability. And two effects – flag priming influencing conservatism and currency priming influencing system justification – did not replicate.</v>
      </c>
      <c r="BA1470" s="61" t="str">
        <f>IFERROR(__xludf.DUMMYFUNCTION("vlookup(BB1470,importrange(""https://docs.google.com/spreadsheets/d/1d2vevQ_7D_v35q4wCQ4RpQ_IPoTwEMB9Yp6ymwlPqew/edit?gid=984458430#gid=984458430"", ""'replication success'!A:M""), 13, FAlSE)"),"abstract")</f>
        <v>abstract</v>
      </c>
      <c r="BB1470" s="61" t="str">
        <f>IFERROR(__xludf.DUMMYFUNCTION("REGEXREPLACE(G1470, ""_[a-z]{1,2}$"", """")"),"curatescience75_1")</f>
        <v>curatescience75_1</v>
      </c>
      <c r="BC1470" s="539"/>
      <c r="BD1470" s="93" t="s">
        <v>144</v>
      </c>
      <c r="BE1470" s="71"/>
      <c r="BF1470" s="71"/>
    </row>
    <row r="1471">
      <c r="A1471" s="44">
        <v>1471.0</v>
      </c>
      <c r="B1471" s="538" t="s">
        <v>114</v>
      </c>
      <c r="C1471" s="538" t="s">
        <v>115</v>
      </c>
      <c r="D1471" s="538" t="s">
        <v>1234</v>
      </c>
      <c r="E1471" s="539"/>
      <c r="F1471" s="1018" t="s">
        <v>8362</v>
      </c>
      <c r="G1471" s="1019" t="str">
        <f t="shared" si="109"/>
        <v>curatescience75_2</v>
      </c>
      <c r="H1471" s="1018" t="s">
        <v>6955</v>
      </c>
      <c r="I1471" s="1045">
        <v>45901.0</v>
      </c>
      <c r="J1471" s="1658">
        <v>45713.0</v>
      </c>
      <c r="K1471" s="1032"/>
      <c r="L1471" s="1032"/>
      <c r="M1471" s="1682" t="s">
        <v>8363</v>
      </c>
      <c r="N1471" s="1018" t="s">
        <v>8364</v>
      </c>
      <c r="O1471" s="1047">
        <v>1.0</v>
      </c>
      <c r="P1471" s="1683" t="str">
        <f t="shared" si="110"/>
        <v>10.1016--j.jesp.2010.05.014.pdf</v>
      </c>
      <c r="Q1471" s="52" t="str">
        <f t="array" ref="Q1471"> if(iserror(MATCH(V1471, 'File Links'!C:C, 0)), "N/A", HYPERLINK(INDEX('File Links'!B:B, MATCH(P1471, 'File Links'!C:C, 0))))</f>
        <v>https://drive.google.com/file/d/1eGcl00TFvqtXToShjh3zwuqo-qNHAocO/view?usp=drivesdk</v>
      </c>
      <c r="R1471" s="1206" t="s">
        <v>7496</v>
      </c>
      <c r="S1471" s="1206" t="s">
        <v>7497</v>
      </c>
      <c r="T1471" s="1212" t="s">
        <v>7498</v>
      </c>
      <c r="U1471" s="1032"/>
      <c r="V1471" s="198" t="str">
        <f t="shared" si="106"/>
        <v>10.1027--1864-9335--a000178.pdf</v>
      </c>
      <c r="X1471" s="54" t="str">
        <f t="array" ref="X1471"> if(iserror(MATCH(V1471, 'File Links'!C:C, 0)), "N/A", HYPERLINK(INDEX('File Links'!B:B, MATCH(V1471, 'File Links'!C:C, 0))))</f>
        <v>https://drive.google.com/file/d/1fIqa3RxgdnsQkWwGnLkF4XAbM2g_WN4q/view?usp=drivesdk</v>
      </c>
      <c r="Y1471" s="1032"/>
      <c r="Z1471" s="1018" t="s">
        <v>226</v>
      </c>
      <c r="AA1471" s="1018" t="s">
        <v>8372</v>
      </c>
      <c r="AB1471" s="1032"/>
      <c r="AC1471" s="1032"/>
      <c r="AD1471" s="1018" t="s">
        <v>8373</v>
      </c>
      <c r="AE1471" s="1047">
        <v>945.0</v>
      </c>
      <c r="AF1471" s="1047">
        <v>60.0</v>
      </c>
      <c r="AG1471" s="1047">
        <v>0.86</v>
      </c>
      <c r="AH1471" s="1018" t="s">
        <v>173</v>
      </c>
      <c r="AI1471" s="1032"/>
      <c r="AJ1471" s="1209">
        <v>0.023</v>
      </c>
      <c r="AK1471" s="1019" t="s">
        <v>172</v>
      </c>
      <c r="AL1471" s="1019" t="s">
        <v>186</v>
      </c>
      <c r="AM1471" s="1032" t="s">
        <v>137</v>
      </c>
      <c r="AN1471" s="1672" t="s">
        <v>138</v>
      </c>
      <c r="AO1471" s="1047">
        <v>6336.0</v>
      </c>
      <c r="AP1471" s="1047">
        <v>0.13</v>
      </c>
      <c r="AQ1471" s="1018" t="s">
        <v>173</v>
      </c>
      <c r="AR1471" s="1032"/>
      <c r="AS1471" s="1047">
        <v>0.001</v>
      </c>
      <c r="AT1471" s="1018" t="s">
        <v>135</v>
      </c>
      <c r="AU1471" s="1018" t="s">
        <v>186</v>
      </c>
      <c r="AV1471" s="1032" t="s">
        <v>137</v>
      </c>
      <c r="AW1471" s="1032"/>
      <c r="AX1471" s="1032" t="s">
        <v>143</v>
      </c>
      <c r="AY1471" s="61" t="str">
        <f>IFERROR(__xludf.DUMMYFUNCTION("vlookup(BB1471,importrange(""https://docs.google.com/spreadsheets/d/1d2vevQ_7D_v35q4wCQ4RpQ_IPoTwEMB9Yp6ymwlPqew/edit?gid=984458430#gid=984458430"", ""'replication success'!A:K""), 11, FAlSE)"),"#N/A")</f>
        <v>#N/A</v>
      </c>
      <c r="AZ1471" s="61" t="str">
        <f>IFERROR(__xludf.DUMMYFUNCTION("vlookup(BB1471,importrange(""https://docs.google.com/spreadsheets/d/1d2vevQ_7D_v35q4wCQ4RpQ_IPoTwEMB9Yp6ymwlPqew/edit?gid=984458430#gid=984458430"", ""'replication success'!A:M""), 12, FAlSE)"),"#N/A")</f>
        <v>#N/A</v>
      </c>
      <c r="BA1471" s="61" t="str">
        <f>IFERROR(__xludf.DUMMYFUNCTION("vlookup(BB1471,importrange(""https://docs.google.com/spreadsheets/d/1d2vevQ_7D_v35q4wCQ4RpQ_IPoTwEMB9Yp6ymwlPqew/edit?gid=984458430#gid=984458430"", ""'replication success'!A:M""), 13, FAlSE)"),"#N/A")</f>
        <v>#N/A</v>
      </c>
      <c r="BB1471" s="61" t="str">
        <f>IFERROR(__xludf.DUMMYFUNCTION("REGEXREPLACE(G1471, ""_[a-z]{1,2}$"", """")"),"curatescience75_2")</f>
        <v>curatescience75_2</v>
      </c>
      <c r="BC1471" s="539"/>
      <c r="BD1471" s="93" t="s">
        <v>144</v>
      </c>
      <c r="BE1471" s="71"/>
      <c r="BF1471" s="71"/>
    </row>
    <row r="1472">
      <c r="A1472" s="44">
        <v>1472.0</v>
      </c>
      <c r="B1472" s="668" t="s">
        <v>152</v>
      </c>
      <c r="C1472" s="668" t="s">
        <v>115</v>
      </c>
      <c r="D1472" s="668" t="s">
        <v>153</v>
      </c>
      <c r="E1472" s="813"/>
      <c r="F1472" s="125" t="s">
        <v>8374</v>
      </c>
      <c r="G1472" s="126" t="s">
        <v>8375</v>
      </c>
      <c r="H1472" s="126" t="s">
        <v>153</v>
      </c>
      <c r="I1472" s="130" t="s">
        <v>119</v>
      </c>
      <c r="J1472" s="127">
        <v>45638.0</v>
      </c>
      <c r="K1472" s="132"/>
      <c r="L1472" s="132"/>
      <c r="M1472" s="119" t="s">
        <v>8313</v>
      </c>
      <c r="N1472" s="126" t="s">
        <v>8314</v>
      </c>
      <c r="O1472" s="1684">
        <v>1.0</v>
      </c>
      <c r="P1472" s="1685" t="s">
        <v>8315</v>
      </c>
      <c r="Q1472" s="52" t="str">
        <f t="array" ref="Q1472"> if(iserror(MATCH(V1472, 'File Links'!C:C, 0)), "N/A", HYPERLINK(INDEX('File Links'!B:B, MATCH(P1472, 'File Links'!C:C, 0))))</f>
        <v>https://drive.google.com/file/d/1VcKqsyqYAl_exqLf4Zk_sKFNXaU3WlBH/view?usp=drivesdk</v>
      </c>
      <c r="R1472" s="126" t="s">
        <v>8316</v>
      </c>
      <c r="S1472" s="126" t="s">
        <v>8317</v>
      </c>
      <c r="T1472" s="132"/>
      <c r="U1472" s="1686">
        <v>2.0</v>
      </c>
      <c r="V1472" s="198" t="str">
        <f t="shared" si="106"/>
        <v>10.1177--0956797613486983.pdf</v>
      </c>
      <c r="W1472" s="126" t="s">
        <v>3570</v>
      </c>
      <c r="X1472" s="54" t="str">
        <f t="array" ref="X1472"> if(iserror(MATCH(V1472, 'File Links'!C:C, 0)), "N/A", HYPERLINK(INDEX('File Links'!B:B, MATCH(V1472, 'File Links'!C:C, 0))))</f>
        <v>https://drive.google.com/file/d/1GB5oPjHVuDXBTZ2__Had-zRIf9ZK4G7S/view?usp=drivesdk</v>
      </c>
      <c r="Y1472" s="132"/>
      <c r="Z1472" s="126" t="s">
        <v>226</v>
      </c>
      <c r="AA1472" s="222" t="s">
        <v>8318</v>
      </c>
      <c r="AB1472" s="222" t="s">
        <v>8319</v>
      </c>
      <c r="AC1472" s="222" t="s">
        <v>8376</v>
      </c>
      <c r="AD1472" s="222" t="s">
        <v>8321</v>
      </c>
      <c r="AE1472" s="130">
        <v>1.0</v>
      </c>
      <c r="AF1472" s="320">
        <v>56.0</v>
      </c>
      <c r="AG1472" s="126" t="s">
        <v>8322</v>
      </c>
      <c r="AH1472" s="223" t="s">
        <v>134</v>
      </c>
      <c r="AI1472" s="130">
        <v>1.0</v>
      </c>
      <c r="AJ1472" s="130">
        <v>0.028</v>
      </c>
      <c r="AK1472" s="140" t="s">
        <v>172</v>
      </c>
      <c r="AL1472" s="126" t="s">
        <v>136</v>
      </c>
      <c r="AM1472" s="132" t="s">
        <v>137</v>
      </c>
      <c r="AN1472" s="330" t="s">
        <v>138</v>
      </c>
      <c r="AO1472" s="130">
        <v>125.0</v>
      </c>
      <c r="AP1472" s="130">
        <v>5.63E-4</v>
      </c>
      <c r="AQ1472" s="116" t="s">
        <v>8323</v>
      </c>
      <c r="AR1472" s="126" t="s">
        <v>2771</v>
      </c>
      <c r="AS1472" s="130">
        <v>0.72</v>
      </c>
      <c r="AT1472" s="140" t="s">
        <v>172</v>
      </c>
      <c r="AU1472" s="122" t="s">
        <v>186</v>
      </c>
      <c r="AV1472" s="125" t="s">
        <v>141</v>
      </c>
      <c r="AW1472" s="669" t="s">
        <v>8377</v>
      </c>
      <c r="AX1472" s="909" t="s">
        <v>143</v>
      </c>
      <c r="AY1472" s="61" t="str">
        <f>IFERROR(__xludf.DUMMYFUNCTION("vlookup(BB1472,importrange(""https://docs.google.com/spreadsheets/d/1d2vevQ_7D_v35q4wCQ4RpQ_IPoTwEMB9Yp6ymwlPqew/edit?gid=984458430#gid=984458430"", ""'replication success'!A:K""), 11, FAlSE)"),"#N/A")</f>
        <v>#N/A</v>
      </c>
      <c r="AZ1472" s="61" t="str">
        <f>IFERROR(__xludf.DUMMYFUNCTION("vlookup(BB1472,importrange(""https://docs.google.com/spreadsheets/d/1d2vevQ_7D_v35q4wCQ4RpQ_IPoTwEMB9Yp6ymwlPqew/edit?gid=984458430#gid=984458430"", ""'replication success'!A:M""), 12, FAlSE)"),"#N/A")</f>
        <v>#N/A</v>
      </c>
      <c r="BA1472" s="61" t="str">
        <f>IFERROR(__xludf.DUMMYFUNCTION("vlookup(BB1472,importrange(""https://docs.google.com/spreadsheets/d/1d2vevQ_7D_v35q4wCQ4RpQ_IPoTwEMB9Yp6ymwlPqew/edit?gid=984458430#gid=984458430"", ""'replication success'!A:M""), 13, FAlSE)"),"#N/A")</f>
        <v>#N/A</v>
      </c>
      <c r="BB1472" s="61" t="str">
        <f>IFERROR(__xludf.DUMMYFUNCTION("REGEXREPLACE(G1472, ""_[a-z]{1,2}$"", """")"),"curatescience8")</f>
        <v>curatescience8</v>
      </c>
      <c r="BC1472" s="107"/>
      <c r="BD1472" s="1440" t="s">
        <v>144</v>
      </c>
    </row>
    <row r="1473">
      <c r="A1473" s="44">
        <v>1473.0</v>
      </c>
      <c r="B1473" s="149" t="s">
        <v>114</v>
      </c>
      <c r="C1473" s="149" t="s">
        <v>115</v>
      </c>
      <c r="D1473" s="149" t="s">
        <v>176</v>
      </c>
      <c r="E1473" s="71"/>
      <c r="F1473" s="111" t="s">
        <v>8374</v>
      </c>
      <c r="G1473" s="112" t="s">
        <v>8375</v>
      </c>
      <c r="H1473" s="122" t="s">
        <v>176</v>
      </c>
      <c r="I1473" s="586">
        <v>45653.0</v>
      </c>
      <c r="J1473" s="111"/>
      <c r="K1473" s="122" t="s">
        <v>8325</v>
      </c>
      <c r="L1473" s="111"/>
      <c r="M1473" s="116" t="s">
        <v>8313</v>
      </c>
      <c r="N1473" s="122" t="s">
        <v>8314</v>
      </c>
      <c r="O1473" s="537">
        <v>1.0</v>
      </c>
      <c r="P1473" s="536" t="s">
        <v>8315</v>
      </c>
      <c r="Q1473" s="52" t="str">
        <f t="array" ref="Q1473"> if(iserror(MATCH(V1473, 'File Links'!C:C, 0)), "N/A", HYPERLINK(INDEX('File Links'!B:B, MATCH(P1473, 'File Links'!C:C, 0))))</f>
        <v>https://drive.google.com/file/d/1VcKqsyqYAl_exqLf4Zk_sKFNXaU3WlBH/view?usp=drivesdk</v>
      </c>
      <c r="R1473" s="122" t="s">
        <v>8378</v>
      </c>
      <c r="S1473" s="122" t="s">
        <v>8317</v>
      </c>
      <c r="T1473" s="111"/>
      <c r="U1473" s="537">
        <v>2.0</v>
      </c>
      <c r="V1473" s="198" t="str">
        <f t="shared" si="106"/>
        <v>10.1177--0956797613486983.pdf</v>
      </c>
      <c r="W1473" s="122" t="s">
        <v>2125</v>
      </c>
      <c r="X1473" s="54" t="str">
        <f t="array" ref="X1473"> if(iserror(MATCH(V1473, 'File Links'!C:C, 0)), "N/A", HYPERLINK(INDEX('File Links'!B:B, MATCH(V1473, 'File Links'!C:C, 0))))</f>
        <v>https://drive.google.com/file/d/1GB5oPjHVuDXBTZ2__Had-zRIf9ZK4G7S/view?usp=drivesdk</v>
      </c>
      <c r="Y1473" s="111"/>
      <c r="Z1473" s="122" t="s">
        <v>226</v>
      </c>
      <c r="AA1473" s="122" t="s">
        <v>8326</v>
      </c>
      <c r="AB1473" s="111"/>
      <c r="AC1473" s="122" t="s">
        <v>8327</v>
      </c>
      <c r="AD1473" s="122" t="s">
        <v>8328</v>
      </c>
      <c r="AE1473" s="122" t="s">
        <v>812</v>
      </c>
      <c r="AF1473" s="537">
        <v>56.0</v>
      </c>
      <c r="AG1473" s="122" t="s">
        <v>8329</v>
      </c>
      <c r="AH1473" s="194" t="s">
        <v>360</v>
      </c>
      <c r="AI1473" s="112" t="s">
        <v>7251</v>
      </c>
      <c r="AJ1473" s="112" t="s">
        <v>8330</v>
      </c>
      <c r="AK1473" s="122" t="s">
        <v>172</v>
      </c>
      <c r="AL1473" s="112" t="s">
        <v>186</v>
      </c>
      <c r="AM1473" s="111" t="s">
        <v>137</v>
      </c>
      <c r="AN1473" s="111"/>
      <c r="AO1473" s="537">
        <v>233.0</v>
      </c>
      <c r="AP1473" s="122" t="s">
        <v>8379</v>
      </c>
      <c r="AQ1473" s="116" t="s">
        <v>8323</v>
      </c>
      <c r="AR1473" s="122" t="s">
        <v>875</v>
      </c>
      <c r="AS1473" s="122" t="s">
        <v>8380</v>
      </c>
      <c r="AT1473" s="122" t="s">
        <v>172</v>
      </c>
      <c r="AU1473" s="122" t="s">
        <v>186</v>
      </c>
      <c r="AV1473" s="111" t="s">
        <v>137</v>
      </c>
      <c r="AW1473" s="656" t="s">
        <v>8381</v>
      </c>
      <c r="AX1473" s="838" t="s">
        <v>438</v>
      </c>
      <c r="AY1473" s="61" t="str">
        <f>IFERROR(__xludf.DUMMYFUNCTION("vlookup(BB1473,importrange(""https://docs.google.com/spreadsheets/d/1d2vevQ_7D_v35q4wCQ4RpQ_IPoTwEMB9Yp6ymwlPqew/edit?gid=984458430#gid=984458430"", ""'replication success'!A:K""), 11, FAlSE)"),"#N/A")</f>
        <v>#N/A</v>
      </c>
      <c r="AZ1473" s="61" t="str">
        <f>IFERROR(__xludf.DUMMYFUNCTION("vlookup(BB1473,importrange(""https://docs.google.com/spreadsheets/d/1d2vevQ_7D_v35q4wCQ4RpQ_IPoTwEMB9Yp6ymwlPqew/edit?gid=984458430#gid=984458430"", ""'replication success'!A:M""), 12, FAlSE)"),"#N/A")</f>
        <v>#N/A</v>
      </c>
      <c r="BA1473" s="61" t="str">
        <f>IFERROR(__xludf.DUMMYFUNCTION("vlookup(BB1473,importrange(""https://docs.google.com/spreadsheets/d/1d2vevQ_7D_v35q4wCQ4RpQ_IPoTwEMB9Yp6ymwlPqew/edit?gid=984458430#gid=984458430"", ""'replication success'!A:M""), 13, FAlSE)"),"#N/A")</f>
        <v>#N/A</v>
      </c>
      <c r="BB1473" s="61" t="str">
        <f>IFERROR(__xludf.DUMMYFUNCTION("REGEXREPLACE(G1473, ""_[a-z]{1,2}$"", """")"),"curatescience8")</f>
        <v>curatescience8</v>
      </c>
      <c r="BC1473" s="149" t="s">
        <v>8382</v>
      </c>
      <c r="BD1473" s="1440" t="s">
        <v>144</v>
      </c>
    </row>
    <row r="1474">
      <c r="A1474" s="44">
        <v>1474.0</v>
      </c>
      <c r="B1474" s="149" t="s">
        <v>114</v>
      </c>
      <c r="C1474" s="149" t="s">
        <v>115</v>
      </c>
      <c r="D1474" s="149" t="s">
        <v>176</v>
      </c>
      <c r="E1474" s="71"/>
      <c r="F1474" s="111" t="s">
        <v>8374</v>
      </c>
      <c r="G1474" s="112" t="s">
        <v>8383</v>
      </c>
      <c r="H1474" s="122" t="s">
        <v>176</v>
      </c>
      <c r="I1474" s="586">
        <v>45653.0</v>
      </c>
      <c r="J1474" s="111"/>
      <c r="K1474" s="122" t="s">
        <v>8325</v>
      </c>
      <c r="L1474" s="111"/>
      <c r="M1474" s="116" t="s">
        <v>8313</v>
      </c>
      <c r="N1474" s="122" t="s">
        <v>8314</v>
      </c>
      <c r="O1474" s="537">
        <v>1.0</v>
      </c>
      <c r="P1474" s="536" t="s">
        <v>8315</v>
      </c>
      <c r="Q1474" s="52" t="str">
        <f t="array" ref="Q1474"> if(iserror(MATCH(V1474, 'File Links'!C:C, 0)), "N/A", HYPERLINK(INDEX('File Links'!B:B, MATCH(P1474, 'File Links'!C:C, 0))))</f>
        <v>https://drive.google.com/file/d/1VcKqsyqYAl_exqLf4Zk_sKFNXaU3WlBH/view?usp=drivesdk</v>
      </c>
      <c r="R1474" s="122" t="s">
        <v>8378</v>
      </c>
      <c r="S1474" s="122" t="s">
        <v>8317</v>
      </c>
      <c r="T1474" s="111"/>
      <c r="U1474" s="537">
        <v>2.0</v>
      </c>
      <c r="V1474" s="198" t="str">
        <f t="shared" si="106"/>
        <v>10.1177--0956797613486983.pdf</v>
      </c>
      <c r="W1474" s="122" t="s">
        <v>2125</v>
      </c>
      <c r="X1474" s="54" t="str">
        <f t="array" ref="X1474"> if(iserror(MATCH(V1474, 'File Links'!C:C, 0)), "N/A", HYPERLINK(INDEX('File Links'!B:B, MATCH(V1474, 'File Links'!C:C, 0))))</f>
        <v>https://drive.google.com/file/d/1GB5oPjHVuDXBTZ2__Had-zRIf9ZK4G7S/view?usp=drivesdk</v>
      </c>
      <c r="Y1474" s="111"/>
      <c r="Z1474" s="122" t="s">
        <v>226</v>
      </c>
      <c r="AA1474" s="122" t="s">
        <v>8326</v>
      </c>
      <c r="AB1474" s="111"/>
      <c r="AC1474" s="122" t="s">
        <v>8334</v>
      </c>
      <c r="AD1474" s="122" t="s">
        <v>8335</v>
      </c>
      <c r="AE1474" s="122" t="s">
        <v>812</v>
      </c>
      <c r="AF1474" s="537">
        <v>56.0</v>
      </c>
      <c r="AG1474" s="122" t="s">
        <v>8336</v>
      </c>
      <c r="AH1474" s="194" t="s">
        <v>360</v>
      </c>
      <c r="AI1474" s="112" t="s">
        <v>7251</v>
      </c>
      <c r="AJ1474" s="112" t="s">
        <v>8337</v>
      </c>
      <c r="AK1474" s="122" t="s">
        <v>172</v>
      </c>
      <c r="AL1474" s="112" t="s">
        <v>186</v>
      </c>
      <c r="AM1474" s="111" t="s">
        <v>137</v>
      </c>
      <c r="AN1474" s="111"/>
      <c r="AO1474" s="537">
        <v>125.0</v>
      </c>
      <c r="AP1474" s="122" t="s">
        <v>8384</v>
      </c>
      <c r="AQ1474" s="159" t="s">
        <v>360</v>
      </c>
      <c r="AR1474" s="122" t="s">
        <v>875</v>
      </c>
      <c r="AS1474" s="111"/>
      <c r="AT1474" s="111"/>
      <c r="AU1474" s="111"/>
      <c r="AV1474" s="111"/>
      <c r="AW1474" s="656" t="s">
        <v>8381</v>
      </c>
      <c r="AX1474" s="838" t="s">
        <v>438</v>
      </c>
      <c r="AY1474" s="61" t="str">
        <f>IFERROR(__xludf.DUMMYFUNCTION("vlookup(BB1474,importrange(""https://docs.google.com/spreadsheets/d/1d2vevQ_7D_v35q4wCQ4RpQ_IPoTwEMB9Yp6ymwlPqew/edit?gid=984458430#gid=984458430"", ""'replication success'!A:K""), 11, FAlSE)"),"#N/A")</f>
        <v>#N/A</v>
      </c>
      <c r="AZ1474" s="61" t="str">
        <f>IFERROR(__xludf.DUMMYFUNCTION("vlookup(BB1474,importrange(""https://docs.google.com/spreadsheets/d/1d2vevQ_7D_v35q4wCQ4RpQ_IPoTwEMB9Yp6ymwlPqew/edit?gid=984458430#gid=984458430"", ""'replication success'!A:M""), 12, FAlSE)"),"#N/A")</f>
        <v>#N/A</v>
      </c>
      <c r="BA1474" s="61" t="str">
        <f>IFERROR(__xludf.DUMMYFUNCTION("vlookup(BB1474,importrange(""https://docs.google.com/spreadsheets/d/1d2vevQ_7D_v35q4wCQ4RpQ_IPoTwEMB9Yp6ymwlPqew/edit?gid=984458430#gid=984458430"", ""'replication success'!A:M""), 13, FAlSE)"),"#N/A")</f>
        <v>#N/A</v>
      </c>
      <c r="BB1474" s="61" t="str">
        <f>IFERROR(__xludf.DUMMYFUNCTION("REGEXREPLACE(G1474, ""_[a-z]{1,2}$"", """")"),"curatescience8")</f>
        <v>curatescience8</v>
      </c>
      <c r="BC1474" s="71"/>
      <c r="BD1474" s="1440" t="s">
        <v>144</v>
      </c>
    </row>
    <row r="1475">
      <c r="A1475" s="44">
        <v>1475.0</v>
      </c>
      <c r="B1475" s="149" t="s">
        <v>114</v>
      </c>
      <c r="C1475" s="149" t="s">
        <v>115</v>
      </c>
      <c r="D1475" s="149" t="s">
        <v>176</v>
      </c>
      <c r="E1475" s="71"/>
      <c r="F1475" s="111" t="s">
        <v>8374</v>
      </c>
      <c r="G1475" s="112" t="s">
        <v>8385</v>
      </c>
      <c r="H1475" s="122" t="s">
        <v>176</v>
      </c>
      <c r="I1475" s="586">
        <v>45653.0</v>
      </c>
      <c r="J1475" s="111"/>
      <c r="K1475" s="122" t="s">
        <v>8325</v>
      </c>
      <c r="L1475" s="111"/>
      <c r="M1475" s="116" t="s">
        <v>8313</v>
      </c>
      <c r="N1475" s="122" t="s">
        <v>8314</v>
      </c>
      <c r="O1475" s="537">
        <v>1.0</v>
      </c>
      <c r="P1475" s="536" t="s">
        <v>8315</v>
      </c>
      <c r="Q1475" s="52" t="str">
        <f t="array" ref="Q1475"> if(iserror(MATCH(V1475, 'File Links'!C:C, 0)), "N/A", HYPERLINK(INDEX('File Links'!B:B, MATCH(P1475, 'File Links'!C:C, 0))))</f>
        <v>https://drive.google.com/file/d/1VcKqsyqYAl_exqLf4Zk_sKFNXaU3WlBH/view?usp=drivesdk</v>
      </c>
      <c r="R1475" s="122" t="s">
        <v>8378</v>
      </c>
      <c r="S1475" s="122" t="s">
        <v>8317</v>
      </c>
      <c r="T1475" s="111"/>
      <c r="U1475" s="537">
        <v>2.0</v>
      </c>
      <c r="V1475" s="198" t="str">
        <f t="shared" si="106"/>
        <v>10.1177--0956797613486983.pdf</v>
      </c>
      <c r="W1475" s="122" t="s">
        <v>2125</v>
      </c>
      <c r="X1475" s="54" t="str">
        <f t="array" ref="X1475"> if(iserror(MATCH(V1475, 'File Links'!C:C, 0)), "N/A", HYPERLINK(INDEX('File Links'!B:B, MATCH(V1475, 'File Links'!C:C, 0))))</f>
        <v>https://drive.google.com/file/d/1GB5oPjHVuDXBTZ2__Had-zRIf9ZK4G7S/view?usp=drivesdk</v>
      </c>
      <c r="Y1475" s="111"/>
      <c r="Z1475" s="122" t="s">
        <v>226</v>
      </c>
      <c r="AA1475" s="122" t="s">
        <v>8326</v>
      </c>
      <c r="AB1475" s="111"/>
      <c r="AC1475" s="122" t="s">
        <v>8340</v>
      </c>
      <c r="AD1475" s="122" t="s">
        <v>8335</v>
      </c>
      <c r="AE1475" s="122" t="s">
        <v>812</v>
      </c>
      <c r="AF1475" s="537">
        <v>56.0</v>
      </c>
      <c r="AG1475" s="122" t="s">
        <v>8341</v>
      </c>
      <c r="AH1475" s="194" t="s">
        <v>360</v>
      </c>
      <c r="AI1475" s="112" t="s">
        <v>7251</v>
      </c>
      <c r="AJ1475" s="112" t="s">
        <v>8342</v>
      </c>
      <c r="AK1475" s="122" t="s">
        <v>172</v>
      </c>
      <c r="AL1475" s="112" t="s">
        <v>186</v>
      </c>
      <c r="AM1475" s="111" t="s">
        <v>137</v>
      </c>
      <c r="AN1475" s="111"/>
      <c r="AO1475" s="537">
        <v>108.0</v>
      </c>
      <c r="AP1475" s="122" t="s">
        <v>8386</v>
      </c>
      <c r="AQ1475" s="159" t="s">
        <v>360</v>
      </c>
      <c r="AR1475" s="122" t="s">
        <v>875</v>
      </c>
      <c r="AS1475" s="111"/>
      <c r="AT1475" s="111"/>
      <c r="AU1475" s="111"/>
      <c r="AV1475" s="111"/>
      <c r="AW1475" s="656" t="s">
        <v>8381</v>
      </c>
      <c r="AX1475" s="838" t="s">
        <v>438</v>
      </c>
      <c r="AY1475" s="61" t="str">
        <f>IFERROR(__xludf.DUMMYFUNCTION("vlookup(BB1475,importrange(""https://docs.google.com/spreadsheets/d/1d2vevQ_7D_v35q4wCQ4RpQ_IPoTwEMB9Yp6ymwlPqew/edit?gid=984458430#gid=984458430"", ""'replication success'!A:K""), 11, FAlSE)"),"#N/A")</f>
        <v>#N/A</v>
      </c>
      <c r="AZ1475" s="61" t="str">
        <f>IFERROR(__xludf.DUMMYFUNCTION("vlookup(BB1475,importrange(""https://docs.google.com/spreadsheets/d/1d2vevQ_7D_v35q4wCQ4RpQ_IPoTwEMB9Yp6ymwlPqew/edit?gid=984458430#gid=984458430"", ""'replication success'!A:M""), 12, FAlSE)"),"#N/A")</f>
        <v>#N/A</v>
      </c>
      <c r="BA1475" s="61" t="str">
        <f>IFERROR(__xludf.DUMMYFUNCTION("vlookup(BB1475,importrange(""https://docs.google.com/spreadsheets/d/1d2vevQ_7D_v35q4wCQ4RpQ_IPoTwEMB9Yp6ymwlPqew/edit?gid=984458430#gid=984458430"", ""'replication success'!A:M""), 13, FAlSE)"),"#N/A")</f>
        <v>#N/A</v>
      </c>
      <c r="BB1475" s="61" t="str">
        <f>IFERROR(__xludf.DUMMYFUNCTION("REGEXREPLACE(G1475, ""_[a-z]{1,2}$"", """")"),"curatescience8")</f>
        <v>curatescience8</v>
      </c>
      <c r="BC1475" s="71"/>
      <c r="BD1475" s="1440" t="s">
        <v>144</v>
      </c>
      <c r="BE1475" s="71"/>
      <c r="BF1475" s="71"/>
      <c r="BG1475" s="71"/>
      <c r="BH1475" s="71"/>
      <c r="BI1475" s="71"/>
      <c r="BJ1475" s="71"/>
      <c r="BK1475" s="71"/>
      <c r="BL1475" s="71"/>
      <c r="BM1475" s="71"/>
      <c r="BN1475" s="71"/>
      <c r="BO1475" s="71"/>
      <c r="BP1475" s="71"/>
      <c r="BQ1475" s="71"/>
      <c r="BR1475" s="71"/>
      <c r="BS1475" s="71"/>
      <c r="BT1475" s="71"/>
      <c r="BU1475" s="71"/>
      <c r="BV1475" s="71"/>
      <c r="BW1475" s="71"/>
      <c r="BX1475" s="71"/>
      <c r="BY1475" s="71"/>
      <c r="BZ1475" s="71"/>
      <c r="CA1475" s="71"/>
      <c r="CB1475" s="71"/>
      <c r="CC1475" s="71"/>
      <c r="CD1475" s="71"/>
      <c r="CE1475" s="71"/>
      <c r="CF1475" s="71"/>
      <c r="CG1475" s="71"/>
      <c r="CH1475" s="71"/>
      <c r="CI1475" s="71"/>
      <c r="CJ1475" s="71"/>
      <c r="CK1475" s="71"/>
      <c r="CL1475" s="71"/>
      <c r="CM1475" s="71"/>
      <c r="CN1475" s="71"/>
      <c r="CO1475" s="71"/>
      <c r="CP1475" s="71"/>
      <c r="CQ1475" s="71"/>
      <c r="CR1475" s="71"/>
      <c r="CS1475" s="71"/>
      <c r="CT1475" s="71"/>
      <c r="CU1475" s="71"/>
      <c r="CV1475" s="71"/>
      <c r="CW1475" s="71"/>
      <c r="CX1475" s="71"/>
      <c r="CY1475" s="71"/>
      <c r="CZ1475" s="71"/>
      <c r="DA1475" s="71"/>
      <c r="DB1475" s="71"/>
      <c r="DC1475" s="71"/>
      <c r="DD1475" s="71"/>
      <c r="DE1475" s="71"/>
      <c r="DF1475" s="71"/>
      <c r="DG1475" s="71"/>
      <c r="DH1475" s="71"/>
      <c r="DI1475" s="71"/>
      <c r="DJ1475" s="71"/>
      <c r="DK1475" s="71"/>
      <c r="DL1475" s="71"/>
    </row>
    <row r="1476">
      <c r="A1476" s="44">
        <v>1476.0</v>
      </c>
      <c r="B1476" s="188" t="s">
        <v>590</v>
      </c>
      <c r="C1476" s="188" t="s">
        <v>115</v>
      </c>
      <c r="D1476" s="188" t="s">
        <v>2630</v>
      </c>
      <c r="E1476" s="189"/>
      <c r="F1476" s="369" t="s">
        <v>8387</v>
      </c>
      <c r="G1476" s="192" t="str">
        <f t="shared" ref="G1476:G1477" si="111">F1476&amp;"_"&amp;COUNTIF($B$3:F1476, F1476)</f>
        <v>curatescience86_1</v>
      </c>
      <c r="H1476" s="369" t="s">
        <v>7492</v>
      </c>
      <c r="I1476" s="370">
        <v>45675.0</v>
      </c>
      <c r="J1476" s="370">
        <v>45676.0</v>
      </c>
      <c r="K1476" s="190"/>
      <c r="L1476" s="190"/>
      <c r="M1476" s="1472" t="s">
        <v>8388</v>
      </c>
      <c r="N1476" s="369" t="s">
        <v>8389</v>
      </c>
      <c r="O1476" s="374">
        <v>1.0</v>
      </c>
      <c r="P1476" s="1566" t="str">
        <f t="shared" ref="P1476:P1477" si="112"> SUBSTITUTE(lower(N1476), "/", "--") &amp;  ".pdf"</f>
        <v>10.1016--j.jesp.2009.03.009.pdf</v>
      </c>
      <c r="Q1476" s="52" t="str">
        <f t="array" ref="Q1476"> if(iserror(MATCH(V1476, 'File Links'!C:C, 0)), "N/A", HYPERLINK(INDEX('File Links'!B:B, MATCH(P1476, 'File Links'!C:C, 0))))</f>
        <v>https://drive.google.com/file/d/13E6exELEtdG2RSbqcPYafnphBAN0Qwtm/view?usp=drivesdk</v>
      </c>
      <c r="R1476" s="369" t="s">
        <v>7496</v>
      </c>
      <c r="S1476" s="369" t="s">
        <v>7497</v>
      </c>
      <c r="T1476" s="1098" t="s">
        <v>7498</v>
      </c>
      <c r="U1476" s="369" t="s">
        <v>8390</v>
      </c>
      <c r="V1476" s="198" t="str">
        <f t="shared" si="106"/>
        <v>10.1027--1864-9335--a000178.pdf</v>
      </c>
      <c r="W1476" s="369" t="s">
        <v>7500</v>
      </c>
      <c r="X1476" s="54" t="str">
        <f t="array" ref="X1476"> if(iserror(MATCH(V1476, 'File Links'!C:C, 0)), "N/A", HYPERLINK(INDEX('File Links'!B:B, MATCH(V1476, 'File Links'!C:C, 0))))</f>
        <v>https://drive.google.com/file/d/1fIqa3RxgdnsQkWwGnLkF4XAbM2g_WN4q/view?usp=drivesdk</v>
      </c>
      <c r="Y1476" s="190"/>
      <c r="Z1476" s="369" t="s">
        <v>148</v>
      </c>
      <c r="AA1476" s="369" t="s">
        <v>8391</v>
      </c>
      <c r="AB1476" s="369" t="s">
        <v>8392</v>
      </c>
      <c r="AC1476" s="369" t="s">
        <v>8393</v>
      </c>
      <c r="AD1476" s="369" t="s">
        <v>8394</v>
      </c>
      <c r="AE1476" s="369" t="s">
        <v>8395</v>
      </c>
      <c r="AF1476" s="1476">
        <v>213.0</v>
      </c>
      <c r="AG1476" s="1476">
        <v>0.06</v>
      </c>
      <c r="AH1476" s="1426" t="s">
        <v>139</v>
      </c>
      <c r="AI1476" s="369" t="s">
        <v>8396</v>
      </c>
      <c r="AJ1476" s="1473">
        <v>0.01</v>
      </c>
      <c r="AK1476" s="192" t="s">
        <v>135</v>
      </c>
      <c r="AL1476" s="1567" t="s">
        <v>186</v>
      </c>
      <c r="AM1476" s="1474" t="s">
        <v>137</v>
      </c>
      <c r="AN1476" s="1567" t="s">
        <v>138</v>
      </c>
      <c r="AO1476" s="1475">
        <v>6120.0</v>
      </c>
      <c r="AP1476" s="1476">
        <v>0.03</v>
      </c>
      <c r="AQ1476" s="369" t="s">
        <v>139</v>
      </c>
      <c r="AR1476" s="369" t="s">
        <v>8397</v>
      </c>
      <c r="AS1476" s="1476">
        <v>0.05</v>
      </c>
      <c r="AT1476" s="369" t="s">
        <v>135</v>
      </c>
      <c r="AU1476" s="369" t="s">
        <v>136</v>
      </c>
      <c r="AV1476" s="1474" t="s">
        <v>137</v>
      </c>
      <c r="AW1476" s="1570" t="s">
        <v>138</v>
      </c>
      <c r="AX1476" s="1474" t="s">
        <v>143</v>
      </c>
      <c r="AY1476" s="61" t="str">
        <f>IFERROR(__xludf.DUMMYFUNCTION("vlookup(BB1476,importrange(""https://docs.google.com/spreadsheets/d/1d2vevQ_7D_v35q4wCQ4RpQ_IPoTwEMB9Yp6ymwlPqew/edit?gid=984458430#gid=984458430"", ""'replication success'!A:K""), 11, FAlSE)"),"#N/A")</f>
        <v>#N/A</v>
      </c>
      <c r="AZ1476" s="61" t="str">
        <f>IFERROR(__xludf.DUMMYFUNCTION("vlookup(BB1476,importrange(""https://docs.google.com/spreadsheets/d/1d2vevQ_7D_v35q4wCQ4RpQ_IPoTwEMB9Yp6ymwlPqew/edit?gid=984458430#gid=984458430"", ""'replication success'!A:M""), 12, FAlSE)"),"#N/A")</f>
        <v>#N/A</v>
      </c>
      <c r="BA1476" s="61" t="str">
        <f>IFERROR(__xludf.DUMMYFUNCTION("vlookup(BB1476,importrange(""https://docs.google.com/spreadsheets/d/1d2vevQ_7D_v35q4wCQ4RpQ_IPoTwEMB9Yp6ymwlPqew/edit?gid=984458430#gid=984458430"", ""'replication success'!A:M""), 13, FAlSE)"),"#N/A")</f>
        <v>#N/A</v>
      </c>
      <c r="BB1476" s="61" t="str">
        <f>IFERROR(__xludf.DUMMYFUNCTION("REGEXREPLACE(G1476, ""_[a-z]{1,2}$"", """")"),"curatescience86_1")</f>
        <v>curatescience86_1</v>
      </c>
      <c r="BC1476" s="189"/>
      <c r="BD1476" s="188" t="s">
        <v>144</v>
      </c>
      <c r="BE1476" s="71"/>
      <c r="BF1476" s="71"/>
      <c r="BG1476" s="71"/>
      <c r="BH1476" s="71"/>
      <c r="BI1476" s="71"/>
      <c r="BJ1476" s="71"/>
      <c r="BK1476" s="71"/>
      <c r="BL1476" s="71"/>
      <c r="BM1476" s="71"/>
      <c r="BN1476" s="71"/>
      <c r="BO1476" s="71"/>
      <c r="BP1476" s="71"/>
      <c r="BQ1476" s="71"/>
      <c r="BR1476" s="71"/>
      <c r="BS1476" s="71"/>
      <c r="BT1476" s="71"/>
      <c r="BU1476" s="71"/>
      <c r="BV1476" s="71"/>
      <c r="BW1476" s="71"/>
      <c r="BX1476" s="71"/>
      <c r="BY1476" s="71"/>
      <c r="BZ1476" s="71"/>
      <c r="CA1476" s="71"/>
      <c r="CB1476" s="71"/>
      <c r="CC1476" s="71"/>
      <c r="CD1476" s="71"/>
      <c r="CE1476" s="71"/>
      <c r="CF1476" s="71"/>
      <c r="CG1476" s="71"/>
      <c r="CH1476" s="71"/>
      <c r="CI1476" s="71"/>
      <c r="CJ1476" s="71"/>
      <c r="CK1476" s="71"/>
      <c r="CL1476" s="71"/>
      <c r="CM1476" s="71"/>
      <c r="CN1476" s="71"/>
      <c r="CO1476" s="71"/>
      <c r="CP1476" s="71"/>
      <c r="CQ1476" s="71"/>
      <c r="CR1476" s="71"/>
      <c r="CS1476" s="71"/>
      <c r="CT1476" s="71"/>
      <c r="CU1476" s="71"/>
      <c r="CV1476" s="71"/>
      <c r="CW1476" s="71"/>
      <c r="CX1476" s="71"/>
      <c r="CY1476" s="71"/>
      <c r="CZ1476" s="71"/>
      <c r="DA1476" s="71"/>
      <c r="DB1476" s="71"/>
      <c r="DC1476" s="71"/>
      <c r="DD1476" s="71"/>
      <c r="DE1476" s="71"/>
      <c r="DF1476" s="71"/>
      <c r="DG1476" s="71"/>
      <c r="DH1476" s="71"/>
      <c r="DI1476" s="71"/>
      <c r="DJ1476" s="71"/>
      <c r="DK1476" s="71"/>
      <c r="DL1476" s="71"/>
    </row>
    <row r="1477">
      <c r="A1477" s="44">
        <v>1477.0</v>
      </c>
      <c r="B1477" s="188" t="s">
        <v>523</v>
      </c>
      <c r="C1477" s="188" t="s">
        <v>115</v>
      </c>
      <c r="D1477" s="188" t="s">
        <v>1234</v>
      </c>
      <c r="E1477" s="189"/>
      <c r="F1477" s="198" t="s">
        <v>8387</v>
      </c>
      <c r="G1477" s="58" t="str">
        <f t="shared" si="111"/>
        <v>curatescience86_2</v>
      </c>
      <c r="H1477" s="198" t="s">
        <v>6955</v>
      </c>
      <c r="I1477" s="191">
        <v>45901.0</v>
      </c>
      <c r="J1477" s="191">
        <v>45901.0</v>
      </c>
      <c r="K1477" s="190"/>
      <c r="L1477" s="190"/>
      <c r="M1477" s="1687" t="s">
        <v>8388</v>
      </c>
      <c r="N1477" s="198" t="s">
        <v>8389</v>
      </c>
      <c r="O1477" s="758">
        <v>1.0</v>
      </c>
      <c r="P1477" s="977" t="str">
        <f t="shared" si="112"/>
        <v>10.1016--j.jesp.2009.03.009.pdf</v>
      </c>
      <c r="Q1477" s="52" t="str">
        <f t="array" ref="Q1477"> if(iserror(MATCH(V1477, 'File Links'!C:C, 0)), "N/A", HYPERLINK(INDEX('File Links'!B:B, MATCH(P1477, 'File Links'!C:C, 0))))</f>
        <v>https://drive.google.com/file/d/13E6exELEtdG2RSbqcPYafnphBAN0Qwtm/view?usp=drivesdk</v>
      </c>
      <c r="R1477" s="369" t="s">
        <v>7496</v>
      </c>
      <c r="S1477" s="369" t="s">
        <v>7497</v>
      </c>
      <c r="T1477" s="1098" t="s">
        <v>7498</v>
      </c>
      <c r="U1477" s="190"/>
      <c r="V1477" s="198" t="str">
        <f t="shared" si="106"/>
        <v>10.1027--1864-9335--a000178.pdf</v>
      </c>
      <c r="X1477" s="54" t="str">
        <f t="array" ref="X1477"> if(iserror(MATCH(V1477, 'File Links'!C:C, 0)), "N/A", HYPERLINK(INDEX('File Links'!B:B, MATCH(V1477, 'File Links'!C:C, 0))))</f>
        <v>https://drive.google.com/file/d/1fIqa3RxgdnsQkWwGnLkF4XAbM2g_WN4q/view?usp=drivesdk</v>
      </c>
      <c r="Y1477" s="190"/>
      <c r="Z1477" s="198" t="s">
        <v>226</v>
      </c>
      <c r="AA1477" s="198" t="s">
        <v>8398</v>
      </c>
      <c r="AB1477" s="190"/>
      <c r="AC1477" s="190"/>
      <c r="AD1477" s="198" t="s">
        <v>8399</v>
      </c>
      <c r="AE1477" s="758">
        <v>868.0</v>
      </c>
      <c r="AF1477" s="758">
        <v>213.0</v>
      </c>
      <c r="AG1477" s="190"/>
      <c r="AH1477" s="190"/>
      <c r="AI1477" s="190"/>
      <c r="AJ1477" s="195"/>
      <c r="AK1477" s="193"/>
      <c r="AL1477" s="193"/>
      <c r="AM1477" s="190"/>
      <c r="AN1477" s="193"/>
      <c r="AO1477" s="190"/>
      <c r="AP1477" s="190"/>
      <c r="AQ1477" s="190"/>
      <c r="AR1477" s="190"/>
      <c r="AS1477" s="190"/>
      <c r="AT1477" s="190"/>
      <c r="AU1477" s="190"/>
      <c r="AV1477" s="190"/>
      <c r="AW1477" s="190"/>
      <c r="AX1477" s="190" t="s">
        <v>143</v>
      </c>
      <c r="AY1477" s="61" t="str">
        <f>IFERROR(__xludf.DUMMYFUNCTION("vlookup(BB1477,importrange(""https://docs.google.com/spreadsheets/d/1d2vevQ_7D_v35q4wCQ4RpQ_IPoTwEMB9Yp6ymwlPqew/edit?gid=984458430#gid=984458430"", ""'replication success'!A:K""), 11, FAlSE)"),"#N/A")</f>
        <v>#N/A</v>
      </c>
      <c r="AZ1477" s="61" t="str">
        <f>IFERROR(__xludf.DUMMYFUNCTION("vlookup(BB1477,importrange(""https://docs.google.com/spreadsheets/d/1d2vevQ_7D_v35q4wCQ4RpQ_IPoTwEMB9Yp6ymwlPqew/edit?gid=984458430#gid=984458430"", ""'replication success'!A:M""), 12, FAlSE)"),"#N/A")</f>
        <v>#N/A</v>
      </c>
      <c r="BA1477" s="61" t="str">
        <f>IFERROR(__xludf.DUMMYFUNCTION("vlookup(BB1477,importrange(""https://docs.google.com/spreadsheets/d/1d2vevQ_7D_v35q4wCQ4RpQ_IPoTwEMB9Yp6ymwlPqew/edit?gid=984458430#gid=984458430"", ""'replication success'!A:M""), 13, FAlSE)"),"#N/A")</f>
        <v>#N/A</v>
      </c>
      <c r="BB1477" s="61" t="str">
        <f>IFERROR(__xludf.DUMMYFUNCTION("REGEXREPLACE(G1477, ""_[a-z]{1,2}$"", """")"),"curatescience86_2")</f>
        <v>curatescience86_2</v>
      </c>
      <c r="BC1477" s="189"/>
      <c r="BD1477" s="188" t="s">
        <v>144</v>
      </c>
      <c r="BE1477" s="71"/>
      <c r="BF1477" s="71"/>
      <c r="BG1477" s="71"/>
      <c r="BH1477" s="71"/>
      <c r="BI1477" s="71"/>
      <c r="BJ1477" s="71"/>
      <c r="BK1477" s="71"/>
      <c r="BL1477" s="71"/>
      <c r="BM1477" s="71"/>
      <c r="BN1477" s="71"/>
      <c r="BO1477" s="71"/>
      <c r="BP1477" s="71"/>
      <c r="BQ1477" s="71"/>
      <c r="BR1477" s="71"/>
      <c r="BS1477" s="71"/>
      <c r="BT1477" s="71"/>
      <c r="BU1477" s="71"/>
      <c r="BV1477" s="71"/>
      <c r="BW1477" s="71"/>
      <c r="BX1477" s="71"/>
      <c r="BY1477" s="71"/>
      <c r="BZ1477" s="71"/>
      <c r="CA1477" s="71"/>
      <c r="CB1477" s="71"/>
      <c r="CC1477" s="71"/>
      <c r="CD1477" s="71"/>
      <c r="CE1477" s="71"/>
      <c r="CF1477" s="71"/>
      <c r="CG1477" s="71"/>
      <c r="CH1477" s="71"/>
      <c r="CI1477" s="71"/>
      <c r="CJ1477" s="71"/>
      <c r="CK1477" s="71"/>
      <c r="CL1477" s="71"/>
      <c r="CM1477" s="71"/>
      <c r="CN1477" s="71"/>
      <c r="CO1477" s="71"/>
      <c r="CP1477" s="71"/>
      <c r="CQ1477" s="71"/>
      <c r="CR1477" s="71"/>
      <c r="CS1477" s="71"/>
      <c r="CT1477" s="71"/>
      <c r="CU1477" s="71"/>
      <c r="CV1477" s="71"/>
      <c r="CW1477" s="71"/>
      <c r="CX1477" s="71"/>
      <c r="CY1477" s="71"/>
      <c r="CZ1477" s="71"/>
      <c r="DA1477" s="71"/>
      <c r="DB1477" s="71"/>
      <c r="DC1477" s="71"/>
      <c r="DD1477" s="71"/>
      <c r="DE1477" s="71"/>
      <c r="DF1477" s="71"/>
      <c r="DG1477" s="71"/>
      <c r="DH1477" s="71"/>
      <c r="DI1477" s="71"/>
      <c r="DJ1477" s="71"/>
      <c r="DK1477" s="71"/>
      <c r="DL1477" s="71"/>
    </row>
    <row r="1478">
      <c r="A1478" s="44">
        <v>1478.0</v>
      </c>
      <c r="B1478" s="147" t="s">
        <v>523</v>
      </c>
      <c r="C1478" s="149" t="s">
        <v>115</v>
      </c>
      <c r="D1478" s="149" t="s">
        <v>176</v>
      </c>
      <c r="E1478" s="71"/>
      <c r="F1478" s="122" t="s">
        <v>8400</v>
      </c>
      <c r="G1478" s="122" t="s">
        <v>8401</v>
      </c>
      <c r="H1478" s="122" t="s">
        <v>7252</v>
      </c>
      <c r="I1478" s="1403" t="s">
        <v>7253</v>
      </c>
      <c r="J1478" s="111"/>
      <c r="K1478" s="122" t="s">
        <v>7254</v>
      </c>
      <c r="L1478" s="122" t="s">
        <v>8402</v>
      </c>
      <c r="M1478" s="122" t="s">
        <v>7241</v>
      </c>
      <c r="N1478" s="122" t="s">
        <v>4493</v>
      </c>
      <c r="O1478" s="537">
        <v>1.0</v>
      </c>
      <c r="P1478" s="536" t="s">
        <v>7242</v>
      </c>
      <c r="Q1478" s="108" t="str">
        <f t="array" ref="Q1478"> if(iserror(MATCH(V1478, 'File Links'!C:C, 0)), "N/A", HYPERLINK(INDEX('File Links'!B:B, MATCH(P1478, 'File Links'!C:C, 0))))</f>
        <v>N/A</v>
      </c>
      <c r="R1478" s="122" t="s">
        <v>8403</v>
      </c>
      <c r="S1478" s="1688" t="s">
        <v>138</v>
      </c>
      <c r="T1478" s="420" t="s">
        <v>8404</v>
      </c>
      <c r="U1478" s="537">
        <v>1.0</v>
      </c>
      <c r="V1478" s="122" t="s">
        <v>577</v>
      </c>
      <c r="W1478" s="122" t="s">
        <v>7246</v>
      </c>
      <c r="X1478" s="49" t="str">
        <f t="array" ref="X1478"> if(iserror(MATCH(V1478, 'File Links'!C:C, 0)), "N/A", HYPERLINK(INDEX('File Links'!B:B, MATCH(V1478, 'File Links'!C:C, 0))))</f>
        <v>N/A</v>
      </c>
      <c r="Y1478" s="111"/>
      <c r="Z1478" s="122" t="s">
        <v>226</v>
      </c>
      <c r="AA1478" s="122" t="s">
        <v>7247</v>
      </c>
      <c r="AB1478" s="122" t="s">
        <v>7256</v>
      </c>
      <c r="AC1478" s="122" t="s">
        <v>8405</v>
      </c>
      <c r="AD1478" s="122" t="s">
        <v>7257</v>
      </c>
      <c r="AE1478" s="481" t="s">
        <v>875</v>
      </c>
      <c r="AF1478" s="537">
        <v>40.0</v>
      </c>
      <c r="AG1478" s="1405" t="s">
        <v>7258</v>
      </c>
      <c r="AH1478" s="122" t="s">
        <v>134</v>
      </c>
      <c r="AI1478" s="122" t="s">
        <v>2771</v>
      </c>
      <c r="AJ1478" s="1412" t="s">
        <v>138</v>
      </c>
      <c r="AK1478" s="122" t="s">
        <v>138</v>
      </c>
      <c r="AL1478" s="122" t="s">
        <v>138</v>
      </c>
      <c r="AM1478" s="122" t="s">
        <v>138</v>
      </c>
      <c r="AN1478" s="111"/>
      <c r="AO1478" s="537">
        <v>60.0</v>
      </c>
      <c r="AP1478" s="1689" t="s">
        <v>8406</v>
      </c>
      <c r="AQ1478" s="122" t="s">
        <v>134</v>
      </c>
      <c r="AR1478" s="122" t="s">
        <v>138</v>
      </c>
      <c r="AS1478" s="1407">
        <v>0.04</v>
      </c>
      <c r="AT1478" s="122" t="s">
        <v>135</v>
      </c>
      <c r="AU1478" s="122" t="s">
        <v>218</v>
      </c>
      <c r="AV1478" s="122" t="s">
        <v>137</v>
      </c>
      <c r="AW1478" s="122" t="s">
        <v>138</v>
      </c>
      <c r="AX1478" s="122" t="s">
        <v>143</v>
      </c>
      <c r="AY1478" s="61" t="str">
        <f>IFERROR(__xludf.DUMMYFUNCTION("vlookup(BB1478,importrange(""https://docs.google.com/spreadsheets/d/1d2vevQ_7D_v35q4wCQ4RpQ_IPoTwEMB9Yp6ymwlPqew/edit?gid=984458430#gid=984458430"", ""'replication success'!A:K""), 11, FAlSE)"),"#N/A")</f>
        <v>#N/A</v>
      </c>
      <c r="AZ1478" s="61" t="str">
        <f>IFERROR(__xludf.DUMMYFUNCTION("vlookup(BB1478,importrange(""https://docs.google.com/spreadsheets/d/1d2vevQ_7D_v35q4wCQ4RpQ_IPoTwEMB9Yp6ymwlPqew/edit?gid=984458430#gid=984458430"", ""'replication success'!A:M""), 12, FAlSE)"),"#N/A")</f>
        <v>#N/A</v>
      </c>
      <c r="BA1478" s="61" t="str">
        <f>IFERROR(__xludf.DUMMYFUNCTION("vlookup(BB1478,importrange(""https://docs.google.com/spreadsheets/d/1d2vevQ_7D_v35q4wCQ4RpQ_IPoTwEMB9Yp6ymwlPqew/edit?gid=984458430#gid=984458430"", ""'replication success'!A:M""), 13, FAlSE)"),"#N/A")</f>
        <v>#N/A</v>
      </c>
      <c r="BB1478" s="61" t="str">
        <f>IFERROR(__xludf.DUMMYFUNCTION("REGEXREPLACE(G1478, ""_[a-z]{1,2}$"", """")"),"curatescience9")</f>
        <v>curatescience9</v>
      </c>
      <c r="BC1478" s="111"/>
      <c r="BD1478" s="149" t="s">
        <v>8407</v>
      </c>
      <c r="BE1478" s="71"/>
      <c r="BF1478" s="71"/>
      <c r="BG1478" s="71"/>
      <c r="BH1478" s="71"/>
      <c r="BI1478" s="71"/>
      <c r="BJ1478" s="71"/>
      <c r="BK1478" s="71"/>
      <c r="BL1478" s="71"/>
      <c r="BM1478" s="71"/>
      <c r="BN1478" s="71"/>
      <c r="BO1478" s="71"/>
      <c r="BP1478" s="71"/>
      <c r="BQ1478" s="71"/>
      <c r="BR1478" s="71"/>
      <c r="BS1478" s="71"/>
      <c r="BT1478" s="71"/>
      <c r="BU1478" s="71"/>
      <c r="BV1478" s="71"/>
      <c r="BW1478" s="71"/>
      <c r="BX1478" s="71"/>
      <c r="BY1478" s="71"/>
      <c r="BZ1478" s="71"/>
      <c r="CA1478" s="71"/>
      <c r="CB1478" s="71"/>
      <c r="CC1478" s="71"/>
      <c r="CD1478" s="71"/>
      <c r="CE1478" s="71"/>
      <c r="CF1478" s="71"/>
      <c r="CG1478" s="71"/>
      <c r="CH1478" s="71"/>
      <c r="CI1478" s="71"/>
      <c r="CJ1478" s="71"/>
      <c r="CK1478" s="71"/>
      <c r="CL1478" s="71"/>
      <c r="CM1478" s="71"/>
      <c r="CN1478" s="71"/>
      <c r="CO1478" s="71"/>
      <c r="CP1478" s="71"/>
      <c r="CQ1478" s="71"/>
      <c r="CR1478" s="71"/>
      <c r="CS1478" s="71"/>
      <c r="CT1478" s="71"/>
      <c r="CU1478" s="71"/>
      <c r="CV1478" s="71"/>
      <c r="CW1478" s="71"/>
      <c r="CX1478" s="71"/>
      <c r="CY1478" s="71"/>
      <c r="CZ1478" s="71"/>
      <c r="DA1478" s="71"/>
      <c r="DB1478" s="71"/>
      <c r="DC1478" s="71"/>
      <c r="DD1478" s="71"/>
      <c r="DE1478" s="71"/>
      <c r="DF1478" s="71"/>
      <c r="DG1478" s="71"/>
      <c r="DH1478" s="71"/>
      <c r="DI1478" s="71"/>
      <c r="DJ1478" s="71"/>
      <c r="DK1478" s="71"/>
      <c r="DL1478" s="71"/>
    </row>
    <row r="1479">
      <c r="A1479" s="44">
        <v>1479.0</v>
      </c>
      <c r="B1479" s="147" t="s">
        <v>523</v>
      </c>
      <c r="C1479" s="149" t="s">
        <v>115</v>
      </c>
      <c r="D1479" s="149" t="s">
        <v>990</v>
      </c>
      <c r="E1479" s="71"/>
      <c r="F1479" s="122" t="s">
        <v>8400</v>
      </c>
      <c r="G1479" s="122" t="s">
        <v>8401</v>
      </c>
      <c r="H1479" s="122" t="s">
        <v>7237</v>
      </c>
      <c r="I1479" s="1403" t="s">
        <v>119</v>
      </c>
      <c r="J1479" s="1690" t="s">
        <v>7238</v>
      </c>
      <c r="K1479" s="111" t="s">
        <v>8408</v>
      </c>
      <c r="L1479" s="122" t="s">
        <v>8402</v>
      </c>
      <c r="M1479" s="122" t="s">
        <v>7241</v>
      </c>
      <c r="N1479" s="122" t="s">
        <v>4493</v>
      </c>
      <c r="O1479" s="537">
        <v>1.0</v>
      </c>
      <c r="P1479" s="536" t="s">
        <v>7242</v>
      </c>
      <c r="Q1479" s="108" t="str">
        <f t="array" ref="Q1479"> if(iserror(MATCH(V1479, 'File Links'!C:C, 0)), "N/A", HYPERLINK(INDEX('File Links'!B:B, MATCH(P1479, 'File Links'!C:C, 0))))</f>
        <v>N/A</v>
      </c>
      <c r="R1479" s="122" t="s">
        <v>8403</v>
      </c>
      <c r="S1479" s="122" t="s">
        <v>138</v>
      </c>
      <c r="T1479" s="420" t="s">
        <v>8404</v>
      </c>
      <c r="U1479" s="537">
        <v>1.0</v>
      </c>
      <c r="V1479" s="122" t="s">
        <v>8409</v>
      </c>
      <c r="W1479" s="122" t="s">
        <v>7246</v>
      </c>
      <c r="X1479" s="49" t="str">
        <f t="array" ref="X1479"> if(iserror(MATCH(V1479, 'File Links'!C:C, 0)), "N/A", HYPERLINK(INDEX('File Links'!B:B, MATCH(V1479, 'File Links'!C:C, 0))))</f>
        <v>N/A</v>
      </c>
      <c r="Y1479" s="122"/>
      <c r="Z1479" s="122" t="s">
        <v>226</v>
      </c>
      <c r="AA1479" s="122" t="s">
        <v>7247</v>
      </c>
      <c r="AB1479" s="122" t="s">
        <v>7248</v>
      </c>
      <c r="AC1479" s="122" t="s">
        <v>7249</v>
      </c>
      <c r="AD1479" s="122" t="s">
        <v>7250</v>
      </c>
      <c r="AE1479" s="481" t="s">
        <v>507</v>
      </c>
      <c r="AF1479" s="537">
        <v>40.0</v>
      </c>
      <c r="AG1479" s="537">
        <v>0.09</v>
      </c>
      <c r="AH1479" s="1426" t="s">
        <v>874</v>
      </c>
      <c r="AI1479" s="122" t="s">
        <v>507</v>
      </c>
      <c r="AJ1479" s="122" t="s">
        <v>138</v>
      </c>
      <c r="AK1479" s="122" t="s">
        <v>172</v>
      </c>
      <c r="AL1479" s="122" t="s">
        <v>186</v>
      </c>
      <c r="AM1479" s="122" t="s">
        <v>137</v>
      </c>
      <c r="AN1479" s="122" t="s">
        <v>138</v>
      </c>
      <c r="AO1479" s="537">
        <v>60.0</v>
      </c>
      <c r="AP1479" s="1406">
        <v>-1.8</v>
      </c>
      <c r="AQ1479" s="122" t="s">
        <v>134</v>
      </c>
      <c r="AR1479" s="122" t="s">
        <v>7251</v>
      </c>
      <c r="AS1479" s="537">
        <v>0.04</v>
      </c>
      <c r="AT1479" s="122" t="s">
        <v>135</v>
      </c>
      <c r="AU1479" s="122" t="s">
        <v>218</v>
      </c>
      <c r="AV1479" s="122" t="s">
        <v>137</v>
      </c>
      <c r="AW1479" s="122" t="s">
        <v>138</v>
      </c>
      <c r="AX1479" s="122" t="s">
        <v>143</v>
      </c>
      <c r="AY1479" s="61" t="str">
        <f>IFERROR(__xludf.DUMMYFUNCTION("vlookup(BB1479,importrange(""https://docs.google.com/spreadsheets/d/1d2vevQ_7D_v35q4wCQ4RpQ_IPoTwEMB9Yp6ymwlPqew/edit?gid=984458430#gid=984458430"", ""'replication success'!A:K""), 11, FAlSE)"),"#N/A")</f>
        <v>#N/A</v>
      </c>
      <c r="AZ1479" s="61" t="str">
        <f>IFERROR(__xludf.DUMMYFUNCTION("vlookup(BB1479,importrange(""https://docs.google.com/spreadsheets/d/1d2vevQ_7D_v35q4wCQ4RpQ_IPoTwEMB9Yp6ymwlPqew/edit?gid=984458430#gid=984458430"", ""'replication success'!A:M""), 12, FAlSE)"),"#N/A")</f>
        <v>#N/A</v>
      </c>
      <c r="BA1479" s="61" t="str">
        <f>IFERROR(__xludf.DUMMYFUNCTION("vlookup(BB1479,importrange(""https://docs.google.com/spreadsheets/d/1d2vevQ_7D_v35q4wCQ4RpQ_IPoTwEMB9Yp6ymwlPqew/edit?gid=984458430#gid=984458430"", ""'replication success'!A:M""), 13, FAlSE)"),"#N/A")</f>
        <v>#N/A</v>
      </c>
      <c r="BB1479" s="61" t="str">
        <f>IFERROR(__xludf.DUMMYFUNCTION("REGEXREPLACE(G1479, ""_[a-z]{1,2}$"", """")"),"curatescience9")</f>
        <v>curatescience9</v>
      </c>
      <c r="BC1479" s="111"/>
      <c r="BD1479" s="149" t="s">
        <v>8407</v>
      </c>
      <c r="BE1479" s="71"/>
      <c r="BF1479" s="71"/>
      <c r="BG1479" s="71"/>
      <c r="BH1479" s="71"/>
      <c r="BI1479" s="71"/>
      <c r="BJ1479" s="71"/>
      <c r="BK1479" s="71"/>
      <c r="BL1479" s="71"/>
      <c r="BM1479" s="71"/>
      <c r="BN1479" s="71"/>
      <c r="BO1479" s="71"/>
      <c r="BP1479" s="71"/>
      <c r="BQ1479" s="71"/>
      <c r="BR1479" s="71"/>
      <c r="BS1479" s="71"/>
      <c r="BT1479" s="71"/>
      <c r="BU1479" s="71"/>
      <c r="BV1479" s="71"/>
      <c r="BW1479" s="71"/>
      <c r="BX1479" s="71"/>
      <c r="BY1479" s="71"/>
      <c r="BZ1479" s="71"/>
      <c r="CA1479" s="71"/>
      <c r="CB1479" s="71"/>
      <c r="CC1479" s="71"/>
      <c r="CD1479" s="71"/>
      <c r="CE1479" s="71"/>
      <c r="CF1479" s="71"/>
      <c r="CG1479" s="71"/>
      <c r="CH1479" s="71"/>
      <c r="CI1479" s="71"/>
      <c r="CJ1479" s="71"/>
      <c r="CK1479" s="71"/>
      <c r="CL1479" s="71"/>
      <c r="CM1479" s="71"/>
      <c r="CN1479" s="71"/>
      <c r="CO1479" s="71"/>
      <c r="CP1479" s="71"/>
      <c r="CQ1479" s="71"/>
      <c r="CR1479" s="71"/>
      <c r="CS1479" s="71"/>
      <c r="CT1479" s="71"/>
      <c r="CU1479" s="71"/>
      <c r="CV1479" s="71"/>
      <c r="CW1479" s="71"/>
      <c r="CX1479" s="71"/>
      <c r="CY1479" s="71"/>
      <c r="CZ1479" s="71"/>
      <c r="DA1479" s="71"/>
      <c r="DB1479" s="71"/>
      <c r="DC1479" s="71"/>
      <c r="DD1479" s="71"/>
      <c r="DE1479" s="71"/>
      <c r="DF1479" s="71"/>
      <c r="DG1479" s="71"/>
      <c r="DH1479" s="71"/>
      <c r="DI1479" s="71"/>
      <c r="DJ1479" s="71"/>
      <c r="DK1479" s="71"/>
      <c r="DL1479" s="71"/>
    </row>
    <row r="1480">
      <c r="A1480" s="44">
        <v>1480.0</v>
      </c>
      <c r="B1480" s="56" t="s">
        <v>114</v>
      </c>
      <c r="C1480" s="341" t="s">
        <v>115</v>
      </c>
      <c r="D1480" s="341" t="s">
        <v>176</v>
      </c>
      <c r="E1480" s="342"/>
      <c r="F1480" s="1691" t="s">
        <v>8410</v>
      </c>
      <c r="G1480" s="360" t="s">
        <v>8411</v>
      </c>
      <c r="H1480" s="360" t="s">
        <v>7252</v>
      </c>
      <c r="I1480" s="1692" t="s">
        <v>8412</v>
      </c>
      <c r="J1480" s="46"/>
      <c r="K1480" s="46" t="s">
        <v>8413</v>
      </c>
      <c r="L1480" s="56" t="s">
        <v>8414</v>
      </c>
      <c r="M1480" s="360" t="s">
        <v>8415</v>
      </c>
      <c r="N1480" s="360" t="s">
        <v>8416</v>
      </c>
      <c r="O1480" s="360" t="s">
        <v>4092</v>
      </c>
      <c r="P1480" s="517" t="s">
        <v>8417</v>
      </c>
      <c r="Q1480" s="108" t="str">
        <f t="array" ref="Q1480"> if(iserror(MATCH(V1480, 'File Links'!C:C, 0)), "N/A", HYPERLINK(INDEX('File Links'!B:B, MATCH(P1480, 'File Links'!C:C, 0))))</f>
        <v>N/A</v>
      </c>
      <c r="R1480" s="360" t="s">
        <v>8418</v>
      </c>
      <c r="S1480" s="46"/>
      <c r="T1480" s="596" t="s">
        <v>8419</v>
      </c>
      <c r="U1480" s="360" t="s">
        <v>8420</v>
      </c>
      <c r="V1480" s="360" t="s">
        <v>577</v>
      </c>
      <c r="W1480" s="46" t="s">
        <v>164</v>
      </c>
      <c r="X1480" s="49" t="str">
        <f t="array" ref="X1480"> if(iserror(MATCH(V1480, 'File Links'!C:C, 0)), "N/A", HYPERLINK(INDEX('File Links'!B:B, MATCH(V1480, 'File Links'!C:C, 0))))</f>
        <v>N/A</v>
      </c>
      <c r="Y1480" s="46"/>
      <c r="Z1480" s="46" t="s">
        <v>226</v>
      </c>
      <c r="AA1480" s="360" t="s">
        <v>8421</v>
      </c>
      <c r="AB1480" s="360" t="s">
        <v>8422</v>
      </c>
      <c r="AC1480" s="360" t="s">
        <v>8423</v>
      </c>
      <c r="AD1480" s="46" t="s">
        <v>8424</v>
      </c>
      <c r="AE1480" s="46" t="s">
        <v>1173</v>
      </c>
      <c r="AF1480" s="357">
        <v>210.0</v>
      </c>
      <c r="AG1480" s="357">
        <v>0.58</v>
      </c>
      <c r="AH1480" s="360" t="s">
        <v>173</v>
      </c>
      <c r="AI1480" s="46" t="s">
        <v>8425</v>
      </c>
      <c r="AJ1480" s="1693">
        <v>0.018</v>
      </c>
      <c r="AK1480" s="46" t="s">
        <v>172</v>
      </c>
      <c r="AL1480" s="46" t="s">
        <v>186</v>
      </c>
      <c r="AM1480" s="46" t="s">
        <v>137</v>
      </c>
      <c r="AN1480" s="56" t="s">
        <v>138</v>
      </c>
      <c r="AO1480" s="357">
        <v>1008.0</v>
      </c>
      <c r="AP1480" s="1694">
        <v>-0.098</v>
      </c>
      <c r="AQ1480" s="360" t="s">
        <v>173</v>
      </c>
      <c r="AR1480" s="46" t="s">
        <v>138</v>
      </c>
      <c r="AS1480" s="1695" t="s">
        <v>138</v>
      </c>
      <c r="AT1480" s="46" t="s">
        <v>172</v>
      </c>
      <c r="AU1480" s="46" t="s">
        <v>186</v>
      </c>
      <c r="AV1480" s="46" t="s">
        <v>137</v>
      </c>
      <c r="AW1480" s="360" t="s">
        <v>138</v>
      </c>
      <c r="AX1480" s="46" t="s">
        <v>143</v>
      </c>
      <c r="AY1480" s="61" t="str">
        <f>IFERROR(__xludf.DUMMYFUNCTION("vlookup(BB1480,importrange(""https://docs.google.com/spreadsheets/d/1d2vevQ_7D_v35q4wCQ4RpQ_IPoTwEMB9Yp6ymwlPqew/edit?gid=984458430#gid=984458430"", ""'replication success'!A:K""), 11, FAlSE)"),"#N/A")</f>
        <v>#N/A</v>
      </c>
      <c r="AZ1480" s="61" t="str">
        <f>IFERROR(__xludf.DUMMYFUNCTION("vlookup(BB1480,importrange(""https://docs.google.com/spreadsheets/d/1d2vevQ_7D_v35q4wCQ4RpQ_IPoTwEMB9Yp6ymwlPqew/edit?gid=984458430#gid=984458430"", ""'replication success'!A:M""), 12, FAlSE)"),"#N/A")</f>
        <v>#N/A</v>
      </c>
      <c r="BA1480" s="61" t="str">
        <f>IFERROR(__xludf.DUMMYFUNCTION("vlookup(BB1480,importrange(""https://docs.google.com/spreadsheets/d/1d2vevQ_7D_v35q4wCQ4RpQ_IPoTwEMB9Yp6ymwlPqew/edit?gid=984458430#gid=984458430"", ""'replication success'!A:M""), 13, FAlSE)"),"#N/A")</f>
        <v>#N/A</v>
      </c>
      <c r="BB1480" s="61" t="str">
        <f>IFERROR(__xludf.DUMMYFUNCTION("REGEXREPLACE(G1480, ""_[a-z]{1,2}$"", """")"),"datareplicada10a")</f>
        <v>datareplicada10a</v>
      </c>
      <c r="BC1480" s="46"/>
      <c r="BD1480" s="341" t="s">
        <v>8426</v>
      </c>
      <c r="BE1480" s="342"/>
      <c r="BF1480" s="342"/>
      <c r="BG1480" s="342"/>
      <c r="BH1480" s="342"/>
      <c r="BI1480" s="342"/>
      <c r="BJ1480" s="342"/>
      <c r="BK1480" s="342"/>
      <c r="BL1480" s="342"/>
      <c r="BM1480" s="342"/>
      <c r="BN1480" s="342"/>
      <c r="BO1480" s="342"/>
      <c r="BP1480" s="342"/>
      <c r="BQ1480" s="342"/>
      <c r="BR1480" s="342"/>
      <c r="BS1480" s="342"/>
      <c r="BT1480" s="342"/>
      <c r="BU1480" s="342"/>
      <c r="BV1480" s="342"/>
      <c r="BW1480" s="342"/>
      <c r="BX1480" s="342"/>
      <c r="BY1480" s="342"/>
      <c r="BZ1480" s="342"/>
      <c r="CA1480" s="342"/>
      <c r="CB1480" s="342"/>
      <c r="CC1480" s="342"/>
      <c r="CD1480" s="342"/>
      <c r="CE1480" s="342"/>
      <c r="CF1480" s="342"/>
      <c r="CG1480" s="342"/>
      <c r="CH1480" s="342"/>
      <c r="CI1480" s="342"/>
      <c r="CJ1480" s="342"/>
      <c r="CK1480" s="342"/>
      <c r="CL1480" s="342"/>
      <c r="CM1480" s="342"/>
      <c r="CN1480" s="342"/>
      <c r="CO1480" s="342"/>
      <c r="CP1480" s="342"/>
      <c r="CQ1480" s="342"/>
      <c r="CR1480" s="342"/>
      <c r="CS1480" s="342"/>
      <c r="CT1480" s="342"/>
      <c r="CU1480" s="342"/>
      <c r="CV1480" s="342"/>
      <c r="CW1480" s="342"/>
      <c r="CX1480" s="342"/>
      <c r="CY1480" s="342"/>
      <c r="CZ1480" s="342"/>
      <c r="DA1480" s="342"/>
      <c r="DB1480" s="342"/>
      <c r="DC1480" s="342"/>
      <c r="DD1480" s="342"/>
      <c r="DE1480" s="342"/>
      <c r="DF1480" s="342"/>
      <c r="DG1480" s="342"/>
      <c r="DH1480" s="342"/>
      <c r="DI1480" s="342"/>
      <c r="DJ1480" s="342"/>
      <c r="DK1480" s="342"/>
      <c r="DL1480" s="342"/>
    </row>
    <row r="1481">
      <c r="A1481" s="44">
        <v>1481.0</v>
      </c>
      <c r="B1481" s="56" t="s">
        <v>152</v>
      </c>
      <c r="C1481" s="341" t="s">
        <v>115</v>
      </c>
      <c r="D1481" s="341" t="s">
        <v>1441</v>
      </c>
      <c r="E1481" s="342"/>
      <c r="F1481" s="56" t="s">
        <v>8410</v>
      </c>
      <c r="G1481" s="56" t="s">
        <v>8427</v>
      </c>
      <c r="H1481" s="343" t="s">
        <v>8428</v>
      </c>
      <c r="I1481" s="347" t="s">
        <v>8429</v>
      </c>
      <c r="J1481" s="1587">
        <v>45741.0</v>
      </c>
      <c r="K1481" s="343" t="s">
        <v>8430</v>
      </c>
      <c r="L1481" s="46"/>
      <c r="M1481" s="56" t="s">
        <v>8415</v>
      </c>
      <c r="N1481" s="56" t="s">
        <v>8416</v>
      </c>
      <c r="O1481" s="55" t="s">
        <v>4092</v>
      </c>
      <c r="P1481" s="1696" t="s">
        <v>8417</v>
      </c>
      <c r="Q1481" s="108" t="str">
        <f t="array" ref="Q1481"> if(iserror(MATCH(V1481, 'File Links'!C:C, 0)), "N/A", HYPERLINK(INDEX('File Links'!B:B, MATCH(P1481, 'File Links'!C:C, 0))))</f>
        <v>N/A</v>
      </c>
      <c r="R1481" s="1697" t="s">
        <v>8418</v>
      </c>
      <c r="S1481" s="46"/>
      <c r="T1481" s="1698" t="s">
        <v>8419</v>
      </c>
      <c r="U1481" s="55" t="s">
        <v>8431</v>
      </c>
      <c r="V1481" s="343" t="s">
        <v>577</v>
      </c>
      <c r="W1481" s="343" t="s">
        <v>8432</v>
      </c>
      <c r="X1481" s="49" t="str">
        <f t="array" ref="X1481"> if(iserror(MATCH(V1481, 'File Links'!C:C, 0)), "N/A", HYPERLINK(INDEX('File Links'!B:B, MATCH(V1481, 'File Links'!C:C, 0))))</f>
        <v>N/A</v>
      </c>
      <c r="Y1481" s="56"/>
      <c r="Z1481" s="343" t="s">
        <v>210</v>
      </c>
      <c r="AA1481" s="56" t="s">
        <v>8433</v>
      </c>
      <c r="AB1481" s="343" t="s">
        <v>8434</v>
      </c>
      <c r="AC1481" s="343" t="s">
        <v>8435</v>
      </c>
      <c r="AD1481" s="343" t="s">
        <v>8436</v>
      </c>
      <c r="AE1481" s="343">
        <v>16.0</v>
      </c>
      <c r="AF1481" s="347">
        <v>210.0</v>
      </c>
      <c r="AG1481" s="347">
        <v>0.03</v>
      </c>
      <c r="AH1481" s="343" t="s">
        <v>874</v>
      </c>
      <c r="AI1481" s="343" t="s">
        <v>182</v>
      </c>
      <c r="AJ1481" s="347">
        <v>0.018</v>
      </c>
      <c r="AK1481" s="343" t="s">
        <v>172</v>
      </c>
      <c r="AL1481" s="343" t="s">
        <v>186</v>
      </c>
      <c r="AM1481" s="56" t="s">
        <v>137</v>
      </c>
      <c r="AN1481" s="56" t="s">
        <v>138</v>
      </c>
      <c r="AO1481" s="347">
        <v>1008.0</v>
      </c>
      <c r="AP1481" s="347">
        <v>-0.098</v>
      </c>
      <c r="AQ1481" s="343" t="s">
        <v>173</v>
      </c>
      <c r="AR1481" s="343" t="s">
        <v>8437</v>
      </c>
      <c r="AS1481" s="347">
        <v>0.27</v>
      </c>
      <c r="AT1481" s="343" t="s">
        <v>172</v>
      </c>
      <c r="AU1481" s="343" t="s">
        <v>136</v>
      </c>
      <c r="AV1481" s="56" t="s">
        <v>137</v>
      </c>
      <c r="AW1481" s="1699" t="s">
        <v>138</v>
      </c>
      <c r="AX1481" s="56" t="s">
        <v>143</v>
      </c>
      <c r="AY1481" s="61" t="str">
        <f>IFERROR(__xludf.DUMMYFUNCTION("vlookup(BB1481,importrange(""https://docs.google.com/spreadsheets/d/1d2vevQ_7D_v35q4wCQ4RpQ_IPoTwEMB9Yp6ymwlPqew/edit?gid=984458430#gid=984458430"", ""'replication success'!A:K""), 11, FAlSE)"),"failed")</f>
        <v>failed</v>
      </c>
      <c r="AZ1481" s="61" t="str">
        <f>IFERROR(__xludf.DUMMYFUNCTION("vlookup(BB1481,importrange(""https://docs.google.com/spreadsheets/d/1d2vevQ_7D_v35q4wCQ4RpQ_IPoTwEMB9Yp6ymwlPqew/edit?gid=984458430#gid=984458430"", ""'replication success'!A:M""), 12, FAlSE)"),"Although the original authors reported fairly strong support for this hypothesis (d = .58), we found no evidence for it, despite having about five times more observations than in the original study. If this effect is real, it is very small, as we observed"&amp;" a small negative effect in Replication 1 (d = -.098) and a similarly sized positive effect in Replication 2 (d = .096). ")</f>
        <v>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 </v>
      </c>
      <c r="BA1481" s="61" t="str">
        <f>IFERROR(__xludf.DUMMYFUNCTION("vlookup(BB1481,importrange(""https://docs.google.com/spreadsheets/d/1d2vevQ_7D_v35q4wCQ4RpQ_IPoTwEMB9Yp6ymwlPqew/edit?gid=984458430#gid=984458430"", ""'replication success'!A:M""), 13, FAlSE)"),"article")</f>
        <v>article</v>
      </c>
      <c r="BB1481" s="61" t="str">
        <f>IFERROR(__xludf.DUMMYFUNCTION("REGEXREPLACE(G1481, ""_[a-z]{1,2}$"", """")"),"datareplicada10")</f>
        <v>datareplicada10</v>
      </c>
      <c r="BC1481" s="342"/>
      <c r="BD1481" s="341" t="s">
        <v>692</v>
      </c>
      <c r="BE1481" s="342"/>
      <c r="BF1481" s="342"/>
      <c r="BG1481" s="342"/>
      <c r="BH1481" s="342"/>
      <c r="BI1481" s="342"/>
      <c r="BJ1481" s="342"/>
      <c r="BK1481" s="342"/>
      <c r="BL1481" s="342"/>
      <c r="BM1481" s="342"/>
      <c r="BN1481" s="342"/>
      <c r="BO1481" s="342"/>
      <c r="BP1481" s="342"/>
      <c r="BQ1481" s="342"/>
      <c r="BR1481" s="342"/>
      <c r="BS1481" s="342"/>
      <c r="BT1481" s="342"/>
      <c r="BU1481" s="342"/>
      <c r="BV1481" s="342"/>
      <c r="BW1481" s="342"/>
      <c r="BX1481" s="342"/>
      <c r="BY1481" s="342"/>
      <c r="BZ1481" s="342"/>
      <c r="CA1481" s="342"/>
      <c r="CB1481" s="342"/>
      <c r="CC1481" s="342"/>
      <c r="CD1481" s="342"/>
      <c r="CE1481" s="342"/>
      <c r="CF1481" s="342"/>
      <c r="CG1481" s="342"/>
      <c r="CH1481" s="342"/>
      <c r="CI1481" s="342"/>
      <c r="CJ1481" s="342"/>
      <c r="CK1481" s="342"/>
      <c r="CL1481" s="342"/>
      <c r="CM1481" s="342"/>
      <c r="CN1481" s="342"/>
      <c r="CO1481" s="342"/>
      <c r="CP1481" s="342"/>
      <c r="CQ1481" s="342"/>
      <c r="CR1481" s="342"/>
      <c r="CS1481" s="342"/>
      <c r="CT1481" s="342"/>
      <c r="CU1481" s="342"/>
      <c r="CV1481" s="342"/>
      <c r="CW1481" s="342"/>
      <c r="CX1481" s="342"/>
      <c r="CY1481" s="342"/>
      <c r="CZ1481" s="342"/>
      <c r="DA1481" s="342"/>
      <c r="DB1481" s="342"/>
      <c r="DC1481" s="342"/>
      <c r="DD1481" s="342"/>
      <c r="DE1481" s="342"/>
      <c r="DF1481" s="342"/>
      <c r="DG1481" s="342"/>
      <c r="DH1481" s="342"/>
      <c r="DI1481" s="342"/>
      <c r="DJ1481" s="342"/>
      <c r="DK1481" s="342"/>
      <c r="DL1481" s="342"/>
    </row>
    <row r="1482">
      <c r="A1482" s="44">
        <v>1482.0</v>
      </c>
      <c r="B1482" s="56" t="s">
        <v>152</v>
      </c>
      <c r="C1482" s="341" t="s">
        <v>115</v>
      </c>
      <c r="D1482" s="341" t="s">
        <v>1441</v>
      </c>
      <c r="E1482" s="342"/>
      <c r="F1482" s="56" t="s">
        <v>8410</v>
      </c>
      <c r="G1482" s="56" t="s">
        <v>8438</v>
      </c>
      <c r="H1482" s="343" t="s">
        <v>8428</v>
      </c>
      <c r="I1482" s="347" t="s">
        <v>8429</v>
      </c>
      <c r="J1482" s="1587">
        <v>45741.0</v>
      </c>
      <c r="K1482" s="343" t="s">
        <v>8439</v>
      </c>
      <c r="L1482" s="46"/>
      <c r="M1482" s="56" t="s">
        <v>8415</v>
      </c>
      <c r="N1482" s="56" t="s">
        <v>8416</v>
      </c>
      <c r="O1482" s="55" t="s">
        <v>4092</v>
      </c>
      <c r="P1482" s="1696" t="s">
        <v>8417</v>
      </c>
      <c r="Q1482" s="108" t="str">
        <f t="array" ref="Q1482"> if(iserror(MATCH(V1482, 'File Links'!C:C, 0)), "N/A", HYPERLINK(INDEX('File Links'!B:B, MATCH(P1482, 'File Links'!C:C, 0))))</f>
        <v>N/A</v>
      </c>
      <c r="R1482" s="1697" t="s">
        <v>8440</v>
      </c>
      <c r="S1482" s="46"/>
      <c r="T1482" s="1698" t="s">
        <v>8419</v>
      </c>
      <c r="U1482" s="55" t="s">
        <v>8441</v>
      </c>
      <c r="V1482" s="343" t="s">
        <v>577</v>
      </c>
      <c r="W1482" s="343" t="s">
        <v>8432</v>
      </c>
      <c r="X1482" s="49" t="str">
        <f t="array" ref="X1482"> if(iserror(MATCH(V1482, 'File Links'!C:C, 0)), "N/A", HYPERLINK(INDEX('File Links'!B:B, MATCH(V1482, 'File Links'!C:C, 0))))</f>
        <v>N/A</v>
      </c>
      <c r="Y1482" s="56"/>
      <c r="Z1482" s="343" t="s">
        <v>210</v>
      </c>
      <c r="AA1482" s="56" t="s">
        <v>8433</v>
      </c>
      <c r="AB1482" s="343" t="s">
        <v>8434</v>
      </c>
      <c r="AC1482" s="343" t="s">
        <v>8442</v>
      </c>
      <c r="AD1482" s="343" t="s">
        <v>8443</v>
      </c>
      <c r="AE1482" s="343">
        <v>16.0</v>
      </c>
      <c r="AF1482" s="347">
        <v>210.0</v>
      </c>
      <c r="AG1482" s="347">
        <v>0.02</v>
      </c>
      <c r="AH1482" s="343" t="s">
        <v>874</v>
      </c>
      <c r="AI1482" s="343" t="s">
        <v>182</v>
      </c>
      <c r="AJ1482" s="347">
        <v>0.045</v>
      </c>
      <c r="AK1482" s="343" t="s">
        <v>172</v>
      </c>
      <c r="AL1482" s="343" t="s">
        <v>186</v>
      </c>
      <c r="AM1482" s="56" t="s">
        <v>137</v>
      </c>
      <c r="AN1482" s="56" t="s">
        <v>138</v>
      </c>
      <c r="AO1482" s="347">
        <v>1008.0</v>
      </c>
      <c r="AP1482" s="347">
        <v>-0.13</v>
      </c>
      <c r="AQ1482" s="343" t="s">
        <v>173</v>
      </c>
      <c r="AR1482" s="343" t="s">
        <v>8437</v>
      </c>
      <c r="AS1482" s="347">
        <v>0.088</v>
      </c>
      <c r="AT1482" s="343" t="s">
        <v>172</v>
      </c>
      <c r="AU1482" s="343" t="s">
        <v>136</v>
      </c>
      <c r="AV1482" s="56" t="s">
        <v>137</v>
      </c>
      <c r="AW1482" s="1699" t="s">
        <v>138</v>
      </c>
      <c r="AX1482" s="56" t="s">
        <v>143</v>
      </c>
      <c r="AY1482" s="61" t="str">
        <f>IFERROR(__xludf.DUMMYFUNCTION("vlookup(BB1482,importrange(""https://docs.google.com/spreadsheets/d/1d2vevQ_7D_v35q4wCQ4RpQ_IPoTwEMB9Yp6ymwlPqew/edit?gid=984458430#gid=984458430"", ""'replication success'!A:K""), 11, FAlSE)"),"failed")</f>
        <v>failed</v>
      </c>
      <c r="AZ1482" s="61" t="str">
        <f>IFERROR(__xludf.DUMMYFUNCTION("vlookup(BB1482,importrange(""https://docs.google.com/spreadsheets/d/1d2vevQ_7D_v35q4wCQ4RpQ_IPoTwEMB9Yp6ymwlPqew/edit?gid=984458430#gid=984458430"", ""'replication success'!A:M""), 12, FAlSE)"),"Although the original authors reported fairly strong support for this hypothesis (d = .58), we found no evidence for it, despite having about five times more observations than in the original study. If this effect is real, it is very small, as we observed"&amp;" a small negative effect in Replication 1 (d = -.098) and a similarly sized positive effect in Replication 2 (d = .096). ")</f>
        <v>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 </v>
      </c>
      <c r="BA1482" s="61" t="str">
        <f>IFERROR(__xludf.DUMMYFUNCTION("vlookup(BB1482,importrange(""https://docs.google.com/spreadsheets/d/1d2vevQ_7D_v35q4wCQ4RpQ_IPoTwEMB9Yp6ymwlPqew/edit?gid=984458430#gid=984458430"", ""'replication success'!A:M""), 13, FAlSE)"),"article")</f>
        <v>article</v>
      </c>
      <c r="BB1482" s="61" t="str">
        <f>IFERROR(__xludf.DUMMYFUNCTION("REGEXREPLACE(G1482, ""_[a-z]{1,2}$"", """")"),"datareplicada10")</f>
        <v>datareplicada10</v>
      </c>
      <c r="BC1482" s="342"/>
      <c r="BD1482" s="341" t="s">
        <v>692</v>
      </c>
      <c r="BE1482" s="342"/>
      <c r="BF1482" s="342"/>
      <c r="BG1482" s="342"/>
      <c r="BH1482" s="342"/>
      <c r="BI1482" s="342"/>
      <c r="BJ1482" s="342"/>
      <c r="BK1482" s="342"/>
      <c r="BL1482" s="342"/>
      <c r="BM1482" s="342"/>
      <c r="BN1482" s="342"/>
      <c r="BO1482" s="342"/>
      <c r="BP1482" s="342"/>
      <c r="BQ1482" s="342"/>
      <c r="BR1482" s="342"/>
      <c r="BS1482" s="342"/>
      <c r="BT1482" s="342"/>
      <c r="BU1482" s="342"/>
      <c r="BV1482" s="342"/>
      <c r="BW1482" s="342"/>
      <c r="BX1482" s="342"/>
      <c r="BY1482" s="342"/>
      <c r="BZ1482" s="342"/>
      <c r="CA1482" s="342"/>
      <c r="CB1482" s="342"/>
      <c r="CC1482" s="342"/>
      <c r="CD1482" s="342"/>
      <c r="CE1482" s="342"/>
      <c r="CF1482" s="342"/>
      <c r="CG1482" s="342"/>
      <c r="CH1482" s="342"/>
      <c r="CI1482" s="342"/>
      <c r="CJ1482" s="342"/>
      <c r="CK1482" s="342"/>
      <c r="CL1482" s="342"/>
      <c r="CM1482" s="342"/>
      <c r="CN1482" s="342"/>
      <c r="CO1482" s="342"/>
      <c r="CP1482" s="342"/>
      <c r="CQ1482" s="342"/>
      <c r="CR1482" s="342"/>
      <c r="CS1482" s="342"/>
      <c r="CT1482" s="342"/>
      <c r="CU1482" s="342"/>
      <c r="CV1482" s="342"/>
      <c r="CW1482" s="342"/>
      <c r="CX1482" s="342"/>
      <c r="CY1482" s="342"/>
      <c r="CZ1482" s="342"/>
      <c r="DA1482" s="342"/>
      <c r="DB1482" s="342"/>
      <c r="DC1482" s="342"/>
      <c r="DD1482" s="342"/>
      <c r="DE1482" s="342"/>
      <c r="DF1482" s="342"/>
      <c r="DG1482" s="342"/>
      <c r="DH1482" s="342"/>
      <c r="DI1482" s="342"/>
      <c r="DJ1482" s="342"/>
      <c r="DK1482" s="342"/>
      <c r="DL1482" s="342"/>
    </row>
    <row r="1483">
      <c r="A1483" s="44">
        <v>1483.0</v>
      </c>
      <c r="B1483" s="56" t="s">
        <v>152</v>
      </c>
      <c r="C1483" s="341" t="s">
        <v>115</v>
      </c>
      <c r="D1483" s="341" t="s">
        <v>1441</v>
      </c>
      <c r="E1483" s="342"/>
      <c r="F1483" s="56" t="s">
        <v>8410</v>
      </c>
      <c r="G1483" s="56" t="s">
        <v>8444</v>
      </c>
      <c r="H1483" s="343" t="s">
        <v>8428</v>
      </c>
      <c r="I1483" s="347" t="s">
        <v>8429</v>
      </c>
      <c r="J1483" s="1587">
        <v>45741.0</v>
      </c>
      <c r="K1483" s="343" t="s">
        <v>8445</v>
      </c>
      <c r="L1483" s="46"/>
      <c r="M1483" s="56" t="s">
        <v>8415</v>
      </c>
      <c r="N1483" s="56" t="s">
        <v>8416</v>
      </c>
      <c r="O1483" s="55" t="s">
        <v>4092</v>
      </c>
      <c r="P1483" s="1696" t="s">
        <v>8417</v>
      </c>
      <c r="Q1483" s="108" t="str">
        <f t="array" ref="Q1483"> if(iserror(MATCH(V1483, 'File Links'!C:C, 0)), "N/A", HYPERLINK(INDEX('File Links'!B:B, MATCH(P1483, 'File Links'!C:C, 0))))</f>
        <v>N/A</v>
      </c>
      <c r="R1483" s="1697" t="s">
        <v>8446</v>
      </c>
      <c r="S1483" s="46"/>
      <c r="T1483" s="1698" t="s">
        <v>8419</v>
      </c>
      <c r="U1483" s="55" t="s">
        <v>8447</v>
      </c>
      <c r="V1483" s="343" t="s">
        <v>577</v>
      </c>
      <c r="W1483" s="343" t="s">
        <v>8432</v>
      </c>
      <c r="X1483" s="49" t="str">
        <f t="array" ref="X1483"> if(iserror(MATCH(V1483, 'File Links'!C:C, 0)), "N/A", HYPERLINK(INDEX('File Links'!B:B, MATCH(V1483, 'File Links'!C:C, 0))))</f>
        <v>N/A</v>
      </c>
      <c r="Y1483" s="56"/>
      <c r="Z1483" s="343" t="s">
        <v>210</v>
      </c>
      <c r="AA1483" s="56" t="s">
        <v>8433</v>
      </c>
      <c r="AB1483" s="343" t="s">
        <v>8434</v>
      </c>
      <c r="AC1483" s="343" t="s">
        <v>8435</v>
      </c>
      <c r="AD1483" s="343" t="s">
        <v>8436</v>
      </c>
      <c r="AE1483" s="343">
        <v>16.0</v>
      </c>
      <c r="AF1483" s="347">
        <v>210.0</v>
      </c>
      <c r="AG1483" s="347">
        <v>0.02</v>
      </c>
      <c r="AH1483" s="343" t="s">
        <v>874</v>
      </c>
      <c r="AI1483" s="343" t="s">
        <v>182</v>
      </c>
      <c r="AJ1483" s="347">
        <v>0.018</v>
      </c>
      <c r="AK1483" s="343" t="s">
        <v>172</v>
      </c>
      <c r="AL1483" s="343" t="s">
        <v>186</v>
      </c>
      <c r="AM1483" s="56" t="s">
        <v>137</v>
      </c>
      <c r="AN1483" s="56" t="s">
        <v>138</v>
      </c>
      <c r="AO1483" s="347">
        <v>1127.0</v>
      </c>
      <c r="AP1483" s="347">
        <v>0.096</v>
      </c>
      <c r="AQ1483" s="343" t="s">
        <v>173</v>
      </c>
      <c r="AR1483" s="343" t="s">
        <v>8437</v>
      </c>
      <c r="AS1483" s="347">
        <v>0.261</v>
      </c>
      <c r="AT1483" s="343" t="s">
        <v>172</v>
      </c>
      <c r="AU1483" s="343" t="s">
        <v>136</v>
      </c>
      <c r="AV1483" s="56" t="s">
        <v>137</v>
      </c>
      <c r="AW1483" s="1699" t="s">
        <v>138</v>
      </c>
      <c r="AX1483" s="56" t="s">
        <v>143</v>
      </c>
      <c r="AY1483" s="61" t="str">
        <f>IFERROR(__xludf.DUMMYFUNCTION("vlookup(BB1483,importrange(""https://docs.google.com/spreadsheets/d/1d2vevQ_7D_v35q4wCQ4RpQ_IPoTwEMB9Yp6ymwlPqew/edit?gid=984458430#gid=984458430"", ""'replication success'!A:K""), 11, FAlSE)"),"failed")</f>
        <v>failed</v>
      </c>
      <c r="AZ1483" s="61" t="str">
        <f>IFERROR(__xludf.DUMMYFUNCTION("vlookup(BB1483,importrange(""https://docs.google.com/spreadsheets/d/1d2vevQ_7D_v35q4wCQ4RpQ_IPoTwEMB9Yp6ymwlPqew/edit?gid=984458430#gid=984458430"", ""'replication success'!A:M""), 12, FAlSE)"),"Although the original authors reported fairly strong support for this hypothesis (d = .58), we found no evidence for it, despite having about five times more observations than in the original study. If this effect is real, it is very small, as we observed"&amp;" a small negative effect in Replication 1 (d = -.098) and a similarly sized positive effect in Replication 2 (d = .096). ")</f>
        <v>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 </v>
      </c>
      <c r="BA1483" s="61" t="str">
        <f>IFERROR(__xludf.DUMMYFUNCTION("vlookup(BB1483,importrange(""https://docs.google.com/spreadsheets/d/1d2vevQ_7D_v35q4wCQ4RpQ_IPoTwEMB9Yp6ymwlPqew/edit?gid=984458430#gid=984458430"", ""'replication success'!A:M""), 13, FAlSE)"),"article")</f>
        <v>article</v>
      </c>
      <c r="BB1483" s="61" t="str">
        <f>IFERROR(__xludf.DUMMYFUNCTION("REGEXREPLACE(G1483, ""_[a-z]{1,2}$"", """")"),"datareplicada10")</f>
        <v>datareplicada10</v>
      </c>
      <c r="BC1483" s="342"/>
      <c r="BD1483" s="341" t="s">
        <v>692</v>
      </c>
      <c r="BE1483" s="342"/>
      <c r="BF1483" s="342"/>
      <c r="BG1483" s="342"/>
      <c r="BH1483" s="342"/>
      <c r="BI1483" s="342"/>
      <c r="BJ1483" s="342"/>
      <c r="BK1483" s="342"/>
      <c r="BL1483" s="342"/>
      <c r="BM1483" s="342"/>
      <c r="BN1483" s="342"/>
      <c r="BO1483" s="342"/>
      <c r="BP1483" s="342"/>
      <c r="BQ1483" s="342"/>
      <c r="BR1483" s="342"/>
      <c r="BS1483" s="342"/>
      <c r="BT1483" s="342"/>
      <c r="BU1483" s="342"/>
      <c r="BV1483" s="342"/>
      <c r="BW1483" s="342"/>
      <c r="BX1483" s="342"/>
      <c r="BY1483" s="342"/>
      <c r="BZ1483" s="342"/>
      <c r="CA1483" s="342"/>
      <c r="CB1483" s="342"/>
      <c r="CC1483" s="342"/>
      <c r="CD1483" s="342"/>
      <c r="CE1483" s="342"/>
      <c r="CF1483" s="342"/>
      <c r="CG1483" s="342"/>
      <c r="CH1483" s="342"/>
      <c r="CI1483" s="342"/>
      <c r="CJ1483" s="342"/>
      <c r="CK1483" s="342"/>
      <c r="CL1483" s="342"/>
      <c r="CM1483" s="342"/>
      <c r="CN1483" s="342"/>
      <c r="CO1483" s="342"/>
      <c r="CP1483" s="342"/>
      <c r="CQ1483" s="342"/>
      <c r="CR1483" s="342"/>
      <c r="CS1483" s="342"/>
      <c r="CT1483" s="342"/>
      <c r="CU1483" s="342"/>
      <c r="CV1483" s="342"/>
      <c r="CW1483" s="342"/>
      <c r="CX1483" s="342"/>
      <c r="CY1483" s="342"/>
      <c r="CZ1483" s="342"/>
      <c r="DA1483" s="342"/>
      <c r="DB1483" s="342"/>
      <c r="DC1483" s="342"/>
      <c r="DD1483" s="342"/>
      <c r="DE1483" s="342"/>
      <c r="DF1483" s="342"/>
      <c r="DG1483" s="342"/>
      <c r="DH1483" s="342"/>
      <c r="DI1483" s="342"/>
      <c r="DJ1483" s="342"/>
      <c r="DK1483" s="342"/>
      <c r="DL1483" s="342"/>
    </row>
    <row r="1484">
      <c r="A1484" s="44">
        <v>1484.0</v>
      </c>
      <c r="B1484" s="56" t="s">
        <v>152</v>
      </c>
      <c r="C1484" s="341" t="s">
        <v>115</v>
      </c>
      <c r="D1484" s="341" t="s">
        <v>1441</v>
      </c>
      <c r="E1484" s="342"/>
      <c r="F1484" s="56" t="s">
        <v>8410</v>
      </c>
      <c r="G1484" s="56" t="s">
        <v>8448</v>
      </c>
      <c r="H1484" s="343" t="s">
        <v>8428</v>
      </c>
      <c r="I1484" s="347" t="s">
        <v>8429</v>
      </c>
      <c r="J1484" s="1587">
        <v>45741.0</v>
      </c>
      <c r="K1484" s="343" t="s">
        <v>8439</v>
      </c>
      <c r="L1484" s="46"/>
      <c r="M1484" s="56" t="s">
        <v>8415</v>
      </c>
      <c r="N1484" s="56" t="s">
        <v>8416</v>
      </c>
      <c r="O1484" s="55" t="s">
        <v>4092</v>
      </c>
      <c r="P1484" s="1696" t="s">
        <v>8417</v>
      </c>
      <c r="Q1484" s="108" t="str">
        <f t="array" ref="Q1484"> if(iserror(MATCH(V1484, 'File Links'!C:C, 0)), "N/A", HYPERLINK(INDEX('File Links'!B:B, MATCH(P1484, 'File Links'!C:C, 0))))</f>
        <v>N/A</v>
      </c>
      <c r="R1484" s="1697" t="s">
        <v>8449</v>
      </c>
      <c r="S1484" s="46"/>
      <c r="T1484" s="1698" t="s">
        <v>8419</v>
      </c>
      <c r="U1484" s="55" t="s">
        <v>8450</v>
      </c>
      <c r="V1484" s="343" t="s">
        <v>577</v>
      </c>
      <c r="W1484" s="343" t="s">
        <v>8432</v>
      </c>
      <c r="X1484" s="49" t="str">
        <f t="array" ref="X1484"> if(iserror(MATCH(V1484, 'File Links'!C:C, 0)), "N/A", HYPERLINK(INDEX('File Links'!B:B, MATCH(V1484, 'File Links'!C:C, 0))))</f>
        <v>N/A</v>
      </c>
      <c r="Y1484" s="56"/>
      <c r="Z1484" s="343" t="s">
        <v>210</v>
      </c>
      <c r="AA1484" s="56" t="s">
        <v>8433</v>
      </c>
      <c r="AB1484" s="343" t="s">
        <v>8434</v>
      </c>
      <c r="AC1484" s="343" t="s">
        <v>8442</v>
      </c>
      <c r="AD1484" s="343" t="s">
        <v>8443</v>
      </c>
      <c r="AE1484" s="343">
        <v>16.0</v>
      </c>
      <c r="AF1484" s="347">
        <v>210.0</v>
      </c>
      <c r="AG1484" s="347">
        <v>0.03</v>
      </c>
      <c r="AH1484" s="343" t="s">
        <v>874</v>
      </c>
      <c r="AI1484" s="343" t="s">
        <v>182</v>
      </c>
      <c r="AJ1484" s="347">
        <v>0.045</v>
      </c>
      <c r="AK1484" s="343" t="s">
        <v>172</v>
      </c>
      <c r="AL1484" s="343" t="s">
        <v>186</v>
      </c>
      <c r="AM1484" s="56" t="s">
        <v>137</v>
      </c>
      <c r="AN1484" s="56" t="s">
        <v>138</v>
      </c>
      <c r="AO1484" s="347">
        <v>1127.0</v>
      </c>
      <c r="AP1484" s="347">
        <v>-0.15</v>
      </c>
      <c r="AQ1484" s="343" t="s">
        <v>173</v>
      </c>
      <c r="AR1484" s="343" t="s">
        <v>8437</v>
      </c>
      <c r="AS1484" s="347">
        <v>0.108</v>
      </c>
      <c r="AT1484" s="343" t="s">
        <v>172</v>
      </c>
      <c r="AU1484" s="343" t="s">
        <v>136</v>
      </c>
      <c r="AV1484" s="56" t="s">
        <v>137</v>
      </c>
      <c r="AW1484" s="1699" t="s">
        <v>138</v>
      </c>
      <c r="AX1484" s="56" t="s">
        <v>143</v>
      </c>
      <c r="AY1484" s="61" t="str">
        <f>IFERROR(__xludf.DUMMYFUNCTION("vlookup(BB1484,importrange(""https://docs.google.com/spreadsheets/d/1d2vevQ_7D_v35q4wCQ4RpQ_IPoTwEMB9Yp6ymwlPqew/edit?gid=984458430#gid=984458430"", ""'replication success'!A:K""), 11, FAlSE)"),"failed")</f>
        <v>failed</v>
      </c>
      <c r="AZ1484" s="61" t="str">
        <f>IFERROR(__xludf.DUMMYFUNCTION("vlookup(BB1484,importrange(""https://docs.google.com/spreadsheets/d/1d2vevQ_7D_v35q4wCQ4RpQ_IPoTwEMB9Yp6ymwlPqew/edit?gid=984458430#gid=984458430"", ""'replication success'!A:M""), 12, FAlSE)"),"Although the original authors reported fairly strong support for this hypothesis (d = .58), we found no evidence for it, despite having about five times more observations than in the original study. If this effect is real, it is very small, as we observed"&amp;" a small negative effect in Replication 1 (d = -.098) and a similarly sized positive effect in Replication 2 (d = .096). ")</f>
        <v>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 </v>
      </c>
      <c r="BA1484" s="61" t="str">
        <f>IFERROR(__xludf.DUMMYFUNCTION("vlookup(BB1484,importrange(""https://docs.google.com/spreadsheets/d/1d2vevQ_7D_v35q4wCQ4RpQ_IPoTwEMB9Yp6ymwlPqew/edit?gid=984458430#gid=984458430"", ""'replication success'!A:M""), 13, FAlSE)"),"article")</f>
        <v>article</v>
      </c>
      <c r="BB1484" s="61" t="str">
        <f>IFERROR(__xludf.DUMMYFUNCTION("REGEXREPLACE(G1484, ""_[a-z]{1,2}$"", """")"),"datareplicada10")</f>
        <v>datareplicada10</v>
      </c>
      <c r="BC1484" s="342"/>
      <c r="BD1484" s="341" t="s">
        <v>692</v>
      </c>
      <c r="BE1484" s="342"/>
      <c r="BF1484" s="342"/>
      <c r="BG1484" s="342"/>
      <c r="BH1484" s="342"/>
      <c r="BI1484" s="342"/>
      <c r="BJ1484" s="342"/>
      <c r="BK1484" s="342"/>
      <c r="BL1484" s="342"/>
      <c r="BM1484" s="342"/>
      <c r="BN1484" s="342"/>
      <c r="BO1484" s="342"/>
      <c r="BP1484" s="342"/>
      <c r="BQ1484" s="342"/>
      <c r="BR1484" s="342"/>
      <c r="BS1484" s="342"/>
      <c r="BT1484" s="342"/>
      <c r="BU1484" s="342"/>
      <c r="BV1484" s="342"/>
      <c r="BW1484" s="342"/>
      <c r="BX1484" s="342"/>
      <c r="BY1484" s="342"/>
      <c r="BZ1484" s="342"/>
      <c r="CA1484" s="342"/>
      <c r="CB1484" s="342"/>
      <c r="CC1484" s="342"/>
      <c r="CD1484" s="342"/>
      <c r="CE1484" s="342"/>
      <c r="CF1484" s="342"/>
      <c r="CG1484" s="342"/>
      <c r="CH1484" s="342"/>
      <c r="CI1484" s="342"/>
      <c r="CJ1484" s="342"/>
      <c r="CK1484" s="342"/>
      <c r="CL1484" s="342"/>
      <c r="CM1484" s="342"/>
      <c r="CN1484" s="342"/>
      <c r="CO1484" s="342"/>
      <c r="CP1484" s="342"/>
      <c r="CQ1484" s="342"/>
      <c r="CR1484" s="342"/>
      <c r="CS1484" s="342"/>
      <c r="CT1484" s="342"/>
      <c r="CU1484" s="342"/>
      <c r="CV1484" s="342"/>
      <c r="CW1484" s="342"/>
      <c r="CX1484" s="342"/>
      <c r="CY1484" s="342"/>
      <c r="CZ1484" s="342"/>
      <c r="DA1484" s="342"/>
      <c r="DB1484" s="342"/>
      <c r="DC1484" s="342"/>
      <c r="DD1484" s="342"/>
      <c r="DE1484" s="342"/>
      <c r="DF1484" s="342"/>
      <c r="DG1484" s="342"/>
      <c r="DH1484" s="342"/>
      <c r="DI1484" s="342"/>
      <c r="DJ1484" s="342"/>
      <c r="DK1484" s="342"/>
      <c r="DL1484" s="342"/>
    </row>
    <row r="1485">
      <c r="A1485" s="44">
        <v>1485.0</v>
      </c>
      <c r="B1485" s="56" t="s">
        <v>114</v>
      </c>
      <c r="C1485" s="341" t="s">
        <v>115</v>
      </c>
      <c r="D1485" s="341" t="s">
        <v>176</v>
      </c>
      <c r="E1485" s="342"/>
      <c r="F1485" s="46" t="s">
        <v>8451</v>
      </c>
      <c r="G1485" s="360" t="s">
        <v>8452</v>
      </c>
      <c r="H1485" s="360" t="s">
        <v>7252</v>
      </c>
      <c r="I1485" s="1692" t="s">
        <v>8412</v>
      </c>
      <c r="J1485" s="46"/>
      <c r="K1485" s="46" t="s">
        <v>8413</v>
      </c>
      <c r="L1485" s="46"/>
      <c r="M1485" s="360" t="s">
        <v>8415</v>
      </c>
      <c r="N1485" s="360" t="s">
        <v>8416</v>
      </c>
      <c r="O1485" s="360" t="s">
        <v>4092</v>
      </c>
      <c r="P1485" s="517" t="s">
        <v>8417</v>
      </c>
      <c r="Q1485" s="108" t="str">
        <f t="array" ref="Q1485"> if(iserror(MATCH(V1485, 'File Links'!C:C, 0)), "N/A", HYPERLINK(INDEX('File Links'!B:B, MATCH(P1485, 'File Links'!C:C, 0))))</f>
        <v>N/A</v>
      </c>
      <c r="R1485" s="360" t="s">
        <v>8440</v>
      </c>
      <c r="S1485" s="46"/>
      <c r="T1485" s="596" t="s">
        <v>8419</v>
      </c>
      <c r="U1485" s="360" t="s">
        <v>8453</v>
      </c>
      <c r="V1485" s="360" t="s">
        <v>577</v>
      </c>
      <c r="W1485" s="46" t="s">
        <v>164</v>
      </c>
      <c r="X1485" s="49" t="str">
        <f t="array" ref="X1485"> if(iserror(MATCH(V1485, 'File Links'!C:C, 0)), "N/A", HYPERLINK(INDEX('File Links'!B:B, MATCH(V1485, 'File Links'!C:C, 0))))</f>
        <v>N/A</v>
      </c>
      <c r="Y1485" s="46"/>
      <c r="Z1485" s="46" t="s">
        <v>226</v>
      </c>
      <c r="AA1485" s="360" t="s">
        <v>8421</v>
      </c>
      <c r="AB1485" s="360" t="s">
        <v>8422</v>
      </c>
      <c r="AC1485" s="360" t="s">
        <v>8423</v>
      </c>
      <c r="AD1485" s="1700" t="s">
        <v>8454</v>
      </c>
      <c r="AE1485" s="46" t="s">
        <v>1173</v>
      </c>
      <c r="AF1485" s="357">
        <v>210.0</v>
      </c>
      <c r="AG1485" s="1701">
        <v>-0.34</v>
      </c>
      <c r="AH1485" s="360" t="s">
        <v>173</v>
      </c>
      <c r="AI1485" s="46" t="s">
        <v>8425</v>
      </c>
      <c r="AJ1485" s="385">
        <v>0.045</v>
      </c>
      <c r="AK1485" s="46" t="s">
        <v>172</v>
      </c>
      <c r="AL1485" s="46" t="s">
        <v>186</v>
      </c>
      <c r="AM1485" s="46" t="s">
        <v>137</v>
      </c>
      <c r="AN1485" s="46"/>
      <c r="AO1485" s="357">
        <v>1008.0</v>
      </c>
      <c r="AP1485" s="357">
        <v>-0.13</v>
      </c>
      <c r="AQ1485" s="360" t="s">
        <v>173</v>
      </c>
      <c r="AR1485" s="46" t="s">
        <v>138</v>
      </c>
      <c r="AS1485" s="385">
        <v>0.88</v>
      </c>
      <c r="AT1485" s="46" t="s">
        <v>172</v>
      </c>
      <c r="AU1485" s="46" t="s">
        <v>186</v>
      </c>
      <c r="AV1485" s="46" t="s">
        <v>137</v>
      </c>
      <c r="AW1485" s="360" t="s">
        <v>138</v>
      </c>
      <c r="AX1485" s="46" t="s">
        <v>143</v>
      </c>
      <c r="AY1485" s="61" t="str">
        <f>IFERROR(__xludf.DUMMYFUNCTION("vlookup(BB1485,importrange(""https://docs.google.com/spreadsheets/d/1d2vevQ_7D_v35q4wCQ4RpQ_IPoTwEMB9Yp6ymwlPqew/edit?gid=984458430#gid=984458430"", ""'replication success'!A:K""), 11, FAlSE)"),"#N/A")</f>
        <v>#N/A</v>
      </c>
      <c r="AZ1485" s="61" t="str">
        <f>IFERROR(__xludf.DUMMYFUNCTION("vlookup(BB1485,importrange(""https://docs.google.com/spreadsheets/d/1d2vevQ_7D_v35q4wCQ4RpQ_IPoTwEMB9Yp6ymwlPqew/edit?gid=984458430#gid=984458430"", ""'replication success'!A:M""), 12, FAlSE)"),"#N/A")</f>
        <v>#N/A</v>
      </c>
      <c r="BA1485" s="61" t="str">
        <f>IFERROR(__xludf.DUMMYFUNCTION("vlookup(BB1485,importrange(""https://docs.google.com/spreadsheets/d/1d2vevQ_7D_v35q4wCQ4RpQ_IPoTwEMB9Yp6ymwlPqew/edit?gid=984458430#gid=984458430"", ""'replication success'!A:M""), 13, FAlSE)"),"#N/A")</f>
        <v>#N/A</v>
      </c>
      <c r="BB1485" s="61" t="str">
        <f>IFERROR(__xludf.DUMMYFUNCTION("REGEXREPLACE(G1485, ""_[a-z]{1,2}$"", """")"),"datareplicada10b")</f>
        <v>datareplicada10b</v>
      </c>
      <c r="BC1485" s="46"/>
      <c r="BD1485" s="341" t="s">
        <v>692</v>
      </c>
      <c r="BE1485" s="342"/>
      <c r="BF1485" s="342"/>
      <c r="BG1485" s="342"/>
      <c r="BH1485" s="342"/>
      <c r="BI1485" s="342"/>
      <c r="BJ1485" s="342"/>
      <c r="BK1485" s="342"/>
      <c r="BL1485" s="342"/>
      <c r="BM1485" s="342"/>
      <c r="BN1485" s="342"/>
      <c r="BO1485" s="342"/>
      <c r="BP1485" s="342"/>
      <c r="BQ1485" s="342"/>
      <c r="BR1485" s="342"/>
      <c r="BS1485" s="342"/>
      <c r="BT1485" s="342"/>
      <c r="BU1485" s="342"/>
      <c r="BV1485" s="342"/>
      <c r="BW1485" s="342"/>
      <c r="BX1485" s="342"/>
      <c r="BY1485" s="342"/>
      <c r="BZ1485" s="342"/>
      <c r="CA1485" s="342"/>
      <c r="CB1485" s="342"/>
      <c r="CC1485" s="342"/>
      <c r="CD1485" s="342"/>
      <c r="CE1485" s="342"/>
      <c r="CF1485" s="342"/>
      <c r="CG1485" s="342"/>
      <c r="CH1485" s="342"/>
      <c r="CI1485" s="342"/>
      <c r="CJ1485" s="342"/>
      <c r="CK1485" s="342"/>
      <c r="CL1485" s="342"/>
      <c r="CM1485" s="342"/>
      <c r="CN1485" s="342"/>
      <c r="CO1485" s="342"/>
      <c r="CP1485" s="342"/>
      <c r="CQ1485" s="342"/>
      <c r="CR1485" s="342"/>
      <c r="CS1485" s="342"/>
      <c r="CT1485" s="342"/>
      <c r="CU1485" s="342"/>
      <c r="CV1485" s="342"/>
      <c r="CW1485" s="342"/>
      <c r="CX1485" s="342"/>
      <c r="CY1485" s="342"/>
      <c r="CZ1485" s="342"/>
      <c r="DA1485" s="342"/>
      <c r="DB1485" s="342"/>
      <c r="DC1485" s="342"/>
      <c r="DD1485" s="342"/>
      <c r="DE1485" s="342"/>
      <c r="DF1485" s="342"/>
      <c r="DG1485" s="342"/>
      <c r="DH1485" s="342"/>
      <c r="DI1485" s="342"/>
      <c r="DJ1485" s="342"/>
      <c r="DK1485" s="342"/>
      <c r="DL1485" s="342"/>
    </row>
    <row r="1486">
      <c r="A1486" s="44">
        <v>1486.0</v>
      </c>
      <c r="B1486" s="56" t="s">
        <v>114</v>
      </c>
      <c r="C1486" s="341" t="s">
        <v>115</v>
      </c>
      <c r="D1486" s="341" t="s">
        <v>176</v>
      </c>
      <c r="E1486" s="342"/>
      <c r="F1486" s="46" t="s">
        <v>8455</v>
      </c>
      <c r="G1486" s="360" t="s">
        <v>8456</v>
      </c>
      <c r="H1486" s="360" t="s">
        <v>7252</v>
      </c>
      <c r="I1486" s="1692" t="s">
        <v>8412</v>
      </c>
      <c r="J1486" s="46"/>
      <c r="K1486" s="46" t="s">
        <v>8413</v>
      </c>
      <c r="L1486" s="46"/>
      <c r="M1486" s="360" t="s">
        <v>8415</v>
      </c>
      <c r="N1486" s="360" t="s">
        <v>8416</v>
      </c>
      <c r="O1486" s="360" t="s">
        <v>4092</v>
      </c>
      <c r="P1486" s="517" t="s">
        <v>8417</v>
      </c>
      <c r="Q1486" s="108" t="str">
        <f t="array" ref="Q1486"> if(iserror(MATCH(V1486, 'File Links'!C:C, 0)), "N/A", HYPERLINK(INDEX('File Links'!B:B, MATCH(P1486, 'File Links'!C:C, 0))))</f>
        <v>N/A</v>
      </c>
      <c r="R1486" s="360" t="s">
        <v>8449</v>
      </c>
      <c r="S1486" s="46"/>
      <c r="T1486" s="596" t="s">
        <v>8419</v>
      </c>
      <c r="U1486" s="360" t="s">
        <v>8457</v>
      </c>
      <c r="V1486" s="360" t="s">
        <v>577</v>
      </c>
      <c r="W1486" s="46" t="s">
        <v>164</v>
      </c>
      <c r="X1486" s="49" t="str">
        <f t="array" ref="X1486"> if(iserror(MATCH(V1486, 'File Links'!C:C, 0)), "N/A", HYPERLINK(INDEX('File Links'!B:B, MATCH(V1486, 'File Links'!C:C, 0))))</f>
        <v>N/A</v>
      </c>
      <c r="Y1486" s="46"/>
      <c r="Z1486" s="46" t="s">
        <v>226</v>
      </c>
      <c r="AA1486" s="360" t="s">
        <v>8421</v>
      </c>
      <c r="AB1486" s="360" t="s">
        <v>8422</v>
      </c>
      <c r="AC1486" s="360" t="s">
        <v>8423</v>
      </c>
      <c r="AD1486" s="46" t="s">
        <v>8454</v>
      </c>
      <c r="AE1486" s="46" t="s">
        <v>1173</v>
      </c>
      <c r="AF1486" s="357">
        <v>210.0</v>
      </c>
      <c r="AG1486" s="357">
        <v>-0.34</v>
      </c>
      <c r="AH1486" s="360" t="s">
        <v>173</v>
      </c>
      <c r="AI1486" s="46" t="s">
        <v>8425</v>
      </c>
      <c r="AJ1486" s="385">
        <v>0.045</v>
      </c>
      <c r="AK1486" s="46" t="s">
        <v>172</v>
      </c>
      <c r="AL1486" s="46" t="s">
        <v>186</v>
      </c>
      <c r="AM1486" s="46" t="s">
        <v>137</v>
      </c>
      <c r="AN1486" s="46"/>
      <c r="AO1486" s="357">
        <v>1127.0</v>
      </c>
      <c r="AP1486" s="357">
        <v>-0.15</v>
      </c>
      <c r="AQ1486" s="360" t="s">
        <v>173</v>
      </c>
      <c r="AR1486" s="46" t="s">
        <v>138</v>
      </c>
      <c r="AS1486" s="385">
        <v>0.108</v>
      </c>
      <c r="AT1486" s="46" t="s">
        <v>172</v>
      </c>
      <c r="AU1486" s="46" t="s">
        <v>186</v>
      </c>
      <c r="AV1486" s="46" t="s">
        <v>137</v>
      </c>
      <c r="AW1486" s="360" t="s">
        <v>138</v>
      </c>
      <c r="AX1486" s="46" t="s">
        <v>143</v>
      </c>
      <c r="AY1486" s="61" t="str">
        <f>IFERROR(__xludf.DUMMYFUNCTION("vlookup(BB1486,importrange(""https://docs.google.com/spreadsheets/d/1d2vevQ_7D_v35q4wCQ4RpQ_IPoTwEMB9Yp6ymwlPqew/edit?gid=984458430#gid=984458430"", ""'replication success'!A:K""), 11, FAlSE)"),"#N/A")</f>
        <v>#N/A</v>
      </c>
      <c r="AZ1486" s="61" t="str">
        <f>IFERROR(__xludf.DUMMYFUNCTION("vlookup(BB1486,importrange(""https://docs.google.com/spreadsheets/d/1d2vevQ_7D_v35q4wCQ4RpQ_IPoTwEMB9Yp6ymwlPqew/edit?gid=984458430#gid=984458430"", ""'replication success'!A:M""), 12, FAlSE)"),"#N/A")</f>
        <v>#N/A</v>
      </c>
      <c r="BA1486" s="61" t="str">
        <f>IFERROR(__xludf.DUMMYFUNCTION("vlookup(BB1486,importrange(""https://docs.google.com/spreadsheets/d/1d2vevQ_7D_v35q4wCQ4RpQ_IPoTwEMB9Yp6ymwlPqew/edit?gid=984458430#gid=984458430"", ""'replication success'!A:M""), 13, FAlSE)"),"#N/A")</f>
        <v>#N/A</v>
      </c>
      <c r="BB1486" s="61" t="str">
        <f>IFERROR(__xludf.DUMMYFUNCTION("REGEXREPLACE(G1486, ""_[a-z]{1,2}$"", """")"),"datareplicada10d")</f>
        <v>datareplicada10d</v>
      </c>
      <c r="BC1486" s="46"/>
      <c r="BD1486" s="341" t="s">
        <v>692</v>
      </c>
      <c r="BE1486" s="342"/>
      <c r="BF1486" s="342"/>
      <c r="BG1486" s="342"/>
      <c r="BH1486" s="342"/>
      <c r="BI1486" s="342"/>
      <c r="BJ1486" s="342"/>
      <c r="BK1486" s="342"/>
      <c r="BL1486" s="342"/>
      <c r="BM1486" s="342"/>
      <c r="BN1486" s="342"/>
      <c r="BO1486" s="342"/>
      <c r="BP1486" s="342"/>
      <c r="BQ1486" s="342"/>
      <c r="BR1486" s="342"/>
      <c r="BS1486" s="342"/>
      <c r="BT1486" s="342"/>
      <c r="BU1486" s="342"/>
      <c r="BV1486" s="342"/>
      <c r="BW1486" s="342"/>
      <c r="BX1486" s="342"/>
      <c r="BY1486" s="342"/>
      <c r="BZ1486" s="342"/>
      <c r="CA1486" s="342"/>
      <c r="CB1486" s="342"/>
      <c r="CC1486" s="342"/>
      <c r="CD1486" s="342"/>
      <c r="CE1486" s="342"/>
      <c r="CF1486" s="342"/>
      <c r="CG1486" s="342"/>
      <c r="CH1486" s="342"/>
      <c r="CI1486" s="342"/>
      <c r="CJ1486" s="342"/>
      <c r="CK1486" s="342"/>
      <c r="CL1486" s="342"/>
      <c r="CM1486" s="342"/>
      <c r="CN1486" s="342"/>
      <c r="CO1486" s="342"/>
      <c r="CP1486" s="342"/>
      <c r="CQ1486" s="342"/>
      <c r="CR1486" s="342"/>
      <c r="CS1486" s="342"/>
      <c r="CT1486" s="342"/>
      <c r="CU1486" s="342"/>
      <c r="CV1486" s="342"/>
      <c r="CW1486" s="342"/>
      <c r="CX1486" s="342"/>
      <c r="CY1486" s="342"/>
      <c r="CZ1486" s="342"/>
      <c r="DA1486" s="342"/>
      <c r="DB1486" s="342"/>
      <c r="DC1486" s="342"/>
      <c r="DD1486" s="342"/>
      <c r="DE1486" s="342"/>
      <c r="DF1486" s="342"/>
      <c r="DG1486" s="342"/>
      <c r="DH1486" s="342"/>
      <c r="DI1486" s="342"/>
      <c r="DJ1486" s="342"/>
      <c r="DK1486" s="342"/>
      <c r="DL1486" s="342"/>
    </row>
    <row r="1487">
      <c r="A1487" s="44">
        <v>1487.0</v>
      </c>
      <c r="B1487" s="56" t="s">
        <v>114</v>
      </c>
      <c r="C1487" s="341" t="s">
        <v>115</v>
      </c>
      <c r="D1487" s="341" t="s">
        <v>176</v>
      </c>
      <c r="E1487" s="342"/>
      <c r="F1487" s="46" t="s">
        <v>8458</v>
      </c>
      <c r="G1487" s="360" t="s">
        <v>8459</v>
      </c>
      <c r="H1487" s="360" t="s">
        <v>7252</v>
      </c>
      <c r="I1487" s="1692" t="s">
        <v>8412</v>
      </c>
      <c r="J1487" s="46"/>
      <c r="K1487" s="46" t="s">
        <v>8460</v>
      </c>
      <c r="L1487" s="46"/>
      <c r="M1487" s="360" t="s">
        <v>8461</v>
      </c>
      <c r="N1487" s="360" t="s">
        <v>8462</v>
      </c>
      <c r="O1487" s="357">
        <v>3.0</v>
      </c>
      <c r="P1487" s="517" t="s">
        <v>8463</v>
      </c>
      <c r="Q1487" s="108" t="str">
        <f t="array" ref="Q1487"> if(iserror(MATCH(V1487, 'File Links'!C:C, 0)), "N/A", HYPERLINK(INDEX('File Links'!B:B, MATCH(P1487, 'File Links'!C:C, 0))))</f>
        <v>N/A</v>
      </c>
      <c r="R1487" s="360" t="s">
        <v>8464</v>
      </c>
      <c r="S1487" s="46"/>
      <c r="T1487" s="596" t="s">
        <v>8465</v>
      </c>
      <c r="U1487" s="360" t="s">
        <v>8466</v>
      </c>
      <c r="V1487" s="360" t="s">
        <v>8467</v>
      </c>
      <c r="W1487" s="46" t="s">
        <v>164</v>
      </c>
      <c r="X1487" s="49" t="str">
        <f t="array" ref="X1487"> if(iserror(MATCH(V1487, 'File Links'!C:C, 0)), "N/A", HYPERLINK(INDEX('File Links'!B:B, MATCH(V1487, 'File Links'!C:C, 0))))</f>
        <v>N/A</v>
      </c>
      <c r="Y1487" s="46"/>
      <c r="Z1487" s="360" t="s">
        <v>226</v>
      </c>
      <c r="AA1487" s="46" t="s">
        <v>8468</v>
      </c>
      <c r="AB1487" s="360" t="s">
        <v>8469</v>
      </c>
      <c r="AC1487" s="360" t="s">
        <v>8470</v>
      </c>
      <c r="AD1487" s="360" t="s">
        <v>8471</v>
      </c>
      <c r="AE1487" s="360" t="s">
        <v>623</v>
      </c>
      <c r="AF1487" s="357">
        <v>250.0</v>
      </c>
      <c r="AG1487" s="46" t="s">
        <v>8472</v>
      </c>
      <c r="AH1487" s="46" t="s">
        <v>134</v>
      </c>
      <c r="AI1487" s="46" t="s">
        <v>8473</v>
      </c>
      <c r="AJ1487" s="1702">
        <v>0.03</v>
      </c>
      <c r="AK1487" s="46" t="s">
        <v>172</v>
      </c>
      <c r="AL1487" s="46" t="s">
        <v>186</v>
      </c>
      <c r="AM1487" s="46" t="s">
        <v>137</v>
      </c>
      <c r="AN1487" s="46"/>
      <c r="AO1487" s="357">
        <v>1305.0</v>
      </c>
      <c r="AP1487" s="357">
        <v>0.05</v>
      </c>
      <c r="AQ1487" s="360" t="s">
        <v>987</v>
      </c>
      <c r="AR1487" s="46" t="s">
        <v>138</v>
      </c>
      <c r="AS1487" s="1702">
        <v>0.432</v>
      </c>
      <c r="AT1487" s="46" t="s">
        <v>172</v>
      </c>
      <c r="AU1487" s="46" t="s">
        <v>186</v>
      </c>
      <c r="AV1487" s="46" t="s">
        <v>137</v>
      </c>
      <c r="AW1487" s="46" t="s">
        <v>8474</v>
      </c>
      <c r="AX1487" s="46" t="s">
        <v>143</v>
      </c>
      <c r="AY1487" s="61" t="str">
        <f>IFERROR(__xludf.DUMMYFUNCTION("vlookup(BB1487,importrange(""https://docs.google.com/spreadsheets/d/1d2vevQ_7D_v35q4wCQ4RpQ_IPoTwEMB9Yp6ymwlPqew/edit?gid=984458430#gid=984458430"", ""'replication success'!A:K""), 11, FAlSE)"),"successful")</f>
        <v>successful</v>
      </c>
      <c r="AZ1487" s="61" t="str">
        <f>IFERROR(__xludf.DUMMYFUNCTION("vlookup(BB1487,importrange(""https://docs.google.com/spreadsheets/d/1d2vevQ_7D_v35q4wCQ4RpQ_IPoTwEMB9Yp6ymwlPqew/edit?gid=984458430#gid=984458430"", ""'replication success'!A:M""), 12, FAlSE)"),"In the first replication attempt (with the typo), the three-way interaction among prime, group size, and preference for nonfiction was significant and in the same direction as in the original study: b = .162, SE = .070, p = .022. ")</f>
        <v>In the first replication attempt (with the typo), the three-way interaction among prime, group size, and preference for nonfiction was significant and in the same direction as in the original study: b = .162, SE = .070, p = .022. </v>
      </c>
      <c r="BA1487" s="61" t="str">
        <f>IFERROR(__xludf.DUMMYFUNCTION("vlookup(BB1487,importrange(""https://docs.google.com/spreadsheets/d/1d2vevQ_7D_v35q4wCQ4RpQ_IPoTwEMB9Yp6ymwlPqew/edit?gid=984458430#gid=984458430"", ""'replication success'!A:M""), 13, FAlSE)"),"article")</f>
        <v>article</v>
      </c>
      <c r="BB1487" s="61" t="str">
        <f>IFERROR(__xludf.DUMMYFUNCTION("REGEXREPLACE(G1487, ""_[a-z]{1,2}$"", """")"),"datareplicada2")</f>
        <v>datareplicada2</v>
      </c>
      <c r="BC1487" s="46"/>
      <c r="BD1487" s="341" t="s">
        <v>692</v>
      </c>
      <c r="BE1487" s="342"/>
      <c r="BF1487" s="342"/>
      <c r="BG1487" s="342"/>
      <c r="BH1487" s="342"/>
      <c r="BI1487" s="342"/>
      <c r="BJ1487" s="342"/>
      <c r="BK1487" s="342"/>
      <c r="BL1487" s="342"/>
      <c r="BM1487" s="342"/>
      <c r="BN1487" s="342"/>
      <c r="BO1487" s="342"/>
      <c r="BP1487" s="342"/>
      <c r="BQ1487" s="342"/>
      <c r="BR1487" s="342"/>
      <c r="BS1487" s="342"/>
      <c r="BT1487" s="342"/>
      <c r="BU1487" s="342"/>
      <c r="BV1487" s="342"/>
      <c r="BW1487" s="342"/>
      <c r="BX1487" s="342"/>
      <c r="BY1487" s="342"/>
      <c r="BZ1487" s="342"/>
      <c r="CA1487" s="342"/>
      <c r="CB1487" s="342"/>
      <c r="CC1487" s="342"/>
      <c r="CD1487" s="342"/>
      <c r="CE1487" s="342"/>
      <c r="CF1487" s="342"/>
      <c r="CG1487" s="342"/>
      <c r="CH1487" s="342"/>
      <c r="CI1487" s="342"/>
      <c r="CJ1487" s="342"/>
      <c r="CK1487" s="342"/>
      <c r="CL1487" s="342"/>
      <c r="CM1487" s="342"/>
      <c r="CN1487" s="342"/>
      <c r="CO1487" s="342"/>
      <c r="CP1487" s="342"/>
      <c r="CQ1487" s="342"/>
      <c r="CR1487" s="342"/>
      <c r="CS1487" s="342"/>
      <c r="CT1487" s="342"/>
      <c r="CU1487" s="342"/>
      <c r="CV1487" s="342"/>
      <c r="CW1487" s="342"/>
      <c r="CX1487" s="342"/>
      <c r="CY1487" s="342"/>
      <c r="CZ1487" s="342"/>
      <c r="DA1487" s="342"/>
      <c r="DB1487" s="342"/>
      <c r="DC1487" s="342"/>
      <c r="DD1487" s="342"/>
      <c r="DE1487" s="342"/>
      <c r="DF1487" s="342"/>
      <c r="DG1487" s="342"/>
      <c r="DH1487" s="342"/>
      <c r="DI1487" s="342"/>
      <c r="DJ1487" s="342"/>
      <c r="DK1487" s="342"/>
      <c r="DL1487" s="342"/>
    </row>
    <row r="1488">
      <c r="A1488" s="44">
        <v>1488.0</v>
      </c>
      <c r="B1488" s="56" t="s">
        <v>114</v>
      </c>
      <c r="C1488" s="341" t="s">
        <v>115</v>
      </c>
      <c r="D1488" s="341" t="s">
        <v>1441</v>
      </c>
      <c r="E1488" s="342"/>
      <c r="F1488" s="56" t="s">
        <v>8458</v>
      </c>
      <c r="G1488" s="56" t="s">
        <v>8459</v>
      </c>
      <c r="H1488" s="343" t="s">
        <v>8428</v>
      </c>
      <c r="I1488" s="347" t="s">
        <v>8475</v>
      </c>
      <c r="J1488" s="1587">
        <v>45741.0</v>
      </c>
      <c r="K1488" s="360"/>
      <c r="L1488" s="46"/>
      <c r="M1488" s="56" t="s">
        <v>8461</v>
      </c>
      <c r="N1488" s="56" t="s">
        <v>8462</v>
      </c>
      <c r="O1488" s="55">
        <v>3.0</v>
      </c>
      <c r="P1488" s="1696" t="s">
        <v>8463</v>
      </c>
      <c r="Q1488" s="108" t="str">
        <f t="array" ref="Q1488"> if(iserror(MATCH(V1488, 'File Links'!C:C, 0)), "N/A", HYPERLINK(INDEX('File Links'!B:B, MATCH(P1488, 'File Links'!C:C, 0))))</f>
        <v>N/A</v>
      </c>
      <c r="R1488" s="1697" t="s">
        <v>8464</v>
      </c>
      <c r="S1488" s="46"/>
      <c r="T1488" s="1698" t="s">
        <v>8465</v>
      </c>
      <c r="U1488" s="55" t="s">
        <v>8476</v>
      </c>
      <c r="V1488" s="343" t="s">
        <v>8467</v>
      </c>
      <c r="W1488" s="343" t="s">
        <v>8477</v>
      </c>
      <c r="X1488" s="49" t="str">
        <f t="array" ref="X1488"> if(iserror(MATCH(V1488, 'File Links'!C:C, 0)), "N/A", HYPERLINK(INDEX('File Links'!B:B, MATCH(V1488, 'File Links'!C:C, 0))))</f>
        <v>N/A</v>
      </c>
      <c r="Y1488" s="56"/>
      <c r="Z1488" s="343" t="s">
        <v>2079</v>
      </c>
      <c r="AA1488" s="56" t="s">
        <v>8478</v>
      </c>
      <c r="AB1488" s="343" t="s">
        <v>8479</v>
      </c>
      <c r="AC1488" s="343" t="s">
        <v>8480</v>
      </c>
      <c r="AD1488" s="343" t="s">
        <v>8481</v>
      </c>
      <c r="AE1488" s="343">
        <v>28.0</v>
      </c>
      <c r="AF1488" s="347">
        <v>250.0</v>
      </c>
      <c r="AG1488" s="347">
        <v>0.33</v>
      </c>
      <c r="AH1488" s="343" t="s">
        <v>361</v>
      </c>
      <c r="AI1488" s="343" t="s">
        <v>5142</v>
      </c>
      <c r="AJ1488" s="347">
        <v>0.03</v>
      </c>
      <c r="AK1488" s="343" t="s">
        <v>172</v>
      </c>
      <c r="AL1488" s="343" t="s">
        <v>186</v>
      </c>
      <c r="AM1488" s="56" t="s">
        <v>137</v>
      </c>
      <c r="AN1488" s="56" t="s">
        <v>138</v>
      </c>
      <c r="AO1488" s="347">
        <v>1118.0</v>
      </c>
      <c r="AP1488" s="347">
        <v>0.162</v>
      </c>
      <c r="AQ1488" s="343" t="s">
        <v>987</v>
      </c>
      <c r="AR1488" s="343" t="s">
        <v>8482</v>
      </c>
      <c r="AS1488" s="347">
        <v>0.022</v>
      </c>
      <c r="AT1488" s="343" t="s">
        <v>172</v>
      </c>
      <c r="AU1488" s="343" t="s">
        <v>186</v>
      </c>
      <c r="AV1488" s="56" t="s">
        <v>137</v>
      </c>
      <c r="AW1488" s="1699" t="s">
        <v>8483</v>
      </c>
      <c r="AX1488" s="56" t="s">
        <v>143</v>
      </c>
      <c r="AY1488" s="61" t="str">
        <f>IFERROR(__xludf.DUMMYFUNCTION("vlookup(BB1488,importrange(""https://docs.google.com/spreadsheets/d/1d2vevQ_7D_v35q4wCQ4RpQ_IPoTwEMB9Yp6ymwlPqew/edit?gid=984458430#gid=984458430"", ""'replication success'!A:K""), 11, FAlSE)"),"successful")</f>
        <v>successful</v>
      </c>
      <c r="AZ1488" s="61" t="str">
        <f>IFERROR(__xludf.DUMMYFUNCTION("vlookup(BB1488,importrange(""https://docs.google.com/spreadsheets/d/1d2vevQ_7D_v35q4wCQ4RpQ_IPoTwEMB9Yp6ymwlPqew/edit?gid=984458430#gid=984458430"", ""'replication success'!A:M""), 12, FAlSE)"),"In the first replication attempt (with the typo), the three-way interaction among prime, group size, and preference for nonfiction was significant and in the same direction as in the original study: b = .162, SE = .070, p = .022. ")</f>
        <v>In the first replication attempt (with the typo), the three-way interaction among prime, group size, and preference for nonfiction was significant and in the same direction as in the original study: b = .162, SE = .070, p = .022. </v>
      </c>
      <c r="BA1488" s="61" t="str">
        <f>IFERROR(__xludf.DUMMYFUNCTION("vlookup(BB1488,importrange(""https://docs.google.com/spreadsheets/d/1d2vevQ_7D_v35q4wCQ4RpQ_IPoTwEMB9Yp6ymwlPqew/edit?gid=984458430#gid=984458430"", ""'replication success'!A:M""), 13, FAlSE)"),"article")</f>
        <v>article</v>
      </c>
      <c r="BB1488" s="61" t="str">
        <f>IFERROR(__xludf.DUMMYFUNCTION("REGEXREPLACE(G1488, ""_[a-z]{1,2}$"", """")"),"datareplicada2")</f>
        <v>datareplicada2</v>
      </c>
      <c r="BC1488" s="342"/>
      <c r="BD1488" s="341" t="s">
        <v>692</v>
      </c>
      <c r="BE1488" s="342"/>
      <c r="BF1488" s="342"/>
      <c r="BG1488" s="342"/>
      <c r="BH1488" s="342"/>
      <c r="BI1488" s="342"/>
      <c r="BJ1488" s="342"/>
      <c r="BK1488" s="342"/>
      <c r="BL1488" s="342"/>
      <c r="BM1488" s="342"/>
      <c r="BN1488" s="342"/>
      <c r="BO1488" s="342"/>
      <c r="BP1488" s="342"/>
      <c r="BQ1488" s="342"/>
      <c r="BR1488" s="342"/>
      <c r="BS1488" s="342"/>
      <c r="BT1488" s="342"/>
      <c r="BU1488" s="342"/>
      <c r="BV1488" s="342"/>
      <c r="BW1488" s="342"/>
      <c r="BX1488" s="342"/>
      <c r="BY1488" s="342"/>
      <c r="BZ1488" s="342"/>
      <c r="CA1488" s="342"/>
      <c r="CB1488" s="342"/>
      <c r="CC1488" s="342"/>
      <c r="CD1488" s="342"/>
      <c r="CE1488" s="342"/>
      <c r="CF1488" s="342"/>
      <c r="CG1488" s="342"/>
      <c r="CH1488" s="342"/>
      <c r="CI1488" s="342"/>
      <c r="CJ1488" s="342"/>
      <c r="CK1488" s="342"/>
      <c r="CL1488" s="342"/>
      <c r="CM1488" s="342"/>
      <c r="CN1488" s="342"/>
      <c r="CO1488" s="342"/>
      <c r="CP1488" s="342"/>
      <c r="CQ1488" s="342"/>
      <c r="CR1488" s="342"/>
      <c r="CS1488" s="342"/>
      <c r="CT1488" s="342"/>
      <c r="CU1488" s="342"/>
      <c r="CV1488" s="342"/>
      <c r="CW1488" s="342"/>
      <c r="CX1488" s="342"/>
      <c r="CY1488" s="342"/>
      <c r="CZ1488" s="342"/>
      <c r="DA1488" s="342"/>
      <c r="DB1488" s="342"/>
      <c r="DC1488" s="342"/>
      <c r="DD1488" s="342"/>
      <c r="DE1488" s="342"/>
      <c r="DF1488" s="342"/>
      <c r="DG1488" s="342"/>
      <c r="DH1488" s="342"/>
      <c r="DI1488" s="342"/>
      <c r="DJ1488" s="342"/>
      <c r="DK1488" s="342"/>
      <c r="DL1488" s="342"/>
    </row>
    <row r="1489">
      <c r="A1489" s="44">
        <v>1489.0</v>
      </c>
      <c r="B1489" s="56" t="s">
        <v>152</v>
      </c>
      <c r="C1489" s="341" t="s">
        <v>115</v>
      </c>
      <c r="D1489" s="341" t="s">
        <v>1441</v>
      </c>
      <c r="E1489" s="342"/>
      <c r="F1489" s="56" t="s">
        <v>8458</v>
      </c>
      <c r="G1489" s="56" t="s">
        <v>8484</v>
      </c>
      <c r="H1489" s="343" t="s">
        <v>8428</v>
      </c>
      <c r="I1489" s="347" t="s">
        <v>8475</v>
      </c>
      <c r="J1489" s="1587">
        <v>45741.0</v>
      </c>
      <c r="K1489" s="360"/>
      <c r="L1489" s="46"/>
      <c r="M1489" s="56" t="s">
        <v>8461</v>
      </c>
      <c r="N1489" s="56" t="s">
        <v>8462</v>
      </c>
      <c r="O1489" s="55">
        <v>3.0</v>
      </c>
      <c r="P1489" s="1696" t="s">
        <v>8463</v>
      </c>
      <c r="Q1489" s="108" t="str">
        <f t="array" ref="Q1489"> if(iserror(MATCH(V1489, 'File Links'!C:C, 0)), "N/A", HYPERLINK(INDEX('File Links'!B:B, MATCH(P1489, 'File Links'!C:C, 0))))</f>
        <v>N/A</v>
      </c>
      <c r="R1489" s="1697" t="s">
        <v>8464</v>
      </c>
      <c r="S1489" s="46"/>
      <c r="T1489" s="1698" t="s">
        <v>8465</v>
      </c>
      <c r="U1489" s="55" t="s">
        <v>8485</v>
      </c>
      <c r="V1489" s="343" t="s">
        <v>8467</v>
      </c>
      <c r="W1489" s="343" t="s">
        <v>8477</v>
      </c>
      <c r="X1489" s="49" t="str">
        <f t="array" ref="X1489"> if(iserror(MATCH(V1489, 'File Links'!C:C, 0)), "N/A", HYPERLINK(INDEX('File Links'!B:B, MATCH(V1489, 'File Links'!C:C, 0))))</f>
        <v>N/A</v>
      </c>
      <c r="Y1489" s="56"/>
      <c r="Z1489" s="343" t="s">
        <v>2079</v>
      </c>
      <c r="AA1489" s="56" t="s">
        <v>8478</v>
      </c>
      <c r="AB1489" s="343" t="s">
        <v>8479</v>
      </c>
      <c r="AC1489" s="343" t="s">
        <v>8480</v>
      </c>
      <c r="AD1489" s="343" t="s">
        <v>8481</v>
      </c>
      <c r="AE1489" s="343">
        <v>28.0</v>
      </c>
      <c r="AF1489" s="347">
        <v>250.0</v>
      </c>
      <c r="AG1489" s="347">
        <v>0.33</v>
      </c>
      <c r="AH1489" s="343" t="s">
        <v>361</v>
      </c>
      <c r="AI1489" s="343" t="s">
        <v>5142</v>
      </c>
      <c r="AJ1489" s="347">
        <v>0.03</v>
      </c>
      <c r="AK1489" s="343" t="s">
        <v>172</v>
      </c>
      <c r="AL1489" s="343" t="s">
        <v>186</v>
      </c>
      <c r="AM1489" s="56" t="s">
        <v>137</v>
      </c>
      <c r="AN1489" s="56" t="s">
        <v>138</v>
      </c>
      <c r="AO1489" s="347">
        <v>1305.0</v>
      </c>
      <c r="AP1489" s="347">
        <v>0.05</v>
      </c>
      <c r="AQ1489" s="343" t="s">
        <v>987</v>
      </c>
      <c r="AR1489" s="343" t="s">
        <v>8482</v>
      </c>
      <c r="AS1489" s="347">
        <v>0.432</v>
      </c>
      <c r="AT1489" s="343" t="s">
        <v>172</v>
      </c>
      <c r="AU1489" s="343" t="s">
        <v>186</v>
      </c>
      <c r="AV1489" s="56" t="s">
        <v>137</v>
      </c>
      <c r="AW1489" s="1699" t="s">
        <v>8486</v>
      </c>
      <c r="AX1489" s="56" t="s">
        <v>143</v>
      </c>
      <c r="AY1489" s="61" t="str">
        <f>IFERROR(__xludf.DUMMYFUNCTION("vlookup(BB1489,importrange(""https://docs.google.com/spreadsheets/d/1d2vevQ_7D_v35q4wCQ4RpQ_IPoTwEMB9Yp6ymwlPqew/edit?gid=984458430#gid=984458430"", ""'replication success'!A:K""), 11, FAlSE)"),"successful")</f>
        <v>successful</v>
      </c>
      <c r="AZ1489" s="61" t="str">
        <f>IFERROR(__xludf.DUMMYFUNCTION("vlookup(BB1489,importrange(""https://docs.google.com/spreadsheets/d/1d2vevQ_7D_v35q4wCQ4RpQ_IPoTwEMB9Yp6ymwlPqew/edit?gid=984458430#gid=984458430"", ""'replication success'!A:M""), 12, FAlSE)"),"In the first replication attempt (with the typo), the three-way interaction among prime, group size, and preference for nonfiction was significant and in the same direction as in the original study: b = .162, SE = .070, p = .022. ")</f>
        <v>In the first replication attempt (with the typo), the three-way interaction among prime, group size, and preference for nonfiction was significant and in the same direction as in the original study: b = .162, SE = .070, p = .022. </v>
      </c>
      <c r="BA1489" s="61" t="str">
        <f>IFERROR(__xludf.DUMMYFUNCTION("vlookup(BB1489,importrange(""https://docs.google.com/spreadsheets/d/1d2vevQ_7D_v35q4wCQ4RpQ_IPoTwEMB9Yp6ymwlPqew/edit?gid=984458430#gid=984458430"", ""'replication success'!A:M""), 13, FAlSE)"),"article")</f>
        <v>article</v>
      </c>
      <c r="BB1489" s="61" t="str">
        <f>IFERROR(__xludf.DUMMYFUNCTION("REGEXREPLACE(G1489, ""_[a-z]{1,2}$"", """")"),"datareplicada2")</f>
        <v>datareplicada2</v>
      </c>
      <c r="BC1489" s="342"/>
      <c r="BD1489" s="341" t="s">
        <v>692</v>
      </c>
      <c r="BE1489" s="342"/>
      <c r="BF1489" s="342"/>
      <c r="BG1489" s="342"/>
      <c r="BH1489" s="342"/>
      <c r="BI1489" s="342"/>
      <c r="BJ1489" s="342"/>
      <c r="BK1489" s="342"/>
      <c r="BL1489" s="342"/>
      <c r="BM1489" s="342"/>
      <c r="BN1489" s="342"/>
      <c r="BO1489" s="342"/>
      <c r="BP1489" s="342"/>
      <c r="BQ1489" s="342"/>
      <c r="BR1489" s="342"/>
      <c r="BS1489" s="342"/>
      <c r="BT1489" s="342"/>
      <c r="BU1489" s="342"/>
      <c r="BV1489" s="342"/>
      <c r="BW1489" s="342"/>
      <c r="BX1489" s="342"/>
      <c r="BY1489" s="342"/>
      <c r="BZ1489" s="342"/>
      <c r="CA1489" s="342"/>
      <c r="CB1489" s="342"/>
      <c r="CC1489" s="342"/>
      <c r="CD1489" s="342"/>
      <c r="CE1489" s="342"/>
      <c r="CF1489" s="342"/>
      <c r="CG1489" s="342"/>
      <c r="CH1489" s="342"/>
      <c r="CI1489" s="342"/>
      <c r="CJ1489" s="342"/>
      <c r="CK1489" s="342"/>
      <c r="CL1489" s="342"/>
      <c r="CM1489" s="342"/>
      <c r="CN1489" s="342"/>
      <c r="CO1489" s="342"/>
      <c r="CP1489" s="342"/>
      <c r="CQ1489" s="342"/>
      <c r="CR1489" s="342"/>
      <c r="CS1489" s="342"/>
      <c r="CT1489" s="342"/>
      <c r="CU1489" s="342"/>
      <c r="CV1489" s="342"/>
      <c r="CW1489" s="342"/>
      <c r="CX1489" s="342"/>
      <c r="CY1489" s="342"/>
      <c r="CZ1489" s="342"/>
      <c r="DA1489" s="342"/>
      <c r="DB1489" s="342"/>
      <c r="DC1489" s="342"/>
      <c r="DD1489" s="342"/>
      <c r="DE1489" s="342"/>
      <c r="DF1489" s="342"/>
      <c r="DG1489" s="342"/>
      <c r="DH1489" s="342"/>
      <c r="DI1489" s="342"/>
      <c r="DJ1489" s="342"/>
      <c r="DK1489" s="342"/>
      <c r="DL1489" s="342"/>
    </row>
    <row r="1490">
      <c r="A1490" s="44">
        <v>1490.0</v>
      </c>
      <c r="B1490" s="56" t="s">
        <v>152</v>
      </c>
      <c r="C1490" s="341" t="s">
        <v>115</v>
      </c>
      <c r="D1490" s="341" t="s">
        <v>1441</v>
      </c>
      <c r="E1490" s="342"/>
      <c r="F1490" s="46" t="s">
        <v>8487</v>
      </c>
      <c r="G1490" s="360" t="s">
        <v>8488</v>
      </c>
      <c r="H1490" s="360" t="s">
        <v>8428</v>
      </c>
      <c r="I1490" s="344">
        <v>45231.0</v>
      </c>
      <c r="J1490" s="344">
        <v>45712.0</v>
      </c>
      <c r="K1490" s="46"/>
      <c r="L1490" s="46"/>
      <c r="M1490" s="360" t="s">
        <v>8489</v>
      </c>
      <c r="N1490" s="360" t="s">
        <v>8490</v>
      </c>
      <c r="O1490" s="357">
        <v>4.0</v>
      </c>
      <c r="P1490" s="517" t="s">
        <v>8491</v>
      </c>
      <c r="Q1490" s="108" t="str">
        <f t="array" ref="Q1490"> if(iserror(MATCH(V1490, 'File Links'!C:C, 0)), "N/A", HYPERLINK(INDEX('File Links'!B:B, MATCH(P1490, 'File Links'!C:C, 0))))</f>
        <v>N/A</v>
      </c>
      <c r="R1490" s="360" t="s">
        <v>8492</v>
      </c>
      <c r="S1490" s="360" t="s">
        <v>138</v>
      </c>
      <c r="T1490" s="509" t="s">
        <v>8493</v>
      </c>
      <c r="U1490" s="360" t="s">
        <v>8494</v>
      </c>
      <c r="V1490" s="360" t="s">
        <v>8467</v>
      </c>
      <c r="W1490" s="46" t="s">
        <v>8477</v>
      </c>
      <c r="X1490" s="49" t="str">
        <f t="array" ref="X1490"> if(iserror(MATCH(V1490, 'File Links'!C:C, 0)), "N/A", HYPERLINK(INDEX('File Links'!B:B, MATCH(V1490, 'File Links'!C:C, 0))))</f>
        <v>N/A</v>
      </c>
      <c r="Y1490" s="46"/>
      <c r="Z1490" s="360" t="s">
        <v>2079</v>
      </c>
      <c r="AA1490" s="360" t="s">
        <v>8495</v>
      </c>
      <c r="AB1490" s="360" t="s">
        <v>8496</v>
      </c>
      <c r="AC1490" s="46" t="s">
        <v>8497</v>
      </c>
      <c r="AD1490" s="360" t="s">
        <v>8498</v>
      </c>
      <c r="AE1490" s="357">
        <v>29.0</v>
      </c>
      <c r="AF1490" s="357">
        <v>405.0</v>
      </c>
      <c r="AG1490" s="357">
        <v>0.27</v>
      </c>
      <c r="AH1490" s="360" t="s">
        <v>173</v>
      </c>
      <c r="AI1490" s="360" t="s">
        <v>4282</v>
      </c>
      <c r="AJ1490" s="357">
        <v>0.056</v>
      </c>
      <c r="AK1490" s="360" t="s">
        <v>172</v>
      </c>
      <c r="AL1490" s="360" t="s">
        <v>186</v>
      </c>
      <c r="AM1490" s="360" t="s">
        <v>137</v>
      </c>
      <c r="AN1490" s="360" t="s">
        <v>138</v>
      </c>
      <c r="AO1490" s="357">
        <v>1283.0</v>
      </c>
      <c r="AP1490" s="357">
        <v>-0.07</v>
      </c>
      <c r="AQ1490" s="360" t="s">
        <v>173</v>
      </c>
      <c r="AR1490" s="360" t="s">
        <v>138</v>
      </c>
      <c r="AS1490" s="357">
        <v>0.379</v>
      </c>
      <c r="AT1490" s="360" t="s">
        <v>172</v>
      </c>
      <c r="AU1490" s="360" t="s">
        <v>186</v>
      </c>
      <c r="AV1490" s="360" t="s">
        <v>137</v>
      </c>
      <c r="AW1490" s="59" t="s">
        <v>8499</v>
      </c>
      <c r="AX1490" s="360" t="s">
        <v>143</v>
      </c>
      <c r="AY1490" s="61" t="str">
        <f>IFERROR(__xludf.DUMMYFUNCTION("vlookup(BB1490,importrange(""https://docs.google.com/spreadsheets/d/1d2vevQ_7D_v35q4wCQ4RpQ_IPoTwEMB9Yp6ymwlPqew/edit?gid=984458430#gid=984458430"", ""'replication success'!A:K""), 11, FAlSE)"),"failed")</f>
        <v>failed</v>
      </c>
      <c r="AZ1490" s="61" t="str">
        <f>IFERROR(__xludf.DUMMYFUNCTION("vlookup(BB1490,importrange(""https://docs.google.com/spreadsheets/d/1d2vevQ_7D_v35q4wCQ4RpQ_IPoTwEMB9Yp6ymwlPqew/edit?gid=984458430#gid=984458430"", ""'replication success'!A:M""), 12, FAlSE)"),"In sum, using three times the sample size as the original study, we find no evidence that people’s tendency to retain or acquire identity-relevant magazine subscriptions is affected by having them write about aspects of their lives that make them feel cer"&amp;"tain versus uncertain about themselves.")</f>
        <v>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v>
      </c>
      <c r="BA1490" s="61" t="str">
        <f>IFERROR(__xludf.DUMMYFUNCTION("vlookup(BB1490,importrange(""https://docs.google.com/spreadsheets/d/1d2vevQ_7D_v35q4wCQ4RpQ_IPoTwEMB9Yp6ymwlPqew/edit?gid=984458430#gid=984458430"", ""'replication success'!A:M""), 13, FAlSE)"),"article")</f>
        <v>article</v>
      </c>
      <c r="BB1490" s="61" t="str">
        <f>IFERROR(__xludf.DUMMYFUNCTION("REGEXREPLACE(G1490, ""_[a-z]{1,2}$"", """")"),"datareplicada3")</f>
        <v>datareplicada3</v>
      </c>
      <c r="BC1490" s="46"/>
      <c r="BD1490" s="341" t="s">
        <v>692</v>
      </c>
      <c r="BE1490" s="342"/>
      <c r="BF1490" s="342"/>
      <c r="BG1490" s="342"/>
      <c r="BH1490" s="342"/>
      <c r="BI1490" s="342"/>
      <c r="BJ1490" s="342"/>
      <c r="BK1490" s="342"/>
      <c r="BL1490" s="342"/>
      <c r="BM1490" s="342"/>
      <c r="BN1490" s="342"/>
      <c r="BO1490" s="342"/>
      <c r="BP1490" s="342"/>
      <c r="BQ1490" s="342"/>
      <c r="BR1490" s="342"/>
      <c r="BS1490" s="342"/>
      <c r="BT1490" s="342"/>
      <c r="BU1490" s="342"/>
      <c r="BV1490" s="342"/>
      <c r="BW1490" s="342"/>
      <c r="BX1490" s="342"/>
      <c r="BY1490" s="342"/>
      <c r="BZ1490" s="342"/>
      <c r="CA1490" s="342"/>
      <c r="CB1490" s="342"/>
      <c r="CC1490" s="342"/>
      <c r="CD1490" s="342"/>
      <c r="CE1490" s="342"/>
      <c r="CF1490" s="342"/>
      <c r="CG1490" s="342"/>
      <c r="CH1490" s="342"/>
      <c r="CI1490" s="342"/>
      <c r="CJ1490" s="342"/>
      <c r="CK1490" s="342"/>
      <c r="CL1490" s="342"/>
      <c r="CM1490" s="342"/>
      <c r="CN1490" s="342"/>
      <c r="CO1490" s="342"/>
      <c r="CP1490" s="342"/>
      <c r="CQ1490" s="342"/>
      <c r="CR1490" s="342"/>
      <c r="CS1490" s="342"/>
      <c r="CT1490" s="342"/>
      <c r="CU1490" s="342"/>
      <c r="CV1490" s="342"/>
      <c r="CW1490" s="342"/>
      <c r="CX1490" s="342"/>
      <c r="CY1490" s="342"/>
      <c r="CZ1490" s="342"/>
      <c r="DA1490" s="342"/>
      <c r="DB1490" s="342"/>
      <c r="DC1490" s="342"/>
      <c r="DD1490" s="342"/>
      <c r="DE1490" s="342"/>
      <c r="DF1490" s="342"/>
      <c r="DG1490" s="342"/>
      <c r="DH1490" s="342"/>
      <c r="DI1490" s="342"/>
      <c r="DJ1490" s="342"/>
      <c r="DK1490" s="342"/>
      <c r="DL1490" s="342"/>
    </row>
    <row r="1491">
      <c r="A1491" s="44">
        <v>1491.0</v>
      </c>
      <c r="B1491" s="56" t="s">
        <v>114</v>
      </c>
      <c r="C1491" s="341" t="s">
        <v>115</v>
      </c>
      <c r="D1491" s="341" t="s">
        <v>153</v>
      </c>
      <c r="E1491" s="342"/>
      <c r="F1491" s="56" t="s">
        <v>8487</v>
      </c>
      <c r="G1491" s="56" t="s">
        <v>8500</v>
      </c>
      <c r="H1491" s="343" t="s">
        <v>8501</v>
      </c>
      <c r="I1491" s="345">
        <v>45231.0</v>
      </c>
      <c r="J1491" s="46"/>
      <c r="K1491" s="360"/>
      <c r="L1491" s="56" t="s">
        <v>8502</v>
      </c>
      <c r="M1491" s="56" t="s">
        <v>8489</v>
      </c>
      <c r="N1491" s="56" t="s">
        <v>8490</v>
      </c>
      <c r="O1491" s="55">
        <v>4.0</v>
      </c>
      <c r="P1491" s="1696" t="s">
        <v>8491</v>
      </c>
      <c r="Q1491" s="108" t="str">
        <f t="array" ref="Q1491"> if(iserror(MATCH(V1491, 'File Links'!C:C, 0)), "N/A", HYPERLINK(INDEX('File Links'!B:B, MATCH(P1491, 'File Links'!C:C, 0))))</f>
        <v>N/A</v>
      </c>
      <c r="R1491" s="1697" t="s">
        <v>8503</v>
      </c>
      <c r="S1491" s="56" t="s">
        <v>138</v>
      </c>
      <c r="T1491" s="1698" t="s">
        <v>8493</v>
      </c>
      <c r="U1491" s="385"/>
      <c r="V1491" s="343"/>
      <c r="W1491" s="343" t="s">
        <v>164</v>
      </c>
      <c r="X1491" s="49" t="str">
        <f t="array" ref="X1491"> if(iserror(MATCH(V1491, 'File Links'!C:C, 0)), "N/A", HYPERLINK(INDEX('File Links'!B:B, MATCH(V1491, 'File Links'!C:C, 0))))</f>
        <v>N/A</v>
      </c>
      <c r="Y1491" s="46"/>
      <c r="Z1491" s="343" t="s">
        <v>2079</v>
      </c>
      <c r="AA1491" s="56" t="s">
        <v>8504</v>
      </c>
      <c r="AB1491" s="343" t="s">
        <v>8505</v>
      </c>
      <c r="AC1491" s="343" t="s">
        <v>8506</v>
      </c>
      <c r="AD1491" s="343" t="s">
        <v>8507</v>
      </c>
      <c r="AE1491" s="343">
        <v>29.0</v>
      </c>
      <c r="AF1491" s="347">
        <v>405.0</v>
      </c>
      <c r="AG1491" s="347">
        <v>0.4</v>
      </c>
      <c r="AH1491" s="343" t="s">
        <v>173</v>
      </c>
      <c r="AI1491" s="343" t="s">
        <v>4274</v>
      </c>
      <c r="AJ1491" s="347">
        <v>0.007</v>
      </c>
      <c r="AK1491" s="343" t="s">
        <v>172</v>
      </c>
      <c r="AL1491" s="343" t="s">
        <v>136</v>
      </c>
      <c r="AM1491" s="56" t="s">
        <v>137</v>
      </c>
      <c r="AN1491" s="46"/>
      <c r="AO1491" s="347">
        <v>1283.0</v>
      </c>
      <c r="AP1491" s="347">
        <v>0.05</v>
      </c>
      <c r="AQ1491" s="343" t="s">
        <v>173</v>
      </c>
      <c r="AR1491" s="360"/>
      <c r="AS1491" s="347">
        <v>0.496</v>
      </c>
      <c r="AT1491" s="343" t="s">
        <v>172</v>
      </c>
      <c r="AU1491" s="343" t="s">
        <v>136</v>
      </c>
      <c r="AV1491" s="56" t="s">
        <v>137</v>
      </c>
      <c r="AW1491" s="1699" t="s">
        <v>8499</v>
      </c>
      <c r="AX1491" s="56" t="s">
        <v>143</v>
      </c>
      <c r="AY1491" s="61" t="str">
        <f>IFERROR(__xludf.DUMMYFUNCTION("vlookup(BB1491,importrange(""https://docs.google.com/spreadsheets/d/1d2vevQ_7D_v35q4wCQ4RpQ_IPoTwEMB9Yp6ymwlPqew/edit?gid=984458430#gid=984458430"", ""'replication success'!A:K""), 11, FAlSE)"),"#N/A")</f>
        <v>#N/A</v>
      </c>
      <c r="AZ1491" s="61" t="str">
        <f>IFERROR(__xludf.DUMMYFUNCTION("vlookup(BB1491,importrange(""https://docs.google.com/spreadsheets/d/1d2vevQ_7D_v35q4wCQ4RpQ_IPoTwEMB9Yp6ymwlPqew/edit?gid=984458430#gid=984458430"", ""'replication success'!A:M""), 12, FAlSE)"),"#N/A")</f>
        <v>#N/A</v>
      </c>
      <c r="BA1491" s="61" t="str">
        <f>IFERROR(__xludf.DUMMYFUNCTION("vlookup(BB1491,importrange(""https://docs.google.com/spreadsheets/d/1d2vevQ_7D_v35q4wCQ4RpQ_IPoTwEMB9Yp6ymwlPqew/edit?gid=984458430#gid=984458430"", ""'replication success'!A:M""), 13, FAlSE)"),"#N/A")</f>
        <v>#N/A</v>
      </c>
      <c r="BB1491" s="61" t="str">
        <f>IFERROR(__xludf.DUMMYFUNCTION("REGEXREPLACE(G1491, ""_[a-z]{1,2}$"", """")"),"datareplicada3_1_2_1")</f>
        <v>datareplicada3_1_2_1</v>
      </c>
      <c r="BC1491" s="342"/>
      <c r="BD1491" s="341" t="s">
        <v>692</v>
      </c>
      <c r="BE1491" s="342"/>
      <c r="BF1491" s="342"/>
      <c r="BG1491" s="342"/>
      <c r="BH1491" s="342"/>
      <c r="BI1491" s="342"/>
      <c r="BJ1491" s="342"/>
      <c r="BK1491" s="342"/>
      <c r="BL1491" s="342"/>
      <c r="BM1491" s="342"/>
      <c r="BN1491" s="342"/>
      <c r="BO1491" s="342"/>
      <c r="BP1491" s="342"/>
      <c r="BQ1491" s="342"/>
      <c r="BR1491" s="342"/>
      <c r="BS1491" s="342"/>
      <c r="BT1491" s="342"/>
      <c r="BU1491" s="342"/>
      <c r="BV1491" s="342"/>
      <c r="BW1491" s="342"/>
      <c r="BX1491" s="342"/>
      <c r="BY1491" s="342"/>
      <c r="BZ1491" s="342"/>
      <c r="CA1491" s="342"/>
      <c r="CB1491" s="342"/>
      <c r="CC1491" s="342"/>
      <c r="CD1491" s="342"/>
      <c r="CE1491" s="342"/>
      <c r="CF1491" s="342"/>
      <c r="CG1491" s="342"/>
      <c r="CH1491" s="342"/>
      <c r="CI1491" s="342"/>
      <c r="CJ1491" s="342"/>
      <c r="CK1491" s="342"/>
      <c r="CL1491" s="342"/>
      <c r="CM1491" s="342"/>
      <c r="CN1491" s="342"/>
      <c r="CO1491" s="342"/>
      <c r="CP1491" s="342"/>
      <c r="CQ1491" s="342"/>
      <c r="CR1491" s="342"/>
      <c r="CS1491" s="342"/>
      <c r="CT1491" s="342"/>
      <c r="CU1491" s="342"/>
      <c r="CV1491" s="342"/>
      <c r="CW1491" s="342"/>
      <c r="CX1491" s="342"/>
      <c r="CY1491" s="342"/>
      <c r="CZ1491" s="342"/>
      <c r="DA1491" s="342"/>
      <c r="DB1491" s="342"/>
      <c r="DC1491" s="342"/>
      <c r="DD1491" s="342"/>
      <c r="DE1491" s="342"/>
      <c r="DF1491" s="342"/>
      <c r="DG1491" s="342"/>
      <c r="DH1491" s="342"/>
      <c r="DI1491" s="342"/>
      <c r="DJ1491" s="342"/>
      <c r="DK1491" s="342"/>
      <c r="DL1491" s="342"/>
    </row>
    <row r="1492">
      <c r="A1492" s="44">
        <v>1492.0</v>
      </c>
      <c r="B1492" s="56" t="s">
        <v>114</v>
      </c>
      <c r="C1492" s="341" t="s">
        <v>115</v>
      </c>
      <c r="D1492" s="341" t="s">
        <v>1441</v>
      </c>
      <c r="E1492" s="342"/>
      <c r="F1492" s="46" t="s">
        <v>8508</v>
      </c>
      <c r="G1492" s="360" t="s">
        <v>8509</v>
      </c>
      <c r="H1492" s="360" t="s">
        <v>8428</v>
      </c>
      <c r="I1492" s="344">
        <v>45231.0</v>
      </c>
      <c r="J1492" s="344">
        <v>45712.0</v>
      </c>
      <c r="K1492" s="46"/>
      <c r="L1492" s="46"/>
      <c r="M1492" s="360" t="s">
        <v>8489</v>
      </c>
      <c r="N1492" s="360" t="s">
        <v>8490</v>
      </c>
      <c r="O1492" s="357">
        <v>4.0</v>
      </c>
      <c r="P1492" s="517" t="s">
        <v>8491</v>
      </c>
      <c r="Q1492" s="108" t="str">
        <f t="array" ref="Q1492"> if(iserror(MATCH(V1492, 'File Links'!C:C, 0)), "N/A", HYPERLINK(INDEX('File Links'!B:B, MATCH(P1492, 'File Links'!C:C, 0))))</f>
        <v>N/A</v>
      </c>
      <c r="R1492" s="360" t="s">
        <v>8492</v>
      </c>
      <c r="S1492" s="360" t="s">
        <v>138</v>
      </c>
      <c r="T1492" s="509" t="s">
        <v>8493</v>
      </c>
      <c r="U1492" s="360" t="s">
        <v>8510</v>
      </c>
      <c r="V1492" s="360" t="s">
        <v>8467</v>
      </c>
      <c r="W1492" s="46" t="s">
        <v>8477</v>
      </c>
      <c r="X1492" s="49" t="str">
        <f t="array" ref="X1492"> if(iserror(MATCH(V1492, 'File Links'!C:C, 0)), "N/A", HYPERLINK(INDEX('File Links'!B:B, MATCH(V1492, 'File Links'!C:C, 0))))</f>
        <v>N/A</v>
      </c>
      <c r="Y1492" s="46"/>
      <c r="Z1492" s="360" t="s">
        <v>2079</v>
      </c>
      <c r="AA1492" s="360" t="s">
        <v>8495</v>
      </c>
      <c r="AB1492" s="360" t="s">
        <v>8496</v>
      </c>
      <c r="AC1492" s="46" t="s">
        <v>8511</v>
      </c>
      <c r="AD1492" s="360" t="s">
        <v>8512</v>
      </c>
      <c r="AE1492" s="357">
        <v>29.0</v>
      </c>
      <c r="AF1492" s="357">
        <v>405.0</v>
      </c>
      <c r="AG1492" s="357">
        <v>0.4</v>
      </c>
      <c r="AH1492" s="360" t="s">
        <v>173</v>
      </c>
      <c r="AI1492" s="360" t="s">
        <v>4282</v>
      </c>
      <c r="AJ1492" s="357">
        <v>0.007</v>
      </c>
      <c r="AK1492" s="360" t="s">
        <v>172</v>
      </c>
      <c r="AL1492" s="360" t="s">
        <v>186</v>
      </c>
      <c r="AM1492" s="360" t="s">
        <v>137</v>
      </c>
      <c r="AN1492" s="360" t="s">
        <v>138</v>
      </c>
      <c r="AO1492" s="357">
        <v>1283.0</v>
      </c>
      <c r="AP1492" s="357">
        <v>0.05</v>
      </c>
      <c r="AQ1492" s="360" t="s">
        <v>173</v>
      </c>
      <c r="AR1492" s="360" t="s">
        <v>138</v>
      </c>
      <c r="AS1492" s="357">
        <v>0.496</v>
      </c>
      <c r="AT1492" s="360" t="s">
        <v>172</v>
      </c>
      <c r="AU1492" s="360" t="s">
        <v>186</v>
      </c>
      <c r="AV1492" s="360" t="s">
        <v>137</v>
      </c>
      <c r="AW1492" s="59" t="s">
        <v>8499</v>
      </c>
      <c r="AX1492" s="360" t="s">
        <v>143</v>
      </c>
      <c r="AY1492" s="61" t="str">
        <f>IFERROR(__xludf.DUMMYFUNCTION("vlookup(BB1492,importrange(""https://docs.google.com/spreadsheets/d/1d2vevQ_7D_v35q4wCQ4RpQ_IPoTwEMB9Yp6ymwlPqew/edit?gid=984458430#gid=984458430"", ""'replication success'!A:K""), 11, FAlSE)"),"failed")</f>
        <v>failed</v>
      </c>
      <c r="AZ1492" s="61" t="str">
        <f>IFERROR(__xludf.DUMMYFUNCTION("vlookup(BB1492,importrange(""https://docs.google.com/spreadsheets/d/1d2vevQ_7D_v35q4wCQ4RpQ_IPoTwEMB9Yp6ymwlPqew/edit?gid=984458430#gid=984458430"", ""'replication success'!A:M""), 12, FAlSE)"),"In sum, using three times the sample size as the original study, we find no evidence that people’s tendency to retain or acquire identity-relevant magazine subscriptions is affected by having them write about aspects of their lives that make them feel cer"&amp;"tain versus uncertain about themselves.")</f>
        <v>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v>
      </c>
      <c r="BA1492" s="61" t="str">
        <f>IFERROR(__xludf.DUMMYFUNCTION("vlookup(BB1492,importrange(""https://docs.google.com/spreadsheets/d/1d2vevQ_7D_v35q4wCQ4RpQ_IPoTwEMB9Yp6ymwlPqew/edit?gid=984458430#gid=984458430"", ""'replication success'!A:M""), 13, FAlSE)"),"article")</f>
        <v>article</v>
      </c>
      <c r="BB1492" s="61" t="str">
        <f>IFERROR(__xludf.DUMMYFUNCTION("REGEXREPLACE(G1492, ""_[a-z]{1,2}$"", """")"),"datareplicada3")</f>
        <v>datareplicada3</v>
      </c>
      <c r="BC1492" s="46"/>
      <c r="BD1492" s="341" t="s">
        <v>692</v>
      </c>
      <c r="BE1492" s="342"/>
      <c r="BF1492" s="342"/>
      <c r="BG1492" s="342"/>
      <c r="BH1492" s="342"/>
      <c r="BI1492" s="342"/>
      <c r="BJ1492" s="342"/>
      <c r="BK1492" s="342"/>
      <c r="BL1492" s="342"/>
      <c r="BM1492" s="342"/>
      <c r="BN1492" s="342"/>
      <c r="BO1492" s="342"/>
      <c r="BP1492" s="342"/>
      <c r="BQ1492" s="342"/>
      <c r="BR1492" s="342"/>
      <c r="BS1492" s="342"/>
      <c r="BT1492" s="342"/>
      <c r="BU1492" s="342"/>
      <c r="BV1492" s="342"/>
      <c r="BW1492" s="342"/>
      <c r="BX1492" s="342"/>
      <c r="BY1492" s="342"/>
      <c r="BZ1492" s="342"/>
      <c r="CA1492" s="342"/>
      <c r="CB1492" s="342"/>
      <c r="CC1492" s="342"/>
      <c r="CD1492" s="342"/>
      <c r="CE1492" s="342"/>
      <c r="CF1492" s="342"/>
      <c r="CG1492" s="342"/>
      <c r="CH1492" s="342"/>
      <c r="CI1492" s="342"/>
      <c r="CJ1492" s="342"/>
      <c r="CK1492" s="342"/>
      <c r="CL1492" s="342"/>
      <c r="CM1492" s="342"/>
      <c r="CN1492" s="342"/>
      <c r="CO1492" s="342"/>
      <c r="CP1492" s="342"/>
      <c r="CQ1492" s="342"/>
      <c r="CR1492" s="342"/>
      <c r="CS1492" s="342"/>
      <c r="CT1492" s="342"/>
      <c r="CU1492" s="342"/>
      <c r="CV1492" s="342"/>
      <c r="CW1492" s="342"/>
      <c r="CX1492" s="342"/>
      <c r="CY1492" s="342"/>
      <c r="CZ1492" s="342"/>
      <c r="DA1492" s="342"/>
      <c r="DB1492" s="342"/>
      <c r="DC1492" s="342"/>
      <c r="DD1492" s="342"/>
      <c r="DE1492" s="342"/>
      <c r="DF1492" s="342"/>
      <c r="DG1492" s="342"/>
      <c r="DH1492" s="342"/>
      <c r="DI1492" s="342"/>
      <c r="DJ1492" s="342"/>
      <c r="DK1492" s="342"/>
      <c r="DL1492" s="342"/>
    </row>
    <row r="1493">
      <c r="A1493" s="44">
        <v>1493.0</v>
      </c>
      <c r="B1493" s="219" t="s">
        <v>590</v>
      </c>
      <c r="C1493" s="124" t="s">
        <v>115</v>
      </c>
      <c r="D1493" s="124" t="s">
        <v>176</v>
      </c>
      <c r="E1493" s="107"/>
      <c r="F1493" s="125" t="s">
        <v>8513</v>
      </c>
      <c r="G1493" s="140" t="s">
        <v>8514</v>
      </c>
      <c r="H1493" s="140" t="s">
        <v>7252</v>
      </c>
      <c r="I1493" s="1561" t="s">
        <v>8412</v>
      </c>
      <c r="J1493" s="125"/>
      <c r="K1493" s="125" t="s">
        <v>8515</v>
      </c>
      <c r="L1493" s="140" t="s">
        <v>8516</v>
      </c>
      <c r="M1493" s="140" t="s">
        <v>8517</v>
      </c>
      <c r="N1493" s="140" t="s">
        <v>8518</v>
      </c>
      <c r="O1493" s="1703">
        <v>3.0</v>
      </c>
      <c r="P1493" s="1364" t="s">
        <v>8519</v>
      </c>
      <c r="Q1493" s="108" t="str">
        <f t="array" ref="Q1493"> if(iserror(MATCH(V1493, 'File Links'!C:C, 0)), "N/A", HYPERLINK(INDEX('File Links'!B:B, MATCH(P1493, 'File Links'!C:C, 0))))</f>
        <v>N/A</v>
      </c>
      <c r="R1493" s="140" t="s">
        <v>8520</v>
      </c>
      <c r="S1493" s="125"/>
      <c r="T1493" s="1704" t="s">
        <v>8521</v>
      </c>
      <c r="U1493" s="140" t="s">
        <v>8522</v>
      </c>
      <c r="V1493" s="140" t="s">
        <v>8467</v>
      </c>
      <c r="W1493" s="125" t="s">
        <v>164</v>
      </c>
      <c r="X1493" s="49" t="str">
        <f t="array" ref="X1493"> if(iserror(MATCH(V1493, 'File Links'!C:C, 0)), "N/A", HYPERLINK(INDEX('File Links'!B:B, MATCH(V1493, 'File Links'!C:C, 0))))</f>
        <v>N/A</v>
      </c>
      <c r="Y1493" s="125"/>
      <c r="Z1493" s="140" t="s">
        <v>226</v>
      </c>
      <c r="AA1493" s="125" t="s">
        <v>8523</v>
      </c>
      <c r="AB1493" s="140" t="s">
        <v>8524</v>
      </c>
      <c r="AC1493" s="140" t="s">
        <v>8525</v>
      </c>
      <c r="AD1493" s="125" t="s">
        <v>8526</v>
      </c>
      <c r="AE1493" s="125" t="s">
        <v>8527</v>
      </c>
      <c r="AF1493" s="782">
        <v>197.0</v>
      </c>
      <c r="AG1493" s="782">
        <v>0.7</v>
      </c>
      <c r="AH1493" s="140" t="s">
        <v>173</v>
      </c>
      <c r="AI1493" s="125" t="s">
        <v>8527</v>
      </c>
      <c r="AJ1493" s="1703">
        <v>0.001</v>
      </c>
      <c r="AK1493" s="125" t="s">
        <v>135</v>
      </c>
      <c r="AL1493" s="125" t="s">
        <v>186</v>
      </c>
      <c r="AM1493" s="125" t="s">
        <v>137</v>
      </c>
      <c r="AN1493" s="125"/>
      <c r="AO1493" s="782">
        <v>1489.0</v>
      </c>
      <c r="AP1493" s="219" t="s">
        <v>8528</v>
      </c>
      <c r="AQ1493" s="125" t="s">
        <v>134</v>
      </c>
      <c r="AR1493" s="125" t="s">
        <v>138</v>
      </c>
      <c r="AS1493" s="1703">
        <v>0.443</v>
      </c>
      <c r="AT1493" s="125" t="s">
        <v>172</v>
      </c>
      <c r="AU1493" s="125" t="s">
        <v>186</v>
      </c>
      <c r="AV1493" s="125" t="s">
        <v>137</v>
      </c>
      <c r="AW1493" s="669" t="s">
        <v>8529</v>
      </c>
      <c r="AX1493" s="125" t="s">
        <v>143</v>
      </c>
      <c r="AY1493" s="61" t="str">
        <f>IFERROR(__xludf.DUMMYFUNCTION("vlookup(BB1493,importrange(""https://docs.google.com/spreadsheets/d/1d2vevQ_7D_v35q4wCQ4RpQ_IPoTwEMB9Yp6ymwlPqew/edit?gid=984458430#gid=984458430"", ""'replication success'!A:K""), 11, FAlSE)"),"#N/A")</f>
        <v>#N/A</v>
      </c>
      <c r="AZ1493" s="61" t="str">
        <f>IFERROR(__xludf.DUMMYFUNCTION("vlookup(BB1493,importrange(""https://docs.google.com/spreadsheets/d/1d2vevQ_7D_v35q4wCQ4RpQ_IPoTwEMB9Yp6ymwlPqew/edit?gid=984458430#gid=984458430"", ""'replication success'!A:M""), 12, FAlSE)"),"#N/A")</f>
        <v>#N/A</v>
      </c>
      <c r="BA1493" s="61" t="str">
        <f>IFERROR(__xludf.DUMMYFUNCTION("vlookup(BB1493,importrange(""https://docs.google.com/spreadsheets/d/1d2vevQ_7D_v35q4wCQ4RpQ_IPoTwEMB9Yp6ymwlPqew/edit?gid=984458430#gid=984458430"", ""'replication success'!A:M""), 13, FAlSE)"),"#N/A")</f>
        <v>#N/A</v>
      </c>
      <c r="BB1493" s="61" t="str">
        <f>IFERROR(__xludf.DUMMYFUNCTION("REGEXREPLACE(G1493, ""_[a-z]{1,2}$"", """")"),"datareplicada4")</f>
        <v>datareplicada4</v>
      </c>
      <c r="BC1493" s="125"/>
      <c r="BD1493" s="341" t="s">
        <v>692</v>
      </c>
      <c r="BE1493" s="107"/>
      <c r="BF1493" s="107"/>
      <c r="BG1493" s="107"/>
      <c r="BH1493" s="107"/>
      <c r="BI1493" s="107"/>
      <c r="BJ1493" s="107"/>
      <c r="BK1493" s="107"/>
      <c r="BL1493" s="107"/>
      <c r="BM1493" s="107"/>
      <c r="BN1493" s="107"/>
      <c r="BO1493" s="107"/>
      <c r="BP1493" s="107"/>
      <c r="BQ1493" s="107"/>
      <c r="BR1493" s="107"/>
      <c r="BS1493" s="107"/>
      <c r="BT1493" s="107"/>
      <c r="BU1493" s="107"/>
      <c r="BV1493" s="107"/>
      <c r="BW1493" s="107"/>
      <c r="BX1493" s="107"/>
      <c r="BY1493" s="107"/>
      <c r="BZ1493" s="107"/>
      <c r="CA1493" s="107"/>
      <c r="CB1493" s="107"/>
      <c r="CC1493" s="107"/>
      <c r="CD1493" s="107"/>
      <c r="CE1493" s="107"/>
      <c r="CF1493" s="107"/>
      <c r="CG1493" s="107"/>
      <c r="CH1493" s="107"/>
      <c r="CI1493" s="107"/>
      <c r="CJ1493" s="107"/>
      <c r="CK1493" s="107"/>
      <c r="CL1493" s="107"/>
      <c r="CM1493" s="107"/>
      <c r="CN1493" s="107"/>
      <c r="CO1493" s="107"/>
      <c r="CP1493" s="107"/>
      <c r="CQ1493" s="107"/>
      <c r="CR1493" s="107"/>
      <c r="CS1493" s="107"/>
      <c r="CT1493" s="107"/>
      <c r="CU1493" s="107"/>
      <c r="CV1493" s="107"/>
      <c r="CW1493" s="107"/>
      <c r="CX1493" s="107"/>
      <c r="CY1493" s="107"/>
      <c r="CZ1493" s="107"/>
      <c r="DA1493" s="107"/>
      <c r="DB1493" s="107"/>
      <c r="DC1493" s="107"/>
      <c r="DD1493" s="107"/>
      <c r="DE1493" s="107"/>
      <c r="DF1493" s="107"/>
      <c r="DG1493" s="107"/>
      <c r="DH1493" s="107"/>
      <c r="DI1493" s="107"/>
      <c r="DJ1493" s="107"/>
      <c r="DK1493" s="107"/>
      <c r="DL1493" s="107"/>
    </row>
    <row r="1494">
      <c r="A1494" s="44">
        <v>1494.0</v>
      </c>
      <c r="B1494" s="219" t="s">
        <v>590</v>
      </c>
      <c r="C1494" s="124" t="s">
        <v>115</v>
      </c>
      <c r="D1494" s="124" t="s">
        <v>1441</v>
      </c>
      <c r="E1494" s="107"/>
      <c r="F1494" s="219" t="s">
        <v>8513</v>
      </c>
      <c r="G1494" s="219" t="s">
        <v>8514</v>
      </c>
      <c r="H1494" s="119" t="s">
        <v>8428</v>
      </c>
      <c r="I1494" s="221">
        <v>45231.0</v>
      </c>
      <c r="J1494" s="128">
        <v>45741.0</v>
      </c>
      <c r="K1494" s="119" t="s">
        <v>8530</v>
      </c>
      <c r="L1494" s="219" t="s">
        <v>8516</v>
      </c>
      <c r="M1494" s="219" t="s">
        <v>8517</v>
      </c>
      <c r="N1494" s="219" t="s">
        <v>8518</v>
      </c>
      <c r="O1494" s="1705">
        <v>3.0</v>
      </c>
      <c r="P1494" s="1706" t="s">
        <v>8519</v>
      </c>
      <c r="Q1494" s="108" t="str">
        <f t="array" ref="Q1494"> if(iserror(MATCH(V1494, 'File Links'!C:C, 0)), "N/A", HYPERLINK(INDEX('File Links'!B:B, MATCH(P1494, 'File Links'!C:C, 0))))</f>
        <v>N/A</v>
      </c>
      <c r="R1494" s="1707" t="s">
        <v>8520</v>
      </c>
      <c r="S1494" s="125"/>
      <c r="T1494" s="1708" t="s">
        <v>8521</v>
      </c>
      <c r="U1494" s="1703"/>
      <c r="V1494" s="119" t="s">
        <v>8467</v>
      </c>
      <c r="W1494" s="119" t="s">
        <v>164</v>
      </c>
      <c r="X1494" s="49" t="str">
        <f t="array" ref="X1494"> if(iserror(MATCH(V1494, 'File Links'!C:C, 0)), "N/A", HYPERLINK(INDEX('File Links'!B:B, MATCH(V1494, 'File Links'!C:C, 0))))</f>
        <v>N/A</v>
      </c>
      <c r="Y1494" s="219" t="s">
        <v>8531</v>
      </c>
      <c r="Z1494" s="119" t="s">
        <v>2079</v>
      </c>
      <c r="AA1494" s="219" t="s">
        <v>8532</v>
      </c>
      <c r="AB1494" s="119" t="s">
        <v>8533</v>
      </c>
      <c r="AC1494" s="119" t="s">
        <v>8534</v>
      </c>
      <c r="AD1494" s="119" t="s">
        <v>8535</v>
      </c>
      <c r="AE1494" s="119" t="s">
        <v>622</v>
      </c>
      <c r="AF1494" s="225">
        <v>197.0</v>
      </c>
      <c r="AG1494" s="225">
        <v>0.47</v>
      </c>
      <c r="AH1494" s="119" t="s">
        <v>173</v>
      </c>
      <c r="AI1494" s="119" t="s">
        <v>8536</v>
      </c>
      <c r="AJ1494" s="225">
        <v>0.01</v>
      </c>
      <c r="AK1494" s="119" t="s">
        <v>135</v>
      </c>
      <c r="AL1494" s="119" t="s">
        <v>186</v>
      </c>
      <c r="AM1494" s="219" t="s">
        <v>137</v>
      </c>
      <c r="AN1494" s="219" t="s">
        <v>138</v>
      </c>
      <c r="AO1494" s="225">
        <v>3007.0</v>
      </c>
      <c r="AP1494" s="225" t="s">
        <v>8537</v>
      </c>
      <c r="AQ1494" s="119" t="s">
        <v>134</v>
      </c>
      <c r="AR1494" s="119" t="s">
        <v>8538</v>
      </c>
      <c r="AS1494" s="225">
        <v>1.0E-4</v>
      </c>
      <c r="AT1494" s="119" t="s">
        <v>135</v>
      </c>
      <c r="AU1494" s="119" t="s">
        <v>186</v>
      </c>
      <c r="AV1494" s="219" t="s">
        <v>137</v>
      </c>
      <c r="AW1494" s="1709" t="s">
        <v>8539</v>
      </c>
      <c r="AX1494" s="219" t="s">
        <v>143</v>
      </c>
      <c r="AY1494" s="61" t="str">
        <f>IFERROR(__xludf.DUMMYFUNCTION("vlookup(BB1494,importrange(""https://docs.google.com/spreadsheets/d/1d2vevQ_7D_v35q4wCQ4RpQ_IPoTwEMB9Yp6ymwlPqew/edit?gid=984458430#gid=984458430"", ""'replication success'!A:K""), 11, FAlSE)"),"#N/A")</f>
        <v>#N/A</v>
      </c>
      <c r="AZ1494" s="61" t="str">
        <f>IFERROR(__xludf.DUMMYFUNCTION("vlookup(BB1494,importrange(""https://docs.google.com/spreadsheets/d/1d2vevQ_7D_v35q4wCQ4RpQ_IPoTwEMB9Yp6ymwlPqew/edit?gid=984458430#gid=984458430"", ""'replication success'!A:M""), 12, FAlSE)"),"#N/A")</f>
        <v>#N/A</v>
      </c>
      <c r="BA1494" s="61" t="str">
        <f>IFERROR(__xludf.DUMMYFUNCTION("vlookup(BB1494,importrange(""https://docs.google.com/spreadsheets/d/1d2vevQ_7D_v35q4wCQ4RpQ_IPoTwEMB9Yp6ymwlPqew/edit?gid=984458430#gid=984458430"", ""'replication success'!A:M""), 13, FAlSE)"),"#N/A")</f>
        <v>#N/A</v>
      </c>
      <c r="BB1494" s="61" t="str">
        <f>IFERROR(__xludf.DUMMYFUNCTION("REGEXREPLACE(G1494, ""_[a-z]{1,2}$"", """")"),"datareplicada4")</f>
        <v>datareplicada4</v>
      </c>
      <c r="BC1494" s="107"/>
      <c r="BD1494" s="341" t="s">
        <v>692</v>
      </c>
      <c r="BE1494" s="107"/>
      <c r="BF1494" s="107"/>
      <c r="BG1494" s="107"/>
      <c r="BH1494" s="107"/>
      <c r="BI1494" s="107"/>
      <c r="BJ1494" s="107"/>
      <c r="BK1494" s="107"/>
      <c r="BL1494" s="107"/>
      <c r="BM1494" s="107"/>
      <c r="BN1494" s="107"/>
      <c r="BO1494" s="107"/>
      <c r="BP1494" s="107"/>
      <c r="BQ1494" s="107"/>
      <c r="BR1494" s="107"/>
      <c r="BS1494" s="107"/>
      <c r="BT1494" s="107"/>
      <c r="BU1494" s="107"/>
      <c r="BV1494" s="107"/>
      <c r="BW1494" s="107"/>
      <c r="BX1494" s="107"/>
      <c r="BY1494" s="107"/>
      <c r="BZ1494" s="107"/>
      <c r="CA1494" s="107"/>
      <c r="CB1494" s="107"/>
      <c r="CC1494" s="107"/>
      <c r="CD1494" s="107"/>
      <c r="CE1494" s="107"/>
      <c r="CF1494" s="107"/>
      <c r="CG1494" s="107"/>
      <c r="CH1494" s="107"/>
      <c r="CI1494" s="107"/>
      <c r="CJ1494" s="107"/>
      <c r="CK1494" s="107"/>
      <c r="CL1494" s="107"/>
      <c r="CM1494" s="107"/>
      <c r="CN1494" s="107"/>
      <c r="CO1494" s="107"/>
      <c r="CP1494" s="107"/>
      <c r="CQ1494" s="107"/>
      <c r="CR1494" s="107"/>
      <c r="CS1494" s="107"/>
      <c r="CT1494" s="107"/>
      <c r="CU1494" s="107"/>
      <c r="CV1494" s="107"/>
      <c r="CW1494" s="107"/>
      <c r="CX1494" s="107"/>
      <c r="CY1494" s="107"/>
      <c r="CZ1494" s="107"/>
      <c r="DA1494" s="107"/>
      <c r="DB1494" s="107"/>
      <c r="DC1494" s="107"/>
      <c r="DD1494" s="107"/>
      <c r="DE1494" s="107"/>
      <c r="DF1494" s="107"/>
      <c r="DG1494" s="107"/>
      <c r="DH1494" s="107"/>
      <c r="DI1494" s="107"/>
      <c r="DJ1494" s="107"/>
      <c r="DK1494" s="107"/>
      <c r="DL1494" s="107"/>
    </row>
    <row r="1495">
      <c r="A1495" s="44">
        <v>1495.0</v>
      </c>
      <c r="B1495" s="56" t="s">
        <v>152</v>
      </c>
      <c r="C1495" s="341" t="s">
        <v>115</v>
      </c>
      <c r="D1495" s="341" t="s">
        <v>1441</v>
      </c>
      <c r="E1495" s="342"/>
      <c r="F1495" s="46" t="s">
        <v>8540</v>
      </c>
      <c r="G1495" s="360" t="s">
        <v>8541</v>
      </c>
      <c r="H1495" s="360" t="s">
        <v>8428</v>
      </c>
      <c r="I1495" s="1692" t="s">
        <v>8542</v>
      </c>
      <c r="J1495" s="344">
        <v>45712.0</v>
      </c>
      <c r="K1495" s="46"/>
      <c r="L1495" s="56" t="s">
        <v>8543</v>
      </c>
      <c r="M1495" s="360" t="s">
        <v>8544</v>
      </c>
      <c r="N1495" s="360" t="s">
        <v>8545</v>
      </c>
      <c r="O1495" s="357">
        <v>1.0</v>
      </c>
      <c r="P1495" s="517" t="s">
        <v>8546</v>
      </c>
      <c r="Q1495" s="108" t="str">
        <f t="array" ref="Q1495"> if(iserror(MATCH(V1495, 'File Links'!C:C, 0)), "N/A", HYPERLINK(INDEX('File Links'!B:B, MATCH(P1495, 'File Links'!C:C, 0))))</f>
        <v>N/A</v>
      </c>
      <c r="R1495" s="360" t="s">
        <v>8547</v>
      </c>
      <c r="S1495" s="360" t="s">
        <v>138</v>
      </c>
      <c r="T1495" s="509" t="s">
        <v>8548</v>
      </c>
      <c r="U1495" s="360" t="s">
        <v>8549</v>
      </c>
      <c r="V1495" s="360" t="s">
        <v>8467</v>
      </c>
      <c r="W1495" s="360" t="s">
        <v>1594</v>
      </c>
      <c r="X1495" s="49" t="str">
        <f t="array" ref="X1495"> if(iserror(MATCH(V1495, 'File Links'!C:C, 0)), "N/A", HYPERLINK(INDEX('File Links'!B:B, MATCH(V1495, 'File Links'!C:C, 0))))</f>
        <v>N/A</v>
      </c>
      <c r="Y1495" s="46"/>
      <c r="Z1495" s="360" t="s">
        <v>2079</v>
      </c>
      <c r="AA1495" s="360" t="s">
        <v>8550</v>
      </c>
      <c r="AB1495" s="360" t="s">
        <v>8551</v>
      </c>
      <c r="AC1495" s="46" t="s">
        <v>8552</v>
      </c>
      <c r="AD1495" s="46" t="s">
        <v>8553</v>
      </c>
      <c r="AE1495" s="1710">
        <v>15.0</v>
      </c>
      <c r="AF1495" s="357">
        <v>87.0</v>
      </c>
      <c r="AG1495" s="357">
        <v>0.045</v>
      </c>
      <c r="AH1495" s="360" t="s">
        <v>139</v>
      </c>
      <c r="AI1495" s="360" t="s">
        <v>627</v>
      </c>
      <c r="AJ1495" s="357">
        <v>0.048</v>
      </c>
      <c r="AK1495" s="360" t="s">
        <v>172</v>
      </c>
      <c r="AL1495" s="360" t="s">
        <v>186</v>
      </c>
      <c r="AM1495" s="360" t="s">
        <v>137</v>
      </c>
      <c r="AN1495" s="360" t="s">
        <v>138</v>
      </c>
      <c r="AO1495" s="357">
        <v>636.0</v>
      </c>
      <c r="AP1495" s="357">
        <v>0.05</v>
      </c>
      <c r="AQ1495" s="360" t="s">
        <v>173</v>
      </c>
      <c r="AR1495" s="360" t="s">
        <v>138</v>
      </c>
      <c r="AS1495" s="357">
        <v>0.513</v>
      </c>
      <c r="AT1495" s="360" t="s">
        <v>172</v>
      </c>
      <c r="AU1495" s="360" t="s">
        <v>186</v>
      </c>
      <c r="AV1495" s="360" t="s">
        <v>137</v>
      </c>
      <c r="AW1495" s="59" t="s">
        <v>8554</v>
      </c>
      <c r="AX1495" s="360" t="s">
        <v>143</v>
      </c>
      <c r="AY1495" s="61" t="str">
        <f>IFERROR(__xludf.DUMMYFUNCTION("vlookup(BB1495,importrange(""https://docs.google.com/spreadsheets/d/1d2vevQ_7D_v35q4wCQ4RpQ_IPoTwEMB9Yp6ymwlPqew/edit?gid=984458430#gid=984458430"", ""'replication success'!A:K""), 11, FAlSE)"),"failed")</f>
        <v>failed</v>
      </c>
      <c r="AZ1495" s="61" t="str">
        <f>IFERROR(__xludf.DUMMYFUNCTION("vlookup(BB1495,importrange(""https://docs.google.com/spreadsheets/d/1d2vevQ_7D_v35q4wCQ4RpQ_IPoTwEMB9Yp6ymwlPqew/edit?gid=984458430#gid=984458430"", ""'replication success'!A:M""), 12, FAlSE)"),"As you can see, the original finding did not replicate. Participants did not judge Dettol to be significantly more effective after seeing an add that displayed five (vs. one) bottles of it.")</f>
        <v>As you can see, the original finding did not replicate. Participants did not judge Dettol to be significantly more effective after seeing an add that displayed five (vs. one) bottles of it.</v>
      </c>
      <c r="BA1495" s="61" t="str">
        <f>IFERROR(__xludf.DUMMYFUNCTION("vlookup(BB1495,importrange(""https://docs.google.com/spreadsheets/d/1d2vevQ_7D_v35q4wCQ4RpQ_IPoTwEMB9Yp6ymwlPqew/edit?gid=984458430#gid=984458430"", ""'replication success'!A:M""), 13, FAlSE)"),"abstract")</f>
        <v>abstract</v>
      </c>
      <c r="BB1495" s="61" t="str">
        <f>IFERROR(__xludf.DUMMYFUNCTION("REGEXREPLACE(G1495, ""_[a-z]{1,2}$"", """")"),"datareplicada7")</f>
        <v>datareplicada7</v>
      </c>
      <c r="BC1495" s="46"/>
      <c r="BD1495" s="341" t="s">
        <v>692</v>
      </c>
      <c r="BE1495" s="342"/>
      <c r="BF1495" s="342"/>
      <c r="BG1495" s="342"/>
      <c r="BH1495" s="342"/>
      <c r="BI1495" s="342"/>
      <c r="BJ1495" s="342"/>
      <c r="BK1495" s="342"/>
      <c r="BL1495" s="342"/>
      <c r="BM1495" s="342"/>
      <c r="BN1495" s="342"/>
      <c r="BO1495" s="342"/>
      <c r="BP1495" s="342"/>
      <c r="BQ1495" s="342"/>
      <c r="BR1495" s="342"/>
      <c r="BS1495" s="342"/>
      <c r="BT1495" s="342"/>
      <c r="BU1495" s="342"/>
      <c r="BV1495" s="342"/>
      <c r="BW1495" s="342"/>
      <c r="BX1495" s="342"/>
      <c r="BY1495" s="342"/>
      <c r="BZ1495" s="342"/>
      <c r="CA1495" s="342"/>
      <c r="CB1495" s="342"/>
      <c r="CC1495" s="342"/>
      <c r="CD1495" s="342"/>
      <c r="CE1495" s="342"/>
      <c r="CF1495" s="342"/>
      <c r="CG1495" s="342"/>
      <c r="CH1495" s="342"/>
      <c r="CI1495" s="342"/>
      <c r="CJ1495" s="342"/>
      <c r="CK1495" s="342"/>
      <c r="CL1495" s="342"/>
      <c r="CM1495" s="342"/>
      <c r="CN1495" s="342"/>
      <c r="CO1495" s="342"/>
      <c r="CP1495" s="342"/>
      <c r="CQ1495" s="342"/>
      <c r="CR1495" s="342"/>
      <c r="CS1495" s="342"/>
      <c r="CT1495" s="342"/>
      <c r="CU1495" s="342"/>
      <c r="CV1495" s="342"/>
      <c r="CW1495" s="342"/>
      <c r="CX1495" s="342"/>
      <c r="CY1495" s="342"/>
      <c r="CZ1495" s="342"/>
      <c r="DA1495" s="342"/>
      <c r="DB1495" s="342"/>
      <c r="DC1495" s="342"/>
      <c r="DD1495" s="342"/>
      <c r="DE1495" s="342"/>
      <c r="DF1495" s="342"/>
      <c r="DG1495" s="342"/>
      <c r="DH1495" s="342"/>
      <c r="DI1495" s="342"/>
      <c r="DJ1495" s="342"/>
      <c r="DK1495" s="342"/>
      <c r="DL1495" s="342"/>
    </row>
    <row r="1496">
      <c r="A1496" s="44">
        <v>1496.0</v>
      </c>
      <c r="B1496" s="56" t="s">
        <v>114</v>
      </c>
      <c r="C1496" s="341" t="s">
        <v>115</v>
      </c>
      <c r="D1496" s="341" t="s">
        <v>153</v>
      </c>
      <c r="E1496" s="342"/>
      <c r="F1496" s="56" t="s">
        <v>8540</v>
      </c>
      <c r="G1496" s="56" t="s">
        <v>8555</v>
      </c>
      <c r="H1496" s="343" t="s">
        <v>8556</v>
      </c>
      <c r="I1496" s="347" t="s">
        <v>8557</v>
      </c>
      <c r="J1496" s="46"/>
      <c r="K1496" s="360"/>
      <c r="L1496" s="56" t="s">
        <v>8558</v>
      </c>
      <c r="M1496" s="56" t="s">
        <v>8544</v>
      </c>
      <c r="N1496" s="56" t="s">
        <v>8545</v>
      </c>
      <c r="O1496" s="55">
        <v>1.0</v>
      </c>
      <c r="P1496" s="1696" t="s">
        <v>8546</v>
      </c>
      <c r="Q1496" s="108" t="str">
        <f t="array" ref="Q1496"> if(iserror(MATCH(V1496, 'File Links'!C:C, 0)), "N/A", HYPERLINK(INDEX('File Links'!B:B, MATCH(P1496, 'File Links'!C:C, 0))))</f>
        <v>N/A</v>
      </c>
      <c r="R1496" s="1697" t="s">
        <v>8547</v>
      </c>
      <c r="S1496" s="56" t="s">
        <v>138</v>
      </c>
      <c r="T1496" s="1698" t="s">
        <v>8548</v>
      </c>
      <c r="U1496" s="55" t="s">
        <v>8549</v>
      </c>
      <c r="V1496" s="343"/>
      <c r="W1496" s="343" t="s">
        <v>164</v>
      </c>
      <c r="X1496" s="49" t="str">
        <f t="array" ref="X1496"> if(iserror(MATCH(V1496, 'File Links'!C:C, 0)), "N/A", HYPERLINK(INDEX('File Links'!B:B, MATCH(V1496, 'File Links'!C:C, 0))))</f>
        <v>N/A</v>
      </c>
      <c r="Y1496" s="46"/>
      <c r="Z1496" s="343" t="s">
        <v>2079</v>
      </c>
      <c r="AA1496" s="56" t="s">
        <v>8559</v>
      </c>
      <c r="AB1496" s="343" t="s">
        <v>8560</v>
      </c>
      <c r="AC1496" s="343" t="s">
        <v>8561</v>
      </c>
      <c r="AD1496" s="343" t="s">
        <v>8562</v>
      </c>
      <c r="AE1496" s="343">
        <v>15.0</v>
      </c>
      <c r="AF1496" s="347">
        <v>87.0</v>
      </c>
      <c r="AG1496" s="351">
        <v>0.045</v>
      </c>
      <c r="AH1496" s="343" t="s">
        <v>139</v>
      </c>
      <c r="AI1496" s="343" t="s">
        <v>627</v>
      </c>
      <c r="AJ1496" s="347">
        <v>0.048</v>
      </c>
      <c r="AK1496" s="343" t="s">
        <v>172</v>
      </c>
      <c r="AL1496" s="343" t="s">
        <v>186</v>
      </c>
      <c r="AM1496" s="56" t="s">
        <v>137</v>
      </c>
      <c r="AN1496" s="46"/>
      <c r="AO1496" s="347">
        <v>636.0</v>
      </c>
      <c r="AP1496" s="347">
        <v>0.05</v>
      </c>
      <c r="AQ1496" s="343" t="s">
        <v>173</v>
      </c>
      <c r="AR1496" s="360"/>
      <c r="AS1496" s="347">
        <v>0.513</v>
      </c>
      <c r="AT1496" s="343" t="s">
        <v>172</v>
      </c>
      <c r="AU1496" s="343" t="s">
        <v>186</v>
      </c>
      <c r="AV1496" s="56" t="s">
        <v>137</v>
      </c>
      <c r="AW1496" s="1699" t="s">
        <v>8554</v>
      </c>
      <c r="AX1496" s="56" t="s">
        <v>143</v>
      </c>
      <c r="AY1496" s="61" t="str">
        <f>IFERROR(__xludf.DUMMYFUNCTION("vlookup(BB1496,importrange(""https://docs.google.com/spreadsheets/d/1d2vevQ_7D_v35q4wCQ4RpQ_IPoTwEMB9Yp6ymwlPqew/edit?gid=984458430#gid=984458430"", ""'replication success'!A:K""), 11, FAlSE)"),"#N/A")</f>
        <v>#N/A</v>
      </c>
      <c r="AZ1496" s="61" t="str">
        <f>IFERROR(__xludf.DUMMYFUNCTION("vlookup(BB1496,importrange(""https://docs.google.com/spreadsheets/d/1d2vevQ_7D_v35q4wCQ4RpQ_IPoTwEMB9Yp6ymwlPqew/edit?gid=984458430#gid=984458430"", ""'replication success'!A:M""), 12, FAlSE)"),"#N/A")</f>
        <v>#N/A</v>
      </c>
      <c r="BA1496" s="61" t="str">
        <f>IFERROR(__xludf.DUMMYFUNCTION("vlookup(BB1496,importrange(""https://docs.google.com/spreadsheets/d/1d2vevQ_7D_v35q4wCQ4RpQ_IPoTwEMB9Yp6ymwlPqew/edit?gid=984458430#gid=984458430"", ""'replication success'!A:M""), 13, FAlSE)"),"#N/A")</f>
        <v>#N/A</v>
      </c>
      <c r="BB1496" s="61" t="str">
        <f>IFERROR(__xludf.DUMMYFUNCTION("REGEXREPLACE(G1496, ""_[a-z]{1,2}$"", """")"),"datareplicada7a")</f>
        <v>datareplicada7a</v>
      </c>
      <c r="BC1496" s="342"/>
      <c r="BD1496" s="341" t="s">
        <v>692</v>
      </c>
      <c r="BE1496" s="342"/>
      <c r="BF1496" s="342"/>
      <c r="BG1496" s="342"/>
      <c r="BH1496" s="342"/>
      <c r="BI1496" s="342"/>
      <c r="BJ1496" s="342"/>
      <c r="BK1496" s="342"/>
      <c r="BL1496" s="342"/>
      <c r="BM1496" s="342"/>
      <c r="BN1496" s="342"/>
      <c r="BO1496" s="342"/>
      <c r="BP1496" s="342"/>
      <c r="BQ1496" s="342"/>
      <c r="BR1496" s="342"/>
      <c r="BS1496" s="342"/>
      <c r="BT1496" s="342"/>
      <c r="BU1496" s="342"/>
      <c r="BV1496" s="342"/>
      <c r="BW1496" s="342"/>
      <c r="BX1496" s="342"/>
      <c r="BY1496" s="342"/>
      <c r="BZ1496" s="342"/>
      <c r="CA1496" s="342"/>
      <c r="CB1496" s="342"/>
      <c r="CC1496" s="342"/>
      <c r="CD1496" s="342"/>
      <c r="CE1496" s="342"/>
      <c r="CF1496" s="342"/>
      <c r="CG1496" s="342"/>
      <c r="CH1496" s="342"/>
      <c r="CI1496" s="342"/>
      <c r="CJ1496" s="342"/>
      <c r="CK1496" s="342"/>
      <c r="CL1496" s="342"/>
      <c r="CM1496" s="342"/>
      <c r="CN1496" s="342"/>
      <c r="CO1496" s="342"/>
      <c r="CP1496" s="342"/>
      <c r="CQ1496" s="342"/>
      <c r="CR1496" s="342"/>
      <c r="CS1496" s="342"/>
      <c r="CT1496" s="342"/>
      <c r="CU1496" s="342"/>
      <c r="CV1496" s="342"/>
      <c r="CW1496" s="342"/>
      <c r="CX1496" s="342"/>
      <c r="CY1496" s="342"/>
      <c r="CZ1496" s="342"/>
      <c r="DA1496" s="342"/>
      <c r="DB1496" s="342"/>
      <c r="DC1496" s="342"/>
      <c r="DD1496" s="342"/>
      <c r="DE1496" s="342"/>
      <c r="DF1496" s="342"/>
      <c r="DG1496" s="342"/>
      <c r="DH1496" s="342"/>
      <c r="DI1496" s="342"/>
      <c r="DJ1496" s="342"/>
      <c r="DK1496" s="342"/>
      <c r="DL1496" s="342"/>
    </row>
    <row r="1497">
      <c r="A1497" s="44">
        <v>1497.0</v>
      </c>
      <c r="B1497" s="56" t="s">
        <v>152</v>
      </c>
      <c r="C1497" s="341" t="s">
        <v>115</v>
      </c>
      <c r="D1497" s="341" t="s">
        <v>1441</v>
      </c>
      <c r="E1497" s="342"/>
      <c r="F1497" s="46" t="s">
        <v>8563</v>
      </c>
      <c r="G1497" s="360" t="s">
        <v>8564</v>
      </c>
      <c r="H1497" s="360" t="s">
        <v>8428</v>
      </c>
      <c r="I1497" s="1692" t="s">
        <v>8542</v>
      </c>
      <c r="J1497" s="344">
        <v>45712.0</v>
      </c>
      <c r="K1497" s="46"/>
      <c r="L1497" s="56" t="s">
        <v>8543</v>
      </c>
      <c r="M1497" s="360" t="s">
        <v>8544</v>
      </c>
      <c r="N1497" s="360" t="s">
        <v>8545</v>
      </c>
      <c r="O1497" s="357">
        <v>1.0</v>
      </c>
      <c r="P1497" s="517" t="s">
        <v>8546</v>
      </c>
      <c r="Q1497" s="108" t="str">
        <f t="array" ref="Q1497"> if(iserror(MATCH(V1497, 'File Links'!C:C, 0)), "N/A", HYPERLINK(INDEX('File Links'!B:B, MATCH(P1497, 'File Links'!C:C, 0))))</f>
        <v>N/A</v>
      </c>
      <c r="R1497" s="360" t="s">
        <v>8565</v>
      </c>
      <c r="S1497" s="360" t="s">
        <v>138</v>
      </c>
      <c r="T1497" s="509" t="s">
        <v>8548</v>
      </c>
      <c r="U1497" s="360" t="s">
        <v>8466</v>
      </c>
      <c r="V1497" s="360" t="s">
        <v>8467</v>
      </c>
      <c r="W1497" s="360" t="s">
        <v>1594</v>
      </c>
      <c r="X1497" s="49" t="str">
        <f t="array" ref="X1497"> if(iserror(MATCH(V1497, 'File Links'!C:C, 0)), "N/A", HYPERLINK(INDEX('File Links'!B:B, MATCH(V1497, 'File Links'!C:C, 0))))</f>
        <v>N/A</v>
      </c>
      <c r="Y1497" s="46"/>
      <c r="Z1497" s="360" t="s">
        <v>2079</v>
      </c>
      <c r="AA1497" s="360" t="s">
        <v>8550</v>
      </c>
      <c r="AB1497" s="360" t="s">
        <v>8551</v>
      </c>
      <c r="AC1497" s="46" t="s">
        <v>8552</v>
      </c>
      <c r="AD1497" s="46" t="s">
        <v>8553</v>
      </c>
      <c r="AE1497" s="1710">
        <v>15.0</v>
      </c>
      <c r="AF1497" s="357">
        <v>87.0</v>
      </c>
      <c r="AG1497" s="357">
        <v>0.045</v>
      </c>
      <c r="AH1497" s="360" t="s">
        <v>139</v>
      </c>
      <c r="AI1497" s="360" t="s">
        <v>627</v>
      </c>
      <c r="AJ1497" s="357">
        <v>0.048</v>
      </c>
      <c r="AK1497" s="360" t="s">
        <v>172</v>
      </c>
      <c r="AL1497" s="360" t="s">
        <v>186</v>
      </c>
      <c r="AM1497" s="360" t="s">
        <v>137</v>
      </c>
      <c r="AN1497" s="360" t="s">
        <v>138</v>
      </c>
      <c r="AO1497" s="357">
        <v>574.0</v>
      </c>
      <c r="AP1497" s="357">
        <v>-0.06</v>
      </c>
      <c r="AQ1497" s="360" t="s">
        <v>173</v>
      </c>
      <c r="AR1497" s="360" t="s">
        <v>138</v>
      </c>
      <c r="AS1497" s="357">
        <v>0.489</v>
      </c>
      <c r="AT1497" s="360" t="s">
        <v>172</v>
      </c>
      <c r="AU1497" s="360" t="s">
        <v>186</v>
      </c>
      <c r="AV1497" s="360" t="s">
        <v>137</v>
      </c>
      <c r="AW1497" s="59" t="s">
        <v>8566</v>
      </c>
      <c r="AX1497" s="360" t="s">
        <v>143</v>
      </c>
      <c r="AY1497" s="61" t="str">
        <f>IFERROR(__xludf.DUMMYFUNCTION("vlookup(BB1497,importrange(""https://docs.google.com/spreadsheets/d/1d2vevQ_7D_v35q4wCQ4RpQ_IPoTwEMB9Yp6ymwlPqew/edit?gid=984458430#gid=984458430"", ""'replication success'!A:K""), 11, FAlSE)"),"failed")</f>
        <v>failed</v>
      </c>
      <c r="AZ1497" s="61" t="str">
        <f>IFERROR(__xludf.DUMMYFUNCTION("vlookup(BB1497,importrange(""https://docs.google.com/spreadsheets/d/1d2vevQ_7D_v35q4wCQ4RpQ_IPoTwEMB9Yp6ymwlPqew/edit?gid=984458430#gid=984458430"", ""'replication success'!A:M""), 12, FAlSE)"),"As you can see, the original finding did not replicate. Participants did not judge Dettol to be significantly more effective after seeing an add that displayed five (vs. one) bottles of it.")</f>
        <v>As you can see, the original finding did not replicate. Participants did not judge Dettol to be significantly more effective after seeing an add that displayed five (vs. one) bottles of it.</v>
      </c>
      <c r="BA1497" s="61" t="str">
        <f>IFERROR(__xludf.DUMMYFUNCTION("vlookup(BB1497,importrange(""https://docs.google.com/spreadsheets/d/1d2vevQ_7D_v35q4wCQ4RpQ_IPoTwEMB9Yp6ymwlPqew/edit?gid=984458430#gid=984458430"", ""'replication success'!A:M""), 13, FAlSE)"),"abstract")</f>
        <v>abstract</v>
      </c>
      <c r="BB1497" s="61" t="str">
        <f>IFERROR(__xludf.DUMMYFUNCTION("REGEXREPLACE(G1497, ""_[a-z]{1,2}$"", """")"),"datareplicada7")</f>
        <v>datareplicada7</v>
      </c>
      <c r="BC1497" s="46"/>
      <c r="BD1497" s="341" t="s">
        <v>692</v>
      </c>
      <c r="BE1497" s="342"/>
      <c r="BF1497" s="342"/>
      <c r="BG1497" s="342"/>
      <c r="BH1497" s="342"/>
      <c r="BI1497" s="342"/>
      <c r="BJ1497" s="342"/>
      <c r="BK1497" s="342"/>
      <c r="BL1497" s="342"/>
      <c r="BM1497" s="342"/>
      <c r="BN1497" s="342"/>
      <c r="BO1497" s="342"/>
      <c r="BP1497" s="342"/>
      <c r="BQ1497" s="342"/>
      <c r="BR1497" s="342"/>
      <c r="BS1497" s="342"/>
      <c r="BT1497" s="342"/>
      <c r="BU1497" s="342"/>
      <c r="BV1497" s="342"/>
      <c r="BW1497" s="342"/>
      <c r="BX1497" s="342"/>
      <c r="BY1497" s="342"/>
      <c r="BZ1497" s="342"/>
      <c r="CA1497" s="342"/>
      <c r="CB1497" s="342"/>
      <c r="CC1497" s="342"/>
      <c r="CD1497" s="342"/>
      <c r="CE1497" s="342"/>
      <c r="CF1497" s="342"/>
      <c r="CG1497" s="342"/>
      <c r="CH1497" s="342"/>
      <c r="CI1497" s="342"/>
      <c r="CJ1497" s="342"/>
      <c r="CK1497" s="342"/>
      <c r="CL1497" s="342"/>
      <c r="CM1497" s="342"/>
      <c r="CN1497" s="342"/>
      <c r="CO1497" s="342"/>
      <c r="CP1497" s="342"/>
      <c r="CQ1497" s="342"/>
      <c r="CR1497" s="342"/>
      <c r="CS1497" s="342"/>
      <c r="CT1497" s="342"/>
      <c r="CU1497" s="342"/>
      <c r="CV1497" s="342"/>
      <c r="CW1497" s="342"/>
      <c r="CX1497" s="342"/>
      <c r="CY1497" s="342"/>
      <c r="CZ1497" s="342"/>
      <c r="DA1497" s="342"/>
      <c r="DB1497" s="342"/>
      <c r="DC1497" s="342"/>
      <c r="DD1497" s="342"/>
      <c r="DE1497" s="342"/>
      <c r="DF1497" s="342"/>
      <c r="DG1497" s="342"/>
      <c r="DH1497" s="342"/>
      <c r="DI1497" s="342"/>
      <c r="DJ1497" s="342"/>
      <c r="DK1497" s="342"/>
      <c r="DL1497" s="342"/>
    </row>
    <row r="1498">
      <c r="A1498" s="44">
        <v>1498.0</v>
      </c>
      <c r="B1498" s="56" t="s">
        <v>114</v>
      </c>
      <c r="C1498" s="341" t="s">
        <v>115</v>
      </c>
      <c r="D1498" s="341" t="s">
        <v>153</v>
      </c>
      <c r="E1498" s="342"/>
      <c r="F1498" s="56" t="s">
        <v>8563</v>
      </c>
      <c r="G1498" s="56" t="s">
        <v>8567</v>
      </c>
      <c r="H1498" s="343" t="s">
        <v>8556</v>
      </c>
      <c r="I1498" s="347" t="s">
        <v>8557</v>
      </c>
      <c r="J1498" s="46"/>
      <c r="K1498" s="360"/>
      <c r="L1498" s="56" t="s">
        <v>8558</v>
      </c>
      <c r="M1498" s="56" t="s">
        <v>8544</v>
      </c>
      <c r="N1498" s="56" t="s">
        <v>8545</v>
      </c>
      <c r="O1498" s="55">
        <v>1.0</v>
      </c>
      <c r="P1498" s="1696" t="s">
        <v>8546</v>
      </c>
      <c r="Q1498" s="108" t="str">
        <f t="array" ref="Q1498"> if(iserror(MATCH(V1498, 'File Links'!C:C, 0)), "N/A", HYPERLINK(INDEX('File Links'!B:B, MATCH(P1498, 'File Links'!C:C, 0))))</f>
        <v>N/A</v>
      </c>
      <c r="R1498" s="1697" t="s">
        <v>8565</v>
      </c>
      <c r="S1498" s="56" t="s">
        <v>138</v>
      </c>
      <c r="T1498" s="1698" t="s">
        <v>8548</v>
      </c>
      <c r="U1498" s="55" t="s">
        <v>8466</v>
      </c>
      <c r="V1498" s="343"/>
      <c r="W1498" s="343" t="s">
        <v>164</v>
      </c>
      <c r="X1498" s="49" t="str">
        <f t="array" ref="X1498"> if(iserror(MATCH(V1498, 'File Links'!C:C, 0)), "N/A", HYPERLINK(INDEX('File Links'!B:B, MATCH(V1498, 'File Links'!C:C, 0))))</f>
        <v>N/A</v>
      </c>
      <c r="Y1498" s="46"/>
      <c r="Z1498" s="343" t="s">
        <v>2079</v>
      </c>
      <c r="AA1498" s="56" t="s">
        <v>8559</v>
      </c>
      <c r="AB1498" s="343" t="s">
        <v>8560</v>
      </c>
      <c r="AC1498" s="343" t="s">
        <v>8561</v>
      </c>
      <c r="AD1498" s="343" t="s">
        <v>8562</v>
      </c>
      <c r="AE1498" s="343">
        <v>15.0</v>
      </c>
      <c r="AF1498" s="347">
        <v>87.0</v>
      </c>
      <c r="AG1498" s="351">
        <v>0.045</v>
      </c>
      <c r="AH1498" s="343" t="s">
        <v>139</v>
      </c>
      <c r="AI1498" s="343" t="s">
        <v>627</v>
      </c>
      <c r="AJ1498" s="347">
        <v>0.048</v>
      </c>
      <c r="AK1498" s="343" t="s">
        <v>172</v>
      </c>
      <c r="AL1498" s="343" t="s">
        <v>186</v>
      </c>
      <c r="AM1498" s="56" t="s">
        <v>137</v>
      </c>
      <c r="AN1498" s="46"/>
      <c r="AO1498" s="347">
        <v>574.0</v>
      </c>
      <c r="AP1498" s="347">
        <v>-0.06</v>
      </c>
      <c r="AQ1498" s="343" t="s">
        <v>173</v>
      </c>
      <c r="AR1498" s="360"/>
      <c r="AS1498" s="347">
        <v>0.489</v>
      </c>
      <c r="AT1498" s="343" t="s">
        <v>172</v>
      </c>
      <c r="AU1498" s="343" t="s">
        <v>186</v>
      </c>
      <c r="AV1498" s="56" t="s">
        <v>137</v>
      </c>
      <c r="AW1498" s="1699" t="s">
        <v>8566</v>
      </c>
      <c r="AX1498" s="56" t="s">
        <v>143</v>
      </c>
      <c r="AY1498" s="61" t="str">
        <f>IFERROR(__xludf.DUMMYFUNCTION("vlookup(BB1498,importrange(""https://docs.google.com/spreadsheets/d/1d2vevQ_7D_v35q4wCQ4RpQ_IPoTwEMB9Yp6ymwlPqew/edit?gid=984458430#gid=984458430"", ""'replication success'!A:K""), 11, FAlSE)"),"#N/A")</f>
        <v>#N/A</v>
      </c>
      <c r="AZ1498" s="61" t="str">
        <f>IFERROR(__xludf.DUMMYFUNCTION("vlookup(BB1498,importrange(""https://docs.google.com/spreadsheets/d/1d2vevQ_7D_v35q4wCQ4RpQ_IPoTwEMB9Yp6ymwlPqew/edit?gid=984458430#gid=984458430"", ""'replication success'!A:M""), 12, FAlSE)"),"#N/A")</f>
        <v>#N/A</v>
      </c>
      <c r="BA1498" s="61" t="str">
        <f>IFERROR(__xludf.DUMMYFUNCTION("vlookup(BB1498,importrange(""https://docs.google.com/spreadsheets/d/1d2vevQ_7D_v35q4wCQ4RpQ_IPoTwEMB9Yp6ymwlPqew/edit?gid=984458430#gid=984458430"", ""'replication success'!A:M""), 13, FAlSE)"),"#N/A")</f>
        <v>#N/A</v>
      </c>
      <c r="BB1498" s="61" t="str">
        <f>IFERROR(__xludf.DUMMYFUNCTION("REGEXREPLACE(G1498, ""_[a-z]{1,2}$"", """")"),"datareplicada7b")</f>
        <v>datareplicada7b</v>
      </c>
      <c r="BC1498" s="342"/>
      <c r="BD1498" s="341" t="s">
        <v>692</v>
      </c>
      <c r="BE1498" s="342"/>
      <c r="BF1498" s="342"/>
      <c r="BG1498" s="342"/>
      <c r="BH1498" s="342"/>
      <c r="BI1498" s="342"/>
      <c r="BJ1498" s="342"/>
      <c r="BK1498" s="342"/>
      <c r="BL1498" s="342"/>
      <c r="BM1498" s="342"/>
      <c r="BN1498" s="342"/>
      <c r="BO1498" s="342"/>
      <c r="BP1498" s="342"/>
      <c r="BQ1498" s="342"/>
      <c r="BR1498" s="342"/>
      <c r="BS1498" s="342"/>
      <c r="BT1498" s="342"/>
      <c r="BU1498" s="342"/>
      <c r="BV1498" s="342"/>
      <c r="BW1498" s="342"/>
      <c r="BX1498" s="342"/>
      <c r="BY1498" s="342"/>
      <c r="BZ1498" s="342"/>
      <c r="CA1498" s="342"/>
      <c r="CB1498" s="342"/>
      <c r="CC1498" s="342"/>
      <c r="CD1498" s="342"/>
      <c r="CE1498" s="342"/>
      <c r="CF1498" s="342"/>
      <c r="CG1498" s="342"/>
      <c r="CH1498" s="342"/>
      <c r="CI1498" s="342"/>
      <c r="CJ1498" s="342"/>
      <c r="CK1498" s="342"/>
      <c r="CL1498" s="342"/>
      <c r="CM1498" s="342"/>
      <c r="CN1498" s="342"/>
      <c r="CO1498" s="342"/>
      <c r="CP1498" s="342"/>
      <c r="CQ1498" s="342"/>
      <c r="CR1498" s="342"/>
      <c r="CS1498" s="342"/>
      <c r="CT1498" s="342"/>
      <c r="CU1498" s="342"/>
      <c r="CV1498" s="342"/>
      <c r="CW1498" s="342"/>
      <c r="CX1498" s="342"/>
      <c r="CY1498" s="342"/>
      <c r="CZ1498" s="342"/>
      <c r="DA1498" s="342"/>
      <c r="DB1498" s="342"/>
      <c r="DC1498" s="342"/>
      <c r="DD1498" s="342"/>
      <c r="DE1498" s="342"/>
      <c r="DF1498" s="342"/>
      <c r="DG1498" s="342"/>
      <c r="DH1498" s="342"/>
      <c r="DI1498" s="342"/>
      <c r="DJ1498" s="342"/>
      <c r="DK1498" s="342"/>
      <c r="DL1498" s="342"/>
    </row>
    <row r="1499">
      <c r="A1499" s="44">
        <v>1499.0</v>
      </c>
      <c r="B1499" s="56" t="s">
        <v>152</v>
      </c>
      <c r="C1499" s="341" t="s">
        <v>115</v>
      </c>
      <c r="D1499" s="341" t="s">
        <v>1441</v>
      </c>
      <c r="E1499" s="342"/>
      <c r="F1499" s="46" t="s">
        <v>8568</v>
      </c>
      <c r="G1499" s="360" t="s">
        <v>8569</v>
      </c>
      <c r="H1499" s="360" t="s">
        <v>8428</v>
      </c>
      <c r="I1499" s="1692" t="s">
        <v>8542</v>
      </c>
      <c r="J1499" s="344">
        <v>45712.0</v>
      </c>
      <c r="K1499" s="46"/>
      <c r="L1499" s="46"/>
      <c r="M1499" s="360" t="s">
        <v>8544</v>
      </c>
      <c r="N1499" s="360" t="s">
        <v>8545</v>
      </c>
      <c r="O1499" s="357">
        <v>1.0</v>
      </c>
      <c r="P1499" s="517" t="s">
        <v>8546</v>
      </c>
      <c r="Q1499" s="108" t="str">
        <f t="array" ref="Q1499"> if(iserror(MATCH(V1499, 'File Links'!C:C, 0)), "N/A", HYPERLINK(INDEX('File Links'!B:B, MATCH(P1499, 'File Links'!C:C, 0))))</f>
        <v>N/A</v>
      </c>
      <c r="R1499" s="360" t="s">
        <v>8570</v>
      </c>
      <c r="S1499" s="360" t="s">
        <v>138</v>
      </c>
      <c r="T1499" s="509" t="s">
        <v>8548</v>
      </c>
      <c r="U1499" s="360" t="s">
        <v>8571</v>
      </c>
      <c r="V1499" s="360" t="s">
        <v>8467</v>
      </c>
      <c r="W1499" s="360" t="s">
        <v>1594</v>
      </c>
      <c r="X1499" s="49" t="str">
        <f t="array" ref="X1499"> if(iserror(MATCH(V1499, 'File Links'!C:C, 0)), "N/A", HYPERLINK(INDEX('File Links'!B:B, MATCH(V1499, 'File Links'!C:C, 0))))</f>
        <v>N/A</v>
      </c>
      <c r="Y1499" s="46"/>
      <c r="Z1499" s="360" t="s">
        <v>2079</v>
      </c>
      <c r="AA1499" s="360" t="s">
        <v>8550</v>
      </c>
      <c r="AB1499" s="360" t="s">
        <v>8551</v>
      </c>
      <c r="AC1499" s="46" t="s">
        <v>8552</v>
      </c>
      <c r="AD1499" s="46" t="s">
        <v>8553</v>
      </c>
      <c r="AE1499" s="357">
        <v>15.0</v>
      </c>
      <c r="AF1499" s="357">
        <v>87.0</v>
      </c>
      <c r="AG1499" s="357">
        <v>0.045</v>
      </c>
      <c r="AH1499" s="360" t="s">
        <v>139</v>
      </c>
      <c r="AI1499" s="360" t="s">
        <v>627</v>
      </c>
      <c r="AJ1499" s="357">
        <v>0.048</v>
      </c>
      <c r="AK1499" s="360" t="s">
        <v>172</v>
      </c>
      <c r="AL1499" s="360" t="s">
        <v>186</v>
      </c>
      <c r="AM1499" s="360" t="s">
        <v>137</v>
      </c>
      <c r="AN1499" s="360" t="s">
        <v>138</v>
      </c>
      <c r="AO1499" s="357">
        <v>702.0</v>
      </c>
      <c r="AP1499" s="357">
        <v>0.1</v>
      </c>
      <c r="AQ1499" s="360" t="s">
        <v>173</v>
      </c>
      <c r="AR1499" s="360" t="s">
        <v>138</v>
      </c>
      <c r="AS1499" s="357">
        <v>0.174</v>
      </c>
      <c r="AT1499" s="360" t="s">
        <v>172</v>
      </c>
      <c r="AU1499" s="360" t="s">
        <v>186</v>
      </c>
      <c r="AV1499" s="360" t="s">
        <v>137</v>
      </c>
      <c r="AW1499" s="59" t="s">
        <v>8572</v>
      </c>
      <c r="AX1499" s="360" t="s">
        <v>143</v>
      </c>
      <c r="AY1499" s="61" t="str">
        <f>IFERROR(__xludf.DUMMYFUNCTION("vlookup(BB1499,importrange(""https://docs.google.com/spreadsheets/d/1d2vevQ_7D_v35q4wCQ4RpQ_IPoTwEMB9Yp6ymwlPqew/edit?gid=984458430#gid=984458430"", ""'replication success'!A:K""), 11, FAlSE)"),"failed")</f>
        <v>failed</v>
      </c>
      <c r="AZ1499" s="61" t="str">
        <f>IFERROR(__xludf.DUMMYFUNCTION("vlookup(BB1499,importrange(""https://docs.google.com/spreadsheets/d/1d2vevQ_7D_v35q4wCQ4RpQ_IPoTwEMB9Yp6ymwlPqew/edit?gid=984458430#gid=984458430"", ""'replication success'!A:M""), 12, FAlSE)"),"As you can see, the original finding did not replicate. Participants did not judge Dettol to be significantly more effective after seeing an add that displayed five (vs. one) bottles of it.")</f>
        <v>As you can see, the original finding did not replicate. Participants did not judge Dettol to be significantly more effective after seeing an add that displayed five (vs. one) bottles of it.</v>
      </c>
      <c r="BA1499" s="61" t="str">
        <f>IFERROR(__xludf.DUMMYFUNCTION("vlookup(BB1499,importrange(""https://docs.google.com/spreadsheets/d/1d2vevQ_7D_v35q4wCQ4RpQ_IPoTwEMB9Yp6ymwlPqew/edit?gid=984458430#gid=984458430"", ""'replication success'!A:M""), 13, FAlSE)"),"abstract")</f>
        <v>abstract</v>
      </c>
      <c r="BB1499" s="61" t="str">
        <f>IFERROR(__xludf.DUMMYFUNCTION("REGEXREPLACE(G1499, ""_[a-z]{1,2}$"", """")"),"datareplicada7")</f>
        <v>datareplicada7</v>
      </c>
      <c r="BC1499" s="46"/>
      <c r="BD1499" s="341" t="s">
        <v>692</v>
      </c>
      <c r="BE1499" s="342"/>
      <c r="BF1499" s="342"/>
      <c r="BG1499" s="342"/>
      <c r="BH1499" s="342"/>
      <c r="BI1499" s="342"/>
      <c r="BJ1499" s="342"/>
      <c r="BK1499" s="342"/>
      <c r="BL1499" s="342"/>
      <c r="BM1499" s="342"/>
      <c r="BN1499" s="342"/>
      <c r="BO1499" s="342"/>
      <c r="BP1499" s="342"/>
      <c r="BQ1499" s="342"/>
      <c r="BR1499" s="342"/>
      <c r="BS1499" s="342"/>
      <c r="BT1499" s="342"/>
      <c r="BU1499" s="342"/>
      <c r="BV1499" s="342"/>
      <c r="BW1499" s="342"/>
      <c r="BX1499" s="342"/>
      <c r="BY1499" s="342"/>
      <c r="BZ1499" s="342"/>
      <c r="CA1499" s="342"/>
      <c r="CB1499" s="342"/>
      <c r="CC1499" s="342"/>
      <c r="CD1499" s="342"/>
      <c r="CE1499" s="342"/>
      <c r="CF1499" s="342"/>
      <c r="CG1499" s="342"/>
      <c r="CH1499" s="342"/>
      <c r="CI1499" s="342"/>
      <c r="CJ1499" s="342"/>
      <c r="CK1499" s="342"/>
      <c r="CL1499" s="342"/>
      <c r="CM1499" s="342"/>
      <c r="CN1499" s="342"/>
      <c r="CO1499" s="342"/>
      <c r="CP1499" s="342"/>
      <c r="CQ1499" s="342"/>
      <c r="CR1499" s="342"/>
      <c r="CS1499" s="342"/>
      <c r="CT1499" s="342"/>
      <c r="CU1499" s="342"/>
      <c r="CV1499" s="342"/>
      <c r="CW1499" s="342"/>
      <c r="CX1499" s="342"/>
      <c r="CY1499" s="342"/>
      <c r="CZ1499" s="342"/>
      <c r="DA1499" s="342"/>
      <c r="DB1499" s="342"/>
      <c r="DC1499" s="342"/>
      <c r="DD1499" s="342"/>
      <c r="DE1499" s="342"/>
      <c r="DF1499" s="342"/>
      <c r="DG1499" s="342"/>
      <c r="DH1499" s="342"/>
      <c r="DI1499" s="342"/>
      <c r="DJ1499" s="342"/>
      <c r="DK1499" s="342"/>
      <c r="DL1499" s="342"/>
    </row>
    <row r="1500">
      <c r="A1500" s="44">
        <v>1500.0</v>
      </c>
      <c r="B1500" s="56" t="s">
        <v>114</v>
      </c>
      <c r="C1500" s="341" t="s">
        <v>115</v>
      </c>
      <c r="D1500" s="341" t="s">
        <v>153</v>
      </c>
      <c r="E1500" s="342"/>
      <c r="F1500" s="56" t="s">
        <v>8568</v>
      </c>
      <c r="G1500" s="56" t="s">
        <v>8573</v>
      </c>
      <c r="H1500" s="343" t="s">
        <v>8556</v>
      </c>
      <c r="I1500" s="347" t="s">
        <v>8557</v>
      </c>
      <c r="J1500" s="46"/>
      <c r="K1500" s="360"/>
      <c r="L1500" s="56" t="s">
        <v>8558</v>
      </c>
      <c r="M1500" s="56" t="s">
        <v>8544</v>
      </c>
      <c r="N1500" s="56" t="s">
        <v>8545</v>
      </c>
      <c r="O1500" s="55">
        <v>1.0</v>
      </c>
      <c r="P1500" s="1696" t="s">
        <v>8546</v>
      </c>
      <c r="Q1500" s="108" t="str">
        <f t="array" ref="Q1500"> if(iserror(MATCH(V1500, 'File Links'!C:C, 0)), "N/A", HYPERLINK(INDEX('File Links'!B:B, MATCH(P1500, 'File Links'!C:C, 0))))</f>
        <v>N/A</v>
      </c>
      <c r="R1500" s="1697" t="s">
        <v>8570</v>
      </c>
      <c r="S1500" s="56" t="s">
        <v>138</v>
      </c>
      <c r="T1500" s="1698" t="s">
        <v>8548</v>
      </c>
      <c r="U1500" s="55" t="s">
        <v>8571</v>
      </c>
      <c r="V1500" s="343"/>
      <c r="W1500" s="343" t="s">
        <v>164</v>
      </c>
      <c r="X1500" s="49" t="str">
        <f t="array" ref="X1500"> if(iserror(MATCH(V1500, 'File Links'!C:C, 0)), "N/A", HYPERLINK(INDEX('File Links'!B:B, MATCH(V1500, 'File Links'!C:C, 0))))</f>
        <v>N/A</v>
      </c>
      <c r="Y1500" s="46"/>
      <c r="Z1500" s="343" t="s">
        <v>2079</v>
      </c>
      <c r="AA1500" s="56" t="s">
        <v>8559</v>
      </c>
      <c r="AB1500" s="343" t="s">
        <v>8560</v>
      </c>
      <c r="AC1500" s="343" t="s">
        <v>8561</v>
      </c>
      <c r="AD1500" s="343" t="s">
        <v>8562</v>
      </c>
      <c r="AE1500" s="343">
        <v>15.0</v>
      </c>
      <c r="AF1500" s="347">
        <v>87.0</v>
      </c>
      <c r="AG1500" s="351">
        <v>0.045</v>
      </c>
      <c r="AH1500" s="343" t="s">
        <v>139</v>
      </c>
      <c r="AI1500" s="343" t="s">
        <v>627</v>
      </c>
      <c r="AJ1500" s="347">
        <v>0.048</v>
      </c>
      <c r="AK1500" s="343" t="s">
        <v>172</v>
      </c>
      <c r="AL1500" s="343" t="s">
        <v>186</v>
      </c>
      <c r="AM1500" s="56" t="s">
        <v>137</v>
      </c>
      <c r="AN1500" s="46"/>
      <c r="AO1500" s="347">
        <v>702.0</v>
      </c>
      <c r="AP1500" s="347">
        <v>0.1</v>
      </c>
      <c r="AQ1500" s="343" t="s">
        <v>173</v>
      </c>
      <c r="AR1500" s="360"/>
      <c r="AS1500" s="347">
        <v>0.174</v>
      </c>
      <c r="AT1500" s="343" t="s">
        <v>172</v>
      </c>
      <c r="AU1500" s="343" t="s">
        <v>186</v>
      </c>
      <c r="AV1500" s="56" t="s">
        <v>137</v>
      </c>
      <c r="AW1500" s="1699" t="s">
        <v>8572</v>
      </c>
      <c r="AX1500" s="56" t="s">
        <v>143</v>
      </c>
      <c r="AY1500" s="61" t="str">
        <f>IFERROR(__xludf.DUMMYFUNCTION("vlookup(BB1500,importrange(""https://docs.google.com/spreadsheets/d/1d2vevQ_7D_v35q4wCQ4RpQ_IPoTwEMB9Yp6ymwlPqew/edit?gid=984458430#gid=984458430"", ""'replication success'!A:K""), 11, FAlSE)"),"#N/A")</f>
        <v>#N/A</v>
      </c>
      <c r="AZ1500" s="61" t="str">
        <f>IFERROR(__xludf.DUMMYFUNCTION("vlookup(BB1500,importrange(""https://docs.google.com/spreadsheets/d/1d2vevQ_7D_v35q4wCQ4RpQ_IPoTwEMB9Yp6ymwlPqew/edit?gid=984458430#gid=984458430"", ""'replication success'!A:M""), 12, FAlSE)"),"#N/A")</f>
        <v>#N/A</v>
      </c>
      <c r="BA1500" s="61" t="str">
        <f>IFERROR(__xludf.DUMMYFUNCTION("vlookup(BB1500,importrange(""https://docs.google.com/spreadsheets/d/1d2vevQ_7D_v35q4wCQ4RpQ_IPoTwEMB9Yp6ymwlPqew/edit?gid=984458430#gid=984458430"", ""'replication success'!A:M""), 13, FAlSE)"),"#N/A")</f>
        <v>#N/A</v>
      </c>
      <c r="BB1500" s="61" t="str">
        <f>IFERROR(__xludf.DUMMYFUNCTION("REGEXREPLACE(G1500, ""_[a-z]{1,2}$"", """")"),"datareplicada7c")</f>
        <v>datareplicada7c</v>
      </c>
      <c r="BC1500" s="342"/>
      <c r="BD1500" s="341" t="s">
        <v>692</v>
      </c>
      <c r="BE1500" s="342"/>
      <c r="BF1500" s="342"/>
      <c r="BG1500" s="342"/>
      <c r="BH1500" s="342"/>
      <c r="BI1500" s="342"/>
      <c r="BJ1500" s="342"/>
      <c r="BK1500" s="342"/>
      <c r="BL1500" s="342"/>
      <c r="BM1500" s="342"/>
      <c r="BN1500" s="342"/>
      <c r="BO1500" s="342"/>
      <c r="BP1500" s="342"/>
      <c r="BQ1500" s="342"/>
      <c r="BR1500" s="342"/>
      <c r="BS1500" s="342"/>
      <c r="BT1500" s="342"/>
      <c r="BU1500" s="342"/>
      <c r="BV1500" s="342"/>
      <c r="BW1500" s="342"/>
      <c r="BX1500" s="342"/>
      <c r="BY1500" s="342"/>
      <c r="BZ1500" s="342"/>
      <c r="CA1500" s="342"/>
      <c r="CB1500" s="342"/>
      <c r="CC1500" s="342"/>
      <c r="CD1500" s="342"/>
      <c r="CE1500" s="342"/>
      <c r="CF1500" s="342"/>
      <c r="CG1500" s="342"/>
      <c r="CH1500" s="342"/>
      <c r="CI1500" s="342"/>
      <c r="CJ1500" s="342"/>
      <c r="CK1500" s="342"/>
      <c r="CL1500" s="342"/>
      <c r="CM1500" s="342"/>
      <c r="CN1500" s="342"/>
      <c r="CO1500" s="342"/>
      <c r="CP1500" s="342"/>
      <c r="CQ1500" s="342"/>
      <c r="CR1500" s="342"/>
      <c r="CS1500" s="342"/>
      <c r="CT1500" s="342"/>
      <c r="CU1500" s="342"/>
      <c r="CV1500" s="342"/>
      <c r="CW1500" s="342"/>
      <c r="CX1500" s="342"/>
      <c r="CY1500" s="342"/>
      <c r="CZ1500" s="342"/>
      <c r="DA1500" s="342"/>
      <c r="DB1500" s="342"/>
      <c r="DC1500" s="342"/>
      <c r="DD1500" s="342"/>
      <c r="DE1500" s="342"/>
      <c r="DF1500" s="342"/>
      <c r="DG1500" s="342"/>
      <c r="DH1500" s="342"/>
      <c r="DI1500" s="342"/>
      <c r="DJ1500" s="342"/>
      <c r="DK1500" s="342"/>
      <c r="DL1500" s="342"/>
    </row>
    <row r="1501">
      <c r="A1501" s="44">
        <v>1501.0</v>
      </c>
      <c r="B1501" s="1711" t="s">
        <v>152</v>
      </c>
      <c r="C1501" s="1711" t="s">
        <v>115</v>
      </c>
      <c r="D1501" s="716" t="s">
        <v>145</v>
      </c>
      <c r="E1501" s="697"/>
      <c r="F1501" s="1428" t="s">
        <v>8574</v>
      </c>
      <c r="G1501" s="718" t="s">
        <v>8575</v>
      </c>
      <c r="H1501" s="718" t="s">
        <v>8576</v>
      </c>
      <c r="I1501" s="1712">
        <v>45641.0</v>
      </c>
      <c r="J1501" s="170">
        <v>45684.0</v>
      </c>
      <c r="K1501" s="723"/>
      <c r="L1501" s="720" t="s">
        <v>8577</v>
      </c>
      <c r="M1501" s="718" t="s">
        <v>8578</v>
      </c>
      <c r="N1501" s="718" t="s">
        <v>8579</v>
      </c>
      <c r="O1501" s="1713">
        <v>3.0</v>
      </c>
      <c r="P1501" s="1714" t="s">
        <v>8580</v>
      </c>
      <c r="Q1501" s="52" t="str">
        <f t="array" ref="Q1501"> if(iserror(MATCH(V1501, 'File Links'!C:C, 0)), "N/A", HYPERLINK(INDEX('File Links'!B:B, MATCH(P1501, 'File Links'!C:C, 0))))</f>
        <v>https://drive.google.com/file/d/1_IO4PdoMe7l8Q03W9hLBkKiHGidC5w-t/view?usp=drivesdk</v>
      </c>
      <c r="R1501" s="765" t="s">
        <v>8581</v>
      </c>
      <c r="S1501" s="730" t="s">
        <v>8582</v>
      </c>
      <c r="T1501" s="723"/>
      <c r="U1501" s="1715">
        <v>3.0</v>
      </c>
      <c r="V1501" s="198" t="str">
        <f> hyperlink(vlookup(lower(S1501),#REF!, 2, FALSE), SUBSTITUTE(lower(S1501), "/", "--") &amp;  ".pdf")</f>
        <v>10.1525--collabra.177.pdf</v>
      </c>
      <c r="W1501" s="720" t="s">
        <v>209</v>
      </c>
      <c r="X1501" s="54" t="str">
        <f t="array" ref="X1501"> if(iserror(MATCH(V1501, 'File Links'!C:C, 0)), "N/A", HYPERLINK(INDEX('File Links'!B:B, MATCH(V1501, 'File Links'!C:C, 0))))</f>
        <v>https://drive.google.com/file/d/1SNviYFYkLPApLDE4sxFOX_wRepMI0nnI/view?usp=drivesdk</v>
      </c>
      <c r="Y1501" s="723"/>
      <c r="Z1501" s="723" t="s">
        <v>226</v>
      </c>
      <c r="AA1501" s="72" t="s">
        <v>8583</v>
      </c>
      <c r="AB1501" s="723" t="s">
        <v>8584</v>
      </c>
      <c r="AC1501" s="723" t="s">
        <v>8585</v>
      </c>
      <c r="AD1501" s="723" t="s">
        <v>8586</v>
      </c>
      <c r="AE1501" s="723" t="s">
        <v>132</v>
      </c>
      <c r="AF1501" s="1713">
        <v>33.0</v>
      </c>
      <c r="AG1501" s="1713">
        <v>0.86</v>
      </c>
      <c r="AH1501" s="766" t="s">
        <v>173</v>
      </c>
      <c r="AI1501" s="723" t="s">
        <v>132</v>
      </c>
      <c r="AJ1501" s="1713">
        <v>0.05</v>
      </c>
      <c r="AK1501" s="1428" t="s">
        <v>135</v>
      </c>
      <c r="AL1501" s="723" t="s">
        <v>136</v>
      </c>
      <c r="AM1501" s="723" t="s">
        <v>137</v>
      </c>
      <c r="AN1501" s="330" t="s">
        <v>138</v>
      </c>
      <c r="AO1501" s="1713">
        <v>28.0</v>
      </c>
      <c r="AP1501" s="1713">
        <v>0.06</v>
      </c>
      <c r="AQ1501" s="723" t="s">
        <v>173</v>
      </c>
      <c r="AR1501" s="1716" t="s">
        <v>8587</v>
      </c>
      <c r="AS1501" s="720" t="s">
        <v>138</v>
      </c>
      <c r="AT1501" s="720" t="s">
        <v>138</v>
      </c>
      <c r="AU1501" s="720" t="s">
        <v>138</v>
      </c>
      <c r="AV1501" s="1474" t="s">
        <v>137</v>
      </c>
      <c r="AW1501" s="1717" t="s">
        <v>8588</v>
      </c>
      <c r="AX1501" s="1718" t="s">
        <v>143</v>
      </c>
      <c r="AY1501" s="61" t="str">
        <f>IFERROR(__xludf.DUMMYFUNCTION("vlookup(BB1501,importrange(""https://docs.google.com/spreadsheets/d/1d2vevQ_7D_v35q4wCQ4RpQ_IPoTwEMB9Yp6ymwlPqew/edit?gid=984458430#gid=984458430"", ""'replication success'!A:K""), 11, FAlSE)"),"failed")</f>
        <v>failed</v>
      </c>
      <c r="AZ1501" s="61" t="str">
        <f>IFERROR(__xludf.DUMMYFUNCTION("vlookup(BB1501,importrange(""https://docs.google.com/spreadsheets/d/1d2vevQ_7D_v35q4wCQ4RpQ_IPoTwEMB9Yp6ymwlPqew/edit?gid=984458430#gid=984458430"",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1" s="61" t="str">
        <f>IFERROR(__xludf.DUMMYFUNCTION("vlookup(BB1501,importrange(""https://docs.google.com/spreadsheets/d/1d2vevQ_7D_v35q4wCQ4RpQ_IPoTwEMB9Yp6ymwlPqew/edit?gid=984458430#gid=984458430"", ""'replication success'!A:M""), 13, FAlSE)"),"abstract")</f>
        <v>abstract</v>
      </c>
      <c r="BB1501" s="61" t="str">
        <f>IFERROR(__xludf.DUMMYFUNCTION("REGEXREPLACE(G1501, ""_[a-z]{1,2}$"", """")"),"dqv9y")</f>
        <v>dqv9y</v>
      </c>
      <c r="BC1501" s="697"/>
      <c r="BD1501" s="716" t="s">
        <v>144</v>
      </c>
    </row>
    <row r="1502">
      <c r="A1502" s="44">
        <v>1502.0</v>
      </c>
      <c r="B1502" s="1711" t="s">
        <v>114</v>
      </c>
      <c r="C1502" s="93" t="s">
        <v>115</v>
      </c>
      <c r="D1502" s="93" t="s">
        <v>195</v>
      </c>
      <c r="E1502" s="92"/>
      <c r="F1502" s="93" t="s">
        <v>8574</v>
      </c>
      <c r="G1502" s="72" t="s">
        <v>8575</v>
      </c>
      <c r="H1502" s="72" t="s">
        <v>8589</v>
      </c>
      <c r="I1502" s="1719">
        <v>45644.0</v>
      </c>
      <c r="J1502" s="170">
        <v>45684.0</v>
      </c>
      <c r="K1502" s="73"/>
      <c r="L1502" s="73"/>
      <c r="M1502" s="72" t="s">
        <v>8578</v>
      </c>
      <c r="N1502" s="72" t="s">
        <v>8579</v>
      </c>
      <c r="O1502" s="72">
        <v>3.0</v>
      </c>
      <c r="P1502" s="1720" t="s">
        <v>8580</v>
      </c>
      <c r="Q1502" s="108" t="str">
        <f t="array" ref="Q1502"> if(iserror(MATCH(V1502, 'File Links'!C:C, 0)), "N/A", HYPERLINK(INDEX('File Links'!B:B, MATCH(P1502, 'File Links'!C:C, 0))))</f>
        <v>N/A</v>
      </c>
      <c r="R1502" s="72" t="s">
        <v>8590</v>
      </c>
      <c r="S1502" s="72" t="s">
        <v>8591</v>
      </c>
      <c r="T1502" s="73"/>
      <c r="U1502" s="72"/>
      <c r="V1502" s="72" t="s">
        <v>8592</v>
      </c>
      <c r="W1502" s="720" t="s">
        <v>209</v>
      </c>
      <c r="X1502" s="49" t="str">
        <f t="array" ref="X1502"> if(iserror(MATCH(V1502, 'File Links'!C:C, 0)), "N/A", HYPERLINK(INDEX('File Links'!B:B, MATCH(V1502, 'File Links'!C:C, 0))))</f>
        <v>N/A</v>
      </c>
      <c r="Y1502" s="72" t="s">
        <v>147</v>
      </c>
      <c r="Z1502" s="72" t="s">
        <v>226</v>
      </c>
      <c r="AA1502" s="72" t="s">
        <v>8593</v>
      </c>
      <c r="AB1502" s="72" t="s">
        <v>8584</v>
      </c>
      <c r="AC1502" s="72" t="s">
        <v>8594</v>
      </c>
      <c r="AD1502" s="73"/>
      <c r="AE1502" s="73"/>
      <c r="AF1502" s="72">
        <v>33.0</v>
      </c>
      <c r="AG1502" s="72">
        <v>2.44</v>
      </c>
      <c r="AH1502" s="72" t="s">
        <v>134</v>
      </c>
      <c r="AI1502" s="72" t="s">
        <v>8595</v>
      </c>
      <c r="AJ1502" s="72">
        <v>0.05</v>
      </c>
      <c r="AK1502" s="93" t="s">
        <v>135</v>
      </c>
      <c r="AL1502" s="73"/>
      <c r="AM1502" s="73"/>
      <c r="AN1502" s="73"/>
      <c r="AO1502" s="73"/>
      <c r="AP1502" s="72">
        <v>0.06</v>
      </c>
      <c r="AQ1502" s="73"/>
      <c r="AR1502" s="73"/>
      <c r="AS1502" s="72" t="s">
        <v>150</v>
      </c>
      <c r="AT1502" s="92"/>
      <c r="AU1502" s="92"/>
      <c r="AV1502" s="94"/>
      <c r="AW1502" s="92"/>
      <c r="AX1502" s="92"/>
      <c r="AY1502" s="61" t="str">
        <f>IFERROR(__xludf.DUMMYFUNCTION("vlookup(BB1502,importrange(""https://docs.google.com/spreadsheets/d/1d2vevQ_7D_v35q4wCQ4RpQ_IPoTwEMB9Yp6ymwlPqew/edit?gid=984458430#gid=984458430"", ""'replication success'!A:K""), 11, FAlSE)"),"failed")</f>
        <v>failed</v>
      </c>
      <c r="AZ1502" s="61" t="str">
        <f>IFERROR(__xludf.DUMMYFUNCTION("vlookup(BB1502,importrange(""https://docs.google.com/spreadsheets/d/1d2vevQ_7D_v35q4wCQ4RpQ_IPoTwEMB9Yp6ymwlPqew/edit?gid=984458430#gid=984458430"",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2" s="61" t="str">
        <f>IFERROR(__xludf.DUMMYFUNCTION("vlookup(BB1502,importrange(""https://docs.google.com/spreadsheets/d/1d2vevQ_7D_v35q4wCQ4RpQ_IPoTwEMB9Yp6ymwlPqew/edit?gid=984458430#gid=984458430"", ""'replication success'!A:M""), 13, FAlSE)"),"abstract")</f>
        <v>abstract</v>
      </c>
      <c r="BB1502" s="61" t="str">
        <f>IFERROR(__xludf.DUMMYFUNCTION("REGEXREPLACE(G1502, ""_[a-z]{1,2}$"", """")"),"dqv9y")</f>
        <v>dqv9y</v>
      </c>
      <c r="BC1502" s="92"/>
      <c r="BD1502" s="716" t="s">
        <v>144</v>
      </c>
    </row>
    <row r="1503">
      <c r="A1503" s="44">
        <v>1503.0</v>
      </c>
      <c r="B1503" s="1711" t="s">
        <v>114</v>
      </c>
      <c r="C1503" s="93" t="s">
        <v>115</v>
      </c>
      <c r="D1503" s="93" t="s">
        <v>195</v>
      </c>
      <c r="E1503" s="92"/>
      <c r="F1503" s="93" t="s">
        <v>8574</v>
      </c>
      <c r="G1503" s="72" t="s">
        <v>8575</v>
      </c>
      <c r="H1503" s="72" t="s">
        <v>8589</v>
      </c>
      <c r="I1503" s="1719">
        <v>45644.0</v>
      </c>
      <c r="J1503" s="170">
        <v>45684.0</v>
      </c>
      <c r="K1503" s="73"/>
      <c r="L1503" s="73"/>
      <c r="M1503" s="72" t="s">
        <v>8578</v>
      </c>
      <c r="N1503" s="72" t="s">
        <v>8579</v>
      </c>
      <c r="O1503" s="72">
        <v>3.0</v>
      </c>
      <c r="P1503" s="1720" t="s">
        <v>8580</v>
      </c>
      <c r="Q1503" s="108" t="str">
        <f t="array" ref="Q1503"> if(iserror(MATCH(V1503, 'File Links'!C:C, 0)), "N/A", HYPERLINK(INDEX('File Links'!B:B, MATCH(P1503, 'File Links'!C:C, 0))))</f>
        <v>N/A</v>
      </c>
      <c r="R1503" s="72" t="s">
        <v>8590</v>
      </c>
      <c r="S1503" s="72" t="s">
        <v>8591</v>
      </c>
      <c r="T1503" s="73"/>
      <c r="U1503" s="72"/>
      <c r="V1503" s="72" t="s">
        <v>8592</v>
      </c>
      <c r="W1503" s="720" t="s">
        <v>209</v>
      </c>
      <c r="X1503" s="49" t="str">
        <f t="array" ref="X1503"> if(iserror(MATCH(V1503, 'File Links'!C:C, 0)), "N/A", HYPERLINK(INDEX('File Links'!B:B, MATCH(V1503, 'File Links'!C:C, 0))))</f>
        <v>N/A</v>
      </c>
      <c r="Y1503" s="72" t="s">
        <v>147</v>
      </c>
      <c r="Z1503" s="72" t="s">
        <v>226</v>
      </c>
      <c r="AA1503" s="72" t="s">
        <v>8596</v>
      </c>
      <c r="AB1503" s="72" t="s">
        <v>8584</v>
      </c>
      <c r="AC1503" s="72" t="s">
        <v>8594</v>
      </c>
      <c r="AD1503" s="73"/>
      <c r="AE1503" s="73"/>
      <c r="AF1503" s="72">
        <v>33.0</v>
      </c>
      <c r="AG1503" s="72">
        <v>2.43</v>
      </c>
      <c r="AH1503" s="72" t="s">
        <v>134</v>
      </c>
      <c r="AI1503" s="72" t="s">
        <v>8597</v>
      </c>
      <c r="AJ1503" s="72">
        <v>0.05</v>
      </c>
      <c r="AK1503" s="93" t="s">
        <v>135</v>
      </c>
      <c r="AL1503" s="73"/>
      <c r="AM1503" s="73"/>
      <c r="AN1503" s="73"/>
      <c r="AO1503" s="73"/>
      <c r="AP1503" s="72">
        <v>-0.23</v>
      </c>
      <c r="AQ1503" s="73"/>
      <c r="AR1503" s="73"/>
      <c r="AS1503" s="72" t="s">
        <v>150</v>
      </c>
      <c r="AT1503" s="92"/>
      <c r="AU1503" s="92"/>
      <c r="AV1503" s="94"/>
      <c r="AW1503" s="92"/>
      <c r="AX1503" s="92"/>
      <c r="AY1503" s="61" t="str">
        <f>IFERROR(__xludf.DUMMYFUNCTION("vlookup(BB1503,importrange(""https://docs.google.com/spreadsheets/d/1d2vevQ_7D_v35q4wCQ4RpQ_IPoTwEMB9Yp6ymwlPqew/edit?gid=984458430#gid=984458430"", ""'replication success'!A:K""), 11, FAlSE)"),"failed")</f>
        <v>failed</v>
      </c>
      <c r="AZ1503" s="61" t="str">
        <f>IFERROR(__xludf.DUMMYFUNCTION("vlookup(BB1503,importrange(""https://docs.google.com/spreadsheets/d/1d2vevQ_7D_v35q4wCQ4RpQ_IPoTwEMB9Yp6ymwlPqew/edit?gid=984458430#gid=984458430"",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3" s="61" t="str">
        <f>IFERROR(__xludf.DUMMYFUNCTION("vlookup(BB1503,importrange(""https://docs.google.com/spreadsheets/d/1d2vevQ_7D_v35q4wCQ4RpQ_IPoTwEMB9Yp6ymwlPqew/edit?gid=984458430#gid=984458430"", ""'replication success'!A:M""), 13, FAlSE)"),"abstract")</f>
        <v>abstract</v>
      </c>
      <c r="BB1503" s="61" t="str">
        <f>IFERROR(__xludf.DUMMYFUNCTION("REGEXREPLACE(G1503, ""_[a-z]{1,2}$"", """")"),"dqv9y")</f>
        <v>dqv9y</v>
      </c>
      <c r="BC1503" s="92"/>
      <c r="BD1503" s="716" t="s">
        <v>144</v>
      </c>
    </row>
    <row r="1504">
      <c r="A1504" s="44">
        <v>1504.0</v>
      </c>
      <c r="B1504" s="1711" t="s">
        <v>114</v>
      </c>
      <c r="C1504" s="93" t="s">
        <v>115</v>
      </c>
      <c r="D1504" s="93" t="s">
        <v>195</v>
      </c>
      <c r="E1504" s="92"/>
      <c r="F1504" s="93" t="s">
        <v>8574</v>
      </c>
      <c r="G1504" s="72" t="s">
        <v>8575</v>
      </c>
      <c r="H1504" s="72" t="s">
        <v>8589</v>
      </c>
      <c r="I1504" s="1719">
        <v>45644.0</v>
      </c>
      <c r="J1504" s="170">
        <v>45684.0</v>
      </c>
      <c r="K1504" s="73"/>
      <c r="L1504" s="73"/>
      <c r="M1504" s="72" t="s">
        <v>8578</v>
      </c>
      <c r="N1504" s="72" t="s">
        <v>8579</v>
      </c>
      <c r="O1504" s="72">
        <v>3.0</v>
      </c>
      <c r="P1504" s="1720" t="s">
        <v>8580</v>
      </c>
      <c r="Q1504" s="108" t="str">
        <f t="array" ref="Q1504"> if(iserror(MATCH(V1504, 'File Links'!C:C, 0)), "N/A", HYPERLINK(INDEX('File Links'!B:B, MATCH(P1504, 'File Links'!C:C, 0))))</f>
        <v>N/A</v>
      </c>
      <c r="R1504" s="72" t="s">
        <v>8590</v>
      </c>
      <c r="S1504" s="72" t="s">
        <v>8591</v>
      </c>
      <c r="T1504" s="73"/>
      <c r="U1504" s="72"/>
      <c r="V1504" s="72" t="s">
        <v>8592</v>
      </c>
      <c r="W1504" s="720" t="s">
        <v>209</v>
      </c>
      <c r="X1504" s="49" t="str">
        <f t="array" ref="X1504"> if(iserror(MATCH(V1504, 'File Links'!C:C, 0)), "N/A", HYPERLINK(INDEX('File Links'!B:B, MATCH(V1504, 'File Links'!C:C, 0))))</f>
        <v>N/A</v>
      </c>
      <c r="Y1504" s="72" t="s">
        <v>147</v>
      </c>
      <c r="Z1504" s="72" t="s">
        <v>226</v>
      </c>
      <c r="AA1504" s="72" t="s">
        <v>8598</v>
      </c>
      <c r="AB1504" s="72" t="s">
        <v>8584</v>
      </c>
      <c r="AC1504" s="72" t="s">
        <v>8594</v>
      </c>
      <c r="AD1504" s="73"/>
      <c r="AE1504" s="73"/>
      <c r="AF1504" s="72">
        <v>33.0</v>
      </c>
      <c r="AG1504" s="72" t="s">
        <v>8599</v>
      </c>
      <c r="AH1504" s="72" t="s">
        <v>134</v>
      </c>
      <c r="AI1504" s="72" t="s">
        <v>8600</v>
      </c>
      <c r="AJ1504" s="72">
        <v>0.63</v>
      </c>
      <c r="AK1504" s="93" t="s">
        <v>335</v>
      </c>
      <c r="AL1504" s="73"/>
      <c r="AM1504" s="73"/>
      <c r="AN1504" s="73"/>
      <c r="AO1504" s="73"/>
      <c r="AP1504" s="72">
        <v>-0.1</v>
      </c>
      <c r="AQ1504" s="73"/>
      <c r="AR1504" s="73"/>
      <c r="AS1504" s="72" t="s">
        <v>150</v>
      </c>
      <c r="AT1504" s="92"/>
      <c r="AU1504" s="92"/>
      <c r="AV1504" s="94"/>
      <c r="AW1504" s="92"/>
      <c r="AX1504" s="92"/>
      <c r="AY1504" s="61" t="str">
        <f>IFERROR(__xludf.DUMMYFUNCTION("vlookup(BB1504,importrange(""https://docs.google.com/spreadsheets/d/1d2vevQ_7D_v35q4wCQ4RpQ_IPoTwEMB9Yp6ymwlPqew/edit?gid=984458430#gid=984458430"", ""'replication success'!A:K""), 11, FAlSE)"),"failed")</f>
        <v>failed</v>
      </c>
      <c r="AZ1504" s="61" t="str">
        <f>IFERROR(__xludf.DUMMYFUNCTION("vlookup(BB1504,importrange(""https://docs.google.com/spreadsheets/d/1d2vevQ_7D_v35q4wCQ4RpQ_IPoTwEMB9Yp6ymwlPqew/edit?gid=984458430#gid=984458430"",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4" s="61" t="str">
        <f>IFERROR(__xludf.DUMMYFUNCTION("vlookup(BB1504,importrange(""https://docs.google.com/spreadsheets/d/1d2vevQ_7D_v35q4wCQ4RpQ_IPoTwEMB9Yp6ymwlPqew/edit?gid=984458430#gid=984458430"", ""'replication success'!A:M""), 13, FAlSE)"),"abstract")</f>
        <v>abstract</v>
      </c>
      <c r="BB1504" s="61" t="str">
        <f>IFERROR(__xludf.DUMMYFUNCTION("REGEXREPLACE(G1504, ""_[a-z]{1,2}$"", """")"),"dqv9y")</f>
        <v>dqv9y</v>
      </c>
      <c r="BC1504" s="92"/>
      <c r="BD1504" s="716" t="s">
        <v>144</v>
      </c>
    </row>
    <row r="1505">
      <c r="A1505" s="44">
        <v>1505.0</v>
      </c>
      <c r="B1505" s="1711" t="s">
        <v>152</v>
      </c>
      <c r="C1505" s="1711" t="s">
        <v>115</v>
      </c>
      <c r="D1505" s="716" t="s">
        <v>145</v>
      </c>
      <c r="E1505" s="697"/>
      <c r="F1505" s="93" t="s">
        <v>8574</v>
      </c>
      <c r="G1505" s="718" t="s">
        <v>8601</v>
      </c>
      <c r="H1505" s="718" t="s">
        <v>8576</v>
      </c>
      <c r="I1505" s="1712">
        <v>45641.0</v>
      </c>
      <c r="J1505" s="170">
        <v>45684.0</v>
      </c>
      <c r="K1505" s="723"/>
      <c r="L1505" s="720" t="s">
        <v>8577</v>
      </c>
      <c r="M1505" s="718" t="s">
        <v>8578</v>
      </c>
      <c r="N1505" s="718" t="s">
        <v>8579</v>
      </c>
      <c r="O1505" s="1713">
        <v>3.0</v>
      </c>
      <c r="P1505" s="1714" t="s">
        <v>8580</v>
      </c>
      <c r="Q1505" s="52" t="str">
        <f t="array" ref="Q1505"> if(iserror(MATCH(V1505, 'File Links'!C:C, 0)), "N/A", HYPERLINK(INDEX('File Links'!B:B, MATCH(P1505, 'File Links'!C:C, 0))))</f>
        <v>https://drive.google.com/file/d/1_IO4PdoMe7l8Q03W9hLBkKiHGidC5w-t/view?usp=drivesdk</v>
      </c>
      <c r="R1505" s="1721" t="s">
        <v>8602</v>
      </c>
      <c r="S1505" s="730" t="s">
        <v>8582</v>
      </c>
      <c r="T1505" s="723"/>
      <c r="U1505" s="1715">
        <v>3.0</v>
      </c>
      <c r="V1505" s="198" t="str">
        <f t="shared" ref="V1505:V1578" si="113"> hyperlink(vlookup(lower(S1505),#REF!, 2, FALSE), SUBSTITUTE(lower(S1505), "/", "--") &amp;  ".pdf")</f>
        <v>10.1525--collabra.177.pdf</v>
      </c>
      <c r="W1505" s="720" t="s">
        <v>209</v>
      </c>
      <c r="X1505" s="54" t="str">
        <f t="array" ref="X1505"> if(iserror(MATCH(V1505, 'File Links'!C:C, 0)), "N/A", HYPERLINK(INDEX('File Links'!B:B, MATCH(V1505, 'File Links'!C:C, 0))))</f>
        <v>https://drive.google.com/file/d/1SNviYFYkLPApLDE4sxFOX_wRepMI0nnI/view?usp=drivesdk</v>
      </c>
      <c r="Y1505" s="723"/>
      <c r="Z1505" s="723" t="s">
        <v>226</v>
      </c>
      <c r="AA1505" s="72" t="s">
        <v>8583</v>
      </c>
      <c r="AB1505" s="723" t="s">
        <v>8584</v>
      </c>
      <c r="AC1505" s="723" t="s">
        <v>8603</v>
      </c>
      <c r="AD1505" s="723" t="s">
        <v>8604</v>
      </c>
      <c r="AE1505" s="723" t="s">
        <v>132</v>
      </c>
      <c r="AF1505" s="1713">
        <v>33.0</v>
      </c>
      <c r="AG1505" s="1713">
        <v>0.85</v>
      </c>
      <c r="AH1505" s="766" t="s">
        <v>173</v>
      </c>
      <c r="AI1505" s="723" t="s">
        <v>132</v>
      </c>
      <c r="AJ1505" s="1713">
        <v>0.05</v>
      </c>
      <c r="AK1505" s="1428" t="s">
        <v>135</v>
      </c>
      <c r="AL1505" s="723" t="s">
        <v>136</v>
      </c>
      <c r="AM1505" s="723" t="s">
        <v>137</v>
      </c>
      <c r="AN1505" s="330" t="s">
        <v>138</v>
      </c>
      <c r="AO1505" s="1713">
        <v>28.0</v>
      </c>
      <c r="AP1505" s="1713">
        <v>-0.23</v>
      </c>
      <c r="AQ1505" s="723" t="s">
        <v>173</v>
      </c>
      <c r="AR1505" s="1716" t="s">
        <v>8587</v>
      </c>
      <c r="AS1505" s="720" t="s">
        <v>138</v>
      </c>
      <c r="AT1505" s="720" t="s">
        <v>138</v>
      </c>
      <c r="AU1505" s="720" t="s">
        <v>138</v>
      </c>
      <c r="AV1505" s="1474" t="s">
        <v>137</v>
      </c>
      <c r="AW1505" s="1717" t="s">
        <v>8588</v>
      </c>
      <c r="AX1505" s="1718" t="s">
        <v>143</v>
      </c>
      <c r="AY1505" s="61" t="str">
        <f>IFERROR(__xludf.DUMMYFUNCTION("vlookup(BB1505,importrange(""https://docs.google.com/spreadsheets/d/1d2vevQ_7D_v35q4wCQ4RpQ_IPoTwEMB9Yp6ymwlPqew/edit?gid=984458430#gid=984458430"", ""'replication success'!A:K""), 11, FAlSE)"),"failed")</f>
        <v>failed</v>
      </c>
      <c r="AZ1505" s="61" t="str">
        <f>IFERROR(__xludf.DUMMYFUNCTION("vlookup(BB1505,importrange(""https://docs.google.com/spreadsheets/d/1d2vevQ_7D_v35q4wCQ4RpQ_IPoTwEMB9Yp6ymwlPqew/edit?gid=984458430#gid=984458430"",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5" s="61" t="str">
        <f>IFERROR(__xludf.DUMMYFUNCTION("vlookup(BB1505,importrange(""https://docs.google.com/spreadsheets/d/1d2vevQ_7D_v35q4wCQ4RpQ_IPoTwEMB9Yp6ymwlPqew/edit?gid=984458430#gid=984458430"", ""'replication success'!A:M""), 13, FAlSE)"),"abstract")</f>
        <v>abstract</v>
      </c>
      <c r="BB1505" s="61" t="str">
        <f>IFERROR(__xludf.DUMMYFUNCTION("REGEXREPLACE(G1505, ""_[a-z]{1,2}$"", """")"),"dqv9y")</f>
        <v>dqv9y</v>
      </c>
      <c r="BC1505" s="697"/>
      <c r="BD1505" s="716" t="s">
        <v>144</v>
      </c>
    </row>
    <row r="1506">
      <c r="A1506" s="44">
        <v>1506.0</v>
      </c>
      <c r="B1506" s="1711" t="s">
        <v>152</v>
      </c>
      <c r="C1506" s="1711" t="s">
        <v>115</v>
      </c>
      <c r="D1506" s="716" t="s">
        <v>145</v>
      </c>
      <c r="E1506" s="697"/>
      <c r="F1506" s="93" t="s">
        <v>8574</v>
      </c>
      <c r="G1506" s="718" t="s">
        <v>8605</v>
      </c>
      <c r="H1506" s="718" t="s">
        <v>8576</v>
      </c>
      <c r="I1506" s="1712">
        <v>45641.0</v>
      </c>
      <c r="J1506" s="170">
        <v>45684.0</v>
      </c>
      <c r="K1506" s="723"/>
      <c r="L1506" s="720" t="s">
        <v>8577</v>
      </c>
      <c r="M1506" s="718" t="s">
        <v>8578</v>
      </c>
      <c r="N1506" s="718" t="s">
        <v>8579</v>
      </c>
      <c r="O1506" s="1713">
        <v>3.0</v>
      </c>
      <c r="P1506" s="1714" t="s">
        <v>8580</v>
      </c>
      <c r="Q1506" s="52" t="str">
        <f t="array" ref="Q1506"> if(iserror(MATCH(V1506, 'File Links'!C:C, 0)), "N/A", HYPERLINK(INDEX('File Links'!B:B, MATCH(P1506, 'File Links'!C:C, 0))))</f>
        <v>https://drive.google.com/file/d/1_IO4PdoMe7l8Q03W9hLBkKiHGidC5w-t/view?usp=drivesdk</v>
      </c>
      <c r="R1506" s="1721" t="s">
        <v>8602</v>
      </c>
      <c r="S1506" s="730" t="s">
        <v>8582</v>
      </c>
      <c r="T1506" s="723"/>
      <c r="U1506" s="1715">
        <v>3.0</v>
      </c>
      <c r="V1506" s="198" t="str">
        <f t="shared" si="113"/>
        <v>10.1525--collabra.177.pdf</v>
      </c>
      <c r="W1506" s="720" t="s">
        <v>209</v>
      </c>
      <c r="X1506" s="54" t="str">
        <f t="array" ref="X1506"> if(iserror(MATCH(V1506, 'File Links'!C:C, 0)), "N/A", HYPERLINK(INDEX('File Links'!B:B, MATCH(V1506, 'File Links'!C:C, 0))))</f>
        <v>https://drive.google.com/file/d/1SNviYFYkLPApLDE4sxFOX_wRepMI0nnI/view?usp=drivesdk</v>
      </c>
      <c r="Y1506" s="723"/>
      <c r="Z1506" s="723" t="s">
        <v>226</v>
      </c>
      <c r="AA1506" s="72" t="s">
        <v>8583</v>
      </c>
      <c r="AB1506" s="723" t="s">
        <v>8584</v>
      </c>
      <c r="AC1506" s="723" t="s">
        <v>8606</v>
      </c>
      <c r="AD1506" s="723" t="s">
        <v>8607</v>
      </c>
      <c r="AE1506" s="723" t="s">
        <v>132</v>
      </c>
      <c r="AF1506" s="1713">
        <v>33.0</v>
      </c>
      <c r="AG1506" s="1510" t="s">
        <v>138</v>
      </c>
      <c r="AH1506" s="167" t="s">
        <v>138</v>
      </c>
      <c r="AI1506" s="723" t="s">
        <v>132</v>
      </c>
      <c r="AJ1506" s="1713">
        <v>0.63</v>
      </c>
      <c r="AK1506" s="1428" t="s">
        <v>335</v>
      </c>
      <c r="AL1506" s="723" t="s">
        <v>136</v>
      </c>
      <c r="AM1506" s="723" t="s">
        <v>137</v>
      </c>
      <c r="AN1506" s="330" t="s">
        <v>138</v>
      </c>
      <c r="AO1506" s="1713">
        <v>28.0</v>
      </c>
      <c r="AP1506" s="1713">
        <v>-0.1</v>
      </c>
      <c r="AQ1506" s="723" t="s">
        <v>173</v>
      </c>
      <c r="AR1506" s="1716" t="s">
        <v>8587</v>
      </c>
      <c r="AS1506" s="720" t="s">
        <v>138</v>
      </c>
      <c r="AT1506" s="720" t="s">
        <v>138</v>
      </c>
      <c r="AU1506" s="720" t="s">
        <v>138</v>
      </c>
      <c r="AV1506" s="1474" t="s">
        <v>137</v>
      </c>
      <c r="AW1506" s="1717" t="s">
        <v>8588</v>
      </c>
      <c r="AX1506" s="1718" t="s">
        <v>143</v>
      </c>
      <c r="AY1506" s="61" t="str">
        <f>IFERROR(__xludf.DUMMYFUNCTION("vlookup(BB1506,importrange(""https://docs.google.com/spreadsheets/d/1d2vevQ_7D_v35q4wCQ4RpQ_IPoTwEMB9Yp6ymwlPqew/edit?gid=984458430#gid=984458430"", ""'replication success'!A:K""), 11, FAlSE)"),"failed")</f>
        <v>failed</v>
      </c>
      <c r="AZ1506" s="61" t="str">
        <f>IFERROR(__xludf.DUMMYFUNCTION("vlookup(BB1506,importrange(""https://docs.google.com/spreadsheets/d/1d2vevQ_7D_v35q4wCQ4RpQ_IPoTwEMB9Yp6ymwlPqew/edit?gid=984458430#gid=984458430"", ""'replication success'!A:M""), 12, FAlSE)"),"Results of this meta-analysis showed no effect of red on attractiveness ratings for either perceived attractiveness (mean ratings difference = –0.07, 95% CI [–0.31, 0.16]) or sexual
attractiveness (mean ratings difference = –0.06, 95% CI [–0.36, 0.24]); "&amp;"this null result held with and
without Elliot et al.’s (2010) data included in analyses.")</f>
        <v>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v>
      </c>
      <c r="BA1506" s="61" t="str">
        <f>IFERROR(__xludf.DUMMYFUNCTION("vlookup(BB1506,importrange(""https://docs.google.com/spreadsheets/d/1d2vevQ_7D_v35q4wCQ4RpQ_IPoTwEMB9Yp6ymwlPqew/edit?gid=984458430#gid=984458430"", ""'replication success'!A:M""), 13, FAlSE)"),"abstract")</f>
        <v>abstract</v>
      </c>
      <c r="BB1506" s="61" t="str">
        <f>IFERROR(__xludf.DUMMYFUNCTION("REGEXREPLACE(G1506, ""_[a-z]{1,2}$"", """")"),"dqv9y")</f>
        <v>dqv9y</v>
      </c>
      <c r="BC1506" s="697"/>
      <c r="BD1506" s="716" t="s">
        <v>144</v>
      </c>
    </row>
    <row r="1507">
      <c r="A1507" s="44">
        <v>1507.0</v>
      </c>
      <c r="B1507" s="45" t="s">
        <v>285</v>
      </c>
      <c r="C1507" s="45" t="s">
        <v>115</v>
      </c>
      <c r="D1507" s="62" t="s">
        <v>145</v>
      </c>
      <c r="F1507" s="46" t="s">
        <v>8608</v>
      </c>
      <c r="G1507" s="47" t="s">
        <v>8609</v>
      </c>
      <c r="H1507" s="47" t="s">
        <v>8610</v>
      </c>
      <c r="I1507" s="47" t="s">
        <v>119</v>
      </c>
      <c r="J1507" s="48">
        <v>45641.0</v>
      </c>
      <c r="K1507" s="49"/>
      <c r="L1507" s="49"/>
      <c r="M1507" s="343" t="s">
        <v>8611</v>
      </c>
      <c r="N1507" s="47" t="s">
        <v>8612</v>
      </c>
      <c r="O1507" s="508">
        <v>3.0</v>
      </c>
      <c r="P1507" s="1722" t="s">
        <v>8613</v>
      </c>
      <c r="Q1507" s="52" t="str">
        <f t="array" ref="Q1507"> if(iserror(MATCH(V1507, 'File Links'!C:C, 0)), "N/A", HYPERLINK(INDEX('File Links'!B:B, MATCH(P1507, 'File Links'!C:C, 0))))</f>
        <v>https://drive.google.com/file/d/1xUlRe3MC-gZV8Zhd6NQNLSAYxUKd-bXT/view?usp=drivesdk</v>
      </c>
      <c r="R1507" s="47" t="s">
        <v>8614</v>
      </c>
      <c r="S1507" s="47" t="s">
        <v>8615</v>
      </c>
      <c r="T1507" s="49"/>
      <c r="U1507" s="53">
        <v>3.0</v>
      </c>
      <c r="V1507" s="198" t="str">
        <f t="shared" si="113"/>
        <v>10.17605--osf.io--e9d3k.pdf</v>
      </c>
      <c r="W1507" s="49" t="s">
        <v>127</v>
      </c>
      <c r="X1507" s="54" t="str">
        <f t="array" ref="X1507"> if(iserror(MATCH(V1507, 'File Links'!C:C, 0)), "N/A", HYPERLINK(INDEX('File Links'!B:B, MATCH(V1507, 'File Links'!C:C, 0))))</f>
        <v>https://drive.google.com/file/d/1VipPphabn-Kfe9AzHC0j5FX1Fqp3bd0q/view?usp=drivesdk</v>
      </c>
      <c r="Y1507" s="49"/>
      <c r="Z1507" s="49" t="s">
        <v>226</v>
      </c>
      <c r="AA1507" s="49" t="s">
        <v>8616</v>
      </c>
      <c r="AB1507" s="49" t="s">
        <v>8617</v>
      </c>
      <c r="AC1507" s="49" t="s">
        <v>8618</v>
      </c>
      <c r="AD1507" s="49" t="s">
        <v>8619</v>
      </c>
      <c r="AE1507" s="49" t="s">
        <v>628</v>
      </c>
      <c r="AF1507" s="50">
        <v>298.0</v>
      </c>
      <c r="AG1507" s="50">
        <v>0.04</v>
      </c>
      <c r="AH1507" s="51" t="s">
        <v>139</v>
      </c>
      <c r="AI1507" s="49" t="s">
        <v>628</v>
      </c>
      <c r="AJ1507" s="50">
        <v>0.004</v>
      </c>
      <c r="AK1507" s="46" t="s">
        <v>172</v>
      </c>
      <c r="AL1507" s="49" t="s">
        <v>136</v>
      </c>
      <c r="AM1507" s="49" t="s">
        <v>137</v>
      </c>
      <c r="AN1507" s="49"/>
      <c r="AO1507" s="50">
        <v>743.0</v>
      </c>
      <c r="AP1507" s="50">
        <v>0.04</v>
      </c>
      <c r="AQ1507" s="49" t="s">
        <v>139</v>
      </c>
      <c r="AR1507" s="49" t="s">
        <v>217</v>
      </c>
      <c r="AS1507" s="50">
        <v>0.001</v>
      </c>
      <c r="AT1507" s="46" t="s">
        <v>135</v>
      </c>
      <c r="AU1507" s="46" t="s">
        <v>136</v>
      </c>
      <c r="AV1507" s="46" t="s">
        <v>137</v>
      </c>
      <c r="AW1507" s="59" t="s">
        <v>8620</v>
      </c>
      <c r="AX1507" s="60" t="s">
        <v>143</v>
      </c>
      <c r="AY1507" s="61" t="str">
        <f>IFERROR(__xludf.DUMMYFUNCTION("vlookup(BB1507,importrange(""https://docs.google.com/spreadsheets/d/1d2vevQ_7D_v35q4wCQ4RpQ_IPoTwEMB9Yp6ymwlPqew/edit?gid=984458430#gid=984458430"", ""'replication success'!A:K""), 11, FAlSE)"),"#N/A")</f>
        <v>#N/A</v>
      </c>
      <c r="AZ1507" s="61" t="str">
        <f>IFERROR(__xludf.DUMMYFUNCTION("vlookup(BB1507,importrange(""https://docs.google.com/spreadsheets/d/1d2vevQ_7D_v35q4wCQ4RpQ_IPoTwEMB9Yp6ymwlPqew/edit?gid=984458430#gid=984458430"", ""'replication success'!A:M""), 12, FAlSE)"),"#N/A")</f>
        <v>#N/A</v>
      </c>
      <c r="BA1507" s="61" t="str">
        <f>IFERROR(__xludf.DUMMYFUNCTION("vlookup(BB1507,importrange(""https://docs.google.com/spreadsheets/d/1d2vevQ_7D_v35q4wCQ4RpQ_IPoTwEMB9Yp6ymwlPqew/edit?gid=984458430#gid=984458430"", ""'replication success'!A:M""), 13, FAlSE)"),"#N/A")</f>
        <v>#N/A</v>
      </c>
      <c r="BB1507" s="61" t="str">
        <f>IFERROR(__xludf.DUMMYFUNCTION("REGEXREPLACE(G1507, ""_[a-z]{1,2}$"", """")"),"e9d3k")</f>
        <v>e9d3k</v>
      </c>
    </row>
    <row r="1508">
      <c r="A1508" s="44">
        <v>1508.0</v>
      </c>
      <c r="B1508" s="531" t="s">
        <v>285</v>
      </c>
      <c r="C1508" s="531" t="s">
        <v>115</v>
      </c>
      <c r="D1508" s="531" t="s">
        <v>195</v>
      </c>
      <c r="E1508" s="532"/>
      <c r="F1508" s="531" t="s">
        <v>8608</v>
      </c>
      <c r="G1508" s="45" t="s">
        <v>8609</v>
      </c>
      <c r="H1508" s="45" t="s">
        <v>8621</v>
      </c>
      <c r="I1508" s="63">
        <v>45078.0</v>
      </c>
      <c r="J1508" s="64">
        <v>45644.0</v>
      </c>
      <c r="K1508" s="65"/>
      <c r="L1508" s="65"/>
      <c r="M1508" s="343" t="s">
        <v>8611</v>
      </c>
      <c r="N1508" s="45" t="s">
        <v>8612</v>
      </c>
      <c r="O1508" s="45">
        <v>3.0</v>
      </c>
      <c r="P1508" s="942" t="s">
        <v>8613</v>
      </c>
      <c r="Q1508" s="52" t="str">
        <f t="array" ref="Q1508"> if(iserror(MATCH(V1508, 'File Links'!C:C, 0)), "N/A", HYPERLINK(INDEX('File Links'!B:B, MATCH(P1508, 'File Links'!C:C, 0))))</f>
        <v>https://drive.google.com/file/d/1xUlRe3MC-gZV8Zhd6NQNLSAYxUKd-bXT/view?usp=drivesdk</v>
      </c>
      <c r="R1508" s="45" t="s">
        <v>8614</v>
      </c>
      <c r="S1508" s="45" t="s">
        <v>8615</v>
      </c>
      <c r="T1508" s="65"/>
      <c r="U1508" s="66"/>
      <c r="V1508" s="198" t="str">
        <f t="shared" si="113"/>
        <v>10.17605--osf.io--e9d3k.pdf</v>
      </c>
      <c r="W1508" s="45" t="s">
        <v>209</v>
      </c>
      <c r="X1508" s="54" t="str">
        <f t="array" ref="X1508"> if(iserror(MATCH(V1508, 'File Links'!C:C, 0)), "N/A", HYPERLINK(INDEX('File Links'!B:B, MATCH(V1508, 'File Links'!C:C, 0))))</f>
        <v>https://drive.google.com/file/d/1VipPphabn-Kfe9AzHC0j5FX1Fqp3bd0q/view?usp=drivesdk</v>
      </c>
      <c r="Y1508" s="65"/>
      <c r="Z1508" s="45" t="s">
        <v>226</v>
      </c>
      <c r="AA1508" s="65"/>
      <c r="AB1508" s="45" t="s">
        <v>8617</v>
      </c>
      <c r="AC1508" s="45" t="s">
        <v>8622</v>
      </c>
      <c r="AD1508" s="65"/>
      <c r="AE1508" s="65"/>
      <c r="AF1508" s="65"/>
      <c r="AG1508" s="65"/>
      <c r="AH1508" s="45"/>
      <c r="AI1508" s="65"/>
      <c r="AJ1508" s="65"/>
      <c r="AK1508" s="67"/>
      <c r="AL1508" s="65"/>
      <c r="AM1508" s="65"/>
      <c r="AN1508" s="65"/>
      <c r="AO1508" s="65"/>
      <c r="AP1508" s="65"/>
      <c r="AQ1508" s="65"/>
      <c r="AR1508" s="65"/>
      <c r="AS1508" s="65"/>
      <c r="AT1508" s="67"/>
      <c r="AU1508" s="67"/>
      <c r="AV1508" s="68"/>
      <c r="AX1508" s="67"/>
      <c r="AY1508" s="61" t="str">
        <f>IFERROR(__xludf.DUMMYFUNCTION("vlookup(BB1508,importrange(""https://docs.google.com/spreadsheets/d/1d2vevQ_7D_v35q4wCQ4RpQ_IPoTwEMB9Yp6ymwlPqew/edit?gid=984458430#gid=984458430"", ""'replication success'!A:K""), 11, FAlSE)"),"#N/A")</f>
        <v>#N/A</v>
      </c>
      <c r="AZ1508" s="61" t="str">
        <f>IFERROR(__xludf.DUMMYFUNCTION("vlookup(BB1508,importrange(""https://docs.google.com/spreadsheets/d/1d2vevQ_7D_v35q4wCQ4RpQ_IPoTwEMB9Yp6ymwlPqew/edit?gid=984458430#gid=984458430"", ""'replication success'!A:M""), 12, FAlSE)"),"#N/A")</f>
        <v>#N/A</v>
      </c>
      <c r="BA1508" s="61" t="str">
        <f>IFERROR(__xludf.DUMMYFUNCTION("vlookup(BB1508,importrange(""https://docs.google.com/spreadsheets/d/1d2vevQ_7D_v35q4wCQ4RpQ_IPoTwEMB9Yp6ymwlPqew/edit?gid=984458430#gid=984458430"", ""'replication success'!A:M""), 13, FAlSE)"),"#N/A")</f>
        <v>#N/A</v>
      </c>
      <c r="BB1508" s="61" t="str">
        <f>IFERROR(__xludf.DUMMYFUNCTION("REGEXREPLACE(G1508, ""_[a-z]{1,2}$"", """")"),"e9d3k")</f>
        <v>e9d3k</v>
      </c>
    </row>
    <row r="1509">
      <c r="A1509" s="44">
        <v>1509.0</v>
      </c>
      <c r="B1509" s="45" t="s">
        <v>285</v>
      </c>
      <c r="C1509" s="45" t="s">
        <v>115</v>
      </c>
      <c r="D1509" s="62" t="s">
        <v>145</v>
      </c>
      <c r="F1509" s="531" t="s">
        <v>8608</v>
      </c>
      <c r="G1509" s="47" t="s">
        <v>8623</v>
      </c>
      <c r="H1509" s="47" t="s">
        <v>8610</v>
      </c>
      <c r="I1509" s="47" t="s">
        <v>119</v>
      </c>
      <c r="J1509" s="48">
        <v>45641.0</v>
      </c>
      <c r="K1509" s="49"/>
      <c r="L1509" s="49"/>
      <c r="M1509" s="343" t="s">
        <v>8611</v>
      </c>
      <c r="N1509" s="47" t="s">
        <v>8612</v>
      </c>
      <c r="O1509" s="508">
        <v>3.0</v>
      </c>
      <c r="P1509" s="1722" t="s">
        <v>8613</v>
      </c>
      <c r="Q1509" s="52" t="str">
        <f t="array" ref="Q1509"> if(iserror(MATCH(V1509, 'File Links'!C:C, 0)), "N/A", HYPERLINK(INDEX('File Links'!B:B, MATCH(P1509, 'File Links'!C:C, 0))))</f>
        <v>https://drive.google.com/file/d/1xUlRe3MC-gZV8Zhd6NQNLSAYxUKd-bXT/view?usp=drivesdk</v>
      </c>
      <c r="R1509" s="47" t="s">
        <v>8614</v>
      </c>
      <c r="S1509" s="47" t="s">
        <v>8615</v>
      </c>
      <c r="T1509" s="49"/>
      <c r="U1509" s="53">
        <v>3.0</v>
      </c>
      <c r="V1509" s="198" t="str">
        <f t="shared" si="113"/>
        <v>10.17605--osf.io--e9d3k.pdf</v>
      </c>
      <c r="W1509" s="49" t="s">
        <v>127</v>
      </c>
      <c r="X1509" s="54" t="str">
        <f t="array" ref="X1509"> if(iserror(MATCH(V1509, 'File Links'!C:C, 0)), "N/A", HYPERLINK(INDEX('File Links'!B:B, MATCH(V1509, 'File Links'!C:C, 0))))</f>
        <v>https://drive.google.com/file/d/1VipPphabn-Kfe9AzHC0j5FX1Fqp3bd0q/view?usp=drivesdk</v>
      </c>
      <c r="Y1509" s="49"/>
      <c r="Z1509" s="49" t="s">
        <v>226</v>
      </c>
      <c r="AA1509" s="49" t="s">
        <v>8616</v>
      </c>
      <c r="AB1509" s="49" t="s">
        <v>8617</v>
      </c>
      <c r="AC1509" s="49" t="s">
        <v>8624</v>
      </c>
      <c r="AD1509" s="49" t="s">
        <v>8625</v>
      </c>
      <c r="AE1509" s="49" t="s">
        <v>628</v>
      </c>
      <c r="AF1509" s="50">
        <v>298.0</v>
      </c>
      <c r="AG1509" s="50">
        <v>0.12</v>
      </c>
      <c r="AH1509" s="51" t="s">
        <v>139</v>
      </c>
      <c r="AI1509" s="49" t="s">
        <v>628</v>
      </c>
      <c r="AJ1509" s="50">
        <v>0.001</v>
      </c>
      <c r="AK1509" s="46" t="s">
        <v>135</v>
      </c>
      <c r="AL1509" s="49" t="s">
        <v>136</v>
      </c>
      <c r="AM1509" s="49" t="s">
        <v>137</v>
      </c>
      <c r="AN1509" s="49"/>
      <c r="AO1509" s="50">
        <v>743.0</v>
      </c>
      <c r="AP1509" s="50">
        <v>0.07</v>
      </c>
      <c r="AQ1509" s="49" t="s">
        <v>139</v>
      </c>
      <c r="AR1509" s="49" t="s">
        <v>217</v>
      </c>
      <c r="AS1509" s="50">
        <v>0.001</v>
      </c>
      <c r="AT1509" s="46" t="s">
        <v>135</v>
      </c>
      <c r="AU1509" s="46" t="s">
        <v>136</v>
      </c>
      <c r="AV1509" s="46" t="s">
        <v>137</v>
      </c>
      <c r="AW1509" s="59" t="s">
        <v>8620</v>
      </c>
      <c r="AX1509" s="60" t="s">
        <v>143</v>
      </c>
      <c r="AY1509" s="61" t="str">
        <f>IFERROR(__xludf.DUMMYFUNCTION("vlookup(BB1509,importrange(""https://docs.google.com/spreadsheets/d/1d2vevQ_7D_v35q4wCQ4RpQ_IPoTwEMB9Yp6ymwlPqew/edit?gid=984458430#gid=984458430"", ""'replication success'!A:K""), 11, FAlSE)"),"#N/A")</f>
        <v>#N/A</v>
      </c>
      <c r="AZ1509" s="61" t="str">
        <f>IFERROR(__xludf.DUMMYFUNCTION("vlookup(BB1509,importrange(""https://docs.google.com/spreadsheets/d/1d2vevQ_7D_v35q4wCQ4RpQ_IPoTwEMB9Yp6ymwlPqew/edit?gid=984458430#gid=984458430"", ""'replication success'!A:M""), 12, FAlSE)"),"#N/A")</f>
        <v>#N/A</v>
      </c>
      <c r="BA1509" s="61" t="str">
        <f>IFERROR(__xludf.DUMMYFUNCTION("vlookup(BB1509,importrange(""https://docs.google.com/spreadsheets/d/1d2vevQ_7D_v35q4wCQ4RpQ_IPoTwEMB9Yp6ymwlPqew/edit?gid=984458430#gid=984458430"", ""'replication success'!A:M""), 13, FAlSE)"),"#N/A")</f>
        <v>#N/A</v>
      </c>
      <c r="BB1509" s="61" t="str">
        <f>IFERROR(__xludf.DUMMYFUNCTION("REGEXREPLACE(G1509, ""_[a-z]{1,2}$"", """")"),"e9d3k")</f>
        <v>e9d3k</v>
      </c>
    </row>
    <row r="1510">
      <c r="A1510" s="44">
        <v>1510.0</v>
      </c>
      <c r="B1510" s="45" t="s">
        <v>285</v>
      </c>
      <c r="C1510" s="45" t="s">
        <v>115</v>
      </c>
      <c r="D1510" s="62" t="s">
        <v>145</v>
      </c>
      <c r="F1510" s="531" t="s">
        <v>8608</v>
      </c>
      <c r="G1510" s="47" t="s">
        <v>8626</v>
      </c>
      <c r="H1510" s="47" t="s">
        <v>8610</v>
      </c>
      <c r="I1510" s="47" t="s">
        <v>119</v>
      </c>
      <c r="J1510" s="48">
        <v>45641.0</v>
      </c>
      <c r="K1510" s="49"/>
      <c r="L1510" s="49"/>
      <c r="M1510" s="343" t="s">
        <v>8611</v>
      </c>
      <c r="N1510" s="47" t="s">
        <v>8612</v>
      </c>
      <c r="O1510" s="508">
        <v>3.0</v>
      </c>
      <c r="P1510" s="1722" t="s">
        <v>8613</v>
      </c>
      <c r="Q1510" s="52" t="str">
        <f t="array" ref="Q1510"> if(iserror(MATCH(V1510, 'File Links'!C:C, 0)), "N/A", HYPERLINK(INDEX('File Links'!B:B, MATCH(P1510, 'File Links'!C:C, 0))))</f>
        <v>https://drive.google.com/file/d/1xUlRe3MC-gZV8Zhd6NQNLSAYxUKd-bXT/view?usp=drivesdk</v>
      </c>
      <c r="R1510" s="47" t="s">
        <v>8614</v>
      </c>
      <c r="S1510" s="47" t="s">
        <v>8615</v>
      </c>
      <c r="T1510" s="49"/>
      <c r="U1510" s="53">
        <v>3.0</v>
      </c>
      <c r="V1510" s="198" t="str">
        <f t="shared" si="113"/>
        <v>10.17605--osf.io--e9d3k.pdf</v>
      </c>
      <c r="W1510" s="49" t="s">
        <v>127</v>
      </c>
      <c r="X1510" s="54" t="str">
        <f t="array" ref="X1510"> if(iserror(MATCH(V1510, 'File Links'!C:C, 0)), "N/A", HYPERLINK(INDEX('File Links'!B:B, MATCH(V1510, 'File Links'!C:C, 0))))</f>
        <v>https://drive.google.com/file/d/1VipPphabn-Kfe9AzHC0j5FX1Fqp3bd0q/view?usp=drivesdk</v>
      </c>
      <c r="Y1510" s="49"/>
      <c r="Z1510" s="49" t="s">
        <v>226</v>
      </c>
      <c r="AA1510" s="49" t="s">
        <v>8616</v>
      </c>
      <c r="AB1510" s="49" t="s">
        <v>8617</v>
      </c>
      <c r="AC1510" s="49" t="s">
        <v>8627</v>
      </c>
      <c r="AD1510" s="49" t="s">
        <v>8628</v>
      </c>
      <c r="AE1510" s="49" t="s">
        <v>628</v>
      </c>
      <c r="AF1510" s="50">
        <v>298.0</v>
      </c>
      <c r="AG1510" s="50">
        <v>0.01</v>
      </c>
      <c r="AH1510" s="51" t="s">
        <v>139</v>
      </c>
      <c r="AI1510" s="49" t="s">
        <v>628</v>
      </c>
      <c r="AJ1510" s="50">
        <v>0.349</v>
      </c>
      <c r="AK1510" s="46" t="s">
        <v>172</v>
      </c>
      <c r="AL1510" s="49" t="s">
        <v>136</v>
      </c>
      <c r="AM1510" s="49" t="s">
        <v>137</v>
      </c>
      <c r="AN1510" s="49"/>
      <c r="AO1510" s="50">
        <v>743.0</v>
      </c>
      <c r="AP1510" s="50">
        <v>0.01</v>
      </c>
      <c r="AQ1510" s="49" t="s">
        <v>139</v>
      </c>
      <c r="AR1510" s="49" t="s">
        <v>217</v>
      </c>
      <c r="AS1510" s="50">
        <v>0.349</v>
      </c>
      <c r="AT1510" s="46" t="s">
        <v>172</v>
      </c>
      <c r="AU1510" s="46" t="s">
        <v>136</v>
      </c>
      <c r="AV1510" s="46" t="s">
        <v>137</v>
      </c>
      <c r="AW1510" s="59" t="s">
        <v>8620</v>
      </c>
      <c r="AX1510" s="60" t="s">
        <v>143</v>
      </c>
      <c r="AY1510" s="61" t="str">
        <f>IFERROR(__xludf.DUMMYFUNCTION("vlookup(BB1510,importrange(""https://docs.google.com/spreadsheets/d/1d2vevQ_7D_v35q4wCQ4RpQ_IPoTwEMB9Yp6ymwlPqew/edit?gid=984458430#gid=984458430"", ""'replication success'!A:K""), 11, FAlSE)"),"#N/A")</f>
        <v>#N/A</v>
      </c>
      <c r="AZ1510" s="61" t="str">
        <f>IFERROR(__xludf.DUMMYFUNCTION("vlookup(BB1510,importrange(""https://docs.google.com/spreadsheets/d/1d2vevQ_7D_v35q4wCQ4RpQ_IPoTwEMB9Yp6ymwlPqew/edit?gid=984458430#gid=984458430"", ""'replication success'!A:M""), 12, FAlSE)"),"#N/A")</f>
        <v>#N/A</v>
      </c>
      <c r="BA1510" s="61" t="str">
        <f>IFERROR(__xludf.DUMMYFUNCTION("vlookup(BB1510,importrange(""https://docs.google.com/spreadsheets/d/1d2vevQ_7D_v35q4wCQ4RpQ_IPoTwEMB9Yp6ymwlPqew/edit?gid=984458430#gid=984458430"", ""'replication success'!A:M""), 13, FAlSE)"),"#N/A")</f>
        <v>#N/A</v>
      </c>
      <c r="BB1510" s="61" t="str">
        <f>IFERROR(__xludf.DUMMYFUNCTION("REGEXREPLACE(G1510, ""_[a-z]{1,2}$"", """")"),"e9d3k")</f>
        <v>e9d3k</v>
      </c>
    </row>
    <row r="1511">
      <c r="A1511" s="44">
        <v>1511.0</v>
      </c>
      <c r="B1511" s="45" t="s">
        <v>285</v>
      </c>
      <c r="C1511" s="45" t="s">
        <v>115</v>
      </c>
      <c r="D1511" s="62" t="s">
        <v>145</v>
      </c>
      <c r="F1511" s="531" t="s">
        <v>8608</v>
      </c>
      <c r="G1511" s="47" t="s">
        <v>8629</v>
      </c>
      <c r="H1511" s="47" t="s">
        <v>8610</v>
      </c>
      <c r="I1511" s="47" t="s">
        <v>119</v>
      </c>
      <c r="J1511" s="48">
        <v>45641.0</v>
      </c>
      <c r="K1511" s="49"/>
      <c r="L1511" s="49"/>
      <c r="M1511" s="343" t="s">
        <v>8611</v>
      </c>
      <c r="N1511" s="47" t="s">
        <v>8612</v>
      </c>
      <c r="O1511" s="508">
        <v>3.0</v>
      </c>
      <c r="P1511" s="1722" t="s">
        <v>8613</v>
      </c>
      <c r="Q1511" s="52" t="str">
        <f t="array" ref="Q1511"> if(iserror(MATCH(V1511, 'File Links'!C:C, 0)), "N/A", HYPERLINK(INDEX('File Links'!B:B, MATCH(P1511, 'File Links'!C:C, 0))))</f>
        <v>https://drive.google.com/file/d/1xUlRe3MC-gZV8Zhd6NQNLSAYxUKd-bXT/view?usp=drivesdk</v>
      </c>
      <c r="R1511" s="47" t="s">
        <v>8614</v>
      </c>
      <c r="S1511" s="47" t="s">
        <v>8615</v>
      </c>
      <c r="T1511" s="49"/>
      <c r="U1511" s="53">
        <v>3.0</v>
      </c>
      <c r="V1511" s="198" t="str">
        <f t="shared" si="113"/>
        <v>10.17605--osf.io--e9d3k.pdf</v>
      </c>
      <c r="W1511" s="49" t="s">
        <v>127</v>
      </c>
      <c r="X1511" s="54" t="str">
        <f t="array" ref="X1511"> if(iserror(MATCH(V1511, 'File Links'!C:C, 0)), "N/A", HYPERLINK(INDEX('File Links'!B:B, MATCH(V1511, 'File Links'!C:C, 0))))</f>
        <v>https://drive.google.com/file/d/1VipPphabn-Kfe9AzHC0j5FX1Fqp3bd0q/view?usp=drivesdk</v>
      </c>
      <c r="Y1511" s="49"/>
      <c r="Z1511" s="49" t="s">
        <v>226</v>
      </c>
      <c r="AA1511" s="49" t="s">
        <v>8616</v>
      </c>
      <c r="AB1511" s="49" t="s">
        <v>8617</v>
      </c>
      <c r="AC1511" s="49" t="s">
        <v>8630</v>
      </c>
      <c r="AD1511" s="49" t="s">
        <v>8631</v>
      </c>
      <c r="AE1511" s="49" t="s">
        <v>628</v>
      </c>
      <c r="AF1511" s="50">
        <v>298.0</v>
      </c>
      <c r="AG1511" s="50">
        <v>0.07</v>
      </c>
      <c r="AH1511" s="51" t="s">
        <v>139</v>
      </c>
      <c r="AI1511" s="49" t="s">
        <v>628</v>
      </c>
      <c r="AJ1511" s="50">
        <v>0.001</v>
      </c>
      <c r="AK1511" s="46" t="s">
        <v>135</v>
      </c>
      <c r="AL1511" s="49" t="s">
        <v>136</v>
      </c>
      <c r="AM1511" s="49" t="s">
        <v>137</v>
      </c>
      <c r="AN1511" s="49"/>
      <c r="AO1511" s="50">
        <v>743.0</v>
      </c>
      <c r="AP1511" s="50">
        <v>0.02</v>
      </c>
      <c r="AQ1511" s="49" t="s">
        <v>139</v>
      </c>
      <c r="AR1511" s="49" t="s">
        <v>850</v>
      </c>
      <c r="AS1511" s="50">
        <v>0.01</v>
      </c>
      <c r="AT1511" s="46" t="s">
        <v>135</v>
      </c>
      <c r="AU1511" s="46" t="s">
        <v>136</v>
      </c>
      <c r="AV1511" s="46" t="s">
        <v>137</v>
      </c>
      <c r="AW1511" s="59" t="s">
        <v>8620</v>
      </c>
      <c r="AX1511" s="60" t="s">
        <v>143</v>
      </c>
      <c r="AY1511" s="61" t="str">
        <f>IFERROR(__xludf.DUMMYFUNCTION("vlookup(BB1511,importrange(""https://docs.google.com/spreadsheets/d/1d2vevQ_7D_v35q4wCQ4RpQ_IPoTwEMB9Yp6ymwlPqew/edit?gid=984458430#gid=984458430"", ""'replication success'!A:K""), 11, FAlSE)"),"#N/A")</f>
        <v>#N/A</v>
      </c>
      <c r="AZ1511" s="61" t="str">
        <f>IFERROR(__xludf.DUMMYFUNCTION("vlookup(BB1511,importrange(""https://docs.google.com/spreadsheets/d/1d2vevQ_7D_v35q4wCQ4RpQ_IPoTwEMB9Yp6ymwlPqew/edit?gid=984458430#gid=984458430"", ""'replication success'!A:M""), 12, FAlSE)"),"#N/A")</f>
        <v>#N/A</v>
      </c>
      <c r="BA1511" s="61" t="str">
        <f>IFERROR(__xludf.DUMMYFUNCTION("vlookup(BB1511,importrange(""https://docs.google.com/spreadsheets/d/1d2vevQ_7D_v35q4wCQ4RpQ_IPoTwEMB9Yp6ymwlPqew/edit?gid=984458430#gid=984458430"", ""'replication success'!A:M""), 13, FAlSE)"),"#N/A")</f>
        <v>#N/A</v>
      </c>
      <c r="BB1511" s="61" t="str">
        <f>IFERROR(__xludf.DUMMYFUNCTION("REGEXREPLACE(G1511, ""_[a-z]{1,2}$"", """")"),"e9d3k")</f>
        <v>e9d3k</v>
      </c>
    </row>
    <row r="1512">
      <c r="A1512" s="44">
        <v>1512.0</v>
      </c>
      <c r="B1512" s="45" t="s">
        <v>285</v>
      </c>
      <c r="C1512" s="45" t="s">
        <v>115</v>
      </c>
      <c r="D1512" s="62" t="s">
        <v>145</v>
      </c>
      <c r="F1512" s="531" t="s">
        <v>8608</v>
      </c>
      <c r="G1512" s="47" t="s">
        <v>8632</v>
      </c>
      <c r="H1512" s="47" t="s">
        <v>8610</v>
      </c>
      <c r="I1512" s="47" t="s">
        <v>119</v>
      </c>
      <c r="J1512" s="48">
        <v>45641.0</v>
      </c>
      <c r="K1512" s="49"/>
      <c r="L1512" s="49"/>
      <c r="M1512" s="343" t="s">
        <v>8611</v>
      </c>
      <c r="N1512" s="47" t="s">
        <v>8612</v>
      </c>
      <c r="O1512" s="508">
        <v>3.0</v>
      </c>
      <c r="P1512" s="1722" t="s">
        <v>8613</v>
      </c>
      <c r="Q1512" s="52" t="str">
        <f t="array" ref="Q1512"> if(iserror(MATCH(V1512, 'File Links'!C:C, 0)), "N/A", HYPERLINK(INDEX('File Links'!B:B, MATCH(P1512, 'File Links'!C:C, 0))))</f>
        <v>https://drive.google.com/file/d/1xUlRe3MC-gZV8Zhd6NQNLSAYxUKd-bXT/view?usp=drivesdk</v>
      </c>
      <c r="R1512" s="47" t="s">
        <v>8614</v>
      </c>
      <c r="S1512" s="47" t="s">
        <v>8615</v>
      </c>
      <c r="T1512" s="49"/>
      <c r="U1512" s="53">
        <v>3.0</v>
      </c>
      <c r="V1512" s="198" t="str">
        <f t="shared" si="113"/>
        <v>10.17605--osf.io--e9d3k.pdf</v>
      </c>
      <c r="W1512" s="49" t="s">
        <v>127</v>
      </c>
      <c r="X1512" s="54" t="str">
        <f t="array" ref="X1512"> if(iserror(MATCH(V1512, 'File Links'!C:C, 0)), "N/A", HYPERLINK(INDEX('File Links'!B:B, MATCH(V1512, 'File Links'!C:C, 0))))</f>
        <v>https://drive.google.com/file/d/1VipPphabn-Kfe9AzHC0j5FX1Fqp3bd0q/view?usp=drivesdk</v>
      </c>
      <c r="Y1512" s="49"/>
      <c r="Z1512" s="49" t="s">
        <v>226</v>
      </c>
      <c r="AA1512" s="49" t="s">
        <v>8616</v>
      </c>
      <c r="AB1512" s="49" t="s">
        <v>8617</v>
      </c>
      <c r="AC1512" s="49" t="s">
        <v>8633</v>
      </c>
      <c r="AD1512" s="49" t="s">
        <v>8634</v>
      </c>
      <c r="AE1512" s="49" t="s">
        <v>628</v>
      </c>
      <c r="AF1512" s="50">
        <v>298.0</v>
      </c>
      <c r="AG1512" s="50">
        <v>0.1</v>
      </c>
      <c r="AH1512" s="51" t="s">
        <v>139</v>
      </c>
      <c r="AI1512" s="49" t="s">
        <v>628</v>
      </c>
      <c r="AJ1512" s="50">
        <v>0.001</v>
      </c>
      <c r="AK1512" s="46" t="s">
        <v>135</v>
      </c>
      <c r="AL1512" s="49" t="s">
        <v>136</v>
      </c>
      <c r="AM1512" s="49" t="s">
        <v>137</v>
      </c>
      <c r="AN1512" s="49"/>
      <c r="AO1512" s="50">
        <v>743.0</v>
      </c>
      <c r="AP1512" s="50">
        <v>0.1</v>
      </c>
      <c r="AQ1512" s="49" t="s">
        <v>139</v>
      </c>
      <c r="AR1512" s="49" t="s">
        <v>850</v>
      </c>
      <c r="AS1512" s="50">
        <v>0.001</v>
      </c>
      <c r="AT1512" s="46" t="s">
        <v>135</v>
      </c>
      <c r="AU1512" s="46" t="s">
        <v>136</v>
      </c>
      <c r="AV1512" s="46" t="s">
        <v>137</v>
      </c>
      <c r="AW1512" s="59" t="s">
        <v>8620</v>
      </c>
      <c r="AX1512" s="60" t="s">
        <v>143</v>
      </c>
      <c r="AY1512" s="61" t="str">
        <f>IFERROR(__xludf.DUMMYFUNCTION("vlookup(BB1512,importrange(""https://docs.google.com/spreadsheets/d/1d2vevQ_7D_v35q4wCQ4RpQ_IPoTwEMB9Yp6ymwlPqew/edit?gid=984458430#gid=984458430"", ""'replication success'!A:K""), 11, FAlSE)"),"#N/A")</f>
        <v>#N/A</v>
      </c>
      <c r="AZ1512" s="61" t="str">
        <f>IFERROR(__xludf.DUMMYFUNCTION("vlookup(BB1512,importrange(""https://docs.google.com/spreadsheets/d/1d2vevQ_7D_v35q4wCQ4RpQ_IPoTwEMB9Yp6ymwlPqew/edit?gid=984458430#gid=984458430"", ""'replication success'!A:M""), 12, FAlSE)"),"#N/A")</f>
        <v>#N/A</v>
      </c>
      <c r="BA1512" s="61" t="str">
        <f>IFERROR(__xludf.DUMMYFUNCTION("vlookup(BB1512,importrange(""https://docs.google.com/spreadsheets/d/1d2vevQ_7D_v35q4wCQ4RpQ_IPoTwEMB9Yp6ymwlPqew/edit?gid=984458430#gid=984458430"", ""'replication success'!A:M""), 13, FAlSE)"),"#N/A")</f>
        <v>#N/A</v>
      </c>
      <c r="BB1512" s="61" t="str">
        <f>IFERROR(__xludf.DUMMYFUNCTION("REGEXREPLACE(G1512, ""_[a-z]{1,2}$"", """")"),"e9d3k")</f>
        <v>e9d3k</v>
      </c>
    </row>
    <row r="1513">
      <c r="A1513" s="44">
        <v>1513.0</v>
      </c>
      <c r="B1513" s="45" t="s">
        <v>285</v>
      </c>
      <c r="C1513" s="45" t="s">
        <v>115</v>
      </c>
      <c r="D1513" s="62" t="s">
        <v>145</v>
      </c>
      <c r="F1513" s="531" t="s">
        <v>8608</v>
      </c>
      <c r="G1513" s="47" t="s">
        <v>8635</v>
      </c>
      <c r="H1513" s="47" t="s">
        <v>8610</v>
      </c>
      <c r="I1513" s="47" t="s">
        <v>119</v>
      </c>
      <c r="J1513" s="48">
        <v>45641.0</v>
      </c>
      <c r="K1513" s="49"/>
      <c r="L1513" s="49"/>
      <c r="M1513" s="343" t="s">
        <v>8611</v>
      </c>
      <c r="N1513" s="47" t="s">
        <v>8612</v>
      </c>
      <c r="O1513" s="508">
        <v>3.0</v>
      </c>
      <c r="P1513" s="1722" t="s">
        <v>8613</v>
      </c>
      <c r="Q1513" s="52" t="str">
        <f t="array" ref="Q1513"> if(iserror(MATCH(V1513, 'File Links'!C:C, 0)), "N/A", HYPERLINK(INDEX('File Links'!B:B, MATCH(P1513, 'File Links'!C:C, 0))))</f>
        <v>https://drive.google.com/file/d/1xUlRe3MC-gZV8Zhd6NQNLSAYxUKd-bXT/view?usp=drivesdk</v>
      </c>
      <c r="R1513" s="47" t="s">
        <v>8614</v>
      </c>
      <c r="S1513" s="47" t="s">
        <v>8615</v>
      </c>
      <c r="T1513" s="49"/>
      <c r="U1513" s="53">
        <v>3.0</v>
      </c>
      <c r="V1513" s="198" t="str">
        <f t="shared" si="113"/>
        <v>10.17605--osf.io--e9d3k.pdf</v>
      </c>
      <c r="W1513" s="49" t="s">
        <v>127</v>
      </c>
      <c r="X1513" s="54" t="str">
        <f t="array" ref="X1513"> if(iserror(MATCH(V1513, 'File Links'!C:C, 0)), "N/A", HYPERLINK(INDEX('File Links'!B:B, MATCH(V1513, 'File Links'!C:C, 0))))</f>
        <v>https://drive.google.com/file/d/1VipPphabn-Kfe9AzHC0j5FX1Fqp3bd0q/view?usp=drivesdk</v>
      </c>
      <c r="Y1513" s="49"/>
      <c r="Z1513" s="49" t="s">
        <v>226</v>
      </c>
      <c r="AA1513" s="49" t="s">
        <v>8616</v>
      </c>
      <c r="AB1513" s="49" t="s">
        <v>8617</v>
      </c>
      <c r="AC1513" s="49" t="s">
        <v>8636</v>
      </c>
      <c r="AD1513" s="49" t="s">
        <v>8637</v>
      </c>
      <c r="AE1513" s="49" t="s">
        <v>628</v>
      </c>
      <c r="AF1513" s="50">
        <v>298.0</v>
      </c>
      <c r="AG1513" s="50">
        <v>0.01</v>
      </c>
      <c r="AH1513" s="51" t="s">
        <v>139</v>
      </c>
      <c r="AI1513" s="49" t="s">
        <v>628</v>
      </c>
      <c r="AJ1513" s="50">
        <v>0.2</v>
      </c>
      <c r="AK1513" s="46" t="s">
        <v>335</v>
      </c>
      <c r="AL1513" s="49" t="s">
        <v>136</v>
      </c>
      <c r="AM1513" s="49" t="s">
        <v>137</v>
      </c>
      <c r="AN1513" s="49"/>
      <c r="AO1513" s="50">
        <v>743.0</v>
      </c>
      <c r="AP1513" s="50">
        <v>0.01</v>
      </c>
      <c r="AQ1513" s="49" t="s">
        <v>139</v>
      </c>
      <c r="AR1513" s="49" t="s">
        <v>850</v>
      </c>
      <c r="AS1513" s="50">
        <v>0.24</v>
      </c>
      <c r="AT1513" s="46" t="s">
        <v>172</v>
      </c>
      <c r="AU1513" s="46" t="s">
        <v>136</v>
      </c>
      <c r="AV1513" s="46" t="s">
        <v>137</v>
      </c>
      <c r="AW1513" s="59" t="s">
        <v>8620</v>
      </c>
      <c r="AX1513" s="60" t="s">
        <v>143</v>
      </c>
      <c r="AY1513" s="61" t="str">
        <f>IFERROR(__xludf.DUMMYFUNCTION("vlookup(BB1513,importrange(""https://docs.google.com/spreadsheets/d/1d2vevQ_7D_v35q4wCQ4RpQ_IPoTwEMB9Yp6ymwlPqew/edit?gid=984458430#gid=984458430"", ""'replication success'!A:K""), 11, FAlSE)"),"#N/A")</f>
        <v>#N/A</v>
      </c>
      <c r="AZ1513" s="61" t="str">
        <f>IFERROR(__xludf.DUMMYFUNCTION("vlookup(BB1513,importrange(""https://docs.google.com/spreadsheets/d/1d2vevQ_7D_v35q4wCQ4RpQ_IPoTwEMB9Yp6ymwlPqew/edit?gid=984458430#gid=984458430"", ""'replication success'!A:M""), 12, FAlSE)"),"#N/A")</f>
        <v>#N/A</v>
      </c>
      <c r="BA1513" s="61" t="str">
        <f>IFERROR(__xludf.DUMMYFUNCTION("vlookup(BB1513,importrange(""https://docs.google.com/spreadsheets/d/1d2vevQ_7D_v35q4wCQ4RpQ_IPoTwEMB9Yp6ymwlPqew/edit?gid=984458430#gid=984458430"", ""'replication success'!A:M""), 13, FAlSE)"),"#N/A")</f>
        <v>#N/A</v>
      </c>
      <c r="BB1513" s="61" t="str">
        <f>IFERROR(__xludf.DUMMYFUNCTION("REGEXREPLACE(G1513, ""_[a-z]{1,2}$"", """")"),"e9d3k")</f>
        <v>e9d3k</v>
      </c>
    </row>
    <row r="1514">
      <c r="A1514" s="44">
        <v>1514.0</v>
      </c>
      <c r="B1514" s="45" t="s">
        <v>285</v>
      </c>
      <c r="C1514" s="45" t="s">
        <v>115</v>
      </c>
      <c r="D1514" s="62" t="s">
        <v>145</v>
      </c>
      <c r="F1514" s="531" t="s">
        <v>8608</v>
      </c>
      <c r="G1514" s="47" t="s">
        <v>8638</v>
      </c>
      <c r="H1514" s="47" t="s">
        <v>8610</v>
      </c>
      <c r="I1514" s="47" t="s">
        <v>119</v>
      </c>
      <c r="J1514" s="48">
        <v>45641.0</v>
      </c>
      <c r="K1514" s="49"/>
      <c r="L1514" s="49"/>
      <c r="M1514" s="343" t="s">
        <v>8611</v>
      </c>
      <c r="N1514" s="47" t="s">
        <v>8612</v>
      </c>
      <c r="O1514" s="508">
        <v>3.0</v>
      </c>
      <c r="P1514" s="1722" t="s">
        <v>8613</v>
      </c>
      <c r="Q1514" s="52" t="str">
        <f t="array" ref="Q1514"> if(iserror(MATCH(V1514, 'File Links'!C:C, 0)), "N/A", HYPERLINK(INDEX('File Links'!B:B, MATCH(P1514, 'File Links'!C:C, 0))))</f>
        <v>https://drive.google.com/file/d/1xUlRe3MC-gZV8Zhd6NQNLSAYxUKd-bXT/view?usp=drivesdk</v>
      </c>
      <c r="R1514" s="47" t="s">
        <v>8614</v>
      </c>
      <c r="S1514" s="47" t="s">
        <v>8615</v>
      </c>
      <c r="T1514" s="49"/>
      <c r="U1514" s="53">
        <v>3.0</v>
      </c>
      <c r="V1514" s="198" t="str">
        <f t="shared" si="113"/>
        <v>10.17605--osf.io--e9d3k.pdf</v>
      </c>
      <c r="W1514" s="49" t="s">
        <v>127</v>
      </c>
      <c r="X1514" s="54" t="str">
        <f t="array" ref="X1514"> if(iserror(MATCH(V1514, 'File Links'!C:C, 0)), "N/A", HYPERLINK(INDEX('File Links'!B:B, MATCH(V1514, 'File Links'!C:C, 0))))</f>
        <v>https://drive.google.com/file/d/1VipPphabn-Kfe9AzHC0j5FX1Fqp3bd0q/view?usp=drivesdk</v>
      </c>
      <c r="Y1514" s="49"/>
      <c r="Z1514" s="49" t="s">
        <v>226</v>
      </c>
      <c r="AA1514" s="49" t="s">
        <v>8616</v>
      </c>
      <c r="AB1514" s="49" t="s">
        <v>8617</v>
      </c>
      <c r="AC1514" s="49" t="s">
        <v>8639</v>
      </c>
      <c r="AD1514" s="49" t="s">
        <v>8637</v>
      </c>
      <c r="AE1514" s="49" t="s">
        <v>628</v>
      </c>
      <c r="AF1514" s="50">
        <v>298.0</v>
      </c>
      <c r="AG1514" s="50">
        <v>0.01</v>
      </c>
      <c r="AH1514" s="51" t="s">
        <v>139</v>
      </c>
      <c r="AI1514" s="49" t="s">
        <v>628</v>
      </c>
      <c r="AJ1514" s="50">
        <v>0.2</v>
      </c>
      <c r="AK1514" s="46" t="s">
        <v>335</v>
      </c>
      <c r="AL1514" s="49" t="s">
        <v>136</v>
      </c>
      <c r="AM1514" s="49" t="s">
        <v>137</v>
      </c>
      <c r="AN1514" s="49"/>
      <c r="AO1514" s="50">
        <v>743.0</v>
      </c>
      <c r="AP1514" s="50">
        <v>0.02</v>
      </c>
      <c r="AQ1514" s="49" t="s">
        <v>139</v>
      </c>
      <c r="AR1514" s="49" t="s">
        <v>850</v>
      </c>
      <c r="AS1514" s="50">
        <v>0.01</v>
      </c>
      <c r="AT1514" s="46" t="s">
        <v>135</v>
      </c>
      <c r="AU1514" s="46" t="s">
        <v>136</v>
      </c>
      <c r="AV1514" s="46" t="s">
        <v>137</v>
      </c>
      <c r="AW1514" s="59" t="s">
        <v>8620</v>
      </c>
      <c r="AX1514" s="60" t="s">
        <v>143</v>
      </c>
      <c r="AY1514" s="61" t="str">
        <f>IFERROR(__xludf.DUMMYFUNCTION("vlookup(BB1514,importrange(""https://docs.google.com/spreadsheets/d/1d2vevQ_7D_v35q4wCQ4RpQ_IPoTwEMB9Yp6ymwlPqew/edit?gid=984458430#gid=984458430"", ""'replication success'!A:K""), 11, FAlSE)"),"#N/A")</f>
        <v>#N/A</v>
      </c>
      <c r="AZ1514" s="61" t="str">
        <f>IFERROR(__xludf.DUMMYFUNCTION("vlookup(BB1514,importrange(""https://docs.google.com/spreadsheets/d/1d2vevQ_7D_v35q4wCQ4RpQ_IPoTwEMB9Yp6ymwlPqew/edit?gid=984458430#gid=984458430"", ""'replication success'!A:M""), 12, FAlSE)"),"#N/A")</f>
        <v>#N/A</v>
      </c>
      <c r="BA1514" s="61" t="str">
        <f>IFERROR(__xludf.DUMMYFUNCTION("vlookup(BB1514,importrange(""https://docs.google.com/spreadsheets/d/1d2vevQ_7D_v35q4wCQ4RpQ_IPoTwEMB9Yp6ymwlPqew/edit?gid=984458430#gid=984458430"", ""'replication success'!A:M""), 13, FAlSE)"),"#N/A")</f>
        <v>#N/A</v>
      </c>
      <c r="BB1514" s="61" t="str">
        <f>IFERROR(__xludf.DUMMYFUNCTION("REGEXREPLACE(G1514, ""_[a-z]{1,2}$"", """")"),"e9d3k")</f>
        <v>e9d3k</v>
      </c>
    </row>
    <row r="1515">
      <c r="A1515" s="44">
        <v>1515.0</v>
      </c>
      <c r="B1515" s="45" t="s">
        <v>285</v>
      </c>
      <c r="C1515" s="45" t="s">
        <v>115</v>
      </c>
      <c r="D1515" s="62" t="s">
        <v>145</v>
      </c>
      <c r="F1515" s="531" t="s">
        <v>8608</v>
      </c>
      <c r="G1515" s="47" t="s">
        <v>8640</v>
      </c>
      <c r="H1515" s="47" t="s">
        <v>8610</v>
      </c>
      <c r="I1515" s="47" t="s">
        <v>119</v>
      </c>
      <c r="J1515" s="48">
        <v>45641.0</v>
      </c>
      <c r="K1515" s="49"/>
      <c r="L1515" s="49"/>
      <c r="M1515" s="343" t="s">
        <v>8611</v>
      </c>
      <c r="N1515" s="47" t="s">
        <v>8612</v>
      </c>
      <c r="O1515" s="508">
        <v>3.0</v>
      </c>
      <c r="P1515" s="1722" t="s">
        <v>8613</v>
      </c>
      <c r="Q1515" s="52" t="str">
        <f t="array" ref="Q1515"> if(iserror(MATCH(V1515, 'File Links'!C:C, 0)), "N/A", HYPERLINK(INDEX('File Links'!B:B, MATCH(P1515, 'File Links'!C:C, 0))))</f>
        <v>https://drive.google.com/file/d/1xUlRe3MC-gZV8Zhd6NQNLSAYxUKd-bXT/view?usp=drivesdk</v>
      </c>
      <c r="R1515" s="47" t="s">
        <v>8614</v>
      </c>
      <c r="S1515" s="47" t="s">
        <v>8615</v>
      </c>
      <c r="T1515" s="49"/>
      <c r="U1515" s="53">
        <v>3.0</v>
      </c>
      <c r="V1515" s="198" t="str">
        <f t="shared" si="113"/>
        <v>10.17605--osf.io--e9d3k.pdf</v>
      </c>
      <c r="W1515" s="49" t="s">
        <v>127</v>
      </c>
      <c r="X1515" s="54" t="str">
        <f t="array" ref="X1515"> if(iserror(MATCH(V1515, 'File Links'!C:C, 0)), "N/A", HYPERLINK(INDEX('File Links'!B:B, MATCH(V1515, 'File Links'!C:C, 0))))</f>
        <v>https://drive.google.com/file/d/1VipPphabn-Kfe9AzHC0j5FX1Fqp3bd0q/view?usp=drivesdk</v>
      </c>
      <c r="Y1515" s="49"/>
      <c r="Z1515" s="49" t="s">
        <v>226</v>
      </c>
      <c r="AA1515" s="49" t="s">
        <v>8616</v>
      </c>
      <c r="AB1515" s="49" t="s">
        <v>8617</v>
      </c>
      <c r="AC1515" s="49" t="s">
        <v>8641</v>
      </c>
      <c r="AD1515" s="49" t="s">
        <v>8642</v>
      </c>
      <c r="AE1515" s="49" t="s">
        <v>628</v>
      </c>
      <c r="AF1515" s="50">
        <v>298.0</v>
      </c>
      <c r="AG1515" s="50">
        <v>0.04</v>
      </c>
      <c r="AH1515" s="51" t="s">
        <v>139</v>
      </c>
      <c r="AI1515" s="49" t="s">
        <v>628</v>
      </c>
      <c r="AJ1515" s="50">
        <v>0.005</v>
      </c>
      <c r="AK1515" s="46" t="s">
        <v>172</v>
      </c>
      <c r="AL1515" s="49" t="s">
        <v>136</v>
      </c>
      <c r="AM1515" s="49" t="s">
        <v>137</v>
      </c>
      <c r="AN1515" s="49"/>
      <c r="AO1515" s="50">
        <v>743.0</v>
      </c>
      <c r="AP1515" s="50">
        <v>0.04</v>
      </c>
      <c r="AQ1515" s="49" t="s">
        <v>139</v>
      </c>
      <c r="AR1515" s="49" t="s">
        <v>813</v>
      </c>
      <c r="AS1515" s="50">
        <v>0.001</v>
      </c>
      <c r="AT1515" s="46" t="s">
        <v>135</v>
      </c>
      <c r="AU1515" s="46" t="s">
        <v>136</v>
      </c>
      <c r="AV1515" s="46" t="s">
        <v>137</v>
      </c>
      <c r="AW1515" s="59" t="s">
        <v>8620</v>
      </c>
      <c r="AX1515" s="60" t="s">
        <v>143</v>
      </c>
      <c r="AY1515" s="61" t="str">
        <f>IFERROR(__xludf.DUMMYFUNCTION("vlookup(BB1515,importrange(""https://docs.google.com/spreadsheets/d/1d2vevQ_7D_v35q4wCQ4RpQ_IPoTwEMB9Yp6ymwlPqew/edit?gid=984458430#gid=984458430"", ""'replication success'!A:K""), 11, FAlSE)"),"#N/A")</f>
        <v>#N/A</v>
      </c>
      <c r="AZ1515" s="61" t="str">
        <f>IFERROR(__xludf.DUMMYFUNCTION("vlookup(BB1515,importrange(""https://docs.google.com/spreadsheets/d/1d2vevQ_7D_v35q4wCQ4RpQ_IPoTwEMB9Yp6ymwlPqew/edit?gid=984458430#gid=984458430"", ""'replication success'!A:M""), 12, FAlSE)"),"#N/A")</f>
        <v>#N/A</v>
      </c>
      <c r="BA1515" s="61" t="str">
        <f>IFERROR(__xludf.DUMMYFUNCTION("vlookup(BB1515,importrange(""https://docs.google.com/spreadsheets/d/1d2vevQ_7D_v35q4wCQ4RpQ_IPoTwEMB9Yp6ymwlPqew/edit?gid=984458430#gid=984458430"", ""'replication success'!A:M""), 13, FAlSE)"),"#N/A")</f>
        <v>#N/A</v>
      </c>
      <c r="BB1515" s="61" t="str">
        <f>IFERROR(__xludf.DUMMYFUNCTION("REGEXREPLACE(G1515, ""_[a-z]{1,2}$"", """")"),"e9d3k")</f>
        <v>e9d3k</v>
      </c>
    </row>
    <row r="1516">
      <c r="A1516" s="44">
        <v>1516.0</v>
      </c>
      <c r="B1516" s="45" t="s">
        <v>285</v>
      </c>
      <c r="C1516" s="45" t="s">
        <v>115</v>
      </c>
      <c r="D1516" s="62" t="s">
        <v>145</v>
      </c>
      <c r="F1516" s="531" t="s">
        <v>8608</v>
      </c>
      <c r="G1516" s="47" t="s">
        <v>8643</v>
      </c>
      <c r="H1516" s="47" t="s">
        <v>8610</v>
      </c>
      <c r="I1516" s="47" t="s">
        <v>119</v>
      </c>
      <c r="J1516" s="48">
        <v>45641.0</v>
      </c>
      <c r="K1516" s="49"/>
      <c r="L1516" s="49"/>
      <c r="M1516" s="343" t="s">
        <v>8611</v>
      </c>
      <c r="N1516" s="47" t="s">
        <v>8612</v>
      </c>
      <c r="O1516" s="508">
        <v>3.0</v>
      </c>
      <c r="P1516" s="1722" t="s">
        <v>8613</v>
      </c>
      <c r="Q1516" s="52" t="str">
        <f t="array" ref="Q1516"> if(iserror(MATCH(V1516, 'File Links'!C:C, 0)), "N/A", HYPERLINK(INDEX('File Links'!B:B, MATCH(P1516, 'File Links'!C:C, 0))))</f>
        <v>https://drive.google.com/file/d/1xUlRe3MC-gZV8Zhd6NQNLSAYxUKd-bXT/view?usp=drivesdk</v>
      </c>
      <c r="R1516" s="47" t="s">
        <v>8614</v>
      </c>
      <c r="S1516" s="47" t="s">
        <v>8615</v>
      </c>
      <c r="T1516" s="49"/>
      <c r="U1516" s="53">
        <v>3.0</v>
      </c>
      <c r="V1516" s="198" t="str">
        <f t="shared" si="113"/>
        <v>10.17605--osf.io--e9d3k.pdf</v>
      </c>
      <c r="W1516" s="49" t="s">
        <v>127</v>
      </c>
      <c r="X1516" s="54" t="str">
        <f t="array" ref="X1516"> if(iserror(MATCH(V1516, 'File Links'!C:C, 0)), "N/A", HYPERLINK(INDEX('File Links'!B:B, MATCH(V1516, 'File Links'!C:C, 0))))</f>
        <v>https://drive.google.com/file/d/1VipPphabn-Kfe9AzHC0j5FX1Fqp3bd0q/view?usp=drivesdk</v>
      </c>
      <c r="Y1516" s="49"/>
      <c r="Z1516" s="49" t="s">
        <v>226</v>
      </c>
      <c r="AA1516" s="49" t="s">
        <v>8616</v>
      </c>
      <c r="AB1516" s="49" t="s">
        <v>8617</v>
      </c>
      <c r="AC1516" s="49" t="s">
        <v>8644</v>
      </c>
      <c r="AD1516" s="49" t="s">
        <v>8645</v>
      </c>
      <c r="AE1516" s="49" t="s">
        <v>628</v>
      </c>
      <c r="AF1516" s="50">
        <v>298.0</v>
      </c>
      <c r="AG1516" s="50">
        <v>0.08</v>
      </c>
      <c r="AH1516" s="51" t="s">
        <v>139</v>
      </c>
      <c r="AI1516" s="49" t="s">
        <v>628</v>
      </c>
      <c r="AJ1516" s="50">
        <v>0.001</v>
      </c>
      <c r="AK1516" s="46" t="s">
        <v>135</v>
      </c>
      <c r="AL1516" s="49" t="s">
        <v>136</v>
      </c>
      <c r="AM1516" s="49" t="s">
        <v>137</v>
      </c>
      <c r="AN1516" s="49"/>
      <c r="AO1516" s="50">
        <v>743.0</v>
      </c>
      <c r="AP1516" s="50">
        <v>0.08</v>
      </c>
      <c r="AQ1516" s="49" t="s">
        <v>139</v>
      </c>
      <c r="AR1516" s="49" t="s">
        <v>813</v>
      </c>
      <c r="AS1516" s="50">
        <v>0.08</v>
      </c>
      <c r="AT1516" s="46" t="s">
        <v>172</v>
      </c>
      <c r="AU1516" s="46" t="s">
        <v>136</v>
      </c>
      <c r="AV1516" s="46" t="s">
        <v>137</v>
      </c>
      <c r="AW1516" s="59" t="s">
        <v>8620</v>
      </c>
      <c r="AX1516" s="60" t="s">
        <v>143</v>
      </c>
      <c r="AY1516" s="61" t="str">
        <f>IFERROR(__xludf.DUMMYFUNCTION("vlookup(BB1516,importrange(""https://docs.google.com/spreadsheets/d/1d2vevQ_7D_v35q4wCQ4RpQ_IPoTwEMB9Yp6ymwlPqew/edit?gid=984458430#gid=984458430"", ""'replication success'!A:K""), 11, FAlSE)"),"#N/A")</f>
        <v>#N/A</v>
      </c>
      <c r="AZ1516" s="61" t="str">
        <f>IFERROR(__xludf.DUMMYFUNCTION("vlookup(BB1516,importrange(""https://docs.google.com/spreadsheets/d/1d2vevQ_7D_v35q4wCQ4RpQ_IPoTwEMB9Yp6ymwlPqew/edit?gid=984458430#gid=984458430"", ""'replication success'!A:M""), 12, FAlSE)"),"#N/A")</f>
        <v>#N/A</v>
      </c>
      <c r="BA1516" s="61" t="str">
        <f>IFERROR(__xludf.DUMMYFUNCTION("vlookup(BB1516,importrange(""https://docs.google.com/spreadsheets/d/1d2vevQ_7D_v35q4wCQ4RpQ_IPoTwEMB9Yp6ymwlPqew/edit?gid=984458430#gid=984458430"", ""'replication success'!A:M""), 13, FAlSE)"),"#N/A")</f>
        <v>#N/A</v>
      </c>
      <c r="BB1516" s="61" t="str">
        <f>IFERROR(__xludf.DUMMYFUNCTION("REGEXREPLACE(G1516, ""_[a-z]{1,2}$"", """")"),"e9d3k")</f>
        <v>e9d3k</v>
      </c>
    </row>
    <row r="1517">
      <c r="A1517" s="44">
        <v>1517.0</v>
      </c>
      <c r="B1517" s="45" t="s">
        <v>285</v>
      </c>
      <c r="C1517" s="45" t="s">
        <v>115</v>
      </c>
      <c r="D1517" s="62" t="s">
        <v>145</v>
      </c>
      <c r="F1517" s="531" t="s">
        <v>8608</v>
      </c>
      <c r="G1517" s="47" t="s">
        <v>8646</v>
      </c>
      <c r="H1517" s="47" t="s">
        <v>8610</v>
      </c>
      <c r="I1517" s="47" t="s">
        <v>119</v>
      </c>
      <c r="J1517" s="48">
        <v>45641.0</v>
      </c>
      <c r="K1517" s="49"/>
      <c r="L1517" s="49"/>
      <c r="M1517" s="343" t="s">
        <v>8611</v>
      </c>
      <c r="N1517" s="47" t="s">
        <v>8612</v>
      </c>
      <c r="O1517" s="508">
        <v>3.0</v>
      </c>
      <c r="P1517" s="1722" t="s">
        <v>8613</v>
      </c>
      <c r="Q1517" s="52" t="str">
        <f t="array" ref="Q1517"> if(iserror(MATCH(V1517, 'File Links'!C:C, 0)), "N/A", HYPERLINK(INDEX('File Links'!B:B, MATCH(P1517, 'File Links'!C:C, 0))))</f>
        <v>https://drive.google.com/file/d/1xUlRe3MC-gZV8Zhd6NQNLSAYxUKd-bXT/view?usp=drivesdk</v>
      </c>
      <c r="R1517" s="47" t="s">
        <v>8614</v>
      </c>
      <c r="S1517" s="47" t="s">
        <v>8615</v>
      </c>
      <c r="T1517" s="49"/>
      <c r="U1517" s="53">
        <v>3.0</v>
      </c>
      <c r="V1517" s="198" t="str">
        <f t="shared" si="113"/>
        <v>10.17605--osf.io--e9d3k.pdf</v>
      </c>
      <c r="W1517" s="49" t="s">
        <v>127</v>
      </c>
      <c r="X1517" s="54" t="str">
        <f t="array" ref="X1517"> if(iserror(MATCH(V1517, 'File Links'!C:C, 0)), "N/A", HYPERLINK(INDEX('File Links'!B:B, MATCH(V1517, 'File Links'!C:C, 0))))</f>
        <v>https://drive.google.com/file/d/1VipPphabn-Kfe9AzHC0j5FX1Fqp3bd0q/view?usp=drivesdk</v>
      </c>
      <c r="Y1517" s="49"/>
      <c r="Z1517" s="49" t="s">
        <v>226</v>
      </c>
      <c r="AA1517" s="49" t="s">
        <v>8616</v>
      </c>
      <c r="AB1517" s="49" t="s">
        <v>8617</v>
      </c>
      <c r="AC1517" s="49" t="s">
        <v>8647</v>
      </c>
      <c r="AD1517" s="49" t="s">
        <v>8648</v>
      </c>
      <c r="AE1517" s="49" t="s">
        <v>628</v>
      </c>
      <c r="AF1517" s="50">
        <v>298.0</v>
      </c>
      <c r="AG1517" s="50">
        <v>0.01</v>
      </c>
      <c r="AH1517" s="51" t="s">
        <v>139</v>
      </c>
      <c r="AI1517" s="49" t="s">
        <v>628</v>
      </c>
      <c r="AJ1517" s="50">
        <v>0.568</v>
      </c>
      <c r="AK1517" s="46" t="s">
        <v>172</v>
      </c>
      <c r="AL1517" s="49" t="s">
        <v>136</v>
      </c>
      <c r="AM1517" s="49" t="s">
        <v>137</v>
      </c>
      <c r="AN1517" s="49"/>
      <c r="AO1517" s="50">
        <v>743.0</v>
      </c>
      <c r="AP1517" s="50">
        <v>0.0</v>
      </c>
      <c r="AQ1517" s="49" t="s">
        <v>139</v>
      </c>
      <c r="AR1517" s="49" t="s">
        <v>813</v>
      </c>
      <c r="AS1517" s="50">
        <v>0.77</v>
      </c>
      <c r="AT1517" s="46" t="s">
        <v>172</v>
      </c>
      <c r="AU1517" s="46" t="s">
        <v>136</v>
      </c>
      <c r="AV1517" s="46" t="s">
        <v>137</v>
      </c>
      <c r="AW1517" s="59" t="s">
        <v>8620</v>
      </c>
      <c r="AX1517" s="60" t="s">
        <v>143</v>
      </c>
      <c r="AY1517" s="61" t="str">
        <f>IFERROR(__xludf.DUMMYFUNCTION("vlookup(BB1517,importrange(""https://docs.google.com/spreadsheets/d/1d2vevQ_7D_v35q4wCQ4RpQ_IPoTwEMB9Yp6ymwlPqew/edit?gid=984458430#gid=984458430"", ""'replication success'!A:K""), 11, FAlSE)"),"#N/A")</f>
        <v>#N/A</v>
      </c>
      <c r="AZ1517" s="61" t="str">
        <f>IFERROR(__xludf.DUMMYFUNCTION("vlookup(BB1517,importrange(""https://docs.google.com/spreadsheets/d/1d2vevQ_7D_v35q4wCQ4RpQ_IPoTwEMB9Yp6ymwlPqew/edit?gid=984458430#gid=984458430"", ""'replication success'!A:M""), 12, FAlSE)"),"#N/A")</f>
        <v>#N/A</v>
      </c>
      <c r="BA1517" s="61" t="str">
        <f>IFERROR(__xludf.DUMMYFUNCTION("vlookup(BB1517,importrange(""https://docs.google.com/spreadsheets/d/1d2vevQ_7D_v35q4wCQ4RpQ_IPoTwEMB9Yp6ymwlPqew/edit?gid=984458430#gid=984458430"", ""'replication success'!A:M""), 13, FAlSE)"),"#N/A")</f>
        <v>#N/A</v>
      </c>
      <c r="BB1517" s="61" t="str">
        <f>IFERROR(__xludf.DUMMYFUNCTION("REGEXREPLACE(G1517, ""_[a-z]{1,2}$"", """")"),"e9d3k")</f>
        <v>e9d3k</v>
      </c>
    </row>
    <row r="1518">
      <c r="A1518" s="44">
        <v>1518.0</v>
      </c>
      <c r="B1518" s="45" t="s">
        <v>285</v>
      </c>
      <c r="C1518" s="45" t="s">
        <v>115</v>
      </c>
      <c r="D1518" s="62" t="s">
        <v>145</v>
      </c>
      <c r="F1518" s="531" t="s">
        <v>8608</v>
      </c>
      <c r="G1518" s="47" t="s">
        <v>8649</v>
      </c>
      <c r="H1518" s="47" t="s">
        <v>8610</v>
      </c>
      <c r="I1518" s="47" t="s">
        <v>119</v>
      </c>
      <c r="J1518" s="48">
        <v>45641.0</v>
      </c>
      <c r="K1518" s="49"/>
      <c r="L1518" s="49"/>
      <c r="M1518" s="343" t="s">
        <v>8611</v>
      </c>
      <c r="N1518" s="47" t="s">
        <v>8612</v>
      </c>
      <c r="O1518" s="508">
        <v>3.0</v>
      </c>
      <c r="P1518" s="1722" t="s">
        <v>8613</v>
      </c>
      <c r="Q1518" s="52" t="str">
        <f t="array" ref="Q1518"> if(iserror(MATCH(V1518, 'File Links'!C:C, 0)), "N/A", HYPERLINK(INDEX('File Links'!B:B, MATCH(P1518, 'File Links'!C:C, 0))))</f>
        <v>https://drive.google.com/file/d/1xUlRe3MC-gZV8Zhd6NQNLSAYxUKd-bXT/view?usp=drivesdk</v>
      </c>
      <c r="R1518" s="47" t="s">
        <v>8614</v>
      </c>
      <c r="S1518" s="47" t="s">
        <v>8615</v>
      </c>
      <c r="T1518" s="49"/>
      <c r="U1518" s="53">
        <v>3.0</v>
      </c>
      <c r="V1518" s="198" t="str">
        <f t="shared" si="113"/>
        <v>10.17605--osf.io--e9d3k.pdf</v>
      </c>
      <c r="W1518" s="49" t="s">
        <v>127</v>
      </c>
      <c r="X1518" s="54" t="str">
        <f t="array" ref="X1518"> if(iserror(MATCH(V1518, 'File Links'!C:C, 0)), "N/A", HYPERLINK(INDEX('File Links'!B:B, MATCH(V1518, 'File Links'!C:C, 0))))</f>
        <v>https://drive.google.com/file/d/1VipPphabn-Kfe9AzHC0j5FX1Fqp3bd0q/view?usp=drivesdk</v>
      </c>
      <c r="Y1518" s="49"/>
      <c r="Z1518" s="49" t="s">
        <v>226</v>
      </c>
      <c r="AA1518" s="49" t="s">
        <v>8616</v>
      </c>
      <c r="AB1518" s="49" t="s">
        <v>8617</v>
      </c>
      <c r="AC1518" s="49" t="s">
        <v>8650</v>
      </c>
      <c r="AD1518" s="49" t="s">
        <v>8651</v>
      </c>
      <c r="AE1518" s="49" t="s">
        <v>8652</v>
      </c>
      <c r="AF1518" s="50">
        <v>298.0</v>
      </c>
      <c r="AG1518" s="50">
        <v>0.11</v>
      </c>
      <c r="AH1518" s="51" t="s">
        <v>139</v>
      </c>
      <c r="AI1518" s="49" t="s">
        <v>628</v>
      </c>
      <c r="AJ1518" s="50">
        <v>0.001</v>
      </c>
      <c r="AK1518" s="46" t="s">
        <v>135</v>
      </c>
      <c r="AL1518" s="49" t="s">
        <v>136</v>
      </c>
      <c r="AM1518" s="49" t="s">
        <v>137</v>
      </c>
      <c r="AN1518" s="49"/>
      <c r="AO1518" s="50">
        <v>743.0</v>
      </c>
      <c r="AP1518" s="50">
        <v>0.04</v>
      </c>
      <c r="AQ1518" s="49" t="s">
        <v>139</v>
      </c>
      <c r="AR1518" s="49" t="s">
        <v>813</v>
      </c>
      <c r="AS1518" s="50">
        <v>0.001</v>
      </c>
      <c r="AT1518" s="46" t="s">
        <v>135</v>
      </c>
      <c r="AU1518" s="46" t="s">
        <v>136</v>
      </c>
      <c r="AV1518" s="46" t="s">
        <v>137</v>
      </c>
      <c r="AW1518" s="59" t="s">
        <v>8620</v>
      </c>
      <c r="AX1518" s="60" t="s">
        <v>143</v>
      </c>
      <c r="AY1518" s="61" t="str">
        <f>IFERROR(__xludf.DUMMYFUNCTION("vlookup(BB1518,importrange(""https://docs.google.com/spreadsheets/d/1d2vevQ_7D_v35q4wCQ4RpQ_IPoTwEMB9Yp6ymwlPqew/edit?gid=984458430#gid=984458430"", ""'replication success'!A:K""), 11, FAlSE)"),"#N/A")</f>
        <v>#N/A</v>
      </c>
      <c r="AZ1518" s="61" t="str">
        <f>IFERROR(__xludf.DUMMYFUNCTION("vlookup(BB1518,importrange(""https://docs.google.com/spreadsheets/d/1d2vevQ_7D_v35q4wCQ4RpQ_IPoTwEMB9Yp6ymwlPqew/edit?gid=984458430#gid=984458430"", ""'replication success'!A:M""), 12, FAlSE)"),"#N/A")</f>
        <v>#N/A</v>
      </c>
      <c r="BA1518" s="61" t="str">
        <f>IFERROR(__xludf.DUMMYFUNCTION("vlookup(BB1518,importrange(""https://docs.google.com/spreadsheets/d/1d2vevQ_7D_v35q4wCQ4RpQ_IPoTwEMB9Yp6ymwlPqew/edit?gid=984458430#gid=984458430"", ""'replication success'!A:M""), 13, FAlSE)"),"#N/A")</f>
        <v>#N/A</v>
      </c>
      <c r="BB1518" s="61" t="str">
        <f>IFERROR(__xludf.DUMMYFUNCTION("REGEXREPLACE(G1518, ""_[a-z]{1,2}$"", """")"),"e9d3k")</f>
        <v>e9d3k</v>
      </c>
    </row>
    <row r="1519">
      <c r="A1519" s="44">
        <v>1519.0</v>
      </c>
      <c r="B1519" s="45" t="s">
        <v>285</v>
      </c>
      <c r="C1519" s="45" t="s">
        <v>115</v>
      </c>
      <c r="D1519" s="62" t="s">
        <v>145</v>
      </c>
      <c r="F1519" s="531" t="s">
        <v>8608</v>
      </c>
      <c r="G1519" s="47" t="s">
        <v>8653</v>
      </c>
      <c r="H1519" s="47" t="s">
        <v>8610</v>
      </c>
      <c r="I1519" s="47" t="s">
        <v>119</v>
      </c>
      <c r="J1519" s="48">
        <v>45641.0</v>
      </c>
      <c r="K1519" s="49"/>
      <c r="L1519" s="49"/>
      <c r="M1519" s="343" t="s">
        <v>8611</v>
      </c>
      <c r="N1519" s="47" t="s">
        <v>8612</v>
      </c>
      <c r="O1519" s="508">
        <v>3.0</v>
      </c>
      <c r="P1519" s="1722" t="s">
        <v>8613</v>
      </c>
      <c r="Q1519" s="52" t="str">
        <f t="array" ref="Q1519"> if(iserror(MATCH(V1519, 'File Links'!C:C, 0)), "N/A", HYPERLINK(INDEX('File Links'!B:B, MATCH(P1519, 'File Links'!C:C, 0))))</f>
        <v>https://drive.google.com/file/d/1xUlRe3MC-gZV8Zhd6NQNLSAYxUKd-bXT/view?usp=drivesdk</v>
      </c>
      <c r="R1519" s="47" t="s">
        <v>8614</v>
      </c>
      <c r="S1519" s="47" t="s">
        <v>8615</v>
      </c>
      <c r="T1519" s="49"/>
      <c r="U1519" s="53">
        <v>3.0</v>
      </c>
      <c r="V1519" s="198" t="str">
        <f t="shared" si="113"/>
        <v>10.17605--osf.io--e9d3k.pdf</v>
      </c>
      <c r="W1519" s="49" t="s">
        <v>127</v>
      </c>
      <c r="X1519" s="54" t="str">
        <f t="array" ref="X1519"> if(iserror(MATCH(V1519, 'File Links'!C:C, 0)), "N/A", HYPERLINK(INDEX('File Links'!B:B, MATCH(V1519, 'File Links'!C:C, 0))))</f>
        <v>https://drive.google.com/file/d/1VipPphabn-Kfe9AzHC0j5FX1Fqp3bd0q/view?usp=drivesdk</v>
      </c>
      <c r="Y1519" s="49"/>
      <c r="Z1519" s="49" t="s">
        <v>226</v>
      </c>
      <c r="AA1519" s="49" t="s">
        <v>8616</v>
      </c>
      <c r="AB1519" s="49" t="s">
        <v>8617</v>
      </c>
      <c r="AC1519" s="49" t="s">
        <v>8654</v>
      </c>
      <c r="AD1519" s="49" t="s">
        <v>8655</v>
      </c>
      <c r="AE1519" s="49" t="s">
        <v>632</v>
      </c>
      <c r="AF1519" s="50">
        <v>298.0</v>
      </c>
      <c r="AG1519" s="50">
        <v>0.01</v>
      </c>
      <c r="AH1519" s="51" t="s">
        <v>139</v>
      </c>
      <c r="AI1519" s="49" t="s">
        <v>632</v>
      </c>
      <c r="AJ1519" s="50">
        <v>0.613</v>
      </c>
      <c r="AK1519" s="46" t="s">
        <v>172</v>
      </c>
      <c r="AL1519" s="49" t="s">
        <v>136</v>
      </c>
      <c r="AM1519" s="49" t="s">
        <v>137</v>
      </c>
      <c r="AN1519" s="49"/>
      <c r="AO1519" s="50">
        <v>743.0</v>
      </c>
      <c r="AP1519" s="50">
        <v>0.0</v>
      </c>
      <c r="AQ1519" s="49" t="s">
        <v>139</v>
      </c>
      <c r="AR1519" s="49" t="s">
        <v>813</v>
      </c>
      <c r="AS1519" s="50">
        <v>0.32</v>
      </c>
      <c r="AT1519" s="46" t="s">
        <v>172</v>
      </c>
      <c r="AU1519" s="46" t="s">
        <v>136</v>
      </c>
      <c r="AV1519" s="46" t="s">
        <v>137</v>
      </c>
      <c r="AW1519" s="59" t="s">
        <v>8620</v>
      </c>
      <c r="AX1519" s="60" t="s">
        <v>143</v>
      </c>
      <c r="AY1519" s="61" t="str">
        <f>IFERROR(__xludf.DUMMYFUNCTION("vlookup(BB1519,importrange(""https://docs.google.com/spreadsheets/d/1d2vevQ_7D_v35q4wCQ4RpQ_IPoTwEMB9Yp6ymwlPqew/edit?gid=984458430#gid=984458430"", ""'replication success'!A:K""), 11, FAlSE)"),"#N/A")</f>
        <v>#N/A</v>
      </c>
      <c r="AZ1519" s="61" t="str">
        <f>IFERROR(__xludf.DUMMYFUNCTION("vlookup(BB1519,importrange(""https://docs.google.com/spreadsheets/d/1d2vevQ_7D_v35q4wCQ4RpQ_IPoTwEMB9Yp6ymwlPqew/edit?gid=984458430#gid=984458430"", ""'replication success'!A:M""), 12, FAlSE)"),"#N/A")</f>
        <v>#N/A</v>
      </c>
      <c r="BA1519" s="61" t="str">
        <f>IFERROR(__xludf.DUMMYFUNCTION("vlookup(BB1519,importrange(""https://docs.google.com/spreadsheets/d/1d2vevQ_7D_v35q4wCQ4RpQ_IPoTwEMB9Yp6ymwlPqew/edit?gid=984458430#gid=984458430"", ""'replication success'!A:M""), 13, FAlSE)"),"#N/A")</f>
        <v>#N/A</v>
      </c>
      <c r="BB1519" s="61" t="str">
        <f>IFERROR(__xludf.DUMMYFUNCTION("REGEXREPLACE(G1519, ""_[a-z]{1,2}$"", """")"),"e9d3k")</f>
        <v>e9d3k</v>
      </c>
    </row>
    <row r="1520">
      <c r="A1520" s="44">
        <v>1520.0</v>
      </c>
      <c r="B1520" s="45" t="s">
        <v>285</v>
      </c>
      <c r="C1520" s="45" t="s">
        <v>115</v>
      </c>
      <c r="D1520" s="62" t="s">
        <v>145</v>
      </c>
      <c r="F1520" s="531" t="s">
        <v>8608</v>
      </c>
      <c r="G1520" s="47" t="s">
        <v>8656</v>
      </c>
      <c r="H1520" s="47" t="s">
        <v>8610</v>
      </c>
      <c r="I1520" s="47" t="s">
        <v>119</v>
      </c>
      <c r="J1520" s="48">
        <v>45641.0</v>
      </c>
      <c r="K1520" s="49"/>
      <c r="L1520" s="49"/>
      <c r="M1520" s="343" t="s">
        <v>8611</v>
      </c>
      <c r="N1520" s="47" t="s">
        <v>8612</v>
      </c>
      <c r="O1520" s="508">
        <v>3.0</v>
      </c>
      <c r="P1520" s="1722" t="s">
        <v>8613</v>
      </c>
      <c r="Q1520" s="52" t="str">
        <f t="array" ref="Q1520"> if(iserror(MATCH(V1520, 'File Links'!C:C, 0)), "N/A", HYPERLINK(INDEX('File Links'!B:B, MATCH(P1520, 'File Links'!C:C, 0))))</f>
        <v>https://drive.google.com/file/d/1xUlRe3MC-gZV8Zhd6NQNLSAYxUKd-bXT/view?usp=drivesdk</v>
      </c>
      <c r="R1520" s="47" t="s">
        <v>8614</v>
      </c>
      <c r="S1520" s="47" t="s">
        <v>8615</v>
      </c>
      <c r="T1520" s="49"/>
      <c r="U1520" s="53">
        <v>3.0</v>
      </c>
      <c r="V1520" s="198" t="str">
        <f t="shared" si="113"/>
        <v>10.17605--osf.io--e9d3k.pdf</v>
      </c>
      <c r="W1520" s="49" t="s">
        <v>127</v>
      </c>
      <c r="X1520" s="54" t="str">
        <f t="array" ref="X1520"> if(iserror(MATCH(V1520, 'File Links'!C:C, 0)), "N/A", HYPERLINK(INDEX('File Links'!B:B, MATCH(V1520, 'File Links'!C:C, 0))))</f>
        <v>https://drive.google.com/file/d/1VipPphabn-Kfe9AzHC0j5FX1Fqp3bd0q/view?usp=drivesdk</v>
      </c>
      <c r="Y1520" s="49"/>
      <c r="Z1520" s="49" t="s">
        <v>226</v>
      </c>
      <c r="AA1520" s="49" t="s">
        <v>8616</v>
      </c>
      <c r="AB1520" s="49" t="s">
        <v>8617</v>
      </c>
      <c r="AC1520" s="49" t="s">
        <v>8657</v>
      </c>
      <c r="AD1520" s="49" t="s">
        <v>8658</v>
      </c>
      <c r="AE1520" s="49" t="s">
        <v>632</v>
      </c>
      <c r="AF1520" s="50">
        <v>298.0</v>
      </c>
      <c r="AG1520" s="50">
        <v>0.02</v>
      </c>
      <c r="AH1520" s="51" t="s">
        <v>139</v>
      </c>
      <c r="AI1520" s="49" t="s">
        <v>632</v>
      </c>
      <c r="AJ1520" s="50">
        <v>0.095</v>
      </c>
      <c r="AK1520" s="46" t="s">
        <v>172</v>
      </c>
      <c r="AL1520" s="49" t="s">
        <v>136</v>
      </c>
      <c r="AM1520" s="49" t="s">
        <v>137</v>
      </c>
      <c r="AN1520" s="49"/>
      <c r="AO1520" s="50">
        <v>743.0</v>
      </c>
      <c r="AP1520" s="50">
        <v>0.04</v>
      </c>
      <c r="AQ1520" s="49" t="s">
        <v>139</v>
      </c>
      <c r="AR1520" s="49" t="s">
        <v>140</v>
      </c>
      <c r="AS1520" s="50">
        <v>0.01</v>
      </c>
      <c r="AT1520" s="46" t="s">
        <v>135</v>
      </c>
      <c r="AU1520" s="46" t="s">
        <v>136</v>
      </c>
      <c r="AV1520" s="46" t="s">
        <v>137</v>
      </c>
      <c r="AW1520" s="59" t="s">
        <v>8620</v>
      </c>
      <c r="AX1520" s="60" t="s">
        <v>143</v>
      </c>
      <c r="AY1520" s="61" t="str">
        <f>IFERROR(__xludf.DUMMYFUNCTION("vlookup(BB1520,importrange(""https://docs.google.com/spreadsheets/d/1d2vevQ_7D_v35q4wCQ4RpQ_IPoTwEMB9Yp6ymwlPqew/edit?gid=984458430#gid=984458430"", ""'replication success'!A:K""), 11, FAlSE)"),"#N/A")</f>
        <v>#N/A</v>
      </c>
      <c r="AZ1520" s="61" t="str">
        <f>IFERROR(__xludf.DUMMYFUNCTION("vlookup(BB1520,importrange(""https://docs.google.com/spreadsheets/d/1d2vevQ_7D_v35q4wCQ4RpQ_IPoTwEMB9Yp6ymwlPqew/edit?gid=984458430#gid=984458430"", ""'replication success'!A:M""), 12, FAlSE)"),"#N/A")</f>
        <v>#N/A</v>
      </c>
      <c r="BA1520" s="61" t="str">
        <f>IFERROR(__xludf.DUMMYFUNCTION("vlookup(BB1520,importrange(""https://docs.google.com/spreadsheets/d/1d2vevQ_7D_v35q4wCQ4RpQ_IPoTwEMB9Yp6ymwlPqew/edit?gid=984458430#gid=984458430"", ""'replication success'!A:M""), 13, FAlSE)"),"#N/A")</f>
        <v>#N/A</v>
      </c>
      <c r="BB1520" s="61" t="str">
        <f>IFERROR(__xludf.DUMMYFUNCTION("REGEXREPLACE(G1520, ""_[a-z]{1,2}$"", """")"),"e9d3k")</f>
        <v>e9d3k</v>
      </c>
    </row>
    <row r="1521">
      <c r="A1521" s="44">
        <v>1521.0</v>
      </c>
      <c r="B1521" s="109" t="s">
        <v>152</v>
      </c>
      <c r="C1521" s="109" t="s">
        <v>115</v>
      </c>
      <c r="D1521" s="109" t="s">
        <v>153</v>
      </c>
      <c r="E1521" s="110"/>
      <c r="F1521" s="111" t="s">
        <v>8659</v>
      </c>
      <c r="G1521" s="112" t="s">
        <v>8660</v>
      </c>
      <c r="H1521" s="112" t="s">
        <v>153</v>
      </c>
      <c r="I1521" s="117" t="s">
        <v>119</v>
      </c>
      <c r="J1521" s="113">
        <v>45638.0</v>
      </c>
      <c r="K1521" s="210" t="s">
        <v>8661</v>
      </c>
      <c r="L1521" s="147" t="s">
        <v>8662</v>
      </c>
      <c r="M1521" s="116" t="s">
        <v>8663</v>
      </c>
      <c r="N1521" s="112" t="s">
        <v>8664</v>
      </c>
      <c r="O1521" s="1723" t="s">
        <v>3580</v>
      </c>
      <c r="P1521" s="535" t="s">
        <v>8665</v>
      </c>
      <c r="Q1521" s="52" t="str">
        <f t="array" ref="Q1521"> if(iserror(MATCH(V1521, 'File Links'!C:C, 0)), "N/A", HYPERLINK(INDEX('File Links'!B:B, MATCH(P1521, 'File Links'!C:C, 0))))</f>
        <v>https://drive.google.com/file/d/1-8o-L3-LBDg-R5swBEF53YfzOD1dWuZJ/view?usp=drivesdk</v>
      </c>
      <c r="R1521" s="418" t="s">
        <v>8666</v>
      </c>
      <c r="S1521" s="418" t="s">
        <v>8667</v>
      </c>
      <c r="T1521" s="114"/>
      <c r="U1521" s="1724">
        <v>1.0</v>
      </c>
      <c r="V1521" s="198" t="str">
        <f t="shared" si="113"/>
        <v>10.17605--osf.io--fmd75.pdf</v>
      </c>
      <c r="W1521" s="112" t="s">
        <v>164</v>
      </c>
      <c r="X1521" s="54" t="str">
        <f t="array" ref="X1521"> if(iserror(MATCH(V1521, 'File Links'!C:C, 0)), "N/A", HYPERLINK(INDEX('File Links'!B:B, MATCH(V1521, 'File Links'!C:C, 0))))</f>
        <v>https://drive.google.com/file/d/1ricWbnnQ27T1O2HoAIXHZb1YA8sK8_s2/view?usp=drivesdk</v>
      </c>
      <c r="Y1521" s="114"/>
      <c r="Z1521" s="112" t="s">
        <v>226</v>
      </c>
      <c r="AA1521" s="210" t="s">
        <v>8668</v>
      </c>
      <c r="AB1521" s="210" t="s">
        <v>8669</v>
      </c>
      <c r="AC1521" s="112" t="s">
        <v>8670</v>
      </c>
      <c r="AD1521" s="112" t="s">
        <v>8671</v>
      </c>
      <c r="AE1521" s="459">
        <v>7.0</v>
      </c>
      <c r="AF1521" s="117">
        <v>81.0</v>
      </c>
      <c r="AG1521" s="1725">
        <v>-0.49</v>
      </c>
      <c r="AH1521" s="121" t="s">
        <v>173</v>
      </c>
      <c r="AI1521" s="117">
        <v>7.0</v>
      </c>
      <c r="AJ1521" s="117">
        <v>0.05</v>
      </c>
      <c r="AK1521" s="122" t="s">
        <v>135</v>
      </c>
      <c r="AL1521" s="116" t="s">
        <v>186</v>
      </c>
      <c r="AM1521" s="114" t="s">
        <v>137</v>
      </c>
      <c r="AN1521" s="147" t="s">
        <v>138</v>
      </c>
      <c r="AO1521" s="117">
        <v>300.0</v>
      </c>
      <c r="AP1521" s="1726">
        <v>-0.017</v>
      </c>
      <c r="AQ1521" s="817" t="s">
        <v>215</v>
      </c>
      <c r="AR1521" s="112" t="s">
        <v>1173</v>
      </c>
      <c r="AS1521" s="117">
        <v>0.383</v>
      </c>
      <c r="AT1521" s="122" t="s">
        <v>172</v>
      </c>
      <c r="AU1521" s="122" t="s">
        <v>136</v>
      </c>
      <c r="AV1521" s="111" t="s">
        <v>137</v>
      </c>
      <c r="AW1521" s="656" t="s">
        <v>8672</v>
      </c>
      <c r="AX1521" s="838" t="s">
        <v>151</v>
      </c>
      <c r="AY1521" s="61" t="str">
        <f>IFERROR(__xludf.DUMMYFUNCTION("vlookup(BB1521,importrange(""https://docs.google.com/spreadsheets/d/1d2vevQ_7D_v35q4wCQ4RpQ_IPoTwEMB9Yp6ymwlPqew/edit?gid=984458430#gid=984458430"", ""'replication success'!A:K""), 11, FAlSE)"),"failed")</f>
        <v>failed</v>
      </c>
      <c r="AZ1521" s="61" t="str">
        <f>IFERROR(__xludf.DUMMYFUNCTION("vlookup(BB1521,importrange(""https://docs.google.com/spreadsheets/d/1d2vevQ_7D_v35q4wCQ4RpQ_IPoTwEMB9Yp6ymwlPqew/edit?gid=984458430#gid=984458430"", ""'replication success'!A:M""), 12, FAlSE)"),"Thus, we deem the replication an informative failure: there is evidence against the hypothesis that forewarning moderates adjustment from self-generated anchors.")</f>
        <v>Thus, we deem the replication an informative failure: there is evidence against the hypothesis that forewarning moderates adjustment from self-generated anchors.</v>
      </c>
      <c r="BA1521" s="61" t="str">
        <f>IFERROR(__xludf.DUMMYFUNCTION("vlookup(BB1521,importrange(""https://docs.google.com/spreadsheets/d/1d2vevQ_7D_v35q4wCQ4RpQ_IPoTwEMB9Yp6ymwlPqew/edit?gid=984458430#gid=984458430"", ""'replication success'!A:M""), 13, FAlSE)"),"pg. 39")</f>
        <v>pg. 39</v>
      </c>
      <c r="BB1521" s="61" t="str">
        <f>IFERROR(__xludf.DUMMYFUNCTION("REGEXREPLACE(G1521, ""_[a-z]{1,2}$"", """")"),"fmd75")</f>
        <v>fmd75</v>
      </c>
      <c r="BC1521" s="71"/>
      <c r="BD1521" s="149" t="s">
        <v>144</v>
      </c>
    </row>
    <row r="1522">
      <c r="A1522" s="44">
        <v>1522.0</v>
      </c>
      <c r="B1522" s="109" t="s">
        <v>114</v>
      </c>
      <c r="C1522" s="149" t="s">
        <v>115</v>
      </c>
      <c r="D1522" s="149" t="s">
        <v>176</v>
      </c>
      <c r="E1522" s="71"/>
      <c r="F1522" s="111" t="s">
        <v>8659</v>
      </c>
      <c r="G1522" s="112" t="s">
        <v>8660</v>
      </c>
      <c r="H1522" s="122" t="s">
        <v>176</v>
      </c>
      <c r="I1522" s="586">
        <v>45637.0</v>
      </c>
      <c r="J1522" s="111"/>
      <c r="K1522" s="122" t="s">
        <v>8673</v>
      </c>
      <c r="L1522" s="111"/>
      <c r="M1522" s="116" t="s">
        <v>8663</v>
      </c>
      <c r="N1522" s="122" t="s">
        <v>8664</v>
      </c>
      <c r="O1522" s="122" t="s">
        <v>3580</v>
      </c>
      <c r="P1522" s="536" t="s">
        <v>8665</v>
      </c>
      <c r="Q1522" s="52" t="str">
        <f t="array" ref="Q1522"> if(iserror(MATCH(V1522, 'File Links'!C:C, 0)), "N/A", HYPERLINK(INDEX('File Links'!B:B, MATCH(P1522, 'File Links'!C:C, 0))))</f>
        <v>https://drive.google.com/file/d/1-8o-L3-LBDg-R5swBEF53YfzOD1dWuZJ/view?usp=drivesdk</v>
      </c>
      <c r="R1522" s="122" t="s">
        <v>8674</v>
      </c>
      <c r="S1522" s="122" t="s">
        <v>8667</v>
      </c>
      <c r="T1522" s="111"/>
      <c r="U1522" s="537">
        <v>1.0</v>
      </c>
      <c r="V1522" s="198" t="str">
        <f t="shared" si="113"/>
        <v>10.17605--osf.io--fmd75.pdf</v>
      </c>
      <c r="W1522" s="122" t="s">
        <v>164</v>
      </c>
      <c r="X1522" s="54" t="str">
        <f t="array" ref="X1522"> if(iserror(MATCH(V1522, 'File Links'!C:C, 0)), "N/A", HYPERLINK(INDEX('File Links'!B:B, MATCH(V1522, 'File Links'!C:C, 0))))</f>
        <v>https://drive.google.com/file/d/1ricWbnnQ27T1O2HoAIXHZb1YA8sK8_s2/view?usp=drivesdk</v>
      </c>
      <c r="Y1522" s="111"/>
      <c r="Z1522" s="122" t="s">
        <v>148</v>
      </c>
      <c r="AA1522" s="122" t="s">
        <v>8675</v>
      </c>
      <c r="AB1522" s="122" t="s">
        <v>8676</v>
      </c>
      <c r="AC1522" s="122" t="s">
        <v>8677</v>
      </c>
      <c r="AD1522" s="122" t="s">
        <v>8678</v>
      </c>
      <c r="AE1522" s="122" t="s">
        <v>132</v>
      </c>
      <c r="AF1522" s="537">
        <v>81.0</v>
      </c>
      <c r="AG1522" s="122" t="s">
        <v>8679</v>
      </c>
      <c r="AH1522" s="121" t="s">
        <v>173</v>
      </c>
      <c r="AI1522" s="112" t="s">
        <v>4979</v>
      </c>
      <c r="AJ1522" s="112" t="s">
        <v>8680</v>
      </c>
      <c r="AK1522" s="122" t="s">
        <v>135</v>
      </c>
      <c r="AL1522" s="112" t="s">
        <v>186</v>
      </c>
      <c r="AM1522" s="111" t="s">
        <v>137</v>
      </c>
      <c r="AN1522" s="111"/>
      <c r="AO1522" s="537">
        <v>300.0</v>
      </c>
      <c r="AP1522" s="1103" t="s">
        <v>8681</v>
      </c>
      <c r="AQ1522" s="122" t="s">
        <v>215</v>
      </c>
      <c r="AR1522" s="122" t="s">
        <v>182</v>
      </c>
      <c r="AS1522" s="122" t="s">
        <v>8682</v>
      </c>
      <c r="AT1522" s="122" t="s">
        <v>172</v>
      </c>
      <c r="AU1522" s="122" t="s">
        <v>218</v>
      </c>
      <c r="AV1522" s="111" t="s">
        <v>137</v>
      </c>
      <c r="AW1522" s="656" t="s">
        <v>8683</v>
      </c>
      <c r="AX1522" s="838" t="s">
        <v>143</v>
      </c>
      <c r="AY1522" s="61" t="str">
        <f>IFERROR(__xludf.DUMMYFUNCTION("vlookup(BB1522,importrange(""https://docs.google.com/spreadsheets/d/1d2vevQ_7D_v35q4wCQ4RpQ_IPoTwEMB9Yp6ymwlPqew/edit?gid=984458430#gid=984458430"", ""'replication success'!A:K""), 11, FAlSE)"),"failed")</f>
        <v>failed</v>
      </c>
      <c r="AZ1522" s="61" t="str">
        <f>IFERROR(__xludf.DUMMYFUNCTION("vlookup(BB1522,importrange(""https://docs.google.com/spreadsheets/d/1d2vevQ_7D_v35q4wCQ4RpQ_IPoTwEMB9Yp6ymwlPqew/edit?gid=984458430#gid=984458430"", ""'replication success'!A:M""), 12, FAlSE)"),"Thus, we deem the replication an informative failure: there is evidence against the hypothesis that forewarning moderates adjustment from self-generated anchors.")</f>
        <v>Thus, we deem the replication an informative failure: there is evidence against the hypothesis that forewarning moderates adjustment from self-generated anchors.</v>
      </c>
      <c r="BA1522" s="61" t="str">
        <f>IFERROR(__xludf.DUMMYFUNCTION("vlookup(BB1522,importrange(""https://docs.google.com/spreadsheets/d/1d2vevQ_7D_v35q4wCQ4RpQ_IPoTwEMB9Yp6ymwlPqew/edit?gid=984458430#gid=984458430"", ""'replication success'!A:M""), 13, FAlSE)"),"pg. 39")</f>
        <v>pg. 39</v>
      </c>
      <c r="BB1522" s="61" t="str">
        <f>IFERROR(__xludf.DUMMYFUNCTION("REGEXREPLACE(G1522, ""_[a-z]{1,2}$"", """")"),"fmd75")</f>
        <v>fmd75</v>
      </c>
      <c r="BC1522" s="71"/>
      <c r="BD1522" s="149" t="s">
        <v>144</v>
      </c>
    </row>
    <row r="1523">
      <c r="A1523" s="44">
        <v>1523.0</v>
      </c>
      <c r="B1523" s="322" t="s">
        <v>152</v>
      </c>
      <c r="C1523" s="322" t="s">
        <v>115</v>
      </c>
      <c r="D1523" s="325" t="s">
        <v>1441</v>
      </c>
      <c r="E1523" s="226"/>
      <c r="F1523" s="331" t="s">
        <v>8684</v>
      </c>
      <c r="G1523" s="412" t="s">
        <v>8685</v>
      </c>
      <c r="H1523" s="412" t="s">
        <v>8686</v>
      </c>
      <c r="I1523" s="1727">
        <v>45639.0</v>
      </c>
      <c r="J1523" s="1728">
        <v>45684.0</v>
      </c>
      <c r="K1523" s="390"/>
      <c r="L1523" s="390"/>
      <c r="M1523" s="412" t="s">
        <v>8687</v>
      </c>
      <c r="N1523" s="412" t="s">
        <v>8688</v>
      </c>
      <c r="O1523" s="330">
        <v>1.0</v>
      </c>
      <c r="P1523" s="1647" t="s">
        <v>8689</v>
      </c>
      <c r="Q1523" s="52" t="str">
        <f t="array" ref="Q1523"> if(iserror(MATCH(V1523, 'File Links'!C:C, 0)), "N/A", HYPERLINK(INDEX('File Links'!B:B, MATCH(P1523, 'File Links'!C:C, 0))))</f>
        <v>https://drive.google.com/file/d/1y_lQGjVlo6Fl18TxXjJCuEtRwnUYubwf/view?usp=drivesdk</v>
      </c>
      <c r="R1523" s="412" t="s">
        <v>8690</v>
      </c>
      <c r="S1523" s="324" t="s">
        <v>208</v>
      </c>
      <c r="T1523" s="390"/>
      <c r="U1523" s="335">
        <v>2.0</v>
      </c>
      <c r="V1523" s="198" t="str">
        <f t="shared" si="113"/>
        <v>10.1016--j.jesp.2020.104066.pdf</v>
      </c>
      <c r="W1523" s="1649" t="s">
        <v>320</v>
      </c>
      <c r="X1523" s="54" t="str">
        <f t="array" ref="X1523"> if(iserror(MATCH(V1523, 'File Links'!C:C, 0)), "N/A", HYPERLINK(INDEX('File Links'!B:B, MATCH(V1523, 'File Links'!C:C, 0))))</f>
        <v>https://drive.google.com/file/d/1Q7xa-u3DEssueb6fBYD39BjDPub6xcHR/view?usp=drivesdk</v>
      </c>
      <c r="Y1523" s="390"/>
      <c r="Z1523" s="412" t="s">
        <v>8691</v>
      </c>
      <c r="AA1523" s="412" t="s">
        <v>8692</v>
      </c>
      <c r="AB1523" s="412" t="s">
        <v>8693</v>
      </c>
      <c r="AC1523" s="1729" t="s">
        <v>8694</v>
      </c>
      <c r="AD1523" s="412" t="s">
        <v>8695</v>
      </c>
      <c r="AE1523" s="394">
        <v>5.0</v>
      </c>
      <c r="AF1523" s="394">
        <v>62.0</v>
      </c>
      <c r="AG1523" s="412" t="s">
        <v>8696</v>
      </c>
      <c r="AH1523" s="662" t="s">
        <v>134</v>
      </c>
      <c r="AI1523" s="330" t="s">
        <v>813</v>
      </c>
      <c r="AJ1523" s="394">
        <v>0.01</v>
      </c>
      <c r="AK1523" s="331" t="s">
        <v>135</v>
      </c>
      <c r="AL1523" s="390" t="s">
        <v>186</v>
      </c>
      <c r="AM1523" s="390" t="s">
        <v>141</v>
      </c>
      <c r="AN1523" s="1649" t="s">
        <v>138</v>
      </c>
      <c r="AO1523" s="394">
        <v>170.0</v>
      </c>
      <c r="AP1523" s="394">
        <v>0.019</v>
      </c>
      <c r="AQ1523" s="330" t="s">
        <v>8697</v>
      </c>
      <c r="AR1523" s="575" t="s">
        <v>882</v>
      </c>
      <c r="AS1523" s="394">
        <v>0.81</v>
      </c>
      <c r="AT1523" s="331" t="s">
        <v>172</v>
      </c>
      <c r="AU1523" s="331" t="s">
        <v>186</v>
      </c>
      <c r="AV1523" s="331" t="s">
        <v>141</v>
      </c>
      <c r="AW1523" s="1040" t="s">
        <v>8698</v>
      </c>
      <c r="AX1523" s="411" t="s">
        <v>143</v>
      </c>
      <c r="AY1523" s="61" t="str">
        <f>IFERROR(__xludf.DUMMYFUNCTION("vlookup(BB1523,importrange(""https://docs.google.com/spreadsheets/d/1d2vevQ_7D_v35q4wCQ4RpQ_IPoTwEMB9Yp6ymwlPqew/edit?gid=984458430#gid=984458430"", ""'replication success'!A:K""), 11, FAlSE)"),"failed")</f>
        <v>failed</v>
      </c>
      <c r="AZ1523" s="61" t="str">
        <f>IFERROR(__xludf.DUMMYFUNCTION("vlookup(BB1523,importrange(""https://docs.google.com/spreadsheets/d/1d2vevQ_7D_v35q4wCQ4RpQ_IPoTwEMB9Yp6ymwlPqew/edit?gid=984458430#gid=984458430"", ""'replication success'!A:M""), 12, FAlSE)"),"In our high-powered, preregistered, close replication of Reitsma-van Rooijen et al. (2006), we could not replicate the subliminal anchoring effect that they reported for participants who had to provide their estimates quickly. If anything, the pattern we "&amp;"found was actually the opposite of the hypothesized one because descriptively, the anchoring effect was stronger in the condition where time pressure was absent.")</f>
        <v>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v>
      </c>
      <c r="BA1523" s="61" t="str">
        <f>IFERROR(__xludf.DUMMYFUNCTION("vlookup(BB1523,importrange(""https://docs.google.com/spreadsheets/d/1d2vevQ_7D_v35q4wCQ4RpQ_IPoTwEMB9Yp6ymwlPqew/edit?gid=984458430#gid=984458430"", ""'replication success'!A:M""), 13, FAlSE)"),"abstract")</f>
        <v>abstract</v>
      </c>
      <c r="BB1523" s="61" t="str">
        <f>IFERROR(__xludf.DUMMYFUNCTION("REGEXREPLACE(G1523, ""_[a-z]{1,2}$"", """")"),"gh52k")</f>
        <v>gh52k</v>
      </c>
      <c r="BC1523" s="226"/>
      <c r="BD1523" s="325" t="s">
        <v>144</v>
      </c>
    </row>
    <row r="1524">
      <c r="A1524" s="44">
        <v>1524.0</v>
      </c>
      <c r="B1524" s="1441" t="s">
        <v>114</v>
      </c>
      <c r="C1524" s="1440" t="s">
        <v>115</v>
      </c>
      <c r="D1524" s="1440" t="s">
        <v>1810</v>
      </c>
      <c r="E1524" s="812"/>
      <c r="F1524" s="1648" t="s">
        <v>8684</v>
      </c>
      <c r="G1524" s="1649" t="s">
        <v>8685</v>
      </c>
      <c r="H1524" s="1649" t="s">
        <v>8699</v>
      </c>
      <c r="I1524" s="1730">
        <v>45642.0</v>
      </c>
      <c r="J1524" s="1731">
        <v>45684.0</v>
      </c>
      <c r="K1524" s="1649" t="s">
        <v>8700</v>
      </c>
      <c r="L1524" s="1732"/>
      <c r="M1524" s="1649" t="s">
        <v>8687</v>
      </c>
      <c r="N1524" s="1649" t="s">
        <v>8688</v>
      </c>
      <c r="O1524" s="1732"/>
      <c r="P1524" s="1733" t="s">
        <v>8689</v>
      </c>
      <c r="Q1524" s="52" t="str">
        <f t="array" ref="Q1524"> if(iserror(MATCH(V1524, 'File Links'!C:C, 0)), "N/A", HYPERLINK(INDEX('File Links'!B:B, MATCH(P1524, 'File Links'!C:C, 0))))</f>
        <v>https://drive.google.com/file/d/1y_lQGjVlo6Fl18TxXjJCuEtRwnUYubwf/view?usp=drivesdk</v>
      </c>
      <c r="R1524" s="1649" t="s">
        <v>8690</v>
      </c>
      <c r="S1524" s="324" t="s">
        <v>208</v>
      </c>
      <c r="T1524" s="1732"/>
      <c r="U1524" s="1734">
        <v>2.0</v>
      </c>
      <c r="V1524" s="198" t="str">
        <f t="shared" si="113"/>
        <v>10.1016--j.jesp.2020.104066.pdf</v>
      </c>
      <c r="W1524" s="1649" t="s">
        <v>320</v>
      </c>
      <c r="X1524" s="54" t="str">
        <f t="array" ref="X1524"> if(iserror(MATCH(V1524, 'File Links'!C:C, 0)), "N/A", HYPERLINK(INDEX('File Links'!B:B, MATCH(V1524, 'File Links'!C:C, 0))))</f>
        <v>https://drive.google.com/file/d/1Q7xa-u3DEssueb6fBYD39BjDPub6xcHR/view?usp=drivesdk</v>
      </c>
      <c r="Y1524" s="1732"/>
      <c r="Z1524" s="1735" t="s">
        <v>8691</v>
      </c>
      <c r="AA1524" s="1649" t="s">
        <v>211</v>
      </c>
      <c r="AB1524" s="1735" t="s">
        <v>8693</v>
      </c>
      <c r="AC1524" s="1649" t="s">
        <v>8694</v>
      </c>
      <c r="AD1524" s="1649" t="s">
        <v>8701</v>
      </c>
      <c r="AF1524" s="1736">
        <v>62.0</v>
      </c>
      <c r="AG1524" s="1737" t="s">
        <v>8702</v>
      </c>
      <c r="AH1524" s="119" t="s">
        <v>134</v>
      </c>
      <c r="AI1524" s="1649" t="s">
        <v>8703</v>
      </c>
      <c r="AJ1524" s="1736">
        <v>0.01</v>
      </c>
      <c r="AK1524" s="1648" t="s">
        <v>135</v>
      </c>
      <c r="AL1524" s="1738" t="s">
        <v>138</v>
      </c>
      <c r="AM1524" s="1738" t="s">
        <v>138</v>
      </c>
      <c r="AN1524" s="1649" t="s">
        <v>138</v>
      </c>
      <c r="AO1524" s="1739">
        <v>175.0</v>
      </c>
      <c r="AP1524" s="1736">
        <v>0.11</v>
      </c>
      <c r="AQ1524" s="330" t="s">
        <v>8697</v>
      </c>
      <c r="AR1524" s="1740" t="s">
        <v>8704</v>
      </c>
      <c r="AS1524" s="1741">
        <v>0.743</v>
      </c>
      <c r="AT1524" s="1742" t="s">
        <v>172</v>
      </c>
      <c r="AU1524" s="1743" t="s">
        <v>138</v>
      </c>
      <c r="AV1524" s="1743" t="s">
        <v>138</v>
      </c>
      <c r="AW1524" s="1742" t="s">
        <v>8698</v>
      </c>
      <c r="AX1524" s="1742" t="s">
        <v>143</v>
      </c>
      <c r="AY1524" s="61" t="str">
        <f>IFERROR(__xludf.DUMMYFUNCTION("vlookup(BB1524,importrange(""https://docs.google.com/spreadsheets/d/1d2vevQ_7D_v35q4wCQ4RpQ_IPoTwEMB9Yp6ymwlPqew/edit?gid=984458430#gid=984458430"", ""'replication success'!A:K""), 11, FAlSE)"),"failed")</f>
        <v>failed</v>
      </c>
      <c r="AZ1524" s="61" t="str">
        <f>IFERROR(__xludf.DUMMYFUNCTION("vlookup(BB1524,importrange(""https://docs.google.com/spreadsheets/d/1d2vevQ_7D_v35q4wCQ4RpQ_IPoTwEMB9Yp6ymwlPqew/edit?gid=984458430#gid=984458430"", ""'replication success'!A:M""), 12, FAlSE)"),"In our high-powered, preregistered, close replication of Reitsma-van Rooijen et al. (2006), we could not replicate the subliminal anchoring effect that they reported for participants who had to provide their estimates quickly. If anything, the pattern we "&amp;"found was actually the opposite of the hypothesized one because descriptively, the anchoring effect was stronger in the condition where time pressure was absent.")</f>
        <v>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v>
      </c>
      <c r="BA1524" s="61" t="str">
        <f>IFERROR(__xludf.DUMMYFUNCTION("vlookup(BB1524,importrange(""https://docs.google.com/spreadsheets/d/1d2vevQ_7D_v35q4wCQ4RpQ_IPoTwEMB9Yp6ymwlPqew/edit?gid=984458430#gid=984458430"", ""'replication success'!A:M""), 13, FAlSE)"),"abstract")</f>
        <v>abstract</v>
      </c>
      <c r="BB1524" s="61" t="str">
        <f>IFERROR(__xludf.DUMMYFUNCTION("REGEXREPLACE(G1524, ""_[a-z]{1,2}$"", """")"),"gh52k")</f>
        <v>gh52k</v>
      </c>
      <c r="BC1524" s="812"/>
      <c r="BD1524" s="325" t="s">
        <v>144</v>
      </c>
    </row>
    <row r="1525">
      <c r="A1525" s="44">
        <v>1525.0</v>
      </c>
      <c r="B1525" s="322" t="s">
        <v>152</v>
      </c>
      <c r="C1525" s="322" t="s">
        <v>115</v>
      </c>
      <c r="D1525" s="325" t="s">
        <v>1441</v>
      </c>
      <c r="E1525" s="226"/>
      <c r="F1525" s="1648" t="s">
        <v>8684</v>
      </c>
      <c r="G1525" s="412" t="s">
        <v>8705</v>
      </c>
      <c r="H1525" s="412" t="s">
        <v>8686</v>
      </c>
      <c r="I1525" s="1727">
        <v>45639.0</v>
      </c>
      <c r="J1525" s="1728">
        <v>45684.0</v>
      </c>
      <c r="K1525" s="390"/>
      <c r="L1525" s="390"/>
      <c r="M1525" s="412" t="s">
        <v>8687</v>
      </c>
      <c r="N1525" s="412" t="s">
        <v>8688</v>
      </c>
      <c r="O1525" s="330">
        <v>1.0</v>
      </c>
      <c r="P1525" s="1647" t="s">
        <v>8689</v>
      </c>
      <c r="Q1525" s="52" t="str">
        <f t="array" ref="Q1525"> if(iserror(MATCH(V1525, 'File Links'!C:C, 0)), "N/A", HYPERLINK(INDEX('File Links'!B:B, MATCH(P1525, 'File Links'!C:C, 0))))</f>
        <v>https://drive.google.com/file/d/1y_lQGjVlo6Fl18TxXjJCuEtRwnUYubwf/view?usp=drivesdk</v>
      </c>
      <c r="R1525" s="412" t="s">
        <v>8690</v>
      </c>
      <c r="S1525" s="324" t="s">
        <v>208</v>
      </c>
      <c r="T1525" s="390"/>
      <c r="U1525" s="335">
        <v>2.0</v>
      </c>
      <c r="V1525" s="198" t="str">
        <f t="shared" si="113"/>
        <v>10.1016--j.jesp.2020.104066.pdf</v>
      </c>
      <c r="W1525" s="1649" t="s">
        <v>320</v>
      </c>
      <c r="X1525" s="54" t="str">
        <f t="array" ref="X1525"> if(iserror(MATCH(V1525, 'File Links'!C:C, 0)), "N/A", HYPERLINK(INDEX('File Links'!B:B, MATCH(V1525, 'File Links'!C:C, 0))))</f>
        <v>https://drive.google.com/file/d/1Q7xa-u3DEssueb6fBYD39BjDPub6xcHR/view?usp=drivesdk</v>
      </c>
      <c r="Y1525" s="390"/>
      <c r="Z1525" s="412" t="s">
        <v>8691</v>
      </c>
      <c r="AA1525" s="412" t="s">
        <v>8692</v>
      </c>
      <c r="AB1525" s="412" t="s">
        <v>8693</v>
      </c>
      <c r="AC1525" s="1729" t="s">
        <v>8694</v>
      </c>
      <c r="AD1525" s="412" t="s">
        <v>8706</v>
      </c>
      <c r="AE1525" s="394">
        <v>6.0</v>
      </c>
      <c r="AF1525" s="394">
        <v>62.0</v>
      </c>
      <c r="AG1525" s="324" t="s">
        <v>8707</v>
      </c>
      <c r="AH1525" s="662" t="s">
        <v>134</v>
      </c>
      <c r="AI1525" s="330" t="s">
        <v>813</v>
      </c>
      <c r="AJ1525" s="324" t="s">
        <v>138</v>
      </c>
      <c r="AK1525" s="324" t="s">
        <v>138</v>
      </c>
      <c r="AL1525" s="390" t="s">
        <v>186</v>
      </c>
      <c r="AM1525" s="390" t="s">
        <v>141</v>
      </c>
      <c r="AN1525" s="1649" t="s">
        <v>138</v>
      </c>
      <c r="AO1525" s="394">
        <v>170.0</v>
      </c>
      <c r="AP1525" s="394">
        <v>0.079</v>
      </c>
      <c r="AQ1525" s="330" t="s">
        <v>8697</v>
      </c>
      <c r="AR1525" s="575" t="s">
        <v>882</v>
      </c>
      <c r="AS1525" s="394">
        <v>0.31</v>
      </c>
      <c r="AT1525" s="331" t="s">
        <v>172</v>
      </c>
      <c r="AU1525" s="331" t="s">
        <v>186</v>
      </c>
      <c r="AV1525" s="331" t="s">
        <v>141</v>
      </c>
      <c r="AW1525" s="1040" t="s">
        <v>8698</v>
      </c>
      <c r="AX1525" s="411" t="s">
        <v>143</v>
      </c>
      <c r="AY1525" s="61" t="str">
        <f>IFERROR(__xludf.DUMMYFUNCTION("vlookup(BB1525,importrange(""https://docs.google.com/spreadsheets/d/1d2vevQ_7D_v35q4wCQ4RpQ_IPoTwEMB9Yp6ymwlPqew/edit?gid=984458430#gid=984458430"", ""'replication success'!A:K""), 11, FAlSE)"),"failed")</f>
        <v>failed</v>
      </c>
      <c r="AZ1525" s="61" t="str">
        <f>IFERROR(__xludf.DUMMYFUNCTION("vlookup(BB1525,importrange(""https://docs.google.com/spreadsheets/d/1d2vevQ_7D_v35q4wCQ4RpQ_IPoTwEMB9Yp6ymwlPqew/edit?gid=984458430#gid=984458430"", ""'replication success'!A:M""), 12, FAlSE)"),"In our high-powered, preregistered, close replication of Reitsma-van Rooijen et al. (2006), we could not replicate the subliminal anchoring effect that they reported for participants who had to provide their estimates quickly. If anything, the pattern we "&amp;"found was actually the opposite of the hypothesized one because descriptively, the anchoring effect was stronger in the condition where time pressure was absent.")</f>
        <v>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v>
      </c>
      <c r="BA1525" s="61" t="str">
        <f>IFERROR(__xludf.DUMMYFUNCTION("vlookup(BB1525,importrange(""https://docs.google.com/spreadsheets/d/1d2vevQ_7D_v35q4wCQ4RpQ_IPoTwEMB9Yp6ymwlPqew/edit?gid=984458430#gid=984458430"", ""'replication success'!A:M""), 13, FAlSE)"),"abstract")</f>
        <v>abstract</v>
      </c>
      <c r="BB1525" s="61" t="str">
        <f>IFERROR(__xludf.DUMMYFUNCTION("REGEXREPLACE(G1525, ""_[a-z]{1,2}$"", """")"),"gh52k")</f>
        <v>gh52k</v>
      </c>
      <c r="BC1525" s="226"/>
      <c r="BD1525" s="325" t="s">
        <v>144</v>
      </c>
    </row>
    <row r="1526">
      <c r="A1526" s="44">
        <v>1526.0</v>
      </c>
      <c r="B1526" s="322" t="s">
        <v>152</v>
      </c>
      <c r="C1526" s="322" t="s">
        <v>115</v>
      </c>
      <c r="D1526" s="325" t="s">
        <v>1441</v>
      </c>
      <c r="E1526" s="226"/>
      <c r="F1526" s="1648" t="s">
        <v>8684</v>
      </c>
      <c r="G1526" s="412" t="s">
        <v>8708</v>
      </c>
      <c r="H1526" s="412" t="s">
        <v>8686</v>
      </c>
      <c r="I1526" s="1727">
        <v>45639.0</v>
      </c>
      <c r="J1526" s="1728">
        <v>45684.0</v>
      </c>
      <c r="K1526" s="390"/>
      <c r="L1526" s="390"/>
      <c r="M1526" s="412" t="s">
        <v>8687</v>
      </c>
      <c r="N1526" s="412" t="s">
        <v>8688</v>
      </c>
      <c r="O1526" s="330">
        <v>1.0</v>
      </c>
      <c r="P1526" s="1647" t="s">
        <v>8689</v>
      </c>
      <c r="Q1526" s="52" t="str">
        <f t="array" ref="Q1526"> if(iserror(MATCH(V1526, 'File Links'!C:C, 0)), "N/A", HYPERLINK(INDEX('File Links'!B:B, MATCH(P1526, 'File Links'!C:C, 0))))</f>
        <v>https://drive.google.com/file/d/1y_lQGjVlo6Fl18TxXjJCuEtRwnUYubwf/view?usp=drivesdk</v>
      </c>
      <c r="R1526" s="412" t="s">
        <v>8690</v>
      </c>
      <c r="S1526" s="324" t="s">
        <v>208</v>
      </c>
      <c r="T1526" s="390"/>
      <c r="U1526" s="335">
        <v>2.0</v>
      </c>
      <c r="V1526" s="198" t="str">
        <f t="shared" si="113"/>
        <v>10.1016--j.jesp.2020.104066.pdf</v>
      </c>
      <c r="W1526" s="1649" t="s">
        <v>320</v>
      </c>
      <c r="X1526" s="54" t="str">
        <f t="array" ref="X1526"> if(iserror(MATCH(V1526, 'File Links'!C:C, 0)), "N/A", HYPERLINK(INDEX('File Links'!B:B, MATCH(V1526, 'File Links'!C:C, 0))))</f>
        <v>https://drive.google.com/file/d/1Q7xa-u3DEssueb6fBYD39BjDPub6xcHR/view?usp=drivesdk</v>
      </c>
      <c r="Y1526" s="390"/>
      <c r="Z1526" s="412" t="s">
        <v>8691</v>
      </c>
      <c r="AA1526" s="412" t="s">
        <v>8692</v>
      </c>
      <c r="AB1526" s="412" t="s">
        <v>8693</v>
      </c>
      <c r="AC1526" s="1729" t="s">
        <v>8694</v>
      </c>
      <c r="AD1526" s="412" t="s">
        <v>8709</v>
      </c>
      <c r="AE1526" s="394">
        <v>5.0</v>
      </c>
      <c r="AF1526" s="394">
        <v>62.0</v>
      </c>
      <c r="AG1526" s="412" t="s">
        <v>8710</v>
      </c>
      <c r="AH1526" s="662" t="s">
        <v>134</v>
      </c>
      <c r="AI1526" s="330" t="s">
        <v>813</v>
      </c>
      <c r="AJ1526" s="394">
        <v>0.05</v>
      </c>
      <c r="AK1526" s="331" t="s">
        <v>135</v>
      </c>
      <c r="AL1526" s="390" t="s">
        <v>186</v>
      </c>
      <c r="AM1526" s="390" t="s">
        <v>141</v>
      </c>
      <c r="AN1526" s="1649" t="s">
        <v>138</v>
      </c>
      <c r="AO1526" s="394">
        <v>170.0</v>
      </c>
      <c r="AP1526" s="394">
        <v>0.025</v>
      </c>
      <c r="AQ1526" s="330" t="s">
        <v>8697</v>
      </c>
      <c r="AR1526" s="575" t="s">
        <v>882</v>
      </c>
      <c r="AS1526" s="394">
        <v>0.743</v>
      </c>
      <c r="AT1526" s="331" t="s">
        <v>172</v>
      </c>
      <c r="AU1526" s="331" t="s">
        <v>186</v>
      </c>
      <c r="AV1526" s="331" t="s">
        <v>141</v>
      </c>
      <c r="AW1526" s="1040" t="s">
        <v>8698</v>
      </c>
      <c r="AX1526" s="411" t="s">
        <v>143</v>
      </c>
      <c r="AY1526" s="61" t="str">
        <f>IFERROR(__xludf.DUMMYFUNCTION("vlookup(BB1526,importrange(""https://docs.google.com/spreadsheets/d/1d2vevQ_7D_v35q4wCQ4RpQ_IPoTwEMB9Yp6ymwlPqew/edit?gid=984458430#gid=984458430"", ""'replication success'!A:K""), 11, FAlSE)"),"failed")</f>
        <v>failed</v>
      </c>
      <c r="AZ1526" s="61" t="str">
        <f>IFERROR(__xludf.DUMMYFUNCTION("vlookup(BB1526,importrange(""https://docs.google.com/spreadsheets/d/1d2vevQ_7D_v35q4wCQ4RpQ_IPoTwEMB9Yp6ymwlPqew/edit?gid=984458430#gid=984458430"", ""'replication success'!A:M""), 12, FAlSE)"),"In our high-powered, preregistered, close replication of Reitsma-van Rooijen et al. (2006), we could not replicate the subliminal anchoring effect that they reported for participants who had to provide their estimates quickly. If anything, the pattern we "&amp;"found was actually the opposite of the hypothesized one because descriptively, the anchoring effect was stronger in the condition where time pressure was absent.")</f>
        <v>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v>
      </c>
      <c r="BA1526" s="61" t="str">
        <f>IFERROR(__xludf.DUMMYFUNCTION("vlookup(BB1526,importrange(""https://docs.google.com/spreadsheets/d/1d2vevQ_7D_v35q4wCQ4RpQ_IPoTwEMB9Yp6ymwlPqew/edit?gid=984458430#gid=984458430"", ""'replication success'!A:M""), 13, FAlSE)"),"abstract")</f>
        <v>abstract</v>
      </c>
      <c r="BB1526" s="61" t="str">
        <f>IFERROR(__xludf.DUMMYFUNCTION("REGEXREPLACE(G1526, ""_[a-z]{1,2}$"", """")"),"gh52k")</f>
        <v>gh52k</v>
      </c>
      <c r="BC1526" s="226"/>
      <c r="BD1526" s="325" t="s">
        <v>144</v>
      </c>
    </row>
    <row r="1527">
      <c r="A1527" s="44">
        <v>1527.0</v>
      </c>
      <c r="B1527" s="188" t="s">
        <v>152</v>
      </c>
      <c r="C1527" s="188" t="s">
        <v>115</v>
      </c>
      <c r="D1527" s="188" t="s">
        <v>1458</v>
      </c>
      <c r="E1527" s="189"/>
      <c r="F1527" s="190" t="s">
        <v>8711</v>
      </c>
      <c r="G1527" s="193" t="s">
        <v>8711</v>
      </c>
      <c r="H1527" s="198" t="s">
        <v>1518</v>
      </c>
      <c r="I1527" s="191">
        <v>45668.0</v>
      </c>
      <c r="J1527" s="1744">
        <v>45677.0</v>
      </c>
      <c r="K1527" s="993" t="s">
        <v>8712</v>
      </c>
      <c r="L1527" s="190"/>
      <c r="M1527" s="877" t="s">
        <v>8713</v>
      </c>
      <c r="N1527" s="1745" t="s">
        <v>8714</v>
      </c>
      <c r="O1527" s="758">
        <v>5.0</v>
      </c>
      <c r="P1527" s="977" t="str">
        <f> SUBSTITUTE(lower(N1527), "/", "--") &amp;  ".pdf"</f>
        <v>10.1073--pnas.1519401113.pdf</v>
      </c>
      <c r="Q1527" s="52" t="str">
        <f t="array" ref="Q1527"> if(iserror(MATCH(V1527, 'File Links'!C:C, 0)), "N/A", HYPERLINK(INDEX('File Links'!B:B, MATCH(P1527, 'File Links'!C:C, 0))))</f>
        <v>https://drive.google.com/file/d/105cRk7vC72JK1EA9WyGiYPQkLW7C53Ad/view?usp=drivesdk</v>
      </c>
      <c r="R1527" s="195" t="s">
        <v>8715</v>
      </c>
      <c r="S1527" s="374" t="s">
        <v>8716</v>
      </c>
      <c r="T1527" s="877" t="s">
        <v>8717</v>
      </c>
      <c r="U1527" s="758">
        <v>1.0</v>
      </c>
      <c r="V1527" s="198" t="str">
        <f t="shared" si="113"/>
        <v>10.1038--s41562-024-02062-9.pdf</v>
      </c>
      <c r="W1527" s="198" t="s">
        <v>8718</v>
      </c>
      <c r="X1527" s="54" t="str">
        <f t="array" ref="X1527"> if(iserror(MATCH(V1527, 'File Links'!C:C, 0)), "N/A", HYPERLINK(INDEX('File Links'!B:B, MATCH(V1527, 'File Links'!C:C, 0))))</f>
        <v>https://drive.google.com/file/d/1w8pcOEpgkXG4574TMp8vmQlQVMYXLL8c/view?usp=drivesdk</v>
      </c>
      <c r="Z1527" s="198" t="s">
        <v>226</v>
      </c>
      <c r="AA1527" s="198" t="s">
        <v>8719</v>
      </c>
      <c r="AB1527" s="198" t="s">
        <v>8720</v>
      </c>
      <c r="AC1527" s="198" t="s">
        <v>8721</v>
      </c>
      <c r="AD1527" s="198" t="s">
        <v>8722</v>
      </c>
      <c r="AE1527" s="758">
        <v>3.0</v>
      </c>
      <c r="AF1527" s="758">
        <v>96.0</v>
      </c>
      <c r="AG1527" s="750">
        <v>0.951</v>
      </c>
      <c r="AH1527" s="198" t="s">
        <v>173</v>
      </c>
      <c r="AI1527" s="542"/>
      <c r="AJ1527" s="194" t="s">
        <v>8723</v>
      </c>
      <c r="AK1527" s="58" t="s">
        <v>135</v>
      </c>
      <c r="AL1527" s="58" t="s">
        <v>186</v>
      </c>
      <c r="AM1527" s="190" t="s">
        <v>137</v>
      </c>
      <c r="AN1527" s="374" t="s">
        <v>138</v>
      </c>
      <c r="AO1527" s="758">
        <v>112.0</v>
      </c>
      <c r="AP1527" s="758">
        <v>0.621</v>
      </c>
      <c r="AQ1527" s="198" t="s">
        <v>173</v>
      </c>
      <c r="AR1527" s="198" t="s">
        <v>507</v>
      </c>
      <c r="AS1527" s="758">
        <v>0.001</v>
      </c>
      <c r="AT1527" s="198" t="s">
        <v>172</v>
      </c>
      <c r="AU1527" s="198" t="s">
        <v>136</v>
      </c>
      <c r="AV1527" s="190" t="s">
        <v>137</v>
      </c>
      <c r="AW1527" s="877" t="s">
        <v>8724</v>
      </c>
      <c r="AX1527" s="190" t="s">
        <v>151</v>
      </c>
      <c r="AY1527" s="61" t="str">
        <f>IFERROR(__xludf.DUMMYFUNCTION("vlookup(BB1527,importrange(""https://docs.google.com/spreadsheets/d/1d2vevQ_7D_v35q4wCQ4RpQ_IPoTwEMB9Yp6ymwlPqew/edit?gid=984458430#gid=984458430"", ""'replication success'!A:K""), 11, FAlSE)"),"successful")</f>
        <v>successful</v>
      </c>
      <c r="AZ1527" s="61" t="str">
        <f>IFERROR(__xludf.DUMMYFUNCTION("vlookup(BB1527,importrange(""https://docs.google.com/spreadsheets/d/1d2vevQ_7D_v35q4wCQ4RpQ_IPoTwEMB9Yp6ymwlPqew/edit?gid=984458430#gid=984458430"",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27" s="61" t="str">
        <f>IFERROR(__xludf.DUMMYFUNCTION("vlookup(BB1527,importrange(""https://docs.google.com/spreadsheets/d/1d2vevQ_7D_v35q4wCQ4RpQ_IPoTwEMB9Yp6ymwlPqew/edit?gid=984458430#gid=984458430"", ""'replication success'!A:M""), 13, FAlSE)"),"pg.3")</f>
        <v>pg.3</v>
      </c>
      <c r="BB1527" s="61" t="str">
        <f>IFERROR(__xludf.DUMMYFUNCTION("REGEXREPLACE(G1527, ""_[a-z]{1,2}$"", """")"),"Holzmeisteretal2024_1")</f>
        <v>Holzmeisteretal2024_1</v>
      </c>
      <c r="BC1527" s="189"/>
      <c r="BD1527" s="188" t="s">
        <v>144</v>
      </c>
    </row>
    <row r="1528">
      <c r="A1528" s="44">
        <v>1528.0</v>
      </c>
      <c r="B1528" s="62" t="s">
        <v>114</v>
      </c>
      <c r="C1528" s="62" t="s">
        <v>115</v>
      </c>
      <c r="D1528" s="62" t="s">
        <v>1441</v>
      </c>
      <c r="F1528" s="68" t="s">
        <v>8711</v>
      </c>
      <c r="G1528" s="61" t="s">
        <v>8711</v>
      </c>
      <c r="H1528" s="159" t="s">
        <v>1444</v>
      </c>
      <c r="I1528" s="68"/>
      <c r="J1528" s="1744">
        <v>45677.0</v>
      </c>
      <c r="K1528" s="159" t="s">
        <v>8725</v>
      </c>
      <c r="L1528" s="68"/>
      <c r="M1528" s="435" t="s">
        <v>8726</v>
      </c>
      <c r="N1528" s="1746" t="s">
        <v>8727</v>
      </c>
      <c r="O1528" s="156">
        <v>5.0</v>
      </c>
      <c r="P1528" s="1581" t="str">
        <f>SUBSTITUTE(LOWER(N1528), "/", "--") &amp;  ".pdf"</f>
        <v>10.1073--pnas.1519401113.pdf</v>
      </c>
      <c r="Q1528" s="52" t="str">
        <f t="array" ref="Q1528"> if(iserror(MATCH(V1528, 'File Links'!C:C, 0)), "N/A", HYPERLINK(INDEX('File Links'!B:B, MATCH(P1528, 'File Links'!C:C, 0))))</f>
        <v>https://drive.google.com/file/d/105cRk7vC72JK1EA9WyGiYPQkLW7C53Ad/view?usp=drivesdk</v>
      </c>
      <c r="R1528" s="68" t="s">
        <v>8728</v>
      </c>
      <c r="S1528" s="129" t="s">
        <v>8716</v>
      </c>
      <c r="T1528" s="435" t="s">
        <v>8717</v>
      </c>
      <c r="U1528" s="68"/>
      <c r="V1528" s="198" t="str">
        <f t="shared" si="113"/>
        <v>10.1038--s41562-024-02062-9.pdf</v>
      </c>
      <c r="W1528" s="159" t="s">
        <v>8729</v>
      </c>
      <c r="X1528" s="54" t="str">
        <f t="array" ref="X1528"> if(iserror(MATCH(V1528, 'File Links'!C:C, 0)), "N/A", HYPERLINK(INDEX('File Links'!B:B, MATCH(V1528, 'File Links'!C:C, 0))))</f>
        <v>https://drive.google.com/file/d/1w8pcOEpgkXG4574TMp8vmQlQVMYXLL8c/view?usp=drivesdk</v>
      </c>
      <c r="Z1528" s="159" t="s">
        <v>226</v>
      </c>
      <c r="AA1528" s="159" t="s">
        <v>8730</v>
      </c>
      <c r="AB1528" s="159" t="s">
        <v>8731</v>
      </c>
      <c r="AC1528" s="159" t="s">
        <v>8732</v>
      </c>
      <c r="AD1528" s="159" t="s">
        <v>8733</v>
      </c>
      <c r="AE1528" s="156">
        <v>4.0</v>
      </c>
      <c r="AF1528" s="156">
        <v>96.0</v>
      </c>
      <c r="AG1528" s="68" t="s">
        <v>8734</v>
      </c>
      <c r="AH1528" s="159" t="s">
        <v>134</v>
      </c>
      <c r="AI1528" s="68"/>
      <c r="AJ1528" s="709">
        <v>0.001</v>
      </c>
      <c r="AK1528" s="61" t="s">
        <v>135</v>
      </c>
      <c r="AL1528" s="57" t="s">
        <v>186</v>
      </c>
      <c r="AM1528" s="68" t="s">
        <v>137</v>
      </c>
      <c r="AN1528" s="61"/>
      <c r="AO1528" s="156">
        <v>112.0</v>
      </c>
      <c r="AP1528" s="156">
        <v>0.621</v>
      </c>
      <c r="AQ1528" s="159" t="s">
        <v>173</v>
      </c>
      <c r="AR1528" s="159" t="s">
        <v>507</v>
      </c>
      <c r="AS1528" s="156">
        <v>0.001</v>
      </c>
      <c r="AT1528" s="68" t="s">
        <v>172</v>
      </c>
      <c r="AU1528" s="159" t="s">
        <v>136</v>
      </c>
      <c r="AV1528" s="68" t="s">
        <v>137</v>
      </c>
      <c r="AW1528" s="68"/>
      <c r="AX1528" s="68" t="s">
        <v>143</v>
      </c>
      <c r="AY1528" s="61" t="str">
        <f>IFERROR(__xludf.DUMMYFUNCTION("vlookup(BB1528,importrange(""https://docs.google.com/spreadsheets/d/1d2vevQ_7D_v35q4wCQ4RpQ_IPoTwEMB9Yp6ymwlPqew/edit?gid=984458430#gid=984458430"", ""'replication success'!A:K""), 11, FAlSE)"),"successful")</f>
        <v>successful</v>
      </c>
      <c r="AZ1528" s="61" t="str">
        <f>IFERROR(__xludf.DUMMYFUNCTION("vlookup(BB1528,importrange(""https://docs.google.com/spreadsheets/d/1d2vevQ_7D_v35q4wCQ4RpQ_IPoTwEMB9Yp6ymwlPqew/edit?gid=984458430#gid=984458430"",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28" s="61" t="str">
        <f>IFERROR(__xludf.DUMMYFUNCTION("vlookup(BB1528,importrange(""https://docs.google.com/spreadsheets/d/1d2vevQ_7D_v35q4wCQ4RpQ_IPoTwEMB9Yp6ymwlPqew/edit?gid=984458430#gid=984458430"", ""'replication success'!A:M""), 13, FAlSE)"),"pg.3")</f>
        <v>pg.3</v>
      </c>
      <c r="BB1528" s="61" t="str">
        <f>IFERROR(__xludf.DUMMYFUNCTION("REGEXREPLACE(G1528, ""_[a-z]{1,2}$"", """")"),"Holzmeisteretal2024_1")</f>
        <v>Holzmeisteretal2024_1</v>
      </c>
      <c r="BC1528" s="1747" t="s">
        <v>8735</v>
      </c>
      <c r="BD1528" s="188" t="s">
        <v>144</v>
      </c>
    </row>
    <row r="1529">
      <c r="A1529" s="44">
        <v>1529.0</v>
      </c>
      <c r="B1529" s="188" t="s">
        <v>152</v>
      </c>
      <c r="C1529" s="188" t="s">
        <v>115</v>
      </c>
      <c r="D1529" s="188" t="s">
        <v>1458</v>
      </c>
      <c r="E1529" s="189"/>
      <c r="F1529" s="190" t="s">
        <v>8736</v>
      </c>
      <c r="G1529" s="193" t="s">
        <v>8736</v>
      </c>
      <c r="H1529" s="198" t="s">
        <v>1518</v>
      </c>
      <c r="I1529" s="191">
        <v>45669.0</v>
      </c>
      <c r="J1529" s="1744">
        <v>45677.0</v>
      </c>
      <c r="K1529" s="198" t="s">
        <v>8737</v>
      </c>
      <c r="L1529" s="190"/>
      <c r="M1529" s="877" t="s">
        <v>8738</v>
      </c>
      <c r="N1529" s="1745" t="s">
        <v>8739</v>
      </c>
      <c r="O1529" s="758">
        <v>7.0</v>
      </c>
      <c r="P1529" s="977" t="str">
        <f> SUBSTITUTE(lower(N1529), "/", "--") &amp;  ".pdf"</f>
        <v>10.1073--pnas.1805327115.pdf</v>
      </c>
      <c r="Q1529" s="52" t="str">
        <f t="array" ref="Q1529"> if(iserror(MATCH(V1529, 'File Links'!C:C, 0)), "N/A", HYPERLINK(INDEX('File Links'!B:B, MATCH(P1529, 'File Links'!C:C, 0))))</f>
        <v>https://drive.google.com/file/d/1DQ-5qEEOtHAV_EO0dtcKuZKTfy6PHQQl/view?usp=drivesdk</v>
      </c>
      <c r="R1529" s="195" t="s">
        <v>8740</v>
      </c>
      <c r="S1529" s="374" t="s">
        <v>8716</v>
      </c>
      <c r="T1529" s="877" t="s">
        <v>8717</v>
      </c>
      <c r="U1529" s="758">
        <v>1.0</v>
      </c>
      <c r="V1529" s="198" t="str">
        <f t="shared" si="113"/>
        <v>10.1038--s41562-024-02062-9.pdf</v>
      </c>
      <c r="W1529" s="198" t="s">
        <v>8741</v>
      </c>
      <c r="X1529" s="54" t="str">
        <f t="array" ref="X1529"> if(iserror(MATCH(V1529, 'File Links'!C:C, 0)), "N/A", HYPERLINK(INDEX('File Links'!B:B, MATCH(V1529, 'File Links'!C:C, 0))))</f>
        <v>https://drive.google.com/file/d/1w8pcOEpgkXG4574TMp8vmQlQVMYXLL8c/view?usp=drivesdk</v>
      </c>
      <c r="Z1529" s="198" t="s">
        <v>210</v>
      </c>
      <c r="AA1529" s="198" t="s">
        <v>8742</v>
      </c>
      <c r="AB1529" s="198" t="s">
        <v>8743</v>
      </c>
      <c r="AC1529" s="198" t="s">
        <v>8744</v>
      </c>
      <c r="AD1529" s="198" t="s">
        <v>8745</v>
      </c>
      <c r="AE1529" s="758">
        <v>2.0</v>
      </c>
      <c r="AF1529" s="758">
        <v>207.0</v>
      </c>
      <c r="AG1529" s="758">
        <v>1.45</v>
      </c>
      <c r="AH1529" s="198" t="s">
        <v>173</v>
      </c>
      <c r="AI1529" s="198" t="s">
        <v>2771</v>
      </c>
      <c r="AJ1529" s="875">
        <v>0.001</v>
      </c>
      <c r="AK1529" s="58" t="s">
        <v>135</v>
      </c>
      <c r="AL1529" s="58" t="s">
        <v>186</v>
      </c>
      <c r="AM1529" s="190" t="s">
        <v>137</v>
      </c>
      <c r="AN1529" s="374" t="s">
        <v>138</v>
      </c>
      <c r="AO1529" s="758">
        <v>214.0</v>
      </c>
      <c r="AP1529" s="758">
        <v>1.386</v>
      </c>
      <c r="AQ1529" s="198" t="s">
        <v>173</v>
      </c>
      <c r="AR1529" s="198" t="s">
        <v>2771</v>
      </c>
      <c r="AS1529" s="758">
        <v>1.0E-4</v>
      </c>
      <c r="AT1529" s="198" t="s">
        <v>135</v>
      </c>
      <c r="AU1529" s="198" t="s">
        <v>136</v>
      </c>
      <c r="AV1529" s="190" t="s">
        <v>137</v>
      </c>
      <c r="AW1529" s="877" t="s">
        <v>8746</v>
      </c>
      <c r="AX1529" s="190" t="s">
        <v>143</v>
      </c>
      <c r="AY1529" s="61" t="str">
        <f>IFERROR(__xludf.DUMMYFUNCTION("vlookup(BB1529,importrange(""https://docs.google.com/spreadsheets/d/1d2vevQ_7D_v35q4wCQ4RpQ_IPoTwEMB9Yp6ymwlPqew/edit?gid=984458430#gid=984458430"", ""'replication success'!A:K""), 11, FAlSE)"),"successful")</f>
        <v>successful</v>
      </c>
      <c r="AZ1529" s="61" t="str">
        <f>IFERROR(__xludf.DUMMYFUNCTION("vlookup(BB1529,importrange(""https://docs.google.com/spreadsheets/d/1d2vevQ_7D_v35q4wCQ4RpQ_IPoTwEMB9Yp6ymwlPqew/edit?gid=984458430#gid=984458430"",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29" s="61" t="str">
        <f>IFERROR(__xludf.DUMMYFUNCTION("vlookup(BB1529,importrange(""https://docs.google.com/spreadsheets/d/1d2vevQ_7D_v35q4wCQ4RpQ_IPoTwEMB9Yp6ymwlPqew/edit?gid=984458430#gid=984458430"", ""'replication success'!A:M""), 13, FAlSE)"),"pg.3")</f>
        <v>pg.3</v>
      </c>
      <c r="BB1529" s="61" t="str">
        <f>IFERROR(__xludf.DUMMYFUNCTION("REGEXREPLACE(G1529, ""_[a-z]{1,2}$"", """")"),"Holzmeisteretal2024_10")</f>
        <v>Holzmeisteretal2024_10</v>
      </c>
      <c r="BC1529" s="189"/>
      <c r="BD1529" s="188" t="s">
        <v>144</v>
      </c>
    </row>
    <row r="1530">
      <c r="A1530" s="44">
        <v>1530.0</v>
      </c>
      <c r="B1530" s="62" t="s">
        <v>114</v>
      </c>
      <c r="C1530" s="62" t="s">
        <v>115</v>
      </c>
      <c r="D1530" s="62" t="s">
        <v>1441</v>
      </c>
      <c r="F1530" s="68" t="s">
        <v>8736</v>
      </c>
      <c r="G1530" s="61" t="s">
        <v>8736</v>
      </c>
      <c r="H1530" s="159" t="s">
        <v>1444</v>
      </c>
      <c r="I1530" s="68"/>
      <c r="J1530" s="1744">
        <v>45677.0</v>
      </c>
      <c r="K1530" s="68"/>
      <c r="L1530" s="68"/>
      <c r="M1530" s="435" t="s">
        <v>8747</v>
      </c>
      <c r="N1530" s="1746" t="s">
        <v>8748</v>
      </c>
      <c r="O1530" s="68"/>
      <c r="P1530" s="1581" t="str">
        <f>SUBSTITUTE(LOWER(N1530), "/", "--") &amp;  ".pdf"</f>
        <v>10.1073--pnas.1805327115.pdf</v>
      </c>
      <c r="Q1530" s="52" t="str">
        <f t="array" ref="Q1530"> if(iserror(MATCH(V1530, 'File Links'!C:C, 0)), "N/A", HYPERLINK(INDEX('File Links'!B:B, MATCH(P1530, 'File Links'!C:C, 0))))</f>
        <v>https://drive.google.com/file/d/1DQ-5qEEOtHAV_EO0dtcKuZKTfy6PHQQl/view?usp=drivesdk</v>
      </c>
      <c r="R1530" s="68" t="s">
        <v>8749</v>
      </c>
      <c r="S1530" s="129" t="s">
        <v>8716</v>
      </c>
      <c r="T1530" s="435" t="s">
        <v>8717</v>
      </c>
      <c r="U1530" s="156">
        <v>1.0</v>
      </c>
      <c r="V1530" s="198" t="str">
        <f t="shared" si="113"/>
        <v>10.1038--s41562-024-02062-9.pdf</v>
      </c>
      <c r="W1530" s="159" t="s">
        <v>8729</v>
      </c>
      <c r="X1530" s="54" t="str">
        <f t="array" ref="X1530"> if(iserror(MATCH(V1530, 'File Links'!C:C, 0)), "N/A", HYPERLINK(INDEX('File Links'!B:B, MATCH(V1530, 'File Links'!C:C, 0))))</f>
        <v>https://drive.google.com/file/d/1w8pcOEpgkXG4574TMp8vmQlQVMYXLL8c/view?usp=drivesdk</v>
      </c>
      <c r="Z1530" s="159" t="s">
        <v>210</v>
      </c>
      <c r="AA1530" s="159" t="s">
        <v>8750</v>
      </c>
      <c r="AB1530" s="159" t="s">
        <v>8751</v>
      </c>
      <c r="AC1530" s="159" t="s">
        <v>8752</v>
      </c>
      <c r="AD1530" s="159" t="s">
        <v>8753</v>
      </c>
      <c r="AE1530" s="156">
        <v>2.0</v>
      </c>
      <c r="AF1530" s="156">
        <v>207.0</v>
      </c>
      <c r="AG1530" s="159" t="s">
        <v>8754</v>
      </c>
      <c r="AH1530" s="159" t="s">
        <v>134</v>
      </c>
      <c r="AI1530" s="68"/>
      <c r="AJ1530" s="709">
        <v>0.001</v>
      </c>
      <c r="AK1530" s="57" t="s">
        <v>135</v>
      </c>
      <c r="AL1530" s="57" t="s">
        <v>186</v>
      </c>
      <c r="AM1530" s="1748" t="s">
        <v>137</v>
      </c>
      <c r="AN1530" s="61"/>
      <c r="AO1530" s="156">
        <v>214.0</v>
      </c>
      <c r="AP1530" s="156">
        <v>1.386</v>
      </c>
      <c r="AQ1530" s="159" t="s">
        <v>173</v>
      </c>
      <c r="AR1530" s="159" t="s">
        <v>2771</v>
      </c>
      <c r="AS1530" s="1749">
        <v>6.2E-20</v>
      </c>
      <c r="AT1530" s="159" t="s">
        <v>172</v>
      </c>
      <c r="AU1530" s="159" t="s">
        <v>136</v>
      </c>
      <c r="AV1530" s="1748" t="s">
        <v>137</v>
      </c>
      <c r="AW1530" s="68"/>
      <c r="AX1530" s="1748" t="s">
        <v>143</v>
      </c>
      <c r="AY1530" s="61" t="str">
        <f>IFERROR(__xludf.DUMMYFUNCTION("vlookup(BB1530,importrange(""https://docs.google.com/spreadsheets/d/1d2vevQ_7D_v35q4wCQ4RpQ_IPoTwEMB9Yp6ymwlPqew/edit?gid=984458430#gid=984458430"", ""'replication success'!A:K""), 11, FAlSE)"),"successful")</f>
        <v>successful</v>
      </c>
      <c r="AZ1530" s="61" t="str">
        <f>IFERROR(__xludf.DUMMYFUNCTION("vlookup(BB1530,importrange(""https://docs.google.com/spreadsheets/d/1d2vevQ_7D_v35q4wCQ4RpQ_IPoTwEMB9Yp6ymwlPqew/edit?gid=984458430#gid=984458430"",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0" s="61" t="str">
        <f>IFERROR(__xludf.DUMMYFUNCTION("vlookup(BB1530,importrange(""https://docs.google.com/spreadsheets/d/1d2vevQ_7D_v35q4wCQ4RpQ_IPoTwEMB9Yp6ymwlPqew/edit?gid=984458430#gid=984458430"", ""'replication success'!A:M""), 13, FAlSE)"),"pg.3")</f>
        <v>pg.3</v>
      </c>
      <c r="BB1530" s="61" t="str">
        <f>IFERROR(__xludf.DUMMYFUNCTION("REGEXREPLACE(G1530, ""_[a-z]{1,2}$"", """")"),"Holzmeisteretal2024_10")</f>
        <v>Holzmeisteretal2024_10</v>
      </c>
      <c r="BD1530" s="188" t="s">
        <v>144</v>
      </c>
    </row>
    <row r="1531">
      <c r="A1531" s="44">
        <v>1531.0</v>
      </c>
      <c r="B1531" s="188" t="s">
        <v>152</v>
      </c>
      <c r="C1531" s="188" t="s">
        <v>115</v>
      </c>
      <c r="D1531" s="188" t="s">
        <v>1458</v>
      </c>
      <c r="E1531" s="189"/>
      <c r="F1531" s="190" t="s">
        <v>8755</v>
      </c>
      <c r="G1531" s="193" t="s">
        <v>8755</v>
      </c>
      <c r="H1531" s="198" t="s">
        <v>1518</v>
      </c>
      <c r="I1531" s="191">
        <v>45669.0</v>
      </c>
      <c r="J1531" s="1744">
        <v>45677.0</v>
      </c>
      <c r="K1531" s="993" t="s">
        <v>8756</v>
      </c>
      <c r="L1531" s="190"/>
      <c r="M1531" s="877" t="s">
        <v>8757</v>
      </c>
      <c r="N1531" s="1745" t="s">
        <v>8758</v>
      </c>
      <c r="O1531" s="758">
        <v>2.0</v>
      </c>
      <c r="P1531" s="977" t="str">
        <f> SUBSTITUTE(lower(N1531), "/", "--") &amp;  ".pdf"</f>
        <v>10.1073--pnas.1601280113.pdf</v>
      </c>
      <c r="Q1531" s="52" t="str">
        <f t="array" ref="Q1531"> if(iserror(MATCH(V1531, 'File Links'!C:C, 0)), "N/A", HYPERLINK(INDEX('File Links'!B:B, MATCH(P1531, 'File Links'!C:C, 0))))</f>
        <v>https://drive.google.com/file/d/1BbeoZ9CdBUXQMwPbOQkLBdsayafNFSX2/view?usp=drivesdk</v>
      </c>
      <c r="R1531" s="195" t="s">
        <v>8759</v>
      </c>
      <c r="S1531" s="374" t="s">
        <v>8716</v>
      </c>
      <c r="T1531" s="877" t="s">
        <v>8717</v>
      </c>
      <c r="U1531" s="758">
        <v>1.0</v>
      </c>
      <c r="V1531" s="198" t="str">
        <f t="shared" si="113"/>
        <v>10.1038--s41562-024-02062-9.pdf</v>
      </c>
      <c r="W1531" s="198" t="s">
        <v>8760</v>
      </c>
      <c r="X1531" s="54" t="str">
        <f t="array" ref="X1531"> if(iserror(MATCH(V1531, 'File Links'!C:C, 0)), "N/A", HYPERLINK(INDEX('File Links'!B:B, MATCH(V1531, 'File Links'!C:C, 0))))</f>
        <v>https://drive.google.com/file/d/1w8pcOEpgkXG4574TMp8vmQlQVMYXLL8c/view?usp=drivesdk</v>
      </c>
      <c r="Z1531" s="198" t="s">
        <v>210</v>
      </c>
      <c r="AA1531" s="198" t="s">
        <v>8761</v>
      </c>
      <c r="AB1531" s="198" t="s">
        <v>8762</v>
      </c>
      <c r="AC1531" s="198" t="s">
        <v>8763</v>
      </c>
      <c r="AD1531" s="198" t="s">
        <v>8764</v>
      </c>
      <c r="AE1531" s="758">
        <v>3.0</v>
      </c>
      <c r="AF1531" s="758">
        <v>735.0</v>
      </c>
      <c r="AG1531" s="758">
        <v>-0.486</v>
      </c>
      <c r="AH1531" s="198" t="s">
        <v>987</v>
      </c>
      <c r="AI1531" s="542"/>
      <c r="AJ1531" s="875">
        <v>0.002</v>
      </c>
      <c r="AK1531" s="58" t="s">
        <v>172</v>
      </c>
      <c r="AL1531" s="58" t="s">
        <v>186</v>
      </c>
      <c r="AM1531" s="190" t="s">
        <v>137</v>
      </c>
      <c r="AN1531" s="374" t="s">
        <v>138</v>
      </c>
      <c r="AO1531" s="758">
        <v>1826.0</v>
      </c>
      <c r="AP1531" s="758">
        <v>0.05</v>
      </c>
      <c r="AQ1531" s="198" t="s">
        <v>173</v>
      </c>
      <c r="AR1531" s="198" t="s">
        <v>2771</v>
      </c>
      <c r="AS1531" s="758">
        <v>0.288</v>
      </c>
      <c r="AT1531" s="198" t="s">
        <v>172</v>
      </c>
      <c r="AU1531" s="198" t="s">
        <v>136</v>
      </c>
      <c r="AV1531" s="190" t="s">
        <v>137</v>
      </c>
      <c r="AW1531" s="877" t="s">
        <v>8765</v>
      </c>
      <c r="AX1531" s="190" t="s">
        <v>143</v>
      </c>
      <c r="AY1531" s="61" t="str">
        <f>IFERROR(__xludf.DUMMYFUNCTION("vlookup(BB1531,importrange(""https://docs.google.com/spreadsheets/d/1d2vevQ_7D_v35q4wCQ4RpQ_IPoTwEMB9Yp6ymwlPqew/edit?gid=984458430#gid=984458430"", ""'replication success'!A:K""), 11, FAlSE)"),"failed")</f>
        <v>failed</v>
      </c>
      <c r="AZ1531" s="61" t="str">
        <f>IFERROR(__xludf.DUMMYFUNCTION("vlookup(BB1531,importrange(""https://docs.google.com/spreadsheets/d/1d2vevQ_7D_v35q4wCQ4RpQ_IPoTwEMB9Yp6ymwlPqew/edit?gid=984458430#gid=984458430"",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1" s="61" t="str">
        <f>IFERROR(__xludf.DUMMYFUNCTION("vlookup(BB1531,importrange(""https://docs.google.com/spreadsheets/d/1d2vevQ_7D_v35q4wCQ4RpQ_IPoTwEMB9Yp6ymwlPqew/edit?gid=984458430#gid=984458430"", ""'replication success'!A:M""), 13, FAlSE)"),"pg.3")</f>
        <v>pg.3</v>
      </c>
      <c r="BB1531" s="61" t="str">
        <f>IFERROR(__xludf.DUMMYFUNCTION("REGEXREPLACE(G1531, ""_[a-z]{1,2}$"", """")"),"Holzmeisteretal2024_11")</f>
        <v>Holzmeisteretal2024_11</v>
      </c>
      <c r="BC1531" s="189"/>
      <c r="BD1531" s="188" t="s">
        <v>144</v>
      </c>
    </row>
    <row r="1532">
      <c r="A1532" s="44">
        <v>1532.0</v>
      </c>
      <c r="B1532" s="62" t="s">
        <v>114</v>
      </c>
      <c r="C1532" s="62" t="s">
        <v>115</v>
      </c>
      <c r="D1532" s="62" t="s">
        <v>1441</v>
      </c>
      <c r="F1532" s="68" t="s">
        <v>8755</v>
      </c>
      <c r="G1532" s="61" t="s">
        <v>8755</v>
      </c>
      <c r="H1532" s="159" t="s">
        <v>1444</v>
      </c>
      <c r="I1532" s="68"/>
      <c r="J1532" s="1744">
        <v>45677.0</v>
      </c>
      <c r="K1532" s="159" t="s">
        <v>8766</v>
      </c>
      <c r="L1532" s="68"/>
      <c r="M1532" s="435" t="s">
        <v>8767</v>
      </c>
      <c r="N1532" s="1746" t="s">
        <v>8768</v>
      </c>
      <c r="O1532" s="68"/>
      <c r="P1532" s="1581" t="str">
        <f>SUBSTITUTE(LOWER(N1532), "/", "--") &amp;  ".pdf"</f>
        <v>10.1073--pnas.1601280113.pdf</v>
      </c>
      <c r="Q1532" s="52" t="str">
        <f t="array" ref="Q1532"> if(iserror(MATCH(V1532, 'File Links'!C:C, 0)), "N/A", HYPERLINK(INDEX('File Links'!B:B, MATCH(P1532, 'File Links'!C:C, 0))))</f>
        <v>https://drive.google.com/file/d/1BbeoZ9CdBUXQMwPbOQkLBdsayafNFSX2/view?usp=drivesdk</v>
      </c>
      <c r="R1532" s="68" t="s">
        <v>8769</v>
      </c>
      <c r="S1532" s="129" t="s">
        <v>8716</v>
      </c>
      <c r="T1532" s="435" t="s">
        <v>8717</v>
      </c>
      <c r="U1532" s="156">
        <v>1.0</v>
      </c>
      <c r="V1532" s="198" t="str">
        <f t="shared" si="113"/>
        <v>10.1038--s41562-024-02062-9.pdf</v>
      </c>
      <c r="W1532" s="159" t="s">
        <v>8729</v>
      </c>
      <c r="X1532" s="54" t="str">
        <f t="array" ref="X1532"> if(iserror(MATCH(V1532, 'File Links'!C:C, 0)), "N/A", HYPERLINK(INDEX('File Links'!B:B, MATCH(V1532, 'File Links'!C:C, 0))))</f>
        <v>https://drive.google.com/file/d/1w8pcOEpgkXG4574TMp8vmQlQVMYXLL8c/view?usp=drivesdk</v>
      </c>
      <c r="Z1532" s="159" t="s">
        <v>210</v>
      </c>
      <c r="AA1532" s="159" t="s">
        <v>8770</v>
      </c>
      <c r="AB1532" s="159" t="s">
        <v>8771</v>
      </c>
      <c r="AC1532" s="159" t="s">
        <v>8772</v>
      </c>
      <c r="AD1532" s="159" t="s">
        <v>8773</v>
      </c>
      <c r="AE1532" s="156">
        <v>3.0</v>
      </c>
      <c r="AF1532" s="156">
        <v>735.0</v>
      </c>
      <c r="AG1532" s="156">
        <v>-0.486</v>
      </c>
      <c r="AH1532" s="159" t="s">
        <v>987</v>
      </c>
      <c r="AI1532" s="68"/>
      <c r="AJ1532" s="709">
        <v>0.002</v>
      </c>
      <c r="AK1532" s="57" t="s">
        <v>172</v>
      </c>
      <c r="AL1532" s="57" t="s">
        <v>186</v>
      </c>
      <c r="AM1532" s="1748" t="s">
        <v>141</v>
      </c>
      <c r="AN1532" s="61"/>
      <c r="AO1532" s="156">
        <v>1826.0</v>
      </c>
      <c r="AP1532" s="156">
        <v>0.05</v>
      </c>
      <c r="AQ1532" s="159" t="s">
        <v>173</v>
      </c>
      <c r="AR1532" s="159" t="s">
        <v>2771</v>
      </c>
      <c r="AS1532" s="156">
        <v>0.288</v>
      </c>
      <c r="AT1532" s="159" t="s">
        <v>172</v>
      </c>
      <c r="AU1532" s="159" t="s">
        <v>136</v>
      </c>
      <c r="AV1532" s="1748" t="s">
        <v>141</v>
      </c>
      <c r="AW1532" s="68"/>
      <c r="AX1532" s="1748" t="s">
        <v>143</v>
      </c>
      <c r="AY1532" s="61" t="str">
        <f>IFERROR(__xludf.DUMMYFUNCTION("vlookup(BB1532,importrange(""https://docs.google.com/spreadsheets/d/1d2vevQ_7D_v35q4wCQ4RpQ_IPoTwEMB9Yp6ymwlPqew/edit?gid=984458430#gid=984458430"", ""'replication success'!A:K""), 11, FAlSE)"),"failed")</f>
        <v>failed</v>
      </c>
      <c r="AZ1532" s="61" t="str">
        <f>IFERROR(__xludf.DUMMYFUNCTION("vlookup(BB1532,importrange(""https://docs.google.com/spreadsheets/d/1d2vevQ_7D_v35q4wCQ4RpQ_IPoTwEMB9Yp6ymwlPqew/edit?gid=984458430#gid=984458430"",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2" s="61" t="str">
        <f>IFERROR(__xludf.DUMMYFUNCTION("vlookup(BB1532,importrange(""https://docs.google.com/spreadsheets/d/1d2vevQ_7D_v35q4wCQ4RpQ_IPoTwEMB9Yp6ymwlPqew/edit?gid=984458430#gid=984458430"", ""'replication success'!A:M""), 13, FAlSE)"),"pg.3")</f>
        <v>pg.3</v>
      </c>
      <c r="BB1532" s="61" t="str">
        <f>IFERROR(__xludf.DUMMYFUNCTION("REGEXREPLACE(G1532, ""_[a-z]{1,2}$"", """")"),"Holzmeisteretal2024_11")</f>
        <v>Holzmeisteretal2024_11</v>
      </c>
      <c r="BD1532" s="188" t="s">
        <v>144</v>
      </c>
    </row>
    <row r="1533">
      <c r="A1533" s="44">
        <v>1533.0</v>
      </c>
      <c r="B1533" s="188" t="s">
        <v>152</v>
      </c>
      <c r="C1533" s="188" t="s">
        <v>115</v>
      </c>
      <c r="D1533" s="188" t="s">
        <v>1458</v>
      </c>
      <c r="E1533" s="189"/>
      <c r="F1533" s="190" t="s">
        <v>8774</v>
      </c>
      <c r="G1533" s="193" t="s">
        <v>8774</v>
      </c>
      <c r="H1533" s="198" t="s">
        <v>1518</v>
      </c>
      <c r="I1533" s="191">
        <v>45669.0</v>
      </c>
      <c r="J1533" s="1744">
        <v>45677.0</v>
      </c>
      <c r="K1533" s="198" t="s">
        <v>8775</v>
      </c>
      <c r="L1533" s="190"/>
      <c r="M1533" s="877" t="s">
        <v>8776</v>
      </c>
      <c r="N1533" s="1745" t="s">
        <v>8777</v>
      </c>
      <c r="O1533" s="758">
        <v>7.0</v>
      </c>
      <c r="P1533" s="977" t="str">
        <f> SUBSTITUTE(lower(N1533), "/", "--") &amp;  ".pdf"</f>
        <v>10.1073--pnas.1516868113.pdf</v>
      </c>
      <c r="Q1533" s="52" t="str">
        <f t="array" ref="Q1533"> if(iserror(MATCH(V1533, 'File Links'!C:C, 0)), "N/A", HYPERLINK(INDEX('File Links'!B:B, MATCH(P1533, 'File Links'!C:C, 0))))</f>
        <v>https://drive.google.com/file/d/1yHD_X4W7fLNjPrkn11Gu0-mHGcNqrpws/view?usp=drivesdk</v>
      </c>
      <c r="R1533" s="195" t="s">
        <v>8778</v>
      </c>
      <c r="S1533" s="374" t="s">
        <v>8716</v>
      </c>
      <c r="T1533" s="877" t="s">
        <v>8717</v>
      </c>
      <c r="U1533" s="758">
        <v>1.0</v>
      </c>
      <c r="V1533" s="198" t="str">
        <f t="shared" si="113"/>
        <v>10.1038--s41562-024-02062-9.pdf</v>
      </c>
      <c r="W1533" s="198" t="s">
        <v>8779</v>
      </c>
      <c r="X1533" s="54" t="str">
        <f t="array" ref="X1533"> if(iserror(MATCH(V1533, 'File Links'!C:C, 0)), "N/A", HYPERLINK(INDEX('File Links'!B:B, MATCH(V1533, 'File Links'!C:C, 0))))</f>
        <v>https://drive.google.com/file/d/1w8pcOEpgkXG4574TMp8vmQlQVMYXLL8c/view?usp=drivesdk</v>
      </c>
      <c r="Z1533" s="198" t="s">
        <v>210</v>
      </c>
      <c r="AA1533" s="198" t="s">
        <v>8780</v>
      </c>
      <c r="AB1533" s="198" t="s">
        <v>8781</v>
      </c>
      <c r="AC1533" s="198" t="s">
        <v>8782</v>
      </c>
      <c r="AD1533" s="198" t="s">
        <v>8783</v>
      </c>
      <c r="AE1533" s="758">
        <v>3.0</v>
      </c>
      <c r="AF1533" s="758">
        <v>142.0</v>
      </c>
      <c r="AG1533" s="758">
        <v>0.387</v>
      </c>
      <c r="AH1533" s="198" t="s">
        <v>173</v>
      </c>
      <c r="AI1533" s="190" t="str">
        <f>IF(ISBLANK(AI1526), 
   "=(" &amp; AI1524 &amp; "-" &amp; AI1528 &amp; ")/SQRT((" &amp; AI1525 &amp; "^2+" &amp; AI1529 &amp; "^2)/2)", 
   "=(" &amp; AI1524 &amp; "-" &amp; AI1528 &amp; ")/SQRT(((" &amp; AI1526 &amp; "-1)*" &amp; AI1525 &amp; "^2+(" &amp; AI1530 &amp; "-1)*" &amp; AI1529 &amp; "^2)/(" &amp; AI1526 &amp; "+" &amp; AI1530 &amp; "-2)))"
)
</f>
        <v>=(p.384-)/SQRT(((p. 5-1)*p. 5^2+(-1)*p.2^2)/(p. 5+-2)))</v>
      </c>
      <c r="AJ1533" s="875">
        <v>0.04</v>
      </c>
      <c r="AK1533" s="58" t="s">
        <v>172</v>
      </c>
      <c r="AL1533" s="58" t="s">
        <v>186</v>
      </c>
      <c r="AM1533" s="190" t="s">
        <v>137</v>
      </c>
      <c r="AN1533" s="374" t="s">
        <v>138</v>
      </c>
      <c r="AO1533" s="758">
        <v>1224.0</v>
      </c>
      <c r="AP1533" s="1750">
        <v>0.039</v>
      </c>
      <c r="AQ1533" s="198" t="s">
        <v>173</v>
      </c>
      <c r="AR1533" s="198" t="s">
        <v>2771</v>
      </c>
      <c r="AS1533" s="1750">
        <v>0.492</v>
      </c>
      <c r="AT1533" s="198" t="s">
        <v>172</v>
      </c>
      <c r="AU1533" s="198" t="s">
        <v>136</v>
      </c>
      <c r="AV1533" s="190" t="s">
        <v>137</v>
      </c>
      <c r="AW1533" s="877" t="s">
        <v>8784</v>
      </c>
      <c r="AX1533" s="190" t="s">
        <v>143</v>
      </c>
      <c r="AY1533" s="61" t="str">
        <f>IFERROR(__xludf.DUMMYFUNCTION("vlookup(BB1533,importrange(""https://docs.google.com/spreadsheets/d/1d2vevQ_7D_v35q4wCQ4RpQ_IPoTwEMB9Yp6ymwlPqew/edit?gid=984458430#gid=984458430"", ""'replication success'!A:K""), 11, FAlSE)"),"failed")</f>
        <v>failed</v>
      </c>
      <c r="AZ1533" s="61" t="str">
        <f>IFERROR(__xludf.DUMMYFUNCTION("vlookup(BB1533,importrange(""https://docs.google.com/spreadsheets/d/1d2vevQ_7D_v35q4wCQ4RpQ_IPoTwEMB9Yp6ymwlPqew/edit?gid=984458430#gid=984458430"",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3" s="61" t="str">
        <f>IFERROR(__xludf.DUMMYFUNCTION("vlookup(BB1533,importrange(""https://docs.google.com/spreadsheets/d/1d2vevQ_7D_v35q4wCQ4RpQ_IPoTwEMB9Yp6ymwlPqew/edit?gid=984458430#gid=984458430"", ""'replication success'!A:M""), 13, FAlSE)"),"pg.3")</f>
        <v>pg.3</v>
      </c>
      <c r="BB1533" s="61" t="str">
        <f>IFERROR(__xludf.DUMMYFUNCTION("REGEXREPLACE(G1533, ""_[a-z]{1,2}$"", """")"),"Holzmeisteretal2024_12")</f>
        <v>Holzmeisteretal2024_12</v>
      </c>
      <c r="BC1533" s="189"/>
      <c r="BD1533" s="188" t="s">
        <v>144</v>
      </c>
    </row>
    <row r="1534">
      <c r="A1534" s="44">
        <v>1534.0</v>
      </c>
      <c r="B1534" s="62" t="s">
        <v>114</v>
      </c>
      <c r="C1534" s="62" t="s">
        <v>115</v>
      </c>
      <c r="D1534" s="62" t="s">
        <v>1441</v>
      </c>
      <c r="F1534" s="68" t="s">
        <v>8774</v>
      </c>
      <c r="G1534" s="61" t="s">
        <v>8774</v>
      </c>
      <c r="H1534" s="159" t="s">
        <v>1444</v>
      </c>
      <c r="I1534" s="68"/>
      <c r="J1534" s="1744">
        <v>45677.0</v>
      </c>
      <c r="K1534" s="68"/>
      <c r="L1534" s="68"/>
      <c r="M1534" s="435" t="s">
        <v>8785</v>
      </c>
      <c r="N1534" s="1746" t="s">
        <v>8786</v>
      </c>
      <c r="O1534" s="68"/>
      <c r="P1534" s="1581" t="str">
        <f>SUBSTITUTE(LOWER(N1534), "/", "--") &amp;  ".pdf"</f>
        <v>10.1073--pnas.1516868113.pdf</v>
      </c>
      <c r="Q1534" s="52" t="str">
        <f t="array" ref="Q1534"> if(iserror(MATCH(V1534, 'File Links'!C:C, 0)), "N/A", HYPERLINK(INDEX('File Links'!B:B, MATCH(P1534, 'File Links'!C:C, 0))))</f>
        <v>https://drive.google.com/file/d/1yHD_X4W7fLNjPrkn11Gu0-mHGcNqrpws/view?usp=drivesdk</v>
      </c>
      <c r="R1534" s="68" t="s">
        <v>8787</v>
      </c>
      <c r="S1534" s="129" t="s">
        <v>8716</v>
      </c>
      <c r="T1534" s="435" t="s">
        <v>8717</v>
      </c>
      <c r="U1534" s="159" t="s">
        <v>3580</v>
      </c>
      <c r="V1534" s="198" t="str">
        <f t="shared" si="113"/>
        <v>10.1038--s41562-024-02062-9.pdf</v>
      </c>
      <c r="W1534" s="159" t="s">
        <v>8729</v>
      </c>
      <c r="X1534" s="54" t="str">
        <f t="array" ref="X1534"> if(iserror(MATCH(V1534, 'File Links'!C:C, 0)), "N/A", HYPERLINK(INDEX('File Links'!B:B, MATCH(V1534, 'File Links'!C:C, 0))))</f>
        <v>https://drive.google.com/file/d/1w8pcOEpgkXG4574TMp8vmQlQVMYXLL8c/view?usp=drivesdk</v>
      </c>
      <c r="Z1534" s="159" t="s">
        <v>210</v>
      </c>
      <c r="AA1534" s="159" t="s">
        <v>8788</v>
      </c>
      <c r="AB1534" s="159" t="s">
        <v>8789</v>
      </c>
      <c r="AC1534" s="159" t="s">
        <v>8790</v>
      </c>
      <c r="AD1534" s="159" t="s">
        <v>8791</v>
      </c>
      <c r="AE1534" s="156">
        <v>3.0</v>
      </c>
      <c r="AF1534" s="156">
        <v>142.0</v>
      </c>
      <c r="AG1534" s="159" t="s">
        <v>8792</v>
      </c>
      <c r="AH1534" s="159" t="s">
        <v>134</v>
      </c>
      <c r="AI1534" s="68"/>
      <c r="AJ1534" s="709">
        <v>0.04</v>
      </c>
      <c r="AK1534" s="57" t="s">
        <v>172</v>
      </c>
      <c r="AL1534" s="57" t="s">
        <v>186</v>
      </c>
      <c r="AM1534" s="1748" t="s">
        <v>137</v>
      </c>
      <c r="AN1534" s="61"/>
      <c r="AO1534" s="156">
        <v>1224.0</v>
      </c>
      <c r="AP1534" s="156">
        <v>0.039</v>
      </c>
      <c r="AQ1534" s="159" t="s">
        <v>173</v>
      </c>
      <c r="AR1534" s="159" t="s">
        <v>2771</v>
      </c>
      <c r="AS1534" s="156">
        <v>0.492</v>
      </c>
      <c r="AT1534" s="159" t="s">
        <v>172</v>
      </c>
      <c r="AU1534" s="159" t="s">
        <v>136</v>
      </c>
      <c r="AV1534" s="1748" t="s">
        <v>137</v>
      </c>
      <c r="AW1534" s="68"/>
      <c r="AX1534" s="1748" t="s">
        <v>143</v>
      </c>
      <c r="AY1534" s="61" t="str">
        <f>IFERROR(__xludf.DUMMYFUNCTION("vlookup(BB1534,importrange(""https://docs.google.com/spreadsheets/d/1d2vevQ_7D_v35q4wCQ4RpQ_IPoTwEMB9Yp6ymwlPqew/edit?gid=984458430#gid=984458430"", ""'replication success'!A:K""), 11, FAlSE)"),"failed")</f>
        <v>failed</v>
      </c>
      <c r="AZ1534" s="61" t="str">
        <f>IFERROR(__xludf.DUMMYFUNCTION("vlookup(BB1534,importrange(""https://docs.google.com/spreadsheets/d/1d2vevQ_7D_v35q4wCQ4RpQ_IPoTwEMB9Yp6ymwlPqew/edit?gid=984458430#gid=984458430"",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4" s="61" t="str">
        <f>IFERROR(__xludf.DUMMYFUNCTION("vlookup(BB1534,importrange(""https://docs.google.com/spreadsheets/d/1d2vevQ_7D_v35q4wCQ4RpQ_IPoTwEMB9Yp6ymwlPqew/edit?gid=984458430#gid=984458430"", ""'replication success'!A:M""), 13, FAlSE)"),"pg.3")</f>
        <v>pg.3</v>
      </c>
      <c r="BB1534" s="61" t="str">
        <f>IFERROR(__xludf.DUMMYFUNCTION("REGEXREPLACE(G1534, ""_[a-z]{1,2}$"", """")"),"Holzmeisteretal2024_12")</f>
        <v>Holzmeisteretal2024_12</v>
      </c>
      <c r="BD1534" s="188" t="s">
        <v>144</v>
      </c>
    </row>
    <row r="1535">
      <c r="A1535" s="44">
        <v>1535.0</v>
      </c>
      <c r="B1535" s="188" t="s">
        <v>152</v>
      </c>
      <c r="C1535" s="188" t="s">
        <v>115</v>
      </c>
      <c r="D1535" s="188" t="s">
        <v>1458</v>
      </c>
      <c r="E1535" s="189"/>
      <c r="F1535" s="190" t="s">
        <v>8793</v>
      </c>
      <c r="G1535" s="193" t="s">
        <v>8793</v>
      </c>
      <c r="H1535" s="198" t="s">
        <v>1518</v>
      </c>
      <c r="I1535" s="191">
        <v>45669.0</v>
      </c>
      <c r="J1535" s="1744">
        <v>45677.0</v>
      </c>
      <c r="K1535" s="198" t="s">
        <v>8794</v>
      </c>
      <c r="L1535" s="190"/>
      <c r="M1535" s="877" t="s">
        <v>8795</v>
      </c>
      <c r="N1535" s="1745" t="s">
        <v>8796</v>
      </c>
      <c r="O1535" s="758">
        <v>9.0</v>
      </c>
      <c r="P1535" s="977" t="str">
        <f> SUBSTITUTE(lower(N1535), "/", "--") &amp;  ".pdf"</f>
        <v>10.1073--pnas.1706913114.pdf</v>
      </c>
      <c r="Q1535" s="52" t="str">
        <f t="array" ref="Q1535"> if(iserror(MATCH(V1535, 'File Links'!C:C, 0)), "N/A", HYPERLINK(INDEX('File Links'!B:B, MATCH(P1535, 'File Links'!C:C, 0))))</f>
        <v>https://drive.google.com/file/d/1xfxst9Oa-ge7wewPL4HMH7DqgvOPP20b/view?usp=drivesdk</v>
      </c>
      <c r="R1535" s="195" t="s">
        <v>8797</v>
      </c>
      <c r="S1535" s="374" t="s">
        <v>8716</v>
      </c>
      <c r="T1535" s="877" t="s">
        <v>8717</v>
      </c>
      <c r="U1535" s="758">
        <v>1.0</v>
      </c>
      <c r="V1535" s="198" t="str">
        <f t="shared" si="113"/>
        <v>10.1038--s41562-024-02062-9.pdf</v>
      </c>
      <c r="W1535" s="198" t="s">
        <v>8798</v>
      </c>
      <c r="X1535" s="54" t="str">
        <f t="array" ref="X1535"> if(iserror(MATCH(V1535, 'File Links'!C:C, 0)), "N/A", HYPERLINK(INDEX('File Links'!B:B, MATCH(V1535, 'File Links'!C:C, 0))))</f>
        <v>https://drive.google.com/file/d/1w8pcOEpgkXG4574TMp8vmQlQVMYXLL8c/view?usp=drivesdk</v>
      </c>
      <c r="Z1535" s="198" t="s">
        <v>210</v>
      </c>
      <c r="AA1535" s="198" t="s">
        <v>8799</v>
      </c>
      <c r="AB1535" s="198" t="s">
        <v>8800</v>
      </c>
      <c r="AC1535" s="198" t="s">
        <v>8801</v>
      </c>
      <c r="AD1535" s="198" t="s">
        <v>8802</v>
      </c>
      <c r="AE1535" s="758">
        <v>2.0</v>
      </c>
      <c r="AF1535" s="190"/>
      <c r="AG1535" s="758">
        <v>-0.7</v>
      </c>
      <c r="AH1535" s="198" t="s">
        <v>361</v>
      </c>
      <c r="AI1535" s="198" t="s">
        <v>2771</v>
      </c>
      <c r="AJ1535" s="875">
        <v>0.005</v>
      </c>
      <c r="AK1535" s="58" t="s">
        <v>135</v>
      </c>
      <c r="AL1535" s="58" t="s">
        <v>186</v>
      </c>
      <c r="AM1535" s="190" t="s">
        <v>137</v>
      </c>
      <c r="AN1535" s="374" t="s">
        <v>138</v>
      </c>
      <c r="AO1535" s="758">
        <v>820.0</v>
      </c>
      <c r="AP1535" s="758">
        <v>0.332</v>
      </c>
      <c r="AQ1535" s="198" t="s">
        <v>173</v>
      </c>
      <c r="AR1535" s="198" t="s">
        <v>507</v>
      </c>
      <c r="AS1535" s="1751">
        <v>0.001</v>
      </c>
      <c r="AT1535" s="198" t="s">
        <v>135</v>
      </c>
      <c r="AU1535" s="198" t="s">
        <v>136</v>
      </c>
      <c r="AV1535" s="190" t="s">
        <v>137</v>
      </c>
      <c r="AW1535" s="877" t="s">
        <v>8803</v>
      </c>
      <c r="AX1535" s="190" t="s">
        <v>143</v>
      </c>
      <c r="AY1535" s="61" t="str">
        <f>IFERROR(__xludf.DUMMYFUNCTION("vlookup(BB1535,importrange(""https://docs.google.com/spreadsheets/d/1d2vevQ_7D_v35q4wCQ4RpQ_IPoTwEMB9Yp6ymwlPqew/edit?gid=984458430#gid=984458430"", ""'replication success'!A:K""), 11, FAlSE)"),"successful")</f>
        <v>successful</v>
      </c>
      <c r="AZ1535" s="61" t="str">
        <f>IFERROR(__xludf.DUMMYFUNCTION("vlookup(BB1535,importrange(""https://docs.google.com/spreadsheets/d/1d2vevQ_7D_v35q4wCQ4RpQ_IPoTwEMB9Yp6ymwlPqew/edit?gid=984458430#gid=984458430"",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5" s="61" t="str">
        <f>IFERROR(__xludf.DUMMYFUNCTION("vlookup(BB1535,importrange(""https://docs.google.com/spreadsheets/d/1d2vevQ_7D_v35q4wCQ4RpQ_IPoTwEMB9Yp6ymwlPqew/edit?gid=984458430#gid=984458430"", ""'replication success'!A:M""), 13, FAlSE)"),"pg.3")</f>
        <v>pg.3</v>
      </c>
      <c r="BB1535" s="61" t="str">
        <f>IFERROR(__xludf.DUMMYFUNCTION("REGEXREPLACE(G1535, ""_[a-z]{1,2}$"", """")"),"Holzmeisteretal2024_13")</f>
        <v>Holzmeisteretal2024_13</v>
      </c>
      <c r="BC1535" s="189"/>
      <c r="BD1535" s="188" t="s">
        <v>144</v>
      </c>
    </row>
    <row r="1536">
      <c r="A1536" s="44">
        <v>1536.0</v>
      </c>
      <c r="B1536" s="62" t="s">
        <v>114</v>
      </c>
      <c r="C1536" s="62" t="s">
        <v>115</v>
      </c>
      <c r="D1536" s="62" t="s">
        <v>1441</v>
      </c>
      <c r="F1536" s="68" t="s">
        <v>8793</v>
      </c>
      <c r="G1536" s="61" t="s">
        <v>8793</v>
      </c>
      <c r="H1536" s="159" t="s">
        <v>1444</v>
      </c>
      <c r="I1536" s="68"/>
      <c r="J1536" s="1744">
        <v>45677.0</v>
      </c>
      <c r="K1536" s="68"/>
      <c r="L1536" s="68"/>
      <c r="M1536" s="435" t="s">
        <v>8804</v>
      </c>
      <c r="N1536" s="1746" t="s">
        <v>8805</v>
      </c>
      <c r="O1536" s="68"/>
      <c r="P1536" s="1581" t="str">
        <f>SUBSTITUTE(LOWER(N1536), "/", "--") &amp;  ".pdf"</f>
        <v>10.1073--pnas.1706913114.pdf</v>
      </c>
      <c r="Q1536" s="52" t="str">
        <f t="array" ref="Q1536"> if(iserror(MATCH(V1536, 'File Links'!C:C, 0)), "N/A", HYPERLINK(INDEX('File Links'!B:B, MATCH(P1536, 'File Links'!C:C, 0))))</f>
        <v>https://drive.google.com/file/d/1xfxst9Oa-ge7wewPL4HMH7DqgvOPP20b/view?usp=drivesdk</v>
      </c>
      <c r="R1536" s="68" t="s">
        <v>8806</v>
      </c>
      <c r="S1536" s="129" t="s">
        <v>8716</v>
      </c>
      <c r="T1536" s="435" t="s">
        <v>8717</v>
      </c>
      <c r="U1536" s="156">
        <v>2.0</v>
      </c>
      <c r="V1536" s="198" t="str">
        <f t="shared" si="113"/>
        <v>10.1038--s41562-024-02062-9.pdf</v>
      </c>
      <c r="W1536" s="159" t="s">
        <v>8729</v>
      </c>
      <c r="X1536" s="54" t="str">
        <f t="array" ref="X1536"> if(iserror(MATCH(V1536, 'File Links'!C:C, 0)), "N/A", HYPERLINK(INDEX('File Links'!B:B, MATCH(V1536, 'File Links'!C:C, 0))))</f>
        <v>https://drive.google.com/file/d/1w8pcOEpgkXG4574TMp8vmQlQVMYXLL8c/view?usp=drivesdk</v>
      </c>
      <c r="Z1536" s="159" t="s">
        <v>226</v>
      </c>
      <c r="AA1536" s="159" t="s">
        <v>8807</v>
      </c>
      <c r="AB1536" s="159" t="s">
        <v>8808</v>
      </c>
      <c r="AC1536" s="159" t="s">
        <v>8809</v>
      </c>
      <c r="AD1536" s="159" t="s">
        <v>8810</v>
      </c>
      <c r="AE1536" s="156">
        <v>2.0</v>
      </c>
      <c r="AF1536" s="156">
        <v>323.0</v>
      </c>
      <c r="AG1536" s="156">
        <v>-0.7</v>
      </c>
      <c r="AH1536" s="159" t="s">
        <v>987</v>
      </c>
      <c r="AI1536" s="68"/>
      <c r="AJ1536" s="709">
        <v>0.005</v>
      </c>
      <c r="AK1536" s="57" t="s">
        <v>135</v>
      </c>
      <c r="AL1536" s="57" t="s">
        <v>186</v>
      </c>
      <c r="AM1536" s="1748" t="s">
        <v>137</v>
      </c>
      <c r="AN1536" s="61"/>
      <c r="AO1536" s="156">
        <v>820.0</v>
      </c>
      <c r="AP1536" s="156">
        <v>0.332</v>
      </c>
      <c r="AQ1536" s="159" t="s">
        <v>173</v>
      </c>
      <c r="AR1536" s="159" t="s">
        <v>507</v>
      </c>
      <c r="AS1536" s="1749">
        <v>2.4E-6</v>
      </c>
      <c r="AT1536" s="159" t="s">
        <v>172</v>
      </c>
      <c r="AU1536" s="159" t="s">
        <v>136</v>
      </c>
      <c r="AV1536" s="1748" t="s">
        <v>137</v>
      </c>
      <c r="AW1536" s="68"/>
      <c r="AX1536" s="1748" t="s">
        <v>143</v>
      </c>
      <c r="AY1536" s="61" t="str">
        <f>IFERROR(__xludf.DUMMYFUNCTION("vlookup(BB1536,importrange(""https://docs.google.com/spreadsheets/d/1d2vevQ_7D_v35q4wCQ4RpQ_IPoTwEMB9Yp6ymwlPqew/edit?gid=984458430#gid=984458430"", ""'replication success'!A:K""), 11, FAlSE)"),"successful")</f>
        <v>successful</v>
      </c>
      <c r="AZ1536" s="61" t="str">
        <f>IFERROR(__xludf.DUMMYFUNCTION("vlookup(BB1536,importrange(""https://docs.google.com/spreadsheets/d/1d2vevQ_7D_v35q4wCQ4RpQ_IPoTwEMB9Yp6ymwlPqew/edit?gid=984458430#gid=984458430"",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6" s="61" t="str">
        <f>IFERROR(__xludf.DUMMYFUNCTION("vlookup(BB1536,importrange(""https://docs.google.com/spreadsheets/d/1d2vevQ_7D_v35q4wCQ4RpQ_IPoTwEMB9Yp6ymwlPqew/edit?gid=984458430#gid=984458430"", ""'replication success'!A:M""), 13, FAlSE)"),"pg.3")</f>
        <v>pg.3</v>
      </c>
      <c r="BB1536" s="61" t="str">
        <f>IFERROR(__xludf.DUMMYFUNCTION("REGEXREPLACE(G1536, ""_[a-z]{1,2}$"", """")"),"Holzmeisteretal2024_13")</f>
        <v>Holzmeisteretal2024_13</v>
      </c>
      <c r="BD1536" s="188" t="s">
        <v>144</v>
      </c>
    </row>
    <row r="1537">
      <c r="A1537" s="44">
        <v>1537.0</v>
      </c>
      <c r="B1537" s="188" t="s">
        <v>152</v>
      </c>
      <c r="C1537" s="188" t="s">
        <v>115</v>
      </c>
      <c r="D1537" s="188" t="s">
        <v>1458</v>
      </c>
      <c r="E1537" s="189"/>
      <c r="F1537" s="190" t="s">
        <v>8811</v>
      </c>
      <c r="G1537" s="193" t="s">
        <v>8811</v>
      </c>
      <c r="H1537" s="198" t="s">
        <v>1518</v>
      </c>
      <c r="I1537" s="191">
        <v>45669.0</v>
      </c>
      <c r="J1537" s="1744">
        <v>45677.0</v>
      </c>
      <c r="K1537" s="198" t="s">
        <v>8812</v>
      </c>
      <c r="L1537" s="374" t="s">
        <v>8813</v>
      </c>
      <c r="M1537" s="877" t="s">
        <v>8814</v>
      </c>
      <c r="N1537" s="1745" t="s">
        <v>8815</v>
      </c>
      <c r="O1537" s="758">
        <v>2.0</v>
      </c>
      <c r="P1537" s="977" t="str">
        <f> SUBSTITUTE(lower(N1537), "/", "--") &amp;  ".pdf"</f>
        <v>10.1073--pnas.1516047113.pdf</v>
      </c>
      <c r="Q1537" s="52" t="str">
        <f t="array" ref="Q1537"> if(iserror(MATCH(V1537, 'File Links'!C:C, 0)), "N/A", HYPERLINK(INDEX('File Links'!B:B, MATCH(P1537, 'File Links'!C:C, 0))))</f>
        <v>https://drive.google.com/file/d/1E11EGVsEk8jXG4anLcX1DKLgm7aqhOmU/view?usp=drivesdk</v>
      </c>
      <c r="R1537" s="195" t="s">
        <v>8816</v>
      </c>
      <c r="S1537" s="374" t="s">
        <v>8716</v>
      </c>
      <c r="T1537" s="877" t="s">
        <v>8717</v>
      </c>
      <c r="U1537" s="758">
        <v>1.0</v>
      </c>
      <c r="V1537" s="198" t="str">
        <f t="shared" si="113"/>
        <v>10.1038--s41562-024-02062-9.pdf</v>
      </c>
      <c r="W1537" s="198" t="s">
        <v>8817</v>
      </c>
      <c r="X1537" s="54" t="str">
        <f t="array" ref="X1537"> if(iserror(MATCH(V1537, 'File Links'!C:C, 0)), "N/A", HYPERLINK(INDEX('File Links'!B:B, MATCH(V1537, 'File Links'!C:C, 0))))</f>
        <v>https://drive.google.com/file/d/1w8pcOEpgkXG4574TMp8vmQlQVMYXLL8c/view?usp=drivesdk</v>
      </c>
      <c r="Z1537" s="198" t="s">
        <v>226</v>
      </c>
      <c r="AA1537" s="198" t="s">
        <v>8818</v>
      </c>
      <c r="AB1537" s="198" t="s">
        <v>8819</v>
      </c>
      <c r="AC1537" s="190" t="s">
        <v>8820</v>
      </c>
      <c r="AD1537" s="198" t="s">
        <v>8821</v>
      </c>
      <c r="AE1537" s="198" t="s">
        <v>8016</v>
      </c>
      <c r="AF1537" s="758">
        <v>92.0</v>
      </c>
      <c r="AG1537" s="758">
        <v>0.05</v>
      </c>
      <c r="AH1537" s="198" t="s">
        <v>139</v>
      </c>
      <c r="AI1537" s="198" t="s">
        <v>2771</v>
      </c>
      <c r="AJ1537" s="875">
        <v>0.04</v>
      </c>
      <c r="AK1537" s="58" t="s">
        <v>172</v>
      </c>
      <c r="AL1537" s="58" t="s">
        <v>186</v>
      </c>
      <c r="AM1537" s="1748" t="s">
        <v>141</v>
      </c>
      <c r="AN1537" s="374" t="s">
        <v>138</v>
      </c>
      <c r="AO1537" s="758">
        <v>503.0</v>
      </c>
      <c r="AP1537" s="758">
        <v>0.092</v>
      </c>
      <c r="AQ1537" s="198" t="s">
        <v>173</v>
      </c>
      <c r="AR1537" s="198" t="s">
        <v>2771</v>
      </c>
      <c r="AS1537" s="758">
        <v>0.605</v>
      </c>
      <c r="AT1537" s="198" t="s">
        <v>172</v>
      </c>
      <c r="AU1537" s="198" t="s">
        <v>136</v>
      </c>
      <c r="AV1537" s="371" t="s">
        <v>137</v>
      </c>
      <c r="AW1537" s="877" t="s">
        <v>8822</v>
      </c>
      <c r="AX1537" s="190" t="s">
        <v>143</v>
      </c>
      <c r="AY1537" s="61" t="str">
        <f>IFERROR(__xludf.DUMMYFUNCTION("vlookup(BB1537,importrange(""https://docs.google.com/spreadsheets/d/1d2vevQ_7D_v35q4wCQ4RpQ_IPoTwEMB9Yp6ymwlPqew/edit?gid=984458430#gid=984458430"", ""'replication success'!A:K""), 11, FAlSE)"),"failed")</f>
        <v>failed</v>
      </c>
      <c r="AZ1537" s="61" t="str">
        <f>IFERROR(__xludf.DUMMYFUNCTION("vlookup(BB1537,importrange(""https://docs.google.com/spreadsheets/d/1d2vevQ_7D_v35q4wCQ4RpQ_IPoTwEMB9Yp6ymwlPqew/edit?gid=984458430#gid=984458430"",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7" s="61" t="str">
        <f>IFERROR(__xludf.DUMMYFUNCTION("vlookup(BB1537,importrange(""https://docs.google.com/spreadsheets/d/1d2vevQ_7D_v35q4wCQ4RpQ_IPoTwEMB9Yp6ymwlPqew/edit?gid=984458430#gid=984458430"", ""'replication success'!A:M""), 13, FAlSE)"),"pg.3")</f>
        <v>pg.3</v>
      </c>
      <c r="BB1537" s="61" t="str">
        <f>IFERROR(__xludf.DUMMYFUNCTION("REGEXREPLACE(G1537, ""_[a-z]{1,2}$"", """")"),"Holzmeisteretal2024_14")</f>
        <v>Holzmeisteretal2024_14</v>
      </c>
      <c r="BC1537" s="189"/>
      <c r="BD1537" s="188" t="s">
        <v>144</v>
      </c>
    </row>
    <row r="1538">
      <c r="A1538" s="44">
        <v>1538.0</v>
      </c>
      <c r="B1538" s="62" t="s">
        <v>114</v>
      </c>
      <c r="C1538" s="62" t="s">
        <v>115</v>
      </c>
      <c r="D1538" s="62" t="s">
        <v>1441</v>
      </c>
      <c r="F1538" s="68" t="s">
        <v>8811</v>
      </c>
      <c r="G1538" s="61" t="s">
        <v>8811</v>
      </c>
      <c r="H1538" s="159" t="s">
        <v>1444</v>
      </c>
      <c r="I1538" s="68"/>
      <c r="J1538" s="1744">
        <v>45677.0</v>
      </c>
      <c r="K1538" s="68"/>
      <c r="L1538" s="68"/>
      <c r="M1538" s="435" t="s">
        <v>8823</v>
      </c>
      <c r="N1538" s="1746" t="s">
        <v>8824</v>
      </c>
      <c r="O1538" s="68"/>
      <c r="P1538" s="1581" t="str">
        <f>SUBSTITUTE(LOWER(N1538), "/", "--") &amp;  ".pdf"</f>
        <v>10.1073--pnas.1516047113.pdf</v>
      </c>
      <c r="Q1538" s="52" t="str">
        <f t="array" ref="Q1538"> if(iserror(MATCH(V1538, 'File Links'!C:C, 0)), "N/A", HYPERLINK(INDEX('File Links'!B:B, MATCH(P1538, 'File Links'!C:C, 0))))</f>
        <v>https://drive.google.com/file/d/1E11EGVsEk8jXG4anLcX1DKLgm7aqhOmU/view?usp=drivesdk</v>
      </c>
      <c r="R1538" s="68" t="s">
        <v>8825</v>
      </c>
      <c r="S1538" s="129" t="s">
        <v>8716</v>
      </c>
      <c r="T1538" s="435" t="s">
        <v>8717</v>
      </c>
      <c r="U1538" s="156">
        <v>1.0</v>
      </c>
      <c r="V1538" s="198" t="str">
        <f t="shared" si="113"/>
        <v>10.1038--s41562-024-02062-9.pdf</v>
      </c>
      <c r="W1538" s="159" t="s">
        <v>8729</v>
      </c>
      <c r="X1538" s="54" t="str">
        <f t="array" ref="X1538"> if(iserror(MATCH(V1538, 'File Links'!C:C, 0)), "N/A", HYPERLINK(INDEX('File Links'!B:B, MATCH(V1538, 'File Links'!C:C, 0))))</f>
        <v>https://drive.google.com/file/d/1w8pcOEpgkXG4574TMp8vmQlQVMYXLL8c/view?usp=drivesdk</v>
      </c>
      <c r="Z1538" s="159" t="s">
        <v>226</v>
      </c>
      <c r="AA1538" s="159" t="s">
        <v>8826</v>
      </c>
      <c r="AB1538" s="159" t="s">
        <v>8827</v>
      </c>
      <c r="AC1538" s="159" t="s">
        <v>8828</v>
      </c>
      <c r="AD1538" s="159" t="s">
        <v>8829</v>
      </c>
      <c r="AE1538" s="156">
        <v>2.0</v>
      </c>
      <c r="AF1538" s="156">
        <v>92.0</v>
      </c>
      <c r="AG1538" s="159" t="s">
        <v>8830</v>
      </c>
      <c r="AH1538" s="159" t="s">
        <v>134</v>
      </c>
      <c r="AI1538" s="68"/>
      <c r="AJ1538" s="709">
        <v>0.04</v>
      </c>
      <c r="AK1538" s="57" t="s">
        <v>172</v>
      </c>
      <c r="AL1538" s="57" t="s">
        <v>186</v>
      </c>
      <c r="AM1538" s="1748" t="s">
        <v>137</v>
      </c>
      <c r="AN1538" s="61"/>
      <c r="AO1538" s="156">
        <v>503.0</v>
      </c>
      <c r="AP1538" s="156">
        <v>0.092</v>
      </c>
      <c r="AQ1538" s="159" t="s">
        <v>173</v>
      </c>
      <c r="AR1538" s="159" t="s">
        <v>2771</v>
      </c>
      <c r="AS1538" s="156">
        <v>0.605</v>
      </c>
      <c r="AT1538" s="159" t="s">
        <v>172</v>
      </c>
      <c r="AU1538" s="159" t="s">
        <v>136</v>
      </c>
      <c r="AV1538" s="1748" t="s">
        <v>137</v>
      </c>
      <c r="AW1538" s="68"/>
      <c r="AX1538" s="1748" t="s">
        <v>143</v>
      </c>
      <c r="AY1538" s="61" t="str">
        <f>IFERROR(__xludf.DUMMYFUNCTION("vlookup(BB1538,importrange(""https://docs.google.com/spreadsheets/d/1d2vevQ_7D_v35q4wCQ4RpQ_IPoTwEMB9Yp6ymwlPqew/edit?gid=984458430#gid=984458430"", ""'replication success'!A:K""), 11, FAlSE)"),"failed")</f>
        <v>failed</v>
      </c>
      <c r="AZ1538" s="61" t="str">
        <f>IFERROR(__xludf.DUMMYFUNCTION("vlookup(BB1538,importrange(""https://docs.google.com/spreadsheets/d/1d2vevQ_7D_v35q4wCQ4RpQ_IPoTwEMB9Yp6ymwlPqew/edit?gid=984458430#gid=984458430"",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8" s="61" t="str">
        <f>IFERROR(__xludf.DUMMYFUNCTION("vlookup(BB1538,importrange(""https://docs.google.com/spreadsheets/d/1d2vevQ_7D_v35q4wCQ4RpQ_IPoTwEMB9Yp6ymwlPqew/edit?gid=984458430#gid=984458430"", ""'replication success'!A:M""), 13, FAlSE)"),"pg.3")</f>
        <v>pg.3</v>
      </c>
      <c r="BB1538" s="61" t="str">
        <f>IFERROR(__xludf.DUMMYFUNCTION("REGEXREPLACE(G1538, ""_[a-z]{1,2}$"", """")"),"Holzmeisteretal2024_14")</f>
        <v>Holzmeisteretal2024_14</v>
      </c>
      <c r="BD1538" s="188" t="s">
        <v>144</v>
      </c>
    </row>
    <row r="1539">
      <c r="A1539" s="44">
        <v>1539.0</v>
      </c>
      <c r="B1539" s="188" t="s">
        <v>152</v>
      </c>
      <c r="C1539" s="188" t="s">
        <v>115</v>
      </c>
      <c r="D1539" s="188" t="s">
        <v>1458</v>
      </c>
      <c r="E1539" s="189"/>
      <c r="F1539" s="190" t="s">
        <v>8831</v>
      </c>
      <c r="G1539" s="193" t="s">
        <v>8831</v>
      </c>
      <c r="H1539" s="198" t="s">
        <v>1518</v>
      </c>
      <c r="I1539" s="191">
        <v>45669.0</v>
      </c>
      <c r="J1539" s="1744">
        <v>45677.0</v>
      </c>
      <c r="K1539" s="198" t="s">
        <v>8832</v>
      </c>
      <c r="L1539" s="190"/>
      <c r="M1539" s="877" t="s">
        <v>8833</v>
      </c>
      <c r="N1539" s="1745" t="s">
        <v>8834</v>
      </c>
      <c r="O1539" s="758">
        <v>6.0</v>
      </c>
      <c r="P1539" s="977" t="str">
        <f> SUBSTITUTE(lower(N1539), "/", "--") &amp;  ".pdf"</f>
        <v>10.1073--pnas.1505067112.pdf</v>
      </c>
      <c r="Q1539" s="52" t="str">
        <f t="array" ref="Q1539"> if(iserror(MATCH(V1539, 'File Links'!C:C, 0)), "N/A", HYPERLINK(INDEX('File Links'!B:B, MATCH(P1539, 'File Links'!C:C, 0))))</f>
        <v>https://drive.google.com/file/d/1sCCY3KYGCCE3zAn1qtYymO7af6DAj-0M/view?usp=drivesdk</v>
      </c>
      <c r="R1539" s="195" t="s">
        <v>8835</v>
      </c>
      <c r="S1539" s="374" t="s">
        <v>8716</v>
      </c>
      <c r="T1539" s="877" t="s">
        <v>8717</v>
      </c>
      <c r="U1539" s="758">
        <v>1.0</v>
      </c>
      <c r="V1539" s="198" t="str">
        <f t="shared" si="113"/>
        <v>10.1038--s41562-024-02062-9.pdf</v>
      </c>
      <c r="W1539" s="198" t="s">
        <v>8836</v>
      </c>
      <c r="X1539" s="54" t="str">
        <f t="array" ref="X1539"> if(iserror(MATCH(V1539, 'File Links'!C:C, 0)), "N/A", HYPERLINK(INDEX('File Links'!B:B, MATCH(V1539, 'File Links'!C:C, 0))))</f>
        <v>https://drive.google.com/file/d/1w8pcOEpgkXG4574TMp8vmQlQVMYXLL8c/view?usp=drivesdk</v>
      </c>
      <c r="Z1539" s="198" t="s">
        <v>2045</v>
      </c>
      <c r="AA1539" s="198" t="s">
        <v>8837</v>
      </c>
      <c r="AB1539" s="198" t="s">
        <v>8838</v>
      </c>
      <c r="AC1539" s="198" t="s">
        <v>8839</v>
      </c>
      <c r="AD1539" s="198" t="s">
        <v>8840</v>
      </c>
      <c r="AE1539" s="758">
        <v>4.0</v>
      </c>
      <c r="AF1539" s="758">
        <v>198.0</v>
      </c>
      <c r="AG1539" s="198" t="s">
        <v>8841</v>
      </c>
      <c r="AH1539" s="198" t="s">
        <v>134</v>
      </c>
      <c r="AI1539" s="198" t="s">
        <v>496</v>
      </c>
      <c r="AJ1539" s="875">
        <v>0.001</v>
      </c>
      <c r="AK1539" s="58" t="s">
        <v>135</v>
      </c>
      <c r="AL1539" s="58" t="s">
        <v>186</v>
      </c>
      <c r="AM1539" s="190" t="s">
        <v>137</v>
      </c>
      <c r="AN1539" s="374" t="s">
        <v>138</v>
      </c>
      <c r="AO1539" s="758">
        <v>227.0</v>
      </c>
      <c r="AP1539" s="758">
        <v>0.599</v>
      </c>
      <c r="AQ1539" s="198" t="s">
        <v>173</v>
      </c>
      <c r="AR1539" s="198" t="s">
        <v>2771</v>
      </c>
      <c r="AS1539" s="758">
        <v>1.0E-4</v>
      </c>
      <c r="AT1539" s="198" t="s">
        <v>135</v>
      </c>
      <c r="AU1539" s="198" t="s">
        <v>136</v>
      </c>
      <c r="AV1539" s="190" t="s">
        <v>137</v>
      </c>
      <c r="AW1539" s="877" t="s">
        <v>8842</v>
      </c>
      <c r="AX1539" s="190" t="s">
        <v>143</v>
      </c>
      <c r="AY1539" s="61" t="str">
        <f>IFERROR(__xludf.DUMMYFUNCTION("vlookup(BB1539,importrange(""https://docs.google.com/spreadsheets/d/1d2vevQ_7D_v35q4wCQ4RpQ_IPoTwEMB9Yp6ymwlPqew/edit?gid=984458430#gid=984458430"", ""'replication success'!A:K""), 11, FAlSE)"),"successful")</f>
        <v>successful</v>
      </c>
      <c r="AZ1539" s="61" t="str">
        <f>IFERROR(__xludf.DUMMYFUNCTION("vlookup(BB1539,importrange(""https://docs.google.com/spreadsheets/d/1d2vevQ_7D_v35q4wCQ4RpQ_IPoTwEMB9Yp6ymwlPqew/edit?gid=984458430#gid=984458430"",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39" s="61" t="str">
        <f>IFERROR(__xludf.DUMMYFUNCTION("vlookup(BB1539,importrange(""https://docs.google.com/spreadsheets/d/1d2vevQ_7D_v35q4wCQ4RpQ_IPoTwEMB9Yp6ymwlPqew/edit?gid=984458430#gid=984458430"", ""'replication success'!A:M""), 13, FAlSE)"),"pg.3")</f>
        <v>pg.3</v>
      </c>
      <c r="BB1539" s="61" t="str">
        <f>IFERROR(__xludf.DUMMYFUNCTION("REGEXREPLACE(G1539, ""_[a-z]{1,2}$"", """")"),"Holzmeisteretal2024_15")</f>
        <v>Holzmeisteretal2024_15</v>
      </c>
      <c r="BC1539" s="189"/>
      <c r="BD1539" s="188" t="s">
        <v>144</v>
      </c>
    </row>
    <row r="1540">
      <c r="A1540" s="44">
        <v>1540.0</v>
      </c>
      <c r="B1540" s="62" t="s">
        <v>114</v>
      </c>
      <c r="C1540" s="62" t="s">
        <v>115</v>
      </c>
      <c r="D1540" s="62" t="s">
        <v>1441</v>
      </c>
      <c r="F1540" s="68" t="s">
        <v>8831</v>
      </c>
      <c r="G1540" s="61" t="s">
        <v>8831</v>
      </c>
      <c r="H1540" s="159" t="s">
        <v>1444</v>
      </c>
      <c r="I1540" s="68"/>
      <c r="J1540" s="1744">
        <v>45677.0</v>
      </c>
      <c r="K1540" s="68"/>
      <c r="L1540" s="68"/>
      <c r="M1540" s="435" t="s">
        <v>8843</v>
      </c>
      <c r="N1540" s="1746" t="s">
        <v>8844</v>
      </c>
      <c r="O1540" s="68"/>
      <c r="P1540" s="1581" t="str">
        <f>SUBSTITUTE(LOWER(N1540), "/", "--") &amp;  ".pdf"</f>
        <v>10.1073--pnas.1505067112.pdf</v>
      </c>
      <c r="Q1540" s="52" t="str">
        <f t="array" ref="Q1540"> if(iserror(MATCH(V1540, 'File Links'!C:C, 0)), "N/A", HYPERLINK(INDEX('File Links'!B:B, MATCH(P1540, 'File Links'!C:C, 0))))</f>
        <v>https://drive.google.com/file/d/1sCCY3KYGCCE3zAn1qtYymO7af6DAj-0M/view?usp=drivesdk</v>
      </c>
      <c r="R1540" s="68" t="s">
        <v>8845</v>
      </c>
      <c r="S1540" s="129" t="s">
        <v>8716</v>
      </c>
      <c r="T1540" s="435" t="s">
        <v>8717</v>
      </c>
      <c r="U1540" s="156">
        <v>6.0</v>
      </c>
      <c r="V1540" s="198" t="str">
        <f t="shared" si="113"/>
        <v>10.1038--s41562-024-02062-9.pdf</v>
      </c>
      <c r="W1540" s="159" t="s">
        <v>8729</v>
      </c>
      <c r="X1540" s="54" t="str">
        <f t="array" ref="X1540"> if(iserror(MATCH(V1540, 'File Links'!C:C, 0)), "N/A", HYPERLINK(INDEX('File Links'!B:B, MATCH(V1540, 'File Links'!C:C, 0))))</f>
        <v>https://drive.google.com/file/d/1w8pcOEpgkXG4574TMp8vmQlQVMYXLL8c/view?usp=drivesdk</v>
      </c>
      <c r="Z1540" s="159" t="s">
        <v>226</v>
      </c>
      <c r="AA1540" s="159" t="s">
        <v>8846</v>
      </c>
      <c r="AB1540" s="159" t="s">
        <v>8847</v>
      </c>
      <c r="AC1540" s="159" t="s">
        <v>8848</v>
      </c>
      <c r="AD1540" s="159" t="s">
        <v>8849</v>
      </c>
      <c r="AE1540" s="156">
        <v>4.0</v>
      </c>
      <c r="AF1540" s="156">
        <v>198.0</v>
      </c>
      <c r="AG1540" s="159" t="s">
        <v>8841</v>
      </c>
      <c r="AH1540" s="159" t="s">
        <v>134</v>
      </c>
      <c r="AI1540" s="68"/>
      <c r="AJ1540" s="709">
        <v>0.001</v>
      </c>
      <c r="AK1540" s="57" t="s">
        <v>135</v>
      </c>
      <c r="AL1540" s="57" t="s">
        <v>186</v>
      </c>
      <c r="AM1540" s="1748" t="s">
        <v>137</v>
      </c>
      <c r="AN1540" s="61"/>
      <c r="AO1540" s="156">
        <v>227.0</v>
      </c>
      <c r="AP1540" s="156">
        <v>0.599</v>
      </c>
      <c r="AQ1540" s="159" t="s">
        <v>173</v>
      </c>
      <c r="AR1540" s="159" t="s">
        <v>2771</v>
      </c>
      <c r="AS1540" s="1749">
        <v>1.0E-5</v>
      </c>
      <c r="AT1540" s="159" t="s">
        <v>172</v>
      </c>
      <c r="AU1540" s="159" t="s">
        <v>136</v>
      </c>
      <c r="AV1540" s="1748" t="s">
        <v>137</v>
      </c>
      <c r="AW1540" s="68"/>
      <c r="AX1540" s="1748" t="s">
        <v>143</v>
      </c>
      <c r="AY1540" s="61" t="str">
        <f>IFERROR(__xludf.DUMMYFUNCTION("vlookup(BB1540,importrange(""https://docs.google.com/spreadsheets/d/1d2vevQ_7D_v35q4wCQ4RpQ_IPoTwEMB9Yp6ymwlPqew/edit?gid=984458430#gid=984458430"", ""'replication success'!A:K""), 11, FAlSE)"),"successful")</f>
        <v>successful</v>
      </c>
      <c r="AZ1540" s="61" t="str">
        <f>IFERROR(__xludf.DUMMYFUNCTION("vlookup(BB1540,importrange(""https://docs.google.com/spreadsheets/d/1d2vevQ_7D_v35q4wCQ4RpQ_IPoTwEMB9Yp6ymwlPqew/edit?gid=984458430#gid=984458430"",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0" s="61" t="str">
        <f>IFERROR(__xludf.DUMMYFUNCTION("vlookup(BB1540,importrange(""https://docs.google.com/spreadsheets/d/1d2vevQ_7D_v35q4wCQ4RpQ_IPoTwEMB9Yp6ymwlPqew/edit?gid=984458430#gid=984458430"", ""'replication success'!A:M""), 13, FAlSE)"),"pg.3")</f>
        <v>pg.3</v>
      </c>
      <c r="BB1540" s="61" t="str">
        <f>IFERROR(__xludf.DUMMYFUNCTION("REGEXREPLACE(G1540, ""_[a-z]{1,2}$"", """")"),"Holzmeisteretal2024_15")</f>
        <v>Holzmeisteretal2024_15</v>
      </c>
      <c r="BD1540" s="188" t="s">
        <v>144</v>
      </c>
    </row>
    <row r="1541">
      <c r="A1541" s="44">
        <v>1541.0</v>
      </c>
      <c r="B1541" s="188" t="s">
        <v>152</v>
      </c>
      <c r="C1541" s="188" t="s">
        <v>115</v>
      </c>
      <c r="D1541" s="188" t="s">
        <v>1458</v>
      </c>
      <c r="E1541" s="189"/>
      <c r="F1541" s="190" t="s">
        <v>8850</v>
      </c>
      <c r="G1541" s="193" t="s">
        <v>8850</v>
      </c>
      <c r="H1541" s="198" t="s">
        <v>1518</v>
      </c>
      <c r="I1541" s="191">
        <v>45669.0</v>
      </c>
      <c r="J1541" s="1744">
        <v>45677.0</v>
      </c>
      <c r="K1541" s="198" t="s">
        <v>8851</v>
      </c>
      <c r="L1541" s="190"/>
      <c r="M1541" s="877" t="s">
        <v>8852</v>
      </c>
      <c r="N1541" s="1745" t="s">
        <v>8853</v>
      </c>
      <c r="O1541" s="758">
        <v>1.0</v>
      </c>
      <c r="P1541" s="977" t="str">
        <f> SUBSTITUTE(lower(N1541), "/", "--") &amp;  ".pdf"</f>
        <v>10.1073--pnas.1722664115.pdf</v>
      </c>
      <c r="Q1541" s="52" t="str">
        <f t="array" ref="Q1541"> if(iserror(MATCH(V1541, 'File Links'!C:C, 0)), "N/A", HYPERLINK(INDEX('File Links'!B:B, MATCH(P1541, 'File Links'!C:C, 0))))</f>
        <v>https://drive.google.com/file/d/1eLY3wQhNqme2S7a_tXRX4gHwGifvXW1x/view?usp=drivesdk</v>
      </c>
      <c r="R1541" s="195" t="s">
        <v>8854</v>
      </c>
      <c r="S1541" s="374" t="s">
        <v>8716</v>
      </c>
      <c r="T1541" s="877" t="s">
        <v>8717</v>
      </c>
      <c r="U1541" s="758">
        <v>1.0</v>
      </c>
      <c r="V1541" s="198" t="str">
        <f t="shared" si="113"/>
        <v>10.1038--s41562-024-02062-9.pdf</v>
      </c>
      <c r="W1541" s="198" t="s">
        <v>8855</v>
      </c>
      <c r="X1541" s="54" t="str">
        <f t="array" ref="X1541"> if(iserror(MATCH(V1541, 'File Links'!C:C, 0)), "N/A", HYPERLINK(INDEX('File Links'!B:B, MATCH(V1541, 'File Links'!C:C, 0))))</f>
        <v>https://drive.google.com/file/d/1w8pcOEpgkXG4574TMp8vmQlQVMYXLL8c/view?usp=drivesdk</v>
      </c>
      <c r="Z1541" s="198" t="s">
        <v>586</v>
      </c>
      <c r="AA1541" s="198" t="s">
        <v>8856</v>
      </c>
      <c r="AB1541" s="198" t="s">
        <v>8857</v>
      </c>
      <c r="AC1541" s="198" t="s">
        <v>8858</v>
      </c>
      <c r="AD1541" s="198" t="s">
        <v>8859</v>
      </c>
      <c r="AE1541" s="758">
        <v>3.0</v>
      </c>
      <c r="AF1541" s="1752">
        <v>24.0</v>
      </c>
      <c r="AG1541" s="1131" t="s">
        <v>8860</v>
      </c>
      <c r="AH1541" s="1290" t="s">
        <v>134</v>
      </c>
      <c r="AI1541" s="542"/>
      <c r="AJ1541" s="374" t="s">
        <v>138</v>
      </c>
      <c r="AK1541" s="374" t="s">
        <v>138</v>
      </c>
      <c r="AL1541" s="58" t="s">
        <v>186</v>
      </c>
      <c r="AM1541" s="374" t="s">
        <v>141</v>
      </c>
      <c r="AN1541" s="374" t="s">
        <v>138</v>
      </c>
      <c r="AO1541" s="758">
        <v>56.0</v>
      </c>
      <c r="AP1541" s="758">
        <v>-0.068</v>
      </c>
      <c r="AQ1541" s="198" t="s">
        <v>173</v>
      </c>
      <c r="AR1541" s="198" t="s">
        <v>2771</v>
      </c>
      <c r="AS1541" s="758">
        <v>0.904</v>
      </c>
      <c r="AT1541" s="198" t="s">
        <v>172</v>
      </c>
      <c r="AU1541" s="198" t="s">
        <v>136</v>
      </c>
      <c r="AV1541" s="190" t="s">
        <v>141</v>
      </c>
      <c r="AW1541" s="877" t="s">
        <v>8861</v>
      </c>
      <c r="AX1541" s="374" t="s">
        <v>143</v>
      </c>
      <c r="AY1541" s="61" t="str">
        <f>IFERROR(__xludf.DUMMYFUNCTION("vlookup(BB1541,importrange(""https://docs.google.com/spreadsheets/d/1d2vevQ_7D_v35q4wCQ4RpQ_IPoTwEMB9Yp6ymwlPqew/edit?gid=984458430#gid=984458430"", ""'replication success'!A:K""), 11, FAlSE)"),"failed")</f>
        <v>failed</v>
      </c>
      <c r="AZ1541" s="61" t="str">
        <f>IFERROR(__xludf.DUMMYFUNCTION("vlookup(BB1541,importrange(""https://docs.google.com/spreadsheets/d/1d2vevQ_7D_v35q4wCQ4RpQ_IPoTwEMB9Yp6ymwlPqew/edit?gid=984458430#gid=984458430"",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1" s="61" t="str">
        <f>IFERROR(__xludf.DUMMYFUNCTION("vlookup(BB1541,importrange(""https://docs.google.com/spreadsheets/d/1d2vevQ_7D_v35q4wCQ4RpQ_IPoTwEMB9Yp6ymwlPqew/edit?gid=984458430#gid=984458430"", ""'replication success'!A:M""), 13, FAlSE)"),"pg.3")</f>
        <v>pg.3</v>
      </c>
      <c r="BB1541" s="61" t="str">
        <f>IFERROR(__xludf.DUMMYFUNCTION("REGEXREPLACE(G1541, ""_[a-z]{1,2}$"", """")"),"Holzmeisteretal2024_16")</f>
        <v>Holzmeisteretal2024_16</v>
      </c>
      <c r="BC1541" s="189"/>
      <c r="BD1541" s="188" t="s">
        <v>144</v>
      </c>
    </row>
    <row r="1542">
      <c r="A1542" s="44">
        <v>1542.0</v>
      </c>
      <c r="B1542" s="62" t="s">
        <v>114</v>
      </c>
      <c r="C1542" s="62" t="s">
        <v>115</v>
      </c>
      <c r="D1542" s="62" t="s">
        <v>1441</v>
      </c>
      <c r="F1542" s="68" t="s">
        <v>8850</v>
      </c>
      <c r="G1542" s="61" t="s">
        <v>8850</v>
      </c>
      <c r="H1542" s="159" t="s">
        <v>1444</v>
      </c>
      <c r="I1542" s="68"/>
      <c r="J1542" s="1744">
        <v>45677.0</v>
      </c>
      <c r="K1542" s="159" t="s">
        <v>8862</v>
      </c>
      <c r="L1542" s="68"/>
      <c r="M1542" s="435" t="s">
        <v>8863</v>
      </c>
      <c r="N1542" s="1746" t="s">
        <v>8864</v>
      </c>
      <c r="O1542" s="68"/>
      <c r="P1542" s="1581" t="str">
        <f>SUBSTITUTE(LOWER(N1542), "/", "--") &amp;  ".pdf"</f>
        <v>10.1073--pnas.1722664115.pdf</v>
      </c>
      <c r="Q1542" s="52" t="str">
        <f t="array" ref="Q1542"> if(iserror(MATCH(V1542, 'File Links'!C:C, 0)), "N/A", HYPERLINK(INDEX('File Links'!B:B, MATCH(P1542, 'File Links'!C:C, 0))))</f>
        <v>https://drive.google.com/file/d/1eLY3wQhNqme2S7a_tXRX4gHwGifvXW1x/view?usp=drivesdk</v>
      </c>
      <c r="R1542" s="68" t="s">
        <v>8865</v>
      </c>
      <c r="S1542" s="129" t="s">
        <v>8716</v>
      </c>
      <c r="T1542" s="435" t="s">
        <v>8717</v>
      </c>
      <c r="U1542" s="68"/>
      <c r="V1542" s="198" t="str">
        <f t="shared" si="113"/>
        <v>10.1038--s41562-024-02062-9.pdf</v>
      </c>
      <c r="W1542" s="159" t="s">
        <v>8729</v>
      </c>
      <c r="X1542" s="54" t="str">
        <f t="array" ref="X1542"> if(iserror(MATCH(V1542, 'File Links'!C:C, 0)), "N/A", HYPERLINK(INDEX('File Links'!B:B, MATCH(V1542, 'File Links'!C:C, 0))))</f>
        <v>https://drive.google.com/file/d/1w8pcOEpgkXG4574TMp8vmQlQVMYXLL8c/view?usp=drivesdk</v>
      </c>
      <c r="Z1542" s="159" t="s">
        <v>586</v>
      </c>
      <c r="AA1542" s="159" t="s">
        <v>8866</v>
      </c>
      <c r="AB1542" s="159" t="s">
        <v>8867</v>
      </c>
      <c r="AC1542" s="159" t="s">
        <v>8868</v>
      </c>
      <c r="AD1542" s="159" t="s">
        <v>8869</v>
      </c>
      <c r="AE1542" s="156">
        <v>3.0</v>
      </c>
      <c r="AF1542" s="156">
        <v>24.0</v>
      </c>
      <c r="AG1542" s="159" t="s">
        <v>8870</v>
      </c>
      <c r="AH1542" s="159" t="s">
        <v>134</v>
      </c>
      <c r="AI1542" s="68"/>
      <c r="AJ1542" s="709">
        <v>0.0013</v>
      </c>
      <c r="AK1542" s="57" t="s">
        <v>172</v>
      </c>
      <c r="AL1542" s="57" t="s">
        <v>186</v>
      </c>
      <c r="AM1542" s="1748" t="s">
        <v>141</v>
      </c>
      <c r="AN1542" s="61"/>
      <c r="AO1542" s="156">
        <v>56.0</v>
      </c>
      <c r="AP1542" s="156">
        <v>-0.068</v>
      </c>
      <c r="AQ1542" s="159" t="s">
        <v>173</v>
      </c>
      <c r="AR1542" s="159" t="s">
        <v>2771</v>
      </c>
      <c r="AS1542" s="156">
        <v>0.799</v>
      </c>
      <c r="AT1542" s="159" t="s">
        <v>172</v>
      </c>
      <c r="AU1542" s="159" t="s">
        <v>136</v>
      </c>
      <c r="AV1542" s="1748" t="s">
        <v>141</v>
      </c>
      <c r="AW1542" s="68"/>
      <c r="AX1542" s="1748" t="s">
        <v>143</v>
      </c>
      <c r="AY1542" s="61" t="str">
        <f>IFERROR(__xludf.DUMMYFUNCTION("vlookup(BB1542,importrange(""https://docs.google.com/spreadsheets/d/1d2vevQ_7D_v35q4wCQ4RpQ_IPoTwEMB9Yp6ymwlPqew/edit?gid=984458430#gid=984458430"", ""'replication success'!A:K""), 11, FAlSE)"),"failed")</f>
        <v>failed</v>
      </c>
      <c r="AZ1542" s="61" t="str">
        <f>IFERROR(__xludf.DUMMYFUNCTION("vlookup(BB1542,importrange(""https://docs.google.com/spreadsheets/d/1d2vevQ_7D_v35q4wCQ4RpQ_IPoTwEMB9Yp6ymwlPqew/edit?gid=984458430#gid=984458430"",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2" s="61" t="str">
        <f>IFERROR(__xludf.DUMMYFUNCTION("vlookup(BB1542,importrange(""https://docs.google.com/spreadsheets/d/1d2vevQ_7D_v35q4wCQ4RpQ_IPoTwEMB9Yp6ymwlPqew/edit?gid=984458430#gid=984458430"", ""'replication success'!A:M""), 13, FAlSE)"),"pg.3")</f>
        <v>pg.3</v>
      </c>
      <c r="BB1542" s="61" t="str">
        <f>IFERROR(__xludf.DUMMYFUNCTION("REGEXREPLACE(G1542, ""_[a-z]{1,2}$"", """")"),"Holzmeisteretal2024_16")</f>
        <v>Holzmeisteretal2024_16</v>
      </c>
      <c r="BD1542" s="188" t="s">
        <v>144</v>
      </c>
    </row>
    <row r="1543">
      <c r="A1543" s="44">
        <v>1543.0</v>
      </c>
      <c r="B1543" s="188" t="s">
        <v>152</v>
      </c>
      <c r="C1543" s="188" t="s">
        <v>115</v>
      </c>
      <c r="D1543" s="188" t="s">
        <v>1458</v>
      </c>
      <c r="E1543" s="189"/>
      <c r="F1543" s="190" t="s">
        <v>8871</v>
      </c>
      <c r="G1543" s="193" t="s">
        <v>8871</v>
      </c>
      <c r="H1543" s="198" t="s">
        <v>1518</v>
      </c>
      <c r="I1543" s="191">
        <v>45669.0</v>
      </c>
      <c r="J1543" s="1744">
        <v>45677.0</v>
      </c>
      <c r="K1543" s="198" t="s">
        <v>8872</v>
      </c>
      <c r="L1543" s="190"/>
      <c r="M1543" s="877" t="s">
        <v>8873</v>
      </c>
      <c r="N1543" s="1745" t="s">
        <v>8874</v>
      </c>
      <c r="O1543" s="758">
        <v>6.0</v>
      </c>
      <c r="P1543" s="977" t="str">
        <f> SUBSTITUTE(lower(N1543), "/", "--") &amp;  ".pdf"</f>
        <v>10.1073--pnas.1620542114.pdf</v>
      </c>
      <c r="Q1543" s="52" t="str">
        <f t="array" ref="Q1543"> if(iserror(MATCH(V1543, 'File Links'!C:C, 0)), "N/A", HYPERLINK(INDEX('File Links'!B:B, MATCH(P1543, 'File Links'!C:C, 0))))</f>
        <v>https://drive.google.com/file/d/1n72rgjSW6FtAclFquHlO8O2BBvlTnJas/view?usp=drivesdk</v>
      </c>
      <c r="R1543" s="195" t="s">
        <v>8875</v>
      </c>
      <c r="S1543" s="374" t="s">
        <v>8716</v>
      </c>
      <c r="T1543" s="877" t="s">
        <v>8717</v>
      </c>
      <c r="U1543" s="758">
        <v>1.0</v>
      </c>
      <c r="V1543" s="198" t="str">
        <f t="shared" si="113"/>
        <v>10.1038--s41562-024-02062-9.pdf</v>
      </c>
      <c r="W1543" s="198" t="s">
        <v>8876</v>
      </c>
      <c r="X1543" s="54" t="str">
        <f t="array" ref="X1543"> if(iserror(MATCH(V1543, 'File Links'!C:C, 0)), "N/A", HYPERLINK(INDEX('File Links'!B:B, MATCH(V1543, 'File Links'!C:C, 0))))</f>
        <v>https://drive.google.com/file/d/1w8pcOEpgkXG4574TMp8vmQlQVMYXLL8c/view?usp=drivesdk</v>
      </c>
      <c r="Z1543" s="198" t="s">
        <v>226</v>
      </c>
      <c r="AA1543" s="198" t="s">
        <v>8877</v>
      </c>
      <c r="AB1543" s="198" t="s">
        <v>8878</v>
      </c>
      <c r="AC1543" s="198" t="s">
        <v>8879</v>
      </c>
      <c r="AD1543" s="198" t="s">
        <v>8880</v>
      </c>
      <c r="AE1543" s="758">
        <v>3.0</v>
      </c>
      <c r="AF1543" s="758">
        <v>408.0</v>
      </c>
      <c r="AG1543" s="758">
        <v>0.2</v>
      </c>
      <c r="AH1543" s="198" t="s">
        <v>173</v>
      </c>
      <c r="AI1543" s="542"/>
      <c r="AJ1543" s="875">
        <v>0.032</v>
      </c>
      <c r="AK1543" s="58" t="s">
        <v>172</v>
      </c>
      <c r="AL1543" s="58" t="s">
        <v>186</v>
      </c>
      <c r="AM1543" s="190" t="s">
        <v>141</v>
      </c>
      <c r="AN1543" s="375" t="s">
        <v>8881</v>
      </c>
      <c r="AO1543" s="758">
        <v>2213.0</v>
      </c>
      <c r="AP1543" s="758">
        <v>0.145</v>
      </c>
      <c r="AQ1543" s="198" t="s">
        <v>173</v>
      </c>
      <c r="AR1543" s="198" t="s">
        <v>2771</v>
      </c>
      <c r="AS1543" s="758">
        <v>0.001</v>
      </c>
      <c r="AT1543" s="198" t="s">
        <v>135</v>
      </c>
      <c r="AU1543" s="198" t="s">
        <v>136</v>
      </c>
      <c r="AV1543" s="190" t="s">
        <v>141</v>
      </c>
      <c r="AW1543" s="877" t="s">
        <v>8882</v>
      </c>
      <c r="AX1543" s="190" t="s">
        <v>143</v>
      </c>
      <c r="AY1543" s="61" t="str">
        <f>IFERROR(__xludf.DUMMYFUNCTION("vlookup(BB1543,importrange(""https://docs.google.com/spreadsheets/d/1d2vevQ_7D_v35q4wCQ4RpQ_IPoTwEMB9Yp6ymwlPqew/edit?gid=984458430#gid=984458430"", ""'replication success'!A:K""), 11, FAlSE)"),"successful")</f>
        <v>successful</v>
      </c>
      <c r="AZ1543" s="61" t="str">
        <f>IFERROR(__xludf.DUMMYFUNCTION("vlookup(BB1543,importrange(""https://docs.google.com/spreadsheets/d/1d2vevQ_7D_v35q4wCQ4RpQ_IPoTwEMB9Yp6ymwlPqew/edit?gid=984458430#gid=984458430"",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3" s="61" t="str">
        <f>IFERROR(__xludf.DUMMYFUNCTION("vlookup(BB1543,importrange(""https://docs.google.com/spreadsheets/d/1d2vevQ_7D_v35q4wCQ4RpQ_IPoTwEMB9Yp6ymwlPqew/edit?gid=984458430#gid=984458430"", ""'replication success'!A:M""), 13, FAlSE)"),"pg.3")</f>
        <v>pg.3</v>
      </c>
      <c r="BB1543" s="61" t="str">
        <f>IFERROR(__xludf.DUMMYFUNCTION("REGEXREPLACE(G1543, ""_[a-z]{1,2}$"", """")"),"Holzmeisteretal2024_17")</f>
        <v>Holzmeisteretal2024_17</v>
      </c>
      <c r="BC1543" s="189"/>
      <c r="BD1543" s="188" t="s">
        <v>144</v>
      </c>
    </row>
    <row r="1544">
      <c r="A1544" s="44">
        <v>1544.0</v>
      </c>
      <c r="B1544" s="62" t="s">
        <v>114</v>
      </c>
      <c r="C1544" s="62" t="s">
        <v>115</v>
      </c>
      <c r="D1544" s="62" t="s">
        <v>1441</v>
      </c>
      <c r="F1544" s="68" t="s">
        <v>8871</v>
      </c>
      <c r="G1544" s="61" t="s">
        <v>8871</v>
      </c>
      <c r="H1544" s="159" t="s">
        <v>1444</v>
      </c>
      <c r="I1544" s="68"/>
      <c r="J1544" s="1744">
        <v>45677.0</v>
      </c>
      <c r="K1544" s="159" t="s">
        <v>8883</v>
      </c>
      <c r="L1544" s="68"/>
      <c r="M1544" s="435" t="s">
        <v>8884</v>
      </c>
      <c r="N1544" s="1746" t="s">
        <v>8885</v>
      </c>
      <c r="O1544" s="68"/>
      <c r="P1544" s="1581" t="str">
        <f>SUBSTITUTE(LOWER(N1544), "/", "--") &amp;  ".pdf"</f>
        <v>10.1073--pnas.1620542114.pdf</v>
      </c>
      <c r="Q1544" s="52" t="str">
        <f t="array" ref="Q1544"> if(iserror(MATCH(V1544, 'File Links'!C:C, 0)), "N/A", HYPERLINK(INDEX('File Links'!B:B, MATCH(P1544, 'File Links'!C:C, 0))))</f>
        <v>https://drive.google.com/file/d/1n72rgjSW6FtAclFquHlO8O2BBvlTnJas/view?usp=drivesdk</v>
      </c>
      <c r="R1544" s="68" t="s">
        <v>8886</v>
      </c>
      <c r="S1544" s="129" t="s">
        <v>8716</v>
      </c>
      <c r="T1544" s="435" t="s">
        <v>8717</v>
      </c>
      <c r="U1544" s="156">
        <v>4.0</v>
      </c>
      <c r="V1544" s="198" t="str">
        <f t="shared" si="113"/>
        <v>10.1038--s41562-024-02062-9.pdf</v>
      </c>
      <c r="W1544" s="159" t="s">
        <v>8729</v>
      </c>
      <c r="X1544" s="54" t="str">
        <f t="array" ref="X1544"> if(iserror(MATCH(V1544, 'File Links'!C:C, 0)), "N/A", HYPERLINK(INDEX('File Links'!B:B, MATCH(V1544, 'File Links'!C:C, 0))))</f>
        <v>https://drive.google.com/file/d/1w8pcOEpgkXG4574TMp8vmQlQVMYXLL8c/view?usp=drivesdk</v>
      </c>
      <c r="Z1544" s="159" t="s">
        <v>226</v>
      </c>
      <c r="AA1544" s="159" t="s">
        <v>8887</v>
      </c>
      <c r="AB1544" s="159" t="s">
        <v>8888</v>
      </c>
      <c r="AC1544" s="159" t="s">
        <v>8889</v>
      </c>
      <c r="AD1544" s="159" t="s">
        <v>8890</v>
      </c>
      <c r="AE1544" s="159" t="s">
        <v>8891</v>
      </c>
      <c r="AF1544" s="156">
        <v>408.0</v>
      </c>
      <c r="AG1544" s="159" t="s">
        <v>8892</v>
      </c>
      <c r="AH1544" s="159" t="s">
        <v>134</v>
      </c>
      <c r="AI1544" s="68"/>
      <c r="AJ1544" s="709">
        <v>0.032</v>
      </c>
      <c r="AK1544" s="57" t="s">
        <v>172</v>
      </c>
      <c r="AL1544" s="57" t="s">
        <v>186</v>
      </c>
      <c r="AM1544" s="1748" t="s">
        <v>141</v>
      </c>
      <c r="AN1544" s="61"/>
      <c r="AO1544" s="156">
        <v>2213.0</v>
      </c>
      <c r="AP1544" s="156">
        <v>0.145</v>
      </c>
      <c r="AQ1544" s="159" t="s">
        <v>173</v>
      </c>
      <c r="AR1544" s="159" t="s">
        <v>2771</v>
      </c>
      <c r="AS1544" s="1749">
        <v>8.9E-12</v>
      </c>
      <c r="AT1544" s="159" t="s">
        <v>172</v>
      </c>
      <c r="AU1544" s="159" t="s">
        <v>136</v>
      </c>
      <c r="AV1544" s="1748" t="s">
        <v>141</v>
      </c>
      <c r="AW1544" s="68"/>
      <c r="AX1544" s="1748" t="s">
        <v>143</v>
      </c>
      <c r="AY1544" s="61" t="str">
        <f>IFERROR(__xludf.DUMMYFUNCTION("vlookup(BB1544,importrange(""https://docs.google.com/spreadsheets/d/1d2vevQ_7D_v35q4wCQ4RpQ_IPoTwEMB9Yp6ymwlPqew/edit?gid=984458430#gid=984458430"", ""'replication success'!A:K""), 11, FAlSE)"),"successful")</f>
        <v>successful</v>
      </c>
      <c r="AZ1544" s="61" t="str">
        <f>IFERROR(__xludf.DUMMYFUNCTION("vlookup(BB1544,importrange(""https://docs.google.com/spreadsheets/d/1d2vevQ_7D_v35q4wCQ4RpQ_IPoTwEMB9Yp6ymwlPqew/edit?gid=984458430#gid=984458430"",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4" s="61" t="str">
        <f>IFERROR(__xludf.DUMMYFUNCTION("vlookup(BB1544,importrange(""https://docs.google.com/spreadsheets/d/1d2vevQ_7D_v35q4wCQ4RpQ_IPoTwEMB9Yp6ymwlPqew/edit?gid=984458430#gid=984458430"", ""'replication success'!A:M""), 13, FAlSE)"),"pg.3")</f>
        <v>pg.3</v>
      </c>
      <c r="BB1544" s="61" t="str">
        <f>IFERROR(__xludf.DUMMYFUNCTION("REGEXREPLACE(G1544, ""_[a-z]{1,2}$"", """")"),"Holzmeisteretal2024_17")</f>
        <v>Holzmeisteretal2024_17</v>
      </c>
      <c r="BD1544" s="188" t="s">
        <v>144</v>
      </c>
    </row>
    <row r="1545">
      <c r="A1545" s="44">
        <v>1545.0</v>
      </c>
      <c r="B1545" s="188" t="s">
        <v>152</v>
      </c>
      <c r="C1545" s="188" t="s">
        <v>115</v>
      </c>
      <c r="D1545" s="188" t="s">
        <v>1458</v>
      </c>
      <c r="E1545" s="189"/>
      <c r="F1545" s="190" t="s">
        <v>8893</v>
      </c>
      <c r="G1545" s="193" t="s">
        <v>8893</v>
      </c>
      <c r="H1545" s="198" t="s">
        <v>1518</v>
      </c>
      <c r="I1545" s="191">
        <v>45669.0</v>
      </c>
      <c r="J1545" s="1744">
        <v>45677.0</v>
      </c>
      <c r="K1545" s="198" t="s">
        <v>8894</v>
      </c>
      <c r="L1545" s="190"/>
      <c r="M1545" s="877" t="s">
        <v>8895</v>
      </c>
      <c r="N1545" s="1745" t="s">
        <v>8896</v>
      </c>
      <c r="O1545" s="758">
        <v>6.0</v>
      </c>
      <c r="P1545" s="977" t="str">
        <f> SUBSTITUTE(lower(N1545), "/", "--") &amp;  ".pdf"</f>
        <v>10.1073--pnas.1701916114.pdf</v>
      </c>
      <c r="Q1545" s="52" t="str">
        <f t="array" ref="Q1545"> if(iserror(MATCH(V1545, 'File Links'!C:C, 0)), "N/A", HYPERLINK(INDEX('File Links'!B:B, MATCH(P1545, 'File Links'!C:C, 0))))</f>
        <v>https://drive.google.com/file/d/1AHAkX3IHAtNC1ywt3EKJgEjl7TvUilkM/view?usp=drivesdk</v>
      </c>
      <c r="R1545" s="195" t="s">
        <v>8897</v>
      </c>
      <c r="S1545" s="374" t="s">
        <v>8716</v>
      </c>
      <c r="T1545" s="877" t="s">
        <v>8717</v>
      </c>
      <c r="U1545" s="758">
        <v>1.0</v>
      </c>
      <c r="V1545" s="198" t="str">
        <f t="shared" si="113"/>
        <v>10.1038--s41562-024-02062-9.pdf</v>
      </c>
      <c r="W1545" s="198" t="s">
        <v>8898</v>
      </c>
      <c r="X1545" s="54" t="str">
        <f t="array" ref="X1545"> if(iserror(MATCH(V1545, 'File Links'!C:C, 0)), "N/A", HYPERLINK(INDEX('File Links'!B:B, MATCH(V1545, 'File Links'!C:C, 0))))</f>
        <v>https://drive.google.com/file/d/1w8pcOEpgkXG4574TMp8vmQlQVMYXLL8c/view?usp=drivesdk</v>
      </c>
      <c r="Z1545" s="198" t="s">
        <v>226</v>
      </c>
      <c r="AA1545" s="198" t="s">
        <v>8899</v>
      </c>
      <c r="AB1545" s="198" t="s">
        <v>8900</v>
      </c>
      <c r="AC1545" s="198" t="s">
        <v>8901</v>
      </c>
      <c r="AD1545" s="198" t="s">
        <v>8902</v>
      </c>
      <c r="AE1545" s="758">
        <v>3.0</v>
      </c>
      <c r="AF1545" s="758">
        <v>504.0</v>
      </c>
      <c r="AG1545" s="758">
        <v>0.19</v>
      </c>
      <c r="AH1545" s="198" t="s">
        <v>173</v>
      </c>
      <c r="AI1545" s="198" t="s">
        <v>507</v>
      </c>
      <c r="AJ1545" s="875">
        <v>0.036</v>
      </c>
      <c r="AK1545" s="58" t="s">
        <v>172</v>
      </c>
      <c r="AL1545" s="58" t="s">
        <v>186</v>
      </c>
      <c r="AM1545" s="190" t="s">
        <v>137</v>
      </c>
      <c r="AN1545" s="375" t="s">
        <v>8903</v>
      </c>
      <c r="AO1545" s="758">
        <v>2822.0</v>
      </c>
      <c r="AP1545" s="758">
        <v>0.138</v>
      </c>
      <c r="AQ1545" s="198" t="s">
        <v>173</v>
      </c>
      <c r="AR1545" s="198" t="s">
        <v>507</v>
      </c>
      <c r="AS1545" s="758">
        <v>0.001</v>
      </c>
      <c r="AT1545" s="198" t="s">
        <v>135</v>
      </c>
      <c r="AU1545" s="198" t="s">
        <v>136</v>
      </c>
      <c r="AV1545" s="190" t="s">
        <v>137</v>
      </c>
      <c r="AW1545" s="877" t="s">
        <v>8904</v>
      </c>
      <c r="AX1545" s="190" t="s">
        <v>143</v>
      </c>
      <c r="AY1545" s="61" t="str">
        <f>IFERROR(__xludf.DUMMYFUNCTION("vlookup(BB1545,importrange(""https://docs.google.com/spreadsheets/d/1d2vevQ_7D_v35q4wCQ4RpQ_IPoTwEMB9Yp6ymwlPqew/edit?gid=984458430#gid=984458430"", ""'replication success'!A:K""), 11, FAlSE)"),"successful")</f>
        <v>successful</v>
      </c>
      <c r="AZ1545" s="61" t="str">
        <f>IFERROR(__xludf.DUMMYFUNCTION("vlookup(BB1545,importrange(""https://docs.google.com/spreadsheets/d/1d2vevQ_7D_v35q4wCQ4RpQ_IPoTwEMB9Yp6ymwlPqew/edit?gid=984458430#gid=984458430"",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5" s="61" t="str">
        <f>IFERROR(__xludf.DUMMYFUNCTION("vlookup(BB1545,importrange(""https://docs.google.com/spreadsheets/d/1d2vevQ_7D_v35q4wCQ4RpQ_IPoTwEMB9Yp6ymwlPqew/edit?gid=984458430#gid=984458430"", ""'replication success'!A:M""), 13, FAlSE)"),"pg.3")</f>
        <v>pg.3</v>
      </c>
      <c r="BB1545" s="61" t="str">
        <f>IFERROR(__xludf.DUMMYFUNCTION("REGEXREPLACE(G1545, ""_[a-z]{1,2}$"", """")"),"Holzmeisteretal2024_18")</f>
        <v>Holzmeisteretal2024_18</v>
      </c>
      <c r="BC1545" s="189"/>
      <c r="BD1545" s="188" t="s">
        <v>144</v>
      </c>
    </row>
    <row r="1546">
      <c r="A1546" s="44">
        <v>1546.0</v>
      </c>
      <c r="B1546" s="62" t="s">
        <v>114</v>
      </c>
      <c r="C1546" s="62" t="s">
        <v>115</v>
      </c>
      <c r="D1546" s="62" t="s">
        <v>1441</v>
      </c>
      <c r="F1546" s="68" t="s">
        <v>8893</v>
      </c>
      <c r="G1546" s="61" t="s">
        <v>8893</v>
      </c>
      <c r="H1546" s="159" t="s">
        <v>1444</v>
      </c>
      <c r="I1546" s="68"/>
      <c r="J1546" s="1744">
        <v>45677.0</v>
      </c>
      <c r="K1546" s="68"/>
      <c r="L1546" s="68"/>
      <c r="M1546" s="435" t="s">
        <v>8905</v>
      </c>
      <c r="N1546" s="1746" t="s">
        <v>8906</v>
      </c>
      <c r="O1546" s="68"/>
      <c r="P1546" s="1581" t="str">
        <f>SUBSTITUTE(LOWER(N1546), "/", "--") &amp;  ".pdf"</f>
        <v>10.1073--pnas.1701916114.pdf</v>
      </c>
      <c r="Q1546" s="52" t="str">
        <f t="array" ref="Q1546"> if(iserror(MATCH(V1546, 'File Links'!C:C, 0)), "N/A", HYPERLINK(INDEX('File Links'!B:B, MATCH(P1546, 'File Links'!C:C, 0))))</f>
        <v>https://drive.google.com/file/d/1AHAkX3IHAtNC1ywt3EKJgEjl7TvUilkM/view?usp=drivesdk</v>
      </c>
      <c r="R1546" s="68" t="s">
        <v>8907</v>
      </c>
      <c r="S1546" s="129" t="s">
        <v>8716</v>
      </c>
      <c r="T1546" s="435" t="s">
        <v>8717</v>
      </c>
      <c r="U1546" s="159" t="s">
        <v>8908</v>
      </c>
      <c r="V1546" s="198" t="str">
        <f t="shared" si="113"/>
        <v>10.1038--s41562-024-02062-9.pdf</v>
      </c>
      <c r="W1546" s="159" t="s">
        <v>8729</v>
      </c>
      <c r="X1546" s="54" t="str">
        <f t="array" ref="X1546"> if(iserror(MATCH(V1546, 'File Links'!C:C, 0)), "N/A", HYPERLINK(INDEX('File Links'!B:B, MATCH(V1546, 'File Links'!C:C, 0))))</f>
        <v>https://drive.google.com/file/d/1w8pcOEpgkXG4574TMp8vmQlQVMYXLL8c/view?usp=drivesdk</v>
      </c>
      <c r="Z1546" s="159" t="s">
        <v>226</v>
      </c>
      <c r="AA1546" s="159" t="s">
        <v>8909</v>
      </c>
      <c r="AB1546" s="159" t="s">
        <v>8910</v>
      </c>
      <c r="AC1546" s="159" t="s">
        <v>8911</v>
      </c>
      <c r="AD1546" s="159" t="s">
        <v>8912</v>
      </c>
      <c r="AE1546" s="156">
        <v>3.0</v>
      </c>
      <c r="AF1546" s="156">
        <v>504.0</v>
      </c>
      <c r="AG1546" s="159" t="s">
        <v>8913</v>
      </c>
      <c r="AH1546" s="159" t="s">
        <v>134</v>
      </c>
      <c r="AI1546" s="68"/>
      <c r="AJ1546" s="709">
        <v>0.036</v>
      </c>
      <c r="AK1546" s="57" t="s">
        <v>172</v>
      </c>
      <c r="AL1546" s="57" t="s">
        <v>186</v>
      </c>
      <c r="AM1546" s="1748" t="s">
        <v>141</v>
      </c>
      <c r="AN1546" s="61"/>
      <c r="AO1546" s="156">
        <v>2822.0</v>
      </c>
      <c r="AP1546" s="156">
        <v>0.138</v>
      </c>
      <c r="AQ1546" s="159" t="s">
        <v>173</v>
      </c>
      <c r="AR1546" s="159" t="s">
        <v>507</v>
      </c>
      <c r="AS1546" s="1749">
        <v>2.6E-4</v>
      </c>
      <c r="AT1546" s="159" t="s">
        <v>172</v>
      </c>
      <c r="AU1546" s="159" t="s">
        <v>136</v>
      </c>
      <c r="AV1546" s="1748" t="s">
        <v>141</v>
      </c>
      <c r="AW1546" s="68"/>
      <c r="AX1546" s="1748" t="s">
        <v>143</v>
      </c>
      <c r="AY1546" s="61" t="str">
        <f>IFERROR(__xludf.DUMMYFUNCTION("vlookup(BB1546,importrange(""https://docs.google.com/spreadsheets/d/1d2vevQ_7D_v35q4wCQ4RpQ_IPoTwEMB9Yp6ymwlPqew/edit?gid=984458430#gid=984458430"", ""'replication success'!A:K""), 11, FAlSE)"),"successful")</f>
        <v>successful</v>
      </c>
      <c r="AZ1546" s="61" t="str">
        <f>IFERROR(__xludf.DUMMYFUNCTION("vlookup(BB1546,importrange(""https://docs.google.com/spreadsheets/d/1d2vevQ_7D_v35q4wCQ4RpQ_IPoTwEMB9Yp6ymwlPqew/edit?gid=984458430#gid=984458430"",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6" s="61" t="str">
        <f>IFERROR(__xludf.DUMMYFUNCTION("vlookup(BB1546,importrange(""https://docs.google.com/spreadsheets/d/1d2vevQ_7D_v35q4wCQ4RpQ_IPoTwEMB9Yp6ymwlPqew/edit?gid=984458430#gid=984458430"", ""'replication success'!A:M""), 13, FAlSE)"),"pg.3")</f>
        <v>pg.3</v>
      </c>
      <c r="BB1546" s="61" t="str">
        <f>IFERROR(__xludf.DUMMYFUNCTION("REGEXREPLACE(G1546, ""_[a-z]{1,2}$"", """")"),"Holzmeisteretal2024_18")</f>
        <v>Holzmeisteretal2024_18</v>
      </c>
      <c r="BD1546" s="188" t="s">
        <v>144</v>
      </c>
    </row>
    <row r="1547">
      <c r="A1547" s="44">
        <v>1547.0</v>
      </c>
      <c r="B1547" s="188" t="s">
        <v>152</v>
      </c>
      <c r="C1547" s="188" t="s">
        <v>115</v>
      </c>
      <c r="D1547" s="188" t="s">
        <v>1458</v>
      </c>
      <c r="E1547" s="189"/>
      <c r="F1547" s="190" t="s">
        <v>8914</v>
      </c>
      <c r="G1547" s="193" t="s">
        <v>8914</v>
      </c>
      <c r="H1547" s="198" t="s">
        <v>1518</v>
      </c>
      <c r="I1547" s="191">
        <v>45669.0</v>
      </c>
      <c r="J1547" s="1744">
        <v>45677.0</v>
      </c>
      <c r="K1547" s="198" t="s">
        <v>8915</v>
      </c>
      <c r="L1547" s="190"/>
      <c r="M1547" s="877" t="s">
        <v>8916</v>
      </c>
      <c r="N1547" s="1745" t="s">
        <v>8917</v>
      </c>
      <c r="O1547" s="758">
        <v>2.0</v>
      </c>
      <c r="P1547" s="977" t="str">
        <f> SUBSTITUTE(lower(N1547), "/", "--") &amp;  ".pdf"</f>
        <v>10.1073--pnas.1511536112.pdf</v>
      </c>
      <c r="Q1547" s="52" t="str">
        <f t="array" ref="Q1547"> if(iserror(MATCH(V1547, 'File Links'!C:C, 0)), "N/A", HYPERLINK(INDEX('File Links'!B:B, MATCH(P1547, 'File Links'!C:C, 0))))</f>
        <v>https://drive.google.com/file/d/1wOKjiL59sTbYJAZUPb-UPMjoPu-4HWDV/view?usp=drivesdk</v>
      </c>
      <c r="R1547" s="195" t="s">
        <v>8918</v>
      </c>
      <c r="S1547" s="374" t="s">
        <v>8716</v>
      </c>
      <c r="T1547" s="794" t="s">
        <v>8717</v>
      </c>
      <c r="U1547" s="758">
        <v>1.0</v>
      </c>
      <c r="V1547" s="198" t="str">
        <f t="shared" si="113"/>
        <v>10.1038--s41562-024-02062-9.pdf</v>
      </c>
      <c r="W1547" s="198" t="s">
        <v>8919</v>
      </c>
      <c r="X1547" s="54" t="str">
        <f t="array" ref="X1547"> if(iserror(MATCH(V1547, 'File Links'!C:C, 0)), "N/A", HYPERLINK(INDEX('File Links'!B:B, MATCH(V1547, 'File Links'!C:C, 0))))</f>
        <v>https://drive.google.com/file/d/1w8pcOEpgkXG4574TMp8vmQlQVMYXLL8c/view?usp=drivesdk</v>
      </c>
      <c r="Z1547" s="198" t="s">
        <v>1809</v>
      </c>
      <c r="AA1547" s="198" t="s">
        <v>8920</v>
      </c>
      <c r="AB1547" s="198" t="s">
        <v>8921</v>
      </c>
      <c r="AC1547" s="198" t="s">
        <v>8922</v>
      </c>
      <c r="AD1547" s="198" t="s">
        <v>8923</v>
      </c>
      <c r="AE1547" s="758">
        <v>3.0</v>
      </c>
      <c r="AF1547" s="758">
        <v>704.0</v>
      </c>
      <c r="AG1547" s="198" t="s">
        <v>8924</v>
      </c>
      <c r="AH1547" s="198" t="s">
        <v>134</v>
      </c>
      <c r="AI1547" s="198" t="s">
        <v>507</v>
      </c>
      <c r="AJ1547" s="875">
        <v>0.05</v>
      </c>
      <c r="AK1547" s="58" t="s">
        <v>135</v>
      </c>
      <c r="AL1547" s="58" t="s">
        <v>186</v>
      </c>
      <c r="AM1547" s="371" t="s">
        <v>137</v>
      </c>
      <c r="AN1547" s="374" t="s">
        <v>138</v>
      </c>
      <c r="AO1547" s="758">
        <v>3653.0</v>
      </c>
      <c r="AP1547" s="758">
        <v>-0.013</v>
      </c>
      <c r="AQ1547" s="198" t="s">
        <v>173</v>
      </c>
      <c r="AR1547" s="198" t="s">
        <v>507</v>
      </c>
      <c r="AS1547" s="758">
        <v>0.841</v>
      </c>
      <c r="AT1547" s="198" t="s">
        <v>172</v>
      </c>
      <c r="AU1547" s="198" t="s">
        <v>136</v>
      </c>
      <c r="AV1547" s="371" t="s">
        <v>137</v>
      </c>
      <c r="AW1547" s="877" t="s">
        <v>8925</v>
      </c>
      <c r="AX1547" s="190" t="s">
        <v>143</v>
      </c>
      <c r="AY1547" s="61" t="str">
        <f>IFERROR(__xludf.DUMMYFUNCTION("vlookup(BB1547,importrange(""https://docs.google.com/spreadsheets/d/1d2vevQ_7D_v35q4wCQ4RpQ_IPoTwEMB9Yp6ymwlPqew/edit?gid=984458430#gid=984458430"", ""'replication success'!A:K""), 11, FAlSE)"),"failed")</f>
        <v>failed</v>
      </c>
      <c r="AZ1547" s="61" t="str">
        <f>IFERROR(__xludf.DUMMYFUNCTION("vlookup(BB1547,importrange(""https://docs.google.com/spreadsheets/d/1d2vevQ_7D_v35q4wCQ4RpQ_IPoTwEMB9Yp6ymwlPqew/edit?gid=984458430#gid=984458430"",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7" s="61" t="str">
        <f>IFERROR(__xludf.DUMMYFUNCTION("vlookup(BB1547,importrange(""https://docs.google.com/spreadsheets/d/1d2vevQ_7D_v35q4wCQ4RpQ_IPoTwEMB9Yp6ymwlPqew/edit?gid=984458430#gid=984458430"", ""'replication success'!A:M""), 13, FAlSE)"),"pg.3")</f>
        <v>pg.3</v>
      </c>
      <c r="BB1547" s="61" t="str">
        <f>IFERROR(__xludf.DUMMYFUNCTION("REGEXREPLACE(G1547, ""_[a-z]{1,2}$"", """")"),"Holzmeisteretal2024_19")</f>
        <v>Holzmeisteretal2024_19</v>
      </c>
      <c r="BC1547" s="189"/>
      <c r="BD1547" s="188" t="s">
        <v>144</v>
      </c>
    </row>
    <row r="1548">
      <c r="A1548" s="44">
        <v>1548.0</v>
      </c>
      <c r="B1548" s="62" t="s">
        <v>114</v>
      </c>
      <c r="C1548" s="62" t="s">
        <v>115</v>
      </c>
      <c r="D1548" s="62" t="s">
        <v>1441</v>
      </c>
      <c r="F1548" s="68" t="s">
        <v>8914</v>
      </c>
      <c r="G1548" s="61" t="s">
        <v>8914</v>
      </c>
      <c r="H1548" s="159" t="s">
        <v>1444</v>
      </c>
      <c r="I1548" s="68"/>
      <c r="J1548" s="1744">
        <v>45677.0</v>
      </c>
      <c r="K1548" s="159" t="s">
        <v>8926</v>
      </c>
      <c r="L1548" s="68"/>
      <c r="M1548" s="435" t="s">
        <v>8927</v>
      </c>
      <c r="N1548" s="1746" t="s">
        <v>8928</v>
      </c>
      <c r="O1548" s="68"/>
      <c r="P1548" s="1581" t="str">
        <f>SUBSTITUTE(LOWER(N1548), "/", "--") &amp;  ".pdf"</f>
        <v>10.1073--pnas.1511536112.pdf</v>
      </c>
      <c r="Q1548" s="52" t="str">
        <f t="array" ref="Q1548"> if(iserror(MATCH(V1548, 'File Links'!C:C, 0)), "N/A", HYPERLINK(INDEX('File Links'!B:B, MATCH(P1548, 'File Links'!C:C, 0))))</f>
        <v>https://drive.google.com/file/d/1wOKjiL59sTbYJAZUPb-UPMjoPu-4HWDV/view?usp=drivesdk</v>
      </c>
      <c r="R1548" s="68" t="s">
        <v>8929</v>
      </c>
      <c r="S1548" s="129" t="s">
        <v>8716</v>
      </c>
      <c r="T1548" s="435" t="s">
        <v>8717</v>
      </c>
      <c r="U1548" s="68"/>
      <c r="V1548" s="198" t="str">
        <f t="shared" si="113"/>
        <v>10.1038--s41562-024-02062-9.pdf</v>
      </c>
      <c r="W1548" s="159" t="s">
        <v>8729</v>
      </c>
      <c r="X1548" s="54" t="str">
        <f t="array" ref="X1548"> if(iserror(MATCH(V1548, 'File Links'!C:C, 0)), "N/A", HYPERLINK(INDEX('File Links'!B:B, MATCH(V1548, 'File Links'!C:C, 0))))</f>
        <v>https://drive.google.com/file/d/1w8pcOEpgkXG4574TMp8vmQlQVMYXLL8c/view?usp=drivesdk</v>
      </c>
      <c r="Z1548" s="159" t="s">
        <v>226</v>
      </c>
      <c r="AA1548" s="159" t="s">
        <v>8930</v>
      </c>
      <c r="AB1548" s="159" t="s">
        <v>8931</v>
      </c>
      <c r="AC1548" s="159" t="s">
        <v>8932</v>
      </c>
      <c r="AD1548" s="159" t="s">
        <v>8933</v>
      </c>
      <c r="AE1548" s="156">
        <v>3.0</v>
      </c>
      <c r="AF1548" s="156">
        <v>704.0</v>
      </c>
      <c r="AG1548" s="159" t="s">
        <v>8934</v>
      </c>
      <c r="AH1548" s="159" t="s">
        <v>134</v>
      </c>
      <c r="AI1548" s="68"/>
      <c r="AJ1548" s="709">
        <v>0.05</v>
      </c>
      <c r="AK1548" s="57" t="s">
        <v>135</v>
      </c>
      <c r="AL1548" s="57" t="s">
        <v>186</v>
      </c>
      <c r="AM1548" s="1748" t="s">
        <v>137</v>
      </c>
      <c r="AN1548" s="61"/>
      <c r="AO1548" s="156">
        <v>3653.0</v>
      </c>
      <c r="AP1548" s="156">
        <v>-0.013</v>
      </c>
      <c r="AQ1548" s="159" t="s">
        <v>173</v>
      </c>
      <c r="AR1548" s="159" t="s">
        <v>507</v>
      </c>
      <c r="AS1548" s="156">
        <v>0.841</v>
      </c>
      <c r="AT1548" s="159" t="s">
        <v>172</v>
      </c>
      <c r="AU1548" s="159" t="s">
        <v>136</v>
      </c>
      <c r="AV1548" s="1748" t="s">
        <v>137</v>
      </c>
      <c r="AW1548" s="68"/>
      <c r="AX1548" s="1748" t="s">
        <v>143</v>
      </c>
      <c r="AY1548" s="61" t="str">
        <f>IFERROR(__xludf.DUMMYFUNCTION("vlookup(BB1548,importrange(""https://docs.google.com/spreadsheets/d/1d2vevQ_7D_v35q4wCQ4RpQ_IPoTwEMB9Yp6ymwlPqew/edit?gid=984458430#gid=984458430"", ""'replication success'!A:K""), 11, FAlSE)"),"failed")</f>
        <v>failed</v>
      </c>
      <c r="AZ1548" s="61" t="str">
        <f>IFERROR(__xludf.DUMMYFUNCTION("vlookup(BB1548,importrange(""https://docs.google.com/spreadsheets/d/1d2vevQ_7D_v35q4wCQ4RpQ_IPoTwEMB9Yp6ymwlPqew/edit?gid=984458430#gid=984458430"",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8" s="61" t="str">
        <f>IFERROR(__xludf.DUMMYFUNCTION("vlookup(BB1548,importrange(""https://docs.google.com/spreadsheets/d/1d2vevQ_7D_v35q4wCQ4RpQ_IPoTwEMB9Yp6ymwlPqew/edit?gid=984458430#gid=984458430"", ""'replication success'!A:M""), 13, FAlSE)"),"pg.3")</f>
        <v>pg.3</v>
      </c>
      <c r="BB1548" s="61" t="str">
        <f>IFERROR(__xludf.DUMMYFUNCTION("REGEXREPLACE(G1548, ""_[a-z]{1,2}$"", """")"),"Holzmeisteretal2024_19")</f>
        <v>Holzmeisteretal2024_19</v>
      </c>
      <c r="BD1548" s="188" t="s">
        <v>144</v>
      </c>
    </row>
    <row r="1549">
      <c r="A1549" s="44">
        <v>1549.0</v>
      </c>
      <c r="B1549" s="188" t="s">
        <v>152</v>
      </c>
      <c r="C1549" s="188" t="s">
        <v>115</v>
      </c>
      <c r="D1549" s="188" t="s">
        <v>1458</v>
      </c>
      <c r="E1549" s="189"/>
      <c r="F1549" s="190" t="s">
        <v>8935</v>
      </c>
      <c r="G1549" s="193" t="s">
        <v>8935</v>
      </c>
      <c r="H1549" s="198" t="s">
        <v>1518</v>
      </c>
      <c r="I1549" s="191">
        <v>45669.0</v>
      </c>
      <c r="J1549" s="1744">
        <v>45677.0</v>
      </c>
      <c r="K1549" s="993" t="s">
        <v>8936</v>
      </c>
      <c r="L1549" s="190"/>
      <c r="M1549" s="877" t="s">
        <v>8937</v>
      </c>
      <c r="N1549" s="1745" t="s">
        <v>8938</v>
      </c>
      <c r="O1549" s="758">
        <v>3.0</v>
      </c>
      <c r="P1549" s="977" t="str">
        <f> SUBSTITUTE(lower(N1549), "/", "--") &amp;  ".pdf"</f>
        <v>10.1073--pnas.1508932113.pdf</v>
      </c>
      <c r="Q1549" s="52" t="str">
        <f t="array" ref="Q1549"> if(iserror(MATCH(V1549, 'File Links'!C:C, 0)), "N/A", HYPERLINK(INDEX('File Links'!B:B, MATCH(P1549, 'File Links'!C:C, 0))))</f>
        <v>https://drive.google.com/file/d/1GUMHnYj_hycM2gMFNTbvEGwdonZHVaEU/view?usp=drivesdk</v>
      </c>
      <c r="R1549" s="195" t="s">
        <v>8939</v>
      </c>
      <c r="S1549" s="374" t="s">
        <v>8716</v>
      </c>
      <c r="T1549" s="877" t="s">
        <v>8717</v>
      </c>
      <c r="U1549" s="758">
        <v>1.0</v>
      </c>
      <c r="V1549" s="198" t="str">
        <f t="shared" si="113"/>
        <v>10.1038--s41562-024-02062-9.pdf</v>
      </c>
      <c r="W1549" s="198" t="s">
        <v>8940</v>
      </c>
      <c r="X1549" s="54" t="str">
        <f t="array" ref="X1549"> if(iserror(MATCH(V1549, 'File Links'!C:C, 0)), "N/A", HYPERLINK(INDEX('File Links'!B:B, MATCH(V1549, 'File Links'!C:C, 0))))</f>
        <v>https://drive.google.com/file/d/1w8pcOEpgkXG4574TMp8vmQlQVMYXLL8c/view?usp=drivesdk</v>
      </c>
      <c r="Z1549" s="198" t="s">
        <v>226</v>
      </c>
      <c r="AA1549" s="198" t="s">
        <v>8941</v>
      </c>
      <c r="AB1549" s="198" t="s">
        <v>8942</v>
      </c>
      <c r="AC1549" s="198" t="s">
        <v>8943</v>
      </c>
      <c r="AD1549" s="198" t="s">
        <v>8944</v>
      </c>
      <c r="AE1549" s="1753">
        <v>45748.0</v>
      </c>
      <c r="AF1549" s="758">
        <v>426.0</v>
      </c>
      <c r="AG1549" s="758">
        <v>1.751</v>
      </c>
      <c r="AH1549" s="198" t="s">
        <v>173</v>
      </c>
      <c r="AI1549" s="542"/>
      <c r="AJ1549" s="875">
        <v>1.0E-4</v>
      </c>
      <c r="AK1549" s="58" t="s">
        <v>135</v>
      </c>
      <c r="AL1549" s="58" t="s">
        <v>186</v>
      </c>
      <c r="AM1549" s="190" t="s">
        <v>137</v>
      </c>
      <c r="AN1549" s="374" t="s">
        <v>138</v>
      </c>
      <c r="AO1549" s="758">
        <v>450.0</v>
      </c>
      <c r="AP1549" s="758">
        <v>0.974</v>
      </c>
      <c r="AQ1549" s="198" t="s">
        <v>173</v>
      </c>
      <c r="AR1549" s="198" t="s">
        <v>2771</v>
      </c>
      <c r="AS1549" s="1754">
        <v>0.001</v>
      </c>
      <c r="AT1549" s="198" t="s">
        <v>135</v>
      </c>
      <c r="AU1549" s="198" t="s">
        <v>136</v>
      </c>
      <c r="AV1549" s="190" t="s">
        <v>137</v>
      </c>
      <c r="AW1549" s="877" t="s">
        <v>8945</v>
      </c>
      <c r="AX1549" s="190" t="s">
        <v>143</v>
      </c>
      <c r="AY1549" s="61" t="str">
        <f>IFERROR(__xludf.DUMMYFUNCTION("vlookup(BB1549,importrange(""https://docs.google.com/spreadsheets/d/1d2vevQ_7D_v35q4wCQ4RpQ_IPoTwEMB9Yp6ymwlPqew/edit?gid=984458430#gid=984458430"", ""'replication success'!A:K""), 11, FAlSE)"),"successful")</f>
        <v>successful</v>
      </c>
      <c r="AZ1549" s="61" t="str">
        <f>IFERROR(__xludf.DUMMYFUNCTION("vlookup(BB1549,importrange(""https://docs.google.com/spreadsheets/d/1d2vevQ_7D_v35q4wCQ4RpQ_IPoTwEMB9Yp6ymwlPqew/edit?gid=984458430#gid=984458430"",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49" s="61" t="str">
        <f>IFERROR(__xludf.DUMMYFUNCTION("vlookup(BB1549,importrange(""https://docs.google.com/spreadsheets/d/1d2vevQ_7D_v35q4wCQ4RpQ_IPoTwEMB9Yp6ymwlPqew/edit?gid=984458430#gid=984458430"", ""'replication success'!A:M""), 13, FAlSE)"),"pg.3")</f>
        <v>pg.3</v>
      </c>
      <c r="BB1549" s="61" t="str">
        <f>IFERROR(__xludf.DUMMYFUNCTION("REGEXREPLACE(G1549, ""_[a-z]{1,2}$"", """")"),"Holzmeisteretal2024_2")</f>
        <v>Holzmeisteretal2024_2</v>
      </c>
      <c r="BC1549" s="189"/>
      <c r="BD1549" s="188" t="s">
        <v>144</v>
      </c>
    </row>
    <row r="1550">
      <c r="A1550" s="44">
        <v>1550.0</v>
      </c>
      <c r="B1550" s="62" t="s">
        <v>114</v>
      </c>
      <c r="C1550" s="62" t="s">
        <v>115</v>
      </c>
      <c r="D1550" s="62" t="s">
        <v>1441</v>
      </c>
      <c r="F1550" s="68" t="s">
        <v>8935</v>
      </c>
      <c r="G1550" s="61" t="s">
        <v>8935</v>
      </c>
      <c r="H1550" s="159" t="s">
        <v>1444</v>
      </c>
      <c r="I1550" s="68"/>
      <c r="J1550" s="1744">
        <v>45677.0</v>
      </c>
      <c r="K1550" s="68"/>
      <c r="L1550" s="68"/>
      <c r="M1550" s="435" t="s">
        <v>8946</v>
      </c>
      <c r="N1550" s="1746" t="s">
        <v>8947</v>
      </c>
      <c r="O1550" s="68"/>
      <c r="P1550" s="1581" t="str">
        <f>SUBSTITUTE(LOWER(N1550), "/", "--") &amp;  ".pdf"</f>
        <v>10.1073--pnas.1508932113.pdf</v>
      </c>
      <c r="Q1550" s="52" t="str">
        <f t="array" ref="Q1550"> if(iserror(MATCH(V1550, 'File Links'!C:C, 0)), "N/A", HYPERLINK(INDEX('File Links'!B:B, MATCH(P1550, 'File Links'!C:C, 0))))</f>
        <v>https://drive.google.com/file/d/1GUMHnYj_hycM2gMFNTbvEGwdonZHVaEU/view?usp=drivesdk</v>
      </c>
      <c r="R1550" s="68" t="s">
        <v>8948</v>
      </c>
      <c r="S1550" s="129" t="s">
        <v>8716</v>
      </c>
      <c r="T1550" s="435" t="s">
        <v>8717</v>
      </c>
      <c r="U1550" s="159" t="s">
        <v>3586</v>
      </c>
      <c r="V1550" s="198" t="str">
        <f t="shared" si="113"/>
        <v>10.1038--s41562-024-02062-9.pdf</v>
      </c>
      <c r="W1550" s="159" t="s">
        <v>8729</v>
      </c>
      <c r="X1550" s="54" t="str">
        <f t="array" ref="X1550"> if(iserror(MATCH(V1550, 'File Links'!C:C, 0)), "N/A", HYPERLINK(INDEX('File Links'!B:B, MATCH(V1550, 'File Links'!C:C, 0))))</f>
        <v>https://drive.google.com/file/d/1w8pcOEpgkXG4574TMp8vmQlQVMYXLL8c/view?usp=drivesdk</v>
      </c>
      <c r="Z1550" s="159" t="s">
        <v>226</v>
      </c>
      <c r="AA1550" s="159" t="s">
        <v>8949</v>
      </c>
      <c r="AB1550" s="159" t="s">
        <v>8950</v>
      </c>
      <c r="AC1550" s="159" t="s">
        <v>8951</v>
      </c>
      <c r="AD1550" s="159" t="s">
        <v>8952</v>
      </c>
      <c r="AE1550" s="156">
        <v>4.0</v>
      </c>
      <c r="AF1550" s="156">
        <v>426.0</v>
      </c>
      <c r="AG1550" s="68" t="s">
        <v>8953</v>
      </c>
      <c r="AH1550" s="159" t="s">
        <v>134</v>
      </c>
      <c r="AI1550" s="68"/>
      <c r="AJ1550" s="709">
        <v>1.0E-4</v>
      </c>
      <c r="AK1550" s="61" t="s">
        <v>135</v>
      </c>
      <c r="AL1550" s="57" t="s">
        <v>186</v>
      </c>
      <c r="AM1550" s="68" t="s">
        <v>141</v>
      </c>
      <c r="AN1550" s="61"/>
      <c r="AO1550" s="156">
        <v>450.0</v>
      </c>
      <c r="AP1550" s="156">
        <v>0.974</v>
      </c>
      <c r="AQ1550" s="159" t="s">
        <v>173</v>
      </c>
      <c r="AR1550" s="159" t="s">
        <v>2771</v>
      </c>
      <c r="AS1550" s="336">
        <v>1.4E-22</v>
      </c>
      <c r="AT1550" s="68" t="s">
        <v>135</v>
      </c>
      <c r="AU1550" s="159" t="s">
        <v>136</v>
      </c>
      <c r="AV1550" s="68" t="s">
        <v>141</v>
      </c>
      <c r="AW1550" s="68"/>
      <c r="AX1550" s="68" t="s">
        <v>143</v>
      </c>
      <c r="AY1550" s="61" t="str">
        <f>IFERROR(__xludf.DUMMYFUNCTION("vlookup(BB1550,importrange(""https://docs.google.com/spreadsheets/d/1d2vevQ_7D_v35q4wCQ4RpQ_IPoTwEMB9Yp6ymwlPqew/edit?gid=984458430#gid=984458430"", ""'replication success'!A:K""), 11, FAlSE)"),"successful")</f>
        <v>successful</v>
      </c>
      <c r="AZ1550" s="61" t="str">
        <f>IFERROR(__xludf.DUMMYFUNCTION("vlookup(BB1550,importrange(""https://docs.google.com/spreadsheets/d/1d2vevQ_7D_v35q4wCQ4RpQ_IPoTwEMB9Yp6ymwlPqew/edit?gid=984458430#gid=984458430"",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0" s="61" t="str">
        <f>IFERROR(__xludf.DUMMYFUNCTION("vlookup(BB1550,importrange(""https://docs.google.com/spreadsheets/d/1d2vevQ_7D_v35q4wCQ4RpQ_IPoTwEMB9Yp6ymwlPqew/edit?gid=984458430#gid=984458430"", ""'replication success'!A:M""), 13, FAlSE)"),"pg.3")</f>
        <v>pg.3</v>
      </c>
      <c r="BB1550" s="61" t="str">
        <f>IFERROR(__xludf.DUMMYFUNCTION("REGEXREPLACE(G1550, ""_[a-z]{1,2}$"", """")"),"Holzmeisteretal2024_2")</f>
        <v>Holzmeisteretal2024_2</v>
      </c>
      <c r="BD1550" s="188" t="s">
        <v>144</v>
      </c>
    </row>
    <row r="1551">
      <c r="A1551" s="44">
        <v>1551.0</v>
      </c>
      <c r="B1551" s="188" t="s">
        <v>152</v>
      </c>
      <c r="C1551" s="188" t="s">
        <v>115</v>
      </c>
      <c r="D1551" s="188" t="s">
        <v>1458</v>
      </c>
      <c r="E1551" s="189"/>
      <c r="F1551" s="190" t="s">
        <v>8954</v>
      </c>
      <c r="G1551" s="193" t="s">
        <v>8954</v>
      </c>
      <c r="H1551" s="198" t="s">
        <v>1518</v>
      </c>
      <c r="I1551" s="191">
        <v>45670.0</v>
      </c>
      <c r="J1551" s="1744">
        <v>45677.0</v>
      </c>
      <c r="K1551" s="993" t="s">
        <v>8955</v>
      </c>
      <c r="L1551" s="190"/>
      <c r="M1551" s="877" t="s">
        <v>8956</v>
      </c>
      <c r="N1551" s="1755" t="s">
        <v>8957</v>
      </c>
      <c r="O1551" s="758">
        <v>6.0</v>
      </c>
      <c r="P1551" s="977" t="str">
        <f> SUBSTITUTE(lower(N1551), "/", "--") &amp;  ".pdf"</f>
        <v>10.1073--pnas.1606574113.pdf</v>
      </c>
      <c r="Q1551" s="52" t="str">
        <f t="array" ref="Q1551"> if(iserror(MATCH(V1551, 'File Links'!C:C, 0)), "N/A", HYPERLINK(INDEX('File Links'!B:B, MATCH(P1551, 'File Links'!C:C, 0))))</f>
        <v>https://drive.google.com/file/d/1OmM2z06gBM63n800JtLoY_5328h0Kj-q/view?usp=drivesdk</v>
      </c>
      <c r="R1551" s="195" t="s">
        <v>8958</v>
      </c>
      <c r="S1551" s="374" t="s">
        <v>8716</v>
      </c>
      <c r="T1551" s="877" t="s">
        <v>8717</v>
      </c>
      <c r="U1551" s="758">
        <v>1.0</v>
      </c>
      <c r="V1551" s="198" t="str">
        <f t="shared" si="113"/>
        <v>10.1038--s41562-024-02062-9.pdf</v>
      </c>
      <c r="W1551" s="198" t="s">
        <v>8959</v>
      </c>
      <c r="X1551" s="54" t="str">
        <f t="array" ref="X1551"> if(iserror(MATCH(V1551, 'File Links'!C:C, 0)), "N/A", HYPERLINK(INDEX('File Links'!B:B, MATCH(V1551, 'File Links'!C:C, 0))))</f>
        <v>https://drive.google.com/file/d/1w8pcOEpgkXG4574TMp8vmQlQVMYXLL8c/view?usp=drivesdk</v>
      </c>
      <c r="Z1551" s="198" t="s">
        <v>226</v>
      </c>
      <c r="AA1551" s="198" t="s">
        <v>8960</v>
      </c>
      <c r="AB1551" s="198" t="s">
        <v>8961</v>
      </c>
      <c r="AC1551" s="198" t="s">
        <v>8962</v>
      </c>
      <c r="AD1551" s="198" t="s">
        <v>8963</v>
      </c>
      <c r="AE1551" s="758">
        <v>3.0</v>
      </c>
      <c r="AF1551" s="758">
        <v>120.0</v>
      </c>
      <c r="AG1551" s="758">
        <v>0.32</v>
      </c>
      <c r="AH1551" s="198" t="s">
        <v>139</v>
      </c>
      <c r="AI1551" s="198" t="s">
        <v>8964</v>
      </c>
      <c r="AJ1551" s="875">
        <v>0.001</v>
      </c>
      <c r="AK1551" s="58" t="s">
        <v>135</v>
      </c>
      <c r="AL1551" s="58" t="s">
        <v>186</v>
      </c>
      <c r="AM1551" s="190" t="s">
        <v>141</v>
      </c>
      <c r="AN1551" s="374" t="s">
        <v>138</v>
      </c>
      <c r="AO1551" s="758">
        <v>132.0</v>
      </c>
      <c r="AP1551" s="758">
        <v>0.244</v>
      </c>
      <c r="AQ1551" s="198" t="s">
        <v>173</v>
      </c>
      <c r="AR1551" s="198" t="s">
        <v>507</v>
      </c>
      <c r="AS1551" s="758">
        <v>0.006</v>
      </c>
      <c r="AT1551" s="198" t="s">
        <v>172</v>
      </c>
      <c r="AU1551" s="198" t="s">
        <v>136</v>
      </c>
      <c r="AV1551" s="190" t="s">
        <v>141</v>
      </c>
      <c r="AW1551" s="877" t="s">
        <v>8965</v>
      </c>
      <c r="AX1551" s="190" t="s">
        <v>143</v>
      </c>
      <c r="AY1551" s="61" t="str">
        <f>IFERROR(__xludf.DUMMYFUNCTION("vlookup(BB1551,importrange(""https://docs.google.com/spreadsheets/d/1d2vevQ_7D_v35q4wCQ4RpQ_IPoTwEMB9Yp6ymwlPqew/edit?gid=984458430#gid=984458430"", ""'replication success'!A:K""), 11, FAlSE)"),"successful")</f>
        <v>successful</v>
      </c>
      <c r="AZ1551" s="61" t="str">
        <f>IFERROR(__xludf.DUMMYFUNCTION("vlookup(BB1551,importrange(""https://docs.google.com/spreadsheets/d/1d2vevQ_7D_v35q4wCQ4RpQ_IPoTwEMB9Yp6ymwlPqew/edit?gid=984458430#gid=984458430"",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1" s="61" t="str">
        <f>IFERROR(__xludf.DUMMYFUNCTION("vlookup(BB1551,importrange(""https://docs.google.com/spreadsheets/d/1d2vevQ_7D_v35q4wCQ4RpQ_IPoTwEMB9Yp6ymwlPqew/edit?gid=984458430#gid=984458430"", ""'replication success'!A:M""), 13, FAlSE)"),"pg.3")</f>
        <v>pg.3</v>
      </c>
      <c r="BB1551" s="61" t="str">
        <f>IFERROR(__xludf.DUMMYFUNCTION("REGEXREPLACE(G1551, ""_[a-z]{1,2}$"", """")"),"Holzmeisteretal2024_20")</f>
        <v>Holzmeisteretal2024_20</v>
      </c>
      <c r="BC1551" s="189"/>
      <c r="BD1551" s="188" t="s">
        <v>144</v>
      </c>
    </row>
    <row r="1552">
      <c r="A1552" s="44">
        <v>1552.0</v>
      </c>
      <c r="B1552" s="62" t="s">
        <v>114</v>
      </c>
      <c r="C1552" s="62" t="s">
        <v>115</v>
      </c>
      <c r="D1552" s="62" t="s">
        <v>1441</v>
      </c>
      <c r="F1552" s="68" t="s">
        <v>8954</v>
      </c>
      <c r="G1552" s="61" t="s">
        <v>8954</v>
      </c>
      <c r="H1552" s="159" t="s">
        <v>1444</v>
      </c>
      <c r="I1552" s="68"/>
      <c r="J1552" s="1744">
        <v>45677.0</v>
      </c>
      <c r="K1552" s="159" t="s">
        <v>8966</v>
      </c>
      <c r="L1552" s="68"/>
      <c r="M1552" s="435" t="s">
        <v>8967</v>
      </c>
      <c r="N1552" s="1756" t="s">
        <v>8968</v>
      </c>
      <c r="O1552" s="68"/>
      <c r="P1552" s="1581" t="str">
        <f>SUBSTITUTE(LOWER(N1552), "/", "--") &amp;  ".pdf"</f>
        <v>10.1073--pnas.1606574113.pdf</v>
      </c>
      <c r="Q1552" s="52" t="str">
        <f t="array" ref="Q1552"> if(iserror(MATCH(V1552, 'File Links'!C:C, 0)), "N/A", HYPERLINK(INDEX('File Links'!B:B, MATCH(P1552, 'File Links'!C:C, 0))))</f>
        <v>https://drive.google.com/file/d/1OmM2z06gBM63n800JtLoY_5328h0Kj-q/view?usp=drivesdk</v>
      </c>
      <c r="R1552" s="68" t="s">
        <v>8969</v>
      </c>
      <c r="S1552" s="129" t="s">
        <v>8716</v>
      </c>
      <c r="T1552" s="435" t="s">
        <v>8717</v>
      </c>
      <c r="U1552" s="156">
        <v>5.0</v>
      </c>
      <c r="V1552" s="198" t="str">
        <f t="shared" si="113"/>
        <v>10.1038--s41562-024-02062-9.pdf</v>
      </c>
      <c r="W1552" s="159" t="s">
        <v>8729</v>
      </c>
      <c r="X1552" s="54" t="str">
        <f t="array" ref="X1552"> if(iserror(MATCH(V1552, 'File Links'!C:C, 0)), "N/A", HYPERLINK(INDEX('File Links'!B:B, MATCH(V1552, 'File Links'!C:C, 0))))</f>
        <v>https://drive.google.com/file/d/1w8pcOEpgkXG4574TMp8vmQlQVMYXLL8c/view?usp=drivesdk</v>
      </c>
      <c r="Z1552" s="159" t="s">
        <v>210</v>
      </c>
      <c r="AA1552" s="159" t="s">
        <v>8970</v>
      </c>
      <c r="AB1552" s="159" t="s">
        <v>8971</v>
      </c>
      <c r="AC1552" s="159" t="s">
        <v>8972</v>
      </c>
      <c r="AD1552" s="159" t="s">
        <v>8973</v>
      </c>
      <c r="AE1552" s="159" t="s">
        <v>8973</v>
      </c>
      <c r="AF1552" s="156">
        <v>120.0</v>
      </c>
      <c r="AG1552" s="159" t="s">
        <v>8974</v>
      </c>
      <c r="AH1552" s="159" t="s">
        <v>134</v>
      </c>
      <c r="AI1552" s="68"/>
      <c r="AJ1552" s="709">
        <v>0.001</v>
      </c>
      <c r="AK1552" s="57" t="s">
        <v>135</v>
      </c>
      <c r="AL1552" s="57" t="s">
        <v>186</v>
      </c>
      <c r="AM1552" s="1748" t="s">
        <v>137</v>
      </c>
      <c r="AN1552" s="61"/>
      <c r="AO1552" s="156">
        <v>132.0</v>
      </c>
      <c r="AP1552" s="156">
        <v>0.244</v>
      </c>
      <c r="AQ1552" s="159" t="s">
        <v>173</v>
      </c>
      <c r="AR1552" s="159" t="s">
        <v>507</v>
      </c>
      <c r="AS1552" s="156">
        <v>0.006</v>
      </c>
      <c r="AT1552" s="159" t="s">
        <v>172</v>
      </c>
      <c r="AU1552" s="159" t="s">
        <v>136</v>
      </c>
      <c r="AV1552" s="1748" t="s">
        <v>137</v>
      </c>
      <c r="AW1552" s="68"/>
      <c r="AX1552" s="1748" t="s">
        <v>143</v>
      </c>
      <c r="AY1552" s="61" t="str">
        <f>IFERROR(__xludf.DUMMYFUNCTION("vlookup(BB1552,importrange(""https://docs.google.com/spreadsheets/d/1d2vevQ_7D_v35q4wCQ4RpQ_IPoTwEMB9Yp6ymwlPqew/edit?gid=984458430#gid=984458430"", ""'replication success'!A:K""), 11, FAlSE)"),"successful")</f>
        <v>successful</v>
      </c>
      <c r="AZ1552" s="61" t="str">
        <f>IFERROR(__xludf.DUMMYFUNCTION("vlookup(BB1552,importrange(""https://docs.google.com/spreadsheets/d/1d2vevQ_7D_v35q4wCQ4RpQ_IPoTwEMB9Yp6ymwlPqew/edit?gid=984458430#gid=984458430"",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2" s="61" t="str">
        <f>IFERROR(__xludf.DUMMYFUNCTION("vlookup(BB1552,importrange(""https://docs.google.com/spreadsheets/d/1d2vevQ_7D_v35q4wCQ4RpQ_IPoTwEMB9Yp6ymwlPqew/edit?gid=984458430#gid=984458430"", ""'replication success'!A:M""), 13, FAlSE)"),"pg.3")</f>
        <v>pg.3</v>
      </c>
      <c r="BB1552" s="61" t="str">
        <f>IFERROR(__xludf.DUMMYFUNCTION("REGEXREPLACE(G1552, ""_[a-z]{1,2}$"", """")"),"Holzmeisteretal2024_20")</f>
        <v>Holzmeisteretal2024_20</v>
      </c>
      <c r="BD1552" s="188" t="s">
        <v>144</v>
      </c>
    </row>
    <row r="1553">
      <c r="A1553" s="44">
        <v>1553.0</v>
      </c>
      <c r="B1553" s="188" t="s">
        <v>152</v>
      </c>
      <c r="C1553" s="188" t="s">
        <v>115</v>
      </c>
      <c r="D1553" s="188" t="s">
        <v>1458</v>
      </c>
      <c r="E1553" s="189"/>
      <c r="F1553" s="190" t="s">
        <v>8975</v>
      </c>
      <c r="G1553" s="193" t="s">
        <v>8975</v>
      </c>
      <c r="H1553" s="198" t="s">
        <v>1518</v>
      </c>
      <c r="I1553" s="191">
        <v>45670.0</v>
      </c>
      <c r="J1553" s="1744">
        <v>45677.0</v>
      </c>
      <c r="K1553" s="198" t="s">
        <v>8976</v>
      </c>
      <c r="L1553" s="190"/>
      <c r="M1553" s="877" t="s">
        <v>8977</v>
      </c>
      <c r="N1553" s="1745" t="s">
        <v>8978</v>
      </c>
      <c r="O1553" s="758">
        <v>3.0</v>
      </c>
      <c r="P1553" s="977" t="str">
        <f> SUBSTITUTE(lower(N1553), "/", "--") &amp;  ".pdf"</f>
        <v>10.1073--pnas.1607330114.pdf</v>
      </c>
      <c r="Q1553" s="52" t="str">
        <f t="array" ref="Q1553"> if(iserror(MATCH(V1553, 'File Links'!C:C, 0)), "N/A", HYPERLINK(INDEX('File Links'!B:B, MATCH(P1553, 'File Links'!C:C, 0))))</f>
        <v>https://drive.google.com/file/d/1c91FKEwUnH0eT_Uzixr-mWli2LJ6mmul/view?usp=drivesdk</v>
      </c>
      <c r="R1553" s="195" t="s">
        <v>8979</v>
      </c>
      <c r="S1553" s="374" t="s">
        <v>8716</v>
      </c>
      <c r="T1553" s="877" t="s">
        <v>8717</v>
      </c>
      <c r="U1553" s="758">
        <v>1.0</v>
      </c>
      <c r="V1553" s="198" t="str">
        <f t="shared" si="113"/>
        <v>10.1038--s41562-024-02062-9.pdf</v>
      </c>
      <c r="W1553" s="198" t="s">
        <v>8980</v>
      </c>
      <c r="X1553" s="54" t="str">
        <f t="array" ref="X1553"> if(iserror(MATCH(V1553, 'File Links'!C:C, 0)), "N/A", HYPERLINK(INDEX('File Links'!B:B, MATCH(V1553, 'File Links'!C:C, 0))))</f>
        <v>https://drive.google.com/file/d/1w8pcOEpgkXG4574TMp8vmQlQVMYXLL8c/view?usp=drivesdk</v>
      </c>
      <c r="Z1553" s="198" t="s">
        <v>226</v>
      </c>
      <c r="AA1553" s="198" t="s">
        <v>8981</v>
      </c>
      <c r="AB1553" s="198" t="s">
        <v>8982</v>
      </c>
      <c r="AC1553" s="198" t="s">
        <v>8983</v>
      </c>
      <c r="AD1553" s="198" t="s">
        <v>8984</v>
      </c>
      <c r="AE1553" s="758">
        <v>3.0</v>
      </c>
      <c r="AF1553" s="758">
        <v>167.0</v>
      </c>
      <c r="AG1553" s="758">
        <v>0.331</v>
      </c>
      <c r="AH1553" s="198" t="s">
        <v>173</v>
      </c>
      <c r="AI1553" s="190" t="str">
        <f>IF(ISBLANK(AI1546), 
   "=(" &amp; AI1544 &amp; "-" &amp; AI1548 &amp; ")/SQRT((" &amp; AI1545 &amp; "^2+" &amp; AI1549 &amp; "^2)/2)", 
   "=(" &amp; AI1544 &amp; "-" &amp; AI1548 &amp; ")/SQRT(((" &amp; AI1546 &amp; "-1)*" &amp; AI1545 &amp; "^2+(" &amp; AI1550 &amp; "-1)*" &amp; AI1549 &amp; "^2)/(" &amp; AI1546 &amp; "+" &amp; AI1550 &amp; "-2)))"
)
</f>
        <v>=(-)/SQRT((p.3^2+^2)/2)</v>
      </c>
      <c r="AJ1553" s="195"/>
      <c r="AK1553" s="374" t="s">
        <v>138</v>
      </c>
      <c r="AL1553" s="58" t="s">
        <v>186</v>
      </c>
      <c r="AM1553" s="190" t="s">
        <v>137</v>
      </c>
      <c r="AN1553" s="374" t="s">
        <v>138</v>
      </c>
      <c r="AO1553" s="758">
        <v>925.0</v>
      </c>
      <c r="AP1553" s="758">
        <v>-0.054</v>
      </c>
      <c r="AQ1553" s="198" t="s">
        <v>173</v>
      </c>
      <c r="AR1553" s="198" t="s">
        <v>507</v>
      </c>
      <c r="AS1553" s="758">
        <v>0.408</v>
      </c>
      <c r="AT1553" s="198" t="s">
        <v>172</v>
      </c>
      <c r="AU1553" s="198" t="s">
        <v>136</v>
      </c>
      <c r="AV1553" s="190" t="s">
        <v>137</v>
      </c>
      <c r="AW1553" s="877" t="s">
        <v>8985</v>
      </c>
      <c r="AX1553" s="190" t="s">
        <v>143</v>
      </c>
      <c r="AY1553" s="61" t="str">
        <f>IFERROR(__xludf.DUMMYFUNCTION("vlookup(BB1553,importrange(""https://docs.google.com/spreadsheets/d/1d2vevQ_7D_v35q4wCQ4RpQ_IPoTwEMB9Yp6ymwlPqew/edit?gid=984458430#gid=984458430"", ""'replication success'!A:K""), 11, FAlSE)"),"failed")</f>
        <v>failed</v>
      </c>
      <c r="AZ1553" s="61" t="str">
        <f>IFERROR(__xludf.DUMMYFUNCTION("vlookup(BB1553,importrange(""https://docs.google.com/spreadsheets/d/1d2vevQ_7D_v35q4wCQ4RpQ_IPoTwEMB9Yp6ymwlPqew/edit?gid=984458430#gid=984458430"",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3" s="61" t="str">
        <f>IFERROR(__xludf.DUMMYFUNCTION("vlookup(BB1553,importrange(""https://docs.google.com/spreadsheets/d/1d2vevQ_7D_v35q4wCQ4RpQ_IPoTwEMB9Yp6ymwlPqew/edit?gid=984458430#gid=984458430"", ""'replication success'!A:M""), 13, FAlSE)"),"pg.3")</f>
        <v>pg.3</v>
      </c>
      <c r="BB1553" s="61" t="str">
        <f>IFERROR(__xludf.DUMMYFUNCTION("REGEXREPLACE(G1553, ""_[a-z]{1,2}$"", """")"),"Holzmeisteretal2024_21")</f>
        <v>Holzmeisteretal2024_21</v>
      </c>
      <c r="BC1553" s="189"/>
      <c r="BD1553" s="188" t="s">
        <v>144</v>
      </c>
    </row>
    <row r="1554">
      <c r="A1554" s="44">
        <v>1554.0</v>
      </c>
      <c r="B1554" s="62" t="s">
        <v>114</v>
      </c>
      <c r="C1554" s="62" t="s">
        <v>115</v>
      </c>
      <c r="D1554" s="62" t="s">
        <v>1441</v>
      </c>
      <c r="F1554" s="68" t="s">
        <v>8975</v>
      </c>
      <c r="G1554" s="61" t="s">
        <v>8975</v>
      </c>
      <c r="H1554" s="159" t="s">
        <v>1444</v>
      </c>
      <c r="I1554" s="68"/>
      <c r="J1554" s="1744">
        <v>45677.0</v>
      </c>
      <c r="K1554" s="159" t="s">
        <v>8986</v>
      </c>
      <c r="L1554" s="68"/>
      <c r="M1554" s="435" t="s">
        <v>8987</v>
      </c>
      <c r="N1554" s="1746" t="s">
        <v>8988</v>
      </c>
      <c r="O1554" s="68"/>
      <c r="P1554" s="1581" t="str">
        <f>SUBSTITUTE(LOWER(N1554), "/", "--") &amp;  ".pdf"</f>
        <v>10.1073--pnas.1607330114.pdf</v>
      </c>
      <c r="Q1554" s="52" t="str">
        <f t="array" ref="Q1554"> if(iserror(MATCH(V1554, 'File Links'!C:C, 0)), "N/A", HYPERLINK(INDEX('File Links'!B:B, MATCH(P1554, 'File Links'!C:C, 0))))</f>
        <v>https://drive.google.com/file/d/1c91FKEwUnH0eT_Uzixr-mWli2LJ6mmul/view?usp=drivesdk</v>
      </c>
      <c r="R1554" s="68" t="s">
        <v>8989</v>
      </c>
      <c r="S1554" s="129" t="s">
        <v>8716</v>
      </c>
      <c r="T1554" s="435" t="s">
        <v>8717</v>
      </c>
      <c r="U1554" s="156">
        <v>3.0</v>
      </c>
      <c r="V1554" s="198" t="str">
        <f t="shared" si="113"/>
        <v>10.1038--s41562-024-02062-9.pdf</v>
      </c>
      <c r="W1554" s="159" t="s">
        <v>8729</v>
      </c>
      <c r="X1554" s="54" t="str">
        <f t="array" ref="X1554"> if(iserror(MATCH(V1554, 'File Links'!C:C, 0)), "N/A", HYPERLINK(INDEX('File Links'!B:B, MATCH(V1554, 'File Links'!C:C, 0))))</f>
        <v>https://drive.google.com/file/d/1w8pcOEpgkXG4574TMp8vmQlQVMYXLL8c/view?usp=drivesdk</v>
      </c>
      <c r="Z1554" s="159" t="s">
        <v>226</v>
      </c>
      <c r="AA1554" s="159" t="s">
        <v>8990</v>
      </c>
      <c r="AB1554" s="159" t="s">
        <v>8991</v>
      </c>
      <c r="AC1554" s="159" t="s">
        <v>8992</v>
      </c>
      <c r="AD1554" s="159" t="s">
        <v>8993</v>
      </c>
      <c r="AE1554" s="156">
        <v>3.0</v>
      </c>
      <c r="AF1554" s="156">
        <v>167.0</v>
      </c>
      <c r="AG1554" s="159" t="s">
        <v>8994</v>
      </c>
      <c r="AH1554" s="159" t="s">
        <v>134</v>
      </c>
      <c r="AI1554" s="68"/>
      <c r="AJ1554" s="709">
        <v>0.04</v>
      </c>
      <c r="AK1554" s="57" t="s">
        <v>172</v>
      </c>
      <c r="AL1554" s="57" t="s">
        <v>186</v>
      </c>
      <c r="AM1554" s="1748" t="s">
        <v>137</v>
      </c>
      <c r="AN1554" s="61"/>
      <c r="AO1554" s="156">
        <v>925.0</v>
      </c>
      <c r="AP1554" s="156">
        <v>-0.054</v>
      </c>
      <c r="AQ1554" s="159" t="s">
        <v>173</v>
      </c>
      <c r="AR1554" s="159" t="s">
        <v>507</v>
      </c>
      <c r="AS1554" s="156">
        <v>0.408</v>
      </c>
      <c r="AT1554" s="159" t="s">
        <v>172</v>
      </c>
      <c r="AU1554" s="159" t="s">
        <v>136</v>
      </c>
      <c r="AV1554" s="1748" t="s">
        <v>137</v>
      </c>
      <c r="AW1554" s="68"/>
      <c r="AX1554" s="1748" t="s">
        <v>143</v>
      </c>
      <c r="AY1554" s="61" t="str">
        <f>IFERROR(__xludf.DUMMYFUNCTION("vlookup(BB1554,importrange(""https://docs.google.com/spreadsheets/d/1d2vevQ_7D_v35q4wCQ4RpQ_IPoTwEMB9Yp6ymwlPqew/edit?gid=984458430#gid=984458430"", ""'replication success'!A:K""), 11, FAlSE)"),"failed")</f>
        <v>failed</v>
      </c>
      <c r="AZ1554" s="61" t="str">
        <f>IFERROR(__xludf.DUMMYFUNCTION("vlookup(BB1554,importrange(""https://docs.google.com/spreadsheets/d/1d2vevQ_7D_v35q4wCQ4RpQ_IPoTwEMB9Yp6ymwlPqew/edit?gid=984458430#gid=984458430"",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4" s="61" t="str">
        <f>IFERROR(__xludf.DUMMYFUNCTION("vlookup(BB1554,importrange(""https://docs.google.com/spreadsheets/d/1d2vevQ_7D_v35q4wCQ4RpQ_IPoTwEMB9Yp6ymwlPqew/edit?gid=984458430#gid=984458430"", ""'replication success'!A:M""), 13, FAlSE)"),"pg.3")</f>
        <v>pg.3</v>
      </c>
      <c r="BB1554" s="61" t="str">
        <f>IFERROR(__xludf.DUMMYFUNCTION("REGEXREPLACE(G1554, ""_[a-z]{1,2}$"", """")"),"Holzmeisteretal2024_21")</f>
        <v>Holzmeisteretal2024_21</v>
      </c>
      <c r="BD1554" s="188" t="s">
        <v>144</v>
      </c>
    </row>
    <row r="1555">
      <c r="A1555" s="44">
        <v>1555.0</v>
      </c>
      <c r="B1555" s="188" t="s">
        <v>152</v>
      </c>
      <c r="C1555" s="188" t="s">
        <v>115</v>
      </c>
      <c r="D1555" s="188" t="s">
        <v>1458</v>
      </c>
      <c r="E1555" s="189"/>
      <c r="F1555" s="190" t="s">
        <v>8995</v>
      </c>
      <c r="G1555" s="193" t="s">
        <v>8995</v>
      </c>
      <c r="H1555" s="198" t="s">
        <v>1518</v>
      </c>
      <c r="I1555" s="191">
        <v>45670.0</v>
      </c>
      <c r="J1555" s="1744">
        <v>45677.0</v>
      </c>
      <c r="K1555" s="198" t="s">
        <v>8996</v>
      </c>
      <c r="L1555" s="190"/>
      <c r="M1555" s="877" t="s">
        <v>8997</v>
      </c>
      <c r="N1555" s="1745" t="s">
        <v>8998</v>
      </c>
      <c r="O1555" s="758">
        <v>2.0</v>
      </c>
      <c r="P1555" s="977" t="str">
        <f> SUBSTITUTE(lower(N1555), "/", "--") &amp;  ".pdf"</f>
        <v>10.1073--pnas.1616921114.pdf</v>
      </c>
      <c r="Q1555" s="52" t="str">
        <f t="array" ref="Q1555"> if(iserror(MATCH(V1555, 'File Links'!C:C, 0)), "N/A", HYPERLINK(INDEX('File Links'!B:B, MATCH(P1555, 'File Links'!C:C, 0))))</f>
        <v>https://drive.google.com/file/d/1n0koQ1yLwfPYdmBREVehxKIdhjOoUZSg/view?usp=drivesdk</v>
      </c>
      <c r="R1555" s="195" t="s">
        <v>8999</v>
      </c>
      <c r="S1555" s="374" t="s">
        <v>8716</v>
      </c>
      <c r="T1555" s="877" t="s">
        <v>8717</v>
      </c>
      <c r="U1555" s="758">
        <v>1.0</v>
      </c>
      <c r="V1555" s="198" t="str">
        <f t="shared" si="113"/>
        <v>10.1038--s41562-024-02062-9.pdf</v>
      </c>
      <c r="W1555" s="198" t="s">
        <v>9000</v>
      </c>
      <c r="X1555" s="54" t="str">
        <f t="array" ref="X1555"> if(iserror(MATCH(V1555, 'File Links'!C:C, 0)), "N/A", HYPERLINK(INDEX('File Links'!B:B, MATCH(V1555, 'File Links'!C:C, 0))))</f>
        <v>https://drive.google.com/file/d/1w8pcOEpgkXG4574TMp8vmQlQVMYXLL8c/view?usp=drivesdk</v>
      </c>
      <c r="Z1555" s="198" t="s">
        <v>1809</v>
      </c>
      <c r="AA1555" s="198" t="s">
        <v>9001</v>
      </c>
      <c r="AB1555" s="198" t="s">
        <v>9002</v>
      </c>
      <c r="AC1555" s="198" t="s">
        <v>9003</v>
      </c>
      <c r="AD1555" s="198" t="s">
        <v>9004</v>
      </c>
      <c r="AE1555" s="758">
        <v>5.0</v>
      </c>
      <c r="AF1555" s="1752">
        <v>519.0</v>
      </c>
      <c r="AG1555" s="1752">
        <v>0.204</v>
      </c>
      <c r="AH1555" s="1290" t="s">
        <v>173</v>
      </c>
      <c r="AI1555" s="542"/>
      <c r="AJ1555" s="875">
        <v>0.021</v>
      </c>
      <c r="AK1555" s="58" t="s">
        <v>172</v>
      </c>
      <c r="AL1555" s="58" t="s">
        <v>186</v>
      </c>
      <c r="AM1555" s="190" t="s">
        <v>137</v>
      </c>
      <c r="AN1555" s="374" t="s">
        <v>138</v>
      </c>
      <c r="AO1555" s="758">
        <v>2441.0</v>
      </c>
      <c r="AP1555" s="758">
        <v>0.104</v>
      </c>
      <c r="AQ1555" s="198" t="s">
        <v>173</v>
      </c>
      <c r="AR1555" s="198" t="s">
        <v>2771</v>
      </c>
      <c r="AS1555" s="758">
        <v>0.01</v>
      </c>
      <c r="AT1555" s="198" t="s">
        <v>172</v>
      </c>
      <c r="AU1555" s="198" t="s">
        <v>136</v>
      </c>
      <c r="AV1555" s="190" t="s">
        <v>137</v>
      </c>
      <c r="AW1555" s="877" t="s">
        <v>9005</v>
      </c>
      <c r="AX1555" s="190" t="s">
        <v>143</v>
      </c>
      <c r="AY1555" s="61" t="str">
        <f>IFERROR(__xludf.DUMMYFUNCTION("vlookup(BB1555,importrange(""https://docs.google.com/spreadsheets/d/1d2vevQ_7D_v35q4wCQ4RpQ_IPoTwEMB9Yp6ymwlPqew/edit?gid=984458430#gid=984458430"", ""'replication success'!A:K""), 11, FAlSE)"),"successful")</f>
        <v>successful</v>
      </c>
      <c r="AZ1555" s="61" t="str">
        <f>IFERROR(__xludf.DUMMYFUNCTION("vlookup(BB1555,importrange(""https://docs.google.com/spreadsheets/d/1d2vevQ_7D_v35q4wCQ4RpQ_IPoTwEMB9Yp6ymwlPqew/edit?gid=984458430#gid=984458430"",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5" s="61" t="str">
        <f>IFERROR(__xludf.DUMMYFUNCTION("vlookup(BB1555,importrange(""https://docs.google.com/spreadsheets/d/1d2vevQ_7D_v35q4wCQ4RpQ_IPoTwEMB9Yp6ymwlPqew/edit?gid=984458430#gid=984458430"", ""'replication success'!A:M""), 13, FAlSE)"),"pg.3")</f>
        <v>pg.3</v>
      </c>
      <c r="BB1555" s="61" t="str">
        <f>IFERROR(__xludf.DUMMYFUNCTION("REGEXREPLACE(G1555, ""_[a-z]{1,2}$"", """")"),"Holzmeisteretal2024_22")</f>
        <v>Holzmeisteretal2024_22</v>
      </c>
      <c r="BC1555" s="189"/>
      <c r="BD1555" s="188" t="s">
        <v>144</v>
      </c>
    </row>
    <row r="1556">
      <c r="A1556" s="44">
        <v>1556.0</v>
      </c>
      <c r="B1556" s="62" t="s">
        <v>114</v>
      </c>
      <c r="C1556" s="62" t="s">
        <v>115</v>
      </c>
      <c r="D1556" s="62" t="s">
        <v>1441</v>
      </c>
      <c r="F1556" s="68" t="s">
        <v>8995</v>
      </c>
      <c r="G1556" s="61" t="s">
        <v>8995</v>
      </c>
      <c r="H1556" s="159" t="s">
        <v>1444</v>
      </c>
      <c r="I1556" s="68"/>
      <c r="J1556" s="1744">
        <v>45677.0</v>
      </c>
      <c r="K1556" s="159" t="s">
        <v>9006</v>
      </c>
      <c r="L1556" s="68"/>
      <c r="M1556" s="435" t="s">
        <v>9007</v>
      </c>
      <c r="N1556" s="1746" t="s">
        <v>9008</v>
      </c>
      <c r="O1556" s="68"/>
      <c r="P1556" s="1581" t="str">
        <f>SUBSTITUTE(LOWER(N1556), "/", "--") &amp;  ".pdf"</f>
        <v>10.1073--pnas.1616921114.pdf</v>
      </c>
      <c r="Q1556" s="52" t="str">
        <f t="array" ref="Q1556"> if(iserror(MATCH(V1556, 'File Links'!C:C, 0)), "N/A", HYPERLINK(INDEX('File Links'!B:B, MATCH(P1556, 'File Links'!C:C, 0))))</f>
        <v>https://drive.google.com/file/d/1n0koQ1yLwfPYdmBREVehxKIdhjOoUZSg/view?usp=drivesdk</v>
      </c>
      <c r="R1556" s="68" t="s">
        <v>9009</v>
      </c>
      <c r="S1556" s="374" t="s">
        <v>8716</v>
      </c>
      <c r="T1556" s="435" t="s">
        <v>8717</v>
      </c>
      <c r="U1556" s="68"/>
      <c r="V1556" s="198" t="str">
        <f t="shared" si="113"/>
        <v>10.1038--s41562-024-02062-9.pdf</v>
      </c>
      <c r="W1556" s="159" t="s">
        <v>8729</v>
      </c>
      <c r="X1556" s="54" t="str">
        <f t="array" ref="X1556"> if(iserror(MATCH(V1556, 'File Links'!C:C, 0)), "N/A", HYPERLINK(INDEX('File Links'!B:B, MATCH(V1556, 'File Links'!C:C, 0))))</f>
        <v>https://drive.google.com/file/d/1w8pcOEpgkXG4574TMp8vmQlQVMYXLL8c/view?usp=drivesdk</v>
      </c>
      <c r="Z1556" s="159" t="s">
        <v>210</v>
      </c>
      <c r="AA1556" s="159" t="s">
        <v>9010</v>
      </c>
      <c r="AB1556" s="159" t="s">
        <v>9011</v>
      </c>
      <c r="AC1556" s="159" t="s">
        <v>9012</v>
      </c>
      <c r="AD1556" s="159" t="s">
        <v>9013</v>
      </c>
      <c r="AE1556" s="156">
        <v>5.0</v>
      </c>
      <c r="AF1556" s="156">
        <v>519.0</v>
      </c>
      <c r="AG1556" s="156">
        <v>0.204</v>
      </c>
      <c r="AH1556" s="159" t="s">
        <v>173</v>
      </c>
      <c r="AI1556" s="68"/>
      <c r="AJ1556" s="709">
        <v>0.02</v>
      </c>
      <c r="AK1556" s="57" t="s">
        <v>172</v>
      </c>
      <c r="AL1556" s="57" t="s">
        <v>136</v>
      </c>
      <c r="AM1556" s="1748" t="s">
        <v>137</v>
      </c>
      <c r="AN1556" s="61"/>
      <c r="AO1556" s="156">
        <v>2441.0</v>
      </c>
      <c r="AP1556" s="156">
        <v>0.104</v>
      </c>
      <c r="AQ1556" s="159" t="s">
        <v>173</v>
      </c>
      <c r="AR1556" s="159" t="s">
        <v>2771</v>
      </c>
      <c r="AS1556" s="156">
        <v>0.01</v>
      </c>
      <c r="AT1556" s="159" t="s">
        <v>172</v>
      </c>
      <c r="AU1556" s="159" t="s">
        <v>136</v>
      </c>
      <c r="AV1556" s="1748" t="s">
        <v>137</v>
      </c>
      <c r="AW1556" s="68"/>
      <c r="AX1556" s="1748" t="s">
        <v>143</v>
      </c>
      <c r="AY1556" s="61" t="str">
        <f>IFERROR(__xludf.DUMMYFUNCTION("vlookup(BB1556,importrange(""https://docs.google.com/spreadsheets/d/1d2vevQ_7D_v35q4wCQ4RpQ_IPoTwEMB9Yp6ymwlPqew/edit?gid=984458430#gid=984458430"", ""'replication success'!A:K""), 11, FAlSE)"),"successful")</f>
        <v>successful</v>
      </c>
      <c r="AZ1556" s="61" t="str">
        <f>IFERROR(__xludf.DUMMYFUNCTION("vlookup(BB1556,importrange(""https://docs.google.com/spreadsheets/d/1d2vevQ_7D_v35q4wCQ4RpQ_IPoTwEMB9Yp6ymwlPqew/edit?gid=984458430#gid=984458430"",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6" s="61" t="str">
        <f>IFERROR(__xludf.DUMMYFUNCTION("vlookup(BB1556,importrange(""https://docs.google.com/spreadsheets/d/1d2vevQ_7D_v35q4wCQ4RpQ_IPoTwEMB9Yp6ymwlPqew/edit?gid=984458430#gid=984458430"", ""'replication success'!A:M""), 13, FAlSE)"),"pg.3")</f>
        <v>pg.3</v>
      </c>
      <c r="BB1556" s="61" t="str">
        <f>IFERROR(__xludf.DUMMYFUNCTION("REGEXREPLACE(G1556, ""_[a-z]{1,2}$"", """")"),"Holzmeisteretal2024_22")</f>
        <v>Holzmeisteretal2024_22</v>
      </c>
      <c r="BD1556" s="188" t="s">
        <v>144</v>
      </c>
    </row>
    <row r="1557">
      <c r="A1557" s="44">
        <v>1557.0</v>
      </c>
      <c r="B1557" s="188" t="s">
        <v>152</v>
      </c>
      <c r="C1557" s="188" t="s">
        <v>115</v>
      </c>
      <c r="D1557" s="188" t="s">
        <v>1458</v>
      </c>
      <c r="E1557" s="189"/>
      <c r="F1557" s="190" t="s">
        <v>9014</v>
      </c>
      <c r="G1557" s="193" t="s">
        <v>9014</v>
      </c>
      <c r="H1557" s="198" t="s">
        <v>1518</v>
      </c>
      <c r="I1557" s="191">
        <v>45670.0</v>
      </c>
      <c r="J1557" s="1744">
        <v>45677.0</v>
      </c>
      <c r="K1557" s="993" t="s">
        <v>9015</v>
      </c>
      <c r="L1557" s="190"/>
      <c r="M1557" s="877" t="s">
        <v>9016</v>
      </c>
      <c r="N1557" s="1745" t="s">
        <v>9017</v>
      </c>
      <c r="O1557" s="758">
        <v>6.0</v>
      </c>
      <c r="P1557" s="977" t="str">
        <f> SUBSTITUTE(lower(N1557), "/", "--") &amp;  ".pdf"</f>
        <v>10.1073--pnas.1717092115.pdf</v>
      </c>
      <c r="Q1557" s="52" t="str">
        <f t="array" ref="Q1557"> if(iserror(MATCH(V1557, 'File Links'!C:C, 0)), "N/A", HYPERLINK(INDEX('File Links'!B:B, MATCH(P1557, 'File Links'!C:C, 0))))</f>
        <v>https://drive.google.com/file/d/1X_8gLoQL8UM8XESII7U1_3XXVMeR9N2z/view?usp=drivesdk</v>
      </c>
      <c r="R1557" s="195" t="s">
        <v>9018</v>
      </c>
      <c r="S1557" s="374" t="s">
        <v>8716</v>
      </c>
      <c r="T1557" s="877" t="s">
        <v>8717</v>
      </c>
      <c r="U1557" s="758">
        <v>1.0</v>
      </c>
      <c r="V1557" s="198" t="str">
        <f t="shared" si="113"/>
        <v>10.1038--s41562-024-02062-9.pdf</v>
      </c>
      <c r="W1557" s="198" t="s">
        <v>9019</v>
      </c>
      <c r="X1557" s="54" t="str">
        <f t="array" ref="X1557"> if(iserror(MATCH(V1557, 'File Links'!C:C, 0)), "N/A", HYPERLINK(INDEX('File Links'!B:B, MATCH(V1557, 'File Links'!C:C, 0))))</f>
        <v>https://drive.google.com/file/d/1w8pcOEpgkXG4574TMp8vmQlQVMYXLL8c/view?usp=drivesdk</v>
      </c>
      <c r="Z1557" s="198" t="s">
        <v>148</v>
      </c>
      <c r="AA1557" s="198" t="s">
        <v>9020</v>
      </c>
      <c r="AB1557" s="198" t="s">
        <v>9021</v>
      </c>
      <c r="AC1557" s="198" t="s">
        <v>9022</v>
      </c>
      <c r="AD1557" s="198" t="s">
        <v>9023</v>
      </c>
      <c r="AE1557" s="758">
        <v>3.0</v>
      </c>
      <c r="AF1557" s="758">
        <v>370.0</v>
      </c>
      <c r="AG1557" s="198" t="s">
        <v>9024</v>
      </c>
      <c r="AH1557" s="198" t="s">
        <v>134</v>
      </c>
      <c r="AI1557" s="198" t="s">
        <v>9025</v>
      </c>
      <c r="AJ1557" s="875">
        <v>0.001</v>
      </c>
      <c r="AK1557" s="58" t="s">
        <v>135</v>
      </c>
      <c r="AL1557" s="58" t="s">
        <v>186</v>
      </c>
      <c r="AM1557" s="190" t="s">
        <v>137</v>
      </c>
      <c r="AN1557" s="375" t="s">
        <v>9026</v>
      </c>
      <c r="AO1557" s="758">
        <v>291.0</v>
      </c>
      <c r="AP1557" s="758">
        <v>0.829</v>
      </c>
      <c r="AQ1557" s="198" t="s">
        <v>173</v>
      </c>
      <c r="AR1557" s="198" t="s">
        <v>507</v>
      </c>
      <c r="AS1557" s="758">
        <v>0.001</v>
      </c>
      <c r="AT1557" s="198" t="s">
        <v>135</v>
      </c>
      <c r="AU1557" s="198" t="s">
        <v>136</v>
      </c>
      <c r="AV1557" s="190" t="s">
        <v>137</v>
      </c>
      <c r="AW1557" s="877" t="s">
        <v>9027</v>
      </c>
      <c r="AX1557" s="190" t="s">
        <v>143</v>
      </c>
      <c r="AY1557" s="61" t="str">
        <f>IFERROR(__xludf.DUMMYFUNCTION("vlookup(BB1557,importrange(""https://docs.google.com/spreadsheets/d/1d2vevQ_7D_v35q4wCQ4RpQ_IPoTwEMB9Yp6ymwlPqew/edit?gid=984458430#gid=984458430"", ""'replication success'!A:K""), 11, FAlSE)"),"successful")</f>
        <v>successful</v>
      </c>
      <c r="AZ1557" s="61" t="str">
        <f>IFERROR(__xludf.DUMMYFUNCTION("vlookup(BB1557,importrange(""https://docs.google.com/spreadsheets/d/1d2vevQ_7D_v35q4wCQ4RpQ_IPoTwEMB9Yp6ymwlPqew/edit?gid=984458430#gid=984458430"",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7" s="61" t="str">
        <f>IFERROR(__xludf.DUMMYFUNCTION("vlookup(BB1557,importrange(""https://docs.google.com/spreadsheets/d/1d2vevQ_7D_v35q4wCQ4RpQ_IPoTwEMB9Yp6ymwlPqew/edit?gid=984458430#gid=984458430"", ""'replication success'!A:M""), 13, FAlSE)"),"pg.3")</f>
        <v>pg.3</v>
      </c>
      <c r="BB1557" s="61" t="str">
        <f>IFERROR(__xludf.DUMMYFUNCTION("REGEXREPLACE(G1557, ""_[a-z]{1,2}$"", """")"),"Holzmeisteretal2024_23")</f>
        <v>Holzmeisteretal2024_23</v>
      </c>
      <c r="BC1557" s="189"/>
      <c r="BD1557" s="188" t="s">
        <v>144</v>
      </c>
    </row>
    <row r="1558">
      <c r="A1558" s="44">
        <v>1558.0</v>
      </c>
      <c r="B1558" s="62" t="s">
        <v>114</v>
      </c>
      <c r="C1558" s="62" t="s">
        <v>115</v>
      </c>
      <c r="D1558" s="62" t="s">
        <v>1441</v>
      </c>
      <c r="F1558" s="68" t="s">
        <v>9014</v>
      </c>
      <c r="G1558" s="61" t="s">
        <v>9014</v>
      </c>
      <c r="H1558" s="159" t="s">
        <v>1444</v>
      </c>
      <c r="I1558" s="68"/>
      <c r="J1558" s="1744">
        <v>45677.0</v>
      </c>
      <c r="K1558" s="68"/>
      <c r="L1558" s="68"/>
      <c r="M1558" s="435" t="s">
        <v>9028</v>
      </c>
      <c r="N1558" s="1746" t="s">
        <v>9029</v>
      </c>
      <c r="O1558" s="68"/>
      <c r="P1558" s="1581" t="str">
        <f>SUBSTITUTE(LOWER(N1558), "/", "--") &amp;  ".pdf"</f>
        <v>10.1073--pnas.1717092115.pdf</v>
      </c>
      <c r="Q1558" s="52" t="str">
        <f t="array" ref="Q1558"> if(iserror(MATCH(V1558, 'File Links'!C:C, 0)), "N/A", HYPERLINK(INDEX('File Links'!B:B, MATCH(P1558, 'File Links'!C:C, 0))))</f>
        <v>https://drive.google.com/file/d/1X_8gLoQL8UM8XESII7U1_3XXVMeR9N2z/view?usp=drivesdk</v>
      </c>
      <c r="R1558" s="68" t="s">
        <v>9030</v>
      </c>
      <c r="S1558" s="374" t="s">
        <v>8716</v>
      </c>
      <c r="T1558" s="435" t="s">
        <v>8717</v>
      </c>
      <c r="U1558" s="156">
        <v>4.0</v>
      </c>
      <c r="V1558" s="198" t="str">
        <f t="shared" si="113"/>
        <v>10.1038--s41562-024-02062-9.pdf</v>
      </c>
      <c r="W1558" s="159" t="s">
        <v>8729</v>
      </c>
      <c r="X1558" s="54" t="str">
        <f t="array" ref="X1558"> if(iserror(MATCH(V1558, 'File Links'!C:C, 0)), "N/A", HYPERLINK(INDEX('File Links'!B:B, MATCH(V1558, 'File Links'!C:C, 0))))</f>
        <v>https://drive.google.com/file/d/1w8pcOEpgkXG4574TMp8vmQlQVMYXLL8c/view?usp=drivesdk</v>
      </c>
      <c r="Z1558" s="159" t="s">
        <v>148</v>
      </c>
      <c r="AA1558" s="159" t="s">
        <v>9031</v>
      </c>
      <c r="AB1558" s="159" t="s">
        <v>9032</v>
      </c>
      <c r="AC1558" s="159" t="s">
        <v>9033</v>
      </c>
      <c r="AD1558" s="159" t="s">
        <v>9034</v>
      </c>
      <c r="AE1558" s="159" t="s">
        <v>9035</v>
      </c>
      <c r="AF1558" s="156">
        <v>260.0</v>
      </c>
      <c r="AG1558" s="159" t="s">
        <v>9036</v>
      </c>
      <c r="AH1558" s="159" t="s">
        <v>134</v>
      </c>
      <c r="AI1558" s="68"/>
      <c r="AJ1558" s="709">
        <v>0.001</v>
      </c>
      <c r="AK1558" s="57" t="s">
        <v>135</v>
      </c>
      <c r="AL1558" s="57" t="s">
        <v>186</v>
      </c>
      <c r="AM1558" s="1748" t="s">
        <v>141</v>
      </c>
      <c r="AN1558" s="61"/>
      <c r="AO1558" s="156">
        <v>291.0</v>
      </c>
      <c r="AP1558" s="156">
        <v>0.829</v>
      </c>
      <c r="AQ1558" s="159" t="s">
        <v>173</v>
      </c>
      <c r="AR1558" s="159" t="s">
        <v>507</v>
      </c>
      <c r="AS1558" s="1749">
        <v>5.7E-11</v>
      </c>
      <c r="AT1558" s="159" t="s">
        <v>172</v>
      </c>
      <c r="AU1558" s="159" t="s">
        <v>136</v>
      </c>
      <c r="AV1558" s="1748" t="s">
        <v>141</v>
      </c>
      <c r="AW1558" s="68"/>
      <c r="AX1558" s="1748" t="s">
        <v>143</v>
      </c>
      <c r="AY1558" s="61" t="str">
        <f>IFERROR(__xludf.DUMMYFUNCTION("vlookup(BB1558,importrange(""https://docs.google.com/spreadsheets/d/1d2vevQ_7D_v35q4wCQ4RpQ_IPoTwEMB9Yp6ymwlPqew/edit?gid=984458430#gid=984458430"", ""'replication success'!A:K""), 11, FAlSE)"),"successful")</f>
        <v>successful</v>
      </c>
      <c r="AZ1558" s="61" t="str">
        <f>IFERROR(__xludf.DUMMYFUNCTION("vlookup(BB1558,importrange(""https://docs.google.com/spreadsheets/d/1d2vevQ_7D_v35q4wCQ4RpQ_IPoTwEMB9Yp6ymwlPqew/edit?gid=984458430#gid=984458430"",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8" s="61" t="str">
        <f>IFERROR(__xludf.DUMMYFUNCTION("vlookup(BB1558,importrange(""https://docs.google.com/spreadsheets/d/1d2vevQ_7D_v35q4wCQ4RpQ_IPoTwEMB9Yp6ymwlPqew/edit?gid=984458430#gid=984458430"", ""'replication success'!A:M""), 13, FAlSE)"),"pg.3")</f>
        <v>pg.3</v>
      </c>
      <c r="BB1558" s="61" t="str">
        <f>IFERROR(__xludf.DUMMYFUNCTION("REGEXREPLACE(G1558, ""_[a-z]{1,2}$"", """")"),"Holzmeisteretal2024_23")</f>
        <v>Holzmeisteretal2024_23</v>
      </c>
      <c r="BD1558" s="188" t="s">
        <v>144</v>
      </c>
    </row>
    <row r="1559">
      <c r="A1559" s="44">
        <v>1559.0</v>
      </c>
      <c r="B1559" s="188" t="s">
        <v>152</v>
      </c>
      <c r="C1559" s="188" t="s">
        <v>115</v>
      </c>
      <c r="D1559" s="188" t="s">
        <v>1458</v>
      </c>
      <c r="E1559" s="189"/>
      <c r="F1559" s="190" t="s">
        <v>9037</v>
      </c>
      <c r="G1559" s="193" t="s">
        <v>9037</v>
      </c>
      <c r="H1559" s="198" t="s">
        <v>1518</v>
      </c>
      <c r="I1559" s="191">
        <v>45670.0</v>
      </c>
      <c r="J1559" s="1744">
        <v>45677.0</v>
      </c>
      <c r="K1559" s="993" t="s">
        <v>9038</v>
      </c>
      <c r="L1559" s="190"/>
      <c r="M1559" s="877" t="s">
        <v>9039</v>
      </c>
      <c r="N1559" s="1745" t="s">
        <v>9040</v>
      </c>
      <c r="O1559" s="758">
        <v>8.0</v>
      </c>
      <c r="P1559" s="977" t="str">
        <f> SUBSTITUTE(lower(N1559), "/", "--") &amp;  ".pdf"</f>
        <v>10.1073--pnas.1610834113.pdf</v>
      </c>
      <c r="Q1559" s="52" t="str">
        <f t="array" ref="Q1559"> if(iserror(MATCH(V1559, 'File Links'!C:C, 0)), "N/A", HYPERLINK(INDEX('File Links'!B:B, MATCH(P1559, 'File Links'!C:C, 0))))</f>
        <v>https://drive.google.com/file/d/1VFtyqV5el7EJVeHaibxWMy34k9LMhbzJ/view?usp=drivesdk</v>
      </c>
      <c r="R1559" s="195" t="s">
        <v>9041</v>
      </c>
      <c r="S1559" s="374" t="s">
        <v>8716</v>
      </c>
      <c r="T1559" s="877" t="s">
        <v>8717</v>
      </c>
      <c r="U1559" s="758">
        <v>1.0</v>
      </c>
      <c r="V1559" s="198" t="str">
        <f t="shared" si="113"/>
        <v>10.1038--s41562-024-02062-9.pdf</v>
      </c>
      <c r="W1559" s="198" t="s">
        <v>9042</v>
      </c>
      <c r="X1559" s="54" t="str">
        <f t="array" ref="X1559"> if(iserror(MATCH(V1559, 'File Links'!C:C, 0)), "N/A", HYPERLINK(INDEX('File Links'!B:B, MATCH(V1559, 'File Links'!C:C, 0))))</f>
        <v>https://drive.google.com/file/d/1w8pcOEpgkXG4574TMp8vmQlQVMYXLL8c/view?usp=drivesdk</v>
      </c>
      <c r="Z1559" s="198" t="s">
        <v>2045</v>
      </c>
      <c r="AA1559" s="198" t="s">
        <v>9043</v>
      </c>
      <c r="AB1559" s="198" t="s">
        <v>9044</v>
      </c>
      <c r="AC1559" s="198" t="s">
        <v>9045</v>
      </c>
      <c r="AD1559" s="198" t="s">
        <v>9046</v>
      </c>
      <c r="AE1559" s="758">
        <v>3.0</v>
      </c>
      <c r="AF1559" s="758">
        <v>200.0</v>
      </c>
      <c r="AG1559" s="758">
        <v>0.008</v>
      </c>
      <c r="AH1559" s="198" t="s">
        <v>987</v>
      </c>
      <c r="AI1559" s="198" t="s">
        <v>507</v>
      </c>
      <c r="AJ1559" s="875">
        <v>0.03</v>
      </c>
      <c r="AK1559" s="58" t="s">
        <v>172</v>
      </c>
      <c r="AL1559" s="58" t="s">
        <v>186</v>
      </c>
      <c r="AM1559" s="190" t="s">
        <v>137</v>
      </c>
      <c r="AN1559" s="374" t="s">
        <v>138</v>
      </c>
      <c r="AO1559" s="758">
        <v>999.0</v>
      </c>
      <c r="AP1559" s="758">
        <v>0.049</v>
      </c>
      <c r="AQ1559" s="198" t="s">
        <v>173</v>
      </c>
      <c r="AR1559" s="198" t="s">
        <v>507</v>
      </c>
      <c r="AS1559" s="758">
        <v>0.699</v>
      </c>
      <c r="AT1559" s="198" t="s">
        <v>172</v>
      </c>
      <c r="AU1559" s="198" t="s">
        <v>136</v>
      </c>
      <c r="AV1559" s="190" t="s">
        <v>137</v>
      </c>
      <c r="AW1559" s="877" t="s">
        <v>9047</v>
      </c>
      <c r="AX1559" s="190" t="s">
        <v>143</v>
      </c>
      <c r="AY1559" s="61" t="str">
        <f>IFERROR(__xludf.DUMMYFUNCTION("vlookup(BB1559,importrange(""https://docs.google.com/spreadsheets/d/1d2vevQ_7D_v35q4wCQ4RpQ_IPoTwEMB9Yp6ymwlPqew/edit?gid=984458430#gid=984458430"", ""'replication success'!A:K""), 11, FAlSE)"),"failed")</f>
        <v>failed</v>
      </c>
      <c r="AZ1559" s="61" t="str">
        <f>IFERROR(__xludf.DUMMYFUNCTION("vlookup(BB1559,importrange(""https://docs.google.com/spreadsheets/d/1d2vevQ_7D_v35q4wCQ4RpQ_IPoTwEMB9Yp6ymwlPqew/edit?gid=984458430#gid=984458430"",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59" s="61" t="str">
        <f>IFERROR(__xludf.DUMMYFUNCTION("vlookup(BB1559,importrange(""https://docs.google.com/spreadsheets/d/1d2vevQ_7D_v35q4wCQ4RpQ_IPoTwEMB9Yp6ymwlPqew/edit?gid=984458430#gid=984458430"", ""'replication success'!A:M""), 13, FAlSE)"),"pg.3")</f>
        <v>pg.3</v>
      </c>
      <c r="BB1559" s="61" t="str">
        <f>IFERROR(__xludf.DUMMYFUNCTION("REGEXREPLACE(G1559, ""_[a-z]{1,2}$"", """")"),"Holzmeisteretal2024_24")</f>
        <v>Holzmeisteretal2024_24</v>
      </c>
      <c r="BC1559" s="189"/>
      <c r="BD1559" s="188" t="s">
        <v>144</v>
      </c>
    </row>
    <row r="1560">
      <c r="A1560" s="44">
        <v>1560.0</v>
      </c>
      <c r="B1560" s="62" t="s">
        <v>114</v>
      </c>
      <c r="C1560" s="62" t="s">
        <v>115</v>
      </c>
      <c r="D1560" s="62" t="s">
        <v>1441</v>
      </c>
      <c r="F1560" s="68" t="s">
        <v>9037</v>
      </c>
      <c r="G1560" s="61" t="s">
        <v>9037</v>
      </c>
      <c r="H1560" s="159" t="s">
        <v>1444</v>
      </c>
      <c r="I1560" s="68"/>
      <c r="J1560" s="1744">
        <v>45677.0</v>
      </c>
      <c r="K1560" s="68"/>
      <c r="L1560" s="68"/>
      <c r="M1560" s="435" t="s">
        <v>9048</v>
      </c>
      <c r="N1560" s="1746" t="s">
        <v>9049</v>
      </c>
      <c r="O1560" s="68"/>
      <c r="P1560" s="1581" t="str">
        <f>SUBSTITUTE(LOWER(N1560), "/", "--") &amp;  ".pdf"</f>
        <v>10.1073--pnas.1610834113.pdf</v>
      </c>
      <c r="Q1560" s="52" t="str">
        <f t="array" ref="Q1560"> if(iserror(MATCH(V1560, 'File Links'!C:C, 0)), "N/A", HYPERLINK(INDEX('File Links'!B:B, MATCH(P1560, 'File Links'!C:C, 0))))</f>
        <v>https://drive.google.com/file/d/1VFtyqV5el7EJVeHaibxWMy34k9LMhbzJ/view?usp=drivesdk</v>
      </c>
      <c r="R1560" s="68" t="s">
        <v>9050</v>
      </c>
      <c r="S1560" s="374" t="s">
        <v>8716</v>
      </c>
      <c r="T1560" s="435" t="s">
        <v>8717</v>
      </c>
      <c r="U1560" s="156">
        <v>3.0</v>
      </c>
      <c r="V1560" s="198" t="str">
        <f t="shared" si="113"/>
        <v>10.1038--s41562-024-02062-9.pdf</v>
      </c>
      <c r="W1560" s="159" t="s">
        <v>8729</v>
      </c>
      <c r="X1560" s="54" t="str">
        <f t="array" ref="X1560"> if(iserror(MATCH(V1560, 'File Links'!C:C, 0)), "N/A", HYPERLINK(INDEX('File Links'!B:B, MATCH(V1560, 'File Links'!C:C, 0))))</f>
        <v>https://drive.google.com/file/d/1w8pcOEpgkXG4574TMp8vmQlQVMYXLL8c/view?usp=drivesdk</v>
      </c>
      <c r="Z1560" s="159" t="s">
        <v>2045</v>
      </c>
      <c r="AA1560" s="159" t="s">
        <v>9051</v>
      </c>
      <c r="AB1560" s="159" t="s">
        <v>9052</v>
      </c>
      <c r="AC1560" s="159" t="s">
        <v>9053</v>
      </c>
      <c r="AD1560" s="159" t="s">
        <v>9054</v>
      </c>
      <c r="AE1560" s="156">
        <v>3.0</v>
      </c>
      <c r="AF1560" s="156">
        <v>200.0</v>
      </c>
      <c r="AG1560" s="156">
        <v>0.008</v>
      </c>
      <c r="AH1560" s="159" t="s">
        <v>987</v>
      </c>
      <c r="AI1560" s="68"/>
      <c r="AJ1560" s="709">
        <v>0.03</v>
      </c>
      <c r="AK1560" s="57" t="s">
        <v>172</v>
      </c>
      <c r="AL1560" s="57" t="s">
        <v>186</v>
      </c>
      <c r="AM1560" s="1748" t="s">
        <v>141</v>
      </c>
      <c r="AN1560" s="61"/>
      <c r="AO1560" s="156">
        <v>999.0</v>
      </c>
      <c r="AP1560" s="156">
        <v>0.049</v>
      </c>
      <c r="AQ1560" s="159" t="s">
        <v>173</v>
      </c>
      <c r="AR1560" s="159" t="s">
        <v>507</v>
      </c>
      <c r="AS1560" s="156">
        <v>0.699</v>
      </c>
      <c r="AT1560" s="159" t="s">
        <v>172</v>
      </c>
      <c r="AU1560" s="159" t="s">
        <v>136</v>
      </c>
      <c r="AV1560" s="1748" t="s">
        <v>141</v>
      </c>
      <c r="AW1560" s="68"/>
      <c r="AX1560" s="1748" t="s">
        <v>143</v>
      </c>
      <c r="AY1560" s="61" t="str">
        <f>IFERROR(__xludf.DUMMYFUNCTION("vlookup(BB1560,importrange(""https://docs.google.com/spreadsheets/d/1d2vevQ_7D_v35q4wCQ4RpQ_IPoTwEMB9Yp6ymwlPqew/edit?gid=984458430#gid=984458430"", ""'replication success'!A:K""), 11, FAlSE)"),"failed")</f>
        <v>failed</v>
      </c>
      <c r="AZ1560" s="61" t="str">
        <f>IFERROR(__xludf.DUMMYFUNCTION("vlookup(BB1560,importrange(""https://docs.google.com/spreadsheets/d/1d2vevQ_7D_v35q4wCQ4RpQ_IPoTwEMB9Yp6ymwlPqew/edit?gid=984458430#gid=984458430"",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0" s="61" t="str">
        <f>IFERROR(__xludf.DUMMYFUNCTION("vlookup(BB1560,importrange(""https://docs.google.com/spreadsheets/d/1d2vevQ_7D_v35q4wCQ4RpQ_IPoTwEMB9Yp6ymwlPqew/edit?gid=984458430#gid=984458430"", ""'replication success'!A:M""), 13, FAlSE)"),"pg.3")</f>
        <v>pg.3</v>
      </c>
      <c r="BB1560" s="61" t="str">
        <f>IFERROR(__xludf.DUMMYFUNCTION("REGEXREPLACE(G1560, ""_[a-z]{1,2}$"", """")"),"Holzmeisteretal2024_24")</f>
        <v>Holzmeisteretal2024_24</v>
      </c>
      <c r="BD1560" s="188" t="s">
        <v>144</v>
      </c>
    </row>
    <row r="1561">
      <c r="A1561" s="44">
        <v>1561.0</v>
      </c>
      <c r="B1561" s="188" t="s">
        <v>152</v>
      </c>
      <c r="C1561" s="188" t="s">
        <v>115</v>
      </c>
      <c r="D1561" s="188" t="s">
        <v>1458</v>
      </c>
      <c r="E1561" s="189"/>
      <c r="F1561" s="190" t="s">
        <v>9055</v>
      </c>
      <c r="G1561" s="193" t="s">
        <v>9055</v>
      </c>
      <c r="H1561" s="198" t="s">
        <v>1518</v>
      </c>
      <c r="I1561" s="191">
        <v>45670.0</v>
      </c>
      <c r="J1561" s="1744">
        <v>45677.0</v>
      </c>
      <c r="K1561" s="198" t="s">
        <v>9056</v>
      </c>
      <c r="L1561" s="190"/>
      <c r="M1561" s="877" t="s">
        <v>9057</v>
      </c>
      <c r="N1561" s="1745" t="s">
        <v>9058</v>
      </c>
      <c r="O1561" s="758">
        <v>8.0</v>
      </c>
      <c r="P1561" s="977" t="str">
        <f> SUBSTITUTE(lower(N1561), "/", "--") &amp;  ".pdf"</f>
        <v>10.1073--pnas.1805284115.pdf</v>
      </c>
      <c r="Q1561" s="52" t="str">
        <f t="array" ref="Q1561"> if(iserror(MATCH(V1561, 'File Links'!C:C, 0)), "N/A", HYPERLINK(INDEX('File Links'!B:B, MATCH(P1561, 'File Links'!C:C, 0))))</f>
        <v>https://drive.google.com/file/d/1Z4TItg9VScF62xlkgC_PoPtT-7Vv0iWy/view?usp=drivesdk</v>
      </c>
      <c r="R1561" s="195" t="s">
        <v>9059</v>
      </c>
      <c r="S1561" s="374" t="s">
        <v>8716</v>
      </c>
      <c r="T1561" s="877" t="s">
        <v>8717</v>
      </c>
      <c r="U1561" s="758">
        <v>1.0</v>
      </c>
      <c r="V1561" s="198" t="str">
        <f t="shared" si="113"/>
        <v>10.1038--s41562-024-02062-9.pdf</v>
      </c>
      <c r="W1561" s="198" t="s">
        <v>9060</v>
      </c>
      <c r="X1561" s="54" t="str">
        <f t="array" ref="X1561"> if(iserror(MATCH(V1561, 'File Links'!C:C, 0)), "N/A", HYPERLINK(INDEX('File Links'!B:B, MATCH(V1561, 'File Links'!C:C, 0))))</f>
        <v>https://drive.google.com/file/d/1w8pcOEpgkXG4574TMp8vmQlQVMYXLL8c/view?usp=drivesdk</v>
      </c>
      <c r="Z1561" s="198" t="s">
        <v>226</v>
      </c>
      <c r="AA1561" s="198" t="s">
        <v>9061</v>
      </c>
      <c r="AB1561" s="198" t="s">
        <v>9062</v>
      </c>
      <c r="AC1561" s="198" t="s">
        <v>9063</v>
      </c>
      <c r="AD1561" s="198" t="s">
        <v>9064</v>
      </c>
      <c r="AE1561" s="758">
        <v>4.0</v>
      </c>
      <c r="AF1561" s="758">
        <v>554.0</v>
      </c>
      <c r="AG1561" s="198" t="s">
        <v>9065</v>
      </c>
      <c r="AH1561" s="198" t="s">
        <v>134</v>
      </c>
      <c r="AI1561" s="198" t="s">
        <v>496</v>
      </c>
      <c r="AJ1561" s="875">
        <v>0.032</v>
      </c>
      <c r="AK1561" s="58" t="s">
        <v>172</v>
      </c>
      <c r="AL1561" s="58" t="s">
        <v>186</v>
      </c>
      <c r="AM1561" s="190" t="s">
        <v>141</v>
      </c>
      <c r="AN1561" s="375" t="s">
        <v>9066</v>
      </c>
      <c r="AO1561" s="758">
        <v>2849.0</v>
      </c>
      <c r="AP1561" s="758">
        <v>0.009</v>
      </c>
      <c r="AQ1561" s="198" t="s">
        <v>173</v>
      </c>
      <c r="AR1561" s="198" t="s">
        <v>2771</v>
      </c>
      <c r="AS1561" s="758">
        <v>0.639</v>
      </c>
      <c r="AT1561" s="198" t="s">
        <v>172</v>
      </c>
      <c r="AU1561" s="198" t="s">
        <v>136</v>
      </c>
      <c r="AV1561" s="190" t="s">
        <v>141</v>
      </c>
      <c r="AW1561" s="877" t="s">
        <v>9067</v>
      </c>
      <c r="AX1561" s="190" t="s">
        <v>143</v>
      </c>
      <c r="AY1561" s="61" t="str">
        <f>IFERROR(__xludf.DUMMYFUNCTION("vlookup(BB1561,importrange(""https://docs.google.com/spreadsheets/d/1d2vevQ_7D_v35q4wCQ4RpQ_IPoTwEMB9Yp6ymwlPqew/edit?gid=984458430#gid=984458430"", ""'replication success'!A:K""), 11, FAlSE)"),"failed")</f>
        <v>failed</v>
      </c>
      <c r="AZ1561" s="61" t="str">
        <f>IFERROR(__xludf.DUMMYFUNCTION("vlookup(BB1561,importrange(""https://docs.google.com/spreadsheets/d/1d2vevQ_7D_v35q4wCQ4RpQ_IPoTwEMB9Yp6ymwlPqew/edit?gid=984458430#gid=984458430"",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1" s="61" t="str">
        <f>IFERROR(__xludf.DUMMYFUNCTION("vlookup(BB1561,importrange(""https://docs.google.com/spreadsheets/d/1d2vevQ_7D_v35q4wCQ4RpQ_IPoTwEMB9Yp6ymwlPqew/edit?gid=984458430#gid=984458430"", ""'replication success'!A:M""), 13, FAlSE)"),"pg.3")</f>
        <v>pg.3</v>
      </c>
      <c r="BB1561" s="61" t="str">
        <f>IFERROR(__xludf.DUMMYFUNCTION("REGEXREPLACE(G1561, ""_[a-z]{1,2}$"", """")"),"Holzmeisteretal2024_25")</f>
        <v>Holzmeisteretal2024_25</v>
      </c>
      <c r="BC1561" s="189"/>
      <c r="BD1561" s="188" t="s">
        <v>144</v>
      </c>
    </row>
    <row r="1562">
      <c r="A1562" s="44">
        <v>1562.0</v>
      </c>
      <c r="B1562" s="62" t="s">
        <v>114</v>
      </c>
      <c r="C1562" s="62" t="s">
        <v>115</v>
      </c>
      <c r="D1562" s="62" t="s">
        <v>1441</v>
      </c>
      <c r="F1562" s="68" t="s">
        <v>9055</v>
      </c>
      <c r="G1562" s="61" t="s">
        <v>9055</v>
      </c>
      <c r="H1562" s="159" t="s">
        <v>1444</v>
      </c>
      <c r="I1562" s="68"/>
      <c r="J1562" s="1744">
        <v>45677.0</v>
      </c>
      <c r="K1562" s="68"/>
      <c r="L1562" s="68"/>
      <c r="M1562" s="435" t="s">
        <v>9068</v>
      </c>
      <c r="N1562" s="1746" t="s">
        <v>9069</v>
      </c>
      <c r="O1562" s="68"/>
      <c r="P1562" s="1581" t="str">
        <f>SUBSTITUTE(LOWER(N1562), "/", "--") &amp;  ".pdf"</f>
        <v>10.1073--pnas.1805284115.pdf</v>
      </c>
      <c r="Q1562" s="52" t="str">
        <f t="array" ref="Q1562"> if(iserror(MATCH(V1562, 'File Links'!C:C, 0)), "N/A", HYPERLINK(INDEX('File Links'!B:B, MATCH(P1562, 'File Links'!C:C, 0))))</f>
        <v>https://drive.google.com/file/d/1Z4TItg9VScF62xlkgC_PoPtT-7Vv0iWy/view?usp=drivesdk</v>
      </c>
      <c r="R1562" s="68" t="s">
        <v>9070</v>
      </c>
      <c r="S1562" s="374" t="s">
        <v>8716</v>
      </c>
      <c r="T1562" s="435" t="s">
        <v>8717</v>
      </c>
      <c r="U1562" s="156">
        <v>8.0</v>
      </c>
      <c r="V1562" s="198" t="str">
        <f t="shared" si="113"/>
        <v>10.1038--s41562-024-02062-9.pdf</v>
      </c>
      <c r="W1562" s="159" t="s">
        <v>8729</v>
      </c>
      <c r="X1562" s="54" t="str">
        <f t="array" ref="X1562"> if(iserror(MATCH(V1562, 'File Links'!C:C, 0)), "N/A", HYPERLINK(INDEX('File Links'!B:B, MATCH(V1562, 'File Links'!C:C, 0))))</f>
        <v>https://drive.google.com/file/d/1w8pcOEpgkXG4574TMp8vmQlQVMYXLL8c/view?usp=drivesdk</v>
      </c>
      <c r="Z1562" s="159" t="s">
        <v>226</v>
      </c>
      <c r="AA1562" s="159" t="s">
        <v>9071</v>
      </c>
      <c r="AB1562" s="159" t="s">
        <v>9072</v>
      </c>
      <c r="AC1562" s="159" t="s">
        <v>9073</v>
      </c>
      <c r="AD1562" s="159" t="s">
        <v>9074</v>
      </c>
      <c r="AE1562" s="156">
        <v>4.0</v>
      </c>
      <c r="AF1562" s="156">
        <v>554.0</v>
      </c>
      <c r="AG1562" s="159" t="s">
        <v>9065</v>
      </c>
      <c r="AH1562" s="159" t="s">
        <v>134</v>
      </c>
      <c r="AI1562" s="68"/>
      <c r="AJ1562" s="709">
        <v>0.032</v>
      </c>
      <c r="AK1562" s="57" t="s">
        <v>172</v>
      </c>
      <c r="AL1562" s="57" t="s">
        <v>136</v>
      </c>
      <c r="AM1562" s="1748" t="s">
        <v>141</v>
      </c>
      <c r="AN1562" s="61"/>
      <c r="AO1562" s="156">
        <v>2849.0</v>
      </c>
      <c r="AP1562" s="156">
        <v>0.009</v>
      </c>
      <c r="AQ1562" s="159" t="s">
        <v>173</v>
      </c>
      <c r="AR1562" s="159" t="s">
        <v>2771</v>
      </c>
      <c r="AS1562" s="156">
        <v>0.639</v>
      </c>
      <c r="AT1562" s="159" t="s">
        <v>172</v>
      </c>
      <c r="AU1562" s="159" t="s">
        <v>136</v>
      </c>
      <c r="AV1562" s="1748" t="s">
        <v>141</v>
      </c>
      <c r="AW1562" s="68"/>
      <c r="AX1562" s="1748" t="s">
        <v>143</v>
      </c>
      <c r="AY1562" s="61" t="str">
        <f>IFERROR(__xludf.DUMMYFUNCTION("vlookup(BB1562,importrange(""https://docs.google.com/spreadsheets/d/1d2vevQ_7D_v35q4wCQ4RpQ_IPoTwEMB9Yp6ymwlPqew/edit?gid=984458430#gid=984458430"", ""'replication success'!A:K""), 11, FAlSE)"),"failed")</f>
        <v>failed</v>
      </c>
      <c r="AZ1562" s="61" t="str">
        <f>IFERROR(__xludf.DUMMYFUNCTION("vlookup(BB1562,importrange(""https://docs.google.com/spreadsheets/d/1d2vevQ_7D_v35q4wCQ4RpQ_IPoTwEMB9Yp6ymwlPqew/edit?gid=984458430#gid=984458430"",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2" s="61" t="str">
        <f>IFERROR(__xludf.DUMMYFUNCTION("vlookup(BB1562,importrange(""https://docs.google.com/spreadsheets/d/1d2vevQ_7D_v35q4wCQ4RpQ_IPoTwEMB9Yp6ymwlPqew/edit?gid=984458430#gid=984458430"", ""'replication success'!A:M""), 13, FAlSE)"),"pg.3")</f>
        <v>pg.3</v>
      </c>
      <c r="BB1562" s="61" t="str">
        <f>IFERROR(__xludf.DUMMYFUNCTION("REGEXREPLACE(G1562, ""_[a-z]{1,2}$"", """")"),"Holzmeisteretal2024_25")</f>
        <v>Holzmeisteretal2024_25</v>
      </c>
      <c r="BD1562" s="188" t="s">
        <v>144</v>
      </c>
    </row>
    <row r="1563">
      <c r="A1563" s="44">
        <v>1563.0</v>
      </c>
      <c r="B1563" s="188" t="s">
        <v>152</v>
      </c>
      <c r="C1563" s="188" t="s">
        <v>115</v>
      </c>
      <c r="D1563" s="188" t="s">
        <v>1458</v>
      </c>
      <c r="E1563" s="189"/>
      <c r="F1563" s="190" t="s">
        <v>9075</v>
      </c>
      <c r="G1563" s="193" t="s">
        <v>9075</v>
      </c>
      <c r="H1563" s="198" t="s">
        <v>1518</v>
      </c>
      <c r="I1563" s="191">
        <v>45670.0</v>
      </c>
      <c r="J1563" s="1744">
        <v>45677.0</v>
      </c>
      <c r="K1563" s="198" t="s">
        <v>9076</v>
      </c>
      <c r="L1563" s="190"/>
      <c r="M1563" s="877" t="s">
        <v>9077</v>
      </c>
      <c r="N1563" s="1745" t="s">
        <v>9078</v>
      </c>
      <c r="O1563" s="758">
        <v>2.0</v>
      </c>
      <c r="P1563" s="977" t="str">
        <f> SUBSTITUTE(lower(N1563), "/", "--") &amp;  ".pdf"</f>
        <v>10.1073--pnas.1501592112.pdf</v>
      </c>
      <c r="Q1563" s="52" t="str">
        <f t="array" ref="Q1563"> if(iserror(MATCH(V1563, 'File Links'!C:C, 0)), "N/A", HYPERLINK(INDEX('File Links'!B:B, MATCH(P1563, 'File Links'!C:C, 0))))</f>
        <v>https://drive.google.com/file/d/1r8gz_OQgXRQyPABeOEgFy2rbZa10e60I/view?usp=drivesdk</v>
      </c>
      <c r="R1563" s="195" t="s">
        <v>9079</v>
      </c>
      <c r="S1563" s="374" t="s">
        <v>8716</v>
      </c>
      <c r="T1563" s="877" t="s">
        <v>8717</v>
      </c>
      <c r="U1563" s="758">
        <v>1.0</v>
      </c>
      <c r="V1563" s="198" t="str">
        <f t="shared" si="113"/>
        <v>10.1038--s41562-024-02062-9.pdf</v>
      </c>
      <c r="W1563" s="198" t="s">
        <v>9080</v>
      </c>
      <c r="X1563" s="54" t="str">
        <f t="array" ref="X1563"> if(iserror(MATCH(V1563, 'File Links'!C:C, 0)), "N/A", HYPERLINK(INDEX('File Links'!B:B, MATCH(V1563, 'File Links'!C:C, 0))))</f>
        <v>https://drive.google.com/file/d/1w8pcOEpgkXG4574TMp8vmQlQVMYXLL8c/view?usp=drivesdk</v>
      </c>
      <c r="Z1563" s="198" t="s">
        <v>226</v>
      </c>
      <c r="AA1563" s="198" t="s">
        <v>9081</v>
      </c>
      <c r="AB1563" s="198" t="s">
        <v>9082</v>
      </c>
      <c r="AC1563" s="198" t="s">
        <v>9083</v>
      </c>
      <c r="AD1563" s="575" t="s">
        <v>9084</v>
      </c>
      <c r="AE1563" s="758">
        <v>3.0</v>
      </c>
      <c r="AF1563" s="190"/>
      <c r="AG1563" s="575" t="s">
        <v>9085</v>
      </c>
      <c r="AH1563" s="198" t="s">
        <v>134</v>
      </c>
      <c r="AI1563" s="198" t="s">
        <v>507</v>
      </c>
      <c r="AJ1563" s="875">
        <v>0.009</v>
      </c>
      <c r="AK1563" s="58" t="s">
        <v>172</v>
      </c>
      <c r="AL1563" s="58" t="s">
        <v>186</v>
      </c>
      <c r="AM1563" s="190" t="s">
        <v>137</v>
      </c>
      <c r="AN1563" s="374" t="s">
        <v>138</v>
      </c>
      <c r="AO1563" s="758">
        <v>723.0</v>
      </c>
      <c r="AP1563" s="758">
        <v>0.027</v>
      </c>
      <c r="AQ1563" s="198" t="s">
        <v>173</v>
      </c>
      <c r="AR1563" s="198" t="s">
        <v>2771</v>
      </c>
      <c r="AS1563" s="758">
        <v>0.714</v>
      </c>
      <c r="AT1563" s="198" t="s">
        <v>172</v>
      </c>
      <c r="AU1563" s="198" t="s">
        <v>136</v>
      </c>
      <c r="AV1563" s="190" t="s">
        <v>137</v>
      </c>
      <c r="AW1563" s="877" t="s">
        <v>9086</v>
      </c>
      <c r="AX1563" s="190" t="s">
        <v>143</v>
      </c>
      <c r="AY1563" s="61" t="str">
        <f>IFERROR(__xludf.DUMMYFUNCTION("vlookup(BB1563,importrange(""https://docs.google.com/spreadsheets/d/1d2vevQ_7D_v35q4wCQ4RpQ_IPoTwEMB9Yp6ymwlPqew/edit?gid=984458430#gid=984458430"", ""'replication success'!A:K""), 11, FAlSE)"),"failed")</f>
        <v>failed</v>
      </c>
      <c r="AZ1563" s="61" t="str">
        <f>IFERROR(__xludf.DUMMYFUNCTION("vlookup(BB1563,importrange(""https://docs.google.com/spreadsheets/d/1d2vevQ_7D_v35q4wCQ4RpQ_IPoTwEMB9Yp6ymwlPqew/edit?gid=984458430#gid=984458430"",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3" s="61" t="str">
        <f>IFERROR(__xludf.DUMMYFUNCTION("vlookup(BB1563,importrange(""https://docs.google.com/spreadsheets/d/1d2vevQ_7D_v35q4wCQ4RpQ_IPoTwEMB9Yp6ymwlPqew/edit?gid=984458430#gid=984458430"", ""'replication success'!A:M""), 13, FAlSE)"),"pg.3")</f>
        <v>pg.3</v>
      </c>
      <c r="BB1563" s="61" t="str">
        <f>IFERROR(__xludf.DUMMYFUNCTION("REGEXREPLACE(G1563, ""_[a-z]{1,2}$"", """")"),"Holzmeisteretal2024_26")</f>
        <v>Holzmeisteretal2024_26</v>
      </c>
      <c r="BC1563" s="189"/>
      <c r="BD1563" s="188" t="s">
        <v>144</v>
      </c>
    </row>
    <row r="1564">
      <c r="A1564" s="44">
        <v>1564.0</v>
      </c>
      <c r="B1564" s="62" t="s">
        <v>114</v>
      </c>
      <c r="C1564" s="62" t="s">
        <v>115</v>
      </c>
      <c r="D1564" s="62" t="s">
        <v>1441</v>
      </c>
      <c r="F1564" s="68" t="s">
        <v>9075</v>
      </c>
      <c r="G1564" s="61" t="s">
        <v>9075</v>
      </c>
      <c r="H1564" s="159" t="s">
        <v>1444</v>
      </c>
      <c r="I1564" s="68"/>
      <c r="J1564" s="1744">
        <v>45677.0</v>
      </c>
      <c r="K1564" s="68"/>
      <c r="L1564" s="68"/>
      <c r="M1564" s="435" t="s">
        <v>9087</v>
      </c>
      <c r="N1564" s="1746" t="s">
        <v>9088</v>
      </c>
      <c r="O1564" s="68"/>
      <c r="P1564" s="1581" t="str">
        <f>SUBSTITUTE(LOWER(N1564), "/", "--") &amp;  ".pdf"</f>
        <v>10.1073--pnas.1501592112.pdf</v>
      </c>
      <c r="Q1564" s="52" t="str">
        <f t="array" ref="Q1564"> if(iserror(MATCH(V1564, 'File Links'!C:C, 0)), "N/A", HYPERLINK(INDEX('File Links'!B:B, MATCH(P1564, 'File Links'!C:C, 0))))</f>
        <v>https://drive.google.com/file/d/1r8gz_OQgXRQyPABeOEgFy2rbZa10e60I/view?usp=drivesdk</v>
      </c>
      <c r="R1564" s="68" t="s">
        <v>9089</v>
      </c>
      <c r="S1564" s="374" t="s">
        <v>8716</v>
      </c>
      <c r="T1564" s="435" t="s">
        <v>8717</v>
      </c>
      <c r="U1564" s="156">
        <v>1.0</v>
      </c>
      <c r="V1564" s="198" t="str">
        <f t="shared" si="113"/>
        <v>10.1038--s41562-024-02062-9.pdf</v>
      </c>
      <c r="W1564" s="159" t="s">
        <v>8729</v>
      </c>
      <c r="X1564" s="54" t="str">
        <f t="array" ref="X1564"> if(iserror(MATCH(V1564, 'File Links'!C:C, 0)), "N/A", HYPERLINK(INDEX('File Links'!B:B, MATCH(V1564, 'File Links'!C:C, 0))))</f>
        <v>https://drive.google.com/file/d/1w8pcOEpgkXG4574TMp8vmQlQVMYXLL8c/view?usp=drivesdk</v>
      </c>
      <c r="Z1564" s="159" t="s">
        <v>226</v>
      </c>
      <c r="AA1564" s="159" t="s">
        <v>9090</v>
      </c>
      <c r="AB1564" s="159" t="s">
        <v>9091</v>
      </c>
      <c r="AC1564" s="159" t="s">
        <v>9092</v>
      </c>
      <c r="AD1564" s="151" t="s">
        <v>9093</v>
      </c>
      <c r="AE1564" s="156">
        <v>3.0</v>
      </c>
      <c r="AF1564" s="156">
        <v>201.0</v>
      </c>
      <c r="AG1564" s="159" t="s">
        <v>9094</v>
      </c>
      <c r="AH1564" s="159" t="s">
        <v>134</v>
      </c>
      <c r="AI1564" s="68"/>
      <c r="AJ1564" s="709">
        <v>0.009</v>
      </c>
      <c r="AK1564" s="57" t="s">
        <v>172</v>
      </c>
      <c r="AL1564" s="57" t="s">
        <v>186</v>
      </c>
      <c r="AM1564" s="1748" t="s">
        <v>137</v>
      </c>
      <c r="AN1564" s="61"/>
      <c r="AO1564" s="156">
        <v>723.0</v>
      </c>
      <c r="AP1564" s="156">
        <v>0.027</v>
      </c>
      <c r="AQ1564" s="159" t="s">
        <v>173</v>
      </c>
      <c r="AR1564" s="159" t="s">
        <v>2771</v>
      </c>
      <c r="AS1564" s="156">
        <v>0.714</v>
      </c>
      <c r="AT1564" s="159" t="s">
        <v>172</v>
      </c>
      <c r="AU1564" s="159" t="s">
        <v>136</v>
      </c>
      <c r="AV1564" s="1748" t="s">
        <v>137</v>
      </c>
      <c r="AW1564" s="68"/>
      <c r="AX1564" s="1748" t="s">
        <v>143</v>
      </c>
      <c r="AY1564" s="61" t="str">
        <f>IFERROR(__xludf.DUMMYFUNCTION("vlookup(BB1564,importrange(""https://docs.google.com/spreadsheets/d/1d2vevQ_7D_v35q4wCQ4RpQ_IPoTwEMB9Yp6ymwlPqew/edit?gid=984458430#gid=984458430"", ""'replication success'!A:K""), 11, FAlSE)"),"failed")</f>
        <v>failed</v>
      </c>
      <c r="AZ1564" s="61" t="str">
        <f>IFERROR(__xludf.DUMMYFUNCTION("vlookup(BB1564,importrange(""https://docs.google.com/spreadsheets/d/1d2vevQ_7D_v35q4wCQ4RpQ_IPoTwEMB9Yp6ymwlPqew/edit?gid=984458430#gid=984458430"",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4" s="61" t="str">
        <f>IFERROR(__xludf.DUMMYFUNCTION("vlookup(BB1564,importrange(""https://docs.google.com/spreadsheets/d/1d2vevQ_7D_v35q4wCQ4RpQ_IPoTwEMB9Yp6ymwlPqew/edit?gid=984458430#gid=984458430"", ""'replication success'!A:M""), 13, FAlSE)"),"pg.3")</f>
        <v>pg.3</v>
      </c>
      <c r="BB1564" s="61" t="str">
        <f>IFERROR(__xludf.DUMMYFUNCTION("REGEXREPLACE(G1564, ""_[a-z]{1,2}$"", """")"),"Holzmeisteretal2024_26")</f>
        <v>Holzmeisteretal2024_26</v>
      </c>
      <c r="BD1564" s="188" t="s">
        <v>144</v>
      </c>
    </row>
    <row r="1565">
      <c r="A1565" s="44">
        <v>1565.0</v>
      </c>
      <c r="B1565" s="188" t="s">
        <v>152</v>
      </c>
      <c r="C1565" s="188" t="s">
        <v>115</v>
      </c>
      <c r="D1565" s="188" t="s">
        <v>1458</v>
      </c>
      <c r="E1565" s="189"/>
      <c r="F1565" s="190" t="s">
        <v>9095</v>
      </c>
      <c r="G1565" s="193" t="s">
        <v>9095</v>
      </c>
      <c r="H1565" s="198" t="s">
        <v>1518</v>
      </c>
      <c r="I1565" s="191">
        <v>45669.0</v>
      </c>
      <c r="J1565" s="1744">
        <v>45677.0</v>
      </c>
      <c r="K1565" s="198" t="s">
        <v>9096</v>
      </c>
      <c r="L1565" s="190"/>
      <c r="M1565" s="877" t="s">
        <v>9097</v>
      </c>
      <c r="N1565" s="1745" t="s">
        <v>9098</v>
      </c>
      <c r="O1565" s="758">
        <v>7.0</v>
      </c>
      <c r="P1565" s="977" t="str">
        <f> SUBSTITUTE(lower(N1565), "/", "--") &amp;  ".pdf"</f>
        <v>10.1073--pnas.1517662112.pdf</v>
      </c>
      <c r="Q1565" s="52" t="str">
        <f t="array" ref="Q1565"> if(iserror(MATCH(V1565, 'File Links'!C:C, 0)), "N/A", HYPERLINK(INDEX('File Links'!B:B, MATCH(P1565, 'File Links'!C:C, 0))))</f>
        <v>https://drive.google.com/file/d/1p1O3cA89Rortn-b4c3if2MEMXd31m4nv/view?usp=drivesdk</v>
      </c>
      <c r="R1565" s="195" t="s">
        <v>9099</v>
      </c>
      <c r="S1565" s="374" t="s">
        <v>8716</v>
      </c>
      <c r="T1565" s="877" t="s">
        <v>8717</v>
      </c>
      <c r="U1565" s="758">
        <v>1.0</v>
      </c>
      <c r="V1565" s="198" t="str">
        <f t="shared" si="113"/>
        <v>10.1038--s41562-024-02062-9.pdf</v>
      </c>
      <c r="W1565" s="198" t="s">
        <v>9100</v>
      </c>
      <c r="X1565" s="54" t="str">
        <f t="array" ref="X1565"> if(iserror(MATCH(V1565, 'File Links'!C:C, 0)), "N/A", HYPERLINK(INDEX('File Links'!B:B, MATCH(V1565, 'File Links'!C:C, 0))))</f>
        <v>https://drive.google.com/file/d/1w8pcOEpgkXG4574TMp8vmQlQVMYXLL8c/view?usp=drivesdk</v>
      </c>
      <c r="Z1565" s="198" t="s">
        <v>226</v>
      </c>
      <c r="AA1565" s="198" t="s">
        <v>9101</v>
      </c>
      <c r="AB1565" s="198" t="s">
        <v>9102</v>
      </c>
      <c r="AC1565" s="198" t="s">
        <v>9103</v>
      </c>
      <c r="AD1565" s="198" t="s">
        <v>9104</v>
      </c>
      <c r="AE1565" s="758">
        <v>3.0</v>
      </c>
      <c r="AF1565" s="758">
        <v>273.0</v>
      </c>
      <c r="AG1565" s="750">
        <v>0.52</v>
      </c>
      <c r="AH1565" s="198" t="s">
        <v>987</v>
      </c>
      <c r="AI1565" s="198" t="s">
        <v>507</v>
      </c>
      <c r="AJ1565" s="875">
        <v>0.001</v>
      </c>
      <c r="AK1565" s="58" t="s">
        <v>135</v>
      </c>
      <c r="AL1565" s="58" t="s">
        <v>186</v>
      </c>
      <c r="AM1565" s="190" t="s">
        <v>141</v>
      </c>
      <c r="AN1565" s="374" t="s">
        <v>138</v>
      </c>
      <c r="AO1565" s="758">
        <v>503.0</v>
      </c>
      <c r="AP1565" s="1750">
        <v>0.0112</v>
      </c>
      <c r="AQ1565" s="198" t="s">
        <v>173</v>
      </c>
      <c r="AR1565" s="198" t="s">
        <v>507</v>
      </c>
      <c r="AS1565" s="1751">
        <v>0.801</v>
      </c>
      <c r="AT1565" s="198" t="s">
        <v>172</v>
      </c>
      <c r="AU1565" s="198" t="s">
        <v>136</v>
      </c>
      <c r="AV1565" s="190" t="s">
        <v>141</v>
      </c>
      <c r="AW1565" s="877" t="s">
        <v>9105</v>
      </c>
      <c r="AX1565" s="190" t="s">
        <v>143</v>
      </c>
      <c r="AY1565" s="61" t="str">
        <f>IFERROR(__xludf.DUMMYFUNCTION("vlookup(BB1565,importrange(""https://docs.google.com/spreadsheets/d/1d2vevQ_7D_v35q4wCQ4RpQ_IPoTwEMB9Yp6ymwlPqew/edit?gid=984458430#gid=984458430"", ""'replication success'!A:K""), 11, FAlSE)"),"failed")</f>
        <v>failed</v>
      </c>
      <c r="AZ1565" s="61" t="str">
        <f>IFERROR(__xludf.DUMMYFUNCTION("vlookup(BB1565,importrange(""https://docs.google.com/spreadsheets/d/1d2vevQ_7D_v35q4wCQ4RpQ_IPoTwEMB9Yp6ymwlPqew/edit?gid=984458430#gid=984458430"",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5" s="61" t="str">
        <f>IFERROR(__xludf.DUMMYFUNCTION("vlookup(BB1565,importrange(""https://docs.google.com/spreadsheets/d/1d2vevQ_7D_v35q4wCQ4RpQ_IPoTwEMB9Yp6ymwlPqew/edit?gid=984458430#gid=984458430"", ""'replication success'!A:M""), 13, FAlSE)"),"pg.3")</f>
        <v>pg.3</v>
      </c>
      <c r="BB1565" s="61" t="str">
        <f>IFERROR(__xludf.DUMMYFUNCTION("REGEXREPLACE(G1565, ""_[a-z]{1,2}$"", """")"),"Holzmeisteretal2024_3")</f>
        <v>Holzmeisteretal2024_3</v>
      </c>
      <c r="BC1565" s="189"/>
      <c r="BD1565" s="188" t="s">
        <v>144</v>
      </c>
    </row>
    <row r="1566">
      <c r="A1566" s="44">
        <v>1566.0</v>
      </c>
      <c r="B1566" s="62" t="s">
        <v>114</v>
      </c>
      <c r="C1566" s="62" t="s">
        <v>115</v>
      </c>
      <c r="D1566" s="62" t="s">
        <v>1441</v>
      </c>
      <c r="F1566" s="68" t="s">
        <v>9095</v>
      </c>
      <c r="G1566" s="61" t="s">
        <v>9095</v>
      </c>
      <c r="H1566" s="159" t="s">
        <v>1444</v>
      </c>
      <c r="I1566" s="68"/>
      <c r="J1566" s="1744">
        <v>45677.0</v>
      </c>
      <c r="K1566" s="68"/>
      <c r="L1566" s="68"/>
      <c r="M1566" s="435" t="s">
        <v>9106</v>
      </c>
      <c r="N1566" s="1746" t="s">
        <v>9107</v>
      </c>
      <c r="O1566" s="68"/>
      <c r="P1566" s="1581" t="str">
        <f>SUBSTITUTE(LOWER(N1566), "/", "--") &amp;  ".pdf"</f>
        <v>10.1073--pnas.1517662112.pdf</v>
      </c>
      <c r="Q1566" s="52" t="str">
        <f t="array" ref="Q1566"> if(iserror(MATCH(V1566, 'File Links'!C:C, 0)), "N/A", HYPERLINK(INDEX('File Links'!B:B, MATCH(P1566, 'File Links'!C:C, 0))))</f>
        <v>https://drive.google.com/file/d/1p1O3cA89Rortn-b4c3if2MEMXd31m4nv/view?usp=drivesdk</v>
      </c>
      <c r="R1566" s="68" t="s">
        <v>9108</v>
      </c>
      <c r="S1566" s="374" t="s">
        <v>8716</v>
      </c>
      <c r="T1566" s="435" t="s">
        <v>8717</v>
      </c>
      <c r="U1566" s="156">
        <v>7.0</v>
      </c>
      <c r="V1566" s="198" t="str">
        <f t="shared" si="113"/>
        <v>10.1038--s41562-024-02062-9.pdf</v>
      </c>
      <c r="W1566" s="159" t="s">
        <v>8729</v>
      </c>
      <c r="X1566" s="54" t="str">
        <f t="array" ref="X1566"> if(iserror(MATCH(V1566, 'File Links'!C:C, 0)), "N/A", HYPERLINK(INDEX('File Links'!B:B, MATCH(V1566, 'File Links'!C:C, 0))))</f>
        <v>https://drive.google.com/file/d/1w8pcOEpgkXG4574TMp8vmQlQVMYXLL8c/view?usp=drivesdk</v>
      </c>
      <c r="Z1566" s="159" t="s">
        <v>226</v>
      </c>
      <c r="AA1566" s="159" t="s">
        <v>9109</v>
      </c>
      <c r="AB1566" s="159" t="s">
        <v>9110</v>
      </c>
      <c r="AC1566" s="159" t="s">
        <v>9111</v>
      </c>
      <c r="AD1566" s="159" t="s">
        <v>9112</v>
      </c>
      <c r="AE1566" s="156">
        <v>3.0</v>
      </c>
      <c r="AF1566" s="156">
        <v>273.0</v>
      </c>
      <c r="AG1566" s="156">
        <v>0.52</v>
      </c>
      <c r="AH1566" s="68" t="s">
        <v>361</v>
      </c>
      <c r="AI1566" s="68"/>
      <c r="AJ1566" s="709">
        <v>0.001</v>
      </c>
      <c r="AK1566" s="57" t="s">
        <v>135</v>
      </c>
      <c r="AL1566" s="57" t="s">
        <v>186</v>
      </c>
      <c r="AM1566" s="68" t="s">
        <v>137</v>
      </c>
      <c r="AN1566" s="61"/>
      <c r="AO1566" s="156">
        <v>503.0</v>
      </c>
      <c r="AP1566" s="156">
        <v>0.011</v>
      </c>
      <c r="AQ1566" s="159" t="s">
        <v>173</v>
      </c>
      <c r="AR1566" s="159" t="s">
        <v>507</v>
      </c>
      <c r="AS1566" s="156">
        <v>0.801</v>
      </c>
      <c r="AT1566" s="159" t="s">
        <v>172</v>
      </c>
      <c r="AU1566" s="159" t="s">
        <v>136</v>
      </c>
      <c r="AV1566" s="68" t="s">
        <v>137</v>
      </c>
      <c r="AW1566" s="68"/>
      <c r="AX1566" s="68" t="s">
        <v>143</v>
      </c>
      <c r="AY1566" s="61" t="str">
        <f>IFERROR(__xludf.DUMMYFUNCTION("vlookup(BB1566,importrange(""https://docs.google.com/spreadsheets/d/1d2vevQ_7D_v35q4wCQ4RpQ_IPoTwEMB9Yp6ymwlPqew/edit?gid=984458430#gid=984458430"", ""'replication success'!A:K""), 11, FAlSE)"),"failed")</f>
        <v>failed</v>
      </c>
      <c r="AZ1566" s="61" t="str">
        <f>IFERROR(__xludf.DUMMYFUNCTION("vlookup(BB1566,importrange(""https://docs.google.com/spreadsheets/d/1d2vevQ_7D_v35q4wCQ4RpQ_IPoTwEMB9Yp6ymwlPqew/edit?gid=984458430#gid=984458430"",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6" s="61" t="str">
        <f>IFERROR(__xludf.DUMMYFUNCTION("vlookup(BB1566,importrange(""https://docs.google.com/spreadsheets/d/1d2vevQ_7D_v35q4wCQ4RpQ_IPoTwEMB9Yp6ymwlPqew/edit?gid=984458430#gid=984458430"", ""'replication success'!A:M""), 13, FAlSE)"),"pg.3")</f>
        <v>pg.3</v>
      </c>
      <c r="BB1566" s="61" t="str">
        <f>IFERROR(__xludf.DUMMYFUNCTION("REGEXREPLACE(G1566, ""_[a-z]{1,2}$"", """")"),"Holzmeisteretal2024_3")</f>
        <v>Holzmeisteretal2024_3</v>
      </c>
      <c r="BD1566" s="188" t="s">
        <v>144</v>
      </c>
    </row>
    <row r="1567">
      <c r="A1567" s="44">
        <v>1567.0</v>
      </c>
      <c r="B1567" s="188" t="s">
        <v>152</v>
      </c>
      <c r="C1567" s="188" t="s">
        <v>115</v>
      </c>
      <c r="D1567" s="188" t="s">
        <v>1458</v>
      </c>
      <c r="E1567" s="189"/>
      <c r="F1567" s="190" t="s">
        <v>9113</v>
      </c>
      <c r="G1567" s="193" t="s">
        <v>9113</v>
      </c>
      <c r="H1567" s="198" t="s">
        <v>1518</v>
      </c>
      <c r="I1567" s="191">
        <v>45669.0</v>
      </c>
      <c r="J1567" s="1744">
        <v>45677.0</v>
      </c>
      <c r="K1567" s="198" t="s">
        <v>9114</v>
      </c>
      <c r="L1567" s="190"/>
      <c r="M1567" s="877" t="s">
        <v>9115</v>
      </c>
      <c r="N1567" s="1745" t="s">
        <v>9116</v>
      </c>
      <c r="O1567" s="758">
        <v>2.0</v>
      </c>
      <c r="P1567" s="977" t="str">
        <f> SUBSTITUTE(lower(N1567), "/", "--") &amp;  ".pdf"</f>
        <v>10.1073--pnas.1707040114.pdf</v>
      </c>
      <c r="Q1567" s="52" t="str">
        <f t="array" ref="Q1567"> if(iserror(MATCH(V1567, 'File Links'!C:C, 0)), "N/A", HYPERLINK(INDEX('File Links'!B:B, MATCH(P1567, 'File Links'!C:C, 0))))</f>
        <v>https://drive.google.com/file/d/1egXsfHxw3enkl4JvCEY0lfs0BTX1O2u3/view?usp=drivesdk</v>
      </c>
      <c r="R1567" s="195" t="s">
        <v>9117</v>
      </c>
      <c r="S1567" s="374" t="s">
        <v>8716</v>
      </c>
      <c r="T1567" s="877" t="s">
        <v>8717</v>
      </c>
      <c r="U1567" s="758">
        <v>1.0</v>
      </c>
      <c r="V1567" s="198" t="str">
        <f t="shared" si="113"/>
        <v>10.1038--s41562-024-02062-9.pdf</v>
      </c>
      <c r="W1567" s="198" t="s">
        <v>9118</v>
      </c>
      <c r="X1567" s="54" t="str">
        <f t="array" ref="X1567"> if(iserror(MATCH(V1567, 'File Links'!C:C, 0)), "N/A", HYPERLINK(INDEX('File Links'!B:B, MATCH(V1567, 'File Links'!C:C, 0))))</f>
        <v>https://drive.google.com/file/d/1w8pcOEpgkXG4574TMp8vmQlQVMYXLL8c/view?usp=drivesdk</v>
      </c>
      <c r="Z1567" s="198" t="s">
        <v>210</v>
      </c>
      <c r="AA1567" s="198" t="s">
        <v>9119</v>
      </c>
      <c r="AB1567" s="198" t="s">
        <v>9120</v>
      </c>
      <c r="AC1567" s="198" t="s">
        <v>9121</v>
      </c>
      <c r="AD1567" s="198" t="s">
        <v>9122</v>
      </c>
      <c r="AE1567" s="1753">
        <v>45750.0</v>
      </c>
      <c r="AF1567" s="758">
        <v>207.0</v>
      </c>
      <c r="AG1567" s="758">
        <v>-0.23</v>
      </c>
      <c r="AH1567" s="198" t="s">
        <v>361</v>
      </c>
      <c r="AI1567" s="198" t="s">
        <v>496</v>
      </c>
      <c r="AJ1567" s="875">
        <v>0.027</v>
      </c>
      <c r="AK1567" s="58" t="s">
        <v>172</v>
      </c>
      <c r="AL1567" s="58" t="s">
        <v>186</v>
      </c>
      <c r="AM1567" s="190" t="s">
        <v>137</v>
      </c>
      <c r="AN1567" s="374" t="s">
        <v>138</v>
      </c>
      <c r="AO1567" s="758">
        <v>1044.0</v>
      </c>
      <c r="AP1567" s="1750">
        <v>0.067</v>
      </c>
      <c r="AQ1567" s="198" t="s">
        <v>173</v>
      </c>
      <c r="AR1567" s="198" t="s">
        <v>2771</v>
      </c>
      <c r="AS1567" s="1751">
        <v>0.278</v>
      </c>
      <c r="AT1567" s="198" t="s">
        <v>172</v>
      </c>
      <c r="AU1567" s="198" t="s">
        <v>136</v>
      </c>
      <c r="AV1567" s="190" t="s">
        <v>137</v>
      </c>
      <c r="AW1567" s="877" t="s">
        <v>9123</v>
      </c>
      <c r="AX1567" s="190" t="s">
        <v>143</v>
      </c>
      <c r="AY1567" s="61" t="str">
        <f>IFERROR(__xludf.DUMMYFUNCTION("vlookup(BB1567,importrange(""https://docs.google.com/spreadsheets/d/1d2vevQ_7D_v35q4wCQ4RpQ_IPoTwEMB9Yp6ymwlPqew/edit?gid=984458430#gid=984458430"", ""'replication success'!A:K""), 11, FAlSE)"),"failed")</f>
        <v>failed</v>
      </c>
      <c r="AZ1567" s="61" t="str">
        <f>IFERROR(__xludf.DUMMYFUNCTION("vlookup(BB1567,importrange(""https://docs.google.com/spreadsheets/d/1d2vevQ_7D_v35q4wCQ4RpQ_IPoTwEMB9Yp6ymwlPqew/edit?gid=984458430#gid=984458430"",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7" s="61" t="str">
        <f>IFERROR(__xludf.DUMMYFUNCTION("vlookup(BB1567,importrange(""https://docs.google.com/spreadsheets/d/1d2vevQ_7D_v35q4wCQ4RpQ_IPoTwEMB9Yp6ymwlPqew/edit?gid=984458430#gid=984458430"", ""'replication success'!A:M""), 13, FAlSE)"),"pg.3")</f>
        <v>pg.3</v>
      </c>
      <c r="BB1567" s="61" t="str">
        <f>IFERROR(__xludf.DUMMYFUNCTION("REGEXREPLACE(G1567, ""_[a-z]{1,2}$"", """")"),"Holzmeisteretal2024_4")</f>
        <v>Holzmeisteretal2024_4</v>
      </c>
      <c r="BC1567" s="189"/>
      <c r="BD1567" s="188" t="s">
        <v>144</v>
      </c>
    </row>
    <row r="1568">
      <c r="A1568" s="44">
        <v>1568.0</v>
      </c>
      <c r="B1568" s="62" t="s">
        <v>114</v>
      </c>
      <c r="C1568" s="62" t="s">
        <v>115</v>
      </c>
      <c r="D1568" s="62" t="s">
        <v>1441</v>
      </c>
      <c r="F1568" s="68" t="s">
        <v>9113</v>
      </c>
      <c r="G1568" s="61" t="s">
        <v>9113</v>
      </c>
      <c r="H1568" s="159" t="s">
        <v>1444</v>
      </c>
      <c r="I1568" s="68"/>
      <c r="J1568" s="1744">
        <v>45677.0</v>
      </c>
      <c r="K1568" s="68"/>
      <c r="L1568" s="68"/>
      <c r="M1568" s="435" t="s">
        <v>9124</v>
      </c>
      <c r="N1568" s="1746" t="s">
        <v>9125</v>
      </c>
      <c r="O1568" s="68"/>
      <c r="P1568" s="1581" t="str">
        <f>SUBSTITUTE(LOWER(N1568), "/", "--") &amp;  ".pdf"</f>
        <v>10.1073--pnas.1707040114.pdf</v>
      </c>
      <c r="Q1568" s="52" t="str">
        <f t="array" ref="Q1568"> if(iserror(MATCH(V1568, 'File Links'!C:C, 0)), "N/A", HYPERLINK(INDEX('File Links'!B:B, MATCH(P1568, 'File Links'!C:C, 0))))</f>
        <v>https://drive.google.com/file/d/1egXsfHxw3enkl4JvCEY0lfs0BTX1O2u3/view?usp=drivesdk</v>
      </c>
      <c r="R1568" s="68" t="s">
        <v>9126</v>
      </c>
      <c r="S1568" s="374" t="s">
        <v>8716</v>
      </c>
      <c r="T1568" s="435" t="s">
        <v>8717</v>
      </c>
      <c r="U1568" s="156">
        <v>2.0</v>
      </c>
      <c r="V1568" s="198" t="str">
        <f t="shared" si="113"/>
        <v>10.1038--s41562-024-02062-9.pdf</v>
      </c>
      <c r="W1568" s="159" t="s">
        <v>8729</v>
      </c>
      <c r="X1568" s="54" t="str">
        <f t="array" ref="X1568"> if(iserror(MATCH(V1568, 'File Links'!C:C, 0)), "N/A", HYPERLINK(INDEX('File Links'!B:B, MATCH(V1568, 'File Links'!C:C, 0))))</f>
        <v>https://drive.google.com/file/d/1w8pcOEpgkXG4574TMp8vmQlQVMYXLL8c/view?usp=drivesdk</v>
      </c>
      <c r="Z1568" s="159" t="s">
        <v>210</v>
      </c>
      <c r="AA1568" s="159" t="s">
        <v>9127</v>
      </c>
      <c r="AB1568" s="159" t="s">
        <v>9128</v>
      </c>
      <c r="AC1568" s="159" t="s">
        <v>9129</v>
      </c>
      <c r="AD1568" s="159" t="s">
        <v>9130</v>
      </c>
      <c r="AE1568" s="156">
        <v>3.0</v>
      </c>
      <c r="AF1568" s="156">
        <v>207.0</v>
      </c>
      <c r="AG1568" s="156">
        <v>-0.23</v>
      </c>
      <c r="AH1568" s="68" t="s">
        <v>361</v>
      </c>
      <c r="AI1568" s="68"/>
      <c r="AJ1568" s="709">
        <v>0.027</v>
      </c>
      <c r="AK1568" s="57" t="s">
        <v>172</v>
      </c>
      <c r="AL1568" s="57" t="s">
        <v>186</v>
      </c>
      <c r="AM1568" s="68" t="s">
        <v>137</v>
      </c>
      <c r="AN1568" s="61"/>
      <c r="AO1568" s="156">
        <v>1044.0</v>
      </c>
      <c r="AP1568" s="156">
        <v>0.067</v>
      </c>
      <c r="AQ1568" s="159" t="s">
        <v>173</v>
      </c>
      <c r="AR1568" s="159" t="s">
        <v>2771</v>
      </c>
      <c r="AS1568" s="156">
        <v>0.278</v>
      </c>
      <c r="AT1568" s="159" t="s">
        <v>172</v>
      </c>
      <c r="AU1568" s="159" t="s">
        <v>136</v>
      </c>
      <c r="AV1568" s="68" t="s">
        <v>137</v>
      </c>
      <c r="AW1568" s="68"/>
      <c r="AX1568" s="68" t="s">
        <v>143</v>
      </c>
      <c r="AY1568" s="61" t="str">
        <f>IFERROR(__xludf.DUMMYFUNCTION("vlookup(BB1568,importrange(""https://docs.google.com/spreadsheets/d/1d2vevQ_7D_v35q4wCQ4RpQ_IPoTwEMB9Yp6ymwlPqew/edit?gid=984458430#gid=984458430"", ""'replication success'!A:K""), 11, FAlSE)"),"failed")</f>
        <v>failed</v>
      </c>
      <c r="AZ1568" s="61" t="str">
        <f>IFERROR(__xludf.DUMMYFUNCTION("vlookup(BB1568,importrange(""https://docs.google.com/spreadsheets/d/1d2vevQ_7D_v35q4wCQ4RpQ_IPoTwEMB9Yp6ymwlPqew/edit?gid=984458430#gid=984458430"",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8" s="61" t="str">
        <f>IFERROR(__xludf.DUMMYFUNCTION("vlookup(BB1568,importrange(""https://docs.google.com/spreadsheets/d/1d2vevQ_7D_v35q4wCQ4RpQ_IPoTwEMB9Yp6ymwlPqew/edit?gid=984458430#gid=984458430"", ""'replication success'!A:M""), 13, FAlSE)"),"pg.3")</f>
        <v>pg.3</v>
      </c>
      <c r="BB1568" s="61" t="str">
        <f>IFERROR(__xludf.DUMMYFUNCTION("REGEXREPLACE(G1568, ""_[a-z]{1,2}$"", """")"),"Holzmeisteretal2024_4")</f>
        <v>Holzmeisteretal2024_4</v>
      </c>
      <c r="BD1568" s="188" t="s">
        <v>144</v>
      </c>
    </row>
    <row r="1569">
      <c r="A1569" s="44">
        <v>1569.0</v>
      </c>
      <c r="B1569" s="188" t="s">
        <v>152</v>
      </c>
      <c r="C1569" s="188" t="s">
        <v>115</v>
      </c>
      <c r="D1569" s="188" t="s">
        <v>1458</v>
      </c>
      <c r="E1569" s="189"/>
      <c r="F1569" s="190" t="s">
        <v>9131</v>
      </c>
      <c r="G1569" s="193" t="s">
        <v>9131</v>
      </c>
      <c r="H1569" s="198" t="s">
        <v>1518</v>
      </c>
      <c r="I1569" s="191">
        <v>45669.0</v>
      </c>
      <c r="J1569" s="1744">
        <v>45677.0</v>
      </c>
      <c r="K1569" s="198" t="s">
        <v>9132</v>
      </c>
      <c r="L1569" s="190"/>
      <c r="M1569" s="877" t="s">
        <v>9133</v>
      </c>
      <c r="N1569" s="1745" t="s">
        <v>9134</v>
      </c>
      <c r="O1569" s="758">
        <v>5.0</v>
      </c>
      <c r="P1569" s="977" t="str">
        <f> SUBSTITUTE(lower(N1569), "/", "--") &amp;  ".pdf"</f>
        <v>10.1073--pnas.1705238114.pdf</v>
      </c>
      <c r="Q1569" s="52" t="str">
        <f t="array" ref="Q1569"> if(iserror(MATCH(V1569, 'File Links'!C:C, 0)), "N/A", HYPERLINK(INDEX('File Links'!B:B, MATCH(P1569, 'File Links'!C:C, 0))))</f>
        <v>https://drive.google.com/file/d/1n2AFbrWCoSyUJoEu2sdAqSUYEEqLi3-i/view?usp=drivesdk</v>
      </c>
      <c r="R1569" s="195" t="s">
        <v>9135</v>
      </c>
      <c r="S1569" s="374" t="s">
        <v>8716</v>
      </c>
      <c r="T1569" s="877" t="s">
        <v>8717</v>
      </c>
      <c r="U1569" s="758">
        <v>1.0</v>
      </c>
      <c r="V1569" s="198" t="str">
        <f t="shared" si="113"/>
        <v>10.1038--s41562-024-02062-9.pdf</v>
      </c>
      <c r="W1569" s="198" t="s">
        <v>9136</v>
      </c>
      <c r="X1569" s="54" t="str">
        <f t="array" ref="X1569"> if(iserror(MATCH(V1569, 'File Links'!C:C, 0)), "N/A", HYPERLINK(INDEX('File Links'!B:B, MATCH(V1569, 'File Links'!C:C, 0))))</f>
        <v>https://drive.google.com/file/d/1w8pcOEpgkXG4574TMp8vmQlQVMYXLL8c/view?usp=drivesdk</v>
      </c>
      <c r="Z1569" s="198" t="s">
        <v>226</v>
      </c>
      <c r="AA1569" s="198" t="s">
        <v>9137</v>
      </c>
      <c r="AB1569" s="198" t="s">
        <v>9138</v>
      </c>
      <c r="AC1569" s="198" t="s">
        <v>9139</v>
      </c>
      <c r="AD1569" s="198" t="s">
        <v>9140</v>
      </c>
      <c r="AE1569" s="758">
        <v>3.0</v>
      </c>
      <c r="AF1569" s="190"/>
      <c r="AG1569" s="198" t="s">
        <v>9141</v>
      </c>
      <c r="AH1569" s="198" t="s">
        <v>134</v>
      </c>
      <c r="AI1569" s="198" t="s">
        <v>507</v>
      </c>
      <c r="AJ1569" s="875">
        <v>0.025</v>
      </c>
      <c r="AK1569" s="58" t="s">
        <v>172</v>
      </c>
      <c r="AL1569" s="58" t="s">
        <v>186</v>
      </c>
      <c r="AM1569" s="371" t="s">
        <v>137</v>
      </c>
      <c r="AN1569" s="374" t="s">
        <v>138</v>
      </c>
      <c r="AO1569" s="758">
        <v>855.0</v>
      </c>
      <c r="AP1569" s="758">
        <v>0.185</v>
      </c>
      <c r="AQ1569" s="198" t="s">
        <v>173</v>
      </c>
      <c r="AR1569" s="198" t="s">
        <v>507</v>
      </c>
      <c r="AS1569" s="758">
        <v>0.007</v>
      </c>
      <c r="AT1569" s="198" t="s">
        <v>172</v>
      </c>
      <c r="AU1569" s="198" t="s">
        <v>136</v>
      </c>
      <c r="AV1569" s="190" t="s">
        <v>137</v>
      </c>
      <c r="AW1569" s="877" t="s">
        <v>9142</v>
      </c>
      <c r="AX1569" s="190" t="s">
        <v>143</v>
      </c>
      <c r="AY1569" s="61" t="str">
        <f>IFERROR(__xludf.DUMMYFUNCTION("vlookup(BB1569,importrange(""https://docs.google.com/spreadsheets/d/1d2vevQ_7D_v35q4wCQ4RpQ_IPoTwEMB9Yp6ymwlPqew/edit?gid=984458430#gid=984458430"", ""'replication success'!A:K""), 11, FAlSE)"),"successful")</f>
        <v>successful</v>
      </c>
      <c r="AZ1569" s="61" t="str">
        <f>IFERROR(__xludf.DUMMYFUNCTION("vlookup(BB1569,importrange(""https://docs.google.com/spreadsheets/d/1d2vevQ_7D_v35q4wCQ4RpQ_IPoTwEMB9Yp6ymwlPqew/edit?gid=984458430#gid=984458430"",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69" s="61" t="str">
        <f>IFERROR(__xludf.DUMMYFUNCTION("vlookup(BB1569,importrange(""https://docs.google.com/spreadsheets/d/1d2vevQ_7D_v35q4wCQ4RpQ_IPoTwEMB9Yp6ymwlPqew/edit?gid=984458430#gid=984458430"", ""'replication success'!A:M""), 13, FAlSE)"),"pg.3")</f>
        <v>pg.3</v>
      </c>
      <c r="BB1569" s="61" t="str">
        <f>IFERROR(__xludf.DUMMYFUNCTION("REGEXREPLACE(G1569, ""_[a-z]{1,2}$"", """")"),"Holzmeisteretal2024_5")</f>
        <v>Holzmeisteretal2024_5</v>
      </c>
      <c r="BC1569" s="189"/>
      <c r="BD1569" s="188" t="s">
        <v>144</v>
      </c>
    </row>
    <row r="1570">
      <c r="A1570" s="44">
        <v>1570.0</v>
      </c>
      <c r="B1570" s="62" t="s">
        <v>114</v>
      </c>
      <c r="C1570" s="62" t="s">
        <v>115</v>
      </c>
      <c r="D1570" s="62" t="s">
        <v>1441</v>
      </c>
      <c r="F1570" s="68" t="s">
        <v>9131</v>
      </c>
      <c r="G1570" s="61" t="s">
        <v>9131</v>
      </c>
      <c r="H1570" s="159" t="s">
        <v>1444</v>
      </c>
      <c r="I1570" s="68"/>
      <c r="J1570" s="1744">
        <v>45677.0</v>
      </c>
      <c r="K1570" s="68"/>
      <c r="L1570" s="68"/>
      <c r="M1570" s="435" t="s">
        <v>9143</v>
      </c>
      <c r="N1570" s="1746" t="s">
        <v>9144</v>
      </c>
      <c r="O1570" s="68"/>
      <c r="P1570" s="1581" t="str">
        <f>SUBSTITUTE(LOWER(N1570), "/", "--") &amp;  ".pdf"</f>
        <v>10.1073--pnas.1705238114.pdf</v>
      </c>
      <c r="Q1570" s="52" t="str">
        <f t="array" ref="Q1570"> if(iserror(MATCH(V1570, 'File Links'!C:C, 0)), "N/A", HYPERLINK(INDEX('File Links'!B:B, MATCH(P1570, 'File Links'!C:C, 0))))</f>
        <v>https://drive.google.com/file/d/1n2AFbrWCoSyUJoEu2sdAqSUYEEqLi3-i/view?usp=drivesdk</v>
      </c>
      <c r="R1570" s="68" t="s">
        <v>9145</v>
      </c>
      <c r="S1570" s="374" t="s">
        <v>8716</v>
      </c>
      <c r="T1570" s="435" t="s">
        <v>8717</v>
      </c>
      <c r="U1570" s="156">
        <v>3.0</v>
      </c>
      <c r="V1570" s="198" t="str">
        <f t="shared" si="113"/>
        <v>10.1038--s41562-024-02062-9.pdf</v>
      </c>
      <c r="W1570" s="159" t="s">
        <v>8729</v>
      </c>
      <c r="X1570" s="54" t="str">
        <f t="array" ref="X1570"> if(iserror(MATCH(V1570, 'File Links'!C:C, 0)), "N/A", HYPERLINK(INDEX('File Links'!B:B, MATCH(V1570, 'File Links'!C:C, 0))))</f>
        <v>https://drive.google.com/file/d/1w8pcOEpgkXG4574TMp8vmQlQVMYXLL8c/view?usp=drivesdk</v>
      </c>
      <c r="Z1570" s="159" t="s">
        <v>226</v>
      </c>
      <c r="AA1570" s="159" t="s">
        <v>9146</v>
      </c>
      <c r="AB1570" s="159" t="s">
        <v>9147</v>
      </c>
      <c r="AC1570" s="159" t="s">
        <v>9148</v>
      </c>
      <c r="AD1570" s="159" t="s">
        <v>9149</v>
      </c>
      <c r="AE1570" s="156">
        <v>3.0</v>
      </c>
      <c r="AF1570" s="156">
        <v>182.0</v>
      </c>
      <c r="AG1570" s="159" t="s">
        <v>9141</v>
      </c>
      <c r="AH1570" s="159" t="s">
        <v>134</v>
      </c>
      <c r="AI1570" s="68"/>
      <c r="AJ1570" s="709">
        <v>0.025</v>
      </c>
      <c r="AK1570" s="57" t="s">
        <v>172</v>
      </c>
      <c r="AL1570" s="57" t="s">
        <v>186</v>
      </c>
      <c r="AM1570" s="1748" t="s">
        <v>137</v>
      </c>
      <c r="AN1570" s="61"/>
      <c r="AO1570" s="156">
        <v>855.0</v>
      </c>
      <c r="AP1570" s="156">
        <v>0.185</v>
      </c>
      <c r="AQ1570" s="159" t="s">
        <v>173</v>
      </c>
      <c r="AR1570" s="159" t="s">
        <v>507</v>
      </c>
      <c r="AS1570" s="156">
        <v>0.007</v>
      </c>
      <c r="AT1570" s="159" t="s">
        <v>172</v>
      </c>
      <c r="AU1570" s="159" t="s">
        <v>136</v>
      </c>
      <c r="AV1570" s="1748" t="s">
        <v>137</v>
      </c>
      <c r="AW1570" s="68"/>
      <c r="AX1570" s="1748" t="s">
        <v>143</v>
      </c>
      <c r="AY1570" s="61" t="str">
        <f>IFERROR(__xludf.DUMMYFUNCTION("vlookup(BB1570,importrange(""https://docs.google.com/spreadsheets/d/1d2vevQ_7D_v35q4wCQ4RpQ_IPoTwEMB9Yp6ymwlPqew/edit?gid=984458430#gid=984458430"", ""'replication success'!A:K""), 11, FAlSE)"),"successful")</f>
        <v>successful</v>
      </c>
      <c r="AZ1570" s="61" t="str">
        <f>IFERROR(__xludf.DUMMYFUNCTION("vlookup(BB1570,importrange(""https://docs.google.com/spreadsheets/d/1d2vevQ_7D_v35q4wCQ4RpQ_IPoTwEMB9Yp6ymwlPqew/edit?gid=984458430#gid=984458430"",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0" s="61" t="str">
        <f>IFERROR(__xludf.DUMMYFUNCTION("vlookup(BB1570,importrange(""https://docs.google.com/spreadsheets/d/1d2vevQ_7D_v35q4wCQ4RpQ_IPoTwEMB9Yp6ymwlPqew/edit?gid=984458430#gid=984458430"", ""'replication success'!A:M""), 13, FAlSE)"),"pg.3")</f>
        <v>pg.3</v>
      </c>
      <c r="BB1570" s="61" t="str">
        <f>IFERROR(__xludf.DUMMYFUNCTION("REGEXREPLACE(G1570, ""_[a-z]{1,2}$"", """")"),"Holzmeisteretal2024_5")</f>
        <v>Holzmeisteretal2024_5</v>
      </c>
      <c r="BD1570" s="188" t="s">
        <v>144</v>
      </c>
    </row>
    <row r="1571">
      <c r="A1571" s="44">
        <v>1571.0</v>
      </c>
      <c r="B1571" s="188" t="s">
        <v>152</v>
      </c>
      <c r="C1571" s="188" t="s">
        <v>115</v>
      </c>
      <c r="D1571" s="188" t="s">
        <v>1458</v>
      </c>
      <c r="E1571" s="189"/>
      <c r="F1571" s="190" t="s">
        <v>9150</v>
      </c>
      <c r="G1571" s="193" t="s">
        <v>9150</v>
      </c>
      <c r="H1571" s="198" t="s">
        <v>1518</v>
      </c>
      <c r="I1571" s="191">
        <v>45669.0</v>
      </c>
      <c r="J1571" s="1744">
        <v>45677.0</v>
      </c>
      <c r="K1571" s="198" t="s">
        <v>9151</v>
      </c>
      <c r="L1571" s="190"/>
      <c r="M1571" s="877" t="s">
        <v>9152</v>
      </c>
      <c r="N1571" s="1745" t="s">
        <v>9153</v>
      </c>
      <c r="O1571" s="758">
        <v>1.0</v>
      </c>
      <c r="P1571" s="977" t="str">
        <f> SUBSTITUTE(lower(N1571), "/", "--") &amp;  ".pdf"</f>
        <v>10.1073--pnas.1704032114.pdf</v>
      </c>
      <c r="Q1571" s="52" t="str">
        <f t="array" ref="Q1571"> if(iserror(MATCH(V1571, 'File Links'!C:C, 0)), "N/A", HYPERLINK(INDEX('File Links'!B:B, MATCH(P1571, 'File Links'!C:C, 0))))</f>
        <v>https://drive.google.com/file/d/1j22rPSmrajVUMaZJ7ZQ_3oBwSfmIAktN/view?usp=drivesdk</v>
      </c>
      <c r="R1571" s="195" t="s">
        <v>9154</v>
      </c>
      <c r="S1571" s="374" t="s">
        <v>8716</v>
      </c>
      <c r="T1571" s="877" t="s">
        <v>8717</v>
      </c>
      <c r="U1571" s="758">
        <v>1.0</v>
      </c>
      <c r="V1571" s="198" t="str">
        <f t="shared" si="113"/>
        <v>10.1038--s41562-024-02062-9.pdf</v>
      </c>
      <c r="W1571" s="198" t="s">
        <v>9155</v>
      </c>
      <c r="X1571" s="54" t="str">
        <f t="array" ref="X1571"> if(iserror(MATCH(V1571, 'File Links'!C:C, 0)), "N/A", HYPERLINK(INDEX('File Links'!B:B, MATCH(V1571, 'File Links'!C:C, 0))))</f>
        <v>https://drive.google.com/file/d/1w8pcOEpgkXG4574TMp8vmQlQVMYXLL8c/view?usp=drivesdk</v>
      </c>
      <c r="Z1571" s="198" t="s">
        <v>148</v>
      </c>
      <c r="AA1571" s="198" t="s">
        <v>9156</v>
      </c>
      <c r="AB1571" s="198" t="s">
        <v>9157</v>
      </c>
      <c r="AC1571" s="198" t="s">
        <v>9158</v>
      </c>
      <c r="AD1571" s="575" t="s">
        <v>9159</v>
      </c>
      <c r="AE1571" s="758">
        <v>4.0</v>
      </c>
      <c r="AF1571" s="758">
        <v>100.0</v>
      </c>
      <c r="AG1571" s="575" t="s">
        <v>9160</v>
      </c>
      <c r="AH1571" s="198" t="s">
        <v>134</v>
      </c>
      <c r="AI1571" s="198" t="s">
        <v>496</v>
      </c>
      <c r="AJ1571" s="875">
        <v>0.001</v>
      </c>
      <c r="AK1571" s="58" t="s">
        <v>135</v>
      </c>
      <c r="AL1571" s="58" t="s">
        <v>186</v>
      </c>
      <c r="AM1571" s="371" t="s">
        <v>137</v>
      </c>
      <c r="AN1571" s="374" t="s">
        <v>138</v>
      </c>
      <c r="AO1571" s="758">
        <v>128.0</v>
      </c>
      <c r="AP1571" s="758">
        <v>0.414</v>
      </c>
      <c r="AQ1571" s="198" t="s">
        <v>173</v>
      </c>
      <c r="AR1571" s="198" t="s">
        <v>2771</v>
      </c>
      <c r="AS1571" s="758">
        <v>0.019</v>
      </c>
      <c r="AT1571" s="198" t="s">
        <v>172</v>
      </c>
      <c r="AU1571" s="198" t="s">
        <v>136</v>
      </c>
      <c r="AV1571" s="371" t="s">
        <v>137</v>
      </c>
      <c r="AW1571" s="877" t="s">
        <v>9161</v>
      </c>
      <c r="AX1571" s="190" t="s">
        <v>143</v>
      </c>
      <c r="AY1571" s="61" t="str">
        <f>IFERROR(__xludf.DUMMYFUNCTION("vlookup(BB1571,importrange(""https://docs.google.com/spreadsheets/d/1d2vevQ_7D_v35q4wCQ4RpQ_IPoTwEMB9Yp6ymwlPqew/edit?gid=984458430#gid=984458430"", ""'replication success'!A:K""), 11, FAlSE)"),"successful")</f>
        <v>successful</v>
      </c>
      <c r="AZ1571" s="61" t="str">
        <f>IFERROR(__xludf.DUMMYFUNCTION("vlookup(BB1571,importrange(""https://docs.google.com/spreadsheets/d/1d2vevQ_7D_v35q4wCQ4RpQ_IPoTwEMB9Yp6ymwlPqew/edit?gid=984458430#gid=984458430"",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1" s="61" t="str">
        <f>IFERROR(__xludf.DUMMYFUNCTION("vlookup(BB1571,importrange(""https://docs.google.com/spreadsheets/d/1d2vevQ_7D_v35q4wCQ4RpQ_IPoTwEMB9Yp6ymwlPqew/edit?gid=984458430#gid=984458430"", ""'replication success'!A:M""), 13, FAlSE)"),"pg.3")</f>
        <v>pg.3</v>
      </c>
      <c r="BB1571" s="61" t="str">
        <f>IFERROR(__xludf.DUMMYFUNCTION("REGEXREPLACE(G1571, ""_[a-z]{1,2}$"", """")"),"Holzmeisteretal2024_6")</f>
        <v>Holzmeisteretal2024_6</v>
      </c>
      <c r="BC1571" s="189"/>
      <c r="BD1571" s="188" t="s">
        <v>144</v>
      </c>
    </row>
    <row r="1572">
      <c r="A1572" s="44">
        <v>1572.0</v>
      </c>
      <c r="B1572" s="62" t="s">
        <v>114</v>
      </c>
      <c r="C1572" s="62" t="s">
        <v>115</v>
      </c>
      <c r="D1572" s="62" t="s">
        <v>1441</v>
      </c>
      <c r="F1572" s="68" t="s">
        <v>9150</v>
      </c>
      <c r="G1572" s="61" t="s">
        <v>9150</v>
      </c>
      <c r="H1572" s="159" t="s">
        <v>1444</v>
      </c>
      <c r="I1572" s="68"/>
      <c r="J1572" s="1744">
        <v>45677.0</v>
      </c>
      <c r="K1572" s="159" t="s">
        <v>9162</v>
      </c>
      <c r="L1572" s="68"/>
      <c r="M1572" s="435" t="s">
        <v>9163</v>
      </c>
      <c r="N1572" s="1746" t="s">
        <v>9164</v>
      </c>
      <c r="O1572" s="68"/>
      <c r="P1572" s="1581" t="str">
        <f>SUBSTITUTE(LOWER(N1572), "/", "--") &amp;  ".pdf"</f>
        <v>10.1073--pnas.1704032114.pdf</v>
      </c>
      <c r="Q1572" s="52" t="str">
        <f t="array" ref="Q1572"> if(iserror(MATCH(V1572, 'File Links'!C:C, 0)), "N/A", HYPERLINK(INDEX('File Links'!B:B, MATCH(P1572, 'File Links'!C:C, 0))))</f>
        <v>https://drive.google.com/file/d/1j22rPSmrajVUMaZJ7ZQ_3oBwSfmIAktN/view?usp=drivesdk</v>
      </c>
      <c r="R1572" s="68" t="s">
        <v>9165</v>
      </c>
      <c r="S1572" s="374" t="s">
        <v>8716</v>
      </c>
      <c r="T1572" s="435" t="s">
        <v>8717</v>
      </c>
      <c r="U1572" s="68"/>
      <c r="V1572" s="198" t="str">
        <f t="shared" si="113"/>
        <v>10.1038--s41562-024-02062-9.pdf</v>
      </c>
      <c r="W1572" s="159" t="s">
        <v>8729</v>
      </c>
      <c r="X1572" s="54" t="str">
        <f t="array" ref="X1572"> if(iserror(MATCH(V1572, 'File Links'!C:C, 0)), "N/A", HYPERLINK(INDEX('File Links'!B:B, MATCH(V1572, 'File Links'!C:C, 0))))</f>
        <v>https://drive.google.com/file/d/1w8pcOEpgkXG4574TMp8vmQlQVMYXLL8c/view?usp=drivesdk</v>
      </c>
      <c r="Z1572" s="159" t="s">
        <v>226</v>
      </c>
      <c r="AA1572" s="159" t="s">
        <v>9166</v>
      </c>
      <c r="AB1572" s="159" t="s">
        <v>9167</v>
      </c>
      <c r="AC1572" s="159" t="s">
        <v>9168</v>
      </c>
      <c r="AD1572" s="151" t="s">
        <v>9169</v>
      </c>
      <c r="AE1572" s="156">
        <v>4.0</v>
      </c>
      <c r="AF1572" s="156">
        <v>100.0</v>
      </c>
      <c r="AG1572" s="159" t="s">
        <v>9170</v>
      </c>
      <c r="AH1572" s="159" t="s">
        <v>134</v>
      </c>
      <c r="AI1572" s="68"/>
      <c r="AJ1572" s="709">
        <v>0.001</v>
      </c>
      <c r="AK1572" s="57" t="s">
        <v>135</v>
      </c>
      <c r="AL1572" s="57" t="s">
        <v>186</v>
      </c>
      <c r="AM1572" s="1748" t="s">
        <v>141</v>
      </c>
      <c r="AN1572" s="61"/>
      <c r="AO1572" s="156">
        <v>128.0</v>
      </c>
      <c r="AP1572" s="156">
        <v>0.414</v>
      </c>
      <c r="AQ1572" s="159" t="s">
        <v>173</v>
      </c>
      <c r="AR1572" s="159" t="s">
        <v>2771</v>
      </c>
      <c r="AS1572" s="156">
        <v>0.019</v>
      </c>
      <c r="AT1572" s="159" t="s">
        <v>172</v>
      </c>
      <c r="AU1572" s="159" t="s">
        <v>136</v>
      </c>
      <c r="AV1572" s="1748" t="s">
        <v>141</v>
      </c>
      <c r="AW1572" s="68"/>
      <c r="AX1572" s="1748" t="s">
        <v>143</v>
      </c>
      <c r="AY1572" s="61" t="str">
        <f>IFERROR(__xludf.DUMMYFUNCTION("vlookup(BB1572,importrange(""https://docs.google.com/spreadsheets/d/1d2vevQ_7D_v35q4wCQ4RpQ_IPoTwEMB9Yp6ymwlPqew/edit?gid=984458430#gid=984458430"", ""'replication success'!A:K""), 11, FAlSE)"),"successful")</f>
        <v>successful</v>
      </c>
      <c r="AZ1572" s="61" t="str">
        <f>IFERROR(__xludf.DUMMYFUNCTION("vlookup(BB1572,importrange(""https://docs.google.com/spreadsheets/d/1d2vevQ_7D_v35q4wCQ4RpQ_IPoTwEMB9Yp6ymwlPqew/edit?gid=984458430#gid=984458430"",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2" s="61" t="str">
        <f>IFERROR(__xludf.DUMMYFUNCTION("vlookup(BB1572,importrange(""https://docs.google.com/spreadsheets/d/1d2vevQ_7D_v35q4wCQ4RpQ_IPoTwEMB9Yp6ymwlPqew/edit?gid=984458430#gid=984458430"", ""'replication success'!A:M""), 13, FAlSE)"),"pg.3")</f>
        <v>pg.3</v>
      </c>
      <c r="BB1572" s="61" t="str">
        <f>IFERROR(__xludf.DUMMYFUNCTION("REGEXREPLACE(G1572, ""_[a-z]{1,2}$"", """")"),"Holzmeisteretal2024_6")</f>
        <v>Holzmeisteretal2024_6</v>
      </c>
      <c r="BD1572" s="188" t="s">
        <v>144</v>
      </c>
    </row>
    <row r="1573">
      <c r="A1573" s="44">
        <v>1573.0</v>
      </c>
      <c r="B1573" s="188" t="s">
        <v>152</v>
      </c>
      <c r="C1573" s="188" t="s">
        <v>115</v>
      </c>
      <c r="D1573" s="188" t="s">
        <v>1458</v>
      </c>
      <c r="E1573" s="189"/>
      <c r="F1573" s="190" t="s">
        <v>9171</v>
      </c>
      <c r="G1573" s="193" t="s">
        <v>9171</v>
      </c>
      <c r="H1573" s="198" t="s">
        <v>1518</v>
      </c>
      <c r="I1573" s="191">
        <v>45669.0</v>
      </c>
      <c r="J1573" s="1744">
        <v>45677.0</v>
      </c>
      <c r="K1573" s="198" t="s">
        <v>9172</v>
      </c>
      <c r="L1573" s="190"/>
      <c r="M1573" s="877" t="s">
        <v>9173</v>
      </c>
      <c r="N1573" s="1745" t="s">
        <v>9174</v>
      </c>
      <c r="O1573" s="758">
        <v>3.0</v>
      </c>
      <c r="P1573" s="977" t="str">
        <f> SUBSTITUTE(lower(N1573), "/", "--") &amp;  ".pdf"</f>
        <v>10.1073--pnas.1706253114.pdf</v>
      </c>
      <c r="Q1573" s="52" t="str">
        <f t="array" ref="Q1573"> if(iserror(MATCH(V1573, 'File Links'!C:C, 0)), "N/A", HYPERLINK(INDEX('File Links'!B:B, MATCH(P1573, 'File Links'!C:C, 0))))</f>
        <v>https://drive.google.com/file/d/1KgVy8pDNXw_rUPEflxR0eTSRI8bSGPLS/view?usp=drivesdk</v>
      </c>
      <c r="R1573" s="195" t="s">
        <v>9175</v>
      </c>
      <c r="S1573" s="374" t="s">
        <v>8716</v>
      </c>
      <c r="T1573" s="877" t="s">
        <v>8717</v>
      </c>
      <c r="U1573" s="758">
        <v>1.0</v>
      </c>
      <c r="V1573" s="198" t="str">
        <f t="shared" si="113"/>
        <v>10.1038--s41562-024-02062-9.pdf</v>
      </c>
      <c r="W1573" s="1757" t="s">
        <v>9176</v>
      </c>
      <c r="X1573" s="54" t="str">
        <f t="array" ref="X1573"> if(iserror(MATCH(V1573, 'File Links'!C:C, 0)), "N/A", HYPERLINK(INDEX('File Links'!B:B, MATCH(V1573, 'File Links'!C:C, 0))))</f>
        <v>https://drive.google.com/file/d/1w8pcOEpgkXG4574TMp8vmQlQVMYXLL8c/view?usp=drivesdk</v>
      </c>
      <c r="Z1573" s="198" t="s">
        <v>2045</v>
      </c>
      <c r="AA1573" s="198" t="s">
        <v>9177</v>
      </c>
      <c r="AB1573" s="198" t="s">
        <v>9178</v>
      </c>
      <c r="AC1573" s="198" t="s">
        <v>9179</v>
      </c>
      <c r="AD1573" s="198" t="s">
        <v>9180</v>
      </c>
      <c r="AE1573" s="758">
        <v>2.0</v>
      </c>
      <c r="AF1573" s="758">
        <v>480.0</v>
      </c>
      <c r="AG1573" s="758">
        <v>0.353</v>
      </c>
      <c r="AH1573" s="198" t="s">
        <v>361</v>
      </c>
      <c r="AI1573" s="198" t="s">
        <v>2771</v>
      </c>
      <c r="AJ1573" s="875">
        <v>0.001</v>
      </c>
      <c r="AK1573" s="58" t="s">
        <v>135</v>
      </c>
      <c r="AL1573" s="58" t="s">
        <v>186</v>
      </c>
      <c r="AM1573" s="190" t="s">
        <v>137</v>
      </c>
      <c r="AN1573" s="374" t="s">
        <v>138</v>
      </c>
      <c r="AO1573" s="758">
        <v>679.0</v>
      </c>
      <c r="AP1573" s="758">
        <v>0.188</v>
      </c>
      <c r="AQ1573" s="198" t="s">
        <v>173</v>
      </c>
      <c r="AR1573" s="198" t="s">
        <v>2771</v>
      </c>
      <c r="AS1573" s="758">
        <v>0.015</v>
      </c>
      <c r="AT1573" s="198" t="s">
        <v>172</v>
      </c>
      <c r="AU1573" s="198" t="s">
        <v>136</v>
      </c>
      <c r="AV1573" s="190" t="s">
        <v>137</v>
      </c>
      <c r="AW1573" s="877" t="s">
        <v>9181</v>
      </c>
      <c r="AX1573" s="190" t="s">
        <v>143</v>
      </c>
      <c r="AY1573" s="61" t="str">
        <f>IFERROR(__xludf.DUMMYFUNCTION("vlookup(BB1573,importrange(""https://docs.google.com/spreadsheets/d/1d2vevQ_7D_v35q4wCQ4RpQ_IPoTwEMB9Yp6ymwlPqew/edit?gid=984458430#gid=984458430"", ""'replication success'!A:K""), 11, FAlSE)"),"successful")</f>
        <v>successful</v>
      </c>
      <c r="AZ1573" s="61" t="str">
        <f>IFERROR(__xludf.DUMMYFUNCTION("vlookup(BB1573,importrange(""https://docs.google.com/spreadsheets/d/1d2vevQ_7D_v35q4wCQ4RpQ_IPoTwEMB9Yp6ymwlPqew/edit?gid=984458430#gid=984458430"",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3" s="61" t="str">
        <f>IFERROR(__xludf.DUMMYFUNCTION("vlookup(BB1573,importrange(""https://docs.google.com/spreadsheets/d/1d2vevQ_7D_v35q4wCQ4RpQ_IPoTwEMB9Yp6ymwlPqew/edit?gid=984458430#gid=984458430"", ""'replication success'!A:M""), 13, FAlSE)"),"pg.3")</f>
        <v>pg.3</v>
      </c>
      <c r="BB1573" s="61" t="str">
        <f>IFERROR(__xludf.DUMMYFUNCTION("REGEXREPLACE(G1573, ""_[a-z]{1,2}$"", """")"),"Holzmeisteretal2024_7")</f>
        <v>Holzmeisteretal2024_7</v>
      </c>
      <c r="BC1573" s="189"/>
      <c r="BD1573" s="188" t="s">
        <v>144</v>
      </c>
    </row>
    <row r="1574">
      <c r="A1574" s="44">
        <v>1574.0</v>
      </c>
      <c r="B1574" s="62" t="s">
        <v>114</v>
      </c>
      <c r="C1574" s="62" t="s">
        <v>115</v>
      </c>
      <c r="D1574" s="62" t="s">
        <v>1441</v>
      </c>
      <c r="F1574" s="68" t="s">
        <v>9171</v>
      </c>
      <c r="G1574" s="61" t="s">
        <v>9171</v>
      </c>
      <c r="H1574" s="159" t="s">
        <v>1444</v>
      </c>
      <c r="I1574" s="68"/>
      <c r="J1574" s="1744">
        <v>45677.0</v>
      </c>
      <c r="K1574" s="68"/>
      <c r="L1574" s="68"/>
      <c r="M1574" s="435" t="s">
        <v>9182</v>
      </c>
      <c r="N1574" s="1746" t="s">
        <v>9183</v>
      </c>
      <c r="O1574" s="68"/>
      <c r="P1574" s="1581" t="str">
        <f>SUBSTITUTE(LOWER(N1574), "/", "--") &amp;  ".pdf"</f>
        <v>10.1073--pnas.1706253114.pdf</v>
      </c>
      <c r="Q1574" s="52" t="str">
        <f t="array" ref="Q1574"> if(iserror(MATCH(V1574, 'File Links'!C:C, 0)), "N/A", HYPERLINK(INDEX('File Links'!B:B, MATCH(P1574, 'File Links'!C:C, 0))))</f>
        <v>https://drive.google.com/file/d/1KgVy8pDNXw_rUPEflxR0eTSRI8bSGPLS/view?usp=drivesdk</v>
      </c>
      <c r="R1574" s="68" t="s">
        <v>9184</v>
      </c>
      <c r="S1574" s="374" t="s">
        <v>8716</v>
      </c>
      <c r="T1574" s="435" t="s">
        <v>8717</v>
      </c>
      <c r="U1574" s="156">
        <v>1.0</v>
      </c>
      <c r="V1574" s="198" t="str">
        <f t="shared" si="113"/>
        <v>10.1038--s41562-024-02062-9.pdf</v>
      </c>
      <c r="W1574" s="159" t="s">
        <v>8729</v>
      </c>
      <c r="X1574" s="54" t="str">
        <f t="array" ref="X1574"> if(iserror(MATCH(V1574, 'File Links'!C:C, 0)), "N/A", HYPERLINK(INDEX('File Links'!B:B, MATCH(V1574, 'File Links'!C:C, 0))))</f>
        <v>https://drive.google.com/file/d/1w8pcOEpgkXG4574TMp8vmQlQVMYXLL8c/view?usp=drivesdk</v>
      </c>
      <c r="Z1574" s="159" t="s">
        <v>2045</v>
      </c>
      <c r="AA1574" s="159" t="s">
        <v>9185</v>
      </c>
      <c r="AB1574" s="159" t="s">
        <v>9186</v>
      </c>
      <c r="AC1574" s="159" t="s">
        <v>9187</v>
      </c>
      <c r="AD1574" s="159" t="s">
        <v>9188</v>
      </c>
      <c r="AE1574" s="156">
        <v>2.0</v>
      </c>
      <c r="AF1574" s="156">
        <v>480.0</v>
      </c>
      <c r="AG1574" s="156">
        <v>0.353</v>
      </c>
      <c r="AH1574" s="159" t="s">
        <v>361</v>
      </c>
      <c r="AI1574" s="68"/>
      <c r="AJ1574" s="709">
        <v>0.001</v>
      </c>
      <c r="AK1574" s="57" t="s">
        <v>135</v>
      </c>
      <c r="AL1574" s="57" t="s">
        <v>186</v>
      </c>
      <c r="AM1574" s="1748" t="s">
        <v>137</v>
      </c>
      <c r="AN1574" s="61"/>
      <c r="AO1574" s="156">
        <v>679.0</v>
      </c>
      <c r="AP1574" s="156">
        <v>0.188</v>
      </c>
      <c r="AQ1574" s="159" t="s">
        <v>173</v>
      </c>
      <c r="AR1574" s="159" t="s">
        <v>2771</v>
      </c>
      <c r="AS1574" s="156">
        <v>0.015</v>
      </c>
      <c r="AT1574" s="159" t="s">
        <v>172</v>
      </c>
      <c r="AU1574" s="159" t="s">
        <v>136</v>
      </c>
      <c r="AV1574" s="1748" t="s">
        <v>137</v>
      </c>
      <c r="AW1574" s="68"/>
      <c r="AX1574" s="1748" t="s">
        <v>143</v>
      </c>
      <c r="AY1574" s="61" t="str">
        <f>IFERROR(__xludf.DUMMYFUNCTION("vlookup(BB1574,importrange(""https://docs.google.com/spreadsheets/d/1d2vevQ_7D_v35q4wCQ4RpQ_IPoTwEMB9Yp6ymwlPqew/edit?gid=984458430#gid=984458430"", ""'replication success'!A:K""), 11, FAlSE)"),"successful")</f>
        <v>successful</v>
      </c>
      <c r="AZ1574" s="61" t="str">
        <f>IFERROR(__xludf.DUMMYFUNCTION("vlookup(BB1574,importrange(""https://docs.google.com/spreadsheets/d/1d2vevQ_7D_v35q4wCQ4RpQ_IPoTwEMB9Yp6ymwlPqew/edit?gid=984458430#gid=984458430"",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4" s="61" t="str">
        <f>IFERROR(__xludf.DUMMYFUNCTION("vlookup(BB1574,importrange(""https://docs.google.com/spreadsheets/d/1d2vevQ_7D_v35q4wCQ4RpQ_IPoTwEMB9Yp6ymwlPqew/edit?gid=984458430#gid=984458430"", ""'replication success'!A:M""), 13, FAlSE)"),"pg.3")</f>
        <v>pg.3</v>
      </c>
      <c r="BB1574" s="61" t="str">
        <f>IFERROR(__xludf.DUMMYFUNCTION("REGEXREPLACE(G1574, ""_[a-z]{1,2}$"", """")"),"Holzmeisteretal2024_7")</f>
        <v>Holzmeisteretal2024_7</v>
      </c>
      <c r="BD1574" s="188" t="s">
        <v>144</v>
      </c>
    </row>
    <row r="1575">
      <c r="A1575" s="44">
        <v>1575.0</v>
      </c>
      <c r="B1575" s="188" t="s">
        <v>152</v>
      </c>
      <c r="C1575" s="188" t="s">
        <v>115</v>
      </c>
      <c r="D1575" s="188" t="s">
        <v>1458</v>
      </c>
      <c r="E1575" s="189"/>
      <c r="F1575" s="190" t="s">
        <v>9189</v>
      </c>
      <c r="G1575" s="193" t="s">
        <v>9189</v>
      </c>
      <c r="H1575" s="198" t="s">
        <v>1518</v>
      </c>
      <c r="I1575" s="191">
        <v>45669.0</v>
      </c>
      <c r="J1575" s="1744">
        <v>45677.0</v>
      </c>
      <c r="K1575" s="198" t="s">
        <v>9190</v>
      </c>
      <c r="L1575" s="190"/>
      <c r="M1575" s="877" t="s">
        <v>9191</v>
      </c>
      <c r="N1575" s="1745" t="s">
        <v>9192</v>
      </c>
      <c r="O1575" s="758">
        <v>4.0</v>
      </c>
      <c r="P1575" s="977" t="str">
        <f> SUBSTITUTE(lower(N1575), "/", "--") &amp;  ".pdf"</f>
        <v>10.1073--pnas.1707719114.pdf</v>
      </c>
      <c r="Q1575" s="52" t="str">
        <f t="array" ref="Q1575"> if(iserror(MATCH(V1575, 'File Links'!C:C, 0)), "N/A", HYPERLINK(INDEX('File Links'!B:B, MATCH(P1575, 'File Links'!C:C, 0))))</f>
        <v>https://drive.google.com/file/d/1VjQnWh7tIM7zl21GEg_LipSiXaJr91Ht/view?usp=drivesdk</v>
      </c>
      <c r="R1575" s="190" t="s">
        <v>9193</v>
      </c>
      <c r="S1575" s="374" t="s">
        <v>8716</v>
      </c>
      <c r="T1575" s="877" t="s">
        <v>8717</v>
      </c>
      <c r="U1575" s="758">
        <v>1.0</v>
      </c>
      <c r="V1575" s="198" t="str">
        <f t="shared" si="113"/>
        <v>10.1038--s41562-024-02062-9.pdf</v>
      </c>
      <c r="W1575" s="198" t="s">
        <v>9194</v>
      </c>
      <c r="X1575" s="54" t="str">
        <f t="array" ref="X1575"> if(iserror(MATCH(V1575, 'File Links'!C:C, 0)), "N/A", HYPERLINK(INDEX('File Links'!B:B, MATCH(V1575, 'File Links'!C:C, 0))))</f>
        <v>https://drive.google.com/file/d/1w8pcOEpgkXG4574TMp8vmQlQVMYXLL8c/view?usp=drivesdk</v>
      </c>
      <c r="Z1575" s="198" t="s">
        <v>2045</v>
      </c>
      <c r="AA1575" s="198" t="s">
        <v>9195</v>
      </c>
      <c r="AB1575" s="198" t="s">
        <v>9196</v>
      </c>
      <c r="AC1575" s="198" t="s">
        <v>9197</v>
      </c>
      <c r="AD1575" s="198" t="s">
        <v>9198</v>
      </c>
      <c r="AE1575" s="758">
        <v>6.0</v>
      </c>
      <c r="AF1575" s="758">
        <v>202.0</v>
      </c>
      <c r="AG1575" s="198" t="s">
        <v>9199</v>
      </c>
      <c r="AH1575" s="198" t="s">
        <v>134</v>
      </c>
      <c r="AI1575" s="198" t="s">
        <v>1042</v>
      </c>
      <c r="AJ1575" s="875">
        <v>0.001</v>
      </c>
      <c r="AK1575" s="58" t="s">
        <v>135</v>
      </c>
      <c r="AL1575" s="58" t="s">
        <v>186</v>
      </c>
      <c r="AM1575" s="190" t="s">
        <v>141</v>
      </c>
      <c r="AN1575" s="374" t="s">
        <v>138</v>
      </c>
      <c r="AO1575" s="758">
        <v>205.0</v>
      </c>
      <c r="AP1575" s="1758">
        <v>0.259</v>
      </c>
      <c r="AQ1575" s="198" t="s">
        <v>173</v>
      </c>
      <c r="AR1575" s="198" t="s">
        <v>507</v>
      </c>
      <c r="AS1575" s="758">
        <v>0.001</v>
      </c>
      <c r="AT1575" s="198" t="s">
        <v>135</v>
      </c>
      <c r="AU1575" s="198" t="s">
        <v>136</v>
      </c>
      <c r="AV1575" s="190" t="s">
        <v>141</v>
      </c>
      <c r="AW1575" s="877" t="s">
        <v>9200</v>
      </c>
      <c r="AX1575" s="190" t="s">
        <v>143</v>
      </c>
      <c r="AY1575" s="61" t="str">
        <f>IFERROR(__xludf.DUMMYFUNCTION("vlookup(BB1575,importrange(""https://docs.google.com/spreadsheets/d/1d2vevQ_7D_v35q4wCQ4RpQ_IPoTwEMB9Yp6ymwlPqew/edit?gid=984458430#gid=984458430"", ""'replication success'!A:K""), 11, FAlSE)"),"successful")</f>
        <v>successful</v>
      </c>
      <c r="AZ1575" s="61" t="str">
        <f>IFERROR(__xludf.DUMMYFUNCTION("vlookup(BB1575,importrange(""https://docs.google.com/spreadsheets/d/1d2vevQ_7D_v35q4wCQ4RpQ_IPoTwEMB9Yp6ymwlPqew/edit?gid=984458430#gid=984458430"",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5" s="61" t="str">
        <f>IFERROR(__xludf.DUMMYFUNCTION("vlookup(BB1575,importrange(""https://docs.google.com/spreadsheets/d/1d2vevQ_7D_v35q4wCQ4RpQ_IPoTwEMB9Yp6ymwlPqew/edit?gid=984458430#gid=984458430"", ""'replication success'!A:M""), 13, FAlSE)"),"pg.3")</f>
        <v>pg.3</v>
      </c>
      <c r="BB1575" s="61" t="str">
        <f>IFERROR(__xludf.DUMMYFUNCTION("REGEXREPLACE(G1575, ""_[a-z]{1,2}$"", """")"),"Holzmeisteretal2024_8")</f>
        <v>Holzmeisteretal2024_8</v>
      </c>
      <c r="BC1575" s="189"/>
      <c r="BD1575" s="188" t="s">
        <v>144</v>
      </c>
    </row>
    <row r="1576">
      <c r="A1576" s="44">
        <v>1576.0</v>
      </c>
      <c r="B1576" s="62" t="s">
        <v>114</v>
      </c>
      <c r="C1576" s="62" t="s">
        <v>115</v>
      </c>
      <c r="D1576" s="62" t="s">
        <v>1441</v>
      </c>
      <c r="F1576" s="68" t="s">
        <v>9189</v>
      </c>
      <c r="G1576" s="61" t="s">
        <v>9189</v>
      </c>
      <c r="H1576" s="159" t="s">
        <v>1444</v>
      </c>
      <c r="I1576" s="68"/>
      <c r="J1576" s="1744">
        <v>45677.0</v>
      </c>
      <c r="K1576" s="159" t="s">
        <v>9201</v>
      </c>
      <c r="L1576" s="68"/>
      <c r="M1576" s="435" t="s">
        <v>9202</v>
      </c>
      <c r="N1576" s="1746" t="s">
        <v>9203</v>
      </c>
      <c r="O1576" s="68"/>
      <c r="P1576" s="1581" t="str">
        <f>SUBSTITUTE(LOWER(N1576), "/", "--") &amp;  ".pdf"</f>
        <v>10.1073--pnas.1707719114.pdf</v>
      </c>
      <c r="Q1576" s="52" t="str">
        <f t="array" ref="Q1576"> if(iserror(MATCH(V1576, 'File Links'!C:C, 0)), "N/A", HYPERLINK(INDEX('File Links'!B:B, MATCH(P1576, 'File Links'!C:C, 0))))</f>
        <v>https://drive.google.com/file/d/1VjQnWh7tIM7zl21GEg_LipSiXaJr91Ht/view?usp=drivesdk</v>
      </c>
      <c r="R1576" s="68" t="s">
        <v>9204</v>
      </c>
      <c r="S1576" s="374" t="s">
        <v>8716</v>
      </c>
      <c r="T1576" s="435" t="s">
        <v>8717</v>
      </c>
      <c r="U1576" s="156">
        <v>4.0</v>
      </c>
      <c r="V1576" s="198" t="str">
        <f t="shared" si="113"/>
        <v>10.1038--s41562-024-02062-9.pdf</v>
      </c>
      <c r="W1576" s="159" t="s">
        <v>8729</v>
      </c>
      <c r="X1576" s="54" t="str">
        <f t="array" ref="X1576"> if(iserror(MATCH(V1576, 'File Links'!C:C, 0)), "N/A", HYPERLINK(INDEX('File Links'!B:B, MATCH(V1576, 'File Links'!C:C, 0))))</f>
        <v>https://drive.google.com/file/d/1w8pcOEpgkXG4574TMp8vmQlQVMYXLL8c/view?usp=drivesdk</v>
      </c>
      <c r="Z1576" s="159" t="s">
        <v>226</v>
      </c>
      <c r="AA1576" s="159" t="s">
        <v>9205</v>
      </c>
      <c r="AB1576" s="159" t="s">
        <v>9206</v>
      </c>
      <c r="AC1576" s="159" t="s">
        <v>9207</v>
      </c>
      <c r="AD1576" s="159" t="s">
        <v>9208</v>
      </c>
      <c r="AE1576" s="156">
        <v>6.0</v>
      </c>
      <c r="AF1576" s="156">
        <v>202.0</v>
      </c>
      <c r="AG1576" s="159" t="s">
        <v>9209</v>
      </c>
      <c r="AH1576" s="159" t="s">
        <v>134</v>
      </c>
      <c r="AI1576" s="68"/>
      <c r="AJ1576" s="709">
        <v>0.001</v>
      </c>
      <c r="AK1576" s="57" t="s">
        <v>135</v>
      </c>
      <c r="AL1576" s="57" t="s">
        <v>186</v>
      </c>
      <c r="AM1576" s="1748" t="s">
        <v>141</v>
      </c>
      <c r="AN1576" s="61"/>
      <c r="AO1576" s="156">
        <v>205.0</v>
      </c>
      <c r="AP1576" s="156">
        <v>0.259</v>
      </c>
      <c r="AQ1576" s="159" t="s">
        <v>173</v>
      </c>
      <c r="AR1576" s="159" t="s">
        <v>507</v>
      </c>
      <c r="AS1576" s="1749">
        <v>2.7E-4</v>
      </c>
      <c r="AT1576" s="159" t="s">
        <v>172</v>
      </c>
      <c r="AU1576" s="159" t="s">
        <v>136</v>
      </c>
      <c r="AV1576" s="1748" t="s">
        <v>141</v>
      </c>
      <c r="AW1576" s="68"/>
      <c r="AX1576" s="1748" t="s">
        <v>143</v>
      </c>
      <c r="AY1576" s="61" t="str">
        <f>IFERROR(__xludf.DUMMYFUNCTION("vlookup(BB1576,importrange(""https://docs.google.com/spreadsheets/d/1d2vevQ_7D_v35q4wCQ4RpQ_IPoTwEMB9Yp6ymwlPqew/edit?gid=984458430#gid=984458430"", ""'replication success'!A:K""), 11, FAlSE)"),"successful")</f>
        <v>successful</v>
      </c>
      <c r="AZ1576" s="61" t="str">
        <f>IFERROR(__xludf.DUMMYFUNCTION("vlookup(BB1576,importrange(""https://docs.google.com/spreadsheets/d/1d2vevQ_7D_v35q4wCQ4RpQ_IPoTwEMB9Yp6ymwlPqew/edit?gid=984458430#gid=984458430"",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6" s="61" t="str">
        <f>IFERROR(__xludf.DUMMYFUNCTION("vlookup(BB1576,importrange(""https://docs.google.com/spreadsheets/d/1d2vevQ_7D_v35q4wCQ4RpQ_IPoTwEMB9Yp6ymwlPqew/edit?gid=984458430#gid=984458430"", ""'replication success'!A:M""), 13, FAlSE)"),"pg.3")</f>
        <v>pg.3</v>
      </c>
      <c r="BB1576" s="61" t="str">
        <f>IFERROR(__xludf.DUMMYFUNCTION("REGEXREPLACE(G1576, ""_[a-z]{1,2}$"", """")"),"Holzmeisteretal2024_8")</f>
        <v>Holzmeisteretal2024_8</v>
      </c>
      <c r="BD1576" s="188" t="s">
        <v>144</v>
      </c>
    </row>
    <row r="1577">
      <c r="A1577" s="44">
        <v>1577.0</v>
      </c>
      <c r="B1577" s="188" t="s">
        <v>152</v>
      </c>
      <c r="C1577" s="188" t="s">
        <v>115</v>
      </c>
      <c r="D1577" s="188" t="s">
        <v>1458</v>
      </c>
      <c r="E1577" s="189"/>
      <c r="F1577" s="190" t="s">
        <v>9210</v>
      </c>
      <c r="G1577" s="193" t="s">
        <v>9210</v>
      </c>
      <c r="H1577" s="198" t="s">
        <v>1518</v>
      </c>
      <c r="I1577" s="191">
        <v>45669.0</v>
      </c>
      <c r="J1577" s="1744">
        <v>45677.0</v>
      </c>
      <c r="K1577" s="198" t="s">
        <v>9211</v>
      </c>
      <c r="L1577" s="190"/>
      <c r="M1577" s="877" t="s">
        <v>9212</v>
      </c>
      <c r="N1577" s="1745" t="s">
        <v>9213</v>
      </c>
      <c r="O1577" s="758">
        <v>9.0</v>
      </c>
      <c r="P1577" s="977" t="str">
        <f> SUBSTITUTE(lower(N1577), "/", "--") &amp;  ".pdf"</f>
        <v>10.1073--pnas.1523586113.pdf</v>
      </c>
      <c r="Q1577" s="52" t="str">
        <f t="array" ref="Q1577"> if(iserror(MATCH(V1577, 'File Links'!C:C, 0)), "N/A", HYPERLINK(INDEX('File Links'!B:B, MATCH(P1577, 'File Links'!C:C, 0))))</f>
        <v>https://drive.google.com/file/d/17CimGUvhLJDkg1bbuFUCRcNLQJR1151z/view?usp=drivesdk</v>
      </c>
      <c r="R1577" s="190" t="s">
        <v>9214</v>
      </c>
      <c r="S1577" s="374" t="s">
        <v>8716</v>
      </c>
      <c r="T1577" s="877" t="s">
        <v>8717</v>
      </c>
      <c r="U1577" s="758">
        <v>1.0</v>
      </c>
      <c r="V1577" s="198" t="str">
        <f t="shared" si="113"/>
        <v>10.1038--s41562-024-02062-9.pdf</v>
      </c>
      <c r="W1577" s="198" t="s">
        <v>9215</v>
      </c>
      <c r="X1577" s="54" t="str">
        <f t="array" ref="X1577"> if(iserror(MATCH(V1577, 'File Links'!C:C, 0)), "N/A", HYPERLINK(INDEX('File Links'!B:B, MATCH(V1577, 'File Links'!C:C, 0))))</f>
        <v>https://drive.google.com/file/d/1w8pcOEpgkXG4574TMp8vmQlQVMYXLL8c/view?usp=drivesdk</v>
      </c>
      <c r="Z1577" s="198" t="s">
        <v>148</v>
      </c>
      <c r="AA1577" s="198" t="s">
        <v>9216</v>
      </c>
      <c r="AB1577" s="198" t="s">
        <v>9217</v>
      </c>
      <c r="AC1577" s="198" t="s">
        <v>9218</v>
      </c>
      <c r="AD1577" s="575" t="s">
        <v>9219</v>
      </c>
      <c r="AE1577" s="758">
        <v>5.0</v>
      </c>
      <c r="AF1577" s="758">
        <v>258.0</v>
      </c>
      <c r="AG1577" s="575" t="s">
        <v>9220</v>
      </c>
      <c r="AH1577" s="198" t="s">
        <v>134</v>
      </c>
      <c r="AI1577" s="198" t="s">
        <v>882</v>
      </c>
      <c r="AJ1577" s="875">
        <v>0.001</v>
      </c>
      <c r="AK1577" s="58" t="s">
        <v>172</v>
      </c>
      <c r="AL1577" s="58" t="s">
        <v>186</v>
      </c>
      <c r="AM1577" s="190" t="s">
        <v>137</v>
      </c>
      <c r="AN1577" s="374" t="s">
        <v>138</v>
      </c>
      <c r="AO1577" s="758">
        <v>584.0</v>
      </c>
      <c r="AP1577" s="575">
        <v>-0.038</v>
      </c>
      <c r="AQ1577" s="198" t="s">
        <v>173</v>
      </c>
      <c r="AR1577" s="198" t="s">
        <v>507</v>
      </c>
      <c r="AS1577" s="1750">
        <v>0.646</v>
      </c>
      <c r="AT1577" s="198" t="s">
        <v>172</v>
      </c>
      <c r="AU1577" s="198" t="s">
        <v>136</v>
      </c>
      <c r="AV1577" s="190" t="s">
        <v>137</v>
      </c>
      <c r="AW1577" s="877" t="s">
        <v>9221</v>
      </c>
      <c r="AX1577" s="190" t="s">
        <v>143</v>
      </c>
      <c r="AY1577" s="61" t="str">
        <f>IFERROR(__xludf.DUMMYFUNCTION("vlookup(BB1577,importrange(""https://docs.google.com/spreadsheets/d/1d2vevQ_7D_v35q4wCQ4RpQ_IPoTwEMB9Yp6ymwlPqew/edit?gid=984458430#gid=984458430"", ""'replication success'!A:K""), 11, FAlSE)"),"failed")</f>
        <v>failed</v>
      </c>
      <c r="AZ1577" s="61" t="str">
        <f>IFERROR(__xludf.DUMMYFUNCTION("vlookup(BB1577,importrange(""https://docs.google.com/spreadsheets/d/1d2vevQ_7D_v35q4wCQ4RpQ_IPoTwEMB9Yp6ymwlPqew/edit?gid=984458430#gid=984458430"",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7" s="61" t="str">
        <f>IFERROR(__xludf.DUMMYFUNCTION("vlookup(BB1577,importrange(""https://docs.google.com/spreadsheets/d/1d2vevQ_7D_v35q4wCQ4RpQ_IPoTwEMB9Yp6ymwlPqew/edit?gid=984458430#gid=984458430"", ""'replication success'!A:M""), 13, FAlSE)"),"pg.3")</f>
        <v>pg.3</v>
      </c>
      <c r="BB1577" s="61" t="str">
        <f>IFERROR(__xludf.DUMMYFUNCTION("REGEXREPLACE(G1577, ""_[a-z]{1,2}$"", """")"),"Holzmeisteretal2024_9")</f>
        <v>Holzmeisteretal2024_9</v>
      </c>
      <c r="BC1577" s="189"/>
      <c r="BD1577" s="188" t="s">
        <v>144</v>
      </c>
    </row>
    <row r="1578">
      <c r="A1578" s="44">
        <v>1578.0</v>
      </c>
      <c r="B1578" s="62" t="s">
        <v>114</v>
      </c>
      <c r="C1578" s="62" t="s">
        <v>115</v>
      </c>
      <c r="D1578" s="62" t="s">
        <v>1441</v>
      </c>
      <c r="F1578" s="68" t="s">
        <v>9210</v>
      </c>
      <c r="G1578" s="61" t="s">
        <v>9210</v>
      </c>
      <c r="H1578" s="159" t="s">
        <v>1444</v>
      </c>
      <c r="I1578" s="1759">
        <v>45672.0</v>
      </c>
      <c r="J1578" s="1744">
        <v>45677.0</v>
      </c>
      <c r="K1578" s="68"/>
      <c r="L1578" s="68"/>
      <c r="M1578" s="435" t="s">
        <v>9222</v>
      </c>
      <c r="N1578" s="1746" t="s">
        <v>9223</v>
      </c>
      <c r="O1578" s="68"/>
      <c r="P1578" s="1581" t="str">
        <f>SUBSTITUTE(LOWER(N1578), "/", "--") &amp;  ".pdf"</f>
        <v>10.1073--pnas.1523586113.pdf</v>
      </c>
      <c r="Q1578" s="52" t="str">
        <f t="array" ref="Q1578"> if(iserror(MATCH(V1578, 'File Links'!C:C, 0)), "N/A", HYPERLINK(INDEX('File Links'!B:B, MATCH(P1578, 'File Links'!C:C, 0))))</f>
        <v>https://drive.google.com/file/d/17CimGUvhLJDkg1bbuFUCRcNLQJR1151z/view?usp=drivesdk</v>
      </c>
      <c r="R1578" s="68" t="s">
        <v>9224</v>
      </c>
      <c r="S1578" s="374" t="s">
        <v>8716</v>
      </c>
      <c r="T1578" s="435" t="s">
        <v>8717</v>
      </c>
      <c r="U1578" s="159" t="s">
        <v>9225</v>
      </c>
      <c r="V1578" s="198" t="str">
        <f t="shared" si="113"/>
        <v>10.1038--s41562-024-02062-9.pdf</v>
      </c>
      <c r="W1578" s="159" t="s">
        <v>8729</v>
      </c>
      <c r="X1578" s="54" t="str">
        <f t="array" ref="X1578"> if(iserror(MATCH(V1578, 'File Links'!C:C, 0)), "N/A", HYPERLINK(INDEX('File Links'!B:B, MATCH(V1578, 'File Links'!C:C, 0))))</f>
        <v>https://drive.google.com/file/d/1w8pcOEpgkXG4574TMp8vmQlQVMYXLL8c/view?usp=drivesdk</v>
      </c>
      <c r="Z1578" s="159" t="s">
        <v>226</v>
      </c>
      <c r="AA1578" s="159" t="s">
        <v>9226</v>
      </c>
      <c r="AB1578" s="159" t="s">
        <v>9227</v>
      </c>
      <c r="AC1578" s="159" t="s">
        <v>9228</v>
      </c>
      <c r="AD1578" s="151" t="s">
        <v>9229</v>
      </c>
      <c r="AE1578" s="156">
        <v>5.0</v>
      </c>
      <c r="AF1578" s="156">
        <v>258.0</v>
      </c>
      <c r="AG1578" s="151" t="s">
        <v>9230</v>
      </c>
      <c r="AH1578" s="159" t="s">
        <v>134</v>
      </c>
      <c r="AI1578" s="68"/>
      <c r="AJ1578" s="709">
        <v>0.001</v>
      </c>
      <c r="AK1578" s="57" t="s">
        <v>172</v>
      </c>
      <c r="AL1578" s="57" t="s">
        <v>186</v>
      </c>
      <c r="AM1578" s="1748" t="s">
        <v>141</v>
      </c>
      <c r="AN1578" s="61"/>
      <c r="AO1578" s="156">
        <v>584.0</v>
      </c>
      <c r="AP1578" s="156">
        <v>-0.038</v>
      </c>
      <c r="AQ1578" s="159" t="s">
        <v>173</v>
      </c>
      <c r="AR1578" s="159" t="s">
        <v>507</v>
      </c>
      <c r="AS1578" s="156">
        <v>0.646</v>
      </c>
      <c r="AT1578" s="159" t="s">
        <v>172</v>
      </c>
      <c r="AU1578" s="159" t="s">
        <v>136</v>
      </c>
      <c r="AV1578" s="1748" t="s">
        <v>141</v>
      </c>
      <c r="AW1578" s="68"/>
      <c r="AX1578" s="1748" t="s">
        <v>143</v>
      </c>
      <c r="AY1578" s="61" t="str">
        <f>IFERROR(__xludf.DUMMYFUNCTION("vlookup(BB1578,importrange(""https://docs.google.com/spreadsheets/d/1d2vevQ_7D_v35q4wCQ4RpQ_IPoTwEMB9Yp6ymwlPqew/edit?gid=984458430#gid=984458430"", ""'replication success'!A:K""), 11, FAlSE)"),"failed")</f>
        <v>failed</v>
      </c>
      <c r="AZ1578" s="61" t="str">
        <f>IFERROR(__xludf.DUMMYFUNCTION("vlookup(BB1578,importrange(""https://docs.google.com/spreadsheets/d/1d2vevQ_7D_v35q4wCQ4RpQ_IPoTwEMB9Yp6ymwlPqew/edit?gid=984458430#gid=984458430"", ""'replication success'!A:M""), 12, FAlSE)"),"[Figure 2] There is a statistically significant
effect (P &lt; 0.05) in the same direction as the original study for 14 out of
26 replications (53.8%; 95% CI (33.4%, 73.4%)).")</f>
        <v>[Figure 2] There is a statistically significant
effect (P &lt; 0.05) in the same direction as the original study for 14 out of
26 replications (53.8%; 95% CI (33.4%, 73.4%)).</v>
      </c>
      <c r="BA1578" s="61" t="str">
        <f>IFERROR(__xludf.DUMMYFUNCTION("vlookup(BB1578,importrange(""https://docs.google.com/spreadsheets/d/1d2vevQ_7D_v35q4wCQ4RpQ_IPoTwEMB9Yp6ymwlPqew/edit?gid=984458430#gid=984458430"", ""'replication success'!A:M""), 13, FAlSE)"),"pg.3")</f>
        <v>pg.3</v>
      </c>
      <c r="BB1578" s="61" t="str">
        <f>IFERROR(__xludf.DUMMYFUNCTION("REGEXREPLACE(G1578, ""_[a-z]{1,2}$"", """")"),"Holzmeisteretal2024_9")</f>
        <v>Holzmeisteretal2024_9</v>
      </c>
      <c r="BD1578" s="188" t="s">
        <v>144</v>
      </c>
    </row>
    <row r="1579">
      <c r="A1579" s="44">
        <v>1579.0</v>
      </c>
      <c r="B1579" s="147" t="s">
        <v>152</v>
      </c>
      <c r="C1579" s="149" t="s">
        <v>115</v>
      </c>
      <c r="D1579" s="149" t="s">
        <v>1458</v>
      </c>
      <c r="E1579" s="71"/>
      <c r="F1579" s="147" t="s">
        <v>9231</v>
      </c>
      <c r="G1579" s="147" t="s">
        <v>9232</v>
      </c>
      <c r="H1579" s="116" t="s">
        <v>9233</v>
      </c>
      <c r="I1579" s="683" t="s">
        <v>119</v>
      </c>
      <c r="J1579" s="311">
        <v>45747.0</v>
      </c>
      <c r="K1579" s="116" t="s">
        <v>138</v>
      </c>
      <c r="L1579" s="147" t="s">
        <v>9234</v>
      </c>
      <c r="M1579" s="147" t="s">
        <v>9235</v>
      </c>
      <c r="N1579" s="147" t="s">
        <v>9236</v>
      </c>
      <c r="O1579" s="1164">
        <v>1.0</v>
      </c>
      <c r="P1579" s="1760" t="s">
        <v>9237</v>
      </c>
      <c r="Q1579" s="52" t="str">
        <f t="array" ref="Q1579"> if(iserror(MATCH(V1579, 'File Links'!C:C, 0)), "N/A", HYPERLINK(INDEX('File Links'!B:B, MATCH(P1579, 'File Links'!C:C, 0))))</f>
        <v>https://drive.google.com/file/d/1RNny0IG7SjWvCfMF8M1draCA9I3tK7lj/view?usp=drivesdk</v>
      </c>
      <c r="R1579" s="1761" t="s">
        <v>9238</v>
      </c>
      <c r="S1579" s="147" t="s">
        <v>9239</v>
      </c>
      <c r="T1579" s="1762" t="s">
        <v>138</v>
      </c>
      <c r="U1579" s="1164">
        <v>1.0</v>
      </c>
      <c r="V1579" s="116" t="s">
        <v>9240</v>
      </c>
      <c r="W1579" s="343" t="s">
        <v>9241</v>
      </c>
      <c r="X1579" s="54" t="str">
        <f t="array" ref="X1579"> if(iserror(MATCH(V1579, 'File Links'!C:C, 0)), "N/A", HYPERLINK(INDEX('File Links'!B:B, MATCH(V1579, 'File Links'!C:C, 0))))</f>
        <v>https://drive.google.com/file/d/1AetBiDxEiDABROgFar_KCyTHXjrAYAyC/view?usp=drivesdk</v>
      </c>
      <c r="Y1579" s="147" t="s">
        <v>138</v>
      </c>
      <c r="Z1579" s="116" t="s">
        <v>226</v>
      </c>
      <c r="AA1579" s="147" t="s">
        <v>9242</v>
      </c>
      <c r="AB1579" s="116" t="s">
        <v>9243</v>
      </c>
      <c r="AC1579" s="116" t="s">
        <v>9244</v>
      </c>
      <c r="AD1579" s="116" t="s">
        <v>9245</v>
      </c>
      <c r="AE1579" s="1688">
        <v>4.0</v>
      </c>
      <c r="AF1579" s="683">
        <v>40.0</v>
      </c>
      <c r="AG1579" s="683">
        <v>0.11</v>
      </c>
      <c r="AH1579" s="116" t="s">
        <v>874</v>
      </c>
      <c r="AI1579" s="1688" t="s">
        <v>496</v>
      </c>
      <c r="AJ1579" s="683">
        <v>0.001</v>
      </c>
      <c r="AK1579" s="116" t="s">
        <v>135</v>
      </c>
      <c r="AL1579" s="116" t="s">
        <v>186</v>
      </c>
      <c r="AM1579" s="147" t="s">
        <v>141</v>
      </c>
      <c r="AN1579" s="147" t="s">
        <v>138</v>
      </c>
      <c r="AO1579" s="683">
        <v>40.0</v>
      </c>
      <c r="AP1579" s="683">
        <v>0.04</v>
      </c>
      <c r="AQ1579" s="116" t="s">
        <v>874</v>
      </c>
      <c r="AR1579" s="116" t="s">
        <v>9246</v>
      </c>
      <c r="AS1579" s="683">
        <v>0.002</v>
      </c>
      <c r="AT1579" s="116" t="s">
        <v>135</v>
      </c>
      <c r="AU1579" s="116" t="s">
        <v>186</v>
      </c>
      <c r="AV1579" s="147" t="s">
        <v>141</v>
      </c>
      <c r="AW1579" s="655" t="s">
        <v>9247</v>
      </c>
      <c r="AX1579" s="147" t="s">
        <v>143</v>
      </c>
      <c r="AY1579" s="61" t="str">
        <f>IFERROR(__xludf.DUMMYFUNCTION("vlookup(BB1579,importrange(""https://docs.google.com/spreadsheets/d/1d2vevQ_7D_v35q4wCQ4RpQ_IPoTwEMB9Yp6ymwlPqew/edit?gid=984458430#gid=984458430"", ""'replication success'!A:K""), 11, FAlSE)"),"statistically successful but flawed")</f>
        <v>statistically successful but flawed</v>
      </c>
      <c r="AZ1579" s="61" t="str">
        <f>IFERROR(__xludf.DUMMYFUNCTION("vlookup(BB1579,importrange(""https://docs.google.com/spreadsheets/d/1d2vevQ_7D_v35q4wCQ4RpQ_IPoTwEMB9Yp6ymwlPqew/edit?gid=984458430#gid=984458430"", ""'replication success'!A:M""), 12, FAlSE)"),"In a preregistered close replication (Study 1, N = 40) conducted online, we observed the red-anger
effect but were able to show that approximately one fifth of the participants were suspicious
about the purpose of the study.")</f>
        <v>In a preregistered close replication (Study 1, N = 40) conducted online, we observed the red-anger
effect but were able to show that approximately one fifth of the participants were suspicious
about the purpose of the study.</v>
      </c>
      <c r="BA1579" s="61" t="str">
        <f>IFERROR(__xludf.DUMMYFUNCTION("vlookup(BB1579,importrange(""https://docs.google.com/spreadsheets/d/1d2vevQ_7D_v35q4wCQ4RpQ_IPoTwEMB9Yp6ymwlPqew/edit?gid=984458430#gid=984458430"", ""'replication success'!A:M""), 13, FAlSE)"),"abstract")</f>
        <v>abstract</v>
      </c>
      <c r="BB1579" s="61" t="str">
        <f>IFERROR(__xludf.DUMMYFUNCTION("REGEXREPLACE(G1579, ""_[a-z]{1,2}$"", """")"),"is1")</f>
        <v>is1</v>
      </c>
      <c r="BC1579" s="71"/>
      <c r="BD1579" s="149" t="s">
        <v>8426</v>
      </c>
      <c r="BE1579" s="71"/>
      <c r="BF1579" s="71"/>
      <c r="BG1579" s="71"/>
      <c r="BH1579" s="71"/>
      <c r="BI1579" s="71"/>
      <c r="BJ1579" s="71"/>
      <c r="BK1579" s="71"/>
      <c r="BL1579" s="71"/>
      <c r="BM1579" s="71"/>
      <c r="BN1579" s="71"/>
      <c r="BO1579" s="71"/>
      <c r="BP1579" s="71"/>
      <c r="BQ1579" s="71"/>
      <c r="BR1579" s="71"/>
      <c r="BS1579" s="71"/>
      <c r="BT1579" s="71"/>
      <c r="BU1579" s="71"/>
      <c r="BV1579" s="71"/>
      <c r="BW1579" s="71"/>
      <c r="BX1579" s="71"/>
      <c r="BY1579" s="71"/>
      <c r="BZ1579" s="71"/>
      <c r="CA1579" s="71"/>
      <c r="CB1579" s="71"/>
      <c r="CC1579" s="71"/>
      <c r="CD1579" s="71"/>
      <c r="CE1579" s="71"/>
      <c r="CF1579" s="71"/>
      <c r="CG1579" s="71"/>
      <c r="CH1579" s="71"/>
      <c r="CI1579" s="71"/>
      <c r="CJ1579" s="71"/>
      <c r="CK1579" s="71"/>
      <c r="CL1579" s="71"/>
      <c r="CM1579" s="71"/>
      <c r="CN1579" s="71"/>
      <c r="CO1579" s="71"/>
      <c r="CP1579" s="71"/>
      <c r="CQ1579" s="71"/>
      <c r="CR1579" s="71"/>
      <c r="CS1579" s="71"/>
      <c r="CT1579" s="71"/>
      <c r="CU1579" s="71"/>
      <c r="CV1579" s="71"/>
      <c r="CW1579" s="71"/>
      <c r="CX1579" s="71"/>
      <c r="CY1579" s="71"/>
      <c r="CZ1579" s="71"/>
      <c r="DA1579" s="71"/>
      <c r="DB1579" s="71"/>
      <c r="DC1579" s="71"/>
      <c r="DD1579" s="71"/>
      <c r="DE1579" s="71"/>
      <c r="DF1579" s="71"/>
      <c r="DG1579" s="71"/>
      <c r="DH1579" s="71"/>
      <c r="DI1579" s="71"/>
      <c r="DJ1579" s="71"/>
      <c r="DK1579" s="71"/>
      <c r="DL1579" s="71"/>
    </row>
    <row r="1580">
      <c r="A1580" s="44">
        <v>1580.0</v>
      </c>
      <c r="B1580" s="147" t="s">
        <v>152</v>
      </c>
      <c r="C1580" s="149" t="s">
        <v>115</v>
      </c>
      <c r="D1580" s="149" t="s">
        <v>1458</v>
      </c>
      <c r="E1580" s="71"/>
      <c r="F1580" s="147" t="s">
        <v>9248</v>
      </c>
      <c r="G1580" s="147" t="s">
        <v>9249</v>
      </c>
      <c r="H1580" s="116" t="s">
        <v>9233</v>
      </c>
      <c r="I1580" s="683" t="s">
        <v>119</v>
      </c>
      <c r="J1580" s="311">
        <v>45747.0</v>
      </c>
      <c r="K1580" s="116" t="s">
        <v>9250</v>
      </c>
      <c r="L1580" s="147" t="s">
        <v>9251</v>
      </c>
      <c r="M1580" s="147" t="s">
        <v>9235</v>
      </c>
      <c r="N1580" s="147" t="s">
        <v>9236</v>
      </c>
      <c r="O1580" s="1164">
        <v>1.0</v>
      </c>
      <c r="P1580" s="1760" t="s">
        <v>9237</v>
      </c>
      <c r="Q1580" s="52" t="str">
        <f t="array" ref="Q1580"> if(iserror(MATCH(V1580, 'File Links'!C:C, 0)), "N/A", HYPERLINK(INDEX('File Links'!B:B, MATCH(P1580, 'File Links'!C:C, 0))))</f>
        <v>https://drive.google.com/file/d/1RNny0IG7SjWvCfMF8M1draCA9I3tK7lj/view?usp=drivesdk</v>
      </c>
      <c r="R1580" s="1761" t="s">
        <v>9238</v>
      </c>
      <c r="S1580" s="147" t="s">
        <v>9239</v>
      </c>
      <c r="T1580" s="1762" t="s">
        <v>138</v>
      </c>
      <c r="U1580" s="1164">
        <v>2.0</v>
      </c>
      <c r="V1580" s="116" t="s">
        <v>9240</v>
      </c>
      <c r="W1580" s="343" t="s">
        <v>2456</v>
      </c>
      <c r="X1580" s="54" t="str">
        <f t="array" ref="X1580"> if(iserror(MATCH(V1580, 'File Links'!C:C, 0)), "N/A", HYPERLINK(INDEX('File Links'!B:B, MATCH(V1580, 'File Links'!C:C, 0))))</f>
        <v>https://drive.google.com/file/d/1AetBiDxEiDABROgFar_KCyTHXjrAYAyC/view?usp=drivesdk</v>
      </c>
      <c r="Y1580" s="147" t="s">
        <v>138</v>
      </c>
      <c r="Z1580" s="116" t="s">
        <v>226</v>
      </c>
      <c r="AA1580" s="147" t="s">
        <v>9242</v>
      </c>
      <c r="AB1580" s="116" t="s">
        <v>9243</v>
      </c>
      <c r="AC1580" s="116" t="s">
        <v>9244</v>
      </c>
      <c r="AD1580" s="116" t="s">
        <v>9245</v>
      </c>
      <c r="AE1580" s="1763">
        <v>45813.0</v>
      </c>
      <c r="AF1580" s="683">
        <v>40.0</v>
      </c>
      <c r="AG1580" s="683">
        <v>0.11</v>
      </c>
      <c r="AH1580" s="116" t="s">
        <v>139</v>
      </c>
      <c r="AI1580" s="1688" t="s">
        <v>496</v>
      </c>
      <c r="AJ1580" s="683">
        <v>0.001</v>
      </c>
      <c r="AK1580" s="116" t="s">
        <v>135</v>
      </c>
      <c r="AL1580" s="116" t="s">
        <v>186</v>
      </c>
      <c r="AM1580" s="147" t="s">
        <v>141</v>
      </c>
      <c r="AN1580" s="147" t="s">
        <v>138</v>
      </c>
      <c r="AO1580" s="378">
        <v>111.0</v>
      </c>
      <c r="AP1580" s="683">
        <v>-0.44</v>
      </c>
      <c r="AQ1580" s="116" t="s">
        <v>173</v>
      </c>
      <c r="AR1580" s="116" t="s">
        <v>8527</v>
      </c>
      <c r="AS1580" s="683">
        <v>0.001</v>
      </c>
      <c r="AT1580" s="116" t="s">
        <v>135</v>
      </c>
      <c r="AU1580" s="116" t="s">
        <v>186</v>
      </c>
      <c r="AV1580" s="147" t="s">
        <v>141</v>
      </c>
      <c r="AW1580" s="655" t="s">
        <v>9252</v>
      </c>
      <c r="AX1580" s="147" t="s">
        <v>151</v>
      </c>
      <c r="AY1580" s="61" t="str">
        <f>IFERROR(__xludf.DUMMYFUNCTION("vlookup(BB1580,importrange(""https://docs.google.com/spreadsheets/d/1d2vevQ_7D_v35q4wCQ4RpQ_IPoTwEMB9Yp6ymwlPqew/edit?gid=984458430#gid=984458430"", ""'replication success'!A:K""), 11, FAlSE)"),"failed")</f>
        <v>failed</v>
      </c>
      <c r="AZ1580" s="61" t="str">
        <f>IFERROR(__xludf.DUMMYFUNCTION("vlookup(BB1580,importrange(""https://docs.google.com/spreadsheets/d/1d2vevQ_7D_v35q4wCQ4RpQ_IPoTwEMB9Yp6ymwlPqew/edit?gid=984458430#gid=984458430"", ""'replication success'!A:M""), 12, FAlSE)"),"In a preregistered
conceptual replication (Study 2, N = 329), we found the red-anger effect in a within-subjects
design condition but not in a between-subjects design condition. We conclude that past
findings of the red-anger effect were (at least part"&amp;"ially) due to demand characteristics.")</f>
        <v>In a preregistered
conceptual replication (Study 2, N = 329), we found the red-anger effect in a within-subjects
design condition but not in a between-subjects design condition. We conclude that past
findings of the red-anger effect were (at least partially) due to demand characteristics.</v>
      </c>
      <c r="BA1580" s="61" t="str">
        <f>IFERROR(__xludf.DUMMYFUNCTION("vlookup(BB1580,importrange(""https://docs.google.com/spreadsheets/d/1d2vevQ_7D_v35q4wCQ4RpQ_IPoTwEMB9Yp6ymwlPqew/edit?gid=984458430#gid=984458430"", ""'replication success'!A:M""), 13, FAlSE)"),"abstract")</f>
        <v>abstract</v>
      </c>
      <c r="BB1580" s="61" t="str">
        <f>IFERROR(__xludf.DUMMYFUNCTION("REGEXREPLACE(G1580, ""_[a-z]{1,2}$"", """")"),"is2")</f>
        <v>is2</v>
      </c>
      <c r="BC1580" s="71"/>
      <c r="BD1580" s="149" t="s">
        <v>8426</v>
      </c>
      <c r="BE1580" s="71"/>
      <c r="BF1580" s="71"/>
      <c r="BG1580" s="71"/>
      <c r="BH1580" s="71"/>
      <c r="BI1580" s="71"/>
      <c r="BJ1580" s="71"/>
      <c r="BK1580" s="71"/>
      <c r="BL1580" s="71"/>
      <c r="BM1580" s="71"/>
      <c r="BN1580" s="71"/>
      <c r="BO1580" s="71"/>
      <c r="BP1580" s="71"/>
      <c r="BQ1580" s="71"/>
      <c r="BR1580" s="71"/>
      <c r="BS1580" s="71"/>
      <c r="BT1580" s="71"/>
      <c r="BU1580" s="71"/>
      <c r="BV1580" s="71"/>
      <c r="BW1580" s="71"/>
      <c r="BX1580" s="71"/>
      <c r="BY1580" s="71"/>
      <c r="BZ1580" s="71"/>
      <c r="CA1580" s="71"/>
      <c r="CB1580" s="71"/>
      <c r="CC1580" s="71"/>
      <c r="CD1580" s="71"/>
      <c r="CE1580" s="71"/>
      <c r="CF1580" s="71"/>
      <c r="CG1580" s="71"/>
      <c r="CH1580" s="71"/>
      <c r="CI1580" s="71"/>
      <c r="CJ1580" s="71"/>
      <c r="CK1580" s="71"/>
      <c r="CL1580" s="71"/>
      <c r="CM1580" s="71"/>
      <c r="CN1580" s="71"/>
      <c r="CO1580" s="71"/>
      <c r="CP1580" s="71"/>
      <c r="CQ1580" s="71"/>
      <c r="CR1580" s="71"/>
      <c r="CS1580" s="71"/>
      <c r="CT1580" s="71"/>
      <c r="CU1580" s="71"/>
      <c r="CV1580" s="71"/>
      <c r="CW1580" s="71"/>
      <c r="CX1580" s="71"/>
      <c r="CY1580" s="71"/>
      <c r="CZ1580" s="71"/>
      <c r="DA1580" s="71"/>
      <c r="DB1580" s="71"/>
      <c r="DC1580" s="71"/>
      <c r="DD1580" s="71"/>
      <c r="DE1580" s="71"/>
      <c r="DF1580" s="71"/>
      <c r="DG1580" s="71"/>
      <c r="DH1580" s="71"/>
      <c r="DI1580" s="71"/>
      <c r="DJ1580" s="71"/>
      <c r="DK1580" s="71"/>
      <c r="DL1580" s="71"/>
    </row>
    <row r="1581">
      <c r="A1581" s="44">
        <v>1581.0</v>
      </c>
      <c r="B1581" s="147" t="s">
        <v>152</v>
      </c>
      <c r="C1581" s="149" t="s">
        <v>115</v>
      </c>
      <c r="D1581" s="149" t="s">
        <v>1458</v>
      </c>
      <c r="E1581" s="71"/>
      <c r="F1581" s="147" t="s">
        <v>9253</v>
      </c>
      <c r="G1581" s="147" t="s">
        <v>9254</v>
      </c>
      <c r="H1581" s="116" t="s">
        <v>9233</v>
      </c>
      <c r="I1581" s="683" t="s">
        <v>119</v>
      </c>
      <c r="J1581" s="311">
        <v>45747.0</v>
      </c>
      <c r="K1581" s="116" t="s">
        <v>138</v>
      </c>
      <c r="L1581" s="147" t="s">
        <v>9251</v>
      </c>
      <c r="M1581" s="147" t="s">
        <v>9235</v>
      </c>
      <c r="N1581" s="147" t="s">
        <v>9236</v>
      </c>
      <c r="O1581" s="1164">
        <v>1.0</v>
      </c>
      <c r="P1581" s="1760" t="s">
        <v>9237</v>
      </c>
      <c r="Q1581" s="52" t="str">
        <f t="array" ref="Q1581"> if(iserror(MATCH(V1581, 'File Links'!C:C, 0)), "N/A", HYPERLINK(INDEX('File Links'!B:B, MATCH(P1581, 'File Links'!C:C, 0))))</f>
        <v>https://drive.google.com/file/d/1RNny0IG7SjWvCfMF8M1draCA9I3tK7lj/view?usp=drivesdk</v>
      </c>
      <c r="R1581" s="1761" t="s">
        <v>9238</v>
      </c>
      <c r="S1581" s="147" t="s">
        <v>9239</v>
      </c>
      <c r="T1581" s="1762" t="s">
        <v>138</v>
      </c>
      <c r="U1581" s="1164">
        <v>2.0</v>
      </c>
      <c r="V1581" s="116" t="s">
        <v>9240</v>
      </c>
      <c r="W1581" s="343" t="s">
        <v>2456</v>
      </c>
      <c r="X1581" s="54" t="str">
        <f t="array" ref="X1581"> if(iserror(MATCH(V1581, 'File Links'!C:C, 0)), "N/A", HYPERLINK(INDEX('File Links'!B:B, MATCH(V1581, 'File Links'!C:C, 0))))</f>
        <v>https://drive.google.com/file/d/1AetBiDxEiDABROgFar_KCyTHXjrAYAyC/view?usp=drivesdk</v>
      </c>
      <c r="Y1581" s="147" t="s">
        <v>138</v>
      </c>
      <c r="Z1581" s="116" t="s">
        <v>226</v>
      </c>
      <c r="AA1581" s="147" t="s">
        <v>9242</v>
      </c>
      <c r="AB1581" s="116" t="s">
        <v>9243</v>
      </c>
      <c r="AC1581" s="116" t="s">
        <v>9244</v>
      </c>
      <c r="AD1581" s="116" t="s">
        <v>9245</v>
      </c>
      <c r="AE1581" s="1763">
        <v>45813.0</v>
      </c>
      <c r="AF1581" s="683">
        <v>40.0</v>
      </c>
      <c r="AG1581" s="683">
        <v>0.11</v>
      </c>
      <c r="AH1581" s="116" t="s">
        <v>139</v>
      </c>
      <c r="AI1581" s="1688" t="s">
        <v>496</v>
      </c>
      <c r="AJ1581" s="683">
        <v>0.001</v>
      </c>
      <c r="AK1581" s="116" t="s">
        <v>135</v>
      </c>
      <c r="AL1581" s="116" t="s">
        <v>186</v>
      </c>
      <c r="AM1581" s="147" t="s">
        <v>141</v>
      </c>
      <c r="AN1581" s="147" t="s">
        <v>138</v>
      </c>
      <c r="AO1581" s="378">
        <v>218.0</v>
      </c>
      <c r="AP1581" s="683">
        <v>0.2</v>
      </c>
      <c r="AQ1581" s="116" t="s">
        <v>173</v>
      </c>
      <c r="AR1581" s="116" t="s">
        <v>8527</v>
      </c>
      <c r="AS1581" s="683">
        <v>0.145</v>
      </c>
      <c r="AT1581" s="116" t="s">
        <v>172</v>
      </c>
      <c r="AU1581" s="116" t="s">
        <v>186</v>
      </c>
      <c r="AV1581" s="147" t="s">
        <v>137</v>
      </c>
      <c r="AW1581" s="655" t="s">
        <v>9252</v>
      </c>
      <c r="AX1581" s="147" t="s">
        <v>151</v>
      </c>
      <c r="AY1581" s="61" t="str">
        <f>IFERROR(__xludf.DUMMYFUNCTION("vlookup(BB1581,importrange(""https://docs.google.com/spreadsheets/d/1d2vevQ_7D_v35q4wCQ4RpQ_IPoTwEMB9Yp6ymwlPqew/edit?gid=984458430#gid=984458430"", ""'replication success'!A:K""), 11, FAlSE)"),"#N/A")</f>
        <v>#N/A</v>
      </c>
      <c r="AZ1581" s="61" t="str">
        <f>IFERROR(__xludf.DUMMYFUNCTION("vlookup(BB1581,importrange(""https://docs.google.com/spreadsheets/d/1d2vevQ_7D_v35q4wCQ4RpQ_IPoTwEMB9Yp6ymwlPqew/edit?gid=984458430#gid=984458430"", ""'replication success'!A:M""), 12, FAlSE)"),"#N/A")</f>
        <v>#N/A</v>
      </c>
      <c r="BA1581" s="61" t="str">
        <f>IFERROR(__xludf.DUMMYFUNCTION("vlookup(BB1581,importrange(""https://docs.google.com/spreadsheets/d/1d2vevQ_7D_v35q4wCQ4RpQ_IPoTwEMB9Yp6ymwlPqew/edit?gid=984458430#gid=984458430"", ""'replication success'!A:M""), 13, FAlSE)"),"#N/A")</f>
        <v>#N/A</v>
      </c>
      <c r="BB1581" s="61" t="str">
        <f>IFERROR(__xludf.DUMMYFUNCTION("REGEXREPLACE(G1581, ""_[a-z]{1,2}$"", """")"),"is3")</f>
        <v>is3</v>
      </c>
      <c r="BC1581" s="71"/>
      <c r="BD1581" s="149" t="s">
        <v>8426</v>
      </c>
      <c r="BE1581" s="71"/>
      <c r="BF1581" s="71"/>
      <c r="BG1581" s="71"/>
      <c r="BH1581" s="71"/>
      <c r="BI1581" s="71"/>
      <c r="BJ1581" s="71"/>
      <c r="BK1581" s="71"/>
      <c r="BL1581" s="71"/>
      <c r="BM1581" s="71"/>
      <c r="BN1581" s="71"/>
      <c r="BO1581" s="71"/>
      <c r="BP1581" s="71"/>
      <c r="BQ1581" s="71"/>
      <c r="BR1581" s="71"/>
      <c r="BS1581" s="71"/>
      <c r="BT1581" s="71"/>
      <c r="BU1581" s="71"/>
      <c r="BV1581" s="71"/>
      <c r="BW1581" s="71"/>
      <c r="BX1581" s="71"/>
      <c r="BY1581" s="71"/>
      <c r="BZ1581" s="71"/>
      <c r="CA1581" s="71"/>
      <c r="CB1581" s="71"/>
      <c r="CC1581" s="71"/>
      <c r="CD1581" s="71"/>
      <c r="CE1581" s="71"/>
      <c r="CF1581" s="71"/>
      <c r="CG1581" s="71"/>
      <c r="CH1581" s="71"/>
      <c r="CI1581" s="71"/>
      <c r="CJ1581" s="71"/>
      <c r="CK1581" s="71"/>
      <c r="CL1581" s="71"/>
      <c r="CM1581" s="71"/>
      <c r="CN1581" s="71"/>
      <c r="CO1581" s="71"/>
      <c r="CP1581" s="71"/>
      <c r="CQ1581" s="71"/>
      <c r="CR1581" s="71"/>
      <c r="CS1581" s="71"/>
      <c r="CT1581" s="71"/>
      <c r="CU1581" s="71"/>
      <c r="CV1581" s="71"/>
      <c r="CW1581" s="71"/>
      <c r="CX1581" s="71"/>
      <c r="CY1581" s="71"/>
      <c r="CZ1581" s="71"/>
      <c r="DA1581" s="71"/>
      <c r="DB1581" s="71"/>
      <c r="DC1581" s="71"/>
      <c r="DD1581" s="71"/>
      <c r="DE1581" s="71"/>
      <c r="DF1581" s="71"/>
      <c r="DG1581" s="71"/>
      <c r="DH1581" s="71"/>
      <c r="DI1581" s="71"/>
      <c r="DJ1581" s="71"/>
      <c r="DK1581" s="71"/>
      <c r="DL1581" s="71"/>
    </row>
    <row r="1582">
      <c r="A1582" s="44">
        <v>1582.0</v>
      </c>
      <c r="B1582" s="341" t="s">
        <v>114</v>
      </c>
      <c r="C1582" s="341" t="s">
        <v>115</v>
      </c>
      <c r="D1582" s="341" t="s">
        <v>176</v>
      </c>
      <c r="E1582" s="342"/>
      <c r="F1582" s="46" t="s">
        <v>9255</v>
      </c>
      <c r="G1582" s="47" t="s">
        <v>9256</v>
      </c>
      <c r="H1582" s="360" t="s">
        <v>176</v>
      </c>
      <c r="I1582" s="1764">
        <v>45651.0</v>
      </c>
      <c r="J1582" s="46"/>
      <c r="K1582" s="360" t="s">
        <v>9257</v>
      </c>
      <c r="L1582" s="56" t="s">
        <v>9258</v>
      </c>
      <c r="M1582" s="360" t="s">
        <v>9259</v>
      </c>
      <c r="N1582" s="360" t="s">
        <v>7273</v>
      </c>
      <c r="O1582" s="357">
        <v>2.0</v>
      </c>
      <c r="P1582" s="517" t="s">
        <v>7274</v>
      </c>
      <c r="Q1582" s="52" t="str">
        <f t="array" ref="Q1582"> if(iserror(MATCH(V1582, 'File Links'!C:C, 0)), "N/A", HYPERLINK(INDEX('File Links'!B:B, MATCH(P1582, 'File Links'!C:C, 0))))</f>
        <v>https://drive.google.com/file/d/1CSCUNAQZCt3s32RgzUwXe6pe5scvK0yY/view?usp=drivesdk</v>
      </c>
      <c r="R1582" s="360" t="s">
        <v>9260</v>
      </c>
      <c r="S1582" s="343" t="s">
        <v>8716</v>
      </c>
      <c r="T1582" s="46"/>
      <c r="U1582" s="357">
        <v>2.0</v>
      </c>
      <c r="V1582" s="360" t="str">
        <f t="shared" ref="V1582:V1738" si="114"> hyperlink(vlookup(lower(S1582),#REF!, 2, FALSE), SUBSTITUTE(lower(S1582), "/", "--") &amp;  ".pdf")</f>
        <v>10.1038--s41562-024-02062-9.pdf</v>
      </c>
      <c r="W1582" s="360" t="s">
        <v>164</v>
      </c>
      <c r="X1582" s="54" t="str">
        <f t="array" ref="X1582"> if(iserror(MATCH(V1582, 'File Links'!C:C, 0)), "N/A", HYPERLINK(INDEX('File Links'!B:B, MATCH(V1582, 'File Links'!C:C, 0))))</f>
        <v>https://drive.google.com/file/d/1w8pcOEpgkXG4574TMp8vmQlQVMYXLL8c/view?usp=drivesdk</v>
      </c>
      <c r="Y1582" s="46"/>
      <c r="Z1582" s="360" t="s">
        <v>226</v>
      </c>
      <c r="AA1582" s="360" t="s">
        <v>8405</v>
      </c>
      <c r="AB1582" s="360" t="s">
        <v>9261</v>
      </c>
      <c r="AC1582" s="360" t="s">
        <v>9262</v>
      </c>
      <c r="AD1582" s="360" t="s">
        <v>9263</v>
      </c>
      <c r="AE1582" s="360" t="s">
        <v>813</v>
      </c>
      <c r="AF1582" s="357">
        <v>440.0</v>
      </c>
      <c r="AG1582" s="360" t="s">
        <v>9264</v>
      </c>
      <c r="AH1582" s="51" t="s">
        <v>173</v>
      </c>
      <c r="AI1582" s="47" t="s">
        <v>882</v>
      </c>
      <c r="AJ1582" s="47" t="s">
        <v>9265</v>
      </c>
      <c r="AK1582" s="360" t="s">
        <v>172</v>
      </c>
      <c r="AL1582" s="47" t="s">
        <v>186</v>
      </c>
      <c r="AM1582" s="46" t="s">
        <v>137</v>
      </c>
      <c r="AN1582" s="46"/>
      <c r="AO1582" s="357">
        <v>199.0</v>
      </c>
      <c r="AP1582" s="360" t="s">
        <v>9266</v>
      </c>
      <c r="AQ1582" s="360" t="s">
        <v>173</v>
      </c>
      <c r="AR1582" s="46"/>
      <c r="AS1582" s="360" t="s">
        <v>9267</v>
      </c>
      <c r="AT1582" s="360" t="s">
        <v>172</v>
      </c>
      <c r="AU1582" s="360" t="s">
        <v>186</v>
      </c>
      <c r="AV1582" s="46" t="s">
        <v>1905</v>
      </c>
      <c r="AW1582" s="59" t="s">
        <v>9268</v>
      </c>
      <c r="AX1582" s="60" t="s">
        <v>143</v>
      </c>
      <c r="AY1582" s="61" t="str">
        <f>IFERROR(__xludf.DUMMYFUNCTION("vlookup(BB1582,importrange(""https://docs.google.com/spreadsheets/d/1d2vevQ_7D_v35q4wCQ4RpQ_IPoTwEMB9Yp6ymwlPqew/edit?gid=984458430#gid=984458430"", ""'replication success'!A:K""), 11, FAlSE)"),"#N/A")</f>
        <v>#N/A</v>
      </c>
      <c r="AZ1582" s="61" t="str">
        <f>IFERROR(__xludf.DUMMYFUNCTION("vlookup(BB1582,importrange(""https://docs.google.com/spreadsheets/d/1d2vevQ_7D_v35q4wCQ4RpQ_IPoTwEMB9Yp6ymwlPqew/edit?gid=984458430#gid=984458430"", ""'replication success'!A:M""), 12, FAlSE)"),"#N/A")</f>
        <v>#N/A</v>
      </c>
      <c r="BA1582" s="61" t="str">
        <f>IFERROR(__xludf.DUMMYFUNCTION("vlookup(BB1582,importrange(""https://docs.google.com/spreadsheets/d/1d2vevQ_7D_v35q4wCQ4RpQ_IPoTwEMB9Yp6ymwlPqew/edit?gid=984458430#gid=984458430"", ""'replication success'!A:M""), 13, FAlSE)"),"#N/A")</f>
        <v>#N/A</v>
      </c>
      <c r="BB1582" s="61" t="str">
        <f>IFERROR(__xludf.DUMMYFUNCTION("REGEXREPLACE(G1582, ""_[a-z]{1,2}$"", """")"),"j8a4p")</f>
        <v>j8a4p</v>
      </c>
      <c r="BC1582" s="342"/>
      <c r="BD1582" s="341" t="s">
        <v>692</v>
      </c>
    </row>
    <row r="1583">
      <c r="A1583" s="44">
        <v>1583.0</v>
      </c>
      <c r="B1583" s="341" t="s">
        <v>152</v>
      </c>
      <c r="C1583" s="340" t="s">
        <v>115</v>
      </c>
      <c r="D1583" s="340" t="s">
        <v>153</v>
      </c>
      <c r="E1583" s="354"/>
      <c r="F1583" s="46" t="s">
        <v>9255</v>
      </c>
      <c r="G1583" s="47" t="s">
        <v>9269</v>
      </c>
      <c r="H1583" s="47" t="s">
        <v>153</v>
      </c>
      <c r="I1583" s="508" t="s">
        <v>119</v>
      </c>
      <c r="J1583" s="511">
        <v>45638.0</v>
      </c>
      <c r="K1583" s="1765" t="s">
        <v>9270</v>
      </c>
      <c r="L1583" s="56" t="s">
        <v>9271</v>
      </c>
      <c r="M1583" s="47" t="s">
        <v>9259</v>
      </c>
      <c r="N1583" s="47" t="s">
        <v>7273</v>
      </c>
      <c r="O1583" s="1766">
        <v>2.0</v>
      </c>
      <c r="P1583" s="1722" t="s">
        <v>7274</v>
      </c>
      <c r="Q1583" s="52" t="str">
        <f t="array" ref="Q1583"> if(iserror(MATCH(V1583, 'File Links'!C:C, 0)), "N/A", HYPERLINK(INDEX('File Links'!B:B, MATCH(P1583, 'File Links'!C:C, 0))))</f>
        <v>https://drive.google.com/file/d/1CSCUNAQZCt3s32RgzUwXe6pe5scvK0yY/view?usp=drivesdk</v>
      </c>
      <c r="R1583" s="797" t="s">
        <v>9272</v>
      </c>
      <c r="S1583" s="797" t="s">
        <v>9273</v>
      </c>
      <c r="T1583" s="49"/>
      <c r="U1583" s="1767">
        <v>1.0</v>
      </c>
      <c r="V1583" s="360" t="str">
        <f t="shared" si="114"/>
        <v>10.17605--osf.io--j8a4p.pdf</v>
      </c>
      <c r="W1583" s="504" t="s">
        <v>164</v>
      </c>
      <c r="X1583" s="54" t="str">
        <f t="array" ref="X1583"> if(iserror(MATCH(V1583, 'File Links'!C:C, 0)), "N/A", HYPERLINK(INDEX('File Links'!B:B, MATCH(V1583, 'File Links'!C:C, 0))))</f>
        <v>https://drive.google.com/file/d/1Kwdqeb9S0RNT_hHV1vR81MPGAjymnUQq/view?usp=drivesdk</v>
      </c>
      <c r="Y1583" s="49"/>
      <c r="Z1583" s="47" t="s">
        <v>226</v>
      </c>
      <c r="AA1583" s="47" t="s">
        <v>9274</v>
      </c>
      <c r="AB1583" s="1768" t="s">
        <v>9275</v>
      </c>
      <c r="AC1583" s="1768" t="s">
        <v>9276</v>
      </c>
      <c r="AD1583" s="49" t="s">
        <v>9277</v>
      </c>
      <c r="AE1583" s="50">
        <v>5.0</v>
      </c>
      <c r="AF1583" s="508">
        <v>218.0</v>
      </c>
      <c r="AG1583" s="508">
        <v>-0.29</v>
      </c>
      <c r="AH1583" s="51" t="s">
        <v>173</v>
      </c>
      <c r="AI1583" s="47" t="s">
        <v>1042</v>
      </c>
      <c r="AJ1583" s="508">
        <v>0.04</v>
      </c>
      <c r="AK1583" s="360" t="s">
        <v>172</v>
      </c>
      <c r="AL1583" s="47" t="s">
        <v>186</v>
      </c>
      <c r="AM1583" s="49" t="s">
        <v>137</v>
      </c>
      <c r="AN1583" s="330" t="s">
        <v>138</v>
      </c>
      <c r="AO1583" s="508">
        <v>199.0</v>
      </c>
      <c r="AP1583" s="508">
        <v>0.058</v>
      </c>
      <c r="AQ1583" s="47" t="s">
        <v>173</v>
      </c>
      <c r="AR1583" s="1769" t="s">
        <v>9278</v>
      </c>
      <c r="AS1583" s="347">
        <v>0.667</v>
      </c>
      <c r="AT1583" s="360" t="s">
        <v>172</v>
      </c>
      <c r="AU1583" s="360" t="s">
        <v>136</v>
      </c>
      <c r="AV1583" s="46" t="s">
        <v>137</v>
      </c>
      <c r="AW1583" s="59" t="s">
        <v>9279</v>
      </c>
      <c r="AX1583" s="60" t="s">
        <v>143</v>
      </c>
      <c r="AY1583" s="61" t="str">
        <f>IFERROR(__xludf.DUMMYFUNCTION("vlookup(BB1583,importrange(""https://docs.google.com/spreadsheets/d/1d2vevQ_7D_v35q4wCQ4RpQ_IPoTwEMB9Yp6ymwlPqew/edit?gid=984458430#gid=984458430"", ""'replication success'!A:K""), 11, FAlSE)"),"uninformative")</f>
        <v>uninformative</v>
      </c>
      <c r="AZ1583" s="61" t="str">
        <f>IFERROR(__xludf.DUMMYFUNCTION("vlookup(BB1583,importrange(""https://docs.google.com/spreadsheets/d/1d2vevQ_7D_v35q4wCQ4RpQ_IPoTwEMB9Yp6ymwlPqew/edit?gid=984458430#gid=984458430"", ""'replication success'!A:M""), 12, FAlSE)"),"NA")</f>
        <v>NA</v>
      </c>
      <c r="BA1583" s="61" t="str">
        <f>IFERROR(__xludf.DUMMYFUNCTION("vlookup(BB1583,importrange(""https://docs.google.com/spreadsheets/d/1d2vevQ_7D_v35q4wCQ4RpQ_IPoTwEMB9Yp6ymwlPqew/edit?gid=984458430#gid=984458430"", ""'replication success'!A:M""), 13, FAlSE)"),"abstract")</f>
        <v>abstract</v>
      </c>
      <c r="BB1583" s="61" t="str">
        <f>IFERROR(__xludf.DUMMYFUNCTION("REGEXREPLACE(G1583, ""_[a-z]{1,2}$"", """")"),"j8a4p_composite")</f>
        <v>j8a4p_composite</v>
      </c>
      <c r="BC1583" s="341" t="s">
        <v>9280</v>
      </c>
      <c r="BD1583" s="341" t="s">
        <v>692</v>
      </c>
    </row>
    <row r="1584">
      <c r="A1584" s="44">
        <v>1584.0</v>
      </c>
      <c r="B1584" s="341" t="s">
        <v>152</v>
      </c>
      <c r="C1584" s="340" t="s">
        <v>115</v>
      </c>
      <c r="D1584" s="340" t="s">
        <v>153</v>
      </c>
      <c r="E1584" s="354"/>
      <c r="F1584" s="46" t="s">
        <v>9255</v>
      </c>
      <c r="G1584" s="47" t="s">
        <v>9281</v>
      </c>
      <c r="H1584" s="47" t="s">
        <v>153</v>
      </c>
      <c r="I1584" s="508" t="s">
        <v>119</v>
      </c>
      <c r="J1584" s="511">
        <v>45638.0</v>
      </c>
      <c r="K1584" s="1765" t="s">
        <v>9282</v>
      </c>
      <c r="L1584" s="56" t="s">
        <v>9283</v>
      </c>
      <c r="M1584" s="47" t="s">
        <v>9259</v>
      </c>
      <c r="N1584" s="47" t="s">
        <v>7273</v>
      </c>
      <c r="O1584" s="1766">
        <v>2.0</v>
      </c>
      <c r="P1584" s="1722" t="s">
        <v>7274</v>
      </c>
      <c r="Q1584" s="52" t="str">
        <f t="array" ref="Q1584"> if(iserror(MATCH(V1584, 'File Links'!C:C, 0)), "N/A", HYPERLINK(INDEX('File Links'!B:B, MATCH(P1584, 'File Links'!C:C, 0))))</f>
        <v>https://drive.google.com/file/d/1CSCUNAQZCt3s32RgzUwXe6pe5scvK0yY/view?usp=drivesdk</v>
      </c>
      <c r="R1584" s="797" t="s">
        <v>9284</v>
      </c>
      <c r="S1584" s="797" t="s">
        <v>9273</v>
      </c>
      <c r="T1584" s="49"/>
      <c r="U1584" s="1767">
        <v>1.0</v>
      </c>
      <c r="V1584" s="360" t="str">
        <f t="shared" si="114"/>
        <v>10.17605--osf.io--j8a4p.pdf</v>
      </c>
      <c r="W1584" s="504" t="s">
        <v>164</v>
      </c>
      <c r="X1584" s="54" t="str">
        <f t="array" ref="X1584"> if(iserror(MATCH(V1584, 'File Links'!C:C, 0)), "N/A", HYPERLINK(INDEX('File Links'!B:B, MATCH(V1584, 'File Links'!C:C, 0))))</f>
        <v>https://drive.google.com/file/d/1Kwdqeb9S0RNT_hHV1vR81MPGAjymnUQq/view?usp=drivesdk</v>
      </c>
      <c r="Y1584" s="49"/>
      <c r="Z1584" s="47" t="s">
        <v>226</v>
      </c>
      <c r="AA1584" s="47" t="s">
        <v>9274</v>
      </c>
      <c r="AB1584" s="1768" t="s">
        <v>9275</v>
      </c>
      <c r="AC1584" s="49" t="s">
        <v>9285</v>
      </c>
      <c r="AD1584" s="504" t="s">
        <v>9286</v>
      </c>
      <c r="AE1584" s="50">
        <v>5.0</v>
      </c>
      <c r="AF1584" s="508">
        <v>218.0</v>
      </c>
      <c r="AG1584" s="508">
        <v>-0.38</v>
      </c>
      <c r="AH1584" s="51" t="s">
        <v>173</v>
      </c>
      <c r="AI1584" s="47" t="s">
        <v>1042</v>
      </c>
      <c r="AJ1584" s="508">
        <v>0.005</v>
      </c>
      <c r="AK1584" s="360" t="s">
        <v>172</v>
      </c>
      <c r="AL1584" s="47" t="s">
        <v>186</v>
      </c>
      <c r="AM1584" s="49" t="s">
        <v>137</v>
      </c>
      <c r="AN1584" s="330" t="s">
        <v>138</v>
      </c>
      <c r="AO1584" s="508">
        <v>199.0</v>
      </c>
      <c r="AP1584" s="50">
        <v>0.031</v>
      </c>
      <c r="AQ1584" s="47" t="s">
        <v>173</v>
      </c>
      <c r="AR1584" s="56" t="s">
        <v>9278</v>
      </c>
      <c r="AS1584" s="508">
        <v>0.824</v>
      </c>
      <c r="AT1584" s="360" t="s">
        <v>172</v>
      </c>
      <c r="AU1584" s="360" t="s">
        <v>136</v>
      </c>
      <c r="AV1584" s="46" t="s">
        <v>137</v>
      </c>
      <c r="AW1584" s="59" t="s">
        <v>9279</v>
      </c>
      <c r="AX1584" s="60" t="s">
        <v>143</v>
      </c>
      <c r="AY1584" s="61" t="str">
        <f>IFERROR(__xludf.DUMMYFUNCTION("vlookup(BB1584,importrange(""https://docs.google.com/spreadsheets/d/1d2vevQ_7D_v35q4wCQ4RpQ_IPoTwEMB9Yp6ymwlPqew/edit?gid=984458430#gid=984458430"", ""'replication success'!A:K""), 11, FAlSE)"),"#N/A")</f>
        <v>#N/A</v>
      </c>
      <c r="AZ1584" s="61" t="str">
        <f>IFERROR(__xludf.DUMMYFUNCTION("vlookup(BB1584,importrange(""https://docs.google.com/spreadsheets/d/1d2vevQ_7D_v35q4wCQ4RpQ_IPoTwEMB9Yp6ymwlPqew/edit?gid=984458430#gid=984458430"", ""'replication success'!A:M""), 12, FAlSE)"),"#N/A")</f>
        <v>#N/A</v>
      </c>
      <c r="BA1584" s="61" t="str">
        <f>IFERROR(__xludf.DUMMYFUNCTION("vlookup(BB1584,importrange(""https://docs.google.com/spreadsheets/d/1d2vevQ_7D_v35q4wCQ4RpQ_IPoTwEMB9Yp6ymwlPqew/edit?gid=984458430#gid=984458430"", ""'replication success'!A:M""), 13, FAlSE)"),"#N/A")</f>
        <v>#N/A</v>
      </c>
      <c r="BB1584" s="61" t="str">
        <f>IFERROR(__xludf.DUMMYFUNCTION("REGEXREPLACE(G1584, ""_[a-z]{1,2}$"", """")"),"j8a4p_dog")</f>
        <v>j8a4p_dog</v>
      </c>
      <c r="BC1584" s="341" t="s">
        <v>9280</v>
      </c>
      <c r="BD1584" s="341" t="s">
        <v>692</v>
      </c>
    </row>
    <row r="1585">
      <c r="A1585" s="44">
        <v>1585.0</v>
      </c>
      <c r="B1585" s="341" t="s">
        <v>152</v>
      </c>
      <c r="C1585" s="340" t="s">
        <v>115</v>
      </c>
      <c r="D1585" s="340" t="s">
        <v>153</v>
      </c>
      <c r="E1585" s="354"/>
      <c r="F1585" s="46" t="s">
        <v>9255</v>
      </c>
      <c r="G1585" s="47" t="s">
        <v>9287</v>
      </c>
      <c r="H1585" s="47" t="s">
        <v>153</v>
      </c>
      <c r="I1585" s="508" t="s">
        <v>119</v>
      </c>
      <c r="J1585" s="511">
        <v>45638.0</v>
      </c>
      <c r="K1585" s="1765" t="s">
        <v>9288</v>
      </c>
      <c r="L1585" s="56" t="s">
        <v>9283</v>
      </c>
      <c r="M1585" s="47" t="s">
        <v>9259</v>
      </c>
      <c r="N1585" s="47" t="s">
        <v>7273</v>
      </c>
      <c r="O1585" s="1766">
        <v>2.0</v>
      </c>
      <c r="P1585" s="1722" t="s">
        <v>7274</v>
      </c>
      <c r="Q1585" s="52" t="str">
        <f t="array" ref="Q1585"> if(iserror(MATCH(V1585, 'File Links'!C:C, 0)), "N/A", HYPERLINK(INDEX('File Links'!B:B, MATCH(P1585, 'File Links'!C:C, 0))))</f>
        <v>https://drive.google.com/file/d/1CSCUNAQZCt3s32RgzUwXe6pe5scvK0yY/view?usp=drivesdk</v>
      </c>
      <c r="R1585" s="797" t="s">
        <v>9289</v>
      </c>
      <c r="S1585" s="797" t="s">
        <v>9273</v>
      </c>
      <c r="T1585" s="49"/>
      <c r="U1585" s="1767">
        <v>1.0</v>
      </c>
      <c r="V1585" s="360" t="str">
        <f t="shared" si="114"/>
        <v>10.17605--osf.io--j8a4p.pdf</v>
      </c>
      <c r="W1585" s="504" t="s">
        <v>164</v>
      </c>
      <c r="X1585" s="54" t="str">
        <f t="array" ref="X1585"> if(iserror(MATCH(V1585, 'File Links'!C:C, 0)), "N/A", HYPERLINK(INDEX('File Links'!B:B, MATCH(V1585, 'File Links'!C:C, 0))))</f>
        <v>https://drive.google.com/file/d/1Kwdqeb9S0RNT_hHV1vR81MPGAjymnUQq/view?usp=drivesdk</v>
      </c>
      <c r="Y1585" s="49"/>
      <c r="Z1585" s="47" t="s">
        <v>226</v>
      </c>
      <c r="AA1585" s="47" t="s">
        <v>9274</v>
      </c>
      <c r="AB1585" s="1768" t="s">
        <v>9275</v>
      </c>
      <c r="AC1585" s="49" t="s">
        <v>9290</v>
      </c>
      <c r="AD1585" s="504" t="s">
        <v>9291</v>
      </c>
      <c r="AE1585" s="50">
        <v>5.0</v>
      </c>
      <c r="AF1585" s="508">
        <v>218.0</v>
      </c>
      <c r="AG1585" s="508">
        <v>-0.16</v>
      </c>
      <c r="AH1585" s="51" t="s">
        <v>173</v>
      </c>
      <c r="AI1585" s="47" t="s">
        <v>1042</v>
      </c>
      <c r="AJ1585" s="508">
        <v>0.23</v>
      </c>
      <c r="AK1585" s="360" t="s">
        <v>172</v>
      </c>
      <c r="AL1585" s="47" t="s">
        <v>186</v>
      </c>
      <c r="AM1585" s="49" t="s">
        <v>137</v>
      </c>
      <c r="AN1585" s="330" t="s">
        <v>138</v>
      </c>
      <c r="AO1585" s="508">
        <v>199.0</v>
      </c>
      <c r="AP1585" s="50">
        <v>0.189</v>
      </c>
      <c r="AQ1585" s="47" t="s">
        <v>173</v>
      </c>
      <c r="AR1585" s="56" t="s">
        <v>9278</v>
      </c>
      <c r="AS1585" s="508">
        <v>0.184</v>
      </c>
      <c r="AT1585" s="360" t="s">
        <v>172</v>
      </c>
      <c r="AU1585" s="360" t="s">
        <v>136</v>
      </c>
      <c r="AV1585" s="46" t="s">
        <v>137</v>
      </c>
      <c r="AW1585" s="59" t="s">
        <v>9279</v>
      </c>
      <c r="AX1585" s="60" t="s">
        <v>143</v>
      </c>
      <c r="AY1585" s="61" t="str">
        <f>IFERROR(__xludf.DUMMYFUNCTION("vlookup(BB1585,importrange(""https://docs.google.com/spreadsheets/d/1d2vevQ_7D_v35q4wCQ4RpQ_IPoTwEMB9Yp6ymwlPqew/edit?gid=984458430#gid=984458430"", ""'replication success'!A:K""), 11, FAlSE)"),"#N/A")</f>
        <v>#N/A</v>
      </c>
      <c r="AZ1585" s="61" t="str">
        <f>IFERROR(__xludf.DUMMYFUNCTION("vlookup(BB1585,importrange(""https://docs.google.com/spreadsheets/d/1d2vevQ_7D_v35q4wCQ4RpQ_IPoTwEMB9Yp6ymwlPqew/edit?gid=984458430#gid=984458430"", ""'replication success'!A:M""), 12, FAlSE)"),"#N/A")</f>
        <v>#N/A</v>
      </c>
      <c r="BA1585" s="61" t="str">
        <f>IFERROR(__xludf.DUMMYFUNCTION("vlookup(BB1585,importrange(""https://docs.google.com/spreadsheets/d/1d2vevQ_7D_v35q4wCQ4RpQ_IPoTwEMB9Yp6ymwlPqew/edit?gid=984458430#gid=984458430"", ""'replication success'!A:M""), 13, FAlSE)"),"#N/A")</f>
        <v>#N/A</v>
      </c>
      <c r="BB1585" s="61" t="str">
        <f>IFERROR(__xludf.DUMMYFUNCTION("REGEXREPLACE(G1585, ""_[a-z]{1,2}$"", """")"),"j8a4p_kitten")</f>
        <v>j8a4p_kitten</v>
      </c>
      <c r="BC1585" s="342"/>
      <c r="BD1585" s="341" t="s">
        <v>692</v>
      </c>
    </row>
    <row r="1586">
      <c r="A1586" s="44">
        <v>1586.0</v>
      </c>
      <c r="B1586" s="341" t="s">
        <v>152</v>
      </c>
      <c r="C1586" s="340" t="s">
        <v>115</v>
      </c>
      <c r="D1586" s="340" t="s">
        <v>153</v>
      </c>
      <c r="E1586" s="354"/>
      <c r="F1586" s="46" t="s">
        <v>9255</v>
      </c>
      <c r="G1586" s="47" t="s">
        <v>9292</v>
      </c>
      <c r="H1586" s="47" t="s">
        <v>153</v>
      </c>
      <c r="I1586" s="508" t="s">
        <v>119</v>
      </c>
      <c r="J1586" s="511">
        <v>45638.0</v>
      </c>
      <c r="K1586" s="1765" t="s">
        <v>9293</v>
      </c>
      <c r="L1586" s="56" t="s">
        <v>9283</v>
      </c>
      <c r="M1586" s="47" t="s">
        <v>9259</v>
      </c>
      <c r="N1586" s="47" t="s">
        <v>7273</v>
      </c>
      <c r="O1586" s="1766">
        <v>2.0</v>
      </c>
      <c r="P1586" s="1722" t="s">
        <v>7274</v>
      </c>
      <c r="Q1586" s="52" t="str">
        <f t="array" ref="Q1586"> if(iserror(MATCH(V1586, 'File Links'!C:C, 0)), "N/A", HYPERLINK(INDEX('File Links'!B:B, MATCH(P1586, 'File Links'!C:C, 0))))</f>
        <v>https://drive.google.com/file/d/1CSCUNAQZCt3s32RgzUwXe6pe5scvK0yY/view?usp=drivesdk</v>
      </c>
      <c r="R1586" s="797" t="s">
        <v>9294</v>
      </c>
      <c r="S1586" s="797" t="s">
        <v>9273</v>
      </c>
      <c r="T1586" s="49"/>
      <c r="U1586" s="1767">
        <v>1.0</v>
      </c>
      <c r="V1586" s="360" t="str">
        <f t="shared" si="114"/>
        <v>10.17605--osf.io--j8a4p.pdf</v>
      </c>
      <c r="W1586" s="504" t="s">
        <v>164</v>
      </c>
      <c r="X1586" s="54" t="str">
        <f t="array" ref="X1586"> if(iserror(MATCH(V1586, 'File Links'!C:C, 0)), "N/A", HYPERLINK(INDEX('File Links'!B:B, MATCH(V1586, 'File Links'!C:C, 0))))</f>
        <v>https://drive.google.com/file/d/1Kwdqeb9S0RNT_hHV1vR81MPGAjymnUQq/view?usp=drivesdk</v>
      </c>
      <c r="Y1586" s="49"/>
      <c r="Z1586" s="47" t="s">
        <v>226</v>
      </c>
      <c r="AA1586" s="47" t="s">
        <v>9274</v>
      </c>
      <c r="AB1586" s="1768" t="s">
        <v>9275</v>
      </c>
      <c r="AC1586" s="49" t="s">
        <v>9295</v>
      </c>
      <c r="AD1586" s="504" t="s">
        <v>9291</v>
      </c>
      <c r="AE1586" s="50">
        <v>5.0</v>
      </c>
      <c r="AF1586" s="508">
        <v>218.0</v>
      </c>
      <c r="AG1586" s="508">
        <v>-0.03</v>
      </c>
      <c r="AH1586" s="51" t="s">
        <v>173</v>
      </c>
      <c r="AI1586" s="47" t="s">
        <v>1042</v>
      </c>
      <c r="AJ1586" s="508">
        <v>0.83</v>
      </c>
      <c r="AK1586" s="360" t="s">
        <v>172</v>
      </c>
      <c r="AL1586" s="47" t="s">
        <v>186</v>
      </c>
      <c r="AM1586" s="49" t="s">
        <v>137</v>
      </c>
      <c r="AN1586" s="330" t="s">
        <v>138</v>
      </c>
      <c r="AO1586" s="508">
        <v>199.0</v>
      </c>
      <c r="AP1586" s="50">
        <v>-0.043</v>
      </c>
      <c r="AQ1586" s="47" t="s">
        <v>173</v>
      </c>
      <c r="AR1586" s="56" t="s">
        <v>9278</v>
      </c>
      <c r="AS1586" s="508">
        <v>0.763</v>
      </c>
      <c r="AT1586" s="360" t="s">
        <v>172</v>
      </c>
      <c r="AU1586" s="360" t="s">
        <v>136</v>
      </c>
      <c r="AV1586" s="46" t="s">
        <v>137</v>
      </c>
      <c r="AW1586" s="59" t="s">
        <v>9279</v>
      </c>
      <c r="AX1586" s="60" t="s">
        <v>143</v>
      </c>
      <c r="AY1586" s="61" t="str">
        <f>IFERROR(__xludf.DUMMYFUNCTION("vlookup(BB1586,importrange(""https://docs.google.com/spreadsheets/d/1d2vevQ_7D_v35q4wCQ4RpQ_IPoTwEMB9Yp6ymwlPqew/edit?gid=984458430#gid=984458430"", ""'replication success'!A:K""), 11, FAlSE)"),"#N/A")</f>
        <v>#N/A</v>
      </c>
      <c r="AZ1586" s="61" t="str">
        <f>IFERROR(__xludf.DUMMYFUNCTION("vlookup(BB1586,importrange(""https://docs.google.com/spreadsheets/d/1d2vevQ_7D_v35q4wCQ4RpQ_IPoTwEMB9Yp6ymwlPqew/edit?gid=984458430#gid=984458430"", ""'replication success'!A:M""), 12, FAlSE)"),"#N/A")</f>
        <v>#N/A</v>
      </c>
      <c r="BA1586" s="61" t="str">
        <f>IFERROR(__xludf.DUMMYFUNCTION("vlookup(BB1586,importrange(""https://docs.google.com/spreadsheets/d/1d2vevQ_7D_v35q4wCQ4RpQ_IPoTwEMB9Yp6ymwlPqew/edit?gid=984458430#gid=984458430"", ""'replication success'!A:M""), 13, FAlSE)"),"#N/A")</f>
        <v>#N/A</v>
      </c>
      <c r="BB1586" s="61" t="str">
        <f>IFERROR(__xludf.DUMMYFUNCTION("REGEXREPLACE(G1586, ""_[a-z]{1,2}$"", """")"),"j8a4p_plane")</f>
        <v>j8a4p_plane</v>
      </c>
      <c r="BC1586" s="342"/>
      <c r="BD1586" s="341" t="s">
        <v>692</v>
      </c>
    </row>
    <row r="1587">
      <c r="A1587" s="44">
        <v>1587.0</v>
      </c>
      <c r="B1587" s="341" t="s">
        <v>152</v>
      </c>
      <c r="C1587" s="340" t="s">
        <v>115</v>
      </c>
      <c r="D1587" s="340" t="s">
        <v>153</v>
      </c>
      <c r="E1587" s="354"/>
      <c r="F1587" s="46" t="s">
        <v>9255</v>
      </c>
      <c r="G1587" s="47" t="s">
        <v>9296</v>
      </c>
      <c r="H1587" s="47" t="s">
        <v>153</v>
      </c>
      <c r="I1587" s="508" t="s">
        <v>119</v>
      </c>
      <c r="J1587" s="511">
        <v>45638.0</v>
      </c>
      <c r="K1587" s="1765" t="s">
        <v>9297</v>
      </c>
      <c r="L1587" s="56" t="s">
        <v>9283</v>
      </c>
      <c r="M1587" s="47" t="s">
        <v>9259</v>
      </c>
      <c r="N1587" s="47" t="s">
        <v>7273</v>
      </c>
      <c r="O1587" s="1766">
        <v>2.0</v>
      </c>
      <c r="P1587" s="1722" t="s">
        <v>7274</v>
      </c>
      <c r="Q1587" s="52" t="str">
        <f t="array" ref="Q1587"> if(iserror(MATCH(V1587, 'File Links'!C:C, 0)), "N/A", HYPERLINK(INDEX('File Links'!B:B, MATCH(P1587, 'File Links'!C:C, 0))))</f>
        <v>https://drive.google.com/file/d/1CSCUNAQZCt3s32RgzUwXe6pe5scvK0yY/view?usp=drivesdk</v>
      </c>
      <c r="R1587" s="797" t="s">
        <v>9298</v>
      </c>
      <c r="S1587" s="797" t="s">
        <v>9273</v>
      </c>
      <c r="T1587" s="49"/>
      <c r="U1587" s="1767">
        <v>1.0</v>
      </c>
      <c r="V1587" s="360" t="str">
        <f t="shared" si="114"/>
        <v>10.17605--osf.io--j8a4p.pdf</v>
      </c>
      <c r="W1587" s="504" t="s">
        <v>164</v>
      </c>
      <c r="X1587" s="54" t="str">
        <f t="array" ref="X1587"> if(iserror(MATCH(V1587, 'File Links'!C:C, 0)), "N/A", HYPERLINK(INDEX('File Links'!B:B, MATCH(V1587, 'File Links'!C:C, 0))))</f>
        <v>https://drive.google.com/file/d/1Kwdqeb9S0RNT_hHV1vR81MPGAjymnUQq/view?usp=drivesdk</v>
      </c>
      <c r="Y1587" s="49"/>
      <c r="Z1587" s="47" t="s">
        <v>226</v>
      </c>
      <c r="AA1587" s="47" t="s">
        <v>9274</v>
      </c>
      <c r="AB1587" s="1768" t="s">
        <v>9275</v>
      </c>
      <c r="AC1587" s="49" t="s">
        <v>9299</v>
      </c>
      <c r="AD1587" s="504" t="s">
        <v>9291</v>
      </c>
      <c r="AE1587" s="50">
        <v>5.0</v>
      </c>
      <c r="AF1587" s="508">
        <v>218.0</v>
      </c>
      <c r="AG1587" s="508">
        <v>-0.17</v>
      </c>
      <c r="AH1587" s="51" t="s">
        <v>173</v>
      </c>
      <c r="AI1587" s="47" t="s">
        <v>1042</v>
      </c>
      <c r="AJ1587" s="508">
        <v>0.22</v>
      </c>
      <c r="AK1587" s="360" t="s">
        <v>172</v>
      </c>
      <c r="AL1587" s="47" t="s">
        <v>186</v>
      </c>
      <c r="AM1587" s="49" t="s">
        <v>137</v>
      </c>
      <c r="AN1587" s="330" t="s">
        <v>138</v>
      </c>
      <c r="AO1587" s="508">
        <v>199.0</v>
      </c>
      <c r="AP1587" s="50">
        <v>-0.008</v>
      </c>
      <c r="AQ1587" s="47" t="s">
        <v>173</v>
      </c>
      <c r="AR1587" s="56" t="s">
        <v>9278</v>
      </c>
      <c r="AS1587" s="508">
        <v>0.964</v>
      </c>
      <c r="AT1587" s="360" t="s">
        <v>172</v>
      </c>
      <c r="AU1587" s="360" t="s">
        <v>136</v>
      </c>
      <c r="AV1587" s="46" t="s">
        <v>137</v>
      </c>
      <c r="AW1587" s="59" t="s">
        <v>9279</v>
      </c>
      <c r="AX1587" s="60" t="s">
        <v>143</v>
      </c>
      <c r="AY1587" s="61" t="str">
        <f>IFERROR(__xludf.DUMMYFUNCTION("vlookup(BB1587,importrange(""https://docs.google.com/spreadsheets/d/1d2vevQ_7D_v35q4wCQ4RpQ_IPoTwEMB9Yp6ymwlPqew/edit?gid=984458430#gid=984458430"", ""'replication success'!A:K""), 11, FAlSE)"),"#N/A")</f>
        <v>#N/A</v>
      </c>
      <c r="AZ1587" s="61" t="str">
        <f>IFERROR(__xludf.DUMMYFUNCTION("vlookup(BB1587,importrange(""https://docs.google.com/spreadsheets/d/1d2vevQ_7D_v35q4wCQ4RpQ_IPoTwEMB9Yp6ymwlPqew/edit?gid=984458430#gid=984458430"", ""'replication success'!A:M""), 12, FAlSE)"),"#N/A")</f>
        <v>#N/A</v>
      </c>
      <c r="BA1587" s="61" t="str">
        <f>IFERROR(__xludf.DUMMYFUNCTION("vlookup(BB1587,importrange(""https://docs.google.com/spreadsheets/d/1d2vevQ_7D_v35q4wCQ4RpQ_IPoTwEMB9Yp6ymwlPqew/edit?gid=984458430#gid=984458430"", ""'replication success'!A:M""), 13, FAlSE)"),"#N/A")</f>
        <v>#N/A</v>
      </c>
      <c r="BB1587" s="61" t="str">
        <f>IFERROR(__xludf.DUMMYFUNCTION("REGEXREPLACE(G1587, ""_[a-z]{1,2}$"", """")"),"j8a4p_resume")</f>
        <v>j8a4p_resume</v>
      </c>
      <c r="BC1587" s="342"/>
      <c r="BD1587" s="341" t="s">
        <v>692</v>
      </c>
    </row>
    <row r="1588">
      <c r="A1588" s="44">
        <v>1588.0</v>
      </c>
      <c r="B1588" s="341" t="s">
        <v>152</v>
      </c>
      <c r="C1588" s="340" t="s">
        <v>115</v>
      </c>
      <c r="D1588" s="340" t="s">
        <v>153</v>
      </c>
      <c r="E1588" s="354"/>
      <c r="F1588" s="46" t="s">
        <v>9255</v>
      </c>
      <c r="G1588" s="47" t="s">
        <v>9300</v>
      </c>
      <c r="H1588" s="47" t="s">
        <v>153</v>
      </c>
      <c r="I1588" s="508" t="s">
        <v>119</v>
      </c>
      <c r="J1588" s="511">
        <v>45638.0</v>
      </c>
      <c r="K1588" s="1765" t="s">
        <v>9301</v>
      </c>
      <c r="L1588" s="56" t="s">
        <v>9283</v>
      </c>
      <c r="M1588" s="47" t="s">
        <v>9259</v>
      </c>
      <c r="N1588" s="47" t="s">
        <v>7273</v>
      </c>
      <c r="O1588" s="1766">
        <v>2.0</v>
      </c>
      <c r="P1588" s="1722" t="s">
        <v>7274</v>
      </c>
      <c r="Q1588" s="52" t="str">
        <f t="array" ref="Q1588"> if(iserror(MATCH(V1588, 'File Links'!C:C, 0)), "N/A", HYPERLINK(INDEX('File Links'!B:B, MATCH(P1588, 'File Links'!C:C, 0))))</f>
        <v>https://drive.google.com/file/d/1CSCUNAQZCt3s32RgzUwXe6pe5scvK0yY/view?usp=drivesdk</v>
      </c>
      <c r="R1588" s="797" t="s">
        <v>9302</v>
      </c>
      <c r="S1588" s="797" t="s">
        <v>9273</v>
      </c>
      <c r="T1588" s="49"/>
      <c r="U1588" s="1767">
        <v>1.0</v>
      </c>
      <c r="V1588" s="360" t="str">
        <f t="shared" si="114"/>
        <v>10.17605--osf.io--j8a4p.pdf</v>
      </c>
      <c r="W1588" s="504" t="s">
        <v>164</v>
      </c>
      <c r="X1588" s="54" t="str">
        <f t="array" ref="X1588"> if(iserror(MATCH(V1588, 'File Links'!C:C, 0)), "N/A", HYPERLINK(INDEX('File Links'!B:B, MATCH(V1588, 'File Links'!C:C, 0))))</f>
        <v>https://drive.google.com/file/d/1Kwdqeb9S0RNT_hHV1vR81MPGAjymnUQq/view?usp=drivesdk</v>
      </c>
      <c r="Y1588" s="49"/>
      <c r="Z1588" s="47" t="s">
        <v>226</v>
      </c>
      <c r="AA1588" s="47" t="s">
        <v>9274</v>
      </c>
      <c r="AB1588" s="1768" t="s">
        <v>9275</v>
      </c>
      <c r="AC1588" s="49" t="s">
        <v>9303</v>
      </c>
      <c r="AD1588" s="504" t="s">
        <v>9291</v>
      </c>
      <c r="AE1588" s="50">
        <v>5.0</v>
      </c>
      <c r="AF1588" s="508">
        <v>218.0</v>
      </c>
      <c r="AG1588" s="508">
        <v>-0.14</v>
      </c>
      <c r="AH1588" s="51" t="s">
        <v>173</v>
      </c>
      <c r="AI1588" s="47" t="s">
        <v>1042</v>
      </c>
      <c r="AJ1588" s="508">
        <v>0.3</v>
      </c>
      <c r="AK1588" s="360" t="s">
        <v>172</v>
      </c>
      <c r="AL1588" s="47" t="s">
        <v>186</v>
      </c>
      <c r="AM1588" s="49" t="s">
        <v>137</v>
      </c>
      <c r="AN1588" s="330" t="s">
        <v>138</v>
      </c>
      <c r="AO1588" s="508">
        <v>199.0</v>
      </c>
      <c r="AP1588" s="50">
        <v>0.058</v>
      </c>
      <c r="AQ1588" s="47" t="s">
        <v>173</v>
      </c>
      <c r="AR1588" s="56" t="s">
        <v>9278</v>
      </c>
      <c r="AS1588" s="508">
        <v>0.679</v>
      </c>
      <c r="AT1588" s="360" t="s">
        <v>172</v>
      </c>
      <c r="AU1588" s="360" t="s">
        <v>136</v>
      </c>
      <c r="AV1588" s="46" t="s">
        <v>137</v>
      </c>
      <c r="AW1588" s="59" t="s">
        <v>9279</v>
      </c>
      <c r="AX1588" s="60" t="s">
        <v>143</v>
      </c>
      <c r="AY1588" s="61" t="str">
        <f>IFERROR(__xludf.DUMMYFUNCTION("vlookup(BB1588,importrange(""https://docs.google.com/spreadsheets/d/1d2vevQ_7D_v35q4wCQ4RpQ_IPoTwEMB9Yp6ymwlPqew/edit?gid=984458430#gid=984458430"", ""'replication success'!A:K""), 11, FAlSE)"),"#N/A")</f>
        <v>#N/A</v>
      </c>
      <c r="AZ1588" s="61" t="str">
        <f>IFERROR(__xludf.DUMMYFUNCTION("vlookup(BB1588,importrange(""https://docs.google.com/spreadsheets/d/1d2vevQ_7D_v35q4wCQ4RpQ_IPoTwEMB9Yp6ymwlPqew/edit?gid=984458430#gid=984458430"", ""'replication success'!A:M""), 12, FAlSE)"),"#N/A")</f>
        <v>#N/A</v>
      </c>
      <c r="BA1588" s="61" t="str">
        <f>IFERROR(__xludf.DUMMYFUNCTION("vlookup(BB1588,importrange(""https://docs.google.com/spreadsheets/d/1d2vevQ_7D_v35q4wCQ4RpQ_IPoTwEMB9Yp6ymwlPqew/edit?gid=984458430#gid=984458430"", ""'replication success'!A:M""), 13, FAlSE)"),"#N/A")</f>
        <v>#N/A</v>
      </c>
      <c r="BB1588" s="61" t="str">
        <f>IFERROR(__xludf.DUMMYFUNCTION("REGEXREPLACE(G1588, ""_[a-z]{1,2}$"", """")"),"j8a4p_trolley")</f>
        <v>j8a4p_trolley</v>
      </c>
      <c r="BC1588" s="342"/>
      <c r="BD1588" s="341" t="s">
        <v>692</v>
      </c>
    </row>
    <row r="1589">
      <c r="A1589" s="44">
        <v>1589.0</v>
      </c>
      <c r="B1589" s="341" t="s">
        <v>152</v>
      </c>
      <c r="C1589" s="340" t="s">
        <v>115</v>
      </c>
      <c r="D1589" s="340" t="s">
        <v>153</v>
      </c>
      <c r="E1589" s="354"/>
      <c r="F1589" s="46" t="s">
        <v>9255</v>
      </c>
      <c r="G1589" s="47" t="s">
        <v>9304</v>
      </c>
      <c r="H1589" s="47" t="s">
        <v>153</v>
      </c>
      <c r="I1589" s="508" t="s">
        <v>119</v>
      </c>
      <c r="J1589" s="511">
        <v>45638.0</v>
      </c>
      <c r="K1589" s="1765" t="s">
        <v>9305</v>
      </c>
      <c r="L1589" s="56" t="s">
        <v>9283</v>
      </c>
      <c r="M1589" s="47" t="s">
        <v>9259</v>
      </c>
      <c r="N1589" s="47" t="s">
        <v>7273</v>
      </c>
      <c r="O1589" s="1766">
        <v>2.0</v>
      </c>
      <c r="P1589" s="1722" t="s">
        <v>7274</v>
      </c>
      <c r="Q1589" s="52" t="str">
        <f t="array" ref="Q1589"> if(iserror(MATCH(V1589, 'File Links'!C:C, 0)), "N/A", HYPERLINK(INDEX('File Links'!B:B, MATCH(P1589, 'File Links'!C:C, 0))))</f>
        <v>https://drive.google.com/file/d/1CSCUNAQZCt3s32RgzUwXe6pe5scvK0yY/view?usp=drivesdk</v>
      </c>
      <c r="R1589" s="797" t="s">
        <v>9306</v>
      </c>
      <c r="S1589" s="797" t="s">
        <v>9273</v>
      </c>
      <c r="T1589" s="49"/>
      <c r="U1589" s="1767">
        <v>1.0</v>
      </c>
      <c r="V1589" s="360" t="str">
        <f t="shared" si="114"/>
        <v>10.17605--osf.io--j8a4p.pdf</v>
      </c>
      <c r="W1589" s="504" t="s">
        <v>164</v>
      </c>
      <c r="X1589" s="54" t="str">
        <f t="array" ref="X1589"> if(iserror(MATCH(V1589, 'File Links'!C:C, 0)), "N/A", HYPERLINK(INDEX('File Links'!B:B, MATCH(V1589, 'File Links'!C:C, 0))))</f>
        <v>https://drive.google.com/file/d/1Kwdqeb9S0RNT_hHV1vR81MPGAjymnUQq/view?usp=drivesdk</v>
      </c>
      <c r="Y1589" s="49"/>
      <c r="Z1589" s="47" t="s">
        <v>226</v>
      </c>
      <c r="AA1589" s="47" t="s">
        <v>9274</v>
      </c>
      <c r="AB1589" s="1768" t="s">
        <v>9275</v>
      </c>
      <c r="AC1589" s="49" t="s">
        <v>9307</v>
      </c>
      <c r="AD1589" s="504" t="s">
        <v>9291</v>
      </c>
      <c r="AE1589" s="50">
        <v>5.0</v>
      </c>
      <c r="AF1589" s="508">
        <v>218.0</v>
      </c>
      <c r="AG1589" s="508">
        <v>-0.13</v>
      </c>
      <c r="AH1589" s="51" t="s">
        <v>173</v>
      </c>
      <c r="AI1589" s="47" t="s">
        <v>1042</v>
      </c>
      <c r="AJ1589" s="508">
        <v>0.34</v>
      </c>
      <c r="AK1589" s="360" t="s">
        <v>172</v>
      </c>
      <c r="AL1589" s="47" t="s">
        <v>186</v>
      </c>
      <c r="AM1589" s="49" t="s">
        <v>137</v>
      </c>
      <c r="AN1589" s="330" t="s">
        <v>138</v>
      </c>
      <c r="AO1589" s="508">
        <v>199.0</v>
      </c>
      <c r="AP1589" s="50">
        <v>0.014</v>
      </c>
      <c r="AQ1589" s="47" t="s">
        <v>173</v>
      </c>
      <c r="AR1589" s="56" t="s">
        <v>9278</v>
      </c>
      <c r="AS1589" s="508">
        <v>0.918</v>
      </c>
      <c r="AT1589" s="360" t="s">
        <v>172</v>
      </c>
      <c r="AU1589" s="360" t="s">
        <v>136</v>
      </c>
      <c r="AV1589" s="46" t="s">
        <v>137</v>
      </c>
      <c r="AW1589" s="59" t="s">
        <v>9279</v>
      </c>
      <c r="AX1589" s="60" t="s">
        <v>143</v>
      </c>
      <c r="AY1589" s="61" t="str">
        <f>IFERROR(__xludf.DUMMYFUNCTION("vlookup(BB1589,importrange(""https://docs.google.com/spreadsheets/d/1d2vevQ_7D_v35q4wCQ4RpQ_IPoTwEMB9Yp6ymwlPqew/edit?gid=984458430#gid=984458430"", ""'replication success'!A:K""), 11, FAlSE)"),"#N/A")</f>
        <v>#N/A</v>
      </c>
      <c r="AZ1589" s="61" t="str">
        <f>IFERROR(__xludf.DUMMYFUNCTION("vlookup(BB1589,importrange(""https://docs.google.com/spreadsheets/d/1d2vevQ_7D_v35q4wCQ4RpQ_IPoTwEMB9Yp6ymwlPqew/edit?gid=984458430#gid=984458430"", ""'replication success'!A:M""), 12, FAlSE)"),"#N/A")</f>
        <v>#N/A</v>
      </c>
      <c r="BA1589" s="61" t="str">
        <f>IFERROR(__xludf.DUMMYFUNCTION("vlookup(BB1589,importrange(""https://docs.google.com/spreadsheets/d/1d2vevQ_7D_v35q4wCQ4RpQ_IPoTwEMB9Yp6ymwlPqew/edit?gid=984458430#gid=984458430"", ""'replication success'!A:M""), 13, FAlSE)"),"#N/A")</f>
        <v>#N/A</v>
      </c>
      <c r="BB1589" s="61" t="str">
        <f>IFERROR(__xludf.DUMMYFUNCTION("REGEXREPLACE(G1589, ""_[a-z]{1,2}$"", """")"),"j8a4p_wallet")</f>
        <v>j8a4p_wallet</v>
      </c>
      <c r="BC1589" s="342"/>
      <c r="BD1589" s="341" t="s">
        <v>692</v>
      </c>
    </row>
    <row r="1590">
      <c r="A1590" s="44">
        <v>1590.0</v>
      </c>
      <c r="B1590" s="896" t="s">
        <v>523</v>
      </c>
      <c r="C1590" s="839" t="s">
        <v>115</v>
      </c>
      <c r="D1590" s="839" t="s">
        <v>176</v>
      </c>
      <c r="E1590" s="752"/>
      <c r="F1590" s="851" t="s">
        <v>9308</v>
      </c>
      <c r="G1590" s="841" t="s">
        <v>9309</v>
      </c>
      <c r="H1590" s="840" t="s">
        <v>176</v>
      </c>
      <c r="I1590" s="994">
        <v>45658.0</v>
      </c>
      <c r="J1590" s="851"/>
      <c r="K1590" s="840" t="s">
        <v>9310</v>
      </c>
      <c r="L1590" s="851"/>
      <c r="M1590" s="840" t="s">
        <v>9311</v>
      </c>
      <c r="N1590" s="840" t="s">
        <v>9312</v>
      </c>
      <c r="O1590" s="851"/>
      <c r="P1590" s="997" t="s">
        <v>9313</v>
      </c>
      <c r="Q1590" s="52" t="str">
        <f t="array" ref="Q1590"> if(iserror(MATCH(V1590, 'File Links'!C:C, 0)), "N/A", HYPERLINK(INDEX('File Links'!B:B, MATCH(P1590, 'File Links'!C:C, 0))))</f>
        <v>https://drive.google.com/file/d/1EqvEPwgwndawziGmIPqgl3yNKOI51OAS/view?usp=drivesdk</v>
      </c>
      <c r="R1590" s="840" t="s">
        <v>9314</v>
      </c>
      <c r="S1590" s="840" t="s">
        <v>9315</v>
      </c>
      <c r="T1590" s="851"/>
      <c r="U1590" s="851"/>
      <c r="V1590" s="198" t="str">
        <f t="shared" si="114"/>
        <v>10.18718--81781.23.pdf</v>
      </c>
      <c r="W1590" s="840" t="s">
        <v>9316</v>
      </c>
      <c r="X1590" s="54" t="str">
        <f t="array" ref="X1590"> if(iserror(MATCH(V1590, 'File Links'!C:C, 0)), "N/A", HYPERLINK(INDEX('File Links'!B:B, MATCH(V1590, 'File Links'!C:C, 0))))</f>
        <v>https://drive.google.com/file/d/1UFSIBKXNmPXd3__1cxrsTy9PbNax45wB/view?usp=drivesdk</v>
      </c>
      <c r="Y1590" s="851"/>
      <c r="Z1590" s="840" t="s">
        <v>1809</v>
      </c>
      <c r="AA1590" s="840" t="s">
        <v>9317</v>
      </c>
      <c r="AB1590" s="840" t="s">
        <v>9318</v>
      </c>
      <c r="AC1590" s="840" t="s">
        <v>9319</v>
      </c>
      <c r="AD1590" s="840" t="s">
        <v>9320</v>
      </c>
      <c r="AE1590" s="840" t="s">
        <v>9321</v>
      </c>
      <c r="AF1590" s="904">
        <v>300.0</v>
      </c>
      <c r="AG1590" s="851"/>
      <c r="AH1590" s="850"/>
      <c r="AI1590" s="843"/>
      <c r="AJ1590" s="843"/>
      <c r="AK1590" s="851"/>
      <c r="AL1590" s="843"/>
      <c r="AM1590" s="851"/>
      <c r="AN1590" s="330" t="s">
        <v>138</v>
      </c>
      <c r="AO1590" s="904">
        <v>232.0</v>
      </c>
      <c r="AP1590" s="851"/>
      <c r="AQ1590" s="851"/>
      <c r="AR1590" s="851"/>
      <c r="AS1590" s="851"/>
      <c r="AT1590" s="851"/>
      <c r="AU1590" s="851"/>
      <c r="AV1590" s="851"/>
      <c r="AW1590" s="851"/>
      <c r="AX1590" s="851" t="s">
        <v>143</v>
      </c>
      <c r="AY1590" s="61" t="str">
        <f>IFERROR(__xludf.DUMMYFUNCTION("vlookup(BB1590,importrange(""https://docs.google.com/spreadsheets/d/1d2vevQ_7D_v35q4wCQ4RpQ_IPoTwEMB9Yp6ymwlPqew/edit?gid=984458430#gid=984458430"", ""'replication success'!A:K""), 11, FAlSE)"),"#N/A")</f>
        <v>#N/A</v>
      </c>
      <c r="AZ1590" s="61" t="str">
        <f>IFERROR(__xludf.DUMMYFUNCTION("vlookup(BB1590,importrange(""https://docs.google.com/spreadsheets/d/1d2vevQ_7D_v35q4wCQ4RpQ_IPoTwEMB9Yp6ymwlPqew/edit?gid=984458430#gid=984458430"", ""'replication success'!A:M""), 12, FAlSE)"),"#N/A")</f>
        <v>#N/A</v>
      </c>
      <c r="BA1590" s="61" t="str">
        <f>IFERROR(__xludf.DUMMYFUNCTION("vlookup(BB1590,importrange(""https://docs.google.com/spreadsheets/d/1d2vevQ_7D_v35q4wCQ4RpQ_IPoTwEMB9Yp6ymwlPqew/edit?gid=984458430#gid=984458430"", ""'replication success'!A:M""), 13, FAlSE)"),"#N/A")</f>
        <v>#N/A</v>
      </c>
      <c r="BB1590" s="61" t="str">
        <f>IFERROR(__xludf.DUMMYFUNCTION("REGEXREPLACE(G1590, ""_[a-z]{1,2}$"", """")"),"jcre_01")</f>
        <v>jcre_01</v>
      </c>
      <c r="BC1590" s="752"/>
      <c r="BD1590" s="752"/>
    </row>
    <row r="1591">
      <c r="A1591" s="44">
        <v>1591.0</v>
      </c>
      <c r="B1591" s="896" t="s">
        <v>523</v>
      </c>
      <c r="C1591" s="839" t="s">
        <v>115</v>
      </c>
      <c r="D1591" s="839" t="s">
        <v>176</v>
      </c>
      <c r="E1591" s="752"/>
      <c r="F1591" s="851" t="s">
        <v>9308</v>
      </c>
      <c r="G1591" s="841" t="s">
        <v>9322</v>
      </c>
      <c r="H1591" s="840" t="s">
        <v>176</v>
      </c>
      <c r="I1591" s="994">
        <v>45658.0</v>
      </c>
      <c r="J1591" s="851"/>
      <c r="K1591" s="840" t="s">
        <v>9323</v>
      </c>
      <c r="L1591" s="851"/>
      <c r="M1591" s="840" t="s">
        <v>9311</v>
      </c>
      <c r="N1591" s="840" t="s">
        <v>9312</v>
      </c>
      <c r="O1591" s="851"/>
      <c r="P1591" s="997" t="s">
        <v>9313</v>
      </c>
      <c r="Q1591" s="52" t="str">
        <f t="array" ref="Q1591"> if(iserror(MATCH(V1591, 'File Links'!C:C, 0)), "N/A", HYPERLINK(INDEX('File Links'!B:B, MATCH(P1591, 'File Links'!C:C, 0))))</f>
        <v>https://drive.google.com/file/d/1EqvEPwgwndawziGmIPqgl3yNKOI51OAS/view?usp=drivesdk</v>
      </c>
      <c r="R1591" s="840" t="s">
        <v>9314</v>
      </c>
      <c r="S1591" s="840" t="s">
        <v>9315</v>
      </c>
      <c r="T1591" s="851"/>
      <c r="U1591" s="851"/>
      <c r="V1591" s="198" t="str">
        <f t="shared" si="114"/>
        <v>10.18718--81781.23.pdf</v>
      </c>
      <c r="W1591" s="840" t="s">
        <v>9324</v>
      </c>
      <c r="X1591" s="54" t="str">
        <f t="array" ref="X1591"> if(iserror(MATCH(V1591, 'File Links'!C:C, 0)), "N/A", HYPERLINK(INDEX('File Links'!B:B, MATCH(V1591, 'File Links'!C:C, 0))))</f>
        <v>https://drive.google.com/file/d/1UFSIBKXNmPXd3__1cxrsTy9PbNax45wB/view?usp=drivesdk</v>
      </c>
      <c r="Y1591" s="851"/>
      <c r="Z1591" s="840" t="s">
        <v>1809</v>
      </c>
      <c r="AA1591" s="840" t="s">
        <v>9317</v>
      </c>
      <c r="AB1591" s="840" t="s">
        <v>9318</v>
      </c>
      <c r="AC1591" s="840" t="s">
        <v>9319</v>
      </c>
      <c r="AD1591" s="840" t="s">
        <v>9320</v>
      </c>
      <c r="AE1591" s="904">
        <v>22.0</v>
      </c>
      <c r="AF1591" s="904">
        <v>300.0</v>
      </c>
      <c r="AG1591" s="851"/>
      <c r="AH1591" s="850"/>
      <c r="AI1591" s="843"/>
      <c r="AJ1591" s="843"/>
      <c r="AK1591" s="851"/>
      <c r="AL1591" s="843"/>
      <c r="AM1591" s="851"/>
      <c r="AN1591" s="330" t="s">
        <v>138</v>
      </c>
      <c r="AO1591" s="904">
        <v>196.0</v>
      </c>
      <c r="AP1591" s="851"/>
      <c r="AQ1591" s="851"/>
      <c r="AR1591" s="851"/>
      <c r="AS1591" s="851"/>
      <c r="AT1591" s="851"/>
      <c r="AU1591" s="851"/>
      <c r="AV1591" s="851"/>
      <c r="AW1591" s="851"/>
      <c r="AX1591" s="851" t="s">
        <v>143</v>
      </c>
      <c r="AY1591" s="61" t="str">
        <f>IFERROR(__xludf.DUMMYFUNCTION("vlookup(BB1591,importrange(""https://docs.google.com/spreadsheets/d/1d2vevQ_7D_v35q4wCQ4RpQ_IPoTwEMB9Yp6ymwlPqew/edit?gid=984458430#gid=984458430"", ""'replication success'!A:K""), 11, FAlSE)"),"#N/A")</f>
        <v>#N/A</v>
      </c>
      <c r="AZ1591" s="61" t="str">
        <f>IFERROR(__xludf.DUMMYFUNCTION("vlookup(BB1591,importrange(""https://docs.google.com/spreadsheets/d/1d2vevQ_7D_v35q4wCQ4RpQ_IPoTwEMB9Yp6ymwlPqew/edit?gid=984458430#gid=984458430"", ""'replication success'!A:M""), 12, FAlSE)"),"#N/A")</f>
        <v>#N/A</v>
      </c>
      <c r="BA1591" s="61" t="str">
        <f>IFERROR(__xludf.DUMMYFUNCTION("vlookup(BB1591,importrange(""https://docs.google.com/spreadsheets/d/1d2vevQ_7D_v35q4wCQ4RpQ_IPoTwEMB9Yp6ymwlPqew/edit?gid=984458430#gid=984458430"", ""'replication success'!A:M""), 13, FAlSE)"),"#N/A")</f>
        <v>#N/A</v>
      </c>
      <c r="BB1591" s="61" t="str">
        <f>IFERROR(__xludf.DUMMYFUNCTION("REGEXREPLACE(G1591, ""_[a-z]{1,2}$"", """")"),"jcre_01")</f>
        <v>jcre_01</v>
      </c>
      <c r="BC1591" s="752"/>
      <c r="BD1591" s="752"/>
    </row>
    <row r="1592">
      <c r="A1592" s="44">
        <v>1592.0</v>
      </c>
      <c r="B1592" s="72" t="s">
        <v>523</v>
      </c>
      <c r="C1592" s="72" t="s">
        <v>115</v>
      </c>
      <c r="D1592" s="72" t="s">
        <v>153</v>
      </c>
      <c r="E1592" s="73"/>
      <c r="F1592" s="94" t="s">
        <v>9308</v>
      </c>
      <c r="G1592" s="76" t="s">
        <v>9325</v>
      </c>
      <c r="H1592" s="76" t="s">
        <v>153</v>
      </c>
      <c r="I1592" s="853">
        <v>45478.0</v>
      </c>
      <c r="J1592" s="629">
        <v>45638.0</v>
      </c>
      <c r="K1592" s="75" t="s">
        <v>9326</v>
      </c>
      <c r="L1592" s="82"/>
      <c r="M1592" s="76" t="s">
        <v>9311</v>
      </c>
      <c r="N1592" s="76" t="s">
        <v>9312</v>
      </c>
      <c r="O1592" s="1004">
        <v>1.0</v>
      </c>
      <c r="P1592" s="931" t="s">
        <v>9313</v>
      </c>
      <c r="Q1592" s="52" t="str">
        <f t="array" ref="Q1592"> if(iserror(MATCH(V1592, 'File Links'!C:C, 0)), "N/A", HYPERLINK(INDEX('File Links'!B:B, MATCH(P1592, 'File Links'!C:C, 0))))</f>
        <v>https://drive.google.com/file/d/1EqvEPwgwndawziGmIPqgl3yNKOI51OAS/view?usp=drivesdk</v>
      </c>
      <c r="R1592" s="76" t="s">
        <v>9314</v>
      </c>
      <c r="S1592" s="76" t="s">
        <v>9315</v>
      </c>
      <c r="T1592" s="82"/>
      <c r="U1592" s="1005">
        <v>1.0</v>
      </c>
      <c r="V1592" s="198" t="str">
        <f t="shared" si="114"/>
        <v>10.18718--81781.23.pdf</v>
      </c>
      <c r="W1592" s="75" t="s">
        <v>2016</v>
      </c>
      <c r="X1592" s="54" t="str">
        <f t="array" ref="X1592"> if(iserror(MATCH(V1592, 'File Links'!C:C, 0)), "N/A", HYPERLINK(INDEX('File Links'!B:B, MATCH(V1592, 'File Links'!C:C, 0))))</f>
        <v>https://drive.google.com/file/d/1UFSIBKXNmPXd3__1cxrsTy9PbNax45wB/view?usp=drivesdk</v>
      </c>
      <c r="Y1592" s="82"/>
      <c r="Z1592" s="76" t="s">
        <v>1809</v>
      </c>
      <c r="AA1592" s="82" t="s">
        <v>9327</v>
      </c>
      <c r="AB1592" s="75" t="s">
        <v>9328</v>
      </c>
      <c r="AC1592" s="75" t="s">
        <v>9329</v>
      </c>
      <c r="AD1592" s="82" t="s">
        <v>9330</v>
      </c>
      <c r="AE1592" s="1770">
        <v>22.0</v>
      </c>
      <c r="AF1592" s="635">
        <f t="shared" ref="AF1592:AF1645" si="115">12*27</f>
        <v>324</v>
      </c>
      <c r="AG1592" s="76" t="s">
        <v>9331</v>
      </c>
      <c r="AH1592" s="99" t="s">
        <v>134</v>
      </c>
      <c r="AI1592" s="76" t="s">
        <v>2442</v>
      </c>
      <c r="AJ1592" s="635">
        <v>0.01</v>
      </c>
      <c r="AK1592" s="95" t="s">
        <v>135</v>
      </c>
      <c r="AL1592" s="76" t="s">
        <v>136</v>
      </c>
      <c r="AM1592" s="82" t="s">
        <v>141</v>
      </c>
      <c r="AN1592" s="330" t="s">
        <v>138</v>
      </c>
      <c r="AO1592" s="635">
        <v>196.0</v>
      </c>
      <c r="AP1592" s="76" t="s">
        <v>9332</v>
      </c>
      <c r="AQ1592" s="76" t="s">
        <v>134</v>
      </c>
      <c r="AR1592" s="76" t="s">
        <v>3721</v>
      </c>
      <c r="AS1592" s="635">
        <v>0.01</v>
      </c>
      <c r="AT1592" s="95" t="s">
        <v>135</v>
      </c>
      <c r="AU1592" s="95" t="s">
        <v>136</v>
      </c>
      <c r="AV1592" s="94" t="s">
        <v>141</v>
      </c>
      <c r="AW1592" s="94"/>
      <c r="AX1592" s="94" t="s">
        <v>143</v>
      </c>
      <c r="AY1592" s="61" t="str">
        <f>IFERROR(__xludf.DUMMYFUNCTION("vlookup(BB1592,importrange(""https://docs.google.com/spreadsheets/d/1d2vevQ_7D_v35q4wCQ4RpQ_IPoTwEMB9Yp6ymwlPqew/edit?gid=984458430#gid=984458430"", ""'replication success'!A:K""), 11, FAlSE)"),"#N/A")</f>
        <v>#N/A</v>
      </c>
      <c r="AZ1592" s="61" t="str">
        <f>IFERROR(__xludf.DUMMYFUNCTION("vlookup(BB1592,importrange(""https://docs.google.com/spreadsheets/d/1d2vevQ_7D_v35q4wCQ4RpQ_IPoTwEMB9Yp6ymwlPqew/edit?gid=984458430#gid=984458430"", ""'replication success'!A:M""), 12, FAlSE)"),"#N/A")</f>
        <v>#N/A</v>
      </c>
      <c r="BA1592" s="61" t="str">
        <f>IFERROR(__xludf.DUMMYFUNCTION("vlookup(BB1592,importrange(""https://docs.google.com/spreadsheets/d/1d2vevQ_7D_v35q4wCQ4RpQ_IPoTwEMB9Yp6ymwlPqew/edit?gid=984458430#gid=984458430"", ""'replication success'!A:M""), 13, FAlSE)"),"#N/A")</f>
        <v>#N/A</v>
      </c>
      <c r="BB1592" s="61" t="str">
        <f>IFERROR(__xludf.DUMMYFUNCTION("REGEXREPLACE(G1592, ""_[a-z]{1,2}$"", """")"),"jcre_01_c2")</f>
        <v>jcre_01_c2</v>
      </c>
      <c r="BC1592" s="92"/>
      <c r="BD1592" s="92"/>
    </row>
    <row r="1593">
      <c r="A1593" s="44">
        <v>1593.0</v>
      </c>
      <c r="B1593" s="72" t="s">
        <v>523</v>
      </c>
      <c r="C1593" s="72" t="s">
        <v>115</v>
      </c>
      <c r="D1593" s="72" t="s">
        <v>153</v>
      </c>
      <c r="E1593" s="73"/>
      <c r="F1593" s="94" t="s">
        <v>9308</v>
      </c>
      <c r="G1593" s="76" t="s">
        <v>9333</v>
      </c>
      <c r="H1593" s="76" t="s">
        <v>153</v>
      </c>
      <c r="I1593" s="853">
        <v>45478.0</v>
      </c>
      <c r="J1593" s="629">
        <v>45638.0</v>
      </c>
      <c r="K1593" s="75" t="s">
        <v>9326</v>
      </c>
      <c r="L1593" s="82"/>
      <c r="M1593" s="76" t="s">
        <v>9311</v>
      </c>
      <c r="N1593" s="76" t="s">
        <v>9312</v>
      </c>
      <c r="O1593" s="1004">
        <v>1.0</v>
      </c>
      <c r="P1593" s="931" t="s">
        <v>9313</v>
      </c>
      <c r="Q1593" s="52" t="str">
        <f t="array" ref="Q1593"> if(iserror(MATCH(V1593, 'File Links'!C:C, 0)), "N/A", HYPERLINK(INDEX('File Links'!B:B, MATCH(P1593, 'File Links'!C:C, 0))))</f>
        <v>https://drive.google.com/file/d/1EqvEPwgwndawziGmIPqgl3yNKOI51OAS/view?usp=drivesdk</v>
      </c>
      <c r="R1593" s="76" t="s">
        <v>9314</v>
      </c>
      <c r="S1593" s="76" t="s">
        <v>9315</v>
      </c>
      <c r="T1593" s="82"/>
      <c r="U1593" s="1005">
        <v>1.0</v>
      </c>
      <c r="V1593" s="198" t="str">
        <f t="shared" si="114"/>
        <v>10.18718--81781.23.pdf</v>
      </c>
      <c r="W1593" s="75" t="s">
        <v>2016</v>
      </c>
      <c r="X1593" s="54" t="str">
        <f t="array" ref="X1593"> if(iserror(MATCH(V1593, 'File Links'!C:C, 0)), "N/A", HYPERLINK(INDEX('File Links'!B:B, MATCH(V1593, 'File Links'!C:C, 0))))</f>
        <v>https://drive.google.com/file/d/1UFSIBKXNmPXd3__1cxrsTy9PbNax45wB/view?usp=drivesdk</v>
      </c>
      <c r="Y1593" s="82"/>
      <c r="Z1593" s="76" t="s">
        <v>1809</v>
      </c>
      <c r="AA1593" s="82" t="s">
        <v>9327</v>
      </c>
      <c r="AB1593" s="75" t="s">
        <v>9328</v>
      </c>
      <c r="AC1593" s="75" t="s">
        <v>9334</v>
      </c>
      <c r="AD1593" s="82" t="s">
        <v>9330</v>
      </c>
      <c r="AE1593" s="1770">
        <v>22.0</v>
      </c>
      <c r="AF1593" s="635">
        <f t="shared" si="115"/>
        <v>324</v>
      </c>
      <c r="AG1593" s="76" t="s">
        <v>9335</v>
      </c>
      <c r="AH1593" s="99" t="s">
        <v>134</v>
      </c>
      <c r="AI1593" s="76" t="s">
        <v>2441</v>
      </c>
      <c r="AJ1593" s="635">
        <v>0.01</v>
      </c>
      <c r="AK1593" s="95" t="s">
        <v>135</v>
      </c>
      <c r="AL1593" s="76" t="s">
        <v>136</v>
      </c>
      <c r="AM1593" s="82" t="s">
        <v>141</v>
      </c>
      <c r="AN1593" s="330" t="s">
        <v>138</v>
      </c>
      <c r="AO1593" s="635">
        <v>185.0</v>
      </c>
      <c r="AP1593" s="76" t="s">
        <v>9336</v>
      </c>
      <c r="AQ1593" s="76" t="s">
        <v>134</v>
      </c>
      <c r="AR1593" s="76" t="s">
        <v>7749</v>
      </c>
      <c r="AS1593" s="635">
        <v>0.05</v>
      </c>
      <c r="AT1593" s="95" t="s">
        <v>135</v>
      </c>
      <c r="AU1593" s="95" t="s">
        <v>136</v>
      </c>
      <c r="AV1593" s="94" t="s">
        <v>141</v>
      </c>
      <c r="AW1593" s="94"/>
      <c r="AX1593" s="94" t="s">
        <v>143</v>
      </c>
      <c r="AY1593" s="61" t="str">
        <f>IFERROR(__xludf.DUMMYFUNCTION("vlookup(BB1593,importrange(""https://docs.google.com/spreadsheets/d/1d2vevQ_7D_v35q4wCQ4RpQ_IPoTwEMB9Yp6ymwlPqew/edit?gid=984458430#gid=984458430"", ""'replication success'!A:K""), 11, FAlSE)"),"#N/A")</f>
        <v>#N/A</v>
      </c>
      <c r="AZ1593" s="61" t="str">
        <f>IFERROR(__xludf.DUMMYFUNCTION("vlookup(BB1593,importrange(""https://docs.google.com/spreadsheets/d/1d2vevQ_7D_v35q4wCQ4RpQ_IPoTwEMB9Yp6ymwlPqew/edit?gid=984458430#gid=984458430"", ""'replication success'!A:M""), 12, FAlSE)"),"#N/A")</f>
        <v>#N/A</v>
      </c>
      <c r="BA1593" s="61" t="str">
        <f>IFERROR(__xludf.DUMMYFUNCTION("vlookup(BB1593,importrange(""https://docs.google.com/spreadsheets/d/1d2vevQ_7D_v35q4wCQ4RpQ_IPoTwEMB9Yp6ymwlPqew/edit?gid=984458430#gid=984458430"", ""'replication success'!A:M""), 13, FAlSE)"),"#N/A")</f>
        <v>#N/A</v>
      </c>
      <c r="BB1593" s="61" t="str">
        <f>IFERROR(__xludf.DUMMYFUNCTION("REGEXREPLACE(G1593, ""_[a-z]{1,2}$"", """")"),"jcre_01_c2a")</f>
        <v>jcre_01_c2a</v>
      </c>
      <c r="BC1593" s="92"/>
      <c r="BD1593" s="92"/>
    </row>
    <row r="1594">
      <c r="A1594" s="44">
        <v>1594.0</v>
      </c>
      <c r="B1594" s="72" t="s">
        <v>523</v>
      </c>
      <c r="C1594" s="72" t="s">
        <v>115</v>
      </c>
      <c r="D1594" s="72" t="s">
        <v>153</v>
      </c>
      <c r="E1594" s="73"/>
      <c r="F1594" s="94" t="s">
        <v>9308</v>
      </c>
      <c r="G1594" s="76" t="s">
        <v>9337</v>
      </c>
      <c r="H1594" s="76" t="s">
        <v>153</v>
      </c>
      <c r="I1594" s="853">
        <v>45478.0</v>
      </c>
      <c r="J1594" s="629">
        <v>45638.0</v>
      </c>
      <c r="K1594" s="75" t="s">
        <v>9326</v>
      </c>
      <c r="L1594" s="82"/>
      <c r="M1594" s="76" t="s">
        <v>9311</v>
      </c>
      <c r="N1594" s="76" t="s">
        <v>9312</v>
      </c>
      <c r="O1594" s="1004">
        <v>1.0</v>
      </c>
      <c r="P1594" s="931" t="s">
        <v>9313</v>
      </c>
      <c r="Q1594" s="52" t="str">
        <f t="array" ref="Q1594"> if(iserror(MATCH(V1594, 'File Links'!C:C, 0)), "N/A", HYPERLINK(INDEX('File Links'!B:B, MATCH(P1594, 'File Links'!C:C, 0))))</f>
        <v>https://drive.google.com/file/d/1EqvEPwgwndawziGmIPqgl3yNKOI51OAS/view?usp=drivesdk</v>
      </c>
      <c r="R1594" s="76" t="s">
        <v>9314</v>
      </c>
      <c r="S1594" s="76" t="s">
        <v>9315</v>
      </c>
      <c r="T1594" s="82"/>
      <c r="U1594" s="1005">
        <v>1.0</v>
      </c>
      <c r="V1594" s="198" t="str">
        <f t="shared" si="114"/>
        <v>10.18718--81781.23.pdf</v>
      </c>
      <c r="W1594" s="75" t="s">
        <v>2016</v>
      </c>
      <c r="X1594" s="54" t="str">
        <f t="array" ref="X1594"> if(iserror(MATCH(V1594, 'File Links'!C:C, 0)), "N/A", HYPERLINK(INDEX('File Links'!B:B, MATCH(V1594, 'File Links'!C:C, 0))))</f>
        <v>https://drive.google.com/file/d/1UFSIBKXNmPXd3__1cxrsTy9PbNax45wB/view?usp=drivesdk</v>
      </c>
      <c r="Y1594" s="82"/>
      <c r="Z1594" s="76" t="s">
        <v>1809</v>
      </c>
      <c r="AA1594" s="82" t="s">
        <v>9327</v>
      </c>
      <c r="AB1594" s="75" t="s">
        <v>9328</v>
      </c>
      <c r="AC1594" s="75" t="s">
        <v>9329</v>
      </c>
      <c r="AD1594" s="82" t="s">
        <v>9330</v>
      </c>
      <c r="AE1594" s="1770">
        <v>22.0</v>
      </c>
      <c r="AF1594" s="635">
        <f t="shared" si="115"/>
        <v>324</v>
      </c>
      <c r="AG1594" s="76" t="s">
        <v>9338</v>
      </c>
      <c r="AH1594" s="99" t="s">
        <v>134</v>
      </c>
      <c r="AI1594" s="76" t="s">
        <v>2442</v>
      </c>
      <c r="AJ1594" s="635">
        <v>0.01</v>
      </c>
      <c r="AK1594" s="95" t="s">
        <v>135</v>
      </c>
      <c r="AL1594" s="76" t="s">
        <v>136</v>
      </c>
      <c r="AM1594" s="82" t="s">
        <v>141</v>
      </c>
      <c r="AN1594" s="330" t="s">
        <v>138</v>
      </c>
      <c r="AO1594" s="635">
        <v>196.0</v>
      </c>
      <c r="AP1594" s="76" t="s">
        <v>9339</v>
      </c>
      <c r="AQ1594" s="76" t="s">
        <v>134</v>
      </c>
      <c r="AR1594" s="76" t="s">
        <v>2022</v>
      </c>
      <c r="AS1594" s="635">
        <v>0.01</v>
      </c>
      <c r="AT1594" s="95" t="s">
        <v>135</v>
      </c>
      <c r="AU1594" s="95" t="s">
        <v>136</v>
      </c>
      <c r="AV1594" s="94" t="s">
        <v>141</v>
      </c>
      <c r="AW1594" s="94"/>
      <c r="AX1594" s="94" t="s">
        <v>143</v>
      </c>
      <c r="AY1594" s="61" t="str">
        <f>IFERROR(__xludf.DUMMYFUNCTION("vlookup(BB1594,importrange(""https://docs.google.com/spreadsheets/d/1d2vevQ_7D_v35q4wCQ4RpQ_IPoTwEMB9Yp6ymwlPqew/edit?gid=984458430#gid=984458430"", ""'replication success'!A:K""), 11, FAlSE)"),"#N/A")</f>
        <v>#N/A</v>
      </c>
      <c r="AZ1594" s="61" t="str">
        <f>IFERROR(__xludf.DUMMYFUNCTION("vlookup(BB1594,importrange(""https://docs.google.com/spreadsheets/d/1d2vevQ_7D_v35q4wCQ4RpQ_IPoTwEMB9Yp6ymwlPqew/edit?gid=984458430#gid=984458430"", ""'replication success'!A:M""), 12, FAlSE)"),"#N/A")</f>
        <v>#N/A</v>
      </c>
      <c r="BA1594" s="61" t="str">
        <f>IFERROR(__xludf.DUMMYFUNCTION("vlookup(BB1594,importrange(""https://docs.google.com/spreadsheets/d/1d2vevQ_7D_v35q4wCQ4RpQ_IPoTwEMB9Yp6ymwlPqew/edit?gid=984458430#gid=984458430"", ""'replication success'!A:M""), 13, FAlSE)"),"#N/A")</f>
        <v>#N/A</v>
      </c>
      <c r="BB1594" s="61" t="str">
        <f>IFERROR(__xludf.DUMMYFUNCTION("REGEXREPLACE(G1594, ""_[a-z]{1,2}$"", """")"),"jcre_01_c3")</f>
        <v>jcre_01_c3</v>
      </c>
      <c r="BC1594" s="92"/>
      <c r="BD1594" s="92"/>
    </row>
    <row r="1595">
      <c r="A1595" s="44">
        <v>1595.0</v>
      </c>
      <c r="B1595" s="72" t="s">
        <v>523</v>
      </c>
      <c r="C1595" s="72" t="s">
        <v>115</v>
      </c>
      <c r="D1595" s="72" t="s">
        <v>153</v>
      </c>
      <c r="E1595" s="73"/>
      <c r="F1595" s="94" t="s">
        <v>9308</v>
      </c>
      <c r="G1595" s="76" t="s">
        <v>9340</v>
      </c>
      <c r="H1595" s="76" t="s">
        <v>153</v>
      </c>
      <c r="I1595" s="853">
        <v>45478.0</v>
      </c>
      <c r="J1595" s="629">
        <v>45638.0</v>
      </c>
      <c r="K1595" s="75" t="s">
        <v>9326</v>
      </c>
      <c r="L1595" s="82"/>
      <c r="M1595" s="76" t="s">
        <v>9311</v>
      </c>
      <c r="N1595" s="76" t="s">
        <v>9312</v>
      </c>
      <c r="O1595" s="1004">
        <v>1.0</v>
      </c>
      <c r="P1595" s="931" t="s">
        <v>9313</v>
      </c>
      <c r="Q1595" s="52" t="str">
        <f t="array" ref="Q1595"> if(iserror(MATCH(V1595, 'File Links'!C:C, 0)), "N/A", HYPERLINK(INDEX('File Links'!B:B, MATCH(P1595, 'File Links'!C:C, 0))))</f>
        <v>https://drive.google.com/file/d/1EqvEPwgwndawziGmIPqgl3yNKOI51OAS/view?usp=drivesdk</v>
      </c>
      <c r="R1595" s="76" t="s">
        <v>9314</v>
      </c>
      <c r="S1595" s="76" t="s">
        <v>9315</v>
      </c>
      <c r="T1595" s="82"/>
      <c r="U1595" s="1005">
        <v>1.0</v>
      </c>
      <c r="V1595" s="198" t="str">
        <f t="shared" si="114"/>
        <v>10.18718--81781.23.pdf</v>
      </c>
      <c r="W1595" s="75" t="s">
        <v>2016</v>
      </c>
      <c r="X1595" s="54" t="str">
        <f t="array" ref="X1595"> if(iserror(MATCH(V1595, 'File Links'!C:C, 0)), "N/A", HYPERLINK(INDEX('File Links'!B:B, MATCH(V1595, 'File Links'!C:C, 0))))</f>
        <v>https://drive.google.com/file/d/1UFSIBKXNmPXd3__1cxrsTy9PbNax45wB/view?usp=drivesdk</v>
      </c>
      <c r="Y1595" s="82"/>
      <c r="Z1595" s="76" t="s">
        <v>1809</v>
      </c>
      <c r="AA1595" s="82" t="s">
        <v>9327</v>
      </c>
      <c r="AB1595" s="75" t="s">
        <v>9328</v>
      </c>
      <c r="AC1595" s="75" t="s">
        <v>9334</v>
      </c>
      <c r="AD1595" s="82" t="s">
        <v>9330</v>
      </c>
      <c r="AE1595" s="1770">
        <v>22.0</v>
      </c>
      <c r="AF1595" s="635">
        <f t="shared" si="115"/>
        <v>324</v>
      </c>
      <c r="AG1595" s="76" t="s">
        <v>9341</v>
      </c>
      <c r="AH1595" s="99" t="s">
        <v>134</v>
      </c>
      <c r="AI1595" s="76" t="s">
        <v>2441</v>
      </c>
      <c r="AJ1595" s="635">
        <v>0.01</v>
      </c>
      <c r="AK1595" s="95" t="s">
        <v>135</v>
      </c>
      <c r="AL1595" s="76" t="s">
        <v>136</v>
      </c>
      <c r="AM1595" s="82" t="s">
        <v>141</v>
      </c>
      <c r="AN1595" s="330" t="s">
        <v>138</v>
      </c>
      <c r="AO1595" s="635">
        <v>185.0</v>
      </c>
      <c r="AP1595" s="76" t="s">
        <v>9342</v>
      </c>
      <c r="AQ1595" s="76" t="s">
        <v>134</v>
      </c>
      <c r="AR1595" s="76" t="s">
        <v>1173</v>
      </c>
      <c r="AS1595" s="635">
        <v>0.01</v>
      </c>
      <c r="AT1595" s="95" t="s">
        <v>135</v>
      </c>
      <c r="AU1595" s="95" t="s">
        <v>136</v>
      </c>
      <c r="AV1595" s="94" t="s">
        <v>141</v>
      </c>
      <c r="AW1595" s="94"/>
      <c r="AX1595" s="94" t="s">
        <v>143</v>
      </c>
      <c r="AY1595" s="61" t="str">
        <f>IFERROR(__xludf.DUMMYFUNCTION("vlookup(BB1595,importrange(""https://docs.google.com/spreadsheets/d/1d2vevQ_7D_v35q4wCQ4RpQ_IPoTwEMB9Yp6ymwlPqew/edit?gid=984458430#gid=984458430"", ""'replication success'!A:K""), 11, FAlSE)"),"#N/A")</f>
        <v>#N/A</v>
      </c>
      <c r="AZ1595" s="61" t="str">
        <f>IFERROR(__xludf.DUMMYFUNCTION("vlookup(BB1595,importrange(""https://docs.google.com/spreadsheets/d/1d2vevQ_7D_v35q4wCQ4RpQ_IPoTwEMB9Yp6ymwlPqew/edit?gid=984458430#gid=984458430"", ""'replication success'!A:M""), 12, FAlSE)"),"#N/A")</f>
        <v>#N/A</v>
      </c>
      <c r="BA1595" s="61" t="str">
        <f>IFERROR(__xludf.DUMMYFUNCTION("vlookup(BB1595,importrange(""https://docs.google.com/spreadsheets/d/1d2vevQ_7D_v35q4wCQ4RpQ_IPoTwEMB9Yp6ymwlPqew/edit?gid=984458430#gid=984458430"", ""'replication success'!A:M""), 13, FAlSE)"),"#N/A")</f>
        <v>#N/A</v>
      </c>
      <c r="BB1595" s="61" t="str">
        <f>IFERROR(__xludf.DUMMYFUNCTION("REGEXREPLACE(G1595, ""_[a-z]{1,2}$"", """")"),"jcre_01_c3a")</f>
        <v>jcre_01_c3a</v>
      </c>
      <c r="BC1595" s="92"/>
      <c r="BD1595" s="92"/>
    </row>
    <row r="1596">
      <c r="A1596" s="44">
        <v>1596.0</v>
      </c>
      <c r="B1596" s="72" t="s">
        <v>523</v>
      </c>
      <c r="C1596" s="72" t="s">
        <v>115</v>
      </c>
      <c r="D1596" s="72" t="s">
        <v>153</v>
      </c>
      <c r="E1596" s="73"/>
      <c r="F1596" s="94" t="s">
        <v>9308</v>
      </c>
      <c r="G1596" s="76" t="s">
        <v>9343</v>
      </c>
      <c r="H1596" s="76" t="s">
        <v>153</v>
      </c>
      <c r="I1596" s="853">
        <v>45478.0</v>
      </c>
      <c r="J1596" s="629">
        <v>45638.0</v>
      </c>
      <c r="K1596" s="75" t="s">
        <v>9326</v>
      </c>
      <c r="L1596" s="82"/>
      <c r="M1596" s="76" t="s">
        <v>9311</v>
      </c>
      <c r="N1596" s="76" t="s">
        <v>9312</v>
      </c>
      <c r="O1596" s="1004">
        <v>1.0</v>
      </c>
      <c r="P1596" s="931" t="s">
        <v>9313</v>
      </c>
      <c r="Q1596" s="52" t="str">
        <f t="array" ref="Q1596"> if(iserror(MATCH(V1596, 'File Links'!C:C, 0)), "N/A", HYPERLINK(INDEX('File Links'!B:B, MATCH(P1596, 'File Links'!C:C, 0))))</f>
        <v>https://drive.google.com/file/d/1EqvEPwgwndawziGmIPqgl3yNKOI51OAS/view?usp=drivesdk</v>
      </c>
      <c r="R1596" s="76" t="s">
        <v>9314</v>
      </c>
      <c r="S1596" s="76" t="s">
        <v>9315</v>
      </c>
      <c r="T1596" s="82"/>
      <c r="U1596" s="1005">
        <v>1.0</v>
      </c>
      <c r="V1596" s="198" t="str">
        <f t="shared" si="114"/>
        <v>10.18718--81781.23.pdf</v>
      </c>
      <c r="W1596" s="75" t="s">
        <v>2016</v>
      </c>
      <c r="X1596" s="54" t="str">
        <f t="array" ref="X1596"> if(iserror(MATCH(V1596, 'File Links'!C:C, 0)), "N/A", HYPERLINK(INDEX('File Links'!B:B, MATCH(V1596, 'File Links'!C:C, 0))))</f>
        <v>https://drive.google.com/file/d/1UFSIBKXNmPXd3__1cxrsTy9PbNax45wB/view?usp=drivesdk</v>
      </c>
      <c r="Y1596" s="82"/>
      <c r="Z1596" s="76" t="s">
        <v>1809</v>
      </c>
      <c r="AA1596" s="82" t="s">
        <v>9327</v>
      </c>
      <c r="AB1596" s="75" t="s">
        <v>9328</v>
      </c>
      <c r="AC1596" s="75" t="s">
        <v>9329</v>
      </c>
      <c r="AD1596" s="82" t="s">
        <v>9330</v>
      </c>
      <c r="AE1596" s="1770">
        <v>22.0</v>
      </c>
      <c r="AF1596" s="635">
        <f t="shared" si="115"/>
        <v>324</v>
      </c>
      <c r="AG1596" s="76" t="s">
        <v>9344</v>
      </c>
      <c r="AH1596" s="99" t="s">
        <v>134</v>
      </c>
      <c r="AI1596" s="76" t="s">
        <v>2442</v>
      </c>
      <c r="AJ1596" s="635">
        <v>0.01</v>
      </c>
      <c r="AK1596" s="95" t="s">
        <v>135</v>
      </c>
      <c r="AL1596" s="76" t="s">
        <v>136</v>
      </c>
      <c r="AM1596" s="82" t="s">
        <v>141</v>
      </c>
      <c r="AN1596" s="330" t="s">
        <v>138</v>
      </c>
      <c r="AO1596" s="635">
        <v>196.0</v>
      </c>
      <c r="AP1596" s="76" t="s">
        <v>9345</v>
      </c>
      <c r="AQ1596" s="76" t="s">
        <v>134</v>
      </c>
      <c r="AR1596" s="76" t="s">
        <v>9246</v>
      </c>
      <c r="AS1596" s="635">
        <v>0.01</v>
      </c>
      <c r="AT1596" s="95" t="s">
        <v>135</v>
      </c>
      <c r="AU1596" s="95" t="s">
        <v>136</v>
      </c>
      <c r="AV1596" s="94" t="s">
        <v>141</v>
      </c>
      <c r="AW1596" s="94"/>
      <c r="AX1596" s="94" t="s">
        <v>143</v>
      </c>
      <c r="AY1596" s="61" t="str">
        <f>IFERROR(__xludf.DUMMYFUNCTION("vlookup(BB1596,importrange(""https://docs.google.com/spreadsheets/d/1d2vevQ_7D_v35q4wCQ4RpQ_IPoTwEMB9Yp6ymwlPqew/edit?gid=984458430#gid=984458430"", ""'replication success'!A:K""), 11, FAlSE)"),"#N/A")</f>
        <v>#N/A</v>
      </c>
      <c r="AZ1596" s="61" t="str">
        <f>IFERROR(__xludf.DUMMYFUNCTION("vlookup(BB1596,importrange(""https://docs.google.com/spreadsheets/d/1d2vevQ_7D_v35q4wCQ4RpQ_IPoTwEMB9Yp6ymwlPqew/edit?gid=984458430#gid=984458430"", ""'replication success'!A:M""), 12, FAlSE)"),"#N/A")</f>
        <v>#N/A</v>
      </c>
      <c r="BA1596" s="61" t="str">
        <f>IFERROR(__xludf.DUMMYFUNCTION("vlookup(BB1596,importrange(""https://docs.google.com/spreadsheets/d/1d2vevQ_7D_v35q4wCQ4RpQ_IPoTwEMB9Yp6ymwlPqew/edit?gid=984458430#gid=984458430"", ""'replication success'!A:M""), 13, FAlSE)"),"#N/A")</f>
        <v>#N/A</v>
      </c>
      <c r="BB1596" s="61" t="str">
        <f>IFERROR(__xludf.DUMMYFUNCTION("REGEXREPLACE(G1596, ""_[a-z]{1,2}$"", """")"),"jcre_01_c6")</f>
        <v>jcre_01_c6</v>
      </c>
      <c r="BC1596" s="92"/>
      <c r="BD1596" s="92"/>
    </row>
    <row r="1597">
      <c r="A1597" s="44">
        <v>1597.0</v>
      </c>
      <c r="B1597" s="72" t="s">
        <v>523</v>
      </c>
      <c r="C1597" s="72" t="s">
        <v>115</v>
      </c>
      <c r="D1597" s="72" t="s">
        <v>153</v>
      </c>
      <c r="E1597" s="73"/>
      <c r="F1597" s="94" t="s">
        <v>9308</v>
      </c>
      <c r="G1597" s="76" t="s">
        <v>9346</v>
      </c>
      <c r="H1597" s="76" t="s">
        <v>153</v>
      </c>
      <c r="I1597" s="853">
        <v>45478.0</v>
      </c>
      <c r="J1597" s="629">
        <v>45638.0</v>
      </c>
      <c r="K1597" s="75" t="s">
        <v>9326</v>
      </c>
      <c r="L1597" s="82"/>
      <c r="M1597" s="76" t="s">
        <v>9311</v>
      </c>
      <c r="N1597" s="76" t="s">
        <v>9312</v>
      </c>
      <c r="O1597" s="1004">
        <v>1.0</v>
      </c>
      <c r="P1597" s="931" t="s">
        <v>9313</v>
      </c>
      <c r="Q1597" s="52" t="str">
        <f t="array" ref="Q1597"> if(iserror(MATCH(V1597, 'File Links'!C:C, 0)), "N/A", HYPERLINK(INDEX('File Links'!B:B, MATCH(P1597, 'File Links'!C:C, 0))))</f>
        <v>https://drive.google.com/file/d/1EqvEPwgwndawziGmIPqgl3yNKOI51OAS/view?usp=drivesdk</v>
      </c>
      <c r="R1597" s="76" t="s">
        <v>9314</v>
      </c>
      <c r="S1597" s="76" t="s">
        <v>9315</v>
      </c>
      <c r="T1597" s="82"/>
      <c r="U1597" s="1005">
        <v>1.0</v>
      </c>
      <c r="V1597" s="198" t="str">
        <f t="shared" si="114"/>
        <v>10.18718--81781.23.pdf</v>
      </c>
      <c r="W1597" s="75" t="s">
        <v>2016</v>
      </c>
      <c r="X1597" s="54" t="str">
        <f t="array" ref="X1597"> if(iserror(MATCH(V1597, 'File Links'!C:C, 0)), "N/A", HYPERLINK(INDEX('File Links'!B:B, MATCH(V1597, 'File Links'!C:C, 0))))</f>
        <v>https://drive.google.com/file/d/1UFSIBKXNmPXd3__1cxrsTy9PbNax45wB/view?usp=drivesdk</v>
      </c>
      <c r="Y1597" s="82"/>
      <c r="Z1597" s="76" t="s">
        <v>1809</v>
      </c>
      <c r="AA1597" s="82" t="s">
        <v>9327</v>
      </c>
      <c r="AB1597" s="75" t="s">
        <v>9328</v>
      </c>
      <c r="AC1597" s="75" t="s">
        <v>9334</v>
      </c>
      <c r="AD1597" s="82" t="s">
        <v>9330</v>
      </c>
      <c r="AE1597" s="1770">
        <v>22.0</v>
      </c>
      <c r="AF1597" s="635">
        <f t="shared" si="115"/>
        <v>324</v>
      </c>
      <c r="AG1597" s="76" t="s">
        <v>9347</v>
      </c>
      <c r="AH1597" s="99" t="s">
        <v>134</v>
      </c>
      <c r="AI1597" s="76" t="s">
        <v>2441</v>
      </c>
      <c r="AJ1597" s="635">
        <v>0.01</v>
      </c>
      <c r="AK1597" s="95" t="s">
        <v>135</v>
      </c>
      <c r="AL1597" s="76" t="s">
        <v>136</v>
      </c>
      <c r="AM1597" s="82" t="s">
        <v>141</v>
      </c>
      <c r="AN1597" s="330" t="s">
        <v>138</v>
      </c>
      <c r="AO1597" s="635">
        <v>185.0</v>
      </c>
      <c r="AP1597" s="76" t="s">
        <v>9348</v>
      </c>
      <c r="AQ1597" s="76" t="s">
        <v>134</v>
      </c>
      <c r="AR1597" s="76" t="s">
        <v>1819</v>
      </c>
      <c r="AS1597" s="635">
        <v>0.01</v>
      </c>
      <c r="AT1597" s="95" t="s">
        <v>135</v>
      </c>
      <c r="AU1597" s="95" t="s">
        <v>136</v>
      </c>
      <c r="AV1597" s="94" t="s">
        <v>141</v>
      </c>
      <c r="AW1597" s="94"/>
      <c r="AX1597" s="94" t="s">
        <v>143</v>
      </c>
      <c r="AY1597" s="61" t="str">
        <f>IFERROR(__xludf.DUMMYFUNCTION("vlookup(BB1597,importrange(""https://docs.google.com/spreadsheets/d/1d2vevQ_7D_v35q4wCQ4RpQ_IPoTwEMB9Yp6ymwlPqew/edit?gid=984458430#gid=984458430"", ""'replication success'!A:K""), 11, FAlSE)"),"#N/A")</f>
        <v>#N/A</v>
      </c>
      <c r="AZ1597" s="61" t="str">
        <f>IFERROR(__xludf.DUMMYFUNCTION("vlookup(BB1597,importrange(""https://docs.google.com/spreadsheets/d/1d2vevQ_7D_v35q4wCQ4RpQ_IPoTwEMB9Yp6ymwlPqew/edit?gid=984458430#gid=984458430"", ""'replication success'!A:M""), 12, FAlSE)"),"#N/A")</f>
        <v>#N/A</v>
      </c>
      <c r="BA1597" s="61" t="str">
        <f>IFERROR(__xludf.DUMMYFUNCTION("vlookup(BB1597,importrange(""https://docs.google.com/spreadsheets/d/1d2vevQ_7D_v35q4wCQ4RpQ_IPoTwEMB9Yp6ymwlPqew/edit?gid=984458430#gid=984458430"", ""'replication success'!A:M""), 13, FAlSE)"),"#N/A")</f>
        <v>#N/A</v>
      </c>
      <c r="BB1597" s="61" t="str">
        <f>IFERROR(__xludf.DUMMYFUNCTION("REGEXREPLACE(G1597, ""_[a-z]{1,2}$"", """")"),"jcre_01_c6a")</f>
        <v>jcre_01_c6a</v>
      </c>
      <c r="BC1597" s="92"/>
      <c r="BD1597" s="92"/>
    </row>
    <row r="1598">
      <c r="A1598" s="44">
        <v>1598.0</v>
      </c>
      <c r="B1598" s="72" t="s">
        <v>523</v>
      </c>
      <c r="C1598" s="72" t="s">
        <v>115</v>
      </c>
      <c r="D1598" s="72" t="s">
        <v>153</v>
      </c>
      <c r="E1598" s="73"/>
      <c r="F1598" s="94" t="s">
        <v>9308</v>
      </c>
      <c r="G1598" s="76" t="s">
        <v>9349</v>
      </c>
      <c r="H1598" s="76" t="s">
        <v>153</v>
      </c>
      <c r="I1598" s="853">
        <v>45478.0</v>
      </c>
      <c r="J1598" s="629">
        <v>45638.0</v>
      </c>
      <c r="K1598" s="75" t="s">
        <v>9326</v>
      </c>
      <c r="L1598" s="82"/>
      <c r="M1598" s="76" t="s">
        <v>9311</v>
      </c>
      <c r="N1598" s="76" t="s">
        <v>9312</v>
      </c>
      <c r="O1598" s="1004">
        <v>1.0</v>
      </c>
      <c r="P1598" s="931" t="s">
        <v>9313</v>
      </c>
      <c r="Q1598" s="52" t="str">
        <f t="array" ref="Q1598"> if(iserror(MATCH(V1598, 'File Links'!C:C, 0)), "N/A", HYPERLINK(INDEX('File Links'!B:B, MATCH(P1598, 'File Links'!C:C, 0))))</f>
        <v>https://drive.google.com/file/d/1EqvEPwgwndawziGmIPqgl3yNKOI51OAS/view?usp=drivesdk</v>
      </c>
      <c r="R1598" s="76" t="s">
        <v>9314</v>
      </c>
      <c r="S1598" s="76" t="s">
        <v>9315</v>
      </c>
      <c r="T1598" s="82"/>
      <c r="U1598" s="1005">
        <v>1.0</v>
      </c>
      <c r="V1598" s="198" t="str">
        <f t="shared" si="114"/>
        <v>10.18718--81781.23.pdf</v>
      </c>
      <c r="W1598" s="75" t="s">
        <v>2016</v>
      </c>
      <c r="X1598" s="54" t="str">
        <f t="array" ref="X1598"> if(iserror(MATCH(V1598, 'File Links'!C:C, 0)), "N/A", HYPERLINK(INDEX('File Links'!B:B, MATCH(V1598, 'File Links'!C:C, 0))))</f>
        <v>https://drive.google.com/file/d/1UFSIBKXNmPXd3__1cxrsTy9PbNax45wB/view?usp=drivesdk</v>
      </c>
      <c r="Y1598" s="82"/>
      <c r="Z1598" s="76" t="s">
        <v>1809</v>
      </c>
      <c r="AA1598" s="82" t="s">
        <v>9327</v>
      </c>
      <c r="AB1598" s="75" t="s">
        <v>9328</v>
      </c>
      <c r="AC1598" s="75" t="s">
        <v>9350</v>
      </c>
      <c r="AD1598" s="82" t="s">
        <v>9351</v>
      </c>
      <c r="AE1598" s="1770">
        <v>18.0</v>
      </c>
      <c r="AF1598" s="635">
        <f t="shared" si="115"/>
        <v>324</v>
      </c>
      <c r="AG1598" s="76" t="s">
        <v>9352</v>
      </c>
      <c r="AH1598" s="99" t="s">
        <v>134</v>
      </c>
      <c r="AI1598" s="76" t="s">
        <v>2442</v>
      </c>
      <c r="AJ1598" s="635">
        <v>0.01</v>
      </c>
      <c r="AK1598" s="95" t="s">
        <v>135</v>
      </c>
      <c r="AL1598" s="76" t="s">
        <v>136</v>
      </c>
      <c r="AM1598" s="82" t="s">
        <v>141</v>
      </c>
      <c r="AN1598" s="330" t="s">
        <v>138</v>
      </c>
      <c r="AO1598" s="635">
        <v>196.0</v>
      </c>
      <c r="AP1598" s="76" t="s">
        <v>9353</v>
      </c>
      <c r="AQ1598" s="76" t="s">
        <v>134</v>
      </c>
      <c r="AR1598" s="76" t="s">
        <v>3721</v>
      </c>
      <c r="AS1598" s="635">
        <v>0.05</v>
      </c>
      <c r="AT1598" s="95" t="s">
        <v>335</v>
      </c>
      <c r="AU1598" s="95" t="s">
        <v>136</v>
      </c>
      <c r="AV1598" s="94" t="s">
        <v>141</v>
      </c>
      <c r="AW1598" s="94"/>
      <c r="AX1598" s="94" t="s">
        <v>143</v>
      </c>
      <c r="AY1598" s="61" t="str">
        <f>IFERROR(__xludf.DUMMYFUNCTION("vlookup(BB1598,importrange(""https://docs.google.com/spreadsheets/d/1d2vevQ_7D_v35q4wCQ4RpQ_IPoTwEMB9Yp6ymwlPqew/edit?gid=984458430#gid=984458430"", ""'replication success'!A:K""), 11, FAlSE)"),"#N/A")</f>
        <v>#N/A</v>
      </c>
      <c r="AZ1598" s="61" t="str">
        <f>IFERROR(__xludf.DUMMYFUNCTION("vlookup(BB1598,importrange(""https://docs.google.com/spreadsheets/d/1d2vevQ_7D_v35q4wCQ4RpQ_IPoTwEMB9Yp6ymwlPqew/edit?gid=984458430#gid=984458430"", ""'replication success'!A:M""), 12, FAlSE)"),"#N/A")</f>
        <v>#N/A</v>
      </c>
      <c r="BA1598" s="61" t="str">
        <f>IFERROR(__xludf.DUMMYFUNCTION("vlookup(BB1598,importrange(""https://docs.google.com/spreadsheets/d/1d2vevQ_7D_v35q4wCQ4RpQ_IPoTwEMB9Yp6ymwlPqew/edit?gid=984458430#gid=984458430"", ""'replication success'!A:M""), 13, FAlSE)"),"#N/A")</f>
        <v>#N/A</v>
      </c>
      <c r="BB1598" s="61" t="str">
        <f>IFERROR(__xludf.DUMMYFUNCTION("REGEXREPLACE(G1598, ""_[a-z]{1,2}$"", """")"),"jcre_01_d2")</f>
        <v>jcre_01_d2</v>
      </c>
      <c r="BC1598" s="92"/>
      <c r="BD1598" s="92"/>
    </row>
    <row r="1599">
      <c r="A1599" s="44">
        <v>1599.0</v>
      </c>
      <c r="B1599" s="72" t="s">
        <v>523</v>
      </c>
      <c r="C1599" s="72" t="s">
        <v>115</v>
      </c>
      <c r="D1599" s="72" t="s">
        <v>153</v>
      </c>
      <c r="E1599" s="73"/>
      <c r="F1599" s="94" t="s">
        <v>9308</v>
      </c>
      <c r="G1599" s="76" t="s">
        <v>9349</v>
      </c>
      <c r="H1599" s="76" t="s">
        <v>153</v>
      </c>
      <c r="I1599" s="853">
        <v>45478.0</v>
      </c>
      <c r="J1599" s="629">
        <v>45638.0</v>
      </c>
      <c r="K1599" s="75" t="s">
        <v>9326</v>
      </c>
      <c r="L1599" s="82"/>
      <c r="M1599" s="76" t="s">
        <v>9311</v>
      </c>
      <c r="N1599" s="76" t="s">
        <v>9312</v>
      </c>
      <c r="O1599" s="1004">
        <v>1.0</v>
      </c>
      <c r="P1599" s="931" t="s">
        <v>9313</v>
      </c>
      <c r="Q1599" s="52" t="str">
        <f t="array" ref="Q1599"> if(iserror(MATCH(V1599, 'File Links'!C:C, 0)), "N/A", HYPERLINK(INDEX('File Links'!B:B, MATCH(P1599, 'File Links'!C:C, 0))))</f>
        <v>https://drive.google.com/file/d/1EqvEPwgwndawziGmIPqgl3yNKOI51OAS/view?usp=drivesdk</v>
      </c>
      <c r="R1599" s="76" t="s">
        <v>9314</v>
      </c>
      <c r="S1599" s="76" t="s">
        <v>9315</v>
      </c>
      <c r="T1599" s="82"/>
      <c r="U1599" s="1005">
        <v>1.0</v>
      </c>
      <c r="V1599" s="198" t="str">
        <f t="shared" si="114"/>
        <v>10.18718--81781.23.pdf</v>
      </c>
      <c r="W1599" s="75" t="s">
        <v>2016</v>
      </c>
      <c r="X1599" s="54" t="str">
        <f t="array" ref="X1599"> if(iserror(MATCH(V1599, 'File Links'!C:C, 0)), "N/A", HYPERLINK(INDEX('File Links'!B:B, MATCH(V1599, 'File Links'!C:C, 0))))</f>
        <v>https://drive.google.com/file/d/1UFSIBKXNmPXd3__1cxrsTy9PbNax45wB/view?usp=drivesdk</v>
      </c>
      <c r="Y1599" s="82"/>
      <c r="Z1599" s="76" t="s">
        <v>1809</v>
      </c>
      <c r="AA1599" s="82" t="s">
        <v>9327</v>
      </c>
      <c r="AB1599" s="75" t="s">
        <v>9328</v>
      </c>
      <c r="AC1599" s="75" t="s">
        <v>9350</v>
      </c>
      <c r="AD1599" s="82" t="s">
        <v>9351</v>
      </c>
      <c r="AE1599" s="1770">
        <v>18.0</v>
      </c>
      <c r="AF1599" s="635">
        <f t="shared" si="115"/>
        <v>324</v>
      </c>
      <c r="AG1599" s="76" t="s">
        <v>9354</v>
      </c>
      <c r="AH1599" s="99" t="s">
        <v>134</v>
      </c>
      <c r="AI1599" s="76" t="s">
        <v>6362</v>
      </c>
      <c r="AJ1599" s="635">
        <v>0.05</v>
      </c>
      <c r="AK1599" s="95" t="s">
        <v>335</v>
      </c>
      <c r="AL1599" s="76" t="s">
        <v>136</v>
      </c>
      <c r="AM1599" s="82" t="s">
        <v>141</v>
      </c>
      <c r="AN1599" s="330" t="s">
        <v>138</v>
      </c>
      <c r="AO1599" s="635">
        <v>185.0</v>
      </c>
      <c r="AP1599" s="76" t="s">
        <v>9355</v>
      </c>
      <c r="AQ1599" s="76" t="s">
        <v>134</v>
      </c>
      <c r="AR1599" s="76" t="s">
        <v>7749</v>
      </c>
      <c r="AS1599" s="635">
        <v>0.05</v>
      </c>
      <c r="AT1599" s="95" t="s">
        <v>335</v>
      </c>
      <c r="AU1599" s="95" t="s">
        <v>136</v>
      </c>
      <c r="AV1599" s="94" t="s">
        <v>141</v>
      </c>
      <c r="AW1599" s="94"/>
      <c r="AX1599" s="94" t="s">
        <v>143</v>
      </c>
      <c r="AY1599" s="61" t="str">
        <f>IFERROR(__xludf.DUMMYFUNCTION("vlookup(BB1599,importrange(""https://docs.google.com/spreadsheets/d/1d2vevQ_7D_v35q4wCQ4RpQ_IPoTwEMB9Yp6ymwlPqew/edit?gid=984458430#gid=984458430"", ""'replication success'!A:K""), 11, FAlSE)"),"#N/A")</f>
        <v>#N/A</v>
      </c>
      <c r="AZ1599" s="61" t="str">
        <f>IFERROR(__xludf.DUMMYFUNCTION("vlookup(BB1599,importrange(""https://docs.google.com/spreadsheets/d/1d2vevQ_7D_v35q4wCQ4RpQ_IPoTwEMB9Yp6ymwlPqew/edit?gid=984458430#gid=984458430"", ""'replication success'!A:M""), 12, FAlSE)"),"#N/A")</f>
        <v>#N/A</v>
      </c>
      <c r="BA1599" s="61" t="str">
        <f>IFERROR(__xludf.DUMMYFUNCTION("vlookup(BB1599,importrange(""https://docs.google.com/spreadsheets/d/1d2vevQ_7D_v35q4wCQ4RpQ_IPoTwEMB9Yp6ymwlPqew/edit?gid=984458430#gid=984458430"", ""'replication success'!A:M""), 13, FAlSE)"),"#N/A")</f>
        <v>#N/A</v>
      </c>
      <c r="BB1599" s="61" t="str">
        <f>IFERROR(__xludf.DUMMYFUNCTION("REGEXREPLACE(G1599, ""_[a-z]{1,2}$"", """")"),"jcre_01_d2")</f>
        <v>jcre_01_d2</v>
      </c>
      <c r="BC1599" s="92"/>
      <c r="BD1599" s="92"/>
    </row>
    <row r="1600">
      <c r="A1600" s="44">
        <v>1600.0</v>
      </c>
      <c r="B1600" s="72" t="s">
        <v>523</v>
      </c>
      <c r="C1600" s="72" t="s">
        <v>115</v>
      </c>
      <c r="D1600" s="72" t="s">
        <v>153</v>
      </c>
      <c r="E1600" s="73"/>
      <c r="F1600" s="94" t="s">
        <v>9308</v>
      </c>
      <c r="G1600" s="76" t="s">
        <v>9356</v>
      </c>
      <c r="H1600" s="76" t="s">
        <v>153</v>
      </c>
      <c r="I1600" s="853">
        <v>45478.0</v>
      </c>
      <c r="J1600" s="629">
        <v>45638.0</v>
      </c>
      <c r="K1600" s="75" t="s">
        <v>9326</v>
      </c>
      <c r="L1600" s="82"/>
      <c r="M1600" s="76" t="s">
        <v>9311</v>
      </c>
      <c r="N1600" s="76" t="s">
        <v>9312</v>
      </c>
      <c r="O1600" s="1004">
        <v>1.0</v>
      </c>
      <c r="P1600" s="931" t="s">
        <v>9313</v>
      </c>
      <c r="Q1600" s="52" t="str">
        <f t="array" ref="Q1600"> if(iserror(MATCH(V1600, 'File Links'!C:C, 0)), "N/A", HYPERLINK(INDEX('File Links'!B:B, MATCH(P1600, 'File Links'!C:C, 0))))</f>
        <v>https://drive.google.com/file/d/1EqvEPwgwndawziGmIPqgl3yNKOI51OAS/view?usp=drivesdk</v>
      </c>
      <c r="R1600" s="76" t="s">
        <v>9314</v>
      </c>
      <c r="S1600" s="76" t="s">
        <v>9315</v>
      </c>
      <c r="T1600" s="82"/>
      <c r="U1600" s="1005">
        <v>1.0</v>
      </c>
      <c r="V1600" s="198" t="str">
        <f t="shared" si="114"/>
        <v>10.18718--81781.23.pdf</v>
      </c>
      <c r="W1600" s="75" t="s">
        <v>2016</v>
      </c>
      <c r="X1600" s="54" t="str">
        <f t="array" ref="X1600"> if(iserror(MATCH(V1600, 'File Links'!C:C, 0)), "N/A", HYPERLINK(INDEX('File Links'!B:B, MATCH(V1600, 'File Links'!C:C, 0))))</f>
        <v>https://drive.google.com/file/d/1UFSIBKXNmPXd3__1cxrsTy9PbNax45wB/view?usp=drivesdk</v>
      </c>
      <c r="Y1600" s="82"/>
      <c r="Z1600" s="76" t="s">
        <v>1809</v>
      </c>
      <c r="AA1600" s="82" t="s">
        <v>9327</v>
      </c>
      <c r="AB1600" s="75" t="s">
        <v>9328</v>
      </c>
      <c r="AC1600" s="75" t="s">
        <v>9350</v>
      </c>
      <c r="AD1600" s="82" t="s">
        <v>9351</v>
      </c>
      <c r="AE1600" s="1770">
        <v>18.0</v>
      </c>
      <c r="AF1600" s="635">
        <f t="shared" si="115"/>
        <v>324</v>
      </c>
      <c r="AG1600" s="76" t="s">
        <v>9357</v>
      </c>
      <c r="AH1600" s="99" t="s">
        <v>134</v>
      </c>
      <c r="AI1600" s="76" t="s">
        <v>2442</v>
      </c>
      <c r="AJ1600" s="635">
        <v>0.1</v>
      </c>
      <c r="AK1600" s="95" t="s">
        <v>135</v>
      </c>
      <c r="AL1600" s="76" t="s">
        <v>136</v>
      </c>
      <c r="AM1600" s="82" t="s">
        <v>141</v>
      </c>
      <c r="AN1600" s="330" t="s">
        <v>138</v>
      </c>
      <c r="AO1600" s="635">
        <v>196.0</v>
      </c>
      <c r="AP1600" s="76" t="s">
        <v>9358</v>
      </c>
      <c r="AQ1600" s="76" t="s">
        <v>134</v>
      </c>
      <c r="AR1600" s="76" t="s">
        <v>2022</v>
      </c>
      <c r="AS1600" s="635">
        <v>0.05</v>
      </c>
      <c r="AT1600" s="95" t="s">
        <v>335</v>
      </c>
      <c r="AU1600" s="95" t="s">
        <v>136</v>
      </c>
      <c r="AV1600" s="94" t="s">
        <v>141</v>
      </c>
      <c r="AW1600" s="94"/>
      <c r="AX1600" s="94" t="s">
        <v>143</v>
      </c>
      <c r="AY1600" s="61" t="str">
        <f>IFERROR(__xludf.DUMMYFUNCTION("vlookup(BB1600,importrange(""https://docs.google.com/spreadsheets/d/1d2vevQ_7D_v35q4wCQ4RpQ_IPoTwEMB9Yp6ymwlPqew/edit?gid=984458430#gid=984458430"", ""'replication success'!A:K""), 11, FAlSE)"),"#N/A")</f>
        <v>#N/A</v>
      </c>
      <c r="AZ1600" s="61" t="str">
        <f>IFERROR(__xludf.DUMMYFUNCTION("vlookup(BB1600,importrange(""https://docs.google.com/spreadsheets/d/1d2vevQ_7D_v35q4wCQ4RpQ_IPoTwEMB9Yp6ymwlPqew/edit?gid=984458430#gid=984458430"", ""'replication success'!A:M""), 12, FAlSE)"),"#N/A")</f>
        <v>#N/A</v>
      </c>
      <c r="BA1600" s="61" t="str">
        <f>IFERROR(__xludf.DUMMYFUNCTION("vlookup(BB1600,importrange(""https://docs.google.com/spreadsheets/d/1d2vevQ_7D_v35q4wCQ4RpQ_IPoTwEMB9Yp6ymwlPqew/edit?gid=984458430#gid=984458430"", ""'replication success'!A:M""), 13, FAlSE)"),"#N/A")</f>
        <v>#N/A</v>
      </c>
      <c r="BB1600" s="61" t="str">
        <f>IFERROR(__xludf.DUMMYFUNCTION("REGEXREPLACE(G1600, ""_[a-z]{1,2}$"", """")"),"jcre_01_d3")</f>
        <v>jcre_01_d3</v>
      </c>
      <c r="BC1600" s="92"/>
      <c r="BD1600" s="92"/>
    </row>
    <row r="1601">
      <c r="A1601" s="44">
        <v>1601.0</v>
      </c>
      <c r="B1601" s="72" t="s">
        <v>523</v>
      </c>
      <c r="C1601" s="72" t="s">
        <v>115</v>
      </c>
      <c r="D1601" s="72" t="s">
        <v>153</v>
      </c>
      <c r="E1601" s="73"/>
      <c r="F1601" s="94" t="s">
        <v>9308</v>
      </c>
      <c r="G1601" s="76" t="s">
        <v>9356</v>
      </c>
      <c r="H1601" s="76" t="s">
        <v>153</v>
      </c>
      <c r="I1601" s="853">
        <v>45478.0</v>
      </c>
      <c r="J1601" s="629">
        <v>45638.0</v>
      </c>
      <c r="K1601" s="75" t="s">
        <v>9326</v>
      </c>
      <c r="L1601" s="82"/>
      <c r="M1601" s="76" t="s">
        <v>9311</v>
      </c>
      <c r="N1601" s="76" t="s">
        <v>9312</v>
      </c>
      <c r="O1601" s="1004">
        <v>1.0</v>
      </c>
      <c r="P1601" s="931" t="s">
        <v>9313</v>
      </c>
      <c r="Q1601" s="52" t="str">
        <f t="array" ref="Q1601"> if(iserror(MATCH(V1601, 'File Links'!C:C, 0)), "N/A", HYPERLINK(INDEX('File Links'!B:B, MATCH(P1601, 'File Links'!C:C, 0))))</f>
        <v>https://drive.google.com/file/d/1EqvEPwgwndawziGmIPqgl3yNKOI51OAS/view?usp=drivesdk</v>
      </c>
      <c r="R1601" s="76" t="s">
        <v>9314</v>
      </c>
      <c r="S1601" s="76" t="s">
        <v>9315</v>
      </c>
      <c r="T1601" s="82"/>
      <c r="U1601" s="1005">
        <v>1.0</v>
      </c>
      <c r="V1601" s="198" t="str">
        <f t="shared" si="114"/>
        <v>10.18718--81781.23.pdf</v>
      </c>
      <c r="W1601" s="75" t="s">
        <v>2016</v>
      </c>
      <c r="X1601" s="54" t="str">
        <f t="array" ref="X1601"> if(iserror(MATCH(V1601, 'File Links'!C:C, 0)), "N/A", HYPERLINK(INDEX('File Links'!B:B, MATCH(V1601, 'File Links'!C:C, 0))))</f>
        <v>https://drive.google.com/file/d/1UFSIBKXNmPXd3__1cxrsTy9PbNax45wB/view?usp=drivesdk</v>
      </c>
      <c r="Y1601" s="82"/>
      <c r="Z1601" s="76" t="s">
        <v>1809</v>
      </c>
      <c r="AA1601" s="82" t="s">
        <v>9327</v>
      </c>
      <c r="AB1601" s="75" t="s">
        <v>9328</v>
      </c>
      <c r="AC1601" s="75" t="s">
        <v>9350</v>
      </c>
      <c r="AD1601" s="82" t="s">
        <v>9351</v>
      </c>
      <c r="AE1601" s="1770">
        <v>18.0</v>
      </c>
      <c r="AF1601" s="635">
        <f t="shared" si="115"/>
        <v>324</v>
      </c>
      <c r="AG1601" s="76" t="s">
        <v>9359</v>
      </c>
      <c r="AH1601" s="99" t="s">
        <v>134</v>
      </c>
      <c r="AI1601" s="76" t="s">
        <v>6362</v>
      </c>
      <c r="AJ1601" s="635">
        <v>0.1</v>
      </c>
      <c r="AK1601" s="95" t="s">
        <v>135</v>
      </c>
      <c r="AL1601" s="76" t="s">
        <v>136</v>
      </c>
      <c r="AM1601" s="82" t="s">
        <v>141</v>
      </c>
      <c r="AN1601" s="330" t="s">
        <v>138</v>
      </c>
      <c r="AO1601" s="635">
        <v>185.0</v>
      </c>
      <c r="AP1601" s="76" t="s">
        <v>9360</v>
      </c>
      <c r="AQ1601" s="76" t="s">
        <v>134</v>
      </c>
      <c r="AR1601" s="76" t="s">
        <v>1173</v>
      </c>
      <c r="AS1601" s="635">
        <v>0.05</v>
      </c>
      <c r="AT1601" s="95" t="s">
        <v>335</v>
      </c>
      <c r="AU1601" s="95" t="s">
        <v>136</v>
      </c>
      <c r="AV1601" s="94" t="s">
        <v>141</v>
      </c>
      <c r="AW1601" s="94"/>
      <c r="AX1601" s="94" t="s">
        <v>143</v>
      </c>
      <c r="AY1601" s="61" t="str">
        <f>IFERROR(__xludf.DUMMYFUNCTION("vlookup(BB1601,importrange(""https://docs.google.com/spreadsheets/d/1d2vevQ_7D_v35q4wCQ4RpQ_IPoTwEMB9Yp6ymwlPqew/edit?gid=984458430#gid=984458430"", ""'replication success'!A:K""), 11, FAlSE)"),"#N/A")</f>
        <v>#N/A</v>
      </c>
      <c r="AZ1601" s="61" t="str">
        <f>IFERROR(__xludf.DUMMYFUNCTION("vlookup(BB1601,importrange(""https://docs.google.com/spreadsheets/d/1d2vevQ_7D_v35q4wCQ4RpQ_IPoTwEMB9Yp6ymwlPqew/edit?gid=984458430#gid=984458430"", ""'replication success'!A:M""), 12, FAlSE)"),"#N/A")</f>
        <v>#N/A</v>
      </c>
      <c r="BA1601" s="61" t="str">
        <f>IFERROR(__xludf.DUMMYFUNCTION("vlookup(BB1601,importrange(""https://docs.google.com/spreadsheets/d/1d2vevQ_7D_v35q4wCQ4RpQ_IPoTwEMB9Yp6ymwlPqew/edit?gid=984458430#gid=984458430"", ""'replication success'!A:M""), 13, FAlSE)"),"#N/A")</f>
        <v>#N/A</v>
      </c>
      <c r="BB1601" s="61" t="str">
        <f>IFERROR(__xludf.DUMMYFUNCTION("REGEXREPLACE(G1601, ""_[a-z]{1,2}$"", """")"),"jcre_01_d3")</f>
        <v>jcre_01_d3</v>
      </c>
      <c r="BC1601" s="92"/>
      <c r="BD1601" s="92"/>
    </row>
    <row r="1602">
      <c r="A1602" s="44">
        <v>1602.0</v>
      </c>
      <c r="B1602" s="72" t="s">
        <v>523</v>
      </c>
      <c r="C1602" s="72" t="s">
        <v>115</v>
      </c>
      <c r="D1602" s="72" t="s">
        <v>153</v>
      </c>
      <c r="E1602" s="73"/>
      <c r="F1602" s="94" t="s">
        <v>9308</v>
      </c>
      <c r="G1602" s="76" t="s">
        <v>9361</v>
      </c>
      <c r="H1602" s="76" t="s">
        <v>153</v>
      </c>
      <c r="I1602" s="853">
        <v>45478.0</v>
      </c>
      <c r="J1602" s="629">
        <v>45638.0</v>
      </c>
      <c r="K1602" s="75" t="s">
        <v>9326</v>
      </c>
      <c r="L1602" s="82"/>
      <c r="M1602" s="76" t="s">
        <v>9311</v>
      </c>
      <c r="N1602" s="76" t="s">
        <v>9312</v>
      </c>
      <c r="O1602" s="1004">
        <v>1.0</v>
      </c>
      <c r="P1602" s="931" t="s">
        <v>9313</v>
      </c>
      <c r="Q1602" s="52" t="str">
        <f t="array" ref="Q1602"> if(iserror(MATCH(V1602, 'File Links'!C:C, 0)), "N/A", HYPERLINK(INDEX('File Links'!B:B, MATCH(P1602, 'File Links'!C:C, 0))))</f>
        <v>https://drive.google.com/file/d/1EqvEPwgwndawziGmIPqgl3yNKOI51OAS/view?usp=drivesdk</v>
      </c>
      <c r="R1602" s="76" t="s">
        <v>9314</v>
      </c>
      <c r="S1602" s="76" t="s">
        <v>9315</v>
      </c>
      <c r="T1602" s="82"/>
      <c r="U1602" s="1005">
        <v>1.0</v>
      </c>
      <c r="V1602" s="198" t="str">
        <f t="shared" si="114"/>
        <v>10.18718--81781.23.pdf</v>
      </c>
      <c r="W1602" s="75" t="s">
        <v>2016</v>
      </c>
      <c r="X1602" s="54" t="str">
        <f t="array" ref="X1602"> if(iserror(MATCH(V1602, 'File Links'!C:C, 0)), "N/A", HYPERLINK(INDEX('File Links'!B:B, MATCH(V1602, 'File Links'!C:C, 0))))</f>
        <v>https://drive.google.com/file/d/1UFSIBKXNmPXd3__1cxrsTy9PbNax45wB/view?usp=drivesdk</v>
      </c>
      <c r="Y1602" s="82"/>
      <c r="Z1602" s="76" t="s">
        <v>1809</v>
      </c>
      <c r="AA1602" s="82" t="s">
        <v>9327</v>
      </c>
      <c r="AB1602" s="75" t="s">
        <v>9328</v>
      </c>
      <c r="AC1602" s="75" t="s">
        <v>9350</v>
      </c>
      <c r="AD1602" s="82" t="s">
        <v>9351</v>
      </c>
      <c r="AE1602" s="1770">
        <v>18.0</v>
      </c>
      <c r="AF1602" s="635">
        <f t="shared" si="115"/>
        <v>324</v>
      </c>
      <c r="AG1602" s="76" t="s">
        <v>9362</v>
      </c>
      <c r="AH1602" s="99" t="s">
        <v>134</v>
      </c>
      <c r="AI1602" s="76" t="s">
        <v>2442</v>
      </c>
      <c r="AJ1602" s="635">
        <v>0.1</v>
      </c>
      <c r="AK1602" s="95" t="s">
        <v>135</v>
      </c>
      <c r="AL1602" s="76" t="s">
        <v>136</v>
      </c>
      <c r="AM1602" s="82" t="s">
        <v>141</v>
      </c>
      <c r="AN1602" s="330" t="s">
        <v>138</v>
      </c>
      <c r="AO1602" s="635">
        <v>196.0</v>
      </c>
      <c r="AP1602" s="76" t="s">
        <v>9363</v>
      </c>
      <c r="AQ1602" s="76" t="s">
        <v>134</v>
      </c>
      <c r="AR1602" s="76" t="s">
        <v>9246</v>
      </c>
      <c r="AS1602" s="635">
        <v>0.05</v>
      </c>
      <c r="AT1602" s="95" t="s">
        <v>335</v>
      </c>
      <c r="AU1602" s="95" t="s">
        <v>136</v>
      </c>
      <c r="AV1602" s="94" t="s">
        <v>141</v>
      </c>
      <c r="AW1602" s="94"/>
      <c r="AX1602" s="94" t="s">
        <v>143</v>
      </c>
      <c r="AY1602" s="61" t="str">
        <f>IFERROR(__xludf.DUMMYFUNCTION("vlookup(BB1602,importrange(""https://docs.google.com/spreadsheets/d/1d2vevQ_7D_v35q4wCQ4RpQ_IPoTwEMB9Yp6ymwlPqew/edit?gid=984458430#gid=984458430"", ""'replication success'!A:K""), 11, FAlSE)"),"#N/A")</f>
        <v>#N/A</v>
      </c>
      <c r="AZ1602" s="61" t="str">
        <f>IFERROR(__xludf.DUMMYFUNCTION("vlookup(BB1602,importrange(""https://docs.google.com/spreadsheets/d/1d2vevQ_7D_v35q4wCQ4RpQ_IPoTwEMB9Yp6ymwlPqew/edit?gid=984458430#gid=984458430"", ""'replication success'!A:M""), 12, FAlSE)"),"#N/A")</f>
        <v>#N/A</v>
      </c>
      <c r="BA1602" s="61" t="str">
        <f>IFERROR(__xludf.DUMMYFUNCTION("vlookup(BB1602,importrange(""https://docs.google.com/spreadsheets/d/1d2vevQ_7D_v35q4wCQ4RpQ_IPoTwEMB9Yp6ymwlPqew/edit?gid=984458430#gid=984458430"", ""'replication success'!A:M""), 13, FAlSE)"),"#N/A")</f>
        <v>#N/A</v>
      </c>
      <c r="BB1602" s="61" t="str">
        <f>IFERROR(__xludf.DUMMYFUNCTION("REGEXREPLACE(G1602, ""_[a-z]{1,2}$"", """")"),"jcre_01_d6")</f>
        <v>jcre_01_d6</v>
      </c>
      <c r="BC1602" s="92"/>
      <c r="BD1602" s="92"/>
    </row>
    <row r="1603">
      <c r="A1603" s="44">
        <v>1603.0</v>
      </c>
      <c r="B1603" s="72" t="s">
        <v>523</v>
      </c>
      <c r="C1603" s="72" t="s">
        <v>115</v>
      </c>
      <c r="D1603" s="72" t="s">
        <v>153</v>
      </c>
      <c r="E1603" s="73"/>
      <c r="F1603" s="94" t="s">
        <v>9308</v>
      </c>
      <c r="G1603" s="76" t="s">
        <v>9361</v>
      </c>
      <c r="H1603" s="76" t="s">
        <v>153</v>
      </c>
      <c r="I1603" s="853">
        <v>45478.0</v>
      </c>
      <c r="J1603" s="629">
        <v>45638.0</v>
      </c>
      <c r="K1603" s="75" t="s">
        <v>9326</v>
      </c>
      <c r="L1603" s="82"/>
      <c r="M1603" s="76" t="s">
        <v>9311</v>
      </c>
      <c r="N1603" s="76" t="s">
        <v>9312</v>
      </c>
      <c r="O1603" s="1004">
        <v>1.0</v>
      </c>
      <c r="P1603" s="931" t="s">
        <v>9313</v>
      </c>
      <c r="Q1603" s="52" t="str">
        <f t="array" ref="Q1603"> if(iserror(MATCH(V1603, 'File Links'!C:C, 0)), "N/A", HYPERLINK(INDEX('File Links'!B:B, MATCH(P1603, 'File Links'!C:C, 0))))</f>
        <v>https://drive.google.com/file/d/1EqvEPwgwndawziGmIPqgl3yNKOI51OAS/view?usp=drivesdk</v>
      </c>
      <c r="R1603" s="76" t="s">
        <v>9314</v>
      </c>
      <c r="S1603" s="76" t="s">
        <v>9315</v>
      </c>
      <c r="T1603" s="82"/>
      <c r="U1603" s="1005">
        <v>1.0</v>
      </c>
      <c r="V1603" s="198" t="str">
        <f t="shared" si="114"/>
        <v>10.18718--81781.23.pdf</v>
      </c>
      <c r="W1603" s="75" t="s">
        <v>2016</v>
      </c>
      <c r="X1603" s="54" t="str">
        <f t="array" ref="X1603"> if(iserror(MATCH(V1603, 'File Links'!C:C, 0)), "N/A", HYPERLINK(INDEX('File Links'!B:B, MATCH(V1603, 'File Links'!C:C, 0))))</f>
        <v>https://drive.google.com/file/d/1UFSIBKXNmPXd3__1cxrsTy9PbNax45wB/view?usp=drivesdk</v>
      </c>
      <c r="Y1603" s="82"/>
      <c r="Z1603" s="76" t="s">
        <v>1809</v>
      </c>
      <c r="AA1603" s="82" t="s">
        <v>9327</v>
      </c>
      <c r="AB1603" s="75" t="s">
        <v>9328</v>
      </c>
      <c r="AC1603" s="75" t="s">
        <v>9350</v>
      </c>
      <c r="AD1603" s="82" t="s">
        <v>9351</v>
      </c>
      <c r="AE1603" s="1770">
        <v>18.0</v>
      </c>
      <c r="AF1603" s="635">
        <f t="shared" si="115"/>
        <v>324</v>
      </c>
      <c r="AG1603" s="82" t="s">
        <v>9364</v>
      </c>
      <c r="AH1603" s="99" t="s">
        <v>134</v>
      </c>
      <c r="AI1603" s="76" t="s">
        <v>6362</v>
      </c>
      <c r="AJ1603" s="635">
        <v>0.1</v>
      </c>
      <c r="AK1603" s="95" t="s">
        <v>135</v>
      </c>
      <c r="AL1603" s="76" t="s">
        <v>136</v>
      </c>
      <c r="AM1603" s="82" t="s">
        <v>141</v>
      </c>
      <c r="AN1603" s="330" t="s">
        <v>138</v>
      </c>
      <c r="AO1603" s="635">
        <v>185.0</v>
      </c>
      <c r="AP1603" s="76" t="s">
        <v>9365</v>
      </c>
      <c r="AQ1603" s="76" t="s">
        <v>134</v>
      </c>
      <c r="AR1603" s="76" t="s">
        <v>1819</v>
      </c>
      <c r="AS1603" s="635">
        <v>0.05</v>
      </c>
      <c r="AT1603" s="95" t="s">
        <v>335</v>
      </c>
      <c r="AU1603" s="95" t="s">
        <v>136</v>
      </c>
      <c r="AV1603" s="94" t="s">
        <v>141</v>
      </c>
      <c r="AW1603" s="94"/>
      <c r="AX1603" s="94" t="s">
        <v>143</v>
      </c>
      <c r="AY1603" s="61" t="str">
        <f>IFERROR(__xludf.DUMMYFUNCTION("vlookup(BB1603,importrange(""https://docs.google.com/spreadsheets/d/1d2vevQ_7D_v35q4wCQ4RpQ_IPoTwEMB9Yp6ymwlPqew/edit?gid=984458430#gid=984458430"", ""'replication success'!A:K""), 11, FAlSE)"),"#N/A")</f>
        <v>#N/A</v>
      </c>
      <c r="AZ1603" s="61" t="str">
        <f>IFERROR(__xludf.DUMMYFUNCTION("vlookup(BB1603,importrange(""https://docs.google.com/spreadsheets/d/1d2vevQ_7D_v35q4wCQ4RpQ_IPoTwEMB9Yp6ymwlPqew/edit?gid=984458430#gid=984458430"", ""'replication success'!A:M""), 12, FAlSE)"),"#N/A")</f>
        <v>#N/A</v>
      </c>
      <c r="BA1603" s="61" t="str">
        <f>IFERROR(__xludf.DUMMYFUNCTION("vlookup(BB1603,importrange(""https://docs.google.com/spreadsheets/d/1d2vevQ_7D_v35q4wCQ4RpQ_IPoTwEMB9Yp6ymwlPqew/edit?gid=984458430#gid=984458430"", ""'replication success'!A:M""), 13, FAlSE)"),"#N/A")</f>
        <v>#N/A</v>
      </c>
      <c r="BB1603" s="61" t="str">
        <f>IFERROR(__xludf.DUMMYFUNCTION("REGEXREPLACE(G1603, ""_[a-z]{1,2}$"", """")"),"jcre_01_d6")</f>
        <v>jcre_01_d6</v>
      </c>
      <c r="BC1603" s="92"/>
      <c r="BD1603" s="92"/>
    </row>
    <row r="1604">
      <c r="A1604" s="44">
        <v>1604.0</v>
      </c>
      <c r="B1604" s="72" t="s">
        <v>523</v>
      </c>
      <c r="C1604" s="72" t="s">
        <v>115</v>
      </c>
      <c r="D1604" s="72" t="s">
        <v>153</v>
      </c>
      <c r="E1604" s="73"/>
      <c r="F1604" s="94" t="s">
        <v>9308</v>
      </c>
      <c r="G1604" s="76" t="s">
        <v>9366</v>
      </c>
      <c r="H1604" s="76" t="s">
        <v>153</v>
      </c>
      <c r="I1604" s="853">
        <v>45478.0</v>
      </c>
      <c r="J1604" s="629">
        <v>45638.0</v>
      </c>
      <c r="K1604" s="75" t="s">
        <v>9326</v>
      </c>
      <c r="L1604" s="82"/>
      <c r="M1604" s="76" t="s">
        <v>9311</v>
      </c>
      <c r="N1604" s="76" t="s">
        <v>9312</v>
      </c>
      <c r="O1604" s="1004">
        <v>1.0</v>
      </c>
      <c r="P1604" s="931" t="s">
        <v>9313</v>
      </c>
      <c r="Q1604" s="52" t="str">
        <f t="array" ref="Q1604"> if(iserror(MATCH(V1604, 'File Links'!C:C, 0)), "N/A", HYPERLINK(INDEX('File Links'!B:B, MATCH(P1604, 'File Links'!C:C, 0))))</f>
        <v>https://drive.google.com/file/d/1EqvEPwgwndawziGmIPqgl3yNKOI51OAS/view?usp=drivesdk</v>
      </c>
      <c r="R1604" s="76" t="s">
        <v>9314</v>
      </c>
      <c r="S1604" s="76" t="s">
        <v>9315</v>
      </c>
      <c r="T1604" s="82"/>
      <c r="U1604" s="1005">
        <v>1.0</v>
      </c>
      <c r="V1604" s="198" t="str">
        <f t="shared" si="114"/>
        <v>10.18718--81781.23.pdf</v>
      </c>
      <c r="W1604" s="75" t="s">
        <v>2016</v>
      </c>
      <c r="X1604" s="54" t="str">
        <f t="array" ref="X1604"> if(iserror(MATCH(V1604, 'File Links'!C:C, 0)), "N/A", HYPERLINK(INDEX('File Links'!B:B, MATCH(V1604, 'File Links'!C:C, 0))))</f>
        <v>https://drive.google.com/file/d/1UFSIBKXNmPXd3__1cxrsTy9PbNax45wB/view?usp=drivesdk</v>
      </c>
      <c r="Y1604" s="82"/>
      <c r="Z1604" s="76" t="s">
        <v>1809</v>
      </c>
      <c r="AA1604" s="82" t="s">
        <v>9327</v>
      </c>
      <c r="AB1604" s="75" t="s">
        <v>9328</v>
      </c>
      <c r="AC1604" s="76" t="s">
        <v>9367</v>
      </c>
      <c r="AD1604" s="82" t="s">
        <v>9368</v>
      </c>
      <c r="AE1604" s="1770">
        <v>26.0</v>
      </c>
      <c r="AF1604" s="635">
        <f t="shared" si="115"/>
        <v>324</v>
      </c>
      <c r="AG1604" s="76" t="s">
        <v>9369</v>
      </c>
      <c r="AH1604" s="99" t="s">
        <v>134</v>
      </c>
      <c r="AI1604" s="76" t="s">
        <v>2442</v>
      </c>
      <c r="AJ1604" s="635">
        <v>0.05</v>
      </c>
      <c r="AK1604" s="95" t="s">
        <v>335</v>
      </c>
      <c r="AL1604" s="76" t="s">
        <v>136</v>
      </c>
      <c r="AM1604" s="82" t="s">
        <v>141</v>
      </c>
      <c r="AN1604" s="330" t="s">
        <v>138</v>
      </c>
      <c r="AO1604" s="635">
        <v>196.0</v>
      </c>
      <c r="AP1604" s="76" t="s">
        <v>9370</v>
      </c>
      <c r="AQ1604" s="76" t="s">
        <v>134</v>
      </c>
      <c r="AR1604" s="76" t="s">
        <v>3721</v>
      </c>
      <c r="AS1604" s="635">
        <v>0.05</v>
      </c>
      <c r="AT1604" s="95" t="s">
        <v>335</v>
      </c>
      <c r="AU1604" s="95" t="s">
        <v>136</v>
      </c>
      <c r="AV1604" s="94" t="s">
        <v>141</v>
      </c>
      <c r="AW1604" s="94"/>
      <c r="AX1604" s="94" t="s">
        <v>143</v>
      </c>
      <c r="AY1604" s="61" t="str">
        <f>IFERROR(__xludf.DUMMYFUNCTION("vlookup(BB1604,importrange(""https://docs.google.com/spreadsheets/d/1d2vevQ_7D_v35q4wCQ4RpQ_IPoTwEMB9Yp6ymwlPqew/edit?gid=984458430#gid=984458430"", ""'replication success'!A:K""), 11, FAlSE)"),"#N/A")</f>
        <v>#N/A</v>
      </c>
      <c r="AZ1604" s="61" t="str">
        <f>IFERROR(__xludf.DUMMYFUNCTION("vlookup(BB1604,importrange(""https://docs.google.com/spreadsheets/d/1d2vevQ_7D_v35q4wCQ4RpQ_IPoTwEMB9Yp6ymwlPqew/edit?gid=984458430#gid=984458430"", ""'replication success'!A:M""), 12, FAlSE)"),"#N/A")</f>
        <v>#N/A</v>
      </c>
      <c r="BA1604" s="61" t="str">
        <f>IFERROR(__xludf.DUMMYFUNCTION("vlookup(BB1604,importrange(""https://docs.google.com/spreadsheets/d/1d2vevQ_7D_v35q4wCQ4RpQ_IPoTwEMB9Yp6ymwlPqew/edit?gid=984458430#gid=984458430"", ""'replication success'!A:M""), 13, FAlSE)"),"#N/A")</f>
        <v>#N/A</v>
      </c>
      <c r="BB1604" s="61" t="str">
        <f>IFERROR(__xludf.DUMMYFUNCTION("REGEXREPLACE(G1604, ""_[a-z]{1,2}$"", """")"),"jcre_01_g2")</f>
        <v>jcre_01_g2</v>
      </c>
      <c r="BC1604" s="92"/>
      <c r="BD1604" s="92"/>
    </row>
    <row r="1605">
      <c r="A1605" s="44">
        <v>1605.0</v>
      </c>
      <c r="B1605" s="72" t="s">
        <v>523</v>
      </c>
      <c r="C1605" s="72" t="s">
        <v>115</v>
      </c>
      <c r="D1605" s="72" t="s">
        <v>153</v>
      </c>
      <c r="E1605" s="73"/>
      <c r="F1605" s="94" t="s">
        <v>9308</v>
      </c>
      <c r="G1605" s="76" t="s">
        <v>9371</v>
      </c>
      <c r="H1605" s="76" t="s">
        <v>153</v>
      </c>
      <c r="I1605" s="853">
        <v>45478.0</v>
      </c>
      <c r="J1605" s="629">
        <v>45638.0</v>
      </c>
      <c r="K1605" s="75" t="s">
        <v>9326</v>
      </c>
      <c r="L1605" s="82"/>
      <c r="M1605" s="76" t="s">
        <v>9311</v>
      </c>
      <c r="N1605" s="76" t="s">
        <v>9312</v>
      </c>
      <c r="O1605" s="1004">
        <v>1.0</v>
      </c>
      <c r="P1605" s="931" t="s">
        <v>9313</v>
      </c>
      <c r="Q1605" s="52" t="str">
        <f t="array" ref="Q1605"> if(iserror(MATCH(V1605, 'File Links'!C:C, 0)), "N/A", HYPERLINK(INDEX('File Links'!B:B, MATCH(P1605, 'File Links'!C:C, 0))))</f>
        <v>https://drive.google.com/file/d/1EqvEPwgwndawziGmIPqgl3yNKOI51OAS/view?usp=drivesdk</v>
      </c>
      <c r="R1605" s="76" t="s">
        <v>9314</v>
      </c>
      <c r="S1605" s="76" t="s">
        <v>9315</v>
      </c>
      <c r="T1605" s="82"/>
      <c r="U1605" s="1005">
        <v>1.0</v>
      </c>
      <c r="V1605" s="198" t="str">
        <f t="shared" si="114"/>
        <v>10.18718--81781.23.pdf</v>
      </c>
      <c r="W1605" s="75" t="s">
        <v>2016</v>
      </c>
      <c r="X1605" s="54" t="str">
        <f t="array" ref="X1605"> if(iserror(MATCH(V1605, 'File Links'!C:C, 0)), "N/A", HYPERLINK(INDEX('File Links'!B:B, MATCH(V1605, 'File Links'!C:C, 0))))</f>
        <v>https://drive.google.com/file/d/1UFSIBKXNmPXd3__1cxrsTy9PbNax45wB/view?usp=drivesdk</v>
      </c>
      <c r="Y1605" s="82"/>
      <c r="Z1605" s="76" t="s">
        <v>1809</v>
      </c>
      <c r="AA1605" s="82" t="s">
        <v>9327</v>
      </c>
      <c r="AB1605" s="75" t="s">
        <v>9328</v>
      </c>
      <c r="AC1605" s="75" t="s">
        <v>9367</v>
      </c>
      <c r="AD1605" s="82" t="s">
        <v>9368</v>
      </c>
      <c r="AE1605" s="1770">
        <v>26.0</v>
      </c>
      <c r="AF1605" s="635">
        <f t="shared" si="115"/>
        <v>324</v>
      </c>
      <c r="AG1605" s="76" t="s">
        <v>9372</v>
      </c>
      <c r="AH1605" s="99" t="s">
        <v>134</v>
      </c>
      <c r="AI1605" s="76" t="s">
        <v>2441</v>
      </c>
      <c r="AJ1605" s="635">
        <v>0.05</v>
      </c>
      <c r="AK1605" s="95" t="s">
        <v>335</v>
      </c>
      <c r="AL1605" s="76" t="s">
        <v>136</v>
      </c>
      <c r="AM1605" s="82" t="s">
        <v>141</v>
      </c>
      <c r="AN1605" s="330" t="s">
        <v>138</v>
      </c>
      <c r="AO1605" s="635">
        <v>185.0</v>
      </c>
      <c r="AP1605" s="76" t="s">
        <v>9373</v>
      </c>
      <c r="AQ1605" s="76" t="s">
        <v>134</v>
      </c>
      <c r="AR1605" s="76" t="s">
        <v>7749</v>
      </c>
      <c r="AS1605" s="635">
        <v>0.05</v>
      </c>
      <c r="AT1605" s="95" t="s">
        <v>335</v>
      </c>
      <c r="AU1605" s="95" t="s">
        <v>136</v>
      </c>
      <c r="AV1605" s="94" t="s">
        <v>141</v>
      </c>
      <c r="AW1605" s="94"/>
      <c r="AX1605" s="94" t="s">
        <v>143</v>
      </c>
      <c r="AY1605" s="61" t="str">
        <f>IFERROR(__xludf.DUMMYFUNCTION("vlookup(BB1605,importrange(""https://docs.google.com/spreadsheets/d/1d2vevQ_7D_v35q4wCQ4RpQ_IPoTwEMB9Yp6ymwlPqew/edit?gid=984458430#gid=984458430"", ""'replication success'!A:K""), 11, FAlSE)"),"#N/A")</f>
        <v>#N/A</v>
      </c>
      <c r="AZ1605" s="61" t="str">
        <f>IFERROR(__xludf.DUMMYFUNCTION("vlookup(BB1605,importrange(""https://docs.google.com/spreadsheets/d/1d2vevQ_7D_v35q4wCQ4RpQ_IPoTwEMB9Yp6ymwlPqew/edit?gid=984458430#gid=984458430"", ""'replication success'!A:M""), 12, FAlSE)"),"#N/A")</f>
        <v>#N/A</v>
      </c>
      <c r="BA1605" s="61" t="str">
        <f>IFERROR(__xludf.DUMMYFUNCTION("vlookup(BB1605,importrange(""https://docs.google.com/spreadsheets/d/1d2vevQ_7D_v35q4wCQ4RpQ_IPoTwEMB9Yp6ymwlPqew/edit?gid=984458430#gid=984458430"", ""'replication success'!A:M""), 13, FAlSE)"),"#N/A")</f>
        <v>#N/A</v>
      </c>
      <c r="BB1605" s="61" t="str">
        <f>IFERROR(__xludf.DUMMYFUNCTION("REGEXREPLACE(G1605, ""_[a-z]{1,2}$"", """")"),"jcre_01_g2a")</f>
        <v>jcre_01_g2a</v>
      </c>
      <c r="BC1605" s="92"/>
      <c r="BD1605" s="92"/>
    </row>
    <row r="1606">
      <c r="A1606" s="44">
        <v>1606.0</v>
      </c>
      <c r="B1606" s="72" t="s">
        <v>523</v>
      </c>
      <c r="C1606" s="72" t="s">
        <v>115</v>
      </c>
      <c r="D1606" s="72" t="s">
        <v>153</v>
      </c>
      <c r="E1606" s="73"/>
      <c r="F1606" s="94" t="s">
        <v>9308</v>
      </c>
      <c r="G1606" s="76" t="s">
        <v>9374</v>
      </c>
      <c r="H1606" s="76" t="s">
        <v>153</v>
      </c>
      <c r="I1606" s="853">
        <v>45478.0</v>
      </c>
      <c r="J1606" s="629">
        <v>45638.0</v>
      </c>
      <c r="K1606" s="75" t="s">
        <v>9326</v>
      </c>
      <c r="L1606" s="82"/>
      <c r="M1606" s="76" t="s">
        <v>9311</v>
      </c>
      <c r="N1606" s="76" t="s">
        <v>9312</v>
      </c>
      <c r="O1606" s="1004">
        <v>1.0</v>
      </c>
      <c r="P1606" s="931" t="s">
        <v>9313</v>
      </c>
      <c r="Q1606" s="52" t="str">
        <f t="array" ref="Q1606"> if(iserror(MATCH(V1606, 'File Links'!C:C, 0)), "N/A", HYPERLINK(INDEX('File Links'!B:B, MATCH(P1606, 'File Links'!C:C, 0))))</f>
        <v>https://drive.google.com/file/d/1EqvEPwgwndawziGmIPqgl3yNKOI51OAS/view?usp=drivesdk</v>
      </c>
      <c r="R1606" s="76" t="s">
        <v>9314</v>
      </c>
      <c r="S1606" s="76" t="s">
        <v>9315</v>
      </c>
      <c r="T1606" s="82"/>
      <c r="U1606" s="1005">
        <v>1.0</v>
      </c>
      <c r="V1606" s="198" t="str">
        <f t="shared" si="114"/>
        <v>10.18718--81781.23.pdf</v>
      </c>
      <c r="W1606" s="75" t="s">
        <v>2016</v>
      </c>
      <c r="X1606" s="54" t="str">
        <f t="array" ref="X1606"> if(iserror(MATCH(V1606, 'File Links'!C:C, 0)), "N/A", HYPERLINK(INDEX('File Links'!B:B, MATCH(V1606, 'File Links'!C:C, 0))))</f>
        <v>https://drive.google.com/file/d/1UFSIBKXNmPXd3__1cxrsTy9PbNax45wB/view?usp=drivesdk</v>
      </c>
      <c r="Y1606" s="82"/>
      <c r="Z1606" s="76" t="s">
        <v>1809</v>
      </c>
      <c r="AA1606" s="82" t="s">
        <v>9327</v>
      </c>
      <c r="AB1606" s="75" t="s">
        <v>9328</v>
      </c>
      <c r="AC1606" s="75" t="s">
        <v>9367</v>
      </c>
      <c r="AD1606" s="82" t="s">
        <v>9368</v>
      </c>
      <c r="AE1606" s="1770">
        <v>26.0</v>
      </c>
      <c r="AF1606" s="635">
        <f t="shared" si="115"/>
        <v>324</v>
      </c>
      <c r="AG1606" s="76" t="s">
        <v>9375</v>
      </c>
      <c r="AH1606" s="99" t="s">
        <v>134</v>
      </c>
      <c r="AI1606" s="76" t="s">
        <v>2442</v>
      </c>
      <c r="AJ1606" s="635">
        <v>0.05</v>
      </c>
      <c r="AK1606" s="95" t="s">
        <v>335</v>
      </c>
      <c r="AL1606" s="76" t="s">
        <v>136</v>
      </c>
      <c r="AM1606" s="82" t="s">
        <v>141</v>
      </c>
      <c r="AN1606" s="330" t="s">
        <v>138</v>
      </c>
      <c r="AO1606" s="635">
        <v>196.0</v>
      </c>
      <c r="AP1606" s="76" t="s">
        <v>9376</v>
      </c>
      <c r="AQ1606" s="76" t="s">
        <v>134</v>
      </c>
      <c r="AR1606" s="76" t="s">
        <v>2022</v>
      </c>
      <c r="AS1606" s="635">
        <v>0.05</v>
      </c>
      <c r="AT1606" s="95" t="s">
        <v>335</v>
      </c>
      <c r="AU1606" s="95" t="s">
        <v>136</v>
      </c>
      <c r="AV1606" s="94" t="s">
        <v>141</v>
      </c>
      <c r="AW1606" s="94"/>
      <c r="AX1606" s="94" t="s">
        <v>143</v>
      </c>
      <c r="AY1606" s="61" t="str">
        <f>IFERROR(__xludf.DUMMYFUNCTION("vlookup(BB1606,importrange(""https://docs.google.com/spreadsheets/d/1d2vevQ_7D_v35q4wCQ4RpQ_IPoTwEMB9Yp6ymwlPqew/edit?gid=984458430#gid=984458430"", ""'replication success'!A:K""), 11, FAlSE)"),"#N/A")</f>
        <v>#N/A</v>
      </c>
      <c r="AZ1606" s="61" t="str">
        <f>IFERROR(__xludf.DUMMYFUNCTION("vlookup(BB1606,importrange(""https://docs.google.com/spreadsheets/d/1d2vevQ_7D_v35q4wCQ4RpQ_IPoTwEMB9Yp6ymwlPqew/edit?gid=984458430#gid=984458430"", ""'replication success'!A:M""), 12, FAlSE)"),"#N/A")</f>
        <v>#N/A</v>
      </c>
      <c r="BA1606" s="61" t="str">
        <f>IFERROR(__xludf.DUMMYFUNCTION("vlookup(BB1606,importrange(""https://docs.google.com/spreadsheets/d/1d2vevQ_7D_v35q4wCQ4RpQ_IPoTwEMB9Yp6ymwlPqew/edit?gid=984458430#gid=984458430"", ""'replication success'!A:M""), 13, FAlSE)"),"#N/A")</f>
        <v>#N/A</v>
      </c>
      <c r="BB1606" s="61" t="str">
        <f>IFERROR(__xludf.DUMMYFUNCTION("REGEXREPLACE(G1606, ""_[a-z]{1,2}$"", """")"),"jcre_01_g3")</f>
        <v>jcre_01_g3</v>
      </c>
      <c r="BC1606" s="92"/>
      <c r="BD1606" s="92"/>
    </row>
    <row r="1607">
      <c r="A1607" s="44">
        <v>1607.0</v>
      </c>
      <c r="B1607" s="72" t="s">
        <v>523</v>
      </c>
      <c r="C1607" s="72" t="s">
        <v>115</v>
      </c>
      <c r="D1607" s="72" t="s">
        <v>153</v>
      </c>
      <c r="E1607" s="73"/>
      <c r="F1607" s="94" t="s">
        <v>9308</v>
      </c>
      <c r="G1607" s="76" t="s">
        <v>9377</v>
      </c>
      <c r="H1607" s="76" t="s">
        <v>153</v>
      </c>
      <c r="I1607" s="853">
        <v>45478.0</v>
      </c>
      <c r="J1607" s="629">
        <v>45638.0</v>
      </c>
      <c r="K1607" s="75" t="s">
        <v>9326</v>
      </c>
      <c r="L1607" s="82"/>
      <c r="M1607" s="76" t="s">
        <v>9311</v>
      </c>
      <c r="N1607" s="76" t="s">
        <v>9312</v>
      </c>
      <c r="O1607" s="1004">
        <v>1.0</v>
      </c>
      <c r="P1607" s="931" t="s">
        <v>9313</v>
      </c>
      <c r="Q1607" s="52" t="str">
        <f t="array" ref="Q1607"> if(iserror(MATCH(V1607, 'File Links'!C:C, 0)), "N/A", HYPERLINK(INDEX('File Links'!B:B, MATCH(P1607, 'File Links'!C:C, 0))))</f>
        <v>https://drive.google.com/file/d/1EqvEPwgwndawziGmIPqgl3yNKOI51OAS/view?usp=drivesdk</v>
      </c>
      <c r="R1607" s="76" t="s">
        <v>9314</v>
      </c>
      <c r="S1607" s="76" t="s">
        <v>9315</v>
      </c>
      <c r="T1607" s="82"/>
      <c r="U1607" s="1005">
        <v>1.0</v>
      </c>
      <c r="V1607" s="198" t="str">
        <f t="shared" si="114"/>
        <v>10.18718--81781.23.pdf</v>
      </c>
      <c r="W1607" s="75" t="s">
        <v>2016</v>
      </c>
      <c r="X1607" s="54" t="str">
        <f t="array" ref="X1607"> if(iserror(MATCH(V1607, 'File Links'!C:C, 0)), "N/A", HYPERLINK(INDEX('File Links'!B:B, MATCH(V1607, 'File Links'!C:C, 0))))</f>
        <v>https://drive.google.com/file/d/1UFSIBKXNmPXd3__1cxrsTy9PbNax45wB/view?usp=drivesdk</v>
      </c>
      <c r="Y1607" s="82"/>
      <c r="Z1607" s="76" t="s">
        <v>1809</v>
      </c>
      <c r="AA1607" s="82" t="s">
        <v>9327</v>
      </c>
      <c r="AB1607" s="75" t="s">
        <v>9328</v>
      </c>
      <c r="AC1607" s="75" t="s">
        <v>9367</v>
      </c>
      <c r="AD1607" s="82" t="s">
        <v>9368</v>
      </c>
      <c r="AE1607" s="1770">
        <v>26.0</v>
      </c>
      <c r="AF1607" s="635">
        <f t="shared" si="115"/>
        <v>324</v>
      </c>
      <c r="AG1607" s="76" t="s">
        <v>9378</v>
      </c>
      <c r="AH1607" s="99" t="s">
        <v>134</v>
      </c>
      <c r="AI1607" s="76" t="s">
        <v>2441</v>
      </c>
      <c r="AJ1607" s="635">
        <v>0.05</v>
      </c>
      <c r="AK1607" s="95" t="s">
        <v>335</v>
      </c>
      <c r="AL1607" s="76" t="s">
        <v>136</v>
      </c>
      <c r="AM1607" s="82" t="s">
        <v>141</v>
      </c>
      <c r="AN1607" s="330" t="s">
        <v>138</v>
      </c>
      <c r="AO1607" s="635">
        <v>185.0</v>
      </c>
      <c r="AP1607" s="76" t="s">
        <v>9379</v>
      </c>
      <c r="AQ1607" s="76" t="s">
        <v>134</v>
      </c>
      <c r="AR1607" s="76" t="s">
        <v>1173</v>
      </c>
      <c r="AS1607" s="635">
        <v>0.05</v>
      </c>
      <c r="AT1607" s="95" t="s">
        <v>335</v>
      </c>
      <c r="AU1607" s="95" t="s">
        <v>136</v>
      </c>
      <c r="AV1607" s="94" t="s">
        <v>141</v>
      </c>
      <c r="AW1607" s="94"/>
      <c r="AX1607" s="94" t="s">
        <v>143</v>
      </c>
      <c r="AY1607" s="61" t="str">
        <f>IFERROR(__xludf.DUMMYFUNCTION("vlookup(BB1607,importrange(""https://docs.google.com/spreadsheets/d/1d2vevQ_7D_v35q4wCQ4RpQ_IPoTwEMB9Yp6ymwlPqew/edit?gid=984458430#gid=984458430"", ""'replication success'!A:K""), 11, FAlSE)"),"#N/A")</f>
        <v>#N/A</v>
      </c>
      <c r="AZ1607" s="61" t="str">
        <f>IFERROR(__xludf.DUMMYFUNCTION("vlookup(BB1607,importrange(""https://docs.google.com/spreadsheets/d/1d2vevQ_7D_v35q4wCQ4RpQ_IPoTwEMB9Yp6ymwlPqew/edit?gid=984458430#gid=984458430"", ""'replication success'!A:M""), 12, FAlSE)"),"#N/A")</f>
        <v>#N/A</v>
      </c>
      <c r="BA1607" s="61" t="str">
        <f>IFERROR(__xludf.DUMMYFUNCTION("vlookup(BB1607,importrange(""https://docs.google.com/spreadsheets/d/1d2vevQ_7D_v35q4wCQ4RpQ_IPoTwEMB9Yp6ymwlPqew/edit?gid=984458430#gid=984458430"", ""'replication success'!A:M""), 13, FAlSE)"),"#N/A")</f>
        <v>#N/A</v>
      </c>
      <c r="BB1607" s="61" t="str">
        <f>IFERROR(__xludf.DUMMYFUNCTION("REGEXREPLACE(G1607, ""_[a-z]{1,2}$"", """")"),"jcre_01_g3a")</f>
        <v>jcre_01_g3a</v>
      </c>
      <c r="BC1607" s="92"/>
      <c r="BD1607" s="92"/>
    </row>
    <row r="1608">
      <c r="A1608" s="44">
        <v>1608.0</v>
      </c>
      <c r="B1608" s="72" t="s">
        <v>523</v>
      </c>
      <c r="C1608" s="72" t="s">
        <v>115</v>
      </c>
      <c r="D1608" s="72" t="s">
        <v>153</v>
      </c>
      <c r="E1608" s="73"/>
      <c r="F1608" s="94" t="s">
        <v>9308</v>
      </c>
      <c r="G1608" s="76" t="s">
        <v>9380</v>
      </c>
      <c r="H1608" s="76" t="s">
        <v>153</v>
      </c>
      <c r="I1608" s="853">
        <v>45478.0</v>
      </c>
      <c r="J1608" s="629">
        <v>45638.0</v>
      </c>
      <c r="K1608" s="75" t="s">
        <v>9326</v>
      </c>
      <c r="L1608" s="82"/>
      <c r="M1608" s="76" t="s">
        <v>9311</v>
      </c>
      <c r="N1608" s="76" t="s">
        <v>9312</v>
      </c>
      <c r="O1608" s="1004">
        <v>1.0</v>
      </c>
      <c r="P1608" s="931" t="s">
        <v>9313</v>
      </c>
      <c r="Q1608" s="52" t="str">
        <f t="array" ref="Q1608"> if(iserror(MATCH(V1608, 'File Links'!C:C, 0)), "N/A", HYPERLINK(INDEX('File Links'!B:B, MATCH(P1608, 'File Links'!C:C, 0))))</f>
        <v>https://drive.google.com/file/d/1EqvEPwgwndawziGmIPqgl3yNKOI51OAS/view?usp=drivesdk</v>
      </c>
      <c r="R1608" s="76" t="s">
        <v>9314</v>
      </c>
      <c r="S1608" s="76" t="s">
        <v>9315</v>
      </c>
      <c r="T1608" s="82"/>
      <c r="U1608" s="1005">
        <v>1.0</v>
      </c>
      <c r="V1608" s="198" t="str">
        <f t="shared" si="114"/>
        <v>10.18718--81781.23.pdf</v>
      </c>
      <c r="W1608" s="75" t="s">
        <v>2016</v>
      </c>
      <c r="X1608" s="54" t="str">
        <f t="array" ref="X1608"> if(iserror(MATCH(V1608, 'File Links'!C:C, 0)), "N/A", HYPERLINK(INDEX('File Links'!B:B, MATCH(V1608, 'File Links'!C:C, 0))))</f>
        <v>https://drive.google.com/file/d/1UFSIBKXNmPXd3__1cxrsTy9PbNax45wB/view?usp=drivesdk</v>
      </c>
      <c r="Y1608" s="82"/>
      <c r="Z1608" s="76" t="s">
        <v>1809</v>
      </c>
      <c r="AA1608" s="82" t="s">
        <v>9327</v>
      </c>
      <c r="AB1608" s="75" t="s">
        <v>9328</v>
      </c>
      <c r="AC1608" s="75" t="s">
        <v>9381</v>
      </c>
      <c r="AD1608" s="82" t="s">
        <v>9382</v>
      </c>
      <c r="AE1608" s="1770">
        <v>26.0</v>
      </c>
      <c r="AF1608" s="635">
        <f t="shared" si="115"/>
        <v>324</v>
      </c>
      <c r="AG1608" s="82" t="s">
        <v>9383</v>
      </c>
      <c r="AH1608" s="99" t="s">
        <v>134</v>
      </c>
      <c r="AI1608" s="76" t="s">
        <v>2442</v>
      </c>
      <c r="AJ1608" s="635">
        <v>0.05</v>
      </c>
      <c r="AK1608" s="95" t="s">
        <v>335</v>
      </c>
      <c r="AL1608" s="76" t="s">
        <v>136</v>
      </c>
      <c r="AM1608" s="82" t="s">
        <v>141</v>
      </c>
      <c r="AN1608" s="330" t="s">
        <v>138</v>
      </c>
      <c r="AO1608" s="635">
        <v>196.0</v>
      </c>
      <c r="AP1608" s="76" t="s">
        <v>9384</v>
      </c>
      <c r="AQ1608" s="76" t="s">
        <v>134</v>
      </c>
      <c r="AR1608" s="76" t="s">
        <v>9246</v>
      </c>
      <c r="AS1608" s="635">
        <v>0.05</v>
      </c>
      <c r="AT1608" s="95" t="s">
        <v>335</v>
      </c>
      <c r="AU1608" s="95" t="s">
        <v>136</v>
      </c>
      <c r="AV1608" s="94" t="s">
        <v>141</v>
      </c>
      <c r="AW1608" s="94"/>
      <c r="AX1608" s="94" t="s">
        <v>143</v>
      </c>
      <c r="AY1608" s="61" t="str">
        <f>IFERROR(__xludf.DUMMYFUNCTION("vlookup(BB1608,importrange(""https://docs.google.com/spreadsheets/d/1d2vevQ_7D_v35q4wCQ4RpQ_IPoTwEMB9Yp6ymwlPqew/edit?gid=984458430#gid=984458430"", ""'replication success'!A:K""), 11, FAlSE)"),"#N/A")</f>
        <v>#N/A</v>
      </c>
      <c r="AZ1608" s="61" t="str">
        <f>IFERROR(__xludf.DUMMYFUNCTION("vlookup(BB1608,importrange(""https://docs.google.com/spreadsheets/d/1d2vevQ_7D_v35q4wCQ4RpQ_IPoTwEMB9Yp6ymwlPqew/edit?gid=984458430#gid=984458430"", ""'replication success'!A:M""), 12, FAlSE)"),"#N/A")</f>
        <v>#N/A</v>
      </c>
      <c r="BA1608" s="61" t="str">
        <f>IFERROR(__xludf.DUMMYFUNCTION("vlookup(BB1608,importrange(""https://docs.google.com/spreadsheets/d/1d2vevQ_7D_v35q4wCQ4RpQ_IPoTwEMB9Yp6ymwlPqew/edit?gid=984458430#gid=984458430"", ""'replication success'!A:M""), 13, FAlSE)"),"#N/A")</f>
        <v>#N/A</v>
      </c>
      <c r="BB1608" s="61" t="str">
        <f>IFERROR(__xludf.DUMMYFUNCTION("REGEXREPLACE(G1608, ""_[a-z]{1,2}$"", """")"),"jcre_01_g6")</f>
        <v>jcre_01_g6</v>
      </c>
      <c r="BC1608" s="92"/>
      <c r="BD1608" s="92"/>
    </row>
    <row r="1609">
      <c r="A1609" s="44">
        <v>1609.0</v>
      </c>
      <c r="B1609" s="72" t="s">
        <v>523</v>
      </c>
      <c r="C1609" s="72" t="s">
        <v>115</v>
      </c>
      <c r="D1609" s="72" t="s">
        <v>153</v>
      </c>
      <c r="E1609" s="73"/>
      <c r="F1609" s="94" t="s">
        <v>9308</v>
      </c>
      <c r="G1609" s="76" t="s">
        <v>9385</v>
      </c>
      <c r="H1609" s="76" t="s">
        <v>153</v>
      </c>
      <c r="I1609" s="853">
        <v>45478.0</v>
      </c>
      <c r="J1609" s="629">
        <v>45638.0</v>
      </c>
      <c r="K1609" s="75" t="s">
        <v>9326</v>
      </c>
      <c r="L1609" s="82"/>
      <c r="M1609" s="76" t="s">
        <v>9311</v>
      </c>
      <c r="N1609" s="76" t="s">
        <v>9312</v>
      </c>
      <c r="O1609" s="1004">
        <v>1.0</v>
      </c>
      <c r="P1609" s="931" t="s">
        <v>9313</v>
      </c>
      <c r="Q1609" s="52" t="str">
        <f t="array" ref="Q1609"> if(iserror(MATCH(V1609, 'File Links'!C:C, 0)), "N/A", HYPERLINK(INDEX('File Links'!B:B, MATCH(P1609, 'File Links'!C:C, 0))))</f>
        <v>https://drive.google.com/file/d/1EqvEPwgwndawziGmIPqgl3yNKOI51OAS/view?usp=drivesdk</v>
      </c>
      <c r="R1609" s="76" t="s">
        <v>9314</v>
      </c>
      <c r="S1609" s="76" t="s">
        <v>9315</v>
      </c>
      <c r="T1609" s="82"/>
      <c r="U1609" s="1005">
        <v>1.0</v>
      </c>
      <c r="V1609" s="198" t="str">
        <f t="shared" si="114"/>
        <v>10.18718--81781.23.pdf</v>
      </c>
      <c r="W1609" s="75" t="s">
        <v>2016</v>
      </c>
      <c r="X1609" s="54" t="str">
        <f t="array" ref="X1609"> if(iserror(MATCH(V1609, 'File Links'!C:C, 0)), "N/A", HYPERLINK(INDEX('File Links'!B:B, MATCH(V1609, 'File Links'!C:C, 0))))</f>
        <v>https://drive.google.com/file/d/1UFSIBKXNmPXd3__1cxrsTy9PbNax45wB/view?usp=drivesdk</v>
      </c>
      <c r="Y1609" s="82"/>
      <c r="Z1609" s="76" t="s">
        <v>1809</v>
      </c>
      <c r="AA1609" s="82" t="s">
        <v>9327</v>
      </c>
      <c r="AB1609" s="75" t="s">
        <v>9328</v>
      </c>
      <c r="AC1609" s="75" t="s">
        <v>9381</v>
      </c>
      <c r="AD1609" s="82" t="s">
        <v>9382</v>
      </c>
      <c r="AE1609" s="1770">
        <v>26.0</v>
      </c>
      <c r="AF1609" s="635">
        <f t="shared" si="115"/>
        <v>324</v>
      </c>
      <c r="AG1609" s="76" t="s">
        <v>9386</v>
      </c>
      <c r="AH1609" s="99" t="s">
        <v>134</v>
      </c>
      <c r="AI1609" s="76" t="s">
        <v>2441</v>
      </c>
      <c r="AJ1609" s="635">
        <v>0.05</v>
      </c>
      <c r="AK1609" s="95" t="s">
        <v>335</v>
      </c>
      <c r="AL1609" s="76" t="s">
        <v>136</v>
      </c>
      <c r="AM1609" s="82" t="s">
        <v>141</v>
      </c>
      <c r="AN1609" s="330" t="s">
        <v>138</v>
      </c>
      <c r="AO1609" s="635">
        <v>185.0</v>
      </c>
      <c r="AP1609" s="76" t="s">
        <v>9387</v>
      </c>
      <c r="AQ1609" s="76" t="s">
        <v>134</v>
      </c>
      <c r="AR1609" s="76" t="s">
        <v>1819</v>
      </c>
      <c r="AS1609" s="635">
        <v>0.05</v>
      </c>
      <c r="AT1609" s="95" t="s">
        <v>335</v>
      </c>
      <c r="AU1609" s="95" t="s">
        <v>136</v>
      </c>
      <c r="AV1609" s="94" t="s">
        <v>141</v>
      </c>
      <c r="AW1609" s="94"/>
      <c r="AX1609" s="94" t="s">
        <v>143</v>
      </c>
      <c r="AY1609" s="61" t="str">
        <f>IFERROR(__xludf.DUMMYFUNCTION("vlookup(BB1609,importrange(""https://docs.google.com/spreadsheets/d/1d2vevQ_7D_v35q4wCQ4RpQ_IPoTwEMB9Yp6ymwlPqew/edit?gid=984458430#gid=984458430"", ""'replication success'!A:K""), 11, FAlSE)"),"#N/A")</f>
        <v>#N/A</v>
      </c>
      <c r="AZ1609" s="61" t="str">
        <f>IFERROR(__xludf.DUMMYFUNCTION("vlookup(BB1609,importrange(""https://docs.google.com/spreadsheets/d/1d2vevQ_7D_v35q4wCQ4RpQ_IPoTwEMB9Yp6ymwlPqew/edit?gid=984458430#gid=984458430"", ""'replication success'!A:M""), 12, FAlSE)"),"#N/A")</f>
        <v>#N/A</v>
      </c>
      <c r="BA1609" s="61" t="str">
        <f>IFERROR(__xludf.DUMMYFUNCTION("vlookup(BB1609,importrange(""https://docs.google.com/spreadsheets/d/1d2vevQ_7D_v35q4wCQ4RpQ_IPoTwEMB9Yp6ymwlPqew/edit?gid=984458430#gid=984458430"", ""'replication success'!A:M""), 13, FAlSE)"),"#N/A")</f>
        <v>#N/A</v>
      </c>
      <c r="BB1609" s="61" t="str">
        <f>IFERROR(__xludf.DUMMYFUNCTION("REGEXREPLACE(G1609, ""_[a-z]{1,2}$"", """")"),"jcre_01_g6a")</f>
        <v>jcre_01_g6a</v>
      </c>
      <c r="BC1609" s="92"/>
      <c r="BD1609" s="92"/>
    </row>
    <row r="1610">
      <c r="A1610" s="44">
        <v>1610.0</v>
      </c>
      <c r="B1610" s="72" t="s">
        <v>523</v>
      </c>
      <c r="C1610" s="72" t="s">
        <v>115</v>
      </c>
      <c r="D1610" s="72" t="s">
        <v>153</v>
      </c>
      <c r="E1610" s="73"/>
      <c r="F1610" s="94" t="s">
        <v>9308</v>
      </c>
      <c r="G1610" s="76" t="s">
        <v>9388</v>
      </c>
      <c r="H1610" s="76" t="s">
        <v>153</v>
      </c>
      <c r="I1610" s="853">
        <v>45478.0</v>
      </c>
      <c r="J1610" s="629">
        <v>45638.0</v>
      </c>
      <c r="K1610" s="75" t="s">
        <v>9326</v>
      </c>
      <c r="L1610" s="82"/>
      <c r="M1610" s="76" t="s">
        <v>9311</v>
      </c>
      <c r="N1610" s="76" t="s">
        <v>9312</v>
      </c>
      <c r="O1610" s="1004">
        <v>1.0</v>
      </c>
      <c r="P1610" s="931" t="s">
        <v>9313</v>
      </c>
      <c r="Q1610" s="52" t="str">
        <f t="array" ref="Q1610"> if(iserror(MATCH(V1610, 'File Links'!C:C, 0)), "N/A", HYPERLINK(INDEX('File Links'!B:B, MATCH(P1610, 'File Links'!C:C, 0))))</f>
        <v>https://drive.google.com/file/d/1EqvEPwgwndawziGmIPqgl3yNKOI51OAS/view?usp=drivesdk</v>
      </c>
      <c r="R1610" s="76" t="s">
        <v>9314</v>
      </c>
      <c r="S1610" s="76" t="s">
        <v>9315</v>
      </c>
      <c r="T1610" s="82"/>
      <c r="U1610" s="1005">
        <v>1.0</v>
      </c>
      <c r="V1610" s="198" t="str">
        <f t="shared" si="114"/>
        <v>10.18718--81781.23.pdf</v>
      </c>
      <c r="W1610" s="75" t="s">
        <v>2016</v>
      </c>
      <c r="X1610" s="54" t="str">
        <f t="array" ref="X1610"> if(iserror(MATCH(V1610, 'File Links'!C:C, 0)), "N/A", HYPERLINK(INDEX('File Links'!B:B, MATCH(V1610, 'File Links'!C:C, 0))))</f>
        <v>https://drive.google.com/file/d/1UFSIBKXNmPXd3__1cxrsTy9PbNax45wB/view?usp=drivesdk</v>
      </c>
      <c r="Y1610" s="82"/>
      <c r="Z1610" s="76" t="s">
        <v>1809</v>
      </c>
      <c r="AA1610" s="82" t="s">
        <v>9327</v>
      </c>
      <c r="AB1610" s="75" t="s">
        <v>9328</v>
      </c>
      <c r="AC1610" s="76" t="s">
        <v>9389</v>
      </c>
      <c r="AD1610" s="82" t="s">
        <v>9368</v>
      </c>
      <c r="AE1610" s="1770">
        <v>26.0</v>
      </c>
      <c r="AF1610" s="635">
        <f t="shared" si="115"/>
        <v>324</v>
      </c>
      <c r="AG1610" s="76" t="s">
        <v>9390</v>
      </c>
      <c r="AH1610" s="99" t="s">
        <v>134</v>
      </c>
      <c r="AI1610" s="76" t="s">
        <v>2442</v>
      </c>
      <c r="AJ1610" s="635">
        <v>0.05</v>
      </c>
      <c r="AK1610" s="95" t="s">
        <v>135</v>
      </c>
      <c r="AL1610" s="76" t="s">
        <v>136</v>
      </c>
      <c r="AM1610" s="82" t="s">
        <v>141</v>
      </c>
      <c r="AN1610" s="330" t="s">
        <v>138</v>
      </c>
      <c r="AO1610" s="635">
        <v>196.0</v>
      </c>
      <c r="AP1610" s="76" t="s">
        <v>9391</v>
      </c>
      <c r="AQ1610" s="76" t="s">
        <v>134</v>
      </c>
      <c r="AR1610" s="76" t="s">
        <v>3721</v>
      </c>
      <c r="AS1610" s="635">
        <v>0.05</v>
      </c>
      <c r="AT1610" s="95" t="s">
        <v>335</v>
      </c>
      <c r="AU1610" s="95" t="s">
        <v>136</v>
      </c>
      <c r="AV1610" s="94" t="s">
        <v>141</v>
      </c>
      <c r="AW1610" s="94"/>
      <c r="AX1610" s="94" t="s">
        <v>143</v>
      </c>
      <c r="AY1610" s="61" t="str">
        <f>IFERROR(__xludf.DUMMYFUNCTION("vlookup(BB1610,importrange(""https://docs.google.com/spreadsheets/d/1d2vevQ_7D_v35q4wCQ4RpQ_IPoTwEMB9Yp6ymwlPqew/edit?gid=984458430#gid=984458430"", ""'replication success'!A:K""), 11, FAlSE)"),"#N/A")</f>
        <v>#N/A</v>
      </c>
      <c r="AZ1610" s="61" t="str">
        <f>IFERROR(__xludf.DUMMYFUNCTION("vlookup(BB1610,importrange(""https://docs.google.com/spreadsheets/d/1d2vevQ_7D_v35q4wCQ4RpQ_IPoTwEMB9Yp6ymwlPqew/edit?gid=984458430#gid=984458430"", ""'replication success'!A:M""), 12, FAlSE)"),"#N/A")</f>
        <v>#N/A</v>
      </c>
      <c r="BA1610" s="61" t="str">
        <f>IFERROR(__xludf.DUMMYFUNCTION("vlookup(BB1610,importrange(""https://docs.google.com/spreadsheets/d/1d2vevQ_7D_v35q4wCQ4RpQ_IPoTwEMB9Yp6ymwlPqew/edit?gid=984458430#gid=984458430"", ""'replication success'!A:M""), 13, FAlSE)"),"#N/A")</f>
        <v>#N/A</v>
      </c>
      <c r="BB1610" s="61" t="str">
        <f>IFERROR(__xludf.DUMMYFUNCTION("REGEXREPLACE(G1610, ""_[a-z]{1,2}$"", """")"),"jcre_01_gt2")</f>
        <v>jcre_01_gt2</v>
      </c>
      <c r="BC1610" s="92"/>
      <c r="BD1610" s="92"/>
    </row>
    <row r="1611">
      <c r="A1611" s="44">
        <v>1611.0</v>
      </c>
      <c r="B1611" s="72" t="s">
        <v>523</v>
      </c>
      <c r="C1611" s="72" t="s">
        <v>115</v>
      </c>
      <c r="D1611" s="72" t="s">
        <v>153</v>
      </c>
      <c r="E1611" s="73"/>
      <c r="F1611" s="94" t="s">
        <v>9308</v>
      </c>
      <c r="G1611" s="76" t="s">
        <v>9392</v>
      </c>
      <c r="H1611" s="76" t="s">
        <v>153</v>
      </c>
      <c r="I1611" s="853">
        <v>45478.0</v>
      </c>
      <c r="J1611" s="629">
        <v>45638.0</v>
      </c>
      <c r="K1611" s="75" t="s">
        <v>9326</v>
      </c>
      <c r="L1611" s="82"/>
      <c r="M1611" s="76" t="s">
        <v>9311</v>
      </c>
      <c r="N1611" s="76" t="s">
        <v>9312</v>
      </c>
      <c r="O1611" s="1004">
        <v>1.0</v>
      </c>
      <c r="P1611" s="931" t="s">
        <v>9313</v>
      </c>
      <c r="Q1611" s="52" t="str">
        <f t="array" ref="Q1611"> if(iserror(MATCH(V1611, 'File Links'!C:C, 0)), "N/A", HYPERLINK(INDEX('File Links'!B:B, MATCH(P1611, 'File Links'!C:C, 0))))</f>
        <v>https://drive.google.com/file/d/1EqvEPwgwndawziGmIPqgl3yNKOI51OAS/view?usp=drivesdk</v>
      </c>
      <c r="R1611" s="76" t="s">
        <v>9314</v>
      </c>
      <c r="S1611" s="76" t="s">
        <v>9315</v>
      </c>
      <c r="T1611" s="82"/>
      <c r="U1611" s="1005">
        <v>1.0</v>
      </c>
      <c r="V1611" s="198" t="str">
        <f t="shared" si="114"/>
        <v>10.18718--81781.23.pdf</v>
      </c>
      <c r="W1611" s="75" t="s">
        <v>2016</v>
      </c>
      <c r="X1611" s="54" t="str">
        <f t="array" ref="X1611"> if(iserror(MATCH(V1611, 'File Links'!C:C, 0)), "N/A", HYPERLINK(INDEX('File Links'!B:B, MATCH(V1611, 'File Links'!C:C, 0))))</f>
        <v>https://drive.google.com/file/d/1UFSIBKXNmPXd3__1cxrsTy9PbNax45wB/view?usp=drivesdk</v>
      </c>
      <c r="Y1611" s="82"/>
      <c r="Z1611" s="76" t="s">
        <v>1809</v>
      </c>
      <c r="AA1611" s="82" t="s">
        <v>9327</v>
      </c>
      <c r="AB1611" s="75" t="s">
        <v>9328</v>
      </c>
      <c r="AC1611" s="75" t="s">
        <v>9389</v>
      </c>
      <c r="AD1611" s="82" t="s">
        <v>9368</v>
      </c>
      <c r="AE1611" s="1770">
        <v>26.0</v>
      </c>
      <c r="AF1611" s="635">
        <f t="shared" si="115"/>
        <v>324</v>
      </c>
      <c r="AG1611" s="76" t="s">
        <v>9393</v>
      </c>
      <c r="AH1611" s="99" t="s">
        <v>134</v>
      </c>
      <c r="AI1611" s="76" t="s">
        <v>2441</v>
      </c>
      <c r="AJ1611" s="635">
        <v>0.05</v>
      </c>
      <c r="AK1611" s="95" t="s">
        <v>335</v>
      </c>
      <c r="AL1611" s="76" t="s">
        <v>136</v>
      </c>
      <c r="AM1611" s="82" t="s">
        <v>141</v>
      </c>
      <c r="AN1611" s="330" t="s">
        <v>138</v>
      </c>
      <c r="AO1611" s="635">
        <v>185.0</v>
      </c>
      <c r="AP1611" s="76" t="s">
        <v>9394</v>
      </c>
      <c r="AQ1611" s="76" t="s">
        <v>134</v>
      </c>
      <c r="AR1611" s="76" t="s">
        <v>7749</v>
      </c>
      <c r="AS1611" s="635">
        <v>0.05</v>
      </c>
      <c r="AT1611" s="95" t="s">
        <v>335</v>
      </c>
      <c r="AU1611" s="95" t="s">
        <v>136</v>
      </c>
      <c r="AV1611" s="94" t="s">
        <v>141</v>
      </c>
      <c r="AW1611" s="94"/>
      <c r="AX1611" s="94" t="s">
        <v>143</v>
      </c>
      <c r="AY1611" s="61" t="str">
        <f>IFERROR(__xludf.DUMMYFUNCTION("vlookup(BB1611,importrange(""https://docs.google.com/spreadsheets/d/1d2vevQ_7D_v35q4wCQ4RpQ_IPoTwEMB9Yp6ymwlPqew/edit?gid=984458430#gid=984458430"", ""'replication success'!A:K""), 11, FAlSE)"),"#N/A")</f>
        <v>#N/A</v>
      </c>
      <c r="AZ1611" s="61" t="str">
        <f>IFERROR(__xludf.DUMMYFUNCTION("vlookup(BB1611,importrange(""https://docs.google.com/spreadsheets/d/1d2vevQ_7D_v35q4wCQ4RpQ_IPoTwEMB9Yp6ymwlPqew/edit?gid=984458430#gid=984458430"", ""'replication success'!A:M""), 12, FAlSE)"),"#N/A")</f>
        <v>#N/A</v>
      </c>
      <c r="BA1611" s="61" t="str">
        <f>IFERROR(__xludf.DUMMYFUNCTION("vlookup(BB1611,importrange(""https://docs.google.com/spreadsheets/d/1d2vevQ_7D_v35q4wCQ4RpQ_IPoTwEMB9Yp6ymwlPqew/edit?gid=984458430#gid=984458430"", ""'replication success'!A:M""), 13, FAlSE)"),"#N/A")</f>
        <v>#N/A</v>
      </c>
      <c r="BB1611" s="61" t="str">
        <f>IFERROR(__xludf.DUMMYFUNCTION("REGEXREPLACE(G1611, ""_[a-z]{1,2}$"", """")"),"jcre_01_gt2a")</f>
        <v>jcre_01_gt2a</v>
      </c>
      <c r="BC1611" s="92"/>
      <c r="BD1611" s="92"/>
    </row>
    <row r="1612">
      <c r="A1612" s="44">
        <v>1612.0</v>
      </c>
      <c r="B1612" s="72" t="s">
        <v>523</v>
      </c>
      <c r="C1612" s="72" t="s">
        <v>115</v>
      </c>
      <c r="D1612" s="72" t="s">
        <v>153</v>
      </c>
      <c r="E1612" s="73"/>
      <c r="F1612" s="94" t="s">
        <v>9308</v>
      </c>
      <c r="G1612" s="76" t="s">
        <v>9395</v>
      </c>
      <c r="H1612" s="76" t="s">
        <v>153</v>
      </c>
      <c r="I1612" s="853">
        <v>45478.0</v>
      </c>
      <c r="J1612" s="629">
        <v>45638.0</v>
      </c>
      <c r="K1612" s="75" t="s">
        <v>9326</v>
      </c>
      <c r="L1612" s="82"/>
      <c r="M1612" s="76" t="s">
        <v>9311</v>
      </c>
      <c r="N1612" s="76" t="s">
        <v>9312</v>
      </c>
      <c r="O1612" s="1004">
        <v>1.0</v>
      </c>
      <c r="P1612" s="931" t="s">
        <v>9313</v>
      </c>
      <c r="Q1612" s="52" t="str">
        <f t="array" ref="Q1612"> if(iserror(MATCH(V1612, 'File Links'!C:C, 0)), "N/A", HYPERLINK(INDEX('File Links'!B:B, MATCH(P1612, 'File Links'!C:C, 0))))</f>
        <v>https://drive.google.com/file/d/1EqvEPwgwndawziGmIPqgl3yNKOI51OAS/view?usp=drivesdk</v>
      </c>
      <c r="R1612" s="76" t="s">
        <v>9314</v>
      </c>
      <c r="S1612" s="76" t="s">
        <v>9315</v>
      </c>
      <c r="T1612" s="82"/>
      <c r="U1612" s="1005">
        <v>1.0</v>
      </c>
      <c r="V1612" s="198" t="str">
        <f t="shared" si="114"/>
        <v>10.18718--81781.23.pdf</v>
      </c>
      <c r="W1612" s="75" t="s">
        <v>2016</v>
      </c>
      <c r="X1612" s="54" t="str">
        <f t="array" ref="X1612"> if(iserror(MATCH(V1612, 'File Links'!C:C, 0)), "N/A", HYPERLINK(INDEX('File Links'!B:B, MATCH(V1612, 'File Links'!C:C, 0))))</f>
        <v>https://drive.google.com/file/d/1UFSIBKXNmPXd3__1cxrsTy9PbNax45wB/view?usp=drivesdk</v>
      </c>
      <c r="Y1612" s="82"/>
      <c r="Z1612" s="76" t="s">
        <v>1809</v>
      </c>
      <c r="AA1612" s="82" t="s">
        <v>9327</v>
      </c>
      <c r="AB1612" s="75" t="s">
        <v>9328</v>
      </c>
      <c r="AC1612" s="75" t="s">
        <v>9389</v>
      </c>
      <c r="AD1612" s="82" t="s">
        <v>9368</v>
      </c>
      <c r="AE1612" s="1770">
        <v>26.0</v>
      </c>
      <c r="AF1612" s="635">
        <f t="shared" si="115"/>
        <v>324</v>
      </c>
      <c r="AG1612" s="76" t="s">
        <v>9396</v>
      </c>
      <c r="AH1612" s="99" t="s">
        <v>134</v>
      </c>
      <c r="AI1612" s="76" t="s">
        <v>2442</v>
      </c>
      <c r="AJ1612" s="635">
        <v>0.01</v>
      </c>
      <c r="AK1612" s="95" t="s">
        <v>135</v>
      </c>
      <c r="AL1612" s="76" t="s">
        <v>136</v>
      </c>
      <c r="AM1612" s="82" t="s">
        <v>141</v>
      </c>
      <c r="AN1612" s="330" t="s">
        <v>138</v>
      </c>
      <c r="AO1612" s="635">
        <v>196.0</v>
      </c>
      <c r="AP1612" s="76" t="s">
        <v>9397</v>
      </c>
      <c r="AQ1612" s="76" t="s">
        <v>134</v>
      </c>
      <c r="AR1612" s="76" t="s">
        <v>2022</v>
      </c>
      <c r="AS1612" s="635">
        <v>0.05</v>
      </c>
      <c r="AT1612" s="95" t="s">
        <v>335</v>
      </c>
      <c r="AU1612" s="95" t="s">
        <v>136</v>
      </c>
      <c r="AV1612" s="94" t="s">
        <v>141</v>
      </c>
      <c r="AW1612" s="94"/>
      <c r="AX1612" s="94" t="s">
        <v>143</v>
      </c>
      <c r="AY1612" s="61" t="str">
        <f>IFERROR(__xludf.DUMMYFUNCTION("vlookup(BB1612,importrange(""https://docs.google.com/spreadsheets/d/1d2vevQ_7D_v35q4wCQ4RpQ_IPoTwEMB9Yp6ymwlPqew/edit?gid=984458430#gid=984458430"", ""'replication success'!A:K""), 11, FAlSE)"),"#N/A")</f>
        <v>#N/A</v>
      </c>
      <c r="AZ1612" s="61" t="str">
        <f>IFERROR(__xludf.DUMMYFUNCTION("vlookup(BB1612,importrange(""https://docs.google.com/spreadsheets/d/1d2vevQ_7D_v35q4wCQ4RpQ_IPoTwEMB9Yp6ymwlPqew/edit?gid=984458430#gid=984458430"", ""'replication success'!A:M""), 12, FAlSE)"),"#N/A")</f>
        <v>#N/A</v>
      </c>
      <c r="BA1612" s="61" t="str">
        <f>IFERROR(__xludf.DUMMYFUNCTION("vlookup(BB1612,importrange(""https://docs.google.com/spreadsheets/d/1d2vevQ_7D_v35q4wCQ4RpQ_IPoTwEMB9Yp6ymwlPqew/edit?gid=984458430#gid=984458430"", ""'replication success'!A:M""), 13, FAlSE)"),"#N/A")</f>
        <v>#N/A</v>
      </c>
      <c r="BB1612" s="61" t="str">
        <f>IFERROR(__xludf.DUMMYFUNCTION("REGEXREPLACE(G1612, ""_[a-z]{1,2}$"", """")"),"jcre_01_gt3")</f>
        <v>jcre_01_gt3</v>
      </c>
      <c r="BC1612" s="92"/>
      <c r="BD1612" s="92"/>
    </row>
    <row r="1613">
      <c r="A1613" s="44">
        <v>1613.0</v>
      </c>
      <c r="B1613" s="72" t="s">
        <v>523</v>
      </c>
      <c r="C1613" s="72" t="s">
        <v>115</v>
      </c>
      <c r="D1613" s="72" t="s">
        <v>153</v>
      </c>
      <c r="E1613" s="73"/>
      <c r="F1613" s="94" t="s">
        <v>9308</v>
      </c>
      <c r="G1613" s="76" t="s">
        <v>9398</v>
      </c>
      <c r="H1613" s="76" t="s">
        <v>153</v>
      </c>
      <c r="I1613" s="853">
        <v>45478.0</v>
      </c>
      <c r="J1613" s="629">
        <v>45638.0</v>
      </c>
      <c r="K1613" s="75" t="s">
        <v>9326</v>
      </c>
      <c r="L1613" s="82"/>
      <c r="M1613" s="76" t="s">
        <v>9311</v>
      </c>
      <c r="N1613" s="76" t="s">
        <v>9312</v>
      </c>
      <c r="O1613" s="1004">
        <v>1.0</v>
      </c>
      <c r="P1613" s="931" t="s">
        <v>9313</v>
      </c>
      <c r="Q1613" s="52" t="str">
        <f t="array" ref="Q1613"> if(iserror(MATCH(V1613, 'File Links'!C:C, 0)), "N/A", HYPERLINK(INDEX('File Links'!B:B, MATCH(P1613, 'File Links'!C:C, 0))))</f>
        <v>https://drive.google.com/file/d/1EqvEPwgwndawziGmIPqgl3yNKOI51OAS/view?usp=drivesdk</v>
      </c>
      <c r="R1613" s="76" t="s">
        <v>9314</v>
      </c>
      <c r="S1613" s="76" t="s">
        <v>9315</v>
      </c>
      <c r="T1613" s="82"/>
      <c r="U1613" s="1005">
        <v>1.0</v>
      </c>
      <c r="V1613" s="198" t="str">
        <f t="shared" si="114"/>
        <v>10.18718--81781.23.pdf</v>
      </c>
      <c r="W1613" s="75" t="s">
        <v>2016</v>
      </c>
      <c r="X1613" s="54" t="str">
        <f t="array" ref="X1613"> if(iserror(MATCH(V1613, 'File Links'!C:C, 0)), "N/A", HYPERLINK(INDEX('File Links'!B:B, MATCH(V1613, 'File Links'!C:C, 0))))</f>
        <v>https://drive.google.com/file/d/1UFSIBKXNmPXd3__1cxrsTy9PbNax45wB/view?usp=drivesdk</v>
      </c>
      <c r="Y1613" s="82"/>
      <c r="Z1613" s="76" t="s">
        <v>1809</v>
      </c>
      <c r="AA1613" s="82" t="s">
        <v>9327</v>
      </c>
      <c r="AB1613" s="75" t="s">
        <v>9328</v>
      </c>
      <c r="AC1613" s="75" t="s">
        <v>9389</v>
      </c>
      <c r="AD1613" s="82" t="s">
        <v>9368</v>
      </c>
      <c r="AE1613" s="1770">
        <v>26.0</v>
      </c>
      <c r="AF1613" s="635">
        <f t="shared" si="115"/>
        <v>324</v>
      </c>
      <c r="AG1613" s="76" t="s">
        <v>9399</v>
      </c>
      <c r="AH1613" s="99" t="s">
        <v>134</v>
      </c>
      <c r="AI1613" s="76" t="s">
        <v>2441</v>
      </c>
      <c r="AJ1613" s="635">
        <v>0.05</v>
      </c>
      <c r="AK1613" s="95" t="s">
        <v>335</v>
      </c>
      <c r="AL1613" s="76" t="s">
        <v>136</v>
      </c>
      <c r="AM1613" s="82" t="s">
        <v>141</v>
      </c>
      <c r="AN1613" s="330" t="s">
        <v>138</v>
      </c>
      <c r="AO1613" s="635">
        <v>185.0</v>
      </c>
      <c r="AP1613" s="76" t="s">
        <v>9400</v>
      </c>
      <c r="AQ1613" s="76" t="s">
        <v>134</v>
      </c>
      <c r="AR1613" s="76" t="s">
        <v>1173</v>
      </c>
      <c r="AS1613" s="635">
        <v>0.05</v>
      </c>
      <c r="AT1613" s="95" t="s">
        <v>335</v>
      </c>
      <c r="AU1613" s="95" t="s">
        <v>136</v>
      </c>
      <c r="AV1613" s="94" t="s">
        <v>141</v>
      </c>
      <c r="AW1613" s="94"/>
      <c r="AX1613" s="94" t="s">
        <v>143</v>
      </c>
      <c r="AY1613" s="61" t="str">
        <f>IFERROR(__xludf.DUMMYFUNCTION("vlookup(BB1613,importrange(""https://docs.google.com/spreadsheets/d/1d2vevQ_7D_v35q4wCQ4RpQ_IPoTwEMB9Yp6ymwlPqew/edit?gid=984458430#gid=984458430"", ""'replication success'!A:K""), 11, FAlSE)"),"#N/A")</f>
        <v>#N/A</v>
      </c>
      <c r="AZ1613" s="61" t="str">
        <f>IFERROR(__xludf.DUMMYFUNCTION("vlookup(BB1613,importrange(""https://docs.google.com/spreadsheets/d/1d2vevQ_7D_v35q4wCQ4RpQ_IPoTwEMB9Yp6ymwlPqew/edit?gid=984458430#gid=984458430"", ""'replication success'!A:M""), 12, FAlSE)"),"#N/A")</f>
        <v>#N/A</v>
      </c>
      <c r="BA1613" s="61" t="str">
        <f>IFERROR(__xludf.DUMMYFUNCTION("vlookup(BB1613,importrange(""https://docs.google.com/spreadsheets/d/1d2vevQ_7D_v35q4wCQ4RpQ_IPoTwEMB9Yp6ymwlPqew/edit?gid=984458430#gid=984458430"", ""'replication success'!A:M""), 13, FAlSE)"),"#N/A")</f>
        <v>#N/A</v>
      </c>
      <c r="BB1613" s="61" t="str">
        <f>IFERROR(__xludf.DUMMYFUNCTION("REGEXREPLACE(G1613, ""_[a-z]{1,2}$"", """")"),"jcre_01_gt3a")</f>
        <v>jcre_01_gt3a</v>
      </c>
      <c r="BC1613" s="92"/>
      <c r="BD1613" s="92"/>
    </row>
    <row r="1614">
      <c r="A1614" s="44">
        <v>1614.0</v>
      </c>
      <c r="B1614" s="72" t="s">
        <v>523</v>
      </c>
      <c r="C1614" s="72" t="s">
        <v>115</v>
      </c>
      <c r="D1614" s="72" t="s">
        <v>153</v>
      </c>
      <c r="E1614" s="73"/>
      <c r="F1614" s="94" t="s">
        <v>9308</v>
      </c>
      <c r="G1614" s="76" t="s">
        <v>9401</v>
      </c>
      <c r="H1614" s="76" t="s">
        <v>153</v>
      </c>
      <c r="I1614" s="853">
        <v>45478.0</v>
      </c>
      <c r="J1614" s="629">
        <v>45638.0</v>
      </c>
      <c r="K1614" s="75" t="s">
        <v>9326</v>
      </c>
      <c r="L1614" s="82"/>
      <c r="M1614" s="76" t="s">
        <v>9311</v>
      </c>
      <c r="N1614" s="76" t="s">
        <v>9312</v>
      </c>
      <c r="O1614" s="1004">
        <v>1.0</v>
      </c>
      <c r="P1614" s="931" t="s">
        <v>9313</v>
      </c>
      <c r="Q1614" s="52" t="str">
        <f t="array" ref="Q1614"> if(iserror(MATCH(V1614, 'File Links'!C:C, 0)), "N/A", HYPERLINK(INDEX('File Links'!B:B, MATCH(P1614, 'File Links'!C:C, 0))))</f>
        <v>https://drive.google.com/file/d/1EqvEPwgwndawziGmIPqgl3yNKOI51OAS/view?usp=drivesdk</v>
      </c>
      <c r="R1614" s="76" t="s">
        <v>9314</v>
      </c>
      <c r="S1614" s="76" t="s">
        <v>9315</v>
      </c>
      <c r="T1614" s="82"/>
      <c r="U1614" s="1005">
        <v>1.0</v>
      </c>
      <c r="V1614" s="198" t="str">
        <f t="shared" si="114"/>
        <v>10.18718--81781.23.pdf</v>
      </c>
      <c r="W1614" s="75" t="s">
        <v>2016</v>
      </c>
      <c r="X1614" s="54" t="str">
        <f t="array" ref="X1614"> if(iserror(MATCH(V1614, 'File Links'!C:C, 0)), "N/A", HYPERLINK(INDEX('File Links'!B:B, MATCH(V1614, 'File Links'!C:C, 0))))</f>
        <v>https://drive.google.com/file/d/1UFSIBKXNmPXd3__1cxrsTy9PbNax45wB/view?usp=drivesdk</v>
      </c>
      <c r="Y1614" s="82"/>
      <c r="Z1614" s="76" t="s">
        <v>1809</v>
      </c>
      <c r="AA1614" s="82" t="s">
        <v>9327</v>
      </c>
      <c r="AB1614" s="75" t="s">
        <v>9328</v>
      </c>
      <c r="AC1614" s="75" t="s">
        <v>9402</v>
      </c>
      <c r="AD1614" s="82" t="s">
        <v>9382</v>
      </c>
      <c r="AE1614" s="1770">
        <v>26.0</v>
      </c>
      <c r="AF1614" s="635">
        <f t="shared" si="115"/>
        <v>324</v>
      </c>
      <c r="AG1614" s="82" t="s">
        <v>9403</v>
      </c>
      <c r="AH1614" s="99" t="s">
        <v>134</v>
      </c>
      <c r="AI1614" s="76" t="s">
        <v>2442</v>
      </c>
      <c r="AJ1614" s="635">
        <v>0.05</v>
      </c>
      <c r="AK1614" s="95" t="s">
        <v>335</v>
      </c>
      <c r="AL1614" s="76" t="s">
        <v>136</v>
      </c>
      <c r="AM1614" s="82" t="s">
        <v>141</v>
      </c>
      <c r="AN1614" s="330" t="s">
        <v>138</v>
      </c>
      <c r="AO1614" s="635">
        <v>196.0</v>
      </c>
      <c r="AP1614" s="76" t="s">
        <v>9404</v>
      </c>
      <c r="AQ1614" s="76" t="s">
        <v>134</v>
      </c>
      <c r="AR1614" s="76" t="s">
        <v>9246</v>
      </c>
      <c r="AS1614" s="635">
        <v>0.05</v>
      </c>
      <c r="AT1614" s="95" t="s">
        <v>335</v>
      </c>
      <c r="AU1614" s="95" t="s">
        <v>136</v>
      </c>
      <c r="AV1614" s="94" t="s">
        <v>141</v>
      </c>
      <c r="AW1614" s="94"/>
      <c r="AX1614" s="94" t="s">
        <v>143</v>
      </c>
      <c r="AY1614" s="61" t="str">
        <f>IFERROR(__xludf.DUMMYFUNCTION("vlookup(BB1614,importrange(""https://docs.google.com/spreadsheets/d/1d2vevQ_7D_v35q4wCQ4RpQ_IPoTwEMB9Yp6ymwlPqew/edit?gid=984458430#gid=984458430"", ""'replication success'!A:K""), 11, FAlSE)"),"#N/A")</f>
        <v>#N/A</v>
      </c>
      <c r="AZ1614" s="61" t="str">
        <f>IFERROR(__xludf.DUMMYFUNCTION("vlookup(BB1614,importrange(""https://docs.google.com/spreadsheets/d/1d2vevQ_7D_v35q4wCQ4RpQ_IPoTwEMB9Yp6ymwlPqew/edit?gid=984458430#gid=984458430"", ""'replication success'!A:M""), 12, FAlSE)"),"#N/A")</f>
        <v>#N/A</v>
      </c>
      <c r="BA1614" s="61" t="str">
        <f>IFERROR(__xludf.DUMMYFUNCTION("vlookup(BB1614,importrange(""https://docs.google.com/spreadsheets/d/1d2vevQ_7D_v35q4wCQ4RpQ_IPoTwEMB9Yp6ymwlPqew/edit?gid=984458430#gid=984458430"", ""'replication success'!A:M""), 13, FAlSE)"),"#N/A")</f>
        <v>#N/A</v>
      </c>
      <c r="BB1614" s="61" t="str">
        <f>IFERROR(__xludf.DUMMYFUNCTION("REGEXREPLACE(G1614, ""_[a-z]{1,2}$"", """")"),"jcre_01_gt6")</f>
        <v>jcre_01_gt6</v>
      </c>
      <c r="BC1614" s="92"/>
      <c r="BD1614" s="92"/>
    </row>
    <row r="1615">
      <c r="A1615" s="44">
        <v>1615.0</v>
      </c>
      <c r="B1615" s="72" t="s">
        <v>523</v>
      </c>
      <c r="C1615" s="72" t="s">
        <v>115</v>
      </c>
      <c r="D1615" s="72" t="s">
        <v>153</v>
      </c>
      <c r="E1615" s="73"/>
      <c r="F1615" s="94" t="s">
        <v>9308</v>
      </c>
      <c r="G1615" s="76" t="s">
        <v>9405</v>
      </c>
      <c r="H1615" s="76" t="s">
        <v>153</v>
      </c>
      <c r="I1615" s="853">
        <v>45478.0</v>
      </c>
      <c r="J1615" s="629">
        <v>45638.0</v>
      </c>
      <c r="K1615" s="75" t="s">
        <v>9326</v>
      </c>
      <c r="L1615" s="82"/>
      <c r="M1615" s="76" t="s">
        <v>9311</v>
      </c>
      <c r="N1615" s="76" t="s">
        <v>9312</v>
      </c>
      <c r="O1615" s="1004">
        <v>1.0</v>
      </c>
      <c r="P1615" s="931" t="s">
        <v>9313</v>
      </c>
      <c r="Q1615" s="52" t="str">
        <f t="array" ref="Q1615"> if(iserror(MATCH(V1615, 'File Links'!C:C, 0)), "N/A", HYPERLINK(INDEX('File Links'!B:B, MATCH(P1615, 'File Links'!C:C, 0))))</f>
        <v>https://drive.google.com/file/d/1EqvEPwgwndawziGmIPqgl3yNKOI51OAS/view?usp=drivesdk</v>
      </c>
      <c r="R1615" s="76" t="s">
        <v>9314</v>
      </c>
      <c r="S1615" s="76" t="s">
        <v>9315</v>
      </c>
      <c r="T1615" s="82"/>
      <c r="U1615" s="1005">
        <v>1.0</v>
      </c>
      <c r="V1615" s="198" t="str">
        <f t="shared" si="114"/>
        <v>10.18718--81781.23.pdf</v>
      </c>
      <c r="W1615" s="75" t="s">
        <v>2016</v>
      </c>
      <c r="X1615" s="54" t="str">
        <f t="array" ref="X1615"> if(iserror(MATCH(V1615, 'File Links'!C:C, 0)), "N/A", HYPERLINK(INDEX('File Links'!B:B, MATCH(V1615, 'File Links'!C:C, 0))))</f>
        <v>https://drive.google.com/file/d/1UFSIBKXNmPXd3__1cxrsTy9PbNax45wB/view?usp=drivesdk</v>
      </c>
      <c r="Y1615" s="82"/>
      <c r="Z1615" s="76" t="s">
        <v>1809</v>
      </c>
      <c r="AA1615" s="82" t="s">
        <v>9327</v>
      </c>
      <c r="AB1615" s="75" t="s">
        <v>9328</v>
      </c>
      <c r="AC1615" s="75" t="s">
        <v>9402</v>
      </c>
      <c r="AD1615" s="82" t="s">
        <v>9382</v>
      </c>
      <c r="AE1615" s="1770">
        <v>26.0</v>
      </c>
      <c r="AF1615" s="635">
        <f t="shared" si="115"/>
        <v>324</v>
      </c>
      <c r="AG1615" s="76" t="s">
        <v>9406</v>
      </c>
      <c r="AH1615" s="99" t="s">
        <v>134</v>
      </c>
      <c r="AI1615" s="76" t="s">
        <v>2441</v>
      </c>
      <c r="AJ1615" s="635">
        <v>0.05</v>
      </c>
      <c r="AK1615" s="95" t="s">
        <v>335</v>
      </c>
      <c r="AL1615" s="76" t="s">
        <v>136</v>
      </c>
      <c r="AM1615" s="82" t="s">
        <v>141</v>
      </c>
      <c r="AN1615" s="330" t="s">
        <v>138</v>
      </c>
      <c r="AO1615" s="635">
        <v>185.0</v>
      </c>
      <c r="AP1615" s="76" t="s">
        <v>9407</v>
      </c>
      <c r="AQ1615" s="76" t="s">
        <v>134</v>
      </c>
      <c r="AR1615" s="76" t="s">
        <v>1819</v>
      </c>
      <c r="AS1615" s="635">
        <v>0.05</v>
      </c>
      <c r="AT1615" s="95" t="s">
        <v>335</v>
      </c>
      <c r="AU1615" s="95" t="s">
        <v>136</v>
      </c>
      <c r="AV1615" s="94" t="s">
        <v>141</v>
      </c>
      <c r="AW1615" s="94"/>
      <c r="AX1615" s="94" t="s">
        <v>143</v>
      </c>
      <c r="AY1615" s="61" t="str">
        <f>IFERROR(__xludf.DUMMYFUNCTION("vlookup(BB1615,importrange(""https://docs.google.com/spreadsheets/d/1d2vevQ_7D_v35q4wCQ4RpQ_IPoTwEMB9Yp6ymwlPqew/edit?gid=984458430#gid=984458430"", ""'replication success'!A:K""), 11, FAlSE)"),"#N/A")</f>
        <v>#N/A</v>
      </c>
      <c r="AZ1615" s="61" t="str">
        <f>IFERROR(__xludf.DUMMYFUNCTION("vlookup(BB1615,importrange(""https://docs.google.com/spreadsheets/d/1d2vevQ_7D_v35q4wCQ4RpQ_IPoTwEMB9Yp6ymwlPqew/edit?gid=984458430#gid=984458430"", ""'replication success'!A:M""), 12, FAlSE)"),"#N/A")</f>
        <v>#N/A</v>
      </c>
      <c r="BA1615" s="61" t="str">
        <f>IFERROR(__xludf.DUMMYFUNCTION("vlookup(BB1615,importrange(""https://docs.google.com/spreadsheets/d/1d2vevQ_7D_v35q4wCQ4RpQ_IPoTwEMB9Yp6ymwlPqew/edit?gid=984458430#gid=984458430"", ""'replication success'!A:M""), 13, FAlSE)"),"#N/A")</f>
        <v>#N/A</v>
      </c>
      <c r="BB1615" s="61" t="str">
        <f>IFERROR(__xludf.DUMMYFUNCTION("REGEXREPLACE(G1615, ""_[a-z]{1,2}$"", """")"),"jcre_01_gt6a")</f>
        <v>jcre_01_gt6a</v>
      </c>
      <c r="BC1615" s="92"/>
      <c r="BD1615" s="92"/>
    </row>
    <row r="1616">
      <c r="A1616" s="44">
        <v>1616.0</v>
      </c>
      <c r="B1616" s="72" t="s">
        <v>523</v>
      </c>
      <c r="C1616" s="72" t="s">
        <v>115</v>
      </c>
      <c r="D1616" s="72" t="s">
        <v>153</v>
      </c>
      <c r="E1616" s="73"/>
      <c r="F1616" s="94" t="s">
        <v>9308</v>
      </c>
      <c r="G1616" s="76" t="s">
        <v>9408</v>
      </c>
      <c r="H1616" s="76" t="s">
        <v>153</v>
      </c>
      <c r="I1616" s="853">
        <v>45478.0</v>
      </c>
      <c r="J1616" s="629">
        <v>45638.0</v>
      </c>
      <c r="K1616" s="75" t="s">
        <v>9326</v>
      </c>
      <c r="L1616" s="82"/>
      <c r="M1616" s="76" t="s">
        <v>9311</v>
      </c>
      <c r="N1616" s="76" t="s">
        <v>9312</v>
      </c>
      <c r="O1616" s="1004">
        <v>1.0</v>
      </c>
      <c r="P1616" s="931" t="s">
        <v>9313</v>
      </c>
      <c r="Q1616" s="52" t="str">
        <f t="array" ref="Q1616"> if(iserror(MATCH(V1616, 'File Links'!C:C, 0)), "N/A", HYPERLINK(INDEX('File Links'!B:B, MATCH(P1616, 'File Links'!C:C, 0))))</f>
        <v>https://drive.google.com/file/d/1EqvEPwgwndawziGmIPqgl3yNKOI51OAS/view?usp=drivesdk</v>
      </c>
      <c r="R1616" s="76" t="s">
        <v>9314</v>
      </c>
      <c r="S1616" s="76" t="s">
        <v>9315</v>
      </c>
      <c r="T1616" s="82"/>
      <c r="U1616" s="1005">
        <v>1.0</v>
      </c>
      <c r="V1616" s="198" t="str">
        <f t="shared" si="114"/>
        <v>10.18718--81781.23.pdf</v>
      </c>
      <c r="W1616" s="75" t="s">
        <v>2016</v>
      </c>
      <c r="X1616" s="54" t="str">
        <f t="array" ref="X1616"> if(iserror(MATCH(V1616, 'File Links'!C:C, 0)), "N/A", HYPERLINK(INDEX('File Links'!B:B, MATCH(V1616, 'File Links'!C:C, 0))))</f>
        <v>https://drive.google.com/file/d/1UFSIBKXNmPXd3__1cxrsTy9PbNax45wB/view?usp=drivesdk</v>
      </c>
      <c r="Y1616" s="82"/>
      <c r="Z1616" s="76" t="s">
        <v>1809</v>
      </c>
      <c r="AA1616" s="82" t="s">
        <v>9327</v>
      </c>
      <c r="AB1616" s="75" t="s">
        <v>9328</v>
      </c>
      <c r="AC1616" s="75" t="s">
        <v>9409</v>
      </c>
      <c r="AD1616" s="82" t="s">
        <v>9410</v>
      </c>
      <c r="AE1616" s="1770" t="s">
        <v>9411</v>
      </c>
      <c r="AF1616" s="635">
        <f t="shared" si="115"/>
        <v>324</v>
      </c>
      <c r="AG1616" s="101" t="s">
        <v>9412</v>
      </c>
      <c r="AH1616" s="99" t="s">
        <v>134</v>
      </c>
      <c r="AI1616" s="76" t="s">
        <v>2441</v>
      </c>
      <c r="AJ1616" s="635">
        <v>0.426</v>
      </c>
      <c r="AK1616" s="95" t="s">
        <v>172</v>
      </c>
      <c r="AL1616" s="76" t="s">
        <v>218</v>
      </c>
      <c r="AM1616" s="82" t="s">
        <v>137</v>
      </c>
      <c r="AN1616" s="330" t="s">
        <v>138</v>
      </c>
      <c r="AO1616" s="635">
        <v>196.0</v>
      </c>
      <c r="AP1616" s="101" t="s">
        <v>9413</v>
      </c>
      <c r="AQ1616" s="76" t="s">
        <v>134</v>
      </c>
      <c r="AR1616" s="76" t="s">
        <v>3721</v>
      </c>
      <c r="AS1616" s="635">
        <v>0.9</v>
      </c>
      <c r="AT1616" s="95" t="s">
        <v>172</v>
      </c>
      <c r="AU1616" s="95" t="s">
        <v>218</v>
      </c>
      <c r="AV1616" s="94" t="s">
        <v>137</v>
      </c>
      <c r="AW1616" s="94"/>
      <c r="AX1616" s="94" t="s">
        <v>143</v>
      </c>
      <c r="AY1616" s="61" t="str">
        <f>IFERROR(__xludf.DUMMYFUNCTION("vlookup(BB1616,importrange(""https://docs.google.com/spreadsheets/d/1d2vevQ_7D_v35q4wCQ4RpQ_IPoTwEMB9Yp6ymwlPqew/edit?gid=984458430#gid=984458430"", ""'replication success'!A:K""), 11, FAlSE)"),"#N/A")</f>
        <v>#N/A</v>
      </c>
      <c r="AZ1616" s="61" t="str">
        <f>IFERROR(__xludf.DUMMYFUNCTION("vlookup(BB1616,importrange(""https://docs.google.com/spreadsheets/d/1d2vevQ_7D_v35q4wCQ4RpQ_IPoTwEMB9Yp6ymwlPqew/edit?gid=984458430#gid=984458430"", ""'replication success'!A:M""), 12, FAlSE)"),"#N/A")</f>
        <v>#N/A</v>
      </c>
      <c r="BA1616" s="61" t="str">
        <f>IFERROR(__xludf.DUMMYFUNCTION("vlookup(BB1616,importrange(""https://docs.google.com/spreadsheets/d/1d2vevQ_7D_v35q4wCQ4RpQ_IPoTwEMB9Yp6ymwlPqew/edit?gid=984458430#gid=984458430"", ""'replication success'!A:M""), 13, FAlSE)"),"#N/A")</f>
        <v>#N/A</v>
      </c>
      <c r="BB1616" s="61" t="str">
        <f>IFERROR(__xludf.DUMMYFUNCTION("REGEXREPLACE(G1616, ""_[a-z]{1,2}$"", """")"),"jcre_01_h2")</f>
        <v>jcre_01_h2</v>
      </c>
      <c r="BC1616" s="92"/>
      <c r="BD1616" s="92"/>
    </row>
    <row r="1617">
      <c r="A1617" s="44">
        <v>1617.0</v>
      </c>
      <c r="B1617" s="72" t="s">
        <v>523</v>
      </c>
      <c r="C1617" s="72" t="s">
        <v>115</v>
      </c>
      <c r="D1617" s="72" t="s">
        <v>153</v>
      </c>
      <c r="E1617" s="73"/>
      <c r="F1617" s="94" t="s">
        <v>9308</v>
      </c>
      <c r="G1617" s="76" t="s">
        <v>9414</v>
      </c>
      <c r="H1617" s="76" t="s">
        <v>153</v>
      </c>
      <c r="I1617" s="853">
        <v>45478.0</v>
      </c>
      <c r="J1617" s="629">
        <v>45638.0</v>
      </c>
      <c r="K1617" s="75" t="s">
        <v>9326</v>
      </c>
      <c r="L1617" s="82"/>
      <c r="M1617" s="76" t="s">
        <v>9311</v>
      </c>
      <c r="N1617" s="76" t="s">
        <v>9312</v>
      </c>
      <c r="O1617" s="1004">
        <v>1.0</v>
      </c>
      <c r="P1617" s="931" t="s">
        <v>9313</v>
      </c>
      <c r="Q1617" s="52" t="str">
        <f t="array" ref="Q1617"> if(iserror(MATCH(V1617, 'File Links'!C:C, 0)), "N/A", HYPERLINK(INDEX('File Links'!B:B, MATCH(P1617, 'File Links'!C:C, 0))))</f>
        <v>https://drive.google.com/file/d/1EqvEPwgwndawziGmIPqgl3yNKOI51OAS/view?usp=drivesdk</v>
      </c>
      <c r="R1617" s="76" t="s">
        <v>9314</v>
      </c>
      <c r="S1617" s="76" t="s">
        <v>9315</v>
      </c>
      <c r="T1617" s="82"/>
      <c r="U1617" s="1005">
        <v>1.0</v>
      </c>
      <c r="V1617" s="198" t="str">
        <f t="shared" si="114"/>
        <v>10.18718--81781.23.pdf</v>
      </c>
      <c r="W1617" s="75" t="s">
        <v>2016</v>
      </c>
      <c r="X1617" s="54" t="str">
        <f t="array" ref="X1617"> if(iserror(MATCH(V1617, 'File Links'!C:C, 0)), "N/A", HYPERLINK(INDEX('File Links'!B:B, MATCH(V1617, 'File Links'!C:C, 0))))</f>
        <v>https://drive.google.com/file/d/1UFSIBKXNmPXd3__1cxrsTy9PbNax45wB/view?usp=drivesdk</v>
      </c>
      <c r="Y1617" s="82"/>
      <c r="Z1617" s="76" t="s">
        <v>1809</v>
      </c>
      <c r="AA1617" s="82" t="s">
        <v>9327</v>
      </c>
      <c r="AB1617" s="75" t="s">
        <v>9328</v>
      </c>
      <c r="AC1617" s="75" t="s">
        <v>9409</v>
      </c>
      <c r="AD1617" s="82" t="s">
        <v>9410</v>
      </c>
      <c r="AE1617" s="1770" t="s">
        <v>9411</v>
      </c>
      <c r="AF1617" s="635">
        <f t="shared" si="115"/>
        <v>324</v>
      </c>
      <c r="AG1617" s="101" t="s">
        <v>9415</v>
      </c>
      <c r="AH1617" s="99" t="s">
        <v>134</v>
      </c>
      <c r="AI1617" s="76" t="s">
        <v>6362</v>
      </c>
      <c r="AJ1617" s="635">
        <v>0.418</v>
      </c>
      <c r="AK1617" s="95" t="s">
        <v>172</v>
      </c>
      <c r="AL1617" s="76" t="s">
        <v>218</v>
      </c>
      <c r="AM1617" s="82" t="s">
        <v>137</v>
      </c>
      <c r="AN1617" s="330" t="s">
        <v>138</v>
      </c>
      <c r="AO1617" s="635">
        <v>185.0</v>
      </c>
      <c r="AP1617" s="101" t="s">
        <v>9416</v>
      </c>
      <c r="AQ1617" s="76" t="s">
        <v>134</v>
      </c>
      <c r="AR1617" s="76" t="s">
        <v>7749</v>
      </c>
      <c r="AS1617" s="635">
        <v>0.988</v>
      </c>
      <c r="AT1617" s="95" t="s">
        <v>172</v>
      </c>
      <c r="AU1617" s="95" t="s">
        <v>218</v>
      </c>
      <c r="AV1617" s="94" t="s">
        <v>137</v>
      </c>
      <c r="AW1617" s="94"/>
      <c r="AX1617" s="94" t="s">
        <v>143</v>
      </c>
      <c r="AY1617" s="61" t="str">
        <f>IFERROR(__xludf.DUMMYFUNCTION("vlookup(BB1617,importrange(""https://docs.google.com/spreadsheets/d/1d2vevQ_7D_v35q4wCQ4RpQ_IPoTwEMB9Yp6ymwlPqew/edit?gid=984458430#gid=984458430"", ""'replication success'!A:K""), 11, FAlSE)"),"#N/A")</f>
        <v>#N/A</v>
      </c>
      <c r="AZ1617" s="61" t="str">
        <f>IFERROR(__xludf.DUMMYFUNCTION("vlookup(BB1617,importrange(""https://docs.google.com/spreadsheets/d/1d2vevQ_7D_v35q4wCQ4RpQ_IPoTwEMB9Yp6ymwlPqew/edit?gid=984458430#gid=984458430"", ""'replication success'!A:M""), 12, FAlSE)"),"#N/A")</f>
        <v>#N/A</v>
      </c>
      <c r="BA1617" s="61" t="str">
        <f>IFERROR(__xludf.DUMMYFUNCTION("vlookup(BB1617,importrange(""https://docs.google.com/spreadsheets/d/1d2vevQ_7D_v35q4wCQ4RpQ_IPoTwEMB9Yp6ymwlPqew/edit?gid=984458430#gid=984458430"", ""'replication success'!A:M""), 13, FAlSE)"),"#N/A")</f>
        <v>#N/A</v>
      </c>
      <c r="BB1617" s="61" t="str">
        <f>IFERROR(__xludf.DUMMYFUNCTION("REGEXREPLACE(G1617, ""_[a-z]{1,2}$"", """")"),"jcre_01_h2a")</f>
        <v>jcre_01_h2a</v>
      </c>
      <c r="BC1617" s="92"/>
      <c r="BD1617" s="92"/>
    </row>
    <row r="1618">
      <c r="A1618" s="44">
        <v>1618.0</v>
      </c>
      <c r="B1618" s="72" t="s">
        <v>523</v>
      </c>
      <c r="C1618" s="72" t="s">
        <v>115</v>
      </c>
      <c r="D1618" s="72" t="s">
        <v>153</v>
      </c>
      <c r="E1618" s="73"/>
      <c r="F1618" s="94" t="s">
        <v>9308</v>
      </c>
      <c r="G1618" s="76" t="s">
        <v>9417</v>
      </c>
      <c r="H1618" s="76" t="s">
        <v>153</v>
      </c>
      <c r="I1618" s="853">
        <v>45478.0</v>
      </c>
      <c r="J1618" s="629">
        <v>45638.0</v>
      </c>
      <c r="K1618" s="75" t="s">
        <v>9326</v>
      </c>
      <c r="L1618" s="82"/>
      <c r="M1618" s="76" t="s">
        <v>9311</v>
      </c>
      <c r="N1618" s="76" t="s">
        <v>9312</v>
      </c>
      <c r="O1618" s="1004">
        <v>1.0</v>
      </c>
      <c r="P1618" s="931" t="s">
        <v>9313</v>
      </c>
      <c r="Q1618" s="52" t="str">
        <f t="array" ref="Q1618"> if(iserror(MATCH(V1618, 'File Links'!C:C, 0)), "N/A", HYPERLINK(INDEX('File Links'!B:B, MATCH(P1618, 'File Links'!C:C, 0))))</f>
        <v>https://drive.google.com/file/d/1EqvEPwgwndawziGmIPqgl3yNKOI51OAS/view?usp=drivesdk</v>
      </c>
      <c r="R1618" s="76" t="s">
        <v>9314</v>
      </c>
      <c r="S1618" s="76" t="s">
        <v>9315</v>
      </c>
      <c r="T1618" s="82"/>
      <c r="U1618" s="1005">
        <v>1.0</v>
      </c>
      <c r="V1618" s="198" t="str">
        <f t="shared" si="114"/>
        <v>10.18718--81781.23.pdf</v>
      </c>
      <c r="W1618" s="75" t="s">
        <v>2016</v>
      </c>
      <c r="X1618" s="54" t="str">
        <f t="array" ref="X1618"> if(iserror(MATCH(V1618, 'File Links'!C:C, 0)), "N/A", HYPERLINK(INDEX('File Links'!B:B, MATCH(V1618, 'File Links'!C:C, 0))))</f>
        <v>https://drive.google.com/file/d/1UFSIBKXNmPXd3__1cxrsTy9PbNax45wB/view?usp=drivesdk</v>
      </c>
      <c r="Y1618" s="82"/>
      <c r="Z1618" s="76" t="s">
        <v>1809</v>
      </c>
      <c r="AA1618" s="82" t="s">
        <v>9327</v>
      </c>
      <c r="AB1618" s="75" t="s">
        <v>9328</v>
      </c>
      <c r="AC1618" s="75" t="s">
        <v>9409</v>
      </c>
      <c r="AD1618" s="82" t="s">
        <v>9410</v>
      </c>
      <c r="AE1618" s="1770" t="s">
        <v>9411</v>
      </c>
      <c r="AF1618" s="635">
        <f t="shared" si="115"/>
        <v>324</v>
      </c>
      <c r="AG1618" s="101" t="s">
        <v>9418</v>
      </c>
      <c r="AH1618" s="99" t="s">
        <v>134</v>
      </c>
      <c r="AI1618" s="76" t="s">
        <v>2441</v>
      </c>
      <c r="AJ1618" s="1770">
        <v>0.575</v>
      </c>
      <c r="AK1618" s="95" t="s">
        <v>172</v>
      </c>
      <c r="AL1618" s="76" t="s">
        <v>218</v>
      </c>
      <c r="AM1618" s="82" t="s">
        <v>137</v>
      </c>
      <c r="AN1618" s="330" t="s">
        <v>138</v>
      </c>
      <c r="AO1618" s="635">
        <v>196.0</v>
      </c>
      <c r="AP1618" s="101" t="s">
        <v>9419</v>
      </c>
      <c r="AQ1618" s="76" t="s">
        <v>134</v>
      </c>
      <c r="AR1618" s="76" t="s">
        <v>2022</v>
      </c>
      <c r="AS1618" s="1770">
        <v>0.99</v>
      </c>
      <c r="AT1618" s="95" t="s">
        <v>172</v>
      </c>
      <c r="AU1618" s="95" t="s">
        <v>218</v>
      </c>
      <c r="AV1618" s="94" t="s">
        <v>137</v>
      </c>
      <c r="AW1618" s="94"/>
      <c r="AX1618" s="94" t="s">
        <v>143</v>
      </c>
      <c r="AY1618" s="61" t="str">
        <f>IFERROR(__xludf.DUMMYFUNCTION("vlookup(BB1618,importrange(""https://docs.google.com/spreadsheets/d/1d2vevQ_7D_v35q4wCQ4RpQ_IPoTwEMB9Yp6ymwlPqew/edit?gid=984458430#gid=984458430"", ""'replication success'!A:K""), 11, FAlSE)"),"#N/A")</f>
        <v>#N/A</v>
      </c>
      <c r="AZ1618" s="61" t="str">
        <f>IFERROR(__xludf.DUMMYFUNCTION("vlookup(BB1618,importrange(""https://docs.google.com/spreadsheets/d/1d2vevQ_7D_v35q4wCQ4RpQ_IPoTwEMB9Yp6ymwlPqew/edit?gid=984458430#gid=984458430"", ""'replication success'!A:M""), 12, FAlSE)"),"#N/A")</f>
        <v>#N/A</v>
      </c>
      <c r="BA1618" s="61" t="str">
        <f>IFERROR(__xludf.DUMMYFUNCTION("vlookup(BB1618,importrange(""https://docs.google.com/spreadsheets/d/1d2vevQ_7D_v35q4wCQ4RpQ_IPoTwEMB9Yp6ymwlPqew/edit?gid=984458430#gid=984458430"", ""'replication success'!A:M""), 13, FAlSE)"),"#N/A")</f>
        <v>#N/A</v>
      </c>
      <c r="BB1618" s="61" t="str">
        <f>IFERROR(__xludf.DUMMYFUNCTION("REGEXREPLACE(G1618, ""_[a-z]{1,2}$"", """")"),"jcre_01_h3")</f>
        <v>jcre_01_h3</v>
      </c>
      <c r="BC1618" s="92"/>
      <c r="BD1618" s="92"/>
    </row>
    <row r="1619">
      <c r="A1619" s="44">
        <v>1619.0</v>
      </c>
      <c r="B1619" s="72" t="s">
        <v>523</v>
      </c>
      <c r="C1619" s="72" t="s">
        <v>115</v>
      </c>
      <c r="D1619" s="72" t="s">
        <v>153</v>
      </c>
      <c r="E1619" s="73"/>
      <c r="F1619" s="94" t="s">
        <v>9308</v>
      </c>
      <c r="G1619" s="76" t="s">
        <v>9420</v>
      </c>
      <c r="H1619" s="76" t="s">
        <v>153</v>
      </c>
      <c r="I1619" s="853">
        <v>45478.0</v>
      </c>
      <c r="J1619" s="629">
        <v>45638.0</v>
      </c>
      <c r="K1619" s="75" t="s">
        <v>9326</v>
      </c>
      <c r="L1619" s="82"/>
      <c r="M1619" s="76" t="s">
        <v>9311</v>
      </c>
      <c r="N1619" s="76" t="s">
        <v>9312</v>
      </c>
      <c r="O1619" s="1004">
        <v>1.0</v>
      </c>
      <c r="P1619" s="931" t="s">
        <v>9313</v>
      </c>
      <c r="Q1619" s="52" t="str">
        <f t="array" ref="Q1619"> if(iserror(MATCH(V1619, 'File Links'!C:C, 0)), "N/A", HYPERLINK(INDEX('File Links'!B:B, MATCH(P1619, 'File Links'!C:C, 0))))</f>
        <v>https://drive.google.com/file/d/1EqvEPwgwndawziGmIPqgl3yNKOI51OAS/view?usp=drivesdk</v>
      </c>
      <c r="R1619" s="76" t="s">
        <v>9314</v>
      </c>
      <c r="S1619" s="76" t="s">
        <v>9315</v>
      </c>
      <c r="T1619" s="82"/>
      <c r="U1619" s="1005">
        <v>1.0</v>
      </c>
      <c r="V1619" s="198" t="str">
        <f t="shared" si="114"/>
        <v>10.18718--81781.23.pdf</v>
      </c>
      <c r="W1619" s="75" t="s">
        <v>2016</v>
      </c>
      <c r="X1619" s="54" t="str">
        <f t="array" ref="X1619"> if(iserror(MATCH(V1619, 'File Links'!C:C, 0)), "N/A", HYPERLINK(INDEX('File Links'!B:B, MATCH(V1619, 'File Links'!C:C, 0))))</f>
        <v>https://drive.google.com/file/d/1UFSIBKXNmPXd3__1cxrsTy9PbNax45wB/view?usp=drivesdk</v>
      </c>
      <c r="Y1619" s="82"/>
      <c r="Z1619" s="76" t="s">
        <v>1809</v>
      </c>
      <c r="AA1619" s="82" t="s">
        <v>9327</v>
      </c>
      <c r="AB1619" s="75" t="s">
        <v>9328</v>
      </c>
      <c r="AC1619" s="75" t="s">
        <v>9409</v>
      </c>
      <c r="AD1619" s="82" t="s">
        <v>9410</v>
      </c>
      <c r="AE1619" s="1770" t="s">
        <v>9411</v>
      </c>
      <c r="AF1619" s="635">
        <f t="shared" si="115"/>
        <v>324</v>
      </c>
      <c r="AG1619" s="101" t="s">
        <v>9421</v>
      </c>
      <c r="AH1619" s="99" t="s">
        <v>134</v>
      </c>
      <c r="AI1619" s="76" t="s">
        <v>6362</v>
      </c>
      <c r="AJ1619" s="635">
        <v>0.581</v>
      </c>
      <c r="AK1619" s="95" t="s">
        <v>172</v>
      </c>
      <c r="AL1619" s="76" t="s">
        <v>218</v>
      </c>
      <c r="AM1619" s="82" t="s">
        <v>137</v>
      </c>
      <c r="AN1619" s="330" t="s">
        <v>138</v>
      </c>
      <c r="AO1619" s="635">
        <v>185.0</v>
      </c>
      <c r="AP1619" s="101" t="s">
        <v>9422</v>
      </c>
      <c r="AQ1619" s="76" t="s">
        <v>134</v>
      </c>
      <c r="AR1619" s="76" t="s">
        <v>1173</v>
      </c>
      <c r="AS1619" s="635">
        <v>0.997</v>
      </c>
      <c r="AT1619" s="95" t="s">
        <v>172</v>
      </c>
      <c r="AU1619" s="95" t="s">
        <v>218</v>
      </c>
      <c r="AV1619" s="94" t="s">
        <v>137</v>
      </c>
      <c r="AW1619" s="94"/>
      <c r="AX1619" s="94" t="s">
        <v>143</v>
      </c>
      <c r="AY1619" s="61" t="str">
        <f>IFERROR(__xludf.DUMMYFUNCTION("vlookup(BB1619,importrange(""https://docs.google.com/spreadsheets/d/1d2vevQ_7D_v35q4wCQ4RpQ_IPoTwEMB9Yp6ymwlPqew/edit?gid=984458430#gid=984458430"", ""'replication success'!A:K""), 11, FAlSE)"),"#N/A")</f>
        <v>#N/A</v>
      </c>
      <c r="AZ1619" s="61" t="str">
        <f>IFERROR(__xludf.DUMMYFUNCTION("vlookup(BB1619,importrange(""https://docs.google.com/spreadsheets/d/1d2vevQ_7D_v35q4wCQ4RpQ_IPoTwEMB9Yp6ymwlPqew/edit?gid=984458430#gid=984458430"", ""'replication success'!A:M""), 12, FAlSE)"),"#N/A")</f>
        <v>#N/A</v>
      </c>
      <c r="BA1619" s="61" t="str">
        <f>IFERROR(__xludf.DUMMYFUNCTION("vlookup(BB1619,importrange(""https://docs.google.com/spreadsheets/d/1d2vevQ_7D_v35q4wCQ4RpQ_IPoTwEMB9Yp6ymwlPqew/edit?gid=984458430#gid=984458430"", ""'replication success'!A:M""), 13, FAlSE)"),"#N/A")</f>
        <v>#N/A</v>
      </c>
      <c r="BB1619" s="61" t="str">
        <f>IFERROR(__xludf.DUMMYFUNCTION("REGEXREPLACE(G1619, ""_[a-z]{1,2}$"", """")"),"jcre_01_h3a")</f>
        <v>jcre_01_h3a</v>
      </c>
      <c r="BC1619" s="92"/>
      <c r="BD1619" s="92"/>
    </row>
    <row r="1620">
      <c r="A1620" s="44">
        <v>1620.0</v>
      </c>
      <c r="B1620" s="72" t="s">
        <v>523</v>
      </c>
      <c r="C1620" s="72" t="s">
        <v>115</v>
      </c>
      <c r="D1620" s="72" t="s">
        <v>153</v>
      </c>
      <c r="E1620" s="73"/>
      <c r="F1620" s="94" t="s">
        <v>9308</v>
      </c>
      <c r="G1620" s="76" t="s">
        <v>9423</v>
      </c>
      <c r="H1620" s="76" t="s">
        <v>153</v>
      </c>
      <c r="I1620" s="853">
        <v>45478.0</v>
      </c>
      <c r="J1620" s="629">
        <v>45638.0</v>
      </c>
      <c r="K1620" s="75" t="s">
        <v>9326</v>
      </c>
      <c r="L1620" s="82"/>
      <c r="M1620" s="76" t="s">
        <v>9311</v>
      </c>
      <c r="N1620" s="76" t="s">
        <v>9312</v>
      </c>
      <c r="O1620" s="1004">
        <v>1.0</v>
      </c>
      <c r="P1620" s="931" t="s">
        <v>9313</v>
      </c>
      <c r="Q1620" s="52" t="str">
        <f t="array" ref="Q1620"> if(iserror(MATCH(V1620, 'File Links'!C:C, 0)), "N/A", HYPERLINK(INDEX('File Links'!B:B, MATCH(P1620, 'File Links'!C:C, 0))))</f>
        <v>https://drive.google.com/file/d/1EqvEPwgwndawziGmIPqgl3yNKOI51OAS/view?usp=drivesdk</v>
      </c>
      <c r="R1620" s="76" t="s">
        <v>9314</v>
      </c>
      <c r="S1620" s="76" t="s">
        <v>9315</v>
      </c>
      <c r="T1620" s="82"/>
      <c r="U1620" s="1005">
        <v>1.0</v>
      </c>
      <c r="V1620" s="198" t="str">
        <f t="shared" si="114"/>
        <v>10.18718--81781.23.pdf</v>
      </c>
      <c r="W1620" s="75" t="s">
        <v>2016</v>
      </c>
      <c r="X1620" s="54" t="str">
        <f t="array" ref="X1620"> if(iserror(MATCH(V1620, 'File Links'!C:C, 0)), "N/A", HYPERLINK(INDEX('File Links'!B:B, MATCH(V1620, 'File Links'!C:C, 0))))</f>
        <v>https://drive.google.com/file/d/1UFSIBKXNmPXd3__1cxrsTy9PbNax45wB/view?usp=drivesdk</v>
      </c>
      <c r="Y1620" s="82"/>
      <c r="Z1620" s="76" t="s">
        <v>1809</v>
      </c>
      <c r="AA1620" s="82" t="s">
        <v>9327</v>
      </c>
      <c r="AB1620" s="75" t="s">
        <v>9328</v>
      </c>
      <c r="AC1620" s="75" t="s">
        <v>9409</v>
      </c>
      <c r="AD1620" s="82" t="s">
        <v>9410</v>
      </c>
      <c r="AE1620" s="1770" t="s">
        <v>9411</v>
      </c>
      <c r="AF1620" s="635">
        <f t="shared" si="115"/>
        <v>324</v>
      </c>
      <c r="AG1620" s="101" t="s">
        <v>9424</v>
      </c>
      <c r="AH1620" s="99" t="s">
        <v>134</v>
      </c>
      <c r="AI1620" s="76" t="s">
        <v>2441</v>
      </c>
      <c r="AJ1620" s="635">
        <v>0.548</v>
      </c>
      <c r="AK1620" s="95" t="s">
        <v>172</v>
      </c>
      <c r="AL1620" s="76" t="s">
        <v>218</v>
      </c>
      <c r="AM1620" s="82" t="s">
        <v>137</v>
      </c>
      <c r="AN1620" s="330" t="s">
        <v>138</v>
      </c>
      <c r="AO1620" s="635">
        <v>196.0</v>
      </c>
      <c r="AP1620" s="101" t="s">
        <v>9425</v>
      </c>
      <c r="AQ1620" s="76" t="s">
        <v>134</v>
      </c>
      <c r="AR1620" s="76" t="s">
        <v>9246</v>
      </c>
      <c r="AS1620" s="635">
        <v>0.991</v>
      </c>
      <c r="AT1620" s="95" t="s">
        <v>172</v>
      </c>
      <c r="AU1620" s="95" t="s">
        <v>218</v>
      </c>
      <c r="AV1620" s="94" t="s">
        <v>137</v>
      </c>
      <c r="AW1620" s="94"/>
      <c r="AX1620" s="94" t="s">
        <v>143</v>
      </c>
      <c r="AY1620" s="61" t="str">
        <f>IFERROR(__xludf.DUMMYFUNCTION("vlookup(BB1620,importrange(""https://docs.google.com/spreadsheets/d/1d2vevQ_7D_v35q4wCQ4RpQ_IPoTwEMB9Yp6ymwlPqew/edit?gid=984458430#gid=984458430"", ""'replication success'!A:K""), 11, FAlSE)"),"#N/A")</f>
        <v>#N/A</v>
      </c>
      <c r="AZ1620" s="61" t="str">
        <f>IFERROR(__xludf.DUMMYFUNCTION("vlookup(BB1620,importrange(""https://docs.google.com/spreadsheets/d/1d2vevQ_7D_v35q4wCQ4RpQ_IPoTwEMB9Yp6ymwlPqew/edit?gid=984458430#gid=984458430"", ""'replication success'!A:M""), 12, FAlSE)"),"#N/A")</f>
        <v>#N/A</v>
      </c>
      <c r="BA1620" s="61" t="str">
        <f>IFERROR(__xludf.DUMMYFUNCTION("vlookup(BB1620,importrange(""https://docs.google.com/spreadsheets/d/1d2vevQ_7D_v35q4wCQ4RpQ_IPoTwEMB9Yp6ymwlPqew/edit?gid=984458430#gid=984458430"", ""'replication success'!A:M""), 13, FAlSE)"),"#N/A")</f>
        <v>#N/A</v>
      </c>
      <c r="BB1620" s="61" t="str">
        <f>IFERROR(__xludf.DUMMYFUNCTION("REGEXREPLACE(G1620, ""_[a-z]{1,2}$"", """")"),"jcre_01_h6")</f>
        <v>jcre_01_h6</v>
      </c>
      <c r="BC1620" s="92"/>
      <c r="BD1620" s="92"/>
    </row>
    <row r="1621">
      <c r="A1621" s="44">
        <v>1621.0</v>
      </c>
      <c r="B1621" s="72" t="s">
        <v>523</v>
      </c>
      <c r="C1621" s="72" t="s">
        <v>115</v>
      </c>
      <c r="D1621" s="72" t="s">
        <v>153</v>
      </c>
      <c r="E1621" s="73"/>
      <c r="F1621" s="94" t="s">
        <v>9308</v>
      </c>
      <c r="G1621" s="76" t="s">
        <v>9426</v>
      </c>
      <c r="H1621" s="76" t="s">
        <v>153</v>
      </c>
      <c r="I1621" s="853">
        <v>45478.0</v>
      </c>
      <c r="J1621" s="629">
        <v>45638.0</v>
      </c>
      <c r="K1621" s="75" t="s">
        <v>9326</v>
      </c>
      <c r="L1621" s="82"/>
      <c r="M1621" s="76" t="s">
        <v>9311</v>
      </c>
      <c r="N1621" s="76" t="s">
        <v>9312</v>
      </c>
      <c r="O1621" s="1004">
        <v>1.0</v>
      </c>
      <c r="P1621" s="931" t="s">
        <v>9313</v>
      </c>
      <c r="Q1621" s="52" t="str">
        <f t="array" ref="Q1621"> if(iserror(MATCH(V1621, 'File Links'!C:C, 0)), "N/A", HYPERLINK(INDEX('File Links'!B:B, MATCH(P1621, 'File Links'!C:C, 0))))</f>
        <v>https://drive.google.com/file/d/1EqvEPwgwndawziGmIPqgl3yNKOI51OAS/view?usp=drivesdk</v>
      </c>
      <c r="R1621" s="76" t="s">
        <v>9314</v>
      </c>
      <c r="S1621" s="76" t="s">
        <v>9315</v>
      </c>
      <c r="T1621" s="82"/>
      <c r="U1621" s="1005">
        <v>1.0</v>
      </c>
      <c r="V1621" s="198" t="str">
        <f t="shared" si="114"/>
        <v>10.18718--81781.23.pdf</v>
      </c>
      <c r="W1621" s="75" t="s">
        <v>2016</v>
      </c>
      <c r="X1621" s="54" t="str">
        <f t="array" ref="X1621"> if(iserror(MATCH(V1621, 'File Links'!C:C, 0)), "N/A", HYPERLINK(INDEX('File Links'!B:B, MATCH(V1621, 'File Links'!C:C, 0))))</f>
        <v>https://drive.google.com/file/d/1UFSIBKXNmPXd3__1cxrsTy9PbNax45wB/view?usp=drivesdk</v>
      </c>
      <c r="Y1621" s="82"/>
      <c r="Z1621" s="76" t="s">
        <v>1809</v>
      </c>
      <c r="AA1621" s="82" t="s">
        <v>9327</v>
      </c>
      <c r="AB1621" s="75" t="s">
        <v>9328</v>
      </c>
      <c r="AC1621" s="75" t="s">
        <v>9409</v>
      </c>
      <c r="AD1621" s="82" t="s">
        <v>9410</v>
      </c>
      <c r="AE1621" s="1770" t="s">
        <v>9411</v>
      </c>
      <c r="AF1621" s="635">
        <f t="shared" si="115"/>
        <v>324</v>
      </c>
      <c r="AG1621" s="101" t="s">
        <v>9427</v>
      </c>
      <c r="AH1621" s="99" t="s">
        <v>134</v>
      </c>
      <c r="AI1621" s="76" t="s">
        <v>6362</v>
      </c>
      <c r="AJ1621" s="635">
        <v>0.553</v>
      </c>
      <c r="AK1621" s="95" t="s">
        <v>172</v>
      </c>
      <c r="AL1621" s="76" t="s">
        <v>218</v>
      </c>
      <c r="AM1621" s="82" t="s">
        <v>137</v>
      </c>
      <c r="AN1621" s="330" t="s">
        <v>138</v>
      </c>
      <c r="AO1621" s="635">
        <v>185.0</v>
      </c>
      <c r="AP1621" s="101" t="s">
        <v>9428</v>
      </c>
      <c r="AQ1621" s="76" t="s">
        <v>134</v>
      </c>
      <c r="AR1621" s="76" t="s">
        <v>1819</v>
      </c>
      <c r="AS1621" s="635">
        <v>1.0</v>
      </c>
      <c r="AT1621" s="95" t="s">
        <v>172</v>
      </c>
      <c r="AU1621" s="95" t="s">
        <v>218</v>
      </c>
      <c r="AV1621" s="94" t="s">
        <v>137</v>
      </c>
      <c r="AW1621" s="94"/>
      <c r="AX1621" s="94" t="s">
        <v>143</v>
      </c>
      <c r="AY1621" s="61" t="str">
        <f>IFERROR(__xludf.DUMMYFUNCTION("vlookup(BB1621,importrange(""https://docs.google.com/spreadsheets/d/1d2vevQ_7D_v35q4wCQ4RpQ_IPoTwEMB9Yp6ymwlPqew/edit?gid=984458430#gid=984458430"", ""'replication success'!A:K""), 11, FAlSE)"),"#N/A")</f>
        <v>#N/A</v>
      </c>
      <c r="AZ1621" s="61" t="str">
        <f>IFERROR(__xludf.DUMMYFUNCTION("vlookup(BB1621,importrange(""https://docs.google.com/spreadsheets/d/1d2vevQ_7D_v35q4wCQ4RpQ_IPoTwEMB9Yp6ymwlPqew/edit?gid=984458430#gid=984458430"", ""'replication success'!A:M""), 12, FAlSE)"),"#N/A")</f>
        <v>#N/A</v>
      </c>
      <c r="BA1621" s="61" t="str">
        <f>IFERROR(__xludf.DUMMYFUNCTION("vlookup(BB1621,importrange(""https://docs.google.com/spreadsheets/d/1d2vevQ_7D_v35q4wCQ4RpQ_IPoTwEMB9Yp6ymwlPqew/edit?gid=984458430#gid=984458430"", ""'replication success'!A:M""), 13, FAlSE)"),"#N/A")</f>
        <v>#N/A</v>
      </c>
      <c r="BB1621" s="61" t="str">
        <f>IFERROR(__xludf.DUMMYFUNCTION("REGEXREPLACE(G1621, ""_[a-z]{1,2}$"", """")"),"jcre_01_h6a")</f>
        <v>jcre_01_h6a</v>
      </c>
      <c r="BC1621" s="92"/>
      <c r="BD1621" s="92"/>
    </row>
    <row r="1622">
      <c r="A1622" s="44">
        <v>1622.0</v>
      </c>
      <c r="B1622" s="72" t="s">
        <v>523</v>
      </c>
      <c r="C1622" s="72" t="s">
        <v>115</v>
      </c>
      <c r="D1622" s="72" t="s">
        <v>153</v>
      </c>
      <c r="E1622" s="73"/>
      <c r="F1622" s="94" t="s">
        <v>9308</v>
      </c>
      <c r="G1622" s="76" t="s">
        <v>9429</v>
      </c>
      <c r="H1622" s="76" t="s">
        <v>153</v>
      </c>
      <c r="I1622" s="853">
        <v>45478.0</v>
      </c>
      <c r="J1622" s="629">
        <v>45638.0</v>
      </c>
      <c r="K1622" s="75" t="s">
        <v>9326</v>
      </c>
      <c r="L1622" s="82"/>
      <c r="M1622" s="76" t="s">
        <v>9311</v>
      </c>
      <c r="N1622" s="76" t="s">
        <v>9312</v>
      </c>
      <c r="O1622" s="1004">
        <v>1.0</v>
      </c>
      <c r="P1622" s="931" t="s">
        <v>9313</v>
      </c>
      <c r="Q1622" s="52" t="str">
        <f t="array" ref="Q1622"> if(iserror(MATCH(V1622, 'File Links'!C:C, 0)), "N/A", HYPERLINK(INDEX('File Links'!B:B, MATCH(P1622, 'File Links'!C:C, 0))))</f>
        <v>https://drive.google.com/file/d/1EqvEPwgwndawziGmIPqgl3yNKOI51OAS/view?usp=drivesdk</v>
      </c>
      <c r="R1622" s="76" t="s">
        <v>9314</v>
      </c>
      <c r="S1622" s="76" t="s">
        <v>9315</v>
      </c>
      <c r="T1622" s="82"/>
      <c r="U1622" s="1005">
        <v>1.0</v>
      </c>
      <c r="V1622" s="198" t="str">
        <f t="shared" si="114"/>
        <v>10.18718--81781.23.pdf</v>
      </c>
      <c r="W1622" s="75" t="s">
        <v>2016</v>
      </c>
      <c r="X1622" s="54" t="str">
        <f t="array" ref="X1622"> if(iserror(MATCH(V1622, 'File Links'!C:C, 0)), "N/A", HYPERLINK(INDEX('File Links'!B:B, MATCH(V1622, 'File Links'!C:C, 0))))</f>
        <v>https://drive.google.com/file/d/1UFSIBKXNmPXd3__1cxrsTy9PbNax45wB/view?usp=drivesdk</v>
      </c>
      <c r="Y1622" s="82"/>
      <c r="Z1622" s="76" t="s">
        <v>1809</v>
      </c>
      <c r="AA1622" s="82" t="s">
        <v>9327</v>
      </c>
      <c r="AB1622" s="75" t="s">
        <v>9328</v>
      </c>
      <c r="AC1622" s="76" t="s">
        <v>9430</v>
      </c>
      <c r="AD1622" s="82" t="s">
        <v>9351</v>
      </c>
      <c r="AE1622" s="1770">
        <v>18.0</v>
      </c>
      <c r="AF1622" s="635">
        <f t="shared" si="115"/>
        <v>324</v>
      </c>
      <c r="AG1622" s="76" t="s">
        <v>9431</v>
      </c>
      <c r="AH1622" s="99" t="s">
        <v>134</v>
      </c>
      <c r="AI1622" s="76" t="s">
        <v>2442</v>
      </c>
      <c r="AJ1622" s="635">
        <v>0.01</v>
      </c>
      <c r="AK1622" s="95" t="s">
        <v>135</v>
      </c>
      <c r="AL1622" s="76" t="s">
        <v>136</v>
      </c>
      <c r="AM1622" s="82" t="s">
        <v>141</v>
      </c>
      <c r="AN1622" s="330" t="s">
        <v>138</v>
      </c>
      <c r="AO1622" s="635">
        <v>196.0</v>
      </c>
      <c r="AP1622" s="76" t="s">
        <v>9432</v>
      </c>
      <c r="AQ1622" s="76" t="s">
        <v>134</v>
      </c>
      <c r="AR1622" s="76" t="s">
        <v>3721</v>
      </c>
      <c r="AS1622" s="635">
        <v>0.01</v>
      </c>
      <c r="AT1622" s="95" t="s">
        <v>135</v>
      </c>
      <c r="AU1622" s="95" t="s">
        <v>136</v>
      </c>
      <c r="AV1622" s="94" t="s">
        <v>141</v>
      </c>
      <c r="AW1622" s="94"/>
      <c r="AX1622" s="94" t="s">
        <v>143</v>
      </c>
      <c r="AY1622" s="61" t="str">
        <f>IFERROR(__xludf.DUMMYFUNCTION("vlookup(BB1622,importrange(""https://docs.google.com/spreadsheets/d/1d2vevQ_7D_v35q4wCQ4RpQ_IPoTwEMB9Yp6ymwlPqew/edit?gid=984458430#gid=984458430"", ""'replication success'!A:K""), 11, FAlSE)"),"#N/A")</f>
        <v>#N/A</v>
      </c>
      <c r="AZ1622" s="61" t="str">
        <f>IFERROR(__xludf.DUMMYFUNCTION("vlookup(BB1622,importrange(""https://docs.google.com/spreadsheets/d/1d2vevQ_7D_v35q4wCQ4RpQ_IPoTwEMB9Yp6ymwlPqew/edit?gid=984458430#gid=984458430"", ""'replication success'!A:M""), 12, FAlSE)"),"#N/A")</f>
        <v>#N/A</v>
      </c>
      <c r="BA1622" s="61" t="str">
        <f>IFERROR(__xludf.DUMMYFUNCTION("vlookup(BB1622,importrange(""https://docs.google.com/spreadsheets/d/1d2vevQ_7D_v35q4wCQ4RpQ_IPoTwEMB9Yp6ymwlPqew/edit?gid=984458430#gid=984458430"", ""'replication success'!A:M""), 13, FAlSE)"),"#N/A")</f>
        <v>#N/A</v>
      </c>
      <c r="BB1622" s="61" t="str">
        <f>IFERROR(__xludf.DUMMYFUNCTION("REGEXREPLACE(G1622, ""_[a-z]{1,2}$"", """")"),"jcre_01_m2")</f>
        <v>jcre_01_m2</v>
      </c>
      <c r="BC1622" s="92"/>
      <c r="BD1622" s="92"/>
    </row>
    <row r="1623">
      <c r="A1623" s="44">
        <v>1623.0</v>
      </c>
      <c r="B1623" s="72" t="s">
        <v>523</v>
      </c>
      <c r="C1623" s="72" t="s">
        <v>115</v>
      </c>
      <c r="D1623" s="72" t="s">
        <v>153</v>
      </c>
      <c r="E1623" s="73"/>
      <c r="F1623" s="94" t="s">
        <v>9308</v>
      </c>
      <c r="G1623" s="76" t="s">
        <v>9433</v>
      </c>
      <c r="H1623" s="76" t="s">
        <v>153</v>
      </c>
      <c r="I1623" s="853">
        <v>45478.0</v>
      </c>
      <c r="J1623" s="629">
        <v>45638.0</v>
      </c>
      <c r="K1623" s="75" t="s">
        <v>9326</v>
      </c>
      <c r="L1623" s="82"/>
      <c r="M1623" s="76" t="s">
        <v>9311</v>
      </c>
      <c r="N1623" s="76" t="s">
        <v>9312</v>
      </c>
      <c r="O1623" s="1004">
        <v>1.0</v>
      </c>
      <c r="P1623" s="931" t="s">
        <v>9313</v>
      </c>
      <c r="Q1623" s="52" t="str">
        <f t="array" ref="Q1623"> if(iserror(MATCH(V1623, 'File Links'!C:C, 0)), "N/A", HYPERLINK(INDEX('File Links'!B:B, MATCH(P1623, 'File Links'!C:C, 0))))</f>
        <v>https://drive.google.com/file/d/1EqvEPwgwndawziGmIPqgl3yNKOI51OAS/view?usp=drivesdk</v>
      </c>
      <c r="R1623" s="76" t="s">
        <v>9314</v>
      </c>
      <c r="S1623" s="76" t="s">
        <v>9315</v>
      </c>
      <c r="T1623" s="82"/>
      <c r="U1623" s="1005">
        <v>1.0</v>
      </c>
      <c r="V1623" s="198" t="str">
        <f t="shared" si="114"/>
        <v>10.18718--81781.23.pdf</v>
      </c>
      <c r="W1623" s="75" t="s">
        <v>2016</v>
      </c>
      <c r="X1623" s="54" t="str">
        <f t="array" ref="X1623"> if(iserror(MATCH(V1623, 'File Links'!C:C, 0)), "N/A", HYPERLINK(INDEX('File Links'!B:B, MATCH(V1623, 'File Links'!C:C, 0))))</f>
        <v>https://drive.google.com/file/d/1UFSIBKXNmPXd3__1cxrsTy9PbNax45wB/view?usp=drivesdk</v>
      </c>
      <c r="Y1623" s="82"/>
      <c r="Z1623" s="76" t="s">
        <v>1809</v>
      </c>
      <c r="AA1623" s="82" t="s">
        <v>9327</v>
      </c>
      <c r="AB1623" s="75" t="s">
        <v>9328</v>
      </c>
      <c r="AC1623" s="75" t="s">
        <v>9430</v>
      </c>
      <c r="AD1623" s="82" t="s">
        <v>9351</v>
      </c>
      <c r="AE1623" s="1770">
        <v>18.0</v>
      </c>
      <c r="AF1623" s="635">
        <f t="shared" si="115"/>
        <v>324</v>
      </c>
      <c r="AG1623" s="76" t="s">
        <v>9434</v>
      </c>
      <c r="AH1623" s="99" t="s">
        <v>134</v>
      </c>
      <c r="AI1623" s="76" t="s">
        <v>2441</v>
      </c>
      <c r="AJ1623" s="635">
        <v>0.01</v>
      </c>
      <c r="AK1623" s="95" t="s">
        <v>135</v>
      </c>
      <c r="AL1623" s="76" t="s">
        <v>136</v>
      </c>
      <c r="AM1623" s="82" t="s">
        <v>141</v>
      </c>
      <c r="AN1623" s="330" t="s">
        <v>138</v>
      </c>
      <c r="AO1623" s="635">
        <v>185.0</v>
      </c>
      <c r="AP1623" s="76" t="s">
        <v>9435</v>
      </c>
      <c r="AQ1623" s="76" t="s">
        <v>134</v>
      </c>
      <c r="AR1623" s="76" t="s">
        <v>7749</v>
      </c>
      <c r="AS1623" s="635">
        <v>0.05</v>
      </c>
      <c r="AT1623" s="95" t="s">
        <v>135</v>
      </c>
      <c r="AU1623" s="95" t="s">
        <v>136</v>
      </c>
      <c r="AV1623" s="94" t="s">
        <v>141</v>
      </c>
      <c r="AW1623" s="94"/>
      <c r="AX1623" s="94" t="s">
        <v>143</v>
      </c>
      <c r="AY1623" s="61" t="str">
        <f>IFERROR(__xludf.DUMMYFUNCTION("vlookup(BB1623,importrange(""https://docs.google.com/spreadsheets/d/1d2vevQ_7D_v35q4wCQ4RpQ_IPoTwEMB9Yp6ymwlPqew/edit?gid=984458430#gid=984458430"", ""'replication success'!A:K""), 11, FAlSE)"),"#N/A")</f>
        <v>#N/A</v>
      </c>
      <c r="AZ1623" s="61" t="str">
        <f>IFERROR(__xludf.DUMMYFUNCTION("vlookup(BB1623,importrange(""https://docs.google.com/spreadsheets/d/1d2vevQ_7D_v35q4wCQ4RpQ_IPoTwEMB9Yp6ymwlPqew/edit?gid=984458430#gid=984458430"", ""'replication success'!A:M""), 12, FAlSE)"),"#N/A")</f>
        <v>#N/A</v>
      </c>
      <c r="BA1623" s="61" t="str">
        <f>IFERROR(__xludf.DUMMYFUNCTION("vlookup(BB1623,importrange(""https://docs.google.com/spreadsheets/d/1d2vevQ_7D_v35q4wCQ4RpQ_IPoTwEMB9Yp6ymwlPqew/edit?gid=984458430#gid=984458430"", ""'replication success'!A:M""), 13, FAlSE)"),"#N/A")</f>
        <v>#N/A</v>
      </c>
      <c r="BB1623" s="61" t="str">
        <f>IFERROR(__xludf.DUMMYFUNCTION("REGEXREPLACE(G1623, ""_[a-z]{1,2}$"", """")"),"jcre_01_m2a")</f>
        <v>jcre_01_m2a</v>
      </c>
      <c r="BC1623" s="92"/>
      <c r="BD1623" s="92"/>
    </row>
    <row r="1624">
      <c r="A1624" s="44">
        <v>1624.0</v>
      </c>
      <c r="B1624" s="72" t="s">
        <v>523</v>
      </c>
      <c r="C1624" s="72" t="s">
        <v>115</v>
      </c>
      <c r="D1624" s="72" t="s">
        <v>153</v>
      </c>
      <c r="E1624" s="73"/>
      <c r="F1624" s="94" t="s">
        <v>9308</v>
      </c>
      <c r="G1624" s="76" t="s">
        <v>9436</v>
      </c>
      <c r="H1624" s="76" t="s">
        <v>153</v>
      </c>
      <c r="I1624" s="853">
        <v>45478.0</v>
      </c>
      <c r="J1624" s="629">
        <v>45638.0</v>
      </c>
      <c r="K1624" s="75" t="s">
        <v>9326</v>
      </c>
      <c r="L1624" s="82"/>
      <c r="M1624" s="76" t="s">
        <v>9311</v>
      </c>
      <c r="N1624" s="76" t="s">
        <v>9312</v>
      </c>
      <c r="O1624" s="1004">
        <v>1.0</v>
      </c>
      <c r="P1624" s="931" t="s">
        <v>9313</v>
      </c>
      <c r="Q1624" s="52" t="str">
        <f t="array" ref="Q1624"> if(iserror(MATCH(V1624, 'File Links'!C:C, 0)), "N/A", HYPERLINK(INDEX('File Links'!B:B, MATCH(P1624, 'File Links'!C:C, 0))))</f>
        <v>https://drive.google.com/file/d/1EqvEPwgwndawziGmIPqgl3yNKOI51OAS/view?usp=drivesdk</v>
      </c>
      <c r="R1624" s="76" t="s">
        <v>9314</v>
      </c>
      <c r="S1624" s="76" t="s">
        <v>9315</v>
      </c>
      <c r="T1624" s="82"/>
      <c r="U1624" s="1005">
        <v>1.0</v>
      </c>
      <c r="V1624" s="198" t="str">
        <f t="shared" si="114"/>
        <v>10.18718--81781.23.pdf</v>
      </c>
      <c r="W1624" s="75" t="s">
        <v>2016</v>
      </c>
      <c r="X1624" s="54" t="str">
        <f t="array" ref="X1624"> if(iserror(MATCH(V1624, 'File Links'!C:C, 0)), "N/A", HYPERLINK(INDEX('File Links'!B:B, MATCH(V1624, 'File Links'!C:C, 0))))</f>
        <v>https://drive.google.com/file/d/1UFSIBKXNmPXd3__1cxrsTy9PbNax45wB/view?usp=drivesdk</v>
      </c>
      <c r="Y1624" s="82"/>
      <c r="Z1624" s="76" t="s">
        <v>1809</v>
      </c>
      <c r="AA1624" s="82" t="s">
        <v>9327</v>
      </c>
      <c r="AB1624" s="75" t="s">
        <v>9328</v>
      </c>
      <c r="AC1624" s="75" t="s">
        <v>9437</v>
      </c>
      <c r="AD1624" s="82" t="s">
        <v>9438</v>
      </c>
      <c r="AE1624" s="1770">
        <v>26.0</v>
      </c>
      <c r="AF1624" s="635">
        <f t="shared" si="115"/>
        <v>324</v>
      </c>
      <c r="AG1624" s="82" t="s">
        <v>9439</v>
      </c>
      <c r="AH1624" s="99" t="s">
        <v>134</v>
      </c>
      <c r="AI1624" s="76" t="s">
        <v>2442</v>
      </c>
      <c r="AJ1624" s="635">
        <v>0.01</v>
      </c>
      <c r="AK1624" s="95" t="s">
        <v>135</v>
      </c>
      <c r="AL1624" s="76" t="s">
        <v>136</v>
      </c>
      <c r="AM1624" s="82" t="s">
        <v>141</v>
      </c>
      <c r="AN1624" s="330" t="s">
        <v>138</v>
      </c>
      <c r="AO1624" s="635">
        <v>196.0</v>
      </c>
      <c r="AP1624" s="76" t="s">
        <v>9440</v>
      </c>
      <c r="AQ1624" s="76" t="s">
        <v>134</v>
      </c>
      <c r="AR1624" s="76" t="s">
        <v>2022</v>
      </c>
      <c r="AS1624" s="635">
        <v>0.01</v>
      </c>
      <c r="AT1624" s="95" t="s">
        <v>135</v>
      </c>
      <c r="AU1624" s="95" t="s">
        <v>136</v>
      </c>
      <c r="AV1624" s="94" t="s">
        <v>141</v>
      </c>
      <c r="AW1624" s="94"/>
      <c r="AX1624" s="94" t="s">
        <v>143</v>
      </c>
      <c r="AY1624" s="61" t="str">
        <f>IFERROR(__xludf.DUMMYFUNCTION("vlookup(BB1624,importrange(""https://docs.google.com/spreadsheets/d/1d2vevQ_7D_v35q4wCQ4RpQ_IPoTwEMB9Yp6ymwlPqew/edit?gid=984458430#gid=984458430"", ""'replication success'!A:K""), 11, FAlSE)"),"#N/A")</f>
        <v>#N/A</v>
      </c>
      <c r="AZ1624" s="61" t="str">
        <f>IFERROR(__xludf.DUMMYFUNCTION("vlookup(BB1624,importrange(""https://docs.google.com/spreadsheets/d/1d2vevQ_7D_v35q4wCQ4RpQ_IPoTwEMB9Yp6ymwlPqew/edit?gid=984458430#gid=984458430"", ""'replication success'!A:M""), 12, FAlSE)"),"#N/A")</f>
        <v>#N/A</v>
      </c>
      <c r="BA1624" s="61" t="str">
        <f>IFERROR(__xludf.DUMMYFUNCTION("vlookup(BB1624,importrange(""https://docs.google.com/spreadsheets/d/1d2vevQ_7D_v35q4wCQ4RpQ_IPoTwEMB9Yp6ymwlPqew/edit?gid=984458430#gid=984458430"", ""'replication success'!A:M""), 13, FAlSE)"),"#N/A")</f>
        <v>#N/A</v>
      </c>
      <c r="BB1624" s="61" t="str">
        <f>IFERROR(__xludf.DUMMYFUNCTION("REGEXREPLACE(G1624, ""_[a-z]{1,2}$"", """")"),"jcre_01_m3")</f>
        <v>jcre_01_m3</v>
      </c>
      <c r="BC1624" s="92"/>
      <c r="BD1624" s="92"/>
    </row>
    <row r="1625">
      <c r="A1625" s="44">
        <v>1625.0</v>
      </c>
      <c r="B1625" s="72" t="s">
        <v>523</v>
      </c>
      <c r="C1625" s="72" t="s">
        <v>115</v>
      </c>
      <c r="D1625" s="72" t="s">
        <v>153</v>
      </c>
      <c r="E1625" s="73"/>
      <c r="F1625" s="94" t="s">
        <v>9308</v>
      </c>
      <c r="G1625" s="76" t="s">
        <v>9441</v>
      </c>
      <c r="H1625" s="76" t="s">
        <v>153</v>
      </c>
      <c r="I1625" s="853">
        <v>45478.0</v>
      </c>
      <c r="J1625" s="629">
        <v>45638.0</v>
      </c>
      <c r="K1625" s="75" t="s">
        <v>9326</v>
      </c>
      <c r="L1625" s="82"/>
      <c r="M1625" s="76" t="s">
        <v>9311</v>
      </c>
      <c r="N1625" s="76" t="s">
        <v>9312</v>
      </c>
      <c r="O1625" s="1004">
        <v>1.0</v>
      </c>
      <c r="P1625" s="931" t="s">
        <v>9313</v>
      </c>
      <c r="Q1625" s="52" t="str">
        <f t="array" ref="Q1625"> if(iserror(MATCH(V1625, 'File Links'!C:C, 0)), "N/A", HYPERLINK(INDEX('File Links'!B:B, MATCH(P1625, 'File Links'!C:C, 0))))</f>
        <v>https://drive.google.com/file/d/1EqvEPwgwndawziGmIPqgl3yNKOI51OAS/view?usp=drivesdk</v>
      </c>
      <c r="R1625" s="76" t="s">
        <v>9314</v>
      </c>
      <c r="S1625" s="76" t="s">
        <v>9315</v>
      </c>
      <c r="T1625" s="82"/>
      <c r="U1625" s="1005">
        <v>1.0</v>
      </c>
      <c r="V1625" s="198" t="str">
        <f t="shared" si="114"/>
        <v>10.18718--81781.23.pdf</v>
      </c>
      <c r="W1625" s="75" t="s">
        <v>2016</v>
      </c>
      <c r="X1625" s="54" t="str">
        <f t="array" ref="X1625"> if(iserror(MATCH(V1625, 'File Links'!C:C, 0)), "N/A", HYPERLINK(INDEX('File Links'!B:B, MATCH(V1625, 'File Links'!C:C, 0))))</f>
        <v>https://drive.google.com/file/d/1UFSIBKXNmPXd3__1cxrsTy9PbNax45wB/view?usp=drivesdk</v>
      </c>
      <c r="Y1625" s="82"/>
      <c r="Z1625" s="76" t="s">
        <v>1809</v>
      </c>
      <c r="AA1625" s="82" t="s">
        <v>9327</v>
      </c>
      <c r="AB1625" s="75" t="s">
        <v>9328</v>
      </c>
      <c r="AC1625" s="75" t="s">
        <v>9437</v>
      </c>
      <c r="AD1625" s="82" t="s">
        <v>9438</v>
      </c>
      <c r="AE1625" s="1770">
        <v>26.0</v>
      </c>
      <c r="AF1625" s="635">
        <f t="shared" si="115"/>
        <v>324</v>
      </c>
      <c r="AG1625" s="82" t="s">
        <v>9442</v>
      </c>
      <c r="AH1625" s="99" t="s">
        <v>134</v>
      </c>
      <c r="AI1625" s="76" t="s">
        <v>2441</v>
      </c>
      <c r="AJ1625" s="635">
        <v>0.01</v>
      </c>
      <c r="AK1625" s="95" t="s">
        <v>135</v>
      </c>
      <c r="AL1625" s="76" t="s">
        <v>136</v>
      </c>
      <c r="AM1625" s="82" t="s">
        <v>141</v>
      </c>
      <c r="AN1625" s="330" t="s">
        <v>138</v>
      </c>
      <c r="AO1625" s="635">
        <v>185.0</v>
      </c>
      <c r="AP1625" s="76" t="s">
        <v>9443</v>
      </c>
      <c r="AQ1625" s="76" t="s">
        <v>134</v>
      </c>
      <c r="AR1625" s="76" t="s">
        <v>1173</v>
      </c>
      <c r="AS1625" s="635">
        <v>0.01</v>
      </c>
      <c r="AT1625" s="95" t="s">
        <v>135</v>
      </c>
      <c r="AU1625" s="95" t="s">
        <v>136</v>
      </c>
      <c r="AV1625" s="94" t="s">
        <v>141</v>
      </c>
      <c r="AW1625" s="94"/>
      <c r="AX1625" s="94" t="s">
        <v>143</v>
      </c>
      <c r="AY1625" s="61" t="str">
        <f>IFERROR(__xludf.DUMMYFUNCTION("vlookup(BB1625,importrange(""https://docs.google.com/spreadsheets/d/1d2vevQ_7D_v35q4wCQ4RpQ_IPoTwEMB9Yp6ymwlPqew/edit?gid=984458430#gid=984458430"", ""'replication success'!A:K""), 11, FAlSE)"),"#N/A")</f>
        <v>#N/A</v>
      </c>
      <c r="AZ1625" s="61" t="str">
        <f>IFERROR(__xludf.DUMMYFUNCTION("vlookup(BB1625,importrange(""https://docs.google.com/spreadsheets/d/1d2vevQ_7D_v35q4wCQ4RpQ_IPoTwEMB9Yp6ymwlPqew/edit?gid=984458430#gid=984458430"", ""'replication success'!A:M""), 12, FAlSE)"),"#N/A")</f>
        <v>#N/A</v>
      </c>
      <c r="BA1625" s="61" t="str">
        <f>IFERROR(__xludf.DUMMYFUNCTION("vlookup(BB1625,importrange(""https://docs.google.com/spreadsheets/d/1d2vevQ_7D_v35q4wCQ4RpQ_IPoTwEMB9Yp6ymwlPqew/edit?gid=984458430#gid=984458430"", ""'replication success'!A:M""), 13, FAlSE)"),"#N/A")</f>
        <v>#N/A</v>
      </c>
      <c r="BB1625" s="61" t="str">
        <f>IFERROR(__xludf.DUMMYFUNCTION("REGEXREPLACE(G1625, ""_[a-z]{1,2}$"", """")"),"jcre_01_m3a")</f>
        <v>jcre_01_m3a</v>
      </c>
      <c r="BC1625" s="92"/>
      <c r="BD1625" s="92"/>
    </row>
    <row r="1626">
      <c r="A1626" s="44">
        <v>1626.0</v>
      </c>
      <c r="B1626" s="72" t="s">
        <v>523</v>
      </c>
      <c r="C1626" s="72" t="s">
        <v>115</v>
      </c>
      <c r="D1626" s="72" t="s">
        <v>153</v>
      </c>
      <c r="E1626" s="73"/>
      <c r="F1626" s="94" t="s">
        <v>9308</v>
      </c>
      <c r="G1626" s="76" t="s">
        <v>9444</v>
      </c>
      <c r="H1626" s="76" t="s">
        <v>153</v>
      </c>
      <c r="I1626" s="853">
        <v>45478.0</v>
      </c>
      <c r="J1626" s="629">
        <v>45638.0</v>
      </c>
      <c r="K1626" s="75" t="s">
        <v>9326</v>
      </c>
      <c r="L1626" s="82"/>
      <c r="M1626" s="76" t="s">
        <v>9311</v>
      </c>
      <c r="N1626" s="76" t="s">
        <v>9312</v>
      </c>
      <c r="O1626" s="1004">
        <v>1.0</v>
      </c>
      <c r="P1626" s="931" t="s">
        <v>9313</v>
      </c>
      <c r="Q1626" s="52" t="str">
        <f t="array" ref="Q1626"> if(iserror(MATCH(V1626, 'File Links'!C:C, 0)), "N/A", HYPERLINK(INDEX('File Links'!B:B, MATCH(P1626, 'File Links'!C:C, 0))))</f>
        <v>https://drive.google.com/file/d/1EqvEPwgwndawziGmIPqgl3yNKOI51OAS/view?usp=drivesdk</v>
      </c>
      <c r="R1626" s="76" t="s">
        <v>9314</v>
      </c>
      <c r="S1626" s="76" t="s">
        <v>9315</v>
      </c>
      <c r="T1626" s="82"/>
      <c r="U1626" s="1005">
        <v>1.0</v>
      </c>
      <c r="V1626" s="198" t="str">
        <f t="shared" si="114"/>
        <v>10.18718--81781.23.pdf</v>
      </c>
      <c r="W1626" s="75" t="s">
        <v>2016</v>
      </c>
      <c r="X1626" s="54" t="str">
        <f t="array" ref="X1626"> if(iserror(MATCH(V1626, 'File Links'!C:C, 0)), "N/A", HYPERLINK(INDEX('File Links'!B:B, MATCH(V1626, 'File Links'!C:C, 0))))</f>
        <v>https://drive.google.com/file/d/1UFSIBKXNmPXd3__1cxrsTy9PbNax45wB/view?usp=drivesdk</v>
      </c>
      <c r="Y1626" s="82"/>
      <c r="Z1626" s="76" t="s">
        <v>1809</v>
      </c>
      <c r="AA1626" s="82" t="s">
        <v>9327</v>
      </c>
      <c r="AB1626" s="75" t="s">
        <v>9328</v>
      </c>
      <c r="AC1626" s="75" t="s">
        <v>9430</v>
      </c>
      <c r="AD1626" s="82" t="s">
        <v>9351</v>
      </c>
      <c r="AE1626" s="1770">
        <v>18.0</v>
      </c>
      <c r="AF1626" s="635">
        <f t="shared" si="115"/>
        <v>324</v>
      </c>
      <c r="AG1626" s="76" t="s">
        <v>9445</v>
      </c>
      <c r="AH1626" s="99" t="s">
        <v>134</v>
      </c>
      <c r="AI1626" s="76" t="s">
        <v>2442</v>
      </c>
      <c r="AJ1626" s="635">
        <v>0.01</v>
      </c>
      <c r="AK1626" s="95" t="s">
        <v>135</v>
      </c>
      <c r="AL1626" s="76" t="s">
        <v>136</v>
      </c>
      <c r="AM1626" s="82" t="s">
        <v>141</v>
      </c>
      <c r="AN1626" s="330" t="s">
        <v>138</v>
      </c>
      <c r="AO1626" s="635">
        <v>196.0</v>
      </c>
      <c r="AP1626" s="76" t="s">
        <v>9446</v>
      </c>
      <c r="AQ1626" s="76" t="s">
        <v>134</v>
      </c>
      <c r="AR1626" s="76" t="s">
        <v>9246</v>
      </c>
      <c r="AS1626" s="635">
        <v>0.05</v>
      </c>
      <c r="AT1626" s="95" t="s">
        <v>135</v>
      </c>
      <c r="AU1626" s="95" t="s">
        <v>136</v>
      </c>
      <c r="AV1626" s="94" t="s">
        <v>141</v>
      </c>
      <c r="AW1626" s="94"/>
      <c r="AX1626" s="94" t="s">
        <v>143</v>
      </c>
      <c r="AY1626" s="61" t="str">
        <f>IFERROR(__xludf.DUMMYFUNCTION("vlookup(BB1626,importrange(""https://docs.google.com/spreadsheets/d/1d2vevQ_7D_v35q4wCQ4RpQ_IPoTwEMB9Yp6ymwlPqew/edit?gid=984458430#gid=984458430"", ""'replication success'!A:K""), 11, FAlSE)"),"#N/A")</f>
        <v>#N/A</v>
      </c>
      <c r="AZ1626" s="61" t="str">
        <f>IFERROR(__xludf.DUMMYFUNCTION("vlookup(BB1626,importrange(""https://docs.google.com/spreadsheets/d/1d2vevQ_7D_v35q4wCQ4RpQ_IPoTwEMB9Yp6ymwlPqew/edit?gid=984458430#gid=984458430"", ""'replication success'!A:M""), 12, FAlSE)"),"#N/A")</f>
        <v>#N/A</v>
      </c>
      <c r="BA1626" s="61" t="str">
        <f>IFERROR(__xludf.DUMMYFUNCTION("vlookup(BB1626,importrange(""https://docs.google.com/spreadsheets/d/1d2vevQ_7D_v35q4wCQ4RpQ_IPoTwEMB9Yp6ymwlPqew/edit?gid=984458430#gid=984458430"", ""'replication success'!A:M""), 13, FAlSE)"),"#N/A")</f>
        <v>#N/A</v>
      </c>
      <c r="BB1626" s="61" t="str">
        <f>IFERROR(__xludf.DUMMYFUNCTION("REGEXREPLACE(G1626, ""_[a-z]{1,2}$"", """")"),"jcre_01_m6")</f>
        <v>jcre_01_m6</v>
      </c>
      <c r="BC1626" s="92"/>
      <c r="BD1626" s="92"/>
    </row>
    <row r="1627">
      <c r="A1627" s="44">
        <v>1627.0</v>
      </c>
      <c r="B1627" s="72" t="s">
        <v>523</v>
      </c>
      <c r="C1627" s="72" t="s">
        <v>115</v>
      </c>
      <c r="D1627" s="72" t="s">
        <v>153</v>
      </c>
      <c r="E1627" s="73"/>
      <c r="F1627" s="94" t="s">
        <v>9308</v>
      </c>
      <c r="G1627" s="76" t="s">
        <v>9447</v>
      </c>
      <c r="H1627" s="76" t="s">
        <v>153</v>
      </c>
      <c r="I1627" s="853">
        <v>45478.0</v>
      </c>
      <c r="J1627" s="629">
        <v>45638.0</v>
      </c>
      <c r="K1627" s="75" t="s">
        <v>9326</v>
      </c>
      <c r="L1627" s="82"/>
      <c r="M1627" s="76" t="s">
        <v>9311</v>
      </c>
      <c r="N1627" s="76" t="s">
        <v>9312</v>
      </c>
      <c r="O1627" s="1004">
        <v>1.0</v>
      </c>
      <c r="P1627" s="931" t="s">
        <v>9313</v>
      </c>
      <c r="Q1627" s="52" t="str">
        <f t="array" ref="Q1627"> if(iserror(MATCH(V1627, 'File Links'!C:C, 0)), "N/A", HYPERLINK(INDEX('File Links'!B:B, MATCH(P1627, 'File Links'!C:C, 0))))</f>
        <v>https://drive.google.com/file/d/1EqvEPwgwndawziGmIPqgl3yNKOI51OAS/view?usp=drivesdk</v>
      </c>
      <c r="R1627" s="76" t="s">
        <v>9314</v>
      </c>
      <c r="S1627" s="76" t="s">
        <v>9315</v>
      </c>
      <c r="T1627" s="82"/>
      <c r="U1627" s="1005">
        <v>1.0</v>
      </c>
      <c r="V1627" s="198" t="str">
        <f t="shared" si="114"/>
        <v>10.18718--81781.23.pdf</v>
      </c>
      <c r="W1627" s="75" t="s">
        <v>2016</v>
      </c>
      <c r="X1627" s="54" t="str">
        <f t="array" ref="X1627"> if(iserror(MATCH(V1627, 'File Links'!C:C, 0)), "N/A", HYPERLINK(INDEX('File Links'!B:B, MATCH(V1627, 'File Links'!C:C, 0))))</f>
        <v>https://drive.google.com/file/d/1UFSIBKXNmPXd3__1cxrsTy9PbNax45wB/view?usp=drivesdk</v>
      </c>
      <c r="Y1627" s="82"/>
      <c r="Z1627" s="76" t="s">
        <v>1809</v>
      </c>
      <c r="AA1627" s="82" t="s">
        <v>9327</v>
      </c>
      <c r="AB1627" s="75" t="s">
        <v>9328</v>
      </c>
      <c r="AC1627" s="75" t="s">
        <v>9430</v>
      </c>
      <c r="AD1627" s="82" t="s">
        <v>9351</v>
      </c>
      <c r="AE1627" s="1770">
        <v>18.0</v>
      </c>
      <c r="AF1627" s="635">
        <f t="shared" si="115"/>
        <v>324</v>
      </c>
      <c r="AG1627" s="76" t="s">
        <v>9448</v>
      </c>
      <c r="AH1627" s="99" t="s">
        <v>134</v>
      </c>
      <c r="AI1627" s="76" t="s">
        <v>2441</v>
      </c>
      <c r="AJ1627" s="635">
        <v>0.01</v>
      </c>
      <c r="AK1627" s="95" t="s">
        <v>135</v>
      </c>
      <c r="AL1627" s="76" t="s">
        <v>136</v>
      </c>
      <c r="AM1627" s="82" t="s">
        <v>141</v>
      </c>
      <c r="AN1627" s="330" t="s">
        <v>138</v>
      </c>
      <c r="AO1627" s="635">
        <v>185.0</v>
      </c>
      <c r="AP1627" s="76" t="s">
        <v>9449</v>
      </c>
      <c r="AQ1627" s="76" t="s">
        <v>134</v>
      </c>
      <c r="AR1627" s="76" t="s">
        <v>1819</v>
      </c>
      <c r="AS1627" s="635">
        <v>0.01</v>
      </c>
      <c r="AT1627" s="95" t="s">
        <v>135</v>
      </c>
      <c r="AU1627" s="95" t="s">
        <v>136</v>
      </c>
      <c r="AV1627" s="94" t="s">
        <v>141</v>
      </c>
      <c r="AW1627" s="94"/>
      <c r="AX1627" s="94" t="s">
        <v>143</v>
      </c>
      <c r="AY1627" s="61" t="str">
        <f>IFERROR(__xludf.DUMMYFUNCTION("vlookup(BB1627,importrange(""https://docs.google.com/spreadsheets/d/1d2vevQ_7D_v35q4wCQ4RpQ_IPoTwEMB9Yp6ymwlPqew/edit?gid=984458430#gid=984458430"", ""'replication success'!A:K""), 11, FAlSE)"),"#N/A")</f>
        <v>#N/A</v>
      </c>
      <c r="AZ1627" s="61" t="str">
        <f>IFERROR(__xludf.DUMMYFUNCTION("vlookup(BB1627,importrange(""https://docs.google.com/spreadsheets/d/1d2vevQ_7D_v35q4wCQ4RpQ_IPoTwEMB9Yp6ymwlPqew/edit?gid=984458430#gid=984458430"", ""'replication success'!A:M""), 12, FAlSE)"),"#N/A")</f>
        <v>#N/A</v>
      </c>
      <c r="BA1627" s="61" t="str">
        <f>IFERROR(__xludf.DUMMYFUNCTION("vlookup(BB1627,importrange(""https://docs.google.com/spreadsheets/d/1d2vevQ_7D_v35q4wCQ4RpQ_IPoTwEMB9Yp6ymwlPqew/edit?gid=984458430#gid=984458430"", ""'replication success'!A:M""), 13, FAlSE)"),"#N/A")</f>
        <v>#N/A</v>
      </c>
      <c r="BB1627" s="61" t="str">
        <f>IFERROR(__xludf.DUMMYFUNCTION("REGEXREPLACE(G1627, ""_[a-z]{1,2}$"", """")"),"jcre_01_m6a")</f>
        <v>jcre_01_m6a</v>
      </c>
      <c r="BC1627" s="92"/>
      <c r="BD1627" s="92"/>
    </row>
    <row r="1628">
      <c r="A1628" s="44">
        <v>1628.0</v>
      </c>
      <c r="B1628" s="72" t="s">
        <v>523</v>
      </c>
      <c r="C1628" s="72" t="s">
        <v>115</v>
      </c>
      <c r="D1628" s="72" t="s">
        <v>153</v>
      </c>
      <c r="E1628" s="73"/>
      <c r="F1628" s="94" t="s">
        <v>9308</v>
      </c>
      <c r="G1628" s="76" t="s">
        <v>9450</v>
      </c>
      <c r="H1628" s="76" t="s">
        <v>153</v>
      </c>
      <c r="I1628" s="853">
        <v>45478.0</v>
      </c>
      <c r="J1628" s="629">
        <v>45638.0</v>
      </c>
      <c r="K1628" s="75" t="s">
        <v>9326</v>
      </c>
      <c r="L1628" s="82"/>
      <c r="M1628" s="76" t="s">
        <v>9311</v>
      </c>
      <c r="N1628" s="76" t="s">
        <v>9312</v>
      </c>
      <c r="O1628" s="1004">
        <v>1.0</v>
      </c>
      <c r="P1628" s="931" t="s">
        <v>9313</v>
      </c>
      <c r="Q1628" s="52" t="str">
        <f t="array" ref="Q1628"> if(iserror(MATCH(V1628, 'File Links'!C:C, 0)), "N/A", HYPERLINK(INDEX('File Links'!B:B, MATCH(P1628, 'File Links'!C:C, 0))))</f>
        <v>https://drive.google.com/file/d/1EqvEPwgwndawziGmIPqgl3yNKOI51OAS/view?usp=drivesdk</v>
      </c>
      <c r="R1628" s="76" t="s">
        <v>9314</v>
      </c>
      <c r="S1628" s="76" t="s">
        <v>9315</v>
      </c>
      <c r="T1628" s="82"/>
      <c r="U1628" s="1005">
        <v>1.0</v>
      </c>
      <c r="V1628" s="198" t="str">
        <f t="shared" si="114"/>
        <v>10.18718--81781.23.pdf</v>
      </c>
      <c r="W1628" s="75" t="s">
        <v>2016</v>
      </c>
      <c r="X1628" s="54" t="str">
        <f t="array" ref="X1628"> if(iserror(MATCH(V1628, 'File Links'!C:C, 0)), "N/A", HYPERLINK(INDEX('File Links'!B:B, MATCH(V1628, 'File Links'!C:C, 0))))</f>
        <v>https://drive.google.com/file/d/1UFSIBKXNmPXd3__1cxrsTy9PbNax45wB/view?usp=drivesdk</v>
      </c>
      <c r="Y1628" s="82"/>
      <c r="Z1628" s="76" t="s">
        <v>1809</v>
      </c>
      <c r="AA1628" s="82" t="s">
        <v>9327</v>
      </c>
      <c r="AB1628" s="75" t="s">
        <v>9328</v>
      </c>
      <c r="AC1628" s="76" t="s">
        <v>9451</v>
      </c>
      <c r="AD1628" s="82" t="s">
        <v>9351</v>
      </c>
      <c r="AE1628" s="1770">
        <v>18.0</v>
      </c>
      <c r="AF1628" s="635">
        <f t="shared" si="115"/>
        <v>324</v>
      </c>
      <c r="AG1628" s="76" t="s">
        <v>9452</v>
      </c>
      <c r="AH1628" s="99" t="s">
        <v>134</v>
      </c>
      <c r="AI1628" s="76" t="s">
        <v>2442</v>
      </c>
      <c r="AJ1628" s="635">
        <v>0.01</v>
      </c>
      <c r="AK1628" s="95" t="s">
        <v>135</v>
      </c>
      <c r="AL1628" s="76" t="s">
        <v>136</v>
      </c>
      <c r="AM1628" s="82" t="s">
        <v>141</v>
      </c>
      <c r="AN1628" s="330" t="s">
        <v>138</v>
      </c>
      <c r="AO1628" s="635">
        <v>196.0</v>
      </c>
      <c r="AP1628" s="76" t="s">
        <v>9453</v>
      </c>
      <c r="AQ1628" s="76" t="s">
        <v>134</v>
      </c>
      <c r="AR1628" s="76" t="s">
        <v>3721</v>
      </c>
      <c r="AS1628" s="635">
        <v>0.01</v>
      </c>
      <c r="AT1628" s="95" t="s">
        <v>135</v>
      </c>
      <c r="AU1628" s="95" t="s">
        <v>136</v>
      </c>
      <c r="AV1628" s="94" t="s">
        <v>141</v>
      </c>
      <c r="AW1628" s="94"/>
      <c r="AX1628" s="94" t="s">
        <v>143</v>
      </c>
      <c r="AY1628" s="61" t="str">
        <f>IFERROR(__xludf.DUMMYFUNCTION("vlookup(BB1628,importrange(""https://docs.google.com/spreadsheets/d/1d2vevQ_7D_v35q4wCQ4RpQ_IPoTwEMB9Yp6ymwlPqew/edit?gid=984458430#gid=984458430"", ""'replication success'!A:K""), 11, FAlSE)"),"#N/A")</f>
        <v>#N/A</v>
      </c>
      <c r="AZ1628" s="61" t="str">
        <f>IFERROR(__xludf.DUMMYFUNCTION("vlookup(BB1628,importrange(""https://docs.google.com/spreadsheets/d/1d2vevQ_7D_v35q4wCQ4RpQ_IPoTwEMB9Yp6ymwlPqew/edit?gid=984458430#gid=984458430"", ""'replication success'!A:M""), 12, FAlSE)"),"#N/A")</f>
        <v>#N/A</v>
      </c>
      <c r="BA1628" s="61" t="str">
        <f>IFERROR(__xludf.DUMMYFUNCTION("vlookup(BB1628,importrange(""https://docs.google.com/spreadsheets/d/1d2vevQ_7D_v35q4wCQ4RpQ_IPoTwEMB9Yp6ymwlPqew/edit?gid=984458430#gid=984458430"", ""'replication success'!A:M""), 13, FAlSE)"),"#N/A")</f>
        <v>#N/A</v>
      </c>
      <c r="BB1628" s="61" t="str">
        <f>IFERROR(__xludf.DUMMYFUNCTION("REGEXREPLACE(G1628, ""_[a-z]{1,2}$"", """")"),"jcre_01_mt2")</f>
        <v>jcre_01_mt2</v>
      </c>
      <c r="BC1628" s="92"/>
      <c r="BD1628" s="92"/>
    </row>
    <row r="1629">
      <c r="A1629" s="44">
        <v>1629.0</v>
      </c>
      <c r="B1629" s="72" t="s">
        <v>523</v>
      </c>
      <c r="C1629" s="72" t="s">
        <v>115</v>
      </c>
      <c r="D1629" s="72" t="s">
        <v>153</v>
      </c>
      <c r="E1629" s="73"/>
      <c r="F1629" s="94" t="s">
        <v>9308</v>
      </c>
      <c r="G1629" s="76" t="s">
        <v>9454</v>
      </c>
      <c r="H1629" s="76" t="s">
        <v>153</v>
      </c>
      <c r="I1629" s="853">
        <v>45478.0</v>
      </c>
      <c r="J1629" s="629">
        <v>45638.0</v>
      </c>
      <c r="K1629" s="75" t="s">
        <v>9326</v>
      </c>
      <c r="L1629" s="82"/>
      <c r="M1629" s="76" t="s">
        <v>9311</v>
      </c>
      <c r="N1629" s="76" t="s">
        <v>9312</v>
      </c>
      <c r="O1629" s="1004">
        <v>1.0</v>
      </c>
      <c r="P1629" s="931" t="s">
        <v>9313</v>
      </c>
      <c r="Q1629" s="52" t="str">
        <f t="array" ref="Q1629"> if(iserror(MATCH(V1629, 'File Links'!C:C, 0)), "N/A", HYPERLINK(INDEX('File Links'!B:B, MATCH(P1629, 'File Links'!C:C, 0))))</f>
        <v>https://drive.google.com/file/d/1EqvEPwgwndawziGmIPqgl3yNKOI51OAS/view?usp=drivesdk</v>
      </c>
      <c r="R1629" s="76" t="s">
        <v>9314</v>
      </c>
      <c r="S1629" s="76" t="s">
        <v>9315</v>
      </c>
      <c r="T1629" s="82"/>
      <c r="U1629" s="1005">
        <v>1.0</v>
      </c>
      <c r="V1629" s="198" t="str">
        <f t="shared" si="114"/>
        <v>10.18718--81781.23.pdf</v>
      </c>
      <c r="W1629" s="75" t="s">
        <v>2016</v>
      </c>
      <c r="X1629" s="54" t="str">
        <f t="array" ref="X1629"> if(iserror(MATCH(V1629, 'File Links'!C:C, 0)), "N/A", HYPERLINK(INDEX('File Links'!B:B, MATCH(V1629, 'File Links'!C:C, 0))))</f>
        <v>https://drive.google.com/file/d/1UFSIBKXNmPXd3__1cxrsTy9PbNax45wB/view?usp=drivesdk</v>
      </c>
      <c r="Y1629" s="82"/>
      <c r="Z1629" s="76" t="s">
        <v>1809</v>
      </c>
      <c r="AA1629" s="82" t="s">
        <v>9327</v>
      </c>
      <c r="AB1629" s="75" t="s">
        <v>9328</v>
      </c>
      <c r="AC1629" s="75" t="s">
        <v>9451</v>
      </c>
      <c r="AD1629" s="82" t="s">
        <v>9351</v>
      </c>
      <c r="AE1629" s="1770">
        <v>18.0</v>
      </c>
      <c r="AF1629" s="635">
        <f t="shared" si="115"/>
        <v>324</v>
      </c>
      <c r="AG1629" s="76" t="s">
        <v>9455</v>
      </c>
      <c r="AH1629" s="99" t="s">
        <v>134</v>
      </c>
      <c r="AI1629" s="76" t="s">
        <v>2441</v>
      </c>
      <c r="AJ1629" s="635">
        <v>0.1</v>
      </c>
      <c r="AK1629" s="95" t="s">
        <v>135</v>
      </c>
      <c r="AL1629" s="76" t="s">
        <v>136</v>
      </c>
      <c r="AM1629" s="82" t="s">
        <v>141</v>
      </c>
      <c r="AN1629" s="330" t="s">
        <v>138</v>
      </c>
      <c r="AO1629" s="635">
        <v>185.0</v>
      </c>
      <c r="AP1629" s="76" t="s">
        <v>9456</v>
      </c>
      <c r="AQ1629" s="76" t="s">
        <v>134</v>
      </c>
      <c r="AR1629" s="76" t="s">
        <v>7749</v>
      </c>
      <c r="AS1629" s="635">
        <v>0.01</v>
      </c>
      <c r="AT1629" s="95" t="s">
        <v>135</v>
      </c>
      <c r="AU1629" s="95" t="s">
        <v>136</v>
      </c>
      <c r="AV1629" s="94" t="s">
        <v>141</v>
      </c>
      <c r="AW1629" s="94"/>
      <c r="AX1629" s="94" t="s">
        <v>143</v>
      </c>
      <c r="AY1629" s="61" t="str">
        <f>IFERROR(__xludf.DUMMYFUNCTION("vlookup(BB1629,importrange(""https://docs.google.com/spreadsheets/d/1d2vevQ_7D_v35q4wCQ4RpQ_IPoTwEMB9Yp6ymwlPqew/edit?gid=984458430#gid=984458430"", ""'replication success'!A:K""), 11, FAlSE)"),"#N/A")</f>
        <v>#N/A</v>
      </c>
      <c r="AZ1629" s="61" t="str">
        <f>IFERROR(__xludf.DUMMYFUNCTION("vlookup(BB1629,importrange(""https://docs.google.com/spreadsheets/d/1d2vevQ_7D_v35q4wCQ4RpQ_IPoTwEMB9Yp6ymwlPqew/edit?gid=984458430#gid=984458430"", ""'replication success'!A:M""), 12, FAlSE)"),"#N/A")</f>
        <v>#N/A</v>
      </c>
      <c r="BA1629" s="61" t="str">
        <f>IFERROR(__xludf.DUMMYFUNCTION("vlookup(BB1629,importrange(""https://docs.google.com/spreadsheets/d/1d2vevQ_7D_v35q4wCQ4RpQ_IPoTwEMB9Yp6ymwlPqew/edit?gid=984458430#gid=984458430"", ""'replication success'!A:M""), 13, FAlSE)"),"#N/A")</f>
        <v>#N/A</v>
      </c>
      <c r="BB1629" s="61" t="str">
        <f>IFERROR(__xludf.DUMMYFUNCTION("REGEXREPLACE(G1629, ""_[a-z]{1,2}$"", """")"),"jcre_01_mt2a")</f>
        <v>jcre_01_mt2a</v>
      </c>
      <c r="BC1629" s="92"/>
      <c r="BD1629" s="92"/>
    </row>
    <row r="1630">
      <c r="A1630" s="44">
        <v>1630.0</v>
      </c>
      <c r="B1630" s="72" t="s">
        <v>523</v>
      </c>
      <c r="C1630" s="72" t="s">
        <v>115</v>
      </c>
      <c r="D1630" s="72" t="s">
        <v>153</v>
      </c>
      <c r="E1630" s="73"/>
      <c r="F1630" s="94" t="s">
        <v>9308</v>
      </c>
      <c r="G1630" s="76" t="s">
        <v>9457</v>
      </c>
      <c r="H1630" s="76" t="s">
        <v>153</v>
      </c>
      <c r="I1630" s="853">
        <v>45478.0</v>
      </c>
      <c r="J1630" s="629">
        <v>45638.0</v>
      </c>
      <c r="K1630" s="75" t="s">
        <v>9326</v>
      </c>
      <c r="L1630" s="82"/>
      <c r="M1630" s="76" t="s">
        <v>9311</v>
      </c>
      <c r="N1630" s="76" t="s">
        <v>9312</v>
      </c>
      <c r="O1630" s="1004">
        <v>1.0</v>
      </c>
      <c r="P1630" s="931" t="s">
        <v>9313</v>
      </c>
      <c r="Q1630" s="52" t="str">
        <f t="array" ref="Q1630"> if(iserror(MATCH(V1630, 'File Links'!C:C, 0)), "N/A", HYPERLINK(INDEX('File Links'!B:B, MATCH(P1630, 'File Links'!C:C, 0))))</f>
        <v>https://drive.google.com/file/d/1EqvEPwgwndawziGmIPqgl3yNKOI51OAS/view?usp=drivesdk</v>
      </c>
      <c r="R1630" s="76" t="s">
        <v>9314</v>
      </c>
      <c r="S1630" s="76" t="s">
        <v>9315</v>
      </c>
      <c r="T1630" s="82"/>
      <c r="U1630" s="1005">
        <v>1.0</v>
      </c>
      <c r="V1630" s="198" t="str">
        <f t="shared" si="114"/>
        <v>10.18718--81781.23.pdf</v>
      </c>
      <c r="W1630" s="75" t="s">
        <v>2016</v>
      </c>
      <c r="X1630" s="54" t="str">
        <f t="array" ref="X1630"> if(iserror(MATCH(V1630, 'File Links'!C:C, 0)), "N/A", HYPERLINK(INDEX('File Links'!B:B, MATCH(V1630, 'File Links'!C:C, 0))))</f>
        <v>https://drive.google.com/file/d/1UFSIBKXNmPXd3__1cxrsTy9PbNax45wB/view?usp=drivesdk</v>
      </c>
      <c r="Y1630" s="82"/>
      <c r="Z1630" s="76" t="s">
        <v>1809</v>
      </c>
      <c r="AA1630" s="82" t="s">
        <v>9327</v>
      </c>
      <c r="AB1630" s="75" t="s">
        <v>9328</v>
      </c>
      <c r="AC1630" s="75" t="s">
        <v>9458</v>
      </c>
      <c r="AD1630" s="82" t="s">
        <v>9438</v>
      </c>
      <c r="AE1630" s="1770">
        <v>26.0</v>
      </c>
      <c r="AF1630" s="635">
        <f t="shared" si="115"/>
        <v>324</v>
      </c>
      <c r="AG1630" s="82" t="s">
        <v>9459</v>
      </c>
      <c r="AH1630" s="99" t="s">
        <v>134</v>
      </c>
      <c r="AI1630" s="76" t="s">
        <v>2442</v>
      </c>
      <c r="AJ1630" s="635">
        <v>0.05</v>
      </c>
      <c r="AK1630" s="95" t="s">
        <v>335</v>
      </c>
      <c r="AL1630" s="76" t="s">
        <v>136</v>
      </c>
      <c r="AM1630" s="82" t="s">
        <v>141</v>
      </c>
      <c r="AN1630" s="330" t="s">
        <v>138</v>
      </c>
      <c r="AO1630" s="635">
        <v>196.0</v>
      </c>
      <c r="AP1630" s="76" t="s">
        <v>9460</v>
      </c>
      <c r="AQ1630" s="76" t="s">
        <v>134</v>
      </c>
      <c r="AR1630" s="76" t="s">
        <v>2022</v>
      </c>
      <c r="AS1630" s="635">
        <v>0.01</v>
      </c>
      <c r="AT1630" s="95" t="s">
        <v>135</v>
      </c>
      <c r="AU1630" s="95" t="s">
        <v>136</v>
      </c>
      <c r="AV1630" s="94" t="s">
        <v>141</v>
      </c>
      <c r="AW1630" s="94"/>
      <c r="AX1630" s="94" t="s">
        <v>143</v>
      </c>
      <c r="AY1630" s="61" t="str">
        <f>IFERROR(__xludf.DUMMYFUNCTION("vlookup(BB1630,importrange(""https://docs.google.com/spreadsheets/d/1d2vevQ_7D_v35q4wCQ4RpQ_IPoTwEMB9Yp6ymwlPqew/edit?gid=984458430#gid=984458430"", ""'replication success'!A:K""), 11, FAlSE)"),"#N/A")</f>
        <v>#N/A</v>
      </c>
      <c r="AZ1630" s="61" t="str">
        <f>IFERROR(__xludf.DUMMYFUNCTION("vlookup(BB1630,importrange(""https://docs.google.com/spreadsheets/d/1d2vevQ_7D_v35q4wCQ4RpQ_IPoTwEMB9Yp6ymwlPqew/edit?gid=984458430#gid=984458430"", ""'replication success'!A:M""), 12, FAlSE)"),"#N/A")</f>
        <v>#N/A</v>
      </c>
      <c r="BA1630" s="61" t="str">
        <f>IFERROR(__xludf.DUMMYFUNCTION("vlookup(BB1630,importrange(""https://docs.google.com/spreadsheets/d/1d2vevQ_7D_v35q4wCQ4RpQ_IPoTwEMB9Yp6ymwlPqew/edit?gid=984458430#gid=984458430"", ""'replication success'!A:M""), 13, FAlSE)"),"#N/A")</f>
        <v>#N/A</v>
      </c>
      <c r="BB1630" s="61" t="str">
        <f>IFERROR(__xludf.DUMMYFUNCTION("REGEXREPLACE(G1630, ""_[a-z]{1,2}$"", """")"),"jcre_01_mt3")</f>
        <v>jcre_01_mt3</v>
      </c>
      <c r="BC1630" s="92"/>
      <c r="BD1630" s="92"/>
    </row>
    <row r="1631">
      <c r="A1631" s="44">
        <v>1631.0</v>
      </c>
      <c r="B1631" s="72" t="s">
        <v>523</v>
      </c>
      <c r="C1631" s="72" t="s">
        <v>115</v>
      </c>
      <c r="D1631" s="72" t="s">
        <v>153</v>
      </c>
      <c r="E1631" s="73"/>
      <c r="F1631" s="94" t="s">
        <v>9308</v>
      </c>
      <c r="G1631" s="76" t="s">
        <v>9461</v>
      </c>
      <c r="H1631" s="76" t="s">
        <v>153</v>
      </c>
      <c r="I1631" s="853">
        <v>45478.0</v>
      </c>
      <c r="J1631" s="629">
        <v>45638.0</v>
      </c>
      <c r="K1631" s="75" t="s">
        <v>9326</v>
      </c>
      <c r="L1631" s="82"/>
      <c r="M1631" s="76" t="s">
        <v>9311</v>
      </c>
      <c r="N1631" s="76" t="s">
        <v>9312</v>
      </c>
      <c r="O1631" s="1004">
        <v>1.0</v>
      </c>
      <c r="P1631" s="931" t="s">
        <v>9313</v>
      </c>
      <c r="Q1631" s="52" t="str">
        <f t="array" ref="Q1631"> if(iserror(MATCH(V1631, 'File Links'!C:C, 0)), "N/A", HYPERLINK(INDEX('File Links'!B:B, MATCH(P1631, 'File Links'!C:C, 0))))</f>
        <v>https://drive.google.com/file/d/1EqvEPwgwndawziGmIPqgl3yNKOI51OAS/view?usp=drivesdk</v>
      </c>
      <c r="R1631" s="76" t="s">
        <v>9314</v>
      </c>
      <c r="S1631" s="76" t="s">
        <v>9315</v>
      </c>
      <c r="T1631" s="82"/>
      <c r="U1631" s="1005">
        <v>1.0</v>
      </c>
      <c r="V1631" s="198" t="str">
        <f t="shared" si="114"/>
        <v>10.18718--81781.23.pdf</v>
      </c>
      <c r="W1631" s="75" t="s">
        <v>2016</v>
      </c>
      <c r="X1631" s="54" t="str">
        <f t="array" ref="X1631"> if(iserror(MATCH(V1631, 'File Links'!C:C, 0)), "N/A", HYPERLINK(INDEX('File Links'!B:B, MATCH(V1631, 'File Links'!C:C, 0))))</f>
        <v>https://drive.google.com/file/d/1UFSIBKXNmPXd3__1cxrsTy9PbNax45wB/view?usp=drivesdk</v>
      </c>
      <c r="Y1631" s="82"/>
      <c r="Z1631" s="76" t="s">
        <v>1809</v>
      </c>
      <c r="AA1631" s="82" t="s">
        <v>9327</v>
      </c>
      <c r="AB1631" s="75" t="s">
        <v>9328</v>
      </c>
      <c r="AC1631" s="75" t="s">
        <v>9458</v>
      </c>
      <c r="AD1631" s="82" t="s">
        <v>9438</v>
      </c>
      <c r="AE1631" s="1770">
        <v>26.0</v>
      </c>
      <c r="AF1631" s="635">
        <f t="shared" si="115"/>
        <v>324</v>
      </c>
      <c r="AG1631" s="82" t="s">
        <v>9462</v>
      </c>
      <c r="AH1631" s="99" t="s">
        <v>134</v>
      </c>
      <c r="AI1631" s="76" t="s">
        <v>2441</v>
      </c>
      <c r="AJ1631" s="635">
        <v>0.1</v>
      </c>
      <c r="AK1631" s="95" t="s">
        <v>135</v>
      </c>
      <c r="AL1631" s="76" t="s">
        <v>136</v>
      </c>
      <c r="AM1631" s="82" t="s">
        <v>141</v>
      </c>
      <c r="AN1631" s="330" t="s">
        <v>138</v>
      </c>
      <c r="AO1631" s="635">
        <v>185.0</v>
      </c>
      <c r="AP1631" s="76" t="s">
        <v>9463</v>
      </c>
      <c r="AQ1631" s="76" t="s">
        <v>134</v>
      </c>
      <c r="AR1631" s="76" t="s">
        <v>1173</v>
      </c>
      <c r="AS1631" s="635">
        <v>0.01</v>
      </c>
      <c r="AT1631" s="95" t="s">
        <v>135</v>
      </c>
      <c r="AU1631" s="95" t="s">
        <v>136</v>
      </c>
      <c r="AV1631" s="94" t="s">
        <v>141</v>
      </c>
      <c r="AW1631" s="94"/>
      <c r="AX1631" s="94" t="s">
        <v>143</v>
      </c>
      <c r="AY1631" s="61" t="str">
        <f>IFERROR(__xludf.DUMMYFUNCTION("vlookup(BB1631,importrange(""https://docs.google.com/spreadsheets/d/1d2vevQ_7D_v35q4wCQ4RpQ_IPoTwEMB9Yp6ymwlPqew/edit?gid=984458430#gid=984458430"", ""'replication success'!A:K""), 11, FAlSE)"),"#N/A")</f>
        <v>#N/A</v>
      </c>
      <c r="AZ1631" s="61" t="str">
        <f>IFERROR(__xludf.DUMMYFUNCTION("vlookup(BB1631,importrange(""https://docs.google.com/spreadsheets/d/1d2vevQ_7D_v35q4wCQ4RpQ_IPoTwEMB9Yp6ymwlPqew/edit?gid=984458430#gid=984458430"", ""'replication success'!A:M""), 12, FAlSE)"),"#N/A")</f>
        <v>#N/A</v>
      </c>
      <c r="BA1631" s="61" t="str">
        <f>IFERROR(__xludf.DUMMYFUNCTION("vlookup(BB1631,importrange(""https://docs.google.com/spreadsheets/d/1d2vevQ_7D_v35q4wCQ4RpQ_IPoTwEMB9Yp6ymwlPqew/edit?gid=984458430#gid=984458430"", ""'replication success'!A:M""), 13, FAlSE)"),"#N/A")</f>
        <v>#N/A</v>
      </c>
      <c r="BB1631" s="61" t="str">
        <f>IFERROR(__xludf.DUMMYFUNCTION("REGEXREPLACE(G1631, ""_[a-z]{1,2}$"", """")"),"jcre_01_mt3a")</f>
        <v>jcre_01_mt3a</v>
      </c>
      <c r="BC1631" s="92"/>
      <c r="BD1631" s="92"/>
    </row>
    <row r="1632">
      <c r="A1632" s="44">
        <v>1632.0</v>
      </c>
      <c r="B1632" s="72" t="s">
        <v>523</v>
      </c>
      <c r="C1632" s="72" t="s">
        <v>115</v>
      </c>
      <c r="D1632" s="72" t="s">
        <v>153</v>
      </c>
      <c r="E1632" s="73"/>
      <c r="F1632" s="94" t="s">
        <v>9308</v>
      </c>
      <c r="G1632" s="76" t="s">
        <v>9464</v>
      </c>
      <c r="H1632" s="76" t="s">
        <v>153</v>
      </c>
      <c r="I1632" s="853">
        <v>45478.0</v>
      </c>
      <c r="J1632" s="629">
        <v>45638.0</v>
      </c>
      <c r="K1632" s="75" t="s">
        <v>9326</v>
      </c>
      <c r="L1632" s="82"/>
      <c r="M1632" s="76" t="s">
        <v>9311</v>
      </c>
      <c r="N1632" s="76" t="s">
        <v>9312</v>
      </c>
      <c r="O1632" s="1004">
        <v>1.0</v>
      </c>
      <c r="P1632" s="931" t="s">
        <v>9313</v>
      </c>
      <c r="Q1632" s="52" t="str">
        <f t="array" ref="Q1632"> if(iserror(MATCH(V1632, 'File Links'!C:C, 0)), "N/A", HYPERLINK(INDEX('File Links'!B:B, MATCH(P1632, 'File Links'!C:C, 0))))</f>
        <v>https://drive.google.com/file/d/1EqvEPwgwndawziGmIPqgl3yNKOI51OAS/view?usp=drivesdk</v>
      </c>
      <c r="R1632" s="76" t="s">
        <v>9314</v>
      </c>
      <c r="S1632" s="76" t="s">
        <v>9315</v>
      </c>
      <c r="T1632" s="82"/>
      <c r="U1632" s="1005">
        <v>1.0</v>
      </c>
      <c r="V1632" s="198" t="str">
        <f t="shared" si="114"/>
        <v>10.18718--81781.23.pdf</v>
      </c>
      <c r="W1632" s="75" t="s">
        <v>2016</v>
      </c>
      <c r="X1632" s="54" t="str">
        <f t="array" ref="X1632"> if(iserror(MATCH(V1632, 'File Links'!C:C, 0)), "N/A", HYPERLINK(INDEX('File Links'!B:B, MATCH(V1632, 'File Links'!C:C, 0))))</f>
        <v>https://drive.google.com/file/d/1UFSIBKXNmPXd3__1cxrsTy9PbNax45wB/view?usp=drivesdk</v>
      </c>
      <c r="Y1632" s="82"/>
      <c r="Z1632" s="76" t="s">
        <v>1809</v>
      </c>
      <c r="AA1632" s="82" t="s">
        <v>9327</v>
      </c>
      <c r="AB1632" s="75" t="s">
        <v>9328</v>
      </c>
      <c r="AC1632" s="75" t="s">
        <v>9451</v>
      </c>
      <c r="AD1632" s="82" t="s">
        <v>9351</v>
      </c>
      <c r="AE1632" s="1770">
        <v>18.0</v>
      </c>
      <c r="AF1632" s="635">
        <f t="shared" si="115"/>
        <v>324</v>
      </c>
      <c r="AG1632" s="76" t="s">
        <v>9465</v>
      </c>
      <c r="AH1632" s="99" t="s">
        <v>134</v>
      </c>
      <c r="AI1632" s="76" t="s">
        <v>2442</v>
      </c>
      <c r="AJ1632" s="635">
        <v>0.01</v>
      </c>
      <c r="AK1632" s="95" t="s">
        <v>135</v>
      </c>
      <c r="AL1632" s="76" t="s">
        <v>136</v>
      </c>
      <c r="AM1632" s="82" t="s">
        <v>141</v>
      </c>
      <c r="AN1632" s="330" t="s">
        <v>138</v>
      </c>
      <c r="AO1632" s="635">
        <v>196.0</v>
      </c>
      <c r="AP1632" s="76" t="s">
        <v>9466</v>
      </c>
      <c r="AQ1632" s="76" t="s">
        <v>134</v>
      </c>
      <c r="AR1632" s="76" t="s">
        <v>9246</v>
      </c>
      <c r="AS1632" s="635">
        <v>0.1</v>
      </c>
      <c r="AT1632" s="95" t="s">
        <v>135</v>
      </c>
      <c r="AU1632" s="95" t="s">
        <v>136</v>
      </c>
      <c r="AV1632" s="94" t="s">
        <v>141</v>
      </c>
      <c r="AW1632" s="94"/>
      <c r="AX1632" s="94" t="s">
        <v>143</v>
      </c>
      <c r="AY1632" s="61" t="str">
        <f>IFERROR(__xludf.DUMMYFUNCTION("vlookup(BB1632,importrange(""https://docs.google.com/spreadsheets/d/1d2vevQ_7D_v35q4wCQ4RpQ_IPoTwEMB9Yp6ymwlPqew/edit?gid=984458430#gid=984458430"", ""'replication success'!A:K""), 11, FAlSE)"),"#N/A")</f>
        <v>#N/A</v>
      </c>
      <c r="AZ1632" s="61" t="str">
        <f>IFERROR(__xludf.DUMMYFUNCTION("vlookup(BB1632,importrange(""https://docs.google.com/spreadsheets/d/1d2vevQ_7D_v35q4wCQ4RpQ_IPoTwEMB9Yp6ymwlPqew/edit?gid=984458430#gid=984458430"", ""'replication success'!A:M""), 12, FAlSE)"),"#N/A")</f>
        <v>#N/A</v>
      </c>
      <c r="BA1632" s="61" t="str">
        <f>IFERROR(__xludf.DUMMYFUNCTION("vlookup(BB1632,importrange(""https://docs.google.com/spreadsheets/d/1d2vevQ_7D_v35q4wCQ4RpQ_IPoTwEMB9Yp6ymwlPqew/edit?gid=984458430#gid=984458430"", ""'replication success'!A:M""), 13, FAlSE)"),"#N/A")</f>
        <v>#N/A</v>
      </c>
      <c r="BB1632" s="61" t="str">
        <f>IFERROR(__xludf.DUMMYFUNCTION("REGEXREPLACE(G1632, ""_[a-z]{1,2}$"", """")"),"jcre_01_mt6")</f>
        <v>jcre_01_mt6</v>
      </c>
      <c r="BC1632" s="92"/>
      <c r="BD1632" s="92"/>
    </row>
    <row r="1633">
      <c r="A1633" s="44">
        <v>1633.0</v>
      </c>
      <c r="B1633" s="72" t="s">
        <v>523</v>
      </c>
      <c r="C1633" s="72" t="s">
        <v>115</v>
      </c>
      <c r="D1633" s="72" t="s">
        <v>153</v>
      </c>
      <c r="E1633" s="73"/>
      <c r="F1633" s="94" t="s">
        <v>9308</v>
      </c>
      <c r="G1633" s="76" t="s">
        <v>9467</v>
      </c>
      <c r="H1633" s="76" t="s">
        <v>153</v>
      </c>
      <c r="I1633" s="853">
        <v>45478.0</v>
      </c>
      <c r="J1633" s="629">
        <v>45638.0</v>
      </c>
      <c r="K1633" s="75" t="s">
        <v>9326</v>
      </c>
      <c r="L1633" s="82"/>
      <c r="M1633" s="76" t="s">
        <v>9311</v>
      </c>
      <c r="N1633" s="76" t="s">
        <v>9312</v>
      </c>
      <c r="O1633" s="1004">
        <v>1.0</v>
      </c>
      <c r="P1633" s="931" t="s">
        <v>9313</v>
      </c>
      <c r="Q1633" s="52" t="str">
        <f t="array" ref="Q1633"> if(iserror(MATCH(V1633, 'File Links'!C:C, 0)), "N/A", HYPERLINK(INDEX('File Links'!B:B, MATCH(P1633, 'File Links'!C:C, 0))))</f>
        <v>https://drive.google.com/file/d/1EqvEPwgwndawziGmIPqgl3yNKOI51OAS/view?usp=drivesdk</v>
      </c>
      <c r="R1633" s="76" t="s">
        <v>9314</v>
      </c>
      <c r="S1633" s="76" t="s">
        <v>9315</v>
      </c>
      <c r="T1633" s="82"/>
      <c r="U1633" s="1005">
        <v>1.0</v>
      </c>
      <c r="V1633" s="198" t="str">
        <f t="shared" si="114"/>
        <v>10.18718--81781.23.pdf</v>
      </c>
      <c r="W1633" s="75" t="s">
        <v>2016</v>
      </c>
      <c r="X1633" s="54" t="str">
        <f t="array" ref="X1633"> if(iserror(MATCH(V1633, 'File Links'!C:C, 0)), "N/A", HYPERLINK(INDEX('File Links'!B:B, MATCH(V1633, 'File Links'!C:C, 0))))</f>
        <v>https://drive.google.com/file/d/1UFSIBKXNmPXd3__1cxrsTy9PbNax45wB/view?usp=drivesdk</v>
      </c>
      <c r="Y1633" s="82"/>
      <c r="Z1633" s="76" t="s">
        <v>1809</v>
      </c>
      <c r="AA1633" s="82" t="s">
        <v>9327</v>
      </c>
      <c r="AB1633" s="75" t="s">
        <v>9328</v>
      </c>
      <c r="AC1633" s="75" t="s">
        <v>9451</v>
      </c>
      <c r="AD1633" s="82" t="s">
        <v>9351</v>
      </c>
      <c r="AE1633" s="1770">
        <v>18.0</v>
      </c>
      <c r="AF1633" s="635">
        <f t="shared" si="115"/>
        <v>324</v>
      </c>
      <c r="AG1633" s="76" t="s">
        <v>9468</v>
      </c>
      <c r="AH1633" s="99" t="s">
        <v>134</v>
      </c>
      <c r="AI1633" s="76" t="s">
        <v>2441</v>
      </c>
      <c r="AJ1633" s="635">
        <v>0.01</v>
      </c>
      <c r="AK1633" s="95" t="s">
        <v>135</v>
      </c>
      <c r="AL1633" s="76" t="s">
        <v>136</v>
      </c>
      <c r="AM1633" s="82" t="s">
        <v>141</v>
      </c>
      <c r="AN1633" s="330" t="s">
        <v>138</v>
      </c>
      <c r="AO1633" s="635">
        <v>185.0</v>
      </c>
      <c r="AP1633" s="76" t="s">
        <v>9469</v>
      </c>
      <c r="AQ1633" s="76" t="s">
        <v>134</v>
      </c>
      <c r="AR1633" s="76" t="s">
        <v>1819</v>
      </c>
      <c r="AS1633" s="635">
        <v>0.05</v>
      </c>
      <c r="AT1633" s="95" t="s">
        <v>135</v>
      </c>
      <c r="AU1633" s="95" t="s">
        <v>136</v>
      </c>
      <c r="AV1633" s="94" t="s">
        <v>141</v>
      </c>
      <c r="AW1633" s="94"/>
      <c r="AX1633" s="94" t="s">
        <v>143</v>
      </c>
      <c r="AY1633" s="61" t="str">
        <f>IFERROR(__xludf.DUMMYFUNCTION("vlookup(BB1633,importrange(""https://docs.google.com/spreadsheets/d/1d2vevQ_7D_v35q4wCQ4RpQ_IPoTwEMB9Yp6ymwlPqew/edit?gid=984458430#gid=984458430"", ""'replication success'!A:K""), 11, FAlSE)"),"#N/A")</f>
        <v>#N/A</v>
      </c>
      <c r="AZ1633" s="61" t="str">
        <f>IFERROR(__xludf.DUMMYFUNCTION("vlookup(BB1633,importrange(""https://docs.google.com/spreadsheets/d/1d2vevQ_7D_v35q4wCQ4RpQ_IPoTwEMB9Yp6ymwlPqew/edit?gid=984458430#gid=984458430"", ""'replication success'!A:M""), 12, FAlSE)"),"#N/A")</f>
        <v>#N/A</v>
      </c>
      <c r="BA1633" s="61" t="str">
        <f>IFERROR(__xludf.DUMMYFUNCTION("vlookup(BB1633,importrange(""https://docs.google.com/spreadsheets/d/1d2vevQ_7D_v35q4wCQ4RpQ_IPoTwEMB9Yp6ymwlPqew/edit?gid=984458430#gid=984458430"", ""'replication success'!A:M""), 13, FAlSE)"),"#N/A")</f>
        <v>#N/A</v>
      </c>
      <c r="BB1633" s="61" t="str">
        <f>IFERROR(__xludf.DUMMYFUNCTION("REGEXREPLACE(G1633, ""_[a-z]{1,2}$"", """")"),"jcre_01_mt6a")</f>
        <v>jcre_01_mt6a</v>
      </c>
      <c r="BC1633" s="92"/>
      <c r="BD1633" s="92"/>
    </row>
    <row r="1634">
      <c r="A1634" s="44">
        <v>1634.0</v>
      </c>
      <c r="B1634" s="72" t="s">
        <v>523</v>
      </c>
      <c r="C1634" s="72" t="s">
        <v>115</v>
      </c>
      <c r="D1634" s="72" t="s">
        <v>153</v>
      </c>
      <c r="E1634" s="73"/>
      <c r="F1634" s="94" t="s">
        <v>9308</v>
      </c>
      <c r="G1634" s="76" t="s">
        <v>9470</v>
      </c>
      <c r="H1634" s="76" t="s">
        <v>153</v>
      </c>
      <c r="I1634" s="853">
        <v>45478.0</v>
      </c>
      <c r="J1634" s="629">
        <v>45638.0</v>
      </c>
      <c r="K1634" s="75" t="s">
        <v>9326</v>
      </c>
      <c r="L1634" s="82"/>
      <c r="M1634" s="76" t="s">
        <v>9311</v>
      </c>
      <c r="N1634" s="76" t="s">
        <v>9312</v>
      </c>
      <c r="O1634" s="1004">
        <v>1.0</v>
      </c>
      <c r="P1634" s="931" t="s">
        <v>9313</v>
      </c>
      <c r="Q1634" s="52" t="str">
        <f t="array" ref="Q1634"> if(iserror(MATCH(V1634, 'File Links'!C:C, 0)), "N/A", HYPERLINK(INDEX('File Links'!B:B, MATCH(P1634, 'File Links'!C:C, 0))))</f>
        <v>https://drive.google.com/file/d/1EqvEPwgwndawziGmIPqgl3yNKOI51OAS/view?usp=drivesdk</v>
      </c>
      <c r="R1634" s="76" t="s">
        <v>9314</v>
      </c>
      <c r="S1634" s="76" t="s">
        <v>9315</v>
      </c>
      <c r="T1634" s="82"/>
      <c r="U1634" s="1005">
        <v>1.0</v>
      </c>
      <c r="V1634" s="198" t="str">
        <f t="shared" si="114"/>
        <v>10.18718--81781.23.pdf</v>
      </c>
      <c r="W1634" s="75" t="s">
        <v>2016</v>
      </c>
      <c r="X1634" s="54" t="str">
        <f t="array" ref="X1634"> if(iserror(MATCH(V1634, 'File Links'!C:C, 0)), "N/A", HYPERLINK(INDEX('File Links'!B:B, MATCH(V1634, 'File Links'!C:C, 0))))</f>
        <v>https://drive.google.com/file/d/1UFSIBKXNmPXd3__1cxrsTy9PbNax45wB/view?usp=drivesdk</v>
      </c>
      <c r="Y1634" s="82"/>
      <c r="Z1634" s="76" t="s">
        <v>1809</v>
      </c>
      <c r="AA1634" s="82" t="s">
        <v>9327</v>
      </c>
      <c r="AB1634" s="75" t="s">
        <v>9328</v>
      </c>
      <c r="AC1634" s="75" t="s">
        <v>9471</v>
      </c>
      <c r="AD1634" s="82" t="s">
        <v>9472</v>
      </c>
      <c r="AE1634" s="1770">
        <v>26.0</v>
      </c>
      <c r="AF1634" s="635">
        <f t="shared" si="115"/>
        <v>324</v>
      </c>
      <c r="AG1634" s="76" t="s">
        <v>9473</v>
      </c>
      <c r="AH1634" s="99" t="s">
        <v>134</v>
      </c>
      <c r="AI1634" s="76" t="s">
        <v>2442</v>
      </c>
      <c r="AJ1634" s="635">
        <v>0.05</v>
      </c>
      <c r="AK1634" s="95" t="s">
        <v>335</v>
      </c>
      <c r="AL1634" s="76" t="s">
        <v>136</v>
      </c>
      <c r="AM1634" s="82" t="s">
        <v>141</v>
      </c>
      <c r="AN1634" s="330" t="s">
        <v>138</v>
      </c>
      <c r="AO1634" s="635">
        <v>196.0</v>
      </c>
      <c r="AP1634" s="76" t="s">
        <v>9474</v>
      </c>
      <c r="AQ1634" s="76" t="s">
        <v>134</v>
      </c>
      <c r="AR1634" s="76" t="s">
        <v>3721</v>
      </c>
      <c r="AS1634" s="635">
        <v>0.05</v>
      </c>
      <c r="AT1634" s="95" t="s">
        <v>335</v>
      </c>
      <c r="AU1634" s="95" t="s">
        <v>136</v>
      </c>
      <c r="AV1634" s="94" t="s">
        <v>141</v>
      </c>
      <c r="AW1634" s="94"/>
      <c r="AX1634" s="94" t="s">
        <v>143</v>
      </c>
      <c r="AY1634" s="61" t="str">
        <f>IFERROR(__xludf.DUMMYFUNCTION("vlookup(BB1634,importrange(""https://docs.google.com/spreadsheets/d/1d2vevQ_7D_v35q4wCQ4RpQ_IPoTwEMB9Yp6ymwlPqew/edit?gid=984458430#gid=984458430"", ""'replication success'!A:K""), 11, FAlSE)"),"#N/A")</f>
        <v>#N/A</v>
      </c>
      <c r="AZ1634" s="61" t="str">
        <f>IFERROR(__xludf.DUMMYFUNCTION("vlookup(BB1634,importrange(""https://docs.google.com/spreadsheets/d/1d2vevQ_7D_v35q4wCQ4RpQ_IPoTwEMB9Yp6ymwlPqew/edit?gid=984458430#gid=984458430"", ""'replication success'!A:M""), 12, FAlSE)"),"#N/A")</f>
        <v>#N/A</v>
      </c>
      <c r="BA1634" s="61" t="str">
        <f>IFERROR(__xludf.DUMMYFUNCTION("vlookup(BB1634,importrange(""https://docs.google.com/spreadsheets/d/1d2vevQ_7D_v35q4wCQ4RpQ_IPoTwEMB9Yp6ymwlPqew/edit?gid=984458430#gid=984458430"", ""'replication success'!A:M""), 13, FAlSE)"),"#N/A")</f>
        <v>#N/A</v>
      </c>
      <c r="BB1634" s="61" t="str">
        <f>IFERROR(__xludf.DUMMYFUNCTION("REGEXREPLACE(G1634, ""_[a-z]{1,2}$"", """")"),"jcre_01_r2")</f>
        <v>jcre_01_r2</v>
      </c>
      <c r="BC1634" s="92"/>
      <c r="BD1634" s="92"/>
    </row>
    <row r="1635">
      <c r="A1635" s="44">
        <v>1635.0</v>
      </c>
      <c r="B1635" s="72" t="s">
        <v>523</v>
      </c>
      <c r="C1635" s="72" t="s">
        <v>115</v>
      </c>
      <c r="D1635" s="72" t="s">
        <v>153</v>
      </c>
      <c r="E1635" s="73"/>
      <c r="F1635" s="94" t="s">
        <v>9308</v>
      </c>
      <c r="G1635" s="76" t="s">
        <v>9470</v>
      </c>
      <c r="H1635" s="76" t="s">
        <v>153</v>
      </c>
      <c r="I1635" s="853">
        <v>45478.0</v>
      </c>
      <c r="J1635" s="629">
        <v>45638.0</v>
      </c>
      <c r="K1635" s="75" t="s">
        <v>9326</v>
      </c>
      <c r="L1635" s="82"/>
      <c r="M1635" s="76" t="s">
        <v>9311</v>
      </c>
      <c r="N1635" s="76" t="s">
        <v>9312</v>
      </c>
      <c r="O1635" s="1004">
        <v>1.0</v>
      </c>
      <c r="P1635" s="931" t="s">
        <v>9313</v>
      </c>
      <c r="Q1635" s="52" t="str">
        <f t="array" ref="Q1635"> if(iserror(MATCH(V1635, 'File Links'!C:C, 0)), "N/A", HYPERLINK(INDEX('File Links'!B:B, MATCH(P1635, 'File Links'!C:C, 0))))</f>
        <v>https://drive.google.com/file/d/1EqvEPwgwndawziGmIPqgl3yNKOI51OAS/view?usp=drivesdk</v>
      </c>
      <c r="R1635" s="76" t="s">
        <v>9314</v>
      </c>
      <c r="S1635" s="76" t="s">
        <v>9315</v>
      </c>
      <c r="T1635" s="82"/>
      <c r="U1635" s="1005">
        <v>1.0</v>
      </c>
      <c r="V1635" s="198" t="str">
        <f t="shared" si="114"/>
        <v>10.18718--81781.23.pdf</v>
      </c>
      <c r="W1635" s="75" t="s">
        <v>2016</v>
      </c>
      <c r="X1635" s="54" t="str">
        <f t="array" ref="X1635"> if(iserror(MATCH(V1635, 'File Links'!C:C, 0)), "N/A", HYPERLINK(INDEX('File Links'!B:B, MATCH(V1635, 'File Links'!C:C, 0))))</f>
        <v>https://drive.google.com/file/d/1UFSIBKXNmPXd3__1cxrsTy9PbNax45wB/view?usp=drivesdk</v>
      </c>
      <c r="Y1635" s="82"/>
      <c r="Z1635" s="76" t="s">
        <v>1809</v>
      </c>
      <c r="AA1635" s="82" t="s">
        <v>9327</v>
      </c>
      <c r="AB1635" s="75" t="s">
        <v>9328</v>
      </c>
      <c r="AC1635" s="75" t="s">
        <v>9475</v>
      </c>
      <c r="AD1635" s="82" t="s">
        <v>9472</v>
      </c>
      <c r="AE1635" s="1770">
        <v>26.0</v>
      </c>
      <c r="AF1635" s="635">
        <f t="shared" si="115"/>
        <v>324</v>
      </c>
      <c r="AG1635" s="76" t="s">
        <v>9476</v>
      </c>
      <c r="AH1635" s="99" t="s">
        <v>134</v>
      </c>
      <c r="AI1635" s="76" t="s">
        <v>6362</v>
      </c>
      <c r="AJ1635" s="635">
        <v>0.05</v>
      </c>
      <c r="AK1635" s="95" t="s">
        <v>335</v>
      </c>
      <c r="AL1635" s="76" t="s">
        <v>136</v>
      </c>
      <c r="AM1635" s="82" t="s">
        <v>141</v>
      </c>
      <c r="AN1635" s="330" t="s">
        <v>138</v>
      </c>
      <c r="AO1635" s="635">
        <v>185.0</v>
      </c>
      <c r="AP1635" s="76" t="s">
        <v>9477</v>
      </c>
      <c r="AQ1635" s="76" t="s">
        <v>134</v>
      </c>
      <c r="AR1635" s="76" t="s">
        <v>7749</v>
      </c>
      <c r="AS1635" s="635">
        <v>0.05</v>
      </c>
      <c r="AT1635" s="95" t="s">
        <v>135</v>
      </c>
      <c r="AU1635" s="95" t="s">
        <v>136</v>
      </c>
      <c r="AV1635" s="94" t="s">
        <v>141</v>
      </c>
      <c r="AW1635" s="94"/>
      <c r="AX1635" s="94" t="s">
        <v>143</v>
      </c>
      <c r="AY1635" s="61" t="str">
        <f>IFERROR(__xludf.DUMMYFUNCTION("vlookup(BB1635,importrange(""https://docs.google.com/spreadsheets/d/1d2vevQ_7D_v35q4wCQ4RpQ_IPoTwEMB9Yp6ymwlPqew/edit?gid=984458430#gid=984458430"", ""'replication success'!A:K""), 11, FAlSE)"),"#N/A")</f>
        <v>#N/A</v>
      </c>
      <c r="AZ1635" s="61" t="str">
        <f>IFERROR(__xludf.DUMMYFUNCTION("vlookup(BB1635,importrange(""https://docs.google.com/spreadsheets/d/1d2vevQ_7D_v35q4wCQ4RpQ_IPoTwEMB9Yp6ymwlPqew/edit?gid=984458430#gid=984458430"", ""'replication success'!A:M""), 12, FAlSE)"),"#N/A")</f>
        <v>#N/A</v>
      </c>
      <c r="BA1635" s="61" t="str">
        <f>IFERROR(__xludf.DUMMYFUNCTION("vlookup(BB1635,importrange(""https://docs.google.com/spreadsheets/d/1d2vevQ_7D_v35q4wCQ4RpQ_IPoTwEMB9Yp6ymwlPqew/edit?gid=984458430#gid=984458430"", ""'replication success'!A:M""), 13, FAlSE)"),"#N/A")</f>
        <v>#N/A</v>
      </c>
      <c r="BB1635" s="61" t="str">
        <f>IFERROR(__xludf.DUMMYFUNCTION("REGEXREPLACE(G1635, ""_[a-z]{1,2}$"", """")"),"jcre_01_r2")</f>
        <v>jcre_01_r2</v>
      </c>
      <c r="BC1635" s="92"/>
      <c r="BD1635" s="92"/>
    </row>
    <row r="1636">
      <c r="A1636" s="44">
        <v>1636.0</v>
      </c>
      <c r="B1636" s="72" t="s">
        <v>523</v>
      </c>
      <c r="C1636" s="72" t="s">
        <v>115</v>
      </c>
      <c r="D1636" s="72" t="s">
        <v>153</v>
      </c>
      <c r="E1636" s="73"/>
      <c r="F1636" s="94" t="s">
        <v>9308</v>
      </c>
      <c r="G1636" s="76" t="s">
        <v>9478</v>
      </c>
      <c r="H1636" s="76" t="s">
        <v>153</v>
      </c>
      <c r="I1636" s="853">
        <v>45478.0</v>
      </c>
      <c r="J1636" s="629">
        <v>45638.0</v>
      </c>
      <c r="K1636" s="75" t="s">
        <v>9326</v>
      </c>
      <c r="L1636" s="82"/>
      <c r="M1636" s="76" t="s">
        <v>9311</v>
      </c>
      <c r="N1636" s="76" t="s">
        <v>9312</v>
      </c>
      <c r="O1636" s="1004">
        <v>1.0</v>
      </c>
      <c r="P1636" s="931" t="s">
        <v>9313</v>
      </c>
      <c r="Q1636" s="52" t="str">
        <f t="array" ref="Q1636"> if(iserror(MATCH(V1636, 'File Links'!C:C, 0)), "N/A", HYPERLINK(INDEX('File Links'!B:B, MATCH(P1636, 'File Links'!C:C, 0))))</f>
        <v>https://drive.google.com/file/d/1EqvEPwgwndawziGmIPqgl3yNKOI51OAS/view?usp=drivesdk</v>
      </c>
      <c r="R1636" s="76" t="s">
        <v>9314</v>
      </c>
      <c r="S1636" s="76" t="s">
        <v>9315</v>
      </c>
      <c r="T1636" s="82"/>
      <c r="U1636" s="1005">
        <v>1.0</v>
      </c>
      <c r="V1636" s="198" t="str">
        <f t="shared" si="114"/>
        <v>10.18718--81781.23.pdf</v>
      </c>
      <c r="W1636" s="75" t="s">
        <v>2016</v>
      </c>
      <c r="X1636" s="54" t="str">
        <f t="array" ref="X1636"> if(iserror(MATCH(V1636, 'File Links'!C:C, 0)), "N/A", HYPERLINK(INDEX('File Links'!B:B, MATCH(V1636, 'File Links'!C:C, 0))))</f>
        <v>https://drive.google.com/file/d/1UFSIBKXNmPXd3__1cxrsTy9PbNax45wB/view?usp=drivesdk</v>
      </c>
      <c r="Y1636" s="82"/>
      <c r="Z1636" s="76" t="s">
        <v>1809</v>
      </c>
      <c r="AA1636" s="82" t="s">
        <v>9327</v>
      </c>
      <c r="AB1636" s="75" t="s">
        <v>9328</v>
      </c>
      <c r="AC1636" s="75" t="s">
        <v>9475</v>
      </c>
      <c r="AD1636" s="82" t="s">
        <v>9472</v>
      </c>
      <c r="AE1636" s="1770">
        <v>26.0</v>
      </c>
      <c r="AF1636" s="635">
        <f t="shared" si="115"/>
        <v>324</v>
      </c>
      <c r="AG1636" s="76" t="s">
        <v>9479</v>
      </c>
      <c r="AH1636" s="99" t="s">
        <v>134</v>
      </c>
      <c r="AI1636" s="76" t="s">
        <v>2442</v>
      </c>
      <c r="AJ1636" s="635">
        <v>0.05</v>
      </c>
      <c r="AK1636" s="95" t="s">
        <v>335</v>
      </c>
      <c r="AL1636" s="76" t="s">
        <v>136</v>
      </c>
      <c r="AM1636" s="82" t="s">
        <v>141</v>
      </c>
      <c r="AN1636" s="330" t="s">
        <v>138</v>
      </c>
      <c r="AO1636" s="635">
        <v>196.0</v>
      </c>
      <c r="AP1636" s="76" t="s">
        <v>9480</v>
      </c>
      <c r="AQ1636" s="76" t="s">
        <v>134</v>
      </c>
      <c r="AR1636" s="76" t="s">
        <v>2022</v>
      </c>
      <c r="AS1636" s="635">
        <v>0.05</v>
      </c>
      <c r="AT1636" s="95" t="s">
        <v>335</v>
      </c>
      <c r="AU1636" s="95" t="s">
        <v>136</v>
      </c>
      <c r="AV1636" s="94" t="s">
        <v>141</v>
      </c>
      <c r="AW1636" s="94"/>
      <c r="AX1636" s="94" t="s">
        <v>143</v>
      </c>
      <c r="AY1636" s="61" t="str">
        <f>IFERROR(__xludf.DUMMYFUNCTION("vlookup(BB1636,importrange(""https://docs.google.com/spreadsheets/d/1d2vevQ_7D_v35q4wCQ4RpQ_IPoTwEMB9Yp6ymwlPqew/edit?gid=984458430#gid=984458430"", ""'replication success'!A:K""), 11, FAlSE)"),"#N/A")</f>
        <v>#N/A</v>
      </c>
      <c r="AZ1636" s="61" t="str">
        <f>IFERROR(__xludf.DUMMYFUNCTION("vlookup(BB1636,importrange(""https://docs.google.com/spreadsheets/d/1d2vevQ_7D_v35q4wCQ4RpQ_IPoTwEMB9Yp6ymwlPqew/edit?gid=984458430#gid=984458430"", ""'replication success'!A:M""), 12, FAlSE)"),"#N/A")</f>
        <v>#N/A</v>
      </c>
      <c r="BA1636" s="61" t="str">
        <f>IFERROR(__xludf.DUMMYFUNCTION("vlookup(BB1636,importrange(""https://docs.google.com/spreadsheets/d/1d2vevQ_7D_v35q4wCQ4RpQ_IPoTwEMB9Yp6ymwlPqew/edit?gid=984458430#gid=984458430"", ""'replication success'!A:M""), 13, FAlSE)"),"#N/A")</f>
        <v>#N/A</v>
      </c>
      <c r="BB1636" s="61" t="str">
        <f>IFERROR(__xludf.DUMMYFUNCTION("REGEXREPLACE(G1636, ""_[a-z]{1,2}$"", """")"),"jcre_01_r3")</f>
        <v>jcre_01_r3</v>
      </c>
      <c r="BC1636" s="92"/>
      <c r="BD1636" s="92"/>
    </row>
    <row r="1637">
      <c r="A1637" s="44">
        <v>1637.0</v>
      </c>
      <c r="B1637" s="72" t="s">
        <v>523</v>
      </c>
      <c r="C1637" s="72" t="s">
        <v>115</v>
      </c>
      <c r="D1637" s="72" t="s">
        <v>153</v>
      </c>
      <c r="E1637" s="73"/>
      <c r="F1637" s="94" t="s">
        <v>9308</v>
      </c>
      <c r="G1637" s="76" t="s">
        <v>9478</v>
      </c>
      <c r="H1637" s="76" t="s">
        <v>153</v>
      </c>
      <c r="I1637" s="853">
        <v>45478.0</v>
      </c>
      <c r="J1637" s="629">
        <v>45638.0</v>
      </c>
      <c r="K1637" s="75" t="s">
        <v>9326</v>
      </c>
      <c r="L1637" s="82"/>
      <c r="M1637" s="76" t="s">
        <v>9311</v>
      </c>
      <c r="N1637" s="76" t="s">
        <v>9312</v>
      </c>
      <c r="O1637" s="1004">
        <v>1.0</v>
      </c>
      <c r="P1637" s="931" t="s">
        <v>9313</v>
      </c>
      <c r="Q1637" s="52" t="str">
        <f t="array" ref="Q1637"> if(iserror(MATCH(V1637, 'File Links'!C:C, 0)), "N/A", HYPERLINK(INDEX('File Links'!B:B, MATCH(P1637, 'File Links'!C:C, 0))))</f>
        <v>https://drive.google.com/file/d/1EqvEPwgwndawziGmIPqgl3yNKOI51OAS/view?usp=drivesdk</v>
      </c>
      <c r="R1637" s="76" t="s">
        <v>9314</v>
      </c>
      <c r="S1637" s="76" t="s">
        <v>9315</v>
      </c>
      <c r="T1637" s="82"/>
      <c r="U1637" s="1005">
        <v>1.0</v>
      </c>
      <c r="V1637" s="198" t="str">
        <f t="shared" si="114"/>
        <v>10.18718--81781.23.pdf</v>
      </c>
      <c r="W1637" s="75" t="s">
        <v>2016</v>
      </c>
      <c r="X1637" s="54" t="str">
        <f t="array" ref="X1637"> if(iserror(MATCH(V1637, 'File Links'!C:C, 0)), "N/A", HYPERLINK(INDEX('File Links'!B:B, MATCH(V1637, 'File Links'!C:C, 0))))</f>
        <v>https://drive.google.com/file/d/1UFSIBKXNmPXd3__1cxrsTy9PbNax45wB/view?usp=drivesdk</v>
      </c>
      <c r="Y1637" s="82"/>
      <c r="Z1637" s="76" t="s">
        <v>1809</v>
      </c>
      <c r="AA1637" s="82" t="s">
        <v>9327</v>
      </c>
      <c r="AB1637" s="75" t="s">
        <v>9328</v>
      </c>
      <c r="AC1637" s="75" t="s">
        <v>9475</v>
      </c>
      <c r="AD1637" s="82" t="s">
        <v>9472</v>
      </c>
      <c r="AE1637" s="1770">
        <v>26.0</v>
      </c>
      <c r="AF1637" s="635">
        <f t="shared" si="115"/>
        <v>324</v>
      </c>
      <c r="AG1637" s="76" t="s">
        <v>9481</v>
      </c>
      <c r="AH1637" s="99" t="s">
        <v>134</v>
      </c>
      <c r="AI1637" s="76" t="s">
        <v>6362</v>
      </c>
      <c r="AJ1637" s="635">
        <v>0.05</v>
      </c>
      <c r="AK1637" s="95" t="s">
        <v>335</v>
      </c>
      <c r="AL1637" s="76" t="s">
        <v>136</v>
      </c>
      <c r="AM1637" s="82" t="s">
        <v>141</v>
      </c>
      <c r="AN1637" s="330" t="s">
        <v>138</v>
      </c>
      <c r="AO1637" s="635">
        <v>185.0</v>
      </c>
      <c r="AP1637" s="76" t="s">
        <v>9482</v>
      </c>
      <c r="AQ1637" s="76" t="s">
        <v>134</v>
      </c>
      <c r="AR1637" s="76" t="s">
        <v>1173</v>
      </c>
      <c r="AS1637" s="635">
        <v>0.1</v>
      </c>
      <c r="AT1637" s="95" t="s">
        <v>135</v>
      </c>
      <c r="AU1637" s="95" t="s">
        <v>136</v>
      </c>
      <c r="AV1637" s="94" t="s">
        <v>141</v>
      </c>
      <c r="AW1637" s="94"/>
      <c r="AX1637" s="94" t="s">
        <v>143</v>
      </c>
      <c r="AY1637" s="61" t="str">
        <f>IFERROR(__xludf.DUMMYFUNCTION("vlookup(BB1637,importrange(""https://docs.google.com/spreadsheets/d/1d2vevQ_7D_v35q4wCQ4RpQ_IPoTwEMB9Yp6ymwlPqew/edit?gid=984458430#gid=984458430"", ""'replication success'!A:K""), 11, FAlSE)"),"#N/A")</f>
        <v>#N/A</v>
      </c>
      <c r="AZ1637" s="61" t="str">
        <f>IFERROR(__xludf.DUMMYFUNCTION("vlookup(BB1637,importrange(""https://docs.google.com/spreadsheets/d/1d2vevQ_7D_v35q4wCQ4RpQ_IPoTwEMB9Yp6ymwlPqew/edit?gid=984458430#gid=984458430"", ""'replication success'!A:M""), 12, FAlSE)"),"#N/A")</f>
        <v>#N/A</v>
      </c>
      <c r="BA1637" s="61" t="str">
        <f>IFERROR(__xludf.DUMMYFUNCTION("vlookup(BB1637,importrange(""https://docs.google.com/spreadsheets/d/1d2vevQ_7D_v35q4wCQ4RpQ_IPoTwEMB9Yp6ymwlPqew/edit?gid=984458430#gid=984458430"", ""'replication success'!A:M""), 13, FAlSE)"),"#N/A")</f>
        <v>#N/A</v>
      </c>
      <c r="BB1637" s="61" t="str">
        <f>IFERROR(__xludf.DUMMYFUNCTION("REGEXREPLACE(G1637, ""_[a-z]{1,2}$"", """")"),"jcre_01_r3")</f>
        <v>jcre_01_r3</v>
      </c>
      <c r="BC1637" s="92"/>
      <c r="BD1637" s="92"/>
    </row>
    <row r="1638">
      <c r="A1638" s="44">
        <v>1638.0</v>
      </c>
      <c r="B1638" s="72" t="s">
        <v>523</v>
      </c>
      <c r="C1638" s="72" t="s">
        <v>115</v>
      </c>
      <c r="D1638" s="72" t="s">
        <v>153</v>
      </c>
      <c r="E1638" s="73"/>
      <c r="F1638" s="94" t="s">
        <v>9308</v>
      </c>
      <c r="G1638" s="76" t="s">
        <v>9483</v>
      </c>
      <c r="H1638" s="76" t="s">
        <v>153</v>
      </c>
      <c r="I1638" s="853">
        <v>45478.0</v>
      </c>
      <c r="J1638" s="629">
        <v>45638.0</v>
      </c>
      <c r="K1638" s="75" t="s">
        <v>9326</v>
      </c>
      <c r="L1638" s="82"/>
      <c r="M1638" s="76" t="s">
        <v>9311</v>
      </c>
      <c r="N1638" s="76" t="s">
        <v>9312</v>
      </c>
      <c r="O1638" s="1004">
        <v>1.0</v>
      </c>
      <c r="P1638" s="931" t="s">
        <v>9313</v>
      </c>
      <c r="Q1638" s="52" t="str">
        <f t="array" ref="Q1638"> if(iserror(MATCH(V1638, 'File Links'!C:C, 0)), "N/A", HYPERLINK(INDEX('File Links'!B:B, MATCH(P1638, 'File Links'!C:C, 0))))</f>
        <v>https://drive.google.com/file/d/1EqvEPwgwndawziGmIPqgl3yNKOI51OAS/view?usp=drivesdk</v>
      </c>
      <c r="R1638" s="76" t="s">
        <v>9314</v>
      </c>
      <c r="S1638" s="76" t="s">
        <v>9315</v>
      </c>
      <c r="T1638" s="82"/>
      <c r="U1638" s="1005">
        <v>1.0</v>
      </c>
      <c r="V1638" s="198" t="str">
        <f t="shared" si="114"/>
        <v>10.18718--81781.23.pdf</v>
      </c>
      <c r="W1638" s="75" t="s">
        <v>2016</v>
      </c>
      <c r="X1638" s="54" t="str">
        <f t="array" ref="X1638"> if(iserror(MATCH(V1638, 'File Links'!C:C, 0)), "N/A", HYPERLINK(INDEX('File Links'!B:B, MATCH(V1638, 'File Links'!C:C, 0))))</f>
        <v>https://drive.google.com/file/d/1UFSIBKXNmPXd3__1cxrsTy9PbNax45wB/view?usp=drivesdk</v>
      </c>
      <c r="Y1638" s="82"/>
      <c r="Z1638" s="76" t="s">
        <v>1809</v>
      </c>
      <c r="AA1638" s="82" t="s">
        <v>9327</v>
      </c>
      <c r="AB1638" s="75" t="s">
        <v>9328</v>
      </c>
      <c r="AC1638" s="75" t="s">
        <v>9475</v>
      </c>
      <c r="AD1638" s="82" t="s">
        <v>9472</v>
      </c>
      <c r="AE1638" s="1770">
        <v>26.0</v>
      </c>
      <c r="AF1638" s="635">
        <f t="shared" si="115"/>
        <v>324</v>
      </c>
      <c r="AG1638" s="76" t="s">
        <v>9484</v>
      </c>
      <c r="AH1638" s="99" t="s">
        <v>134</v>
      </c>
      <c r="AI1638" s="76" t="s">
        <v>2442</v>
      </c>
      <c r="AJ1638" s="635">
        <v>0.1</v>
      </c>
      <c r="AK1638" s="95" t="s">
        <v>135</v>
      </c>
      <c r="AL1638" s="76" t="s">
        <v>136</v>
      </c>
      <c r="AM1638" s="82" t="s">
        <v>141</v>
      </c>
      <c r="AN1638" s="330" t="s">
        <v>138</v>
      </c>
      <c r="AO1638" s="635">
        <v>196.0</v>
      </c>
      <c r="AP1638" s="76" t="s">
        <v>9485</v>
      </c>
      <c r="AQ1638" s="76" t="s">
        <v>134</v>
      </c>
      <c r="AR1638" s="76" t="s">
        <v>9246</v>
      </c>
      <c r="AS1638" s="635">
        <v>0.05</v>
      </c>
      <c r="AT1638" s="95" t="s">
        <v>335</v>
      </c>
      <c r="AU1638" s="95" t="s">
        <v>136</v>
      </c>
      <c r="AV1638" s="94" t="s">
        <v>141</v>
      </c>
      <c r="AW1638" s="94"/>
      <c r="AX1638" s="94" t="s">
        <v>143</v>
      </c>
      <c r="AY1638" s="61" t="str">
        <f>IFERROR(__xludf.DUMMYFUNCTION("vlookup(BB1638,importrange(""https://docs.google.com/spreadsheets/d/1d2vevQ_7D_v35q4wCQ4RpQ_IPoTwEMB9Yp6ymwlPqew/edit?gid=984458430#gid=984458430"", ""'replication success'!A:K""), 11, FAlSE)"),"#N/A")</f>
        <v>#N/A</v>
      </c>
      <c r="AZ1638" s="61" t="str">
        <f>IFERROR(__xludf.DUMMYFUNCTION("vlookup(BB1638,importrange(""https://docs.google.com/spreadsheets/d/1d2vevQ_7D_v35q4wCQ4RpQ_IPoTwEMB9Yp6ymwlPqew/edit?gid=984458430#gid=984458430"", ""'replication success'!A:M""), 12, FAlSE)"),"#N/A")</f>
        <v>#N/A</v>
      </c>
      <c r="BA1638" s="61" t="str">
        <f>IFERROR(__xludf.DUMMYFUNCTION("vlookup(BB1638,importrange(""https://docs.google.com/spreadsheets/d/1d2vevQ_7D_v35q4wCQ4RpQ_IPoTwEMB9Yp6ymwlPqew/edit?gid=984458430#gid=984458430"", ""'replication success'!A:M""), 13, FAlSE)"),"#N/A")</f>
        <v>#N/A</v>
      </c>
      <c r="BB1638" s="61" t="str">
        <f>IFERROR(__xludf.DUMMYFUNCTION("REGEXREPLACE(G1638, ""_[a-z]{1,2}$"", """")"),"jcre_01_r6")</f>
        <v>jcre_01_r6</v>
      </c>
      <c r="BC1638" s="92"/>
      <c r="BD1638" s="92"/>
    </row>
    <row r="1639">
      <c r="A1639" s="44">
        <v>1639.0</v>
      </c>
      <c r="B1639" s="72" t="s">
        <v>523</v>
      </c>
      <c r="C1639" s="72" t="s">
        <v>115</v>
      </c>
      <c r="D1639" s="72" t="s">
        <v>153</v>
      </c>
      <c r="E1639" s="73"/>
      <c r="F1639" s="94" t="s">
        <v>9308</v>
      </c>
      <c r="G1639" s="76" t="s">
        <v>9483</v>
      </c>
      <c r="H1639" s="76" t="s">
        <v>153</v>
      </c>
      <c r="I1639" s="853">
        <v>45478.0</v>
      </c>
      <c r="J1639" s="629">
        <v>45638.0</v>
      </c>
      <c r="K1639" s="75" t="s">
        <v>9326</v>
      </c>
      <c r="L1639" s="82"/>
      <c r="M1639" s="76" t="s">
        <v>9311</v>
      </c>
      <c r="N1639" s="76" t="s">
        <v>9312</v>
      </c>
      <c r="O1639" s="1004">
        <v>1.0</v>
      </c>
      <c r="P1639" s="931" t="s">
        <v>9313</v>
      </c>
      <c r="Q1639" s="52" t="str">
        <f t="array" ref="Q1639"> if(iserror(MATCH(V1639, 'File Links'!C:C, 0)), "N/A", HYPERLINK(INDEX('File Links'!B:B, MATCH(P1639, 'File Links'!C:C, 0))))</f>
        <v>https://drive.google.com/file/d/1EqvEPwgwndawziGmIPqgl3yNKOI51OAS/view?usp=drivesdk</v>
      </c>
      <c r="R1639" s="76" t="s">
        <v>9314</v>
      </c>
      <c r="S1639" s="76" t="s">
        <v>9315</v>
      </c>
      <c r="T1639" s="82"/>
      <c r="U1639" s="1005">
        <v>1.0</v>
      </c>
      <c r="V1639" s="198" t="str">
        <f t="shared" si="114"/>
        <v>10.18718--81781.23.pdf</v>
      </c>
      <c r="W1639" s="75" t="s">
        <v>2016</v>
      </c>
      <c r="X1639" s="54" t="str">
        <f t="array" ref="X1639"> if(iserror(MATCH(V1639, 'File Links'!C:C, 0)), "N/A", HYPERLINK(INDEX('File Links'!B:B, MATCH(V1639, 'File Links'!C:C, 0))))</f>
        <v>https://drive.google.com/file/d/1UFSIBKXNmPXd3__1cxrsTy9PbNax45wB/view?usp=drivesdk</v>
      </c>
      <c r="Y1639" s="82"/>
      <c r="Z1639" s="76" t="s">
        <v>1809</v>
      </c>
      <c r="AA1639" s="82" t="s">
        <v>9327</v>
      </c>
      <c r="AB1639" s="75" t="s">
        <v>9328</v>
      </c>
      <c r="AC1639" s="75" t="s">
        <v>9475</v>
      </c>
      <c r="AD1639" s="82" t="s">
        <v>9472</v>
      </c>
      <c r="AE1639" s="1770">
        <v>26.0</v>
      </c>
      <c r="AF1639" s="635">
        <f t="shared" si="115"/>
        <v>324</v>
      </c>
      <c r="AG1639" s="76" t="s">
        <v>9486</v>
      </c>
      <c r="AH1639" s="99" t="s">
        <v>134</v>
      </c>
      <c r="AI1639" s="76" t="s">
        <v>6362</v>
      </c>
      <c r="AJ1639" s="635">
        <v>0.05</v>
      </c>
      <c r="AK1639" s="95" t="s">
        <v>335</v>
      </c>
      <c r="AL1639" s="76" t="s">
        <v>136</v>
      </c>
      <c r="AM1639" s="82" t="s">
        <v>141</v>
      </c>
      <c r="AN1639" s="330" t="s">
        <v>138</v>
      </c>
      <c r="AO1639" s="635">
        <v>185.0</v>
      </c>
      <c r="AP1639" s="76" t="s">
        <v>9482</v>
      </c>
      <c r="AQ1639" s="76" t="s">
        <v>134</v>
      </c>
      <c r="AR1639" s="76" t="s">
        <v>1819</v>
      </c>
      <c r="AS1639" s="635">
        <v>0.1</v>
      </c>
      <c r="AT1639" s="95" t="s">
        <v>135</v>
      </c>
      <c r="AU1639" s="95" t="s">
        <v>136</v>
      </c>
      <c r="AV1639" s="94" t="s">
        <v>141</v>
      </c>
      <c r="AW1639" s="94"/>
      <c r="AX1639" s="94" t="s">
        <v>143</v>
      </c>
      <c r="AY1639" s="61" t="str">
        <f>IFERROR(__xludf.DUMMYFUNCTION("vlookup(BB1639,importrange(""https://docs.google.com/spreadsheets/d/1d2vevQ_7D_v35q4wCQ4RpQ_IPoTwEMB9Yp6ymwlPqew/edit?gid=984458430#gid=984458430"", ""'replication success'!A:K""), 11, FAlSE)"),"#N/A")</f>
        <v>#N/A</v>
      </c>
      <c r="AZ1639" s="61" t="str">
        <f>IFERROR(__xludf.DUMMYFUNCTION("vlookup(BB1639,importrange(""https://docs.google.com/spreadsheets/d/1d2vevQ_7D_v35q4wCQ4RpQ_IPoTwEMB9Yp6ymwlPqew/edit?gid=984458430#gid=984458430"", ""'replication success'!A:M""), 12, FAlSE)"),"#N/A")</f>
        <v>#N/A</v>
      </c>
      <c r="BA1639" s="61" t="str">
        <f>IFERROR(__xludf.DUMMYFUNCTION("vlookup(BB1639,importrange(""https://docs.google.com/spreadsheets/d/1d2vevQ_7D_v35q4wCQ4RpQ_IPoTwEMB9Yp6ymwlPqew/edit?gid=984458430#gid=984458430"", ""'replication success'!A:M""), 13, FAlSE)"),"#N/A")</f>
        <v>#N/A</v>
      </c>
      <c r="BB1639" s="61" t="str">
        <f>IFERROR(__xludf.DUMMYFUNCTION("REGEXREPLACE(G1639, ""_[a-z]{1,2}$"", """")"),"jcre_01_r6")</f>
        <v>jcre_01_r6</v>
      </c>
      <c r="BC1639" s="92"/>
      <c r="BD1639" s="92"/>
    </row>
    <row r="1640">
      <c r="A1640" s="44">
        <v>1640.0</v>
      </c>
      <c r="B1640" s="72" t="s">
        <v>523</v>
      </c>
      <c r="C1640" s="72" t="s">
        <v>115</v>
      </c>
      <c r="D1640" s="72" t="s">
        <v>153</v>
      </c>
      <c r="E1640" s="73"/>
      <c r="F1640" s="94" t="s">
        <v>9308</v>
      </c>
      <c r="G1640" s="76" t="s">
        <v>9487</v>
      </c>
      <c r="H1640" s="76" t="s">
        <v>153</v>
      </c>
      <c r="I1640" s="853">
        <v>45478.0</v>
      </c>
      <c r="J1640" s="629">
        <v>45638.0</v>
      </c>
      <c r="K1640" s="75" t="s">
        <v>9326</v>
      </c>
      <c r="L1640" s="82"/>
      <c r="M1640" s="76" t="s">
        <v>9311</v>
      </c>
      <c r="N1640" s="76" t="s">
        <v>9312</v>
      </c>
      <c r="O1640" s="1004">
        <v>1.0</v>
      </c>
      <c r="P1640" s="931" t="s">
        <v>9313</v>
      </c>
      <c r="Q1640" s="52" t="str">
        <f t="array" ref="Q1640"> if(iserror(MATCH(V1640, 'File Links'!C:C, 0)), "N/A", HYPERLINK(INDEX('File Links'!B:B, MATCH(P1640, 'File Links'!C:C, 0))))</f>
        <v>https://drive.google.com/file/d/1EqvEPwgwndawziGmIPqgl3yNKOI51OAS/view?usp=drivesdk</v>
      </c>
      <c r="R1640" s="76" t="s">
        <v>9314</v>
      </c>
      <c r="S1640" s="76" t="s">
        <v>9315</v>
      </c>
      <c r="T1640" s="82"/>
      <c r="U1640" s="1005">
        <v>1.0</v>
      </c>
      <c r="V1640" s="198" t="str">
        <f t="shared" si="114"/>
        <v>10.18718--81781.23.pdf</v>
      </c>
      <c r="W1640" s="75" t="s">
        <v>2016</v>
      </c>
      <c r="X1640" s="54" t="str">
        <f t="array" ref="X1640"> if(iserror(MATCH(V1640, 'File Links'!C:C, 0)), "N/A", HYPERLINK(INDEX('File Links'!B:B, MATCH(V1640, 'File Links'!C:C, 0))))</f>
        <v>https://drive.google.com/file/d/1UFSIBKXNmPXd3__1cxrsTy9PbNax45wB/view?usp=drivesdk</v>
      </c>
      <c r="Y1640" s="82"/>
      <c r="Z1640" s="76" t="s">
        <v>1809</v>
      </c>
      <c r="AA1640" s="82" t="s">
        <v>9327</v>
      </c>
      <c r="AB1640" s="75" t="s">
        <v>9328</v>
      </c>
      <c r="AC1640" s="86" t="s">
        <v>9488</v>
      </c>
      <c r="AD1640" s="82" t="s">
        <v>9489</v>
      </c>
      <c r="AE1640" s="1770">
        <v>26.0</v>
      </c>
      <c r="AF1640" s="635">
        <f t="shared" si="115"/>
        <v>324</v>
      </c>
      <c r="AG1640" s="82" t="s">
        <v>9490</v>
      </c>
      <c r="AH1640" s="99" t="s">
        <v>134</v>
      </c>
      <c r="AI1640" s="76" t="s">
        <v>2441</v>
      </c>
      <c r="AJ1640" s="635">
        <v>0.05</v>
      </c>
      <c r="AK1640" s="95" t="s">
        <v>135</v>
      </c>
      <c r="AL1640" s="76" t="s">
        <v>136</v>
      </c>
      <c r="AM1640" s="82" t="s">
        <v>141</v>
      </c>
      <c r="AN1640" s="330" t="s">
        <v>138</v>
      </c>
      <c r="AO1640" s="635">
        <v>185.0</v>
      </c>
      <c r="AP1640" s="76" t="s">
        <v>9491</v>
      </c>
      <c r="AQ1640" s="76" t="s">
        <v>134</v>
      </c>
      <c r="AR1640" s="76" t="s">
        <v>7749</v>
      </c>
      <c r="AS1640" s="635">
        <v>0.05</v>
      </c>
      <c r="AT1640" s="95" t="s">
        <v>135</v>
      </c>
      <c r="AU1640" s="95" t="s">
        <v>136</v>
      </c>
      <c r="AV1640" s="94" t="s">
        <v>141</v>
      </c>
      <c r="AW1640" s="94"/>
      <c r="AX1640" s="94" t="s">
        <v>143</v>
      </c>
      <c r="AY1640" s="61" t="str">
        <f>IFERROR(__xludf.DUMMYFUNCTION("vlookup(BB1640,importrange(""https://docs.google.com/spreadsheets/d/1d2vevQ_7D_v35q4wCQ4RpQ_IPoTwEMB9Yp6ymwlPqew/edit?gid=984458430#gid=984458430"", ""'replication success'!A:K""), 11, FAlSE)"),"#N/A")</f>
        <v>#N/A</v>
      </c>
      <c r="AZ1640" s="61" t="str">
        <f>IFERROR(__xludf.DUMMYFUNCTION("vlookup(BB1640,importrange(""https://docs.google.com/spreadsheets/d/1d2vevQ_7D_v35q4wCQ4RpQ_IPoTwEMB9Yp6ymwlPqew/edit?gid=984458430#gid=984458430"", ""'replication success'!A:M""), 12, FAlSE)"),"#N/A")</f>
        <v>#N/A</v>
      </c>
      <c r="BA1640" s="61" t="str">
        <f>IFERROR(__xludf.DUMMYFUNCTION("vlookup(BB1640,importrange(""https://docs.google.com/spreadsheets/d/1d2vevQ_7D_v35q4wCQ4RpQ_IPoTwEMB9Yp6ymwlPqew/edit?gid=984458430#gid=984458430"", ""'replication success'!A:M""), 13, FAlSE)"),"#N/A")</f>
        <v>#N/A</v>
      </c>
      <c r="BB1640" s="61" t="str">
        <f>IFERROR(__xludf.DUMMYFUNCTION("REGEXREPLACE(G1640, ""_[a-z]{1,2}$"", """")"),"jcre_01_y2a")</f>
        <v>jcre_01_y2a</v>
      </c>
      <c r="BC1640" s="92"/>
      <c r="BD1640" s="92"/>
    </row>
    <row r="1641">
      <c r="A1641" s="44">
        <v>1641.0</v>
      </c>
      <c r="B1641" s="72" t="s">
        <v>523</v>
      </c>
      <c r="C1641" s="72" t="s">
        <v>115</v>
      </c>
      <c r="D1641" s="72" t="s">
        <v>153</v>
      </c>
      <c r="E1641" s="73"/>
      <c r="F1641" s="94" t="s">
        <v>9308</v>
      </c>
      <c r="G1641" s="76" t="s">
        <v>9492</v>
      </c>
      <c r="H1641" s="76" t="s">
        <v>153</v>
      </c>
      <c r="I1641" s="853">
        <v>45478.0</v>
      </c>
      <c r="J1641" s="629">
        <v>45638.0</v>
      </c>
      <c r="K1641" s="75" t="s">
        <v>9326</v>
      </c>
      <c r="L1641" s="82"/>
      <c r="M1641" s="76" t="s">
        <v>9311</v>
      </c>
      <c r="N1641" s="76" t="s">
        <v>9312</v>
      </c>
      <c r="O1641" s="1004">
        <v>1.0</v>
      </c>
      <c r="P1641" s="931" t="s">
        <v>9313</v>
      </c>
      <c r="Q1641" s="52" t="str">
        <f t="array" ref="Q1641"> if(iserror(MATCH(V1641, 'File Links'!C:C, 0)), "N/A", HYPERLINK(INDEX('File Links'!B:B, MATCH(P1641, 'File Links'!C:C, 0))))</f>
        <v>https://drive.google.com/file/d/1EqvEPwgwndawziGmIPqgl3yNKOI51OAS/view?usp=drivesdk</v>
      </c>
      <c r="R1641" s="76" t="s">
        <v>9314</v>
      </c>
      <c r="S1641" s="76" t="s">
        <v>9315</v>
      </c>
      <c r="T1641" s="82"/>
      <c r="U1641" s="1005">
        <v>1.0</v>
      </c>
      <c r="V1641" s="198" t="str">
        <f t="shared" si="114"/>
        <v>10.18718--81781.23.pdf</v>
      </c>
      <c r="W1641" s="75" t="s">
        <v>2016</v>
      </c>
      <c r="X1641" s="54" t="str">
        <f t="array" ref="X1641"> if(iserror(MATCH(V1641, 'File Links'!C:C, 0)), "N/A", HYPERLINK(INDEX('File Links'!B:B, MATCH(V1641, 'File Links'!C:C, 0))))</f>
        <v>https://drive.google.com/file/d/1UFSIBKXNmPXd3__1cxrsTy9PbNax45wB/view?usp=drivesdk</v>
      </c>
      <c r="Y1641" s="82"/>
      <c r="Z1641" s="76" t="s">
        <v>1809</v>
      </c>
      <c r="AA1641" s="82" t="s">
        <v>9327</v>
      </c>
      <c r="AB1641" s="75" t="s">
        <v>9328</v>
      </c>
      <c r="AC1641" s="86" t="s">
        <v>9488</v>
      </c>
      <c r="AD1641" s="82" t="s">
        <v>9489</v>
      </c>
      <c r="AE1641" s="1770">
        <v>26.0</v>
      </c>
      <c r="AF1641" s="635">
        <f t="shared" si="115"/>
        <v>324</v>
      </c>
      <c r="AG1641" s="82" t="s">
        <v>9493</v>
      </c>
      <c r="AH1641" s="99" t="s">
        <v>134</v>
      </c>
      <c r="AI1641" s="76" t="s">
        <v>2441</v>
      </c>
      <c r="AJ1641" s="635">
        <v>0.05</v>
      </c>
      <c r="AK1641" s="95" t="s">
        <v>335</v>
      </c>
      <c r="AL1641" s="76" t="s">
        <v>136</v>
      </c>
      <c r="AM1641" s="82" t="s">
        <v>141</v>
      </c>
      <c r="AN1641" s="330" t="s">
        <v>138</v>
      </c>
      <c r="AO1641" s="635">
        <v>185.0</v>
      </c>
      <c r="AP1641" s="76" t="s">
        <v>9494</v>
      </c>
      <c r="AQ1641" s="76" t="s">
        <v>134</v>
      </c>
      <c r="AR1641" s="76" t="s">
        <v>1173</v>
      </c>
      <c r="AS1641" s="635">
        <v>0.05</v>
      </c>
      <c r="AT1641" s="95" t="s">
        <v>135</v>
      </c>
      <c r="AU1641" s="95" t="s">
        <v>136</v>
      </c>
      <c r="AV1641" s="94" t="s">
        <v>141</v>
      </c>
      <c r="AW1641" s="94"/>
      <c r="AX1641" s="94" t="s">
        <v>143</v>
      </c>
      <c r="AY1641" s="61" t="str">
        <f>IFERROR(__xludf.DUMMYFUNCTION("vlookup(BB1641,importrange(""https://docs.google.com/spreadsheets/d/1d2vevQ_7D_v35q4wCQ4RpQ_IPoTwEMB9Yp6ymwlPqew/edit?gid=984458430#gid=984458430"", ""'replication success'!A:K""), 11, FAlSE)"),"#N/A")</f>
        <v>#N/A</v>
      </c>
      <c r="AZ1641" s="61" t="str">
        <f>IFERROR(__xludf.DUMMYFUNCTION("vlookup(BB1641,importrange(""https://docs.google.com/spreadsheets/d/1d2vevQ_7D_v35q4wCQ4RpQ_IPoTwEMB9Yp6ymwlPqew/edit?gid=984458430#gid=984458430"", ""'replication success'!A:M""), 12, FAlSE)"),"#N/A")</f>
        <v>#N/A</v>
      </c>
      <c r="BA1641" s="61" t="str">
        <f>IFERROR(__xludf.DUMMYFUNCTION("vlookup(BB1641,importrange(""https://docs.google.com/spreadsheets/d/1d2vevQ_7D_v35q4wCQ4RpQ_IPoTwEMB9Yp6ymwlPqew/edit?gid=984458430#gid=984458430"", ""'replication success'!A:M""), 13, FAlSE)"),"#N/A")</f>
        <v>#N/A</v>
      </c>
      <c r="BB1641" s="61" t="str">
        <f>IFERROR(__xludf.DUMMYFUNCTION("REGEXREPLACE(G1641, ""_[a-z]{1,2}$"", """")"),"jcre_01_y3a")</f>
        <v>jcre_01_y3a</v>
      </c>
      <c r="BC1641" s="92"/>
      <c r="BD1641" s="92"/>
    </row>
    <row r="1642">
      <c r="A1642" s="44">
        <v>1642.0</v>
      </c>
      <c r="B1642" s="72" t="s">
        <v>523</v>
      </c>
      <c r="C1642" s="72" t="s">
        <v>115</v>
      </c>
      <c r="D1642" s="72" t="s">
        <v>153</v>
      </c>
      <c r="E1642" s="73"/>
      <c r="F1642" s="94" t="s">
        <v>9308</v>
      </c>
      <c r="G1642" s="76" t="s">
        <v>9495</v>
      </c>
      <c r="H1642" s="76" t="s">
        <v>153</v>
      </c>
      <c r="I1642" s="853">
        <v>45478.0</v>
      </c>
      <c r="J1642" s="629">
        <v>45638.0</v>
      </c>
      <c r="K1642" s="75" t="s">
        <v>9326</v>
      </c>
      <c r="L1642" s="82"/>
      <c r="M1642" s="76" t="s">
        <v>9311</v>
      </c>
      <c r="N1642" s="76" t="s">
        <v>9312</v>
      </c>
      <c r="O1642" s="1004">
        <v>1.0</v>
      </c>
      <c r="P1642" s="931" t="s">
        <v>9313</v>
      </c>
      <c r="Q1642" s="52" t="str">
        <f t="array" ref="Q1642"> if(iserror(MATCH(V1642, 'File Links'!C:C, 0)), "N/A", HYPERLINK(INDEX('File Links'!B:B, MATCH(P1642, 'File Links'!C:C, 0))))</f>
        <v>https://drive.google.com/file/d/1EqvEPwgwndawziGmIPqgl3yNKOI51OAS/view?usp=drivesdk</v>
      </c>
      <c r="R1642" s="76" t="s">
        <v>9314</v>
      </c>
      <c r="S1642" s="76" t="s">
        <v>9315</v>
      </c>
      <c r="T1642" s="82"/>
      <c r="U1642" s="1005">
        <v>1.0</v>
      </c>
      <c r="V1642" s="198" t="str">
        <f t="shared" si="114"/>
        <v>10.18718--81781.23.pdf</v>
      </c>
      <c r="W1642" s="75" t="s">
        <v>2016</v>
      </c>
      <c r="X1642" s="54" t="str">
        <f t="array" ref="X1642"> if(iserror(MATCH(V1642, 'File Links'!C:C, 0)), "N/A", HYPERLINK(INDEX('File Links'!B:B, MATCH(V1642, 'File Links'!C:C, 0))))</f>
        <v>https://drive.google.com/file/d/1UFSIBKXNmPXd3__1cxrsTy9PbNax45wB/view?usp=drivesdk</v>
      </c>
      <c r="Y1642" s="82"/>
      <c r="Z1642" s="76" t="s">
        <v>1809</v>
      </c>
      <c r="AA1642" s="82" t="s">
        <v>9327</v>
      </c>
      <c r="AB1642" s="75" t="s">
        <v>9328</v>
      </c>
      <c r="AC1642" s="86" t="s">
        <v>9488</v>
      </c>
      <c r="AD1642" s="82" t="s">
        <v>9489</v>
      </c>
      <c r="AE1642" s="1770">
        <v>26.0</v>
      </c>
      <c r="AF1642" s="635">
        <f t="shared" si="115"/>
        <v>324</v>
      </c>
      <c r="AG1642" s="76" t="s">
        <v>9496</v>
      </c>
      <c r="AH1642" s="99" t="s">
        <v>134</v>
      </c>
      <c r="AI1642" s="76" t="s">
        <v>2441</v>
      </c>
      <c r="AJ1642" s="635">
        <v>0.05</v>
      </c>
      <c r="AK1642" s="95" t="s">
        <v>335</v>
      </c>
      <c r="AL1642" s="76" t="s">
        <v>136</v>
      </c>
      <c r="AM1642" s="82" t="s">
        <v>141</v>
      </c>
      <c r="AN1642" s="330" t="s">
        <v>138</v>
      </c>
      <c r="AO1642" s="635">
        <v>185.0</v>
      </c>
      <c r="AP1642" s="76" t="s">
        <v>9497</v>
      </c>
      <c r="AQ1642" s="76" t="s">
        <v>134</v>
      </c>
      <c r="AR1642" s="76" t="s">
        <v>1819</v>
      </c>
      <c r="AS1642" s="635">
        <v>0.01</v>
      </c>
      <c r="AT1642" s="95" t="s">
        <v>135</v>
      </c>
      <c r="AU1642" s="95" t="s">
        <v>136</v>
      </c>
      <c r="AV1642" s="94" t="s">
        <v>141</v>
      </c>
      <c r="AW1642" s="94"/>
      <c r="AX1642" s="94" t="s">
        <v>143</v>
      </c>
      <c r="AY1642" s="61" t="str">
        <f>IFERROR(__xludf.DUMMYFUNCTION("vlookup(BB1642,importrange(""https://docs.google.com/spreadsheets/d/1d2vevQ_7D_v35q4wCQ4RpQ_IPoTwEMB9Yp6ymwlPqew/edit?gid=984458430#gid=984458430"", ""'replication success'!A:K""), 11, FAlSE)"),"#N/A")</f>
        <v>#N/A</v>
      </c>
      <c r="AZ1642" s="61" t="str">
        <f>IFERROR(__xludf.DUMMYFUNCTION("vlookup(BB1642,importrange(""https://docs.google.com/spreadsheets/d/1d2vevQ_7D_v35q4wCQ4RpQ_IPoTwEMB9Yp6ymwlPqew/edit?gid=984458430#gid=984458430"", ""'replication success'!A:M""), 12, FAlSE)"),"#N/A")</f>
        <v>#N/A</v>
      </c>
      <c r="BA1642" s="61" t="str">
        <f>IFERROR(__xludf.DUMMYFUNCTION("vlookup(BB1642,importrange(""https://docs.google.com/spreadsheets/d/1d2vevQ_7D_v35q4wCQ4RpQ_IPoTwEMB9Yp6ymwlPqew/edit?gid=984458430#gid=984458430"", ""'replication success'!A:M""), 13, FAlSE)"),"#N/A")</f>
        <v>#N/A</v>
      </c>
      <c r="BB1642" s="61" t="str">
        <f>IFERROR(__xludf.DUMMYFUNCTION("REGEXREPLACE(G1642, ""_[a-z]{1,2}$"", """")"),"jcre_01_y6a")</f>
        <v>jcre_01_y6a</v>
      </c>
      <c r="BC1642" s="92"/>
      <c r="BD1642" s="92"/>
    </row>
    <row r="1643">
      <c r="A1643" s="44">
        <v>1643.0</v>
      </c>
      <c r="B1643" s="72" t="s">
        <v>523</v>
      </c>
      <c r="C1643" s="72" t="s">
        <v>115</v>
      </c>
      <c r="D1643" s="72" t="s">
        <v>153</v>
      </c>
      <c r="E1643" s="73"/>
      <c r="F1643" s="94" t="s">
        <v>9308</v>
      </c>
      <c r="G1643" s="76" t="s">
        <v>9498</v>
      </c>
      <c r="H1643" s="76" t="s">
        <v>153</v>
      </c>
      <c r="I1643" s="853">
        <v>45478.0</v>
      </c>
      <c r="J1643" s="629">
        <v>45638.0</v>
      </c>
      <c r="K1643" s="75" t="s">
        <v>9326</v>
      </c>
      <c r="L1643" s="82"/>
      <c r="M1643" s="76" t="s">
        <v>9311</v>
      </c>
      <c r="N1643" s="76" t="s">
        <v>9312</v>
      </c>
      <c r="O1643" s="1004">
        <v>1.0</v>
      </c>
      <c r="P1643" s="931" t="s">
        <v>9313</v>
      </c>
      <c r="Q1643" s="52" t="str">
        <f t="array" ref="Q1643"> if(iserror(MATCH(V1643, 'File Links'!C:C, 0)), "N/A", HYPERLINK(INDEX('File Links'!B:B, MATCH(P1643, 'File Links'!C:C, 0))))</f>
        <v>https://drive.google.com/file/d/1EqvEPwgwndawziGmIPqgl3yNKOI51OAS/view?usp=drivesdk</v>
      </c>
      <c r="R1643" s="76" t="s">
        <v>9314</v>
      </c>
      <c r="S1643" s="76" t="s">
        <v>9315</v>
      </c>
      <c r="T1643" s="82"/>
      <c r="U1643" s="1005">
        <v>1.0</v>
      </c>
      <c r="V1643" s="198" t="str">
        <f t="shared" si="114"/>
        <v>10.18718--81781.23.pdf</v>
      </c>
      <c r="W1643" s="75" t="s">
        <v>2016</v>
      </c>
      <c r="X1643" s="54" t="str">
        <f t="array" ref="X1643"> if(iserror(MATCH(V1643, 'File Links'!C:C, 0)), "N/A", HYPERLINK(INDEX('File Links'!B:B, MATCH(V1643, 'File Links'!C:C, 0))))</f>
        <v>https://drive.google.com/file/d/1UFSIBKXNmPXd3__1cxrsTy9PbNax45wB/view?usp=drivesdk</v>
      </c>
      <c r="Y1643" s="82"/>
      <c r="Z1643" s="76" t="s">
        <v>1809</v>
      </c>
      <c r="AA1643" s="82" t="s">
        <v>9327</v>
      </c>
      <c r="AB1643" s="75" t="s">
        <v>9328</v>
      </c>
      <c r="AC1643" s="86" t="s">
        <v>9499</v>
      </c>
      <c r="AD1643" s="82" t="s">
        <v>9489</v>
      </c>
      <c r="AE1643" s="1770">
        <v>26.0</v>
      </c>
      <c r="AF1643" s="635">
        <f t="shared" si="115"/>
        <v>324</v>
      </c>
      <c r="AG1643" s="82" t="s">
        <v>9500</v>
      </c>
      <c r="AH1643" s="99" t="s">
        <v>134</v>
      </c>
      <c r="AI1643" s="76" t="s">
        <v>6362</v>
      </c>
      <c r="AJ1643" s="635">
        <v>0.05</v>
      </c>
      <c r="AK1643" s="95" t="s">
        <v>335</v>
      </c>
      <c r="AL1643" s="76" t="s">
        <v>136</v>
      </c>
      <c r="AM1643" s="82" t="s">
        <v>141</v>
      </c>
      <c r="AN1643" s="330" t="s">
        <v>138</v>
      </c>
      <c r="AO1643" s="635">
        <v>185.0</v>
      </c>
      <c r="AP1643" s="76" t="s">
        <v>9501</v>
      </c>
      <c r="AQ1643" s="76" t="s">
        <v>134</v>
      </c>
      <c r="AR1643" s="76" t="s">
        <v>7749</v>
      </c>
      <c r="AS1643" s="635">
        <v>0.05</v>
      </c>
      <c r="AT1643" s="95" t="s">
        <v>335</v>
      </c>
      <c r="AU1643" s="95" t="s">
        <v>136</v>
      </c>
      <c r="AV1643" s="94" t="s">
        <v>141</v>
      </c>
      <c r="AW1643" s="94"/>
      <c r="AX1643" s="94" t="s">
        <v>143</v>
      </c>
      <c r="AY1643" s="61" t="str">
        <f>IFERROR(__xludf.DUMMYFUNCTION("vlookup(BB1643,importrange(""https://docs.google.com/spreadsheets/d/1d2vevQ_7D_v35q4wCQ4RpQ_IPoTwEMB9Yp6ymwlPqew/edit?gid=984458430#gid=984458430"", ""'replication success'!A:K""), 11, FAlSE)"),"#N/A")</f>
        <v>#N/A</v>
      </c>
      <c r="AZ1643" s="61" t="str">
        <f>IFERROR(__xludf.DUMMYFUNCTION("vlookup(BB1643,importrange(""https://docs.google.com/spreadsheets/d/1d2vevQ_7D_v35q4wCQ4RpQ_IPoTwEMB9Yp6ymwlPqew/edit?gid=984458430#gid=984458430"", ""'replication success'!A:M""), 12, FAlSE)"),"#N/A")</f>
        <v>#N/A</v>
      </c>
      <c r="BA1643" s="61" t="str">
        <f>IFERROR(__xludf.DUMMYFUNCTION("vlookup(BB1643,importrange(""https://docs.google.com/spreadsheets/d/1d2vevQ_7D_v35q4wCQ4RpQ_IPoTwEMB9Yp6ymwlPqew/edit?gid=984458430#gid=984458430"", ""'replication success'!A:M""), 13, FAlSE)"),"#N/A")</f>
        <v>#N/A</v>
      </c>
      <c r="BB1643" s="61" t="str">
        <f>IFERROR(__xludf.DUMMYFUNCTION("REGEXREPLACE(G1643, ""_[a-z]{1,2}$"", """")"),"jcre_01_yt2a")</f>
        <v>jcre_01_yt2a</v>
      </c>
      <c r="BC1643" s="92"/>
      <c r="BD1643" s="92"/>
    </row>
    <row r="1644">
      <c r="A1644" s="44">
        <v>1644.0</v>
      </c>
      <c r="B1644" s="72" t="s">
        <v>523</v>
      </c>
      <c r="C1644" s="72" t="s">
        <v>115</v>
      </c>
      <c r="D1644" s="72" t="s">
        <v>153</v>
      </c>
      <c r="E1644" s="73"/>
      <c r="F1644" s="94" t="s">
        <v>9308</v>
      </c>
      <c r="G1644" s="76" t="s">
        <v>9502</v>
      </c>
      <c r="H1644" s="76" t="s">
        <v>153</v>
      </c>
      <c r="I1644" s="853">
        <v>45478.0</v>
      </c>
      <c r="J1644" s="629">
        <v>45638.0</v>
      </c>
      <c r="K1644" s="75" t="s">
        <v>9326</v>
      </c>
      <c r="L1644" s="82"/>
      <c r="M1644" s="76" t="s">
        <v>9311</v>
      </c>
      <c r="N1644" s="76" t="s">
        <v>9312</v>
      </c>
      <c r="O1644" s="1004">
        <v>1.0</v>
      </c>
      <c r="P1644" s="931" t="s">
        <v>9313</v>
      </c>
      <c r="Q1644" s="52" t="str">
        <f t="array" ref="Q1644"> if(iserror(MATCH(V1644, 'File Links'!C:C, 0)), "N/A", HYPERLINK(INDEX('File Links'!B:B, MATCH(P1644, 'File Links'!C:C, 0))))</f>
        <v>https://drive.google.com/file/d/1EqvEPwgwndawziGmIPqgl3yNKOI51OAS/view?usp=drivesdk</v>
      </c>
      <c r="R1644" s="76" t="s">
        <v>9314</v>
      </c>
      <c r="S1644" s="76" t="s">
        <v>9315</v>
      </c>
      <c r="T1644" s="82"/>
      <c r="U1644" s="1005">
        <v>1.0</v>
      </c>
      <c r="V1644" s="198" t="str">
        <f t="shared" si="114"/>
        <v>10.18718--81781.23.pdf</v>
      </c>
      <c r="W1644" s="75" t="s">
        <v>2016</v>
      </c>
      <c r="X1644" s="54" t="str">
        <f t="array" ref="X1644"> if(iserror(MATCH(V1644, 'File Links'!C:C, 0)), "N/A", HYPERLINK(INDEX('File Links'!B:B, MATCH(V1644, 'File Links'!C:C, 0))))</f>
        <v>https://drive.google.com/file/d/1UFSIBKXNmPXd3__1cxrsTy9PbNax45wB/view?usp=drivesdk</v>
      </c>
      <c r="Y1644" s="82"/>
      <c r="Z1644" s="76" t="s">
        <v>1809</v>
      </c>
      <c r="AA1644" s="82" t="s">
        <v>9327</v>
      </c>
      <c r="AB1644" s="75" t="s">
        <v>9328</v>
      </c>
      <c r="AC1644" s="86" t="s">
        <v>9499</v>
      </c>
      <c r="AD1644" s="82" t="s">
        <v>9489</v>
      </c>
      <c r="AE1644" s="1770">
        <v>26.0</v>
      </c>
      <c r="AF1644" s="635">
        <f t="shared" si="115"/>
        <v>324</v>
      </c>
      <c r="AG1644" s="82" t="s">
        <v>9503</v>
      </c>
      <c r="AH1644" s="99" t="s">
        <v>134</v>
      </c>
      <c r="AI1644" s="76" t="s">
        <v>6362</v>
      </c>
      <c r="AJ1644" s="635">
        <v>0.1</v>
      </c>
      <c r="AK1644" s="95" t="s">
        <v>135</v>
      </c>
      <c r="AL1644" s="76" t="s">
        <v>136</v>
      </c>
      <c r="AM1644" s="82" t="s">
        <v>141</v>
      </c>
      <c r="AN1644" s="330" t="s">
        <v>138</v>
      </c>
      <c r="AO1644" s="635">
        <v>185.0</v>
      </c>
      <c r="AP1644" s="76" t="s">
        <v>9504</v>
      </c>
      <c r="AQ1644" s="76" t="s">
        <v>134</v>
      </c>
      <c r="AR1644" s="76" t="s">
        <v>1173</v>
      </c>
      <c r="AS1644" s="635">
        <v>0.05</v>
      </c>
      <c r="AT1644" s="95" t="s">
        <v>335</v>
      </c>
      <c r="AU1644" s="95" t="s">
        <v>136</v>
      </c>
      <c r="AV1644" s="94" t="s">
        <v>141</v>
      </c>
      <c r="AW1644" s="94"/>
      <c r="AX1644" s="94" t="s">
        <v>143</v>
      </c>
      <c r="AY1644" s="61" t="str">
        <f>IFERROR(__xludf.DUMMYFUNCTION("vlookup(BB1644,importrange(""https://docs.google.com/spreadsheets/d/1d2vevQ_7D_v35q4wCQ4RpQ_IPoTwEMB9Yp6ymwlPqew/edit?gid=984458430#gid=984458430"", ""'replication success'!A:K""), 11, FAlSE)"),"#N/A")</f>
        <v>#N/A</v>
      </c>
      <c r="AZ1644" s="61" t="str">
        <f>IFERROR(__xludf.DUMMYFUNCTION("vlookup(BB1644,importrange(""https://docs.google.com/spreadsheets/d/1d2vevQ_7D_v35q4wCQ4RpQ_IPoTwEMB9Yp6ymwlPqew/edit?gid=984458430#gid=984458430"", ""'replication success'!A:M""), 12, FAlSE)"),"#N/A")</f>
        <v>#N/A</v>
      </c>
      <c r="BA1644" s="61" t="str">
        <f>IFERROR(__xludf.DUMMYFUNCTION("vlookup(BB1644,importrange(""https://docs.google.com/spreadsheets/d/1d2vevQ_7D_v35q4wCQ4RpQ_IPoTwEMB9Yp6ymwlPqew/edit?gid=984458430#gid=984458430"", ""'replication success'!A:M""), 13, FAlSE)"),"#N/A")</f>
        <v>#N/A</v>
      </c>
      <c r="BB1644" s="61" t="str">
        <f>IFERROR(__xludf.DUMMYFUNCTION("REGEXREPLACE(G1644, ""_[a-z]{1,2}$"", """")"),"jcre_01_yt3a")</f>
        <v>jcre_01_yt3a</v>
      </c>
      <c r="BC1644" s="92"/>
      <c r="BD1644" s="92"/>
    </row>
    <row r="1645">
      <c r="A1645" s="44">
        <v>1645.0</v>
      </c>
      <c r="B1645" s="72" t="s">
        <v>523</v>
      </c>
      <c r="C1645" s="72" t="s">
        <v>115</v>
      </c>
      <c r="D1645" s="72" t="s">
        <v>153</v>
      </c>
      <c r="E1645" s="73"/>
      <c r="F1645" s="94" t="s">
        <v>9308</v>
      </c>
      <c r="G1645" s="76" t="s">
        <v>9505</v>
      </c>
      <c r="H1645" s="76" t="s">
        <v>153</v>
      </c>
      <c r="I1645" s="853">
        <v>45478.0</v>
      </c>
      <c r="J1645" s="629">
        <v>45638.0</v>
      </c>
      <c r="K1645" s="75" t="s">
        <v>9326</v>
      </c>
      <c r="L1645" s="82"/>
      <c r="M1645" s="76" t="s">
        <v>9311</v>
      </c>
      <c r="N1645" s="76" t="s">
        <v>9312</v>
      </c>
      <c r="O1645" s="1004">
        <v>1.0</v>
      </c>
      <c r="P1645" s="931" t="s">
        <v>9313</v>
      </c>
      <c r="Q1645" s="52" t="str">
        <f t="array" ref="Q1645"> if(iserror(MATCH(V1645, 'File Links'!C:C, 0)), "N/A", HYPERLINK(INDEX('File Links'!B:B, MATCH(P1645, 'File Links'!C:C, 0))))</f>
        <v>https://drive.google.com/file/d/1EqvEPwgwndawziGmIPqgl3yNKOI51OAS/view?usp=drivesdk</v>
      </c>
      <c r="R1645" s="76" t="s">
        <v>9314</v>
      </c>
      <c r="S1645" s="76" t="s">
        <v>9315</v>
      </c>
      <c r="T1645" s="82"/>
      <c r="U1645" s="1005">
        <v>1.0</v>
      </c>
      <c r="V1645" s="198" t="str">
        <f t="shared" si="114"/>
        <v>10.18718--81781.23.pdf</v>
      </c>
      <c r="W1645" s="75" t="s">
        <v>2016</v>
      </c>
      <c r="X1645" s="54" t="str">
        <f t="array" ref="X1645"> if(iserror(MATCH(V1645, 'File Links'!C:C, 0)), "N/A", HYPERLINK(INDEX('File Links'!B:B, MATCH(V1645, 'File Links'!C:C, 0))))</f>
        <v>https://drive.google.com/file/d/1UFSIBKXNmPXd3__1cxrsTy9PbNax45wB/view?usp=drivesdk</v>
      </c>
      <c r="Y1645" s="82"/>
      <c r="Z1645" s="76" t="s">
        <v>1809</v>
      </c>
      <c r="AA1645" s="82" t="s">
        <v>9327</v>
      </c>
      <c r="AB1645" s="75" t="s">
        <v>9328</v>
      </c>
      <c r="AC1645" s="86" t="s">
        <v>9499</v>
      </c>
      <c r="AD1645" s="82" t="s">
        <v>9489</v>
      </c>
      <c r="AE1645" s="1770">
        <v>26.0</v>
      </c>
      <c r="AF1645" s="635">
        <f t="shared" si="115"/>
        <v>324</v>
      </c>
      <c r="AG1645" s="76" t="s">
        <v>9506</v>
      </c>
      <c r="AH1645" s="99" t="s">
        <v>134</v>
      </c>
      <c r="AI1645" s="76" t="s">
        <v>6362</v>
      </c>
      <c r="AJ1645" s="635">
        <v>0.05</v>
      </c>
      <c r="AK1645" s="95" t="s">
        <v>335</v>
      </c>
      <c r="AL1645" s="76" t="s">
        <v>136</v>
      </c>
      <c r="AM1645" s="82" t="s">
        <v>141</v>
      </c>
      <c r="AN1645" s="330" t="s">
        <v>138</v>
      </c>
      <c r="AO1645" s="635">
        <v>185.0</v>
      </c>
      <c r="AP1645" s="76" t="s">
        <v>9507</v>
      </c>
      <c r="AQ1645" s="76" t="s">
        <v>134</v>
      </c>
      <c r="AR1645" s="76" t="s">
        <v>1819</v>
      </c>
      <c r="AS1645" s="635">
        <v>0.05</v>
      </c>
      <c r="AT1645" s="95" t="s">
        <v>335</v>
      </c>
      <c r="AU1645" s="95" t="s">
        <v>136</v>
      </c>
      <c r="AV1645" s="94" t="s">
        <v>141</v>
      </c>
      <c r="AW1645" s="94"/>
      <c r="AX1645" s="94" t="s">
        <v>143</v>
      </c>
      <c r="AY1645" s="61" t="str">
        <f>IFERROR(__xludf.DUMMYFUNCTION("vlookup(BB1645,importrange(""https://docs.google.com/spreadsheets/d/1d2vevQ_7D_v35q4wCQ4RpQ_IPoTwEMB9Yp6ymwlPqew/edit?gid=984458430#gid=984458430"", ""'replication success'!A:K""), 11, FAlSE)"),"#N/A")</f>
        <v>#N/A</v>
      </c>
      <c r="AZ1645" s="61" t="str">
        <f>IFERROR(__xludf.DUMMYFUNCTION("vlookup(BB1645,importrange(""https://docs.google.com/spreadsheets/d/1d2vevQ_7D_v35q4wCQ4RpQ_IPoTwEMB9Yp6ymwlPqew/edit?gid=984458430#gid=984458430"", ""'replication success'!A:M""), 12, FAlSE)"),"#N/A")</f>
        <v>#N/A</v>
      </c>
      <c r="BA1645" s="61" t="str">
        <f>IFERROR(__xludf.DUMMYFUNCTION("vlookup(BB1645,importrange(""https://docs.google.com/spreadsheets/d/1d2vevQ_7D_v35q4wCQ4RpQ_IPoTwEMB9Yp6ymwlPqew/edit?gid=984458430#gid=984458430"", ""'replication success'!A:M""), 13, FAlSE)"),"#N/A")</f>
        <v>#N/A</v>
      </c>
      <c r="BB1645" s="61" t="str">
        <f>IFERROR(__xludf.DUMMYFUNCTION("REGEXREPLACE(G1645, ""_[a-z]{1,2}$"", """")"),"jcre_01_yt6a")</f>
        <v>jcre_01_yt6a</v>
      </c>
      <c r="BC1645" s="92"/>
      <c r="BD1645" s="92"/>
    </row>
    <row r="1646">
      <c r="A1646" s="44">
        <v>1646.0</v>
      </c>
      <c r="B1646" s="62" t="s">
        <v>285</v>
      </c>
      <c r="C1646" s="62" t="s">
        <v>115</v>
      </c>
      <c r="D1646" s="62" t="s">
        <v>2056</v>
      </c>
      <c r="F1646" s="68" t="s">
        <v>9508</v>
      </c>
      <c r="G1646" s="57" t="s">
        <v>9509</v>
      </c>
      <c r="H1646" s="159" t="s">
        <v>2059</v>
      </c>
      <c r="I1646" s="152">
        <v>45478.0</v>
      </c>
      <c r="J1646" s="152">
        <v>45633.0</v>
      </c>
      <c r="K1646" s="159" t="s">
        <v>9510</v>
      </c>
      <c r="L1646" s="68"/>
      <c r="M1646" s="159" t="s">
        <v>9511</v>
      </c>
      <c r="N1646" s="151" t="s">
        <v>9512</v>
      </c>
      <c r="O1646" s="159" t="s">
        <v>2870</v>
      </c>
      <c r="P1646" s="606" t="str">
        <f t="shared" ref="P1646:P1647" si="116">SUBSTITUTE(LOWER(N1646), "/", "--") &amp;  ".pdf"</f>
        <v>10.1257--mac.20130176.pdf</v>
      </c>
      <c r="Q1646" s="52" t="str">
        <f t="array" ref="Q1646"> if(iserror(MATCH(V1646, 'File Links'!C:C, 0)), "N/A", HYPERLINK(INDEX('File Links'!B:B, MATCH(P1646, 'File Links'!C:C, 0))))</f>
        <v>https://drive.google.com/file/d/1UuuzoS4yQn13IfYEyBMumYOQfdcrosni/view?usp=drivesdk</v>
      </c>
      <c r="R1646" s="159" t="s">
        <v>9513</v>
      </c>
      <c r="S1646" s="159" t="s">
        <v>9514</v>
      </c>
      <c r="T1646" s="68"/>
      <c r="U1646" s="101" t="s">
        <v>138</v>
      </c>
      <c r="V1646" s="198" t="str">
        <f t="shared" si="114"/>
        <v>10.18718--81781.24.pdf</v>
      </c>
      <c r="W1646" s="159" t="s">
        <v>9515</v>
      </c>
      <c r="X1646" s="54" t="str">
        <f t="array" ref="X1646"> if(iserror(MATCH(V1646, 'File Links'!C:C, 0)), "N/A", HYPERLINK(INDEX('File Links'!B:B, MATCH(V1646, 'File Links'!C:C, 0))))</f>
        <v>https://drive.google.com/file/d/12vw9kcWfNgIH1QJC1wzCOEbjp_P3Df3W/view?usp=drivesdk</v>
      </c>
      <c r="Y1646" s="68"/>
      <c r="Z1646" s="159" t="s">
        <v>1809</v>
      </c>
      <c r="AA1646" s="159" t="s">
        <v>9516</v>
      </c>
      <c r="AB1646" s="68"/>
      <c r="AC1646" s="159" t="s">
        <v>9517</v>
      </c>
      <c r="AD1646" s="68"/>
      <c r="AE1646" s="68"/>
      <c r="AF1646" s="68"/>
      <c r="AG1646" s="68"/>
      <c r="AH1646" s="338"/>
      <c r="AI1646" s="61"/>
      <c r="AJ1646" s="61"/>
      <c r="AK1646" s="68"/>
      <c r="AL1646" s="61"/>
      <c r="AM1646" s="68"/>
      <c r="AN1646" s="330" t="s">
        <v>138</v>
      </c>
      <c r="AO1646" s="68"/>
      <c r="AP1646" s="68"/>
      <c r="AQ1646" s="68"/>
      <c r="AR1646" s="68"/>
      <c r="AS1646" s="68"/>
      <c r="AT1646" s="68"/>
      <c r="AU1646" s="68"/>
      <c r="AV1646" s="68"/>
      <c r="AW1646" s="68"/>
      <c r="AX1646" s="68" t="s">
        <v>143</v>
      </c>
      <c r="AY1646" s="61" t="str">
        <f>IFERROR(__xludf.DUMMYFUNCTION("vlookup(BB1646,importrange(""https://docs.google.com/spreadsheets/d/1d2vevQ_7D_v35q4wCQ4RpQ_IPoTwEMB9Yp6ymwlPqew/edit?gid=984458430#gid=984458430"", ""'replication success'!A:K""), 11, FAlSE)"),"#N/A")</f>
        <v>#N/A</v>
      </c>
      <c r="AZ1646" s="61" t="str">
        <f>IFERROR(__xludf.DUMMYFUNCTION("vlookup(BB1646,importrange(""https://docs.google.com/spreadsheets/d/1d2vevQ_7D_v35q4wCQ4RpQ_IPoTwEMB9Yp6ymwlPqew/edit?gid=984458430#gid=984458430"", ""'replication success'!A:M""), 12, FAlSE)"),"#N/A")</f>
        <v>#N/A</v>
      </c>
      <c r="BA1646" s="61" t="str">
        <f>IFERROR(__xludf.DUMMYFUNCTION("vlookup(BB1646,importrange(""https://docs.google.com/spreadsheets/d/1d2vevQ_7D_v35q4wCQ4RpQ_IPoTwEMB9Yp6ymwlPqew/edit?gid=984458430#gid=984458430"", ""'replication success'!A:M""), 13, FAlSE)"),"#N/A")</f>
        <v>#N/A</v>
      </c>
      <c r="BB1646" s="61" t="str">
        <f>IFERROR(__xludf.DUMMYFUNCTION("REGEXREPLACE(G1646, ""_[a-z]{1,2}$"", """")"),"jcre_02")</f>
        <v>jcre_02</v>
      </c>
    </row>
    <row r="1647">
      <c r="A1647" s="44">
        <v>1647.0</v>
      </c>
      <c r="B1647" s="129" t="s">
        <v>523</v>
      </c>
      <c r="C1647" s="62" t="s">
        <v>115</v>
      </c>
      <c r="D1647" s="62" t="s">
        <v>1270</v>
      </c>
      <c r="F1647" s="68" t="s">
        <v>9508</v>
      </c>
      <c r="G1647" s="159" t="s">
        <v>9509</v>
      </c>
      <c r="H1647" s="159" t="s">
        <v>2067</v>
      </c>
      <c r="I1647" s="152">
        <v>45478.0</v>
      </c>
      <c r="J1647" s="152">
        <v>45681.0</v>
      </c>
      <c r="K1647" s="68"/>
      <c r="L1647" s="68"/>
      <c r="M1647" s="159" t="s">
        <v>9511</v>
      </c>
      <c r="N1647" s="151" t="s">
        <v>9512</v>
      </c>
      <c r="O1647" s="68"/>
      <c r="P1647" s="606" t="str">
        <f t="shared" si="116"/>
        <v>10.1257--mac.20130176.pdf</v>
      </c>
      <c r="Q1647" s="52" t="str">
        <f t="array" ref="Q1647"> if(iserror(MATCH(V1647, 'File Links'!C:C, 0)), "N/A", HYPERLINK(INDEX('File Links'!B:B, MATCH(P1647, 'File Links'!C:C, 0))))</f>
        <v>https://drive.google.com/file/d/1UuuzoS4yQn13IfYEyBMumYOQfdcrosni/view?usp=drivesdk</v>
      </c>
      <c r="R1647" s="68" t="s">
        <v>9513</v>
      </c>
      <c r="S1647" s="159" t="s">
        <v>9514</v>
      </c>
      <c r="T1647" s="68"/>
      <c r="U1647" s="862"/>
      <c r="V1647" s="198" t="str">
        <f t="shared" si="114"/>
        <v>10.18718--81781.24.pdf</v>
      </c>
      <c r="W1647" s="68"/>
      <c r="X1647" s="54" t="str">
        <f t="array" ref="X1647"> if(iserror(MATCH(V1647, 'File Links'!C:C, 0)), "N/A", HYPERLINK(INDEX('File Links'!B:B, MATCH(V1647, 'File Links'!C:C, 0))))</f>
        <v>https://drive.google.com/file/d/12vw9kcWfNgIH1QJC1wzCOEbjp_P3Df3W/view?usp=drivesdk</v>
      </c>
      <c r="Y1647" s="310" t="s">
        <v>9518</v>
      </c>
      <c r="Z1647" s="159" t="s">
        <v>1809</v>
      </c>
      <c r="AA1647" s="68"/>
      <c r="AB1647" s="573"/>
      <c r="AC1647" s="1771"/>
      <c r="AD1647" s="68"/>
      <c r="AE1647" s="68"/>
      <c r="AF1647" s="68"/>
      <c r="AG1647" s="68"/>
      <c r="AH1647" s="573"/>
      <c r="AI1647" s="1771"/>
      <c r="AJ1647" s="68"/>
      <c r="AK1647" s="68"/>
      <c r="AL1647" s="68"/>
      <c r="AM1647" s="68"/>
      <c r="AN1647" s="330" t="s">
        <v>138</v>
      </c>
      <c r="AO1647" s="68"/>
      <c r="AP1647" s="68"/>
      <c r="AQ1647" s="68"/>
      <c r="AR1647" s="68"/>
      <c r="AS1647" s="68"/>
      <c r="AT1647" s="68"/>
      <c r="AU1647" s="68"/>
      <c r="AV1647" s="68"/>
      <c r="AW1647" s="68"/>
      <c r="AX1647" s="68"/>
      <c r="AY1647" s="61" t="str">
        <f>IFERROR(__xludf.DUMMYFUNCTION("vlookup(BB1647,importrange(""https://docs.google.com/spreadsheets/d/1d2vevQ_7D_v35q4wCQ4RpQ_IPoTwEMB9Yp6ymwlPqew/edit?gid=984458430#gid=984458430"", ""'replication success'!A:K""), 11, FAlSE)"),"#N/A")</f>
        <v>#N/A</v>
      </c>
      <c r="AZ1647" s="61" t="str">
        <f>IFERROR(__xludf.DUMMYFUNCTION("vlookup(BB1647,importrange(""https://docs.google.com/spreadsheets/d/1d2vevQ_7D_v35q4wCQ4RpQ_IPoTwEMB9Yp6ymwlPqew/edit?gid=984458430#gid=984458430"", ""'replication success'!A:M""), 12, FAlSE)"),"#N/A")</f>
        <v>#N/A</v>
      </c>
      <c r="BA1647" s="61" t="str">
        <f>IFERROR(__xludf.DUMMYFUNCTION("vlookup(BB1647,importrange(""https://docs.google.com/spreadsheets/d/1d2vevQ_7D_v35q4wCQ4RpQ_IPoTwEMB9Yp6ymwlPqew/edit?gid=984458430#gid=984458430"", ""'replication success'!A:M""), 13, FAlSE)"),"#N/A")</f>
        <v>#N/A</v>
      </c>
      <c r="BB1647" s="61" t="str">
        <f>IFERROR(__xludf.DUMMYFUNCTION("REGEXREPLACE(G1647, ""_[a-z]{1,2}$"", """")"),"jcre_02")</f>
        <v>jcre_02</v>
      </c>
    </row>
    <row r="1648">
      <c r="A1648" s="44">
        <v>1648.0</v>
      </c>
      <c r="B1648" s="93" t="s">
        <v>285</v>
      </c>
      <c r="C1648" s="93" t="s">
        <v>115</v>
      </c>
      <c r="D1648" s="93" t="s">
        <v>2056</v>
      </c>
      <c r="E1648" s="92"/>
      <c r="F1648" s="94" t="s">
        <v>9519</v>
      </c>
      <c r="G1648" s="76" t="s">
        <v>9520</v>
      </c>
      <c r="H1648" s="95" t="s">
        <v>2059</v>
      </c>
      <c r="I1648" s="853">
        <v>45478.0</v>
      </c>
      <c r="J1648" s="853">
        <v>45633.0</v>
      </c>
      <c r="K1648" s="95" t="s">
        <v>7667</v>
      </c>
      <c r="L1648" s="94"/>
      <c r="M1648" s="95" t="s">
        <v>9521</v>
      </c>
      <c r="N1648" s="95" t="s">
        <v>9522</v>
      </c>
      <c r="O1648" s="95" t="s">
        <v>2870</v>
      </c>
      <c r="P1648" s="937" t="s">
        <v>9523</v>
      </c>
      <c r="Q1648" s="52" t="str">
        <f t="array" ref="Q1648"> if(iserror(MATCH(V1648, 'File Links'!C:C, 0)), "N/A", HYPERLINK(INDEX('File Links'!B:B, MATCH(P1648, 'File Links'!C:C, 0))))</f>
        <v>https://drive.google.com/file/d/1MSm1yoidPn8M-5atsMIFyyg354c4jcsA/view?usp=drivesdk</v>
      </c>
      <c r="R1648" s="95" t="s">
        <v>9524</v>
      </c>
      <c r="S1648" s="95" t="s">
        <v>9525</v>
      </c>
      <c r="T1648" s="94"/>
      <c r="U1648" s="101" t="s">
        <v>138</v>
      </c>
      <c r="V1648" s="198" t="str">
        <f t="shared" si="114"/>
        <v>10.18718--81781.27.pdf</v>
      </c>
      <c r="W1648" s="95" t="s">
        <v>9526</v>
      </c>
      <c r="X1648" s="54" t="str">
        <f t="array" ref="X1648"> if(iserror(MATCH(V1648, 'File Links'!C:C, 0)), "N/A", HYPERLINK(INDEX('File Links'!B:B, MATCH(V1648, 'File Links'!C:C, 0))))</f>
        <v>https://drive.google.com/file/d/1B0bpIVPknZVh5AfVAO6FnFkgh37GF9dx/view?usp=drivesdk</v>
      </c>
      <c r="Y1648" s="94"/>
      <c r="Z1648" s="95" t="s">
        <v>226</v>
      </c>
      <c r="AA1648" s="95" t="s">
        <v>7667</v>
      </c>
      <c r="AB1648" s="94"/>
      <c r="AC1648" s="95" t="s">
        <v>9527</v>
      </c>
      <c r="AD1648" s="95" t="s">
        <v>9528</v>
      </c>
      <c r="AE1648" s="95" t="s">
        <v>9529</v>
      </c>
      <c r="AF1648" s="98">
        <v>70.0</v>
      </c>
      <c r="AG1648" s="98">
        <v>-0.004</v>
      </c>
      <c r="AH1648" s="194" t="s">
        <v>360</v>
      </c>
      <c r="AI1648" s="76" t="s">
        <v>9530</v>
      </c>
      <c r="AJ1648" s="635">
        <v>0.583</v>
      </c>
      <c r="AK1648" s="95" t="s">
        <v>172</v>
      </c>
      <c r="AL1648" s="76" t="s">
        <v>186</v>
      </c>
      <c r="AM1648" s="94" t="s">
        <v>137</v>
      </c>
      <c r="AN1648" s="330" t="s">
        <v>138</v>
      </c>
      <c r="AO1648" s="98">
        <v>137.0</v>
      </c>
      <c r="AP1648" s="98">
        <v>0.319</v>
      </c>
      <c r="AQ1648" s="159" t="s">
        <v>360</v>
      </c>
      <c r="AR1648" s="95" t="s">
        <v>813</v>
      </c>
      <c r="AS1648" s="1772">
        <v>0.924</v>
      </c>
      <c r="AT1648" s="95" t="s">
        <v>172</v>
      </c>
      <c r="AU1648" s="95" t="s">
        <v>186</v>
      </c>
      <c r="AV1648" s="94" t="s">
        <v>137</v>
      </c>
      <c r="AW1648" s="94" t="s">
        <v>2870</v>
      </c>
      <c r="AX1648" s="94" t="s">
        <v>143</v>
      </c>
      <c r="AY1648" s="61" t="str">
        <f>IFERROR(__xludf.DUMMYFUNCTION("vlookup(BB1648,importrange(""https://docs.google.com/spreadsheets/d/1d2vevQ_7D_v35q4wCQ4RpQ_IPoTwEMB9Yp6ymwlPqew/edit?gid=984458430#gid=984458430"", ""'replication success'!A:K""), 11, FAlSE)"),"#N/A")</f>
        <v>#N/A</v>
      </c>
      <c r="AZ1648" s="61" t="str">
        <f>IFERROR(__xludf.DUMMYFUNCTION("vlookup(BB1648,importrange(""https://docs.google.com/spreadsheets/d/1d2vevQ_7D_v35q4wCQ4RpQ_IPoTwEMB9Yp6ymwlPqew/edit?gid=984458430#gid=984458430"", ""'replication success'!A:M""), 12, FAlSE)"),"#N/A")</f>
        <v>#N/A</v>
      </c>
      <c r="BA1648" s="61" t="str">
        <f>IFERROR(__xludf.DUMMYFUNCTION("vlookup(BB1648,importrange(""https://docs.google.com/spreadsheets/d/1d2vevQ_7D_v35q4wCQ4RpQ_IPoTwEMB9Yp6ymwlPqew/edit?gid=984458430#gid=984458430"", ""'replication success'!A:M""), 13, FAlSE)"),"#N/A")</f>
        <v>#N/A</v>
      </c>
      <c r="BB1648" s="61" t="str">
        <f>IFERROR(__xludf.DUMMYFUNCTION("REGEXREPLACE(G1648, ""_[a-z]{1,2}$"", """")"),"jcre_03")</f>
        <v>jcre_03</v>
      </c>
      <c r="BC1648" s="92"/>
      <c r="BD1648" s="92"/>
    </row>
    <row r="1649">
      <c r="A1649" s="44">
        <v>1649.0</v>
      </c>
      <c r="B1649" s="93" t="s">
        <v>285</v>
      </c>
      <c r="C1649" s="93" t="s">
        <v>115</v>
      </c>
      <c r="D1649" s="93" t="s">
        <v>2056</v>
      </c>
      <c r="E1649" s="92"/>
      <c r="F1649" s="94" t="s">
        <v>9519</v>
      </c>
      <c r="G1649" s="76" t="s">
        <v>9520</v>
      </c>
      <c r="H1649" s="95" t="s">
        <v>2911</v>
      </c>
      <c r="I1649" s="853">
        <v>45633.0</v>
      </c>
      <c r="J1649" s="1773"/>
      <c r="K1649" s="95" t="s">
        <v>9531</v>
      </c>
      <c r="L1649" s="94"/>
      <c r="M1649" s="95" t="s">
        <v>9521</v>
      </c>
      <c r="N1649" s="95" t="s">
        <v>9522</v>
      </c>
      <c r="O1649" s="95" t="s">
        <v>2870</v>
      </c>
      <c r="P1649" s="937" t="s">
        <v>9523</v>
      </c>
      <c r="Q1649" s="52" t="str">
        <f t="array" ref="Q1649"> if(iserror(MATCH(V1649, 'File Links'!C:C, 0)), "N/A", HYPERLINK(INDEX('File Links'!B:B, MATCH(P1649, 'File Links'!C:C, 0))))</f>
        <v>https://drive.google.com/file/d/1MSm1yoidPn8M-5atsMIFyyg354c4jcsA/view?usp=drivesdk</v>
      </c>
      <c r="R1649" s="95" t="s">
        <v>9524</v>
      </c>
      <c r="S1649" s="95" t="s">
        <v>9525</v>
      </c>
      <c r="T1649" s="94"/>
      <c r="U1649" s="101" t="s">
        <v>138</v>
      </c>
      <c r="V1649" s="198" t="str">
        <f t="shared" si="114"/>
        <v>10.18718--81781.27.pdf</v>
      </c>
      <c r="W1649" s="95" t="s">
        <v>9526</v>
      </c>
      <c r="X1649" s="54" t="str">
        <f t="array" ref="X1649"> if(iserror(MATCH(V1649, 'File Links'!C:C, 0)), "N/A", HYPERLINK(INDEX('File Links'!B:B, MATCH(V1649, 'File Links'!C:C, 0))))</f>
        <v>https://drive.google.com/file/d/1B0bpIVPknZVh5AfVAO6FnFkgh37GF9dx/view?usp=drivesdk</v>
      </c>
      <c r="Y1649" s="94"/>
      <c r="Z1649" s="95" t="s">
        <v>226</v>
      </c>
      <c r="AA1649" s="95" t="s">
        <v>2870</v>
      </c>
      <c r="AB1649" s="94"/>
      <c r="AC1649" s="95" t="s">
        <v>9532</v>
      </c>
      <c r="AD1649" s="95" t="s">
        <v>9533</v>
      </c>
      <c r="AE1649" s="95" t="s">
        <v>9529</v>
      </c>
      <c r="AF1649" s="98">
        <v>70.0</v>
      </c>
      <c r="AG1649" s="94"/>
      <c r="AH1649" s="595"/>
      <c r="AI1649" s="82"/>
      <c r="AJ1649" s="1774">
        <v>0.594</v>
      </c>
      <c r="AK1649" s="95" t="s">
        <v>172</v>
      </c>
      <c r="AL1649" s="76" t="s">
        <v>186</v>
      </c>
      <c r="AM1649" s="94" t="s">
        <v>137</v>
      </c>
      <c r="AN1649" s="330" t="s">
        <v>138</v>
      </c>
      <c r="AO1649" s="98">
        <v>69.0</v>
      </c>
      <c r="AP1649" s="94"/>
      <c r="AQ1649" s="94"/>
      <c r="AR1649" s="94"/>
      <c r="AS1649" s="1772">
        <v>0.699</v>
      </c>
      <c r="AT1649" s="95" t="s">
        <v>172</v>
      </c>
      <c r="AU1649" s="95" t="s">
        <v>186</v>
      </c>
      <c r="AV1649" s="94" t="s">
        <v>137</v>
      </c>
      <c r="AW1649" s="94" t="s">
        <v>2870</v>
      </c>
      <c r="AX1649" s="94" t="s">
        <v>143</v>
      </c>
      <c r="AY1649" s="61" t="str">
        <f>IFERROR(__xludf.DUMMYFUNCTION("vlookup(BB1649,importrange(""https://docs.google.com/spreadsheets/d/1d2vevQ_7D_v35q4wCQ4RpQ_IPoTwEMB9Yp6ymwlPqew/edit?gid=984458430#gid=984458430"", ""'replication success'!A:K""), 11, FAlSE)"),"#N/A")</f>
        <v>#N/A</v>
      </c>
      <c r="AZ1649" s="61" t="str">
        <f>IFERROR(__xludf.DUMMYFUNCTION("vlookup(BB1649,importrange(""https://docs.google.com/spreadsheets/d/1d2vevQ_7D_v35q4wCQ4RpQ_IPoTwEMB9Yp6ymwlPqew/edit?gid=984458430#gid=984458430"", ""'replication success'!A:M""), 12, FAlSE)"),"#N/A")</f>
        <v>#N/A</v>
      </c>
      <c r="BA1649" s="61" t="str">
        <f>IFERROR(__xludf.DUMMYFUNCTION("vlookup(BB1649,importrange(""https://docs.google.com/spreadsheets/d/1d2vevQ_7D_v35q4wCQ4RpQ_IPoTwEMB9Yp6ymwlPqew/edit?gid=984458430#gid=984458430"", ""'replication success'!A:M""), 13, FAlSE)"),"#N/A")</f>
        <v>#N/A</v>
      </c>
      <c r="BB1649" s="61" t="str">
        <f>IFERROR(__xludf.DUMMYFUNCTION("REGEXREPLACE(G1649, ""_[a-z]{1,2}$"", """")"),"jcre_03")</f>
        <v>jcre_03</v>
      </c>
      <c r="BC1649" s="92"/>
      <c r="BD1649" s="92"/>
    </row>
    <row r="1650">
      <c r="A1650" s="44">
        <v>1650.0</v>
      </c>
      <c r="B1650" s="93" t="s">
        <v>285</v>
      </c>
      <c r="C1650" s="93" t="s">
        <v>115</v>
      </c>
      <c r="D1650" s="93" t="s">
        <v>2056</v>
      </c>
      <c r="E1650" s="92"/>
      <c r="F1650" s="94" t="s">
        <v>9519</v>
      </c>
      <c r="G1650" s="76" t="s">
        <v>9520</v>
      </c>
      <c r="H1650" s="95" t="s">
        <v>2911</v>
      </c>
      <c r="I1650" s="853">
        <v>45633.0</v>
      </c>
      <c r="J1650" s="1773"/>
      <c r="K1650" s="95" t="s">
        <v>9534</v>
      </c>
      <c r="L1650" s="94"/>
      <c r="M1650" s="95" t="s">
        <v>9521</v>
      </c>
      <c r="N1650" s="95" t="s">
        <v>9522</v>
      </c>
      <c r="O1650" s="95" t="s">
        <v>2870</v>
      </c>
      <c r="P1650" s="937" t="s">
        <v>9523</v>
      </c>
      <c r="Q1650" s="52" t="str">
        <f t="array" ref="Q1650"> if(iserror(MATCH(V1650, 'File Links'!C:C, 0)), "N/A", HYPERLINK(INDEX('File Links'!B:B, MATCH(P1650, 'File Links'!C:C, 0))))</f>
        <v>https://drive.google.com/file/d/1MSm1yoidPn8M-5atsMIFyyg354c4jcsA/view?usp=drivesdk</v>
      </c>
      <c r="R1650" s="95" t="s">
        <v>9524</v>
      </c>
      <c r="S1650" s="95" t="s">
        <v>9525</v>
      </c>
      <c r="T1650" s="94"/>
      <c r="U1650" s="101" t="s">
        <v>138</v>
      </c>
      <c r="V1650" s="198" t="str">
        <f t="shared" si="114"/>
        <v>10.18718--81781.27.pdf</v>
      </c>
      <c r="W1650" s="95" t="s">
        <v>9526</v>
      </c>
      <c r="X1650" s="54" t="str">
        <f t="array" ref="X1650"> if(iserror(MATCH(V1650, 'File Links'!C:C, 0)), "N/A", HYPERLINK(INDEX('File Links'!B:B, MATCH(V1650, 'File Links'!C:C, 0))))</f>
        <v>https://drive.google.com/file/d/1B0bpIVPknZVh5AfVAO6FnFkgh37GF9dx/view?usp=drivesdk</v>
      </c>
      <c r="Y1650" s="94"/>
      <c r="Z1650" s="95" t="s">
        <v>226</v>
      </c>
      <c r="AA1650" s="95" t="s">
        <v>2870</v>
      </c>
      <c r="AB1650" s="94"/>
      <c r="AC1650" s="95" t="s">
        <v>9532</v>
      </c>
      <c r="AD1650" s="95" t="s">
        <v>9535</v>
      </c>
      <c r="AE1650" s="95" t="s">
        <v>9529</v>
      </c>
      <c r="AF1650" s="98">
        <v>70.0</v>
      </c>
      <c r="AG1650" s="98">
        <v>1.097</v>
      </c>
      <c r="AH1650" s="194" t="s">
        <v>360</v>
      </c>
      <c r="AI1650" s="76" t="s">
        <v>9530</v>
      </c>
      <c r="AJ1650" s="1774">
        <v>1.0E-4</v>
      </c>
      <c r="AK1650" s="95" t="s">
        <v>172</v>
      </c>
      <c r="AL1650" s="76" t="s">
        <v>186</v>
      </c>
      <c r="AM1650" s="94" t="s">
        <v>137</v>
      </c>
      <c r="AN1650" s="330" t="s">
        <v>138</v>
      </c>
      <c r="AO1650" s="98">
        <v>68.0</v>
      </c>
      <c r="AP1650" s="98">
        <v>0.259</v>
      </c>
      <c r="AQ1650" s="159" t="s">
        <v>360</v>
      </c>
      <c r="AR1650" s="95" t="s">
        <v>813</v>
      </c>
      <c r="AS1650" s="1772">
        <v>0.665</v>
      </c>
      <c r="AT1650" s="95" t="s">
        <v>172</v>
      </c>
      <c r="AU1650" s="95" t="s">
        <v>186</v>
      </c>
      <c r="AV1650" s="94" t="s">
        <v>137</v>
      </c>
      <c r="AW1650" s="94" t="s">
        <v>2870</v>
      </c>
      <c r="AX1650" s="94" t="s">
        <v>143</v>
      </c>
      <c r="AY1650" s="61" t="str">
        <f>IFERROR(__xludf.DUMMYFUNCTION("vlookup(BB1650,importrange(""https://docs.google.com/spreadsheets/d/1d2vevQ_7D_v35q4wCQ4RpQ_IPoTwEMB9Yp6ymwlPqew/edit?gid=984458430#gid=984458430"", ""'replication success'!A:K""), 11, FAlSE)"),"#N/A")</f>
        <v>#N/A</v>
      </c>
      <c r="AZ1650" s="61" t="str">
        <f>IFERROR(__xludf.DUMMYFUNCTION("vlookup(BB1650,importrange(""https://docs.google.com/spreadsheets/d/1d2vevQ_7D_v35q4wCQ4RpQ_IPoTwEMB9Yp6ymwlPqew/edit?gid=984458430#gid=984458430"", ""'replication success'!A:M""), 12, FAlSE)"),"#N/A")</f>
        <v>#N/A</v>
      </c>
      <c r="BA1650" s="61" t="str">
        <f>IFERROR(__xludf.DUMMYFUNCTION("vlookup(BB1650,importrange(""https://docs.google.com/spreadsheets/d/1d2vevQ_7D_v35q4wCQ4RpQ_IPoTwEMB9Yp6ymwlPqew/edit?gid=984458430#gid=984458430"", ""'replication success'!A:M""), 13, FAlSE)"),"#N/A")</f>
        <v>#N/A</v>
      </c>
      <c r="BB1650" s="61" t="str">
        <f>IFERROR(__xludf.DUMMYFUNCTION("REGEXREPLACE(G1650, ""_[a-z]{1,2}$"", """")"),"jcre_03")</f>
        <v>jcre_03</v>
      </c>
      <c r="BC1650" s="92"/>
      <c r="BD1650" s="92"/>
    </row>
    <row r="1651">
      <c r="A1651" s="44">
        <v>1651.0</v>
      </c>
      <c r="B1651" s="129" t="s">
        <v>523</v>
      </c>
      <c r="C1651" s="62" t="s">
        <v>115</v>
      </c>
      <c r="D1651" s="62" t="s">
        <v>1270</v>
      </c>
      <c r="F1651" s="68" t="s">
        <v>9519</v>
      </c>
      <c r="G1651" s="159" t="s">
        <v>9520</v>
      </c>
      <c r="H1651" s="159" t="s">
        <v>2067</v>
      </c>
      <c r="I1651" s="152">
        <v>45478.0</v>
      </c>
      <c r="J1651" s="152">
        <v>45681.0</v>
      </c>
      <c r="K1651" s="159" t="s">
        <v>9536</v>
      </c>
      <c r="L1651" s="68"/>
      <c r="M1651" s="159" t="s">
        <v>9521</v>
      </c>
      <c r="N1651" s="159" t="s">
        <v>9522</v>
      </c>
      <c r="O1651" s="68"/>
      <c r="P1651" s="606" t="str">
        <f t="shared" ref="P1651:P1653" si="117">SUBSTITUTE(LOWER(N1651), "/", "--") &amp;  ".pdf"</f>
        <v>10.1002--soej.12223.pdf</v>
      </c>
      <c r="Q1651" s="52" t="str">
        <f t="array" ref="Q1651"> if(iserror(MATCH(V1651, 'File Links'!C:C, 0)), "N/A", HYPERLINK(INDEX('File Links'!B:B, MATCH(P1651, 'File Links'!C:C, 0))))</f>
        <v>https://drive.google.com/file/d/1MSm1yoidPn8M-5atsMIFyyg354c4jcsA/view?usp=drivesdk</v>
      </c>
      <c r="R1651" s="159" t="s">
        <v>9524</v>
      </c>
      <c r="S1651" s="159" t="s">
        <v>9525</v>
      </c>
      <c r="T1651" s="68"/>
      <c r="U1651" s="68"/>
      <c r="V1651" s="198" t="str">
        <f t="shared" si="114"/>
        <v>10.18718--81781.27.pdf</v>
      </c>
      <c r="W1651" s="159" t="s">
        <v>6637</v>
      </c>
      <c r="X1651" s="54" t="str">
        <f t="array" ref="X1651"> if(iserror(MATCH(V1651, 'File Links'!C:C, 0)), "N/A", HYPERLINK(INDEX('File Links'!B:B, MATCH(V1651, 'File Links'!C:C, 0))))</f>
        <v>https://drive.google.com/file/d/1B0bpIVPknZVh5AfVAO6FnFkgh37GF9dx/view?usp=drivesdk</v>
      </c>
      <c r="Y1651" s="68"/>
      <c r="Z1651" s="159" t="s">
        <v>1809</v>
      </c>
      <c r="AA1651" s="68"/>
      <c r="AB1651" s="159" t="s">
        <v>9537</v>
      </c>
      <c r="AC1651" s="68"/>
      <c r="AD1651" s="159" t="s">
        <v>9538</v>
      </c>
      <c r="AE1651" s="159" t="s">
        <v>9539</v>
      </c>
      <c r="AF1651" s="156">
        <v>140.0</v>
      </c>
      <c r="AG1651" s="156">
        <v>0.031</v>
      </c>
      <c r="AH1651" s="159" t="s">
        <v>173</v>
      </c>
      <c r="AI1651" s="159" t="s">
        <v>850</v>
      </c>
      <c r="AJ1651" s="156">
        <v>0.583</v>
      </c>
      <c r="AK1651" s="159" t="s">
        <v>172</v>
      </c>
      <c r="AL1651" s="159" t="s">
        <v>186</v>
      </c>
      <c r="AM1651" s="68" t="s">
        <v>137</v>
      </c>
      <c r="AN1651" s="330" t="s">
        <v>138</v>
      </c>
      <c r="AO1651" s="156">
        <v>137.0</v>
      </c>
      <c r="AP1651" s="156">
        <v>0.14</v>
      </c>
      <c r="AQ1651" s="159" t="s">
        <v>173</v>
      </c>
      <c r="AR1651" s="159" t="s">
        <v>850</v>
      </c>
      <c r="AS1651" s="156">
        <v>0.924</v>
      </c>
      <c r="AT1651" s="159" t="s">
        <v>172</v>
      </c>
      <c r="AU1651" s="159" t="s">
        <v>186</v>
      </c>
      <c r="AV1651" s="68" t="s">
        <v>137</v>
      </c>
      <c r="AW1651" s="68"/>
      <c r="AX1651" s="68" t="s">
        <v>143</v>
      </c>
      <c r="AY1651" s="61" t="str">
        <f>IFERROR(__xludf.DUMMYFUNCTION("vlookup(BB1651,importrange(""https://docs.google.com/spreadsheets/d/1d2vevQ_7D_v35q4wCQ4RpQ_IPoTwEMB9Yp6ymwlPqew/edit?gid=984458430#gid=984458430"", ""'replication success'!A:K""), 11, FAlSE)"),"#N/A")</f>
        <v>#N/A</v>
      </c>
      <c r="AZ1651" s="61" t="str">
        <f>IFERROR(__xludf.DUMMYFUNCTION("vlookup(BB1651,importrange(""https://docs.google.com/spreadsheets/d/1d2vevQ_7D_v35q4wCQ4RpQ_IPoTwEMB9Yp6ymwlPqew/edit?gid=984458430#gid=984458430"", ""'replication success'!A:M""), 12, FAlSE)"),"#N/A")</f>
        <v>#N/A</v>
      </c>
      <c r="BA1651" s="61" t="str">
        <f>IFERROR(__xludf.DUMMYFUNCTION("vlookup(BB1651,importrange(""https://docs.google.com/spreadsheets/d/1d2vevQ_7D_v35q4wCQ4RpQ_IPoTwEMB9Yp6ymwlPqew/edit?gid=984458430#gid=984458430"", ""'replication success'!A:M""), 13, FAlSE)"),"#N/A")</f>
        <v>#N/A</v>
      </c>
      <c r="BB1651" s="61" t="str">
        <f>IFERROR(__xludf.DUMMYFUNCTION("REGEXREPLACE(G1651, ""_[a-z]{1,2}$"", """")"),"jcre_03")</f>
        <v>jcre_03</v>
      </c>
    </row>
    <row r="1652">
      <c r="A1652" s="44">
        <v>1652.0</v>
      </c>
      <c r="B1652" s="93" t="s">
        <v>285</v>
      </c>
      <c r="C1652" s="93" t="s">
        <v>115</v>
      </c>
      <c r="D1652" s="93" t="s">
        <v>2056</v>
      </c>
      <c r="E1652" s="92"/>
      <c r="F1652" s="94" t="s">
        <v>9540</v>
      </c>
      <c r="G1652" s="76" t="s">
        <v>9541</v>
      </c>
      <c r="H1652" s="95" t="s">
        <v>2059</v>
      </c>
      <c r="I1652" s="853">
        <v>45478.0</v>
      </c>
      <c r="J1652" s="853">
        <v>45634.0</v>
      </c>
      <c r="K1652" s="95" t="s">
        <v>9510</v>
      </c>
      <c r="L1652" s="94"/>
      <c r="M1652" s="95" t="s">
        <v>9542</v>
      </c>
      <c r="N1652" s="101" t="s">
        <v>9543</v>
      </c>
      <c r="O1652" s="95" t="s">
        <v>2870</v>
      </c>
      <c r="P1652" s="606" t="str">
        <f t="shared" si="117"/>
        <v>10.1257--mac.1.1.146.pdf</v>
      </c>
      <c r="Q1652" s="52" t="str">
        <f t="array" ref="Q1652"> if(iserror(MATCH(V1652, 'File Links'!C:C, 0)), "N/A", HYPERLINK(INDEX('File Links'!B:B, MATCH(P1652, 'File Links'!C:C, 0))))</f>
        <v>https://drive.google.com/file/d/18u8UZGmq2oMFWhXRxe2eL3wAp7RT1WdE/view?usp=drivesdk</v>
      </c>
      <c r="R1652" s="95" t="s">
        <v>9544</v>
      </c>
      <c r="S1652" s="95" t="s">
        <v>9545</v>
      </c>
      <c r="T1652" s="94"/>
      <c r="U1652" s="101" t="s">
        <v>138</v>
      </c>
      <c r="V1652" s="198" t="str">
        <f t="shared" si="114"/>
        <v>10.18718--81781.28.pdf</v>
      </c>
      <c r="W1652" s="95" t="s">
        <v>9546</v>
      </c>
      <c r="X1652" s="54" t="str">
        <f t="array" ref="X1652"> if(iserror(MATCH(V1652, 'File Links'!C:C, 0)), "N/A", HYPERLINK(INDEX('File Links'!B:B, MATCH(V1652, 'File Links'!C:C, 0))))</f>
        <v>https://drive.google.com/file/d/10OfxM8Xr_vLp1xZdWVqasjH0oVNLXD6c/view?usp=drivesdk</v>
      </c>
      <c r="Y1652" s="94"/>
      <c r="Z1652" s="95" t="s">
        <v>1809</v>
      </c>
      <c r="AA1652" s="94"/>
      <c r="AB1652" s="94"/>
      <c r="AC1652" s="95" t="s">
        <v>9547</v>
      </c>
      <c r="AD1652" s="94"/>
      <c r="AE1652" s="94"/>
      <c r="AF1652" s="94"/>
      <c r="AG1652" s="94"/>
      <c r="AH1652" s="595"/>
      <c r="AI1652" s="82"/>
      <c r="AJ1652" s="82"/>
      <c r="AK1652" s="94"/>
      <c r="AL1652" s="82"/>
      <c r="AM1652" s="94"/>
      <c r="AN1652" s="330" t="s">
        <v>138</v>
      </c>
      <c r="AO1652" s="94"/>
      <c r="AP1652" s="94"/>
      <c r="AQ1652" s="94"/>
      <c r="AR1652" s="94"/>
      <c r="AS1652" s="94"/>
      <c r="AT1652" s="94"/>
      <c r="AU1652" s="94"/>
      <c r="AV1652" s="94"/>
      <c r="AW1652" s="94"/>
      <c r="AX1652" s="94"/>
      <c r="AY1652" s="61" t="str">
        <f>IFERROR(__xludf.DUMMYFUNCTION("vlookup(BB1652,importrange(""https://docs.google.com/spreadsheets/d/1d2vevQ_7D_v35q4wCQ4RpQ_IPoTwEMB9Yp6ymwlPqew/edit?gid=984458430#gid=984458430"", ""'replication success'!A:K""), 11, FAlSE)"),"#N/A")</f>
        <v>#N/A</v>
      </c>
      <c r="AZ1652" s="61" t="str">
        <f>IFERROR(__xludf.DUMMYFUNCTION("vlookup(BB1652,importrange(""https://docs.google.com/spreadsheets/d/1d2vevQ_7D_v35q4wCQ4RpQ_IPoTwEMB9Yp6ymwlPqew/edit?gid=984458430#gid=984458430"", ""'replication success'!A:M""), 12, FAlSE)"),"#N/A")</f>
        <v>#N/A</v>
      </c>
      <c r="BA1652" s="61" t="str">
        <f>IFERROR(__xludf.DUMMYFUNCTION("vlookup(BB1652,importrange(""https://docs.google.com/spreadsheets/d/1d2vevQ_7D_v35q4wCQ4RpQ_IPoTwEMB9Yp6ymwlPqew/edit?gid=984458430#gid=984458430"", ""'replication success'!A:M""), 13, FAlSE)"),"#N/A")</f>
        <v>#N/A</v>
      </c>
      <c r="BB1652" s="61" t="str">
        <f>IFERROR(__xludf.DUMMYFUNCTION("REGEXREPLACE(G1652, ""_[a-z]{1,2}$"", """")"),"jcre_04")</f>
        <v>jcre_04</v>
      </c>
      <c r="BC1652" s="92"/>
      <c r="BD1652" s="92"/>
    </row>
    <row r="1653">
      <c r="A1653" s="44">
        <v>1653.0</v>
      </c>
      <c r="B1653" s="129" t="s">
        <v>523</v>
      </c>
      <c r="C1653" s="62" t="s">
        <v>115</v>
      </c>
      <c r="D1653" s="62" t="s">
        <v>1270</v>
      </c>
      <c r="F1653" s="68" t="s">
        <v>9540</v>
      </c>
      <c r="G1653" s="159" t="s">
        <v>9541</v>
      </c>
      <c r="H1653" s="159" t="s">
        <v>2067</v>
      </c>
      <c r="I1653" s="152">
        <v>45478.0</v>
      </c>
      <c r="J1653" s="152">
        <v>45681.0</v>
      </c>
      <c r="K1653" s="68"/>
      <c r="L1653" s="68"/>
      <c r="M1653" s="159" t="s">
        <v>9542</v>
      </c>
      <c r="N1653" s="151" t="s">
        <v>9543</v>
      </c>
      <c r="O1653" s="68"/>
      <c r="P1653" s="606" t="str">
        <f t="shared" si="117"/>
        <v>10.1257--mac.1.1.146.pdf</v>
      </c>
      <c r="Q1653" s="52" t="str">
        <f t="array" ref="Q1653"> if(iserror(MATCH(V1653, 'File Links'!C:C, 0)), "N/A", HYPERLINK(INDEX('File Links'!B:B, MATCH(P1653, 'File Links'!C:C, 0))))</f>
        <v>https://drive.google.com/file/d/18u8UZGmq2oMFWhXRxe2eL3wAp7RT1WdE/view?usp=drivesdk</v>
      </c>
      <c r="R1653" s="159" t="s">
        <v>9544</v>
      </c>
      <c r="S1653" s="159" t="s">
        <v>9545</v>
      </c>
      <c r="T1653" s="68"/>
      <c r="U1653" s="68"/>
      <c r="V1653" s="198" t="str">
        <f t="shared" si="114"/>
        <v>10.18718--81781.28.pdf</v>
      </c>
      <c r="W1653" s="68"/>
      <c r="X1653" s="54" t="str">
        <f t="array" ref="X1653"> if(iserror(MATCH(V1653, 'File Links'!C:C, 0)), "N/A", HYPERLINK(INDEX('File Links'!B:B, MATCH(V1653, 'File Links'!C:C, 0))))</f>
        <v>https://drive.google.com/file/d/10OfxM8Xr_vLp1xZdWVqasjH0oVNLXD6c/view?usp=drivesdk</v>
      </c>
      <c r="Y1653" s="159" t="s">
        <v>9548</v>
      </c>
      <c r="Z1653" s="68"/>
      <c r="AA1653" s="68"/>
      <c r="AB1653" s="68"/>
      <c r="AC1653" s="68"/>
      <c r="AD1653" s="68"/>
      <c r="AE1653" s="68"/>
      <c r="AF1653" s="68"/>
      <c r="AG1653" s="68"/>
      <c r="AH1653" s="68"/>
      <c r="AI1653" s="68"/>
      <c r="AJ1653" s="68"/>
      <c r="AK1653" s="68"/>
      <c r="AL1653" s="68"/>
      <c r="AM1653" s="68"/>
      <c r="AN1653" s="330" t="s">
        <v>138</v>
      </c>
      <c r="AO1653" s="68"/>
      <c r="AP1653" s="68"/>
      <c r="AQ1653" s="68"/>
      <c r="AR1653" s="68"/>
      <c r="AS1653" s="68"/>
      <c r="AT1653" s="68"/>
      <c r="AU1653" s="68"/>
      <c r="AV1653" s="68"/>
      <c r="AW1653" s="68"/>
      <c r="AX1653" s="68"/>
      <c r="AY1653" s="61" t="str">
        <f>IFERROR(__xludf.DUMMYFUNCTION("vlookup(BB1653,importrange(""https://docs.google.com/spreadsheets/d/1d2vevQ_7D_v35q4wCQ4RpQ_IPoTwEMB9Yp6ymwlPqew/edit?gid=984458430#gid=984458430"", ""'replication success'!A:K""), 11, FAlSE)"),"#N/A")</f>
        <v>#N/A</v>
      </c>
      <c r="AZ1653" s="61" t="str">
        <f>IFERROR(__xludf.DUMMYFUNCTION("vlookup(BB1653,importrange(""https://docs.google.com/spreadsheets/d/1d2vevQ_7D_v35q4wCQ4RpQ_IPoTwEMB9Yp6ymwlPqew/edit?gid=984458430#gid=984458430"", ""'replication success'!A:M""), 12, FAlSE)"),"#N/A")</f>
        <v>#N/A</v>
      </c>
      <c r="BA1653" s="61" t="str">
        <f>IFERROR(__xludf.DUMMYFUNCTION("vlookup(BB1653,importrange(""https://docs.google.com/spreadsheets/d/1d2vevQ_7D_v35q4wCQ4RpQ_IPoTwEMB9Yp6ymwlPqew/edit?gid=984458430#gid=984458430"", ""'replication success'!A:M""), 13, FAlSE)"),"#N/A")</f>
        <v>#N/A</v>
      </c>
      <c r="BB1653" s="61" t="str">
        <f>IFERROR(__xludf.DUMMYFUNCTION("REGEXREPLACE(G1653, ""_[a-z]{1,2}$"", """")"),"jcre_04")</f>
        <v>jcre_04</v>
      </c>
    </row>
    <row r="1654">
      <c r="A1654" s="44">
        <v>1654.0</v>
      </c>
      <c r="B1654" s="93" t="s">
        <v>523</v>
      </c>
      <c r="C1654" s="93" t="s">
        <v>115</v>
      </c>
      <c r="D1654" s="93" t="s">
        <v>2056</v>
      </c>
      <c r="E1654" s="92"/>
      <c r="F1654" s="94" t="s">
        <v>9549</v>
      </c>
      <c r="G1654" s="76" t="s">
        <v>9550</v>
      </c>
      <c r="H1654" s="95" t="s">
        <v>2059</v>
      </c>
      <c r="I1654" s="853">
        <v>45478.0</v>
      </c>
      <c r="J1654" s="853">
        <v>45634.0</v>
      </c>
      <c r="K1654" s="95" t="s">
        <v>9510</v>
      </c>
      <c r="L1654" s="94"/>
      <c r="M1654" s="95" t="s">
        <v>9551</v>
      </c>
      <c r="N1654" s="95" t="s">
        <v>9552</v>
      </c>
      <c r="O1654" s="95" t="s">
        <v>2870</v>
      </c>
      <c r="P1654" s="937" t="s">
        <v>9553</v>
      </c>
      <c r="Q1654" s="52" t="str">
        <f t="array" ref="Q1654"> if(iserror(MATCH(V1654, 'File Links'!C:C, 0)), "N/A", HYPERLINK(INDEX('File Links'!B:B, MATCH(P1654, 'File Links'!C:C, 0))))</f>
        <v>https://drive.google.com/file/d/11AH2LlIZsd9ZFfFjWFxFf5MBHzmbtt8i/view?usp=drivesdk</v>
      </c>
      <c r="R1654" s="95" t="s">
        <v>9554</v>
      </c>
      <c r="S1654" s="95" t="s">
        <v>9555</v>
      </c>
      <c r="T1654" s="94"/>
      <c r="U1654" s="101" t="s">
        <v>138</v>
      </c>
      <c r="V1654" s="198" t="str">
        <f t="shared" si="114"/>
        <v>10.18718--81781.29.pdf</v>
      </c>
      <c r="W1654" s="95" t="s">
        <v>9556</v>
      </c>
      <c r="X1654" s="54" t="str">
        <f t="array" ref="X1654"> if(iserror(MATCH(V1654, 'File Links'!C:C, 0)), "N/A", HYPERLINK(INDEX('File Links'!B:B, MATCH(V1654, 'File Links'!C:C, 0))))</f>
        <v>https://drive.google.com/file/d/1al8eDyU6ngpVrQ3pelC_b0wECY353CCu/view?usp=drivesdk</v>
      </c>
      <c r="Y1654" s="94"/>
      <c r="Z1654" s="95" t="s">
        <v>1809</v>
      </c>
      <c r="AA1654" s="94"/>
      <c r="AB1654" s="94"/>
      <c r="AC1654" s="95" t="s">
        <v>9557</v>
      </c>
      <c r="AD1654" s="94"/>
      <c r="AE1654" s="94"/>
      <c r="AF1654" s="94"/>
      <c r="AG1654" s="94"/>
      <c r="AH1654" s="595"/>
      <c r="AI1654" s="82"/>
      <c r="AJ1654" s="82"/>
      <c r="AK1654" s="94"/>
      <c r="AL1654" s="82"/>
      <c r="AM1654" s="94"/>
      <c r="AN1654" s="330" t="s">
        <v>138</v>
      </c>
      <c r="AO1654" s="94"/>
      <c r="AP1654" s="94"/>
      <c r="AQ1654" s="94"/>
      <c r="AR1654" s="94"/>
      <c r="AS1654" s="94"/>
      <c r="AT1654" s="94"/>
      <c r="AU1654" s="94"/>
      <c r="AV1654" s="94"/>
      <c r="AW1654" s="94"/>
      <c r="AX1654" s="94"/>
      <c r="AY1654" s="61" t="str">
        <f>IFERROR(__xludf.DUMMYFUNCTION("vlookup(BB1654,importrange(""https://docs.google.com/spreadsheets/d/1d2vevQ_7D_v35q4wCQ4RpQ_IPoTwEMB9Yp6ymwlPqew/edit?gid=984458430#gid=984458430"", ""'replication success'!A:K""), 11, FAlSE)"),"#N/A")</f>
        <v>#N/A</v>
      </c>
      <c r="AZ1654" s="61" t="str">
        <f>IFERROR(__xludf.DUMMYFUNCTION("vlookup(BB1654,importrange(""https://docs.google.com/spreadsheets/d/1d2vevQ_7D_v35q4wCQ4RpQ_IPoTwEMB9Yp6ymwlPqew/edit?gid=984458430#gid=984458430"", ""'replication success'!A:M""), 12, FAlSE)"),"#N/A")</f>
        <v>#N/A</v>
      </c>
      <c r="BA1654" s="61" t="str">
        <f>IFERROR(__xludf.DUMMYFUNCTION("vlookup(BB1654,importrange(""https://docs.google.com/spreadsheets/d/1d2vevQ_7D_v35q4wCQ4RpQ_IPoTwEMB9Yp6ymwlPqew/edit?gid=984458430#gid=984458430"", ""'replication success'!A:M""), 13, FAlSE)"),"#N/A")</f>
        <v>#N/A</v>
      </c>
      <c r="BB1654" s="61" t="str">
        <f>IFERROR(__xludf.DUMMYFUNCTION("REGEXREPLACE(G1654, ""_[a-z]{1,2}$"", """")"),"jcre_05")</f>
        <v>jcre_05</v>
      </c>
      <c r="BC1654" s="92"/>
      <c r="BD1654" s="92"/>
    </row>
    <row r="1655">
      <c r="A1655" s="44">
        <v>1655.0</v>
      </c>
      <c r="B1655" s="129" t="s">
        <v>523</v>
      </c>
      <c r="C1655" s="62" t="s">
        <v>115</v>
      </c>
      <c r="D1655" s="62" t="s">
        <v>1270</v>
      </c>
      <c r="F1655" s="68" t="s">
        <v>9549</v>
      </c>
      <c r="G1655" s="159" t="s">
        <v>9550</v>
      </c>
      <c r="H1655" s="159" t="s">
        <v>2067</v>
      </c>
      <c r="I1655" s="152">
        <v>45478.0</v>
      </c>
      <c r="J1655" s="152">
        <v>45681.0</v>
      </c>
      <c r="K1655" s="159" t="s">
        <v>9558</v>
      </c>
      <c r="L1655" s="68"/>
      <c r="M1655" s="159" t="s">
        <v>9551</v>
      </c>
      <c r="N1655" s="159" t="s">
        <v>9552</v>
      </c>
      <c r="O1655" s="68"/>
      <c r="P1655" s="606" t="str">
        <f t="shared" ref="P1655:P1736" si="118">SUBSTITUTE(LOWER(N1655), "/", "--") &amp;  ".pdf"</f>
        <v>10.1162--rest_a_00258.pdf</v>
      </c>
      <c r="Q1655" s="52" t="str">
        <f t="array" ref="Q1655"> if(iserror(MATCH(V1655, 'File Links'!C:C, 0)), "N/A", HYPERLINK(INDEX('File Links'!B:B, MATCH(P1655, 'File Links'!C:C, 0))))</f>
        <v>https://drive.google.com/file/d/11AH2LlIZsd9ZFfFjWFxFf5MBHzmbtt8i/view?usp=drivesdk</v>
      </c>
      <c r="R1655" s="159" t="s">
        <v>9554</v>
      </c>
      <c r="S1655" s="159" t="s">
        <v>9555</v>
      </c>
      <c r="T1655" s="68"/>
      <c r="U1655" s="68"/>
      <c r="V1655" s="198" t="str">
        <f t="shared" si="114"/>
        <v>10.18718--81781.29.pdf</v>
      </c>
      <c r="W1655" s="159" t="s">
        <v>209</v>
      </c>
      <c r="X1655" s="54" t="str">
        <f t="array" ref="X1655"> if(iserror(MATCH(V1655, 'File Links'!C:C, 0)), "N/A", HYPERLINK(INDEX('File Links'!B:B, MATCH(V1655, 'File Links'!C:C, 0))))</f>
        <v>https://drive.google.com/file/d/1al8eDyU6ngpVrQ3pelC_b0wECY353CCu/view?usp=drivesdk</v>
      </c>
      <c r="Y1655" s="68"/>
      <c r="Z1655" s="159" t="s">
        <v>1809</v>
      </c>
      <c r="AA1655" s="68"/>
      <c r="AB1655" s="159" t="s">
        <v>9559</v>
      </c>
      <c r="AC1655" s="68"/>
      <c r="AD1655" s="159" t="s">
        <v>9560</v>
      </c>
      <c r="AE1655" s="68"/>
      <c r="AF1655" s="156">
        <v>96560.0</v>
      </c>
      <c r="AG1655" s="159" t="s">
        <v>9561</v>
      </c>
      <c r="AH1655" s="159" t="s">
        <v>134</v>
      </c>
      <c r="AI1655" s="159" t="s">
        <v>132</v>
      </c>
      <c r="AJ1655" s="156">
        <v>0.001</v>
      </c>
      <c r="AK1655" s="159" t="s">
        <v>135</v>
      </c>
      <c r="AL1655" s="159" t="s">
        <v>186</v>
      </c>
      <c r="AM1655" s="68" t="s">
        <v>1905</v>
      </c>
      <c r="AN1655" s="330" t="s">
        <v>138</v>
      </c>
      <c r="AO1655" s="156">
        <v>1212558.0</v>
      </c>
      <c r="AP1655" s="159" t="s">
        <v>138</v>
      </c>
      <c r="AQ1655" s="68"/>
      <c r="AR1655" s="68"/>
      <c r="AS1655" s="156">
        <v>0.001</v>
      </c>
      <c r="AT1655" s="159" t="s">
        <v>135</v>
      </c>
      <c r="AU1655" s="159" t="s">
        <v>186</v>
      </c>
      <c r="AV1655" s="68" t="s">
        <v>1905</v>
      </c>
      <c r="AW1655" s="68"/>
      <c r="AX1655" s="68" t="s">
        <v>143</v>
      </c>
      <c r="AY1655" s="61" t="str">
        <f>IFERROR(__xludf.DUMMYFUNCTION("vlookup(BB1655,importrange(""https://docs.google.com/spreadsheets/d/1d2vevQ_7D_v35q4wCQ4RpQ_IPoTwEMB9Yp6ymwlPqew/edit?gid=984458430#gid=984458430"", ""'replication success'!A:K""), 11, FAlSE)"),"#N/A")</f>
        <v>#N/A</v>
      </c>
      <c r="AZ1655" s="61" t="str">
        <f>IFERROR(__xludf.DUMMYFUNCTION("vlookup(BB1655,importrange(""https://docs.google.com/spreadsheets/d/1d2vevQ_7D_v35q4wCQ4RpQ_IPoTwEMB9Yp6ymwlPqew/edit?gid=984458430#gid=984458430"", ""'replication success'!A:M""), 12, FAlSE)"),"#N/A")</f>
        <v>#N/A</v>
      </c>
      <c r="BA1655" s="61" t="str">
        <f>IFERROR(__xludf.DUMMYFUNCTION("vlookup(BB1655,importrange(""https://docs.google.com/spreadsheets/d/1d2vevQ_7D_v35q4wCQ4RpQ_IPoTwEMB9Yp6ymwlPqew/edit?gid=984458430#gid=984458430"", ""'replication success'!A:M""), 13, FAlSE)"),"#N/A")</f>
        <v>#N/A</v>
      </c>
      <c r="BB1655" s="61" t="str">
        <f>IFERROR(__xludf.DUMMYFUNCTION("REGEXREPLACE(G1655, ""_[a-z]{1,2}$"", """")"),"jcre_05")</f>
        <v>jcre_05</v>
      </c>
    </row>
    <row r="1656">
      <c r="A1656" s="44">
        <v>1656.0</v>
      </c>
      <c r="B1656" s="93" t="s">
        <v>523</v>
      </c>
      <c r="C1656" s="93" t="s">
        <v>115</v>
      </c>
      <c r="D1656" s="93" t="s">
        <v>2056</v>
      </c>
      <c r="E1656" s="92"/>
      <c r="F1656" s="94" t="s">
        <v>9562</v>
      </c>
      <c r="G1656" s="76" t="s">
        <v>9563</v>
      </c>
      <c r="H1656" s="95" t="s">
        <v>2059</v>
      </c>
      <c r="I1656" s="853">
        <v>45478.0</v>
      </c>
      <c r="J1656" s="853">
        <v>45634.0</v>
      </c>
      <c r="K1656" s="95" t="s">
        <v>9564</v>
      </c>
      <c r="L1656" s="94"/>
      <c r="M1656" s="95" t="s">
        <v>9565</v>
      </c>
      <c r="N1656" s="101" t="s">
        <v>1806</v>
      </c>
      <c r="O1656" s="95" t="s">
        <v>2870</v>
      </c>
      <c r="P1656" s="606" t="str">
        <f t="shared" si="118"/>
        <v>10.1162--rest.90.2.300.pdf</v>
      </c>
      <c r="Q1656" s="52" t="str">
        <f t="array" ref="Q1656"> if(iserror(MATCH(V1656, 'File Links'!C:C, 0)), "N/A", HYPERLINK(INDEX('File Links'!B:B, MATCH(P1656, 'File Links'!C:C, 0))))</f>
        <v>https://drive.google.com/file/d/150VkxMJ6Qzq8PM52a6Vi7Y9e4ojtHPne/view?usp=drivesdk</v>
      </c>
      <c r="R1656" s="95" t="s">
        <v>9566</v>
      </c>
      <c r="S1656" s="95" t="s">
        <v>1808</v>
      </c>
      <c r="T1656" s="94"/>
      <c r="U1656" s="101" t="s">
        <v>138</v>
      </c>
      <c r="V1656" s="198" t="str">
        <f t="shared" si="114"/>
        <v>10.18718--81781.34.pdf</v>
      </c>
      <c r="W1656" s="95" t="s">
        <v>9567</v>
      </c>
      <c r="X1656" s="54" t="str">
        <f t="array" ref="X1656"> if(iserror(MATCH(V1656, 'File Links'!C:C, 0)), "N/A", HYPERLINK(INDEX('File Links'!B:B, MATCH(V1656, 'File Links'!C:C, 0))))</f>
        <v>https://drive.google.com/file/d/1Y24HtovNy5BwKos6_FsV4A_pE93bEfUv/view?usp=drivesdk</v>
      </c>
      <c r="Y1656" s="94"/>
      <c r="Z1656" s="95" t="s">
        <v>1809</v>
      </c>
      <c r="AA1656" s="94"/>
      <c r="AB1656" s="95" t="s">
        <v>9568</v>
      </c>
      <c r="AC1656" s="95" t="s">
        <v>9569</v>
      </c>
      <c r="AD1656" s="95" t="s">
        <v>9570</v>
      </c>
      <c r="AE1656" s="95" t="s">
        <v>9571</v>
      </c>
      <c r="AF1656" s="98">
        <v>1342.0</v>
      </c>
      <c r="AG1656" s="98">
        <v>0.078</v>
      </c>
      <c r="AH1656" s="194" t="s">
        <v>360</v>
      </c>
      <c r="AI1656" s="76" t="s">
        <v>9571</v>
      </c>
      <c r="AJ1656" s="635">
        <v>0.05</v>
      </c>
      <c r="AK1656" s="95" t="s">
        <v>135</v>
      </c>
      <c r="AL1656" s="76" t="s">
        <v>186</v>
      </c>
      <c r="AM1656" s="94" t="s">
        <v>141</v>
      </c>
      <c r="AN1656" s="330" t="s">
        <v>138</v>
      </c>
      <c r="AO1656" s="98">
        <v>882.0</v>
      </c>
      <c r="AP1656" s="98">
        <v>-0.04</v>
      </c>
      <c r="AQ1656" s="159" t="s">
        <v>360</v>
      </c>
      <c r="AR1656" s="95" t="s">
        <v>2266</v>
      </c>
      <c r="AS1656" s="95" t="s">
        <v>2382</v>
      </c>
      <c r="AT1656" s="94"/>
      <c r="AU1656" s="94"/>
      <c r="AV1656" s="94"/>
      <c r="AW1656" s="94" t="s">
        <v>2870</v>
      </c>
      <c r="AX1656" s="94" t="s">
        <v>143</v>
      </c>
      <c r="AY1656" s="61" t="str">
        <f>IFERROR(__xludf.DUMMYFUNCTION("vlookup(BB1656,importrange(""https://docs.google.com/spreadsheets/d/1d2vevQ_7D_v35q4wCQ4RpQ_IPoTwEMB9Yp6ymwlPqew/edit?gid=984458430#gid=984458430"", ""'replication success'!A:K""), 11, FAlSE)"),"#N/A")</f>
        <v>#N/A</v>
      </c>
      <c r="AZ1656" s="61" t="str">
        <f>IFERROR(__xludf.DUMMYFUNCTION("vlookup(BB1656,importrange(""https://docs.google.com/spreadsheets/d/1d2vevQ_7D_v35q4wCQ4RpQ_IPoTwEMB9Yp6ymwlPqew/edit?gid=984458430#gid=984458430"", ""'replication success'!A:M""), 12, FAlSE)"),"#N/A")</f>
        <v>#N/A</v>
      </c>
      <c r="BA1656" s="61" t="str">
        <f>IFERROR(__xludf.DUMMYFUNCTION("vlookup(BB1656,importrange(""https://docs.google.com/spreadsheets/d/1d2vevQ_7D_v35q4wCQ4RpQ_IPoTwEMB9Yp6ymwlPqew/edit?gid=984458430#gid=984458430"", ""'replication success'!A:M""), 13, FAlSE)"),"#N/A")</f>
        <v>#N/A</v>
      </c>
      <c r="BB1656" s="61" t="str">
        <f>IFERROR(__xludf.DUMMYFUNCTION("REGEXREPLACE(G1656, ""_[a-z]{1,2}$"", """")"),"jcre_06")</f>
        <v>jcre_06</v>
      </c>
      <c r="BC1656" s="92"/>
      <c r="BD1656" s="92"/>
    </row>
    <row r="1657">
      <c r="A1657" s="44">
        <v>1657.0</v>
      </c>
      <c r="B1657" s="129" t="s">
        <v>523</v>
      </c>
      <c r="C1657" s="62" t="s">
        <v>115</v>
      </c>
      <c r="D1657" s="62" t="s">
        <v>1270</v>
      </c>
      <c r="F1657" s="68" t="s">
        <v>9562</v>
      </c>
      <c r="G1657" s="159" t="s">
        <v>9563</v>
      </c>
      <c r="H1657" s="159" t="s">
        <v>2067</v>
      </c>
      <c r="I1657" s="152">
        <v>45478.0</v>
      </c>
      <c r="J1657" s="152">
        <v>45681.0</v>
      </c>
      <c r="K1657" s="68"/>
      <c r="L1657" s="68"/>
      <c r="M1657" s="151" t="s">
        <v>9572</v>
      </c>
      <c r="N1657" s="151" t="s">
        <v>1806</v>
      </c>
      <c r="O1657" s="68"/>
      <c r="P1657" s="606" t="str">
        <f t="shared" si="118"/>
        <v>10.1162--rest.90.2.300.pdf</v>
      </c>
      <c r="Q1657" s="52" t="str">
        <f t="array" ref="Q1657"> if(iserror(MATCH(V1657, 'File Links'!C:C, 0)), "N/A", HYPERLINK(INDEX('File Links'!B:B, MATCH(P1657, 'File Links'!C:C, 0))))</f>
        <v>https://drive.google.com/file/d/150VkxMJ6Qzq8PM52a6Vi7Y9e4ojtHPne/view?usp=drivesdk</v>
      </c>
      <c r="R1657" s="159" t="s">
        <v>9566</v>
      </c>
      <c r="S1657" s="159" t="s">
        <v>1808</v>
      </c>
      <c r="T1657" s="68"/>
      <c r="U1657" s="68"/>
      <c r="V1657" s="198" t="str">
        <f t="shared" si="114"/>
        <v>10.18718--81781.34.pdf</v>
      </c>
      <c r="W1657" s="68"/>
      <c r="X1657" s="54" t="str">
        <f t="array" ref="X1657"> if(iserror(MATCH(V1657, 'File Links'!C:C, 0)), "N/A", HYPERLINK(INDEX('File Links'!B:B, MATCH(V1657, 'File Links'!C:C, 0))))</f>
        <v>https://drive.google.com/file/d/1Y24HtovNy5BwKos6_FsV4A_pE93bEfUv/view?usp=drivesdk</v>
      </c>
      <c r="Y1657" s="159" t="s">
        <v>9573</v>
      </c>
      <c r="Z1657" s="68"/>
      <c r="AA1657" s="68"/>
      <c r="AB1657" s="68"/>
      <c r="AC1657" s="68"/>
      <c r="AD1657" s="68"/>
      <c r="AE1657" s="68"/>
      <c r="AF1657" s="68"/>
      <c r="AG1657" s="68"/>
      <c r="AH1657" s="68"/>
      <c r="AI1657" s="68"/>
      <c r="AJ1657" s="68"/>
      <c r="AK1657" s="68"/>
      <c r="AL1657" s="68"/>
      <c r="AM1657" s="68"/>
      <c r="AN1657" s="330" t="s">
        <v>138</v>
      </c>
      <c r="AO1657" s="68"/>
      <c r="AP1657" s="68"/>
      <c r="AQ1657" s="68"/>
      <c r="AR1657" s="68"/>
      <c r="AS1657" s="68"/>
      <c r="AT1657" s="68"/>
      <c r="AU1657" s="68"/>
      <c r="AV1657" s="68"/>
      <c r="AW1657" s="68"/>
      <c r="AX1657" s="68"/>
      <c r="AY1657" s="61" t="str">
        <f>IFERROR(__xludf.DUMMYFUNCTION("vlookup(BB1657,importrange(""https://docs.google.com/spreadsheets/d/1d2vevQ_7D_v35q4wCQ4RpQ_IPoTwEMB9Yp6ymwlPqew/edit?gid=984458430#gid=984458430"", ""'replication success'!A:K""), 11, FAlSE)"),"#N/A")</f>
        <v>#N/A</v>
      </c>
      <c r="AZ1657" s="61" t="str">
        <f>IFERROR(__xludf.DUMMYFUNCTION("vlookup(BB1657,importrange(""https://docs.google.com/spreadsheets/d/1d2vevQ_7D_v35q4wCQ4RpQ_IPoTwEMB9Yp6ymwlPqew/edit?gid=984458430#gid=984458430"", ""'replication success'!A:M""), 12, FAlSE)"),"#N/A")</f>
        <v>#N/A</v>
      </c>
      <c r="BA1657" s="61" t="str">
        <f>IFERROR(__xludf.DUMMYFUNCTION("vlookup(BB1657,importrange(""https://docs.google.com/spreadsheets/d/1d2vevQ_7D_v35q4wCQ4RpQ_IPoTwEMB9Yp6ymwlPqew/edit?gid=984458430#gid=984458430"", ""'replication success'!A:M""), 13, FAlSE)"),"#N/A")</f>
        <v>#N/A</v>
      </c>
      <c r="BB1657" s="61" t="str">
        <f>IFERROR(__xludf.DUMMYFUNCTION("REGEXREPLACE(G1657, ""_[a-z]{1,2}$"", """")"),"jcre_06")</f>
        <v>jcre_06</v>
      </c>
    </row>
    <row r="1658">
      <c r="A1658" s="44">
        <v>1658.0</v>
      </c>
      <c r="B1658" s="129" t="s">
        <v>152</v>
      </c>
      <c r="C1658" s="62" t="s">
        <v>115</v>
      </c>
      <c r="D1658" s="62" t="s">
        <v>232</v>
      </c>
      <c r="F1658" s="154" t="s">
        <v>9574</v>
      </c>
      <c r="G1658" s="68" t="s">
        <v>9575</v>
      </c>
      <c r="H1658" s="159" t="s">
        <v>6940</v>
      </c>
      <c r="I1658" s="152">
        <v>45687.0</v>
      </c>
      <c r="J1658" s="152">
        <v>45693.0</v>
      </c>
      <c r="K1658" s="151" t="s">
        <v>9576</v>
      </c>
      <c r="L1658" s="159"/>
      <c r="M1658" s="159" t="s">
        <v>9577</v>
      </c>
      <c r="N1658" s="159" t="s">
        <v>9578</v>
      </c>
      <c r="O1658" s="156">
        <v>1.0</v>
      </c>
      <c r="P1658" s="606" t="str">
        <f t="shared" si="118"/>
        <v>10.1037--a0015960.pdf</v>
      </c>
      <c r="Q1658" s="52" t="str">
        <f t="array" ref="Q1658"> if(iserror(MATCH(V1658, 'File Links'!C:C, 0)), "N/A", HYPERLINK(INDEX('File Links'!B:B, MATCH(P1658, 'File Links'!C:C, 0))))</f>
        <v>https://drive.google.com/file/d/1hz1780nNZDOTtNpiczqkkXabV668BcRE/view?usp=drivesdk</v>
      </c>
      <c r="R1658" s="159" t="s">
        <v>9579</v>
      </c>
      <c r="S1658" s="159" t="s">
        <v>9580</v>
      </c>
      <c r="T1658" s="68"/>
      <c r="U1658" s="156">
        <v>1.0</v>
      </c>
      <c r="V1658" s="198" t="str">
        <f t="shared" si="114"/>
        <v>10.1177--2515245918810225.pdf</v>
      </c>
      <c r="W1658" s="68" t="s">
        <v>209</v>
      </c>
      <c r="X1658" s="54" t="str">
        <f t="array" ref="X1658"> if(iserror(MATCH(V1658, 'File Links'!C:C, 0)), "N/A", HYPERLINK(INDEX('File Links'!B:B, MATCH(V1658, 'File Links'!C:C, 0))))</f>
        <v>https://drive.google.com/file/d/1rGqHLpg3OEGQnWLvlAEJr7JSMWJ2p-Ar/view?usp=drivesdk</v>
      </c>
      <c r="Y1658" s="68"/>
      <c r="Z1658" s="1115" t="s">
        <v>226</v>
      </c>
      <c r="AA1658" s="374" t="s">
        <v>138</v>
      </c>
      <c r="AB1658" s="1115" t="s">
        <v>9581</v>
      </c>
      <c r="AC1658" s="1115" t="s">
        <v>9582</v>
      </c>
      <c r="AD1658" s="151" t="s">
        <v>9583</v>
      </c>
      <c r="AE1658" s="159" t="s">
        <v>9584</v>
      </c>
      <c r="AF1658" s="156">
        <v>44.0</v>
      </c>
      <c r="AG1658" s="161">
        <v>0.7</v>
      </c>
      <c r="AH1658" s="129" t="s">
        <v>9585</v>
      </c>
      <c r="AI1658" s="151" t="s">
        <v>9586</v>
      </c>
      <c r="AJ1658" s="156">
        <v>0.003</v>
      </c>
      <c r="AK1658" s="159" t="s">
        <v>172</v>
      </c>
      <c r="AL1658" s="159" t="s">
        <v>186</v>
      </c>
      <c r="AM1658" s="68" t="s">
        <v>137</v>
      </c>
      <c r="AN1658" s="330" t="s">
        <v>138</v>
      </c>
      <c r="AO1658" s="156">
        <v>7117.0</v>
      </c>
      <c r="AP1658" s="156">
        <v>0.05</v>
      </c>
      <c r="AQ1658" s="159" t="s">
        <v>9585</v>
      </c>
      <c r="AR1658" s="159" t="s">
        <v>9587</v>
      </c>
      <c r="AS1658" s="156">
        <v>0.02</v>
      </c>
      <c r="AT1658" s="159" t="s">
        <v>172</v>
      </c>
      <c r="AU1658" s="159" t="s">
        <v>186</v>
      </c>
      <c r="AV1658" s="68" t="s">
        <v>137</v>
      </c>
      <c r="AW1658" s="435" t="s">
        <v>9588</v>
      </c>
      <c r="AX1658" s="68" t="s">
        <v>438</v>
      </c>
      <c r="AY1658" s="61" t="str">
        <f>IFERROR(__xludf.DUMMYFUNCTION("vlookup(BB1658,importrange(""https://docs.google.com/spreadsheets/d/1d2vevQ_7D_v35q4wCQ4RpQ_IPoTwEMB9Yp6ymwlPqew/edit?gid=984458430#gid=984458430"", ""'replication success'!A:K""), 11, FAlSE)"),"failed")</f>
        <v>failed</v>
      </c>
      <c r="AZ1658" s="61" t="str">
        <f>IFERROR(__xludf.DUMMYFUNCTION("vlookup(BB1658,importrange(""https://docs.google.com/spreadsheets/d/1d2vevQ_7D_v35q4wCQ4RpQ_IPoTwEMB9Yp6ymwlPqew/edit?gid=984458430#gid=984458430"", ""'replication success'!A:M""), 12, FAlSE)"),"These data are inconsistent with the original finding that disgust sensitivity and perceived intentionality are more strongly related when people consider gay kissing than when they consider kissing in general, and the effect size was much smaller than th"&amp;"e original effect size (q = 0.05, 95% CI = [0.01, 0.10], vs. original q = 0.70).")</f>
        <v>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v>
      </c>
      <c r="BA1658" s="61" t="str">
        <f>IFERROR(__xludf.DUMMYFUNCTION("vlookup(BB1658,importrange(""https://docs.google.com/spreadsheets/d/1d2vevQ_7D_v35q4wCQ4RpQ_IPoTwEMB9Yp6ymwlPqew/edit?gid=984458430#gid=984458430"", ""'replication success'!A:M""), 13, FAlSE)"),"pg.15")</f>
        <v>pg.15</v>
      </c>
      <c r="BB1658" s="61" t="str">
        <f>IFERROR(__xludf.DUMMYFUNCTION("REGEXREPLACE(G1658, ""_[a-z]{1,2}$"", """")"),"Manylabs2_01_1")</f>
        <v>Manylabs2_01_1</v>
      </c>
      <c r="BC1658" s="68"/>
      <c r="BD1658" s="129" t="s">
        <v>6985</v>
      </c>
    </row>
    <row r="1659">
      <c r="A1659" s="44">
        <v>1659.0</v>
      </c>
      <c r="B1659" s="219" t="s">
        <v>523</v>
      </c>
      <c r="C1659" s="62" t="s">
        <v>115</v>
      </c>
      <c r="D1659" s="62" t="s">
        <v>145</v>
      </c>
      <c r="F1659" s="154" t="s">
        <v>9574</v>
      </c>
      <c r="G1659" s="159" t="s">
        <v>9575</v>
      </c>
      <c r="H1659" s="154" t="s">
        <v>5592</v>
      </c>
      <c r="I1659" s="152">
        <v>45667.0</v>
      </c>
      <c r="J1659" s="152">
        <v>45693.0</v>
      </c>
      <c r="K1659" s="68"/>
      <c r="L1659" s="68"/>
      <c r="M1659" s="1775" t="s">
        <v>9589</v>
      </c>
      <c r="N1659" s="154" t="s">
        <v>9578</v>
      </c>
      <c r="O1659" s="156">
        <v>1.0</v>
      </c>
      <c r="P1659" s="606" t="str">
        <f t="shared" si="118"/>
        <v>10.1037--a0015960.pdf</v>
      </c>
      <c r="Q1659" s="52" t="str">
        <f t="array" ref="Q1659"> if(iserror(MATCH(V1659, 'File Links'!C:C, 0)), "N/A", HYPERLINK(INDEX('File Links'!B:B, MATCH(P1659, 'File Links'!C:C, 0))))</f>
        <v>https://drive.google.com/file/d/1hz1780nNZDOTtNpiczqkkXabV668BcRE/view?usp=drivesdk</v>
      </c>
      <c r="R1659" s="1115" t="s">
        <v>9579</v>
      </c>
      <c r="S1659" s="1115" t="s">
        <v>9580</v>
      </c>
      <c r="T1659" s="68"/>
      <c r="U1659" s="68"/>
      <c r="V1659" s="198" t="str">
        <f t="shared" si="114"/>
        <v>10.1177--2515245918810225.pdf</v>
      </c>
      <c r="W1659" s="159" t="s">
        <v>2125</v>
      </c>
      <c r="X1659" s="54" t="str">
        <f t="array" ref="X1659"> if(iserror(MATCH(V1659, 'File Links'!C:C, 0)), "N/A", HYPERLINK(INDEX('File Links'!B:B, MATCH(V1659, 'File Links'!C:C, 0))))</f>
        <v>https://drive.google.com/file/d/1rGqHLpg3OEGQnWLvlAEJr7JSMWJ2p-Ar/view?usp=drivesdk</v>
      </c>
      <c r="Y1659" s="68"/>
      <c r="Z1659" s="159" t="s">
        <v>226</v>
      </c>
      <c r="AA1659" s="68"/>
      <c r="AB1659" s="159" t="s">
        <v>9581</v>
      </c>
      <c r="AC1659" s="159" t="s">
        <v>9590</v>
      </c>
      <c r="AD1659" s="159" t="s">
        <v>9591</v>
      </c>
      <c r="AE1659" s="1545">
        <v>45718.0</v>
      </c>
      <c r="AF1659" s="156">
        <v>44.0</v>
      </c>
      <c r="AG1659" s="159" t="s">
        <v>9592</v>
      </c>
      <c r="AH1659" s="159" t="s">
        <v>134</v>
      </c>
      <c r="AI1659" s="159" t="s">
        <v>875</v>
      </c>
      <c r="AJ1659" s="156">
        <v>0.01</v>
      </c>
      <c r="AK1659" s="159" t="s">
        <v>135</v>
      </c>
      <c r="AL1659" s="159" t="s">
        <v>186</v>
      </c>
      <c r="AM1659" s="68" t="s">
        <v>137</v>
      </c>
      <c r="AN1659" s="330" t="s">
        <v>138</v>
      </c>
      <c r="AO1659" s="156">
        <v>7117.0</v>
      </c>
      <c r="AP1659" s="156">
        <v>-0.02</v>
      </c>
      <c r="AQ1659" s="159" t="s">
        <v>173</v>
      </c>
      <c r="AR1659" s="159" t="s">
        <v>627</v>
      </c>
      <c r="AS1659" s="156">
        <v>0.457</v>
      </c>
      <c r="AT1659" s="159" t="s">
        <v>172</v>
      </c>
      <c r="AU1659" s="159" t="s">
        <v>186</v>
      </c>
      <c r="AV1659" s="68" t="s">
        <v>137</v>
      </c>
      <c r="AW1659" s="1119" t="s">
        <v>9588</v>
      </c>
      <c r="AX1659" s="68" t="s">
        <v>143</v>
      </c>
      <c r="AY1659" s="61" t="str">
        <f>IFERROR(__xludf.DUMMYFUNCTION("vlookup(BB1659,importrange(""https://docs.google.com/spreadsheets/d/1d2vevQ_7D_v35q4wCQ4RpQ_IPoTwEMB9Yp6ymwlPqew/edit?gid=984458430#gid=984458430"", ""'replication success'!A:K""), 11, FAlSE)"),"failed")</f>
        <v>failed</v>
      </c>
      <c r="AZ1659" s="61" t="str">
        <f>IFERROR(__xludf.DUMMYFUNCTION("vlookup(BB1659,importrange(""https://docs.google.com/spreadsheets/d/1d2vevQ_7D_v35q4wCQ4RpQ_IPoTwEMB9Yp6ymwlPqew/edit?gid=984458430#gid=984458430"", ""'replication success'!A:M""), 12, FAlSE)"),"These data are inconsistent with the original finding that disgust sensitivity and perceived intentionality are more strongly related when people consider gay kissing than when they consider kissing in general, and the effect size was much smaller than th"&amp;"e original effect size (q = 0.05, 95% CI = [0.01, 0.10], vs. original q = 0.70).")</f>
        <v>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v>
      </c>
      <c r="BA1659" s="61" t="str">
        <f>IFERROR(__xludf.DUMMYFUNCTION("vlookup(BB1659,importrange(""https://docs.google.com/spreadsheets/d/1d2vevQ_7D_v35q4wCQ4RpQ_IPoTwEMB9Yp6ymwlPqew/edit?gid=984458430#gid=984458430"", ""'replication success'!A:M""), 13, FAlSE)"),"pg.15")</f>
        <v>pg.15</v>
      </c>
      <c r="BB1659" s="61" t="str">
        <f>IFERROR(__xludf.DUMMYFUNCTION("REGEXREPLACE(G1659, ""_[a-z]{1,2}$"", """")"),"Manylabs2_01_1")</f>
        <v>Manylabs2_01_1</v>
      </c>
      <c r="BC1659" s="68"/>
      <c r="BD1659" s="68" t="s">
        <v>5074</v>
      </c>
    </row>
    <row r="1660">
      <c r="A1660" s="44">
        <v>1660.0</v>
      </c>
      <c r="B1660" s="68" t="s">
        <v>114</v>
      </c>
      <c r="C1660" s="62" t="s">
        <v>115</v>
      </c>
      <c r="D1660" s="62" t="s">
        <v>145</v>
      </c>
      <c r="F1660" s="154" t="s">
        <v>9574</v>
      </c>
      <c r="G1660" s="159" t="s">
        <v>9593</v>
      </c>
      <c r="H1660" s="678" t="s">
        <v>5592</v>
      </c>
      <c r="I1660" s="152">
        <v>45667.0</v>
      </c>
      <c r="J1660" s="152">
        <v>45693.0</v>
      </c>
      <c r="K1660" s="68"/>
      <c r="L1660" s="68"/>
      <c r="M1660" s="1776" t="s">
        <v>9594</v>
      </c>
      <c r="N1660" s="154" t="s">
        <v>9578</v>
      </c>
      <c r="O1660" s="156">
        <v>1.0</v>
      </c>
      <c r="P1660" s="606" t="str">
        <f t="shared" si="118"/>
        <v>10.1037--a0015960.pdf</v>
      </c>
      <c r="Q1660" s="52" t="str">
        <f t="array" ref="Q1660"> if(iserror(MATCH(V1660, 'File Links'!C:C, 0)), "N/A", HYPERLINK(INDEX('File Links'!B:B, MATCH(P1660, 'File Links'!C:C, 0))))</f>
        <v>https://drive.google.com/file/d/1hz1780nNZDOTtNpiczqkkXabV668BcRE/view?usp=drivesdk</v>
      </c>
      <c r="R1660" s="1115" t="s">
        <v>9579</v>
      </c>
      <c r="S1660" s="1115" t="s">
        <v>9580</v>
      </c>
      <c r="T1660" s="68"/>
      <c r="U1660" s="68"/>
      <c r="V1660" s="198" t="str">
        <f t="shared" si="114"/>
        <v>10.1177--2515245918810225.pdf</v>
      </c>
      <c r="W1660" s="159" t="s">
        <v>2125</v>
      </c>
      <c r="X1660" s="54" t="str">
        <f t="array" ref="X1660"> if(iserror(MATCH(V1660, 'File Links'!C:C, 0)), "N/A", HYPERLINK(INDEX('File Links'!B:B, MATCH(V1660, 'File Links'!C:C, 0))))</f>
        <v>https://drive.google.com/file/d/1rGqHLpg3OEGQnWLvlAEJr7JSMWJ2p-Ar/view?usp=drivesdk</v>
      </c>
      <c r="Y1660" s="68"/>
      <c r="Z1660" s="159" t="s">
        <v>226</v>
      </c>
      <c r="AA1660" s="68"/>
      <c r="AB1660" s="159" t="s">
        <v>9581</v>
      </c>
      <c r="AC1660" s="159" t="s">
        <v>9582</v>
      </c>
      <c r="AD1660" s="159" t="s">
        <v>9595</v>
      </c>
      <c r="AE1660" s="156">
        <v>3.0</v>
      </c>
      <c r="AF1660" s="156">
        <v>44.0</v>
      </c>
      <c r="AG1660" s="159" t="s">
        <v>9596</v>
      </c>
      <c r="AH1660" s="159" t="s">
        <v>134</v>
      </c>
      <c r="AI1660" s="159" t="s">
        <v>217</v>
      </c>
      <c r="AJ1660" s="156">
        <v>0.001</v>
      </c>
      <c r="AK1660" s="159" t="s">
        <v>135</v>
      </c>
      <c r="AL1660" s="159" t="s">
        <v>186</v>
      </c>
      <c r="AM1660" s="68" t="s">
        <v>137</v>
      </c>
      <c r="AN1660" s="330" t="s">
        <v>138</v>
      </c>
      <c r="AO1660" s="156">
        <v>7117.0</v>
      </c>
      <c r="AP1660" s="156">
        <v>0.12</v>
      </c>
      <c r="AQ1660" s="159" t="s">
        <v>215</v>
      </c>
      <c r="AR1660" s="159" t="s">
        <v>627</v>
      </c>
      <c r="AS1660" s="1061">
        <v>1.2E-13</v>
      </c>
      <c r="AT1660" s="159" t="s">
        <v>172</v>
      </c>
      <c r="AU1660" s="159" t="s">
        <v>186</v>
      </c>
      <c r="AV1660" s="68" t="s">
        <v>137</v>
      </c>
      <c r="AW1660" s="1119" t="s">
        <v>9588</v>
      </c>
      <c r="AX1660" s="68" t="s">
        <v>143</v>
      </c>
      <c r="AY1660" s="61" t="str">
        <f>IFERROR(__xludf.DUMMYFUNCTION("vlookup(BB1660,importrange(""https://docs.google.com/spreadsheets/d/1d2vevQ_7D_v35q4wCQ4RpQ_IPoTwEMB9Yp6ymwlPqew/edit?gid=984458430#gid=984458430"", ""'replication success'!A:K""), 11, FAlSE)"),"failed")</f>
        <v>failed</v>
      </c>
      <c r="AZ1660" s="61" t="str">
        <f>IFERROR(__xludf.DUMMYFUNCTION("vlookup(BB1660,importrange(""https://docs.google.com/spreadsheets/d/1d2vevQ_7D_v35q4wCQ4RpQ_IPoTwEMB9Yp6ymwlPqew/edit?gid=984458430#gid=984458430"", ""'replication success'!A:M""), 12, FAlSE)"),"These data are inconsistent with the original finding that disgust sensitivity and perceived intentionality are more strongly related when people consider gay kissing than when they consider kissing in general, and the effect size was much smaller than th"&amp;"e original effect size (q = 0.05, 95% CI = [0.01, 0.10], vs. original q = 0.70).")</f>
        <v>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v>
      </c>
      <c r="BA1660" s="61" t="str">
        <f>IFERROR(__xludf.DUMMYFUNCTION("vlookup(BB1660,importrange(""https://docs.google.com/spreadsheets/d/1d2vevQ_7D_v35q4wCQ4RpQ_IPoTwEMB9Yp6ymwlPqew/edit?gid=984458430#gid=984458430"", ""'replication success'!A:M""), 13, FAlSE)"),"pg.15")</f>
        <v>pg.15</v>
      </c>
      <c r="BB1660" s="61" t="str">
        <f>IFERROR(__xludf.DUMMYFUNCTION("REGEXREPLACE(G1660, ""_[a-z]{1,2}$"", """")"),"Manylabs2_01_1")</f>
        <v>Manylabs2_01_1</v>
      </c>
      <c r="BC1660" s="68"/>
      <c r="BD1660" s="68" t="s">
        <v>5074</v>
      </c>
    </row>
    <row r="1661">
      <c r="A1661" s="44">
        <v>1661.0</v>
      </c>
      <c r="B1661" s="68" t="s">
        <v>114</v>
      </c>
      <c r="C1661" s="62" t="s">
        <v>115</v>
      </c>
      <c r="D1661" s="62" t="s">
        <v>145</v>
      </c>
      <c r="F1661" s="154" t="s">
        <v>9574</v>
      </c>
      <c r="G1661" s="159" t="s">
        <v>9597</v>
      </c>
      <c r="H1661" s="678" t="s">
        <v>5592</v>
      </c>
      <c r="I1661" s="152">
        <v>45667.0</v>
      </c>
      <c r="J1661" s="152">
        <v>45693.0</v>
      </c>
      <c r="K1661" s="68"/>
      <c r="L1661" s="68"/>
      <c r="M1661" s="1775" t="s">
        <v>9598</v>
      </c>
      <c r="N1661" s="154" t="s">
        <v>9578</v>
      </c>
      <c r="O1661" s="156">
        <v>1.0</v>
      </c>
      <c r="P1661" s="606" t="str">
        <f t="shared" si="118"/>
        <v>10.1037--a0015960.pdf</v>
      </c>
      <c r="Q1661" s="52" t="str">
        <f t="array" ref="Q1661"> if(iserror(MATCH(V1661, 'File Links'!C:C, 0)), "N/A", HYPERLINK(INDEX('File Links'!B:B, MATCH(P1661, 'File Links'!C:C, 0))))</f>
        <v>https://drive.google.com/file/d/1hz1780nNZDOTtNpiczqkkXabV668BcRE/view?usp=drivesdk</v>
      </c>
      <c r="R1661" s="1115" t="s">
        <v>9579</v>
      </c>
      <c r="S1661" s="1115" t="s">
        <v>9580</v>
      </c>
      <c r="T1661" s="68"/>
      <c r="U1661" s="68"/>
      <c r="V1661" s="198" t="str">
        <f t="shared" si="114"/>
        <v>10.1177--2515245918810225.pdf</v>
      </c>
      <c r="W1661" s="159" t="s">
        <v>2125</v>
      </c>
      <c r="X1661" s="54" t="str">
        <f t="array" ref="X1661"> if(iserror(MATCH(V1661, 'File Links'!C:C, 0)), "N/A", HYPERLINK(INDEX('File Links'!B:B, MATCH(V1661, 'File Links'!C:C, 0))))</f>
        <v>https://drive.google.com/file/d/1rGqHLpg3OEGQnWLvlAEJr7JSMWJ2p-Ar/view?usp=drivesdk</v>
      </c>
      <c r="Y1661" s="68"/>
      <c r="Z1661" s="159" t="s">
        <v>226</v>
      </c>
      <c r="AA1661" s="68"/>
      <c r="AB1661" s="159" t="s">
        <v>9581</v>
      </c>
      <c r="AC1661" s="159" t="s">
        <v>9599</v>
      </c>
      <c r="AD1661" s="159" t="s">
        <v>9600</v>
      </c>
      <c r="AE1661" s="156">
        <v>3.0</v>
      </c>
      <c r="AF1661" s="156">
        <v>44.0</v>
      </c>
      <c r="AG1661" s="159" t="s">
        <v>9601</v>
      </c>
      <c r="AH1661" s="159" t="s">
        <v>134</v>
      </c>
      <c r="AI1661" s="159" t="s">
        <v>217</v>
      </c>
      <c r="AJ1661" s="159" t="s">
        <v>2382</v>
      </c>
      <c r="AK1661" s="68"/>
      <c r="AL1661" s="159" t="s">
        <v>186</v>
      </c>
      <c r="AM1661" s="68" t="s">
        <v>137</v>
      </c>
      <c r="AN1661" s="330" t="s">
        <v>138</v>
      </c>
      <c r="AO1661" s="156">
        <v>7117.0</v>
      </c>
      <c r="AP1661" s="156">
        <v>0.07</v>
      </c>
      <c r="AQ1661" s="159" t="s">
        <v>215</v>
      </c>
      <c r="AR1661" s="159" t="s">
        <v>627</v>
      </c>
      <c r="AS1661" s="1061">
        <v>2.48E-5</v>
      </c>
      <c r="AT1661" s="159" t="s">
        <v>172</v>
      </c>
      <c r="AU1661" s="159" t="s">
        <v>186</v>
      </c>
      <c r="AV1661" s="68" t="s">
        <v>137</v>
      </c>
      <c r="AW1661" s="1119" t="s">
        <v>9588</v>
      </c>
      <c r="AX1661" s="68" t="s">
        <v>143</v>
      </c>
      <c r="AY1661" s="61" t="str">
        <f>IFERROR(__xludf.DUMMYFUNCTION("vlookup(BB1661,importrange(""https://docs.google.com/spreadsheets/d/1d2vevQ_7D_v35q4wCQ4RpQ_IPoTwEMB9Yp6ymwlPqew/edit?gid=984458430#gid=984458430"", ""'replication success'!A:K""), 11, FAlSE)"),"failed")</f>
        <v>failed</v>
      </c>
      <c r="AZ1661" s="61" t="str">
        <f>IFERROR(__xludf.DUMMYFUNCTION("vlookup(BB1661,importrange(""https://docs.google.com/spreadsheets/d/1d2vevQ_7D_v35q4wCQ4RpQ_IPoTwEMB9Yp6ymwlPqew/edit?gid=984458430#gid=984458430"", ""'replication success'!A:M""), 12, FAlSE)"),"These data are inconsistent with the original finding that disgust sensitivity and perceived intentionality are more strongly related when people consider gay kissing than when they consider kissing in general, and the effect size was much smaller than th"&amp;"e original effect size (q = 0.05, 95% CI = [0.01, 0.10], vs. original q = 0.70).")</f>
        <v>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v>
      </c>
      <c r="BA1661" s="61" t="str">
        <f>IFERROR(__xludf.DUMMYFUNCTION("vlookup(BB1661,importrange(""https://docs.google.com/spreadsheets/d/1d2vevQ_7D_v35q4wCQ4RpQ_IPoTwEMB9Yp6ymwlPqew/edit?gid=984458430#gid=984458430"", ""'replication success'!A:M""), 13, FAlSE)"),"pg.15")</f>
        <v>pg.15</v>
      </c>
      <c r="BB1661" s="61" t="str">
        <f>IFERROR(__xludf.DUMMYFUNCTION("REGEXREPLACE(G1661, ""_[a-z]{1,2}$"", """")"),"Manylabs2_01_1")</f>
        <v>Manylabs2_01_1</v>
      </c>
      <c r="BC1661" s="68"/>
      <c r="BD1661" s="68" t="s">
        <v>5074</v>
      </c>
    </row>
    <row r="1662">
      <c r="A1662" s="44">
        <v>1662.0</v>
      </c>
      <c r="B1662" s="129" t="s">
        <v>152</v>
      </c>
      <c r="C1662" s="62" t="s">
        <v>115</v>
      </c>
      <c r="D1662" s="62" t="s">
        <v>232</v>
      </c>
      <c r="F1662" s="68" t="s">
        <v>9602</v>
      </c>
      <c r="G1662" s="159" t="s">
        <v>9603</v>
      </c>
      <c r="H1662" s="159" t="s">
        <v>6940</v>
      </c>
      <c r="I1662" s="152">
        <v>45687.0</v>
      </c>
      <c r="J1662" s="152">
        <v>45693.0</v>
      </c>
      <c r="K1662" s="159" t="s">
        <v>9604</v>
      </c>
      <c r="L1662" s="159" t="s">
        <v>9605</v>
      </c>
      <c r="M1662" s="159" t="s">
        <v>9606</v>
      </c>
      <c r="N1662" s="159" t="s">
        <v>9607</v>
      </c>
      <c r="O1662" s="156">
        <v>1.0</v>
      </c>
      <c r="P1662" s="606" t="str">
        <f t="shared" si="118"/>
        <v>10.1086--269239.pdf</v>
      </c>
      <c r="Q1662" s="52" t="str">
        <f t="array" ref="Q1662"> if(iserror(MATCH(V1662, 'File Links'!C:C, 0)), "N/A", HYPERLINK(INDEX('File Links'!B:B, MATCH(P1662, 'File Links'!C:C, 0))))</f>
        <v>https://drive.google.com/file/d/1Wa36K9XT0urN9xsiAgUftQdgL9C9HECn/view?usp=drivesdk</v>
      </c>
      <c r="R1662" s="159" t="s">
        <v>9579</v>
      </c>
      <c r="S1662" s="159" t="s">
        <v>9580</v>
      </c>
      <c r="T1662" s="68"/>
      <c r="U1662" s="156">
        <v>2.0</v>
      </c>
      <c r="V1662" s="198" t="str">
        <f t="shared" si="114"/>
        <v>10.1177--2515245918810225.pdf</v>
      </c>
      <c r="W1662" s="68" t="s">
        <v>209</v>
      </c>
      <c r="X1662" s="54" t="str">
        <f t="array" ref="X1662"> if(iserror(MATCH(V1662, 'File Links'!C:C, 0)), "N/A", HYPERLINK(INDEX('File Links'!B:B, MATCH(V1662, 'File Links'!C:C, 0))))</f>
        <v>https://drive.google.com/file/d/1rGqHLpg3OEGQnWLvlAEJr7JSMWJ2p-Ar/view?usp=drivesdk</v>
      </c>
      <c r="Y1662" s="68"/>
      <c r="Z1662" s="1115" t="s">
        <v>226</v>
      </c>
      <c r="AA1662" s="159" t="s">
        <v>9608</v>
      </c>
      <c r="AB1662" s="1115" t="s">
        <v>9609</v>
      </c>
      <c r="AC1662" s="159" t="s">
        <v>9610</v>
      </c>
      <c r="AD1662" s="151" t="s">
        <v>9611</v>
      </c>
      <c r="AE1662" s="159" t="s">
        <v>307</v>
      </c>
      <c r="AF1662" s="156">
        <v>100.0</v>
      </c>
      <c r="AG1662" s="161" t="s">
        <v>9612</v>
      </c>
      <c r="AH1662" s="159" t="s">
        <v>3311</v>
      </c>
      <c r="AI1662" s="159" t="s">
        <v>9613</v>
      </c>
      <c r="AJ1662" s="156">
        <v>0.01</v>
      </c>
      <c r="AK1662" s="159" t="s">
        <v>135</v>
      </c>
      <c r="AL1662" s="159" t="s">
        <v>186</v>
      </c>
      <c r="AM1662" s="68" t="s">
        <v>137</v>
      </c>
      <c r="AN1662" s="330" t="s">
        <v>138</v>
      </c>
      <c r="AO1662" s="156">
        <v>7460.0</v>
      </c>
      <c r="AP1662" s="156">
        <v>-0.07</v>
      </c>
      <c r="AQ1662" s="159" t="s">
        <v>9585</v>
      </c>
      <c r="AR1662" s="159" t="s">
        <v>9614</v>
      </c>
      <c r="AS1662" s="156">
        <v>0.002</v>
      </c>
      <c r="AT1662" s="159" t="s">
        <v>172</v>
      </c>
      <c r="AU1662" s="159" t="s">
        <v>186</v>
      </c>
      <c r="AV1662" s="68" t="s">
        <v>137</v>
      </c>
      <c r="AW1662" s="435" t="s">
        <v>9588</v>
      </c>
      <c r="AX1662" s="68" t="s">
        <v>143</v>
      </c>
      <c r="AY1662" s="61" t="str">
        <f>IFERROR(__xludf.DUMMYFUNCTION("vlookup(BB1662,importrange(""https://docs.google.com/spreadsheets/d/1d2vevQ_7D_v35q4wCQ4RpQ_IPoTwEMB9Yp6ymwlPqew/edit?gid=984458430#gid=984458430"", ""'replication success'!A:K""), 11, FAlSE)"),"failed")</f>
        <v>failed</v>
      </c>
      <c r="AZ1662" s="61" t="str">
        <f>IFERROR(__xludf.DUMMYFUNCTION("vlookup(BB1662,importrange(""https://docs.google.com/spreadsheets/d/1d2vevQ_7D_v35q4wCQ4RpQ_IPoTwEMB9Yp6ymwlPqew/edit?gid=984458430#gid=984458430"", ""'replication success'!A:M""), 12, FAlSE)"),"The replication effect was in the direction opposite that of the original effect, and the replication effect size was much smaller than the original result (q = −0.07, 95% CI = [−0.12, −0.02], vs. q = 0.48).")</f>
        <v>The replication effect was in the direction opposite that of the original effect, and the replication effect size was much smaller than the original result (q = −0.07, 95% CI = [−0.12, −0.02], vs. q = 0.48).</v>
      </c>
      <c r="BA1662" s="61" t="str">
        <f>IFERROR(__xludf.DUMMYFUNCTION("vlookup(BB1662,importrange(""https://docs.google.com/spreadsheets/d/1d2vevQ_7D_v35q4wCQ4RpQ_IPoTwEMB9Yp6ymwlPqew/edit?gid=984458430#gid=984458430"", ""'replication success'!A:M""), 13, FAlSE)"),"pg. 22")</f>
        <v>pg. 22</v>
      </c>
      <c r="BB1662" s="61" t="str">
        <f>IFERROR(__xludf.DUMMYFUNCTION("REGEXREPLACE(G1662, ""_[a-z]{1,2}$"", """")"),"Manylabs2_02_1")</f>
        <v>Manylabs2_02_1</v>
      </c>
      <c r="BC1662" s="68"/>
      <c r="BD1662" s="129" t="s">
        <v>6985</v>
      </c>
    </row>
    <row r="1663">
      <c r="A1663" s="44">
        <v>1663.0</v>
      </c>
      <c r="B1663" s="147" t="s">
        <v>523</v>
      </c>
      <c r="C1663" s="62" t="s">
        <v>115</v>
      </c>
      <c r="D1663" s="62" t="s">
        <v>145</v>
      </c>
      <c r="F1663" s="68" t="s">
        <v>9602</v>
      </c>
      <c r="G1663" s="159" t="s">
        <v>9603</v>
      </c>
      <c r="H1663" s="678" t="s">
        <v>5592</v>
      </c>
      <c r="I1663" s="152">
        <v>45667.0</v>
      </c>
      <c r="J1663" s="152">
        <v>45693.0</v>
      </c>
      <c r="K1663" s="68"/>
      <c r="L1663" s="159" t="s">
        <v>9615</v>
      </c>
      <c r="M1663" s="68" t="s">
        <v>9606</v>
      </c>
      <c r="N1663" s="68" t="s">
        <v>9607</v>
      </c>
      <c r="O1663" s="156">
        <v>1.0</v>
      </c>
      <c r="P1663" s="606" t="str">
        <f t="shared" si="118"/>
        <v>10.1086--269239.pdf</v>
      </c>
      <c r="Q1663" s="52" t="str">
        <f t="array" ref="Q1663"> if(iserror(MATCH(V1663, 'File Links'!C:C, 0)), "N/A", HYPERLINK(INDEX('File Links'!B:B, MATCH(P1663, 'File Links'!C:C, 0))))</f>
        <v>https://drive.google.com/file/d/1Wa36K9XT0urN9xsiAgUftQdgL9C9HECn/view?usp=drivesdk</v>
      </c>
      <c r="R1663" s="1115" t="s">
        <v>9579</v>
      </c>
      <c r="S1663" s="1115" t="s">
        <v>9580</v>
      </c>
      <c r="T1663" s="68"/>
      <c r="U1663" s="68"/>
      <c r="V1663" s="198" t="str">
        <f t="shared" si="114"/>
        <v>10.1177--2515245918810225.pdf</v>
      </c>
      <c r="W1663" s="159" t="s">
        <v>9616</v>
      </c>
      <c r="X1663" s="54" t="str">
        <f t="array" ref="X1663"> if(iserror(MATCH(V1663, 'File Links'!C:C, 0)), "N/A", HYPERLINK(INDEX('File Links'!B:B, MATCH(V1663, 'File Links'!C:C, 0))))</f>
        <v>https://drive.google.com/file/d/1rGqHLpg3OEGQnWLvlAEJr7JSMWJ2p-Ar/view?usp=drivesdk</v>
      </c>
      <c r="Y1663" s="68"/>
      <c r="Z1663" s="159" t="s">
        <v>226</v>
      </c>
      <c r="AA1663" s="159" t="s">
        <v>9617</v>
      </c>
      <c r="AB1663" s="159" t="s">
        <v>9609</v>
      </c>
      <c r="AC1663" s="68" t="s">
        <v>9618</v>
      </c>
      <c r="AD1663" s="159" t="s">
        <v>9619</v>
      </c>
      <c r="AE1663" s="156">
        <v>9.0</v>
      </c>
      <c r="AF1663" s="156">
        <v>56.0</v>
      </c>
      <c r="AG1663" s="156">
        <v>0.67</v>
      </c>
      <c r="AH1663" s="159" t="s">
        <v>215</v>
      </c>
      <c r="AI1663" s="159" t="s">
        <v>628</v>
      </c>
      <c r="AJ1663" s="156">
        <v>0.05</v>
      </c>
      <c r="AK1663" s="159" t="s">
        <v>135</v>
      </c>
      <c r="AL1663" s="159" t="s">
        <v>186</v>
      </c>
      <c r="AM1663" s="68" t="s">
        <v>137</v>
      </c>
      <c r="AN1663" s="330" t="s">
        <v>138</v>
      </c>
      <c r="AO1663" s="156">
        <v>7460.0</v>
      </c>
      <c r="AP1663" s="156">
        <v>0.38</v>
      </c>
      <c r="AQ1663" s="159" t="s">
        <v>215</v>
      </c>
      <c r="AR1663" s="159" t="s">
        <v>330</v>
      </c>
      <c r="AS1663" s="68"/>
      <c r="AT1663" s="68"/>
      <c r="AU1663" s="159" t="s">
        <v>186</v>
      </c>
      <c r="AV1663" s="68" t="s">
        <v>137</v>
      </c>
      <c r="AW1663" s="1119" t="s">
        <v>9588</v>
      </c>
      <c r="AX1663" s="68" t="s">
        <v>143</v>
      </c>
      <c r="AY1663" s="61" t="str">
        <f>IFERROR(__xludf.DUMMYFUNCTION("vlookup(BB1663,importrange(""https://docs.google.com/spreadsheets/d/1d2vevQ_7D_v35q4wCQ4RpQ_IPoTwEMB9Yp6ymwlPqew/edit?gid=984458430#gid=984458430"", ""'replication success'!A:K""), 11, FAlSE)"),"failed")</f>
        <v>failed</v>
      </c>
      <c r="AZ1663" s="61" t="str">
        <f>IFERROR(__xludf.DUMMYFUNCTION("vlookup(BB1663,importrange(""https://docs.google.com/spreadsheets/d/1d2vevQ_7D_v35q4wCQ4RpQ_IPoTwEMB9Yp6ymwlPqew/edit?gid=984458430#gid=984458430"", ""'replication success'!A:M""), 12, FAlSE)"),"The replication effect was in the direction opposite that of the original effect, and the replication effect size was much smaller than the original result (q = −0.07, 95% CI = [−0.12, −0.02], vs. q = 0.48).")</f>
        <v>The replication effect was in the direction opposite that of the original effect, and the replication effect size was much smaller than the original result (q = −0.07, 95% CI = [−0.12, −0.02], vs. q = 0.48).</v>
      </c>
      <c r="BA1663" s="61" t="str">
        <f>IFERROR(__xludf.DUMMYFUNCTION("vlookup(BB1663,importrange(""https://docs.google.com/spreadsheets/d/1d2vevQ_7D_v35q4wCQ4RpQ_IPoTwEMB9Yp6ymwlPqew/edit?gid=984458430#gid=984458430"", ""'replication success'!A:M""), 13, FAlSE)"),"pg. 22")</f>
        <v>pg. 22</v>
      </c>
      <c r="BB1663" s="61" t="str">
        <f>IFERROR(__xludf.DUMMYFUNCTION("REGEXREPLACE(G1663, ""_[a-z]{1,2}$"", """")"),"Manylabs2_02_1")</f>
        <v>Manylabs2_02_1</v>
      </c>
      <c r="BC1663" s="68"/>
      <c r="BD1663" s="68" t="s">
        <v>5074</v>
      </c>
    </row>
    <row r="1664">
      <c r="A1664" s="44">
        <v>1664.0</v>
      </c>
      <c r="B1664" s="147" t="s">
        <v>523</v>
      </c>
      <c r="C1664" s="62" t="s">
        <v>115</v>
      </c>
      <c r="D1664" s="62" t="s">
        <v>145</v>
      </c>
      <c r="F1664" s="68" t="s">
        <v>9602</v>
      </c>
      <c r="G1664" s="159" t="s">
        <v>9620</v>
      </c>
      <c r="H1664" s="678" t="s">
        <v>5592</v>
      </c>
      <c r="I1664" s="152">
        <v>45667.0</v>
      </c>
      <c r="J1664" s="152">
        <v>45693.0</v>
      </c>
      <c r="K1664" s="68"/>
      <c r="L1664" s="159" t="s">
        <v>9615</v>
      </c>
      <c r="M1664" s="68" t="s">
        <v>9606</v>
      </c>
      <c r="N1664" s="68" t="s">
        <v>9607</v>
      </c>
      <c r="O1664" s="156">
        <v>1.0</v>
      </c>
      <c r="P1664" s="606" t="str">
        <f t="shared" si="118"/>
        <v>10.1086--269239.pdf</v>
      </c>
      <c r="Q1664" s="52" t="str">
        <f t="array" ref="Q1664"> if(iserror(MATCH(V1664, 'File Links'!C:C, 0)), "N/A", HYPERLINK(INDEX('File Links'!B:B, MATCH(P1664, 'File Links'!C:C, 0))))</f>
        <v>https://drive.google.com/file/d/1Wa36K9XT0urN9xsiAgUftQdgL9C9HECn/view?usp=drivesdk</v>
      </c>
      <c r="R1664" s="1115" t="s">
        <v>9579</v>
      </c>
      <c r="S1664" s="1115" t="s">
        <v>9580</v>
      </c>
      <c r="T1664" s="68"/>
      <c r="U1664" s="68"/>
      <c r="V1664" s="198" t="str">
        <f t="shared" si="114"/>
        <v>10.1177--2515245918810225.pdf</v>
      </c>
      <c r="W1664" s="159" t="s">
        <v>9616</v>
      </c>
      <c r="X1664" s="54" t="str">
        <f t="array" ref="X1664"> if(iserror(MATCH(V1664, 'File Links'!C:C, 0)), "N/A", HYPERLINK(INDEX('File Links'!B:B, MATCH(V1664, 'File Links'!C:C, 0))))</f>
        <v>https://drive.google.com/file/d/1rGqHLpg3OEGQnWLvlAEJr7JSMWJ2p-Ar/view?usp=drivesdk</v>
      </c>
      <c r="Y1664" s="68"/>
      <c r="Z1664" s="159" t="s">
        <v>226</v>
      </c>
      <c r="AA1664" s="159" t="s">
        <v>9617</v>
      </c>
      <c r="AB1664" s="159" t="s">
        <v>9609</v>
      </c>
      <c r="AC1664" s="68" t="s">
        <v>9621</v>
      </c>
      <c r="AD1664" s="159" t="s">
        <v>9622</v>
      </c>
      <c r="AE1664" s="156">
        <v>9.0</v>
      </c>
      <c r="AF1664" s="156">
        <v>50.0</v>
      </c>
      <c r="AG1664" s="156">
        <v>0.32</v>
      </c>
      <c r="AH1664" s="159" t="s">
        <v>215</v>
      </c>
      <c r="AI1664" s="159" t="s">
        <v>628</v>
      </c>
      <c r="AJ1664" s="156">
        <v>0.05</v>
      </c>
      <c r="AK1664" s="159" t="s">
        <v>135</v>
      </c>
      <c r="AL1664" s="159" t="s">
        <v>186</v>
      </c>
      <c r="AM1664" s="68" t="s">
        <v>137</v>
      </c>
      <c r="AN1664" s="330" t="s">
        <v>138</v>
      </c>
      <c r="AO1664" s="156">
        <v>7460.0</v>
      </c>
      <c r="AP1664" s="156">
        <v>0.44</v>
      </c>
      <c r="AQ1664" s="159" t="s">
        <v>215</v>
      </c>
      <c r="AR1664" s="159" t="s">
        <v>330</v>
      </c>
      <c r="AS1664" s="68"/>
      <c r="AT1664" s="68"/>
      <c r="AU1664" s="159" t="s">
        <v>186</v>
      </c>
      <c r="AV1664" s="68" t="s">
        <v>137</v>
      </c>
      <c r="AW1664" s="1119" t="s">
        <v>9588</v>
      </c>
      <c r="AX1664" s="68" t="s">
        <v>143</v>
      </c>
      <c r="AY1664" s="61" t="str">
        <f>IFERROR(__xludf.DUMMYFUNCTION("vlookup(BB1664,importrange(""https://docs.google.com/spreadsheets/d/1d2vevQ_7D_v35q4wCQ4RpQ_IPoTwEMB9Yp6ymwlPqew/edit?gid=984458430#gid=984458430"", ""'replication success'!A:K""), 11, FAlSE)"),"#N/A")</f>
        <v>#N/A</v>
      </c>
      <c r="AZ1664" s="61" t="str">
        <f>IFERROR(__xludf.DUMMYFUNCTION("vlookup(BB1664,importrange(""https://docs.google.com/spreadsheets/d/1d2vevQ_7D_v35q4wCQ4RpQ_IPoTwEMB9Yp6ymwlPqew/edit?gid=984458430#gid=984458430"", ""'replication success'!A:M""), 12, FAlSE)"),"#N/A")</f>
        <v>#N/A</v>
      </c>
      <c r="BA1664" s="61" t="str">
        <f>IFERROR(__xludf.DUMMYFUNCTION("vlookup(BB1664,importrange(""https://docs.google.com/spreadsheets/d/1d2vevQ_7D_v35q4wCQ4RpQ_IPoTwEMB9Yp6ymwlPqew/edit?gid=984458430#gid=984458430"", ""'replication success'!A:M""), 13, FAlSE)"),"#N/A")</f>
        <v>#N/A</v>
      </c>
      <c r="BB1664" s="61" t="str">
        <f>IFERROR(__xludf.DUMMYFUNCTION("REGEXREPLACE(G1664, ""_[a-z]{1,2}$"", """")"),"Manylabs2_02")</f>
        <v>Manylabs2_02</v>
      </c>
      <c r="BC1664" s="68"/>
      <c r="BD1664" s="68" t="s">
        <v>5074</v>
      </c>
    </row>
    <row r="1665">
      <c r="A1665" s="44">
        <v>1665.0</v>
      </c>
      <c r="B1665" s="68" t="s">
        <v>114</v>
      </c>
      <c r="C1665" s="62" t="s">
        <v>115</v>
      </c>
      <c r="D1665" s="62" t="s">
        <v>145</v>
      </c>
      <c r="F1665" s="68" t="s">
        <v>9602</v>
      </c>
      <c r="G1665" s="159" t="s">
        <v>9623</v>
      </c>
      <c r="H1665" s="678" t="s">
        <v>5592</v>
      </c>
      <c r="I1665" s="152">
        <v>45667.0</v>
      </c>
      <c r="J1665" s="152">
        <v>45693.0</v>
      </c>
      <c r="K1665" s="68"/>
      <c r="L1665" s="159" t="s">
        <v>9624</v>
      </c>
      <c r="M1665" s="68" t="s">
        <v>9606</v>
      </c>
      <c r="N1665" s="68" t="s">
        <v>9607</v>
      </c>
      <c r="O1665" s="156">
        <v>1.0</v>
      </c>
      <c r="P1665" s="606" t="str">
        <f t="shared" si="118"/>
        <v>10.1086--269239.pdf</v>
      </c>
      <c r="Q1665" s="52" t="str">
        <f t="array" ref="Q1665"> if(iserror(MATCH(V1665, 'File Links'!C:C, 0)), "N/A", HYPERLINK(INDEX('File Links'!B:B, MATCH(P1665, 'File Links'!C:C, 0))))</f>
        <v>https://drive.google.com/file/d/1Wa36K9XT0urN9xsiAgUftQdgL9C9HECn/view?usp=drivesdk</v>
      </c>
      <c r="R1665" s="1115" t="s">
        <v>9579</v>
      </c>
      <c r="S1665" s="1115" t="s">
        <v>9580</v>
      </c>
      <c r="T1665" s="68"/>
      <c r="U1665" s="68"/>
      <c r="V1665" s="198" t="str">
        <f t="shared" si="114"/>
        <v>10.1177--2515245918810225.pdf</v>
      </c>
      <c r="W1665" s="159" t="s">
        <v>9616</v>
      </c>
      <c r="X1665" s="54" t="str">
        <f t="array" ref="X1665"> if(iserror(MATCH(V1665, 'File Links'!C:C, 0)), "N/A", HYPERLINK(INDEX('File Links'!B:B, MATCH(V1665, 'File Links'!C:C, 0))))</f>
        <v>https://drive.google.com/file/d/1rGqHLpg3OEGQnWLvlAEJr7JSMWJ2p-Ar/view?usp=drivesdk</v>
      </c>
      <c r="Y1665" s="68"/>
      <c r="Z1665" s="159" t="s">
        <v>226</v>
      </c>
      <c r="AA1665" s="159" t="s">
        <v>9617</v>
      </c>
      <c r="AB1665" s="159" t="s">
        <v>9609</v>
      </c>
      <c r="AC1665" s="68" t="s">
        <v>9625</v>
      </c>
      <c r="AD1665" s="159" t="s">
        <v>9626</v>
      </c>
      <c r="AE1665" s="156">
        <v>9.0</v>
      </c>
      <c r="AF1665" s="156">
        <v>50.0</v>
      </c>
      <c r="AG1665" s="156">
        <v>2.32</v>
      </c>
      <c r="AH1665" s="159" t="s">
        <v>3311</v>
      </c>
      <c r="AI1665" s="159" t="s">
        <v>628</v>
      </c>
      <c r="AJ1665" s="156">
        <v>0.01</v>
      </c>
      <c r="AK1665" s="159" t="s">
        <v>135</v>
      </c>
      <c r="AL1665" s="159" t="s">
        <v>186</v>
      </c>
      <c r="AM1665" s="68" t="s">
        <v>137</v>
      </c>
      <c r="AN1665" s="330" t="s">
        <v>138</v>
      </c>
      <c r="AO1665" s="156">
        <v>7460.0</v>
      </c>
      <c r="AP1665" s="156">
        <v>-3.03</v>
      </c>
      <c r="AQ1665" s="159" t="s">
        <v>134</v>
      </c>
      <c r="AR1665" s="159" t="s">
        <v>330</v>
      </c>
      <c r="AS1665" s="156">
        <v>0.002</v>
      </c>
      <c r="AT1665" s="159" t="s">
        <v>172</v>
      </c>
      <c r="AU1665" s="159" t="s">
        <v>186</v>
      </c>
      <c r="AV1665" s="68" t="s">
        <v>137</v>
      </c>
      <c r="AW1665" s="1119" t="s">
        <v>9588</v>
      </c>
      <c r="AX1665" s="68" t="s">
        <v>143</v>
      </c>
      <c r="AY1665" s="61" t="str">
        <f>IFERROR(__xludf.DUMMYFUNCTION("vlookup(BB1665,importrange(""https://docs.google.com/spreadsheets/d/1d2vevQ_7D_v35q4wCQ4RpQ_IPoTwEMB9Yp6ymwlPqew/edit?gid=984458430#gid=984458430"", ""'replication success'!A:K""), 11, FAlSE)"),"#N/A")</f>
        <v>#N/A</v>
      </c>
      <c r="AZ1665" s="61" t="str">
        <f>IFERROR(__xludf.DUMMYFUNCTION("vlookup(BB1665,importrange(""https://docs.google.com/spreadsheets/d/1d2vevQ_7D_v35q4wCQ4RpQ_IPoTwEMB9Yp6ymwlPqew/edit?gid=984458430#gid=984458430"", ""'replication success'!A:M""), 12, FAlSE)"),"#N/A")</f>
        <v>#N/A</v>
      </c>
      <c r="BA1665" s="61" t="str">
        <f>IFERROR(__xludf.DUMMYFUNCTION("vlookup(BB1665,importrange(""https://docs.google.com/spreadsheets/d/1d2vevQ_7D_v35q4wCQ4RpQ_IPoTwEMB9Yp6ymwlPqew/edit?gid=984458430#gid=984458430"", ""'replication success'!A:M""), 13, FAlSE)"),"#N/A")</f>
        <v>#N/A</v>
      </c>
      <c r="BB1665" s="61" t="str">
        <f>IFERROR(__xludf.DUMMYFUNCTION("REGEXREPLACE(G1665, ""_[a-z]{1,2}$"", """")"),"Manylabs2_02")</f>
        <v>Manylabs2_02</v>
      </c>
      <c r="BC1665" s="68"/>
      <c r="BD1665" s="68" t="s">
        <v>5074</v>
      </c>
    </row>
    <row r="1666">
      <c r="A1666" s="44">
        <v>1666.0</v>
      </c>
      <c r="B1666" s="129" t="s">
        <v>152</v>
      </c>
      <c r="C1666" s="62" t="s">
        <v>115</v>
      </c>
      <c r="D1666" s="62" t="s">
        <v>232</v>
      </c>
      <c r="F1666" s="68" t="s">
        <v>9627</v>
      </c>
      <c r="G1666" s="68" t="s">
        <v>9628</v>
      </c>
      <c r="H1666" s="159" t="s">
        <v>6940</v>
      </c>
      <c r="I1666" s="152">
        <v>45687.0</v>
      </c>
      <c r="J1666" s="152">
        <v>45693.0</v>
      </c>
      <c r="K1666" s="151" t="s">
        <v>9629</v>
      </c>
      <c r="L1666" s="151"/>
      <c r="M1666" s="159" t="s">
        <v>9630</v>
      </c>
      <c r="N1666" s="159" t="s">
        <v>9631</v>
      </c>
      <c r="O1666" s="156">
        <v>1.0</v>
      </c>
      <c r="P1666" s="606" t="str">
        <f t="shared" si="118"/>
        <v>10.1037--0022-3514.83.5.1239.pdf</v>
      </c>
      <c r="Q1666" s="52" t="str">
        <f t="array" ref="Q1666"> if(iserror(MATCH(V1666, 'File Links'!C:C, 0)), "N/A", HYPERLINK(INDEX('File Links'!B:B, MATCH(P1666, 'File Links'!C:C, 0))))</f>
        <v>https://drive.google.com/file/d/1bUFd8EhwJ36bo-2xBlOdIPnQvw_apZ06/view?usp=drivesdk</v>
      </c>
      <c r="R1666" s="159" t="s">
        <v>9579</v>
      </c>
      <c r="S1666" s="159" t="s">
        <v>9580</v>
      </c>
      <c r="T1666" s="68"/>
      <c r="U1666" s="156">
        <v>3.0</v>
      </c>
      <c r="V1666" s="198" t="str">
        <f t="shared" si="114"/>
        <v>10.1177--2515245918810225.pdf</v>
      </c>
      <c r="W1666" s="68" t="s">
        <v>209</v>
      </c>
      <c r="X1666" s="54" t="str">
        <f t="array" ref="X1666"> if(iserror(MATCH(V1666, 'File Links'!C:C, 0)), "N/A", HYPERLINK(INDEX('File Links'!B:B, MATCH(V1666, 'File Links'!C:C, 0))))</f>
        <v>https://drive.google.com/file/d/1rGqHLpg3OEGQnWLvlAEJr7JSMWJ2p-Ar/view?usp=drivesdk</v>
      </c>
      <c r="Y1666" s="68"/>
      <c r="Z1666" s="159" t="s">
        <v>947</v>
      </c>
      <c r="AA1666" s="159" t="s">
        <v>9632</v>
      </c>
      <c r="AB1666" s="159" t="s">
        <v>9633</v>
      </c>
      <c r="AC1666" s="159" t="s">
        <v>9634</v>
      </c>
      <c r="AD1666" s="151" t="s">
        <v>9635</v>
      </c>
      <c r="AE1666" s="151" t="s">
        <v>9636</v>
      </c>
      <c r="AF1666" s="156">
        <v>58.0</v>
      </c>
      <c r="AG1666" s="156">
        <v>2.446</v>
      </c>
      <c r="AH1666" s="159" t="s">
        <v>173</v>
      </c>
      <c r="AI1666" s="151" t="s">
        <v>9637</v>
      </c>
      <c r="AJ1666" s="156">
        <v>0.001</v>
      </c>
      <c r="AK1666" s="159" t="s">
        <v>135</v>
      </c>
      <c r="AL1666" s="159" t="s">
        <v>186</v>
      </c>
      <c r="AM1666" s="68" t="s">
        <v>137</v>
      </c>
      <c r="AN1666" s="330" t="s">
        <v>138</v>
      </c>
      <c r="AO1666" s="156">
        <v>7197.0</v>
      </c>
      <c r="AP1666" s="156">
        <v>1.82</v>
      </c>
      <c r="AQ1666" s="159" t="s">
        <v>173</v>
      </c>
      <c r="AR1666" s="159" t="s">
        <v>9587</v>
      </c>
      <c r="AS1666" s="156">
        <v>0.001</v>
      </c>
      <c r="AT1666" s="159" t="s">
        <v>135</v>
      </c>
      <c r="AU1666" s="159" t="s">
        <v>186</v>
      </c>
      <c r="AV1666" s="68" t="s">
        <v>137</v>
      </c>
      <c r="AW1666" s="435" t="s">
        <v>9588</v>
      </c>
      <c r="AX1666" s="68" t="s">
        <v>143</v>
      </c>
      <c r="AY1666" s="61" t="str">
        <f>IFERROR(__xludf.DUMMYFUNCTION("vlookup(BB1666,importrange(""https://docs.google.com/spreadsheets/d/1d2vevQ_7D_v35q4wCQ4RpQ_IPoTwEMB9Yp6ymwlPqew/edit?gid=984458430#gid=984458430"", ""'replication success'!A:K""), 11, FAlSE)"),"successful")</f>
        <v>successful</v>
      </c>
      <c r="AZ1666" s="61" t="str">
        <f>IFERROR(__xludf.DUMMYFUNCTION("vlookup(BB1666,importrange(""https://docs.google.com/spreadsheets/d/1d2vevQ_7D_v35q4wCQ4RpQ_IPoTwEMB9Yp6ymwlPqew/edit?gid=984458430#gid=984458430"", ""'replication success'!A:M""), 12, FAlSE)"),"This finding is consistent
with the correspondence-bias hypothesis: Participants
inferred the essay writer’s attitude, in part, on the basis of
the writer’s observed behavior.")</f>
        <v>This finding is consistent
with the correspondence-bias hypothesis: Participants
inferred the essay writer’s attitude, in part, on the basis of
the writer’s observed behavior.</v>
      </c>
      <c r="BA1666" s="61" t="str">
        <f>IFERROR(__xludf.DUMMYFUNCTION("vlookup(BB1666,importrange(""https://docs.google.com/spreadsheets/d/1d2vevQ_7D_v35q4wCQ4RpQ_IPoTwEMB9Yp6ymwlPqew/edit?gid=984458430#gid=984458430"", ""'replication success'!A:M""), 13, FAlSE)"),"pg. 14")</f>
        <v>pg. 14</v>
      </c>
      <c r="BB1666" s="61" t="str">
        <f>IFERROR(__xludf.DUMMYFUNCTION("REGEXREPLACE(G1666, ""_[a-z]{1,2}$"", """")"),"Manylabs2_03_1")</f>
        <v>Manylabs2_03_1</v>
      </c>
      <c r="BC1666" s="68"/>
      <c r="BD1666" s="129" t="s">
        <v>6985</v>
      </c>
    </row>
    <row r="1667">
      <c r="A1667" s="44">
        <v>1667.0</v>
      </c>
      <c r="B1667" s="129" t="s">
        <v>114</v>
      </c>
      <c r="C1667" s="62" t="s">
        <v>115</v>
      </c>
      <c r="D1667" s="62" t="s">
        <v>232</v>
      </c>
      <c r="F1667" s="68" t="s">
        <v>9627</v>
      </c>
      <c r="G1667" s="159" t="s">
        <v>9638</v>
      </c>
      <c r="H1667" s="159" t="s">
        <v>6940</v>
      </c>
      <c r="I1667" s="152">
        <v>45687.0</v>
      </c>
      <c r="J1667" s="152">
        <v>45693.0</v>
      </c>
      <c r="K1667" s="151" t="s">
        <v>9639</v>
      </c>
      <c r="L1667" s="481"/>
      <c r="M1667" s="159" t="s">
        <v>9630</v>
      </c>
      <c r="N1667" s="159" t="s">
        <v>9631</v>
      </c>
      <c r="O1667" s="156">
        <v>1.0</v>
      </c>
      <c r="P1667" s="606" t="str">
        <f t="shared" si="118"/>
        <v>10.1037--0022-3514.83.5.1239.pdf</v>
      </c>
      <c r="Q1667" s="52" t="str">
        <f t="array" ref="Q1667"> if(iserror(MATCH(V1667, 'File Links'!C:C, 0)), "N/A", HYPERLINK(INDEX('File Links'!B:B, MATCH(P1667, 'File Links'!C:C, 0))))</f>
        <v>https://drive.google.com/file/d/1bUFd8EhwJ36bo-2xBlOdIPnQvw_apZ06/view?usp=drivesdk</v>
      </c>
      <c r="R1667" s="159" t="s">
        <v>9579</v>
      </c>
      <c r="S1667" s="159" t="s">
        <v>9580</v>
      </c>
      <c r="T1667" s="68"/>
      <c r="U1667" s="156">
        <v>4.0</v>
      </c>
      <c r="V1667" s="198" t="str">
        <f t="shared" si="114"/>
        <v>10.1177--2515245918810225.pdf</v>
      </c>
      <c r="W1667" s="68" t="s">
        <v>209</v>
      </c>
      <c r="X1667" s="54" t="str">
        <f t="array" ref="X1667"> if(iserror(MATCH(V1667, 'File Links'!C:C, 0)), "N/A", HYPERLINK(INDEX('File Links'!B:B, MATCH(V1667, 'File Links'!C:C, 0))))</f>
        <v>https://drive.google.com/file/d/1rGqHLpg3OEGQnWLvlAEJr7JSMWJ2p-Ar/view?usp=drivesdk</v>
      </c>
      <c r="Y1667" s="68"/>
      <c r="Z1667" s="159" t="s">
        <v>947</v>
      </c>
      <c r="AA1667" s="159" t="s">
        <v>9632</v>
      </c>
      <c r="AB1667" s="159" t="s">
        <v>9633</v>
      </c>
      <c r="AC1667" s="159" t="s">
        <v>9640</v>
      </c>
      <c r="AD1667" s="68"/>
      <c r="AE1667" s="68"/>
      <c r="AF1667" s="156">
        <v>49.0</v>
      </c>
      <c r="AG1667" s="156">
        <v>0.757</v>
      </c>
      <c r="AH1667" s="159" t="s">
        <v>173</v>
      </c>
      <c r="AI1667" s="159" t="s">
        <v>9641</v>
      </c>
      <c r="AJ1667" s="156">
        <v>0.05</v>
      </c>
      <c r="AK1667" s="159" t="s">
        <v>335</v>
      </c>
      <c r="AL1667" s="159" t="s">
        <v>186</v>
      </c>
      <c r="AM1667" s="68" t="s">
        <v>137</v>
      </c>
      <c r="AN1667" s="330" t="s">
        <v>138</v>
      </c>
      <c r="AO1667" s="159" t="s">
        <v>138</v>
      </c>
      <c r="AP1667" s="156">
        <v>1.84</v>
      </c>
      <c r="AQ1667" s="159" t="s">
        <v>173</v>
      </c>
      <c r="AR1667" s="68"/>
      <c r="AS1667" s="68"/>
      <c r="AT1667" s="68"/>
      <c r="AU1667" s="68"/>
      <c r="AV1667" s="68"/>
      <c r="AW1667" s="435" t="s">
        <v>9588</v>
      </c>
      <c r="AX1667" s="68"/>
      <c r="AY1667" s="61" t="str">
        <f>IFERROR(__xludf.DUMMYFUNCTION("vlookup(BB1667,importrange(""https://docs.google.com/spreadsheets/d/1d2vevQ_7D_v35q4wCQ4RpQ_IPoTwEMB9Yp6ymwlPqew/edit?gid=984458430#gid=984458430"", ""'replication success'!A:K""), 11, FAlSE)"),"successful")</f>
        <v>successful</v>
      </c>
      <c r="AZ1667" s="61" t="str">
        <f>IFERROR(__xludf.DUMMYFUNCTION("vlookup(BB1667,importrange(""https://docs.google.com/spreadsheets/d/1d2vevQ_7D_v35q4wCQ4RpQ_IPoTwEMB9Yp6ymwlPqew/edit?gid=984458430#gid=984458430"", ""'replication success'!A:M""), 12, FAlSE)"),"This finding is consistent
with the correspondence-bias hypothesis: Participants
inferred the essay writer’s attitude, in part, on the basis of
the writer’s observed behavior.")</f>
        <v>This finding is consistent
with the correspondence-bias hypothesis: Participants
inferred the essay writer’s attitude, in part, on the basis of
the writer’s observed behavior.</v>
      </c>
      <c r="BA1667" s="61" t="str">
        <f>IFERROR(__xludf.DUMMYFUNCTION("vlookup(BB1667,importrange(""https://docs.google.com/spreadsheets/d/1d2vevQ_7D_v35q4wCQ4RpQ_IPoTwEMB9Yp6ymwlPqew/edit?gid=984458430#gid=984458430"", ""'replication success'!A:M""), 13, FAlSE)"),"pg. 14")</f>
        <v>pg. 14</v>
      </c>
      <c r="BB1667" s="61" t="str">
        <f>IFERROR(__xludf.DUMMYFUNCTION("REGEXREPLACE(G1667, ""_[a-z]{1,2}$"", """")"),"Manylabs2_03_1")</f>
        <v>Manylabs2_03_1</v>
      </c>
      <c r="BC1667" s="68"/>
      <c r="BD1667" s="68" t="s">
        <v>5074</v>
      </c>
    </row>
    <row r="1668">
      <c r="A1668" s="44">
        <v>1668.0</v>
      </c>
      <c r="B1668" s="68" t="s">
        <v>114</v>
      </c>
      <c r="C1668" s="62" t="s">
        <v>115</v>
      </c>
      <c r="D1668" s="62" t="s">
        <v>145</v>
      </c>
      <c r="F1668" s="68" t="s">
        <v>9627</v>
      </c>
      <c r="G1668" s="159" t="s">
        <v>9628</v>
      </c>
      <c r="H1668" s="678" t="s">
        <v>5592</v>
      </c>
      <c r="I1668" s="152">
        <v>45669.0</v>
      </c>
      <c r="J1668" s="152">
        <v>45693.0</v>
      </c>
      <c r="K1668" s="159" t="s">
        <v>9642</v>
      </c>
      <c r="L1668" s="68"/>
      <c r="M1668" s="68" t="s">
        <v>9630</v>
      </c>
      <c r="N1668" s="68" t="s">
        <v>9631</v>
      </c>
      <c r="O1668" s="156">
        <v>1.0</v>
      </c>
      <c r="P1668" s="606" t="str">
        <f t="shared" si="118"/>
        <v>10.1037--0022-3514.83.5.1239.pdf</v>
      </c>
      <c r="Q1668" s="52" t="str">
        <f t="array" ref="Q1668"> if(iserror(MATCH(V1668, 'File Links'!C:C, 0)), "N/A", HYPERLINK(INDEX('File Links'!B:B, MATCH(P1668, 'File Links'!C:C, 0))))</f>
        <v>https://drive.google.com/file/d/1bUFd8EhwJ36bo-2xBlOdIPnQvw_apZ06/view?usp=drivesdk</v>
      </c>
      <c r="R1668" s="1115" t="s">
        <v>9579</v>
      </c>
      <c r="S1668" s="1115" t="s">
        <v>9580</v>
      </c>
      <c r="T1668" s="68"/>
      <c r="U1668" s="68"/>
      <c r="V1668" s="198" t="str">
        <f t="shared" si="114"/>
        <v>10.1177--2515245918810225.pdf</v>
      </c>
      <c r="W1668" s="159" t="s">
        <v>9616</v>
      </c>
      <c r="X1668" s="54" t="str">
        <f t="array" ref="X1668"> if(iserror(MATCH(V1668, 'File Links'!C:C, 0)), "N/A", HYPERLINK(INDEX('File Links'!B:B, MATCH(V1668, 'File Links'!C:C, 0))))</f>
        <v>https://drive.google.com/file/d/1rGqHLpg3OEGQnWLvlAEJr7JSMWJ2p-Ar/view?usp=drivesdk</v>
      </c>
      <c r="Y1668" s="68"/>
      <c r="Z1668" s="159" t="s">
        <v>226</v>
      </c>
      <c r="AA1668" s="68"/>
      <c r="AB1668" s="159" t="s">
        <v>9643</v>
      </c>
      <c r="AC1668" s="159" t="s">
        <v>9644</v>
      </c>
      <c r="AD1668" s="68"/>
      <c r="AE1668" s="68"/>
      <c r="AF1668" s="156">
        <v>107.0</v>
      </c>
      <c r="AG1668" s="68"/>
      <c r="AH1668" s="68"/>
      <c r="AI1668" s="68"/>
      <c r="AJ1668" s="68"/>
      <c r="AK1668" s="68"/>
      <c r="AL1668" s="68"/>
      <c r="AM1668" s="68"/>
      <c r="AN1668" s="330" t="s">
        <v>138</v>
      </c>
      <c r="AO1668" s="156">
        <v>7197.0</v>
      </c>
      <c r="AP1668" s="68"/>
      <c r="AQ1668" s="68"/>
      <c r="AR1668" s="68"/>
      <c r="AS1668" s="68"/>
      <c r="AT1668" s="68"/>
      <c r="AU1668" s="68"/>
      <c r="AV1668" s="68"/>
      <c r="AW1668" s="1119" t="s">
        <v>9588</v>
      </c>
      <c r="AX1668" s="68"/>
      <c r="AY1668" s="61" t="str">
        <f>IFERROR(__xludf.DUMMYFUNCTION("vlookup(BB1668,importrange(""https://docs.google.com/spreadsheets/d/1d2vevQ_7D_v35q4wCQ4RpQ_IPoTwEMB9Yp6ymwlPqew/edit?gid=984458430#gid=984458430"", ""'replication success'!A:K""), 11, FAlSE)"),"successful")</f>
        <v>successful</v>
      </c>
      <c r="AZ1668" s="61" t="str">
        <f>IFERROR(__xludf.DUMMYFUNCTION("vlookup(BB1668,importrange(""https://docs.google.com/spreadsheets/d/1d2vevQ_7D_v35q4wCQ4RpQ_IPoTwEMB9Yp6ymwlPqew/edit?gid=984458430#gid=984458430"", ""'replication success'!A:M""), 12, FAlSE)"),"This finding is consistent
with the correspondence-bias hypothesis: Participants
inferred the essay writer’s attitude, in part, on the basis of
the writer’s observed behavior.")</f>
        <v>This finding is consistent
with the correspondence-bias hypothesis: Participants
inferred the essay writer’s attitude, in part, on the basis of
the writer’s observed behavior.</v>
      </c>
      <c r="BA1668" s="61" t="str">
        <f>IFERROR(__xludf.DUMMYFUNCTION("vlookup(BB1668,importrange(""https://docs.google.com/spreadsheets/d/1d2vevQ_7D_v35q4wCQ4RpQ_IPoTwEMB9Yp6ymwlPqew/edit?gid=984458430#gid=984458430"", ""'replication success'!A:M""), 13, FAlSE)"),"pg. 14")</f>
        <v>pg. 14</v>
      </c>
      <c r="BB1668" s="61" t="str">
        <f>IFERROR(__xludf.DUMMYFUNCTION("REGEXREPLACE(G1668, ""_[a-z]{1,2}$"", """")"),"Manylabs2_03_1")</f>
        <v>Manylabs2_03_1</v>
      </c>
      <c r="BC1668" s="68"/>
      <c r="BD1668" s="68" t="s">
        <v>5074</v>
      </c>
    </row>
    <row r="1669">
      <c r="A1669" s="44">
        <v>1669.0</v>
      </c>
      <c r="B1669" s="68" t="s">
        <v>114</v>
      </c>
      <c r="C1669" s="62" t="s">
        <v>115</v>
      </c>
      <c r="D1669" s="62" t="s">
        <v>145</v>
      </c>
      <c r="F1669" s="68" t="s">
        <v>9627</v>
      </c>
      <c r="G1669" s="159" t="s">
        <v>9638</v>
      </c>
      <c r="H1669" s="678" t="s">
        <v>5592</v>
      </c>
      <c r="I1669" s="152">
        <v>45669.0</v>
      </c>
      <c r="J1669" s="152">
        <v>45693.0</v>
      </c>
      <c r="K1669" s="159" t="s">
        <v>9645</v>
      </c>
      <c r="L1669" s="68"/>
      <c r="M1669" s="68" t="s">
        <v>9630</v>
      </c>
      <c r="N1669" s="68" t="s">
        <v>9631</v>
      </c>
      <c r="O1669" s="156">
        <v>1.0</v>
      </c>
      <c r="P1669" s="606" t="str">
        <f t="shared" si="118"/>
        <v>10.1037--0022-3514.83.5.1239.pdf</v>
      </c>
      <c r="Q1669" s="52" t="str">
        <f t="array" ref="Q1669"> if(iserror(MATCH(V1669, 'File Links'!C:C, 0)), "N/A", HYPERLINK(INDEX('File Links'!B:B, MATCH(P1669, 'File Links'!C:C, 0))))</f>
        <v>https://drive.google.com/file/d/1bUFd8EhwJ36bo-2xBlOdIPnQvw_apZ06/view?usp=drivesdk</v>
      </c>
      <c r="R1669" s="1115" t="s">
        <v>9579</v>
      </c>
      <c r="S1669" s="1115" t="s">
        <v>9580</v>
      </c>
      <c r="T1669" s="68"/>
      <c r="U1669" s="68"/>
      <c r="V1669" s="198" t="str">
        <f t="shared" si="114"/>
        <v>10.1177--2515245918810225.pdf</v>
      </c>
      <c r="W1669" s="159" t="s">
        <v>9616</v>
      </c>
      <c r="X1669" s="54" t="str">
        <f t="array" ref="X1669"> if(iserror(MATCH(V1669, 'File Links'!C:C, 0)), "N/A", HYPERLINK(INDEX('File Links'!B:B, MATCH(V1669, 'File Links'!C:C, 0))))</f>
        <v>https://drive.google.com/file/d/1rGqHLpg3OEGQnWLvlAEJr7JSMWJ2p-Ar/view?usp=drivesdk</v>
      </c>
      <c r="Y1669" s="68"/>
      <c r="Z1669" s="159" t="s">
        <v>226</v>
      </c>
      <c r="AA1669" s="68"/>
      <c r="AB1669" s="159" t="s">
        <v>9643</v>
      </c>
      <c r="AC1669" s="159" t="s">
        <v>9646</v>
      </c>
      <c r="AD1669" s="68"/>
      <c r="AE1669" s="68"/>
      <c r="AF1669" s="156">
        <v>107.0</v>
      </c>
      <c r="AG1669" s="68"/>
      <c r="AH1669" s="68"/>
      <c r="AI1669" s="68"/>
      <c r="AJ1669" s="68"/>
      <c r="AK1669" s="68"/>
      <c r="AL1669" s="68"/>
      <c r="AM1669" s="68"/>
      <c r="AN1669" s="330" t="s">
        <v>138</v>
      </c>
      <c r="AO1669" s="156">
        <v>7197.0</v>
      </c>
      <c r="AP1669" s="68"/>
      <c r="AQ1669" s="68"/>
      <c r="AR1669" s="68"/>
      <c r="AS1669" s="68"/>
      <c r="AT1669" s="68"/>
      <c r="AU1669" s="68"/>
      <c r="AV1669" s="68"/>
      <c r="AW1669" s="1119" t="s">
        <v>9588</v>
      </c>
      <c r="AX1669" s="68"/>
      <c r="AY1669" s="61" t="str">
        <f>IFERROR(__xludf.DUMMYFUNCTION("vlookup(BB1669,importrange(""https://docs.google.com/spreadsheets/d/1d2vevQ_7D_v35q4wCQ4RpQ_IPoTwEMB9Yp6ymwlPqew/edit?gid=984458430#gid=984458430"", ""'replication success'!A:K""), 11, FAlSE)"),"successful")</f>
        <v>successful</v>
      </c>
      <c r="AZ1669" s="61" t="str">
        <f>IFERROR(__xludf.DUMMYFUNCTION("vlookup(BB1669,importrange(""https://docs.google.com/spreadsheets/d/1d2vevQ_7D_v35q4wCQ4RpQ_IPoTwEMB9Yp6ymwlPqew/edit?gid=984458430#gid=984458430"", ""'replication success'!A:M""), 12, FAlSE)"),"This finding is consistent
with the correspondence-bias hypothesis: Participants
inferred the essay writer’s attitude, in part, on the basis of
the writer’s observed behavior.")</f>
        <v>This finding is consistent
with the correspondence-bias hypothesis: Participants
inferred the essay writer’s attitude, in part, on the basis of
the writer’s observed behavior.</v>
      </c>
      <c r="BA1669" s="61" t="str">
        <f>IFERROR(__xludf.DUMMYFUNCTION("vlookup(BB1669,importrange(""https://docs.google.com/spreadsheets/d/1d2vevQ_7D_v35q4wCQ4RpQ_IPoTwEMB9Yp6ymwlPqew/edit?gid=984458430#gid=984458430"", ""'replication success'!A:M""), 13, FAlSE)"),"pg. 14")</f>
        <v>pg. 14</v>
      </c>
      <c r="BB1669" s="61" t="str">
        <f>IFERROR(__xludf.DUMMYFUNCTION("REGEXREPLACE(G1669, ""_[a-z]{1,2}$"", """")"),"Manylabs2_03_1")</f>
        <v>Manylabs2_03_1</v>
      </c>
      <c r="BC1669" s="68"/>
      <c r="BD1669" s="68" t="s">
        <v>5074</v>
      </c>
    </row>
    <row r="1670">
      <c r="A1670" s="44">
        <v>1670.0</v>
      </c>
      <c r="B1670" s="129" t="s">
        <v>152</v>
      </c>
      <c r="C1670" s="62" t="s">
        <v>115</v>
      </c>
      <c r="D1670" s="62" t="s">
        <v>232</v>
      </c>
      <c r="F1670" s="68" t="s">
        <v>9647</v>
      </c>
      <c r="G1670" s="68" t="s">
        <v>9648</v>
      </c>
      <c r="H1670" s="159" t="s">
        <v>6940</v>
      </c>
      <c r="I1670" s="152">
        <v>45687.0</v>
      </c>
      <c r="J1670" s="152">
        <v>45693.0</v>
      </c>
      <c r="K1670" s="159"/>
      <c r="L1670" s="159"/>
      <c r="M1670" s="159" t="s">
        <v>9649</v>
      </c>
      <c r="N1670" s="156">
        <v>3329308.0</v>
      </c>
      <c r="O1670" s="156">
        <v>1.0</v>
      </c>
      <c r="P1670" s="606" t="str">
        <f t="shared" si="118"/>
        <v>3329308.pdf</v>
      </c>
      <c r="Q1670" s="52" t="str">
        <f t="array" ref="Q1670"> if(iserror(MATCH(V1670, 'File Links'!C:C, 0)), "N/A", HYPERLINK(INDEX('File Links'!B:B, MATCH(P1670, 'File Links'!C:C, 0))))</f>
        <v>https://drive.google.com/file/d/1tin9nciEOGqNUz2Yx-ZnwQtqTwJGFR6v/view?usp=drivesdk</v>
      </c>
      <c r="R1670" s="159" t="s">
        <v>9579</v>
      </c>
      <c r="S1670" s="159" t="s">
        <v>9580</v>
      </c>
      <c r="T1670" s="68"/>
      <c r="U1670" s="156">
        <v>5.0</v>
      </c>
      <c r="V1670" s="198" t="str">
        <f t="shared" si="114"/>
        <v>10.1177--2515245918810225.pdf</v>
      </c>
      <c r="W1670" s="68" t="s">
        <v>209</v>
      </c>
      <c r="X1670" s="54" t="str">
        <f t="array" ref="X1670"> if(iserror(MATCH(V1670, 'File Links'!C:C, 0)), "N/A", HYPERLINK(INDEX('File Links'!B:B, MATCH(V1670, 'File Links'!C:C, 0))))</f>
        <v>https://drive.google.com/file/d/1rGqHLpg3OEGQnWLvlAEJr7JSMWJ2p-Ar/view?usp=drivesdk</v>
      </c>
      <c r="Y1670" s="68"/>
      <c r="Z1670" s="159" t="s">
        <v>947</v>
      </c>
      <c r="AA1670" s="159" t="s">
        <v>9650</v>
      </c>
      <c r="AB1670" s="1115" t="s">
        <v>9651</v>
      </c>
      <c r="AC1670" s="151" t="s">
        <v>9652</v>
      </c>
      <c r="AD1670" s="159" t="s">
        <v>9653</v>
      </c>
      <c r="AE1670" s="159" t="s">
        <v>9654</v>
      </c>
      <c r="AF1670" s="156">
        <v>78.0</v>
      </c>
      <c r="AG1670" s="1120">
        <f>(0.82/(1-0.82))/(0.23/(1-0.23))</f>
        <v>15.25120773</v>
      </c>
      <c r="AH1670" s="159" t="s">
        <v>722</v>
      </c>
      <c r="AI1670" s="151" t="s">
        <v>9655</v>
      </c>
      <c r="AJ1670" s="156">
        <v>0.001</v>
      </c>
      <c r="AK1670" s="159" t="s">
        <v>135</v>
      </c>
      <c r="AL1670" s="159" t="s">
        <v>186</v>
      </c>
      <c r="AM1670" s="68" t="s">
        <v>137</v>
      </c>
      <c r="AN1670" s="330" t="s">
        <v>138</v>
      </c>
      <c r="AO1670" s="156">
        <v>7982.0</v>
      </c>
      <c r="AP1670" s="156">
        <v>1.75</v>
      </c>
      <c r="AQ1670" s="159" t="s">
        <v>173</v>
      </c>
      <c r="AR1670" s="159" t="s">
        <v>4345</v>
      </c>
      <c r="AS1670" s="156">
        <v>0.001</v>
      </c>
      <c r="AT1670" s="159" t="s">
        <v>135</v>
      </c>
      <c r="AU1670" s="159" t="s">
        <v>186</v>
      </c>
      <c r="AV1670" s="68" t="s">
        <v>137</v>
      </c>
      <c r="AW1670" s="435" t="s">
        <v>9588</v>
      </c>
      <c r="AX1670" s="68" t="s">
        <v>143</v>
      </c>
      <c r="AY1670" s="61" t="str">
        <f>IFERROR(__xludf.DUMMYFUNCTION("vlookup(BB1670,importrange(""https://docs.google.com/spreadsheets/d/1d2vevQ_7D_v35q4wCQ4RpQ_IPoTwEMB9Yp6ymwlPqew/edit?gid=984458430#gid=984458430"", ""'replication success'!A:K""), 11, FAlSE)"),"successful")</f>
        <v>successful</v>
      </c>
      <c r="AZ1670" s="61" t="str">
        <f>IFERROR(__xludf.DUMMYFUNCTION("vlookup(BB1670,importrange(""https://docs.google.com/spreadsheets/d/1d2vevQ_7D_v35q4wCQ4RpQ_IPoTwEMB9Yp6ymwlPqew/edit?gid=984458430#gid=984458430"", ""'replication success'!A:M""), 12, FAlSE)"),"This is consistent with the original result, and
the effect was somewhat stronger in the replication (d =
1.75, 95% CI = [1.70, 1.80], vs. original d = 1.45).")</f>
        <v>This is consistent with the original result, and
the effect was somewhat stronger in the replication (d =
1.75, 95% CI = [1.70, 1.80], vs. original d = 1.45).</v>
      </c>
      <c r="BA1670" s="61" t="str">
        <f>IFERROR(__xludf.DUMMYFUNCTION("vlookup(BB1670,importrange(""https://docs.google.com/spreadsheets/d/1d2vevQ_7D_v35q4wCQ4RpQ_IPoTwEMB9Yp6ymwlPqew/edit?gid=984458430#gid=984458430"", ""'replication success'!A:M""), 13, FAlSE)"),"pg. 24")</f>
        <v>pg. 24</v>
      </c>
      <c r="BB1670" s="61" t="str">
        <f>IFERROR(__xludf.DUMMYFUNCTION("REGEXREPLACE(G1670, ""_[a-z]{1,2}$"", """")"),"Manylabs2_04_1")</f>
        <v>Manylabs2_04_1</v>
      </c>
      <c r="BC1670" s="68"/>
      <c r="BD1670" s="129" t="s">
        <v>6985</v>
      </c>
    </row>
    <row r="1671">
      <c r="A1671" s="44">
        <v>1671.0</v>
      </c>
      <c r="B1671" s="68" t="s">
        <v>114</v>
      </c>
      <c r="C1671" s="62" t="s">
        <v>115</v>
      </c>
      <c r="D1671" s="62" t="s">
        <v>145</v>
      </c>
      <c r="F1671" s="68" t="s">
        <v>9647</v>
      </c>
      <c r="G1671" s="68" t="s">
        <v>9648</v>
      </c>
      <c r="H1671" s="678" t="s">
        <v>5592</v>
      </c>
      <c r="I1671" s="152">
        <v>45669.0</v>
      </c>
      <c r="J1671" s="152">
        <v>45693.0</v>
      </c>
      <c r="K1671" s="159" t="s">
        <v>9656</v>
      </c>
      <c r="L1671" s="68"/>
      <c r="M1671" s="68" t="s">
        <v>9657</v>
      </c>
      <c r="N1671" s="68" t="s">
        <v>9658</v>
      </c>
      <c r="O1671" s="156">
        <v>1.0</v>
      </c>
      <c r="P1671" s="606" t="str">
        <f t="shared" si="118"/>
        <v>10.1007--s11098-004-4510-0.pdf</v>
      </c>
      <c r="Q1671" s="52" t="str">
        <f t="array" ref="Q1671"> if(iserror(MATCH(V1671, 'File Links'!C:C, 0)), "N/A", HYPERLINK(INDEX('File Links'!B:B, MATCH(P1671, 'File Links'!C:C, 0))))</f>
        <v>https://drive.google.com/file/d/1O4qy3ZvKUUKMZck64Co6Vh7IIH6aPDik/view?usp=drivesdk</v>
      </c>
      <c r="R1671" s="1115" t="s">
        <v>9579</v>
      </c>
      <c r="S1671" s="1115" t="s">
        <v>9580</v>
      </c>
      <c r="T1671" s="68"/>
      <c r="U1671" s="68"/>
      <c r="V1671" s="198" t="str">
        <f t="shared" si="114"/>
        <v>10.1177--2515245918810225.pdf</v>
      </c>
      <c r="W1671" s="1300" t="s">
        <v>209</v>
      </c>
      <c r="X1671" s="54" t="str">
        <f t="array" ref="X1671"> if(iserror(MATCH(V1671, 'File Links'!C:C, 0)), "N/A", HYPERLINK(INDEX('File Links'!B:B, MATCH(V1671, 'File Links'!C:C, 0))))</f>
        <v>https://drive.google.com/file/d/1rGqHLpg3OEGQnWLvlAEJr7JSMWJ2p-Ar/view?usp=drivesdk</v>
      </c>
      <c r="Y1671" s="68"/>
      <c r="Z1671" s="159" t="s">
        <v>226</v>
      </c>
      <c r="AA1671" s="159" t="s">
        <v>9617</v>
      </c>
      <c r="AB1671" s="159" t="s">
        <v>9651</v>
      </c>
      <c r="AC1671" s="68"/>
      <c r="AD1671" s="68"/>
      <c r="AE1671" s="68"/>
      <c r="AF1671" s="68"/>
      <c r="AG1671" s="68"/>
      <c r="AH1671" s="68"/>
      <c r="AI1671" s="68"/>
      <c r="AJ1671" s="68"/>
      <c r="AK1671" s="68"/>
      <c r="AL1671" s="68"/>
      <c r="AM1671" s="68"/>
      <c r="AN1671" s="330" t="s">
        <v>138</v>
      </c>
      <c r="AO1671" s="68"/>
      <c r="AP1671" s="68"/>
      <c r="AQ1671" s="68"/>
      <c r="AR1671" s="68"/>
      <c r="AS1671" s="68"/>
      <c r="AT1671" s="68"/>
      <c r="AU1671" s="68"/>
      <c r="AV1671" s="68"/>
      <c r="AW1671" s="1119" t="s">
        <v>9588</v>
      </c>
      <c r="AX1671" s="68"/>
      <c r="AY1671" s="61" t="str">
        <f>IFERROR(__xludf.DUMMYFUNCTION("vlookup(BB1671,importrange(""https://docs.google.com/spreadsheets/d/1d2vevQ_7D_v35q4wCQ4RpQ_IPoTwEMB9Yp6ymwlPqew/edit?gid=984458430#gid=984458430"", ""'replication success'!A:K""), 11, FAlSE)"),"successful")</f>
        <v>successful</v>
      </c>
      <c r="AZ1671" s="61" t="str">
        <f>IFERROR(__xludf.DUMMYFUNCTION("vlookup(BB1671,importrange(""https://docs.google.com/spreadsheets/d/1d2vevQ_7D_v35q4wCQ4RpQ_IPoTwEMB9Yp6ymwlPqew/edit?gid=984458430#gid=984458430"", ""'replication success'!A:M""), 12, FAlSE)"),"This is consistent with the original result, and
the effect was somewhat stronger in the replication (d =
1.75, 95% CI = [1.70, 1.80], vs. original d = 1.45).")</f>
        <v>This is consistent with the original result, and
the effect was somewhat stronger in the replication (d =
1.75, 95% CI = [1.70, 1.80], vs. original d = 1.45).</v>
      </c>
      <c r="BA1671" s="61" t="str">
        <f>IFERROR(__xludf.DUMMYFUNCTION("vlookup(BB1671,importrange(""https://docs.google.com/spreadsheets/d/1d2vevQ_7D_v35q4wCQ4RpQ_IPoTwEMB9Yp6ymwlPqew/edit?gid=984458430#gid=984458430"", ""'replication success'!A:M""), 13, FAlSE)"),"pg. 24")</f>
        <v>pg. 24</v>
      </c>
      <c r="BB1671" s="61" t="str">
        <f>IFERROR(__xludf.DUMMYFUNCTION("REGEXREPLACE(G1671, ""_[a-z]{1,2}$"", """")"),"Manylabs2_04_1")</f>
        <v>Manylabs2_04_1</v>
      </c>
      <c r="BC1671" s="68"/>
      <c r="BD1671" s="68" t="s">
        <v>5074</v>
      </c>
    </row>
    <row r="1672">
      <c r="A1672" s="44">
        <v>1672.0</v>
      </c>
      <c r="B1672" s="129" t="s">
        <v>152</v>
      </c>
      <c r="C1672" s="62" t="s">
        <v>115</v>
      </c>
      <c r="D1672" s="62" t="s">
        <v>232</v>
      </c>
      <c r="F1672" s="68" t="s">
        <v>9659</v>
      </c>
      <c r="G1672" s="68" t="s">
        <v>9660</v>
      </c>
      <c r="H1672" s="159" t="s">
        <v>6940</v>
      </c>
      <c r="I1672" s="152">
        <v>45687.0</v>
      </c>
      <c r="J1672" s="152">
        <v>45693.0</v>
      </c>
      <c r="K1672" s="159" t="s">
        <v>9661</v>
      </c>
      <c r="L1672" s="159" t="s">
        <v>9662</v>
      </c>
      <c r="M1672" s="159" t="s">
        <v>9663</v>
      </c>
      <c r="N1672" s="159" t="s">
        <v>9664</v>
      </c>
      <c r="O1672" s="1116" t="s">
        <v>9665</v>
      </c>
      <c r="P1672" s="606" t="str">
        <f t="shared" si="118"/>
        <v>10.1111-- j.1468-0017.2006.00297.x.pdf</v>
      </c>
      <c r="Q1672" s="52" t="str">
        <f t="array" ref="Q1672"> if(iserror(MATCH(V1672, 'File Links'!C:C, 0)), "N/A", HYPERLINK(INDEX('File Links'!B:B, MATCH(P1672, 'File Links'!C:C, 0))))</f>
        <v>https://drive.google.com/file/d/1H2OS8Rk6wh8PVpv13iom_WUpLu0fEeBU/view?usp=drivesdk</v>
      </c>
      <c r="R1672" s="159" t="s">
        <v>9579</v>
      </c>
      <c r="S1672" s="159" t="s">
        <v>9580</v>
      </c>
      <c r="T1672" s="68"/>
      <c r="U1672" s="156">
        <v>6.0</v>
      </c>
      <c r="V1672" s="198" t="str">
        <f t="shared" si="114"/>
        <v>10.1177--2515245918810225.pdf</v>
      </c>
      <c r="W1672" s="68" t="s">
        <v>209</v>
      </c>
      <c r="X1672" s="54" t="str">
        <f t="array" ref="X1672"> if(iserror(MATCH(V1672, 'File Links'!C:C, 0)), "N/A", HYPERLINK(INDEX('File Links'!B:B, MATCH(V1672, 'File Links'!C:C, 0))))</f>
        <v>https://drive.google.com/file/d/1rGqHLpg3OEGQnWLvlAEJr7JSMWJ2p-Ar/view?usp=drivesdk</v>
      </c>
      <c r="Y1672" s="68"/>
      <c r="Z1672" s="1115" t="s">
        <v>226</v>
      </c>
      <c r="AA1672" s="159" t="s">
        <v>9666</v>
      </c>
      <c r="AB1672" s="159" t="s">
        <v>9667</v>
      </c>
      <c r="AC1672" s="151" t="s">
        <v>9668</v>
      </c>
      <c r="AD1672" s="151" t="s">
        <v>9669</v>
      </c>
      <c r="AE1672" s="68" t="s">
        <v>132</v>
      </c>
      <c r="AF1672" s="156">
        <v>2646.0</v>
      </c>
      <c r="AG1672" s="156">
        <f>(0.89/(1-0.89))/(0.11/(1-0.11))</f>
        <v>65.46280992</v>
      </c>
      <c r="AH1672" s="151" t="s">
        <v>722</v>
      </c>
      <c r="AI1672" s="151" t="s">
        <v>9670</v>
      </c>
      <c r="AJ1672" s="156">
        <v>0.001</v>
      </c>
      <c r="AK1672" s="159" t="s">
        <v>135</v>
      </c>
      <c r="AL1672" s="1116" t="s">
        <v>186</v>
      </c>
      <c r="AM1672" s="68" t="s">
        <v>137</v>
      </c>
      <c r="AN1672" s="330" t="s">
        <v>138</v>
      </c>
      <c r="AO1672" s="156">
        <v>6842.0</v>
      </c>
      <c r="AP1672" s="156">
        <v>1.35</v>
      </c>
      <c r="AQ1672" s="159" t="s">
        <v>173</v>
      </c>
      <c r="AR1672" s="159" t="s">
        <v>9671</v>
      </c>
      <c r="AS1672" s="1093">
        <f>IFERROR(__xludf.DUMMYFUNCTION("2.2*10^-16"),2.2000000000000002E-16)</f>
        <v>0</v>
      </c>
      <c r="AT1672" s="159" t="s">
        <v>172</v>
      </c>
      <c r="AU1672" s="159" t="s">
        <v>186</v>
      </c>
      <c r="AV1672" s="68" t="s">
        <v>137</v>
      </c>
      <c r="AW1672" s="435" t="s">
        <v>9588</v>
      </c>
      <c r="AX1672" s="68" t="s">
        <v>143</v>
      </c>
      <c r="AY1672" s="61" t="str">
        <f>IFERROR(__xludf.DUMMYFUNCTION("vlookup(BB1672,importrange(""https://docs.google.com/spreadsheets/d/1d2vevQ_7D_v35q4wCQ4RpQ_IPoTwEMB9Yp6ymwlPqew/edit?gid=984458430#gid=984458430"", ""'replication success'!A:K""), 11, FAlSE)"),"successful")</f>
        <v>successful</v>
      </c>
      <c r="AZ1672" s="61" t="str">
        <f>IFERROR(__xludf.DUMMYFUNCTION("vlookup(BB1672,importrange(""https://docs.google.com/spreadsheets/d/1d2vevQ_7D_v35q4wCQ4RpQ_IPoTwEMB9Yp6ymwlPqew/edit?gid=984458430#gid=984458430"", ""'replication success'!A:M""), 12, FAlSE)"),"The replication results were consistent with
the double-effect hypothesis, and the effect was about
half the magnitude of the original (d = 1.35, 95% CI =
[1.28, 1.41], vs. original d = 2.50).")</f>
        <v>The replication results were consistent with
the double-effect hypothesis, and the effect was about
half the magnitude of the original (d = 1.35, 95% CI =
[1.28, 1.41], vs. original d = 2.50).</v>
      </c>
      <c r="BA1672" s="61" t="str">
        <f>IFERROR(__xludf.DUMMYFUNCTION("vlookup(BB1672,importrange(""https://docs.google.com/spreadsheets/d/1d2vevQ_7D_v35q4wCQ4RpQ_IPoTwEMB9Yp6ymwlPqew/edit?gid=984458430#gid=984458430"", ""'replication success'!A:M""), 13, FAlSE)"),"pg. 17")</f>
        <v>pg. 17</v>
      </c>
      <c r="BB1672" s="61" t="str">
        <f>IFERROR(__xludf.DUMMYFUNCTION("REGEXREPLACE(G1672, ""_[a-z]{1,2}$"", """")"),"Manylabs2_05_1")</f>
        <v>Manylabs2_05_1</v>
      </c>
      <c r="BC1672" s="68"/>
      <c r="BD1672" s="129" t="s">
        <v>6985</v>
      </c>
    </row>
    <row r="1673">
      <c r="A1673" s="44">
        <v>1673.0</v>
      </c>
      <c r="B1673" s="68" t="s">
        <v>114</v>
      </c>
      <c r="C1673" s="62" t="s">
        <v>115</v>
      </c>
      <c r="D1673" s="62" t="s">
        <v>145</v>
      </c>
      <c r="F1673" s="68" t="s">
        <v>9659</v>
      </c>
      <c r="G1673" s="68" t="s">
        <v>9660</v>
      </c>
      <c r="H1673" s="678" t="s">
        <v>5592</v>
      </c>
      <c r="I1673" s="152">
        <v>45667.0</v>
      </c>
      <c r="J1673" s="152">
        <v>45693.0</v>
      </c>
      <c r="K1673" s="68"/>
      <c r="L1673" s="68"/>
      <c r="M1673" s="68" t="s">
        <v>9663</v>
      </c>
      <c r="N1673" s="68" t="s">
        <v>9664</v>
      </c>
      <c r="O1673" s="159" t="s">
        <v>9672</v>
      </c>
      <c r="P1673" s="606" t="str">
        <f t="shared" si="118"/>
        <v>10.1111-- j.1468-0017.2006.00297.x.pdf</v>
      </c>
      <c r="Q1673" s="52" t="str">
        <f t="array" ref="Q1673"> if(iserror(MATCH(V1673, 'File Links'!C:C, 0)), "N/A", HYPERLINK(INDEX('File Links'!B:B, MATCH(P1673, 'File Links'!C:C, 0))))</f>
        <v>https://drive.google.com/file/d/1H2OS8Rk6wh8PVpv13iom_WUpLu0fEeBU/view?usp=drivesdk</v>
      </c>
      <c r="R1673" s="1115" t="s">
        <v>9579</v>
      </c>
      <c r="S1673" s="1115" t="s">
        <v>9580</v>
      </c>
      <c r="T1673" s="68"/>
      <c r="U1673" s="68"/>
      <c r="V1673" s="198" t="str">
        <f t="shared" si="114"/>
        <v>10.1177--2515245918810225.pdf</v>
      </c>
      <c r="W1673" s="1300" t="s">
        <v>209</v>
      </c>
      <c r="X1673" s="54" t="str">
        <f t="array" ref="X1673"> if(iserror(MATCH(V1673, 'File Links'!C:C, 0)), "N/A", HYPERLINK(INDEX('File Links'!B:B, MATCH(V1673, 'File Links'!C:C, 0))))</f>
        <v>https://drive.google.com/file/d/1rGqHLpg3OEGQnWLvlAEJr7JSMWJ2p-Ar/view?usp=drivesdk</v>
      </c>
      <c r="Y1673" s="68"/>
      <c r="Z1673" s="159" t="s">
        <v>226</v>
      </c>
      <c r="AA1673" s="68"/>
      <c r="AB1673" s="159" t="s">
        <v>9667</v>
      </c>
      <c r="AC1673" s="159" t="s">
        <v>9673</v>
      </c>
      <c r="AD1673" s="159" t="s">
        <v>9674</v>
      </c>
      <c r="AE1673" s="156">
        <v>7.0</v>
      </c>
      <c r="AF1673" s="156">
        <v>2646.0</v>
      </c>
      <c r="AG1673" s="156">
        <v>0.78</v>
      </c>
      <c r="AH1673" s="151" t="s">
        <v>271</v>
      </c>
      <c r="AI1673" s="159" t="s">
        <v>132</v>
      </c>
      <c r="AJ1673" s="156">
        <v>0.001</v>
      </c>
      <c r="AK1673" s="159" t="s">
        <v>135</v>
      </c>
      <c r="AL1673" s="159" t="s">
        <v>218</v>
      </c>
      <c r="AM1673" s="68" t="s">
        <v>1905</v>
      </c>
      <c r="AN1673" s="330" t="s">
        <v>138</v>
      </c>
      <c r="AO1673" s="156">
        <v>6842.0</v>
      </c>
      <c r="AP1673" s="156">
        <v>11.54</v>
      </c>
      <c r="AQ1673" s="159" t="s">
        <v>722</v>
      </c>
      <c r="AR1673" s="1060" t="s">
        <v>305</v>
      </c>
      <c r="AS1673" s="1061">
        <v>2.2E-16</v>
      </c>
      <c r="AT1673" s="159" t="s">
        <v>172</v>
      </c>
      <c r="AU1673" s="1060" t="s">
        <v>186</v>
      </c>
      <c r="AV1673" s="68" t="s">
        <v>137</v>
      </c>
      <c r="AW1673" s="1119" t="s">
        <v>9588</v>
      </c>
      <c r="AX1673" s="68" t="s">
        <v>143</v>
      </c>
      <c r="AY1673" s="61" t="str">
        <f>IFERROR(__xludf.DUMMYFUNCTION("vlookup(BB1673,importrange(""https://docs.google.com/spreadsheets/d/1d2vevQ_7D_v35q4wCQ4RpQ_IPoTwEMB9Yp6ymwlPqew/edit?gid=984458430#gid=984458430"", ""'replication success'!A:K""), 11, FAlSE)"),"successful")</f>
        <v>successful</v>
      </c>
      <c r="AZ1673" s="61" t="str">
        <f>IFERROR(__xludf.DUMMYFUNCTION("vlookup(BB1673,importrange(""https://docs.google.com/spreadsheets/d/1d2vevQ_7D_v35q4wCQ4RpQ_IPoTwEMB9Yp6ymwlPqew/edit?gid=984458430#gid=984458430"", ""'replication success'!A:M""), 12, FAlSE)"),"The replication results were consistent with
the double-effect hypothesis, and the effect was about
half the magnitude of the original (d = 1.35, 95% CI =
[1.28, 1.41], vs. original d = 2.50).")</f>
        <v>The replication results were consistent with
the double-effect hypothesis, and the effect was about
half the magnitude of the original (d = 1.35, 95% CI =
[1.28, 1.41], vs. original d = 2.50).</v>
      </c>
      <c r="BA1673" s="61" t="str">
        <f>IFERROR(__xludf.DUMMYFUNCTION("vlookup(BB1673,importrange(""https://docs.google.com/spreadsheets/d/1d2vevQ_7D_v35q4wCQ4RpQ_IPoTwEMB9Yp6ymwlPqew/edit?gid=984458430#gid=984458430"", ""'replication success'!A:M""), 13, FAlSE)"),"pg. 17")</f>
        <v>pg. 17</v>
      </c>
      <c r="BB1673" s="61" t="str">
        <f>IFERROR(__xludf.DUMMYFUNCTION("REGEXREPLACE(G1673, ""_[a-z]{1,2}$"", """")"),"Manylabs2_05_1")</f>
        <v>Manylabs2_05_1</v>
      </c>
      <c r="BC1673" s="68"/>
      <c r="BD1673" s="68" t="s">
        <v>5074</v>
      </c>
    </row>
    <row r="1674">
      <c r="A1674" s="44">
        <v>1674.0</v>
      </c>
      <c r="B1674" s="129" t="s">
        <v>152</v>
      </c>
      <c r="C1674" s="62" t="s">
        <v>115</v>
      </c>
      <c r="D1674" s="62" t="s">
        <v>232</v>
      </c>
      <c r="F1674" s="68" t="s">
        <v>9675</v>
      </c>
      <c r="G1674" s="159" t="s">
        <v>9676</v>
      </c>
      <c r="H1674" s="159" t="s">
        <v>6940</v>
      </c>
      <c r="I1674" s="152">
        <v>45687.0</v>
      </c>
      <c r="J1674" s="152">
        <v>45693.0</v>
      </c>
      <c r="K1674" s="159" t="s">
        <v>9677</v>
      </c>
      <c r="L1674" s="159"/>
      <c r="M1674" s="159" t="s">
        <v>9678</v>
      </c>
      <c r="N1674" s="159" t="s">
        <v>9679</v>
      </c>
      <c r="O1674" s="161" t="s">
        <v>4092</v>
      </c>
      <c r="P1674" s="606" t="str">
        <f t="shared" si="118"/>
        <v>10.1016--0022-1031(77)90049-x.pdf</v>
      </c>
      <c r="Q1674" s="52" t="str">
        <f t="array" ref="Q1674"> if(iserror(MATCH(V1674, 'File Links'!C:C, 0)), "N/A", HYPERLINK(INDEX('File Links'!B:B, MATCH(P1674, 'File Links'!C:C, 0))))</f>
        <v>https://drive.google.com/file/d/16b2RhNig_5iqWitXUKqz28-xsE4N6txd/view?usp=drivesdk</v>
      </c>
      <c r="R1674" s="159" t="s">
        <v>9579</v>
      </c>
      <c r="S1674" s="159" t="s">
        <v>9580</v>
      </c>
      <c r="T1674" s="68"/>
      <c r="U1674" s="156">
        <v>7.0</v>
      </c>
      <c r="V1674" s="198" t="str">
        <f t="shared" si="114"/>
        <v>10.1177--2515245918810225.pdf</v>
      </c>
      <c r="W1674" s="68" t="s">
        <v>209</v>
      </c>
      <c r="X1674" s="54" t="str">
        <f t="array" ref="X1674"> if(iserror(MATCH(V1674, 'File Links'!C:C, 0)), "N/A", HYPERLINK(INDEX('File Links'!B:B, MATCH(V1674, 'File Links'!C:C, 0))))</f>
        <v>https://drive.google.com/file/d/1rGqHLpg3OEGQnWLvlAEJr7JSMWJ2p-Ar/view?usp=drivesdk</v>
      </c>
      <c r="Y1674" s="68"/>
      <c r="Z1674" s="1115" t="s">
        <v>226</v>
      </c>
      <c r="AA1674" s="159" t="s">
        <v>9680</v>
      </c>
      <c r="AB1674" s="1115" t="s">
        <v>9681</v>
      </c>
      <c r="AC1674" s="159" t="s">
        <v>9682</v>
      </c>
      <c r="AD1674" s="151" t="s">
        <v>9683</v>
      </c>
      <c r="AE1674" s="159" t="s">
        <v>9654</v>
      </c>
      <c r="AF1674" s="156">
        <v>80.0</v>
      </c>
      <c r="AG1674" s="151" t="s">
        <v>9684</v>
      </c>
      <c r="AH1674" s="159" t="s">
        <v>134</v>
      </c>
      <c r="AI1674" s="159" t="s">
        <v>9685</v>
      </c>
      <c r="AJ1674" s="156">
        <v>0.001</v>
      </c>
      <c r="AK1674" s="159" t="s">
        <v>135</v>
      </c>
      <c r="AL1674" s="159" t="s">
        <v>186</v>
      </c>
      <c r="AM1674" s="68" t="s">
        <v>137</v>
      </c>
      <c r="AN1674" s="330" t="s">
        <v>138</v>
      </c>
      <c r="AO1674" s="156">
        <v>7205.0</v>
      </c>
      <c r="AP1674" s="156">
        <v>1.18</v>
      </c>
      <c r="AQ1674" s="159" t="s">
        <v>173</v>
      </c>
      <c r="AR1674" s="159" t="s">
        <v>9686</v>
      </c>
      <c r="AS1674" s="1093">
        <f>IFERROR(__xludf.DUMMYFUNCTION("2.2*10^-16"),2.2000000000000002E-16)</f>
        <v>0</v>
      </c>
      <c r="AT1674" s="1115" t="s">
        <v>172</v>
      </c>
      <c r="AU1674" s="159" t="s">
        <v>186</v>
      </c>
      <c r="AV1674" s="68" t="s">
        <v>137</v>
      </c>
      <c r="AW1674" s="435" t="s">
        <v>9588</v>
      </c>
      <c r="AX1674" s="68" t="s">
        <v>143</v>
      </c>
      <c r="AY1674" s="61" t="str">
        <f>IFERROR(__xludf.DUMMYFUNCTION("vlookup(BB1674,importrange(""https://docs.google.com/spreadsheets/d/1d2vevQ_7D_v35q4wCQ4RpQ_IPoTwEMB9Yp6ymwlPqew/edit?gid=984458430#gid=984458430"", ""'replication success'!A:K""), 11, FAlSE)"),"successful")</f>
        <v>successful</v>
      </c>
      <c r="AZ1674" s="61" t="str">
        <f>IFERROR(__xludf.DUMMYFUNCTION("vlookup(BB1674,importrange(""https://docs.google.com/spreadsheets/d/1d2vevQ_7D_v35q4wCQ4RpQ_IPoTwEMB9Yp6ymwlPqew/edit?gid=984458430#gid=984458430"", ""'replication success'!A:M""), 12, FAlSE)"),"This result
is consistent with the hypothesis that participants’
choices are positively correlated with their perception
of the percentage of other people who would make the
same choice.")</f>
        <v>This result
is consistent with the hypothesis that participants’
choices are positively correlated with their perception
of the percentage of other people who would make the
same choice.</v>
      </c>
      <c r="BA1674" s="61" t="str">
        <f>IFERROR(__xludf.DUMMYFUNCTION("vlookup(BB1674,importrange(""https://docs.google.com/spreadsheets/d/1d2vevQ_7D_v35q4wCQ4RpQ_IPoTwEMB9Yp6ymwlPqew/edit?gid=984458430#gid=984458430"", ""'replication success'!A:M""), 13, FAlSE)"),"pg. 17")</f>
        <v>pg. 17</v>
      </c>
      <c r="BB1674" s="61" t="str">
        <f>IFERROR(__xludf.DUMMYFUNCTION("REGEXREPLACE(G1674, ""_[a-z]{1,2}$"", """")"),"Manylabs2_06_1")</f>
        <v>Manylabs2_06_1</v>
      </c>
      <c r="BC1674" s="68"/>
      <c r="BD1674" s="129" t="s">
        <v>6985</v>
      </c>
    </row>
    <row r="1675">
      <c r="A1675" s="44">
        <v>1675.0</v>
      </c>
      <c r="B1675" s="129" t="s">
        <v>152</v>
      </c>
      <c r="C1675" s="62" t="s">
        <v>115</v>
      </c>
      <c r="D1675" s="62" t="s">
        <v>232</v>
      </c>
      <c r="F1675" s="68" t="s">
        <v>9675</v>
      </c>
      <c r="G1675" s="159" t="s">
        <v>9687</v>
      </c>
      <c r="H1675" s="159" t="s">
        <v>6940</v>
      </c>
      <c r="I1675" s="152">
        <v>45687.0</v>
      </c>
      <c r="J1675" s="152">
        <v>45693.0</v>
      </c>
      <c r="K1675" s="68"/>
      <c r="L1675" s="68"/>
      <c r="M1675" s="159" t="s">
        <v>9688</v>
      </c>
      <c r="N1675" s="159" t="s">
        <v>9679</v>
      </c>
      <c r="O1675" s="161" t="s">
        <v>5535</v>
      </c>
      <c r="P1675" s="606" t="str">
        <f t="shared" si="118"/>
        <v>10.1016--0022-1031(77)90049-x.pdf</v>
      </c>
      <c r="Q1675" s="52" t="str">
        <f t="array" ref="Q1675"> if(iserror(MATCH(V1675, 'File Links'!C:C, 0)), "N/A", HYPERLINK(INDEX('File Links'!B:B, MATCH(P1675, 'File Links'!C:C, 0))))</f>
        <v>https://drive.google.com/file/d/16b2RhNig_5iqWitXUKqz28-xsE4N6txd/view?usp=drivesdk</v>
      </c>
      <c r="R1675" s="159" t="s">
        <v>9579</v>
      </c>
      <c r="S1675" s="159" t="s">
        <v>9580</v>
      </c>
      <c r="T1675" s="68"/>
      <c r="U1675" s="156">
        <v>9.0</v>
      </c>
      <c r="V1675" s="198" t="str">
        <f t="shared" si="114"/>
        <v>10.1177--2515245918810225.pdf</v>
      </c>
      <c r="W1675" s="68" t="s">
        <v>209</v>
      </c>
      <c r="X1675" s="54" t="str">
        <f t="array" ref="X1675"> if(iserror(MATCH(V1675, 'File Links'!C:C, 0)), "N/A", HYPERLINK(INDEX('File Links'!B:B, MATCH(V1675, 'File Links'!C:C, 0))))</f>
        <v>https://drive.google.com/file/d/1rGqHLpg3OEGQnWLvlAEJr7JSMWJ2p-Ar/view?usp=drivesdk</v>
      </c>
      <c r="Y1675" s="68"/>
      <c r="Z1675" s="1115" t="s">
        <v>226</v>
      </c>
      <c r="AA1675" s="159" t="s">
        <v>9680</v>
      </c>
      <c r="AB1675" s="1115" t="s">
        <v>9681</v>
      </c>
      <c r="AC1675" s="159" t="s">
        <v>9689</v>
      </c>
      <c r="AD1675" s="151" t="s">
        <v>9690</v>
      </c>
      <c r="AE1675" s="159" t="s">
        <v>9654</v>
      </c>
      <c r="AF1675" s="156">
        <v>80.0</v>
      </c>
      <c r="AG1675" s="151" t="s">
        <v>9691</v>
      </c>
      <c r="AH1675" s="159" t="s">
        <v>134</v>
      </c>
      <c r="AI1675" s="159" t="s">
        <v>9685</v>
      </c>
      <c r="AJ1675" s="156">
        <v>0.001</v>
      </c>
      <c r="AK1675" s="159" t="s">
        <v>135</v>
      </c>
      <c r="AL1675" s="159" t="s">
        <v>186</v>
      </c>
      <c r="AM1675" s="68" t="s">
        <v>137</v>
      </c>
      <c r="AN1675" s="330" t="s">
        <v>138</v>
      </c>
      <c r="AO1675" s="156">
        <v>7827.0</v>
      </c>
      <c r="AP1675" s="156">
        <v>0.95</v>
      </c>
      <c r="AQ1675" s="159" t="s">
        <v>173</v>
      </c>
      <c r="AR1675" s="159" t="s">
        <v>9686</v>
      </c>
      <c r="AS1675" s="1093">
        <f>IFERROR(__xludf.DUMMYFUNCTION("2.2*10^-16"),2.2000000000000002E-16)</f>
        <v>0</v>
      </c>
      <c r="AT1675" s="1115" t="s">
        <v>172</v>
      </c>
      <c r="AU1675" s="159" t="s">
        <v>186</v>
      </c>
      <c r="AV1675" s="68" t="s">
        <v>137</v>
      </c>
      <c r="AW1675" s="435" t="s">
        <v>9588</v>
      </c>
      <c r="AX1675" s="68" t="s">
        <v>143</v>
      </c>
      <c r="AY1675" s="61" t="str">
        <f>IFERROR(__xludf.DUMMYFUNCTION("vlookup(BB1675,importrange(""https://docs.google.com/spreadsheets/d/1d2vevQ_7D_v35q4wCQ4RpQ_IPoTwEMB9Yp6ymwlPqew/edit?gid=984458430#gid=984458430"", ""'replication success'!A:K""), 11, FAlSE)"),"successful")</f>
        <v>successful</v>
      </c>
      <c r="AZ1675" s="61" t="str">
        <f>IFERROR(__xludf.DUMMYFUNCTION("vlookup(BB1675,importrange(""https://docs.google.com/spreadsheets/d/1d2vevQ_7D_v35q4wCQ4RpQ_IPoTwEMB9Yp6ymwlPqew/edit?gid=984458430#gid=984458430"", ""'replication success'!A:M""), 12, FAlSE)"),"This result
is consistent with the hypothesis that participants’
choices are positively correlated with their perception
of the percentage of other people who would make the
same choice.")</f>
        <v>This result
is consistent with the hypothesis that participants’
choices are positively correlated with their perception
of the percentage of other people who would make the
same choice.</v>
      </c>
      <c r="BA1675" s="61" t="str">
        <f>IFERROR(__xludf.DUMMYFUNCTION("vlookup(BB1675,importrange(""https://docs.google.com/spreadsheets/d/1d2vevQ_7D_v35q4wCQ4RpQ_IPoTwEMB9Yp6ymwlPqew/edit?gid=984458430#gid=984458430"", ""'replication success'!A:M""), 13, FAlSE)"),"pg. 17")</f>
        <v>pg. 17</v>
      </c>
      <c r="BB1675" s="61" t="str">
        <f>IFERROR(__xludf.DUMMYFUNCTION("REGEXREPLACE(G1675, ""_[a-z]{1,2}$"", """")"),"Manylabs2_06_1")</f>
        <v>Manylabs2_06_1</v>
      </c>
      <c r="BC1675" s="68"/>
      <c r="BD1675" s="129" t="s">
        <v>6985</v>
      </c>
    </row>
    <row r="1676">
      <c r="A1676" s="44">
        <v>1676.0</v>
      </c>
      <c r="B1676" s="68" t="s">
        <v>114</v>
      </c>
      <c r="C1676" s="62" t="s">
        <v>115</v>
      </c>
      <c r="D1676" s="62" t="s">
        <v>145</v>
      </c>
      <c r="F1676" s="68" t="s">
        <v>9675</v>
      </c>
      <c r="G1676" s="159" t="s">
        <v>9676</v>
      </c>
      <c r="H1676" s="678" t="s">
        <v>5592</v>
      </c>
      <c r="I1676" s="152">
        <v>45673.0</v>
      </c>
      <c r="J1676" s="152">
        <v>45693.0</v>
      </c>
      <c r="K1676" s="68"/>
      <c r="L1676" s="68"/>
      <c r="M1676" s="68" t="s">
        <v>9692</v>
      </c>
      <c r="N1676" s="68" t="s">
        <v>9679</v>
      </c>
      <c r="O1676" s="156">
        <v>1.0</v>
      </c>
      <c r="P1676" s="606" t="str">
        <f t="shared" si="118"/>
        <v>10.1016--0022-1031(77)90049-x.pdf</v>
      </c>
      <c r="Q1676" s="52" t="str">
        <f t="array" ref="Q1676"> if(iserror(MATCH(V1676, 'File Links'!C:C, 0)), "N/A", HYPERLINK(INDEX('File Links'!B:B, MATCH(P1676, 'File Links'!C:C, 0))))</f>
        <v>https://drive.google.com/file/d/16b2RhNig_5iqWitXUKqz28-xsE4N6txd/view?usp=drivesdk</v>
      </c>
      <c r="R1676" s="1115" t="s">
        <v>9579</v>
      </c>
      <c r="S1676" s="1115" t="s">
        <v>9580</v>
      </c>
      <c r="T1676" s="68"/>
      <c r="U1676" s="68"/>
      <c r="V1676" s="198" t="str">
        <f t="shared" si="114"/>
        <v>10.1177--2515245918810225.pdf</v>
      </c>
      <c r="W1676" s="1300" t="s">
        <v>209</v>
      </c>
      <c r="X1676" s="54" t="str">
        <f t="array" ref="X1676"> if(iserror(MATCH(V1676, 'File Links'!C:C, 0)), "N/A", HYPERLINK(INDEX('File Links'!B:B, MATCH(V1676, 'File Links'!C:C, 0))))</f>
        <v>https://drive.google.com/file/d/1rGqHLpg3OEGQnWLvlAEJr7JSMWJ2p-Ar/view?usp=drivesdk</v>
      </c>
      <c r="Y1676" s="68"/>
      <c r="Z1676" s="159" t="s">
        <v>226</v>
      </c>
      <c r="AA1676" s="159" t="s">
        <v>9693</v>
      </c>
      <c r="AB1676" s="159" t="s">
        <v>9681</v>
      </c>
      <c r="AC1676" s="159" t="s">
        <v>9694</v>
      </c>
      <c r="AD1676" s="159" t="s">
        <v>9695</v>
      </c>
      <c r="AE1676" s="156">
        <v>7.0</v>
      </c>
      <c r="AF1676" s="156">
        <v>80.0</v>
      </c>
      <c r="AG1676" s="1060" t="s">
        <v>9696</v>
      </c>
      <c r="AH1676" s="159" t="s">
        <v>134</v>
      </c>
      <c r="AI1676" s="159" t="s">
        <v>813</v>
      </c>
      <c r="AJ1676" s="156">
        <v>0.001</v>
      </c>
      <c r="AK1676" s="159" t="s">
        <v>135</v>
      </c>
      <c r="AL1676" s="159" t="s">
        <v>186</v>
      </c>
      <c r="AM1676" s="68" t="s">
        <v>137</v>
      </c>
      <c r="AN1676" s="330" t="s">
        <v>138</v>
      </c>
      <c r="AO1676" s="1059">
        <v>7827.0</v>
      </c>
      <c r="AP1676" s="156">
        <v>1.18</v>
      </c>
      <c r="AQ1676" s="159" t="s">
        <v>173</v>
      </c>
      <c r="AR1676" s="159" t="s">
        <v>2812</v>
      </c>
      <c r="AS1676" s="1061">
        <v>2.2E-16</v>
      </c>
      <c r="AT1676" s="159" t="s">
        <v>172</v>
      </c>
      <c r="AU1676" s="159" t="s">
        <v>186</v>
      </c>
      <c r="AV1676" s="68" t="s">
        <v>137</v>
      </c>
      <c r="AW1676" s="1119" t="s">
        <v>9588</v>
      </c>
      <c r="AX1676" s="68" t="s">
        <v>143</v>
      </c>
      <c r="AY1676" s="61" t="str">
        <f>IFERROR(__xludf.DUMMYFUNCTION("vlookup(BB1676,importrange(""https://docs.google.com/spreadsheets/d/1d2vevQ_7D_v35q4wCQ4RpQ_IPoTwEMB9Yp6ymwlPqew/edit?gid=984458430#gid=984458430"", ""'replication success'!A:K""), 11, FAlSE)"),"successful")</f>
        <v>successful</v>
      </c>
      <c r="AZ1676" s="61" t="str">
        <f>IFERROR(__xludf.DUMMYFUNCTION("vlookup(BB1676,importrange(""https://docs.google.com/spreadsheets/d/1d2vevQ_7D_v35q4wCQ4RpQ_IPoTwEMB9Yp6ymwlPqew/edit?gid=984458430#gid=984458430"", ""'replication success'!A:M""), 12, FAlSE)"),"This result
is consistent with the hypothesis that participants’
choices are positively correlated with their perception
of the percentage of other people who would make the
same choice.")</f>
        <v>This result
is consistent with the hypothesis that participants’
choices are positively correlated with their perception
of the percentage of other people who would make the
same choice.</v>
      </c>
      <c r="BA1676" s="61" t="str">
        <f>IFERROR(__xludf.DUMMYFUNCTION("vlookup(BB1676,importrange(""https://docs.google.com/spreadsheets/d/1d2vevQ_7D_v35q4wCQ4RpQ_IPoTwEMB9Yp6ymwlPqew/edit?gid=984458430#gid=984458430"", ""'replication success'!A:M""), 13, FAlSE)"),"pg. 17")</f>
        <v>pg. 17</v>
      </c>
      <c r="BB1676" s="61" t="str">
        <f>IFERROR(__xludf.DUMMYFUNCTION("REGEXREPLACE(G1676, ""_[a-z]{1,2}$"", """")"),"Manylabs2_06_1")</f>
        <v>Manylabs2_06_1</v>
      </c>
      <c r="BC1676" s="68"/>
      <c r="BD1676" s="68" t="s">
        <v>5074</v>
      </c>
    </row>
    <row r="1677">
      <c r="A1677" s="44">
        <v>1677.0</v>
      </c>
      <c r="B1677" s="68" t="s">
        <v>114</v>
      </c>
      <c r="C1677" s="62" t="s">
        <v>115</v>
      </c>
      <c r="D1677" s="62" t="s">
        <v>145</v>
      </c>
      <c r="F1677" s="68" t="s">
        <v>9675</v>
      </c>
      <c r="G1677" s="159" t="s">
        <v>9687</v>
      </c>
      <c r="H1677" s="678" t="s">
        <v>5592</v>
      </c>
      <c r="I1677" s="152">
        <v>45673.0</v>
      </c>
      <c r="J1677" s="152">
        <v>45693.0</v>
      </c>
      <c r="K1677" s="68"/>
      <c r="L1677" s="68"/>
      <c r="M1677" s="68" t="s">
        <v>9692</v>
      </c>
      <c r="N1677" s="68" t="s">
        <v>9679</v>
      </c>
      <c r="O1677" s="156">
        <v>1.0</v>
      </c>
      <c r="P1677" s="606" t="str">
        <f t="shared" si="118"/>
        <v>10.1016--0022-1031(77)90049-x.pdf</v>
      </c>
      <c r="Q1677" s="52" t="str">
        <f t="array" ref="Q1677"> if(iserror(MATCH(V1677, 'File Links'!C:C, 0)), "N/A", HYPERLINK(INDEX('File Links'!B:B, MATCH(P1677, 'File Links'!C:C, 0))))</f>
        <v>https://drive.google.com/file/d/16b2RhNig_5iqWitXUKqz28-xsE4N6txd/view?usp=drivesdk</v>
      </c>
      <c r="R1677" s="1115" t="s">
        <v>9579</v>
      </c>
      <c r="S1677" s="1115" t="s">
        <v>9580</v>
      </c>
      <c r="T1677" s="68"/>
      <c r="U1677" s="68"/>
      <c r="V1677" s="198" t="str">
        <f t="shared" si="114"/>
        <v>10.1177--2515245918810225.pdf</v>
      </c>
      <c r="W1677" s="1300" t="s">
        <v>209</v>
      </c>
      <c r="X1677" s="54" t="str">
        <f t="array" ref="X1677"> if(iserror(MATCH(V1677, 'File Links'!C:C, 0)), "N/A", HYPERLINK(INDEX('File Links'!B:B, MATCH(V1677, 'File Links'!C:C, 0))))</f>
        <v>https://drive.google.com/file/d/1rGqHLpg3OEGQnWLvlAEJr7JSMWJ2p-Ar/view?usp=drivesdk</v>
      </c>
      <c r="Y1677" s="68"/>
      <c r="Z1677" s="159" t="s">
        <v>226</v>
      </c>
      <c r="AA1677" s="159" t="s">
        <v>9693</v>
      </c>
      <c r="AB1677" s="159" t="s">
        <v>9681</v>
      </c>
      <c r="AC1677" s="159" t="s">
        <v>9697</v>
      </c>
      <c r="AD1677" s="159" t="s">
        <v>9698</v>
      </c>
      <c r="AE1677" s="156">
        <v>7.0</v>
      </c>
      <c r="AF1677" s="156">
        <v>80.0</v>
      </c>
      <c r="AG1677" s="159" t="s">
        <v>9691</v>
      </c>
      <c r="AH1677" s="159" t="s">
        <v>134</v>
      </c>
      <c r="AI1677" s="159" t="s">
        <v>813</v>
      </c>
      <c r="AJ1677" s="156">
        <v>0.1</v>
      </c>
      <c r="AK1677" s="159" t="s">
        <v>135</v>
      </c>
      <c r="AL1677" s="159" t="s">
        <v>186</v>
      </c>
      <c r="AM1677" s="68" t="s">
        <v>137</v>
      </c>
      <c r="AN1677" s="330" t="s">
        <v>138</v>
      </c>
      <c r="AO1677" s="156">
        <v>7827.0</v>
      </c>
      <c r="AP1677" s="156">
        <v>0.95</v>
      </c>
      <c r="AQ1677" s="159" t="s">
        <v>173</v>
      </c>
      <c r="AR1677" s="159" t="s">
        <v>2812</v>
      </c>
      <c r="AS1677" s="1061">
        <v>2.2E-16</v>
      </c>
      <c r="AT1677" s="159" t="s">
        <v>172</v>
      </c>
      <c r="AU1677" s="159" t="s">
        <v>186</v>
      </c>
      <c r="AV1677" s="68" t="s">
        <v>137</v>
      </c>
      <c r="AW1677" s="1119" t="s">
        <v>9588</v>
      </c>
      <c r="AX1677" s="68" t="s">
        <v>143</v>
      </c>
      <c r="AY1677" s="61" t="str">
        <f>IFERROR(__xludf.DUMMYFUNCTION("vlookup(BB1677,importrange(""https://docs.google.com/spreadsheets/d/1d2vevQ_7D_v35q4wCQ4RpQ_IPoTwEMB9Yp6ymwlPqew/edit?gid=984458430#gid=984458430"", ""'replication success'!A:K""), 11, FAlSE)"),"successful")</f>
        <v>successful</v>
      </c>
      <c r="AZ1677" s="61" t="str">
        <f>IFERROR(__xludf.DUMMYFUNCTION("vlookup(BB1677,importrange(""https://docs.google.com/spreadsheets/d/1d2vevQ_7D_v35q4wCQ4RpQ_IPoTwEMB9Yp6ymwlPqew/edit?gid=984458430#gid=984458430"", ""'replication success'!A:M""), 12, FAlSE)"),"This result
is consistent with the hypothesis that participants’
choices are positively correlated with their perception
of the percentage of other people who would make the
same choice.")</f>
        <v>This result
is consistent with the hypothesis that participants’
choices are positively correlated with their perception
of the percentage of other people who would make the
same choice.</v>
      </c>
      <c r="BA1677" s="61" t="str">
        <f>IFERROR(__xludf.DUMMYFUNCTION("vlookup(BB1677,importrange(""https://docs.google.com/spreadsheets/d/1d2vevQ_7D_v35q4wCQ4RpQ_IPoTwEMB9Yp6ymwlPqew/edit?gid=984458430#gid=984458430"", ""'replication success'!A:M""), 13, FAlSE)"),"pg. 17")</f>
        <v>pg. 17</v>
      </c>
      <c r="BB1677" s="61" t="str">
        <f>IFERROR(__xludf.DUMMYFUNCTION("REGEXREPLACE(G1677, ""_[a-z]{1,2}$"", """")"),"Manylabs2_06_1")</f>
        <v>Manylabs2_06_1</v>
      </c>
      <c r="BC1677" s="68"/>
      <c r="BD1677" s="68" t="s">
        <v>5074</v>
      </c>
    </row>
    <row r="1678">
      <c r="A1678" s="44">
        <v>1678.0</v>
      </c>
      <c r="B1678" s="129" t="s">
        <v>152</v>
      </c>
      <c r="C1678" s="62" t="s">
        <v>115</v>
      </c>
      <c r="D1678" s="62" t="s">
        <v>232</v>
      </c>
      <c r="F1678" s="68" t="s">
        <v>9699</v>
      </c>
      <c r="G1678" s="68" t="s">
        <v>9700</v>
      </c>
      <c r="H1678" s="159" t="s">
        <v>6940</v>
      </c>
      <c r="I1678" s="152">
        <v>45687.0</v>
      </c>
      <c r="J1678" s="152">
        <v>45693.0</v>
      </c>
      <c r="K1678" s="68"/>
      <c r="L1678" s="159" t="s">
        <v>9701</v>
      </c>
      <c r="M1678" s="159" t="s">
        <v>9702</v>
      </c>
      <c r="N1678" s="159" t="s">
        <v>9703</v>
      </c>
      <c r="O1678" s="159" t="s">
        <v>4092</v>
      </c>
      <c r="P1678" s="606" t="str">
        <f t="shared" si="118"/>
        <v>10.1037--a0013748.pdf</v>
      </c>
      <c r="Q1678" s="52" t="str">
        <f t="array" ref="Q1678"> if(iserror(MATCH(V1678, 'File Links'!C:C, 0)), "N/A", HYPERLINK(INDEX('File Links'!B:B, MATCH(P1678, 'File Links'!C:C, 0))))</f>
        <v>https://drive.google.com/file/d/13LERMC05_TVKu6xv7g91wRtXxu0ET1Tj/view?usp=drivesdk</v>
      </c>
      <c r="R1678" s="159" t="s">
        <v>9579</v>
      </c>
      <c r="S1678" s="159" t="s">
        <v>9580</v>
      </c>
      <c r="T1678" s="68"/>
      <c r="U1678" s="156">
        <v>8.0</v>
      </c>
      <c r="V1678" s="198" t="str">
        <f t="shared" si="114"/>
        <v>10.1177--2515245918810225.pdf</v>
      </c>
      <c r="W1678" s="68" t="s">
        <v>209</v>
      </c>
      <c r="X1678" s="54" t="str">
        <f t="array" ref="X1678"> if(iserror(MATCH(V1678, 'File Links'!C:C, 0)), "N/A", HYPERLINK(INDEX('File Links'!B:B, MATCH(V1678, 'File Links'!C:C, 0))))</f>
        <v>https://drive.google.com/file/d/1rGqHLpg3OEGQnWLvlAEJr7JSMWJ2p-Ar/view?usp=drivesdk</v>
      </c>
      <c r="Y1678" s="68"/>
      <c r="Z1678" s="1115" t="s">
        <v>148</v>
      </c>
      <c r="AA1678" s="159" t="s">
        <v>9704</v>
      </c>
      <c r="AB1678" s="1115" t="s">
        <v>9705</v>
      </c>
      <c r="AC1678" s="159" t="s">
        <v>9704</v>
      </c>
      <c r="AD1678" s="151" t="s">
        <v>9706</v>
      </c>
      <c r="AE1678" s="159" t="s">
        <v>9707</v>
      </c>
      <c r="AF1678" s="156">
        <v>69.0</v>
      </c>
      <c r="AG1678" s="159" t="s">
        <v>9708</v>
      </c>
      <c r="AH1678" s="159" t="s">
        <v>134</v>
      </c>
      <c r="AI1678" s="159" t="s">
        <v>9707</v>
      </c>
      <c r="AJ1678" s="156">
        <v>0.01</v>
      </c>
      <c r="AK1678" s="159" t="s">
        <v>135</v>
      </c>
      <c r="AL1678" s="159" t="s">
        <v>186</v>
      </c>
      <c r="AM1678" s="68" t="s">
        <v>137</v>
      </c>
      <c r="AN1678" s="330" t="s">
        <v>138</v>
      </c>
      <c r="AO1678" s="156">
        <v>8002.0</v>
      </c>
      <c r="AP1678" s="156">
        <v>0.95</v>
      </c>
      <c r="AQ1678" s="159" t="s">
        <v>173</v>
      </c>
      <c r="AR1678" s="159" t="s">
        <v>9709</v>
      </c>
      <c r="AS1678" s="1093">
        <f>IFERROR(__xludf.DUMMYFUNCTION("3.32*10^-285"),3.32E-285)</f>
        <v>0</v>
      </c>
      <c r="AT1678" s="159" t="s">
        <v>135</v>
      </c>
      <c r="AU1678" s="159" t="s">
        <v>186</v>
      </c>
      <c r="AV1678" s="68" t="s">
        <v>137</v>
      </c>
      <c r="AW1678" s="435" t="s">
        <v>9588</v>
      </c>
      <c r="AX1678" s="68" t="s">
        <v>143</v>
      </c>
      <c r="AY1678" s="61" t="str">
        <f>IFERROR(__xludf.DUMMYFUNCTION("vlookup(BB1678,importrange(""https://docs.google.com/spreadsheets/d/1d2vevQ_7D_v35q4wCQ4RpQ_IPoTwEMB9Yp6ymwlPqew/edit?gid=984458430#gid=984458430"", ""'replication success'!A:K""), 11, FAlSE)"),"mixed")</f>
        <v>mixed</v>
      </c>
      <c r="AZ1678" s="61" t="str">
        <f>IFERROR(__xludf.DUMMYFUNCTION("vlookup(BB1678,importrange(""https://docs.google.com/spreadsheets/d/1d2vevQ_7D_v35q4wCQ4RpQ_IPoTwEMB9Yp6ymwlPqew/edit?gid=984458430#gid=984458430"", ""'replication success'!A:M""), 12, FAlSE)"),"This result is consistent with the hypothesis that an adult’s perceived responsibil-
ity for harming a baby is greater than a baby’s perceived
responsibility for harming an adult. The effect size in the
replication was slightly larger than the original re"&amp;"sult (d =
0.95, 95% CI = [0.91, 1.00], vs. original d = 0.80).")</f>
        <v>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v>
      </c>
      <c r="BA1678" s="61" t="str">
        <f>IFERROR(__xludf.DUMMYFUNCTION("vlookup(BB1678,importrange(""https://docs.google.com/spreadsheets/d/1d2vevQ_7D_v35q4wCQ4RpQ_IPoTwEMB9Yp6ymwlPqew/edit?gid=984458430#gid=984458430"", ""'replication success'!A:M""), 13, FAlSE)"),"pg. 22")</f>
        <v>pg. 22</v>
      </c>
      <c r="BB1678" s="61" t="str">
        <f>IFERROR(__xludf.DUMMYFUNCTION("REGEXREPLACE(G1678, ""_[a-z]{1,2}$"", """")"),"Manylabs2_07_1")</f>
        <v>Manylabs2_07_1</v>
      </c>
      <c r="BC1678" s="68"/>
      <c r="BD1678" s="129" t="s">
        <v>6985</v>
      </c>
    </row>
    <row r="1679">
      <c r="A1679" s="44">
        <v>1679.0</v>
      </c>
      <c r="B1679" s="68" t="s">
        <v>114</v>
      </c>
      <c r="C1679" s="62" t="s">
        <v>115</v>
      </c>
      <c r="D1679" s="62" t="s">
        <v>145</v>
      </c>
      <c r="F1679" s="68" t="s">
        <v>9699</v>
      </c>
      <c r="G1679" s="68" t="s">
        <v>9700</v>
      </c>
      <c r="H1679" s="678" t="s">
        <v>5592</v>
      </c>
      <c r="I1679" s="152">
        <v>45667.0</v>
      </c>
      <c r="J1679" s="152">
        <v>45693.0</v>
      </c>
      <c r="K1679" s="68"/>
      <c r="L1679" s="159" t="s">
        <v>9710</v>
      </c>
      <c r="M1679" s="68" t="s">
        <v>9702</v>
      </c>
      <c r="N1679" s="68" t="s">
        <v>9703</v>
      </c>
      <c r="O1679" s="159" t="s">
        <v>4092</v>
      </c>
      <c r="P1679" s="606" t="str">
        <f t="shared" si="118"/>
        <v>10.1037--a0013748.pdf</v>
      </c>
      <c r="Q1679" s="52" t="str">
        <f t="array" ref="Q1679"> if(iserror(MATCH(V1679, 'File Links'!C:C, 0)), "N/A", HYPERLINK(INDEX('File Links'!B:B, MATCH(P1679, 'File Links'!C:C, 0))))</f>
        <v>https://drive.google.com/file/d/13LERMC05_TVKu6xv7g91wRtXxu0ET1Tj/view?usp=drivesdk</v>
      </c>
      <c r="R1679" s="1115" t="s">
        <v>9579</v>
      </c>
      <c r="S1679" s="1115" t="s">
        <v>9580</v>
      </c>
      <c r="T1679" s="68"/>
      <c r="U1679" s="1093">
        <v>8.0</v>
      </c>
      <c r="V1679" s="198" t="str">
        <f t="shared" si="114"/>
        <v>10.1177--2515245918810225.pdf</v>
      </c>
      <c r="W1679" s="159" t="s">
        <v>9616</v>
      </c>
      <c r="X1679" s="54" t="str">
        <f t="array" ref="X1679"> if(iserror(MATCH(V1679, 'File Links'!C:C, 0)), "N/A", HYPERLINK(INDEX('File Links'!B:B, MATCH(V1679, 'File Links'!C:C, 0))))</f>
        <v>https://drive.google.com/file/d/1rGqHLpg3OEGQnWLvlAEJr7JSMWJ2p-Ar/view?usp=drivesdk</v>
      </c>
      <c r="Y1679" s="68"/>
      <c r="Z1679" s="159" t="s">
        <v>148</v>
      </c>
      <c r="AA1679" s="68"/>
      <c r="AB1679" s="159" t="s">
        <v>9705</v>
      </c>
      <c r="AC1679" s="159" t="s">
        <v>9711</v>
      </c>
      <c r="AD1679" s="159" t="s">
        <v>9712</v>
      </c>
      <c r="AE1679" s="1115" t="s">
        <v>9707</v>
      </c>
      <c r="AF1679" s="156">
        <v>69.0</v>
      </c>
      <c r="AG1679" s="159" t="s">
        <v>9713</v>
      </c>
      <c r="AH1679" s="159" t="s">
        <v>134</v>
      </c>
      <c r="AI1679" s="1115" t="s">
        <v>9707</v>
      </c>
      <c r="AJ1679" s="156">
        <v>0.01</v>
      </c>
      <c r="AK1679" s="159" t="s">
        <v>135</v>
      </c>
      <c r="AL1679" s="159" t="s">
        <v>186</v>
      </c>
      <c r="AM1679" s="68" t="s">
        <v>137</v>
      </c>
      <c r="AN1679" s="330" t="s">
        <v>138</v>
      </c>
      <c r="AO1679" s="156">
        <v>8002.0</v>
      </c>
      <c r="AP1679" s="156">
        <v>0.95</v>
      </c>
      <c r="AQ1679" s="159" t="s">
        <v>173</v>
      </c>
      <c r="AR1679" s="1115" t="s">
        <v>9709</v>
      </c>
      <c r="AS1679" s="1061">
        <v>3.32E-285</v>
      </c>
      <c r="AT1679" s="159" t="s">
        <v>135</v>
      </c>
      <c r="AU1679" s="159" t="s">
        <v>186</v>
      </c>
      <c r="AV1679" s="68" t="s">
        <v>137</v>
      </c>
      <c r="AW1679" s="1119" t="s">
        <v>9588</v>
      </c>
      <c r="AX1679" s="68" t="s">
        <v>143</v>
      </c>
      <c r="AY1679" s="61" t="str">
        <f>IFERROR(__xludf.DUMMYFUNCTION("vlookup(BB1679,importrange(""https://docs.google.com/spreadsheets/d/1d2vevQ_7D_v35q4wCQ4RpQ_IPoTwEMB9Yp6ymwlPqew/edit?gid=984458430#gid=984458430"", ""'replication success'!A:K""), 11, FAlSE)"),"mixed")</f>
        <v>mixed</v>
      </c>
      <c r="AZ1679" s="61" t="str">
        <f>IFERROR(__xludf.DUMMYFUNCTION("vlookup(BB1679,importrange(""https://docs.google.com/spreadsheets/d/1d2vevQ_7D_v35q4wCQ4RpQ_IPoTwEMB9Yp6ymwlPqew/edit?gid=984458430#gid=984458430"", ""'replication success'!A:M""), 12, FAlSE)"),"This result is consistent with the hypothesis that an adult’s perceived responsibil-
ity for harming a baby is greater than a baby’s perceived
responsibility for harming an adult. The effect size in the
replication was slightly larger than the original re"&amp;"sult (d =
0.95, 95% CI = [0.91, 1.00], vs. original d = 0.80).")</f>
        <v>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v>
      </c>
      <c r="BA1679" s="61" t="str">
        <f>IFERROR(__xludf.DUMMYFUNCTION("vlookup(BB1679,importrange(""https://docs.google.com/spreadsheets/d/1d2vevQ_7D_v35q4wCQ4RpQ_IPoTwEMB9Yp6ymwlPqew/edit?gid=984458430#gid=984458430"", ""'replication success'!A:M""), 13, FAlSE)"),"pg. 22")</f>
        <v>pg. 22</v>
      </c>
      <c r="BB1679" s="61" t="str">
        <f>IFERROR(__xludf.DUMMYFUNCTION("REGEXREPLACE(G1679, ""_[a-z]{1,2}$"", """")"),"Manylabs2_07_1")</f>
        <v>Manylabs2_07_1</v>
      </c>
      <c r="BC1679" s="68"/>
      <c r="BD1679" s="68" t="s">
        <v>5074</v>
      </c>
    </row>
    <row r="1680">
      <c r="A1680" s="44">
        <v>1680.0</v>
      </c>
      <c r="B1680" s="147" t="s">
        <v>523</v>
      </c>
      <c r="C1680" s="62" t="s">
        <v>115</v>
      </c>
      <c r="D1680" s="62" t="s">
        <v>145</v>
      </c>
      <c r="F1680" s="68" t="s">
        <v>9699</v>
      </c>
      <c r="G1680" s="159" t="s">
        <v>9714</v>
      </c>
      <c r="H1680" s="678" t="s">
        <v>5592</v>
      </c>
      <c r="I1680" s="152">
        <v>45667.0</v>
      </c>
      <c r="J1680" s="152">
        <v>45693.0</v>
      </c>
      <c r="K1680" s="68"/>
      <c r="L1680" s="159" t="s">
        <v>9715</v>
      </c>
      <c r="M1680" s="68" t="s">
        <v>9702</v>
      </c>
      <c r="N1680" s="68" t="s">
        <v>9703</v>
      </c>
      <c r="O1680" s="159" t="s">
        <v>4092</v>
      </c>
      <c r="P1680" s="606" t="str">
        <f t="shared" si="118"/>
        <v>10.1037--a0013748.pdf</v>
      </c>
      <c r="Q1680" s="52" t="str">
        <f t="array" ref="Q1680"> if(iserror(MATCH(V1680, 'File Links'!C:C, 0)), "N/A", HYPERLINK(INDEX('File Links'!B:B, MATCH(P1680, 'File Links'!C:C, 0))))</f>
        <v>https://drive.google.com/file/d/13LERMC05_TVKu6xv7g91wRtXxu0ET1Tj/view?usp=drivesdk</v>
      </c>
      <c r="R1680" s="1115" t="s">
        <v>9579</v>
      </c>
      <c r="S1680" s="1115" t="s">
        <v>9580</v>
      </c>
      <c r="T1680" s="68"/>
      <c r="U1680" s="1093">
        <v>8.0</v>
      </c>
      <c r="V1680" s="198" t="str">
        <f t="shared" si="114"/>
        <v>10.1177--2515245918810225.pdf</v>
      </c>
      <c r="W1680" s="159" t="s">
        <v>9616</v>
      </c>
      <c r="X1680" s="54" t="str">
        <f t="array" ref="X1680"> if(iserror(MATCH(V1680, 'File Links'!C:C, 0)), "N/A", HYPERLINK(INDEX('File Links'!B:B, MATCH(V1680, 'File Links'!C:C, 0))))</f>
        <v>https://drive.google.com/file/d/1rGqHLpg3OEGQnWLvlAEJr7JSMWJ2p-Ar/view?usp=drivesdk</v>
      </c>
      <c r="Y1680" s="68"/>
      <c r="Z1680" s="159" t="s">
        <v>148</v>
      </c>
      <c r="AA1680" s="68"/>
      <c r="AB1680" s="159" t="s">
        <v>9705</v>
      </c>
      <c r="AC1680" s="159" t="s">
        <v>9716</v>
      </c>
      <c r="AD1680" s="159" t="s">
        <v>9717</v>
      </c>
      <c r="AE1680" s="1115" t="s">
        <v>9707</v>
      </c>
      <c r="AF1680" s="156">
        <v>69.0</v>
      </c>
      <c r="AG1680" s="159" t="s">
        <v>9718</v>
      </c>
      <c r="AH1680" s="159" t="s">
        <v>134</v>
      </c>
      <c r="AI1680" s="1115" t="s">
        <v>9707</v>
      </c>
      <c r="AJ1680" s="156">
        <v>0.05</v>
      </c>
      <c r="AK1680" s="159" t="s">
        <v>135</v>
      </c>
      <c r="AL1680" s="159" t="s">
        <v>186</v>
      </c>
      <c r="AM1680" s="68" t="s">
        <v>137</v>
      </c>
      <c r="AN1680" s="330" t="s">
        <v>138</v>
      </c>
      <c r="AO1680" s="156">
        <v>8002.0</v>
      </c>
      <c r="AP1680" s="156">
        <v>0.5</v>
      </c>
      <c r="AQ1680" s="159" t="s">
        <v>173</v>
      </c>
      <c r="AR1680" s="1115" t="s">
        <v>9709</v>
      </c>
      <c r="AS1680" s="1093">
        <f>IFERROR(__xludf.DUMMYFUNCTION("8.3*10^-109"),8.300000000000001E-109)</f>
        <v>0</v>
      </c>
      <c r="AT1680" s="159" t="s">
        <v>172</v>
      </c>
      <c r="AU1680" s="159" t="s">
        <v>186</v>
      </c>
      <c r="AV1680" s="68" t="s">
        <v>137</v>
      </c>
      <c r="AW1680" s="1119" t="s">
        <v>9588</v>
      </c>
      <c r="AX1680" s="68" t="s">
        <v>143</v>
      </c>
      <c r="AY1680" s="61" t="str">
        <f>IFERROR(__xludf.DUMMYFUNCTION("vlookup(BB1680,importrange(""https://docs.google.com/spreadsheets/d/1d2vevQ_7D_v35q4wCQ4RpQ_IPoTwEMB9Yp6ymwlPqew/edit?gid=984458430#gid=984458430"", ""'replication success'!A:K""), 11, FAlSE)"),"mixed")</f>
        <v>mixed</v>
      </c>
      <c r="AZ1680" s="61" t="str">
        <f>IFERROR(__xludf.DUMMYFUNCTION("vlookup(BB1680,importrange(""https://docs.google.com/spreadsheets/d/1d2vevQ_7D_v35q4wCQ4RpQ_IPoTwEMB9Yp6ymwlPqew/edit?gid=984458430#gid=984458430"", ""'replication success'!A:M""), 12, FAlSE)"),"This result is consistent with the hypothesis that an adult’s perceived responsibil-
ity for harming a baby is greater than a baby’s perceived
responsibility for harming an adult. The effect size in the
replication was slightly larger than the original re"&amp;"sult (d =
0.95, 95% CI = [0.91, 1.00], vs. original d = 0.80).")</f>
        <v>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v>
      </c>
      <c r="BA1680" s="61" t="str">
        <f>IFERROR(__xludf.DUMMYFUNCTION("vlookup(BB1680,importrange(""https://docs.google.com/spreadsheets/d/1d2vevQ_7D_v35q4wCQ4RpQ_IPoTwEMB9Yp6ymwlPqew/edit?gid=984458430#gid=984458430"", ""'replication success'!A:M""), 13, FAlSE)"),"pg. 22")</f>
        <v>pg. 22</v>
      </c>
      <c r="BB1680" s="61" t="str">
        <f>IFERROR(__xludf.DUMMYFUNCTION("REGEXREPLACE(G1680, ""_[a-z]{1,2}$"", """")"),"Manylabs2_07_1")</f>
        <v>Manylabs2_07_1</v>
      </c>
      <c r="BC1680" s="1777"/>
      <c r="BD1680" s="68" t="s">
        <v>5074</v>
      </c>
    </row>
    <row r="1681">
      <c r="A1681" s="44">
        <v>1681.0</v>
      </c>
      <c r="B1681" s="147" t="s">
        <v>523</v>
      </c>
      <c r="C1681" s="62" t="s">
        <v>115</v>
      </c>
      <c r="D1681" s="62" t="s">
        <v>145</v>
      </c>
      <c r="F1681" s="68" t="s">
        <v>9699</v>
      </c>
      <c r="G1681" s="159" t="s">
        <v>9719</v>
      </c>
      <c r="H1681" s="678" t="s">
        <v>5592</v>
      </c>
      <c r="I1681" s="152">
        <v>45667.0</v>
      </c>
      <c r="J1681" s="152">
        <v>45693.0</v>
      </c>
      <c r="K1681" s="68"/>
      <c r="L1681" s="159" t="s">
        <v>9715</v>
      </c>
      <c r="M1681" s="68" t="s">
        <v>9702</v>
      </c>
      <c r="N1681" s="68" t="s">
        <v>9703</v>
      </c>
      <c r="O1681" s="159" t="s">
        <v>4092</v>
      </c>
      <c r="P1681" s="606" t="str">
        <f t="shared" si="118"/>
        <v>10.1037--a0013748.pdf</v>
      </c>
      <c r="Q1681" s="52" t="str">
        <f t="array" ref="Q1681"> if(iserror(MATCH(V1681, 'File Links'!C:C, 0)), "N/A", HYPERLINK(INDEX('File Links'!B:B, MATCH(P1681, 'File Links'!C:C, 0))))</f>
        <v>https://drive.google.com/file/d/13LERMC05_TVKu6xv7g91wRtXxu0ET1Tj/view?usp=drivesdk</v>
      </c>
      <c r="R1681" s="1115" t="s">
        <v>9579</v>
      </c>
      <c r="S1681" s="1115" t="s">
        <v>9580</v>
      </c>
      <c r="T1681" s="68"/>
      <c r="U1681" s="1093">
        <v>8.0</v>
      </c>
      <c r="V1681" s="198" t="str">
        <f t="shared" si="114"/>
        <v>10.1177--2515245918810225.pdf</v>
      </c>
      <c r="W1681" s="159" t="s">
        <v>9616</v>
      </c>
      <c r="X1681" s="54" t="str">
        <f t="array" ref="X1681"> if(iserror(MATCH(V1681, 'File Links'!C:C, 0)), "N/A", HYPERLINK(INDEX('File Links'!B:B, MATCH(V1681, 'File Links'!C:C, 0))))</f>
        <v>https://drive.google.com/file/d/1rGqHLpg3OEGQnWLvlAEJr7JSMWJ2p-Ar/view?usp=drivesdk</v>
      </c>
      <c r="Y1681" s="68"/>
      <c r="Z1681" s="159" t="s">
        <v>148</v>
      </c>
      <c r="AA1681" s="68"/>
      <c r="AB1681" s="159" t="s">
        <v>9705</v>
      </c>
      <c r="AC1681" s="159" t="s">
        <v>9720</v>
      </c>
      <c r="AD1681" s="159" t="s">
        <v>9721</v>
      </c>
      <c r="AE1681" s="1115" t="s">
        <v>9707</v>
      </c>
      <c r="AF1681" s="156">
        <v>69.0</v>
      </c>
      <c r="AG1681" s="159" t="s">
        <v>9722</v>
      </c>
      <c r="AH1681" s="159" t="s">
        <v>134</v>
      </c>
      <c r="AI1681" s="1115" t="s">
        <v>9707</v>
      </c>
      <c r="AJ1681" s="156">
        <v>0.01</v>
      </c>
      <c r="AK1681" s="159" t="s">
        <v>135</v>
      </c>
      <c r="AL1681" s="159" t="s">
        <v>186</v>
      </c>
      <c r="AM1681" s="68" t="s">
        <v>137</v>
      </c>
      <c r="AN1681" s="330" t="s">
        <v>138</v>
      </c>
      <c r="AO1681" s="156">
        <v>8002.0</v>
      </c>
      <c r="AP1681" s="156">
        <v>0.62</v>
      </c>
      <c r="AQ1681" s="159" t="s">
        <v>173</v>
      </c>
      <c r="AR1681" s="1115" t="s">
        <v>9709</v>
      </c>
      <c r="AS1681" s="1093">
        <f>IFERROR(__xludf.DUMMYFUNCTION("1.5*10^-159"),1.5E-159)</f>
        <v>0</v>
      </c>
      <c r="AT1681" s="159" t="s">
        <v>172</v>
      </c>
      <c r="AU1681" s="159" t="s">
        <v>186</v>
      </c>
      <c r="AV1681" s="68" t="s">
        <v>137</v>
      </c>
      <c r="AW1681" s="1119" t="s">
        <v>9588</v>
      </c>
      <c r="AX1681" s="68" t="s">
        <v>143</v>
      </c>
      <c r="AY1681" s="61" t="str">
        <f>IFERROR(__xludf.DUMMYFUNCTION("vlookup(BB1681,importrange(""https://docs.google.com/spreadsheets/d/1d2vevQ_7D_v35q4wCQ4RpQ_IPoTwEMB9Yp6ymwlPqew/edit?gid=984458430#gid=984458430"", ""'replication success'!A:K""), 11, FAlSE)"),"mixed")</f>
        <v>mixed</v>
      </c>
      <c r="AZ1681" s="61" t="str">
        <f>IFERROR(__xludf.DUMMYFUNCTION("vlookup(BB1681,importrange(""https://docs.google.com/spreadsheets/d/1d2vevQ_7D_v35q4wCQ4RpQ_IPoTwEMB9Yp6ymwlPqew/edit?gid=984458430#gid=984458430"", ""'replication success'!A:M""), 12, FAlSE)"),"This result is consistent with the hypothesis that an adult’s perceived responsibil-
ity for harming a baby is greater than a baby’s perceived
responsibility for harming an adult. The effect size in the
replication was slightly larger than the original re"&amp;"sult (d =
0.95, 95% CI = [0.91, 1.00], vs. original d = 0.80).")</f>
        <v>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v>
      </c>
      <c r="BA1681" s="61" t="str">
        <f>IFERROR(__xludf.DUMMYFUNCTION("vlookup(BB1681,importrange(""https://docs.google.com/spreadsheets/d/1d2vevQ_7D_v35q4wCQ4RpQ_IPoTwEMB9Yp6ymwlPqew/edit?gid=984458430#gid=984458430"", ""'replication success'!A:M""), 13, FAlSE)"),"pg. 22")</f>
        <v>pg. 22</v>
      </c>
      <c r="BB1681" s="61" t="str">
        <f>IFERROR(__xludf.DUMMYFUNCTION("REGEXREPLACE(G1681, ""_[a-z]{1,2}$"", """")"),"Manylabs2_07_1")</f>
        <v>Manylabs2_07_1</v>
      </c>
      <c r="BC1681" s="68"/>
      <c r="BD1681" s="68" t="s">
        <v>5074</v>
      </c>
    </row>
    <row r="1682">
      <c r="A1682" s="44">
        <v>1682.0</v>
      </c>
      <c r="B1682" s="68" t="s">
        <v>4523</v>
      </c>
      <c r="C1682" s="62" t="s">
        <v>115</v>
      </c>
      <c r="D1682" s="62" t="s">
        <v>232</v>
      </c>
      <c r="F1682" s="68" t="s">
        <v>9723</v>
      </c>
      <c r="G1682" s="68" t="s">
        <v>9724</v>
      </c>
      <c r="H1682" s="159" t="s">
        <v>6940</v>
      </c>
      <c r="I1682" s="152">
        <v>45687.0</v>
      </c>
      <c r="J1682" s="152">
        <v>45693.0</v>
      </c>
      <c r="K1682" s="68" t="s">
        <v>9725</v>
      </c>
      <c r="L1682" s="481" t="s">
        <v>9726</v>
      </c>
      <c r="M1682" s="159" t="s">
        <v>9727</v>
      </c>
      <c r="N1682" s="159" t="s">
        <v>9728</v>
      </c>
      <c r="O1682" s="159" t="s">
        <v>4092</v>
      </c>
      <c r="P1682" s="606" t="str">
        <f t="shared" si="118"/>
        <v>10.1002--ejsp.2013.pdf</v>
      </c>
      <c r="Q1682" s="52" t="str">
        <f t="array" ref="Q1682"> if(iserror(MATCH(V1682, 'File Links'!C:C, 0)), "N/A", HYPERLINK(INDEX('File Links'!B:B, MATCH(P1682, 'File Links'!C:C, 0))))</f>
        <v>https://drive.google.com/file/d/1KmyHkB13ZFEziyeMZJmfqm6YYEH53iJL/view?usp=drivesdk</v>
      </c>
      <c r="R1682" s="159" t="s">
        <v>9579</v>
      </c>
      <c r="S1682" s="159" t="s">
        <v>9580</v>
      </c>
      <c r="T1682" s="68"/>
      <c r="U1682" s="156">
        <v>13.0</v>
      </c>
      <c r="V1682" s="198" t="str">
        <f t="shared" si="114"/>
        <v>10.1177--2515245918810225.pdf</v>
      </c>
      <c r="W1682" s="68" t="s">
        <v>209</v>
      </c>
      <c r="X1682" s="54" t="str">
        <f t="array" ref="X1682"> if(iserror(MATCH(V1682, 'File Links'!C:C, 0)), "N/A", HYPERLINK(INDEX('File Links'!B:B, MATCH(V1682, 'File Links'!C:C, 0))))</f>
        <v>https://drive.google.com/file/d/1rGqHLpg3OEGQnWLvlAEJr7JSMWJ2p-Ar/view?usp=drivesdk</v>
      </c>
      <c r="Y1682" s="68"/>
      <c r="Z1682" s="1115" t="s">
        <v>226</v>
      </c>
      <c r="AA1682" s="68"/>
      <c r="AB1682" s="1115" t="s">
        <v>9729</v>
      </c>
      <c r="AC1682" s="159" t="s">
        <v>9730</v>
      </c>
      <c r="AD1682" s="159" t="s">
        <v>9731</v>
      </c>
      <c r="AE1682" s="159" t="s">
        <v>9732</v>
      </c>
      <c r="AF1682" s="156">
        <v>180.0</v>
      </c>
      <c r="AG1682" s="156">
        <v>0.1</v>
      </c>
      <c r="AH1682" s="159" t="s">
        <v>874</v>
      </c>
      <c r="AI1682" s="159" t="s">
        <v>9732</v>
      </c>
      <c r="AJ1682" s="156">
        <v>0.001</v>
      </c>
      <c r="AK1682" s="159" t="s">
        <v>135</v>
      </c>
      <c r="AL1682" s="159" t="s">
        <v>186</v>
      </c>
      <c r="AM1682" s="68" t="s">
        <v>137</v>
      </c>
      <c r="AN1682" s="330" t="s">
        <v>138</v>
      </c>
      <c r="AO1682" s="156">
        <v>6591.0</v>
      </c>
      <c r="AP1682" s="156">
        <v>0.4</v>
      </c>
      <c r="AQ1682" s="159" t="s">
        <v>173</v>
      </c>
      <c r="AR1682" s="159" t="s">
        <v>9733</v>
      </c>
      <c r="AS1682" s="1778">
        <f>IFERROR(__xludf.DUMMYFUNCTION("2.15*10^-57"),2.1499999999999998E-57)</f>
        <v>0</v>
      </c>
      <c r="AT1682" s="159" t="s">
        <v>172</v>
      </c>
      <c r="AU1682" s="159" t="s">
        <v>186</v>
      </c>
      <c r="AV1682" s="68" t="s">
        <v>137</v>
      </c>
      <c r="AW1682" s="435" t="s">
        <v>9588</v>
      </c>
      <c r="AX1682" s="68" t="s">
        <v>143</v>
      </c>
      <c r="AY1682" s="61" t="str">
        <f>IFERROR(__xludf.DUMMYFUNCTION("vlookup(BB1682,importrange(""https://docs.google.com/spreadsheets/d/1d2vevQ_7D_v35q4wCQ4RpQ_IPoTwEMB9Yp6ymwlPqew/edit?gid=984458430#gid=984458430"", ""'replication success'!A:K""), 11, FAlSE)"),"#N/A")</f>
        <v>#N/A</v>
      </c>
      <c r="AZ1682" s="61" t="str">
        <f>IFERROR(__xludf.DUMMYFUNCTION("vlookup(BB1682,importrange(""https://docs.google.com/spreadsheets/d/1d2vevQ_7D_v35q4wCQ4RpQ_IPoTwEMB9Yp6ymwlPqew/edit?gid=984458430#gid=984458430"", ""'replication success'!A:M""), 12, FAlSE)"),"#N/A")</f>
        <v>#N/A</v>
      </c>
      <c r="BA1682" s="61" t="str">
        <f>IFERROR(__xludf.DUMMYFUNCTION("vlookup(BB1682,importrange(""https://docs.google.com/spreadsheets/d/1d2vevQ_7D_v35q4wCQ4RpQ_IPoTwEMB9Yp6ymwlPqew/edit?gid=984458430#gid=984458430"", ""'replication success'!A:M""), 13, FAlSE)"),"#N/A")</f>
        <v>#N/A</v>
      </c>
      <c r="BB1682" s="61" t="str">
        <f>IFERROR(__xludf.DUMMYFUNCTION("REGEXREPLACE(G1682, ""_[a-z]{1,2}$"", """")"),"Manylabs2_10_1")</f>
        <v>Manylabs2_10_1</v>
      </c>
      <c r="BC1682" s="68"/>
      <c r="BD1682" s="68" t="s">
        <v>5074</v>
      </c>
    </row>
    <row r="1683">
      <c r="A1683" s="44">
        <v>1683.0</v>
      </c>
      <c r="B1683" s="68" t="s">
        <v>4523</v>
      </c>
      <c r="C1683" s="62" t="s">
        <v>115</v>
      </c>
      <c r="D1683" s="62" t="s">
        <v>232</v>
      </c>
      <c r="F1683" s="68" t="s">
        <v>9723</v>
      </c>
      <c r="G1683" s="68" t="s">
        <v>9734</v>
      </c>
      <c r="H1683" s="159" t="s">
        <v>6940</v>
      </c>
      <c r="I1683" s="152">
        <v>45687.0</v>
      </c>
      <c r="J1683" s="152">
        <v>45693.0</v>
      </c>
      <c r="K1683" s="159" t="s">
        <v>9735</v>
      </c>
      <c r="L1683" s="481" t="s">
        <v>9726</v>
      </c>
      <c r="M1683" s="159" t="s">
        <v>9727</v>
      </c>
      <c r="N1683" s="159" t="s">
        <v>9728</v>
      </c>
      <c r="O1683" s="159" t="s">
        <v>4092</v>
      </c>
      <c r="P1683" s="606" t="str">
        <f t="shared" si="118"/>
        <v>10.1002--ejsp.2013.pdf</v>
      </c>
      <c r="Q1683" s="52" t="str">
        <f t="array" ref="Q1683"> if(iserror(MATCH(V1683, 'File Links'!C:C, 0)), "N/A", HYPERLINK(INDEX('File Links'!B:B, MATCH(P1683, 'File Links'!C:C, 0))))</f>
        <v>https://drive.google.com/file/d/1KmyHkB13ZFEziyeMZJmfqm6YYEH53iJL/view?usp=drivesdk</v>
      </c>
      <c r="R1683" s="159" t="s">
        <v>9579</v>
      </c>
      <c r="S1683" s="159" t="s">
        <v>9580</v>
      </c>
      <c r="T1683" s="68"/>
      <c r="U1683" s="156">
        <v>13.0</v>
      </c>
      <c r="V1683" s="198" t="str">
        <f t="shared" si="114"/>
        <v>10.1177--2515245918810225.pdf</v>
      </c>
      <c r="W1683" s="68" t="s">
        <v>209</v>
      </c>
      <c r="X1683" s="54" t="str">
        <f t="array" ref="X1683"> if(iserror(MATCH(V1683, 'File Links'!C:C, 0)), "N/A", HYPERLINK(INDEX('File Links'!B:B, MATCH(V1683, 'File Links'!C:C, 0))))</f>
        <v>https://drive.google.com/file/d/1rGqHLpg3OEGQnWLvlAEJr7JSMWJ2p-Ar/view?usp=drivesdk</v>
      </c>
      <c r="Y1683" s="68"/>
      <c r="Z1683" s="1115" t="s">
        <v>226</v>
      </c>
      <c r="AA1683" s="68"/>
      <c r="AB1683" s="1115" t="s">
        <v>9729</v>
      </c>
      <c r="AC1683" s="159" t="s">
        <v>9736</v>
      </c>
      <c r="AD1683" s="159" t="s">
        <v>9737</v>
      </c>
      <c r="AE1683" s="159" t="s">
        <v>9732</v>
      </c>
      <c r="AF1683" s="156">
        <v>80.0</v>
      </c>
      <c r="AG1683" s="156">
        <v>0.53</v>
      </c>
      <c r="AH1683" s="159" t="s">
        <v>173</v>
      </c>
      <c r="AI1683" s="159" t="s">
        <v>9732</v>
      </c>
      <c r="AJ1683" s="156">
        <v>0.01</v>
      </c>
      <c r="AK1683" s="159" t="s">
        <v>135</v>
      </c>
      <c r="AL1683" s="159" t="s">
        <v>186</v>
      </c>
      <c r="AM1683" s="68" t="s">
        <v>137</v>
      </c>
      <c r="AN1683" s="330" t="s">
        <v>138</v>
      </c>
      <c r="AO1683" s="156">
        <v>2200.0</v>
      </c>
      <c r="AP1683" s="156">
        <v>1.03</v>
      </c>
      <c r="AQ1683" s="159" t="s">
        <v>173</v>
      </c>
      <c r="AR1683" s="159" t="s">
        <v>9733</v>
      </c>
      <c r="AS1683" s="1778">
        <f>IFERROR(__xludf.DUMMYFUNCTION("6.53*10^-115"),6.5300000000000005E-115)</f>
        <v>0</v>
      </c>
      <c r="AT1683" s="159" t="s">
        <v>172</v>
      </c>
      <c r="AU1683" s="159" t="s">
        <v>186</v>
      </c>
      <c r="AV1683" s="68" t="s">
        <v>137</v>
      </c>
      <c r="AW1683" s="435" t="s">
        <v>9588</v>
      </c>
      <c r="AX1683" s="68" t="s">
        <v>143</v>
      </c>
      <c r="AY1683" s="61" t="str">
        <f>IFERROR(__xludf.DUMMYFUNCTION("vlookup(BB1683,importrange(""https://docs.google.com/spreadsheets/d/1d2vevQ_7D_v35q4wCQ4RpQ_IPoTwEMB9Yp6ymwlPqew/edit?gid=984458430#gid=984458430"", ""'replication success'!A:K""), 11, FAlSE)"),"#N/A")</f>
        <v>#N/A</v>
      </c>
      <c r="AZ1683" s="61" t="str">
        <f>IFERROR(__xludf.DUMMYFUNCTION("vlookup(BB1683,importrange(""https://docs.google.com/spreadsheets/d/1d2vevQ_7D_v35q4wCQ4RpQ_IPoTwEMB9Yp6ymwlPqew/edit?gid=984458430#gid=984458430"", ""'replication success'!A:M""), 12, FAlSE)"),"#N/A")</f>
        <v>#N/A</v>
      </c>
      <c r="BA1683" s="61" t="str">
        <f>IFERROR(__xludf.DUMMYFUNCTION("vlookup(BB1683,importrange(""https://docs.google.com/spreadsheets/d/1d2vevQ_7D_v35q4wCQ4RpQ_IPoTwEMB9Yp6ymwlPqew/edit?gid=984458430#gid=984458430"", ""'replication success'!A:M""), 13, FAlSE)"),"#N/A")</f>
        <v>#N/A</v>
      </c>
      <c r="BB1683" s="61" t="str">
        <f>IFERROR(__xludf.DUMMYFUNCTION("REGEXREPLACE(G1683, ""_[a-z]{1,2}$"", """")"),"Manylabs2_10_1")</f>
        <v>Manylabs2_10_1</v>
      </c>
      <c r="BC1683" s="68"/>
      <c r="BD1683" s="68" t="s">
        <v>5074</v>
      </c>
    </row>
    <row r="1684">
      <c r="A1684" s="44">
        <v>1684.0</v>
      </c>
      <c r="B1684" s="68" t="s">
        <v>4523</v>
      </c>
      <c r="C1684" s="62" t="s">
        <v>115</v>
      </c>
      <c r="D1684" s="62" t="s">
        <v>232</v>
      </c>
      <c r="F1684" s="68" t="s">
        <v>9723</v>
      </c>
      <c r="G1684" s="159" t="s">
        <v>9738</v>
      </c>
      <c r="H1684" s="159" t="s">
        <v>6940</v>
      </c>
      <c r="I1684" s="152">
        <v>45687.0</v>
      </c>
      <c r="J1684" s="152">
        <v>45693.0</v>
      </c>
      <c r="K1684" s="159" t="s">
        <v>9739</v>
      </c>
      <c r="L1684" s="481" t="s">
        <v>9726</v>
      </c>
      <c r="M1684" s="159" t="s">
        <v>9727</v>
      </c>
      <c r="N1684" s="159" t="s">
        <v>9728</v>
      </c>
      <c r="O1684" s="159" t="s">
        <v>4092</v>
      </c>
      <c r="P1684" s="606" t="str">
        <f t="shared" si="118"/>
        <v>10.1002--ejsp.2013.pdf</v>
      </c>
      <c r="Q1684" s="52" t="str">
        <f t="array" ref="Q1684"> if(iserror(MATCH(V1684, 'File Links'!C:C, 0)), "N/A", HYPERLINK(INDEX('File Links'!B:B, MATCH(P1684, 'File Links'!C:C, 0))))</f>
        <v>https://drive.google.com/file/d/1KmyHkB13ZFEziyeMZJmfqm6YYEH53iJL/view?usp=drivesdk</v>
      </c>
      <c r="R1684" s="159" t="s">
        <v>9579</v>
      </c>
      <c r="S1684" s="159" t="s">
        <v>9580</v>
      </c>
      <c r="T1684" s="68"/>
      <c r="U1684" s="156">
        <v>14.0</v>
      </c>
      <c r="V1684" s="198" t="str">
        <f t="shared" si="114"/>
        <v>10.1177--2515245918810225.pdf</v>
      </c>
      <c r="W1684" s="68" t="s">
        <v>209</v>
      </c>
      <c r="X1684" s="54" t="str">
        <f t="array" ref="X1684"> if(iserror(MATCH(V1684, 'File Links'!C:C, 0)), "N/A", HYPERLINK(INDEX('File Links'!B:B, MATCH(V1684, 'File Links'!C:C, 0))))</f>
        <v>https://drive.google.com/file/d/1rGqHLpg3OEGQnWLvlAEJr7JSMWJ2p-Ar/view?usp=drivesdk</v>
      </c>
      <c r="Y1684" s="68"/>
      <c r="Z1684" s="1115" t="s">
        <v>226</v>
      </c>
      <c r="AA1684" s="68"/>
      <c r="AB1684" s="1115" t="s">
        <v>9729</v>
      </c>
      <c r="AC1684" s="159" t="s">
        <v>9740</v>
      </c>
      <c r="AD1684" s="159" t="s">
        <v>9741</v>
      </c>
      <c r="AE1684" s="159" t="s">
        <v>9732</v>
      </c>
      <c r="AF1684" s="156">
        <v>100.0</v>
      </c>
      <c r="AG1684" s="156">
        <v>0.37</v>
      </c>
      <c r="AH1684" s="159" t="s">
        <v>173</v>
      </c>
      <c r="AI1684" s="159" t="s">
        <v>9732</v>
      </c>
      <c r="AJ1684" s="156">
        <v>0.01</v>
      </c>
      <c r="AK1684" s="159" t="s">
        <v>172</v>
      </c>
      <c r="AL1684" s="159" t="s">
        <v>186</v>
      </c>
      <c r="AM1684" s="68" t="s">
        <v>137</v>
      </c>
      <c r="AN1684" s="330" t="s">
        <v>138</v>
      </c>
      <c r="AO1684" s="156">
        <v>142.0</v>
      </c>
      <c r="AP1684" s="156">
        <v>-0.55</v>
      </c>
      <c r="AQ1684" s="159" t="s">
        <v>173</v>
      </c>
      <c r="AR1684" s="159" t="s">
        <v>9733</v>
      </c>
      <c r="AS1684" s="156">
        <v>0.001</v>
      </c>
      <c r="AT1684" s="159" t="s">
        <v>172</v>
      </c>
      <c r="AU1684" s="159" t="s">
        <v>186</v>
      </c>
      <c r="AV1684" s="68" t="s">
        <v>137</v>
      </c>
      <c r="AW1684" s="435" t="s">
        <v>9588</v>
      </c>
      <c r="AX1684" s="68" t="s">
        <v>143</v>
      </c>
      <c r="AY1684" s="61" t="str">
        <f>IFERROR(__xludf.DUMMYFUNCTION("vlookup(BB1684,importrange(""https://docs.google.com/spreadsheets/d/1d2vevQ_7D_v35q4wCQ4RpQ_IPoTwEMB9Yp6ymwlPqew/edit?gid=984458430#gid=984458430"", ""'replication success'!A:K""), 11, FAlSE)"),"#N/A")</f>
        <v>#N/A</v>
      </c>
      <c r="AZ1684" s="61" t="str">
        <f>IFERROR(__xludf.DUMMYFUNCTION("vlookup(BB1684,importrange(""https://docs.google.com/spreadsheets/d/1d2vevQ_7D_v35q4wCQ4RpQ_IPoTwEMB9Yp6ymwlPqew/edit?gid=984458430#gid=984458430"", ""'replication success'!A:M""), 12, FAlSE)"),"#N/A")</f>
        <v>#N/A</v>
      </c>
      <c r="BA1684" s="61" t="str">
        <f>IFERROR(__xludf.DUMMYFUNCTION("vlookup(BB1684,importrange(""https://docs.google.com/spreadsheets/d/1d2vevQ_7D_v35q4wCQ4RpQ_IPoTwEMB9Yp6ymwlPqew/edit?gid=984458430#gid=984458430"", ""'replication success'!A:M""), 13, FAlSE)"),"#N/A")</f>
        <v>#N/A</v>
      </c>
      <c r="BB1684" s="61" t="str">
        <f>IFERROR(__xludf.DUMMYFUNCTION("REGEXREPLACE(G1684, ""_[a-z]{1,2}$"", """")"),"Manylabs2_10_1")</f>
        <v>Manylabs2_10_1</v>
      </c>
      <c r="BC1684" s="68"/>
      <c r="BD1684" s="68" t="s">
        <v>5074</v>
      </c>
    </row>
    <row r="1685">
      <c r="A1685" s="44">
        <v>1685.0</v>
      </c>
      <c r="B1685" s="68" t="s">
        <v>114</v>
      </c>
      <c r="C1685" s="62" t="s">
        <v>115</v>
      </c>
      <c r="D1685" s="62" t="s">
        <v>145</v>
      </c>
      <c r="F1685" s="68" t="s">
        <v>9723</v>
      </c>
      <c r="G1685" s="68" t="s">
        <v>9724</v>
      </c>
      <c r="H1685" s="678" t="s">
        <v>5592</v>
      </c>
      <c r="I1685" s="152">
        <v>45673.0</v>
      </c>
      <c r="J1685" s="152">
        <v>45693.0</v>
      </c>
      <c r="K1685" s="159" t="s">
        <v>9742</v>
      </c>
      <c r="L1685" s="68"/>
      <c r="M1685" s="68" t="s">
        <v>9727</v>
      </c>
      <c r="N1685" s="68" t="s">
        <v>9728</v>
      </c>
      <c r="O1685" s="159" t="s">
        <v>4092</v>
      </c>
      <c r="P1685" s="606" t="str">
        <f t="shared" si="118"/>
        <v>10.1002--ejsp.2013.pdf</v>
      </c>
      <c r="Q1685" s="52" t="str">
        <f t="array" ref="Q1685"> if(iserror(MATCH(V1685, 'File Links'!C:C, 0)), "N/A", HYPERLINK(INDEX('File Links'!B:B, MATCH(P1685, 'File Links'!C:C, 0))))</f>
        <v>https://drive.google.com/file/d/1KmyHkB13ZFEziyeMZJmfqm6YYEH53iJL/view?usp=drivesdk</v>
      </c>
      <c r="R1685" s="1115" t="s">
        <v>9579</v>
      </c>
      <c r="S1685" s="1115" t="s">
        <v>9580</v>
      </c>
      <c r="T1685" s="68"/>
      <c r="U1685" s="68"/>
      <c r="V1685" s="198" t="str">
        <f t="shared" si="114"/>
        <v>10.1177--2515245918810225.pdf</v>
      </c>
      <c r="W1685" s="1300" t="s">
        <v>209</v>
      </c>
      <c r="X1685" s="54" t="str">
        <f t="array" ref="X1685"> if(iserror(MATCH(V1685, 'File Links'!C:C, 0)), "N/A", HYPERLINK(INDEX('File Links'!B:B, MATCH(V1685, 'File Links'!C:C, 0))))</f>
        <v>https://drive.google.com/file/d/1rGqHLpg3OEGQnWLvlAEJr7JSMWJ2p-Ar/view?usp=drivesdk</v>
      </c>
      <c r="Y1685" s="68"/>
      <c r="Z1685" s="159" t="s">
        <v>226</v>
      </c>
      <c r="AA1685" s="68"/>
      <c r="AB1685" s="159" t="s">
        <v>9729</v>
      </c>
      <c r="AC1685" s="159" t="s">
        <v>9743</v>
      </c>
      <c r="AD1685" s="159" t="s">
        <v>9744</v>
      </c>
      <c r="AE1685" s="1545">
        <v>45750.0</v>
      </c>
      <c r="AF1685" s="156">
        <v>180.0</v>
      </c>
      <c r="AG1685" s="156">
        <v>0.1</v>
      </c>
      <c r="AH1685" s="1060" t="s">
        <v>139</v>
      </c>
      <c r="AI1685" s="159" t="s">
        <v>217</v>
      </c>
      <c r="AJ1685" s="156">
        <v>0.001</v>
      </c>
      <c r="AK1685" s="159" t="s">
        <v>135</v>
      </c>
      <c r="AL1685" s="1060" t="s">
        <v>136</v>
      </c>
      <c r="AM1685" s="68" t="s">
        <v>137</v>
      </c>
      <c r="AN1685" s="330" t="s">
        <v>138</v>
      </c>
      <c r="AO1685" s="156">
        <v>6591.0</v>
      </c>
      <c r="AP1685" s="156">
        <v>0.4</v>
      </c>
      <c r="AQ1685" s="159" t="s">
        <v>173</v>
      </c>
      <c r="AR1685" s="159" t="s">
        <v>612</v>
      </c>
      <c r="AS1685" s="1061">
        <v>2.15E-57</v>
      </c>
      <c r="AT1685" s="159" t="s">
        <v>172</v>
      </c>
      <c r="AU1685" s="159" t="s">
        <v>186</v>
      </c>
      <c r="AV1685" s="68" t="s">
        <v>137</v>
      </c>
      <c r="AW1685" s="1119" t="s">
        <v>9588</v>
      </c>
      <c r="AX1685" s="68" t="s">
        <v>143</v>
      </c>
      <c r="AY1685" s="61" t="str">
        <f>IFERROR(__xludf.DUMMYFUNCTION("vlookup(BB1685,importrange(""https://docs.google.com/spreadsheets/d/1d2vevQ_7D_v35q4wCQ4RpQ_IPoTwEMB9Yp6ymwlPqew/edit?gid=984458430#gid=984458430"", ""'replication success'!A:K""), 11, FAlSE)"),"#N/A")</f>
        <v>#N/A</v>
      </c>
      <c r="AZ1685" s="61" t="str">
        <f>IFERROR(__xludf.DUMMYFUNCTION("vlookup(BB1685,importrange(""https://docs.google.com/spreadsheets/d/1d2vevQ_7D_v35q4wCQ4RpQ_IPoTwEMB9Yp6ymwlPqew/edit?gid=984458430#gid=984458430"", ""'replication success'!A:M""), 12, FAlSE)"),"#N/A")</f>
        <v>#N/A</v>
      </c>
      <c r="BA1685" s="61" t="str">
        <f>IFERROR(__xludf.DUMMYFUNCTION("vlookup(BB1685,importrange(""https://docs.google.com/spreadsheets/d/1d2vevQ_7D_v35q4wCQ4RpQ_IPoTwEMB9Yp6ymwlPqew/edit?gid=984458430#gid=984458430"", ""'replication success'!A:M""), 13, FAlSE)"),"#N/A")</f>
        <v>#N/A</v>
      </c>
      <c r="BB1685" s="61" t="str">
        <f>IFERROR(__xludf.DUMMYFUNCTION("REGEXREPLACE(G1685, ""_[a-z]{1,2}$"", """")"),"Manylabs2_10_1")</f>
        <v>Manylabs2_10_1</v>
      </c>
      <c r="BC1685" s="68"/>
      <c r="BD1685" s="68" t="s">
        <v>5074</v>
      </c>
    </row>
    <row r="1686">
      <c r="A1686" s="44">
        <v>1686.0</v>
      </c>
      <c r="B1686" s="68" t="s">
        <v>114</v>
      </c>
      <c r="C1686" s="62" t="s">
        <v>115</v>
      </c>
      <c r="D1686" s="62" t="s">
        <v>145</v>
      </c>
      <c r="F1686" s="68" t="s">
        <v>9723</v>
      </c>
      <c r="G1686" s="68" t="s">
        <v>9734</v>
      </c>
      <c r="H1686" s="678" t="s">
        <v>5592</v>
      </c>
      <c r="I1686" s="152">
        <v>45673.0</v>
      </c>
      <c r="J1686" s="152">
        <v>45693.0</v>
      </c>
      <c r="K1686" s="159" t="s">
        <v>9742</v>
      </c>
      <c r="L1686" s="68"/>
      <c r="M1686" s="68" t="s">
        <v>9727</v>
      </c>
      <c r="N1686" s="68" t="s">
        <v>9728</v>
      </c>
      <c r="O1686" s="159" t="s">
        <v>4092</v>
      </c>
      <c r="P1686" s="606" t="str">
        <f t="shared" si="118"/>
        <v>10.1002--ejsp.2013.pdf</v>
      </c>
      <c r="Q1686" s="52" t="str">
        <f t="array" ref="Q1686"> if(iserror(MATCH(V1686, 'File Links'!C:C, 0)), "N/A", HYPERLINK(INDEX('File Links'!B:B, MATCH(P1686, 'File Links'!C:C, 0))))</f>
        <v>https://drive.google.com/file/d/1KmyHkB13ZFEziyeMZJmfqm6YYEH53iJL/view?usp=drivesdk</v>
      </c>
      <c r="R1686" s="1115" t="s">
        <v>9579</v>
      </c>
      <c r="S1686" s="1115" t="s">
        <v>9580</v>
      </c>
      <c r="T1686" s="68"/>
      <c r="U1686" s="68"/>
      <c r="V1686" s="198" t="str">
        <f t="shared" si="114"/>
        <v>10.1177--2515245918810225.pdf</v>
      </c>
      <c r="W1686" s="1300" t="s">
        <v>209</v>
      </c>
      <c r="X1686" s="54" t="str">
        <f t="array" ref="X1686"> if(iserror(MATCH(V1686, 'File Links'!C:C, 0)), "N/A", HYPERLINK(INDEX('File Links'!B:B, MATCH(V1686, 'File Links'!C:C, 0))))</f>
        <v>https://drive.google.com/file/d/1rGqHLpg3OEGQnWLvlAEJr7JSMWJ2p-Ar/view?usp=drivesdk</v>
      </c>
      <c r="Y1686" s="68"/>
      <c r="Z1686" s="159" t="s">
        <v>226</v>
      </c>
      <c r="AA1686" s="68"/>
      <c r="AB1686" s="159" t="s">
        <v>9729</v>
      </c>
      <c r="AC1686" s="159" t="s">
        <v>9745</v>
      </c>
      <c r="AD1686" s="159" t="s">
        <v>9746</v>
      </c>
      <c r="AE1686" s="1545">
        <v>45750.0</v>
      </c>
      <c r="AF1686" s="1059">
        <v>180.0</v>
      </c>
      <c r="AG1686" s="156">
        <v>0.53</v>
      </c>
      <c r="AH1686" s="159" t="s">
        <v>173</v>
      </c>
      <c r="AI1686" s="159" t="s">
        <v>217</v>
      </c>
      <c r="AJ1686" s="156">
        <v>0.01</v>
      </c>
      <c r="AK1686" s="159" t="s">
        <v>135</v>
      </c>
      <c r="AL1686" s="1060" t="s">
        <v>136</v>
      </c>
      <c r="AM1686" s="68" t="s">
        <v>137</v>
      </c>
      <c r="AN1686" s="330" t="s">
        <v>138</v>
      </c>
      <c r="AO1686" s="1059">
        <v>6591.0</v>
      </c>
      <c r="AP1686" s="156">
        <v>1.03</v>
      </c>
      <c r="AQ1686" s="159" t="s">
        <v>173</v>
      </c>
      <c r="AR1686" s="159" t="s">
        <v>612</v>
      </c>
      <c r="AS1686" s="1061">
        <v>6.53E-115</v>
      </c>
      <c r="AT1686" s="159" t="s">
        <v>172</v>
      </c>
      <c r="AU1686" s="159" t="s">
        <v>186</v>
      </c>
      <c r="AV1686" s="68" t="s">
        <v>137</v>
      </c>
      <c r="AW1686" s="1119" t="s">
        <v>9588</v>
      </c>
      <c r="AX1686" s="68" t="s">
        <v>143</v>
      </c>
      <c r="AY1686" s="61" t="str">
        <f>IFERROR(__xludf.DUMMYFUNCTION("vlookup(BB1686,importrange(""https://docs.google.com/spreadsheets/d/1d2vevQ_7D_v35q4wCQ4RpQ_IPoTwEMB9Yp6ymwlPqew/edit?gid=984458430#gid=984458430"", ""'replication success'!A:K""), 11, FAlSE)"),"#N/A")</f>
        <v>#N/A</v>
      </c>
      <c r="AZ1686" s="61" t="str">
        <f>IFERROR(__xludf.DUMMYFUNCTION("vlookup(BB1686,importrange(""https://docs.google.com/spreadsheets/d/1d2vevQ_7D_v35q4wCQ4RpQ_IPoTwEMB9Yp6ymwlPqew/edit?gid=984458430#gid=984458430"", ""'replication success'!A:M""), 12, FAlSE)"),"#N/A")</f>
        <v>#N/A</v>
      </c>
      <c r="BA1686" s="61" t="str">
        <f>IFERROR(__xludf.DUMMYFUNCTION("vlookup(BB1686,importrange(""https://docs.google.com/spreadsheets/d/1d2vevQ_7D_v35q4wCQ4RpQ_IPoTwEMB9Yp6ymwlPqew/edit?gid=984458430#gid=984458430"", ""'replication success'!A:M""), 13, FAlSE)"),"#N/A")</f>
        <v>#N/A</v>
      </c>
      <c r="BB1686" s="61" t="str">
        <f>IFERROR(__xludf.DUMMYFUNCTION("REGEXREPLACE(G1686, ""_[a-z]{1,2}$"", """")"),"Manylabs2_10_1")</f>
        <v>Manylabs2_10_1</v>
      </c>
      <c r="BC1686" s="68"/>
      <c r="BD1686" s="68" t="s">
        <v>5074</v>
      </c>
    </row>
    <row r="1687">
      <c r="A1687" s="44">
        <v>1687.0</v>
      </c>
      <c r="B1687" s="68" t="s">
        <v>114</v>
      </c>
      <c r="C1687" s="62" t="s">
        <v>115</v>
      </c>
      <c r="D1687" s="62" t="s">
        <v>145</v>
      </c>
      <c r="F1687" s="68" t="s">
        <v>9723</v>
      </c>
      <c r="G1687" s="159" t="s">
        <v>9738</v>
      </c>
      <c r="H1687" s="678" t="s">
        <v>5592</v>
      </c>
      <c r="I1687" s="152">
        <v>45673.0</v>
      </c>
      <c r="J1687" s="152">
        <v>45693.0</v>
      </c>
      <c r="K1687" s="159" t="s">
        <v>9742</v>
      </c>
      <c r="L1687" s="68"/>
      <c r="M1687" s="68" t="s">
        <v>9727</v>
      </c>
      <c r="N1687" s="68" t="s">
        <v>9728</v>
      </c>
      <c r="O1687" s="159" t="s">
        <v>4092</v>
      </c>
      <c r="P1687" s="606" t="str">
        <f t="shared" si="118"/>
        <v>10.1002--ejsp.2013.pdf</v>
      </c>
      <c r="Q1687" s="52" t="str">
        <f t="array" ref="Q1687"> if(iserror(MATCH(V1687, 'File Links'!C:C, 0)), "N/A", HYPERLINK(INDEX('File Links'!B:B, MATCH(P1687, 'File Links'!C:C, 0))))</f>
        <v>https://drive.google.com/file/d/1KmyHkB13ZFEziyeMZJmfqm6YYEH53iJL/view?usp=drivesdk</v>
      </c>
      <c r="R1687" s="1115" t="s">
        <v>9579</v>
      </c>
      <c r="S1687" s="1115" t="s">
        <v>9580</v>
      </c>
      <c r="T1687" s="68"/>
      <c r="U1687" s="68"/>
      <c r="V1687" s="198" t="str">
        <f t="shared" si="114"/>
        <v>10.1177--2515245918810225.pdf</v>
      </c>
      <c r="W1687" s="1300" t="s">
        <v>209</v>
      </c>
      <c r="X1687" s="54" t="str">
        <f t="array" ref="X1687"> if(iserror(MATCH(V1687, 'File Links'!C:C, 0)), "N/A", HYPERLINK(INDEX('File Links'!B:B, MATCH(V1687, 'File Links'!C:C, 0))))</f>
        <v>https://drive.google.com/file/d/1rGqHLpg3OEGQnWLvlAEJr7JSMWJ2p-Ar/view?usp=drivesdk</v>
      </c>
      <c r="Y1687" s="68"/>
      <c r="Z1687" s="159" t="s">
        <v>226</v>
      </c>
      <c r="AA1687" s="68"/>
      <c r="AB1687" s="159" t="s">
        <v>9729</v>
      </c>
      <c r="AC1687" s="159" t="s">
        <v>9747</v>
      </c>
      <c r="AD1687" s="159" t="s">
        <v>9748</v>
      </c>
      <c r="AE1687" s="1545">
        <v>45750.0</v>
      </c>
      <c r="AF1687" s="1059">
        <v>180.0</v>
      </c>
      <c r="AG1687" s="156">
        <v>0.37</v>
      </c>
      <c r="AH1687" s="159" t="s">
        <v>173</v>
      </c>
      <c r="AI1687" s="159" t="s">
        <v>217</v>
      </c>
      <c r="AJ1687" s="156">
        <v>0.01</v>
      </c>
      <c r="AK1687" s="159" t="s">
        <v>172</v>
      </c>
      <c r="AL1687" s="1060" t="s">
        <v>136</v>
      </c>
      <c r="AM1687" s="68" t="s">
        <v>137</v>
      </c>
      <c r="AN1687" s="330" t="s">
        <v>138</v>
      </c>
      <c r="AO1687" s="1059">
        <v>6591.0</v>
      </c>
      <c r="AP1687" s="156">
        <v>-0.55</v>
      </c>
      <c r="AQ1687" s="159" t="s">
        <v>173</v>
      </c>
      <c r="AR1687" s="159" t="s">
        <v>612</v>
      </c>
      <c r="AS1687" s="156">
        <v>0.001</v>
      </c>
      <c r="AT1687" s="159" t="s">
        <v>172</v>
      </c>
      <c r="AU1687" s="159" t="s">
        <v>186</v>
      </c>
      <c r="AV1687" s="68" t="s">
        <v>137</v>
      </c>
      <c r="AW1687" s="1119" t="s">
        <v>9588</v>
      </c>
      <c r="AX1687" s="68" t="s">
        <v>143</v>
      </c>
      <c r="AY1687" s="61" t="str">
        <f>IFERROR(__xludf.DUMMYFUNCTION("vlookup(BB1687,importrange(""https://docs.google.com/spreadsheets/d/1d2vevQ_7D_v35q4wCQ4RpQ_IPoTwEMB9Yp6ymwlPqew/edit?gid=984458430#gid=984458430"", ""'replication success'!A:K""), 11, FAlSE)"),"#N/A")</f>
        <v>#N/A</v>
      </c>
      <c r="AZ1687" s="61" t="str">
        <f>IFERROR(__xludf.DUMMYFUNCTION("vlookup(BB1687,importrange(""https://docs.google.com/spreadsheets/d/1d2vevQ_7D_v35q4wCQ4RpQ_IPoTwEMB9Yp6ymwlPqew/edit?gid=984458430#gid=984458430"", ""'replication success'!A:M""), 12, FAlSE)"),"#N/A")</f>
        <v>#N/A</v>
      </c>
      <c r="BA1687" s="61" t="str">
        <f>IFERROR(__xludf.DUMMYFUNCTION("vlookup(BB1687,importrange(""https://docs.google.com/spreadsheets/d/1d2vevQ_7D_v35q4wCQ4RpQ_IPoTwEMB9Yp6ymwlPqew/edit?gid=984458430#gid=984458430"", ""'replication success'!A:M""), 13, FAlSE)"),"#N/A")</f>
        <v>#N/A</v>
      </c>
      <c r="BB1687" s="61" t="str">
        <f>IFERROR(__xludf.DUMMYFUNCTION("REGEXREPLACE(G1687, ""_[a-z]{1,2}$"", """")"),"Manylabs2_10_1")</f>
        <v>Manylabs2_10_1</v>
      </c>
      <c r="BC1687" s="68"/>
      <c r="BD1687" s="68" t="s">
        <v>5074</v>
      </c>
    </row>
    <row r="1688">
      <c r="A1688" s="44">
        <v>1688.0</v>
      </c>
      <c r="B1688" s="68" t="s">
        <v>590</v>
      </c>
      <c r="C1688" s="62" t="s">
        <v>115</v>
      </c>
      <c r="D1688" s="62" t="s">
        <v>232</v>
      </c>
      <c r="F1688" s="68" t="s">
        <v>9749</v>
      </c>
      <c r="G1688" s="68" t="s">
        <v>9750</v>
      </c>
      <c r="H1688" s="159" t="s">
        <v>6940</v>
      </c>
      <c r="I1688" s="152">
        <v>45687.0</v>
      </c>
      <c r="J1688" s="152">
        <v>45693.0</v>
      </c>
      <c r="K1688" s="68" t="s">
        <v>9751</v>
      </c>
      <c r="L1688" s="481" t="s">
        <v>9752</v>
      </c>
      <c r="M1688" s="159" t="s">
        <v>9753</v>
      </c>
      <c r="N1688" s="159" t="s">
        <v>7656</v>
      </c>
      <c r="O1688" s="156">
        <v>10.0</v>
      </c>
      <c r="P1688" s="606" t="str">
        <f t="shared" si="118"/>
        <v>10.1126--science.7455683.pdf</v>
      </c>
      <c r="Q1688" s="52" t="str">
        <f t="array" ref="Q1688"> if(iserror(MATCH(V1688, 'File Links'!C:C, 0)), "N/A", HYPERLINK(INDEX('File Links'!B:B, MATCH(P1688, 'File Links'!C:C, 0))))</f>
        <v>https://drive.google.com/file/d/1KdKryH9Qx-Olx2xYcWf9zZPlU9JsWLmq/view?usp=drivesdk</v>
      </c>
      <c r="R1688" s="159" t="s">
        <v>9579</v>
      </c>
      <c r="S1688" s="159" t="s">
        <v>9580</v>
      </c>
      <c r="T1688" s="68"/>
      <c r="U1688" s="156">
        <v>15.0</v>
      </c>
      <c r="V1688" s="198" t="str">
        <f t="shared" si="114"/>
        <v>10.1177--2515245918810225.pdf</v>
      </c>
      <c r="W1688" s="68" t="s">
        <v>209</v>
      </c>
      <c r="X1688" s="54" t="str">
        <f t="array" ref="X1688"> if(iserror(MATCH(V1688, 'File Links'!C:C, 0)), "N/A", HYPERLINK(INDEX('File Links'!B:B, MATCH(V1688, 'File Links'!C:C, 0))))</f>
        <v>https://drive.google.com/file/d/1rGqHLpg3OEGQnWLvlAEJr7JSMWJ2p-Ar/view?usp=drivesdk</v>
      </c>
      <c r="Y1688" s="68"/>
      <c r="Z1688" s="1115" t="s">
        <v>210</v>
      </c>
      <c r="AA1688" s="159" t="s">
        <v>9754</v>
      </c>
      <c r="AB1688" s="159" t="s">
        <v>9755</v>
      </c>
      <c r="AC1688" s="159" t="s">
        <v>9756</v>
      </c>
      <c r="AD1688" s="159" t="s">
        <v>9757</v>
      </c>
      <c r="AE1688" s="159" t="s">
        <v>9587</v>
      </c>
      <c r="AF1688" s="156">
        <v>181.0</v>
      </c>
      <c r="AG1688" s="1120">
        <v>5.2025862068965525</v>
      </c>
      <c r="AH1688" s="159" t="s">
        <v>722</v>
      </c>
      <c r="AI1688" s="159" t="s">
        <v>9758</v>
      </c>
      <c r="AJ1688" s="159" t="s">
        <v>138</v>
      </c>
      <c r="AK1688" s="68"/>
      <c r="AL1688" s="159" t="s">
        <v>186</v>
      </c>
      <c r="AM1688" s="68" t="s">
        <v>137</v>
      </c>
      <c r="AN1688" s="330" t="s">
        <v>138</v>
      </c>
      <c r="AO1688" s="156">
        <v>7228.0</v>
      </c>
      <c r="AP1688" s="156">
        <v>0.4</v>
      </c>
      <c r="AQ1688" s="159" t="s">
        <v>173</v>
      </c>
      <c r="AR1688" s="159" t="s">
        <v>9686</v>
      </c>
      <c r="AS1688" s="1093">
        <f>IFERROR(__xludf.DUMMYFUNCTION(" 1.01*10^-50"),1.01E-50)</f>
        <v>0</v>
      </c>
      <c r="AT1688" s="1115" t="s">
        <v>172</v>
      </c>
      <c r="AU1688" s="159" t="s">
        <v>136</v>
      </c>
      <c r="AV1688" s="68" t="s">
        <v>137</v>
      </c>
      <c r="AW1688" s="435" t="s">
        <v>9588</v>
      </c>
      <c r="AX1688" s="68" t="s">
        <v>143</v>
      </c>
      <c r="AY1688" s="61" t="str">
        <f>IFERROR(__xludf.DUMMYFUNCTION("vlookup(BB1688,importrange(""https://docs.google.com/spreadsheets/d/1d2vevQ_7D_v35q4wCQ4RpQ_IPoTwEMB9Yp6ymwlPqew/edit?gid=984458430#gid=984458430"", ""'replication success'!A:K""), 11, FAlSE)"),"#N/A")</f>
        <v>#N/A</v>
      </c>
      <c r="AZ1688" s="61" t="str">
        <f>IFERROR(__xludf.DUMMYFUNCTION("vlookup(BB1688,importrange(""https://docs.google.com/spreadsheets/d/1d2vevQ_7D_v35q4wCQ4RpQ_IPoTwEMB9Yp6ymwlPqew/edit?gid=984458430#gid=984458430"", ""'replication success'!A:M""), 12, FAlSE)"),"#N/A")</f>
        <v>#N/A</v>
      </c>
      <c r="BA1688" s="61" t="str">
        <f>IFERROR(__xludf.DUMMYFUNCTION("vlookup(BB1688,importrange(""https://docs.google.com/spreadsheets/d/1d2vevQ_7D_v35q4wCQ4RpQ_IPoTwEMB9Yp6ymwlPqew/edit?gid=984458430#gid=984458430"", ""'replication success'!A:M""), 13, FAlSE)"),"#N/A")</f>
        <v>#N/A</v>
      </c>
      <c r="BB1688" s="61" t="str">
        <f>IFERROR(__xludf.DUMMYFUNCTION("REGEXREPLACE(G1688, ""_[a-z]{1,2}$"", """")"),"Manylabs2_11_1")</f>
        <v>Manylabs2_11_1</v>
      </c>
      <c r="BC1688" s="68"/>
      <c r="BD1688" s="68" t="s">
        <v>5074</v>
      </c>
    </row>
    <row r="1689">
      <c r="A1689" s="44">
        <v>1689.0</v>
      </c>
      <c r="B1689" s="68" t="s">
        <v>114</v>
      </c>
      <c r="C1689" s="62" t="s">
        <v>115</v>
      </c>
      <c r="D1689" s="62" t="s">
        <v>145</v>
      </c>
      <c r="F1689" s="68" t="s">
        <v>9749</v>
      </c>
      <c r="G1689" s="159" t="s">
        <v>9750</v>
      </c>
      <c r="H1689" s="678" t="s">
        <v>5592</v>
      </c>
      <c r="I1689" s="152">
        <v>45673.0</v>
      </c>
      <c r="J1689" s="152">
        <v>45693.0</v>
      </c>
      <c r="K1689" s="159" t="s">
        <v>9759</v>
      </c>
      <c r="L1689" s="68"/>
      <c r="M1689" s="68" t="s">
        <v>9753</v>
      </c>
      <c r="N1689" s="68" t="s">
        <v>7656</v>
      </c>
      <c r="O1689" s="156">
        <v>10.0</v>
      </c>
      <c r="P1689" s="606" t="str">
        <f t="shared" si="118"/>
        <v>10.1126--science.7455683.pdf</v>
      </c>
      <c r="Q1689" s="52" t="str">
        <f t="array" ref="Q1689"> if(iserror(MATCH(V1689, 'File Links'!C:C, 0)), "N/A", HYPERLINK(INDEX('File Links'!B:B, MATCH(P1689, 'File Links'!C:C, 0))))</f>
        <v>https://drive.google.com/file/d/1KdKryH9Qx-Olx2xYcWf9zZPlU9JsWLmq/view?usp=drivesdk</v>
      </c>
      <c r="R1689" s="1115" t="s">
        <v>9579</v>
      </c>
      <c r="S1689" s="1115" t="s">
        <v>9580</v>
      </c>
      <c r="T1689" s="68"/>
      <c r="U1689" s="68"/>
      <c r="V1689" s="198" t="str">
        <f t="shared" si="114"/>
        <v>10.1177--2515245918810225.pdf</v>
      </c>
      <c r="W1689" s="1300" t="s">
        <v>209</v>
      </c>
      <c r="X1689" s="54" t="str">
        <f t="array" ref="X1689"> if(iserror(MATCH(V1689, 'File Links'!C:C, 0)), "N/A", HYPERLINK(INDEX('File Links'!B:B, MATCH(V1689, 'File Links'!C:C, 0))))</f>
        <v>https://drive.google.com/file/d/1rGqHLpg3OEGQnWLvlAEJr7JSMWJ2p-Ar/view?usp=drivesdk</v>
      </c>
      <c r="Y1689" s="68"/>
      <c r="Z1689" s="159" t="s">
        <v>210</v>
      </c>
      <c r="AA1689" s="68"/>
      <c r="AB1689" s="159" t="s">
        <v>9755</v>
      </c>
      <c r="AC1689" s="159" t="s">
        <v>9756</v>
      </c>
      <c r="AD1689" s="159" t="s">
        <v>9760</v>
      </c>
      <c r="AE1689" s="156">
        <v>5.0</v>
      </c>
      <c r="AF1689" s="156">
        <v>181.0</v>
      </c>
      <c r="AG1689" s="156">
        <v>4.96</v>
      </c>
      <c r="AH1689" s="159" t="s">
        <v>722</v>
      </c>
      <c r="AI1689" s="159" t="s">
        <v>2812</v>
      </c>
      <c r="AJ1689" s="1061">
        <v>7.4E-7</v>
      </c>
      <c r="AK1689" s="159" t="s">
        <v>172</v>
      </c>
      <c r="AL1689" s="159" t="s">
        <v>186</v>
      </c>
      <c r="AM1689" s="68" t="s">
        <v>137</v>
      </c>
      <c r="AN1689" s="330" t="s">
        <v>138</v>
      </c>
      <c r="AO1689" s="156">
        <v>7228.0</v>
      </c>
      <c r="AP1689" s="156">
        <v>0.4</v>
      </c>
      <c r="AQ1689" s="159" t="s">
        <v>173</v>
      </c>
      <c r="AR1689" s="159" t="s">
        <v>2812</v>
      </c>
      <c r="AS1689" s="1061">
        <v>1.01E-50</v>
      </c>
      <c r="AT1689" s="159" t="s">
        <v>172</v>
      </c>
      <c r="AU1689" s="1060" t="s">
        <v>186</v>
      </c>
      <c r="AV1689" s="68" t="s">
        <v>137</v>
      </c>
      <c r="AW1689" s="1119" t="s">
        <v>9588</v>
      </c>
      <c r="AX1689" s="68" t="s">
        <v>143</v>
      </c>
      <c r="AY1689" s="61" t="str">
        <f>IFERROR(__xludf.DUMMYFUNCTION("vlookup(BB1689,importrange(""https://docs.google.com/spreadsheets/d/1d2vevQ_7D_v35q4wCQ4RpQ_IPoTwEMB9Yp6ymwlPqew/edit?gid=984458430#gid=984458430"", ""'replication success'!A:K""), 11, FAlSE)"),"#N/A")</f>
        <v>#N/A</v>
      </c>
      <c r="AZ1689" s="61" t="str">
        <f>IFERROR(__xludf.DUMMYFUNCTION("vlookup(BB1689,importrange(""https://docs.google.com/spreadsheets/d/1d2vevQ_7D_v35q4wCQ4RpQ_IPoTwEMB9Yp6ymwlPqew/edit?gid=984458430#gid=984458430"", ""'replication success'!A:M""), 12, FAlSE)"),"#N/A")</f>
        <v>#N/A</v>
      </c>
      <c r="BA1689" s="61" t="str">
        <f>IFERROR(__xludf.DUMMYFUNCTION("vlookup(BB1689,importrange(""https://docs.google.com/spreadsheets/d/1d2vevQ_7D_v35q4wCQ4RpQ_IPoTwEMB9Yp6ymwlPqew/edit?gid=984458430#gid=984458430"", ""'replication success'!A:M""), 13, FAlSE)"),"#N/A")</f>
        <v>#N/A</v>
      </c>
      <c r="BB1689" s="61" t="str">
        <f>IFERROR(__xludf.DUMMYFUNCTION("REGEXREPLACE(G1689, ""_[a-z]{1,2}$"", """")"),"Manylabs2_11_1")</f>
        <v>Manylabs2_11_1</v>
      </c>
      <c r="BC1689" s="68"/>
      <c r="BD1689" s="68" t="s">
        <v>5074</v>
      </c>
    </row>
    <row r="1690">
      <c r="A1690" s="44">
        <v>1690.0</v>
      </c>
      <c r="B1690" s="68" t="s">
        <v>590</v>
      </c>
      <c r="C1690" s="62" t="s">
        <v>115</v>
      </c>
      <c r="D1690" s="62" t="s">
        <v>232</v>
      </c>
      <c r="F1690" s="68" t="s">
        <v>9761</v>
      </c>
      <c r="G1690" s="159" t="s">
        <v>9762</v>
      </c>
      <c r="H1690" s="159" t="s">
        <v>6940</v>
      </c>
      <c r="I1690" s="152">
        <v>45687.0</v>
      </c>
      <c r="J1690" s="152">
        <v>45693.0</v>
      </c>
      <c r="K1690" s="68"/>
      <c r="L1690" s="481" t="s">
        <v>9763</v>
      </c>
      <c r="M1690" s="159" t="s">
        <v>9764</v>
      </c>
      <c r="N1690" s="159" t="s">
        <v>9765</v>
      </c>
      <c r="O1690" s="156">
        <v>1.0</v>
      </c>
      <c r="P1690" s="606" t="str">
        <f t="shared" si="118"/>
        <v>10.1037--a0015141.pdf</v>
      </c>
      <c r="Q1690" s="52" t="str">
        <f t="array" ref="Q1690"> if(iserror(MATCH(V1690, 'File Links'!C:C, 0)), "N/A", HYPERLINK(INDEX('File Links'!B:B, MATCH(P1690, 'File Links'!C:C, 0))))</f>
        <v>https://drive.google.com/file/d/1hVohJjrePDnbP3YuG-OoIFpV1SI20xvZ/view?usp=drivesdk</v>
      </c>
      <c r="R1690" s="159" t="s">
        <v>9579</v>
      </c>
      <c r="S1690" s="159" t="s">
        <v>9580</v>
      </c>
      <c r="T1690" s="68"/>
      <c r="U1690" s="156">
        <v>16.0</v>
      </c>
      <c r="V1690" s="198" t="str">
        <f t="shared" si="114"/>
        <v>10.1177--2515245918810225.pdf</v>
      </c>
      <c r="W1690" s="68" t="s">
        <v>209</v>
      </c>
      <c r="X1690" s="54" t="str">
        <f t="array" ref="X1690"> if(iserror(MATCH(V1690, 'File Links'!C:C, 0)), "N/A", HYPERLINK(INDEX('File Links'!B:B, MATCH(V1690, 'File Links'!C:C, 0))))</f>
        <v>https://drive.google.com/file/d/1rGqHLpg3OEGQnWLvlAEJr7JSMWJ2p-Ar/view?usp=drivesdk</v>
      </c>
      <c r="Y1690" s="68"/>
      <c r="Z1690" s="159" t="s">
        <v>210</v>
      </c>
      <c r="AA1690" s="159" t="s">
        <v>9766</v>
      </c>
      <c r="AB1690" s="1115" t="s">
        <v>9767</v>
      </c>
      <c r="AC1690" s="159" t="s">
        <v>9768</v>
      </c>
      <c r="AD1690" s="159" t="s">
        <v>9769</v>
      </c>
      <c r="AE1690" s="481" t="s">
        <v>9770</v>
      </c>
      <c r="AF1690" s="496">
        <v>1548.0</v>
      </c>
      <c r="AG1690" s="496">
        <v>0.25</v>
      </c>
      <c r="AH1690" s="481" t="s">
        <v>361</v>
      </c>
      <c r="AI1690" s="481" t="s">
        <v>9771</v>
      </c>
      <c r="AJ1690" s="156">
        <v>0.001</v>
      </c>
      <c r="AK1690" s="159" t="s">
        <v>135</v>
      </c>
      <c r="AL1690" s="159" t="s">
        <v>186</v>
      </c>
      <c r="AM1690" s="68" t="s">
        <v>137</v>
      </c>
      <c r="AN1690" s="330" t="s">
        <v>138</v>
      </c>
      <c r="AO1690" s="156">
        <v>6966.0</v>
      </c>
      <c r="AP1690" s="156">
        <v>0.29</v>
      </c>
      <c r="AQ1690" s="159" t="s">
        <v>173</v>
      </c>
      <c r="AR1690" s="159" t="s">
        <v>9772</v>
      </c>
      <c r="AS1690" s="1093">
        <f>IFERROR(__xludf.DUMMYFUNCTION(" 6.5*10^-34"),6.5E-34)</f>
        <v>0</v>
      </c>
      <c r="AT1690" s="159" t="s">
        <v>135</v>
      </c>
      <c r="AU1690" s="159" t="s">
        <v>186</v>
      </c>
      <c r="AV1690" s="68" t="s">
        <v>137</v>
      </c>
      <c r="AW1690" s="435" t="s">
        <v>9588</v>
      </c>
      <c r="AX1690" s="68" t="s">
        <v>438</v>
      </c>
      <c r="AY1690" s="61" t="str">
        <f>IFERROR(__xludf.DUMMYFUNCTION("vlookup(BB1690,importrange(""https://docs.google.com/spreadsheets/d/1d2vevQ_7D_v35q4wCQ4RpQ_IPoTwEMB9Yp6ymwlPqew/edit?gid=984458430#gid=984458430"", ""'replication success'!A:K""), 11, FAlSE)"),"#N/A")</f>
        <v>#N/A</v>
      </c>
      <c r="AZ1690" s="61" t="str">
        <f>IFERROR(__xludf.DUMMYFUNCTION("vlookup(BB1690,importrange(""https://docs.google.com/spreadsheets/d/1d2vevQ_7D_v35q4wCQ4RpQ_IPoTwEMB9Yp6ymwlPqew/edit?gid=984458430#gid=984458430"", ""'replication success'!A:M""), 12, FAlSE)"),"#N/A")</f>
        <v>#N/A</v>
      </c>
      <c r="BA1690" s="61" t="str">
        <f>IFERROR(__xludf.DUMMYFUNCTION("vlookup(BB1690,importrange(""https://docs.google.com/spreadsheets/d/1d2vevQ_7D_v35q4wCQ4RpQ_IPoTwEMB9Yp6ymwlPqew/edit?gid=984458430#gid=984458430"", ""'replication success'!A:M""), 13, FAlSE)"),"#N/A")</f>
        <v>#N/A</v>
      </c>
      <c r="BB1690" s="61" t="str">
        <f>IFERROR(__xludf.DUMMYFUNCTION("REGEXREPLACE(G1690, ""_[a-z]{1,2}$"", """")"),"Manylabs2_12_1")</f>
        <v>Manylabs2_12_1</v>
      </c>
      <c r="BC1690" s="68"/>
      <c r="BD1690" s="68" t="s">
        <v>5074</v>
      </c>
    </row>
    <row r="1691">
      <c r="A1691" s="44">
        <v>1691.0</v>
      </c>
      <c r="B1691" s="68" t="s">
        <v>590</v>
      </c>
      <c r="C1691" s="62" t="s">
        <v>115</v>
      </c>
      <c r="D1691" s="62" t="s">
        <v>145</v>
      </c>
      <c r="F1691" s="68" t="s">
        <v>9761</v>
      </c>
      <c r="G1691" s="159" t="s">
        <v>9762</v>
      </c>
      <c r="H1691" s="678" t="s">
        <v>5592</v>
      </c>
      <c r="I1691" s="152">
        <v>45673.0</v>
      </c>
      <c r="J1691" s="152">
        <v>45693.0</v>
      </c>
      <c r="K1691" s="159" t="s">
        <v>9773</v>
      </c>
      <c r="L1691" s="481" t="s">
        <v>9774</v>
      </c>
      <c r="M1691" s="68" t="s">
        <v>9775</v>
      </c>
      <c r="N1691" s="68" t="s">
        <v>9765</v>
      </c>
      <c r="O1691" s="156">
        <v>1.0</v>
      </c>
      <c r="P1691" s="606" t="str">
        <f t="shared" si="118"/>
        <v>10.1037--a0015141.pdf</v>
      </c>
      <c r="Q1691" s="52" t="str">
        <f t="array" ref="Q1691"> if(iserror(MATCH(V1691, 'File Links'!C:C, 0)), "N/A", HYPERLINK(INDEX('File Links'!B:B, MATCH(P1691, 'File Links'!C:C, 0))))</f>
        <v>https://drive.google.com/file/d/1hVohJjrePDnbP3YuG-OoIFpV1SI20xvZ/view?usp=drivesdk</v>
      </c>
      <c r="R1691" s="1115" t="s">
        <v>9579</v>
      </c>
      <c r="S1691" s="1115" t="s">
        <v>9580</v>
      </c>
      <c r="T1691" s="68"/>
      <c r="U1691" s="1093">
        <v>16.0</v>
      </c>
      <c r="V1691" s="198" t="str">
        <f t="shared" si="114"/>
        <v>10.1177--2515245918810225.pdf</v>
      </c>
      <c r="W1691" s="1300" t="s">
        <v>209</v>
      </c>
      <c r="X1691" s="54" t="str">
        <f t="array" ref="X1691"> if(iserror(MATCH(V1691, 'File Links'!C:C, 0)), "N/A", HYPERLINK(INDEX('File Links'!B:B, MATCH(V1691, 'File Links'!C:C, 0))))</f>
        <v>https://drive.google.com/file/d/1rGqHLpg3OEGQnWLvlAEJr7JSMWJ2p-Ar/view?usp=drivesdk</v>
      </c>
      <c r="Y1691" s="68"/>
      <c r="Z1691" s="1115" t="s">
        <v>210</v>
      </c>
      <c r="AA1691" s="1115" t="s">
        <v>9766</v>
      </c>
      <c r="AB1691" s="159" t="s">
        <v>9767</v>
      </c>
      <c r="AC1691" s="159" t="s">
        <v>9776</v>
      </c>
      <c r="AD1691" s="159" t="s">
        <v>9777</v>
      </c>
      <c r="AE1691" s="1779" t="s">
        <v>9770</v>
      </c>
      <c r="AF1691" s="496">
        <v>1209.0</v>
      </c>
      <c r="AG1691" s="496">
        <v>0.61</v>
      </c>
      <c r="AH1691" s="481" t="s">
        <v>139</v>
      </c>
      <c r="AI1691" s="1779" t="s">
        <v>9771</v>
      </c>
      <c r="AJ1691" s="156">
        <v>0.001</v>
      </c>
      <c r="AK1691" s="159" t="s">
        <v>135</v>
      </c>
      <c r="AL1691" s="159" t="s">
        <v>186</v>
      </c>
      <c r="AM1691" s="68" t="s">
        <v>137</v>
      </c>
      <c r="AN1691" s="330" t="s">
        <v>138</v>
      </c>
      <c r="AO1691" s="156">
        <v>6970.0</v>
      </c>
      <c r="AP1691" s="156">
        <v>-0.27</v>
      </c>
      <c r="AQ1691" s="159" t="s">
        <v>173</v>
      </c>
      <c r="AR1691" s="159" t="s">
        <v>9778</v>
      </c>
      <c r="AS1691" s="1061">
        <v>2.54E-29</v>
      </c>
      <c r="AT1691" s="159" t="s">
        <v>172</v>
      </c>
      <c r="AU1691" s="159" t="s">
        <v>186</v>
      </c>
      <c r="AV1691" s="68" t="s">
        <v>137</v>
      </c>
      <c r="AW1691" s="1119" t="s">
        <v>9588</v>
      </c>
      <c r="AX1691" s="1300" t="s">
        <v>438</v>
      </c>
      <c r="AY1691" s="61" t="str">
        <f>IFERROR(__xludf.DUMMYFUNCTION("vlookup(BB1691,importrange(""https://docs.google.com/spreadsheets/d/1d2vevQ_7D_v35q4wCQ4RpQ_IPoTwEMB9Yp6ymwlPqew/edit?gid=984458430#gid=984458430"", ""'replication success'!A:K""), 11, FAlSE)"),"#N/A")</f>
        <v>#N/A</v>
      </c>
      <c r="AZ1691" s="61" t="str">
        <f>IFERROR(__xludf.DUMMYFUNCTION("vlookup(BB1691,importrange(""https://docs.google.com/spreadsheets/d/1d2vevQ_7D_v35q4wCQ4RpQ_IPoTwEMB9Yp6ymwlPqew/edit?gid=984458430#gid=984458430"", ""'replication success'!A:M""), 12, FAlSE)"),"#N/A")</f>
        <v>#N/A</v>
      </c>
      <c r="BA1691" s="61" t="str">
        <f>IFERROR(__xludf.DUMMYFUNCTION("vlookup(BB1691,importrange(""https://docs.google.com/spreadsheets/d/1d2vevQ_7D_v35q4wCQ4RpQ_IPoTwEMB9Yp6ymwlPqew/edit?gid=984458430#gid=984458430"", ""'replication success'!A:M""), 13, FAlSE)"),"#N/A")</f>
        <v>#N/A</v>
      </c>
      <c r="BB1691" s="61" t="str">
        <f>IFERROR(__xludf.DUMMYFUNCTION("REGEXREPLACE(G1691, ""_[a-z]{1,2}$"", """")"),"Manylabs2_12_1")</f>
        <v>Manylabs2_12_1</v>
      </c>
      <c r="BC1691" s="68"/>
      <c r="BD1691" s="68" t="s">
        <v>5074</v>
      </c>
    </row>
    <row r="1692">
      <c r="A1692" s="44">
        <v>1692.0</v>
      </c>
      <c r="B1692" s="68" t="s">
        <v>114</v>
      </c>
      <c r="C1692" s="62" t="s">
        <v>115</v>
      </c>
      <c r="D1692" s="62" t="s">
        <v>145</v>
      </c>
      <c r="F1692" s="68" t="s">
        <v>9761</v>
      </c>
      <c r="G1692" s="159" t="s">
        <v>9779</v>
      </c>
      <c r="H1692" s="678" t="s">
        <v>5592</v>
      </c>
      <c r="I1692" s="152">
        <v>45673.0</v>
      </c>
      <c r="J1692" s="152">
        <v>45693.0</v>
      </c>
      <c r="K1692" s="159" t="s">
        <v>9780</v>
      </c>
      <c r="L1692" s="68"/>
      <c r="M1692" s="68" t="s">
        <v>9775</v>
      </c>
      <c r="N1692" s="68" t="s">
        <v>9765</v>
      </c>
      <c r="O1692" s="156">
        <v>1.0</v>
      </c>
      <c r="P1692" s="606" t="str">
        <f t="shared" si="118"/>
        <v>10.1037--a0015141.pdf</v>
      </c>
      <c r="Q1692" s="52" t="str">
        <f t="array" ref="Q1692"> if(iserror(MATCH(V1692, 'File Links'!C:C, 0)), "N/A", HYPERLINK(INDEX('File Links'!B:B, MATCH(P1692, 'File Links'!C:C, 0))))</f>
        <v>https://drive.google.com/file/d/1hVohJjrePDnbP3YuG-OoIFpV1SI20xvZ/view?usp=drivesdk</v>
      </c>
      <c r="R1692" s="1115" t="s">
        <v>9579</v>
      </c>
      <c r="S1692" s="1115" t="s">
        <v>9580</v>
      </c>
      <c r="T1692" s="68"/>
      <c r="U1692" s="68"/>
      <c r="V1692" s="198" t="str">
        <f t="shared" si="114"/>
        <v>10.1177--2515245918810225.pdf</v>
      </c>
      <c r="W1692" s="1300" t="s">
        <v>209</v>
      </c>
      <c r="X1692" s="54" t="str">
        <f t="array" ref="X1692"> if(iserror(MATCH(V1692, 'File Links'!C:C, 0)), "N/A", HYPERLINK(INDEX('File Links'!B:B, MATCH(V1692, 'File Links'!C:C, 0))))</f>
        <v>https://drive.google.com/file/d/1rGqHLpg3OEGQnWLvlAEJr7JSMWJ2p-Ar/view?usp=drivesdk</v>
      </c>
      <c r="Y1692" s="68"/>
      <c r="Z1692" s="159" t="s">
        <v>226</v>
      </c>
      <c r="AA1692" s="68"/>
      <c r="AB1692" s="159" t="s">
        <v>9767</v>
      </c>
      <c r="AC1692" s="159" t="s">
        <v>9781</v>
      </c>
      <c r="AD1692" s="159" t="s">
        <v>9782</v>
      </c>
      <c r="AE1692" s="1545">
        <v>45781.0</v>
      </c>
      <c r="AF1692" s="156">
        <v>1209.0</v>
      </c>
      <c r="AG1692" s="156">
        <v>0.16</v>
      </c>
      <c r="AH1692" s="159" t="s">
        <v>139</v>
      </c>
      <c r="AI1692" s="159" t="s">
        <v>850</v>
      </c>
      <c r="AJ1692" s="156">
        <v>0.001</v>
      </c>
      <c r="AK1692" s="159" t="s">
        <v>135</v>
      </c>
      <c r="AL1692" s="159" t="s">
        <v>186</v>
      </c>
      <c r="AM1692" s="68" t="s">
        <v>137</v>
      </c>
      <c r="AN1692" s="330" t="s">
        <v>138</v>
      </c>
      <c r="AO1692" s="156">
        <v>6966.0</v>
      </c>
      <c r="AP1692" s="156">
        <v>0.29</v>
      </c>
      <c r="AQ1692" s="159" t="s">
        <v>173</v>
      </c>
      <c r="AR1692" s="159" t="s">
        <v>9783</v>
      </c>
      <c r="AS1692" s="1061">
        <v>6.05E-34</v>
      </c>
      <c r="AT1692" s="159" t="s">
        <v>172</v>
      </c>
      <c r="AU1692" s="159" t="s">
        <v>186</v>
      </c>
      <c r="AV1692" s="68" t="s">
        <v>137</v>
      </c>
      <c r="AW1692" s="1119" t="s">
        <v>9588</v>
      </c>
      <c r="AX1692" s="1392" t="s">
        <v>143</v>
      </c>
      <c r="AY1692" s="61" t="str">
        <f>IFERROR(__xludf.DUMMYFUNCTION("vlookup(BB1692,importrange(""https://docs.google.com/spreadsheets/d/1d2vevQ_7D_v35q4wCQ4RpQ_IPoTwEMB9Yp6ymwlPqew/edit?gid=984458430#gid=984458430"", ""'replication success'!A:K""), 11, FAlSE)"),"#N/A")</f>
        <v>#N/A</v>
      </c>
      <c r="AZ1692" s="61" t="str">
        <f>IFERROR(__xludf.DUMMYFUNCTION("vlookup(BB1692,importrange(""https://docs.google.com/spreadsheets/d/1d2vevQ_7D_v35q4wCQ4RpQ_IPoTwEMB9Yp6ymwlPqew/edit?gid=984458430#gid=984458430"", ""'replication success'!A:M""), 12, FAlSE)"),"#N/A")</f>
        <v>#N/A</v>
      </c>
      <c r="BA1692" s="61" t="str">
        <f>IFERROR(__xludf.DUMMYFUNCTION("vlookup(BB1692,importrange(""https://docs.google.com/spreadsheets/d/1d2vevQ_7D_v35q4wCQ4RpQ_IPoTwEMB9Yp6ymwlPqew/edit?gid=984458430#gid=984458430"", ""'replication success'!A:M""), 13, FAlSE)"),"#N/A")</f>
        <v>#N/A</v>
      </c>
      <c r="BB1692" s="61" t="str">
        <f>IFERROR(__xludf.DUMMYFUNCTION("REGEXREPLACE(G1692, ""_[a-z]{1,2}$"", """")"),"Manylabs2_12_1")</f>
        <v>Manylabs2_12_1</v>
      </c>
      <c r="BC1692" s="68"/>
      <c r="BD1692" s="68" t="s">
        <v>5074</v>
      </c>
    </row>
    <row r="1693">
      <c r="A1693" s="44">
        <v>1693.0</v>
      </c>
      <c r="B1693" s="129" t="s">
        <v>152</v>
      </c>
      <c r="C1693" s="62" t="s">
        <v>115</v>
      </c>
      <c r="D1693" s="62" t="s">
        <v>232</v>
      </c>
      <c r="F1693" s="159" t="s">
        <v>9784</v>
      </c>
      <c r="G1693" s="159" t="s">
        <v>9785</v>
      </c>
      <c r="H1693" s="159" t="s">
        <v>6940</v>
      </c>
      <c r="I1693" s="152">
        <v>45687.0</v>
      </c>
      <c r="J1693" s="152">
        <v>45693.0</v>
      </c>
      <c r="K1693" s="159"/>
      <c r="L1693" s="151" t="s">
        <v>9786</v>
      </c>
      <c r="M1693" s="159" t="s">
        <v>9787</v>
      </c>
      <c r="N1693" s="159" t="s">
        <v>9664</v>
      </c>
      <c r="O1693" s="159" t="s">
        <v>9788</v>
      </c>
      <c r="P1693" s="606" t="str">
        <f t="shared" si="118"/>
        <v>10.1111-- j.1468-0017.2006.00297.x.pdf</v>
      </c>
      <c r="Q1693" s="52" t="str">
        <f t="array" ref="Q1693"> if(iserror(MATCH(V1693, 'File Links'!C:C, 0)), "N/A", HYPERLINK(INDEX('File Links'!B:B, MATCH(P1693, 'File Links'!C:C, 0))))</f>
        <v>https://drive.google.com/file/d/1H2OS8Rk6wh8PVpv13iom_WUpLu0fEeBU/view?usp=drivesdk</v>
      </c>
      <c r="R1693" s="159" t="s">
        <v>9579</v>
      </c>
      <c r="S1693" s="159" t="s">
        <v>9580</v>
      </c>
      <c r="T1693" s="68"/>
      <c r="U1693" s="156">
        <v>17.0</v>
      </c>
      <c r="V1693" s="198" t="str">
        <f t="shared" si="114"/>
        <v>10.1177--2515245918810225.pdf</v>
      </c>
      <c r="W1693" s="68" t="s">
        <v>209</v>
      </c>
      <c r="X1693" s="54" t="str">
        <f t="array" ref="X1693"> if(iserror(MATCH(V1693, 'File Links'!C:C, 0)), "N/A", HYPERLINK(INDEX('File Links'!B:B, MATCH(V1693, 'File Links'!C:C, 0))))</f>
        <v>https://drive.google.com/file/d/1rGqHLpg3OEGQnWLvlAEJr7JSMWJ2p-Ar/view?usp=drivesdk</v>
      </c>
      <c r="Y1693" s="68"/>
      <c r="Z1693" s="1115" t="s">
        <v>226</v>
      </c>
      <c r="AA1693" s="151" t="s">
        <v>9789</v>
      </c>
      <c r="AB1693" s="1115" t="s">
        <v>9667</v>
      </c>
      <c r="AC1693" s="151" t="s">
        <v>9668</v>
      </c>
      <c r="AD1693" s="151" t="s">
        <v>9790</v>
      </c>
      <c r="AE1693" s="159" t="s">
        <v>613</v>
      </c>
      <c r="AF1693" s="156">
        <v>2612.0</v>
      </c>
      <c r="AG1693" s="161">
        <v>2.02</v>
      </c>
      <c r="AH1693" s="151" t="s">
        <v>722</v>
      </c>
      <c r="AI1693" s="151" t="s">
        <v>9791</v>
      </c>
      <c r="AJ1693" s="156">
        <v>0.001</v>
      </c>
      <c r="AK1693" s="159" t="s">
        <v>135</v>
      </c>
      <c r="AL1693" s="159" t="s">
        <v>186</v>
      </c>
      <c r="AM1693" s="68" t="s">
        <v>137</v>
      </c>
      <c r="AN1693" s="330" t="s">
        <v>138</v>
      </c>
      <c r="AO1693" s="156">
        <v>7923.0</v>
      </c>
      <c r="AP1693" s="156">
        <v>0.25</v>
      </c>
      <c r="AQ1693" s="159" t="s">
        <v>173</v>
      </c>
      <c r="AR1693" s="159" t="s">
        <v>9792</v>
      </c>
      <c r="AS1693" s="1093">
        <f>IFERROR(__xludf.DUMMYFUNCTION(" 4.66*10^-23"),4.66E-23)</f>
        <v>0</v>
      </c>
      <c r="AT1693" s="1115" t="s">
        <v>172</v>
      </c>
      <c r="AU1693" s="159" t="s">
        <v>136</v>
      </c>
      <c r="AV1693" s="68" t="s">
        <v>137</v>
      </c>
      <c r="AW1693" s="435" t="s">
        <v>9588</v>
      </c>
      <c r="AX1693" s="68" t="s">
        <v>143</v>
      </c>
      <c r="AY1693" s="61" t="str">
        <f>IFERROR(__xludf.DUMMYFUNCTION("vlookup(BB1693,importrange(""https://docs.google.com/spreadsheets/d/1d2vevQ_7D_v35q4wCQ4RpQ_IPoTwEMB9Yp6ymwlPqew/edit?gid=984458430#gid=984458430"", ""'replication success'!A:K""), 11, FAlSE)"),"mixed")</f>
        <v>mixed</v>
      </c>
      <c r="AZ1693" s="61" t="str">
        <f>IFERROR(__xludf.DUMMYFUNCTION("vlookup(BB1693,importrange(""https://docs.google.com/spreadsheets/d/1d2vevQ_7D_v35q4wCQ4RpQ_IPoTwEMB9Yp6ymwlPqew/edit?gid=984458430#gid=984458430"", ""'replication success'!A:M""), 12, FAlSE)"),"These results are consistent with
the principle of double effect, though the effect size was
somewhat smaller in the replication compared with the
original study (d = 0.25, 95% CI = [0.20, 0.30], vs. original
d = 0.34).")</f>
        <v>These results are consistent with
the principle of double effect, though the effect size was
somewhat smaller in the replication compared with the
original study (d = 0.25, 95% CI = [0.20, 0.30], vs. original
d = 0.34).</v>
      </c>
      <c r="BA1693" s="61" t="str">
        <f>IFERROR(__xludf.DUMMYFUNCTION("vlookup(BB1693,importrange(""https://docs.google.com/spreadsheets/d/1d2vevQ_7D_v35q4wCQ4RpQ_IPoTwEMB9Yp6ymwlPqew/edit?gid=984458430#gid=984458430"", ""'replication success'!A:M""), 13, FAlSE)"),"pg. 19")</f>
        <v>pg. 19</v>
      </c>
      <c r="BB1693" s="61" t="str">
        <f>IFERROR(__xludf.DUMMYFUNCTION("REGEXREPLACE(G1693, ""_[a-z]{1,2}$"", """")"),"Manylabs2_13_1")</f>
        <v>Manylabs2_13_1</v>
      </c>
      <c r="BC1693" s="68"/>
      <c r="BD1693" s="129" t="s">
        <v>6985</v>
      </c>
    </row>
    <row r="1694">
      <c r="A1694" s="44">
        <v>1694.0</v>
      </c>
      <c r="B1694" s="68" t="s">
        <v>114</v>
      </c>
      <c r="C1694" s="62" t="s">
        <v>115</v>
      </c>
      <c r="D1694" s="62" t="s">
        <v>145</v>
      </c>
      <c r="F1694" s="159" t="s">
        <v>9784</v>
      </c>
      <c r="G1694" s="159" t="s">
        <v>9785</v>
      </c>
      <c r="H1694" s="678" t="s">
        <v>5592</v>
      </c>
      <c r="I1694" s="152">
        <v>45667.0</v>
      </c>
      <c r="J1694" s="152">
        <v>45693.0</v>
      </c>
      <c r="K1694" s="68"/>
      <c r="L1694" s="68"/>
      <c r="M1694" s="68" t="s">
        <v>9787</v>
      </c>
      <c r="N1694" s="68" t="s">
        <v>9664</v>
      </c>
      <c r="O1694" s="159" t="s">
        <v>9793</v>
      </c>
      <c r="P1694" s="606" t="str">
        <f t="shared" si="118"/>
        <v>10.1111-- j.1468-0017.2006.00297.x.pdf</v>
      </c>
      <c r="Q1694" s="52" t="str">
        <f t="array" ref="Q1694"> if(iserror(MATCH(V1694, 'File Links'!C:C, 0)), "N/A", HYPERLINK(INDEX('File Links'!B:B, MATCH(P1694, 'File Links'!C:C, 0))))</f>
        <v>https://drive.google.com/file/d/1H2OS8Rk6wh8PVpv13iom_WUpLu0fEeBU/view?usp=drivesdk</v>
      </c>
      <c r="R1694" s="1115" t="s">
        <v>9579</v>
      </c>
      <c r="S1694" s="1115" t="s">
        <v>9580</v>
      </c>
      <c r="T1694" s="68"/>
      <c r="U1694" s="68"/>
      <c r="V1694" s="198" t="str">
        <f t="shared" si="114"/>
        <v>10.1177--2515245918810225.pdf</v>
      </c>
      <c r="W1694" s="1300" t="s">
        <v>209</v>
      </c>
      <c r="X1694" s="54" t="str">
        <f t="array" ref="X1694"> if(iserror(MATCH(V1694, 'File Links'!C:C, 0)), "N/A", HYPERLINK(INDEX('File Links'!B:B, MATCH(V1694, 'File Links'!C:C, 0))))</f>
        <v>https://drive.google.com/file/d/1rGqHLpg3OEGQnWLvlAEJr7JSMWJ2p-Ar/view?usp=drivesdk</v>
      </c>
      <c r="Y1694" s="68"/>
      <c r="Z1694" s="159" t="s">
        <v>226</v>
      </c>
      <c r="AA1694" s="68"/>
      <c r="AB1694" s="159" t="s">
        <v>9667</v>
      </c>
      <c r="AC1694" s="159" t="s">
        <v>9673</v>
      </c>
      <c r="AD1694" s="159" t="s">
        <v>9794</v>
      </c>
      <c r="AE1694" s="156">
        <v>8.0</v>
      </c>
      <c r="AF1694" s="156">
        <v>2612.0</v>
      </c>
      <c r="AG1694" s="156">
        <v>0.17</v>
      </c>
      <c r="AH1694" s="151" t="s">
        <v>271</v>
      </c>
      <c r="AI1694" s="159" t="s">
        <v>613</v>
      </c>
      <c r="AJ1694" s="156">
        <v>0.001</v>
      </c>
      <c r="AK1694" s="159" t="s">
        <v>135</v>
      </c>
      <c r="AL1694" s="159" t="s">
        <v>218</v>
      </c>
      <c r="AM1694" s="68" t="s">
        <v>1905</v>
      </c>
      <c r="AN1694" s="330" t="s">
        <v>138</v>
      </c>
      <c r="AO1694" s="156">
        <v>7923.0</v>
      </c>
      <c r="AP1694" s="156">
        <v>1.58</v>
      </c>
      <c r="AQ1694" s="159" t="s">
        <v>722</v>
      </c>
      <c r="AR1694" s="159" t="s">
        <v>3255</v>
      </c>
      <c r="AS1694" s="1061">
        <v>4.66E-23</v>
      </c>
      <c r="AT1694" s="159" t="s">
        <v>172</v>
      </c>
      <c r="AU1694" s="1060" t="s">
        <v>186</v>
      </c>
      <c r="AV1694" s="68" t="s">
        <v>137</v>
      </c>
      <c r="AW1694" s="1119" t="s">
        <v>9588</v>
      </c>
      <c r="AX1694" s="68" t="s">
        <v>143</v>
      </c>
      <c r="AY1694" s="61" t="str">
        <f>IFERROR(__xludf.DUMMYFUNCTION("vlookup(BB1694,importrange(""https://docs.google.com/spreadsheets/d/1d2vevQ_7D_v35q4wCQ4RpQ_IPoTwEMB9Yp6ymwlPqew/edit?gid=984458430#gid=984458430"", ""'replication success'!A:K""), 11, FAlSE)"),"mixed")</f>
        <v>mixed</v>
      </c>
      <c r="AZ1694" s="61" t="str">
        <f>IFERROR(__xludf.DUMMYFUNCTION("vlookup(BB1694,importrange(""https://docs.google.com/spreadsheets/d/1d2vevQ_7D_v35q4wCQ4RpQ_IPoTwEMB9Yp6ymwlPqew/edit?gid=984458430#gid=984458430"", ""'replication success'!A:M""), 12, FAlSE)"),"These results are consistent with
the principle of double effect, though the effect size was
somewhat smaller in the replication compared with the
original study (d = 0.25, 95% CI = [0.20, 0.30], vs. original
d = 0.34).")</f>
        <v>These results are consistent with
the principle of double effect, though the effect size was
somewhat smaller in the replication compared with the
original study (d = 0.25, 95% CI = [0.20, 0.30], vs. original
d = 0.34).</v>
      </c>
      <c r="BA1694" s="61" t="str">
        <f>IFERROR(__xludf.DUMMYFUNCTION("vlookup(BB1694,importrange(""https://docs.google.com/spreadsheets/d/1d2vevQ_7D_v35q4wCQ4RpQ_IPoTwEMB9Yp6ymwlPqew/edit?gid=984458430#gid=984458430"", ""'replication success'!A:M""), 13, FAlSE)"),"pg. 19")</f>
        <v>pg. 19</v>
      </c>
      <c r="BB1694" s="61" t="str">
        <f>IFERROR(__xludf.DUMMYFUNCTION("REGEXREPLACE(G1694, ""_[a-z]{1,2}$"", """")"),"Manylabs2_13_1")</f>
        <v>Manylabs2_13_1</v>
      </c>
      <c r="BC1694" s="68"/>
      <c r="BD1694" s="68" t="s">
        <v>5074</v>
      </c>
    </row>
    <row r="1695">
      <c r="A1695" s="44">
        <v>1695.0</v>
      </c>
      <c r="B1695" s="129" t="s">
        <v>152</v>
      </c>
      <c r="C1695" s="62" t="s">
        <v>115</v>
      </c>
      <c r="D1695" s="62" t="s">
        <v>232</v>
      </c>
      <c r="F1695" s="68" t="s">
        <v>9795</v>
      </c>
      <c r="G1695" s="159" t="s">
        <v>9796</v>
      </c>
      <c r="H1695" s="159" t="s">
        <v>6940</v>
      </c>
      <c r="I1695" s="152">
        <v>45687.0</v>
      </c>
      <c r="J1695" s="152">
        <v>45693.0</v>
      </c>
      <c r="K1695" s="159"/>
      <c r="L1695" s="151"/>
      <c r="M1695" s="159" t="s">
        <v>9797</v>
      </c>
      <c r="N1695" s="159" t="s">
        <v>4311</v>
      </c>
      <c r="O1695" s="156">
        <v>2.0</v>
      </c>
      <c r="P1695" s="606" t="str">
        <f t="shared" si="118"/>
        <v>10.1037--0022-3514.95.2.293.pdf</v>
      </c>
      <c r="Q1695" s="52" t="str">
        <f t="array" ref="Q1695"> if(iserror(MATCH(V1695, 'File Links'!C:C, 0)), "N/A", HYPERLINK(INDEX('File Links'!B:B, MATCH(P1695, 'File Links'!C:C, 0))))</f>
        <v>https://drive.google.com/file/d/1Gkz07e_5xnoHy7zdKAHfWY6layqbA2lX/view?usp=drivesdk</v>
      </c>
      <c r="R1695" s="159" t="s">
        <v>9579</v>
      </c>
      <c r="S1695" s="159" t="s">
        <v>9580</v>
      </c>
      <c r="T1695" s="68"/>
      <c r="U1695" s="156">
        <v>18.0</v>
      </c>
      <c r="V1695" s="198" t="str">
        <f t="shared" si="114"/>
        <v>10.1177--2515245918810225.pdf</v>
      </c>
      <c r="W1695" s="68" t="s">
        <v>209</v>
      </c>
      <c r="X1695" s="54" t="str">
        <f t="array" ref="X1695"> if(iserror(MATCH(V1695, 'File Links'!C:C, 0)), "N/A", HYPERLINK(INDEX('File Links'!B:B, MATCH(V1695, 'File Links'!C:C, 0))))</f>
        <v>https://drive.google.com/file/d/1rGqHLpg3OEGQnWLvlAEJr7JSMWJ2p-Ar/view?usp=drivesdk</v>
      </c>
      <c r="Y1695" s="68"/>
      <c r="Z1695" s="159" t="s">
        <v>947</v>
      </c>
      <c r="AA1695" s="374" t="s">
        <v>138</v>
      </c>
      <c r="AB1695" s="1115" t="s">
        <v>9798</v>
      </c>
      <c r="AC1695" s="159" t="s">
        <v>9799</v>
      </c>
      <c r="AD1695" s="151" t="s">
        <v>9800</v>
      </c>
      <c r="AE1695" s="159" t="s">
        <v>9801</v>
      </c>
      <c r="AF1695" s="156">
        <v>120.0</v>
      </c>
      <c r="AG1695" s="156">
        <v>0.39</v>
      </c>
      <c r="AH1695" s="159" t="s">
        <v>173</v>
      </c>
      <c r="AI1695" s="159" t="s">
        <v>9801</v>
      </c>
      <c r="AJ1695" s="156">
        <v>0.05</v>
      </c>
      <c r="AK1695" s="159" t="s">
        <v>135</v>
      </c>
      <c r="AL1695" s="159" t="s">
        <v>186</v>
      </c>
      <c r="AM1695" s="68" t="s">
        <v>137</v>
      </c>
      <c r="AN1695" s="330" t="s">
        <v>138</v>
      </c>
      <c r="AO1695" s="156">
        <v>8000.0</v>
      </c>
      <c r="AP1695" s="156">
        <v>0.18</v>
      </c>
      <c r="AQ1695" s="159" t="s">
        <v>173</v>
      </c>
      <c r="AR1695" s="159" t="s">
        <v>9792</v>
      </c>
      <c r="AS1695" s="1093">
        <f>IFERROR(__xludf.DUMMYFUNCTION("7.7*10^-16"),7.7E-16)</f>
        <v>0</v>
      </c>
      <c r="AT1695" s="1115" t="s">
        <v>172</v>
      </c>
      <c r="AU1695" s="159" t="s">
        <v>186</v>
      </c>
      <c r="AV1695" s="68" t="s">
        <v>137</v>
      </c>
      <c r="AW1695" s="435" t="s">
        <v>9588</v>
      </c>
      <c r="AX1695" s="68" t="s">
        <v>143</v>
      </c>
      <c r="AY1695" s="61" t="str">
        <f>IFERROR(__xludf.DUMMYFUNCTION("vlookup(BB1695,importrange(""https://docs.google.com/spreadsheets/d/1d2vevQ_7D_v35q4wCQ4RpQ_IPoTwEMB9Yp6ymwlPqew/edit?gid=984458430#gid=984458430"", ""'replication success'!A:K""), 11, FAlSE)"),"mixed")</f>
        <v>mixed</v>
      </c>
      <c r="AZ1695" s="61" t="str">
        <f>IFERROR(__xludf.DUMMYFUNCTION("vlookup(BB1695,importrange(""https://docs.google.com/spreadsheets/d/1d2vevQ_7D_v35q4wCQ4RpQ_IPoTwEMB9Yp6ymwlPqew/edit?gid=984458430#gid=984458430"", ""'replication success'!A:M""), 12, FAlSE)"),"This is consistent with the hypothesis that people believe
tempting fate increases the likelihood of a negative out-
come, though the effect size was less than half the effect
size in the original study (d = 0.18, 95% CI = [0.14, 0.22],
vs. original d"&amp;" = 0.39).")</f>
        <v>This is consistent with the hypothesis that people believe
tempting fate increases the likelihood of a negative out-
come, though the effect size was less than half the effect
size in the original study (d = 0.18, 95% CI = [0.14, 0.22],
vs. original d = 0.39).</v>
      </c>
      <c r="BA1695" s="61" t="str">
        <f>IFERROR(__xludf.DUMMYFUNCTION("vlookup(BB1695,importrange(""https://docs.google.com/spreadsheets/d/1d2vevQ_7D_v35q4wCQ4RpQ_IPoTwEMB9Yp6ymwlPqew/edit?gid=984458430#gid=984458430"", ""'replication success'!A:M""), 13, FAlSE)"),"pg. 19")</f>
        <v>pg. 19</v>
      </c>
      <c r="BB1695" s="61" t="str">
        <f>IFERROR(__xludf.DUMMYFUNCTION("REGEXREPLACE(G1695, ""_[a-z]{1,2}$"", """")"),"Manylabs2_14_1")</f>
        <v>Manylabs2_14_1</v>
      </c>
      <c r="BC1695" s="68"/>
      <c r="BD1695" s="129" t="s">
        <v>6985</v>
      </c>
    </row>
    <row r="1696">
      <c r="A1696" s="44">
        <v>1696.0</v>
      </c>
      <c r="B1696" s="68" t="s">
        <v>114</v>
      </c>
      <c r="C1696" s="62" t="s">
        <v>115</v>
      </c>
      <c r="D1696" s="62" t="s">
        <v>145</v>
      </c>
      <c r="F1696" s="68" t="s">
        <v>9795</v>
      </c>
      <c r="G1696" s="159" t="s">
        <v>9796</v>
      </c>
      <c r="H1696" s="678" t="s">
        <v>5592</v>
      </c>
      <c r="I1696" s="152">
        <v>45672.0</v>
      </c>
      <c r="J1696" s="152">
        <v>45693.0</v>
      </c>
      <c r="K1696" s="159" t="s">
        <v>9802</v>
      </c>
      <c r="L1696" s="68"/>
      <c r="M1696" s="68" t="s">
        <v>9797</v>
      </c>
      <c r="N1696" s="68" t="s">
        <v>4311</v>
      </c>
      <c r="O1696" s="156">
        <v>2.0</v>
      </c>
      <c r="P1696" s="606" t="str">
        <f t="shared" si="118"/>
        <v>10.1037--0022-3514.95.2.293.pdf</v>
      </c>
      <c r="Q1696" s="52" t="str">
        <f t="array" ref="Q1696"> if(iserror(MATCH(V1696, 'File Links'!C:C, 0)), "N/A", HYPERLINK(INDEX('File Links'!B:B, MATCH(P1696, 'File Links'!C:C, 0))))</f>
        <v>https://drive.google.com/file/d/1Gkz07e_5xnoHy7zdKAHfWY6layqbA2lX/view?usp=drivesdk</v>
      </c>
      <c r="R1696" s="1115" t="s">
        <v>9579</v>
      </c>
      <c r="S1696" s="1115" t="s">
        <v>9580</v>
      </c>
      <c r="T1696" s="68"/>
      <c r="U1696" s="68"/>
      <c r="V1696" s="198" t="str">
        <f t="shared" si="114"/>
        <v>10.1177--2515245918810225.pdf</v>
      </c>
      <c r="W1696" s="1300" t="s">
        <v>209</v>
      </c>
      <c r="X1696" s="54" t="str">
        <f t="array" ref="X1696"> if(iserror(MATCH(V1696, 'File Links'!C:C, 0)), "N/A", HYPERLINK(INDEX('File Links'!B:B, MATCH(V1696, 'File Links'!C:C, 0))))</f>
        <v>https://drive.google.com/file/d/1rGqHLpg3OEGQnWLvlAEJr7JSMWJ2p-Ar/view?usp=drivesdk</v>
      </c>
      <c r="Y1696" s="68"/>
      <c r="Z1696" s="159" t="s">
        <v>226</v>
      </c>
      <c r="AA1696" s="68"/>
      <c r="AB1696" s="159" t="s">
        <v>9798</v>
      </c>
      <c r="AC1696" s="159" t="s">
        <v>9803</v>
      </c>
      <c r="AD1696" s="159" t="s">
        <v>9804</v>
      </c>
      <c r="AE1696" s="156">
        <v>3.0</v>
      </c>
      <c r="AF1696" s="156">
        <v>120.0</v>
      </c>
      <c r="AG1696" s="156">
        <v>0.39</v>
      </c>
      <c r="AH1696" s="159" t="s">
        <v>173</v>
      </c>
      <c r="AI1696" s="159" t="s">
        <v>217</v>
      </c>
      <c r="AJ1696" s="156">
        <v>0.05</v>
      </c>
      <c r="AK1696" s="159" t="s">
        <v>135</v>
      </c>
      <c r="AL1696" s="159" t="s">
        <v>186</v>
      </c>
      <c r="AM1696" s="68" t="s">
        <v>137</v>
      </c>
      <c r="AN1696" s="330" t="s">
        <v>138</v>
      </c>
      <c r="AO1696" s="156">
        <v>8000.0</v>
      </c>
      <c r="AP1696" s="156">
        <v>0.18</v>
      </c>
      <c r="AQ1696" s="159" t="s">
        <v>173</v>
      </c>
      <c r="AR1696" s="159" t="s">
        <v>3255</v>
      </c>
      <c r="AS1696" s="1061">
        <v>7.7E-16</v>
      </c>
      <c r="AT1696" s="159" t="s">
        <v>172</v>
      </c>
      <c r="AU1696" s="159" t="s">
        <v>186</v>
      </c>
      <c r="AV1696" s="68" t="s">
        <v>137</v>
      </c>
      <c r="AW1696" s="1119" t="s">
        <v>9588</v>
      </c>
      <c r="AX1696" s="68" t="s">
        <v>143</v>
      </c>
      <c r="AY1696" s="61" t="str">
        <f>IFERROR(__xludf.DUMMYFUNCTION("vlookup(BB1696,importrange(""https://docs.google.com/spreadsheets/d/1d2vevQ_7D_v35q4wCQ4RpQ_IPoTwEMB9Yp6ymwlPqew/edit?gid=984458430#gid=984458430"", ""'replication success'!A:K""), 11, FAlSE)"),"mixed")</f>
        <v>mixed</v>
      </c>
      <c r="AZ1696" s="61" t="str">
        <f>IFERROR(__xludf.DUMMYFUNCTION("vlookup(BB1696,importrange(""https://docs.google.com/spreadsheets/d/1d2vevQ_7D_v35q4wCQ4RpQ_IPoTwEMB9Yp6ymwlPqew/edit?gid=984458430#gid=984458430"", ""'replication success'!A:M""), 12, FAlSE)"),"This is consistent with the hypothesis that people believe
tempting fate increases the likelihood of a negative out-
come, though the effect size was less than half the effect
size in the original study (d = 0.18, 95% CI = [0.14, 0.22],
vs. original d"&amp;" = 0.39).")</f>
        <v>This is consistent with the hypothesis that people believe
tempting fate increases the likelihood of a negative out-
come, though the effect size was less than half the effect
size in the original study (d = 0.18, 95% CI = [0.14, 0.22],
vs. original d = 0.39).</v>
      </c>
      <c r="BA1696" s="61" t="str">
        <f>IFERROR(__xludf.DUMMYFUNCTION("vlookup(BB1696,importrange(""https://docs.google.com/spreadsheets/d/1d2vevQ_7D_v35q4wCQ4RpQ_IPoTwEMB9Yp6ymwlPqew/edit?gid=984458430#gid=984458430"", ""'replication success'!A:M""), 13, FAlSE)"),"pg. 19")</f>
        <v>pg. 19</v>
      </c>
      <c r="BB1696" s="61" t="str">
        <f>IFERROR(__xludf.DUMMYFUNCTION("REGEXREPLACE(G1696, ""_[a-z]{1,2}$"", """")"),"Manylabs2_14_1")</f>
        <v>Manylabs2_14_1</v>
      </c>
      <c r="BC1696" s="68"/>
      <c r="BD1696" s="68" t="s">
        <v>5074</v>
      </c>
    </row>
    <row r="1697">
      <c r="A1697" s="44">
        <v>1697.0</v>
      </c>
      <c r="B1697" s="129" t="s">
        <v>152</v>
      </c>
      <c r="C1697" s="62" t="s">
        <v>115</v>
      </c>
      <c r="D1697" s="62" t="s">
        <v>232</v>
      </c>
      <c r="F1697" s="68" t="s">
        <v>9805</v>
      </c>
      <c r="G1697" s="159" t="s">
        <v>9806</v>
      </c>
      <c r="H1697" s="159" t="s">
        <v>6940</v>
      </c>
      <c r="I1697" s="152">
        <v>45687.0</v>
      </c>
      <c r="J1697" s="152">
        <v>45693.0</v>
      </c>
      <c r="K1697" s="151" t="s">
        <v>9807</v>
      </c>
      <c r="L1697" s="159"/>
      <c r="M1697" s="159" t="s">
        <v>9808</v>
      </c>
      <c r="N1697" s="159" t="s">
        <v>9809</v>
      </c>
      <c r="O1697" s="156">
        <v>4.0</v>
      </c>
      <c r="P1697" s="606" t="str">
        <f t="shared" si="118"/>
        <v>10.1177--0956797611429579.pdf</v>
      </c>
      <c r="Q1697" s="52" t="str">
        <f t="array" ref="Q1697"> if(iserror(MATCH(V1697, 'File Links'!C:C, 0)), "N/A", HYPERLINK(INDEX('File Links'!B:B, MATCH(P1697, 'File Links'!C:C, 0))))</f>
        <v>https://drive.google.com/file/d/1qh6jn8CXzXmvxEifk6kq4pZRCYHNO1mu/view?usp=drivesdk</v>
      </c>
      <c r="R1697" s="159" t="s">
        <v>9579</v>
      </c>
      <c r="S1697" s="159" t="s">
        <v>9580</v>
      </c>
      <c r="T1697" s="68"/>
      <c r="U1697" s="156">
        <v>19.0</v>
      </c>
      <c r="V1697" s="198" t="str">
        <f t="shared" si="114"/>
        <v>10.1177--2515245918810225.pdf</v>
      </c>
      <c r="W1697" s="68" t="s">
        <v>209</v>
      </c>
      <c r="X1697" s="54" t="str">
        <f t="array" ref="X1697"> if(iserror(MATCH(V1697, 'File Links'!C:C, 0)), "N/A", HYPERLINK(INDEX('File Links'!B:B, MATCH(V1697, 'File Links'!C:C, 0))))</f>
        <v>https://drive.google.com/file/d/1rGqHLpg3OEGQnWLvlAEJr7JSMWJ2p-Ar/view?usp=drivesdk</v>
      </c>
      <c r="Y1697" s="68"/>
      <c r="Z1697" s="1115" t="s">
        <v>226</v>
      </c>
      <c r="AA1697" s="374" t="s">
        <v>138</v>
      </c>
      <c r="AB1697" s="1115" t="s">
        <v>9810</v>
      </c>
      <c r="AC1697" s="159" t="s">
        <v>9811</v>
      </c>
      <c r="AD1697" s="159" t="s">
        <v>9812</v>
      </c>
      <c r="AE1697" s="159" t="s">
        <v>9813</v>
      </c>
      <c r="AF1697" s="156">
        <v>77.0</v>
      </c>
      <c r="AG1697" s="156">
        <v>0.87</v>
      </c>
      <c r="AH1697" s="159" t="s">
        <v>173</v>
      </c>
      <c r="AI1697" s="151" t="s">
        <v>9814</v>
      </c>
      <c r="AJ1697" s="156">
        <v>0.001</v>
      </c>
      <c r="AK1697" s="159" t="s">
        <v>172</v>
      </c>
      <c r="AL1697" s="159" t="s">
        <v>186</v>
      </c>
      <c r="AM1697" s="68" t="s">
        <v>137</v>
      </c>
      <c r="AN1697" s="330" t="s">
        <v>138</v>
      </c>
      <c r="AO1697" s="156">
        <v>6608.0</v>
      </c>
      <c r="AP1697" s="156">
        <v>0.12</v>
      </c>
      <c r="AQ1697" s="159" t="s">
        <v>173</v>
      </c>
      <c r="AR1697" s="159" t="s">
        <v>9815</v>
      </c>
      <c r="AS1697" s="156">
        <f>IFERROR(__xludf.DUMMYFUNCTION("8.62*10^-7"),8.619999999999999E-7)</f>
        <v>0.000000862</v>
      </c>
      <c r="AT1697" s="159" t="s">
        <v>172</v>
      </c>
      <c r="AU1697" s="159" t="s">
        <v>186</v>
      </c>
      <c r="AV1697" s="68" t="s">
        <v>137</v>
      </c>
      <c r="AW1697" s="435" t="s">
        <v>9588</v>
      </c>
      <c r="AX1697" s="68" t="s">
        <v>143</v>
      </c>
      <c r="AY1697" s="61" t="str">
        <f>IFERROR(__xludf.DUMMYFUNCTION("vlookup(BB1697,importrange(""https://docs.google.com/spreadsheets/d/1d2vevQ_7D_v35q4wCQ4RpQ_IPoTwEMB9Yp6ymwlPqew/edit?gid=984458430#gid=984458430"", ""'replication success'!A:K""), 11, FAlSE)"),"mixed")</f>
        <v>mixed</v>
      </c>
      <c r="AZ1697" s="61" t="str">
        <f>IFERROR(__xludf.DUMMYFUNCTION("vlookup(BB1697,importrange(""https://docs.google.com/spreadsheets/d/1d2vevQ_7D_v35q4wCQ4RpQ_IPoTwEMB9Yp6ymwlPqew/edit?gid=984458430#gid=984458430"",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697" s="61" t="str">
        <f>IFERROR(__xludf.DUMMYFUNCTION("vlookup(BB1697,importrange(""https://docs.google.com/spreadsheets/d/1d2vevQ_7D_v35q4wCQ4RpQ_IPoTwEMB9Yp6ymwlPqew/edit?gid=984458430#gid=984458430"", ""'replication success'!A:M""), 13, FAlSE)"),"pg. 14")</f>
        <v>pg. 14</v>
      </c>
      <c r="BB1697" s="61" t="str">
        <f>IFERROR(__xludf.DUMMYFUNCTION("REGEXREPLACE(G1697, ""_[a-z]{1,2}$"", """")"),"Manylabs2_15_1")</f>
        <v>Manylabs2_15_1</v>
      </c>
      <c r="BC1697" s="68"/>
      <c r="BD1697" s="129" t="s">
        <v>6985</v>
      </c>
    </row>
    <row r="1698">
      <c r="A1698" s="44">
        <v>1698.0</v>
      </c>
      <c r="B1698" s="219" t="s">
        <v>523</v>
      </c>
      <c r="C1698" s="62" t="s">
        <v>115</v>
      </c>
      <c r="D1698" s="62" t="s">
        <v>145</v>
      </c>
      <c r="F1698" s="68" t="s">
        <v>9805</v>
      </c>
      <c r="G1698" s="159" t="s">
        <v>9806</v>
      </c>
      <c r="H1698" s="678" t="s">
        <v>5592</v>
      </c>
      <c r="I1698" s="152">
        <v>45673.0</v>
      </c>
      <c r="J1698" s="152">
        <v>45693.0</v>
      </c>
      <c r="K1698" s="68"/>
      <c r="L1698" s="159" t="s">
        <v>9816</v>
      </c>
      <c r="M1698" s="68" t="s">
        <v>9808</v>
      </c>
      <c r="N1698" s="68" t="s">
        <v>9809</v>
      </c>
      <c r="O1698" s="156">
        <v>4.0</v>
      </c>
      <c r="P1698" s="606" t="str">
        <f t="shared" si="118"/>
        <v>10.1177--0956797611429579.pdf</v>
      </c>
      <c r="Q1698" s="52" t="str">
        <f t="array" ref="Q1698"> if(iserror(MATCH(V1698, 'File Links'!C:C, 0)), "N/A", HYPERLINK(INDEX('File Links'!B:B, MATCH(P1698, 'File Links'!C:C, 0))))</f>
        <v>https://drive.google.com/file/d/1qh6jn8CXzXmvxEifk6kq4pZRCYHNO1mu/view?usp=drivesdk</v>
      </c>
      <c r="R1698" s="1115" t="s">
        <v>9579</v>
      </c>
      <c r="S1698" s="1115" t="s">
        <v>9580</v>
      </c>
      <c r="T1698" s="68"/>
      <c r="U1698" s="68"/>
      <c r="V1698" s="198" t="str">
        <f t="shared" si="114"/>
        <v>10.1177--2515245918810225.pdf</v>
      </c>
      <c r="W1698" s="1300" t="s">
        <v>209</v>
      </c>
      <c r="X1698" s="54" t="str">
        <f t="array" ref="X1698"> if(iserror(MATCH(V1698, 'File Links'!C:C, 0)), "N/A", HYPERLINK(INDEX('File Links'!B:B, MATCH(V1698, 'File Links'!C:C, 0))))</f>
        <v>https://drive.google.com/file/d/1rGqHLpg3OEGQnWLvlAEJr7JSMWJ2p-Ar/view?usp=drivesdk</v>
      </c>
      <c r="Y1698" s="68"/>
      <c r="Z1698" s="159" t="s">
        <v>226</v>
      </c>
      <c r="AA1698" s="68"/>
      <c r="AB1698" s="159" t="s">
        <v>9810</v>
      </c>
      <c r="AC1698" s="159" t="s">
        <v>9817</v>
      </c>
      <c r="AD1698" s="159" t="s">
        <v>9818</v>
      </c>
      <c r="AE1698" s="156">
        <v>7.0</v>
      </c>
      <c r="AF1698" s="156">
        <v>77.0</v>
      </c>
      <c r="AG1698" s="156">
        <v>0.47</v>
      </c>
      <c r="AH1698" s="159" t="s">
        <v>173</v>
      </c>
      <c r="AI1698" s="159" t="s">
        <v>850</v>
      </c>
      <c r="AJ1698" s="156">
        <v>0.04</v>
      </c>
      <c r="AK1698" s="159" t="s">
        <v>172</v>
      </c>
      <c r="AL1698" s="159" t="s">
        <v>186</v>
      </c>
      <c r="AM1698" s="68" t="s">
        <v>137</v>
      </c>
      <c r="AN1698" s="330" t="s">
        <v>138</v>
      </c>
      <c r="AO1698" s="156">
        <v>6608.0</v>
      </c>
      <c r="AP1698" s="156">
        <v>0.1</v>
      </c>
      <c r="AQ1698" s="159" t="s">
        <v>173</v>
      </c>
      <c r="AR1698" s="159" t="s">
        <v>9815</v>
      </c>
      <c r="AS1698" s="156">
        <v>0.05</v>
      </c>
      <c r="AT1698" s="159" t="s">
        <v>135</v>
      </c>
      <c r="AU1698" s="159" t="s">
        <v>186</v>
      </c>
      <c r="AV1698" s="68" t="s">
        <v>137</v>
      </c>
      <c r="AW1698" s="1119" t="s">
        <v>9588</v>
      </c>
      <c r="AX1698" s="68" t="s">
        <v>143</v>
      </c>
      <c r="AY1698" s="61" t="str">
        <f>IFERROR(__xludf.DUMMYFUNCTION("vlookup(BB1698,importrange(""https://docs.google.com/spreadsheets/d/1d2vevQ_7D_v35q4wCQ4RpQ_IPoTwEMB9Yp6ymwlPqew/edit?gid=984458430#gid=984458430"", ""'replication success'!A:K""), 11, FAlSE)"),"mixed")</f>
        <v>mixed</v>
      </c>
      <c r="AZ1698" s="61" t="str">
        <f>IFERROR(__xludf.DUMMYFUNCTION("vlookup(BB1698,importrange(""https://docs.google.com/spreadsheets/d/1d2vevQ_7D_v35q4wCQ4RpQ_IPoTwEMB9Yp6ymwlPqew/edit?gid=984458430#gid=984458430"",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698" s="61" t="str">
        <f>IFERROR(__xludf.DUMMYFUNCTION("vlookup(BB1698,importrange(""https://docs.google.com/spreadsheets/d/1d2vevQ_7D_v35q4wCQ4RpQ_IPoTwEMB9Yp6ymwlPqew/edit?gid=984458430#gid=984458430"", ""'replication success'!A:M""), 13, FAlSE)"),"pg. 14")</f>
        <v>pg. 14</v>
      </c>
      <c r="BB1698" s="61" t="str">
        <f>IFERROR(__xludf.DUMMYFUNCTION("REGEXREPLACE(G1698, ""_[a-z]{1,2}$"", """")"),"Manylabs2_15_1")</f>
        <v>Manylabs2_15_1</v>
      </c>
      <c r="BC1698" s="68"/>
      <c r="BD1698" s="68" t="s">
        <v>5074</v>
      </c>
    </row>
    <row r="1699">
      <c r="A1699" s="44">
        <v>1699.0</v>
      </c>
      <c r="B1699" s="219" t="s">
        <v>523</v>
      </c>
      <c r="C1699" s="62" t="s">
        <v>115</v>
      </c>
      <c r="D1699" s="62" t="s">
        <v>145</v>
      </c>
      <c r="F1699" s="68" t="s">
        <v>9805</v>
      </c>
      <c r="G1699" s="159" t="s">
        <v>9819</v>
      </c>
      <c r="H1699" s="678" t="s">
        <v>5592</v>
      </c>
      <c r="I1699" s="152">
        <v>45673.0</v>
      </c>
      <c r="J1699" s="152">
        <v>45693.0</v>
      </c>
      <c r="K1699" s="68"/>
      <c r="L1699" s="159" t="s">
        <v>9816</v>
      </c>
      <c r="M1699" s="68" t="s">
        <v>9808</v>
      </c>
      <c r="N1699" s="68" t="s">
        <v>9809</v>
      </c>
      <c r="O1699" s="156">
        <v>4.0</v>
      </c>
      <c r="P1699" s="606" t="str">
        <f t="shared" si="118"/>
        <v>10.1177--0956797611429579.pdf</v>
      </c>
      <c r="Q1699" s="52" t="str">
        <f t="array" ref="Q1699"> if(iserror(MATCH(V1699, 'File Links'!C:C, 0)), "N/A", HYPERLINK(INDEX('File Links'!B:B, MATCH(P1699, 'File Links'!C:C, 0))))</f>
        <v>https://drive.google.com/file/d/1qh6jn8CXzXmvxEifk6kq4pZRCYHNO1mu/view?usp=drivesdk</v>
      </c>
      <c r="R1699" s="1115" t="s">
        <v>9579</v>
      </c>
      <c r="S1699" s="1115" t="s">
        <v>9580</v>
      </c>
      <c r="T1699" s="68"/>
      <c r="U1699" s="68"/>
      <c r="V1699" s="198" t="str">
        <f t="shared" si="114"/>
        <v>10.1177--2515245918810225.pdf</v>
      </c>
      <c r="W1699" s="1300" t="s">
        <v>209</v>
      </c>
      <c r="X1699" s="54" t="str">
        <f t="array" ref="X1699"> if(iserror(MATCH(V1699, 'File Links'!C:C, 0)), "N/A", HYPERLINK(INDEX('File Links'!B:B, MATCH(V1699, 'File Links'!C:C, 0))))</f>
        <v>https://drive.google.com/file/d/1rGqHLpg3OEGQnWLvlAEJr7JSMWJ2p-Ar/view?usp=drivesdk</v>
      </c>
      <c r="Y1699" s="68"/>
      <c r="Z1699" s="159" t="s">
        <v>226</v>
      </c>
      <c r="AA1699" s="68"/>
      <c r="AB1699" s="159" t="s">
        <v>9810</v>
      </c>
      <c r="AC1699" s="159" t="s">
        <v>9820</v>
      </c>
      <c r="AD1699" s="159" t="s">
        <v>9821</v>
      </c>
      <c r="AE1699" s="156">
        <v>7.0</v>
      </c>
      <c r="AF1699" s="156">
        <v>77.0</v>
      </c>
      <c r="AG1699" s="156">
        <v>0.29</v>
      </c>
      <c r="AH1699" s="159" t="s">
        <v>173</v>
      </c>
      <c r="AI1699" s="159" t="s">
        <v>850</v>
      </c>
      <c r="AJ1699" s="156">
        <v>0.2</v>
      </c>
      <c r="AK1699" s="159" t="s">
        <v>172</v>
      </c>
      <c r="AL1699" s="159" t="s">
        <v>186</v>
      </c>
      <c r="AM1699" s="68" t="s">
        <v>137</v>
      </c>
      <c r="AN1699" s="330" t="s">
        <v>138</v>
      </c>
      <c r="AO1699" s="156">
        <v>6608.0</v>
      </c>
      <c r="AP1699" s="156">
        <v>0.08</v>
      </c>
      <c r="AQ1699" s="159" t="s">
        <v>173</v>
      </c>
      <c r="AR1699" s="159" t="s">
        <v>9815</v>
      </c>
      <c r="AS1699" s="156">
        <v>0.05</v>
      </c>
      <c r="AT1699" s="159" t="s">
        <v>135</v>
      </c>
      <c r="AU1699" s="159" t="s">
        <v>186</v>
      </c>
      <c r="AV1699" s="68" t="s">
        <v>137</v>
      </c>
      <c r="AW1699" s="1119" t="s">
        <v>9588</v>
      </c>
      <c r="AX1699" s="68" t="s">
        <v>143</v>
      </c>
      <c r="AY1699" s="61" t="str">
        <f>IFERROR(__xludf.DUMMYFUNCTION("vlookup(BB1699,importrange(""https://docs.google.com/spreadsheets/d/1d2vevQ_7D_v35q4wCQ4RpQ_IPoTwEMB9Yp6ymwlPqew/edit?gid=984458430#gid=984458430"", ""'replication success'!A:K""), 11, FAlSE)"),"mixed")</f>
        <v>mixed</v>
      </c>
      <c r="AZ1699" s="61" t="str">
        <f>IFERROR(__xludf.DUMMYFUNCTION("vlookup(BB1699,importrange(""https://docs.google.com/spreadsheets/d/1d2vevQ_7D_v35q4wCQ4RpQ_IPoTwEMB9Yp6ymwlPqew/edit?gid=984458430#gid=984458430"",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699" s="61" t="str">
        <f>IFERROR(__xludf.DUMMYFUNCTION("vlookup(BB1699,importrange(""https://docs.google.com/spreadsheets/d/1d2vevQ_7D_v35q4wCQ4RpQ_IPoTwEMB9Yp6ymwlPqew/edit?gid=984458430#gid=984458430"", ""'replication success'!A:M""), 13, FAlSE)"),"pg. 14")</f>
        <v>pg. 14</v>
      </c>
      <c r="BB1699" s="61" t="str">
        <f>IFERROR(__xludf.DUMMYFUNCTION("REGEXREPLACE(G1699, ""_[a-z]{1,2}$"", """")"),"Manylabs2_15_1")</f>
        <v>Manylabs2_15_1</v>
      </c>
      <c r="BC1699" s="68"/>
      <c r="BD1699" s="68" t="s">
        <v>5074</v>
      </c>
    </row>
    <row r="1700">
      <c r="A1700" s="44">
        <v>1700.0</v>
      </c>
      <c r="B1700" s="68" t="s">
        <v>114</v>
      </c>
      <c r="C1700" s="62" t="s">
        <v>115</v>
      </c>
      <c r="D1700" s="62" t="s">
        <v>145</v>
      </c>
      <c r="F1700" s="68" t="s">
        <v>9805</v>
      </c>
      <c r="G1700" s="159" t="s">
        <v>9822</v>
      </c>
      <c r="H1700" s="678" t="s">
        <v>5592</v>
      </c>
      <c r="I1700" s="152">
        <v>45673.0</v>
      </c>
      <c r="J1700" s="152">
        <v>45693.0</v>
      </c>
      <c r="K1700" s="68"/>
      <c r="L1700" s="159" t="s">
        <v>9823</v>
      </c>
      <c r="M1700" s="68" t="s">
        <v>9808</v>
      </c>
      <c r="N1700" s="68" t="s">
        <v>9809</v>
      </c>
      <c r="O1700" s="156">
        <v>4.0</v>
      </c>
      <c r="P1700" s="606" t="str">
        <f t="shared" si="118"/>
        <v>10.1177--0956797611429579.pdf</v>
      </c>
      <c r="Q1700" s="52" t="str">
        <f t="array" ref="Q1700"> if(iserror(MATCH(V1700, 'File Links'!C:C, 0)), "N/A", HYPERLINK(INDEX('File Links'!B:B, MATCH(P1700, 'File Links'!C:C, 0))))</f>
        <v>https://drive.google.com/file/d/1qh6jn8CXzXmvxEifk6kq4pZRCYHNO1mu/view?usp=drivesdk</v>
      </c>
      <c r="R1700" s="1115" t="s">
        <v>9579</v>
      </c>
      <c r="S1700" s="1115" t="s">
        <v>9580</v>
      </c>
      <c r="T1700" s="68"/>
      <c r="U1700" s="68"/>
      <c r="V1700" s="198" t="str">
        <f t="shared" si="114"/>
        <v>10.1177--2515245918810225.pdf</v>
      </c>
      <c r="W1700" s="1300" t="s">
        <v>209</v>
      </c>
      <c r="X1700" s="54" t="str">
        <f t="array" ref="X1700"> if(iserror(MATCH(V1700, 'File Links'!C:C, 0)), "N/A", HYPERLINK(INDEX('File Links'!B:B, MATCH(V1700, 'File Links'!C:C, 0))))</f>
        <v>https://drive.google.com/file/d/1rGqHLpg3OEGQnWLvlAEJr7JSMWJ2p-Ar/view?usp=drivesdk</v>
      </c>
      <c r="Y1700" s="68"/>
      <c r="Z1700" s="159" t="s">
        <v>226</v>
      </c>
      <c r="AA1700" s="68"/>
      <c r="AB1700" s="159" t="s">
        <v>9810</v>
      </c>
      <c r="AC1700" s="159" t="s">
        <v>9824</v>
      </c>
      <c r="AD1700" s="159" t="s">
        <v>9825</v>
      </c>
      <c r="AE1700" s="156">
        <v>7.0</v>
      </c>
      <c r="AF1700" s="156">
        <v>77.0</v>
      </c>
      <c r="AG1700" s="156">
        <v>0.8</v>
      </c>
      <c r="AH1700" s="159" t="s">
        <v>173</v>
      </c>
      <c r="AI1700" s="159" t="s">
        <v>850</v>
      </c>
      <c r="AJ1700" s="156">
        <v>0.001</v>
      </c>
      <c r="AK1700" s="159" t="s">
        <v>172</v>
      </c>
      <c r="AL1700" s="159" t="s">
        <v>186</v>
      </c>
      <c r="AM1700" s="68" t="s">
        <v>137</v>
      </c>
      <c r="AN1700" s="330" t="s">
        <v>138</v>
      </c>
      <c r="AO1700" s="156">
        <v>6608.0</v>
      </c>
      <c r="AP1700" s="156">
        <v>0.12</v>
      </c>
      <c r="AQ1700" s="159" t="s">
        <v>173</v>
      </c>
      <c r="AR1700" s="159" t="s">
        <v>2229</v>
      </c>
      <c r="AS1700" s="1061">
        <v>8.62E-7</v>
      </c>
      <c r="AT1700" s="159" t="s">
        <v>172</v>
      </c>
      <c r="AU1700" s="159" t="s">
        <v>186</v>
      </c>
      <c r="AV1700" s="68" t="s">
        <v>137</v>
      </c>
      <c r="AW1700" s="1119" t="s">
        <v>9588</v>
      </c>
      <c r="AX1700" s="68" t="s">
        <v>143</v>
      </c>
      <c r="AY1700" s="61" t="str">
        <f>IFERROR(__xludf.DUMMYFUNCTION("vlookup(BB1700,importrange(""https://docs.google.com/spreadsheets/d/1d2vevQ_7D_v35q4wCQ4RpQ_IPoTwEMB9Yp6ymwlPqew/edit?gid=984458430#gid=984458430"", ""'replication success'!A:K""), 11, FAlSE)"),"mixed")</f>
        <v>mixed</v>
      </c>
      <c r="AZ1700" s="61" t="str">
        <f>IFERROR(__xludf.DUMMYFUNCTION("vlookup(BB1700,importrange(""https://docs.google.com/spreadsheets/d/1d2vevQ_7D_v35q4wCQ4RpQ_IPoTwEMB9Yp6ymwlPqew/edit?gid=984458430#gid=984458430"",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700" s="61" t="str">
        <f>IFERROR(__xludf.DUMMYFUNCTION("vlookup(BB1700,importrange(""https://docs.google.com/spreadsheets/d/1d2vevQ_7D_v35q4wCQ4RpQ_IPoTwEMB9Yp6ymwlPqew/edit?gid=984458430#gid=984458430"", ""'replication success'!A:M""), 13, FAlSE)"),"pg. 14")</f>
        <v>pg. 14</v>
      </c>
      <c r="BB1700" s="61" t="str">
        <f>IFERROR(__xludf.DUMMYFUNCTION("REGEXREPLACE(G1700, ""_[a-z]{1,2}$"", """")"),"Manylabs2_15_1")</f>
        <v>Manylabs2_15_1</v>
      </c>
      <c r="BC1700" s="68"/>
      <c r="BD1700" s="68" t="s">
        <v>5074</v>
      </c>
    </row>
    <row r="1701">
      <c r="A1701" s="44">
        <v>1701.0</v>
      </c>
      <c r="B1701" s="219" t="s">
        <v>523</v>
      </c>
      <c r="C1701" s="62" t="s">
        <v>115</v>
      </c>
      <c r="D1701" s="62" t="s">
        <v>145</v>
      </c>
      <c r="F1701" s="68" t="s">
        <v>9805</v>
      </c>
      <c r="G1701" s="159" t="s">
        <v>9826</v>
      </c>
      <c r="H1701" s="678" t="s">
        <v>5592</v>
      </c>
      <c r="I1701" s="152">
        <v>45673.0</v>
      </c>
      <c r="J1701" s="152">
        <v>45693.0</v>
      </c>
      <c r="K1701" s="68"/>
      <c r="L1701" s="159" t="s">
        <v>9816</v>
      </c>
      <c r="M1701" s="68" t="s">
        <v>9808</v>
      </c>
      <c r="N1701" s="68" t="s">
        <v>9809</v>
      </c>
      <c r="O1701" s="156">
        <v>4.0</v>
      </c>
      <c r="P1701" s="606" t="str">
        <f t="shared" si="118"/>
        <v>10.1177--0956797611429579.pdf</v>
      </c>
      <c r="Q1701" s="52" t="str">
        <f t="array" ref="Q1701"> if(iserror(MATCH(V1701, 'File Links'!C:C, 0)), "N/A", HYPERLINK(INDEX('File Links'!B:B, MATCH(P1701, 'File Links'!C:C, 0))))</f>
        <v>https://drive.google.com/file/d/1qh6jn8CXzXmvxEifk6kq4pZRCYHNO1mu/view?usp=drivesdk</v>
      </c>
      <c r="R1701" s="1115" t="s">
        <v>9579</v>
      </c>
      <c r="S1701" s="1115" t="s">
        <v>9580</v>
      </c>
      <c r="T1701" s="68"/>
      <c r="U1701" s="68"/>
      <c r="V1701" s="198" t="str">
        <f t="shared" si="114"/>
        <v>10.1177--2515245918810225.pdf</v>
      </c>
      <c r="W1701" s="1300" t="s">
        <v>209</v>
      </c>
      <c r="X1701" s="54" t="str">
        <f t="array" ref="X1701"> if(iserror(MATCH(V1701, 'File Links'!C:C, 0)), "N/A", HYPERLINK(INDEX('File Links'!B:B, MATCH(V1701, 'File Links'!C:C, 0))))</f>
        <v>https://drive.google.com/file/d/1rGqHLpg3OEGQnWLvlAEJr7JSMWJ2p-Ar/view?usp=drivesdk</v>
      </c>
      <c r="Y1701" s="68"/>
      <c r="Z1701" s="159" t="s">
        <v>226</v>
      </c>
      <c r="AA1701" s="68"/>
      <c r="AB1701" s="159" t="s">
        <v>9810</v>
      </c>
      <c r="AC1701" s="159" t="s">
        <v>9827</v>
      </c>
      <c r="AD1701" s="159" t="s">
        <v>9828</v>
      </c>
      <c r="AE1701" s="156">
        <v>7.0</v>
      </c>
      <c r="AF1701" s="156">
        <v>77.0</v>
      </c>
      <c r="AG1701" s="156">
        <v>0.53</v>
      </c>
      <c r="AH1701" s="159" t="s">
        <v>173</v>
      </c>
      <c r="AI1701" s="159" t="s">
        <v>850</v>
      </c>
      <c r="AJ1701" s="156">
        <v>0.02</v>
      </c>
      <c r="AK1701" s="159" t="s">
        <v>172</v>
      </c>
      <c r="AL1701" s="159" t="s">
        <v>186</v>
      </c>
      <c r="AM1701" s="68" t="s">
        <v>137</v>
      </c>
      <c r="AN1701" s="330" t="s">
        <v>138</v>
      </c>
      <c r="AO1701" s="156">
        <v>6608.0</v>
      </c>
      <c r="AP1701" s="156">
        <v>0.12</v>
      </c>
      <c r="AQ1701" s="159" t="s">
        <v>173</v>
      </c>
      <c r="AR1701" s="159" t="s">
        <v>9815</v>
      </c>
      <c r="AS1701" s="156">
        <v>0.05</v>
      </c>
      <c r="AT1701" s="159" t="s">
        <v>135</v>
      </c>
      <c r="AU1701" s="159" t="s">
        <v>186</v>
      </c>
      <c r="AV1701" s="68" t="s">
        <v>137</v>
      </c>
      <c r="AW1701" s="1119" t="s">
        <v>9588</v>
      </c>
      <c r="AX1701" s="68" t="s">
        <v>143</v>
      </c>
      <c r="AY1701" s="61" t="str">
        <f>IFERROR(__xludf.DUMMYFUNCTION("vlookup(BB1701,importrange(""https://docs.google.com/spreadsheets/d/1d2vevQ_7D_v35q4wCQ4RpQ_IPoTwEMB9Yp6ymwlPqew/edit?gid=984458430#gid=984458430"", ""'replication success'!A:K""), 11, FAlSE)"),"mixed")</f>
        <v>mixed</v>
      </c>
      <c r="AZ1701" s="61" t="str">
        <f>IFERROR(__xludf.DUMMYFUNCTION("vlookup(BB1701,importrange(""https://docs.google.com/spreadsheets/d/1d2vevQ_7D_v35q4wCQ4RpQ_IPoTwEMB9Yp6ymwlPqew/edit?gid=984458430#gid=984458430"",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701" s="61" t="str">
        <f>IFERROR(__xludf.DUMMYFUNCTION("vlookup(BB1701,importrange(""https://docs.google.com/spreadsheets/d/1d2vevQ_7D_v35q4wCQ4RpQ_IPoTwEMB9Yp6ymwlPqew/edit?gid=984458430#gid=984458430"", ""'replication success'!A:M""), 13, FAlSE)"),"pg. 14")</f>
        <v>pg. 14</v>
      </c>
      <c r="BB1701" s="61" t="str">
        <f>IFERROR(__xludf.DUMMYFUNCTION("REGEXREPLACE(G1701, ""_[a-z]{1,2}$"", """")"),"Manylabs2_15_1")</f>
        <v>Manylabs2_15_1</v>
      </c>
      <c r="BC1701" s="68"/>
      <c r="BD1701" s="68" t="s">
        <v>5074</v>
      </c>
    </row>
    <row r="1702">
      <c r="A1702" s="44">
        <v>1702.0</v>
      </c>
      <c r="B1702" s="219" t="s">
        <v>523</v>
      </c>
      <c r="C1702" s="62" t="s">
        <v>115</v>
      </c>
      <c r="D1702" s="62" t="s">
        <v>145</v>
      </c>
      <c r="F1702" s="68" t="s">
        <v>9805</v>
      </c>
      <c r="G1702" s="159" t="s">
        <v>9829</v>
      </c>
      <c r="H1702" s="678" t="s">
        <v>5592</v>
      </c>
      <c r="I1702" s="152">
        <v>45673.0</v>
      </c>
      <c r="J1702" s="152">
        <v>45693.0</v>
      </c>
      <c r="K1702" s="68"/>
      <c r="L1702" s="159" t="s">
        <v>9816</v>
      </c>
      <c r="M1702" s="68" t="s">
        <v>9808</v>
      </c>
      <c r="N1702" s="68" t="s">
        <v>9809</v>
      </c>
      <c r="O1702" s="156">
        <v>4.0</v>
      </c>
      <c r="P1702" s="606" t="str">
        <f t="shared" si="118"/>
        <v>10.1177--0956797611429579.pdf</v>
      </c>
      <c r="Q1702" s="52" t="str">
        <f t="array" ref="Q1702"> if(iserror(MATCH(V1702, 'File Links'!C:C, 0)), "N/A", HYPERLINK(INDEX('File Links'!B:B, MATCH(P1702, 'File Links'!C:C, 0))))</f>
        <v>https://drive.google.com/file/d/1qh6jn8CXzXmvxEifk6kq4pZRCYHNO1mu/view?usp=drivesdk</v>
      </c>
      <c r="R1702" s="1115" t="s">
        <v>9579</v>
      </c>
      <c r="S1702" s="1115" t="s">
        <v>9580</v>
      </c>
      <c r="T1702" s="68"/>
      <c r="U1702" s="68"/>
      <c r="V1702" s="198" t="str">
        <f t="shared" si="114"/>
        <v>10.1177--2515245918810225.pdf</v>
      </c>
      <c r="W1702" s="1300" t="s">
        <v>209</v>
      </c>
      <c r="X1702" s="54" t="str">
        <f t="array" ref="X1702"> if(iserror(MATCH(V1702, 'File Links'!C:C, 0)), "N/A", HYPERLINK(INDEX('File Links'!B:B, MATCH(V1702, 'File Links'!C:C, 0))))</f>
        <v>https://drive.google.com/file/d/1rGqHLpg3OEGQnWLvlAEJr7JSMWJ2p-Ar/view?usp=drivesdk</v>
      </c>
      <c r="Y1702" s="68"/>
      <c r="Z1702" s="159" t="s">
        <v>226</v>
      </c>
      <c r="AA1702" s="68"/>
      <c r="AB1702" s="159" t="s">
        <v>9810</v>
      </c>
      <c r="AC1702" s="159" t="s">
        <v>9830</v>
      </c>
      <c r="AD1702" s="159" t="s">
        <v>9831</v>
      </c>
      <c r="AE1702" s="156">
        <v>7.0</v>
      </c>
      <c r="AF1702" s="156">
        <v>77.0</v>
      </c>
      <c r="AG1702" s="156">
        <v>0.25</v>
      </c>
      <c r="AH1702" s="159" t="s">
        <v>173</v>
      </c>
      <c r="AI1702" s="159" t="s">
        <v>850</v>
      </c>
      <c r="AJ1702" s="156">
        <v>0.26</v>
      </c>
      <c r="AK1702" s="159" t="s">
        <v>172</v>
      </c>
      <c r="AL1702" s="159" t="s">
        <v>186</v>
      </c>
      <c r="AM1702" s="68" t="s">
        <v>137</v>
      </c>
      <c r="AN1702" s="330" t="s">
        <v>138</v>
      </c>
      <c r="AO1702" s="156">
        <v>6608.0</v>
      </c>
      <c r="AP1702" s="156">
        <v>0.01</v>
      </c>
      <c r="AQ1702" s="159" t="s">
        <v>173</v>
      </c>
      <c r="AR1702" s="159" t="s">
        <v>9815</v>
      </c>
      <c r="AS1702" s="156">
        <v>0.05</v>
      </c>
      <c r="AT1702" s="159" t="s">
        <v>135</v>
      </c>
      <c r="AU1702" s="159" t="s">
        <v>186</v>
      </c>
      <c r="AV1702" s="68" t="s">
        <v>137</v>
      </c>
      <c r="AW1702" s="1119" t="s">
        <v>9588</v>
      </c>
      <c r="AX1702" s="68" t="s">
        <v>143</v>
      </c>
      <c r="AY1702" s="61" t="str">
        <f>IFERROR(__xludf.DUMMYFUNCTION("vlookup(BB1702,importrange(""https://docs.google.com/spreadsheets/d/1d2vevQ_7D_v35q4wCQ4RpQ_IPoTwEMB9Yp6ymwlPqew/edit?gid=984458430#gid=984458430"", ""'replication success'!A:K""), 11, FAlSE)"),"mixed")</f>
        <v>mixed</v>
      </c>
      <c r="AZ1702" s="61" t="str">
        <f>IFERROR(__xludf.DUMMYFUNCTION("vlookup(BB1702,importrange(""https://docs.google.com/spreadsheets/d/1d2vevQ_7D_v35q4wCQ4RpQ_IPoTwEMB9Yp6ymwlPqew/edit?gid=984458430#gid=984458430"", ""'replication success'!A:M""), 12, FAlSE)"),"This result is
consistent with the hypothesis that people have lower
trust in others when they think of those others as con-
sumers rather than as individuals. The overall effect size
was much smaller than in the original experiment (d =
0.12, 95% CI"&amp;" = [0.07, 0.17], vs. original d = 0.87).")</f>
        <v>This result is
consistent with the hypothesis that people have lower
trust in others when they think of those others as con-
sumers rather than as individuals. The overall effect size
was much smaller than in the original experiment (d =
0.12, 95% CI = [0.07, 0.17], vs. original d = 0.87).</v>
      </c>
      <c r="BA1702" s="61" t="str">
        <f>IFERROR(__xludf.DUMMYFUNCTION("vlookup(BB1702,importrange(""https://docs.google.com/spreadsheets/d/1d2vevQ_7D_v35q4wCQ4RpQ_IPoTwEMB9Yp6ymwlPqew/edit?gid=984458430#gid=984458430"", ""'replication success'!A:M""), 13, FAlSE)"),"pg. 14")</f>
        <v>pg. 14</v>
      </c>
      <c r="BB1702" s="61" t="str">
        <f>IFERROR(__xludf.DUMMYFUNCTION("REGEXREPLACE(G1702, ""_[a-z]{1,2}$"", """")"),"Manylabs2_15_1")</f>
        <v>Manylabs2_15_1</v>
      </c>
      <c r="BC1702" s="68"/>
      <c r="BD1702" s="68" t="s">
        <v>5074</v>
      </c>
    </row>
    <row r="1703">
      <c r="A1703" s="44">
        <v>1703.0</v>
      </c>
      <c r="B1703" s="129" t="s">
        <v>152</v>
      </c>
      <c r="C1703" s="62" t="s">
        <v>115</v>
      </c>
      <c r="D1703" s="62" t="s">
        <v>232</v>
      </c>
      <c r="F1703" s="68" t="s">
        <v>9832</v>
      </c>
      <c r="G1703" s="159" t="s">
        <v>9833</v>
      </c>
      <c r="H1703" s="159" t="s">
        <v>6940</v>
      </c>
      <c r="I1703" s="152">
        <v>45687.0</v>
      </c>
      <c r="J1703" s="152">
        <v>45693.0</v>
      </c>
      <c r="K1703" s="68"/>
      <c r="L1703" s="68"/>
      <c r="M1703" s="159" t="s">
        <v>9834</v>
      </c>
      <c r="N1703" s="159" t="s">
        <v>9835</v>
      </c>
      <c r="O1703" s="156">
        <v>2.0</v>
      </c>
      <c r="P1703" s="606" t="str">
        <f t="shared" si="118"/>
        <v>10.1002--bdm.586.pdf</v>
      </c>
      <c r="Q1703" s="52" t="str">
        <f t="array" ref="Q1703"> if(iserror(MATCH(V1703, 'File Links'!C:C, 0)), "N/A", HYPERLINK(INDEX('File Links'!B:B, MATCH(P1703, 'File Links'!C:C, 0))))</f>
        <v>https://drive.google.com/file/d/1j0mn959ZZSMHPHeyS9bW6vv9NzM9UaK_/view?usp=drivesdk</v>
      </c>
      <c r="R1703" s="159" t="s">
        <v>9579</v>
      </c>
      <c r="S1703" s="159" t="s">
        <v>9580</v>
      </c>
      <c r="T1703" s="68"/>
      <c r="U1703" s="156">
        <v>20.0</v>
      </c>
      <c r="V1703" s="198" t="str">
        <f t="shared" si="114"/>
        <v>10.1177--2515245918810225.pdf</v>
      </c>
      <c r="W1703" s="68" t="s">
        <v>209</v>
      </c>
      <c r="X1703" s="54" t="str">
        <f t="array" ref="X1703"> if(iserror(MATCH(V1703, 'File Links'!C:C, 0)), "N/A", HYPERLINK(INDEX('File Links'!B:B, MATCH(V1703, 'File Links'!C:C, 0))))</f>
        <v>https://drive.google.com/file/d/1rGqHLpg3OEGQnWLvlAEJr7JSMWJ2p-Ar/view?usp=drivesdk</v>
      </c>
      <c r="Y1703" s="68"/>
      <c r="Z1703" s="1115" t="s">
        <v>210</v>
      </c>
      <c r="AA1703" s="159" t="s">
        <v>4476</v>
      </c>
      <c r="AB1703" s="1115" t="s">
        <v>9836</v>
      </c>
      <c r="AC1703" s="159" t="s">
        <v>9837</v>
      </c>
      <c r="AD1703" s="159" t="s">
        <v>9838</v>
      </c>
      <c r="AE1703" s="159" t="s">
        <v>9839</v>
      </c>
      <c r="AF1703" s="156">
        <v>207.0</v>
      </c>
      <c r="AG1703" s="156">
        <v>0.3</v>
      </c>
      <c r="AH1703" s="159" t="s">
        <v>173</v>
      </c>
      <c r="AI1703" s="159" t="s">
        <v>9839</v>
      </c>
      <c r="AJ1703" s="156">
        <v>0.03</v>
      </c>
      <c r="AK1703" s="159" t="s">
        <v>172</v>
      </c>
      <c r="AL1703" s="159" t="s">
        <v>186</v>
      </c>
      <c r="AM1703" s="68" t="s">
        <v>137</v>
      </c>
      <c r="AN1703" s="330" t="s">
        <v>138</v>
      </c>
      <c r="AO1703" s="156">
        <v>6826.0</v>
      </c>
      <c r="AP1703" s="156">
        <v>0.04</v>
      </c>
      <c r="AQ1703" s="159" t="s">
        <v>173</v>
      </c>
      <c r="AR1703" s="159" t="s">
        <v>9840</v>
      </c>
      <c r="AS1703" s="156">
        <v>0.09</v>
      </c>
      <c r="AT1703" s="159" t="s">
        <v>172</v>
      </c>
      <c r="AU1703" s="159" t="s">
        <v>186</v>
      </c>
      <c r="AV1703" s="68" t="s">
        <v>137</v>
      </c>
      <c r="AW1703" s="435" t="s">
        <v>9588</v>
      </c>
      <c r="AX1703" s="68" t="s">
        <v>143</v>
      </c>
      <c r="AY1703" s="61" t="str">
        <f>IFERROR(__xludf.DUMMYFUNCTION("vlookup(BB1703,importrange(""https://docs.google.com/spreadsheets/d/1d2vevQ_7D_v35q4wCQ4RpQ_IPoTwEMB9Yp6ymwlPqew/edit?gid=984458430#gid=984458430"", ""'replication success'!A:K""), 11, FAlSE)"),"failed")</f>
        <v>failed</v>
      </c>
      <c r="AZ1703" s="61" t="str">
        <f>IFERROR(__xludf.DUMMYFUNCTION("vlookup(BB1703,importrange(""https://docs.google.com/spreadsheets/d/1d2vevQ_7D_v35q4wCQ4RpQ_IPoTwEMB9Yp6ymwlPqew/edit?gid=984458430#gid=984458430"", ""'replication success'!A:M""), 12, FAlSE)"),"This result does not
support the hypothesis that sales estimates are influenced
by incidental anchors. The effect size was in the same
direction as the original effect size, but much smaller
(d = 0.04, 95% CI = [−0.01, 0.09], vs. original d = 0.30) an"&amp;"d
indistinguishable from zero.")</f>
        <v>This result does not
support the hypothesis that sales estimates are influenced
by incidental anchors. The effect size was in the same
direction as the original effect size, but much smaller
(d = 0.04, 95% CI = [−0.01, 0.09], vs. original d = 0.30) and
indistinguishable from zero.</v>
      </c>
      <c r="BA1703" s="61" t="str">
        <f>IFERROR(__xludf.DUMMYFUNCTION("vlookup(BB1703,importrange(""https://docs.google.com/spreadsheets/d/1d2vevQ_7D_v35q4wCQ4RpQ_IPoTwEMB9Yp6ymwlPqew/edit?gid=984458430#gid=984458430"", ""'replication success'!A:M""), 13, FAlSE)"),"pg. 16")</f>
        <v>pg. 16</v>
      </c>
      <c r="BB1703" s="61" t="str">
        <f>IFERROR(__xludf.DUMMYFUNCTION("REGEXREPLACE(G1703, ""_[a-z]{1,2}$"", """")"),"Manylabs2_16_1")</f>
        <v>Manylabs2_16_1</v>
      </c>
      <c r="BC1703" s="68"/>
      <c r="BD1703" s="129" t="s">
        <v>6985</v>
      </c>
    </row>
    <row r="1704">
      <c r="A1704" s="44">
        <v>1704.0</v>
      </c>
      <c r="B1704" s="68" t="s">
        <v>114</v>
      </c>
      <c r="C1704" s="62" t="s">
        <v>115</v>
      </c>
      <c r="D1704" s="62" t="s">
        <v>145</v>
      </c>
      <c r="F1704" s="68" t="s">
        <v>9832</v>
      </c>
      <c r="G1704" s="159" t="s">
        <v>9833</v>
      </c>
      <c r="H1704" s="678" t="s">
        <v>5592</v>
      </c>
      <c r="I1704" s="152">
        <v>45673.0</v>
      </c>
      <c r="J1704" s="152">
        <v>45693.0</v>
      </c>
      <c r="K1704" s="68"/>
      <c r="L1704" s="68"/>
      <c r="M1704" s="68" t="s">
        <v>9834</v>
      </c>
      <c r="N1704" s="68" t="s">
        <v>9835</v>
      </c>
      <c r="O1704" s="156">
        <v>2.0</v>
      </c>
      <c r="P1704" s="606" t="str">
        <f t="shared" si="118"/>
        <v>10.1002--bdm.586.pdf</v>
      </c>
      <c r="Q1704" s="52" t="str">
        <f t="array" ref="Q1704"> if(iserror(MATCH(V1704, 'File Links'!C:C, 0)), "N/A", HYPERLINK(INDEX('File Links'!B:B, MATCH(P1704, 'File Links'!C:C, 0))))</f>
        <v>https://drive.google.com/file/d/1j0mn959ZZSMHPHeyS9bW6vv9NzM9UaK_/view?usp=drivesdk</v>
      </c>
      <c r="R1704" s="1115" t="s">
        <v>9579</v>
      </c>
      <c r="S1704" s="1115" t="s">
        <v>9580</v>
      </c>
      <c r="T1704" s="68"/>
      <c r="U1704" s="68"/>
      <c r="V1704" s="198" t="str">
        <f t="shared" si="114"/>
        <v>10.1177--2515245918810225.pdf</v>
      </c>
      <c r="W1704" s="1300" t="s">
        <v>209</v>
      </c>
      <c r="X1704" s="54" t="str">
        <f t="array" ref="X1704"> if(iserror(MATCH(V1704, 'File Links'!C:C, 0)), "N/A", HYPERLINK(INDEX('File Links'!B:B, MATCH(V1704, 'File Links'!C:C, 0))))</f>
        <v>https://drive.google.com/file/d/1rGqHLpg3OEGQnWLvlAEJr7JSMWJ2p-Ar/view?usp=drivesdk</v>
      </c>
      <c r="Y1704" s="68"/>
      <c r="Z1704" s="159" t="s">
        <v>210</v>
      </c>
      <c r="AA1704" s="68"/>
      <c r="AB1704" s="159" t="s">
        <v>9836</v>
      </c>
      <c r="AC1704" s="159" t="s">
        <v>9837</v>
      </c>
      <c r="AD1704" s="159" t="s">
        <v>9841</v>
      </c>
      <c r="AE1704" s="1545">
        <v>45813.0</v>
      </c>
      <c r="AF1704" s="156">
        <v>207.0</v>
      </c>
      <c r="AG1704" s="156">
        <v>0.3</v>
      </c>
      <c r="AH1704" s="159" t="s">
        <v>173</v>
      </c>
      <c r="AI1704" s="159" t="s">
        <v>140</v>
      </c>
      <c r="AJ1704" s="156">
        <v>0.03</v>
      </c>
      <c r="AK1704" s="159" t="s">
        <v>172</v>
      </c>
      <c r="AL1704" s="159" t="s">
        <v>186</v>
      </c>
      <c r="AM1704" s="68" t="s">
        <v>137</v>
      </c>
      <c r="AN1704" s="330" t="s">
        <v>138</v>
      </c>
      <c r="AO1704" s="156">
        <v>6826.0</v>
      </c>
      <c r="AP1704" s="156">
        <v>0.04</v>
      </c>
      <c r="AQ1704" s="159" t="s">
        <v>173</v>
      </c>
      <c r="AR1704" s="159" t="s">
        <v>182</v>
      </c>
      <c r="AS1704" s="156">
        <v>0.09</v>
      </c>
      <c r="AT1704" s="159" t="s">
        <v>172</v>
      </c>
      <c r="AU1704" s="159" t="s">
        <v>186</v>
      </c>
      <c r="AV1704" s="68" t="s">
        <v>137</v>
      </c>
      <c r="AW1704" s="1119" t="s">
        <v>9588</v>
      </c>
      <c r="AX1704" s="68" t="s">
        <v>143</v>
      </c>
      <c r="AY1704" s="61" t="str">
        <f>IFERROR(__xludf.DUMMYFUNCTION("vlookup(BB1704,importrange(""https://docs.google.com/spreadsheets/d/1d2vevQ_7D_v35q4wCQ4RpQ_IPoTwEMB9Yp6ymwlPqew/edit?gid=984458430#gid=984458430"", ""'replication success'!A:K""), 11, FAlSE)"),"failed")</f>
        <v>failed</v>
      </c>
      <c r="AZ1704" s="61" t="str">
        <f>IFERROR(__xludf.DUMMYFUNCTION("vlookup(BB1704,importrange(""https://docs.google.com/spreadsheets/d/1d2vevQ_7D_v35q4wCQ4RpQ_IPoTwEMB9Yp6ymwlPqew/edit?gid=984458430#gid=984458430"", ""'replication success'!A:M""), 12, FAlSE)"),"This result does not
support the hypothesis that sales estimates are influenced
by incidental anchors. The effect size was in the same
direction as the original effect size, but much smaller
(d = 0.04, 95% CI = [−0.01, 0.09], vs. original d = 0.30) an"&amp;"d
indistinguishable from zero.")</f>
        <v>This result does not
support the hypothesis that sales estimates are influenced
by incidental anchors. The effect size was in the same
direction as the original effect size, but much smaller
(d = 0.04, 95% CI = [−0.01, 0.09], vs. original d = 0.30) and
indistinguishable from zero.</v>
      </c>
      <c r="BA1704" s="61" t="str">
        <f>IFERROR(__xludf.DUMMYFUNCTION("vlookup(BB1704,importrange(""https://docs.google.com/spreadsheets/d/1d2vevQ_7D_v35q4wCQ4RpQ_IPoTwEMB9Yp6ymwlPqew/edit?gid=984458430#gid=984458430"", ""'replication success'!A:M""), 13, FAlSE)"),"pg. 16")</f>
        <v>pg. 16</v>
      </c>
      <c r="BB1704" s="61" t="str">
        <f>IFERROR(__xludf.DUMMYFUNCTION("REGEXREPLACE(G1704, ""_[a-z]{1,2}$"", """")"),"Manylabs2_16_1")</f>
        <v>Manylabs2_16_1</v>
      </c>
      <c r="BC1704" s="68"/>
      <c r="BD1704" s="68" t="s">
        <v>5074</v>
      </c>
    </row>
    <row r="1705">
      <c r="A1705" s="44">
        <v>1705.0</v>
      </c>
      <c r="B1705" s="68" t="s">
        <v>114</v>
      </c>
      <c r="C1705" s="62" t="s">
        <v>115</v>
      </c>
      <c r="D1705" s="62" t="s">
        <v>232</v>
      </c>
      <c r="F1705" s="68" t="s">
        <v>9842</v>
      </c>
      <c r="G1705" s="159" t="s">
        <v>9843</v>
      </c>
      <c r="H1705" s="159" t="s">
        <v>6940</v>
      </c>
      <c r="I1705" s="152">
        <v>45687.0</v>
      </c>
      <c r="J1705" s="152">
        <v>45693.0</v>
      </c>
      <c r="K1705" s="68"/>
      <c r="L1705" s="68"/>
      <c r="M1705" s="159" t="s">
        <v>9844</v>
      </c>
      <c r="N1705" s="159" t="s">
        <v>9845</v>
      </c>
      <c r="O1705" s="159" t="s">
        <v>4092</v>
      </c>
      <c r="P1705" s="606" t="str">
        <f t="shared" si="118"/>
        <v>10.1016--j .obhdp.2006.10.001.pdf</v>
      </c>
      <c r="Q1705" s="52" t="str">
        <f t="array" ref="Q1705"> if(iserror(MATCH(V1705, 'File Links'!C:C, 0)), "N/A", HYPERLINK(INDEX('File Links'!B:B, MATCH(P1705, 'File Links'!C:C, 0))))</f>
        <v>https://drive.google.com/file/d/1APm26rD_UpSxwv_f7ANPXDv5utKWJ7q3/view?usp=drivesdk</v>
      </c>
      <c r="R1705" s="159" t="s">
        <v>9579</v>
      </c>
      <c r="S1705" s="159" t="s">
        <v>9580</v>
      </c>
      <c r="T1705" s="68"/>
      <c r="U1705" s="156">
        <v>21.0</v>
      </c>
      <c r="V1705" s="198" t="str">
        <f t="shared" si="114"/>
        <v>10.1177--2515245918810225.pdf</v>
      </c>
      <c r="W1705" s="68" t="s">
        <v>209</v>
      </c>
      <c r="X1705" s="54" t="str">
        <f t="array" ref="X1705"> if(iserror(MATCH(V1705, 'File Links'!C:C, 0)), "N/A", HYPERLINK(INDEX('File Links'!B:B, MATCH(V1705, 'File Links'!C:C, 0))))</f>
        <v>https://drive.google.com/file/d/1rGqHLpg3OEGQnWLvlAEJr7JSMWJ2p-Ar/view?usp=drivesdk</v>
      </c>
      <c r="Y1705" s="68"/>
      <c r="Z1705" s="159" t="s">
        <v>947</v>
      </c>
      <c r="AA1705" s="68"/>
      <c r="AB1705" s="159" t="s">
        <v>9633</v>
      </c>
      <c r="AC1705" s="159" t="s">
        <v>9846</v>
      </c>
      <c r="AD1705" s="159" t="s">
        <v>9847</v>
      </c>
      <c r="AE1705" s="159" t="s">
        <v>7398</v>
      </c>
      <c r="AF1705" s="156">
        <v>64.0</v>
      </c>
      <c r="AG1705" s="156">
        <v>0.07</v>
      </c>
      <c r="AH1705" s="159" t="s">
        <v>139</v>
      </c>
      <c r="AI1705" s="159" t="s">
        <v>7398</v>
      </c>
      <c r="AJ1705" s="156">
        <v>0.03</v>
      </c>
      <c r="AK1705" s="159" t="s">
        <v>172</v>
      </c>
      <c r="AL1705" s="159" t="s">
        <v>186</v>
      </c>
      <c r="AM1705" s="68" t="s">
        <v>137</v>
      </c>
      <c r="AN1705" s="330" t="s">
        <v>138</v>
      </c>
      <c r="AO1705" s="156">
        <v>7890.0</v>
      </c>
      <c r="AP1705" s="156">
        <v>0.03</v>
      </c>
      <c r="AQ1705" s="159" t="s">
        <v>173</v>
      </c>
      <c r="AR1705" s="159" t="s">
        <v>9848</v>
      </c>
      <c r="AS1705" s="156">
        <v>0.16</v>
      </c>
      <c r="AT1705" s="159" t="s">
        <v>172</v>
      </c>
      <c r="AU1705" s="159" t="s">
        <v>186</v>
      </c>
      <c r="AV1705" s="68" t="s">
        <v>137</v>
      </c>
      <c r="AW1705" s="435" t="s">
        <v>9588</v>
      </c>
      <c r="AX1705" s="68" t="s">
        <v>438</v>
      </c>
      <c r="AY1705" s="61" t="str">
        <f>IFERROR(__xludf.DUMMYFUNCTION("vlookup(BB1705,importrange(""https://docs.google.com/spreadsheets/d/1d2vevQ_7D_v35q4wCQ4RpQ_IPoTwEMB9Yp6ymwlPqew/edit?gid=984458430#gid=984458430"", ""'replication success'!A:K""), 11, FAlSE)"),"failed")</f>
        <v>failed</v>
      </c>
      <c r="AZ1705" s="61" t="str">
        <f>IFERROR(__xludf.DUMMYFUNCTION("vlookup(BB1705,importrange(""https://docs.google.com/spreadsheets/d/1d2vevQ_7D_v35q4wCQ4RpQ_IPoTwEMB9Yp6ymwlPqew/edit?gid=984458430#gid=984458430"", ""'replication success'!A:M""), 12, FAlSE)"),"This result does not support the hypoth-
esis that perceived power is higher with greater vertical distance. The replication effect was in the same direc-
tion as, but much smaller than, the original (d = 0.03, 95% CI = [−0.01, 0.08], vs. original d = 0"&amp;".55).")</f>
        <v>This result does not support the hypoth-
esis that perceived power is higher with greater vertical distance. The replication effect was in the same direc-
tion as, but much smaller than, the original (d = 0.03, 95% CI = [−0.01, 0.08], vs. original d = 0.55).</v>
      </c>
      <c r="BA1705" s="61" t="str">
        <f>IFERROR(__xludf.DUMMYFUNCTION("vlookup(BB1705,importrange(""https://docs.google.com/spreadsheets/d/1d2vevQ_7D_v35q4wCQ4RpQ_IPoTwEMB9Yp6ymwlPqew/edit?gid=984458430#gid=984458430"", ""'replication success'!A:M""), 13, FAlSE)"),"pg. 18")</f>
        <v>pg. 18</v>
      </c>
      <c r="BB1705" s="61" t="str">
        <f>IFERROR(__xludf.DUMMYFUNCTION("REGEXREPLACE(G1705, ""_[a-z]{1,2}$"", """")"),"Manylabs2_17_1")</f>
        <v>Manylabs2_17_1</v>
      </c>
      <c r="BC1705" s="68"/>
      <c r="BD1705" s="68" t="s">
        <v>5074</v>
      </c>
    </row>
    <row r="1706">
      <c r="A1706" s="44">
        <v>1706.0</v>
      </c>
      <c r="B1706" s="129" t="s">
        <v>152</v>
      </c>
      <c r="C1706" s="62" t="s">
        <v>115</v>
      </c>
      <c r="D1706" s="62" t="s">
        <v>145</v>
      </c>
      <c r="F1706" s="68" t="s">
        <v>9842</v>
      </c>
      <c r="G1706" s="159" t="s">
        <v>9843</v>
      </c>
      <c r="H1706" s="678" t="s">
        <v>5592</v>
      </c>
      <c r="I1706" s="152">
        <v>45673.0</v>
      </c>
      <c r="J1706" s="152">
        <v>45693.0</v>
      </c>
      <c r="K1706" s="68"/>
      <c r="L1706" s="151" t="s">
        <v>9849</v>
      </c>
      <c r="M1706" s="68" t="s">
        <v>9844</v>
      </c>
      <c r="N1706" s="68" t="s">
        <v>9845</v>
      </c>
      <c r="O1706" s="159" t="s">
        <v>9850</v>
      </c>
      <c r="P1706" s="606" t="str">
        <f t="shared" si="118"/>
        <v>10.1016--j .obhdp.2006.10.001.pdf</v>
      </c>
      <c r="Q1706" s="52" t="str">
        <f t="array" ref="Q1706"> if(iserror(MATCH(V1706, 'File Links'!C:C, 0)), "N/A", HYPERLINK(INDEX('File Links'!B:B, MATCH(P1706, 'File Links'!C:C, 0))))</f>
        <v>https://drive.google.com/file/d/1APm26rD_UpSxwv_f7ANPXDv5utKWJ7q3/view?usp=drivesdk</v>
      </c>
      <c r="R1706" s="1115" t="s">
        <v>9579</v>
      </c>
      <c r="S1706" s="1115" t="s">
        <v>9580</v>
      </c>
      <c r="T1706" s="68"/>
      <c r="U1706" s="1093">
        <v>21.0</v>
      </c>
      <c r="V1706" s="198" t="str">
        <f t="shared" si="114"/>
        <v>10.1177--2515245918810225.pdf</v>
      </c>
      <c r="W1706" s="1300" t="s">
        <v>209</v>
      </c>
      <c r="X1706" s="54" t="str">
        <f t="array" ref="X1706"> if(iserror(MATCH(V1706, 'File Links'!C:C, 0)), "N/A", HYPERLINK(INDEX('File Links'!B:B, MATCH(V1706, 'File Links'!C:C, 0))))</f>
        <v>https://drive.google.com/file/d/1rGqHLpg3OEGQnWLvlAEJr7JSMWJ2p-Ar/view?usp=drivesdk</v>
      </c>
      <c r="Y1706" s="68"/>
      <c r="Z1706" s="159" t="s">
        <v>210</v>
      </c>
      <c r="AA1706" s="374" t="s">
        <v>138</v>
      </c>
      <c r="AB1706" s="159" t="s">
        <v>9851</v>
      </c>
      <c r="AC1706" s="159" t="s">
        <v>9852</v>
      </c>
      <c r="AD1706" s="159" t="s">
        <v>9853</v>
      </c>
      <c r="AE1706" s="1115" t="s">
        <v>7398</v>
      </c>
      <c r="AF1706" s="156">
        <v>64.0</v>
      </c>
      <c r="AG1706" s="161">
        <v>0.547</v>
      </c>
      <c r="AH1706" s="159" t="s">
        <v>139</v>
      </c>
      <c r="AI1706" s="1116" t="s">
        <v>9854</v>
      </c>
      <c r="AJ1706" s="156">
        <v>0.03</v>
      </c>
      <c r="AK1706" s="159" t="s">
        <v>172</v>
      </c>
      <c r="AL1706" s="159" t="s">
        <v>186</v>
      </c>
      <c r="AM1706" s="1300" t="s">
        <v>137</v>
      </c>
      <c r="AN1706" s="330" t="s">
        <v>138</v>
      </c>
      <c r="AO1706" s="156">
        <v>7890.0</v>
      </c>
      <c r="AP1706" s="156">
        <v>0.03</v>
      </c>
      <c r="AQ1706" s="159" t="s">
        <v>173</v>
      </c>
      <c r="AR1706" s="1115" t="s">
        <v>9848</v>
      </c>
      <c r="AS1706" s="156">
        <v>0.16</v>
      </c>
      <c r="AT1706" s="159" t="s">
        <v>172</v>
      </c>
      <c r="AU1706" s="159" t="s">
        <v>186</v>
      </c>
      <c r="AV1706" s="1300" t="s">
        <v>137</v>
      </c>
      <c r="AW1706" s="1119" t="s">
        <v>9588</v>
      </c>
      <c r="AX1706" s="1300" t="s">
        <v>438</v>
      </c>
      <c r="AY1706" s="61" t="str">
        <f>IFERROR(__xludf.DUMMYFUNCTION("vlookup(BB1706,importrange(""https://docs.google.com/spreadsheets/d/1d2vevQ_7D_v35q4wCQ4RpQ_IPoTwEMB9Yp6ymwlPqew/edit?gid=984458430#gid=984458430"", ""'replication success'!A:K""), 11, FAlSE)"),"failed")</f>
        <v>failed</v>
      </c>
      <c r="AZ1706" s="61" t="str">
        <f>IFERROR(__xludf.DUMMYFUNCTION("vlookup(BB1706,importrange(""https://docs.google.com/spreadsheets/d/1d2vevQ_7D_v35q4wCQ4RpQ_IPoTwEMB9Yp6ymwlPqew/edit?gid=984458430#gid=984458430"", ""'replication success'!A:M""), 12, FAlSE)"),"This result does not support the hypoth-
esis that perceived power is higher with greater vertical distance. The replication effect was in the same direc-
tion as, but much smaller than, the original (d = 0.03, 95% CI = [−0.01, 0.08], vs. original d = 0"&amp;".55).")</f>
        <v>This result does not support the hypoth-
esis that perceived power is higher with greater vertical distance. The replication effect was in the same direc-
tion as, but much smaller than, the original (d = 0.03, 95% CI = [−0.01, 0.08], vs. original d = 0.55).</v>
      </c>
      <c r="BA1706" s="61" t="str">
        <f>IFERROR(__xludf.DUMMYFUNCTION("vlookup(BB1706,importrange(""https://docs.google.com/spreadsheets/d/1d2vevQ_7D_v35q4wCQ4RpQ_IPoTwEMB9Yp6ymwlPqew/edit?gid=984458430#gid=984458430"", ""'replication success'!A:M""), 13, FAlSE)"),"pg. 18")</f>
        <v>pg. 18</v>
      </c>
      <c r="BB1706" s="61" t="str">
        <f>IFERROR(__xludf.DUMMYFUNCTION("REGEXREPLACE(G1706, ""_[a-z]{1,2}$"", """")"),"Manylabs2_17_1")</f>
        <v>Manylabs2_17_1</v>
      </c>
      <c r="BC1706" s="68"/>
      <c r="BD1706" s="129" t="s">
        <v>6985</v>
      </c>
    </row>
    <row r="1707">
      <c r="A1707" s="44">
        <v>1707.0</v>
      </c>
      <c r="B1707" s="68" t="s">
        <v>590</v>
      </c>
      <c r="C1707" s="62" t="s">
        <v>115</v>
      </c>
      <c r="D1707" s="62" t="s">
        <v>232</v>
      </c>
      <c r="F1707" s="68" t="s">
        <v>9855</v>
      </c>
      <c r="G1707" s="159" t="s">
        <v>9856</v>
      </c>
      <c r="H1707" s="159" t="s">
        <v>6940</v>
      </c>
      <c r="I1707" s="152">
        <v>45687.0</v>
      </c>
      <c r="J1707" s="152">
        <v>45693.0</v>
      </c>
      <c r="K1707" s="159" t="s">
        <v>9857</v>
      </c>
      <c r="L1707" s="159" t="s">
        <v>9858</v>
      </c>
      <c r="M1707" s="159" t="s">
        <v>9859</v>
      </c>
      <c r="N1707" s="62">
        <v>9.781032633275E12</v>
      </c>
      <c r="O1707" s="156">
        <v>2.0</v>
      </c>
      <c r="P1707" s="606" t="str">
        <f t="shared" si="118"/>
        <v>9781032633275.pdf</v>
      </c>
      <c r="Q1707" s="52" t="str">
        <f t="array" ref="Q1707"> if(iserror(MATCH(V1707, 'File Links'!C:C, 0)), "N/A", HYPERLINK(INDEX('File Links'!B:B, MATCH(P1707, 'File Links'!C:C, 0))))</f>
        <v>https://drive.google.com/file/d/1BpLhL82hbuMif1ihzgQr3rblWCHhGl8w/view?usp=drivesdk</v>
      </c>
      <c r="R1707" s="159" t="s">
        <v>9579</v>
      </c>
      <c r="S1707" s="159" t="s">
        <v>9580</v>
      </c>
      <c r="T1707" s="68"/>
      <c r="U1707" s="156">
        <v>22.0</v>
      </c>
      <c r="V1707" s="198" t="str">
        <f t="shared" si="114"/>
        <v>10.1177--2515245918810225.pdf</v>
      </c>
      <c r="W1707" s="68" t="s">
        <v>209</v>
      </c>
      <c r="X1707" s="54" t="str">
        <f t="array" ref="X1707"> if(iserror(MATCH(V1707, 'File Links'!C:C, 0)), "N/A", HYPERLINK(INDEX('File Links'!B:B, MATCH(V1707, 'File Links'!C:C, 0))))</f>
        <v>https://drive.google.com/file/d/1rGqHLpg3OEGQnWLvlAEJr7JSMWJ2p-Ar/view?usp=drivesdk</v>
      </c>
      <c r="Y1707" s="68"/>
      <c r="Z1707" s="159" t="s">
        <v>947</v>
      </c>
      <c r="AA1707" s="68"/>
      <c r="AB1707" s="159" t="s">
        <v>9633</v>
      </c>
      <c r="AC1707" s="159" t="s">
        <v>9860</v>
      </c>
      <c r="AD1707" s="159" t="s">
        <v>9861</v>
      </c>
      <c r="AE1707" s="159" t="s">
        <v>6600</v>
      </c>
      <c r="AF1707" s="156">
        <v>154.0</v>
      </c>
      <c r="AG1707" s="159" t="s">
        <v>9862</v>
      </c>
      <c r="AH1707" s="159" t="s">
        <v>134</v>
      </c>
      <c r="AI1707" s="159" t="s">
        <v>6600</v>
      </c>
      <c r="AJ1707" s="156">
        <v>0.01</v>
      </c>
      <c r="AK1707" s="159" t="s">
        <v>135</v>
      </c>
      <c r="AL1707" s="159" t="s">
        <v>186</v>
      </c>
      <c r="AM1707" s="68" t="s">
        <v>137</v>
      </c>
      <c r="AN1707" s="330" t="s">
        <v>138</v>
      </c>
      <c r="AO1707" s="156">
        <v>3549.0</v>
      </c>
      <c r="AP1707" s="156">
        <v>0.01</v>
      </c>
      <c r="AQ1707" s="159" t="s">
        <v>173</v>
      </c>
      <c r="AR1707" s="159" t="s">
        <v>9863</v>
      </c>
      <c r="AS1707" s="156">
        <v>0.55</v>
      </c>
      <c r="AT1707" s="159" t="s">
        <v>172</v>
      </c>
      <c r="AU1707" s="159" t="s">
        <v>186</v>
      </c>
      <c r="AV1707" s="68" t="s">
        <v>137</v>
      </c>
      <c r="AW1707" s="435" t="s">
        <v>9588</v>
      </c>
      <c r="AX1707" s="68" t="s">
        <v>143</v>
      </c>
      <c r="AY1707" s="61" t="str">
        <f>IFERROR(__xludf.DUMMYFUNCTION("vlookup(BB1707,importrange(""https://docs.google.com/spreadsheets/d/1d2vevQ_7D_v35q4wCQ4RpQ_IPoTwEMB9Yp6ymwlPqew/edit?gid=984458430#gid=984458430"", ""'replication success'!A:K""), 11, FAlSE)"),"#N/A")</f>
        <v>#N/A</v>
      </c>
      <c r="AZ1707" s="61" t="str">
        <f>IFERROR(__xludf.DUMMYFUNCTION("vlookup(BB1707,importrange(""https://docs.google.com/spreadsheets/d/1d2vevQ_7D_v35q4wCQ4RpQ_IPoTwEMB9Yp6ymwlPqew/edit?gid=984458430#gid=984458430"", ""'replication success'!A:M""), 12, FAlSE)"),"#N/A")</f>
        <v>#N/A</v>
      </c>
      <c r="BA1707" s="61" t="str">
        <f>IFERROR(__xludf.DUMMYFUNCTION("vlookup(BB1707,importrange(""https://docs.google.com/spreadsheets/d/1d2vevQ_7D_v35q4wCQ4RpQ_IPoTwEMB9Yp6ymwlPqew/edit?gid=984458430#gid=984458430"", ""'replication success'!A:M""), 13, FAlSE)"),"#N/A")</f>
        <v>#N/A</v>
      </c>
      <c r="BB1707" s="61" t="str">
        <f>IFERROR(__xludf.DUMMYFUNCTION("REGEXREPLACE(G1707, ""_[a-z]{1,2}$"", """")"),"Manylabs2_18_1")</f>
        <v>Manylabs2_18_1</v>
      </c>
      <c r="BC1707" s="68"/>
      <c r="BD1707" s="68" t="s">
        <v>5074</v>
      </c>
    </row>
    <row r="1708">
      <c r="A1708" s="44">
        <v>1708.0</v>
      </c>
      <c r="B1708" s="68" t="s">
        <v>590</v>
      </c>
      <c r="C1708" s="62" t="s">
        <v>115</v>
      </c>
      <c r="D1708" s="62" t="s">
        <v>232</v>
      </c>
      <c r="F1708" s="68" t="s">
        <v>9855</v>
      </c>
      <c r="G1708" s="159" t="s">
        <v>9864</v>
      </c>
      <c r="H1708" s="159" t="s">
        <v>6940</v>
      </c>
      <c r="I1708" s="152">
        <v>45687.0</v>
      </c>
      <c r="J1708" s="152">
        <v>45693.0</v>
      </c>
      <c r="K1708" s="68"/>
      <c r="L1708" s="68"/>
      <c r="M1708" s="159" t="s">
        <v>9859</v>
      </c>
      <c r="N1708" s="62">
        <v>9.781032633275E12</v>
      </c>
      <c r="O1708" s="156">
        <v>2.0</v>
      </c>
      <c r="P1708" s="606" t="str">
        <f t="shared" si="118"/>
        <v>9781032633275.pdf</v>
      </c>
      <c r="Q1708" s="52" t="str">
        <f t="array" ref="Q1708"> if(iserror(MATCH(V1708, 'File Links'!C:C, 0)), "N/A", HYPERLINK(INDEX('File Links'!B:B, MATCH(P1708, 'File Links'!C:C, 0))))</f>
        <v>https://drive.google.com/file/d/1BpLhL82hbuMif1ihzgQr3rblWCHhGl8w/view?usp=drivesdk</v>
      </c>
      <c r="R1708" s="1115" t="s">
        <v>9579</v>
      </c>
      <c r="S1708" s="1115" t="s">
        <v>9580</v>
      </c>
      <c r="T1708" s="68"/>
      <c r="U1708" s="156">
        <v>22.0</v>
      </c>
      <c r="V1708" s="198" t="str">
        <f t="shared" si="114"/>
        <v>10.1177--2515245918810225.pdf</v>
      </c>
      <c r="W1708" s="68" t="s">
        <v>209</v>
      </c>
      <c r="X1708" s="54" t="str">
        <f t="array" ref="X1708"> if(iserror(MATCH(V1708, 'File Links'!C:C, 0)), "N/A", HYPERLINK(INDEX('File Links'!B:B, MATCH(V1708, 'File Links'!C:C, 0))))</f>
        <v>https://drive.google.com/file/d/1rGqHLpg3OEGQnWLvlAEJr7JSMWJ2p-Ar/view?usp=drivesdk</v>
      </c>
      <c r="Y1708" s="68"/>
      <c r="Z1708" s="159" t="s">
        <v>947</v>
      </c>
      <c r="AA1708" s="68"/>
      <c r="AB1708" s="159" t="s">
        <v>9633</v>
      </c>
      <c r="AC1708" s="159" t="s">
        <v>9860</v>
      </c>
      <c r="AD1708" s="159" t="s">
        <v>9865</v>
      </c>
      <c r="AE1708" s="159" t="s">
        <v>6600</v>
      </c>
      <c r="AF1708" s="156">
        <v>46.0</v>
      </c>
      <c r="AG1708" s="159" t="s">
        <v>9866</v>
      </c>
      <c r="AH1708" s="159" t="s">
        <v>134</v>
      </c>
      <c r="AI1708" s="159" t="s">
        <v>6600</v>
      </c>
      <c r="AJ1708" s="156">
        <v>0.05</v>
      </c>
      <c r="AK1708" s="159" t="s">
        <v>135</v>
      </c>
      <c r="AL1708" s="159" t="s">
        <v>186</v>
      </c>
      <c r="AM1708" s="68" t="s">
        <v>137</v>
      </c>
      <c r="AN1708" s="330" t="s">
        <v>138</v>
      </c>
      <c r="AO1708" s="156">
        <v>3582.0</v>
      </c>
      <c r="AP1708" s="156">
        <v>0.03</v>
      </c>
      <c r="AQ1708" s="159" t="s">
        <v>173</v>
      </c>
      <c r="AR1708" s="159" t="s">
        <v>9863</v>
      </c>
      <c r="AS1708" s="156">
        <v>0.09</v>
      </c>
      <c r="AT1708" s="159" t="s">
        <v>172</v>
      </c>
      <c r="AU1708" s="159" t="s">
        <v>186</v>
      </c>
      <c r="AV1708" s="68" t="s">
        <v>137</v>
      </c>
      <c r="AW1708" s="435" t="s">
        <v>9588</v>
      </c>
      <c r="AX1708" s="68" t="s">
        <v>143</v>
      </c>
      <c r="AY1708" s="61" t="str">
        <f>IFERROR(__xludf.DUMMYFUNCTION("vlookup(BB1708,importrange(""https://docs.google.com/spreadsheets/d/1d2vevQ_7D_v35q4wCQ4RpQ_IPoTwEMB9Yp6ymwlPqew/edit?gid=984458430#gid=984458430"", ""'replication success'!A:K""), 11, FAlSE)"),"#N/A")</f>
        <v>#N/A</v>
      </c>
      <c r="AZ1708" s="61" t="str">
        <f>IFERROR(__xludf.DUMMYFUNCTION("vlookup(BB1708,importrange(""https://docs.google.com/spreadsheets/d/1d2vevQ_7D_v35q4wCQ4RpQ_IPoTwEMB9Yp6ymwlPqew/edit?gid=984458430#gid=984458430"", ""'replication success'!A:M""), 12, FAlSE)"),"#N/A")</f>
        <v>#N/A</v>
      </c>
      <c r="BA1708" s="61" t="str">
        <f>IFERROR(__xludf.DUMMYFUNCTION("vlookup(BB1708,importrange(""https://docs.google.com/spreadsheets/d/1d2vevQ_7D_v35q4wCQ4RpQ_IPoTwEMB9Yp6ymwlPqew/edit?gid=984458430#gid=984458430"", ""'replication success'!A:M""), 13, FAlSE)"),"#N/A")</f>
        <v>#N/A</v>
      </c>
      <c r="BB1708" s="61" t="str">
        <f>IFERROR(__xludf.DUMMYFUNCTION("REGEXREPLACE(G1708, ""_[a-z]{1,2}$"", """")"),"Manylabs2_18_1")</f>
        <v>Manylabs2_18_1</v>
      </c>
      <c r="BC1708" s="68"/>
      <c r="BD1708" s="68" t="s">
        <v>5074</v>
      </c>
    </row>
    <row r="1709">
      <c r="A1709" s="44">
        <v>1709.0</v>
      </c>
      <c r="B1709" s="68" t="s">
        <v>114</v>
      </c>
      <c r="C1709" s="62" t="s">
        <v>115</v>
      </c>
      <c r="D1709" s="62" t="s">
        <v>145</v>
      </c>
      <c r="F1709" s="68" t="s">
        <v>9855</v>
      </c>
      <c r="G1709" s="159" t="s">
        <v>9856</v>
      </c>
      <c r="H1709" s="678" t="s">
        <v>5592</v>
      </c>
      <c r="I1709" s="152">
        <v>45673.0</v>
      </c>
      <c r="J1709" s="152">
        <v>45693.0</v>
      </c>
      <c r="K1709" s="159" t="s">
        <v>9867</v>
      </c>
      <c r="L1709" s="68"/>
      <c r="M1709" s="68" t="s">
        <v>9859</v>
      </c>
      <c r="N1709" s="62">
        <v>9.781032633275E12</v>
      </c>
      <c r="O1709" s="156">
        <v>2.0</v>
      </c>
      <c r="P1709" s="606" t="str">
        <f t="shared" si="118"/>
        <v>9781032633275.pdf</v>
      </c>
      <c r="Q1709" s="52" t="str">
        <f t="array" ref="Q1709"> if(iserror(MATCH(V1709, 'File Links'!C:C, 0)), "N/A", HYPERLINK(INDEX('File Links'!B:B, MATCH(P1709, 'File Links'!C:C, 0))))</f>
        <v>https://drive.google.com/file/d/1BpLhL82hbuMif1ihzgQr3rblWCHhGl8w/view?usp=drivesdk</v>
      </c>
      <c r="R1709" s="1115" t="s">
        <v>9579</v>
      </c>
      <c r="S1709" s="1115" t="s">
        <v>9580</v>
      </c>
      <c r="T1709" s="68"/>
      <c r="U1709" s="68"/>
      <c r="V1709" s="198" t="str">
        <f t="shared" si="114"/>
        <v>10.1177--2515245918810225.pdf</v>
      </c>
      <c r="W1709" s="1300" t="s">
        <v>209</v>
      </c>
      <c r="X1709" s="54" t="str">
        <f t="array" ref="X1709"> if(iserror(MATCH(V1709, 'File Links'!C:C, 0)), "N/A", HYPERLINK(INDEX('File Links'!B:B, MATCH(V1709, 'File Links'!C:C, 0))))</f>
        <v>https://drive.google.com/file/d/1rGqHLpg3OEGQnWLvlAEJr7JSMWJ2p-Ar/view?usp=drivesdk</v>
      </c>
      <c r="Y1709" s="68"/>
      <c r="Z1709" s="68"/>
      <c r="AA1709" s="68"/>
      <c r="AB1709" s="68"/>
      <c r="AC1709" s="68"/>
      <c r="AD1709" s="68"/>
      <c r="AE1709" s="68"/>
      <c r="AF1709" s="156">
        <v>144.0</v>
      </c>
      <c r="AG1709" s="68"/>
      <c r="AH1709" s="68"/>
      <c r="AI1709" s="68"/>
      <c r="AJ1709" s="68"/>
      <c r="AK1709" s="68"/>
      <c r="AL1709" s="68"/>
      <c r="AM1709" s="68"/>
      <c r="AN1709" s="330" t="s">
        <v>138</v>
      </c>
      <c r="AO1709" s="156">
        <v>3549.0</v>
      </c>
      <c r="AP1709" s="68"/>
      <c r="AQ1709" s="68"/>
      <c r="AR1709" s="68"/>
      <c r="AS1709" s="68"/>
      <c r="AT1709" s="68"/>
      <c r="AU1709" s="68"/>
      <c r="AV1709" s="68"/>
      <c r="AW1709" s="1119" t="s">
        <v>9588</v>
      </c>
      <c r="AX1709" s="68"/>
      <c r="AY1709" s="61" t="str">
        <f>IFERROR(__xludf.DUMMYFUNCTION("vlookup(BB1709,importrange(""https://docs.google.com/spreadsheets/d/1d2vevQ_7D_v35q4wCQ4RpQ_IPoTwEMB9Yp6ymwlPqew/edit?gid=984458430#gid=984458430"", ""'replication success'!A:K""), 11, FAlSE)"),"#N/A")</f>
        <v>#N/A</v>
      </c>
      <c r="AZ1709" s="61" t="str">
        <f>IFERROR(__xludf.DUMMYFUNCTION("vlookup(BB1709,importrange(""https://docs.google.com/spreadsheets/d/1d2vevQ_7D_v35q4wCQ4RpQ_IPoTwEMB9Yp6ymwlPqew/edit?gid=984458430#gid=984458430"", ""'replication success'!A:M""), 12, FAlSE)"),"#N/A")</f>
        <v>#N/A</v>
      </c>
      <c r="BA1709" s="61" t="str">
        <f>IFERROR(__xludf.DUMMYFUNCTION("vlookup(BB1709,importrange(""https://docs.google.com/spreadsheets/d/1d2vevQ_7D_v35q4wCQ4RpQ_IPoTwEMB9Yp6ymwlPqew/edit?gid=984458430#gid=984458430"", ""'replication success'!A:M""), 13, FAlSE)"),"#N/A")</f>
        <v>#N/A</v>
      </c>
      <c r="BB1709" s="61" t="str">
        <f>IFERROR(__xludf.DUMMYFUNCTION("REGEXREPLACE(G1709, ""_[a-z]{1,2}$"", """")"),"Manylabs2_18_1")</f>
        <v>Manylabs2_18_1</v>
      </c>
      <c r="BC1709" s="68"/>
      <c r="BD1709" s="68" t="s">
        <v>5074</v>
      </c>
    </row>
    <row r="1710">
      <c r="A1710" s="44">
        <v>1710.0</v>
      </c>
      <c r="B1710" s="68" t="s">
        <v>114</v>
      </c>
      <c r="C1710" s="62" t="s">
        <v>115</v>
      </c>
      <c r="D1710" s="62" t="s">
        <v>232</v>
      </c>
      <c r="F1710" s="159" t="s">
        <v>9868</v>
      </c>
      <c r="G1710" s="68" t="s">
        <v>9869</v>
      </c>
      <c r="H1710" s="159" t="s">
        <v>6940</v>
      </c>
      <c r="I1710" s="152">
        <v>45687.0</v>
      </c>
      <c r="J1710" s="152">
        <v>45693.0</v>
      </c>
      <c r="K1710" s="68"/>
      <c r="L1710" s="68"/>
      <c r="M1710" s="159" t="s">
        <v>9870</v>
      </c>
      <c r="N1710" s="159" t="s">
        <v>7766</v>
      </c>
      <c r="O1710" s="156">
        <v>2.0</v>
      </c>
      <c r="P1710" s="606" t="str">
        <f t="shared" si="118"/>
        <v>10.1126--science.1130726.pdf</v>
      </c>
      <c r="Q1710" s="52" t="str">
        <f t="array" ref="Q1710"> if(iserror(MATCH(V1710, 'File Links'!C:C, 0)), "N/A", HYPERLINK(INDEX('File Links'!B:B, MATCH(P1710, 'File Links'!C:C, 0))))</f>
        <v>https://drive.google.com/file/d/1w2KBBoT3U7JrwQsTrJduC-AS9fihTDq0/view?usp=drivesdk</v>
      </c>
      <c r="R1710" s="159" t="s">
        <v>9579</v>
      </c>
      <c r="S1710" s="159" t="s">
        <v>9580</v>
      </c>
      <c r="T1710" s="68"/>
      <c r="U1710" s="156">
        <v>23.0</v>
      </c>
      <c r="V1710" s="198" t="str">
        <f t="shared" si="114"/>
        <v>10.1177--2515245918810225.pdf</v>
      </c>
      <c r="W1710" s="68" t="s">
        <v>209</v>
      </c>
      <c r="X1710" s="54" t="str">
        <f t="array" ref="X1710"> if(iserror(MATCH(V1710, 'File Links'!C:C, 0)), "N/A", HYPERLINK(INDEX('File Links'!B:B, MATCH(V1710, 'File Links'!C:C, 0))))</f>
        <v>https://drive.google.com/file/d/1rGqHLpg3OEGQnWLvlAEJr7JSMWJ2p-Ar/view?usp=drivesdk</v>
      </c>
      <c r="Y1710" s="68"/>
      <c r="Z1710" s="159" t="s">
        <v>947</v>
      </c>
      <c r="AA1710" s="68"/>
      <c r="AB1710" s="159" t="s">
        <v>9633</v>
      </c>
      <c r="AC1710" s="159" t="s">
        <v>9871</v>
      </c>
      <c r="AD1710" s="159" t="s">
        <v>9872</v>
      </c>
      <c r="AE1710" s="159" t="s">
        <v>9873</v>
      </c>
      <c r="AF1710" s="156">
        <v>27.0</v>
      </c>
      <c r="AG1710" s="159" t="s">
        <v>7835</v>
      </c>
      <c r="AH1710" s="159" t="s">
        <v>134</v>
      </c>
      <c r="AI1710" s="159" t="s">
        <v>9874</v>
      </c>
      <c r="AJ1710" s="156">
        <v>0.01</v>
      </c>
      <c r="AK1710" s="159" t="s">
        <v>172</v>
      </c>
      <c r="AL1710" s="159" t="s">
        <v>186</v>
      </c>
      <c r="AM1710" s="68" t="s">
        <v>137</v>
      </c>
      <c r="AN1710" s="330" t="s">
        <v>138</v>
      </c>
      <c r="AO1710" s="156">
        <v>7001.0</v>
      </c>
      <c r="AP1710" s="156">
        <v>0.0</v>
      </c>
      <c r="AQ1710" s="159" t="s">
        <v>173</v>
      </c>
      <c r="AR1710" s="159" t="s">
        <v>9709</v>
      </c>
      <c r="AS1710" s="156">
        <v>0.91</v>
      </c>
      <c r="AT1710" s="159" t="s">
        <v>172</v>
      </c>
      <c r="AU1710" s="159" t="s">
        <v>186</v>
      </c>
      <c r="AV1710" s="68" t="s">
        <v>137</v>
      </c>
      <c r="AW1710" s="435" t="s">
        <v>9588</v>
      </c>
      <c r="AX1710" s="68" t="s">
        <v>143</v>
      </c>
      <c r="AY1710" s="61" t="str">
        <f>IFERROR(__xludf.DUMMYFUNCTION("vlookup(BB1710,importrange(""https://docs.google.com/spreadsheets/d/1d2vevQ_7D_v35q4wCQ4RpQ_IPoTwEMB9Yp6ymwlPqew/edit?gid=984458430#gid=984458430"", ""'replication success'!A:K""), 11, FAlSE)"),"failed")</f>
        <v>failed</v>
      </c>
      <c r="AZ1710" s="61" t="str">
        <f>IFERROR(__xludf.DUMMYFUNCTION("vlookup(BB1710,importrange(""https://docs.google.com/spreadsheets/d/1d2vevQ_7D_v35q4wCQ4RpQ_IPoTwEMB9Yp6ymwlPqew/edit?gid=984458430#gid=984458430"", ""'replication success'!A:M""), 12, FAlSE)"),"This result is not
consistent with the hypothesis that copying an account
of an unethical action increases the desirability of cleans-
ing products compared with copying an account of an ethical action.")</f>
        <v>This result is not
consistent with the hypothesis that copying an account
of an unethical action increases the desirability of cleans-
ing products compared with copying an account of an ethical action.</v>
      </c>
      <c r="BA1710" s="61" t="str">
        <f>IFERROR(__xludf.DUMMYFUNCTION("vlookup(BB1710,importrange(""https://docs.google.com/spreadsheets/d/1d2vevQ_7D_v35q4wCQ4RpQ_IPoTwEMB9Yp6ymwlPqew/edit?gid=984458430#gid=984458430"", ""'replication success'!A:M""), 13, FAlSE)"),"pg. 22")</f>
        <v>pg. 22</v>
      </c>
      <c r="BB1710" s="61" t="str">
        <f>IFERROR(__xludf.DUMMYFUNCTION("REGEXREPLACE(G1710, ""_[a-z]{1,2}$"", """")"),"Manylabs2_19_1")</f>
        <v>Manylabs2_19_1</v>
      </c>
      <c r="BC1710" s="68"/>
      <c r="BD1710" s="68" t="s">
        <v>5074</v>
      </c>
    </row>
    <row r="1711">
      <c r="A1711" s="44">
        <v>1711.0</v>
      </c>
      <c r="B1711" s="129" t="s">
        <v>152</v>
      </c>
      <c r="C1711" s="62" t="s">
        <v>115</v>
      </c>
      <c r="D1711" s="62" t="s">
        <v>145</v>
      </c>
      <c r="F1711" s="159" t="s">
        <v>9868</v>
      </c>
      <c r="G1711" s="68" t="s">
        <v>9869</v>
      </c>
      <c r="H1711" s="678" t="s">
        <v>5592</v>
      </c>
      <c r="I1711" s="152">
        <v>45672.0</v>
      </c>
      <c r="J1711" s="152">
        <v>45693.0</v>
      </c>
      <c r="K1711" s="68"/>
      <c r="L1711" s="68"/>
      <c r="M1711" s="68" t="s">
        <v>9870</v>
      </c>
      <c r="N1711" s="68" t="s">
        <v>7766</v>
      </c>
      <c r="O1711" s="156">
        <v>2.0</v>
      </c>
      <c r="P1711" s="606" t="str">
        <f t="shared" si="118"/>
        <v>10.1126--science.1130726.pdf</v>
      </c>
      <c r="Q1711" s="52" t="str">
        <f t="array" ref="Q1711"> if(iserror(MATCH(V1711, 'File Links'!C:C, 0)), "N/A", HYPERLINK(INDEX('File Links'!B:B, MATCH(P1711, 'File Links'!C:C, 0))))</f>
        <v>https://drive.google.com/file/d/1w2KBBoT3U7JrwQsTrJduC-AS9fihTDq0/view?usp=drivesdk</v>
      </c>
      <c r="R1711" s="1115" t="s">
        <v>9579</v>
      </c>
      <c r="S1711" s="1115" t="s">
        <v>9580</v>
      </c>
      <c r="T1711" s="68"/>
      <c r="U1711" s="1093">
        <v>23.0</v>
      </c>
      <c r="V1711" s="198" t="str">
        <f t="shared" si="114"/>
        <v>10.1177--2515245918810225.pdf</v>
      </c>
      <c r="W1711" s="1300" t="s">
        <v>209</v>
      </c>
      <c r="X1711" s="54" t="str">
        <f t="array" ref="X1711"> if(iserror(MATCH(V1711, 'File Links'!C:C, 0)), "N/A", HYPERLINK(INDEX('File Links'!B:B, MATCH(V1711, 'File Links'!C:C, 0))))</f>
        <v>https://drive.google.com/file/d/1rGqHLpg3OEGQnWLvlAEJr7JSMWJ2p-Ar/view?usp=drivesdk</v>
      </c>
      <c r="Y1711" s="68"/>
      <c r="Z1711" s="159" t="s">
        <v>226</v>
      </c>
      <c r="AA1711" s="159" t="s">
        <v>7771</v>
      </c>
      <c r="AB1711" s="159" t="s">
        <v>9875</v>
      </c>
      <c r="AC1711" s="1116" t="s">
        <v>9876</v>
      </c>
      <c r="AD1711" s="1115" t="s">
        <v>9872</v>
      </c>
      <c r="AE1711" s="1115" t="s">
        <v>9873</v>
      </c>
      <c r="AF1711" s="156">
        <v>27.0</v>
      </c>
      <c r="AG1711" s="151" t="s">
        <v>9877</v>
      </c>
      <c r="AH1711" s="159" t="s">
        <v>134</v>
      </c>
      <c r="AI1711" s="1115" t="s">
        <v>9874</v>
      </c>
      <c r="AJ1711" s="156">
        <v>0.01</v>
      </c>
      <c r="AK1711" s="159" t="s">
        <v>172</v>
      </c>
      <c r="AL1711" s="159" t="s">
        <v>186</v>
      </c>
      <c r="AM1711" s="68" t="s">
        <v>137</v>
      </c>
      <c r="AN1711" s="330" t="s">
        <v>138</v>
      </c>
      <c r="AO1711" s="156">
        <v>7001.0</v>
      </c>
      <c r="AP1711" s="156">
        <v>0.0</v>
      </c>
      <c r="AQ1711" s="159" t="s">
        <v>173</v>
      </c>
      <c r="AR1711" s="1115" t="s">
        <v>9709</v>
      </c>
      <c r="AS1711" s="156">
        <v>0.91</v>
      </c>
      <c r="AT1711" s="159" t="s">
        <v>172</v>
      </c>
      <c r="AU1711" s="159" t="s">
        <v>186</v>
      </c>
      <c r="AV1711" s="68" t="s">
        <v>137</v>
      </c>
      <c r="AW1711" s="1119" t="s">
        <v>9588</v>
      </c>
      <c r="AX1711" s="68" t="s">
        <v>143</v>
      </c>
      <c r="AY1711" s="61" t="str">
        <f>IFERROR(__xludf.DUMMYFUNCTION("vlookup(BB1711,importrange(""https://docs.google.com/spreadsheets/d/1d2vevQ_7D_v35q4wCQ4RpQ_IPoTwEMB9Yp6ymwlPqew/edit?gid=984458430#gid=984458430"", ""'replication success'!A:K""), 11, FAlSE)"),"failed")</f>
        <v>failed</v>
      </c>
      <c r="AZ1711" s="61" t="str">
        <f>IFERROR(__xludf.DUMMYFUNCTION("vlookup(BB1711,importrange(""https://docs.google.com/spreadsheets/d/1d2vevQ_7D_v35q4wCQ4RpQ_IPoTwEMB9Yp6ymwlPqew/edit?gid=984458430#gid=984458430"", ""'replication success'!A:M""), 12, FAlSE)"),"This result is not
consistent with the hypothesis that copying an account
of an unethical action increases the desirability of cleans-
ing products compared with copying an account of an ethical action.")</f>
        <v>This result is not
consistent with the hypothesis that copying an account
of an unethical action increases the desirability of cleans-
ing products compared with copying an account of an ethical action.</v>
      </c>
      <c r="BA1711" s="61" t="str">
        <f>IFERROR(__xludf.DUMMYFUNCTION("vlookup(BB1711,importrange(""https://docs.google.com/spreadsheets/d/1d2vevQ_7D_v35q4wCQ4RpQ_IPoTwEMB9Yp6ymwlPqew/edit?gid=984458430#gid=984458430"", ""'replication success'!A:M""), 13, FAlSE)"),"pg. 22")</f>
        <v>pg. 22</v>
      </c>
      <c r="BB1711" s="61" t="str">
        <f>IFERROR(__xludf.DUMMYFUNCTION("REGEXREPLACE(G1711, ""_[a-z]{1,2}$"", """")"),"Manylabs2_19_1")</f>
        <v>Manylabs2_19_1</v>
      </c>
      <c r="BC1711" s="68"/>
      <c r="BD1711" s="129" t="s">
        <v>6985</v>
      </c>
    </row>
    <row r="1712">
      <c r="A1712" s="44">
        <v>1712.0</v>
      </c>
      <c r="B1712" s="68" t="s">
        <v>114</v>
      </c>
      <c r="C1712" s="62" t="s">
        <v>115</v>
      </c>
      <c r="D1712" s="62" t="s">
        <v>232</v>
      </c>
      <c r="F1712" s="68" t="s">
        <v>9878</v>
      </c>
      <c r="G1712" s="159" t="s">
        <v>9879</v>
      </c>
      <c r="H1712" s="159" t="s">
        <v>6940</v>
      </c>
      <c r="I1712" s="152">
        <v>45687.0</v>
      </c>
      <c r="J1712" s="152">
        <v>45693.0</v>
      </c>
      <c r="K1712" s="68"/>
      <c r="L1712" s="68"/>
      <c r="M1712" s="159" t="s">
        <v>9880</v>
      </c>
      <c r="N1712" s="159" t="s">
        <v>9881</v>
      </c>
      <c r="O1712" s="156">
        <v>2.0</v>
      </c>
      <c r="P1712" s="606" t="str">
        <f t="shared" si="118"/>
        <v>10.1037--a0034462.pdf</v>
      </c>
      <c r="Q1712" s="52" t="str">
        <f t="array" ref="Q1712"> if(iserror(MATCH(V1712, 'File Links'!C:C, 0)), "N/A", HYPERLINK(INDEX('File Links'!B:B, MATCH(P1712, 'File Links'!C:C, 0))))</f>
        <v>https://drive.google.com/file/d/1VIF6kuqnOCJkukqkxuMzonIlfG0vD2p3/view?usp=drivesdk</v>
      </c>
      <c r="R1712" s="159" t="s">
        <v>9579</v>
      </c>
      <c r="S1712" s="159" t="s">
        <v>9580</v>
      </c>
      <c r="T1712" s="68"/>
      <c r="U1712" s="156">
        <v>24.0</v>
      </c>
      <c r="V1712" s="198" t="str">
        <f t="shared" si="114"/>
        <v>10.1177--2515245918810225.pdf</v>
      </c>
      <c r="W1712" s="68" t="s">
        <v>209</v>
      </c>
      <c r="X1712" s="54" t="str">
        <f t="array" ref="X1712"> if(iserror(MATCH(V1712, 'File Links'!C:C, 0)), "N/A", HYPERLINK(INDEX('File Links'!B:B, MATCH(V1712, 'File Links'!C:C, 0))))</f>
        <v>https://drive.google.com/file/d/1rGqHLpg3OEGQnWLvlAEJr7JSMWJ2p-Ar/view?usp=drivesdk</v>
      </c>
      <c r="Y1712" s="68"/>
      <c r="Z1712" s="159" t="s">
        <v>947</v>
      </c>
      <c r="AA1712" s="68"/>
      <c r="AB1712" s="159" t="s">
        <v>9633</v>
      </c>
      <c r="AC1712" s="159" t="s">
        <v>9882</v>
      </c>
      <c r="AD1712" s="159" t="s">
        <v>9883</v>
      </c>
      <c r="AE1712" s="159" t="s">
        <v>9884</v>
      </c>
      <c r="AF1712" s="156">
        <v>67.0</v>
      </c>
      <c r="AG1712" s="156">
        <v>0.5</v>
      </c>
      <c r="AH1712" s="159" t="s">
        <v>173</v>
      </c>
      <c r="AI1712" s="159" t="s">
        <v>9884</v>
      </c>
      <c r="AJ1712" s="156">
        <v>0.05</v>
      </c>
      <c r="AK1712" s="159" t="s">
        <v>172</v>
      </c>
      <c r="AL1712" s="159" t="s">
        <v>186</v>
      </c>
      <c r="AM1712" s="68" t="s">
        <v>137</v>
      </c>
      <c r="AN1712" s="330" t="s">
        <v>138</v>
      </c>
      <c r="AO1712" s="156">
        <v>6506.0</v>
      </c>
      <c r="AP1712" s="156">
        <v>-0.02</v>
      </c>
      <c r="AQ1712" s="159" t="s">
        <v>173</v>
      </c>
      <c r="AR1712" s="159" t="s">
        <v>9733</v>
      </c>
      <c r="AS1712" s="156">
        <v>0.35</v>
      </c>
      <c r="AT1712" s="159" t="s">
        <v>172</v>
      </c>
      <c r="AU1712" s="159" t="s">
        <v>186</v>
      </c>
      <c r="AV1712" s="68" t="s">
        <v>137</v>
      </c>
      <c r="AW1712" s="435" t="s">
        <v>9588</v>
      </c>
      <c r="AX1712" s="68" t="s">
        <v>143</v>
      </c>
      <c r="AY1712" s="61" t="str">
        <f>IFERROR(__xludf.DUMMYFUNCTION("vlookup(BB1712,importrange(""https://docs.google.com/spreadsheets/d/1d2vevQ_7D_v35q4wCQ4RpQ_IPoTwEMB9Yp6ymwlPqew/edit?gid=984458430#gid=984458430"", ""'replication success'!A:K""), 11, FAlSE)"),"failed")</f>
        <v>failed</v>
      </c>
      <c r="AZ1712" s="61" t="str">
        <f>IFERROR(__xludf.DUMMYFUNCTION("vlookup(BB1712,importrange(""https://docs.google.com/spreadsheets/d/1d2vevQ_7D_v35q4wCQ4RpQ_IPoTwEMB9Yp6ymwlPqew/edit?gid=984458430#gid=984458430"", ""'replication success'!A:M""), 12, FAlSE)"),"This result does not support the hypoth-
esis that willingness to pursue goals is higher after expo-
sure to structured as opposed to random events.")</f>
        <v>This result does not support the hypoth-
esis that willingness to pursue goals is higher after expo-
sure to structured as opposed to random events.</v>
      </c>
      <c r="BA1712" s="61" t="str">
        <f>IFERROR(__xludf.DUMMYFUNCTION("vlookup(BB1712,importrange(""https://docs.google.com/spreadsheets/d/1d2vevQ_7D_v35q4wCQ4RpQ_IPoTwEMB9Yp6ymwlPqew/edit?gid=984458430#gid=984458430"", ""'replication success'!A:M""), 13, FAlSE)"),"pg. 13")</f>
        <v>pg. 13</v>
      </c>
      <c r="BB1712" s="61" t="str">
        <f>IFERROR(__xludf.DUMMYFUNCTION("REGEXREPLACE(G1712, ""_[a-z]{1,2}$"", """")"),"Manylabs2_20_1")</f>
        <v>Manylabs2_20_1</v>
      </c>
      <c r="BC1712" s="68"/>
      <c r="BD1712" s="68" t="s">
        <v>5074</v>
      </c>
    </row>
    <row r="1713">
      <c r="A1713" s="44">
        <v>1713.0</v>
      </c>
      <c r="B1713" s="129" t="s">
        <v>152</v>
      </c>
      <c r="C1713" s="62" t="s">
        <v>115</v>
      </c>
      <c r="D1713" s="62" t="s">
        <v>145</v>
      </c>
      <c r="F1713" s="68" t="s">
        <v>9878</v>
      </c>
      <c r="G1713" s="159" t="s">
        <v>9879</v>
      </c>
      <c r="H1713" s="678" t="s">
        <v>5592</v>
      </c>
      <c r="I1713" s="152">
        <v>45672.0</v>
      </c>
      <c r="J1713" s="152">
        <v>45693.0</v>
      </c>
      <c r="K1713" s="68"/>
      <c r="L1713" s="68"/>
      <c r="M1713" s="68" t="s">
        <v>9880</v>
      </c>
      <c r="N1713" s="68" t="s">
        <v>9881</v>
      </c>
      <c r="O1713" s="156">
        <v>2.0</v>
      </c>
      <c r="P1713" s="606" t="str">
        <f t="shared" si="118"/>
        <v>10.1037--a0034462.pdf</v>
      </c>
      <c r="Q1713" s="52" t="str">
        <f t="array" ref="Q1713"> if(iserror(MATCH(V1713, 'File Links'!C:C, 0)), "N/A", HYPERLINK(INDEX('File Links'!B:B, MATCH(P1713, 'File Links'!C:C, 0))))</f>
        <v>https://drive.google.com/file/d/1VIF6kuqnOCJkukqkxuMzonIlfG0vD2p3/view?usp=drivesdk</v>
      </c>
      <c r="R1713" s="1115" t="s">
        <v>9579</v>
      </c>
      <c r="S1713" s="1115" t="s">
        <v>9580</v>
      </c>
      <c r="T1713" s="68"/>
      <c r="U1713" s="1093">
        <v>24.0</v>
      </c>
      <c r="V1713" s="198" t="str">
        <f t="shared" si="114"/>
        <v>10.1177--2515245918810225.pdf</v>
      </c>
      <c r="W1713" s="1300" t="s">
        <v>209</v>
      </c>
      <c r="X1713" s="54" t="str">
        <f t="array" ref="X1713"> if(iserror(MATCH(V1713, 'File Links'!C:C, 0)), "N/A", HYPERLINK(INDEX('File Links'!B:B, MATCH(V1713, 'File Links'!C:C, 0))))</f>
        <v>https://drive.google.com/file/d/1rGqHLpg3OEGQnWLvlAEJr7JSMWJ2p-Ar/view?usp=drivesdk</v>
      </c>
      <c r="Y1713" s="68"/>
      <c r="Z1713" s="159" t="s">
        <v>165</v>
      </c>
      <c r="AA1713" s="374" t="s">
        <v>138</v>
      </c>
      <c r="AB1713" s="159" t="s">
        <v>9885</v>
      </c>
      <c r="AC1713" s="159" t="s">
        <v>9882</v>
      </c>
      <c r="AD1713" s="159" t="s">
        <v>9886</v>
      </c>
      <c r="AE1713" s="1116" t="s">
        <v>9887</v>
      </c>
      <c r="AF1713" s="156">
        <v>67.0</v>
      </c>
      <c r="AG1713" s="156">
        <v>0.5</v>
      </c>
      <c r="AH1713" s="159" t="s">
        <v>173</v>
      </c>
      <c r="AI1713" s="1115" t="s">
        <v>9884</v>
      </c>
      <c r="AJ1713" s="156">
        <v>0.05</v>
      </c>
      <c r="AK1713" s="159" t="s">
        <v>172</v>
      </c>
      <c r="AL1713" s="159" t="s">
        <v>186</v>
      </c>
      <c r="AM1713" s="68" t="s">
        <v>137</v>
      </c>
      <c r="AN1713" s="330" t="s">
        <v>138</v>
      </c>
      <c r="AO1713" s="156">
        <v>6506.0</v>
      </c>
      <c r="AP1713" s="156">
        <v>-0.02</v>
      </c>
      <c r="AQ1713" s="159" t="s">
        <v>173</v>
      </c>
      <c r="AR1713" s="1115" t="s">
        <v>9733</v>
      </c>
      <c r="AS1713" s="156">
        <v>0.35</v>
      </c>
      <c r="AT1713" s="159" t="s">
        <v>172</v>
      </c>
      <c r="AU1713" s="159" t="s">
        <v>186</v>
      </c>
      <c r="AV1713" s="68" t="s">
        <v>137</v>
      </c>
      <c r="AW1713" s="1119" t="s">
        <v>9588</v>
      </c>
      <c r="AX1713" s="68" t="s">
        <v>143</v>
      </c>
      <c r="AY1713" s="61" t="str">
        <f>IFERROR(__xludf.DUMMYFUNCTION("vlookup(BB1713,importrange(""https://docs.google.com/spreadsheets/d/1d2vevQ_7D_v35q4wCQ4RpQ_IPoTwEMB9Yp6ymwlPqew/edit?gid=984458430#gid=984458430"", ""'replication success'!A:K""), 11, FAlSE)"),"failed")</f>
        <v>failed</v>
      </c>
      <c r="AZ1713" s="61" t="str">
        <f>IFERROR(__xludf.DUMMYFUNCTION("vlookup(BB1713,importrange(""https://docs.google.com/spreadsheets/d/1d2vevQ_7D_v35q4wCQ4RpQ_IPoTwEMB9Yp6ymwlPqew/edit?gid=984458430#gid=984458430"", ""'replication success'!A:M""), 12, FAlSE)"),"This result does not support the hypoth-
esis that willingness to pursue goals is higher after expo-
sure to structured as opposed to random events.")</f>
        <v>This result does not support the hypoth-
esis that willingness to pursue goals is higher after expo-
sure to structured as opposed to random events.</v>
      </c>
      <c r="BA1713" s="61" t="str">
        <f>IFERROR(__xludf.DUMMYFUNCTION("vlookup(BB1713,importrange(""https://docs.google.com/spreadsheets/d/1d2vevQ_7D_v35q4wCQ4RpQ_IPoTwEMB9Yp6ymwlPqew/edit?gid=984458430#gid=984458430"", ""'replication success'!A:M""), 13, FAlSE)"),"pg. 13")</f>
        <v>pg. 13</v>
      </c>
      <c r="BB1713" s="61" t="str">
        <f>IFERROR(__xludf.DUMMYFUNCTION("REGEXREPLACE(G1713, ""_[a-z]{1,2}$"", """")"),"Manylabs2_20_1")</f>
        <v>Manylabs2_20_1</v>
      </c>
      <c r="BC1713" s="68"/>
      <c r="BD1713" s="129" t="s">
        <v>6985</v>
      </c>
    </row>
    <row r="1714">
      <c r="A1714" s="44">
        <v>1714.0</v>
      </c>
      <c r="B1714" s="129" t="s">
        <v>152</v>
      </c>
      <c r="C1714" s="62" t="s">
        <v>115</v>
      </c>
      <c r="D1714" s="62" t="s">
        <v>232</v>
      </c>
      <c r="F1714" s="68" t="s">
        <v>9888</v>
      </c>
      <c r="G1714" s="159" t="s">
        <v>9889</v>
      </c>
      <c r="H1714" s="159" t="s">
        <v>6940</v>
      </c>
      <c r="I1714" s="152">
        <v>45687.0</v>
      </c>
      <c r="J1714" s="152">
        <v>45693.0</v>
      </c>
      <c r="K1714" s="68"/>
      <c r="L1714" s="159" t="s">
        <v>9890</v>
      </c>
      <c r="M1714" s="159" t="s">
        <v>9891</v>
      </c>
      <c r="N1714" s="159" t="s">
        <v>9892</v>
      </c>
      <c r="O1714" s="156">
        <v>3.0</v>
      </c>
      <c r="P1714" s="606" t="str">
        <f t="shared" si="118"/>
        <v>10.1037--0022-3514.73.4.733.pdf</v>
      </c>
      <c r="Q1714" s="52" t="str">
        <f t="array" ref="Q1714"> if(iserror(MATCH(V1714, 'File Links'!C:C, 0)), "N/A", HYPERLINK(INDEX('File Links'!B:B, MATCH(P1714, 'File Links'!C:C, 0))))</f>
        <v>https://drive.google.com/file/d/1FklynAHzflh7rbxQIU4qTxOz3VBhye8B/view?usp=drivesdk</v>
      </c>
      <c r="R1714" s="159" t="s">
        <v>9579</v>
      </c>
      <c r="S1714" s="159" t="s">
        <v>9580</v>
      </c>
      <c r="T1714" s="68"/>
      <c r="U1714" s="156">
        <v>25.0</v>
      </c>
      <c r="V1714" s="198" t="str">
        <f t="shared" si="114"/>
        <v>10.1177--2515245918810225.pdf</v>
      </c>
      <c r="W1714" s="68" t="s">
        <v>209</v>
      </c>
      <c r="X1714" s="54" t="str">
        <f t="array" ref="X1714"> if(iserror(MATCH(V1714, 'File Links'!C:C, 0)), "N/A", HYPERLINK(INDEX('File Links'!B:B, MATCH(V1714, 'File Links'!C:C, 0))))</f>
        <v>https://drive.google.com/file/d/1rGqHLpg3OEGQnWLvlAEJr7JSMWJ2p-Ar/view?usp=drivesdk</v>
      </c>
      <c r="Y1714" s="68"/>
      <c r="Z1714" s="1115" t="s">
        <v>226</v>
      </c>
      <c r="AA1714" s="374" t="s">
        <v>138</v>
      </c>
      <c r="AB1714" s="1115" t="s">
        <v>9893</v>
      </c>
      <c r="AC1714" s="151" t="s">
        <v>9894</v>
      </c>
      <c r="AD1714" s="151" t="s">
        <v>9895</v>
      </c>
      <c r="AE1714" s="159" t="s">
        <v>9896</v>
      </c>
      <c r="AF1714" s="156">
        <v>631.0</v>
      </c>
      <c r="AG1714" s="151" t="s">
        <v>9897</v>
      </c>
      <c r="AH1714" s="159" t="s">
        <v>134</v>
      </c>
      <c r="AI1714" s="159" t="s">
        <v>9898</v>
      </c>
      <c r="AJ1714" s="156">
        <v>0.005</v>
      </c>
      <c r="AK1714" s="159" t="s">
        <v>135</v>
      </c>
      <c r="AL1714" s="159" t="s">
        <v>186</v>
      </c>
      <c r="AM1714" s="68" t="s">
        <v>137</v>
      </c>
      <c r="AN1714" s="330" t="s">
        <v>138</v>
      </c>
      <c r="AO1714" s="156">
        <v>6234.0</v>
      </c>
      <c r="AP1714" s="156">
        <v>-0.02</v>
      </c>
      <c r="AQ1714" s="159" t="s">
        <v>215</v>
      </c>
      <c r="AR1714" s="159" t="s">
        <v>9840</v>
      </c>
      <c r="AS1714" s="156">
        <v>0.18</v>
      </c>
      <c r="AT1714" s="159" t="s">
        <v>172</v>
      </c>
      <c r="AU1714" s="159" t="s">
        <v>186</v>
      </c>
      <c r="AV1714" s="68" t="s">
        <v>137</v>
      </c>
      <c r="AW1714" s="435" t="s">
        <v>9588</v>
      </c>
      <c r="AX1714" s="68" t="s">
        <v>438</v>
      </c>
      <c r="AY1714" s="61" t="str">
        <f>IFERROR(__xludf.DUMMYFUNCTION("vlookup(BB1714,importrange(""https://docs.google.com/spreadsheets/d/1d2vevQ_7D_v35q4wCQ4RpQ_IPoTwEMB9Yp6ymwlPqew/edit?gid=984458430#gid=984458430"", ""'replication success'!A:K""), 11, FAlSE)"),"failed")</f>
        <v>failed</v>
      </c>
      <c r="AZ1714" s="61" t="str">
        <f>IFERROR(__xludf.DUMMYFUNCTION("vlookup(BB1714,importrange(""https://docs.google.com/spreadsheets/d/1d2vevQ_7D_v35q4wCQ4RpQ_IPoTwEMB9Yp6ymwlPqew/edit?gid=984458430#gid=984458430"", ""'replication success'!A:M""), 12, FAlSE)"),"This result does
not support the hypothesis that having more siblings
is positively related with prosocial orientation. Direct
comparison of effect sizes was not possible because of
the change in the SVO measure, but the replication
effect size was n"&amp;"ear zero.")</f>
        <v>This result does
not support the hypothesis that having more siblings
is positively related with prosocial orientation. Direct
comparison of effect sizes was not possible because of
the change in the SVO measure, but the replication
effect size was near zero.</v>
      </c>
      <c r="BA1714" s="61" t="str">
        <f>IFERROR(__xludf.DUMMYFUNCTION("vlookup(BB1714,importrange(""https://docs.google.com/spreadsheets/d/1d2vevQ_7D_v35q4wCQ4RpQ_IPoTwEMB9Yp6ymwlPqew/edit?gid=984458430#gid=984458430"", ""'replication success'!A:M""), 13, FAlSE)"),"pg. 16")</f>
        <v>pg. 16</v>
      </c>
      <c r="BB1714" s="61" t="str">
        <f>IFERROR(__xludf.DUMMYFUNCTION("REGEXREPLACE(G1714, ""_[a-z]{1,2}$"", """")"),"Manylabs2_21_1")</f>
        <v>Manylabs2_21_1</v>
      </c>
      <c r="BC1714" s="68"/>
      <c r="BD1714" s="129" t="s">
        <v>6985</v>
      </c>
    </row>
    <row r="1715">
      <c r="A1715" s="44">
        <v>1715.0</v>
      </c>
      <c r="B1715" s="68" t="s">
        <v>114</v>
      </c>
      <c r="C1715" s="62" t="s">
        <v>115</v>
      </c>
      <c r="D1715" s="62" t="s">
        <v>145</v>
      </c>
      <c r="F1715" s="68" t="s">
        <v>9888</v>
      </c>
      <c r="G1715" s="159" t="s">
        <v>9889</v>
      </c>
      <c r="H1715" s="678" t="s">
        <v>5592</v>
      </c>
      <c r="I1715" s="152">
        <v>45673.0</v>
      </c>
      <c r="J1715" s="152">
        <v>45693.0</v>
      </c>
      <c r="K1715" s="68"/>
      <c r="L1715" s="68"/>
      <c r="M1715" s="68" t="s">
        <v>9891</v>
      </c>
      <c r="N1715" s="68" t="s">
        <v>9892</v>
      </c>
      <c r="O1715" s="156">
        <v>3.0</v>
      </c>
      <c r="P1715" s="606" t="str">
        <f t="shared" si="118"/>
        <v>10.1037--0022-3514.73.4.733.pdf</v>
      </c>
      <c r="Q1715" s="52" t="str">
        <f t="array" ref="Q1715"> if(iserror(MATCH(V1715, 'File Links'!C:C, 0)), "N/A", HYPERLINK(INDEX('File Links'!B:B, MATCH(P1715, 'File Links'!C:C, 0))))</f>
        <v>https://drive.google.com/file/d/1FklynAHzflh7rbxQIU4qTxOz3VBhye8B/view?usp=drivesdk</v>
      </c>
      <c r="R1715" s="1115" t="s">
        <v>9579</v>
      </c>
      <c r="S1715" s="1115" t="s">
        <v>9580</v>
      </c>
      <c r="T1715" s="68"/>
      <c r="U1715" s="68"/>
      <c r="V1715" s="198" t="str">
        <f t="shared" si="114"/>
        <v>10.1177--2515245918810225.pdf</v>
      </c>
      <c r="W1715" s="1300" t="s">
        <v>209</v>
      </c>
      <c r="X1715" s="54" t="str">
        <f t="array" ref="X1715"> if(iserror(MATCH(V1715, 'File Links'!C:C, 0)), "N/A", HYPERLINK(INDEX('File Links'!B:B, MATCH(V1715, 'File Links'!C:C, 0))))</f>
        <v>https://drive.google.com/file/d/1rGqHLpg3OEGQnWLvlAEJr7JSMWJ2p-Ar/view?usp=drivesdk</v>
      </c>
      <c r="Y1715" s="68"/>
      <c r="Z1715" s="159" t="s">
        <v>226</v>
      </c>
      <c r="AA1715" s="68"/>
      <c r="AB1715" s="159" t="s">
        <v>9893</v>
      </c>
      <c r="AC1715" s="159" t="s">
        <v>9899</v>
      </c>
      <c r="AD1715" s="159" t="s">
        <v>9900</v>
      </c>
      <c r="AE1715" s="156">
        <v>7.0</v>
      </c>
      <c r="AF1715" s="156">
        <v>631.0</v>
      </c>
      <c r="AG1715" s="159" t="s">
        <v>9901</v>
      </c>
      <c r="AH1715" s="159" t="s">
        <v>134</v>
      </c>
      <c r="AI1715" s="159" t="s">
        <v>132</v>
      </c>
      <c r="AJ1715" s="156">
        <v>0.01</v>
      </c>
      <c r="AK1715" s="159" t="s">
        <v>135</v>
      </c>
      <c r="AL1715" s="159" t="s">
        <v>186</v>
      </c>
      <c r="AM1715" s="68"/>
      <c r="AN1715" s="330" t="s">
        <v>138</v>
      </c>
      <c r="AO1715" s="156">
        <v>6234.0</v>
      </c>
      <c r="AP1715" s="156">
        <v>-0.02</v>
      </c>
      <c r="AQ1715" s="159" t="s">
        <v>215</v>
      </c>
      <c r="AR1715" s="159" t="s">
        <v>182</v>
      </c>
      <c r="AS1715" s="156">
        <v>0.18</v>
      </c>
      <c r="AT1715" s="159" t="s">
        <v>172</v>
      </c>
      <c r="AU1715" s="159" t="s">
        <v>186</v>
      </c>
      <c r="AV1715" s="68" t="s">
        <v>137</v>
      </c>
      <c r="AW1715" s="1119" t="s">
        <v>9588</v>
      </c>
      <c r="AX1715" s="68" t="s">
        <v>143</v>
      </c>
      <c r="AY1715" s="61" t="str">
        <f>IFERROR(__xludf.DUMMYFUNCTION("vlookup(BB1715,importrange(""https://docs.google.com/spreadsheets/d/1d2vevQ_7D_v35q4wCQ4RpQ_IPoTwEMB9Yp6ymwlPqew/edit?gid=984458430#gid=984458430"", ""'replication success'!A:K""), 11, FAlSE)"),"failed")</f>
        <v>failed</v>
      </c>
      <c r="AZ1715" s="61" t="str">
        <f>IFERROR(__xludf.DUMMYFUNCTION("vlookup(BB1715,importrange(""https://docs.google.com/spreadsheets/d/1d2vevQ_7D_v35q4wCQ4RpQ_IPoTwEMB9Yp6ymwlPqew/edit?gid=984458430#gid=984458430"", ""'replication success'!A:M""), 12, FAlSE)"),"This result does
not support the hypothesis that having more siblings
is positively related with prosocial orientation. Direct
comparison of effect sizes was not possible because of
the change in the SVO measure, but the replication
effect size was n"&amp;"ear zero.")</f>
        <v>This result does
not support the hypothesis that having more siblings
is positively related with prosocial orientation. Direct
comparison of effect sizes was not possible because of
the change in the SVO measure, but the replication
effect size was near zero.</v>
      </c>
      <c r="BA1715" s="61" t="str">
        <f>IFERROR(__xludf.DUMMYFUNCTION("vlookup(BB1715,importrange(""https://docs.google.com/spreadsheets/d/1d2vevQ_7D_v35q4wCQ4RpQ_IPoTwEMB9Yp6ymwlPqew/edit?gid=984458430#gid=984458430"", ""'replication success'!A:M""), 13, FAlSE)"),"pg. 16")</f>
        <v>pg. 16</v>
      </c>
      <c r="BB1715" s="61" t="str">
        <f>IFERROR(__xludf.DUMMYFUNCTION("REGEXREPLACE(G1715, ""_[a-z]{1,2}$"", """")"),"Manylabs2_21_1")</f>
        <v>Manylabs2_21_1</v>
      </c>
      <c r="BC1715" s="68"/>
      <c r="BD1715" s="68" t="s">
        <v>5074</v>
      </c>
    </row>
    <row r="1716">
      <c r="A1716" s="44">
        <v>1716.0</v>
      </c>
      <c r="B1716" s="129" t="s">
        <v>152</v>
      </c>
      <c r="C1716" s="62" t="s">
        <v>115</v>
      </c>
      <c r="D1716" s="62" t="s">
        <v>232</v>
      </c>
      <c r="F1716" s="68" t="s">
        <v>9902</v>
      </c>
      <c r="G1716" s="159" t="s">
        <v>9903</v>
      </c>
      <c r="H1716" s="159" t="s">
        <v>6940</v>
      </c>
      <c r="I1716" s="152">
        <v>45687.0</v>
      </c>
      <c r="J1716" s="152">
        <v>45693.0</v>
      </c>
      <c r="K1716" s="68"/>
      <c r="L1716" s="151" t="s">
        <v>9904</v>
      </c>
      <c r="M1716" s="159" t="s">
        <v>9905</v>
      </c>
      <c r="N1716" s="159" t="s">
        <v>9906</v>
      </c>
      <c r="O1716" s="159" t="s">
        <v>5562</v>
      </c>
      <c r="P1716" s="606" t="str">
        <f t="shared" si="118"/>
        <v>10.1038--nclimate2093.pdf</v>
      </c>
      <c r="Q1716" s="52" t="str">
        <f t="array" ref="Q1716"> if(iserror(MATCH(V1716, 'File Links'!C:C, 0)), "N/A", HYPERLINK(INDEX('File Links'!B:B, MATCH(P1716, 'File Links'!C:C, 0))))</f>
        <v>https://drive.google.com/file/d/17HYZXEqbs5qMTOba8cEHhBhSIrnkFKeu/view?usp=drivesdk</v>
      </c>
      <c r="R1716" s="159" t="s">
        <v>9579</v>
      </c>
      <c r="S1716" s="159" t="s">
        <v>9580</v>
      </c>
      <c r="T1716" s="68"/>
      <c r="U1716" s="156">
        <v>26.0</v>
      </c>
      <c r="V1716" s="198" t="str">
        <f t="shared" si="114"/>
        <v>10.1177--2515245918810225.pdf</v>
      </c>
      <c r="W1716" s="68" t="s">
        <v>209</v>
      </c>
      <c r="X1716" s="54" t="str">
        <f t="array" ref="X1716"> if(iserror(MATCH(V1716, 'File Links'!C:C, 0)), "N/A", HYPERLINK(INDEX('File Links'!B:B, MATCH(V1716, 'File Links'!C:C, 0))))</f>
        <v>https://drive.google.com/file/d/1rGqHLpg3OEGQnWLvlAEJr7JSMWJ2p-Ar/view?usp=drivesdk</v>
      </c>
      <c r="Y1716" s="68"/>
      <c r="Z1716" s="1115" t="s">
        <v>226</v>
      </c>
      <c r="AA1716" s="159" t="s">
        <v>9907</v>
      </c>
      <c r="AB1716" s="1115" t="s">
        <v>9908</v>
      </c>
      <c r="AC1716" s="159" t="s">
        <v>9909</v>
      </c>
      <c r="AD1716" s="159" t="s">
        <v>9910</v>
      </c>
      <c r="AE1716" s="159" t="s">
        <v>9911</v>
      </c>
      <c r="AF1716" s="156">
        <v>300.0</v>
      </c>
      <c r="AG1716" s="129">
        <v>0.31</v>
      </c>
      <c r="AH1716" s="151" t="s">
        <v>173</v>
      </c>
      <c r="AI1716" s="151" t="s">
        <v>9912</v>
      </c>
      <c r="AJ1716" s="161">
        <v>0.03</v>
      </c>
      <c r="AK1716" s="159" t="s">
        <v>172</v>
      </c>
      <c r="AL1716" s="159" t="s">
        <v>186</v>
      </c>
      <c r="AM1716" s="68" t="s">
        <v>137</v>
      </c>
      <c r="AN1716" s="330" t="s">
        <v>138</v>
      </c>
      <c r="AO1716" s="156">
        <v>4204.0</v>
      </c>
      <c r="AP1716" s="156">
        <v>-0.03</v>
      </c>
      <c r="AQ1716" s="159" t="s">
        <v>173</v>
      </c>
      <c r="AR1716" s="159" t="s">
        <v>4345</v>
      </c>
      <c r="AS1716" s="156">
        <v>0.27</v>
      </c>
      <c r="AT1716" s="159" t="s">
        <v>172</v>
      </c>
      <c r="AU1716" s="159" t="s">
        <v>186</v>
      </c>
      <c r="AV1716" s="68" t="s">
        <v>137</v>
      </c>
      <c r="AW1716" s="435" t="s">
        <v>9588</v>
      </c>
      <c r="AX1716" s="68" t="s">
        <v>143</v>
      </c>
      <c r="AY1716" s="61" t="str">
        <f>IFERROR(__xludf.DUMMYFUNCTION("vlookup(BB1716,importrange(""https://docs.google.com/spreadsheets/d/1d2vevQ_7D_v35q4wCQ4RpQ_IPoTwEMB9Yp6ymwlPqew/edit?gid=984458430#gid=984458430"", ""'replication success'!A:K""), 11, FAlSE)"),"failed")</f>
        <v>failed</v>
      </c>
      <c r="AZ1716" s="61" t="str">
        <f>IFERROR(__xludf.DUMMYFUNCTION("vlookup(BB1716,importrange(""https://docs.google.com/spreadsheets/d/1d2vevQ_7D_v35q4wCQ4RpQ_IPoTwEMB9Yp6ymwlPqew/edit?gid=984458430#gid=984458430"", ""'replication success'!A:M""), 12, FAlSE)"),"This result is
not consistent with the hypothesis that temperature prim-
ing alters concern about global warming. The effect was small, much weaker than the original finding, and in the
opposite direction (d = −0.03, 95% CI = [−0.09, 0.03], vs. origina"&amp;"l d = 0.31).")</f>
        <v>This result is
not consistent with the hypothesis that temperature prim-
ing alters concern about global warming. The effect was small, much weaker than the original finding, and in the
opposite direction (d = −0.03, 95% CI = [−0.09, 0.03], vs. original d = 0.31).</v>
      </c>
      <c r="BA1716" s="61" t="str">
        <f>IFERROR(__xludf.DUMMYFUNCTION("vlookup(BB1716,importrange(""https://docs.google.com/spreadsheets/d/1d2vevQ_7D_v35q4wCQ4RpQ_IPoTwEMB9Yp6ymwlPqew/edit?gid=984458430#gid=984458430"", ""'replication success'!A:M""), 13, FAlSE)"),"pg. 23")</f>
        <v>pg. 23</v>
      </c>
      <c r="BB1716" s="61" t="str">
        <f>IFERROR(__xludf.DUMMYFUNCTION("REGEXREPLACE(G1716, ""_[a-z]{1,2}$"", """")"),"Manylabs2_22_1")</f>
        <v>Manylabs2_22_1</v>
      </c>
      <c r="BC1716" s="68"/>
      <c r="BD1716" s="129" t="s">
        <v>6985</v>
      </c>
    </row>
    <row r="1717">
      <c r="A1717" s="44">
        <v>1717.0</v>
      </c>
      <c r="B1717" s="68" t="s">
        <v>114</v>
      </c>
      <c r="C1717" s="62" t="s">
        <v>115</v>
      </c>
      <c r="D1717" s="62" t="s">
        <v>145</v>
      </c>
      <c r="F1717" s="68" t="s">
        <v>9902</v>
      </c>
      <c r="G1717" s="159" t="s">
        <v>9903</v>
      </c>
      <c r="H1717" s="678" t="s">
        <v>5592</v>
      </c>
      <c r="I1717" s="152">
        <v>45673.0</v>
      </c>
      <c r="J1717" s="152">
        <v>45693.0</v>
      </c>
      <c r="K1717" s="159" t="s">
        <v>9913</v>
      </c>
      <c r="L1717" s="68"/>
      <c r="M1717" s="68" t="s">
        <v>9905</v>
      </c>
      <c r="N1717" s="68" t="s">
        <v>9906</v>
      </c>
      <c r="O1717" s="159" t="s">
        <v>5562</v>
      </c>
      <c r="P1717" s="606" t="str">
        <f t="shared" si="118"/>
        <v>10.1038--nclimate2093.pdf</v>
      </c>
      <c r="Q1717" s="52" t="str">
        <f t="array" ref="Q1717"> if(iserror(MATCH(V1717, 'File Links'!C:C, 0)), "N/A", HYPERLINK(INDEX('File Links'!B:B, MATCH(P1717, 'File Links'!C:C, 0))))</f>
        <v>https://drive.google.com/file/d/17HYZXEqbs5qMTOba8cEHhBhSIrnkFKeu/view?usp=drivesdk</v>
      </c>
      <c r="R1717" s="1115" t="s">
        <v>9579</v>
      </c>
      <c r="S1717" s="1115" t="s">
        <v>9580</v>
      </c>
      <c r="T1717" s="68"/>
      <c r="U1717" s="68"/>
      <c r="V1717" s="198" t="str">
        <f t="shared" si="114"/>
        <v>10.1177--2515245918810225.pdf</v>
      </c>
      <c r="W1717" s="159" t="s">
        <v>2125</v>
      </c>
      <c r="X1717" s="54" t="str">
        <f t="array" ref="X1717"> if(iserror(MATCH(V1717, 'File Links'!C:C, 0)), "N/A", HYPERLINK(INDEX('File Links'!B:B, MATCH(V1717, 'File Links'!C:C, 0))))</f>
        <v>https://drive.google.com/file/d/1rGqHLpg3OEGQnWLvlAEJr7JSMWJ2p-Ar/view?usp=drivesdk</v>
      </c>
      <c r="Y1717" s="68"/>
      <c r="Z1717" s="159" t="s">
        <v>226</v>
      </c>
      <c r="AA1717" s="159" t="s">
        <v>9907</v>
      </c>
      <c r="AB1717" s="159" t="s">
        <v>9908</v>
      </c>
      <c r="AC1717" s="159" t="s">
        <v>9914</v>
      </c>
      <c r="AD1717" s="159" t="s">
        <v>9915</v>
      </c>
      <c r="AE1717" s="156">
        <v>3.0</v>
      </c>
      <c r="AF1717" s="156">
        <v>300.0</v>
      </c>
      <c r="AG1717" s="159" t="s">
        <v>9916</v>
      </c>
      <c r="AH1717" s="159" t="s">
        <v>134</v>
      </c>
      <c r="AI1717" s="159" t="s">
        <v>217</v>
      </c>
      <c r="AJ1717" s="156">
        <v>0.01</v>
      </c>
      <c r="AK1717" s="159" t="s">
        <v>172</v>
      </c>
      <c r="AL1717" s="159" t="s">
        <v>186</v>
      </c>
      <c r="AM1717" s="68" t="s">
        <v>137</v>
      </c>
      <c r="AN1717" s="330" t="s">
        <v>138</v>
      </c>
      <c r="AO1717" s="156">
        <v>4204.0</v>
      </c>
      <c r="AP1717" s="156">
        <v>-0.03</v>
      </c>
      <c r="AQ1717" s="159" t="s">
        <v>173</v>
      </c>
      <c r="AR1717" s="68"/>
      <c r="AS1717" s="156">
        <v>0.27</v>
      </c>
      <c r="AT1717" s="159" t="s">
        <v>172</v>
      </c>
      <c r="AU1717" s="159" t="s">
        <v>186</v>
      </c>
      <c r="AV1717" s="68" t="s">
        <v>137</v>
      </c>
      <c r="AW1717" s="1119" t="s">
        <v>9588</v>
      </c>
      <c r="AX1717" s="68" t="s">
        <v>143</v>
      </c>
      <c r="AY1717" s="61" t="str">
        <f>IFERROR(__xludf.DUMMYFUNCTION("vlookup(BB1717,importrange(""https://docs.google.com/spreadsheets/d/1d2vevQ_7D_v35q4wCQ4RpQ_IPoTwEMB9Yp6ymwlPqew/edit?gid=984458430#gid=984458430"", ""'replication success'!A:K""), 11, FAlSE)"),"failed")</f>
        <v>failed</v>
      </c>
      <c r="AZ1717" s="61" t="str">
        <f>IFERROR(__xludf.DUMMYFUNCTION("vlookup(BB1717,importrange(""https://docs.google.com/spreadsheets/d/1d2vevQ_7D_v35q4wCQ4RpQ_IPoTwEMB9Yp6ymwlPqew/edit?gid=984458430#gid=984458430"", ""'replication success'!A:M""), 12, FAlSE)"),"This result is
not consistent with the hypothesis that temperature prim-
ing alters concern about global warming. The effect was small, much weaker than the original finding, and in the
opposite direction (d = −0.03, 95% CI = [−0.09, 0.03], vs. origina"&amp;"l d = 0.31).")</f>
        <v>This result is
not consistent with the hypothesis that temperature prim-
ing alters concern about global warming. The effect was small, much weaker than the original finding, and in the
opposite direction (d = −0.03, 95% CI = [−0.09, 0.03], vs. original d = 0.31).</v>
      </c>
      <c r="BA1717" s="61" t="str">
        <f>IFERROR(__xludf.DUMMYFUNCTION("vlookup(BB1717,importrange(""https://docs.google.com/spreadsheets/d/1d2vevQ_7D_v35q4wCQ4RpQ_IPoTwEMB9Yp6ymwlPqew/edit?gid=984458430#gid=984458430"", ""'replication success'!A:M""), 13, FAlSE)"),"pg. 23")</f>
        <v>pg. 23</v>
      </c>
      <c r="BB1717" s="61" t="str">
        <f>IFERROR(__xludf.DUMMYFUNCTION("REGEXREPLACE(G1717, ""_[a-z]{1,2}$"", """")"),"Manylabs2_22_1")</f>
        <v>Manylabs2_22_1</v>
      </c>
      <c r="BC1717" s="68"/>
      <c r="BD1717" s="68" t="s">
        <v>5074</v>
      </c>
    </row>
    <row r="1718">
      <c r="A1718" s="44">
        <v>1718.0</v>
      </c>
      <c r="B1718" s="129" t="s">
        <v>523</v>
      </c>
      <c r="C1718" s="62" t="s">
        <v>115</v>
      </c>
      <c r="D1718" s="62" t="s">
        <v>145</v>
      </c>
      <c r="F1718" s="68" t="s">
        <v>9902</v>
      </c>
      <c r="G1718" s="159" t="s">
        <v>9917</v>
      </c>
      <c r="H1718" s="678" t="s">
        <v>5592</v>
      </c>
      <c r="I1718" s="152">
        <v>45673.0</v>
      </c>
      <c r="J1718" s="152">
        <v>45693.0</v>
      </c>
      <c r="K1718" s="159" t="s">
        <v>9913</v>
      </c>
      <c r="L1718" s="481" t="s">
        <v>9918</v>
      </c>
      <c r="M1718" s="68" t="s">
        <v>9905</v>
      </c>
      <c r="N1718" s="68" t="s">
        <v>9906</v>
      </c>
      <c r="O1718" s="159" t="s">
        <v>5562</v>
      </c>
      <c r="P1718" s="606" t="str">
        <f t="shared" si="118"/>
        <v>10.1038--nclimate2093.pdf</v>
      </c>
      <c r="Q1718" s="52" t="str">
        <f t="array" ref="Q1718"> if(iserror(MATCH(V1718, 'File Links'!C:C, 0)), "N/A", HYPERLINK(INDEX('File Links'!B:B, MATCH(P1718, 'File Links'!C:C, 0))))</f>
        <v>https://drive.google.com/file/d/17HYZXEqbs5qMTOba8cEHhBhSIrnkFKeu/view?usp=drivesdk</v>
      </c>
      <c r="R1718" s="1115" t="s">
        <v>9579</v>
      </c>
      <c r="S1718" s="1115" t="s">
        <v>9580</v>
      </c>
      <c r="T1718" s="68"/>
      <c r="U1718" s="1093">
        <v>26.0</v>
      </c>
      <c r="V1718" s="198" t="str">
        <f t="shared" si="114"/>
        <v>10.1177--2515245918810225.pdf</v>
      </c>
      <c r="W1718" s="1300" t="s">
        <v>209</v>
      </c>
      <c r="X1718" s="54" t="str">
        <f t="array" ref="X1718"> if(iserror(MATCH(V1718, 'File Links'!C:C, 0)), "N/A", HYPERLINK(INDEX('File Links'!B:B, MATCH(V1718, 'File Links'!C:C, 0))))</f>
        <v>https://drive.google.com/file/d/1rGqHLpg3OEGQnWLvlAEJr7JSMWJ2p-Ar/view?usp=drivesdk</v>
      </c>
      <c r="Y1718" s="68"/>
      <c r="Z1718" s="159" t="s">
        <v>226</v>
      </c>
      <c r="AA1718" s="159" t="s">
        <v>9907</v>
      </c>
      <c r="AB1718" s="159" t="s">
        <v>9908</v>
      </c>
      <c r="AC1718" s="1115" t="s">
        <v>9909</v>
      </c>
      <c r="AD1718" s="159" t="s">
        <v>9919</v>
      </c>
      <c r="AE1718" s="1115" t="s">
        <v>9911</v>
      </c>
      <c r="AF1718" s="156">
        <v>300.0</v>
      </c>
      <c r="AG1718" s="159" t="s">
        <v>9920</v>
      </c>
      <c r="AH1718" s="159" t="s">
        <v>134</v>
      </c>
      <c r="AI1718" s="1115" t="s">
        <v>9911</v>
      </c>
      <c r="AJ1718" s="156">
        <v>0.02</v>
      </c>
      <c r="AK1718" s="159" t="s">
        <v>172</v>
      </c>
      <c r="AL1718" s="159" t="s">
        <v>186</v>
      </c>
      <c r="AM1718" s="68" t="s">
        <v>137</v>
      </c>
      <c r="AN1718" s="330" t="s">
        <v>138</v>
      </c>
      <c r="AO1718" s="496">
        <v>4212.0</v>
      </c>
      <c r="AP1718" s="156">
        <v>0.0</v>
      </c>
      <c r="AQ1718" s="159" t="s">
        <v>173</v>
      </c>
      <c r="AR1718" s="1115" t="s">
        <v>4345</v>
      </c>
      <c r="AS1718" s="156">
        <v>0.62</v>
      </c>
      <c r="AT1718" s="159" t="s">
        <v>172</v>
      </c>
      <c r="AU1718" s="159" t="s">
        <v>186</v>
      </c>
      <c r="AV1718" s="68" t="s">
        <v>137</v>
      </c>
      <c r="AW1718" s="1119" t="s">
        <v>9588</v>
      </c>
      <c r="AX1718" s="68" t="s">
        <v>143</v>
      </c>
      <c r="AY1718" s="61" t="str">
        <f>IFERROR(__xludf.DUMMYFUNCTION("vlookup(BB1718,importrange(""https://docs.google.com/spreadsheets/d/1d2vevQ_7D_v35q4wCQ4RpQ_IPoTwEMB9Yp6ymwlPqew/edit?gid=984458430#gid=984458430"", ""'replication success'!A:K""), 11, FAlSE)"),"failed")</f>
        <v>failed</v>
      </c>
      <c r="AZ1718" s="61" t="str">
        <f>IFERROR(__xludf.DUMMYFUNCTION("vlookup(BB1718,importrange(""https://docs.google.com/spreadsheets/d/1d2vevQ_7D_v35q4wCQ4RpQ_IPoTwEMB9Yp6ymwlPqew/edit?gid=984458430#gid=984458430"", ""'replication success'!A:M""), 12, FAlSE)"),"This result is
not consistent with the hypothesis that temperature prim-
ing alters concern about global warming. The effect was small, much weaker than the original finding, and in the
opposite direction (d = −0.03, 95% CI = [−0.09, 0.03], vs. origina"&amp;"l d = 0.31).")</f>
        <v>This result is
not consistent with the hypothesis that temperature prim-
ing alters concern about global warming. The effect was small, much weaker than the original finding, and in the
opposite direction (d = −0.03, 95% CI = [−0.09, 0.03], vs. original d = 0.31).</v>
      </c>
      <c r="BA1718" s="61" t="str">
        <f>IFERROR(__xludf.DUMMYFUNCTION("vlookup(BB1718,importrange(""https://docs.google.com/spreadsheets/d/1d2vevQ_7D_v35q4wCQ4RpQ_IPoTwEMB9Yp6ymwlPqew/edit?gid=984458430#gid=984458430"", ""'replication success'!A:M""), 13, FAlSE)"),"pg. 23")</f>
        <v>pg. 23</v>
      </c>
      <c r="BB1718" s="61" t="str">
        <f>IFERROR(__xludf.DUMMYFUNCTION("REGEXREPLACE(G1718, ""_[a-z]{1,2}$"", """")"),"Manylabs2_22_1")</f>
        <v>Manylabs2_22_1</v>
      </c>
      <c r="BC1718" s="68"/>
      <c r="BD1718" s="68" t="s">
        <v>5074</v>
      </c>
    </row>
    <row r="1719">
      <c r="A1719" s="44">
        <v>1719.0</v>
      </c>
      <c r="B1719" s="129" t="s">
        <v>152</v>
      </c>
      <c r="C1719" s="62" t="s">
        <v>115</v>
      </c>
      <c r="D1719" s="62" t="s">
        <v>232</v>
      </c>
      <c r="F1719" s="68" t="s">
        <v>9921</v>
      </c>
      <c r="G1719" s="159" t="s">
        <v>9922</v>
      </c>
      <c r="H1719" s="159" t="s">
        <v>6940</v>
      </c>
      <c r="I1719" s="152">
        <v>45687.0</v>
      </c>
      <c r="J1719" s="152">
        <v>45693.0</v>
      </c>
      <c r="K1719" s="129" t="s">
        <v>9923</v>
      </c>
      <c r="L1719" s="159"/>
      <c r="M1719" s="159" t="s">
        <v>9924</v>
      </c>
      <c r="N1719" s="159" t="s">
        <v>9925</v>
      </c>
      <c r="O1719" s="156">
        <v>4.0</v>
      </c>
      <c r="P1719" s="606" t="str">
        <f t="shared" si="118"/>
        <v>10.1037--0096- 3445.136.4.569.pdf</v>
      </c>
      <c r="Q1719" s="52" t="str">
        <f t="array" ref="Q1719"> if(iserror(MATCH(V1719, 'File Links'!C:C, 0)), "N/A", HYPERLINK(INDEX('File Links'!B:B, MATCH(P1719, 'File Links'!C:C, 0))))</f>
        <v>https://drive.google.com/file/d/1HAhZicYSIRv7N-8s64Lp9_8_UnTnmDSR/view?usp=drivesdk</v>
      </c>
      <c r="R1719" s="159" t="s">
        <v>9579</v>
      </c>
      <c r="S1719" s="159" t="s">
        <v>9580</v>
      </c>
      <c r="T1719" s="68"/>
      <c r="U1719" s="156">
        <v>27.0</v>
      </c>
      <c r="V1719" s="198" t="str">
        <f t="shared" si="114"/>
        <v>10.1177--2515245918810225.pdf</v>
      </c>
      <c r="W1719" s="68" t="s">
        <v>209</v>
      </c>
      <c r="X1719" s="54" t="str">
        <f t="array" ref="X1719"> if(iserror(MATCH(V1719, 'File Links'!C:C, 0)), "N/A", HYPERLINK(INDEX('File Links'!B:B, MATCH(V1719, 'File Links'!C:C, 0))))</f>
        <v>https://drive.google.com/file/d/1rGqHLpg3OEGQnWLvlAEJr7JSMWJ2p-Ar/view?usp=drivesdk</v>
      </c>
      <c r="Y1719" s="68"/>
      <c r="Z1719" s="1115" t="s">
        <v>148</v>
      </c>
      <c r="AA1719" s="151" t="s">
        <v>9926</v>
      </c>
      <c r="AB1719" s="1115" t="s">
        <v>9927</v>
      </c>
      <c r="AC1719" s="1115" t="s">
        <v>9928</v>
      </c>
      <c r="AD1719" s="159" t="s">
        <v>9929</v>
      </c>
      <c r="AE1719" s="159" t="s">
        <v>9930</v>
      </c>
      <c r="AF1719" s="156">
        <v>41.0</v>
      </c>
      <c r="AG1719" s="161">
        <v>0.71</v>
      </c>
      <c r="AH1719" s="151" t="s">
        <v>173</v>
      </c>
      <c r="AI1719" s="151" t="s">
        <v>9931</v>
      </c>
      <c r="AJ1719" s="156">
        <v>0.05</v>
      </c>
      <c r="AK1719" s="159" t="s">
        <v>135</v>
      </c>
      <c r="AL1719" s="159" t="s">
        <v>186</v>
      </c>
      <c r="AM1719" s="68" t="s">
        <v>137</v>
      </c>
      <c r="AN1719" s="330" t="s">
        <v>138</v>
      </c>
      <c r="AO1719" s="156">
        <v>2580.0</v>
      </c>
      <c r="AP1719" s="156">
        <v>-0.03</v>
      </c>
      <c r="AQ1719" s="159" t="s">
        <v>173</v>
      </c>
      <c r="AR1719" s="159" t="s">
        <v>9772</v>
      </c>
      <c r="AS1719" s="156">
        <v>0.43</v>
      </c>
      <c r="AT1719" s="159" t="s">
        <v>172</v>
      </c>
      <c r="AU1719" s="159" t="s">
        <v>186</v>
      </c>
      <c r="AV1719" s="68" t="s">
        <v>137</v>
      </c>
      <c r="AW1719" s="435" t="s">
        <v>9588</v>
      </c>
      <c r="AX1719" s="68" t="s">
        <v>143</v>
      </c>
      <c r="AY1719" s="61" t="str">
        <f>IFERROR(__xludf.DUMMYFUNCTION("vlookup(BB1719,importrange(""https://docs.google.com/spreadsheets/d/1d2vevQ_7D_v35q4wCQ4RpQ_IPoTwEMB9Yp6ymwlPqew/edit?gid=984458430#gid=984458430"", ""'replication success'!A:K""), 11, FAlSE)"),"failed")</f>
        <v>failed</v>
      </c>
      <c r="AZ1719" s="61" t="str">
        <f>IFERROR(__xludf.DUMMYFUNCTION("vlookup(BB1719,importrange(""https://docs.google.com/spreadsheets/d/1d2vevQ_7D_v35q4wCQ4RpQ_IPoTwEMB9Yp6ymwlPqew/edit?gid=984458430#gid=984458430"", ""'replication success'!A:M""), 12, FAlSE)"),"These results do not support
the hypothesis that syllogism performance is higher
when the font is harder to read; the difference between
conditions was slightly in the opposite direction and
not distinguishable from zero (d = −0.03, 95% CI =
[−0.08, "&amp;"0.01], vs. original d = 0.64).")</f>
        <v>These results do not support
the hypothesis that syllogism performance is higher
when the font is harder to read; the difference between
conditions was slightly in the opposite direction and
not distinguishable from zero (d = −0.03, 95% CI =
[−0.08, 0.01], vs. original d = 0.64).</v>
      </c>
      <c r="BA1719" s="61" t="str">
        <f>IFERROR(__xludf.DUMMYFUNCTION("vlookup(BB1719,importrange(""https://docs.google.com/spreadsheets/d/1d2vevQ_7D_v35q4wCQ4RpQ_IPoTwEMB9Yp6ymwlPqew/edit?gid=984458430#gid=984458430"", ""'replication success'!A:M""), 13, FAlSE)"),"pg. 13")</f>
        <v>pg. 13</v>
      </c>
      <c r="BB1719" s="61" t="str">
        <f>IFERROR(__xludf.DUMMYFUNCTION("REGEXREPLACE(G1719, ""_[a-z]{1,2}$"", """")"),"Manylabs2_23_1")</f>
        <v>Manylabs2_23_1</v>
      </c>
      <c r="BC1719" s="129" t="s">
        <v>9932</v>
      </c>
      <c r="BD1719" s="129" t="s">
        <v>6985</v>
      </c>
    </row>
    <row r="1720">
      <c r="A1720" s="44">
        <v>1720.0</v>
      </c>
      <c r="B1720" s="129" t="s">
        <v>523</v>
      </c>
      <c r="C1720" s="62" t="s">
        <v>115</v>
      </c>
      <c r="D1720" s="62" t="s">
        <v>145</v>
      </c>
      <c r="F1720" s="68" t="s">
        <v>9921</v>
      </c>
      <c r="G1720" s="159" t="s">
        <v>9922</v>
      </c>
      <c r="H1720" s="678" t="s">
        <v>5592</v>
      </c>
      <c r="I1720" s="152">
        <v>45673.0</v>
      </c>
      <c r="J1720" s="152">
        <v>45693.0</v>
      </c>
      <c r="K1720" s="68"/>
      <c r="L1720" s="159" t="s">
        <v>9933</v>
      </c>
      <c r="M1720" s="68" t="s">
        <v>9924</v>
      </c>
      <c r="N1720" s="68" t="s">
        <v>9925</v>
      </c>
      <c r="O1720" s="156">
        <v>4.0</v>
      </c>
      <c r="P1720" s="606" t="str">
        <f t="shared" si="118"/>
        <v>10.1037--0096- 3445.136.4.569.pdf</v>
      </c>
      <c r="Q1720" s="52" t="str">
        <f t="array" ref="Q1720"> if(iserror(MATCH(V1720, 'File Links'!C:C, 0)), "N/A", HYPERLINK(INDEX('File Links'!B:B, MATCH(P1720, 'File Links'!C:C, 0))))</f>
        <v>https://drive.google.com/file/d/1HAhZicYSIRv7N-8s64Lp9_8_UnTnmDSR/view?usp=drivesdk</v>
      </c>
      <c r="R1720" s="1115" t="s">
        <v>9579</v>
      </c>
      <c r="S1720" s="1115" t="s">
        <v>9580</v>
      </c>
      <c r="T1720" s="68"/>
      <c r="U1720" s="68"/>
      <c r="V1720" s="198" t="str">
        <f t="shared" si="114"/>
        <v>10.1177--2515245918810225.pdf</v>
      </c>
      <c r="W1720" s="159" t="s">
        <v>2125</v>
      </c>
      <c r="X1720" s="54" t="str">
        <f t="array" ref="X1720"> if(iserror(MATCH(V1720, 'File Links'!C:C, 0)), "N/A", HYPERLINK(INDEX('File Links'!B:B, MATCH(V1720, 'File Links'!C:C, 0))))</f>
        <v>https://drive.google.com/file/d/1rGqHLpg3OEGQnWLvlAEJr7JSMWJ2p-Ar/view?usp=drivesdk</v>
      </c>
      <c r="Y1720" s="68"/>
      <c r="Z1720" s="159" t="s">
        <v>148</v>
      </c>
      <c r="AA1720" s="68"/>
      <c r="AB1720" s="159" t="s">
        <v>9927</v>
      </c>
      <c r="AC1720" s="159" t="s">
        <v>9928</v>
      </c>
      <c r="AD1720" s="159" t="s">
        <v>9934</v>
      </c>
      <c r="AE1720" s="1545">
        <v>45844.0</v>
      </c>
      <c r="AF1720" s="156">
        <v>41.0</v>
      </c>
      <c r="AG1720" s="1060" t="s">
        <v>9935</v>
      </c>
      <c r="AH1720" s="1060" t="s">
        <v>134</v>
      </c>
      <c r="AI1720" s="159" t="s">
        <v>132</v>
      </c>
      <c r="AJ1720" s="156">
        <v>0.05</v>
      </c>
      <c r="AK1720" s="159" t="s">
        <v>135</v>
      </c>
      <c r="AL1720" s="159" t="s">
        <v>186</v>
      </c>
      <c r="AM1720" s="68" t="s">
        <v>137</v>
      </c>
      <c r="AN1720" s="330" t="s">
        <v>138</v>
      </c>
      <c r="AO1720" s="1059">
        <v>6935.0</v>
      </c>
      <c r="AP1720" s="1059">
        <v>-0.03</v>
      </c>
      <c r="AQ1720" s="1060" t="s">
        <v>173</v>
      </c>
      <c r="AR1720" s="1060" t="s">
        <v>436</v>
      </c>
      <c r="AS1720" s="1059">
        <v>0.17</v>
      </c>
      <c r="AT1720" s="159" t="s">
        <v>172</v>
      </c>
      <c r="AU1720" s="159" t="s">
        <v>186</v>
      </c>
      <c r="AV1720" s="68" t="s">
        <v>137</v>
      </c>
      <c r="AW1720" s="1119" t="s">
        <v>9588</v>
      </c>
      <c r="AX1720" s="68" t="s">
        <v>143</v>
      </c>
      <c r="AY1720" s="61" t="str">
        <f>IFERROR(__xludf.DUMMYFUNCTION("vlookup(BB1720,importrange(""https://docs.google.com/spreadsheets/d/1d2vevQ_7D_v35q4wCQ4RpQ_IPoTwEMB9Yp6ymwlPqew/edit?gid=984458430#gid=984458430"", ""'replication success'!A:K""), 11, FAlSE)"),"failed")</f>
        <v>failed</v>
      </c>
      <c r="AZ1720" s="61" t="str">
        <f>IFERROR(__xludf.DUMMYFUNCTION("vlookup(BB1720,importrange(""https://docs.google.com/spreadsheets/d/1d2vevQ_7D_v35q4wCQ4RpQ_IPoTwEMB9Yp6ymwlPqew/edit?gid=984458430#gid=984458430"", ""'replication success'!A:M""), 12, FAlSE)"),"These results do not support
the hypothesis that syllogism performance is higher
when the font is harder to read; the difference between
conditions was slightly in the opposite direction and
not distinguishable from zero (d = −0.03, 95% CI =
[−0.08, "&amp;"0.01], vs. original d = 0.64).")</f>
        <v>These results do not support
the hypothesis that syllogism performance is higher
when the font is harder to read; the difference between
conditions was slightly in the opposite direction and
not distinguishable from zero (d = −0.03, 95% CI =
[−0.08, 0.01], vs. original d = 0.64).</v>
      </c>
      <c r="BA1720" s="61" t="str">
        <f>IFERROR(__xludf.DUMMYFUNCTION("vlookup(BB1720,importrange(""https://docs.google.com/spreadsheets/d/1d2vevQ_7D_v35q4wCQ4RpQ_IPoTwEMB9Yp6ymwlPqew/edit?gid=984458430#gid=984458430"", ""'replication success'!A:M""), 13, FAlSE)"),"pg. 13")</f>
        <v>pg. 13</v>
      </c>
      <c r="BB1720" s="61" t="str">
        <f>IFERROR(__xludf.DUMMYFUNCTION("REGEXREPLACE(G1720, ""_[a-z]{1,2}$"", """")"),"Manylabs2_23_1")</f>
        <v>Manylabs2_23_1</v>
      </c>
      <c r="BC1720" s="68"/>
      <c r="BD1720" s="68" t="s">
        <v>5074</v>
      </c>
    </row>
    <row r="1721">
      <c r="A1721" s="44">
        <v>1721.0</v>
      </c>
      <c r="B1721" s="68" t="s">
        <v>114</v>
      </c>
      <c r="C1721" s="62" t="s">
        <v>115</v>
      </c>
      <c r="D1721" s="62" t="s">
        <v>232</v>
      </c>
      <c r="F1721" s="68" t="s">
        <v>9936</v>
      </c>
      <c r="G1721" s="159" t="s">
        <v>9937</v>
      </c>
      <c r="H1721" s="159" t="s">
        <v>6940</v>
      </c>
      <c r="I1721" s="152">
        <v>45687.0</v>
      </c>
      <c r="J1721" s="152">
        <v>45693.0</v>
      </c>
      <c r="K1721" s="68"/>
      <c r="L1721" s="159"/>
      <c r="M1721" s="159" t="s">
        <v>9938</v>
      </c>
      <c r="N1721" s="159" t="s">
        <v>9939</v>
      </c>
      <c r="O1721" s="156">
        <v>3.0</v>
      </c>
      <c r="P1721" s="606" t="str">
        <f t="shared" si="118"/>
        <v>10.1177--0956797611434537.pdf</v>
      </c>
      <c r="Q1721" s="52" t="str">
        <f t="array" ref="Q1721"> if(iserror(MATCH(V1721, 'File Links'!C:C, 0)), "N/A", HYPERLINK(INDEX('File Links'!B:B, MATCH(P1721, 'File Links'!C:C, 0))))</f>
        <v>https://drive.google.com/file/d/15LBKsey4dgrPQTiibNv2Qi9TOTbc3lk1/view?usp=drivesdk</v>
      </c>
      <c r="R1721" s="159" t="s">
        <v>9579</v>
      </c>
      <c r="S1721" s="159" t="s">
        <v>9580</v>
      </c>
      <c r="T1721" s="68"/>
      <c r="U1721" s="156">
        <v>28.0</v>
      </c>
      <c r="V1721" s="198" t="str">
        <f t="shared" si="114"/>
        <v>10.1177--2515245918810225.pdf</v>
      </c>
      <c r="W1721" s="68" t="s">
        <v>209</v>
      </c>
      <c r="X1721" s="54" t="str">
        <f t="array" ref="X1721"> if(iserror(MATCH(V1721, 'File Links'!C:C, 0)), "N/A", HYPERLINK(INDEX('File Links'!B:B, MATCH(V1721, 'File Links'!C:C, 0))))</f>
        <v>https://drive.google.com/file/d/1rGqHLpg3OEGQnWLvlAEJr7JSMWJ2p-Ar/view?usp=drivesdk</v>
      </c>
      <c r="Y1721" s="68"/>
      <c r="Z1721" s="159" t="s">
        <v>947</v>
      </c>
      <c r="AA1721" s="68"/>
      <c r="AB1721" s="159" t="s">
        <v>9633</v>
      </c>
      <c r="AC1721" s="159" t="s">
        <v>9940</v>
      </c>
      <c r="AD1721" s="159" t="s">
        <v>9941</v>
      </c>
      <c r="AE1721" s="159" t="s">
        <v>9942</v>
      </c>
      <c r="AF1721" s="156">
        <v>228.0</v>
      </c>
      <c r="AG1721" s="68" t="s">
        <v>9943</v>
      </c>
      <c r="AH1721" s="159" t="s">
        <v>134</v>
      </c>
      <c r="AI1721" s="159" t="s">
        <v>9942</v>
      </c>
      <c r="AJ1721" s="156">
        <v>0.03</v>
      </c>
      <c r="AK1721" s="159" t="s">
        <v>172</v>
      </c>
      <c r="AL1721" s="159" t="s">
        <v>186</v>
      </c>
      <c r="AM1721" s="68" t="s">
        <v>137</v>
      </c>
      <c r="AN1721" s="330" t="s">
        <v>138</v>
      </c>
      <c r="AO1721" s="156">
        <v>6905.0</v>
      </c>
      <c r="AP1721" s="156">
        <v>-0.04</v>
      </c>
      <c r="AQ1721" s="159" t="s">
        <v>173</v>
      </c>
      <c r="AR1721" s="159" t="s">
        <v>9671</v>
      </c>
      <c r="AS1721" s="156">
        <v>0.08</v>
      </c>
      <c r="AT1721" s="159" t="s">
        <v>172</v>
      </c>
      <c r="AU1721" s="159" t="s">
        <v>186</v>
      </c>
      <c r="AV1721" s="68" t="s">
        <v>137</v>
      </c>
      <c r="AW1721" s="435" t="s">
        <v>9588</v>
      </c>
      <c r="AX1721" s="68" t="s">
        <v>143</v>
      </c>
      <c r="AY1721" s="61" t="str">
        <f>IFERROR(__xludf.DUMMYFUNCTION("vlookup(BB1721,importrange(""https://docs.google.com/spreadsheets/d/1d2vevQ_7D_v35q4wCQ4RpQ_IPoTwEMB9Yp6ymwlPqew/edit?gid=984458430#gid=984458430"", ""'replication success'!A:K""), 11, FAlSE)"),"failed")</f>
        <v>failed</v>
      </c>
      <c r="AZ1721" s="61" t="str">
        <f>IFERROR(__xludf.DUMMYFUNCTION("vlookup(BB1721,importrange(""https://docs.google.com/spreadsheets/d/1d2vevQ_7D_v35q4wCQ4RpQ_IPoTwEMB9Yp6ymwlPqew/edit?gid=984458430#gid=984458430"", ""'replication success'!A:M""), 12, FAlSE)"),"This result did not support the hypothesis that subjective well-being is higher for participants exposed
to descriptions of higher SMS. The effect was small in
magnitude, much smaller than the original effect, and
in the opposite direction (d = −0.04, "&amp;"95% CI = [−0.09,
0.004], vs. original d = 0.57).")</f>
        <v>This result did not support the hypothesis that subjective well-being is higher for participants exposed
to descriptions of higher SMS. The effect was small in
magnitude, much smaller than the original effect, and
in the opposite direction (d = −0.04, 95% CI = [−0.09,
0.004], vs. original d = 0.57).</v>
      </c>
      <c r="BA1721" s="61" t="str">
        <f>IFERROR(__xludf.DUMMYFUNCTION("vlookup(BB1721,importrange(""https://docs.google.com/spreadsheets/d/1d2vevQ_7D_v35q4wCQ4RpQ_IPoTwEMB9Yp6ymwlPqew/edit?gid=984458430#gid=984458430"", ""'replication success'!A:M""), 13, FAlSE)"),"pg. 17")</f>
        <v>pg. 17</v>
      </c>
      <c r="BB1721" s="61" t="str">
        <f>IFERROR(__xludf.DUMMYFUNCTION("REGEXREPLACE(G1721, ""_[a-z]{1,2}$"", """")"),"Manylabs2_24_1")</f>
        <v>Manylabs2_24_1</v>
      </c>
      <c r="BC1721" s="68"/>
      <c r="BD1721" s="68" t="s">
        <v>5074</v>
      </c>
    </row>
    <row r="1722">
      <c r="A1722" s="44">
        <v>1722.0</v>
      </c>
      <c r="B1722" s="129" t="s">
        <v>152</v>
      </c>
      <c r="C1722" s="62" t="s">
        <v>115</v>
      </c>
      <c r="D1722" s="62" t="s">
        <v>145</v>
      </c>
      <c r="F1722" s="68" t="s">
        <v>9936</v>
      </c>
      <c r="G1722" s="159" t="s">
        <v>9937</v>
      </c>
      <c r="H1722" s="678" t="s">
        <v>5592</v>
      </c>
      <c r="I1722" s="152">
        <v>45673.0</v>
      </c>
      <c r="J1722" s="152">
        <v>45693.0</v>
      </c>
      <c r="K1722" s="68"/>
      <c r="L1722" s="159"/>
      <c r="M1722" s="68" t="s">
        <v>9938</v>
      </c>
      <c r="N1722" s="68" t="s">
        <v>9939</v>
      </c>
      <c r="O1722" s="156">
        <v>3.0</v>
      </c>
      <c r="P1722" s="606" t="str">
        <f t="shared" si="118"/>
        <v>10.1177--0956797611434537.pdf</v>
      </c>
      <c r="Q1722" s="52" t="str">
        <f t="array" ref="Q1722"> if(iserror(MATCH(V1722, 'File Links'!C:C, 0)), "N/A", HYPERLINK(INDEX('File Links'!B:B, MATCH(P1722, 'File Links'!C:C, 0))))</f>
        <v>https://drive.google.com/file/d/15LBKsey4dgrPQTiibNv2Qi9TOTbc3lk1/view?usp=drivesdk</v>
      </c>
      <c r="R1722" s="1115" t="s">
        <v>9579</v>
      </c>
      <c r="S1722" s="1115" t="s">
        <v>9580</v>
      </c>
      <c r="T1722" s="68"/>
      <c r="U1722" s="1093">
        <v>28.0</v>
      </c>
      <c r="V1722" s="198" t="str">
        <f t="shared" si="114"/>
        <v>10.1177--2515245918810225.pdf</v>
      </c>
      <c r="W1722" s="1300" t="s">
        <v>209</v>
      </c>
      <c r="X1722" s="54" t="str">
        <f t="array" ref="X1722"> if(iserror(MATCH(V1722, 'File Links'!C:C, 0)), "N/A", HYPERLINK(INDEX('File Links'!B:B, MATCH(V1722, 'File Links'!C:C, 0))))</f>
        <v>https://drive.google.com/file/d/1rGqHLpg3OEGQnWLvlAEJr7JSMWJ2p-Ar/view?usp=drivesdk</v>
      </c>
      <c r="Y1722" s="68"/>
      <c r="Z1722" s="159" t="s">
        <v>226</v>
      </c>
      <c r="AA1722" s="159" t="s">
        <v>9944</v>
      </c>
      <c r="AB1722" s="159" t="s">
        <v>9945</v>
      </c>
      <c r="AC1722" s="159" t="s">
        <v>9946</v>
      </c>
      <c r="AD1722" s="159" t="s">
        <v>9947</v>
      </c>
      <c r="AE1722" s="1115" t="s">
        <v>9942</v>
      </c>
      <c r="AF1722" s="156">
        <v>228.0</v>
      </c>
      <c r="AG1722" s="159" t="s">
        <v>9948</v>
      </c>
      <c r="AH1722" s="159" t="s">
        <v>134</v>
      </c>
      <c r="AI1722" s="1115" t="s">
        <v>9942</v>
      </c>
      <c r="AJ1722" s="156">
        <v>0.003</v>
      </c>
      <c r="AK1722" s="159" t="s">
        <v>172</v>
      </c>
      <c r="AL1722" s="159" t="s">
        <v>186</v>
      </c>
      <c r="AM1722" s="68" t="s">
        <v>137</v>
      </c>
      <c r="AN1722" s="330" t="s">
        <v>138</v>
      </c>
      <c r="AO1722" s="156">
        <v>6905.0</v>
      </c>
      <c r="AP1722" s="156">
        <v>-0.04</v>
      </c>
      <c r="AQ1722" s="159" t="s">
        <v>173</v>
      </c>
      <c r="AR1722" s="1115" t="s">
        <v>9671</v>
      </c>
      <c r="AS1722" s="156">
        <v>0.08</v>
      </c>
      <c r="AT1722" s="159" t="s">
        <v>172</v>
      </c>
      <c r="AU1722" s="159" t="s">
        <v>186</v>
      </c>
      <c r="AV1722" s="68" t="s">
        <v>137</v>
      </c>
      <c r="AW1722" s="1119" t="s">
        <v>9588</v>
      </c>
      <c r="AX1722" s="68" t="s">
        <v>143</v>
      </c>
      <c r="AY1722" s="61" t="str">
        <f>IFERROR(__xludf.DUMMYFUNCTION("vlookup(BB1722,importrange(""https://docs.google.com/spreadsheets/d/1d2vevQ_7D_v35q4wCQ4RpQ_IPoTwEMB9Yp6ymwlPqew/edit?gid=984458430#gid=984458430"", ""'replication success'!A:K""), 11, FAlSE)"),"failed")</f>
        <v>failed</v>
      </c>
      <c r="AZ1722" s="61" t="str">
        <f>IFERROR(__xludf.DUMMYFUNCTION("vlookup(BB1722,importrange(""https://docs.google.com/spreadsheets/d/1d2vevQ_7D_v35q4wCQ4RpQ_IPoTwEMB9Yp6ymwlPqew/edit?gid=984458430#gid=984458430"", ""'replication success'!A:M""), 12, FAlSE)"),"This result did not support the hypothesis that subjective well-being is higher for participants exposed
to descriptions of higher SMS. The effect was small in
magnitude, much smaller than the original effect, and
in the opposite direction (d = −0.04, "&amp;"95% CI = [−0.09,
0.004], vs. original d = 0.57).")</f>
        <v>This result did not support the hypothesis that subjective well-being is higher for participants exposed
to descriptions of higher SMS. The effect was small in
magnitude, much smaller than the original effect, and
in the opposite direction (d = −0.04, 95% CI = [−0.09,
0.004], vs. original d = 0.57).</v>
      </c>
      <c r="BA1722" s="61" t="str">
        <f>IFERROR(__xludf.DUMMYFUNCTION("vlookup(BB1722,importrange(""https://docs.google.com/spreadsheets/d/1d2vevQ_7D_v35q4wCQ4RpQ_IPoTwEMB9Yp6ymwlPqew/edit?gid=984458430#gid=984458430"", ""'replication success'!A:M""), 13, FAlSE)"),"pg. 17")</f>
        <v>pg. 17</v>
      </c>
      <c r="BB1722" s="61" t="str">
        <f>IFERROR(__xludf.DUMMYFUNCTION("REGEXREPLACE(G1722, ""_[a-z]{1,2}$"", """")"),"Manylabs2_24_1")</f>
        <v>Manylabs2_24_1</v>
      </c>
      <c r="BC1722" s="68"/>
      <c r="BD1722" s="129" t="s">
        <v>6985</v>
      </c>
    </row>
    <row r="1723">
      <c r="A1723" s="44">
        <v>1723.0</v>
      </c>
      <c r="B1723" s="68" t="s">
        <v>114</v>
      </c>
      <c r="C1723" s="62" t="s">
        <v>115</v>
      </c>
      <c r="D1723" s="62" t="s">
        <v>232</v>
      </c>
      <c r="F1723" s="68" t="s">
        <v>9949</v>
      </c>
      <c r="G1723" s="159" t="s">
        <v>9950</v>
      </c>
      <c r="H1723" s="159" t="s">
        <v>6940</v>
      </c>
      <c r="I1723" s="152">
        <v>45687.0</v>
      </c>
      <c r="J1723" s="152">
        <v>45693.0</v>
      </c>
      <c r="K1723" s="159" t="s">
        <v>9951</v>
      </c>
      <c r="L1723" s="159" t="s">
        <v>9952</v>
      </c>
      <c r="M1723" s="159" t="s">
        <v>9953</v>
      </c>
      <c r="N1723" s="159" t="s">
        <v>9954</v>
      </c>
      <c r="O1723" s="156">
        <v>1.0</v>
      </c>
      <c r="P1723" s="606" t="str">
        <f t="shared" si="118"/>
        <v>10.1111--1467- 9280.00334.pdf</v>
      </c>
      <c r="Q1723" s="52" t="str">
        <f t="array" ref="Q1723"> if(iserror(MATCH(V1723, 'File Links'!C:C, 0)), "N/A", HYPERLINK(INDEX('File Links'!B:B, MATCH(P1723, 'File Links'!C:C, 0))))</f>
        <v>https://drive.google.com/file/d/124BmUuJPp02lcLBvH8AsEmEsbphUT5fW/view?usp=drivesdk</v>
      </c>
      <c r="R1723" s="159" t="s">
        <v>9579</v>
      </c>
      <c r="S1723" s="159" t="s">
        <v>9580</v>
      </c>
      <c r="T1723" s="68"/>
      <c r="U1723" s="156">
        <v>29.0</v>
      </c>
      <c r="V1723" s="198" t="str">
        <f t="shared" si="114"/>
        <v>10.1177--2515245918810225.pdf</v>
      </c>
      <c r="W1723" s="68" t="s">
        <v>209</v>
      </c>
      <c r="X1723" s="54" t="str">
        <f t="array" ref="X1723"> if(iserror(MATCH(V1723, 'File Links'!C:C, 0)), "N/A", HYPERLINK(INDEX('File Links'!B:B, MATCH(V1723, 'File Links'!C:C, 0))))</f>
        <v>https://drive.google.com/file/d/1rGqHLpg3OEGQnWLvlAEJr7JSMWJ2p-Ar/view?usp=drivesdk</v>
      </c>
      <c r="Y1723" s="68"/>
      <c r="Z1723" s="159" t="s">
        <v>947</v>
      </c>
      <c r="AA1723" s="68"/>
      <c r="AB1723" s="159" t="s">
        <v>9633</v>
      </c>
      <c r="AC1723" s="159" t="s">
        <v>9955</v>
      </c>
      <c r="AD1723" s="159" t="s">
        <v>9956</v>
      </c>
      <c r="AE1723" s="159" t="s">
        <v>9957</v>
      </c>
      <c r="AF1723" s="156">
        <v>40.0</v>
      </c>
      <c r="AG1723" s="1387">
        <v>1.2564102564102562</v>
      </c>
      <c r="AH1723" s="1060" t="s">
        <v>722</v>
      </c>
      <c r="AI1723" s="1060" t="s">
        <v>9958</v>
      </c>
      <c r="AJ1723" s="156">
        <v>0.05</v>
      </c>
      <c r="AK1723" s="159" t="s">
        <v>135</v>
      </c>
      <c r="AL1723" s="159" t="s">
        <v>186</v>
      </c>
      <c r="AM1723" s="68" t="s">
        <v>137</v>
      </c>
      <c r="AN1723" s="330" t="s">
        <v>138</v>
      </c>
      <c r="AO1723" s="156">
        <v>7218.0</v>
      </c>
      <c r="AP1723" s="156">
        <v>-0.08</v>
      </c>
      <c r="AQ1723" s="159" t="s">
        <v>173</v>
      </c>
      <c r="AR1723" s="159" t="s">
        <v>9815</v>
      </c>
      <c r="AS1723" s="156">
        <v>0.002</v>
      </c>
      <c r="AT1723" s="159" t="s">
        <v>172</v>
      </c>
      <c r="AU1723" s="1060" t="s">
        <v>136</v>
      </c>
      <c r="AV1723" s="68" t="s">
        <v>137</v>
      </c>
      <c r="AW1723" s="435" t="s">
        <v>9588</v>
      </c>
      <c r="AX1723" s="68" t="s">
        <v>143</v>
      </c>
      <c r="AY1723" s="61" t="str">
        <f>IFERROR(__xludf.DUMMYFUNCTION("vlookup(BB1723,importrange(""https://docs.google.com/spreadsheets/d/1d2vevQ_7D_v35q4wCQ4RpQ_IPoTwEMB9Yp6ymwlPqew/edit?gid=984458430#gid=984458430"", ""'replication success'!A:K""), 11, FAlSE)"),"failed")</f>
        <v>failed</v>
      </c>
      <c r="AZ1723" s="61" t="str">
        <f>IFERROR(__xludf.DUMMYFUNCTION("vlookup(BB1723,importrange(""https://docs.google.com/spreadsheets/d/1d2vevQ_7D_v35q4wCQ4RpQ_IPoTwEMB9Yp6ymwlPqew/edit?gid=984458430#gid=984458430"", ""'replication success'!A:M""), 12, FAlSE)"),"The difference was significant, p =
.002, odds ratio (OR) = 0.87, d = −0.08, 95% CI = [−0.13,
−0.03], but in the direction opposite the prediction of
the hypothesis (i.e., that affectively attractive choices
are more preferred when they are uncertain rath"&amp;"er than
definite). The overall effect was much smaller than in
the original study and in the opposite direction (d =
−0.08, 95% CI = [−0.13, −0.03], vs. original d = 0.74).")</f>
        <v>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v>
      </c>
      <c r="BA1723" s="61" t="str">
        <f>IFERROR(__xludf.DUMMYFUNCTION("vlookup(BB1723,importrange(""https://docs.google.com/spreadsheets/d/1d2vevQ_7D_v35q4wCQ4RpQ_IPoTwEMB9Yp6ymwlPqew/edit?gid=984458430#gid=984458430"", ""'replication success'!A:M""), 13, FAlSE)"),"pg. 14")</f>
        <v>pg. 14</v>
      </c>
      <c r="BB1723" s="61" t="str">
        <f>IFERROR(__xludf.DUMMYFUNCTION("REGEXREPLACE(G1723, ""_[a-z]{1,2}$"", """")"),"Manylabs2_25_1")</f>
        <v>Manylabs2_25_1</v>
      </c>
      <c r="BC1723" s="68"/>
      <c r="BD1723" s="68" t="s">
        <v>5074</v>
      </c>
    </row>
    <row r="1724">
      <c r="A1724" s="44">
        <v>1724.0</v>
      </c>
      <c r="B1724" s="129" t="s">
        <v>152</v>
      </c>
      <c r="C1724" s="62" t="s">
        <v>115</v>
      </c>
      <c r="D1724" s="62" t="s">
        <v>145</v>
      </c>
      <c r="F1724" s="68" t="s">
        <v>9949</v>
      </c>
      <c r="G1724" s="159" t="s">
        <v>9950</v>
      </c>
      <c r="H1724" s="678" t="s">
        <v>5592</v>
      </c>
      <c r="I1724" s="152">
        <v>45673.0</v>
      </c>
      <c r="J1724" s="152">
        <v>45693.0</v>
      </c>
      <c r="K1724" s="159" t="s">
        <v>9951</v>
      </c>
      <c r="L1724" s="129" t="s">
        <v>9959</v>
      </c>
      <c r="M1724" s="68" t="s">
        <v>9953</v>
      </c>
      <c r="N1724" s="68" t="s">
        <v>9954</v>
      </c>
      <c r="O1724" s="156">
        <v>1.0</v>
      </c>
      <c r="P1724" s="606" t="str">
        <f t="shared" si="118"/>
        <v>10.1111--1467- 9280.00334.pdf</v>
      </c>
      <c r="Q1724" s="52" t="str">
        <f t="array" ref="Q1724"> if(iserror(MATCH(V1724, 'File Links'!C:C, 0)), "N/A", HYPERLINK(INDEX('File Links'!B:B, MATCH(P1724, 'File Links'!C:C, 0))))</f>
        <v>https://drive.google.com/file/d/124BmUuJPp02lcLBvH8AsEmEsbphUT5fW/view?usp=drivesdk</v>
      </c>
      <c r="R1724" s="1115" t="s">
        <v>9579</v>
      </c>
      <c r="S1724" s="1115" t="s">
        <v>9580</v>
      </c>
      <c r="T1724" s="68"/>
      <c r="U1724" s="1093">
        <v>29.0</v>
      </c>
      <c r="V1724" s="198" t="str">
        <f t="shared" si="114"/>
        <v>10.1177--2515245918810225.pdf</v>
      </c>
      <c r="W1724" s="1300" t="s">
        <v>209</v>
      </c>
      <c r="X1724" s="54" t="str">
        <f t="array" ref="X1724"> if(iserror(MATCH(V1724, 'File Links'!C:C, 0)), "N/A", HYPERLINK(INDEX('File Links'!B:B, MATCH(V1724, 'File Links'!C:C, 0))))</f>
        <v>https://drive.google.com/file/d/1rGqHLpg3OEGQnWLvlAEJr7JSMWJ2p-Ar/view?usp=drivesdk</v>
      </c>
      <c r="Y1724" s="68"/>
      <c r="Z1724" s="159" t="s">
        <v>226</v>
      </c>
      <c r="AA1724" s="374" t="s">
        <v>138</v>
      </c>
      <c r="AB1724" s="159" t="s">
        <v>9960</v>
      </c>
      <c r="AC1724" s="151" t="s">
        <v>9961</v>
      </c>
      <c r="AD1724" s="159" t="s">
        <v>9962</v>
      </c>
      <c r="AE1724" s="1115" t="s">
        <v>9957</v>
      </c>
      <c r="AF1724" s="156">
        <v>40.0</v>
      </c>
      <c r="AG1724" s="159">
        <f>(0.7/(1-0.7))/(0.35/(1-0.35))</f>
        <v>4.333333333</v>
      </c>
      <c r="AH1724" s="151" t="s">
        <v>722</v>
      </c>
      <c r="AI1724" s="1116" t="s">
        <v>9963</v>
      </c>
      <c r="AJ1724" s="156">
        <v>0.05</v>
      </c>
      <c r="AK1724" s="159" t="s">
        <v>135</v>
      </c>
      <c r="AL1724" s="159" t="s">
        <v>186</v>
      </c>
      <c r="AM1724" s="68" t="s">
        <v>137</v>
      </c>
      <c r="AN1724" s="330" t="s">
        <v>138</v>
      </c>
      <c r="AO1724" s="156">
        <v>7218.0</v>
      </c>
      <c r="AP1724" s="156">
        <v>-0.08</v>
      </c>
      <c r="AQ1724" s="159" t="s">
        <v>173</v>
      </c>
      <c r="AR1724" s="1115" t="s">
        <v>9815</v>
      </c>
      <c r="AS1724" s="156">
        <v>0.002</v>
      </c>
      <c r="AT1724" s="159" t="s">
        <v>172</v>
      </c>
      <c r="AU1724" s="159" t="s">
        <v>186</v>
      </c>
      <c r="AV1724" s="68" t="s">
        <v>137</v>
      </c>
      <c r="AW1724" s="1119" t="s">
        <v>9588</v>
      </c>
      <c r="AX1724" s="68" t="s">
        <v>143</v>
      </c>
      <c r="AY1724" s="61" t="str">
        <f>IFERROR(__xludf.DUMMYFUNCTION("vlookup(BB1724,importrange(""https://docs.google.com/spreadsheets/d/1d2vevQ_7D_v35q4wCQ4RpQ_IPoTwEMB9Yp6ymwlPqew/edit?gid=984458430#gid=984458430"", ""'replication success'!A:K""), 11, FAlSE)"),"failed")</f>
        <v>failed</v>
      </c>
      <c r="AZ1724" s="61" t="str">
        <f>IFERROR(__xludf.DUMMYFUNCTION("vlookup(BB1724,importrange(""https://docs.google.com/spreadsheets/d/1d2vevQ_7D_v35q4wCQ4RpQ_IPoTwEMB9Yp6ymwlPqew/edit?gid=984458430#gid=984458430"", ""'replication success'!A:M""), 12, FAlSE)"),"The difference was significant, p =
.002, odds ratio (OR) = 0.87, d = −0.08, 95% CI = [−0.13,
−0.03], but in the direction opposite the prediction of
the hypothesis (i.e., that affectively attractive choices
are more preferred when they are uncertain rath"&amp;"er than
definite). The overall effect was much smaller than in
the original study and in the opposite direction (d =
−0.08, 95% CI = [−0.13, −0.03], vs. original d = 0.74).")</f>
        <v>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v>
      </c>
      <c r="BA1724" s="61" t="str">
        <f>IFERROR(__xludf.DUMMYFUNCTION("vlookup(BB1724,importrange(""https://docs.google.com/spreadsheets/d/1d2vevQ_7D_v35q4wCQ4RpQ_IPoTwEMB9Yp6ymwlPqew/edit?gid=984458430#gid=984458430"", ""'replication success'!A:M""), 13, FAlSE)"),"pg. 14")</f>
        <v>pg. 14</v>
      </c>
      <c r="BB1724" s="61" t="str">
        <f>IFERROR(__xludf.DUMMYFUNCTION("REGEXREPLACE(G1724, ""_[a-z]{1,2}$"", """")"),"Manylabs2_25_1")</f>
        <v>Manylabs2_25_1</v>
      </c>
      <c r="BC1724" s="68"/>
      <c r="BD1724" s="129" t="s">
        <v>6985</v>
      </c>
    </row>
    <row r="1725">
      <c r="A1725" s="44">
        <v>1725.0</v>
      </c>
      <c r="B1725" s="129" t="s">
        <v>152</v>
      </c>
      <c r="C1725" s="62" t="s">
        <v>115</v>
      </c>
      <c r="D1725" s="62" t="s">
        <v>232</v>
      </c>
      <c r="F1725" s="68" t="s">
        <v>9964</v>
      </c>
      <c r="G1725" s="159" t="s">
        <v>9965</v>
      </c>
      <c r="H1725" s="159" t="s">
        <v>6940</v>
      </c>
      <c r="I1725" s="152">
        <v>45687.0</v>
      </c>
      <c r="J1725" s="152">
        <v>45693.0</v>
      </c>
      <c r="K1725" s="159" t="s">
        <v>9951</v>
      </c>
      <c r="L1725" s="159" t="s">
        <v>9966</v>
      </c>
      <c r="M1725" s="159" t="s">
        <v>9967</v>
      </c>
      <c r="N1725" s="159" t="s">
        <v>9968</v>
      </c>
      <c r="O1725" s="156">
        <v>1.0</v>
      </c>
      <c r="P1725" s="606" t="str">
        <f t="shared" si="118"/>
        <v>10.3758--bf03197186.pdf</v>
      </c>
      <c r="Q1725" s="52" t="str">
        <f t="array" ref="Q1725"> if(iserror(MATCH(V1725, 'File Links'!C:C, 0)), "N/A", HYPERLINK(INDEX('File Links'!B:B, MATCH(P1725, 'File Links'!C:C, 0))))</f>
        <v>https://drive.google.com/file/d/1mbPAy1TbNwV2XOfDjz6F7ail2VgA51o4/view?usp=drivesdk</v>
      </c>
      <c r="R1725" s="159" t="s">
        <v>9579</v>
      </c>
      <c r="S1725" s="159" t="s">
        <v>9580</v>
      </c>
      <c r="T1725" s="68"/>
      <c r="U1725" s="156">
        <v>30.0</v>
      </c>
      <c r="V1725" s="198" t="str">
        <f t="shared" si="114"/>
        <v>10.1177--2515245918810225.pdf</v>
      </c>
      <c r="W1725" s="68" t="s">
        <v>209</v>
      </c>
      <c r="X1725" s="54" t="str">
        <f t="array" ref="X1725"> if(iserror(MATCH(V1725, 'File Links'!C:C, 0)), "N/A", HYPERLINK(INDEX('File Links'!B:B, MATCH(V1725, 'File Links'!C:C, 0))))</f>
        <v>https://drive.google.com/file/d/1rGqHLpg3OEGQnWLvlAEJr7JSMWJ2p-Ar/view?usp=drivesdk</v>
      </c>
      <c r="Y1725" s="68"/>
      <c r="Z1725" s="1115" t="s">
        <v>210</v>
      </c>
      <c r="AA1725" s="374" t="s">
        <v>138</v>
      </c>
      <c r="AB1725" s="1115" t="s">
        <v>9969</v>
      </c>
      <c r="AC1725" s="159" t="s">
        <v>9970</v>
      </c>
      <c r="AD1725" s="151" t="s">
        <v>9971</v>
      </c>
      <c r="AE1725" s="159" t="s">
        <v>9972</v>
      </c>
      <c r="AF1725" s="156">
        <v>170.0</v>
      </c>
      <c r="AG1725" s="151" t="s">
        <v>9973</v>
      </c>
      <c r="AH1725" s="159" t="s">
        <v>134</v>
      </c>
      <c r="AI1725" s="159" t="s">
        <v>9972</v>
      </c>
      <c r="AJ1725" s="156">
        <v>0.02</v>
      </c>
      <c r="AK1725" s="159" t="s">
        <v>135</v>
      </c>
      <c r="AL1725" s="159" t="s">
        <v>186</v>
      </c>
      <c r="AM1725" s="68" t="s">
        <v>137</v>
      </c>
      <c r="AN1725" s="330" t="s">
        <v>138</v>
      </c>
      <c r="AO1725" s="156">
        <v>7901.0</v>
      </c>
      <c r="AP1725" s="156">
        <v>-0.13</v>
      </c>
      <c r="AQ1725" s="159" t="s">
        <v>173</v>
      </c>
      <c r="AR1725" s="159" t="s">
        <v>9614</v>
      </c>
      <c r="AS1725" s="156">
        <f>IFERROR(__xludf.DUMMYFUNCTION("1.1*10^-9"),1.1000000000000001E-9)</f>
        <v>0.0000000011</v>
      </c>
      <c r="AT1725" s="159" t="s">
        <v>172</v>
      </c>
      <c r="AU1725" s="1115" t="s">
        <v>186</v>
      </c>
      <c r="AV1725" s="68" t="s">
        <v>137</v>
      </c>
      <c r="AW1725" s="435" t="s">
        <v>9588</v>
      </c>
      <c r="AX1725" s="68" t="s">
        <v>143</v>
      </c>
      <c r="AY1725" s="61" t="str">
        <f>IFERROR(__xludf.DUMMYFUNCTION("vlookup(BB1725,importrange(""https://docs.google.com/spreadsheets/d/1d2vevQ_7D_v35q4wCQ4RpQ_IPoTwEMB9Yp6ymwlPqew/edit?gid=984458430#gid=984458430"", ""'replication success'!A:K""), 11, FAlSE)"),"failed")</f>
        <v>failed</v>
      </c>
      <c r="AZ1725" s="61" t="str">
        <f>IFERROR(__xludf.DUMMYFUNCTION("vlookup(BB1725,importrange(""https://docs.google.com/spreadsheets/d/1d2vevQ_7D_v35q4wCQ4RpQ_IPoTwEMB9Yp6ymwlPqew/edit?gid=984458430#gid=984458430"", ""'replication success'!A:M""), 12, FAlSE)"),"This result was small in magnitude and in the direction opposite that of the original finding,
and it is incompatible with the hypothesis that negative
features are weighted more strongly when people are
rejecting options and positive features are weig"&amp;"hted
more strongly when people are selecting options.")</f>
        <v>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v>
      </c>
      <c r="BA1725" s="61" t="str">
        <f>IFERROR(__xludf.DUMMYFUNCTION("vlookup(BB1725,importrange(""https://docs.google.com/spreadsheets/d/1d2vevQ_7D_v35q4wCQ4RpQ_IPoTwEMB9Yp6ymwlPqew/edit?gid=984458430#gid=984458430"", ""'replication success'!A:M""), 13, FAlSE)"),"pg. 23")</f>
        <v>pg. 23</v>
      </c>
      <c r="BB1725" s="61" t="str">
        <f>IFERROR(__xludf.DUMMYFUNCTION("REGEXREPLACE(G1725, ""_[a-z]{1,2}$"", """")"),"Manylabs2_26_1")</f>
        <v>Manylabs2_26_1</v>
      </c>
      <c r="BC1725" s="129" t="s">
        <v>9974</v>
      </c>
      <c r="BD1725" s="129" t="s">
        <v>6985</v>
      </c>
    </row>
    <row r="1726">
      <c r="A1726" s="44">
        <v>1726.0</v>
      </c>
      <c r="B1726" s="68" t="s">
        <v>114</v>
      </c>
      <c r="C1726" s="62" t="s">
        <v>115</v>
      </c>
      <c r="D1726" s="62" t="s">
        <v>145</v>
      </c>
      <c r="F1726" s="68" t="s">
        <v>9964</v>
      </c>
      <c r="G1726" s="159" t="s">
        <v>9965</v>
      </c>
      <c r="H1726" s="678" t="s">
        <v>5592</v>
      </c>
      <c r="I1726" s="152">
        <v>45673.0</v>
      </c>
      <c r="J1726" s="152">
        <v>45693.0</v>
      </c>
      <c r="K1726" s="68"/>
      <c r="L1726" s="68"/>
      <c r="M1726" s="68" t="s">
        <v>9967</v>
      </c>
      <c r="N1726" s="68" t="s">
        <v>9968</v>
      </c>
      <c r="O1726" s="156">
        <v>1.0</v>
      </c>
      <c r="P1726" s="606" t="str">
        <f t="shared" si="118"/>
        <v>10.3758--bf03197186.pdf</v>
      </c>
      <c r="Q1726" s="52" t="str">
        <f t="array" ref="Q1726"> if(iserror(MATCH(V1726, 'File Links'!C:C, 0)), "N/A", HYPERLINK(INDEX('File Links'!B:B, MATCH(P1726, 'File Links'!C:C, 0))))</f>
        <v>https://drive.google.com/file/d/1mbPAy1TbNwV2XOfDjz6F7ail2VgA51o4/view?usp=drivesdk</v>
      </c>
      <c r="R1726" s="1115" t="s">
        <v>9579</v>
      </c>
      <c r="S1726" s="1115" t="s">
        <v>9580</v>
      </c>
      <c r="T1726" s="68"/>
      <c r="U1726" s="68"/>
      <c r="V1726" s="198" t="str">
        <f t="shared" si="114"/>
        <v>10.1177--2515245918810225.pdf</v>
      </c>
      <c r="W1726" s="1300" t="s">
        <v>209</v>
      </c>
      <c r="X1726" s="54" t="str">
        <f t="array" ref="X1726"> if(iserror(MATCH(V1726, 'File Links'!C:C, 0)), "N/A", HYPERLINK(INDEX('File Links'!B:B, MATCH(V1726, 'File Links'!C:C, 0))))</f>
        <v>https://drive.google.com/file/d/1rGqHLpg3OEGQnWLvlAEJr7JSMWJ2p-Ar/view?usp=drivesdk</v>
      </c>
      <c r="Y1726" s="68"/>
      <c r="Z1726" s="159" t="s">
        <v>210</v>
      </c>
      <c r="AA1726" s="68"/>
      <c r="AB1726" s="159" t="s">
        <v>9969</v>
      </c>
      <c r="AC1726" s="159" t="s">
        <v>9975</v>
      </c>
      <c r="AD1726" s="159" t="s">
        <v>9976</v>
      </c>
      <c r="AE1726" s="156">
        <v>4.0</v>
      </c>
      <c r="AF1726" s="156">
        <v>170.0</v>
      </c>
      <c r="AG1726" s="159" t="s">
        <v>9977</v>
      </c>
      <c r="AH1726" s="159" t="s">
        <v>134</v>
      </c>
      <c r="AI1726" s="159" t="s">
        <v>850</v>
      </c>
      <c r="AJ1726" s="156">
        <v>0.02</v>
      </c>
      <c r="AK1726" s="159" t="s">
        <v>135</v>
      </c>
      <c r="AL1726" s="159" t="s">
        <v>186</v>
      </c>
      <c r="AM1726" s="68" t="s">
        <v>137</v>
      </c>
      <c r="AN1726" s="330" t="s">
        <v>138</v>
      </c>
      <c r="AO1726" s="156">
        <v>7901.0</v>
      </c>
      <c r="AP1726" s="156">
        <v>-0.13</v>
      </c>
      <c r="AQ1726" s="159" t="s">
        <v>173</v>
      </c>
      <c r="AR1726" s="159" t="s">
        <v>330</v>
      </c>
      <c r="AS1726" s="1061">
        <v>1.1E-9</v>
      </c>
      <c r="AT1726" s="159" t="s">
        <v>172</v>
      </c>
      <c r="AU1726" s="159" t="s">
        <v>186</v>
      </c>
      <c r="AV1726" s="68" t="s">
        <v>137</v>
      </c>
      <c r="AW1726" s="1119" t="s">
        <v>9588</v>
      </c>
      <c r="AX1726" s="68" t="s">
        <v>143</v>
      </c>
      <c r="AY1726" s="61" t="str">
        <f>IFERROR(__xludf.DUMMYFUNCTION("vlookup(BB1726,importrange(""https://docs.google.com/spreadsheets/d/1d2vevQ_7D_v35q4wCQ4RpQ_IPoTwEMB9Yp6ymwlPqew/edit?gid=984458430#gid=984458430"", ""'replication success'!A:K""), 11, FAlSE)"),"failed")</f>
        <v>failed</v>
      </c>
      <c r="AZ1726" s="61" t="str">
        <f>IFERROR(__xludf.DUMMYFUNCTION("vlookup(BB1726,importrange(""https://docs.google.com/spreadsheets/d/1d2vevQ_7D_v35q4wCQ4RpQ_IPoTwEMB9Yp6ymwlPqew/edit?gid=984458430#gid=984458430"", ""'replication success'!A:M""), 12, FAlSE)"),"This result was small in magnitude and in the direction opposite that of the original finding,
and it is incompatible with the hypothesis that negative
features are weighted more strongly when people are
rejecting options and positive features are weig"&amp;"hted
more strongly when people are selecting options.")</f>
        <v>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v>
      </c>
      <c r="BA1726" s="61" t="str">
        <f>IFERROR(__xludf.DUMMYFUNCTION("vlookup(BB1726,importrange(""https://docs.google.com/spreadsheets/d/1d2vevQ_7D_v35q4wCQ4RpQ_IPoTwEMB9Yp6ymwlPqew/edit?gid=984458430#gid=984458430"", ""'replication success'!A:M""), 13, FAlSE)"),"pg. 23")</f>
        <v>pg. 23</v>
      </c>
      <c r="BB1726" s="61" t="str">
        <f>IFERROR(__xludf.DUMMYFUNCTION("REGEXREPLACE(G1726, ""_[a-z]{1,2}$"", """")"),"Manylabs2_26_1")</f>
        <v>Manylabs2_26_1</v>
      </c>
      <c r="BC1726" s="68"/>
      <c r="BD1726" s="68" t="s">
        <v>5074</v>
      </c>
    </row>
    <row r="1727">
      <c r="A1727" s="44">
        <v>1727.0</v>
      </c>
      <c r="B1727" s="68" t="s">
        <v>590</v>
      </c>
      <c r="C1727" s="62" t="s">
        <v>115</v>
      </c>
      <c r="D1727" s="62" t="s">
        <v>232</v>
      </c>
      <c r="F1727" s="68" t="s">
        <v>9978</v>
      </c>
      <c r="G1727" s="159" t="s">
        <v>9979</v>
      </c>
      <c r="H1727" s="159" t="s">
        <v>6940</v>
      </c>
      <c r="I1727" s="152">
        <v>45687.0</v>
      </c>
      <c r="J1727" s="152">
        <v>45693.0</v>
      </c>
      <c r="K1727" s="68"/>
      <c r="L1727" s="481" t="s">
        <v>9980</v>
      </c>
      <c r="M1727" s="159" t="s">
        <v>9981</v>
      </c>
      <c r="N1727" s="159" t="s">
        <v>4449</v>
      </c>
      <c r="O1727" s="156">
        <v>5.0</v>
      </c>
      <c r="P1727" s="606" t="str">
        <f t="shared" si="118"/>
        <v>10.1177--0956797609359908.pdf</v>
      </c>
      <c r="Q1727" s="52" t="str">
        <f t="array" ref="Q1727"> if(iserror(MATCH(V1727, 'File Links'!C:C, 0)), "N/A", HYPERLINK(INDEX('File Links'!B:B, MATCH(P1727, 'File Links'!C:C, 0))))</f>
        <v>https://drive.google.com/file/d/1CX-X4yZPIliMfb05V-exrVifx5i5gyZu/view?usp=drivesdk</v>
      </c>
      <c r="R1727" s="159" t="s">
        <v>9579</v>
      </c>
      <c r="S1727" s="159" t="s">
        <v>9580</v>
      </c>
      <c r="T1727" s="68"/>
      <c r="U1727" s="156">
        <v>31.0</v>
      </c>
      <c r="V1727" s="198" t="str">
        <f t="shared" si="114"/>
        <v>10.1177--2515245918810225.pdf</v>
      </c>
      <c r="W1727" s="68" t="s">
        <v>209</v>
      </c>
      <c r="X1727" s="54" t="str">
        <f t="array" ref="X1727"> if(iserror(MATCH(V1727, 'File Links'!C:C, 0)), "N/A", HYPERLINK(INDEX('File Links'!B:B, MATCH(V1727, 'File Links'!C:C, 0))))</f>
        <v>https://drive.google.com/file/d/1rGqHLpg3OEGQnWLvlAEJr7JSMWJ2p-Ar/view?usp=drivesdk</v>
      </c>
      <c r="Y1727" s="68"/>
      <c r="Z1727" s="1115" t="s">
        <v>226</v>
      </c>
      <c r="AA1727" s="68"/>
      <c r="AB1727" s="1115" t="s">
        <v>9982</v>
      </c>
      <c r="AC1727" s="159" t="s">
        <v>9983</v>
      </c>
      <c r="AD1727" s="68" t="s">
        <v>9984</v>
      </c>
      <c r="AE1727" s="159" t="s">
        <v>9985</v>
      </c>
      <c r="AF1727" s="156">
        <v>90.0</v>
      </c>
      <c r="AG1727" s="68"/>
      <c r="AH1727" s="68"/>
      <c r="AI1727" s="159" t="s">
        <v>9985</v>
      </c>
      <c r="AJ1727" s="159" t="s">
        <v>9985</v>
      </c>
      <c r="AK1727" s="159" t="s">
        <v>135</v>
      </c>
      <c r="AL1727" s="159" t="s">
        <v>186</v>
      </c>
      <c r="AM1727" s="68" t="s">
        <v>141</v>
      </c>
      <c r="AN1727" s="330" t="s">
        <v>138</v>
      </c>
      <c r="AO1727" s="156">
        <v>3506.0</v>
      </c>
      <c r="AP1727" s="156">
        <v>-0.24</v>
      </c>
      <c r="AQ1727" s="159" t="s">
        <v>173</v>
      </c>
      <c r="AR1727" s="159" t="s">
        <v>9986</v>
      </c>
      <c r="AS1727" s="1093">
        <f>IFERROR(__xludf.DUMMYFUNCTION("2*10^-16"),2.0E-16)</f>
        <v>0</v>
      </c>
      <c r="AT1727" s="159" t="s">
        <v>135</v>
      </c>
      <c r="AU1727" s="159" t="s">
        <v>186</v>
      </c>
      <c r="AV1727" s="68" t="s">
        <v>141</v>
      </c>
      <c r="AW1727" s="435" t="s">
        <v>9588</v>
      </c>
      <c r="AX1727" s="68" t="s">
        <v>143</v>
      </c>
      <c r="AY1727" s="61" t="str">
        <f>IFERROR(__xludf.DUMMYFUNCTION("vlookup(BB1727,importrange(""https://docs.google.com/spreadsheets/d/1d2vevQ_7D_v35q4wCQ4RpQ_IPoTwEMB9Yp6ymwlPqew/edit?gid=984458430#gid=984458430"", ""'replication success'!A:K""), 11, FAlSE)"),"#N/A")</f>
        <v>#N/A</v>
      </c>
      <c r="AZ1727" s="61" t="str">
        <f>IFERROR(__xludf.DUMMYFUNCTION("vlookup(BB1727,importrange(""https://docs.google.com/spreadsheets/d/1d2vevQ_7D_v35q4wCQ4RpQ_IPoTwEMB9Yp6ymwlPqew/edit?gid=984458430#gid=984458430"", ""'replication success'!A:M""), 12, FAlSE)"),"#N/A")</f>
        <v>#N/A</v>
      </c>
      <c r="BA1727" s="61" t="str">
        <f>IFERROR(__xludf.DUMMYFUNCTION("vlookup(BB1727,importrange(""https://docs.google.com/spreadsheets/d/1d2vevQ_7D_v35q4wCQ4RpQ_IPoTwEMB9Yp6ymwlPqew/edit?gid=984458430#gid=984458430"", ""'replication success'!A:M""), 13, FAlSE)"),"#N/A")</f>
        <v>#N/A</v>
      </c>
      <c r="BB1727" s="61" t="str">
        <f>IFERROR(__xludf.DUMMYFUNCTION("REGEXREPLACE(G1727, ""_[a-z]{1,2}$"", """")"),"Manylabs2_27_1")</f>
        <v>Manylabs2_27_1</v>
      </c>
      <c r="BC1727" s="68"/>
      <c r="BD1727" s="68" t="s">
        <v>5074</v>
      </c>
    </row>
    <row r="1728">
      <c r="A1728" s="44">
        <v>1728.0</v>
      </c>
      <c r="B1728" s="68" t="s">
        <v>114</v>
      </c>
      <c r="C1728" s="62" t="s">
        <v>115</v>
      </c>
      <c r="D1728" s="62" t="s">
        <v>145</v>
      </c>
      <c r="F1728" s="68" t="s">
        <v>9978</v>
      </c>
      <c r="G1728" s="159" t="s">
        <v>9979</v>
      </c>
      <c r="H1728" s="678" t="s">
        <v>5592</v>
      </c>
      <c r="I1728" s="152">
        <v>45669.0</v>
      </c>
      <c r="J1728" s="152">
        <v>45693.0</v>
      </c>
      <c r="K1728" s="159" t="s">
        <v>9987</v>
      </c>
      <c r="L1728" s="68"/>
      <c r="M1728" s="68" t="s">
        <v>9981</v>
      </c>
      <c r="N1728" s="68" t="s">
        <v>4449</v>
      </c>
      <c r="O1728" s="156">
        <v>5.0</v>
      </c>
      <c r="P1728" s="606" t="str">
        <f t="shared" si="118"/>
        <v>10.1177--0956797609359908.pdf</v>
      </c>
      <c r="Q1728" s="52" t="str">
        <f t="array" ref="Q1728"> if(iserror(MATCH(V1728, 'File Links'!C:C, 0)), "N/A", HYPERLINK(INDEX('File Links'!B:B, MATCH(P1728, 'File Links'!C:C, 0))))</f>
        <v>https://drive.google.com/file/d/1CX-X4yZPIliMfb05V-exrVifx5i5gyZu/view?usp=drivesdk</v>
      </c>
      <c r="R1728" s="1115" t="s">
        <v>9579</v>
      </c>
      <c r="S1728" s="1115" t="s">
        <v>9580</v>
      </c>
      <c r="T1728" s="68"/>
      <c r="U1728" s="68"/>
      <c r="V1728" s="198" t="str">
        <f t="shared" si="114"/>
        <v>10.1177--2515245918810225.pdf</v>
      </c>
      <c r="W1728" s="1300" t="s">
        <v>209</v>
      </c>
      <c r="X1728" s="54" t="str">
        <f t="array" ref="X1728"> if(iserror(MATCH(V1728, 'File Links'!C:C, 0)), "N/A", HYPERLINK(INDEX('File Links'!B:B, MATCH(V1728, 'File Links'!C:C, 0))))</f>
        <v>https://drive.google.com/file/d/1rGqHLpg3OEGQnWLvlAEJr7JSMWJ2p-Ar/view?usp=drivesdk</v>
      </c>
      <c r="Y1728" s="68"/>
      <c r="Z1728" s="159" t="s">
        <v>226</v>
      </c>
      <c r="AA1728" s="68"/>
      <c r="AB1728" s="159" t="s">
        <v>9982</v>
      </c>
      <c r="AC1728" s="159" t="s">
        <v>9988</v>
      </c>
      <c r="AD1728" s="159" t="s">
        <v>9989</v>
      </c>
      <c r="AE1728" s="156">
        <v>6.0</v>
      </c>
      <c r="AF1728" s="156">
        <v>218.0</v>
      </c>
      <c r="AG1728" s="159" t="s">
        <v>9990</v>
      </c>
      <c r="AH1728" s="159" t="s">
        <v>134</v>
      </c>
      <c r="AI1728" s="159" t="s">
        <v>140</v>
      </c>
      <c r="AJ1728" s="156">
        <v>0.001</v>
      </c>
      <c r="AK1728" s="159" t="s">
        <v>135</v>
      </c>
      <c r="AL1728" s="159" t="s">
        <v>186</v>
      </c>
      <c r="AM1728" s="68" t="s">
        <v>141</v>
      </c>
      <c r="AN1728" s="330" t="s">
        <v>138</v>
      </c>
      <c r="AO1728" s="1059">
        <v>5882.0</v>
      </c>
      <c r="AP1728" s="156">
        <v>-0.24</v>
      </c>
      <c r="AQ1728" s="159" t="s">
        <v>173</v>
      </c>
      <c r="AR1728" s="159" t="s">
        <v>1257</v>
      </c>
      <c r="AS1728" s="68"/>
      <c r="AT1728" s="68"/>
      <c r="AU1728" s="159" t="s">
        <v>186</v>
      </c>
      <c r="AV1728" s="68" t="s">
        <v>141</v>
      </c>
      <c r="AW1728" s="1119" t="s">
        <v>9588</v>
      </c>
      <c r="AX1728" s="68" t="s">
        <v>143</v>
      </c>
      <c r="AY1728" s="61" t="str">
        <f>IFERROR(__xludf.DUMMYFUNCTION("vlookup(BB1728,importrange(""https://docs.google.com/spreadsheets/d/1d2vevQ_7D_v35q4wCQ4RpQ_IPoTwEMB9Yp6ymwlPqew/edit?gid=984458430#gid=984458430"", ""'replication success'!A:K""), 11, FAlSE)"),"#N/A")</f>
        <v>#N/A</v>
      </c>
      <c r="AZ1728" s="61" t="str">
        <f>IFERROR(__xludf.DUMMYFUNCTION("vlookup(BB1728,importrange(""https://docs.google.com/spreadsheets/d/1d2vevQ_7D_v35q4wCQ4RpQ_IPoTwEMB9Yp6ymwlPqew/edit?gid=984458430#gid=984458430"", ""'replication success'!A:M""), 12, FAlSE)"),"#N/A")</f>
        <v>#N/A</v>
      </c>
      <c r="BA1728" s="61" t="str">
        <f>IFERROR(__xludf.DUMMYFUNCTION("vlookup(BB1728,importrange(""https://docs.google.com/spreadsheets/d/1d2vevQ_7D_v35q4wCQ4RpQ_IPoTwEMB9Yp6ymwlPqew/edit?gid=984458430#gid=984458430"", ""'replication success'!A:M""), 13, FAlSE)"),"#N/A")</f>
        <v>#N/A</v>
      </c>
      <c r="BB1728" s="61" t="str">
        <f>IFERROR(__xludf.DUMMYFUNCTION("REGEXREPLACE(G1728, ""_[a-z]{1,2}$"", """")"),"Manylabs2_27_1")</f>
        <v>Manylabs2_27_1</v>
      </c>
      <c r="BC1728" s="68"/>
      <c r="BD1728" s="68" t="s">
        <v>5074</v>
      </c>
    </row>
    <row r="1729">
      <c r="A1729" s="44">
        <v>1729.0</v>
      </c>
      <c r="B1729" s="68" t="s">
        <v>590</v>
      </c>
      <c r="C1729" s="62" t="s">
        <v>115</v>
      </c>
      <c r="D1729" s="62" t="s">
        <v>145</v>
      </c>
      <c r="F1729" s="68" t="s">
        <v>9978</v>
      </c>
      <c r="G1729" s="159" t="s">
        <v>9991</v>
      </c>
      <c r="H1729" s="678" t="s">
        <v>5592</v>
      </c>
      <c r="I1729" s="152">
        <v>45669.0</v>
      </c>
      <c r="J1729" s="152">
        <v>45693.0</v>
      </c>
      <c r="K1729" s="159" t="s">
        <v>9992</v>
      </c>
      <c r="L1729" s="481" t="s">
        <v>9993</v>
      </c>
      <c r="M1729" s="68" t="s">
        <v>9981</v>
      </c>
      <c r="N1729" s="68" t="s">
        <v>4449</v>
      </c>
      <c r="O1729" s="156">
        <v>5.0</v>
      </c>
      <c r="P1729" s="606" t="str">
        <f t="shared" si="118"/>
        <v>10.1177--0956797609359908.pdf</v>
      </c>
      <c r="Q1729" s="52" t="str">
        <f t="array" ref="Q1729"> if(iserror(MATCH(V1729, 'File Links'!C:C, 0)), "N/A", HYPERLINK(INDEX('File Links'!B:B, MATCH(P1729, 'File Links'!C:C, 0))))</f>
        <v>https://drive.google.com/file/d/1CX-X4yZPIliMfb05V-exrVifx5i5gyZu/view?usp=drivesdk</v>
      </c>
      <c r="R1729" s="1115" t="s">
        <v>9579</v>
      </c>
      <c r="S1729" s="1115" t="s">
        <v>9580</v>
      </c>
      <c r="T1729" s="68"/>
      <c r="U1729" s="68"/>
      <c r="V1729" s="198" t="str">
        <f t="shared" si="114"/>
        <v>10.1177--2515245918810225.pdf</v>
      </c>
      <c r="W1729" s="1300" t="s">
        <v>209</v>
      </c>
      <c r="X1729" s="54" t="str">
        <f t="array" ref="X1729"> if(iserror(MATCH(V1729, 'File Links'!C:C, 0)), "N/A", HYPERLINK(INDEX('File Links'!B:B, MATCH(V1729, 'File Links'!C:C, 0))))</f>
        <v>https://drive.google.com/file/d/1rGqHLpg3OEGQnWLvlAEJr7JSMWJ2p-Ar/view?usp=drivesdk</v>
      </c>
      <c r="Y1729" s="68"/>
      <c r="Z1729" s="159" t="s">
        <v>226</v>
      </c>
      <c r="AA1729" s="68"/>
      <c r="AB1729" s="159" t="s">
        <v>9982</v>
      </c>
      <c r="AC1729" s="159" t="s">
        <v>9994</v>
      </c>
      <c r="AD1729" s="159" t="s">
        <v>9995</v>
      </c>
      <c r="AE1729" s="156">
        <v>6.0</v>
      </c>
      <c r="AF1729" s="156">
        <v>218.0</v>
      </c>
      <c r="AG1729" s="159" t="s">
        <v>9996</v>
      </c>
      <c r="AH1729" s="159" t="s">
        <v>134</v>
      </c>
      <c r="AI1729" s="159" t="s">
        <v>140</v>
      </c>
      <c r="AJ1729" s="156">
        <v>0.48</v>
      </c>
      <c r="AK1729" s="159" t="s">
        <v>172</v>
      </c>
      <c r="AL1729" s="159" t="s">
        <v>186</v>
      </c>
      <c r="AM1729" s="68" t="s">
        <v>141</v>
      </c>
      <c r="AN1729" s="330" t="s">
        <v>138</v>
      </c>
      <c r="AO1729" s="1059">
        <v>5882.0</v>
      </c>
      <c r="AP1729" s="156">
        <v>-0.24</v>
      </c>
      <c r="AQ1729" s="159" t="s">
        <v>173</v>
      </c>
      <c r="AR1729" s="159" t="s">
        <v>1257</v>
      </c>
      <c r="AS1729" s="1061">
        <v>2.0E-16</v>
      </c>
      <c r="AT1729" s="159" t="s">
        <v>135</v>
      </c>
      <c r="AU1729" s="159" t="s">
        <v>186</v>
      </c>
      <c r="AV1729" s="68" t="s">
        <v>141</v>
      </c>
      <c r="AW1729" s="1119" t="s">
        <v>9588</v>
      </c>
      <c r="AX1729" s="68" t="s">
        <v>143</v>
      </c>
      <c r="AY1729" s="61" t="str">
        <f>IFERROR(__xludf.DUMMYFUNCTION("vlookup(BB1729,importrange(""https://docs.google.com/spreadsheets/d/1d2vevQ_7D_v35q4wCQ4RpQ_IPoTwEMB9Yp6ymwlPqew/edit?gid=984458430#gid=984458430"", ""'replication success'!A:K""), 11, FAlSE)"),"#N/A")</f>
        <v>#N/A</v>
      </c>
      <c r="AZ1729" s="61" t="str">
        <f>IFERROR(__xludf.DUMMYFUNCTION("vlookup(BB1729,importrange(""https://docs.google.com/spreadsheets/d/1d2vevQ_7D_v35q4wCQ4RpQ_IPoTwEMB9Yp6ymwlPqew/edit?gid=984458430#gid=984458430"", ""'replication success'!A:M""), 12, FAlSE)"),"#N/A")</f>
        <v>#N/A</v>
      </c>
      <c r="BA1729" s="61" t="str">
        <f>IFERROR(__xludf.DUMMYFUNCTION("vlookup(BB1729,importrange(""https://docs.google.com/spreadsheets/d/1d2vevQ_7D_v35q4wCQ4RpQ_IPoTwEMB9Yp6ymwlPqew/edit?gid=984458430#gid=984458430"", ""'replication success'!A:M""), 13, FAlSE)"),"#N/A")</f>
        <v>#N/A</v>
      </c>
      <c r="BB1729" s="61" t="str">
        <f>IFERROR(__xludf.DUMMYFUNCTION("REGEXREPLACE(G1729, ""_[a-z]{1,2}$"", """")"),"Manylabs2_27_1")</f>
        <v>Manylabs2_27_1</v>
      </c>
      <c r="BC1729" s="68"/>
      <c r="BD1729" s="68" t="s">
        <v>5074</v>
      </c>
    </row>
    <row r="1730">
      <c r="A1730" s="44">
        <v>1730.0</v>
      </c>
      <c r="B1730" s="68" t="s">
        <v>590</v>
      </c>
      <c r="C1730" s="62" t="s">
        <v>115</v>
      </c>
      <c r="D1730" s="62" t="s">
        <v>145</v>
      </c>
      <c r="F1730" s="68" t="s">
        <v>9978</v>
      </c>
      <c r="G1730" s="159" t="s">
        <v>9997</v>
      </c>
      <c r="H1730" s="678" t="s">
        <v>5592</v>
      </c>
      <c r="I1730" s="152">
        <v>45669.0</v>
      </c>
      <c r="J1730" s="152">
        <v>45693.0</v>
      </c>
      <c r="K1730" s="159" t="s">
        <v>9992</v>
      </c>
      <c r="L1730" s="481" t="s">
        <v>9993</v>
      </c>
      <c r="M1730" s="68" t="s">
        <v>9981</v>
      </c>
      <c r="N1730" s="68" t="s">
        <v>4449</v>
      </c>
      <c r="O1730" s="156">
        <v>5.0</v>
      </c>
      <c r="P1730" s="606" t="str">
        <f t="shared" si="118"/>
        <v>10.1177--0956797609359908.pdf</v>
      </c>
      <c r="Q1730" s="52" t="str">
        <f t="array" ref="Q1730"> if(iserror(MATCH(V1730, 'File Links'!C:C, 0)), "N/A", HYPERLINK(INDEX('File Links'!B:B, MATCH(P1730, 'File Links'!C:C, 0))))</f>
        <v>https://drive.google.com/file/d/1CX-X4yZPIliMfb05V-exrVifx5i5gyZu/view?usp=drivesdk</v>
      </c>
      <c r="R1730" s="1115" t="s">
        <v>9579</v>
      </c>
      <c r="S1730" s="1115" t="s">
        <v>9580</v>
      </c>
      <c r="T1730" s="68"/>
      <c r="U1730" s="68"/>
      <c r="V1730" s="198" t="str">
        <f t="shared" si="114"/>
        <v>10.1177--2515245918810225.pdf</v>
      </c>
      <c r="W1730" s="1300" t="s">
        <v>209</v>
      </c>
      <c r="X1730" s="54" t="str">
        <f t="array" ref="X1730"> if(iserror(MATCH(V1730, 'File Links'!C:C, 0)), "N/A", HYPERLINK(INDEX('File Links'!B:B, MATCH(V1730, 'File Links'!C:C, 0))))</f>
        <v>https://drive.google.com/file/d/1rGqHLpg3OEGQnWLvlAEJr7JSMWJ2p-Ar/view?usp=drivesdk</v>
      </c>
      <c r="Y1730" s="68"/>
      <c r="Z1730" s="159" t="s">
        <v>226</v>
      </c>
      <c r="AA1730" s="68"/>
      <c r="AB1730" s="159" t="s">
        <v>9982</v>
      </c>
      <c r="AC1730" s="159" t="s">
        <v>9998</v>
      </c>
      <c r="AD1730" s="159" t="s">
        <v>9999</v>
      </c>
      <c r="AE1730" s="156">
        <v>6.0</v>
      </c>
      <c r="AF1730" s="156">
        <v>218.0</v>
      </c>
      <c r="AG1730" s="159" t="s">
        <v>10000</v>
      </c>
      <c r="AH1730" s="159" t="s">
        <v>134</v>
      </c>
      <c r="AI1730" s="159" t="s">
        <v>140</v>
      </c>
      <c r="AJ1730" s="156">
        <v>0.05</v>
      </c>
      <c r="AK1730" s="159" t="s">
        <v>135</v>
      </c>
      <c r="AL1730" s="159" t="s">
        <v>186</v>
      </c>
      <c r="AM1730" s="68" t="s">
        <v>141</v>
      </c>
      <c r="AN1730" s="330" t="s">
        <v>138</v>
      </c>
      <c r="AO1730" s="1059">
        <v>5882.0</v>
      </c>
      <c r="AP1730" s="156">
        <v>-0.08</v>
      </c>
      <c r="AQ1730" s="159" t="s">
        <v>361</v>
      </c>
      <c r="AR1730" s="159" t="s">
        <v>1257</v>
      </c>
      <c r="AS1730" s="1061">
        <v>2.37E-5</v>
      </c>
      <c r="AT1730" s="159" t="s">
        <v>172</v>
      </c>
      <c r="AU1730" s="159" t="s">
        <v>186</v>
      </c>
      <c r="AV1730" s="68" t="s">
        <v>141</v>
      </c>
      <c r="AW1730" s="1119" t="s">
        <v>9588</v>
      </c>
      <c r="AX1730" s="68" t="s">
        <v>143</v>
      </c>
      <c r="AY1730" s="61" t="str">
        <f>IFERROR(__xludf.DUMMYFUNCTION("vlookup(BB1730,importrange(""https://docs.google.com/spreadsheets/d/1d2vevQ_7D_v35q4wCQ4RpQ_IPoTwEMB9Yp6ymwlPqew/edit?gid=984458430#gid=984458430"", ""'replication success'!A:K""), 11, FAlSE)"),"#N/A")</f>
        <v>#N/A</v>
      </c>
      <c r="AZ1730" s="61" t="str">
        <f>IFERROR(__xludf.DUMMYFUNCTION("vlookup(BB1730,importrange(""https://docs.google.com/spreadsheets/d/1d2vevQ_7D_v35q4wCQ4RpQ_IPoTwEMB9Yp6ymwlPqew/edit?gid=984458430#gid=984458430"", ""'replication success'!A:M""), 12, FAlSE)"),"#N/A")</f>
        <v>#N/A</v>
      </c>
      <c r="BA1730" s="61" t="str">
        <f>IFERROR(__xludf.DUMMYFUNCTION("vlookup(BB1730,importrange(""https://docs.google.com/spreadsheets/d/1d2vevQ_7D_v35q4wCQ4RpQ_IPoTwEMB9Yp6ymwlPqew/edit?gid=984458430#gid=984458430"", ""'replication success'!A:M""), 13, FAlSE)"),"#N/A")</f>
        <v>#N/A</v>
      </c>
      <c r="BB1730" s="61" t="str">
        <f>IFERROR(__xludf.DUMMYFUNCTION("REGEXREPLACE(G1730, ""_[a-z]{1,2}$"", """")"),"Manylabs2_27_1")</f>
        <v>Manylabs2_27_1</v>
      </c>
      <c r="BC1730" s="68"/>
      <c r="BD1730" s="68" t="s">
        <v>5074</v>
      </c>
    </row>
    <row r="1731">
      <c r="A1731" s="44">
        <v>1731.0</v>
      </c>
      <c r="B1731" s="68" t="s">
        <v>590</v>
      </c>
      <c r="C1731" s="62" t="s">
        <v>115</v>
      </c>
      <c r="D1731" s="62" t="s">
        <v>232</v>
      </c>
      <c r="F1731" s="68" t="s">
        <v>10001</v>
      </c>
      <c r="G1731" s="159" t="s">
        <v>10002</v>
      </c>
      <c r="H1731" s="159" t="s">
        <v>6940</v>
      </c>
      <c r="I1731" s="152">
        <v>45687.0</v>
      </c>
      <c r="J1731" s="152">
        <v>45693.0</v>
      </c>
      <c r="K1731" s="68"/>
      <c r="L1731" s="481" t="s">
        <v>10003</v>
      </c>
      <c r="M1731" s="159" t="s">
        <v>9981</v>
      </c>
      <c r="N1731" s="68" t="s">
        <v>4449</v>
      </c>
      <c r="O1731" s="156">
        <v>5.0</v>
      </c>
      <c r="P1731" s="606" t="str">
        <f t="shared" si="118"/>
        <v>10.1177--0956797609359908.pdf</v>
      </c>
      <c r="Q1731" s="52" t="str">
        <f t="array" ref="Q1731"> if(iserror(MATCH(V1731, 'File Links'!C:C, 0)), "N/A", HYPERLINK(INDEX('File Links'!B:B, MATCH(P1731, 'File Links'!C:C, 0))))</f>
        <v>https://drive.google.com/file/d/1CX-X4yZPIliMfb05V-exrVifx5i5gyZu/view?usp=drivesdk</v>
      </c>
      <c r="R1731" s="159" t="s">
        <v>9579</v>
      </c>
      <c r="S1731" s="159" t="s">
        <v>9580</v>
      </c>
      <c r="T1731" s="68"/>
      <c r="U1731" s="156">
        <v>32.0</v>
      </c>
      <c r="V1731" s="198" t="str">
        <f t="shared" si="114"/>
        <v>10.1177--2515245918810225.pdf</v>
      </c>
      <c r="W1731" s="68" t="s">
        <v>209</v>
      </c>
      <c r="X1731" s="54" t="str">
        <f t="array" ref="X1731"> if(iserror(MATCH(V1731, 'File Links'!C:C, 0)), "N/A", HYPERLINK(INDEX('File Links'!B:B, MATCH(V1731, 'File Links'!C:C, 0))))</f>
        <v>https://drive.google.com/file/d/1rGqHLpg3OEGQnWLvlAEJr7JSMWJ2p-Ar/view?usp=drivesdk</v>
      </c>
      <c r="Y1731" s="68"/>
      <c r="Z1731" s="1115" t="s">
        <v>226</v>
      </c>
      <c r="AA1731" s="68"/>
      <c r="AB1731" s="1115" t="s">
        <v>9982</v>
      </c>
      <c r="AC1731" s="159" t="s">
        <v>10004</v>
      </c>
      <c r="AD1731" s="159" t="s">
        <v>10005</v>
      </c>
      <c r="AE1731" s="68" t="s">
        <v>9985</v>
      </c>
      <c r="AF1731" s="156">
        <v>128.0</v>
      </c>
      <c r="AG1731" s="156">
        <v>0.34</v>
      </c>
      <c r="AH1731" s="159" t="s">
        <v>722</v>
      </c>
      <c r="AI1731" s="159" t="s">
        <v>9985</v>
      </c>
      <c r="AJ1731" s="156">
        <v>0.001</v>
      </c>
      <c r="AK1731" s="159" t="s">
        <v>135</v>
      </c>
      <c r="AL1731" s="159" t="s">
        <v>186</v>
      </c>
      <c r="AM1731" s="68" t="s">
        <v>141</v>
      </c>
      <c r="AN1731" s="330" t="s">
        <v>138</v>
      </c>
      <c r="AO1731" s="156">
        <v>122.0</v>
      </c>
      <c r="AP1731" s="156">
        <v>-0.03</v>
      </c>
      <c r="AQ1731" s="159" t="s">
        <v>173</v>
      </c>
      <c r="AR1731" s="159" t="s">
        <v>9986</v>
      </c>
      <c r="AS1731" s="156">
        <v>0.001</v>
      </c>
      <c r="AT1731" s="159" t="s">
        <v>135</v>
      </c>
      <c r="AU1731" s="159" t="s">
        <v>186</v>
      </c>
      <c r="AV1731" s="68" t="s">
        <v>137</v>
      </c>
      <c r="AW1731" s="435" t="s">
        <v>9588</v>
      </c>
      <c r="AX1731" s="68" t="s">
        <v>143</v>
      </c>
      <c r="AY1731" s="61" t="str">
        <f>IFERROR(__xludf.DUMMYFUNCTION("vlookup(BB1731,importrange(""https://docs.google.com/spreadsheets/d/1d2vevQ_7D_v35q4wCQ4RpQ_IPoTwEMB9Yp6ymwlPqew/edit?gid=984458430#gid=984458430"", ""'replication success'!A:K""), 11, FAlSE)"),"#N/A")</f>
        <v>#N/A</v>
      </c>
      <c r="AZ1731" s="61" t="str">
        <f>IFERROR(__xludf.DUMMYFUNCTION("vlookup(BB1731,importrange(""https://docs.google.com/spreadsheets/d/1d2vevQ_7D_v35q4wCQ4RpQ_IPoTwEMB9Yp6ymwlPqew/edit?gid=984458430#gid=984458430"", ""'replication success'!A:M""), 12, FAlSE)"),"#N/A")</f>
        <v>#N/A</v>
      </c>
      <c r="BA1731" s="61" t="str">
        <f>IFERROR(__xludf.DUMMYFUNCTION("vlookup(BB1731,importrange(""https://docs.google.com/spreadsheets/d/1d2vevQ_7D_v35q4wCQ4RpQ_IPoTwEMB9Yp6ymwlPqew/edit?gid=984458430#gid=984458430"", ""'replication success'!A:M""), 13, FAlSE)"),"#N/A")</f>
        <v>#N/A</v>
      </c>
      <c r="BB1731" s="61" t="str">
        <f>IFERROR(__xludf.DUMMYFUNCTION("REGEXREPLACE(G1731, ""_[a-z]{1,2}$"", """")"),"Manylabs2_28_1")</f>
        <v>Manylabs2_28_1</v>
      </c>
      <c r="BC1731" s="68"/>
      <c r="BD1731" s="68" t="s">
        <v>5074</v>
      </c>
    </row>
    <row r="1732">
      <c r="A1732" s="44">
        <v>1732.0</v>
      </c>
      <c r="B1732" s="68" t="s">
        <v>114</v>
      </c>
      <c r="C1732" s="62" t="s">
        <v>115</v>
      </c>
      <c r="D1732" s="62" t="s">
        <v>145</v>
      </c>
      <c r="F1732" s="68" t="s">
        <v>10001</v>
      </c>
      <c r="G1732" s="159" t="s">
        <v>10002</v>
      </c>
      <c r="H1732" s="678" t="s">
        <v>5592</v>
      </c>
      <c r="I1732" s="152">
        <v>45669.0</v>
      </c>
      <c r="J1732" s="152">
        <v>45693.0</v>
      </c>
      <c r="K1732" s="159" t="s">
        <v>10006</v>
      </c>
      <c r="L1732" s="159" t="s">
        <v>10007</v>
      </c>
      <c r="M1732" s="68" t="s">
        <v>9981</v>
      </c>
      <c r="N1732" s="68" t="s">
        <v>4449</v>
      </c>
      <c r="O1732" s="156">
        <v>5.0</v>
      </c>
      <c r="P1732" s="606" t="str">
        <f t="shared" si="118"/>
        <v>10.1177--0956797609359908.pdf</v>
      </c>
      <c r="Q1732" s="52" t="str">
        <f t="array" ref="Q1732"> if(iserror(MATCH(V1732, 'File Links'!C:C, 0)), "N/A", HYPERLINK(INDEX('File Links'!B:B, MATCH(P1732, 'File Links'!C:C, 0))))</f>
        <v>https://drive.google.com/file/d/1CX-X4yZPIliMfb05V-exrVifx5i5gyZu/view?usp=drivesdk</v>
      </c>
      <c r="R1732" s="1380" t="s">
        <v>6635</v>
      </c>
      <c r="S1732" s="88" t="s">
        <v>6636</v>
      </c>
      <c r="T1732" s="68"/>
      <c r="U1732" s="68"/>
      <c r="V1732" s="198" t="str">
        <f t="shared" si="114"/>
        <v>10.1126--science.aaf0918.pdf</v>
      </c>
      <c r="W1732" s="1300" t="s">
        <v>209</v>
      </c>
      <c r="X1732" s="54" t="str">
        <f t="array" ref="X1732"> if(iserror(MATCH(V1732, 'File Links'!C:C, 0)), "N/A", HYPERLINK(INDEX('File Links'!B:B, MATCH(V1732, 'File Links'!C:C, 0))))</f>
        <v>https://drive.google.com/file/d/1g2LUlGntoVWUQi433rats2xlfqkwajdf/view?usp=drivesdk</v>
      </c>
      <c r="Y1732" s="68"/>
      <c r="Z1732" s="159" t="s">
        <v>226</v>
      </c>
      <c r="AA1732" s="68"/>
      <c r="AB1732" s="159" t="s">
        <v>9982</v>
      </c>
      <c r="AC1732" s="68"/>
      <c r="AD1732" s="68"/>
      <c r="AE1732" s="68"/>
      <c r="AF1732" s="156">
        <v>218.0</v>
      </c>
      <c r="AG1732" s="68"/>
      <c r="AH1732" s="68"/>
      <c r="AI1732" s="68"/>
      <c r="AJ1732" s="68"/>
      <c r="AK1732" s="68"/>
      <c r="AL1732" s="68"/>
      <c r="AM1732" s="68"/>
      <c r="AN1732" s="330" t="s">
        <v>138</v>
      </c>
      <c r="AO1732" s="156">
        <v>5882.0</v>
      </c>
      <c r="AP1732" s="68"/>
      <c r="AQ1732" s="68"/>
      <c r="AR1732" s="68"/>
      <c r="AS1732" s="68"/>
      <c r="AT1732" s="68"/>
      <c r="AU1732" s="68"/>
      <c r="AV1732" s="68"/>
      <c r="AW1732" s="1119" t="s">
        <v>9588</v>
      </c>
      <c r="AX1732" s="68"/>
      <c r="AY1732" s="61" t="str">
        <f>IFERROR(__xludf.DUMMYFUNCTION("vlookup(BB1732,importrange(""https://docs.google.com/spreadsheets/d/1d2vevQ_7D_v35q4wCQ4RpQ_IPoTwEMB9Yp6ymwlPqew/edit?gid=984458430#gid=984458430"", ""'replication success'!A:K""), 11, FAlSE)"),"#N/A")</f>
        <v>#N/A</v>
      </c>
      <c r="AZ1732" s="61" t="str">
        <f>IFERROR(__xludf.DUMMYFUNCTION("vlookup(BB1732,importrange(""https://docs.google.com/spreadsheets/d/1d2vevQ_7D_v35q4wCQ4RpQ_IPoTwEMB9Yp6ymwlPqew/edit?gid=984458430#gid=984458430"", ""'replication success'!A:M""), 12, FAlSE)"),"#N/A")</f>
        <v>#N/A</v>
      </c>
      <c r="BA1732" s="61" t="str">
        <f>IFERROR(__xludf.DUMMYFUNCTION("vlookup(BB1732,importrange(""https://docs.google.com/spreadsheets/d/1d2vevQ_7D_v35q4wCQ4RpQ_IPoTwEMB9Yp6ymwlPqew/edit?gid=984458430#gid=984458430"", ""'replication success'!A:M""), 13, FAlSE)"),"#N/A")</f>
        <v>#N/A</v>
      </c>
      <c r="BB1732" s="61" t="str">
        <f>IFERROR(__xludf.DUMMYFUNCTION("REGEXREPLACE(G1732, ""_[a-z]{1,2}$"", """")"),"Manylabs2_28_1")</f>
        <v>Manylabs2_28_1</v>
      </c>
      <c r="BC1732" s="68"/>
      <c r="BD1732" s="68" t="s">
        <v>5074</v>
      </c>
    </row>
    <row r="1733">
      <c r="A1733" s="44">
        <v>1733.0</v>
      </c>
      <c r="B1733" s="68" t="s">
        <v>590</v>
      </c>
      <c r="C1733" s="62" t="s">
        <v>115</v>
      </c>
      <c r="D1733" s="62" t="s">
        <v>232</v>
      </c>
      <c r="F1733" s="68" t="s">
        <v>10008</v>
      </c>
      <c r="G1733" s="68" t="s">
        <v>10009</v>
      </c>
      <c r="H1733" s="159" t="s">
        <v>6940</v>
      </c>
      <c r="I1733" s="152">
        <v>45687.0</v>
      </c>
      <c r="J1733" s="152">
        <v>45693.0</v>
      </c>
      <c r="K1733" s="68"/>
      <c r="L1733" s="481" t="s">
        <v>10010</v>
      </c>
      <c r="M1733" s="159" t="s">
        <v>10011</v>
      </c>
      <c r="N1733" s="159" t="s">
        <v>10012</v>
      </c>
      <c r="O1733" s="156">
        <v>2.0</v>
      </c>
      <c r="P1733" s="606" t="str">
        <f t="shared" si="118"/>
        <v>10.1207-- s15516709cog2605_4.pdf</v>
      </c>
      <c r="Q1733" s="52" t="str">
        <f t="array" ref="Q1733"> if(iserror(MATCH(V1733, 'File Links'!C:C, 0)), "N/A", HYPERLINK(INDEX('File Links'!B:B, MATCH(P1733, 'File Links'!C:C, 0))))</f>
        <v>https://drive.google.com/file/d/1EqB8fMj26KyIHeW4JSKwYFh3F2LTTq5t/view?usp=drivesdk</v>
      </c>
      <c r="R1733" s="159" t="s">
        <v>9579</v>
      </c>
      <c r="S1733" s="159" t="s">
        <v>9580</v>
      </c>
      <c r="T1733" s="68"/>
      <c r="U1733" s="156">
        <v>10.0</v>
      </c>
      <c r="V1733" s="198" t="str">
        <f t="shared" si="114"/>
        <v>10.1177--2515245918810225.pdf</v>
      </c>
      <c r="W1733" s="68" t="s">
        <v>209</v>
      </c>
      <c r="X1733" s="54" t="str">
        <f t="array" ref="X1733"> if(iserror(MATCH(V1733, 'File Links'!C:C, 0)), "N/A", HYPERLINK(INDEX('File Links'!B:B, MATCH(V1733, 'File Links'!C:C, 0))))</f>
        <v>https://drive.google.com/file/d/1rGqHLpg3OEGQnWLvlAEJr7JSMWJ2p-Ar/view?usp=drivesdk</v>
      </c>
      <c r="Y1733" s="68"/>
      <c r="Z1733" s="1115" t="s">
        <v>148</v>
      </c>
      <c r="AA1733" s="68"/>
      <c r="AB1733" s="1115" t="s">
        <v>10013</v>
      </c>
      <c r="AC1733" s="159" t="s">
        <v>10014</v>
      </c>
      <c r="AD1733" s="159" t="s">
        <v>10015</v>
      </c>
      <c r="AE1733" s="159" t="s">
        <v>10016</v>
      </c>
      <c r="AF1733" s="156">
        <v>52.0</v>
      </c>
      <c r="AG1733" s="159" t="s">
        <v>10017</v>
      </c>
      <c r="AH1733" s="159" t="s">
        <v>134</v>
      </c>
      <c r="AI1733" s="159" t="s">
        <v>10016</v>
      </c>
      <c r="AJ1733" s="156">
        <v>0.005</v>
      </c>
      <c r="AK1733" s="159" t="s">
        <v>135</v>
      </c>
      <c r="AL1733" s="159" t="s">
        <v>186</v>
      </c>
      <c r="AM1733" s="68" t="s">
        <v>137</v>
      </c>
      <c r="AN1733" s="330" t="s">
        <v>138</v>
      </c>
      <c r="AO1733" s="156">
        <v>7396.0</v>
      </c>
      <c r="AP1733" s="156">
        <v>0.86</v>
      </c>
      <c r="AQ1733" s="159" t="s">
        <v>173</v>
      </c>
      <c r="AR1733" s="159" t="s">
        <v>10018</v>
      </c>
      <c r="AS1733" s="1093">
        <f>IFERROR(__xludf.DUMMYFUNCTION("3.04*10^-275"),3.0399999999999996E-275)</f>
        <v>0</v>
      </c>
      <c r="AT1733" s="159" t="s">
        <v>172</v>
      </c>
      <c r="AU1733" s="159" t="s">
        <v>186</v>
      </c>
      <c r="AV1733" s="68" t="s">
        <v>137</v>
      </c>
      <c r="AW1733" s="435" t="s">
        <v>9588</v>
      </c>
      <c r="AX1733" s="68" t="s">
        <v>143</v>
      </c>
      <c r="AY1733" s="61" t="str">
        <f>IFERROR(__xludf.DUMMYFUNCTION("vlookup(BB1733,importrange(""https://docs.google.com/spreadsheets/d/1d2vevQ_7D_v35q4wCQ4RpQ_IPoTwEMB9Yp6ymwlPqew/edit?gid=984458430#gid=984458430"", ""'replication success'!A:K""), 11, FAlSE)"),"#N/A")</f>
        <v>#N/A</v>
      </c>
      <c r="AZ1733" s="61" t="str">
        <f>IFERROR(__xludf.DUMMYFUNCTION("vlookup(BB1733,importrange(""https://docs.google.com/spreadsheets/d/1d2vevQ_7D_v35q4wCQ4RpQ_IPoTwEMB9Yp6ymwlPqew/edit?gid=984458430#gid=984458430"", ""'replication success'!A:M""), 12, FAlSE)"),"#N/A")</f>
        <v>#N/A</v>
      </c>
      <c r="BA1733" s="61" t="str">
        <f>IFERROR(__xludf.DUMMYFUNCTION("vlookup(BB1733,importrange(""https://docs.google.com/spreadsheets/d/1d2vevQ_7D_v35q4wCQ4RpQ_IPoTwEMB9Yp6ymwlPqew/edit?gid=984458430#gid=984458430"", ""'replication success'!A:M""), 13, FAlSE)"),"#N/A")</f>
        <v>#N/A</v>
      </c>
      <c r="BB1733" s="61" t="str">
        <f>IFERROR(__xludf.DUMMYFUNCTION("REGEXREPLACE(G1733, ""_[a-z]{1,2}$"", """")"),"Manylabs2_8_1")</f>
        <v>Manylabs2_8_1</v>
      </c>
      <c r="BC1733" s="68"/>
      <c r="BD1733" s="68" t="s">
        <v>5074</v>
      </c>
    </row>
    <row r="1734">
      <c r="A1734" s="44">
        <v>1734.0</v>
      </c>
      <c r="B1734" s="68" t="s">
        <v>590</v>
      </c>
      <c r="C1734" s="62" t="s">
        <v>115</v>
      </c>
      <c r="D1734" s="62" t="s">
        <v>232</v>
      </c>
      <c r="F1734" s="68" t="s">
        <v>10008</v>
      </c>
      <c r="G1734" s="68" t="s">
        <v>10019</v>
      </c>
      <c r="H1734" s="159" t="s">
        <v>6940</v>
      </c>
      <c r="I1734" s="152">
        <v>45687.0</v>
      </c>
      <c r="J1734" s="152">
        <v>45693.0</v>
      </c>
      <c r="K1734" s="159" t="s">
        <v>10010</v>
      </c>
      <c r="L1734" s="481" t="s">
        <v>10020</v>
      </c>
      <c r="M1734" s="159" t="s">
        <v>10021</v>
      </c>
      <c r="N1734" s="159" t="s">
        <v>10012</v>
      </c>
      <c r="O1734" s="156">
        <v>3.0</v>
      </c>
      <c r="P1734" s="606" t="str">
        <f t="shared" si="118"/>
        <v>10.1207-- s15516709cog2605_4.pdf</v>
      </c>
      <c r="Q1734" s="52" t="str">
        <f t="array" ref="Q1734"> if(iserror(MATCH(V1734, 'File Links'!C:C, 0)), "N/A", HYPERLINK(INDEX('File Links'!B:B, MATCH(P1734, 'File Links'!C:C, 0))))</f>
        <v>https://drive.google.com/file/d/1EqB8fMj26KyIHeW4JSKwYFh3F2LTTq5t/view?usp=drivesdk</v>
      </c>
      <c r="R1734" s="159" t="s">
        <v>9579</v>
      </c>
      <c r="S1734" s="159" t="s">
        <v>9580</v>
      </c>
      <c r="T1734" s="68"/>
      <c r="U1734" s="156">
        <v>11.0</v>
      </c>
      <c r="V1734" s="198" t="str">
        <f t="shared" si="114"/>
        <v>10.1177--2515245918810225.pdf</v>
      </c>
      <c r="W1734" s="68" t="s">
        <v>209</v>
      </c>
      <c r="X1734" s="54" t="str">
        <f t="array" ref="X1734"> if(iserror(MATCH(V1734, 'File Links'!C:C, 0)), "N/A", HYPERLINK(INDEX('File Links'!B:B, MATCH(V1734, 'File Links'!C:C, 0))))</f>
        <v>https://drive.google.com/file/d/1rGqHLpg3OEGQnWLvlAEJr7JSMWJ2p-Ar/view?usp=drivesdk</v>
      </c>
      <c r="Y1734" s="68"/>
      <c r="Z1734" s="1115" t="s">
        <v>148</v>
      </c>
      <c r="AA1734" s="68"/>
      <c r="AB1734" s="1115" t="s">
        <v>10013</v>
      </c>
      <c r="AC1734" s="159" t="s">
        <v>10022</v>
      </c>
      <c r="AD1734" s="159" t="s">
        <v>10023</v>
      </c>
      <c r="AE1734" s="159" t="s">
        <v>10024</v>
      </c>
      <c r="AF1734" s="156">
        <v>53.0</v>
      </c>
      <c r="AG1734" s="159" t="s">
        <v>10025</v>
      </c>
      <c r="AH1734" s="159" t="s">
        <v>134</v>
      </c>
      <c r="AI1734" s="159" t="s">
        <v>10024</v>
      </c>
      <c r="AJ1734" s="156">
        <v>0.05</v>
      </c>
      <c r="AK1734" s="159" t="s">
        <v>172</v>
      </c>
      <c r="AL1734" s="159" t="s">
        <v>186</v>
      </c>
      <c r="AM1734" s="68" t="s">
        <v>137</v>
      </c>
      <c r="AN1734" s="330" t="s">
        <v>138</v>
      </c>
      <c r="AO1734" s="156">
        <v>7396.0</v>
      </c>
      <c r="AP1734" s="156">
        <v>0.86</v>
      </c>
      <c r="AQ1734" s="159" t="s">
        <v>173</v>
      </c>
      <c r="AR1734" s="159" t="s">
        <v>10018</v>
      </c>
      <c r="AS1734" s="1093">
        <f>IFERROR(__xludf.DUMMYFUNCTION("3.04*10^-275"),3.0399999999999996E-275)</f>
        <v>0</v>
      </c>
      <c r="AT1734" s="159" t="s">
        <v>172</v>
      </c>
      <c r="AU1734" s="159" t="s">
        <v>186</v>
      </c>
      <c r="AV1734" s="68" t="s">
        <v>137</v>
      </c>
      <c r="AW1734" s="435" t="s">
        <v>9588</v>
      </c>
      <c r="AX1734" s="68" t="s">
        <v>143</v>
      </c>
      <c r="AY1734" s="61" t="str">
        <f>IFERROR(__xludf.DUMMYFUNCTION("vlookup(BB1734,importrange(""https://docs.google.com/spreadsheets/d/1d2vevQ_7D_v35q4wCQ4RpQ_IPoTwEMB9Yp6ymwlPqew/edit?gid=984458430#gid=984458430"", ""'replication success'!A:K""), 11, FAlSE)"),"#N/A")</f>
        <v>#N/A</v>
      </c>
      <c r="AZ1734" s="61" t="str">
        <f>IFERROR(__xludf.DUMMYFUNCTION("vlookup(BB1734,importrange(""https://docs.google.com/spreadsheets/d/1d2vevQ_7D_v35q4wCQ4RpQ_IPoTwEMB9Yp6ymwlPqew/edit?gid=984458430#gid=984458430"", ""'replication success'!A:M""), 12, FAlSE)"),"#N/A")</f>
        <v>#N/A</v>
      </c>
      <c r="BA1734" s="61" t="str">
        <f>IFERROR(__xludf.DUMMYFUNCTION("vlookup(BB1734,importrange(""https://docs.google.com/spreadsheets/d/1d2vevQ_7D_v35q4wCQ4RpQ_IPoTwEMB9Yp6ymwlPqew/edit?gid=984458430#gid=984458430"", ""'replication success'!A:M""), 13, FAlSE)"),"#N/A")</f>
        <v>#N/A</v>
      </c>
      <c r="BB1734" s="61" t="str">
        <f>IFERROR(__xludf.DUMMYFUNCTION("REGEXREPLACE(G1734, ""_[a-z]{1,2}$"", """")"),"Manylabs2_8_1")</f>
        <v>Manylabs2_8_1</v>
      </c>
      <c r="BC1734" s="68"/>
      <c r="BD1734" s="68" t="s">
        <v>5074</v>
      </c>
    </row>
    <row r="1735">
      <c r="A1735" s="44">
        <v>1735.0</v>
      </c>
      <c r="B1735" s="68" t="s">
        <v>590</v>
      </c>
      <c r="C1735" s="62" t="s">
        <v>115</v>
      </c>
      <c r="D1735" s="62" t="s">
        <v>145</v>
      </c>
      <c r="F1735" s="68" t="s">
        <v>10008</v>
      </c>
      <c r="G1735" s="159" t="s">
        <v>10009</v>
      </c>
      <c r="H1735" s="678" t="s">
        <v>5592</v>
      </c>
      <c r="I1735" s="152">
        <v>45673.0</v>
      </c>
      <c r="J1735" s="152">
        <v>45693.0</v>
      </c>
      <c r="K1735" s="159" t="s">
        <v>10026</v>
      </c>
      <c r="L1735" s="68"/>
      <c r="M1735" s="68" t="s">
        <v>10011</v>
      </c>
      <c r="N1735" s="68" t="s">
        <v>10012</v>
      </c>
      <c r="O1735" s="156">
        <v>2.0</v>
      </c>
      <c r="P1735" s="606" t="str">
        <f t="shared" si="118"/>
        <v>10.1207-- s15516709cog2605_4.pdf</v>
      </c>
      <c r="Q1735" s="52" t="str">
        <f t="array" ref="Q1735"> if(iserror(MATCH(V1735, 'File Links'!C:C, 0)), "N/A", HYPERLINK(INDEX('File Links'!B:B, MATCH(P1735, 'File Links'!C:C, 0))))</f>
        <v>https://drive.google.com/file/d/1EqB8fMj26KyIHeW4JSKwYFh3F2LTTq5t/view?usp=drivesdk</v>
      </c>
      <c r="R1735" s="1115" t="s">
        <v>9579</v>
      </c>
      <c r="S1735" s="1115" t="s">
        <v>9580</v>
      </c>
      <c r="T1735" s="68"/>
      <c r="U1735" s="1093">
        <v>10.0</v>
      </c>
      <c r="V1735" s="198" t="str">
        <f t="shared" si="114"/>
        <v>10.1177--2515245918810225.pdf</v>
      </c>
      <c r="W1735" s="1300" t="s">
        <v>209</v>
      </c>
      <c r="X1735" s="54" t="str">
        <f t="array" ref="X1735"> if(iserror(MATCH(V1735, 'File Links'!C:C, 0)), "N/A", HYPERLINK(INDEX('File Links'!B:B, MATCH(V1735, 'File Links'!C:C, 0))))</f>
        <v>https://drive.google.com/file/d/1rGqHLpg3OEGQnWLvlAEJr7JSMWJ2p-Ar/view?usp=drivesdk</v>
      </c>
      <c r="Y1735" s="68"/>
      <c r="Z1735" s="159" t="s">
        <v>148</v>
      </c>
      <c r="AA1735" s="68"/>
      <c r="AB1735" s="159" t="s">
        <v>10013</v>
      </c>
      <c r="AC1735" s="159" t="s">
        <v>10027</v>
      </c>
      <c r="AD1735" s="159" t="s">
        <v>10028</v>
      </c>
      <c r="AE1735" s="156">
        <v>16.0</v>
      </c>
      <c r="AF1735" s="156">
        <v>157.0</v>
      </c>
      <c r="AG1735" s="159" t="s">
        <v>10029</v>
      </c>
      <c r="AH1735" s="159" t="s">
        <v>134</v>
      </c>
      <c r="AI1735" s="159" t="s">
        <v>182</v>
      </c>
      <c r="AJ1735" s="156">
        <v>0.05</v>
      </c>
      <c r="AK1735" s="159" t="s">
        <v>135</v>
      </c>
      <c r="AL1735" s="159" t="s">
        <v>186</v>
      </c>
      <c r="AM1735" s="68" t="s">
        <v>137</v>
      </c>
      <c r="AN1735" s="330" t="s">
        <v>138</v>
      </c>
      <c r="AO1735" s="156">
        <v>7396.0</v>
      </c>
      <c r="AP1735" s="156">
        <v>0.86</v>
      </c>
      <c r="AQ1735" s="159" t="s">
        <v>173</v>
      </c>
      <c r="AR1735" s="159" t="s">
        <v>2413</v>
      </c>
      <c r="AS1735" s="1780">
        <v>3.04E-275</v>
      </c>
      <c r="AT1735" s="159" t="s">
        <v>172</v>
      </c>
      <c r="AU1735" s="159" t="s">
        <v>186</v>
      </c>
      <c r="AV1735" s="68" t="s">
        <v>137</v>
      </c>
      <c r="AW1735" s="1119" t="s">
        <v>9588</v>
      </c>
      <c r="AX1735" s="68" t="s">
        <v>143</v>
      </c>
      <c r="AY1735" s="61" t="str">
        <f>IFERROR(__xludf.DUMMYFUNCTION("vlookup(BB1735,importrange(""https://docs.google.com/spreadsheets/d/1d2vevQ_7D_v35q4wCQ4RpQ_IPoTwEMB9Yp6ymwlPqew/edit?gid=984458430#gid=984458430"", ""'replication success'!A:K""), 11, FAlSE)"),"#N/A")</f>
        <v>#N/A</v>
      </c>
      <c r="AZ1735" s="61" t="str">
        <f>IFERROR(__xludf.DUMMYFUNCTION("vlookup(BB1735,importrange(""https://docs.google.com/spreadsheets/d/1d2vevQ_7D_v35q4wCQ4RpQ_IPoTwEMB9Yp6ymwlPqew/edit?gid=984458430#gid=984458430"", ""'replication success'!A:M""), 12, FAlSE)"),"#N/A")</f>
        <v>#N/A</v>
      </c>
      <c r="BA1735" s="61" t="str">
        <f>IFERROR(__xludf.DUMMYFUNCTION("vlookup(BB1735,importrange(""https://docs.google.com/spreadsheets/d/1d2vevQ_7D_v35q4wCQ4RpQ_IPoTwEMB9Yp6ymwlPqew/edit?gid=984458430#gid=984458430"", ""'replication success'!A:M""), 13, FAlSE)"),"#N/A")</f>
        <v>#N/A</v>
      </c>
      <c r="BB1735" s="61" t="str">
        <f>IFERROR(__xludf.DUMMYFUNCTION("REGEXREPLACE(G1735, ""_[a-z]{1,2}$"", """")"),"Manylabs2_8_1")</f>
        <v>Manylabs2_8_1</v>
      </c>
      <c r="BC1735" s="68"/>
      <c r="BD1735" s="68" t="s">
        <v>5074</v>
      </c>
    </row>
    <row r="1736">
      <c r="A1736" s="44">
        <v>1736.0</v>
      </c>
      <c r="B1736" s="68" t="s">
        <v>114</v>
      </c>
      <c r="C1736" s="62" t="s">
        <v>115</v>
      </c>
      <c r="D1736" s="62" t="s">
        <v>145</v>
      </c>
      <c r="F1736" s="68" t="s">
        <v>10008</v>
      </c>
      <c r="G1736" s="159" t="s">
        <v>10019</v>
      </c>
      <c r="H1736" s="678" t="s">
        <v>5592</v>
      </c>
      <c r="I1736" s="152">
        <v>45673.0</v>
      </c>
      <c r="J1736" s="152">
        <v>45693.0</v>
      </c>
      <c r="K1736" s="159" t="s">
        <v>10030</v>
      </c>
      <c r="L1736" s="68"/>
      <c r="M1736" s="68" t="s">
        <v>10021</v>
      </c>
      <c r="N1736" s="68" t="s">
        <v>10012</v>
      </c>
      <c r="O1736" s="156">
        <v>3.0</v>
      </c>
      <c r="P1736" s="606" t="str">
        <f t="shared" si="118"/>
        <v>10.1207-- s15516709cog2605_4.pdf</v>
      </c>
      <c r="Q1736" s="52" t="str">
        <f t="array" ref="Q1736"> if(iserror(MATCH(V1736, 'File Links'!C:C, 0)), "N/A", HYPERLINK(INDEX('File Links'!B:B, MATCH(P1736, 'File Links'!C:C, 0))))</f>
        <v>https://drive.google.com/file/d/1EqB8fMj26KyIHeW4JSKwYFh3F2LTTq5t/view?usp=drivesdk</v>
      </c>
      <c r="R1736" s="1115" t="s">
        <v>9579</v>
      </c>
      <c r="S1736" s="1115" t="s">
        <v>9580</v>
      </c>
      <c r="T1736" s="68"/>
      <c r="U1736" s="1093">
        <v>11.0</v>
      </c>
      <c r="V1736" s="198" t="str">
        <f t="shared" si="114"/>
        <v>10.1177--2515245918810225.pdf</v>
      </c>
      <c r="W1736" s="1300" t="s">
        <v>209</v>
      </c>
      <c r="X1736" s="54" t="str">
        <f t="array" ref="X1736"> if(iserror(MATCH(V1736, 'File Links'!C:C, 0)), "N/A", HYPERLINK(INDEX('File Links'!B:B, MATCH(V1736, 'File Links'!C:C, 0))))</f>
        <v>https://drive.google.com/file/d/1rGqHLpg3OEGQnWLvlAEJr7JSMWJ2p-Ar/view?usp=drivesdk</v>
      </c>
      <c r="Y1736" s="68"/>
      <c r="Z1736" s="159" t="s">
        <v>148</v>
      </c>
      <c r="AA1736" s="68"/>
      <c r="AB1736" s="159" t="s">
        <v>10013</v>
      </c>
      <c r="AC1736" s="68"/>
      <c r="AD1736" s="68"/>
      <c r="AE1736" s="68"/>
      <c r="AF1736" s="68"/>
      <c r="AG1736" s="68"/>
      <c r="AH1736" s="68"/>
      <c r="AI1736" s="68"/>
      <c r="AJ1736" s="68"/>
      <c r="AK1736" s="68"/>
      <c r="AL1736" s="68"/>
      <c r="AM1736" s="68"/>
      <c r="AN1736" s="330" t="s">
        <v>138</v>
      </c>
      <c r="AO1736" s="68"/>
      <c r="AP1736" s="68"/>
      <c r="AQ1736" s="68"/>
      <c r="AR1736" s="68"/>
      <c r="AS1736" s="68"/>
      <c r="AT1736" s="68"/>
      <c r="AU1736" s="68"/>
      <c r="AV1736" s="68"/>
      <c r="AW1736" s="1119" t="s">
        <v>9588</v>
      </c>
      <c r="AX1736" s="68"/>
      <c r="AY1736" s="61" t="str">
        <f>IFERROR(__xludf.DUMMYFUNCTION("vlookup(BB1736,importrange(""https://docs.google.com/spreadsheets/d/1d2vevQ_7D_v35q4wCQ4RpQ_IPoTwEMB9Yp6ymwlPqew/edit?gid=984458430#gid=984458430"", ""'replication success'!A:K""), 11, FAlSE)"),"#N/A")</f>
        <v>#N/A</v>
      </c>
      <c r="AZ1736" s="61" t="str">
        <f>IFERROR(__xludf.DUMMYFUNCTION("vlookup(BB1736,importrange(""https://docs.google.com/spreadsheets/d/1d2vevQ_7D_v35q4wCQ4RpQ_IPoTwEMB9Yp6ymwlPqew/edit?gid=984458430#gid=984458430"", ""'replication success'!A:M""), 12, FAlSE)"),"#N/A")</f>
        <v>#N/A</v>
      </c>
      <c r="BA1736" s="61" t="str">
        <f>IFERROR(__xludf.DUMMYFUNCTION("vlookup(BB1736,importrange(""https://docs.google.com/spreadsheets/d/1d2vevQ_7D_v35q4wCQ4RpQ_IPoTwEMB9Yp6ymwlPqew/edit?gid=984458430#gid=984458430"", ""'replication success'!A:M""), 13, FAlSE)"),"#N/A")</f>
        <v>#N/A</v>
      </c>
      <c r="BB1736" s="61" t="str">
        <f>IFERROR(__xludf.DUMMYFUNCTION("REGEXREPLACE(G1736, ""_[a-z]{1,2}$"", """")"),"Manylabs2_8_1")</f>
        <v>Manylabs2_8_1</v>
      </c>
      <c r="BC1736" s="68"/>
      <c r="BD1736" s="68" t="s">
        <v>5074</v>
      </c>
    </row>
    <row r="1737">
      <c r="A1737" s="44">
        <v>1737.0</v>
      </c>
      <c r="B1737" s="129" t="s">
        <v>152</v>
      </c>
      <c r="C1737" s="62" t="s">
        <v>115</v>
      </c>
      <c r="D1737" s="62" t="s">
        <v>232</v>
      </c>
      <c r="F1737" s="68" t="s">
        <v>10031</v>
      </c>
      <c r="G1737" s="68" t="s">
        <v>10032</v>
      </c>
      <c r="H1737" s="159" t="s">
        <v>6940</v>
      </c>
      <c r="I1737" s="152">
        <v>45687.0</v>
      </c>
      <c r="J1737" s="152">
        <v>45693.0</v>
      </c>
      <c r="K1737" s="68"/>
      <c r="L1737" s="159" t="s">
        <v>10033</v>
      </c>
      <c r="M1737" s="159" t="s">
        <v>10034</v>
      </c>
      <c r="N1737" s="159" t="s">
        <v>10035</v>
      </c>
      <c r="O1737" s="156">
        <v>1.0</v>
      </c>
      <c r="P1737" s="606" t="str">
        <f>lower("10.1002--(SICI)1099-0771(199806)11_2_3C107_AID-BDM292_3E3.0.CO_2-Y.pdf")</f>
        <v>10.1002--(sici)1099-0771(199806)11_2_3c107_aid-bdm292_3e3.0.co_2-y.pdf</v>
      </c>
      <c r="Q1737" s="108" t="str">
        <f t="array" ref="Q1737"> if(iserror(MATCH(V1737, 'File Links'!C:C, 0)), "N/A", HYPERLINK(INDEX('File Links'!B:B, MATCH(P1737, 'File Links'!C:C, 0))))</f>
        <v>#N/A</v>
      </c>
      <c r="R1737" s="159" t="s">
        <v>9579</v>
      </c>
      <c r="S1737" s="159" t="s">
        <v>9580</v>
      </c>
      <c r="T1737" s="68"/>
      <c r="U1737" s="156">
        <v>12.0</v>
      </c>
      <c r="V1737" s="198" t="str">
        <f t="shared" si="114"/>
        <v>10.1177--2515245918810225.pdf</v>
      </c>
      <c r="W1737" s="68" t="s">
        <v>209</v>
      </c>
      <c r="X1737" s="54" t="str">
        <f t="array" ref="X1737"> if(iserror(MATCH(V1737, 'File Links'!C:C, 0)), "N/A", HYPERLINK(INDEX('File Links'!B:B, MATCH(V1737, 'File Links'!C:C, 0))))</f>
        <v>https://drive.google.com/file/d/1rGqHLpg3OEGQnWLvlAEJr7JSMWJ2p-Ar/view?usp=drivesdk</v>
      </c>
      <c r="Y1737" s="68"/>
      <c r="Z1737" s="1115" t="s">
        <v>210</v>
      </c>
      <c r="AA1737" s="159" t="s">
        <v>10036</v>
      </c>
      <c r="AB1737" s="1115" t="s">
        <v>10037</v>
      </c>
      <c r="AC1737" s="1116" t="s">
        <v>10038</v>
      </c>
      <c r="AD1737" s="151" t="s">
        <v>10039</v>
      </c>
      <c r="AE1737" s="159" t="s">
        <v>10040</v>
      </c>
      <c r="AF1737" s="156">
        <v>83.0</v>
      </c>
      <c r="AG1737" s="159" t="s">
        <v>10041</v>
      </c>
      <c r="AH1737" s="159" t="s">
        <v>134</v>
      </c>
      <c r="AI1737" s="159" t="s">
        <v>10040</v>
      </c>
      <c r="AJ1737" s="156">
        <v>0.01</v>
      </c>
      <c r="AK1737" s="159" t="s">
        <v>135</v>
      </c>
      <c r="AL1737" s="159" t="s">
        <v>186</v>
      </c>
      <c r="AM1737" s="68" t="s">
        <v>137</v>
      </c>
      <c r="AN1737" s="330" t="s">
        <v>138</v>
      </c>
      <c r="AO1737" s="156">
        <v>7646.0</v>
      </c>
      <c r="AP1737" s="156">
        <v>0.78</v>
      </c>
      <c r="AQ1737" s="159" t="s">
        <v>173</v>
      </c>
      <c r="AR1737" s="159" t="s">
        <v>9709</v>
      </c>
      <c r="AS1737" s="1093">
        <f>IFERROR(__xludf.DUMMYFUNCTION("5.5*10^-236"),5.5000000000000005E-236)</f>
        <v>0</v>
      </c>
      <c r="AT1737" s="1115" t="s">
        <v>172</v>
      </c>
      <c r="AU1737" s="159" t="s">
        <v>186</v>
      </c>
      <c r="AV1737" s="68" t="s">
        <v>137</v>
      </c>
      <c r="AW1737" s="435" t="s">
        <v>9588</v>
      </c>
      <c r="AX1737" s="68" t="s">
        <v>143</v>
      </c>
      <c r="AY1737" s="61" t="str">
        <f>IFERROR(__xludf.DUMMYFUNCTION("vlookup(BB1737,importrange(""https://docs.google.com/spreadsheets/d/1d2vevQ_7D_v35q4wCQ4RpQ_IPoTwEMB9Yp6ymwlPqew/edit?gid=984458430#gid=984458430"", ""'replication success'!A:K""), 11, FAlSE)"),"failed")</f>
        <v>failed</v>
      </c>
      <c r="AZ1737" s="61" t="str">
        <f>IFERROR(__xludf.DUMMYFUNCTION("vlookup(BB1737,importrange(""https://docs.google.com/spreadsheets/d/1d2vevQ_7D_v35q4wCQ4RpQ_IPoTwEMB9Yp6ymwlPqew/edit?gid=984458430#gid=984458430"", ""'replication success'!A:M""), 12, FAlSE)"),"The difference was significant, p =
.002, odds ratio (OR) = 0.87, d = −0.08, 95% CI = [−0.13,
−0.03], but in the direction opposite the prediction of
the hypothesis (i.e., that affectively attractive choices
are more preferred when they are uncertain "&amp;"rather than
definite). The overall effect was much smaller than in
the original study and in the opposite direction (d =
−0.08, 95% CI = [−0.13, −0.03], vs. original d = 0.74).")</f>
        <v>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v>
      </c>
      <c r="BA1737" s="61" t="str">
        <f>IFERROR(__xludf.DUMMYFUNCTION("vlookup(BB1737,importrange(""https://docs.google.com/spreadsheets/d/1d2vevQ_7D_v35q4wCQ4RpQ_IPoTwEMB9Yp6ymwlPqew/edit?gid=984458430#gid=984458430"", ""'replication success'!A:M""), 13, FAlSE)"),"pg. 14")</f>
        <v>pg. 14</v>
      </c>
      <c r="BB1737" s="61" t="str">
        <f>IFERROR(__xludf.DUMMYFUNCTION("REGEXREPLACE(G1737, ""_[a-z]{1,2}$"", """")"),"Manylabs2_9_1")</f>
        <v>Manylabs2_9_1</v>
      </c>
      <c r="BC1737" s="68"/>
      <c r="BD1737" s="129" t="s">
        <v>6985</v>
      </c>
    </row>
    <row r="1738">
      <c r="A1738" s="44">
        <v>1738.0</v>
      </c>
      <c r="B1738" s="68" t="s">
        <v>114</v>
      </c>
      <c r="C1738" s="62" t="s">
        <v>115</v>
      </c>
      <c r="D1738" s="62" t="s">
        <v>145</v>
      </c>
      <c r="F1738" s="68" t="s">
        <v>10031</v>
      </c>
      <c r="G1738" s="159" t="s">
        <v>10032</v>
      </c>
      <c r="H1738" s="678" t="s">
        <v>5592</v>
      </c>
      <c r="I1738" s="152">
        <v>45672.0</v>
      </c>
      <c r="J1738" s="152">
        <v>45693.0</v>
      </c>
      <c r="K1738" s="68"/>
      <c r="L1738" s="68"/>
      <c r="M1738" s="68" t="s">
        <v>10034</v>
      </c>
      <c r="N1738" s="68" t="s">
        <v>10035</v>
      </c>
      <c r="O1738" s="156">
        <v>1.0</v>
      </c>
      <c r="P1738" s="606" t="str">
        <f>SUBSTITUTE(LOWER(N1738), "/", "--") &amp;  ".pdf"</f>
        <v>10.1002--(sici)1099-0771(199806)11:2%3c107::aid-bdm292%3e3.0.co;2-y.pdf</v>
      </c>
      <c r="Q1738" s="108" t="str">
        <f t="array" ref="Q1738"> if(iserror(MATCH(V1738, 'File Links'!C:C, 0)), "N/A", HYPERLINK(INDEX('File Links'!B:B, MATCH(P1738, 'File Links'!C:C, 0))))</f>
        <v>#N/A</v>
      </c>
      <c r="R1738" s="1115" t="s">
        <v>9579</v>
      </c>
      <c r="S1738" s="1115" t="s">
        <v>9580</v>
      </c>
      <c r="T1738" s="68"/>
      <c r="U1738" s="68"/>
      <c r="V1738" s="198" t="str">
        <f t="shared" si="114"/>
        <v>10.1177--2515245918810225.pdf</v>
      </c>
      <c r="W1738" s="1300" t="s">
        <v>209</v>
      </c>
      <c r="X1738" s="54" t="str">
        <f t="array" ref="X1738"> if(iserror(MATCH(V1738, 'File Links'!C:C, 0)), "N/A", HYPERLINK(INDEX('File Links'!B:B, MATCH(V1738, 'File Links'!C:C, 0))))</f>
        <v>https://drive.google.com/file/d/1rGqHLpg3OEGQnWLvlAEJr7JSMWJ2p-Ar/view?usp=drivesdk</v>
      </c>
      <c r="Y1738" s="68"/>
      <c r="Z1738" s="159" t="s">
        <v>210</v>
      </c>
      <c r="AA1738" s="159" t="s">
        <v>10036</v>
      </c>
      <c r="AB1738" s="159" t="s">
        <v>10037</v>
      </c>
      <c r="AC1738" s="159" t="s">
        <v>10042</v>
      </c>
      <c r="AD1738" s="159" t="s">
        <v>10043</v>
      </c>
      <c r="AE1738" s="156">
        <v>3.0</v>
      </c>
      <c r="AF1738" s="156">
        <v>83.0</v>
      </c>
      <c r="AG1738" s="159" t="s">
        <v>10044</v>
      </c>
      <c r="AH1738" s="159" t="s">
        <v>134</v>
      </c>
      <c r="AI1738" s="159" t="s">
        <v>217</v>
      </c>
      <c r="AJ1738" s="156">
        <v>0.01</v>
      </c>
      <c r="AK1738" s="159" t="s">
        <v>135</v>
      </c>
      <c r="AL1738" s="159" t="s">
        <v>186</v>
      </c>
      <c r="AM1738" s="68" t="s">
        <v>137</v>
      </c>
      <c r="AN1738" s="330" t="s">
        <v>138</v>
      </c>
      <c r="AO1738" s="156">
        <v>7646.0</v>
      </c>
      <c r="AP1738" s="156">
        <v>0.78</v>
      </c>
      <c r="AQ1738" s="159" t="s">
        <v>173</v>
      </c>
      <c r="AR1738" s="159" t="s">
        <v>9321</v>
      </c>
      <c r="AS1738" s="1061">
        <v>4.5E-236</v>
      </c>
      <c r="AT1738" s="159" t="s">
        <v>172</v>
      </c>
      <c r="AU1738" s="159" t="s">
        <v>186</v>
      </c>
      <c r="AV1738" s="68" t="s">
        <v>137</v>
      </c>
      <c r="AW1738" s="1119" t="s">
        <v>9588</v>
      </c>
      <c r="AX1738" s="68" t="s">
        <v>143</v>
      </c>
      <c r="AY1738" s="61" t="str">
        <f>IFERROR(__xludf.DUMMYFUNCTION("vlookup(BB1738,importrange(""https://docs.google.com/spreadsheets/d/1d2vevQ_7D_v35q4wCQ4RpQ_IPoTwEMB9Yp6ymwlPqew/edit?gid=984458430#gid=984458430"", ""'replication success'!A:K""), 11, FAlSE)"),"failed")</f>
        <v>failed</v>
      </c>
      <c r="AZ1738" s="61" t="str">
        <f>IFERROR(__xludf.DUMMYFUNCTION("vlookup(BB1738,importrange(""https://docs.google.com/spreadsheets/d/1d2vevQ_7D_v35q4wCQ4RpQ_IPoTwEMB9Yp6ymwlPqew/edit?gid=984458430#gid=984458430"", ""'replication success'!A:M""), 12, FAlSE)"),"The difference was significant, p =
.002, odds ratio (OR) = 0.87, d = −0.08, 95% CI = [−0.13,
−0.03], but in the direction opposite the prediction of
the hypothesis (i.e., that affectively attractive choices
are more preferred when they are uncertain "&amp;"rather than
definite). The overall effect was much smaller than in
the original study and in the opposite direction (d =
−0.08, 95% CI = [−0.13, −0.03], vs. original d = 0.74).")</f>
        <v>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v>
      </c>
      <c r="BA1738" s="61" t="str">
        <f>IFERROR(__xludf.DUMMYFUNCTION("vlookup(BB1738,importrange(""https://docs.google.com/spreadsheets/d/1d2vevQ_7D_v35q4wCQ4RpQ_IPoTwEMB9Yp6ymwlPqew/edit?gid=984458430#gid=984458430"", ""'replication success'!A:M""), 13, FAlSE)"),"pg. 14")</f>
        <v>pg. 14</v>
      </c>
      <c r="BB1738" s="61" t="str">
        <f>IFERROR(__xludf.DUMMYFUNCTION("REGEXREPLACE(G1738, ""_[a-z]{1,2}$"", """")"),"Manylabs2_9_1")</f>
        <v>Manylabs2_9_1</v>
      </c>
      <c r="BC1738" s="68"/>
      <c r="BD1738" s="68" t="s">
        <v>5074</v>
      </c>
    </row>
    <row r="1739">
      <c r="A1739" s="44">
        <v>1739.0</v>
      </c>
      <c r="B1739" s="1781" t="s">
        <v>114</v>
      </c>
      <c r="C1739" s="1782" t="s">
        <v>115</v>
      </c>
      <c r="D1739" s="1782" t="s">
        <v>248</v>
      </c>
      <c r="E1739" s="1783"/>
      <c r="F1739" s="1781" t="s">
        <v>10045</v>
      </c>
      <c r="G1739" s="1781" t="s">
        <v>10046</v>
      </c>
      <c r="H1739" s="1784" t="s">
        <v>249</v>
      </c>
      <c r="I1739" s="1785">
        <v>45754.0</v>
      </c>
      <c r="J1739" s="1786">
        <v>45765.0</v>
      </c>
      <c r="K1739" s="1784" t="s">
        <v>10047</v>
      </c>
      <c r="L1739" s="1781" t="s">
        <v>10048</v>
      </c>
      <c r="M1739" s="1781" t="s">
        <v>10049</v>
      </c>
      <c r="N1739" s="1781" t="s">
        <v>10050</v>
      </c>
      <c r="O1739" s="1787">
        <v>1.0</v>
      </c>
      <c r="P1739" s="1788" t="s">
        <v>10051</v>
      </c>
      <c r="Q1739" s="108" t="str">
        <f t="array" ref="Q1739"> if(iserror(MATCH(V1739, 'File Links'!C:C, 0)), "N/A", HYPERLINK(INDEX('File Links'!B:B, MATCH(P1739, 'File Links'!C:C, 0))))</f>
        <v>N/A</v>
      </c>
      <c r="R1739" s="1789" t="s">
        <v>10052</v>
      </c>
      <c r="S1739" s="1781" t="s">
        <v>10053</v>
      </c>
      <c r="T1739" s="1790"/>
      <c r="U1739" s="1791"/>
      <c r="V1739" s="1784" t="s">
        <v>10054</v>
      </c>
      <c r="W1739" s="1792"/>
      <c r="X1739" s="49" t="str">
        <f t="array" ref="X1739"> if(iserror(MATCH(V1739, 'File Links'!C:C, 0)), "N/A", HYPERLINK(INDEX('File Links'!B:B, MATCH(V1739, 'File Links'!C:C, 0))))</f>
        <v>N/A</v>
      </c>
      <c r="Y1739" s="1793"/>
      <c r="Z1739" s="1784" t="s">
        <v>2079</v>
      </c>
      <c r="AA1739" s="371" t="s">
        <v>10055</v>
      </c>
      <c r="AB1739" s="1784" t="s">
        <v>10056</v>
      </c>
      <c r="AC1739" s="1784" t="s">
        <v>10057</v>
      </c>
      <c r="AD1739" s="380" t="s">
        <v>10058</v>
      </c>
      <c r="AE1739" s="1784" t="s">
        <v>10059</v>
      </c>
      <c r="AF1739" s="1794">
        <v>171.0</v>
      </c>
      <c r="AG1739" s="1794">
        <v>0.623</v>
      </c>
      <c r="AH1739" s="1784" t="s">
        <v>215</v>
      </c>
      <c r="AI1739" s="1784" t="s">
        <v>10060</v>
      </c>
      <c r="AJ1739" s="1794">
        <v>0.001</v>
      </c>
      <c r="AK1739" s="1784" t="s">
        <v>135</v>
      </c>
      <c r="AL1739" s="1784" t="s">
        <v>186</v>
      </c>
      <c r="AM1739" s="1781" t="s">
        <v>137</v>
      </c>
      <c r="AN1739" s="1781" t="s">
        <v>138</v>
      </c>
      <c r="AO1739" s="1794">
        <v>823.0</v>
      </c>
      <c r="AP1739" s="1795">
        <v>0.244</v>
      </c>
      <c r="AQ1739" s="1784" t="s">
        <v>215</v>
      </c>
      <c r="AR1739" s="1784" t="s">
        <v>10061</v>
      </c>
      <c r="AS1739" s="1794">
        <v>0.001</v>
      </c>
      <c r="AT1739" s="1784" t="s">
        <v>135</v>
      </c>
      <c r="AU1739" s="1784" t="s">
        <v>186</v>
      </c>
      <c r="AV1739" s="1781" t="s">
        <v>137</v>
      </c>
      <c r="AW1739" s="1796" t="s">
        <v>10062</v>
      </c>
      <c r="AX1739" s="1781" t="s">
        <v>143</v>
      </c>
      <c r="AY1739" s="61" t="str">
        <f>IFERROR(__xludf.DUMMYFUNCTION("vlookup(BB1739,importrange(""https://docs.google.com/spreadsheets/d/1d2vevQ_7D_v35q4wCQ4RpQ_IPoTwEMB9Yp6ymwlPqew/edit?gid=984458430#gid=984458430"", ""'replication success'!A:K""), 11, FAlSE)"),"successful")</f>
        <v>successful</v>
      </c>
      <c r="AZ1739" s="61" t="str">
        <f>IFERROR(__xludf.DUMMYFUNCTION("vlookup(BB1739,importrange(""https://docs.google.com/spreadsheets/d/1d2vevQ_7D_v35q4wCQ4RpQ_IPoTwEMB9Yp6ymwlPqew/edit?gid=984458430#gid=984458430"",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39" s="61" t="str">
        <f>IFERROR(__xludf.DUMMYFUNCTION("vlookup(BB1739,importrange(""https://docs.google.com/spreadsheets/d/1d2vevQ_7D_v35q4wCQ4RpQ_IPoTwEMB9Yp6ymwlPqew/edit?gid=984458430#gid=984458430"", ""'replication success'!A:M""), 13, FAlSE)"),"pg. 5")</f>
        <v>pg. 5</v>
      </c>
      <c r="BB1739" s="61" t="str">
        <f>IFERROR(__xludf.DUMMYFUNCTION("REGEXREPLACE(G1739, ""_[a-z]{1,2}$"", """")"),"OpenMKT1")</f>
        <v>OpenMKT1</v>
      </c>
      <c r="BC1739" s="1783"/>
      <c r="BD1739" s="1782" t="s">
        <v>7943</v>
      </c>
    </row>
    <row r="1740">
      <c r="A1740" s="44">
        <v>1740.0</v>
      </c>
      <c r="B1740" s="129" t="s">
        <v>114</v>
      </c>
      <c r="C1740" s="62" t="s">
        <v>115</v>
      </c>
      <c r="D1740" s="62" t="s">
        <v>248</v>
      </c>
      <c r="F1740" s="129" t="s">
        <v>10045</v>
      </c>
      <c r="G1740" s="129" t="s">
        <v>10063</v>
      </c>
      <c r="H1740" s="151" t="s">
        <v>249</v>
      </c>
      <c r="I1740" s="153">
        <v>45754.0</v>
      </c>
      <c r="J1740" s="1786">
        <v>45765.0</v>
      </c>
      <c r="K1740" s="151" t="s">
        <v>10064</v>
      </c>
      <c r="L1740" s="1781" t="s">
        <v>10048</v>
      </c>
      <c r="M1740" s="129" t="s">
        <v>10049</v>
      </c>
      <c r="N1740" s="129" t="s">
        <v>10050</v>
      </c>
      <c r="O1740" s="501">
        <v>1.0</v>
      </c>
      <c r="P1740" s="528" t="s">
        <v>10051</v>
      </c>
      <c r="Q1740" s="108" t="str">
        <f t="array" ref="Q1740"> if(iserror(MATCH(V1740, 'File Links'!C:C, 0)), "N/A", HYPERLINK(INDEX('File Links'!B:B, MATCH(P1740, 'File Links'!C:C, 0))))</f>
        <v>N/A</v>
      </c>
      <c r="R1740" s="1697" t="s">
        <v>10052</v>
      </c>
      <c r="S1740" s="129" t="s">
        <v>10053</v>
      </c>
      <c r="T1740" s="1379"/>
      <c r="U1740" s="336"/>
      <c r="V1740" s="151" t="s">
        <v>10054</v>
      </c>
      <c r="W1740" s="159"/>
      <c r="X1740" s="49" t="str">
        <f t="array" ref="X1740"> if(iserror(MATCH(V1740, 'File Links'!C:C, 0)), "N/A", HYPERLINK(INDEX('File Links'!B:B, MATCH(V1740, 'File Links'!C:C, 0))))</f>
        <v>N/A</v>
      </c>
      <c r="Y1740" s="68"/>
      <c r="Z1740" s="151" t="s">
        <v>2079</v>
      </c>
      <c r="AA1740" s="371" t="s">
        <v>10055</v>
      </c>
      <c r="AB1740" s="151" t="s">
        <v>10056</v>
      </c>
      <c r="AC1740" s="151" t="s">
        <v>10065</v>
      </c>
      <c r="AD1740" s="380" t="s">
        <v>10066</v>
      </c>
      <c r="AE1740" s="1784" t="s">
        <v>10059</v>
      </c>
      <c r="AF1740" s="1794">
        <v>171.0</v>
      </c>
      <c r="AG1740" s="161">
        <v>0.638</v>
      </c>
      <c r="AH1740" s="151" t="s">
        <v>215</v>
      </c>
      <c r="AI1740" s="151" t="s">
        <v>10060</v>
      </c>
      <c r="AJ1740" s="161">
        <v>0.001</v>
      </c>
      <c r="AK1740" s="151" t="s">
        <v>135</v>
      </c>
      <c r="AL1740" s="151" t="s">
        <v>186</v>
      </c>
      <c r="AM1740" s="129" t="s">
        <v>137</v>
      </c>
      <c r="AN1740" s="129" t="s">
        <v>138</v>
      </c>
      <c r="AO1740" s="161">
        <v>823.0</v>
      </c>
      <c r="AP1740" s="1795">
        <v>0.298</v>
      </c>
      <c r="AQ1740" s="151" t="s">
        <v>215</v>
      </c>
      <c r="AR1740" s="151" t="s">
        <v>10067</v>
      </c>
      <c r="AS1740" s="161">
        <v>0.001</v>
      </c>
      <c r="AT1740" s="151" t="s">
        <v>135</v>
      </c>
      <c r="AU1740" s="151" t="s">
        <v>186</v>
      </c>
      <c r="AV1740" s="129" t="s">
        <v>137</v>
      </c>
      <c r="AW1740" s="1796" t="s">
        <v>10062</v>
      </c>
      <c r="AX1740" s="129" t="s">
        <v>143</v>
      </c>
      <c r="AY1740" s="61" t="str">
        <f>IFERROR(__xludf.DUMMYFUNCTION("vlookup(BB1740,importrange(""https://docs.google.com/spreadsheets/d/1d2vevQ_7D_v35q4wCQ4RpQ_IPoTwEMB9Yp6ymwlPqew/edit?gid=984458430#gid=984458430"", ""'replication success'!A:K""), 11, FAlSE)"),"successful")</f>
        <v>successful</v>
      </c>
      <c r="AZ1740" s="61" t="str">
        <f>IFERROR(__xludf.DUMMYFUNCTION("vlookup(BB1740,importrange(""https://docs.google.com/spreadsheets/d/1d2vevQ_7D_v35q4wCQ4RpQ_IPoTwEMB9Yp6ymwlPqew/edit?gid=984458430#gid=984458430"",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0" s="61" t="str">
        <f>IFERROR(__xludf.DUMMYFUNCTION("vlookup(BB1740,importrange(""https://docs.google.com/spreadsheets/d/1d2vevQ_7D_v35q4wCQ4RpQ_IPoTwEMB9Yp6ymwlPqew/edit?gid=984458430#gid=984458430"", ""'replication success'!A:M""), 13, FAlSE)"),"pg. 5")</f>
        <v>pg. 5</v>
      </c>
      <c r="BB1740" s="61" t="str">
        <f>IFERROR(__xludf.DUMMYFUNCTION("REGEXREPLACE(G1740, ""_[a-z]{1,2}$"", """")"),"OpenMKT1")</f>
        <v>OpenMKT1</v>
      </c>
      <c r="BD1740" s="1782" t="s">
        <v>7943</v>
      </c>
    </row>
    <row r="1741">
      <c r="A1741" s="44">
        <v>1741.0</v>
      </c>
      <c r="B1741" s="129" t="s">
        <v>114</v>
      </c>
      <c r="C1741" s="62" t="s">
        <v>115</v>
      </c>
      <c r="D1741" s="62" t="s">
        <v>248</v>
      </c>
      <c r="F1741" s="129" t="s">
        <v>10045</v>
      </c>
      <c r="G1741" s="129" t="s">
        <v>10068</v>
      </c>
      <c r="H1741" s="151" t="s">
        <v>249</v>
      </c>
      <c r="I1741" s="153">
        <v>45754.0</v>
      </c>
      <c r="J1741" s="1786">
        <v>45765.0</v>
      </c>
      <c r="K1741" s="151" t="s">
        <v>10069</v>
      </c>
      <c r="L1741" s="1781" t="s">
        <v>10048</v>
      </c>
      <c r="M1741" s="129" t="s">
        <v>10049</v>
      </c>
      <c r="N1741" s="129" t="s">
        <v>10050</v>
      </c>
      <c r="O1741" s="501">
        <v>1.0</v>
      </c>
      <c r="P1741" s="528" t="s">
        <v>10051</v>
      </c>
      <c r="Q1741" s="108" t="str">
        <f t="array" ref="Q1741"> if(iserror(MATCH(V1741, 'File Links'!C:C, 0)), "N/A", HYPERLINK(INDEX('File Links'!B:B, MATCH(P1741, 'File Links'!C:C, 0))))</f>
        <v>N/A</v>
      </c>
      <c r="R1741" s="1697" t="s">
        <v>10052</v>
      </c>
      <c r="S1741" s="129" t="s">
        <v>10053</v>
      </c>
      <c r="T1741" s="1379"/>
      <c r="U1741" s="336"/>
      <c r="V1741" s="151" t="s">
        <v>10054</v>
      </c>
      <c r="W1741" s="159"/>
      <c r="X1741" s="49" t="str">
        <f t="array" ref="X1741"> if(iserror(MATCH(V1741, 'File Links'!C:C, 0)), "N/A", HYPERLINK(INDEX('File Links'!B:B, MATCH(V1741, 'File Links'!C:C, 0))))</f>
        <v>N/A</v>
      </c>
      <c r="Y1741" s="68"/>
      <c r="Z1741" s="151" t="s">
        <v>2079</v>
      </c>
      <c r="AA1741" s="371" t="s">
        <v>10055</v>
      </c>
      <c r="AB1741" s="151" t="s">
        <v>10056</v>
      </c>
      <c r="AC1741" s="151" t="s">
        <v>10070</v>
      </c>
      <c r="AD1741" s="380" t="s">
        <v>10071</v>
      </c>
      <c r="AE1741" s="1784" t="s">
        <v>10059</v>
      </c>
      <c r="AF1741" s="1794">
        <v>171.0</v>
      </c>
      <c r="AG1741" s="161">
        <v>0.283</v>
      </c>
      <c r="AH1741" s="151" t="s">
        <v>215</v>
      </c>
      <c r="AI1741" s="151" t="s">
        <v>10060</v>
      </c>
      <c r="AJ1741" s="161">
        <v>0.001</v>
      </c>
      <c r="AK1741" s="151" t="s">
        <v>135</v>
      </c>
      <c r="AL1741" s="151" t="s">
        <v>186</v>
      </c>
      <c r="AM1741" s="129" t="s">
        <v>137</v>
      </c>
      <c r="AN1741" s="129" t="s">
        <v>138</v>
      </c>
      <c r="AO1741" s="161">
        <v>823.0</v>
      </c>
      <c r="AP1741" s="1795">
        <v>0.196</v>
      </c>
      <c r="AQ1741" s="151" t="s">
        <v>215</v>
      </c>
      <c r="AR1741" s="151" t="s">
        <v>10072</v>
      </c>
      <c r="AS1741" s="161">
        <v>0.001</v>
      </c>
      <c r="AT1741" s="151" t="s">
        <v>135</v>
      </c>
      <c r="AU1741" s="151" t="s">
        <v>186</v>
      </c>
      <c r="AV1741" s="129" t="s">
        <v>137</v>
      </c>
      <c r="AW1741" s="1796" t="s">
        <v>10062</v>
      </c>
      <c r="AX1741" s="129" t="s">
        <v>143</v>
      </c>
      <c r="AY1741" s="61" t="str">
        <f>IFERROR(__xludf.DUMMYFUNCTION("vlookup(BB1741,importrange(""https://docs.google.com/spreadsheets/d/1d2vevQ_7D_v35q4wCQ4RpQ_IPoTwEMB9Yp6ymwlPqew/edit?gid=984458430#gid=984458430"", ""'replication success'!A:K""), 11, FAlSE)"),"successful")</f>
        <v>successful</v>
      </c>
      <c r="AZ1741" s="61" t="str">
        <f>IFERROR(__xludf.DUMMYFUNCTION("vlookup(BB1741,importrange(""https://docs.google.com/spreadsheets/d/1d2vevQ_7D_v35q4wCQ4RpQ_IPoTwEMB9Yp6ymwlPqew/edit?gid=984458430#gid=984458430"",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1" s="61" t="str">
        <f>IFERROR(__xludf.DUMMYFUNCTION("vlookup(BB1741,importrange(""https://docs.google.com/spreadsheets/d/1d2vevQ_7D_v35q4wCQ4RpQ_IPoTwEMB9Yp6ymwlPqew/edit?gid=984458430#gid=984458430"", ""'replication success'!A:M""), 13, FAlSE)"),"pg. 5")</f>
        <v>pg. 5</v>
      </c>
      <c r="BB1741" s="61" t="str">
        <f>IFERROR(__xludf.DUMMYFUNCTION("REGEXREPLACE(G1741, ""_[a-z]{1,2}$"", """")"),"OpenMKT1")</f>
        <v>OpenMKT1</v>
      </c>
      <c r="BD1741" s="1782" t="s">
        <v>7943</v>
      </c>
    </row>
    <row r="1742">
      <c r="A1742" s="44">
        <v>1742.0</v>
      </c>
      <c r="B1742" s="129" t="s">
        <v>114</v>
      </c>
      <c r="C1742" s="62" t="s">
        <v>115</v>
      </c>
      <c r="D1742" s="62" t="s">
        <v>248</v>
      </c>
      <c r="F1742" s="129" t="s">
        <v>10045</v>
      </c>
      <c r="G1742" s="129" t="s">
        <v>10073</v>
      </c>
      <c r="H1742" s="151" t="s">
        <v>249</v>
      </c>
      <c r="I1742" s="153">
        <v>45754.0</v>
      </c>
      <c r="J1742" s="1786">
        <v>45765.0</v>
      </c>
      <c r="K1742" s="151" t="s">
        <v>10074</v>
      </c>
      <c r="L1742" s="1781" t="s">
        <v>10048</v>
      </c>
      <c r="M1742" s="129" t="s">
        <v>10049</v>
      </c>
      <c r="N1742" s="129" t="s">
        <v>10050</v>
      </c>
      <c r="O1742" s="501">
        <v>1.0</v>
      </c>
      <c r="P1742" s="528" t="s">
        <v>10051</v>
      </c>
      <c r="Q1742" s="108" t="str">
        <f t="array" ref="Q1742"> if(iserror(MATCH(V1742, 'File Links'!C:C, 0)), "N/A", HYPERLINK(INDEX('File Links'!B:B, MATCH(P1742, 'File Links'!C:C, 0))))</f>
        <v>N/A</v>
      </c>
      <c r="R1742" s="1697" t="s">
        <v>10052</v>
      </c>
      <c r="S1742" s="129" t="s">
        <v>10053</v>
      </c>
      <c r="T1742" s="1379"/>
      <c r="U1742" s="336"/>
      <c r="V1742" s="151" t="s">
        <v>10054</v>
      </c>
      <c r="W1742" s="159"/>
      <c r="X1742" s="49" t="str">
        <f t="array" ref="X1742"> if(iserror(MATCH(V1742, 'File Links'!C:C, 0)), "N/A", HYPERLINK(INDEX('File Links'!B:B, MATCH(V1742, 'File Links'!C:C, 0))))</f>
        <v>N/A</v>
      </c>
      <c r="Y1742" s="68"/>
      <c r="Z1742" s="151" t="s">
        <v>2079</v>
      </c>
      <c r="AA1742" s="371" t="s">
        <v>10055</v>
      </c>
      <c r="AB1742" s="151" t="s">
        <v>10056</v>
      </c>
      <c r="AC1742" s="151" t="s">
        <v>10075</v>
      </c>
      <c r="AD1742" s="380" t="s">
        <v>10076</v>
      </c>
      <c r="AE1742" s="1784" t="s">
        <v>10059</v>
      </c>
      <c r="AF1742" s="1794">
        <v>171.0</v>
      </c>
      <c r="AG1742" s="161">
        <v>0.819</v>
      </c>
      <c r="AH1742" s="151" t="s">
        <v>215</v>
      </c>
      <c r="AI1742" s="151" t="s">
        <v>10060</v>
      </c>
      <c r="AJ1742" s="161">
        <v>0.001</v>
      </c>
      <c r="AK1742" s="151" t="s">
        <v>135</v>
      </c>
      <c r="AL1742" s="151" t="s">
        <v>186</v>
      </c>
      <c r="AM1742" s="129" t="s">
        <v>137</v>
      </c>
      <c r="AN1742" s="129" t="s">
        <v>138</v>
      </c>
      <c r="AO1742" s="161">
        <v>823.0</v>
      </c>
      <c r="AP1742" s="1795">
        <v>0.222</v>
      </c>
      <c r="AQ1742" s="151" t="s">
        <v>215</v>
      </c>
      <c r="AR1742" s="151" t="s">
        <v>10077</v>
      </c>
      <c r="AS1742" s="161">
        <v>0.001</v>
      </c>
      <c r="AT1742" s="151" t="s">
        <v>135</v>
      </c>
      <c r="AU1742" s="151" t="s">
        <v>186</v>
      </c>
      <c r="AV1742" s="129" t="s">
        <v>137</v>
      </c>
      <c r="AW1742" s="1796" t="s">
        <v>10062</v>
      </c>
      <c r="AX1742" s="129" t="s">
        <v>143</v>
      </c>
      <c r="AY1742" s="61" t="str">
        <f>IFERROR(__xludf.DUMMYFUNCTION("vlookup(BB1742,importrange(""https://docs.google.com/spreadsheets/d/1d2vevQ_7D_v35q4wCQ4RpQ_IPoTwEMB9Yp6ymwlPqew/edit?gid=984458430#gid=984458430"", ""'replication success'!A:K""), 11, FAlSE)"),"successful")</f>
        <v>successful</v>
      </c>
      <c r="AZ1742" s="61" t="str">
        <f>IFERROR(__xludf.DUMMYFUNCTION("vlookup(BB1742,importrange(""https://docs.google.com/spreadsheets/d/1d2vevQ_7D_v35q4wCQ4RpQ_IPoTwEMB9Yp6ymwlPqew/edit?gid=984458430#gid=984458430"",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2" s="61" t="str">
        <f>IFERROR(__xludf.DUMMYFUNCTION("vlookup(BB1742,importrange(""https://docs.google.com/spreadsheets/d/1d2vevQ_7D_v35q4wCQ4RpQ_IPoTwEMB9Yp6ymwlPqew/edit?gid=984458430#gid=984458430"", ""'replication success'!A:M""), 13, FAlSE)"),"pg. 5")</f>
        <v>pg. 5</v>
      </c>
      <c r="BB1742" s="61" t="str">
        <f>IFERROR(__xludf.DUMMYFUNCTION("REGEXREPLACE(G1742, ""_[a-z]{1,2}$"", """")"),"OpenMKT1")</f>
        <v>OpenMKT1</v>
      </c>
      <c r="BD1742" s="1782" t="s">
        <v>7943</v>
      </c>
    </row>
    <row r="1743">
      <c r="A1743" s="44">
        <v>1743.0</v>
      </c>
      <c r="B1743" s="129" t="s">
        <v>114</v>
      </c>
      <c r="C1743" s="62" t="s">
        <v>115</v>
      </c>
      <c r="D1743" s="62" t="s">
        <v>248</v>
      </c>
      <c r="F1743" s="129" t="s">
        <v>10045</v>
      </c>
      <c r="G1743" s="129" t="s">
        <v>10078</v>
      </c>
      <c r="H1743" s="151" t="s">
        <v>249</v>
      </c>
      <c r="I1743" s="153">
        <v>45754.0</v>
      </c>
      <c r="J1743" s="1786">
        <v>45765.0</v>
      </c>
      <c r="K1743" s="151" t="s">
        <v>10079</v>
      </c>
      <c r="L1743" s="1781" t="s">
        <v>10048</v>
      </c>
      <c r="M1743" s="129" t="s">
        <v>10049</v>
      </c>
      <c r="N1743" s="129" t="s">
        <v>10050</v>
      </c>
      <c r="O1743" s="501">
        <v>1.0</v>
      </c>
      <c r="P1743" s="528" t="s">
        <v>10051</v>
      </c>
      <c r="Q1743" s="108" t="str">
        <f t="array" ref="Q1743"> if(iserror(MATCH(V1743, 'File Links'!C:C, 0)), "N/A", HYPERLINK(INDEX('File Links'!B:B, MATCH(P1743, 'File Links'!C:C, 0))))</f>
        <v>N/A</v>
      </c>
      <c r="R1743" s="1697" t="s">
        <v>10052</v>
      </c>
      <c r="S1743" s="129" t="s">
        <v>10053</v>
      </c>
      <c r="T1743" s="1379"/>
      <c r="U1743" s="336"/>
      <c r="V1743" s="151" t="s">
        <v>10054</v>
      </c>
      <c r="W1743" s="159"/>
      <c r="X1743" s="49" t="str">
        <f t="array" ref="X1743"> if(iserror(MATCH(V1743, 'File Links'!C:C, 0)), "N/A", HYPERLINK(INDEX('File Links'!B:B, MATCH(V1743, 'File Links'!C:C, 0))))</f>
        <v>N/A</v>
      </c>
      <c r="Y1743" s="68"/>
      <c r="Z1743" s="151" t="s">
        <v>2079</v>
      </c>
      <c r="AA1743" s="371" t="s">
        <v>10055</v>
      </c>
      <c r="AB1743" s="151" t="s">
        <v>10056</v>
      </c>
      <c r="AC1743" s="151" t="s">
        <v>10080</v>
      </c>
      <c r="AD1743" s="380" t="s">
        <v>10081</v>
      </c>
      <c r="AE1743" s="1784" t="s">
        <v>10059</v>
      </c>
      <c r="AF1743" s="1794">
        <v>171.0</v>
      </c>
      <c r="AG1743" s="161">
        <v>0.215</v>
      </c>
      <c r="AH1743" s="151" t="s">
        <v>215</v>
      </c>
      <c r="AI1743" s="151" t="s">
        <v>10060</v>
      </c>
      <c r="AJ1743" s="161">
        <v>0.001</v>
      </c>
      <c r="AK1743" s="151" t="s">
        <v>135</v>
      </c>
      <c r="AL1743" s="151" t="s">
        <v>186</v>
      </c>
      <c r="AM1743" s="129" t="s">
        <v>137</v>
      </c>
      <c r="AN1743" s="129" t="s">
        <v>138</v>
      </c>
      <c r="AO1743" s="161">
        <v>823.0</v>
      </c>
      <c r="AP1743" s="1795">
        <v>0.303</v>
      </c>
      <c r="AQ1743" s="151" t="s">
        <v>215</v>
      </c>
      <c r="AR1743" s="151" t="s">
        <v>10082</v>
      </c>
      <c r="AS1743" s="161">
        <v>0.001</v>
      </c>
      <c r="AT1743" s="151" t="s">
        <v>135</v>
      </c>
      <c r="AU1743" s="151" t="s">
        <v>186</v>
      </c>
      <c r="AV1743" s="129" t="s">
        <v>137</v>
      </c>
      <c r="AW1743" s="1796" t="s">
        <v>10062</v>
      </c>
      <c r="AX1743" s="129" t="s">
        <v>143</v>
      </c>
      <c r="AY1743" s="61" t="str">
        <f>IFERROR(__xludf.DUMMYFUNCTION("vlookup(BB1743,importrange(""https://docs.google.com/spreadsheets/d/1d2vevQ_7D_v35q4wCQ4RpQ_IPoTwEMB9Yp6ymwlPqew/edit?gid=984458430#gid=984458430"", ""'replication success'!A:K""), 11, FAlSE)"),"successful")</f>
        <v>successful</v>
      </c>
      <c r="AZ1743" s="61" t="str">
        <f>IFERROR(__xludf.DUMMYFUNCTION("vlookup(BB1743,importrange(""https://docs.google.com/spreadsheets/d/1d2vevQ_7D_v35q4wCQ4RpQ_IPoTwEMB9Yp6ymwlPqew/edit?gid=984458430#gid=984458430"",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3" s="61" t="str">
        <f>IFERROR(__xludf.DUMMYFUNCTION("vlookup(BB1743,importrange(""https://docs.google.com/spreadsheets/d/1d2vevQ_7D_v35q4wCQ4RpQ_IPoTwEMB9Yp6ymwlPqew/edit?gid=984458430#gid=984458430"", ""'replication success'!A:M""), 13, FAlSE)"),"pg. 5")</f>
        <v>pg. 5</v>
      </c>
      <c r="BB1743" s="61" t="str">
        <f>IFERROR(__xludf.DUMMYFUNCTION("REGEXREPLACE(G1743, ""_[a-z]{1,2}$"", """")"),"OpenMKT1")</f>
        <v>OpenMKT1</v>
      </c>
      <c r="BD1743" s="1782" t="s">
        <v>7943</v>
      </c>
    </row>
    <row r="1744">
      <c r="A1744" s="44">
        <v>1744.0</v>
      </c>
      <c r="B1744" s="129" t="s">
        <v>114</v>
      </c>
      <c r="C1744" s="62" t="s">
        <v>115</v>
      </c>
      <c r="D1744" s="62" t="s">
        <v>248</v>
      </c>
      <c r="F1744" s="129" t="s">
        <v>10045</v>
      </c>
      <c r="G1744" s="129" t="s">
        <v>10083</v>
      </c>
      <c r="H1744" s="151" t="s">
        <v>249</v>
      </c>
      <c r="I1744" s="153">
        <v>45754.0</v>
      </c>
      <c r="J1744" s="1786">
        <v>45765.0</v>
      </c>
      <c r="K1744" s="151" t="s">
        <v>10084</v>
      </c>
      <c r="L1744" s="1781" t="s">
        <v>10048</v>
      </c>
      <c r="M1744" s="129" t="s">
        <v>10049</v>
      </c>
      <c r="N1744" s="129" t="s">
        <v>10050</v>
      </c>
      <c r="O1744" s="501">
        <v>1.0</v>
      </c>
      <c r="P1744" s="528" t="s">
        <v>10051</v>
      </c>
      <c r="Q1744" s="108" t="str">
        <f t="array" ref="Q1744"> if(iserror(MATCH(V1744, 'File Links'!C:C, 0)), "N/A", HYPERLINK(INDEX('File Links'!B:B, MATCH(P1744, 'File Links'!C:C, 0))))</f>
        <v>N/A</v>
      </c>
      <c r="R1744" s="1697" t="s">
        <v>10052</v>
      </c>
      <c r="S1744" s="129" t="s">
        <v>10053</v>
      </c>
      <c r="T1744" s="1379"/>
      <c r="U1744" s="336"/>
      <c r="V1744" s="151" t="s">
        <v>10054</v>
      </c>
      <c r="W1744" s="159"/>
      <c r="X1744" s="49" t="str">
        <f t="array" ref="X1744"> if(iserror(MATCH(V1744, 'File Links'!C:C, 0)), "N/A", HYPERLINK(INDEX('File Links'!B:B, MATCH(V1744, 'File Links'!C:C, 0))))</f>
        <v>N/A</v>
      </c>
      <c r="Y1744" s="68"/>
      <c r="Z1744" s="151" t="s">
        <v>2079</v>
      </c>
      <c r="AA1744" s="371" t="s">
        <v>10055</v>
      </c>
      <c r="AB1744" s="151" t="s">
        <v>10056</v>
      </c>
      <c r="AC1744" s="151" t="s">
        <v>10085</v>
      </c>
      <c r="AD1744" s="380" t="s">
        <v>10086</v>
      </c>
      <c r="AE1744" s="1784" t="s">
        <v>10059</v>
      </c>
      <c r="AF1744" s="1794">
        <v>171.0</v>
      </c>
      <c r="AG1744" s="161">
        <v>0.411</v>
      </c>
      <c r="AH1744" s="151" t="s">
        <v>215</v>
      </c>
      <c r="AI1744" s="151" t="s">
        <v>10060</v>
      </c>
      <c r="AJ1744" s="161">
        <v>0.001</v>
      </c>
      <c r="AK1744" s="151" t="s">
        <v>135</v>
      </c>
      <c r="AL1744" s="151" t="s">
        <v>186</v>
      </c>
      <c r="AM1744" s="129" t="s">
        <v>137</v>
      </c>
      <c r="AN1744" s="129" t="s">
        <v>138</v>
      </c>
      <c r="AO1744" s="161">
        <v>823.0</v>
      </c>
      <c r="AP1744" s="1795">
        <v>0.31</v>
      </c>
      <c r="AQ1744" s="151" t="s">
        <v>215</v>
      </c>
      <c r="AR1744" s="151" t="s">
        <v>10087</v>
      </c>
      <c r="AS1744" s="161">
        <v>0.001</v>
      </c>
      <c r="AT1744" s="151" t="s">
        <v>135</v>
      </c>
      <c r="AU1744" s="151" t="s">
        <v>186</v>
      </c>
      <c r="AV1744" s="129" t="s">
        <v>137</v>
      </c>
      <c r="AW1744" s="1796" t="s">
        <v>10062</v>
      </c>
      <c r="AX1744" s="129" t="s">
        <v>143</v>
      </c>
      <c r="AY1744" s="61" t="str">
        <f>IFERROR(__xludf.DUMMYFUNCTION("vlookup(BB1744,importrange(""https://docs.google.com/spreadsheets/d/1d2vevQ_7D_v35q4wCQ4RpQ_IPoTwEMB9Yp6ymwlPqew/edit?gid=984458430#gid=984458430"", ""'replication success'!A:K""), 11, FAlSE)"),"successful")</f>
        <v>successful</v>
      </c>
      <c r="AZ1744" s="61" t="str">
        <f>IFERROR(__xludf.DUMMYFUNCTION("vlookup(BB1744,importrange(""https://docs.google.com/spreadsheets/d/1d2vevQ_7D_v35q4wCQ4RpQ_IPoTwEMB9Yp6ymwlPqew/edit?gid=984458430#gid=984458430"",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4" s="61" t="str">
        <f>IFERROR(__xludf.DUMMYFUNCTION("vlookup(BB1744,importrange(""https://docs.google.com/spreadsheets/d/1d2vevQ_7D_v35q4wCQ4RpQ_IPoTwEMB9Yp6ymwlPqew/edit?gid=984458430#gid=984458430"", ""'replication success'!A:M""), 13, FAlSE)"),"pg. 5")</f>
        <v>pg. 5</v>
      </c>
      <c r="BB1744" s="61" t="str">
        <f>IFERROR(__xludf.DUMMYFUNCTION("REGEXREPLACE(G1744, ""_[a-z]{1,2}$"", """")"),"OpenMKT1")</f>
        <v>OpenMKT1</v>
      </c>
      <c r="BD1744" s="1782" t="s">
        <v>7943</v>
      </c>
    </row>
    <row r="1745">
      <c r="A1745" s="44">
        <v>1745.0</v>
      </c>
      <c r="B1745" s="129" t="s">
        <v>114</v>
      </c>
      <c r="C1745" s="62" t="s">
        <v>115</v>
      </c>
      <c r="D1745" s="62" t="s">
        <v>248</v>
      </c>
      <c r="F1745" s="129" t="s">
        <v>10045</v>
      </c>
      <c r="G1745" s="129" t="s">
        <v>10088</v>
      </c>
      <c r="H1745" s="151" t="s">
        <v>249</v>
      </c>
      <c r="I1745" s="153">
        <v>45754.0</v>
      </c>
      <c r="J1745" s="1786">
        <v>45765.0</v>
      </c>
      <c r="K1745" s="151" t="s">
        <v>10089</v>
      </c>
      <c r="L1745" s="1781" t="s">
        <v>10048</v>
      </c>
      <c r="M1745" s="129" t="s">
        <v>10049</v>
      </c>
      <c r="N1745" s="129" t="s">
        <v>10050</v>
      </c>
      <c r="O1745" s="501">
        <v>1.0</v>
      </c>
      <c r="P1745" s="528" t="s">
        <v>10051</v>
      </c>
      <c r="Q1745" s="108" t="str">
        <f t="array" ref="Q1745"> if(iserror(MATCH(V1745, 'File Links'!C:C, 0)), "N/A", HYPERLINK(INDEX('File Links'!B:B, MATCH(P1745, 'File Links'!C:C, 0))))</f>
        <v>N/A</v>
      </c>
      <c r="R1745" s="1697" t="s">
        <v>10052</v>
      </c>
      <c r="S1745" s="129" t="s">
        <v>10053</v>
      </c>
      <c r="T1745" s="1379"/>
      <c r="U1745" s="336"/>
      <c r="V1745" s="151" t="s">
        <v>10054</v>
      </c>
      <c r="W1745" s="159"/>
      <c r="X1745" s="49" t="str">
        <f t="array" ref="X1745"> if(iserror(MATCH(V1745, 'File Links'!C:C, 0)), "N/A", HYPERLINK(INDEX('File Links'!B:B, MATCH(V1745, 'File Links'!C:C, 0))))</f>
        <v>N/A</v>
      </c>
      <c r="Y1745" s="68"/>
      <c r="Z1745" s="151" t="s">
        <v>2079</v>
      </c>
      <c r="AA1745" s="371" t="s">
        <v>10055</v>
      </c>
      <c r="AB1745" s="151" t="s">
        <v>10056</v>
      </c>
      <c r="AC1745" s="151" t="s">
        <v>10090</v>
      </c>
      <c r="AD1745" s="380" t="s">
        <v>10091</v>
      </c>
      <c r="AE1745" s="1784" t="s">
        <v>10059</v>
      </c>
      <c r="AF1745" s="1794">
        <v>171.0</v>
      </c>
      <c r="AG1745" s="161">
        <v>0.615</v>
      </c>
      <c r="AH1745" s="151" t="s">
        <v>215</v>
      </c>
      <c r="AI1745" s="151" t="s">
        <v>10060</v>
      </c>
      <c r="AJ1745" s="161">
        <v>0.001</v>
      </c>
      <c r="AK1745" s="151" t="s">
        <v>135</v>
      </c>
      <c r="AL1745" s="151" t="s">
        <v>186</v>
      </c>
      <c r="AM1745" s="129" t="s">
        <v>137</v>
      </c>
      <c r="AN1745" s="129" t="s">
        <v>138</v>
      </c>
      <c r="AO1745" s="161">
        <v>823.0</v>
      </c>
      <c r="AP1745" s="1795">
        <v>0.166</v>
      </c>
      <c r="AQ1745" s="151" t="s">
        <v>215</v>
      </c>
      <c r="AR1745" s="151" t="s">
        <v>10092</v>
      </c>
      <c r="AS1745" s="161">
        <v>0.001</v>
      </c>
      <c r="AT1745" s="151" t="s">
        <v>135</v>
      </c>
      <c r="AU1745" s="151" t="s">
        <v>186</v>
      </c>
      <c r="AV1745" s="129" t="s">
        <v>137</v>
      </c>
      <c r="AW1745" s="1796" t="s">
        <v>10062</v>
      </c>
      <c r="AX1745" s="129" t="s">
        <v>143</v>
      </c>
      <c r="AY1745" s="61" t="str">
        <f>IFERROR(__xludf.DUMMYFUNCTION("vlookup(BB1745,importrange(""https://docs.google.com/spreadsheets/d/1d2vevQ_7D_v35q4wCQ4RpQ_IPoTwEMB9Yp6ymwlPqew/edit?gid=984458430#gid=984458430"", ""'replication success'!A:K""), 11, FAlSE)"),"successful")</f>
        <v>successful</v>
      </c>
      <c r="AZ1745" s="61" t="str">
        <f>IFERROR(__xludf.DUMMYFUNCTION("vlookup(BB1745,importrange(""https://docs.google.com/spreadsheets/d/1d2vevQ_7D_v35q4wCQ4RpQ_IPoTwEMB9Yp6ymwlPqew/edit?gid=984458430#gid=984458430"",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5" s="61" t="str">
        <f>IFERROR(__xludf.DUMMYFUNCTION("vlookup(BB1745,importrange(""https://docs.google.com/spreadsheets/d/1d2vevQ_7D_v35q4wCQ4RpQ_IPoTwEMB9Yp6ymwlPqew/edit?gid=984458430#gid=984458430"", ""'replication success'!A:M""), 13, FAlSE)"),"pg. 5")</f>
        <v>pg. 5</v>
      </c>
      <c r="BB1745" s="61" t="str">
        <f>IFERROR(__xludf.DUMMYFUNCTION("REGEXREPLACE(G1745, ""_[a-z]{1,2}$"", """")"),"OpenMKT1")</f>
        <v>OpenMKT1</v>
      </c>
      <c r="BD1745" s="1782" t="s">
        <v>7943</v>
      </c>
    </row>
    <row r="1746">
      <c r="A1746" s="44">
        <v>1746.0</v>
      </c>
      <c r="B1746" s="129" t="s">
        <v>114</v>
      </c>
      <c r="C1746" s="62" t="s">
        <v>115</v>
      </c>
      <c r="D1746" s="62" t="s">
        <v>248</v>
      </c>
      <c r="F1746" s="129" t="s">
        <v>10045</v>
      </c>
      <c r="G1746" s="129" t="s">
        <v>10093</v>
      </c>
      <c r="H1746" s="151" t="s">
        <v>249</v>
      </c>
      <c r="I1746" s="153">
        <v>45754.0</v>
      </c>
      <c r="J1746" s="1786">
        <v>45765.0</v>
      </c>
      <c r="K1746" s="151" t="s">
        <v>10094</v>
      </c>
      <c r="L1746" s="1781" t="s">
        <v>10048</v>
      </c>
      <c r="M1746" s="129" t="s">
        <v>10049</v>
      </c>
      <c r="N1746" s="129" t="s">
        <v>10050</v>
      </c>
      <c r="O1746" s="501">
        <v>1.0</v>
      </c>
      <c r="P1746" s="528" t="s">
        <v>10051</v>
      </c>
      <c r="Q1746" s="108" t="str">
        <f t="array" ref="Q1746"> if(iserror(MATCH(V1746, 'File Links'!C:C, 0)), "N/A", HYPERLINK(INDEX('File Links'!B:B, MATCH(P1746, 'File Links'!C:C, 0))))</f>
        <v>N/A</v>
      </c>
      <c r="R1746" s="1697" t="s">
        <v>10052</v>
      </c>
      <c r="S1746" s="129" t="s">
        <v>10053</v>
      </c>
      <c r="T1746" s="1379"/>
      <c r="U1746" s="336"/>
      <c r="V1746" s="151" t="s">
        <v>10054</v>
      </c>
      <c r="W1746" s="159"/>
      <c r="X1746" s="49" t="str">
        <f t="array" ref="X1746"> if(iserror(MATCH(V1746, 'File Links'!C:C, 0)), "N/A", HYPERLINK(INDEX('File Links'!B:B, MATCH(V1746, 'File Links'!C:C, 0))))</f>
        <v>N/A</v>
      </c>
      <c r="Y1746" s="68"/>
      <c r="Z1746" s="151" t="s">
        <v>2079</v>
      </c>
      <c r="AA1746" s="371" t="s">
        <v>10055</v>
      </c>
      <c r="AB1746" s="151" t="s">
        <v>10056</v>
      </c>
      <c r="AC1746" s="151" t="s">
        <v>10095</v>
      </c>
      <c r="AD1746" s="380" t="s">
        <v>10096</v>
      </c>
      <c r="AE1746" s="1784" t="s">
        <v>10059</v>
      </c>
      <c r="AF1746" s="1794">
        <v>171.0</v>
      </c>
      <c r="AG1746" s="161">
        <v>0.23</v>
      </c>
      <c r="AH1746" s="151" t="s">
        <v>215</v>
      </c>
      <c r="AI1746" s="151" t="s">
        <v>10060</v>
      </c>
      <c r="AJ1746" s="161">
        <v>0.001</v>
      </c>
      <c r="AK1746" s="151" t="s">
        <v>135</v>
      </c>
      <c r="AL1746" s="151" t="s">
        <v>186</v>
      </c>
      <c r="AM1746" s="129" t="s">
        <v>137</v>
      </c>
      <c r="AN1746" s="129" t="s">
        <v>138</v>
      </c>
      <c r="AO1746" s="161">
        <v>823.0</v>
      </c>
      <c r="AP1746" s="1795">
        <v>0.108</v>
      </c>
      <c r="AQ1746" s="151" t="s">
        <v>215</v>
      </c>
      <c r="AR1746" s="151" t="s">
        <v>10097</v>
      </c>
      <c r="AS1746" s="161">
        <v>0.002</v>
      </c>
      <c r="AT1746" s="151" t="s">
        <v>172</v>
      </c>
      <c r="AU1746" s="151" t="s">
        <v>186</v>
      </c>
      <c r="AV1746" s="129" t="s">
        <v>137</v>
      </c>
      <c r="AW1746" s="1796" t="s">
        <v>10062</v>
      </c>
      <c r="AX1746" s="129" t="s">
        <v>143</v>
      </c>
      <c r="AY1746" s="61" t="str">
        <f>IFERROR(__xludf.DUMMYFUNCTION("vlookup(BB1746,importrange(""https://docs.google.com/spreadsheets/d/1d2vevQ_7D_v35q4wCQ4RpQ_IPoTwEMB9Yp6ymwlPqew/edit?gid=984458430#gid=984458430"", ""'replication success'!A:K""), 11, FAlSE)"),"successful")</f>
        <v>successful</v>
      </c>
      <c r="AZ1746" s="61" t="str">
        <f>IFERROR(__xludf.DUMMYFUNCTION("vlookup(BB1746,importrange(""https://docs.google.com/spreadsheets/d/1d2vevQ_7D_v35q4wCQ4RpQ_IPoTwEMB9Yp6ymwlPqew/edit?gid=984458430#gid=984458430"",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6" s="61" t="str">
        <f>IFERROR(__xludf.DUMMYFUNCTION("vlookup(BB1746,importrange(""https://docs.google.com/spreadsheets/d/1d2vevQ_7D_v35q4wCQ4RpQ_IPoTwEMB9Yp6ymwlPqew/edit?gid=984458430#gid=984458430"", ""'replication success'!A:M""), 13, FAlSE)"),"pg. 5")</f>
        <v>pg. 5</v>
      </c>
      <c r="BB1746" s="61" t="str">
        <f>IFERROR(__xludf.DUMMYFUNCTION("REGEXREPLACE(G1746, ""_[a-z]{1,2}$"", """")"),"OpenMKT1")</f>
        <v>OpenMKT1</v>
      </c>
      <c r="BD1746" s="1782" t="s">
        <v>7943</v>
      </c>
    </row>
    <row r="1747">
      <c r="A1747" s="44">
        <v>1747.0</v>
      </c>
      <c r="B1747" s="129" t="s">
        <v>114</v>
      </c>
      <c r="C1747" s="62" t="s">
        <v>115</v>
      </c>
      <c r="D1747" s="62" t="s">
        <v>248</v>
      </c>
      <c r="F1747" s="129" t="s">
        <v>10045</v>
      </c>
      <c r="G1747" s="129" t="s">
        <v>10098</v>
      </c>
      <c r="H1747" s="151" t="s">
        <v>249</v>
      </c>
      <c r="I1747" s="153">
        <v>45754.0</v>
      </c>
      <c r="J1747" s="1786">
        <v>45765.0</v>
      </c>
      <c r="K1747" s="151" t="s">
        <v>10099</v>
      </c>
      <c r="L1747" s="1781" t="s">
        <v>10048</v>
      </c>
      <c r="M1747" s="129" t="s">
        <v>10049</v>
      </c>
      <c r="N1747" s="129" t="s">
        <v>10050</v>
      </c>
      <c r="O1747" s="501">
        <v>1.0</v>
      </c>
      <c r="P1747" s="528" t="s">
        <v>10051</v>
      </c>
      <c r="Q1747" s="108" t="str">
        <f t="array" ref="Q1747"> if(iserror(MATCH(V1747, 'File Links'!C:C, 0)), "N/A", HYPERLINK(INDEX('File Links'!B:B, MATCH(P1747, 'File Links'!C:C, 0))))</f>
        <v>N/A</v>
      </c>
      <c r="R1747" s="1697" t="s">
        <v>10052</v>
      </c>
      <c r="S1747" s="129" t="s">
        <v>10053</v>
      </c>
      <c r="T1747" s="1379"/>
      <c r="U1747" s="336"/>
      <c r="V1747" s="151" t="s">
        <v>10054</v>
      </c>
      <c r="W1747" s="159"/>
      <c r="X1747" s="49" t="str">
        <f t="array" ref="X1747"> if(iserror(MATCH(V1747, 'File Links'!C:C, 0)), "N/A", HYPERLINK(INDEX('File Links'!B:B, MATCH(V1747, 'File Links'!C:C, 0))))</f>
        <v>N/A</v>
      </c>
      <c r="Y1747" s="68"/>
      <c r="Z1747" s="151" t="s">
        <v>2079</v>
      </c>
      <c r="AA1747" s="371" t="s">
        <v>10055</v>
      </c>
      <c r="AB1747" s="151" t="s">
        <v>10056</v>
      </c>
      <c r="AC1747" s="151" t="s">
        <v>10100</v>
      </c>
      <c r="AD1747" s="380" t="s">
        <v>10101</v>
      </c>
      <c r="AE1747" s="1784" t="s">
        <v>10059</v>
      </c>
      <c r="AF1747" s="1794">
        <v>171.0</v>
      </c>
      <c r="AG1747" s="161">
        <v>0.57</v>
      </c>
      <c r="AH1747" s="151" t="s">
        <v>215</v>
      </c>
      <c r="AI1747" s="151" t="s">
        <v>10060</v>
      </c>
      <c r="AJ1747" s="161">
        <v>0.001</v>
      </c>
      <c r="AK1747" s="151" t="s">
        <v>135</v>
      </c>
      <c r="AL1747" s="151" t="s">
        <v>186</v>
      </c>
      <c r="AM1747" s="129" t="s">
        <v>137</v>
      </c>
      <c r="AN1747" s="129" t="s">
        <v>138</v>
      </c>
      <c r="AO1747" s="161">
        <v>823.0</v>
      </c>
      <c r="AP1747" s="1795">
        <v>-0.327</v>
      </c>
      <c r="AQ1747" s="151" t="s">
        <v>215</v>
      </c>
      <c r="AR1747" s="151" t="s">
        <v>10102</v>
      </c>
      <c r="AS1747" s="161">
        <v>0.005</v>
      </c>
      <c r="AT1747" s="151" t="s">
        <v>172</v>
      </c>
      <c r="AU1747" s="151" t="s">
        <v>186</v>
      </c>
      <c r="AV1747" s="129" t="s">
        <v>137</v>
      </c>
      <c r="AW1747" s="1796" t="s">
        <v>10062</v>
      </c>
      <c r="AX1747" s="129" t="s">
        <v>143</v>
      </c>
      <c r="AY1747" s="61" t="str">
        <f>IFERROR(__xludf.DUMMYFUNCTION("vlookup(BB1747,importrange(""https://docs.google.com/spreadsheets/d/1d2vevQ_7D_v35q4wCQ4RpQ_IPoTwEMB9Yp6ymwlPqew/edit?gid=984458430#gid=984458430"", ""'replication success'!A:K""), 11, FAlSE)"),"successful")</f>
        <v>successful</v>
      </c>
      <c r="AZ1747" s="61" t="str">
        <f>IFERROR(__xludf.DUMMYFUNCTION("vlookup(BB1747,importrange(""https://docs.google.com/spreadsheets/d/1d2vevQ_7D_v35q4wCQ4RpQ_IPoTwEMB9Yp6ymwlPqew/edit?gid=984458430#gid=984458430"",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7" s="61" t="str">
        <f>IFERROR(__xludf.DUMMYFUNCTION("vlookup(BB1747,importrange(""https://docs.google.com/spreadsheets/d/1d2vevQ_7D_v35q4wCQ4RpQ_IPoTwEMB9Yp6ymwlPqew/edit?gid=984458430#gid=984458430"", ""'replication success'!A:M""), 13, FAlSE)"),"pg. 5")</f>
        <v>pg. 5</v>
      </c>
      <c r="BB1747" s="61" t="str">
        <f>IFERROR(__xludf.DUMMYFUNCTION("REGEXREPLACE(G1747, ""_[a-z]{1,2}$"", """")"),"OpenMKT1")</f>
        <v>OpenMKT1</v>
      </c>
      <c r="BD1747" s="1782" t="s">
        <v>7943</v>
      </c>
    </row>
    <row r="1748">
      <c r="A1748" s="44">
        <v>1748.0</v>
      </c>
      <c r="B1748" s="129" t="s">
        <v>114</v>
      </c>
      <c r="C1748" s="62" t="s">
        <v>115</v>
      </c>
      <c r="D1748" s="62" t="s">
        <v>248</v>
      </c>
      <c r="F1748" s="129" t="s">
        <v>10045</v>
      </c>
      <c r="G1748" s="129" t="s">
        <v>10103</v>
      </c>
      <c r="H1748" s="151" t="s">
        <v>249</v>
      </c>
      <c r="I1748" s="153">
        <v>45754.0</v>
      </c>
      <c r="J1748" s="1786">
        <v>45765.0</v>
      </c>
      <c r="K1748" s="151" t="s">
        <v>10104</v>
      </c>
      <c r="L1748" s="1781" t="s">
        <v>10048</v>
      </c>
      <c r="M1748" s="129" t="s">
        <v>10049</v>
      </c>
      <c r="N1748" s="129" t="s">
        <v>10050</v>
      </c>
      <c r="O1748" s="501">
        <v>1.0</v>
      </c>
      <c r="P1748" s="528" t="s">
        <v>10051</v>
      </c>
      <c r="Q1748" s="108" t="str">
        <f t="array" ref="Q1748"> if(iserror(MATCH(V1748, 'File Links'!C:C, 0)), "N/A", HYPERLINK(INDEX('File Links'!B:B, MATCH(P1748, 'File Links'!C:C, 0))))</f>
        <v>N/A</v>
      </c>
      <c r="R1748" s="1697" t="s">
        <v>10052</v>
      </c>
      <c r="S1748" s="129" t="s">
        <v>10053</v>
      </c>
      <c r="T1748" s="1379"/>
      <c r="U1748" s="336"/>
      <c r="V1748" s="151" t="s">
        <v>10054</v>
      </c>
      <c r="W1748" s="159"/>
      <c r="X1748" s="49" t="str">
        <f t="array" ref="X1748"> if(iserror(MATCH(V1748, 'File Links'!C:C, 0)), "N/A", HYPERLINK(INDEX('File Links'!B:B, MATCH(V1748, 'File Links'!C:C, 0))))</f>
        <v>N/A</v>
      </c>
      <c r="Y1748" s="68"/>
      <c r="Z1748" s="151" t="s">
        <v>2079</v>
      </c>
      <c r="AA1748" s="371" t="s">
        <v>10055</v>
      </c>
      <c r="AB1748" s="151" t="s">
        <v>10056</v>
      </c>
      <c r="AC1748" s="151" t="s">
        <v>10105</v>
      </c>
      <c r="AD1748" s="380" t="s">
        <v>10106</v>
      </c>
      <c r="AE1748" s="1784" t="s">
        <v>10059</v>
      </c>
      <c r="AF1748" s="1794">
        <v>171.0</v>
      </c>
      <c r="AG1748" s="161">
        <v>0.245</v>
      </c>
      <c r="AH1748" s="151" t="s">
        <v>215</v>
      </c>
      <c r="AI1748" s="151" t="s">
        <v>10060</v>
      </c>
      <c r="AJ1748" s="161">
        <v>0.001</v>
      </c>
      <c r="AK1748" s="151" t="s">
        <v>135</v>
      </c>
      <c r="AL1748" s="151" t="s">
        <v>186</v>
      </c>
      <c r="AM1748" s="129" t="s">
        <v>137</v>
      </c>
      <c r="AN1748" s="129" t="s">
        <v>138</v>
      </c>
      <c r="AO1748" s="161">
        <v>823.0</v>
      </c>
      <c r="AP1748" s="1795">
        <v>0.252</v>
      </c>
      <c r="AQ1748" s="151" t="s">
        <v>215</v>
      </c>
      <c r="AR1748" s="151" t="s">
        <v>10107</v>
      </c>
      <c r="AS1748" s="161">
        <v>0.001</v>
      </c>
      <c r="AT1748" s="151" t="s">
        <v>135</v>
      </c>
      <c r="AU1748" s="151" t="s">
        <v>186</v>
      </c>
      <c r="AV1748" s="129" t="s">
        <v>137</v>
      </c>
      <c r="AW1748" s="1796" t="s">
        <v>10062</v>
      </c>
      <c r="AX1748" s="129" t="s">
        <v>143</v>
      </c>
      <c r="AY1748" s="61" t="str">
        <f>IFERROR(__xludf.DUMMYFUNCTION("vlookup(BB1748,importrange(""https://docs.google.com/spreadsheets/d/1d2vevQ_7D_v35q4wCQ4RpQ_IPoTwEMB9Yp6ymwlPqew/edit?gid=984458430#gid=984458430"", ""'replication success'!A:K""), 11, FAlSE)"),"successful")</f>
        <v>successful</v>
      </c>
      <c r="AZ1748" s="61" t="str">
        <f>IFERROR(__xludf.DUMMYFUNCTION("vlookup(BB1748,importrange(""https://docs.google.com/spreadsheets/d/1d2vevQ_7D_v35q4wCQ4RpQ_IPoTwEMB9Yp6ymwlPqew/edit?gid=984458430#gid=984458430"",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8" s="61" t="str">
        <f>IFERROR(__xludf.DUMMYFUNCTION("vlookup(BB1748,importrange(""https://docs.google.com/spreadsheets/d/1d2vevQ_7D_v35q4wCQ4RpQ_IPoTwEMB9Yp6ymwlPqew/edit?gid=984458430#gid=984458430"", ""'replication success'!A:M""), 13, FAlSE)"),"pg. 5")</f>
        <v>pg. 5</v>
      </c>
      <c r="BB1748" s="61" t="str">
        <f>IFERROR(__xludf.DUMMYFUNCTION("REGEXREPLACE(G1748, ""_[a-z]{1,2}$"", """")"),"OpenMKT1")</f>
        <v>OpenMKT1</v>
      </c>
      <c r="BD1748" s="1782" t="s">
        <v>7943</v>
      </c>
    </row>
    <row r="1749">
      <c r="A1749" s="44">
        <v>1749.0</v>
      </c>
      <c r="B1749" s="129" t="s">
        <v>114</v>
      </c>
      <c r="C1749" s="62" t="s">
        <v>115</v>
      </c>
      <c r="D1749" s="62" t="s">
        <v>248</v>
      </c>
      <c r="F1749" s="129" t="s">
        <v>10045</v>
      </c>
      <c r="G1749" s="129" t="s">
        <v>10108</v>
      </c>
      <c r="H1749" s="151" t="s">
        <v>249</v>
      </c>
      <c r="I1749" s="153">
        <v>45754.0</v>
      </c>
      <c r="J1749" s="1786">
        <v>45765.0</v>
      </c>
      <c r="K1749" s="151" t="s">
        <v>10109</v>
      </c>
      <c r="L1749" s="1781" t="s">
        <v>10048</v>
      </c>
      <c r="M1749" s="129" t="s">
        <v>10049</v>
      </c>
      <c r="N1749" s="129" t="s">
        <v>10050</v>
      </c>
      <c r="O1749" s="501">
        <v>1.0</v>
      </c>
      <c r="P1749" s="528" t="s">
        <v>10051</v>
      </c>
      <c r="Q1749" s="108" t="str">
        <f t="array" ref="Q1749"> if(iserror(MATCH(V1749, 'File Links'!C:C, 0)), "N/A", HYPERLINK(INDEX('File Links'!B:B, MATCH(P1749, 'File Links'!C:C, 0))))</f>
        <v>N/A</v>
      </c>
      <c r="R1749" s="1697" t="s">
        <v>10052</v>
      </c>
      <c r="S1749" s="129" t="s">
        <v>10053</v>
      </c>
      <c r="T1749" s="1379"/>
      <c r="U1749" s="336"/>
      <c r="V1749" s="151" t="s">
        <v>10054</v>
      </c>
      <c r="W1749" s="159"/>
      <c r="X1749" s="49" t="str">
        <f t="array" ref="X1749"> if(iserror(MATCH(V1749, 'File Links'!C:C, 0)), "N/A", HYPERLINK(INDEX('File Links'!B:B, MATCH(V1749, 'File Links'!C:C, 0))))</f>
        <v>N/A</v>
      </c>
      <c r="Y1749" s="68"/>
      <c r="Z1749" s="151" t="s">
        <v>2079</v>
      </c>
      <c r="AA1749" s="371" t="s">
        <v>10055</v>
      </c>
      <c r="AB1749" s="151" t="s">
        <v>10056</v>
      </c>
      <c r="AC1749" s="151" t="s">
        <v>10110</v>
      </c>
      <c r="AD1749" s="380" t="s">
        <v>10111</v>
      </c>
      <c r="AE1749" s="1784" t="s">
        <v>10059</v>
      </c>
      <c r="AF1749" s="1794">
        <v>171.0</v>
      </c>
      <c r="AG1749" s="161">
        <v>0.23</v>
      </c>
      <c r="AH1749" s="151" t="s">
        <v>215</v>
      </c>
      <c r="AI1749" s="151" t="s">
        <v>10060</v>
      </c>
      <c r="AJ1749" s="161">
        <v>0.001</v>
      </c>
      <c r="AK1749" s="151" t="s">
        <v>135</v>
      </c>
      <c r="AL1749" s="151" t="s">
        <v>186</v>
      </c>
      <c r="AM1749" s="129" t="s">
        <v>137</v>
      </c>
      <c r="AN1749" s="129" t="s">
        <v>138</v>
      </c>
      <c r="AO1749" s="161">
        <v>823.0</v>
      </c>
      <c r="AP1749" s="1795">
        <v>-0.327</v>
      </c>
      <c r="AQ1749" s="151" t="s">
        <v>215</v>
      </c>
      <c r="AR1749" s="151" t="s">
        <v>10112</v>
      </c>
      <c r="AS1749" s="161">
        <v>0.001</v>
      </c>
      <c r="AT1749" s="151" t="s">
        <v>135</v>
      </c>
      <c r="AU1749" s="151" t="s">
        <v>186</v>
      </c>
      <c r="AV1749" s="129" t="s">
        <v>137</v>
      </c>
      <c r="AW1749" s="1796" t="s">
        <v>10062</v>
      </c>
      <c r="AX1749" s="129" t="s">
        <v>143</v>
      </c>
      <c r="AY1749" s="61" t="str">
        <f>IFERROR(__xludf.DUMMYFUNCTION("vlookup(BB1749,importrange(""https://docs.google.com/spreadsheets/d/1d2vevQ_7D_v35q4wCQ4RpQ_IPoTwEMB9Yp6ymwlPqew/edit?gid=984458430#gid=984458430"", ""'replication success'!A:K""), 11, FAlSE)"),"successful")</f>
        <v>successful</v>
      </c>
      <c r="AZ1749" s="61" t="str">
        <f>IFERROR(__xludf.DUMMYFUNCTION("vlookup(BB1749,importrange(""https://docs.google.com/spreadsheets/d/1d2vevQ_7D_v35q4wCQ4RpQ_IPoTwEMB9Yp6ymwlPqew/edit?gid=984458430#gid=984458430"",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49" s="61" t="str">
        <f>IFERROR(__xludf.DUMMYFUNCTION("vlookup(BB1749,importrange(""https://docs.google.com/spreadsheets/d/1d2vevQ_7D_v35q4wCQ4RpQ_IPoTwEMB9Yp6ymwlPqew/edit?gid=984458430#gid=984458430"", ""'replication success'!A:M""), 13, FAlSE)"),"pg. 5")</f>
        <v>pg. 5</v>
      </c>
      <c r="BB1749" s="61" t="str">
        <f>IFERROR(__xludf.DUMMYFUNCTION("REGEXREPLACE(G1749, ""_[a-z]{1,2}$"", """")"),"OpenMKT1")</f>
        <v>OpenMKT1</v>
      </c>
      <c r="BD1749" s="1782" t="s">
        <v>7943</v>
      </c>
    </row>
    <row r="1750">
      <c r="A1750" s="44">
        <v>1750.0</v>
      </c>
      <c r="B1750" s="129" t="s">
        <v>114</v>
      </c>
      <c r="C1750" s="62" t="s">
        <v>115</v>
      </c>
      <c r="D1750" s="62" t="s">
        <v>248</v>
      </c>
      <c r="F1750" s="129" t="s">
        <v>10045</v>
      </c>
      <c r="G1750" s="129" t="s">
        <v>10113</v>
      </c>
      <c r="H1750" s="151" t="s">
        <v>249</v>
      </c>
      <c r="I1750" s="153">
        <v>45754.0</v>
      </c>
      <c r="J1750" s="1786">
        <v>45765.0</v>
      </c>
      <c r="K1750" s="151" t="s">
        <v>10114</v>
      </c>
      <c r="L1750" s="1781" t="s">
        <v>10048</v>
      </c>
      <c r="M1750" s="129" t="s">
        <v>10049</v>
      </c>
      <c r="N1750" s="129" t="s">
        <v>10050</v>
      </c>
      <c r="O1750" s="501">
        <v>1.0</v>
      </c>
      <c r="P1750" s="528" t="s">
        <v>10051</v>
      </c>
      <c r="Q1750" s="108" t="str">
        <f t="array" ref="Q1750"> if(iserror(MATCH(V1750, 'File Links'!C:C, 0)), "N/A", HYPERLINK(INDEX('File Links'!B:B, MATCH(P1750, 'File Links'!C:C, 0))))</f>
        <v>N/A</v>
      </c>
      <c r="R1750" s="1697" t="s">
        <v>10052</v>
      </c>
      <c r="S1750" s="129" t="s">
        <v>10053</v>
      </c>
      <c r="T1750" s="1379"/>
      <c r="U1750" s="336"/>
      <c r="V1750" s="151" t="s">
        <v>10054</v>
      </c>
      <c r="W1750" s="159"/>
      <c r="X1750" s="49" t="str">
        <f t="array" ref="X1750"> if(iserror(MATCH(V1750, 'File Links'!C:C, 0)), "N/A", HYPERLINK(INDEX('File Links'!B:B, MATCH(V1750, 'File Links'!C:C, 0))))</f>
        <v>N/A</v>
      </c>
      <c r="Y1750" s="68"/>
      <c r="Z1750" s="151" t="s">
        <v>2079</v>
      </c>
      <c r="AA1750" s="371" t="s">
        <v>10055</v>
      </c>
      <c r="AB1750" s="151" t="s">
        <v>10056</v>
      </c>
      <c r="AC1750" s="151" t="s">
        <v>10115</v>
      </c>
      <c r="AD1750" s="380" t="s">
        <v>10116</v>
      </c>
      <c r="AE1750" s="1784" t="s">
        <v>10059</v>
      </c>
      <c r="AF1750" s="1794">
        <v>171.0</v>
      </c>
      <c r="AG1750" s="161">
        <v>0.796</v>
      </c>
      <c r="AH1750" s="151" t="s">
        <v>215</v>
      </c>
      <c r="AI1750" s="151" t="s">
        <v>10060</v>
      </c>
      <c r="AJ1750" s="161">
        <v>0.001</v>
      </c>
      <c r="AK1750" s="151" t="s">
        <v>135</v>
      </c>
      <c r="AL1750" s="151" t="s">
        <v>186</v>
      </c>
      <c r="AM1750" s="129" t="s">
        <v>137</v>
      </c>
      <c r="AN1750" s="129" t="s">
        <v>138</v>
      </c>
      <c r="AO1750" s="161">
        <v>823.0</v>
      </c>
      <c r="AP1750" s="1795">
        <v>0.434</v>
      </c>
      <c r="AQ1750" s="151" t="s">
        <v>215</v>
      </c>
      <c r="AR1750" s="151" t="s">
        <v>10117</v>
      </c>
      <c r="AS1750" s="161">
        <v>0.001</v>
      </c>
      <c r="AT1750" s="151" t="s">
        <v>135</v>
      </c>
      <c r="AU1750" s="151" t="s">
        <v>186</v>
      </c>
      <c r="AV1750" s="129" t="s">
        <v>137</v>
      </c>
      <c r="AW1750" s="1796" t="s">
        <v>10062</v>
      </c>
      <c r="AX1750" s="129" t="s">
        <v>143</v>
      </c>
      <c r="AY1750" s="61" t="str">
        <f>IFERROR(__xludf.DUMMYFUNCTION("vlookup(BB1750,importrange(""https://docs.google.com/spreadsheets/d/1d2vevQ_7D_v35q4wCQ4RpQ_IPoTwEMB9Yp6ymwlPqew/edit?gid=984458430#gid=984458430"", ""'replication success'!A:K""), 11, FAlSE)"),"successful")</f>
        <v>successful</v>
      </c>
      <c r="AZ1750" s="61" t="str">
        <f>IFERROR(__xludf.DUMMYFUNCTION("vlookup(BB1750,importrange(""https://docs.google.com/spreadsheets/d/1d2vevQ_7D_v35q4wCQ4RpQ_IPoTwEMB9Yp6ymwlPqew/edit?gid=984458430#gid=984458430"",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0" s="61" t="str">
        <f>IFERROR(__xludf.DUMMYFUNCTION("vlookup(BB1750,importrange(""https://docs.google.com/spreadsheets/d/1d2vevQ_7D_v35q4wCQ4RpQ_IPoTwEMB9Yp6ymwlPqew/edit?gid=984458430#gid=984458430"", ""'replication success'!A:M""), 13, FAlSE)"),"pg. 5")</f>
        <v>pg. 5</v>
      </c>
      <c r="BB1750" s="61" t="str">
        <f>IFERROR(__xludf.DUMMYFUNCTION("REGEXREPLACE(G1750, ""_[a-z]{1,2}$"", """")"),"OpenMKT1")</f>
        <v>OpenMKT1</v>
      </c>
      <c r="BD1750" s="1782" t="s">
        <v>7943</v>
      </c>
    </row>
    <row r="1751">
      <c r="A1751" s="44">
        <v>1751.0</v>
      </c>
      <c r="B1751" s="129" t="s">
        <v>114</v>
      </c>
      <c r="C1751" s="62" t="s">
        <v>115</v>
      </c>
      <c r="D1751" s="62" t="s">
        <v>248</v>
      </c>
      <c r="F1751" s="129" t="s">
        <v>10045</v>
      </c>
      <c r="G1751" s="129" t="s">
        <v>10118</v>
      </c>
      <c r="H1751" s="151" t="s">
        <v>249</v>
      </c>
      <c r="I1751" s="153">
        <v>45754.0</v>
      </c>
      <c r="J1751" s="1786">
        <v>45765.0</v>
      </c>
      <c r="K1751" s="151" t="s">
        <v>10119</v>
      </c>
      <c r="L1751" s="1781" t="s">
        <v>10048</v>
      </c>
      <c r="M1751" s="129" t="s">
        <v>10049</v>
      </c>
      <c r="N1751" s="129" t="s">
        <v>10050</v>
      </c>
      <c r="O1751" s="501">
        <v>1.0</v>
      </c>
      <c r="P1751" s="528" t="s">
        <v>10051</v>
      </c>
      <c r="Q1751" s="108" t="str">
        <f t="array" ref="Q1751"> if(iserror(MATCH(V1751, 'File Links'!C:C, 0)), "N/A", HYPERLINK(INDEX('File Links'!B:B, MATCH(P1751, 'File Links'!C:C, 0))))</f>
        <v>N/A</v>
      </c>
      <c r="R1751" s="1697" t="s">
        <v>10052</v>
      </c>
      <c r="S1751" s="129" t="s">
        <v>10053</v>
      </c>
      <c r="T1751" s="1379"/>
      <c r="U1751" s="336"/>
      <c r="V1751" s="151" t="s">
        <v>10054</v>
      </c>
      <c r="W1751" s="159"/>
      <c r="X1751" s="49" t="str">
        <f t="array" ref="X1751"> if(iserror(MATCH(V1751, 'File Links'!C:C, 0)), "N/A", HYPERLINK(INDEX('File Links'!B:B, MATCH(V1751, 'File Links'!C:C, 0))))</f>
        <v>N/A</v>
      </c>
      <c r="Y1751" s="68"/>
      <c r="Z1751" s="151" t="s">
        <v>2079</v>
      </c>
      <c r="AA1751" s="371" t="s">
        <v>10055</v>
      </c>
      <c r="AB1751" s="151" t="s">
        <v>10056</v>
      </c>
      <c r="AC1751" s="151" t="s">
        <v>10120</v>
      </c>
      <c r="AD1751" s="380" t="s">
        <v>10121</v>
      </c>
      <c r="AE1751" s="1784" t="s">
        <v>10059</v>
      </c>
      <c r="AF1751" s="1794">
        <v>171.0</v>
      </c>
      <c r="AG1751" s="161">
        <v>0.336</v>
      </c>
      <c r="AH1751" s="151" t="s">
        <v>215</v>
      </c>
      <c r="AI1751" s="151" t="s">
        <v>10060</v>
      </c>
      <c r="AJ1751" s="161">
        <v>0.001</v>
      </c>
      <c r="AK1751" s="151" t="s">
        <v>135</v>
      </c>
      <c r="AL1751" s="151" t="s">
        <v>186</v>
      </c>
      <c r="AM1751" s="129" t="s">
        <v>137</v>
      </c>
      <c r="AN1751" s="129" t="s">
        <v>138</v>
      </c>
      <c r="AO1751" s="161">
        <v>823.0</v>
      </c>
      <c r="AP1751" s="1795">
        <v>0.12</v>
      </c>
      <c r="AQ1751" s="151" t="s">
        <v>215</v>
      </c>
      <c r="AR1751" s="151" t="s">
        <v>10122</v>
      </c>
      <c r="AS1751" s="161">
        <v>0.001</v>
      </c>
      <c r="AT1751" s="151" t="s">
        <v>135</v>
      </c>
      <c r="AU1751" s="151" t="s">
        <v>186</v>
      </c>
      <c r="AV1751" s="129" t="s">
        <v>137</v>
      </c>
      <c r="AW1751" s="1796" t="s">
        <v>10062</v>
      </c>
      <c r="AX1751" s="129" t="s">
        <v>143</v>
      </c>
      <c r="AY1751" s="61" t="str">
        <f>IFERROR(__xludf.DUMMYFUNCTION("vlookup(BB1751,importrange(""https://docs.google.com/spreadsheets/d/1d2vevQ_7D_v35q4wCQ4RpQ_IPoTwEMB9Yp6ymwlPqew/edit?gid=984458430#gid=984458430"", ""'replication success'!A:K""), 11, FAlSE)"),"successful")</f>
        <v>successful</v>
      </c>
      <c r="AZ1751" s="61" t="str">
        <f>IFERROR(__xludf.DUMMYFUNCTION("vlookup(BB1751,importrange(""https://docs.google.com/spreadsheets/d/1d2vevQ_7D_v35q4wCQ4RpQ_IPoTwEMB9Yp6ymwlPqew/edit?gid=984458430#gid=984458430"",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1" s="61" t="str">
        <f>IFERROR(__xludf.DUMMYFUNCTION("vlookup(BB1751,importrange(""https://docs.google.com/spreadsheets/d/1d2vevQ_7D_v35q4wCQ4RpQ_IPoTwEMB9Yp6ymwlPqew/edit?gid=984458430#gid=984458430"", ""'replication success'!A:M""), 13, FAlSE)"),"pg. 5")</f>
        <v>pg. 5</v>
      </c>
      <c r="BB1751" s="61" t="str">
        <f>IFERROR(__xludf.DUMMYFUNCTION("REGEXREPLACE(G1751, ""_[a-z]{1,2}$"", """")"),"OpenMKT1")</f>
        <v>OpenMKT1</v>
      </c>
      <c r="BD1751" s="1782" t="s">
        <v>7943</v>
      </c>
    </row>
    <row r="1752">
      <c r="A1752" s="44">
        <v>1752.0</v>
      </c>
      <c r="B1752" s="1781" t="s">
        <v>152</v>
      </c>
      <c r="C1752" s="1782" t="s">
        <v>115</v>
      </c>
      <c r="D1752" s="1782" t="s">
        <v>145</v>
      </c>
      <c r="E1752" s="1783"/>
      <c r="F1752" s="1781" t="s">
        <v>10045</v>
      </c>
      <c r="G1752" s="1781" t="s">
        <v>10046</v>
      </c>
      <c r="H1752" s="1784" t="s">
        <v>10123</v>
      </c>
      <c r="I1752" s="1785">
        <v>45758.0</v>
      </c>
      <c r="J1752" s="1786">
        <v>45765.0</v>
      </c>
      <c r="K1752" s="1784" t="s">
        <v>10124</v>
      </c>
      <c r="L1752" s="1781" t="s">
        <v>10125</v>
      </c>
      <c r="M1752" s="1781" t="s">
        <v>10049</v>
      </c>
      <c r="N1752" s="1781" t="s">
        <v>10050</v>
      </c>
      <c r="O1752" s="1787">
        <v>1.0</v>
      </c>
      <c r="P1752" s="1788" t="s">
        <v>10051</v>
      </c>
      <c r="Q1752" s="108" t="str">
        <f t="array" ref="Q1752"> if(iserror(MATCH(V1752, 'File Links'!C:C, 0)), "N/A", HYPERLINK(INDEX('File Links'!B:B, MATCH(P1752, 'File Links'!C:C, 0))))</f>
        <v>N/A</v>
      </c>
      <c r="R1752" s="1789" t="s">
        <v>10052</v>
      </c>
      <c r="S1752" s="1781" t="s">
        <v>10053</v>
      </c>
      <c r="T1752" s="1790"/>
      <c r="U1752" s="1791"/>
      <c r="V1752" s="1784" t="s">
        <v>10054</v>
      </c>
      <c r="W1752" s="1792"/>
      <c r="X1752" s="49" t="str">
        <f t="array" ref="X1752"> if(iserror(MATCH(V1752, 'File Links'!C:C, 0)), "N/A", HYPERLINK(INDEX('File Links'!B:B, MATCH(V1752, 'File Links'!C:C, 0))))</f>
        <v>N/A</v>
      </c>
      <c r="Y1752" s="1793"/>
      <c r="Z1752" s="1784" t="s">
        <v>2079</v>
      </c>
      <c r="AA1752" s="371" t="s">
        <v>10055</v>
      </c>
      <c r="AB1752" s="1784" t="s">
        <v>10126</v>
      </c>
      <c r="AC1752" s="1784" t="s">
        <v>10057</v>
      </c>
      <c r="AD1752" s="380" t="s">
        <v>10058</v>
      </c>
      <c r="AE1752" s="1784" t="s">
        <v>10127</v>
      </c>
      <c r="AF1752" s="1794">
        <v>171.0</v>
      </c>
      <c r="AG1752" s="1794">
        <v>0.623</v>
      </c>
      <c r="AH1752" s="1784" t="s">
        <v>215</v>
      </c>
      <c r="AI1752" s="1784" t="s">
        <v>10128</v>
      </c>
      <c r="AJ1752" s="1794">
        <v>0.001</v>
      </c>
      <c r="AK1752" s="1784" t="s">
        <v>135</v>
      </c>
      <c r="AL1752" s="1784" t="s">
        <v>186</v>
      </c>
      <c r="AM1752" s="1781" t="s">
        <v>137</v>
      </c>
      <c r="AN1752" s="1781" t="s">
        <v>1535</v>
      </c>
      <c r="AO1752" s="1794">
        <v>823.0</v>
      </c>
      <c r="AP1752" s="1795">
        <v>0.244</v>
      </c>
      <c r="AQ1752" s="1784" t="s">
        <v>215</v>
      </c>
      <c r="AR1752" s="380" t="s">
        <v>10129</v>
      </c>
      <c r="AS1752" s="1794">
        <v>0.001</v>
      </c>
      <c r="AT1752" s="1784" t="s">
        <v>135</v>
      </c>
      <c r="AU1752" s="1784" t="s">
        <v>186</v>
      </c>
      <c r="AV1752" s="1781" t="s">
        <v>137</v>
      </c>
      <c r="AW1752" s="1797" t="s">
        <v>10062</v>
      </c>
      <c r="AX1752" s="1781" t="s">
        <v>143</v>
      </c>
      <c r="AY1752" s="61" t="str">
        <f>IFERROR(__xludf.DUMMYFUNCTION("vlookup(BB1752,importrange(""https://docs.google.com/spreadsheets/d/1d2vevQ_7D_v35q4wCQ4RpQ_IPoTwEMB9Yp6ymwlPqew/edit?gid=984458430#gid=984458430"", ""'replication success'!A:K""), 11, FAlSE)"),"successful")</f>
        <v>successful</v>
      </c>
      <c r="AZ1752" s="61" t="str">
        <f>IFERROR(__xludf.DUMMYFUNCTION("vlookup(BB1752,importrange(""https://docs.google.com/spreadsheets/d/1d2vevQ_7D_v35q4wCQ4RpQ_IPoTwEMB9Yp6ymwlPqew/edit?gid=984458430#gid=984458430"",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2" s="61" t="str">
        <f>IFERROR(__xludf.DUMMYFUNCTION("vlookup(BB1752,importrange(""https://docs.google.com/spreadsheets/d/1d2vevQ_7D_v35q4wCQ4RpQ_IPoTwEMB9Yp6ymwlPqew/edit?gid=984458430#gid=984458430"", ""'replication success'!A:M""), 13, FAlSE)"),"pg. 5")</f>
        <v>pg. 5</v>
      </c>
      <c r="BB1752" s="61" t="str">
        <f>IFERROR(__xludf.DUMMYFUNCTION("REGEXREPLACE(G1752, ""_[a-z]{1,2}$"", """")"),"OpenMKT1")</f>
        <v>OpenMKT1</v>
      </c>
      <c r="BC1752" s="1783"/>
      <c r="BD1752" s="1782" t="s">
        <v>7943</v>
      </c>
    </row>
    <row r="1753">
      <c r="A1753" s="44">
        <v>1753.0</v>
      </c>
      <c r="B1753" s="129" t="s">
        <v>152</v>
      </c>
      <c r="C1753" s="62" t="s">
        <v>115</v>
      </c>
      <c r="D1753" s="62" t="s">
        <v>145</v>
      </c>
      <c r="F1753" s="129" t="s">
        <v>10130</v>
      </c>
      <c r="G1753" s="129" t="s">
        <v>10103</v>
      </c>
      <c r="H1753" s="151" t="s">
        <v>10123</v>
      </c>
      <c r="I1753" s="153">
        <v>45758.0</v>
      </c>
      <c r="J1753" s="1786">
        <v>45765.0</v>
      </c>
      <c r="K1753" s="159"/>
      <c r="L1753" s="1781" t="s">
        <v>10125</v>
      </c>
      <c r="M1753" s="129" t="s">
        <v>10049</v>
      </c>
      <c r="N1753" s="129" t="s">
        <v>10050</v>
      </c>
      <c r="O1753" s="501">
        <v>1.0</v>
      </c>
      <c r="P1753" s="528" t="s">
        <v>10051</v>
      </c>
      <c r="Q1753" s="108" t="str">
        <f t="array" ref="Q1753"> if(iserror(MATCH(V1753, 'File Links'!C:C, 0)), "N/A", HYPERLINK(INDEX('File Links'!B:B, MATCH(P1753, 'File Links'!C:C, 0))))</f>
        <v>N/A</v>
      </c>
      <c r="R1753" s="1697" t="s">
        <v>10052</v>
      </c>
      <c r="S1753" s="129" t="s">
        <v>10053</v>
      </c>
      <c r="T1753" s="1379"/>
      <c r="U1753" s="336"/>
      <c r="V1753" s="151" t="s">
        <v>10054</v>
      </c>
      <c r="W1753" s="159"/>
      <c r="X1753" s="49" t="str">
        <f t="array" ref="X1753"> if(iserror(MATCH(V1753, 'File Links'!C:C, 0)), "N/A", HYPERLINK(INDEX('File Links'!B:B, MATCH(V1753, 'File Links'!C:C, 0))))</f>
        <v>N/A</v>
      </c>
      <c r="Y1753" s="68"/>
      <c r="Z1753" s="151" t="s">
        <v>2079</v>
      </c>
      <c r="AA1753" s="371" t="s">
        <v>10055</v>
      </c>
      <c r="AB1753" s="151" t="s">
        <v>10126</v>
      </c>
      <c r="AC1753" s="151" t="s">
        <v>10105</v>
      </c>
      <c r="AD1753" s="380" t="s">
        <v>10106</v>
      </c>
      <c r="AE1753" s="151" t="s">
        <v>10127</v>
      </c>
      <c r="AF1753" s="1794">
        <v>171.0</v>
      </c>
      <c r="AG1753" s="161">
        <v>0.245</v>
      </c>
      <c r="AH1753" s="151" t="s">
        <v>215</v>
      </c>
      <c r="AI1753" s="151" t="s">
        <v>10128</v>
      </c>
      <c r="AJ1753" s="161">
        <v>0.001</v>
      </c>
      <c r="AK1753" s="151" t="s">
        <v>135</v>
      </c>
      <c r="AL1753" s="151" t="s">
        <v>186</v>
      </c>
      <c r="AM1753" s="129" t="s">
        <v>137</v>
      </c>
      <c r="AN1753" s="129" t="s">
        <v>1535</v>
      </c>
      <c r="AO1753" s="161">
        <v>823.0</v>
      </c>
      <c r="AP1753" s="1795">
        <v>0.252</v>
      </c>
      <c r="AQ1753" s="151" t="s">
        <v>215</v>
      </c>
      <c r="AR1753" s="380" t="s">
        <v>10129</v>
      </c>
      <c r="AS1753" s="161">
        <v>0.001</v>
      </c>
      <c r="AT1753" s="151" t="s">
        <v>135</v>
      </c>
      <c r="AU1753" s="151" t="s">
        <v>186</v>
      </c>
      <c r="AV1753" s="129" t="s">
        <v>137</v>
      </c>
      <c r="AW1753" s="1308" t="s">
        <v>10062</v>
      </c>
      <c r="AX1753" s="129" t="s">
        <v>143</v>
      </c>
      <c r="AY1753" s="61" t="str">
        <f>IFERROR(__xludf.DUMMYFUNCTION("vlookup(BB1753,importrange(""https://docs.google.com/spreadsheets/d/1d2vevQ_7D_v35q4wCQ4RpQ_IPoTwEMB9Yp6ymwlPqew/edit?gid=984458430#gid=984458430"", ""'replication success'!A:K""), 11, FAlSE)"),"successful")</f>
        <v>successful</v>
      </c>
      <c r="AZ1753" s="61" t="str">
        <f>IFERROR(__xludf.DUMMYFUNCTION("vlookup(BB1753,importrange(""https://docs.google.com/spreadsheets/d/1d2vevQ_7D_v35q4wCQ4RpQ_IPoTwEMB9Yp6ymwlPqew/edit?gid=984458430#gid=984458430"",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3" s="61" t="str">
        <f>IFERROR(__xludf.DUMMYFUNCTION("vlookup(BB1753,importrange(""https://docs.google.com/spreadsheets/d/1d2vevQ_7D_v35q4wCQ4RpQ_IPoTwEMB9Yp6ymwlPqew/edit?gid=984458430#gid=984458430"", ""'replication success'!A:M""), 13, FAlSE)"),"pg. 5")</f>
        <v>pg. 5</v>
      </c>
      <c r="BB1753" s="61" t="str">
        <f>IFERROR(__xludf.DUMMYFUNCTION("REGEXREPLACE(G1753, ""_[a-z]{1,2}$"", """")"),"OpenMKT1")</f>
        <v>OpenMKT1</v>
      </c>
      <c r="BD1753" s="1782" t="s">
        <v>7943</v>
      </c>
    </row>
    <row r="1754">
      <c r="A1754" s="44">
        <v>1754.0</v>
      </c>
      <c r="B1754" s="129" t="s">
        <v>152</v>
      </c>
      <c r="C1754" s="62" t="s">
        <v>115</v>
      </c>
      <c r="D1754" s="62" t="s">
        <v>145</v>
      </c>
      <c r="F1754" s="129" t="s">
        <v>10131</v>
      </c>
      <c r="G1754" s="129" t="s">
        <v>10108</v>
      </c>
      <c r="H1754" s="151" t="s">
        <v>10123</v>
      </c>
      <c r="I1754" s="153">
        <v>45758.0</v>
      </c>
      <c r="J1754" s="1786">
        <v>45765.0</v>
      </c>
      <c r="K1754" s="159"/>
      <c r="L1754" s="1781" t="s">
        <v>10125</v>
      </c>
      <c r="M1754" s="129" t="s">
        <v>10049</v>
      </c>
      <c r="N1754" s="129" t="s">
        <v>10050</v>
      </c>
      <c r="O1754" s="501">
        <v>1.0</v>
      </c>
      <c r="P1754" s="528" t="s">
        <v>10051</v>
      </c>
      <c r="Q1754" s="108" t="str">
        <f t="array" ref="Q1754"> if(iserror(MATCH(V1754, 'File Links'!C:C, 0)), "N/A", HYPERLINK(INDEX('File Links'!B:B, MATCH(P1754, 'File Links'!C:C, 0))))</f>
        <v>N/A</v>
      </c>
      <c r="R1754" s="1697" t="s">
        <v>10052</v>
      </c>
      <c r="S1754" s="129" t="s">
        <v>10053</v>
      </c>
      <c r="T1754" s="1379"/>
      <c r="U1754" s="336"/>
      <c r="V1754" s="151" t="s">
        <v>10054</v>
      </c>
      <c r="W1754" s="159"/>
      <c r="X1754" s="49" t="str">
        <f t="array" ref="X1754"> if(iserror(MATCH(V1754, 'File Links'!C:C, 0)), "N/A", HYPERLINK(INDEX('File Links'!B:B, MATCH(V1754, 'File Links'!C:C, 0))))</f>
        <v>N/A</v>
      </c>
      <c r="Y1754" s="68"/>
      <c r="Z1754" s="151" t="s">
        <v>2079</v>
      </c>
      <c r="AA1754" s="371" t="s">
        <v>10055</v>
      </c>
      <c r="AB1754" s="151" t="s">
        <v>10126</v>
      </c>
      <c r="AC1754" s="151" t="s">
        <v>10110</v>
      </c>
      <c r="AD1754" s="380" t="s">
        <v>10111</v>
      </c>
      <c r="AE1754" s="151" t="s">
        <v>10127</v>
      </c>
      <c r="AF1754" s="1794">
        <v>171.0</v>
      </c>
      <c r="AG1754" s="161">
        <v>0.23</v>
      </c>
      <c r="AH1754" s="151" t="s">
        <v>215</v>
      </c>
      <c r="AI1754" s="151" t="s">
        <v>10128</v>
      </c>
      <c r="AJ1754" s="161">
        <v>0.001</v>
      </c>
      <c r="AK1754" s="151" t="s">
        <v>135</v>
      </c>
      <c r="AL1754" s="151" t="s">
        <v>186</v>
      </c>
      <c r="AM1754" s="129" t="s">
        <v>137</v>
      </c>
      <c r="AN1754" s="129" t="s">
        <v>1535</v>
      </c>
      <c r="AO1754" s="161">
        <v>823.0</v>
      </c>
      <c r="AP1754" s="1795">
        <v>-0.327</v>
      </c>
      <c r="AQ1754" s="151" t="s">
        <v>215</v>
      </c>
      <c r="AR1754" s="380" t="s">
        <v>10129</v>
      </c>
      <c r="AS1754" s="161">
        <v>0.001</v>
      </c>
      <c r="AT1754" s="151" t="s">
        <v>135</v>
      </c>
      <c r="AU1754" s="151" t="s">
        <v>186</v>
      </c>
      <c r="AV1754" s="129" t="s">
        <v>137</v>
      </c>
      <c r="AW1754" s="1308" t="s">
        <v>10062</v>
      </c>
      <c r="AX1754" s="129" t="s">
        <v>143</v>
      </c>
      <c r="AY1754" s="61" t="str">
        <f>IFERROR(__xludf.DUMMYFUNCTION("vlookup(BB1754,importrange(""https://docs.google.com/spreadsheets/d/1d2vevQ_7D_v35q4wCQ4RpQ_IPoTwEMB9Yp6ymwlPqew/edit?gid=984458430#gid=984458430"", ""'replication success'!A:K""), 11, FAlSE)"),"successful")</f>
        <v>successful</v>
      </c>
      <c r="AZ1754" s="61" t="str">
        <f>IFERROR(__xludf.DUMMYFUNCTION("vlookup(BB1754,importrange(""https://docs.google.com/spreadsheets/d/1d2vevQ_7D_v35q4wCQ4RpQ_IPoTwEMB9Yp6ymwlPqew/edit?gid=984458430#gid=984458430"",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4" s="61" t="str">
        <f>IFERROR(__xludf.DUMMYFUNCTION("vlookup(BB1754,importrange(""https://docs.google.com/spreadsheets/d/1d2vevQ_7D_v35q4wCQ4RpQ_IPoTwEMB9Yp6ymwlPqew/edit?gid=984458430#gid=984458430"", ""'replication success'!A:M""), 13, FAlSE)"),"pg. 5")</f>
        <v>pg. 5</v>
      </c>
      <c r="BB1754" s="61" t="str">
        <f>IFERROR(__xludf.DUMMYFUNCTION("REGEXREPLACE(G1754, ""_[a-z]{1,2}$"", """")"),"OpenMKT1")</f>
        <v>OpenMKT1</v>
      </c>
      <c r="BD1754" s="1782" t="s">
        <v>7943</v>
      </c>
    </row>
    <row r="1755">
      <c r="A1755" s="44">
        <v>1755.0</v>
      </c>
      <c r="B1755" s="129" t="s">
        <v>152</v>
      </c>
      <c r="C1755" s="62" t="s">
        <v>115</v>
      </c>
      <c r="D1755" s="62" t="s">
        <v>145</v>
      </c>
      <c r="F1755" s="129" t="s">
        <v>10132</v>
      </c>
      <c r="G1755" s="129" t="s">
        <v>10113</v>
      </c>
      <c r="H1755" s="151" t="s">
        <v>10123</v>
      </c>
      <c r="I1755" s="153">
        <v>45758.0</v>
      </c>
      <c r="J1755" s="1786">
        <v>45765.0</v>
      </c>
      <c r="K1755" s="159"/>
      <c r="L1755" s="1781" t="s">
        <v>10125</v>
      </c>
      <c r="M1755" s="129" t="s">
        <v>10049</v>
      </c>
      <c r="N1755" s="129" t="s">
        <v>10050</v>
      </c>
      <c r="O1755" s="501">
        <v>1.0</v>
      </c>
      <c r="P1755" s="528" t="s">
        <v>10051</v>
      </c>
      <c r="Q1755" s="108" t="str">
        <f t="array" ref="Q1755"> if(iserror(MATCH(V1755, 'File Links'!C:C, 0)), "N/A", HYPERLINK(INDEX('File Links'!B:B, MATCH(P1755, 'File Links'!C:C, 0))))</f>
        <v>N/A</v>
      </c>
      <c r="R1755" s="1697" t="s">
        <v>10052</v>
      </c>
      <c r="S1755" s="129" t="s">
        <v>10053</v>
      </c>
      <c r="T1755" s="1379"/>
      <c r="U1755" s="336"/>
      <c r="V1755" s="151" t="s">
        <v>10054</v>
      </c>
      <c r="W1755" s="159"/>
      <c r="X1755" s="49" t="str">
        <f t="array" ref="X1755"> if(iserror(MATCH(V1755, 'File Links'!C:C, 0)), "N/A", HYPERLINK(INDEX('File Links'!B:B, MATCH(V1755, 'File Links'!C:C, 0))))</f>
        <v>N/A</v>
      </c>
      <c r="Y1755" s="68"/>
      <c r="Z1755" s="151" t="s">
        <v>2079</v>
      </c>
      <c r="AA1755" s="371" t="s">
        <v>10055</v>
      </c>
      <c r="AB1755" s="151" t="s">
        <v>10126</v>
      </c>
      <c r="AC1755" s="151" t="s">
        <v>10115</v>
      </c>
      <c r="AD1755" s="380" t="s">
        <v>10116</v>
      </c>
      <c r="AE1755" s="151" t="s">
        <v>10127</v>
      </c>
      <c r="AF1755" s="1794">
        <v>171.0</v>
      </c>
      <c r="AG1755" s="161">
        <v>0.796</v>
      </c>
      <c r="AH1755" s="151" t="s">
        <v>215</v>
      </c>
      <c r="AI1755" s="151" t="s">
        <v>10128</v>
      </c>
      <c r="AJ1755" s="161">
        <v>0.001</v>
      </c>
      <c r="AK1755" s="151" t="s">
        <v>135</v>
      </c>
      <c r="AL1755" s="151" t="s">
        <v>186</v>
      </c>
      <c r="AM1755" s="129" t="s">
        <v>137</v>
      </c>
      <c r="AN1755" s="129" t="s">
        <v>1535</v>
      </c>
      <c r="AO1755" s="161">
        <v>823.0</v>
      </c>
      <c r="AP1755" s="1795">
        <v>0.434</v>
      </c>
      <c r="AQ1755" s="151" t="s">
        <v>215</v>
      </c>
      <c r="AR1755" s="380" t="s">
        <v>10129</v>
      </c>
      <c r="AS1755" s="161">
        <v>0.001</v>
      </c>
      <c r="AT1755" s="151" t="s">
        <v>135</v>
      </c>
      <c r="AU1755" s="151" t="s">
        <v>186</v>
      </c>
      <c r="AV1755" s="129" t="s">
        <v>137</v>
      </c>
      <c r="AW1755" s="1308" t="s">
        <v>10062</v>
      </c>
      <c r="AX1755" s="129" t="s">
        <v>143</v>
      </c>
      <c r="AY1755" s="61" t="str">
        <f>IFERROR(__xludf.DUMMYFUNCTION("vlookup(BB1755,importrange(""https://docs.google.com/spreadsheets/d/1d2vevQ_7D_v35q4wCQ4RpQ_IPoTwEMB9Yp6ymwlPqew/edit?gid=984458430#gid=984458430"", ""'replication success'!A:K""), 11, FAlSE)"),"successful")</f>
        <v>successful</v>
      </c>
      <c r="AZ1755" s="61" t="str">
        <f>IFERROR(__xludf.DUMMYFUNCTION("vlookup(BB1755,importrange(""https://docs.google.com/spreadsheets/d/1d2vevQ_7D_v35q4wCQ4RpQ_IPoTwEMB9Yp6ymwlPqew/edit?gid=984458430#gid=984458430"",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5" s="61" t="str">
        <f>IFERROR(__xludf.DUMMYFUNCTION("vlookup(BB1755,importrange(""https://docs.google.com/spreadsheets/d/1d2vevQ_7D_v35q4wCQ4RpQ_IPoTwEMB9Yp6ymwlPqew/edit?gid=984458430#gid=984458430"", ""'replication success'!A:M""), 13, FAlSE)"),"pg. 5")</f>
        <v>pg. 5</v>
      </c>
      <c r="BB1755" s="61" t="str">
        <f>IFERROR(__xludf.DUMMYFUNCTION("REGEXREPLACE(G1755, ""_[a-z]{1,2}$"", """")"),"OpenMKT1")</f>
        <v>OpenMKT1</v>
      </c>
      <c r="BD1755" s="1782" t="s">
        <v>7943</v>
      </c>
    </row>
    <row r="1756">
      <c r="A1756" s="44">
        <v>1756.0</v>
      </c>
      <c r="B1756" s="129" t="s">
        <v>152</v>
      </c>
      <c r="C1756" s="62" t="s">
        <v>115</v>
      </c>
      <c r="D1756" s="62" t="s">
        <v>145</v>
      </c>
      <c r="F1756" s="129" t="s">
        <v>10133</v>
      </c>
      <c r="G1756" s="129" t="s">
        <v>10118</v>
      </c>
      <c r="H1756" s="151" t="s">
        <v>10123</v>
      </c>
      <c r="I1756" s="153">
        <v>45758.0</v>
      </c>
      <c r="J1756" s="1786">
        <v>45765.0</v>
      </c>
      <c r="K1756" s="159"/>
      <c r="L1756" s="1781" t="s">
        <v>10125</v>
      </c>
      <c r="M1756" s="129" t="s">
        <v>10049</v>
      </c>
      <c r="N1756" s="129" t="s">
        <v>10050</v>
      </c>
      <c r="O1756" s="501">
        <v>1.0</v>
      </c>
      <c r="P1756" s="528" t="s">
        <v>10051</v>
      </c>
      <c r="Q1756" s="108" t="str">
        <f t="array" ref="Q1756"> if(iserror(MATCH(V1756, 'File Links'!C:C, 0)), "N/A", HYPERLINK(INDEX('File Links'!B:B, MATCH(P1756, 'File Links'!C:C, 0))))</f>
        <v>N/A</v>
      </c>
      <c r="R1756" s="1697" t="s">
        <v>10052</v>
      </c>
      <c r="S1756" s="129" t="s">
        <v>10053</v>
      </c>
      <c r="T1756" s="1379"/>
      <c r="U1756" s="336"/>
      <c r="V1756" s="151" t="s">
        <v>10054</v>
      </c>
      <c r="W1756" s="159"/>
      <c r="X1756" s="49" t="str">
        <f t="array" ref="X1756"> if(iserror(MATCH(V1756, 'File Links'!C:C, 0)), "N/A", HYPERLINK(INDEX('File Links'!B:B, MATCH(V1756, 'File Links'!C:C, 0))))</f>
        <v>N/A</v>
      </c>
      <c r="Y1756" s="68"/>
      <c r="Z1756" s="151" t="s">
        <v>2079</v>
      </c>
      <c r="AA1756" s="371" t="s">
        <v>10055</v>
      </c>
      <c r="AB1756" s="151" t="s">
        <v>10126</v>
      </c>
      <c r="AC1756" s="151" t="s">
        <v>10120</v>
      </c>
      <c r="AD1756" s="380" t="s">
        <v>10121</v>
      </c>
      <c r="AE1756" s="151" t="s">
        <v>10127</v>
      </c>
      <c r="AF1756" s="1794">
        <v>171.0</v>
      </c>
      <c r="AG1756" s="161">
        <v>0.336</v>
      </c>
      <c r="AH1756" s="151" t="s">
        <v>215</v>
      </c>
      <c r="AI1756" s="151" t="s">
        <v>10128</v>
      </c>
      <c r="AJ1756" s="161">
        <v>0.001</v>
      </c>
      <c r="AK1756" s="151" t="s">
        <v>135</v>
      </c>
      <c r="AL1756" s="151" t="s">
        <v>186</v>
      </c>
      <c r="AM1756" s="129" t="s">
        <v>137</v>
      </c>
      <c r="AN1756" s="129" t="s">
        <v>1535</v>
      </c>
      <c r="AO1756" s="161">
        <v>823.0</v>
      </c>
      <c r="AP1756" s="1795">
        <v>0.12</v>
      </c>
      <c r="AQ1756" s="151" t="s">
        <v>215</v>
      </c>
      <c r="AR1756" s="380" t="s">
        <v>10129</v>
      </c>
      <c r="AS1756" s="161">
        <v>0.001</v>
      </c>
      <c r="AT1756" s="151" t="s">
        <v>135</v>
      </c>
      <c r="AU1756" s="151" t="s">
        <v>186</v>
      </c>
      <c r="AV1756" s="129" t="s">
        <v>137</v>
      </c>
      <c r="AW1756" s="1308" t="s">
        <v>10062</v>
      </c>
      <c r="AX1756" s="129" t="s">
        <v>143</v>
      </c>
      <c r="AY1756" s="61" t="str">
        <f>IFERROR(__xludf.DUMMYFUNCTION("vlookup(BB1756,importrange(""https://docs.google.com/spreadsheets/d/1d2vevQ_7D_v35q4wCQ4RpQ_IPoTwEMB9Yp6ymwlPqew/edit?gid=984458430#gid=984458430"", ""'replication success'!A:K""), 11, FAlSE)"),"successful")</f>
        <v>successful</v>
      </c>
      <c r="AZ1756" s="61" t="str">
        <f>IFERROR(__xludf.DUMMYFUNCTION("vlookup(BB1756,importrange(""https://docs.google.com/spreadsheets/d/1d2vevQ_7D_v35q4wCQ4RpQ_IPoTwEMB9Yp6ymwlPqew/edit?gid=984458430#gid=984458430"",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6" s="61" t="str">
        <f>IFERROR(__xludf.DUMMYFUNCTION("vlookup(BB1756,importrange(""https://docs.google.com/spreadsheets/d/1d2vevQ_7D_v35q4wCQ4RpQ_IPoTwEMB9Yp6ymwlPqew/edit?gid=984458430#gid=984458430"", ""'replication success'!A:M""), 13, FAlSE)"),"pg. 5")</f>
        <v>pg. 5</v>
      </c>
      <c r="BB1756" s="61" t="str">
        <f>IFERROR(__xludf.DUMMYFUNCTION("REGEXREPLACE(G1756, ""_[a-z]{1,2}$"", """")"),"OpenMKT1")</f>
        <v>OpenMKT1</v>
      </c>
      <c r="BD1756" s="1782" t="s">
        <v>7943</v>
      </c>
    </row>
    <row r="1757" ht="15.75" customHeight="1">
      <c r="A1757" s="44">
        <v>1757.0</v>
      </c>
      <c r="B1757" s="129" t="s">
        <v>152</v>
      </c>
      <c r="C1757" s="62" t="s">
        <v>115</v>
      </c>
      <c r="D1757" s="62" t="s">
        <v>145</v>
      </c>
      <c r="F1757" s="129" t="s">
        <v>10134</v>
      </c>
      <c r="G1757" s="129" t="s">
        <v>10063</v>
      </c>
      <c r="H1757" s="151" t="s">
        <v>10123</v>
      </c>
      <c r="I1757" s="153">
        <v>45758.0</v>
      </c>
      <c r="J1757" s="1786">
        <v>45765.0</v>
      </c>
      <c r="K1757" s="159"/>
      <c r="L1757" s="1781" t="s">
        <v>10125</v>
      </c>
      <c r="M1757" s="129" t="s">
        <v>10049</v>
      </c>
      <c r="N1757" s="129" t="s">
        <v>10050</v>
      </c>
      <c r="O1757" s="501">
        <v>1.0</v>
      </c>
      <c r="P1757" s="528" t="s">
        <v>10051</v>
      </c>
      <c r="Q1757" s="108" t="str">
        <f t="array" ref="Q1757"> if(iserror(MATCH(V1757, 'File Links'!C:C, 0)), "N/A", HYPERLINK(INDEX('File Links'!B:B, MATCH(P1757, 'File Links'!C:C, 0))))</f>
        <v>N/A</v>
      </c>
      <c r="R1757" s="1697" t="s">
        <v>10052</v>
      </c>
      <c r="S1757" s="129" t="s">
        <v>10053</v>
      </c>
      <c r="T1757" s="1379"/>
      <c r="U1757" s="336"/>
      <c r="V1757" s="151" t="s">
        <v>10054</v>
      </c>
      <c r="W1757" s="159"/>
      <c r="X1757" s="49" t="str">
        <f t="array" ref="X1757"> if(iserror(MATCH(V1757, 'File Links'!C:C, 0)), "N/A", HYPERLINK(INDEX('File Links'!B:B, MATCH(V1757, 'File Links'!C:C, 0))))</f>
        <v>N/A</v>
      </c>
      <c r="Y1757" s="68"/>
      <c r="Z1757" s="151" t="s">
        <v>2079</v>
      </c>
      <c r="AA1757" s="371" t="s">
        <v>10055</v>
      </c>
      <c r="AB1757" s="151" t="s">
        <v>10126</v>
      </c>
      <c r="AC1757" s="151" t="s">
        <v>10065</v>
      </c>
      <c r="AD1757" s="380" t="s">
        <v>10066</v>
      </c>
      <c r="AE1757" s="151" t="s">
        <v>10127</v>
      </c>
      <c r="AF1757" s="1794">
        <v>171.0</v>
      </c>
      <c r="AG1757" s="161">
        <v>0.638</v>
      </c>
      <c r="AH1757" s="151" t="s">
        <v>215</v>
      </c>
      <c r="AI1757" s="151" t="s">
        <v>10128</v>
      </c>
      <c r="AJ1757" s="161">
        <v>0.001</v>
      </c>
      <c r="AK1757" s="151" t="s">
        <v>135</v>
      </c>
      <c r="AL1757" s="151" t="s">
        <v>186</v>
      </c>
      <c r="AM1757" s="129" t="s">
        <v>137</v>
      </c>
      <c r="AN1757" s="129" t="s">
        <v>1535</v>
      </c>
      <c r="AO1757" s="161">
        <v>823.0</v>
      </c>
      <c r="AP1757" s="1795">
        <v>0.298</v>
      </c>
      <c r="AQ1757" s="151" t="s">
        <v>215</v>
      </c>
      <c r="AR1757" s="380" t="s">
        <v>10129</v>
      </c>
      <c r="AS1757" s="161">
        <v>0.001</v>
      </c>
      <c r="AT1757" s="151" t="s">
        <v>135</v>
      </c>
      <c r="AU1757" s="151" t="s">
        <v>186</v>
      </c>
      <c r="AV1757" s="129" t="s">
        <v>137</v>
      </c>
      <c r="AW1757" s="1308" t="s">
        <v>10062</v>
      </c>
      <c r="AX1757" s="129" t="s">
        <v>143</v>
      </c>
      <c r="AY1757" s="61" t="str">
        <f>IFERROR(__xludf.DUMMYFUNCTION("vlookup(BB1757,importrange(""https://docs.google.com/spreadsheets/d/1d2vevQ_7D_v35q4wCQ4RpQ_IPoTwEMB9Yp6ymwlPqew/edit?gid=984458430#gid=984458430"", ""'replication success'!A:K""), 11, FAlSE)"),"successful")</f>
        <v>successful</v>
      </c>
      <c r="AZ1757" s="61" t="str">
        <f>IFERROR(__xludf.DUMMYFUNCTION("vlookup(BB1757,importrange(""https://docs.google.com/spreadsheets/d/1d2vevQ_7D_v35q4wCQ4RpQ_IPoTwEMB9Yp6ymwlPqew/edit?gid=984458430#gid=984458430"",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7" s="61" t="str">
        <f>IFERROR(__xludf.DUMMYFUNCTION("vlookup(BB1757,importrange(""https://docs.google.com/spreadsheets/d/1d2vevQ_7D_v35q4wCQ4RpQ_IPoTwEMB9Yp6ymwlPqew/edit?gid=984458430#gid=984458430"", ""'replication success'!A:M""), 13, FAlSE)"),"pg. 5")</f>
        <v>pg. 5</v>
      </c>
      <c r="BB1757" s="61" t="str">
        <f>IFERROR(__xludf.DUMMYFUNCTION("REGEXREPLACE(G1757, ""_[a-z]{1,2}$"", """")"),"OpenMKT1")</f>
        <v>OpenMKT1</v>
      </c>
      <c r="BD1757" s="1782" t="s">
        <v>7943</v>
      </c>
    </row>
    <row r="1758" ht="15.75" customHeight="1">
      <c r="A1758" s="44">
        <v>1758.0</v>
      </c>
      <c r="B1758" s="129" t="s">
        <v>152</v>
      </c>
      <c r="C1758" s="62" t="s">
        <v>115</v>
      </c>
      <c r="D1758" s="62" t="s">
        <v>145</v>
      </c>
      <c r="F1758" s="129" t="s">
        <v>10135</v>
      </c>
      <c r="G1758" s="129" t="s">
        <v>10068</v>
      </c>
      <c r="H1758" s="151" t="s">
        <v>10123</v>
      </c>
      <c r="I1758" s="153">
        <v>45758.0</v>
      </c>
      <c r="J1758" s="1786">
        <v>45765.0</v>
      </c>
      <c r="K1758" s="159"/>
      <c r="L1758" s="1781" t="s">
        <v>10125</v>
      </c>
      <c r="M1758" s="129" t="s">
        <v>10049</v>
      </c>
      <c r="N1758" s="129" t="s">
        <v>10050</v>
      </c>
      <c r="O1758" s="501">
        <v>1.0</v>
      </c>
      <c r="P1758" s="528" t="s">
        <v>10051</v>
      </c>
      <c r="Q1758" s="108" t="str">
        <f t="array" ref="Q1758"> if(iserror(MATCH(V1758, 'File Links'!C:C, 0)), "N/A", HYPERLINK(INDEX('File Links'!B:B, MATCH(P1758, 'File Links'!C:C, 0))))</f>
        <v>N/A</v>
      </c>
      <c r="R1758" s="1697" t="s">
        <v>10052</v>
      </c>
      <c r="S1758" s="129" t="s">
        <v>10053</v>
      </c>
      <c r="T1758" s="1379"/>
      <c r="U1758" s="336"/>
      <c r="V1758" s="151" t="s">
        <v>10054</v>
      </c>
      <c r="W1758" s="159"/>
      <c r="X1758" s="49" t="str">
        <f t="array" ref="X1758"> if(iserror(MATCH(V1758, 'File Links'!C:C, 0)), "N/A", HYPERLINK(INDEX('File Links'!B:B, MATCH(V1758, 'File Links'!C:C, 0))))</f>
        <v>N/A</v>
      </c>
      <c r="Y1758" s="68"/>
      <c r="Z1758" s="151" t="s">
        <v>2079</v>
      </c>
      <c r="AA1758" s="371" t="s">
        <v>10055</v>
      </c>
      <c r="AB1758" s="151" t="s">
        <v>10126</v>
      </c>
      <c r="AC1758" s="151" t="s">
        <v>10136</v>
      </c>
      <c r="AD1758" s="380" t="s">
        <v>10071</v>
      </c>
      <c r="AE1758" s="151" t="s">
        <v>10127</v>
      </c>
      <c r="AF1758" s="1794">
        <v>171.0</v>
      </c>
      <c r="AG1758" s="161">
        <v>0.283</v>
      </c>
      <c r="AH1758" s="151" t="s">
        <v>215</v>
      </c>
      <c r="AI1758" s="151" t="s">
        <v>10128</v>
      </c>
      <c r="AJ1758" s="161">
        <v>0.001</v>
      </c>
      <c r="AK1758" s="151" t="s">
        <v>135</v>
      </c>
      <c r="AL1758" s="151" t="s">
        <v>186</v>
      </c>
      <c r="AM1758" s="129" t="s">
        <v>137</v>
      </c>
      <c r="AN1758" s="129" t="s">
        <v>1535</v>
      </c>
      <c r="AO1758" s="161">
        <v>823.0</v>
      </c>
      <c r="AP1758" s="1795">
        <v>0.196</v>
      </c>
      <c r="AQ1758" s="151" t="s">
        <v>215</v>
      </c>
      <c r="AR1758" s="380" t="s">
        <v>10129</v>
      </c>
      <c r="AS1758" s="161">
        <v>0.001</v>
      </c>
      <c r="AT1758" s="151" t="s">
        <v>135</v>
      </c>
      <c r="AU1758" s="151" t="s">
        <v>186</v>
      </c>
      <c r="AV1758" s="129" t="s">
        <v>137</v>
      </c>
      <c r="AW1758" s="1308" t="s">
        <v>10062</v>
      </c>
      <c r="AX1758" s="129" t="s">
        <v>143</v>
      </c>
      <c r="AY1758" s="61" t="str">
        <f>IFERROR(__xludf.DUMMYFUNCTION("vlookup(BB1758,importrange(""https://docs.google.com/spreadsheets/d/1d2vevQ_7D_v35q4wCQ4RpQ_IPoTwEMB9Yp6ymwlPqew/edit?gid=984458430#gid=984458430"", ""'replication success'!A:K""), 11, FAlSE)"),"successful")</f>
        <v>successful</v>
      </c>
      <c r="AZ1758" s="61" t="str">
        <f>IFERROR(__xludf.DUMMYFUNCTION("vlookup(BB1758,importrange(""https://docs.google.com/spreadsheets/d/1d2vevQ_7D_v35q4wCQ4RpQ_IPoTwEMB9Yp6ymwlPqew/edit?gid=984458430#gid=984458430"",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8" s="61" t="str">
        <f>IFERROR(__xludf.DUMMYFUNCTION("vlookup(BB1758,importrange(""https://docs.google.com/spreadsheets/d/1d2vevQ_7D_v35q4wCQ4RpQ_IPoTwEMB9Yp6ymwlPqew/edit?gid=984458430#gid=984458430"", ""'replication success'!A:M""), 13, FAlSE)"),"pg. 5")</f>
        <v>pg. 5</v>
      </c>
      <c r="BB1758" s="61" t="str">
        <f>IFERROR(__xludf.DUMMYFUNCTION("REGEXREPLACE(G1758, ""_[a-z]{1,2}$"", """")"),"OpenMKT1")</f>
        <v>OpenMKT1</v>
      </c>
      <c r="BD1758" s="1782" t="s">
        <v>7943</v>
      </c>
    </row>
    <row r="1759" ht="15.75" customHeight="1">
      <c r="A1759" s="44">
        <v>1759.0</v>
      </c>
      <c r="B1759" s="129" t="s">
        <v>152</v>
      </c>
      <c r="C1759" s="62" t="s">
        <v>115</v>
      </c>
      <c r="D1759" s="62" t="s">
        <v>145</v>
      </c>
      <c r="F1759" s="129" t="s">
        <v>10137</v>
      </c>
      <c r="G1759" s="129" t="s">
        <v>10073</v>
      </c>
      <c r="H1759" s="151" t="s">
        <v>10123</v>
      </c>
      <c r="I1759" s="153">
        <v>45758.0</v>
      </c>
      <c r="J1759" s="1786">
        <v>45765.0</v>
      </c>
      <c r="K1759" s="159"/>
      <c r="L1759" s="1781" t="s">
        <v>10125</v>
      </c>
      <c r="M1759" s="129" t="s">
        <v>10049</v>
      </c>
      <c r="N1759" s="129" t="s">
        <v>10050</v>
      </c>
      <c r="O1759" s="501">
        <v>1.0</v>
      </c>
      <c r="P1759" s="528" t="s">
        <v>10051</v>
      </c>
      <c r="Q1759" s="108" t="str">
        <f t="array" ref="Q1759"> if(iserror(MATCH(V1759, 'File Links'!C:C, 0)), "N/A", HYPERLINK(INDEX('File Links'!B:B, MATCH(P1759, 'File Links'!C:C, 0))))</f>
        <v>N/A</v>
      </c>
      <c r="R1759" s="1697" t="s">
        <v>10052</v>
      </c>
      <c r="S1759" s="129" t="s">
        <v>10053</v>
      </c>
      <c r="T1759" s="1379"/>
      <c r="U1759" s="336"/>
      <c r="V1759" s="151" t="s">
        <v>10054</v>
      </c>
      <c r="W1759" s="159"/>
      <c r="X1759" s="49" t="str">
        <f t="array" ref="X1759"> if(iserror(MATCH(V1759, 'File Links'!C:C, 0)), "N/A", HYPERLINK(INDEX('File Links'!B:B, MATCH(V1759, 'File Links'!C:C, 0))))</f>
        <v>N/A</v>
      </c>
      <c r="Y1759" s="68"/>
      <c r="Z1759" s="151" t="s">
        <v>2079</v>
      </c>
      <c r="AA1759" s="371" t="s">
        <v>10055</v>
      </c>
      <c r="AB1759" s="151" t="s">
        <v>10126</v>
      </c>
      <c r="AC1759" s="151" t="s">
        <v>10075</v>
      </c>
      <c r="AD1759" s="380" t="s">
        <v>10076</v>
      </c>
      <c r="AE1759" s="151" t="s">
        <v>10127</v>
      </c>
      <c r="AF1759" s="1794">
        <v>171.0</v>
      </c>
      <c r="AG1759" s="161">
        <v>0.819</v>
      </c>
      <c r="AH1759" s="151" t="s">
        <v>215</v>
      </c>
      <c r="AI1759" s="151" t="s">
        <v>10128</v>
      </c>
      <c r="AJ1759" s="161">
        <v>0.001</v>
      </c>
      <c r="AK1759" s="151" t="s">
        <v>135</v>
      </c>
      <c r="AL1759" s="151" t="s">
        <v>186</v>
      </c>
      <c r="AM1759" s="129" t="s">
        <v>137</v>
      </c>
      <c r="AN1759" s="129" t="s">
        <v>1535</v>
      </c>
      <c r="AO1759" s="161">
        <v>823.0</v>
      </c>
      <c r="AP1759" s="1795">
        <v>0.222</v>
      </c>
      <c r="AQ1759" s="151" t="s">
        <v>215</v>
      </c>
      <c r="AR1759" s="380" t="s">
        <v>10129</v>
      </c>
      <c r="AS1759" s="161">
        <v>0.001</v>
      </c>
      <c r="AT1759" s="151" t="s">
        <v>135</v>
      </c>
      <c r="AU1759" s="151" t="s">
        <v>186</v>
      </c>
      <c r="AV1759" s="129" t="s">
        <v>137</v>
      </c>
      <c r="AW1759" s="1308" t="s">
        <v>10062</v>
      </c>
      <c r="AX1759" s="129" t="s">
        <v>143</v>
      </c>
      <c r="AY1759" s="61" t="str">
        <f>IFERROR(__xludf.DUMMYFUNCTION("vlookup(BB1759,importrange(""https://docs.google.com/spreadsheets/d/1d2vevQ_7D_v35q4wCQ4RpQ_IPoTwEMB9Yp6ymwlPqew/edit?gid=984458430#gid=984458430"", ""'replication success'!A:K""), 11, FAlSE)"),"successful")</f>
        <v>successful</v>
      </c>
      <c r="AZ1759" s="61" t="str">
        <f>IFERROR(__xludf.DUMMYFUNCTION("vlookup(BB1759,importrange(""https://docs.google.com/spreadsheets/d/1d2vevQ_7D_v35q4wCQ4RpQ_IPoTwEMB9Yp6ymwlPqew/edit?gid=984458430#gid=984458430"",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59" s="61" t="str">
        <f>IFERROR(__xludf.DUMMYFUNCTION("vlookup(BB1759,importrange(""https://docs.google.com/spreadsheets/d/1d2vevQ_7D_v35q4wCQ4RpQ_IPoTwEMB9Yp6ymwlPqew/edit?gid=984458430#gid=984458430"", ""'replication success'!A:M""), 13, FAlSE)"),"pg. 5")</f>
        <v>pg. 5</v>
      </c>
      <c r="BB1759" s="61" t="str">
        <f>IFERROR(__xludf.DUMMYFUNCTION("REGEXREPLACE(G1759, ""_[a-z]{1,2}$"", """")"),"OpenMKT1")</f>
        <v>OpenMKT1</v>
      </c>
      <c r="BD1759" s="1782" t="s">
        <v>7943</v>
      </c>
    </row>
    <row r="1760" ht="15.75" customHeight="1">
      <c r="A1760" s="44">
        <v>1760.0</v>
      </c>
      <c r="B1760" s="129" t="s">
        <v>152</v>
      </c>
      <c r="C1760" s="62" t="s">
        <v>115</v>
      </c>
      <c r="D1760" s="62" t="s">
        <v>145</v>
      </c>
      <c r="F1760" s="129" t="s">
        <v>10138</v>
      </c>
      <c r="G1760" s="129" t="s">
        <v>10078</v>
      </c>
      <c r="H1760" s="151" t="s">
        <v>10123</v>
      </c>
      <c r="I1760" s="153">
        <v>45758.0</v>
      </c>
      <c r="J1760" s="1786">
        <v>45765.0</v>
      </c>
      <c r="K1760" s="159"/>
      <c r="L1760" s="1781" t="s">
        <v>10125</v>
      </c>
      <c r="M1760" s="129" t="s">
        <v>10049</v>
      </c>
      <c r="N1760" s="129" t="s">
        <v>10050</v>
      </c>
      <c r="O1760" s="501">
        <v>1.0</v>
      </c>
      <c r="P1760" s="528" t="s">
        <v>10051</v>
      </c>
      <c r="Q1760" s="108" t="str">
        <f t="array" ref="Q1760"> if(iserror(MATCH(V1760, 'File Links'!C:C, 0)), "N/A", HYPERLINK(INDEX('File Links'!B:B, MATCH(P1760, 'File Links'!C:C, 0))))</f>
        <v>N/A</v>
      </c>
      <c r="R1760" s="1697" t="s">
        <v>10052</v>
      </c>
      <c r="S1760" s="129" t="s">
        <v>10053</v>
      </c>
      <c r="T1760" s="1379"/>
      <c r="U1760" s="336"/>
      <c r="V1760" s="151" t="s">
        <v>10054</v>
      </c>
      <c r="W1760" s="159"/>
      <c r="X1760" s="49" t="str">
        <f t="array" ref="X1760"> if(iserror(MATCH(V1760, 'File Links'!C:C, 0)), "N/A", HYPERLINK(INDEX('File Links'!B:B, MATCH(V1760, 'File Links'!C:C, 0))))</f>
        <v>N/A</v>
      </c>
      <c r="Y1760" s="68"/>
      <c r="Z1760" s="151" t="s">
        <v>2079</v>
      </c>
      <c r="AA1760" s="371" t="s">
        <v>10055</v>
      </c>
      <c r="AB1760" s="151" t="s">
        <v>10126</v>
      </c>
      <c r="AC1760" s="151" t="s">
        <v>10080</v>
      </c>
      <c r="AD1760" s="380" t="s">
        <v>10081</v>
      </c>
      <c r="AE1760" s="151" t="s">
        <v>10127</v>
      </c>
      <c r="AF1760" s="1794">
        <v>171.0</v>
      </c>
      <c r="AG1760" s="161">
        <v>0.215</v>
      </c>
      <c r="AH1760" s="151" t="s">
        <v>215</v>
      </c>
      <c r="AI1760" s="151" t="s">
        <v>10128</v>
      </c>
      <c r="AJ1760" s="161">
        <v>0.001</v>
      </c>
      <c r="AK1760" s="151" t="s">
        <v>135</v>
      </c>
      <c r="AL1760" s="151" t="s">
        <v>186</v>
      </c>
      <c r="AM1760" s="129" t="s">
        <v>137</v>
      </c>
      <c r="AN1760" s="129" t="s">
        <v>1535</v>
      </c>
      <c r="AO1760" s="161">
        <v>823.0</v>
      </c>
      <c r="AP1760" s="1795">
        <v>0.303</v>
      </c>
      <c r="AQ1760" s="151" t="s">
        <v>215</v>
      </c>
      <c r="AR1760" s="380" t="s">
        <v>10129</v>
      </c>
      <c r="AS1760" s="161">
        <v>0.001</v>
      </c>
      <c r="AT1760" s="151" t="s">
        <v>135</v>
      </c>
      <c r="AU1760" s="151" t="s">
        <v>186</v>
      </c>
      <c r="AV1760" s="129" t="s">
        <v>137</v>
      </c>
      <c r="AW1760" s="1308" t="s">
        <v>10062</v>
      </c>
      <c r="AX1760" s="129" t="s">
        <v>143</v>
      </c>
      <c r="AY1760" s="61" t="str">
        <f>IFERROR(__xludf.DUMMYFUNCTION("vlookup(BB1760,importrange(""https://docs.google.com/spreadsheets/d/1d2vevQ_7D_v35q4wCQ4RpQ_IPoTwEMB9Yp6ymwlPqew/edit?gid=984458430#gid=984458430"", ""'replication success'!A:K""), 11, FAlSE)"),"successful")</f>
        <v>successful</v>
      </c>
      <c r="AZ1760" s="61" t="str">
        <f>IFERROR(__xludf.DUMMYFUNCTION("vlookup(BB1760,importrange(""https://docs.google.com/spreadsheets/d/1d2vevQ_7D_v35q4wCQ4RpQ_IPoTwEMB9Yp6ymwlPqew/edit?gid=984458430#gid=984458430"",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60" s="61" t="str">
        <f>IFERROR(__xludf.DUMMYFUNCTION("vlookup(BB1760,importrange(""https://docs.google.com/spreadsheets/d/1d2vevQ_7D_v35q4wCQ4RpQ_IPoTwEMB9Yp6ymwlPqew/edit?gid=984458430#gid=984458430"", ""'replication success'!A:M""), 13, FAlSE)"),"pg. 5")</f>
        <v>pg. 5</v>
      </c>
      <c r="BB1760" s="61" t="str">
        <f>IFERROR(__xludf.DUMMYFUNCTION("REGEXREPLACE(G1760, ""_[a-z]{1,2}$"", """")"),"OpenMKT1")</f>
        <v>OpenMKT1</v>
      </c>
      <c r="BD1760" s="1782" t="s">
        <v>7943</v>
      </c>
    </row>
    <row r="1761" ht="15.75" customHeight="1">
      <c r="A1761" s="44">
        <v>1761.0</v>
      </c>
      <c r="B1761" s="129" t="s">
        <v>152</v>
      </c>
      <c r="C1761" s="62" t="s">
        <v>115</v>
      </c>
      <c r="D1761" s="62" t="s">
        <v>145</v>
      </c>
      <c r="F1761" s="129" t="s">
        <v>10139</v>
      </c>
      <c r="G1761" s="129" t="s">
        <v>10083</v>
      </c>
      <c r="H1761" s="151" t="s">
        <v>10123</v>
      </c>
      <c r="I1761" s="153">
        <v>45758.0</v>
      </c>
      <c r="J1761" s="1786">
        <v>45765.0</v>
      </c>
      <c r="K1761" s="159"/>
      <c r="L1761" s="1781" t="s">
        <v>10125</v>
      </c>
      <c r="M1761" s="129" t="s">
        <v>10049</v>
      </c>
      <c r="N1761" s="129" t="s">
        <v>10050</v>
      </c>
      <c r="O1761" s="501">
        <v>1.0</v>
      </c>
      <c r="P1761" s="528" t="s">
        <v>10051</v>
      </c>
      <c r="Q1761" s="108" t="str">
        <f t="array" ref="Q1761"> if(iserror(MATCH(V1761, 'File Links'!C:C, 0)), "N/A", HYPERLINK(INDEX('File Links'!B:B, MATCH(P1761, 'File Links'!C:C, 0))))</f>
        <v>N/A</v>
      </c>
      <c r="R1761" s="1697" t="s">
        <v>10052</v>
      </c>
      <c r="S1761" s="129" t="s">
        <v>10053</v>
      </c>
      <c r="T1761" s="1379"/>
      <c r="U1761" s="336"/>
      <c r="V1761" s="151" t="s">
        <v>10054</v>
      </c>
      <c r="W1761" s="159"/>
      <c r="X1761" s="49" t="str">
        <f t="array" ref="X1761"> if(iserror(MATCH(V1761, 'File Links'!C:C, 0)), "N/A", HYPERLINK(INDEX('File Links'!B:B, MATCH(V1761, 'File Links'!C:C, 0))))</f>
        <v>N/A</v>
      </c>
      <c r="Y1761" s="68"/>
      <c r="Z1761" s="151" t="s">
        <v>2079</v>
      </c>
      <c r="AA1761" s="371" t="s">
        <v>10055</v>
      </c>
      <c r="AB1761" s="151" t="s">
        <v>10126</v>
      </c>
      <c r="AC1761" s="151" t="s">
        <v>10085</v>
      </c>
      <c r="AD1761" s="380" t="s">
        <v>10086</v>
      </c>
      <c r="AE1761" s="151" t="s">
        <v>10127</v>
      </c>
      <c r="AF1761" s="1794">
        <v>171.0</v>
      </c>
      <c r="AG1761" s="161">
        <v>0.411</v>
      </c>
      <c r="AH1761" s="151" t="s">
        <v>215</v>
      </c>
      <c r="AI1761" s="151" t="s">
        <v>10128</v>
      </c>
      <c r="AJ1761" s="161">
        <v>0.001</v>
      </c>
      <c r="AK1761" s="151" t="s">
        <v>135</v>
      </c>
      <c r="AL1761" s="151" t="s">
        <v>186</v>
      </c>
      <c r="AM1761" s="129" t="s">
        <v>137</v>
      </c>
      <c r="AN1761" s="129" t="s">
        <v>1535</v>
      </c>
      <c r="AO1761" s="161">
        <v>823.0</v>
      </c>
      <c r="AP1761" s="1795">
        <v>0.31</v>
      </c>
      <c r="AQ1761" s="151" t="s">
        <v>215</v>
      </c>
      <c r="AR1761" s="380" t="s">
        <v>10129</v>
      </c>
      <c r="AS1761" s="161">
        <v>0.001</v>
      </c>
      <c r="AT1761" s="151" t="s">
        <v>135</v>
      </c>
      <c r="AU1761" s="151" t="s">
        <v>186</v>
      </c>
      <c r="AV1761" s="129" t="s">
        <v>137</v>
      </c>
      <c r="AW1761" s="1308" t="s">
        <v>10062</v>
      </c>
      <c r="AX1761" s="129" t="s">
        <v>143</v>
      </c>
      <c r="AY1761" s="61" t="str">
        <f>IFERROR(__xludf.DUMMYFUNCTION("vlookup(BB1761,importrange(""https://docs.google.com/spreadsheets/d/1d2vevQ_7D_v35q4wCQ4RpQ_IPoTwEMB9Yp6ymwlPqew/edit?gid=984458430#gid=984458430"", ""'replication success'!A:K""), 11, FAlSE)"),"successful")</f>
        <v>successful</v>
      </c>
      <c r="AZ1761" s="61" t="str">
        <f>IFERROR(__xludf.DUMMYFUNCTION("vlookup(BB1761,importrange(""https://docs.google.com/spreadsheets/d/1d2vevQ_7D_v35q4wCQ4RpQ_IPoTwEMB9Yp6ymwlPqew/edit?gid=984458430#gid=984458430"",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61" s="61" t="str">
        <f>IFERROR(__xludf.DUMMYFUNCTION("vlookup(BB1761,importrange(""https://docs.google.com/spreadsheets/d/1d2vevQ_7D_v35q4wCQ4RpQ_IPoTwEMB9Yp6ymwlPqew/edit?gid=984458430#gid=984458430"", ""'replication success'!A:M""), 13, FAlSE)"),"pg. 5")</f>
        <v>pg. 5</v>
      </c>
      <c r="BB1761" s="61" t="str">
        <f>IFERROR(__xludf.DUMMYFUNCTION("REGEXREPLACE(G1761, ""_[a-z]{1,2}$"", """")"),"OpenMKT1")</f>
        <v>OpenMKT1</v>
      </c>
      <c r="BD1761" s="1782" t="s">
        <v>7943</v>
      </c>
    </row>
    <row r="1762" ht="15.75" customHeight="1">
      <c r="A1762" s="44">
        <v>1762.0</v>
      </c>
      <c r="B1762" s="129" t="s">
        <v>152</v>
      </c>
      <c r="C1762" s="62" t="s">
        <v>115</v>
      </c>
      <c r="D1762" s="62" t="s">
        <v>145</v>
      </c>
      <c r="F1762" s="129" t="s">
        <v>10140</v>
      </c>
      <c r="G1762" s="129" t="s">
        <v>10088</v>
      </c>
      <c r="H1762" s="151" t="s">
        <v>10123</v>
      </c>
      <c r="I1762" s="153">
        <v>45758.0</v>
      </c>
      <c r="J1762" s="1786">
        <v>45765.0</v>
      </c>
      <c r="K1762" s="159"/>
      <c r="L1762" s="1781" t="s">
        <v>10125</v>
      </c>
      <c r="M1762" s="129" t="s">
        <v>10049</v>
      </c>
      <c r="N1762" s="129" t="s">
        <v>10050</v>
      </c>
      <c r="O1762" s="501">
        <v>1.0</v>
      </c>
      <c r="P1762" s="528" t="s">
        <v>10051</v>
      </c>
      <c r="Q1762" s="108" t="str">
        <f t="array" ref="Q1762"> if(iserror(MATCH(V1762, 'File Links'!C:C, 0)), "N/A", HYPERLINK(INDEX('File Links'!B:B, MATCH(P1762, 'File Links'!C:C, 0))))</f>
        <v>N/A</v>
      </c>
      <c r="R1762" s="1697" t="s">
        <v>10052</v>
      </c>
      <c r="S1762" s="129" t="s">
        <v>10053</v>
      </c>
      <c r="T1762" s="1379"/>
      <c r="U1762" s="336"/>
      <c r="V1762" s="151" t="s">
        <v>10054</v>
      </c>
      <c r="W1762" s="159"/>
      <c r="X1762" s="49" t="str">
        <f t="array" ref="X1762"> if(iserror(MATCH(V1762, 'File Links'!C:C, 0)), "N/A", HYPERLINK(INDEX('File Links'!B:B, MATCH(V1762, 'File Links'!C:C, 0))))</f>
        <v>N/A</v>
      </c>
      <c r="Y1762" s="68"/>
      <c r="Z1762" s="151" t="s">
        <v>2079</v>
      </c>
      <c r="AA1762" s="371" t="s">
        <v>10055</v>
      </c>
      <c r="AB1762" s="151" t="s">
        <v>10126</v>
      </c>
      <c r="AC1762" s="151" t="s">
        <v>10090</v>
      </c>
      <c r="AD1762" s="380" t="s">
        <v>10091</v>
      </c>
      <c r="AE1762" s="151" t="s">
        <v>10127</v>
      </c>
      <c r="AF1762" s="1794">
        <v>171.0</v>
      </c>
      <c r="AG1762" s="161">
        <v>0.615</v>
      </c>
      <c r="AH1762" s="151" t="s">
        <v>215</v>
      </c>
      <c r="AI1762" s="151" t="s">
        <v>10128</v>
      </c>
      <c r="AJ1762" s="161">
        <v>0.001</v>
      </c>
      <c r="AK1762" s="151" t="s">
        <v>135</v>
      </c>
      <c r="AL1762" s="151" t="s">
        <v>186</v>
      </c>
      <c r="AM1762" s="129" t="s">
        <v>137</v>
      </c>
      <c r="AN1762" s="129" t="s">
        <v>1535</v>
      </c>
      <c r="AO1762" s="161">
        <v>823.0</v>
      </c>
      <c r="AP1762" s="1795">
        <v>0.166</v>
      </c>
      <c r="AQ1762" s="151" t="s">
        <v>215</v>
      </c>
      <c r="AR1762" s="380" t="s">
        <v>10129</v>
      </c>
      <c r="AS1762" s="161">
        <v>0.001</v>
      </c>
      <c r="AT1762" s="151" t="s">
        <v>135</v>
      </c>
      <c r="AU1762" s="151" t="s">
        <v>186</v>
      </c>
      <c r="AV1762" s="129" t="s">
        <v>137</v>
      </c>
      <c r="AW1762" s="1308" t="s">
        <v>10062</v>
      </c>
      <c r="AX1762" s="129" t="s">
        <v>143</v>
      </c>
      <c r="AY1762" s="61" t="str">
        <f>IFERROR(__xludf.DUMMYFUNCTION("vlookup(BB1762,importrange(""https://docs.google.com/spreadsheets/d/1d2vevQ_7D_v35q4wCQ4RpQ_IPoTwEMB9Yp6ymwlPqew/edit?gid=984458430#gid=984458430"", ""'replication success'!A:K""), 11, FAlSE)"),"successful")</f>
        <v>successful</v>
      </c>
      <c r="AZ1762" s="61" t="str">
        <f>IFERROR(__xludf.DUMMYFUNCTION("vlookup(BB1762,importrange(""https://docs.google.com/spreadsheets/d/1d2vevQ_7D_v35q4wCQ4RpQ_IPoTwEMB9Yp6ymwlPqew/edit?gid=984458430#gid=984458430"",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62" s="61" t="str">
        <f>IFERROR(__xludf.DUMMYFUNCTION("vlookup(BB1762,importrange(""https://docs.google.com/spreadsheets/d/1d2vevQ_7D_v35q4wCQ4RpQ_IPoTwEMB9Yp6ymwlPqew/edit?gid=984458430#gid=984458430"", ""'replication success'!A:M""), 13, FAlSE)"),"pg. 5")</f>
        <v>pg. 5</v>
      </c>
      <c r="BB1762" s="61" t="str">
        <f>IFERROR(__xludf.DUMMYFUNCTION("REGEXREPLACE(G1762, ""_[a-z]{1,2}$"", """")"),"OpenMKT1")</f>
        <v>OpenMKT1</v>
      </c>
      <c r="BD1762" s="1782" t="s">
        <v>7943</v>
      </c>
    </row>
    <row r="1763" ht="15.75" customHeight="1">
      <c r="A1763" s="44">
        <v>1763.0</v>
      </c>
      <c r="B1763" s="129" t="s">
        <v>152</v>
      </c>
      <c r="C1763" s="62" t="s">
        <v>115</v>
      </c>
      <c r="D1763" s="62" t="s">
        <v>145</v>
      </c>
      <c r="F1763" s="129" t="s">
        <v>10141</v>
      </c>
      <c r="G1763" s="129" t="s">
        <v>10093</v>
      </c>
      <c r="H1763" s="151" t="s">
        <v>10123</v>
      </c>
      <c r="I1763" s="153">
        <v>45758.0</v>
      </c>
      <c r="J1763" s="1786">
        <v>45765.0</v>
      </c>
      <c r="K1763" s="159"/>
      <c r="L1763" s="1781" t="s">
        <v>10125</v>
      </c>
      <c r="M1763" s="129" t="s">
        <v>10049</v>
      </c>
      <c r="N1763" s="129" t="s">
        <v>10050</v>
      </c>
      <c r="O1763" s="501">
        <v>1.0</v>
      </c>
      <c r="P1763" s="528" t="s">
        <v>10051</v>
      </c>
      <c r="Q1763" s="108" t="str">
        <f t="array" ref="Q1763"> if(iserror(MATCH(V1763, 'File Links'!C:C, 0)), "N/A", HYPERLINK(INDEX('File Links'!B:B, MATCH(P1763, 'File Links'!C:C, 0))))</f>
        <v>N/A</v>
      </c>
      <c r="R1763" s="1697" t="s">
        <v>10052</v>
      </c>
      <c r="S1763" s="129" t="s">
        <v>10053</v>
      </c>
      <c r="T1763" s="1379"/>
      <c r="U1763" s="336"/>
      <c r="V1763" s="151" t="s">
        <v>10054</v>
      </c>
      <c r="W1763" s="159"/>
      <c r="X1763" s="49" t="str">
        <f t="array" ref="X1763"> if(iserror(MATCH(V1763, 'File Links'!C:C, 0)), "N/A", HYPERLINK(INDEX('File Links'!B:B, MATCH(V1763, 'File Links'!C:C, 0))))</f>
        <v>N/A</v>
      </c>
      <c r="Y1763" s="68"/>
      <c r="Z1763" s="151" t="s">
        <v>2079</v>
      </c>
      <c r="AA1763" s="371" t="s">
        <v>10055</v>
      </c>
      <c r="AB1763" s="151" t="s">
        <v>10126</v>
      </c>
      <c r="AC1763" s="151" t="s">
        <v>10095</v>
      </c>
      <c r="AD1763" s="380" t="s">
        <v>10096</v>
      </c>
      <c r="AE1763" s="151" t="s">
        <v>10127</v>
      </c>
      <c r="AF1763" s="1794">
        <v>171.0</v>
      </c>
      <c r="AG1763" s="161">
        <v>0.23</v>
      </c>
      <c r="AH1763" s="151" t="s">
        <v>215</v>
      </c>
      <c r="AI1763" s="151" t="s">
        <v>10128</v>
      </c>
      <c r="AJ1763" s="161">
        <v>0.001</v>
      </c>
      <c r="AK1763" s="151" t="s">
        <v>135</v>
      </c>
      <c r="AL1763" s="151" t="s">
        <v>186</v>
      </c>
      <c r="AM1763" s="129" t="s">
        <v>137</v>
      </c>
      <c r="AN1763" s="129" t="s">
        <v>1535</v>
      </c>
      <c r="AO1763" s="161">
        <v>823.0</v>
      </c>
      <c r="AP1763" s="1795">
        <v>0.108</v>
      </c>
      <c r="AQ1763" s="151" t="s">
        <v>215</v>
      </c>
      <c r="AR1763" s="380" t="s">
        <v>10129</v>
      </c>
      <c r="AS1763" s="161">
        <v>0.002</v>
      </c>
      <c r="AT1763" s="151" t="s">
        <v>172</v>
      </c>
      <c r="AU1763" s="151" t="s">
        <v>186</v>
      </c>
      <c r="AV1763" s="129" t="s">
        <v>137</v>
      </c>
      <c r="AW1763" s="1308" t="s">
        <v>10062</v>
      </c>
      <c r="AX1763" s="129" t="s">
        <v>143</v>
      </c>
      <c r="AY1763" s="61" t="str">
        <f>IFERROR(__xludf.DUMMYFUNCTION("vlookup(BB1763,importrange(""https://docs.google.com/spreadsheets/d/1d2vevQ_7D_v35q4wCQ4RpQ_IPoTwEMB9Yp6ymwlPqew/edit?gid=984458430#gid=984458430"", ""'replication success'!A:K""), 11, FAlSE)"),"successful")</f>
        <v>successful</v>
      </c>
      <c r="AZ1763" s="61" t="str">
        <f>IFERROR(__xludf.DUMMYFUNCTION("vlookup(BB1763,importrange(""https://docs.google.com/spreadsheets/d/1d2vevQ_7D_v35q4wCQ4RpQ_IPoTwEMB9Yp6ymwlPqew/edit?gid=984458430#gid=984458430"",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63" s="61" t="str">
        <f>IFERROR(__xludf.DUMMYFUNCTION("vlookup(BB1763,importrange(""https://docs.google.com/spreadsheets/d/1d2vevQ_7D_v35q4wCQ4RpQ_IPoTwEMB9Yp6ymwlPqew/edit?gid=984458430#gid=984458430"", ""'replication success'!A:M""), 13, FAlSE)"),"pg. 5")</f>
        <v>pg. 5</v>
      </c>
      <c r="BB1763" s="61" t="str">
        <f>IFERROR(__xludf.DUMMYFUNCTION("REGEXREPLACE(G1763, ""_[a-z]{1,2}$"", """")"),"OpenMKT1")</f>
        <v>OpenMKT1</v>
      </c>
      <c r="BD1763" s="1782" t="s">
        <v>7943</v>
      </c>
    </row>
    <row r="1764" ht="15.75" customHeight="1">
      <c r="A1764" s="44">
        <v>1764.0</v>
      </c>
      <c r="B1764" s="129" t="s">
        <v>152</v>
      </c>
      <c r="C1764" s="62" t="s">
        <v>115</v>
      </c>
      <c r="D1764" s="62" t="s">
        <v>145</v>
      </c>
      <c r="F1764" s="129" t="s">
        <v>10142</v>
      </c>
      <c r="G1764" s="129" t="s">
        <v>10098</v>
      </c>
      <c r="H1764" s="151" t="s">
        <v>10123</v>
      </c>
      <c r="I1764" s="153">
        <v>45758.0</v>
      </c>
      <c r="J1764" s="1786">
        <v>45765.0</v>
      </c>
      <c r="K1764" s="159"/>
      <c r="L1764" s="1781" t="s">
        <v>10125</v>
      </c>
      <c r="M1764" s="129" t="s">
        <v>10049</v>
      </c>
      <c r="N1764" s="129" t="s">
        <v>10050</v>
      </c>
      <c r="O1764" s="501">
        <v>1.0</v>
      </c>
      <c r="P1764" s="528" t="s">
        <v>10051</v>
      </c>
      <c r="Q1764" s="108" t="str">
        <f t="array" ref="Q1764"> if(iserror(MATCH(V1764, 'File Links'!C:C, 0)), "N/A", HYPERLINK(INDEX('File Links'!B:B, MATCH(P1764, 'File Links'!C:C, 0))))</f>
        <v>N/A</v>
      </c>
      <c r="R1764" s="1697" t="s">
        <v>10052</v>
      </c>
      <c r="S1764" s="129" t="s">
        <v>10053</v>
      </c>
      <c r="T1764" s="1379"/>
      <c r="U1764" s="336"/>
      <c r="V1764" s="151" t="s">
        <v>10054</v>
      </c>
      <c r="W1764" s="159"/>
      <c r="X1764" s="49" t="str">
        <f t="array" ref="X1764"> if(iserror(MATCH(V1764, 'File Links'!C:C, 0)), "N/A", HYPERLINK(INDEX('File Links'!B:B, MATCH(V1764, 'File Links'!C:C, 0))))</f>
        <v>N/A</v>
      </c>
      <c r="Y1764" s="68"/>
      <c r="Z1764" s="151" t="s">
        <v>2079</v>
      </c>
      <c r="AA1764" s="371" t="s">
        <v>10055</v>
      </c>
      <c r="AB1764" s="151" t="s">
        <v>10126</v>
      </c>
      <c r="AC1764" s="151" t="s">
        <v>10100</v>
      </c>
      <c r="AD1764" s="1543" t="s">
        <v>10143</v>
      </c>
      <c r="AE1764" s="151" t="s">
        <v>10127</v>
      </c>
      <c r="AF1764" s="1794">
        <v>171.0</v>
      </c>
      <c r="AG1764" s="161">
        <v>0.57</v>
      </c>
      <c r="AH1764" s="151" t="s">
        <v>215</v>
      </c>
      <c r="AI1764" s="151" t="s">
        <v>10128</v>
      </c>
      <c r="AJ1764" s="161">
        <v>0.001</v>
      </c>
      <c r="AK1764" s="151" t="s">
        <v>135</v>
      </c>
      <c r="AL1764" s="151" t="s">
        <v>186</v>
      </c>
      <c r="AM1764" s="129" t="s">
        <v>137</v>
      </c>
      <c r="AN1764" s="129" t="s">
        <v>1535</v>
      </c>
      <c r="AO1764" s="161">
        <v>823.0</v>
      </c>
      <c r="AP1764" s="1795">
        <v>-0.327</v>
      </c>
      <c r="AQ1764" s="151" t="s">
        <v>215</v>
      </c>
      <c r="AR1764" s="380" t="s">
        <v>10129</v>
      </c>
      <c r="AS1764" s="161">
        <v>0.005</v>
      </c>
      <c r="AT1764" s="151" t="s">
        <v>172</v>
      </c>
      <c r="AU1764" s="151" t="s">
        <v>186</v>
      </c>
      <c r="AV1764" s="129" t="s">
        <v>137</v>
      </c>
      <c r="AW1764" s="1308" t="s">
        <v>10062</v>
      </c>
      <c r="AX1764" s="129" t="s">
        <v>143</v>
      </c>
      <c r="AY1764" s="61" t="str">
        <f>IFERROR(__xludf.DUMMYFUNCTION("vlookup(BB1764,importrange(""https://docs.google.com/spreadsheets/d/1d2vevQ_7D_v35q4wCQ4RpQ_IPoTwEMB9Yp6ymwlPqew/edit?gid=984458430#gid=984458430"", ""'replication success'!A:K""), 11, FAlSE)"),"successful")</f>
        <v>successful</v>
      </c>
      <c r="AZ1764" s="61" t="str">
        <f>IFERROR(__xludf.DUMMYFUNCTION("vlookup(BB1764,importrange(""https://docs.google.com/spreadsheets/d/1d2vevQ_7D_v35q4wCQ4RpQ_IPoTwEMB9Yp6ymwlPqew/edit?gid=984458430#gid=984458430"", ""'replication success'!A:M""), 12, FAlSE)"),"We successfully replicated previous findings except for H1i and H1k
 (i.e., more masculine and stronger)")</f>
        <v>We successfully replicated previous findings except for H1i and H1k
 (i.e., more masculine and stronger)</v>
      </c>
      <c r="BA1764" s="61" t="str">
        <f>IFERROR(__xludf.DUMMYFUNCTION("vlookup(BB1764,importrange(""https://docs.google.com/spreadsheets/d/1d2vevQ_7D_v35q4wCQ4RpQ_IPoTwEMB9Yp6ymwlPqew/edit?gid=984458430#gid=984458430"", ""'replication success'!A:M""), 13, FAlSE)"),"pg. 5")</f>
        <v>pg. 5</v>
      </c>
      <c r="BB1764" s="61" t="str">
        <f>IFERROR(__xludf.DUMMYFUNCTION("REGEXREPLACE(G1764, ""_[a-z]{1,2}$"", """")"),"OpenMKT1")</f>
        <v>OpenMKT1</v>
      </c>
      <c r="BD1764" s="1782" t="s">
        <v>7943</v>
      </c>
    </row>
    <row r="1765" ht="15.75" customHeight="1">
      <c r="A1765" s="44">
        <v>1765.0</v>
      </c>
      <c r="B1765" s="129" t="s">
        <v>114</v>
      </c>
      <c r="C1765" s="62" t="s">
        <v>115</v>
      </c>
      <c r="D1765" s="62" t="s">
        <v>248</v>
      </c>
      <c r="F1765" s="129" t="s">
        <v>10144</v>
      </c>
      <c r="G1765" s="129" t="s">
        <v>10144</v>
      </c>
      <c r="H1765" s="151" t="s">
        <v>249</v>
      </c>
      <c r="I1765" s="153">
        <v>45756.0</v>
      </c>
      <c r="J1765" s="1587">
        <v>45772.0</v>
      </c>
      <c r="K1765" s="151" t="s">
        <v>10145</v>
      </c>
      <c r="L1765" s="129" t="s">
        <v>10146</v>
      </c>
      <c r="M1765" s="129" t="s">
        <v>10147</v>
      </c>
      <c r="N1765" s="129" t="s">
        <v>10148</v>
      </c>
      <c r="O1765" s="501" t="s">
        <v>4092</v>
      </c>
      <c r="P1765" s="528" t="s">
        <v>10149</v>
      </c>
      <c r="Q1765" s="108" t="str">
        <f t="array" ref="Q1765"> if(iserror(MATCH(V1765, 'File Links'!C:C, 0)), "N/A", HYPERLINK(INDEX('File Links'!B:B, MATCH(P1765, 'File Links'!C:C, 0))))</f>
        <v>N/A</v>
      </c>
      <c r="R1765" s="1697" t="s">
        <v>10052</v>
      </c>
      <c r="S1765" s="129" t="s">
        <v>10053</v>
      </c>
      <c r="T1765" s="1379"/>
      <c r="U1765" s="336"/>
      <c r="V1765" s="151" t="s">
        <v>10054</v>
      </c>
      <c r="W1765" s="159"/>
      <c r="X1765" s="49" t="str">
        <f t="array" ref="X1765"> if(iserror(MATCH(V1765, 'File Links'!C:C, 0)), "N/A", HYPERLINK(INDEX('File Links'!B:B, MATCH(V1765, 'File Links'!C:C, 0))))</f>
        <v>N/A</v>
      </c>
      <c r="Y1765" s="68"/>
      <c r="Z1765" s="151" t="s">
        <v>2079</v>
      </c>
      <c r="AA1765" s="371" t="s">
        <v>10055</v>
      </c>
      <c r="AB1765" s="151" t="s">
        <v>10150</v>
      </c>
      <c r="AC1765" s="151" t="s">
        <v>10151</v>
      </c>
      <c r="AD1765" s="151" t="s">
        <v>10152</v>
      </c>
      <c r="AE1765" s="151" t="s">
        <v>507</v>
      </c>
      <c r="AF1765" s="161">
        <v>37.0</v>
      </c>
      <c r="AG1765" s="161" t="s">
        <v>10153</v>
      </c>
      <c r="AH1765" s="151" t="s">
        <v>134</v>
      </c>
      <c r="AI1765" s="151" t="s">
        <v>10154</v>
      </c>
      <c r="AJ1765" s="161">
        <v>0.05</v>
      </c>
      <c r="AK1765" s="151" t="s">
        <v>135</v>
      </c>
      <c r="AL1765" s="151" t="s">
        <v>186</v>
      </c>
      <c r="AM1765" s="129" t="s">
        <v>137</v>
      </c>
      <c r="AN1765" s="129" t="s">
        <v>138</v>
      </c>
      <c r="AO1765" s="161">
        <v>823.0</v>
      </c>
      <c r="AP1765" s="161">
        <v>0.001</v>
      </c>
      <c r="AQ1765" s="151" t="s">
        <v>874</v>
      </c>
      <c r="AR1765" s="151" t="s">
        <v>10155</v>
      </c>
      <c r="AS1765" s="161">
        <v>0.452</v>
      </c>
      <c r="AT1765" s="151" t="s">
        <v>172</v>
      </c>
      <c r="AU1765" s="151" t="s">
        <v>186</v>
      </c>
      <c r="AV1765" s="129" t="s">
        <v>137</v>
      </c>
      <c r="AW1765" s="1699" t="s">
        <v>10062</v>
      </c>
      <c r="AX1765" s="129" t="s">
        <v>143</v>
      </c>
      <c r="AY1765" s="61" t="str">
        <f>IFERROR(__xludf.DUMMYFUNCTION("vlookup(BB1765,importrange(""https://docs.google.com/spreadsheets/d/1d2vevQ_7D_v35q4wCQ4RpQ_IPoTwEMB9Yp6ymwlPqew/edit?gid=984458430#gid=984458430"", ""'replication success'!A:K""), 11, FAlSE)"),"#N/A")</f>
        <v>#N/A</v>
      </c>
      <c r="AZ1765" s="61" t="str">
        <f>IFERROR(__xludf.DUMMYFUNCTION("vlookup(BB1765,importrange(""https://docs.google.com/spreadsheets/d/1d2vevQ_7D_v35q4wCQ4RpQ_IPoTwEMB9Yp6ymwlPqew/edit?gid=984458430#gid=984458430"", ""'replication success'!A:M""), 12, FAlSE)"),"#N/A")</f>
        <v>#N/A</v>
      </c>
      <c r="BA1765" s="61" t="str">
        <f>IFERROR(__xludf.DUMMYFUNCTION("vlookup(BB1765,importrange(""https://docs.google.com/spreadsheets/d/1d2vevQ_7D_v35q4wCQ4RpQ_IPoTwEMB9Yp6ymwlPqew/edit?gid=984458430#gid=984458430"", ""'replication success'!A:M""), 13, FAlSE)"),"#N/A")</f>
        <v>#N/A</v>
      </c>
      <c r="BB1765" s="61" t="str">
        <f>IFERROR(__xludf.DUMMYFUNCTION("REGEXREPLACE(G1765, ""_[a-z]{1,2}$"", """")"),"OpenMKT10_1")</f>
        <v>OpenMKT10_1</v>
      </c>
      <c r="BD1765" s="1631" t="s">
        <v>7943</v>
      </c>
    </row>
    <row r="1766" ht="15.75" customHeight="1">
      <c r="A1766" s="44">
        <v>1766.0</v>
      </c>
      <c r="B1766" s="129" t="s">
        <v>114</v>
      </c>
      <c r="C1766" s="62" t="s">
        <v>115</v>
      </c>
      <c r="D1766" s="62" t="s">
        <v>248</v>
      </c>
      <c r="F1766" s="129" t="s">
        <v>10144</v>
      </c>
      <c r="G1766" s="129" t="s">
        <v>10156</v>
      </c>
      <c r="H1766" s="151" t="s">
        <v>249</v>
      </c>
      <c r="I1766" s="153">
        <v>45756.0</v>
      </c>
      <c r="J1766" s="1587">
        <v>45772.0</v>
      </c>
      <c r="K1766" s="151" t="s">
        <v>10157</v>
      </c>
      <c r="L1766" s="129" t="s">
        <v>10146</v>
      </c>
      <c r="M1766" s="129" t="s">
        <v>10147</v>
      </c>
      <c r="N1766" s="129" t="s">
        <v>10148</v>
      </c>
      <c r="O1766" s="501" t="s">
        <v>4092</v>
      </c>
      <c r="P1766" s="528" t="s">
        <v>10149</v>
      </c>
      <c r="Q1766" s="108" t="str">
        <f t="array" ref="Q1766"> if(iserror(MATCH(V1766, 'File Links'!C:C, 0)), "N/A", HYPERLINK(INDEX('File Links'!B:B, MATCH(P1766, 'File Links'!C:C, 0))))</f>
        <v>N/A</v>
      </c>
      <c r="R1766" s="1697" t="s">
        <v>10052</v>
      </c>
      <c r="S1766" s="129" t="s">
        <v>10053</v>
      </c>
      <c r="T1766" s="1379"/>
      <c r="U1766" s="336"/>
      <c r="V1766" s="151" t="s">
        <v>10054</v>
      </c>
      <c r="W1766" s="159"/>
      <c r="X1766" s="49" t="str">
        <f t="array" ref="X1766"> if(iserror(MATCH(V1766, 'File Links'!C:C, 0)), "N/A", HYPERLINK(INDEX('File Links'!B:B, MATCH(V1766, 'File Links'!C:C, 0))))</f>
        <v>N/A</v>
      </c>
      <c r="Y1766" s="68"/>
      <c r="Z1766" s="151" t="s">
        <v>2079</v>
      </c>
      <c r="AA1766" s="371" t="s">
        <v>10055</v>
      </c>
      <c r="AB1766" s="151" t="s">
        <v>10150</v>
      </c>
      <c r="AC1766" s="151" t="s">
        <v>10158</v>
      </c>
      <c r="AD1766" s="151" t="s">
        <v>10159</v>
      </c>
      <c r="AE1766" s="151" t="s">
        <v>507</v>
      </c>
      <c r="AF1766" s="161">
        <v>37.0</v>
      </c>
      <c r="AG1766" s="161" t="s">
        <v>10160</v>
      </c>
      <c r="AH1766" s="151" t="s">
        <v>134</v>
      </c>
      <c r="AI1766" s="151" t="s">
        <v>10161</v>
      </c>
      <c r="AJ1766" s="161">
        <v>0.05</v>
      </c>
      <c r="AK1766" s="151" t="s">
        <v>135</v>
      </c>
      <c r="AL1766" s="151" t="s">
        <v>186</v>
      </c>
      <c r="AM1766" s="129" t="s">
        <v>137</v>
      </c>
      <c r="AN1766" s="129" t="s">
        <v>138</v>
      </c>
      <c r="AO1766" s="161">
        <v>823.0</v>
      </c>
      <c r="AP1766" s="161">
        <v>0.003</v>
      </c>
      <c r="AQ1766" s="151" t="s">
        <v>874</v>
      </c>
      <c r="AR1766" s="151" t="s">
        <v>10162</v>
      </c>
      <c r="AS1766" s="161">
        <v>0.123</v>
      </c>
      <c r="AT1766" s="151" t="s">
        <v>172</v>
      </c>
      <c r="AU1766" s="151" t="s">
        <v>186</v>
      </c>
      <c r="AV1766" s="129" t="s">
        <v>137</v>
      </c>
      <c r="AW1766" s="1699" t="s">
        <v>10062</v>
      </c>
      <c r="AX1766" s="129" t="s">
        <v>143</v>
      </c>
      <c r="AY1766" s="61" t="str">
        <f>IFERROR(__xludf.DUMMYFUNCTION("vlookup(BB1766,importrange(""https://docs.google.com/spreadsheets/d/1d2vevQ_7D_v35q4wCQ4RpQ_IPoTwEMB9Yp6ymwlPqew/edit?gid=984458430#gid=984458430"", ""'replication success'!A:K""), 11, FAlSE)"),"failed")</f>
        <v>failed</v>
      </c>
      <c r="AZ1766" s="61" t="str">
        <f>IFERROR(__xludf.DUMMYFUNCTION("vlookup(BB1766,importrange(""https://docs.google.com/spreadsheets/d/1d2vevQ_7D_v35q4wCQ4RpQ_IPoTwEMB9Yp6ymwlPqew/edit?gid=984458430#gid=984458430"",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766" s="61" t="str">
        <f>IFERROR(__xludf.DUMMYFUNCTION("vlookup(BB1766,importrange(""https://docs.google.com/spreadsheets/d/1d2vevQ_7D_v35q4wCQ4RpQ_IPoTwEMB9Yp6ymwlPqew/edit?gid=984458430#gid=984458430"", ""'replication success'!A:M""), 13, FAlSE)"),"pg. 7-8")</f>
        <v>pg. 7-8</v>
      </c>
      <c r="BB1766" s="61" t="str">
        <f>IFERROR(__xludf.DUMMYFUNCTION("REGEXREPLACE(G1766, ""_[a-z]{1,2}$"", """")"),"OpenMKT10")</f>
        <v>OpenMKT10</v>
      </c>
      <c r="BD1766" s="1631" t="s">
        <v>7943</v>
      </c>
    </row>
    <row r="1767" ht="15.75" customHeight="1">
      <c r="A1767" s="44">
        <v>1767.0</v>
      </c>
      <c r="B1767" s="56" t="s">
        <v>114</v>
      </c>
      <c r="C1767" s="341" t="s">
        <v>115</v>
      </c>
      <c r="D1767" s="341" t="s">
        <v>248</v>
      </c>
      <c r="E1767" s="342"/>
      <c r="F1767" s="56" t="s">
        <v>10144</v>
      </c>
      <c r="G1767" s="56" t="s">
        <v>10163</v>
      </c>
      <c r="H1767" s="343" t="s">
        <v>249</v>
      </c>
      <c r="I1767" s="345">
        <v>45756.0</v>
      </c>
      <c r="J1767" s="1587">
        <v>45772.0</v>
      </c>
      <c r="K1767" s="343" t="s">
        <v>10164</v>
      </c>
      <c r="L1767" s="56" t="s">
        <v>10165</v>
      </c>
      <c r="M1767" s="56" t="s">
        <v>10147</v>
      </c>
      <c r="N1767" s="56" t="s">
        <v>10148</v>
      </c>
      <c r="O1767" s="55" t="s">
        <v>4092</v>
      </c>
      <c r="P1767" s="1696" t="s">
        <v>10149</v>
      </c>
      <c r="Q1767" s="108" t="str">
        <f t="array" ref="Q1767"> if(iserror(MATCH(V1767, 'File Links'!C:C, 0)), "N/A", HYPERLINK(INDEX('File Links'!B:B, MATCH(P1767, 'File Links'!C:C, 0))))</f>
        <v>N/A</v>
      </c>
      <c r="R1767" s="1697" t="s">
        <v>10052</v>
      </c>
      <c r="S1767" s="56" t="s">
        <v>10053</v>
      </c>
      <c r="T1767" s="1798"/>
      <c r="U1767" s="385"/>
      <c r="V1767" s="343" t="s">
        <v>10054</v>
      </c>
      <c r="W1767" s="360"/>
      <c r="X1767" s="49" t="str">
        <f t="array" ref="X1767"> if(iserror(MATCH(V1767, 'File Links'!C:C, 0)), "N/A", HYPERLINK(INDEX('File Links'!B:B, MATCH(V1767, 'File Links'!C:C, 0))))</f>
        <v>N/A</v>
      </c>
      <c r="Y1767" s="46"/>
      <c r="Z1767" s="343" t="s">
        <v>2079</v>
      </c>
      <c r="AA1767" s="56" t="s">
        <v>10055</v>
      </c>
      <c r="AB1767" s="343" t="s">
        <v>10150</v>
      </c>
      <c r="AC1767" s="343" t="s">
        <v>10151</v>
      </c>
      <c r="AD1767" s="343" t="s">
        <v>10152</v>
      </c>
      <c r="AE1767" s="343" t="s">
        <v>507</v>
      </c>
      <c r="AF1767" s="347">
        <v>37.0</v>
      </c>
      <c r="AG1767" s="347" t="s">
        <v>10153</v>
      </c>
      <c r="AH1767" s="343" t="s">
        <v>134</v>
      </c>
      <c r="AI1767" s="343" t="s">
        <v>10154</v>
      </c>
      <c r="AJ1767" s="347">
        <v>0.05</v>
      </c>
      <c r="AK1767" s="343" t="s">
        <v>135</v>
      </c>
      <c r="AL1767" s="343" t="s">
        <v>186</v>
      </c>
      <c r="AM1767" s="56" t="s">
        <v>137</v>
      </c>
      <c r="AN1767" s="56" t="s">
        <v>138</v>
      </c>
      <c r="AO1767" s="347">
        <v>823.0</v>
      </c>
      <c r="AP1767" s="347">
        <v>0.61</v>
      </c>
      <c r="AQ1767" s="343" t="s">
        <v>215</v>
      </c>
      <c r="AR1767" s="343" t="s">
        <v>10166</v>
      </c>
      <c r="AS1767" s="347">
        <v>0.081</v>
      </c>
      <c r="AT1767" s="343" t="s">
        <v>172</v>
      </c>
      <c r="AU1767" s="343" t="s">
        <v>186</v>
      </c>
      <c r="AV1767" s="56" t="s">
        <v>137</v>
      </c>
      <c r="AW1767" s="1699" t="s">
        <v>138</v>
      </c>
      <c r="AX1767" s="56" t="s">
        <v>143</v>
      </c>
      <c r="AY1767" s="61" t="str">
        <f>IFERROR(__xludf.DUMMYFUNCTION("vlookup(BB1767,importrange(""https://docs.google.com/spreadsheets/d/1d2vevQ_7D_v35q4wCQ4RpQ_IPoTwEMB9Yp6ymwlPqew/edit?gid=984458430#gid=984458430"", ""'replication success'!A:K""), 11, FAlSE)"),"failed")</f>
        <v>failed</v>
      </c>
      <c r="AZ1767" s="61" t="str">
        <f>IFERROR(__xludf.DUMMYFUNCTION("vlookup(BB1767,importrange(""https://docs.google.com/spreadsheets/d/1d2vevQ_7D_v35q4wCQ4RpQ_IPoTwEMB9Yp6ymwlPqew/edit?gid=984458430#gid=984458430"",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767" s="61" t="str">
        <f>IFERROR(__xludf.DUMMYFUNCTION("vlookup(BB1767,importrange(""https://docs.google.com/spreadsheets/d/1d2vevQ_7D_v35q4wCQ4RpQ_IPoTwEMB9Yp6ymwlPqew/edit?gid=984458430#gid=984458430"", ""'replication success'!A:M""), 13, FAlSE)"),"pg. 7-8")</f>
        <v>pg. 7-8</v>
      </c>
      <c r="BB1767" s="61" t="str">
        <f>IFERROR(__xludf.DUMMYFUNCTION("REGEXREPLACE(G1767, ""_[a-z]{1,2}$"", """")"),"OpenMKT10")</f>
        <v>OpenMKT10</v>
      </c>
      <c r="BC1767" s="342"/>
      <c r="BD1767" s="341" t="s">
        <v>7943</v>
      </c>
    </row>
    <row r="1768" ht="15.75" customHeight="1">
      <c r="A1768" s="44">
        <v>1768.0</v>
      </c>
      <c r="B1768" s="129" t="s">
        <v>152</v>
      </c>
      <c r="C1768" s="62" t="s">
        <v>115</v>
      </c>
      <c r="D1768" s="62" t="s">
        <v>145</v>
      </c>
      <c r="F1768" s="129" t="s">
        <v>10144</v>
      </c>
      <c r="G1768" s="129" t="s">
        <v>10167</v>
      </c>
      <c r="H1768" s="151" t="s">
        <v>10123</v>
      </c>
      <c r="I1768" s="153">
        <v>45761.0</v>
      </c>
      <c r="J1768" s="1587">
        <v>45772.0</v>
      </c>
      <c r="K1768" s="159"/>
      <c r="L1768" s="56" t="s">
        <v>10168</v>
      </c>
      <c r="M1768" s="129" t="s">
        <v>10147</v>
      </c>
      <c r="N1768" s="129" t="s">
        <v>10148</v>
      </c>
      <c r="O1768" s="501" t="s">
        <v>4092</v>
      </c>
      <c r="P1768" s="528" t="s">
        <v>10149</v>
      </c>
      <c r="Q1768" s="108" t="str">
        <f t="array" ref="Q1768"> if(iserror(MATCH(V1768, 'File Links'!C:C, 0)), "N/A", HYPERLINK(INDEX('File Links'!B:B, MATCH(P1768, 'File Links'!C:C, 0))))</f>
        <v>N/A</v>
      </c>
      <c r="R1768" s="1697" t="s">
        <v>10052</v>
      </c>
      <c r="S1768" s="129" t="s">
        <v>10053</v>
      </c>
      <c r="T1768" s="1379"/>
      <c r="U1768" s="336"/>
      <c r="V1768" s="151" t="s">
        <v>10054</v>
      </c>
      <c r="W1768" s="159"/>
      <c r="X1768" s="49" t="str">
        <f t="array" ref="X1768"> if(iserror(MATCH(V1768, 'File Links'!C:C, 0)), "N/A", HYPERLINK(INDEX('File Links'!B:B, MATCH(V1768, 'File Links'!C:C, 0))))</f>
        <v>N/A</v>
      </c>
      <c r="Y1768" s="68"/>
      <c r="Z1768" s="151" t="s">
        <v>2079</v>
      </c>
      <c r="AA1768" s="56" t="s">
        <v>10055</v>
      </c>
      <c r="AB1768" s="151" t="s">
        <v>10169</v>
      </c>
      <c r="AC1768" s="151" t="s">
        <v>10151</v>
      </c>
      <c r="AD1768" s="151" t="s">
        <v>10170</v>
      </c>
      <c r="AE1768" s="151">
        <v>3.0</v>
      </c>
      <c r="AF1768" s="161">
        <v>37.0</v>
      </c>
      <c r="AG1768" s="161" t="s">
        <v>10153</v>
      </c>
      <c r="AH1768" s="151" t="s">
        <v>134</v>
      </c>
      <c r="AI1768" s="151" t="s">
        <v>217</v>
      </c>
      <c r="AJ1768" s="161">
        <v>0.05</v>
      </c>
      <c r="AK1768" s="151" t="s">
        <v>135</v>
      </c>
      <c r="AL1768" s="151" t="s">
        <v>186</v>
      </c>
      <c r="AM1768" s="129" t="s">
        <v>137</v>
      </c>
      <c r="AN1768" s="129" t="s">
        <v>1535</v>
      </c>
      <c r="AO1768" s="161">
        <v>823.0</v>
      </c>
      <c r="AP1768" s="161">
        <v>0.026</v>
      </c>
      <c r="AQ1768" s="151" t="s">
        <v>215</v>
      </c>
      <c r="AR1768" s="151" t="s">
        <v>10171</v>
      </c>
      <c r="AS1768" s="161">
        <v>0.452</v>
      </c>
      <c r="AT1768" s="151" t="s">
        <v>172</v>
      </c>
      <c r="AU1768" s="151" t="s">
        <v>186</v>
      </c>
      <c r="AV1768" s="129" t="s">
        <v>137</v>
      </c>
      <c r="AW1768" s="1308" t="s">
        <v>10062</v>
      </c>
      <c r="AX1768" s="129" t="s">
        <v>143</v>
      </c>
      <c r="AY1768" s="61" t="str">
        <f>IFERROR(__xludf.DUMMYFUNCTION("vlookup(BB1768,importrange(""https://docs.google.com/spreadsheets/d/1d2vevQ_7D_v35q4wCQ4RpQ_IPoTwEMB9Yp6ymwlPqew/edit?gid=984458430#gid=984458430"", ""'replication success'!A:K""), 11, FAlSE)"),"failed")</f>
        <v>failed</v>
      </c>
      <c r="AZ1768" s="61" t="str">
        <f>IFERROR(__xludf.DUMMYFUNCTION("vlookup(BB1768,importrange(""https://docs.google.com/spreadsheets/d/1d2vevQ_7D_v35q4wCQ4RpQ_IPoTwEMB9Yp6ymwlPqew/edit?gid=984458430#gid=984458430"",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768" s="61" t="str">
        <f>IFERROR(__xludf.DUMMYFUNCTION("vlookup(BB1768,importrange(""https://docs.google.com/spreadsheets/d/1d2vevQ_7D_v35q4wCQ4RpQ_IPoTwEMB9Yp6ymwlPqew/edit?gid=984458430#gid=984458430"", ""'replication success'!A:M""), 13, FAlSE)"),"pg. 7-8")</f>
        <v>pg. 7-8</v>
      </c>
      <c r="BB1768" s="61" t="str">
        <f>IFERROR(__xludf.DUMMYFUNCTION("REGEXREPLACE(G1768, ""_[a-z]{1,2}$"", """")"),"OpenMKT10")</f>
        <v>OpenMKT10</v>
      </c>
      <c r="BD1768" s="341" t="s">
        <v>7943</v>
      </c>
    </row>
    <row r="1769" ht="15.75" customHeight="1">
      <c r="A1769" s="44">
        <v>1769.0</v>
      </c>
      <c r="B1769" s="56" t="s">
        <v>152</v>
      </c>
      <c r="C1769" s="341" t="s">
        <v>115</v>
      </c>
      <c r="D1769" s="341" t="s">
        <v>145</v>
      </c>
      <c r="E1769" s="342"/>
      <c r="F1769" s="56" t="s">
        <v>10172</v>
      </c>
      <c r="G1769" s="56" t="s">
        <v>10156</v>
      </c>
      <c r="H1769" s="343" t="s">
        <v>10123</v>
      </c>
      <c r="I1769" s="345">
        <v>45761.0</v>
      </c>
      <c r="J1769" s="1587">
        <v>45772.0</v>
      </c>
      <c r="K1769" s="360"/>
      <c r="L1769" s="56" t="s">
        <v>10168</v>
      </c>
      <c r="M1769" s="56" t="s">
        <v>10147</v>
      </c>
      <c r="N1769" s="56" t="s">
        <v>10148</v>
      </c>
      <c r="O1769" s="55" t="s">
        <v>4092</v>
      </c>
      <c r="P1769" s="1696" t="s">
        <v>10149</v>
      </c>
      <c r="Q1769" s="108" t="str">
        <f t="array" ref="Q1769"> if(iserror(MATCH(V1769, 'File Links'!C:C, 0)), "N/A", HYPERLINK(INDEX('File Links'!B:B, MATCH(P1769, 'File Links'!C:C, 0))))</f>
        <v>N/A</v>
      </c>
      <c r="R1769" s="1697" t="s">
        <v>10052</v>
      </c>
      <c r="S1769" s="56" t="s">
        <v>10053</v>
      </c>
      <c r="T1769" s="1798"/>
      <c r="U1769" s="385"/>
      <c r="V1769" s="343" t="s">
        <v>10054</v>
      </c>
      <c r="W1769" s="360"/>
      <c r="X1769" s="49" t="str">
        <f t="array" ref="X1769"> if(iserror(MATCH(V1769, 'File Links'!C:C, 0)), "N/A", HYPERLINK(INDEX('File Links'!B:B, MATCH(V1769, 'File Links'!C:C, 0))))</f>
        <v>N/A</v>
      </c>
      <c r="Y1769" s="46"/>
      <c r="Z1769" s="343" t="s">
        <v>2079</v>
      </c>
      <c r="AA1769" s="56" t="s">
        <v>10055</v>
      </c>
      <c r="AB1769" s="343" t="s">
        <v>10169</v>
      </c>
      <c r="AC1769" s="343" t="s">
        <v>10158</v>
      </c>
      <c r="AD1769" s="343" t="s">
        <v>10173</v>
      </c>
      <c r="AE1769" s="343">
        <v>3.0</v>
      </c>
      <c r="AF1769" s="347">
        <v>37.0</v>
      </c>
      <c r="AG1769" s="347" t="s">
        <v>10174</v>
      </c>
      <c r="AH1769" s="343" t="s">
        <v>134</v>
      </c>
      <c r="AI1769" s="343" t="s">
        <v>217</v>
      </c>
      <c r="AJ1769" s="347">
        <v>0.05</v>
      </c>
      <c r="AK1769" s="343" t="s">
        <v>135</v>
      </c>
      <c r="AL1769" s="343" t="s">
        <v>186</v>
      </c>
      <c r="AM1769" s="56" t="s">
        <v>137</v>
      </c>
      <c r="AN1769" s="56" t="s">
        <v>1535</v>
      </c>
      <c r="AO1769" s="347">
        <v>823.0</v>
      </c>
      <c r="AP1769" s="347">
        <v>0.054</v>
      </c>
      <c r="AQ1769" s="343" t="s">
        <v>215</v>
      </c>
      <c r="AR1769" s="343" t="s">
        <v>10171</v>
      </c>
      <c r="AS1769" s="347">
        <v>0.123</v>
      </c>
      <c r="AT1769" s="343" t="s">
        <v>172</v>
      </c>
      <c r="AU1769" s="343" t="s">
        <v>186</v>
      </c>
      <c r="AV1769" s="56" t="s">
        <v>137</v>
      </c>
      <c r="AW1769" s="1699" t="s">
        <v>10062</v>
      </c>
      <c r="AX1769" s="56" t="s">
        <v>143</v>
      </c>
      <c r="AY1769" s="61" t="str">
        <f>IFERROR(__xludf.DUMMYFUNCTION("vlookup(BB1769,importrange(""https://docs.google.com/spreadsheets/d/1d2vevQ_7D_v35q4wCQ4RpQ_IPoTwEMB9Yp6ymwlPqew/edit?gid=984458430#gid=984458430"", ""'replication success'!A:K""), 11, FAlSE)"),"failed")</f>
        <v>failed</v>
      </c>
      <c r="AZ1769" s="61" t="str">
        <f>IFERROR(__xludf.DUMMYFUNCTION("vlookup(BB1769,importrange(""https://docs.google.com/spreadsheets/d/1d2vevQ_7D_v35q4wCQ4RpQ_IPoTwEMB9Yp6ymwlPqew/edit?gid=984458430#gid=984458430"",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769" s="61" t="str">
        <f>IFERROR(__xludf.DUMMYFUNCTION("vlookup(BB1769,importrange(""https://docs.google.com/spreadsheets/d/1d2vevQ_7D_v35q4wCQ4RpQ_IPoTwEMB9Yp6ymwlPqew/edit?gid=984458430#gid=984458430"", ""'replication success'!A:M""), 13, FAlSE)"),"pg. 7-8")</f>
        <v>pg. 7-8</v>
      </c>
      <c r="BB1769" s="61" t="str">
        <f>IFERROR(__xludf.DUMMYFUNCTION("REGEXREPLACE(G1769, ""_[a-z]{1,2}$"", """")"),"OpenMKT10")</f>
        <v>OpenMKT10</v>
      </c>
      <c r="BC1769" s="342"/>
      <c r="BD1769" s="341" t="s">
        <v>7943</v>
      </c>
    </row>
    <row r="1770" ht="15.75" customHeight="1">
      <c r="A1770" s="44">
        <v>1770.0</v>
      </c>
      <c r="B1770" s="56" t="s">
        <v>114</v>
      </c>
      <c r="C1770" s="341" t="s">
        <v>115</v>
      </c>
      <c r="D1770" s="341" t="s">
        <v>248</v>
      </c>
      <c r="E1770" s="342"/>
      <c r="F1770" s="56" t="s">
        <v>10175</v>
      </c>
      <c r="G1770" s="56" t="s">
        <v>10176</v>
      </c>
      <c r="H1770" s="343" t="s">
        <v>249</v>
      </c>
      <c r="I1770" s="345">
        <v>45756.0</v>
      </c>
      <c r="J1770" s="1587">
        <v>45793.0</v>
      </c>
      <c r="K1770" s="360"/>
      <c r="L1770" s="56" t="s">
        <v>10177</v>
      </c>
      <c r="M1770" s="56" t="s">
        <v>10178</v>
      </c>
      <c r="N1770" s="56" t="s">
        <v>10179</v>
      </c>
      <c r="O1770" s="55">
        <v>4.0</v>
      </c>
      <c r="P1770" s="1696" t="s">
        <v>10180</v>
      </c>
      <c r="Q1770" s="52" t="str">
        <f t="array" ref="Q1770"> if(iserror(MATCH(V1770, 'File Links'!C:C, 0)), "N/A", HYPERLINK(INDEX('File Links'!B:B, MATCH(P1770, 'File Links'!C:C, 0))))</f>
        <v>https://drive.google.com/file/d/1dD_RkFuxQxk3hkxXbqultnhFhN1opB9Y/view?usp=drivesdk</v>
      </c>
      <c r="R1770" s="1697" t="s">
        <v>10181</v>
      </c>
      <c r="S1770" s="56" t="s">
        <v>10182</v>
      </c>
      <c r="T1770" s="1798"/>
      <c r="U1770" s="55">
        <v>11.0</v>
      </c>
      <c r="V1770" s="343" t="s">
        <v>10183</v>
      </c>
      <c r="W1770" s="343" t="s">
        <v>209</v>
      </c>
      <c r="X1770" s="54" t="str">
        <f t="array" ref="X1770"> if(iserror(MATCH(V1770, 'File Links'!C:C, 0)), "N/A", HYPERLINK(INDEX('File Links'!B:B, MATCH(V1770, 'File Links'!C:C, 0))))</f>
        <v>https://drive.google.com/file/d/1Irbmig3rfLDvz-G09jDAVwJvv1drYEqO/view?usp=drivesdk</v>
      </c>
      <c r="Y1770" s="46"/>
      <c r="Z1770" s="343" t="s">
        <v>2079</v>
      </c>
      <c r="AA1770" s="56" t="s">
        <v>10184</v>
      </c>
      <c r="AB1770" s="343" t="s">
        <v>10185</v>
      </c>
      <c r="AC1770" s="343" t="s">
        <v>10186</v>
      </c>
      <c r="AD1770" s="343" t="s">
        <v>10187</v>
      </c>
      <c r="AE1770" s="343" t="s">
        <v>1819</v>
      </c>
      <c r="AF1770" s="347">
        <v>251.0</v>
      </c>
      <c r="AG1770" s="347">
        <v>0.29</v>
      </c>
      <c r="AH1770" s="343" t="s">
        <v>139</v>
      </c>
      <c r="AI1770" s="343" t="s">
        <v>10188</v>
      </c>
      <c r="AJ1770" s="347">
        <v>0.05</v>
      </c>
      <c r="AK1770" s="343" t="s">
        <v>135</v>
      </c>
      <c r="AL1770" s="343" t="s">
        <v>186</v>
      </c>
      <c r="AM1770" s="56" t="s">
        <v>137</v>
      </c>
      <c r="AN1770" s="56" t="s">
        <v>138</v>
      </c>
      <c r="AO1770" s="347">
        <v>604.0</v>
      </c>
      <c r="AP1770" s="347">
        <v>0.014</v>
      </c>
      <c r="AQ1770" s="343" t="s">
        <v>139</v>
      </c>
      <c r="AR1770" s="343" t="s">
        <v>10189</v>
      </c>
      <c r="AS1770" s="347">
        <v>0.014</v>
      </c>
      <c r="AT1770" s="343" t="s">
        <v>172</v>
      </c>
      <c r="AU1770" s="343" t="s">
        <v>186</v>
      </c>
      <c r="AV1770" s="56" t="s">
        <v>137</v>
      </c>
      <c r="AW1770" s="1699" t="s">
        <v>10190</v>
      </c>
      <c r="AX1770" s="56" t="s">
        <v>143</v>
      </c>
      <c r="AY1770" s="61" t="str">
        <f>IFERROR(__xludf.DUMMYFUNCTION("vlookup(BB1770,importrange(""https://docs.google.com/spreadsheets/d/1d2vevQ_7D_v35q4wCQ4RpQ_IPoTwEMB9Yp6ymwlPqew/edit?gid=984458430#gid=984458430"", ""'replication success'!A:K""), 11, FAlSE)"),"successful")</f>
        <v>successful</v>
      </c>
      <c r="AZ1770" s="61" t="str">
        <f>IFERROR(__xludf.DUMMYFUNCTION("vlookup(BB1770,importrange(""https://docs.google.com/spreadsheets/d/1d2vevQ_7D_v35q4wCQ4RpQ_IPoTwEMB9Yp6ymwlPqew/edit?gid=984458430#gid=984458430"", ""'replication success'!A:M""), 12, FAlSE)"),"[Figure 1]")</f>
        <v>[Figure 1]</v>
      </c>
      <c r="BA1770" s="61" t="str">
        <f>IFERROR(__xludf.DUMMYFUNCTION("vlookup(BB1770,importrange(""https://docs.google.com/spreadsheets/d/1d2vevQ_7D_v35q4wCQ4RpQ_IPoTwEMB9Yp6ymwlPqew/edit?gid=984458430#gid=984458430"", ""'replication success'!A:M""), 13, FAlSE)"),"pg. 2")</f>
        <v>pg. 2</v>
      </c>
      <c r="BB1770" s="61" t="str">
        <f>IFERROR(__xludf.DUMMYFUNCTION("REGEXREPLACE(G1770, ""_[a-z]{1,2}$"", """")"),"OpenMKT11")</f>
        <v>OpenMKT11</v>
      </c>
      <c r="BC1770" s="342"/>
      <c r="BD1770" s="341" t="s">
        <v>7943</v>
      </c>
      <c r="BE1770" s="342"/>
      <c r="BF1770" s="342"/>
      <c r="BG1770" s="342"/>
      <c r="BH1770" s="342"/>
      <c r="BI1770" s="342"/>
      <c r="BJ1770" s="342"/>
      <c r="BK1770" s="342"/>
      <c r="BL1770" s="342"/>
      <c r="BM1770" s="342"/>
      <c r="BN1770" s="342"/>
      <c r="BO1770" s="342"/>
      <c r="BP1770" s="342"/>
      <c r="BQ1770" s="342"/>
      <c r="BR1770" s="342"/>
      <c r="BS1770" s="342"/>
      <c r="BT1770" s="342"/>
      <c r="BU1770" s="342"/>
      <c r="BV1770" s="342"/>
      <c r="BW1770" s="342"/>
      <c r="BX1770" s="342"/>
      <c r="BY1770" s="342"/>
      <c r="BZ1770" s="342"/>
      <c r="CA1770" s="342"/>
      <c r="CB1770" s="342"/>
      <c r="CC1770" s="342"/>
      <c r="CD1770" s="342"/>
      <c r="CE1770" s="342"/>
      <c r="CF1770" s="342"/>
      <c r="CG1770" s="342"/>
      <c r="CH1770" s="342"/>
      <c r="CI1770" s="342"/>
      <c r="CJ1770" s="342"/>
      <c r="CK1770" s="342"/>
      <c r="CL1770" s="342"/>
      <c r="CM1770" s="342"/>
      <c r="CN1770" s="342"/>
      <c r="CO1770" s="342"/>
      <c r="CP1770" s="342"/>
      <c r="CQ1770" s="342"/>
      <c r="CR1770" s="342"/>
      <c r="CS1770" s="342"/>
      <c r="CT1770" s="342"/>
      <c r="CU1770" s="342"/>
      <c r="CV1770" s="342"/>
      <c r="CW1770" s="342"/>
      <c r="CX1770" s="342"/>
      <c r="CY1770" s="342"/>
      <c r="CZ1770" s="342"/>
      <c r="DA1770" s="342"/>
      <c r="DB1770" s="342"/>
      <c r="DC1770" s="342"/>
      <c r="DD1770" s="342"/>
      <c r="DE1770" s="342"/>
      <c r="DF1770" s="342"/>
      <c r="DG1770" s="342"/>
      <c r="DH1770" s="342"/>
      <c r="DI1770" s="342"/>
      <c r="DJ1770" s="342"/>
      <c r="DK1770" s="342"/>
      <c r="DL1770" s="342"/>
    </row>
    <row r="1771" ht="15.75" customHeight="1">
      <c r="A1771" s="44">
        <v>1771.0</v>
      </c>
      <c r="B1771" s="129" t="s">
        <v>114</v>
      </c>
      <c r="C1771" s="62" t="s">
        <v>115</v>
      </c>
      <c r="D1771" s="62" t="s">
        <v>248</v>
      </c>
      <c r="F1771" s="129" t="s">
        <v>10175</v>
      </c>
      <c r="G1771" s="129" t="s">
        <v>10191</v>
      </c>
      <c r="H1771" s="151" t="s">
        <v>249</v>
      </c>
      <c r="I1771" s="153">
        <v>45756.0</v>
      </c>
      <c r="J1771" s="293">
        <v>45793.0</v>
      </c>
      <c r="K1771" s="159"/>
      <c r="L1771" s="295" t="s">
        <v>10177</v>
      </c>
      <c r="M1771" s="129" t="s">
        <v>10178</v>
      </c>
      <c r="N1771" s="129" t="s">
        <v>10179</v>
      </c>
      <c r="O1771" s="501">
        <v>4.0</v>
      </c>
      <c r="P1771" s="528" t="s">
        <v>10180</v>
      </c>
      <c r="Q1771" s="52" t="str">
        <f t="array" ref="Q1771"> if(iserror(MATCH(V1771, 'File Links'!C:C, 0)), "N/A", HYPERLINK(INDEX('File Links'!B:B, MATCH(P1771, 'File Links'!C:C, 0))))</f>
        <v>https://drive.google.com/file/d/1dD_RkFuxQxk3hkxXbqultnhFhN1opB9Y/view?usp=drivesdk</v>
      </c>
      <c r="R1771" s="1697" t="s">
        <v>10181</v>
      </c>
      <c r="S1771" s="129" t="s">
        <v>10182</v>
      </c>
      <c r="T1771" s="1379"/>
      <c r="U1771" s="1799">
        <v>11.0</v>
      </c>
      <c r="V1771" s="151" t="s">
        <v>10183</v>
      </c>
      <c r="W1771" s="303" t="s">
        <v>209</v>
      </c>
      <c r="X1771" s="54" t="str">
        <f t="array" ref="X1771"> if(iserror(MATCH(V1771, 'File Links'!C:C, 0)), "N/A", HYPERLINK(INDEX('File Links'!B:B, MATCH(V1771, 'File Links'!C:C, 0))))</f>
        <v>https://drive.google.com/file/d/1Irbmig3rfLDvz-G09jDAVwJvv1drYEqO/view?usp=drivesdk</v>
      </c>
      <c r="Y1771" s="68"/>
      <c r="Z1771" s="151" t="s">
        <v>2079</v>
      </c>
      <c r="AA1771" s="295" t="s">
        <v>10184</v>
      </c>
      <c r="AB1771" s="151" t="s">
        <v>10185</v>
      </c>
      <c r="AC1771" s="151" t="s">
        <v>10186</v>
      </c>
      <c r="AD1771" s="151" t="s">
        <v>10192</v>
      </c>
      <c r="AE1771" s="151" t="s">
        <v>1819</v>
      </c>
      <c r="AF1771" s="161">
        <v>251.0</v>
      </c>
      <c r="AG1771" s="161">
        <v>0.31</v>
      </c>
      <c r="AH1771" s="151" t="s">
        <v>139</v>
      </c>
      <c r="AI1771" s="151" t="s">
        <v>10193</v>
      </c>
      <c r="AJ1771" s="161">
        <v>0.05</v>
      </c>
      <c r="AK1771" s="151" t="s">
        <v>135</v>
      </c>
      <c r="AL1771" s="151" t="s">
        <v>186</v>
      </c>
      <c r="AM1771" s="129" t="s">
        <v>137</v>
      </c>
      <c r="AN1771" s="129" t="s">
        <v>138</v>
      </c>
      <c r="AO1771" s="378">
        <v>604.0</v>
      </c>
      <c r="AP1771" s="161">
        <v>0.003</v>
      </c>
      <c r="AQ1771" s="151" t="s">
        <v>139</v>
      </c>
      <c r="AR1771" s="151" t="s">
        <v>10194</v>
      </c>
      <c r="AS1771" s="161">
        <v>0.351</v>
      </c>
      <c r="AT1771" s="151" t="s">
        <v>172</v>
      </c>
      <c r="AU1771" s="151" t="s">
        <v>186</v>
      </c>
      <c r="AV1771" s="129" t="s">
        <v>137</v>
      </c>
      <c r="AW1771" s="1308" t="s">
        <v>10190</v>
      </c>
      <c r="AX1771" s="129" t="s">
        <v>143</v>
      </c>
      <c r="AY1771" s="61" t="str">
        <f>IFERROR(__xludf.DUMMYFUNCTION("vlookup(BB1771,importrange(""https://docs.google.com/spreadsheets/d/1d2vevQ_7D_v35q4wCQ4RpQ_IPoTwEMB9Yp6ymwlPqew/edit?gid=984458430#gid=984458430"", ""'replication success'!A:K""), 11, FAlSE)"),"successful")</f>
        <v>successful</v>
      </c>
      <c r="AZ1771" s="61" t="str">
        <f>IFERROR(__xludf.DUMMYFUNCTION("vlookup(BB1771,importrange(""https://docs.google.com/spreadsheets/d/1d2vevQ_7D_v35q4wCQ4RpQ_IPoTwEMB9Yp6ymwlPqew/edit?gid=984458430#gid=984458430"", ""'replication success'!A:M""), 12, FAlSE)"),"[Figure 1]")</f>
        <v>[Figure 1]</v>
      </c>
      <c r="BA1771" s="61" t="str">
        <f>IFERROR(__xludf.DUMMYFUNCTION("vlookup(BB1771,importrange(""https://docs.google.com/spreadsheets/d/1d2vevQ_7D_v35q4wCQ4RpQ_IPoTwEMB9Yp6ymwlPqew/edit?gid=984458430#gid=984458430"", ""'replication success'!A:M""), 13, FAlSE)"),"pg. 2")</f>
        <v>pg. 2</v>
      </c>
      <c r="BB1771" s="61" t="str">
        <f>IFERROR(__xludf.DUMMYFUNCTION("REGEXREPLACE(G1771, ""_[a-z]{1,2}$"", """")"),"OpenMKT11")</f>
        <v>OpenMKT11</v>
      </c>
      <c r="BD1771" s="341" t="s">
        <v>7943</v>
      </c>
    </row>
    <row r="1772" ht="15.75" customHeight="1">
      <c r="A1772" s="44">
        <v>1772.0</v>
      </c>
      <c r="B1772" s="129" t="s">
        <v>114</v>
      </c>
      <c r="C1772" s="62" t="s">
        <v>115</v>
      </c>
      <c r="D1772" s="62" t="s">
        <v>248</v>
      </c>
      <c r="F1772" s="129" t="s">
        <v>10175</v>
      </c>
      <c r="G1772" s="129" t="s">
        <v>10195</v>
      </c>
      <c r="H1772" s="151" t="s">
        <v>249</v>
      </c>
      <c r="I1772" s="153">
        <v>45756.0</v>
      </c>
      <c r="J1772" s="293">
        <v>45793.0</v>
      </c>
      <c r="K1772" s="159"/>
      <c r="L1772" s="295" t="s">
        <v>10196</v>
      </c>
      <c r="M1772" s="129" t="s">
        <v>10178</v>
      </c>
      <c r="N1772" s="129" t="s">
        <v>10179</v>
      </c>
      <c r="O1772" s="501">
        <v>4.0</v>
      </c>
      <c r="P1772" s="528" t="s">
        <v>10180</v>
      </c>
      <c r="Q1772" s="52" t="str">
        <f t="array" ref="Q1772"> if(iserror(MATCH(V1772, 'File Links'!C:C, 0)), "N/A", HYPERLINK(INDEX('File Links'!B:B, MATCH(P1772, 'File Links'!C:C, 0))))</f>
        <v>https://drive.google.com/file/d/1dD_RkFuxQxk3hkxXbqultnhFhN1opB9Y/view?usp=drivesdk</v>
      </c>
      <c r="R1772" s="1697" t="s">
        <v>10181</v>
      </c>
      <c r="S1772" s="129" t="s">
        <v>10182</v>
      </c>
      <c r="T1772" s="1379"/>
      <c r="U1772" s="1799">
        <v>11.0</v>
      </c>
      <c r="V1772" s="151" t="s">
        <v>10183</v>
      </c>
      <c r="W1772" s="303" t="s">
        <v>209</v>
      </c>
      <c r="X1772" s="54" t="str">
        <f t="array" ref="X1772"> if(iserror(MATCH(V1772, 'File Links'!C:C, 0)), "N/A", HYPERLINK(INDEX('File Links'!B:B, MATCH(V1772, 'File Links'!C:C, 0))))</f>
        <v>https://drive.google.com/file/d/1Irbmig3rfLDvz-G09jDAVwJvv1drYEqO/view?usp=drivesdk</v>
      </c>
      <c r="Y1772" s="68"/>
      <c r="Z1772" s="151" t="s">
        <v>2079</v>
      </c>
      <c r="AA1772" s="295" t="s">
        <v>10184</v>
      </c>
      <c r="AB1772" s="151" t="s">
        <v>10185</v>
      </c>
      <c r="AC1772" s="151" t="s">
        <v>10186</v>
      </c>
      <c r="AD1772" s="380" t="s">
        <v>10197</v>
      </c>
      <c r="AE1772" s="151" t="s">
        <v>1819</v>
      </c>
      <c r="AF1772" s="161">
        <v>251.0</v>
      </c>
      <c r="AG1772" s="161">
        <v>0.006</v>
      </c>
      <c r="AH1772" s="151" t="s">
        <v>139</v>
      </c>
      <c r="AI1772" s="151" t="s">
        <v>10198</v>
      </c>
      <c r="AJ1772" s="161">
        <v>0.15</v>
      </c>
      <c r="AK1772" s="151" t="s">
        <v>335</v>
      </c>
      <c r="AL1772" s="151" t="s">
        <v>186</v>
      </c>
      <c r="AM1772" s="129" t="s">
        <v>137</v>
      </c>
      <c r="AN1772" s="129" t="s">
        <v>138</v>
      </c>
      <c r="AO1772" s="378">
        <v>604.0</v>
      </c>
      <c r="AP1772" s="161">
        <v>0.002</v>
      </c>
      <c r="AQ1772" s="159"/>
      <c r="AR1772" s="151" t="s">
        <v>10199</v>
      </c>
      <c r="AS1772" s="161">
        <v>0.315</v>
      </c>
      <c r="AT1772" s="151" t="s">
        <v>172</v>
      </c>
      <c r="AU1772" s="151" t="s">
        <v>186</v>
      </c>
      <c r="AV1772" s="129" t="s">
        <v>137</v>
      </c>
      <c r="AW1772" s="1308" t="s">
        <v>10190</v>
      </c>
      <c r="AX1772" s="129" t="s">
        <v>143</v>
      </c>
      <c r="AY1772" s="61" t="str">
        <f>IFERROR(__xludf.DUMMYFUNCTION("vlookup(BB1772,importrange(""https://docs.google.com/spreadsheets/d/1d2vevQ_7D_v35q4wCQ4RpQ_IPoTwEMB9Yp6ymwlPqew/edit?gid=984458430#gid=984458430"", ""'replication success'!A:K""), 11, FAlSE)"),"successful")</f>
        <v>successful</v>
      </c>
      <c r="AZ1772" s="61" t="str">
        <f>IFERROR(__xludf.DUMMYFUNCTION("vlookup(BB1772,importrange(""https://docs.google.com/spreadsheets/d/1d2vevQ_7D_v35q4wCQ4RpQ_IPoTwEMB9Yp6ymwlPqew/edit?gid=984458430#gid=984458430"", ""'replication success'!A:M""), 12, FAlSE)"),"[Figure 1]")</f>
        <v>[Figure 1]</v>
      </c>
      <c r="BA1772" s="61" t="str">
        <f>IFERROR(__xludf.DUMMYFUNCTION("vlookup(BB1772,importrange(""https://docs.google.com/spreadsheets/d/1d2vevQ_7D_v35q4wCQ4RpQ_IPoTwEMB9Yp6ymwlPqew/edit?gid=984458430#gid=984458430"", ""'replication success'!A:M""), 13, FAlSE)"),"pg. 2")</f>
        <v>pg. 2</v>
      </c>
      <c r="BB1772" s="61" t="str">
        <f>IFERROR(__xludf.DUMMYFUNCTION("REGEXREPLACE(G1772, ""_[a-z]{1,2}$"", """")"),"OpenMKT11")</f>
        <v>OpenMKT11</v>
      </c>
      <c r="BD1772" s="341" t="s">
        <v>7943</v>
      </c>
    </row>
    <row r="1773" ht="15.75" customHeight="1">
      <c r="A1773" s="44">
        <v>1773.0</v>
      </c>
      <c r="B1773" s="129" t="s">
        <v>114</v>
      </c>
      <c r="C1773" s="62" t="s">
        <v>115</v>
      </c>
      <c r="D1773" s="62" t="s">
        <v>248</v>
      </c>
      <c r="F1773" s="129" t="s">
        <v>10175</v>
      </c>
      <c r="G1773" s="129" t="s">
        <v>10200</v>
      </c>
      <c r="H1773" s="151" t="s">
        <v>249</v>
      </c>
      <c r="I1773" s="153">
        <v>45756.0</v>
      </c>
      <c r="J1773" s="293">
        <v>45793.0</v>
      </c>
      <c r="K1773" s="159"/>
      <c r="L1773" s="129" t="s">
        <v>10201</v>
      </c>
      <c r="M1773" s="129" t="s">
        <v>10178</v>
      </c>
      <c r="N1773" s="129" t="s">
        <v>10179</v>
      </c>
      <c r="O1773" s="501">
        <v>4.0</v>
      </c>
      <c r="P1773" s="528" t="s">
        <v>10180</v>
      </c>
      <c r="Q1773" s="52" t="str">
        <f t="array" ref="Q1773"> if(iserror(MATCH(V1773, 'File Links'!C:C, 0)), "N/A", HYPERLINK(INDEX('File Links'!B:B, MATCH(P1773, 'File Links'!C:C, 0))))</f>
        <v>https://drive.google.com/file/d/1dD_RkFuxQxk3hkxXbqultnhFhN1opB9Y/view?usp=drivesdk</v>
      </c>
      <c r="R1773" s="1697" t="s">
        <v>10181</v>
      </c>
      <c r="S1773" s="129" t="s">
        <v>10182</v>
      </c>
      <c r="T1773" s="1379"/>
      <c r="U1773" s="1799">
        <v>11.0</v>
      </c>
      <c r="V1773" s="151" t="s">
        <v>10183</v>
      </c>
      <c r="W1773" s="303" t="s">
        <v>209</v>
      </c>
      <c r="X1773" s="54" t="str">
        <f t="array" ref="X1773"> if(iserror(MATCH(V1773, 'File Links'!C:C, 0)), "N/A", HYPERLINK(INDEX('File Links'!B:B, MATCH(V1773, 'File Links'!C:C, 0))))</f>
        <v>https://drive.google.com/file/d/1Irbmig3rfLDvz-G09jDAVwJvv1drYEqO/view?usp=drivesdk</v>
      </c>
      <c r="Y1773" s="68"/>
      <c r="Z1773" s="151" t="s">
        <v>2079</v>
      </c>
      <c r="AA1773" s="295" t="s">
        <v>10184</v>
      </c>
      <c r="AB1773" s="151" t="s">
        <v>10185</v>
      </c>
      <c r="AC1773" s="151" t="s">
        <v>10186</v>
      </c>
      <c r="AD1773" s="380" t="s">
        <v>10202</v>
      </c>
      <c r="AE1773" s="151" t="s">
        <v>1819</v>
      </c>
      <c r="AF1773" s="161">
        <v>251.0</v>
      </c>
      <c r="AG1773" s="161">
        <v>-0.51</v>
      </c>
      <c r="AH1773" s="151" t="s">
        <v>173</v>
      </c>
      <c r="AI1773" s="151" t="s">
        <v>10203</v>
      </c>
      <c r="AJ1773" s="161">
        <v>0.05</v>
      </c>
      <c r="AK1773" s="151" t="s">
        <v>172</v>
      </c>
      <c r="AL1773" s="151" t="s">
        <v>186</v>
      </c>
      <c r="AM1773" s="129" t="s">
        <v>137</v>
      </c>
      <c r="AN1773" s="129" t="s">
        <v>138</v>
      </c>
      <c r="AO1773" s="161">
        <v>282.0</v>
      </c>
      <c r="AP1773" s="161" t="s">
        <v>10204</v>
      </c>
      <c r="AQ1773" s="151" t="s">
        <v>134</v>
      </c>
      <c r="AR1773" s="151" t="s">
        <v>10205</v>
      </c>
      <c r="AS1773" s="161">
        <v>0.029</v>
      </c>
      <c r="AT1773" s="151" t="s">
        <v>172</v>
      </c>
      <c r="AU1773" s="151" t="s">
        <v>186</v>
      </c>
      <c r="AV1773" s="129" t="s">
        <v>137</v>
      </c>
      <c r="AW1773" s="1308" t="s">
        <v>10190</v>
      </c>
      <c r="AX1773" s="129" t="s">
        <v>143</v>
      </c>
      <c r="AY1773" s="61" t="str">
        <f>IFERROR(__xludf.DUMMYFUNCTION("vlookup(BB1773,importrange(""https://docs.google.com/spreadsheets/d/1d2vevQ_7D_v35q4wCQ4RpQ_IPoTwEMB9Yp6ymwlPqew/edit?gid=984458430#gid=984458430"", ""'replication success'!A:K""), 11, FAlSE)"),"successful")</f>
        <v>successful</v>
      </c>
      <c r="AZ1773" s="61" t="str">
        <f>IFERROR(__xludf.DUMMYFUNCTION("vlookup(BB1773,importrange(""https://docs.google.com/spreadsheets/d/1d2vevQ_7D_v35q4wCQ4RpQ_IPoTwEMB9Yp6ymwlPqew/edit?gid=984458430#gid=984458430"", ""'replication success'!A:M""), 12, FAlSE)"),"[Figure 1]")</f>
        <v>[Figure 1]</v>
      </c>
      <c r="BA1773" s="61" t="str">
        <f>IFERROR(__xludf.DUMMYFUNCTION("vlookup(BB1773,importrange(""https://docs.google.com/spreadsheets/d/1d2vevQ_7D_v35q4wCQ4RpQ_IPoTwEMB9Yp6ymwlPqew/edit?gid=984458430#gid=984458430"", ""'replication success'!A:M""), 13, FAlSE)"),"pg. 2")</f>
        <v>pg. 2</v>
      </c>
      <c r="BB1773" s="61" t="str">
        <f>IFERROR(__xludf.DUMMYFUNCTION("REGEXREPLACE(G1773, ""_[a-z]{1,2}$"", """")"),"OpenMKT11")</f>
        <v>OpenMKT11</v>
      </c>
      <c r="BD1773" s="341" t="s">
        <v>7943</v>
      </c>
    </row>
    <row r="1774" ht="15.75" customHeight="1">
      <c r="A1774" s="44">
        <v>1774.0</v>
      </c>
      <c r="B1774" s="129" t="s">
        <v>114</v>
      </c>
      <c r="C1774" s="62" t="s">
        <v>115</v>
      </c>
      <c r="D1774" s="62" t="s">
        <v>248</v>
      </c>
      <c r="F1774" s="129" t="s">
        <v>10175</v>
      </c>
      <c r="G1774" s="129" t="s">
        <v>10206</v>
      </c>
      <c r="H1774" s="151" t="s">
        <v>249</v>
      </c>
      <c r="I1774" s="153">
        <v>45756.0</v>
      </c>
      <c r="J1774" s="293">
        <v>45793.0</v>
      </c>
      <c r="K1774" s="159"/>
      <c r="L1774" s="129" t="s">
        <v>10207</v>
      </c>
      <c r="M1774" s="129" t="s">
        <v>10178</v>
      </c>
      <c r="N1774" s="129" t="s">
        <v>10179</v>
      </c>
      <c r="O1774" s="501">
        <v>4.0</v>
      </c>
      <c r="P1774" s="528" t="s">
        <v>10180</v>
      </c>
      <c r="Q1774" s="52" t="str">
        <f t="array" ref="Q1774"> if(iserror(MATCH(V1774, 'File Links'!C:C, 0)), "N/A", HYPERLINK(INDEX('File Links'!B:B, MATCH(P1774, 'File Links'!C:C, 0))))</f>
        <v>https://drive.google.com/file/d/1dD_RkFuxQxk3hkxXbqultnhFhN1opB9Y/view?usp=drivesdk</v>
      </c>
      <c r="R1774" s="1697" t="s">
        <v>10181</v>
      </c>
      <c r="S1774" s="129" t="s">
        <v>10182</v>
      </c>
      <c r="T1774" s="1379"/>
      <c r="U1774" s="1799">
        <v>11.0</v>
      </c>
      <c r="V1774" s="151" t="s">
        <v>10183</v>
      </c>
      <c r="W1774" s="303" t="s">
        <v>209</v>
      </c>
      <c r="X1774" s="54" t="str">
        <f t="array" ref="X1774"> if(iserror(MATCH(V1774, 'File Links'!C:C, 0)), "N/A", HYPERLINK(INDEX('File Links'!B:B, MATCH(V1774, 'File Links'!C:C, 0))))</f>
        <v>https://drive.google.com/file/d/1Irbmig3rfLDvz-G09jDAVwJvv1drYEqO/view?usp=drivesdk</v>
      </c>
      <c r="Y1774" s="68"/>
      <c r="Z1774" s="151" t="s">
        <v>2079</v>
      </c>
      <c r="AA1774" s="295" t="s">
        <v>10184</v>
      </c>
      <c r="AB1774" s="151" t="s">
        <v>10185</v>
      </c>
      <c r="AC1774" s="151" t="s">
        <v>10186</v>
      </c>
      <c r="AD1774" s="151" t="s">
        <v>10208</v>
      </c>
      <c r="AE1774" s="151" t="s">
        <v>1819</v>
      </c>
      <c r="AF1774" s="161">
        <v>251.0</v>
      </c>
      <c r="AG1774" s="161">
        <v>0.16</v>
      </c>
      <c r="AH1774" s="151" t="s">
        <v>173</v>
      </c>
      <c r="AI1774" s="151" t="s">
        <v>10209</v>
      </c>
      <c r="AJ1774" s="378">
        <v>0.44</v>
      </c>
      <c r="AK1774" s="380" t="s">
        <v>335</v>
      </c>
      <c r="AL1774" s="151" t="s">
        <v>186</v>
      </c>
      <c r="AM1774" s="129" t="s">
        <v>137</v>
      </c>
      <c r="AN1774" s="129" t="s">
        <v>138</v>
      </c>
      <c r="AO1774" s="161">
        <v>318.0</v>
      </c>
      <c r="AP1774" s="161" t="s">
        <v>10210</v>
      </c>
      <c r="AQ1774" s="151" t="s">
        <v>134</v>
      </c>
      <c r="AR1774" s="151" t="s">
        <v>10211</v>
      </c>
      <c r="AS1774" s="161">
        <v>0.387</v>
      </c>
      <c r="AT1774" s="151" t="s">
        <v>172</v>
      </c>
      <c r="AU1774" s="151" t="s">
        <v>186</v>
      </c>
      <c r="AV1774" s="129" t="s">
        <v>137</v>
      </c>
      <c r="AW1774" s="1308" t="s">
        <v>10190</v>
      </c>
      <c r="AX1774" s="129" t="s">
        <v>143</v>
      </c>
      <c r="AY1774" s="61" t="str">
        <f>IFERROR(__xludf.DUMMYFUNCTION("vlookup(BB1774,importrange(""https://docs.google.com/spreadsheets/d/1d2vevQ_7D_v35q4wCQ4RpQ_IPoTwEMB9Yp6ymwlPqew/edit?gid=984458430#gid=984458430"", ""'replication success'!A:K""), 11, FAlSE)"),"successful")</f>
        <v>successful</v>
      </c>
      <c r="AZ1774" s="61" t="str">
        <f>IFERROR(__xludf.DUMMYFUNCTION("vlookup(BB1774,importrange(""https://docs.google.com/spreadsheets/d/1d2vevQ_7D_v35q4wCQ4RpQ_IPoTwEMB9Yp6ymwlPqew/edit?gid=984458430#gid=984458430"", ""'replication success'!A:M""), 12, FAlSE)"),"[Figure 1]")</f>
        <v>[Figure 1]</v>
      </c>
      <c r="BA1774" s="61" t="str">
        <f>IFERROR(__xludf.DUMMYFUNCTION("vlookup(BB1774,importrange(""https://docs.google.com/spreadsheets/d/1d2vevQ_7D_v35q4wCQ4RpQ_IPoTwEMB9Yp6ymwlPqew/edit?gid=984458430#gid=984458430"", ""'replication success'!A:M""), 13, FAlSE)"),"pg. 2")</f>
        <v>pg. 2</v>
      </c>
      <c r="BB1774" s="61" t="str">
        <f>IFERROR(__xludf.DUMMYFUNCTION("REGEXREPLACE(G1774, ""_[a-z]{1,2}$"", """")"),"OpenMKT11")</f>
        <v>OpenMKT11</v>
      </c>
      <c r="BD1774" s="341" t="s">
        <v>7943</v>
      </c>
    </row>
    <row r="1775" ht="15.75" customHeight="1">
      <c r="A1775" s="44">
        <v>1775.0</v>
      </c>
      <c r="B1775" s="129" t="s">
        <v>114</v>
      </c>
      <c r="C1775" s="62" t="s">
        <v>115</v>
      </c>
      <c r="D1775" s="62" t="s">
        <v>248</v>
      </c>
      <c r="F1775" s="129" t="s">
        <v>10175</v>
      </c>
      <c r="G1775" s="129" t="s">
        <v>10212</v>
      </c>
      <c r="H1775" s="151" t="s">
        <v>249</v>
      </c>
      <c r="I1775" s="153">
        <v>45756.0</v>
      </c>
      <c r="J1775" s="293">
        <v>45793.0</v>
      </c>
      <c r="K1775" s="159"/>
      <c r="L1775" s="295" t="s">
        <v>10213</v>
      </c>
      <c r="M1775" s="129" t="s">
        <v>10178</v>
      </c>
      <c r="N1775" s="129" t="s">
        <v>10179</v>
      </c>
      <c r="O1775" s="501">
        <v>4.0</v>
      </c>
      <c r="P1775" s="528" t="s">
        <v>10180</v>
      </c>
      <c r="Q1775" s="52" t="str">
        <f t="array" ref="Q1775"> if(iserror(MATCH(V1775, 'File Links'!C:C, 0)), "N/A", HYPERLINK(INDEX('File Links'!B:B, MATCH(P1775, 'File Links'!C:C, 0))))</f>
        <v>https://drive.google.com/file/d/1dD_RkFuxQxk3hkxXbqultnhFhN1opB9Y/view?usp=drivesdk</v>
      </c>
      <c r="R1775" s="1697" t="s">
        <v>10181</v>
      </c>
      <c r="S1775" s="129" t="s">
        <v>10182</v>
      </c>
      <c r="T1775" s="1379"/>
      <c r="U1775" s="1799">
        <v>11.0</v>
      </c>
      <c r="V1775" s="151" t="s">
        <v>10183</v>
      </c>
      <c r="W1775" s="303" t="s">
        <v>209</v>
      </c>
      <c r="X1775" s="54" t="str">
        <f t="array" ref="X1775"> if(iserror(MATCH(V1775, 'File Links'!C:C, 0)), "N/A", HYPERLINK(INDEX('File Links'!B:B, MATCH(V1775, 'File Links'!C:C, 0))))</f>
        <v>https://drive.google.com/file/d/1Irbmig3rfLDvz-G09jDAVwJvv1drYEqO/view?usp=drivesdk</v>
      </c>
      <c r="Y1775" s="68"/>
      <c r="Z1775" s="151" t="s">
        <v>2079</v>
      </c>
      <c r="AA1775" s="295" t="s">
        <v>10184</v>
      </c>
      <c r="AB1775" s="151" t="s">
        <v>10185</v>
      </c>
      <c r="AC1775" s="151" t="s">
        <v>10186</v>
      </c>
      <c r="AD1775" s="151" t="s">
        <v>10214</v>
      </c>
      <c r="AE1775" s="151" t="s">
        <v>1819</v>
      </c>
      <c r="AF1775" s="161">
        <v>251.0</v>
      </c>
      <c r="AG1775" s="161">
        <v>0.86</v>
      </c>
      <c r="AH1775" s="151" t="s">
        <v>139</v>
      </c>
      <c r="AI1775" s="151" t="s">
        <v>10215</v>
      </c>
      <c r="AJ1775" s="161">
        <v>1.0E-4</v>
      </c>
      <c r="AK1775" s="151" t="s">
        <v>135</v>
      </c>
      <c r="AL1775" s="151" t="s">
        <v>186</v>
      </c>
      <c r="AM1775" s="129" t="s">
        <v>137</v>
      </c>
      <c r="AN1775" s="129" t="s">
        <v>138</v>
      </c>
      <c r="AO1775" s="378">
        <v>604.0</v>
      </c>
      <c r="AP1775" s="161" t="s">
        <v>10216</v>
      </c>
      <c r="AQ1775" s="151" t="s">
        <v>134</v>
      </c>
      <c r="AR1775" s="151" t="s">
        <v>10217</v>
      </c>
      <c r="AS1775" s="161">
        <v>0.001</v>
      </c>
      <c r="AT1775" s="151" t="s">
        <v>135</v>
      </c>
      <c r="AU1775" s="151" t="s">
        <v>186</v>
      </c>
      <c r="AV1775" s="129" t="s">
        <v>137</v>
      </c>
      <c r="AW1775" s="1308" t="s">
        <v>10190</v>
      </c>
      <c r="AX1775" s="129" t="s">
        <v>143</v>
      </c>
      <c r="AY1775" s="61" t="str">
        <f>IFERROR(__xludf.DUMMYFUNCTION("vlookup(BB1775,importrange(""https://docs.google.com/spreadsheets/d/1d2vevQ_7D_v35q4wCQ4RpQ_IPoTwEMB9Yp6ymwlPqew/edit?gid=984458430#gid=984458430"", ""'replication success'!A:K""), 11, FAlSE)"),"successful")</f>
        <v>successful</v>
      </c>
      <c r="AZ1775" s="61" t="str">
        <f>IFERROR(__xludf.DUMMYFUNCTION("vlookup(BB1775,importrange(""https://docs.google.com/spreadsheets/d/1d2vevQ_7D_v35q4wCQ4RpQ_IPoTwEMB9Yp6ymwlPqew/edit?gid=984458430#gid=984458430"", ""'replication success'!A:M""), 12, FAlSE)"),"[Figure 1]")</f>
        <v>[Figure 1]</v>
      </c>
      <c r="BA1775" s="61" t="str">
        <f>IFERROR(__xludf.DUMMYFUNCTION("vlookup(BB1775,importrange(""https://docs.google.com/spreadsheets/d/1d2vevQ_7D_v35q4wCQ4RpQ_IPoTwEMB9Yp6ymwlPqew/edit?gid=984458430#gid=984458430"", ""'replication success'!A:M""), 13, FAlSE)"),"pg. 2")</f>
        <v>pg. 2</v>
      </c>
      <c r="BB1775" s="61" t="str">
        <f>IFERROR(__xludf.DUMMYFUNCTION("REGEXREPLACE(G1775, ""_[a-z]{1,2}$"", """")"),"OpenMKT11")</f>
        <v>OpenMKT11</v>
      </c>
      <c r="BD1775" s="341" t="s">
        <v>7943</v>
      </c>
    </row>
    <row r="1776" ht="15.75" customHeight="1">
      <c r="A1776" s="44">
        <v>1776.0</v>
      </c>
      <c r="B1776" s="129" t="s">
        <v>114</v>
      </c>
      <c r="C1776" s="62" t="s">
        <v>115</v>
      </c>
      <c r="D1776" s="62" t="s">
        <v>248</v>
      </c>
      <c r="F1776" s="129" t="s">
        <v>10175</v>
      </c>
      <c r="G1776" s="129" t="s">
        <v>10218</v>
      </c>
      <c r="H1776" s="151" t="s">
        <v>249</v>
      </c>
      <c r="I1776" s="153">
        <v>45756.0</v>
      </c>
      <c r="J1776" s="293">
        <v>45793.0</v>
      </c>
      <c r="K1776" s="159"/>
      <c r="L1776" s="129" t="s">
        <v>10213</v>
      </c>
      <c r="M1776" s="129" t="s">
        <v>10178</v>
      </c>
      <c r="N1776" s="129" t="s">
        <v>10179</v>
      </c>
      <c r="O1776" s="501">
        <v>4.0</v>
      </c>
      <c r="P1776" s="528" t="s">
        <v>10180</v>
      </c>
      <c r="Q1776" s="52" t="str">
        <f t="array" ref="Q1776"> if(iserror(MATCH(V1776, 'File Links'!C:C, 0)), "N/A", HYPERLINK(INDEX('File Links'!B:B, MATCH(P1776, 'File Links'!C:C, 0))))</f>
        <v>https://drive.google.com/file/d/1dD_RkFuxQxk3hkxXbqultnhFhN1opB9Y/view?usp=drivesdk</v>
      </c>
      <c r="R1776" s="1697" t="s">
        <v>10181</v>
      </c>
      <c r="S1776" s="129" t="s">
        <v>10182</v>
      </c>
      <c r="T1776" s="1379"/>
      <c r="U1776" s="1799">
        <v>11.0</v>
      </c>
      <c r="V1776" s="151" t="s">
        <v>10183</v>
      </c>
      <c r="W1776" s="303" t="s">
        <v>209</v>
      </c>
      <c r="X1776" s="54" t="str">
        <f t="array" ref="X1776"> if(iserror(MATCH(V1776, 'File Links'!C:C, 0)), "N/A", HYPERLINK(INDEX('File Links'!B:B, MATCH(V1776, 'File Links'!C:C, 0))))</f>
        <v>https://drive.google.com/file/d/1Irbmig3rfLDvz-G09jDAVwJvv1drYEqO/view?usp=drivesdk</v>
      </c>
      <c r="Y1776" s="68"/>
      <c r="Z1776" s="151" t="s">
        <v>2079</v>
      </c>
      <c r="AA1776" s="295" t="s">
        <v>10184</v>
      </c>
      <c r="AB1776" s="151" t="s">
        <v>10185</v>
      </c>
      <c r="AC1776" s="151" t="s">
        <v>10186</v>
      </c>
      <c r="AD1776" s="151" t="s">
        <v>10219</v>
      </c>
      <c r="AE1776" s="151" t="s">
        <v>1819</v>
      </c>
      <c r="AF1776" s="161">
        <v>251.0</v>
      </c>
      <c r="AG1776" s="161">
        <v>0.09</v>
      </c>
      <c r="AH1776" s="151" t="s">
        <v>134</v>
      </c>
      <c r="AI1776" s="151" t="s">
        <v>10220</v>
      </c>
      <c r="AJ1776" s="161" t="s">
        <v>138</v>
      </c>
      <c r="AK1776" s="159"/>
      <c r="AL1776" s="151" t="s">
        <v>186</v>
      </c>
      <c r="AM1776" s="129" t="s">
        <v>137</v>
      </c>
      <c r="AN1776" s="129" t="s">
        <v>138</v>
      </c>
      <c r="AO1776" s="378">
        <v>604.0</v>
      </c>
      <c r="AP1776" s="161">
        <v>0.07</v>
      </c>
      <c r="AQ1776" s="151" t="s">
        <v>134</v>
      </c>
      <c r="AR1776" s="151" t="s">
        <v>10221</v>
      </c>
      <c r="AS1776" s="161" t="s">
        <v>138</v>
      </c>
      <c r="AT1776" s="159"/>
      <c r="AU1776" s="151" t="s">
        <v>186</v>
      </c>
      <c r="AV1776" s="129" t="s">
        <v>137</v>
      </c>
      <c r="AW1776" s="1308" t="s">
        <v>10190</v>
      </c>
      <c r="AX1776" s="129" t="s">
        <v>143</v>
      </c>
      <c r="AY1776" s="61" t="str">
        <f>IFERROR(__xludf.DUMMYFUNCTION("vlookup(BB1776,importrange(""https://docs.google.com/spreadsheets/d/1d2vevQ_7D_v35q4wCQ4RpQ_IPoTwEMB9Yp6ymwlPqew/edit?gid=984458430#gid=984458430"", ""'replication success'!A:K""), 11, FAlSE)"),"successful")</f>
        <v>successful</v>
      </c>
      <c r="AZ1776" s="61" t="str">
        <f>IFERROR(__xludf.DUMMYFUNCTION("vlookup(BB1776,importrange(""https://docs.google.com/spreadsheets/d/1d2vevQ_7D_v35q4wCQ4RpQ_IPoTwEMB9Yp6ymwlPqew/edit?gid=984458430#gid=984458430"", ""'replication success'!A:M""), 12, FAlSE)"),"[Figure 1]")</f>
        <v>[Figure 1]</v>
      </c>
      <c r="BA1776" s="61" t="str">
        <f>IFERROR(__xludf.DUMMYFUNCTION("vlookup(BB1776,importrange(""https://docs.google.com/spreadsheets/d/1d2vevQ_7D_v35q4wCQ4RpQ_IPoTwEMB9Yp6ymwlPqew/edit?gid=984458430#gid=984458430"", ""'replication success'!A:M""), 13, FAlSE)"),"pg. 2")</f>
        <v>pg. 2</v>
      </c>
      <c r="BB1776" s="61" t="str">
        <f>IFERROR(__xludf.DUMMYFUNCTION("REGEXREPLACE(G1776, ""_[a-z]{1,2}$"", """")"),"OpenMKT11")</f>
        <v>OpenMKT11</v>
      </c>
      <c r="BD1776" s="341" t="s">
        <v>7943</v>
      </c>
    </row>
    <row r="1777" ht="15.75" customHeight="1">
      <c r="A1777" s="44">
        <v>1777.0</v>
      </c>
      <c r="B1777" s="129" t="s">
        <v>114</v>
      </c>
      <c r="C1777" s="62" t="s">
        <v>115</v>
      </c>
      <c r="D1777" s="62" t="s">
        <v>248</v>
      </c>
      <c r="F1777" s="129" t="s">
        <v>10175</v>
      </c>
      <c r="G1777" s="129" t="s">
        <v>10222</v>
      </c>
      <c r="H1777" s="151" t="s">
        <v>249</v>
      </c>
      <c r="I1777" s="153">
        <v>45756.0</v>
      </c>
      <c r="J1777" s="293">
        <v>45793.0</v>
      </c>
      <c r="K1777" s="159"/>
      <c r="L1777" s="129" t="s">
        <v>10223</v>
      </c>
      <c r="M1777" s="129" t="s">
        <v>10178</v>
      </c>
      <c r="N1777" s="129" t="s">
        <v>10179</v>
      </c>
      <c r="O1777" s="501">
        <v>4.0</v>
      </c>
      <c r="P1777" s="528" t="s">
        <v>10180</v>
      </c>
      <c r="Q1777" s="52" t="str">
        <f t="array" ref="Q1777"> if(iserror(MATCH(V1777, 'File Links'!C:C, 0)), "N/A", HYPERLINK(INDEX('File Links'!B:B, MATCH(P1777, 'File Links'!C:C, 0))))</f>
        <v>https://drive.google.com/file/d/1dD_RkFuxQxk3hkxXbqultnhFhN1opB9Y/view?usp=drivesdk</v>
      </c>
      <c r="R1777" s="1697" t="s">
        <v>10181</v>
      </c>
      <c r="S1777" s="129" t="s">
        <v>10182</v>
      </c>
      <c r="T1777" s="1379"/>
      <c r="U1777" s="1799">
        <v>11.0</v>
      </c>
      <c r="V1777" s="151" t="s">
        <v>10183</v>
      </c>
      <c r="W1777" s="303" t="s">
        <v>209</v>
      </c>
      <c r="X1777" s="54" t="str">
        <f t="array" ref="X1777"> if(iserror(MATCH(V1777, 'File Links'!C:C, 0)), "N/A", HYPERLINK(INDEX('File Links'!B:B, MATCH(V1777, 'File Links'!C:C, 0))))</f>
        <v>https://drive.google.com/file/d/1Irbmig3rfLDvz-G09jDAVwJvv1drYEqO/view?usp=drivesdk</v>
      </c>
      <c r="Y1777" s="68"/>
      <c r="Z1777" s="151" t="s">
        <v>2079</v>
      </c>
      <c r="AA1777" s="295" t="s">
        <v>10184</v>
      </c>
      <c r="AB1777" s="151" t="s">
        <v>10185</v>
      </c>
      <c r="AC1777" s="151" t="s">
        <v>10186</v>
      </c>
      <c r="AD1777" s="151" t="s">
        <v>10224</v>
      </c>
      <c r="AE1777" s="151" t="s">
        <v>1819</v>
      </c>
      <c r="AF1777" s="161">
        <v>251.0</v>
      </c>
      <c r="AG1777" s="161">
        <v>0.02</v>
      </c>
      <c r="AH1777" s="151" t="s">
        <v>134</v>
      </c>
      <c r="AI1777" s="151" t="s">
        <v>10225</v>
      </c>
      <c r="AJ1777" s="161" t="s">
        <v>138</v>
      </c>
      <c r="AK1777" s="159"/>
      <c r="AL1777" s="151" t="s">
        <v>186</v>
      </c>
      <c r="AM1777" s="129" t="s">
        <v>137</v>
      </c>
      <c r="AN1777" s="129" t="s">
        <v>138</v>
      </c>
      <c r="AO1777" s="378">
        <v>604.0</v>
      </c>
      <c r="AP1777" s="161">
        <v>0.04</v>
      </c>
      <c r="AQ1777" s="151" t="s">
        <v>134</v>
      </c>
      <c r="AR1777" s="151" t="s">
        <v>10226</v>
      </c>
      <c r="AS1777" s="161" t="s">
        <v>138</v>
      </c>
      <c r="AT1777" s="159"/>
      <c r="AU1777" s="151" t="s">
        <v>186</v>
      </c>
      <c r="AV1777" s="129" t="s">
        <v>137</v>
      </c>
      <c r="AW1777" s="1308" t="s">
        <v>10190</v>
      </c>
      <c r="AX1777" s="129" t="s">
        <v>143</v>
      </c>
      <c r="AY1777" s="61" t="str">
        <f>IFERROR(__xludf.DUMMYFUNCTION("vlookup(BB1777,importrange(""https://docs.google.com/spreadsheets/d/1d2vevQ_7D_v35q4wCQ4RpQ_IPoTwEMB9Yp6ymwlPqew/edit?gid=984458430#gid=984458430"", ""'replication success'!A:K""), 11, FAlSE)"),"successful")</f>
        <v>successful</v>
      </c>
      <c r="AZ1777" s="61" t="str">
        <f>IFERROR(__xludf.DUMMYFUNCTION("vlookup(BB1777,importrange(""https://docs.google.com/spreadsheets/d/1d2vevQ_7D_v35q4wCQ4RpQ_IPoTwEMB9Yp6ymwlPqew/edit?gid=984458430#gid=984458430"", ""'replication success'!A:M""), 12, FAlSE)"),"[Figure 1]")</f>
        <v>[Figure 1]</v>
      </c>
      <c r="BA1777" s="61" t="str">
        <f>IFERROR(__xludf.DUMMYFUNCTION("vlookup(BB1777,importrange(""https://docs.google.com/spreadsheets/d/1d2vevQ_7D_v35q4wCQ4RpQ_IPoTwEMB9Yp6ymwlPqew/edit?gid=984458430#gid=984458430"", ""'replication success'!A:M""), 13, FAlSE)"),"pg. 2")</f>
        <v>pg. 2</v>
      </c>
      <c r="BB1777" s="61" t="str">
        <f>IFERROR(__xludf.DUMMYFUNCTION("REGEXREPLACE(G1777, ""_[a-z]{1,2}$"", """")"),"OpenMKT11")</f>
        <v>OpenMKT11</v>
      </c>
      <c r="BD1777" s="341" t="s">
        <v>7943</v>
      </c>
    </row>
    <row r="1778" ht="15.75" customHeight="1">
      <c r="A1778" s="44">
        <v>1778.0</v>
      </c>
      <c r="B1778" s="1800" t="s">
        <v>114</v>
      </c>
      <c r="C1778" s="1631" t="s">
        <v>115</v>
      </c>
      <c r="D1778" s="1631" t="s">
        <v>248</v>
      </c>
      <c r="E1778" s="1123"/>
      <c r="F1778" s="1800" t="s">
        <v>10175</v>
      </c>
      <c r="G1778" s="1800" t="s">
        <v>10227</v>
      </c>
      <c r="H1778" s="491" t="s">
        <v>249</v>
      </c>
      <c r="I1778" s="1801">
        <v>45756.0</v>
      </c>
      <c r="J1778" s="1802">
        <v>45793.0</v>
      </c>
      <c r="K1778" s="1634"/>
      <c r="L1778" s="1800" t="s">
        <v>10213</v>
      </c>
      <c r="M1778" s="1800" t="s">
        <v>10178</v>
      </c>
      <c r="N1778" s="1800" t="s">
        <v>10179</v>
      </c>
      <c r="O1778" s="1803">
        <v>4.0</v>
      </c>
      <c r="P1778" s="1804" t="s">
        <v>10180</v>
      </c>
      <c r="Q1778" s="52" t="str">
        <f t="array" ref="Q1778"> if(iserror(MATCH(V1778, 'File Links'!C:C, 0)), "N/A", HYPERLINK(INDEX('File Links'!B:B, MATCH(P1778, 'File Links'!C:C, 0))))</f>
        <v>https://drive.google.com/file/d/1dD_RkFuxQxk3hkxXbqultnhFhN1opB9Y/view?usp=drivesdk</v>
      </c>
      <c r="R1778" s="1805" t="s">
        <v>10181</v>
      </c>
      <c r="S1778" s="1800" t="s">
        <v>10182</v>
      </c>
      <c r="T1778" s="1806"/>
      <c r="U1778" s="1803">
        <v>11.0</v>
      </c>
      <c r="V1778" s="491" t="s">
        <v>10183</v>
      </c>
      <c r="W1778" s="491" t="s">
        <v>209</v>
      </c>
      <c r="X1778" s="54" t="str">
        <f t="array" ref="X1778"> if(iserror(MATCH(V1778, 'File Links'!C:C, 0)), "N/A", HYPERLINK(INDEX('File Links'!B:B, MATCH(V1778, 'File Links'!C:C, 0))))</f>
        <v>https://drive.google.com/file/d/1Irbmig3rfLDvz-G09jDAVwJvv1drYEqO/view?usp=drivesdk</v>
      </c>
      <c r="Y1778" s="1632"/>
      <c r="Z1778" s="491" t="s">
        <v>2079</v>
      </c>
      <c r="AA1778" s="1800" t="s">
        <v>10184</v>
      </c>
      <c r="AB1778" s="491" t="s">
        <v>10185</v>
      </c>
      <c r="AC1778" s="491" t="s">
        <v>10186</v>
      </c>
      <c r="AD1778" s="491" t="s">
        <v>10228</v>
      </c>
      <c r="AE1778" s="491" t="s">
        <v>1819</v>
      </c>
      <c r="AF1778" s="1807">
        <v>251.0</v>
      </c>
      <c r="AG1778" s="1807">
        <v>0.11</v>
      </c>
      <c r="AH1778" s="491" t="s">
        <v>134</v>
      </c>
      <c r="AI1778" s="491" t="s">
        <v>10229</v>
      </c>
      <c r="AJ1778" s="1807" t="s">
        <v>138</v>
      </c>
      <c r="AK1778" s="1634"/>
      <c r="AL1778" s="491" t="s">
        <v>186</v>
      </c>
      <c r="AM1778" s="1800" t="s">
        <v>137</v>
      </c>
      <c r="AN1778" s="1800" t="s">
        <v>138</v>
      </c>
      <c r="AO1778" s="1807">
        <v>604.0</v>
      </c>
      <c r="AP1778" s="1807">
        <v>0.02</v>
      </c>
      <c r="AQ1778" s="491" t="s">
        <v>134</v>
      </c>
      <c r="AR1778" s="491" t="s">
        <v>10230</v>
      </c>
      <c r="AS1778" s="1807" t="s">
        <v>138</v>
      </c>
      <c r="AT1778" s="1634"/>
      <c r="AU1778" s="491" t="s">
        <v>186</v>
      </c>
      <c r="AV1778" s="1800" t="s">
        <v>137</v>
      </c>
      <c r="AW1778" s="1808" t="s">
        <v>10190</v>
      </c>
      <c r="AX1778" s="1800" t="s">
        <v>143</v>
      </c>
      <c r="AY1778" s="61" t="str">
        <f>IFERROR(__xludf.DUMMYFUNCTION("vlookup(BB1778,importrange(""https://docs.google.com/spreadsheets/d/1d2vevQ_7D_v35q4wCQ4RpQ_IPoTwEMB9Yp6ymwlPqew/edit?gid=984458430#gid=984458430"", ""'replication success'!A:K""), 11, FAlSE)"),"successful")</f>
        <v>successful</v>
      </c>
      <c r="AZ1778" s="61" t="str">
        <f>IFERROR(__xludf.DUMMYFUNCTION("vlookup(BB1778,importrange(""https://docs.google.com/spreadsheets/d/1d2vevQ_7D_v35q4wCQ4RpQ_IPoTwEMB9Yp6ymwlPqew/edit?gid=984458430#gid=984458430"", ""'replication success'!A:M""), 12, FAlSE)"),"[Figure 1]")</f>
        <v>[Figure 1]</v>
      </c>
      <c r="BA1778" s="61" t="str">
        <f>IFERROR(__xludf.DUMMYFUNCTION("vlookup(BB1778,importrange(""https://docs.google.com/spreadsheets/d/1d2vevQ_7D_v35q4wCQ4RpQ_IPoTwEMB9Yp6ymwlPqew/edit?gid=984458430#gid=984458430"", ""'replication success'!A:M""), 13, FAlSE)"),"pg. 2")</f>
        <v>pg. 2</v>
      </c>
      <c r="BB1778" s="61" t="str">
        <f>IFERROR(__xludf.DUMMYFUNCTION("REGEXREPLACE(G1778, ""_[a-z]{1,2}$"", """")"),"OpenMKT11")</f>
        <v>OpenMKT11</v>
      </c>
      <c r="BC1778" s="1123"/>
      <c r="BD1778" s="1631" t="s">
        <v>7943</v>
      </c>
      <c r="BE1778" s="1123"/>
      <c r="BF1778" s="1123"/>
      <c r="BG1778" s="1123"/>
      <c r="BH1778" s="1123"/>
      <c r="BI1778" s="1123"/>
      <c r="BJ1778" s="1123"/>
      <c r="BK1778" s="1123"/>
      <c r="BL1778" s="1123"/>
      <c r="BM1778" s="1123"/>
      <c r="BN1778" s="1123"/>
      <c r="BO1778" s="1123"/>
      <c r="BP1778" s="1123"/>
      <c r="BQ1778" s="1123"/>
      <c r="BR1778" s="1123"/>
      <c r="BS1778" s="1123"/>
      <c r="BT1778" s="1123"/>
      <c r="BU1778" s="1123"/>
      <c r="BV1778" s="1123"/>
      <c r="BW1778" s="1123"/>
      <c r="BX1778" s="1123"/>
      <c r="BY1778" s="1123"/>
      <c r="BZ1778" s="1123"/>
      <c r="CA1778" s="1123"/>
      <c r="CB1778" s="1123"/>
      <c r="CC1778" s="1123"/>
      <c r="CD1778" s="1123"/>
      <c r="CE1778" s="1123"/>
      <c r="CF1778" s="1123"/>
      <c r="CG1778" s="1123"/>
      <c r="CH1778" s="1123"/>
      <c r="CI1778" s="1123"/>
      <c r="CJ1778" s="1123"/>
      <c r="CK1778" s="1123"/>
      <c r="CL1778" s="1123"/>
      <c r="CM1778" s="1123"/>
      <c r="CN1778" s="1123"/>
      <c r="CO1778" s="1123"/>
      <c r="CP1778" s="1123"/>
      <c r="CQ1778" s="1123"/>
      <c r="CR1778" s="1123"/>
      <c r="CS1778" s="1123"/>
      <c r="CT1778" s="1123"/>
      <c r="CU1778" s="1123"/>
      <c r="CV1778" s="1123"/>
      <c r="CW1778" s="1123"/>
      <c r="CX1778" s="1123"/>
      <c r="CY1778" s="1123"/>
      <c r="CZ1778" s="1123"/>
      <c r="DA1778" s="1123"/>
      <c r="DB1778" s="1123"/>
      <c r="DC1778" s="1123"/>
      <c r="DD1778" s="1123"/>
      <c r="DE1778" s="1123"/>
      <c r="DF1778" s="1123"/>
      <c r="DG1778" s="1123"/>
      <c r="DH1778" s="1123"/>
      <c r="DI1778" s="1123"/>
      <c r="DJ1778" s="1123"/>
      <c r="DK1778" s="1123"/>
      <c r="DL1778" s="1123"/>
    </row>
    <row r="1779" ht="15.75" customHeight="1">
      <c r="A1779" s="44">
        <v>1779.0</v>
      </c>
      <c r="B1779" s="1800" t="s">
        <v>152</v>
      </c>
      <c r="C1779" s="1631" t="s">
        <v>115</v>
      </c>
      <c r="D1779" s="1631" t="s">
        <v>248</v>
      </c>
      <c r="E1779" s="1123"/>
      <c r="F1779" s="1800" t="s">
        <v>10231</v>
      </c>
      <c r="G1779" s="1800" t="s">
        <v>10232</v>
      </c>
      <c r="H1779" s="491" t="s">
        <v>249</v>
      </c>
      <c r="I1779" s="1801">
        <v>45757.0</v>
      </c>
      <c r="J1779" s="1802">
        <v>45793.0</v>
      </c>
      <c r="K1779" s="491" t="s">
        <v>10233</v>
      </c>
      <c r="L1779" s="1800" t="s">
        <v>10234</v>
      </c>
      <c r="M1779" s="1800" t="s">
        <v>10235</v>
      </c>
      <c r="N1779" s="1800" t="s">
        <v>10236</v>
      </c>
      <c r="O1779" s="1803">
        <v>5.0</v>
      </c>
      <c r="P1779" s="1804" t="s">
        <v>10237</v>
      </c>
      <c r="Q1779" s="52" t="str">
        <f t="array" ref="Q1779"> if(iserror(MATCH(V1779, 'File Links'!C:C, 0)), "N/A", HYPERLINK(INDEX('File Links'!B:B, MATCH(P1779, 'File Links'!C:C, 0))))</f>
        <v>https://drive.google.com/file/d/1hs6XpHWMiyMPANJzK7B4OuBvEZ7slY88/view?usp=drivesdk</v>
      </c>
      <c r="R1779" s="1805" t="s">
        <v>10181</v>
      </c>
      <c r="S1779" s="1800" t="s">
        <v>10182</v>
      </c>
      <c r="T1779" s="1806"/>
      <c r="U1779" s="1803">
        <v>19.0</v>
      </c>
      <c r="V1779" s="491" t="s">
        <v>10183</v>
      </c>
      <c r="W1779" s="491" t="s">
        <v>209</v>
      </c>
      <c r="X1779" s="54" t="str">
        <f t="array" ref="X1779"> if(iserror(MATCH(V1779, 'File Links'!C:C, 0)), "N/A", HYPERLINK(INDEX('File Links'!B:B, MATCH(V1779, 'File Links'!C:C, 0))))</f>
        <v>https://drive.google.com/file/d/1Irbmig3rfLDvz-G09jDAVwJvv1drYEqO/view?usp=drivesdk</v>
      </c>
      <c r="Y1779" s="1632"/>
      <c r="Z1779" s="491" t="s">
        <v>2079</v>
      </c>
      <c r="AA1779" s="491" t="s">
        <v>10238</v>
      </c>
      <c r="AB1779" s="491" t="s">
        <v>10239</v>
      </c>
      <c r="AC1779" s="491" t="s">
        <v>10240</v>
      </c>
      <c r="AD1779" s="491" t="s">
        <v>10241</v>
      </c>
      <c r="AE1779" s="491" t="s">
        <v>1174</v>
      </c>
      <c r="AF1779" s="1807">
        <v>377.0</v>
      </c>
      <c r="AG1779" s="1807" t="s">
        <v>10242</v>
      </c>
      <c r="AH1779" s="491" t="s">
        <v>134</v>
      </c>
      <c r="AI1779" s="491" t="s">
        <v>10243</v>
      </c>
      <c r="AJ1779" s="1807">
        <v>0.001</v>
      </c>
      <c r="AK1779" s="491" t="s">
        <v>135</v>
      </c>
      <c r="AL1779" s="491" t="s">
        <v>186</v>
      </c>
      <c r="AM1779" s="1800" t="s">
        <v>137</v>
      </c>
      <c r="AN1779" s="1800" t="s">
        <v>138</v>
      </c>
      <c r="AO1779" s="1807">
        <v>688.0</v>
      </c>
      <c r="AP1779" s="1807" t="s">
        <v>10244</v>
      </c>
      <c r="AQ1779" s="491" t="s">
        <v>134</v>
      </c>
      <c r="AR1779" s="491" t="s">
        <v>10245</v>
      </c>
      <c r="AS1779" s="1807">
        <v>0.001</v>
      </c>
      <c r="AT1779" s="491" t="s">
        <v>135</v>
      </c>
      <c r="AU1779" s="491" t="s">
        <v>186</v>
      </c>
      <c r="AV1779" s="1800" t="s">
        <v>137</v>
      </c>
      <c r="AW1779" s="1808" t="s">
        <v>10246</v>
      </c>
      <c r="AX1779" s="1800" t="s">
        <v>143</v>
      </c>
      <c r="AY1779" s="61" t="str">
        <f>IFERROR(__xludf.DUMMYFUNCTION("vlookup(BB1779,importrange(""https://docs.google.com/spreadsheets/d/1d2vevQ_7D_v35q4wCQ4RpQ_IPoTwEMB9Yp6ymwlPqew/edit?gid=984458430#gid=984458430"", ""'replication success'!A:K""), 11, FAlSE)"),"successful")</f>
        <v>successful</v>
      </c>
      <c r="AZ1779" s="61" t="str">
        <f>IFERROR(__xludf.DUMMYFUNCTION("vlookup(BB1779,importrange(""https://docs.google.com/spreadsheets/d/1d2vevQ_7D_v35q4wCQ4RpQ_IPoTwEMB9Yp6ymwlPqew/edit?gid=984458430#gid=984458430"", ""'replication success'!A:M""), 12, FAlSE)"),"[Figure 1]")</f>
        <v>[Figure 1]</v>
      </c>
      <c r="BA1779" s="61" t="str">
        <f>IFERROR(__xludf.DUMMYFUNCTION("vlookup(BB1779,importrange(""https://docs.google.com/spreadsheets/d/1d2vevQ_7D_v35q4wCQ4RpQ_IPoTwEMB9Yp6ymwlPqew/edit?gid=984458430#gid=984458430"", ""'replication success'!A:M""), 13, FAlSE)"),"pg. 2")</f>
        <v>pg. 2</v>
      </c>
      <c r="BB1779" s="61" t="str">
        <f>IFERROR(__xludf.DUMMYFUNCTION("REGEXREPLACE(G1779, ""_[a-z]{1,2}$"", """")"),"OpenMKT12")</f>
        <v>OpenMKT12</v>
      </c>
      <c r="BC1779" s="1123"/>
      <c r="BD1779" s="1631" t="s">
        <v>7943</v>
      </c>
      <c r="BE1779" s="1123"/>
      <c r="BF1779" s="1123"/>
      <c r="BG1779" s="1123"/>
      <c r="BH1779" s="1123"/>
      <c r="BI1779" s="1123"/>
      <c r="BJ1779" s="1123"/>
      <c r="BK1779" s="1123"/>
      <c r="BL1779" s="1123"/>
      <c r="BM1779" s="1123"/>
      <c r="BN1779" s="1123"/>
      <c r="BO1779" s="1123"/>
      <c r="BP1779" s="1123"/>
      <c r="BQ1779" s="1123"/>
      <c r="BR1779" s="1123"/>
      <c r="BS1779" s="1123"/>
      <c r="BT1779" s="1123"/>
      <c r="BU1779" s="1123"/>
      <c r="BV1779" s="1123"/>
      <c r="BW1779" s="1123"/>
      <c r="BX1779" s="1123"/>
      <c r="BY1779" s="1123"/>
      <c r="BZ1779" s="1123"/>
      <c r="CA1779" s="1123"/>
      <c r="CB1779" s="1123"/>
      <c r="CC1779" s="1123"/>
      <c r="CD1779" s="1123"/>
      <c r="CE1779" s="1123"/>
      <c r="CF1779" s="1123"/>
      <c r="CG1779" s="1123"/>
      <c r="CH1779" s="1123"/>
      <c r="CI1779" s="1123"/>
      <c r="CJ1779" s="1123"/>
      <c r="CK1779" s="1123"/>
      <c r="CL1779" s="1123"/>
      <c r="CM1779" s="1123"/>
      <c r="CN1779" s="1123"/>
      <c r="CO1779" s="1123"/>
      <c r="CP1779" s="1123"/>
      <c r="CQ1779" s="1123"/>
      <c r="CR1779" s="1123"/>
      <c r="CS1779" s="1123"/>
      <c r="CT1779" s="1123"/>
      <c r="CU1779" s="1123"/>
      <c r="CV1779" s="1123"/>
      <c r="CW1779" s="1123"/>
      <c r="CX1779" s="1123"/>
      <c r="CY1779" s="1123"/>
      <c r="CZ1779" s="1123"/>
      <c r="DA1779" s="1123"/>
      <c r="DB1779" s="1123"/>
      <c r="DC1779" s="1123"/>
      <c r="DD1779" s="1123"/>
      <c r="DE1779" s="1123"/>
      <c r="DF1779" s="1123"/>
      <c r="DG1779" s="1123"/>
      <c r="DH1779" s="1123"/>
      <c r="DI1779" s="1123"/>
      <c r="DJ1779" s="1123"/>
      <c r="DK1779" s="1123"/>
      <c r="DL1779" s="1123"/>
    </row>
    <row r="1780" ht="15.75" customHeight="1">
      <c r="A1780" s="44">
        <v>1780.0</v>
      </c>
      <c r="B1780" s="129" t="s">
        <v>152</v>
      </c>
      <c r="C1780" s="62" t="s">
        <v>115</v>
      </c>
      <c r="D1780" s="62" t="s">
        <v>248</v>
      </c>
      <c r="F1780" s="129" t="s">
        <v>10231</v>
      </c>
      <c r="G1780" s="129" t="s">
        <v>10247</v>
      </c>
      <c r="H1780" s="151" t="s">
        <v>249</v>
      </c>
      <c r="I1780" s="153">
        <v>45757.0</v>
      </c>
      <c r="J1780" s="293">
        <v>45793.0</v>
      </c>
      <c r="K1780" s="151" t="s">
        <v>10233</v>
      </c>
      <c r="L1780" s="295" t="s">
        <v>10234</v>
      </c>
      <c r="M1780" s="129" t="s">
        <v>10235</v>
      </c>
      <c r="N1780" s="129" t="s">
        <v>10236</v>
      </c>
      <c r="O1780" s="501">
        <v>5.0</v>
      </c>
      <c r="P1780" s="528" t="s">
        <v>10237</v>
      </c>
      <c r="Q1780" s="52" t="str">
        <f t="array" ref="Q1780"> if(iserror(MATCH(V1780, 'File Links'!C:C, 0)), "N/A", HYPERLINK(INDEX('File Links'!B:B, MATCH(P1780, 'File Links'!C:C, 0))))</f>
        <v>https://drive.google.com/file/d/1hs6XpHWMiyMPANJzK7B4OuBvEZ7slY88/view?usp=drivesdk</v>
      </c>
      <c r="R1780" s="1697" t="s">
        <v>10181</v>
      </c>
      <c r="S1780" s="129" t="s">
        <v>10182</v>
      </c>
      <c r="T1780" s="1379"/>
      <c r="U1780" s="501">
        <v>19.0</v>
      </c>
      <c r="V1780" s="151" t="s">
        <v>10183</v>
      </c>
      <c r="W1780" s="303" t="s">
        <v>209</v>
      </c>
      <c r="X1780" s="54" t="str">
        <f t="array" ref="X1780"> if(iserror(MATCH(V1780, 'File Links'!C:C, 0)), "N/A", HYPERLINK(INDEX('File Links'!B:B, MATCH(V1780, 'File Links'!C:C, 0))))</f>
        <v>https://drive.google.com/file/d/1Irbmig3rfLDvz-G09jDAVwJvv1drYEqO/view?usp=drivesdk</v>
      </c>
      <c r="Y1780" s="68"/>
      <c r="Z1780" s="151" t="s">
        <v>2079</v>
      </c>
      <c r="AA1780" s="303" t="s">
        <v>10238</v>
      </c>
      <c r="AB1780" s="151" t="s">
        <v>10239</v>
      </c>
      <c r="AC1780" s="151" t="s">
        <v>10240</v>
      </c>
      <c r="AD1780" s="151" t="s">
        <v>10248</v>
      </c>
      <c r="AE1780" s="151" t="s">
        <v>1174</v>
      </c>
      <c r="AF1780" s="161">
        <v>377.0</v>
      </c>
      <c r="AG1780" s="161" t="s">
        <v>10249</v>
      </c>
      <c r="AH1780" s="151" t="s">
        <v>134</v>
      </c>
      <c r="AI1780" s="151" t="s">
        <v>10250</v>
      </c>
      <c r="AJ1780" s="161">
        <v>0.011</v>
      </c>
      <c r="AK1780" s="151" t="s">
        <v>172</v>
      </c>
      <c r="AL1780" s="151" t="s">
        <v>186</v>
      </c>
      <c r="AM1780" s="129" t="s">
        <v>137</v>
      </c>
      <c r="AN1780" s="129" t="s">
        <v>138</v>
      </c>
      <c r="AO1780" s="161">
        <v>688.0</v>
      </c>
      <c r="AP1780" s="161" t="s">
        <v>10251</v>
      </c>
      <c r="AQ1780" s="151" t="s">
        <v>134</v>
      </c>
      <c r="AR1780" s="151" t="s">
        <v>10252</v>
      </c>
      <c r="AS1780" s="161">
        <v>0.001</v>
      </c>
      <c r="AT1780" s="151" t="s">
        <v>135</v>
      </c>
      <c r="AU1780" s="151" t="s">
        <v>186</v>
      </c>
      <c r="AV1780" s="129" t="s">
        <v>137</v>
      </c>
      <c r="AW1780" s="1308" t="s">
        <v>10246</v>
      </c>
      <c r="AX1780" s="129" t="s">
        <v>143</v>
      </c>
      <c r="AY1780" s="61" t="str">
        <f>IFERROR(__xludf.DUMMYFUNCTION("vlookup(BB1780,importrange(""https://docs.google.com/spreadsheets/d/1d2vevQ_7D_v35q4wCQ4RpQ_IPoTwEMB9Yp6ymwlPqew/edit?gid=984458430#gid=984458430"", ""'replication success'!A:K""), 11, FAlSE)"),"successful")</f>
        <v>successful</v>
      </c>
      <c r="AZ1780" s="61" t="str">
        <f>IFERROR(__xludf.DUMMYFUNCTION("vlookup(BB1780,importrange(""https://docs.google.com/spreadsheets/d/1d2vevQ_7D_v35q4wCQ4RpQ_IPoTwEMB9Yp6ymwlPqew/edit?gid=984458430#gid=984458430"", ""'replication success'!A:M""), 12, FAlSE)"),"[Figure 1]")</f>
        <v>[Figure 1]</v>
      </c>
      <c r="BA1780" s="61" t="str">
        <f>IFERROR(__xludf.DUMMYFUNCTION("vlookup(BB1780,importrange(""https://docs.google.com/spreadsheets/d/1d2vevQ_7D_v35q4wCQ4RpQ_IPoTwEMB9Yp6ymwlPqew/edit?gid=984458430#gid=984458430"", ""'replication success'!A:M""), 13, FAlSE)"),"pg. 2")</f>
        <v>pg. 2</v>
      </c>
      <c r="BB1780" s="61" t="str">
        <f>IFERROR(__xludf.DUMMYFUNCTION("REGEXREPLACE(G1780, ""_[a-z]{1,2}$"", """")"),"OpenMKT12")</f>
        <v>OpenMKT12</v>
      </c>
      <c r="BD1780" s="1631" t="s">
        <v>7943</v>
      </c>
    </row>
    <row r="1781" ht="15.75" customHeight="1">
      <c r="A1781" s="44">
        <v>1781.0</v>
      </c>
      <c r="B1781" s="129" t="s">
        <v>152</v>
      </c>
      <c r="C1781" s="62" t="s">
        <v>115</v>
      </c>
      <c r="D1781" s="62" t="s">
        <v>248</v>
      </c>
      <c r="F1781" s="129" t="s">
        <v>10231</v>
      </c>
      <c r="G1781" s="129" t="s">
        <v>10253</v>
      </c>
      <c r="H1781" s="151" t="s">
        <v>249</v>
      </c>
      <c r="I1781" s="153">
        <v>45757.0</v>
      </c>
      <c r="J1781" s="293">
        <v>45793.0</v>
      </c>
      <c r="K1781" s="151" t="s">
        <v>10233</v>
      </c>
      <c r="L1781" s="295" t="s">
        <v>10234</v>
      </c>
      <c r="M1781" s="129" t="s">
        <v>10235</v>
      </c>
      <c r="N1781" s="129" t="s">
        <v>10236</v>
      </c>
      <c r="O1781" s="501">
        <v>5.0</v>
      </c>
      <c r="P1781" s="528" t="s">
        <v>10237</v>
      </c>
      <c r="Q1781" s="52" t="str">
        <f t="array" ref="Q1781"> if(iserror(MATCH(V1781, 'File Links'!C:C, 0)), "N/A", HYPERLINK(INDEX('File Links'!B:B, MATCH(P1781, 'File Links'!C:C, 0))))</f>
        <v>https://drive.google.com/file/d/1hs6XpHWMiyMPANJzK7B4OuBvEZ7slY88/view?usp=drivesdk</v>
      </c>
      <c r="R1781" s="1697" t="s">
        <v>10181</v>
      </c>
      <c r="S1781" s="129" t="s">
        <v>10182</v>
      </c>
      <c r="T1781" s="1379"/>
      <c r="U1781" s="501">
        <v>19.0</v>
      </c>
      <c r="V1781" s="151" t="s">
        <v>10183</v>
      </c>
      <c r="W1781" s="303" t="s">
        <v>209</v>
      </c>
      <c r="X1781" s="54" t="str">
        <f t="array" ref="X1781"> if(iserror(MATCH(V1781, 'File Links'!C:C, 0)), "N/A", HYPERLINK(INDEX('File Links'!B:B, MATCH(V1781, 'File Links'!C:C, 0))))</f>
        <v>https://drive.google.com/file/d/1Irbmig3rfLDvz-G09jDAVwJvv1drYEqO/view?usp=drivesdk</v>
      </c>
      <c r="Y1781" s="68"/>
      <c r="Z1781" s="151" t="s">
        <v>2079</v>
      </c>
      <c r="AA1781" s="303" t="s">
        <v>10238</v>
      </c>
      <c r="AB1781" s="151" t="s">
        <v>10239</v>
      </c>
      <c r="AC1781" s="151" t="s">
        <v>10240</v>
      </c>
      <c r="AD1781" s="151" t="s">
        <v>10254</v>
      </c>
      <c r="AE1781" s="151" t="s">
        <v>1174</v>
      </c>
      <c r="AF1781" s="161">
        <v>377.0</v>
      </c>
      <c r="AG1781" s="161" t="s">
        <v>10255</v>
      </c>
      <c r="AH1781" s="151" t="s">
        <v>134</v>
      </c>
      <c r="AI1781" s="151" t="s">
        <v>10256</v>
      </c>
      <c r="AJ1781" s="161">
        <v>0.002</v>
      </c>
      <c r="AK1781" s="151" t="s">
        <v>172</v>
      </c>
      <c r="AL1781" s="151" t="s">
        <v>186</v>
      </c>
      <c r="AM1781" s="129" t="s">
        <v>141</v>
      </c>
      <c r="AN1781" s="129" t="s">
        <v>138</v>
      </c>
      <c r="AO1781" s="161">
        <v>688.0</v>
      </c>
      <c r="AP1781" s="161">
        <v>0.018</v>
      </c>
      <c r="AQ1781" s="151" t="s">
        <v>874</v>
      </c>
      <c r="AR1781" s="151" t="s">
        <v>10257</v>
      </c>
      <c r="AS1781" s="161">
        <v>0.004</v>
      </c>
      <c r="AT1781" s="151" t="s">
        <v>172</v>
      </c>
      <c r="AU1781" s="151" t="s">
        <v>186</v>
      </c>
      <c r="AV1781" s="129" t="s">
        <v>141</v>
      </c>
      <c r="AW1781" s="1308" t="s">
        <v>10246</v>
      </c>
      <c r="AX1781" s="129" t="s">
        <v>143</v>
      </c>
      <c r="AY1781" s="61" t="str">
        <f>IFERROR(__xludf.DUMMYFUNCTION("vlookup(BB1781,importrange(""https://docs.google.com/spreadsheets/d/1d2vevQ_7D_v35q4wCQ4RpQ_IPoTwEMB9Yp6ymwlPqew/edit?gid=984458430#gid=984458430"", ""'replication success'!A:K""), 11, FAlSE)"),"successful")</f>
        <v>successful</v>
      </c>
      <c r="AZ1781" s="61" t="str">
        <f>IFERROR(__xludf.DUMMYFUNCTION("vlookup(BB1781,importrange(""https://docs.google.com/spreadsheets/d/1d2vevQ_7D_v35q4wCQ4RpQ_IPoTwEMB9Yp6ymwlPqew/edit?gid=984458430#gid=984458430"", ""'replication success'!A:M""), 12, FAlSE)"),"[Figure 1]")</f>
        <v>[Figure 1]</v>
      </c>
      <c r="BA1781" s="61" t="str">
        <f>IFERROR(__xludf.DUMMYFUNCTION("vlookup(BB1781,importrange(""https://docs.google.com/spreadsheets/d/1d2vevQ_7D_v35q4wCQ4RpQ_IPoTwEMB9Yp6ymwlPqew/edit?gid=984458430#gid=984458430"", ""'replication success'!A:M""), 13, FAlSE)"),"pg. 2")</f>
        <v>pg. 2</v>
      </c>
      <c r="BB1781" s="61" t="str">
        <f>IFERROR(__xludf.DUMMYFUNCTION("REGEXREPLACE(G1781, ""_[a-z]{1,2}$"", """")"),"OpenMKT12")</f>
        <v>OpenMKT12</v>
      </c>
      <c r="BD1781" s="1631" t="s">
        <v>7943</v>
      </c>
    </row>
    <row r="1782" ht="15.75" customHeight="1">
      <c r="A1782" s="44">
        <v>1782.0</v>
      </c>
      <c r="B1782" s="129" t="s">
        <v>152</v>
      </c>
      <c r="C1782" s="62" t="s">
        <v>115</v>
      </c>
      <c r="D1782" s="62" t="s">
        <v>248</v>
      </c>
      <c r="F1782" s="129" t="s">
        <v>10231</v>
      </c>
      <c r="G1782" s="129" t="s">
        <v>10258</v>
      </c>
      <c r="H1782" s="151" t="s">
        <v>249</v>
      </c>
      <c r="I1782" s="153">
        <v>45757.0</v>
      </c>
      <c r="J1782" s="293">
        <v>45793.0</v>
      </c>
      <c r="K1782" s="151" t="s">
        <v>10233</v>
      </c>
      <c r="L1782" s="295" t="s">
        <v>10234</v>
      </c>
      <c r="M1782" s="129" t="s">
        <v>10235</v>
      </c>
      <c r="N1782" s="129" t="s">
        <v>10236</v>
      </c>
      <c r="O1782" s="501">
        <v>5.0</v>
      </c>
      <c r="P1782" s="528" t="s">
        <v>10237</v>
      </c>
      <c r="Q1782" s="52" t="str">
        <f t="array" ref="Q1782"> if(iserror(MATCH(V1782, 'File Links'!C:C, 0)), "N/A", HYPERLINK(INDEX('File Links'!B:B, MATCH(P1782, 'File Links'!C:C, 0))))</f>
        <v>https://drive.google.com/file/d/1hs6XpHWMiyMPANJzK7B4OuBvEZ7slY88/view?usp=drivesdk</v>
      </c>
      <c r="R1782" s="1697" t="s">
        <v>10181</v>
      </c>
      <c r="S1782" s="129" t="s">
        <v>10182</v>
      </c>
      <c r="T1782" s="1379"/>
      <c r="U1782" s="501">
        <v>19.0</v>
      </c>
      <c r="V1782" s="151" t="s">
        <v>10183</v>
      </c>
      <c r="W1782" s="303" t="s">
        <v>209</v>
      </c>
      <c r="X1782" s="54" t="str">
        <f t="array" ref="X1782"> if(iserror(MATCH(V1782, 'File Links'!C:C, 0)), "N/A", HYPERLINK(INDEX('File Links'!B:B, MATCH(V1782, 'File Links'!C:C, 0))))</f>
        <v>https://drive.google.com/file/d/1Irbmig3rfLDvz-G09jDAVwJvv1drYEqO/view?usp=drivesdk</v>
      </c>
      <c r="Y1782" s="68"/>
      <c r="Z1782" s="151" t="s">
        <v>2079</v>
      </c>
      <c r="AA1782" s="303" t="s">
        <v>10238</v>
      </c>
      <c r="AB1782" s="151" t="s">
        <v>10239</v>
      </c>
      <c r="AC1782" s="151" t="s">
        <v>10240</v>
      </c>
      <c r="AD1782" s="151" t="s">
        <v>10259</v>
      </c>
      <c r="AE1782" s="151" t="s">
        <v>1174</v>
      </c>
      <c r="AF1782" s="161">
        <v>377.0</v>
      </c>
      <c r="AG1782" s="161" t="s">
        <v>10260</v>
      </c>
      <c r="AH1782" s="151" t="s">
        <v>134</v>
      </c>
      <c r="AI1782" s="151" t="s">
        <v>1174</v>
      </c>
      <c r="AJ1782" s="161">
        <v>0.05</v>
      </c>
      <c r="AK1782" s="151" t="s">
        <v>335</v>
      </c>
      <c r="AL1782" s="151" t="s">
        <v>186</v>
      </c>
      <c r="AM1782" s="129" t="s">
        <v>141</v>
      </c>
      <c r="AN1782" s="129" t="s">
        <v>138</v>
      </c>
      <c r="AO1782" s="161">
        <v>688.0</v>
      </c>
      <c r="AP1782" s="161">
        <v>0.008</v>
      </c>
      <c r="AQ1782" s="151" t="s">
        <v>874</v>
      </c>
      <c r="AR1782" s="151" t="s">
        <v>10261</v>
      </c>
      <c r="AS1782" s="161">
        <v>0.001</v>
      </c>
      <c r="AT1782" s="151" t="s">
        <v>135</v>
      </c>
      <c r="AU1782" s="151" t="s">
        <v>186</v>
      </c>
      <c r="AV1782" s="129" t="s">
        <v>141</v>
      </c>
      <c r="AW1782" s="1308" t="s">
        <v>10246</v>
      </c>
      <c r="AX1782" s="129" t="s">
        <v>143</v>
      </c>
      <c r="AY1782" s="61" t="str">
        <f>IFERROR(__xludf.DUMMYFUNCTION("vlookup(BB1782,importrange(""https://docs.google.com/spreadsheets/d/1d2vevQ_7D_v35q4wCQ4RpQ_IPoTwEMB9Yp6ymwlPqew/edit?gid=984458430#gid=984458430"", ""'replication success'!A:K""), 11, FAlSE)"),"successful")</f>
        <v>successful</v>
      </c>
      <c r="AZ1782" s="61" t="str">
        <f>IFERROR(__xludf.DUMMYFUNCTION("vlookup(BB1782,importrange(""https://docs.google.com/spreadsheets/d/1d2vevQ_7D_v35q4wCQ4RpQ_IPoTwEMB9Yp6ymwlPqew/edit?gid=984458430#gid=984458430"", ""'replication success'!A:M""), 12, FAlSE)"),"[Figure 1]")</f>
        <v>[Figure 1]</v>
      </c>
      <c r="BA1782" s="61" t="str">
        <f>IFERROR(__xludf.DUMMYFUNCTION("vlookup(BB1782,importrange(""https://docs.google.com/spreadsheets/d/1d2vevQ_7D_v35q4wCQ4RpQ_IPoTwEMB9Yp6ymwlPqew/edit?gid=984458430#gid=984458430"", ""'replication success'!A:M""), 13, FAlSE)"),"pg. 2")</f>
        <v>pg. 2</v>
      </c>
      <c r="BB1782" s="61" t="str">
        <f>IFERROR(__xludf.DUMMYFUNCTION("REGEXREPLACE(G1782, ""_[a-z]{1,2}$"", """")"),"OpenMKT12")</f>
        <v>OpenMKT12</v>
      </c>
      <c r="BD1782" s="1631" t="s">
        <v>7943</v>
      </c>
    </row>
    <row r="1783" ht="15.75" customHeight="1">
      <c r="A1783" s="44">
        <v>1783.0</v>
      </c>
      <c r="B1783" s="129" t="s">
        <v>114</v>
      </c>
      <c r="C1783" s="62" t="s">
        <v>115</v>
      </c>
      <c r="D1783" s="62" t="s">
        <v>248</v>
      </c>
      <c r="F1783" s="129" t="s">
        <v>10231</v>
      </c>
      <c r="G1783" s="129" t="s">
        <v>10262</v>
      </c>
      <c r="H1783" s="151" t="s">
        <v>249</v>
      </c>
      <c r="I1783" s="153">
        <v>45757.0</v>
      </c>
      <c r="J1783" s="293">
        <v>45793.0</v>
      </c>
      <c r="K1783" s="151" t="s">
        <v>10263</v>
      </c>
      <c r="L1783" s="129" t="s">
        <v>10264</v>
      </c>
      <c r="M1783" s="129" t="s">
        <v>10235</v>
      </c>
      <c r="N1783" s="129" t="s">
        <v>10236</v>
      </c>
      <c r="O1783" s="501">
        <v>5.0</v>
      </c>
      <c r="P1783" s="528" t="s">
        <v>10237</v>
      </c>
      <c r="Q1783" s="52" t="str">
        <f t="array" ref="Q1783"> if(iserror(MATCH(V1783, 'File Links'!C:C, 0)), "N/A", HYPERLINK(INDEX('File Links'!B:B, MATCH(P1783, 'File Links'!C:C, 0))))</f>
        <v>https://drive.google.com/file/d/1hs6XpHWMiyMPANJzK7B4OuBvEZ7slY88/view?usp=drivesdk</v>
      </c>
      <c r="R1783" s="1697" t="s">
        <v>10181</v>
      </c>
      <c r="S1783" s="129" t="s">
        <v>10182</v>
      </c>
      <c r="T1783" s="1379"/>
      <c r="U1783" s="501">
        <v>19.0</v>
      </c>
      <c r="V1783" s="151" t="s">
        <v>10183</v>
      </c>
      <c r="W1783" s="303" t="s">
        <v>209</v>
      </c>
      <c r="X1783" s="54" t="str">
        <f t="array" ref="X1783"> if(iserror(MATCH(V1783, 'File Links'!C:C, 0)), "N/A", HYPERLINK(INDEX('File Links'!B:B, MATCH(V1783, 'File Links'!C:C, 0))))</f>
        <v>https://drive.google.com/file/d/1Irbmig3rfLDvz-G09jDAVwJvv1drYEqO/view?usp=drivesdk</v>
      </c>
      <c r="Y1783" s="68"/>
      <c r="Z1783" s="151" t="s">
        <v>2079</v>
      </c>
      <c r="AA1783" s="303" t="s">
        <v>10238</v>
      </c>
      <c r="AB1783" s="151" t="s">
        <v>10239</v>
      </c>
      <c r="AC1783" s="151" t="s">
        <v>10240</v>
      </c>
      <c r="AD1783" s="151" t="s">
        <v>10241</v>
      </c>
      <c r="AE1783" s="151" t="s">
        <v>1174</v>
      </c>
      <c r="AF1783" s="161">
        <v>377.0</v>
      </c>
      <c r="AG1783" s="161" t="s">
        <v>10242</v>
      </c>
      <c r="AH1783" s="151" t="s">
        <v>134</v>
      </c>
      <c r="AI1783" s="151" t="s">
        <v>10243</v>
      </c>
      <c r="AJ1783" s="161">
        <v>0.001</v>
      </c>
      <c r="AK1783" s="151" t="s">
        <v>135</v>
      </c>
      <c r="AL1783" s="151" t="s">
        <v>186</v>
      </c>
      <c r="AM1783" s="129" t="s">
        <v>137</v>
      </c>
      <c r="AN1783" s="129" t="s">
        <v>138</v>
      </c>
      <c r="AO1783" s="161">
        <v>712.0</v>
      </c>
      <c r="AP1783" s="161" t="s">
        <v>10265</v>
      </c>
      <c r="AQ1783" s="151" t="s">
        <v>134</v>
      </c>
      <c r="AR1783" s="151" t="s">
        <v>10266</v>
      </c>
      <c r="AS1783" s="161">
        <v>0.001</v>
      </c>
      <c r="AT1783" s="151" t="s">
        <v>135</v>
      </c>
      <c r="AU1783" s="151" t="s">
        <v>186</v>
      </c>
      <c r="AV1783" s="129" t="s">
        <v>137</v>
      </c>
      <c r="AW1783" s="1308" t="s">
        <v>10246</v>
      </c>
      <c r="AX1783" s="129" t="s">
        <v>143</v>
      </c>
      <c r="AY1783" s="61" t="str">
        <f>IFERROR(__xludf.DUMMYFUNCTION("vlookup(BB1783,importrange(""https://docs.google.com/spreadsheets/d/1d2vevQ_7D_v35q4wCQ4RpQ_IPoTwEMB9Yp6ymwlPqew/edit?gid=984458430#gid=984458430"", ""'replication success'!A:K""), 11, FAlSE)"),"successful")</f>
        <v>successful</v>
      </c>
      <c r="AZ1783" s="61" t="str">
        <f>IFERROR(__xludf.DUMMYFUNCTION("vlookup(BB1783,importrange(""https://docs.google.com/spreadsheets/d/1d2vevQ_7D_v35q4wCQ4RpQ_IPoTwEMB9Yp6ymwlPqew/edit?gid=984458430#gid=984458430"", ""'replication success'!A:M""), 12, FAlSE)"),"[Figure 1]")</f>
        <v>[Figure 1]</v>
      </c>
      <c r="BA1783" s="61" t="str">
        <f>IFERROR(__xludf.DUMMYFUNCTION("vlookup(BB1783,importrange(""https://docs.google.com/spreadsheets/d/1d2vevQ_7D_v35q4wCQ4RpQ_IPoTwEMB9Yp6ymwlPqew/edit?gid=984458430#gid=984458430"", ""'replication success'!A:M""), 13, FAlSE)"),"pg. 2")</f>
        <v>pg. 2</v>
      </c>
      <c r="BB1783" s="61" t="str">
        <f>IFERROR(__xludf.DUMMYFUNCTION("REGEXREPLACE(G1783, ""_[a-z]{1,2}$"", """")"),"OpenMKT12")</f>
        <v>OpenMKT12</v>
      </c>
      <c r="BD1783" s="1631" t="s">
        <v>7943</v>
      </c>
    </row>
    <row r="1784" ht="15.75" customHeight="1">
      <c r="A1784" s="44">
        <v>1784.0</v>
      </c>
      <c r="B1784" s="129" t="s">
        <v>114</v>
      </c>
      <c r="C1784" s="62" t="s">
        <v>115</v>
      </c>
      <c r="D1784" s="62" t="s">
        <v>248</v>
      </c>
      <c r="F1784" s="129" t="s">
        <v>10231</v>
      </c>
      <c r="G1784" s="129" t="s">
        <v>10267</v>
      </c>
      <c r="H1784" s="151" t="s">
        <v>249</v>
      </c>
      <c r="I1784" s="153">
        <v>45757.0</v>
      </c>
      <c r="J1784" s="293">
        <v>45793.0</v>
      </c>
      <c r="K1784" s="151" t="s">
        <v>10263</v>
      </c>
      <c r="L1784" s="129" t="s">
        <v>10264</v>
      </c>
      <c r="M1784" s="129" t="s">
        <v>10235</v>
      </c>
      <c r="N1784" s="129" t="s">
        <v>10236</v>
      </c>
      <c r="O1784" s="501">
        <v>5.0</v>
      </c>
      <c r="P1784" s="528" t="s">
        <v>10237</v>
      </c>
      <c r="Q1784" s="52" t="str">
        <f t="array" ref="Q1784"> if(iserror(MATCH(V1784, 'File Links'!C:C, 0)), "N/A", HYPERLINK(INDEX('File Links'!B:B, MATCH(P1784, 'File Links'!C:C, 0))))</f>
        <v>https://drive.google.com/file/d/1hs6XpHWMiyMPANJzK7B4OuBvEZ7slY88/view?usp=drivesdk</v>
      </c>
      <c r="R1784" s="1697" t="s">
        <v>10181</v>
      </c>
      <c r="S1784" s="129" t="s">
        <v>10182</v>
      </c>
      <c r="T1784" s="1379"/>
      <c r="U1784" s="501">
        <v>19.0</v>
      </c>
      <c r="V1784" s="151" t="s">
        <v>10183</v>
      </c>
      <c r="W1784" s="303" t="s">
        <v>209</v>
      </c>
      <c r="X1784" s="54" t="str">
        <f t="array" ref="X1784"> if(iserror(MATCH(V1784, 'File Links'!C:C, 0)), "N/A", HYPERLINK(INDEX('File Links'!B:B, MATCH(V1784, 'File Links'!C:C, 0))))</f>
        <v>https://drive.google.com/file/d/1Irbmig3rfLDvz-G09jDAVwJvv1drYEqO/view?usp=drivesdk</v>
      </c>
      <c r="Y1784" s="68"/>
      <c r="Z1784" s="151" t="s">
        <v>2079</v>
      </c>
      <c r="AA1784" s="303" t="s">
        <v>10238</v>
      </c>
      <c r="AB1784" s="151" t="s">
        <v>10239</v>
      </c>
      <c r="AC1784" s="151" t="s">
        <v>10240</v>
      </c>
      <c r="AD1784" s="151" t="s">
        <v>10248</v>
      </c>
      <c r="AE1784" s="151" t="s">
        <v>1174</v>
      </c>
      <c r="AF1784" s="161">
        <v>377.0</v>
      </c>
      <c r="AG1784" s="161" t="s">
        <v>10249</v>
      </c>
      <c r="AH1784" s="151" t="s">
        <v>134</v>
      </c>
      <c r="AI1784" s="151" t="s">
        <v>10250</v>
      </c>
      <c r="AJ1784" s="161">
        <v>0.011</v>
      </c>
      <c r="AK1784" s="151" t="s">
        <v>172</v>
      </c>
      <c r="AL1784" s="151" t="s">
        <v>186</v>
      </c>
      <c r="AM1784" s="129" t="s">
        <v>137</v>
      </c>
      <c r="AN1784" s="129" t="s">
        <v>138</v>
      </c>
      <c r="AO1784" s="161">
        <v>712.0</v>
      </c>
      <c r="AP1784" s="161" t="s">
        <v>10268</v>
      </c>
      <c r="AQ1784" s="151" t="s">
        <v>134</v>
      </c>
      <c r="AR1784" s="151" t="s">
        <v>10269</v>
      </c>
      <c r="AS1784" s="161">
        <v>0.001</v>
      </c>
      <c r="AT1784" s="151" t="s">
        <v>135</v>
      </c>
      <c r="AU1784" s="151" t="s">
        <v>186</v>
      </c>
      <c r="AV1784" s="129" t="s">
        <v>137</v>
      </c>
      <c r="AW1784" s="1308" t="s">
        <v>10246</v>
      </c>
      <c r="AX1784" s="129" t="s">
        <v>143</v>
      </c>
      <c r="AY1784" s="61" t="str">
        <f>IFERROR(__xludf.DUMMYFUNCTION("vlookup(BB1784,importrange(""https://docs.google.com/spreadsheets/d/1d2vevQ_7D_v35q4wCQ4RpQ_IPoTwEMB9Yp6ymwlPqew/edit?gid=984458430#gid=984458430"", ""'replication success'!A:K""), 11, FAlSE)"),"successful")</f>
        <v>successful</v>
      </c>
      <c r="AZ1784" s="61" t="str">
        <f>IFERROR(__xludf.DUMMYFUNCTION("vlookup(BB1784,importrange(""https://docs.google.com/spreadsheets/d/1d2vevQ_7D_v35q4wCQ4RpQ_IPoTwEMB9Yp6ymwlPqew/edit?gid=984458430#gid=984458430"", ""'replication success'!A:M""), 12, FAlSE)"),"[Figure 1]")</f>
        <v>[Figure 1]</v>
      </c>
      <c r="BA1784" s="61" t="str">
        <f>IFERROR(__xludf.DUMMYFUNCTION("vlookup(BB1784,importrange(""https://docs.google.com/spreadsheets/d/1d2vevQ_7D_v35q4wCQ4RpQ_IPoTwEMB9Yp6ymwlPqew/edit?gid=984458430#gid=984458430"", ""'replication success'!A:M""), 13, FAlSE)"),"pg. 2")</f>
        <v>pg. 2</v>
      </c>
      <c r="BB1784" s="61" t="str">
        <f>IFERROR(__xludf.DUMMYFUNCTION("REGEXREPLACE(G1784, ""_[a-z]{1,2}$"", """")"),"OpenMKT12")</f>
        <v>OpenMKT12</v>
      </c>
      <c r="BD1784" s="1631" t="s">
        <v>7943</v>
      </c>
    </row>
    <row r="1785" ht="15.75" customHeight="1">
      <c r="A1785" s="44">
        <v>1785.0</v>
      </c>
      <c r="B1785" s="129" t="s">
        <v>114</v>
      </c>
      <c r="C1785" s="62" t="s">
        <v>115</v>
      </c>
      <c r="D1785" s="62" t="s">
        <v>248</v>
      </c>
      <c r="F1785" s="129" t="s">
        <v>10231</v>
      </c>
      <c r="G1785" s="129" t="s">
        <v>10270</v>
      </c>
      <c r="H1785" s="151" t="s">
        <v>249</v>
      </c>
      <c r="I1785" s="153">
        <v>45757.0</v>
      </c>
      <c r="J1785" s="293">
        <v>45793.0</v>
      </c>
      <c r="K1785" s="151" t="s">
        <v>10263</v>
      </c>
      <c r="L1785" s="129" t="s">
        <v>10264</v>
      </c>
      <c r="M1785" s="129" t="s">
        <v>10235</v>
      </c>
      <c r="N1785" s="129" t="s">
        <v>10236</v>
      </c>
      <c r="O1785" s="501">
        <v>5.0</v>
      </c>
      <c r="P1785" s="528" t="s">
        <v>10237</v>
      </c>
      <c r="Q1785" s="52" t="str">
        <f t="array" ref="Q1785"> if(iserror(MATCH(V1785, 'File Links'!C:C, 0)), "N/A", HYPERLINK(INDEX('File Links'!B:B, MATCH(P1785, 'File Links'!C:C, 0))))</f>
        <v>https://drive.google.com/file/d/1hs6XpHWMiyMPANJzK7B4OuBvEZ7slY88/view?usp=drivesdk</v>
      </c>
      <c r="R1785" s="1697" t="s">
        <v>10181</v>
      </c>
      <c r="S1785" s="129" t="s">
        <v>10182</v>
      </c>
      <c r="T1785" s="1379"/>
      <c r="U1785" s="501">
        <v>19.0</v>
      </c>
      <c r="V1785" s="151" t="s">
        <v>10183</v>
      </c>
      <c r="W1785" s="303" t="s">
        <v>209</v>
      </c>
      <c r="X1785" s="54" t="str">
        <f t="array" ref="X1785"> if(iserror(MATCH(V1785, 'File Links'!C:C, 0)), "N/A", HYPERLINK(INDEX('File Links'!B:B, MATCH(V1785, 'File Links'!C:C, 0))))</f>
        <v>https://drive.google.com/file/d/1Irbmig3rfLDvz-G09jDAVwJvv1drYEqO/view?usp=drivesdk</v>
      </c>
      <c r="Y1785" s="68"/>
      <c r="Z1785" s="151" t="s">
        <v>2079</v>
      </c>
      <c r="AA1785" s="303" t="s">
        <v>10238</v>
      </c>
      <c r="AB1785" s="151" t="s">
        <v>10239</v>
      </c>
      <c r="AC1785" s="151" t="s">
        <v>10240</v>
      </c>
      <c r="AD1785" s="151" t="s">
        <v>10254</v>
      </c>
      <c r="AE1785" s="151" t="s">
        <v>1174</v>
      </c>
      <c r="AF1785" s="161">
        <v>377.0</v>
      </c>
      <c r="AG1785" s="161" t="s">
        <v>10271</v>
      </c>
      <c r="AH1785" s="151" t="s">
        <v>134</v>
      </c>
      <c r="AI1785" s="151" t="s">
        <v>10256</v>
      </c>
      <c r="AJ1785" s="161">
        <v>0.002</v>
      </c>
      <c r="AK1785" s="151" t="s">
        <v>172</v>
      </c>
      <c r="AL1785" s="151" t="s">
        <v>186</v>
      </c>
      <c r="AM1785" s="129" t="s">
        <v>141</v>
      </c>
      <c r="AN1785" s="129" t="s">
        <v>138</v>
      </c>
      <c r="AO1785" s="161">
        <v>712.0</v>
      </c>
      <c r="AP1785" s="161" t="s">
        <v>10272</v>
      </c>
      <c r="AQ1785" s="151" t="s">
        <v>874</v>
      </c>
      <c r="AR1785" s="151" t="s">
        <v>10273</v>
      </c>
      <c r="AS1785" s="161">
        <v>0.034</v>
      </c>
      <c r="AT1785" s="151" t="s">
        <v>172</v>
      </c>
      <c r="AU1785" s="151" t="s">
        <v>186</v>
      </c>
      <c r="AV1785" s="129" t="s">
        <v>141</v>
      </c>
      <c r="AW1785" s="1308" t="s">
        <v>10246</v>
      </c>
      <c r="AX1785" s="129" t="s">
        <v>143</v>
      </c>
      <c r="AY1785" s="61" t="str">
        <f>IFERROR(__xludf.DUMMYFUNCTION("vlookup(BB1785,importrange(""https://docs.google.com/spreadsheets/d/1d2vevQ_7D_v35q4wCQ4RpQ_IPoTwEMB9Yp6ymwlPqew/edit?gid=984458430#gid=984458430"", ""'replication success'!A:K""), 11, FAlSE)"),"successful")</f>
        <v>successful</v>
      </c>
      <c r="AZ1785" s="61" t="str">
        <f>IFERROR(__xludf.DUMMYFUNCTION("vlookup(BB1785,importrange(""https://docs.google.com/spreadsheets/d/1d2vevQ_7D_v35q4wCQ4RpQ_IPoTwEMB9Yp6ymwlPqew/edit?gid=984458430#gid=984458430"", ""'replication success'!A:M""), 12, FAlSE)"),"[Figure 1]")</f>
        <v>[Figure 1]</v>
      </c>
      <c r="BA1785" s="61" t="str">
        <f>IFERROR(__xludf.DUMMYFUNCTION("vlookup(BB1785,importrange(""https://docs.google.com/spreadsheets/d/1d2vevQ_7D_v35q4wCQ4RpQ_IPoTwEMB9Yp6ymwlPqew/edit?gid=984458430#gid=984458430"", ""'replication success'!A:M""), 13, FAlSE)"),"pg. 2")</f>
        <v>pg. 2</v>
      </c>
      <c r="BB1785" s="61" t="str">
        <f>IFERROR(__xludf.DUMMYFUNCTION("REGEXREPLACE(G1785, ""_[a-z]{1,2}$"", """")"),"OpenMKT12")</f>
        <v>OpenMKT12</v>
      </c>
      <c r="BD1785" s="1631" t="s">
        <v>7943</v>
      </c>
    </row>
    <row r="1786" ht="15.75" customHeight="1">
      <c r="A1786" s="44">
        <v>1786.0</v>
      </c>
      <c r="B1786" s="1800" t="s">
        <v>114</v>
      </c>
      <c r="C1786" s="1631" t="s">
        <v>115</v>
      </c>
      <c r="D1786" s="1631" t="s">
        <v>248</v>
      </c>
      <c r="E1786" s="1123"/>
      <c r="F1786" s="1800" t="s">
        <v>10231</v>
      </c>
      <c r="G1786" s="1800" t="s">
        <v>10274</v>
      </c>
      <c r="H1786" s="491" t="s">
        <v>249</v>
      </c>
      <c r="I1786" s="1801">
        <v>45757.0</v>
      </c>
      <c r="J1786" s="1802">
        <v>45793.0</v>
      </c>
      <c r="K1786" s="491" t="s">
        <v>10263</v>
      </c>
      <c r="L1786" s="1800" t="s">
        <v>10264</v>
      </c>
      <c r="M1786" s="1800" t="s">
        <v>10235</v>
      </c>
      <c r="N1786" s="1800" t="s">
        <v>10236</v>
      </c>
      <c r="O1786" s="1803">
        <v>5.0</v>
      </c>
      <c r="P1786" s="1804" t="s">
        <v>10237</v>
      </c>
      <c r="Q1786" s="52" t="str">
        <f t="array" ref="Q1786"> if(iserror(MATCH(V1786, 'File Links'!C:C, 0)), "N/A", HYPERLINK(INDEX('File Links'!B:B, MATCH(P1786, 'File Links'!C:C, 0))))</f>
        <v>https://drive.google.com/file/d/1hs6XpHWMiyMPANJzK7B4OuBvEZ7slY88/view?usp=drivesdk</v>
      </c>
      <c r="R1786" s="1805" t="s">
        <v>10181</v>
      </c>
      <c r="S1786" s="1800" t="s">
        <v>10182</v>
      </c>
      <c r="T1786" s="1806"/>
      <c r="U1786" s="1803">
        <v>19.0</v>
      </c>
      <c r="V1786" s="491" t="s">
        <v>10183</v>
      </c>
      <c r="W1786" s="491" t="s">
        <v>209</v>
      </c>
      <c r="X1786" s="54" t="str">
        <f t="array" ref="X1786"> if(iserror(MATCH(V1786, 'File Links'!C:C, 0)), "N/A", HYPERLINK(INDEX('File Links'!B:B, MATCH(V1786, 'File Links'!C:C, 0))))</f>
        <v>https://drive.google.com/file/d/1Irbmig3rfLDvz-G09jDAVwJvv1drYEqO/view?usp=drivesdk</v>
      </c>
      <c r="Y1786" s="1632"/>
      <c r="Z1786" s="491" t="s">
        <v>2079</v>
      </c>
      <c r="AA1786" s="491" t="s">
        <v>10238</v>
      </c>
      <c r="AB1786" s="491" t="s">
        <v>10239</v>
      </c>
      <c r="AC1786" s="491" t="s">
        <v>10240</v>
      </c>
      <c r="AD1786" s="491" t="s">
        <v>10259</v>
      </c>
      <c r="AE1786" s="491" t="s">
        <v>1174</v>
      </c>
      <c r="AF1786" s="1807">
        <v>377.0</v>
      </c>
      <c r="AG1786" s="1807" t="s">
        <v>10275</v>
      </c>
      <c r="AH1786" s="491" t="s">
        <v>134</v>
      </c>
      <c r="AI1786" s="491" t="s">
        <v>1174</v>
      </c>
      <c r="AJ1786" s="1807">
        <v>0.05</v>
      </c>
      <c r="AK1786" s="491" t="s">
        <v>335</v>
      </c>
      <c r="AL1786" s="491" t="s">
        <v>186</v>
      </c>
      <c r="AM1786" s="1800" t="s">
        <v>141</v>
      </c>
      <c r="AN1786" s="1800" t="s">
        <v>138</v>
      </c>
      <c r="AO1786" s="1807">
        <v>712.0</v>
      </c>
      <c r="AP1786" s="1807">
        <v>0.008</v>
      </c>
      <c r="AQ1786" s="491" t="s">
        <v>874</v>
      </c>
      <c r="AR1786" s="491" t="s">
        <v>10276</v>
      </c>
      <c r="AS1786" s="1807">
        <v>0.001</v>
      </c>
      <c r="AT1786" s="491" t="s">
        <v>135</v>
      </c>
      <c r="AU1786" s="491" t="s">
        <v>186</v>
      </c>
      <c r="AV1786" s="1800" t="s">
        <v>141</v>
      </c>
      <c r="AW1786" s="1808" t="s">
        <v>10246</v>
      </c>
      <c r="AX1786" s="1800" t="s">
        <v>143</v>
      </c>
      <c r="AY1786" s="61" t="str">
        <f>IFERROR(__xludf.DUMMYFUNCTION("vlookup(BB1786,importrange(""https://docs.google.com/spreadsheets/d/1d2vevQ_7D_v35q4wCQ4RpQ_IPoTwEMB9Yp6ymwlPqew/edit?gid=984458430#gid=984458430"", ""'replication success'!A:K""), 11, FAlSE)"),"successful")</f>
        <v>successful</v>
      </c>
      <c r="AZ1786" s="61" t="str">
        <f>IFERROR(__xludf.DUMMYFUNCTION("vlookup(BB1786,importrange(""https://docs.google.com/spreadsheets/d/1d2vevQ_7D_v35q4wCQ4RpQ_IPoTwEMB9Yp6ymwlPqew/edit?gid=984458430#gid=984458430"", ""'replication success'!A:M""), 12, FAlSE)"),"[Figure 1]")</f>
        <v>[Figure 1]</v>
      </c>
      <c r="BA1786" s="61" t="str">
        <f>IFERROR(__xludf.DUMMYFUNCTION("vlookup(BB1786,importrange(""https://docs.google.com/spreadsheets/d/1d2vevQ_7D_v35q4wCQ4RpQ_IPoTwEMB9Yp6ymwlPqew/edit?gid=984458430#gid=984458430"", ""'replication success'!A:M""), 13, FAlSE)"),"pg. 2")</f>
        <v>pg. 2</v>
      </c>
      <c r="BB1786" s="61" t="str">
        <f>IFERROR(__xludf.DUMMYFUNCTION("REGEXREPLACE(G1786, ""_[a-z]{1,2}$"", """")"),"OpenMKT12")</f>
        <v>OpenMKT12</v>
      </c>
      <c r="BC1786" s="1123"/>
      <c r="BD1786" s="1631" t="s">
        <v>7943</v>
      </c>
      <c r="BE1786" s="1123"/>
      <c r="BF1786" s="1123"/>
      <c r="BG1786" s="1123"/>
      <c r="BH1786" s="1123"/>
      <c r="BI1786" s="1123"/>
      <c r="BJ1786" s="1123"/>
      <c r="BK1786" s="1123"/>
      <c r="BL1786" s="1123"/>
      <c r="BM1786" s="1123"/>
      <c r="BN1786" s="1123"/>
      <c r="BO1786" s="1123"/>
      <c r="BP1786" s="1123"/>
      <c r="BQ1786" s="1123"/>
      <c r="BR1786" s="1123"/>
      <c r="BS1786" s="1123"/>
      <c r="BT1786" s="1123"/>
      <c r="BU1786" s="1123"/>
      <c r="BV1786" s="1123"/>
      <c r="BW1786" s="1123"/>
      <c r="BX1786" s="1123"/>
      <c r="BY1786" s="1123"/>
      <c r="BZ1786" s="1123"/>
      <c r="CA1786" s="1123"/>
      <c r="CB1786" s="1123"/>
      <c r="CC1786" s="1123"/>
      <c r="CD1786" s="1123"/>
      <c r="CE1786" s="1123"/>
      <c r="CF1786" s="1123"/>
      <c r="CG1786" s="1123"/>
      <c r="CH1786" s="1123"/>
      <c r="CI1786" s="1123"/>
      <c r="CJ1786" s="1123"/>
      <c r="CK1786" s="1123"/>
      <c r="CL1786" s="1123"/>
      <c r="CM1786" s="1123"/>
      <c r="CN1786" s="1123"/>
      <c r="CO1786" s="1123"/>
      <c r="CP1786" s="1123"/>
      <c r="CQ1786" s="1123"/>
      <c r="CR1786" s="1123"/>
      <c r="CS1786" s="1123"/>
      <c r="CT1786" s="1123"/>
      <c r="CU1786" s="1123"/>
      <c r="CV1786" s="1123"/>
      <c r="CW1786" s="1123"/>
      <c r="CX1786" s="1123"/>
      <c r="CY1786" s="1123"/>
      <c r="CZ1786" s="1123"/>
      <c r="DA1786" s="1123"/>
      <c r="DB1786" s="1123"/>
      <c r="DC1786" s="1123"/>
      <c r="DD1786" s="1123"/>
      <c r="DE1786" s="1123"/>
      <c r="DF1786" s="1123"/>
      <c r="DG1786" s="1123"/>
      <c r="DH1786" s="1123"/>
      <c r="DI1786" s="1123"/>
      <c r="DJ1786" s="1123"/>
      <c r="DK1786" s="1123"/>
      <c r="DL1786" s="1123"/>
    </row>
    <row r="1787" ht="15.75" customHeight="1">
      <c r="A1787" s="44">
        <v>1787.0</v>
      </c>
      <c r="B1787" s="129" t="s">
        <v>114</v>
      </c>
      <c r="C1787" s="62" t="s">
        <v>115</v>
      </c>
      <c r="D1787" s="62" t="s">
        <v>248</v>
      </c>
      <c r="F1787" s="129" t="s">
        <v>10277</v>
      </c>
      <c r="G1787" s="129" t="s">
        <v>10278</v>
      </c>
      <c r="H1787" s="151" t="s">
        <v>249</v>
      </c>
      <c r="I1787" s="153">
        <v>45757.0</v>
      </c>
      <c r="J1787" s="293">
        <v>45793.0</v>
      </c>
      <c r="K1787" s="159"/>
      <c r="L1787" s="129" t="s">
        <v>10279</v>
      </c>
      <c r="M1787" s="129" t="s">
        <v>10280</v>
      </c>
      <c r="N1787" s="129" t="s">
        <v>10281</v>
      </c>
      <c r="O1787" s="501">
        <v>4.0</v>
      </c>
      <c r="P1787" s="528" t="s">
        <v>10282</v>
      </c>
      <c r="Q1787" s="52" t="str">
        <f t="array" ref="Q1787"> if(iserror(MATCH(V1787, 'File Links'!C:C, 0)), "N/A", HYPERLINK(INDEX('File Links'!B:B, MATCH(P1787, 'File Links'!C:C, 0))))</f>
        <v>https://drive.google.com/file/d/1KTndRLnspP4bSM08LU5xlAb5egjHN1hx/view?usp=drivesdk</v>
      </c>
      <c r="R1787" s="1697" t="s">
        <v>10181</v>
      </c>
      <c r="S1787" s="129" t="s">
        <v>10182</v>
      </c>
      <c r="T1787" s="1379"/>
      <c r="U1787" s="501">
        <v>13.0</v>
      </c>
      <c r="V1787" s="151" t="s">
        <v>10183</v>
      </c>
      <c r="W1787" s="1781" t="s">
        <v>209</v>
      </c>
      <c r="X1787" s="54" t="str">
        <f t="array" ref="X1787"> if(iserror(MATCH(V1787, 'File Links'!C:C, 0)), "N/A", HYPERLINK(INDEX('File Links'!B:B, MATCH(V1787, 'File Links'!C:C, 0))))</f>
        <v>https://drive.google.com/file/d/1Irbmig3rfLDvz-G09jDAVwJvv1drYEqO/view?usp=drivesdk</v>
      </c>
      <c r="Y1787" s="68"/>
      <c r="Z1787" s="151" t="s">
        <v>2079</v>
      </c>
      <c r="AA1787" s="1784" t="s">
        <v>10283</v>
      </c>
      <c r="AB1787" s="151" t="s">
        <v>10284</v>
      </c>
      <c r="AC1787" s="151" t="s">
        <v>10285</v>
      </c>
      <c r="AD1787" s="151" t="s">
        <v>10286</v>
      </c>
      <c r="AE1787" s="151" t="s">
        <v>630</v>
      </c>
      <c r="AF1787" s="161">
        <v>179.0</v>
      </c>
      <c r="AG1787" s="161">
        <v>1.08</v>
      </c>
      <c r="AH1787" s="151" t="s">
        <v>173</v>
      </c>
      <c r="AI1787" s="151" t="s">
        <v>10287</v>
      </c>
      <c r="AJ1787" s="161">
        <v>0.01</v>
      </c>
      <c r="AK1787" s="151" t="s">
        <v>135</v>
      </c>
      <c r="AL1787" s="151" t="s">
        <v>186</v>
      </c>
      <c r="AM1787" s="129" t="s">
        <v>137</v>
      </c>
      <c r="AN1787" s="129" t="s">
        <v>138</v>
      </c>
      <c r="AO1787" s="161">
        <v>467.0</v>
      </c>
      <c r="AP1787" s="161">
        <v>0.179</v>
      </c>
      <c r="AQ1787" s="151" t="s">
        <v>173</v>
      </c>
      <c r="AR1787" s="151" t="s">
        <v>10288</v>
      </c>
      <c r="AS1787" s="161">
        <v>0.01</v>
      </c>
      <c r="AT1787" s="151" t="s">
        <v>135</v>
      </c>
      <c r="AU1787" s="151" t="s">
        <v>186</v>
      </c>
      <c r="AV1787" s="129" t="s">
        <v>137</v>
      </c>
      <c r="AW1787" s="1308" t="s">
        <v>10289</v>
      </c>
      <c r="AX1787" s="129" t="s">
        <v>143</v>
      </c>
      <c r="AY1787" s="61" t="str">
        <f>IFERROR(__xludf.DUMMYFUNCTION("vlookup(BB1787,importrange(""https://docs.google.com/spreadsheets/d/1d2vevQ_7D_v35q4wCQ4RpQ_IPoTwEMB9Yp6ymwlPqew/edit?gid=984458430#gid=984458430"", ""'replication success'!A:K""), 11, FAlSE)"),"successful")</f>
        <v>successful</v>
      </c>
      <c r="AZ1787" s="61" t="str">
        <f>IFERROR(__xludf.DUMMYFUNCTION("vlookup(BB1787,importrange(""https://docs.google.com/spreadsheets/d/1d2vevQ_7D_v35q4wCQ4RpQ_IPoTwEMB9Yp6ymwlPqew/edit?gid=984458430#gid=984458430"", ""'replication success'!A:M""), 12, FAlSE)"),"[Figure 1]")</f>
        <v>[Figure 1]</v>
      </c>
      <c r="BA1787" s="61" t="str">
        <f>IFERROR(__xludf.DUMMYFUNCTION("vlookup(BB1787,importrange(""https://docs.google.com/spreadsheets/d/1d2vevQ_7D_v35q4wCQ4RpQ_IPoTwEMB9Yp6ymwlPqew/edit?gid=984458430#gid=984458430"", ""'replication success'!A:M""), 13, FAlSE)"),"pg. 2")</f>
        <v>pg. 2</v>
      </c>
      <c r="BB1787" s="61" t="str">
        <f>IFERROR(__xludf.DUMMYFUNCTION("REGEXREPLACE(G1787, ""_[a-z]{1,2}$"", """")"),"OpenMKT13")</f>
        <v>OpenMKT13</v>
      </c>
      <c r="BD1787" s="62" t="s">
        <v>1270</v>
      </c>
    </row>
    <row r="1788" ht="15.75" customHeight="1">
      <c r="A1788" s="44">
        <v>1788.0</v>
      </c>
      <c r="B1788" s="129" t="s">
        <v>114</v>
      </c>
      <c r="C1788" s="62" t="s">
        <v>115</v>
      </c>
      <c r="D1788" s="62" t="s">
        <v>248</v>
      </c>
      <c r="F1788" s="129" t="s">
        <v>10277</v>
      </c>
      <c r="G1788" s="129" t="s">
        <v>10290</v>
      </c>
      <c r="H1788" s="151" t="s">
        <v>249</v>
      </c>
      <c r="I1788" s="153">
        <v>45757.0</v>
      </c>
      <c r="J1788" s="293">
        <v>45793.0</v>
      </c>
      <c r="K1788" s="159"/>
      <c r="L1788" s="129" t="s">
        <v>10291</v>
      </c>
      <c r="M1788" s="129" t="s">
        <v>10280</v>
      </c>
      <c r="N1788" s="129" t="s">
        <v>10281</v>
      </c>
      <c r="O1788" s="501">
        <v>4.0</v>
      </c>
      <c r="P1788" s="528" t="s">
        <v>10282</v>
      </c>
      <c r="Q1788" s="52" t="str">
        <f t="array" ref="Q1788"> if(iserror(MATCH(V1788, 'File Links'!C:C, 0)), "N/A", HYPERLINK(INDEX('File Links'!B:B, MATCH(P1788, 'File Links'!C:C, 0))))</f>
        <v>https://drive.google.com/file/d/1KTndRLnspP4bSM08LU5xlAb5egjHN1hx/view?usp=drivesdk</v>
      </c>
      <c r="R1788" s="1697" t="s">
        <v>10181</v>
      </c>
      <c r="S1788" s="129" t="s">
        <v>10182</v>
      </c>
      <c r="T1788" s="1379"/>
      <c r="U1788" s="501">
        <v>13.0</v>
      </c>
      <c r="V1788" s="151" t="s">
        <v>10183</v>
      </c>
      <c r="W1788" s="1781" t="s">
        <v>209</v>
      </c>
      <c r="X1788" s="54" t="str">
        <f t="array" ref="X1788"> if(iserror(MATCH(V1788, 'File Links'!C:C, 0)), "N/A", HYPERLINK(INDEX('File Links'!B:B, MATCH(V1788, 'File Links'!C:C, 0))))</f>
        <v>https://drive.google.com/file/d/1Irbmig3rfLDvz-G09jDAVwJvv1drYEqO/view?usp=drivesdk</v>
      </c>
      <c r="Y1788" s="68"/>
      <c r="Z1788" s="151" t="s">
        <v>2079</v>
      </c>
      <c r="AA1788" s="1784" t="s">
        <v>10283</v>
      </c>
      <c r="AB1788" s="151" t="s">
        <v>10284</v>
      </c>
      <c r="AC1788" s="151" t="s">
        <v>10285</v>
      </c>
      <c r="AD1788" s="151" t="s">
        <v>10292</v>
      </c>
      <c r="AE1788" s="151" t="s">
        <v>630</v>
      </c>
      <c r="AF1788" s="161">
        <v>179.0</v>
      </c>
      <c r="AG1788" s="161">
        <v>0.34</v>
      </c>
      <c r="AH1788" s="151" t="s">
        <v>173</v>
      </c>
      <c r="AI1788" s="151" t="s">
        <v>10293</v>
      </c>
      <c r="AJ1788" s="161">
        <v>0.01</v>
      </c>
      <c r="AK1788" s="151" t="s">
        <v>135</v>
      </c>
      <c r="AL1788" s="151" t="s">
        <v>186</v>
      </c>
      <c r="AM1788" s="129" t="s">
        <v>137</v>
      </c>
      <c r="AN1788" s="129" t="s">
        <v>138</v>
      </c>
      <c r="AO1788" s="161">
        <v>467.0</v>
      </c>
      <c r="AP1788" s="161">
        <v>0.028</v>
      </c>
      <c r="AQ1788" s="151" t="s">
        <v>173</v>
      </c>
      <c r="AR1788" s="151" t="s">
        <v>10294</v>
      </c>
      <c r="AS1788" s="161">
        <v>0.6</v>
      </c>
      <c r="AT1788" s="151" t="s">
        <v>172</v>
      </c>
      <c r="AU1788" s="151" t="s">
        <v>186</v>
      </c>
      <c r="AV1788" s="129" t="s">
        <v>137</v>
      </c>
      <c r="AW1788" s="1308" t="s">
        <v>10289</v>
      </c>
      <c r="AX1788" s="129" t="s">
        <v>143</v>
      </c>
      <c r="AY1788" s="61" t="str">
        <f>IFERROR(__xludf.DUMMYFUNCTION("vlookup(BB1788,importrange(""https://docs.google.com/spreadsheets/d/1d2vevQ_7D_v35q4wCQ4RpQ_IPoTwEMB9Yp6ymwlPqew/edit?gid=984458430#gid=984458430"", ""'replication success'!A:K""), 11, FAlSE)"),"successful")</f>
        <v>successful</v>
      </c>
      <c r="AZ1788" s="61" t="str">
        <f>IFERROR(__xludf.DUMMYFUNCTION("vlookup(BB1788,importrange(""https://docs.google.com/spreadsheets/d/1d2vevQ_7D_v35q4wCQ4RpQ_IPoTwEMB9Yp6ymwlPqew/edit?gid=984458430#gid=984458430"", ""'replication success'!A:M""), 12, FAlSE)"),"[Figure 1]")</f>
        <v>[Figure 1]</v>
      </c>
      <c r="BA1788" s="61" t="str">
        <f>IFERROR(__xludf.DUMMYFUNCTION("vlookup(BB1788,importrange(""https://docs.google.com/spreadsheets/d/1d2vevQ_7D_v35q4wCQ4RpQ_IPoTwEMB9Yp6ymwlPqew/edit?gid=984458430#gid=984458430"", ""'replication success'!A:M""), 13, FAlSE)"),"pg. 2")</f>
        <v>pg. 2</v>
      </c>
      <c r="BB1788" s="61" t="str">
        <f>IFERROR(__xludf.DUMMYFUNCTION("REGEXREPLACE(G1788, ""_[a-z]{1,2}$"", """")"),"OpenMKT13")</f>
        <v>OpenMKT13</v>
      </c>
      <c r="BD1788" s="62" t="s">
        <v>1270</v>
      </c>
    </row>
    <row r="1789" ht="15.75" customHeight="1">
      <c r="A1789" s="44">
        <v>1789.0</v>
      </c>
      <c r="B1789" s="129" t="s">
        <v>114</v>
      </c>
      <c r="C1789" s="62" t="s">
        <v>115</v>
      </c>
      <c r="D1789" s="62" t="s">
        <v>248</v>
      </c>
      <c r="F1789" s="129" t="s">
        <v>10277</v>
      </c>
      <c r="G1789" s="129" t="s">
        <v>10295</v>
      </c>
      <c r="H1789" s="151" t="s">
        <v>249</v>
      </c>
      <c r="I1789" s="153">
        <v>45757.0</v>
      </c>
      <c r="J1789" s="293">
        <v>45793.0</v>
      </c>
      <c r="K1789" s="159"/>
      <c r="L1789" s="129" t="s">
        <v>10279</v>
      </c>
      <c r="M1789" s="129" t="s">
        <v>10280</v>
      </c>
      <c r="N1789" s="129" t="s">
        <v>10281</v>
      </c>
      <c r="O1789" s="501">
        <v>4.0</v>
      </c>
      <c r="P1789" s="528" t="s">
        <v>10282</v>
      </c>
      <c r="Q1789" s="52" t="str">
        <f t="array" ref="Q1789"> if(iserror(MATCH(V1789, 'File Links'!C:C, 0)), "N/A", HYPERLINK(INDEX('File Links'!B:B, MATCH(P1789, 'File Links'!C:C, 0))))</f>
        <v>https://drive.google.com/file/d/1KTndRLnspP4bSM08LU5xlAb5egjHN1hx/view?usp=drivesdk</v>
      </c>
      <c r="R1789" s="1697" t="s">
        <v>10181</v>
      </c>
      <c r="S1789" s="129" t="s">
        <v>10182</v>
      </c>
      <c r="T1789" s="1379"/>
      <c r="U1789" s="501">
        <v>13.0</v>
      </c>
      <c r="V1789" s="151" t="s">
        <v>10183</v>
      </c>
      <c r="W1789" s="1781" t="s">
        <v>209</v>
      </c>
      <c r="X1789" s="54" t="str">
        <f t="array" ref="X1789"> if(iserror(MATCH(V1789, 'File Links'!C:C, 0)), "N/A", HYPERLINK(INDEX('File Links'!B:B, MATCH(V1789, 'File Links'!C:C, 0))))</f>
        <v>https://drive.google.com/file/d/1Irbmig3rfLDvz-G09jDAVwJvv1drYEqO/view?usp=drivesdk</v>
      </c>
      <c r="Y1789" s="68"/>
      <c r="Z1789" s="151" t="s">
        <v>2079</v>
      </c>
      <c r="AA1789" s="1784" t="s">
        <v>10283</v>
      </c>
      <c r="AB1789" s="151" t="s">
        <v>10284</v>
      </c>
      <c r="AC1789" s="151" t="s">
        <v>10285</v>
      </c>
      <c r="AD1789" s="151" t="s">
        <v>10296</v>
      </c>
      <c r="AE1789" s="151" t="s">
        <v>630</v>
      </c>
      <c r="AF1789" s="161">
        <v>179.0</v>
      </c>
      <c r="AG1789" s="161" t="s">
        <v>10297</v>
      </c>
      <c r="AH1789" s="151" t="s">
        <v>134</v>
      </c>
      <c r="AI1789" s="151" t="s">
        <v>10298</v>
      </c>
      <c r="AJ1789" s="161">
        <v>0.01</v>
      </c>
      <c r="AK1789" s="151" t="s">
        <v>135</v>
      </c>
      <c r="AL1789" s="151" t="s">
        <v>186</v>
      </c>
      <c r="AM1789" s="129" t="s">
        <v>137</v>
      </c>
      <c r="AN1789" s="129" t="s">
        <v>138</v>
      </c>
      <c r="AO1789" s="161">
        <v>467.0</v>
      </c>
      <c r="AP1789" s="161" t="s">
        <v>10299</v>
      </c>
      <c r="AQ1789" s="151" t="s">
        <v>134</v>
      </c>
      <c r="AR1789" s="151" t="s">
        <v>10300</v>
      </c>
      <c r="AS1789" s="161">
        <v>0.71</v>
      </c>
      <c r="AT1789" s="151" t="s">
        <v>172</v>
      </c>
      <c r="AU1789" s="151" t="s">
        <v>186</v>
      </c>
      <c r="AV1789" s="129" t="s">
        <v>137</v>
      </c>
      <c r="AW1789" s="1308" t="s">
        <v>10289</v>
      </c>
      <c r="AX1789" s="129" t="s">
        <v>143</v>
      </c>
      <c r="AY1789" s="61" t="str">
        <f>IFERROR(__xludf.DUMMYFUNCTION("vlookup(BB1789,importrange(""https://docs.google.com/spreadsheets/d/1d2vevQ_7D_v35q4wCQ4RpQ_IPoTwEMB9Yp6ymwlPqew/edit?gid=984458430#gid=984458430"", ""'replication success'!A:K""), 11, FAlSE)"),"successful")</f>
        <v>successful</v>
      </c>
      <c r="AZ1789" s="61" t="str">
        <f>IFERROR(__xludf.DUMMYFUNCTION("vlookup(BB1789,importrange(""https://docs.google.com/spreadsheets/d/1d2vevQ_7D_v35q4wCQ4RpQ_IPoTwEMB9Yp6ymwlPqew/edit?gid=984458430#gid=984458430"", ""'replication success'!A:M""), 12, FAlSE)"),"[Figure 1]")</f>
        <v>[Figure 1]</v>
      </c>
      <c r="BA1789" s="61" t="str">
        <f>IFERROR(__xludf.DUMMYFUNCTION("vlookup(BB1789,importrange(""https://docs.google.com/spreadsheets/d/1d2vevQ_7D_v35q4wCQ4RpQ_IPoTwEMB9Yp6ymwlPqew/edit?gid=984458430#gid=984458430"", ""'replication success'!A:M""), 13, FAlSE)"),"pg. 2")</f>
        <v>pg. 2</v>
      </c>
      <c r="BB1789" s="61" t="str">
        <f>IFERROR(__xludf.DUMMYFUNCTION("REGEXREPLACE(G1789, ""_[a-z]{1,2}$"", """")"),"OpenMKT13")</f>
        <v>OpenMKT13</v>
      </c>
      <c r="BD1789" s="62" t="s">
        <v>1270</v>
      </c>
    </row>
    <row r="1790" ht="15.75" customHeight="1">
      <c r="A1790" s="44">
        <v>1790.0</v>
      </c>
      <c r="B1790" s="295" t="s">
        <v>152</v>
      </c>
      <c r="C1790" s="287" t="s">
        <v>115</v>
      </c>
      <c r="D1790" s="287" t="s">
        <v>248</v>
      </c>
      <c r="E1790" s="308"/>
      <c r="F1790" s="295" t="s">
        <v>10301</v>
      </c>
      <c r="G1790" s="295" t="s">
        <v>10302</v>
      </c>
      <c r="H1790" s="303" t="s">
        <v>249</v>
      </c>
      <c r="I1790" s="1809">
        <v>45757.0</v>
      </c>
      <c r="J1790" s="293">
        <v>45793.0</v>
      </c>
      <c r="K1790" s="303" t="s">
        <v>10233</v>
      </c>
      <c r="L1790" s="129" t="s">
        <v>10279</v>
      </c>
      <c r="M1790" s="295" t="s">
        <v>10303</v>
      </c>
      <c r="N1790" s="295" t="s">
        <v>10304</v>
      </c>
      <c r="O1790" s="1799">
        <v>4.0</v>
      </c>
      <c r="P1790" s="1810" t="s">
        <v>10305</v>
      </c>
      <c r="Q1790" s="52" t="str">
        <f t="array" ref="Q1790"> if(iserror(MATCH(V1790, 'File Links'!C:C, 0)), "N/A", HYPERLINK(INDEX('File Links'!B:B, MATCH(P1790, 'File Links'!C:C, 0))))</f>
        <v>https://drive.google.com/file/d/1MEpc9c6ksJJFPoeqztJd7l8g_1S5mA-8/view?usp=drivesdk</v>
      </c>
      <c r="R1790" s="1811" t="s">
        <v>10181</v>
      </c>
      <c r="S1790" s="295" t="s">
        <v>10182</v>
      </c>
      <c r="T1790" s="1812"/>
      <c r="U1790" s="1799">
        <v>15.0</v>
      </c>
      <c r="V1790" s="303" t="s">
        <v>10183</v>
      </c>
      <c r="W1790" s="303" t="s">
        <v>209</v>
      </c>
      <c r="X1790" s="54" t="str">
        <f t="array" ref="X1790"> if(iserror(MATCH(V1790, 'File Links'!C:C, 0)), "N/A", HYPERLINK(INDEX('File Links'!B:B, MATCH(V1790, 'File Links'!C:C, 0))))</f>
        <v>https://drive.google.com/file/d/1Irbmig3rfLDvz-G09jDAVwJvv1drYEqO/view?usp=drivesdk</v>
      </c>
      <c r="Y1790" s="305"/>
      <c r="Z1790" s="303" t="s">
        <v>2079</v>
      </c>
      <c r="AA1790" s="295" t="s">
        <v>10306</v>
      </c>
      <c r="AB1790" s="303" t="s">
        <v>10307</v>
      </c>
      <c r="AC1790" s="303" t="s">
        <v>10308</v>
      </c>
      <c r="AD1790" s="303" t="s">
        <v>10309</v>
      </c>
      <c r="AE1790" s="303" t="s">
        <v>623</v>
      </c>
      <c r="AF1790" s="1813">
        <v>157.0</v>
      </c>
      <c r="AG1790" s="1813">
        <v>0.03</v>
      </c>
      <c r="AH1790" s="303" t="s">
        <v>874</v>
      </c>
      <c r="AI1790" s="303" t="s">
        <v>10310</v>
      </c>
      <c r="AJ1790" s="1813">
        <v>0.04</v>
      </c>
      <c r="AK1790" s="303" t="s">
        <v>172</v>
      </c>
      <c r="AL1790" s="303" t="s">
        <v>186</v>
      </c>
      <c r="AM1790" s="295" t="s">
        <v>137</v>
      </c>
      <c r="AN1790" s="295" t="s">
        <v>138</v>
      </c>
      <c r="AO1790" s="1813">
        <v>414.0</v>
      </c>
      <c r="AP1790" s="1813">
        <v>0.001</v>
      </c>
      <c r="AQ1790" s="303" t="s">
        <v>139</v>
      </c>
      <c r="AR1790" s="303" t="s">
        <v>10311</v>
      </c>
      <c r="AS1790" s="1813">
        <v>0.56</v>
      </c>
      <c r="AT1790" s="303" t="s">
        <v>172</v>
      </c>
      <c r="AU1790" s="303" t="s">
        <v>186</v>
      </c>
      <c r="AV1790" s="295" t="s">
        <v>137</v>
      </c>
      <c r="AW1790" s="1814" t="s">
        <v>10312</v>
      </c>
      <c r="AX1790" s="295" t="s">
        <v>143</v>
      </c>
      <c r="AY1790" s="61" t="str">
        <f>IFERROR(__xludf.DUMMYFUNCTION("vlookup(BB1790,importrange(""https://docs.google.com/spreadsheets/d/1d2vevQ_7D_v35q4wCQ4RpQ_IPoTwEMB9Yp6ymwlPqew/edit?gid=984458430#gid=984458430"", ""'replication success'!A:K""), 11, FAlSE)"),"successful")</f>
        <v>successful</v>
      </c>
      <c r="AZ1790" s="61" t="str">
        <f>IFERROR(__xludf.DUMMYFUNCTION("vlookup(BB1790,importrange(""https://docs.google.com/spreadsheets/d/1d2vevQ_7D_v35q4wCQ4RpQ_IPoTwEMB9Yp6ymwlPqew/edit?gid=984458430#gid=984458430"", ""'replication success'!A:M""), 12, FAlSE)"),"[Figure 1]")</f>
        <v>[Figure 1]</v>
      </c>
      <c r="BA1790" s="61" t="str">
        <f>IFERROR(__xludf.DUMMYFUNCTION("vlookup(BB1790,importrange(""https://docs.google.com/spreadsheets/d/1d2vevQ_7D_v35q4wCQ4RpQ_IPoTwEMB9Yp6ymwlPqew/edit?gid=984458430#gid=984458430"", ""'replication success'!A:M""), 13, FAlSE)"),"pg. 2")</f>
        <v>pg. 2</v>
      </c>
      <c r="BB1790" s="61" t="str">
        <f>IFERROR(__xludf.DUMMYFUNCTION("REGEXREPLACE(G1790, ""_[a-z]{1,2}$"", """")"),"OpenMKT14")</f>
        <v>OpenMKT14</v>
      </c>
      <c r="BC1790" s="308"/>
      <c r="BD1790" s="287" t="s">
        <v>1270</v>
      </c>
      <c r="BE1790" s="308"/>
      <c r="BF1790" s="308"/>
      <c r="BG1790" s="308"/>
      <c r="BH1790" s="308"/>
      <c r="BI1790" s="308"/>
      <c r="BJ1790" s="308"/>
      <c r="BK1790" s="308"/>
      <c r="BL1790" s="308"/>
      <c r="BM1790" s="308"/>
      <c r="BN1790" s="308"/>
      <c r="BO1790" s="308"/>
      <c r="BP1790" s="308"/>
      <c r="BQ1790" s="308"/>
      <c r="BR1790" s="308"/>
      <c r="BS1790" s="308"/>
      <c r="BT1790" s="308"/>
      <c r="BU1790" s="308"/>
      <c r="BV1790" s="308"/>
      <c r="BW1790" s="308"/>
      <c r="BX1790" s="308"/>
      <c r="BY1790" s="308"/>
      <c r="BZ1790" s="308"/>
      <c r="CA1790" s="308"/>
      <c r="CB1790" s="308"/>
      <c r="CC1790" s="308"/>
      <c r="CD1790" s="308"/>
      <c r="CE1790" s="308"/>
      <c r="CF1790" s="308"/>
      <c r="CG1790" s="308"/>
      <c r="CH1790" s="308"/>
      <c r="CI1790" s="308"/>
      <c r="CJ1790" s="308"/>
      <c r="CK1790" s="308"/>
      <c r="CL1790" s="308"/>
      <c r="CM1790" s="308"/>
      <c r="CN1790" s="308"/>
      <c r="CO1790" s="308"/>
      <c r="CP1790" s="308"/>
      <c r="CQ1790" s="308"/>
      <c r="CR1790" s="308"/>
      <c r="CS1790" s="308"/>
      <c r="CT1790" s="308"/>
      <c r="CU1790" s="308"/>
      <c r="CV1790" s="308"/>
      <c r="CW1790" s="308"/>
      <c r="CX1790" s="308"/>
      <c r="CY1790" s="308"/>
      <c r="CZ1790" s="308"/>
      <c r="DA1790" s="308"/>
      <c r="DB1790" s="308"/>
      <c r="DC1790" s="308"/>
      <c r="DD1790" s="308"/>
      <c r="DE1790" s="308"/>
      <c r="DF1790" s="308"/>
      <c r="DG1790" s="308"/>
      <c r="DH1790" s="308"/>
      <c r="DI1790" s="308"/>
      <c r="DJ1790" s="308"/>
      <c r="DK1790" s="308"/>
      <c r="DL1790" s="308"/>
    </row>
    <row r="1791" ht="15.75" customHeight="1">
      <c r="A1791" s="44">
        <v>1791.0</v>
      </c>
      <c r="B1791" s="129" t="s">
        <v>152</v>
      </c>
      <c r="C1791" s="62" t="s">
        <v>115</v>
      </c>
      <c r="D1791" s="62" t="s">
        <v>248</v>
      </c>
      <c r="F1791" s="129" t="s">
        <v>10301</v>
      </c>
      <c r="G1791" s="129" t="s">
        <v>10313</v>
      </c>
      <c r="H1791" s="151" t="s">
        <v>249</v>
      </c>
      <c r="I1791" s="153">
        <v>45757.0</v>
      </c>
      <c r="J1791" s="293">
        <v>45793.0</v>
      </c>
      <c r="K1791" s="151" t="s">
        <v>10233</v>
      </c>
      <c r="L1791" s="129" t="s">
        <v>10279</v>
      </c>
      <c r="M1791" s="129" t="s">
        <v>10303</v>
      </c>
      <c r="N1791" s="129" t="s">
        <v>10304</v>
      </c>
      <c r="O1791" s="501">
        <v>4.0</v>
      </c>
      <c r="P1791" s="528" t="s">
        <v>10305</v>
      </c>
      <c r="Q1791" s="52" t="str">
        <f t="array" ref="Q1791"> if(iserror(MATCH(V1791, 'File Links'!C:C, 0)), "N/A", HYPERLINK(INDEX('File Links'!B:B, MATCH(P1791, 'File Links'!C:C, 0))))</f>
        <v>https://drive.google.com/file/d/1MEpc9c6ksJJFPoeqztJd7l8g_1S5mA-8/view?usp=drivesdk</v>
      </c>
      <c r="R1791" s="1697" t="s">
        <v>10181</v>
      </c>
      <c r="S1791" s="129" t="s">
        <v>10182</v>
      </c>
      <c r="T1791" s="1379"/>
      <c r="U1791" s="501">
        <v>15.0</v>
      </c>
      <c r="V1791" s="151" t="s">
        <v>10183</v>
      </c>
      <c r="W1791" s="303" t="s">
        <v>209</v>
      </c>
      <c r="X1791" s="54" t="str">
        <f t="array" ref="X1791"> if(iserror(MATCH(V1791, 'File Links'!C:C, 0)), "N/A", HYPERLINK(INDEX('File Links'!B:B, MATCH(V1791, 'File Links'!C:C, 0))))</f>
        <v>https://drive.google.com/file/d/1Irbmig3rfLDvz-G09jDAVwJvv1drYEqO/view?usp=drivesdk</v>
      </c>
      <c r="Y1791" s="68"/>
      <c r="Z1791" s="151" t="s">
        <v>2079</v>
      </c>
      <c r="AA1791" s="295" t="s">
        <v>10306</v>
      </c>
      <c r="AB1791" s="151" t="s">
        <v>10307</v>
      </c>
      <c r="AC1791" s="151" t="s">
        <v>10308</v>
      </c>
      <c r="AD1791" s="151" t="s">
        <v>10314</v>
      </c>
      <c r="AE1791" s="151" t="s">
        <v>3484</v>
      </c>
      <c r="AF1791" s="161">
        <v>157.0</v>
      </c>
      <c r="AG1791" s="161">
        <v>0.01</v>
      </c>
      <c r="AH1791" s="151" t="s">
        <v>361</v>
      </c>
      <c r="AI1791" s="151" t="s">
        <v>10315</v>
      </c>
      <c r="AJ1791" s="161">
        <v>0.04</v>
      </c>
      <c r="AK1791" s="151" t="s">
        <v>172</v>
      </c>
      <c r="AL1791" s="151" t="s">
        <v>186</v>
      </c>
      <c r="AM1791" s="129" t="s">
        <v>137</v>
      </c>
      <c r="AN1791" s="129" t="s">
        <v>138</v>
      </c>
      <c r="AO1791" s="161">
        <v>414.0</v>
      </c>
      <c r="AP1791" s="161">
        <v>0.0</v>
      </c>
      <c r="AQ1791" s="151" t="s">
        <v>874</v>
      </c>
      <c r="AR1791" s="151" t="s">
        <v>10316</v>
      </c>
      <c r="AS1791" s="161">
        <v>0.88</v>
      </c>
      <c r="AT1791" s="151" t="s">
        <v>172</v>
      </c>
      <c r="AU1791" s="151" t="s">
        <v>186</v>
      </c>
      <c r="AV1791" s="129" t="s">
        <v>137</v>
      </c>
      <c r="AW1791" s="1308" t="s">
        <v>10312</v>
      </c>
      <c r="AX1791" s="129" t="s">
        <v>143</v>
      </c>
      <c r="AY1791" s="61" t="str">
        <f>IFERROR(__xludf.DUMMYFUNCTION("vlookup(BB1791,importrange(""https://docs.google.com/spreadsheets/d/1d2vevQ_7D_v35q4wCQ4RpQ_IPoTwEMB9Yp6ymwlPqew/edit?gid=984458430#gid=984458430"", ""'replication success'!A:K""), 11, FAlSE)"),"successful")</f>
        <v>successful</v>
      </c>
      <c r="AZ1791" s="61" t="str">
        <f>IFERROR(__xludf.DUMMYFUNCTION("vlookup(BB1791,importrange(""https://docs.google.com/spreadsheets/d/1d2vevQ_7D_v35q4wCQ4RpQ_IPoTwEMB9Yp6ymwlPqew/edit?gid=984458430#gid=984458430"", ""'replication success'!A:M""), 12, FAlSE)"),"[Figure 1]")</f>
        <v>[Figure 1]</v>
      </c>
      <c r="BA1791" s="61" t="str">
        <f>IFERROR(__xludf.DUMMYFUNCTION("vlookup(BB1791,importrange(""https://docs.google.com/spreadsheets/d/1d2vevQ_7D_v35q4wCQ4RpQ_IPoTwEMB9Yp6ymwlPqew/edit?gid=984458430#gid=984458430"", ""'replication success'!A:M""), 13, FAlSE)"),"pg. 2")</f>
        <v>pg. 2</v>
      </c>
      <c r="BB1791" s="61" t="str">
        <f>IFERROR(__xludf.DUMMYFUNCTION("REGEXREPLACE(G1791, ""_[a-z]{1,2}$"", """")"),"OpenMKT14")</f>
        <v>OpenMKT14</v>
      </c>
      <c r="BD1791" s="287" t="s">
        <v>1270</v>
      </c>
    </row>
    <row r="1792" ht="15.75" customHeight="1">
      <c r="A1792" s="44">
        <v>1792.0</v>
      </c>
      <c r="B1792" s="129" t="s">
        <v>152</v>
      </c>
      <c r="C1792" s="62" t="s">
        <v>115</v>
      </c>
      <c r="D1792" s="62" t="s">
        <v>248</v>
      </c>
      <c r="F1792" s="129" t="s">
        <v>10301</v>
      </c>
      <c r="G1792" s="129" t="s">
        <v>10317</v>
      </c>
      <c r="H1792" s="151" t="s">
        <v>249</v>
      </c>
      <c r="I1792" s="153">
        <v>45757.0</v>
      </c>
      <c r="J1792" s="293">
        <v>45793.0</v>
      </c>
      <c r="K1792" s="151" t="s">
        <v>10233</v>
      </c>
      <c r="L1792" s="129" t="s">
        <v>10279</v>
      </c>
      <c r="M1792" s="129" t="s">
        <v>10303</v>
      </c>
      <c r="N1792" s="129" t="s">
        <v>10304</v>
      </c>
      <c r="O1792" s="501">
        <v>4.0</v>
      </c>
      <c r="P1792" s="528" t="s">
        <v>10305</v>
      </c>
      <c r="Q1792" s="52" t="str">
        <f t="array" ref="Q1792"> if(iserror(MATCH(V1792, 'File Links'!C:C, 0)), "N/A", HYPERLINK(INDEX('File Links'!B:B, MATCH(P1792, 'File Links'!C:C, 0))))</f>
        <v>https://drive.google.com/file/d/1MEpc9c6ksJJFPoeqztJd7l8g_1S5mA-8/view?usp=drivesdk</v>
      </c>
      <c r="R1792" s="1697" t="s">
        <v>10181</v>
      </c>
      <c r="S1792" s="129" t="s">
        <v>10182</v>
      </c>
      <c r="T1792" s="1379"/>
      <c r="U1792" s="501">
        <v>15.0</v>
      </c>
      <c r="V1792" s="151" t="s">
        <v>10183</v>
      </c>
      <c r="W1792" s="303" t="s">
        <v>209</v>
      </c>
      <c r="X1792" s="54" t="str">
        <f t="array" ref="X1792"> if(iserror(MATCH(V1792, 'File Links'!C:C, 0)), "N/A", HYPERLINK(INDEX('File Links'!B:B, MATCH(V1792, 'File Links'!C:C, 0))))</f>
        <v>https://drive.google.com/file/d/1Irbmig3rfLDvz-G09jDAVwJvv1drYEqO/view?usp=drivesdk</v>
      </c>
      <c r="Y1792" s="68"/>
      <c r="Z1792" s="151" t="s">
        <v>2079</v>
      </c>
      <c r="AA1792" s="295" t="s">
        <v>10306</v>
      </c>
      <c r="AB1792" s="151" t="s">
        <v>10307</v>
      </c>
      <c r="AC1792" s="151" t="s">
        <v>10308</v>
      </c>
      <c r="AD1792" s="151" t="s">
        <v>10318</v>
      </c>
      <c r="AE1792" s="151" t="s">
        <v>10319</v>
      </c>
      <c r="AF1792" s="161">
        <v>157.0</v>
      </c>
      <c r="AG1792" s="161">
        <v>0.38</v>
      </c>
      <c r="AH1792" s="151" t="s">
        <v>361</v>
      </c>
      <c r="AI1792" s="151" t="s">
        <v>10320</v>
      </c>
      <c r="AJ1792" s="161">
        <v>0.005</v>
      </c>
      <c r="AK1792" s="151" t="s">
        <v>172</v>
      </c>
      <c r="AL1792" s="151" t="s">
        <v>186</v>
      </c>
      <c r="AM1792" s="129" t="s">
        <v>137</v>
      </c>
      <c r="AN1792" s="129" t="s">
        <v>138</v>
      </c>
      <c r="AO1792" s="161">
        <v>414.0</v>
      </c>
      <c r="AP1792" s="161">
        <v>0.0</v>
      </c>
      <c r="AQ1792" s="151" t="s">
        <v>874</v>
      </c>
      <c r="AR1792" s="151" t="s">
        <v>10321</v>
      </c>
      <c r="AS1792" s="161">
        <v>0.9</v>
      </c>
      <c r="AT1792" s="151" t="s">
        <v>172</v>
      </c>
      <c r="AU1792" s="151" t="s">
        <v>186</v>
      </c>
      <c r="AV1792" s="129" t="s">
        <v>137</v>
      </c>
      <c r="AW1792" s="1308" t="s">
        <v>10312</v>
      </c>
      <c r="AX1792" s="129" t="s">
        <v>143</v>
      </c>
      <c r="AY1792" s="61" t="str">
        <f>IFERROR(__xludf.DUMMYFUNCTION("vlookup(BB1792,importrange(""https://docs.google.com/spreadsheets/d/1d2vevQ_7D_v35q4wCQ4RpQ_IPoTwEMB9Yp6ymwlPqew/edit?gid=984458430#gid=984458430"", ""'replication success'!A:K""), 11, FAlSE)"),"successful")</f>
        <v>successful</v>
      </c>
      <c r="AZ1792" s="61" t="str">
        <f>IFERROR(__xludf.DUMMYFUNCTION("vlookup(BB1792,importrange(""https://docs.google.com/spreadsheets/d/1d2vevQ_7D_v35q4wCQ4RpQ_IPoTwEMB9Yp6ymwlPqew/edit?gid=984458430#gid=984458430"", ""'replication success'!A:M""), 12, FAlSE)"),"[Figure 1]")</f>
        <v>[Figure 1]</v>
      </c>
      <c r="BA1792" s="61" t="str">
        <f>IFERROR(__xludf.DUMMYFUNCTION("vlookup(BB1792,importrange(""https://docs.google.com/spreadsheets/d/1d2vevQ_7D_v35q4wCQ4RpQ_IPoTwEMB9Yp6ymwlPqew/edit?gid=984458430#gid=984458430"", ""'replication success'!A:M""), 13, FAlSE)"),"pg. 2")</f>
        <v>pg. 2</v>
      </c>
      <c r="BB1792" s="61" t="str">
        <f>IFERROR(__xludf.DUMMYFUNCTION("REGEXREPLACE(G1792, ""_[a-z]{1,2}$"", """")"),"OpenMKT14")</f>
        <v>OpenMKT14</v>
      </c>
      <c r="BD1792" s="287" t="s">
        <v>1270</v>
      </c>
    </row>
    <row r="1793" ht="15.75" customHeight="1">
      <c r="A1793" s="44">
        <v>1793.0</v>
      </c>
      <c r="B1793" s="129" t="s">
        <v>152</v>
      </c>
      <c r="C1793" s="62" t="s">
        <v>115</v>
      </c>
      <c r="D1793" s="62" t="s">
        <v>248</v>
      </c>
      <c r="F1793" s="129" t="s">
        <v>10301</v>
      </c>
      <c r="G1793" s="129" t="s">
        <v>10322</v>
      </c>
      <c r="H1793" s="151" t="s">
        <v>249</v>
      </c>
      <c r="I1793" s="153">
        <v>45757.0</v>
      </c>
      <c r="J1793" s="293">
        <v>45793.0</v>
      </c>
      <c r="K1793" s="151" t="s">
        <v>10233</v>
      </c>
      <c r="L1793" s="129" t="s">
        <v>10279</v>
      </c>
      <c r="M1793" s="129" t="s">
        <v>10303</v>
      </c>
      <c r="N1793" s="129" t="s">
        <v>10304</v>
      </c>
      <c r="O1793" s="501">
        <v>4.0</v>
      </c>
      <c r="P1793" s="528" t="s">
        <v>10305</v>
      </c>
      <c r="Q1793" s="52" t="str">
        <f t="array" ref="Q1793"> if(iserror(MATCH(V1793, 'File Links'!C:C, 0)), "N/A", HYPERLINK(INDEX('File Links'!B:B, MATCH(P1793, 'File Links'!C:C, 0))))</f>
        <v>https://drive.google.com/file/d/1MEpc9c6ksJJFPoeqztJd7l8g_1S5mA-8/view?usp=drivesdk</v>
      </c>
      <c r="R1793" s="1697" t="s">
        <v>10181</v>
      </c>
      <c r="S1793" s="129" t="s">
        <v>10182</v>
      </c>
      <c r="T1793" s="1379"/>
      <c r="U1793" s="501">
        <v>15.0</v>
      </c>
      <c r="V1793" s="151" t="s">
        <v>10183</v>
      </c>
      <c r="W1793" s="303" t="s">
        <v>209</v>
      </c>
      <c r="X1793" s="54" t="str">
        <f t="array" ref="X1793"> if(iserror(MATCH(V1793, 'File Links'!C:C, 0)), "N/A", HYPERLINK(INDEX('File Links'!B:B, MATCH(V1793, 'File Links'!C:C, 0))))</f>
        <v>https://drive.google.com/file/d/1Irbmig3rfLDvz-G09jDAVwJvv1drYEqO/view?usp=drivesdk</v>
      </c>
      <c r="Y1793" s="68"/>
      <c r="Z1793" s="151" t="s">
        <v>2079</v>
      </c>
      <c r="AA1793" s="295" t="s">
        <v>10306</v>
      </c>
      <c r="AB1793" s="151" t="s">
        <v>10307</v>
      </c>
      <c r="AC1793" s="151" t="s">
        <v>10308</v>
      </c>
      <c r="AD1793" s="151" t="s">
        <v>10323</v>
      </c>
      <c r="AE1793" s="151" t="s">
        <v>1888</v>
      </c>
      <c r="AF1793" s="161">
        <v>157.0</v>
      </c>
      <c r="AG1793" s="161">
        <v>0.02</v>
      </c>
      <c r="AH1793" s="151" t="s">
        <v>361</v>
      </c>
      <c r="AI1793" s="151" t="s">
        <v>10324</v>
      </c>
      <c r="AJ1793" s="161">
        <v>0.001</v>
      </c>
      <c r="AK1793" s="151" t="s">
        <v>172</v>
      </c>
      <c r="AL1793" s="151" t="s">
        <v>186</v>
      </c>
      <c r="AM1793" s="129" t="s">
        <v>137</v>
      </c>
      <c r="AN1793" s="129" t="s">
        <v>138</v>
      </c>
      <c r="AO1793" s="161">
        <v>414.0</v>
      </c>
      <c r="AP1793" s="161">
        <v>0.19</v>
      </c>
      <c r="AQ1793" s="151" t="s">
        <v>874</v>
      </c>
      <c r="AR1793" s="151" t="s">
        <v>10325</v>
      </c>
      <c r="AS1793" s="161">
        <v>0.001</v>
      </c>
      <c r="AT1793" s="151" t="s">
        <v>135</v>
      </c>
      <c r="AU1793" s="151" t="s">
        <v>186</v>
      </c>
      <c r="AV1793" s="129" t="s">
        <v>137</v>
      </c>
      <c r="AW1793" s="1308" t="s">
        <v>10312</v>
      </c>
      <c r="AX1793" s="129" t="s">
        <v>143</v>
      </c>
      <c r="AY1793" s="61" t="str">
        <f>IFERROR(__xludf.DUMMYFUNCTION("vlookup(BB1793,importrange(""https://docs.google.com/spreadsheets/d/1d2vevQ_7D_v35q4wCQ4RpQ_IPoTwEMB9Yp6ymwlPqew/edit?gid=984458430#gid=984458430"", ""'replication success'!A:K""), 11, FAlSE)"),"successful")</f>
        <v>successful</v>
      </c>
      <c r="AZ1793" s="61" t="str">
        <f>IFERROR(__xludf.DUMMYFUNCTION("vlookup(BB1793,importrange(""https://docs.google.com/spreadsheets/d/1d2vevQ_7D_v35q4wCQ4RpQ_IPoTwEMB9Yp6ymwlPqew/edit?gid=984458430#gid=984458430"", ""'replication success'!A:M""), 12, FAlSE)"),"[Figure 1]")</f>
        <v>[Figure 1]</v>
      </c>
      <c r="BA1793" s="61" t="str">
        <f>IFERROR(__xludf.DUMMYFUNCTION("vlookup(BB1793,importrange(""https://docs.google.com/spreadsheets/d/1d2vevQ_7D_v35q4wCQ4RpQ_IPoTwEMB9Yp6ymwlPqew/edit?gid=984458430#gid=984458430"", ""'replication success'!A:M""), 13, FAlSE)"),"pg. 2")</f>
        <v>pg. 2</v>
      </c>
      <c r="BB1793" s="61" t="str">
        <f>IFERROR(__xludf.DUMMYFUNCTION("REGEXREPLACE(G1793, ""_[a-z]{1,2}$"", """")"),"OpenMKT14")</f>
        <v>OpenMKT14</v>
      </c>
      <c r="BD1793" s="287" t="s">
        <v>1270</v>
      </c>
    </row>
    <row r="1794" ht="15.75" customHeight="1">
      <c r="A1794" s="44">
        <v>1794.0</v>
      </c>
      <c r="B1794" s="129" t="s">
        <v>114</v>
      </c>
      <c r="C1794" s="62" t="s">
        <v>115</v>
      </c>
      <c r="D1794" s="62" t="s">
        <v>248</v>
      </c>
      <c r="F1794" s="129" t="s">
        <v>10301</v>
      </c>
      <c r="G1794" s="129" t="s">
        <v>10326</v>
      </c>
      <c r="H1794" s="151" t="s">
        <v>249</v>
      </c>
      <c r="I1794" s="153">
        <v>45757.0</v>
      </c>
      <c r="J1794" s="293">
        <v>45793.0</v>
      </c>
      <c r="K1794" s="151" t="s">
        <v>10327</v>
      </c>
      <c r="L1794" s="1800" t="s">
        <v>10264</v>
      </c>
      <c r="M1794" s="129" t="s">
        <v>10303</v>
      </c>
      <c r="N1794" s="129" t="s">
        <v>10304</v>
      </c>
      <c r="O1794" s="501">
        <v>4.0</v>
      </c>
      <c r="P1794" s="528" t="s">
        <v>10305</v>
      </c>
      <c r="Q1794" s="52" t="str">
        <f t="array" ref="Q1794"> if(iserror(MATCH(V1794, 'File Links'!C:C, 0)), "N/A", HYPERLINK(INDEX('File Links'!B:B, MATCH(P1794, 'File Links'!C:C, 0))))</f>
        <v>https://drive.google.com/file/d/1MEpc9c6ksJJFPoeqztJd7l8g_1S5mA-8/view?usp=drivesdk</v>
      </c>
      <c r="R1794" s="1697" t="s">
        <v>10181</v>
      </c>
      <c r="S1794" s="129" t="s">
        <v>10182</v>
      </c>
      <c r="T1794" s="1379"/>
      <c r="U1794" s="501">
        <v>15.0</v>
      </c>
      <c r="V1794" s="151" t="s">
        <v>10183</v>
      </c>
      <c r="W1794" s="303" t="s">
        <v>209</v>
      </c>
      <c r="X1794" s="54" t="str">
        <f t="array" ref="X1794"> if(iserror(MATCH(V1794, 'File Links'!C:C, 0)), "N/A", HYPERLINK(INDEX('File Links'!B:B, MATCH(V1794, 'File Links'!C:C, 0))))</f>
        <v>https://drive.google.com/file/d/1Irbmig3rfLDvz-G09jDAVwJvv1drYEqO/view?usp=drivesdk</v>
      </c>
      <c r="Y1794" s="68"/>
      <c r="Z1794" s="151" t="s">
        <v>2079</v>
      </c>
      <c r="AA1794" s="295" t="s">
        <v>10306</v>
      </c>
      <c r="AB1794" s="151" t="s">
        <v>10307</v>
      </c>
      <c r="AC1794" s="151" t="s">
        <v>10308</v>
      </c>
      <c r="AD1794" s="151" t="s">
        <v>10309</v>
      </c>
      <c r="AE1794" s="151" t="s">
        <v>623</v>
      </c>
      <c r="AF1794" s="161">
        <v>157.0</v>
      </c>
      <c r="AG1794" s="161">
        <v>0.03</v>
      </c>
      <c r="AH1794" s="151" t="s">
        <v>874</v>
      </c>
      <c r="AI1794" s="151" t="s">
        <v>10310</v>
      </c>
      <c r="AJ1794" s="161">
        <v>0.04</v>
      </c>
      <c r="AK1794" s="151" t="s">
        <v>172</v>
      </c>
      <c r="AL1794" s="151" t="s">
        <v>186</v>
      </c>
      <c r="AM1794" s="129" t="s">
        <v>137</v>
      </c>
      <c r="AN1794" s="129" t="s">
        <v>138</v>
      </c>
      <c r="AO1794" s="161">
        <v>422.0</v>
      </c>
      <c r="AP1794" s="161">
        <v>0.0</v>
      </c>
      <c r="AQ1794" s="151" t="s">
        <v>874</v>
      </c>
      <c r="AR1794" s="151" t="s">
        <v>10328</v>
      </c>
      <c r="AS1794" s="161">
        <v>0.34</v>
      </c>
      <c r="AT1794" s="151" t="s">
        <v>172</v>
      </c>
      <c r="AU1794" s="151" t="s">
        <v>186</v>
      </c>
      <c r="AV1794" s="129" t="s">
        <v>137</v>
      </c>
      <c r="AW1794" s="1308" t="s">
        <v>10312</v>
      </c>
      <c r="AX1794" s="129" t="s">
        <v>143</v>
      </c>
      <c r="AY1794" s="61" t="str">
        <f>IFERROR(__xludf.DUMMYFUNCTION("vlookup(BB1794,importrange(""https://docs.google.com/spreadsheets/d/1d2vevQ_7D_v35q4wCQ4RpQ_IPoTwEMB9Yp6ymwlPqew/edit?gid=984458430#gid=984458430"", ""'replication success'!A:K""), 11, FAlSE)"),"successful")</f>
        <v>successful</v>
      </c>
      <c r="AZ1794" s="61" t="str">
        <f>IFERROR(__xludf.DUMMYFUNCTION("vlookup(BB1794,importrange(""https://docs.google.com/spreadsheets/d/1d2vevQ_7D_v35q4wCQ4RpQ_IPoTwEMB9Yp6ymwlPqew/edit?gid=984458430#gid=984458430"", ""'replication success'!A:M""), 12, FAlSE)"),"[Figure 1]")</f>
        <v>[Figure 1]</v>
      </c>
      <c r="BA1794" s="61" t="str">
        <f>IFERROR(__xludf.DUMMYFUNCTION("vlookup(BB1794,importrange(""https://docs.google.com/spreadsheets/d/1d2vevQ_7D_v35q4wCQ4RpQ_IPoTwEMB9Yp6ymwlPqew/edit?gid=984458430#gid=984458430"", ""'replication success'!A:M""), 13, FAlSE)"),"pg. 2")</f>
        <v>pg. 2</v>
      </c>
      <c r="BB1794" s="61" t="str">
        <f>IFERROR(__xludf.DUMMYFUNCTION("REGEXREPLACE(G1794, ""_[a-z]{1,2}$"", """")"),"OpenMKT14")</f>
        <v>OpenMKT14</v>
      </c>
      <c r="BD1794" s="287" t="s">
        <v>1270</v>
      </c>
    </row>
    <row r="1795" ht="15.75" customHeight="1">
      <c r="A1795" s="44">
        <v>1795.0</v>
      </c>
      <c r="B1795" s="129" t="s">
        <v>114</v>
      </c>
      <c r="C1795" s="62" t="s">
        <v>115</v>
      </c>
      <c r="D1795" s="62" t="s">
        <v>248</v>
      </c>
      <c r="F1795" s="129" t="s">
        <v>10301</v>
      </c>
      <c r="G1795" s="129" t="s">
        <v>10329</v>
      </c>
      <c r="H1795" s="151" t="s">
        <v>249</v>
      </c>
      <c r="I1795" s="153">
        <v>45757.0</v>
      </c>
      <c r="J1795" s="293">
        <v>45793.0</v>
      </c>
      <c r="K1795" s="151" t="s">
        <v>10327</v>
      </c>
      <c r="L1795" s="1800" t="s">
        <v>10264</v>
      </c>
      <c r="M1795" s="129" t="s">
        <v>10303</v>
      </c>
      <c r="N1795" s="129" t="s">
        <v>10304</v>
      </c>
      <c r="O1795" s="501">
        <v>4.0</v>
      </c>
      <c r="P1795" s="528" t="s">
        <v>10305</v>
      </c>
      <c r="Q1795" s="52" t="str">
        <f t="array" ref="Q1795"> if(iserror(MATCH(V1795, 'File Links'!C:C, 0)), "N/A", HYPERLINK(INDEX('File Links'!B:B, MATCH(P1795, 'File Links'!C:C, 0))))</f>
        <v>https://drive.google.com/file/d/1MEpc9c6ksJJFPoeqztJd7l8g_1S5mA-8/view?usp=drivesdk</v>
      </c>
      <c r="R1795" s="1697" t="s">
        <v>10181</v>
      </c>
      <c r="S1795" s="129" t="s">
        <v>10182</v>
      </c>
      <c r="T1795" s="1379"/>
      <c r="U1795" s="501">
        <v>15.0</v>
      </c>
      <c r="V1795" s="151" t="s">
        <v>10183</v>
      </c>
      <c r="W1795" s="303" t="s">
        <v>209</v>
      </c>
      <c r="X1795" s="54" t="str">
        <f t="array" ref="X1795"> if(iserror(MATCH(V1795, 'File Links'!C:C, 0)), "N/A", HYPERLINK(INDEX('File Links'!B:B, MATCH(V1795, 'File Links'!C:C, 0))))</f>
        <v>https://drive.google.com/file/d/1Irbmig3rfLDvz-G09jDAVwJvv1drYEqO/view?usp=drivesdk</v>
      </c>
      <c r="Y1795" s="68"/>
      <c r="Z1795" s="151" t="s">
        <v>2079</v>
      </c>
      <c r="AA1795" s="295" t="s">
        <v>10306</v>
      </c>
      <c r="AB1795" s="151" t="s">
        <v>10307</v>
      </c>
      <c r="AC1795" s="151" t="s">
        <v>10308</v>
      </c>
      <c r="AD1795" s="151" t="s">
        <v>10314</v>
      </c>
      <c r="AE1795" s="151" t="s">
        <v>3484</v>
      </c>
      <c r="AF1795" s="161">
        <v>157.0</v>
      </c>
      <c r="AG1795" s="161">
        <v>0.01</v>
      </c>
      <c r="AH1795" s="151" t="s">
        <v>361</v>
      </c>
      <c r="AI1795" s="151" t="s">
        <v>10315</v>
      </c>
      <c r="AJ1795" s="161">
        <v>0.04</v>
      </c>
      <c r="AK1795" s="151" t="s">
        <v>172</v>
      </c>
      <c r="AL1795" s="151" t="s">
        <v>186</v>
      </c>
      <c r="AM1795" s="129" t="s">
        <v>137</v>
      </c>
      <c r="AN1795" s="129" t="s">
        <v>138</v>
      </c>
      <c r="AO1795" s="161">
        <v>422.0</v>
      </c>
      <c r="AP1795" s="161">
        <v>0.0</v>
      </c>
      <c r="AQ1795" s="151" t="s">
        <v>874</v>
      </c>
      <c r="AR1795" s="151" t="s">
        <v>10330</v>
      </c>
      <c r="AS1795" s="161">
        <v>0.62</v>
      </c>
      <c r="AT1795" s="151" t="s">
        <v>172</v>
      </c>
      <c r="AU1795" s="151" t="s">
        <v>186</v>
      </c>
      <c r="AV1795" s="129" t="s">
        <v>137</v>
      </c>
      <c r="AW1795" s="1308" t="s">
        <v>10312</v>
      </c>
      <c r="AX1795" s="129" t="s">
        <v>143</v>
      </c>
      <c r="AY1795" s="61" t="str">
        <f>IFERROR(__xludf.DUMMYFUNCTION("vlookup(BB1795,importrange(""https://docs.google.com/spreadsheets/d/1d2vevQ_7D_v35q4wCQ4RpQ_IPoTwEMB9Yp6ymwlPqew/edit?gid=984458430#gid=984458430"", ""'replication success'!A:K""), 11, FAlSE)"),"successful")</f>
        <v>successful</v>
      </c>
      <c r="AZ1795" s="61" t="str">
        <f>IFERROR(__xludf.DUMMYFUNCTION("vlookup(BB1795,importrange(""https://docs.google.com/spreadsheets/d/1d2vevQ_7D_v35q4wCQ4RpQ_IPoTwEMB9Yp6ymwlPqew/edit?gid=984458430#gid=984458430"", ""'replication success'!A:M""), 12, FAlSE)"),"[Figure 1]")</f>
        <v>[Figure 1]</v>
      </c>
      <c r="BA1795" s="61" t="str">
        <f>IFERROR(__xludf.DUMMYFUNCTION("vlookup(BB1795,importrange(""https://docs.google.com/spreadsheets/d/1d2vevQ_7D_v35q4wCQ4RpQ_IPoTwEMB9Yp6ymwlPqew/edit?gid=984458430#gid=984458430"", ""'replication success'!A:M""), 13, FAlSE)"),"pg. 2")</f>
        <v>pg. 2</v>
      </c>
      <c r="BB1795" s="61" t="str">
        <f>IFERROR(__xludf.DUMMYFUNCTION("REGEXREPLACE(G1795, ""_[a-z]{1,2}$"", """")"),"OpenMKT14")</f>
        <v>OpenMKT14</v>
      </c>
      <c r="BD1795" s="287" t="s">
        <v>1270</v>
      </c>
    </row>
    <row r="1796" ht="15.75" customHeight="1">
      <c r="A1796" s="44">
        <v>1796.0</v>
      </c>
      <c r="B1796" s="129" t="s">
        <v>114</v>
      </c>
      <c r="C1796" s="62" t="s">
        <v>115</v>
      </c>
      <c r="D1796" s="62" t="s">
        <v>248</v>
      </c>
      <c r="F1796" s="129" t="s">
        <v>10301</v>
      </c>
      <c r="G1796" s="129" t="s">
        <v>10331</v>
      </c>
      <c r="H1796" s="151" t="s">
        <v>249</v>
      </c>
      <c r="I1796" s="153">
        <v>45757.0</v>
      </c>
      <c r="J1796" s="293">
        <v>45793.0</v>
      </c>
      <c r="K1796" s="151" t="s">
        <v>10327</v>
      </c>
      <c r="L1796" s="1800" t="s">
        <v>10264</v>
      </c>
      <c r="M1796" s="129" t="s">
        <v>10303</v>
      </c>
      <c r="N1796" s="129" t="s">
        <v>10304</v>
      </c>
      <c r="O1796" s="501">
        <v>4.0</v>
      </c>
      <c r="P1796" s="528" t="s">
        <v>10305</v>
      </c>
      <c r="Q1796" s="52" t="str">
        <f t="array" ref="Q1796"> if(iserror(MATCH(V1796, 'File Links'!C:C, 0)), "N/A", HYPERLINK(INDEX('File Links'!B:B, MATCH(P1796, 'File Links'!C:C, 0))))</f>
        <v>https://drive.google.com/file/d/1MEpc9c6ksJJFPoeqztJd7l8g_1S5mA-8/view?usp=drivesdk</v>
      </c>
      <c r="R1796" s="1697" t="s">
        <v>10181</v>
      </c>
      <c r="S1796" s="129" t="s">
        <v>10182</v>
      </c>
      <c r="T1796" s="1379"/>
      <c r="U1796" s="501">
        <v>15.0</v>
      </c>
      <c r="V1796" s="151" t="s">
        <v>10183</v>
      </c>
      <c r="W1796" s="303" t="s">
        <v>209</v>
      </c>
      <c r="X1796" s="54" t="str">
        <f t="array" ref="X1796"> if(iserror(MATCH(V1796, 'File Links'!C:C, 0)), "N/A", HYPERLINK(INDEX('File Links'!B:B, MATCH(V1796, 'File Links'!C:C, 0))))</f>
        <v>https://drive.google.com/file/d/1Irbmig3rfLDvz-G09jDAVwJvv1drYEqO/view?usp=drivesdk</v>
      </c>
      <c r="Y1796" s="68"/>
      <c r="Z1796" s="151" t="s">
        <v>2079</v>
      </c>
      <c r="AA1796" s="295" t="s">
        <v>10306</v>
      </c>
      <c r="AB1796" s="151" t="s">
        <v>10307</v>
      </c>
      <c r="AC1796" s="151" t="s">
        <v>10308</v>
      </c>
      <c r="AD1796" s="151" t="s">
        <v>10318</v>
      </c>
      <c r="AE1796" s="151" t="s">
        <v>10319</v>
      </c>
      <c r="AF1796" s="161">
        <v>157.0</v>
      </c>
      <c r="AG1796" s="161">
        <v>0.38</v>
      </c>
      <c r="AH1796" s="151" t="s">
        <v>361</v>
      </c>
      <c r="AI1796" s="151" t="s">
        <v>10320</v>
      </c>
      <c r="AJ1796" s="161">
        <v>0.005</v>
      </c>
      <c r="AK1796" s="151" t="s">
        <v>172</v>
      </c>
      <c r="AL1796" s="151" t="s">
        <v>186</v>
      </c>
      <c r="AM1796" s="129" t="s">
        <v>137</v>
      </c>
      <c r="AN1796" s="129" t="s">
        <v>138</v>
      </c>
      <c r="AO1796" s="161">
        <v>422.0</v>
      </c>
      <c r="AP1796" s="161">
        <v>0.0</v>
      </c>
      <c r="AQ1796" s="151" t="s">
        <v>874</v>
      </c>
      <c r="AR1796" s="151" t="s">
        <v>10332</v>
      </c>
      <c r="AS1796" s="161">
        <v>0.76</v>
      </c>
      <c r="AT1796" s="151" t="s">
        <v>172</v>
      </c>
      <c r="AU1796" s="151" t="s">
        <v>186</v>
      </c>
      <c r="AV1796" s="129" t="s">
        <v>137</v>
      </c>
      <c r="AW1796" s="1308" t="s">
        <v>10312</v>
      </c>
      <c r="AX1796" s="129" t="s">
        <v>143</v>
      </c>
      <c r="AY1796" s="61" t="str">
        <f>IFERROR(__xludf.DUMMYFUNCTION("vlookup(BB1796,importrange(""https://docs.google.com/spreadsheets/d/1d2vevQ_7D_v35q4wCQ4RpQ_IPoTwEMB9Yp6ymwlPqew/edit?gid=984458430#gid=984458430"", ""'replication success'!A:K""), 11, FAlSE)"),"successful")</f>
        <v>successful</v>
      </c>
      <c r="AZ1796" s="61" t="str">
        <f>IFERROR(__xludf.DUMMYFUNCTION("vlookup(BB1796,importrange(""https://docs.google.com/spreadsheets/d/1d2vevQ_7D_v35q4wCQ4RpQ_IPoTwEMB9Yp6ymwlPqew/edit?gid=984458430#gid=984458430"", ""'replication success'!A:M""), 12, FAlSE)"),"[Figure 1]")</f>
        <v>[Figure 1]</v>
      </c>
      <c r="BA1796" s="61" t="str">
        <f>IFERROR(__xludf.DUMMYFUNCTION("vlookup(BB1796,importrange(""https://docs.google.com/spreadsheets/d/1d2vevQ_7D_v35q4wCQ4RpQ_IPoTwEMB9Yp6ymwlPqew/edit?gid=984458430#gid=984458430"", ""'replication success'!A:M""), 13, FAlSE)"),"pg. 2")</f>
        <v>pg. 2</v>
      </c>
      <c r="BB1796" s="61" t="str">
        <f>IFERROR(__xludf.DUMMYFUNCTION("REGEXREPLACE(G1796, ""_[a-z]{1,2}$"", """")"),"OpenMKT14")</f>
        <v>OpenMKT14</v>
      </c>
      <c r="BD1796" s="287" t="s">
        <v>1270</v>
      </c>
    </row>
    <row r="1797" ht="15.75" customHeight="1">
      <c r="A1797" s="44">
        <v>1797.0</v>
      </c>
      <c r="B1797" s="295" t="s">
        <v>114</v>
      </c>
      <c r="C1797" s="287" t="s">
        <v>115</v>
      </c>
      <c r="D1797" s="287" t="s">
        <v>248</v>
      </c>
      <c r="E1797" s="308"/>
      <c r="F1797" s="295" t="s">
        <v>10301</v>
      </c>
      <c r="G1797" s="295" t="s">
        <v>10333</v>
      </c>
      <c r="H1797" s="303" t="s">
        <v>249</v>
      </c>
      <c r="I1797" s="1809">
        <v>45757.0</v>
      </c>
      <c r="J1797" s="293">
        <v>45793.0</v>
      </c>
      <c r="K1797" s="303" t="s">
        <v>10327</v>
      </c>
      <c r="L1797" s="1800" t="s">
        <v>10264</v>
      </c>
      <c r="M1797" s="295" t="s">
        <v>10303</v>
      </c>
      <c r="N1797" s="295" t="s">
        <v>10304</v>
      </c>
      <c r="O1797" s="1799">
        <v>4.0</v>
      </c>
      <c r="P1797" s="1810" t="s">
        <v>10305</v>
      </c>
      <c r="Q1797" s="52" t="str">
        <f t="array" ref="Q1797"> if(iserror(MATCH(V1797, 'File Links'!C:C, 0)), "N/A", HYPERLINK(INDEX('File Links'!B:B, MATCH(P1797, 'File Links'!C:C, 0))))</f>
        <v>https://drive.google.com/file/d/1MEpc9c6ksJJFPoeqztJd7l8g_1S5mA-8/view?usp=drivesdk</v>
      </c>
      <c r="R1797" s="1811" t="s">
        <v>10181</v>
      </c>
      <c r="S1797" s="295" t="s">
        <v>10182</v>
      </c>
      <c r="T1797" s="1812"/>
      <c r="U1797" s="1799">
        <v>15.0</v>
      </c>
      <c r="V1797" s="303" t="s">
        <v>10183</v>
      </c>
      <c r="W1797" s="303" t="s">
        <v>209</v>
      </c>
      <c r="X1797" s="54" t="str">
        <f t="array" ref="X1797"> if(iserror(MATCH(V1797, 'File Links'!C:C, 0)), "N/A", HYPERLINK(INDEX('File Links'!B:B, MATCH(V1797, 'File Links'!C:C, 0))))</f>
        <v>https://drive.google.com/file/d/1Irbmig3rfLDvz-G09jDAVwJvv1drYEqO/view?usp=drivesdk</v>
      </c>
      <c r="Y1797" s="305"/>
      <c r="Z1797" s="303" t="s">
        <v>2079</v>
      </c>
      <c r="AA1797" s="295" t="s">
        <v>10306</v>
      </c>
      <c r="AB1797" s="303" t="s">
        <v>10307</v>
      </c>
      <c r="AC1797" s="303" t="s">
        <v>10308</v>
      </c>
      <c r="AD1797" s="303" t="s">
        <v>10323</v>
      </c>
      <c r="AE1797" s="303" t="s">
        <v>1888</v>
      </c>
      <c r="AF1797" s="1813">
        <v>157.0</v>
      </c>
      <c r="AG1797" s="1813">
        <v>0.02</v>
      </c>
      <c r="AH1797" s="303" t="s">
        <v>361</v>
      </c>
      <c r="AI1797" s="303" t="s">
        <v>10324</v>
      </c>
      <c r="AJ1797" s="1813">
        <v>0.001</v>
      </c>
      <c r="AK1797" s="303" t="s">
        <v>172</v>
      </c>
      <c r="AL1797" s="303" t="s">
        <v>186</v>
      </c>
      <c r="AM1797" s="295" t="s">
        <v>137</v>
      </c>
      <c r="AN1797" s="295" t="s">
        <v>138</v>
      </c>
      <c r="AO1797" s="1813">
        <v>422.0</v>
      </c>
      <c r="AP1797" s="1813">
        <v>0.16</v>
      </c>
      <c r="AQ1797" s="303" t="s">
        <v>874</v>
      </c>
      <c r="AR1797" s="303" t="s">
        <v>10334</v>
      </c>
      <c r="AS1797" s="1813">
        <v>0.001</v>
      </c>
      <c r="AT1797" s="303" t="s">
        <v>135</v>
      </c>
      <c r="AU1797" s="303" t="s">
        <v>186</v>
      </c>
      <c r="AV1797" s="295" t="s">
        <v>137</v>
      </c>
      <c r="AW1797" s="1814" t="s">
        <v>10312</v>
      </c>
      <c r="AX1797" s="295" t="s">
        <v>143</v>
      </c>
      <c r="AY1797" s="61" t="str">
        <f>IFERROR(__xludf.DUMMYFUNCTION("vlookup(BB1797,importrange(""https://docs.google.com/spreadsheets/d/1d2vevQ_7D_v35q4wCQ4RpQ_IPoTwEMB9Yp6ymwlPqew/edit?gid=984458430#gid=984458430"", ""'replication success'!A:K""), 11, FAlSE)"),"successful")</f>
        <v>successful</v>
      </c>
      <c r="AZ1797" s="61" t="str">
        <f>IFERROR(__xludf.DUMMYFUNCTION("vlookup(BB1797,importrange(""https://docs.google.com/spreadsheets/d/1d2vevQ_7D_v35q4wCQ4RpQ_IPoTwEMB9Yp6ymwlPqew/edit?gid=984458430#gid=984458430"", ""'replication success'!A:M""), 12, FAlSE)"),"[Figure 1]")</f>
        <v>[Figure 1]</v>
      </c>
      <c r="BA1797" s="61" t="str">
        <f>IFERROR(__xludf.DUMMYFUNCTION("vlookup(BB1797,importrange(""https://docs.google.com/spreadsheets/d/1d2vevQ_7D_v35q4wCQ4RpQ_IPoTwEMB9Yp6ymwlPqew/edit?gid=984458430#gid=984458430"", ""'replication success'!A:M""), 13, FAlSE)"),"pg. 2")</f>
        <v>pg. 2</v>
      </c>
      <c r="BB1797" s="61" t="str">
        <f>IFERROR(__xludf.DUMMYFUNCTION("REGEXREPLACE(G1797, ""_[a-z]{1,2}$"", """")"),"OpenMKT14")</f>
        <v>OpenMKT14</v>
      </c>
      <c r="BC1797" s="308"/>
      <c r="BD1797" s="287" t="s">
        <v>1270</v>
      </c>
      <c r="BE1797" s="308"/>
      <c r="BF1797" s="308"/>
      <c r="BG1797" s="308"/>
      <c r="BH1797" s="308"/>
      <c r="BI1797" s="308"/>
      <c r="BJ1797" s="308"/>
      <c r="BK1797" s="308"/>
      <c r="BL1797" s="308"/>
      <c r="BM1797" s="308"/>
      <c r="BN1797" s="308"/>
      <c r="BO1797" s="308"/>
      <c r="BP1797" s="308"/>
      <c r="BQ1797" s="308"/>
      <c r="BR1797" s="308"/>
      <c r="BS1797" s="308"/>
      <c r="BT1797" s="308"/>
      <c r="BU1797" s="308"/>
      <c r="BV1797" s="308"/>
      <c r="BW1797" s="308"/>
      <c r="BX1797" s="308"/>
      <c r="BY1797" s="308"/>
      <c r="BZ1797" s="308"/>
      <c r="CA1797" s="308"/>
      <c r="CB1797" s="308"/>
      <c r="CC1797" s="308"/>
      <c r="CD1797" s="308"/>
      <c r="CE1797" s="308"/>
      <c r="CF1797" s="308"/>
      <c r="CG1797" s="308"/>
      <c r="CH1797" s="308"/>
      <c r="CI1797" s="308"/>
      <c r="CJ1797" s="308"/>
      <c r="CK1797" s="308"/>
      <c r="CL1797" s="308"/>
      <c r="CM1797" s="308"/>
      <c r="CN1797" s="308"/>
      <c r="CO1797" s="308"/>
      <c r="CP1797" s="308"/>
      <c r="CQ1797" s="308"/>
      <c r="CR1797" s="308"/>
      <c r="CS1797" s="308"/>
      <c r="CT1797" s="308"/>
      <c r="CU1797" s="308"/>
      <c r="CV1797" s="308"/>
      <c r="CW1797" s="308"/>
      <c r="CX1797" s="308"/>
      <c r="CY1797" s="308"/>
      <c r="CZ1797" s="308"/>
      <c r="DA1797" s="308"/>
      <c r="DB1797" s="308"/>
      <c r="DC1797" s="308"/>
      <c r="DD1797" s="308"/>
      <c r="DE1797" s="308"/>
      <c r="DF1797" s="308"/>
      <c r="DG1797" s="308"/>
      <c r="DH1797" s="308"/>
      <c r="DI1797" s="308"/>
      <c r="DJ1797" s="308"/>
      <c r="DK1797" s="308"/>
      <c r="DL1797" s="308"/>
    </row>
    <row r="1798" ht="15.75" customHeight="1">
      <c r="A1798" s="44">
        <v>1798.0</v>
      </c>
      <c r="B1798" s="129" t="s">
        <v>114</v>
      </c>
      <c r="C1798" s="62" t="s">
        <v>115</v>
      </c>
      <c r="D1798" s="62" t="s">
        <v>248</v>
      </c>
      <c r="F1798" s="129" t="s">
        <v>10335</v>
      </c>
      <c r="G1798" s="129" t="s">
        <v>10336</v>
      </c>
      <c r="H1798" s="151" t="s">
        <v>249</v>
      </c>
      <c r="I1798" s="153">
        <v>45758.0</v>
      </c>
      <c r="J1798" s="540">
        <v>45800.0</v>
      </c>
      <c r="K1798" s="151" t="s">
        <v>10337</v>
      </c>
      <c r="L1798" s="129" t="s">
        <v>10338</v>
      </c>
      <c r="M1798" s="129" t="s">
        <v>10339</v>
      </c>
      <c r="N1798" s="129" t="s">
        <v>10340</v>
      </c>
      <c r="O1798" s="501">
        <v>2.0</v>
      </c>
      <c r="P1798" s="528" t="s">
        <v>10341</v>
      </c>
      <c r="Q1798" s="52" t="str">
        <f t="array" ref="Q1798"> if(iserror(MATCH(V1798, 'File Links'!C:C, 0)), "N/A", HYPERLINK(INDEX('File Links'!B:B, MATCH(P1798, 'File Links'!C:C, 0))))</f>
        <v>https://drive.google.com/file/d/1k1zAeWl01m62ZgoBtOmSJCCoqfFGxddZ/view?usp=drivesdk</v>
      </c>
      <c r="R1798" s="1697" t="s">
        <v>10181</v>
      </c>
      <c r="S1798" s="129" t="s">
        <v>10182</v>
      </c>
      <c r="T1798" s="1379"/>
      <c r="U1798" s="501">
        <v>13.0</v>
      </c>
      <c r="V1798" s="151" t="s">
        <v>10183</v>
      </c>
      <c r="W1798" s="151" t="s">
        <v>209</v>
      </c>
      <c r="X1798" s="54" t="str">
        <f t="array" ref="X1798"> if(iserror(MATCH(V1798, 'File Links'!C:C, 0)), "N/A", HYPERLINK(INDEX('File Links'!B:B, MATCH(V1798, 'File Links'!C:C, 0))))</f>
        <v>https://drive.google.com/file/d/1Irbmig3rfLDvz-G09jDAVwJvv1drYEqO/view?usp=drivesdk</v>
      </c>
      <c r="Y1798" s="68"/>
      <c r="Z1798" s="151" t="s">
        <v>2079</v>
      </c>
      <c r="AA1798" s="129" t="s">
        <v>10342</v>
      </c>
      <c r="AB1798" s="151" t="s">
        <v>10343</v>
      </c>
      <c r="AC1798" s="151" t="s">
        <v>10344</v>
      </c>
      <c r="AD1798" s="151" t="s">
        <v>10345</v>
      </c>
      <c r="AE1798" s="151" t="s">
        <v>1042</v>
      </c>
      <c r="AF1798" s="161">
        <v>133.0</v>
      </c>
      <c r="AG1798" s="161">
        <v>0.59</v>
      </c>
      <c r="AH1798" s="151" t="s">
        <v>173</v>
      </c>
      <c r="AI1798" s="151" t="s">
        <v>10346</v>
      </c>
      <c r="AJ1798" s="161">
        <v>0.005</v>
      </c>
      <c r="AK1798" s="151" t="s">
        <v>172</v>
      </c>
      <c r="AL1798" s="151" t="s">
        <v>186</v>
      </c>
      <c r="AM1798" s="129" t="s">
        <v>137</v>
      </c>
      <c r="AN1798" s="129" t="s">
        <v>138</v>
      </c>
      <c r="AO1798" s="161">
        <v>319.0</v>
      </c>
      <c r="AP1798" s="161" t="s">
        <v>10347</v>
      </c>
      <c r="AQ1798" s="151" t="s">
        <v>134</v>
      </c>
      <c r="AR1798" s="151" t="s">
        <v>10348</v>
      </c>
      <c r="AS1798" s="161">
        <v>0.329</v>
      </c>
      <c r="AT1798" s="151" t="s">
        <v>172</v>
      </c>
      <c r="AU1798" s="151" t="s">
        <v>186</v>
      </c>
      <c r="AV1798" s="129" t="s">
        <v>137</v>
      </c>
      <c r="AW1798" s="123" t="s">
        <v>10349</v>
      </c>
      <c r="AX1798" s="129" t="s">
        <v>143</v>
      </c>
      <c r="AY1798" s="61" t="str">
        <f>IFERROR(__xludf.DUMMYFUNCTION("vlookup(BB1798,importrange(""https://docs.google.com/spreadsheets/d/1d2vevQ_7D_v35q4wCQ4RpQ_IPoTwEMB9Yp6ymwlPqew/edit?gid=984458430#gid=984458430"", ""'replication success'!A:K""), 11, FAlSE)"),"failed")</f>
        <v>failed</v>
      </c>
      <c r="AZ1798" s="61" t="str">
        <f>IFERROR(__xludf.DUMMYFUNCTION("vlookup(BB1798,importrange(""https://docs.google.com/spreadsheets/d/1d2vevQ_7D_v35q4wCQ4RpQ_IPoTwEMB9Yp6ymwlPqew/edit?gid=984458430#gid=984458430"", ""'replication success'!A:M""), 12, FAlSE)"),"[Figure 1]")</f>
        <v>[Figure 1]</v>
      </c>
      <c r="BA1798" s="61" t="str">
        <f>IFERROR(__xludf.DUMMYFUNCTION("vlookup(BB1798,importrange(""https://docs.google.com/spreadsheets/d/1d2vevQ_7D_v35q4wCQ4RpQ_IPoTwEMB9Yp6ymwlPqew/edit?gid=984458430#gid=984458430"", ""'replication success'!A:M""), 13, FAlSE)"),"pg. 2")</f>
        <v>pg. 2</v>
      </c>
      <c r="BB1798" s="61" t="str">
        <f>IFERROR(__xludf.DUMMYFUNCTION("REGEXREPLACE(G1798, ""_[a-z]{1,2}$"", """")"),"OpenMKT15")</f>
        <v>OpenMKT15</v>
      </c>
      <c r="BD1798" s="287" t="s">
        <v>1270</v>
      </c>
    </row>
    <row r="1799">
      <c r="A1799" s="44">
        <v>1799.0</v>
      </c>
      <c r="B1799" s="129" t="s">
        <v>114</v>
      </c>
      <c r="C1799" s="62" t="s">
        <v>115</v>
      </c>
      <c r="D1799" s="62" t="s">
        <v>248</v>
      </c>
      <c r="F1799" s="129" t="s">
        <v>10335</v>
      </c>
      <c r="G1799" s="129" t="s">
        <v>10350</v>
      </c>
      <c r="H1799" s="151" t="s">
        <v>249</v>
      </c>
      <c r="I1799" s="153">
        <v>45758.0</v>
      </c>
      <c r="J1799" s="540">
        <v>45800.0</v>
      </c>
      <c r="K1799" s="151" t="s">
        <v>10337</v>
      </c>
      <c r="L1799" s="129" t="s">
        <v>10351</v>
      </c>
      <c r="M1799" s="129" t="s">
        <v>10339</v>
      </c>
      <c r="N1799" s="129" t="s">
        <v>10340</v>
      </c>
      <c r="O1799" s="501">
        <v>2.0</v>
      </c>
      <c r="P1799" s="528" t="s">
        <v>10341</v>
      </c>
      <c r="Q1799" s="52" t="str">
        <f t="array" ref="Q1799"> if(iserror(MATCH(V1799, 'File Links'!C:C, 0)), "N/A", HYPERLINK(INDEX('File Links'!B:B, MATCH(P1799, 'File Links'!C:C, 0))))</f>
        <v>https://drive.google.com/file/d/1k1zAeWl01m62ZgoBtOmSJCCoqfFGxddZ/view?usp=drivesdk</v>
      </c>
      <c r="R1799" s="1697" t="s">
        <v>10181</v>
      </c>
      <c r="S1799" s="129" t="s">
        <v>10182</v>
      </c>
      <c r="T1799" s="1379"/>
      <c r="U1799" s="501">
        <v>13.0</v>
      </c>
      <c r="V1799" s="151" t="s">
        <v>10183</v>
      </c>
      <c r="W1799" s="151" t="s">
        <v>209</v>
      </c>
      <c r="X1799" s="54" t="str">
        <f t="array" ref="X1799"> if(iserror(MATCH(V1799, 'File Links'!C:C, 0)), "N/A", HYPERLINK(INDEX('File Links'!B:B, MATCH(V1799, 'File Links'!C:C, 0))))</f>
        <v>https://drive.google.com/file/d/1Irbmig3rfLDvz-G09jDAVwJvv1drYEqO/view?usp=drivesdk</v>
      </c>
      <c r="Y1799" s="68"/>
      <c r="Z1799" s="151" t="s">
        <v>2079</v>
      </c>
      <c r="AA1799" s="129" t="s">
        <v>10342</v>
      </c>
      <c r="AB1799" s="151" t="s">
        <v>10343</v>
      </c>
      <c r="AC1799" s="151" t="s">
        <v>10344</v>
      </c>
      <c r="AD1799" s="151" t="s">
        <v>10352</v>
      </c>
      <c r="AE1799" s="151" t="s">
        <v>1042</v>
      </c>
      <c r="AF1799" s="161">
        <v>133.0</v>
      </c>
      <c r="AG1799" s="161" t="s">
        <v>10353</v>
      </c>
      <c r="AH1799" s="151" t="s">
        <v>134</v>
      </c>
      <c r="AI1799" s="151" t="s">
        <v>10354</v>
      </c>
      <c r="AJ1799" s="161">
        <v>0.005</v>
      </c>
      <c r="AK1799" s="151" t="s">
        <v>172</v>
      </c>
      <c r="AL1799" s="151" t="s">
        <v>186</v>
      </c>
      <c r="AM1799" s="129" t="s">
        <v>137</v>
      </c>
      <c r="AN1799" s="129" t="s">
        <v>138</v>
      </c>
      <c r="AO1799" s="161">
        <v>319.0</v>
      </c>
      <c r="AP1799" s="161" t="s">
        <v>10355</v>
      </c>
      <c r="AQ1799" s="151" t="s">
        <v>134</v>
      </c>
      <c r="AR1799" s="151" t="s">
        <v>10356</v>
      </c>
      <c r="AS1799" s="161">
        <v>0.802</v>
      </c>
      <c r="AT1799" s="151" t="s">
        <v>172</v>
      </c>
      <c r="AU1799" s="151" t="s">
        <v>186</v>
      </c>
      <c r="AV1799" s="129" t="s">
        <v>137</v>
      </c>
      <c r="AW1799" s="1308" t="s">
        <v>10349</v>
      </c>
      <c r="AX1799" s="129" t="s">
        <v>143</v>
      </c>
      <c r="AY1799" s="61" t="str">
        <f>IFERROR(__xludf.DUMMYFUNCTION("vlookup(BB1799,importrange(""https://docs.google.com/spreadsheets/d/1d2vevQ_7D_v35q4wCQ4RpQ_IPoTwEMB9Yp6ymwlPqew/edit?gid=984458430#gid=984458430"", ""'replication success'!A:K""), 11, FAlSE)"),"failed")</f>
        <v>failed</v>
      </c>
      <c r="AZ1799" s="61" t="str">
        <f>IFERROR(__xludf.DUMMYFUNCTION("vlookup(BB1799,importrange(""https://docs.google.com/spreadsheets/d/1d2vevQ_7D_v35q4wCQ4RpQ_IPoTwEMB9Yp6ymwlPqew/edit?gid=984458430#gid=984458430"", ""'replication success'!A:M""), 12, FAlSE)"),"[Figure 1]")</f>
        <v>[Figure 1]</v>
      </c>
      <c r="BA1799" s="61" t="str">
        <f>IFERROR(__xludf.DUMMYFUNCTION("vlookup(BB1799,importrange(""https://docs.google.com/spreadsheets/d/1d2vevQ_7D_v35q4wCQ4RpQ_IPoTwEMB9Yp6ymwlPqew/edit?gid=984458430#gid=984458430"", ""'replication success'!A:M""), 13, FAlSE)"),"pg. 2")</f>
        <v>pg. 2</v>
      </c>
      <c r="BB1799" s="61" t="str">
        <f>IFERROR(__xludf.DUMMYFUNCTION("REGEXREPLACE(G1799, ""_[a-z]{1,2}$"", """")"),"OpenMKT15")</f>
        <v>OpenMKT15</v>
      </c>
      <c r="BD1799" s="287" t="s">
        <v>1270</v>
      </c>
    </row>
    <row r="1800">
      <c r="A1800" s="44">
        <v>1800.0</v>
      </c>
      <c r="B1800" s="129" t="s">
        <v>114</v>
      </c>
      <c r="C1800" s="62" t="s">
        <v>115</v>
      </c>
      <c r="D1800" s="62" t="s">
        <v>248</v>
      </c>
      <c r="F1800" s="129" t="s">
        <v>10335</v>
      </c>
      <c r="G1800" s="129" t="s">
        <v>10357</v>
      </c>
      <c r="H1800" s="151" t="s">
        <v>249</v>
      </c>
      <c r="I1800" s="153">
        <v>45758.0</v>
      </c>
      <c r="J1800" s="540">
        <v>45800.0</v>
      </c>
      <c r="K1800" s="151" t="s">
        <v>10337</v>
      </c>
      <c r="L1800" s="129" t="s">
        <v>10351</v>
      </c>
      <c r="M1800" s="129" t="s">
        <v>10339</v>
      </c>
      <c r="N1800" s="129" t="s">
        <v>10340</v>
      </c>
      <c r="O1800" s="501">
        <v>2.0</v>
      </c>
      <c r="P1800" s="528" t="s">
        <v>10341</v>
      </c>
      <c r="Q1800" s="52" t="str">
        <f t="array" ref="Q1800"> if(iserror(MATCH(V1800, 'File Links'!C:C, 0)), "N/A", HYPERLINK(INDEX('File Links'!B:B, MATCH(P1800, 'File Links'!C:C, 0))))</f>
        <v>https://drive.google.com/file/d/1k1zAeWl01m62ZgoBtOmSJCCoqfFGxddZ/view?usp=drivesdk</v>
      </c>
      <c r="R1800" s="1697" t="s">
        <v>10181</v>
      </c>
      <c r="S1800" s="129" t="s">
        <v>10182</v>
      </c>
      <c r="T1800" s="1379"/>
      <c r="U1800" s="501">
        <v>13.0</v>
      </c>
      <c r="V1800" s="151" t="s">
        <v>10183</v>
      </c>
      <c r="W1800" s="151" t="s">
        <v>209</v>
      </c>
      <c r="X1800" s="54" t="str">
        <f t="array" ref="X1800"> if(iserror(MATCH(V1800, 'File Links'!C:C, 0)), "N/A", HYPERLINK(INDEX('File Links'!B:B, MATCH(V1800, 'File Links'!C:C, 0))))</f>
        <v>https://drive.google.com/file/d/1Irbmig3rfLDvz-G09jDAVwJvv1drYEqO/view?usp=drivesdk</v>
      </c>
      <c r="Y1800" s="68"/>
      <c r="Z1800" s="151" t="s">
        <v>2079</v>
      </c>
      <c r="AA1800" s="129" t="s">
        <v>10342</v>
      </c>
      <c r="AB1800" s="151" t="s">
        <v>10343</v>
      </c>
      <c r="AC1800" s="151" t="s">
        <v>10344</v>
      </c>
      <c r="AD1800" s="151" t="s">
        <v>10358</v>
      </c>
      <c r="AE1800" s="151" t="s">
        <v>1042</v>
      </c>
      <c r="AF1800" s="161">
        <v>133.0</v>
      </c>
      <c r="AG1800" s="161" t="s">
        <v>10359</v>
      </c>
      <c r="AH1800" s="151" t="s">
        <v>134</v>
      </c>
      <c r="AI1800" s="151" t="s">
        <v>10360</v>
      </c>
      <c r="AJ1800" s="161">
        <v>0.017</v>
      </c>
      <c r="AK1800" s="151" t="s">
        <v>172</v>
      </c>
      <c r="AL1800" s="151" t="s">
        <v>186</v>
      </c>
      <c r="AM1800" s="129" t="s">
        <v>137</v>
      </c>
      <c r="AN1800" s="129" t="s">
        <v>138</v>
      </c>
      <c r="AO1800" s="161">
        <v>319.0</v>
      </c>
      <c r="AP1800" s="161" t="s">
        <v>10361</v>
      </c>
      <c r="AQ1800" s="151" t="s">
        <v>134</v>
      </c>
      <c r="AR1800" s="151" t="s">
        <v>10362</v>
      </c>
      <c r="AS1800" s="161">
        <v>0.174</v>
      </c>
      <c r="AT1800" s="151" t="s">
        <v>172</v>
      </c>
      <c r="AU1800" s="151" t="s">
        <v>186</v>
      </c>
      <c r="AV1800" s="129" t="s">
        <v>137</v>
      </c>
      <c r="AW1800" s="1308" t="s">
        <v>10349</v>
      </c>
      <c r="AX1800" s="129" t="s">
        <v>143</v>
      </c>
      <c r="AY1800" s="61" t="str">
        <f>IFERROR(__xludf.DUMMYFUNCTION("vlookup(BB1800,importrange(""https://docs.google.com/spreadsheets/d/1d2vevQ_7D_v35q4wCQ4RpQ_IPoTwEMB9Yp6ymwlPqew/edit?gid=984458430#gid=984458430"", ""'replication success'!A:K""), 11, FAlSE)"),"failed")</f>
        <v>failed</v>
      </c>
      <c r="AZ1800" s="61" t="str">
        <f>IFERROR(__xludf.DUMMYFUNCTION("vlookup(BB1800,importrange(""https://docs.google.com/spreadsheets/d/1d2vevQ_7D_v35q4wCQ4RpQ_IPoTwEMB9Yp6ymwlPqew/edit?gid=984458430#gid=984458430"", ""'replication success'!A:M""), 12, FAlSE)"),"[Figure 1]")</f>
        <v>[Figure 1]</v>
      </c>
      <c r="BA1800" s="61" t="str">
        <f>IFERROR(__xludf.DUMMYFUNCTION("vlookup(BB1800,importrange(""https://docs.google.com/spreadsheets/d/1d2vevQ_7D_v35q4wCQ4RpQ_IPoTwEMB9Yp6ymwlPqew/edit?gid=984458430#gid=984458430"", ""'replication success'!A:M""), 13, FAlSE)"),"pg. 2")</f>
        <v>pg. 2</v>
      </c>
      <c r="BB1800" s="61" t="str">
        <f>IFERROR(__xludf.DUMMYFUNCTION("REGEXREPLACE(G1800, ""_[a-z]{1,2}$"", """")"),"OpenMKT15")</f>
        <v>OpenMKT15</v>
      </c>
      <c r="BD1800" s="287" t="s">
        <v>1270</v>
      </c>
    </row>
    <row r="1801">
      <c r="A1801" s="44">
        <v>1801.0</v>
      </c>
      <c r="B1801" s="129" t="s">
        <v>114</v>
      </c>
      <c r="C1801" s="62" t="s">
        <v>115</v>
      </c>
      <c r="D1801" s="62" t="s">
        <v>248</v>
      </c>
      <c r="F1801" s="129" t="s">
        <v>10335</v>
      </c>
      <c r="G1801" s="129" t="s">
        <v>10363</v>
      </c>
      <c r="H1801" s="151" t="s">
        <v>249</v>
      </c>
      <c r="I1801" s="153">
        <v>45758.0</v>
      </c>
      <c r="J1801" s="540">
        <v>45800.0</v>
      </c>
      <c r="K1801" s="151" t="s">
        <v>10337</v>
      </c>
      <c r="L1801" s="129" t="s">
        <v>10351</v>
      </c>
      <c r="M1801" s="129" t="s">
        <v>10339</v>
      </c>
      <c r="N1801" s="129" t="s">
        <v>10340</v>
      </c>
      <c r="O1801" s="501">
        <v>2.0</v>
      </c>
      <c r="P1801" s="528" t="s">
        <v>10341</v>
      </c>
      <c r="Q1801" s="52" t="str">
        <f t="array" ref="Q1801"> if(iserror(MATCH(V1801, 'File Links'!C:C, 0)), "N/A", HYPERLINK(INDEX('File Links'!B:B, MATCH(P1801, 'File Links'!C:C, 0))))</f>
        <v>https://drive.google.com/file/d/1k1zAeWl01m62ZgoBtOmSJCCoqfFGxddZ/view?usp=drivesdk</v>
      </c>
      <c r="R1801" s="1697" t="s">
        <v>10181</v>
      </c>
      <c r="S1801" s="129" t="s">
        <v>10182</v>
      </c>
      <c r="T1801" s="1379"/>
      <c r="U1801" s="501">
        <v>13.0</v>
      </c>
      <c r="V1801" s="151" t="s">
        <v>10183</v>
      </c>
      <c r="W1801" s="151" t="s">
        <v>209</v>
      </c>
      <c r="X1801" s="54" t="str">
        <f t="array" ref="X1801"> if(iserror(MATCH(V1801, 'File Links'!C:C, 0)), "N/A", HYPERLINK(INDEX('File Links'!B:B, MATCH(V1801, 'File Links'!C:C, 0))))</f>
        <v>https://drive.google.com/file/d/1Irbmig3rfLDvz-G09jDAVwJvv1drYEqO/view?usp=drivesdk</v>
      </c>
      <c r="Y1801" s="68"/>
      <c r="Z1801" s="151" t="s">
        <v>2079</v>
      </c>
      <c r="AA1801" s="129" t="s">
        <v>10342</v>
      </c>
      <c r="AB1801" s="151" t="s">
        <v>10343</v>
      </c>
      <c r="AC1801" s="151" t="s">
        <v>10344</v>
      </c>
      <c r="AD1801" s="151" t="s">
        <v>10364</v>
      </c>
      <c r="AE1801" s="151" t="s">
        <v>1042</v>
      </c>
      <c r="AF1801" s="161">
        <v>133.0</v>
      </c>
      <c r="AG1801" s="161" t="s">
        <v>10365</v>
      </c>
      <c r="AH1801" s="151" t="s">
        <v>134</v>
      </c>
      <c r="AI1801" s="151" t="s">
        <v>10366</v>
      </c>
      <c r="AJ1801" s="161">
        <v>0.05</v>
      </c>
      <c r="AK1801" s="151" t="s">
        <v>335</v>
      </c>
      <c r="AL1801" s="151" t="s">
        <v>186</v>
      </c>
      <c r="AM1801" s="129" t="s">
        <v>137</v>
      </c>
      <c r="AN1801" s="129" t="s">
        <v>138</v>
      </c>
      <c r="AO1801" s="161">
        <v>319.0</v>
      </c>
      <c r="AP1801" s="161" t="s">
        <v>10367</v>
      </c>
      <c r="AQ1801" s="151" t="s">
        <v>134</v>
      </c>
      <c r="AR1801" s="151" t="s">
        <v>10368</v>
      </c>
      <c r="AS1801" s="161">
        <v>0.278</v>
      </c>
      <c r="AT1801" s="151" t="s">
        <v>172</v>
      </c>
      <c r="AU1801" s="151" t="s">
        <v>186</v>
      </c>
      <c r="AV1801" s="129" t="s">
        <v>137</v>
      </c>
      <c r="AW1801" s="1308" t="s">
        <v>10349</v>
      </c>
      <c r="AX1801" s="129" t="s">
        <v>143</v>
      </c>
      <c r="AY1801" s="61" t="str">
        <f>IFERROR(__xludf.DUMMYFUNCTION("vlookup(BB1801,importrange(""https://docs.google.com/spreadsheets/d/1d2vevQ_7D_v35q4wCQ4RpQ_IPoTwEMB9Yp6ymwlPqew/edit?gid=984458430#gid=984458430"", ""'replication success'!A:K""), 11, FAlSE)"),"failed")</f>
        <v>failed</v>
      </c>
      <c r="AZ1801" s="61" t="str">
        <f>IFERROR(__xludf.DUMMYFUNCTION("vlookup(BB1801,importrange(""https://docs.google.com/spreadsheets/d/1d2vevQ_7D_v35q4wCQ4RpQ_IPoTwEMB9Yp6ymwlPqew/edit?gid=984458430#gid=984458430"", ""'replication success'!A:M""), 12, FAlSE)"),"[Figure 1]")</f>
        <v>[Figure 1]</v>
      </c>
      <c r="BA1801" s="61" t="str">
        <f>IFERROR(__xludf.DUMMYFUNCTION("vlookup(BB1801,importrange(""https://docs.google.com/spreadsheets/d/1d2vevQ_7D_v35q4wCQ4RpQ_IPoTwEMB9Yp6ymwlPqew/edit?gid=984458430#gid=984458430"", ""'replication success'!A:M""), 13, FAlSE)"),"pg. 2")</f>
        <v>pg. 2</v>
      </c>
      <c r="BB1801" s="61" t="str">
        <f>IFERROR(__xludf.DUMMYFUNCTION("REGEXREPLACE(G1801, ""_[a-z]{1,2}$"", """")"),"OpenMKT15")</f>
        <v>OpenMKT15</v>
      </c>
      <c r="BD1801" s="287" t="s">
        <v>1270</v>
      </c>
    </row>
    <row r="1802">
      <c r="A1802" s="44">
        <v>1802.0</v>
      </c>
      <c r="B1802" s="129" t="s">
        <v>114</v>
      </c>
      <c r="C1802" s="62" t="s">
        <v>115</v>
      </c>
      <c r="D1802" s="62" t="s">
        <v>248</v>
      </c>
      <c r="F1802" s="129" t="s">
        <v>10335</v>
      </c>
      <c r="G1802" s="129" t="s">
        <v>10369</v>
      </c>
      <c r="H1802" s="151" t="s">
        <v>249</v>
      </c>
      <c r="I1802" s="153">
        <v>45758.0</v>
      </c>
      <c r="J1802" s="540">
        <v>45800.0</v>
      </c>
      <c r="K1802" s="151" t="s">
        <v>10370</v>
      </c>
      <c r="L1802" s="129" t="s">
        <v>10371</v>
      </c>
      <c r="M1802" s="129" t="s">
        <v>10339</v>
      </c>
      <c r="N1802" s="129" t="s">
        <v>10340</v>
      </c>
      <c r="O1802" s="501">
        <v>2.0</v>
      </c>
      <c r="P1802" s="528" t="s">
        <v>10341</v>
      </c>
      <c r="Q1802" s="52" t="str">
        <f t="array" ref="Q1802"> if(iserror(MATCH(V1802, 'File Links'!C:C, 0)), "N/A", HYPERLINK(INDEX('File Links'!B:B, MATCH(P1802, 'File Links'!C:C, 0))))</f>
        <v>https://drive.google.com/file/d/1k1zAeWl01m62ZgoBtOmSJCCoqfFGxddZ/view?usp=drivesdk</v>
      </c>
      <c r="R1802" s="1697" t="s">
        <v>10181</v>
      </c>
      <c r="S1802" s="129" t="s">
        <v>10182</v>
      </c>
      <c r="T1802" s="1379"/>
      <c r="U1802" s="336"/>
      <c r="V1802" s="151" t="s">
        <v>10183</v>
      </c>
      <c r="W1802" s="159"/>
      <c r="X1802" s="54" t="str">
        <f t="array" ref="X1802"> if(iserror(MATCH(V1802, 'File Links'!C:C, 0)), "N/A", HYPERLINK(INDEX('File Links'!B:B, MATCH(V1802, 'File Links'!C:C, 0))))</f>
        <v>https://drive.google.com/file/d/1Irbmig3rfLDvz-G09jDAVwJvv1drYEqO/view?usp=drivesdk</v>
      </c>
      <c r="Y1802" s="68"/>
      <c r="Z1802" s="151" t="s">
        <v>2079</v>
      </c>
      <c r="AA1802" s="68"/>
      <c r="AB1802" s="151" t="s">
        <v>10343</v>
      </c>
      <c r="AC1802" s="151" t="s">
        <v>10344</v>
      </c>
      <c r="AD1802" s="151" t="s">
        <v>10345</v>
      </c>
      <c r="AE1802" s="151" t="s">
        <v>1042</v>
      </c>
      <c r="AF1802" s="161">
        <v>133.0</v>
      </c>
      <c r="AG1802" s="156"/>
      <c r="AH1802" s="151" t="s">
        <v>173</v>
      </c>
      <c r="AI1802" s="151" t="s">
        <v>10346</v>
      </c>
      <c r="AJ1802" s="161">
        <v>0.005</v>
      </c>
      <c r="AK1802" s="151" t="s">
        <v>172</v>
      </c>
      <c r="AL1802" s="151" t="s">
        <v>186</v>
      </c>
      <c r="AM1802" s="129" t="s">
        <v>137</v>
      </c>
      <c r="AN1802" s="129" t="s">
        <v>138</v>
      </c>
      <c r="AO1802" s="161">
        <v>327.0</v>
      </c>
      <c r="AP1802" s="161" t="s">
        <v>10372</v>
      </c>
      <c r="AQ1802" s="151" t="s">
        <v>134</v>
      </c>
      <c r="AR1802" s="151" t="s">
        <v>10373</v>
      </c>
      <c r="AS1802" s="161">
        <v>0.254</v>
      </c>
      <c r="AT1802" s="151" t="s">
        <v>172</v>
      </c>
      <c r="AU1802" s="151" t="s">
        <v>186</v>
      </c>
      <c r="AV1802" s="129" t="s">
        <v>137</v>
      </c>
      <c r="AW1802" s="1308" t="s">
        <v>10349</v>
      </c>
      <c r="AX1802" s="129" t="s">
        <v>143</v>
      </c>
      <c r="AY1802" s="61" t="str">
        <f>IFERROR(__xludf.DUMMYFUNCTION("vlookup(BB1802,importrange(""https://docs.google.com/spreadsheets/d/1d2vevQ_7D_v35q4wCQ4RpQ_IPoTwEMB9Yp6ymwlPqew/edit?gid=984458430#gid=984458430"", ""'replication success'!A:K""), 11, FAlSE)"),"failed")</f>
        <v>failed</v>
      </c>
      <c r="AZ1802" s="61" t="str">
        <f>IFERROR(__xludf.DUMMYFUNCTION("vlookup(BB1802,importrange(""https://docs.google.com/spreadsheets/d/1d2vevQ_7D_v35q4wCQ4RpQ_IPoTwEMB9Yp6ymwlPqew/edit?gid=984458430#gid=984458430"", ""'replication success'!A:M""), 12, FAlSE)"),"[Figure 1]")</f>
        <v>[Figure 1]</v>
      </c>
      <c r="BA1802" s="61" t="str">
        <f>IFERROR(__xludf.DUMMYFUNCTION("vlookup(BB1802,importrange(""https://docs.google.com/spreadsheets/d/1d2vevQ_7D_v35q4wCQ4RpQ_IPoTwEMB9Yp6ymwlPqew/edit?gid=984458430#gid=984458430"", ""'replication success'!A:M""), 13, FAlSE)"),"pg. 2")</f>
        <v>pg. 2</v>
      </c>
      <c r="BB1802" s="61" t="str">
        <f>IFERROR(__xludf.DUMMYFUNCTION("REGEXREPLACE(G1802, ""_[a-z]{1,2}$"", """")"),"OpenMKT15")</f>
        <v>OpenMKT15</v>
      </c>
      <c r="BD1802" s="287" t="s">
        <v>1270</v>
      </c>
    </row>
    <row r="1803">
      <c r="A1803" s="44">
        <v>1803.0</v>
      </c>
      <c r="B1803" s="129" t="s">
        <v>114</v>
      </c>
      <c r="C1803" s="62" t="s">
        <v>115</v>
      </c>
      <c r="D1803" s="62" t="s">
        <v>248</v>
      </c>
      <c r="F1803" s="129" t="s">
        <v>10335</v>
      </c>
      <c r="G1803" s="129" t="s">
        <v>10374</v>
      </c>
      <c r="H1803" s="151" t="s">
        <v>249</v>
      </c>
      <c r="I1803" s="153">
        <v>45758.0</v>
      </c>
      <c r="J1803" s="540">
        <v>45800.0</v>
      </c>
      <c r="K1803" s="151" t="s">
        <v>10370</v>
      </c>
      <c r="L1803" s="129" t="s">
        <v>10371</v>
      </c>
      <c r="M1803" s="129" t="s">
        <v>10339</v>
      </c>
      <c r="N1803" s="129" t="s">
        <v>10340</v>
      </c>
      <c r="O1803" s="501">
        <v>2.0</v>
      </c>
      <c r="P1803" s="528" t="s">
        <v>10341</v>
      </c>
      <c r="Q1803" s="52" t="str">
        <f t="array" ref="Q1803"> if(iserror(MATCH(V1803, 'File Links'!C:C, 0)), "N/A", HYPERLINK(INDEX('File Links'!B:B, MATCH(P1803, 'File Links'!C:C, 0))))</f>
        <v>https://drive.google.com/file/d/1k1zAeWl01m62ZgoBtOmSJCCoqfFGxddZ/view?usp=drivesdk</v>
      </c>
      <c r="R1803" s="1697" t="s">
        <v>10181</v>
      </c>
      <c r="S1803" s="129" t="s">
        <v>10182</v>
      </c>
      <c r="T1803" s="1379"/>
      <c r="U1803" s="336"/>
      <c r="V1803" s="151" t="s">
        <v>10183</v>
      </c>
      <c r="W1803" s="159"/>
      <c r="X1803" s="54" t="str">
        <f t="array" ref="X1803"> if(iserror(MATCH(V1803, 'File Links'!C:C, 0)), "N/A", HYPERLINK(INDEX('File Links'!B:B, MATCH(V1803, 'File Links'!C:C, 0))))</f>
        <v>https://drive.google.com/file/d/1Irbmig3rfLDvz-G09jDAVwJvv1drYEqO/view?usp=drivesdk</v>
      </c>
      <c r="Y1803" s="68"/>
      <c r="Z1803" s="151" t="s">
        <v>2079</v>
      </c>
      <c r="AA1803" s="68"/>
      <c r="AB1803" s="151" t="s">
        <v>10343</v>
      </c>
      <c r="AC1803" s="151" t="s">
        <v>10344</v>
      </c>
      <c r="AD1803" s="151" t="s">
        <v>10352</v>
      </c>
      <c r="AE1803" s="151" t="s">
        <v>1042</v>
      </c>
      <c r="AF1803" s="161">
        <v>133.0</v>
      </c>
      <c r="AG1803" s="161" t="s">
        <v>10353</v>
      </c>
      <c r="AH1803" s="151" t="s">
        <v>134</v>
      </c>
      <c r="AI1803" s="151" t="s">
        <v>10354</v>
      </c>
      <c r="AJ1803" s="161">
        <v>0.005</v>
      </c>
      <c r="AK1803" s="151" t="s">
        <v>172</v>
      </c>
      <c r="AL1803" s="151" t="s">
        <v>186</v>
      </c>
      <c r="AM1803" s="129" t="s">
        <v>137</v>
      </c>
      <c r="AN1803" s="129" t="s">
        <v>138</v>
      </c>
      <c r="AO1803" s="161">
        <v>327.0</v>
      </c>
      <c r="AP1803" s="161" t="s">
        <v>10375</v>
      </c>
      <c r="AQ1803" s="151" t="s">
        <v>134</v>
      </c>
      <c r="AR1803" s="151" t="s">
        <v>10376</v>
      </c>
      <c r="AS1803" s="161">
        <v>0.685</v>
      </c>
      <c r="AT1803" s="151" t="s">
        <v>172</v>
      </c>
      <c r="AU1803" s="151" t="s">
        <v>186</v>
      </c>
      <c r="AV1803" s="129" t="s">
        <v>137</v>
      </c>
      <c r="AW1803" s="1308" t="s">
        <v>10349</v>
      </c>
      <c r="AX1803" s="129" t="s">
        <v>143</v>
      </c>
      <c r="AY1803" s="61" t="str">
        <f>IFERROR(__xludf.DUMMYFUNCTION("vlookup(BB1803,importrange(""https://docs.google.com/spreadsheets/d/1d2vevQ_7D_v35q4wCQ4RpQ_IPoTwEMB9Yp6ymwlPqew/edit?gid=984458430#gid=984458430"", ""'replication success'!A:K""), 11, FAlSE)"),"failed")</f>
        <v>failed</v>
      </c>
      <c r="AZ1803" s="61" t="str">
        <f>IFERROR(__xludf.DUMMYFUNCTION("vlookup(BB1803,importrange(""https://docs.google.com/spreadsheets/d/1d2vevQ_7D_v35q4wCQ4RpQ_IPoTwEMB9Yp6ymwlPqew/edit?gid=984458430#gid=984458430"", ""'replication success'!A:M""), 12, FAlSE)"),"[Figure 1]")</f>
        <v>[Figure 1]</v>
      </c>
      <c r="BA1803" s="61" t="str">
        <f>IFERROR(__xludf.DUMMYFUNCTION("vlookup(BB1803,importrange(""https://docs.google.com/spreadsheets/d/1d2vevQ_7D_v35q4wCQ4RpQ_IPoTwEMB9Yp6ymwlPqew/edit?gid=984458430#gid=984458430"", ""'replication success'!A:M""), 13, FAlSE)"),"pg. 2")</f>
        <v>pg. 2</v>
      </c>
      <c r="BB1803" s="61" t="str">
        <f>IFERROR(__xludf.DUMMYFUNCTION("REGEXREPLACE(G1803, ""_[a-z]{1,2}$"", """")"),"OpenMKT15")</f>
        <v>OpenMKT15</v>
      </c>
      <c r="BD1803" s="287" t="s">
        <v>1270</v>
      </c>
      <c r="BF1803" s="1815" t="s">
        <v>10377</v>
      </c>
    </row>
    <row r="1804">
      <c r="A1804" s="44">
        <v>1804.0</v>
      </c>
      <c r="B1804" s="129" t="s">
        <v>114</v>
      </c>
      <c r="C1804" s="62" t="s">
        <v>115</v>
      </c>
      <c r="D1804" s="62" t="s">
        <v>248</v>
      </c>
      <c r="F1804" s="129" t="s">
        <v>10335</v>
      </c>
      <c r="G1804" s="129" t="s">
        <v>10378</v>
      </c>
      <c r="H1804" s="151" t="s">
        <v>249</v>
      </c>
      <c r="I1804" s="153">
        <v>45758.0</v>
      </c>
      <c r="J1804" s="540">
        <v>45800.0</v>
      </c>
      <c r="K1804" s="151" t="s">
        <v>10370</v>
      </c>
      <c r="L1804" s="129" t="s">
        <v>10371</v>
      </c>
      <c r="M1804" s="129" t="s">
        <v>10339</v>
      </c>
      <c r="N1804" s="129" t="s">
        <v>10340</v>
      </c>
      <c r="O1804" s="501">
        <v>2.0</v>
      </c>
      <c r="P1804" s="528" t="s">
        <v>10341</v>
      </c>
      <c r="Q1804" s="52" t="str">
        <f t="array" ref="Q1804"> if(iserror(MATCH(V1804, 'File Links'!C:C, 0)), "N/A", HYPERLINK(INDEX('File Links'!B:B, MATCH(P1804, 'File Links'!C:C, 0))))</f>
        <v>https://drive.google.com/file/d/1k1zAeWl01m62ZgoBtOmSJCCoqfFGxddZ/view?usp=drivesdk</v>
      </c>
      <c r="R1804" s="1697" t="s">
        <v>10181</v>
      </c>
      <c r="S1804" s="129" t="s">
        <v>10182</v>
      </c>
      <c r="T1804" s="1379"/>
      <c r="U1804" s="336"/>
      <c r="V1804" s="151" t="s">
        <v>10183</v>
      </c>
      <c r="W1804" s="159"/>
      <c r="X1804" s="54" t="str">
        <f t="array" ref="X1804"> if(iserror(MATCH(V1804, 'File Links'!C:C, 0)), "N/A", HYPERLINK(INDEX('File Links'!B:B, MATCH(V1804, 'File Links'!C:C, 0))))</f>
        <v>https://drive.google.com/file/d/1Irbmig3rfLDvz-G09jDAVwJvv1drYEqO/view?usp=drivesdk</v>
      </c>
      <c r="Y1804" s="68"/>
      <c r="Z1804" s="151" t="s">
        <v>2079</v>
      </c>
      <c r="AA1804" s="68"/>
      <c r="AB1804" s="151" t="s">
        <v>10343</v>
      </c>
      <c r="AC1804" s="151" t="s">
        <v>10344</v>
      </c>
      <c r="AD1804" s="151" t="s">
        <v>10358</v>
      </c>
      <c r="AE1804" s="151" t="s">
        <v>1042</v>
      </c>
      <c r="AF1804" s="161">
        <v>133.0</v>
      </c>
      <c r="AG1804" s="161" t="s">
        <v>10359</v>
      </c>
      <c r="AH1804" s="151" t="s">
        <v>134</v>
      </c>
      <c r="AI1804" s="151" t="s">
        <v>10360</v>
      </c>
      <c r="AJ1804" s="161">
        <v>0.017</v>
      </c>
      <c r="AK1804" s="151" t="s">
        <v>172</v>
      </c>
      <c r="AL1804" s="151" t="s">
        <v>186</v>
      </c>
      <c r="AM1804" s="129" t="s">
        <v>137</v>
      </c>
      <c r="AN1804" s="129" t="s">
        <v>138</v>
      </c>
      <c r="AO1804" s="161">
        <v>327.0</v>
      </c>
      <c r="AP1804" s="161" t="s">
        <v>10379</v>
      </c>
      <c r="AQ1804" s="151" t="s">
        <v>134</v>
      </c>
      <c r="AR1804" s="151" t="s">
        <v>10380</v>
      </c>
      <c r="AS1804" s="161">
        <v>0.12</v>
      </c>
      <c r="AT1804" s="151" t="s">
        <v>172</v>
      </c>
      <c r="AU1804" s="151" t="s">
        <v>186</v>
      </c>
      <c r="AV1804" s="129" t="s">
        <v>137</v>
      </c>
      <c r="AW1804" s="1308" t="s">
        <v>10349</v>
      </c>
      <c r="AX1804" s="129" t="s">
        <v>143</v>
      </c>
      <c r="AY1804" s="61" t="str">
        <f>IFERROR(__xludf.DUMMYFUNCTION("vlookup(BB1804,importrange(""https://docs.google.com/spreadsheets/d/1d2vevQ_7D_v35q4wCQ4RpQ_IPoTwEMB9Yp6ymwlPqew/edit?gid=984458430#gid=984458430"", ""'replication success'!A:K""), 11, FAlSE)"),"failed")</f>
        <v>failed</v>
      </c>
      <c r="AZ1804" s="61" t="str">
        <f>IFERROR(__xludf.DUMMYFUNCTION("vlookup(BB1804,importrange(""https://docs.google.com/spreadsheets/d/1d2vevQ_7D_v35q4wCQ4RpQ_IPoTwEMB9Yp6ymwlPqew/edit?gid=984458430#gid=984458430"", ""'replication success'!A:M""), 12, FAlSE)"),"[Figure 1]")</f>
        <v>[Figure 1]</v>
      </c>
      <c r="BA1804" s="61" t="str">
        <f>IFERROR(__xludf.DUMMYFUNCTION("vlookup(BB1804,importrange(""https://docs.google.com/spreadsheets/d/1d2vevQ_7D_v35q4wCQ4RpQ_IPoTwEMB9Yp6ymwlPqew/edit?gid=984458430#gid=984458430"", ""'replication success'!A:M""), 13, FAlSE)"),"pg. 2")</f>
        <v>pg. 2</v>
      </c>
      <c r="BB1804" s="61" t="str">
        <f>IFERROR(__xludf.DUMMYFUNCTION("REGEXREPLACE(G1804, ""_[a-z]{1,2}$"", """")"),"OpenMKT15")</f>
        <v>OpenMKT15</v>
      </c>
      <c r="BD1804" s="287" t="s">
        <v>1270</v>
      </c>
    </row>
    <row r="1805">
      <c r="A1805" s="44">
        <v>1805.0</v>
      </c>
      <c r="B1805" s="129" t="s">
        <v>114</v>
      </c>
      <c r="C1805" s="62" t="s">
        <v>115</v>
      </c>
      <c r="D1805" s="62" t="s">
        <v>248</v>
      </c>
      <c r="F1805" s="129" t="s">
        <v>10335</v>
      </c>
      <c r="G1805" s="129" t="s">
        <v>10381</v>
      </c>
      <c r="H1805" s="151" t="s">
        <v>249</v>
      </c>
      <c r="I1805" s="153">
        <v>45758.0</v>
      </c>
      <c r="J1805" s="540">
        <v>45800.0</v>
      </c>
      <c r="K1805" s="151" t="s">
        <v>10370</v>
      </c>
      <c r="L1805" s="129" t="s">
        <v>10371</v>
      </c>
      <c r="M1805" s="129" t="s">
        <v>10339</v>
      </c>
      <c r="N1805" s="129" t="s">
        <v>10340</v>
      </c>
      <c r="O1805" s="501">
        <v>2.0</v>
      </c>
      <c r="P1805" s="528" t="s">
        <v>10341</v>
      </c>
      <c r="Q1805" s="52" t="str">
        <f t="array" ref="Q1805"> if(iserror(MATCH(V1805, 'File Links'!C:C, 0)), "N/A", HYPERLINK(INDEX('File Links'!B:B, MATCH(P1805, 'File Links'!C:C, 0))))</f>
        <v>https://drive.google.com/file/d/1k1zAeWl01m62ZgoBtOmSJCCoqfFGxddZ/view?usp=drivesdk</v>
      </c>
      <c r="R1805" s="1697" t="s">
        <v>10181</v>
      </c>
      <c r="S1805" s="129" t="s">
        <v>10182</v>
      </c>
      <c r="T1805" s="1379"/>
      <c r="U1805" s="336"/>
      <c r="V1805" s="151" t="s">
        <v>10183</v>
      </c>
      <c r="W1805" s="159"/>
      <c r="X1805" s="54" t="str">
        <f t="array" ref="X1805"> if(iserror(MATCH(V1805, 'File Links'!C:C, 0)), "N/A", HYPERLINK(INDEX('File Links'!B:B, MATCH(V1805, 'File Links'!C:C, 0))))</f>
        <v>https://drive.google.com/file/d/1Irbmig3rfLDvz-G09jDAVwJvv1drYEqO/view?usp=drivesdk</v>
      </c>
      <c r="Y1805" s="68"/>
      <c r="Z1805" s="151" t="s">
        <v>2079</v>
      </c>
      <c r="AA1805" s="68"/>
      <c r="AB1805" s="151" t="s">
        <v>10343</v>
      </c>
      <c r="AC1805" s="151" t="s">
        <v>10344</v>
      </c>
      <c r="AD1805" s="151" t="s">
        <v>10364</v>
      </c>
      <c r="AE1805" s="151" t="s">
        <v>1042</v>
      </c>
      <c r="AF1805" s="161">
        <v>133.0</v>
      </c>
      <c r="AG1805" s="161" t="s">
        <v>10365</v>
      </c>
      <c r="AH1805" s="151" t="s">
        <v>134</v>
      </c>
      <c r="AI1805" s="151" t="s">
        <v>10366</v>
      </c>
      <c r="AJ1805" s="161">
        <v>0.05</v>
      </c>
      <c r="AK1805" s="151" t="s">
        <v>335</v>
      </c>
      <c r="AL1805" s="151" t="s">
        <v>186</v>
      </c>
      <c r="AM1805" s="129" t="s">
        <v>137</v>
      </c>
      <c r="AN1805" s="129" t="s">
        <v>138</v>
      </c>
      <c r="AO1805" s="161">
        <v>327.0</v>
      </c>
      <c r="AP1805" s="161" t="s">
        <v>10382</v>
      </c>
      <c r="AQ1805" s="151" t="s">
        <v>134</v>
      </c>
      <c r="AR1805" s="151" t="s">
        <v>10383</v>
      </c>
      <c r="AS1805" s="161">
        <v>0.26</v>
      </c>
      <c r="AT1805" s="151" t="s">
        <v>172</v>
      </c>
      <c r="AU1805" s="151" t="s">
        <v>186</v>
      </c>
      <c r="AV1805" s="129" t="s">
        <v>137</v>
      </c>
      <c r="AW1805" s="1308" t="s">
        <v>10349</v>
      </c>
      <c r="AX1805" s="129" t="s">
        <v>143</v>
      </c>
      <c r="AY1805" s="61" t="str">
        <f>IFERROR(__xludf.DUMMYFUNCTION("vlookup(BB1805,importrange(""https://docs.google.com/spreadsheets/d/1d2vevQ_7D_v35q4wCQ4RpQ_IPoTwEMB9Yp6ymwlPqew/edit?gid=984458430#gid=984458430"", ""'replication success'!A:K""), 11, FAlSE)"),"failed")</f>
        <v>failed</v>
      </c>
      <c r="AZ1805" s="61" t="str">
        <f>IFERROR(__xludf.DUMMYFUNCTION("vlookup(BB1805,importrange(""https://docs.google.com/spreadsheets/d/1d2vevQ_7D_v35q4wCQ4RpQ_IPoTwEMB9Yp6ymwlPqew/edit?gid=984458430#gid=984458430"", ""'replication success'!A:M""), 12, FAlSE)"),"[Figure 1]")</f>
        <v>[Figure 1]</v>
      </c>
      <c r="BA1805" s="61" t="str">
        <f>IFERROR(__xludf.DUMMYFUNCTION("vlookup(BB1805,importrange(""https://docs.google.com/spreadsheets/d/1d2vevQ_7D_v35q4wCQ4RpQ_IPoTwEMB9Yp6ymwlPqew/edit?gid=984458430#gid=984458430"", ""'replication success'!A:M""), 13, FAlSE)"),"pg. 2")</f>
        <v>pg. 2</v>
      </c>
      <c r="BB1805" s="61" t="str">
        <f>IFERROR(__xludf.DUMMYFUNCTION("REGEXREPLACE(G1805, ""_[a-z]{1,2}$"", """")"),"OpenMKT15")</f>
        <v>OpenMKT15</v>
      </c>
      <c r="BD1805" s="287" t="s">
        <v>1270</v>
      </c>
    </row>
    <row r="1806">
      <c r="A1806" s="44">
        <v>1806.0</v>
      </c>
      <c r="B1806" s="295" t="s">
        <v>152</v>
      </c>
      <c r="C1806" s="287" t="s">
        <v>115</v>
      </c>
      <c r="D1806" s="287" t="s">
        <v>248</v>
      </c>
      <c r="E1806" s="308"/>
      <c r="F1806" s="295" t="s">
        <v>10384</v>
      </c>
      <c r="G1806" s="295" t="s">
        <v>10385</v>
      </c>
      <c r="H1806" s="303" t="s">
        <v>249</v>
      </c>
      <c r="I1806" s="1809">
        <v>45758.0</v>
      </c>
      <c r="J1806" s="293">
        <v>45800.0</v>
      </c>
      <c r="K1806" s="290"/>
      <c r="L1806" s="295" t="s">
        <v>10386</v>
      </c>
      <c r="M1806" s="295" t="s">
        <v>10387</v>
      </c>
      <c r="N1806" s="295" t="s">
        <v>10388</v>
      </c>
      <c r="O1806" s="1799">
        <v>5.0</v>
      </c>
      <c r="P1806" s="1810" t="s">
        <v>10389</v>
      </c>
      <c r="Q1806" s="1816" t="str">
        <f t="array" ref="Q1806"> if(iserror(MATCH(V1806, 'File Links'!C:C, 0)), "N/A", HYPERLINK(INDEX('File Links'!B:B, MATCH(P1806, 'File Links'!C:C, 0))))</f>
        <v>https://drive.google.com/file/d/1SAkzHUXu2em_LOpzZzUsNAbEmhFQYt6z/view?usp=drivesdk</v>
      </c>
      <c r="R1806" s="1811" t="s">
        <v>10181</v>
      </c>
      <c r="S1806" s="295" t="s">
        <v>10182</v>
      </c>
      <c r="T1806" s="1812"/>
      <c r="U1806" s="1799">
        <v>9.0</v>
      </c>
      <c r="V1806" s="303" t="s">
        <v>10183</v>
      </c>
      <c r="W1806" s="303" t="s">
        <v>209</v>
      </c>
      <c r="X1806" s="1817" t="str">
        <f t="array" ref="X1806"> if(iserror(MATCH(V1806, 'File Links'!C:C, 0)), "N/A", HYPERLINK(INDEX('File Links'!B:B, MATCH(V1806, 'File Links'!C:C, 0))))</f>
        <v>https://drive.google.com/file/d/1Irbmig3rfLDvz-G09jDAVwJvv1drYEqO/view?usp=drivesdk</v>
      </c>
      <c r="Y1806" s="305"/>
      <c r="Z1806" s="303" t="s">
        <v>2079</v>
      </c>
      <c r="AA1806" s="295" t="s">
        <v>10390</v>
      </c>
      <c r="AB1806" s="303" t="s">
        <v>10391</v>
      </c>
      <c r="AC1806" s="303" t="s">
        <v>10392</v>
      </c>
      <c r="AD1806" s="303" t="s">
        <v>10393</v>
      </c>
      <c r="AE1806" s="303" t="s">
        <v>10394</v>
      </c>
      <c r="AF1806" s="1813">
        <v>160.0</v>
      </c>
      <c r="AG1806" s="1813" t="s">
        <v>10395</v>
      </c>
      <c r="AH1806" s="303" t="s">
        <v>134</v>
      </c>
      <c r="AI1806" s="303" t="s">
        <v>10396</v>
      </c>
      <c r="AJ1806" s="1813">
        <v>0.001</v>
      </c>
      <c r="AK1806" s="303" t="s">
        <v>135</v>
      </c>
      <c r="AL1806" s="303" t="s">
        <v>186</v>
      </c>
      <c r="AM1806" s="295" t="s">
        <v>137</v>
      </c>
      <c r="AN1806" s="295" t="s">
        <v>138</v>
      </c>
      <c r="AO1806" s="1813">
        <v>389.0</v>
      </c>
      <c r="AP1806" s="1813">
        <v>0.392</v>
      </c>
      <c r="AQ1806" s="303" t="s">
        <v>874</v>
      </c>
      <c r="AR1806" s="303" t="s">
        <v>10397</v>
      </c>
      <c r="AS1806" s="1813">
        <v>0.001</v>
      </c>
      <c r="AT1806" s="303" t="s">
        <v>135</v>
      </c>
      <c r="AU1806" s="303" t="s">
        <v>186</v>
      </c>
      <c r="AV1806" s="295" t="s">
        <v>137</v>
      </c>
      <c r="AW1806" s="1818" t="s">
        <v>10398</v>
      </c>
      <c r="AX1806" s="295" t="s">
        <v>143</v>
      </c>
      <c r="AY1806" s="61" t="str">
        <f>IFERROR(__xludf.DUMMYFUNCTION("vlookup(BB1806,importrange(""https://docs.google.com/spreadsheets/d/1d2vevQ_7D_v35q4wCQ4RpQ_IPoTwEMB9Yp6ymwlPqew/edit?gid=984458430#gid=984458430"", ""'replication success'!A:K""), 11, FAlSE)"),"failed")</f>
        <v>failed</v>
      </c>
      <c r="AZ1806" s="61" t="str">
        <f>IFERROR(__xludf.DUMMYFUNCTION("vlookup(BB1806,importrange(""https://docs.google.com/spreadsheets/d/1d2vevQ_7D_v35q4wCQ4RpQ_IPoTwEMB9Yp6ymwlPqew/edit?gid=984458430#gid=984458430"", ""'replication success'!A:M""), 12, FAlSE)"),"[Figure 1]")</f>
        <v>[Figure 1]</v>
      </c>
      <c r="BA1806" s="61" t="str">
        <f>IFERROR(__xludf.DUMMYFUNCTION("vlookup(BB1806,importrange(""https://docs.google.com/spreadsheets/d/1d2vevQ_7D_v35q4wCQ4RpQ_IPoTwEMB9Yp6ymwlPqew/edit?gid=984458430#gid=984458430"", ""'replication success'!A:M""), 13, FAlSE)"),"pg. 2")</f>
        <v>pg. 2</v>
      </c>
      <c r="BB1806" s="61" t="str">
        <f>IFERROR(__xludf.DUMMYFUNCTION("REGEXREPLACE(G1806, ""_[a-z]{1,2}$"", """")"),"OpenMKT16")</f>
        <v>OpenMKT16</v>
      </c>
      <c r="BC1806" s="308"/>
      <c r="BD1806" s="287" t="s">
        <v>1270</v>
      </c>
      <c r="BE1806" s="308"/>
      <c r="BF1806" s="308"/>
      <c r="BG1806" s="308"/>
      <c r="BH1806" s="308"/>
      <c r="BI1806" s="308"/>
      <c r="BJ1806" s="308"/>
      <c r="BK1806" s="308"/>
      <c r="BL1806" s="308"/>
      <c r="BM1806" s="308"/>
      <c r="BN1806" s="308"/>
      <c r="BO1806" s="308"/>
      <c r="BP1806" s="308"/>
      <c r="BQ1806" s="308"/>
      <c r="BR1806" s="308"/>
      <c r="BS1806" s="308"/>
      <c r="BT1806" s="308"/>
      <c r="BU1806" s="308"/>
      <c r="BV1806" s="308"/>
      <c r="BW1806" s="308"/>
      <c r="BX1806" s="308"/>
      <c r="BY1806" s="308"/>
      <c r="BZ1806" s="308"/>
      <c r="CA1806" s="308"/>
      <c r="CB1806" s="308"/>
      <c r="CC1806" s="308"/>
      <c r="CD1806" s="308"/>
      <c r="CE1806" s="308"/>
      <c r="CF1806" s="308"/>
      <c r="CG1806" s="308"/>
      <c r="CH1806" s="308"/>
      <c r="CI1806" s="308"/>
      <c r="CJ1806" s="308"/>
      <c r="CK1806" s="308"/>
      <c r="CL1806" s="308"/>
      <c r="CM1806" s="308"/>
      <c r="CN1806" s="308"/>
      <c r="CO1806" s="308"/>
      <c r="CP1806" s="308"/>
      <c r="CQ1806" s="308"/>
      <c r="CR1806" s="308"/>
      <c r="CS1806" s="308"/>
      <c r="CT1806" s="308"/>
      <c r="CU1806" s="308"/>
      <c r="CV1806" s="308"/>
      <c r="CW1806" s="308"/>
      <c r="CX1806" s="308"/>
      <c r="CY1806" s="308"/>
      <c r="CZ1806" s="308"/>
      <c r="DA1806" s="308"/>
      <c r="DB1806" s="308"/>
      <c r="DC1806" s="308"/>
      <c r="DD1806" s="308"/>
      <c r="DE1806" s="308"/>
      <c r="DF1806" s="308"/>
      <c r="DG1806" s="308"/>
      <c r="DH1806" s="308"/>
      <c r="DI1806" s="308"/>
      <c r="DJ1806" s="308"/>
      <c r="DK1806" s="308"/>
      <c r="DL1806" s="308"/>
    </row>
    <row r="1807">
      <c r="A1807" s="44">
        <v>1807.0</v>
      </c>
      <c r="B1807" s="129" t="s">
        <v>152</v>
      </c>
      <c r="C1807" s="62" t="s">
        <v>115</v>
      </c>
      <c r="D1807" s="62" t="s">
        <v>248</v>
      </c>
      <c r="F1807" s="129" t="s">
        <v>10384</v>
      </c>
      <c r="G1807" s="129" t="s">
        <v>10399</v>
      </c>
      <c r="H1807" s="151" t="s">
        <v>249</v>
      </c>
      <c r="I1807" s="153">
        <v>45758.0</v>
      </c>
      <c r="J1807" s="540">
        <v>45800.0</v>
      </c>
      <c r="K1807" s="159"/>
      <c r="L1807" s="129" t="s">
        <v>10386</v>
      </c>
      <c r="M1807" s="129" t="s">
        <v>10387</v>
      </c>
      <c r="N1807" s="129" t="s">
        <v>10388</v>
      </c>
      <c r="O1807" s="501">
        <v>5.0</v>
      </c>
      <c r="P1807" s="528" t="s">
        <v>10389</v>
      </c>
      <c r="Q1807" s="52" t="str">
        <f t="array" ref="Q1807"> if(iserror(MATCH(V1807, 'File Links'!C:C, 0)), "N/A", HYPERLINK(INDEX('File Links'!B:B, MATCH(P1807, 'File Links'!C:C, 0))))</f>
        <v>https://drive.google.com/file/d/1SAkzHUXu2em_LOpzZzUsNAbEmhFQYt6z/view?usp=drivesdk</v>
      </c>
      <c r="R1807" s="1697" t="s">
        <v>10181</v>
      </c>
      <c r="S1807" s="129" t="s">
        <v>10182</v>
      </c>
      <c r="T1807" s="1379"/>
      <c r="U1807" s="501">
        <v>9.0</v>
      </c>
      <c r="V1807" s="151" t="s">
        <v>10183</v>
      </c>
      <c r="W1807" s="303" t="s">
        <v>209</v>
      </c>
      <c r="X1807" s="54" t="str">
        <f t="array" ref="X1807"> if(iserror(MATCH(V1807, 'File Links'!C:C, 0)), "N/A", HYPERLINK(INDEX('File Links'!B:B, MATCH(V1807, 'File Links'!C:C, 0))))</f>
        <v>https://drive.google.com/file/d/1Irbmig3rfLDvz-G09jDAVwJvv1drYEqO/view?usp=drivesdk</v>
      </c>
      <c r="Y1807" s="68"/>
      <c r="Z1807" s="151" t="s">
        <v>2079</v>
      </c>
      <c r="AA1807" s="295" t="s">
        <v>10390</v>
      </c>
      <c r="AB1807" s="151" t="s">
        <v>10391</v>
      </c>
      <c r="AC1807" s="151" t="s">
        <v>10392</v>
      </c>
      <c r="AD1807" s="151" t="s">
        <v>10400</v>
      </c>
      <c r="AE1807" s="151" t="s">
        <v>10394</v>
      </c>
      <c r="AF1807" s="161">
        <v>160.0</v>
      </c>
      <c r="AG1807" s="161" t="s">
        <v>138</v>
      </c>
      <c r="AH1807" s="167" t="s">
        <v>138</v>
      </c>
      <c r="AI1807" s="151" t="s">
        <v>10401</v>
      </c>
      <c r="AJ1807" s="161">
        <v>0.75</v>
      </c>
      <c r="AK1807" s="151" t="s">
        <v>335</v>
      </c>
      <c r="AL1807" s="151" t="s">
        <v>186</v>
      </c>
      <c r="AM1807" s="129" t="s">
        <v>137</v>
      </c>
      <c r="AN1807" s="129" t="s">
        <v>138</v>
      </c>
      <c r="AO1807" s="161">
        <v>389.0</v>
      </c>
      <c r="AP1807" s="161">
        <v>0.004</v>
      </c>
      <c r="AQ1807" s="151" t="s">
        <v>874</v>
      </c>
      <c r="AR1807" s="151" t="s">
        <v>10402</v>
      </c>
      <c r="AS1807" s="161">
        <v>0.12</v>
      </c>
      <c r="AT1807" s="151" t="s">
        <v>172</v>
      </c>
      <c r="AU1807" s="151" t="s">
        <v>186</v>
      </c>
      <c r="AV1807" s="129" t="s">
        <v>137</v>
      </c>
      <c r="AW1807" s="1308" t="s">
        <v>10398</v>
      </c>
      <c r="AX1807" s="129" t="s">
        <v>143</v>
      </c>
      <c r="AY1807" s="61" t="str">
        <f>IFERROR(__xludf.DUMMYFUNCTION("vlookup(BB1807,importrange(""https://docs.google.com/spreadsheets/d/1d2vevQ_7D_v35q4wCQ4RpQ_IPoTwEMB9Yp6ymwlPqew/edit?gid=984458430#gid=984458430"", ""'replication success'!A:K""), 11, FAlSE)"),"failed")</f>
        <v>failed</v>
      </c>
      <c r="AZ1807" s="61" t="str">
        <f>IFERROR(__xludf.DUMMYFUNCTION("vlookup(BB1807,importrange(""https://docs.google.com/spreadsheets/d/1d2vevQ_7D_v35q4wCQ4RpQ_IPoTwEMB9Yp6ymwlPqew/edit?gid=984458430#gid=984458430"", ""'replication success'!A:M""), 12, FAlSE)"),"[Figure 1]")</f>
        <v>[Figure 1]</v>
      </c>
      <c r="BA1807" s="61" t="str">
        <f>IFERROR(__xludf.DUMMYFUNCTION("vlookup(BB1807,importrange(""https://docs.google.com/spreadsheets/d/1d2vevQ_7D_v35q4wCQ4RpQ_IPoTwEMB9Yp6ymwlPqew/edit?gid=984458430#gid=984458430"", ""'replication success'!A:M""), 13, FAlSE)"),"pg. 2")</f>
        <v>pg. 2</v>
      </c>
      <c r="BB1807" s="61" t="str">
        <f>IFERROR(__xludf.DUMMYFUNCTION("REGEXREPLACE(G1807, ""_[a-z]{1,2}$"", """")"),"OpenMKT16")</f>
        <v>OpenMKT16</v>
      </c>
      <c r="BD1807" s="287" t="s">
        <v>1270</v>
      </c>
    </row>
    <row r="1808">
      <c r="A1808" s="44">
        <v>1808.0</v>
      </c>
      <c r="B1808" s="129" t="s">
        <v>152</v>
      </c>
      <c r="C1808" s="62" t="s">
        <v>115</v>
      </c>
      <c r="D1808" s="62" t="s">
        <v>248</v>
      </c>
      <c r="F1808" s="129" t="s">
        <v>10384</v>
      </c>
      <c r="G1808" s="129" t="s">
        <v>10403</v>
      </c>
      <c r="H1808" s="151" t="s">
        <v>249</v>
      </c>
      <c r="I1808" s="153">
        <v>45758.0</v>
      </c>
      <c r="J1808" s="540">
        <v>45800.0</v>
      </c>
      <c r="K1808" s="159"/>
      <c r="L1808" s="129" t="s">
        <v>10386</v>
      </c>
      <c r="M1808" s="129" t="s">
        <v>10387</v>
      </c>
      <c r="N1808" s="129" t="s">
        <v>10388</v>
      </c>
      <c r="O1808" s="501">
        <v>5.0</v>
      </c>
      <c r="P1808" s="528" t="s">
        <v>10389</v>
      </c>
      <c r="Q1808" s="52" t="str">
        <f t="array" ref="Q1808"> if(iserror(MATCH(V1808, 'File Links'!C:C, 0)), "N/A", HYPERLINK(INDEX('File Links'!B:B, MATCH(P1808, 'File Links'!C:C, 0))))</f>
        <v>https://drive.google.com/file/d/1SAkzHUXu2em_LOpzZzUsNAbEmhFQYt6z/view?usp=drivesdk</v>
      </c>
      <c r="R1808" s="1697" t="s">
        <v>10181</v>
      </c>
      <c r="S1808" s="129" t="s">
        <v>10182</v>
      </c>
      <c r="T1808" s="1379"/>
      <c r="U1808" s="501">
        <v>9.0</v>
      </c>
      <c r="V1808" s="151" t="s">
        <v>10183</v>
      </c>
      <c r="W1808" s="303" t="s">
        <v>209</v>
      </c>
      <c r="X1808" s="54" t="str">
        <f t="array" ref="X1808"> if(iserror(MATCH(V1808, 'File Links'!C:C, 0)), "N/A", HYPERLINK(INDEX('File Links'!B:B, MATCH(V1808, 'File Links'!C:C, 0))))</f>
        <v>https://drive.google.com/file/d/1Irbmig3rfLDvz-G09jDAVwJvv1drYEqO/view?usp=drivesdk</v>
      </c>
      <c r="Y1808" s="68"/>
      <c r="Z1808" s="151" t="s">
        <v>2079</v>
      </c>
      <c r="AA1808" s="295" t="s">
        <v>10390</v>
      </c>
      <c r="AB1808" s="151" t="s">
        <v>10391</v>
      </c>
      <c r="AC1808" s="151" t="s">
        <v>10392</v>
      </c>
      <c r="AD1808" s="151" t="s">
        <v>10404</v>
      </c>
      <c r="AE1808" s="151" t="s">
        <v>10394</v>
      </c>
      <c r="AF1808" s="161">
        <v>160.0</v>
      </c>
      <c r="AG1808" s="161" t="s">
        <v>138</v>
      </c>
      <c r="AH1808" s="167" t="s">
        <v>138</v>
      </c>
      <c r="AI1808" s="151" t="s">
        <v>10405</v>
      </c>
      <c r="AJ1808" s="161">
        <v>0.13</v>
      </c>
      <c r="AK1808" s="151" t="s">
        <v>335</v>
      </c>
      <c r="AL1808" s="151" t="s">
        <v>186</v>
      </c>
      <c r="AM1808" s="129" t="s">
        <v>137</v>
      </c>
      <c r="AN1808" s="129" t="s">
        <v>138</v>
      </c>
      <c r="AO1808" s="161">
        <v>389.0</v>
      </c>
      <c r="AP1808" s="161">
        <v>0.003</v>
      </c>
      <c r="AQ1808" s="151" t="s">
        <v>874</v>
      </c>
      <c r="AR1808" s="151" t="s">
        <v>10406</v>
      </c>
      <c r="AS1808" s="161">
        <v>0.253</v>
      </c>
      <c r="AT1808" s="151" t="s">
        <v>172</v>
      </c>
      <c r="AU1808" s="151" t="s">
        <v>186</v>
      </c>
      <c r="AV1808" s="129" t="s">
        <v>137</v>
      </c>
      <c r="AW1808" s="1308" t="s">
        <v>10398</v>
      </c>
      <c r="AX1808" s="129" t="s">
        <v>143</v>
      </c>
      <c r="AY1808" s="61" t="str">
        <f>IFERROR(__xludf.DUMMYFUNCTION("vlookup(BB1808,importrange(""https://docs.google.com/spreadsheets/d/1d2vevQ_7D_v35q4wCQ4RpQ_IPoTwEMB9Yp6ymwlPqew/edit?gid=984458430#gid=984458430"", ""'replication success'!A:K""), 11, FAlSE)"),"failed")</f>
        <v>failed</v>
      </c>
      <c r="AZ1808" s="61" t="str">
        <f>IFERROR(__xludf.DUMMYFUNCTION("vlookup(BB1808,importrange(""https://docs.google.com/spreadsheets/d/1d2vevQ_7D_v35q4wCQ4RpQ_IPoTwEMB9Yp6ymwlPqew/edit?gid=984458430#gid=984458430"", ""'replication success'!A:M""), 12, FAlSE)"),"[Figure 1]")</f>
        <v>[Figure 1]</v>
      </c>
      <c r="BA1808" s="61" t="str">
        <f>IFERROR(__xludf.DUMMYFUNCTION("vlookup(BB1808,importrange(""https://docs.google.com/spreadsheets/d/1d2vevQ_7D_v35q4wCQ4RpQ_IPoTwEMB9Yp6ymwlPqew/edit?gid=984458430#gid=984458430"", ""'replication success'!A:M""), 13, FAlSE)"),"pg. 2")</f>
        <v>pg. 2</v>
      </c>
      <c r="BB1808" s="61" t="str">
        <f>IFERROR(__xludf.DUMMYFUNCTION("REGEXREPLACE(G1808, ""_[a-z]{1,2}$"", """")"),"OpenMKT16")</f>
        <v>OpenMKT16</v>
      </c>
      <c r="BD1808" s="287" t="s">
        <v>1270</v>
      </c>
    </row>
    <row r="1809">
      <c r="A1809" s="44">
        <v>1809.0</v>
      </c>
      <c r="B1809" s="129" t="s">
        <v>152</v>
      </c>
      <c r="C1809" s="62" t="s">
        <v>115</v>
      </c>
      <c r="D1809" s="62" t="s">
        <v>248</v>
      </c>
      <c r="F1809" s="129" t="s">
        <v>10384</v>
      </c>
      <c r="G1809" s="129" t="s">
        <v>10407</v>
      </c>
      <c r="H1809" s="151" t="s">
        <v>249</v>
      </c>
      <c r="I1809" s="153">
        <v>45758.0</v>
      </c>
      <c r="J1809" s="540">
        <v>45800.0</v>
      </c>
      <c r="K1809" s="159"/>
      <c r="L1809" s="129" t="s">
        <v>10408</v>
      </c>
      <c r="M1809" s="129" t="s">
        <v>10387</v>
      </c>
      <c r="N1809" s="129" t="s">
        <v>10388</v>
      </c>
      <c r="O1809" s="501">
        <v>5.0</v>
      </c>
      <c r="P1809" s="528" t="s">
        <v>10389</v>
      </c>
      <c r="Q1809" s="52" t="str">
        <f t="array" ref="Q1809"> if(iserror(MATCH(V1809, 'File Links'!C:C, 0)), "N/A", HYPERLINK(INDEX('File Links'!B:B, MATCH(P1809, 'File Links'!C:C, 0))))</f>
        <v>https://drive.google.com/file/d/1SAkzHUXu2em_LOpzZzUsNAbEmhFQYt6z/view?usp=drivesdk</v>
      </c>
      <c r="R1809" s="1697" t="s">
        <v>10181</v>
      </c>
      <c r="S1809" s="129" t="s">
        <v>10182</v>
      </c>
      <c r="T1809" s="1379"/>
      <c r="U1809" s="501">
        <v>9.0</v>
      </c>
      <c r="V1809" s="151" t="s">
        <v>10183</v>
      </c>
      <c r="W1809" s="303" t="s">
        <v>209</v>
      </c>
      <c r="X1809" s="54" t="str">
        <f t="array" ref="X1809"> if(iserror(MATCH(V1809, 'File Links'!C:C, 0)), "N/A", HYPERLINK(INDEX('File Links'!B:B, MATCH(V1809, 'File Links'!C:C, 0))))</f>
        <v>https://drive.google.com/file/d/1Irbmig3rfLDvz-G09jDAVwJvv1drYEqO/view?usp=drivesdk</v>
      </c>
      <c r="Y1809" s="68"/>
      <c r="Z1809" s="151" t="s">
        <v>2079</v>
      </c>
      <c r="AA1809" s="295" t="s">
        <v>10390</v>
      </c>
      <c r="AB1809" s="151" t="s">
        <v>10391</v>
      </c>
      <c r="AC1809" s="151" t="s">
        <v>10392</v>
      </c>
      <c r="AD1809" s="151" t="s">
        <v>10409</v>
      </c>
      <c r="AE1809" s="151" t="s">
        <v>10410</v>
      </c>
      <c r="AF1809" s="161">
        <v>160.0</v>
      </c>
      <c r="AG1809" s="161" t="s">
        <v>10411</v>
      </c>
      <c r="AH1809" s="151" t="s">
        <v>134</v>
      </c>
      <c r="AI1809" s="151" t="s">
        <v>10412</v>
      </c>
      <c r="AJ1809" s="161">
        <v>0.044</v>
      </c>
      <c r="AK1809" s="151" t="s">
        <v>172</v>
      </c>
      <c r="AL1809" s="151" t="s">
        <v>186</v>
      </c>
      <c r="AM1809" s="129" t="s">
        <v>137</v>
      </c>
      <c r="AN1809" s="129" t="s">
        <v>138</v>
      </c>
      <c r="AO1809" s="161">
        <v>389.0</v>
      </c>
      <c r="AP1809" s="378">
        <v>0.007</v>
      </c>
      <c r="AQ1809" s="151" t="s">
        <v>874</v>
      </c>
      <c r="AR1809" s="151" t="s">
        <v>10413</v>
      </c>
      <c r="AS1809" s="161">
        <v>0.105</v>
      </c>
      <c r="AT1809" s="151" t="s">
        <v>172</v>
      </c>
      <c r="AU1809" s="151" t="s">
        <v>186</v>
      </c>
      <c r="AV1809" s="129" t="s">
        <v>137</v>
      </c>
      <c r="AW1809" s="1308" t="s">
        <v>10398</v>
      </c>
      <c r="AX1809" s="129" t="s">
        <v>143</v>
      </c>
      <c r="AY1809" s="61" t="str">
        <f>IFERROR(__xludf.DUMMYFUNCTION("vlookup(BB1809,importrange(""https://docs.google.com/spreadsheets/d/1d2vevQ_7D_v35q4wCQ4RpQ_IPoTwEMB9Yp6ymwlPqew/edit?gid=984458430#gid=984458430"", ""'replication success'!A:K""), 11, FAlSE)"),"failed")</f>
        <v>failed</v>
      </c>
      <c r="AZ1809" s="61" t="str">
        <f>IFERROR(__xludf.DUMMYFUNCTION("vlookup(BB1809,importrange(""https://docs.google.com/spreadsheets/d/1d2vevQ_7D_v35q4wCQ4RpQ_IPoTwEMB9Yp6ymwlPqew/edit?gid=984458430#gid=984458430"", ""'replication success'!A:M""), 12, FAlSE)"),"[Figure 1]")</f>
        <v>[Figure 1]</v>
      </c>
      <c r="BA1809" s="61" t="str">
        <f>IFERROR(__xludf.DUMMYFUNCTION("vlookup(BB1809,importrange(""https://docs.google.com/spreadsheets/d/1d2vevQ_7D_v35q4wCQ4RpQ_IPoTwEMB9Yp6ymwlPqew/edit?gid=984458430#gid=984458430"", ""'replication success'!A:M""), 13, FAlSE)"),"pg. 2")</f>
        <v>pg. 2</v>
      </c>
      <c r="BB1809" s="61" t="str">
        <f>IFERROR(__xludf.DUMMYFUNCTION("REGEXREPLACE(G1809, ""_[a-z]{1,2}$"", """")"),"OpenMKT16")</f>
        <v>OpenMKT16</v>
      </c>
      <c r="BD1809" s="287" t="s">
        <v>1270</v>
      </c>
    </row>
    <row r="1810">
      <c r="A1810" s="44">
        <v>1810.0</v>
      </c>
      <c r="B1810" s="129" t="s">
        <v>152</v>
      </c>
      <c r="C1810" s="62" t="s">
        <v>115</v>
      </c>
      <c r="D1810" s="62" t="s">
        <v>248</v>
      </c>
      <c r="F1810" s="129" t="s">
        <v>10384</v>
      </c>
      <c r="G1810" s="129" t="s">
        <v>10414</v>
      </c>
      <c r="H1810" s="151" t="s">
        <v>249</v>
      </c>
      <c r="I1810" s="153">
        <v>45758.0</v>
      </c>
      <c r="J1810" s="540">
        <v>45800.0</v>
      </c>
      <c r="K1810" s="159"/>
      <c r="L1810" s="129" t="s">
        <v>10386</v>
      </c>
      <c r="M1810" s="129" t="s">
        <v>10387</v>
      </c>
      <c r="N1810" s="129" t="s">
        <v>10388</v>
      </c>
      <c r="O1810" s="501">
        <v>5.0</v>
      </c>
      <c r="P1810" s="528" t="s">
        <v>10389</v>
      </c>
      <c r="Q1810" s="52" t="str">
        <f t="array" ref="Q1810"> if(iserror(MATCH(V1810, 'File Links'!C:C, 0)), "N/A", HYPERLINK(INDEX('File Links'!B:B, MATCH(P1810, 'File Links'!C:C, 0))))</f>
        <v>https://drive.google.com/file/d/1SAkzHUXu2em_LOpzZzUsNAbEmhFQYt6z/view?usp=drivesdk</v>
      </c>
      <c r="R1810" s="1697" t="s">
        <v>10181</v>
      </c>
      <c r="S1810" s="129" t="s">
        <v>10182</v>
      </c>
      <c r="T1810" s="1379"/>
      <c r="U1810" s="501">
        <v>9.0</v>
      </c>
      <c r="V1810" s="151" t="s">
        <v>10183</v>
      </c>
      <c r="W1810" s="303" t="s">
        <v>209</v>
      </c>
      <c r="X1810" s="54" t="str">
        <f t="array" ref="X1810"> if(iserror(MATCH(V1810, 'File Links'!C:C, 0)), "N/A", HYPERLINK(INDEX('File Links'!B:B, MATCH(V1810, 'File Links'!C:C, 0))))</f>
        <v>https://drive.google.com/file/d/1Irbmig3rfLDvz-G09jDAVwJvv1drYEqO/view?usp=drivesdk</v>
      </c>
      <c r="Y1810" s="68"/>
      <c r="Z1810" s="151" t="s">
        <v>2079</v>
      </c>
      <c r="AA1810" s="295" t="s">
        <v>10390</v>
      </c>
      <c r="AB1810" s="151" t="s">
        <v>10391</v>
      </c>
      <c r="AC1810" s="151" t="s">
        <v>10392</v>
      </c>
      <c r="AD1810" s="151" t="s">
        <v>10415</v>
      </c>
      <c r="AE1810" s="151" t="s">
        <v>10416</v>
      </c>
      <c r="AF1810" s="161">
        <v>160.0</v>
      </c>
      <c r="AG1810" s="161" t="s">
        <v>138</v>
      </c>
      <c r="AH1810" s="167" t="s">
        <v>138</v>
      </c>
      <c r="AI1810" s="151" t="s">
        <v>10417</v>
      </c>
      <c r="AJ1810" s="161">
        <v>0.2</v>
      </c>
      <c r="AK1810" s="151" t="s">
        <v>335</v>
      </c>
      <c r="AL1810" s="151" t="s">
        <v>186</v>
      </c>
      <c r="AM1810" s="129" t="s">
        <v>137</v>
      </c>
      <c r="AN1810" s="129" t="s">
        <v>138</v>
      </c>
      <c r="AO1810" s="161">
        <v>389.0</v>
      </c>
      <c r="AP1810" s="161">
        <v>0.0</v>
      </c>
      <c r="AQ1810" s="151" t="s">
        <v>874</v>
      </c>
      <c r="AR1810" s="151" t="s">
        <v>10418</v>
      </c>
      <c r="AS1810" s="161">
        <v>0.843</v>
      </c>
      <c r="AT1810" s="151" t="s">
        <v>172</v>
      </c>
      <c r="AU1810" s="151" t="s">
        <v>186</v>
      </c>
      <c r="AV1810" s="129" t="s">
        <v>137</v>
      </c>
      <c r="AW1810" s="1308" t="s">
        <v>10398</v>
      </c>
      <c r="AX1810" s="129" t="s">
        <v>143</v>
      </c>
      <c r="AY1810" s="61" t="str">
        <f>IFERROR(__xludf.DUMMYFUNCTION("vlookup(BB1810,importrange(""https://docs.google.com/spreadsheets/d/1d2vevQ_7D_v35q4wCQ4RpQ_IPoTwEMB9Yp6ymwlPqew/edit?gid=984458430#gid=984458430"", ""'replication success'!A:K""), 11, FAlSE)"),"failed")</f>
        <v>failed</v>
      </c>
      <c r="AZ1810" s="61" t="str">
        <f>IFERROR(__xludf.DUMMYFUNCTION("vlookup(BB1810,importrange(""https://docs.google.com/spreadsheets/d/1d2vevQ_7D_v35q4wCQ4RpQ_IPoTwEMB9Yp6ymwlPqew/edit?gid=984458430#gid=984458430"", ""'replication success'!A:M""), 12, FAlSE)"),"[Figure 1]")</f>
        <v>[Figure 1]</v>
      </c>
      <c r="BA1810" s="61" t="str">
        <f>IFERROR(__xludf.DUMMYFUNCTION("vlookup(BB1810,importrange(""https://docs.google.com/spreadsheets/d/1d2vevQ_7D_v35q4wCQ4RpQ_IPoTwEMB9Yp6ymwlPqew/edit?gid=984458430#gid=984458430"", ""'replication success'!A:M""), 13, FAlSE)"),"pg. 2")</f>
        <v>pg. 2</v>
      </c>
      <c r="BB1810" s="61" t="str">
        <f>IFERROR(__xludf.DUMMYFUNCTION("REGEXREPLACE(G1810, ""_[a-z]{1,2}$"", """")"),"OpenMKT16")</f>
        <v>OpenMKT16</v>
      </c>
      <c r="BD1810" s="287" t="s">
        <v>1270</v>
      </c>
    </row>
    <row r="1811">
      <c r="A1811" s="44">
        <v>1811.0</v>
      </c>
      <c r="B1811" s="129" t="s">
        <v>152</v>
      </c>
      <c r="C1811" s="62" t="s">
        <v>115</v>
      </c>
      <c r="D1811" s="62" t="s">
        <v>248</v>
      </c>
      <c r="F1811" s="129" t="s">
        <v>10384</v>
      </c>
      <c r="G1811" s="129" t="s">
        <v>10419</v>
      </c>
      <c r="H1811" s="151" t="s">
        <v>249</v>
      </c>
      <c r="I1811" s="153">
        <v>45758.0</v>
      </c>
      <c r="J1811" s="540">
        <v>45800.0</v>
      </c>
      <c r="K1811" s="159"/>
      <c r="L1811" s="129" t="s">
        <v>10386</v>
      </c>
      <c r="M1811" s="129" t="s">
        <v>10387</v>
      </c>
      <c r="N1811" s="129" t="s">
        <v>10388</v>
      </c>
      <c r="O1811" s="501">
        <v>5.0</v>
      </c>
      <c r="P1811" s="528" t="s">
        <v>10389</v>
      </c>
      <c r="Q1811" s="52" t="str">
        <f t="array" ref="Q1811"> if(iserror(MATCH(V1811, 'File Links'!C:C, 0)), "N/A", HYPERLINK(INDEX('File Links'!B:B, MATCH(P1811, 'File Links'!C:C, 0))))</f>
        <v>https://drive.google.com/file/d/1SAkzHUXu2em_LOpzZzUsNAbEmhFQYt6z/view?usp=drivesdk</v>
      </c>
      <c r="R1811" s="1697" t="s">
        <v>10181</v>
      </c>
      <c r="S1811" s="129" t="s">
        <v>10182</v>
      </c>
      <c r="T1811" s="1379"/>
      <c r="U1811" s="501">
        <v>9.0</v>
      </c>
      <c r="V1811" s="151" t="s">
        <v>10183</v>
      </c>
      <c r="W1811" s="303" t="s">
        <v>209</v>
      </c>
      <c r="X1811" s="54" t="str">
        <f t="array" ref="X1811"> if(iserror(MATCH(V1811, 'File Links'!C:C, 0)), "N/A", HYPERLINK(INDEX('File Links'!B:B, MATCH(V1811, 'File Links'!C:C, 0))))</f>
        <v>https://drive.google.com/file/d/1Irbmig3rfLDvz-G09jDAVwJvv1drYEqO/view?usp=drivesdk</v>
      </c>
      <c r="Y1811" s="68"/>
      <c r="Z1811" s="151" t="s">
        <v>2079</v>
      </c>
      <c r="AA1811" s="295" t="s">
        <v>10390</v>
      </c>
      <c r="AB1811" s="151" t="s">
        <v>10391</v>
      </c>
      <c r="AC1811" s="151" t="s">
        <v>10392</v>
      </c>
      <c r="AD1811" s="151" t="s">
        <v>10420</v>
      </c>
      <c r="AE1811" s="151" t="s">
        <v>10416</v>
      </c>
      <c r="AF1811" s="161">
        <v>160.0</v>
      </c>
      <c r="AG1811" s="161" t="s">
        <v>10421</v>
      </c>
      <c r="AH1811" s="151" t="s">
        <v>134</v>
      </c>
      <c r="AI1811" s="151" t="s">
        <v>10422</v>
      </c>
      <c r="AJ1811" s="161">
        <v>0.048</v>
      </c>
      <c r="AK1811" s="151" t="s">
        <v>172</v>
      </c>
      <c r="AL1811" s="151" t="s">
        <v>186</v>
      </c>
      <c r="AM1811" s="129" t="s">
        <v>137</v>
      </c>
      <c r="AN1811" s="129" t="s">
        <v>138</v>
      </c>
      <c r="AO1811" s="161">
        <v>389.0</v>
      </c>
      <c r="AP1811" s="161">
        <v>0.0</v>
      </c>
      <c r="AQ1811" s="151" t="s">
        <v>874</v>
      </c>
      <c r="AR1811" s="151" t="s">
        <v>10423</v>
      </c>
      <c r="AS1811" s="161">
        <v>0.945</v>
      </c>
      <c r="AT1811" s="151" t="s">
        <v>172</v>
      </c>
      <c r="AU1811" s="151" t="s">
        <v>186</v>
      </c>
      <c r="AV1811" s="129" t="s">
        <v>137</v>
      </c>
      <c r="AW1811" s="1308" t="s">
        <v>10398</v>
      </c>
      <c r="AX1811" s="129" t="s">
        <v>143</v>
      </c>
      <c r="AY1811" s="61" t="str">
        <f>IFERROR(__xludf.DUMMYFUNCTION("vlookup(BB1811,importrange(""https://docs.google.com/spreadsheets/d/1d2vevQ_7D_v35q4wCQ4RpQ_IPoTwEMB9Yp6ymwlPqew/edit?gid=984458430#gid=984458430"", ""'replication success'!A:K""), 11, FAlSE)"),"failed")</f>
        <v>failed</v>
      </c>
      <c r="AZ1811" s="61" t="str">
        <f>IFERROR(__xludf.DUMMYFUNCTION("vlookup(BB1811,importrange(""https://docs.google.com/spreadsheets/d/1d2vevQ_7D_v35q4wCQ4RpQ_IPoTwEMB9Yp6ymwlPqew/edit?gid=984458430#gid=984458430"", ""'replication success'!A:M""), 12, FAlSE)"),"[Figure 1]")</f>
        <v>[Figure 1]</v>
      </c>
      <c r="BA1811" s="61" t="str">
        <f>IFERROR(__xludf.DUMMYFUNCTION("vlookup(BB1811,importrange(""https://docs.google.com/spreadsheets/d/1d2vevQ_7D_v35q4wCQ4RpQ_IPoTwEMB9Yp6ymwlPqew/edit?gid=984458430#gid=984458430"", ""'replication success'!A:M""), 13, FAlSE)"),"pg. 2")</f>
        <v>pg. 2</v>
      </c>
      <c r="BB1811" s="61" t="str">
        <f>IFERROR(__xludf.DUMMYFUNCTION("REGEXREPLACE(G1811, ""_[a-z]{1,2}$"", """")"),"OpenMKT16")</f>
        <v>OpenMKT16</v>
      </c>
      <c r="BD1811" s="287" t="s">
        <v>1270</v>
      </c>
      <c r="BF1811" s="1815" t="s">
        <v>10424</v>
      </c>
    </row>
    <row r="1812" ht="21.0" customHeight="1">
      <c r="A1812" s="44">
        <v>1812.0</v>
      </c>
      <c r="B1812" s="371" t="s">
        <v>114</v>
      </c>
      <c r="C1812" s="531" t="s">
        <v>115</v>
      </c>
      <c r="D1812" s="531" t="s">
        <v>248</v>
      </c>
      <c r="E1812" s="532"/>
      <c r="F1812" s="371" t="s">
        <v>10384</v>
      </c>
      <c r="G1812" s="371" t="s">
        <v>10425</v>
      </c>
      <c r="H1812" s="380" t="s">
        <v>249</v>
      </c>
      <c r="I1812" s="1819">
        <v>45758.0</v>
      </c>
      <c r="J1812" s="1820">
        <v>45800.0</v>
      </c>
      <c r="K1812" s="481"/>
      <c r="L1812" s="371" t="s">
        <v>10426</v>
      </c>
      <c r="M1812" s="371" t="s">
        <v>10387</v>
      </c>
      <c r="N1812" s="371" t="s">
        <v>10388</v>
      </c>
      <c r="O1812" s="565">
        <v>5.0</v>
      </c>
      <c r="P1812" s="554" t="s">
        <v>10389</v>
      </c>
      <c r="Q1812" s="1821" t="str">
        <f t="array" ref="Q1812"> if(iserror(MATCH(V1812, 'File Links'!C:C, 0)), "N/A", HYPERLINK(INDEX('File Links'!B:B, MATCH(P1812, 'File Links'!C:C, 0))))</f>
        <v>https://drive.google.com/file/d/1SAkzHUXu2em_LOpzZzUsNAbEmhFQYt6z/view?usp=drivesdk</v>
      </c>
      <c r="R1812" s="1822" t="s">
        <v>10181</v>
      </c>
      <c r="S1812" s="371" t="s">
        <v>10182</v>
      </c>
      <c r="T1812" s="1823"/>
      <c r="U1812" s="565">
        <v>9.0</v>
      </c>
      <c r="V1812" s="380" t="s">
        <v>10183</v>
      </c>
      <c r="W1812" s="380" t="s">
        <v>209</v>
      </c>
      <c r="X1812" s="1824" t="str">
        <f t="array" ref="X1812"> if(iserror(MATCH(V1812, 'File Links'!C:C, 0)), "N/A", HYPERLINK(INDEX('File Links'!B:B, MATCH(V1812, 'File Links'!C:C, 0))))</f>
        <v>https://drive.google.com/file/d/1Irbmig3rfLDvz-G09jDAVwJvv1drYEqO/view?usp=drivesdk</v>
      </c>
      <c r="Y1812" s="542"/>
      <c r="Z1812" s="380" t="s">
        <v>2079</v>
      </c>
      <c r="AA1812" s="371" t="s">
        <v>10390</v>
      </c>
      <c r="AB1812" s="380" t="s">
        <v>10391</v>
      </c>
      <c r="AC1812" s="380" t="s">
        <v>10392</v>
      </c>
      <c r="AD1812" s="380" t="s">
        <v>10427</v>
      </c>
      <c r="AE1812" s="380" t="s">
        <v>2366</v>
      </c>
      <c r="AF1812" s="378">
        <v>160.0</v>
      </c>
      <c r="AG1812" s="378" t="s">
        <v>10428</v>
      </c>
      <c r="AH1812" s="151" t="s">
        <v>134</v>
      </c>
      <c r="AI1812" s="380" t="s">
        <v>2366</v>
      </c>
      <c r="AJ1812" s="378">
        <v>0.032</v>
      </c>
      <c r="AK1812" s="151" t="s">
        <v>172</v>
      </c>
      <c r="AL1812" s="151" t="s">
        <v>186</v>
      </c>
      <c r="AM1812" s="129" t="s">
        <v>137</v>
      </c>
      <c r="AN1812" s="129" t="s">
        <v>138</v>
      </c>
      <c r="AO1812" s="378">
        <v>389.0</v>
      </c>
      <c r="AP1812" s="378">
        <v>0.03</v>
      </c>
      <c r="AQ1812" s="380" t="s">
        <v>173</v>
      </c>
      <c r="AR1812" s="380" t="s">
        <v>2372</v>
      </c>
      <c r="AS1812" s="378">
        <v>0.862</v>
      </c>
      <c r="AT1812" s="151" t="s">
        <v>172</v>
      </c>
      <c r="AU1812" s="151" t="s">
        <v>186</v>
      </c>
      <c r="AV1812" s="129" t="s">
        <v>137</v>
      </c>
      <c r="AW1812" s="1308" t="s">
        <v>10398</v>
      </c>
      <c r="AX1812" s="129" t="s">
        <v>143</v>
      </c>
      <c r="AY1812" s="61" t="str">
        <f>IFERROR(__xludf.DUMMYFUNCTION("vlookup(BB1812,importrange(""https://docs.google.com/spreadsheets/d/1d2vevQ_7D_v35q4wCQ4RpQ_IPoTwEMB9Yp6ymwlPqew/edit?gid=984458430#gid=984458430"", ""'replication success'!A:K""), 11, FAlSE)"),"failed")</f>
        <v>failed</v>
      </c>
      <c r="AZ1812" s="61" t="str">
        <f>IFERROR(__xludf.DUMMYFUNCTION("vlookup(BB1812,importrange(""https://docs.google.com/spreadsheets/d/1d2vevQ_7D_v35q4wCQ4RpQ_IPoTwEMB9Yp6ymwlPqew/edit?gid=984458430#gid=984458430"", ""'replication success'!A:M""), 12, FAlSE)"),"[Figure 1]")</f>
        <v>[Figure 1]</v>
      </c>
      <c r="BA1812" s="61" t="str">
        <f>IFERROR(__xludf.DUMMYFUNCTION("vlookup(BB1812,importrange(""https://docs.google.com/spreadsheets/d/1d2vevQ_7D_v35q4wCQ4RpQ_IPoTwEMB9Yp6ymwlPqew/edit?gid=984458430#gid=984458430"", ""'replication success'!A:M""), 13, FAlSE)"),"pg. 2")</f>
        <v>pg. 2</v>
      </c>
      <c r="BB1812" s="61" t="str">
        <f>IFERROR(__xludf.DUMMYFUNCTION("REGEXREPLACE(G1812, ""_[a-z]{1,2}$"", """")"),"OpenMKT16")</f>
        <v>OpenMKT16</v>
      </c>
      <c r="BC1812" s="532"/>
      <c r="BD1812" s="287" t="s">
        <v>1270</v>
      </c>
      <c r="BE1812" s="532"/>
      <c r="BF1812" s="532"/>
      <c r="BG1812" s="532"/>
      <c r="BH1812" s="532"/>
      <c r="BI1812" s="532"/>
      <c r="BJ1812" s="532"/>
      <c r="BK1812" s="532"/>
      <c r="BL1812" s="532"/>
      <c r="BM1812" s="532"/>
      <c r="BN1812" s="532"/>
      <c r="BO1812" s="532"/>
      <c r="BP1812" s="532"/>
      <c r="BQ1812" s="532"/>
      <c r="BR1812" s="532"/>
      <c r="BS1812" s="532"/>
      <c r="BT1812" s="532"/>
      <c r="BU1812" s="532"/>
      <c r="BV1812" s="532"/>
      <c r="BW1812" s="532"/>
      <c r="BX1812" s="532"/>
      <c r="BY1812" s="532"/>
      <c r="BZ1812" s="532"/>
      <c r="CA1812" s="532"/>
      <c r="CB1812" s="532"/>
      <c r="CC1812" s="532"/>
      <c r="CD1812" s="532"/>
      <c r="CE1812" s="532"/>
      <c r="CF1812" s="532"/>
      <c r="CG1812" s="532"/>
      <c r="CH1812" s="532"/>
      <c r="CI1812" s="532"/>
      <c r="CJ1812" s="532"/>
      <c r="CK1812" s="532"/>
      <c r="CL1812" s="532"/>
      <c r="CM1812" s="532"/>
      <c r="CN1812" s="532"/>
      <c r="CO1812" s="532"/>
      <c r="CP1812" s="532"/>
      <c r="CQ1812" s="532"/>
      <c r="CR1812" s="532"/>
      <c r="CS1812" s="532"/>
      <c r="CT1812" s="532"/>
      <c r="CU1812" s="532"/>
      <c r="CV1812" s="532"/>
      <c r="CW1812" s="532"/>
      <c r="CX1812" s="532"/>
      <c r="CY1812" s="532"/>
      <c r="CZ1812" s="532"/>
      <c r="DA1812" s="532"/>
      <c r="DB1812" s="532"/>
      <c r="DC1812" s="532"/>
      <c r="DD1812" s="532"/>
      <c r="DE1812" s="532"/>
      <c r="DF1812" s="532"/>
      <c r="DG1812" s="532"/>
      <c r="DH1812" s="532"/>
      <c r="DI1812" s="532"/>
      <c r="DJ1812" s="532"/>
      <c r="DK1812" s="532"/>
      <c r="DL1812" s="532"/>
    </row>
    <row r="1813">
      <c r="A1813" s="44">
        <v>1813.0</v>
      </c>
      <c r="B1813" s="129" t="s">
        <v>114</v>
      </c>
      <c r="C1813" s="62" t="s">
        <v>115</v>
      </c>
      <c r="D1813" s="62" t="s">
        <v>248</v>
      </c>
      <c r="F1813" s="129" t="s">
        <v>10429</v>
      </c>
      <c r="G1813" s="129" t="s">
        <v>10429</v>
      </c>
      <c r="H1813" s="151" t="s">
        <v>249</v>
      </c>
      <c r="I1813" s="153">
        <v>45755.0</v>
      </c>
      <c r="J1813" s="1786">
        <v>45765.0</v>
      </c>
      <c r="K1813" s="151" t="s">
        <v>10430</v>
      </c>
      <c r="L1813" s="129" t="s">
        <v>10431</v>
      </c>
      <c r="M1813" s="129" t="s">
        <v>10432</v>
      </c>
      <c r="N1813" s="129" t="s">
        <v>10433</v>
      </c>
      <c r="O1813" s="501" t="s">
        <v>4092</v>
      </c>
      <c r="P1813" s="528" t="s">
        <v>10434</v>
      </c>
      <c r="Q1813" s="108" t="str">
        <f t="array" ref="Q1813"> if(iserror(MATCH(V1813, 'File Links'!C:C, 0)), "N/A", HYPERLINK(INDEX('File Links'!B:B, MATCH(P1813, 'File Links'!C:C, 0))))</f>
        <v>N/A</v>
      </c>
      <c r="R1813" s="1697" t="s">
        <v>10052</v>
      </c>
      <c r="S1813" s="129" t="s">
        <v>10053</v>
      </c>
      <c r="T1813" s="1379"/>
      <c r="U1813" s="336"/>
      <c r="V1813" s="151" t="s">
        <v>10054</v>
      </c>
      <c r="W1813" s="159"/>
      <c r="X1813" s="49" t="str">
        <f t="array" ref="X1813"> if(iserror(MATCH(V1813, 'File Links'!C:C, 0)), "N/A", HYPERLINK(INDEX('File Links'!B:B, MATCH(V1813, 'File Links'!C:C, 0))))</f>
        <v>N/A</v>
      </c>
      <c r="Y1813" s="68"/>
      <c r="Z1813" s="151" t="s">
        <v>2079</v>
      </c>
      <c r="AA1813" s="371" t="s">
        <v>10055</v>
      </c>
      <c r="AB1813" s="151" t="s">
        <v>10435</v>
      </c>
      <c r="AC1813" s="151" t="s">
        <v>10436</v>
      </c>
      <c r="AD1813" s="151" t="s">
        <v>10437</v>
      </c>
      <c r="AE1813" s="151" t="s">
        <v>507</v>
      </c>
      <c r="AF1813" s="161">
        <v>368.0</v>
      </c>
      <c r="AG1813" s="161" t="s">
        <v>10438</v>
      </c>
      <c r="AH1813" s="151" t="s">
        <v>134</v>
      </c>
      <c r="AI1813" s="151" t="s">
        <v>10439</v>
      </c>
      <c r="AJ1813" s="161">
        <v>0.001</v>
      </c>
      <c r="AK1813" s="151" t="s">
        <v>135</v>
      </c>
      <c r="AL1813" s="1784" t="s">
        <v>186</v>
      </c>
      <c r="AM1813" s="129" t="s">
        <v>137</v>
      </c>
      <c r="AN1813" s="129" t="s">
        <v>138</v>
      </c>
      <c r="AO1813" s="161">
        <v>823.0</v>
      </c>
      <c r="AP1813" s="161">
        <v>0.063</v>
      </c>
      <c r="AQ1813" s="151" t="s">
        <v>874</v>
      </c>
      <c r="AR1813" s="151" t="s">
        <v>10440</v>
      </c>
      <c r="AS1813" s="161">
        <v>0.001</v>
      </c>
      <c r="AT1813" s="151" t="s">
        <v>135</v>
      </c>
      <c r="AU1813" s="151" t="s">
        <v>186</v>
      </c>
      <c r="AV1813" s="129" t="s">
        <v>137</v>
      </c>
      <c r="AW1813" s="1796" t="s">
        <v>10062</v>
      </c>
      <c r="AX1813" s="129" t="s">
        <v>143</v>
      </c>
      <c r="AY1813" s="61" t="str">
        <f>IFERROR(__xludf.DUMMYFUNCTION("vlookup(BB1813,importrange(""https://docs.google.com/spreadsheets/d/1d2vevQ_7D_v35q4wCQ4RpQ_IPoTwEMB9Yp6ymwlPqew/edit?gid=984458430#gid=984458430"", ""'replication success'!A:K""), 11, FAlSE)"),"#N/A")</f>
        <v>#N/A</v>
      </c>
      <c r="AZ1813" s="61" t="str">
        <f>IFERROR(__xludf.DUMMYFUNCTION("vlookup(BB1813,importrange(""https://docs.google.com/spreadsheets/d/1d2vevQ_7D_v35q4wCQ4RpQ_IPoTwEMB9Yp6ymwlPqew/edit?gid=984458430#gid=984458430"", ""'replication success'!A:M""), 12, FAlSE)"),"#N/A")</f>
        <v>#N/A</v>
      </c>
      <c r="BA1813" s="61" t="str">
        <f>IFERROR(__xludf.DUMMYFUNCTION("vlookup(BB1813,importrange(""https://docs.google.com/spreadsheets/d/1d2vevQ_7D_v35q4wCQ4RpQ_IPoTwEMB9Yp6ymwlPqew/edit?gid=984458430#gid=984458430"", ""'replication success'!A:M""), 13, FAlSE)"),"#N/A")</f>
        <v>#N/A</v>
      </c>
      <c r="BB1813" s="61" t="str">
        <f>IFERROR(__xludf.DUMMYFUNCTION("REGEXREPLACE(G1813, ""_[a-z]{1,2}$"", """")"),"OpenMKT2_1")</f>
        <v>OpenMKT2_1</v>
      </c>
      <c r="BD1813" s="1782" t="s">
        <v>7943</v>
      </c>
    </row>
    <row r="1814">
      <c r="A1814" s="44">
        <v>1814.0</v>
      </c>
      <c r="B1814" s="129" t="s">
        <v>152</v>
      </c>
      <c r="C1814" s="62" t="s">
        <v>115</v>
      </c>
      <c r="D1814" s="62" t="s">
        <v>145</v>
      </c>
      <c r="F1814" s="129" t="s">
        <v>10429</v>
      </c>
      <c r="G1814" s="129" t="s">
        <v>10441</v>
      </c>
      <c r="H1814" s="151" t="s">
        <v>10123</v>
      </c>
      <c r="I1814" s="153">
        <v>45758.0</v>
      </c>
      <c r="J1814" s="1786">
        <v>45765.0</v>
      </c>
      <c r="K1814" s="151" t="s">
        <v>10442</v>
      </c>
      <c r="L1814" s="129" t="s">
        <v>10443</v>
      </c>
      <c r="M1814" s="129" t="s">
        <v>10432</v>
      </c>
      <c r="N1814" s="129" t="s">
        <v>10433</v>
      </c>
      <c r="O1814" s="501" t="s">
        <v>10444</v>
      </c>
      <c r="P1814" s="528" t="s">
        <v>10434</v>
      </c>
      <c r="Q1814" s="108" t="str">
        <f t="array" ref="Q1814"> if(iserror(MATCH(V1814, 'File Links'!C:C, 0)), "N/A", HYPERLINK(INDEX('File Links'!B:B, MATCH(P1814, 'File Links'!C:C, 0))))</f>
        <v>N/A</v>
      </c>
      <c r="R1814" s="1697" t="s">
        <v>10052</v>
      </c>
      <c r="S1814" s="129" t="s">
        <v>10053</v>
      </c>
      <c r="T1814" s="1379"/>
      <c r="U1814" s="336"/>
      <c r="V1814" s="151" t="s">
        <v>10054</v>
      </c>
      <c r="W1814" s="159"/>
      <c r="X1814" s="49" t="str">
        <f t="array" ref="X1814"> if(iserror(MATCH(V1814, 'File Links'!C:C, 0)), "N/A", HYPERLINK(INDEX('File Links'!B:B, MATCH(V1814, 'File Links'!C:C, 0))))</f>
        <v>N/A</v>
      </c>
      <c r="Y1814" s="68"/>
      <c r="Z1814" s="151" t="s">
        <v>2079</v>
      </c>
      <c r="AA1814" s="371" t="s">
        <v>10055</v>
      </c>
      <c r="AB1814" s="151" t="s">
        <v>10445</v>
      </c>
      <c r="AC1814" s="151" t="s">
        <v>10446</v>
      </c>
      <c r="AD1814" s="151" t="s">
        <v>10447</v>
      </c>
      <c r="AE1814" s="151">
        <v>3.0</v>
      </c>
      <c r="AF1814" s="161">
        <v>368.0</v>
      </c>
      <c r="AG1814" s="1795" t="s">
        <v>10438</v>
      </c>
      <c r="AH1814" s="151" t="s">
        <v>134</v>
      </c>
      <c r="AI1814" s="151" t="s">
        <v>217</v>
      </c>
      <c r="AJ1814" s="161">
        <v>0.001</v>
      </c>
      <c r="AK1814" s="151" t="s">
        <v>135</v>
      </c>
      <c r="AL1814" s="151" t="s">
        <v>186</v>
      </c>
      <c r="AM1814" s="129" t="s">
        <v>137</v>
      </c>
      <c r="AN1814" s="129" t="s">
        <v>1535</v>
      </c>
      <c r="AO1814" s="161">
        <v>823.0</v>
      </c>
      <c r="AP1814" s="1795">
        <v>0.251</v>
      </c>
      <c r="AQ1814" s="151" t="s">
        <v>215</v>
      </c>
      <c r="AR1814" s="151" t="s">
        <v>10448</v>
      </c>
      <c r="AS1814" s="1795">
        <v>0.001</v>
      </c>
      <c r="AT1814" s="151" t="s">
        <v>135</v>
      </c>
      <c r="AU1814" s="151" t="s">
        <v>186</v>
      </c>
      <c r="AV1814" s="129" t="s">
        <v>137</v>
      </c>
      <c r="AW1814" s="1308" t="s">
        <v>10062</v>
      </c>
      <c r="AX1814" s="129" t="s">
        <v>143</v>
      </c>
      <c r="AY1814" s="61" t="str">
        <f>IFERROR(__xludf.DUMMYFUNCTION("vlookup(BB1814,importrange(""https://docs.google.com/spreadsheets/d/1d2vevQ_7D_v35q4wCQ4RpQ_IPoTwEMB9Yp6ymwlPqew/edit?gid=984458430#gid=984458430"", ""'replication success'!A:K""), 11, FAlSE)"),"successful")</f>
        <v>successful</v>
      </c>
      <c r="AZ1814" s="61" t="str">
        <f>IFERROR(__xludf.DUMMYFUNCTION("vlookup(BB1814,importrange(""https://docs.google.com/spreadsheets/d/1d2vevQ_7D_v35q4wCQ4RpQ_IPoTwEMB9Yp6ymwlPqew/edit?gid=984458430#gid=984458430"", ""'replication success'!A:M""), 12, FAlSE)"),"Thus, we successfully replicated the previous findings (Table 3).")</f>
        <v>Thus, we successfully replicated the previous findings (Table 3).</v>
      </c>
      <c r="BA1814" s="61" t="str">
        <f>IFERROR(__xludf.DUMMYFUNCTION("vlookup(BB1814,importrange(""https://docs.google.com/spreadsheets/d/1d2vevQ_7D_v35q4wCQ4RpQ_IPoTwEMB9Yp6ymwlPqew/edit?gid=984458430#gid=984458430"", ""'replication success'!A:M""), 13, FAlSE)"),"pg. 5")</f>
        <v>pg. 5</v>
      </c>
      <c r="BB1814" s="61" t="str">
        <f>IFERROR(__xludf.DUMMYFUNCTION("REGEXREPLACE(G1814, ""_[a-z]{1,2}$"", """")"),"OpenMKT2")</f>
        <v>OpenMKT2</v>
      </c>
      <c r="BD1814" s="1782" t="s">
        <v>7943</v>
      </c>
    </row>
    <row r="1815">
      <c r="A1815" s="44">
        <v>1815.0</v>
      </c>
      <c r="B1815" s="129" t="s">
        <v>114</v>
      </c>
      <c r="C1815" s="62" t="s">
        <v>115</v>
      </c>
      <c r="D1815" s="62" t="s">
        <v>248</v>
      </c>
      <c r="F1815" s="129" t="s">
        <v>10449</v>
      </c>
      <c r="G1815" s="129" t="s">
        <v>10449</v>
      </c>
      <c r="H1815" s="151" t="s">
        <v>249</v>
      </c>
      <c r="I1815" s="153">
        <v>45755.0</v>
      </c>
      <c r="J1815" s="1786">
        <v>45765.0</v>
      </c>
      <c r="K1815" s="151" t="s">
        <v>10450</v>
      </c>
      <c r="L1815" s="129" t="s">
        <v>10451</v>
      </c>
      <c r="M1815" s="129" t="s">
        <v>10452</v>
      </c>
      <c r="N1815" s="129" t="s">
        <v>10433</v>
      </c>
      <c r="O1815" s="501" t="s">
        <v>5535</v>
      </c>
      <c r="P1815" s="528" t="s">
        <v>10434</v>
      </c>
      <c r="Q1815" s="108" t="str">
        <f t="array" ref="Q1815"> if(iserror(MATCH(V1815, 'File Links'!C:C, 0)), "N/A", HYPERLINK(INDEX('File Links'!B:B, MATCH(P1815, 'File Links'!C:C, 0))))</f>
        <v>N/A</v>
      </c>
      <c r="R1815" s="1697" t="s">
        <v>10052</v>
      </c>
      <c r="S1815" s="129" t="s">
        <v>10053</v>
      </c>
      <c r="T1815" s="1379"/>
      <c r="U1815" s="336"/>
      <c r="V1815" s="151" t="s">
        <v>10054</v>
      </c>
      <c r="W1815" s="159"/>
      <c r="X1815" s="49" t="str">
        <f t="array" ref="X1815"> if(iserror(MATCH(V1815, 'File Links'!C:C, 0)), "N/A", HYPERLINK(INDEX('File Links'!B:B, MATCH(V1815, 'File Links'!C:C, 0))))</f>
        <v>N/A</v>
      </c>
      <c r="Y1815" s="68"/>
      <c r="Z1815" s="151" t="s">
        <v>2079</v>
      </c>
      <c r="AA1815" s="371" t="s">
        <v>10055</v>
      </c>
      <c r="AB1815" s="151" t="s">
        <v>10435</v>
      </c>
      <c r="AC1815" s="151" t="s">
        <v>10453</v>
      </c>
      <c r="AD1815" s="151" t="s">
        <v>10454</v>
      </c>
      <c r="AE1815" s="151" t="s">
        <v>507</v>
      </c>
      <c r="AF1815" s="161">
        <v>189.0</v>
      </c>
      <c r="AG1815" s="161" t="s">
        <v>10455</v>
      </c>
      <c r="AH1815" s="151" t="s">
        <v>134</v>
      </c>
      <c r="AI1815" s="151" t="s">
        <v>10456</v>
      </c>
      <c r="AJ1815" s="161">
        <v>0.001</v>
      </c>
      <c r="AK1815" s="151" t="s">
        <v>135</v>
      </c>
      <c r="AL1815" s="151" t="s">
        <v>218</v>
      </c>
      <c r="AM1815" s="129" t="s">
        <v>137</v>
      </c>
      <c r="AN1815" s="129" t="s">
        <v>138</v>
      </c>
      <c r="AO1815" s="161">
        <v>823.0</v>
      </c>
      <c r="AP1815" s="161">
        <v>0.011</v>
      </c>
      <c r="AQ1815" s="151" t="s">
        <v>874</v>
      </c>
      <c r="AR1815" s="151" t="s">
        <v>10457</v>
      </c>
      <c r="AS1815" s="161">
        <v>0.03</v>
      </c>
      <c r="AT1815" s="151" t="s">
        <v>172</v>
      </c>
      <c r="AU1815" s="151" t="s">
        <v>186</v>
      </c>
      <c r="AV1815" s="129" t="s">
        <v>137</v>
      </c>
      <c r="AW1815" s="1796" t="s">
        <v>10062</v>
      </c>
      <c r="AX1815" s="129" t="s">
        <v>143</v>
      </c>
      <c r="AY1815" s="61" t="str">
        <f>IFERROR(__xludf.DUMMYFUNCTION("vlookup(BB1815,importrange(""https://docs.google.com/spreadsheets/d/1d2vevQ_7D_v35q4wCQ4RpQ_IPoTwEMB9Yp6ymwlPqew/edit?gid=984458430#gid=984458430"", ""'replication success'!A:K""), 11, FAlSE)"),"#N/A")</f>
        <v>#N/A</v>
      </c>
      <c r="AZ1815" s="61" t="str">
        <f>IFERROR(__xludf.DUMMYFUNCTION("vlookup(BB1815,importrange(""https://docs.google.com/spreadsheets/d/1d2vevQ_7D_v35q4wCQ4RpQ_IPoTwEMB9Yp6ymwlPqew/edit?gid=984458430#gid=984458430"", ""'replication success'!A:M""), 12, FAlSE)"),"#N/A")</f>
        <v>#N/A</v>
      </c>
      <c r="BA1815" s="61" t="str">
        <f>IFERROR(__xludf.DUMMYFUNCTION("vlookup(BB1815,importrange(""https://docs.google.com/spreadsheets/d/1d2vevQ_7D_v35q4wCQ4RpQ_IPoTwEMB9Yp6ymwlPqew/edit?gid=984458430#gid=984458430"", ""'replication success'!A:M""), 13, FAlSE)"),"#N/A")</f>
        <v>#N/A</v>
      </c>
      <c r="BB1815" s="61" t="str">
        <f>IFERROR(__xludf.DUMMYFUNCTION("REGEXREPLACE(G1815, ""_[a-z]{1,2}$"", """")"),"OpenMKT2_2")</f>
        <v>OpenMKT2_2</v>
      </c>
      <c r="BD1815" s="1782" t="s">
        <v>7943</v>
      </c>
    </row>
    <row r="1816">
      <c r="A1816" s="44">
        <v>1816.0</v>
      </c>
      <c r="B1816" s="129" t="s">
        <v>152</v>
      </c>
      <c r="C1816" s="62" t="s">
        <v>115</v>
      </c>
      <c r="D1816" s="62" t="s">
        <v>145</v>
      </c>
      <c r="F1816" s="129" t="s">
        <v>10449</v>
      </c>
      <c r="G1816" s="129" t="s">
        <v>10458</v>
      </c>
      <c r="H1816" s="151" t="s">
        <v>10123</v>
      </c>
      <c r="I1816" s="153">
        <v>45758.0</v>
      </c>
      <c r="J1816" s="1786">
        <v>45765.0</v>
      </c>
      <c r="K1816" s="159"/>
      <c r="L1816" s="129" t="s">
        <v>10443</v>
      </c>
      <c r="M1816" s="129" t="s">
        <v>10452</v>
      </c>
      <c r="N1816" s="129" t="s">
        <v>10433</v>
      </c>
      <c r="O1816" s="501" t="s">
        <v>10444</v>
      </c>
      <c r="P1816" s="528" t="s">
        <v>10434</v>
      </c>
      <c r="Q1816" s="108" t="str">
        <f t="array" ref="Q1816"> if(iserror(MATCH(V1816, 'File Links'!C:C, 0)), "N/A", HYPERLINK(INDEX('File Links'!B:B, MATCH(P1816, 'File Links'!C:C, 0))))</f>
        <v>N/A</v>
      </c>
      <c r="R1816" s="1697" t="s">
        <v>10052</v>
      </c>
      <c r="S1816" s="129" t="s">
        <v>10053</v>
      </c>
      <c r="T1816" s="1379"/>
      <c r="U1816" s="336"/>
      <c r="V1816" s="151" t="s">
        <v>10054</v>
      </c>
      <c r="W1816" s="159"/>
      <c r="X1816" s="49" t="str">
        <f t="array" ref="X1816"> if(iserror(MATCH(V1816, 'File Links'!C:C, 0)), "N/A", HYPERLINK(INDEX('File Links'!B:B, MATCH(V1816, 'File Links'!C:C, 0))))</f>
        <v>N/A</v>
      </c>
      <c r="Y1816" s="68"/>
      <c r="Z1816" s="151" t="s">
        <v>2079</v>
      </c>
      <c r="AA1816" s="371" t="s">
        <v>10055</v>
      </c>
      <c r="AB1816" s="151" t="s">
        <v>10445</v>
      </c>
      <c r="AC1816" s="151" t="s">
        <v>10459</v>
      </c>
      <c r="AD1816" s="151" t="s">
        <v>10460</v>
      </c>
      <c r="AE1816" s="151">
        <v>3.0</v>
      </c>
      <c r="AF1816" s="161">
        <v>189.0</v>
      </c>
      <c r="AG1816" s="1795" t="s">
        <v>10455</v>
      </c>
      <c r="AH1816" s="151" t="s">
        <v>134</v>
      </c>
      <c r="AI1816" s="151" t="s">
        <v>217</v>
      </c>
      <c r="AJ1816" s="161">
        <v>0.001</v>
      </c>
      <c r="AK1816" s="151" t="s">
        <v>135</v>
      </c>
      <c r="AL1816" s="151" t="s">
        <v>218</v>
      </c>
      <c r="AM1816" s="129" t="s">
        <v>137</v>
      </c>
      <c r="AN1816" s="129" t="s">
        <v>1535</v>
      </c>
      <c r="AO1816" s="161">
        <v>823.0</v>
      </c>
      <c r="AP1816" s="1795">
        <v>0.106</v>
      </c>
      <c r="AQ1816" s="151" t="s">
        <v>215</v>
      </c>
      <c r="AR1816" s="151" t="s">
        <v>10448</v>
      </c>
      <c r="AS1816" s="1795">
        <v>0.03</v>
      </c>
      <c r="AT1816" s="151" t="s">
        <v>172</v>
      </c>
      <c r="AU1816" s="151" t="s">
        <v>186</v>
      </c>
      <c r="AV1816" s="129" t="s">
        <v>137</v>
      </c>
      <c r="AW1816" s="1308" t="s">
        <v>10062</v>
      </c>
      <c r="AX1816" s="129" t="s">
        <v>143</v>
      </c>
      <c r="AY1816" s="61" t="str">
        <f>IFERROR(__xludf.DUMMYFUNCTION("vlookup(BB1816,importrange(""https://docs.google.com/spreadsheets/d/1d2vevQ_7D_v35q4wCQ4RpQ_IPoTwEMB9Yp6ymwlPqew/edit?gid=984458430#gid=984458430"", ""'replication success'!A:K""), 11, FAlSE)"),"successful")</f>
        <v>successful</v>
      </c>
      <c r="AZ1816" s="61" t="str">
        <f>IFERROR(__xludf.DUMMYFUNCTION("vlookup(BB1816,importrange(""https://docs.google.com/spreadsheets/d/1d2vevQ_7D_v35q4wCQ4RpQ_IPoTwEMB9Yp6ymwlPqew/edit?gid=984458430#gid=984458430"", ""'replication success'!A:M""), 12, FAlSE)"),"Thus, we successfully replicated the previous findings (Table 3).")</f>
        <v>Thus, we successfully replicated the previous findings (Table 3).</v>
      </c>
      <c r="BA1816" s="61" t="str">
        <f>IFERROR(__xludf.DUMMYFUNCTION("vlookup(BB1816,importrange(""https://docs.google.com/spreadsheets/d/1d2vevQ_7D_v35q4wCQ4RpQ_IPoTwEMB9Yp6ymwlPqew/edit?gid=984458430#gid=984458430"", ""'replication success'!A:M""), 13, FAlSE)"),"pg. 5")</f>
        <v>pg. 5</v>
      </c>
      <c r="BB1816" s="61" t="str">
        <f>IFERROR(__xludf.DUMMYFUNCTION("REGEXREPLACE(G1816, ""_[a-z]{1,2}$"", """")"),"OpenMKT2")</f>
        <v>OpenMKT2</v>
      </c>
      <c r="BD1816" s="1782" t="s">
        <v>7943</v>
      </c>
    </row>
    <row r="1817">
      <c r="A1817" s="44">
        <v>1817.0</v>
      </c>
      <c r="B1817" s="129" t="s">
        <v>114</v>
      </c>
      <c r="C1817" s="62" t="s">
        <v>115</v>
      </c>
      <c r="D1817" s="62" t="s">
        <v>248</v>
      </c>
      <c r="F1817" s="129" t="s">
        <v>10461</v>
      </c>
      <c r="G1817" s="129" t="s">
        <v>10461</v>
      </c>
      <c r="H1817" s="151" t="s">
        <v>249</v>
      </c>
      <c r="I1817" s="153">
        <v>45755.0</v>
      </c>
      <c r="J1817" s="1786">
        <v>45765.0</v>
      </c>
      <c r="K1817" s="151" t="s">
        <v>10462</v>
      </c>
      <c r="L1817" s="129" t="s">
        <v>10451</v>
      </c>
      <c r="M1817" s="129" t="s">
        <v>10452</v>
      </c>
      <c r="N1817" s="129" t="s">
        <v>10433</v>
      </c>
      <c r="O1817" s="501" t="s">
        <v>1554</v>
      </c>
      <c r="P1817" s="528" t="s">
        <v>10434</v>
      </c>
      <c r="Q1817" s="108" t="str">
        <f t="array" ref="Q1817"> if(iserror(MATCH(V1817, 'File Links'!C:C, 0)), "N/A", HYPERLINK(INDEX('File Links'!B:B, MATCH(P1817, 'File Links'!C:C, 0))))</f>
        <v>N/A</v>
      </c>
      <c r="R1817" s="1697" t="s">
        <v>10052</v>
      </c>
      <c r="S1817" s="129" t="s">
        <v>10053</v>
      </c>
      <c r="T1817" s="1379"/>
      <c r="U1817" s="336"/>
      <c r="V1817" s="151" t="s">
        <v>10054</v>
      </c>
      <c r="W1817" s="159"/>
      <c r="X1817" s="49" t="str">
        <f t="array" ref="X1817"> if(iserror(MATCH(V1817, 'File Links'!C:C, 0)), "N/A", HYPERLINK(INDEX('File Links'!B:B, MATCH(V1817, 'File Links'!C:C, 0))))</f>
        <v>N/A</v>
      </c>
      <c r="Y1817" s="68"/>
      <c r="Z1817" s="151" t="s">
        <v>2079</v>
      </c>
      <c r="AA1817" s="371" t="s">
        <v>10055</v>
      </c>
      <c r="AB1817" s="151" t="s">
        <v>10435</v>
      </c>
      <c r="AC1817" s="151" t="s">
        <v>10463</v>
      </c>
      <c r="AD1817" s="151" t="s">
        <v>10464</v>
      </c>
      <c r="AE1817" s="151" t="s">
        <v>507</v>
      </c>
      <c r="AF1817" s="161">
        <v>186.0</v>
      </c>
      <c r="AG1817" s="161" t="s">
        <v>10465</v>
      </c>
      <c r="AH1817" s="151" t="s">
        <v>134</v>
      </c>
      <c r="AI1817" s="151" t="s">
        <v>10466</v>
      </c>
      <c r="AJ1817" s="161">
        <v>0.001</v>
      </c>
      <c r="AK1817" s="151" t="s">
        <v>135</v>
      </c>
      <c r="AL1817" s="151" t="s">
        <v>218</v>
      </c>
      <c r="AM1817" s="129" t="s">
        <v>137</v>
      </c>
      <c r="AN1817" s="129" t="s">
        <v>138</v>
      </c>
      <c r="AO1817" s="161">
        <v>823.0</v>
      </c>
      <c r="AP1817" s="161">
        <v>0.149</v>
      </c>
      <c r="AQ1817" s="151" t="s">
        <v>874</v>
      </c>
      <c r="AR1817" s="151" t="s">
        <v>10467</v>
      </c>
      <c r="AS1817" s="161">
        <v>0.001</v>
      </c>
      <c r="AT1817" s="151" t="s">
        <v>135</v>
      </c>
      <c r="AU1817" s="151" t="s">
        <v>186</v>
      </c>
      <c r="AV1817" s="129" t="s">
        <v>137</v>
      </c>
      <c r="AW1817" s="1796" t="s">
        <v>10062</v>
      </c>
      <c r="AX1817" s="129" t="s">
        <v>143</v>
      </c>
      <c r="AY1817" s="61" t="str">
        <f>IFERROR(__xludf.DUMMYFUNCTION("vlookup(BB1817,importrange(""https://docs.google.com/spreadsheets/d/1d2vevQ_7D_v35q4wCQ4RpQ_IPoTwEMB9Yp6ymwlPqew/edit?gid=984458430#gid=984458430"", ""'replication success'!A:K""), 11, FAlSE)"),"#N/A")</f>
        <v>#N/A</v>
      </c>
      <c r="AZ1817" s="61" t="str">
        <f>IFERROR(__xludf.DUMMYFUNCTION("vlookup(BB1817,importrange(""https://docs.google.com/spreadsheets/d/1d2vevQ_7D_v35q4wCQ4RpQ_IPoTwEMB9Yp6ymwlPqew/edit?gid=984458430#gid=984458430"", ""'replication success'!A:M""), 12, FAlSE)"),"#N/A")</f>
        <v>#N/A</v>
      </c>
      <c r="BA1817" s="61" t="str">
        <f>IFERROR(__xludf.DUMMYFUNCTION("vlookup(BB1817,importrange(""https://docs.google.com/spreadsheets/d/1d2vevQ_7D_v35q4wCQ4RpQ_IPoTwEMB9Yp6ymwlPqew/edit?gid=984458430#gid=984458430"", ""'replication success'!A:M""), 13, FAlSE)"),"#N/A")</f>
        <v>#N/A</v>
      </c>
      <c r="BB1817" s="61" t="str">
        <f>IFERROR(__xludf.DUMMYFUNCTION("REGEXREPLACE(G1817, ""_[a-z]{1,2}$"", """")"),"OpenMKT2_3")</f>
        <v>OpenMKT2_3</v>
      </c>
      <c r="BD1817" s="1782" t="s">
        <v>7943</v>
      </c>
    </row>
    <row r="1818">
      <c r="A1818" s="44">
        <v>1818.0</v>
      </c>
      <c r="B1818" s="129" t="s">
        <v>152</v>
      </c>
      <c r="C1818" s="62" t="s">
        <v>115</v>
      </c>
      <c r="D1818" s="62" t="s">
        <v>145</v>
      </c>
      <c r="F1818" s="129" t="s">
        <v>10461</v>
      </c>
      <c r="G1818" s="129" t="s">
        <v>10468</v>
      </c>
      <c r="H1818" s="151" t="s">
        <v>10123</v>
      </c>
      <c r="I1818" s="153">
        <v>45758.0</v>
      </c>
      <c r="J1818" s="1786">
        <v>45765.0</v>
      </c>
      <c r="K1818" s="159"/>
      <c r="L1818" s="129" t="s">
        <v>10443</v>
      </c>
      <c r="M1818" s="129" t="s">
        <v>10452</v>
      </c>
      <c r="N1818" s="129" t="s">
        <v>10433</v>
      </c>
      <c r="O1818" s="501" t="s">
        <v>10444</v>
      </c>
      <c r="P1818" s="528" t="s">
        <v>10434</v>
      </c>
      <c r="Q1818" s="108" t="str">
        <f t="array" ref="Q1818"> if(iserror(MATCH(V1818, 'File Links'!C:C, 0)), "N/A", HYPERLINK(INDEX('File Links'!B:B, MATCH(P1818, 'File Links'!C:C, 0))))</f>
        <v>N/A</v>
      </c>
      <c r="R1818" s="1697" t="s">
        <v>10052</v>
      </c>
      <c r="S1818" s="129" t="s">
        <v>10053</v>
      </c>
      <c r="T1818" s="1379"/>
      <c r="U1818" s="336"/>
      <c r="V1818" s="151" t="s">
        <v>10054</v>
      </c>
      <c r="W1818" s="159"/>
      <c r="X1818" s="49" t="str">
        <f t="array" ref="X1818"> if(iserror(MATCH(V1818, 'File Links'!C:C, 0)), "N/A", HYPERLINK(INDEX('File Links'!B:B, MATCH(V1818, 'File Links'!C:C, 0))))</f>
        <v>N/A</v>
      </c>
      <c r="Y1818" s="68"/>
      <c r="Z1818" s="151" t="s">
        <v>2079</v>
      </c>
      <c r="AA1818" s="371" t="s">
        <v>10055</v>
      </c>
      <c r="AB1818" s="151" t="s">
        <v>10445</v>
      </c>
      <c r="AC1818" s="151" t="s">
        <v>10469</v>
      </c>
      <c r="AD1818" s="151" t="s">
        <v>10470</v>
      </c>
      <c r="AE1818" s="151">
        <v>3.0</v>
      </c>
      <c r="AF1818" s="161">
        <v>186.0</v>
      </c>
      <c r="AG1818" s="1795" t="s">
        <v>10465</v>
      </c>
      <c r="AH1818" s="151" t="s">
        <v>134</v>
      </c>
      <c r="AI1818" s="151" t="s">
        <v>217</v>
      </c>
      <c r="AJ1818" s="161">
        <v>0.001</v>
      </c>
      <c r="AK1818" s="151" t="s">
        <v>135</v>
      </c>
      <c r="AL1818" s="151" t="s">
        <v>218</v>
      </c>
      <c r="AM1818" s="129" t="s">
        <v>137</v>
      </c>
      <c r="AN1818" s="129" t="s">
        <v>1535</v>
      </c>
      <c r="AO1818" s="161">
        <v>823.0</v>
      </c>
      <c r="AP1818" s="1795">
        <v>0.387</v>
      </c>
      <c r="AQ1818" s="151" t="s">
        <v>215</v>
      </c>
      <c r="AR1818" s="151" t="s">
        <v>10448</v>
      </c>
      <c r="AS1818" s="1795">
        <v>0.001</v>
      </c>
      <c r="AT1818" s="151" t="s">
        <v>135</v>
      </c>
      <c r="AU1818" s="151" t="s">
        <v>186</v>
      </c>
      <c r="AV1818" s="129" t="s">
        <v>137</v>
      </c>
      <c r="AW1818" s="1308" t="s">
        <v>10062</v>
      </c>
      <c r="AX1818" s="129" t="s">
        <v>143</v>
      </c>
      <c r="AY1818" s="61" t="str">
        <f>IFERROR(__xludf.DUMMYFUNCTION("vlookup(BB1818,importrange(""https://docs.google.com/spreadsheets/d/1d2vevQ_7D_v35q4wCQ4RpQ_IPoTwEMB9Yp6ymwlPqew/edit?gid=984458430#gid=984458430"", ""'replication success'!A:K""), 11, FAlSE)"),"successful")</f>
        <v>successful</v>
      </c>
      <c r="AZ1818" s="61" t="str">
        <f>IFERROR(__xludf.DUMMYFUNCTION("vlookup(BB1818,importrange(""https://docs.google.com/spreadsheets/d/1d2vevQ_7D_v35q4wCQ4RpQ_IPoTwEMB9Yp6ymwlPqew/edit?gid=984458430#gid=984458430"", ""'replication success'!A:M""), 12, FAlSE)"),"Thus, we successfully replicated the previous findings (Table 3).")</f>
        <v>Thus, we successfully replicated the previous findings (Table 3).</v>
      </c>
      <c r="BA1818" s="61" t="str">
        <f>IFERROR(__xludf.DUMMYFUNCTION("vlookup(BB1818,importrange(""https://docs.google.com/spreadsheets/d/1d2vevQ_7D_v35q4wCQ4RpQ_IPoTwEMB9Yp6ymwlPqew/edit?gid=984458430#gid=984458430"", ""'replication success'!A:M""), 13, FAlSE)"),"pg. 5")</f>
        <v>pg. 5</v>
      </c>
      <c r="BB1818" s="61" t="str">
        <f>IFERROR(__xludf.DUMMYFUNCTION("REGEXREPLACE(G1818, ""_[a-z]{1,2}$"", """")"),"OpenMKT2")</f>
        <v>OpenMKT2</v>
      </c>
      <c r="BD1818" s="1782" t="s">
        <v>7943</v>
      </c>
    </row>
    <row r="1819">
      <c r="A1819" s="44">
        <v>1819.0</v>
      </c>
      <c r="B1819" s="1800" t="s">
        <v>114</v>
      </c>
      <c r="C1819" s="1631" t="s">
        <v>115</v>
      </c>
      <c r="D1819" s="1631" t="s">
        <v>248</v>
      </c>
      <c r="E1819" s="1123"/>
      <c r="F1819" s="1800" t="s">
        <v>10471</v>
      </c>
      <c r="G1819" s="1800" t="s">
        <v>10471</v>
      </c>
      <c r="H1819" s="491" t="s">
        <v>249</v>
      </c>
      <c r="I1819" s="1801">
        <v>45755.0</v>
      </c>
      <c r="J1819" s="1802">
        <v>45772.0</v>
      </c>
      <c r="K1819" s="491" t="s">
        <v>10472</v>
      </c>
      <c r="L1819" s="1800" t="s">
        <v>10473</v>
      </c>
      <c r="M1819" s="1800" t="s">
        <v>10474</v>
      </c>
      <c r="N1819" s="1800" t="s">
        <v>10475</v>
      </c>
      <c r="O1819" s="1803">
        <v>3.0</v>
      </c>
      <c r="P1819" s="1804" t="s">
        <v>10476</v>
      </c>
      <c r="Q1819" s="108" t="str">
        <f t="array" ref="Q1819"> if(iserror(MATCH(V1819, 'File Links'!C:C, 0)), "N/A", HYPERLINK(INDEX('File Links'!B:B, MATCH(P1819, 'File Links'!C:C, 0))))</f>
        <v>N/A</v>
      </c>
      <c r="R1819" s="1805" t="s">
        <v>10052</v>
      </c>
      <c r="S1819" s="1800" t="s">
        <v>10053</v>
      </c>
      <c r="T1819" s="1806"/>
      <c r="U1819" s="1825"/>
      <c r="V1819" s="491" t="s">
        <v>10054</v>
      </c>
      <c r="W1819" s="1634"/>
      <c r="X1819" s="49" t="str">
        <f t="array" ref="X1819"> if(iserror(MATCH(V1819, 'File Links'!C:C, 0)), "N/A", HYPERLINK(INDEX('File Links'!B:B, MATCH(V1819, 'File Links'!C:C, 0))))</f>
        <v>N/A</v>
      </c>
      <c r="Y1819" s="1632"/>
      <c r="Z1819" s="491" t="s">
        <v>2079</v>
      </c>
      <c r="AA1819" s="1800" t="s">
        <v>10055</v>
      </c>
      <c r="AB1819" s="491" t="s">
        <v>10477</v>
      </c>
      <c r="AC1819" s="491" t="s">
        <v>10478</v>
      </c>
      <c r="AD1819" s="491" t="s">
        <v>10479</v>
      </c>
      <c r="AE1819" s="491" t="s">
        <v>627</v>
      </c>
      <c r="AF1819" s="1807">
        <v>77.0</v>
      </c>
      <c r="AG1819" s="1807">
        <v>0.09</v>
      </c>
      <c r="AH1819" s="491" t="s">
        <v>874</v>
      </c>
      <c r="AI1819" s="491" t="s">
        <v>10480</v>
      </c>
      <c r="AJ1819" s="1807">
        <v>0.01</v>
      </c>
      <c r="AK1819" s="491" t="s">
        <v>135</v>
      </c>
      <c r="AL1819" s="491" t="s">
        <v>186</v>
      </c>
      <c r="AM1819" s="1800" t="s">
        <v>137</v>
      </c>
      <c r="AN1819" s="1800" t="s">
        <v>138</v>
      </c>
      <c r="AO1819" s="1807">
        <v>823.0</v>
      </c>
      <c r="AP1819" s="1807">
        <v>0.0</v>
      </c>
      <c r="AQ1819" s="491" t="s">
        <v>874</v>
      </c>
      <c r="AR1819" s="491" t="s">
        <v>10481</v>
      </c>
      <c r="AS1819" s="1807">
        <v>0.758</v>
      </c>
      <c r="AT1819" s="491" t="s">
        <v>172</v>
      </c>
      <c r="AU1819" s="491" t="s">
        <v>186</v>
      </c>
      <c r="AV1819" s="1800" t="s">
        <v>137</v>
      </c>
      <c r="AW1819" s="1808" t="s">
        <v>10062</v>
      </c>
      <c r="AX1819" s="1800" t="s">
        <v>143</v>
      </c>
      <c r="AY1819" s="61" t="str">
        <f>IFERROR(__xludf.DUMMYFUNCTION("vlookup(BB1819,importrange(""https://docs.google.com/spreadsheets/d/1d2vevQ_7D_v35q4wCQ4RpQ_IPoTwEMB9Yp6ymwlPqew/edit?gid=984458430#gid=984458430"", ""'replication success'!A:K""), 11, FAlSE)"),"#N/A")</f>
        <v>#N/A</v>
      </c>
      <c r="AZ1819" s="61" t="str">
        <f>IFERROR(__xludf.DUMMYFUNCTION("vlookup(BB1819,importrange(""https://docs.google.com/spreadsheets/d/1d2vevQ_7D_v35q4wCQ4RpQ_IPoTwEMB9Yp6ymwlPqew/edit?gid=984458430#gid=984458430"", ""'replication success'!A:M""), 12, FAlSE)"),"#N/A")</f>
        <v>#N/A</v>
      </c>
      <c r="BA1819" s="61" t="str">
        <f>IFERROR(__xludf.DUMMYFUNCTION("vlookup(BB1819,importrange(""https://docs.google.com/spreadsheets/d/1d2vevQ_7D_v35q4wCQ4RpQ_IPoTwEMB9Yp6ymwlPqew/edit?gid=984458430#gid=984458430"", ""'replication success'!A:M""), 13, FAlSE)"),"#N/A")</f>
        <v>#N/A</v>
      </c>
      <c r="BB1819" s="61" t="str">
        <f>IFERROR(__xludf.DUMMYFUNCTION("REGEXREPLACE(G1819, ""_[a-z]{1,2}$"", """")"),"OpenMKT3_1")</f>
        <v>OpenMKT3_1</v>
      </c>
      <c r="BC1819" s="1123"/>
      <c r="BD1819" s="1631" t="s">
        <v>7943</v>
      </c>
    </row>
    <row r="1820">
      <c r="A1820" s="44">
        <v>1820.0</v>
      </c>
      <c r="B1820" s="1800" t="s">
        <v>114</v>
      </c>
      <c r="C1820" s="1631" t="s">
        <v>115</v>
      </c>
      <c r="D1820" s="1631" t="s">
        <v>248</v>
      </c>
      <c r="E1820" s="1123"/>
      <c r="F1820" s="1800" t="s">
        <v>10471</v>
      </c>
      <c r="G1820" s="1800" t="s">
        <v>10482</v>
      </c>
      <c r="H1820" s="491" t="s">
        <v>249</v>
      </c>
      <c r="I1820" s="1801">
        <v>45755.0</v>
      </c>
      <c r="J1820" s="1802">
        <v>45772.0</v>
      </c>
      <c r="K1820" s="491" t="s">
        <v>10483</v>
      </c>
      <c r="L1820" s="1800" t="s">
        <v>10473</v>
      </c>
      <c r="M1820" s="1800" t="s">
        <v>10474</v>
      </c>
      <c r="N1820" s="1800" t="s">
        <v>10475</v>
      </c>
      <c r="O1820" s="1803">
        <v>3.0</v>
      </c>
      <c r="P1820" s="1804" t="s">
        <v>10476</v>
      </c>
      <c r="Q1820" s="108" t="str">
        <f t="array" ref="Q1820"> if(iserror(MATCH(V1820, 'File Links'!C:C, 0)), "N/A", HYPERLINK(INDEX('File Links'!B:B, MATCH(P1820, 'File Links'!C:C, 0))))</f>
        <v>N/A</v>
      </c>
      <c r="R1820" s="1805" t="s">
        <v>10052</v>
      </c>
      <c r="S1820" s="1800" t="s">
        <v>10053</v>
      </c>
      <c r="T1820" s="1806"/>
      <c r="U1820" s="1825"/>
      <c r="V1820" s="491" t="s">
        <v>10054</v>
      </c>
      <c r="W1820" s="1634"/>
      <c r="X1820" s="49" t="str">
        <f t="array" ref="X1820"> if(iserror(MATCH(V1820, 'File Links'!C:C, 0)), "N/A", HYPERLINK(INDEX('File Links'!B:B, MATCH(V1820, 'File Links'!C:C, 0))))</f>
        <v>N/A</v>
      </c>
      <c r="Y1820" s="1632"/>
      <c r="Z1820" s="491" t="s">
        <v>2079</v>
      </c>
      <c r="AA1820" s="1800" t="s">
        <v>10055</v>
      </c>
      <c r="AB1820" s="491" t="s">
        <v>10477</v>
      </c>
      <c r="AC1820" s="491" t="s">
        <v>10484</v>
      </c>
      <c r="AD1820" s="491" t="s">
        <v>10485</v>
      </c>
      <c r="AE1820" s="491" t="s">
        <v>627</v>
      </c>
      <c r="AF1820" s="1807">
        <v>77.0</v>
      </c>
      <c r="AG1820" s="1807">
        <v>0.06</v>
      </c>
      <c r="AH1820" s="491" t="s">
        <v>874</v>
      </c>
      <c r="AI1820" s="491" t="s">
        <v>10486</v>
      </c>
      <c r="AJ1820" s="1807">
        <v>0.05</v>
      </c>
      <c r="AK1820" s="491" t="s">
        <v>135</v>
      </c>
      <c r="AL1820" s="491" t="s">
        <v>186</v>
      </c>
      <c r="AM1820" s="1800" t="s">
        <v>137</v>
      </c>
      <c r="AN1820" s="1800" t="s">
        <v>138</v>
      </c>
      <c r="AO1820" s="1807">
        <v>823.0</v>
      </c>
      <c r="AP1820" s="1807">
        <v>0.057</v>
      </c>
      <c r="AQ1820" s="491" t="s">
        <v>874</v>
      </c>
      <c r="AR1820" s="491" t="s">
        <v>10487</v>
      </c>
      <c r="AS1820" s="1807">
        <v>0.001</v>
      </c>
      <c r="AT1820" s="491" t="s">
        <v>135</v>
      </c>
      <c r="AU1820" s="491" t="s">
        <v>186</v>
      </c>
      <c r="AV1820" s="1800" t="s">
        <v>137</v>
      </c>
      <c r="AW1820" s="1808" t="s">
        <v>10062</v>
      </c>
      <c r="AX1820" s="1800" t="s">
        <v>143</v>
      </c>
      <c r="AY1820" s="61" t="str">
        <f>IFERROR(__xludf.DUMMYFUNCTION("vlookup(BB1820,importrange(""https://docs.google.com/spreadsheets/d/1d2vevQ_7D_v35q4wCQ4RpQ_IPoTwEMB9Yp6ymwlPqew/edit?gid=984458430#gid=984458430"", ""'replication success'!A:K""), 11, FAlSE)"),"failed")</f>
        <v>failed</v>
      </c>
      <c r="AZ1820" s="61" t="str">
        <f>IFERROR(__xludf.DUMMYFUNCTION("vlookup(BB1820,importrange(""https://docs.google.com/spreadsheets/d/1d2vevQ_7D_v35q4wCQ4RpQ_IPoTwEMB9Yp6ymwlPqew/edit?gid=984458430#gid=984458430"",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0" s="61" t="str">
        <f>IFERROR(__xludf.DUMMYFUNCTION("vlookup(BB1820,importrange(""https://docs.google.com/spreadsheets/d/1d2vevQ_7D_v35q4wCQ4RpQ_IPoTwEMB9Yp6ymwlPqew/edit?gid=984458430#gid=984458430"", ""'replication success'!A:M""), 13, FAlSE)"),"pg. 7-8")</f>
        <v>pg. 7-8</v>
      </c>
      <c r="BB1820" s="61" t="str">
        <f>IFERROR(__xludf.DUMMYFUNCTION("REGEXREPLACE(G1820, ""_[a-z]{1,2}$"", """")"),"OpenMKT3")</f>
        <v>OpenMKT3</v>
      </c>
      <c r="BC1820" s="1123"/>
      <c r="BD1820" s="1631" t="s">
        <v>7943</v>
      </c>
    </row>
    <row r="1821">
      <c r="A1821" s="44">
        <v>1821.0</v>
      </c>
      <c r="B1821" s="1800" t="s">
        <v>114</v>
      </c>
      <c r="C1821" s="1631" t="s">
        <v>115</v>
      </c>
      <c r="D1821" s="1631" t="s">
        <v>248</v>
      </c>
      <c r="E1821" s="1123"/>
      <c r="F1821" s="1800" t="s">
        <v>10471</v>
      </c>
      <c r="G1821" s="1800" t="s">
        <v>10488</v>
      </c>
      <c r="H1821" s="491" t="s">
        <v>249</v>
      </c>
      <c r="I1821" s="1801">
        <v>45755.0</v>
      </c>
      <c r="J1821" s="1802">
        <v>45772.0</v>
      </c>
      <c r="K1821" s="491" t="s">
        <v>10489</v>
      </c>
      <c r="L1821" s="1800" t="s">
        <v>10473</v>
      </c>
      <c r="M1821" s="1800" t="s">
        <v>10474</v>
      </c>
      <c r="N1821" s="1800" t="s">
        <v>10475</v>
      </c>
      <c r="O1821" s="1803">
        <v>3.0</v>
      </c>
      <c r="P1821" s="1804" t="s">
        <v>10476</v>
      </c>
      <c r="Q1821" s="108" t="str">
        <f t="array" ref="Q1821"> if(iserror(MATCH(V1821, 'File Links'!C:C, 0)), "N/A", HYPERLINK(INDEX('File Links'!B:B, MATCH(P1821, 'File Links'!C:C, 0))))</f>
        <v>N/A</v>
      </c>
      <c r="R1821" s="1805" t="s">
        <v>10052</v>
      </c>
      <c r="S1821" s="1800" t="s">
        <v>10053</v>
      </c>
      <c r="T1821" s="1806"/>
      <c r="U1821" s="1825"/>
      <c r="V1821" s="491" t="s">
        <v>10054</v>
      </c>
      <c r="W1821" s="1634"/>
      <c r="X1821" s="49" t="str">
        <f t="array" ref="X1821"> if(iserror(MATCH(V1821, 'File Links'!C:C, 0)), "N/A", HYPERLINK(INDEX('File Links'!B:B, MATCH(V1821, 'File Links'!C:C, 0))))</f>
        <v>N/A</v>
      </c>
      <c r="Y1821" s="1632"/>
      <c r="Z1821" s="491" t="s">
        <v>2079</v>
      </c>
      <c r="AA1821" s="1800" t="s">
        <v>10055</v>
      </c>
      <c r="AB1821" s="491" t="s">
        <v>10477</v>
      </c>
      <c r="AC1821" s="491" t="s">
        <v>10490</v>
      </c>
      <c r="AD1821" s="491" t="s">
        <v>10491</v>
      </c>
      <c r="AE1821" s="491" t="s">
        <v>182</v>
      </c>
      <c r="AF1821" s="1807">
        <v>77.0</v>
      </c>
      <c r="AG1821" s="1807">
        <v>0.09</v>
      </c>
      <c r="AH1821" s="491" t="s">
        <v>874</v>
      </c>
      <c r="AI1821" s="491" t="s">
        <v>10492</v>
      </c>
      <c r="AJ1821" s="1807">
        <v>0.01</v>
      </c>
      <c r="AK1821" s="491" t="s">
        <v>135</v>
      </c>
      <c r="AL1821" s="491" t="s">
        <v>186</v>
      </c>
      <c r="AM1821" s="1800" t="s">
        <v>137</v>
      </c>
      <c r="AN1821" s="1800" t="s">
        <v>138</v>
      </c>
      <c r="AO1821" s="1807">
        <v>823.0</v>
      </c>
      <c r="AP1821" s="1807">
        <v>0.033</v>
      </c>
      <c r="AQ1821" s="491" t="s">
        <v>874</v>
      </c>
      <c r="AR1821" s="491" t="s">
        <v>10493</v>
      </c>
      <c r="AS1821" s="1807">
        <v>0.001</v>
      </c>
      <c r="AT1821" s="491" t="s">
        <v>135</v>
      </c>
      <c r="AU1821" s="491" t="s">
        <v>186</v>
      </c>
      <c r="AV1821" s="1800" t="s">
        <v>137</v>
      </c>
      <c r="AW1821" s="1808" t="s">
        <v>10062</v>
      </c>
      <c r="AX1821" s="1800" t="s">
        <v>143</v>
      </c>
      <c r="AY1821" s="61" t="str">
        <f>IFERROR(__xludf.DUMMYFUNCTION("vlookup(BB1821,importrange(""https://docs.google.com/spreadsheets/d/1d2vevQ_7D_v35q4wCQ4RpQ_IPoTwEMB9Yp6ymwlPqew/edit?gid=984458430#gid=984458430"", ""'replication success'!A:K""), 11, FAlSE)"),"failed")</f>
        <v>failed</v>
      </c>
      <c r="AZ1821" s="61" t="str">
        <f>IFERROR(__xludf.DUMMYFUNCTION("vlookup(BB1821,importrange(""https://docs.google.com/spreadsheets/d/1d2vevQ_7D_v35q4wCQ4RpQ_IPoTwEMB9Yp6ymwlPqew/edit?gid=984458430#gid=984458430"",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1" s="61" t="str">
        <f>IFERROR(__xludf.DUMMYFUNCTION("vlookup(BB1821,importrange(""https://docs.google.com/spreadsheets/d/1d2vevQ_7D_v35q4wCQ4RpQ_IPoTwEMB9Yp6ymwlPqew/edit?gid=984458430#gid=984458430"", ""'replication success'!A:M""), 13, FAlSE)"),"pg. 7-8")</f>
        <v>pg. 7-8</v>
      </c>
      <c r="BB1821" s="61" t="str">
        <f>IFERROR(__xludf.DUMMYFUNCTION("REGEXREPLACE(G1821, ""_[a-z]{1,2}$"", """")"),"OpenMKT3")</f>
        <v>OpenMKT3</v>
      </c>
      <c r="BC1821" s="1123"/>
      <c r="BD1821" s="1631" t="s">
        <v>7943</v>
      </c>
    </row>
    <row r="1822">
      <c r="A1822" s="44">
        <v>1822.0</v>
      </c>
      <c r="B1822" s="56" t="s">
        <v>152</v>
      </c>
      <c r="C1822" s="341" t="s">
        <v>115</v>
      </c>
      <c r="D1822" s="341" t="s">
        <v>145</v>
      </c>
      <c r="E1822" s="342"/>
      <c r="F1822" s="56" t="s">
        <v>10471</v>
      </c>
      <c r="G1822" s="56" t="s">
        <v>10494</v>
      </c>
      <c r="H1822" s="343" t="s">
        <v>10123</v>
      </c>
      <c r="I1822" s="345">
        <v>45758.0</v>
      </c>
      <c r="J1822" s="1587">
        <v>45772.0</v>
      </c>
      <c r="K1822" s="360"/>
      <c r="L1822" s="56" t="s">
        <v>10495</v>
      </c>
      <c r="M1822" s="56" t="s">
        <v>10474</v>
      </c>
      <c r="N1822" s="56" t="s">
        <v>10475</v>
      </c>
      <c r="O1822" s="55">
        <v>3.0</v>
      </c>
      <c r="P1822" s="1696" t="s">
        <v>10476</v>
      </c>
      <c r="Q1822" s="108" t="str">
        <f t="array" ref="Q1822"> if(iserror(MATCH(V1822, 'File Links'!C:C, 0)), "N/A", HYPERLINK(INDEX('File Links'!B:B, MATCH(P1822, 'File Links'!C:C, 0))))</f>
        <v>N/A</v>
      </c>
      <c r="R1822" s="1697" t="s">
        <v>10052</v>
      </c>
      <c r="S1822" s="56" t="s">
        <v>10053</v>
      </c>
      <c r="T1822" s="1798"/>
      <c r="U1822" s="385"/>
      <c r="V1822" s="343" t="s">
        <v>10054</v>
      </c>
      <c r="W1822" s="360"/>
      <c r="X1822" s="49" t="str">
        <f t="array" ref="X1822"> if(iserror(MATCH(V1822, 'File Links'!C:C, 0)), "N/A", HYPERLINK(INDEX('File Links'!B:B, MATCH(V1822, 'File Links'!C:C, 0))))</f>
        <v>N/A</v>
      </c>
      <c r="Y1822" s="46"/>
      <c r="Z1822" s="343" t="s">
        <v>2079</v>
      </c>
      <c r="AA1822" s="371" t="s">
        <v>10055</v>
      </c>
      <c r="AB1822" s="343" t="s">
        <v>10496</v>
      </c>
      <c r="AC1822" s="343" t="s">
        <v>10497</v>
      </c>
      <c r="AD1822" s="343" t="s">
        <v>10498</v>
      </c>
      <c r="AE1822" s="343" t="s">
        <v>10499</v>
      </c>
      <c r="AF1822" s="347">
        <v>77.0</v>
      </c>
      <c r="AG1822" s="347" t="s">
        <v>10500</v>
      </c>
      <c r="AH1822" s="343" t="s">
        <v>134</v>
      </c>
      <c r="AI1822" s="343" t="s">
        <v>627</v>
      </c>
      <c r="AJ1822" s="347">
        <v>0.01</v>
      </c>
      <c r="AK1822" s="343" t="s">
        <v>135</v>
      </c>
      <c r="AL1822" s="343" t="s">
        <v>186</v>
      </c>
      <c r="AM1822" s="56" t="s">
        <v>137</v>
      </c>
      <c r="AN1822" s="56" t="s">
        <v>1535</v>
      </c>
      <c r="AO1822" s="347">
        <v>823.0</v>
      </c>
      <c r="AP1822" s="347">
        <v>0.011</v>
      </c>
      <c r="AQ1822" s="343" t="s">
        <v>215</v>
      </c>
      <c r="AR1822" s="343" t="s">
        <v>10448</v>
      </c>
      <c r="AS1822" s="347">
        <v>0.758</v>
      </c>
      <c r="AT1822" s="343" t="s">
        <v>172</v>
      </c>
      <c r="AU1822" s="343" t="s">
        <v>186</v>
      </c>
      <c r="AV1822" s="56" t="s">
        <v>137</v>
      </c>
      <c r="AW1822" s="1699" t="s">
        <v>10062</v>
      </c>
      <c r="AX1822" s="56" t="s">
        <v>143</v>
      </c>
      <c r="AY1822" s="61" t="str">
        <f>IFERROR(__xludf.DUMMYFUNCTION("vlookup(BB1822,importrange(""https://docs.google.com/spreadsheets/d/1d2vevQ_7D_v35q4wCQ4RpQ_IPoTwEMB9Yp6ymwlPqew/edit?gid=984458430#gid=984458430"", ""'replication success'!A:K""), 11, FAlSE)"),"failed")</f>
        <v>failed</v>
      </c>
      <c r="AZ1822" s="61" t="str">
        <f>IFERROR(__xludf.DUMMYFUNCTION("vlookup(BB1822,importrange(""https://docs.google.com/spreadsheets/d/1d2vevQ_7D_v35q4wCQ4RpQ_IPoTwEMB9Yp6ymwlPqew/edit?gid=984458430#gid=984458430"",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2" s="61" t="str">
        <f>IFERROR(__xludf.DUMMYFUNCTION("vlookup(BB1822,importrange(""https://docs.google.com/spreadsheets/d/1d2vevQ_7D_v35q4wCQ4RpQ_IPoTwEMB9Yp6ymwlPqew/edit?gid=984458430#gid=984458430"", ""'replication success'!A:M""), 13, FAlSE)"),"pg. 7-8")</f>
        <v>pg. 7-8</v>
      </c>
      <c r="BB1822" s="61" t="str">
        <f>IFERROR(__xludf.DUMMYFUNCTION("REGEXREPLACE(G1822, ""_[a-z]{1,2}$"", """")"),"OpenMKT3")</f>
        <v>OpenMKT3</v>
      </c>
      <c r="BC1822" s="342"/>
      <c r="BD1822" s="1782" t="s">
        <v>7943</v>
      </c>
    </row>
    <row r="1823">
      <c r="A1823" s="44">
        <v>1823.0</v>
      </c>
      <c r="B1823" s="129" t="s">
        <v>152</v>
      </c>
      <c r="C1823" s="62" t="s">
        <v>115</v>
      </c>
      <c r="D1823" s="62" t="s">
        <v>145</v>
      </c>
      <c r="F1823" s="129" t="s">
        <v>10501</v>
      </c>
      <c r="G1823" s="129" t="s">
        <v>10482</v>
      </c>
      <c r="H1823" s="151" t="s">
        <v>10123</v>
      </c>
      <c r="I1823" s="153">
        <v>45758.0</v>
      </c>
      <c r="J1823" s="1786">
        <v>45772.0</v>
      </c>
      <c r="K1823" s="159"/>
      <c r="L1823" s="129" t="s">
        <v>10502</v>
      </c>
      <c r="M1823" s="129" t="s">
        <v>10474</v>
      </c>
      <c r="N1823" s="129" t="s">
        <v>10475</v>
      </c>
      <c r="O1823" s="501">
        <v>3.0</v>
      </c>
      <c r="P1823" s="528" t="s">
        <v>10476</v>
      </c>
      <c r="Q1823" s="108" t="str">
        <f t="array" ref="Q1823"> if(iserror(MATCH(V1823, 'File Links'!C:C, 0)), "N/A", HYPERLINK(INDEX('File Links'!B:B, MATCH(P1823, 'File Links'!C:C, 0))))</f>
        <v>N/A</v>
      </c>
      <c r="R1823" s="1697" t="s">
        <v>10052</v>
      </c>
      <c r="S1823" s="129" t="s">
        <v>10053</v>
      </c>
      <c r="T1823" s="1379"/>
      <c r="U1823" s="336"/>
      <c r="V1823" s="151" t="s">
        <v>10054</v>
      </c>
      <c r="W1823" s="159"/>
      <c r="X1823" s="49" t="str">
        <f t="array" ref="X1823"> if(iserror(MATCH(V1823, 'File Links'!C:C, 0)), "N/A", HYPERLINK(INDEX('File Links'!B:B, MATCH(V1823, 'File Links'!C:C, 0))))</f>
        <v>N/A</v>
      </c>
      <c r="Y1823" s="68"/>
      <c r="Z1823" s="151" t="s">
        <v>2079</v>
      </c>
      <c r="AA1823" s="371" t="s">
        <v>10055</v>
      </c>
      <c r="AB1823" s="151" t="s">
        <v>10496</v>
      </c>
      <c r="AC1823" s="151" t="s">
        <v>10503</v>
      </c>
      <c r="AD1823" s="151" t="s">
        <v>10504</v>
      </c>
      <c r="AE1823" s="151" t="s">
        <v>10505</v>
      </c>
      <c r="AF1823" s="161">
        <v>77.0</v>
      </c>
      <c r="AG1823" s="161" t="s">
        <v>10506</v>
      </c>
      <c r="AH1823" s="151" t="s">
        <v>134</v>
      </c>
      <c r="AI1823" s="151" t="s">
        <v>627</v>
      </c>
      <c r="AJ1823" s="161">
        <v>0.05</v>
      </c>
      <c r="AK1823" s="151" t="s">
        <v>135</v>
      </c>
      <c r="AL1823" s="151" t="s">
        <v>186</v>
      </c>
      <c r="AM1823" s="129" t="s">
        <v>137</v>
      </c>
      <c r="AN1823" s="129" t="s">
        <v>1535</v>
      </c>
      <c r="AO1823" s="161">
        <v>823.0</v>
      </c>
      <c r="AP1823" s="161">
        <v>0.238</v>
      </c>
      <c r="AQ1823" s="151" t="s">
        <v>215</v>
      </c>
      <c r="AR1823" s="151" t="s">
        <v>10448</v>
      </c>
      <c r="AS1823" s="161">
        <v>0.001</v>
      </c>
      <c r="AT1823" s="151" t="s">
        <v>135</v>
      </c>
      <c r="AU1823" s="151" t="s">
        <v>186</v>
      </c>
      <c r="AV1823" s="129" t="s">
        <v>137</v>
      </c>
      <c r="AW1823" s="1308" t="s">
        <v>10062</v>
      </c>
      <c r="AX1823" s="129" t="s">
        <v>143</v>
      </c>
      <c r="AY1823" s="61" t="str">
        <f>IFERROR(__xludf.DUMMYFUNCTION("vlookup(BB1823,importrange(""https://docs.google.com/spreadsheets/d/1d2vevQ_7D_v35q4wCQ4RpQ_IPoTwEMB9Yp6ymwlPqew/edit?gid=984458430#gid=984458430"", ""'replication success'!A:K""), 11, FAlSE)"),"failed")</f>
        <v>failed</v>
      </c>
      <c r="AZ1823" s="61" t="str">
        <f>IFERROR(__xludf.DUMMYFUNCTION("vlookup(BB1823,importrange(""https://docs.google.com/spreadsheets/d/1d2vevQ_7D_v35q4wCQ4RpQ_IPoTwEMB9Yp6ymwlPqew/edit?gid=984458430#gid=984458430"",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3" s="61" t="str">
        <f>IFERROR(__xludf.DUMMYFUNCTION("vlookup(BB1823,importrange(""https://docs.google.com/spreadsheets/d/1d2vevQ_7D_v35q4wCQ4RpQ_IPoTwEMB9Yp6ymwlPqew/edit?gid=984458430#gid=984458430"", ""'replication success'!A:M""), 13, FAlSE)"),"pg. 7-8")</f>
        <v>pg. 7-8</v>
      </c>
      <c r="BB1823" s="61" t="str">
        <f>IFERROR(__xludf.DUMMYFUNCTION("REGEXREPLACE(G1823, ""_[a-z]{1,2}$"", """")"),"OpenMKT3")</f>
        <v>OpenMKT3</v>
      </c>
      <c r="BD1823" s="1782" t="s">
        <v>7943</v>
      </c>
    </row>
    <row r="1824">
      <c r="A1824" s="44">
        <v>1824.0</v>
      </c>
      <c r="B1824" s="129" t="s">
        <v>152</v>
      </c>
      <c r="C1824" s="62" t="s">
        <v>115</v>
      </c>
      <c r="D1824" s="62" t="s">
        <v>145</v>
      </c>
      <c r="F1824" s="129" t="s">
        <v>10507</v>
      </c>
      <c r="G1824" s="129" t="s">
        <v>10488</v>
      </c>
      <c r="H1824" s="151" t="s">
        <v>10123</v>
      </c>
      <c r="I1824" s="153">
        <v>45758.0</v>
      </c>
      <c r="J1824" s="1786">
        <v>45772.0</v>
      </c>
      <c r="K1824" s="159"/>
      <c r="L1824" s="129" t="s">
        <v>10495</v>
      </c>
      <c r="M1824" s="129" t="s">
        <v>10474</v>
      </c>
      <c r="N1824" s="129" t="s">
        <v>10475</v>
      </c>
      <c r="O1824" s="501">
        <v>3.0</v>
      </c>
      <c r="P1824" s="528" t="s">
        <v>10476</v>
      </c>
      <c r="Q1824" s="108" t="str">
        <f t="array" ref="Q1824"> if(iserror(MATCH(V1824, 'File Links'!C:C, 0)), "N/A", HYPERLINK(INDEX('File Links'!B:B, MATCH(P1824, 'File Links'!C:C, 0))))</f>
        <v>N/A</v>
      </c>
      <c r="R1824" s="1697" t="s">
        <v>10052</v>
      </c>
      <c r="S1824" s="129" t="s">
        <v>10053</v>
      </c>
      <c r="T1824" s="1379"/>
      <c r="U1824" s="336"/>
      <c r="V1824" s="151" t="s">
        <v>10054</v>
      </c>
      <c r="W1824" s="159"/>
      <c r="X1824" s="49" t="str">
        <f t="array" ref="X1824"> if(iserror(MATCH(V1824, 'File Links'!C:C, 0)), "N/A", HYPERLINK(INDEX('File Links'!B:B, MATCH(V1824, 'File Links'!C:C, 0))))</f>
        <v>N/A</v>
      </c>
      <c r="Y1824" s="68"/>
      <c r="Z1824" s="151" t="s">
        <v>2079</v>
      </c>
      <c r="AA1824" s="371" t="s">
        <v>10055</v>
      </c>
      <c r="AB1824" s="151" t="s">
        <v>10496</v>
      </c>
      <c r="AC1824" s="151" t="s">
        <v>10497</v>
      </c>
      <c r="AD1824" s="151" t="s">
        <v>10508</v>
      </c>
      <c r="AE1824" s="151" t="s">
        <v>10509</v>
      </c>
      <c r="AF1824" s="161">
        <v>77.0</v>
      </c>
      <c r="AG1824" s="161" t="s">
        <v>10510</v>
      </c>
      <c r="AH1824" s="151" t="s">
        <v>134</v>
      </c>
      <c r="AI1824" s="151" t="s">
        <v>182</v>
      </c>
      <c r="AJ1824" s="161">
        <v>0.01</v>
      </c>
      <c r="AK1824" s="151" t="s">
        <v>135</v>
      </c>
      <c r="AL1824" s="151" t="s">
        <v>186</v>
      </c>
      <c r="AM1824" s="129" t="s">
        <v>137</v>
      </c>
      <c r="AN1824" s="129" t="s">
        <v>1535</v>
      </c>
      <c r="AO1824" s="161">
        <v>823.0</v>
      </c>
      <c r="AP1824" s="161">
        <v>0.18</v>
      </c>
      <c r="AQ1824" s="151" t="s">
        <v>215</v>
      </c>
      <c r="AR1824" s="151" t="s">
        <v>10448</v>
      </c>
      <c r="AS1824" s="161">
        <v>0.001</v>
      </c>
      <c r="AT1824" s="151" t="s">
        <v>135</v>
      </c>
      <c r="AU1824" s="151" t="s">
        <v>186</v>
      </c>
      <c r="AV1824" s="129" t="s">
        <v>137</v>
      </c>
      <c r="AW1824" s="1308" t="s">
        <v>10062</v>
      </c>
      <c r="AX1824" s="129" t="s">
        <v>143</v>
      </c>
      <c r="AY1824" s="61" t="str">
        <f>IFERROR(__xludf.DUMMYFUNCTION("vlookup(BB1824,importrange(""https://docs.google.com/spreadsheets/d/1d2vevQ_7D_v35q4wCQ4RpQ_IPoTwEMB9Yp6ymwlPqew/edit?gid=984458430#gid=984458430"", ""'replication success'!A:K""), 11, FAlSE)"),"failed")</f>
        <v>failed</v>
      </c>
      <c r="AZ1824" s="61" t="str">
        <f>IFERROR(__xludf.DUMMYFUNCTION("vlookup(BB1824,importrange(""https://docs.google.com/spreadsheets/d/1d2vevQ_7D_v35q4wCQ4RpQ_IPoTwEMB9Yp6ymwlPqew/edit?gid=984458430#gid=984458430"",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4" s="61" t="str">
        <f>IFERROR(__xludf.DUMMYFUNCTION("vlookup(BB1824,importrange(""https://docs.google.com/spreadsheets/d/1d2vevQ_7D_v35q4wCQ4RpQ_IPoTwEMB9Yp6ymwlPqew/edit?gid=984458430#gid=984458430"", ""'replication success'!A:M""), 13, FAlSE)"),"pg. 7-8")</f>
        <v>pg. 7-8</v>
      </c>
      <c r="BB1824" s="61" t="str">
        <f>IFERROR(__xludf.DUMMYFUNCTION("REGEXREPLACE(G1824, ""_[a-z]{1,2}$"", """")"),"OpenMKT3")</f>
        <v>OpenMKT3</v>
      </c>
      <c r="BD1824" s="1782" t="s">
        <v>7943</v>
      </c>
    </row>
    <row r="1825">
      <c r="A1825" s="44">
        <v>1825.0</v>
      </c>
      <c r="B1825" s="1800" t="s">
        <v>114</v>
      </c>
      <c r="C1825" s="1631" t="s">
        <v>115</v>
      </c>
      <c r="D1825" s="1631" t="s">
        <v>248</v>
      </c>
      <c r="E1825" s="1123"/>
      <c r="F1825" s="1800" t="s">
        <v>10511</v>
      </c>
      <c r="G1825" s="1800" t="s">
        <v>10512</v>
      </c>
      <c r="H1825" s="491" t="s">
        <v>249</v>
      </c>
      <c r="I1825" s="1801">
        <v>45755.0</v>
      </c>
      <c r="J1825" s="1802">
        <v>45772.0</v>
      </c>
      <c r="K1825" s="491" t="s">
        <v>10513</v>
      </c>
      <c r="L1825" s="1800" t="s">
        <v>10514</v>
      </c>
      <c r="M1825" s="1800" t="s">
        <v>10515</v>
      </c>
      <c r="N1825" s="1800" t="s">
        <v>10516</v>
      </c>
      <c r="O1825" s="1803" t="s">
        <v>5535</v>
      </c>
      <c r="P1825" s="1804" t="s">
        <v>10517</v>
      </c>
      <c r="Q1825" s="108" t="str">
        <f t="array" ref="Q1825"> if(iserror(MATCH(V1825, 'File Links'!C:C, 0)), "N/A", HYPERLINK(INDEX('File Links'!B:B, MATCH(P1825, 'File Links'!C:C, 0))))</f>
        <v>N/A</v>
      </c>
      <c r="R1825" s="1805" t="s">
        <v>10052</v>
      </c>
      <c r="S1825" s="1800" t="s">
        <v>10053</v>
      </c>
      <c r="T1825" s="1806"/>
      <c r="U1825" s="1825"/>
      <c r="V1825" s="491" t="s">
        <v>10054</v>
      </c>
      <c r="W1825" s="1634"/>
      <c r="X1825" s="49" t="str">
        <f t="array" ref="X1825"> if(iserror(MATCH(V1825, 'File Links'!C:C, 0)), "N/A", HYPERLINK(INDEX('File Links'!B:B, MATCH(V1825, 'File Links'!C:C, 0))))</f>
        <v>N/A</v>
      </c>
      <c r="Y1825" s="1632"/>
      <c r="Z1825" s="491" t="s">
        <v>2079</v>
      </c>
      <c r="AA1825" s="1800" t="s">
        <v>10055</v>
      </c>
      <c r="AB1825" s="491" t="s">
        <v>10477</v>
      </c>
      <c r="AC1825" s="491" t="s">
        <v>10518</v>
      </c>
      <c r="AD1825" s="491" t="s">
        <v>10519</v>
      </c>
      <c r="AE1825" s="491" t="s">
        <v>604</v>
      </c>
      <c r="AF1825" s="1807">
        <v>93.0</v>
      </c>
      <c r="AG1825" s="1807" t="s">
        <v>10520</v>
      </c>
      <c r="AH1825" s="491" t="s">
        <v>134</v>
      </c>
      <c r="AI1825" s="491" t="s">
        <v>10521</v>
      </c>
      <c r="AJ1825" s="1807">
        <v>0.05</v>
      </c>
      <c r="AK1825" s="491" t="s">
        <v>135</v>
      </c>
      <c r="AL1825" s="491" t="s">
        <v>186</v>
      </c>
      <c r="AM1825" s="1800" t="s">
        <v>137</v>
      </c>
      <c r="AN1825" s="1800" t="s">
        <v>138</v>
      </c>
      <c r="AO1825" s="1807">
        <v>823.0</v>
      </c>
      <c r="AP1825" s="1807" t="s">
        <v>10522</v>
      </c>
      <c r="AQ1825" s="491" t="s">
        <v>134</v>
      </c>
      <c r="AR1825" s="491" t="s">
        <v>10523</v>
      </c>
      <c r="AS1825" s="1807">
        <v>0.763</v>
      </c>
      <c r="AT1825" s="491" t="s">
        <v>172</v>
      </c>
      <c r="AU1825" s="491" t="s">
        <v>186</v>
      </c>
      <c r="AV1825" s="1800" t="s">
        <v>137</v>
      </c>
      <c r="AW1825" s="1808" t="s">
        <v>10062</v>
      </c>
      <c r="AX1825" s="1800" t="s">
        <v>143</v>
      </c>
      <c r="AY1825" s="61" t="str">
        <f>IFERROR(__xludf.DUMMYFUNCTION("vlookup(BB1825,importrange(""https://docs.google.com/spreadsheets/d/1d2vevQ_7D_v35q4wCQ4RpQ_IPoTwEMB9Yp6ymwlPqew/edit?gid=984458430#gid=984458430"", ""'replication success'!A:K""), 11, FAlSE)"),"failed")</f>
        <v>failed</v>
      </c>
      <c r="AZ1825" s="61" t="str">
        <f>IFERROR(__xludf.DUMMYFUNCTION("vlookup(BB1825,importrange(""https://docs.google.com/spreadsheets/d/1d2vevQ_7D_v35q4wCQ4RpQ_IPoTwEMB9Yp6ymwlPqew/edit?gid=984458430#gid=984458430"",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5" s="61" t="str">
        <f>IFERROR(__xludf.DUMMYFUNCTION("vlookup(BB1825,importrange(""https://docs.google.com/spreadsheets/d/1d2vevQ_7D_v35q4wCQ4RpQ_IPoTwEMB9Yp6ymwlPqew/edit?gid=984458430#gid=984458430"", ""'replication success'!A:M""), 13, FAlSE)"),"pg. 7-8")</f>
        <v>pg. 7-8</v>
      </c>
      <c r="BB1825" s="61" t="str">
        <f>IFERROR(__xludf.DUMMYFUNCTION("REGEXREPLACE(G1825, ""_[a-z]{1,2}$"", """")"),"OpenMKT4")</f>
        <v>OpenMKT4</v>
      </c>
      <c r="BC1825" s="1123"/>
      <c r="BD1825" s="1631" t="s">
        <v>7943</v>
      </c>
    </row>
    <row r="1826">
      <c r="A1826" s="44">
        <v>1826.0</v>
      </c>
      <c r="B1826" s="56" t="s">
        <v>152</v>
      </c>
      <c r="C1826" s="341" t="s">
        <v>115</v>
      </c>
      <c r="D1826" s="341" t="s">
        <v>145</v>
      </c>
      <c r="E1826" s="342"/>
      <c r="F1826" s="56" t="s">
        <v>10511</v>
      </c>
      <c r="G1826" s="56" t="s">
        <v>10512</v>
      </c>
      <c r="H1826" s="343" t="s">
        <v>10123</v>
      </c>
      <c r="I1826" s="345">
        <v>45758.0</v>
      </c>
      <c r="J1826" s="1587">
        <v>45772.0</v>
      </c>
      <c r="K1826" s="360"/>
      <c r="L1826" s="56" t="s">
        <v>10168</v>
      </c>
      <c r="M1826" s="56" t="s">
        <v>10515</v>
      </c>
      <c r="N1826" s="56" t="s">
        <v>10516</v>
      </c>
      <c r="O1826" s="55" t="s">
        <v>5535</v>
      </c>
      <c r="P1826" s="1696" t="s">
        <v>10517</v>
      </c>
      <c r="Q1826" s="108" t="str">
        <f t="array" ref="Q1826"> if(iserror(MATCH(V1826, 'File Links'!C:C, 0)), "N/A", HYPERLINK(INDEX('File Links'!B:B, MATCH(P1826, 'File Links'!C:C, 0))))</f>
        <v>N/A</v>
      </c>
      <c r="R1826" s="1697" t="s">
        <v>10052</v>
      </c>
      <c r="S1826" s="56" t="s">
        <v>10053</v>
      </c>
      <c r="T1826" s="1798"/>
      <c r="U1826" s="385"/>
      <c r="V1826" s="343" t="s">
        <v>10054</v>
      </c>
      <c r="W1826" s="360"/>
      <c r="X1826" s="49" t="str">
        <f t="array" ref="X1826"> if(iserror(MATCH(V1826, 'File Links'!C:C, 0)), "N/A", HYPERLINK(INDEX('File Links'!B:B, MATCH(V1826, 'File Links'!C:C, 0))))</f>
        <v>N/A</v>
      </c>
      <c r="Y1826" s="46"/>
      <c r="Z1826" s="343" t="s">
        <v>2079</v>
      </c>
      <c r="AA1826" s="371" t="s">
        <v>10055</v>
      </c>
      <c r="AB1826" s="343" t="s">
        <v>10524</v>
      </c>
      <c r="AC1826" s="343" t="s">
        <v>10518</v>
      </c>
      <c r="AD1826" s="343" t="s">
        <v>10525</v>
      </c>
      <c r="AE1826" s="343">
        <v>8.0</v>
      </c>
      <c r="AF1826" s="347">
        <v>93.0</v>
      </c>
      <c r="AG1826" s="347" t="s">
        <v>10526</v>
      </c>
      <c r="AH1826" s="343" t="s">
        <v>134</v>
      </c>
      <c r="AI1826" s="343" t="s">
        <v>613</v>
      </c>
      <c r="AJ1826" s="347">
        <v>0.05</v>
      </c>
      <c r="AK1826" s="343" t="s">
        <v>135</v>
      </c>
      <c r="AL1826" s="343" t="s">
        <v>186</v>
      </c>
      <c r="AM1826" s="56" t="s">
        <v>137</v>
      </c>
      <c r="AN1826" s="56" t="s">
        <v>1535</v>
      </c>
      <c r="AO1826" s="347">
        <v>823.0</v>
      </c>
      <c r="AP1826" s="347">
        <v>-0.011</v>
      </c>
      <c r="AQ1826" s="343" t="s">
        <v>215</v>
      </c>
      <c r="AR1826" s="343" t="s">
        <v>10448</v>
      </c>
      <c r="AS1826" s="347">
        <v>0.763</v>
      </c>
      <c r="AT1826" s="343" t="s">
        <v>172</v>
      </c>
      <c r="AU1826" s="343" t="s">
        <v>186</v>
      </c>
      <c r="AV1826" s="56" t="s">
        <v>137</v>
      </c>
      <c r="AW1826" s="1699" t="s">
        <v>10062</v>
      </c>
      <c r="AX1826" s="56" t="s">
        <v>143</v>
      </c>
      <c r="AY1826" s="61" t="str">
        <f>IFERROR(__xludf.DUMMYFUNCTION("vlookup(BB1826,importrange(""https://docs.google.com/spreadsheets/d/1d2vevQ_7D_v35q4wCQ4RpQ_IPoTwEMB9Yp6ymwlPqew/edit?gid=984458430#gid=984458430"", ""'replication success'!A:K""), 11, FAlSE)"),"failed")</f>
        <v>failed</v>
      </c>
      <c r="AZ1826" s="61" t="str">
        <f>IFERROR(__xludf.DUMMYFUNCTION("vlookup(BB1826,importrange(""https://docs.google.com/spreadsheets/d/1d2vevQ_7D_v35q4wCQ4RpQ_IPoTwEMB9Yp6ymwlPqew/edit?gid=984458430#gid=984458430"",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26" s="61" t="str">
        <f>IFERROR(__xludf.DUMMYFUNCTION("vlookup(BB1826,importrange(""https://docs.google.com/spreadsheets/d/1d2vevQ_7D_v35q4wCQ4RpQ_IPoTwEMB9Yp6ymwlPqew/edit?gid=984458430#gid=984458430"", ""'replication success'!A:M""), 13, FAlSE)"),"pg. 7-8")</f>
        <v>pg. 7-8</v>
      </c>
      <c r="BB1826" s="61" t="str">
        <f>IFERROR(__xludf.DUMMYFUNCTION("REGEXREPLACE(G1826, ""_[a-z]{1,2}$"", """")"),"OpenMKT4")</f>
        <v>OpenMKT4</v>
      </c>
      <c r="BC1826" s="342"/>
      <c r="BD1826" s="341" t="s">
        <v>7943</v>
      </c>
    </row>
    <row r="1827">
      <c r="A1827" s="44">
        <v>1827.0</v>
      </c>
      <c r="B1827" s="56" t="s">
        <v>114</v>
      </c>
      <c r="C1827" s="341" t="s">
        <v>115</v>
      </c>
      <c r="D1827" s="341" t="s">
        <v>248</v>
      </c>
      <c r="E1827" s="342"/>
      <c r="F1827" s="56" t="s">
        <v>10527</v>
      </c>
      <c r="G1827" s="56" t="s">
        <v>10527</v>
      </c>
      <c r="H1827" s="343" t="s">
        <v>249</v>
      </c>
      <c r="I1827" s="345">
        <v>45755.0</v>
      </c>
      <c r="J1827" s="1587">
        <v>45772.0</v>
      </c>
      <c r="K1827" s="343" t="s">
        <v>10528</v>
      </c>
      <c r="L1827" s="56" t="s">
        <v>10529</v>
      </c>
      <c r="M1827" s="56" t="s">
        <v>10530</v>
      </c>
      <c r="N1827" s="56" t="s">
        <v>10531</v>
      </c>
      <c r="O1827" s="55">
        <v>1.0</v>
      </c>
      <c r="P1827" s="1696" t="s">
        <v>10532</v>
      </c>
      <c r="Q1827" s="108" t="str">
        <f t="array" ref="Q1827"> if(iserror(MATCH(V1827, 'File Links'!C:C, 0)), "N/A", HYPERLINK(INDEX('File Links'!B:B, MATCH(P1827, 'File Links'!C:C, 0))))</f>
        <v>N/A</v>
      </c>
      <c r="R1827" s="1697" t="s">
        <v>10052</v>
      </c>
      <c r="S1827" s="56" t="s">
        <v>10053</v>
      </c>
      <c r="T1827" s="1798"/>
      <c r="U1827" s="385"/>
      <c r="V1827" s="343" t="s">
        <v>10054</v>
      </c>
      <c r="W1827" s="360"/>
      <c r="X1827" s="49" t="str">
        <f t="array" ref="X1827"> if(iserror(MATCH(V1827, 'File Links'!C:C, 0)), "N/A", HYPERLINK(INDEX('File Links'!B:B, MATCH(V1827, 'File Links'!C:C, 0))))</f>
        <v>N/A</v>
      </c>
      <c r="Y1827" s="46"/>
      <c r="Z1827" s="343" t="s">
        <v>2079</v>
      </c>
      <c r="AA1827" s="56" t="s">
        <v>10055</v>
      </c>
      <c r="AB1827" s="343" t="s">
        <v>10533</v>
      </c>
      <c r="AC1827" s="343" t="s">
        <v>10534</v>
      </c>
      <c r="AD1827" s="343" t="s">
        <v>10535</v>
      </c>
      <c r="AE1827" s="343" t="s">
        <v>5709</v>
      </c>
      <c r="AF1827" s="347">
        <v>126.0</v>
      </c>
      <c r="AG1827" s="347" t="s">
        <v>10536</v>
      </c>
      <c r="AH1827" s="343" t="s">
        <v>134</v>
      </c>
      <c r="AI1827" s="343" t="s">
        <v>496</v>
      </c>
      <c r="AJ1827" s="347">
        <v>0.05</v>
      </c>
      <c r="AK1827" s="343" t="s">
        <v>135</v>
      </c>
      <c r="AL1827" s="343" t="s">
        <v>186</v>
      </c>
      <c r="AM1827" s="56" t="s">
        <v>137</v>
      </c>
      <c r="AN1827" s="56" t="s">
        <v>138</v>
      </c>
      <c r="AO1827" s="347">
        <v>823.0</v>
      </c>
      <c r="AP1827" s="347">
        <v>0.009</v>
      </c>
      <c r="AQ1827" s="343" t="s">
        <v>874</v>
      </c>
      <c r="AR1827" s="343" t="s">
        <v>10537</v>
      </c>
      <c r="AS1827" s="347">
        <v>0.006</v>
      </c>
      <c r="AT1827" s="343" t="s">
        <v>172</v>
      </c>
      <c r="AU1827" s="343" t="s">
        <v>186</v>
      </c>
      <c r="AV1827" s="56" t="s">
        <v>137</v>
      </c>
      <c r="AW1827" s="1699" t="s">
        <v>10062</v>
      </c>
      <c r="AX1827" s="56" t="s">
        <v>143</v>
      </c>
      <c r="AY1827" s="61" t="str">
        <f>IFERROR(__xludf.DUMMYFUNCTION("vlookup(BB1827,importrange(""https://docs.google.com/spreadsheets/d/1d2vevQ_7D_v35q4wCQ4RpQ_IPoTwEMB9Yp6ymwlPqew/edit?gid=984458430#gid=984458430"", ""'replication success'!A:K""), 11, FAlSE)"),"#N/A")</f>
        <v>#N/A</v>
      </c>
      <c r="AZ1827" s="61" t="str">
        <f>IFERROR(__xludf.DUMMYFUNCTION("vlookup(BB1827,importrange(""https://docs.google.com/spreadsheets/d/1d2vevQ_7D_v35q4wCQ4RpQ_IPoTwEMB9Yp6ymwlPqew/edit?gid=984458430#gid=984458430"", ""'replication success'!A:M""), 12, FAlSE)"),"#N/A")</f>
        <v>#N/A</v>
      </c>
      <c r="BA1827" s="61" t="str">
        <f>IFERROR(__xludf.DUMMYFUNCTION("vlookup(BB1827,importrange(""https://docs.google.com/spreadsheets/d/1d2vevQ_7D_v35q4wCQ4RpQ_IPoTwEMB9Yp6ymwlPqew/edit?gid=984458430#gid=984458430"", ""'replication success'!A:M""), 13, FAlSE)"),"#N/A")</f>
        <v>#N/A</v>
      </c>
      <c r="BB1827" s="61" t="str">
        <f>IFERROR(__xludf.DUMMYFUNCTION("REGEXREPLACE(G1827, ""_[a-z]{1,2}$"", """")"),"OpenMKT5_1")</f>
        <v>OpenMKT5_1</v>
      </c>
      <c r="BC1827" s="342"/>
      <c r="BD1827" s="341" t="s">
        <v>7943</v>
      </c>
    </row>
    <row r="1828">
      <c r="A1828" s="44">
        <v>1828.0</v>
      </c>
      <c r="B1828" s="129" t="s">
        <v>114</v>
      </c>
      <c r="C1828" s="62" t="s">
        <v>115</v>
      </c>
      <c r="D1828" s="62" t="s">
        <v>248</v>
      </c>
      <c r="F1828" s="129" t="s">
        <v>10527</v>
      </c>
      <c r="G1828" s="129" t="s">
        <v>10538</v>
      </c>
      <c r="H1828" s="151" t="s">
        <v>249</v>
      </c>
      <c r="I1828" s="153">
        <v>45755.0</v>
      </c>
      <c r="J1828" s="1802">
        <v>45772.0</v>
      </c>
      <c r="K1828" s="151" t="s">
        <v>10539</v>
      </c>
      <c r="L1828" s="56" t="s">
        <v>10529</v>
      </c>
      <c r="M1828" s="129" t="s">
        <v>10530</v>
      </c>
      <c r="N1828" s="129" t="s">
        <v>10531</v>
      </c>
      <c r="O1828" s="501">
        <v>1.0</v>
      </c>
      <c r="P1828" s="528" t="s">
        <v>10532</v>
      </c>
      <c r="Q1828" s="108" t="str">
        <f t="array" ref="Q1828"> if(iserror(MATCH(V1828, 'File Links'!C:C, 0)), "N/A", HYPERLINK(INDEX('File Links'!B:B, MATCH(P1828, 'File Links'!C:C, 0))))</f>
        <v>N/A</v>
      </c>
      <c r="R1828" s="1697" t="s">
        <v>10052</v>
      </c>
      <c r="S1828" s="129" t="s">
        <v>10053</v>
      </c>
      <c r="T1828" s="1379"/>
      <c r="U1828" s="336"/>
      <c r="V1828" s="151" t="s">
        <v>10054</v>
      </c>
      <c r="W1828" s="159"/>
      <c r="X1828" s="49" t="str">
        <f t="array" ref="X1828"> if(iserror(MATCH(V1828, 'File Links'!C:C, 0)), "N/A", HYPERLINK(INDEX('File Links'!B:B, MATCH(V1828, 'File Links'!C:C, 0))))</f>
        <v>N/A</v>
      </c>
      <c r="Y1828" s="68"/>
      <c r="Z1828" s="151" t="s">
        <v>2079</v>
      </c>
      <c r="AA1828" s="371" t="s">
        <v>10055</v>
      </c>
      <c r="AB1828" s="151" t="s">
        <v>10533</v>
      </c>
      <c r="AC1828" s="151" t="s">
        <v>10540</v>
      </c>
      <c r="AD1828" s="151" t="s">
        <v>10541</v>
      </c>
      <c r="AE1828" s="151" t="s">
        <v>5709</v>
      </c>
      <c r="AF1828" s="161">
        <v>126.0</v>
      </c>
      <c r="AG1828" s="161" t="s">
        <v>10542</v>
      </c>
      <c r="AH1828" s="151" t="s">
        <v>134</v>
      </c>
      <c r="AI1828" s="151" t="s">
        <v>496</v>
      </c>
      <c r="AJ1828" s="161">
        <v>0.05</v>
      </c>
      <c r="AK1828" s="151" t="s">
        <v>135</v>
      </c>
      <c r="AL1828" s="151" t="s">
        <v>186</v>
      </c>
      <c r="AM1828" s="129" t="s">
        <v>137</v>
      </c>
      <c r="AN1828" s="129" t="s">
        <v>138</v>
      </c>
      <c r="AO1828" s="161">
        <v>823.0</v>
      </c>
      <c r="AP1828" s="161">
        <v>0.0</v>
      </c>
      <c r="AQ1828" s="151" t="s">
        <v>874</v>
      </c>
      <c r="AR1828" s="151" t="s">
        <v>10543</v>
      </c>
      <c r="AS1828" s="161">
        <v>0.731</v>
      </c>
      <c r="AT1828" s="151" t="s">
        <v>172</v>
      </c>
      <c r="AU1828" s="151" t="s">
        <v>186</v>
      </c>
      <c r="AV1828" s="129" t="s">
        <v>137</v>
      </c>
      <c r="AW1828" s="1808" t="s">
        <v>10062</v>
      </c>
      <c r="AX1828" s="129" t="s">
        <v>143</v>
      </c>
      <c r="AY1828" s="61" t="str">
        <f>IFERROR(__xludf.DUMMYFUNCTION("vlookup(BB1828,importrange(""https://docs.google.com/spreadsheets/d/1d2vevQ_7D_v35q4wCQ4RpQ_IPoTwEMB9Yp6ymwlPqew/edit?gid=984458430#gid=984458430"", ""'replication success'!A:K""), 11, FAlSE)"),"mixed")</f>
        <v>mixed</v>
      </c>
      <c r="AZ1828" s="61" t="str">
        <f>IFERROR(__xludf.DUMMYFUNCTION("vlookup(BB1828,importrange(""https://docs.google.com/spreadsheets/d/1d2vevQ_7D_v35q4wCQ4RpQ_IPoTwEMB9Yp6ymwlPqew/edit?gid=984458430#gid=984458430"",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28" s="61" t="str">
        <f>IFERROR(__xludf.DUMMYFUNCTION("vlookup(BB1828,importrange(""https://docs.google.com/spreadsheets/d/1d2vevQ_7D_v35q4wCQ4RpQ_IPoTwEMB9Yp6ymwlPqew/edit?gid=984458430#gid=984458430"", ""'replication success'!A:M""), 13, FAlSE)"),"pg. 8")</f>
        <v>pg. 8</v>
      </c>
      <c r="BB1828" s="61" t="str">
        <f>IFERROR(__xludf.DUMMYFUNCTION("REGEXREPLACE(G1828, ""_[a-z]{1,2}$"", """")"),"OpenMKT5")</f>
        <v>OpenMKT5</v>
      </c>
      <c r="BD1828" s="1631" t="s">
        <v>7943</v>
      </c>
    </row>
    <row r="1829">
      <c r="A1829" s="44">
        <v>1829.0</v>
      </c>
      <c r="B1829" s="129" t="s">
        <v>114</v>
      </c>
      <c r="C1829" s="62" t="s">
        <v>115</v>
      </c>
      <c r="D1829" s="62" t="s">
        <v>248</v>
      </c>
      <c r="F1829" s="129" t="s">
        <v>10527</v>
      </c>
      <c r="G1829" s="129" t="s">
        <v>10544</v>
      </c>
      <c r="H1829" s="151" t="s">
        <v>249</v>
      </c>
      <c r="I1829" s="153">
        <v>45755.0</v>
      </c>
      <c r="J1829" s="1802">
        <v>45772.0</v>
      </c>
      <c r="K1829" s="151" t="s">
        <v>10545</v>
      </c>
      <c r="L1829" s="56" t="s">
        <v>10529</v>
      </c>
      <c r="M1829" s="129" t="s">
        <v>10530</v>
      </c>
      <c r="N1829" s="129" t="s">
        <v>10531</v>
      </c>
      <c r="O1829" s="501">
        <v>1.0</v>
      </c>
      <c r="P1829" s="528" t="s">
        <v>10532</v>
      </c>
      <c r="Q1829" s="108" t="str">
        <f t="array" ref="Q1829"> if(iserror(MATCH(V1829, 'File Links'!C:C, 0)), "N/A", HYPERLINK(INDEX('File Links'!B:B, MATCH(P1829, 'File Links'!C:C, 0))))</f>
        <v>N/A</v>
      </c>
      <c r="R1829" s="1697" t="s">
        <v>10052</v>
      </c>
      <c r="S1829" s="129" t="s">
        <v>10053</v>
      </c>
      <c r="T1829" s="1379"/>
      <c r="U1829" s="336"/>
      <c r="V1829" s="151" t="s">
        <v>10054</v>
      </c>
      <c r="W1829" s="159"/>
      <c r="X1829" s="49" t="str">
        <f t="array" ref="X1829"> if(iserror(MATCH(V1829, 'File Links'!C:C, 0)), "N/A", HYPERLINK(INDEX('File Links'!B:B, MATCH(V1829, 'File Links'!C:C, 0))))</f>
        <v>N/A</v>
      </c>
      <c r="Y1829" s="68"/>
      <c r="Z1829" s="151" t="s">
        <v>2079</v>
      </c>
      <c r="AA1829" s="371" t="s">
        <v>10055</v>
      </c>
      <c r="AB1829" s="151" t="s">
        <v>10533</v>
      </c>
      <c r="AC1829" s="151" t="s">
        <v>10546</v>
      </c>
      <c r="AD1829" s="151" t="s">
        <v>10547</v>
      </c>
      <c r="AE1829" s="151" t="s">
        <v>5709</v>
      </c>
      <c r="AF1829" s="161">
        <v>126.0</v>
      </c>
      <c r="AG1829" s="161" t="s">
        <v>10548</v>
      </c>
      <c r="AH1829" s="151" t="s">
        <v>134</v>
      </c>
      <c r="AI1829" s="151" t="s">
        <v>496</v>
      </c>
      <c r="AJ1829" s="161">
        <v>0.01</v>
      </c>
      <c r="AK1829" s="151" t="s">
        <v>135</v>
      </c>
      <c r="AL1829" s="151" t="s">
        <v>186</v>
      </c>
      <c r="AM1829" s="129" t="s">
        <v>137</v>
      </c>
      <c r="AN1829" s="129" t="s">
        <v>138</v>
      </c>
      <c r="AO1829" s="161">
        <v>823.0</v>
      </c>
      <c r="AP1829" s="161">
        <v>0.001</v>
      </c>
      <c r="AQ1829" s="151" t="s">
        <v>874</v>
      </c>
      <c r="AR1829" s="151" t="s">
        <v>10549</v>
      </c>
      <c r="AS1829" s="161">
        <v>0.305</v>
      </c>
      <c r="AT1829" s="151" t="s">
        <v>172</v>
      </c>
      <c r="AU1829" s="151" t="s">
        <v>186</v>
      </c>
      <c r="AV1829" s="129" t="s">
        <v>137</v>
      </c>
      <c r="AW1829" s="1808" t="s">
        <v>10062</v>
      </c>
      <c r="AX1829" s="129" t="s">
        <v>143</v>
      </c>
      <c r="AY1829" s="61" t="str">
        <f>IFERROR(__xludf.DUMMYFUNCTION("vlookup(BB1829,importrange(""https://docs.google.com/spreadsheets/d/1d2vevQ_7D_v35q4wCQ4RpQ_IPoTwEMB9Yp6ymwlPqew/edit?gid=984458430#gid=984458430"", ""'replication success'!A:K""), 11, FAlSE)"),"mixed")</f>
        <v>mixed</v>
      </c>
      <c r="AZ1829" s="61" t="str">
        <f>IFERROR(__xludf.DUMMYFUNCTION("vlookup(BB1829,importrange(""https://docs.google.com/spreadsheets/d/1d2vevQ_7D_v35q4wCQ4RpQ_IPoTwEMB9Yp6ymwlPqew/edit?gid=984458430#gid=984458430"",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29" s="61" t="str">
        <f>IFERROR(__xludf.DUMMYFUNCTION("vlookup(BB1829,importrange(""https://docs.google.com/spreadsheets/d/1d2vevQ_7D_v35q4wCQ4RpQ_IPoTwEMB9Yp6ymwlPqew/edit?gid=984458430#gid=984458430"", ""'replication success'!A:M""), 13, FAlSE)"),"pg. 8")</f>
        <v>pg. 8</v>
      </c>
      <c r="BB1829" s="61" t="str">
        <f>IFERROR(__xludf.DUMMYFUNCTION("REGEXREPLACE(G1829, ""_[a-z]{1,2}$"", """")"),"OpenMKT5")</f>
        <v>OpenMKT5</v>
      </c>
      <c r="BD1829" s="1631" t="s">
        <v>7943</v>
      </c>
    </row>
    <row r="1830">
      <c r="A1830" s="44">
        <v>1830.0</v>
      </c>
      <c r="B1830" s="129" t="s">
        <v>114</v>
      </c>
      <c r="C1830" s="62" t="s">
        <v>115</v>
      </c>
      <c r="D1830" s="62" t="s">
        <v>248</v>
      </c>
      <c r="F1830" s="129" t="s">
        <v>10527</v>
      </c>
      <c r="G1830" s="129" t="s">
        <v>10550</v>
      </c>
      <c r="H1830" s="151" t="s">
        <v>249</v>
      </c>
      <c r="I1830" s="153">
        <v>45755.0</v>
      </c>
      <c r="J1830" s="1802">
        <v>45772.0</v>
      </c>
      <c r="K1830" s="151" t="s">
        <v>10551</v>
      </c>
      <c r="L1830" s="56" t="s">
        <v>10529</v>
      </c>
      <c r="M1830" s="129" t="s">
        <v>10530</v>
      </c>
      <c r="N1830" s="129" t="s">
        <v>10531</v>
      </c>
      <c r="O1830" s="501">
        <v>1.0</v>
      </c>
      <c r="P1830" s="528" t="s">
        <v>10532</v>
      </c>
      <c r="Q1830" s="108" t="str">
        <f t="array" ref="Q1830"> if(iserror(MATCH(V1830, 'File Links'!C:C, 0)), "N/A", HYPERLINK(INDEX('File Links'!B:B, MATCH(P1830, 'File Links'!C:C, 0))))</f>
        <v>N/A</v>
      </c>
      <c r="R1830" s="1697" t="s">
        <v>10052</v>
      </c>
      <c r="S1830" s="129" t="s">
        <v>10053</v>
      </c>
      <c r="T1830" s="1379"/>
      <c r="U1830" s="336"/>
      <c r="V1830" s="151" t="s">
        <v>10054</v>
      </c>
      <c r="W1830" s="159"/>
      <c r="X1830" s="49" t="str">
        <f t="array" ref="X1830"> if(iserror(MATCH(V1830, 'File Links'!C:C, 0)), "N/A", HYPERLINK(INDEX('File Links'!B:B, MATCH(V1830, 'File Links'!C:C, 0))))</f>
        <v>N/A</v>
      </c>
      <c r="Y1830" s="68"/>
      <c r="Z1830" s="151" t="s">
        <v>2079</v>
      </c>
      <c r="AA1830" s="371" t="s">
        <v>10055</v>
      </c>
      <c r="AB1830" s="151" t="s">
        <v>10533</v>
      </c>
      <c r="AC1830" s="151" t="s">
        <v>10552</v>
      </c>
      <c r="AD1830" s="151" t="s">
        <v>10553</v>
      </c>
      <c r="AE1830" s="151">
        <v>5.0</v>
      </c>
      <c r="AF1830" s="161">
        <v>126.0</v>
      </c>
      <c r="AG1830" s="161" t="s">
        <v>10554</v>
      </c>
      <c r="AH1830" s="151" t="s">
        <v>134</v>
      </c>
      <c r="AI1830" s="151" t="s">
        <v>882</v>
      </c>
      <c r="AJ1830" s="161">
        <v>0.01</v>
      </c>
      <c r="AK1830" s="151" t="s">
        <v>135</v>
      </c>
      <c r="AL1830" s="151" t="s">
        <v>186</v>
      </c>
      <c r="AM1830" s="129" t="s">
        <v>137</v>
      </c>
      <c r="AN1830" s="129" t="s">
        <v>138</v>
      </c>
      <c r="AO1830" s="161">
        <v>823.0</v>
      </c>
      <c r="AP1830" s="161">
        <v>0.0</v>
      </c>
      <c r="AQ1830" s="151" t="s">
        <v>874</v>
      </c>
      <c r="AR1830" s="151" t="s">
        <v>10555</v>
      </c>
      <c r="AS1830" s="161">
        <v>0.736</v>
      </c>
      <c r="AT1830" s="151" t="s">
        <v>172</v>
      </c>
      <c r="AU1830" s="151" t="s">
        <v>186</v>
      </c>
      <c r="AV1830" s="129" t="s">
        <v>137</v>
      </c>
      <c r="AW1830" s="1808" t="s">
        <v>10062</v>
      </c>
      <c r="AX1830" s="129" t="s">
        <v>143</v>
      </c>
      <c r="AY1830" s="61" t="str">
        <f>IFERROR(__xludf.DUMMYFUNCTION("vlookup(BB1830,importrange(""https://docs.google.com/spreadsheets/d/1d2vevQ_7D_v35q4wCQ4RpQ_IPoTwEMB9Yp6ymwlPqew/edit?gid=984458430#gid=984458430"", ""'replication success'!A:K""), 11, FAlSE)"),"mixed")</f>
        <v>mixed</v>
      </c>
      <c r="AZ1830" s="61" t="str">
        <f>IFERROR(__xludf.DUMMYFUNCTION("vlookup(BB1830,importrange(""https://docs.google.com/spreadsheets/d/1d2vevQ_7D_v35q4wCQ4RpQ_IPoTwEMB9Yp6ymwlPqew/edit?gid=984458430#gid=984458430"",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0" s="61" t="str">
        <f>IFERROR(__xludf.DUMMYFUNCTION("vlookup(BB1830,importrange(""https://docs.google.com/spreadsheets/d/1d2vevQ_7D_v35q4wCQ4RpQ_IPoTwEMB9Yp6ymwlPqew/edit?gid=984458430#gid=984458430"", ""'replication success'!A:M""), 13, FAlSE)"),"pg. 8")</f>
        <v>pg. 8</v>
      </c>
      <c r="BB1830" s="61" t="str">
        <f>IFERROR(__xludf.DUMMYFUNCTION("REGEXREPLACE(G1830, ""_[a-z]{1,2}$"", """")"),"OpenMKT5")</f>
        <v>OpenMKT5</v>
      </c>
      <c r="BD1830" s="1631" t="s">
        <v>7943</v>
      </c>
    </row>
    <row r="1831">
      <c r="A1831" s="44">
        <v>1831.0</v>
      </c>
      <c r="B1831" s="129" t="s">
        <v>114</v>
      </c>
      <c r="C1831" s="62" t="s">
        <v>115</v>
      </c>
      <c r="D1831" s="62" t="s">
        <v>248</v>
      </c>
      <c r="F1831" s="129" t="s">
        <v>10527</v>
      </c>
      <c r="G1831" s="129" t="s">
        <v>10556</v>
      </c>
      <c r="H1831" s="151" t="s">
        <v>249</v>
      </c>
      <c r="I1831" s="153">
        <v>45755.0</v>
      </c>
      <c r="J1831" s="1802">
        <v>45772.0</v>
      </c>
      <c r="K1831" s="151" t="s">
        <v>10557</v>
      </c>
      <c r="L1831" s="56" t="s">
        <v>10529</v>
      </c>
      <c r="M1831" s="129" t="s">
        <v>10530</v>
      </c>
      <c r="N1831" s="129" t="s">
        <v>10531</v>
      </c>
      <c r="O1831" s="501">
        <v>1.0</v>
      </c>
      <c r="P1831" s="528" t="s">
        <v>10532</v>
      </c>
      <c r="Q1831" s="108" t="str">
        <f t="array" ref="Q1831"> if(iserror(MATCH(V1831, 'File Links'!C:C, 0)), "N/A", HYPERLINK(INDEX('File Links'!B:B, MATCH(P1831, 'File Links'!C:C, 0))))</f>
        <v>N/A</v>
      </c>
      <c r="R1831" s="1697" t="s">
        <v>10052</v>
      </c>
      <c r="S1831" s="129" t="s">
        <v>10053</v>
      </c>
      <c r="T1831" s="1379"/>
      <c r="U1831" s="336"/>
      <c r="V1831" s="151" t="s">
        <v>10054</v>
      </c>
      <c r="W1831" s="159"/>
      <c r="X1831" s="49" t="str">
        <f t="array" ref="X1831"> if(iserror(MATCH(V1831, 'File Links'!C:C, 0)), "N/A", HYPERLINK(INDEX('File Links'!B:B, MATCH(V1831, 'File Links'!C:C, 0))))</f>
        <v>N/A</v>
      </c>
      <c r="Y1831" s="68"/>
      <c r="Z1831" s="151" t="s">
        <v>2079</v>
      </c>
      <c r="AA1831" s="371" t="s">
        <v>10055</v>
      </c>
      <c r="AB1831" s="151" t="s">
        <v>10533</v>
      </c>
      <c r="AC1831" s="151" t="s">
        <v>10558</v>
      </c>
      <c r="AD1831" s="151" t="s">
        <v>10559</v>
      </c>
      <c r="AE1831" s="151">
        <v>5.0</v>
      </c>
      <c r="AF1831" s="161">
        <v>126.0</v>
      </c>
      <c r="AG1831" s="161" t="s">
        <v>10560</v>
      </c>
      <c r="AH1831" s="151" t="s">
        <v>134</v>
      </c>
      <c r="AI1831" s="151" t="s">
        <v>882</v>
      </c>
      <c r="AJ1831" s="161">
        <v>0.01</v>
      </c>
      <c r="AK1831" s="151" t="s">
        <v>135</v>
      </c>
      <c r="AL1831" s="151" t="s">
        <v>186</v>
      </c>
      <c r="AM1831" s="129" t="s">
        <v>137</v>
      </c>
      <c r="AN1831" s="129" t="s">
        <v>138</v>
      </c>
      <c r="AO1831" s="161">
        <v>823.0</v>
      </c>
      <c r="AP1831" s="161">
        <v>0.001</v>
      </c>
      <c r="AQ1831" s="151" t="s">
        <v>874</v>
      </c>
      <c r="AR1831" s="151" t="s">
        <v>10561</v>
      </c>
      <c r="AS1831" s="161">
        <v>0.279</v>
      </c>
      <c r="AT1831" s="151" t="s">
        <v>172</v>
      </c>
      <c r="AU1831" s="151" t="s">
        <v>186</v>
      </c>
      <c r="AV1831" s="129" t="s">
        <v>137</v>
      </c>
      <c r="AW1831" s="1808" t="s">
        <v>10062</v>
      </c>
      <c r="AX1831" s="129" t="s">
        <v>143</v>
      </c>
      <c r="AY1831" s="61" t="str">
        <f>IFERROR(__xludf.DUMMYFUNCTION("vlookup(BB1831,importrange(""https://docs.google.com/spreadsheets/d/1d2vevQ_7D_v35q4wCQ4RpQ_IPoTwEMB9Yp6ymwlPqew/edit?gid=984458430#gid=984458430"", ""'replication success'!A:K""), 11, FAlSE)"),"mixed")</f>
        <v>mixed</v>
      </c>
      <c r="AZ1831" s="61" t="str">
        <f>IFERROR(__xludf.DUMMYFUNCTION("vlookup(BB1831,importrange(""https://docs.google.com/spreadsheets/d/1d2vevQ_7D_v35q4wCQ4RpQ_IPoTwEMB9Yp6ymwlPqew/edit?gid=984458430#gid=984458430"",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1" s="61" t="str">
        <f>IFERROR(__xludf.DUMMYFUNCTION("vlookup(BB1831,importrange(""https://docs.google.com/spreadsheets/d/1d2vevQ_7D_v35q4wCQ4RpQ_IPoTwEMB9Yp6ymwlPqew/edit?gid=984458430#gid=984458430"", ""'replication success'!A:M""), 13, FAlSE)"),"pg. 8")</f>
        <v>pg. 8</v>
      </c>
      <c r="BB1831" s="61" t="str">
        <f>IFERROR(__xludf.DUMMYFUNCTION("REGEXREPLACE(G1831, ""_[a-z]{1,2}$"", """")"),"OpenMKT5")</f>
        <v>OpenMKT5</v>
      </c>
      <c r="BD1831" s="1631" t="s">
        <v>7943</v>
      </c>
    </row>
    <row r="1832">
      <c r="A1832" s="44">
        <v>1832.0</v>
      </c>
      <c r="B1832" s="56" t="s">
        <v>114</v>
      </c>
      <c r="C1832" s="341" t="s">
        <v>115</v>
      </c>
      <c r="D1832" s="341" t="s">
        <v>248</v>
      </c>
      <c r="E1832" s="342"/>
      <c r="F1832" s="56" t="s">
        <v>10527</v>
      </c>
      <c r="G1832" s="56" t="s">
        <v>10562</v>
      </c>
      <c r="H1832" s="343" t="s">
        <v>249</v>
      </c>
      <c r="I1832" s="345">
        <v>45755.0</v>
      </c>
      <c r="J1832" s="1587">
        <v>45772.0</v>
      </c>
      <c r="K1832" s="343" t="s">
        <v>10563</v>
      </c>
      <c r="L1832" s="56" t="s">
        <v>10529</v>
      </c>
      <c r="M1832" s="56" t="s">
        <v>10530</v>
      </c>
      <c r="N1832" s="56" t="s">
        <v>10531</v>
      </c>
      <c r="O1832" s="55">
        <v>1.0</v>
      </c>
      <c r="P1832" s="1696" t="s">
        <v>10532</v>
      </c>
      <c r="Q1832" s="108" t="str">
        <f t="array" ref="Q1832"> if(iserror(MATCH(V1832, 'File Links'!C:C, 0)), "N/A", HYPERLINK(INDEX('File Links'!B:B, MATCH(P1832, 'File Links'!C:C, 0))))</f>
        <v>N/A</v>
      </c>
      <c r="R1832" s="1697" t="s">
        <v>10052</v>
      </c>
      <c r="S1832" s="56" t="s">
        <v>10053</v>
      </c>
      <c r="T1832" s="1798"/>
      <c r="U1832" s="385"/>
      <c r="V1832" s="343" t="s">
        <v>10054</v>
      </c>
      <c r="W1832" s="360"/>
      <c r="X1832" s="49" t="str">
        <f t="array" ref="X1832"> if(iserror(MATCH(V1832, 'File Links'!C:C, 0)), "N/A", HYPERLINK(INDEX('File Links'!B:B, MATCH(V1832, 'File Links'!C:C, 0))))</f>
        <v>N/A</v>
      </c>
      <c r="Y1832" s="46"/>
      <c r="Z1832" s="343" t="s">
        <v>2079</v>
      </c>
      <c r="AA1832" s="56" t="s">
        <v>10055</v>
      </c>
      <c r="AB1832" s="343" t="s">
        <v>10533</v>
      </c>
      <c r="AC1832" s="343" t="s">
        <v>10564</v>
      </c>
      <c r="AD1832" s="343" t="s">
        <v>10565</v>
      </c>
      <c r="AE1832" s="343">
        <v>5.0</v>
      </c>
      <c r="AF1832" s="347">
        <v>126.0</v>
      </c>
      <c r="AG1832" s="347" t="s">
        <v>10566</v>
      </c>
      <c r="AH1832" s="343" t="s">
        <v>134</v>
      </c>
      <c r="AI1832" s="343" t="s">
        <v>882</v>
      </c>
      <c r="AJ1832" s="347">
        <v>0.05</v>
      </c>
      <c r="AK1832" s="343" t="s">
        <v>135</v>
      </c>
      <c r="AL1832" s="343" t="s">
        <v>186</v>
      </c>
      <c r="AM1832" s="56" t="s">
        <v>137</v>
      </c>
      <c r="AN1832" s="56" t="s">
        <v>138</v>
      </c>
      <c r="AO1832" s="347">
        <v>823.0</v>
      </c>
      <c r="AP1832" s="347">
        <v>0.002</v>
      </c>
      <c r="AQ1832" s="343" t="s">
        <v>874</v>
      </c>
      <c r="AR1832" s="343" t="s">
        <v>10567</v>
      </c>
      <c r="AS1832" s="347">
        <v>0.237</v>
      </c>
      <c r="AT1832" s="343" t="s">
        <v>172</v>
      </c>
      <c r="AU1832" s="343" t="s">
        <v>186</v>
      </c>
      <c r="AV1832" s="56" t="s">
        <v>137</v>
      </c>
      <c r="AW1832" s="1699" t="s">
        <v>10062</v>
      </c>
      <c r="AX1832" s="56" t="s">
        <v>143</v>
      </c>
      <c r="AY1832" s="61" t="str">
        <f>IFERROR(__xludf.DUMMYFUNCTION("vlookup(BB1832,importrange(""https://docs.google.com/spreadsheets/d/1d2vevQ_7D_v35q4wCQ4RpQ_IPoTwEMB9Yp6ymwlPqew/edit?gid=984458430#gid=984458430"", ""'replication success'!A:K""), 11, FAlSE)"),"mixed")</f>
        <v>mixed</v>
      </c>
      <c r="AZ1832" s="61" t="str">
        <f>IFERROR(__xludf.DUMMYFUNCTION("vlookup(BB1832,importrange(""https://docs.google.com/spreadsheets/d/1d2vevQ_7D_v35q4wCQ4RpQ_IPoTwEMB9Yp6ymwlPqew/edit?gid=984458430#gid=984458430"",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2" s="61" t="str">
        <f>IFERROR(__xludf.DUMMYFUNCTION("vlookup(BB1832,importrange(""https://docs.google.com/spreadsheets/d/1d2vevQ_7D_v35q4wCQ4RpQ_IPoTwEMB9Yp6ymwlPqew/edit?gid=984458430#gid=984458430"", ""'replication success'!A:M""), 13, FAlSE)"),"pg. 8")</f>
        <v>pg. 8</v>
      </c>
      <c r="BB1832" s="61" t="str">
        <f>IFERROR(__xludf.DUMMYFUNCTION("REGEXREPLACE(G1832, ""_[a-z]{1,2}$"", """")"),"OpenMKT5")</f>
        <v>OpenMKT5</v>
      </c>
      <c r="BC1832" s="342"/>
      <c r="BD1832" s="341" t="s">
        <v>7943</v>
      </c>
    </row>
    <row r="1833">
      <c r="A1833" s="44">
        <v>1833.0</v>
      </c>
      <c r="B1833" s="56" t="s">
        <v>152</v>
      </c>
      <c r="C1833" s="341" t="s">
        <v>115</v>
      </c>
      <c r="D1833" s="341" t="s">
        <v>145</v>
      </c>
      <c r="E1833" s="342"/>
      <c r="F1833" s="56" t="s">
        <v>10527</v>
      </c>
      <c r="G1833" s="56" t="s">
        <v>10568</v>
      </c>
      <c r="H1833" s="343" t="s">
        <v>10123</v>
      </c>
      <c r="I1833" s="345">
        <v>45758.0</v>
      </c>
      <c r="J1833" s="1587">
        <v>45772.0</v>
      </c>
      <c r="K1833" s="360"/>
      <c r="L1833" s="56" t="s">
        <v>10168</v>
      </c>
      <c r="M1833" s="56" t="s">
        <v>10530</v>
      </c>
      <c r="N1833" s="56" t="s">
        <v>10531</v>
      </c>
      <c r="O1833" s="55">
        <v>1.0</v>
      </c>
      <c r="P1833" s="1696" t="s">
        <v>10532</v>
      </c>
      <c r="Q1833" s="108" t="str">
        <f t="array" ref="Q1833"> if(iserror(MATCH(V1833, 'File Links'!C:C, 0)), "N/A", HYPERLINK(INDEX('File Links'!B:B, MATCH(P1833, 'File Links'!C:C, 0))))</f>
        <v>N/A</v>
      </c>
      <c r="R1833" s="1697" t="s">
        <v>10052</v>
      </c>
      <c r="S1833" s="56" t="s">
        <v>10053</v>
      </c>
      <c r="T1833" s="1798"/>
      <c r="U1833" s="385"/>
      <c r="V1833" s="343" t="s">
        <v>10054</v>
      </c>
      <c r="W1833" s="360"/>
      <c r="X1833" s="49" t="str">
        <f t="array" ref="X1833"> if(iserror(MATCH(V1833, 'File Links'!C:C, 0)), "N/A", HYPERLINK(INDEX('File Links'!B:B, MATCH(V1833, 'File Links'!C:C, 0))))</f>
        <v>N/A</v>
      </c>
      <c r="Y1833" s="46"/>
      <c r="Z1833" s="343" t="s">
        <v>2079</v>
      </c>
      <c r="AA1833" s="371" t="s">
        <v>10055</v>
      </c>
      <c r="AB1833" s="343" t="s">
        <v>10569</v>
      </c>
      <c r="AC1833" s="343" t="s">
        <v>10534</v>
      </c>
      <c r="AD1833" s="343" t="s">
        <v>10535</v>
      </c>
      <c r="AE1833" s="343" t="s">
        <v>5709</v>
      </c>
      <c r="AF1833" s="347">
        <v>126.0</v>
      </c>
      <c r="AG1833" s="347" t="s">
        <v>10570</v>
      </c>
      <c r="AH1833" s="343" t="s">
        <v>134</v>
      </c>
      <c r="AI1833" s="343" t="s">
        <v>850</v>
      </c>
      <c r="AJ1833" s="347">
        <v>0.01</v>
      </c>
      <c r="AK1833" s="343" t="s">
        <v>135</v>
      </c>
      <c r="AL1833" s="343" t="s">
        <v>186</v>
      </c>
      <c r="AM1833" s="56" t="s">
        <v>137</v>
      </c>
      <c r="AN1833" s="56" t="s">
        <v>1535</v>
      </c>
      <c r="AO1833" s="347">
        <v>823.0</v>
      </c>
      <c r="AP1833" s="347">
        <v>0.095</v>
      </c>
      <c r="AQ1833" s="343" t="s">
        <v>215</v>
      </c>
      <c r="AR1833" s="343" t="s">
        <v>10448</v>
      </c>
      <c r="AS1833" s="347">
        <v>0.006</v>
      </c>
      <c r="AT1833" s="343" t="s">
        <v>172</v>
      </c>
      <c r="AU1833" s="343" t="s">
        <v>186</v>
      </c>
      <c r="AV1833" s="56" t="s">
        <v>137</v>
      </c>
      <c r="AW1833" s="1699" t="s">
        <v>10062</v>
      </c>
      <c r="AX1833" s="56" t="s">
        <v>143</v>
      </c>
      <c r="AY1833" s="61" t="str">
        <f>IFERROR(__xludf.DUMMYFUNCTION("vlookup(BB1833,importrange(""https://docs.google.com/spreadsheets/d/1d2vevQ_7D_v35q4wCQ4RpQ_IPoTwEMB9Yp6ymwlPqew/edit?gid=984458430#gid=984458430"", ""'replication success'!A:K""), 11, FAlSE)"),"mixed")</f>
        <v>mixed</v>
      </c>
      <c r="AZ1833" s="61" t="str">
        <f>IFERROR(__xludf.DUMMYFUNCTION("vlookup(BB1833,importrange(""https://docs.google.com/spreadsheets/d/1d2vevQ_7D_v35q4wCQ4RpQ_IPoTwEMB9Yp6ymwlPqew/edit?gid=984458430#gid=984458430"",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3" s="61" t="str">
        <f>IFERROR(__xludf.DUMMYFUNCTION("vlookup(BB1833,importrange(""https://docs.google.com/spreadsheets/d/1d2vevQ_7D_v35q4wCQ4RpQ_IPoTwEMB9Yp6ymwlPqew/edit?gid=984458430#gid=984458430"", ""'replication success'!A:M""), 13, FAlSE)"),"pg. 8")</f>
        <v>pg. 8</v>
      </c>
      <c r="BB1833" s="61" t="str">
        <f>IFERROR(__xludf.DUMMYFUNCTION("REGEXREPLACE(G1833, ""_[a-z]{1,2}$"", """")"),"OpenMKT5")</f>
        <v>OpenMKT5</v>
      </c>
      <c r="BC1833" s="342"/>
      <c r="BD1833" s="341" t="s">
        <v>7943</v>
      </c>
    </row>
    <row r="1834">
      <c r="A1834" s="44">
        <v>1834.0</v>
      </c>
      <c r="B1834" s="129" t="s">
        <v>152</v>
      </c>
      <c r="C1834" s="62" t="s">
        <v>115</v>
      </c>
      <c r="D1834" s="62" t="s">
        <v>145</v>
      </c>
      <c r="F1834" s="129" t="s">
        <v>10571</v>
      </c>
      <c r="G1834" s="129" t="s">
        <v>10538</v>
      </c>
      <c r="H1834" s="151" t="s">
        <v>10123</v>
      </c>
      <c r="I1834" s="153">
        <v>45758.0</v>
      </c>
      <c r="J1834" s="1587">
        <v>45772.0</v>
      </c>
      <c r="K1834" s="159"/>
      <c r="L1834" s="56" t="s">
        <v>10168</v>
      </c>
      <c r="M1834" s="129" t="s">
        <v>10530</v>
      </c>
      <c r="N1834" s="129" t="s">
        <v>10531</v>
      </c>
      <c r="O1834" s="501">
        <v>1.0</v>
      </c>
      <c r="P1834" s="528" t="s">
        <v>10532</v>
      </c>
      <c r="Q1834" s="108" t="str">
        <f t="array" ref="Q1834"> if(iserror(MATCH(V1834, 'File Links'!C:C, 0)), "N/A", HYPERLINK(INDEX('File Links'!B:B, MATCH(P1834, 'File Links'!C:C, 0))))</f>
        <v>N/A</v>
      </c>
      <c r="R1834" s="1697" t="s">
        <v>10052</v>
      </c>
      <c r="S1834" s="129" t="s">
        <v>10053</v>
      </c>
      <c r="T1834" s="1379"/>
      <c r="U1834" s="336"/>
      <c r="V1834" s="151" t="s">
        <v>10054</v>
      </c>
      <c r="W1834" s="159"/>
      <c r="X1834" s="49" t="str">
        <f t="array" ref="X1834"> if(iserror(MATCH(V1834, 'File Links'!C:C, 0)), "N/A", HYPERLINK(INDEX('File Links'!B:B, MATCH(V1834, 'File Links'!C:C, 0))))</f>
        <v>N/A</v>
      </c>
      <c r="Y1834" s="68"/>
      <c r="Z1834" s="151" t="s">
        <v>2079</v>
      </c>
      <c r="AA1834" s="371" t="s">
        <v>10055</v>
      </c>
      <c r="AB1834" s="151" t="s">
        <v>10569</v>
      </c>
      <c r="AC1834" s="151" t="s">
        <v>10540</v>
      </c>
      <c r="AD1834" s="151" t="s">
        <v>10541</v>
      </c>
      <c r="AE1834" s="151" t="s">
        <v>5709</v>
      </c>
      <c r="AF1834" s="161">
        <v>126.0</v>
      </c>
      <c r="AG1834" s="161" t="s">
        <v>10542</v>
      </c>
      <c r="AH1834" s="151" t="s">
        <v>134</v>
      </c>
      <c r="AI1834" s="151" t="s">
        <v>850</v>
      </c>
      <c r="AJ1834" s="161">
        <v>0.05</v>
      </c>
      <c r="AK1834" s="151" t="s">
        <v>135</v>
      </c>
      <c r="AL1834" s="151" t="s">
        <v>186</v>
      </c>
      <c r="AM1834" s="129" t="s">
        <v>137</v>
      </c>
      <c r="AN1834" s="129" t="s">
        <v>1535</v>
      </c>
      <c r="AO1834" s="161">
        <v>823.0</v>
      </c>
      <c r="AP1834" s="161">
        <v>0.012</v>
      </c>
      <c r="AQ1834" s="151" t="s">
        <v>215</v>
      </c>
      <c r="AR1834" s="151" t="s">
        <v>10448</v>
      </c>
      <c r="AS1834" s="161">
        <v>0.731</v>
      </c>
      <c r="AT1834" s="151" t="s">
        <v>172</v>
      </c>
      <c r="AU1834" s="151" t="s">
        <v>186</v>
      </c>
      <c r="AV1834" s="129" t="s">
        <v>137</v>
      </c>
      <c r="AW1834" s="1308" t="s">
        <v>10062</v>
      </c>
      <c r="AX1834" s="129" t="s">
        <v>143</v>
      </c>
      <c r="AY1834" s="61" t="str">
        <f>IFERROR(__xludf.DUMMYFUNCTION("vlookup(BB1834,importrange(""https://docs.google.com/spreadsheets/d/1d2vevQ_7D_v35q4wCQ4RpQ_IPoTwEMB9Yp6ymwlPqew/edit?gid=984458430#gid=984458430"", ""'replication success'!A:K""), 11, FAlSE)"),"mixed")</f>
        <v>mixed</v>
      </c>
      <c r="AZ1834" s="61" t="str">
        <f>IFERROR(__xludf.DUMMYFUNCTION("vlookup(BB1834,importrange(""https://docs.google.com/spreadsheets/d/1d2vevQ_7D_v35q4wCQ4RpQ_IPoTwEMB9Yp6ymwlPqew/edit?gid=984458430#gid=984458430"",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4" s="61" t="str">
        <f>IFERROR(__xludf.DUMMYFUNCTION("vlookup(BB1834,importrange(""https://docs.google.com/spreadsheets/d/1d2vevQ_7D_v35q4wCQ4RpQ_IPoTwEMB9Yp6ymwlPqew/edit?gid=984458430#gid=984458430"", ""'replication success'!A:M""), 13, FAlSE)"),"pg. 8")</f>
        <v>pg. 8</v>
      </c>
      <c r="BB1834" s="61" t="str">
        <f>IFERROR(__xludf.DUMMYFUNCTION("REGEXREPLACE(G1834, ""_[a-z]{1,2}$"", """")"),"OpenMKT5")</f>
        <v>OpenMKT5</v>
      </c>
      <c r="BD1834" s="341" t="s">
        <v>7943</v>
      </c>
    </row>
    <row r="1835">
      <c r="A1835" s="44">
        <v>1835.0</v>
      </c>
      <c r="B1835" s="129" t="s">
        <v>152</v>
      </c>
      <c r="C1835" s="62" t="s">
        <v>115</v>
      </c>
      <c r="D1835" s="62" t="s">
        <v>145</v>
      </c>
      <c r="F1835" s="129" t="s">
        <v>10572</v>
      </c>
      <c r="G1835" s="129" t="s">
        <v>10544</v>
      </c>
      <c r="H1835" s="151" t="s">
        <v>10123</v>
      </c>
      <c r="I1835" s="153">
        <v>45758.0</v>
      </c>
      <c r="J1835" s="1587">
        <v>45772.0</v>
      </c>
      <c r="K1835" s="159"/>
      <c r="L1835" s="56" t="s">
        <v>10168</v>
      </c>
      <c r="M1835" s="129" t="s">
        <v>10530</v>
      </c>
      <c r="N1835" s="129" t="s">
        <v>10531</v>
      </c>
      <c r="O1835" s="501">
        <v>1.0</v>
      </c>
      <c r="P1835" s="528" t="s">
        <v>10532</v>
      </c>
      <c r="Q1835" s="108" t="str">
        <f t="array" ref="Q1835"> if(iserror(MATCH(V1835, 'File Links'!C:C, 0)), "N/A", HYPERLINK(INDEX('File Links'!B:B, MATCH(P1835, 'File Links'!C:C, 0))))</f>
        <v>N/A</v>
      </c>
      <c r="R1835" s="1697" t="s">
        <v>10052</v>
      </c>
      <c r="S1835" s="129" t="s">
        <v>10053</v>
      </c>
      <c r="T1835" s="1379"/>
      <c r="U1835" s="336"/>
      <c r="V1835" s="151" t="s">
        <v>10054</v>
      </c>
      <c r="W1835" s="159"/>
      <c r="X1835" s="49" t="str">
        <f t="array" ref="X1835"> if(iserror(MATCH(V1835, 'File Links'!C:C, 0)), "N/A", HYPERLINK(INDEX('File Links'!B:B, MATCH(V1835, 'File Links'!C:C, 0))))</f>
        <v>N/A</v>
      </c>
      <c r="Y1835" s="68"/>
      <c r="Z1835" s="151" t="s">
        <v>2079</v>
      </c>
      <c r="AA1835" s="371" t="s">
        <v>10055</v>
      </c>
      <c r="AB1835" s="151" t="s">
        <v>10569</v>
      </c>
      <c r="AC1835" s="151" t="s">
        <v>10546</v>
      </c>
      <c r="AD1835" s="151" t="s">
        <v>10547</v>
      </c>
      <c r="AE1835" s="151" t="s">
        <v>5709</v>
      </c>
      <c r="AF1835" s="161">
        <v>126.0</v>
      </c>
      <c r="AG1835" s="161" t="s">
        <v>10573</v>
      </c>
      <c r="AH1835" s="151" t="s">
        <v>134</v>
      </c>
      <c r="AI1835" s="151" t="s">
        <v>850</v>
      </c>
      <c r="AJ1835" s="161">
        <v>0.05</v>
      </c>
      <c r="AK1835" s="151" t="s">
        <v>135</v>
      </c>
      <c r="AL1835" s="151" t="s">
        <v>186</v>
      </c>
      <c r="AM1835" s="129" t="s">
        <v>137</v>
      </c>
      <c r="AN1835" s="129" t="s">
        <v>1535</v>
      </c>
      <c r="AO1835" s="161">
        <v>823.0</v>
      </c>
      <c r="AP1835" s="161">
        <v>0.036</v>
      </c>
      <c r="AQ1835" s="151" t="s">
        <v>215</v>
      </c>
      <c r="AR1835" s="151" t="s">
        <v>10448</v>
      </c>
      <c r="AS1835" s="161">
        <v>0.305</v>
      </c>
      <c r="AT1835" s="151" t="s">
        <v>172</v>
      </c>
      <c r="AU1835" s="151" t="s">
        <v>186</v>
      </c>
      <c r="AV1835" s="129" t="s">
        <v>137</v>
      </c>
      <c r="AW1835" s="1308" t="s">
        <v>10062</v>
      </c>
      <c r="AX1835" s="129" t="s">
        <v>143</v>
      </c>
      <c r="AY1835" s="61" t="str">
        <f>IFERROR(__xludf.DUMMYFUNCTION("vlookup(BB1835,importrange(""https://docs.google.com/spreadsheets/d/1d2vevQ_7D_v35q4wCQ4RpQ_IPoTwEMB9Yp6ymwlPqew/edit?gid=984458430#gid=984458430"", ""'replication success'!A:K""), 11, FAlSE)"),"mixed")</f>
        <v>mixed</v>
      </c>
      <c r="AZ1835" s="61" t="str">
        <f>IFERROR(__xludf.DUMMYFUNCTION("vlookup(BB1835,importrange(""https://docs.google.com/spreadsheets/d/1d2vevQ_7D_v35q4wCQ4RpQ_IPoTwEMB9Yp6ymwlPqew/edit?gid=984458430#gid=984458430"",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5" s="61" t="str">
        <f>IFERROR(__xludf.DUMMYFUNCTION("vlookup(BB1835,importrange(""https://docs.google.com/spreadsheets/d/1d2vevQ_7D_v35q4wCQ4RpQ_IPoTwEMB9Yp6ymwlPqew/edit?gid=984458430#gid=984458430"", ""'replication success'!A:M""), 13, FAlSE)"),"pg. 8")</f>
        <v>pg. 8</v>
      </c>
      <c r="BB1835" s="61" t="str">
        <f>IFERROR(__xludf.DUMMYFUNCTION("REGEXREPLACE(G1835, ""_[a-z]{1,2}$"", """")"),"OpenMKT5")</f>
        <v>OpenMKT5</v>
      </c>
      <c r="BD1835" s="341" t="s">
        <v>7943</v>
      </c>
    </row>
    <row r="1836">
      <c r="A1836" s="44">
        <v>1836.0</v>
      </c>
      <c r="B1836" s="129" t="s">
        <v>152</v>
      </c>
      <c r="C1836" s="62" t="s">
        <v>115</v>
      </c>
      <c r="D1836" s="62" t="s">
        <v>145</v>
      </c>
      <c r="F1836" s="129" t="s">
        <v>10574</v>
      </c>
      <c r="G1836" s="129" t="s">
        <v>10550</v>
      </c>
      <c r="H1836" s="151" t="s">
        <v>10123</v>
      </c>
      <c r="I1836" s="153">
        <v>45758.0</v>
      </c>
      <c r="J1836" s="1587">
        <v>45772.0</v>
      </c>
      <c r="K1836" s="159"/>
      <c r="L1836" s="56" t="s">
        <v>10168</v>
      </c>
      <c r="M1836" s="129" t="s">
        <v>10530</v>
      </c>
      <c r="N1836" s="129" t="s">
        <v>10531</v>
      </c>
      <c r="O1836" s="501">
        <v>1.0</v>
      </c>
      <c r="P1836" s="528" t="s">
        <v>10532</v>
      </c>
      <c r="Q1836" s="108" t="str">
        <f t="array" ref="Q1836"> if(iserror(MATCH(V1836, 'File Links'!C:C, 0)), "N/A", HYPERLINK(INDEX('File Links'!B:B, MATCH(P1836, 'File Links'!C:C, 0))))</f>
        <v>N/A</v>
      </c>
      <c r="R1836" s="1697" t="s">
        <v>10052</v>
      </c>
      <c r="S1836" s="129" t="s">
        <v>10053</v>
      </c>
      <c r="T1836" s="1379"/>
      <c r="U1836" s="336"/>
      <c r="V1836" s="151" t="s">
        <v>10054</v>
      </c>
      <c r="W1836" s="159"/>
      <c r="X1836" s="49" t="str">
        <f t="array" ref="X1836"> if(iserror(MATCH(V1836, 'File Links'!C:C, 0)), "N/A", HYPERLINK(INDEX('File Links'!B:B, MATCH(V1836, 'File Links'!C:C, 0))))</f>
        <v>N/A</v>
      </c>
      <c r="Y1836" s="68"/>
      <c r="Z1836" s="151" t="s">
        <v>2079</v>
      </c>
      <c r="AA1836" s="371" t="s">
        <v>10055</v>
      </c>
      <c r="AB1836" s="151" t="s">
        <v>10569</v>
      </c>
      <c r="AC1836" s="151" t="s">
        <v>10552</v>
      </c>
      <c r="AD1836" s="151" t="s">
        <v>10553</v>
      </c>
      <c r="AE1836" s="151">
        <v>5.0</v>
      </c>
      <c r="AF1836" s="161">
        <v>126.0</v>
      </c>
      <c r="AG1836" s="161" t="s">
        <v>10575</v>
      </c>
      <c r="AH1836" s="151" t="s">
        <v>134</v>
      </c>
      <c r="AI1836" s="151" t="s">
        <v>813</v>
      </c>
      <c r="AJ1836" s="161">
        <v>0.01</v>
      </c>
      <c r="AK1836" s="151" t="s">
        <v>135</v>
      </c>
      <c r="AL1836" s="151" t="s">
        <v>186</v>
      </c>
      <c r="AM1836" s="129" t="s">
        <v>137</v>
      </c>
      <c r="AN1836" s="129" t="s">
        <v>1535</v>
      </c>
      <c r="AO1836" s="161">
        <v>823.0</v>
      </c>
      <c r="AP1836" s="161">
        <v>0.012</v>
      </c>
      <c r="AQ1836" s="151" t="s">
        <v>215</v>
      </c>
      <c r="AR1836" s="151" t="s">
        <v>10576</v>
      </c>
      <c r="AS1836" s="161">
        <v>0.736</v>
      </c>
      <c r="AT1836" s="151" t="s">
        <v>172</v>
      </c>
      <c r="AU1836" s="151" t="s">
        <v>186</v>
      </c>
      <c r="AV1836" s="129" t="s">
        <v>137</v>
      </c>
      <c r="AW1836" s="1308" t="s">
        <v>10062</v>
      </c>
      <c r="AX1836" s="129" t="s">
        <v>143</v>
      </c>
      <c r="AY1836" s="61" t="str">
        <f>IFERROR(__xludf.DUMMYFUNCTION("vlookup(BB1836,importrange(""https://docs.google.com/spreadsheets/d/1d2vevQ_7D_v35q4wCQ4RpQ_IPoTwEMB9Yp6ymwlPqew/edit?gid=984458430#gid=984458430"", ""'replication success'!A:K""), 11, FAlSE)"),"mixed")</f>
        <v>mixed</v>
      </c>
      <c r="AZ1836" s="61" t="str">
        <f>IFERROR(__xludf.DUMMYFUNCTION("vlookup(BB1836,importrange(""https://docs.google.com/spreadsheets/d/1d2vevQ_7D_v35q4wCQ4RpQ_IPoTwEMB9Yp6ymwlPqew/edit?gid=984458430#gid=984458430"",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6" s="61" t="str">
        <f>IFERROR(__xludf.DUMMYFUNCTION("vlookup(BB1836,importrange(""https://docs.google.com/spreadsheets/d/1d2vevQ_7D_v35q4wCQ4RpQ_IPoTwEMB9Yp6ymwlPqew/edit?gid=984458430#gid=984458430"", ""'replication success'!A:M""), 13, FAlSE)"),"pg. 8")</f>
        <v>pg. 8</v>
      </c>
      <c r="BB1836" s="61" t="str">
        <f>IFERROR(__xludf.DUMMYFUNCTION("REGEXREPLACE(G1836, ""_[a-z]{1,2}$"", """")"),"OpenMKT5")</f>
        <v>OpenMKT5</v>
      </c>
      <c r="BD1836" s="341" t="s">
        <v>7943</v>
      </c>
    </row>
    <row r="1837">
      <c r="A1837" s="44">
        <v>1837.0</v>
      </c>
      <c r="B1837" s="129" t="s">
        <v>152</v>
      </c>
      <c r="C1837" s="62" t="s">
        <v>115</v>
      </c>
      <c r="D1837" s="62" t="s">
        <v>145</v>
      </c>
      <c r="F1837" s="129" t="s">
        <v>10577</v>
      </c>
      <c r="G1837" s="129" t="s">
        <v>10556</v>
      </c>
      <c r="H1837" s="151" t="s">
        <v>10123</v>
      </c>
      <c r="I1837" s="153">
        <v>45758.0</v>
      </c>
      <c r="J1837" s="1587">
        <v>45772.0</v>
      </c>
      <c r="K1837" s="159"/>
      <c r="L1837" s="56" t="s">
        <v>10168</v>
      </c>
      <c r="M1837" s="129" t="s">
        <v>10530</v>
      </c>
      <c r="N1837" s="129" t="s">
        <v>10531</v>
      </c>
      <c r="O1837" s="501">
        <v>1.0</v>
      </c>
      <c r="P1837" s="528" t="s">
        <v>10532</v>
      </c>
      <c r="Q1837" s="108" t="str">
        <f t="array" ref="Q1837"> if(iserror(MATCH(V1837, 'File Links'!C:C, 0)), "N/A", HYPERLINK(INDEX('File Links'!B:B, MATCH(P1837, 'File Links'!C:C, 0))))</f>
        <v>N/A</v>
      </c>
      <c r="R1837" s="1697" t="s">
        <v>10052</v>
      </c>
      <c r="S1837" s="129" t="s">
        <v>10053</v>
      </c>
      <c r="T1837" s="1379"/>
      <c r="U1837" s="336"/>
      <c r="V1837" s="151" t="s">
        <v>10054</v>
      </c>
      <c r="W1837" s="159"/>
      <c r="X1837" s="49" t="str">
        <f t="array" ref="X1837"> if(iserror(MATCH(V1837, 'File Links'!C:C, 0)), "N/A", HYPERLINK(INDEX('File Links'!B:B, MATCH(V1837, 'File Links'!C:C, 0))))</f>
        <v>N/A</v>
      </c>
      <c r="Y1837" s="68"/>
      <c r="Z1837" s="151" t="s">
        <v>2079</v>
      </c>
      <c r="AA1837" s="371" t="s">
        <v>10055</v>
      </c>
      <c r="AB1837" s="151" t="s">
        <v>10569</v>
      </c>
      <c r="AC1837" s="151" t="s">
        <v>10558</v>
      </c>
      <c r="AD1837" s="151" t="s">
        <v>10559</v>
      </c>
      <c r="AE1837" s="151">
        <v>5.0</v>
      </c>
      <c r="AF1837" s="161">
        <v>126.0</v>
      </c>
      <c r="AG1837" s="161" t="s">
        <v>10578</v>
      </c>
      <c r="AH1837" s="151" t="s">
        <v>134</v>
      </c>
      <c r="AI1837" s="151" t="s">
        <v>813</v>
      </c>
      <c r="AJ1837" s="161">
        <v>0.01</v>
      </c>
      <c r="AK1837" s="151" t="s">
        <v>135</v>
      </c>
      <c r="AL1837" s="151" t="s">
        <v>186</v>
      </c>
      <c r="AM1837" s="129" t="s">
        <v>137</v>
      </c>
      <c r="AN1837" s="129" t="s">
        <v>1535</v>
      </c>
      <c r="AO1837" s="161">
        <v>823.0</v>
      </c>
      <c r="AP1837" s="161">
        <v>0.038</v>
      </c>
      <c r="AQ1837" s="151" t="s">
        <v>215</v>
      </c>
      <c r="AR1837" s="151" t="s">
        <v>10576</v>
      </c>
      <c r="AS1837" s="161">
        <v>0.279</v>
      </c>
      <c r="AT1837" s="151" t="s">
        <v>172</v>
      </c>
      <c r="AU1837" s="151" t="s">
        <v>186</v>
      </c>
      <c r="AV1837" s="129" t="s">
        <v>137</v>
      </c>
      <c r="AW1837" s="1308" t="s">
        <v>10062</v>
      </c>
      <c r="AX1837" s="129" t="s">
        <v>143</v>
      </c>
      <c r="AY1837" s="61" t="str">
        <f>IFERROR(__xludf.DUMMYFUNCTION("vlookup(BB1837,importrange(""https://docs.google.com/spreadsheets/d/1d2vevQ_7D_v35q4wCQ4RpQ_IPoTwEMB9Yp6ymwlPqew/edit?gid=984458430#gid=984458430"", ""'replication success'!A:K""), 11, FAlSE)"),"mixed")</f>
        <v>mixed</v>
      </c>
      <c r="AZ1837" s="61" t="str">
        <f>IFERROR(__xludf.DUMMYFUNCTION("vlookup(BB1837,importrange(""https://docs.google.com/spreadsheets/d/1d2vevQ_7D_v35q4wCQ4RpQ_IPoTwEMB9Yp6ymwlPqew/edit?gid=984458430#gid=984458430"",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7" s="61" t="str">
        <f>IFERROR(__xludf.DUMMYFUNCTION("vlookup(BB1837,importrange(""https://docs.google.com/spreadsheets/d/1d2vevQ_7D_v35q4wCQ4RpQ_IPoTwEMB9Yp6ymwlPqew/edit?gid=984458430#gid=984458430"", ""'replication success'!A:M""), 13, FAlSE)"),"pg. 8")</f>
        <v>pg. 8</v>
      </c>
      <c r="BB1837" s="61" t="str">
        <f>IFERROR(__xludf.DUMMYFUNCTION("REGEXREPLACE(G1837, ""_[a-z]{1,2}$"", """")"),"OpenMKT5")</f>
        <v>OpenMKT5</v>
      </c>
      <c r="BD1837" s="341" t="s">
        <v>7943</v>
      </c>
    </row>
    <row r="1838">
      <c r="A1838" s="44">
        <v>1838.0</v>
      </c>
      <c r="B1838" s="56" t="s">
        <v>152</v>
      </c>
      <c r="C1838" s="341" t="s">
        <v>115</v>
      </c>
      <c r="D1838" s="341" t="s">
        <v>145</v>
      </c>
      <c r="E1838" s="342"/>
      <c r="F1838" s="56" t="s">
        <v>10579</v>
      </c>
      <c r="G1838" s="56" t="s">
        <v>10562</v>
      </c>
      <c r="H1838" s="343" t="s">
        <v>10123</v>
      </c>
      <c r="I1838" s="345">
        <v>45758.0</v>
      </c>
      <c r="J1838" s="1587">
        <v>45772.0</v>
      </c>
      <c r="K1838" s="360"/>
      <c r="L1838" s="56" t="s">
        <v>10168</v>
      </c>
      <c r="M1838" s="56" t="s">
        <v>10530</v>
      </c>
      <c r="N1838" s="56" t="s">
        <v>10531</v>
      </c>
      <c r="O1838" s="55">
        <v>1.0</v>
      </c>
      <c r="P1838" s="1696" t="s">
        <v>10532</v>
      </c>
      <c r="Q1838" s="108" t="str">
        <f t="array" ref="Q1838"> if(iserror(MATCH(V1838, 'File Links'!C:C, 0)), "N/A", HYPERLINK(INDEX('File Links'!B:B, MATCH(P1838, 'File Links'!C:C, 0))))</f>
        <v>N/A</v>
      </c>
      <c r="R1838" s="1697" t="s">
        <v>10052</v>
      </c>
      <c r="S1838" s="56" t="s">
        <v>10053</v>
      </c>
      <c r="T1838" s="1798"/>
      <c r="U1838" s="385"/>
      <c r="V1838" s="343" t="s">
        <v>10054</v>
      </c>
      <c r="W1838" s="360"/>
      <c r="X1838" s="49" t="str">
        <f t="array" ref="X1838"> if(iserror(MATCH(V1838, 'File Links'!C:C, 0)), "N/A", HYPERLINK(INDEX('File Links'!B:B, MATCH(V1838, 'File Links'!C:C, 0))))</f>
        <v>N/A</v>
      </c>
      <c r="Y1838" s="46"/>
      <c r="Z1838" s="343" t="s">
        <v>2079</v>
      </c>
      <c r="AA1838" s="371" t="s">
        <v>10055</v>
      </c>
      <c r="AB1838" s="343" t="s">
        <v>10569</v>
      </c>
      <c r="AC1838" s="343" t="s">
        <v>10564</v>
      </c>
      <c r="AD1838" s="343" t="s">
        <v>10565</v>
      </c>
      <c r="AE1838" s="343">
        <v>5.0</v>
      </c>
      <c r="AF1838" s="347">
        <v>126.0</v>
      </c>
      <c r="AG1838" s="347" t="s">
        <v>10580</v>
      </c>
      <c r="AH1838" s="343" t="s">
        <v>134</v>
      </c>
      <c r="AI1838" s="343" t="s">
        <v>813</v>
      </c>
      <c r="AJ1838" s="347">
        <v>0.05</v>
      </c>
      <c r="AK1838" s="343" t="s">
        <v>135</v>
      </c>
      <c r="AL1838" s="343" t="s">
        <v>186</v>
      </c>
      <c r="AM1838" s="56" t="s">
        <v>137</v>
      </c>
      <c r="AN1838" s="56" t="s">
        <v>1535</v>
      </c>
      <c r="AO1838" s="347">
        <v>823.0</v>
      </c>
      <c r="AP1838" s="347">
        <v>0.041</v>
      </c>
      <c r="AQ1838" s="343" t="s">
        <v>215</v>
      </c>
      <c r="AR1838" s="343" t="s">
        <v>10576</v>
      </c>
      <c r="AS1838" s="347">
        <v>0.237</v>
      </c>
      <c r="AT1838" s="343" t="s">
        <v>172</v>
      </c>
      <c r="AU1838" s="343" t="s">
        <v>186</v>
      </c>
      <c r="AV1838" s="56" t="s">
        <v>137</v>
      </c>
      <c r="AW1838" s="1699" t="s">
        <v>10062</v>
      </c>
      <c r="AX1838" s="56" t="s">
        <v>143</v>
      </c>
      <c r="AY1838" s="61" t="str">
        <f>IFERROR(__xludf.DUMMYFUNCTION("vlookup(BB1838,importrange(""https://docs.google.com/spreadsheets/d/1d2vevQ_7D_v35q4wCQ4RpQ_IPoTwEMB9Yp6ymwlPqew/edit?gid=984458430#gid=984458430"", ""'replication success'!A:K""), 11, FAlSE)"),"mixed")</f>
        <v>mixed</v>
      </c>
      <c r="AZ1838" s="61" t="str">
        <f>IFERROR(__xludf.DUMMYFUNCTION("vlookup(BB1838,importrange(""https://docs.google.com/spreadsheets/d/1d2vevQ_7D_v35q4wCQ4RpQ_IPoTwEMB9Yp6ymwlPqew/edit?gid=984458430#gid=984458430"", ""'replication success'!A:M""), 12, FAlSE)"),"Our replication attempts successfully replicated two findings (Klink, 2000; Shrum et al., 2012) and partially replicated one of them
 (Yorkston and Menon, 2004). ")</f>
        <v>Our replication attempts successfully replicated two findings (Klink, 2000; Shrum et al., 2012) and partially replicated one of them
 (Yorkston and Menon, 2004). </v>
      </c>
      <c r="BA1838" s="61" t="str">
        <f>IFERROR(__xludf.DUMMYFUNCTION("vlookup(BB1838,importrange(""https://docs.google.com/spreadsheets/d/1d2vevQ_7D_v35q4wCQ4RpQ_IPoTwEMB9Yp6ymwlPqew/edit?gid=984458430#gid=984458430"", ""'replication success'!A:M""), 13, FAlSE)"),"pg. 8")</f>
        <v>pg. 8</v>
      </c>
      <c r="BB1838" s="61" t="str">
        <f>IFERROR(__xludf.DUMMYFUNCTION("REGEXREPLACE(G1838, ""_[a-z]{1,2}$"", """")"),"OpenMKT5")</f>
        <v>OpenMKT5</v>
      </c>
      <c r="BC1838" s="342"/>
      <c r="BD1838" s="341" t="s">
        <v>7943</v>
      </c>
    </row>
    <row r="1839">
      <c r="A1839" s="44">
        <v>1839.0</v>
      </c>
      <c r="B1839" s="56" t="s">
        <v>114</v>
      </c>
      <c r="C1839" s="341" t="s">
        <v>115</v>
      </c>
      <c r="D1839" s="341" t="s">
        <v>248</v>
      </c>
      <c r="E1839" s="342"/>
      <c r="F1839" s="56" t="s">
        <v>10581</v>
      </c>
      <c r="G1839" s="56" t="s">
        <v>10581</v>
      </c>
      <c r="H1839" s="343" t="s">
        <v>249</v>
      </c>
      <c r="I1839" s="345">
        <v>45755.0</v>
      </c>
      <c r="J1839" s="1587">
        <v>45772.0</v>
      </c>
      <c r="K1839" s="343" t="s">
        <v>10582</v>
      </c>
      <c r="L1839" s="56" t="s">
        <v>10146</v>
      </c>
      <c r="M1839" s="56" t="s">
        <v>10583</v>
      </c>
      <c r="N1839" s="56" t="s">
        <v>10584</v>
      </c>
      <c r="O1839" s="55">
        <v>4.0</v>
      </c>
      <c r="P1839" s="1696" t="s">
        <v>10585</v>
      </c>
      <c r="Q1839" s="108" t="str">
        <f t="array" ref="Q1839"> if(iserror(MATCH(V1839, 'File Links'!C:C, 0)), "N/A", HYPERLINK(INDEX('File Links'!B:B, MATCH(P1839, 'File Links'!C:C, 0))))</f>
        <v>N/A</v>
      </c>
      <c r="R1839" s="1697" t="s">
        <v>10052</v>
      </c>
      <c r="S1839" s="56" t="s">
        <v>10053</v>
      </c>
      <c r="T1839" s="1798"/>
      <c r="U1839" s="385"/>
      <c r="V1839" s="343" t="s">
        <v>10054</v>
      </c>
      <c r="W1839" s="360"/>
      <c r="X1839" s="49" t="str">
        <f t="array" ref="X1839"> if(iserror(MATCH(V1839, 'File Links'!C:C, 0)), "N/A", HYPERLINK(INDEX('File Links'!B:B, MATCH(V1839, 'File Links'!C:C, 0))))</f>
        <v>N/A</v>
      </c>
      <c r="Y1839" s="46"/>
      <c r="Z1839" s="343" t="s">
        <v>2079</v>
      </c>
      <c r="AA1839" s="56" t="s">
        <v>10055</v>
      </c>
      <c r="AB1839" s="343" t="s">
        <v>10477</v>
      </c>
      <c r="AC1839" s="343" t="s">
        <v>10586</v>
      </c>
      <c r="AD1839" s="343" t="s">
        <v>10587</v>
      </c>
      <c r="AE1839" s="343" t="s">
        <v>1174</v>
      </c>
      <c r="AF1839" s="347">
        <v>78.0</v>
      </c>
      <c r="AG1839" s="347" t="s">
        <v>10588</v>
      </c>
      <c r="AH1839" s="343" t="s">
        <v>134</v>
      </c>
      <c r="AI1839" s="343" t="s">
        <v>10589</v>
      </c>
      <c r="AJ1839" s="347">
        <v>0.001</v>
      </c>
      <c r="AK1839" s="343" t="s">
        <v>135</v>
      </c>
      <c r="AL1839" s="343" t="s">
        <v>186</v>
      </c>
      <c r="AM1839" s="56" t="s">
        <v>137</v>
      </c>
      <c r="AN1839" s="56" t="s">
        <v>138</v>
      </c>
      <c r="AO1839" s="347">
        <v>823.0</v>
      </c>
      <c r="AP1839" s="347">
        <v>1.0E-4</v>
      </c>
      <c r="AQ1839" s="343" t="s">
        <v>874</v>
      </c>
      <c r="AR1839" s="343" t="s">
        <v>10590</v>
      </c>
      <c r="AS1839" s="347">
        <v>0.794</v>
      </c>
      <c r="AT1839" s="343" t="s">
        <v>172</v>
      </c>
      <c r="AU1839" s="343" t="s">
        <v>186</v>
      </c>
      <c r="AV1839" s="56" t="s">
        <v>137</v>
      </c>
      <c r="AW1839" s="1699" t="s">
        <v>10062</v>
      </c>
      <c r="AX1839" s="56" t="s">
        <v>143</v>
      </c>
      <c r="AY1839" s="61" t="str">
        <f>IFERROR(__xludf.DUMMYFUNCTION("vlookup(BB1839,importrange(""https://docs.google.com/spreadsheets/d/1d2vevQ_7D_v35q4wCQ4RpQ_IPoTwEMB9Yp6ymwlPqew/edit?gid=984458430#gid=984458430"", ""'replication success'!A:K""), 11, FAlSE)"),"#N/A")</f>
        <v>#N/A</v>
      </c>
      <c r="AZ1839" s="61" t="str">
        <f>IFERROR(__xludf.DUMMYFUNCTION("vlookup(BB1839,importrange(""https://docs.google.com/spreadsheets/d/1d2vevQ_7D_v35q4wCQ4RpQ_IPoTwEMB9Yp6ymwlPqew/edit?gid=984458430#gid=984458430"", ""'replication success'!A:M""), 12, FAlSE)"),"#N/A")</f>
        <v>#N/A</v>
      </c>
      <c r="BA1839" s="61" t="str">
        <f>IFERROR(__xludf.DUMMYFUNCTION("vlookup(BB1839,importrange(""https://docs.google.com/spreadsheets/d/1d2vevQ_7D_v35q4wCQ4RpQ_IPoTwEMB9Yp6ymwlPqew/edit?gid=984458430#gid=984458430"", ""'replication success'!A:M""), 13, FAlSE)"),"#N/A")</f>
        <v>#N/A</v>
      </c>
      <c r="BB1839" s="61" t="str">
        <f>IFERROR(__xludf.DUMMYFUNCTION("REGEXREPLACE(G1839, ""_[a-z]{1,2}$"", """")"),"OpenMKT6_1")</f>
        <v>OpenMKT6_1</v>
      </c>
      <c r="BC1839" s="342"/>
      <c r="BD1839" s="341" t="s">
        <v>7943</v>
      </c>
    </row>
    <row r="1840">
      <c r="A1840" s="44">
        <v>1840.0</v>
      </c>
      <c r="B1840" s="56" t="s">
        <v>114</v>
      </c>
      <c r="C1840" s="341" t="s">
        <v>115</v>
      </c>
      <c r="D1840" s="341" t="s">
        <v>248</v>
      </c>
      <c r="E1840" s="342"/>
      <c r="F1840" s="56" t="s">
        <v>10581</v>
      </c>
      <c r="G1840" s="56" t="s">
        <v>10591</v>
      </c>
      <c r="H1840" s="343" t="s">
        <v>249</v>
      </c>
      <c r="I1840" s="345">
        <v>45755.0</v>
      </c>
      <c r="J1840" s="1587">
        <v>45772.0</v>
      </c>
      <c r="K1840" s="343" t="s">
        <v>10592</v>
      </c>
      <c r="L1840" s="56" t="s">
        <v>10146</v>
      </c>
      <c r="M1840" s="56" t="s">
        <v>10583</v>
      </c>
      <c r="N1840" s="56" t="s">
        <v>10584</v>
      </c>
      <c r="O1840" s="55">
        <v>4.0</v>
      </c>
      <c r="P1840" s="1696" t="s">
        <v>10585</v>
      </c>
      <c r="Q1840" s="108" t="str">
        <f t="array" ref="Q1840"> if(iserror(MATCH(V1840, 'File Links'!C:C, 0)), "N/A", HYPERLINK(INDEX('File Links'!B:B, MATCH(P1840, 'File Links'!C:C, 0))))</f>
        <v>N/A</v>
      </c>
      <c r="R1840" s="1697" t="s">
        <v>10052</v>
      </c>
      <c r="S1840" s="56" t="s">
        <v>10053</v>
      </c>
      <c r="T1840" s="1798"/>
      <c r="U1840" s="385"/>
      <c r="V1840" s="343" t="s">
        <v>10054</v>
      </c>
      <c r="W1840" s="360"/>
      <c r="X1840" s="49" t="str">
        <f t="array" ref="X1840"> if(iserror(MATCH(V1840, 'File Links'!C:C, 0)), "N/A", HYPERLINK(INDEX('File Links'!B:B, MATCH(V1840, 'File Links'!C:C, 0))))</f>
        <v>N/A</v>
      </c>
      <c r="Y1840" s="46"/>
      <c r="Z1840" s="343" t="s">
        <v>2079</v>
      </c>
      <c r="AA1840" s="56" t="s">
        <v>10055</v>
      </c>
      <c r="AB1840" s="343" t="s">
        <v>10477</v>
      </c>
      <c r="AC1840" s="343" t="s">
        <v>10593</v>
      </c>
      <c r="AD1840" s="343" t="s">
        <v>10594</v>
      </c>
      <c r="AE1840" s="343" t="s">
        <v>1174</v>
      </c>
      <c r="AF1840" s="347">
        <v>78.0</v>
      </c>
      <c r="AG1840" s="347" t="s">
        <v>10595</v>
      </c>
      <c r="AH1840" s="343" t="s">
        <v>134</v>
      </c>
      <c r="AI1840" s="343" t="s">
        <v>10596</v>
      </c>
      <c r="AJ1840" s="347">
        <v>0.08</v>
      </c>
      <c r="AK1840" s="343" t="s">
        <v>172</v>
      </c>
      <c r="AL1840" s="343" t="s">
        <v>186</v>
      </c>
      <c r="AM1840" s="56" t="s">
        <v>137</v>
      </c>
      <c r="AN1840" s="56" t="s">
        <v>138</v>
      </c>
      <c r="AO1840" s="347">
        <v>823.0</v>
      </c>
      <c r="AP1840" s="347">
        <v>0.0</v>
      </c>
      <c r="AQ1840" s="343" t="s">
        <v>874</v>
      </c>
      <c r="AR1840" s="343" t="s">
        <v>10597</v>
      </c>
      <c r="AS1840" s="347">
        <v>0.941</v>
      </c>
      <c r="AT1840" s="343" t="s">
        <v>172</v>
      </c>
      <c r="AU1840" s="343" t="s">
        <v>186</v>
      </c>
      <c r="AV1840" s="56" t="s">
        <v>137</v>
      </c>
      <c r="AW1840" s="1699" t="s">
        <v>10062</v>
      </c>
      <c r="AX1840" s="56" t="s">
        <v>143</v>
      </c>
      <c r="AY1840" s="61" t="str">
        <f>IFERROR(__xludf.DUMMYFUNCTION("vlookup(BB1840,importrange(""https://docs.google.com/spreadsheets/d/1d2vevQ_7D_v35q4wCQ4RpQ_IPoTwEMB9Yp6ymwlPqew/edit?gid=984458430#gid=984458430"", ""'replication success'!A:K""), 11, FAlSE)"),"failed")</f>
        <v>failed</v>
      </c>
      <c r="AZ1840" s="61" t="str">
        <f>IFERROR(__xludf.DUMMYFUNCTION("vlookup(BB1840,importrange(""https://docs.google.com/spreadsheets/d/1d2vevQ_7D_v35q4wCQ4RpQ_IPoTwEMB9Yp6ymwlPqew/edit?gid=984458430#gid=984458430"",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40" s="61" t="str">
        <f>IFERROR(__xludf.DUMMYFUNCTION("vlookup(BB1840,importrange(""https://docs.google.com/spreadsheets/d/1d2vevQ_7D_v35q4wCQ4RpQ_IPoTwEMB9Yp6ymwlPqew/edit?gid=984458430#gid=984458430"", ""'replication success'!A:M""), 13, FAlSE)"),"pg. 7-8")</f>
        <v>pg. 7-8</v>
      </c>
      <c r="BB1840" s="61" t="str">
        <f>IFERROR(__xludf.DUMMYFUNCTION("REGEXREPLACE(G1840, ""_[a-z]{1,2}$"", """")"),"OpenMKT6")</f>
        <v>OpenMKT6</v>
      </c>
      <c r="BC1840" s="342"/>
      <c r="BD1840" s="341" t="s">
        <v>7943</v>
      </c>
    </row>
    <row r="1841">
      <c r="A1841" s="44">
        <v>1841.0</v>
      </c>
      <c r="B1841" s="56" t="s">
        <v>152</v>
      </c>
      <c r="C1841" s="341" t="s">
        <v>115</v>
      </c>
      <c r="D1841" s="341" t="s">
        <v>145</v>
      </c>
      <c r="E1841" s="342"/>
      <c r="F1841" s="56" t="s">
        <v>10581</v>
      </c>
      <c r="G1841" s="56" t="s">
        <v>10598</v>
      </c>
      <c r="H1841" s="343" t="s">
        <v>10123</v>
      </c>
      <c r="I1841" s="345">
        <v>45758.0</v>
      </c>
      <c r="J1841" s="1587">
        <v>45772.0</v>
      </c>
      <c r="K1841" s="360"/>
      <c r="L1841" s="56" t="s">
        <v>10599</v>
      </c>
      <c r="M1841" s="56" t="s">
        <v>10600</v>
      </c>
      <c r="N1841" s="56" t="s">
        <v>10584</v>
      </c>
      <c r="O1841" s="55">
        <v>4.0</v>
      </c>
      <c r="P1841" s="1696" t="s">
        <v>10585</v>
      </c>
      <c r="Q1841" s="108" t="str">
        <f t="array" ref="Q1841"> if(iserror(MATCH(V1841, 'File Links'!C:C, 0)), "N/A", HYPERLINK(INDEX('File Links'!B:B, MATCH(P1841, 'File Links'!C:C, 0))))</f>
        <v>N/A</v>
      </c>
      <c r="R1841" s="1697" t="s">
        <v>10052</v>
      </c>
      <c r="S1841" s="56" t="s">
        <v>10053</v>
      </c>
      <c r="T1841" s="1798"/>
      <c r="U1841" s="385"/>
      <c r="V1841" s="343" t="s">
        <v>10054</v>
      </c>
      <c r="W1841" s="360"/>
      <c r="X1841" s="49" t="str">
        <f t="array" ref="X1841"> if(iserror(MATCH(V1841, 'File Links'!C:C, 0)), "N/A", HYPERLINK(INDEX('File Links'!B:B, MATCH(V1841, 'File Links'!C:C, 0))))</f>
        <v>N/A</v>
      </c>
      <c r="Y1841" s="46"/>
      <c r="Z1841" s="343" t="s">
        <v>2079</v>
      </c>
      <c r="AA1841" s="56" t="s">
        <v>10601</v>
      </c>
      <c r="AB1841" s="343" t="s">
        <v>10602</v>
      </c>
      <c r="AC1841" s="343" t="s">
        <v>10586</v>
      </c>
      <c r="AD1841" s="343" t="s">
        <v>10603</v>
      </c>
      <c r="AE1841" s="343" t="s">
        <v>10604</v>
      </c>
      <c r="AF1841" s="347">
        <v>78.0</v>
      </c>
      <c r="AG1841" s="347" t="s">
        <v>10588</v>
      </c>
      <c r="AH1841" s="343" t="s">
        <v>134</v>
      </c>
      <c r="AI1841" s="343" t="s">
        <v>307</v>
      </c>
      <c r="AJ1841" s="347">
        <v>0.001</v>
      </c>
      <c r="AK1841" s="343" t="s">
        <v>135</v>
      </c>
      <c r="AL1841" s="343" t="s">
        <v>186</v>
      </c>
      <c r="AM1841" s="56" t="s">
        <v>137</v>
      </c>
      <c r="AN1841" s="56" t="s">
        <v>1535</v>
      </c>
      <c r="AO1841" s="347">
        <v>823.0</v>
      </c>
      <c r="AP1841" s="347">
        <v>0.009</v>
      </c>
      <c r="AQ1841" s="343" t="s">
        <v>215</v>
      </c>
      <c r="AR1841" s="343" t="s">
        <v>10171</v>
      </c>
      <c r="AS1841" s="347">
        <v>0.794</v>
      </c>
      <c r="AT1841" s="343" t="s">
        <v>172</v>
      </c>
      <c r="AU1841" s="343" t="s">
        <v>186</v>
      </c>
      <c r="AV1841" s="56" t="s">
        <v>137</v>
      </c>
      <c r="AW1841" s="1699" t="s">
        <v>10062</v>
      </c>
      <c r="AX1841" s="56" t="s">
        <v>143</v>
      </c>
      <c r="AY1841" s="61" t="str">
        <f>IFERROR(__xludf.DUMMYFUNCTION("vlookup(BB1841,importrange(""https://docs.google.com/spreadsheets/d/1d2vevQ_7D_v35q4wCQ4RpQ_IPoTwEMB9Yp6ymwlPqew/edit?gid=984458430#gid=984458430"", ""'replication success'!A:K""), 11, FAlSE)"),"failed")</f>
        <v>failed</v>
      </c>
      <c r="AZ1841" s="61" t="str">
        <f>IFERROR(__xludf.DUMMYFUNCTION("vlookup(BB1841,importrange(""https://docs.google.com/spreadsheets/d/1d2vevQ_7D_v35q4wCQ4RpQ_IPoTwEMB9Yp6ymwlPqew/edit?gid=984458430#gid=984458430"",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41" s="61" t="str">
        <f>IFERROR(__xludf.DUMMYFUNCTION("vlookup(BB1841,importrange(""https://docs.google.com/spreadsheets/d/1d2vevQ_7D_v35q4wCQ4RpQ_IPoTwEMB9Yp6ymwlPqew/edit?gid=984458430#gid=984458430"", ""'replication success'!A:M""), 13, FAlSE)"),"pg. 7-8")</f>
        <v>pg. 7-8</v>
      </c>
      <c r="BB1841" s="61" t="str">
        <f>IFERROR(__xludf.DUMMYFUNCTION("REGEXREPLACE(G1841, ""_[a-z]{1,2}$"", """")"),"OpenMKT6")</f>
        <v>OpenMKT6</v>
      </c>
      <c r="BC1841" s="342"/>
      <c r="BD1841" s="341" t="s">
        <v>7943</v>
      </c>
    </row>
    <row r="1842">
      <c r="A1842" s="44">
        <v>1842.0</v>
      </c>
      <c r="B1842" s="56" t="s">
        <v>152</v>
      </c>
      <c r="C1842" s="341" t="s">
        <v>115</v>
      </c>
      <c r="D1842" s="341" t="s">
        <v>145</v>
      </c>
      <c r="E1842" s="342"/>
      <c r="F1842" s="56" t="s">
        <v>10605</v>
      </c>
      <c r="G1842" s="56" t="s">
        <v>10591</v>
      </c>
      <c r="H1842" s="343" t="s">
        <v>10123</v>
      </c>
      <c r="I1842" s="345">
        <v>45758.0</v>
      </c>
      <c r="J1842" s="1587">
        <v>45772.0</v>
      </c>
      <c r="K1842" s="360"/>
      <c r="L1842" s="56" t="s">
        <v>10599</v>
      </c>
      <c r="M1842" s="56" t="s">
        <v>10600</v>
      </c>
      <c r="N1842" s="56" t="s">
        <v>10584</v>
      </c>
      <c r="O1842" s="55">
        <v>4.0</v>
      </c>
      <c r="P1842" s="1696" t="s">
        <v>10585</v>
      </c>
      <c r="Q1842" s="108" t="str">
        <f t="array" ref="Q1842"> if(iserror(MATCH(V1842, 'File Links'!C:C, 0)), "N/A", HYPERLINK(INDEX('File Links'!B:B, MATCH(P1842, 'File Links'!C:C, 0))))</f>
        <v>N/A</v>
      </c>
      <c r="R1842" s="1697" t="s">
        <v>10052</v>
      </c>
      <c r="S1842" s="56" t="s">
        <v>10053</v>
      </c>
      <c r="T1842" s="1798"/>
      <c r="U1842" s="385"/>
      <c r="V1842" s="343" t="s">
        <v>10054</v>
      </c>
      <c r="W1842" s="360"/>
      <c r="X1842" s="49" t="str">
        <f t="array" ref="X1842"> if(iserror(MATCH(V1842, 'File Links'!C:C, 0)), "N/A", HYPERLINK(INDEX('File Links'!B:B, MATCH(V1842, 'File Links'!C:C, 0))))</f>
        <v>N/A</v>
      </c>
      <c r="Y1842" s="46"/>
      <c r="Z1842" s="343" t="s">
        <v>2079</v>
      </c>
      <c r="AA1842" s="56" t="s">
        <v>10601</v>
      </c>
      <c r="AB1842" s="343" t="s">
        <v>10602</v>
      </c>
      <c r="AC1842" s="343" t="s">
        <v>10593</v>
      </c>
      <c r="AD1842" s="343" t="s">
        <v>10606</v>
      </c>
      <c r="AE1842" s="343" t="s">
        <v>10604</v>
      </c>
      <c r="AF1842" s="347">
        <v>78.0</v>
      </c>
      <c r="AG1842" s="347" t="s">
        <v>10595</v>
      </c>
      <c r="AH1842" s="343" t="s">
        <v>134</v>
      </c>
      <c r="AI1842" s="343" t="s">
        <v>307</v>
      </c>
      <c r="AJ1842" s="347">
        <v>0.08</v>
      </c>
      <c r="AK1842" s="343" t="s">
        <v>172</v>
      </c>
      <c r="AL1842" s="343" t="s">
        <v>186</v>
      </c>
      <c r="AM1842" s="56" t="s">
        <v>137</v>
      </c>
      <c r="AN1842" s="56" t="s">
        <v>1535</v>
      </c>
      <c r="AO1842" s="347">
        <v>823.0</v>
      </c>
      <c r="AP1842" s="347">
        <v>0.003</v>
      </c>
      <c r="AQ1842" s="343" t="s">
        <v>215</v>
      </c>
      <c r="AR1842" s="343" t="s">
        <v>10171</v>
      </c>
      <c r="AS1842" s="347">
        <v>0.941</v>
      </c>
      <c r="AT1842" s="343" t="s">
        <v>172</v>
      </c>
      <c r="AU1842" s="343" t="s">
        <v>186</v>
      </c>
      <c r="AV1842" s="56" t="s">
        <v>137</v>
      </c>
      <c r="AW1842" s="1699" t="s">
        <v>10062</v>
      </c>
      <c r="AX1842" s="56" t="s">
        <v>143</v>
      </c>
      <c r="AY1842" s="61" t="str">
        <f>IFERROR(__xludf.DUMMYFUNCTION("vlookup(BB1842,importrange(""https://docs.google.com/spreadsheets/d/1d2vevQ_7D_v35q4wCQ4RpQ_IPoTwEMB9Yp6ymwlPqew/edit?gid=984458430#gid=984458430"", ""'replication success'!A:K""), 11, FAlSE)"),"failed")</f>
        <v>failed</v>
      </c>
      <c r="AZ1842" s="61" t="str">
        <f>IFERROR(__xludf.DUMMYFUNCTION("vlookup(BB1842,importrange(""https://docs.google.com/spreadsheets/d/1d2vevQ_7D_v35q4wCQ4RpQ_IPoTwEMB9Yp6ymwlPqew/edit?gid=984458430#gid=984458430"",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42" s="61" t="str">
        <f>IFERROR(__xludf.DUMMYFUNCTION("vlookup(BB1842,importrange(""https://docs.google.com/spreadsheets/d/1d2vevQ_7D_v35q4wCQ4RpQ_IPoTwEMB9Yp6ymwlPqew/edit?gid=984458430#gid=984458430"", ""'replication success'!A:M""), 13, FAlSE)"),"pg. 7-8")</f>
        <v>pg. 7-8</v>
      </c>
      <c r="BB1842" s="61" t="str">
        <f>IFERROR(__xludf.DUMMYFUNCTION("REGEXREPLACE(G1842, ""_[a-z]{1,2}$"", """")"),"OpenMKT6")</f>
        <v>OpenMKT6</v>
      </c>
      <c r="BC1842" s="342"/>
      <c r="BD1842" s="341" t="s">
        <v>7943</v>
      </c>
    </row>
    <row r="1843">
      <c r="A1843" s="44">
        <v>1843.0</v>
      </c>
      <c r="B1843" s="56" t="s">
        <v>152</v>
      </c>
      <c r="C1843" s="341" t="s">
        <v>115</v>
      </c>
      <c r="D1843" s="341" t="s">
        <v>248</v>
      </c>
      <c r="E1843" s="342"/>
      <c r="F1843" s="56" t="s">
        <v>10607</v>
      </c>
      <c r="G1843" s="56" t="s">
        <v>10607</v>
      </c>
      <c r="H1843" s="343" t="s">
        <v>249</v>
      </c>
      <c r="I1843" s="345">
        <v>45755.0</v>
      </c>
      <c r="J1843" s="1587">
        <v>45772.0</v>
      </c>
      <c r="K1843" s="343" t="s">
        <v>10608</v>
      </c>
      <c r="L1843" s="56" t="s">
        <v>10609</v>
      </c>
      <c r="M1843" s="56" t="s">
        <v>10610</v>
      </c>
      <c r="N1843" s="56" t="s">
        <v>10611</v>
      </c>
      <c r="O1843" s="55">
        <v>1.0</v>
      </c>
      <c r="P1843" s="1696" t="s">
        <v>10612</v>
      </c>
      <c r="Q1843" s="108" t="str">
        <f t="array" ref="Q1843"> if(iserror(MATCH(V1843, 'File Links'!C:C, 0)), "N/A", HYPERLINK(INDEX('File Links'!B:B, MATCH(P1843, 'File Links'!C:C, 0))))</f>
        <v>N/A</v>
      </c>
      <c r="R1843" s="1697" t="s">
        <v>10052</v>
      </c>
      <c r="S1843" s="56" t="s">
        <v>10053</v>
      </c>
      <c r="T1843" s="1798"/>
      <c r="U1843" s="385"/>
      <c r="V1843" s="343" t="s">
        <v>10054</v>
      </c>
      <c r="W1843" s="360"/>
      <c r="X1843" s="49" t="str">
        <f t="array" ref="X1843"> if(iserror(MATCH(V1843, 'File Links'!C:C, 0)), "N/A", HYPERLINK(INDEX('File Links'!B:B, MATCH(V1843, 'File Links'!C:C, 0))))</f>
        <v>N/A</v>
      </c>
      <c r="Y1843" s="46"/>
      <c r="Z1843" s="343" t="s">
        <v>2079</v>
      </c>
      <c r="AA1843" s="56" t="s">
        <v>10055</v>
      </c>
      <c r="AB1843" s="343" t="s">
        <v>10613</v>
      </c>
      <c r="AC1843" s="343" t="s">
        <v>10614</v>
      </c>
      <c r="AD1843" s="343" t="s">
        <v>10615</v>
      </c>
      <c r="AE1843" s="343" t="s">
        <v>1042</v>
      </c>
      <c r="AF1843" s="347">
        <v>109.0</v>
      </c>
      <c r="AG1843" s="347" t="s">
        <v>10616</v>
      </c>
      <c r="AH1843" s="343" t="s">
        <v>134</v>
      </c>
      <c r="AI1843" s="343" t="s">
        <v>1042</v>
      </c>
      <c r="AJ1843" s="347">
        <v>0.01</v>
      </c>
      <c r="AK1843" s="343" t="s">
        <v>135</v>
      </c>
      <c r="AL1843" s="343" t="s">
        <v>186</v>
      </c>
      <c r="AM1843" s="56" t="s">
        <v>141</v>
      </c>
      <c r="AN1843" s="56" t="s">
        <v>138</v>
      </c>
      <c r="AO1843" s="347">
        <v>823.0</v>
      </c>
      <c r="AP1843" s="347">
        <v>0.0</v>
      </c>
      <c r="AQ1843" s="343" t="s">
        <v>874</v>
      </c>
      <c r="AR1843" s="343" t="s">
        <v>10617</v>
      </c>
      <c r="AS1843" s="347">
        <v>0.868</v>
      </c>
      <c r="AT1843" s="343" t="s">
        <v>172</v>
      </c>
      <c r="AU1843" s="343" t="s">
        <v>186</v>
      </c>
      <c r="AV1843" s="56" t="s">
        <v>137</v>
      </c>
      <c r="AW1843" s="1699" t="s">
        <v>10062</v>
      </c>
      <c r="AX1843" s="56" t="s">
        <v>143</v>
      </c>
      <c r="AY1843" s="61" t="str">
        <f>IFERROR(__xludf.DUMMYFUNCTION("vlookup(BB1843,importrange(""https://docs.google.com/spreadsheets/d/1d2vevQ_7D_v35q4wCQ4RpQ_IPoTwEMB9Yp6ymwlPqew/edit?gid=984458430#gid=984458430"", ""'replication success'!A:K""), 11, FAlSE)"),"failed")</f>
        <v>failed</v>
      </c>
      <c r="AZ1843" s="61" t="str">
        <f>IFERROR(__xludf.DUMMYFUNCTION("vlookup(BB1843,importrange(""https://docs.google.com/spreadsheets/d/1d2vevQ_7D_v35q4wCQ4RpQ_IPoTwEMB9Yp6ymwlPqew/edit?gid=984458430#gid=984458430"",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43" s="61" t="str">
        <f>IFERROR(__xludf.DUMMYFUNCTION("vlookup(BB1843,importrange(""https://docs.google.com/spreadsheets/d/1d2vevQ_7D_v35q4wCQ4RpQ_IPoTwEMB9Yp6ymwlPqew/edit?gid=984458430#gid=984458430"", ""'replication success'!A:M""), 13, FAlSE)"),"pg. 7-8")</f>
        <v>pg. 7-8</v>
      </c>
      <c r="BB1843" s="61" t="str">
        <f>IFERROR(__xludf.DUMMYFUNCTION("REGEXREPLACE(G1843, ""_[a-z]{1,2}$"", """")"),"OpenMKT7_1")</f>
        <v>OpenMKT7_1</v>
      </c>
      <c r="BC1843" s="342"/>
      <c r="BD1843" s="341" t="s">
        <v>7943</v>
      </c>
    </row>
    <row r="1844">
      <c r="A1844" s="44">
        <v>1844.0</v>
      </c>
      <c r="B1844" s="129" t="s">
        <v>152</v>
      </c>
      <c r="C1844" s="62" t="s">
        <v>115</v>
      </c>
      <c r="D1844" s="62" t="s">
        <v>248</v>
      </c>
      <c r="F1844" s="129" t="s">
        <v>10607</v>
      </c>
      <c r="G1844" s="129" t="s">
        <v>10618</v>
      </c>
      <c r="H1844" s="151" t="s">
        <v>249</v>
      </c>
      <c r="I1844" s="153">
        <v>45755.0</v>
      </c>
      <c r="J1844" s="1587">
        <v>45772.0</v>
      </c>
      <c r="K1844" s="151" t="s">
        <v>10619</v>
      </c>
      <c r="L1844" s="129" t="s">
        <v>10620</v>
      </c>
      <c r="M1844" s="129" t="s">
        <v>10610</v>
      </c>
      <c r="N1844" s="129" t="s">
        <v>10611</v>
      </c>
      <c r="O1844" s="501">
        <v>1.0</v>
      </c>
      <c r="P1844" s="528" t="s">
        <v>10612</v>
      </c>
      <c r="Q1844" s="108" t="str">
        <f t="array" ref="Q1844"> if(iserror(MATCH(V1844, 'File Links'!C:C, 0)), "N/A", HYPERLINK(INDEX('File Links'!B:B, MATCH(P1844, 'File Links'!C:C, 0))))</f>
        <v>N/A</v>
      </c>
      <c r="R1844" s="1697" t="s">
        <v>10052</v>
      </c>
      <c r="S1844" s="129" t="s">
        <v>10053</v>
      </c>
      <c r="T1844" s="1379"/>
      <c r="U1844" s="336"/>
      <c r="V1844" s="151" t="s">
        <v>10054</v>
      </c>
      <c r="W1844" s="159"/>
      <c r="X1844" s="49" t="str">
        <f t="array" ref="X1844"> if(iserror(MATCH(V1844, 'File Links'!C:C, 0)), "N/A", HYPERLINK(INDEX('File Links'!B:B, MATCH(V1844, 'File Links'!C:C, 0))))</f>
        <v>N/A</v>
      </c>
      <c r="Y1844" s="68"/>
      <c r="Z1844" s="151" t="s">
        <v>2079</v>
      </c>
      <c r="AA1844" s="371" t="s">
        <v>10055</v>
      </c>
      <c r="AB1844" s="151" t="s">
        <v>10613</v>
      </c>
      <c r="AC1844" s="151" t="s">
        <v>10621</v>
      </c>
      <c r="AD1844" s="151" t="s">
        <v>10622</v>
      </c>
      <c r="AE1844" s="151" t="s">
        <v>1042</v>
      </c>
      <c r="AF1844" s="161">
        <v>109.0</v>
      </c>
      <c r="AG1844" s="161">
        <v>0.113</v>
      </c>
      <c r="AH1844" s="151" t="s">
        <v>874</v>
      </c>
      <c r="AI1844" s="151" t="s">
        <v>10623</v>
      </c>
      <c r="AJ1844" s="161">
        <v>0.01</v>
      </c>
      <c r="AK1844" s="151" t="s">
        <v>135</v>
      </c>
      <c r="AL1844" s="151" t="s">
        <v>186</v>
      </c>
      <c r="AM1844" s="371" t="s">
        <v>137</v>
      </c>
      <c r="AN1844" s="129" t="s">
        <v>138</v>
      </c>
      <c r="AO1844" s="161">
        <v>823.0</v>
      </c>
      <c r="AP1844" s="161">
        <v>0.0</v>
      </c>
      <c r="AQ1844" s="151" t="s">
        <v>874</v>
      </c>
      <c r="AR1844" s="151" t="s">
        <v>10624</v>
      </c>
      <c r="AS1844" s="161">
        <v>0.949</v>
      </c>
      <c r="AT1844" s="151" t="s">
        <v>172</v>
      </c>
      <c r="AU1844" s="151" t="s">
        <v>186</v>
      </c>
      <c r="AV1844" s="56" t="s">
        <v>137</v>
      </c>
      <c r="AW1844" s="1699" t="s">
        <v>10062</v>
      </c>
      <c r="AX1844" s="129" t="s">
        <v>143</v>
      </c>
      <c r="AY1844" s="61" t="str">
        <f>IFERROR(__xludf.DUMMYFUNCTION("vlookup(BB1844,importrange(""https://docs.google.com/spreadsheets/d/1d2vevQ_7D_v35q4wCQ4RpQ_IPoTwEMB9Yp6ymwlPqew/edit?gid=984458430#gid=984458430"", ""'replication success'!A:K""), 11, FAlSE)"),"#N/A")</f>
        <v>#N/A</v>
      </c>
      <c r="AZ1844" s="61" t="str">
        <f>IFERROR(__xludf.DUMMYFUNCTION("vlookup(BB1844,importrange(""https://docs.google.com/spreadsheets/d/1d2vevQ_7D_v35q4wCQ4RpQ_IPoTwEMB9Yp6ymwlPqew/edit?gid=984458430#gid=984458430"", ""'replication success'!A:M""), 12, FAlSE)"),"#N/A")</f>
        <v>#N/A</v>
      </c>
      <c r="BA1844" s="61" t="str">
        <f>IFERROR(__xludf.DUMMYFUNCTION("vlookup(BB1844,importrange(""https://docs.google.com/spreadsheets/d/1d2vevQ_7D_v35q4wCQ4RpQ_IPoTwEMB9Yp6ymwlPqew/edit?gid=984458430#gid=984458430"", ""'replication success'!A:M""), 13, FAlSE)"),"#N/A")</f>
        <v>#N/A</v>
      </c>
      <c r="BB1844" s="61" t="str">
        <f>IFERROR(__xludf.DUMMYFUNCTION("REGEXREPLACE(G1844, ""_[a-z]{1,2}$"", """")"),"OpenMKT7")</f>
        <v>OpenMKT7</v>
      </c>
      <c r="BD1844" s="341" t="s">
        <v>7943</v>
      </c>
    </row>
    <row r="1845">
      <c r="A1845" s="44">
        <v>1845.0</v>
      </c>
      <c r="B1845" s="129" t="s">
        <v>152</v>
      </c>
      <c r="C1845" s="62" t="s">
        <v>115</v>
      </c>
      <c r="D1845" s="62" t="s">
        <v>248</v>
      </c>
      <c r="F1845" s="129" t="s">
        <v>10607</v>
      </c>
      <c r="G1845" s="129" t="s">
        <v>10625</v>
      </c>
      <c r="H1845" s="151" t="s">
        <v>249</v>
      </c>
      <c r="I1845" s="153">
        <v>45755.0</v>
      </c>
      <c r="J1845" s="1587">
        <v>45772.0</v>
      </c>
      <c r="K1845" s="151" t="s">
        <v>10626</v>
      </c>
      <c r="L1845" s="129" t="s">
        <v>10620</v>
      </c>
      <c r="M1845" s="129" t="s">
        <v>10610</v>
      </c>
      <c r="N1845" s="129" t="s">
        <v>10611</v>
      </c>
      <c r="O1845" s="501">
        <v>1.0</v>
      </c>
      <c r="P1845" s="528" t="s">
        <v>10612</v>
      </c>
      <c r="Q1845" s="108" t="str">
        <f t="array" ref="Q1845"> if(iserror(MATCH(V1845, 'File Links'!C:C, 0)), "N/A", HYPERLINK(INDEX('File Links'!B:B, MATCH(P1845, 'File Links'!C:C, 0))))</f>
        <v>N/A</v>
      </c>
      <c r="R1845" s="1697" t="s">
        <v>10052</v>
      </c>
      <c r="S1845" s="129" t="s">
        <v>10053</v>
      </c>
      <c r="T1845" s="1379"/>
      <c r="U1845" s="336"/>
      <c r="V1845" s="151" t="s">
        <v>10054</v>
      </c>
      <c r="W1845" s="159"/>
      <c r="X1845" s="49" t="str">
        <f t="array" ref="X1845"> if(iserror(MATCH(V1845, 'File Links'!C:C, 0)), "N/A", HYPERLINK(INDEX('File Links'!B:B, MATCH(V1845, 'File Links'!C:C, 0))))</f>
        <v>N/A</v>
      </c>
      <c r="Y1845" s="68"/>
      <c r="Z1845" s="151" t="s">
        <v>2079</v>
      </c>
      <c r="AA1845" s="371" t="s">
        <v>10055</v>
      </c>
      <c r="AB1845" s="151" t="s">
        <v>10613</v>
      </c>
      <c r="AC1845" s="151" t="s">
        <v>10627</v>
      </c>
      <c r="AD1845" s="151" t="s">
        <v>10628</v>
      </c>
      <c r="AE1845" s="151" t="s">
        <v>1042</v>
      </c>
      <c r="AF1845" s="161">
        <v>109.0</v>
      </c>
      <c r="AG1845" s="161">
        <v>0.85</v>
      </c>
      <c r="AH1845" s="151" t="s">
        <v>874</v>
      </c>
      <c r="AI1845" s="151" t="s">
        <v>10629</v>
      </c>
      <c r="AJ1845" s="161">
        <v>0.05</v>
      </c>
      <c r="AK1845" s="151" t="s">
        <v>135</v>
      </c>
      <c r="AL1845" s="151" t="s">
        <v>186</v>
      </c>
      <c r="AM1845" s="371" t="s">
        <v>137</v>
      </c>
      <c r="AN1845" s="129" t="s">
        <v>138</v>
      </c>
      <c r="AO1845" s="161">
        <v>823.0</v>
      </c>
      <c r="AP1845" s="161">
        <v>0.0</v>
      </c>
      <c r="AQ1845" s="151" t="s">
        <v>874</v>
      </c>
      <c r="AR1845" s="151" t="s">
        <v>10630</v>
      </c>
      <c r="AS1845" s="161">
        <v>0.994</v>
      </c>
      <c r="AT1845" s="151" t="s">
        <v>172</v>
      </c>
      <c r="AU1845" s="151" t="s">
        <v>186</v>
      </c>
      <c r="AV1845" s="56" t="s">
        <v>137</v>
      </c>
      <c r="AW1845" s="1699" t="s">
        <v>10062</v>
      </c>
      <c r="AX1845" s="129" t="s">
        <v>143</v>
      </c>
      <c r="AY1845" s="61" t="str">
        <f>IFERROR(__xludf.DUMMYFUNCTION("vlookup(BB1845,importrange(""https://docs.google.com/spreadsheets/d/1d2vevQ_7D_v35q4wCQ4RpQ_IPoTwEMB9Yp6ymwlPqew/edit?gid=984458430#gid=984458430"", ""'replication success'!A:K""), 11, FAlSE)"),"#N/A")</f>
        <v>#N/A</v>
      </c>
      <c r="AZ1845" s="61" t="str">
        <f>IFERROR(__xludf.DUMMYFUNCTION("vlookup(BB1845,importrange(""https://docs.google.com/spreadsheets/d/1d2vevQ_7D_v35q4wCQ4RpQ_IPoTwEMB9Yp6ymwlPqew/edit?gid=984458430#gid=984458430"", ""'replication success'!A:M""), 12, FAlSE)"),"#N/A")</f>
        <v>#N/A</v>
      </c>
      <c r="BA1845" s="61" t="str">
        <f>IFERROR(__xludf.DUMMYFUNCTION("vlookup(BB1845,importrange(""https://docs.google.com/spreadsheets/d/1d2vevQ_7D_v35q4wCQ4RpQ_IPoTwEMB9Yp6ymwlPqew/edit?gid=984458430#gid=984458430"", ""'replication success'!A:M""), 13, FAlSE)"),"#N/A")</f>
        <v>#N/A</v>
      </c>
      <c r="BB1845" s="61" t="str">
        <f>IFERROR(__xludf.DUMMYFUNCTION("REGEXREPLACE(G1845, ""_[a-z]{1,2}$"", """")"),"OpenMKT7")</f>
        <v>OpenMKT7</v>
      </c>
      <c r="BD1845" s="341" t="s">
        <v>7943</v>
      </c>
    </row>
    <row r="1846">
      <c r="A1846" s="44">
        <v>1846.0</v>
      </c>
      <c r="B1846" s="56" t="s">
        <v>152</v>
      </c>
      <c r="C1846" s="341" t="s">
        <v>115</v>
      </c>
      <c r="D1846" s="341" t="s">
        <v>248</v>
      </c>
      <c r="E1846" s="342"/>
      <c r="F1846" s="56" t="s">
        <v>10607</v>
      </c>
      <c r="G1846" s="56" t="s">
        <v>10631</v>
      </c>
      <c r="H1846" s="343" t="s">
        <v>249</v>
      </c>
      <c r="I1846" s="345">
        <v>45755.0</v>
      </c>
      <c r="J1846" s="1587">
        <v>45772.0</v>
      </c>
      <c r="K1846" s="360"/>
      <c r="L1846" s="56" t="s">
        <v>10632</v>
      </c>
      <c r="M1846" s="56" t="s">
        <v>10610</v>
      </c>
      <c r="N1846" s="56" t="s">
        <v>10611</v>
      </c>
      <c r="O1846" s="55">
        <v>1.0</v>
      </c>
      <c r="P1846" s="1696" t="s">
        <v>10612</v>
      </c>
      <c r="Q1846" s="108" t="str">
        <f t="array" ref="Q1846"> if(iserror(MATCH(V1846, 'File Links'!C:C, 0)), "N/A", HYPERLINK(INDEX('File Links'!B:B, MATCH(P1846, 'File Links'!C:C, 0))))</f>
        <v>N/A</v>
      </c>
      <c r="R1846" s="1697" t="s">
        <v>10052</v>
      </c>
      <c r="S1846" s="56" t="s">
        <v>10053</v>
      </c>
      <c r="T1846" s="1798"/>
      <c r="U1846" s="385"/>
      <c r="V1846" s="343" t="s">
        <v>10054</v>
      </c>
      <c r="W1846" s="360"/>
      <c r="X1846" s="49" t="str">
        <f t="array" ref="X1846"> if(iserror(MATCH(V1846, 'File Links'!C:C, 0)), "N/A", HYPERLINK(INDEX('File Links'!B:B, MATCH(V1846, 'File Links'!C:C, 0))))</f>
        <v>N/A</v>
      </c>
      <c r="Y1846" s="46"/>
      <c r="Z1846" s="343" t="s">
        <v>2079</v>
      </c>
      <c r="AA1846" s="56" t="s">
        <v>10055</v>
      </c>
      <c r="AB1846" s="343" t="s">
        <v>10613</v>
      </c>
      <c r="AC1846" s="343" t="s">
        <v>10633</v>
      </c>
      <c r="AD1846" s="343" t="s">
        <v>10634</v>
      </c>
      <c r="AE1846" s="343" t="s">
        <v>1042</v>
      </c>
      <c r="AF1846" s="347">
        <v>109.0</v>
      </c>
      <c r="AG1846" s="347">
        <v>0.226</v>
      </c>
      <c r="AH1846" s="343" t="s">
        <v>173</v>
      </c>
      <c r="AI1846" s="343" t="s">
        <v>10635</v>
      </c>
      <c r="AJ1846" s="347">
        <v>0.05</v>
      </c>
      <c r="AK1846" s="343" t="s">
        <v>335</v>
      </c>
      <c r="AL1846" s="343" t="s">
        <v>186</v>
      </c>
      <c r="AM1846" s="56" t="s">
        <v>137</v>
      </c>
      <c r="AN1846" s="56" t="s">
        <v>138</v>
      </c>
      <c r="AO1846" s="347">
        <v>823.0</v>
      </c>
      <c r="AP1846" s="347">
        <v>0.001</v>
      </c>
      <c r="AQ1846" s="343" t="s">
        <v>874</v>
      </c>
      <c r="AR1846" s="343" t="s">
        <v>10636</v>
      </c>
      <c r="AS1846" s="347">
        <v>0.62</v>
      </c>
      <c r="AT1846" s="343" t="s">
        <v>172</v>
      </c>
      <c r="AU1846" s="343" t="s">
        <v>186</v>
      </c>
      <c r="AV1846" s="56" t="s">
        <v>137</v>
      </c>
      <c r="AW1846" s="1699" t="s">
        <v>10062</v>
      </c>
      <c r="AX1846" s="56" t="s">
        <v>143</v>
      </c>
      <c r="AY1846" s="61" t="str">
        <f>IFERROR(__xludf.DUMMYFUNCTION("vlookup(BB1846,importrange(""https://docs.google.com/spreadsheets/d/1d2vevQ_7D_v35q4wCQ4RpQ_IPoTwEMB9Yp6ymwlPqew/edit?gid=984458430#gid=984458430"", ""'replication success'!A:K""), 11, FAlSE)"),"#N/A")</f>
        <v>#N/A</v>
      </c>
      <c r="AZ1846" s="61" t="str">
        <f>IFERROR(__xludf.DUMMYFUNCTION("vlookup(BB1846,importrange(""https://docs.google.com/spreadsheets/d/1d2vevQ_7D_v35q4wCQ4RpQ_IPoTwEMB9Yp6ymwlPqew/edit?gid=984458430#gid=984458430"", ""'replication success'!A:M""), 12, FAlSE)"),"#N/A")</f>
        <v>#N/A</v>
      </c>
      <c r="BA1846" s="61" t="str">
        <f>IFERROR(__xludf.DUMMYFUNCTION("vlookup(BB1846,importrange(""https://docs.google.com/spreadsheets/d/1d2vevQ_7D_v35q4wCQ4RpQ_IPoTwEMB9Yp6ymwlPqew/edit?gid=984458430#gid=984458430"", ""'replication success'!A:M""), 13, FAlSE)"),"#N/A")</f>
        <v>#N/A</v>
      </c>
      <c r="BB1846" s="61" t="str">
        <f>IFERROR(__xludf.DUMMYFUNCTION("REGEXREPLACE(G1846, ""_[a-z]{1,2}$"", """")"),"OpenMKT7")</f>
        <v>OpenMKT7</v>
      </c>
      <c r="BC1846" s="342"/>
      <c r="BD1846" s="341" t="s">
        <v>7943</v>
      </c>
    </row>
    <row r="1847">
      <c r="A1847" s="44">
        <v>1847.0</v>
      </c>
      <c r="B1847" s="56" t="s">
        <v>114</v>
      </c>
      <c r="C1847" s="341" t="s">
        <v>115</v>
      </c>
      <c r="D1847" s="341" t="s">
        <v>145</v>
      </c>
      <c r="E1847" s="342"/>
      <c r="F1847" s="56" t="s">
        <v>10607</v>
      </c>
      <c r="G1847" s="56" t="s">
        <v>10637</v>
      </c>
      <c r="H1847" s="343" t="s">
        <v>10123</v>
      </c>
      <c r="I1847" s="345">
        <v>45761.0</v>
      </c>
      <c r="J1847" s="1587">
        <v>45772.0</v>
      </c>
      <c r="K1847" s="360"/>
      <c r="L1847" s="56" t="s">
        <v>10168</v>
      </c>
      <c r="M1847" s="56" t="s">
        <v>10610</v>
      </c>
      <c r="N1847" s="56" t="s">
        <v>10611</v>
      </c>
      <c r="O1847" s="55">
        <v>1.0</v>
      </c>
      <c r="P1847" s="1696" t="s">
        <v>10612</v>
      </c>
      <c r="Q1847" s="108" t="str">
        <f t="array" ref="Q1847"> if(iserror(MATCH(V1847, 'File Links'!C:C, 0)), "N/A", HYPERLINK(INDEX('File Links'!B:B, MATCH(P1847, 'File Links'!C:C, 0))))</f>
        <v>N/A</v>
      </c>
      <c r="R1847" s="1697" t="s">
        <v>10052</v>
      </c>
      <c r="S1847" s="56" t="s">
        <v>10053</v>
      </c>
      <c r="T1847" s="1798"/>
      <c r="U1847" s="385"/>
      <c r="V1847" s="343" t="s">
        <v>10054</v>
      </c>
      <c r="W1847" s="360"/>
      <c r="X1847" s="49" t="str">
        <f t="array" ref="X1847"> if(iserror(MATCH(V1847, 'File Links'!C:C, 0)), "N/A", HYPERLINK(INDEX('File Links'!B:B, MATCH(V1847, 'File Links'!C:C, 0))))</f>
        <v>N/A</v>
      </c>
      <c r="Y1847" s="46"/>
      <c r="Z1847" s="343" t="s">
        <v>2079</v>
      </c>
      <c r="AA1847" s="56" t="s">
        <v>10055</v>
      </c>
      <c r="AB1847" s="343" t="s">
        <v>10613</v>
      </c>
      <c r="AC1847" s="343" t="s">
        <v>10614</v>
      </c>
      <c r="AD1847" s="343" t="s">
        <v>10638</v>
      </c>
      <c r="AE1847" s="343">
        <v>6.0</v>
      </c>
      <c r="AF1847" s="347">
        <v>109.0</v>
      </c>
      <c r="AG1847" s="347" t="s">
        <v>10639</v>
      </c>
      <c r="AH1847" s="343" t="s">
        <v>134</v>
      </c>
      <c r="AI1847" s="343" t="s">
        <v>140</v>
      </c>
      <c r="AJ1847" s="347">
        <v>0.01</v>
      </c>
      <c r="AK1847" s="343" t="s">
        <v>135</v>
      </c>
      <c r="AL1847" s="343" t="s">
        <v>186</v>
      </c>
      <c r="AM1847" s="56" t="s">
        <v>141</v>
      </c>
      <c r="AN1847" s="56" t="s">
        <v>1535</v>
      </c>
      <c r="AO1847" s="347">
        <v>823.0</v>
      </c>
      <c r="AP1847" s="347">
        <v>0.013</v>
      </c>
      <c r="AQ1847" s="343" t="s">
        <v>215</v>
      </c>
      <c r="AR1847" s="343" t="s">
        <v>10171</v>
      </c>
      <c r="AS1847" s="347">
        <v>0.868</v>
      </c>
      <c r="AT1847" s="343" t="s">
        <v>172</v>
      </c>
      <c r="AU1847" s="343" t="s">
        <v>186</v>
      </c>
      <c r="AV1847" s="56" t="s">
        <v>137</v>
      </c>
      <c r="AW1847" s="1699" t="s">
        <v>10062</v>
      </c>
      <c r="AX1847" s="56" t="s">
        <v>143</v>
      </c>
      <c r="AY1847" s="61" t="str">
        <f>IFERROR(__xludf.DUMMYFUNCTION("vlookup(BB1847,importrange(""https://docs.google.com/spreadsheets/d/1d2vevQ_7D_v35q4wCQ4RpQ_IPoTwEMB9Yp6ymwlPqew/edit?gid=984458430#gid=984458430"", ""'replication success'!A:K""), 11, FAlSE)"),"#N/A")</f>
        <v>#N/A</v>
      </c>
      <c r="AZ1847" s="61" t="str">
        <f>IFERROR(__xludf.DUMMYFUNCTION("vlookup(BB1847,importrange(""https://docs.google.com/spreadsheets/d/1d2vevQ_7D_v35q4wCQ4RpQ_IPoTwEMB9Yp6ymwlPqew/edit?gid=984458430#gid=984458430"", ""'replication success'!A:M""), 12, FAlSE)"),"#N/A")</f>
        <v>#N/A</v>
      </c>
      <c r="BA1847" s="61" t="str">
        <f>IFERROR(__xludf.DUMMYFUNCTION("vlookup(BB1847,importrange(""https://docs.google.com/spreadsheets/d/1d2vevQ_7D_v35q4wCQ4RpQ_IPoTwEMB9Yp6ymwlPqew/edit?gid=984458430#gid=984458430"", ""'replication success'!A:M""), 13, FAlSE)"),"#N/A")</f>
        <v>#N/A</v>
      </c>
      <c r="BB1847" s="61" t="str">
        <f>IFERROR(__xludf.DUMMYFUNCTION("REGEXREPLACE(G1847, ""_[a-z]{1,2}$"", """")"),"OpenMKT7")</f>
        <v>OpenMKT7</v>
      </c>
      <c r="BC1847" s="342"/>
      <c r="BD1847" s="341" t="s">
        <v>7943</v>
      </c>
    </row>
    <row r="1848">
      <c r="A1848" s="44">
        <v>1848.0</v>
      </c>
      <c r="B1848" s="129" t="s">
        <v>114</v>
      </c>
      <c r="C1848" s="62" t="s">
        <v>115</v>
      </c>
      <c r="D1848" s="62" t="s">
        <v>145</v>
      </c>
      <c r="F1848" s="129" t="s">
        <v>10640</v>
      </c>
      <c r="G1848" s="129" t="s">
        <v>10618</v>
      </c>
      <c r="H1848" s="151" t="s">
        <v>10123</v>
      </c>
      <c r="I1848" s="153">
        <v>45761.0</v>
      </c>
      <c r="J1848" s="1587">
        <v>45772.0</v>
      </c>
      <c r="K1848" s="159"/>
      <c r="L1848" s="56" t="s">
        <v>10168</v>
      </c>
      <c r="M1848" s="129" t="s">
        <v>10610</v>
      </c>
      <c r="N1848" s="129" t="s">
        <v>10611</v>
      </c>
      <c r="O1848" s="501">
        <v>1.0</v>
      </c>
      <c r="P1848" s="528" t="s">
        <v>10612</v>
      </c>
      <c r="Q1848" s="108" t="str">
        <f t="array" ref="Q1848"> if(iserror(MATCH(V1848, 'File Links'!C:C, 0)), "N/A", HYPERLINK(INDEX('File Links'!B:B, MATCH(P1848, 'File Links'!C:C, 0))))</f>
        <v>N/A</v>
      </c>
      <c r="R1848" s="1697" t="s">
        <v>10052</v>
      </c>
      <c r="S1848" s="129" t="s">
        <v>10053</v>
      </c>
      <c r="T1848" s="1379"/>
      <c r="U1848" s="336"/>
      <c r="V1848" s="151" t="s">
        <v>10054</v>
      </c>
      <c r="W1848" s="159"/>
      <c r="X1848" s="49" t="str">
        <f t="array" ref="X1848"> if(iserror(MATCH(V1848, 'File Links'!C:C, 0)), "N/A", HYPERLINK(INDEX('File Links'!B:B, MATCH(V1848, 'File Links'!C:C, 0))))</f>
        <v>N/A</v>
      </c>
      <c r="Y1848" s="68"/>
      <c r="Z1848" s="151" t="s">
        <v>2079</v>
      </c>
      <c r="AA1848" s="371" t="s">
        <v>10055</v>
      </c>
      <c r="AB1848" s="151" t="s">
        <v>10613</v>
      </c>
      <c r="AC1848" s="151" t="s">
        <v>10621</v>
      </c>
      <c r="AD1848" s="151" t="s">
        <v>10641</v>
      </c>
      <c r="AE1848" s="151">
        <v>6.0</v>
      </c>
      <c r="AF1848" s="161">
        <v>109.0</v>
      </c>
      <c r="AG1848" s="161" t="s">
        <v>10642</v>
      </c>
      <c r="AH1848" s="151" t="s">
        <v>134</v>
      </c>
      <c r="AI1848" s="151" t="s">
        <v>140</v>
      </c>
      <c r="AJ1848" s="161">
        <v>0.01</v>
      </c>
      <c r="AK1848" s="151" t="s">
        <v>135</v>
      </c>
      <c r="AL1848" s="151" t="s">
        <v>186</v>
      </c>
      <c r="AM1848" s="129" t="s">
        <v>137</v>
      </c>
      <c r="AN1848" s="129" t="s">
        <v>1535</v>
      </c>
      <c r="AO1848" s="161">
        <v>823.0</v>
      </c>
      <c r="AP1848" s="161">
        <v>-0.003</v>
      </c>
      <c r="AQ1848" s="151" t="s">
        <v>215</v>
      </c>
      <c r="AR1848" s="151" t="s">
        <v>10171</v>
      </c>
      <c r="AS1848" s="161">
        <v>0.949</v>
      </c>
      <c r="AT1848" s="151" t="s">
        <v>172</v>
      </c>
      <c r="AU1848" s="151" t="s">
        <v>186</v>
      </c>
      <c r="AV1848" s="129" t="s">
        <v>137</v>
      </c>
      <c r="AW1848" s="1308" t="s">
        <v>10062</v>
      </c>
      <c r="AX1848" s="129" t="s">
        <v>143</v>
      </c>
      <c r="AY1848" s="61" t="str">
        <f>IFERROR(__xludf.DUMMYFUNCTION("vlookup(BB1848,importrange(""https://docs.google.com/spreadsheets/d/1d2vevQ_7D_v35q4wCQ4RpQ_IPoTwEMB9Yp6ymwlPqew/edit?gid=984458430#gid=984458430"", ""'replication success'!A:K""), 11, FAlSE)"),"#N/A")</f>
        <v>#N/A</v>
      </c>
      <c r="AZ1848" s="61" t="str">
        <f>IFERROR(__xludf.DUMMYFUNCTION("vlookup(BB1848,importrange(""https://docs.google.com/spreadsheets/d/1d2vevQ_7D_v35q4wCQ4RpQ_IPoTwEMB9Yp6ymwlPqew/edit?gid=984458430#gid=984458430"", ""'replication success'!A:M""), 12, FAlSE)"),"#N/A")</f>
        <v>#N/A</v>
      </c>
      <c r="BA1848" s="61" t="str">
        <f>IFERROR(__xludf.DUMMYFUNCTION("vlookup(BB1848,importrange(""https://docs.google.com/spreadsheets/d/1d2vevQ_7D_v35q4wCQ4RpQ_IPoTwEMB9Yp6ymwlPqew/edit?gid=984458430#gid=984458430"", ""'replication success'!A:M""), 13, FAlSE)"),"#N/A")</f>
        <v>#N/A</v>
      </c>
      <c r="BB1848" s="61" t="str">
        <f>IFERROR(__xludf.DUMMYFUNCTION("REGEXREPLACE(G1848, ""_[a-z]{1,2}$"", """")"),"OpenMKT7")</f>
        <v>OpenMKT7</v>
      </c>
      <c r="BD1848" s="341" t="s">
        <v>7943</v>
      </c>
    </row>
    <row r="1849">
      <c r="A1849" s="44">
        <v>1849.0</v>
      </c>
      <c r="B1849" s="56" t="s">
        <v>114</v>
      </c>
      <c r="C1849" s="341" t="s">
        <v>115</v>
      </c>
      <c r="D1849" s="341" t="s">
        <v>145</v>
      </c>
      <c r="E1849" s="342"/>
      <c r="F1849" s="56" t="s">
        <v>10643</v>
      </c>
      <c r="G1849" s="56" t="s">
        <v>10625</v>
      </c>
      <c r="H1849" s="343" t="s">
        <v>10123</v>
      </c>
      <c r="I1849" s="345">
        <v>45761.0</v>
      </c>
      <c r="J1849" s="1587">
        <v>45772.0</v>
      </c>
      <c r="K1849" s="360"/>
      <c r="L1849" s="56" t="s">
        <v>10168</v>
      </c>
      <c r="M1849" s="56" t="s">
        <v>10610</v>
      </c>
      <c r="N1849" s="56" t="s">
        <v>10611</v>
      </c>
      <c r="O1849" s="55">
        <v>1.0</v>
      </c>
      <c r="P1849" s="1696" t="s">
        <v>10612</v>
      </c>
      <c r="Q1849" s="108" t="str">
        <f t="array" ref="Q1849"> if(iserror(MATCH(V1849, 'File Links'!C:C, 0)), "N/A", HYPERLINK(INDEX('File Links'!B:B, MATCH(P1849, 'File Links'!C:C, 0))))</f>
        <v>N/A</v>
      </c>
      <c r="R1849" s="1697" t="s">
        <v>10052</v>
      </c>
      <c r="S1849" s="56" t="s">
        <v>10053</v>
      </c>
      <c r="T1849" s="1798"/>
      <c r="U1849" s="385"/>
      <c r="V1849" s="343" t="s">
        <v>10054</v>
      </c>
      <c r="W1849" s="360"/>
      <c r="X1849" s="49" t="str">
        <f t="array" ref="X1849"> if(iserror(MATCH(V1849, 'File Links'!C:C, 0)), "N/A", HYPERLINK(INDEX('File Links'!B:B, MATCH(V1849, 'File Links'!C:C, 0))))</f>
        <v>N/A</v>
      </c>
      <c r="Y1849" s="46"/>
      <c r="Z1849" s="343" t="s">
        <v>2079</v>
      </c>
      <c r="AA1849" s="56" t="s">
        <v>10055</v>
      </c>
      <c r="AB1849" s="343" t="s">
        <v>10613</v>
      </c>
      <c r="AC1849" s="343" t="s">
        <v>10627</v>
      </c>
      <c r="AD1849" s="343" t="s">
        <v>10644</v>
      </c>
      <c r="AE1849" s="343">
        <v>6.0</v>
      </c>
      <c r="AF1849" s="347">
        <v>109.0</v>
      </c>
      <c r="AG1849" s="347" t="s">
        <v>10645</v>
      </c>
      <c r="AH1849" s="343" t="s">
        <v>134</v>
      </c>
      <c r="AI1849" s="343" t="s">
        <v>140</v>
      </c>
      <c r="AJ1849" s="347">
        <v>0.05</v>
      </c>
      <c r="AK1849" s="343" t="s">
        <v>135</v>
      </c>
      <c r="AL1849" s="343" t="s">
        <v>186</v>
      </c>
      <c r="AM1849" s="56" t="s">
        <v>137</v>
      </c>
      <c r="AN1849" s="56" t="s">
        <v>1535</v>
      </c>
      <c r="AO1849" s="347">
        <v>823.0</v>
      </c>
      <c r="AP1849" s="347">
        <v>0.0</v>
      </c>
      <c r="AQ1849" s="343" t="s">
        <v>215</v>
      </c>
      <c r="AR1849" s="343" t="s">
        <v>10171</v>
      </c>
      <c r="AS1849" s="347">
        <v>0.994</v>
      </c>
      <c r="AT1849" s="343" t="s">
        <v>172</v>
      </c>
      <c r="AU1849" s="343" t="s">
        <v>186</v>
      </c>
      <c r="AV1849" s="56" t="s">
        <v>137</v>
      </c>
      <c r="AW1849" s="1699" t="s">
        <v>10062</v>
      </c>
      <c r="AX1849" s="56" t="s">
        <v>143</v>
      </c>
      <c r="AY1849" s="61" t="str">
        <f>IFERROR(__xludf.DUMMYFUNCTION("vlookup(BB1849,importrange(""https://docs.google.com/spreadsheets/d/1d2vevQ_7D_v35q4wCQ4RpQ_IPoTwEMB9Yp6ymwlPqew/edit?gid=984458430#gid=984458430"", ""'replication success'!A:K""), 11, FAlSE)"),"#N/A")</f>
        <v>#N/A</v>
      </c>
      <c r="AZ1849" s="61" t="str">
        <f>IFERROR(__xludf.DUMMYFUNCTION("vlookup(BB1849,importrange(""https://docs.google.com/spreadsheets/d/1d2vevQ_7D_v35q4wCQ4RpQ_IPoTwEMB9Yp6ymwlPqew/edit?gid=984458430#gid=984458430"", ""'replication success'!A:M""), 12, FAlSE)"),"#N/A")</f>
        <v>#N/A</v>
      </c>
      <c r="BA1849" s="61" t="str">
        <f>IFERROR(__xludf.DUMMYFUNCTION("vlookup(BB1849,importrange(""https://docs.google.com/spreadsheets/d/1d2vevQ_7D_v35q4wCQ4RpQ_IPoTwEMB9Yp6ymwlPqew/edit?gid=984458430#gid=984458430"", ""'replication success'!A:M""), 13, FAlSE)"),"#N/A")</f>
        <v>#N/A</v>
      </c>
      <c r="BB1849" s="61" t="str">
        <f>IFERROR(__xludf.DUMMYFUNCTION("REGEXREPLACE(G1849, ""_[a-z]{1,2}$"", """")"),"OpenMKT7")</f>
        <v>OpenMKT7</v>
      </c>
      <c r="BC1849" s="342"/>
      <c r="BD1849" s="341" t="s">
        <v>7943</v>
      </c>
    </row>
    <row r="1850">
      <c r="A1850" s="44">
        <v>1850.0</v>
      </c>
      <c r="B1850" s="56" t="s">
        <v>114</v>
      </c>
      <c r="C1850" s="341" t="s">
        <v>115</v>
      </c>
      <c r="D1850" s="341" t="s">
        <v>248</v>
      </c>
      <c r="E1850" s="342"/>
      <c r="F1850" s="56" t="s">
        <v>10646</v>
      </c>
      <c r="G1850" s="56" t="s">
        <v>10646</v>
      </c>
      <c r="H1850" s="343" t="s">
        <v>249</v>
      </c>
      <c r="I1850" s="345">
        <v>45756.0</v>
      </c>
      <c r="J1850" s="1587">
        <v>45772.0</v>
      </c>
      <c r="K1850" s="343" t="s">
        <v>10647</v>
      </c>
      <c r="L1850" s="56" t="s">
        <v>10648</v>
      </c>
      <c r="M1850" s="56" t="s">
        <v>10649</v>
      </c>
      <c r="N1850" s="56" t="s">
        <v>10650</v>
      </c>
      <c r="O1850" s="55">
        <v>2.0</v>
      </c>
      <c r="P1850" s="1696" t="s">
        <v>10651</v>
      </c>
      <c r="Q1850" s="108" t="str">
        <f t="array" ref="Q1850"> if(iserror(MATCH(V1850, 'File Links'!C:C, 0)), "N/A", HYPERLINK(INDEX('File Links'!B:B, MATCH(P1850, 'File Links'!C:C, 0))))</f>
        <v>N/A</v>
      </c>
      <c r="R1850" s="1697" t="s">
        <v>10052</v>
      </c>
      <c r="S1850" s="56" t="s">
        <v>10053</v>
      </c>
      <c r="T1850" s="1798"/>
      <c r="U1850" s="385"/>
      <c r="V1850" s="343" t="s">
        <v>10054</v>
      </c>
      <c r="W1850" s="360"/>
      <c r="X1850" s="49" t="str">
        <f t="array" ref="X1850"> if(iserror(MATCH(V1850, 'File Links'!C:C, 0)), "N/A", HYPERLINK(INDEX('File Links'!B:B, MATCH(V1850, 'File Links'!C:C, 0))))</f>
        <v>N/A</v>
      </c>
      <c r="Y1850" s="46"/>
      <c r="Z1850" s="343" t="s">
        <v>2079</v>
      </c>
      <c r="AA1850" s="56" t="s">
        <v>10055</v>
      </c>
      <c r="AB1850" s="343" t="s">
        <v>10652</v>
      </c>
      <c r="AC1850" s="343" t="s">
        <v>10653</v>
      </c>
      <c r="AD1850" s="343" t="s">
        <v>10654</v>
      </c>
      <c r="AE1850" s="343" t="s">
        <v>4979</v>
      </c>
      <c r="AF1850" s="347">
        <v>194.0</v>
      </c>
      <c r="AG1850" s="347" t="s">
        <v>10655</v>
      </c>
      <c r="AH1850" s="343" t="s">
        <v>134</v>
      </c>
      <c r="AI1850" s="343" t="s">
        <v>10656</v>
      </c>
      <c r="AJ1850" s="347">
        <v>0.01</v>
      </c>
      <c r="AK1850" s="343" t="s">
        <v>135</v>
      </c>
      <c r="AL1850" s="343" t="s">
        <v>186</v>
      </c>
      <c r="AM1850" s="56" t="s">
        <v>137</v>
      </c>
      <c r="AN1850" s="56" t="s">
        <v>138</v>
      </c>
      <c r="AO1850" s="347">
        <v>738.0</v>
      </c>
      <c r="AP1850" s="347">
        <v>0.008</v>
      </c>
      <c r="AQ1850" s="343" t="s">
        <v>874</v>
      </c>
      <c r="AR1850" s="343" t="s">
        <v>10657</v>
      </c>
      <c r="AS1850" s="347">
        <v>0.064</v>
      </c>
      <c r="AT1850" s="343" t="s">
        <v>172</v>
      </c>
      <c r="AU1850" s="343" t="s">
        <v>186</v>
      </c>
      <c r="AV1850" s="56" t="s">
        <v>137</v>
      </c>
      <c r="AW1850" s="1699" t="s">
        <v>10062</v>
      </c>
      <c r="AX1850" s="56" t="s">
        <v>143</v>
      </c>
      <c r="AY1850" s="61" t="str">
        <f>IFERROR(__xludf.DUMMYFUNCTION("vlookup(BB1850,importrange(""https://docs.google.com/spreadsheets/d/1d2vevQ_7D_v35q4wCQ4RpQ_IPoTwEMB9Yp6ymwlPqew/edit?gid=984458430#gid=984458430"", ""'replication success'!A:K""), 11, FAlSE)"),"#N/A")</f>
        <v>#N/A</v>
      </c>
      <c r="AZ1850" s="61" t="str">
        <f>IFERROR(__xludf.DUMMYFUNCTION("vlookup(BB1850,importrange(""https://docs.google.com/spreadsheets/d/1d2vevQ_7D_v35q4wCQ4RpQ_IPoTwEMB9Yp6ymwlPqew/edit?gid=984458430#gid=984458430"", ""'replication success'!A:M""), 12, FAlSE)"),"#N/A")</f>
        <v>#N/A</v>
      </c>
      <c r="BA1850" s="61" t="str">
        <f>IFERROR(__xludf.DUMMYFUNCTION("vlookup(BB1850,importrange(""https://docs.google.com/spreadsheets/d/1d2vevQ_7D_v35q4wCQ4RpQ_IPoTwEMB9Yp6ymwlPqew/edit?gid=984458430#gid=984458430"", ""'replication success'!A:M""), 13, FAlSE)"),"#N/A")</f>
        <v>#N/A</v>
      </c>
      <c r="BB1850" s="61" t="str">
        <f>IFERROR(__xludf.DUMMYFUNCTION("REGEXREPLACE(G1850, ""_[a-z]{1,2}$"", """")"),"OpenMKT8_1")</f>
        <v>OpenMKT8_1</v>
      </c>
      <c r="BC1850" s="342"/>
      <c r="BD1850" s="341" t="s">
        <v>7943</v>
      </c>
    </row>
    <row r="1851">
      <c r="A1851" s="44">
        <v>1851.0</v>
      </c>
      <c r="B1851" s="129" t="s">
        <v>114</v>
      </c>
      <c r="C1851" s="62" t="s">
        <v>115</v>
      </c>
      <c r="D1851" s="62" t="s">
        <v>248</v>
      </c>
      <c r="F1851" s="129" t="s">
        <v>10646</v>
      </c>
      <c r="G1851" s="129" t="s">
        <v>10658</v>
      </c>
      <c r="H1851" s="151" t="s">
        <v>249</v>
      </c>
      <c r="I1851" s="153">
        <v>45756.0</v>
      </c>
      <c r="J1851" s="1587">
        <v>45772.0</v>
      </c>
      <c r="K1851" s="151" t="s">
        <v>10659</v>
      </c>
      <c r="L1851" s="129" t="s">
        <v>10648</v>
      </c>
      <c r="M1851" s="129" t="s">
        <v>10649</v>
      </c>
      <c r="N1851" s="129" t="s">
        <v>10650</v>
      </c>
      <c r="O1851" s="501">
        <v>2.0</v>
      </c>
      <c r="P1851" s="528" t="s">
        <v>10651</v>
      </c>
      <c r="Q1851" s="108" t="str">
        <f t="array" ref="Q1851"> if(iserror(MATCH(V1851, 'File Links'!C:C, 0)), "N/A", HYPERLINK(INDEX('File Links'!B:B, MATCH(P1851, 'File Links'!C:C, 0))))</f>
        <v>N/A</v>
      </c>
      <c r="R1851" s="1697" t="s">
        <v>10052</v>
      </c>
      <c r="S1851" s="129" t="s">
        <v>10053</v>
      </c>
      <c r="T1851" s="1379"/>
      <c r="U1851" s="336"/>
      <c r="V1851" s="151" t="s">
        <v>10054</v>
      </c>
      <c r="W1851" s="159"/>
      <c r="X1851" s="49" t="str">
        <f t="array" ref="X1851"> if(iserror(MATCH(V1851, 'File Links'!C:C, 0)), "N/A", HYPERLINK(INDEX('File Links'!B:B, MATCH(V1851, 'File Links'!C:C, 0))))</f>
        <v>N/A</v>
      </c>
      <c r="Y1851" s="68"/>
      <c r="Z1851" s="151" t="s">
        <v>2079</v>
      </c>
      <c r="AA1851" s="371" t="s">
        <v>10055</v>
      </c>
      <c r="AB1851" s="151" t="s">
        <v>10652</v>
      </c>
      <c r="AC1851" s="151" t="s">
        <v>10660</v>
      </c>
      <c r="AD1851" s="151" t="s">
        <v>10661</v>
      </c>
      <c r="AE1851" s="151" t="s">
        <v>4979</v>
      </c>
      <c r="AF1851" s="161">
        <v>194.0</v>
      </c>
      <c r="AG1851" s="161" t="s">
        <v>10662</v>
      </c>
      <c r="AH1851" s="151" t="s">
        <v>134</v>
      </c>
      <c r="AI1851" s="151" t="s">
        <v>10663</v>
      </c>
      <c r="AJ1851" s="161">
        <v>0.05</v>
      </c>
      <c r="AK1851" s="151" t="s">
        <v>135</v>
      </c>
      <c r="AL1851" s="151" t="s">
        <v>186</v>
      </c>
      <c r="AM1851" s="56" t="s">
        <v>137</v>
      </c>
      <c r="AN1851" s="129" t="s">
        <v>138</v>
      </c>
      <c r="AO1851" s="161">
        <v>738.0</v>
      </c>
      <c r="AP1851" s="161">
        <v>0.0</v>
      </c>
      <c r="AQ1851" s="151" t="s">
        <v>874</v>
      </c>
      <c r="AR1851" s="151" t="s">
        <v>10664</v>
      </c>
      <c r="AS1851" s="161">
        <v>0.859</v>
      </c>
      <c r="AT1851" s="151" t="s">
        <v>172</v>
      </c>
      <c r="AU1851" s="151" t="s">
        <v>186</v>
      </c>
      <c r="AV1851" s="129" t="s">
        <v>137</v>
      </c>
      <c r="AW1851" s="1699" t="s">
        <v>10062</v>
      </c>
      <c r="AX1851" s="129" t="s">
        <v>143</v>
      </c>
      <c r="AY1851" s="61" t="str">
        <f>IFERROR(__xludf.DUMMYFUNCTION("vlookup(BB1851,importrange(""https://docs.google.com/spreadsheets/d/1d2vevQ_7D_v35q4wCQ4RpQ_IPoTwEMB9Yp6ymwlPqew/edit?gid=984458430#gid=984458430"", ""'replication success'!A:K""), 11, FAlSE)"),"failed")</f>
        <v>failed</v>
      </c>
      <c r="AZ1851" s="61" t="str">
        <f>IFERROR(__xludf.DUMMYFUNCTION("vlookup(BB1851,importrange(""https://docs.google.com/spreadsheets/d/1d2vevQ_7D_v35q4wCQ4RpQ_IPoTwEMB9Yp6ymwlPqew/edit?gid=984458430#gid=984458430"",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1" s="61" t="str">
        <f>IFERROR(__xludf.DUMMYFUNCTION("vlookup(BB1851,importrange(""https://docs.google.com/spreadsheets/d/1d2vevQ_7D_v35q4wCQ4RpQ_IPoTwEMB9Yp6ymwlPqew/edit?gid=984458430#gid=984458430"", ""'replication success'!A:M""), 13, FAlSE)"),"pg. 7-8")</f>
        <v>pg. 7-8</v>
      </c>
      <c r="BB1851" s="61" t="str">
        <f>IFERROR(__xludf.DUMMYFUNCTION("REGEXREPLACE(G1851, ""_[a-z]{1,2}$"", """")"),"OpenMKT8")</f>
        <v>OpenMKT8</v>
      </c>
      <c r="BD1851" s="341" t="s">
        <v>7943</v>
      </c>
    </row>
    <row r="1852">
      <c r="A1852" s="44">
        <v>1852.0</v>
      </c>
      <c r="B1852" s="129" t="s">
        <v>114</v>
      </c>
      <c r="C1852" s="62" t="s">
        <v>115</v>
      </c>
      <c r="D1852" s="62" t="s">
        <v>248</v>
      </c>
      <c r="F1852" s="129" t="s">
        <v>10646</v>
      </c>
      <c r="G1852" s="129" t="s">
        <v>10665</v>
      </c>
      <c r="H1852" s="151" t="s">
        <v>249</v>
      </c>
      <c r="I1852" s="153">
        <v>45756.0</v>
      </c>
      <c r="J1852" s="1587">
        <v>45772.0</v>
      </c>
      <c r="K1852" s="151" t="s">
        <v>10666</v>
      </c>
      <c r="L1852" s="129" t="s">
        <v>10667</v>
      </c>
      <c r="M1852" s="129" t="s">
        <v>10649</v>
      </c>
      <c r="N1852" s="129" t="s">
        <v>10650</v>
      </c>
      <c r="O1852" s="501">
        <v>2.0</v>
      </c>
      <c r="P1852" s="528" t="s">
        <v>10651</v>
      </c>
      <c r="Q1852" s="108" t="str">
        <f t="array" ref="Q1852"> if(iserror(MATCH(V1852, 'File Links'!C:C, 0)), "N/A", HYPERLINK(INDEX('File Links'!B:B, MATCH(P1852, 'File Links'!C:C, 0))))</f>
        <v>N/A</v>
      </c>
      <c r="R1852" s="1697" t="s">
        <v>10052</v>
      </c>
      <c r="S1852" s="129" t="s">
        <v>10053</v>
      </c>
      <c r="T1852" s="1379"/>
      <c r="U1852" s="336"/>
      <c r="V1852" s="151" t="s">
        <v>10054</v>
      </c>
      <c r="W1852" s="159"/>
      <c r="X1852" s="49" t="str">
        <f t="array" ref="X1852"> if(iserror(MATCH(V1852, 'File Links'!C:C, 0)), "N/A", HYPERLINK(INDEX('File Links'!B:B, MATCH(V1852, 'File Links'!C:C, 0))))</f>
        <v>N/A</v>
      </c>
      <c r="Y1852" s="68"/>
      <c r="Z1852" s="151" t="s">
        <v>2079</v>
      </c>
      <c r="AA1852" s="371" t="s">
        <v>10055</v>
      </c>
      <c r="AB1852" s="151" t="s">
        <v>10652</v>
      </c>
      <c r="AC1852" s="151" t="s">
        <v>10668</v>
      </c>
      <c r="AD1852" s="151" t="s">
        <v>10669</v>
      </c>
      <c r="AE1852" s="151" t="s">
        <v>4979</v>
      </c>
      <c r="AF1852" s="161">
        <v>194.0</v>
      </c>
      <c r="AG1852" s="378" t="s">
        <v>10670</v>
      </c>
      <c r="AH1852" s="151" t="s">
        <v>134</v>
      </c>
      <c r="AI1852" s="151" t="s">
        <v>10671</v>
      </c>
      <c r="AJ1852" s="161">
        <v>0.01</v>
      </c>
      <c r="AK1852" s="151" t="s">
        <v>135</v>
      </c>
      <c r="AL1852" s="151" t="s">
        <v>186</v>
      </c>
      <c r="AM1852" s="56" t="s">
        <v>137</v>
      </c>
      <c r="AN1852" s="129" t="s">
        <v>138</v>
      </c>
      <c r="AO1852" s="161">
        <v>738.0</v>
      </c>
      <c r="AP1852" s="161">
        <v>0.001</v>
      </c>
      <c r="AQ1852" s="151" t="s">
        <v>874</v>
      </c>
      <c r="AR1852" s="151" t="s">
        <v>10672</v>
      </c>
      <c r="AS1852" s="161">
        <v>0.405</v>
      </c>
      <c r="AT1852" s="151" t="s">
        <v>172</v>
      </c>
      <c r="AU1852" s="151" t="s">
        <v>186</v>
      </c>
      <c r="AV1852" s="129" t="s">
        <v>137</v>
      </c>
      <c r="AW1852" s="1699" t="s">
        <v>10062</v>
      </c>
      <c r="AX1852" s="129" t="s">
        <v>143</v>
      </c>
      <c r="AY1852" s="61" t="str">
        <f>IFERROR(__xludf.DUMMYFUNCTION("vlookup(BB1852,importrange(""https://docs.google.com/spreadsheets/d/1d2vevQ_7D_v35q4wCQ4RpQ_IPoTwEMB9Yp6ymwlPqew/edit?gid=984458430#gid=984458430"", ""'replication success'!A:K""), 11, FAlSE)"),"failed")</f>
        <v>failed</v>
      </c>
      <c r="AZ1852" s="61" t="str">
        <f>IFERROR(__xludf.DUMMYFUNCTION("vlookup(BB1852,importrange(""https://docs.google.com/spreadsheets/d/1d2vevQ_7D_v35q4wCQ4RpQ_IPoTwEMB9Yp6ymwlPqew/edit?gid=984458430#gid=984458430"",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2" s="61" t="str">
        <f>IFERROR(__xludf.DUMMYFUNCTION("vlookup(BB1852,importrange(""https://docs.google.com/spreadsheets/d/1d2vevQ_7D_v35q4wCQ4RpQ_IPoTwEMB9Yp6ymwlPqew/edit?gid=984458430#gid=984458430"", ""'replication success'!A:M""), 13, FAlSE)"),"pg. 7-8")</f>
        <v>pg. 7-8</v>
      </c>
      <c r="BB1852" s="61" t="str">
        <f>IFERROR(__xludf.DUMMYFUNCTION("REGEXREPLACE(G1852, ""_[a-z]{1,2}$"", """")"),"OpenMKT8")</f>
        <v>OpenMKT8</v>
      </c>
      <c r="BD1852" s="341" t="s">
        <v>7943</v>
      </c>
    </row>
    <row r="1853">
      <c r="A1853" s="44">
        <v>1853.0</v>
      </c>
      <c r="B1853" s="129" t="s">
        <v>152</v>
      </c>
      <c r="C1853" s="62" t="s">
        <v>115</v>
      </c>
      <c r="D1853" s="62" t="s">
        <v>248</v>
      </c>
      <c r="F1853" s="129" t="s">
        <v>10646</v>
      </c>
      <c r="G1853" s="129" t="s">
        <v>10673</v>
      </c>
      <c r="H1853" s="151" t="s">
        <v>249</v>
      </c>
      <c r="I1853" s="153">
        <v>45756.0</v>
      </c>
      <c r="J1853" s="1587">
        <v>45772.0</v>
      </c>
      <c r="K1853" s="159"/>
      <c r="L1853" s="129" t="s">
        <v>10648</v>
      </c>
      <c r="M1853" s="129" t="s">
        <v>10649</v>
      </c>
      <c r="N1853" s="129" t="s">
        <v>10650</v>
      </c>
      <c r="O1853" s="501">
        <v>2.0</v>
      </c>
      <c r="P1853" s="528" t="s">
        <v>10651</v>
      </c>
      <c r="Q1853" s="108" t="str">
        <f t="array" ref="Q1853"> if(iserror(MATCH(V1853, 'File Links'!C:C, 0)), "N/A", HYPERLINK(INDEX('File Links'!B:B, MATCH(P1853, 'File Links'!C:C, 0))))</f>
        <v>N/A</v>
      </c>
      <c r="R1853" s="1697" t="s">
        <v>10052</v>
      </c>
      <c r="S1853" s="129" t="s">
        <v>10053</v>
      </c>
      <c r="T1853" s="1379"/>
      <c r="U1853" s="336"/>
      <c r="V1853" s="151" t="s">
        <v>10054</v>
      </c>
      <c r="W1853" s="159"/>
      <c r="X1853" s="49" t="str">
        <f t="array" ref="X1853"> if(iserror(MATCH(V1853, 'File Links'!C:C, 0)), "N/A", HYPERLINK(INDEX('File Links'!B:B, MATCH(V1853, 'File Links'!C:C, 0))))</f>
        <v>N/A</v>
      </c>
      <c r="Y1853" s="68"/>
      <c r="Z1853" s="151" t="s">
        <v>2079</v>
      </c>
      <c r="AA1853" s="371" t="s">
        <v>10055</v>
      </c>
      <c r="AB1853" s="151" t="s">
        <v>10652</v>
      </c>
      <c r="AC1853" s="151" t="s">
        <v>10674</v>
      </c>
      <c r="AD1853" s="151" t="s">
        <v>10675</v>
      </c>
      <c r="AE1853" s="151" t="s">
        <v>4979</v>
      </c>
      <c r="AF1853" s="161">
        <v>194.0</v>
      </c>
      <c r="AG1853" s="161" t="s">
        <v>1321</v>
      </c>
      <c r="AH1853" s="151" t="s">
        <v>134</v>
      </c>
      <c r="AI1853" s="151" t="s">
        <v>4979</v>
      </c>
      <c r="AJ1853" s="161">
        <v>0.05</v>
      </c>
      <c r="AK1853" s="151" t="s">
        <v>335</v>
      </c>
      <c r="AL1853" s="151" t="s">
        <v>186</v>
      </c>
      <c r="AM1853" s="56" t="s">
        <v>137</v>
      </c>
      <c r="AN1853" s="129" t="s">
        <v>138</v>
      </c>
      <c r="AO1853" s="161">
        <v>738.0</v>
      </c>
      <c r="AP1853" s="161">
        <v>0.021</v>
      </c>
      <c r="AQ1853" s="151" t="s">
        <v>874</v>
      </c>
      <c r="AR1853" s="151" t="s">
        <v>10676</v>
      </c>
      <c r="AS1853" s="161">
        <v>0.001</v>
      </c>
      <c r="AT1853" s="151" t="s">
        <v>135</v>
      </c>
      <c r="AU1853" s="151" t="s">
        <v>186</v>
      </c>
      <c r="AV1853" s="129" t="s">
        <v>137</v>
      </c>
      <c r="AW1853" s="1699" t="s">
        <v>10062</v>
      </c>
      <c r="AX1853" s="129" t="s">
        <v>143</v>
      </c>
      <c r="AY1853" s="61" t="str">
        <f>IFERROR(__xludf.DUMMYFUNCTION("vlookup(BB1853,importrange(""https://docs.google.com/spreadsheets/d/1d2vevQ_7D_v35q4wCQ4RpQ_IPoTwEMB9Yp6ymwlPqew/edit?gid=984458430#gid=984458430"", ""'replication success'!A:K""), 11, FAlSE)"),"failed")</f>
        <v>failed</v>
      </c>
      <c r="AZ1853" s="61" t="str">
        <f>IFERROR(__xludf.DUMMYFUNCTION("vlookup(BB1853,importrange(""https://docs.google.com/spreadsheets/d/1d2vevQ_7D_v35q4wCQ4RpQ_IPoTwEMB9Yp6ymwlPqew/edit?gid=984458430#gid=984458430"",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3" s="61" t="str">
        <f>IFERROR(__xludf.DUMMYFUNCTION("vlookup(BB1853,importrange(""https://docs.google.com/spreadsheets/d/1d2vevQ_7D_v35q4wCQ4RpQ_IPoTwEMB9Yp6ymwlPqew/edit?gid=984458430#gid=984458430"", ""'replication success'!A:M""), 13, FAlSE)"),"pg. 7-8")</f>
        <v>pg. 7-8</v>
      </c>
      <c r="BB1853" s="61" t="str">
        <f>IFERROR(__xludf.DUMMYFUNCTION("REGEXREPLACE(G1853, ""_[a-z]{1,2}$"", """")"),"OpenMKT8")</f>
        <v>OpenMKT8</v>
      </c>
      <c r="BD1853" s="341" t="s">
        <v>7943</v>
      </c>
    </row>
    <row r="1854">
      <c r="A1854" s="44">
        <v>1854.0</v>
      </c>
      <c r="B1854" s="56" t="s">
        <v>152</v>
      </c>
      <c r="C1854" s="341" t="s">
        <v>115</v>
      </c>
      <c r="D1854" s="341" t="s">
        <v>248</v>
      </c>
      <c r="E1854" s="342"/>
      <c r="F1854" s="56" t="s">
        <v>10646</v>
      </c>
      <c r="G1854" s="56" t="s">
        <v>10677</v>
      </c>
      <c r="H1854" s="343" t="s">
        <v>249</v>
      </c>
      <c r="I1854" s="345">
        <v>45756.0</v>
      </c>
      <c r="J1854" s="1587">
        <v>45772.0</v>
      </c>
      <c r="K1854" s="360"/>
      <c r="L1854" s="56" t="s">
        <v>10648</v>
      </c>
      <c r="M1854" s="56" t="s">
        <v>10649</v>
      </c>
      <c r="N1854" s="56" t="s">
        <v>10650</v>
      </c>
      <c r="O1854" s="55">
        <v>2.0</v>
      </c>
      <c r="P1854" s="1696" t="s">
        <v>10651</v>
      </c>
      <c r="Q1854" s="108" t="str">
        <f t="array" ref="Q1854"> if(iserror(MATCH(V1854, 'File Links'!C:C, 0)), "N/A", HYPERLINK(INDEX('File Links'!B:B, MATCH(P1854, 'File Links'!C:C, 0))))</f>
        <v>N/A</v>
      </c>
      <c r="R1854" s="1697" t="s">
        <v>10052</v>
      </c>
      <c r="S1854" s="56" t="s">
        <v>10053</v>
      </c>
      <c r="T1854" s="1798"/>
      <c r="U1854" s="385"/>
      <c r="V1854" s="343" t="s">
        <v>10054</v>
      </c>
      <c r="W1854" s="360"/>
      <c r="X1854" s="49" t="str">
        <f t="array" ref="X1854"> if(iserror(MATCH(V1854, 'File Links'!C:C, 0)), "N/A", HYPERLINK(INDEX('File Links'!B:B, MATCH(V1854, 'File Links'!C:C, 0))))</f>
        <v>N/A</v>
      </c>
      <c r="Y1854" s="46"/>
      <c r="Z1854" s="343" t="s">
        <v>2079</v>
      </c>
      <c r="AA1854" s="56" t="s">
        <v>10055</v>
      </c>
      <c r="AB1854" s="343" t="s">
        <v>10652</v>
      </c>
      <c r="AC1854" s="343" t="s">
        <v>10678</v>
      </c>
      <c r="AD1854" s="343" t="s">
        <v>10675</v>
      </c>
      <c r="AE1854" s="343" t="s">
        <v>4979</v>
      </c>
      <c r="AF1854" s="347">
        <v>194.0</v>
      </c>
      <c r="AG1854" s="347" t="s">
        <v>1321</v>
      </c>
      <c r="AH1854" s="343" t="s">
        <v>134</v>
      </c>
      <c r="AI1854" s="343" t="s">
        <v>4979</v>
      </c>
      <c r="AJ1854" s="347">
        <v>0.05</v>
      </c>
      <c r="AK1854" s="343" t="s">
        <v>335</v>
      </c>
      <c r="AL1854" s="343" t="s">
        <v>186</v>
      </c>
      <c r="AM1854" s="56" t="s">
        <v>137</v>
      </c>
      <c r="AN1854" s="56" t="s">
        <v>138</v>
      </c>
      <c r="AO1854" s="347">
        <v>738.0</v>
      </c>
      <c r="AP1854" s="347">
        <v>0.002</v>
      </c>
      <c r="AQ1854" s="343" t="s">
        <v>874</v>
      </c>
      <c r="AR1854" s="343" t="s">
        <v>10679</v>
      </c>
      <c r="AS1854" s="347">
        <v>0.296</v>
      </c>
      <c r="AT1854" s="343" t="s">
        <v>172</v>
      </c>
      <c r="AU1854" s="343" t="s">
        <v>186</v>
      </c>
      <c r="AV1854" s="56" t="s">
        <v>137</v>
      </c>
      <c r="AW1854" s="1699" t="s">
        <v>10062</v>
      </c>
      <c r="AX1854" s="56" t="s">
        <v>143</v>
      </c>
      <c r="AY1854" s="61" t="str">
        <f>IFERROR(__xludf.DUMMYFUNCTION("vlookup(BB1854,importrange(""https://docs.google.com/spreadsheets/d/1d2vevQ_7D_v35q4wCQ4RpQ_IPoTwEMB9Yp6ymwlPqew/edit?gid=984458430#gid=984458430"", ""'replication success'!A:K""), 11, FAlSE)"),"failed")</f>
        <v>failed</v>
      </c>
      <c r="AZ1854" s="61" t="str">
        <f>IFERROR(__xludf.DUMMYFUNCTION("vlookup(BB1854,importrange(""https://docs.google.com/spreadsheets/d/1d2vevQ_7D_v35q4wCQ4RpQ_IPoTwEMB9Yp6ymwlPqew/edit?gid=984458430#gid=984458430"",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4" s="61" t="str">
        <f>IFERROR(__xludf.DUMMYFUNCTION("vlookup(BB1854,importrange(""https://docs.google.com/spreadsheets/d/1d2vevQ_7D_v35q4wCQ4RpQ_IPoTwEMB9Yp6ymwlPqew/edit?gid=984458430#gid=984458430"", ""'replication success'!A:M""), 13, FAlSE)"),"pg. 7-8")</f>
        <v>pg. 7-8</v>
      </c>
      <c r="BB1854" s="61" t="str">
        <f>IFERROR(__xludf.DUMMYFUNCTION("REGEXREPLACE(G1854, ""_[a-z]{1,2}$"", """")"),"OpenMKT8")</f>
        <v>OpenMKT8</v>
      </c>
      <c r="BC1854" s="342"/>
      <c r="BD1854" s="341" t="s">
        <v>7943</v>
      </c>
    </row>
    <row r="1855">
      <c r="A1855" s="44">
        <v>1855.0</v>
      </c>
      <c r="B1855" s="56" t="s">
        <v>152</v>
      </c>
      <c r="C1855" s="341" t="s">
        <v>115</v>
      </c>
      <c r="D1855" s="341" t="s">
        <v>145</v>
      </c>
      <c r="E1855" s="342"/>
      <c r="F1855" s="56" t="s">
        <v>10646</v>
      </c>
      <c r="G1855" s="56" t="s">
        <v>10680</v>
      </c>
      <c r="H1855" s="343" t="s">
        <v>10123</v>
      </c>
      <c r="I1855" s="345">
        <v>45761.0</v>
      </c>
      <c r="J1855" s="1587">
        <v>45772.0</v>
      </c>
      <c r="K1855" s="343" t="s">
        <v>10681</v>
      </c>
      <c r="L1855" s="56" t="s">
        <v>10168</v>
      </c>
      <c r="M1855" s="56" t="s">
        <v>10649</v>
      </c>
      <c r="N1855" s="56" t="s">
        <v>10650</v>
      </c>
      <c r="O1855" s="55">
        <v>2.0</v>
      </c>
      <c r="P1855" s="1696" t="s">
        <v>10651</v>
      </c>
      <c r="Q1855" s="108" t="str">
        <f t="array" ref="Q1855"> if(iserror(MATCH(V1855, 'File Links'!C:C, 0)), "N/A", HYPERLINK(INDEX('File Links'!B:B, MATCH(P1855, 'File Links'!C:C, 0))))</f>
        <v>N/A</v>
      </c>
      <c r="R1855" s="1697" t="s">
        <v>10052</v>
      </c>
      <c r="S1855" s="56" t="s">
        <v>10053</v>
      </c>
      <c r="T1855" s="1798"/>
      <c r="U1855" s="385"/>
      <c r="V1855" s="343" t="s">
        <v>10054</v>
      </c>
      <c r="W1855" s="360"/>
      <c r="X1855" s="49" t="str">
        <f t="array" ref="X1855"> if(iserror(MATCH(V1855, 'File Links'!C:C, 0)), "N/A", HYPERLINK(INDEX('File Links'!B:B, MATCH(V1855, 'File Links'!C:C, 0))))</f>
        <v>N/A</v>
      </c>
      <c r="Y1855" s="46"/>
      <c r="Z1855" s="343" t="s">
        <v>2079</v>
      </c>
      <c r="AA1855" s="56" t="s">
        <v>10055</v>
      </c>
      <c r="AB1855" s="343" t="s">
        <v>10682</v>
      </c>
      <c r="AC1855" s="343" t="s">
        <v>10653</v>
      </c>
      <c r="AD1855" s="343" t="s">
        <v>10683</v>
      </c>
      <c r="AE1855" s="343">
        <v>7.0</v>
      </c>
      <c r="AF1855" s="347">
        <v>179.0</v>
      </c>
      <c r="AG1855" s="347" t="s">
        <v>10684</v>
      </c>
      <c r="AH1855" s="343" t="s">
        <v>134</v>
      </c>
      <c r="AI1855" s="343" t="s">
        <v>132</v>
      </c>
      <c r="AJ1855" s="347">
        <v>0.01</v>
      </c>
      <c r="AK1855" s="343" t="s">
        <v>135</v>
      </c>
      <c r="AL1855" s="343" t="s">
        <v>186</v>
      </c>
      <c r="AM1855" s="56" t="s">
        <v>137</v>
      </c>
      <c r="AN1855" s="56" t="s">
        <v>1535</v>
      </c>
      <c r="AO1855" s="347">
        <v>738.0</v>
      </c>
      <c r="AP1855" s="347">
        <v>0.061</v>
      </c>
      <c r="AQ1855" s="343" t="s">
        <v>215</v>
      </c>
      <c r="AR1855" s="343" t="s">
        <v>10171</v>
      </c>
      <c r="AS1855" s="347">
        <v>0.064</v>
      </c>
      <c r="AT1855" s="343" t="s">
        <v>172</v>
      </c>
      <c r="AU1855" s="343" t="s">
        <v>186</v>
      </c>
      <c r="AV1855" s="56" t="s">
        <v>137</v>
      </c>
      <c r="AW1855" s="1699" t="s">
        <v>10062</v>
      </c>
      <c r="AX1855" s="56" t="s">
        <v>143</v>
      </c>
      <c r="AY1855" s="61" t="str">
        <f>IFERROR(__xludf.DUMMYFUNCTION("vlookup(BB1855,importrange(""https://docs.google.com/spreadsheets/d/1d2vevQ_7D_v35q4wCQ4RpQ_IPoTwEMB9Yp6ymwlPqew/edit?gid=984458430#gid=984458430"", ""'replication success'!A:K""), 11, FAlSE)"),"failed")</f>
        <v>failed</v>
      </c>
      <c r="AZ1855" s="61" t="str">
        <f>IFERROR(__xludf.DUMMYFUNCTION("vlookup(BB1855,importrange(""https://docs.google.com/spreadsheets/d/1d2vevQ_7D_v35q4wCQ4RpQ_IPoTwEMB9Yp6ymwlPqew/edit?gid=984458430#gid=984458430"",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5" s="61" t="str">
        <f>IFERROR(__xludf.DUMMYFUNCTION("vlookup(BB1855,importrange(""https://docs.google.com/spreadsheets/d/1d2vevQ_7D_v35q4wCQ4RpQ_IPoTwEMB9Yp6ymwlPqew/edit?gid=984458430#gid=984458430"", ""'replication success'!A:M""), 13, FAlSE)"),"pg. 7-8")</f>
        <v>pg. 7-8</v>
      </c>
      <c r="BB1855" s="61" t="str">
        <f>IFERROR(__xludf.DUMMYFUNCTION("REGEXREPLACE(G1855, ""_[a-z]{1,2}$"", """")"),"OpenMKT8")</f>
        <v>OpenMKT8</v>
      </c>
      <c r="BC1855" s="342"/>
      <c r="BD1855" s="341" t="s">
        <v>7943</v>
      </c>
    </row>
    <row r="1856">
      <c r="A1856" s="44">
        <v>1856.0</v>
      </c>
      <c r="B1856" s="129" t="s">
        <v>152</v>
      </c>
      <c r="C1856" s="62" t="s">
        <v>115</v>
      </c>
      <c r="D1856" s="62" t="s">
        <v>145</v>
      </c>
      <c r="F1856" s="129" t="s">
        <v>10685</v>
      </c>
      <c r="G1856" s="129" t="s">
        <v>10658</v>
      </c>
      <c r="H1856" s="151" t="s">
        <v>10123</v>
      </c>
      <c r="I1856" s="153">
        <v>45761.0</v>
      </c>
      <c r="J1856" s="1587">
        <v>45772.0</v>
      </c>
      <c r="K1856" s="151" t="s">
        <v>10681</v>
      </c>
      <c r="L1856" s="56" t="s">
        <v>10168</v>
      </c>
      <c r="M1856" s="129" t="s">
        <v>10649</v>
      </c>
      <c r="N1856" s="129" t="s">
        <v>10650</v>
      </c>
      <c r="O1856" s="501">
        <v>2.0</v>
      </c>
      <c r="P1856" s="528" t="s">
        <v>10651</v>
      </c>
      <c r="Q1856" s="108" t="str">
        <f t="array" ref="Q1856"> if(iserror(MATCH(V1856, 'File Links'!C:C, 0)), "N/A", HYPERLINK(INDEX('File Links'!B:B, MATCH(P1856, 'File Links'!C:C, 0))))</f>
        <v>N/A</v>
      </c>
      <c r="R1856" s="1697" t="s">
        <v>10052</v>
      </c>
      <c r="S1856" s="129" t="s">
        <v>10053</v>
      </c>
      <c r="T1856" s="1379"/>
      <c r="U1856" s="336"/>
      <c r="V1856" s="151" t="s">
        <v>10054</v>
      </c>
      <c r="W1856" s="159"/>
      <c r="X1856" s="49" t="str">
        <f t="array" ref="X1856"> if(iserror(MATCH(V1856, 'File Links'!C:C, 0)), "N/A", HYPERLINK(INDEX('File Links'!B:B, MATCH(V1856, 'File Links'!C:C, 0))))</f>
        <v>N/A</v>
      </c>
      <c r="Y1856" s="68"/>
      <c r="Z1856" s="151" t="s">
        <v>2079</v>
      </c>
      <c r="AA1856" s="56" t="s">
        <v>10055</v>
      </c>
      <c r="AB1856" s="151" t="s">
        <v>10682</v>
      </c>
      <c r="AC1856" s="151" t="s">
        <v>10660</v>
      </c>
      <c r="AD1856" s="151" t="s">
        <v>10686</v>
      </c>
      <c r="AE1856" s="151">
        <v>7.0</v>
      </c>
      <c r="AF1856" s="161">
        <v>179.0</v>
      </c>
      <c r="AG1856" s="161" t="s">
        <v>10662</v>
      </c>
      <c r="AH1856" s="151" t="s">
        <v>134</v>
      </c>
      <c r="AI1856" s="151" t="s">
        <v>132</v>
      </c>
      <c r="AJ1856" s="161">
        <v>0.05</v>
      </c>
      <c r="AK1856" s="151" t="s">
        <v>135</v>
      </c>
      <c r="AL1856" s="151" t="s">
        <v>186</v>
      </c>
      <c r="AM1856" s="129" t="s">
        <v>137</v>
      </c>
      <c r="AN1856" s="129" t="s">
        <v>1535</v>
      </c>
      <c r="AO1856" s="161">
        <v>738.0</v>
      </c>
      <c r="AP1856" s="161">
        <v>-0.007</v>
      </c>
      <c r="AQ1856" s="151" t="s">
        <v>215</v>
      </c>
      <c r="AR1856" s="151" t="s">
        <v>10171</v>
      </c>
      <c r="AS1856" s="161">
        <v>0.859</v>
      </c>
      <c r="AT1856" s="151" t="s">
        <v>172</v>
      </c>
      <c r="AU1856" s="151" t="s">
        <v>186</v>
      </c>
      <c r="AV1856" s="129" t="s">
        <v>137</v>
      </c>
      <c r="AW1856" s="1308" t="s">
        <v>10062</v>
      </c>
      <c r="AX1856" s="129" t="s">
        <v>143</v>
      </c>
      <c r="AY1856" s="61" t="str">
        <f>IFERROR(__xludf.DUMMYFUNCTION("vlookup(BB1856,importrange(""https://docs.google.com/spreadsheets/d/1d2vevQ_7D_v35q4wCQ4RpQ_IPoTwEMB9Yp6ymwlPqew/edit?gid=984458430#gid=984458430"", ""'replication success'!A:K""), 11, FAlSE)"),"failed")</f>
        <v>failed</v>
      </c>
      <c r="AZ1856" s="61" t="str">
        <f>IFERROR(__xludf.DUMMYFUNCTION("vlookup(BB1856,importrange(""https://docs.google.com/spreadsheets/d/1d2vevQ_7D_v35q4wCQ4RpQ_IPoTwEMB9Yp6ymwlPqew/edit?gid=984458430#gid=984458430"",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6" s="61" t="str">
        <f>IFERROR(__xludf.DUMMYFUNCTION("vlookup(BB1856,importrange(""https://docs.google.com/spreadsheets/d/1d2vevQ_7D_v35q4wCQ4RpQ_IPoTwEMB9Yp6ymwlPqew/edit?gid=984458430#gid=984458430"", ""'replication success'!A:M""), 13, FAlSE)"),"pg. 7-8")</f>
        <v>pg. 7-8</v>
      </c>
      <c r="BB1856" s="61" t="str">
        <f>IFERROR(__xludf.DUMMYFUNCTION("REGEXREPLACE(G1856, ""_[a-z]{1,2}$"", """")"),"OpenMKT8")</f>
        <v>OpenMKT8</v>
      </c>
      <c r="BD1856" s="341" t="s">
        <v>7943</v>
      </c>
    </row>
    <row r="1857">
      <c r="A1857" s="44">
        <v>1857.0</v>
      </c>
      <c r="B1857" s="56" t="s">
        <v>152</v>
      </c>
      <c r="C1857" s="341" t="s">
        <v>115</v>
      </c>
      <c r="D1857" s="341" t="s">
        <v>145</v>
      </c>
      <c r="E1857" s="342"/>
      <c r="F1857" s="56" t="s">
        <v>10687</v>
      </c>
      <c r="G1857" s="56" t="s">
        <v>10665</v>
      </c>
      <c r="H1857" s="343" t="s">
        <v>10123</v>
      </c>
      <c r="I1857" s="345">
        <v>45761.0</v>
      </c>
      <c r="J1857" s="1587">
        <v>45772.0</v>
      </c>
      <c r="K1857" s="343" t="s">
        <v>10681</v>
      </c>
      <c r="L1857" s="56" t="s">
        <v>10168</v>
      </c>
      <c r="M1857" s="56" t="s">
        <v>10649</v>
      </c>
      <c r="N1857" s="56" t="s">
        <v>10650</v>
      </c>
      <c r="O1857" s="55">
        <v>2.0</v>
      </c>
      <c r="P1857" s="1696" t="s">
        <v>10651</v>
      </c>
      <c r="Q1857" s="108" t="str">
        <f t="array" ref="Q1857"> if(iserror(MATCH(V1857, 'File Links'!C:C, 0)), "N/A", HYPERLINK(INDEX('File Links'!B:B, MATCH(P1857, 'File Links'!C:C, 0))))</f>
        <v>N/A</v>
      </c>
      <c r="R1857" s="1697" t="s">
        <v>10052</v>
      </c>
      <c r="S1857" s="56" t="s">
        <v>10053</v>
      </c>
      <c r="T1857" s="1798"/>
      <c r="U1857" s="385"/>
      <c r="V1857" s="343" t="s">
        <v>10054</v>
      </c>
      <c r="W1857" s="360"/>
      <c r="X1857" s="49" t="str">
        <f t="array" ref="X1857"> if(iserror(MATCH(V1857, 'File Links'!C:C, 0)), "N/A", HYPERLINK(INDEX('File Links'!B:B, MATCH(V1857, 'File Links'!C:C, 0))))</f>
        <v>N/A</v>
      </c>
      <c r="Y1857" s="46"/>
      <c r="Z1857" s="343" t="s">
        <v>2079</v>
      </c>
      <c r="AA1857" s="56" t="s">
        <v>10055</v>
      </c>
      <c r="AB1857" s="343" t="s">
        <v>10682</v>
      </c>
      <c r="AC1857" s="343" t="s">
        <v>10668</v>
      </c>
      <c r="AD1857" s="343" t="s">
        <v>10688</v>
      </c>
      <c r="AE1857" s="343">
        <v>7.0</v>
      </c>
      <c r="AF1857" s="347">
        <v>179.0</v>
      </c>
      <c r="AG1857" s="347" t="s">
        <v>10670</v>
      </c>
      <c r="AH1857" s="343" t="s">
        <v>134</v>
      </c>
      <c r="AI1857" s="343" t="s">
        <v>132</v>
      </c>
      <c r="AJ1857" s="347">
        <v>0.01</v>
      </c>
      <c r="AK1857" s="343" t="s">
        <v>135</v>
      </c>
      <c r="AL1857" s="343" t="s">
        <v>186</v>
      </c>
      <c r="AM1857" s="56" t="s">
        <v>137</v>
      </c>
      <c r="AN1857" s="56" t="s">
        <v>1535</v>
      </c>
      <c r="AO1857" s="347">
        <v>738.0</v>
      </c>
      <c r="AP1857" s="347">
        <v>-0.031</v>
      </c>
      <c r="AQ1857" s="343" t="s">
        <v>215</v>
      </c>
      <c r="AR1857" s="343" t="s">
        <v>10171</v>
      </c>
      <c r="AS1857" s="347">
        <v>0.405</v>
      </c>
      <c r="AT1857" s="343" t="s">
        <v>172</v>
      </c>
      <c r="AU1857" s="343" t="s">
        <v>186</v>
      </c>
      <c r="AV1857" s="56" t="s">
        <v>137</v>
      </c>
      <c r="AW1857" s="1699" t="s">
        <v>10062</v>
      </c>
      <c r="AX1857" s="56" t="s">
        <v>143</v>
      </c>
      <c r="AY1857" s="61" t="str">
        <f>IFERROR(__xludf.DUMMYFUNCTION("vlookup(BB1857,importrange(""https://docs.google.com/spreadsheets/d/1d2vevQ_7D_v35q4wCQ4RpQ_IPoTwEMB9Yp6ymwlPqew/edit?gid=984458430#gid=984458430"", ""'replication success'!A:K""), 11, FAlSE)"),"failed")</f>
        <v>failed</v>
      </c>
      <c r="AZ1857" s="61" t="str">
        <f>IFERROR(__xludf.DUMMYFUNCTION("vlookup(BB1857,importrange(""https://docs.google.com/spreadsheets/d/1d2vevQ_7D_v35q4wCQ4RpQ_IPoTwEMB9Yp6ymwlPqew/edit?gid=984458430#gid=984458430"",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7" s="61" t="str">
        <f>IFERROR(__xludf.DUMMYFUNCTION("vlookup(BB1857,importrange(""https://docs.google.com/spreadsheets/d/1d2vevQ_7D_v35q4wCQ4RpQ_IPoTwEMB9Yp6ymwlPqew/edit?gid=984458430#gid=984458430"", ""'replication success'!A:M""), 13, FAlSE)"),"pg. 7-8")</f>
        <v>pg. 7-8</v>
      </c>
      <c r="BB1857" s="61" t="str">
        <f>IFERROR(__xludf.DUMMYFUNCTION("REGEXREPLACE(G1857, ""_[a-z]{1,2}$"", """")"),"OpenMKT8")</f>
        <v>OpenMKT8</v>
      </c>
      <c r="BC1857" s="342"/>
      <c r="BD1857" s="341" t="s">
        <v>7943</v>
      </c>
    </row>
    <row r="1858">
      <c r="A1858" s="44">
        <v>1858.0</v>
      </c>
      <c r="B1858" s="1800" t="s">
        <v>114</v>
      </c>
      <c r="C1858" s="1631" t="s">
        <v>115</v>
      </c>
      <c r="D1858" s="1631" t="s">
        <v>248</v>
      </c>
      <c r="E1858" s="1123"/>
      <c r="F1858" s="1800" t="s">
        <v>10689</v>
      </c>
      <c r="G1858" s="1800" t="s">
        <v>10689</v>
      </c>
      <c r="H1858" s="491" t="s">
        <v>249</v>
      </c>
      <c r="I1858" s="1801">
        <v>45756.0</v>
      </c>
      <c r="J1858" s="1802">
        <v>45772.0</v>
      </c>
      <c r="K1858" s="491" t="s">
        <v>10690</v>
      </c>
      <c r="L1858" s="1800" t="s">
        <v>10146</v>
      </c>
      <c r="M1858" s="1800" t="s">
        <v>10691</v>
      </c>
      <c r="N1858" s="1800" t="s">
        <v>10692</v>
      </c>
      <c r="O1858" s="1803">
        <v>1.0</v>
      </c>
      <c r="P1858" s="1804" t="s">
        <v>10693</v>
      </c>
      <c r="Q1858" s="108" t="str">
        <f t="array" ref="Q1858"> if(iserror(MATCH(V1858, 'File Links'!C:C, 0)), "N/A", HYPERLINK(INDEX('File Links'!B:B, MATCH(P1858, 'File Links'!C:C, 0))))</f>
        <v>N/A</v>
      </c>
      <c r="R1858" s="1805" t="s">
        <v>10052</v>
      </c>
      <c r="S1858" s="1800" t="s">
        <v>10053</v>
      </c>
      <c r="T1858" s="1806"/>
      <c r="U1858" s="1825"/>
      <c r="V1858" s="491" t="s">
        <v>10054</v>
      </c>
      <c r="W1858" s="1634"/>
      <c r="X1858" s="49" t="str">
        <f t="array" ref="X1858"> if(iserror(MATCH(V1858, 'File Links'!C:C, 0)), "N/A", HYPERLINK(INDEX('File Links'!B:B, MATCH(V1858, 'File Links'!C:C, 0))))</f>
        <v>N/A</v>
      </c>
      <c r="Y1858" s="1632"/>
      <c r="Z1858" s="491" t="s">
        <v>2079</v>
      </c>
      <c r="AA1858" s="1800" t="s">
        <v>10055</v>
      </c>
      <c r="AB1858" s="491" t="s">
        <v>10694</v>
      </c>
      <c r="AC1858" s="491" t="s">
        <v>10695</v>
      </c>
      <c r="AD1858" s="491" t="s">
        <v>10696</v>
      </c>
      <c r="AE1858" s="491" t="s">
        <v>882</v>
      </c>
      <c r="AF1858" s="1807">
        <v>74.0</v>
      </c>
      <c r="AG1858" s="1807" t="s">
        <v>10697</v>
      </c>
      <c r="AH1858" s="491" t="s">
        <v>134</v>
      </c>
      <c r="AI1858" s="491" t="s">
        <v>10698</v>
      </c>
      <c r="AJ1858" s="1807">
        <v>0.05</v>
      </c>
      <c r="AK1858" s="491" t="s">
        <v>135</v>
      </c>
      <c r="AL1858" s="491" t="s">
        <v>186</v>
      </c>
      <c r="AM1858" s="1800" t="s">
        <v>137</v>
      </c>
      <c r="AN1858" s="1800" t="s">
        <v>138</v>
      </c>
      <c r="AO1858" s="1807">
        <v>823.0</v>
      </c>
      <c r="AP1858" s="1807">
        <v>0.001</v>
      </c>
      <c r="AQ1858" s="491" t="s">
        <v>874</v>
      </c>
      <c r="AR1858" s="491" t="s">
        <v>10699</v>
      </c>
      <c r="AS1858" s="1807">
        <v>0.531</v>
      </c>
      <c r="AT1858" s="491" t="s">
        <v>172</v>
      </c>
      <c r="AU1858" s="491" t="s">
        <v>186</v>
      </c>
      <c r="AV1858" s="1800" t="s">
        <v>137</v>
      </c>
      <c r="AW1858" s="1808" t="s">
        <v>10062</v>
      </c>
      <c r="AX1858" s="1800" t="s">
        <v>143</v>
      </c>
      <c r="AY1858" s="61" t="str">
        <f>IFERROR(__xludf.DUMMYFUNCTION("vlookup(BB1858,importrange(""https://docs.google.com/spreadsheets/d/1d2vevQ_7D_v35q4wCQ4RpQ_IPoTwEMB9Yp6ymwlPqew/edit?gid=984458430#gid=984458430"", ""'replication success'!A:K""), 11, FAlSE)"),"#N/A")</f>
        <v>#N/A</v>
      </c>
      <c r="AZ1858" s="61" t="str">
        <f>IFERROR(__xludf.DUMMYFUNCTION("vlookup(BB1858,importrange(""https://docs.google.com/spreadsheets/d/1d2vevQ_7D_v35q4wCQ4RpQ_IPoTwEMB9Yp6ymwlPqew/edit?gid=984458430#gid=984458430"", ""'replication success'!A:M""), 12, FAlSE)"),"#N/A")</f>
        <v>#N/A</v>
      </c>
      <c r="BA1858" s="61" t="str">
        <f>IFERROR(__xludf.DUMMYFUNCTION("vlookup(BB1858,importrange(""https://docs.google.com/spreadsheets/d/1d2vevQ_7D_v35q4wCQ4RpQ_IPoTwEMB9Yp6ymwlPqew/edit?gid=984458430#gid=984458430"", ""'replication success'!A:M""), 13, FAlSE)"),"#N/A")</f>
        <v>#N/A</v>
      </c>
      <c r="BB1858" s="61" t="str">
        <f>IFERROR(__xludf.DUMMYFUNCTION("REGEXREPLACE(G1858, ""_[a-z]{1,2}$"", """")"),"OpenMKT9_1")</f>
        <v>OpenMKT9_1</v>
      </c>
      <c r="BC1858" s="1123"/>
      <c r="BD1858" s="1631" t="s">
        <v>7943</v>
      </c>
    </row>
    <row r="1859">
      <c r="A1859" s="44">
        <v>1859.0</v>
      </c>
      <c r="B1859" s="56" t="s">
        <v>114</v>
      </c>
      <c r="C1859" s="341" t="s">
        <v>115</v>
      </c>
      <c r="D1859" s="341" t="s">
        <v>248</v>
      </c>
      <c r="E1859" s="342"/>
      <c r="F1859" s="56" t="s">
        <v>10689</v>
      </c>
      <c r="G1859" s="56" t="s">
        <v>10700</v>
      </c>
      <c r="H1859" s="343" t="s">
        <v>249</v>
      </c>
      <c r="I1859" s="345">
        <v>45756.0</v>
      </c>
      <c r="J1859" s="1587">
        <v>45772.0</v>
      </c>
      <c r="K1859" s="343" t="s">
        <v>10701</v>
      </c>
      <c r="L1859" s="56" t="s">
        <v>10146</v>
      </c>
      <c r="M1859" s="56" t="s">
        <v>10691</v>
      </c>
      <c r="N1859" s="56" t="s">
        <v>10692</v>
      </c>
      <c r="O1859" s="55">
        <v>1.0</v>
      </c>
      <c r="P1859" s="1696" t="s">
        <v>10693</v>
      </c>
      <c r="Q1859" s="108" t="str">
        <f t="array" ref="Q1859"> if(iserror(MATCH(V1859, 'File Links'!C:C, 0)), "N/A", HYPERLINK(INDEX('File Links'!B:B, MATCH(P1859, 'File Links'!C:C, 0))))</f>
        <v>N/A</v>
      </c>
      <c r="R1859" s="1697" t="s">
        <v>10052</v>
      </c>
      <c r="S1859" s="56" t="s">
        <v>10053</v>
      </c>
      <c r="T1859" s="1798"/>
      <c r="U1859" s="385"/>
      <c r="V1859" s="343" t="s">
        <v>10054</v>
      </c>
      <c r="W1859" s="360"/>
      <c r="X1859" s="49" t="str">
        <f t="array" ref="X1859"> if(iserror(MATCH(V1859, 'File Links'!C:C, 0)), "N/A", HYPERLINK(INDEX('File Links'!B:B, MATCH(V1859, 'File Links'!C:C, 0))))</f>
        <v>N/A</v>
      </c>
      <c r="Y1859" s="46"/>
      <c r="Z1859" s="343" t="s">
        <v>2079</v>
      </c>
      <c r="AA1859" s="56" t="s">
        <v>10055</v>
      </c>
      <c r="AB1859" s="343" t="s">
        <v>10694</v>
      </c>
      <c r="AC1859" s="343" t="s">
        <v>10702</v>
      </c>
      <c r="AD1859" s="343" t="s">
        <v>10703</v>
      </c>
      <c r="AE1859" s="343" t="s">
        <v>882</v>
      </c>
      <c r="AF1859" s="347">
        <v>74.0</v>
      </c>
      <c r="AG1859" s="347" t="s">
        <v>10704</v>
      </c>
      <c r="AH1859" s="343" t="s">
        <v>134</v>
      </c>
      <c r="AI1859" s="343" t="s">
        <v>10705</v>
      </c>
      <c r="AJ1859" s="347">
        <v>0.01</v>
      </c>
      <c r="AK1859" s="343" t="s">
        <v>135</v>
      </c>
      <c r="AL1859" s="343" t="s">
        <v>186</v>
      </c>
      <c r="AM1859" s="56" t="s">
        <v>137</v>
      </c>
      <c r="AN1859" s="56" t="s">
        <v>138</v>
      </c>
      <c r="AO1859" s="347">
        <v>823.0</v>
      </c>
      <c r="AP1859" s="347">
        <v>0.087</v>
      </c>
      <c r="AQ1859" s="343" t="s">
        <v>874</v>
      </c>
      <c r="AR1859" s="343" t="s">
        <v>10706</v>
      </c>
      <c r="AS1859" s="347">
        <v>0.001</v>
      </c>
      <c r="AT1859" s="343" t="s">
        <v>135</v>
      </c>
      <c r="AU1859" s="343" t="s">
        <v>186</v>
      </c>
      <c r="AV1859" s="56" t="s">
        <v>137</v>
      </c>
      <c r="AW1859" s="1699" t="s">
        <v>10062</v>
      </c>
      <c r="AX1859" s="56" t="s">
        <v>143</v>
      </c>
      <c r="AY1859" s="61" t="str">
        <f>IFERROR(__xludf.DUMMYFUNCTION("vlookup(BB1859,importrange(""https://docs.google.com/spreadsheets/d/1d2vevQ_7D_v35q4wCQ4RpQ_IPoTwEMB9Yp6ymwlPqew/edit?gid=984458430#gid=984458430"", ""'replication success'!A:K""), 11, FAlSE)"),"failed")</f>
        <v>failed</v>
      </c>
      <c r="AZ1859" s="61" t="str">
        <f>IFERROR(__xludf.DUMMYFUNCTION("vlookup(BB1859,importrange(""https://docs.google.com/spreadsheets/d/1d2vevQ_7D_v35q4wCQ4RpQ_IPoTwEMB9Yp6ymwlPqew/edit?gid=984458430#gid=984458430"",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59" s="61" t="str">
        <f>IFERROR(__xludf.DUMMYFUNCTION("vlookup(BB1859,importrange(""https://docs.google.com/spreadsheets/d/1d2vevQ_7D_v35q4wCQ4RpQ_IPoTwEMB9Yp6ymwlPqew/edit?gid=984458430#gid=984458430"", ""'replication success'!A:M""), 13, FAlSE)"),"pg. 7-8")</f>
        <v>pg. 7-8</v>
      </c>
      <c r="BB1859" s="61" t="str">
        <f>IFERROR(__xludf.DUMMYFUNCTION("REGEXREPLACE(G1859, ""_[a-z]{1,2}$"", """")"),"OpenMKT9")</f>
        <v>OpenMKT9</v>
      </c>
      <c r="BC1859" s="342"/>
      <c r="BD1859" s="341" t="s">
        <v>7943</v>
      </c>
    </row>
    <row r="1860">
      <c r="A1860" s="44">
        <v>1860.0</v>
      </c>
      <c r="B1860" s="1800" t="s">
        <v>152</v>
      </c>
      <c r="C1860" s="1631" t="s">
        <v>115</v>
      </c>
      <c r="D1860" s="1631" t="s">
        <v>145</v>
      </c>
      <c r="E1860" s="1123"/>
      <c r="F1860" s="1800" t="s">
        <v>10689</v>
      </c>
      <c r="G1860" s="1800" t="s">
        <v>10707</v>
      </c>
      <c r="H1860" s="491" t="s">
        <v>10123</v>
      </c>
      <c r="I1860" s="1801">
        <v>45761.0</v>
      </c>
      <c r="J1860" s="1802">
        <v>45772.0</v>
      </c>
      <c r="K1860" s="1634"/>
      <c r="L1860" s="1800" t="s">
        <v>10168</v>
      </c>
      <c r="M1860" s="1800" t="s">
        <v>10691</v>
      </c>
      <c r="N1860" s="1800" t="s">
        <v>10692</v>
      </c>
      <c r="O1860" s="1803">
        <v>1.0</v>
      </c>
      <c r="P1860" s="1804" t="s">
        <v>10693</v>
      </c>
      <c r="Q1860" s="108" t="str">
        <f t="array" ref="Q1860"> if(iserror(MATCH(V1860, 'File Links'!C:C, 0)), "N/A", HYPERLINK(INDEX('File Links'!B:B, MATCH(P1860, 'File Links'!C:C, 0))))</f>
        <v>N/A</v>
      </c>
      <c r="R1860" s="1805" t="s">
        <v>10052</v>
      </c>
      <c r="S1860" s="1800" t="s">
        <v>10053</v>
      </c>
      <c r="T1860" s="1806"/>
      <c r="U1860" s="1825"/>
      <c r="V1860" s="491" t="s">
        <v>10054</v>
      </c>
      <c r="W1860" s="1634"/>
      <c r="X1860" s="49" t="str">
        <f t="array" ref="X1860"> if(iserror(MATCH(V1860, 'File Links'!C:C, 0)), "N/A", HYPERLINK(INDEX('File Links'!B:B, MATCH(V1860, 'File Links'!C:C, 0))))</f>
        <v>N/A</v>
      </c>
      <c r="Y1860" s="1632"/>
      <c r="Z1860" s="491" t="s">
        <v>2079</v>
      </c>
      <c r="AA1860" s="1800" t="s">
        <v>10055</v>
      </c>
      <c r="AB1860" s="491" t="s">
        <v>10694</v>
      </c>
      <c r="AC1860" s="491" t="s">
        <v>10708</v>
      </c>
      <c r="AD1860" s="491" t="s">
        <v>10709</v>
      </c>
      <c r="AE1860" s="491">
        <v>5.0</v>
      </c>
      <c r="AF1860" s="1807">
        <v>74.0</v>
      </c>
      <c r="AG1860" s="1807" t="s">
        <v>10697</v>
      </c>
      <c r="AH1860" s="491" t="s">
        <v>134</v>
      </c>
      <c r="AI1860" s="491" t="s">
        <v>813</v>
      </c>
      <c r="AJ1860" s="1807">
        <v>0.05</v>
      </c>
      <c r="AK1860" s="491" t="s">
        <v>135</v>
      </c>
      <c r="AL1860" s="491" t="s">
        <v>186</v>
      </c>
      <c r="AM1860" s="1800" t="s">
        <v>137</v>
      </c>
      <c r="AN1860" s="1800" t="s">
        <v>1535</v>
      </c>
      <c r="AO1860" s="1807">
        <v>823.0</v>
      </c>
      <c r="AP1860" s="1807">
        <v>0.022</v>
      </c>
      <c r="AQ1860" s="491" t="s">
        <v>215</v>
      </c>
      <c r="AR1860" s="491" t="s">
        <v>10171</v>
      </c>
      <c r="AS1860" s="1807">
        <v>0.531</v>
      </c>
      <c r="AT1860" s="491" t="s">
        <v>172</v>
      </c>
      <c r="AU1860" s="491" t="s">
        <v>186</v>
      </c>
      <c r="AV1860" s="1800" t="s">
        <v>137</v>
      </c>
      <c r="AW1860" s="1808" t="s">
        <v>10062</v>
      </c>
      <c r="AX1860" s="1800" t="s">
        <v>143</v>
      </c>
      <c r="AY1860" s="61" t="str">
        <f>IFERROR(__xludf.DUMMYFUNCTION("vlookup(BB1860,importrange(""https://docs.google.com/spreadsheets/d/1d2vevQ_7D_v35q4wCQ4RpQ_IPoTwEMB9Yp6ymwlPqew/edit?gid=984458430#gid=984458430"", ""'replication success'!A:K""), 11, FAlSE)"),"failed")</f>
        <v>failed</v>
      </c>
      <c r="AZ1860" s="61" t="str">
        <f>IFERROR(__xludf.DUMMYFUNCTION("vlookup(BB1860,importrange(""https://docs.google.com/spreadsheets/d/1d2vevQ_7D_v35q4wCQ4RpQ_IPoTwEMB9Yp6ymwlPqew/edit?gid=984458430#gid=984458430"",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60" s="61" t="str">
        <f>IFERROR(__xludf.DUMMYFUNCTION("vlookup(BB1860,importrange(""https://docs.google.com/spreadsheets/d/1d2vevQ_7D_v35q4wCQ4RpQ_IPoTwEMB9Yp6ymwlPqew/edit?gid=984458430#gid=984458430"", ""'replication success'!A:M""), 13, FAlSE)"),"pg. 7-8")</f>
        <v>pg. 7-8</v>
      </c>
      <c r="BB1860" s="61" t="str">
        <f>IFERROR(__xludf.DUMMYFUNCTION("REGEXREPLACE(G1860, ""_[a-z]{1,2}$"", """")"),"OpenMKT9")</f>
        <v>OpenMKT9</v>
      </c>
      <c r="BC1860" s="1123"/>
      <c r="BD1860" s="1631" t="s">
        <v>7943</v>
      </c>
    </row>
    <row r="1861">
      <c r="A1861" s="44">
        <v>1861.0</v>
      </c>
      <c r="B1861" s="56" t="s">
        <v>152</v>
      </c>
      <c r="C1861" s="341" t="s">
        <v>115</v>
      </c>
      <c r="D1861" s="341" t="s">
        <v>145</v>
      </c>
      <c r="E1861" s="342"/>
      <c r="F1861" s="56" t="s">
        <v>10710</v>
      </c>
      <c r="G1861" s="56" t="s">
        <v>10700</v>
      </c>
      <c r="H1861" s="343" t="s">
        <v>10123</v>
      </c>
      <c r="I1861" s="345">
        <v>45761.0</v>
      </c>
      <c r="J1861" s="1587">
        <v>45772.0</v>
      </c>
      <c r="K1861" s="360"/>
      <c r="L1861" s="56" t="s">
        <v>10168</v>
      </c>
      <c r="M1861" s="56" t="s">
        <v>10691</v>
      </c>
      <c r="N1861" s="56" t="s">
        <v>10692</v>
      </c>
      <c r="O1861" s="55">
        <v>1.0</v>
      </c>
      <c r="P1861" s="1696" t="s">
        <v>10693</v>
      </c>
      <c r="Q1861" s="108" t="str">
        <f t="array" ref="Q1861"> if(iserror(MATCH(V1861, 'File Links'!C:C, 0)), "N/A", HYPERLINK(INDEX('File Links'!B:B, MATCH(P1861, 'File Links'!C:C, 0))))</f>
        <v>N/A</v>
      </c>
      <c r="R1861" s="1697" t="s">
        <v>10052</v>
      </c>
      <c r="S1861" s="56" t="s">
        <v>10053</v>
      </c>
      <c r="T1861" s="1798"/>
      <c r="U1861" s="385"/>
      <c r="V1861" s="343" t="s">
        <v>10054</v>
      </c>
      <c r="W1861" s="360"/>
      <c r="X1861" s="49" t="str">
        <f t="array" ref="X1861"> if(iserror(MATCH(V1861, 'File Links'!C:C, 0)), "N/A", HYPERLINK(INDEX('File Links'!B:B, MATCH(V1861, 'File Links'!C:C, 0))))</f>
        <v>N/A</v>
      </c>
      <c r="Y1861" s="46"/>
      <c r="Z1861" s="343" t="s">
        <v>2079</v>
      </c>
      <c r="AA1861" s="56" t="s">
        <v>10055</v>
      </c>
      <c r="AB1861" s="343" t="s">
        <v>10694</v>
      </c>
      <c r="AC1861" s="343" t="s">
        <v>10702</v>
      </c>
      <c r="AD1861" s="343" t="s">
        <v>10711</v>
      </c>
      <c r="AE1861" s="343">
        <v>5.0</v>
      </c>
      <c r="AF1861" s="347">
        <v>74.0</v>
      </c>
      <c r="AG1861" s="347" t="s">
        <v>10704</v>
      </c>
      <c r="AH1861" s="343" t="s">
        <v>134</v>
      </c>
      <c r="AI1861" s="343" t="s">
        <v>813</v>
      </c>
      <c r="AJ1861" s="347">
        <v>0.01</v>
      </c>
      <c r="AK1861" s="343" t="s">
        <v>135</v>
      </c>
      <c r="AL1861" s="343" t="s">
        <v>186</v>
      </c>
      <c r="AM1861" s="56" t="s">
        <v>137</v>
      </c>
      <c r="AN1861" s="56" t="s">
        <v>1535</v>
      </c>
      <c r="AO1861" s="347">
        <v>823.0</v>
      </c>
      <c r="AP1861" s="347">
        <v>0.294</v>
      </c>
      <c r="AQ1861" s="343" t="s">
        <v>215</v>
      </c>
      <c r="AR1861" s="343" t="s">
        <v>10171</v>
      </c>
      <c r="AS1861" s="347">
        <v>0.001</v>
      </c>
      <c r="AT1861" s="343" t="s">
        <v>135</v>
      </c>
      <c r="AU1861" s="343" t="s">
        <v>186</v>
      </c>
      <c r="AV1861" s="56" t="s">
        <v>137</v>
      </c>
      <c r="AW1861" s="1699" t="s">
        <v>10062</v>
      </c>
      <c r="AX1861" s="56" t="s">
        <v>143</v>
      </c>
      <c r="AY1861" s="61" t="str">
        <f>IFERROR(__xludf.DUMMYFUNCTION("vlookup(BB1861,importrange(""https://docs.google.com/spreadsheets/d/1d2vevQ_7D_v35q4wCQ4RpQ_IPoTwEMB9Yp6ymwlPqew/edit?gid=984458430#gid=984458430"", ""'replication success'!A:K""), 11, FAlSE)"),"failed")</f>
        <v>failed</v>
      </c>
      <c r="AZ1861" s="61" t="str">
        <f>IFERROR(__xludf.DUMMYFUNCTION("vlookup(BB1861,importrange(""https://docs.google.com/spreadsheets/d/1d2vevQ_7D_v35q4wCQ4RpQ_IPoTwEMB9Yp6ymwlPqew/edit?gid=984458430#gid=984458430"", ""'replication success'!A:M""), 12, FAlSE)")," Our replication
 attempts successfully replicated two findings (Klink, 2000;
 Shrum et al., 2012) and partially replicated one of them
 (Yorkston and Menon, 2004). 
The results reveal that only 20% (2/10) of the f indings could be successfully replic"&amp;"ated in terms of statistical significance (p &lt; 0.05; 95% CI not including zero in the
 hypothesized direction). In other words, replication of eight
 studies (80%, 8/10) did not reach statistical significance.")</f>
        <v> 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v>
      </c>
      <c r="BA1861" s="61" t="str">
        <f>IFERROR(__xludf.DUMMYFUNCTION("vlookup(BB1861,importrange(""https://docs.google.com/spreadsheets/d/1d2vevQ_7D_v35q4wCQ4RpQ_IPoTwEMB9Yp6ymwlPqew/edit?gid=984458430#gid=984458430"", ""'replication success'!A:M""), 13, FAlSE)"),"pg. 7-8")</f>
        <v>pg. 7-8</v>
      </c>
      <c r="BB1861" s="61" t="str">
        <f>IFERROR(__xludf.DUMMYFUNCTION("REGEXREPLACE(G1861, ""_[a-z]{1,2}$"", """")"),"OpenMKT9")</f>
        <v>OpenMKT9</v>
      </c>
      <c r="BC1861" s="342"/>
      <c r="BD1861" s="341" t="s">
        <v>7943</v>
      </c>
    </row>
    <row r="1862">
      <c r="A1862" s="44">
        <v>1862.0</v>
      </c>
      <c r="B1862" s="62" t="s">
        <v>114</v>
      </c>
      <c r="C1862" s="62" t="s">
        <v>115</v>
      </c>
      <c r="D1862" s="62" t="s">
        <v>1270</v>
      </c>
      <c r="E1862" s="1826"/>
      <c r="F1862" s="143" t="s">
        <v>10712</v>
      </c>
      <c r="G1862" s="143" t="s">
        <v>10713</v>
      </c>
      <c r="H1862" s="143" t="s">
        <v>10714</v>
      </c>
      <c r="I1862" s="1826" t="s">
        <v>119</v>
      </c>
      <c r="J1862" s="1827">
        <v>45734.0</v>
      </c>
      <c r="K1862" s="143" t="s">
        <v>10715</v>
      </c>
      <c r="L1862" s="143"/>
      <c r="M1862" s="1828" t="s">
        <v>10716</v>
      </c>
      <c r="N1862" s="143" t="s">
        <v>10717</v>
      </c>
      <c r="O1862" s="1829">
        <v>3.0</v>
      </c>
      <c r="P1862" s="1830" t="s">
        <v>10718</v>
      </c>
      <c r="Q1862" s="108" t="str">
        <f t="array" ref="Q1862"> if(iserror(MATCH(V1862, 'File Links'!C:C, 0)), "N/A", HYPERLINK(INDEX('File Links'!B:B, MATCH(P1862, 'File Links'!C:C, 0))))</f>
        <v>N/A</v>
      </c>
      <c r="R1862" s="1831" t="s">
        <v>10719</v>
      </c>
      <c r="S1862" s="143" t="s">
        <v>10720</v>
      </c>
      <c r="T1862" s="1832" t="s">
        <v>10721</v>
      </c>
      <c r="U1862" s="1833" t="s">
        <v>10722</v>
      </c>
      <c r="V1862" s="198" t="str">
        <f> hyperlink(vlookup(lower(T1862),#REF!, 2, FALSE), SUBSTITUTE(lower(T1862), "/", "--") &amp;  ".pdf")</f>
        <v>https:----osf.io--janu3.pdf</v>
      </c>
      <c r="W1862" s="143" t="s">
        <v>3570</v>
      </c>
      <c r="X1862" s="49" t="str">
        <f t="array" ref="X1862"> if(iserror(MATCH(V1862, 'File Links'!C:C, 0)), "N/A", HYPERLINK(INDEX('File Links'!B:B, MATCH(V1862, 'File Links'!C:C, 0))))</f>
        <v>N/A</v>
      </c>
      <c r="Z1862" s="143" t="s">
        <v>148</v>
      </c>
      <c r="AA1862" s="1834" t="s">
        <v>10723</v>
      </c>
      <c r="AB1862" s="143" t="s">
        <v>10724</v>
      </c>
      <c r="AC1862" s="143" t="s">
        <v>10725</v>
      </c>
      <c r="AD1862" s="143" t="s">
        <v>10726</v>
      </c>
      <c r="AE1862" s="1829">
        <v>10.0</v>
      </c>
      <c r="AF1862" s="1829">
        <v>24.0</v>
      </c>
      <c r="AG1862" s="1829" t="s">
        <v>10727</v>
      </c>
      <c r="AH1862" s="143" t="s">
        <v>134</v>
      </c>
      <c r="AI1862" s="143" t="s">
        <v>632</v>
      </c>
      <c r="AJ1862" s="1835">
        <v>0.02</v>
      </c>
      <c r="AK1862" s="143" t="s">
        <v>172</v>
      </c>
      <c r="AL1862" s="143" t="s">
        <v>186</v>
      </c>
      <c r="AM1862" s="1826" t="s">
        <v>141</v>
      </c>
      <c r="AN1862" s="330" t="s">
        <v>138</v>
      </c>
      <c r="AO1862" s="1829">
        <v>29.0</v>
      </c>
      <c r="AP1862" s="1834">
        <v>0.02</v>
      </c>
      <c r="AQ1862" s="143" t="s">
        <v>874</v>
      </c>
      <c r="AR1862" s="143" t="s">
        <v>813</v>
      </c>
      <c r="AS1862" s="1829">
        <v>0.435</v>
      </c>
      <c r="AT1862" s="143" t="s">
        <v>172</v>
      </c>
      <c r="AU1862" s="143" t="s">
        <v>186</v>
      </c>
      <c r="AV1862" s="1826" t="s">
        <v>141</v>
      </c>
      <c r="AW1862" s="1836" t="s">
        <v>10728</v>
      </c>
      <c r="AX1862" s="1826" t="s">
        <v>143</v>
      </c>
      <c r="AY1862" s="61" t="str">
        <f>IFERROR(__xludf.DUMMYFUNCTION("vlookup(BB1862,importrange(""https://docs.google.com/spreadsheets/d/1d2vevQ_7D_v35q4wCQ4RpQ_IPoTwEMB9Yp6ymwlPqew/edit?gid=984458430#gid=984458430"", ""'replication success'!A:K""), 11, FAlSE)"),"failed")</f>
        <v>failed</v>
      </c>
      <c r="AZ1862" s="61" t="str">
        <f>IFERROR(__xludf.DUMMYFUNCTION("vlookup(BB1862,importrange(""https://docs.google.com/spreadsheets/d/1d2vevQ_7D_v35q4wCQ4RpQ_IPoTwEMB9Yp6ymwlPqew/edit?gid=984458430#gid=984458430"", ""'replication success'!A:M""), 12, FAlSE)"),"Although the effects are numerically in the same direction as the original study, we failedto replicate the main result of Experiment 3 in the Roelofs (2008) paper: the interaction between task and relation is not significant (with an F value smaller than"&amp;" 1). ")</f>
        <v>Although the effects are numerically in the same direction as the original study, we failedto replicate the main result of Experiment 3 in the Roelofs (2008) paper: the interaction between task and relation is not significant (with an F value smaller than 1). </v>
      </c>
      <c r="BA1862" s="61" t="str">
        <f>IFERROR(__xludf.DUMMYFUNCTION("vlookup(BB1862,importrange(""https://docs.google.com/spreadsheets/d/1d2vevQ_7D_v35q4wCQ4RpQ_IPoTwEMB9Yp6ymwlPqew/edit?gid=984458430#gid=984458430"", ""'replication success'!A:M""), 13, FAlSE)"),"pg. 5")</f>
        <v>pg. 5</v>
      </c>
      <c r="BB1862" s="61" t="str">
        <f>IFERROR(__xludf.DUMMYFUNCTION("REGEXREPLACE(G1862, ""_[a-z]{1,2}$"", """")"),"osc20151")</f>
        <v>osc20151</v>
      </c>
      <c r="BD1862" s="1826" t="s">
        <v>10729</v>
      </c>
    </row>
    <row r="1863">
      <c r="A1863" s="44">
        <v>1863.0</v>
      </c>
      <c r="B1863" s="62" t="s">
        <v>152</v>
      </c>
      <c r="C1863" s="62" t="s">
        <v>115</v>
      </c>
      <c r="D1863" s="62" t="s">
        <v>153</v>
      </c>
      <c r="E1863" s="1826"/>
      <c r="F1863" s="143" t="s">
        <v>10712</v>
      </c>
      <c r="G1863" s="143" t="s">
        <v>10713</v>
      </c>
      <c r="H1863" s="143" t="s">
        <v>153</v>
      </c>
      <c r="I1863" s="1826" t="s">
        <v>10730</v>
      </c>
      <c r="J1863" s="1827">
        <v>45734.0</v>
      </c>
      <c r="K1863" s="143" t="s">
        <v>10731</v>
      </c>
      <c r="L1863" s="143" t="s">
        <v>10732</v>
      </c>
      <c r="M1863" s="1828" t="s">
        <v>10716</v>
      </c>
      <c r="N1863" s="143" t="s">
        <v>10717</v>
      </c>
      <c r="O1863" s="1829">
        <v>3.0</v>
      </c>
      <c r="P1863" s="1830" t="s">
        <v>10718</v>
      </c>
      <c r="Q1863" s="52" t="str">
        <f t="array" ref="Q1863"> if(iserror(MATCH(V1863, 'File Links'!C:C, 0)), "N/A", HYPERLINK(INDEX('File Links'!B:B, MATCH(P1863, 'File Links'!C:C, 0))))</f>
        <v>https://drive.google.com/file/d/10N0LzNT1GTgGgvA6UUZUXzIdwFBBm26w/view?usp=drivesdk</v>
      </c>
      <c r="R1863" s="143" t="s">
        <v>10722</v>
      </c>
      <c r="S1863" s="143" t="s">
        <v>10720</v>
      </c>
      <c r="T1863" s="1832" t="s">
        <v>10721</v>
      </c>
      <c r="U1863" s="1837">
        <v>1.0</v>
      </c>
      <c r="V1863" s="198" t="str">
        <f t="shared" ref="V1863:V1913" si="119"> hyperlink(vlookup(lower(S1863),#REF!, 2, FALSE), SUBSTITUTE(lower(S1863), "/", "--") &amp;  ".pdf")</f>
        <v>10.1126--science.aac4716.pdf</v>
      </c>
      <c r="W1863" s="143" t="s">
        <v>3570</v>
      </c>
      <c r="X1863" s="54" t="str">
        <f t="array" ref="X1863"> if(iserror(MATCH(V1863, 'File Links'!C:C, 0)), "N/A", HYPERLINK(INDEX('File Links'!B:B, MATCH(V1863, 'File Links'!C:C, 0))))</f>
        <v>https://drive.google.com/file/d/1UMAh9VGta6ExS2-Lb6GkDF4fmnI2EMeM/view?usp=drivesdk</v>
      </c>
      <c r="Z1863" s="143" t="s">
        <v>148</v>
      </c>
      <c r="AA1863" s="143" t="s">
        <v>10723</v>
      </c>
      <c r="AB1863" s="143" t="s">
        <v>10733</v>
      </c>
      <c r="AC1863" s="1838" t="s">
        <v>10725</v>
      </c>
      <c r="AD1863" s="143" t="s">
        <v>10734</v>
      </c>
      <c r="AE1863" s="1829">
        <v>10.0</v>
      </c>
      <c r="AF1863" s="1837">
        <v>24.0</v>
      </c>
      <c r="AG1863" s="1829" t="s">
        <v>10727</v>
      </c>
      <c r="AH1863" s="143" t="s">
        <v>134</v>
      </c>
      <c r="AI1863" s="143" t="s">
        <v>632</v>
      </c>
      <c r="AJ1863" s="1829">
        <v>0.02</v>
      </c>
      <c r="AK1863" s="143" t="s">
        <v>172</v>
      </c>
      <c r="AL1863" s="143" t="s">
        <v>186</v>
      </c>
      <c r="AM1863" s="1826" t="s">
        <v>141</v>
      </c>
      <c r="AN1863" s="330" t="s">
        <v>138</v>
      </c>
      <c r="AO1863" s="1837">
        <v>29.0</v>
      </c>
      <c r="AP1863" s="1837">
        <v>0.02</v>
      </c>
      <c r="AQ1863" s="143" t="s">
        <v>139</v>
      </c>
      <c r="AR1863" s="143" t="s">
        <v>813</v>
      </c>
      <c r="AS1863" s="1829">
        <v>0.435</v>
      </c>
      <c r="AT1863" s="143" t="s">
        <v>172</v>
      </c>
      <c r="AU1863" s="143" t="s">
        <v>186</v>
      </c>
      <c r="AV1863" s="1826" t="s">
        <v>141</v>
      </c>
      <c r="AW1863" s="1836" t="s">
        <v>10735</v>
      </c>
      <c r="AX1863" s="1826" t="s">
        <v>143</v>
      </c>
      <c r="AY1863" s="61" t="str">
        <f>IFERROR(__xludf.DUMMYFUNCTION("vlookup(BB1863,importrange(""https://docs.google.com/spreadsheets/d/1d2vevQ_7D_v35q4wCQ4RpQ_IPoTwEMB9Yp6ymwlPqew/edit?gid=984458430#gid=984458430"", ""'replication success'!A:K""), 11, FAlSE)"),"failed")</f>
        <v>failed</v>
      </c>
      <c r="AZ1863" s="61" t="str">
        <f>IFERROR(__xludf.DUMMYFUNCTION("vlookup(BB1863,importrange(""https://docs.google.com/spreadsheets/d/1d2vevQ_7D_v35q4wCQ4RpQ_IPoTwEMB9Yp6ymwlPqew/edit?gid=984458430#gid=984458430"", ""'replication success'!A:M""), 12, FAlSE)"),"Although the effects are numerically in the same direction as the original study, we failedto replicate the main result of Experiment 3 in the Roelofs (2008) paper: the interaction between task and relation is not significant (with an F value smaller than"&amp;" 1). ")</f>
        <v>Although the effects are numerically in the same direction as the original study, we failedto replicate the main result of Experiment 3 in the Roelofs (2008) paper: the interaction between task and relation is not significant (with an F value smaller than 1). </v>
      </c>
      <c r="BA1863" s="61" t="str">
        <f>IFERROR(__xludf.DUMMYFUNCTION("vlookup(BB1863,importrange(""https://docs.google.com/spreadsheets/d/1d2vevQ_7D_v35q4wCQ4RpQ_IPoTwEMB9Yp6ymwlPqew/edit?gid=984458430#gid=984458430"", ""'replication success'!A:M""), 13, FAlSE)"),"pg. 5")</f>
        <v>pg. 5</v>
      </c>
      <c r="BB1863" s="61" t="str">
        <f>IFERROR(__xludf.DUMMYFUNCTION("REGEXREPLACE(G1863, ""_[a-z]{1,2}$"", """")"),"osc20151")</f>
        <v>osc20151</v>
      </c>
      <c r="BD1863" s="1826" t="s">
        <v>10729</v>
      </c>
    </row>
    <row r="1864">
      <c r="A1864" s="44">
        <v>1864.0</v>
      </c>
      <c r="B1864" s="129" t="s">
        <v>152</v>
      </c>
      <c r="C1864" s="62" t="s">
        <v>115</v>
      </c>
      <c r="D1864" s="62" t="s">
        <v>1270</v>
      </c>
      <c r="E1864" s="1826"/>
      <c r="F1864" s="143" t="s">
        <v>10736</v>
      </c>
      <c r="G1864" s="143" t="s">
        <v>10737</v>
      </c>
      <c r="H1864" s="143" t="s">
        <v>10738</v>
      </c>
      <c r="I1864" s="1837" t="s">
        <v>10739</v>
      </c>
      <c r="J1864" s="1827">
        <v>45734.0</v>
      </c>
      <c r="K1864" s="1839"/>
      <c r="L1864" s="1826" t="s">
        <v>10740</v>
      </c>
      <c r="M1864" s="1840" t="s">
        <v>10741</v>
      </c>
      <c r="N1864" s="143" t="s">
        <v>10742</v>
      </c>
      <c r="O1864" s="1829">
        <v>2.0</v>
      </c>
      <c r="P1864" s="1841" t="s">
        <v>10743</v>
      </c>
      <c r="Q1864" s="52" t="str">
        <f t="array" ref="Q1864"> if(iserror(MATCH(V1864, 'File Links'!C:C, 0)), "N/A", HYPERLINK(INDEX('File Links'!B:B, MATCH(P1864, 'File Links'!C:C, 0))))</f>
        <v>https://drive.google.com/file/d/1dnoOFsITQ-OlW3SSnEP3gasruwHVCneM/view?usp=drivesdk</v>
      </c>
      <c r="R1864" s="143" t="s">
        <v>10744</v>
      </c>
      <c r="S1864" s="143" t="s">
        <v>10720</v>
      </c>
      <c r="T1864" s="1832" t="s">
        <v>10745</v>
      </c>
      <c r="U1864" s="1842">
        <v>1.0</v>
      </c>
      <c r="V1864" s="198" t="str">
        <f t="shared" si="119"/>
        <v>10.1126--science.aac4716.pdf</v>
      </c>
      <c r="W1864" s="143" t="s">
        <v>3570</v>
      </c>
      <c r="X1864" s="54" t="str">
        <f t="array" ref="X1864"> if(iserror(MATCH(V1864, 'File Links'!C:C, 0)), "N/A", HYPERLINK(INDEX('File Links'!B:B, MATCH(V1864, 'File Links'!C:C, 0))))</f>
        <v>https://drive.google.com/file/d/1UMAh9VGta6ExS2-Lb6GkDF4fmnI2EMeM/view?usp=drivesdk</v>
      </c>
      <c r="Z1864" s="143" t="s">
        <v>148</v>
      </c>
      <c r="AA1864" s="143" t="s">
        <v>10746</v>
      </c>
      <c r="AB1864" s="143" t="s">
        <v>10747</v>
      </c>
      <c r="AC1864" s="143" t="s">
        <v>10748</v>
      </c>
      <c r="AD1864" s="143" t="s">
        <v>10749</v>
      </c>
      <c r="AE1864" s="1838">
        <v>5.0</v>
      </c>
      <c r="AF1864" s="1829">
        <v>32.0</v>
      </c>
      <c r="AG1864" s="1829" t="s">
        <v>10750</v>
      </c>
      <c r="AH1864" s="143" t="s">
        <v>134</v>
      </c>
      <c r="AI1864" s="143" t="s">
        <v>813</v>
      </c>
      <c r="AJ1864" s="1829">
        <v>0.001</v>
      </c>
      <c r="AK1864" s="143" t="s">
        <v>135</v>
      </c>
      <c r="AL1864" s="143" t="s">
        <v>186</v>
      </c>
      <c r="AM1864" s="1826" t="s">
        <v>137</v>
      </c>
      <c r="AN1864" s="330" t="s">
        <v>138</v>
      </c>
      <c r="AO1864" s="1837">
        <v>32.0</v>
      </c>
      <c r="AP1864" s="1837" t="s">
        <v>10751</v>
      </c>
      <c r="AQ1864" s="143" t="s">
        <v>134</v>
      </c>
      <c r="AR1864" s="143" t="s">
        <v>217</v>
      </c>
      <c r="AS1864" s="1829">
        <v>0.001</v>
      </c>
      <c r="AT1864" s="143" t="s">
        <v>135</v>
      </c>
      <c r="AU1864" s="1838" t="s">
        <v>186</v>
      </c>
      <c r="AV1864" s="1826" t="s">
        <v>137</v>
      </c>
      <c r="AW1864" s="1836" t="s">
        <v>10752</v>
      </c>
      <c r="AX1864" s="1826" t="s">
        <v>143</v>
      </c>
      <c r="AY1864" s="61" t="str">
        <f>IFERROR(__xludf.DUMMYFUNCTION("vlookup(BB1864,importrange(""https://docs.google.com/spreadsheets/d/1d2vevQ_7D_v35q4wCQ4RpQ_IPoTwEMB9Yp6ymwlPqew/edit?gid=984458430#gid=984458430"", ""'replication success'!A:K""), 11, FAlSE)"),"successful")</f>
        <v>successful</v>
      </c>
      <c r="AZ1864" s="61" t="str">
        <f>IFERROR(__xludf.DUMMYFUNCTION("vlookup(BB1864,importrange(""https://docs.google.com/spreadsheets/d/1d2vevQ_7D_v35q4wCQ4RpQ_IPoTwEMB9Yp6ymwlPqew/edit?gid=984458430#gid=984458430"", ""'replication success'!A:M""), 12, FAlSE)"),"In line with Ganor-Stern &amp; Tzelgov (2008), we found a CDE when the task required numerical matching. We were also able to replicate the value interference effect in the physical matching task, which ""suggest[s] that automatic numerical processing was tak"&amp;"ing place"" (p.436)")</f>
        <v>In line with Ganor-Stern &amp; Tzelgov (2008), we found a CDE when the task required numerical matching. We were also able to replicate the value interference effect in the physical matching task, which "suggest[s] that automatic numerical processing was taking place" (p.436)</v>
      </c>
      <c r="BA1864" s="61" t="str">
        <f>IFERROR(__xludf.DUMMYFUNCTION("vlookup(BB1864,importrange(""https://docs.google.com/spreadsheets/d/1d2vevQ_7D_v35q4wCQ4RpQ_IPoTwEMB9Yp6ymwlPqew/edit?gid=984458430#gid=984458430"", ""'replication success'!A:M""), 13, FAlSE)"),"pg. 4")</f>
        <v>pg. 4</v>
      </c>
      <c r="BB1864" s="61" t="str">
        <f>IFERROR(__xludf.DUMMYFUNCTION("REGEXREPLACE(G1864, ""_[a-z]{1,2}$"", """")"),"osc201510")</f>
        <v>osc201510</v>
      </c>
      <c r="BD1864" s="1826" t="s">
        <v>10729</v>
      </c>
    </row>
    <row r="1865">
      <c r="A1865" s="44">
        <v>1865.0</v>
      </c>
      <c r="B1865" s="62" t="s">
        <v>114</v>
      </c>
      <c r="C1865" s="62" t="s">
        <v>115</v>
      </c>
      <c r="D1865" s="62" t="s">
        <v>153</v>
      </c>
      <c r="E1865" s="1826"/>
      <c r="F1865" s="143" t="s">
        <v>10736</v>
      </c>
      <c r="G1865" s="143" t="s">
        <v>10737</v>
      </c>
      <c r="H1865" s="143" t="s">
        <v>153</v>
      </c>
      <c r="I1865" s="1826" t="s">
        <v>10730</v>
      </c>
      <c r="J1865" s="1827">
        <v>45734.0</v>
      </c>
      <c r="K1865" s="1826" t="s">
        <v>10753</v>
      </c>
      <c r="L1865" s="1826"/>
      <c r="M1865" s="1828" t="s">
        <v>10741</v>
      </c>
      <c r="N1865" s="143" t="s">
        <v>10742</v>
      </c>
      <c r="O1865" s="1829">
        <v>2.0</v>
      </c>
      <c r="P1865" s="1830" t="s">
        <v>10743</v>
      </c>
      <c r="Q1865" s="52" t="str">
        <f t="array" ref="Q1865"> if(iserror(MATCH(V1865, 'File Links'!C:C, 0)), "N/A", HYPERLINK(INDEX('File Links'!B:B, MATCH(P1865, 'File Links'!C:C, 0))))</f>
        <v>https://drive.google.com/file/d/1dnoOFsITQ-OlW3SSnEP3gasruwHVCneM/view?usp=drivesdk</v>
      </c>
      <c r="R1865" s="143" t="s">
        <v>10744</v>
      </c>
      <c r="S1865" s="143" t="s">
        <v>10720</v>
      </c>
      <c r="T1865" s="1832" t="s">
        <v>10745</v>
      </c>
      <c r="U1865" s="1837">
        <v>1.0</v>
      </c>
      <c r="V1865" s="198" t="str">
        <f t="shared" si="119"/>
        <v>10.1126--science.aac4716.pdf</v>
      </c>
      <c r="W1865" s="143" t="s">
        <v>3570</v>
      </c>
      <c r="X1865" s="54" t="str">
        <f t="array" ref="X1865"> if(iserror(MATCH(V1865, 'File Links'!C:C, 0)), "N/A", HYPERLINK(INDEX('File Links'!B:B, MATCH(V1865, 'File Links'!C:C, 0))))</f>
        <v>https://drive.google.com/file/d/1UMAh9VGta6ExS2-Lb6GkDF4fmnI2EMeM/view?usp=drivesdk</v>
      </c>
      <c r="Z1865" s="143" t="s">
        <v>148</v>
      </c>
      <c r="AA1865" s="1838" t="s">
        <v>10746</v>
      </c>
      <c r="AB1865" s="143" t="s">
        <v>10754</v>
      </c>
      <c r="AC1865" s="1838" t="s">
        <v>10748</v>
      </c>
      <c r="AD1865" s="143" t="s">
        <v>10755</v>
      </c>
      <c r="AE1865" s="1829">
        <v>5.0</v>
      </c>
      <c r="AF1865" s="1829">
        <v>32.0</v>
      </c>
      <c r="AG1865" s="1829" t="s">
        <v>10750</v>
      </c>
      <c r="AH1865" s="143" t="s">
        <v>134</v>
      </c>
      <c r="AI1865" s="143" t="s">
        <v>813</v>
      </c>
      <c r="AJ1865" s="1829">
        <v>0.001</v>
      </c>
      <c r="AK1865" s="143" t="s">
        <v>135</v>
      </c>
      <c r="AL1865" s="1838" t="s">
        <v>186</v>
      </c>
      <c r="AM1865" s="1826" t="s">
        <v>137</v>
      </c>
      <c r="AN1865" s="330" t="s">
        <v>138</v>
      </c>
      <c r="AO1865" s="1837">
        <v>32.0</v>
      </c>
      <c r="AP1865" s="1837" t="s">
        <v>10751</v>
      </c>
      <c r="AQ1865" s="143" t="s">
        <v>134</v>
      </c>
      <c r="AR1865" s="143" t="s">
        <v>217</v>
      </c>
      <c r="AS1865" s="1829">
        <v>0.001</v>
      </c>
      <c r="AT1865" s="1838" t="s">
        <v>135</v>
      </c>
      <c r="AU1865" s="1838" t="s">
        <v>186</v>
      </c>
      <c r="AV1865" s="1826" t="s">
        <v>137</v>
      </c>
      <c r="AW1865" s="1836" t="s">
        <v>10756</v>
      </c>
      <c r="AX1865" s="1826" t="s">
        <v>143</v>
      </c>
      <c r="AY1865" s="61" t="str">
        <f>IFERROR(__xludf.DUMMYFUNCTION("vlookup(BB1865,importrange(""https://docs.google.com/spreadsheets/d/1d2vevQ_7D_v35q4wCQ4RpQ_IPoTwEMB9Yp6ymwlPqew/edit?gid=984458430#gid=984458430"", ""'replication success'!A:K""), 11, FAlSE)"),"successful")</f>
        <v>successful</v>
      </c>
      <c r="AZ1865" s="61" t="str">
        <f>IFERROR(__xludf.DUMMYFUNCTION("vlookup(BB1865,importrange(""https://docs.google.com/spreadsheets/d/1d2vevQ_7D_v35q4wCQ4RpQ_IPoTwEMB9Yp6ymwlPqew/edit?gid=984458430#gid=984458430"", ""'replication success'!A:M""), 12, FAlSE)"),"In line with Ganor-Stern &amp; Tzelgov (2008), we found a CDE when the task required numerical matching. We were also able to replicate the value interference effect in the physical matching task, which ""suggest[s] that automatic numerical processing was tak"&amp;"ing place"" (p.436)")</f>
        <v>In line with Ganor-Stern &amp; Tzelgov (2008), we found a CDE when the task required numerical matching. We were also able to replicate the value interference effect in the physical matching task, which "suggest[s] that automatic numerical processing was taking place" (p.436)</v>
      </c>
      <c r="BA1865" s="61" t="str">
        <f>IFERROR(__xludf.DUMMYFUNCTION("vlookup(BB1865,importrange(""https://docs.google.com/spreadsheets/d/1d2vevQ_7D_v35q4wCQ4RpQ_IPoTwEMB9Yp6ymwlPqew/edit?gid=984458430#gid=984458430"", ""'replication success'!A:M""), 13, FAlSE)"),"pg. 4")</f>
        <v>pg. 4</v>
      </c>
      <c r="BB1865" s="61" t="str">
        <f>IFERROR(__xludf.DUMMYFUNCTION("REGEXREPLACE(G1865, ""_[a-z]{1,2}$"", """")"),"osc201510")</f>
        <v>osc201510</v>
      </c>
      <c r="BD1865" s="1826" t="s">
        <v>10729</v>
      </c>
    </row>
    <row r="1866">
      <c r="A1866" s="44">
        <v>1866.0</v>
      </c>
      <c r="B1866" s="129" t="s">
        <v>152</v>
      </c>
      <c r="C1866" s="62" t="s">
        <v>115</v>
      </c>
      <c r="D1866" s="62" t="s">
        <v>1270</v>
      </c>
      <c r="E1866" s="1826"/>
      <c r="F1866" s="143" t="s">
        <v>10757</v>
      </c>
      <c r="G1866" s="143" t="s">
        <v>10758</v>
      </c>
      <c r="H1866" s="143" t="s">
        <v>10759</v>
      </c>
      <c r="I1866" s="1837" t="s">
        <v>10739</v>
      </c>
      <c r="J1866" s="1827">
        <v>45734.0</v>
      </c>
      <c r="K1866" s="1839"/>
      <c r="L1866" s="1826" t="s">
        <v>10760</v>
      </c>
      <c r="M1866" s="1840" t="s">
        <v>10761</v>
      </c>
      <c r="N1866" s="143" t="s">
        <v>10762</v>
      </c>
      <c r="O1866" s="1829" t="s">
        <v>3586</v>
      </c>
      <c r="P1866" s="1841" t="s">
        <v>10763</v>
      </c>
      <c r="Q1866" s="52" t="str">
        <f t="array" ref="Q1866"> if(iserror(MATCH(V1866, 'File Links'!C:C, 0)), "N/A", HYPERLINK(INDEX('File Links'!B:B, MATCH(P1866, 'File Links'!C:C, 0))))</f>
        <v>https://drive.google.com/file/d/1mWHWKkVq6BilZwniJ1YPf3kKFnahjts7/view?usp=drivesdk</v>
      </c>
      <c r="R1866" s="143" t="s">
        <v>10764</v>
      </c>
      <c r="S1866" s="143" t="s">
        <v>10720</v>
      </c>
      <c r="T1866" s="1832" t="s">
        <v>10765</v>
      </c>
      <c r="U1866" s="1842">
        <v>1.0</v>
      </c>
      <c r="V1866" s="198" t="str">
        <f t="shared" si="119"/>
        <v>10.1126--science.aac4716.pdf</v>
      </c>
      <c r="W1866" s="143" t="s">
        <v>3570</v>
      </c>
      <c r="X1866" s="54" t="str">
        <f t="array" ref="X1866"> if(iserror(MATCH(V1866, 'File Links'!C:C, 0)), "N/A", HYPERLINK(INDEX('File Links'!B:B, MATCH(V1866, 'File Links'!C:C, 0))))</f>
        <v>https://drive.google.com/file/d/1UMAh9VGta6ExS2-Lb6GkDF4fmnI2EMeM/view?usp=drivesdk</v>
      </c>
      <c r="Z1866" s="143" t="s">
        <v>226</v>
      </c>
      <c r="AA1866" s="143" t="s">
        <v>10766</v>
      </c>
      <c r="AB1866" s="143" t="s">
        <v>10767</v>
      </c>
      <c r="AC1866" s="143" t="s">
        <v>10768</v>
      </c>
      <c r="AD1866" s="143" t="s">
        <v>10769</v>
      </c>
      <c r="AE1866" s="1829">
        <v>4.0</v>
      </c>
      <c r="AF1866" s="1829">
        <v>236.0</v>
      </c>
      <c r="AG1866" s="1829">
        <v>0.13</v>
      </c>
      <c r="AH1866" s="143" t="s">
        <v>7792</v>
      </c>
      <c r="AI1866" s="143" t="s">
        <v>10770</v>
      </c>
      <c r="AJ1866" s="1829">
        <v>0.05</v>
      </c>
      <c r="AK1866" s="143" t="s">
        <v>172</v>
      </c>
      <c r="AL1866" s="143" t="s">
        <v>186</v>
      </c>
      <c r="AM1866" s="1826" t="s">
        <v>137</v>
      </c>
      <c r="AN1866" s="330" t="s">
        <v>138</v>
      </c>
      <c r="AO1866" s="1837">
        <v>1146.0</v>
      </c>
      <c r="AP1866" s="1837">
        <v>0.02</v>
      </c>
      <c r="AQ1866" s="143" t="s">
        <v>7792</v>
      </c>
      <c r="AR1866" s="143" t="s">
        <v>10771</v>
      </c>
      <c r="AS1866" s="1829">
        <v>0.53</v>
      </c>
      <c r="AT1866" s="143" t="s">
        <v>172</v>
      </c>
      <c r="AU1866" s="143" t="s">
        <v>186</v>
      </c>
      <c r="AV1866" s="1826" t="s">
        <v>137</v>
      </c>
      <c r="AW1866" s="1836" t="s">
        <v>10772</v>
      </c>
      <c r="AX1866" s="1826" t="s">
        <v>143</v>
      </c>
      <c r="AY1866" s="61" t="str">
        <f>IFERROR(__xludf.DUMMYFUNCTION("vlookup(BB1866,importrange(""https://docs.google.com/spreadsheets/d/1d2vevQ_7D_v35q4wCQ4RpQ_IPoTwEMB9Yp6ymwlPqew/edit?gid=984458430#gid=984458430"", ""'replication success'!A:K""), 11, FAlSE)"),"failed")</f>
        <v>failed</v>
      </c>
      <c r="AZ1866" s="61" t="str">
        <f>IFERROR(__xludf.DUMMYFUNCTION("vlookup(BB1866,importrange(""https://docs.google.com/spreadsheets/d/1d2vevQ_7D_v35q4wCQ4RpQ_IPoTwEMB9Yp6ymwlPqew/edit?gid=984458430#gid=984458430"", ""'replication success'!A:M""), 12, FAlSE)"),"In contrast to Alter and Oppenheimer (2008), I did not observe a statistically significant difference between the two experimental conditions in my replication attempt. ")</f>
        <v>In contrast to Alter and Oppenheimer (2008), I did not observe a statistically significant difference between the two experimental conditions in my replication attempt. </v>
      </c>
      <c r="BA1866" s="61" t="str">
        <f>IFERROR(__xludf.DUMMYFUNCTION("vlookup(BB1866,importrange(""https://docs.google.com/spreadsheets/d/1d2vevQ_7D_v35q4wCQ4RpQ_IPoTwEMB9Yp6ymwlPqew/edit?gid=984458430#gid=984458430"", ""'replication success'!A:M""), 13, FAlSE)"),"pg. 5")</f>
        <v>pg. 5</v>
      </c>
      <c r="BB1866" s="61" t="str">
        <f>IFERROR(__xludf.DUMMYFUNCTION("REGEXREPLACE(G1866, ""_[a-z]{1,2}$"", """")"),"osc2015104")</f>
        <v>osc2015104</v>
      </c>
      <c r="BD1866" s="1826" t="s">
        <v>10729</v>
      </c>
    </row>
    <row r="1867">
      <c r="A1867" s="44">
        <v>1867.0</v>
      </c>
      <c r="B1867" s="62" t="s">
        <v>114</v>
      </c>
      <c r="C1867" s="62" t="s">
        <v>115</v>
      </c>
      <c r="D1867" s="62" t="s">
        <v>153</v>
      </c>
      <c r="E1867" s="1826"/>
      <c r="F1867" s="143" t="s">
        <v>10757</v>
      </c>
      <c r="G1867" s="143" t="s">
        <v>10758</v>
      </c>
      <c r="H1867" s="143" t="s">
        <v>153</v>
      </c>
      <c r="I1867" s="1826" t="s">
        <v>10730</v>
      </c>
      <c r="J1867" s="1827">
        <v>45734.0</v>
      </c>
      <c r="K1867" s="143" t="s">
        <v>10773</v>
      </c>
      <c r="L1867" s="143"/>
      <c r="M1867" s="1828" t="s">
        <v>10761</v>
      </c>
      <c r="N1867" s="143" t="s">
        <v>10762</v>
      </c>
      <c r="O1867" s="1843" t="s">
        <v>3586</v>
      </c>
      <c r="P1867" s="1830" t="s">
        <v>10763</v>
      </c>
      <c r="Q1867" s="52" t="str">
        <f t="array" ref="Q1867"> if(iserror(MATCH(V1867, 'File Links'!C:C, 0)), "N/A", HYPERLINK(INDEX('File Links'!B:B, MATCH(P1867, 'File Links'!C:C, 0))))</f>
        <v>https://drive.google.com/file/d/1mWHWKkVq6BilZwniJ1YPf3kKFnahjts7/view?usp=drivesdk</v>
      </c>
      <c r="R1867" s="143" t="s">
        <v>10764</v>
      </c>
      <c r="S1867" s="143" t="s">
        <v>10720</v>
      </c>
      <c r="T1867" s="1832" t="s">
        <v>10765</v>
      </c>
      <c r="U1867" s="1844">
        <v>1.0</v>
      </c>
      <c r="V1867" s="198" t="str">
        <f t="shared" si="119"/>
        <v>10.1126--science.aac4716.pdf</v>
      </c>
      <c r="W1867" s="143" t="s">
        <v>3570</v>
      </c>
      <c r="X1867" s="54" t="str">
        <f t="array" ref="X1867"> if(iserror(MATCH(V1867, 'File Links'!C:C, 0)), "N/A", HYPERLINK(INDEX('File Links'!B:B, MATCH(V1867, 'File Links'!C:C, 0))))</f>
        <v>https://drive.google.com/file/d/1UMAh9VGta6ExS2-Lb6GkDF4fmnI2EMeM/view?usp=drivesdk</v>
      </c>
      <c r="Z1867" s="143" t="s">
        <v>226</v>
      </c>
      <c r="AA1867" s="143" t="s">
        <v>10766</v>
      </c>
      <c r="AB1867" s="143" t="s">
        <v>10774</v>
      </c>
      <c r="AC1867" s="1838" t="s">
        <v>10768</v>
      </c>
      <c r="AD1867" s="143" t="s">
        <v>10775</v>
      </c>
      <c r="AE1867" s="1829">
        <v>4.0</v>
      </c>
      <c r="AF1867" s="1829">
        <v>236.0</v>
      </c>
      <c r="AG1867" s="1829">
        <v>0.13</v>
      </c>
      <c r="AH1867" s="143" t="s">
        <v>7792</v>
      </c>
      <c r="AI1867" s="143" t="s">
        <v>850</v>
      </c>
      <c r="AJ1867" s="1837">
        <v>0.05</v>
      </c>
      <c r="AK1867" s="143" t="s">
        <v>172</v>
      </c>
      <c r="AL1867" s="143" t="s">
        <v>186</v>
      </c>
      <c r="AM1867" s="1826" t="s">
        <v>137</v>
      </c>
      <c r="AN1867" s="330" t="s">
        <v>138</v>
      </c>
      <c r="AO1867" s="1829">
        <v>1146.0</v>
      </c>
      <c r="AP1867" s="1829">
        <v>0.02</v>
      </c>
      <c r="AQ1867" s="143" t="s">
        <v>7792</v>
      </c>
      <c r="AR1867" s="143" t="s">
        <v>813</v>
      </c>
      <c r="AS1867" s="1829">
        <v>0.53</v>
      </c>
      <c r="AT1867" s="143" t="s">
        <v>172</v>
      </c>
      <c r="AU1867" s="143" t="s">
        <v>186</v>
      </c>
      <c r="AV1867" s="1826" t="s">
        <v>137</v>
      </c>
      <c r="AW1867" s="1836" t="s">
        <v>10776</v>
      </c>
      <c r="AX1867" s="1845" t="s">
        <v>143</v>
      </c>
      <c r="AY1867" s="61" t="str">
        <f>IFERROR(__xludf.DUMMYFUNCTION("vlookup(BB1867,importrange(""https://docs.google.com/spreadsheets/d/1d2vevQ_7D_v35q4wCQ4RpQ_IPoTwEMB9Yp6ymwlPqew/edit?gid=984458430#gid=984458430"", ""'replication success'!A:K""), 11, FAlSE)"),"failed")</f>
        <v>failed</v>
      </c>
      <c r="AZ1867" s="61" t="str">
        <f>IFERROR(__xludf.DUMMYFUNCTION("vlookup(BB1867,importrange(""https://docs.google.com/spreadsheets/d/1d2vevQ_7D_v35q4wCQ4RpQ_IPoTwEMB9Yp6ymwlPqew/edit?gid=984458430#gid=984458430"", ""'replication success'!A:M""), 12, FAlSE)"),"In contrast to Alter and Oppenheimer (2008), I did not observe a statistically significant difference between the two experimental conditions in my replication attempt. ")</f>
        <v>In contrast to Alter and Oppenheimer (2008), I did not observe a statistically significant difference between the two experimental conditions in my replication attempt. </v>
      </c>
      <c r="BA1867" s="61" t="str">
        <f>IFERROR(__xludf.DUMMYFUNCTION("vlookup(BB1867,importrange(""https://docs.google.com/spreadsheets/d/1d2vevQ_7D_v35q4wCQ4RpQ_IPoTwEMB9Yp6ymwlPqew/edit?gid=984458430#gid=984458430"", ""'replication success'!A:M""), 13, FAlSE)"),"pg. 5")</f>
        <v>pg. 5</v>
      </c>
      <c r="BB1867" s="61" t="str">
        <f>IFERROR(__xludf.DUMMYFUNCTION("REGEXREPLACE(G1867, ""_[a-z]{1,2}$"", """")"),"osc2015104")</f>
        <v>osc2015104</v>
      </c>
      <c r="BD1867" s="1826" t="s">
        <v>10729</v>
      </c>
    </row>
    <row r="1868">
      <c r="A1868" s="44">
        <v>1868.0</v>
      </c>
      <c r="B1868" s="129" t="s">
        <v>152</v>
      </c>
      <c r="C1868" s="62" t="s">
        <v>115</v>
      </c>
      <c r="D1868" s="62" t="s">
        <v>1270</v>
      </c>
      <c r="E1868" s="1826"/>
      <c r="F1868" s="143" t="s">
        <v>10777</v>
      </c>
      <c r="G1868" s="143" t="s">
        <v>10778</v>
      </c>
      <c r="H1868" s="143" t="s">
        <v>10779</v>
      </c>
      <c r="I1868" s="1837" t="s">
        <v>10739</v>
      </c>
      <c r="J1868" s="1827">
        <v>45734.0</v>
      </c>
      <c r="K1868" s="1839"/>
      <c r="L1868" s="143" t="s">
        <v>10780</v>
      </c>
      <c r="M1868" s="1840" t="s">
        <v>10781</v>
      </c>
      <c r="N1868" s="143" t="s">
        <v>10782</v>
      </c>
      <c r="O1868" s="1829">
        <v>4.0</v>
      </c>
      <c r="P1868" s="1841" t="s">
        <v>10783</v>
      </c>
      <c r="Q1868" s="52" t="str">
        <f t="array" ref="Q1868"> if(iserror(MATCH(V1868, 'File Links'!C:C, 0)), "N/A", HYPERLINK(INDEX('File Links'!B:B, MATCH(P1868, 'File Links'!C:C, 0))))</f>
        <v>https://drive.google.com/file/d/18ezWy7djA945zL8CbFQlhWO8EZS4wwS1/view?usp=drivesdk</v>
      </c>
      <c r="R1868" s="1831" t="s">
        <v>10784</v>
      </c>
      <c r="S1868" s="143" t="s">
        <v>10720</v>
      </c>
      <c r="T1868" s="1832" t="s">
        <v>10785</v>
      </c>
      <c r="U1868" s="1842">
        <v>1.0</v>
      </c>
      <c r="V1868" s="198" t="str">
        <f t="shared" si="119"/>
        <v>10.1126--science.aac4716.pdf</v>
      </c>
      <c r="W1868" s="143" t="s">
        <v>164</v>
      </c>
      <c r="X1868" s="54" t="str">
        <f t="array" ref="X1868"> if(iserror(MATCH(V1868, 'File Links'!C:C, 0)), "N/A", HYPERLINK(INDEX('File Links'!B:B, MATCH(V1868, 'File Links'!C:C, 0))))</f>
        <v>https://drive.google.com/file/d/1UMAh9VGta6ExS2-Lb6GkDF4fmnI2EMeM/view?usp=drivesdk</v>
      </c>
      <c r="Z1868" s="143" t="s">
        <v>148</v>
      </c>
      <c r="AA1868" s="143" t="s">
        <v>10786</v>
      </c>
      <c r="AB1868" s="143" t="s">
        <v>10787</v>
      </c>
      <c r="AC1868" s="143" t="s">
        <v>10788</v>
      </c>
      <c r="AD1868" s="143" t="s">
        <v>10789</v>
      </c>
      <c r="AE1868" s="1829">
        <v>5.0</v>
      </c>
      <c r="AF1868" s="1829">
        <v>36.0</v>
      </c>
      <c r="AG1868" s="143">
        <v>0.82</v>
      </c>
      <c r="AH1868" s="143" t="s">
        <v>173</v>
      </c>
      <c r="AI1868" s="143" t="s">
        <v>10790</v>
      </c>
      <c r="AJ1868" s="1829">
        <v>0.05</v>
      </c>
      <c r="AK1868" s="143" t="s">
        <v>135</v>
      </c>
      <c r="AL1868" s="143" t="s">
        <v>136</v>
      </c>
      <c r="AM1868" s="1826" t="s">
        <v>137</v>
      </c>
      <c r="AN1868" s="330" t="s">
        <v>138</v>
      </c>
      <c r="AO1868" s="1829">
        <v>47.0</v>
      </c>
      <c r="AP1868" s="1826">
        <v>0.48</v>
      </c>
      <c r="AQ1868" s="1826" t="s">
        <v>173</v>
      </c>
      <c r="AR1868" s="1826" t="s">
        <v>813</v>
      </c>
      <c r="AS1868" s="1835">
        <v>0.132</v>
      </c>
      <c r="AT1868" s="1826" t="s">
        <v>172</v>
      </c>
      <c r="AU1868" s="1826" t="s">
        <v>136</v>
      </c>
      <c r="AV1868" s="1826" t="s">
        <v>137</v>
      </c>
      <c r="AW1868" s="1836" t="s">
        <v>10791</v>
      </c>
      <c r="AX1868" s="1826" t="s">
        <v>143</v>
      </c>
      <c r="AY1868" s="61" t="str">
        <f>IFERROR(__xludf.DUMMYFUNCTION("vlookup(BB1868,importrange(""https://docs.google.com/spreadsheets/d/1d2vevQ_7D_v35q4wCQ4RpQ_IPoTwEMB9Yp6ymwlPqew/edit?gid=984458430#gid=984458430"", ""'replication success'!A:K""), 11, FAlSE)"),"failed")</f>
        <v>failed</v>
      </c>
      <c r="AZ1868" s="61" t="str">
        <f>IFERROR(__xludf.DUMMYFUNCTION("vlookup(BB1868,importrange(""https://docs.google.com/spreadsheets/d/1d2vevQ_7D_v35q4wCQ4RpQ_IPoTwEMB9Yp6ymwlPqew/edit?gid=984458430#gid=984458430"", ""'replication success'!A:M""), 12, FAlSE)"),"The present study provides a partial replication of their findings. Specifically, while replicating the direction of the effect, we failed to replicate its size and significance even though the present study had greater power.")</f>
        <v>The present study provides a partial replication of their findings. Specifically, while replicating the direction of the effect, we failed to replicate its size and significance even though the present study had greater power.</v>
      </c>
      <c r="BA1868" s="61" t="str">
        <f>IFERROR(__xludf.DUMMYFUNCTION("vlookup(BB1868,importrange(""https://docs.google.com/spreadsheets/d/1d2vevQ_7D_v35q4wCQ4RpQ_IPoTwEMB9Yp6ymwlPqew/edit?gid=984458430#gid=984458430"", ""'replication success'!A:M""), 13, FAlSE)"),"pg. 5")</f>
        <v>pg. 5</v>
      </c>
      <c r="BB1868" s="61" t="str">
        <f>IFERROR(__xludf.DUMMYFUNCTION("REGEXREPLACE(G1868, ""_[a-z]{1,2}$"", """")"),"osc2015106")</f>
        <v>osc2015106</v>
      </c>
      <c r="BD1868" s="1826" t="s">
        <v>10729</v>
      </c>
    </row>
    <row r="1869">
      <c r="A1869" s="44">
        <v>1869.0</v>
      </c>
      <c r="B1869" s="62" t="s">
        <v>114</v>
      </c>
      <c r="C1869" s="62" t="s">
        <v>115</v>
      </c>
      <c r="D1869" s="62" t="s">
        <v>153</v>
      </c>
      <c r="E1869" s="1826"/>
      <c r="F1869" s="143" t="s">
        <v>10777</v>
      </c>
      <c r="G1869" s="143" t="s">
        <v>10778</v>
      </c>
      <c r="H1869" s="143" t="s">
        <v>153</v>
      </c>
      <c r="I1869" s="1826" t="s">
        <v>10730</v>
      </c>
      <c r="J1869" s="1827">
        <v>45734.0</v>
      </c>
      <c r="K1869" s="143" t="s">
        <v>10792</v>
      </c>
      <c r="L1869" s="143"/>
      <c r="M1869" s="1828" t="s">
        <v>10781</v>
      </c>
      <c r="N1869" s="143" t="s">
        <v>10782</v>
      </c>
      <c r="O1869" s="1829">
        <v>4.0</v>
      </c>
      <c r="P1869" s="1830" t="s">
        <v>10783</v>
      </c>
      <c r="Q1869" s="52" t="str">
        <f t="array" ref="Q1869"> if(iserror(MATCH(V1869, 'File Links'!C:C, 0)), "N/A", HYPERLINK(INDEX('File Links'!B:B, MATCH(P1869, 'File Links'!C:C, 0))))</f>
        <v>https://drive.google.com/file/d/18ezWy7djA945zL8CbFQlhWO8EZS4wwS1/view?usp=drivesdk</v>
      </c>
      <c r="R1869" s="143" t="s">
        <v>10793</v>
      </c>
      <c r="S1869" s="143" t="s">
        <v>10720</v>
      </c>
      <c r="T1869" s="1832" t="s">
        <v>10785</v>
      </c>
      <c r="U1869" s="1844">
        <v>1.0</v>
      </c>
      <c r="V1869" s="198" t="str">
        <f t="shared" si="119"/>
        <v>10.1126--science.aac4716.pdf</v>
      </c>
      <c r="W1869" s="143" t="s">
        <v>164</v>
      </c>
      <c r="X1869" s="54" t="str">
        <f t="array" ref="X1869"> if(iserror(MATCH(V1869, 'File Links'!C:C, 0)), "N/A", HYPERLINK(INDEX('File Links'!B:B, MATCH(V1869, 'File Links'!C:C, 0))))</f>
        <v>https://drive.google.com/file/d/1UMAh9VGta6ExS2-Lb6GkDF4fmnI2EMeM/view?usp=drivesdk</v>
      </c>
      <c r="Z1869" s="143" t="s">
        <v>148</v>
      </c>
      <c r="AA1869" s="143" t="s">
        <v>10794</v>
      </c>
      <c r="AB1869" s="143" t="s">
        <v>10795</v>
      </c>
      <c r="AC1869" s="143" t="s">
        <v>10796</v>
      </c>
      <c r="AD1869" s="143" t="s">
        <v>10797</v>
      </c>
      <c r="AE1869" s="1829">
        <v>5.0</v>
      </c>
      <c r="AF1869" s="1829">
        <v>36.0</v>
      </c>
      <c r="AG1869" s="1829">
        <v>0.82</v>
      </c>
      <c r="AH1869" s="143" t="s">
        <v>173</v>
      </c>
      <c r="AI1869" s="143" t="s">
        <v>813</v>
      </c>
      <c r="AJ1869" s="1837">
        <v>0.05</v>
      </c>
      <c r="AK1869" s="143" t="s">
        <v>135</v>
      </c>
      <c r="AL1869" s="143" t="s">
        <v>136</v>
      </c>
      <c r="AM1869" s="1826" t="s">
        <v>137</v>
      </c>
      <c r="AN1869" s="330" t="s">
        <v>138</v>
      </c>
      <c r="AO1869" s="1829">
        <v>47.0</v>
      </c>
      <c r="AP1869" s="1829">
        <v>0.48</v>
      </c>
      <c r="AQ1869" s="143" t="s">
        <v>173</v>
      </c>
      <c r="AR1869" s="143" t="s">
        <v>813</v>
      </c>
      <c r="AS1869" s="1829">
        <v>0.132</v>
      </c>
      <c r="AT1869" s="143" t="s">
        <v>172</v>
      </c>
      <c r="AU1869" s="143" t="s">
        <v>136</v>
      </c>
      <c r="AV1869" s="1826" t="s">
        <v>137</v>
      </c>
      <c r="AW1869" s="1836" t="s">
        <v>10798</v>
      </c>
      <c r="AX1869" s="1826" t="s">
        <v>143</v>
      </c>
      <c r="AY1869" s="61" t="str">
        <f>IFERROR(__xludf.DUMMYFUNCTION("vlookup(BB1869,importrange(""https://docs.google.com/spreadsheets/d/1d2vevQ_7D_v35q4wCQ4RpQ_IPoTwEMB9Yp6ymwlPqew/edit?gid=984458430#gid=984458430"", ""'replication success'!A:K""), 11, FAlSE)"),"failed")</f>
        <v>failed</v>
      </c>
      <c r="AZ1869" s="61" t="str">
        <f>IFERROR(__xludf.DUMMYFUNCTION("vlookup(BB1869,importrange(""https://docs.google.com/spreadsheets/d/1d2vevQ_7D_v35q4wCQ4RpQ_IPoTwEMB9Yp6ymwlPqew/edit?gid=984458430#gid=984458430"", ""'replication success'!A:M""), 12, FAlSE)"),"The present study provides a partial replication of their findings. Specifically, while replicating the direction of the effect, we failed to replicate its size and significance even though the present study had greater power.")</f>
        <v>The present study provides a partial replication of their findings. Specifically, while replicating the direction of the effect, we failed to replicate its size and significance even though the present study had greater power.</v>
      </c>
      <c r="BA1869" s="61" t="str">
        <f>IFERROR(__xludf.DUMMYFUNCTION("vlookup(BB1869,importrange(""https://docs.google.com/spreadsheets/d/1d2vevQ_7D_v35q4wCQ4RpQ_IPoTwEMB9Yp6ymwlPqew/edit?gid=984458430#gid=984458430"", ""'replication success'!A:M""), 13, FAlSE)"),"pg. 5")</f>
        <v>pg. 5</v>
      </c>
      <c r="BB1869" s="61" t="str">
        <f>IFERROR(__xludf.DUMMYFUNCTION("REGEXREPLACE(G1869, ""_[a-z]{1,2}$"", """")"),"osc2015106")</f>
        <v>osc2015106</v>
      </c>
      <c r="BD1869" s="1826" t="s">
        <v>10729</v>
      </c>
    </row>
    <row r="1870">
      <c r="A1870" s="44">
        <v>1870.0</v>
      </c>
      <c r="B1870" s="129" t="s">
        <v>152</v>
      </c>
      <c r="C1870" s="62" t="s">
        <v>115</v>
      </c>
      <c r="D1870" s="62" t="s">
        <v>1270</v>
      </c>
      <c r="E1870" s="1826"/>
      <c r="F1870" s="143" t="s">
        <v>10799</v>
      </c>
      <c r="G1870" s="143" t="s">
        <v>10800</v>
      </c>
      <c r="H1870" s="143" t="s">
        <v>10801</v>
      </c>
      <c r="I1870" s="1837" t="s">
        <v>10739</v>
      </c>
      <c r="J1870" s="1827">
        <v>45734.0</v>
      </c>
      <c r="K1870" s="1826" t="s">
        <v>10802</v>
      </c>
      <c r="L1870" s="1826" t="s">
        <v>10803</v>
      </c>
      <c r="M1870" s="1840" t="s">
        <v>10804</v>
      </c>
      <c r="N1870" s="143" t="s">
        <v>10805</v>
      </c>
      <c r="O1870" s="1837">
        <v>2.0</v>
      </c>
      <c r="P1870" s="1841" t="s">
        <v>10806</v>
      </c>
      <c r="Q1870" s="52" t="str">
        <f t="array" ref="Q1870"> if(iserror(MATCH(V1870, 'File Links'!C:C, 0)), "N/A", HYPERLINK(INDEX('File Links'!B:B, MATCH(P1870, 'File Links'!C:C, 0))))</f>
        <v>https://drive.google.com/file/d/1ytNNieBfW6njVZa_pFpdio4LUZmKmvXl/view?usp=drivesdk</v>
      </c>
      <c r="R1870" s="143" t="s">
        <v>10807</v>
      </c>
      <c r="S1870" s="143" t="s">
        <v>10720</v>
      </c>
      <c r="T1870" s="1832" t="s">
        <v>10808</v>
      </c>
      <c r="U1870" s="1837">
        <v>1.0</v>
      </c>
      <c r="V1870" s="198" t="str">
        <f t="shared" si="119"/>
        <v>10.1126--science.aac4716.pdf</v>
      </c>
      <c r="W1870" s="143" t="s">
        <v>164</v>
      </c>
      <c r="X1870" s="54" t="str">
        <f t="array" ref="X1870"> if(iserror(MATCH(V1870, 'File Links'!C:C, 0)), "N/A", HYPERLINK(INDEX('File Links'!B:B, MATCH(V1870, 'File Links'!C:C, 0))))</f>
        <v>https://drive.google.com/file/d/1UMAh9VGta6ExS2-Lb6GkDF4fmnI2EMeM/view?usp=drivesdk</v>
      </c>
      <c r="Z1870" s="143" t="s">
        <v>226</v>
      </c>
      <c r="AA1870" s="143" t="s">
        <v>10809</v>
      </c>
      <c r="AB1870" s="1826" t="s">
        <v>10810</v>
      </c>
      <c r="AC1870" s="1826" t="s">
        <v>10811</v>
      </c>
      <c r="AD1870" s="143" t="s">
        <v>10812</v>
      </c>
      <c r="AE1870" s="1837">
        <v>5.0</v>
      </c>
      <c r="AF1870" s="1837">
        <v>86.0</v>
      </c>
      <c r="AG1870" s="1837">
        <v>0.45</v>
      </c>
      <c r="AH1870" s="143" t="s">
        <v>173</v>
      </c>
      <c r="AI1870" s="1826" t="s">
        <v>10813</v>
      </c>
      <c r="AJ1870" s="1837" t="s">
        <v>138</v>
      </c>
      <c r="AK1870" s="1826" t="s">
        <v>138</v>
      </c>
      <c r="AL1870" s="1826" t="s">
        <v>186</v>
      </c>
      <c r="AM1870" s="1826" t="s">
        <v>137</v>
      </c>
      <c r="AN1870" s="330" t="s">
        <v>138</v>
      </c>
      <c r="AO1870" s="1837">
        <v>158.0</v>
      </c>
      <c r="AP1870" s="1837">
        <v>-0.21</v>
      </c>
      <c r="AQ1870" s="1826" t="s">
        <v>173</v>
      </c>
      <c r="AR1870" s="1826" t="s">
        <v>10814</v>
      </c>
      <c r="AS1870" s="1837">
        <v>0.189</v>
      </c>
      <c r="AT1870" s="1826" t="s">
        <v>172</v>
      </c>
      <c r="AU1870" s="1826" t="s">
        <v>136</v>
      </c>
      <c r="AV1870" s="1826" t="s">
        <v>137</v>
      </c>
      <c r="AW1870" s="1836" t="s">
        <v>10815</v>
      </c>
      <c r="AX1870" s="1826" t="s">
        <v>143</v>
      </c>
      <c r="AY1870" s="61" t="str">
        <f>IFERROR(__xludf.DUMMYFUNCTION("vlookup(BB1870,importrange(""https://docs.google.com/spreadsheets/d/1d2vevQ_7D_v35q4wCQ4RpQ_IPoTwEMB9Yp6ymwlPqew/edit?gid=984458430#gid=984458430"", ""'replication success'!A:K""), 11, FAlSE)"),"failed")</f>
        <v>failed</v>
      </c>
      <c r="AZ1870" s="61" t="str">
        <f>IFERROR(__xludf.DUMMYFUNCTION("vlookup(BB1870,importrange(""https://docs.google.com/spreadsheets/d/1d2vevQ_7D_v35q4wCQ4RpQ_IPoTwEMB9Yp6ymwlPqew/edit?gid=984458430#gid=984458430"", ""'replication success'!A:M""), 12, FAlSE)"),"In fact, the direction of the non-significant effect found was opposite to that of the original study. 
Thus, the present study failed to replicate the original result. ")</f>
        <v>In fact, the direction of the non-significant effect found was opposite to that of the original study. 
Thus, the present study failed to replicate the original result. </v>
      </c>
      <c r="BA1870" s="61" t="str">
        <f>IFERROR(__xludf.DUMMYFUNCTION("vlookup(BB1870,importrange(""https://docs.google.com/spreadsheets/d/1d2vevQ_7D_v35q4wCQ4RpQ_IPoTwEMB9Yp6ymwlPqew/edit?gid=984458430#gid=984458430"", ""'replication success'!A:M""), 13, FAlSE)"),"pg. 17")</f>
        <v>pg. 17</v>
      </c>
      <c r="BB1870" s="61" t="str">
        <f>IFERROR(__xludf.DUMMYFUNCTION("REGEXREPLACE(G1870, ""_[a-z]{1,2}$"", """")"),"osc2015107")</f>
        <v>osc2015107</v>
      </c>
      <c r="BD1870" s="1826" t="s">
        <v>10729</v>
      </c>
    </row>
    <row r="1871">
      <c r="A1871" s="44">
        <v>1871.0</v>
      </c>
      <c r="B1871" s="62" t="s">
        <v>114</v>
      </c>
      <c r="C1871" s="62" t="s">
        <v>115</v>
      </c>
      <c r="D1871" s="62" t="s">
        <v>153</v>
      </c>
      <c r="E1871" s="1826"/>
      <c r="F1871" s="143" t="s">
        <v>10799</v>
      </c>
      <c r="G1871" s="143" t="s">
        <v>10800</v>
      </c>
      <c r="H1871" s="143" t="s">
        <v>153</v>
      </c>
      <c r="I1871" s="1826" t="s">
        <v>10730</v>
      </c>
      <c r="J1871" s="1827">
        <v>45734.0</v>
      </c>
      <c r="K1871" s="1826" t="s">
        <v>10816</v>
      </c>
      <c r="L1871" s="1826"/>
      <c r="M1871" s="1828" t="s">
        <v>10804</v>
      </c>
      <c r="N1871" s="143" t="s">
        <v>10805</v>
      </c>
      <c r="O1871" s="1829">
        <v>2.0</v>
      </c>
      <c r="P1871" s="1830" t="s">
        <v>10806</v>
      </c>
      <c r="Q1871" s="52" t="str">
        <f t="array" ref="Q1871"> if(iserror(MATCH(V1871, 'File Links'!C:C, 0)), "N/A", HYPERLINK(INDEX('File Links'!B:B, MATCH(P1871, 'File Links'!C:C, 0))))</f>
        <v>https://drive.google.com/file/d/1ytNNieBfW6njVZa_pFpdio4LUZmKmvXl/view?usp=drivesdk</v>
      </c>
      <c r="R1871" s="143" t="s">
        <v>10807</v>
      </c>
      <c r="S1871" s="143" t="s">
        <v>10720</v>
      </c>
      <c r="T1871" s="1832" t="s">
        <v>10808</v>
      </c>
      <c r="U1871" s="1837">
        <v>1.0</v>
      </c>
      <c r="V1871" s="198" t="str">
        <f t="shared" si="119"/>
        <v>10.1126--science.aac4716.pdf</v>
      </c>
      <c r="W1871" s="143" t="s">
        <v>164</v>
      </c>
      <c r="X1871" s="54" t="str">
        <f t="array" ref="X1871"> if(iserror(MATCH(V1871, 'File Links'!C:C, 0)), "N/A", HYPERLINK(INDEX('File Links'!B:B, MATCH(V1871, 'File Links'!C:C, 0))))</f>
        <v>https://drive.google.com/file/d/1UMAh9VGta6ExS2-Lb6GkDF4fmnI2EMeM/view?usp=drivesdk</v>
      </c>
      <c r="Z1871" s="143" t="s">
        <v>226</v>
      </c>
      <c r="AA1871" s="143" t="s">
        <v>10817</v>
      </c>
      <c r="AB1871" s="143" t="s">
        <v>10818</v>
      </c>
      <c r="AC1871" s="143" t="s">
        <v>10819</v>
      </c>
      <c r="AD1871" s="143" t="s">
        <v>10820</v>
      </c>
      <c r="AE1871" s="1829">
        <v>5.0</v>
      </c>
      <c r="AF1871" s="1829">
        <v>86.0</v>
      </c>
      <c r="AG1871" s="1829">
        <v>0.45</v>
      </c>
      <c r="AH1871" s="143" t="s">
        <v>173</v>
      </c>
      <c r="AI1871" s="1843" t="s">
        <v>813</v>
      </c>
      <c r="AJ1871" s="1829" t="s">
        <v>138</v>
      </c>
      <c r="AK1871" s="1845" t="s">
        <v>138</v>
      </c>
      <c r="AL1871" s="1845" t="s">
        <v>186</v>
      </c>
      <c r="AM1871" s="1826" t="s">
        <v>137</v>
      </c>
      <c r="AN1871" s="330" t="s">
        <v>138</v>
      </c>
      <c r="AO1871" s="1837">
        <v>158.0</v>
      </c>
      <c r="AP1871" s="1837">
        <v>-0.21</v>
      </c>
      <c r="AQ1871" s="143" t="s">
        <v>173</v>
      </c>
      <c r="AR1871" s="143" t="s">
        <v>627</v>
      </c>
      <c r="AS1871" s="1829">
        <v>0.189</v>
      </c>
      <c r="AT1871" s="143" t="s">
        <v>172</v>
      </c>
      <c r="AU1871" s="143" t="s">
        <v>136</v>
      </c>
      <c r="AV1871" s="1826" t="s">
        <v>137</v>
      </c>
      <c r="AW1871" s="1836" t="s">
        <v>10821</v>
      </c>
      <c r="AX1871" s="1845" t="s">
        <v>143</v>
      </c>
      <c r="AY1871" s="61" t="str">
        <f>IFERROR(__xludf.DUMMYFUNCTION("vlookup(BB1871,importrange(""https://docs.google.com/spreadsheets/d/1d2vevQ_7D_v35q4wCQ4RpQ_IPoTwEMB9Yp6ymwlPqew/edit?gid=984458430#gid=984458430"", ""'replication success'!A:K""), 11, FAlSE)"),"failed")</f>
        <v>failed</v>
      </c>
      <c r="AZ1871" s="61" t="str">
        <f>IFERROR(__xludf.DUMMYFUNCTION("vlookup(BB1871,importrange(""https://docs.google.com/spreadsheets/d/1d2vevQ_7D_v35q4wCQ4RpQ_IPoTwEMB9Yp6ymwlPqew/edit?gid=984458430#gid=984458430"", ""'replication success'!A:M""), 12, FAlSE)"),"In fact, the direction of the non-significant effect found was opposite to that of the original study. 
Thus, the present study failed to replicate the original result. ")</f>
        <v>In fact, the direction of the non-significant effect found was opposite to that of the original study. 
Thus, the present study failed to replicate the original result. </v>
      </c>
      <c r="BA1871" s="61" t="str">
        <f>IFERROR(__xludf.DUMMYFUNCTION("vlookup(BB1871,importrange(""https://docs.google.com/spreadsheets/d/1d2vevQ_7D_v35q4wCQ4RpQ_IPoTwEMB9Yp6ymwlPqew/edit?gid=984458430#gid=984458430"", ""'replication success'!A:M""), 13, FAlSE)"),"pg. 17")</f>
        <v>pg. 17</v>
      </c>
      <c r="BB1871" s="61" t="str">
        <f>IFERROR(__xludf.DUMMYFUNCTION("REGEXREPLACE(G1871, ""_[a-z]{1,2}$"", """")"),"osc2015107")</f>
        <v>osc2015107</v>
      </c>
      <c r="BD1871" s="1826" t="s">
        <v>10729</v>
      </c>
    </row>
    <row r="1872">
      <c r="A1872" s="44">
        <v>1872.0</v>
      </c>
      <c r="B1872" s="62" t="s">
        <v>114</v>
      </c>
      <c r="C1872" s="62" t="s">
        <v>115</v>
      </c>
      <c r="D1872" s="62" t="s">
        <v>1270</v>
      </c>
      <c r="E1872" s="1826"/>
      <c r="F1872" s="143" t="s">
        <v>10822</v>
      </c>
      <c r="G1872" s="143" t="s">
        <v>10823</v>
      </c>
      <c r="H1872" s="143" t="s">
        <v>5024</v>
      </c>
      <c r="I1872" s="1837" t="s">
        <v>10739</v>
      </c>
      <c r="J1872" s="1827">
        <v>45734.0</v>
      </c>
      <c r="K1872" s="143" t="s">
        <v>10824</v>
      </c>
      <c r="L1872" s="143" t="s">
        <v>10824</v>
      </c>
      <c r="M1872" s="1840" t="s">
        <v>10825</v>
      </c>
      <c r="N1872" s="143" t="s">
        <v>10826</v>
      </c>
      <c r="P1872" s="1841" t="s">
        <v>10827</v>
      </c>
      <c r="Q1872" s="52" t="str">
        <f t="array" ref="Q1872"> if(iserror(MATCH(V1872, 'File Links'!C:C, 0)), "N/A", HYPERLINK(INDEX('File Links'!B:B, MATCH(P1872, 'File Links'!C:C, 0))))</f>
        <v>https://drive.google.com/file/d/1GJ1TkFgZk1zziaW-LwEzlbPoGlAfjX81/view?usp=drivesdk</v>
      </c>
      <c r="R1872" s="1839"/>
      <c r="S1872" s="143" t="s">
        <v>10720</v>
      </c>
      <c r="T1872" s="1838"/>
      <c r="U1872" s="1846"/>
      <c r="V1872" s="198" t="str">
        <f t="shared" si="119"/>
        <v>10.1126--science.aac4716.pdf</v>
      </c>
      <c r="W1872" s="1839"/>
      <c r="X1872" s="54" t="str">
        <f t="array" ref="X1872"> if(iserror(MATCH(V1872, 'File Links'!C:C, 0)), "N/A", HYPERLINK(INDEX('File Links'!B:B, MATCH(V1872, 'File Links'!C:C, 0))))</f>
        <v>https://drive.google.com/file/d/1UMAh9VGta6ExS2-Lb6GkDF4fmnI2EMeM/view?usp=drivesdk</v>
      </c>
      <c r="Z1872" s="1826"/>
      <c r="AA1872" s="1839"/>
      <c r="AB1872" s="143" t="s">
        <v>10828</v>
      </c>
      <c r="AC1872" s="1847" t="s">
        <v>10829</v>
      </c>
      <c r="AD1872" s="1848"/>
      <c r="AE1872" s="1847"/>
      <c r="AF1872" s="1829">
        <v>20.0</v>
      </c>
      <c r="AG1872" s="1839"/>
      <c r="AH1872" s="1839"/>
      <c r="AI1872" s="1839"/>
      <c r="AJ1872" s="1849"/>
      <c r="AK1872" s="1850"/>
      <c r="AL1872" s="1850"/>
      <c r="AM1872" s="1851"/>
      <c r="AN1872" s="330" t="s">
        <v>138</v>
      </c>
      <c r="AO1872" s="1839"/>
      <c r="AP1872" s="1839"/>
      <c r="AQ1872" s="1839"/>
      <c r="AR1872" s="1839"/>
      <c r="AS1872" s="1839"/>
      <c r="AT1872" s="1839"/>
      <c r="AU1872" s="1839"/>
      <c r="AV1872" s="1851"/>
      <c r="AW1872" s="1846"/>
      <c r="AX1872" s="1851"/>
      <c r="AY1872" s="61" t="str">
        <f>IFERROR(__xludf.DUMMYFUNCTION("vlookup(BB1872,importrange(""https://docs.google.com/spreadsheets/d/1d2vevQ_7D_v35q4wCQ4RpQ_IPoTwEMB9Yp6ymwlPqew/edit?gid=984458430#gid=984458430"", ""'replication success'!A:K""), 11, FAlSE)"),"#N/A")</f>
        <v>#N/A</v>
      </c>
      <c r="AZ1872" s="61" t="str">
        <f>IFERROR(__xludf.DUMMYFUNCTION("vlookup(BB1872,importrange(""https://docs.google.com/spreadsheets/d/1d2vevQ_7D_v35q4wCQ4RpQ_IPoTwEMB9Yp6ymwlPqew/edit?gid=984458430#gid=984458430"", ""'replication success'!A:M""), 12, FAlSE)"),"#N/A")</f>
        <v>#N/A</v>
      </c>
      <c r="BA1872" s="61" t="str">
        <f>IFERROR(__xludf.DUMMYFUNCTION("vlookup(BB1872,importrange(""https://docs.google.com/spreadsheets/d/1d2vevQ_7D_v35q4wCQ4RpQ_IPoTwEMB9Yp6ymwlPqew/edit?gid=984458430#gid=984458430"", ""'replication success'!A:M""), 13, FAlSE)"),"#N/A")</f>
        <v>#N/A</v>
      </c>
      <c r="BB1872" s="61" t="str">
        <f>IFERROR(__xludf.DUMMYFUNCTION("REGEXREPLACE(G1872, ""_[a-z]{1,2}$"", """")"),"osc2015109")</f>
        <v>osc2015109</v>
      </c>
      <c r="BD1872" s="1826" t="s">
        <v>10729</v>
      </c>
    </row>
    <row r="1873">
      <c r="A1873" s="44">
        <v>1873.0</v>
      </c>
      <c r="B1873" s="129" t="s">
        <v>114</v>
      </c>
      <c r="C1873" s="62" t="s">
        <v>115</v>
      </c>
      <c r="D1873" s="62" t="s">
        <v>153</v>
      </c>
      <c r="E1873" s="1826"/>
      <c r="F1873" s="143" t="s">
        <v>10822</v>
      </c>
      <c r="G1873" s="143" t="s">
        <v>10823</v>
      </c>
      <c r="H1873" s="143" t="s">
        <v>153</v>
      </c>
      <c r="I1873" s="1826" t="s">
        <v>10730</v>
      </c>
      <c r="J1873" s="1827">
        <v>45734.0</v>
      </c>
      <c r="K1873" s="143" t="s">
        <v>10830</v>
      </c>
      <c r="L1873" s="143" t="s">
        <v>10824</v>
      </c>
      <c r="M1873" s="1828" t="s">
        <v>10825</v>
      </c>
      <c r="N1873" s="143" t="s">
        <v>10826</v>
      </c>
      <c r="P1873" s="1830" t="s">
        <v>10827</v>
      </c>
      <c r="Q1873" s="52" t="str">
        <f t="array" ref="Q1873"> if(iserror(MATCH(V1873, 'File Links'!C:C, 0)), "N/A", HYPERLINK(INDEX('File Links'!B:B, MATCH(P1873, 'File Links'!C:C, 0))))</f>
        <v>https://drive.google.com/file/d/1GJ1TkFgZk1zziaW-LwEzlbPoGlAfjX81/view?usp=drivesdk</v>
      </c>
      <c r="R1873" s="1839"/>
      <c r="S1873" s="143" t="s">
        <v>10720</v>
      </c>
      <c r="T1873" s="1838"/>
      <c r="U1873" s="1846"/>
      <c r="V1873" s="198" t="str">
        <f t="shared" si="119"/>
        <v>10.1126--science.aac4716.pdf</v>
      </c>
      <c r="W1873" s="1852"/>
      <c r="X1873" s="54" t="str">
        <f t="array" ref="X1873"> if(iserror(MATCH(V1873, 'File Links'!C:C, 0)), "N/A", HYPERLINK(INDEX('File Links'!B:B, MATCH(V1873, 'File Links'!C:C, 0))))</f>
        <v>https://drive.google.com/file/d/1UMAh9VGta6ExS2-Lb6GkDF4fmnI2EMeM/view?usp=drivesdk</v>
      </c>
      <c r="Z1873" s="1826"/>
      <c r="AA1873" s="1826"/>
      <c r="AB1873" s="1839"/>
      <c r="AC1873" s="1839"/>
      <c r="AD1873" s="1839"/>
      <c r="AE1873" s="1839"/>
      <c r="AF1873" s="1839"/>
      <c r="AG1873" s="1839"/>
      <c r="AH1873" s="1839"/>
      <c r="AI1873" s="1839"/>
      <c r="AJ1873" s="1849"/>
      <c r="AK1873" s="1850"/>
      <c r="AL1873" s="1850"/>
      <c r="AM1873" s="1851"/>
      <c r="AN1873" s="330" t="s">
        <v>138</v>
      </c>
      <c r="AO1873" s="1839"/>
      <c r="AP1873" s="1839"/>
      <c r="AQ1873" s="1839"/>
      <c r="AR1873" s="1839"/>
      <c r="AS1873" s="1839"/>
      <c r="AT1873" s="1839"/>
      <c r="AU1873" s="1839"/>
      <c r="AV1873" s="1851"/>
      <c r="AW1873" s="1846"/>
      <c r="AX1873" s="1851"/>
      <c r="AY1873" s="61" t="str">
        <f>IFERROR(__xludf.DUMMYFUNCTION("vlookup(BB1873,importrange(""https://docs.google.com/spreadsheets/d/1d2vevQ_7D_v35q4wCQ4RpQ_IPoTwEMB9Yp6ymwlPqew/edit?gid=984458430#gid=984458430"", ""'replication success'!A:K""), 11, FAlSE)"),"#N/A")</f>
        <v>#N/A</v>
      </c>
      <c r="AZ1873" s="61" t="str">
        <f>IFERROR(__xludf.DUMMYFUNCTION("vlookup(BB1873,importrange(""https://docs.google.com/spreadsheets/d/1d2vevQ_7D_v35q4wCQ4RpQ_IPoTwEMB9Yp6ymwlPqew/edit?gid=984458430#gid=984458430"", ""'replication success'!A:M""), 12, FAlSE)"),"#N/A")</f>
        <v>#N/A</v>
      </c>
      <c r="BA1873" s="61" t="str">
        <f>IFERROR(__xludf.DUMMYFUNCTION("vlookup(BB1873,importrange(""https://docs.google.com/spreadsheets/d/1d2vevQ_7D_v35q4wCQ4RpQ_IPoTwEMB9Yp6ymwlPqew/edit?gid=984458430#gid=984458430"", ""'replication success'!A:M""), 13, FAlSE)"),"#N/A")</f>
        <v>#N/A</v>
      </c>
      <c r="BB1873" s="61" t="str">
        <f>IFERROR(__xludf.DUMMYFUNCTION("REGEXREPLACE(G1873, ""_[a-z]{1,2}$"", """")"),"osc2015109")</f>
        <v>osc2015109</v>
      </c>
      <c r="BD1873" s="1826" t="s">
        <v>10729</v>
      </c>
    </row>
    <row r="1874">
      <c r="A1874" s="44">
        <v>1874.0</v>
      </c>
      <c r="B1874" s="62" t="s">
        <v>152</v>
      </c>
      <c r="C1874" s="62" t="s">
        <v>115</v>
      </c>
      <c r="D1874" s="62" t="s">
        <v>1270</v>
      </c>
      <c r="E1874" s="1826"/>
      <c r="F1874" s="143" t="s">
        <v>10831</v>
      </c>
      <c r="G1874" s="143" t="s">
        <v>10832</v>
      </c>
      <c r="H1874" s="143" t="s">
        <v>10833</v>
      </c>
      <c r="I1874" s="1837" t="s">
        <v>10739</v>
      </c>
      <c r="J1874" s="1827">
        <v>45734.0</v>
      </c>
      <c r="K1874" s="1839"/>
      <c r="L1874" s="143" t="s">
        <v>10834</v>
      </c>
      <c r="M1874" s="1840" t="s">
        <v>10835</v>
      </c>
      <c r="N1874" s="143" t="s">
        <v>10836</v>
      </c>
      <c r="O1874" s="1829">
        <v>2.0</v>
      </c>
      <c r="P1874" s="1841" t="s">
        <v>10837</v>
      </c>
      <c r="Q1874" s="52" t="str">
        <f t="array" ref="Q1874"> if(iserror(MATCH(V1874, 'File Links'!C:C, 0)), "N/A", HYPERLINK(INDEX('File Links'!B:B, MATCH(P1874, 'File Links'!C:C, 0))))</f>
        <v>https://drive.google.com/file/d/15z0y7asIfplDps5d3R71GhEJxQWqBU9w/view?usp=drivesdk</v>
      </c>
      <c r="R1874" s="143" t="s">
        <v>10838</v>
      </c>
      <c r="S1874" s="143" t="s">
        <v>10720</v>
      </c>
      <c r="T1874" s="1832" t="s">
        <v>10839</v>
      </c>
      <c r="U1874" s="1842">
        <v>1.0</v>
      </c>
      <c r="V1874" s="198" t="str">
        <f t="shared" si="119"/>
        <v>10.1126--science.aac4716.pdf</v>
      </c>
      <c r="W1874" s="143" t="s">
        <v>164</v>
      </c>
      <c r="X1874" s="54" t="str">
        <f t="array" ref="X1874"> if(iserror(MATCH(V1874, 'File Links'!C:C, 0)), "N/A", HYPERLINK(INDEX('File Links'!B:B, MATCH(V1874, 'File Links'!C:C, 0))))</f>
        <v>https://drive.google.com/file/d/1UMAh9VGta6ExS2-Lb6GkDF4fmnI2EMeM/view?usp=drivesdk</v>
      </c>
      <c r="Z1874" s="143" t="s">
        <v>148</v>
      </c>
      <c r="AA1874" s="143" t="s">
        <v>10840</v>
      </c>
      <c r="AB1874" s="143" t="s">
        <v>10841</v>
      </c>
      <c r="AC1874" s="143" t="s">
        <v>10842</v>
      </c>
      <c r="AD1874" s="143" t="s">
        <v>10843</v>
      </c>
      <c r="AE1874" s="1829">
        <v>9.0</v>
      </c>
      <c r="AF1874" s="1829">
        <v>22.0</v>
      </c>
      <c r="AG1874" s="143">
        <v>0.45</v>
      </c>
      <c r="AH1874" s="1834" t="s">
        <v>874</v>
      </c>
      <c r="AI1874" s="143" t="s">
        <v>10844</v>
      </c>
      <c r="AJ1874" s="1835">
        <v>0.001</v>
      </c>
      <c r="AK1874" s="143" t="s">
        <v>135</v>
      </c>
      <c r="AL1874" s="143" t="s">
        <v>186</v>
      </c>
      <c r="AM1874" s="1826" t="s">
        <v>141</v>
      </c>
      <c r="AN1874" s="330" t="s">
        <v>138</v>
      </c>
      <c r="AO1874" s="1829">
        <v>30.0</v>
      </c>
      <c r="AP1874" s="143">
        <v>0.218</v>
      </c>
      <c r="AQ1874" s="143" t="s">
        <v>874</v>
      </c>
      <c r="AR1874" s="143" t="s">
        <v>10845</v>
      </c>
      <c r="AS1874" s="1829">
        <v>0.008</v>
      </c>
      <c r="AT1874" s="143" t="s">
        <v>172</v>
      </c>
      <c r="AU1874" s="143" t="s">
        <v>186</v>
      </c>
      <c r="AV1874" s="1826" t="s">
        <v>141</v>
      </c>
      <c r="AW1874" s="1836" t="s">
        <v>10846</v>
      </c>
      <c r="AX1874" s="1826" t="s">
        <v>143</v>
      </c>
      <c r="AY1874" s="61" t="str">
        <f>IFERROR(__xludf.DUMMYFUNCTION("vlookup(BB1874,importrange(""https://docs.google.com/spreadsheets/d/1d2vevQ_7D_v35q4wCQ4RpQ_IPoTwEMB9Yp6ymwlPqew/edit?gid=984458430#gid=984458430"", ""'replication success'!A:K""), 11, FAlSE)"),"mixed")</f>
        <v>mixed</v>
      </c>
      <c r="AZ1874" s="61" t="str">
        <f>IFERROR(__xludf.DUMMYFUNCTION("vlookup(BB1874,importrange(""https://docs.google.com/spreadsheets/d/1d2vevQ_7D_v35q4wCQ4RpQ_IPoTwEMB9Yp6ymwlPqew/edit?gid=984458430#gid=984458430"", ""'replication success'!A:M""), 12, FAlSE)"),"The present findings indicate a successful replication attempt in terms of statistical significance. Specifically, a statistically “significant” (i.e., p &lt; .01) effect of nearnessin the predicted direction was found in our replication study, replicating w"&amp;"hat was observed in the original study. However, the observed effect size in our replication (partialη2= .22) was smaller than the effect size observed inthe original study(partial η2= .45).")</f>
        <v>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v>
      </c>
      <c r="BA1874" s="61" t="str">
        <f>IFERROR(__xludf.DUMMYFUNCTION("vlookup(BB1874,importrange(""https://docs.google.com/spreadsheets/d/1d2vevQ_7D_v35q4wCQ4RpQ_IPoTwEMB9Yp6ymwlPqew/edit?gid=984458430#gid=984458430"", ""'replication success'!A:M""), 13, FAlSE)"),"abstract")</f>
        <v>abstract</v>
      </c>
      <c r="BB1874" s="61" t="str">
        <f>IFERROR(__xludf.DUMMYFUNCTION("REGEXREPLACE(G1874, ""_[a-z]{1,2}$"", """")"),"osc201511")</f>
        <v>osc201511</v>
      </c>
      <c r="BD1874" s="1826" t="s">
        <v>10729</v>
      </c>
    </row>
    <row r="1875">
      <c r="A1875" s="44">
        <v>1875.0</v>
      </c>
      <c r="B1875" s="62" t="s">
        <v>114</v>
      </c>
      <c r="C1875" s="62" t="s">
        <v>115</v>
      </c>
      <c r="D1875" s="62" t="s">
        <v>153</v>
      </c>
      <c r="E1875" s="1826"/>
      <c r="F1875" s="143" t="s">
        <v>10831</v>
      </c>
      <c r="G1875" s="143" t="s">
        <v>10832</v>
      </c>
      <c r="H1875" s="143" t="s">
        <v>10847</v>
      </c>
      <c r="I1875" s="1837" t="s">
        <v>10739</v>
      </c>
      <c r="J1875" s="1827">
        <v>45734.0</v>
      </c>
      <c r="K1875" s="143" t="s">
        <v>10848</v>
      </c>
      <c r="L1875" s="143"/>
      <c r="M1875" s="1828" t="s">
        <v>10835</v>
      </c>
      <c r="N1875" s="143" t="s">
        <v>10836</v>
      </c>
      <c r="O1875" s="1829">
        <v>2.0</v>
      </c>
      <c r="P1875" s="1830" t="s">
        <v>10837</v>
      </c>
      <c r="Q1875" s="52" t="str">
        <f t="array" ref="Q1875"> if(iserror(MATCH(V1875, 'File Links'!C:C, 0)), "N/A", HYPERLINK(INDEX('File Links'!B:B, MATCH(P1875, 'File Links'!C:C, 0))))</f>
        <v>https://drive.google.com/file/d/15z0y7asIfplDps5d3R71GhEJxQWqBU9w/view?usp=drivesdk</v>
      </c>
      <c r="R1875" s="143" t="s">
        <v>10838</v>
      </c>
      <c r="S1875" s="143" t="s">
        <v>10720</v>
      </c>
      <c r="T1875" s="1832" t="s">
        <v>10839</v>
      </c>
      <c r="U1875" s="1837">
        <v>1.0</v>
      </c>
      <c r="V1875" s="198" t="str">
        <f t="shared" si="119"/>
        <v>10.1126--science.aac4716.pdf</v>
      </c>
      <c r="W1875" s="143" t="s">
        <v>164</v>
      </c>
      <c r="X1875" s="54" t="str">
        <f t="array" ref="X1875"> if(iserror(MATCH(V1875, 'File Links'!C:C, 0)), "N/A", HYPERLINK(INDEX('File Links'!B:B, MATCH(V1875, 'File Links'!C:C, 0))))</f>
        <v>https://drive.google.com/file/d/1UMAh9VGta6ExS2-Lb6GkDF4fmnI2EMeM/view?usp=drivesdk</v>
      </c>
      <c r="Z1875" s="143" t="s">
        <v>148</v>
      </c>
      <c r="AA1875" s="143" t="s">
        <v>10849</v>
      </c>
      <c r="AB1875" s="143" t="s">
        <v>10850</v>
      </c>
      <c r="AC1875" s="143" t="s">
        <v>10842</v>
      </c>
      <c r="AD1875" s="143" t="s">
        <v>10851</v>
      </c>
      <c r="AE1875" s="1829">
        <v>9.0</v>
      </c>
      <c r="AF1875" s="1829">
        <v>22.0</v>
      </c>
      <c r="AG1875" s="1829">
        <v>0.45</v>
      </c>
      <c r="AH1875" s="1853" t="s">
        <v>139</v>
      </c>
      <c r="AI1875" s="143" t="s">
        <v>628</v>
      </c>
      <c r="AJ1875" s="1837">
        <v>0.001</v>
      </c>
      <c r="AK1875" s="143" t="s">
        <v>135</v>
      </c>
      <c r="AL1875" s="143" t="s">
        <v>186</v>
      </c>
      <c r="AM1875" s="1826" t="s">
        <v>137</v>
      </c>
      <c r="AN1875" s="330" t="s">
        <v>138</v>
      </c>
      <c r="AO1875" s="1829">
        <v>30.0</v>
      </c>
      <c r="AP1875" s="1829">
        <v>0.218</v>
      </c>
      <c r="AQ1875" s="1853" t="s">
        <v>139</v>
      </c>
      <c r="AR1875" s="143" t="s">
        <v>850</v>
      </c>
      <c r="AS1875" s="1829">
        <v>0.008</v>
      </c>
      <c r="AT1875" s="143" t="s">
        <v>172</v>
      </c>
      <c r="AU1875" s="143" t="s">
        <v>186</v>
      </c>
      <c r="AV1875" s="1826" t="s">
        <v>137</v>
      </c>
      <c r="AW1875" s="1836" t="s">
        <v>10852</v>
      </c>
      <c r="AX1875" s="1826" t="s">
        <v>143</v>
      </c>
      <c r="AY1875" s="61" t="str">
        <f>IFERROR(__xludf.DUMMYFUNCTION("vlookup(BB1875,importrange(""https://docs.google.com/spreadsheets/d/1d2vevQ_7D_v35q4wCQ4RpQ_IPoTwEMB9Yp6ymwlPqew/edit?gid=984458430#gid=984458430"", ""'replication success'!A:K""), 11, FAlSE)"),"mixed")</f>
        <v>mixed</v>
      </c>
      <c r="AZ1875" s="61" t="str">
        <f>IFERROR(__xludf.DUMMYFUNCTION("vlookup(BB1875,importrange(""https://docs.google.com/spreadsheets/d/1d2vevQ_7D_v35q4wCQ4RpQ_IPoTwEMB9Yp6ymwlPqew/edit?gid=984458430#gid=984458430"", ""'replication success'!A:M""), 12, FAlSE)"),"The present findings indicate a successful replication attempt in terms of statistical significance. Specifically, a statistically “significant” (i.e., p &lt; .01) effect of nearnessin the predicted direction was found in our replication study, replicating w"&amp;"hat was observed in the original study. However, the observed effect size in our replication (partialη2= .22) was smaller than the effect size observed inthe original study(partial η2= .45).")</f>
        <v>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v>
      </c>
      <c r="BA1875" s="61" t="str">
        <f>IFERROR(__xludf.DUMMYFUNCTION("vlookup(BB1875,importrange(""https://docs.google.com/spreadsheets/d/1d2vevQ_7D_v35q4wCQ4RpQ_IPoTwEMB9Yp6ymwlPqew/edit?gid=984458430#gid=984458430"", ""'replication success'!A:M""), 13, FAlSE)"),"abstract")</f>
        <v>abstract</v>
      </c>
      <c r="BB1875" s="61" t="str">
        <f>IFERROR(__xludf.DUMMYFUNCTION("REGEXREPLACE(G1875, ""_[a-z]{1,2}$"", """")"),"osc201511")</f>
        <v>osc201511</v>
      </c>
      <c r="BD1875" s="1826" t="s">
        <v>10729</v>
      </c>
    </row>
    <row r="1876">
      <c r="A1876" s="44">
        <v>1876.0</v>
      </c>
      <c r="B1876" s="62" t="s">
        <v>152</v>
      </c>
      <c r="C1876" s="62" t="s">
        <v>115</v>
      </c>
      <c r="D1876" s="62" t="s">
        <v>1270</v>
      </c>
      <c r="E1876" s="1826"/>
      <c r="F1876" s="143" t="s">
        <v>10853</v>
      </c>
      <c r="G1876" s="143" t="s">
        <v>10854</v>
      </c>
      <c r="H1876" s="143" t="s">
        <v>10855</v>
      </c>
      <c r="I1876" s="1837" t="s">
        <v>10739</v>
      </c>
      <c r="J1876" s="1827">
        <v>45734.0</v>
      </c>
      <c r="K1876" s="1839"/>
      <c r="L1876" s="1826" t="s">
        <v>10856</v>
      </c>
      <c r="M1876" s="1840" t="s">
        <v>10857</v>
      </c>
      <c r="N1876" s="143" t="s">
        <v>10858</v>
      </c>
      <c r="O1876" s="1829">
        <v>1.0</v>
      </c>
      <c r="P1876" s="1841" t="s">
        <v>10859</v>
      </c>
      <c r="Q1876" s="52" t="str">
        <f t="array" ref="Q1876"> if(iserror(MATCH(V1876, 'File Links'!C:C, 0)), "N/A", HYPERLINK(INDEX('File Links'!B:B, MATCH(P1876, 'File Links'!C:C, 0))))</f>
        <v>https://drive.google.com/file/d/122eQrKxq-6WpHqYSHCbu_61qufpfQpP1/view?usp=drivesdk</v>
      </c>
      <c r="R1876" s="143" t="s">
        <v>10860</v>
      </c>
      <c r="S1876" s="143" t="s">
        <v>10720</v>
      </c>
      <c r="T1876" s="1832" t="s">
        <v>10839</v>
      </c>
      <c r="U1876" s="1854"/>
      <c r="V1876" s="198" t="str">
        <f t="shared" si="119"/>
        <v>10.1126--science.aac4716.pdf</v>
      </c>
      <c r="W1876" s="143" t="s">
        <v>164</v>
      </c>
      <c r="X1876" s="54" t="str">
        <f t="array" ref="X1876"> if(iserror(MATCH(V1876, 'File Links'!C:C, 0)), "N/A", HYPERLINK(INDEX('File Links'!B:B, MATCH(V1876, 'File Links'!C:C, 0))))</f>
        <v>https://drive.google.com/file/d/1UMAh9VGta6ExS2-Lb6GkDF4fmnI2EMeM/view?usp=drivesdk</v>
      </c>
      <c r="Z1876" s="143" t="s">
        <v>226</v>
      </c>
      <c r="AA1876" s="143" t="s">
        <v>10861</v>
      </c>
      <c r="AB1876" s="143" t="s">
        <v>10862</v>
      </c>
      <c r="AC1876" s="143" t="s">
        <v>10863</v>
      </c>
      <c r="AD1876" s="143" t="s">
        <v>10864</v>
      </c>
      <c r="AE1876" s="1829">
        <v>4.0</v>
      </c>
      <c r="AF1876" s="1829">
        <v>280.0</v>
      </c>
      <c r="AG1876" s="1829">
        <v>0.26</v>
      </c>
      <c r="AH1876" s="143" t="s">
        <v>874</v>
      </c>
      <c r="AI1876" s="143" t="s">
        <v>10865</v>
      </c>
      <c r="AJ1876" s="1829">
        <v>0.001</v>
      </c>
      <c r="AK1876" s="143" t="s">
        <v>135</v>
      </c>
      <c r="AL1876" s="143" t="s">
        <v>136</v>
      </c>
      <c r="AM1876" s="1826" t="s">
        <v>141</v>
      </c>
      <c r="AN1876" s="330" t="s">
        <v>138</v>
      </c>
      <c r="AO1876" s="1837">
        <v>144.0</v>
      </c>
      <c r="AP1876" s="1837">
        <v>0.008</v>
      </c>
      <c r="AQ1876" s="143" t="s">
        <v>874</v>
      </c>
      <c r="AR1876" s="143" t="s">
        <v>10866</v>
      </c>
      <c r="AS1876" s="1837">
        <v>0.28</v>
      </c>
      <c r="AT1876" s="143" t="s">
        <v>172</v>
      </c>
      <c r="AU1876" s="143" t="s">
        <v>186</v>
      </c>
      <c r="AV1876" s="1826" t="s">
        <v>141</v>
      </c>
      <c r="AW1876" s="1836" t="s">
        <v>10867</v>
      </c>
      <c r="AX1876" s="1826" t="s">
        <v>143</v>
      </c>
      <c r="AY1876" s="61" t="str">
        <f>IFERROR(__xludf.DUMMYFUNCTION("vlookup(BB1876,importrange(""https://docs.google.com/spreadsheets/d/1d2vevQ_7D_v35q4wCQ4RpQ_IPoTwEMB9Yp6ymwlPqew/edit?gid=984458430#gid=984458430"", ""'replication success'!A:K""), 11, FAlSE)"),"")</f>
        <v/>
      </c>
      <c r="AZ1876" s="61" t="str">
        <f>IFERROR(__xludf.DUMMYFUNCTION("vlookup(BB1876,importrange(""https://docs.google.com/spreadsheets/d/1d2vevQ_7D_v35q4wCQ4RpQ_IPoTwEMB9Yp6ymwlPqew/edit?gid=984458430#gid=984458430"", ""'replication success'!A:M""), 12, FAlSE)"),"")</f>
        <v/>
      </c>
      <c r="BA1876" s="61" t="str">
        <f>IFERROR(__xludf.DUMMYFUNCTION("vlookup(BB1876,importrange(""https://docs.google.com/spreadsheets/d/1d2vevQ_7D_v35q4wCQ4RpQ_IPoTwEMB9Yp6ymwlPqew/edit?gid=984458430#gid=984458430"", ""'replication success'!A:M""), 13, FAlSE)"),"abstract")</f>
        <v>abstract</v>
      </c>
      <c r="BB1876" s="61" t="str">
        <f>IFERROR(__xludf.DUMMYFUNCTION("REGEXREPLACE(G1876, ""_[a-z]{1,2}$"", """")"),"osc2015110")</f>
        <v>osc2015110</v>
      </c>
      <c r="BD1876" s="1826" t="s">
        <v>10729</v>
      </c>
    </row>
    <row r="1877">
      <c r="A1877" s="44">
        <v>1877.0</v>
      </c>
      <c r="B1877" s="62" t="s">
        <v>114</v>
      </c>
      <c r="C1877" s="62" t="s">
        <v>115</v>
      </c>
      <c r="D1877" s="62" t="s">
        <v>153</v>
      </c>
      <c r="E1877" s="1826"/>
      <c r="F1877" s="143" t="s">
        <v>10853</v>
      </c>
      <c r="G1877" s="143" t="s">
        <v>10854</v>
      </c>
      <c r="H1877" s="143" t="s">
        <v>153</v>
      </c>
      <c r="I1877" s="1826" t="s">
        <v>10730</v>
      </c>
      <c r="J1877" s="1827">
        <v>45734.0</v>
      </c>
      <c r="K1877" s="1839"/>
      <c r="L1877" s="1851"/>
      <c r="M1877" s="1828" t="s">
        <v>10857</v>
      </c>
      <c r="N1877" s="143" t="s">
        <v>10858</v>
      </c>
      <c r="O1877" s="1829">
        <v>1.0</v>
      </c>
      <c r="P1877" s="1830" t="s">
        <v>10859</v>
      </c>
      <c r="Q1877" s="52" t="str">
        <f t="array" ref="Q1877"> if(iserror(MATCH(V1877, 'File Links'!C:C, 0)), "N/A", HYPERLINK(INDEX('File Links'!B:B, MATCH(P1877, 'File Links'!C:C, 0))))</f>
        <v>https://drive.google.com/file/d/122eQrKxq-6WpHqYSHCbu_61qufpfQpP1/view?usp=drivesdk</v>
      </c>
      <c r="R1877" s="143" t="s">
        <v>10860</v>
      </c>
      <c r="S1877" s="143" t="s">
        <v>10720</v>
      </c>
      <c r="T1877" s="1832" t="s">
        <v>10839</v>
      </c>
      <c r="U1877" s="1837">
        <v>1.0</v>
      </c>
      <c r="V1877" s="198" t="str">
        <f t="shared" si="119"/>
        <v>10.1126--science.aac4716.pdf</v>
      </c>
      <c r="W1877" s="143" t="s">
        <v>164</v>
      </c>
      <c r="X1877" s="54" t="str">
        <f t="array" ref="X1877"> if(iserror(MATCH(V1877, 'File Links'!C:C, 0)), "N/A", HYPERLINK(INDEX('File Links'!B:B, MATCH(V1877, 'File Links'!C:C, 0))))</f>
        <v>https://drive.google.com/file/d/1UMAh9VGta6ExS2-Lb6GkDF4fmnI2EMeM/view?usp=drivesdk</v>
      </c>
      <c r="Z1877" s="143" t="s">
        <v>226</v>
      </c>
      <c r="AA1877" s="143" t="s">
        <v>10868</v>
      </c>
      <c r="AB1877" s="143" t="s">
        <v>10869</v>
      </c>
      <c r="AC1877" s="143" t="s">
        <v>10870</v>
      </c>
      <c r="AD1877" s="143" t="s">
        <v>10871</v>
      </c>
      <c r="AE1877" s="1829">
        <v>4.0</v>
      </c>
      <c r="AF1877" s="1837">
        <v>280.0</v>
      </c>
      <c r="AG1877" s="1829">
        <v>0.326</v>
      </c>
      <c r="AH1877" s="143" t="s">
        <v>139</v>
      </c>
      <c r="AI1877" s="143" t="s">
        <v>850</v>
      </c>
      <c r="AJ1877" s="1829">
        <v>0.001</v>
      </c>
      <c r="AK1877" s="143" t="s">
        <v>135</v>
      </c>
      <c r="AL1877" s="143" t="s">
        <v>136</v>
      </c>
      <c r="AM1877" s="1826" t="s">
        <v>141</v>
      </c>
      <c r="AN1877" s="330" t="s">
        <v>138</v>
      </c>
      <c r="AO1877" s="1837">
        <v>144.0</v>
      </c>
      <c r="AP1877" s="1837">
        <v>0.008</v>
      </c>
      <c r="AQ1877" s="143" t="s">
        <v>139</v>
      </c>
      <c r="AR1877" s="143" t="s">
        <v>850</v>
      </c>
      <c r="AS1877" s="1829">
        <v>0.28</v>
      </c>
      <c r="AT1877" s="143" t="s">
        <v>172</v>
      </c>
      <c r="AU1877" s="143" t="s">
        <v>186</v>
      </c>
      <c r="AV1877" s="1826" t="s">
        <v>141</v>
      </c>
      <c r="AW1877" s="1836" t="s">
        <v>10872</v>
      </c>
      <c r="AX1877" s="1826" t="s">
        <v>143</v>
      </c>
      <c r="AY1877" s="61" t="str">
        <f>IFERROR(__xludf.DUMMYFUNCTION("vlookup(BB1877,importrange(""https://docs.google.com/spreadsheets/d/1d2vevQ_7D_v35q4wCQ4RpQ_IPoTwEMB9Yp6ymwlPqew/edit?gid=984458430#gid=984458430"", ""'replication success'!A:K""), 11, FAlSE)"),"")</f>
        <v/>
      </c>
      <c r="AZ1877" s="61" t="str">
        <f>IFERROR(__xludf.DUMMYFUNCTION("vlookup(BB1877,importrange(""https://docs.google.com/spreadsheets/d/1d2vevQ_7D_v35q4wCQ4RpQ_IPoTwEMB9Yp6ymwlPqew/edit?gid=984458430#gid=984458430"", ""'replication success'!A:M""), 12, FAlSE)"),"")</f>
        <v/>
      </c>
      <c r="BA1877" s="61" t="str">
        <f>IFERROR(__xludf.DUMMYFUNCTION("vlookup(BB1877,importrange(""https://docs.google.com/spreadsheets/d/1d2vevQ_7D_v35q4wCQ4RpQ_IPoTwEMB9Yp6ymwlPqew/edit?gid=984458430#gid=984458430"", ""'replication success'!A:M""), 13, FAlSE)"),"abstract")</f>
        <v>abstract</v>
      </c>
      <c r="BB1877" s="61" t="str">
        <f>IFERROR(__xludf.DUMMYFUNCTION("REGEXREPLACE(G1877, ""_[a-z]{1,2}$"", """")"),"osc2015110")</f>
        <v>osc2015110</v>
      </c>
      <c r="BD1877" s="1826" t="s">
        <v>10729</v>
      </c>
    </row>
    <row r="1878">
      <c r="A1878" s="44">
        <v>1878.0</v>
      </c>
      <c r="B1878" s="129" t="s">
        <v>152</v>
      </c>
      <c r="C1878" s="62" t="s">
        <v>115</v>
      </c>
      <c r="D1878" s="62" t="s">
        <v>1270</v>
      </c>
      <c r="E1878" s="1826"/>
      <c r="F1878" s="143" t="s">
        <v>10873</v>
      </c>
      <c r="G1878" s="143" t="s">
        <v>10874</v>
      </c>
      <c r="H1878" s="143" t="s">
        <v>10875</v>
      </c>
      <c r="I1878" s="1837" t="s">
        <v>10739</v>
      </c>
      <c r="J1878" s="1827">
        <v>45694.0</v>
      </c>
      <c r="K1878" s="1839"/>
      <c r="L1878" s="143" t="s">
        <v>10876</v>
      </c>
      <c r="M1878" s="1840" t="s">
        <v>10877</v>
      </c>
      <c r="N1878" s="143" t="s">
        <v>10878</v>
      </c>
      <c r="O1878" s="143" t="s">
        <v>10879</v>
      </c>
      <c r="P1878" s="1841" t="s">
        <v>10880</v>
      </c>
      <c r="Q1878" s="52" t="str">
        <f t="array" ref="Q1878"> if(iserror(MATCH(V1878, 'File Links'!C:C, 0)), "N/A", HYPERLINK(INDEX('File Links'!B:B, MATCH(P1878, 'File Links'!C:C, 0))))</f>
        <v>https://drive.google.com/file/d/1-SaG8WiDfkM6zwdVOonoQg1W2TXK8F2W/view?usp=drivesdk</v>
      </c>
      <c r="R1878" s="143" t="s">
        <v>10881</v>
      </c>
      <c r="S1878" s="151" t="s">
        <v>10882</v>
      </c>
      <c r="T1878" s="129"/>
      <c r="U1878" s="1855">
        <v>1.0</v>
      </c>
      <c r="V1878" s="198" t="str">
        <f t="shared" si="119"/>
        <v>10.17605--osf.io--ehjdm.pdf</v>
      </c>
      <c r="W1878" s="143" t="s">
        <v>164</v>
      </c>
      <c r="X1878" s="54" t="str">
        <f t="array" ref="X1878"> if(iserror(MATCH(V1878, 'File Links'!C:C, 0)), "N/A", HYPERLINK(INDEX('File Links'!B:B, MATCH(V1878, 'File Links'!C:C, 0))))</f>
        <v>https://drive.google.com/file/d/1GV4zWU9q5kR-RIu3cmHk_E669d6rWRsW/view?usp=drivesdk</v>
      </c>
      <c r="Z1878" s="143" t="s">
        <v>148</v>
      </c>
      <c r="AA1878" s="143" t="s">
        <v>10883</v>
      </c>
      <c r="AB1878" s="143" t="s">
        <v>10884</v>
      </c>
      <c r="AC1878" s="143" t="s">
        <v>10885</v>
      </c>
      <c r="AD1878" s="1856" t="s">
        <v>10886</v>
      </c>
      <c r="AE1878" s="1834">
        <v>5.0</v>
      </c>
      <c r="AF1878" s="1829">
        <v>59.0</v>
      </c>
      <c r="AG1878" s="143" t="s">
        <v>10887</v>
      </c>
      <c r="AH1878" s="143" t="s">
        <v>134</v>
      </c>
      <c r="AI1878" s="143" t="s">
        <v>813</v>
      </c>
      <c r="AJ1878" s="1826" t="s">
        <v>138</v>
      </c>
      <c r="AK1878" s="143" t="s">
        <v>138</v>
      </c>
      <c r="AL1878" s="143" t="s">
        <v>186</v>
      </c>
      <c r="AM1878" s="1826" t="s">
        <v>137</v>
      </c>
      <c r="AN1878" s="330" t="s">
        <v>138</v>
      </c>
      <c r="AO1878" s="1829">
        <v>120.0</v>
      </c>
      <c r="AP1878" s="143">
        <v>0.05</v>
      </c>
      <c r="AQ1878" s="143" t="s">
        <v>874</v>
      </c>
      <c r="AR1878" s="143" t="s">
        <v>10888</v>
      </c>
      <c r="AS1878" s="1829">
        <v>0.014</v>
      </c>
      <c r="AT1878" s="143" t="s">
        <v>172</v>
      </c>
      <c r="AU1878" s="143" t="s">
        <v>186</v>
      </c>
      <c r="AV1878" s="1826" t="s">
        <v>137</v>
      </c>
      <c r="AW1878" s="1836" t="s">
        <v>10889</v>
      </c>
      <c r="AX1878" s="1826" t="s">
        <v>143</v>
      </c>
      <c r="AY1878" s="61" t="str">
        <f>IFERROR(__xludf.DUMMYFUNCTION("vlookup(BB1878,importrange(""https://docs.google.com/spreadsheets/d/1d2vevQ_7D_v35q4wCQ4RpQ_IPoTwEMB9Yp6ymwlPqew/edit?gid=984458430#gid=984458430"", ""'replication success'!A:K""), 11, FAlSE)"),"successful")</f>
        <v>successful</v>
      </c>
      <c r="AZ1878" s="61" t="str">
        <f>IFERROR(__xludf.DUMMYFUNCTION("vlookup(BB1878,importrange(""https://docs.google.com/spreadsheets/d/1d2vevQ_7D_v35q4wCQ4RpQ_IPoTwEMB9Yp6ymwlPqew/edit?gid=984458430#gid=984458430"", ""'replication success'!A:M""), 12, FAlSE)"),"The central claim of their
paper – that anchor precision influences the degree of adjustment was supported. Additionally, these data
replicated the main effect of motivation observed in their study. There was no evidence of the reported
interaction.")</f>
        <v>The central claim of their
paper – that anchor precision influences the degree of adjustment was supported. Additionally, these data
replicated the main effect of motivation observed in their study. There was no evidence of the reported
interaction.</v>
      </c>
      <c r="BA1878" s="61" t="str">
        <f>IFERROR(__xludf.DUMMYFUNCTION("vlookup(BB1878,importrange(""https://docs.google.com/spreadsheets/d/1d2vevQ_7D_v35q4wCQ4RpQ_IPoTwEMB9Yp6ymwlPqew/edit?gid=984458430#gid=984458430"", ""'replication success'!A:M""), 13, FAlSE)"),"pg. 3")</f>
        <v>pg. 3</v>
      </c>
      <c r="BB1878" s="61" t="str">
        <f>IFERROR(__xludf.DUMMYFUNCTION("REGEXREPLACE(G1878, ""_[a-z]{1,2}$"", """")"),"osc2015111")</f>
        <v>osc2015111</v>
      </c>
      <c r="BD1878" s="1826" t="s">
        <v>1270</v>
      </c>
    </row>
    <row r="1879">
      <c r="A1879" s="44">
        <v>1879.0</v>
      </c>
      <c r="B1879" s="62" t="s">
        <v>114</v>
      </c>
      <c r="C1879" s="62" t="s">
        <v>115</v>
      </c>
      <c r="D1879" s="62" t="s">
        <v>153</v>
      </c>
      <c r="E1879" s="1826"/>
      <c r="F1879" s="143" t="s">
        <v>10873</v>
      </c>
      <c r="G1879" s="1857" t="s">
        <v>10874</v>
      </c>
      <c r="H1879" s="143" t="s">
        <v>153</v>
      </c>
      <c r="I1879" s="1826" t="s">
        <v>10730</v>
      </c>
      <c r="J1879" s="1827">
        <v>45694.0</v>
      </c>
      <c r="K1879" s="143" t="s">
        <v>10890</v>
      </c>
      <c r="L1879" s="143"/>
      <c r="M1879" s="1828" t="s">
        <v>10877</v>
      </c>
      <c r="N1879" s="143" t="s">
        <v>10878</v>
      </c>
      <c r="O1879" s="143" t="s">
        <v>5934</v>
      </c>
      <c r="P1879" s="1830" t="s">
        <v>10880</v>
      </c>
      <c r="Q1879" s="52" t="str">
        <f t="array" ref="Q1879"> if(iserror(MATCH(V1879, 'File Links'!C:C, 0)), "N/A", HYPERLINK(INDEX('File Links'!B:B, MATCH(P1879, 'File Links'!C:C, 0))))</f>
        <v>https://drive.google.com/file/d/1-SaG8WiDfkM6zwdVOonoQg1W2TXK8F2W/view?usp=drivesdk</v>
      </c>
      <c r="R1879" s="1841" t="s">
        <v>10881</v>
      </c>
      <c r="S1879" s="151" t="s">
        <v>10882</v>
      </c>
      <c r="T1879" s="129"/>
      <c r="U1879" s="1837">
        <v>1.0</v>
      </c>
      <c r="V1879" s="198" t="str">
        <f t="shared" si="119"/>
        <v>10.17605--osf.io--ehjdm.pdf</v>
      </c>
      <c r="W1879" s="143" t="s">
        <v>164</v>
      </c>
      <c r="X1879" s="54" t="str">
        <f t="array" ref="X1879"> if(iserror(MATCH(V1879, 'File Links'!C:C, 0)), "N/A", HYPERLINK(INDEX('File Links'!B:B, MATCH(V1879, 'File Links'!C:C, 0))))</f>
        <v>https://drive.google.com/file/d/1GV4zWU9q5kR-RIu3cmHk_E669d6rWRsW/view?usp=drivesdk</v>
      </c>
      <c r="Z1879" s="143" t="s">
        <v>148</v>
      </c>
      <c r="AA1879" s="143" t="s">
        <v>10891</v>
      </c>
      <c r="AB1879" s="143" t="s">
        <v>10892</v>
      </c>
      <c r="AC1879" s="143" t="s">
        <v>10893</v>
      </c>
      <c r="AD1879" s="143" t="s">
        <v>10894</v>
      </c>
      <c r="AE1879" s="1829">
        <v>5.0</v>
      </c>
      <c r="AF1879" s="1829">
        <v>59.0</v>
      </c>
      <c r="AG1879" s="1829">
        <v>0.02</v>
      </c>
      <c r="AH1879" s="140" t="s">
        <v>8001</v>
      </c>
      <c r="AI1879" s="143" t="s">
        <v>813</v>
      </c>
      <c r="AJ1879" s="1826" t="s">
        <v>138</v>
      </c>
      <c r="AK1879" s="143" t="s">
        <v>138</v>
      </c>
      <c r="AL1879" s="143" t="s">
        <v>186</v>
      </c>
      <c r="AM1879" s="1826" t="s">
        <v>137</v>
      </c>
      <c r="AN1879" s="330" t="s">
        <v>138</v>
      </c>
      <c r="AO1879" s="1829">
        <v>120.0</v>
      </c>
      <c r="AP1879" s="1829">
        <v>0.05</v>
      </c>
      <c r="AQ1879" s="143" t="s">
        <v>139</v>
      </c>
      <c r="AR1879" s="143" t="s">
        <v>875</v>
      </c>
      <c r="AS1879" s="1829">
        <v>0.014</v>
      </c>
      <c r="AT1879" s="143" t="s">
        <v>172</v>
      </c>
      <c r="AU1879" s="143" t="s">
        <v>186</v>
      </c>
      <c r="AV1879" s="1826" t="s">
        <v>137</v>
      </c>
      <c r="AW1879" s="1836" t="s">
        <v>10895</v>
      </c>
      <c r="AX1879" s="1826" t="s">
        <v>143</v>
      </c>
      <c r="AY1879" s="61" t="str">
        <f>IFERROR(__xludf.DUMMYFUNCTION("vlookup(BB1879,importrange(""https://docs.google.com/spreadsheets/d/1d2vevQ_7D_v35q4wCQ4RpQ_IPoTwEMB9Yp6ymwlPqew/edit?gid=984458430#gid=984458430"", ""'replication success'!A:K""), 11, FAlSE)"),"successful")</f>
        <v>successful</v>
      </c>
      <c r="AZ1879" s="61" t="str">
        <f>IFERROR(__xludf.DUMMYFUNCTION("vlookup(BB1879,importrange(""https://docs.google.com/spreadsheets/d/1d2vevQ_7D_v35q4wCQ4RpQ_IPoTwEMB9Yp6ymwlPqew/edit?gid=984458430#gid=984458430"", ""'replication success'!A:M""), 12, FAlSE)"),"The central claim of their
paper – that anchor precision influences the degree of adjustment was supported. Additionally, these data
replicated the main effect of motivation observed in their study. There was no evidence of the reported
interaction.")</f>
        <v>The central claim of their
paper – that anchor precision influences the degree of adjustment was supported. Additionally, these data
replicated the main effect of motivation observed in their study. There was no evidence of the reported
interaction.</v>
      </c>
      <c r="BA1879" s="61" t="str">
        <f>IFERROR(__xludf.DUMMYFUNCTION("vlookup(BB1879,importrange(""https://docs.google.com/spreadsheets/d/1d2vevQ_7D_v35q4wCQ4RpQ_IPoTwEMB9Yp6ymwlPqew/edit?gid=984458430#gid=984458430"", ""'replication success'!A:M""), 13, FAlSE)"),"pg. 3")</f>
        <v>pg. 3</v>
      </c>
      <c r="BB1879" s="61" t="str">
        <f>IFERROR(__xludf.DUMMYFUNCTION("REGEXREPLACE(G1879, ""_[a-z]{1,2}$"", """")"),"osc2015111")</f>
        <v>osc2015111</v>
      </c>
      <c r="BD1879" s="1826" t="s">
        <v>1270</v>
      </c>
    </row>
    <row r="1880">
      <c r="A1880" s="44">
        <v>1880.0</v>
      </c>
      <c r="B1880" s="62" t="s">
        <v>114</v>
      </c>
      <c r="C1880" s="62" t="s">
        <v>115</v>
      </c>
      <c r="D1880" s="62" t="s">
        <v>1270</v>
      </c>
      <c r="E1880" s="1826"/>
      <c r="F1880" s="1858" t="s">
        <v>10896</v>
      </c>
      <c r="G1880" s="1858" t="s">
        <v>10897</v>
      </c>
      <c r="H1880" s="1858" t="s">
        <v>10898</v>
      </c>
      <c r="I1880" s="1859" t="s">
        <v>10899</v>
      </c>
      <c r="J1880" s="1827">
        <v>45694.0</v>
      </c>
      <c r="K1880" s="1860"/>
      <c r="L1880" s="1859" t="s">
        <v>10900</v>
      </c>
      <c r="M1880" s="1861" t="s">
        <v>10901</v>
      </c>
      <c r="N1880" s="1862" t="s">
        <v>10902</v>
      </c>
      <c r="O1880" s="1863">
        <v>1.0</v>
      </c>
      <c r="P1880" s="1841" t="s">
        <v>10903</v>
      </c>
      <c r="Q1880" s="52" t="str">
        <f t="array" ref="Q1880"> if(iserror(MATCH(V1880, 'File Links'!C:C, 0)), "N/A", HYPERLINK(INDEX('File Links'!B:B, MATCH(P1880, 'File Links'!C:C, 0))))</f>
        <v>https://drive.google.com/file/d/19KQFSemeD8gmmrYhmcTweZW1cifRjRsN/view?usp=drivesdk</v>
      </c>
      <c r="R1880" s="143" t="s">
        <v>10904</v>
      </c>
      <c r="S1880" s="151" t="s">
        <v>10720</v>
      </c>
      <c r="T1880" s="129"/>
      <c r="U1880" s="1837">
        <v>1.0</v>
      </c>
      <c r="V1880" s="198" t="str">
        <f t="shared" si="119"/>
        <v>10.1126--science.aac4716.pdf</v>
      </c>
      <c r="W1880" s="1864" t="s">
        <v>164</v>
      </c>
      <c r="X1880" s="54" t="str">
        <f t="array" ref="X1880"> if(iserror(MATCH(V1880, 'File Links'!C:C, 0)), "N/A", HYPERLINK(INDEX('File Links'!B:B, MATCH(V1880, 'File Links'!C:C, 0))))</f>
        <v>https://drive.google.com/file/d/1UMAh9VGta6ExS2-Lb6GkDF4fmnI2EMeM/view?usp=drivesdk</v>
      </c>
      <c r="Y1880" s="1865"/>
      <c r="Z1880" s="143" t="s">
        <v>148</v>
      </c>
      <c r="AA1880" s="1847"/>
      <c r="AB1880" s="1859" t="s">
        <v>10905</v>
      </c>
      <c r="AC1880" s="1859" t="s">
        <v>10906</v>
      </c>
      <c r="AD1880" s="1862" t="s">
        <v>10907</v>
      </c>
      <c r="AE1880" s="1863">
        <v>3.0</v>
      </c>
      <c r="AF1880" s="1863">
        <v>141.0</v>
      </c>
      <c r="AG1880" s="1863">
        <v>-0.7</v>
      </c>
      <c r="AH1880" s="1864" t="s">
        <v>215</v>
      </c>
      <c r="AI1880" s="1866" t="s">
        <v>10908</v>
      </c>
      <c r="AJ1880" s="1867">
        <v>0.05</v>
      </c>
      <c r="AK1880" s="1826" t="s">
        <v>135</v>
      </c>
      <c r="AL1880" s="1826" t="s">
        <v>186</v>
      </c>
      <c r="AM1880" s="1866" t="s">
        <v>137</v>
      </c>
      <c r="AN1880" s="330" t="s">
        <v>138</v>
      </c>
      <c r="AO1880" s="1867">
        <v>51.0</v>
      </c>
      <c r="AP1880" s="1867">
        <v>-0.75</v>
      </c>
      <c r="AQ1880" s="1866" t="s">
        <v>215</v>
      </c>
      <c r="AR1880" s="1866" t="s">
        <v>10909</v>
      </c>
      <c r="AS1880" s="1837">
        <v>0.01</v>
      </c>
      <c r="AT1880" s="1826" t="s">
        <v>135</v>
      </c>
      <c r="AU1880" s="1868" t="s">
        <v>186</v>
      </c>
      <c r="AV1880" s="1866" t="s">
        <v>137</v>
      </c>
      <c r="AW1880" s="1869" t="s">
        <v>10910</v>
      </c>
      <c r="AX1880" s="1826" t="s">
        <v>143</v>
      </c>
      <c r="AY1880" s="61" t="str">
        <f>IFERROR(__xludf.DUMMYFUNCTION("vlookup(BB1880,importrange(""https://docs.google.com/spreadsheets/d/1d2vevQ_7D_v35q4wCQ4RpQ_IPoTwEMB9Yp6ymwlPqew/edit?gid=984458430#gid=984458430"", ""'replication success'!A:K""), 11, FAlSE)"),"")</f>
        <v/>
      </c>
      <c r="AZ1880" s="61" t="str">
        <f>IFERROR(__xludf.DUMMYFUNCTION("vlookup(BB1880,importrange(""https://docs.google.com/spreadsheets/d/1d2vevQ_7D_v35q4wCQ4RpQ_IPoTwEMB9Yp6ymwlPqew/edit?gid=984458430#gid=984458430"", ""'replication success'!A:M""), 12, FAlSE)"),"")</f>
        <v/>
      </c>
      <c r="BA1880" s="61" t="str">
        <f>IFERROR(__xludf.DUMMYFUNCTION("vlookup(BB1880,importrange(""https://docs.google.com/spreadsheets/d/1d2vevQ_7D_v35q4wCQ4RpQ_IPoTwEMB9Yp6ymwlPqew/edit?gid=984458430#gid=984458430"", ""'replication success'!A:M""), 13, FAlSE)"),"abstract")</f>
        <v>abstract</v>
      </c>
      <c r="BB1880" s="61" t="str">
        <f>IFERROR(__xludf.DUMMYFUNCTION("REGEXREPLACE(G1880, ""_[a-z]{1,2}$"", """")"),"osc2015112")</f>
        <v>osc2015112</v>
      </c>
      <c r="BD1880" s="1826" t="s">
        <v>1270</v>
      </c>
      <c r="BF1880" s="1815" t="s">
        <v>10911</v>
      </c>
    </row>
    <row r="1881">
      <c r="A1881" s="44">
        <v>1881.0</v>
      </c>
      <c r="B1881" s="129" t="s">
        <v>152</v>
      </c>
      <c r="C1881" s="62" t="s">
        <v>115</v>
      </c>
      <c r="D1881" s="62" t="s">
        <v>153</v>
      </c>
      <c r="E1881" s="1826"/>
      <c r="F1881" s="143" t="s">
        <v>10896</v>
      </c>
      <c r="G1881" s="1857" t="s">
        <v>10897</v>
      </c>
      <c r="H1881" s="1858" t="s">
        <v>153</v>
      </c>
      <c r="I1881" s="1859" t="s">
        <v>10730</v>
      </c>
      <c r="J1881" s="1827">
        <v>45694.0</v>
      </c>
      <c r="K1881" s="1870"/>
      <c r="L1881" s="1851"/>
      <c r="M1881" s="1828" t="s">
        <v>10901</v>
      </c>
      <c r="N1881" s="143" t="s">
        <v>10902</v>
      </c>
      <c r="O1881" s="1829">
        <v>1.0</v>
      </c>
      <c r="P1881" s="1830" t="s">
        <v>10903</v>
      </c>
      <c r="Q1881" s="52" t="str">
        <f t="array" ref="Q1881"> if(iserror(MATCH(V1881, 'File Links'!C:C, 0)), "N/A", HYPERLINK(INDEX('File Links'!B:B, MATCH(P1881, 'File Links'!C:C, 0))))</f>
        <v>https://drive.google.com/file/d/19KQFSemeD8gmmrYhmcTweZW1cifRjRsN/view?usp=drivesdk</v>
      </c>
      <c r="R1881" s="1841" t="s">
        <v>10904</v>
      </c>
      <c r="S1881" s="151" t="s">
        <v>10720</v>
      </c>
      <c r="T1881" s="129"/>
      <c r="U1881" s="1837">
        <v>1.0</v>
      </c>
      <c r="V1881" s="198" t="str">
        <f t="shared" si="119"/>
        <v>10.1126--science.aac4716.pdf</v>
      </c>
      <c r="W1881" s="1864" t="s">
        <v>164</v>
      </c>
      <c r="X1881" s="54" t="str">
        <f t="array" ref="X1881"> if(iserror(MATCH(V1881, 'File Links'!C:C, 0)), "N/A", HYPERLINK(INDEX('File Links'!B:B, MATCH(V1881, 'File Links'!C:C, 0))))</f>
        <v>https://drive.google.com/file/d/1UMAh9VGta6ExS2-Lb6GkDF4fmnI2EMeM/view?usp=drivesdk</v>
      </c>
      <c r="Z1881" s="143" t="s">
        <v>148</v>
      </c>
      <c r="AA1881" s="143" t="s">
        <v>10912</v>
      </c>
      <c r="AB1881" s="143" t="s">
        <v>10913</v>
      </c>
      <c r="AC1881" s="143" t="s">
        <v>10906</v>
      </c>
      <c r="AD1881" s="143" t="s">
        <v>10914</v>
      </c>
      <c r="AE1881" s="1829">
        <v>3.0</v>
      </c>
      <c r="AF1881" s="1829">
        <v>141.0</v>
      </c>
      <c r="AG1881" s="1829">
        <v>-0.7</v>
      </c>
      <c r="AH1881" s="143" t="s">
        <v>215</v>
      </c>
      <c r="AI1881" s="143" t="s">
        <v>217</v>
      </c>
      <c r="AJ1881" s="1829">
        <v>0.05</v>
      </c>
      <c r="AK1881" s="143" t="s">
        <v>135</v>
      </c>
      <c r="AL1881" s="143" t="s">
        <v>186</v>
      </c>
      <c r="AM1881" s="1866" t="s">
        <v>137</v>
      </c>
      <c r="AN1881" s="330" t="s">
        <v>138</v>
      </c>
      <c r="AO1881" s="1837">
        <v>51.0</v>
      </c>
      <c r="AP1881" s="1837">
        <v>-0.75</v>
      </c>
      <c r="AQ1881" s="143" t="s">
        <v>215</v>
      </c>
      <c r="AR1881" s="1864" t="s">
        <v>850</v>
      </c>
      <c r="AS1881" s="1829">
        <v>0.01</v>
      </c>
      <c r="AT1881" s="143" t="s">
        <v>135</v>
      </c>
      <c r="AU1881" s="1871" t="s">
        <v>186</v>
      </c>
      <c r="AV1881" s="1868" t="s">
        <v>137</v>
      </c>
      <c r="AW1881" s="1869" t="s">
        <v>10915</v>
      </c>
      <c r="AX1881" s="1826" t="s">
        <v>143</v>
      </c>
      <c r="AY1881" s="61" t="str">
        <f>IFERROR(__xludf.DUMMYFUNCTION("vlookup(BB1881,importrange(""https://docs.google.com/spreadsheets/d/1d2vevQ_7D_v35q4wCQ4RpQ_IPoTwEMB9Yp6ymwlPqew/edit?gid=984458430#gid=984458430"", ""'replication success'!A:K""), 11, FAlSE)"),"")</f>
        <v/>
      </c>
      <c r="AZ1881" s="61" t="str">
        <f>IFERROR(__xludf.DUMMYFUNCTION("vlookup(BB1881,importrange(""https://docs.google.com/spreadsheets/d/1d2vevQ_7D_v35q4wCQ4RpQ_IPoTwEMB9Yp6ymwlPqew/edit?gid=984458430#gid=984458430"", ""'replication success'!A:M""), 12, FAlSE)"),"")</f>
        <v/>
      </c>
      <c r="BA1881" s="61" t="str">
        <f>IFERROR(__xludf.DUMMYFUNCTION("vlookup(BB1881,importrange(""https://docs.google.com/spreadsheets/d/1d2vevQ_7D_v35q4wCQ4RpQ_IPoTwEMB9Yp6ymwlPqew/edit?gid=984458430#gid=984458430"", ""'replication success'!A:M""), 13, FAlSE)"),"abstract")</f>
        <v>abstract</v>
      </c>
      <c r="BB1881" s="61" t="str">
        <f>IFERROR(__xludf.DUMMYFUNCTION("REGEXREPLACE(G1881, ""_[a-z]{1,2}$"", """")"),"osc2015112")</f>
        <v>osc2015112</v>
      </c>
      <c r="BD1881" s="1826" t="s">
        <v>1270</v>
      </c>
    </row>
    <row r="1882">
      <c r="A1882" s="44">
        <v>1882.0</v>
      </c>
      <c r="B1882" s="62" t="s">
        <v>114</v>
      </c>
      <c r="C1882" s="62" t="s">
        <v>115</v>
      </c>
      <c r="D1882" s="62" t="s">
        <v>1270</v>
      </c>
      <c r="E1882" s="1826"/>
      <c r="F1882" s="143" t="s">
        <v>10916</v>
      </c>
      <c r="G1882" s="143" t="s">
        <v>10917</v>
      </c>
      <c r="H1882" s="1858" t="s">
        <v>10918</v>
      </c>
      <c r="I1882" s="1872" t="s">
        <v>10739</v>
      </c>
      <c r="J1882" s="1827">
        <v>45694.0</v>
      </c>
      <c r="K1882" s="1858" t="s">
        <v>10919</v>
      </c>
      <c r="L1882" s="143" t="s">
        <v>10920</v>
      </c>
      <c r="M1882" s="1840" t="s">
        <v>10921</v>
      </c>
      <c r="N1882" s="143" t="s">
        <v>10922</v>
      </c>
      <c r="O1882" s="1829">
        <v>1.0</v>
      </c>
      <c r="P1882" s="1841" t="s">
        <v>10923</v>
      </c>
      <c r="Q1882" s="52" t="str">
        <f t="array" ref="Q1882"> if(iserror(MATCH(V1882, 'File Links'!C:C, 0)), "N/A", HYPERLINK(INDEX('File Links'!B:B, MATCH(P1882, 'File Links'!C:C, 0))))</f>
        <v>https://drive.google.com/file/d/1UOMf-snqsk6_xm9569d5Yr7tIrEVriap/view?usp=drivesdk</v>
      </c>
      <c r="R1882" s="143" t="s">
        <v>10924</v>
      </c>
      <c r="S1882" s="151" t="s">
        <v>10720</v>
      </c>
      <c r="T1882" s="129"/>
      <c r="U1882" s="1837">
        <v>1.0</v>
      </c>
      <c r="V1882" s="198" t="str">
        <f t="shared" si="119"/>
        <v>10.1126--science.aac4716.pdf</v>
      </c>
      <c r="W1882" s="1864" t="s">
        <v>164</v>
      </c>
      <c r="X1882" s="54" t="str">
        <f t="array" ref="X1882"> if(iserror(MATCH(V1882, 'File Links'!C:C, 0)), "N/A", HYPERLINK(INDEX('File Links'!B:B, MATCH(V1882, 'File Links'!C:C, 0))))</f>
        <v>https://drive.google.com/file/d/1UMAh9VGta6ExS2-Lb6GkDF4fmnI2EMeM/view?usp=drivesdk</v>
      </c>
      <c r="Z1882" s="143" t="s">
        <v>226</v>
      </c>
      <c r="AA1882" s="143" t="s">
        <v>10925</v>
      </c>
      <c r="AB1882" s="143" t="s">
        <v>10926</v>
      </c>
      <c r="AC1882" s="143" t="s">
        <v>10927</v>
      </c>
      <c r="AD1882" s="143" t="s">
        <v>10928</v>
      </c>
      <c r="AE1882" s="1829">
        <v>1.0</v>
      </c>
      <c r="AF1882" s="1829">
        <v>125.0</v>
      </c>
      <c r="AG1882" s="143">
        <v>0.93</v>
      </c>
      <c r="AH1882" s="143" t="s">
        <v>173</v>
      </c>
      <c r="AI1882" s="143" t="s">
        <v>10929</v>
      </c>
      <c r="AJ1882" s="1826" t="s">
        <v>138</v>
      </c>
      <c r="AK1882" s="1850"/>
      <c r="AL1882" s="143" t="s">
        <v>186</v>
      </c>
      <c r="AM1882" s="1866" t="s">
        <v>137</v>
      </c>
      <c r="AN1882" s="330" t="s">
        <v>138</v>
      </c>
      <c r="AO1882" s="1829">
        <v>177.0</v>
      </c>
      <c r="AP1882" s="143">
        <v>1.18</v>
      </c>
      <c r="AQ1882" s="143" t="s">
        <v>173</v>
      </c>
      <c r="AR1882" s="1864" t="s">
        <v>10930</v>
      </c>
      <c r="AS1882" s="1829">
        <v>0.001</v>
      </c>
      <c r="AT1882" s="143" t="s">
        <v>135</v>
      </c>
      <c r="AU1882" s="1871" t="s">
        <v>186</v>
      </c>
      <c r="AV1882" s="1868" t="s">
        <v>137</v>
      </c>
      <c r="AW1882" s="1869" t="s">
        <v>10931</v>
      </c>
      <c r="AX1882" s="1826" t="s">
        <v>143</v>
      </c>
      <c r="AY1882" s="61" t="str">
        <f>IFERROR(__xludf.DUMMYFUNCTION("vlookup(BB1882,importrange(""https://docs.google.com/spreadsheets/d/1d2vevQ_7D_v35q4wCQ4RpQ_IPoTwEMB9Yp6ymwlPqew/edit?gid=984458430#gid=984458430"", ""'replication success'!A:K""), 11, FAlSE)"),"")</f>
        <v/>
      </c>
      <c r="AZ1882" s="61" t="str">
        <f>IFERROR(__xludf.DUMMYFUNCTION("vlookup(BB1882,importrange(""https://docs.google.com/spreadsheets/d/1d2vevQ_7D_v35q4wCQ4RpQ_IPoTwEMB9Yp6ymwlPqew/edit?gid=984458430#gid=984458430"", ""'replication success'!A:M""), 12, FAlSE)"),"")</f>
        <v/>
      </c>
      <c r="BA1882" s="61" t="str">
        <f>IFERROR(__xludf.DUMMYFUNCTION("vlookup(BB1882,importrange(""https://docs.google.com/spreadsheets/d/1d2vevQ_7D_v35q4wCQ4RpQ_IPoTwEMB9Yp6ymwlPqew/edit?gid=984458430#gid=984458430"", ""'replication success'!A:M""), 13, FAlSE)"),"abstract")</f>
        <v>abstract</v>
      </c>
      <c r="BB1882" s="61" t="str">
        <f>IFERROR(__xludf.DUMMYFUNCTION("REGEXREPLACE(G1882, ""_[a-z]{1,2}$"", """")"),"osc2015113")</f>
        <v>osc2015113</v>
      </c>
      <c r="BD1882" s="1826" t="s">
        <v>1270</v>
      </c>
      <c r="BF1882" s="1815" t="s">
        <v>10932</v>
      </c>
    </row>
    <row r="1883">
      <c r="A1883" s="44">
        <v>1883.0</v>
      </c>
      <c r="B1883" s="129" t="s">
        <v>152</v>
      </c>
      <c r="C1883" s="62" t="s">
        <v>115</v>
      </c>
      <c r="D1883" s="62" t="s">
        <v>153</v>
      </c>
      <c r="E1883" s="1826"/>
      <c r="F1883" s="143" t="s">
        <v>10916</v>
      </c>
      <c r="G1883" s="1857" t="s">
        <v>10917</v>
      </c>
      <c r="H1883" s="1858" t="s">
        <v>153</v>
      </c>
      <c r="I1883" s="1859" t="s">
        <v>10730</v>
      </c>
      <c r="J1883" s="1827">
        <v>45694.0</v>
      </c>
      <c r="K1883" s="143" t="s">
        <v>10933</v>
      </c>
      <c r="L1883" s="143"/>
      <c r="M1883" s="1828" t="s">
        <v>10921</v>
      </c>
      <c r="N1883" s="143" t="s">
        <v>10922</v>
      </c>
      <c r="O1883" s="1829">
        <v>1.0</v>
      </c>
      <c r="P1883" s="1830" t="s">
        <v>10923</v>
      </c>
      <c r="Q1883" s="52" t="str">
        <f t="array" ref="Q1883"> if(iserror(MATCH(V1883, 'File Links'!C:C, 0)), "N/A", HYPERLINK(INDEX('File Links'!B:B, MATCH(P1883, 'File Links'!C:C, 0))))</f>
        <v>https://drive.google.com/file/d/1UOMf-snqsk6_xm9569d5Yr7tIrEVriap/view?usp=drivesdk</v>
      </c>
      <c r="R1883" s="1841" t="s">
        <v>10924</v>
      </c>
      <c r="S1883" s="151" t="s">
        <v>10720</v>
      </c>
      <c r="T1883" s="129"/>
      <c r="U1883" s="1837">
        <v>1.0</v>
      </c>
      <c r="V1883" s="198" t="str">
        <f t="shared" si="119"/>
        <v>10.1126--science.aac4716.pdf</v>
      </c>
      <c r="W1883" s="1864" t="s">
        <v>164</v>
      </c>
      <c r="X1883" s="54" t="str">
        <f t="array" ref="X1883"> if(iserror(MATCH(V1883, 'File Links'!C:C, 0)), "N/A", HYPERLINK(INDEX('File Links'!B:B, MATCH(V1883, 'File Links'!C:C, 0))))</f>
        <v>https://drive.google.com/file/d/1UMAh9VGta6ExS2-Lb6GkDF4fmnI2EMeM/view?usp=drivesdk</v>
      </c>
      <c r="Z1883" s="143" t="s">
        <v>226</v>
      </c>
      <c r="AA1883" s="143" t="s">
        <v>10934</v>
      </c>
      <c r="AB1883" s="143" t="s">
        <v>10935</v>
      </c>
      <c r="AC1883" s="143" t="s">
        <v>10936</v>
      </c>
      <c r="AD1883" s="143" t="s">
        <v>10937</v>
      </c>
      <c r="AE1883" s="1829">
        <v>1.0</v>
      </c>
      <c r="AF1883" s="1829">
        <v>125.0</v>
      </c>
      <c r="AG1883" s="1829">
        <v>0.93</v>
      </c>
      <c r="AH1883" s="143" t="s">
        <v>173</v>
      </c>
      <c r="AI1883" s="143" t="s">
        <v>812</v>
      </c>
      <c r="AJ1883" s="1829" t="s">
        <v>138</v>
      </c>
      <c r="AK1883" s="1850"/>
      <c r="AL1883" s="143" t="s">
        <v>186</v>
      </c>
      <c r="AM1883" s="1866" t="s">
        <v>137</v>
      </c>
      <c r="AN1883" s="330" t="s">
        <v>138</v>
      </c>
      <c r="AO1883" s="1837">
        <v>177.0</v>
      </c>
      <c r="AP1883" s="1837">
        <v>1.18</v>
      </c>
      <c r="AQ1883" s="143" t="s">
        <v>173</v>
      </c>
      <c r="AR1883" s="1864" t="s">
        <v>140</v>
      </c>
      <c r="AS1883" s="1829">
        <v>0.001</v>
      </c>
      <c r="AT1883" s="143" t="s">
        <v>135</v>
      </c>
      <c r="AU1883" s="1871" t="s">
        <v>186</v>
      </c>
      <c r="AV1883" s="1868" t="s">
        <v>137</v>
      </c>
      <c r="AW1883" s="1869" t="s">
        <v>10938</v>
      </c>
      <c r="AX1883" s="1826" t="s">
        <v>151</v>
      </c>
      <c r="AY1883" s="61" t="str">
        <f>IFERROR(__xludf.DUMMYFUNCTION("vlookup(BB1883,importrange(""https://docs.google.com/spreadsheets/d/1d2vevQ_7D_v35q4wCQ4RpQ_IPoTwEMB9Yp6ymwlPqew/edit?gid=984458430#gid=984458430"", ""'replication success'!A:K""), 11, FAlSE)"),"")</f>
        <v/>
      </c>
      <c r="AZ1883" s="61" t="str">
        <f>IFERROR(__xludf.DUMMYFUNCTION("vlookup(BB1883,importrange(""https://docs.google.com/spreadsheets/d/1d2vevQ_7D_v35q4wCQ4RpQ_IPoTwEMB9Yp6ymwlPqew/edit?gid=984458430#gid=984458430"", ""'replication success'!A:M""), 12, FAlSE)"),"")</f>
        <v/>
      </c>
      <c r="BA1883" s="61" t="str">
        <f>IFERROR(__xludf.DUMMYFUNCTION("vlookup(BB1883,importrange(""https://docs.google.com/spreadsheets/d/1d2vevQ_7D_v35q4wCQ4RpQ_IPoTwEMB9Yp6ymwlPqew/edit?gid=984458430#gid=984458430"", ""'replication success'!A:M""), 13, FAlSE)"),"abstract")</f>
        <v>abstract</v>
      </c>
      <c r="BB1883" s="61" t="str">
        <f>IFERROR(__xludf.DUMMYFUNCTION("REGEXREPLACE(G1883, ""_[a-z]{1,2}$"", """")"),"osc2015113")</f>
        <v>osc2015113</v>
      </c>
      <c r="BD1883" s="1826" t="s">
        <v>1270</v>
      </c>
      <c r="BE1883" s="484"/>
    </row>
    <row r="1884">
      <c r="A1884" s="44">
        <v>1884.0</v>
      </c>
      <c r="B1884" s="129" t="s">
        <v>152</v>
      </c>
      <c r="C1884" s="62" t="s">
        <v>115</v>
      </c>
      <c r="D1884" s="62" t="s">
        <v>1270</v>
      </c>
      <c r="E1884" s="1826"/>
      <c r="F1884" s="143" t="s">
        <v>10939</v>
      </c>
      <c r="G1884" s="143" t="s">
        <v>10940</v>
      </c>
      <c r="H1884" s="1858" t="s">
        <v>10941</v>
      </c>
      <c r="I1884" s="1872" t="s">
        <v>10739</v>
      </c>
      <c r="J1884" s="1827">
        <v>45694.0</v>
      </c>
      <c r="K1884" s="143" t="s">
        <v>10942</v>
      </c>
      <c r="L1884" s="1826" t="s">
        <v>10943</v>
      </c>
      <c r="M1884" s="1840" t="s">
        <v>10944</v>
      </c>
      <c r="N1884" s="143" t="s">
        <v>10945</v>
      </c>
      <c r="O1884" s="1829">
        <v>1.0</v>
      </c>
      <c r="P1884" s="1841" t="s">
        <v>10946</v>
      </c>
      <c r="Q1884" s="52" t="str">
        <f t="array" ref="Q1884"> if(iserror(MATCH(V1884, 'File Links'!C:C, 0)), "N/A", HYPERLINK(INDEX('File Links'!B:B, MATCH(P1884, 'File Links'!C:C, 0))))</f>
        <v>https://drive.google.com/file/d/1VxdhYWAzQnqcs07E_QIp8DFonsZrBpYe/view?usp=drivesdk</v>
      </c>
      <c r="R1884" s="143" t="s">
        <v>10947</v>
      </c>
      <c r="S1884" s="151" t="s">
        <v>10720</v>
      </c>
      <c r="T1884" s="129"/>
      <c r="U1884" s="1837">
        <v>1.0</v>
      </c>
      <c r="V1884" s="198" t="str">
        <f t="shared" si="119"/>
        <v>10.1126--science.aac4716.pdf</v>
      </c>
      <c r="W1884" s="1864" t="s">
        <v>164</v>
      </c>
      <c r="X1884" s="54" t="str">
        <f t="array" ref="X1884"> if(iserror(MATCH(V1884, 'File Links'!C:C, 0)), "N/A", HYPERLINK(INDEX('File Links'!B:B, MATCH(V1884, 'File Links'!C:C, 0))))</f>
        <v>https://drive.google.com/file/d/1UMAh9VGta6ExS2-Lb6GkDF4fmnI2EMeM/view?usp=drivesdk</v>
      </c>
      <c r="Z1884" s="143" t="s">
        <v>226</v>
      </c>
      <c r="AA1884" s="143" t="s">
        <v>10948</v>
      </c>
      <c r="AB1884" s="143" t="s">
        <v>10949</v>
      </c>
      <c r="AC1884" s="143" t="s">
        <v>10950</v>
      </c>
      <c r="AD1884" s="143" t="s">
        <v>10951</v>
      </c>
      <c r="AE1884" s="1829">
        <v>4.0</v>
      </c>
      <c r="AF1884" s="1829">
        <v>32.0</v>
      </c>
      <c r="AG1884" s="1829">
        <v>0.326</v>
      </c>
      <c r="AH1884" s="143" t="s">
        <v>139</v>
      </c>
      <c r="AI1884" s="143" t="s">
        <v>10952</v>
      </c>
      <c r="AJ1884" s="1829" t="s">
        <v>138</v>
      </c>
      <c r="AK1884" s="1850"/>
      <c r="AL1884" s="143" t="s">
        <v>186</v>
      </c>
      <c r="AM1884" s="1866" t="s">
        <v>141</v>
      </c>
      <c r="AN1884" s="330" t="s">
        <v>138</v>
      </c>
      <c r="AO1884" s="1837">
        <v>32.0</v>
      </c>
      <c r="AP1884" s="1837">
        <v>0.426</v>
      </c>
      <c r="AQ1884" s="143" t="s">
        <v>139</v>
      </c>
      <c r="AR1884" s="1864" t="s">
        <v>10953</v>
      </c>
      <c r="AS1884" s="1829">
        <v>0.001</v>
      </c>
      <c r="AT1884" s="143" t="s">
        <v>135</v>
      </c>
      <c r="AU1884" s="1871" t="s">
        <v>136</v>
      </c>
      <c r="AV1884" s="1868" t="s">
        <v>141</v>
      </c>
      <c r="AW1884" s="1869" t="s">
        <v>10954</v>
      </c>
      <c r="AX1884" s="1826" t="s">
        <v>143</v>
      </c>
      <c r="AY1884" s="61" t="str">
        <f>IFERROR(__xludf.DUMMYFUNCTION("vlookup(BB1884,importrange(""https://docs.google.com/spreadsheets/d/1d2vevQ_7D_v35q4wCQ4RpQ_IPoTwEMB9Yp6ymwlPqew/edit?gid=984458430#gid=984458430"", ""'replication success'!A:K""), 11, FAlSE)"),"")</f>
        <v/>
      </c>
      <c r="AZ1884" s="61" t="str">
        <f>IFERROR(__xludf.DUMMYFUNCTION("vlookup(BB1884,importrange(""https://docs.google.com/spreadsheets/d/1d2vevQ_7D_v35q4wCQ4RpQ_IPoTwEMB9Yp6ymwlPqew/edit?gid=984458430#gid=984458430"", ""'replication success'!A:M""), 12, FAlSE)"),"")</f>
        <v/>
      </c>
      <c r="BA1884" s="61" t="str">
        <f>IFERROR(__xludf.DUMMYFUNCTION("vlookup(BB1884,importrange(""https://docs.google.com/spreadsheets/d/1d2vevQ_7D_v35q4wCQ4RpQ_IPoTwEMB9Yp6ymwlPqew/edit?gid=984458430#gid=984458430"", ""'replication success'!A:M""), 13, FAlSE)"),"abstract")</f>
        <v>abstract</v>
      </c>
      <c r="BB1884" s="61" t="str">
        <f>IFERROR(__xludf.DUMMYFUNCTION("REGEXREPLACE(G1884, ""_[a-z]{1,2}$"", """")"),"osc2015114")</f>
        <v>osc2015114</v>
      </c>
      <c r="BD1884" s="1826" t="s">
        <v>1270</v>
      </c>
      <c r="BF1884" s="1815" t="s">
        <v>10955</v>
      </c>
    </row>
    <row r="1885">
      <c r="A1885" s="44">
        <v>1885.0</v>
      </c>
      <c r="B1885" s="62" t="s">
        <v>114</v>
      </c>
      <c r="C1885" s="62" t="s">
        <v>115</v>
      </c>
      <c r="D1885" s="62" t="s">
        <v>153</v>
      </c>
      <c r="E1885" s="1826"/>
      <c r="F1885" s="143" t="s">
        <v>10939</v>
      </c>
      <c r="G1885" s="1857" t="s">
        <v>10940</v>
      </c>
      <c r="H1885" s="1858" t="s">
        <v>153</v>
      </c>
      <c r="I1885" s="1859" t="s">
        <v>10730</v>
      </c>
      <c r="J1885" s="1827">
        <v>45694.0</v>
      </c>
      <c r="K1885" s="143" t="s">
        <v>10956</v>
      </c>
      <c r="L1885" s="143"/>
      <c r="M1885" s="1828" t="s">
        <v>10944</v>
      </c>
      <c r="N1885" s="143" t="s">
        <v>10945</v>
      </c>
      <c r="O1885" s="1829">
        <v>1.0</v>
      </c>
      <c r="P1885" s="1830" t="s">
        <v>10946</v>
      </c>
      <c r="Q1885" s="52" t="str">
        <f t="array" ref="Q1885"> if(iserror(MATCH(V1885, 'File Links'!C:C, 0)), "N/A", HYPERLINK(INDEX('File Links'!B:B, MATCH(P1885, 'File Links'!C:C, 0))))</f>
        <v>https://drive.google.com/file/d/1VxdhYWAzQnqcs07E_QIp8DFonsZrBpYe/view?usp=drivesdk</v>
      </c>
      <c r="R1885" s="1841" t="s">
        <v>10947</v>
      </c>
      <c r="S1885" s="151" t="s">
        <v>10720</v>
      </c>
      <c r="T1885" s="129"/>
      <c r="U1885" s="1837">
        <v>1.0</v>
      </c>
      <c r="V1885" s="198" t="str">
        <f t="shared" si="119"/>
        <v>10.1126--science.aac4716.pdf</v>
      </c>
      <c r="W1885" s="1864" t="s">
        <v>3807</v>
      </c>
      <c r="X1885" s="54" t="str">
        <f t="array" ref="X1885"> if(iserror(MATCH(V1885, 'File Links'!C:C, 0)), "N/A", HYPERLINK(INDEX('File Links'!B:B, MATCH(V1885, 'File Links'!C:C, 0))))</f>
        <v>https://drive.google.com/file/d/1UMAh9VGta6ExS2-Lb6GkDF4fmnI2EMeM/view?usp=drivesdk</v>
      </c>
      <c r="Z1885" s="143" t="s">
        <v>226</v>
      </c>
      <c r="AA1885" s="143" t="s">
        <v>10948</v>
      </c>
      <c r="AB1885" s="143" t="s">
        <v>10957</v>
      </c>
      <c r="AC1885" s="143" t="s">
        <v>10958</v>
      </c>
      <c r="AD1885" s="143" t="s">
        <v>10959</v>
      </c>
      <c r="AE1885" s="1829">
        <v>4.0</v>
      </c>
      <c r="AF1885" s="1829">
        <v>32.0</v>
      </c>
      <c r="AG1885" s="1829">
        <v>0.326</v>
      </c>
      <c r="AH1885" s="143" t="s">
        <v>139</v>
      </c>
      <c r="AI1885" s="143" t="s">
        <v>850</v>
      </c>
      <c r="AJ1885" s="1826" t="s">
        <v>138</v>
      </c>
      <c r="AK1885" s="143" t="s">
        <v>138</v>
      </c>
      <c r="AL1885" s="143" t="s">
        <v>186</v>
      </c>
      <c r="AM1885" s="1826" t="s">
        <v>137</v>
      </c>
      <c r="AN1885" s="330" t="s">
        <v>138</v>
      </c>
      <c r="AO1885" s="1829">
        <v>32.0</v>
      </c>
      <c r="AP1885" s="1829">
        <v>0.422</v>
      </c>
      <c r="AQ1885" s="143" t="s">
        <v>139</v>
      </c>
      <c r="AR1885" s="1864" t="s">
        <v>813</v>
      </c>
      <c r="AS1885" s="1829">
        <v>0.001</v>
      </c>
      <c r="AT1885" s="143" t="s">
        <v>135</v>
      </c>
      <c r="AU1885" s="1871" t="s">
        <v>136</v>
      </c>
      <c r="AV1885" s="1868" t="s">
        <v>137</v>
      </c>
      <c r="AW1885" s="1869" t="s">
        <v>10960</v>
      </c>
      <c r="AX1885" s="1826" t="s">
        <v>143</v>
      </c>
      <c r="AY1885" s="61" t="str">
        <f>IFERROR(__xludf.DUMMYFUNCTION("vlookup(BB1885,importrange(""https://docs.google.com/spreadsheets/d/1d2vevQ_7D_v35q4wCQ4RpQ_IPoTwEMB9Yp6ymwlPqew/edit?gid=984458430#gid=984458430"", ""'replication success'!A:K""), 11, FAlSE)"),"")</f>
        <v/>
      </c>
      <c r="AZ1885" s="61" t="str">
        <f>IFERROR(__xludf.DUMMYFUNCTION("vlookup(BB1885,importrange(""https://docs.google.com/spreadsheets/d/1d2vevQ_7D_v35q4wCQ4RpQ_IPoTwEMB9Yp6ymwlPqew/edit?gid=984458430#gid=984458430"", ""'replication success'!A:M""), 12, FAlSE)"),"")</f>
        <v/>
      </c>
      <c r="BA1885" s="61" t="str">
        <f>IFERROR(__xludf.DUMMYFUNCTION("vlookup(BB1885,importrange(""https://docs.google.com/spreadsheets/d/1d2vevQ_7D_v35q4wCQ4RpQ_IPoTwEMB9Yp6ymwlPqew/edit?gid=984458430#gid=984458430"", ""'replication success'!A:M""), 13, FAlSE)"),"abstract")</f>
        <v>abstract</v>
      </c>
      <c r="BB1885" s="61" t="str">
        <f>IFERROR(__xludf.DUMMYFUNCTION("REGEXREPLACE(G1885, ""_[a-z]{1,2}$"", """")"),"osc2015114")</f>
        <v>osc2015114</v>
      </c>
      <c r="BD1885" s="1826" t="s">
        <v>1270</v>
      </c>
    </row>
    <row r="1886">
      <c r="A1886" s="44">
        <v>1886.0</v>
      </c>
      <c r="B1886" s="62" t="s">
        <v>114</v>
      </c>
      <c r="C1886" s="62" t="s">
        <v>115</v>
      </c>
      <c r="D1886" s="62" t="s">
        <v>1270</v>
      </c>
      <c r="E1886" s="1826"/>
      <c r="F1886" s="143" t="s">
        <v>10961</v>
      </c>
      <c r="G1886" s="143" t="s">
        <v>10962</v>
      </c>
      <c r="H1886" s="1859" t="s">
        <v>10963</v>
      </c>
      <c r="I1886" s="1872" t="s">
        <v>10739</v>
      </c>
      <c r="J1886" s="1827">
        <v>45694.0</v>
      </c>
      <c r="K1886" s="143" t="s">
        <v>10919</v>
      </c>
      <c r="L1886" s="143" t="s">
        <v>10964</v>
      </c>
      <c r="M1886" s="1840" t="s">
        <v>10965</v>
      </c>
      <c r="N1886" s="143" t="s">
        <v>10966</v>
      </c>
      <c r="O1886" s="1829">
        <v>2.0</v>
      </c>
      <c r="P1886" s="1841" t="s">
        <v>10967</v>
      </c>
      <c r="Q1886" s="52" t="str">
        <f t="array" ref="Q1886"> if(iserror(MATCH(V1886, 'File Links'!C:C, 0)), "N/A", HYPERLINK(INDEX('File Links'!B:B, MATCH(P1886, 'File Links'!C:C, 0))))</f>
        <v>https://drive.google.com/file/d/1-STrPNxtwFZUvuNyyXDlz1bTmYscRd6t/view?usp=drivesdk</v>
      </c>
      <c r="R1886" s="143" t="s">
        <v>10968</v>
      </c>
      <c r="S1886" s="151" t="s">
        <v>10969</v>
      </c>
      <c r="T1886" s="129"/>
      <c r="U1886" s="1826"/>
      <c r="V1886" s="198" t="str">
        <f t="shared" si="119"/>
        <v>10.17605--osf.io--ictp5.pdf</v>
      </c>
      <c r="W1886" s="1864" t="s">
        <v>164</v>
      </c>
      <c r="X1886" s="54" t="str">
        <f t="array" ref="X1886"> if(iserror(MATCH(V1886, 'File Links'!C:C, 0)), "N/A", HYPERLINK(INDEX('File Links'!B:B, MATCH(V1886, 'File Links'!C:C, 0))))</f>
        <v>https://drive.google.com/file/d/1aZbByDdOVHRhBNFrVHpONghJoQFgQzen/view?usp=drivesdk</v>
      </c>
      <c r="Z1886" s="143" t="s">
        <v>148</v>
      </c>
      <c r="AA1886" s="143" t="s">
        <v>10970</v>
      </c>
      <c r="AB1886" s="143" t="s">
        <v>10971</v>
      </c>
      <c r="AC1886" s="143" t="s">
        <v>10972</v>
      </c>
      <c r="AD1886" s="143" t="s">
        <v>10973</v>
      </c>
      <c r="AE1886" s="1829">
        <v>2.0</v>
      </c>
      <c r="AF1886" s="1829">
        <v>32.0</v>
      </c>
      <c r="AG1886" s="143" t="s">
        <v>10974</v>
      </c>
      <c r="AH1886" s="143" t="s">
        <v>134</v>
      </c>
      <c r="AI1886" s="143" t="s">
        <v>875</v>
      </c>
      <c r="AJ1886" s="1826" t="s">
        <v>138</v>
      </c>
      <c r="AK1886" s="143" t="s">
        <v>138</v>
      </c>
      <c r="AL1886" s="143" t="s">
        <v>186</v>
      </c>
      <c r="AM1886" s="1866" t="s">
        <v>137</v>
      </c>
      <c r="AN1886" s="330" t="s">
        <v>138</v>
      </c>
      <c r="AO1886" s="1829">
        <v>8.0</v>
      </c>
      <c r="AP1886" s="143" t="s">
        <v>10975</v>
      </c>
      <c r="AQ1886" s="143" t="s">
        <v>173</v>
      </c>
      <c r="AR1886" s="1864" t="s">
        <v>813</v>
      </c>
      <c r="AS1886" s="1829">
        <v>0.197</v>
      </c>
      <c r="AT1886" s="143" t="s">
        <v>172</v>
      </c>
      <c r="AU1886" s="1871" t="s">
        <v>136</v>
      </c>
      <c r="AV1886" s="1868" t="s">
        <v>137</v>
      </c>
      <c r="AW1886" s="1869" t="s">
        <v>10976</v>
      </c>
      <c r="AX1886" s="1826" t="s">
        <v>143</v>
      </c>
      <c r="AY1886" s="61" t="str">
        <f>IFERROR(__xludf.DUMMYFUNCTION("vlookup(BB1886,importrange(""https://docs.google.com/spreadsheets/d/1d2vevQ_7D_v35q4wCQ4RpQ_IPoTwEMB9Yp6ymwlPqew/edit?gid=984458430#gid=984458430"", ""'replication success'!A:K""), 11, FAlSE)"),"failed")</f>
        <v>failed</v>
      </c>
      <c r="AZ1886" s="61" t="str">
        <f>IFERROR(__xludf.DUMMYFUNCTION("vlookup(BB1886,importrange(""https://docs.google.com/spreadsheets/d/1d2vevQ_7D_v35q4wCQ4RpQ_IPoTwEMB9Yp6ymwlPqew/edit?gid=984458430#gid=984458430"", ""'replication success'!A:M""), 12, FAlSE)"),"Unlike in Nurmsoo and Bloom (2008), the confirmatory analysis for the current
replication attempt did not reveal above-chance performance by older children on “where” trials.
Thus, it is clear that we failed to replicate the original study’s finding.")</f>
        <v>Unlike in Nurmsoo and Bloom (2008), the confirmatory analysis for the current
replication attempt did not reveal above-chance performance by older children on “where” trials.
Thus, it is clear that we failed to replicate the original study’s finding.</v>
      </c>
      <c r="BA1886" s="61" t="str">
        <f>IFERROR(__xludf.DUMMYFUNCTION("vlookup(BB1886,importrange(""https://docs.google.com/spreadsheets/d/1d2vevQ_7D_v35q4wCQ4RpQ_IPoTwEMB9Yp6ymwlPqew/edit?gid=984458430#gid=984458430"", ""'replication success'!A:M""), 13, FAlSE)"),"pg. 5")</f>
        <v>pg. 5</v>
      </c>
      <c r="BB1886" s="61" t="str">
        <f>IFERROR(__xludf.DUMMYFUNCTION("REGEXREPLACE(G1886, ""_[a-z]{1,2}$"", """")"),"osc2015115")</f>
        <v>osc2015115</v>
      </c>
      <c r="BD1886" s="1826" t="s">
        <v>1270</v>
      </c>
      <c r="BF1886" s="1815" t="s">
        <v>10955</v>
      </c>
    </row>
    <row r="1887">
      <c r="A1887" s="44">
        <v>1887.0</v>
      </c>
      <c r="B1887" s="129" t="s">
        <v>152</v>
      </c>
      <c r="C1887" s="62" t="s">
        <v>115</v>
      </c>
      <c r="D1887" s="62" t="s">
        <v>153</v>
      </c>
      <c r="E1887" s="1826"/>
      <c r="F1887" s="143" t="s">
        <v>10961</v>
      </c>
      <c r="G1887" s="1857" t="s">
        <v>10962</v>
      </c>
      <c r="H1887" s="1858" t="s">
        <v>153</v>
      </c>
      <c r="I1887" s="1859" t="s">
        <v>10730</v>
      </c>
      <c r="J1887" s="1827">
        <v>45694.0</v>
      </c>
      <c r="K1887" s="143" t="s">
        <v>10977</v>
      </c>
      <c r="L1887" s="143"/>
      <c r="M1887" s="1828" t="s">
        <v>10965</v>
      </c>
      <c r="N1887" s="143" t="s">
        <v>10966</v>
      </c>
      <c r="O1887" s="1829">
        <v>1.0</v>
      </c>
      <c r="P1887" s="1830" t="s">
        <v>10967</v>
      </c>
      <c r="Q1887" s="52" t="str">
        <f t="array" ref="Q1887"> if(iserror(MATCH(V1887, 'File Links'!C:C, 0)), "N/A", HYPERLINK(INDEX('File Links'!B:B, MATCH(P1887, 'File Links'!C:C, 0))))</f>
        <v>https://drive.google.com/file/d/1-STrPNxtwFZUvuNyyXDlz1bTmYscRd6t/view?usp=drivesdk</v>
      </c>
      <c r="R1887" s="1841" t="s">
        <v>10968</v>
      </c>
      <c r="S1887" s="151" t="s">
        <v>10969</v>
      </c>
      <c r="T1887" s="151"/>
      <c r="U1887" s="1826"/>
      <c r="V1887" s="198" t="str">
        <f t="shared" si="119"/>
        <v>10.17605--osf.io--ictp5.pdf</v>
      </c>
      <c r="W1887" s="1864" t="s">
        <v>3570</v>
      </c>
      <c r="X1887" s="54" t="str">
        <f t="array" ref="X1887"> if(iserror(MATCH(V1887, 'File Links'!C:C, 0)), "N/A", HYPERLINK(INDEX('File Links'!B:B, MATCH(V1887, 'File Links'!C:C, 0))))</f>
        <v>https://drive.google.com/file/d/1aZbByDdOVHRhBNFrVHpONghJoQFgQzen/view?usp=drivesdk</v>
      </c>
      <c r="Z1887" s="143" t="s">
        <v>148</v>
      </c>
      <c r="AA1887" s="143" t="s">
        <v>10978</v>
      </c>
      <c r="AB1887" s="143" t="s">
        <v>10979</v>
      </c>
      <c r="AC1887" s="143" t="s">
        <v>10980</v>
      </c>
      <c r="AD1887" s="143" t="s">
        <v>10981</v>
      </c>
      <c r="AE1887" s="1829">
        <v>2.0</v>
      </c>
      <c r="AF1887" s="1829">
        <v>32.0</v>
      </c>
      <c r="AG1887" s="143" t="s">
        <v>10974</v>
      </c>
      <c r="AH1887" s="143" t="s">
        <v>134</v>
      </c>
      <c r="AI1887" s="143" t="s">
        <v>875</v>
      </c>
      <c r="AJ1887" s="1826" t="s">
        <v>138</v>
      </c>
      <c r="AK1887" s="143" t="s">
        <v>138</v>
      </c>
      <c r="AL1887" s="143" t="s">
        <v>186</v>
      </c>
      <c r="AM1887" s="1866" t="s">
        <v>137</v>
      </c>
      <c r="AN1887" s="330" t="s">
        <v>138</v>
      </c>
      <c r="AO1887" s="1829">
        <v>8.0</v>
      </c>
      <c r="AP1887" s="143" t="s">
        <v>10982</v>
      </c>
      <c r="AQ1887" s="143" t="s">
        <v>134</v>
      </c>
      <c r="AR1887" s="1864" t="s">
        <v>813</v>
      </c>
      <c r="AS1887" s="1829">
        <v>0.197</v>
      </c>
      <c r="AT1887" s="143" t="s">
        <v>172</v>
      </c>
      <c r="AU1887" s="1871" t="s">
        <v>136</v>
      </c>
      <c r="AV1887" s="1868" t="s">
        <v>137</v>
      </c>
      <c r="AW1887" s="1869" t="s">
        <v>10983</v>
      </c>
      <c r="AX1887" s="1826" t="s">
        <v>143</v>
      </c>
      <c r="AY1887" s="61" t="str">
        <f>IFERROR(__xludf.DUMMYFUNCTION("vlookup(BB1887,importrange(""https://docs.google.com/spreadsheets/d/1d2vevQ_7D_v35q4wCQ4RpQ_IPoTwEMB9Yp6ymwlPqew/edit?gid=984458430#gid=984458430"", ""'replication success'!A:K""), 11, FAlSE)"),"failed")</f>
        <v>failed</v>
      </c>
      <c r="AZ1887" s="61" t="str">
        <f>IFERROR(__xludf.DUMMYFUNCTION("vlookup(BB1887,importrange(""https://docs.google.com/spreadsheets/d/1d2vevQ_7D_v35q4wCQ4RpQ_IPoTwEMB9Yp6ymwlPqew/edit?gid=984458430#gid=984458430"", ""'replication success'!A:M""), 12, FAlSE)"),"Unlike in Nurmsoo and Bloom (2008), the confirmatory analysis for the current
replication attempt did not reveal above-chance performance by older children on “where” trials.
Thus, it is clear that we failed to replicate the original study’s finding.")</f>
        <v>Unlike in Nurmsoo and Bloom (2008), the confirmatory analysis for the current
replication attempt did not reveal above-chance performance by older children on “where” trials.
Thus, it is clear that we failed to replicate the original study’s finding.</v>
      </c>
      <c r="BA1887" s="61" t="str">
        <f>IFERROR(__xludf.DUMMYFUNCTION("vlookup(BB1887,importrange(""https://docs.google.com/spreadsheets/d/1d2vevQ_7D_v35q4wCQ4RpQ_IPoTwEMB9Yp6ymwlPqew/edit?gid=984458430#gid=984458430"", ""'replication success'!A:M""), 13, FAlSE)"),"pg. 5")</f>
        <v>pg. 5</v>
      </c>
      <c r="BB1887" s="61" t="str">
        <f>IFERROR(__xludf.DUMMYFUNCTION("REGEXREPLACE(G1887, ""_[a-z]{1,2}$"", """")"),"osc2015115")</f>
        <v>osc2015115</v>
      </c>
      <c r="BD1887" s="1826" t="s">
        <v>1270</v>
      </c>
    </row>
    <row r="1888">
      <c r="A1888" s="44">
        <v>1888.0</v>
      </c>
      <c r="B1888" s="62" t="s">
        <v>152</v>
      </c>
      <c r="C1888" s="62" t="s">
        <v>115</v>
      </c>
      <c r="D1888" s="62" t="s">
        <v>1270</v>
      </c>
      <c r="E1888" s="1826"/>
      <c r="F1888" s="143" t="s">
        <v>10984</v>
      </c>
      <c r="G1888" s="143" t="s">
        <v>10985</v>
      </c>
      <c r="H1888" s="1858" t="s">
        <v>10986</v>
      </c>
      <c r="I1888" s="1872" t="s">
        <v>10739</v>
      </c>
      <c r="J1888" s="1827">
        <v>45694.0</v>
      </c>
      <c r="K1888" s="143" t="s">
        <v>10987</v>
      </c>
      <c r="L1888" s="1826" t="s">
        <v>10988</v>
      </c>
      <c r="M1888" s="1840" t="s">
        <v>10989</v>
      </c>
      <c r="N1888" s="143" t="s">
        <v>10990</v>
      </c>
      <c r="O1888" s="1829">
        <v>1.0</v>
      </c>
      <c r="P1888" s="1841" t="s">
        <v>10991</v>
      </c>
      <c r="Q1888" s="52" t="str">
        <f t="array" ref="Q1888"> if(iserror(MATCH(V1888, 'File Links'!C:C, 0)), "N/A", HYPERLINK(INDEX('File Links'!B:B, MATCH(P1888, 'File Links'!C:C, 0))))</f>
        <v>https://drive.google.com/file/d/15VbpcEsW9L5op3IMpHA4I2dI5ndZgOpe/view?usp=drivesdk</v>
      </c>
      <c r="R1888" s="143" t="s">
        <v>10992</v>
      </c>
      <c r="S1888" s="151" t="s">
        <v>10993</v>
      </c>
      <c r="T1888" s="151"/>
      <c r="U1888" s="1837"/>
      <c r="V1888" s="198" t="str">
        <f t="shared" si="119"/>
        <v>10.3389--fpsyg.2014.00786.pdf</v>
      </c>
      <c r="W1888" s="1864" t="s">
        <v>10994</v>
      </c>
      <c r="X1888" s="54" t="str">
        <f t="array" ref="X1888"> if(iserror(MATCH(V1888, 'File Links'!C:C, 0)), "N/A", HYPERLINK(INDEX('File Links'!B:B, MATCH(V1888, 'File Links'!C:C, 0))))</f>
        <v>https://drive.google.com/file/d/1X8xl-ktO34rqHxXEr72Dhva7VBCdkSZl/view?usp=drivesdk</v>
      </c>
      <c r="Z1888" s="143" t="s">
        <v>148</v>
      </c>
      <c r="AA1888" s="1834" t="s">
        <v>10995</v>
      </c>
      <c r="AB1888" s="143" t="s">
        <v>10996</v>
      </c>
      <c r="AC1888" s="143" t="s">
        <v>10997</v>
      </c>
      <c r="AD1888" s="143" t="s">
        <v>10998</v>
      </c>
      <c r="AE1888" s="1873">
        <v>45689.0</v>
      </c>
      <c r="AF1888" s="1829">
        <v>173.0</v>
      </c>
      <c r="AG1888" s="1829" t="s">
        <v>10999</v>
      </c>
      <c r="AH1888" s="143" t="s">
        <v>134</v>
      </c>
      <c r="AI1888" s="143" t="s">
        <v>812</v>
      </c>
      <c r="AJ1888" s="1837">
        <v>0.01</v>
      </c>
      <c r="AK1888" s="143" t="s">
        <v>135</v>
      </c>
      <c r="AL1888" s="143" t="s">
        <v>186</v>
      </c>
      <c r="AM1888" s="1874" t="s">
        <v>141</v>
      </c>
      <c r="AN1888" s="330" t="s">
        <v>138</v>
      </c>
      <c r="AO1888" s="1837">
        <v>140.0</v>
      </c>
      <c r="AP1888" s="1837" t="s">
        <v>11000</v>
      </c>
      <c r="AQ1888" s="143" t="s">
        <v>134</v>
      </c>
      <c r="AR1888" s="1864" t="s">
        <v>140</v>
      </c>
      <c r="AS1888" s="1837">
        <v>0.001</v>
      </c>
      <c r="AT1888" s="143" t="s">
        <v>135</v>
      </c>
      <c r="AU1888" s="1871" t="s">
        <v>136</v>
      </c>
      <c r="AV1888" s="1868" t="s">
        <v>141</v>
      </c>
      <c r="AW1888" s="1869" t="s">
        <v>11001</v>
      </c>
      <c r="AX1888" s="1826" t="s">
        <v>143</v>
      </c>
      <c r="AY1888" s="61" t="str">
        <f>IFERROR(__xludf.DUMMYFUNCTION("vlookup(BB1888,importrange(""https://docs.google.com/spreadsheets/d/1d2vevQ_7D_v35q4wCQ4RpQ_IPoTwEMB9Yp6ymwlPqew/edit?gid=984458430#gid=984458430"", ""'replication success'!A:K""), 11, FAlSE)"),"successful")</f>
        <v>successful</v>
      </c>
      <c r="AZ1888" s="61" t="str">
        <f>IFERROR(__xludf.DUMMYFUNCTION("vlookup(BB1888,importrange(""https://docs.google.com/spreadsheets/d/1d2vevQ_7D_v35q4wCQ4RpQ_IPoTwEMB9Yp6ymwlPqew/edit?gid=984458430#gid=984458430"", ""'replication success'!A:M""), 12, FAlSE)"),"We successfully replicated the crowd within effect, both when
the second guess was made immediately after the first guess, as well as when it was
made 3 weeks later.")</f>
        <v>We successfully replicated the crowd within effect, both when
the second guess was made immediately after the first guess, as well as when it was
made 3 weeks later.</v>
      </c>
      <c r="BA1888" s="61" t="str">
        <f>IFERROR(__xludf.DUMMYFUNCTION("vlookup(BB1888,importrange(""https://docs.google.com/spreadsheets/d/1d2vevQ_7D_v35q4wCQ4RpQ_IPoTwEMB9Yp6ymwlPqew/edit?gid=984458430#gid=984458430"", ""'replication success'!A:M""), 13, FAlSE)"),"abstract")</f>
        <v>abstract</v>
      </c>
      <c r="BB1888" s="61" t="str">
        <f>IFERROR(__xludf.DUMMYFUNCTION("REGEXREPLACE(G1888, ""_[a-z]{1,2}$"", """")"),"osc2015116")</f>
        <v>osc2015116</v>
      </c>
      <c r="BD1888" s="1826" t="s">
        <v>1270</v>
      </c>
      <c r="BF1888" s="1815" t="s">
        <v>10955</v>
      </c>
    </row>
    <row r="1889">
      <c r="A1889" s="44">
        <v>1889.0</v>
      </c>
      <c r="B1889" s="62" t="s">
        <v>114</v>
      </c>
      <c r="C1889" s="62" t="s">
        <v>115</v>
      </c>
      <c r="D1889" s="62" t="s">
        <v>153</v>
      </c>
      <c r="E1889" s="1826"/>
      <c r="F1889" s="143" t="s">
        <v>10984</v>
      </c>
      <c r="G1889" s="1857" t="s">
        <v>10985</v>
      </c>
      <c r="H1889" s="1858" t="s">
        <v>153</v>
      </c>
      <c r="I1889" s="1859" t="s">
        <v>10730</v>
      </c>
      <c r="J1889" s="1827">
        <v>45694.0</v>
      </c>
      <c r="K1889" s="143" t="s">
        <v>11002</v>
      </c>
      <c r="L1889" s="143"/>
      <c r="M1889" s="1828" t="s">
        <v>10989</v>
      </c>
      <c r="N1889" s="143" t="s">
        <v>10990</v>
      </c>
      <c r="O1889" s="1829">
        <v>1.0</v>
      </c>
      <c r="P1889" s="1830" t="s">
        <v>10991</v>
      </c>
      <c r="Q1889" s="52" t="str">
        <f t="array" ref="Q1889"> if(iserror(MATCH(V1889, 'File Links'!C:C, 0)), "N/A", HYPERLINK(INDEX('File Links'!B:B, MATCH(P1889, 'File Links'!C:C, 0))))</f>
        <v>https://drive.google.com/file/d/15VbpcEsW9L5op3IMpHA4I2dI5ndZgOpe/view?usp=drivesdk</v>
      </c>
      <c r="R1889" s="1841" t="s">
        <v>10992</v>
      </c>
      <c r="S1889" s="151" t="s">
        <v>10993</v>
      </c>
      <c r="T1889" s="151"/>
      <c r="U1889" s="1837">
        <v>1.0</v>
      </c>
      <c r="V1889" s="198" t="str">
        <f t="shared" si="119"/>
        <v>10.3389--fpsyg.2014.00786.pdf</v>
      </c>
      <c r="W1889" s="1864" t="s">
        <v>164</v>
      </c>
      <c r="X1889" s="54" t="str">
        <f t="array" ref="X1889"> if(iserror(MATCH(V1889, 'File Links'!C:C, 0)), "N/A", HYPERLINK(INDEX('File Links'!B:B, MATCH(V1889, 'File Links'!C:C, 0))))</f>
        <v>https://drive.google.com/file/d/1X8xl-ktO34rqHxXEr72Dhva7VBCdkSZl/view?usp=drivesdk</v>
      </c>
      <c r="Z1889" s="143" t="s">
        <v>148</v>
      </c>
      <c r="AA1889" s="143" t="s">
        <v>10995</v>
      </c>
      <c r="AB1889" s="143" t="s">
        <v>11003</v>
      </c>
      <c r="AC1889" s="143" t="s">
        <v>11004</v>
      </c>
      <c r="AD1889" s="143" t="s">
        <v>11005</v>
      </c>
      <c r="AE1889" s="1873">
        <v>45689.0</v>
      </c>
      <c r="AF1889" s="1829">
        <v>173.0</v>
      </c>
      <c r="AG1889" s="143" t="s">
        <v>10999</v>
      </c>
      <c r="AH1889" s="143" t="s">
        <v>134</v>
      </c>
      <c r="AI1889" s="143" t="s">
        <v>812</v>
      </c>
      <c r="AJ1889" s="1837">
        <v>0.01</v>
      </c>
      <c r="AK1889" s="143" t="s">
        <v>135</v>
      </c>
      <c r="AL1889" s="143" t="s">
        <v>136</v>
      </c>
      <c r="AM1889" s="1866" t="s">
        <v>137</v>
      </c>
      <c r="AN1889" s="330" t="s">
        <v>138</v>
      </c>
      <c r="AO1889" s="1829">
        <v>140.0</v>
      </c>
      <c r="AP1889" s="1829">
        <v>0.34</v>
      </c>
      <c r="AQ1889" s="143" t="s">
        <v>11006</v>
      </c>
      <c r="AR1889" s="1864" t="s">
        <v>140</v>
      </c>
      <c r="AS1889" s="1829">
        <v>0.001</v>
      </c>
      <c r="AT1889" s="143" t="s">
        <v>135</v>
      </c>
      <c r="AU1889" s="1871" t="s">
        <v>136</v>
      </c>
      <c r="AV1889" s="1868" t="s">
        <v>137</v>
      </c>
      <c r="AW1889" s="1869" t="s">
        <v>11007</v>
      </c>
      <c r="AX1889" s="1826" t="s">
        <v>143</v>
      </c>
      <c r="AY1889" s="61" t="str">
        <f>IFERROR(__xludf.DUMMYFUNCTION("vlookup(BB1889,importrange(""https://docs.google.com/spreadsheets/d/1d2vevQ_7D_v35q4wCQ4RpQ_IPoTwEMB9Yp6ymwlPqew/edit?gid=984458430#gid=984458430"", ""'replication success'!A:K""), 11, FAlSE)"),"successful")</f>
        <v>successful</v>
      </c>
      <c r="AZ1889" s="61" t="str">
        <f>IFERROR(__xludf.DUMMYFUNCTION("vlookup(BB1889,importrange(""https://docs.google.com/spreadsheets/d/1d2vevQ_7D_v35q4wCQ4RpQ_IPoTwEMB9Yp6ymwlPqew/edit?gid=984458430#gid=984458430"", ""'replication success'!A:M""), 12, FAlSE)"),"We successfully replicated the crowd within effect, both when
the second guess was made immediately after the first guess, as well as when it was
made 3 weeks later.")</f>
        <v>We successfully replicated the crowd within effect, both when
the second guess was made immediately after the first guess, as well as when it was
made 3 weeks later.</v>
      </c>
      <c r="BA1889" s="61" t="str">
        <f>IFERROR(__xludf.DUMMYFUNCTION("vlookup(BB1889,importrange(""https://docs.google.com/spreadsheets/d/1d2vevQ_7D_v35q4wCQ4RpQ_IPoTwEMB9Yp6ymwlPqew/edit?gid=984458430#gid=984458430"", ""'replication success'!A:M""), 13, FAlSE)"),"abstract")</f>
        <v>abstract</v>
      </c>
      <c r="BB1889" s="61" t="str">
        <f>IFERROR(__xludf.DUMMYFUNCTION("REGEXREPLACE(G1889, ""_[a-z]{1,2}$"", """")"),"osc2015116")</f>
        <v>osc2015116</v>
      </c>
      <c r="BD1889" s="1826" t="s">
        <v>1270</v>
      </c>
    </row>
    <row r="1890">
      <c r="A1890" s="44">
        <v>1890.0</v>
      </c>
      <c r="B1890" s="129" t="s">
        <v>152</v>
      </c>
      <c r="C1890" s="62" t="s">
        <v>115</v>
      </c>
      <c r="D1890" s="62" t="s">
        <v>1270</v>
      </c>
      <c r="E1890" s="1826"/>
      <c r="F1890" s="143" t="s">
        <v>11008</v>
      </c>
      <c r="G1890" s="143" t="s">
        <v>11009</v>
      </c>
      <c r="H1890" s="1858" t="s">
        <v>11010</v>
      </c>
      <c r="I1890" s="1872" t="s">
        <v>10739</v>
      </c>
      <c r="J1890" s="1827">
        <v>45694.0</v>
      </c>
      <c r="K1890" s="1839"/>
      <c r="L1890" s="143" t="s">
        <v>11011</v>
      </c>
      <c r="M1890" s="1840" t="s">
        <v>11012</v>
      </c>
      <c r="N1890" s="143" t="s">
        <v>11013</v>
      </c>
      <c r="O1890" s="1829">
        <v>1.0</v>
      </c>
      <c r="P1890" s="1841" t="s">
        <v>11014</v>
      </c>
      <c r="Q1890" s="52" t="str">
        <f t="array" ref="Q1890"> if(iserror(MATCH(V1890, 'File Links'!C:C, 0)), "N/A", HYPERLINK(INDEX('File Links'!B:B, MATCH(P1890, 'File Links'!C:C, 0))))</f>
        <v>https://drive.google.com/file/d/1WsASGCOfsob-mQCui8A8AumUCdwI1vZt/view?usp=drivesdk</v>
      </c>
      <c r="R1890" s="143" t="s">
        <v>11015</v>
      </c>
      <c r="S1890" s="151" t="s">
        <v>10720</v>
      </c>
      <c r="T1890" s="129"/>
      <c r="U1890" s="1837">
        <v>1.0</v>
      </c>
      <c r="V1890" s="198" t="str">
        <f t="shared" si="119"/>
        <v>10.1126--science.aac4716.pdf</v>
      </c>
      <c r="W1890" s="1864" t="s">
        <v>164</v>
      </c>
      <c r="X1890" s="54" t="str">
        <f t="array" ref="X1890"> if(iserror(MATCH(V1890, 'File Links'!C:C, 0)), "N/A", HYPERLINK(INDEX('File Links'!B:B, MATCH(V1890, 'File Links'!C:C, 0))))</f>
        <v>https://drive.google.com/file/d/1UMAh9VGta6ExS2-Lb6GkDF4fmnI2EMeM/view?usp=drivesdk</v>
      </c>
      <c r="Z1890" s="143" t="s">
        <v>148</v>
      </c>
      <c r="AA1890" s="143" t="s">
        <v>11016</v>
      </c>
      <c r="AB1890" s="143" t="s">
        <v>11017</v>
      </c>
      <c r="AC1890" s="143" t="s">
        <v>11018</v>
      </c>
      <c r="AD1890" s="143" t="s">
        <v>11019</v>
      </c>
      <c r="AE1890" s="1829">
        <v>5.0</v>
      </c>
      <c r="AF1890" s="1829">
        <v>12.0</v>
      </c>
      <c r="AG1890" s="143" t="s">
        <v>11020</v>
      </c>
      <c r="AH1890" s="143" t="s">
        <v>134</v>
      </c>
      <c r="AI1890" s="143" t="s">
        <v>813</v>
      </c>
      <c r="AJ1890" s="1837">
        <v>1.0E-5</v>
      </c>
      <c r="AK1890" s="143" t="s">
        <v>135</v>
      </c>
      <c r="AL1890" s="143" t="s">
        <v>186</v>
      </c>
      <c r="AM1890" s="1866" t="s">
        <v>141</v>
      </c>
      <c r="AN1890" s="330" t="s">
        <v>138</v>
      </c>
      <c r="AO1890" s="1829">
        <v>12.0</v>
      </c>
      <c r="AP1890" s="143">
        <v>0.261</v>
      </c>
      <c r="AQ1890" s="143" t="s">
        <v>139</v>
      </c>
      <c r="AR1890" s="1864" t="s">
        <v>11021</v>
      </c>
      <c r="AS1890" s="1837">
        <v>1.0E-5</v>
      </c>
      <c r="AT1890" s="143" t="s">
        <v>135</v>
      </c>
      <c r="AU1890" s="1871" t="s">
        <v>186</v>
      </c>
      <c r="AV1890" s="1868" t="s">
        <v>141</v>
      </c>
      <c r="AW1890" s="1869" t="s">
        <v>11022</v>
      </c>
      <c r="AX1890" s="1826" t="s">
        <v>143</v>
      </c>
      <c r="AY1890" s="61" t="str">
        <f>IFERROR(__xludf.DUMMYFUNCTION("vlookup(BB1890,importrange(""https://docs.google.com/spreadsheets/d/1d2vevQ_7D_v35q4wCQ4RpQ_IPoTwEMB9Yp6ymwlPqew/edit?gid=984458430#gid=984458430"", ""'replication success'!A:K""), 11, FAlSE)"),"")</f>
        <v/>
      </c>
      <c r="AZ1890" s="61" t="str">
        <f>IFERROR(__xludf.DUMMYFUNCTION("vlookup(BB1890,importrange(""https://docs.google.com/spreadsheets/d/1d2vevQ_7D_v35q4wCQ4RpQ_IPoTwEMB9Yp6ymwlPqew/edit?gid=984458430#gid=984458430"", ""'replication success'!A:M""), 12, FAlSE)"),"")</f>
        <v/>
      </c>
      <c r="BA1890" s="61" t="str">
        <f>IFERROR(__xludf.DUMMYFUNCTION("vlookup(BB1890,importrange(""https://docs.google.com/spreadsheets/d/1d2vevQ_7D_v35q4wCQ4RpQ_IPoTwEMB9Yp6ymwlPqew/edit?gid=984458430#gid=984458430"", ""'replication success'!A:M""), 13, FAlSE)"),"abstract")</f>
        <v>abstract</v>
      </c>
      <c r="BB1890" s="61" t="str">
        <f>IFERROR(__xludf.DUMMYFUNCTION("REGEXREPLACE(G1890, ""_[a-z]{1,2}$"", """")"),"osc2015117")</f>
        <v>osc2015117</v>
      </c>
      <c r="BD1890" s="1826" t="s">
        <v>1270</v>
      </c>
      <c r="BF1890" s="1815" t="s">
        <v>10955</v>
      </c>
    </row>
    <row r="1891">
      <c r="A1891" s="44">
        <v>1891.0</v>
      </c>
      <c r="B1891" s="62" t="s">
        <v>114</v>
      </c>
      <c r="C1891" s="62" t="s">
        <v>115</v>
      </c>
      <c r="D1891" s="62" t="s">
        <v>153</v>
      </c>
      <c r="E1891" s="1826"/>
      <c r="F1891" s="143" t="s">
        <v>11008</v>
      </c>
      <c r="G1891" s="1857" t="s">
        <v>11009</v>
      </c>
      <c r="H1891" s="1858" t="s">
        <v>153</v>
      </c>
      <c r="I1891" s="1859" t="s">
        <v>10730</v>
      </c>
      <c r="J1891" s="1827">
        <v>45694.0</v>
      </c>
      <c r="K1891" s="1839"/>
      <c r="L1891" s="1851"/>
      <c r="M1891" s="1828" t="s">
        <v>11012</v>
      </c>
      <c r="N1891" s="143" t="s">
        <v>11013</v>
      </c>
      <c r="O1891" s="1829">
        <v>1.0</v>
      </c>
      <c r="P1891" s="1830" t="s">
        <v>11014</v>
      </c>
      <c r="Q1891" s="52" t="str">
        <f t="array" ref="Q1891"> if(iserror(MATCH(V1891, 'File Links'!C:C, 0)), "N/A", HYPERLINK(INDEX('File Links'!B:B, MATCH(P1891, 'File Links'!C:C, 0))))</f>
        <v>https://drive.google.com/file/d/1WsASGCOfsob-mQCui8A8AumUCdwI1vZt/view?usp=drivesdk</v>
      </c>
      <c r="R1891" s="1841" t="s">
        <v>11015</v>
      </c>
      <c r="S1891" s="151" t="s">
        <v>10720</v>
      </c>
      <c r="T1891" s="129"/>
      <c r="U1891" s="1837">
        <v>1.0</v>
      </c>
      <c r="V1891" s="198" t="str">
        <f t="shared" si="119"/>
        <v>10.1126--science.aac4716.pdf</v>
      </c>
      <c r="W1891" s="1864" t="s">
        <v>3807</v>
      </c>
      <c r="X1891" s="54" t="str">
        <f t="array" ref="X1891"> if(iserror(MATCH(V1891, 'File Links'!C:C, 0)), "N/A", HYPERLINK(INDEX('File Links'!B:B, MATCH(V1891, 'File Links'!C:C, 0))))</f>
        <v>https://drive.google.com/file/d/1UMAh9VGta6ExS2-Lb6GkDF4fmnI2EMeM/view?usp=drivesdk</v>
      </c>
      <c r="Z1891" s="143" t="s">
        <v>148</v>
      </c>
      <c r="AA1891" s="143" t="s">
        <v>11023</v>
      </c>
      <c r="AB1891" s="143" t="s">
        <v>11024</v>
      </c>
      <c r="AC1891" s="143" t="s">
        <v>11025</v>
      </c>
      <c r="AD1891" s="143" t="s">
        <v>11026</v>
      </c>
      <c r="AE1891" s="1829">
        <v>5.0</v>
      </c>
      <c r="AF1891" s="1829">
        <v>12.0</v>
      </c>
      <c r="AG1891" s="1829">
        <v>0.308</v>
      </c>
      <c r="AH1891" s="143" t="s">
        <v>139</v>
      </c>
      <c r="AI1891" s="143" t="s">
        <v>813</v>
      </c>
      <c r="AJ1891" s="1837">
        <v>1.0E-5</v>
      </c>
      <c r="AK1891" s="143" t="s">
        <v>135</v>
      </c>
      <c r="AL1891" s="143" t="s">
        <v>186</v>
      </c>
      <c r="AM1891" s="1866" t="s">
        <v>141</v>
      </c>
      <c r="AN1891" s="330" t="s">
        <v>138</v>
      </c>
      <c r="AO1891" s="1837">
        <v>12.0</v>
      </c>
      <c r="AP1891" s="1837" t="s">
        <v>11027</v>
      </c>
      <c r="AQ1891" s="143" t="s">
        <v>134</v>
      </c>
      <c r="AR1891" s="1866" t="s">
        <v>140</v>
      </c>
      <c r="AS1891" s="1837">
        <v>1.0E-5</v>
      </c>
      <c r="AT1891" s="143" t="s">
        <v>135</v>
      </c>
      <c r="AU1891" s="1871" t="s">
        <v>186</v>
      </c>
      <c r="AV1891" s="1868" t="s">
        <v>141</v>
      </c>
      <c r="AW1891" s="1869" t="s">
        <v>11028</v>
      </c>
      <c r="AX1891" s="1826" t="s">
        <v>143</v>
      </c>
      <c r="AY1891" s="61" t="str">
        <f>IFERROR(__xludf.DUMMYFUNCTION("vlookup(BB1891,importrange(""https://docs.google.com/spreadsheets/d/1d2vevQ_7D_v35q4wCQ4RpQ_IPoTwEMB9Yp6ymwlPqew/edit?gid=984458430#gid=984458430"", ""'replication success'!A:K""), 11, FAlSE)"),"")</f>
        <v/>
      </c>
      <c r="AZ1891" s="61" t="str">
        <f>IFERROR(__xludf.DUMMYFUNCTION("vlookup(BB1891,importrange(""https://docs.google.com/spreadsheets/d/1d2vevQ_7D_v35q4wCQ4RpQ_IPoTwEMB9Yp6ymwlPqew/edit?gid=984458430#gid=984458430"", ""'replication success'!A:M""), 12, FAlSE)"),"")</f>
        <v/>
      </c>
      <c r="BA1891" s="61" t="str">
        <f>IFERROR(__xludf.DUMMYFUNCTION("vlookup(BB1891,importrange(""https://docs.google.com/spreadsheets/d/1d2vevQ_7D_v35q4wCQ4RpQ_IPoTwEMB9Yp6ymwlPqew/edit?gid=984458430#gid=984458430"", ""'replication success'!A:M""), 13, FAlSE)"),"abstract")</f>
        <v>abstract</v>
      </c>
      <c r="BB1891" s="61" t="str">
        <f>IFERROR(__xludf.DUMMYFUNCTION("REGEXREPLACE(G1891, ""_[a-z]{1,2}$"", """")"),"osc2015117")</f>
        <v>osc2015117</v>
      </c>
      <c r="BD1891" s="1826" t="s">
        <v>1270</v>
      </c>
      <c r="BE1891" s="189"/>
    </row>
    <row r="1892">
      <c r="A1892" s="44">
        <v>1892.0</v>
      </c>
      <c r="B1892" s="129" t="s">
        <v>152</v>
      </c>
      <c r="C1892" s="62" t="s">
        <v>115</v>
      </c>
      <c r="D1892" s="62" t="s">
        <v>1270</v>
      </c>
      <c r="E1892" s="1826"/>
      <c r="F1892" s="143" t="s">
        <v>11029</v>
      </c>
      <c r="G1892" s="143" t="s">
        <v>11030</v>
      </c>
      <c r="H1892" s="1858" t="s">
        <v>11031</v>
      </c>
      <c r="I1892" s="1872" t="s">
        <v>10739</v>
      </c>
      <c r="J1892" s="1827">
        <v>45694.0</v>
      </c>
      <c r="K1892" s="1826" t="s">
        <v>10919</v>
      </c>
      <c r="L1892" s="1826" t="s">
        <v>11032</v>
      </c>
      <c r="M1892" s="1840" t="s">
        <v>11033</v>
      </c>
      <c r="N1892" s="143" t="s">
        <v>11034</v>
      </c>
      <c r="O1892" s="1829">
        <v>1.0</v>
      </c>
      <c r="P1892" s="1841" t="s">
        <v>11035</v>
      </c>
      <c r="Q1892" s="52" t="str">
        <f t="array" ref="Q1892"> if(iserror(MATCH(V1892, 'File Links'!C:C, 0)), "N/A", HYPERLINK(INDEX('File Links'!B:B, MATCH(P1892, 'File Links'!C:C, 0))))</f>
        <v>https://drive.google.com/file/d/1WwYYCOA_x1mX6TzeKfrhq1RdbnoCXoh0/view?usp=drivesdk</v>
      </c>
      <c r="R1892" s="143" t="s">
        <v>11036</v>
      </c>
      <c r="S1892" s="151" t="s">
        <v>10720</v>
      </c>
      <c r="T1892" s="129"/>
      <c r="U1892" s="1837">
        <v>1.0</v>
      </c>
      <c r="V1892" s="198" t="str">
        <f t="shared" si="119"/>
        <v>10.1126--science.aac4716.pdf</v>
      </c>
      <c r="W1892" s="1864" t="s">
        <v>164</v>
      </c>
      <c r="X1892" s="54" t="str">
        <f t="array" ref="X1892"> if(iserror(MATCH(V1892, 'File Links'!C:C, 0)), "N/A", HYPERLINK(INDEX('File Links'!B:B, MATCH(V1892, 'File Links'!C:C, 0))))</f>
        <v>https://drive.google.com/file/d/1UMAh9VGta6ExS2-Lb6GkDF4fmnI2EMeM/view?usp=drivesdk</v>
      </c>
      <c r="Z1892" s="143" t="s">
        <v>226</v>
      </c>
      <c r="AA1892" s="143" t="s">
        <v>11037</v>
      </c>
      <c r="AB1892" s="143" t="s">
        <v>11038</v>
      </c>
      <c r="AC1892" s="143" t="s">
        <v>11039</v>
      </c>
      <c r="AD1892" s="143" t="s">
        <v>11040</v>
      </c>
      <c r="AE1892" s="1829">
        <v>4.0</v>
      </c>
      <c r="AF1892" s="1829">
        <v>115.0</v>
      </c>
      <c r="AG1892" s="1829">
        <v>0.045</v>
      </c>
      <c r="AH1892" s="143" t="s">
        <v>139</v>
      </c>
      <c r="AI1892" s="143" t="s">
        <v>11041</v>
      </c>
      <c r="AJ1892" s="1829" t="s">
        <v>138</v>
      </c>
      <c r="AK1892" s="143" t="s">
        <v>138</v>
      </c>
      <c r="AL1892" s="143" t="s">
        <v>186</v>
      </c>
      <c r="AM1892" s="1866" t="s">
        <v>141</v>
      </c>
      <c r="AN1892" s="330" t="s">
        <v>138</v>
      </c>
      <c r="AO1892" s="1837">
        <v>166.0</v>
      </c>
      <c r="AP1892" s="1837">
        <v>0.002</v>
      </c>
      <c r="AQ1892" s="143" t="s">
        <v>139</v>
      </c>
      <c r="AR1892" s="1864" t="s">
        <v>11042</v>
      </c>
      <c r="AS1892" s="1829">
        <v>0.539</v>
      </c>
      <c r="AT1892" s="143" t="s">
        <v>172</v>
      </c>
      <c r="AU1892" s="1871" t="s">
        <v>186</v>
      </c>
      <c r="AV1892" s="1868" t="s">
        <v>141</v>
      </c>
      <c r="AW1892" s="1869" t="s">
        <v>11043</v>
      </c>
      <c r="AX1892" s="1826" t="s">
        <v>143</v>
      </c>
      <c r="AY1892" s="61" t="str">
        <f>IFERROR(__xludf.DUMMYFUNCTION("vlookup(BB1892,importrange(""https://docs.google.com/spreadsheets/d/1d2vevQ_7D_v35q4wCQ4RpQ_IPoTwEMB9Yp6ymwlPqew/edit?gid=984458430#gid=984458430"", ""'replication success'!A:K""), 11, FAlSE)"),"")</f>
        <v/>
      </c>
      <c r="AZ1892" s="61" t="str">
        <f>IFERROR(__xludf.DUMMYFUNCTION("vlookup(BB1892,importrange(""https://docs.google.com/spreadsheets/d/1d2vevQ_7D_v35q4wCQ4RpQ_IPoTwEMB9Yp6ymwlPqew/edit?gid=984458430#gid=984458430"", ""'replication success'!A:M""), 12, FAlSE)"),"")</f>
        <v/>
      </c>
      <c r="BA1892" s="61" t="str">
        <f>IFERROR(__xludf.DUMMYFUNCTION("vlookup(BB1892,importrange(""https://docs.google.com/spreadsheets/d/1d2vevQ_7D_v35q4wCQ4RpQ_IPoTwEMB9Yp6ymwlPqew/edit?gid=984458430#gid=984458430"", ""'replication success'!A:M""), 13, FAlSE)"),"abstract")</f>
        <v>abstract</v>
      </c>
      <c r="BB1892" s="61" t="str">
        <f>IFERROR(__xludf.DUMMYFUNCTION("REGEXREPLACE(G1892, ""_[a-z]{1,2}$"", """")"),"osc2015118")</f>
        <v>osc2015118</v>
      </c>
      <c r="BD1892" s="1826" t="s">
        <v>1270</v>
      </c>
      <c r="BF1892" s="1815" t="s">
        <v>11044</v>
      </c>
    </row>
    <row r="1893">
      <c r="A1893" s="44">
        <v>1893.0</v>
      </c>
      <c r="B1893" s="62" t="s">
        <v>114</v>
      </c>
      <c r="C1893" s="62" t="s">
        <v>115</v>
      </c>
      <c r="D1893" s="62" t="s">
        <v>153</v>
      </c>
      <c r="E1893" s="1826"/>
      <c r="F1893" s="143" t="s">
        <v>11029</v>
      </c>
      <c r="G1893" s="1857" t="s">
        <v>11030</v>
      </c>
      <c r="H1893" s="1858" t="s">
        <v>153</v>
      </c>
      <c r="I1893" s="1859" t="s">
        <v>10730</v>
      </c>
      <c r="J1893" s="1827">
        <v>45694.0</v>
      </c>
      <c r="K1893" s="143" t="s">
        <v>11045</v>
      </c>
      <c r="L1893" s="143"/>
      <c r="M1893" s="1828" t="s">
        <v>11033</v>
      </c>
      <c r="N1893" s="143" t="s">
        <v>11034</v>
      </c>
      <c r="O1893" s="1829">
        <v>1.0</v>
      </c>
      <c r="P1893" s="1830" t="s">
        <v>11035</v>
      </c>
      <c r="Q1893" s="52" t="str">
        <f t="array" ref="Q1893"> if(iserror(MATCH(V1893, 'File Links'!C:C, 0)), "N/A", HYPERLINK(INDEX('File Links'!B:B, MATCH(P1893, 'File Links'!C:C, 0))))</f>
        <v>https://drive.google.com/file/d/1WwYYCOA_x1mX6TzeKfrhq1RdbnoCXoh0/view?usp=drivesdk</v>
      </c>
      <c r="R1893" s="1841" t="s">
        <v>11036</v>
      </c>
      <c r="S1893" s="151" t="s">
        <v>10720</v>
      </c>
      <c r="T1893" s="129"/>
      <c r="U1893" s="1837">
        <v>1.0</v>
      </c>
      <c r="V1893" s="198" t="str">
        <f t="shared" si="119"/>
        <v>10.1126--science.aac4716.pdf</v>
      </c>
      <c r="W1893" s="1864" t="s">
        <v>164</v>
      </c>
      <c r="X1893" s="54" t="str">
        <f t="array" ref="X1893"> if(iserror(MATCH(V1893, 'File Links'!C:C, 0)), "N/A", HYPERLINK(INDEX('File Links'!B:B, MATCH(V1893, 'File Links'!C:C, 0))))</f>
        <v>https://drive.google.com/file/d/1UMAh9VGta6ExS2-Lb6GkDF4fmnI2EMeM/view?usp=drivesdk</v>
      </c>
      <c r="Z1893" s="143" t="s">
        <v>226</v>
      </c>
      <c r="AA1893" s="143" t="s">
        <v>11037</v>
      </c>
      <c r="AB1893" s="143" t="s">
        <v>11046</v>
      </c>
      <c r="AC1893" s="143" t="s">
        <v>11039</v>
      </c>
      <c r="AD1893" s="143" t="s">
        <v>11047</v>
      </c>
      <c r="AE1893" s="1829">
        <v>4.0</v>
      </c>
      <c r="AF1893" s="1829">
        <v>115.0</v>
      </c>
      <c r="AG1893" s="1829">
        <v>0.045</v>
      </c>
      <c r="AH1893" s="143" t="s">
        <v>139</v>
      </c>
      <c r="AI1893" s="143" t="s">
        <v>850</v>
      </c>
      <c r="AJ1893" s="1826" t="s">
        <v>138</v>
      </c>
      <c r="AK1893" s="1850"/>
      <c r="AL1893" s="143" t="s">
        <v>186</v>
      </c>
      <c r="AM1893" s="1866" t="s">
        <v>141</v>
      </c>
      <c r="AN1893" s="330" t="s">
        <v>138</v>
      </c>
      <c r="AO1893" s="1829">
        <v>166.0</v>
      </c>
      <c r="AP1893" s="1829">
        <v>0.002</v>
      </c>
      <c r="AQ1893" s="143" t="s">
        <v>139</v>
      </c>
      <c r="AR1893" s="1864" t="s">
        <v>813</v>
      </c>
      <c r="AS1893" s="1829">
        <v>0.539</v>
      </c>
      <c r="AT1893" s="143" t="s">
        <v>172</v>
      </c>
      <c r="AU1893" s="1871" t="s">
        <v>186</v>
      </c>
      <c r="AV1893" s="1868" t="s">
        <v>141</v>
      </c>
      <c r="AW1893" s="1869" t="s">
        <v>11048</v>
      </c>
      <c r="AX1893" s="1826" t="s">
        <v>143</v>
      </c>
      <c r="AY1893" s="61" t="str">
        <f>IFERROR(__xludf.DUMMYFUNCTION("vlookup(BB1893,importrange(""https://docs.google.com/spreadsheets/d/1d2vevQ_7D_v35q4wCQ4RpQ_IPoTwEMB9Yp6ymwlPqew/edit?gid=984458430#gid=984458430"", ""'replication success'!A:K""), 11, FAlSE)"),"")</f>
        <v/>
      </c>
      <c r="AZ1893" s="61" t="str">
        <f>IFERROR(__xludf.DUMMYFUNCTION("vlookup(BB1893,importrange(""https://docs.google.com/spreadsheets/d/1d2vevQ_7D_v35q4wCQ4RpQ_IPoTwEMB9Yp6ymwlPqew/edit?gid=984458430#gid=984458430"", ""'replication success'!A:M""), 12, FAlSE)"),"")</f>
        <v/>
      </c>
      <c r="BA1893" s="61" t="str">
        <f>IFERROR(__xludf.DUMMYFUNCTION("vlookup(BB1893,importrange(""https://docs.google.com/spreadsheets/d/1d2vevQ_7D_v35q4wCQ4RpQ_IPoTwEMB9Yp6ymwlPqew/edit?gid=984458430#gid=984458430"", ""'replication success'!A:M""), 13, FAlSE)"),"abstract")</f>
        <v>abstract</v>
      </c>
      <c r="BB1893" s="61" t="str">
        <f>IFERROR(__xludf.DUMMYFUNCTION("REGEXREPLACE(G1893, ""_[a-z]{1,2}$"", """")"),"osc2015118")</f>
        <v>osc2015118</v>
      </c>
      <c r="BD1893" s="1826" t="s">
        <v>1270</v>
      </c>
      <c r="BE1893" s="71"/>
    </row>
    <row r="1894">
      <c r="A1894" s="44">
        <v>1894.0</v>
      </c>
      <c r="B1894" s="129" t="s">
        <v>152</v>
      </c>
      <c r="C1894" s="62" t="s">
        <v>115</v>
      </c>
      <c r="D1894" s="62" t="s">
        <v>1270</v>
      </c>
      <c r="E1894" s="1826"/>
      <c r="F1894" s="143" t="s">
        <v>11049</v>
      </c>
      <c r="G1894" s="143" t="s">
        <v>11050</v>
      </c>
      <c r="H1894" s="1858" t="s">
        <v>11051</v>
      </c>
      <c r="I1894" s="1875">
        <v>45659.0</v>
      </c>
      <c r="J1894" s="1827">
        <v>45694.0</v>
      </c>
      <c r="K1894" s="1839"/>
      <c r="L1894" s="1826" t="s">
        <v>11052</v>
      </c>
      <c r="M1894" s="1840" t="s">
        <v>11053</v>
      </c>
      <c r="N1894" s="143" t="s">
        <v>11054</v>
      </c>
      <c r="O1894" s="1837">
        <v>1.0</v>
      </c>
      <c r="P1894" s="1841" t="s">
        <v>11055</v>
      </c>
      <c r="Q1894" s="52" t="str">
        <f t="array" ref="Q1894"> if(iserror(MATCH(V1894, 'File Links'!C:C, 0)), "N/A", HYPERLINK(INDEX('File Links'!B:B, MATCH(P1894, 'File Links'!C:C, 0))))</f>
        <v>https://drive.google.com/file/d/12tOopuzKbG82LEOynQuHYZ8im59EjTth/view?usp=drivesdk</v>
      </c>
      <c r="R1894" s="1826" t="s">
        <v>11056</v>
      </c>
      <c r="S1894" s="151" t="s">
        <v>10720</v>
      </c>
      <c r="T1894" s="129"/>
      <c r="U1894" s="1826"/>
      <c r="V1894" s="198" t="str">
        <f t="shared" si="119"/>
        <v>10.1126--science.aac4716.pdf</v>
      </c>
      <c r="W1894" s="1866" t="s">
        <v>164</v>
      </c>
      <c r="X1894" s="54" t="str">
        <f t="array" ref="X1894"> if(iserror(MATCH(V1894, 'File Links'!C:C, 0)), "N/A", HYPERLINK(INDEX('File Links'!B:B, MATCH(V1894, 'File Links'!C:C, 0))))</f>
        <v>https://drive.google.com/file/d/1UMAh9VGta6ExS2-Lb6GkDF4fmnI2EMeM/view?usp=drivesdk</v>
      </c>
      <c r="Z1894" s="1826" t="s">
        <v>148</v>
      </c>
      <c r="AA1894" s="143" t="s">
        <v>11057</v>
      </c>
      <c r="AB1894" s="1826" t="s">
        <v>11058</v>
      </c>
      <c r="AC1894" s="1826" t="s">
        <v>11059</v>
      </c>
      <c r="AD1894" s="1826" t="s">
        <v>11060</v>
      </c>
      <c r="AE1894" s="1837">
        <v>3.0</v>
      </c>
      <c r="AF1894" s="1837">
        <v>48.0</v>
      </c>
      <c r="AG1894" s="1826">
        <v>0.52</v>
      </c>
      <c r="AH1894" s="1826" t="s">
        <v>173</v>
      </c>
      <c r="AI1894" s="1826" t="s">
        <v>11061</v>
      </c>
      <c r="AJ1894" s="1837">
        <v>0.05</v>
      </c>
      <c r="AK1894" s="143" t="s">
        <v>135</v>
      </c>
      <c r="AL1894" s="143" t="s">
        <v>186</v>
      </c>
      <c r="AM1894" s="1866" t="s">
        <v>141</v>
      </c>
      <c r="AN1894" s="330" t="s">
        <v>138</v>
      </c>
      <c r="AO1894" s="1837">
        <v>118.0</v>
      </c>
      <c r="AP1894" s="1826">
        <v>0.014</v>
      </c>
      <c r="AQ1894" s="1826" t="s">
        <v>874</v>
      </c>
      <c r="AR1894" s="1866" t="s">
        <v>11062</v>
      </c>
      <c r="AS1894" s="1837">
        <v>0.2</v>
      </c>
      <c r="AT1894" s="1826" t="s">
        <v>172</v>
      </c>
      <c r="AU1894" s="1868" t="s">
        <v>186</v>
      </c>
      <c r="AV1894" s="1868" t="s">
        <v>141</v>
      </c>
      <c r="AW1894" s="1869" t="s">
        <v>11063</v>
      </c>
      <c r="AX1894" s="1826" t="s">
        <v>143</v>
      </c>
      <c r="AY1894" s="61" t="str">
        <f>IFERROR(__xludf.DUMMYFUNCTION("vlookup(BB1894,importrange(""https://docs.google.com/spreadsheets/d/1d2vevQ_7D_v35q4wCQ4RpQ_IPoTwEMB9Yp6ymwlPqew/edit?gid=984458430#gid=984458430"", ""'replication success'!A:K""), 11, FAlSE)"),"")</f>
        <v/>
      </c>
      <c r="AZ1894" s="61" t="str">
        <f>IFERROR(__xludf.DUMMYFUNCTION("vlookup(BB1894,importrange(""https://docs.google.com/spreadsheets/d/1d2vevQ_7D_v35q4wCQ4RpQ_IPoTwEMB9Yp6ymwlPqew/edit?gid=984458430#gid=984458430"", ""'replication success'!A:M""), 12, FAlSE)"),"")</f>
        <v/>
      </c>
      <c r="BA1894" s="61" t="str">
        <f>IFERROR(__xludf.DUMMYFUNCTION("vlookup(BB1894,importrange(""https://docs.google.com/spreadsheets/d/1d2vevQ_7D_v35q4wCQ4RpQ_IPoTwEMB9Yp6ymwlPqew/edit?gid=984458430#gid=984458430"", ""'replication success'!A:M""), 13, FAlSE)"),"abstract")</f>
        <v>abstract</v>
      </c>
      <c r="BB1894" s="61" t="str">
        <f>IFERROR(__xludf.DUMMYFUNCTION("REGEXREPLACE(G1894, ""_[a-z]{1,2}$"", """")"),"osc201512")</f>
        <v>osc201512</v>
      </c>
      <c r="BD1894" s="1826" t="s">
        <v>1270</v>
      </c>
      <c r="BF1894" s="1815" t="s">
        <v>10955</v>
      </c>
    </row>
    <row r="1895">
      <c r="A1895" s="44">
        <v>1895.0</v>
      </c>
      <c r="B1895" s="62" t="s">
        <v>114</v>
      </c>
      <c r="C1895" s="62" t="s">
        <v>115</v>
      </c>
      <c r="D1895" s="62" t="s">
        <v>153</v>
      </c>
      <c r="E1895" s="1826"/>
      <c r="F1895" s="143" t="s">
        <v>11049</v>
      </c>
      <c r="G1895" s="1857" t="s">
        <v>11050</v>
      </c>
      <c r="H1895" s="1858" t="s">
        <v>153</v>
      </c>
      <c r="I1895" s="1859" t="s">
        <v>10730</v>
      </c>
      <c r="J1895" s="1827">
        <v>45694.0</v>
      </c>
      <c r="K1895" s="143" t="s">
        <v>11064</v>
      </c>
      <c r="L1895" s="143"/>
      <c r="M1895" s="1876" t="s">
        <v>11053</v>
      </c>
      <c r="N1895" s="143" t="s">
        <v>11054</v>
      </c>
      <c r="O1895" s="1829">
        <v>1.0</v>
      </c>
      <c r="P1895" s="1830" t="s">
        <v>11055</v>
      </c>
      <c r="Q1895" s="52" t="str">
        <f t="array" ref="Q1895"> if(iserror(MATCH(V1895, 'File Links'!C:C, 0)), "N/A", HYPERLINK(INDEX('File Links'!B:B, MATCH(P1895, 'File Links'!C:C, 0))))</f>
        <v>https://drive.google.com/file/d/12tOopuzKbG82LEOynQuHYZ8im59EjTth/view?usp=drivesdk</v>
      </c>
      <c r="R1895" s="1841" t="s">
        <v>11056</v>
      </c>
      <c r="S1895" s="151" t="s">
        <v>10720</v>
      </c>
      <c r="T1895" s="129"/>
      <c r="U1895" s="1837">
        <v>1.0</v>
      </c>
      <c r="V1895" s="198" t="str">
        <f t="shared" si="119"/>
        <v>10.1126--science.aac4716.pdf</v>
      </c>
      <c r="W1895" s="1864" t="s">
        <v>164</v>
      </c>
      <c r="X1895" s="54" t="str">
        <f t="array" ref="X1895"> if(iserror(MATCH(V1895, 'File Links'!C:C, 0)), "N/A", HYPERLINK(INDEX('File Links'!B:B, MATCH(V1895, 'File Links'!C:C, 0))))</f>
        <v>https://drive.google.com/file/d/1UMAh9VGta6ExS2-Lb6GkDF4fmnI2EMeM/view?usp=drivesdk</v>
      </c>
      <c r="Z1895" s="143" t="s">
        <v>148</v>
      </c>
      <c r="AA1895" s="143" t="s">
        <v>11057</v>
      </c>
      <c r="AB1895" s="143" t="s">
        <v>11065</v>
      </c>
      <c r="AC1895" s="143" t="s">
        <v>11066</v>
      </c>
      <c r="AD1895" s="143" t="s">
        <v>11067</v>
      </c>
      <c r="AE1895" s="1829">
        <v>3.0</v>
      </c>
      <c r="AF1895" s="1829">
        <v>48.0</v>
      </c>
      <c r="AG1895" s="1829">
        <v>0.52</v>
      </c>
      <c r="AH1895" s="143" t="s">
        <v>173</v>
      </c>
      <c r="AI1895" s="143" t="s">
        <v>217</v>
      </c>
      <c r="AJ1895" s="1837">
        <v>0.05</v>
      </c>
      <c r="AK1895" s="143" t="s">
        <v>135</v>
      </c>
      <c r="AL1895" s="143" t="s">
        <v>186</v>
      </c>
      <c r="AM1895" s="1866" t="s">
        <v>141</v>
      </c>
      <c r="AN1895" s="330" t="s">
        <v>138</v>
      </c>
      <c r="AO1895" s="1829">
        <v>118.0</v>
      </c>
      <c r="AP1895" s="1829">
        <v>0.01</v>
      </c>
      <c r="AQ1895" s="143" t="s">
        <v>139</v>
      </c>
      <c r="AR1895" s="1864" t="s">
        <v>132</v>
      </c>
      <c r="AS1895" s="1829">
        <v>0.2</v>
      </c>
      <c r="AT1895" s="143" t="s">
        <v>172</v>
      </c>
      <c r="AU1895" s="1871" t="s">
        <v>186</v>
      </c>
      <c r="AV1895" s="1868" t="s">
        <v>141</v>
      </c>
      <c r="AW1895" s="1836" t="s">
        <v>11068</v>
      </c>
      <c r="AX1895" s="1826" t="s">
        <v>143</v>
      </c>
      <c r="AY1895" s="61" t="str">
        <f>IFERROR(__xludf.DUMMYFUNCTION("vlookup(BB1895,importrange(""https://docs.google.com/spreadsheets/d/1d2vevQ_7D_v35q4wCQ4RpQ_IPoTwEMB9Yp6ymwlPqew/edit?gid=984458430#gid=984458430"", ""'replication success'!A:K""), 11, FAlSE)"),"")</f>
        <v/>
      </c>
      <c r="AZ1895" s="61" t="str">
        <f>IFERROR(__xludf.DUMMYFUNCTION("vlookup(BB1895,importrange(""https://docs.google.com/spreadsheets/d/1d2vevQ_7D_v35q4wCQ4RpQ_IPoTwEMB9Yp6ymwlPqew/edit?gid=984458430#gid=984458430"", ""'replication success'!A:M""), 12, FAlSE)"),"")</f>
        <v/>
      </c>
      <c r="BA1895" s="61" t="str">
        <f>IFERROR(__xludf.DUMMYFUNCTION("vlookup(BB1895,importrange(""https://docs.google.com/spreadsheets/d/1d2vevQ_7D_v35q4wCQ4RpQ_IPoTwEMB9Yp6ymwlPqew/edit?gid=984458430#gid=984458430"", ""'replication success'!A:M""), 13, FAlSE)"),"abstract")</f>
        <v>abstract</v>
      </c>
      <c r="BB1895" s="61" t="str">
        <f>IFERROR(__xludf.DUMMYFUNCTION("REGEXREPLACE(G1895, ""_[a-z]{1,2}$"", """")"),"osc201512")</f>
        <v>osc201512</v>
      </c>
      <c r="BD1895" s="1826" t="s">
        <v>1270</v>
      </c>
      <c r="BE1895" s="189"/>
    </row>
    <row r="1896">
      <c r="A1896" s="44">
        <v>1896.0</v>
      </c>
      <c r="B1896" s="62" t="s">
        <v>152</v>
      </c>
      <c r="C1896" s="62" t="s">
        <v>115</v>
      </c>
      <c r="D1896" s="62" t="s">
        <v>1270</v>
      </c>
      <c r="E1896" s="1826"/>
      <c r="F1896" s="143" t="s">
        <v>11069</v>
      </c>
      <c r="G1896" s="143" t="s">
        <v>11070</v>
      </c>
      <c r="H1896" s="1858" t="s">
        <v>11071</v>
      </c>
      <c r="I1896" s="1875">
        <v>45659.0</v>
      </c>
      <c r="J1896" s="1827">
        <v>45694.0</v>
      </c>
      <c r="K1896" s="143" t="s">
        <v>11072</v>
      </c>
      <c r="L1896" s="143" t="s">
        <v>11073</v>
      </c>
      <c r="M1896" s="1840" t="s">
        <v>11074</v>
      </c>
      <c r="N1896" s="143" t="s">
        <v>11075</v>
      </c>
      <c r="O1896" s="1829">
        <v>1.0</v>
      </c>
      <c r="P1896" s="1841" t="s">
        <v>11076</v>
      </c>
      <c r="Q1896" s="108" t="str">
        <f t="array" ref="Q1896"> if(iserror(MATCH(V1896, 'File Links'!C:C, 0)), "N/A", HYPERLINK(INDEX('File Links'!B:B, MATCH(P1896, 'File Links'!C:C, 0))))</f>
        <v>N/A</v>
      </c>
      <c r="R1896" s="143" t="s">
        <v>11077</v>
      </c>
      <c r="S1896" s="151" t="s">
        <v>11078</v>
      </c>
      <c r="T1896" s="129"/>
      <c r="U1896" s="1826"/>
      <c r="V1896" s="198" t="str">
        <f t="shared" si="119"/>
        <v>10.17605--osf.io--82bwv   .pdf</v>
      </c>
      <c r="W1896" s="1864" t="s">
        <v>164</v>
      </c>
      <c r="X1896" s="49" t="str">
        <f t="array" ref="X1896"> if(iserror(MATCH(V1896, 'File Links'!C:C, 0)), "N/A", HYPERLINK(INDEX('File Links'!B:B, MATCH(V1896, 'File Links'!C:C, 0))))</f>
        <v>N/A</v>
      </c>
      <c r="Z1896" s="143" t="s">
        <v>226</v>
      </c>
      <c r="AA1896" s="143" t="s">
        <v>11079</v>
      </c>
      <c r="AB1896" s="143" t="s">
        <v>11080</v>
      </c>
      <c r="AC1896" s="143" t="s">
        <v>11081</v>
      </c>
      <c r="AD1896" s="143" t="s">
        <v>11082</v>
      </c>
      <c r="AE1896" s="1829">
        <v>3.0</v>
      </c>
      <c r="AF1896" s="1829">
        <v>31.0</v>
      </c>
      <c r="AG1896" s="143">
        <v>-0.38</v>
      </c>
      <c r="AH1896" s="143" t="s">
        <v>215</v>
      </c>
      <c r="AI1896" s="143" t="s">
        <v>217</v>
      </c>
      <c r="AJ1896" s="1835">
        <v>0.05</v>
      </c>
      <c r="AK1896" s="143" t="s">
        <v>135</v>
      </c>
      <c r="AL1896" s="143" t="s">
        <v>186</v>
      </c>
      <c r="AM1896" s="1866" t="s">
        <v>137</v>
      </c>
      <c r="AN1896" s="330" t="s">
        <v>138</v>
      </c>
      <c r="AO1896" s="1829">
        <v>43.0</v>
      </c>
      <c r="AP1896" s="143">
        <v>-0.25</v>
      </c>
      <c r="AQ1896" s="143" t="s">
        <v>215</v>
      </c>
      <c r="AR1896" s="1864" t="s">
        <v>850</v>
      </c>
      <c r="AS1896" s="1829">
        <v>0.11</v>
      </c>
      <c r="AT1896" s="143" t="s">
        <v>172</v>
      </c>
      <c r="AU1896" s="1871" t="s">
        <v>218</v>
      </c>
      <c r="AV1896" s="1868" t="s">
        <v>137</v>
      </c>
      <c r="AW1896" s="1836" t="s">
        <v>11083</v>
      </c>
      <c r="AX1896" s="1826" t="s">
        <v>143</v>
      </c>
      <c r="AY1896" s="61" t="str">
        <f>IFERROR(__xludf.DUMMYFUNCTION("vlookup(BB1896,importrange(""https://docs.google.com/spreadsheets/d/1d2vevQ_7D_v35q4wCQ4RpQ_IPoTwEMB9Yp6ymwlPqew/edit?gid=984458430#gid=984458430"", ""'replication success'!A:K""), 11, FAlSE)"),"uninformative")</f>
        <v>uninformative</v>
      </c>
      <c r="AZ1896" s="61" t="str">
        <f>IFERROR(__xludf.DUMMYFUNCTION("vlookup(BB1896,importrange(""https://docs.google.com/spreadsheets/d/1d2vevQ_7D_v35q4wCQ4RpQ_IPoTwEMB9Yp6ymwlPqew/edit?gid=984458430#gid=984458430"", ""'replication success'!A:M""), 12, FAlSE)"),"NA")</f>
        <v>NA</v>
      </c>
      <c r="BA1896" s="61" t="str">
        <f>IFERROR(__xludf.DUMMYFUNCTION("vlookup(BB1896,importrange(""https://docs.google.com/spreadsheets/d/1d2vevQ_7D_v35q4wCQ4RpQ_IPoTwEMB9Yp6ymwlPqew/edit?gid=984458430#gid=984458430"", ""'replication success'!A:M""), 13, FAlSE)"),"abstract")</f>
        <v>abstract</v>
      </c>
      <c r="BB1896" s="61" t="str">
        <f>IFERROR(__xludf.DUMMYFUNCTION("REGEXREPLACE(G1896, ""_[a-z]{1,2}$"", """")"),"osc2015120")</f>
        <v>osc2015120</v>
      </c>
      <c r="BD1896" s="1826" t="s">
        <v>1270</v>
      </c>
      <c r="BF1896" s="1815" t="s">
        <v>10424</v>
      </c>
    </row>
    <row r="1897">
      <c r="A1897" s="44">
        <v>1897.0</v>
      </c>
      <c r="B1897" s="62" t="s">
        <v>114</v>
      </c>
      <c r="C1897" s="62" t="s">
        <v>115</v>
      </c>
      <c r="D1897" s="62" t="s">
        <v>153</v>
      </c>
      <c r="E1897" s="1826"/>
      <c r="F1897" s="143" t="s">
        <v>11069</v>
      </c>
      <c r="G1897" s="1857" t="s">
        <v>11070</v>
      </c>
      <c r="H1897" s="1858" t="s">
        <v>153</v>
      </c>
      <c r="I1897" s="1859" t="s">
        <v>10730</v>
      </c>
      <c r="J1897" s="1827">
        <v>45694.0</v>
      </c>
      <c r="K1897" s="1826" t="s">
        <v>11084</v>
      </c>
      <c r="L1897" s="1826"/>
      <c r="M1897" s="1828" t="s">
        <v>11074</v>
      </c>
      <c r="N1897" s="143" t="s">
        <v>11075</v>
      </c>
      <c r="O1897" s="1837">
        <v>1.0</v>
      </c>
      <c r="P1897" s="1830" t="s">
        <v>11076</v>
      </c>
      <c r="Q1897" s="108" t="str">
        <f t="array" ref="Q1897"> if(iserror(MATCH(V1897, 'File Links'!C:C, 0)), "N/A", HYPERLINK(INDEX('File Links'!B:B, MATCH(P1897, 'File Links'!C:C, 0))))</f>
        <v>N/A</v>
      </c>
      <c r="R1897" s="1841" t="s">
        <v>11077</v>
      </c>
      <c r="S1897" s="151" t="s">
        <v>11078</v>
      </c>
      <c r="T1897" s="129"/>
      <c r="U1897" s="1837">
        <v>1.0</v>
      </c>
      <c r="V1897" s="198" t="str">
        <f t="shared" si="119"/>
        <v>10.17605--osf.io--82bwv   .pdf</v>
      </c>
      <c r="W1897" s="1864" t="s">
        <v>164</v>
      </c>
      <c r="X1897" s="49" t="str">
        <f t="array" ref="X1897"> if(iserror(MATCH(V1897, 'File Links'!C:C, 0)), "N/A", HYPERLINK(INDEX('File Links'!B:B, MATCH(V1897, 'File Links'!C:C, 0))))</f>
        <v>N/A</v>
      </c>
      <c r="Z1897" s="1826" t="s">
        <v>226</v>
      </c>
      <c r="AA1897" s="143" t="s">
        <v>11079</v>
      </c>
      <c r="AB1897" s="1826" t="s">
        <v>11085</v>
      </c>
      <c r="AC1897" s="1826" t="s">
        <v>11081</v>
      </c>
      <c r="AD1897" s="143" t="s">
        <v>11086</v>
      </c>
      <c r="AE1897" s="1837">
        <v>3.0</v>
      </c>
      <c r="AF1897" s="1837">
        <v>31.0</v>
      </c>
      <c r="AG1897" s="1837" t="s">
        <v>11087</v>
      </c>
      <c r="AH1897" s="143" t="s">
        <v>215</v>
      </c>
      <c r="AI1897" s="1826" t="s">
        <v>217</v>
      </c>
      <c r="AJ1897" s="1837">
        <v>0.05</v>
      </c>
      <c r="AK1897" s="1826" t="s">
        <v>135</v>
      </c>
      <c r="AL1897" s="1826" t="s">
        <v>218</v>
      </c>
      <c r="AM1897" s="1866" t="s">
        <v>137</v>
      </c>
      <c r="AN1897" s="330" t="s">
        <v>138</v>
      </c>
      <c r="AO1897" s="1837">
        <v>43.0</v>
      </c>
      <c r="AP1897" s="1837" t="s">
        <v>11088</v>
      </c>
      <c r="AQ1897" s="1826" t="s">
        <v>215</v>
      </c>
      <c r="AR1897" s="1866" t="s">
        <v>850</v>
      </c>
      <c r="AS1897" s="1837">
        <v>0.11</v>
      </c>
      <c r="AT1897" s="1826" t="s">
        <v>172</v>
      </c>
      <c r="AU1897" s="1871" t="s">
        <v>218</v>
      </c>
      <c r="AV1897" s="1868" t="s">
        <v>137</v>
      </c>
      <c r="AW1897" s="1836" t="s">
        <v>11089</v>
      </c>
      <c r="AX1897" s="1826" t="s">
        <v>143</v>
      </c>
      <c r="AY1897" s="61" t="str">
        <f>IFERROR(__xludf.DUMMYFUNCTION("vlookup(BB1897,importrange(""https://docs.google.com/spreadsheets/d/1d2vevQ_7D_v35q4wCQ4RpQ_IPoTwEMB9Yp6ymwlPqew/edit?gid=984458430#gid=984458430"", ""'replication success'!A:K""), 11, FAlSE)"),"uninformative")</f>
        <v>uninformative</v>
      </c>
      <c r="AZ1897" s="61" t="str">
        <f>IFERROR(__xludf.DUMMYFUNCTION("vlookup(BB1897,importrange(""https://docs.google.com/spreadsheets/d/1d2vevQ_7D_v35q4wCQ4RpQ_IPoTwEMB9Yp6ymwlPqew/edit?gid=984458430#gid=984458430"", ""'replication success'!A:M""), 12, FAlSE)"),"NA")</f>
        <v>NA</v>
      </c>
      <c r="BA1897" s="61" t="str">
        <f>IFERROR(__xludf.DUMMYFUNCTION("vlookup(BB1897,importrange(""https://docs.google.com/spreadsheets/d/1d2vevQ_7D_v35q4wCQ4RpQ_IPoTwEMB9Yp6ymwlPqew/edit?gid=984458430#gid=984458430"", ""'replication success'!A:M""), 13, FAlSE)"),"abstract")</f>
        <v>abstract</v>
      </c>
      <c r="BB1897" s="61" t="str">
        <f>IFERROR(__xludf.DUMMYFUNCTION("REGEXREPLACE(G1897, ""_[a-z]{1,2}$"", """")"),"osc2015120")</f>
        <v>osc2015120</v>
      </c>
      <c r="BC1897" s="62" t="s">
        <v>11090</v>
      </c>
      <c r="BD1897" s="1826" t="s">
        <v>1270</v>
      </c>
    </row>
    <row r="1898" ht="20.25" customHeight="1">
      <c r="A1898" s="44">
        <v>1898.0</v>
      </c>
      <c r="B1898" s="62" t="s">
        <v>152</v>
      </c>
      <c r="C1898" s="62" t="s">
        <v>115</v>
      </c>
      <c r="D1898" s="62" t="s">
        <v>1270</v>
      </c>
      <c r="E1898" s="1826"/>
      <c r="F1898" s="143" t="s">
        <v>11091</v>
      </c>
      <c r="G1898" s="143" t="s">
        <v>11092</v>
      </c>
      <c r="H1898" s="143" t="s">
        <v>11093</v>
      </c>
      <c r="I1898" s="1877">
        <v>45659.0</v>
      </c>
      <c r="J1898" s="1827">
        <v>45694.0</v>
      </c>
      <c r="K1898" s="143" t="s">
        <v>11094</v>
      </c>
      <c r="L1898" s="1826" t="s">
        <v>11095</v>
      </c>
      <c r="M1898" s="1840" t="s">
        <v>11096</v>
      </c>
      <c r="N1898" s="143" t="s">
        <v>11097</v>
      </c>
      <c r="O1898" s="1829">
        <v>2.0</v>
      </c>
      <c r="P1898" s="1841" t="s">
        <v>11098</v>
      </c>
      <c r="Q1898" s="52" t="str">
        <f t="array" ref="Q1898"> if(iserror(MATCH(V1898, 'File Links'!C:C, 0)), "N/A", HYPERLINK(INDEX('File Links'!B:B, MATCH(P1898, 'File Links'!C:C, 0))))</f>
        <v>https://drive.google.com/file/d/1XfDlpkvCBdw9lQuqmsbfM7aoNwvrAoip/view?usp=drivesdk</v>
      </c>
      <c r="R1898" s="1841" t="s">
        <v>11099</v>
      </c>
      <c r="S1898" s="151" t="s">
        <v>11100</v>
      </c>
      <c r="T1898" s="129"/>
      <c r="U1898" s="1837"/>
      <c r="V1898" s="198" t="str">
        <f t="shared" si="119"/>
        <v>10.17605--osf.io--nxp9w.pdf</v>
      </c>
      <c r="W1898" s="143" t="s">
        <v>164</v>
      </c>
      <c r="X1898" s="54" t="str">
        <f t="array" ref="X1898"> if(iserror(MATCH(V1898, 'File Links'!C:C, 0)), "N/A", HYPERLINK(INDEX('File Links'!B:B, MATCH(V1898, 'File Links'!C:C, 0))))</f>
        <v>https://drive.google.com/file/d/1yS8koYLoBzTIOnY0Iveg0atwD_kYj-_v/view?usp=drivesdk</v>
      </c>
      <c r="Z1898" s="143" t="s">
        <v>226</v>
      </c>
      <c r="AA1898" s="143" t="s">
        <v>11101</v>
      </c>
      <c r="AB1898" s="143" t="s">
        <v>11102</v>
      </c>
      <c r="AC1898" s="143" t="s">
        <v>11103</v>
      </c>
      <c r="AD1898" s="143" t="s">
        <v>11104</v>
      </c>
      <c r="AE1898" s="1873">
        <v>45813.0</v>
      </c>
      <c r="AF1898" s="1829">
        <v>12.0</v>
      </c>
      <c r="AG1898" s="1829">
        <v>3.25</v>
      </c>
      <c r="AH1898" s="143" t="s">
        <v>173</v>
      </c>
      <c r="AI1898" s="143" t="s">
        <v>11105</v>
      </c>
      <c r="AJ1898" s="1829" t="s">
        <v>138</v>
      </c>
      <c r="AK1898" s="1834" t="s">
        <v>138</v>
      </c>
      <c r="AL1898" s="143" t="s">
        <v>186</v>
      </c>
      <c r="AM1898" s="1826" t="s">
        <v>137</v>
      </c>
      <c r="AN1898" s="330" t="s">
        <v>138</v>
      </c>
      <c r="AO1898" s="1837">
        <v>24.0</v>
      </c>
      <c r="AP1898" s="1837" t="s">
        <v>11106</v>
      </c>
      <c r="AQ1898" s="143" t="s">
        <v>173</v>
      </c>
      <c r="AR1898" s="143" t="s">
        <v>813</v>
      </c>
      <c r="AS1898" s="1829" t="s">
        <v>138</v>
      </c>
      <c r="AT1898" s="1834" t="s">
        <v>138</v>
      </c>
      <c r="AU1898" s="143" t="s">
        <v>186</v>
      </c>
      <c r="AV1898" s="1826" t="s">
        <v>137</v>
      </c>
      <c r="AW1898" s="1836" t="s">
        <v>11107</v>
      </c>
      <c r="AX1898" s="1826" t="s">
        <v>143</v>
      </c>
      <c r="AY1898" s="61" t="str">
        <f>IFERROR(__xludf.DUMMYFUNCTION("vlookup(BB1898,importrange(""https://docs.google.com/spreadsheets/d/1d2vevQ_7D_v35q4wCQ4RpQ_IPoTwEMB9Yp6ymwlPqew/edit?gid=984458430#gid=984458430"", ""'replication success'!A:K""), 11, FAlSE)"),"successful")</f>
        <v>successful</v>
      </c>
      <c r="AZ1898" s="61" t="str">
        <f>IFERROR(__xludf.DUMMYFUNCTION("vlookup(BB1898,importrange(""https://docs.google.com/spreadsheets/d/1d2vevQ_7D_v35q4wCQ4RpQ_IPoTwEMB9Yp6ymwlPqew/edit?gid=984458430#gid=984458430"", ""'replication success'!A:M""), 12, FAlSE)"),"The replication study replicated the pattern of behavioral results and the main neural findings
from the original study which are noted in the title of the original article (Planned")</f>
        <v>The replication study replicated the pattern of behavioral results and the main neural findings
from the original study which are noted in the title of the original article (Planned</v>
      </c>
      <c r="BA1898" s="61" t="str">
        <f>IFERROR(__xludf.DUMMYFUNCTION("vlookup(BB1898,importrange(""https://docs.google.com/spreadsheets/d/1d2vevQ_7D_v35q4wCQ4RpQ_IPoTwEMB9Yp6ymwlPqew/edit?gid=984458430#gid=984458430"", ""'replication success'!A:M""), 13, FAlSE)"),"pg. 4")</f>
        <v>pg. 4</v>
      </c>
      <c r="BB1898" s="61" t="str">
        <f>IFERROR(__xludf.DUMMYFUNCTION("REGEXREPLACE(G1898, ""_[a-z]{1,2}$"", """")"),"osc2015121")</f>
        <v>osc2015121</v>
      </c>
      <c r="BD1898" s="1826" t="s">
        <v>1270</v>
      </c>
      <c r="BF1898" s="1815" t="s">
        <v>11108</v>
      </c>
    </row>
    <row r="1899" ht="20.25" customHeight="1">
      <c r="A1899" s="44">
        <v>1899.0</v>
      </c>
      <c r="B1899" s="62" t="s">
        <v>114</v>
      </c>
      <c r="C1899" s="62" t="s">
        <v>115</v>
      </c>
      <c r="D1899" s="62" t="s">
        <v>153</v>
      </c>
      <c r="E1899" s="1826"/>
      <c r="F1899" s="143" t="s">
        <v>11091</v>
      </c>
      <c r="G1899" s="1857" t="s">
        <v>11092</v>
      </c>
      <c r="H1899" s="143" t="s">
        <v>153</v>
      </c>
      <c r="I1899" s="1826" t="s">
        <v>10730</v>
      </c>
      <c r="J1899" s="1827">
        <v>45694.0</v>
      </c>
      <c r="K1899" s="143" t="s">
        <v>11109</v>
      </c>
      <c r="L1899" s="143"/>
      <c r="M1899" s="1828" t="s">
        <v>11096</v>
      </c>
      <c r="N1899" s="143" t="s">
        <v>11097</v>
      </c>
      <c r="O1899" s="1829">
        <v>2.0</v>
      </c>
      <c r="P1899" s="1830" t="s">
        <v>11098</v>
      </c>
      <c r="Q1899" s="52" t="str">
        <f t="array" ref="Q1899"> if(iserror(MATCH(V1899, 'File Links'!C:C, 0)), "N/A", HYPERLINK(INDEX('File Links'!B:B, MATCH(P1899, 'File Links'!C:C, 0))))</f>
        <v>https://drive.google.com/file/d/1XfDlpkvCBdw9lQuqmsbfM7aoNwvrAoip/view?usp=drivesdk</v>
      </c>
      <c r="R1899" s="1841" t="s">
        <v>11099</v>
      </c>
      <c r="S1899" s="151" t="s">
        <v>11100</v>
      </c>
      <c r="T1899" s="129"/>
      <c r="U1899" s="1837">
        <v>1.0</v>
      </c>
      <c r="V1899" s="198" t="str">
        <f t="shared" si="119"/>
        <v>10.17605--osf.io--nxp9w.pdf</v>
      </c>
      <c r="W1899" s="143" t="s">
        <v>3570</v>
      </c>
      <c r="X1899" s="54" t="str">
        <f t="array" ref="X1899"> if(iserror(MATCH(V1899, 'File Links'!C:C, 0)), "N/A", HYPERLINK(INDEX('File Links'!B:B, MATCH(V1899, 'File Links'!C:C, 0))))</f>
        <v>https://drive.google.com/file/d/1yS8koYLoBzTIOnY0Iveg0atwD_kYj-_v/view?usp=drivesdk</v>
      </c>
      <c r="Z1899" s="143" t="s">
        <v>226</v>
      </c>
      <c r="AA1899" s="143" t="s">
        <v>11110</v>
      </c>
      <c r="AB1899" s="143" t="s">
        <v>11111</v>
      </c>
      <c r="AC1899" s="143" t="s">
        <v>11103</v>
      </c>
      <c r="AD1899" s="143" t="s">
        <v>11112</v>
      </c>
      <c r="AE1899" s="1873">
        <v>45813.0</v>
      </c>
      <c r="AF1899" s="1829">
        <v>12.0</v>
      </c>
      <c r="AG1899" s="1829">
        <v>3.25</v>
      </c>
      <c r="AH1899" s="143" t="s">
        <v>173</v>
      </c>
      <c r="AI1899" s="143" t="s">
        <v>140</v>
      </c>
      <c r="AJ1899" s="1826" t="s">
        <v>138</v>
      </c>
      <c r="AK1899" s="1850"/>
      <c r="AL1899" s="143" t="s">
        <v>136</v>
      </c>
      <c r="AM1899" s="1826" t="s">
        <v>137</v>
      </c>
      <c r="AN1899" s="330" t="s">
        <v>138</v>
      </c>
      <c r="AO1899" s="1829">
        <v>24.0</v>
      </c>
      <c r="AP1899" s="143" t="s">
        <v>11113</v>
      </c>
      <c r="AQ1899" s="143" t="s">
        <v>134</v>
      </c>
      <c r="AR1899" s="143" t="s">
        <v>813</v>
      </c>
      <c r="AS1899" s="143" t="s">
        <v>138</v>
      </c>
      <c r="AT1899" s="143" t="s">
        <v>138</v>
      </c>
      <c r="AU1899" s="143" t="s">
        <v>186</v>
      </c>
      <c r="AV1899" s="1826" t="s">
        <v>137</v>
      </c>
      <c r="AW1899" s="1836" t="s">
        <v>11114</v>
      </c>
      <c r="AX1899" s="1826" t="s">
        <v>143</v>
      </c>
      <c r="AY1899" s="61" t="str">
        <f>IFERROR(__xludf.DUMMYFUNCTION("vlookup(BB1899,importrange(""https://docs.google.com/spreadsheets/d/1d2vevQ_7D_v35q4wCQ4RpQ_IPoTwEMB9Yp6ymwlPqew/edit?gid=984458430#gid=984458430"", ""'replication success'!A:K""), 11, FAlSE)"),"successful")</f>
        <v>successful</v>
      </c>
      <c r="AZ1899" s="61" t="str">
        <f>IFERROR(__xludf.DUMMYFUNCTION("vlookup(BB1899,importrange(""https://docs.google.com/spreadsheets/d/1d2vevQ_7D_v35q4wCQ4RpQ_IPoTwEMB9Yp6ymwlPqew/edit?gid=984458430#gid=984458430"", ""'replication success'!A:M""), 12, FAlSE)"),"The replication study replicated the pattern of behavioral results and the main neural findings
from the original study which are noted in the title of the original article (Planned")</f>
        <v>The replication study replicated the pattern of behavioral results and the main neural findings
from the original study which are noted in the title of the original article (Planned</v>
      </c>
      <c r="BA1899" s="61" t="str">
        <f>IFERROR(__xludf.DUMMYFUNCTION("vlookup(BB1899,importrange(""https://docs.google.com/spreadsheets/d/1d2vevQ_7D_v35q4wCQ4RpQ_IPoTwEMB9Yp6ymwlPqew/edit?gid=984458430#gid=984458430"", ""'replication success'!A:M""), 13, FAlSE)"),"pg. 4")</f>
        <v>pg. 4</v>
      </c>
      <c r="BB1899" s="61" t="str">
        <f>IFERROR(__xludf.DUMMYFUNCTION("REGEXREPLACE(G1899, ""_[a-z]{1,2}$"", """")"),"osc2015121")</f>
        <v>osc2015121</v>
      </c>
      <c r="BD1899" s="1826" t="s">
        <v>1270</v>
      </c>
      <c r="BE1899" s="164"/>
    </row>
    <row r="1900" ht="20.25" customHeight="1">
      <c r="A1900" s="44">
        <v>1900.0</v>
      </c>
      <c r="B1900" s="62" t="s">
        <v>152</v>
      </c>
      <c r="C1900" s="62" t="s">
        <v>115</v>
      </c>
      <c r="D1900" s="62" t="s">
        <v>1270</v>
      </c>
      <c r="E1900" s="1826"/>
      <c r="F1900" s="143" t="s">
        <v>11115</v>
      </c>
      <c r="G1900" s="143" t="s">
        <v>11116</v>
      </c>
      <c r="H1900" s="143" t="s">
        <v>11117</v>
      </c>
      <c r="I1900" s="1877">
        <v>45659.0</v>
      </c>
      <c r="J1900" s="1827">
        <v>45694.0</v>
      </c>
      <c r="K1900" s="143" t="s">
        <v>11118</v>
      </c>
      <c r="L1900" s="143" t="s">
        <v>11119</v>
      </c>
      <c r="M1900" s="1840" t="s">
        <v>11120</v>
      </c>
      <c r="N1900" s="143" t="s">
        <v>11121</v>
      </c>
      <c r="O1900" s="1829">
        <v>3.0</v>
      </c>
      <c r="P1900" s="1841" t="s">
        <v>11122</v>
      </c>
      <c r="Q1900" s="52" t="str">
        <f t="array" ref="Q1900"> if(iserror(MATCH(V1900, 'File Links'!C:C, 0)), "N/A", HYPERLINK(INDEX('File Links'!B:B, MATCH(P1900, 'File Links'!C:C, 0))))</f>
        <v>https://drive.google.com/file/d/1z9vM-OymRrqp1u2xxHltR_nTYkRN8Bhe/view?usp=drivesdk</v>
      </c>
      <c r="R1900" s="1841" t="s">
        <v>11123</v>
      </c>
      <c r="S1900" s="159" t="s">
        <v>10720</v>
      </c>
      <c r="T1900" s="129"/>
      <c r="U1900" s="1826"/>
      <c r="V1900" s="198" t="str">
        <f t="shared" si="119"/>
        <v>10.1126--science.aac4716.pdf</v>
      </c>
      <c r="W1900" s="143" t="s">
        <v>3570</v>
      </c>
      <c r="X1900" s="54" t="str">
        <f t="array" ref="X1900"> if(iserror(MATCH(V1900, 'File Links'!C:C, 0)), "N/A", HYPERLINK(INDEX('File Links'!B:B, MATCH(V1900, 'File Links'!C:C, 0))))</f>
        <v>https://drive.google.com/file/d/1UMAh9VGta6ExS2-Lb6GkDF4fmnI2EMeM/view?usp=drivesdk</v>
      </c>
      <c r="Z1900" s="143" t="s">
        <v>148</v>
      </c>
      <c r="AA1900" s="143" t="s">
        <v>11124</v>
      </c>
      <c r="AB1900" s="143" t="s">
        <v>11125</v>
      </c>
      <c r="AC1900" s="143" t="s">
        <v>11126</v>
      </c>
      <c r="AD1900" s="143" t="s">
        <v>11127</v>
      </c>
      <c r="AE1900" s="1829">
        <v>5.0</v>
      </c>
      <c r="AF1900" s="1829">
        <v>8.0</v>
      </c>
      <c r="AG1900" s="143" t="s">
        <v>11128</v>
      </c>
      <c r="AH1900" s="143" t="s">
        <v>134</v>
      </c>
      <c r="AI1900" s="143" t="s">
        <v>813</v>
      </c>
      <c r="AJ1900" s="1837">
        <v>0.028</v>
      </c>
      <c r="AK1900" s="143" t="s">
        <v>172</v>
      </c>
      <c r="AL1900" s="143" t="s">
        <v>136</v>
      </c>
      <c r="AM1900" s="1826" t="s">
        <v>137</v>
      </c>
      <c r="AN1900" s="330" t="s">
        <v>138</v>
      </c>
      <c r="AO1900" s="1829">
        <v>17.0</v>
      </c>
      <c r="AP1900" s="143" t="s">
        <v>11129</v>
      </c>
      <c r="AQ1900" s="143" t="s">
        <v>134</v>
      </c>
      <c r="AR1900" s="143" t="s">
        <v>11130</v>
      </c>
      <c r="AS1900" s="1829">
        <v>0.05</v>
      </c>
      <c r="AT1900" s="143" t="s">
        <v>135</v>
      </c>
      <c r="AU1900" s="143" t="s">
        <v>136</v>
      </c>
      <c r="AV1900" s="1826" t="s">
        <v>137</v>
      </c>
      <c r="AW1900" s="1836" t="s">
        <v>11131</v>
      </c>
      <c r="AX1900" s="1826" t="s">
        <v>151</v>
      </c>
      <c r="AY1900" s="61" t="str">
        <f>IFERROR(__xludf.DUMMYFUNCTION("vlookup(BB1900,importrange(""https://docs.google.com/spreadsheets/d/1d2vevQ_7D_v35q4wCQ4RpQ_IPoTwEMB9Yp6ymwlPqew/edit?gid=984458430#gid=984458430"", ""'replication success'!A:K""), 11, FAlSE)"),"")</f>
        <v/>
      </c>
      <c r="AZ1900" s="61" t="str">
        <f>IFERROR(__xludf.DUMMYFUNCTION("vlookup(BB1900,importrange(""https://docs.google.com/spreadsheets/d/1d2vevQ_7D_v35q4wCQ4RpQ_IPoTwEMB9Yp6ymwlPqew/edit?gid=984458430#gid=984458430"", ""'replication success'!A:M""), 12, FAlSE)"),"")</f>
        <v/>
      </c>
      <c r="BA1900" s="61" t="str">
        <f>IFERROR(__xludf.DUMMYFUNCTION("vlookup(BB1900,importrange(""https://docs.google.com/spreadsheets/d/1d2vevQ_7D_v35q4wCQ4RpQ_IPoTwEMB9Yp6ymwlPqew/edit?gid=984458430#gid=984458430"", ""'replication success'!A:M""), 13, FAlSE)"),"abstract")</f>
        <v>abstract</v>
      </c>
      <c r="BB1900" s="61" t="str">
        <f>IFERROR(__xludf.DUMMYFUNCTION("REGEXREPLACE(G1900, ""_[a-z]{1,2}$"", """")"),"osc2015122")</f>
        <v>osc2015122</v>
      </c>
      <c r="BD1900" s="1826" t="s">
        <v>1270</v>
      </c>
      <c r="BF1900" s="1815" t="s">
        <v>11132</v>
      </c>
    </row>
    <row r="1901" ht="20.25" customHeight="1">
      <c r="A1901" s="44">
        <v>1901.0</v>
      </c>
      <c r="B1901" s="62" t="s">
        <v>114</v>
      </c>
      <c r="C1901" s="62" t="s">
        <v>115</v>
      </c>
      <c r="D1901" s="62" t="s">
        <v>153</v>
      </c>
      <c r="E1901" s="1826"/>
      <c r="F1901" s="143" t="s">
        <v>11115</v>
      </c>
      <c r="G1901" s="1857" t="s">
        <v>11116</v>
      </c>
      <c r="H1901" s="143" t="s">
        <v>153</v>
      </c>
      <c r="I1901" s="1826" t="s">
        <v>10730</v>
      </c>
      <c r="J1901" s="1827">
        <v>45694.0</v>
      </c>
      <c r="K1901" s="143" t="s">
        <v>11133</v>
      </c>
      <c r="L1901" s="143"/>
      <c r="M1901" s="1828" t="s">
        <v>11120</v>
      </c>
      <c r="N1901" s="143" t="s">
        <v>11121</v>
      </c>
      <c r="O1901" s="1829">
        <v>3.0</v>
      </c>
      <c r="P1901" s="1830" t="s">
        <v>11122</v>
      </c>
      <c r="Q1901" s="52" t="str">
        <f t="array" ref="Q1901"> if(iserror(MATCH(V1901, 'File Links'!C:C, 0)), "N/A", HYPERLINK(INDEX('File Links'!B:B, MATCH(P1901, 'File Links'!C:C, 0))))</f>
        <v>https://drive.google.com/file/d/1z9vM-OymRrqp1u2xxHltR_nTYkRN8Bhe/view?usp=drivesdk</v>
      </c>
      <c r="R1901" s="1841" t="s">
        <v>11123</v>
      </c>
      <c r="S1901" s="159" t="s">
        <v>10720</v>
      </c>
      <c r="T1901" s="129"/>
      <c r="U1901" s="1837">
        <v>1.0</v>
      </c>
      <c r="V1901" s="198" t="str">
        <f t="shared" si="119"/>
        <v>10.1126--science.aac4716.pdf</v>
      </c>
      <c r="W1901" s="143" t="s">
        <v>3570</v>
      </c>
      <c r="X1901" s="54" t="str">
        <f t="array" ref="X1901"> if(iserror(MATCH(V1901, 'File Links'!C:C, 0)), "N/A", HYPERLINK(INDEX('File Links'!B:B, MATCH(V1901, 'File Links'!C:C, 0))))</f>
        <v>https://drive.google.com/file/d/1UMAh9VGta6ExS2-Lb6GkDF4fmnI2EMeM/view?usp=drivesdk</v>
      </c>
      <c r="Z1901" s="143" t="s">
        <v>148</v>
      </c>
      <c r="AA1901" s="143" t="s">
        <v>11134</v>
      </c>
      <c r="AB1901" s="143" t="s">
        <v>11135</v>
      </c>
      <c r="AC1901" s="1826" t="s">
        <v>11126</v>
      </c>
      <c r="AD1901" s="143" t="s">
        <v>11136</v>
      </c>
      <c r="AE1901" s="1837">
        <v>5.0</v>
      </c>
      <c r="AF1901" s="1829">
        <v>8.0</v>
      </c>
      <c r="AG1901" s="1837">
        <v>0.52</v>
      </c>
      <c r="AH1901" s="219" t="s">
        <v>2619</v>
      </c>
      <c r="AI1901" s="143" t="s">
        <v>813</v>
      </c>
      <c r="AJ1901" s="1837">
        <v>0.028</v>
      </c>
      <c r="AK1901" s="143" t="s">
        <v>172</v>
      </c>
      <c r="AL1901" s="143" t="s">
        <v>136</v>
      </c>
      <c r="AM1901" s="1826" t="s">
        <v>137</v>
      </c>
      <c r="AN1901" s="330" t="s">
        <v>138</v>
      </c>
      <c r="AO1901" s="1837">
        <v>17.0</v>
      </c>
      <c r="AP1901" s="1837">
        <v>-2.33</v>
      </c>
      <c r="AQ1901" s="143" t="s">
        <v>11006</v>
      </c>
      <c r="AR1901" s="1826" t="s">
        <v>850</v>
      </c>
      <c r="AS1901" s="1837">
        <v>1.0E-4</v>
      </c>
      <c r="AT1901" s="143" t="s">
        <v>172</v>
      </c>
      <c r="AU1901" s="143" t="s">
        <v>136</v>
      </c>
      <c r="AV1901" s="1826" t="s">
        <v>137</v>
      </c>
      <c r="AW1901" s="1836" t="s">
        <v>11137</v>
      </c>
      <c r="AX1901" s="1826" t="s">
        <v>151</v>
      </c>
      <c r="AY1901" s="61" t="str">
        <f>IFERROR(__xludf.DUMMYFUNCTION("vlookup(BB1901,importrange(""https://docs.google.com/spreadsheets/d/1d2vevQ_7D_v35q4wCQ4RpQ_IPoTwEMB9Yp6ymwlPqew/edit?gid=984458430#gid=984458430"", ""'replication success'!A:K""), 11, FAlSE)"),"")</f>
        <v/>
      </c>
      <c r="AZ1901" s="61" t="str">
        <f>IFERROR(__xludf.DUMMYFUNCTION("vlookup(BB1901,importrange(""https://docs.google.com/spreadsheets/d/1d2vevQ_7D_v35q4wCQ4RpQ_IPoTwEMB9Yp6ymwlPqew/edit?gid=984458430#gid=984458430"", ""'replication success'!A:M""), 12, FAlSE)"),"")</f>
        <v/>
      </c>
      <c r="BA1901" s="61" t="str">
        <f>IFERROR(__xludf.DUMMYFUNCTION("vlookup(BB1901,importrange(""https://docs.google.com/spreadsheets/d/1d2vevQ_7D_v35q4wCQ4RpQ_IPoTwEMB9Yp6ymwlPqew/edit?gid=984458430#gid=984458430"", ""'replication success'!A:M""), 13, FAlSE)"),"abstract")</f>
        <v>abstract</v>
      </c>
      <c r="BB1901" s="61" t="str">
        <f>IFERROR(__xludf.DUMMYFUNCTION("REGEXREPLACE(G1901, ""_[a-z]{1,2}$"", """")"),"osc2015122")</f>
        <v>osc2015122</v>
      </c>
      <c r="BD1901" s="1826" t="s">
        <v>1270</v>
      </c>
    </row>
    <row r="1902" ht="20.25" customHeight="1">
      <c r="A1902" s="44">
        <v>1902.0</v>
      </c>
      <c r="B1902" s="62" t="s">
        <v>114</v>
      </c>
      <c r="C1902" s="62" t="s">
        <v>115</v>
      </c>
      <c r="D1902" s="62" t="s">
        <v>1270</v>
      </c>
      <c r="E1902" s="1826"/>
      <c r="F1902" s="143" t="s">
        <v>11138</v>
      </c>
      <c r="G1902" s="143" t="s">
        <v>11139</v>
      </c>
      <c r="H1902" s="143" t="s">
        <v>5024</v>
      </c>
      <c r="I1902" s="1877">
        <v>45659.0</v>
      </c>
      <c r="J1902" s="1827">
        <v>45734.0</v>
      </c>
      <c r="K1902" s="143" t="s">
        <v>4050</v>
      </c>
      <c r="L1902" s="1826" t="s">
        <v>11140</v>
      </c>
      <c r="M1902" s="1828" t="s">
        <v>11141</v>
      </c>
      <c r="N1902" s="143" t="s">
        <v>11142</v>
      </c>
      <c r="P1902" s="1830" t="s">
        <v>11143</v>
      </c>
      <c r="Q1902" s="52" t="str">
        <f t="array" ref="Q1902"> if(iserror(MATCH(V1902, 'File Links'!C:C, 0)), "N/A", HYPERLINK(INDEX('File Links'!B:B, MATCH(P1902, 'File Links'!C:C, 0))))</f>
        <v>https://drive.google.com/file/d/1qgt58xRKt3k8Eix4-bV5OBupJ4bQXEgg/view?usp=drivesdk</v>
      </c>
      <c r="R1902" s="1878"/>
      <c r="S1902" s="159" t="s">
        <v>10720</v>
      </c>
      <c r="T1902" s="129"/>
      <c r="U1902" s="1854"/>
      <c r="V1902" s="198" t="str">
        <f t="shared" si="119"/>
        <v>10.1126--science.aac4716.pdf</v>
      </c>
      <c r="W1902" s="1839"/>
      <c r="X1902" s="54" t="str">
        <f t="array" ref="X1902"> if(iserror(MATCH(V1902, 'File Links'!C:C, 0)), "N/A", HYPERLINK(INDEX('File Links'!B:B, MATCH(V1902, 'File Links'!C:C, 0))))</f>
        <v>https://drive.google.com/file/d/1UMAh9VGta6ExS2-Lb6GkDF4fmnI2EMeM/view?usp=drivesdk</v>
      </c>
      <c r="Z1902" s="1826"/>
      <c r="AA1902" s="1839"/>
      <c r="AB1902" s="143" t="s">
        <v>11144</v>
      </c>
      <c r="AC1902" s="143" t="s">
        <v>11145</v>
      </c>
      <c r="AF1902" s="1837">
        <v>4.0</v>
      </c>
      <c r="AG1902" s="1879"/>
      <c r="AH1902" s="1839"/>
      <c r="AI1902" s="1839"/>
      <c r="AJ1902" s="1880"/>
      <c r="AK1902" s="1850"/>
      <c r="AL1902" s="1850"/>
      <c r="AM1902" s="1851"/>
      <c r="AN1902" s="330" t="s">
        <v>138</v>
      </c>
      <c r="AO1902" s="1854"/>
      <c r="AP1902" s="1854"/>
      <c r="AQ1902" s="1839"/>
      <c r="AR1902" s="1839"/>
      <c r="AS1902" s="1879"/>
      <c r="AT1902" s="1839"/>
      <c r="AU1902" s="1839"/>
      <c r="AV1902" s="1851"/>
      <c r="AW1902" s="1881"/>
      <c r="AX1902" s="1851"/>
      <c r="AY1902" s="61" t="str">
        <f>IFERROR(__xludf.DUMMYFUNCTION("vlookup(BB1902,importrange(""https://docs.google.com/spreadsheets/d/1d2vevQ_7D_v35q4wCQ4RpQ_IPoTwEMB9Yp6ymwlPqew/edit?gid=984458430#gid=984458430"", ""'replication success'!A:K""), 11, FAlSE)"),"#N/A")</f>
        <v>#N/A</v>
      </c>
      <c r="AZ1902" s="61" t="str">
        <f>IFERROR(__xludf.DUMMYFUNCTION("vlookup(BB1902,importrange(""https://docs.google.com/spreadsheets/d/1d2vevQ_7D_v35q4wCQ4RpQ_IPoTwEMB9Yp6ymwlPqew/edit?gid=984458430#gid=984458430"", ""'replication success'!A:M""), 12, FAlSE)"),"#N/A")</f>
        <v>#N/A</v>
      </c>
      <c r="BA1902" s="61" t="str">
        <f>IFERROR(__xludf.DUMMYFUNCTION("vlookup(BB1902,importrange(""https://docs.google.com/spreadsheets/d/1d2vevQ_7D_v35q4wCQ4RpQ_IPoTwEMB9Yp6ymwlPqew/edit?gid=984458430#gid=984458430"", ""'replication success'!A:M""), 13, FAlSE)"),"#N/A")</f>
        <v>#N/A</v>
      </c>
      <c r="BB1902" s="61" t="str">
        <f>IFERROR(__xludf.DUMMYFUNCTION("REGEXREPLACE(G1902, ""_[a-z]{1,2}$"", """")"),"osc2015123")</f>
        <v>osc2015123</v>
      </c>
      <c r="BD1902" s="1826" t="s">
        <v>10729</v>
      </c>
      <c r="BF1902" s="1815" t="s">
        <v>11146</v>
      </c>
    </row>
    <row r="1903" ht="20.25" customHeight="1">
      <c r="A1903" s="44">
        <v>1903.0</v>
      </c>
      <c r="B1903" s="129" t="s">
        <v>114</v>
      </c>
      <c r="C1903" s="62" t="s">
        <v>115</v>
      </c>
      <c r="D1903" s="62" t="s">
        <v>153</v>
      </c>
      <c r="E1903" s="1826"/>
      <c r="F1903" s="143" t="s">
        <v>11138</v>
      </c>
      <c r="G1903" s="143" t="s">
        <v>11139</v>
      </c>
      <c r="H1903" s="143" t="s">
        <v>153</v>
      </c>
      <c r="I1903" s="1826" t="s">
        <v>10730</v>
      </c>
      <c r="J1903" s="1827">
        <v>45734.0</v>
      </c>
      <c r="K1903" s="143" t="s">
        <v>11147</v>
      </c>
      <c r="L1903" s="143" t="s">
        <v>11140</v>
      </c>
      <c r="M1903" s="1828" t="s">
        <v>11141</v>
      </c>
      <c r="N1903" s="143" t="s">
        <v>11142</v>
      </c>
      <c r="P1903" s="1830" t="s">
        <v>11143</v>
      </c>
      <c r="Q1903" s="52" t="str">
        <f t="array" ref="Q1903"> if(iserror(MATCH(V1903, 'File Links'!C:C, 0)), "N/A", HYPERLINK(INDEX('File Links'!B:B, MATCH(P1903, 'File Links'!C:C, 0))))</f>
        <v>https://drive.google.com/file/d/1qgt58xRKt3k8Eix4-bV5OBupJ4bQXEgg/view?usp=drivesdk</v>
      </c>
      <c r="R1903" s="1878"/>
      <c r="S1903" s="159" t="s">
        <v>10720</v>
      </c>
      <c r="T1903" s="129"/>
      <c r="U1903" s="1846"/>
      <c r="V1903" s="198" t="str">
        <f t="shared" si="119"/>
        <v>10.1126--science.aac4716.pdf</v>
      </c>
      <c r="W1903" s="1852"/>
      <c r="X1903" s="54" t="str">
        <f t="array" ref="X1903"> if(iserror(MATCH(V1903, 'File Links'!C:C, 0)), "N/A", HYPERLINK(INDEX('File Links'!B:B, MATCH(V1903, 'File Links'!C:C, 0))))</f>
        <v>https://drive.google.com/file/d/1UMAh9VGta6ExS2-Lb6GkDF4fmnI2EMeM/view?usp=drivesdk</v>
      </c>
      <c r="Z1903" s="1826"/>
      <c r="AA1903" s="1826"/>
      <c r="AB1903" s="1839"/>
      <c r="AC1903" s="1839"/>
      <c r="AD1903" s="1839"/>
      <c r="AE1903" s="1839"/>
      <c r="AF1903" s="1839"/>
      <c r="AG1903" s="1839"/>
      <c r="AH1903" s="1839"/>
      <c r="AI1903" s="1839"/>
      <c r="AJ1903" s="1849"/>
      <c r="AK1903" s="1850"/>
      <c r="AL1903" s="1850"/>
      <c r="AM1903" s="1851"/>
      <c r="AN1903" s="330" t="s">
        <v>138</v>
      </c>
      <c r="AO1903" s="1839"/>
      <c r="AP1903" s="1839"/>
      <c r="AQ1903" s="1839"/>
      <c r="AR1903" s="1839"/>
      <c r="AS1903" s="1839"/>
      <c r="AT1903" s="1839"/>
      <c r="AU1903" s="1839"/>
      <c r="AV1903" s="1851"/>
      <c r="AW1903" s="1846"/>
      <c r="AX1903" s="1851"/>
      <c r="AY1903" s="61" t="str">
        <f>IFERROR(__xludf.DUMMYFUNCTION("vlookup(BB1903,importrange(""https://docs.google.com/spreadsheets/d/1d2vevQ_7D_v35q4wCQ4RpQ_IPoTwEMB9Yp6ymwlPqew/edit?gid=984458430#gid=984458430"", ""'replication success'!A:K""), 11, FAlSE)"),"#N/A")</f>
        <v>#N/A</v>
      </c>
      <c r="AZ1903" s="61" t="str">
        <f>IFERROR(__xludf.DUMMYFUNCTION("vlookup(BB1903,importrange(""https://docs.google.com/spreadsheets/d/1d2vevQ_7D_v35q4wCQ4RpQ_IPoTwEMB9Yp6ymwlPqew/edit?gid=984458430#gid=984458430"", ""'replication success'!A:M""), 12, FAlSE)"),"#N/A")</f>
        <v>#N/A</v>
      </c>
      <c r="BA1903" s="61" t="str">
        <f>IFERROR(__xludf.DUMMYFUNCTION("vlookup(BB1903,importrange(""https://docs.google.com/spreadsheets/d/1d2vevQ_7D_v35q4wCQ4RpQ_IPoTwEMB9Yp6ymwlPqew/edit?gid=984458430#gid=984458430"", ""'replication success'!A:M""), 13, FAlSE)"),"#N/A")</f>
        <v>#N/A</v>
      </c>
      <c r="BB1903" s="61" t="str">
        <f>IFERROR(__xludf.DUMMYFUNCTION("REGEXREPLACE(G1903, ""_[a-z]{1,2}$"", """")"),"osc2015123")</f>
        <v>osc2015123</v>
      </c>
      <c r="BD1903" s="1826" t="s">
        <v>10729</v>
      </c>
      <c r="BE1903" s="71"/>
    </row>
    <row r="1904" ht="20.25" customHeight="1">
      <c r="A1904" s="44">
        <v>1904.0</v>
      </c>
      <c r="B1904" s="129" t="s">
        <v>152</v>
      </c>
      <c r="C1904" s="62" t="s">
        <v>115</v>
      </c>
      <c r="D1904" s="62" t="s">
        <v>1270</v>
      </c>
      <c r="E1904" s="1826"/>
      <c r="F1904" s="143" t="s">
        <v>11148</v>
      </c>
      <c r="G1904" s="143" t="s">
        <v>11149</v>
      </c>
      <c r="H1904" s="143" t="s">
        <v>11150</v>
      </c>
      <c r="I1904" s="1877">
        <v>45659.0</v>
      </c>
      <c r="J1904" s="1827">
        <v>45694.0</v>
      </c>
      <c r="K1904" s="143" t="s">
        <v>11151</v>
      </c>
      <c r="L1904" s="143" t="s">
        <v>11152</v>
      </c>
      <c r="M1904" s="1840" t="s">
        <v>11153</v>
      </c>
      <c r="N1904" s="143" t="s">
        <v>6352</v>
      </c>
      <c r="O1904" s="1829">
        <v>1.0</v>
      </c>
      <c r="P1904" s="1841" t="s">
        <v>6353</v>
      </c>
      <c r="Q1904" s="52" t="str">
        <f t="array" ref="Q1904"> if(iserror(MATCH(V1904, 'File Links'!C:C, 0)), "N/A", HYPERLINK(INDEX('File Links'!B:B, MATCH(P1904, 'File Links'!C:C, 0))))</f>
        <v>https://drive.google.com/file/d/1cd2Q3usXoNSUYACYaL4eodYUxZsj-SOb/view?usp=drivesdk</v>
      </c>
      <c r="R1904" s="1841" t="s">
        <v>11154</v>
      </c>
      <c r="S1904" s="159" t="s">
        <v>10720</v>
      </c>
      <c r="T1904" s="129"/>
      <c r="U1904" s="1826"/>
      <c r="V1904" s="198" t="str">
        <f t="shared" si="119"/>
        <v>10.1126--science.aac4716.pdf</v>
      </c>
      <c r="W1904" s="143" t="s">
        <v>164</v>
      </c>
      <c r="X1904" s="54" t="str">
        <f t="array" ref="X1904"> if(iserror(MATCH(V1904, 'File Links'!C:C, 0)), "N/A", HYPERLINK(INDEX('File Links'!B:B, MATCH(V1904, 'File Links'!C:C, 0))))</f>
        <v>https://drive.google.com/file/d/1UMAh9VGta6ExS2-Lb6GkDF4fmnI2EMeM/view?usp=drivesdk</v>
      </c>
      <c r="Z1904" s="143" t="s">
        <v>226</v>
      </c>
      <c r="AA1904" s="143" t="s">
        <v>11155</v>
      </c>
      <c r="AB1904" s="143" t="s">
        <v>11156</v>
      </c>
      <c r="AC1904" s="143" t="s">
        <v>11157</v>
      </c>
      <c r="AD1904" s="143" t="s">
        <v>11158</v>
      </c>
      <c r="AE1904" s="1829">
        <v>2.0</v>
      </c>
      <c r="AF1904" s="1829">
        <v>36.0</v>
      </c>
      <c r="AG1904" s="143" t="s">
        <v>11159</v>
      </c>
      <c r="AH1904" s="143" t="s">
        <v>134</v>
      </c>
      <c r="AI1904" s="143" t="s">
        <v>875</v>
      </c>
      <c r="AJ1904" s="1826" t="s">
        <v>138</v>
      </c>
      <c r="AK1904" s="143" t="s">
        <v>138</v>
      </c>
      <c r="AL1904" s="143" t="s">
        <v>186</v>
      </c>
      <c r="AM1904" s="1826" t="s">
        <v>137</v>
      </c>
      <c r="AN1904" s="330" t="s">
        <v>138</v>
      </c>
      <c r="AO1904" s="1829">
        <v>70.0</v>
      </c>
      <c r="AP1904" s="143">
        <v>0.001</v>
      </c>
      <c r="AQ1904" s="143" t="s">
        <v>874</v>
      </c>
      <c r="AR1904" s="143" t="s">
        <v>11160</v>
      </c>
      <c r="AS1904" s="1837">
        <v>0.79</v>
      </c>
      <c r="AT1904" s="1826" t="s">
        <v>172</v>
      </c>
      <c r="AU1904" s="143" t="s">
        <v>186</v>
      </c>
      <c r="AV1904" s="1826" t="s">
        <v>137</v>
      </c>
      <c r="AW1904" s="1836" t="s">
        <v>11161</v>
      </c>
      <c r="AX1904" s="1826" t="s">
        <v>143</v>
      </c>
      <c r="AY1904" s="61" t="str">
        <f>IFERROR(__xludf.DUMMYFUNCTION("vlookup(BB1904,importrange(""https://docs.google.com/spreadsheets/d/1d2vevQ_7D_v35q4wCQ4RpQ_IPoTwEMB9Yp6ymwlPqew/edit?gid=984458430#gid=984458430"", ""'replication success'!A:K""), 11, FAlSE)"),"")</f>
        <v/>
      </c>
      <c r="AZ1904" s="61" t="str">
        <f>IFERROR(__xludf.DUMMYFUNCTION("vlookup(BB1904,importrange(""https://docs.google.com/spreadsheets/d/1d2vevQ_7D_v35q4wCQ4RpQ_IPoTwEMB9Yp6ymwlPqew/edit?gid=984458430#gid=984458430"", ""'replication success'!A:M""), 12, FAlSE)"),"")</f>
        <v/>
      </c>
      <c r="BA1904" s="61" t="str">
        <f>IFERROR(__xludf.DUMMYFUNCTION("vlookup(BB1904,importrange(""https://docs.google.com/spreadsheets/d/1d2vevQ_7D_v35q4wCQ4RpQ_IPoTwEMB9Yp6ymwlPqew/edit?gid=984458430#gid=984458430"", ""'replication success'!A:M""), 13, FAlSE)"),"abstract")</f>
        <v>abstract</v>
      </c>
      <c r="BB1904" s="61" t="str">
        <f>IFERROR(__xludf.DUMMYFUNCTION("REGEXREPLACE(G1904, ""_[a-z]{1,2}$"", """")"),"osc2015124")</f>
        <v>osc2015124</v>
      </c>
      <c r="BD1904" s="1826" t="s">
        <v>1270</v>
      </c>
      <c r="BF1904" s="1815" t="s">
        <v>11044</v>
      </c>
    </row>
    <row r="1905" ht="20.25" customHeight="1">
      <c r="A1905" s="44">
        <v>1905.0</v>
      </c>
      <c r="B1905" s="62" t="s">
        <v>114</v>
      </c>
      <c r="C1905" s="62" t="s">
        <v>115</v>
      </c>
      <c r="D1905" s="62" t="s">
        <v>153</v>
      </c>
      <c r="E1905" s="1826"/>
      <c r="F1905" s="143" t="s">
        <v>11148</v>
      </c>
      <c r="G1905" s="1857" t="s">
        <v>11149</v>
      </c>
      <c r="H1905" s="143" t="s">
        <v>153</v>
      </c>
      <c r="I1905" s="1826" t="s">
        <v>10730</v>
      </c>
      <c r="J1905" s="1827">
        <v>45694.0</v>
      </c>
      <c r="K1905" s="1826" t="s">
        <v>11162</v>
      </c>
      <c r="L1905" s="1826"/>
      <c r="M1905" s="1828" t="s">
        <v>11153</v>
      </c>
      <c r="N1905" s="143" t="s">
        <v>6352</v>
      </c>
      <c r="O1905" s="1837">
        <v>1.0</v>
      </c>
      <c r="P1905" s="1830" t="s">
        <v>6353</v>
      </c>
      <c r="Q1905" s="52" t="str">
        <f t="array" ref="Q1905"> if(iserror(MATCH(V1905, 'File Links'!C:C, 0)), "N/A", HYPERLINK(INDEX('File Links'!B:B, MATCH(P1905, 'File Links'!C:C, 0))))</f>
        <v>https://drive.google.com/file/d/1cd2Q3usXoNSUYACYaL4eodYUxZsj-SOb/view?usp=drivesdk</v>
      </c>
      <c r="R1905" s="1841" t="s">
        <v>11154</v>
      </c>
      <c r="S1905" s="159" t="s">
        <v>10720</v>
      </c>
      <c r="T1905" s="129"/>
      <c r="U1905" s="1837">
        <v>1.0</v>
      </c>
      <c r="V1905" s="198" t="str">
        <f t="shared" si="119"/>
        <v>10.1126--science.aac4716.pdf</v>
      </c>
      <c r="W1905" s="143" t="s">
        <v>164</v>
      </c>
      <c r="X1905" s="54" t="str">
        <f t="array" ref="X1905"> if(iserror(MATCH(V1905, 'File Links'!C:C, 0)), "N/A", HYPERLINK(INDEX('File Links'!B:B, MATCH(V1905, 'File Links'!C:C, 0))))</f>
        <v>https://drive.google.com/file/d/1UMAh9VGta6ExS2-Lb6GkDF4fmnI2EMeM/view?usp=drivesdk</v>
      </c>
      <c r="Z1905" s="1826" t="s">
        <v>226</v>
      </c>
      <c r="AA1905" s="143" t="s">
        <v>11163</v>
      </c>
      <c r="AB1905" s="1826" t="s">
        <v>11164</v>
      </c>
      <c r="AC1905" s="1826" t="s">
        <v>11157</v>
      </c>
      <c r="AD1905" s="143" t="s">
        <v>11165</v>
      </c>
      <c r="AE1905" s="1837">
        <v>2.0</v>
      </c>
      <c r="AF1905" s="1837">
        <v>36.0</v>
      </c>
      <c r="AG1905" s="1837">
        <v>0.2</v>
      </c>
      <c r="AH1905" s="143" t="s">
        <v>11166</v>
      </c>
      <c r="AI1905" s="1826" t="s">
        <v>875</v>
      </c>
      <c r="AJ1905" s="1837">
        <v>0.93</v>
      </c>
      <c r="AK1905" s="1826" t="s">
        <v>172</v>
      </c>
      <c r="AL1905" s="1826" t="s">
        <v>186</v>
      </c>
      <c r="AM1905" s="1826" t="s">
        <v>141</v>
      </c>
      <c r="AN1905" s="330" t="s">
        <v>138</v>
      </c>
      <c r="AO1905" s="1837">
        <v>70.0</v>
      </c>
      <c r="AP1905" s="1837">
        <v>0.001</v>
      </c>
      <c r="AQ1905" s="1826" t="s">
        <v>139</v>
      </c>
      <c r="AR1905" s="1826" t="s">
        <v>217</v>
      </c>
      <c r="AS1905" s="1837">
        <v>0.79</v>
      </c>
      <c r="AT1905" s="1826" t="s">
        <v>172</v>
      </c>
      <c r="AU1905" s="1826" t="s">
        <v>186</v>
      </c>
      <c r="AV1905" s="1826" t="s">
        <v>141</v>
      </c>
      <c r="AW1905" s="1836" t="s">
        <v>11167</v>
      </c>
      <c r="AX1905" s="1826" t="s">
        <v>143</v>
      </c>
      <c r="AY1905" s="61" t="str">
        <f>IFERROR(__xludf.DUMMYFUNCTION("vlookup(BB1905,importrange(""https://docs.google.com/spreadsheets/d/1d2vevQ_7D_v35q4wCQ4RpQ_IPoTwEMB9Yp6ymwlPqew/edit?gid=984458430#gid=984458430"", ""'replication success'!A:K""), 11, FAlSE)"),"")</f>
        <v/>
      </c>
      <c r="AZ1905" s="61" t="str">
        <f>IFERROR(__xludf.DUMMYFUNCTION("vlookup(BB1905,importrange(""https://docs.google.com/spreadsheets/d/1d2vevQ_7D_v35q4wCQ4RpQ_IPoTwEMB9Yp6ymwlPqew/edit?gid=984458430#gid=984458430"", ""'replication success'!A:M""), 12, FAlSE)"),"")</f>
        <v/>
      </c>
      <c r="BA1905" s="61" t="str">
        <f>IFERROR(__xludf.DUMMYFUNCTION("vlookup(BB1905,importrange(""https://docs.google.com/spreadsheets/d/1d2vevQ_7D_v35q4wCQ4RpQ_IPoTwEMB9Yp6ymwlPqew/edit?gid=984458430#gid=984458430"", ""'replication success'!A:M""), 13, FAlSE)"),"abstract")</f>
        <v>abstract</v>
      </c>
      <c r="BB1905" s="61" t="str">
        <f>IFERROR(__xludf.DUMMYFUNCTION("REGEXREPLACE(G1905, ""_[a-z]{1,2}$"", """")"),"osc2015124")</f>
        <v>osc2015124</v>
      </c>
      <c r="BD1905" s="1826" t="s">
        <v>1270</v>
      </c>
      <c r="BE1905" s="189"/>
    </row>
    <row r="1906" ht="20.25" customHeight="1">
      <c r="A1906" s="44">
        <v>1906.0</v>
      </c>
      <c r="B1906" s="129" t="s">
        <v>114</v>
      </c>
      <c r="C1906" s="62" t="s">
        <v>115</v>
      </c>
      <c r="D1906" s="62" t="s">
        <v>1270</v>
      </c>
      <c r="E1906" s="1826"/>
      <c r="F1906" s="143" t="s">
        <v>11168</v>
      </c>
      <c r="G1906" s="143" t="s">
        <v>11169</v>
      </c>
      <c r="H1906" s="143" t="s">
        <v>5024</v>
      </c>
      <c r="I1906" s="1877">
        <v>45659.0</v>
      </c>
      <c r="J1906" s="1827">
        <v>45734.0</v>
      </c>
      <c r="K1906" s="1826" t="s">
        <v>4050</v>
      </c>
      <c r="L1906" s="143" t="s">
        <v>11140</v>
      </c>
      <c r="M1906" s="1828" t="s">
        <v>11170</v>
      </c>
      <c r="N1906" s="143" t="s">
        <v>11171</v>
      </c>
      <c r="P1906" s="1830" t="s">
        <v>11172</v>
      </c>
      <c r="Q1906" s="52" t="str">
        <f t="array" ref="Q1906"> if(iserror(MATCH(V1906, 'File Links'!C:C, 0)), "N/A", HYPERLINK(INDEX('File Links'!B:B, MATCH(P1906, 'File Links'!C:C, 0))))</f>
        <v>https://drive.google.com/file/d/1tLDYZKQb4z1ZUitzltLK7vgv1To8FFUF/view?usp=drivesdk</v>
      </c>
      <c r="R1906" s="1878"/>
      <c r="S1906" s="159" t="s">
        <v>10720</v>
      </c>
      <c r="T1906" s="129"/>
      <c r="U1906" s="1854"/>
      <c r="V1906" s="198" t="str">
        <f t="shared" si="119"/>
        <v>10.1126--science.aac4716.pdf</v>
      </c>
      <c r="W1906" s="1839"/>
      <c r="X1906" s="54" t="str">
        <f t="array" ref="X1906"> if(iserror(MATCH(V1906, 'File Links'!C:C, 0)), "N/A", HYPERLINK(INDEX('File Links'!B:B, MATCH(V1906, 'File Links'!C:C, 0))))</f>
        <v>https://drive.google.com/file/d/1UMAh9VGta6ExS2-Lb6GkDF4fmnI2EMeM/view?usp=drivesdk</v>
      </c>
      <c r="Z1906" s="1826"/>
      <c r="AA1906" s="1839"/>
      <c r="AB1906" s="143" t="s">
        <v>11173</v>
      </c>
      <c r="AC1906" s="143" t="s">
        <v>11174</v>
      </c>
      <c r="AF1906" s="1829">
        <v>3412.0</v>
      </c>
      <c r="AG1906" s="1879"/>
      <c r="AH1906" s="1839"/>
      <c r="AI1906" s="1839"/>
      <c r="AJ1906" s="1880"/>
      <c r="AK1906" s="1882"/>
      <c r="AL1906" s="1850"/>
      <c r="AM1906" s="1851"/>
      <c r="AN1906" s="330" t="s">
        <v>138</v>
      </c>
      <c r="AO1906" s="1854"/>
      <c r="AP1906" s="1854"/>
      <c r="AQ1906" s="1839"/>
      <c r="AR1906" s="1839"/>
      <c r="AS1906" s="1879"/>
      <c r="AT1906" s="1839"/>
      <c r="AU1906" s="1839"/>
      <c r="AV1906" s="1851"/>
      <c r="AW1906" s="1881"/>
      <c r="AX1906" s="1851"/>
      <c r="AY1906" s="61" t="str">
        <f>IFERROR(__xludf.DUMMYFUNCTION("vlookup(BB1906,importrange(""https://docs.google.com/spreadsheets/d/1d2vevQ_7D_v35q4wCQ4RpQ_IPoTwEMB9Yp6ymwlPqew/edit?gid=984458430#gid=984458430"", ""'replication success'!A:K""), 11, FAlSE)"),"#N/A")</f>
        <v>#N/A</v>
      </c>
      <c r="AZ1906" s="61" t="str">
        <f>IFERROR(__xludf.DUMMYFUNCTION("vlookup(BB1906,importrange(""https://docs.google.com/spreadsheets/d/1d2vevQ_7D_v35q4wCQ4RpQ_IPoTwEMB9Yp6ymwlPqew/edit?gid=984458430#gid=984458430"", ""'replication success'!A:M""), 12, FAlSE)"),"#N/A")</f>
        <v>#N/A</v>
      </c>
      <c r="BA1906" s="61" t="str">
        <f>IFERROR(__xludf.DUMMYFUNCTION("vlookup(BB1906,importrange(""https://docs.google.com/spreadsheets/d/1d2vevQ_7D_v35q4wCQ4RpQ_IPoTwEMB9Yp6ymwlPqew/edit?gid=984458430#gid=984458430"", ""'replication success'!A:M""), 13, FAlSE)"),"#N/A")</f>
        <v>#N/A</v>
      </c>
      <c r="BB1906" s="61" t="str">
        <f>IFERROR(__xludf.DUMMYFUNCTION("REGEXREPLACE(G1906, ""_[a-z]{1,2}$"", """")"),"osc2015126")</f>
        <v>osc2015126</v>
      </c>
      <c r="BD1906" s="1826" t="s">
        <v>10729</v>
      </c>
      <c r="BF1906" s="1815" t="s">
        <v>11175</v>
      </c>
    </row>
    <row r="1907" ht="20.25" customHeight="1">
      <c r="A1907" s="44">
        <v>1907.0</v>
      </c>
      <c r="B1907" s="62" t="s">
        <v>114</v>
      </c>
      <c r="C1907" s="62" t="s">
        <v>115</v>
      </c>
      <c r="D1907" s="62" t="s">
        <v>153</v>
      </c>
      <c r="E1907" s="1826"/>
      <c r="F1907" s="143" t="s">
        <v>11168</v>
      </c>
      <c r="G1907" s="143" t="s">
        <v>11169</v>
      </c>
      <c r="H1907" s="143" t="s">
        <v>153</v>
      </c>
      <c r="I1907" s="1826" t="s">
        <v>10730</v>
      </c>
      <c r="J1907" s="1827">
        <v>45734.0</v>
      </c>
      <c r="K1907" s="143" t="s">
        <v>11176</v>
      </c>
      <c r="L1907" s="143" t="s">
        <v>11140</v>
      </c>
      <c r="M1907" s="1828" t="s">
        <v>11170</v>
      </c>
      <c r="N1907" s="143" t="s">
        <v>11171</v>
      </c>
      <c r="P1907" s="1830" t="s">
        <v>11172</v>
      </c>
      <c r="Q1907" s="52" t="str">
        <f t="array" ref="Q1907"> if(iserror(MATCH(V1907, 'File Links'!C:C, 0)), "N/A", HYPERLINK(INDEX('File Links'!B:B, MATCH(P1907, 'File Links'!C:C, 0))))</f>
        <v>https://drive.google.com/file/d/1tLDYZKQb4z1ZUitzltLK7vgv1To8FFUF/view?usp=drivesdk</v>
      </c>
      <c r="R1907" s="1878"/>
      <c r="S1907" s="159" t="s">
        <v>10720</v>
      </c>
      <c r="T1907" s="129"/>
      <c r="U1907" s="1854"/>
      <c r="V1907" s="198" t="str">
        <f t="shared" si="119"/>
        <v>10.1126--science.aac4716.pdf</v>
      </c>
      <c r="W1907" s="1852"/>
      <c r="X1907" s="54" t="str">
        <f t="array" ref="X1907"> if(iserror(MATCH(V1907, 'File Links'!C:C, 0)), "N/A", HYPERLINK(INDEX('File Links'!B:B, MATCH(V1907, 'File Links'!C:C, 0))))</f>
        <v>https://drive.google.com/file/d/1UMAh9VGta6ExS2-Lb6GkDF4fmnI2EMeM/view?usp=drivesdk</v>
      </c>
      <c r="Z1907" s="1826"/>
      <c r="AA1907" s="1826"/>
      <c r="AB1907" s="1839"/>
      <c r="AC1907" s="1839"/>
      <c r="AD1907" s="1839"/>
      <c r="AE1907" s="1879"/>
      <c r="AF1907" s="1879"/>
      <c r="AG1907" s="1879"/>
      <c r="AH1907" s="1839"/>
      <c r="AI1907" s="1839"/>
      <c r="AJ1907" s="1883"/>
      <c r="AK1907" s="1882"/>
      <c r="AL1907" s="1850"/>
      <c r="AM1907" s="1851"/>
      <c r="AN1907" s="330" t="s">
        <v>138</v>
      </c>
      <c r="AO1907" s="1854"/>
      <c r="AP1907" s="1854"/>
      <c r="AQ1907" s="1839"/>
      <c r="AR1907" s="1839"/>
      <c r="AS1907" s="1879"/>
      <c r="AT1907" s="1839"/>
      <c r="AU1907" s="1839"/>
      <c r="AV1907" s="1851"/>
      <c r="AW1907" s="1881"/>
      <c r="AX1907" s="1851"/>
      <c r="AY1907" s="61" t="str">
        <f>IFERROR(__xludf.DUMMYFUNCTION("vlookup(BB1907,importrange(""https://docs.google.com/spreadsheets/d/1d2vevQ_7D_v35q4wCQ4RpQ_IPoTwEMB9Yp6ymwlPqew/edit?gid=984458430#gid=984458430"", ""'replication success'!A:K""), 11, FAlSE)"),"#N/A")</f>
        <v>#N/A</v>
      </c>
      <c r="AZ1907" s="61" t="str">
        <f>IFERROR(__xludf.DUMMYFUNCTION("vlookup(BB1907,importrange(""https://docs.google.com/spreadsheets/d/1d2vevQ_7D_v35q4wCQ4RpQ_IPoTwEMB9Yp6ymwlPqew/edit?gid=984458430#gid=984458430"", ""'replication success'!A:M""), 12, FAlSE)"),"#N/A")</f>
        <v>#N/A</v>
      </c>
      <c r="BA1907" s="61" t="str">
        <f>IFERROR(__xludf.DUMMYFUNCTION("vlookup(BB1907,importrange(""https://docs.google.com/spreadsheets/d/1d2vevQ_7D_v35q4wCQ4RpQ_IPoTwEMB9Yp6ymwlPqew/edit?gid=984458430#gid=984458430"", ""'replication success'!A:M""), 13, FAlSE)"),"#N/A")</f>
        <v>#N/A</v>
      </c>
      <c r="BB1907" s="61" t="str">
        <f>IFERROR(__xludf.DUMMYFUNCTION("REGEXREPLACE(G1907, ""_[a-z]{1,2}$"", """")"),"osc2015126")</f>
        <v>osc2015126</v>
      </c>
      <c r="BD1907" s="1826" t="s">
        <v>10729</v>
      </c>
    </row>
    <row r="1908" ht="20.25" customHeight="1">
      <c r="A1908" s="44">
        <v>1908.0</v>
      </c>
      <c r="B1908" s="62" t="s">
        <v>152</v>
      </c>
      <c r="C1908" s="62" t="s">
        <v>115</v>
      </c>
      <c r="D1908" s="62" t="s">
        <v>1270</v>
      </c>
      <c r="E1908" s="1826"/>
      <c r="F1908" s="143" t="s">
        <v>11177</v>
      </c>
      <c r="G1908" s="143" t="s">
        <v>11178</v>
      </c>
      <c r="H1908" s="1826" t="s">
        <v>11179</v>
      </c>
      <c r="I1908" s="1877">
        <v>45659.0</v>
      </c>
      <c r="J1908" s="1827">
        <v>45694.0</v>
      </c>
      <c r="K1908" s="143" t="s">
        <v>11180</v>
      </c>
      <c r="L1908" s="1831" t="s">
        <v>11181</v>
      </c>
      <c r="M1908" s="1840" t="s">
        <v>11182</v>
      </c>
      <c r="N1908" s="143" t="s">
        <v>11183</v>
      </c>
      <c r="O1908" s="1829">
        <v>3.0</v>
      </c>
      <c r="P1908" s="1841" t="s">
        <v>11184</v>
      </c>
      <c r="Q1908" s="52" t="str">
        <f t="array" ref="Q1908"> if(iserror(MATCH(V1908, 'File Links'!C:C, 0)), "N/A", HYPERLINK(INDEX('File Links'!B:B, MATCH(P1908, 'File Links'!C:C, 0))))</f>
        <v>https://drive.google.com/file/d/1vmwxHTrl9F3n9CjnCny5Gv7aZ_iSmn06/view?usp=drivesdk</v>
      </c>
      <c r="R1908" s="1841" t="s">
        <v>11185</v>
      </c>
      <c r="S1908" s="159" t="s">
        <v>10720</v>
      </c>
      <c r="T1908" s="123" t="s">
        <v>11186</v>
      </c>
      <c r="U1908" s="1826"/>
      <c r="V1908" s="198" t="str">
        <f t="shared" si="119"/>
        <v>10.1126--science.aac4716.pdf</v>
      </c>
      <c r="W1908" s="143" t="s">
        <v>164</v>
      </c>
      <c r="X1908" s="54" t="str">
        <f t="array" ref="X1908"> if(iserror(MATCH(V1908, 'File Links'!C:C, 0)), "N/A", HYPERLINK(INDEX('File Links'!B:B, MATCH(V1908, 'File Links'!C:C, 0))))</f>
        <v>https://drive.google.com/file/d/1UMAh9VGta6ExS2-Lb6GkDF4fmnI2EMeM/view?usp=drivesdk</v>
      </c>
      <c r="Z1908" s="143" t="s">
        <v>148</v>
      </c>
      <c r="AA1908" s="143" t="s">
        <v>11187</v>
      </c>
      <c r="AB1908" s="143" t="s">
        <v>11188</v>
      </c>
      <c r="AC1908" s="143" t="s">
        <v>11189</v>
      </c>
      <c r="AD1908" s="143" t="s">
        <v>11190</v>
      </c>
      <c r="AE1908" s="1829">
        <v>5.0</v>
      </c>
      <c r="AF1908" s="1829">
        <v>29.0</v>
      </c>
      <c r="AG1908" s="143" t="s">
        <v>11191</v>
      </c>
      <c r="AH1908" s="143" t="s">
        <v>134</v>
      </c>
      <c r="AI1908" s="1839"/>
      <c r="AJ1908" s="1835">
        <v>0.001</v>
      </c>
      <c r="AK1908" s="143" t="s">
        <v>135</v>
      </c>
      <c r="AL1908" s="143" t="s">
        <v>136</v>
      </c>
      <c r="AM1908" s="1826" t="s">
        <v>141</v>
      </c>
      <c r="AN1908" s="330" t="s">
        <v>138</v>
      </c>
      <c r="AO1908" s="1829">
        <v>26.0</v>
      </c>
      <c r="AP1908" s="1848">
        <v>0.62</v>
      </c>
      <c r="AQ1908" s="143" t="s">
        <v>173</v>
      </c>
      <c r="AR1908" s="143" t="s">
        <v>11192</v>
      </c>
      <c r="AS1908" s="1835">
        <v>0.00471</v>
      </c>
      <c r="AT1908" s="143" t="s">
        <v>172</v>
      </c>
      <c r="AU1908" s="143" t="s">
        <v>136</v>
      </c>
      <c r="AV1908" s="1826" t="s">
        <v>141</v>
      </c>
      <c r="AW1908" s="1836" t="s">
        <v>11193</v>
      </c>
      <c r="AX1908" s="1826" t="s">
        <v>143</v>
      </c>
      <c r="AY1908" s="61" t="str">
        <f>IFERROR(__xludf.DUMMYFUNCTION("vlookup(BB1908,importrange(""https://docs.google.com/spreadsheets/d/1d2vevQ_7D_v35q4wCQ4RpQ_IPoTwEMB9Yp6ymwlPqew/edit?gid=984458430#gid=984458430"", ""'replication success'!A:K""), 11, FAlSE)"),"successful")</f>
        <v>successful</v>
      </c>
      <c r="AZ1908" s="61" t="str">
        <f>IFERROR(__xludf.DUMMYFUNCTION("vlookup(BB1908,importrange(""https://docs.google.com/spreadsheets/d/1d2vevQ_7D_v35q4wCQ4RpQ_IPoTwEMB9Yp6ymwlPqew/edit?gid=984458430#gid=984458430"", ""'replication success'!A:M""), 12, FAlSE)"),"The present replication successfully reproduced Winawer et al.’s key finding that “viewing a series of static photographs with implied motion in a particular direction produced motion after effects in the opposite direction” (Winawer et al, 2008, abstract"&amp;").")</f>
        <v>The present replication successfully reproduced Winawer et al.’s key finding that “viewing a series of static photographs with implied motion in a particular direction produced motion after effects in the opposite direction” (Winawer et al, 2008, abstract).</v>
      </c>
      <c r="BA1908" s="61" t="str">
        <f>IFERROR(__xludf.DUMMYFUNCTION("vlookup(BB1908,importrange(""https://docs.google.com/spreadsheets/d/1d2vevQ_7D_v35q4wCQ4RpQ_IPoTwEMB9Yp6ymwlPqew/edit?gid=984458430#gid=984458430"", ""'replication success'!A:M""), 13, FAlSE)"),"pg. 4")</f>
        <v>pg. 4</v>
      </c>
      <c r="BB1908" s="61" t="str">
        <f>IFERROR(__xludf.DUMMYFUNCTION("REGEXREPLACE(G1908, ""_[a-z]{1,2}$"", """")"),"osc2015127")</f>
        <v>osc2015127</v>
      </c>
      <c r="BD1908" s="1826" t="s">
        <v>1270</v>
      </c>
      <c r="BF1908" s="1815" t="s">
        <v>10955</v>
      </c>
    </row>
    <row r="1909" ht="20.25" customHeight="1">
      <c r="A1909" s="44">
        <v>1909.0</v>
      </c>
      <c r="B1909" s="62" t="s">
        <v>114</v>
      </c>
      <c r="C1909" s="62" t="s">
        <v>115</v>
      </c>
      <c r="D1909" s="62" t="s">
        <v>153</v>
      </c>
      <c r="E1909" s="1826"/>
      <c r="F1909" s="143" t="s">
        <v>11177</v>
      </c>
      <c r="G1909" s="1857" t="s">
        <v>11178</v>
      </c>
      <c r="H1909" s="143" t="s">
        <v>153</v>
      </c>
      <c r="I1909" s="1826" t="s">
        <v>10730</v>
      </c>
      <c r="J1909" s="1827">
        <v>45694.0</v>
      </c>
      <c r="K1909" s="143" t="s">
        <v>11194</v>
      </c>
      <c r="L1909" s="143"/>
      <c r="M1909" s="1828" t="s">
        <v>11182</v>
      </c>
      <c r="N1909" s="143" t="s">
        <v>11183</v>
      </c>
      <c r="O1909" s="1829">
        <v>3.0</v>
      </c>
      <c r="P1909" s="1830" t="s">
        <v>11184</v>
      </c>
      <c r="Q1909" s="52" t="str">
        <f t="array" ref="Q1909"> if(iserror(MATCH(V1909, 'File Links'!C:C, 0)), "N/A", HYPERLINK(INDEX('File Links'!B:B, MATCH(P1909, 'File Links'!C:C, 0))))</f>
        <v>https://drive.google.com/file/d/1vmwxHTrl9F3n9CjnCny5Gv7aZ_iSmn06/view?usp=drivesdk</v>
      </c>
      <c r="R1909" s="1841" t="s">
        <v>11185</v>
      </c>
      <c r="S1909" s="159" t="s">
        <v>10720</v>
      </c>
      <c r="T1909" s="129"/>
      <c r="U1909" s="1837">
        <v>1.0</v>
      </c>
      <c r="V1909" s="198" t="str">
        <f t="shared" si="119"/>
        <v>10.1126--science.aac4716.pdf</v>
      </c>
      <c r="W1909" s="143" t="s">
        <v>164</v>
      </c>
      <c r="X1909" s="54" t="str">
        <f t="array" ref="X1909"> if(iserror(MATCH(V1909, 'File Links'!C:C, 0)), "N/A", HYPERLINK(INDEX('File Links'!B:B, MATCH(V1909, 'File Links'!C:C, 0))))</f>
        <v>https://drive.google.com/file/d/1UMAh9VGta6ExS2-Lb6GkDF4fmnI2EMeM/view?usp=drivesdk</v>
      </c>
      <c r="Z1909" s="143" t="s">
        <v>148</v>
      </c>
      <c r="AA1909" s="143" t="s">
        <v>11195</v>
      </c>
      <c r="AB1909" s="143" t="s">
        <v>11196</v>
      </c>
      <c r="AC1909" s="143" t="s">
        <v>11189</v>
      </c>
      <c r="AD1909" s="143" t="s">
        <v>11197</v>
      </c>
      <c r="AE1909" s="1829">
        <v>5.0</v>
      </c>
      <c r="AF1909" s="1829">
        <v>29.0</v>
      </c>
      <c r="AG1909" s="143" t="s">
        <v>11191</v>
      </c>
      <c r="AH1909" s="143" t="s">
        <v>134</v>
      </c>
      <c r="AI1909" s="143" t="s">
        <v>813</v>
      </c>
      <c r="AJ1909" s="1837">
        <v>0.0</v>
      </c>
      <c r="AK1909" s="143" t="s">
        <v>172</v>
      </c>
      <c r="AL1909" s="143" t="s">
        <v>136</v>
      </c>
      <c r="AM1909" s="1826" t="s">
        <v>137</v>
      </c>
      <c r="AN1909" s="330" t="s">
        <v>138</v>
      </c>
      <c r="AO1909" s="1829">
        <v>26.0</v>
      </c>
      <c r="AP1909" s="1829">
        <v>-0.62</v>
      </c>
      <c r="AQ1909" s="143" t="s">
        <v>173</v>
      </c>
      <c r="AR1909" s="143" t="s">
        <v>850</v>
      </c>
      <c r="AS1909" s="1829">
        <v>0.00471</v>
      </c>
      <c r="AT1909" s="143" t="s">
        <v>172</v>
      </c>
      <c r="AU1909" s="143" t="s">
        <v>186</v>
      </c>
      <c r="AV1909" s="1826" t="s">
        <v>137</v>
      </c>
      <c r="AW1909" s="1836" t="s">
        <v>11198</v>
      </c>
      <c r="AX1909" s="1826" t="s">
        <v>151</v>
      </c>
      <c r="AY1909" s="61" t="str">
        <f>IFERROR(__xludf.DUMMYFUNCTION("vlookup(BB1909,importrange(""https://docs.google.com/spreadsheets/d/1d2vevQ_7D_v35q4wCQ4RpQ_IPoTwEMB9Yp6ymwlPqew/edit?gid=984458430#gid=984458430"", ""'replication success'!A:K""), 11, FAlSE)"),"successful")</f>
        <v>successful</v>
      </c>
      <c r="AZ1909" s="61" t="str">
        <f>IFERROR(__xludf.DUMMYFUNCTION("vlookup(BB1909,importrange(""https://docs.google.com/spreadsheets/d/1d2vevQ_7D_v35q4wCQ4RpQ_IPoTwEMB9Yp6ymwlPqew/edit?gid=984458430#gid=984458430"", ""'replication success'!A:M""), 12, FAlSE)"),"The present replication successfully reproduced Winawer et al.’s key finding that “viewing a series of static photographs with implied motion in a particular direction produced motion after effects in the opposite direction” (Winawer et al, 2008, abstract"&amp;").")</f>
        <v>The present replication successfully reproduced Winawer et al.’s key finding that “viewing a series of static photographs with implied motion in a particular direction produced motion after effects in the opposite direction” (Winawer et al, 2008, abstract).</v>
      </c>
      <c r="BA1909" s="61" t="str">
        <f>IFERROR(__xludf.DUMMYFUNCTION("vlookup(BB1909,importrange(""https://docs.google.com/spreadsheets/d/1d2vevQ_7D_v35q4wCQ4RpQ_IPoTwEMB9Yp6ymwlPqew/edit?gid=984458430#gid=984458430"", ""'replication success'!A:M""), 13, FAlSE)"),"pg. 4")</f>
        <v>pg. 4</v>
      </c>
      <c r="BB1909" s="61" t="str">
        <f>IFERROR(__xludf.DUMMYFUNCTION("REGEXREPLACE(G1909, ""_[a-z]{1,2}$"", """")"),"osc2015127")</f>
        <v>osc2015127</v>
      </c>
      <c r="BD1909" s="1826" t="s">
        <v>1270</v>
      </c>
      <c r="BE1909" s="484"/>
    </row>
    <row r="1910" ht="20.25" customHeight="1">
      <c r="A1910" s="44">
        <v>1910.0</v>
      </c>
      <c r="B1910" s="62" t="s">
        <v>114</v>
      </c>
      <c r="C1910" s="62" t="s">
        <v>115</v>
      </c>
      <c r="D1910" s="62" t="s">
        <v>1270</v>
      </c>
      <c r="E1910" s="1826"/>
      <c r="F1910" s="143" t="s">
        <v>11199</v>
      </c>
      <c r="G1910" s="143" t="s">
        <v>11200</v>
      </c>
      <c r="H1910" s="143" t="s">
        <v>11201</v>
      </c>
      <c r="I1910" s="1877">
        <v>45659.0</v>
      </c>
      <c r="J1910" s="1827">
        <v>45694.0</v>
      </c>
      <c r="K1910" s="1826" t="s">
        <v>11202</v>
      </c>
      <c r="L1910" s="1826" t="s">
        <v>11203</v>
      </c>
      <c r="M1910" s="1840" t="s">
        <v>11204</v>
      </c>
      <c r="N1910" s="143" t="s">
        <v>11205</v>
      </c>
      <c r="O1910" s="1837">
        <v>1.0</v>
      </c>
      <c r="P1910" s="1841" t="s">
        <v>11206</v>
      </c>
      <c r="Q1910" s="52" t="str">
        <f t="array" ref="Q1910"> if(iserror(MATCH(V1910, 'File Links'!C:C, 0)), "N/A", HYPERLINK(INDEX('File Links'!B:B, MATCH(P1910, 'File Links'!C:C, 0))))</f>
        <v>https://drive.google.com/file/d/1UsMzRx5dAyBC19d7_59BtDW0beEzge2i/view?usp=drivesdk</v>
      </c>
      <c r="R1910" s="1884" t="s">
        <v>11207</v>
      </c>
      <c r="S1910" s="159" t="s">
        <v>10720</v>
      </c>
      <c r="T1910" s="129"/>
      <c r="U1910" s="1854"/>
      <c r="V1910" s="198" t="str">
        <f t="shared" si="119"/>
        <v>10.1126--science.aac4716.pdf</v>
      </c>
      <c r="W1910" s="143" t="s">
        <v>164</v>
      </c>
      <c r="X1910" s="54" t="str">
        <f t="array" ref="X1910"> if(iserror(MATCH(V1910, 'File Links'!C:C, 0)), "N/A", HYPERLINK(INDEX('File Links'!B:B, MATCH(V1910, 'File Links'!C:C, 0))))</f>
        <v>https://drive.google.com/file/d/1UMAh9VGta6ExS2-Lb6GkDF4fmnI2EMeM/view?usp=drivesdk</v>
      </c>
      <c r="Z1910" s="1826" t="s">
        <v>226</v>
      </c>
      <c r="AA1910" s="143" t="s">
        <v>11208</v>
      </c>
      <c r="AB1910" s="1826" t="s">
        <v>11209</v>
      </c>
      <c r="AC1910" s="1826" t="s">
        <v>11210</v>
      </c>
      <c r="AD1910" s="143" t="s">
        <v>11211</v>
      </c>
      <c r="AE1910" s="1837">
        <v>3.0</v>
      </c>
      <c r="AF1910" s="1837">
        <v>28.0</v>
      </c>
      <c r="AG1910" s="1837" t="s">
        <v>11212</v>
      </c>
      <c r="AH1910" s="143" t="s">
        <v>173</v>
      </c>
      <c r="AI1910" s="1826" t="s">
        <v>217</v>
      </c>
      <c r="AJ1910" s="1837" t="s">
        <v>138</v>
      </c>
      <c r="AK1910" s="1882"/>
      <c r="AL1910" s="1826" t="s">
        <v>186</v>
      </c>
      <c r="AM1910" s="1826" t="s">
        <v>141</v>
      </c>
      <c r="AN1910" s="330" t="s">
        <v>138</v>
      </c>
      <c r="AO1910" s="1837">
        <v>66.0</v>
      </c>
      <c r="AP1910" s="1837" t="s">
        <v>11213</v>
      </c>
      <c r="AQ1910" s="1826" t="s">
        <v>139</v>
      </c>
      <c r="AR1910" s="1851"/>
      <c r="AS1910" s="1835">
        <v>0.89</v>
      </c>
      <c r="AT1910" s="1826" t="s">
        <v>172</v>
      </c>
      <c r="AU1910" s="1826" t="s">
        <v>186</v>
      </c>
      <c r="AW1910" s="1836" t="s">
        <v>11214</v>
      </c>
      <c r="AX1910" s="1826" t="s">
        <v>143</v>
      </c>
      <c r="AY1910" s="61" t="str">
        <f>IFERROR(__xludf.DUMMYFUNCTION("vlookup(BB1910,importrange(""https://docs.google.com/spreadsheets/d/1d2vevQ_7D_v35q4wCQ4RpQ_IPoTwEMB9Yp6ymwlPqew/edit?gid=984458430#gid=984458430"", ""'replication success'!A:K""), 11, FAlSE)"),"")</f>
        <v/>
      </c>
      <c r="AZ1910" s="61" t="str">
        <f>IFERROR(__xludf.DUMMYFUNCTION("vlookup(BB1910,importrange(""https://docs.google.com/spreadsheets/d/1d2vevQ_7D_v35q4wCQ4RpQ_IPoTwEMB9Yp6ymwlPqew/edit?gid=984458430#gid=984458430"", ""'replication success'!A:M""), 12, FAlSE)"),"")</f>
        <v/>
      </c>
      <c r="BA1910" s="61" t="str">
        <f>IFERROR(__xludf.DUMMYFUNCTION("vlookup(BB1910,importrange(""https://docs.google.com/spreadsheets/d/1d2vevQ_7D_v35q4wCQ4RpQ_IPoTwEMB9Yp6ymwlPqew/edit?gid=984458430#gid=984458430"", ""'replication success'!A:M""), 13, FAlSE)"),"abstract")</f>
        <v>abstract</v>
      </c>
      <c r="BB1910" s="61" t="str">
        <f>IFERROR(__xludf.DUMMYFUNCTION("REGEXREPLACE(G1910, ""_[a-z]{1,2}$"", """")"),"osc2015129")</f>
        <v>osc2015129</v>
      </c>
      <c r="BD1910" s="1826" t="s">
        <v>1270</v>
      </c>
      <c r="BF1910" s="1815" t="s">
        <v>10955</v>
      </c>
    </row>
    <row r="1911" ht="20.25" customHeight="1">
      <c r="A1911" s="44">
        <v>1911.0</v>
      </c>
      <c r="B1911" s="62" t="s">
        <v>152</v>
      </c>
      <c r="C1911" s="62" t="s">
        <v>115</v>
      </c>
      <c r="D1911" s="62" t="s">
        <v>153</v>
      </c>
      <c r="E1911" s="1826"/>
      <c r="F1911" s="143" t="s">
        <v>11199</v>
      </c>
      <c r="G1911" s="1857" t="s">
        <v>11200</v>
      </c>
      <c r="H1911" s="143" t="s">
        <v>153</v>
      </c>
      <c r="I1911" s="1826" t="s">
        <v>10730</v>
      </c>
      <c r="J1911" s="1827">
        <v>45694.0</v>
      </c>
      <c r="K1911" s="143" t="s">
        <v>11215</v>
      </c>
      <c r="L1911" s="143"/>
      <c r="M1911" s="1828" t="s">
        <v>11204</v>
      </c>
      <c r="N1911" s="143" t="s">
        <v>11205</v>
      </c>
      <c r="O1911" s="1829">
        <v>1.0</v>
      </c>
      <c r="P1911" s="1830" t="s">
        <v>11206</v>
      </c>
      <c r="Q1911" s="52" t="str">
        <f t="array" ref="Q1911"> if(iserror(MATCH(V1911, 'File Links'!C:C, 0)), "N/A", HYPERLINK(INDEX('File Links'!B:B, MATCH(P1911, 'File Links'!C:C, 0))))</f>
        <v>https://drive.google.com/file/d/1UsMzRx5dAyBC19d7_59BtDW0beEzge2i/view?usp=drivesdk</v>
      </c>
      <c r="R1911" s="1884" t="s">
        <v>11216</v>
      </c>
      <c r="S1911" s="159" t="s">
        <v>10720</v>
      </c>
      <c r="T1911" s="129"/>
      <c r="U1911" s="1837">
        <v>1.0</v>
      </c>
      <c r="V1911" s="198" t="str">
        <f t="shared" si="119"/>
        <v>10.1126--science.aac4716.pdf</v>
      </c>
      <c r="W1911" s="143" t="s">
        <v>164</v>
      </c>
      <c r="X1911" s="54" t="str">
        <f t="array" ref="X1911"> if(iserror(MATCH(V1911, 'File Links'!C:C, 0)), "N/A", HYPERLINK(INDEX('File Links'!B:B, MATCH(V1911, 'File Links'!C:C, 0))))</f>
        <v>https://drive.google.com/file/d/1UMAh9VGta6ExS2-Lb6GkDF4fmnI2EMeM/view?usp=drivesdk</v>
      </c>
      <c r="Z1911" s="143" t="s">
        <v>226</v>
      </c>
      <c r="AA1911" s="143" t="s">
        <v>11217</v>
      </c>
      <c r="AB1911" s="143" t="s">
        <v>11218</v>
      </c>
      <c r="AC1911" s="143" t="s">
        <v>11219</v>
      </c>
      <c r="AD1911" s="143" t="s">
        <v>11220</v>
      </c>
      <c r="AE1911" s="1829">
        <v>3.0</v>
      </c>
      <c r="AF1911" s="1829">
        <v>28.0</v>
      </c>
      <c r="AG1911" s="1829">
        <v>0.8</v>
      </c>
      <c r="AH1911" s="143" t="s">
        <v>173</v>
      </c>
      <c r="AI1911" s="143" t="s">
        <v>11221</v>
      </c>
      <c r="AJ1911" s="1829" t="s">
        <v>138</v>
      </c>
      <c r="AK1911" s="143" t="s">
        <v>138</v>
      </c>
      <c r="AL1911" s="143" t="s">
        <v>186</v>
      </c>
      <c r="AM1911" s="1826" t="s">
        <v>141</v>
      </c>
      <c r="AN1911" s="330" t="s">
        <v>138</v>
      </c>
      <c r="AO1911" s="1837">
        <v>66.0</v>
      </c>
      <c r="AP1911" s="1837">
        <v>0.0</v>
      </c>
      <c r="AQ1911" s="143" t="s">
        <v>139</v>
      </c>
      <c r="AR1911" s="143" t="s">
        <v>11222</v>
      </c>
      <c r="AS1911" s="1829">
        <v>0.89</v>
      </c>
      <c r="AT1911" s="143" t="s">
        <v>172</v>
      </c>
      <c r="AU1911" s="143" t="s">
        <v>186</v>
      </c>
      <c r="AV1911" s="1826" t="s">
        <v>141</v>
      </c>
      <c r="AW1911" s="1836" t="s">
        <v>11223</v>
      </c>
      <c r="AX1911" s="1826" t="s">
        <v>143</v>
      </c>
      <c r="AY1911" s="61" t="str">
        <f>IFERROR(__xludf.DUMMYFUNCTION("vlookup(BB1911,importrange(""https://docs.google.com/spreadsheets/d/1d2vevQ_7D_v35q4wCQ4RpQ_IPoTwEMB9Yp6ymwlPqew/edit?gid=984458430#gid=984458430"", ""'replication success'!A:K""), 11, FAlSE)"),"")</f>
        <v/>
      </c>
      <c r="AZ1911" s="61" t="str">
        <f>IFERROR(__xludf.DUMMYFUNCTION("vlookup(BB1911,importrange(""https://docs.google.com/spreadsheets/d/1d2vevQ_7D_v35q4wCQ4RpQ_IPoTwEMB9Yp6ymwlPqew/edit?gid=984458430#gid=984458430"", ""'replication success'!A:M""), 12, FAlSE)"),"")</f>
        <v/>
      </c>
      <c r="BA1911" s="61" t="str">
        <f>IFERROR(__xludf.DUMMYFUNCTION("vlookup(BB1911,importrange(""https://docs.google.com/spreadsheets/d/1d2vevQ_7D_v35q4wCQ4RpQ_IPoTwEMB9Yp6ymwlPqew/edit?gid=984458430#gid=984458430"", ""'replication success'!A:M""), 13, FAlSE)"),"abstract")</f>
        <v>abstract</v>
      </c>
      <c r="BB1911" s="61" t="str">
        <f>IFERROR(__xludf.DUMMYFUNCTION("REGEXREPLACE(G1911, ""_[a-z]{1,2}$"", """")"),"osc2015129")</f>
        <v>osc2015129</v>
      </c>
      <c r="BD1911" s="1826" t="s">
        <v>1270</v>
      </c>
      <c r="BE1911" s="164"/>
    </row>
    <row r="1912" ht="20.25" customHeight="1">
      <c r="A1912" s="44">
        <v>1912.0</v>
      </c>
      <c r="B1912" s="62" t="s">
        <v>152</v>
      </c>
      <c r="C1912" s="62" t="s">
        <v>115</v>
      </c>
      <c r="D1912" s="62" t="s">
        <v>1270</v>
      </c>
      <c r="E1912" s="1826"/>
      <c r="F1912" s="143" t="s">
        <v>11224</v>
      </c>
      <c r="G1912" s="143" t="s">
        <v>11225</v>
      </c>
      <c r="H1912" s="143" t="s">
        <v>11226</v>
      </c>
      <c r="I1912" s="1877">
        <v>45659.0</v>
      </c>
      <c r="J1912" s="1827">
        <v>45694.0</v>
      </c>
      <c r="K1912" s="1839"/>
      <c r="L1912" s="143" t="s">
        <v>11227</v>
      </c>
      <c r="M1912" s="1840" t="s">
        <v>11228</v>
      </c>
      <c r="N1912" s="143" t="s">
        <v>11229</v>
      </c>
      <c r="O1912" s="1829">
        <v>3.0</v>
      </c>
      <c r="P1912" s="1841" t="s">
        <v>11230</v>
      </c>
      <c r="Q1912" s="52" t="str">
        <f t="array" ref="Q1912"> if(iserror(MATCH(V1912, 'File Links'!C:C, 0)), "N/A", HYPERLINK(INDEX('File Links'!B:B, MATCH(P1912, 'File Links'!C:C, 0))))</f>
        <v>https://drive.google.com/file/d/1DqdONyqsLP1eg0rgW71wKdPbcflRStOn/view?usp=drivesdk</v>
      </c>
      <c r="R1912" s="1841" t="s">
        <v>11056</v>
      </c>
      <c r="S1912" s="159" t="s">
        <v>10720</v>
      </c>
      <c r="T1912" s="129"/>
      <c r="U1912" s="1826"/>
      <c r="V1912" s="198" t="str">
        <f t="shared" si="119"/>
        <v>10.1126--science.aac4716.pdf</v>
      </c>
      <c r="W1912" s="143" t="s">
        <v>164</v>
      </c>
      <c r="X1912" s="54" t="str">
        <f t="array" ref="X1912"> if(iserror(MATCH(V1912, 'File Links'!C:C, 0)), "N/A", HYPERLINK(INDEX('File Links'!B:B, MATCH(V1912, 'File Links'!C:C, 0))))</f>
        <v>https://drive.google.com/file/d/1UMAh9VGta6ExS2-Lb6GkDF4fmnI2EMeM/view?usp=drivesdk</v>
      </c>
      <c r="Z1912" s="143" t="s">
        <v>148</v>
      </c>
      <c r="AA1912" s="143" t="s">
        <v>11231</v>
      </c>
      <c r="AB1912" s="143" t="s">
        <v>11232</v>
      </c>
      <c r="AC1912" s="143" t="s">
        <v>11233</v>
      </c>
      <c r="AD1912" s="143" t="s">
        <v>11234</v>
      </c>
      <c r="AE1912" s="1829">
        <v>7.0</v>
      </c>
      <c r="AF1912" s="1829">
        <v>36.0</v>
      </c>
      <c r="AG1912" s="143" t="s">
        <v>11235</v>
      </c>
      <c r="AH1912" s="143" t="s">
        <v>134</v>
      </c>
      <c r="AI1912" s="143" t="s">
        <v>132</v>
      </c>
      <c r="AJ1912" s="1835">
        <v>0.001</v>
      </c>
      <c r="AK1912" s="143" t="s">
        <v>135</v>
      </c>
      <c r="AL1912" s="143" t="s">
        <v>186</v>
      </c>
      <c r="AM1912" s="1826" t="s">
        <v>141</v>
      </c>
      <c r="AN1912" s="330" t="s">
        <v>138</v>
      </c>
      <c r="AO1912" s="1829">
        <v>36.0</v>
      </c>
      <c r="AP1912" s="143" t="s">
        <v>11236</v>
      </c>
      <c r="AQ1912" s="143" t="s">
        <v>134</v>
      </c>
      <c r="AR1912" s="143" t="s">
        <v>813</v>
      </c>
      <c r="AS1912" s="1829">
        <v>0.001</v>
      </c>
      <c r="AT1912" s="143" t="s">
        <v>135</v>
      </c>
      <c r="AU1912" s="143" t="s">
        <v>186</v>
      </c>
      <c r="AV1912" s="1826" t="s">
        <v>141</v>
      </c>
      <c r="AW1912" s="1836" t="s">
        <v>11237</v>
      </c>
      <c r="AX1912" s="1826" t="s">
        <v>143</v>
      </c>
      <c r="AY1912" s="61" t="str">
        <f>IFERROR(__xludf.DUMMYFUNCTION("vlookup(BB1912,importrange(""https://docs.google.com/spreadsheets/d/1d2vevQ_7D_v35q4wCQ4RpQ_IPoTwEMB9Yp6ymwlPqew/edit?gid=984458430#gid=984458430"", ""'replication success'!A:K""), 11, FAlSE)"),"")</f>
        <v/>
      </c>
      <c r="AZ1912" s="61" t="str">
        <f>IFERROR(__xludf.DUMMYFUNCTION("vlookup(BB1912,importrange(""https://docs.google.com/spreadsheets/d/1d2vevQ_7D_v35q4wCQ4RpQ_IPoTwEMB9Yp6ymwlPqew/edit?gid=984458430#gid=984458430"", ""'replication success'!A:M""), 12, FAlSE)"),"")</f>
        <v/>
      </c>
      <c r="BA1912" s="61" t="str">
        <f>IFERROR(__xludf.DUMMYFUNCTION("vlookup(BB1912,importrange(""https://docs.google.com/spreadsheets/d/1d2vevQ_7D_v35q4wCQ4RpQ_IPoTwEMB9Yp6ymwlPqew/edit?gid=984458430#gid=984458430"", ""'replication success'!A:M""), 13, FAlSE)"),"abstract")</f>
        <v>abstract</v>
      </c>
      <c r="BB1912" s="61" t="str">
        <f>IFERROR(__xludf.DUMMYFUNCTION("REGEXREPLACE(G1912, ""_[a-z]{1,2}$"", """")"),"osc201513")</f>
        <v>osc201513</v>
      </c>
      <c r="BD1912" s="1826" t="s">
        <v>1270</v>
      </c>
      <c r="BF1912" s="1815" t="s">
        <v>10955</v>
      </c>
    </row>
    <row r="1913" ht="20.25" customHeight="1">
      <c r="A1913" s="44">
        <v>1913.0</v>
      </c>
      <c r="B1913" s="62" t="s">
        <v>114</v>
      </c>
      <c r="C1913" s="62" t="s">
        <v>115</v>
      </c>
      <c r="D1913" s="62" t="s">
        <v>153</v>
      </c>
      <c r="E1913" s="1826"/>
      <c r="F1913" s="143" t="s">
        <v>11224</v>
      </c>
      <c r="G1913" s="1857" t="s">
        <v>11225</v>
      </c>
      <c r="H1913" s="143" t="s">
        <v>153</v>
      </c>
      <c r="I1913" s="1826" t="s">
        <v>10730</v>
      </c>
      <c r="J1913" s="1827">
        <v>45694.0</v>
      </c>
      <c r="K1913" s="143" t="s">
        <v>11238</v>
      </c>
      <c r="L1913" s="143"/>
      <c r="M1913" s="1876" t="s">
        <v>11228</v>
      </c>
      <c r="N1913" s="143" t="s">
        <v>11229</v>
      </c>
      <c r="O1913" s="1829">
        <v>3.0</v>
      </c>
      <c r="P1913" s="1830" t="s">
        <v>11230</v>
      </c>
      <c r="Q1913" s="52" t="str">
        <f t="array" ref="Q1913"> if(iserror(MATCH(V1913, 'File Links'!C:C, 0)), "N/A", HYPERLINK(INDEX('File Links'!B:B, MATCH(P1913, 'File Links'!C:C, 0))))</f>
        <v>https://drive.google.com/file/d/1DqdONyqsLP1eg0rgW71wKdPbcflRStOn/view?usp=drivesdk</v>
      </c>
      <c r="R1913" s="1841" t="s">
        <v>11056</v>
      </c>
      <c r="S1913" s="159" t="s">
        <v>10720</v>
      </c>
      <c r="T1913" s="129"/>
      <c r="U1913" s="1837">
        <v>1.0</v>
      </c>
      <c r="V1913" s="198" t="str">
        <f t="shared" si="119"/>
        <v>10.1126--science.aac4716.pdf</v>
      </c>
      <c r="W1913" s="143" t="s">
        <v>3570</v>
      </c>
      <c r="X1913" s="54" t="str">
        <f t="array" ref="X1913"> if(iserror(MATCH(V1913, 'File Links'!C:C, 0)), "N/A", HYPERLINK(INDEX('File Links'!B:B, MATCH(V1913, 'File Links'!C:C, 0))))</f>
        <v>https://drive.google.com/file/d/1UMAh9VGta6ExS2-Lb6GkDF4fmnI2EMeM/view?usp=drivesdk</v>
      </c>
      <c r="Z1913" s="143" t="s">
        <v>148</v>
      </c>
      <c r="AA1913" s="143" t="s">
        <v>11239</v>
      </c>
      <c r="AB1913" s="143" t="s">
        <v>11240</v>
      </c>
      <c r="AC1913" s="143" t="s">
        <v>11241</v>
      </c>
      <c r="AD1913" s="143" t="s">
        <v>11242</v>
      </c>
      <c r="AE1913" s="1829">
        <v>7.0</v>
      </c>
      <c r="AF1913" s="1829">
        <v>36.0</v>
      </c>
      <c r="AG1913" s="1829" t="s">
        <v>11235</v>
      </c>
      <c r="AH1913" s="143" t="s">
        <v>134</v>
      </c>
      <c r="AI1913" s="143" t="s">
        <v>132</v>
      </c>
      <c r="AJ1913" s="1829">
        <v>0.001</v>
      </c>
      <c r="AK1913" s="143" t="s">
        <v>135</v>
      </c>
      <c r="AL1913" s="143" t="s">
        <v>186</v>
      </c>
      <c r="AM1913" s="1826" t="s">
        <v>141</v>
      </c>
      <c r="AN1913" s="330" t="s">
        <v>138</v>
      </c>
      <c r="AO1913" s="1837">
        <v>36.0</v>
      </c>
      <c r="AP1913" s="1837" t="s">
        <v>11236</v>
      </c>
      <c r="AQ1913" s="143" t="s">
        <v>134</v>
      </c>
      <c r="AR1913" s="143" t="s">
        <v>813</v>
      </c>
      <c r="AS1913" s="1829">
        <v>0.001</v>
      </c>
      <c r="AT1913" s="143" t="s">
        <v>172</v>
      </c>
      <c r="AU1913" s="143" t="s">
        <v>186</v>
      </c>
      <c r="AV1913" s="1826" t="s">
        <v>141</v>
      </c>
      <c r="AW1913" s="1836" t="s">
        <v>11243</v>
      </c>
      <c r="AX1913" s="1826" t="s">
        <v>143</v>
      </c>
      <c r="AY1913" s="61" t="str">
        <f>IFERROR(__xludf.DUMMYFUNCTION("vlookup(BB1913,importrange(""https://docs.google.com/spreadsheets/d/1d2vevQ_7D_v35q4wCQ4RpQ_IPoTwEMB9Yp6ymwlPqew/edit?gid=984458430#gid=984458430"", ""'replication success'!A:K""), 11, FAlSE)"),"")</f>
        <v/>
      </c>
      <c r="AZ1913" s="61" t="str">
        <f>IFERROR(__xludf.DUMMYFUNCTION("vlookup(BB1913,importrange(""https://docs.google.com/spreadsheets/d/1d2vevQ_7D_v35q4wCQ4RpQ_IPoTwEMB9Yp6ymwlPqew/edit?gid=984458430#gid=984458430"", ""'replication success'!A:M""), 12, FAlSE)"),"")</f>
        <v/>
      </c>
      <c r="BA1913" s="61" t="str">
        <f>IFERROR(__xludf.DUMMYFUNCTION("vlookup(BB1913,importrange(""https://docs.google.com/spreadsheets/d/1d2vevQ_7D_v35q4wCQ4RpQ_IPoTwEMB9Yp6ymwlPqew/edit?gid=984458430#gid=984458430"", ""'replication success'!A:M""), 13, FAlSE)"),"abstract")</f>
        <v>abstract</v>
      </c>
      <c r="BB1913" s="61" t="str">
        <f>IFERROR(__xludf.DUMMYFUNCTION("REGEXREPLACE(G1913, ""_[a-z]{1,2}$"", """")"),"osc201513")</f>
        <v>osc201513</v>
      </c>
      <c r="BD1913" s="1826" t="s">
        <v>1270</v>
      </c>
      <c r="BE1913" s="189"/>
    </row>
    <row r="1914" ht="20.25" customHeight="1">
      <c r="A1914" s="44">
        <v>1914.0</v>
      </c>
      <c r="B1914" s="129" t="s">
        <v>114</v>
      </c>
      <c r="C1914" s="62" t="s">
        <v>115</v>
      </c>
      <c r="D1914" s="62" t="s">
        <v>1270</v>
      </c>
      <c r="F1914" s="159" t="s">
        <v>11244</v>
      </c>
      <c r="G1914" s="159" t="s">
        <v>11245</v>
      </c>
      <c r="H1914" s="159" t="s">
        <v>11246</v>
      </c>
      <c r="I1914" s="862" t="s">
        <v>119</v>
      </c>
      <c r="J1914" s="540">
        <v>45762.0</v>
      </c>
      <c r="K1914" s="159" t="s">
        <v>11247</v>
      </c>
      <c r="L1914" s="159" t="s">
        <v>11248</v>
      </c>
      <c r="M1914" s="1885" t="s">
        <v>11249</v>
      </c>
      <c r="N1914" s="159" t="s">
        <v>11250</v>
      </c>
      <c r="O1914" s="336">
        <v>1.0</v>
      </c>
      <c r="P1914" s="606" t="s">
        <v>11251</v>
      </c>
      <c r="Q1914" s="52" t="str">
        <f t="array" ref="Q1914"> if(iserror(MATCH(V1914, 'File Links'!C:C, 0)), "N/A", HYPERLINK(INDEX('File Links'!B:B, MATCH(P1914, 'File Links'!C:C, 0))))</f>
        <v>https://drive.google.com/file/d/1HyrNh-agatlqkBI_Y2cQxLTUdJmQoYlf/view?usp=drivesdk</v>
      </c>
      <c r="R1914" s="606" t="s">
        <v>11252</v>
      </c>
      <c r="S1914" s="159" t="s">
        <v>10720</v>
      </c>
      <c r="T1914" s="129"/>
      <c r="U1914" s="336">
        <v>1.0</v>
      </c>
      <c r="V1914" s="159" t="s">
        <v>11253</v>
      </c>
      <c r="W1914" s="57" t="s">
        <v>164</v>
      </c>
      <c r="X1914" s="54" t="str">
        <f t="array" ref="X1914"> if(iserror(MATCH(V1914, 'File Links'!C:C, 0)), "N/A", HYPERLINK(INDEX('File Links'!B:B, MATCH(V1914, 'File Links'!C:C, 0))))</f>
        <v>https://drive.google.com/file/d/1UMAh9VGta6ExS2-Lb6GkDF4fmnI2EMeM/view?usp=drivesdk</v>
      </c>
      <c r="Z1914" s="159" t="s">
        <v>226</v>
      </c>
      <c r="AA1914" s="159" t="s">
        <v>11254</v>
      </c>
      <c r="AB1914" s="159" t="s">
        <v>11255</v>
      </c>
      <c r="AC1914" s="159" t="s">
        <v>11256</v>
      </c>
      <c r="AD1914" s="68" t="s">
        <v>11257</v>
      </c>
      <c r="AE1914" s="336">
        <v>3.0</v>
      </c>
      <c r="AF1914" s="156">
        <v>25.0</v>
      </c>
      <c r="AG1914" s="1886">
        <v>0.18</v>
      </c>
      <c r="AH1914" s="1426" t="s">
        <v>874</v>
      </c>
      <c r="AI1914" s="159" t="s">
        <v>217</v>
      </c>
      <c r="AJ1914" s="161">
        <v>0.05</v>
      </c>
      <c r="AK1914" s="159" t="s">
        <v>135</v>
      </c>
      <c r="AL1914" s="159" t="s">
        <v>186</v>
      </c>
      <c r="AM1914" s="68" t="s">
        <v>141</v>
      </c>
      <c r="AN1914" s="330" t="s">
        <v>138</v>
      </c>
      <c r="AO1914" s="156">
        <v>30.0</v>
      </c>
      <c r="AP1914" s="159" t="s">
        <v>11258</v>
      </c>
      <c r="AQ1914" s="159" t="s">
        <v>134</v>
      </c>
      <c r="AR1914" s="159" t="s">
        <v>132</v>
      </c>
      <c r="AS1914" s="1829">
        <v>0.254</v>
      </c>
      <c r="AT1914" s="159" t="s">
        <v>172</v>
      </c>
      <c r="AU1914" s="159" t="s">
        <v>186</v>
      </c>
      <c r="AV1914" s="68" t="s">
        <v>141</v>
      </c>
      <c r="AW1914" s="435" t="s">
        <v>11259</v>
      </c>
      <c r="AX1914" s="68" t="s">
        <v>143</v>
      </c>
      <c r="AY1914" s="61" t="str">
        <f>IFERROR(__xludf.DUMMYFUNCTION("vlookup(BB1914,importrange(""https://docs.google.com/spreadsheets/d/1d2vevQ_7D_v35q4wCQ4RpQ_IPoTwEMB9Yp6ymwlPqew/edit?gid=984458430#gid=984458430"", ""'replication success'!A:K""), 11, FAlSE)"),"")</f>
        <v/>
      </c>
      <c r="AZ1914" s="61" t="str">
        <f>IFERROR(__xludf.DUMMYFUNCTION("vlookup(BB1914,importrange(""https://docs.google.com/spreadsheets/d/1d2vevQ_7D_v35q4wCQ4RpQ_IPoTwEMB9Yp6ymwlPqew/edit?gid=984458430#gid=984458430"", ""'replication success'!A:M""), 12, FAlSE)"),"")</f>
        <v/>
      </c>
      <c r="BA1914" s="61" t="str">
        <f>IFERROR(__xludf.DUMMYFUNCTION("vlookup(BB1914,importrange(""https://docs.google.com/spreadsheets/d/1d2vevQ_7D_v35q4wCQ4RpQ_IPoTwEMB9Yp6ymwlPqew/edit?gid=984458430#gid=984458430"", ""'replication success'!A:M""), 13, FAlSE)"),"abstract")</f>
        <v>abstract</v>
      </c>
      <c r="BB1914" s="61" t="str">
        <f>IFERROR(__xludf.DUMMYFUNCTION("REGEXREPLACE(G1914, ""_[a-z]{1,2}$"", """")"),"osc2015132")</f>
        <v>osc2015132</v>
      </c>
      <c r="BC1914" s="68"/>
      <c r="BD1914" s="129" t="s">
        <v>10729</v>
      </c>
    </row>
    <row r="1915" ht="20.25" customHeight="1">
      <c r="A1915" s="44">
        <v>1915.0</v>
      </c>
      <c r="B1915" s="129" t="s">
        <v>152</v>
      </c>
      <c r="C1915" s="62" t="s">
        <v>115</v>
      </c>
      <c r="D1915" s="62" t="s">
        <v>153</v>
      </c>
      <c r="F1915" s="159" t="s">
        <v>11244</v>
      </c>
      <c r="G1915" s="159" t="s">
        <v>11245</v>
      </c>
      <c r="H1915" s="159" t="s">
        <v>11260</v>
      </c>
      <c r="I1915" s="862" t="s">
        <v>119</v>
      </c>
      <c r="J1915" s="540">
        <v>45762.0</v>
      </c>
      <c r="K1915" s="68" t="s">
        <v>11261</v>
      </c>
      <c r="L1915" s="68"/>
      <c r="M1915" s="1885" t="s">
        <v>11249</v>
      </c>
      <c r="N1915" s="159" t="s">
        <v>11250</v>
      </c>
      <c r="O1915" s="336">
        <v>1.0</v>
      </c>
      <c r="P1915" s="606" t="s">
        <v>11251</v>
      </c>
      <c r="Q1915" s="52" t="str">
        <f t="array" ref="Q1915"> if(iserror(MATCH(V1915, 'File Links'!C:C, 0)), "N/A", HYPERLINK(INDEX('File Links'!B:B, MATCH(P1915, 'File Links'!C:C, 0))))</f>
        <v>https://drive.google.com/file/d/1HyrNh-agatlqkBI_Y2cQxLTUdJmQoYlf/view?usp=drivesdk</v>
      </c>
      <c r="R1915" s="606" t="s">
        <v>11252</v>
      </c>
      <c r="S1915" s="159" t="s">
        <v>10720</v>
      </c>
      <c r="T1915" s="129"/>
      <c r="U1915" s="336">
        <v>1.0</v>
      </c>
      <c r="V1915" s="159" t="s">
        <v>11253</v>
      </c>
      <c r="W1915" s="62" t="s">
        <v>11262</v>
      </c>
      <c r="X1915" s="54" t="str">
        <f t="array" ref="X1915"> if(iserror(MATCH(V1915, 'File Links'!C:C, 0)), "N/A", HYPERLINK(INDEX('File Links'!B:B, MATCH(V1915, 'File Links'!C:C, 0))))</f>
        <v>https://drive.google.com/file/d/1UMAh9VGta6ExS2-Lb6GkDF4fmnI2EMeM/view?usp=drivesdk</v>
      </c>
      <c r="Z1915" s="68" t="s">
        <v>226</v>
      </c>
      <c r="AA1915" s="159" t="s">
        <v>4712</v>
      </c>
      <c r="AB1915" s="68" t="s">
        <v>11263</v>
      </c>
      <c r="AC1915" s="68" t="s">
        <v>11264</v>
      </c>
      <c r="AD1915" s="1887" t="s">
        <v>11257</v>
      </c>
      <c r="AE1915" s="336">
        <v>3.0</v>
      </c>
      <c r="AF1915" s="336">
        <v>25.0</v>
      </c>
      <c r="AG1915" s="1886">
        <v>0.18</v>
      </c>
      <c r="AH1915" s="1426" t="s">
        <v>874</v>
      </c>
      <c r="AI1915" s="68" t="s">
        <v>217</v>
      </c>
      <c r="AJ1915" s="161">
        <v>0.05</v>
      </c>
      <c r="AK1915" s="68" t="s">
        <v>135</v>
      </c>
      <c r="AL1915" s="68" t="s">
        <v>186</v>
      </c>
      <c r="AM1915" s="68" t="s">
        <v>141</v>
      </c>
      <c r="AN1915" s="330" t="s">
        <v>138</v>
      </c>
      <c r="AO1915" s="336">
        <v>30.0</v>
      </c>
      <c r="AP1915" s="336" t="s">
        <v>11258</v>
      </c>
      <c r="AQ1915" s="68" t="s">
        <v>134</v>
      </c>
      <c r="AR1915" s="68" t="s">
        <v>132</v>
      </c>
      <c r="AS1915" s="1829">
        <v>0.254</v>
      </c>
      <c r="AT1915" s="68" t="s">
        <v>172</v>
      </c>
      <c r="AU1915" s="68" t="s">
        <v>186</v>
      </c>
      <c r="AV1915" s="68" t="s">
        <v>141</v>
      </c>
      <c r="AW1915" s="435" t="s">
        <v>11265</v>
      </c>
      <c r="AX1915" s="68" t="s">
        <v>151</v>
      </c>
      <c r="AY1915" s="61" t="str">
        <f>IFERROR(__xludf.DUMMYFUNCTION("vlookup(BB1915,importrange(""https://docs.google.com/spreadsheets/d/1d2vevQ_7D_v35q4wCQ4RpQ_IPoTwEMB9Yp6ymwlPqew/edit?gid=984458430#gid=984458430"", ""'replication success'!A:K""), 11, FAlSE)"),"")</f>
        <v/>
      </c>
      <c r="AZ1915" s="61" t="str">
        <f>IFERROR(__xludf.DUMMYFUNCTION("vlookup(BB1915,importrange(""https://docs.google.com/spreadsheets/d/1d2vevQ_7D_v35q4wCQ4RpQ_IPoTwEMB9Yp6ymwlPqew/edit?gid=984458430#gid=984458430"", ""'replication success'!A:M""), 12, FAlSE)"),"")</f>
        <v/>
      </c>
      <c r="BA1915" s="61" t="str">
        <f>IFERROR(__xludf.DUMMYFUNCTION("vlookup(BB1915,importrange(""https://docs.google.com/spreadsheets/d/1d2vevQ_7D_v35q4wCQ4RpQ_IPoTwEMB9Yp6ymwlPqew/edit?gid=984458430#gid=984458430"", ""'replication success'!A:M""), 13, FAlSE)"),"abstract")</f>
        <v>abstract</v>
      </c>
      <c r="BB1915" s="61" t="str">
        <f>IFERROR(__xludf.DUMMYFUNCTION("REGEXREPLACE(G1915, ""_[a-z]{1,2}$"", """")"),"osc2015132")</f>
        <v>osc2015132</v>
      </c>
      <c r="BC1915" s="68"/>
      <c r="BD1915" s="62" t="s">
        <v>10729</v>
      </c>
    </row>
    <row r="1916">
      <c r="A1916" s="44">
        <v>1916.0</v>
      </c>
      <c r="B1916" s="147" t="s">
        <v>152</v>
      </c>
      <c r="C1916" s="149" t="s">
        <v>115</v>
      </c>
      <c r="D1916" s="149" t="s">
        <v>1270</v>
      </c>
      <c r="E1916" s="71"/>
      <c r="F1916" s="122" t="s">
        <v>11266</v>
      </c>
      <c r="G1916" s="122" t="s">
        <v>11267</v>
      </c>
      <c r="H1916" s="122" t="s">
        <v>11268</v>
      </c>
      <c r="I1916" s="1888" t="s">
        <v>119</v>
      </c>
      <c r="J1916" s="540">
        <v>45762.0</v>
      </c>
      <c r="K1916" s="1889" t="s">
        <v>11269</v>
      </c>
      <c r="L1916" s="147" t="s">
        <v>11270</v>
      </c>
      <c r="M1916" s="1890" t="s">
        <v>11271</v>
      </c>
      <c r="N1916" s="710" t="s">
        <v>11272</v>
      </c>
      <c r="O1916" s="1891">
        <v>2.0</v>
      </c>
      <c r="P1916" s="536" t="s">
        <v>11273</v>
      </c>
      <c r="Q1916" s="52" t="str">
        <f t="array" ref="Q1916"> if(iserror(MATCH(V1916, 'File Links'!C:C, 0)), "N/A", HYPERLINK(INDEX('File Links'!B:B, MATCH(P1916, 'File Links'!C:C, 0))))</f>
        <v>https://drive.google.com/file/d/1ZvAbdxhSZjsiTtoGCcl4wKGSEHyET-ky/view?usp=drivesdk</v>
      </c>
      <c r="R1916" s="122" t="s">
        <v>11274</v>
      </c>
      <c r="S1916" s="159" t="s">
        <v>10720</v>
      </c>
      <c r="T1916" s="129"/>
      <c r="U1916" s="1109">
        <v>1.0</v>
      </c>
      <c r="V1916" s="122" t="s">
        <v>11253</v>
      </c>
      <c r="W1916" s="112" t="s">
        <v>164</v>
      </c>
      <c r="X1916" s="54" t="str">
        <f t="array" ref="X1916"> if(iserror(MATCH(V1916, 'File Links'!C:C, 0)), "N/A", HYPERLINK(INDEX('File Links'!B:B, MATCH(V1916, 'File Links'!C:C, 0))))</f>
        <v>https://drive.google.com/file/d/1UMAh9VGta6ExS2-Lb6GkDF4fmnI2EMeM/view?usp=drivesdk</v>
      </c>
      <c r="Y1916" s="71"/>
      <c r="Z1916" s="122" t="s">
        <v>148</v>
      </c>
      <c r="AA1916" s="122" t="s">
        <v>11275</v>
      </c>
      <c r="AB1916" s="111" t="s">
        <v>11276</v>
      </c>
      <c r="AC1916" s="111" t="s">
        <v>11277</v>
      </c>
      <c r="AD1916" s="111" t="s">
        <v>11278</v>
      </c>
      <c r="AE1916" s="1109">
        <v>4.0</v>
      </c>
      <c r="AF1916" s="1109">
        <v>24.0</v>
      </c>
      <c r="AG1916" s="1892">
        <v>0.2</v>
      </c>
      <c r="AH1916" s="1426" t="s">
        <v>874</v>
      </c>
      <c r="AI1916" s="111" t="s">
        <v>850</v>
      </c>
      <c r="AJ1916" s="1109" t="s">
        <v>138</v>
      </c>
      <c r="AK1916" s="143" t="s">
        <v>138</v>
      </c>
      <c r="AL1916" s="111" t="s">
        <v>186</v>
      </c>
      <c r="AM1916" s="111" t="s">
        <v>141</v>
      </c>
      <c r="AN1916" s="330" t="s">
        <v>138</v>
      </c>
      <c r="AO1916" s="1109">
        <v>38.0</v>
      </c>
      <c r="AP1916" s="1164">
        <v>0.18</v>
      </c>
      <c r="AQ1916" s="111" t="s">
        <v>874</v>
      </c>
      <c r="AR1916" s="111" t="s">
        <v>217</v>
      </c>
      <c r="AS1916" s="1829">
        <v>0.007</v>
      </c>
      <c r="AT1916" s="111" t="s">
        <v>172</v>
      </c>
      <c r="AU1916" s="111" t="s">
        <v>186</v>
      </c>
      <c r="AV1916" s="111" t="s">
        <v>141</v>
      </c>
      <c r="AW1916" s="656" t="s">
        <v>11279</v>
      </c>
      <c r="AX1916" s="111" t="s">
        <v>143</v>
      </c>
      <c r="AY1916" s="61" t="str">
        <f>IFERROR(__xludf.DUMMYFUNCTION("vlookup(BB1916,importrange(""https://docs.google.com/spreadsheets/d/1d2vevQ_7D_v35q4wCQ4RpQ_IPoTwEMB9Yp6ymwlPqew/edit?gid=984458430#gid=984458430"", ""'replication success'!A:K""), 11, FAlSE)"),"")</f>
        <v/>
      </c>
      <c r="AZ1916" s="61" t="str">
        <f>IFERROR(__xludf.DUMMYFUNCTION("vlookup(BB1916,importrange(""https://docs.google.com/spreadsheets/d/1d2vevQ_7D_v35q4wCQ4RpQ_IPoTwEMB9Yp6ymwlPqew/edit?gid=984458430#gid=984458430"", ""'replication success'!A:M""), 12, FAlSE)"),"")</f>
        <v/>
      </c>
      <c r="BA1916" s="61" t="str">
        <f>IFERROR(__xludf.DUMMYFUNCTION("vlookup(BB1916,importrange(""https://docs.google.com/spreadsheets/d/1d2vevQ_7D_v35q4wCQ4RpQ_IPoTwEMB9Yp6ymwlPqew/edit?gid=984458430#gid=984458430"", ""'replication success'!A:M""), 13, FAlSE)"),"abstract")</f>
        <v>abstract</v>
      </c>
      <c r="BB1916" s="61" t="str">
        <f>IFERROR(__xludf.DUMMYFUNCTION("REGEXREPLACE(G1916, ""_[a-z]{1,2}$"", """")"),"osc2015133")</f>
        <v>osc2015133</v>
      </c>
      <c r="BC1916" s="111"/>
      <c r="BD1916" s="62" t="s">
        <v>10729</v>
      </c>
    </row>
    <row r="1917">
      <c r="A1917" s="44">
        <v>1917.0</v>
      </c>
      <c r="B1917" s="147" t="s">
        <v>114</v>
      </c>
      <c r="C1917" s="149" t="s">
        <v>115</v>
      </c>
      <c r="D1917" s="149" t="s">
        <v>153</v>
      </c>
      <c r="E1917" s="71"/>
      <c r="F1917" s="122" t="s">
        <v>11266</v>
      </c>
      <c r="G1917" s="122" t="s">
        <v>11267</v>
      </c>
      <c r="H1917" s="122" t="s">
        <v>153</v>
      </c>
      <c r="I1917" s="1888" t="s">
        <v>119</v>
      </c>
      <c r="J1917" s="540">
        <v>45762.0</v>
      </c>
      <c r="K1917" s="111" t="s">
        <v>11269</v>
      </c>
      <c r="L1917" s="111"/>
      <c r="M1917" s="1890" t="s">
        <v>11271</v>
      </c>
      <c r="N1917" s="122" t="s">
        <v>11272</v>
      </c>
      <c r="O1917" s="1109">
        <v>2.0</v>
      </c>
      <c r="P1917" s="536" t="s">
        <v>11273</v>
      </c>
      <c r="Q1917" s="52" t="str">
        <f t="array" ref="Q1917"> if(iserror(MATCH(V1917, 'File Links'!C:C, 0)), "N/A", HYPERLINK(INDEX('File Links'!B:B, MATCH(P1917, 'File Links'!C:C, 0))))</f>
        <v>https://drive.google.com/file/d/1ZvAbdxhSZjsiTtoGCcl4wKGSEHyET-ky/view?usp=drivesdk</v>
      </c>
      <c r="R1917" s="122" t="s">
        <v>11274</v>
      </c>
      <c r="S1917" s="159" t="s">
        <v>10720</v>
      </c>
      <c r="T1917" s="129"/>
      <c r="U1917" s="1109">
        <v>1.0</v>
      </c>
      <c r="V1917" s="122" t="s">
        <v>11253</v>
      </c>
      <c r="W1917" s="112" t="s">
        <v>164</v>
      </c>
      <c r="X1917" s="54" t="str">
        <f t="array" ref="X1917"> if(iserror(MATCH(V1917, 'File Links'!C:C, 0)), "N/A", HYPERLINK(INDEX('File Links'!B:B, MATCH(V1917, 'File Links'!C:C, 0))))</f>
        <v>https://drive.google.com/file/d/1UMAh9VGta6ExS2-Lb6GkDF4fmnI2EMeM/view?usp=drivesdk</v>
      </c>
      <c r="Y1917" s="71"/>
      <c r="Z1917" s="111" t="s">
        <v>148</v>
      </c>
      <c r="AA1917" s="122" t="s">
        <v>11275</v>
      </c>
      <c r="AB1917" s="111" t="s">
        <v>11280</v>
      </c>
      <c r="AC1917" s="111" t="s">
        <v>11281</v>
      </c>
      <c r="AD1917" s="122" t="s">
        <v>11282</v>
      </c>
      <c r="AE1917" s="1109">
        <v>4.0</v>
      </c>
      <c r="AF1917" s="1109">
        <v>24.0</v>
      </c>
      <c r="AG1917" s="1164">
        <v>0.2</v>
      </c>
      <c r="AH1917" s="122" t="s">
        <v>139</v>
      </c>
      <c r="AI1917" s="111" t="s">
        <v>850</v>
      </c>
      <c r="AJ1917" s="161">
        <v>0.05</v>
      </c>
      <c r="AK1917" s="111" t="s">
        <v>135</v>
      </c>
      <c r="AL1917" s="111" t="s">
        <v>186</v>
      </c>
      <c r="AM1917" s="111" t="s">
        <v>137</v>
      </c>
      <c r="AN1917" s="330" t="s">
        <v>138</v>
      </c>
      <c r="AO1917" s="1109">
        <v>38.0</v>
      </c>
      <c r="AP1917" s="1164">
        <v>0.18</v>
      </c>
      <c r="AQ1917" s="111" t="s">
        <v>139</v>
      </c>
      <c r="AR1917" s="111" t="s">
        <v>217</v>
      </c>
      <c r="AS1917" s="1829">
        <v>0.007</v>
      </c>
      <c r="AT1917" s="111" t="s">
        <v>172</v>
      </c>
      <c r="AU1917" s="111" t="s">
        <v>186</v>
      </c>
      <c r="AV1917" s="111" t="s">
        <v>137</v>
      </c>
      <c r="AW1917" s="656" t="s">
        <v>11283</v>
      </c>
      <c r="AX1917" s="111" t="s">
        <v>151</v>
      </c>
      <c r="AY1917" s="61" t="str">
        <f>IFERROR(__xludf.DUMMYFUNCTION("vlookup(BB1917,importrange(""https://docs.google.com/spreadsheets/d/1d2vevQ_7D_v35q4wCQ4RpQ_IPoTwEMB9Yp6ymwlPqew/edit?gid=984458430#gid=984458430"", ""'replication success'!A:K""), 11, FAlSE)"),"")</f>
        <v/>
      </c>
      <c r="AZ1917" s="61" t="str">
        <f>IFERROR(__xludf.DUMMYFUNCTION("vlookup(BB1917,importrange(""https://docs.google.com/spreadsheets/d/1d2vevQ_7D_v35q4wCQ4RpQ_IPoTwEMB9Yp6ymwlPqew/edit?gid=984458430#gid=984458430"", ""'replication success'!A:M""), 12, FAlSE)"),"")</f>
        <v/>
      </c>
      <c r="BA1917" s="61" t="str">
        <f>IFERROR(__xludf.DUMMYFUNCTION("vlookup(BB1917,importrange(""https://docs.google.com/spreadsheets/d/1d2vevQ_7D_v35q4wCQ4RpQ_IPoTwEMB9Yp6ymwlPqew/edit?gid=984458430#gid=984458430"", ""'replication success'!A:M""), 13, FAlSE)"),"abstract")</f>
        <v>abstract</v>
      </c>
      <c r="BB1917" s="61" t="str">
        <f>IFERROR(__xludf.DUMMYFUNCTION("REGEXREPLACE(G1917, ""_[a-z]{1,2}$"", """")"),"osc2015133")</f>
        <v>osc2015133</v>
      </c>
      <c r="BC1917" s="111"/>
      <c r="BD1917" s="62" t="s">
        <v>10729</v>
      </c>
    </row>
    <row r="1918">
      <c r="A1918" s="44">
        <v>1918.0</v>
      </c>
      <c r="B1918" s="129" t="s">
        <v>152</v>
      </c>
      <c r="C1918" s="62" t="s">
        <v>115</v>
      </c>
      <c r="D1918" s="62" t="s">
        <v>1270</v>
      </c>
      <c r="F1918" s="159" t="s">
        <v>11284</v>
      </c>
      <c r="G1918" s="159" t="s">
        <v>11285</v>
      </c>
      <c r="H1918" s="159" t="s">
        <v>11286</v>
      </c>
      <c r="I1918" s="862" t="s">
        <v>119</v>
      </c>
      <c r="J1918" s="540">
        <v>45762.0</v>
      </c>
      <c r="K1918" s="159" t="s">
        <v>11287</v>
      </c>
      <c r="L1918" s="159" t="s">
        <v>11288</v>
      </c>
      <c r="M1918" s="1885" t="s">
        <v>11289</v>
      </c>
      <c r="N1918" s="159" t="s">
        <v>11290</v>
      </c>
      <c r="O1918" s="336">
        <v>2.0</v>
      </c>
      <c r="P1918" s="606" t="s">
        <v>11291</v>
      </c>
      <c r="Q1918" s="52" t="str">
        <f t="array" ref="Q1918"> if(iserror(MATCH(V1918, 'File Links'!C:C, 0)), "N/A", HYPERLINK(INDEX('File Links'!B:B, MATCH(P1918, 'File Links'!C:C, 0))))</f>
        <v>https://drive.google.com/file/d/1hN-J6Uky5FuFHoIu7VleAWRSmSqB3wMb/view?usp=drivesdk</v>
      </c>
      <c r="R1918" s="159" t="s">
        <v>11292</v>
      </c>
      <c r="S1918" s="159" t="s">
        <v>10720</v>
      </c>
      <c r="T1918" s="129"/>
      <c r="U1918" s="336">
        <v>1.0</v>
      </c>
      <c r="V1918" s="159" t="s">
        <v>11253</v>
      </c>
      <c r="W1918" s="57" t="s">
        <v>164</v>
      </c>
      <c r="X1918" s="54" t="str">
        <f t="array" ref="X1918"> if(iserror(MATCH(V1918, 'File Links'!C:C, 0)), "N/A", HYPERLINK(INDEX('File Links'!B:B, MATCH(V1918, 'File Links'!C:C, 0))))</f>
        <v>https://drive.google.com/file/d/1UMAh9VGta6ExS2-Lb6GkDF4fmnI2EMeM/view?usp=drivesdk</v>
      </c>
      <c r="Z1918" s="159" t="s">
        <v>226</v>
      </c>
      <c r="AA1918" s="159" t="s">
        <v>11293</v>
      </c>
      <c r="AB1918" s="159" t="s">
        <v>11294</v>
      </c>
      <c r="AC1918" s="159" t="s">
        <v>11295</v>
      </c>
      <c r="AD1918" s="68" t="s">
        <v>11296</v>
      </c>
      <c r="AE1918" s="336">
        <v>5.0</v>
      </c>
      <c r="AF1918" s="156">
        <v>119.0</v>
      </c>
      <c r="AG1918" s="161">
        <v>0.21</v>
      </c>
      <c r="AH1918" s="159" t="s">
        <v>11297</v>
      </c>
      <c r="AI1918" s="159" t="s">
        <v>813</v>
      </c>
      <c r="AJ1918" s="68" t="s">
        <v>138</v>
      </c>
      <c r="AK1918" s="143" t="s">
        <v>138</v>
      </c>
      <c r="AL1918" s="159" t="s">
        <v>186</v>
      </c>
      <c r="AM1918" s="68" t="s">
        <v>137</v>
      </c>
      <c r="AN1918" s="330" t="s">
        <v>138</v>
      </c>
      <c r="AO1918" s="156">
        <v>238.0</v>
      </c>
      <c r="AP1918" s="161">
        <v>0.46</v>
      </c>
      <c r="AQ1918" s="159" t="s">
        <v>215</v>
      </c>
      <c r="AR1918" s="159" t="s">
        <v>132</v>
      </c>
      <c r="AS1918" s="1829">
        <v>0.001</v>
      </c>
      <c r="AT1918" s="159" t="s">
        <v>135</v>
      </c>
      <c r="AU1918" s="159" t="s">
        <v>136</v>
      </c>
      <c r="AV1918" s="68" t="s">
        <v>137</v>
      </c>
      <c r="AW1918" s="435" t="s">
        <v>11298</v>
      </c>
      <c r="AX1918" s="68" t="s">
        <v>143</v>
      </c>
      <c r="AY1918" s="61" t="str">
        <f>IFERROR(__xludf.DUMMYFUNCTION("vlookup(BB1918,importrange(""https://docs.google.com/spreadsheets/d/1d2vevQ_7D_v35q4wCQ4RpQ_IPoTwEMB9Yp6ymwlPqew/edit?gid=984458430#gid=984458430"", ""'replication success'!A:K""), 11, FAlSE)"),"")</f>
        <v/>
      </c>
      <c r="AZ1918" s="61" t="str">
        <f>IFERROR(__xludf.DUMMYFUNCTION("vlookup(BB1918,importrange(""https://docs.google.com/spreadsheets/d/1d2vevQ_7D_v35q4wCQ4RpQ_IPoTwEMB9Yp6ymwlPqew/edit?gid=984458430#gid=984458430"", ""'replication success'!A:M""), 12, FAlSE)"),"")</f>
        <v/>
      </c>
      <c r="BA1918" s="61" t="str">
        <f>IFERROR(__xludf.DUMMYFUNCTION("vlookup(BB1918,importrange(""https://docs.google.com/spreadsheets/d/1d2vevQ_7D_v35q4wCQ4RpQ_IPoTwEMB9Yp6ymwlPqew/edit?gid=984458430#gid=984458430"", ""'replication success'!A:M""), 13, FAlSE)"),"abstract")</f>
        <v>abstract</v>
      </c>
      <c r="BB1918" s="61" t="str">
        <f>IFERROR(__xludf.DUMMYFUNCTION("REGEXREPLACE(G1918, ""_[a-z]{1,2}$"", """")"),"osc2015134")</f>
        <v>osc2015134</v>
      </c>
      <c r="BC1918" s="68"/>
      <c r="BD1918" s="62" t="s">
        <v>10729</v>
      </c>
    </row>
    <row r="1919">
      <c r="A1919" s="44">
        <v>1919.0</v>
      </c>
      <c r="B1919" s="129" t="s">
        <v>114</v>
      </c>
      <c r="C1919" s="62" t="s">
        <v>115</v>
      </c>
      <c r="D1919" s="62" t="s">
        <v>153</v>
      </c>
      <c r="F1919" s="159" t="s">
        <v>11284</v>
      </c>
      <c r="G1919" s="159" t="s">
        <v>11285</v>
      </c>
      <c r="H1919" s="159" t="s">
        <v>153</v>
      </c>
      <c r="I1919" s="862" t="s">
        <v>119</v>
      </c>
      <c r="J1919" s="540">
        <v>45762.0</v>
      </c>
      <c r="K1919" s="159" t="s">
        <v>11299</v>
      </c>
      <c r="L1919" s="68"/>
      <c r="M1919" s="1885" t="s">
        <v>11289</v>
      </c>
      <c r="N1919" s="159" t="s">
        <v>11290</v>
      </c>
      <c r="O1919" s="156">
        <v>2.0</v>
      </c>
      <c r="P1919" s="606" t="s">
        <v>11291</v>
      </c>
      <c r="Q1919" s="52" t="str">
        <f t="array" ref="Q1919"> if(iserror(MATCH(V1919, 'File Links'!C:C, 0)), "N/A", HYPERLINK(INDEX('File Links'!B:B, MATCH(P1919, 'File Links'!C:C, 0))))</f>
        <v>https://drive.google.com/file/d/1hN-J6Uky5FuFHoIu7VleAWRSmSqB3wMb/view?usp=drivesdk</v>
      </c>
      <c r="R1919" s="159" t="s">
        <v>11292</v>
      </c>
      <c r="S1919" s="159" t="s">
        <v>10720</v>
      </c>
      <c r="T1919" s="129"/>
      <c r="U1919" s="336">
        <v>1.0</v>
      </c>
      <c r="V1919" s="159" t="s">
        <v>11253</v>
      </c>
      <c r="W1919" s="62" t="s">
        <v>3804</v>
      </c>
      <c r="X1919" s="54" t="str">
        <f t="array" ref="X1919"> if(iserror(MATCH(V1919, 'File Links'!C:C, 0)), "N/A", HYPERLINK(INDEX('File Links'!B:B, MATCH(V1919, 'File Links'!C:C, 0))))</f>
        <v>https://drive.google.com/file/d/1UMAh9VGta6ExS2-Lb6GkDF4fmnI2EMeM/view?usp=drivesdk</v>
      </c>
      <c r="Z1919" s="159" t="s">
        <v>226</v>
      </c>
      <c r="AA1919" s="159" t="s">
        <v>8180</v>
      </c>
      <c r="AB1919" s="159" t="s">
        <v>11300</v>
      </c>
      <c r="AC1919" s="159" t="s">
        <v>11301</v>
      </c>
      <c r="AD1919" s="159" t="s">
        <v>11302</v>
      </c>
      <c r="AE1919" s="156">
        <v>5.0</v>
      </c>
      <c r="AF1919" s="156">
        <v>119.0</v>
      </c>
      <c r="AG1919" s="161">
        <v>0.21</v>
      </c>
      <c r="AH1919" s="159" t="s">
        <v>11297</v>
      </c>
      <c r="AI1919" s="159" t="s">
        <v>813</v>
      </c>
      <c r="AJ1919" s="68" t="s">
        <v>138</v>
      </c>
      <c r="AK1919" s="143" t="s">
        <v>138</v>
      </c>
      <c r="AL1919" s="159" t="s">
        <v>186</v>
      </c>
      <c r="AM1919" s="68" t="s">
        <v>137</v>
      </c>
      <c r="AN1919" s="330" t="s">
        <v>138</v>
      </c>
      <c r="AO1919" s="156">
        <v>238.0</v>
      </c>
      <c r="AP1919" s="864">
        <v>497.0</v>
      </c>
      <c r="AQ1919" s="159" t="s">
        <v>215</v>
      </c>
      <c r="AR1919" s="159" t="s">
        <v>132</v>
      </c>
      <c r="AS1919" s="1829">
        <v>0.001</v>
      </c>
      <c r="AT1919" s="159" t="s">
        <v>172</v>
      </c>
      <c r="AU1919" s="159" t="s">
        <v>136</v>
      </c>
      <c r="AV1919" s="68" t="s">
        <v>137</v>
      </c>
      <c r="AW1919" s="435" t="s">
        <v>11303</v>
      </c>
      <c r="AX1919" s="68" t="s">
        <v>151</v>
      </c>
      <c r="AY1919" s="61" t="str">
        <f>IFERROR(__xludf.DUMMYFUNCTION("vlookup(BB1919,importrange(""https://docs.google.com/spreadsheets/d/1d2vevQ_7D_v35q4wCQ4RpQ_IPoTwEMB9Yp6ymwlPqew/edit?gid=984458430#gid=984458430"", ""'replication success'!A:K""), 11, FAlSE)"),"")</f>
        <v/>
      </c>
      <c r="AZ1919" s="61" t="str">
        <f>IFERROR(__xludf.DUMMYFUNCTION("vlookup(BB1919,importrange(""https://docs.google.com/spreadsheets/d/1d2vevQ_7D_v35q4wCQ4RpQ_IPoTwEMB9Yp6ymwlPqew/edit?gid=984458430#gid=984458430"", ""'replication success'!A:M""), 12, FAlSE)"),"")</f>
        <v/>
      </c>
      <c r="BA1919" s="61" t="str">
        <f>IFERROR(__xludf.DUMMYFUNCTION("vlookup(BB1919,importrange(""https://docs.google.com/spreadsheets/d/1d2vevQ_7D_v35q4wCQ4RpQ_IPoTwEMB9Yp6ymwlPqew/edit?gid=984458430#gid=984458430"", ""'replication success'!A:M""), 13, FAlSE)"),"abstract")</f>
        <v>abstract</v>
      </c>
      <c r="BB1919" s="61" t="str">
        <f>IFERROR(__xludf.DUMMYFUNCTION("REGEXREPLACE(G1919, ""_[a-z]{1,2}$"", """")"),"osc2015134")</f>
        <v>osc2015134</v>
      </c>
      <c r="BC1919" s="68"/>
      <c r="BD1919" s="62" t="s">
        <v>10729</v>
      </c>
    </row>
    <row r="1920">
      <c r="A1920" s="44">
        <v>1920.0</v>
      </c>
      <c r="B1920" s="129" t="s">
        <v>152</v>
      </c>
      <c r="C1920" s="62" t="s">
        <v>115</v>
      </c>
      <c r="D1920" s="62" t="s">
        <v>1270</v>
      </c>
      <c r="F1920" s="159" t="s">
        <v>11304</v>
      </c>
      <c r="G1920" s="159" t="s">
        <v>11305</v>
      </c>
      <c r="H1920" s="159" t="s">
        <v>11306</v>
      </c>
      <c r="I1920" s="862" t="s">
        <v>119</v>
      </c>
      <c r="J1920" s="1376">
        <v>45763.0</v>
      </c>
      <c r="K1920" s="159" t="s">
        <v>11307</v>
      </c>
      <c r="L1920" s="129" t="s">
        <v>11308</v>
      </c>
      <c r="M1920" s="1885" t="s">
        <v>11309</v>
      </c>
      <c r="N1920" s="159" t="s">
        <v>11310</v>
      </c>
      <c r="O1920" s="336">
        <v>1.0</v>
      </c>
      <c r="P1920" s="606" t="s">
        <v>11311</v>
      </c>
      <c r="Q1920" s="52" t="str">
        <f t="array" ref="Q1920"> if(iserror(MATCH(V1920, 'File Links'!C:C, 0)), "N/A", HYPERLINK(INDEX('File Links'!B:B, MATCH(P1920, 'File Links'!C:C, 0))))</f>
        <v>https://drive.google.com/file/d/1SwGFI5Wz9iRzabOCXMcfTU90XgmL8lKJ/view?usp=drivesdk</v>
      </c>
      <c r="R1920" s="159" t="s">
        <v>11312</v>
      </c>
      <c r="S1920" s="159" t="s">
        <v>10720</v>
      </c>
      <c r="T1920" s="129"/>
      <c r="U1920" s="336">
        <v>1.0</v>
      </c>
      <c r="V1920" s="159" t="s">
        <v>11253</v>
      </c>
      <c r="W1920" s="57" t="s">
        <v>164</v>
      </c>
      <c r="X1920" s="54" t="str">
        <f t="array" ref="X1920"> if(iserror(MATCH(V1920, 'File Links'!C:C, 0)), "N/A", HYPERLINK(INDEX('File Links'!B:B, MATCH(V1920, 'File Links'!C:C, 0))))</f>
        <v>https://drive.google.com/file/d/1UMAh9VGta6ExS2-Lb6GkDF4fmnI2EMeM/view?usp=drivesdk</v>
      </c>
      <c r="Z1920" s="159" t="s">
        <v>226</v>
      </c>
      <c r="AA1920" s="159" t="s">
        <v>11313</v>
      </c>
      <c r="AB1920" s="159" t="s">
        <v>11314</v>
      </c>
      <c r="AC1920" s="151" t="s">
        <v>11315</v>
      </c>
      <c r="AD1920" s="68" t="s">
        <v>11316</v>
      </c>
      <c r="AE1920" s="336">
        <v>5.0</v>
      </c>
      <c r="AF1920" s="156">
        <v>564.0</v>
      </c>
      <c r="AG1920" s="1893">
        <v>-0.004</v>
      </c>
      <c r="AH1920" s="159" t="s">
        <v>173</v>
      </c>
      <c r="AI1920" s="159" t="s">
        <v>813</v>
      </c>
      <c r="AJ1920" s="68" t="s">
        <v>138</v>
      </c>
      <c r="AK1920" s="1838" t="s">
        <v>138</v>
      </c>
      <c r="AL1920" s="159" t="s">
        <v>186</v>
      </c>
      <c r="AM1920" s="68" t="s">
        <v>137</v>
      </c>
      <c r="AN1920" s="330" t="s">
        <v>138</v>
      </c>
      <c r="AO1920" s="336">
        <v>3597.0</v>
      </c>
      <c r="AP1920" s="501">
        <v>0.21</v>
      </c>
      <c r="AQ1920" s="159" t="s">
        <v>173</v>
      </c>
      <c r="AR1920" s="159" t="s">
        <v>632</v>
      </c>
      <c r="AS1920" s="129">
        <v>3.0E-10</v>
      </c>
      <c r="AT1920" s="68" t="s">
        <v>172</v>
      </c>
      <c r="AU1920" s="159" t="s">
        <v>186</v>
      </c>
      <c r="AV1920" s="68" t="s">
        <v>137</v>
      </c>
      <c r="AW1920" s="435" t="s">
        <v>11317</v>
      </c>
      <c r="AX1920" s="68" t="s">
        <v>143</v>
      </c>
      <c r="AY1920" s="61" t="str">
        <f>IFERROR(__xludf.DUMMYFUNCTION("vlookup(BB1920,importrange(""https://docs.google.com/spreadsheets/d/1d2vevQ_7D_v35q4wCQ4RpQ_IPoTwEMB9Yp6ymwlPqew/edit?gid=984458430#gid=984458430"", ""'replication success'!A:K""), 11, FAlSE)"),"")</f>
        <v/>
      </c>
      <c r="AZ1920" s="61" t="str">
        <f>IFERROR(__xludf.DUMMYFUNCTION("vlookup(BB1920,importrange(""https://docs.google.com/spreadsheets/d/1d2vevQ_7D_v35q4wCQ4RpQ_IPoTwEMB9Yp6ymwlPqew/edit?gid=984458430#gid=984458430"", ""'replication success'!A:M""), 12, FAlSE)"),"")</f>
        <v/>
      </c>
      <c r="BA1920" s="61" t="str">
        <f>IFERROR(__xludf.DUMMYFUNCTION("vlookup(BB1920,importrange(""https://docs.google.com/spreadsheets/d/1d2vevQ_7D_v35q4wCQ4RpQ_IPoTwEMB9Yp6ymwlPqew/edit?gid=984458430#gid=984458430"", ""'replication success'!A:M""), 13, FAlSE)"),"abstract")</f>
        <v>abstract</v>
      </c>
      <c r="BB1920" s="61" t="str">
        <f>IFERROR(__xludf.DUMMYFUNCTION("REGEXREPLACE(G1920, ""_[a-z]{1,2}$"", """")"),"osc2015135")</f>
        <v>osc2015135</v>
      </c>
      <c r="BC1920" s="68"/>
      <c r="BD1920" s="62" t="s">
        <v>10729</v>
      </c>
    </row>
    <row r="1921">
      <c r="A1921" s="44">
        <v>1921.0</v>
      </c>
      <c r="B1921" s="129" t="s">
        <v>114</v>
      </c>
      <c r="C1921" s="62" t="s">
        <v>115</v>
      </c>
      <c r="D1921" s="62" t="s">
        <v>153</v>
      </c>
      <c r="F1921" s="159" t="s">
        <v>11304</v>
      </c>
      <c r="G1921" s="159" t="s">
        <v>11305</v>
      </c>
      <c r="H1921" s="159" t="s">
        <v>153</v>
      </c>
      <c r="I1921" s="862" t="s">
        <v>119</v>
      </c>
      <c r="J1921" s="540">
        <v>45763.0</v>
      </c>
      <c r="K1921" s="159" t="s">
        <v>10977</v>
      </c>
      <c r="L1921" s="68"/>
      <c r="M1921" s="1885" t="s">
        <v>11309</v>
      </c>
      <c r="N1921" s="159" t="s">
        <v>11310</v>
      </c>
      <c r="O1921" s="156">
        <v>1.0</v>
      </c>
      <c r="P1921" s="606" t="s">
        <v>11311</v>
      </c>
      <c r="Q1921" s="52" t="str">
        <f t="array" ref="Q1921"> if(iserror(MATCH(V1921, 'File Links'!C:C, 0)), "N/A", HYPERLINK(INDEX('File Links'!B:B, MATCH(P1921, 'File Links'!C:C, 0))))</f>
        <v>https://drive.google.com/file/d/1SwGFI5Wz9iRzabOCXMcfTU90XgmL8lKJ/view?usp=drivesdk</v>
      </c>
      <c r="R1921" s="159" t="s">
        <v>11312</v>
      </c>
      <c r="S1921" s="159" t="s">
        <v>10720</v>
      </c>
      <c r="T1921" s="129"/>
      <c r="U1921" s="336">
        <v>1.0</v>
      </c>
      <c r="V1921" s="159" t="s">
        <v>11253</v>
      </c>
      <c r="W1921" s="57" t="s">
        <v>164</v>
      </c>
      <c r="X1921" s="54" t="str">
        <f t="array" ref="X1921"> if(iserror(MATCH(V1921, 'File Links'!C:C, 0)), "N/A", HYPERLINK(INDEX('File Links'!B:B, MATCH(V1921, 'File Links'!C:C, 0))))</f>
        <v>https://drive.google.com/file/d/1UMAh9VGta6ExS2-Lb6GkDF4fmnI2EMeM/view?usp=drivesdk</v>
      </c>
      <c r="Z1921" s="159" t="s">
        <v>226</v>
      </c>
      <c r="AA1921" s="159" t="s">
        <v>11318</v>
      </c>
      <c r="AB1921" s="159" t="s">
        <v>11319</v>
      </c>
      <c r="AC1921" s="159" t="s">
        <v>11320</v>
      </c>
      <c r="AD1921" s="159" t="s">
        <v>11321</v>
      </c>
      <c r="AE1921" s="156">
        <v>5.0</v>
      </c>
      <c r="AF1921" s="156">
        <v>564.0</v>
      </c>
      <c r="AG1921" s="864">
        <v>-4.0</v>
      </c>
      <c r="AH1921" s="159" t="s">
        <v>173</v>
      </c>
      <c r="AI1921" s="159" t="s">
        <v>813</v>
      </c>
      <c r="AJ1921" s="156" t="s">
        <v>138</v>
      </c>
      <c r="AK1921" s="1838" t="s">
        <v>138</v>
      </c>
      <c r="AL1921" s="159" t="s">
        <v>186</v>
      </c>
      <c r="AM1921" s="68" t="s">
        <v>137</v>
      </c>
      <c r="AN1921" s="330" t="s">
        <v>138</v>
      </c>
      <c r="AO1921" s="336">
        <v>3597.0</v>
      </c>
      <c r="AP1921" s="501">
        <v>0.21</v>
      </c>
      <c r="AQ1921" s="159" t="s">
        <v>173</v>
      </c>
      <c r="AR1921" s="159" t="s">
        <v>632</v>
      </c>
      <c r="AS1921" s="129">
        <v>3.0E-10</v>
      </c>
      <c r="AT1921" s="159" t="s">
        <v>172</v>
      </c>
      <c r="AU1921" s="159" t="s">
        <v>136</v>
      </c>
      <c r="AV1921" s="68" t="s">
        <v>137</v>
      </c>
      <c r="AW1921" s="435" t="s">
        <v>11322</v>
      </c>
      <c r="AX1921" s="68" t="s">
        <v>143</v>
      </c>
      <c r="AY1921" s="61" t="str">
        <f>IFERROR(__xludf.DUMMYFUNCTION("vlookup(BB1921,importrange(""https://docs.google.com/spreadsheets/d/1d2vevQ_7D_v35q4wCQ4RpQ_IPoTwEMB9Yp6ymwlPqew/edit?gid=984458430#gid=984458430"", ""'replication success'!A:K""), 11, FAlSE)"),"")</f>
        <v/>
      </c>
      <c r="AZ1921" s="61" t="str">
        <f>IFERROR(__xludf.DUMMYFUNCTION("vlookup(BB1921,importrange(""https://docs.google.com/spreadsheets/d/1d2vevQ_7D_v35q4wCQ4RpQ_IPoTwEMB9Yp6ymwlPqew/edit?gid=984458430#gid=984458430"", ""'replication success'!A:M""), 12, FAlSE)"),"")</f>
        <v/>
      </c>
      <c r="BA1921" s="61" t="str">
        <f>IFERROR(__xludf.DUMMYFUNCTION("vlookup(BB1921,importrange(""https://docs.google.com/spreadsheets/d/1d2vevQ_7D_v35q4wCQ4RpQ_IPoTwEMB9Yp6ymwlPqew/edit?gid=984458430#gid=984458430"", ""'replication success'!A:M""), 13, FAlSE)"),"abstract")</f>
        <v>abstract</v>
      </c>
      <c r="BB1921" s="61" t="str">
        <f>IFERROR(__xludf.DUMMYFUNCTION("REGEXREPLACE(G1921, ""_[a-z]{1,2}$"", """")"),"osc2015135")</f>
        <v>osc2015135</v>
      </c>
      <c r="BC1921" s="68"/>
      <c r="BD1921" s="62" t="s">
        <v>10729</v>
      </c>
    </row>
    <row r="1922">
      <c r="A1922" s="44">
        <v>1922.0</v>
      </c>
      <c r="B1922" s="129" t="s">
        <v>114</v>
      </c>
      <c r="C1922" s="62" t="s">
        <v>115</v>
      </c>
      <c r="D1922" s="62" t="s">
        <v>1270</v>
      </c>
      <c r="F1922" s="159" t="s">
        <v>11323</v>
      </c>
      <c r="G1922" s="159" t="s">
        <v>11324</v>
      </c>
      <c r="H1922" s="159" t="s">
        <v>11325</v>
      </c>
      <c r="I1922" s="862" t="s">
        <v>119</v>
      </c>
      <c r="J1922" s="540">
        <v>45763.0</v>
      </c>
      <c r="K1922" s="159" t="s">
        <v>11326</v>
      </c>
      <c r="L1922" s="151" t="s">
        <v>11327</v>
      </c>
      <c r="M1922" s="1885" t="s">
        <v>11328</v>
      </c>
      <c r="N1922" s="159" t="s">
        <v>11329</v>
      </c>
      <c r="O1922" s="336">
        <v>1.0</v>
      </c>
      <c r="P1922" s="606" t="s">
        <v>11330</v>
      </c>
      <c r="Q1922" s="52" t="str">
        <f t="array" ref="Q1922"> if(iserror(MATCH(V1922, 'File Links'!C:C, 0)), "N/A", HYPERLINK(INDEX('File Links'!B:B, MATCH(P1922, 'File Links'!C:C, 0))))</f>
        <v>https://drive.google.com/file/d/1sINTPt9kd7F5Vgc5qW1iK2Ge6313RMjs/view?usp=drivesdk</v>
      </c>
      <c r="R1922" s="159" t="s">
        <v>11331</v>
      </c>
      <c r="S1922" s="159" t="s">
        <v>10720</v>
      </c>
      <c r="T1922" s="129"/>
      <c r="U1922" s="336">
        <v>1.0</v>
      </c>
      <c r="V1922" s="159" t="s">
        <v>11253</v>
      </c>
      <c r="W1922" s="57" t="s">
        <v>164</v>
      </c>
      <c r="X1922" s="54" t="str">
        <f t="array" ref="X1922"> if(iserror(MATCH(V1922, 'File Links'!C:C, 0)), "N/A", HYPERLINK(INDEX('File Links'!B:B, MATCH(V1922, 'File Links'!C:C, 0))))</f>
        <v>https://drive.google.com/file/d/1UMAh9VGta6ExS2-Lb6GkDF4fmnI2EMeM/view?usp=drivesdk</v>
      </c>
      <c r="Z1922" s="159" t="s">
        <v>226</v>
      </c>
      <c r="AA1922" s="159" t="s">
        <v>11332</v>
      </c>
      <c r="AB1922" s="159" t="s">
        <v>11333</v>
      </c>
      <c r="AC1922" s="159" t="s">
        <v>11334</v>
      </c>
      <c r="AD1922" s="68" t="s">
        <v>11335</v>
      </c>
      <c r="AE1922" s="336">
        <v>2.0</v>
      </c>
      <c r="AF1922" s="156">
        <v>30.0</v>
      </c>
      <c r="AG1922" s="159" t="s">
        <v>11336</v>
      </c>
      <c r="AH1922" s="159" t="s">
        <v>134</v>
      </c>
      <c r="AI1922" s="159" t="s">
        <v>875</v>
      </c>
      <c r="AJ1922" s="501">
        <v>0.01</v>
      </c>
      <c r="AK1922" s="159" t="s">
        <v>135</v>
      </c>
      <c r="AL1922" s="159" t="s">
        <v>186</v>
      </c>
      <c r="AM1922" s="68" t="s">
        <v>137</v>
      </c>
      <c r="AN1922" s="159" t="s">
        <v>138</v>
      </c>
      <c r="AO1922" s="156">
        <v>58.0</v>
      </c>
      <c r="AP1922" s="151" t="s">
        <v>11337</v>
      </c>
      <c r="AQ1922" s="159" t="s">
        <v>173</v>
      </c>
      <c r="AR1922" s="159" t="s">
        <v>813</v>
      </c>
      <c r="AS1922" s="161">
        <v>0.44</v>
      </c>
      <c r="AT1922" s="159" t="s">
        <v>172</v>
      </c>
      <c r="AU1922" s="159" t="s">
        <v>186</v>
      </c>
      <c r="AV1922" s="68" t="s">
        <v>137</v>
      </c>
      <c r="AW1922" s="435" t="s">
        <v>11338</v>
      </c>
      <c r="AX1922" s="68" t="s">
        <v>143</v>
      </c>
      <c r="AY1922" s="61" t="str">
        <f>IFERROR(__xludf.DUMMYFUNCTION("vlookup(BB1922,importrange(""https://docs.google.com/spreadsheets/d/1d2vevQ_7D_v35q4wCQ4RpQ_IPoTwEMB9Yp6ymwlPqew/edit?gid=984458430#gid=984458430"", ""'replication success'!A:K""), 11, FAlSE)"),"")</f>
        <v/>
      </c>
      <c r="AZ1922" s="61" t="str">
        <f>IFERROR(__xludf.DUMMYFUNCTION("vlookup(BB1922,importrange(""https://docs.google.com/spreadsheets/d/1d2vevQ_7D_v35q4wCQ4RpQ_IPoTwEMB9Yp6ymwlPqew/edit?gid=984458430#gid=984458430"", ""'replication success'!A:M""), 12, FAlSE)"),"")</f>
        <v/>
      </c>
      <c r="BA1922" s="61" t="str">
        <f>IFERROR(__xludf.DUMMYFUNCTION("vlookup(BB1922,importrange(""https://docs.google.com/spreadsheets/d/1d2vevQ_7D_v35q4wCQ4RpQ_IPoTwEMB9Yp6ymwlPqew/edit?gid=984458430#gid=984458430"", ""'replication success'!A:M""), 13, FAlSE)"),"abstract")</f>
        <v>abstract</v>
      </c>
      <c r="BB1922" s="61" t="str">
        <f>IFERROR(__xludf.DUMMYFUNCTION("REGEXREPLACE(G1922, ""_[a-z]{1,2}$"", """")"),"osc2015136")</f>
        <v>osc2015136</v>
      </c>
      <c r="BC1922" s="68"/>
      <c r="BD1922" s="62" t="s">
        <v>10729</v>
      </c>
    </row>
    <row r="1923">
      <c r="A1923" s="44">
        <v>1923.0</v>
      </c>
      <c r="B1923" s="129" t="s">
        <v>152</v>
      </c>
      <c r="C1923" s="62" t="s">
        <v>115</v>
      </c>
      <c r="D1923" s="62" t="s">
        <v>153</v>
      </c>
      <c r="F1923" s="159" t="s">
        <v>11323</v>
      </c>
      <c r="G1923" s="159" t="s">
        <v>11324</v>
      </c>
      <c r="H1923" s="159" t="s">
        <v>153</v>
      </c>
      <c r="I1923" s="862" t="s">
        <v>119</v>
      </c>
      <c r="J1923" s="540">
        <v>45763.0</v>
      </c>
      <c r="K1923" s="159" t="s">
        <v>11339</v>
      </c>
      <c r="L1923" s="68"/>
      <c r="M1923" s="1885" t="s">
        <v>11328</v>
      </c>
      <c r="N1923" s="159" t="s">
        <v>11329</v>
      </c>
      <c r="O1923" s="156">
        <v>1.0</v>
      </c>
      <c r="P1923" s="606" t="s">
        <v>11330</v>
      </c>
      <c r="Q1923" s="52" t="str">
        <f t="array" ref="Q1923"> if(iserror(MATCH(V1923, 'File Links'!C:C, 0)), "N/A", HYPERLINK(INDEX('File Links'!B:B, MATCH(P1923, 'File Links'!C:C, 0))))</f>
        <v>https://drive.google.com/file/d/1sINTPt9kd7F5Vgc5qW1iK2Ge6313RMjs/view?usp=drivesdk</v>
      </c>
      <c r="R1923" s="159" t="s">
        <v>11331</v>
      </c>
      <c r="S1923" s="159" t="s">
        <v>10720</v>
      </c>
      <c r="T1923" s="129"/>
      <c r="U1923" s="336">
        <v>1.0</v>
      </c>
      <c r="V1923" s="159" t="s">
        <v>11253</v>
      </c>
      <c r="W1923" s="57" t="s">
        <v>164</v>
      </c>
      <c r="X1923" s="54" t="str">
        <f t="array" ref="X1923"> if(iserror(MATCH(V1923, 'File Links'!C:C, 0)), "N/A", HYPERLINK(INDEX('File Links'!B:B, MATCH(V1923, 'File Links'!C:C, 0))))</f>
        <v>https://drive.google.com/file/d/1UMAh9VGta6ExS2-Lb6GkDF4fmnI2EMeM/view?usp=drivesdk</v>
      </c>
      <c r="Z1923" s="159" t="s">
        <v>226</v>
      </c>
      <c r="AA1923" s="159" t="s">
        <v>11340</v>
      </c>
      <c r="AB1923" s="151" t="s">
        <v>11341</v>
      </c>
      <c r="AC1923" s="159" t="s">
        <v>11342</v>
      </c>
      <c r="AD1923" s="159" t="s">
        <v>11343</v>
      </c>
      <c r="AE1923" s="156">
        <v>2.0</v>
      </c>
      <c r="AF1923" s="156">
        <v>30.0</v>
      </c>
      <c r="AG1923" s="159" t="s">
        <v>11336</v>
      </c>
      <c r="AH1923" s="159" t="s">
        <v>134</v>
      </c>
      <c r="AI1923" s="159" t="s">
        <v>875</v>
      </c>
      <c r="AJ1923" s="501">
        <v>0.01</v>
      </c>
      <c r="AK1923" s="159" t="s">
        <v>135</v>
      </c>
      <c r="AL1923" s="159" t="s">
        <v>186</v>
      </c>
      <c r="AM1923" s="68" t="s">
        <v>137</v>
      </c>
      <c r="AN1923" s="1115" t="s">
        <v>138</v>
      </c>
      <c r="AO1923" s="156">
        <v>58.0</v>
      </c>
      <c r="AP1923" s="161">
        <v>0.2</v>
      </c>
      <c r="AQ1923" s="159" t="s">
        <v>173</v>
      </c>
      <c r="AR1923" s="159" t="s">
        <v>813</v>
      </c>
      <c r="AS1923" s="161">
        <v>0.44</v>
      </c>
      <c r="AT1923" s="159" t="s">
        <v>172</v>
      </c>
      <c r="AU1923" s="159" t="s">
        <v>186</v>
      </c>
      <c r="AV1923" s="68" t="s">
        <v>137</v>
      </c>
      <c r="AW1923" s="435" t="s">
        <v>11344</v>
      </c>
      <c r="AX1923" s="68" t="s">
        <v>143</v>
      </c>
      <c r="AY1923" s="61" t="str">
        <f>IFERROR(__xludf.DUMMYFUNCTION("vlookup(BB1923,importrange(""https://docs.google.com/spreadsheets/d/1d2vevQ_7D_v35q4wCQ4RpQ_IPoTwEMB9Yp6ymwlPqew/edit?gid=984458430#gid=984458430"", ""'replication success'!A:K""), 11, FAlSE)"),"")</f>
        <v/>
      </c>
      <c r="AZ1923" s="61" t="str">
        <f>IFERROR(__xludf.DUMMYFUNCTION("vlookup(BB1923,importrange(""https://docs.google.com/spreadsheets/d/1d2vevQ_7D_v35q4wCQ4RpQ_IPoTwEMB9Yp6ymwlPqew/edit?gid=984458430#gid=984458430"", ""'replication success'!A:M""), 12, FAlSE)"),"")</f>
        <v/>
      </c>
      <c r="BA1923" s="61" t="str">
        <f>IFERROR(__xludf.DUMMYFUNCTION("vlookup(BB1923,importrange(""https://docs.google.com/spreadsheets/d/1d2vevQ_7D_v35q4wCQ4RpQ_IPoTwEMB9Yp6ymwlPqew/edit?gid=984458430#gid=984458430"", ""'replication success'!A:M""), 13, FAlSE)"),"abstract")</f>
        <v>abstract</v>
      </c>
      <c r="BB1923" s="61" t="str">
        <f>IFERROR(__xludf.DUMMYFUNCTION("REGEXREPLACE(G1923, ""_[a-z]{1,2}$"", """")"),"osc2015136")</f>
        <v>osc2015136</v>
      </c>
      <c r="BC1923" s="68"/>
      <c r="BD1923" s="62" t="s">
        <v>10729</v>
      </c>
    </row>
    <row r="1924">
      <c r="A1924" s="44">
        <v>1924.0</v>
      </c>
      <c r="B1924" s="129" t="s">
        <v>152</v>
      </c>
      <c r="C1924" s="62" t="s">
        <v>115</v>
      </c>
      <c r="D1924" s="62" t="s">
        <v>1270</v>
      </c>
      <c r="F1924" s="159" t="s">
        <v>11345</v>
      </c>
      <c r="G1924" s="159" t="s">
        <v>11346</v>
      </c>
      <c r="H1924" s="159" t="s">
        <v>11347</v>
      </c>
      <c r="I1924" s="862" t="s">
        <v>119</v>
      </c>
      <c r="J1924" s="540">
        <v>45763.0</v>
      </c>
      <c r="K1924" s="68"/>
      <c r="L1924" s="129" t="s">
        <v>11348</v>
      </c>
      <c r="M1924" s="1885" t="s">
        <v>11349</v>
      </c>
      <c r="N1924" s="159" t="s">
        <v>11350</v>
      </c>
      <c r="O1924" s="156">
        <v>5.0</v>
      </c>
      <c r="P1924" s="606" t="s">
        <v>11351</v>
      </c>
      <c r="Q1924" s="52" t="str">
        <f t="array" ref="Q1924"> if(iserror(MATCH(V1924, 'File Links'!C:C, 0)), "N/A", HYPERLINK(INDEX('File Links'!B:B, MATCH(P1924, 'File Links'!C:C, 0))))</f>
        <v>https://drive.google.com/file/d/1HvJhg-z__ZC4L2MVWwWJgR-8s9h67R34/view?usp=drivesdk</v>
      </c>
      <c r="R1924" s="159" t="s">
        <v>11352</v>
      </c>
      <c r="S1924" s="159" t="s">
        <v>10720</v>
      </c>
      <c r="T1924" s="129"/>
      <c r="U1924" s="336">
        <v>1.0</v>
      </c>
      <c r="V1924" s="159" t="s">
        <v>11253</v>
      </c>
      <c r="W1924" s="57" t="s">
        <v>164</v>
      </c>
      <c r="X1924" s="54" t="str">
        <f t="array" ref="X1924"> if(iserror(MATCH(V1924, 'File Links'!C:C, 0)), "N/A", HYPERLINK(INDEX('File Links'!B:B, MATCH(V1924, 'File Links'!C:C, 0))))</f>
        <v>https://drive.google.com/file/d/1UMAh9VGta6ExS2-Lb6GkDF4fmnI2EMeM/view?usp=drivesdk</v>
      </c>
      <c r="Z1924" s="159" t="s">
        <v>148</v>
      </c>
      <c r="AA1924" s="159" t="s">
        <v>11353</v>
      </c>
      <c r="AB1924" s="151" t="s">
        <v>11354</v>
      </c>
      <c r="AC1924" s="1115" t="s">
        <v>11355</v>
      </c>
      <c r="AD1924" s="68" t="s">
        <v>11356</v>
      </c>
      <c r="AE1924" s="336">
        <v>5.0</v>
      </c>
      <c r="AF1924" s="156">
        <v>4.0</v>
      </c>
      <c r="AG1924" s="161">
        <v>0.74</v>
      </c>
      <c r="AH1924" s="159" t="s">
        <v>139</v>
      </c>
      <c r="AI1924" s="159" t="s">
        <v>813</v>
      </c>
      <c r="AJ1924" s="161">
        <v>0.005</v>
      </c>
      <c r="AK1924" s="159" t="s">
        <v>172</v>
      </c>
      <c r="AL1924" s="159" t="s">
        <v>186</v>
      </c>
      <c r="AM1924" s="1300" t="s">
        <v>137</v>
      </c>
      <c r="AN1924" s="68" t="s">
        <v>138</v>
      </c>
      <c r="AO1924" s="336">
        <v>5.0</v>
      </c>
      <c r="AP1924" s="501">
        <v>0.76</v>
      </c>
      <c r="AQ1924" s="159" t="s">
        <v>874</v>
      </c>
      <c r="AR1924" s="159" t="s">
        <v>217</v>
      </c>
      <c r="AS1924" s="1829">
        <v>0.001</v>
      </c>
      <c r="AT1924" s="159" t="s">
        <v>135</v>
      </c>
      <c r="AU1924" s="159" t="s">
        <v>186</v>
      </c>
      <c r="AV1924" s="68" t="s">
        <v>141</v>
      </c>
      <c r="AW1924" s="435" t="s">
        <v>11357</v>
      </c>
      <c r="AX1924" s="68" t="s">
        <v>143</v>
      </c>
      <c r="AY1924" s="61" t="str">
        <f>IFERROR(__xludf.DUMMYFUNCTION("vlookup(BB1924,importrange(""https://docs.google.com/spreadsheets/d/1d2vevQ_7D_v35q4wCQ4RpQ_IPoTwEMB9Yp6ymwlPqew/edit?gid=984458430#gid=984458430"", ""'replication success'!A:K""), 11, FAlSE)"),"")</f>
        <v/>
      </c>
      <c r="AZ1924" s="61" t="str">
        <f>IFERROR(__xludf.DUMMYFUNCTION("vlookup(BB1924,importrange(""https://docs.google.com/spreadsheets/d/1d2vevQ_7D_v35q4wCQ4RpQ_IPoTwEMB9Yp6ymwlPqew/edit?gid=984458430#gid=984458430"", ""'replication success'!A:M""), 12, FAlSE)"),"")</f>
        <v/>
      </c>
      <c r="BA1924" s="61" t="str">
        <f>IFERROR(__xludf.DUMMYFUNCTION("vlookup(BB1924,importrange(""https://docs.google.com/spreadsheets/d/1d2vevQ_7D_v35q4wCQ4RpQ_IPoTwEMB9Yp6ymwlPqew/edit?gid=984458430#gid=984458430"", ""'replication success'!A:M""), 13, FAlSE)"),"abstract")</f>
        <v>abstract</v>
      </c>
      <c r="BB1924" s="61" t="str">
        <f>IFERROR(__xludf.DUMMYFUNCTION("REGEXREPLACE(G1924, ""_[a-z]{1,2}$"", """")"),"osc2015139")</f>
        <v>osc2015139</v>
      </c>
      <c r="BC1924" s="68"/>
      <c r="BD1924" s="62" t="s">
        <v>10729</v>
      </c>
    </row>
    <row r="1925">
      <c r="A1925" s="44">
        <v>1925.0</v>
      </c>
      <c r="B1925" s="129" t="s">
        <v>114</v>
      </c>
      <c r="C1925" s="62" t="s">
        <v>115</v>
      </c>
      <c r="D1925" s="62" t="s">
        <v>153</v>
      </c>
      <c r="F1925" s="159" t="s">
        <v>11345</v>
      </c>
      <c r="G1925" s="159" t="s">
        <v>11346</v>
      </c>
      <c r="H1925" s="159" t="s">
        <v>11358</v>
      </c>
      <c r="I1925" s="862" t="s">
        <v>119</v>
      </c>
      <c r="J1925" s="540">
        <v>45763.0</v>
      </c>
      <c r="K1925" s="68"/>
      <c r="L1925" s="68"/>
      <c r="M1925" s="1885" t="s">
        <v>11349</v>
      </c>
      <c r="N1925" s="159" t="s">
        <v>11350</v>
      </c>
      <c r="O1925" s="156">
        <v>5.0</v>
      </c>
      <c r="P1925" s="606" t="s">
        <v>11351</v>
      </c>
      <c r="Q1925" s="52" t="str">
        <f t="array" ref="Q1925"> if(iserror(MATCH(V1925, 'File Links'!C:C, 0)), "N/A", HYPERLINK(INDEX('File Links'!B:B, MATCH(P1925, 'File Links'!C:C, 0))))</f>
        <v>https://drive.google.com/file/d/1HvJhg-z__ZC4L2MVWwWJgR-8s9h67R34/view?usp=drivesdk</v>
      </c>
      <c r="R1925" s="159" t="s">
        <v>11352</v>
      </c>
      <c r="S1925" s="159" t="s">
        <v>10720</v>
      </c>
      <c r="T1925" s="129"/>
      <c r="U1925" s="336">
        <v>1.0</v>
      </c>
      <c r="V1925" s="159" t="s">
        <v>11253</v>
      </c>
      <c r="W1925" s="57" t="s">
        <v>164</v>
      </c>
      <c r="X1925" s="54" t="str">
        <f t="array" ref="X1925"> if(iserror(MATCH(V1925, 'File Links'!C:C, 0)), "N/A", HYPERLINK(INDEX('File Links'!B:B, MATCH(V1925, 'File Links'!C:C, 0))))</f>
        <v>https://drive.google.com/file/d/1UMAh9VGta6ExS2-Lb6GkDF4fmnI2EMeM/view?usp=drivesdk</v>
      </c>
      <c r="Z1925" s="159" t="s">
        <v>148</v>
      </c>
      <c r="AA1925" s="159" t="s">
        <v>11353</v>
      </c>
      <c r="AB1925" s="159" t="s">
        <v>11359</v>
      </c>
      <c r="AC1925" s="159" t="s">
        <v>11355</v>
      </c>
      <c r="AD1925" s="159" t="s">
        <v>11360</v>
      </c>
      <c r="AE1925" s="156">
        <v>5.0</v>
      </c>
      <c r="AF1925" s="156">
        <v>4.0</v>
      </c>
      <c r="AG1925" s="161">
        <v>0.74</v>
      </c>
      <c r="AH1925" s="159" t="s">
        <v>139</v>
      </c>
      <c r="AI1925" s="159" t="s">
        <v>813</v>
      </c>
      <c r="AJ1925" s="161">
        <v>0.005</v>
      </c>
      <c r="AK1925" s="159" t="s">
        <v>172</v>
      </c>
      <c r="AL1925" s="159" t="s">
        <v>186</v>
      </c>
      <c r="AM1925" s="68" t="s">
        <v>137</v>
      </c>
      <c r="AN1925" s="68"/>
      <c r="AO1925" s="156">
        <v>5.0</v>
      </c>
      <c r="AP1925" s="161">
        <v>0.76</v>
      </c>
      <c r="AQ1925" s="1060" t="s">
        <v>139</v>
      </c>
      <c r="AR1925" s="159" t="s">
        <v>217</v>
      </c>
      <c r="AS1925" s="1829">
        <v>0.001</v>
      </c>
      <c r="AT1925" s="1060" t="s">
        <v>172</v>
      </c>
      <c r="AU1925" s="1060" t="s">
        <v>218</v>
      </c>
      <c r="AV1925" s="1392" t="s">
        <v>137</v>
      </c>
      <c r="AW1925" s="435" t="s">
        <v>11361</v>
      </c>
      <c r="AX1925" s="68" t="s">
        <v>143</v>
      </c>
      <c r="AY1925" s="61" t="str">
        <f>IFERROR(__xludf.DUMMYFUNCTION("vlookup(BB1925,importrange(""https://docs.google.com/spreadsheets/d/1d2vevQ_7D_v35q4wCQ4RpQ_IPoTwEMB9Yp6ymwlPqew/edit?gid=984458430#gid=984458430"", ""'replication success'!A:K""), 11, FAlSE)"),"")</f>
        <v/>
      </c>
      <c r="AZ1925" s="61" t="str">
        <f>IFERROR(__xludf.DUMMYFUNCTION("vlookup(BB1925,importrange(""https://docs.google.com/spreadsheets/d/1d2vevQ_7D_v35q4wCQ4RpQ_IPoTwEMB9Yp6ymwlPqew/edit?gid=984458430#gid=984458430"", ""'replication success'!A:M""), 12, FAlSE)"),"")</f>
        <v/>
      </c>
      <c r="BA1925" s="61" t="str">
        <f>IFERROR(__xludf.DUMMYFUNCTION("vlookup(BB1925,importrange(""https://docs.google.com/spreadsheets/d/1d2vevQ_7D_v35q4wCQ4RpQ_IPoTwEMB9Yp6ymwlPqew/edit?gid=984458430#gid=984458430"", ""'replication success'!A:M""), 13, FAlSE)"),"abstract")</f>
        <v>abstract</v>
      </c>
      <c r="BB1925" s="61" t="str">
        <f>IFERROR(__xludf.DUMMYFUNCTION("REGEXREPLACE(G1925, ""_[a-z]{1,2}$"", """")"),"osc2015139")</f>
        <v>osc2015139</v>
      </c>
      <c r="BC1925" s="68"/>
      <c r="BD1925" s="62" t="s">
        <v>10729</v>
      </c>
    </row>
    <row r="1926" ht="15.75" customHeight="1">
      <c r="A1926" s="44">
        <v>1926.0</v>
      </c>
      <c r="B1926" s="129" t="s">
        <v>152</v>
      </c>
      <c r="C1926" s="62" t="s">
        <v>115</v>
      </c>
      <c r="D1926" s="62" t="s">
        <v>1270</v>
      </c>
      <c r="F1926" s="159" t="s">
        <v>11362</v>
      </c>
      <c r="G1926" s="159" t="s">
        <v>11363</v>
      </c>
      <c r="H1926" s="159" t="s">
        <v>11364</v>
      </c>
      <c r="I1926" s="862" t="s">
        <v>119</v>
      </c>
      <c r="J1926" s="540">
        <v>45763.0</v>
      </c>
      <c r="K1926" s="159" t="s">
        <v>11365</v>
      </c>
      <c r="L1926" s="151" t="s">
        <v>11366</v>
      </c>
      <c r="M1926" s="1885" t="s">
        <v>11367</v>
      </c>
      <c r="N1926" s="159" t="s">
        <v>11368</v>
      </c>
      <c r="O1926" s="336">
        <v>4.0</v>
      </c>
      <c r="P1926" s="606" t="s">
        <v>11369</v>
      </c>
      <c r="Q1926" s="52" t="str">
        <f t="array" ref="Q1926"> if(iserror(MATCH(V1926, 'File Links'!C:C, 0)), "N/A", HYPERLINK(INDEX('File Links'!B:B, MATCH(P1926, 'File Links'!C:C, 0))))</f>
        <v>https://drive.google.com/file/d/1pEsi_zCge4Xxz2XomVjcrFondU662vvE/view?usp=drivesdk</v>
      </c>
      <c r="R1926" s="159" t="s">
        <v>11370</v>
      </c>
      <c r="S1926" s="159" t="s">
        <v>10720</v>
      </c>
      <c r="T1926" s="129"/>
      <c r="U1926" s="336">
        <v>1.0</v>
      </c>
      <c r="V1926" s="159" t="s">
        <v>11253</v>
      </c>
      <c r="W1926" s="57" t="s">
        <v>164</v>
      </c>
      <c r="X1926" s="54" t="str">
        <f t="array" ref="X1926"> if(iserror(MATCH(V1926, 'File Links'!C:C, 0)), "N/A", HYPERLINK(INDEX('File Links'!B:B, MATCH(V1926, 'File Links'!C:C, 0))))</f>
        <v>https://drive.google.com/file/d/1UMAh9VGta6ExS2-Lb6GkDF4fmnI2EMeM/view?usp=drivesdk</v>
      </c>
      <c r="Z1926" s="159" t="s">
        <v>226</v>
      </c>
      <c r="AA1926" s="159" t="s">
        <v>11371</v>
      </c>
      <c r="AB1926" s="159" t="s">
        <v>11372</v>
      </c>
      <c r="AC1926" s="1115" t="s">
        <v>11373</v>
      </c>
      <c r="AD1926" s="68" t="s">
        <v>11374</v>
      </c>
      <c r="AE1926" s="336">
        <v>5.0</v>
      </c>
      <c r="AF1926" s="156">
        <v>84.0</v>
      </c>
      <c r="AG1926" s="161">
        <v>0.11</v>
      </c>
      <c r="AH1926" s="159" t="s">
        <v>139</v>
      </c>
      <c r="AI1926" s="159" t="s">
        <v>813</v>
      </c>
      <c r="AJ1926" s="68" t="s">
        <v>138</v>
      </c>
      <c r="AK1926" s="1838" t="s">
        <v>138</v>
      </c>
      <c r="AL1926" s="159" t="s">
        <v>186</v>
      </c>
      <c r="AM1926" s="68" t="s">
        <v>137</v>
      </c>
      <c r="AN1926" s="159" t="s">
        <v>138</v>
      </c>
      <c r="AO1926" s="156">
        <v>125.0</v>
      </c>
      <c r="AP1926" s="151">
        <v>0.0</v>
      </c>
      <c r="AQ1926" s="159" t="s">
        <v>139</v>
      </c>
      <c r="AR1926" s="159" t="s">
        <v>217</v>
      </c>
      <c r="AS1926" s="161">
        <v>0.79</v>
      </c>
      <c r="AT1926" s="159" t="s">
        <v>172</v>
      </c>
      <c r="AU1926" s="1115" t="s">
        <v>186</v>
      </c>
      <c r="AV1926" s="68" t="s">
        <v>137</v>
      </c>
      <c r="AW1926" s="435" t="s">
        <v>11375</v>
      </c>
      <c r="AX1926" s="68" t="s">
        <v>143</v>
      </c>
      <c r="AY1926" s="61" t="str">
        <f>IFERROR(__xludf.DUMMYFUNCTION("vlookup(BB1926,importrange(""https://docs.google.com/spreadsheets/d/1d2vevQ_7D_v35q4wCQ4RpQ_IPoTwEMB9Yp6ymwlPqew/edit?gid=984458430#gid=984458430"", ""'replication success'!A:K""), 11, FAlSE)"),"")</f>
        <v/>
      </c>
      <c r="AZ1926" s="61" t="str">
        <f>IFERROR(__xludf.DUMMYFUNCTION("vlookup(BB1926,importrange(""https://docs.google.com/spreadsheets/d/1d2vevQ_7D_v35q4wCQ4RpQ_IPoTwEMB9Yp6ymwlPqew/edit?gid=984458430#gid=984458430"", ""'replication success'!A:M""), 12, FAlSE)"),"")</f>
        <v/>
      </c>
      <c r="BA1926" s="61" t="str">
        <f>IFERROR(__xludf.DUMMYFUNCTION("vlookup(BB1926,importrange(""https://docs.google.com/spreadsheets/d/1d2vevQ_7D_v35q4wCQ4RpQ_IPoTwEMB9Yp6ymwlPqew/edit?gid=984458430#gid=984458430"", ""'replication success'!A:M""), 13, FAlSE)"),"abstract")</f>
        <v>abstract</v>
      </c>
      <c r="BB1926" s="61" t="str">
        <f>IFERROR(__xludf.DUMMYFUNCTION("REGEXREPLACE(G1926, ""_[a-z]{1,2}$"", """")"),"osc2015140")</f>
        <v>osc2015140</v>
      </c>
      <c r="BC1926" s="68"/>
      <c r="BD1926" s="62" t="s">
        <v>10729</v>
      </c>
    </row>
    <row r="1927">
      <c r="A1927" s="44">
        <v>1927.0</v>
      </c>
      <c r="B1927" s="129" t="s">
        <v>114</v>
      </c>
      <c r="C1927" s="62" t="s">
        <v>115</v>
      </c>
      <c r="D1927" s="62" t="s">
        <v>153</v>
      </c>
      <c r="F1927" s="159" t="s">
        <v>11362</v>
      </c>
      <c r="G1927" s="159" t="s">
        <v>11363</v>
      </c>
      <c r="H1927" s="159" t="s">
        <v>153</v>
      </c>
      <c r="I1927" s="862" t="s">
        <v>119</v>
      </c>
      <c r="J1927" s="540">
        <v>45763.0</v>
      </c>
      <c r="K1927" s="159" t="s">
        <v>10977</v>
      </c>
      <c r="L1927" s="68"/>
      <c r="M1927" s="1885" t="s">
        <v>11367</v>
      </c>
      <c r="N1927" s="159" t="s">
        <v>11368</v>
      </c>
      <c r="O1927" s="156">
        <v>4.0</v>
      </c>
      <c r="P1927" s="606" t="s">
        <v>11369</v>
      </c>
      <c r="Q1927" s="52" t="str">
        <f t="array" ref="Q1927"> if(iserror(MATCH(V1927, 'File Links'!C:C, 0)), "N/A", HYPERLINK(INDEX('File Links'!B:B, MATCH(P1927, 'File Links'!C:C, 0))))</f>
        <v>https://drive.google.com/file/d/1pEsi_zCge4Xxz2XomVjcrFondU662vvE/view?usp=drivesdk</v>
      </c>
      <c r="R1927" s="159" t="s">
        <v>11370</v>
      </c>
      <c r="S1927" s="159" t="s">
        <v>10720</v>
      </c>
      <c r="T1927" s="129"/>
      <c r="U1927" s="336">
        <v>1.0</v>
      </c>
      <c r="V1927" s="159" t="s">
        <v>11253</v>
      </c>
      <c r="W1927" s="57" t="s">
        <v>164</v>
      </c>
      <c r="X1927" s="54" t="str">
        <f t="array" ref="X1927"> if(iserror(MATCH(V1927, 'File Links'!C:C, 0)), "N/A", HYPERLINK(INDEX('File Links'!B:B, MATCH(V1927, 'File Links'!C:C, 0))))</f>
        <v>https://drive.google.com/file/d/1UMAh9VGta6ExS2-Lb6GkDF4fmnI2EMeM/view?usp=drivesdk</v>
      </c>
      <c r="Z1927" s="159" t="s">
        <v>226</v>
      </c>
      <c r="AA1927" s="159" t="s">
        <v>11371</v>
      </c>
      <c r="AB1927" s="159" t="s">
        <v>11376</v>
      </c>
      <c r="AC1927" s="159" t="s">
        <v>11373</v>
      </c>
      <c r="AD1927" s="159" t="s">
        <v>11377</v>
      </c>
      <c r="AE1927" s="156">
        <v>5.0</v>
      </c>
      <c r="AF1927" s="156">
        <v>84.0</v>
      </c>
      <c r="AG1927" s="161">
        <v>0.11</v>
      </c>
      <c r="AH1927" s="159" t="s">
        <v>139</v>
      </c>
      <c r="AI1927" s="159" t="s">
        <v>813</v>
      </c>
      <c r="AJ1927" s="68" t="s">
        <v>138</v>
      </c>
      <c r="AK1927" s="1838" t="s">
        <v>138</v>
      </c>
      <c r="AL1927" s="159" t="s">
        <v>186</v>
      </c>
      <c r="AM1927" s="68" t="s">
        <v>137</v>
      </c>
      <c r="AN1927" s="1115" t="s">
        <v>138</v>
      </c>
      <c r="AO1927" s="156">
        <v>125.0</v>
      </c>
      <c r="AP1927" s="156">
        <v>0.0</v>
      </c>
      <c r="AQ1927" s="159" t="s">
        <v>139</v>
      </c>
      <c r="AR1927" s="159" t="s">
        <v>217</v>
      </c>
      <c r="AS1927" s="161">
        <v>0.78</v>
      </c>
      <c r="AT1927" s="159" t="s">
        <v>172</v>
      </c>
      <c r="AU1927" s="159" t="s">
        <v>186</v>
      </c>
      <c r="AV1927" s="68" t="s">
        <v>137</v>
      </c>
      <c r="AW1927" s="435" t="s">
        <v>11378</v>
      </c>
      <c r="AX1927" s="68" t="s">
        <v>143</v>
      </c>
      <c r="AY1927" s="61" t="str">
        <f>IFERROR(__xludf.DUMMYFUNCTION("vlookup(BB1927,importrange(""https://docs.google.com/spreadsheets/d/1d2vevQ_7D_v35q4wCQ4RpQ_IPoTwEMB9Yp6ymwlPqew/edit?gid=984458430#gid=984458430"", ""'replication success'!A:K""), 11, FAlSE)"),"")</f>
        <v/>
      </c>
      <c r="AZ1927" s="61" t="str">
        <f>IFERROR(__xludf.DUMMYFUNCTION("vlookup(BB1927,importrange(""https://docs.google.com/spreadsheets/d/1d2vevQ_7D_v35q4wCQ4RpQ_IPoTwEMB9Yp6ymwlPqew/edit?gid=984458430#gid=984458430"", ""'replication success'!A:M""), 12, FAlSE)"),"")</f>
        <v/>
      </c>
      <c r="BA1927" s="61" t="str">
        <f>IFERROR(__xludf.DUMMYFUNCTION("vlookup(BB1927,importrange(""https://docs.google.com/spreadsheets/d/1d2vevQ_7D_v35q4wCQ4RpQ_IPoTwEMB9Yp6ymwlPqew/edit?gid=984458430#gid=984458430"", ""'replication success'!A:M""), 13, FAlSE)"),"abstract")</f>
        <v>abstract</v>
      </c>
      <c r="BB1927" s="61" t="str">
        <f>IFERROR(__xludf.DUMMYFUNCTION("REGEXREPLACE(G1927, ""_[a-z]{1,2}$"", """")"),"osc2015140")</f>
        <v>osc2015140</v>
      </c>
      <c r="BC1927" s="68"/>
      <c r="BD1927" s="62" t="s">
        <v>10729</v>
      </c>
    </row>
    <row r="1928">
      <c r="A1928" s="44">
        <v>1928.0</v>
      </c>
      <c r="B1928" s="129" t="s">
        <v>152</v>
      </c>
      <c r="C1928" s="62" t="s">
        <v>115</v>
      </c>
      <c r="D1928" s="62" t="s">
        <v>1270</v>
      </c>
      <c r="F1928" s="159" t="s">
        <v>11379</v>
      </c>
      <c r="G1928" s="159" t="s">
        <v>11380</v>
      </c>
      <c r="H1928" s="159" t="s">
        <v>11381</v>
      </c>
      <c r="I1928" s="862" t="s">
        <v>119</v>
      </c>
      <c r="J1928" s="540">
        <v>45763.0</v>
      </c>
      <c r="K1928" s="68"/>
      <c r="L1928" s="129" t="s">
        <v>11382</v>
      </c>
      <c r="M1928" s="1885" t="s">
        <v>11383</v>
      </c>
      <c r="N1928" s="159" t="s">
        <v>11384</v>
      </c>
      <c r="O1928" s="336">
        <v>1.0</v>
      </c>
      <c r="P1928" s="606" t="s">
        <v>11385</v>
      </c>
      <c r="Q1928" s="52" t="str">
        <f t="array" ref="Q1928"> if(iserror(MATCH(V1928, 'File Links'!C:C, 0)), "N/A", HYPERLINK(INDEX('File Links'!B:B, MATCH(P1928, 'File Links'!C:C, 0))))</f>
        <v>https://drive.google.com/file/d/1WfPribPjrUnNwdjyMLceAC2yV6uOwcIj/view?usp=drivesdk</v>
      </c>
      <c r="R1928" s="159" t="s">
        <v>11386</v>
      </c>
      <c r="S1928" s="159" t="s">
        <v>10720</v>
      </c>
      <c r="T1928" s="129"/>
      <c r="U1928" s="336">
        <v>1.0</v>
      </c>
      <c r="V1928" s="159" t="s">
        <v>11253</v>
      </c>
      <c r="W1928" s="57" t="s">
        <v>164</v>
      </c>
      <c r="X1928" s="54" t="str">
        <f t="array" ref="X1928"> if(iserror(MATCH(V1928, 'File Links'!C:C, 0)), "N/A", HYPERLINK(INDEX('File Links'!B:B, MATCH(V1928, 'File Links'!C:C, 0))))</f>
        <v>https://drive.google.com/file/d/1UMAh9VGta6ExS2-Lb6GkDF4fmnI2EMeM/view?usp=drivesdk</v>
      </c>
      <c r="Z1928" s="159" t="s">
        <v>226</v>
      </c>
      <c r="AA1928" s="159" t="s">
        <v>11387</v>
      </c>
      <c r="AB1928" s="151" t="s">
        <v>11388</v>
      </c>
      <c r="AC1928" s="151" t="s">
        <v>11389</v>
      </c>
      <c r="AD1928" s="68" t="s">
        <v>11390</v>
      </c>
      <c r="AE1928" s="336">
        <v>3.0</v>
      </c>
      <c r="AF1928" s="156">
        <v>82.0</v>
      </c>
      <c r="AG1928" s="156" t="s">
        <v>11391</v>
      </c>
      <c r="AH1928" s="159" t="s">
        <v>134</v>
      </c>
      <c r="AI1928" s="159" t="s">
        <v>217</v>
      </c>
      <c r="AJ1928" s="1894">
        <v>0.001</v>
      </c>
      <c r="AK1928" s="68" t="s">
        <v>135</v>
      </c>
      <c r="AL1928" s="159" t="s">
        <v>186</v>
      </c>
      <c r="AM1928" s="68" t="s">
        <v>141</v>
      </c>
      <c r="AN1928" s="68" t="s">
        <v>138</v>
      </c>
      <c r="AO1928" s="336">
        <v>88.0</v>
      </c>
      <c r="AP1928" s="1117">
        <v>0.74</v>
      </c>
      <c r="AQ1928" s="159" t="s">
        <v>874</v>
      </c>
      <c r="AR1928" s="159" t="s">
        <v>850</v>
      </c>
      <c r="AS1928" s="1894">
        <v>0.001</v>
      </c>
      <c r="AT1928" s="159" t="s">
        <v>135</v>
      </c>
      <c r="AU1928" s="159" t="s">
        <v>186</v>
      </c>
      <c r="AV1928" s="68" t="s">
        <v>141</v>
      </c>
      <c r="AW1928" s="435" t="s">
        <v>11392</v>
      </c>
      <c r="AX1928" s="68" t="s">
        <v>143</v>
      </c>
      <c r="AY1928" s="61" t="str">
        <f>IFERROR(__xludf.DUMMYFUNCTION("vlookup(BB1928,importrange(""https://docs.google.com/spreadsheets/d/1d2vevQ_7D_v35q4wCQ4RpQ_IPoTwEMB9Yp6ymwlPqew/edit?gid=984458430#gid=984458430"", ""'replication success'!A:K""), 11, FAlSE)"),"")</f>
        <v/>
      </c>
      <c r="AZ1928" s="61" t="str">
        <f>IFERROR(__xludf.DUMMYFUNCTION("vlookup(BB1928,importrange(""https://docs.google.com/spreadsheets/d/1d2vevQ_7D_v35q4wCQ4RpQ_IPoTwEMB9Yp6ymwlPqew/edit?gid=984458430#gid=984458430"", ""'replication success'!A:M""), 12, FAlSE)"),"")</f>
        <v/>
      </c>
      <c r="BA1928" s="61" t="str">
        <f>IFERROR(__xludf.DUMMYFUNCTION("vlookup(BB1928,importrange(""https://docs.google.com/spreadsheets/d/1d2vevQ_7D_v35q4wCQ4RpQ_IPoTwEMB9Yp6ymwlPqew/edit?gid=984458430#gid=984458430"", ""'replication success'!A:M""), 13, FAlSE)"),"abstract")</f>
        <v>abstract</v>
      </c>
      <c r="BB1928" s="61" t="str">
        <f>IFERROR(__xludf.DUMMYFUNCTION("REGEXREPLACE(G1928, ""_[a-z]{1,2}$"", """")"),"osc2015142")</f>
        <v>osc2015142</v>
      </c>
      <c r="BC1928" s="68"/>
      <c r="BD1928" s="62" t="s">
        <v>10729</v>
      </c>
    </row>
    <row r="1929">
      <c r="A1929" s="44">
        <v>1929.0</v>
      </c>
      <c r="B1929" s="129" t="s">
        <v>114</v>
      </c>
      <c r="C1929" s="62" t="s">
        <v>115</v>
      </c>
      <c r="D1929" s="62" t="s">
        <v>153</v>
      </c>
      <c r="F1929" s="159" t="s">
        <v>11379</v>
      </c>
      <c r="G1929" s="159" t="s">
        <v>11380</v>
      </c>
      <c r="H1929" s="159" t="s">
        <v>11393</v>
      </c>
      <c r="I1929" s="862" t="s">
        <v>119</v>
      </c>
      <c r="J1929" s="540">
        <v>45763.0</v>
      </c>
      <c r="K1929" s="68"/>
      <c r="L1929" s="68"/>
      <c r="M1929" s="1885" t="s">
        <v>11383</v>
      </c>
      <c r="N1929" s="159" t="s">
        <v>11384</v>
      </c>
      <c r="O1929" s="156">
        <v>1.0</v>
      </c>
      <c r="P1929" s="606" t="s">
        <v>11385</v>
      </c>
      <c r="Q1929" s="52" t="str">
        <f t="array" ref="Q1929"> if(iserror(MATCH(V1929, 'File Links'!C:C, 0)), "N/A", HYPERLINK(INDEX('File Links'!B:B, MATCH(P1929, 'File Links'!C:C, 0))))</f>
        <v>https://drive.google.com/file/d/1WfPribPjrUnNwdjyMLceAC2yV6uOwcIj/view?usp=drivesdk</v>
      </c>
      <c r="R1929" s="159" t="s">
        <v>11386</v>
      </c>
      <c r="S1929" s="159" t="s">
        <v>10720</v>
      </c>
      <c r="T1929" s="129"/>
      <c r="U1929" s="336">
        <v>1.0</v>
      </c>
      <c r="V1929" s="159" t="s">
        <v>11253</v>
      </c>
      <c r="W1929" s="62" t="s">
        <v>3804</v>
      </c>
      <c r="X1929" s="54" t="str">
        <f t="array" ref="X1929"> if(iserror(MATCH(V1929, 'File Links'!C:C, 0)), "N/A", HYPERLINK(INDEX('File Links'!B:B, MATCH(V1929, 'File Links'!C:C, 0))))</f>
        <v>https://drive.google.com/file/d/1UMAh9VGta6ExS2-Lb6GkDF4fmnI2EMeM/view?usp=drivesdk</v>
      </c>
      <c r="Z1929" s="159" t="s">
        <v>226</v>
      </c>
      <c r="AA1929" s="159" t="s">
        <v>4712</v>
      </c>
      <c r="AB1929" s="159" t="s">
        <v>11394</v>
      </c>
      <c r="AC1929" s="159" t="s">
        <v>11395</v>
      </c>
      <c r="AD1929" s="159" t="s">
        <v>11396</v>
      </c>
      <c r="AE1929" s="156">
        <v>3.0</v>
      </c>
      <c r="AF1929" s="156">
        <v>82.0</v>
      </c>
      <c r="AG1929" s="159" t="s">
        <v>11391</v>
      </c>
      <c r="AH1929" s="159" t="s">
        <v>134</v>
      </c>
      <c r="AI1929" s="159" t="s">
        <v>217</v>
      </c>
      <c r="AJ1929" s="1894">
        <v>0.001</v>
      </c>
      <c r="AK1929" s="159" t="s">
        <v>135</v>
      </c>
      <c r="AL1929" s="159" t="s">
        <v>186</v>
      </c>
      <c r="AM1929" s="68" t="s">
        <v>141</v>
      </c>
      <c r="AN1929" s="68"/>
      <c r="AO1929" s="156">
        <v>88.0</v>
      </c>
      <c r="AP1929" s="161">
        <v>0.74</v>
      </c>
      <c r="AQ1929" s="159" t="s">
        <v>139</v>
      </c>
      <c r="AR1929" s="159" t="s">
        <v>850</v>
      </c>
      <c r="AS1929" s="1894">
        <v>0.001</v>
      </c>
      <c r="AT1929" s="159" t="s">
        <v>135</v>
      </c>
      <c r="AU1929" s="159" t="s">
        <v>186</v>
      </c>
      <c r="AV1929" s="68" t="s">
        <v>141</v>
      </c>
      <c r="AW1929" s="435" t="s">
        <v>11397</v>
      </c>
      <c r="AX1929" s="68" t="s">
        <v>143</v>
      </c>
      <c r="AY1929" s="61" t="str">
        <f>IFERROR(__xludf.DUMMYFUNCTION("vlookup(BB1929,importrange(""https://docs.google.com/spreadsheets/d/1d2vevQ_7D_v35q4wCQ4RpQ_IPoTwEMB9Yp6ymwlPqew/edit?gid=984458430#gid=984458430"", ""'replication success'!A:K""), 11, FAlSE)"),"")</f>
        <v/>
      </c>
      <c r="AZ1929" s="61" t="str">
        <f>IFERROR(__xludf.DUMMYFUNCTION("vlookup(BB1929,importrange(""https://docs.google.com/spreadsheets/d/1d2vevQ_7D_v35q4wCQ4RpQ_IPoTwEMB9Yp6ymwlPqew/edit?gid=984458430#gid=984458430"", ""'replication success'!A:M""), 12, FAlSE)"),"")</f>
        <v/>
      </c>
      <c r="BA1929" s="61" t="str">
        <f>IFERROR(__xludf.DUMMYFUNCTION("vlookup(BB1929,importrange(""https://docs.google.com/spreadsheets/d/1d2vevQ_7D_v35q4wCQ4RpQ_IPoTwEMB9Yp6ymwlPqew/edit?gid=984458430#gid=984458430"", ""'replication success'!A:M""), 13, FAlSE)"),"abstract")</f>
        <v>abstract</v>
      </c>
      <c r="BB1929" s="61" t="str">
        <f>IFERROR(__xludf.DUMMYFUNCTION("REGEXREPLACE(G1929, ""_[a-z]{1,2}$"", """")"),"osc2015142")</f>
        <v>osc2015142</v>
      </c>
      <c r="BC1929" s="68"/>
      <c r="BD1929" s="62" t="s">
        <v>10729</v>
      </c>
    </row>
    <row r="1930">
      <c r="A1930" s="44">
        <v>1930.0</v>
      </c>
      <c r="B1930" s="129" t="s">
        <v>114</v>
      </c>
      <c r="C1930" s="62" t="s">
        <v>115</v>
      </c>
      <c r="D1930" s="62" t="s">
        <v>1270</v>
      </c>
      <c r="F1930" s="159" t="s">
        <v>11398</v>
      </c>
      <c r="G1930" s="159" t="s">
        <v>11399</v>
      </c>
      <c r="H1930" s="159" t="s">
        <v>11400</v>
      </c>
      <c r="I1930" s="862" t="s">
        <v>119</v>
      </c>
      <c r="J1930" s="540">
        <v>45763.0</v>
      </c>
      <c r="K1930" s="68"/>
      <c r="L1930" s="151" t="s">
        <v>11401</v>
      </c>
      <c r="M1930" s="1885" t="s">
        <v>11402</v>
      </c>
      <c r="N1930" s="159" t="s">
        <v>11403</v>
      </c>
      <c r="O1930" s="336">
        <v>3.0</v>
      </c>
      <c r="P1930" s="606" t="s">
        <v>11404</v>
      </c>
      <c r="Q1930" s="52" t="str">
        <f t="array" ref="Q1930"> if(iserror(MATCH(V1930, 'File Links'!C:C, 0)), "N/A", HYPERLINK(INDEX('File Links'!B:B, MATCH(P1930, 'File Links'!C:C, 0))))</f>
        <v>https://drive.google.com/file/d/1kdZLBkUApDss7ySLJK034jl3rTKemhnJ/view?usp=drivesdk</v>
      </c>
      <c r="R1930" s="159" t="s">
        <v>11405</v>
      </c>
      <c r="S1930" s="159" t="s">
        <v>10720</v>
      </c>
      <c r="T1930" s="129"/>
      <c r="U1930" s="336">
        <v>1.0</v>
      </c>
      <c r="V1930" s="159" t="s">
        <v>11253</v>
      </c>
      <c r="W1930" s="57" t="s">
        <v>164</v>
      </c>
      <c r="X1930" s="54" t="str">
        <f t="array" ref="X1930"> if(iserror(MATCH(V1930, 'File Links'!C:C, 0)), "N/A", HYPERLINK(INDEX('File Links'!B:B, MATCH(V1930, 'File Links'!C:C, 0))))</f>
        <v>https://drive.google.com/file/d/1UMAh9VGta6ExS2-Lb6GkDF4fmnI2EMeM/view?usp=drivesdk</v>
      </c>
      <c r="Z1930" s="159" t="s">
        <v>226</v>
      </c>
      <c r="AA1930" s="159" t="s">
        <v>11406</v>
      </c>
      <c r="AB1930" s="159" t="s">
        <v>11407</v>
      </c>
      <c r="AC1930" s="159" t="s">
        <v>11408</v>
      </c>
      <c r="AD1930" s="68" t="s">
        <v>11409</v>
      </c>
      <c r="AE1930" s="336">
        <v>5.0</v>
      </c>
      <c r="AF1930" s="156">
        <v>57.0</v>
      </c>
      <c r="AG1930" s="161">
        <v>0.12</v>
      </c>
      <c r="AH1930" s="159" t="s">
        <v>139</v>
      </c>
      <c r="AI1930" s="159" t="s">
        <v>813</v>
      </c>
      <c r="AJ1930" s="1886">
        <v>0.01</v>
      </c>
      <c r="AK1930" s="159" t="s">
        <v>172</v>
      </c>
      <c r="AL1930" s="159" t="s">
        <v>186</v>
      </c>
      <c r="AM1930" s="68" t="s">
        <v>141</v>
      </c>
      <c r="AN1930" s="159" t="s">
        <v>138</v>
      </c>
      <c r="AO1930" s="156">
        <v>78.0</v>
      </c>
      <c r="AP1930" s="336" t="s">
        <v>11410</v>
      </c>
      <c r="AQ1930" s="159" t="s">
        <v>134</v>
      </c>
      <c r="AR1930" s="159" t="s">
        <v>132</v>
      </c>
      <c r="AS1930" s="161">
        <v>0.68</v>
      </c>
      <c r="AT1930" s="159" t="s">
        <v>172</v>
      </c>
      <c r="AU1930" s="159" t="s">
        <v>186</v>
      </c>
      <c r="AV1930" s="68" t="s">
        <v>141</v>
      </c>
      <c r="AW1930" s="435" t="s">
        <v>11411</v>
      </c>
      <c r="AX1930" s="68" t="s">
        <v>143</v>
      </c>
      <c r="AY1930" s="61" t="str">
        <f>IFERROR(__xludf.DUMMYFUNCTION("vlookup(BB1930,importrange(""https://docs.google.com/spreadsheets/d/1d2vevQ_7D_v35q4wCQ4RpQ_IPoTwEMB9Yp6ymwlPqew/edit?gid=984458430#gid=984458430"", ""'replication success'!A:K""), 11, FAlSE)"),"")</f>
        <v/>
      </c>
      <c r="AZ1930" s="61" t="str">
        <f>IFERROR(__xludf.DUMMYFUNCTION("vlookup(BB1930,importrange(""https://docs.google.com/spreadsheets/d/1d2vevQ_7D_v35q4wCQ4RpQ_IPoTwEMB9Yp6ymwlPqew/edit?gid=984458430#gid=984458430"", ""'replication success'!A:M""), 12, FAlSE)"),"")</f>
        <v/>
      </c>
      <c r="BA1930" s="61" t="str">
        <f>IFERROR(__xludf.DUMMYFUNCTION("vlookup(BB1930,importrange(""https://docs.google.com/spreadsheets/d/1d2vevQ_7D_v35q4wCQ4RpQ_IPoTwEMB9Yp6ymwlPqew/edit?gid=984458430#gid=984458430"", ""'replication success'!A:M""), 13, FAlSE)"),"abstract")</f>
        <v>abstract</v>
      </c>
      <c r="BB1930" s="61" t="str">
        <f>IFERROR(__xludf.DUMMYFUNCTION("REGEXREPLACE(G1930, ""_[a-z]{1,2}$"", """")"),"osc2015143")</f>
        <v>osc2015143</v>
      </c>
      <c r="BC1930" s="68"/>
      <c r="BD1930" s="62" t="s">
        <v>10729</v>
      </c>
    </row>
    <row r="1931">
      <c r="A1931" s="44">
        <v>1931.0</v>
      </c>
      <c r="B1931" s="129" t="s">
        <v>152</v>
      </c>
      <c r="C1931" s="62" t="s">
        <v>115</v>
      </c>
      <c r="D1931" s="62" t="s">
        <v>153</v>
      </c>
      <c r="F1931" s="159" t="s">
        <v>11398</v>
      </c>
      <c r="G1931" s="159" t="s">
        <v>11399</v>
      </c>
      <c r="H1931" s="159" t="s">
        <v>153</v>
      </c>
      <c r="I1931" s="862" t="s">
        <v>119</v>
      </c>
      <c r="J1931" s="540">
        <v>45763.0</v>
      </c>
      <c r="K1931" s="159" t="s">
        <v>11215</v>
      </c>
      <c r="L1931" s="68"/>
      <c r="M1931" s="1885" t="s">
        <v>11402</v>
      </c>
      <c r="N1931" s="159" t="s">
        <v>11403</v>
      </c>
      <c r="O1931" s="156">
        <v>3.0</v>
      </c>
      <c r="P1931" s="606" t="s">
        <v>11404</v>
      </c>
      <c r="Q1931" s="52" t="str">
        <f t="array" ref="Q1931"> if(iserror(MATCH(V1931, 'File Links'!C:C, 0)), "N/A", HYPERLINK(INDEX('File Links'!B:B, MATCH(P1931, 'File Links'!C:C, 0))))</f>
        <v>https://drive.google.com/file/d/1kdZLBkUApDss7ySLJK034jl3rTKemhnJ/view?usp=drivesdk</v>
      </c>
      <c r="R1931" s="159" t="s">
        <v>11405</v>
      </c>
      <c r="S1931" s="159" t="s">
        <v>10720</v>
      </c>
      <c r="T1931" s="129"/>
      <c r="U1931" s="336">
        <v>1.0</v>
      </c>
      <c r="V1931" s="159" t="s">
        <v>11253</v>
      </c>
      <c r="W1931" s="57" t="s">
        <v>164</v>
      </c>
      <c r="X1931" s="54" t="str">
        <f t="array" ref="X1931"> if(iserror(MATCH(V1931, 'File Links'!C:C, 0)), "N/A", HYPERLINK(INDEX('File Links'!B:B, MATCH(V1931, 'File Links'!C:C, 0))))</f>
        <v>https://drive.google.com/file/d/1UMAh9VGta6ExS2-Lb6GkDF4fmnI2EMeM/view?usp=drivesdk</v>
      </c>
      <c r="Z1931" s="159" t="s">
        <v>226</v>
      </c>
      <c r="AA1931" s="159" t="s">
        <v>11412</v>
      </c>
      <c r="AB1931" s="159" t="s">
        <v>11413</v>
      </c>
      <c r="AC1931" s="159" t="s">
        <v>11414</v>
      </c>
      <c r="AD1931" s="159" t="s">
        <v>11415</v>
      </c>
      <c r="AE1931" s="156">
        <v>5.0</v>
      </c>
      <c r="AF1931" s="156">
        <v>57.0</v>
      </c>
      <c r="AG1931" s="161">
        <v>0.12</v>
      </c>
      <c r="AH1931" s="159" t="s">
        <v>139</v>
      </c>
      <c r="AI1931" s="159" t="s">
        <v>813</v>
      </c>
      <c r="AJ1931" s="1886">
        <v>0.01</v>
      </c>
      <c r="AK1931" s="159" t="s">
        <v>172</v>
      </c>
      <c r="AL1931" s="159" t="s">
        <v>186</v>
      </c>
      <c r="AM1931" s="68" t="s">
        <v>141</v>
      </c>
      <c r="AN1931" s="159" t="s">
        <v>138</v>
      </c>
      <c r="AO1931" s="336">
        <v>78.0</v>
      </c>
      <c r="AP1931" s="336" t="s">
        <v>11410</v>
      </c>
      <c r="AQ1931" s="159" t="s">
        <v>134</v>
      </c>
      <c r="AR1931" s="68" t="s">
        <v>132</v>
      </c>
      <c r="AS1931" s="161">
        <v>0.68</v>
      </c>
      <c r="AT1931" s="159" t="s">
        <v>172</v>
      </c>
      <c r="AU1931" s="159" t="s">
        <v>186</v>
      </c>
      <c r="AV1931" s="68" t="s">
        <v>141</v>
      </c>
      <c r="AW1931" s="435" t="s">
        <v>11416</v>
      </c>
      <c r="AX1931" s="68" t="s">
        <v>143</v>
      </c>
      <c r="AY1931" s="61" t="str">
        <f>IFERROR(__xludf.DUMMYFUNCTION("vlookup(BB1931,importrange(""https://docs.google.com/spreadsheets/d/1d2vevQ_7D_v35q4wCQ4RpQ_IPoTwEMB9Yp6ymwlPqew/edit?gid=984458430#gid=984458430"", ""'replication success'!A:K""), 11, FAlSE)"),"")</f>
        <v/>
      </c>
      <c r="AZ1931" s="61" t="str">
        <f>IFERROR(__xludf.DUMMYFUNCTION("vlookup(BB1931,importrange(""https://docs.google.com/spreadsheets/d/1d2vevQ_7D_v35q4wCQ4RpQ_IPoTwEMB9Yp6ymwlPqew/edit?gid=984458430#gid=984458430"", ""'replication success'!A:M""), 12, FAlSE)"),"")</f>
        <v/>
      </c>
      <c r="BA1931" s="61" t="str">
        <f>IFERROR(__xludf.DUMMYFUNCTION("vlookup(BB1931,importrange(""https://docs.google.com/spreadsheets/d/1d2vevQ_7D_v35q4wCQ4RpQ_IPoTwEMB9Yp6ymwlPqew/edit?gid=984458430#gid=984458430"", ""'replication success'!A:M""), 13, FAlSE)"),"abstract")</f>
        <v>abstract</v>
      </c>
      <c r="BB1931" s="61" t="str">
        <f>IFERROR(__xludf.DUMMYFUNCTION("REGEXREPLACE(G1931, ""_[a-z]{1,2}$"", """")"),"osc2015143")</f>
        <v>osc2015143</v>
      </c>
      <c r="BC1931" s="68"/>
      <c r="BD1931" s="62" t="s">
        <v>10729</v>
      </c>
    </row>
    <row r="1932">
      <c r="A1932" s="44">
        <v>1932.0</v>
      </c>
      <c r="B1932" s="129" t="s">
        <v>152</v>
      </c>
      <c r="C1932" s="62" t="s">
        <v>115</v>
      </c>
      <c r="D1932" s="62" t="s">
        <v>1270</v>
      </c>
      <c r="F1932" s="159" t="s">
        <v>11417</v>
      </c>
      <c r="G1932" s="159" t="s">
        <v>11418</v>
      </c>
      <c r="H1932" s="159" t="s">
        <v>11419</v>
      </c>
      <c r="I1932" s="862" t="s">
        <v>119</v>
      </c>
      <c r="J1932" s="540">
        <v>45763.0</v>
      </c>
      <c r="K1932" s="68"/>
      <c r="L1932" s="129" t="s">
        <v>11420</v>
      </c>
      <c r="M1932" s="1885" t="s">
        <v>11421</v>
      </c>
      <c r="N1932" s="159" t="s">
        <v>11422</v>
      </c>
      <c r="O1932" s="156">
        <v>1.0</v>
      </c>
      <c r="P1932" s="606" t="s">
        <v>11423</v>
      </c>
      <c r="Q1932" s="52" t="str">
        <f t="array" ref="Q1932"> if(iserror(MATCH(V1932, 'File Links'!C:C, 0)), "N/A", HYPERLINK(INDEX('File Links'!B:B, MATCH(P1932, 'File Links'!C:C, 0))))</f>
        <v>https://drive.google.com/file/d/1xSVM7VMKatYnl6XkKdkAikq6Hru3wdAI/view?usp=drivesdk</v>
      </c>
      <c r="R1932" s="159" t="s">
        <v>11424</v>
      </c>
      <c r="S1932" s="159" t="s">
        <v>10720</v>
      </c>
      <c r="T1932" s="129"/>
      <c r="U1932" s="336">
        <v>1.0</v>
      </c>
      <c r="V1932" s="159" t="s">
        <v>11253</v>
      </c>
      <c r="W1932" s="57" t="s">
        <v>164</v>
      </c>
      <c r="X1932" s="54" t="str">
        <f t="array" ref="X1932"> if(iserror(MATCH(V1932, 'File Links'!C:C, 0)), "N/A", HYPERLINK(INDEX('File Links'!B:B, MATCH(V1932, 'File Links'!C:C, 0))))</f>
        <v>https://drive.google.com/file/d/1UMAh9VGta6ExS2-Lb6GkDF4fmnI2EMeM/view?usp=drivesdk</v>
      </c>
      <c r="Z1932" s="159" t="s">
        <v>226</v>
      </c>
      <c r="AA1932" s="159" t="s">
        <v>11425</v>
      </c>
      <c r="AB1932" s="151" t="s">
        <v>11426</v>
      </c>
      <c r="AC1932" s="68" t="s">
        <v>11427</v>
      </c>
      <c r="AD1932" s="68" t="s">
        <v>11428</v>
      </c>
      <c r="AE1932" s="336">
        <v>4.0</v>
      </c>
      <c r="AF1932" s="156">
        <v>240.0</v>
      </c>
      <c r="AG1932" s="159" t="s">
        <v>11429</v>
      </c>
      <c r="AH1932" s="159" t="s">
        <v>134</v>
      </c>
      <c r="AI1932" s="159" t="s">
        <v>850</v>
      </c>
      <c r="AJ1932" s="1372">
        <v>0.001</v>
      </c>
      <c r="AK1932" s="1115" t="s">
        <v>172</v>
      </c>
      <c r="AL1932" s="159" t="s">
        <v>186</v>
      </c>
      <c r="AM1932" s="68" t="s">
        <v>137</v>
      </c>
      <c r="AN1932" s="68" t="s">
        <v>138</v>
      </c>
      <c r="AO1932" s="336">
        <v>120.0</v>
      </c>
      <c r="AP1932" s="161">
        <v>0.426</v>
      </c>
      <c r="AQ1932" s="159" t="s">
        <v>874</v>
      </c>
      <c r="AR1932" s="159" t="s">
        <v>140</v>
      </c>
      <c r="AS1932" s="1894">
        <v>0.001</v>
      </c>
      <c r="AT1932" s="159" t="s">
        <v>135</v>
      </c>
      <c r="AU1932" s="159" t="s">
        <v>186</v>
      </c>
      <c r="AV1932" s="68" t="s">
        <v>137</v>
      </c>
      <c r="AW1932" s="435" t="s">
        <v>11430</v>
      </c>
      <c r="AX1932" s="68" t="s">
        <v>143</v>
      </c>
      <c r="AY1932" s="61" t="str">
        <f>IFERROR(__xludf.DUMMYFUNCTION("vlookup(BB1932,importrange(""https://docs.google.com/spreadsheets/d/1d2vevQ_7D_v35q4wCQ4RpQ_IPoTwEMB9Yp6ymwlPqew/edit?gid=984458430#gid=984458430"", ""'replication success'!A:K""), 11, FAlSE)"),"")</f>
        <v/>
      </c>
      <c r="AZ1932" s="61" t="str">
        <f>IFERROR(__xludf.DUMMYFUNCTION("vlookup(BB1932,importrange(""https://docs.google.com/spreadsheets/d/1d2vevQ_7D_v35q4wCQ4RpQ_IPoTwEMB9Yp6ymwlPqew/edit?gid=984458430#gid=984458430"", ""'replication success'!A:M""), 12, FAlSE)"),"")</f>
        <v/>
      </c>
      <c r="BA1932" s="61" t="str">
        <f>IFERROR(__xludf.DUMMYFUNCTION("vlookup(BB1932,importrange(""https://docs.google.com/spreadsheets/d/1d2vevQ_7D_v35q4wCQ4RpQ_IPoTwEMB9Yp6ymwlPqew/edit?gid=984458430#gid=984458430"", ""'replication success'!A:M""), 13, FAlSE)"),"abstract")</f>
        <v>abstract</v>
      </c>
      <c r="BB1932" s="61" t="str">
        <f>IFERROR(__xludf.DUMMYFUNCTION("REGEXREPLACE(G1932, ""_[a-z]{1,2}$"", """")"),"osc2015145")</f>
        <v>osc2015145</v>
      </c>
      <c r="BC1932" s="68"/>
      <c r="BD1932" s="62" t="s">
        <v>10729</v>
      </c>
    </row>
    <row r="1933">
      <c r="A1933" s="44">
        <v>1933.0</v>
      </c>
      <c r="B1933" s="129" t="s">
        <v>114</v>
      </c>
      <c r="C1933" s="62" t="s">
        <v>115</v>
      </c>
      <c r="D1933" s="62" t="s">
        <v>153</v>
      </c>
      <c r="F1933" s="159" t="s">
        <v>11417</v>
      </c>
      <c r="G1933" s="159" t="s">
        <v>11418</v>
      </c>
      <c r="H1933" s="159" t="s">
        <v>153</v>
      </c>
      <c r="I1933" s="862" t="s">
        <v>119</v>
      </c>
      <c r="J1933" s="540">
        <v>45763.0</v>
      </c>
      <c r="K1933" s="159" t="s">
        <v>11431</v>
      </c>
      <c r="L1933" s="68"/>
      <c r="M1933" s="1885" t="s">
        <v>11421</v>
      </c>
      <c r="N1933" s="159" t="s">
        <v>11422</v>
      </c>
      <c r="O1933" s="156">
        <v>1.0</v>
      </c>
      <c r="P1933" s="606" t="s">
        <v>11423</v>
      </c>
      <c r="Q1933" s="52" t="str">
        <f t="array" ref="Q1933"> if(iserror(MATCH(V1933, 'File Links'!C:C, 0)), "N/A", HYPERLINK(INDEX('File Links'!B:B, MATCH(P1933, 'File Links'!C:C, 0))))</f>
        <v>https://drive.google.com/file/d/1xSVM7VMKatYnl6XkKdkAikq6Hru3wdAI/view?usp=drivesdk</v>
      </c>
      <c r="R1933" s="159" t="s">
        <v>11424</v>
      </c>
      <c r="S1933" s="159" t="s">
        <v>10720</v>
      </c>
      <c r="T1933" s="129"/>
      <c r="U1933" s="336">
        <v>1.0</v>
      </c>
      <c r="V1933" s="159" t="s">
        <v>11253</v>
      </c>
      <c r="W1933" s="62" t="s">
        <v>3804</v>
      </c>
      <c r="X1933" s="54" t="str">
        <f t="array" ref="X1933"> if(iserror(MATCH(V1933, 'File Links'!C:C, 0)), "N/A", HYPERLINK(INDEX('File Links'!B:B, MATCH(V1933, 'File Links'!C:C, 0))))</f>
        <v>https://drive.google.com/file/d/1UMAh9VGta6ExS2-Lb6GkDF4fmnI2EMeM/view?usp=drivesdk</v>
      </c>
      <c r="Z1933" s="159" t="s">
        <v>226</v>
      </c>
      <c r="AA1933" s="159" t="s">
        <v>11432</v>
      </c>
      <c r="AB1933" s="159" t="s">
        <v>11433</v>
      </c>
      <c r="AC1933" s="159" t="s">
        <v>11434</v>
      </c>
      <c r="AD1933" s="159" t="s">
        <v>11435</v>
      </c>
      <c r="AE1933" s="156">
        <v>4.0</v>
      </c>
      <c r="AF1933" s="156">
        <v>240.0</v>
      </c>
      <c r="AG1933" s="159" t="s">
        <v>11429</v>
      </c>
      <c r="AH1933" s="159" t="s">
        <v>134</v>
      </c>
      <c r="AI1933" s="159" t="s">
        <v>850</v>
      </c>
      <c r="AJ1933" s="501">
        <v>0.001</v>
      </c>
      <c r="AK1933" s="159" t="s">
        <v>172</v>
      </c>
      <c r="AL1933" s="1060" t="s">
        <v>136</v>
      </c>
      <c r="AM1933" s="68" t="s">
        <v>137</v>
      </c>
      <c r="AN1933" s="1300" t="s">
        <v>138</v>
      </c>
      <c r="AO1933" s="156">
        <v>120.0</v>
      </c>
      <c r="AP1933" s="161">
        <v>0.426</v>
      </c>
      <c r="AQ1933" s="1060" t="s">
        <v>139</v>
      </c>
      <c r="AR1933" s="159" t="s">
        <v>132</v>
      </c>
      <c r="AS1933" s="1894">
        <v>0.001</v>
      </c>
      <c r="AT1933" s="1060" t="s">
        <v>172</v>
      </c>
      <c r="AU1933" s="1060" t="s">
        <v>136</v>
      </c>
      <c r="AV1933" s="68" t="s">
        <v>137</v>
      </c>
      <c r="AW1933" s="435" t="s">
        <v>11436</v>
      </c>
      <c r="AX1933" s="68" t="s">
        <v>151</v>
      </c>
      <c r="AY1933" s="61" t="str">
        <f>IFERROR(__xludf.DUMMYFUNCTION("vlookup(BB1933,importrange(""https://docs.google.com/spreadsheets/d/1d2vevQ_7D_v35q4wCQ4RpQ_IPoTwEMB9Yp6ymwlPqew/edit?gid=984458430#gid=984458430"", ""'replication success'!A:K""), 11, FAlSE)"),"")</f>
        <v/>
      </c>
      <c r="AZ1933" s="61" t="str">
        <f>IFERROR(__xludf.DUMMYFUNCTION("vlookup(BB1933,importrange(""https://docs.google.com/spreadsheets/d/1d2vevQ_7D_v35q4wCQ4RpQ_IPoTwEMB9Yp6ymwlPqew/edit?gid=984458430#gid=984458430"", ""'replication success'!A:M""), 12, FAlSE)"),"")</f>
        <v/>
      </c>
      <c r="BA1933" s="61" t="str">
        <f>IFERROR(__xludf.DUMMYFUNCTION("vlookup(BB1933,importrange(""https://docs.google.com/spreadsheets/d/1d2vevQ_7D_v35q4wCQ4RpQ_IPoTwEMB9Yp6ymwlPqew/edit?gid=984458430#gid=984458430"", ""'replication success'!A:M""), 13, FAlSE)"),"abstract")</f>
        <v>abstract</v>
      </c>
      <c r="BB1933" s="61" t="str">
        <f>IFERROR(__xludf.DUMMYFUNCTION("REGEXREPLACE(G1933, ""_[a-z]{1,2}$"", """")"),"osc2015145")</f>
        <v>osc2015145</v>
      </c>
      <c r="BC1933" s="68"/>
      <c r="BD1933" s="62" t="s">
        <v>10729</v>
      </c>
    </row>
    <row r="1934">
      <c r="A1934" s="44">
        <v>1934.0</v>
      </c>
      <c r="B1934" s="129" t="s">
        <v>152</v>
      </c>
      <c r="C1934" s="62" t="s">
        <v>115</v>
      </c>
      <c r="D1934" s="62" t="s">
        <v>1270</v>
      </c>
      <c r="F1934" s="159" t="s">
        <v>11437</v>
      </c>
      <c r="G1934" s="159" t="s">
        <v>11438</v>
      </c>
      <c r="H1934" s="159" t="s">
        <v>11439</v>
      </c>
      <c r="I1934" s="862" t="s">
        <v>119</v>
      </c>
      <c r="J1934" s="540">
        <v>45763.0</v>
      </c>
      <c r="K1934" s="68"/>
      <c r="L1934" s="151" t="s">
        <v>11440</v>
      </c>
      <c r="M1934" s="1885" t="s">
        <v>11441</v>
      </c>
      <c r="N1934" s="159" t="s">
        <v>11442</v>
      </c>
      <c r="O1934" s="336">
        <v>2.0</v>
      </c>
      <c r="P1934" s="606" t="s">
        <v>11443</v>
      </c>
      <c r="Q1934" s="52" t="str">
        <f t="array" ref="Q1934"> if(iserror(MATCH(V1934, 'File Links'!C:C, 0)), "N/A", HYPERLINK(INDEX('File Links'!B:B, MATCH(P1934, 'File Links'!C:C, 0))))</f>
        <v>https://drive.google.com/file/d/1uCFFMA_-qokNXypcjNJCz-kIkPjXgKuT/view?usp=drivesdk</v>
      </c>
      <c r="R1934" s="159" t="s">
        <v>11444</v>
      </c>
      <c r="S1934" s="159" t="s">
        <v>10720</v>
      </c>
      <c r="T1934" s="129"/>
      <c r="U1934" s="336">
        <v>1.0</v>
      </c>
      <c r="V1934" s="159" t="s">
        <v>11253</v>
      </c>
      <c r="W1934" s="57" t="s">
        <v>164</v>
      </c>
      <c r="X1934" s="54" t="str">
        <f t="array" ref="X1934"> if(iserror(MATCH(V1934, 'File Links'!C:C, 0)), "N/A", HYPERLINK(INDEX('File Links'!B:B, MATCH(V1934, 'File Links'!C:C, 0))))</f>
        <v>https://drive.google.com/file/d/1UMAh9VGta6ExS2-Lb6GkDF4fmnI2EMeM/view?usp=drivesdk</v>
      </c>
      <c r="Z1934" s="159" t="s">
        <v>148</v>
      </c>
      <c r="AA1934" s="159" t="s">
        <v>11445</v>
      </c>
      <c r="AB1934" s="151" t="s">
        <v>11446</v>
      </c>
      <c r="AC1934" s="159" t="s">
        <v>11447</v>
      </c>
      <c r="AD1934" s="68" t="s">
        <v>11448</v>
      </c>
      <c r="AE1934" s="336">
        <v>4.0</v>
      </c>
      <c r="AF1934" s="156">
        <v>15.0</v>
      </c>
      <c r="AG1934" s="161">
        <v>1.71</v>
      </c>
      <c r="AH1934" s="159" t="s">
        <v>173</v>
      </c>
      <c r="AI1934" s="159" t="s">
        <v>850</v>
      </c>
      <c r="AJ1934" s="501">
        <v>0.007</v>
      </c>
      <c r="AK1934" s="159" t="s">
        <v>135</v>
      </c>
      <c r="AL1934" s="159" t="s">
        <v>186</v>
      </c>
      <c r="AM1934" s="68" t="s">
        <v>141</v>
      </c>
      <c r="AN1934" s="159" t="s">
        <v>138</v>
      </c>
      <c r="AO1934" s="156">
        <v>12.0</v>
      </c>
      <c r="AP1934" s="151">
        <v>0.548</v>
      </c>
      <c r="AQ1934" s="159" t="s">
        <v>11006</v>
      </c>
      <c r="AR1934" s="159" t="s">
        <v>850</v>
      </c>
      <c r="AS1934" s="161">
        <v>0.09</v>
      </c>
      <c r="AT1934" s="159" t="s">
        <v>172</v>
      </c>
      <c r="AU1934" s="159" t="s">
        <v>136</v>
      </c>
      <c r="AV1934" s="1300" t="s">
        <v>137</v>
      </c>
      <c r="AW1934" s="435" t="s">
        <v>11449</v>
      </c>
      <c r="AX1934" s="68" t="s">
        <v>143</v>
      </c>
      <c r="AY1934" s="61" t="str">
        <f>IFERROR(__xludf.DUMMYFUNCTION("vlookup(BB1934,importrange(""https://docs.google.com/spreadsheets/d/1d2vevQ_7D_v35q4wCQ4RpQ_IPoTwEMB9Yp6ymwlPqew/edit?gid=984458430#gid=984458430"", ""'replication success'!A:K""), 11, FAlSE)"),"")</f>
        <v/>
      </c>
      <c r="AZ1934" s="61" t="str">
        <f>IFERROR(__xludf.DUMMYFUNCTION("vlookup(BB1934,importrange(""https://docs.google.com/spreadsheets/d/1d2vevQ_7D_v35q4wCQ4RpQ_IPoTwEMB9Yp6ymwlPqew/edit?gid=984458430#gid=984458430"", ""'replication success'!A:M""), 12, FAlSE)"),"")</f>
        <v/>
      </c>
      <c r="BA1934" s="61" t="str">
        <f>IFERROR(__xludf.DUMMYFUNCTION("vlookup(BB1934,importrange(""https://docs.google.com/spreadsheets/d/1d2vevQ_7D_v35q4wCQ4RpQ_IPoTwEMB9Yp6ymwlPqew/edit?gid=984458430#gid=984458430"", ""'replication success'!A:M""), 13, FAlSE)"),"abstract")</f>
        <v>abstract</v>
      </c>
      <c r="BB1934" s="61" t="str">
        <f>IFERROR(__xludf.DUMMYFUNCTION("REGEXREPLACE(G1934, ""_[a-z]{1,2}$"", """")"),"osc2015146")</f>
        <v>osc2015146</v>
      </c>
      <c r="BC1934" s="68"/>
      <c r="BD1934" s="62" t="s">
        <v>10729</v>
      </c>
    </row>
    <row r="1935">
      <c r="A1935" s="44">
        <v>1935.0</v>
      </c>
      <c r="B1935" s="129" t="s">
        <v>114</v>
      </c>
      <c r="C1935" s="62" t="s">
        <v>115</v>
      </c>
      <c r="D1935" s="62" t="s">
        <v>153</v>
      </c>
      <c r="F1935" s="159" t="s">
        <v>11437</v>
      </c>
      <c r="G1935" s="159" t="s">
        <v>11438</v>
      </c>
      <c r="H1935" s="159" t="s">
        <v>153</v>
      </c>
      <c r="I1935" s="862" t="s">
        <v>119</v>
      </c>
      <c r="J1935" s="540">
        <v>45763.0</v>
      </c>
      <c r="K1935" s="68"/>
      <c r="L1935" s="68"/>
      <c r="M1935" s="1885" t="s">
        <v>11441</v>
      </c>
      <c r="N1935" s="159" t="s">
        <v>11442</v>
      </c>
      <c r="O1935" s="156">
        <v>2.0</v>
      </c>
      <c r="P1935" s="606" t="s">
        <v>11443</v>
      </c>
      <c r="Q1935" s="52" t="str">
        <f t="array" ref="Q1935"> if(iserror(MATCH(V1935, 'File Links'!C:C, 0)), "N/A", HYPERLINK(INDEX('File Links'!B:B, MATCH(P1935, 'File Links'!C:C, 0))))</f>
        <v>https://drive.google.com/file/d/1uCFFMA_-qokNXypcjNJCz-kIkPjXgKuT/view?usp=drivesdk</v>
      </c>
      <c r="R1935" s="159" t="s">
        <v>11444</v>
      </c>
      <c r="S1935" s="159" t="s">
        <v>10720</v>
      </c>
      <c r="T1935" s="129"/>
      <c r="U1935" s="336">
        <v>1.0</v>
      </c>
      <c r="V1935" s="159" t="s">
        <v>11253</v>
      </c>
      <c r="W1935" s="62" t="s">
        <v>11262</v>
      </c>
      <c r="X1935" s="54" t="str">
        <f t="array" ref="X1935"> if(iserror(MATCH(V1935, 'File Links'!C:C, 0)), "N/A", HYPERLINK(INDEX('File Links'!B:B, MATCH(V1935, 'File Links'!C:C, 0))))</f>
        <v>https://drive.google.com/file/d/1UMAh9VGta6ExS2-Lb6GkDF4fmnI2EMeM/view?usp=drivesdk</v>
      </c>
      <c r="Z1935" s="159" t="s">
        <v>148</v>
      </c>
      <c r="AA1935" s="159" t="s">
        <v>11450</v>
      </c>
      <c r="AB1935" s="159" t="s">
        <v>11451</v>
      </c>
      <c r="AC1935" s="159" t="s">
        <v>11452</v>
      </c>
      <c r="AD1935" s="159" t="s">
        <v>11453</v>
      </c>
      <c r="AE1935" s="156">
        <v>4.0</v>
      </c>
      <c r="AF1935" s="156">
        <v>15.0</v>
      </c>
      <c r="AG1935" s="161">
        <v>1.71</v>
      </c>
      <c r="AH1935" s="159" t="s">
        <v>173</v>
      </c>
      <c r="AI1935" s="159" t="s">
        <v>850</v>
      </c>
      <c r="AJ1935" s="501">
        <v>0.007</v>
      </c>
      <c r="AK1935" s="159" t="s">
        <v>135</v>
      </c>
      <c r="AL1935" s="159" t="s">
        <v>136</v>
      </c>
      <c r="AM1935" s="1392" t="s">
        <v>137</v>
      </c>
      <c r="AN1935" s="1115" t="s">
        <v>138</v>
      </c>
      <c r="AO1935" s="156">
        <v>12.0</v>
      </c>
      <c r="AP1935" s="161">
        <v>0.54</v>
      </c>
      <c r="AQ1935" s="159" t="s">
        <v>11006</v>
      </c>
      <c r="AR1935" s="159" t="s">
        <v>850</v>
      </c>
      <c r="AS1935" s="161">
        <v>0.09</v>
      </c>
      <c r="AT1935" s="159" t="s">
        <v>172</v>
      </c>
      <c r="AU1935" s="159" t="s">
        <v>136</v>
      </c>
      <c r="AV1935" s="68" t="s">
        <v>137</v>
      </c>
      <c r="AW1935" s="435" t="s">
        <v>11454</v>
      </c>
      <c r="AX1935" s="68" t="s">
        <v>143</v>
      </c>
      <c r="AY1935" s="61" t="str">
        <f>IFERROR(__xludf.DUMMYFUNCTION("vlookup(BB1935,importrange(""https://docs.google.com/spreadsheets/d/1d2vevQ_7D_v35q4wCQ4RpQ_IPoTwEMB9Yp6ymwlPqew/edit?gid=984458430#gid=984458430"", ""'replication success'!A:K""), 11, FAlSE)"),"")</f>
        <v/>
      </c>
      <c r="AZ1935" s="61" t="str">
        <f>IFERROR(__xludf.DUMMYFUNCTION("vlookup(BB1935,importrange(""https://docs.google.com/spreadsheets/d/1d2vevQ_7D_v35q4wCQ4RpQ_IPoTwEMB9Yp6ymwlPqew/edit?gid=984458430#gid=984458430"", ""'replication success'!A:M""), 12, FAlSE)"),"")</f>
        <v/>
      </c>
      <c r="BA1935" s="61" t="str">
        <f>IFERROR(__xludf.DUMMYFUNCTION("vlookup(BB1935,importrange(""https://docs.google.com/spreadsheets/d/1d2vevQ_7D_v35q4wCQ4RpQ_IPoTwEMB9Yp6ymwlPqew/edit?gid=984458430#gid=984458430"", ""'replication success'!A:M""), 13, FAlSE)"),"abstract")</f>
        <v>abstract</v>
      </c>
      <c r="BB1935" s="61" t="str">
        <f>IFERROR(__xludf.DUMMYFUNCTION("REGEXREPLACE(G1935, ""_[a-z]{1,2}$"", """")"),"osc2015146")</f>
        <v>osc2015146</v>
      </c>
      <c r="BC1935" s="68"/>
      <c r="BD1935" s="62" t="s">
        <v>10729</v>
      </c>
    </row>
    <row r="1936">
      <c r="A1936" s="44">
        <v>1936.0</v>
      </c>
      <c r="B1936" s="129" t="s">
        <v>152</v>
      </c>
      <c r="C1936" s="62" t="s">
        <v>115</v>
      </c>
      <c r="D1936" s="62" t="s">
        <v>1270</v>
      </c>
      <c r="F1936" s="606" t="s">
        <v>11455</v>
      </c>
      <c r="G1936" s="606" t="s">
        <v>11456</v>
      </c>
      <c r="H1936" s="606" t="s">
        <v>11457</v>
      </c>
      <c r="I1936" s="1895" t="s">
        <v>119</v>
      </c>
      <c r="J1936" s="1896">
        <v>45763.0</v>
      </c>
      <c r="K1936" s="527"/>
      <c r="L1936" s="548" t="s">
        <v>11458</v>
      </c>
      <c r="M1936" s="1897" t="s">
        <v>11459</v>
      </c>
      <c r="N1936" s="606" t="s">
        <v>11460</v>
      </c>
      <c r="O1936" s="1898">
        <v>2.0</v>
      </c>
      <c r="P1936" s="606" t="s">
        <v>11461</v>
      </c>
      <c r="Q1936" s="52" t="str">
        <f t="array" ref="Q1936"> if(iserror(MATCH(V1936, 'File Links'!C:C, 0)), "N/A", HYPERLINK(INDEX('File Links'!B:B, MATCH(P1936, 'File Links'!C:C, 0))))</f>
        <v>https://drive.google.com/file/d/1lRP53zTo3VPT-PsO3ntfyg-tGbdQtIIK/view?usp=drivesdk</v>
      </c>
      <c r="R1936" s="606" t="s">
        <v>11462</v>
      </c>
      <c r="S1936" s="159" t="s">
        <v>10720</v>
      </c>
      <c r="T1936" s="129"/>
      <c r="U1936" s="1899">
        <v>1.0</v>
      </c>
      <c r="V1936" s="159" t="s">
        <v>11253</v>
      </c>
      <c r="W1936" s="1900" t="s">
        <v>164</v>
      </c>
      <c r="X1936" s="54" t="str">
        <f t="array" ref="X1936"> if(iserror(MATCH(V1936, 'File Links'!C:C, 0)), "N/A", HYPERLINK(INDEX('File Links'!B:B, MATCH(V1936, 'File Links'!C:C, 0))))</f>
        <v>https://drive.google.com/file/d/1UMAh9VGta6ExS2-Lb6GkDF4fmnI2EMeM/view?usp=drivesdk</v>
      </c>
      <c r="Y1936" s="550"/>
      <c r="Z1936" s="606" t="s">
        <v>226</v>
      </c>
      <c r="AA1936" s="1901" t="s">
        <v>11463</v>
      </c>
      <c r="AB1936" s="606" t="s">
        <v>11464</v>
      </c>
      <c r="AC1936" s="606" t="s">
        <v>11465</v>
      </c>
      <c r="AD1936" s="527" t="s">
        <v>11466</v>
      </c>
      <c r="AE1936" s="1899">
        <v>4.0</v>
      </c>
      <c r="AF1936" s="1898">
        <v>208.0</v>
      </c>
      <c r="AG1936" s="1898" t="s">
        <v>11467</v>
      </c>
      <c r="AH1936" s="606" t="s">
        <v>134</v>
      </c>
      <c r="AI1936" s="606" t="s">
        <v>850</v>
      </c>
      <c r="AJ1936" s="1902">
        <v>0.008</v>
      </c>
      <c r="AK1936" s="606" t="s">
        <v>172</v>
      </c>
      <c r="AL1936" s="606" t="s">
        <v>136</v>
      </c>
      <c r="AM1936" s="527" t="s">
        <v>141</v>
      </c>
      <c r="AN1936" s="68" t="s">
        <v>138</v>
      </c>
      <c r="AO1936" s="1899">
        <v>263.0</v>
      </c>
      <c r="AP1936" s="552">
        <v>0.001</v>
      </c>
      <c r="AQ1936" s="606" t="s">
        <v>874</v>
      </c>
      <c r="AR1936" s="606" t="s">
        <v>132</v>
      </c>
      <c r="AS1936" s="552">
        <v>0.628</v>
      </c>
      <c r="AT1936" s="606" t="s">
        <v>172</v>
      </c>
      <c r="AU1936" s="606" t="s">
        <v>186</v>
      </c>
      <c r="AV1936" s="527" t="s">
        <v>141</v>
      </c>
      <c r="AW1936" s="1903" t="s">
        <v>11468</v>
      </c>
      <c r="AX1936" s="527" t="s">
        <v>151</v>
      </c>
      <c r="AY1936" s="61" t="str">
        <f>IFERROR(__xludf.DUMMYFUNCTION("vlookup(BB1936,importrange(""https://docs.google.com/spreadsheets/d/1d2vevQ_7D_v35q4wCQ4RpQ_IPoTwEMB9Yp6ymwlPqew/edit?gid=984458430#gid=984458430"", ""'replication success'!A:K""), 11, FAlSE)"),"")</f>
        <v/>
      </c>
      <c r="AZ1936" s="61" t="str">
        <f>IFERROR(__xludf.DUMMYFUNCTION("vlookup(BB1936,importrange(""https://docs.google.com/spreadsheets/d/1d2vevQ_7D_v35q4wCQ4RpQ_IPoTwEMB9Yp6ymwlPqew/edit?gid=984458430#gid=984458430"", ""'replication success'!A:M""), 12, FAlSE)"),"")</f>
        <v/>
      </c>
      <c r="BA1936" s="61" t="str">
        <f>IFERROR(__xludf.DUMMYFUNCTION("vlookup(BB1936,importrange(""https://docs.google.com/spreadsheets/d/1d2vevQ_7D_v35q4wCQ4RpQ_IPoTwEMB9Yp6ymwlPqew/edit?gid=984458430#gid=984458430"", ""'replication success'!A:M""), 13, FAlSE)"),"abstract")</f>
        <v>abstract</v>
      </c>
      <c r="BB1936" s="61" t="str">
        <f>IFERROR(__xludf.DUMMYFUNCTION("REGEXREPLACE(G1936, ""_[a-z]{1,2}$"", """")"),"osc2015148")</f>
        <v>osc2015148</v>
      </c>
      <c r="BC1936" s="68"/>
      <c r="BD1936" s="62" t="s">
        <v>10729</v>
      </c>
    </row>
    <row r="1937">
      <c r="A1937" s="44">
        <v>1937.0</v>
      </c>
      <c r="B1937" s="129" t="s">
        <v>114</v>
      </c>
      <c r="C1937" s="62" t="s">
        <v>115</v>
      </c>
      <c r="D1937" s="62" t="s">
        <v>153</v>
      </c>
      <c r="F1937" s="606" t="s">
        <v>11455</v>
      </c>
      <c r="G1937" s="606" t="s">
        <v>11456</v>
      </c>
      <c r="H1937" s="606" t="s">
        <v>153</v>
      </c>
      <c r="I1937" s="1895" t="s">
        <v>119</v>
      </c>
      <c r="J1937" s="1896">
        <v>45763.0</v>
      </c>
      <c r="K1937" s="606" t="s">
        <v>11469</v>
      </c>
      <c r="L1937" s="527"/>
      <c r="M1937" s="1897" t="s">
        <v>11459</v>
      </c>
      <c r="N1937" s="606" t="s">
        <v>11460</v>
      </c>
      <c r="O1937" s="1898">
        <v>2.0</v>
      </c>
      <c r="P1937" s="606" t="s">
        <v>11461</v>
      </c>
      <c r="Q1937" s="52" t="str">
        <f t="array" ref="Q1937"> if(iserror(MATCH(V1937, 'File Links'!C:C, 0)), "N/A", HYPERLINK(INDEX('File Links'!B:B, MATCH(P1937, 'File Links'!C:C, 0))))</f>
        <v>https://drive.google.com/file/d/1lRP53zTo3VPT-PsO3ntfyg-tGbdQtIIK/view?usp=drivesdk</v>
      </c>
      <c r="R1937" s="606" t="s">
        <v>11462</v>
      </c>
      <c r="S1937" s="159" t="s">
        <v>10720</v>
      </c>
      <c r="T1937" s="129"/>
      <c r="U1937" s="1899">
        <v>1.0</v>
      </c>
      <c r="V1937" s="159" t="s">
        <v>11253</v>
      </c>
      <c r="W1937" s="1900" t="s">
        <v>164</v>
      </c>
      <c r="X1937" s="54" t="str">
        <f t="array" ref="X1937"> if(iserror(MATCH(V1937, 'File Links'!C:C, 0)), "N/A", HYPERLINK(INDEX('File Links'!B:B, MATCH(V1937, 'File Links'!C:C, 0))))</f>
        <v>https://drive.google.com/file/d/1UMAh9VGta6ExS2-Lb6GkDF4fmnI2EMeM/view?usp=drivesdk</v>
      </c>
      <c r="Y1937" s="550"/>
      <c r="Z1937" s="606" t="s">
        <v>226</v>
      </c>
      <c r="AA1937" s="606" t="s">
        <v>11463</v>
      </c>
      <c r="AB1937" s="1904" t="s">
        <v>11470</v>
      </c>
      <c r="AC1937" s="1905"/>
      <c r="AD1937" s="606" t="s">
        <v>11471</v>
      </c>
      <c r="AE1937" s="1898">
        <v>4.0</v>
      </c>
      <c r="AF1937" s="1898">
        <v>208.0</v>
      </c>
      <c r="AG1937" s="606" t="s">
        <v>11472</v>
      </c>
      <c r="AH1937" s="606" t="s">
        <v>134</v>
      </c>
      <c r="AI1937" s="606" t="s">
        <v>850</v>
      </c>
      <c r="AJ1937" s="1902">
        <v>0.008</v>
      </c>
      <c r="AK1937" s="606" t="s">
        <v>172</v>
      </c>
      <c r="AL1937" s="606" t="s">
        <v>186</v>
      </c>
      <c r="AM1937" s="527" t="s">
        <v>141</v>
      </c>
      <c r="AN1937" s="1300" t="s">
        <v>138</v>
      </c>
      <c r="AO1937" s="1898">
        <v>263.0</v>
      </c>
      <c r="AP1937" s="552">
        <v>0.001</v>
      </c>
      <c r="AQ1937" s="606" t="s">
        <v>139</v>
      </c>
      <c r="AR1937" s="606" t="s">
        <v>132</v>
      </c>
      <c r="AS1937" s="552">
        <v>0.628</v>
      </c>
      <c r="AT1937" s="606" t="s">
        <v>172</v>
      </c>
      <c r="AU1937" s="606" t="s">
        <v>186</v>
      </c>
      <c r="AV1937" s="527" t="s">
        <v>141</v>
      </c>
      <c r="AW1937" s="1903" t="s">
        <v>11473</v>
      </c>
      <c r="AX1937" s="527" t="s">
        <v>151</v>
      </c>
      <c r="AY1937" s="61" t="str">
        <f>IFERROR(__xludf.DUMMYFUNCTION("vlookup(BB1937,importrange(""https://docs.google.com/spreadsheets/d/1d2vevQ_7D_v35q4wCQ4RpQ_IPoTwEMB9Yp6ymwlPqew/edit?gid=984458430#gid=984458430"", ""'replication success'!A:K""), 11, FAlSE)"),"")</f>
        <v/>
      </c>
      <c r="AZ1937" s="61" t="str">
        <f>IFERROR(__xludf.DUMMYFUNCTION("vlookup(BB1937,importrange(""https://docs.google.com/spreadsheets/d/1d2vevQ_7D_v35q4wCQ4RpQ_IPoTwEMB9Yp6ymwlPqew/edit?gid=984458430#gid=984458430"", ""'replication success'!A:M""), 12, FAlSE)"),"")</f>
        <v/>
      </c>
      <c r="BA1937" s="61" t="str">
        <f>IFERROR(__xludf.DUMMYFUNCTION("vlookup(BB1937,importrange(""https://docs.google.com/spreadsheets/d/1d2vevQ_7D_v35q4wCQ4RpQ_IPoTwEMB9Yp6ymwlPqew/edit?gid=984458430#gid=984458430"", ""'replication success'!A:M""), 13, FAlSE)"),"abstract")</f>
        <v>abstract</v>
      </c>
      <c r="BB1937" s="61" t="str">
        <f>IFERROR(__xludf.DUMMYFUNCTION("REGEXREPLACE(G1937, ""_[a-z]{1,2}$"", """")"),"osc2015148")</f>
        <v>osc2015148</v>
      </c>
      <c r="BC1937" s="68"/>
      <c r="BD1937" s="62" t="s">
        <v>10729</v>
      </c>
    </row>
    <row r="1938">
      <c r="A1938" s="44">
        <v>1938.0</v>
      </c>
      <c r="B1938" s="129" t="s">
        <v>152</v>
      </c>
      <c r="C1938" s="62" t="s">
        <v>115</v>
      </c>
      <c r="D1938" s="62" t="s">
        <v>1270</v>
      </c>
      <c r="F1938" s="606" t="s">
        <v>11474</v>
      </c>
      <c r="G1938" s="606" t="s">
        <v>11475</v>
      </c>
      <c r="H1938" s="606" t="s">
        <v>11476</v>
      </c>
      <c r="I1938" s="1895" t="s">
        <v>119</v>
      </c>
      <c r="J1938" s="1896">
        <v>45763.0</v>
      </c>
      <c r="K1938" s="527"/>
      <c r="L1938" s="548" t="s">
        <v>11477</v>
      </c>
      <c r="M1938" s="1897" t="s">
        <v>11478</v>
      </c>
      <c r="N1938" s="606" t="s">
        <v>11479</v>
      </c>
      <c r="O1938" s="1899">
        <v>2.0</v>
      </c>
      <c r="P1938" s="606" t="s">
        <v>11480</v>
      </c>
      <c r="Q1938" s="52" t="str">
        <f t="array" ref="Q1938"> if(iserror(MATCH(V1938, 'File Links'!C:C, 0)), "N/A", HYPERLINK(INDEX('File Links'!B:B, MATCH(P1938, 'File Links'!C:C, 0))))</f>
        <v>https://drive.google.com/file/d/19iYi-koeR6fi39K_iI9D0SdOP6whI2f7/view?usp=drivesdk</v>
      </c>
      <c r="R1938" s="606" t="s">
        <v>11481</v>
      </c>
      <c r="S1938" s="159" t="s">
        <v>10720</v>
      </c>
      <c r="T1938" s="129"/>
      <c r="U1938" s="1899">
        <v>1.0</v>
      </c>
      <c r="V1938" s="159" t="s">
        <v>11253</v>
      </c>
      <c r="W1938" s="1900" t="s">
        <v>164</v>
      </c>
      <c r="X1938" s="54" t="str">
        <f t="array" ref="X1938"> if(iserror(MATCH(V1938, 'File Links'!C:C, 0)), "N/A", HYPERLINK(INDEX('File Links'!B:B, MATCH(V1938, 'File Links'!C:C, 0))))</f>
        <v>https://drive.google.com/file/d/1UMAh9VGta6ExS2-Lb6GkDF4fmnI2EMeM/view?usp=drivesdk</v>
      </c>
      <c r="Y1938" s="550"/>
      <c r="Z1938" s="606" t="s">
        <v>148</v>
      </c>
      <c r="AA1938" s="606" t="s">
        <v>11482</v>
      </c>
      <c r="AB1938" s="527" t="s">
        <v>11483</v>
      </c>
      <c r="AC1938" s="527" t="s">
        <v>11484</v>
      </c>
      <c r="AD1938" s="527" t="s">
        <v>11485</v>
      </c>
      <c r="AE1938" s="1899">
        <v>8.0</v>
      </c>
      <c r="AF1938" s="1899">
        <v>95.0</v>
      </c>
      <c r="AG1938" s="552">
        <v>0.038</v>
      </c>
      <c r="AH1938" s="606" t="s">
        <v>874</v>
      </c>
      <c r="AI1938" s="527" t="s">
        <v>613</v>
      </c>
      <c r="AJ1938" s="1902">
        <v>0.028</v>
      </c>
      <c r="AK1938" s="606" t="s">
        <v>172</v>
      </c>
      <c r="AL1938" s="606" t="s">
        <v>218</v>
      </c>
      <c r="AM1938" s="527" t="s">
        <v>137</v>
      </c>
      <c r="AN1938" s="68" t="s">
        <v>138</v>
      </c>
      <c r="AO1938" s="1899">
        <v>242.0</v>
      </c>
      <c r="AP1938" s="552">
        <v>0.255</v>
      </c>
      <c r="AQ1938" s="606" t="s">
        <v>173</v>
      </c>
      <c r="AR1938" s="527" t="s">
        <v>140</v>
      </c>
      <c r="AS1938" s="1906">
        <v>0.001</v>
      </c>
      <c r="AT1938" s="1901" t="s">
        <v>135</v>
      </c>
      <c r="AU1938" s="606" t="s">
        <v>186</v>
      </c>
      <c r="AV1938" s="527" t="s">
        <v>137</v>
      </c>
      <c r="AW1938" s="1903" t="s">
        <v>11486</v>
      </c>
      <c r="AX1938" s="527" t="s">
        <v>143</v>
      </c>
      <c r="AY1938" s="61" t="str">
        <f>IFERROR(__xludf.DUMMYFUNCTION("vlookup(BB1938,importrange(""https://docs.google.com/spreadsheets/d/1d2vevQ_7D_v35q4wCQ4RpQ_IPoTwEMB9Yp6ymwlPqew/edit?gid=984458430#gid=984458430"", ""'replication success'!A:K""), 11, FAlSE)"),"")</f>
        <v/>
      </c>
      <c r="AZ1938" s="61" t="str">
        <f>IFERROR(__xludf.DUMMYFUNCTION("vlookup(BB1938,importrange(""https://docs.google.com/spreadsheets/d/1d2vevQ_7D_v35q4wCQ4RpQ_IPoTwEMB9Yp6ymwlPqew/edit?gid=984458430#gid=984458430"", ""'replication success'!A:M""), 12, FAlSE)"),"")</f>
        <v/>
      </c>
      <c r="BA1938" s="61" t="str">
        <f>IFERROR(__xludf.DUMMYFUNCTION("vlookup(BB1938,importrange(""https://docs.google.com/spreadsheets/d/1d2vevQ_7D_v35q4wCQ4RpQ_IPoTwEMB9Yp6ymwlPqew/edit?gid=984458430#gid=984458430"", ""'replication success'!A:M""), 13, FAlSE)"),"abstract")</f>
        <v>abstract</v>
      </c>
      <c r="BB1938" s="61" t="str">
        <f>IFERROR(__xludf.DUMMYFUNCTION("REGEXREPLACE(G1938, ""_[a-z]{1,2}$"", """")"),"osc201515")</f>
        <v>osc201515</v>
      </c>
      <c r="BC1938" s="68"/>
      <c r="BD1938" s="62" t="s">
        <v>10729</v>
      </c>
    </row>
    <row r="1939">
      <c r="A1939" s="44">
        <v>1939.0</v>
      </c>
      <c r="B1939" s="129" t="s">
        <v>114</v>
      </c>
      <c r="C1939" s="62" t="s">
        <v>115</v>
      </c>
      <c r="D1939" s="62" t="s">
        <v>153</v>
      </c>
      <c r="F1939" s="159" t="s">
        <v>11474</v>
      </c>
      <c r="G1939" s="159" t="s">
        <v>11475</v>
      </c>
      <c r="H1939" s="159" t="s">
        <v>153</v>
      </c>
      <c r="I1939" s="862" t="s">
        <v>119</v>
      </c>
      <c r="J1939" s="540">
        <v>45763.0</v>
      </c>
      <c r="K1939" s="159" t="s">
        <v>11487</v>
      </c>
      <c r="L1939" s="68"/>
      <c r="M1939" s="1885" t="s">
        <v>11478</v>
      </c>
      <c r="N1939" s="159" t="s">
        <v>11479</v>
      </c>
      <c r="O1939" s="156">
        <v>2.0</v>
      </c>
      <c r="P1939" s="606" t="s">
        <v>11480</v>
      </c>
      <c r="Q1939" s="52" t="str">
        <f t="array" ref="Q1939"> if(iserror(MATCH(V1939, 'File Links'!C:C, 0)), "N/A", HYPERLINK(INDEX('File Links'!B:B, MATCH(P1939, 'File Links'!C:C, 0))))</f>
        <v>https://drive.google.com/file/d/19iYi-koeR6fi39K_iI9D0SdOP6whI2f7/view?usp=drivesdk</v>
      </c>
      <c r="R1939" s="159" t="s">
        <v>11481</v>
      </c>
      <c r="S1939" s="159" t="s">
        <v>10720</v>
      </c>
      <c r="T1939" s="129"/>
      <c r="U1939" s="336">
        <v>1.0</v>
      </c>
      <c r="V1939" s="159" t="s">
        <v>11253</v>
      </c>
      <c r="W1939" s="62" t="s">
        <v>11262</v>
      </c>
      <c r="X1939" s="54" t="str">
        <f t="array" ref="X1939"> if(iserror(MATCH(V1939, 'File Links'!C:C, 0)), "N/A", HYPERLINK(INDEX('File Links'!B:B, MATCH(V1939, 'File Links'!C:C, 0))))</f>
        <v>https://drive.google.com/file/d/1UMAh9VGta6ExS2-Lb6GkDF4fmnI2EMeM/view?usp=drivesdk</v>
      </c>
      <c r="Z1939" s="159" t="s">
        <v>148</v>
      </c>
      <c r="AA1939" s="159" t="s">
        <v>11488</v>
      </c>
      <c r="AB1939" s="606" t="s">
        <v>11489</v>
      </c>
      <c r="AC1939" s="1907" t="s">
        <v>11490</v>
      </c>
      <c r="AD1939" s="159" t="s">
        <v>11491</v>
      </c>
      <c r="AE1939" s="156">
        <v>8.0</v>
      </c>
      <c r="AF1939" s="156">
        <v>95.0</v>
      </c>
      <c r="AG1939" s="161">
        <v>0.038</v>
      </c>
      <c r="AH1939" s="606" t="s">
        <v>139</v>
      </c>
      <c r="AI1939" s="1908" t="s">
        <v>613</v>
      </c>
      <c r="AJ1939" s="501">
        <v>0.028</v>
      </c>
      <c r="AK1939" s="159" t="s">
        <v>172</v>
      </c>
      <c r="AL1939" s="159" t="s">
        <v>218</v>
      </c>
      <c r="AM1939" s="68" t="s">
        <v>137</v>
      </c>
      <c r="AN1939" s="1300" t="s">
        <v>138</v>
      </c>
      <c r="AO1939" s="156">
        <v>242.0</v>
      </c>
      <c r="AP1939" s="161">
        <v>0.255</v>
      </c>
      <c r="AQ1939" s="159" t="s">
        <v>173</v>
      </c>
      <c r="AR1939" s="159" t="s">
        <v>140</v>
      </c>
      <c r="AS1939" s="1894">
        <v>0.001</v>
      </c>
      <c r="AT1939" s="1060" t="s">
        <v>172</v>
      </c>
      <c r="AU1939" s="1060" t="s">
        <v>218</v>
      </c>
      <c r="AV1939" s="68" t="s">
        <v>137</v>
      </c>
      <c r="AW1939" s="435" t="s">
        <v>11492</v>
      </c>
      <c r="AX1939" s="68" t="s">
        <v>151</v>
      </c>
      <c r="AY1939" s="61" t="str">
        <f>IFERROR(__xludf.DUMMYFUNCTION("vlookup(BB1939,importrange(""https://docs.google.com/spreadsheets/d/1d2vevQ_7D_v35q4wCQ4RpQ_IPoTwEMB9Yp6ymwlPqew/edit?gid=984458430#gid=984458430"", ""'replication success'!A:K""), 11, FAlSE)"),"")</f>
        <v/>
      </c>
      <c r="AZ1939" s="61" t="str">
        <f>IFERROR(__xludf.DUMMYFUNCTION("vlookup(BB1939,importrange(""https://docs.google.com/spreadsheets/d/1d2vevQ_7D_v35q4wCQ4RpQ_IPoTwEMB9Yp6ymwlPqew/edit?gid=984458430#gid=984458430"", ""'replication success'!A:M""), 12, FAlSE)"),"")</f>
        <v/>
      </c>
      <c r="BA1939" s="61" t="str">
        <f>IFERROR(__xludf.DUMMYFUNCTION("vlookup(BB1939,importrange(""https://docs.google.com/spreadsheets/d/1d2vevQ_7D_v35q4wCQ4RpQ_IPoTwEMB9Yp6ymwlPqew/edit?gid=984458430#gid=984458430"", ""'replication success'!A:M""), 13, FAlSE)"),"abstract")</f>
        <v>abstract</v>
      </c>
      <c r="BB1939" s="61" t="str">
        <f>IFERROR(__xludf.DUMMYFUNCTION("REGEXREPLACE(G1939, ""_[a-z]{1,2}$"", """")"),"osc201515")</f>
        <v>osc201515</v>
      </c>
      <c r="BC1939" s="68"/>
      <c r="BD1939" s="62" t="s">
        <v>10729</v>
      </c>
    </row>
    <row r="1940">
      <c r="A1940" s="44">
        <v>1940.0</v>
      </c>
      <c r="B1940" s="68" t="s">
        <v>152</v>
      </c>
      <c r="C1940" s="62" t="s">
        <v>115</v>
      </c>
      <c r="D1940" s="62" t="s">
        <v>1441</v>
      </c>
      <c r="F1940" s="159" t="s">
        <v>11493</v>
      </c>
      <c r="G1940" s="1449" t="s">
        <v>11494</v>
      </c>
      <c r="H1940" s="159" t="s">
        <v>11495</v>
      </c>
      <c r="I1940" s="529">
        <v>45690.0</v>
      </c>
      <c r="J1940" s="1376">
        <v>45693.0</v>
      </c>
      <c r="K1940" s="68" t="s">
        <v>11496</v>
      </c>
      <c r="L1940" s="68" t="s">
        <v>11497</v>
      </c>
      <c r="M1940" s="1909" t="s">
        <v>11498</v>
      </c>
      <c r="N1940" s="159" t="s">
        <v>11499</v>
      </c>
      <c r="O1940" s="336">
        <v>1.0</v>
      </c>
      <c r="P1940" s="1581" t="s">
        <v>11500</v>
      </c>
      <c r="Q1940" s="52" t="str">
        <f t="array" ref="Q1940"> if(iserror(MATCH(V1940, 'File Links'!C:C, 0)), "N/A", HYPERLINK(INDEX('File Links'!B:B, MATCH(P1940, 'File Links'!C:C, 0))))</f>
        <v>https://drive.google.com/file/d/1OXOz_E9VpKDoMyophO2ymVaA6QjHkMCY/view?usp=drivesdk</v>
      </c>
      <c r="R1940" s="159" t="s">
        <v>11501</v>
      </c>
      <c r="S1940" s="159" t="s">
        <v>10720</v>
      </c>
      <c r="T1940" s="129"/>
      <c r="U1940" s="336">
        <v>1.0</v>
      </c>
      <c r="V1940" s="198" t="str">
        <f t="shared" ref="V1940:V2041" si="120"> hyperlink(vlookup(lower(S1940),#REF!, 2, FALSE), SUBSTITUTE(lower(S1940), "/", "--") &amp;  ".pdf")</f>
        <v>10.1126--science.aac4716.pdf</v>
      </c>
      <c r="W1940" s="61" t="s">
        <v>3570</v>
      </c>
      <c r="X1940" s="54" t="str">
        <f t="array" ref="X1940"> if(iserror(MATCH(V1940, 'File Links'!C:C, 0)), "N/A", HYPERLINK(INDEX('File Links'!B:B, MATCH(V1940, 'File Links'!C:C, 0))))</f>
        <v>https://drive.google.com/file/d/1UMAh9VGta6ExS2-Lb6GkDF4fmnI2EMeM/view?usp=drivesdk</v>
      </c>
      <c r="Y1940" s="68"/>
      <c r="Z1940" s="68" t="s">
        <v>148</v>
      </c>
      <c r="AA1940" s="68" t="s">
        <v>11502</v>
      </c>
      <c r="AB1940" s="159" t="s">
        <v>11503</v>
      </c>
      <c r="AC1940" s="1910" t="s">
        <v>11504</v>
      </c>
      <c r="AD1940" s="68" t="s">
        <v>11505</v>
      </c>
      <c r="AE1940" s="336">
        <v>3.0</v>
      </c>
      <c r="AF1940" s="156">
        <v>14.0</v>
      </c>
      <c r="AG1940" s="68" t="s">
        <v>11506</v>
      </c>
      <c r="AH1940" s="68" t="s">
        <v>134</v>
      </c>
      <c r="AI1940" s="68" t="s">
        <v>217</v>
      </c>
      <c r="AJ1940" s="338" t="s">
        <v>138</v>
      </c>
      <c r="AK1940" s="62" t="s">
        <v>138</v>
      </c>
      <c r="AL1940" s="61" t="s">
        <v>186</v>
      </c>
      <c r="AM1940" s="68" t="s">
        <v>141</v>
      </c>
      <c r="AN1940" s="1058" t="s">
        <v>138</v>
      </c>
      <c r="AO1940" s="156">
        <v>19.0</v>
      </c>
      <c r="AP1940" s="336">
        <v>0.0065</v>
      </c>
      <c r="AQ1940" s="68" t="s">
        <v>139</v>
      </c>
      <c r="AR1940" s="68" t="s">
        <v>850</v>
      </c>
      <c r="AS1940" s="336">
        <v>0.369</v>
      </c>
      <c r="AT1940" s="68" t="s">
        <v>172</v>
      </c>
      <c r="AU1940" s="68" t="s">
        <v>186</v>
      </c>
      <c r="AV1940" s="68" t="s">
        <v>141</v>
      </c>
      <c r="AW1940" s="1308" t="s">
        <v>11507</v>
      </c>
      <c r="AX1940" s="68" t="s">
        <v>143</v>
      </c>
      <c r="AY1940" s="61" t="str">
        <f>IFERROR(__xludf.DUMMYFUNCTION("vlookup(BB1940,importrange(""https://docs.google.com/spreadsheets/d/1d2vevQ_7D_v35q4wCQ4RpQ_IPoTwEMB9Yp6ymwlPqew/edit?gid=984458430#gid=984458430"", ""'replication success'!A:K""), 11, FAlSE)"),"")</f>
        <v/>
      </c>
      <c r="AZ1940" s="61" t="str">
        <f>IFERROR(__xludf.DUMMYFUNCTION("vlookup(BB1940,importrange(""https://docs.google.com/spreadsheets/d/1d2vevQ_7D_v35q4wCQ4RpQ_IPoTwEMB9Yp6ymwlPqew/edit?gid=984458430#gid=984458430"", ""'replication success'!A:M""), 12, FAlSE)"),"")</f>
        <v/>
      </c>
      <c r="BA1940" s="61" t="str">
        <f>IFERROR(__xludf.DUMMYFUNCTION("vlookup(BB1940,importrange(""https://docs.google.com/spreadsheets/d/1d2vevQ_7D_v35q4wCQ4RpQ_IPoTwEMB9Yp6ymwlPqew/edit?gid=984458430#gid=984458430"", ""'replication success'!A:M""), 13, FAlSE)"),"abstract")</f>
        <v>abstract</v>
      </c>
      <c r="BB1940" s="61" t="str">
        <f>IFERROR(__xludf.DUMMYFUNCTION("REGEXREPLACE(G1940, ""_[a-z]{1,2}$"", """")"),"osc2015150")</f>
        <v>osc2015150</v>
      </c>
      <c r="BD1940" s="68" t="s">
        <v>1441</v>
      </c>
    </row>
    <row r="1941">
      <c r="A1941" s="44">
        <v>1941.0</v>
      </c>
      <c r="B1941" s="68" t="s">
        <v>114</v>
      </c>
      <c r="C1941" s="62" t="s">
        <v>115</v>
      </c>
      <c r="D1941" s="62" t="s">
        <v>153</v>
      </c>
      <c r="F1941" s="159" t="s">
        <v>11493</v>
      </c>
      <c r="G1941" s="1449" t="s">
        <v>11494</v>
      </c>
      <c r="H1941" s="159" t="s">
        <v>153</v>
      </c>
      <c r="I1941" s="529">
        <v>45690.0</v>
      </c>
      <c r="J1941" s="1376">
        <v>45693.0</v>
      </c>
      <c r="K1941" s="68" t="s">
        <v>11508</v>
      </c>
      <c r="L1941" s="68" t="s">
        <v>11509</v>
      </c>
      <c r="M1941" s="1909" t="s">
        <v>11498</v>
      </c>
      <c r="N1941" s="159" t="s">
        <v>11499</v>
      </c>
      <c r="O1941" s="336">
        <v>1.0</v>
      </c>
      <c r="P1941" s="1581" t="s">
        <v>11500</v>
      </c>
      <c r="Q1941" s="52" t="str">
        <f t="array" ref="Q1941"> if(iserror(MATCH(V1941, 'File Links'!C:C, 0)), "N/A", HYPERLINK(INDEX('File Links'!B:B, MATCH(P1941, 'File Links'!C:C, 0))))</f>
        <v>https://drive.google.com/file/d/1OXOz_E9VpKDoMyophO2ymVaA6QjHkMCY/view?usp=drivesdk</v>
      </c>
      <c r="R1941" s="159" t="s">
        <v>11501</v>
      </c>
      <c r="S1941" s="159" t="s">
        <v>10720</v>
      </c>
      <c r="T1941" s="129"/>
      <c r="U1941" s="336">
        <v>1.0</v>
      </c>
      <c r="V1941" s="198" t="str">
        <f t="shared" si="120"/>
        <v>10.1126--science.aac4716.pdf</v>
      </c>
      <c r="W1941" s="159" t="s">
        <v>3570</v>
      </c>
      <c r="X1941" s="54" t="str">
        <f t="array" ref="X1941"> if(iserror(MATCH(V1941, 'File Links'!C:C, 0)), "N/A", HYPERLINK(INDEX('File Links'!B:B, MATCH(V1941, 'File Links'!C:C, 0))))</f>
        <v>https://drive.google.com/file/d/1UMAh9VGta6ExS2-Lb6GkDF4fmnI2EMeM/view?usp=drivesdk</v>
      </c>
      <c r="Y1941" s="68"/>
      <c r="Z1941" s="68" t="s">
        <v>148</v>
      </c>
      <c r="AA1941" s="159" t="s">
        <v>11502</v>
      </c>
      <c r="AB1941" s="68" t="s">
        <v>11510</v>
      </c>
      <c r="AC1941" s="68" t="s">
        <v>11504</v>
      </c>
      <c r="AD1941" s="159" t="s">
        <v>11511</v>
      </c>
      <c r="AE1941" s="336">
        <v>3.0</v>
      </c>
      <c r="AF1941" s="336">
        <v>14.0</v>
      </c>
      <c r="AG1941" s="156" t="s">
        <v>11506</v>
      </c>
      <c r="AH1941" s="159" t="s">
        <v>134</v>
      </c>
      <c r="AI1941" s="68" t="s">
        <v>217</v>
      </c>
      <c r="AJ1941" s="337" t="s">
        <v>138</v>
      </c>
      <c r="AK1941" s="62" t="s">
        <v>138</v>
      </c>
      <c r="AL1941" s="61" t="s">
        <v>186</v>
      </c>
      <c r="AM1941" s="68" t="s">
        <v>141</v>
      </c>
      <c r="AN1941" s="1058" t="s">
        <v>138</v>
      </c>
      <c r="AO1941" s="336">
        <v>19.0</v>
      </c>
      <c r="AP1941" s="336">
        <v>0.0065</v>
      </c>
      <c r="AQ1941" s="68" t="s">
        <v>139</v>
      </c>
      <c r="AR1941" s="68" t="s">
        <v>850</v>
      </c>
      <c r="AS1941" s="336">
        <v>0.36</v>
      </c>
      <c r="AT1941" s="68" t="s">
        <v>172</v>
      </c>
      <c r="AU1941" s="68" t="s">
        <v>186</v>
      </c>
      <c r="AV1941" s="68" t="s">
        <v>141</v>
      </c>
      <c r="AW1941" s="435" t="s">
        <v>11512</v>
      </c>
      <c r="AX1941" s="542" t="s">
        <v>151</v>
      </c>
      <c r="AY1941" s="61" t="str">
        <f>IFERROR(__xludf.DUMMYFUNCTION("vlookup(BB1941,importrange(""https://docs.google.com/spreadsheets/d/1d2vevQ_7D_v35q4wCQ4RpQ_IPoTwEMB9Yp6ymwlPqew/edit?gid=984458430#gid=984458430"", ""'replication success'!A:K""), 11, FAlSE)"),"")</f>
        <v/>
      </c>
      <c r="AZ1941" s="61" t="str">
        <f>IFERROR(__xludf.DUMMYFUNCTION("vlookup(BB1941,importrange(""https://docs.google.com/spreadsheets/d/1d2vevQ_7D_v35q4wCQ4RpQ_IPoTwEMB9Yp6ymwlPqew/edit?gid=984458430#gid=984458430"", ""'replication success'!A:M""), 12, FAlSE)"),"")</f>
        <v/>
      </c>
      <c r="BA1941" s="61" t="str">
        <f>IFERROR(__xludf.DUMMYFUNCTION("vlookup(BB1941,importrange(""https://docs.google.com/spreadsheets/d/1d2vevQ_7D_v35q4wCQ4RpQ_IPoTwEMB9Yp6ymwlPqew/edit?gid=984458430#gid=984458430"", ""'replication success'!A:M""), 13, FAlSE)"),"abstract")</f>
        <v>abstract</v>
      </c>
      <c r="BB1941" s="61" t="str">
        <f>IFERROR(__xludf.DUMMYFUNCTION("REGEXREPLACE(G1941, ""_[a-z]{1,2}$"", """")"),"osc2015150")</f>
        <v>osc2015150</v>
      </c>
      <c r="BD1941" s="68" t="s">
        <v>1441</v>
      </c>
    </row>
    <row r="1942">
      <c r="A1942" s="44">
        <v>1942.0</v>
      </c>
      <c r="B1942" s="68" t="s">
        <v>152</v>
      </c>
      <c r="C1942" s="62" t="s">
        <v>115</v>
      </c>
      <c r="D1942" s="62" t="s">
        <v>1441</v>
      </c>
      <c r="F1942" s="159" t="s">
        <v>11513</v>
      </c>
      <c r="G1942" s="1449" t="s">
        <v>11514</v>
      </c>
      <c r="H1942" s="159" t="s">
        <v>11515</v>
      </c>
      <c r="I1942" s="529">
        <v>45690.0</v>
      </c>
      <c r="J1942" s="1376">
        <v>45693.0</v>
      </c>
      <c r="K1942" s="1911" t="s">
        <v>11516</v>
      </c>
      <c r="L1942" s="68" t="s">
        <v>11517</v>
      </c>
      <c r="M1942" s="1909" t="s">
        <v>11518</v>
      </c>
      <c r="N1942" s="437" t="s">
        <v>4493</v>
      </c>
      <c r="O1942" s="336">
        <v>2.0</v>
      </c>
      <c r="P1942" s="1581" t="s">
        <v>7242</v>
      </c>
      <c r="Q1942" s="52" t="str">
        <f t="array" ref="Q1942"> if(iserror(MATCH(V1942, 'File Links'!C:C, 0)), "N/A", HYPERLINK(INDEX('File Links'!B:B, MATCH(P1942, 'File Links'!C:C, 0))))</f>
        <v>https://drive.google.com/file/d/1WZ-wmp0ZBZO-MwxvYanAL8j3J4k47183/view?usp=drivesdk</v>
      </c>
      <c r="R1942" s="159" t="s">
        <v>11519</v>
      </c>
      <c r="S1942" s="1912" t="s">
        <v>11520</v>
      </c>
      <c r="T1942" s="1913" t="s">
        <v>11521</v>
      </c>
      <c r="U1942" s="336">
        <v>1.0</v>
      </c>
      <c r="V1942" s="198" t="str">
        <f t="shared" si="120"/>
        <v>10.1027--1864-9335--a000186.pdf</v>
      </c>
      <c r="W1942" s="68" t="s">
        <v>3570</v>
      </c>
      <c r="X1942" s="54" t="str">
        <f t="array" ref="X1942"> if(iserror(MATCH(V1942, 'File Links'!C:C, 0)), "N/A", HYPERLINK(INDEX('File Links'!B:B, MATCH(V1942, 'File Links'!C:C, 0))))</f>
        <v>https://drive.google.com/file/d/1tKM1PILFcJ_p1wV0Jul0zI6ZVlWSKpjf/view?usp=drivesdk</v>
      </c>
      <c r="Y1942" s="68"/>
      <c r="Z1942" s="68" t="s">
        <v>226</v>
      </c>
      <c r="AA1942" s="68" t="s">
        <v>5579</v>
      </c>
      <c r="AB1942" s="159" t="s">
        <v>11522</v>
      </c>
      <c r="AC1942" s="1914" t="s">
        <v>11523</v>
      </c>
      <c r="AD1942" s="68" t="s">
        <v>11524</v>
      </c>
      <c r="AE1942" s="336">
        <v>4.0</v>
      </c>
      <c r="AF1942" s="156">
        <v>43.0</v>
      </c>
      <c r="AG1942" s="336">
        <v>0.16</v>
      </c>
      <c r="AH1942" s="68" t="s">
        <v>139</v>
      </c>
      <c r="AI1942" s="68" t="s">
        <v>850</v>
      </c>
      <c r="AJ1942" s="338" t="s">
        <v>138</v>
      </c>
      <c r="AK1942" s="62" t="s">
        <v>138</v>
      </c>
      <c r="AL1942" s="61" t="s">
        <v>186</v>
      </c>
      <c r="AM1942" s="68" t="s">
        <v>137</v>
      </c>
      <c r="AN1942" s="1058" t="s">
        <v>138</v>
      </c>
      <c r="AO1942" s="336">
        <v>126.0</v>
      </c>
      <c r="AP1942" s="336">
        <v>0.005</v>
      </c>
      <c r="AQ1942" s="68" t="s">
        <v>173</v>
      </c>
      <c r="AR1942" s="68" t="s">
        <v>632</v>
      </c>
      <c r="AS1942" s="336">
        <v>0.97</v>
      </c>
      <c r="AT1942" s="68" t="s">
        <v>172</v>
      </c>
      <c r="AU1942" s="68" t="s">
        <v>186</v>
      </c>
      <c r="AV1942" s="68" t="s">
        <v>137</v>
      </c>
      <c r="AW1942" s="1308" t="s">
        <v>11525</v>
      </c>
      <c r="AX1942" s="68" t="s">
        <v>143</v>
      </c>
      <c r="AY1942" s="61" t="str">
        <f>IFERROR(__xludf.DUMMYFUNCTION("vlookup(BB1942,importrange(""https://docs.google.com/spreadsheets/d/1d2vevQ_7D_v35q4wCQ4RpQ_IPoTwEMB9Yp6ymwlPqew/edit?gid=984458430#gid=984458430"", ""'replication success'!A:K""), 11, FAlSE)"),"failed")</f>
        <v>failed</v>
      </c>
      <c r="AZ1942" s="61" t="str">
        <f>IFERROR(__xludf.DUMMYFUNCTION("vlookup(BB1942,importrange(""https://docs.google.com/spreadsheets/d/1d2vevQ_7D_v35q4wCQ4RpQ_IPoTwEMB9Yp6ymwlPqew/edit?gid=984458430#gid=984458430"", ""'replication success'!A:M""), 12, FAlSE)"),"We did not find evidence that physical cleanliness reduced the severity of moral judgments using samples sizes that provided over .99
power to detect the original effect sizes. Our estimates of the overall effect size were much smaller than estimates fro"&amp;"m Experiment 1 (original
d = 0.60, 95% CI [1.23, 0.04], N = 40; replication d = 0.01, 95% CI [0.28, 0.26], N = 208) and Experiment 2 (original d = 0.85, 95%
CI [1.47, 0.22], N = 43; replication d = 0.01, 95% CI [.34, 0.36], N = 126). These findings sugg"&amp;"est that the population effect sizes are
probably substantially smaller than the original estimates.")</f>
        <v>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v>
      </c>
      <c r="BA1942" s="61" t="str">
        <f>IFERROR(__xludf.DUMMYFUNCTION("vlookup(BB1942,importrange(""https://docs.google.com/spreadsheets/d/1d2vevQ_7D_v35q4wCQ4RpQ_IPoTwEMB9Yp6ymwlPqew/edit?gid=984458430#gid=984458430"", ""'replication success'!A:M""), 13, FAlSE)"),"abstract")</f>
        <v>abstract</v>
      </c>
      <c r="BB1942" s="61" t="str">
        <f>IFERROR(__xludf.DUMMYFUNCTION("REGEXREPLACE(G1942, ""_[a-z]{1,2}$"", """")"),"osc2015151")</f>
        <v>osc2015151</v>
      </c>
      <c r="BD1942" s="68" t="s">
        <v>1441</v>
      </c>
    </row>
    <row r="1943">
      <c r="A1943" s="44">
        <v>1943.0</v>
      </c>
      <c r="B1943" s="68" t="s">
        <v>114</v>
      </c>
      <c r="C1943" s="62" t="s">
        <v>115</v>
      </c>
      <c r="D1943" s="62" t="s">
        <v>153</v>
      </c>
      <c r="F1943" s="159" t="s">
        <v>11513</v>
      </c>
      <c r="G1943" s="1449" t="s">
        <v>11514</v>
      </c>
      <c r="H1943" s="159" t="s">
        <v>153</v>
      </c>
      <c r="I1943" s="529">
        <v>45690.0</v>
      </c>
      <c r="J1943" s="1376">
        <v>45693.0</v>
      </c>
      <c r="K1943" s="159" t="s">
        <v>11526</v>
      </c>
      <c r="L1943" s="68"/>
      <c r="M1943" s="1909" t="s">
        <v>11518</v>
      </c>
      <c r="N1943" s="437" t="s">
        <v>4493</v>
      </c>
      <c r="O1943" s="156">
        <v>2.0</v>
      </c>
      <c r="P1943" s="1581" t="s">
        <v>7242</v>
      </c>
      <c r="Q1943" s="52" t="str">
        <f t="array" ref="Q1943"> if(iserror(MATCH(V1943, 'File Links'!C:C, 0)), "N/A", HYPERLINK(INDEX('File Links'!B:B, MATCH(P1943, 'File Links'!C:C, 0))))</f>
        <v>https://drive.google.com/file/d/1WZ-wmp0ZBZO-MwxvYanAL8j3J4k47183/view?usp=drivesdk</v>
      </c>
      <c r="R1943" s="159" t="s">
        <v>11519</v>
      </c>
      <c r="S1943" s="439" t="s">
        <v>11520</v>
      </c>
      <c r="T1943" s="1913" t="s">
        <v>11521</v>
      </c>
      <c r="U1943" s="336">
        <v>1.0</v>
      </c>
      <c r="V1943" s="198" t="str">
        <f t="shared" si="120"/>
        <v>10.1027--1864-9335--a000186.pdf</v>
      </c>
      <c r="W1943" s="159" t="s">
        <v>3570</v>
      </c>
      <c r="X1943" s="54" t="str">
        <f t="array" ref="X1943"> if(iserror(MATCH(V1943, 'File Links'!C:C, 0)), "N/A", HYPERLINK(INDEX('File Links'!B:B, MATCH(V1943, 'File Links'!C:C, 0))))</f>
        <v>https://drive.google.com/file/d/1tKM1PILFcJ_p1wV0Jul0zI6ZVlWSKpjf/view?usp=drivesdk</v>
      </c>
      <c r="Y1943" s="68"/>
      <c r="Z1943" s="159" t="s">
        <v>226</v>
      </c>
      <c r="AA1943" s="159" t="s">
        <v>11527</v>
      </c>
      <c r="AB1943" s="437" t="s">
        <v>11528</v>
      </c>
      <c r="AC1943" s="159" t="s">
        <v>11523</v>
      </c>
      <c r="AD1943" s="159" t="s">
        <v>11529</v>
      </c>
      <c r="AE1943" s="156">
        <v>4.0</v>
      </c>
      <c r="AF1943" s="156">
        <v>43.0</v>
      </c>
      <c r="AG1943" s="156">
        <v>0.16</v>
      </c>
      <c r="AH1943" s="159" t="s">
        <v>139</v>
      </c>
      <c r="AI1943" s="159" t="s">
        <v>850</v>
      </c>
      <c r="AJ1943" s="337" t="s">
        <v>138</v>
      </c>
      <c r="AK1943" s="62" t="s">
        <v>138</v>
      </c>
      <c r="AL1943" s="57" t="s">
        <v>186</v>
      </c>
      <c r="AM1943" s="68" t="s">
        <v>137</v>
      </c>
      <c r="AN1943" s="1058" t="s">
        <v>138</v>
      </c>
      <c r="AO1943" s="336">
        <v>126.0</v>
      </c>
      <c r="AP1943" s="336">
        <v>0.005</v>
      </c>
      <c r="AQ1943" s="159" t="s">
        <v>173</v>
      </c>
      <c r="AR1943" s="159" t="s">
        <v>632</v>
      </c>
      <c r="AS1943" s="156">
        <v>0.97</v>
      </c>
      <c r="AT1943" s="159" t="s">
        <v>172</v>
      </c>
      <c r="AU1943" s="159" t="s">
        <v>186</v>
      </c>
      <c r="AV1943" s="68" t="s">
        <v>137</v>
      </c>
      <c r="AW1943" s="435" t="s">
        <v>11530</v>
      </c>
      <c r="AX1943" s="68" t="s">
        <v>143</v>
      </c>
      <c r="AY1943" s="61" t="str">
        <f>IFERROR(__xludf.DUMMYFUNCTION("vlookup(BB1943,importrange(""https://docs.google.com/spreadsheets/d/1d2vevQ_7D_v35q4wCQ4RpQ_IPoTwEMB9Yp6ymwlPqew/edit?gid=984458430#gid=984458430"", ""'replication success'!A:K""), 11, FAlSE)"),"failed")</f>
        <v>failed</v>
      </c>
      <c r="AZ1943" s="61" t="str">
        <f>IFERROR(__xludf.DUMMYFUNCTION("vlookup(BB1943,importrange(""https://docs.google.com/spreadsheets/d/1d2vevQ_7D_v35q4wCQ4RpQ_IPoTwEMB9Yp6ymwlPqew/edit?gid=984458430#gid=984458430"", ""'replication success'!A:M""), 12, FAlSE)"),"We did not find evidence that physical cleanliness reduced the severity of moral judgments using samples sizes that provided over .99
power to detect the original effect sizes. Our estimates of the overall effect size were much smaller than estimates fro"&amp;"m Experiment 1 (original
d = 0.60, 95% CI [1.23, 0.04], N = 40; replication d = 0.01, 95% CI [0.28, 0.26], N = 208) and Experiment 2 (original d = 0.85, 95%
CI [1.47, 0.22], N = 43; replication d = 0.01, 95% CI [.34, 0.36], N = 126). These findings sugg"&amp;"est that the population effect sizes are
probably substantially smaller than the original estimates.")</f>
        <v>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v>
      </c>
      <c r="BA1943" s="61" t="str">
        <f>IFERROR(__xludf.DUMMYFUNCTION("vlookup(BB1943,importrange(""https://docs.google.com/spreadsheets/d/1d2vevQ_7D_v35q4wCQ4RpQ_IPoTwEMB9Yp6ymwlPqew/edit?gid=984458430#gid=984458430"", ""'replication success'!A:M""), 13, FAlSE)"),"abstract")</f>
        <v>abstract</v>
      </c>
      <c r="BB1943" s="61" t="str">
        <f>IFERROR(__xludf.DUMMYFUNCTION("REGEXREPLACE(G1943, ""_[a-z]{1,2}$"", """")"),"osc2015151")</f>
        <v>osc2015151</v>
      </c>
      <c r="BD1943" s="68" t="s">
        <v>1441</v>
      </c>
    </row>
    <row r="1944">
      <c r="A1944" s="44">
        <v>1944.0</v>
      </c>
      <c r="B1944" s="68" t="s">
        <v>152</v>
      </c>
      <c r="C1944" s="62" t="s">
        <v>115</v>
      </c>
      <c r="D1944" s="62" t="s">
        <v>1441</v>
      </c>
      <c r="F1944" s="159" t="s">
        <v>11531</v>
      </c>
      <c r="G1944" s="1449" t="s">
        <v>11532</v>
      </c>
      <c r="H1944" s="159" t="s">
        <v>11533</v>
      </c>
      <c r="I1944" s="529">
        <v>45690.0</v>
      </c>
      <c r="J1944" s="1376">
        <v>45693.0</v>
      </c>
      <c r="K1944" s="594" t="s">
        <v>11534</v>
      </c>
      <c r="L1944" s="68"/>
      <c r="M1944" s="1909" t="s">
        <v>11535</v>
      </c>
      <c r="N1944" s="159" t="s">
        <v>11536</v>
      </c>
      <c r="O1944" s="336">
        <v>2.0</v>
      </c>
      <c r="P1944" s="1581" t="s">
        <v>11537</v>
      </c>
      <c r="Q1944" s="52" t="str">
        <f t="array" ref="Q1944"> if(iserror(MATCH(V1944, 'File Links'!C:C, 0)), "N/A", HYPERLINK(INDEX('File Links'!B:B, MATCH(P1944, 'File Links'!C:C, 0))))</f>
        <v>https://drive.google.com/file/d/1H1LGxInHGwZQlib48Sk8tAS3t5eXTLL_/view?usp=drivesdk</v>
      </c>
      <c r="R1944" s="680" t="s">
        <v>11538</v>
      </c>
      <c r="S1944" s="159" t="s">
        <v>10720</v>
      </c>
      <c r="T1944" s="129"/>
      <c r="U1944" s="336">
        <v>1.0</v>
      </c>
      <c r="V1944" s="198" t="str">
        <f t="shared" si="120"/>
        <v>10.1126--science.aac4716.pdf</v>
      </c>
      <c r="W1944" s="68" t="s">
        <v>164</v>
      </c>
      <c r="X1944" s="54" t="str">
        <f t="array" ref="X1944"> if(iserror(MATCH(V1944, 'File Links'!C:C, 0)), "N/A", HYPERLINK(INDEX('File Links'!B:B, MATCH(V1944, 'File Links'!C:C, 0))))</f>
        <v>https://drive.google.com/file/d/1UMAh9VGta6ExS2-Lb6GkDF4fmnI2EMeM/view?usp=drivesdk</v>
      </c>
      <c r="Y1944" s="68"/>
      <c r="Z1944" s="68" t="s">
        <v>148</v>
      </c>
      <c r="AA1944" s="68" t="s">
        <v>11539</v>
      </c>
      <c r="AB1944" s="159" t="s">
        <v>11540</v>
      </c>
      <c r="AC1944" s="1914" t="s">
        <v>11541</v>
      </c>
      <c r="AD1944" s="68" t="s">
        <v>11542</v>
      </c>
      <c r="AE1944" s="336">
        <v>6.0</v>
      </c>
      <c r="AF1944" s="156">
        <v>8.0</v>
      </c>
      <c r="AG1944" s="68" t="s">
        <v>11543</v>
      </c>
      <c r="AH1944" s="68" t="s">
        <v>134</v>
      </c>
      <c r="AI1944" s="68" t="s">
        <v>140</v>
      </c>
      <c r="AJ1944" s="337">
        <v>0.001</v>
      </c>
      <c r="AK1944" s="61" t="s">
        <v>135</v>
      </c>
      <c r="AL1944" s="61" t="s">
        <v>186</v>
      </c>
      <c r="AM1944" s="68" t="s">
        <v>137</v>
      </c>
      <c r="AN1944" s="1058" t="s">
        <v>138</v>
      </c>
      <c r="AO1944" s="156">
        <v>8.0</v>
      </c>
      <c r="AP1944" s="129" t="s">
        <v>11544</v>
      </c>
      <c r="AQ1944" s="68" t="s">
        <v>134</v>
      </c>
      <c r="AR1944" s="68" t="s">
        <v>217</v>
      </c>
      <c r="AS1944" s="336">
        <v>0.76</v>
      </c>
      <c r="AT1944" s="68" t="s">
        <v>172</v>
      </c>
      <c r="AU1944" s="68" t="s">
        <v>186</v>
      </c>
      <c r="AV1944" s="68" t="s">
        <v>137</v>
      </c>
      <c r="AW1944" s="435" t="s">
        <v>11545</v>
      </c>
      <c r="AX1944" s="68" t="s">
        <v>143</v>
      </c>
      <c r="AY1944" s="61" t="str">
        <f>IFERROR(__xludf.DUMMYFUNCTION("vlookup(BB1944,importrange(""https://docs.google.com/spreadsheets/d/1d2vevQ_7D_v35q4wCQ4RpQ_IPoTwEMB9Yp6ymwlPqew/edit?gid=984458430#gid=984458430"", ""'replication success'!A:K""), 11, FAlSE)"),"")</f>
        <v/>
      </c>
      <c r="AZ1944" s="61" t="str">
        <f>IFERROR(__xludf.DUMMYFUNCTION("vlookup(BB1944,importrange(""https://docs.google.com/spreadsheets/d/1d2vevQ_7D_v35q4wCQ4RpQ_IPoTwEMB9Yp6ymwlPqew/edit?gid=984458430#gid=984458430"", ""'replication success'!A:M""), 12, FAlSE)"),"")</f>
        <v/>
      </c>
      <c r="BA1944" s="61" t="str">
        <f>IFERROR(__xludf.DUMMYFUNCTION("vlookup(BB1944,importrange(""https://docs.google.com/spreadsheets/d/1d2vevQ_7D_v35q4wCQ4RpQ_IPoTwEMB9Yp6ymwlPqew/edit?gid=984458430#gid=984458430"", ""'replication success'!A:M""), 13, FAlSE)"),"abstract")</f>
        <v>abstract</v>
      </c>
      <c r="BB1944" s="61" t="str">
        <f>IFERROR(__xludf.DUMMYFUNCTION("REGEXREPLACE(G1944, ""_[a-z]{1,2}$"", """")"),"osc2015153")</f>
        <v>osc2015153</v>
      </c>
      <c r="BD1944" s="68" t="s">
        <v>1441</v>
      </c>
    </row>
    <row r="1945">
      <c r="A1945" s="44">
        <v>1945.0</v>
      </c>
      <c r="B1945" s="68" t="s">
        <v>114</v>
      </c>
      <c r="C1945" s="62" t="s">
        <v>115</v>
      </c>
      <c r="D1945" s="62" t="s">
        <v>153</v>
      </c>
      <c r="F1945" s="159" t="s">
        <v>11531</v>
      </c>
      <c r="G1945" s="1449" t="s">
        <v>11532</v>
      </c>
      <c r="H1945" s="159" t="s">
        <v>11546</v>
      </c>
      <c r="I1945" s="529">
        <v>45690.0</v>
      </c>
      <c r="J1945" s="1376">
        <v>45693.0</v>
      </c>
      <c r="K1945" s="159" t="s">
        <v>11547</v>
      </c>
      <c r="L1945" s="68"/>
      <c r="M1945" s="1909" t="s">
        <v>11535</v>
      </c>
      <c r="N1945" s="159" t="s">
        <v>11536</v>
      </c>
      <c r="O1945" s="156">
        <v>2.0</v>
      </c>
      <c r="P1945" s="1581" t="s">
        <v>11537</v>
      </c>
      <c r="Q1945" s="52" t="str">
        <f t="array" ref="Q1945"> if(iserror(MATCH(V1945, 'File Links'!C:C, 0)), "N/A", HYPERLINK(INDEX('File Links'!B:B, MATCH(P1945, 'File Links'!C:C, 0))))</f>
        <v>https://drive.google.com/file/d/1H1LGxInHGwZQlib48Sk8tAS3t5eXTLL_/view?usp=drivesdk</v>
      </c>
      <c r="R1945" s="159" t="s">
        <v>11548</v>
      </c>
      <c r="S1945" s="159" t="s">
        <v>10720</v>
      </c>
      <c r="T1945" s="129"/>
      <c r="U1945" s="336">
        <v>1.0</v>
      </c>
      <c r="V1945" s="198" t="str">
        <f t="shared" si="120"/>
        <v>10.1126--science.aac4716.pdf</v>
      </c>
      <c r="W1945" s="159" t="s">
        <v>164</v>
      </c>
      <c r="X1945" s="54" t="str">
        <f t="array" ref="X1945"> if(iserror(MATCH(V1945, 'File Links'!C:C, 0)), "N/A", HYPERLINK(INDEX('File Links'!B:B, MATCH(V1945, 'File Links'!C:C, 0))))</f>
        <v>https://drive.google.com/file/d/1UMAh9VGta6ExS2-Lb6GkDF4fmnI2EMeM/view?usp=drivesdk</v>
      </c>
      <c r="Y1945" s="68"/>
      <c r="Z1945" s="159" t="s">
        <v>148</v>
      </c>
      <c r="AA1945" s="159" t="s">
        <v>11549</v>
      </c>
      <c r="AB1945" s="159" t="s">
        <v>11550</v>
      </c>
      <c r="AC1945" s="159" t="s">
        <v>11541</v>
      </c>
      <c r="AD1945" s="159" t="s">
        <v>11551</v>
      </c>
      <c r="AE1945" s="156">
        <v>6.0</v>
      </c>
      <c r="AF1945" s="156">
        <v>8.0</v>
      </c>
      <c r="AG1945" s="1060" t="s">
        <v>11552</v>
      </c>
      <c r="AH1945" s="159" t="s">
        <v>134</v>
      </c>
      <c r="AI1945" s="159" t="s">
        <v>140</v>
      </c>
      <c r="AJ1945" s="337">
        <v>0.001</v>
      </c>
      <c r="AK1945" s="57" t="s">
        <v>135</v>
      </c>
      <c r="AL1945" s="57" t="s">
        <v>186</v>
      </c>
      <c r="AM1945" s="68" t="s">
        <v>137</v>
      </c>
      <c r="AN1945" s="1058" t="s">
        <v>138</v>
      </c>
      <c r="AO1945" s="156">
        <v>8.0</v>
      </c>
      <c r="AP1945" s="159" t="s">
        <v>11544</v>
      </c>
      <c r="AQ1945" s="159" t="s">
        <v>134</v>
      </c>
      <c r="AR1945" s="159" t="s">
        <v>217</v>
      </c>
      <c r="AS1945" s="156">
        <v>0.76</v>
      </c>
      <c r="AT1945" s="159" t="s">
        <v>172</v>
      </c>
      <c r="AU1945" s="159" t="s">
        <v>186</v>
      </c>
      <c r="AV1945" s="68" t="s">
        <v>137</v>
      </c>
      <c r="AW1945" s="435" t="s">
        <v>11553</v>
      </c>
      <c r="AX1945" s="68" t="s">
        <v>143</v>
      </c>
      <c r="AY1945" s="61" t="str">
        <f>IFERROR(__xludf.DUMMYFUNCTION("vlookup(BB1945,importrange(""https://docs.google.com/spreadsheets/d/1d2vevQ_7D_v35q4wCQ4RpQ_IPoTwEMB9Yp6ymwlPqew/edit?gid=984458430#gid=984458430"", ""'replication success'!A:K""), 11, FAlSE)"),"")</f>
        <v/>
      </c>
      <c r="AZ1945" s="61" t="str">
        <f>IFERROR(__xludf.DUMMYFUNCTION("vlookup(BB1945,importrange(""https://docs.google.com/spreadsheets/d/1d2vevQ_7D_v35q4wCQ4RpQ_IPoTwEMB9Yp6ymwlPqew/edit?gid=984458430#gid=984458430"", ""'replication success'!A:M""), 12, FAlSE)"),"")</f>
        <v/>
      </c>
      <c r="BA1945" s="61" t="str">
        <f>IFERROR(__xludf.DUMMYFUNCTION("vlookup(BB1945,importrange(""https://docs.google.com/spreadsheets/d/1d2vevQ_7D_v35q4wCQ4RpQ_IPoTwEMB9Yp6ymwlPqew/edit?gid=984458430#gid=984458430"", ""'replication success'!A:M""), 13, FAlSE)"),"abstract")</f>
        <v>abstract</v>
      </c>
      <c r="BB1945" s="61" t="str">
        <f>IFERROR(__xludf.DUMMYFUNCTION("REGEXREPLACE(G1945, ""_[a-z]{1,2}$"", """")"),"osc2015153")</f>
        <v>osc2015153</v>
      </c>
      <c r="BD1945" s="68" t="s">
        <v>1441</v>
      </c>
    </row>
    <row r="1946">
      <c r="A1946" s="44">
        <v>1946.0</v>
      </c>
      <c r="B1946" s="68" t="s">
        <v>114</v>
      </c>
      <c r="C1946" s="62" t="s">
        <v>115</v>
      </c>
      <c r="D1946" s="62" t="s">
        <v>1441</v>
      </c>
      <c r="F1946" s="159" t="s">
        <v>11554</v>
      </c>
      <c r="G1946" s="1449" t="s">
        <v>11555</v>
      </c>
      <c r="H1946" s="159" t="s">
        <v>11556</v>
      </c>
      <c r="I1946" s="529">
        <v>45690.0</v>
      </c>
      <c r="J1946" s="1376">
        <v>45693.0</v>
      </c>
      <c r="K1946" s="68"/>
      <c r="L1946" s="68"/>
      <c r="M1946" s="1909" t="s">
        <v>11557</v>
      </c>
      <c r="N1946" s="159" t="s">
        <v>11558</v>
      </c>
      <c r="O1946" s="336">
        <v>1.0</v>
      </c>
      <c r="P1946" s="1581" t="s">
        <v>11559</v>
      </c>
      <c r="Q1946" s="52" t="str">
        <f t="array" ref="Q1946"> if(iserror(MATCH(V1946, 'File Links'!C:C, 0)), "N/A", HYPERLINK(INDEX('File Links'!B:B, MATCH(P1946, 'File Links'!C:C, 0))))</f>
        <v>https://drive.google.com/file/d/1-FUitYcnAKMu52rxwYLJUGd9TwUYmGfa/view?usp=drivesdk</v>
      </c>
      <c r="R1946" s="159" t="s">
        <v>11560</v>
      </c>
      <c r="S1946" s="159" t="s">
        <v>10720</v>
      </c>
      <c r="T1946" s="129"/>
      <c r="U1946" s="336">
        <v>1.0</v>
      </c>
      <c r="V1946" s="198" t="str">
        <f t="shared" si="120"/>
        <v>10.1126--science.aac4716.pdf</v>
      </c>
      <c r="W1946" s="68" t="s">
        <v>164</v>
      </c>
      <c r="X1946" s="54" t="str">
        <f t="array" ref="X1946"> if(iserror(MATCH(V1946, 'File Links'!C:C, 0)), "N/A", HYPERLINK(INDEX('File Links'!B:B, MATCH(V1946, 'File Links'!C:C, 0))))</f>
        <v>https://drive.google.com/file/d/1UMAh9VGta6ExS2-Lb6GkDF4fmnI2EMeM/view?usp=drivesdk</v>
      </c>
      <c r="Y1946" s="68"/>
      <c r="Z1946" s="68" t="s">
        <v>226</v>
      </c>
      <c r="AA1946" s="68" t="s">
        <v>11561</v>
      </c>
      <c r="AB1946" s="68" t="s">
        <v>11562</v>
      </c>
      <c r="AC1946" s="68" t="s">
        <v>11563</v>
      </c>
      <c r="AD1946" s="68" t="s">
        <v>11564</v>
      </c>
      <c r="AE1946" s="336">
        <v>3.0</v>
      </c>
      <c r="AF1946" s="336">
        <v>70.0</v>
      </c>
      <c r="AG1946" s="336">
        <v>-0.43</v>
      </c>
      <c r="AH1946" s="68" t="s">
        <v>215</v>
      </c>
      <c r="AI1946" s="68" t="s">
        <v>217</v>
      </c>
      <c r="AJ1946" s="338" t="s">
        <v>138</v>
      </c>
      <c r="AK1946" s="61"/>
      <c r="AL1946" s="61" t="s">
        <v>136</v>
      </c>
      <c r="AM1946" s="68" t="s">
        <v>137</v>
      </c>
      <c r="AN1946" s="1058" t="s">
        <v>138</v>
      </c>
      <c r="AO1946" s="336">
        <v>16.0</v>
      </c>
      <c r="AP1946" s="336">
        <v>-0.11</v>
      </c>
      <c r="AQ1946" s="68" t="s">
        <v>215</v>
      </c>
      <c r="AR1946" s="68" t="s">
        <v>813</v>
      </c>
      <c r="AS1946" s="68" t="s">
        <v>138</v>
      </c>
      <c r="AT1946" s="68"/>
      <c r="AU1946" s="68" t="s">
        <v>136</v>
      </c>
      <c r="AV1946" s="68" t="s">
        <v>137</v>
      </c>
      <c r="AW1946" s="1308" t="s">
        <v>11565</v>
      </c>
      <c r="AX1946" s="68" t="s">
        <v>151</v>
      </c>
      <c r="AY1946" s="61" t="str">
        <f>IFERROR(__xludf.DUMMYFUNCTION("vlookup(BB1946,importrange(""https://docs.google.com/spreadsheets/d/1d2vevQ_7D_v35q4wCQ4RpQ_IPoTwEMB9Yp6ymwlPqew/edit?gid=984458430#gid=984458430"", ""'replication success'!A:K""), 11, FAlSE)"),"")</f>
        <v/>
      </c>
      <c r="AZ1946" s="61" t="str">
        <f>IFERROR(__xludf.DUMMYFUNCTION("vlookup(BB1946,importrange(""https://docs.google.com/spreadsheets/d/1d2vevQ_7D_v35q4wCQ4RpQ_IPoTwEMB9Yp6ymwlPqew/edit?gid=984458430#gid=984458430"", ""'replication success'!A:M""), 12, FAlSE)"),"")</f>
        <v/>
      </c>
      <c r="BA1946" s="61" t="str">
        <f>IFERROR(__xludf.DUMMYFUNCTION("vlookup(BB1946,importrange(""https://docs.google.com/spreadsheets/d/1d2vevQ_7D_v35q4wCQ4RpQ_IPoTwEMB9Yp6ymwlPqew/edit?gid=984458430#gid=984458430"", ""'replication success'!A:M""), 13, FAlSE)"),"abstract")</f>
        <v>abstract</v>
      </c>
      <c r="BB1946" s="61" t="str">
        <f>IFERROR(__xludf.DUMMYFUNCTION("REGEXREPLACE(G1946, ""_[a-z]{1,2}$"", """")"),"osc2015154")</f>
        <v>osc2015154</v>
      </c>
      <c r="BD1946" s="68" t="s">
        <v>1441</v>
      </c>
    </row>
    <row r="1947">
      <c r="A1947" s="44">
        <v>1947.0</v>
      </c>
      <c r="B1947" s="68" t="s">
        <v>152</v>
      </c>
      <c r="C1947" s="62" t="s">
        <v>115</v>
      </c>
      <c r="D1947" s="62" t="s">
        <v>153</v>
      </c>
      <c r="F1947" s="159" t="s">
        <v>11554</v>
      </c>
      <c r="G1947" s="1449" t="s">
        <v>11555</v>
      </c>
      <c r="H1947" s="159" t="s">
        <v>153</v>
      </c>
      <c r="I1947" s="529">
        <v>45690.0</v>
      </c>
      <c r="J1947" s="1376">
        <v>45693.0</v>
      </c>
      <c r="K1947" s="159" t="s">
        <v>11566</v>
      </c>
      <c r="L1947" s="68" t="s">
        <v>11567</v>
      </c>
      <c r="M1947" s="1909" t="s">
        <v>11557</v>
      </c>
      <c r="N1947" s="437" t="s">
        <v>11558</v>
      </c>
      <c r="O1947" s="156">
        <v>1.0</v>
      </c>
      <c r="P1947" s="1581" t="s">
        <v>11559</v>
      </c>
      <c r="Q1947" s="52" t="str">
        <f t="array" ref="Q1947"> if(iserror(MATCH(V1947, 'File Links'!C:C, 0)), "N/A", HYPERLINK(INDEX('File Links'!B:B, MATCH(P1947, 'File Links'!C:C, 0))))</f>
        <v>https://drive.google.com/file/d/1-FUitYcnAKMu52rxwYLJUGd9TwUYmGfa/view?usp=drivesdk</v>
      </c>
      <c r="R1947" s="159" t="s">
        <v>11560</v>
      </c>
      <c r="S1947" s="437" t="s">
        <v>10720</v>
      </c>
      <c r="T1947" s="129"/>
      <c r="U1947" s="336">
        <v>1.0</v>
      </c>
      <c r="V1947" s="198" t="str">
        <f t="shared" si="120"/>
        <v>10.1126--science.aac4716.pdf</v>
      </c>
      <c r="W1947" s="68" t="s">
        <v>164</v>
      </c>
      <c r="X1947" s="54" t="str">
        <f t="array" ref="X1947"> if(iserror(MATCH(V1947, 'File Links'!C:C, 0)), "N/A", HYPERLINK(INDEX('File Links'!B:B, MATCH(V1947, 'File Links'!C:C, 0))))</f>
        <v>https://drive.google.com/file/d/1UMAh9VGta6ExS2-Lb6GkDF4fmnI2EMeM/view?usp=drivesdk</v>
      </c>
      <c r="Y1947" s="68"/>
      <c r="Z1947" s="159" t="s">
        <v>226</v>
      </c>
      <c r="AA1947" s="159" t="s">
        <v>11568</v>
      </c>
      <c r="AB1947" s="832" t="s">
        <v>11569</v>
      </c>
      <c r="AC1947" s="832" t="s">
        <v>11570</v>
      </c>
      <c r="AD1947" s="1910" t="s">
        <v>11564</v>
      </c>
      <c r="AE1947" s="336">
        <v>3.0</v>
      </c>
      <c r="AF1947" s="336">
        <v>70.0</v>
      </c>
      <c r="AG1947" s="336">
        <v>-0.43</v>
      </c>
      <c r="AH1947" s="159" t="s">
        <v>215</v>
      </c>
      <c r="AI1947" s="68" t="s">
        <v>217</v>
      </c>
      <c r="AJ1947" s="338"/>
      <c r="AK1947" s="61"/>
      <c r="AL1947" s="57" t="s">
        <v>136</v>
      </c>
      <c r="AM1947" s="68" t="s">
        <v>137</v>
      </c>
      <c r="AN1947" s="1058" t="s">
        <v>138</v>
      </c>
      <c r="AO1947" s="336">
        <v>16.0</v>
      </c>
      <c r="AP1947" s="336">
        <v>-0.11</v>
      </c>
      <c r="AQ1947" s="159" t="s">
        <v>215</v>
      </c>
      <c r="AR1947" s="68" t="s">
        <v>813</v>
      </c>
      <c r="AS1947" s="68"/>
      <c r="AT1947" s="219" t="s">
        <v>138</v>
      </c>
      <c r="AU1947" s="159" t="s">
        <v>136</v>
      </c>
      <c r="AV1947" s="68" t="s">
        <v>137</v>
      </c>
      <c r="AW1947" s="435" t="s">
        <v>11571</v>
      </c>
      <c r="AX1947" s="68" t="s">
        <v>151</v>
      </c>
      <c r="AY1947" s="61" t="str">
        <f>IFERROR(__xludf.DUMMYFUNCTION("vlookup(BB1947,importrange(""https://docs.google.com/spreadsheets/d/1d2vevQ_7D_v35q4wCQ4RpQ_IPoTwEMB9Yp6ymwlPqew/edit?gid=984458430#gid=984458430"", ""'replication success'!A:K""), 11, FAlSE)"),"")</f>
        <v/>
      </c>
      <c r="AZ1947" s="61" t="str">
        <f>IFERROR(__xludf.DUMMYFUNCTION("vlookup(BB1947,importrange(""https://docs.google.com/spreadsheets/d/1d2vevQ_7D_v35q4wCQ4RpQ_IPoTwEMB9Yp6ymwlPqew/edit?gid=984458430#gid=984458430"", ""'replication success'!A:M""), 12, FAlSE)"),"")</f>
        <v/>
      </c>
      <c r="BA1947" s="61" t="str">
        <f>IFERROR(__xludf.DUMMYFUNCTION("vlookup(BB1947,importrange(""https://docs.google.com/spreadsheets/d/1d2vevQ_7D_v35q4wCQ4RpQ_IPoTwEMB9Yp6ymwlPqew/edit?gid=984458430#gid=984458430"", ""'replication success'!A:M""), 13, FAlSE)"),"abstract")</f>
        <v>abstract</v>
      </c>
      <c r="BB1947" s="61" t="str">
        <f>IFERROR(__xludf.DUMMYFUNCTION("REGEXREPLACE(G1947, ""_[a-z]{1,2}$"", """")"),"osc2015154")</f>
        <v>osc2015154</v>
      </c>
      <c r="BD1947" s="68" t="s">
        <v>1441</v>
      </c>
    </row>
    <row r="1948">
      <c r="A1948" s="44">
        <v>1948.0</v>
      </c>
      <c r="B1948" s="68" t="s">
        <v>152</v>
      </c>
      <c r="C1948" s="62" t="s">
        <v>115</v>
      </c>
      <c r="D1948" s="62" t="s">
        <v>1441</v>
      </c>
      <c r="F1948" s="159" t="s">
        <v>11572</v>
      </c>
      <c r="G1948" s="1449" t="s">
        <v>11573</v>
      </c>
      <c r="H1948" s="159" t="s">
        <v>11574</v>
      </c>
      <c r="I1948" s="529">
        <v>45690.0</v>
      </c>
      <c r="J1948" s="1376">
        <v>45693.0</v>
      </c>
      <c r="K1948" s="68"/>
      <c r="L1948" s="68" t="s">
        <v>11575</v>
      </c>
      <c r="M1948" s="1909" t="s">
        <v>11576</v>
      </c>
      <c r="N1948" s="159" t="s">
        <v>11577</v>
      </c>
      <c r="O1948" s="336">
        <v>2.0</v>
      </c>
      <c r="P1948" s="1581" t="s">
        <v>11578</v>
      </c>
      <c r="Q1948" s="52" t="str">
        <f t="array" ref="Q1948"> if(iserror(MATCH(V1948, 'File Links'!C:C, 0)), "N/A", HYPERLINK(INDEX('File Links'!B:B, MATCH(P1948, 'File Links'!C:C, 0))))</f>
        <v>https://drive.google.com/file/d/1RWYs4BxngJFHCjARwIfsUfl_7-oYLebS/view?usp=drivesdk</v>
      </c>
      <c r="R1948" s="159" t="s">
        <v>11579</v>
      </c>
      <c r="S1948" s="437" t="s">
        <v>10720</v>
      </c>
      <c r="T1948" s="129"/>
      <c r="U1948" s="336">
        <v>1.0</v>
      </c>
      <c r="V1948" s="198" t="str">
        <f t="shared" si="120"/>
        <v>10.1126--science.aac4716.pdf</v>
      </c>
      <c r="W1948" s="68" t="s">
        <v>164</v>
      </c>
      <c r="X1948" s="54" t="str">
        <f t="array" ref="X1948"> if(iserror(MATCH(V1948, 'File Links'!C:C, 0)), "N/A", HYPERLINK(INDEX('File Links'!B:B, MATCH(V1948, 'File Links'!C:C, 0))))</f>
        <v>https://drive.google.com/file/d/1UMAh9VGta6ExS2-Lb6GkDF4fmnI2EMeM/view?usp=drivesdk</v>
      </c>
      <c r="Y1948" s="68"/>
      <c r="Z1948" s="68" t="s">
        <v>226</v>
      </c>
      <c r="AA1948" s="68" t="s">
        <v>11580</v>
      </c>
      <c r="AB1948" s="159" t="s">
        <v>11581</v>
      </c>
      <c r="AC1948" s="1914" t="s">
        <v>11582</v>
      </c>
      <c r="AD1948" s="68" t="s">
        <v>11583</v>
      </c>
      <c r="AE1948" s="336">
        <v>4.0</v>
      </c>
      <c r="AF1948" s="156">
        <v>53.0</v>
      </c>
      <c r="AG1948" s="336">
        <v>-0.31</v>
      </c>
      <c r="AH1948" s="68" t="s">
        <v>215</v>
      </c>
      <c r="AI1948" s="68" t="s">
        <v>850</v>
      </c>
      <c r="AJ1948" s="337">
        <v>0.05</v>
      </c>
      <c r="AK1948" s="61" t="s">
        <v>135</v>
      </c>
      <c r="AL1948" s="61" t="s">
        <v>186</v>
      </c>
      <c r="AM1948" s="68" t="s">
        <v>137</v>
      </c>
      <c r="AN1948" s="1058" t="s">
        <v>138</v>
      </c>
      <c r="AO1948" s="156">
        <v>72.0</v>
      </c>
      <c r="AP1948" s="336">
        <v>0.034</v>
      </c>
      <c r="AQ1948" s="68" t="s">
        <v>215</v>
      </c>
      <c r="AR1948" s="68" t="s">
        <v>140</v>
      </c>
      <c r="AS1948" s="336">
        <v>0.78</v>
      </c>
      <c r="AT1948" s="68" t="s">
        <v>172</v>
      </c>
      <c r="AU1948" s="68" t="s">
        <v>136</v>
      </c>
      <c r="AV1948" s="68" t="s">
        <v>137</v>
      </c>
      <c r="AW1948" s="1308" t="s">
        <v>11584</v>
      </c>
      <c r="AX1948" s="68" t="s">
        <v>143</v>
      </c>
      <c r="AY1948" s="61" t="str">
        <f>IFERROR(__xludf.DUMMYFUNCTION("vlookup(BB1948,importrange(""https://docs.google.com/spreadsheets/d/1d2vevQ_7D_v35q4wCQ4RpQ_IPoTwEMB9Yp6ymwlPqew/edit?gid=984458430#gid=984458430"", ""'replication success'!A:K""), 11, FAlSE)"),"")</f>
        <v/>
      </c>
      <c r="AZ1948" s="61" t="str">
        <f>IFERROR(__xludf.DUMMYFUNCTION("vlookup(BB1948,importrange(""https://docs.google.com/spreadsheets/d/1d2vevQ_7D_v35q4wCQ4RpQ_IPoTwEMB9Yp6ymwlPqew/edit?gid=984458430#gid=984458430"", ""'replication success'!A:M""), 12, FAlSE)"),"")</f>
        <v/>
      </c>
      <c r="BA1948" s="61" t="str">
        <f>IFERROR(__xludf.DUMMYFUNCTION("vlookup(BB1948,importrange(""https://docs.google.com/spreadsheets/d/1d2vevQ_7D_v35q4wCQ4RpQ_IPoTwEMB9Yp6ymwlPqew/edit?gid=984458430#gid=984458430"", ""'replication success'!A:M""), 13, FAlSE)"),"abstract")</f>
        <v>abstract</v>
      </c>
      <c r="BB1948" s="61" t="str">
        <f>IFERROR(__xludf.DUMMYFUNCTION("REGEXREPLACE(G1948, ""_[a-z]{1,2}$"", """")"),"osc2015155")</f>
        <v>osc2015155</v>
      </c>
      <c r="BD1948" s="68" t="s">
        <v>1441</v>
      </c>
    </row>
    <row r="1949">
      <c r="A1949" s="44">
        <v>1949.0</v>
      </c>
      <c r="B1949" s="68" t="s">
        <v>114</v>
      </c>
      <c r="C1949" s="62" t="s">
        <v>115</v>
      </c>
      <c r="D1949" s="62" t="s">
        <v>153</v>
      </c>
      <c r="F1949" s="159" t="s">
        <v>11572</v>
      </c>
      <c r="G1949" s="1449" t="s">
        <v>11573</v>
      </c>
      <c r="H1949" s="159" t="s">
        <v>153</v>
      </c>
      <c r="I1949" s="529">
        <v>45690.0</v>
      </c>
      <c r="J1949" s="1376">
        <v>45693.0</v>
      </c>
      <c r="K1949" s="68"/>
      <c r="L1949" s="68"/>
      <c r="M1949" s="1909" t="s">
        <v>11576</v>
      </c>
      <c r="N1949" s="159" t="s">
        <v>11577</v>
      </c>
      <c r="O1949" s="156">
        <v>2.0</v>
      </c>
      <c r="P1949" s="1581" t="s">
        <v>11578</v>
      </c>
      <c r="Q1949" s="52" t="str">
        <f t="array" ref="Q1949"> if(iserror(MATCH(V1949, 'File Links'!C:C, 0)), "N/A", HYPERLINK(INDEX('File Links'!B:B, MATCH(P1949, 'File Links'!C:C, 0))))</f>
        <v>https://drive.google.com/file/d/1RWYs4BxngJFHCjARwIfsUfl_7-oYLebS/view?usp=drivesdk</v>
      </c>
      <c r="R1949" s="159" t="s">
        <v>11579</v>
      </c>
      <c r="S1949" s="437" t="s">
        <v>10720</v>
      </c>
      <c r="T1949" s="129"/>
      <c r="U1949" s="336">
        <v>1.0</v>
      </c>
      <c r="V1949" s="198" t="str">
        <f t="shared" si="120"/>
        <v>10.1126--science.aac4716.pdf</v>
      </c>
      <c r="W1949" s="159" t="s">
        <v>164</v>
      </c>
      <c r="X1949" s="54" t="str">
        <f t="array" ref="X1949"> if(iserror(MATCH(V1949, 'File Links'!C:C, 0)), "N/A", HYPERLINK(INDEX('File Links'!B:B, MATCH(V1949, 'File Links'!C:C, 0))))</f>
        <v>https://drive.google.com/file/d/1UMAh9VGta6ExS2-Lb6GkDF4fmnI2EMeM/view?usp=drivesdk</v>
      </c>
      <c r="Y1949" s="68"/>
      <c r="Z1949" s="159" t="s">
        <v>226</v>
      </c>
      <c r="AA1949" s="159" t="s">
        <v>11580</v>
      </c>
      <c r="AB1949" s="159" t="s">
        <v>11585</v>
      </c>
      <c r="AC1949" s="159" t="s">
        <v>11582</v>
      </c>
      <c r="AD1949" s="159" t="s">
        <v>11586</v>
      </c>
      <c r="AE1949" s="156">
        <v>4.0</v>
      </c>
      <c r="AF1949" s="156">
        <v>53.0</v>
      </c>
      <c r="AG1949" s="156">
        <v>-0.31</v>
      </c>
      <c r="AH1949" s="159" t="s">
        <v>215</v>
      </c>
      <c r="AI1949" s="159" t="s">
        <v>850</v>
      </c>
      <c r="AJ1949" s="337">
        <v>0.05</v>
      </c>
      <c r="AK1949" s="57" t="s">
        <v>135</v>
      </c>
      <c r="AL1949" s="57" t="s">
        <v>186</v>
      </c>
      <c r="AM1949" s="68" t="s">
        <v>137</v>
      </c>
      <c r="AN1949" s="1058" t="s">
        <v>138</v>
      </c>
      <c r="AO1949" s="156">
        <v>72.0</v>
      </c>
      <c r="AP1949" s="156">
        <v>0.034</v>
      </c>
      <c r="AQ1949" s="159" t="s">
        <v>215</v>
      </c>
      <c r="AR1949" s="159" t="s">
        <v>140</v>
      </c>
      <c r="AS1949" s="156">
        <v>0.78</v>
      </c>
      <c r="AT1949" s="159" t="s">
        <v>172</v>
      </c>
      <c r="AU1949" s="159" t="s">
        <v>136</v>
      </c>
      <c r="AV1949" s="68" t="s">
        <v>137</v>
      </c>
      <c r="AW1949" s="435" t="s">
        <v>11587</v>
      </c>
      <c r="AX1949" s="68" t="s">
        <v>143</v>
      </c>
      <c r="AY1949" s="61" t="str">
        <f>IFERROR(__xludf.DUMMYFUNCTION("vlookup(BB1949,importrange(""https://docs.google.com/spreadsheets/d/1d2vevQ_7D_v35q4wCQ4RpQ_IPoTwEMB9Yp6ymwlPqew/edit?gid=984458430#gid=984458430"", ""'replication success'!A:K""), 11, FAlSE)"),"")</f>
        <v/>
      </c>
      <c r="AZ1949" s="61" t="str">
        <f>IFERROR(__xludf.DUMMYFUNCTION("vlookup(BB1949,importrange(""https://docs.google.com/spreadsheets/d/1d2vevQ_7D_v35q4wCQ4RpQ_IPoTwEMB9Yp6ymwlPqew/edit?gid=984458430#gid=984458430"", ""'replication success'!A:M""), 12, FAlSE)"),"")</f>
        <v/>
      </c>
      <c r="BA1949" s="61" t="str">
        <f>IFERROR(__xludf.DUMMYFUNCTION("vlookup(BB1949,importrange(""https://docs.google.com/spreadsheets/d/1d2vevQ_7D_v35q4wCQ4RpQ_IPoTwEMB9Yp6ymwlPqew/edit?gid=984458430#gid=984458430"", ""'replication success'!A:M""), 13, FAlSE)"),"abstract")</f>
        <v>abstract</v>
      </c>
      <c r="BB1949" s="61" t="str">
        <f>IFERROR(__xludf.DUMMYFUNCTION("REGEXREPLACE(G1949, ""_[a-z]{1,2}$"", """")"),"osc2015155")</f>
        <v>osc2015155</v>
      </c>
      <c r="BD1949" s="68" t="s">
        <v>1441</v>
      </c>
    </row>
    <row r="1950">
      <c r="A1950" s="44">
        <v>1950.0</v>
      </c>
      <c r="B1950" s="68" t="s">
        <v>152</v>
      </c>
      <c r="C1950" s="62" t="s">
        <v>115</v>
      </c>
      <c r="D1950" s="62" t="s">
        <v>1441</v>
      </c>
      <c r="F1950" s="159" t="s">
        <v>11588</v>
      </c>
      <c r="G1950" s="1449" t="s">
        <v>11589</v>
      </c>
      <c r="H1950" s="159" t="s">
        <v>11590</v>
      </c>
      <c r="I1950" s="529">
        <v>45690.0</v>
      </c>
      <c r="J1950" s="1376">
        <v>45693.0</v>
      </c>
      <c r="K1950" s="68" t="s">
        <v>11591</v>
      </c>
      <c r="L1950" s="68"/>
      <c r="M1950" s="1909" t="s">
        <v>11592</v>
      </c>
      <c r="N1950" s="437" t="s">
        <v>11593</v>
      </c>
      <c r="O1950" s="336">
        <v>1.0</v>
      </c>
      <c r="P1950" s="1581" t="s">
        <v>11594</v>
      </c>
      <c r="Q1950" s="52" t="str">
        <f t="array" ref="Q1950"> if(iserror(MATCH(V1950, 'File Links'!C:C, 0)), "N/A", HYPERLINK(INDEX('File Links'!B:B, MATCH(P1950, 'File Links'!C:C, 0))))</f>
        <v>https://drive.google.com/file/d/1HlSsul-f2PZvtm7eAB3JNvLefgA9BMVI/view?usp=drivesdk</v>
      </c>
      <c r="R1950" s="159" t="s">
        <v>11595</v>
      </c>
      <c r="S1950" s="437" t="s">
        <v>10720</v>
      </c>
      <c r="T1950" s="68"/>
      <c r="U1950" s="336">
        <v>1.0</v>
      </c>
      <c r="V1950" s="198" t="str">
        <f t="shared" si="120"/>
        <v>10.1126--science.aac4716.pdf</v>
      </c>
      <c r="W1950" s="68" t="s">
        <v>164</v>
      </c>
      <c r="X1950" s="54" t="str">
        <f t="array" ref="X1950"> if(iserror(MATCH(V1950, 'File Links'!C:C, 0)), "N/A", HYPERLINK(INDEX('File Links'!B:B, MATCH(V1950, 'File Links'!C:C, 0))))</f>
        <v>https://drive.google.com/file/d/1UMAh9VGta6ExS2-Lb6GkDF4fmnI2EMeM/view?usp=drivesdk</v>
      </c>
      <c r="Y1950" s="68"/>
      <c r="Z1950" s="68" t="s">
        <v>148</v>
      </c>
      <c r="AA1950" s="68" t="s">
        <v>11596</v>
      </c>
      <c r="AB1950" s="159" t="s">
        <v>11597</v>
      </c>
      <c r="AC1950" s="159" t="s">
        <v>11598</v>
      </c>
      <c r="AD1950" s="68" t="s">
        <v>11599</v>
      </c>
      <c r="AE1950" s="336">
        <v>5.0</v>
      </c>
      <c r="AF1950" s="156">
        <v>40.0</v>
      </c>
      <c r="AG1950" s="336">
        <v>0.14</v>
      </c>
      <c r="AH1950" s="68" t="s">
        <v>139</v>
      </c>
      <c r="AI1950" s="68" t="s">
        <v>813</v>
      </c>
      <c r="AJ1950" s="338" t="s">
        <v>138</v>
      </c>
      <c r="AK1950" s="61"/>
      <c r="AL1950" s="61" t="s">
        <v>186</v>
      </c>
      <c r="AM1950" s="68" t="s">
        <v>141</v>
      </c>
      <c r="AN1950" s="1058" t="s">
        <v>138</v>
      </c>
      <c r="AO1950" s="336">
        <v>95.0</v>
      </c>
      <c r="AP1950" s="336">
        <v>0.17</v>
      </c>
      <c r="AQ1950" s="68" t="s">
        <v>874</v>
      </c>
      <c r="AR1950" s="68" t="s">
        <v>613</v>
      </c>
      <c r="AS1950" s="336">
        <v>3.5E-5</v>
      </c>
      <c r="AT1950" s="68" t="s">
        <v>172</v>
      </c>
      <c r="AU1950" s="68" t="s">
        <v>186</v>
      </c>
      <c r="AV1950" s="68" t="s">
        <v>141</v>
      </c>
      <c r="AW1950" s="435" t="s">
        <v>11600</v>
      </c>
      <c r="AX1950" s="68" t="s">
        <v>151</v>
      </c>
      <c r="AY1950" s="61" t="str">
        <f>IFERROR(__xludf.DUMMYFUNCTION("vlookup(BB1950,importrange(""https://docs.google.com/spreadsheets/d/1d2vevQ_7D_v35q4wCQ4RpQ_IPoTwEMB9Yp6ymwlPqew/edit?gid=984458430#gid=984458430"", ""'replication success'!A:K""), 11, FAlSE)"),"")</f>
        <v/>
      </c>
      <c r="AZ1950" s="61" t="str">
        <f>IFERROR(__xludf.DUMMYFUNCTION("vlookup(BB1950,importrange(""https://docs.google.com/spreadsheets/d/1d2vevQ_7D_v35q4wCQ4RpQ_IPoTwEMB9Yp6ymwlPqew/edit?gid=984458430#gid=984458430"", ""'replication success'!A:M""), 12, FAlSE)"),"")</f>
        <v/>
      </c>
      <c r="BA1950" s="61" t="str">
        <f>IFERROR(__xludf.DUMMYFUNCTION("vlookup(BB1950,importrange(""https://docs.google.com/spreadsheets/d/1d2vevQ_7D_v35q4wCQ4RpQ_IPoTwEMB9Yp6ymwlPqew/edit?gid=984458430#gid=984458430"", ""'replication success'!A:M""), 13, FAlSE)"),"abstract")</f>
        <v>abstract</v>
      </c>
      <c r="BB1950" s="61" t="str">
        <f>IFERROR(__xludf.DUMMYFUNCTION("REGEXREPLACE(G1950, ""_[a-z]{1,2}$"", """")"),"osc2015158")</f>
        <v>osc2015158</v>
      </c>
      <c r="BD1950" s="68" t="s">
        <v>1441</v>
      </c>
    </row>
    <row r="1951">
      <c r="A1951" s="44">
        <v>1951.0</v>
      </c>
      <c r="B1951" s="68" t="s">
        <v>114</v>
      </c>
      <c r="C1951" s="62" t="s">
        <v>115</v>
      </c>
      <c r="D1951" s="62" t="s">
        <v>153</v>
      </c>
      <c r="F1951" s="159" t="s">
        <v>11588</v>
      </c>
      <c r="G1951" s="1449" t="s">
        <v>11589</v>
      </c>
      <c r="H1951" s="159" t="s">
        <v>153</v>
      </c>
      <c r="I1951" s="529">
        <v>45690.0</v>
      </c>
      <c r="J1951" s="1376">
        <v>45693.0</v>
      </c>
      <c r="K1951" s="159" t="s">
        <v>11601</v>
      </c>
      <c r="L1951" s="68"/>
      <c r="M1951" s="1909" t="s">
        <v>11592</v>
      </c>
      <c r="N1951" s="437" t="s">
        <v>11593</v>
      </c>
      <c r="O1951" s="156">
        <v>1.0</v>
      </c>
      <c r="P1951" s="1581" t="s">
        <v>11594</v>
      </c>
      <c r="Q1951" s="52" t="str">
        <f t="array" ref="Q1951"> if(iserror(MATCH(V1951, 'File Links'!C:C, 0)), "N/A", HYPERLINK(INDEX('File Links'!B:B, MATCH(P1951, 'File Links'!C:C, 0))))</f>
        <v>https://drive.google.com/file/d/1HlSsul-f2PZvtm7eAB3JNvLefgA9BMVI/view?usp=drivesdk</v>
      </c>
      <c r="R1951" s="159" t="s">
        <v>11595</v>
      </c>
      <c r="S1951" s="437" t="s">
        <v>10720</v>
      </c>
      <c r="T1951" s="68"/>
      <c r="U1951" s="336">
        <v>1.0</v>
      </c>
      <c r="V1951" s="198" t="str">
        <f t="shared" si="120"/>
        <v>10.1126--science.aac4716.pdf</v>
      </c>
      <c r="W1951" s="159" t="s">
        <v>164</v>
      </c>
      <c r="X1951" s="54" t="str">
        <f t="array" ref="X1951"> if(iserror(MATCH(V1951, 'File Links'!C:C, 0)), "N/A", HYPERLINK(INDEX('File Links'!B:B, MATCH(V1951, 'File Links'!C:C, 0))))</f>
        <v>https://drive.google.com/file/d/1UMAh9VGta6ExS2-Lb6GkDF4fmnI2EMeM/view?usp=drivesdk</v>
      </c>
      <c r="Y1951" s="68"/>
      <c r="Z1951" s="68" t="s">
        <v>148</v>
      </c>
      <c r="AA1951" s="68" t="s">
        <v>11596</v>
      </c>
      <c r="AB1951" s="68" t="s">
        <v>11602</v>
      </c>
      <c r="AC1951" s="68" t="s">
        <v>11603</v>
      </c>
      <c r="AD1951" s="1915"/>
      <c r="AE1951" s="336">
        <v>5.0</v>
      </c>
      <c r="AF1951" s="336">
        <v>40.0</v>
      </c>
      <c r="AG1951" s="336">
        <v>0.14</v>
      </c>
      <c r="AH1951" s="68" t="s">
        <v>139</v>
      </c>
      <c r="AI1951" s="68" t="s">
        <v>813</v>
      </c>
      <c r="AJ1951" s="338" t="s">
        <v>138</v>
      </c>
      <c r="AK1951" s="61"/>
      <c r="AL1951" s="61" t="s">
        <v>186</v>
      </c>
      <c r="AM1951" s="68" t="s">
        <v>141</v>
      </c>
      <c r="AN1951" s="1058" t="s">
        <v>138</v>
      </c>
      <c r="AO1951" s="336">
        <v>95.0</v>
      </c>
      <c r="AP1951" s="336">
        <v>0.17</v>
      </c>
      <c r="AQ1951" s="1915" t="s">
        <v>139</v>
      </c>
      <c r="AR1951" s="68" t="s">
        <v>613</v>
      </c>
      <c r="AS1951" s="336">
        <v>3.5E-5</v>
      </c>
      <c r="AT1951" s="68" t="s">
        <v>172</v>
      </c>
      <c r="AU1951" s="68" t="s">
        <v>186</v>
      </c>
      <c r="AV1951" s="68" t="s">
        <v>141</v>
      </c>
      <c r="AW1951" s="435" t="s">
        <v>11604</v>
      </c>
      <c r="AX1951" s="68" t="s">
        <v>151</v>
      </c>
      <c r="AY1951" s="61" t="str">
        <f>IFERROR(__xludf.DUMMYFUNCTION("vlookup(BB1951,importrange(""https://docs.google.com/spreadsheets/d/1d2vevQ_7D_v35q4wCQ4RpQ_IPoTwEMB9Yp6ymwlPqew/edit?gid=984458430#gid=984458430"", ""'replication success'!A:K""), 11, FAlSE)"),"")</f>
        <v/>
      </c>
      <c r="AZ1951" s="61" t="str">
        <f>IFERROR(__xludf.DUMMYFUNCTION("vlookup(BB1951,importrange(""https://docs.google.com/spreadsheets/d/1d2vevQ_7D_v35q4wCQ4RpQ_IPoTwEMB9Yp6ymwlPqew/edit?gid=984458430#gid=984458430"", ""'replication success'!A:M""), 12, FAlSE)"),"")</f>
        <v/>
      </c>
      <c r="BA1951" s="61" t="str">
        <f>IFERROR(__xludf.DUMMYFUNCTION("vlookup(BB1951,importrange(""https://docs.google.com/spreadsheets/d/1d2vevQ_7D_v35q4wCQ4RpQ_IPoTwEMB9Yp6ymwlPqew/edit?gid=984458430#gid=984458430"", ""'replication success'!A:M""), 13, FAlSE)"),"abstract")</f>
        <v>abstract</v>
      </c>
      <c r="BB1951" s="61" t="str">
        <f>IFERROR(__xludf.DUMMYFUNCTION("REGEXREPLACE(G1951, ""_[a-z]{1,2}$"", """")"),"osc2015158")</f>
        <v>osc2015158</v>
      </c>
      <c r="BD1951" s="68" t="s">
        <v>1441</v>
      </c>
    </row>
    <row r="1952">
      <c r="A1952" s="44">
        <v>1952.0</v>
      </c>
      <c r="B1952" s="68" t="s">
        <v>152</v>
      </c>
      <c r="C1952" s="62" t="s">
        <v>115</v>
      </c>
      <c r="D1952" s="62" t="s">
        <v>1441</v>
      </c>
      <c r="F1952" s="159" t="s">
        <v>11605</v>
      </c>
      <c r="G1952" s="1449" t="s">
        <v>11606</v>
      </c>
      <c r="H1952" s="159" t="s">
        <v>11607</v>
      </c>
      <c r="I1952" s="529">
        <v>45690.0</v>
      </c>
      <c r="J1952" s="1376">
        <v>45693.0</v>
      </c>
      <c r="K1952" s="68"/>
      <c r="L1952" s="68" t="s">
        <v>11608</v>
      </c>
      <c r="M1952" s="1909" t="s">
        <v>11609</v>
      </c>
      <c r="N1952" s="159" t="s">
        <v>11610</v>
      </c>
      <c r="O1952" s="336">
        <v>3.0</v>
      </c>
      <c r="P1952" s="1581" t="s">
        <v>11611</v>
      </c>
      <c r="Q1952" s="52" t="str">
        <f t="array" ref="Q1952"> if(iserror(MATCH(V1952, 'File Links'!C:C, 0)), "N/A", HYPERLINK(INDEX('File Links'!B:B, MATCH(P1952, 'File Links'!C:C, 0))))</f>
        <v>https://drive.google.com/file/d/1xJDFi9AZRlHlZ8zxZ8pogfKFGSJiXpeB/view?usp=drivesdk</v>
      </c>
      <c r="R1952" s="159" t="s">
        <v>11612</v>
      </c>
      <c r="S1952" s="437" t="s">
        <v>10720</v>
      </c>
      <c r="T1952" s="129"/>
      <c r="U1952" s="336">
        <v>1.0</v>
      </c>
      <c r="V1952" s="198" t="str">
        <f t="shared" si="120"/>
        <v>10.1126--science.aac4716.pdf</v>
      </c>
      <c r="W1952" s="68" t="s">
        <v>164</v>
      </c>
      <c r="X1952" s="54" t="str">
        <f t="array" ref="X1952"> if(iserror(MATCH(V1952, 'File Links'!C:C, 0)), "N/A", HYPERLINK(INDEX('File Links'!B:B, MATCH(V1952, 'File Links'!C:C, 0))))</f>
        <v>https://drive.google.com/file/d/1UMAh9VGta6ExS2-Lb6GkDF4fmnI2EMeM/view?usp=drivesdk</v>
      </c>
      <c r="Y1952" s="68"/>
      <c r="Z1952" s="68" t="s">
        <v>148</v>
      </c>
      <c r="AA1952" s="68" t="s">
        <v>11613</v>
      </c>
      <c r="AB1952" s="159" t="s">
        <v>11614</v>
      </c>
      <c r="AC1952" s="159" t="s">
        <v>11615</v>
      </c>
      <c r="AD1952" s="68" t="s">
        <v>11616</v>
      </c>
      <c r="AE1952" s="336">
        <v>5.0</v>
      </c>
      <c r="AF1952" s="156">
        <v>48.0</v>
      </c>
      <c r="AG1952" s="360" t="s">
        <v>11617</v>
      </c>
      <c r="AH1952" s="68" t="s">
        <v>134</v>
      </c>
      <c r="AI1952" s="68" t="s">
        <v>4624</v>
      </c>
      <c r="AJ1952" s="337">
        <v>0.01</v>
      </c>
      <c r="AK1952" s="61" t="s">
        <v>135</v>
      </c>
      <c r="AL1952" s="61" t="s">
        <v>186</v>
      </c>
      <c r="AM1952" s="68" t="s">
        <v>137</v>
      </c>
      <c r="AN1952" s="1058" t="s">
        <v>138</v>
      </c>
      <c r="AO1952" s="156">
        <v>48.0</v>
      </c>
      <c r="AP1952" s="336">
        <v>0.032</v>
      </c>
      <c r="AQ1952" s="68" t="s">
        <v>139</v>
      </c>
      <c r="AR1952" s="68" t="s">
        <v>132</v>
      </c>
      <c r="AS1952" s="336">
        <v>0.237</v>
      </c>
      <c r="AT1952" s="68" t="s">
        <v>172</v>
      </c>
      <c r="AU1952" s="68" t="s">
        <v>136</v>
      </c>
      <c r="AV1952" s="68" t="s">
        <v>137</v>
      </c>
      <c r="AW1952" s="435" t="s">
        <v>11618</v>
      </c>
      <c r="AX1952" s="68" t="s">
        <v>143</v>
      </c>
      <c r="AY1952" s="61" t="str">
        <f>IFERROR(__xludf.DUMMYFUNCTION("vlookup(BB1952,importrange(""https://docs.google.com/spreadsheets/d/1d2vevQ_7D_v35q4wCQ4RpQ_IPoTwEMB9Yp6ymwlPqew/edit?gid=984458430#gid=984458430"", ""'replication success'!A:K""), 11, FAlSE)"),"")</f>
        <v/>
      </c>
      <c r="AZ1952" s="61" t="str">
        <f>IFERROR(__xludf.DUMMYFUNCTION("vlookup(BB1952,importrange(""https://docs.google.com/spreadsheets/d/1d2vevQ_7D_v35q4wCQ4RpQ_IPoTwEMB9Yp6ymwlPqew/edit?gid=984458430#gid=984458430"", ""'replication success'!A:M""), 12, FAlSE)"),"")</f>
        <v/>
      </c>
      <c r="BA1952" s="61" t="str">
        <f>IFERROR(__xludf.DUMMYFUNCTION("vlookup(BB1952,importrange(""https://docs.google.com/spreadsheets/d/1d2vevQ_7D_v35q4wCQ4RpQ_IPoTwEMB9Yp6ymwlPqew/edit?gid=984458430#gid=984458430"", ""'replication success'!A:M""), 13, FAlSE)"),"abstract")</f>
        <v>abstract</v>
      </c>
      <c r="BB1952" s="61" t="str">
        <f>IFERROR(__xludf.DUMMYFUNCTION("REGEXREPLACE(G1952, ""_[a-z]{1,2}$"", """")"),"osc2015161")</f>
        <v>osc2015161</v>
      </c>
      <c r="BD1952" s="68" t="s">
        <v>1441</v>
      </c>
    </row>
    <row r="1953">
      <c r="A1953" s="44">
        <v>1953.0</v>
      </c>
      <c r="B1953" s="68" t="s">
        <v>114</v>
      </c>
      <c r="C1953" s="62" t="s">
        <v>115</v>
      </c>
      <c r="D1953" s="62" t="s">
        <v>153</v>
      </c>
      <c r="F1953" s="159" t="s">
        <v>11605</v>
      </c>
      <c r="G1953" s="1449" t="s">
        <v>11606</v>
      </c>
      <c r="H1953" s="159" t="s">
        <v>153</v>
      </c>
      <c r="I1953" s="529">
        <v>45690.0</v>
      </c>
      <c r="J1953" s="1376">
        <v>45693.0</v>
      </c>
      <c r="K1953" s="159" t="s">
        <v>11619</v>
      </c>
      <c r="L1953" s="68"/>
      <c r="M1953" s="360" t="s">
        <v>11609</v>
      </c>
      <c r="N1953" s="159" t="s">
        <v>11610</v>
      </c>
      <c r="O1953" s="156">
        <v>3.0</v>
      </c>
      <c r="P1953" s="1581" t="s">
        <v>11611</v>
      </c>
      <c r="Q1953" s="52" t="str">
        <f t="array" ref="Q1953"> if(iserror(MATCH(V1953, 'File Links'!C:C, 0)), "N/A", HYPERLINK(INDEX('File Links'!B:B, MATCH(P1953, 'File Links'!C:C, 0))))</f>
        <v>https://drive.google.com/file/d/1xJDFi9AZRlHlZ8zxZ8pogfKFGSJiXpeB/view?usp=drivesdk</v>
      </c>
      <c r="R1953" s="159" t="s">
        <v>11612</v>
      </c>
      <c r="S1953" s="437" t="s">
        <v>10720</v>
      </c>
      <c r="T1953" s="129"/>
      <c r="U1953" s="336">
        <v>1.0</v>
      </c>
      <c r="V1953" s="198" t="str">
        <f t="shared" si="120"/>
        <v>10.1126--science.aac4716.pdf</v>
      </c>
      <c r="W1953" s="159" t="s">
        <v>164</v>
      </c>
      <c r="X1953" s="54" t="str">
        <f t="array" ref="X1953"> if(iserror(MATCH(V1953, 'File Links'!C:C, 0)), "N/A", HYPERLINK(INDEX('File Links'!B:B, MATCH(V1953, 'File Links'!C:C, 0))))</f>
        <v>https://drive.google.com/file/d/1UMAh9VGta6ExS2-Lb6GkDF4fmnI2EMeM/view?usp=drivesdk</v>
      </c>
      <c r="Y1953" s="68"/>
      <c r="Z1953" s="159" t="s">
        <v>148</v>
      </c>
      <c r="AA1953" s="159" t="s">
        <v>11613</v>
      </c>
      <c r="AB1953" s="159" t="s">
        <v>11620</v>
      </c>
      <c r="AC1953" s="159" t="s">
        <v>11621</v>
      </c>
      <c r="AD1953" s="159" t="s">
        <v>11622</v>
      </c>
      <c r="AE1953" s="156">
        <v>5.0</v>
      </c>
      <c r="AF1953" s="156">
        <v>48.0</v>
      </c>
      <c r="AG1953" s="159" t="s">
        <v>11617</v>
      </c>
      <c r="AH1953" s="159" t="s">
        <v>134</v>
      </c>
      <c r="AI1953" s="159" t="s">
        <v>813</v>
      </c>
      <c r="AJ1953" s="337">
        <v>0.01</v>
      </c>
      <c r="AK1953" s="57" t="s">
        <v>135</v>
      </c>
      <c r="AL1953" s="57" t="s">
        <v>186</v>
      </c>
      <c r="AM1953" s="68" t="s">
        <v>137</v>
      </c>
      <c r="AN1953" s="1058" t="s">
        <v>138</v>
      </c>
      <c r="AO1953" s="156">
        <v>48.0</v>
      </c>
      <c r="AP1953" s="156">
        <v>0.032</v>
      </c>
      <c r="AQ1953" s="159" t="s">
        <v>139</v>
      </c>
      <c r="AR1953" s="1916" t="s">
        <v>613</v>
      </c>
      <c r="AS1953" s="156">
        <v>0.237</v>
      </c>
      <c r="AT1953" s="159" t="s">
        <v>172</v>
      </c>
      <c r="AU1953" s="159" t="s">
        <v>136</v>
      </c>
      <c r="AV1953" s="68" t="s">
        <v>137</v>
      </c>
      <c r="AW1953" s="435" t="s">
        <v>11618</v>
      </c>
      <c r="AX1953" s="1915" t="s">
        <v>151</v>
      </c>
      <c r="AY1953" s="61" t="str">
        <f>IFERROR(__xludf.DUMMYFUNCTION("vlookup(BB1953,importrange(""https://docs.google.com/spreadsheets/d/1d2vevQ_7D_v35q4wCQ4RpQ_IPoTwEMB9Yp6ymwlPqew/edit?gid=984458430#gid=984458430"", ""'replication success'!A:K""), 11, FAlSE)"),"")</f>
        <v/>
      </c>
      <c r="AZ1953" s="61" t="str">
        <f>IFERROR(__xludf.DUMMYFUNCTION("vlookup(BB1953,importrange(""https://docs.google.com/spreadsheets/d/1d2vevQ_7D_v35q4wCQ4RpQ_IPoTwEMB9Yp6ymwlPqew/edit?gid=984458430#gid=984458430"", ""'replication success'!A:M""), 12, FAlSE)"),"")</f>
        <v/>
      </c>
      <c r="BA1953" s="61" t="str">
        <f>IFERROR(__xludf.DUMMYFUNCTION("vlookup(BB1953,importrange(""https://docs.google.com/spreadsheets/d/1d2vevQ_7D_v35q4wCQ4RpQ_IPoTwEMB9Yp6ymwlPqew/edit?gid=984458430#gid=984458430"", ""'replication success'!A:M""), 13, FAlSE)"),"abstract")</f>
        <v>abstract</v>
      </c>
      <c r="BB1953" s="61" t="str">
        <f>IFERROR(__xludf.DUMMYFUNCTION("REGEXREPLACE(G1953, ""_[a-z]{1,2}$"", """")"),"osc2015161")</f>
        <v>osc2015161</v>
      </c>
      <c r="BD1953" s="68" t="s">
        <v>1441</v>
      </c>
    </row>
    <row r="1954">
      <c r="A1954" s="44">
        <v>1954.0</v>
      </c>
      <c r="B1954" s="68" t="s">
        <v>152</v>
      </c>
      <c r="C1954" s="62" t="s">
        <v>115</v>
      </c>
      <c r="D1954" s="62" t="s">
        <v>1441</v>
      </c>
      <c r="F1954" s="159" t="s">
        <v>11623</v>
      </c>
      <c r="G1954" s="1449" t="s">
        <v>11624</v>
      </c>
      <c r="H1954" s="159" t="s">
        <v>11625</v>
      </c>
      <c r="I1954" s="529">
        <v>45690.0</v>
      </c>
      <c r="J1954" s="1376">
        <v>45693.0</v>
      </c>
      <c r="K1954" s="68"/>
      <c r="L1954" s="68" t="s">
        <v>11626</v>
      </c>
      <c r="M1954" s="1909" t="s">
        <v>11627</v>
      </c>
      <c r="N1954" s="437" t="s">
        <v>5596</v>
      </c>
      <c r="O1954" s="336">
        <v>1.0</v>
      </c>
      <c r="P1954" s="1581" t="s">
        <v>5597</v>
      </c>
      <c r="Q1954" s="52" t="str">
        <f t="array" ref="Q1954"> if(iserror(MATCH(V1954, 'File Links'!C:C, 0)), "N/A", HYPERLINK(INDEX('File Links'!B:B, MATCH(P1954, 'File Links'!C:C, 0))))</f>
        <v>https://drive.google.com/file/d/17yvRZkdBULPZU-hy9QprgZuJeonQfAel/view?usp=drivesdk</v>
      </c>
      <c r="R1954" s="159" t="s">
        <v>11628</v>
      </c>
      <c r="S1954" s="437" t="s">
        <v>10720</v>
      </c>
      <c r="T1954" s="68"/>
      <c r="U1954" s="336">
        <v>1.0</v>
      </c>
      <c r="V1954" s="198" t="str">
        <f t="shared" si="120"/>
        <v>10.1126--science.aac4716.pdf</v>
      </c>
      <c r="W1954" s="68" t="s">
        <v>164</v>
      </c>
      <c r="X1954" s="54" t="str">
        <f t="array" ref="X1954"> if(iserror(MATCH(V1954, 'File Links'!C:C, 0)), "N/A", HYPERLINK(INDEX('File Links'!B:B, MATCH(V1954, 'File Links'!C:C, 0))))</f>
        <v>https://drive.google.com/file/d/1UMAh9VGta6ExS2-Lb6GkDF4fmnI2EMeM/view?usp=drivesdk</v>
      </c>
      <c r="Y1954" s="68"/>
      <c r="Z1954" s="68" t="s">
        <v>148</v>
      </c>
      <c r="AA1954" s="68" t="s">
        <v>11629</v>
      </c>
      <c r="AB1954" s="159" t="s">
        <v>11630</v>
      </c>
      <c r="AC1954" s="1914" t="s">
        <v>11631</v>
      </c>
      <c r="AD1954" s="68" t="s">
        <v>11632</v>
      </c>
      <c r="AE1954" s="336">
        <v>2.0</v>
      </c>
      <c r="AF1954" s="156">
        <v>56.0</v>
      </c>
      <c r="AG1954" s="129" t="s">
        <v>11633</v>
      </c>
      <c r="AH1954" s="68" t="s">
        <v>134</v>
      </c>
      <c r="AI1954" s="68" t="s">
        <v>875</v>
      </c>
      <c r="AJ1954" s="337">
        <v>0.037</v>
      </c>
      <c r="AK1954" s="61" t="s">
        <v>172</v>
      </c>
      <c r="AL1954" s="61" t="s">
        <v>186</v>
      </c>
      <c r="AM1954" s="68" t="s">
        <v>137</v>
      </c>
      <c r="AN1954" s="1058" t="s">
        <v>138</v>
      </c>
      <c r="AO1954" s="336">
        <v>51.0</v>
      </c>
      <c r="AP1954" s="129" t="s">
        <v>11634</v>
      </c>
      <c r="AQ1954" s="68" t="s">
        <v>134</v>
      </c>
      <c r="AR1954" s="68" t="s">
        <v>850</v>
      </c>
      <c r="AS1954" s="336">
        <v>0.21</v>
      </c>
      <c r="AT1954" s="68" t="s">
        <v>172</v>
      </c>
      <c r="AU1954" s="68" t="s">
        <v>186</v>
      </c>
      <c r="AV1954" s="68" t="s">
        <v>137</v>
      </c>
      <c r="AW1954" s="1308" t="s">
        <v>11635</v>
      </c>
      <c r="AX1954" s="68" t="s">
        <v>143</v>
      </c>
      <c r="AY1954" s="61" t="str">
        <f>IFERROR(__xludf.DUMMYFUNCTION("vlookup(BB1954,importrange(""https://docs.google.com/spreadsheets/d/1d2vevQ_7D_v35q4wCQ4RpQ_IPoTwEMB9Yp6ymwlPqew/edit?gid=984458430#gid=984458430"", ""'replication success'!A:K""), 11, FAlSE)"),"")</f>
        <v/>
      </c>
      <c r="AZ1954" s="61" t="str">
        <f>IFERROR(__xludf.DUMMYFUNCTION("vlookup(BB1954,importrange(""https://docs.google.com/spreadsheets/d/1d2vevQ_7D_v35q4wCQ4RpQ_IPoTwEMB9Yp6ymwlPqew/edit?gid=984458430#gid=984458430"", ""'replication success'!A:M""), 12, FAlSE)"),"")</f>
        <v/>
      </c>
      <c r="BA1954" s="61" t="str">
        <f>IFERROR(__xludf.DUMMYFUNCTION("vlookup(BB1954,importrange(""https://docs.google.com/spreadsheets/d/1d2vevQ_7D_v35q4wCQ4RpQ_IPoTwEMB9Yp6ymwlPqew/edit?gid=984458430#gid=984458430"", ""'replication success'!A:M""), 13, FAlSE)"),"abstract")</f>
        <v>abstract</v>
      </c>
      <c r="BB1954" s="61" t="str">
        <f>IFERROR(__xludf.DUMMYFUNCTION("REGEXREPLACE(G1954, ""_[a-z]{1,2}$"", """")"),"osc2015165")</f>
        <v>osc2015165</v>
      </c>
      <c r="BD1954" s="68" t="s">
        <v>1441</v>
      </c>
    </row>
    <row r="1955">
      <c r="A1955" s="44">
        <v>1955.0</v>
      </c>
      <c r="B1955" s="68" t="s">
        <v>114</v>
      </c>
      <c r="C1955" s="62" t="s">
        <v>115</v>
      </c>
      <c r="D1955" s="62" t="s">
        <v>153</v>
      </c>
      <c r="F1955" s="159" t="s">
        <v>11623</v>
      </c>
      <c r="G1955" s="1449" t="s">
        <v>11624</v>
      </c>
      <c r="H1955" s="159" t="s">
        <v>153</v>
      </c>
      <c r="I1955" s="529">
        <v>45690.0</v>
      </c>
      <c r="J1955" s="1376">
        <v>45693.0</v>
      </c>
      <c r="K1955" s="68"/>
      <c r="L1955" s="68"/>
      <c r="M1955" s="1909" t="s">
        <v>11627</v>
      </c>
      <c r="N1955" s="159" t="s">
        <v>5596</v>
      </c>
      <c r="O1955" s="156">
        <v>1.0</v>
      </c>
      <c r="P1955" s="1581" t="s">
        <v>5597</v>
      </c>
      <c r="Q1955" s="52" t="str">
        <f t="array" ref="Q1955"> if(iserror(MATCH(V1955, 'File Links'!C:C, 0)), "N/A", HYPERLINK(INDEX('File Links'!B:B, MATCH(P1955, 'File Links'!C:C, 0))))</f>
        <v>https://drive.google.com/file/d/17yvRZkdBULPZU-hy9QprgZuJeonQfAel/view?usp=drivesdk</v>
      </c>
      <c r="R1955" s="159" t="s">
        <v>11628</v>
      </c>
      <c r="S1955" s="437" t="s">
        <v>10720</v>
      </c>
      <c r="T1955" s="129"/>
      <c r="U1955" s="336">
        <v>1.0</v>
      </c>
      <c r="V1955" s="198" t="str">
        <f t="shared" si="120"/>
        <v>10.1126--science.aac4716.pdf</v>
      </c>
      <c r="W1955" s="159" t="s">
        <v>164</v>
      </c>
      <c r="X1955" s="54" t="str">
        <f t="array" ref="X1955"> if(iserror(MATCH(V1955, 'File Links'!C:C, 0)), "N/A", HYPERLINK(INDEX('File Links'!B:B, MATCH(V1955, 'File Links'!C:C, 0))))</f>
        <v>https://drive.google.com/file/d/1UMAh9VGta6ExS2-Lb6GkDF4fmnI2EMeM/view?usp=drivesdk</v>
      </c>
      <c r="Y1955" s="68"/>
      <c r="Z1955" s="159" t="s">
        <v>148</v>
      </c>
      <c r="AA1955" s="159" t="s">
        <v>11636</v>
      </c>
      <c r="AB1955" s="159" t="s">
        <v>11637</v>
      </c>
      <c r="AC1955" s="159" t="s">
        <v>11631</v>
      </c>
      <c r="AD1955" s="159" t="s">
        <v>11638</v>
      </c>
      <c r="AE1955" s="1303">
        <v>45689.0</v>
      </c>
      <c r="AF1955" s="156">
        <v>56.0</v>
      </c>
      <c r="AG1955" s="156">
        <v>3.28</v>
      </c>
      <c r="AH1955" s="159" t="s">
        <v>722</v>
      </c>
      <c r="AI1955" s="159" t="s">
        <v>875</v>
      </c>
      <c r="AJ1955" s="337">
        <v>0.037</v>
      </c>
      <c r="AK1955" s="57" t="s">
        <v>172</v>
      </c>
      <c r="AL1955" s="57" t="s">
        <v>186</v>
      </c>
      <c r="AM1955" s="68" t="s">
        <v>137</v>
      </c>
      <c r="AN1955" s="1058" t="s">
        <v>138</v>
      </c>
      <c r="AO1955" s="156">
        <v>51.0</v>
      </c>
      <c r="AP1955" s="156">
        <v>0.19</v>
      </c>
      <c r="AQ1955" s="159" t="s">
        <v>11166</v>
      </c>
      <c r="AR1955" s="159" t="s">
        <v>850</v>
      </c>
      <c r="AS1955" s="156">
        <v>0.21</v>
      </c>
      <c r="AT1955" s="159" t="s">
        <v>172</v>
      </c>
      <c r="AU1955" s="159" t="s">
        <v>186</v>
      </c>
      <c r="AV1955" s="68" t="s">
        <v>137</v>
      </c>
      <c r="AW1955" s="435" t="s">
        <v>11639</v>
      </c>
      <c r="AX1955" s="68" t="s">
        <v>143</v>
      </c>
      <c r="AY1955" s="61" t="str">
        <f>IFERROR(__xludf.DUMMYFUNCTION("vlookup(BB1955,importrange(""https://docs.google.com/spreadsheets/d/1d2vevQ_7D_v35q4wCQ4RpQ_IPoTwEMB9Yp6ymwlPqew/edit?gid=984458430#gid=984458430"", ""'replication success'!A:K""), 11, FAlSE)"),"")</f>
        <v/>
      </c>
      <c r="AZ1955" s="61" t="str">
        <f>IFERROR(__xludf.DUMMYFUNCTION("vlookup(BB1955,importrange(""https://docs.google.com/spreadsheets/d/1d2vevQ_7D_v35q4wCQ4RpQ_IPoTwEMB9Yp6ymwlPqew/edit?gid=984458430#gid=984458430"", ""'replication success'!A:M""), 12, FAlSE)"),"")</f>
        <v/>
      </c>
      <c r="BA1955" s="61" t="str">
        <f>IFERROR(__xludf.DUMMYFUNCTION("vlookup(BB1955,importrange(""https://docs.google.com/spreadsheets/d/1d2vevQ_7D_v35q4wCQ4RpQ_IPoTwEMB9Yp6ymwlPqew/edit?gid=984458430#gid=984458430"", ""'replication success'!A:M""), 13, FAlSE)"),"abstract")</f>
        <v>abstract</v>
      </c>
      <c r="BB1955" s="61" t="str">
        <f>IFERROR(__xludf.DUMMYFUNCTION("REGEXREPLACE(G1955, ""_[a-z]{1,2}$"", """")"),"osc2015165")</f>
        <v>osc2015165</v>
      </c>
      <c r="BD1955" s="68" t="s">
        <v>1441</v>
      </c>
    </row>
    <row r="1956">
      <c r="A1956" s="44">
        <v>1956.0</v>
      </c>
      <c r="B1956" s="68" t="s">
        <v>152</v>
      </c>
      <c r="C1956" s="62" t="s">
        <v>115</v>
      </c>
      <c r="D1956" s="62" t="s">
        <v>1441</v>
      </c>
      <c r="F1956" s="159" t="s">
        <v>11640</v>
      </c>
      <c r="G1956" s="1449" t="s">
        <v>11641</v>
      </c>
      <c r="H1956" s="159" t="s">
        <v>11642</v>
      </c>
      <c r="I1956" s="529">
        <v>45690.0</v>
      </c>
      <c r="J1956" s="1376">
        <v>45693.0</v>
      </c>
      <c r="K1956" s="68" t="s">
        <v>11643</v>
      </c>
      <c r="L1956" s="68"/>
      <c r="M1956" s="1909" t="s">
        <v>11644</v>
      </c>
      <c r="N1956" s="159" t="s">
        <v>11645</v>
      </c>
      <c r="O1956" s="336">
        <v>1.0</v>
      </c>
      <c r="P1956" s="1581" t="s">
        <v>11646</v>
      </c>
      <c r="Q1956" s="52" t="str">
        <f t="array" ref="Q1956"> if(iserror(MATCH(V1956, 'File Links'!C:C, 0)), "N/A", HYPERLINK(INDEX('File Links'!B:B, MATCH(P1956, 'File Links'!C:C, 0))))</f>
        <v>https://drive.google.com/file/d/1XqhWmKG3ZvoLJmLnPSVfonhhVjkaOyOo/view?usp=drivesdk</v>
      </c>
      <c r="R1956" s="159" t="s">
        <v>11647</v>
      </c>
      <c r="S1956" s="437" t="s">
        <v>10720</v>
      </c>
      <c r="T1956" s="129"/>
      <c r="U1956" s="336">
        <v>1.0</v>
      </c>
      <c r="V1956" s="198" t="str">
        <f t="shared" si="120"/>
        <v>10.1126--science.aac4716.pdf</v>
      </c>
      <c r="W1956" s="68" t="s">
        <v>164</v>
      </c>
      <c r="X1956" s="54" t="str">
        <f t="array" ref="X1956"> if(iserror(MATCH(V1956, 'File Links'!C:C, 0)), "N/A", HYPERLINK(INDEX('File Links'!B:B, MATCH(V1956, 'File Links'!C:C, 0))))</f>
        <v>https://drive.google.com/file/d/1UMAh9VGta6ExS2-Lb6GkDF4fmnI2EMeM/view?usp=drivesdk</v>
      </c>
      <c r="Y1956" s="68"/>
      <c r="Z1956" s="68" t="s">
        <v>148</v>
      </c>
      <c r="AA1956" s="68" t="s">
        <v>11648</v>
      </c>
      <c r="AB1956" s="159" t="s">
        <v>11649</v>
      </c>
      <c r="AC1956" s="1914" t="s">
        <v>11650</v>
      </c>
      <c r="AD1956" s="68" t="s">
        <v>11651</v>
      </c>
      <c r="AE1956" s="336">
        <v>2.0</v>
      </c>
      <c r="AF1956" s="156">
        <v>18.0</v>
      </c>
      <c r="AG1956" s="68" t="s">
        <v>11652</v>
      </c>
      <c r="AH1956" s="68" t="s">
        <v>134</v>
      </c>
      <c r="AI1956" s="68" t="s">
        <v>875</v>
      </c>
      <c r="AJ1956" s="338" t="s">
        <v>138</v>
      </c>
      <c r="AK1956" s="61"/>
      <c r="AL1956" s="61" t="s">
        <v>186</v>
      </c>
      <c r="AM1956" s="68" t="s">
        <v>137</v>
      </c>
      <c r="AN1956" s="1058" t="s">
        <v>138</v>
      </c>
      <c r="AO1956" s="156">
        <v>22.0</v>
      </c>
      <c r="AP1956" s="336">
        <v>0.065</v>
      </c>
      <c r="AQ1956" s="68" t="s">
        <v>874</v>
      </c>
      <c r="AR1956" s="68" t="s">
        <v>875</v>
      </c>
      <c r="AS1956" s="336">
        <v>0.24</v>
      </c>
      <c r="AT1956" s="68" t="s">
        <v>172</v>
      </c>
      <c r="AU1956" s="68" t="s">
        <v>186</v>
      </c>
      <c r="AV1956" s="68" t="s">
        <v>137</v>
      </c>
      <c r="AW1956" s="1308" t="s">
        <v>11653</v>
      </c>
      <c r="AX1956" s="68" t="s">
        <v>143</v>
      </c>
      <c r="AY1956" s="61" t="str">
        <f>IFERROR(__xludf.DUMMYFUNCTION("vlookup(BB1956,importrange(""https://docs.google.com/spreadsheets/d/1d2vevQ_7D_v35q4wCQ4RpQ_IPoTwEMB9Yp6ymwlPqew/edit?gid=984458430#gid=984458430"", ""'replication success'!A:K""), 11, FAlSE)"),"")</f>
        <v/>
      </c>
      <c r="AZ1956" s="61" t="str">
        <f>IFERROR(__xludf.DUMMYFUNCTION("vlookup(BB1956,importrange(""https://docs.google.com/spreadsheets/d/1d2vevQ_7D_v35q4wCQ4RpQ_IPoTwEMB9Yp6ymwlPqew/edit?gid=984458430#gid=984458430"", ""'replication success'!A:M""), 12, FAlSE)"),"")</f>
        <v/>
      </c>
      <c r="BA1956" s="61" t="str">
        <f>IFERROR(__xludf.DUMMYFUNCTION("vlookup(BB1956,importrange(""https://docs.google.com/spreadsheets/d/1d2vevQ_7D_v35q4wCQ4RpQ_IPoTwEMB9Yp6ymwlPqew/edit?gid=984458430#gid=984458430"", ""'replication success'!A:M""), 13, FAlSE)"),"abstract")</f>
        <v>abstract</v>
      </c>
      <c r="BB1956" s="61" t="str">
        <f>IFERROR(__xludf.DUMMYFUNCTION("REGEXREPLACE(G1956, ""_[a-z]{1,2}$"", """")"),"osc2015167")</f>
        <v>osc2015167</v>
      </c>
      <c r="BD1956" s="68" t="s">
        <v>1441</v>
      </c>
    </row>
    <row r="1957">
      <c r="A1957" s="44">
        <v>1957.0</v>
      </c>
      <c r="B1957" s="68" t="s">
        <v>114</v>
      </c>
      <c r="C1957" s="62" t="s">
        <v>115</v>
      </c>
      <c r="D1957" s="62" t="s">
        <v>153</v>
      </c>
      <c r="F1957" s="159" t="s">
        <v>11640</v>
      </c>
      <c r="G1957" s="1449" t="s">
        <v>11641</v>
      </c>
      <c r="H1957" s="159" t="s">
        <v>153</v>
      </c>
      <c r="I1957" s="529">
        <v>45690.0</v>
      </c>
      <c r="J1957" s="1376">
        <v>45693.0</v>
      </c>
      <c r="K1957" s="68"/>
      <c r="L1957" s="68"/>
      <c r="M1957" s="1909" t="s">
        <v>11644</v>
      </c>
      <c r="N1957" s="437" t="s">
        <v>11645</v>
      </c>
      <c r="O1957" s="156">
        <v>1.0</v>
      </c>
      <c r="P1957" s="1581" t="s">
        <v>11646</v>
      </c>
      <c r="Q1957" s="52" t="str">
        <f t="array" ref="Q1957"> if(iserror(MATCH(V1957, 'File Links'!C:C, 0)), "N/A", HYPERLINK(INDEX('File Links'!B:B, MATCH(P1957, 'File Links'!C:C, 0))))</f>
        <v>https://drive.google.com/file/d/1XqhWmKG3ZvoLJmLnPSVfonhhVjkaOyOo/view?usp=drivesdk</v>
      </c>
      <c r="R1957" s="159" t="s">
        <v>11647</v>
      </c>
      <c r="S1957" s="437" t="s">
        <v>10720</v>
      </c>
      <c r="T1957" s="68"/>
      <c r="U1957" s="336">
        <v>1.0</v>
      </c>
      <c r="V1957" s="198" t="str">
        <f t="shared" si="120"/>
        <v>10.1126--science.aac4716.pdf</v>
      </c>
      <c r="W1957" s="159" t="s">
        <v>164</v>
      </c>
      <c r="X1957" s="54" t="str">
        <f t="array" ref="X1957"> if(iserror(MATCH(V1957, 'File Links'!C:C, 0)), "N/A", HYPERLINK(INDEX('File Links'!B:B, MATCH(V1957, 'File Links'!C:C, 0))))</f>
        <v>https://drive.google.com/file/d/1UMAh9VGta6ExS2-Lb6GkDF4fmnI2EMeM/view?usp=drivesdk</v>
      </c>
      <c r="Y1957" s="68"/>
      <c r="Z1957" s="159" t="s">
        <v>148</v>
      </c>
      <c r="AA1957" s="159" t="s">
        <v>11654</v>
      </c>
      <c r="AB1957" s="159" t="s">
        <v>11655</v>
      </c>
      <c r="AC1957" s="159" t="s">
        <v>11650</v>
      </c>
      <c r="AD1957" s="159" t="s">
        <v>11656</v>
      </c>
      <c r="AE1957" s="156">
        <v>2.0</v>
      </c>
      <c r="AF1957" s="156">
        <v>18.0</v>
      </c>
      <c r="AG1957" s="156" t="s">
        <v>11652</v>
      </c>
      <c r="AH1957" s="159" t="s">
        <v>134</v>
      </c>
      <c r="AI1957" s="159" t="s">
        <v>875</v>
      </c>
      <c r="AJ1957" s="709" t="s">
        <v>138</v>
      </c>
      <c r="AK1957" s="61"/>
      <c r="AL1957" s="57" t="s">
        <v>186</v>
      </c>
      <c r="AM1957" s="68" t="s">
        <v>137</v>
      </c>
      <c r="AN1957" s="1058" t="s">
        <v>138</v>
      </c>
      <c r="AO1957" s="336">
        <v>22.0</v>
      </c>
      <c r="AP1957" s="336">
        <v>0.065</v>
      </c>
      <c r="AQ1957" s="1917" t="s">
        <v>139</v>
      </c>
      <c r="AR1957" s="159" t="s">
        <v>875</v>
      </c>
      <c r="AS1957" s="156">
        <v>0.24</v>
      </c>
      <c r="AT1957" s="159" t="s">
        <v>172</v>
      </c>
      <c r="AU1957" s="159" t="s">
        <v>186</v>
      </c>
      <c r="AV1957" s="68" t="s">
        <v>137</v>
      </c>
      <c r="AW1957" s="435" t="s">
        <v>11657</v>
      </c>
      <c r="AX1957" s="68" t="s">
        <v>143</v>
      </c>
      <c r="AY1957" s="61" t="str">
        <f>IFERROR(__xludf.DUMMYFUNCTION("vlookup(BB1957,importrange(""https://docs.google.com/spreadsheets/d/1d2vevQ_7D_v35q4wCQ4RpQ_IPoTwEMB9Yp6ymwlPqew/edit?gid=984458430#gid=984458430"", ""'replication success'!A:K""), 11, FAlSE)"),"")</f>
        <v/>
      </c>
      <c r="AZ1957" s="61" t="str">
        <f>IFERROR(__xludf.DUMMYFUNCTION("vlookup(BB1957,importrange(""https://docs.google.com/spreadsheets/d/1d2vevQ_7D_v35q4wCQ4RpQ_IPoTwEMB9Yp6ymwlPqew/edit?gid=984458430#gid=984458430"", ""'replication success'!A:M""), 12, FAlSE)"),"")</f>
        <v/>
      </c>
      <c r="BA1957" s="61" t="str">
        <f>IFERROR(__xludf.DUMMYFUNCTION("vlookup(BB1957,importrange(""https://docs.google.com/spreadsheets/d/1d2vevQ_7D_v35q4wCQ4RpQ_IPoTwEMB9Yp6ymwlPqew/edit?gid=984458430#gid=984458430"", ""'replication success'!A:M""), 13, FAlSE)"),"abstract")</f>
        <v>abstract</v>
      </c>
      <c r="BB1957" s="61" t="str">
        <f>IFERROR(__xludf.DUMMYFUNCTION("REGEXREPLACE(G1957, ""_[a-z]{1,2}$"", """")"),"osc2015167")</f>
        <v>osc2015167</v>
      </c>
      <c r="BD1957" s="68" t="s">
        <v>1441</v>
      </c>
    </row>
    <row r="1958">
      <c r="A1958" s="44">
        <v>1958.0</v>
      </c>
      <c r="B1958" s="68" t="s">
        <v>152</v>
      </c>
      <c r="C1958" s="62" t="s">
        <v>115</v>
      </c>
      <c r="D1958" s="62" t="s">
        <v>1441</v>
      </c>
      <c r="F1958" s="159" t="s">
        <v>11658</v>
      </c>
      <c r="G1958" s="1449" t="s">
        <v>11659</v>
      </c>
      <c r="H1958" s="159" t="s">
        <v>11660</v>
      </c>
      <c r="I1958" s="529">
        <v>45690.0</v>
      </c>
      <c r="J1958" s="1376">
        <v>45693.0</v>
      </c>
      <c r="K1958" s="68"/>
      <c r="L1958" s="68" t="s">
        <v>11661</v>
      </c>
      <c r="M1958" s="1909" t="s">
        <v>11662</v>
      </c>
      <c r="N1958" s="159" t="s">
        <v>11663</v>
      </c>
      <c r="O1958" s="336">
        <v>2.0</v>
      </c>
      <c r="P1958" s="1581" t="s">
        <v>11664</v>
      </c>
      <c r="Q1958" s="52" t="str">
        <f t="array" ref="Q1958"> if(iserror(MATCH(V1958, 'File Links'!C:C, 0)), "N/A", HYPERLINK(INDEX('File Links'!B:B, MATCH(P1958, 'File Links'!C:C, 0))))</f>
        <v>https://drive.google.com/file/d/1cOFI1sWmcyfR3tFVOvV90FUY4g-TwC4Z/view?usp=drivesdk</v>
      </c>
      <c r="R1958" s="159" t="s">
        <v>11665</v>
      </c>
      <c r="S1958" s="437" t="s">
        <v>10720</v>
      </c>
      <c r="T1958" s="129"/>
      <c r="U1958" s="336">
        <v>1.0</v>
      </c>
      <c r="V1958" s="198" t="str">
        <f t="shared" si="120"/>
        <v>10.1126--science.aac4716.pdf</v>
      </c>
      <c r="W1958" s="68" t="s">
        <v>3570</v>
      </c>
      <c r="X1958" s="54" t="str">
        <f t="array" ref="X1958"> if(iserror(MATCH(V1958, 'File Links'!C:C, 0)), "N/A", HYPERLINK(INDEX('File Links'!B:B, MATCH(V1958, 'File Links'!C:C, 0))))</f>
        <v>https://drive.google.com/file/d/1UMAh9VGta6ExS2-Lb6GkDF4fmnI2EMeM/view?usp=drivesdk</v>
      </c>
      <c r="Y1958" s="68"/>
      <c r="Z1958" s="68" t="s">
        <v>148</v>
      </c>
      <c r="AA1958" s="68" t="s">
        <v>11666</v>
      </c>
      <c r="AB1958" s="159" t="s">
        <v>11667</v>
      </c>
      <c r="AC1958" s="1914" t="s">
        <v>11668</v>
      </c>
      <c r="AD1958" s="68" t="s">
        <v>11669</v>
      </c>
      <c r="AE1958" s="336">
        <v>14.0</v>
      </c>
      <c r="AF1958" s="156">
        <v>39.0</v>
      </c>
      <c r="AG1958" s="68" t="s">
        <v>11670</v>
      </c>
      <c r="AH1958" s="68" t="s">
        <v>134</v>
      </c>
      <c r="AI1958" s="68" t="s">
        <v>2229</v>
      </c>
      <c r="AJ1958" s="337">
        <v>0.001</v>
      </c>
      <c r="AK1958" s="61" t="s">
        <v>135</v>
      </c>
      <c r="AL1958" s="61" t="s">
        <v>186</v>
      </c>
      <c r="AM1958" s="68" t="s">
        <v>141</v>
      </c>
      <c r="AN1958" s="1058" t="s">
        <v>138</v>
      </c>
      <c r="AO1958" s="156">
        <v>47.0</v>
      </c>
      <c r="AP1958" s="336">
        <v>0.28</v>
      </c>
      <c r="AQ1958" s="68" t="s">
        <v>874</v>
      </c>
      <c r="AR1958" s="68" t="s">
        <v>7547</v>
      </c>
      <c r="AS1958" s="336">
        <v>3.0E-5</v>
      </c>
      <c r="AT1958" s="68" t="s">
        <v>172</v>
      </c>
      <c r="AU1958" s="68" t="s">
        <v>186</v>
      </c>
      <c r="AV1958" s="68" t="s">
        <v>141</v>
      </c>
      <c r="AW1958" s="1308" t="s">
        <v>11671</v>
      </c>
      <c r="AX1958" s="68" t="s">
        <v>143</v>
      </c>
      <c r="AY1958" s="61" t="str">
        <f>IFERROR(__xludf.DUMMYFUNCTION("vlookup(BB1958,importrange(""https://docs.google.com/spreadsheets/d/1d2vevQ_7D_v35q4wCQ4RpQ_IPoTwEMB9Yp6ymwlPqew/edit?gid=984458430#gid=984458430"", ""'replication success'!A:K""), 11, FAlSE)"),"")</f>
        <v/>
      </c>
      <c r="AZ1958" s="61" t="str">
        <f>IFERROR(__xludf.DUMMYFUNCTION("vlookup(BB1958,importrange(""https://docs.google.com/spreadsheets/d/1d2vevQ_7D_v35q4wCQ4RpQ_IPoTwEMB9Yp6ymwlPqew/edit?gid=984458430#gid=984458430"", ""'replication success'!A:M""), 12, FAlSE)"),"")</f>
        <v/>
      </c>
      <c r="BA1958" s="61" t="str">
        <f>IFERROR(__xludf.DUMMYFUNCTION("vlookup(BB1958,importrange(""https://docs.google.com/spreadsheets/d/1d2vevQ_7D_v35q4wCQ4RpQ_IPoTwEMB9Yp6ymwlPqew/edit?gid=984458430#gid=984458430"", ""'replication success'!A:M""), 13, FAlSE)"),"abstract")</f>
        <v>abstract</v>
      </c>
      <c r="BB1958" s="61" t="str">
        <f>IFERROR(__xludf.DUMMYFUNCTION("REGEXREPLACE(G1958, ""_[a-z]{1,2}$"", """")"),"osc201517")</f>
        <v>osc201517</v>
      </c>
      <c r="BD1958" s="68" t="s">
        <v>1441</v>
      </c>
    </row>
    <row r="1959">
      <c r="A1959" s="44">
        <v>1959.0</v>
      </c>
      <c r="B1959" s="68" t="s">
        <v>114</v>
      </c>
      <c r="C1959" s="62" t="s">
        <v>115</v>
      </c>
      <c r="D1959" s="62" t="s">
        <v>153</v>
      </c>
      <c r="F1959" s="159" t="s">
        <v>11658</v>
      </c>
      <c r="G1959" s="1449" t="s">
        <v>11659</v>
      </c>
      <c r="H1959" s="159" t="s">
        <v>153</v>
      </c>
      <c r="I1959" s="529">
        <v>45690.0</v>
      </c>
      <c r="J1959" s="1376">
        <v>45693.0</v>
      </c>
      <c r="K1959" s="68"/>
      <c r="L1959" s="68"/>
      <c r="M1959" s="1909" t="s">
        <v>11662</v>
      </c>
      <c r="N1959" s="437" t="s">
        <v>11663</v>
      </c>
      <c r="O1959" s="156">
        <v>2.0</v>
      </c>
      <c r="P1959" s="1581" t="s">
        <v>11664</v>
      </c>
      <c r="Q1959" s="52" t="str">
        <f t="array" ref="Q1959"> if(iserror(MATCH(V1959, 'File Links'!C:C, 0)), "N/A", HYPERLINK(INDEX('File Links'!B:B, MATCH(P1959, 'File Links'!C:C, 0))))</f>
        <v>https://drive.google.com/file/d/1cOFI1sWmcyfR3tFVOvV90FUY4g-TwC4Z/view?usp=drivesdk</v>
      </c>
      <c r="R1959" s="159" t="s">
        <v>11665</v>
      </c>
      <c r="S1959" s="437" t="s">
        <v>10720</v>
      </c>
      <c r="T1959" s="68"/>
      <c r="U1959" s="336">
        <v>1.0</v>
      </c>
      <c r="V1959" s="198" t="str">
        <f t="shared" si="120"/>
        <v>10.1126--science.aac4716.pdf</v>
      </c>
      <c r="W1959" s="159" t="s">
        <v>3570</v>
      </c>
      <c r="X1959" s="54" t="str">
        <f t="array" ref="X1959"> if(iserror(MATCH(V1959, 'File Links'!C:C, 0)), "N/A", HYPERLINK(INDEX('File Links'!B:B, MATCH(V1959, 'File Links'!C:C, 0))))</f>
        <v>https://drive.google.com/file/d/1UMAh9VGta6ExS2-Lb6GkDF4fmnI2EMeM/view?usp=drivesdk</v>
      </c>
      <c r="Y1959" s="68"/>
      <c r="Z1959" s="159" t="s">
        <v>148</v>
      </c>
      <c r="AA1959" s="159" t="s">
        <v>11672</v>
      </c>
      <c r="AB1959" s="159" t="s">
        <v>11673</v>
      </c>
      <c r="AC1959" s="159" t="s">
        <v>11668</v>
      </c>
      <c r="AD1959" s="159" t="s">
        <v>11674</v>
      </c>
      <c r="AE1959" s="156">
        <v>14.0</v>
      </c>
      <c r="AF1959" s="156">
        <v>39.0</v>
      </c>
      <c r="AG1959" s="156" t="s">
        <v>11670</v>
      </c>
      <c r="AH1959" s="159" t="s">
        <v>134</v>
      </c>
      <c r="AI1959" s="159" t="s">
        <v>2229</v>
      </c>
      <c r="AJ1959" s="709">
        <v>0.001</v>
      </c>
      <c r="AK1959" s="57" t="s">
        <v>135</v>
      </c>
      <c r="AL1959" s="57" t="s">
        <v>186</v>
      </c>
      <c r="AM1959" s="68" t="s">
        <v>141</v>
      </c>
      <c r="AN1959" s="1058" t="s">
        <v>138</v>
      </c>
      <c r="AO1959" s="336">
        <v>47.0</v>
      </c>
      <c r="AP1959" s="336">
        <v>0.054</v>
      </c>
      <c r="AQ1959" s="159" t="s">
        <v>139</v>
      </c>
      <c r="AR1959" s="159" t="s">
        <v>850</v>
      </c>
      <c r="AS1959" s="156">
        <v>3.0E-5</v>
      </c>
      <c r="AT1959" s="159" t="s">
        <v>172</v>
      </c>
      <c r="AU1959" s="159" t="s">
        <v>186</v>
      </c>
      <c r="AV1959" s="68" t="s">
        <v>141</v>
      </c>
      <c r="AW1959" s="435" t="s">
        <v>11675</v>
      </c>
      <c r="AX1959" s="68" t="s">
        <v>143</v>
      </c>
      <c r="AY1959" s="61" t="str">
        <f>IFERROR(__xludf.DUMMYFUNCTION("vlookup(BB1959,importrange(""https://docs.google.com/spreadsheets/d/1d2vevQ_7D_v35q4wCQ4RpQ_IPoTwEMB9Yp6ymwlPqew/edit?gid=984458430#gid=984458430"", ""'replication success'!A:K""), 11, FAlSE)"),"")</f>
        <v/>
      </c>
      <c r="AZ1959" s="61" t="str">
        <f>IFERROR(__xludf.DUMMYFUNCTION("vlookup(BB1959,importrange(""https://docs.google.com/spreadsheets/d/1d2vevQ_7D_v35q4wCQ4RpQ_IPoTwEMB9Yp6ymwlPqew/edit?gid=984458430#gid=984458430"", ""'replication success'!A:M""), 12, FAlSE)"),"")</f>
        <v/>
      </c>
      <c r="BA1959" s="61" t="str">
        <f>IFERROR(__xludf.DUMMYFUNCTION("vlookup(BB1959,importrange(""https://docs.google.com/spreadsheets/d/1d2vevQ_7D_v35q4wCQ4RpQ_IPoTwEMB9Yp6ymwlPqew/edit?gid=984458430#gid=984458430"", ""'replication success'!A:M""), 13, FAlSE)"),"abstract")</f>
        <v>abstract</v>
      </c>
      <c r="BB1959" s="61" t="str">
        <f>IFERROR(__xludf.DUMMYFUNCTION("REGEXREPLACE(G1959, ""_[a-z]{1,2}$"", """")"),"osc201517")</f>
        <v>osc201517</v>
      </c>
      <c r="BD1959" s="68" t="s">
        <v>1441</v>
      </c>
    </row>
    <row r="1960">
      <c r="A1960" s="44">
        <v>1960.0</v>
      </c>
      <c r="B1960" s="68" t="s">
        <v>152</v>
      </c>
      <c r="C1960" s="62" t="s">
        <v>115</v>
      </c>
      <c r="D1960" s="62" t="s">
        <v>1441</v>
      </c>
      <c r="F1960" s="159" t="s">
        <v>11676</v>
      </c>
      <c r="G1960" s="1449" t="s">
        <v>11677</v>
      </c>
      <c r="H1960" s="159" t="s">
        <v>11678</v>
      </c>
      <c r="I1960" s="529">
        <v>45690.0</v>
      </c>
      <c r="J1960" s="1376">
        <v>45693.0</v>
      </c>
      <c r="K1960" s="68"/>
      <c r="L1960" s="68"/>
      <c r="M1960" s="1909" t="s">
        <v>11679</v>
      </c>
      <c r="N1960" s="437" t="s">
        <v>11680</v>
      </c>
      <c r="O1960" s="336">
        <v>3.0</v>
      </c>
      <c r="P1960" s="1581" t="s">
        <v>11681</v>
      </c>
      <c r="Q1960" s="52" t="str">
        <f t="array" ref="Q1960"> if(iserror(MATCH(V1960, 'File Links'!C:C, 0)), "N/A", HYPERLINK(INDEX('File Links'!B:B, MATCH(P1960, 'File Links'!C:C, 0))))</f>
        <v>https://drive.google.com/file/d/128D_xuWagaOC3zKfGWUi8CFf7zReyViC/view?usp=drivesdk</v>
      </c>
      <c r="R1960" s="159" t="s">
        <v>11682</v>
      </c>
      <c r="S1960" s="437" t="s">
        <v>10720</v>
      </c>
      <c r="T1960" s="68"/>
      <c r="U1960" s="336">
        <v>1.0</v>
      </c>
      <c r="V1960" s="198" t="str">
        <f t="shared" si="120"/>
        <v>10.1126--science.aac4716.pdf</v>
      </c>
      <c r="W1960" s="68" t="s">
        <v>164</v>
      </c>
      <c r="X1960" s="54" t="str">
        <f t="array" ref="X1960"> if(iserror(MATCH(V1960, 'File Links'!C:C, 0)), "N/A", HYPERLINK(INDEX('File Links'!B:B, MATCH(V1960, 'File Links'!C:C, 0))))</f>
        <v>https://drive.google.com/file/d/1UMAh9VGta6ExS2-Lb6GkDF4fmnI2EMeM/view?usp=drivesdk</v>
      </c>
      <c r="Y1960" s="68"/>
      <c r="Z1960" s="68" t="s">
        <v>148</v>
      </c>
      <c r="AA1960" s="68" t="s">
        <v>11683</v>
      </c>
      <c r="AB1960" s="159" t="s">
        <v>11684</v>
      </c>
      <c r="AC1960" s="1914" t="s">
        <v>11685</v>
      </c>
      <c r="AD1960" s="68" t="s">
        <v>11686</v>
      </c>
      <c r="AE1960" s="336">
        <v>15.0</v>
      </c>
      <c r="AF1960" s="156">
        <v>32.0</v>
      </c>
      <c r="AG1960" s="336">
        <v>0.31</v>
      </c>
      <c r="AH1960" s="68" t="s">
        <v>874</v>
      </c>
      <c r="AI1960" s="68" t="s">
        <v>627</v>
      </c>
      <c r="AJ1960" s="337">
        <v>0.001</v>
      </c>
      <c r="AK1960" s="61" t="s">
        <v>135</v>
      </c>
      <c r="AL1960" s="61" t="s">
        <v>136</v>
      </c>
      <c r="AM1960" s="68" t="s">
        <v>141</v>
      </c>
      <c r="AN1960" s="1058" t="s">
        <v>138</v>
      </c>
      <c r="AO1960" s="336">
        <v>21.0</v>
      </c>
      <c r="AP1960" s="336">
        <v>0.162</v>
      </c>
      <c r="AQ1960" s="68" t="s">
        <v>874</v>
      </c>
      <c r="AR1960" s="68" t="s">
        <v>140</v>
      </c>
      <c r="AS1960" s="336">
        <v>0.071</v>
      </c>
      <c r="AT1960" s="68" t="s">
        <v>172</v>
      </c>
      <c r="AU1960" s="68" t="s">
        <v>136</v>
      </c>
      <c r="AV1960" s="68" t="s">
        <v>141</v>
      </c>
      <c r="AW1960" s="435" t="s">
        <v>11687</v>
      </c>
      <c r="AX1960" s="68" t="s">
        <v>143</v>
      </c>
      <c r="AY1960" s="61" t="str">
        <f>IFERROR(__xludf.DUMMYFUNCTION("vlookup(BB1960,importrange(""https://docs.google.com/spreadsheets/d/1d2vevQ_7D_v35q4wCQ4RpQ_IPoTwEMB9Yp6ymwlPqew/edit?gid=984458430#gid=984458430"", ""'replication success'!A:K""), 11, FAlSE)"),"")</f>
        <v/>
      </c>
      <c r="AZ1960" s="61" t="str">
        <f>IFERROR(__xludf.DUMMYFUNCTION("vlookup(BB1960,importrange(""https://docs.google.com/spreadsheets/d/1d2vevQ_7D_v35q4wCQ4RpQ_IPoTwEMB9Yp6ymwlPqew/edit?gid=984458430#gid=984458430"", ""'replication success'!A:M""), 12, FAlSE)"),"")</f>
        <v/>
      </c>
      <c r="BA1960" s="61" t="str">
        <f>IFERROR(__xludf.DUMMYFUNCTION("vlookup(BB1960,importrange(""https://docs.google.com/spreadsheets/d/1d2vevQ_7D_v35q4wCQ4RpQ_IPoTwEMB9Yp6ymwlPqew/edit?gid=984458430#gid=984458430"", ""'replication success'!A:M""), 13, FAlSE)"),"abstract")</f>
        <v>abstract</v>
      </c>
      <c r="BB1960" s="61" t="str">
        <f>IFERROR(__xludf.DUMMYFUNCTION("REGEXREPLACE(G1960, ""_[a-z]{1,2}$"", """")"),"osc201519")</f>
        <v>osc201519</v>
      </c>
      <c r="BD1960" s="68" t="s">
        <v>1441</v>
      </c>
    </row>
    <row r="1961">
      <c r="A1961" s="44">
        <v>1961.0</v>
      </c>
      <c r="B1961" s="68" t="s">
        <v>114</v>
      </c>
      <c r="C1961" s="62" t="s">
        <v>115</v>
      </c>
      <c r="D1961" s="62" t="s">
        <v>153</v>
      </c>
      <c r="F1961" s="159" t="s">
        <v>11676</v>
      </c>
      <c r="G1961" s="1449" t="s">
        <v>11677</v>
      </c>
      <c r="H1961" s="159" t="s">
        <v>153</v>
      </c>
      <c r="I1961" s="529">
        <v>45690.0</v>
      </c>
      <c r="J1961" s="1376">
        <v>45693.0</v>
      </c>
      <c r="K1961" s="159" t="s">
        <v>11688</v>
      </c>
      <c r="L1961" s="68"/>
      <c r="M1961" s="1909" t="s">
        <v>11679</v>
      </c>
      <c r="N1961" s="159" t="s">
        <v>11680</v>
      </c>
      <c r="O1961" s="156">
        <v>3.0</v>
      </c>
      <c r="P1961" s="1581" t="s">
        <v>11681</v>
      </c>
      <c r="Q1961" s="52" t="str">
        <f t="array" ref="Q1961"> if(iserror(MATCH(V1961, 'File Links'!C:C, 0)), "N/A", HYPERLINK(INDEX('File Links'!B:B, MATCH(P1961, 'File Links'!C:C, 0))))</f>
        <v>https://drive.google.com/file/d/128D_xuWagaOC3zKfGWUi8CFf7zReyViC/view?usp=drivesdk</v>
      </c>
      <c r="R1961" s="159" t="s">
        <v>11682</v>
      </c>
      <c r="S1961" s="437" t="s">
        <v>10720</v>
      </c>
      <c r="T1961" s="129"/>
      <c r="U1961" s="336">
        <v>1.0</v>
      </c>
      <c r="V1961" s="198" t="str">
        <f t="shared" si="120"/>
        <v>10.1126--science.aac4716.pdf</v>
      </c>
      <c r="W1961" s="159" t="s">
        <v>164</v>
      </c>
      <c r="X1961" s="54" t="str">
        <f t="array" ref="X1961"> if(iserror(MATCH(V1961, 'File Links'!C:C, 0)), "N/A", HYPERLINK(INDEX('File Links'!B:B, MATCH(V1961, 'File Links'!C:C, 0))))</f>
        <v>https://drive.google.com/file/d/1UMAh9VGta6ExS2-Lb6GkDF4fmnI2EMeM/view?usp=drivesdk</v>
      </c>
      <c r="Y1961" s="68"/>
      <c r="Z1961" s="159" t="s">
        <v>148</v>
      </c>
      <c r="AA1961" s="159" t="s">
        <v>11689</v>
      </c>
      <c r="AB1961" s="159" t="s">
        <v>11690</v>
      </c>
      <c r="AC1961" s="159" t="s">
        <v>11685</v>
      </c>
      <c r="AD1961" s="159" t="s">
        <v>11691</v>
      </c>
      <c r="AE1961" s="156">
        <v>15.0</v>
      </c>
      <c r="AF1961" s="156">
        <v>32.0</v>
      </c>
      <c r="AG1961" s="156">
        <v>0.31</v>
      </c>
      <c r="AH1961" s="1917" t="s">
        <v>139</v>
      </c>
      <c r="AI1961" s="159" t="s">
        <v>627</v>
      </c>
      <c r="AJ1961" s="337">
        <v>0.001</v>
      </c>
      <c r="AK1961" s="57" t="s">
        <v>135</v>
      </c>
      <c r="AL1961" s="57" t="s">
        <v>136</v>
      </c>
      <c r="AM1961" s="1915" t="s">
        <v>137</v>
      </c>
      <c r="AN1961" s="1058" t="s">
        <v>138</v>
      </c>
      <c r="AO1961" s="156">
        <v>21.0</v>
      </c>
      <c r="AP1961" s="156">
        <v>0.162</v>
      </c>
      <c r="AQ1961" s="1917" t="s">
        <v>139</v>
      </c>
      <c r="AR1961" s="159" t="s">
        <v>140</v>
      </c>
      <c r="AS1961" s="156">
        <v>0.071</v>
      </c>
      <c r="AT1961" s="159" t="s">
        <v>172</v>
      </c>
      <c r="AU1961" s="159" t="s">
        <v>136</v>
      </c>
      <c r="AV1961" s="1915" t="s">
        <v>137</v>
      </c>
      <c r="AW1961" s="435" t="s">
        <v>11687</v>
      </c>
      <c r="AX1961" s="68" t="s">
        <v>143</v>
      </c>
      <c r="AY1961" s="61" t="str">
        <f>IFERROR(__xludf.DUMMYFUNCTION("vlookup(BB1961,importrange(""https://docs.google.com/spreadsheets/d/1d2vevQ_7D_v35q4wCQ4RpQ_IPoTwEMB9Yp6ymwlPqew/edit?gid=984458430#gid=984458430"", ""'replication success'!A:K""), 11, FAlSE)"),"")</f>
        <v/>
      </c>
      <c r="AZ1961" s="61" t="str">
        <f>IFERROR(__xludf.DUMMYFUNCTION("vlookup(BB1961,importrange(""https://docs.google.com/spreadsheets/d/1d2vevQ_7D_v35q4wCQ4RpQ_IPoTwEMB9Yp6ymwlPqew/edit?gid=984458430#gid=984458430"", ""'replication success'!A:M""), 12, FAlSE)"),"")</f>
        <v/>
      </c>
      <c r="BA1961" s="61" t="str">
        <f>IFERROR(__xludf.DUMMYFUNCTION("vlookup(BB1961,importrange(""https://docs.google.com/spreadsheets/d/1d2vevQ_7D_v35q4wCQ4RpQ_IPoTwEMB9Yp6ymwlPqew/edit?gid=984458430#gid=984458430"", ""'replication success'!A:M""), 13, FAlSE)"),"abstract")</f>
        <v>abstract</v>
      </c>
      <c r="BB1961" s="61" t="str">
        <f>IFERROR(__xludf.DUMMYFUNCTION("REGEXREPLACE(G1961, ""_[a-z]{1,2}$"", """")"),"osc201519")</f>
        <v>osc201519</v>
      </c>
      <c r="BD1961" s="68" t="s">
        <v>1441</v>
      </c>
    </row>
    <row r="1962">
      <c r="A1962" s="44">
        <v>1962.0</v>
      </c>
      <c r="B1962" s="68" t="s">
        <v>152</v>
      </c>
      <c r="C1962" s="62" t="s">
        <v>115</v>
      </c>
      <c r="D1962" s="62" t="s">
        <v>1441</v>
      </c>
      <c r="F1962" s="159" t="s">
        <v>11692</v>
      </c>
      <c r="G1962" s="1449" t="s">
        <v>11693</v>
      </c>
      <c r="H1962" s="159" t="s">
        <v>11694</v>
      </c>
      <c r="I1962" s="529">
        <v>45690.0</v>
      </c>
      <c r="J1962" s="1376">
        <v>45693.0</v>
      </c>
      <c r="K1962" s="68"/>
      <c r="L1962" s="68"/>
      <c r="M1962" s="1909" t="s">
        <v>11695</v>
      </c>
      <c r="N1962" s="437" t="s">
        <v>6610</v>
      </c>
      <c r="O1962" s="336">
        <v>6.0</v>
      </c>
      <c r="P1962" s="1581" t="s">
        <v>11696</v>
      </c>
      <c r="Q1962" s="52" t="str">
        <f t="array" ref="Q1962"> if(iserror(MATCH(V1962, 'File Links'!C:C, 0)), "N/A", HYPERLINK(INDEX('File Links'!B:B, MATCH(P1962, 'File Links'!C:C, 0))))</f>
        <v>https://drive.google.com/file/d/1qNTfBnw7SpCi3blakzyKQFcGYOfOx3la/view?usp=drivesdk</v>
      </c>
      <c r="R1962" s="159" t="s">
        <v>11697</v>
      </c>
      <c r="S1962" s="437" t="s">
        <v>10720</v>
      </c>
      <c r="T1962" s="68"/>
      <c r="U1962" s="336">
        <v>1.0</v>
      </c>
      <c r="V1962" s="198" t="str">
        <f t="shared" si="120"/>
        <v>10.1126--science.aac4716.pdf</v>
      </c>
      <c r="W1962" s="68" t="s">
        <v>164</v>
      </c>
      <c r="X1962" s="54" t="str">
        <f t="array" ref="X1962"> if(iserror(MATCH(V1962, 'File Links'!C:C, 0)), "N/A", HYPERLINK(INDEX('File Links'!B:B, MATCH(V1962, 'File Links'!C:C, 0))))</f>
        <v>https://drive.google.com/file/d/1UMAh9VGta6ExS2-Lb6GkDF4fmnI2EMeM/view?usp=drivesdk</v>
      </c>
      <c r="Y1962" s="68"/>
      <c r="Z1962" s="68" t="s">
        <v>148</v>
      </c>
      <c r="AA1962" s="159" t="s">
        <v>11698</v>
      </c>
      <c r="AB1962" s="159" t="s">
        <v>11699</v>
      </c>
      <c r="AC1962" s="1914" t="s">
        <v>11700</v>
      </c>
      <c r="AD1962" s="68" t="s">
        <v>11701</v>
      </c>
      <c r="AE1962" s="336">
        <v>17.0</v>
      </c>
      <c r="AF1962" s="156">
        <v>24.0</v>
      </c>
      <c r="AG1962" s="68" t="s">
        <v>11702</v>
      </c>
      <c r="AH1962" s="68" t="s">
        <v>134</v>
      </c>
      <c r="AI1962" s="68" t="s">
        <v>305</v>
      </c>
      <c r="AJ1962" s="337">
        <v>0.005</v>
      </c>
      <c r="AK1962" s="61" t="s">
        <v>135</v>
      </c>
      <c r="AL1962" s="61" t="s">
        <v>136</v>
      </c>
      <c r="AM1962" s="68" t="s">
        <v>141</v>
      </c>
      <c r="AN1962" s="1058" t="s">
        <v>138</v>
      </c>
      <c r="AO1962" s="336">
        <v>24.0</v>
      </c>
      <c r="AP1962" s="336">
        <v>0.051</v>
      </c>
      <c r="AQ1962" s="68" t="s">
        <v>874</v>
      </c>
      <c r="AR1962" s="68" t="s">
        <v>132</v>
      </c>
      <c r="AS1962" s="336">
        <v>0.0269</v>
      </c>
      <c r="AT1962" s="68" t="s">
        <v>172</v>
      </c>
      <c r="AU1962" s="68" t="s">
        <v>136</v>
      </c>
      <c r="AV1962" s="68" t="s">
        <v>141</v>
      </c>
      <c r="AW1962" s="1308" t="s">
        <v>11703</v>
      </c>
      <c r="AX1962" s="68" t="s">
        <v>143</v>
      </c>
      <c r="AY1962" s="61" t="str">
        <f>IFERROR(__xludf.DUMMYFUNCTION("vlookup(BB1962,importrange(""https://docs.google.com/spreadsheets/d/1d2vevQ_7D_v35q4wCQ4RpQ_IPoTwEMB9Yp6ymwlPqew/edit?gid=984458430#gid=984458430"", ""'replication success'!A:K""), 11, FAlSE)"),"")</f>
        <v/>
      </c>
      <c r="AZ1962" s="61" t="str">
        <f>IFERROR(__xludf.DUMMYFUNCTION("vlookup(BB1962,importrange(""https://docs.google.com/spreadsheets/d/1d2vevQ_7D_v35q4wCQ4RpQ_IPoTwEMB9Yp6ymwlPqew/edit?gid=984458430#gid=984458430"", ""'replication success'!A:M""), 12, FAlSE)"),"")</f>
        <v/>
      </c>
      <c r="BA1962" s="61" t="str">
        <f>IFERROR(__xludf.DUMMYFUNCTION("vlookup(BB1962,importrange(""https://docs.google.com/spreadsheets/d/1d2vevQ_7D_v35q4wCQ4RpQ_IPoTwEMB9Yp6ymwlPqew/edit?gid=984458430#gid=984458430"", ""'replication success'!A:M""), 13, FAlSE)"),"abstract")</f>
        <v>abstract</v>
      </c>
      <c r="BB1962" s="61" t="str">
        <f>IFERROR(__xludf.DUMMYFUNCTION("REGEXREPLACE(G1962, ""_[a-z]{1,2}$"", """")"),"osc20152")</f>
        <v>osc20152</v>
      </c>
      <c r="BD1962" s="68" t="s">
        <v>1441</v>
      </c>
    </row>
    <row r="1963">
      <c r="A1963" s="44">
        <v>1963.0</v>
      </c>
      <c r="B1963" s="68" t="s">
        <v>114</v>
      </c>
      <c r="C1963" s="62" t="s">
        <v>115</v>
      </c>
      <c r="D1963" s="62" t="s">
        <v>153</v>
      </c>
      <c r="F1963" s="159" t="s">
        <v>11692</v>
      </c>
      <c r="G1963" s="1449" t="s">
        <v>11693</v>
      </c>
      <c r="H1963" s="159" t="s">
        <v>153</v>
      </c>
      <c r="I1963" s="529">
        <v>45690.0</v>
      </c>
      <c r="J1963" s="1376">
        <v>45693.0</v>
      </c>
      <c r="K1963" s="159" t="s">
        <v>11704</v>
      </c>
      <c r="L1963" s="68"/>
      <c r="M1963" s="1909" t="s">
        <v>11695</v>
      </c>
      <c r="N1963" s="437" t="s">
        <v>6610</v>
      </c>
      <c r="O1963" s="156">
        <v>6.0</v>
      </c>
      <c r="P1963" s="1581" t="s">
        <v>11696</v>
      </c>
      <c r="Q1963" s="52" t="str">
        <f t="array" ref="Q1963"> if(iserror(MATCH(V1963, 'File Links'!C:C, 0)), "N/A", HYPERLINK(INDEX('File Links'!B:B, MATCH(P1963, 'File Links'!C:C, 0))))</f>
        <v>https://drive.google.com/file/d/1qNTfBnw7SpCi3blakzyKQFcGYOfOx3la/view?usp=drivesdk</v>
      </c>
      <c r="R1963" s="159" t="s">
        <v>11697</v>
      </c>
      <c r="S1963" s="437" t="s">
        <v>10720</v>
      </c>
      <c r="T1963" s="68"/>
      <c r="U1963" s="336">
        <v>1.0</v>
      </c>
      <c r="V1963" s="198" t="str">
        <f t="shared" si="120"/>
        <v>10.1126--science.aac4716.pdf</v>
      </c>
      <c r="W1963" s="159" t="s">
        <v>164</v>
      </c>
      <c r="X1963" s="54" t="str">
        <f t="array" ref="X1963"> if(iserror(MATCH(V1963, 'File Links'!C:C, 0)), "N/A", HYPERLINK(INDEX('File Links'!B:B, MATCH(V1963, 'File Links'!C:C, 0))))</f>
        <v>https://drive.google.com/file/d/1UMAh9VGta6ExS2-Lb6GkDF4fmnI2EMeM/view?usp=drivesdk</v>
      </c>
      <c r="Y1963" s="68"/>
      <c r="Z1963" s="159" t="s">
        <v>148</v>
      </c>
      <c r="AA1963" s="159" t="s">
        <v>11705</v>
      </c>
      <c r="AB1963" s="159" t="s">
        <v>11706</v>
      </c>
      <c r="AC1963" s="159" t="s">
        <v>11700</v>
      </c>
      <c r="AD1963" s="159" t="s">
        <v>11707</v>
      </c>
      <c r="AE1963" s="1918">
        <v>11.0</v>
      </c>
      <c r="AF1963" s="156">
        <v>24.0</v>
      </c>
      <c r="AG1963" s="156" t="s">
        <v>11702</v>
      </c>
      <c r="AH1963" s="159" t="s">
        <v>134</v>
      </c>
      <c r="AI1963" s="159" t="s">
        <v>305</v>
      </c>
      <c r="AJ1963" s="709">
        <v>0.005</v>
      </c>
      <c r="AK1963" s="57" t="s">
        <v>135</v>
      </c>
      <c r="AL1963" s="57" t="s">
        <v>136</v>
      </c>
      <c r="AM1963" s="1915" t="s">
        <v>137</v>
      </c>
      <c r="AN1963" s="1058" t="s">
        <v>138</v>
      </c>
      <c r="AO1963" s="336">
        <v>24.0</v>
      </c>
      <c r="AP1963" s="336">
        <v>0.051</v>
      </c>
      <c r="AQ1963" s="1917" t="s">
        <v>139</v>
      </c>
      <c r="AR1963" s="159" t="s">
        <v>628</v>
      </c>
      <c r="AS1963" s="156">
        <v>0.269</v>
      </c>
      <c r="AT1963" s="159" t="s">
        <v>172</v>
      </c>
      <c r="AU1963" s="159" t="s">
        <v>136</v>
      </c>
      <c r="AV1963" s="1915" t="s">
        <v>137</v>
      </c>
      <c r="AW1963" s="435" t="s">
        <v>11708</v>
      </c>
      <c r="AX1963" s="68" t="s">
        <v>143</v>
      </c>
      <c r="AY1963" s="61" t="str">
        <f>IFERROR(__xludf.DUMMYFUNCTION("vlookup(BB1963,importrange(""https://docs.google.com/spreadsheets/d/1d2vevQ_7D_v35q4wCQ4RpQ_IPoTwEMB9Yp6ymwlPqew/edit?gid=984458430#gid=984458430"", ""'replication success'!A:K""), 11, FAlSE)"),"")</f>
        <v/>
      </c>
      <c r="AZ1963" s="61" t="str">
        <f>IFERROR(__xludf.DUMMYFUNCTION("vlookup(BB1963,importrange(""https://docs.google.com/spreadsheets/d/1d2vevQ_7D_v35q4wCQ4RpQ_IPoTwEMB9Yp6ymwlPqew/edit?gid=984458430#gid=984458430"", ""'replication success'!A:M""), 12, FAlSE)"),"")</f>
        <v/>
      </c>
      <c r="BA1963" s="61" t="str">
        <f>IFERROR(__xludf.DUMMYFUNCTION("vlookup(BB1963,importrange(""https://docs.google.com/spreadsheets/d/1d2vevQ_7D_v35q4wCQ4RpQ_IPoTwEMB9Yp6ymwlPqew/edit?gid=984458430#gid=984458430"", ""'replication success'!A:M""), 13, FAlSE)"),"abstract")</f>
        <v>abstract</v>
      </c>
      <c r="BB1963" s="61" t="str">
        <f>IFERROR(__xludf.DUMMYFUNCTION("REGEXREPLACE(G1963, ""_[a-z]{1,2}$"", """")"),"osc20152")</f>
        <v>osc20152</v>
      </c>
      <c r="BD1963" s="68" t="s">
        <v>1441</v>
      </c>
    </row>
    <row r="1964">
      <c r="A1964" s="44">
        <v>1964.0</v>
      </c>
      <c r="B1964" s="68" t="s">
        <v>152</v>
      </c>
      <c r="C1964" s="62" t="s">
        <v>115</v>
      </c>
      <c r="D1964" s="62" t="s">
        <v>1441</v>
      </c>
      <c r="F1964" s="159" t="s">
        <v>11709</v>
      </c>
      <c r="G1964" s="1449" t="s">
        <v>11710</v>
      </c>
      <c r="H1964" s="159" t="s">
        <v>11711</v>
      </c>
      <c r="I1964" s="529">
        <v>45690.0</v>
      </c>
      <c r="J1964" s="1376">
        <v>45693.0</v>
      </c>
      <c r="K1964" s="68" t="s">
        <v>11712</v>
      </c>
      <c r="L1964" s="68"/>
      <c r="M1964" s="1909" t="s">
        <v>11713</v>
      </c>
      <c r="N1964" s="159" t="s">
        <v>11714</v>
      </c>
      <c r="O1964" s="336">
        <v>3.0</v>
      </c>
      <c r="P1964" s="1581" t="s">
        <v>11715</v>
      </c>
      <c r="Q1964" s="52" t="str">
        <f t="array" ref="Q1964"> if(iserror(MATCH(V1964, 'File Links'!C:C, 0)), "N/A", HYPERLINK(INDEX('File Links'!B:B, MATCH(P1964, 'File Links'!C:C, 0))))</f>
        <v>https://drive.google.com/file/d/1jBszlwOALWIwLYvif4D3xVGXucPXKUwU/view?usp=drivesdk</v>
      </c>
      <c r="R1964" s="159" t="s">
        <v>11716</v>
      </c>
      <c r="S1964" s="437" t="s">
        <v>10720</v>
      </c>
      <c r="T1964" s="129"/>
      <c r="U1964" s="336">
        <v>1.0</v>
      </c>
      <c r="V1964" s="198" t="str">
        <f t="shared" si="120"/>
        <v>10.1126--science.aac4716.pdf</v>
      </c>
      <c r="W1964" s="68" t="s">
        <v>164</v>
      </c>
      <c r="X1964" s="54" t="str">
        <f t="array" ref="X1964"> if(iserror(MATCH(V1964, 'File Links'!C:C, 0)), "N/A", HYPERLINK(INDEX('File Links'!B:B, MATCH(V1964, 'File Links'!C:C, 0))))</f>
        <v>https://drive.google.com/file/d/1UMAh9VGta6ExS2-Lb6GkDF4fmnI2EMeM/view?usp=drivesdk</v>
      </c>
      <c r="Y1964" s="68"/>
      <c r="Z1964" s="68" t="s">
        <v>148</v>
      </c>
      <c r="AA1964" s="68" t="s">
        <v>11717</v>
      </c>
      <c r="AB1964" s="159" t="s">
        <v>11718</v>
      </c>
      <c r="AC1964" s="1914" t="s">
        <v>11719</v>
      </c>
      <c r="AD1964" s="68" t="s">
        <v>11720</v>
      </c>
      <c r="AE1964" s="336">
        <v>5.0</v>
      </c>
      <c r="AF1964" s="156">
        <v>96.0</v>
      </c>
      <c r="AG1964" s="336">
        <v>0.05</v>
      </c>
      <c r="AH1964" s="68" t="s">
        <v>139</v>
      </c>
      <c r="AI1964" s="68" t="s">
        <v>813</v>
      </c>
      <c r="AJ1964" s="337">
        <v>0.05</v>
      </c>
      <c r="AK1964" s="61" t="s">
        <v>135</v>
      </c>
      <c r="AL1964" s="61" t="s">
        <v>186</v>
      </c>
      <c r="AM1964" s="68" t="s">
        <v>141</v>
      </c>
      <c r="AN1964" s="1058" t="s">
        <v>138</v>
      </c>
      <c r="AO1964" s="156">
        <v>108.0</v>
      </c>
      <c r="AP1964" s="336">
        <v>4.0E-4</v>
      </c>
      <c r="AQ1964" s="68" t="s">
        <v>874</v>
      </c>
      <c r="AR1964" s="68" t="s">
        <v>217</v>
      </c>
      <c r="AS1964" s="336">
        <v>0.84</v>
      </c>
      <c r="AT1964" s="68" t="s">
        <v>172</v>
      </c>
      <c r="AU1964" s="68" t="s">
        <v>186</v>
      </c>
      <c r="AV1964" s="68" t="s">
        <v>141</v>
      </c>
      <c r="AW1964" s="435" t="s">
        <v>11721</v>
      </c>
      <c r="AX1964" s="68" t="s">
        <v>151</v>
      </c>
      <c r="AY1964" s="61" t="str">
        <f>IFERROR(__xludf.DUMMYFUNCTION("vlookup(BB1964,importrange(""https://docs.google.com/spreadsheets/d/1d2vevQ_7D_v35q4wCQ4RpQ_IPoTwEMB9Yp6ymwlPqew/edit?gid=984458430#gid=984458430"", ""'replication success'!A:K""), 11, FAlSE)"),"")</f>
        <v/>
      </c>
      <c r="AZ1964" s="61" t="str">
        <f>IFERROR(__xludf.DUMMYFUNCTION("vlookup(BB1964,importrange(""https://docs.google.com/spreadsheets/d/1d2vevQ_7D_v35q4wCQ4RpQ_IPoTwEMB9Yp6ymwlPqew/edit?gid=984458430#gid=984458430"", ""'replication success'!A:M""), 12, FAlSE)"),"")</f>
        <v/>
      </c>
      <c r="BA1964" s="61" t="str">
        <f>IFERROR(__xludf.DUMMYFUNCTION("vlookup(BB1964,importrange(""https://docs.google.com/spreadsheets/d/1d2vevQ_7D_v35q4wCQ4RpQ_IPoTwEMB9Yp6ymwlPqew/edit?gid=984458430#gid=984458430"", ""'replication success'!A:M""), 13, FAlSE)"),"abstract")</f>
        <v>abstract</v>
      </c>
      <c r="BB1964" s="61" t="str">
        <f>IFERROR(__xludf.DUMMYFUNCTION("REGEXREPLACE(G1964, ""_[a-z]{1,2}$"", """")"),"osc201520")</f>
        <v>osc201520</v>
      </c>
      <c r="BD1964" s="68" t="s">
        <v>1441</v>
      </c>
    </row>
    <row r="1965">
      <c r="A1965" s="44">
        <v>1965.0</v>
      </c>
      <c r="B1965" s="68" t="s">
        <v>114</v>
      </c>
      <c r="C1965" s="62" t="s">
        <v>115</v>
      </c>
      <c r="D1965" s="62" t="s">
        <v>153</v>
      </c>
      <c r="F1965" s="159" t="s">
        <v>11709</v>
      </c>
      <c r="G1965" s="1449" t="s">
        <v>11710</v>
      </c>
      <c r="H1965" s="159" t="s">
        <v>153</v>
      </c>
      <c r="I1965" s="529">
        <v>45690.0</v>
      </c>
      <c r="J1965" s="1376">
        <v>45693.0</v>
      </c>
      <c r="K1965" s="159" t="s">
        <v>11722</v>
      </c>
      <c r="L1965" s="68"/>
      <c r="M1965" s="1909" t="s">
        <v>11713</v>
      </c>
      <c r="N1965" s="437" t="s">
        <v>11714</v>
      </c>
      <c r="O1965" s="156">
        <v>3.0</v>
      </c>
      <c r="P1965" s="1581" t="s">
        <v>11715</v>
      </c>
      <c r="Q1965" s="52" t="str">
        <f t="array" ref="Q1965"> if(iserror(MATCH(V1965, 'File Links'!C:C, 0)), "N/A", HYPERLINK(INDEX('File Links'!B:B, MATCH(P1965, 'File Links'!C:C, 0))))</f>
        <v>https://drive.google.com/file/d/1jBszlwOALWIwLYvif4D3xVGXucPXKUwU/view?usp=drivesdk</v>
      </c>
      <c r="R1965" s="159" t="s">
        <v>11716</v>
      </c>
      <c r="S1965" s="437" t="s">
        <v>10720</v>
      </c>
      <c r="T1965" s="68"/>
      <c r="U1965" s="336">
        <v>1.0</v>
      </c>
      <c r="V1965" s="198" t="str">
        <f t="shared" si="120"/>
        <v>10.1126--science.aac4716.pdf</v>
      </c>
      <c r="W1965" s="159" t="s">
        <v>164</v>
      </c>
      <c r="X1965" s="54" t="str">
        <f t="array" ref="X1965"> if(iserror(MATCH(V1965, 'File Links'!C:C, 0)), "N/A", HYPERLINK(INDEX('File Links'!B:B, MATCH(V1965, 'File Links'!C:C, 0))))</f>
        <v>https://drive.google.com/file/d/1UMAh9VGta6ExS2-Lb6GkDF4fmnI2EMeM/view?usp=drivesdk</v>
      </c>
      <c r="Y1965" s="68"/>
      <c r="Z1965" s="159" t="s">
        <v>148</v>
      </c>
      <c r="AA1965" s="159" t="s">
        <v>11723</v>
      </c>
      <c r="AB1965" s="159" t="s">
        <v>11724</v>
      </c>
      <c r="AC1965" s="159" t="s">
        <v>11719</v>
      </c>
      <c r="AD1965" s="159" t="s">
        <v>11725</v>
      </c>
      <c r="AE1965" s="156">
        <v>5.0</v>
      </c>
      <c r="AF1965" s="156">
        <v>96.0</v>
      </c>
      <c r="AG1965" s="156">
        <v>0.05</v>
      </c>
      <c r="AH1965" s="159" t="s">
        <v>139</v>
      </c>
      <c r="AI1965" s="159" t="s">
        <v>813</v>
      </c>
      <c r="AJ1965" s="709">
        <v>0.05</v>
      </c>
      <c r="AK1965" s="57" t="s">
        <v>135</v>
      </c>
      <c r="AL1965" s="57" t="s">
        <v>186</v>
      </c>
      <c r="AM1965" s="68" t="s">
        <v>141</v>
      </c>
      <c r="AN1965" s="1058" t="s">
        <v>138</v>
      </c>
      <c r="AO1965" s="336">
        <v>108.0</v>
      </c>
      <c r="AP1965" s="336">
        <v>4.0E-4</v>
      </c>
      <c r="AQ1965" s="1917" t="s">
        <v>139</v>
      </c>
      <c r="AR1965" s="159" t="s">
        <v>217</v>
      </c>
      <c r="AS1965" s="156">
        <v>0.84</v>
      </c>
      <c r="AT1965" s="159" t="s">
        <v>172</v>
      </c>
      <c r="AU1965" s="159" t="s">
        <v>186</v>
      </c>
      <c r="AV1965" s="68" t="s">
        <v>141</v>
      </c>
      <c r="AW1965" s="435" t="s">
        <v>11721</v>
      </c>
      <c r="AX1965" s="68" t="s">
        <v>151</v>
      </c>
      <c r="AY1965" s="61" t="str">
        <f>IFERROR(__xludf.DUMMYFUNCTION("vlookup(BB1965,importrange(""https://docs.google.com/spreadsheets/d/1d2vevQ_7D_v35q4wCQ4RpQ_IPoTwEMB9Yp6ymwlPqew/edit?gid=984458430#gid=984458430"", ""'replication success'!A:K""), 11, FAlSE)"),"")</f>
        <v/>
      </c>
      <c r="AZ1965" s="61" t="str">
        <f>IFERROR(__xludf.DUMMYFUNCTION("vlookup(BB1965,importrange(""https://docs.google.com/spreadsheets/d/1d2vevQ_7D_v35q4wCQ4RpQ_IPoTwEMB9Yp6ymwlPqew/edit?gid=984458430#gid=984458430"", ""'replication success'!A:M""), 12, FAlSE)"),"")</f>
        <v/>
      </c>
      <c r="BA1965" s="61" t="str">
        <f>IFERROR(__xludf.DUMMYFUNCTION("vlookup(BB1965,importrange(""https://docs.google.com/spreadsheets/d/1d2vevQ_7D_v35q4wCQ4RpQ_IPoTwEMB9Yp6ymwlPqew/edit?gid=984458430#gid=984458430"", ""'replication success'!A:M""), 13, FAlSE)"),"abstract")</f>
        <v>abstract</v>
      </c>
      <c r="BB1965" s="61" t="str">
        <f>IFERROR(__xludf.DUMMYFUNCTION("REGEXREPLACE(G1965, ""_[a-z]{1,2}$"", """")"),"osc201520")</f>
        <v>osc201520</v>
      </c>
      <c r="BD1965" s="68" t="s">
        <v>1441</v>
      </c>
    </row>
    <row r="1966">
      <c r="A1966" s="44">
        <v>1966.0</v>
      </c>
      <c r="B1966" s="68" t="s">
        <v>152</v>
      </c>
      <c r="C1966" s="62" t="s">
        <v>115</v>
      </c>
      <c r="D1966" s="62" t="s">
        <v>1441</v>
      </c>
      <c r="F1966" s="159" t="s">
        <v>11726</v>
      </c>
      <c r="G1966" s="1449" t="s">
        <v>11727</v>
      </c>
      <c r="H1966" s="159" t="s">
        <v>11728</v>
      </c>
      <c r="I1966" s="529">
        <v>45690.0</v>
      </c>
      <c r="J1966" s="1376">
        <v>45693.0</v>
      </c>
      <c r="K1966" s="68"/>
      <c r="L1966" s="129" t="s">
        <v>11729</v>
      </c>
      <c r="M1966" s="1450" t="s">
        <v>11730</v>
      </c>
      <c r="N1966" s="437" t="s">
        <v>11731</v>
      </c>
      <c r="O1966" s="336">
        <v>3.0</v>
      </c>
      <c r="P1966" s="1581" t="s">
        <v>11732</v>
      </c>
      <c r="Q1966" s="52" t="str">
        <f t="array" ref="Q1966"> if(iserror(MATCH(V1966, 'File Links'!C:C, 0)), "N/A", HYPERLINK(INDEX('File Links'!B:B, MATCH(P1966, 'File Links'!C:C, 0))))</f>
        <v>https://drive.google.com/file/d/13XRIYgF2yNC1qLHSQBITGa6oU0w9njVk/view?usp=drivesdk</v>
      </c>
      <c r="R1966" s="159" t="s">
        <v>11733</v>
      </c>
      <c r="S1966" s="437" t="s">
        <v>10720</v>
      </c>
      <c r="T1966" s="68"/>
      <c r="U1966" s="336">
        <v>1.0</v>
      </c>
      <c r="V1966" s="198" t="str">
        <f t="shared" si="120"/>
        <v>10.1126--science.aac4716.pdf</v>
      </c>
      <c r="W1966" s="68" t="s">
        <v>3570</v>
      </c>
      <c r="X1966" s="54" t="str">
        <f t="array" ref="X1966"> if(iserror(MATCH(V1966, 'File Links'!C:C, 0)), "N/A", HYPERLINK(INDEX('File Links'!B:B, MATCH(V1966, 'File Links'!C:C, 0))))</f>
        <v>https://drive.google.com/file/d/1UMAh9VGta6ExS2-Lb6GkDF4fmnI2EMeM/view?usp=drivesdk</v>
      </c>
      <c r="Y1966" s="68"/>
      <c r="Z1966" s="68" t="s">
        <v>148</v>
      </c>
      <c r="AA1966" s="68" t="s">
        <v>11734</v>
      </c>
      <c r="AB1966" s="159" t="s">
        <v>11735</v>
      </c>
      <c r="AC1966" s="1914" t="s">
        <v>11736</v>
      </c>
      <c r="AD1966" s="68" t="s">
        <v>11737</v>
      </c>
      <c r="AE1966" s="336">
        <v>8.0</v>
      </c>
      <c r="AF1966" s="156">
        <v>18.0</v>
      </c>
      <c r="AG1966" s="68" t="s">
        <v>11738</v>
      </c>
      <c r="AH1966" s="68" t="s">
        <v>134</v>
      </c>
      <c r="AI1966" s="68" t="s">
        <v>613</v>
      </c>
      <c r="AJ1966" s="337">
        <v>0.002</v>
      </c>
      <c r="AK1966" s="61" t="s">
        <v>172</v>
      </c>
      <c r="AL1966" s="61" t="s">
        <v>186</v>
      </c>
      <c r="AM1966" s="68" t="s">
        <v>141</v>
      </c>
      <c r="AN1966" s="1058" t="s">
        <v>138</v>
      </c>
      <c r="AO1966" s="336">
        <v>32.0</v>
      </c>
      <c r="AP1966" s="336">
        <v>0.01</v>
      </c>
      <c r="AQ1966" s="68" t="s">
        <v>874</v>
      </c>
      <c r="AR1966" s="68" t="s">
        <v>813</v>
      </c>
      <c r="AS1966" s="336">
        <v>0.72</v>
      </c>
      <c r="AT1966" s="68" t="s">
        <v>172</v>
      </c>
      <c r="AU1966" s="68" t="s">
        <v>186</v>
      </c>
      <c r="AV1966" s="68" t="s">
        <v>141</v>
      </c>
      <c r="AW1966" s="1308" t="s">
        <v>11739</v>
      </c>
      <c r="AX1966" s="68" t="s">
        <v>143</v>
      </c>
      <c r="AY1966" s="61" t="str">
        <f>IFERROR(__xludf.DUMMYFUNCTION("vlookup(BB1966,importrange(""https://docs.google.com/spreadsheets/d/1d2vevQ_7D_v35q4wCQ4RpQ_IPoTwEMB9Yp6ymwlPqew/edit?gid=984458430#gid=984458430"", ""'replication success'!A:K""), 11, FAlSE)"),"")</f>
        <v/>
      </c>
      <c r="AZ1966" s="61" t="str">
        <f>IFERROR(__xludf.DUMMYFUNCTION("vlookup(BB1966,importrange(""https://docs.google.com/spreadsheets/d/1d2vevQ_7D_v35q4wCQ4RpQ_IPoTwEMB9Yp6ymwlPqew/edit?gid=984458430#gid=984458430"", ""'replication success'!A:M""), 12, FAlSE)"),"")</f>
        <v/>
      </c>
      <c r="BA1966" s="61" t="str">
        <f>IFERROR(__xludf.DUMMYFUNCTION("vlookup(BB1966,importrange(""https://docs.google.com/spreadsheets/d/1d2vevQ_7D_v35q4wCQ4RpQ_IPoTwEMB9Yp6ymwlPqew/edit?gid=984458430#gid=984458430"", ""'replication success'!A:M""), 13, FAlSE)"),"abstract")</f>
        <v>abstract</v>
      </c>
      <c r="BB1966" s="61" t="str">
        <f>IFERROR(__xludf.DUMMYFUNCTION("REGEXREPLACE(G1966, ""_[a-z]{1,2}$"", """")"),"osc201522")</f>
        <v>osc201522</v>
      </c>
      <c r="BD1966" s="68" t="s">
        <v>1441</v>
      </c>
    </row>
    <row r="1967">
      <c r="A1967" s="44">
        <v>1967.0</v>
      </c>
      <c r="B1967" s="68" t="s">
        <v>114</v>
      </c>
      <c r="C1967" s="62" t="s">
        <v>115</v>
      </c>
      <c r="D1967" s="62" t="s">
        <v>153</v>
      </c>
      <c r="F1967" s="159" t="s">
        <v>11726</v>
      </c>
      <c r="G1967" s="1449" t="s">
        <v>11727</v>
      </c>
      <c r="H1967" s="159" t="s">
        <v>153</v>
      </c>
      <c r="I1967" s="529">
        <v>45690.0</v>
      </c>
      <c r="J1967" s="1376">
        <v>45693.0</v>
      </c>
      <c r="K1967" s="159" t="s">
        <v>11740</v>
      </c>
      <c r="L1967" s="68"/>
      <c r="M1967" s="1450" t="s">
        <v>11730</v>
      </c>
      <c r="N1967" s="437" t="s">
        <v>11731</v>
      </c>
      <c r="O1967" s="156">
        <v>3.0</v>
      </c>
      <c r="P1967" s="1581" t="s">
        <v>11732</v>
      </c>
      <c r="Q1967" s="52" t="str">
        <f t="array" ref="Q1967"> if(iserror(MATCH(V1967, 'File Links'!C:C, 0)), "N/A", HYPERLINK(INDEX('File Links'!B:B, MATCH(P1967, 'File Links'!C:C, 0))))</f>
        <v>https://drive.google.com/file/d/13XRIYgF2yNC1qLHSQBITGa6oU0w9njVk/view?usp=drivesdk</v>
      </c>
      <c r="R1967" s="159" t="s">
        <v>11733</v>
      </c>
      <c r="S1967" s="437" t="s">
        <v>10720</v>
      </c>
      <c r="T1967" s="68"/>
      <c r="U1967" s="336">
        <v>1.0</v>
      </c>
      <c r="V1967" s="198" t="str">
        <f t="shared" si="120"/>
        <v>10.1126--science.aac4716.pdf</v>
      </c>
      <c r="W1967" s="159" t="s">
        <v>3570</v>
      </c>
      <c r="X1967" s="54" t="str">
        <f t="array" ref="X1967"> if(iserror(MATCH(V1967, 'File Links'!C:C, 0)), "N/A", HYPERLINK(INDEX('File Links'!B:B, MATCH(V1967, 'File Links'!C:C, 0))))</f>
        <v>https://drive.google.com/file/d/1UMAh9VGta6ExS2-Lb6GkDF4fmnI2EMeM/view?usp=drivesdk</v>
      </c>
      <c r="Y1967" s="68"/>
      <c r="Z1967" s="159" t="s">
        <v>148</v>
      </c>
      <c r="AA1967" s="159" t="s">
        <v>11734</v>
      </c>
      <c r="AB1967" s="68" t="s">
        <v>11741</v>
      </c>
      <c r="AC1967" s="159" t="s">
        <v>11736</v>
      </c>
      <c r="AD1967" s="159" t="s">
        <v>11742</v>
      </c>
      <c r="AE1967" s="1919">
        <v>8.0</v>
      </c>
      <c r="AF1967" s="156">
        <v>18.0</v>
      </c>
      <c r="AG1967" s="156" t="s">
        <v>11738</v>
      </c>
      <c r="AH1967" s="159" t="s">
        <v>134</v>
      </c>
      <c r="AI1967" s="68" t="s">
        <v>613</v>
      </c>
      <c r="AJ1967" s="709">
        <v>0.002</v>
      </c>
      <c r="AK1967" s="57" t="s">
        <v>172</v>
      </c>
      <c r="AL1967" s="57" t="s">
        <v>186</v>
      </c>
      <c r="AM1967" s="68" t="s">
        <v>141</v>
      </c>
      <c r="AN1967" s="1058" t="s">
        <v>138</v>
      </c>
      <c r="AO1967" s="336">
        <v>32.0</v>
      </c>
      <c r="AP1967" s="336">
        <v>0.01</v>
      </c>
      <c r="AQ1967" s="1917" t="s">
        <v>139</v>
      </c>
      <c r="AR1967" s="159" t="s">
        <v>813</v>
      </c>
      <c r="AS1967" s="156">
        <v>0.72</v>
      </c>
      <c r="AT1967" s="159" t="s">
        <v>172</v>
      </c>
      <c r="AU1967" s="159" t="s">
        <v>186</v>
      </c>
      <c r="AV1967" s="68" t="s">
        <v>141</v>
      </c>
      <c r="AW1967" s="435" t="s">
        <v>11743</v>
      </c>
      <c r="AX1967" s="68" t="s">
        <v>143</v>
      </c>
      <c r="AY1967" s="61" t="str">
        <f>IFERROR(__xludf.DUMMYFUNCTION("vlookup(BB1967,importrange(""https://docs.google.com/spreadsheets/d/1d2vevQ_7D_v35q4wCQ4RpQ_IPoTwEMB9Yp6ymwlPqew/edit?gid=984458430#gid=984458430"", ""'replication success'!A:K""), 11, FAlSE)"),"")</f>
        <v/>
      </c>
      <c r="AZ1967" s="61" t="str">
        <f>IFERROR(__xludf.DUMMYFUNCTION("vlookup(BB1967,importrange(""https://docs.google.com/spreadsheets/d/1d2vevQ_7D_v35q4wCQ4RpQ_IPoTwEMB9Yp6ymwlPqew/edit?gid=984458430#gid=984458430"", ""'replication success'!A:M""), 12, FAlSE)"),"")</f>
        <v/>
      </c>
      <c r="BA1967" s="61" t="str">
        <f>IFERROR(__xludf.DUMMYFUNCTION("vlookup(BB1967,importrange(""https://docs.google.com/spreadsheets/d/1d2vevQ_7D_v35q4wCQ4RpQ_IPoTwEMB9Yp6ymwlPqew/edit?gid=984458430#gid=984458430"", ""'replication success'!A:M""), 13, FAlSE)"),"abstract")</f>
        <v>abstract</v>
      </c>
      <c r="BB1967" s="61" t="str">
        <f>IFERROR(__xludf.DUMMYFUNCTION("REGEXREPLACE(G1967, ""_[a-z]{1,2}$"", """")"),"osc201522")</f>
        <v>osc201522</v>
      </c>
      <c r="BD1967" s="68" t="s">
        <v>1441</v>
      </c>
    </row>
    <row r="1968">
      <c r="A1968" s="44">
        <v>1968.0</v>
      </c>
      <c r="B1968" s="68" t="s">
        <v>152</v>
      </c>
      <c r="C1968" s="62" t="s">
        <v>115</v>
      </c>
      <c r="D1968" s="62" t="s">
        <v>1441</v>
      </c>
      <c r="F1968" s="606" t="s">
        <v>11744</v>
      </c>
      <c r="G1968" s="1920" t="s">
        <v>11745</v>
      </c>
      <c r="H1968" s="606" t="s">
        <v>11746</v>
      </c>
      <c r="I1968" s="522">
        <v>45690.0</v>
      </c>
      <c r="J1968" s="1921">
        <v>45693.0</v>
      </c>
      <c r="K1968" s="527"/>
      <c r="L1968" s="527"/>
      <c r="M1968" s="1922" t="s">
        <v>11747</v>
      </c>
      <c r="N1968" s="606" t="s">
        <v>11748</v>
      </c>
      <c r="O1968" s="1899">
        <v>1.0</v>
      </c>
      <c r="P1968" s="1581" t="s">
        <v>11749</v>
      </c>
      <c r="Q1968" s="52" t="str">
        <f t="array" ref="Q1968"> if(iserror(MATCH(V1968, 'File Links'!C:C, 0)), "N/A", HYPERLINK(INDEX('File Links'!B:B, MATCH(P1968, 'File Links'!C:C, 0))))</f>
        <v>https://drive.google.com/file/d/1btjIxPMyuU5I6jNMm9c2DuyFxN8Pze7t/view?usp=drivesdk</v>
      </c>
      <c r="R1968" s="606" t="s">
        <v>11750</v>
      </c>
      <c r="S1968" s="437" t="s">
        <v>10720</v>
      </c>
      <c r="T1968" s="129"/>
      <c r="U1968" s="336">
        <v>1.0</v>
      </c>
      <c r="V1968" s="198" t="str">
        <f t="shared" si="120"/>
        <v>10.1126--science.aac4716.pdf</v>
      </c>
      <c r="W1968" s="527" t="s">
        <v>164</v>
      </c>
      <c r="X1968" s="54" t="str">
        <f t="array" ref="X1968"> if(iserror(MATCH(V1968, 'File Links'!C:C, 0)), "N/A", HYPERLINK(INDEX('File Links'!B:B, MATCH(V1968, 'File Links'!C:C, 0))))</f>
        <v>https://drive.google.com/file/d/1UMAh9VGta6ExS2-Lb6GkDF4fmnI2EMeM/view?usp=drivesdk</v>
      </c>
      <c r="Y1968" s="527"/>
      <c r="Z1968" s="527" t="s">
        <v>148</v>
      </c>
      <c r="AA1968" s="527" t="s">
        <v>11751</v>
      </c>
      <c r="AB1968" s="606" t="s">
        <v>11752</v>
      </c>
      <c r="AC1968" s="606" t="s">
        <v>11753</v>
      </c>
      <c r="AD1968" s="527" t="s">
        <v>11754</v>
      </c>
      <c r="AE1968" s="1899">
        <v>6.0</v>
      </c>
      <c r="AF1968" s="1898">
        <v>154.0</v>
      </c>
      <c r="AG1968" s="527" t="s">
        <v>11755</v>
      </c>
      <c r="AH1968" s="527" t="s">
        <v>134</v>
      </c>
      <c r="AI1968" s="527" t="s">
        <v>140</v>
      </c>
      <c r="AJ1968" s="1923">
        <v>0.001</v>
      </c>
      <c r="AK1968" s="521" t="s">
        <v>135</v>
      </c>
      <c r="AL1968" s="521" t="s">
        <v>186</v>
      </c>
      <c r="AM1968" s="527" t="s">
        <v>141</v>
      </c>
      <c r="AN1968" s="1058" t="s">
        <v>138</v>
      </c>
      <c r="AO1968" s="1898">
        <v>49.0</v>
      </c>
      <c r="AP1968" s="527" t="s">
        <v>11756</v>
      </c>
      <c r="AQ1968" s="527" t="s">
        <v>134</v>
      </c>
      <c r="AR1968" s="527" t="s">
        <v>217</v>
      </c>
      <c r="AS1968" s="1899">
        <v>0.045</v>
      </c>
      <c r="AT1968" s="527" t="s">
        <v>172</v>
      </c>
      <c r="AU1968" s="527" t="s">
        <v>186</v>
      </c>
      <c r="AV1968" s="527" t="s">
        <v>141</v>
      </c>
      <c r="AW1968" s="1924" t="s">
        <v>11757</v>
      </c>
      <c r="AX1968" s="527" t="s">
        <v>143</v>
      </c>
      <c r="AY1968" s="61" t="str">
        <f>IFERROR(__xludf.DUMMYFUNCTION("vlookup(BB1968,importrange(""https://docs.google.com/spreadsheets/d/1d2vevQ_7D_v35q4wCQ4RpQ_IPoTwEMB9Yp6ymwlPqew/edit?gid=984458430#gid=984458430"", ""'replication success'!A:K""), 11, FAlSE)"),"")</f>
        <v/>
      </c>
      <c r="AZ1968" s="61" t="str">
        <f>IFERROR(__xludf.DUMMYFUNCTION("vlookup(BB1968,importrange(""https://docs.google.com/spreadsheets/d/1d2vevQ_7D_v35q4wCQ4RpQ_IPoTwEMB9Yp6ymwlPqew/edit?gid=984458430#gid=984458430"", ""'replication success'!A:M""), 12, FAlSE)"),"")</f>
        <v/>
      </c>
      <c r="BA1968" s="61" t="str">
        <f>IFERROR(__xludf.DUMMYFUNCTION("vlookup(BB1968,importrange(""https://docs.google.com/spreadsheets/d/1d2vevQ_7D_v35q4wCQ4RpQ_IPoTwEMB9Yp6ymwlPqew/edit?gid=984458430#gid=984458430"", ""'replication success'!A:M""), 13, FAlSE)"),"abstract")</f>
        <v>abstract</v>
      </c>
      <c r="BB1968" s="61" t="str">
        <f>IFERROR(__xludf.DUMMYFUNCTION("REGEXREPLACE(G1968, ""_[a-z]{1,2}$"", """")"),"osc201524")</f>
        <v>osc201524</v>
      </c>
      <c r="BD1968" s="68" t="s">
        <v>1441</v>
      </c>
    </row>
    <row r="1969">
      <c r="A1969" s="44">
        <v>1969.0</v>
      </c>
      <c r="B1969" s="68" t="s">
        <v>114</v>
      </c>
      <c r="C1969" s="62" t="s">
        <v>115</v>
      </c>
      <c r="D1969" s="62" t="s">
        <v>153</v>
      </c>
      <c r="F1969" s="159" t="s">
        <v>11744</v>
      </c>
      <c r="G1969" s="1449" t="s">
        <v>11745</v>
      </c>
      <c r="H1969" s="159" t="s">
        <v>153</v>
      </c>
      <c r="I1969" s="529">
        <v>45690.0</v>
      </c>
      <c r="J1969" s="1376">
        <v>45693.0</v>
      </c>
      <c r="K1969" s="68"/>
      <c r="L1969" s="68"/>
      <c r="M1969" s="360" t="s">
        <v>11747</v>
      </c>
      <c r="N1969" s="159" t="s">
        <v>11748</v>
      </c>
      <c r="O1969" s="156">
        <v>1.0</v>
      </c>
      <c r="P1969" s="382" t="s">
        <v>11749</v>
      </c>
      <c r="Q1969" s="52" t="str">
        <f t="array" ref="Q1969"> if(iserror(MATCH(V1969, 'File Links'!C:C, 0)), "N/A", HYPERLINK(INDEX('File Links'!B:B, MATCH(P1969, 'File Links'!C:C, 0))))</f>
        <v>https://drive.google.com/file/d/1btjIxPMyuU5I6jNMm9c2DuyFxN8Pze7t/view?usp=drivesdk</v>
      </c>
      <c r="R1969" s="159" t="s">
        <v>11750</v>
      </c>
      <c r="S1969" s="437" t="s">
        <v>10720</v>
      </c>
      <c r="T1969" s="129"/>
      <c r="U1969" s="336">
        <v>1.0</v>
      </c>
      <c r="V1969" s="198" t="str">
        <f t="shared" si="120"/>
        <v>10.1126--science.aac4716.pdf</v>
      </c>
      <c r="W1969" s="159" t="s">
        <v>164</v>
      </c>
      <c r="X1969" s="54" t="str">
        <f t="array" ref="X1969"> if(iserror(MATCH(V1969, 'File Links'!C:C, 0)), "N/A", HYPERLINK(INDEX('File Links'!B:B, MATCH(V1969, 'File Links'!C:C, 0))))</f>
        <v>https://drive.google.com/file/d/1UMAh9VGta6ExS2-Lb6GkDF4fmnI2EMeM/view?usp=drivesdk</v>
      </c>
      <c r="Y1969" s="68"/>
      <c r="Z1969" s="159" t="s">
        <v>148</v>
      </c>
      <c r="AA1969" s="159" t="s">
        <v>11758</v>
      </c>
      <c r="AB1969" s="159" t="s">
        <v>11759</v>
      </c>
      <c r="AC1969" s="159" t="s">
        <v>11760</v>
      </c>
      <c r="AD1969" s="159" t="s">
        <v>11761</v>
      </c>
      <c r="AE1969" s="156">
        <v>6.0</v>
      </c>
      <c r="AF1969" s="156">
        <v>154.0</v>
      </c>
      <c r="AG1969" s="159" t="s">
        <v>11755</v>
      </c>
      <c r="AH1969" s="159" t="s">
        <v>134</v>
      </c>
      <c r="AI1969" s="159" t="s">
        <v>140</v>
      </c>
      <c r="AJ1969" s="337">
        <v>0.001</v>
      </c>
      <c r="AK1969" s="57" t="s">
        <v>135</v>
      </c>
      <c r="AL1969" s="57" t="s">
        <v>186</v>
      </c>
      <c r="AM1969" s="68" t="s">
        <v>141</v>
      </c>
      <c r="AN1969" s="1058" t="s">
        <v>138</v>
      </c>
      <c r="AO1969" s="156">
        <v>49.0</v>
      </c>
      <c r="AP1969" s="159" t="s">
        <v>11756</v>
      </c>
      <c r="AQ1969" s="159" t="s">
        <v>134</v>
      </c>
      <c r="AR1969" s="159" t="s">
        <v>217</v>
      </c>
      <c r="AS1969" s="156">
        <v>0.045</v>
      </c>
      <c r="AT1969" s="159" t="s">
        <v>172</v>
      </c>
      <c r="AU1969" s="159" t="s">
        <v>186</v>
      </c>
      <c r="AV1969" s="68" t="s">
        <v>141</v>
      </c>
      <c r="AW1969" s="435" t="s">
        <v>11762</v>
      </c>
      <c r="AX1969" s="68" t="s">
        <v>143</v>
      </c>
      <c r="AY1969" s="61" t="str">
        <f>IFERROR(__xludf.DUMMYFUNCTION("vlookup(BB1969,importrange(""https://docs.google.com/spreadsheets/d/1d2vevQ_7D_v35q4wCQ4RpQ_IPoTwEMB9Yp6ymwlPqew/edit?gid=984458430#gid=984458430"", ""'replication success'!A:K""), 11, FAlSE)"),"")</f>
        <v/>
      </c>
      <c r="AZ1969" s="61" t="str">
        <f>IFERROR(__xludf.DUMMYFUNCTION("vlookup(BB1969,importrange(""https://docs.google.com/spreadsheets/d/1d2vevQ_7D_v35q4wCQ4RpQ_IPoTwEMB9Yp6ymwlPqew/edit?gid=984458430#gid=984458430"", ""'replication success'!A:M""), 12, FAlSE)"),"")</f>
        <v/>
      </c>
      <c r="BA1969" s="61" t="str">
        <f>IFERROR(__xludf.DUMMYFUNCTION("vlookup(BB1969,importrange(""https://docs.google.com/spreadsheets/d/1d2vevQ_7D_v35q4wCQ4RpQ_IPoTwEMB9Yp6ymwlPqew/edit?gid=984458430#gid=984458430"", ""'replication success'!A:M""), 13, FAlSE)"),"abstract")</f>
        <v>abstract</v>
      </c>
      <c r="BB1969" s="61" t="str">
        <f>IFERROR(__xludf.DUMMYFUNCTION("REGEXREPLACE(G1969, ""_[a-z]{1,2}$"", """")"),"osc201524")</f>
        <v>osc201524</v>
      </c>
      <c r="BD1969" s="68" t="s">
        <v>1441</v>
      </c>
    </row>
    <row r="1970">
      <c r="A1970" s="44">
        <v>1970.0</v>
      </c>
      <c r="B1970" s="68" t="s">
        <v>152</v>
      </c>
      <c r="C1970" s="62" t="s">
        <v>115</v>
      </c>
      <c r="D1970" s="62" t="s">
        <v>1441</v>
      </c>
      <c r="F1970" s="159" t="s">
        <v>11763</v>
      </c>
      <c r="G1970" s="1449" t="s">
        <v>11764</v>
      </c>
      <c r="H1970" s="159" t="s">
        <v>11765</v>
      </c>
      <c r="I1970" s="529">
        <v>45690.0</v>
      </c>
      <c r="J1970" s="1376">
        <v>45693.0</v>
      </c>
      <c r="K1970" s="68"/>
      <c r="L1970" s="68"/>
      <c r="M1970" s="1909" t="s">
        <v>11766</v>
      </c>
      <c r="N1970" s="437" t="s">
        <v>11767</v>
      </c>
      <c r="O1970" s="336">
        <v>1.0</v>
      </c>
      <c r="P1970" s="382" t="s">
        <v>11768</v>
      </c>
      <c r="Q1970" s="52" t="str">
        <f t="array" ref="Q1970"> if(iserror(MATCH(V1970, 'File Links'!C:C, 0)), "N/A", HYPERLINK(INDEX('File Links'!B:B, MATCH(P1970, 'File Links'!C:C, 0))))</f>
        <v>https://drive.google.com/file/d/1EbrmM7VFUrWNPY8NxA_ziNU_qOGIUYVa/view?usp=drivesdk</v>
      </c>
      <c r="R1970" s="159" t="s">
        <v>11769</v>
      </c>
      <c r="S1970" s="437" t="s">
        <v>10720</v>
      </c>
      <c r="T1970" s="68"/>
      <c r="U1970" s="336">
        <v>1.0</v>
      </c>
      <c r="V1970" s="198" t="str">
        <f t="shared" si="120"/>
        <v>10.1126--science.aac4716.pdf</v>
      </c>
      <c r="W1970" s="68" t="s">
        <v>164</v>
      </c>
      <c r="X1970" s="54" t="str">
        <f t="array" ref="X1970"> if(iserror(MATCH(V1970, 'File Links'!C:C, 0)), "N/A", HYPERLINK(INDEX('File Links'!B:B, MATCH(V1970, 'File Links'!C:C, 0))))</f>
        <v>https://drive.google.com/file/d/1UMAh9VGta6ExS2-Lb6GkDF4fmnI2EMeM/view?usp=drivesdk</v>
      </c>
      <c r="Y1970" s="68"/>
      <c r="Z1970" s="68" t="s">
        <v>148</v>
      </c>
      <c r="AA1970" s="68" t="s">
        <v>11770</v>
      </c>
      <c r="AB1970" s="159" t="s">
        <v>11771</v>
      </c>
      <c r="AC1970" s="1925" t="s">
        <v>11772</v>
      </c>
      <c r="AD1970" s="68" t="s">
        <v>11773</v>
      </c>
      <c r="AE1970" s="336">
        <v>6.0</v>
      </c>
      <c r="AF1970" s="156">
        <v>24.0</v>
      </c>
      <c r="AG1970" s="336">
        <v>1.51</v>
      </c>
      <c r="AH1970" s="68" t="s">
        <v>173</v>
      </c>
      <c r="AI1970" s="68" t="s">
        <v>140</v>
      </c>
      <c r="AJ1970" s="337">
        <v>0.001</v>
      </c>
      <c r="AK1970" s="61" t="s">
        <v>135</v>
      </c>
      <c r="AL1970" s="61" t="s">
        <v>136</v>
      </c>
      <c r="AM1970" s="68" t="s">
        <v>137</v>
      </c>
      <c r="AN1970" s="1058" t="s">
        <v>138</v>
      </c>
      <c r="AO1970" s="336">
        <v>63.0</v>
      </c>
      <c r="AP1970" s="336">
        <v>0.224</v>
      </c>
      <c r="AQ1970" s="68" t="s">
        <v>874</v>
      </c>
      <c r="AR1970" s="68" t="s">
        <v>507</v>
      </c>
      <c r="AS1970" s="336">
        <v>0.002</v>
      </c>
      <c r="AT1970" s="68" t="s">
        <v>172</v>
      </c>
      <c r="AU1970" s="68" t="s">
        <v>186</v>
      </c>
      <c r="AV1970" s="68" t="s">
        <v>137</v>
      </c>
      <c r="AW1970" s="435" t="s">
        <v>11774</v>
      </c>
      <c r="AX1970" s="68" t="s">
        <v>143</v>
      </c>
      <c r="AY1970" s="61" t="str">
        <f>IFERROR(__xludf.DUMMYFUNCTION("vlookup(BB1970,importrange(""https://docs.google.com/spreadsheets/d/1d2vevQ_7D_v35q4wCQ4RpQ_IPoTwEMB9Yp6ymwlPqew/edit?gid=984458430#gid=984458430"", ""'replication success'!A:K""), 11, FAlSE)"),"")</f>
        <v/>
      </c>
      <c r="AZ1970" s="61" t="str">
        <f>IFERROR(__xludf.DUMMYFUNCTION("vlookup(BB1970,importrange(""https://docs.google.com/spreadsheets/d/1d2vevQ_7D_v35q4wCQ4RpQ_IPoTwEMB9Yp6ymwlPqew/edit?gid=984458430#gid=984458430"", ""'replication success'!A:M""), 12, FAlSE)"),"")</f>
        <v/>
      </c>
      <c r="BA1970" s="61" t="str">
        <f>IFERROR(__xludf.DUMMYFUNCTION("vlookup(BB1970,importrange(""https://docs.google.com/spreadsheets/d/1d2vevQ_7D_v35q4wCQ4RpQ_IPoTwEMB9Yp6ymwlPqew/edit?gid=984458430#gid=984458430"", ""'replication success'!A:M""), 13, FAlSE)"),"abstract")</f>
        <v>abstract</v>
      </c>
      <c r="BB1970" s="61" t="str">
        <f>IFERROR(__xludf.DUMMYFUNCTION("REGEXREPLACE(G1970, ""_[a-z]{1,2}$"", """")"),"osc201525")</f>
        <v>osc201525</v>
      </c>
      <c r="BD1970" s="68" t="s">
        <v>1441</v>
      </c>
    </row>
    <row r="1971">
      <c r="A1971" s="44">
        <v>1971.0</v>
      </c>
      <c r="B1971" s="68" t="s">
        <v>114</v>
      </c>
      <c r="C1971" s="62" t="s">
        <v>115</v>
      </c>
      <c r="D1971" s="62" t="s">
        <v>153</v>
      </c>
      <c r="F1971" s="159" t="s">
        <v>11763</v>
      </c>
      <c r="G1971" s="1449" t="s">
        <v>11764</v>
      </c>
      <c r="H1971" s="159" t="s">
        <v>153</v>
      </c>
      <c r="I1971" s="529">
        <v>45690.0</v>
      </c>
      <c r="J1971" s="1376">
        <v>45693.0</v>
      </c>
      <c r="K1971" s="159" t="s">
        <v>11775</v>
      </c>
      <c r="L1971" s="68"/>
      <c r="M1971" s="360" t="s">
        <v>11766</v>
      </c>
      <c r="N1971" s="437" t="s">
        <v>11767</v>
      </c>
      <c r="O1971" s="156">
        <v>1.0</v>
      </c>
      <c r="P1971" s="382" t="s">
        <v>11768</v>
      </c>
      <c r="Q1971" s="52" t="str">
        <f t="array" ref="Q1971"> if(iserror(MATCH(V1971, 'File Links'!C:C, 0)), "N/A", HYPERLINK(INDEX('File Links'!B:B, MATCH(P1971, 'File Links'!C:C, 0))))</f>
        <v>https://drive.google.com/file/d/1EbrmM7VFUrWNPY8NxA_ziNU_qOGIUYVa/view?usp=drivesdk</v>
      </c>
      <c r="R1971" s="159" t="s">
        <v>11769</v>
      </c>
      <c r="S1971" s="437" t="s">
        <v>10720</v>
      </c>
      <c r="T1971" s="68"/>
      <c r="U1971" s="336">
        <v>1.0</v>
      </c>
      <c r="V1971" s="198" t="str">
        <f t="shared" si="120"/>
        <v>10.1126--science.aac4716.pdf</v>
      </c>
      <c r="W1971" s="159" t="s">
        <v>164</v>
      </c>
      <c r="X1971" s="54" t="str">
        <f t="array" ref="X1971"> if(iserror(MATCH(V1971, 'File Links'!C:C, 0)), "N/A", HYPERLINK(INDEX('File Links'!B:B, MATCH(V1971, 'File Links'!C:C, 0))))</f>
        <v>https://drive.google.com/file/d/1UMAh9VGta6ExS2-Lb6GkDF4fmnI2EMeM/view?usp=drivesdk</v>
      </c>
      <c r="Y1971" s="68"/>
      <c r="Z1971" s="159" t="s">
        <v>148</v>
      </c>
      <c r="AA1971" s="159" t="s">
        <v>11770</v>
      </c>
      <c r="AB1971" s="159" t="s">
        <v>11776</v>
      </c>
      <c r="AC1971" s="159" t="s">
        <v>11772</v>
      </c>
      <c r="AD1971" s="159" t="s">
        <v>11777</v>
      </c>
      <c r="AE1971" s="156">
        <v>6.0</v>
      </c>
      <c r="AF1971" s="156">
        <v>24.0</v>
      </c>
      <c r="AG1971" s="156">
        <v>1.51</v>
      </c>
      <c r="AH1971" s="159" t="s">
        <v>173</v>
      </c>
      <c r="AI1971" s="159" t="s">
        <v>140</v>
      </c>
      <c r="AJ1971" s="709">
        <v>0.001</v>
      </c>
      <c r="AK1971" s="57" t="s">
        <v>135</v>
      </c>
      <c r="AL1971" s="57" t="s">
        <v>136</v>
      </c>
      <c r="AM1971" s="68" t="s">
        <v>137</v>
      </c>
      <c r="AN1971" s="1058" t="s">
        <v>138</v>
      </c>
      <c r="AO1971" s="336">
        <v>63.0</v>
      </c>
      <c r="AP1971" s="336">
        <v>0.224</v>
      </c>
      <c r="AQ1971" s="1917" t="s">
        <v>139</v>
      </c>
      <c r="AR1971" s="159" t="s">
        <v>850</v>
      </c>
      <c r="AS1971" s="156">
        <v>0.002</v>
      </c>
      <c r="AT1971" s="159" t="s">
        <v>172</v>
      </c>
      <c r="AU1971" s="159" t="s">
        <v>186</v>
      </c>
      <c r="AV1971" s="68" t="s">
        <v>137</v>
      </c>
      <c r="AW1971" s="435" t="s">
        <v>11778</v>
      </c>
      <c r="AX1971" s="68" t="s">
        <v>143</v>
      </c>
      <c r="AY1971" s="61" t="str">
        <f>IFERROR(__xludf.DUMMYFUNCTION("vlookup(BB1971,importrange(""https://docs.google.com/spreadsheets/d/1d2vevQ_7D_v35q4wCQ4RpQ_IPoTwEMB9Yp6ymwlPqew/edit?gid=984458430#gid=984458430"", ""'replication success'!A:K""), 11, FAlSE)"),"")</f>
        <v/>
      </c>
      <c r="AZ1971" s="61" t="str">
        <f>IFERROR(__xludf.DUMMYFUNCTION("vlookup(BB1971,importrange(""https://docs.google.com/spreadsheets/d/1d2vevQ_7D_v35q4wCQ4RpQ_IPoTwEMB9Yp6ymwlPqew/edit?gid=984458430#gid=984458430"", ""'replication success'!A:M""), 12, FAlSE)"),"")</f>
        <v/>
      </c>
      <c r="BA1971" s="61" t="str">
        <f>IFERROR(__xludf.DUMMYFUNCTION("vlookup(BB1971,importrange(""https://docs.google.com/spreadsheets/d/1d2vevQ_7D_v35q4wCQ4RpQ_IPoTwEMB9Yp6ymwlPqew/edit?gid=984458430#gid=984458430"", ""'replication success'!A:M""), 13, FAlSE)"),"abstract")</f>
        <v>abstract</v>
      </c>
      <c r="BB1971" s="61" t="str">
        <f>IFERROR(__xludf.DUMMYFUNCTION("REGEXREPLACE(G1971, ""_[a-z]{1,2}$"", """")"),"osc201525")</f>
        <v>osc201525</v>
      </c>
      <c r="BD1971" s="68" t="s">
        <v>1441</v>
      </c>
    </row>
    <row r="1972">
      <c r="A1972" s="44">
        <v>1972.0</v>
      </c>
      <c r="B1972" s="68" t="s">
        <v>152</v>
      </c>
      <c r="C1972" s="62" t="s">
        <v>115</v>
      </c>
      <c r="D1972" s="62" t="s">
        <v>1441</v>
      </c>
      <c r="F1972" s="159" t="s">
        <v>11779</v>
      </c>
      <c r="G1972" s="1449" t="s">
        <v>11780</v>
      </c>
      <c r="H1972" s="159" t="s">
        <v>11781</v>
      </c>
      <c r="I1972" s="529">
        <v>45690.0</v>
      </c>
      <c r="J1972" s="1376">
        <v>45693.0</v>
      </c>
      <c r="K1972" s="68"/>
      <c r="L1972" s="68"/>
      <c r="M1972" s="1909" t="s">
        <v>11782</v>
      </c>
      <c r="N1972" s="159" t="s">
        <v>11783</v>
      </c>
      <c r="O1972" s="336">
        <v>5.0</v>
      </c>
      <c r="P1972" s="382" t="s">
        <v>11784</v>
      </c>
      <c r="Q1972" s="52" t="str">
        <f t="array" ref="Q1972"> if(iserror(MATCH(V1972, 'File Links'!C:C, 0)), "N/A", HYPERLINK(INDEX('File Links'!B:B, MATCH(P1972, 'File Links'!C:C, 0))))</f>
        <v>https://drive.google.com/file/d/12OzFlZKms2M0ZvYy4yTBRvGof4FqM1Ud/view?usp=drivesdk</v>
      </c>
      <c r="R1972" s="159" t="s">
        <v>11785</v>
      </c>
      <c r="S1972" s="159" t="s">
        <v>10720</v>
      </c>
      <c r="T1972" s="68"/>
      <c r="U1972" s="336">
        <v>1.0</v>
      </c>
      <c r="V1972" s="198" t="str">
        <f t="shared" si="120"/>
        <v>10.1126--science.aac4716.pdf</v>
      </c>
      <c r="W1972" s="68" t="s">
        <v>164</v>
      </c>
      <c r="X1972" s="54" t="str">
        <f t="array" ref="X1972"> if(iserror(MATCH(V1972, 'File Links'!C:C, 0)), "N/A", HYPERLINK(INDEX('File Links'!B:B, MATCH(V1972, 'File Links'!C:C, 0))))</f>
        <v>https://drive.google.com/file/d/1UMAh9VGta6ExS2-Lb6GkDF4fmnI2EMeM/view?usp=drivesdk</v>
      </c>
      <c r="Y1972" s="68"/>
      <c r="Z1972" s="68" t="s">
        <v>148</v>
      </c>
      <c r="AA1972" s="68" t="s">
        <v>11786</v>
      </c>
      <c r="AB1972" s="159" t="s">
        <v>11787</v>
      </c>
      <c r="AC1972" s="1914" t="s">
        <v>11788</v>
      </c>
      <c r="AD1972" s="68" t="s">
        <v>11789</v>
      </c>
      <c r="AE1972" s="336">
        <v>7.0</v>
      </c>
      <c r="AF1972" s="156">
        <v>16.0</v>
      </c>
      <c r="AG1972" s="336">
        <v>0.026</v>
      </c>
      <c r="AH1972" s="68" t="s">
        <v>139</v>
      </c>
      <c r="AI1972" s="68" t="s">
        <v>4979</v>
      </c>
      <c r="AJ1972" s="337">
        <v>0.1</v>
      </c>
      <c r="AK1972" s="61" t="s">
        <v>335</v>
      </c>
      <c r="AL1972" s="61" t="s">
        <v>186</v>
      </c>
      <c r="AM1972" s="68" t="s">
        <v>141</v>
      </c>
      <c r="AN1972" s="1058" t="s">
        <v>138</v>
      </c>
      <c r="AO1972" s="156">
        <v>20.0</v>
      </c>
      <c r="AP1972" s="336">
        <v>0.021</v>
      </c>
      <c r="AQ1972" s="68" t="s">
        <v>139</v>
      </c>
      <c r="AR1972" s="68" t="s">
        <v>507</v>
      </c>
      <c r="AS1972" s="336">
        <v>0.17</v>
      </c>
      <c r="AT1972" s="68" t="s">
        <v>172</v>
      </c>
      <c r="AU1972" s="68" t="s">
        <v>186</v>
      </c>
      <c r="AV1972" s="68" t="s">
        <v>141</v>
      </c>
      <c r="AW1972" s="435" t="s">
        <v>11790</v>
      </c>
      <c r="AX1972" s="68" t="s">
        <v>143</v>
      </c>
      <c r="AY1972" s="61" t="str">
        <f>IFERROR(__xludf.DUMMYFUNCTION("vlookup(BB1972,importrange(""https://docs.google.com/spreadsheets/d/1d2vevQ_7D_v35q4wCQ4RpQ_IPoTwEMB9Yp6ymwlPqew/edit?gid=984458430#gid=984458430"", ""'replication success'!A:K""), 11, FAlSE)"),"")</f>
        <v/>
      </c>
      <c r="AZ1972" s="61" t="str">
        <f>IFERROR(__xludf.DUMMYFUNCTION("vlookup(BB1972,importrange(""https://docs.google.com/spreadsheets/d/1d2vevQ_7D_v35q4wCQ4RpQ_IPoTwEMB9Yp6ymwlPqew/edit?gid=984458430#gid=984458430"", ""'replication success'!A:M""), 12, FAlSE)"),"")</f>
        <v/>
      </c>
      <c r="BA1972" s="61" t="str">
        <f>IFERROR(__xludf.DUMMYFUNCTION("vlookup(BB1972,importrange(""https://docs.google.com/spreadsheets/d/1d2vevQ_7D_v35q4wCQ4RpQ_IPoTwEMB9Yp6ymwlPqew/edit?gid=984458430#gid=984458430"", ""'replication success'!A:M""), 13, FAlSE)"),"abstract")</f>
        <v>abstract</v>
      </c>
      <c r="BB1972" s="61" t="str">
        <f>IFERROR(__xludf.DUMMYFUNCTION("REGEXREPLACE(G1972, ""_[a-z]{1,2}$"", """")"),"osc201526")</f>
        <v>osc201526</v>
      </c>
      <c r="BD1972" s="68" t="s">
        <v>1441</v>
      </c>
    </row>
    <row r="1973">
      <c r="A1973" s="44">
        <v>1973.0</v>
      </c>
      <c r="B1973" s="68" t="s">
        <v>114</v>
      </c>
      <c r="C1973" s="62" t="s">
        <v>115</v>
      </c>
      <c r="D1973" s="62" t="s">
        <v>153</v>
      </c>
      <c r="F1973" s="159" t="s">
        <v>11779</v>
      </c>
      <c r="G1973" s="1449" t="s">
        <v>11780</v>
      </c>
      <c r="H1973" s="159" t="s">
        <v>153</v>
      </c>
      <c r="I1973" s="529">
        <v>45690.0</v>
      </c>
      <c r="J1973" s="1376">
        <v>45693.0</v>
      </c>
      <c r="K1973" s="68"/>
      <c r="L1973" s="68"/>
      <c r="M1973" s="1909" t="s">
        <v>11782</v>
      </c>
      <c r="N1973" s="437" t="s">
        <v>11783</v>
      </c>
      <c r="O1973" s="156">
        <v>5.0</v>
      </c>
      <c r="P1973" s="382" t="s">
        <v>11784</v>
      </c>
      <c r="Q1973" s="52" t="str">
        <f t="array" ref="Q1973"> if(iserror(MATCH(V1973, 'File Links'!C:C, 0)), "N/A", HYPERLINK(INDEX('File Links'!B:B, MATCH(P1973, 'File Links'!C:C, 0))))</f>
        <v>https://drive.google.com/file/d/12OzFlZKms2M0ZvYy4yTBRvGof4FqM1Ud/view?usp=drivesdk</v>
      </c>
      <c r="R1973" s="159" t="s">
        <v>11785</v>
      </c>
      <c r="S1973" s="437" t="s">
        <v>10720</v>
      </c>
      <c r="T1973" s="68"/>
      <c r="U1973" s="336">
        <v>1.0</v>
      </c>
      <c r="V1973" s="198" t="str">
        <f t="shared" si="120"/>
        <v>10.1126--science.aac4716.pdf</v>
      </c>
      <c r="W1973" s="159" t="s">
        <v>164</v>
      </c>
      <c r="X1973" s="54" t="str">
        <f t="array" ref="X1973"> if(iserror(MATCH(V1973, 'File Links'!C:C, 0)), "N/A", HYPERLINK(INDEX('File Links'!B:B, MATCH(V1973, 'File Links'!C:C, 0))))</f>
        <v>https://drive.google.com/file/d/1UMAh9VGta6ExS2-Lb6GkDF4fmnI2EMeM/view?usp=drivesdk</v>
      </c>
      <c r="Y1973" s="68"/>
      <c r="Z1973" s="159" t="s">
        <v>148</v>
      </c>
      <c r="AA1973" s="159" t="s">
        <v>11791</v>
      </c>
      <c r="AB1973" s="159" t="s">
        <v>11792</v>
      </c>
      <c r="AC1973" s="159" t="s">
        <v>11788</v>
      </c>
      <c r="AD1973" s="159" t="s">
        <v>11793</v>
      </c>
      <c r="AE1973" s="156">
        <v>7.0</v>
      </c>
      <c r="AF1973" s="156">
        <v>16.0</v>
      </c>
      <c r="AG1973" s="1926">
        <v>0.02</v>
      </c>
      <c r="AH1973" s="159" t="s">
        <v>139</v>
      </c>
      <c r="AI1973" s="159" t="s">
        <v>132</v>
      </c>
      <c r="AJ1973" s="709">
        <v>0.1</v>
      </c>
      <c r="AK1973" s="57" t="s">
        <v>335</v>
      </c>
      <c r="AL1973" s="57" t="s">
        <v>186</v>
      </c>
      <c r="AM1973" s="68" t="s">
        <v>141</v>
      </c>
      <c r="AN1973" s="1058" t="s">
        <v>138</v>
      </c>
      <c r="AO1973" s="336">
        <v>20.0</v>
      </c>
      <c r="AP1973" s="336">
        <v>0.021</v>
      </c>
      <c r="AQ1973" s="159" t="s">
        <v>139</v>
      </c>
      <c r="AR1973" s="159" t="s">
        <v>217</v>
      </c>
      <c r="AS1973" s="156">
        <v>0.17</v>
      </c>
      <c r="AT1973" s="159" t="s">
        <v>172</v>
      </c>
      <c r="AU1973" s="159" t="s">
        <v>186</v>
      </c>
      <c r="AV1973" s="68" t="s">
        <v>141</v>
      </c>
      <c r="AW1973" s="435" t="s">
        <v>11790</v>
      </c>
      <c r="AX1973" s="68" t="s">
        <v>143</v>
      </c>
      <c r="AY1973" s="61" t="str">
        <f>IFERROR(__xludf.DUMMYFUNCTION("vlookup(BB1973,importrange(""https://docs.google.com/spreadsheets/d/1d2vevQ_7D_v35q4wCQ4RpQ_IPoTwEMB9Yp6ymwlPqew/edit?gid=984458430#gid=984458430"", ""'replication success'!A:K""), 11, FAlSE)"),"")</f>
        <v/>
      </c>
      <c r="AZ1973" s="61" t="str">
        <f>IFERROR(__xludf.DUMMYFUNCTION("vlookup(BB1973,importrange(""https://docs.google.com/spreadsheets/d/1d2vevQ_7D_v35q4wCQ4RpQ_IPoTwEMB9Yp6ymwlPqew/edit?gid=984458430#gid=984458430"", ""'replication success'!A:M""), 12, FAlSE)"),"")</f>
        <v/>
      </c>
      <c r="BA1973" s="61" t="str">
        <f>IFERROR(__xludf.DUMMYFUNCTION("vlookup(BB1973,importrange(""https://docs.google.com/spreadsheets/d/1d2vevQ_7D_v35q4wCQ4RpQ_IPoTwEMB9Yp6ymwlPqew/edit?gid=984458430#gid=984458430"", ""'replication success'!A:M""), 13, FAlSE)"),"abstract")</f>
        <v>abstract</v>
      </c>
      <c r="BB1973" s="61" t="str">
        <f>IFERROR(__xludf.DUMMYFUNCTION("REGEXREPLACE(G1973, ""_[a-z]{1,2}$"", """")"),"osc201526")</f>
        <v>osc201526</v>
      </c>
      <c r="BD1973" s="68" t="s">
        <v>1441</v>
      </c>
    </row>
    <row r="1974">
      <c r="A1974" s="44">
        <v>1974.0</v>
      </c>
      <c r="B1974" s="68" t="s">
        <v>114</v>
      </c>
      <c r="C1974" s="62" t="s">
        <v>115</v>
      </c>
      <c r="D1974" s="62" t="s">
        <v>1441</v>
      </c>
      <c r="F1974" s="159" t="s">
        <v>11794</v>
      </c>
      <c r="G1974" s="1449" t="s">
        <v>11795</v>
      </c>
      <c r="H1974" s="159" t="s">
        <v>11796</v>
      </c>
      <c r="I1974" s="529">
        <v>45690.0</v>
      </c>
      <c r="J1974" s="1376">
        <v>45693.0</v>
      </c>
      <c r="K1974" s="68"/>
      <c r="L1974" s="68" t="s">
        <v>11797</v>
      </c>
      <c r="M1974" s="1909" t="s">
        <v>11798</v>
      </c>
      <c r="N1974" s="437" t="s">
        <v>11799</v>
      </c>
      <c r="O1974" s="336">
        <v>4.0</v>
      </c>
      <c r="P1974" s="382" t="s">
        <v>11800</v>
      </c>
      <c r="Q1974" s="52" t="str">
        <f t="array" ref="Q1974"> if(iserror(MATCH(V1974, 'File Links'!C:C, 0)), "N/A", HYPERLINK(INDEX('File Links'!B:B, MATCH(P1974, 'File Links'!C:C, 0))))</f>
        <v>https://drive.google.com/file/d/1ycY8rorKC9FDqVeTFdgVQQrTEuktcPox/view?usp=drivesdk</v>
      </c>
      <c r="R1974" s="159" t="s">
        <v>11801</v>
      </c>
      <c r="S1974" s="437" t="s">
        <v>10720</v>
      </c>
      <c r="T1974" s="68"/>
      <c r="U1974" s="336">
        <v>1.0</v>
      </c>
      <c r="V1974" s="198" t="str">
        <f t="shared" si="120"/>
        <v>10.1126--science.aac4716.pdf</v>
      </c>
      <c r="W1974" s="68" t="s">
        <v>3570</v>
      </c>
      <c r="X1974" s="54" t="str">
        <f t="array" ref="X1974"> if(iserror(MATCH(V1974, 'File Links'!C:C, 0)), "N/A", HYPERLINK(INDEX('File Links'!B:B, MATCH(V1974, 'File Links'!C:C, 0))))</f>
        <v>https://drive.google.com/file/d/1UMAh9VGta6ExS2-Lb6GkDF4fmnI2EMeM/view?usp=drivesdk</v>
      </c>
      <c r="Y1974" s="68"/>
      <c r="Z1974" s="68" t="s">
        <v>148</v>
      </c>
      <c r="AA1974" s="68" t="s">
        <v>11802</v>
      </c>
      <c r="AB1974" s="159" t="s">
        <v>11803</v>
      </c>
      <c r="AC1974" s="159" t="s">
        <v>11804</v>
      </c>
      <c r="AD1974" s="68" t="s">
        <v>11805</v>
      </c>
      <c r="AE1974" s="336">
        <v>9.0</v>
      </c>
      <c r="AF1974" s="156">
        <v>32.0</v>
      </c>
      <c r="AG1974" s="336">
        <v>0.14</v>
      </c>
      <c r="AH1974" s="68" t="s">
        <v>139</v>
      </c>
      <c r="AI1974" s="68" t="s">
        <v>628</v>
      </c>
      <c r="AJ1974" s="337">
        <v>0.03</v>
      </c>
      <c r="AK1974" s="61" t="s">
        <v>172</v>
      </c>
      <c r="AL1974" s="61" t="s">
        <v>186</v>
      </c>
      <c r="AM1974" s="68" t="s">
        <v>141</v>
      </c>
      <c r="AN1974" s="1058" t="s">
        <v>138</v>
      </c>
      <c r="AO1974" s="336">
        <v>71.0</v>
      </c>
      <c r="AP1974" s="1927" t="s">
        <v>11806</v>
      </c>
      <c r="AQ1974" s="68" t="s">
        <v>134</v>
      </c>
      <c r="AR1974" s="1927" t="s">
        <v>812</v>
      </c>
      <c r="AS1974" s="336">
        <v>0.001</v>
      </c>
      <c r="AT1974" s="68" t="s">
        <v>172</v>
      </c>
      <c r="AU1974" s="68" t="s">
        <v>186</v>
      </c>
      <c r="AV1974" s="68" t="s">
        <v>141</v>
      </c>
      <c r="AW1974" s="129" t="s">
        <v>138</v>
      </c>
      <c r="AX1974" s="68" t="s">
        <v>143</v>
      </c>
      <c r="AY1974" s="61" t="str">
        <f>IFERROR(__xludf.DUMMYFUNCTION("vlookup(BB1974,importrange(""https://docs.google.com/spreadsheets/d/1d2vevQ_7D_v35q4wCQ4RpQ_IPoTwEMB9Yp6ymwlPqew/edit?gid=984458430#gid=984458430"", ""'replication success'!A:K""), 11, FAlSE)"),"")</f>
        <v/>
      </c>
      <c r="AZ1974" s="61" t="str">
        <f>IFERROR(__xludf.DUMMYFUNCTION("vlookup(BB1974,importrange(""https://docs.google.com/spreadsheets/d/1d2vevQ_7D_v35q4wCQ4RpQ_IPoTwEMB9Yp6ymwlPqew/edit?gid=984458430#gid=984458430"", ""'replication success'!A:M""), 12, FAlSE)"),"")</f>
        <v/>
      </c>
      <c r="BA1974" s="61" t="str">
        <f>IFERROR(__xludf.DUMMYFUNCTION("vlookup(BB1974,importrange(""https://docs.google.com/spreadsheets/d/1d2vevQ_7D_v35q4wCQ4RpQ_IPoTwEMB9Yp6ymwlPqew/edit?gid=984458430#gid=984458430"", ""'replication success'!A:M""), 13, FAlSE)"),"abstract")</f>
        <v>abstract</v>
      </c>
      <c r="BB1974" s="61" t="str">
        <f>IFERROR(__xludf.DUMMYFUNCTION("REGEXREPLACE(G1974, ""_[a-z]{1,2}$"", """")"),"osc201527")</f>
        <v>osc201527</v>
      </c>
      <c r="BD1974" s="68" t="s">
        <v>1441</v>
      </c>
    </row>
    <row r="1975">
      <c r="A1975" s="44">
        <v>1975.0</v>
      </c>
      <c r="B1975" s="68" t="s">
        <v>152</v>
      </c>
      <c r="C1975" s="62" t="s">
        <v>115</v>
      </c>
      <c r="D1975" s="62" t="s">
        <v>153</v>
      </c>
      <c r="F1975" s="159" t="s">
        <v>11794</v>
      </c>
      <c r="G1975" s="1449" t="s">
        <v>11795</v>
      </c>
      <c r="H1975" s="159" t="s">
        <v>153</v>
      </c>
      <c r="I1975" s="529">
        <v>45690.0</v>
      </c>
      <c r="J1975" s="1376">
        <v>45693.0</v>
      </c>
      <c r="K1975" s="159" t="s">
        <v>11807</v>
      </c>
      <c r="L1975" s="68"/>
      <c r="M1975" s="1909" t="s">
        <v>11798</v>
      </c>
      <c r="N1975" s="159" t="s">
        <v>11799</v>
      </c>
      <c r="O1975" s="156">
        <v>4.0</v>
      </c>
      <c r="P1975" s="382" t="s">
        <v>11800</v>
      </c>
      <c r="Q1975" s="52" t="str">
        <f t="array" ref="Q1975"> if(iserror(MATCH(V1975, 'File Links'!C:C, 0)), "N/A", HYPERLINK(INDEX('File Links'!B:B, MATCH(P1975, 'File Links'!C:C, 0))))</f>
        <v>https://drive.google.com/file/d/1ycY8rorKC9FDqVeTFdgVQQrTEuktcPox/view?usp=drivesdk</v>
      </c>
      <c r="R1975" s="159" t="s">
        <v>11801</v>
      </c>
      <c r="S1975" s="437" t="s">
        <v>10720</v>
      </c>
      <c r="T1975" s="129"/>
      <c r="U1975" s="336">
        <v>1.0</v>
      </c>
      <c r="V1975" s="198" t="str">
        <f t="shared" si="120"/>
        <v>10.1126--science.aac4716.pdf</v>
      </c>
      <c r="W1975" s="159" t="s">
        <v>3570</v>
      </c>
      <c r="X1975" s="54" t="str">
        <f t="array" ref="X1975"> if(iserror(MATCH(V1975, 'File Links'!C:C, 0)), "N/A", HYPERLINK(INDEX('File Links'!B:B, MATCH(V1975, 'File Links'!C:C, 0))))</f>
        <v>https://drive.google.com/file/d/1UMAh9VGta6ExS2-Lb6GkDF4fmnI2EMeM/view?usp=drivesdk</v>
      </c>
      <c r="Y1975" s="68"/>
      <c r="Z1975" s="159" t="s">
        <v>148</v>
      </c>
      <c r="AA1975" s="159" t="s">
        <v>11808</v>
      </c>
      <c r="AB1975" s="159" t="s">
        <v>11809</v>
      </c>
      <c r="AC1975" s="159" t="s">
        <v>11810</v>
      </c>
      <c r="AD1975" s="1910" t="s">
        <v>11805</v>
      </c>
      <c r="AE1975" s="156">
        <v>9.0</v>
      </c>
      <c r="AF1975" s="156">
        <v>32.0</v>
      </c>
      <c r="AG1975" s="156">
        <v>0.14</v>
      </c>
      <c r="AH1975" s="159" t="s">
        <v>139</v>
      </c>
      <c r="AI1975" s="159" t="s">
        <v>628</v>
      </c>
      <c r="AJ1975" s="337">
        <v>0.03</v>
      </c>
      <c r="AK1975" s="57" t="s">
        <v>172</v>
      </c>
      <c r="AL1975" s="57" t="s">
        <v>186</v>
      </c>
      <c r="AM1975" s="68" t="s">
        <v>141</v>
      </c>
      <c r="AN1975" s="1058" t="s">
        <v>138</v>
      </c>
      <c r="AO1975" s="156">
        <v>71.0</v>
      </c>
      <c r="AP1975" s="159" t="s">
        <v>11811</v>
      </c>
      <c r="AQ1975" s="159" t="s">
        <v>134</v>
      </c>
      <c r="AR1975" s="159" t="s">
        <v>813</v>
      </c>
      <c r="AS1975" s="156">
        <v>0.001</v>
      </c>
      <c r="AT1975" s="159" t="s">
        <v>172</v>
      </c>
      <c r="AU1975" s="159" t="s">
        <v>186</v>
      </c>
      <c r="AV1975" s="68" t="s">
        <v>141</v>
      </c>
      <c r="AW1975" s="435" t="s">
        <v>11812</v>
      </c>
      <c r="AX1975" s="68" t="s">
        <v>143</v>
      </c>
      <c r="AY1975" s="61" t="str">
        <f>IFERROR(__xludf.DUMMYFUNCTION("vlookup(BB1975,importrange(""https://docs.google.com/spreadsheets/d/1d2vevQ_7D_v35q4wCQ4RpQ_IPoTwEMB9Yp6ymwlPqew/edit?gid=984458430#gid=984458430"", ""'replication success'!A:K""), 11, FAlSE)"),"")</f>
        <v/>
      </c>
      <c r="AZ1975" s="61" t="str">
        <f>IFERROR(__xludf.DUMMYFUNCTION("vlookup(BB1975,importrange(""https://docs.google.com/spreadsheets/d/1d2vevQ_7D_v35q4wCQ4RpQ_IPoTwEMB9Yp6ymwlPqew/edit?gid=984458430#gid=984458430"", ""'replication success'!A:M""), 12, FAlSE)"),"")</f>
        <v/>
      </c>
      <c r="BA1975" s="61" t="str">
        <f>IFERROR(__xludf.DUMMYFUNCTION("vlookup(BB1975,importrange(""https://docs.google.com/spreadsheets/d/1d2vevQ_7D_v35q4wCQ4RpQ_IPoTwEMB9Yp6ymwlPqew/edit?gid=984458430#gid=984458430"", ""'replication success'!A:M""), 13, FAlSE)"),"abstract")</f>
        <v>abstract</v>
      </c>
      <c r="BB1975" s="61" t="str">
        <f>IFERROR(__xludf.DUMMYFUNCTION("REGEXREPLACE(G1975, ""_[a-z]{1,2}$"", """")"),"osc201527")</f>
        <v>osc201527</v>
      </c>
      <c r="BD1975" s="68" t="s">
        <v>1441</v>
      </c>
    </row>
    <row r="1976">
      <c r="A1976" s="44">
        <v>1976.0</v>
      </c>
      <c r="B1976" s="68" t="s">
        <v>152</v>
      </c>
      <c r="C1976" s="62" t="s">
        <v>115</v>
      </c>
      <c r="D1976" s="62" t="s">
        <v>1441</v>
      </c>
      <c r="F1976" s="159" t="s">
        <v>11813</v>
      </c>
      <c r="G1976" s="1449" t="s">
        <v>11814</v>
      </c>
      <c r="H1976" s="159" t="s">
        <v>11815</v>
      </c>
      <c r="I1976" s="529">
        <v>45690.0</v>
      </c>
      <c r="J1976" s="1376">
        <v>45693.0</v>
      </c>
      <c r="K1976" s="68" t="s">
        <v>11816</v>
      </c>
      <c r="L1976" s="68"/>
      <c r="M1976" s="1909" t="s">
        <v>11817</v>
      </c>
      <c r="N1976" s="159" t="s">
        <v>11818</v>
      </c>
      <c r="O1976" s="336">
        <v>2.0</v>
      </c>
      <c r="P1976" s="382" t="s">
        <v>11819</v>
      </c>
      <c r="Q1976" s="52" t="str">
        <f t="array" ref="Q1976"> if(iserror(MATCH(V1976, 'File Links'!C:C, 0)), "N/A", HYPERLINK(INDEX('File Links'!B:B, MATCH(P1976, 'File Links'!C:C, 0))))</f>
        <v>https://drive.google.com/file/d/1G9_olsUh3tpfcqhh1KX72VpE0keeAnj7/view?usp=drivesdk</v>
      </c>
      <c r="R1976" s="159" t="s">
        <v>11820</v>
      </c>
      <c r="S1976" s="437" t="s">
        <v>10720</v>
      </c>
      <c r="T1976" s="129"/>
      <c r="U1976" s="336">
        <v>1.0</v>
      </c>
      <c r="V1976" s="198" t="str">
        <f t="shared" si="120"/>
        <v>10.1126--science.aac4716.pdf</v>
      </c>
      <c r="W1976" s="68" t="s">
        <v>3570</v>
      </c>
      <c r="X1976" s="54" t="str">
        <f t="array" ref="X1976"> if(iserror(MATCH(V1976, 'File Links'!C:C, 0)), "N/A", HYPERLINK(INDEX('File Links'!B:B, MATCH(V1976, 'File Links'!C:C, 0))))</f>
        <v>https://drive.google.com/file/d/1UMAh9VGta6ExS2-Lb6GkDF4fmnI2EMeM/view?usp=drivesdk</v>
      </c>
      <c r="Y1976" s="68"/>
      <c r="Z1976" s="68" t="s">
        <v>148</v>
      </c>
      <c r="AA1976" s="68" t="s">
        <v>11821</v>
      </c>
      <c r="AB1976" s="159" t="s">
        <v>11822</v>
      </c>
      <c r="AC1976" s="1914" t="s">
        <v>11823</v>
      </c>
      <c r="AD1976" s="68" t="s">
        <v>11824</v>
      </c>
      <c r="AE1976" s="336">
        <v>4.0</v>
      </c>
      <c r="AF1976" s="156">
        <v>32.0</v>
      </c>
      <c r="AG1976" s="68" t="s">
        <v>11825</v>
      </c>
      <c r="AH1976" s="68" t="s">
        <v>134</v>
      </c>
      <c r="AI1976" s="68" t="s">
        <v>850</v>
      </c>
      <c r="AJ1976" s="337">
        <v>0.06</v>
      </c>
      <c r="AK1976" s="61" t="s">
        <v>135</v>
      </c>
      <c r="AL1976" s="61" t="s">
        <v>186</v>
      </c>
      <c r="AM1976" s="68" t="s">
        <v>137</v>
      </c>
      <c r="AN1976" s="1058" t="s">
        <v>138</v>
      </c>
      <c r="AO1976" s="156">
        <v>91.0</v>
      </c>
      <c r="AP1976" s="336">
        <v>0.011</v>
      </c>
      <c r="AQ1976" s="68" t="s">
        <v>139</v>
      </c>
      <c r="AR1976" s="159" t="s">
        <v>813</v>
      </c>
      <c r="AS1976" s="336">
        <v>0.33</v>
      </c>
      <c r="AT1976" s="68" t="s">
        <v>172</v>
      </c>
      <c r="AU1976" s="68" t="s">
        <v>186</v>
      </c>
      <c r="AV1976" s="68" t="s">
        <v>137</v>
      </c>
      <c r="AW1976" s="435" t="s">
        <v>11826</v>
      </c>
      <c r="AX1976" s="68" t="s">
        <v>143</v>
      </c>
      <c r="AY1976" s="61" t="str">
        <f>IFERROR(__xludf.DUMMYFUNCTION("vlookup(BB1976,importrange(""https://docs.google.com/spreadsheets/d/1d2vevQ_7D_v35q4wCQ4RpQ_IPoTwEMB9Yp6ymwlPqew/edit?gid=984458430#gid=984458430"", ""'replication success'!A:K""), 11, FAlSE)"),"")</f>
        <v/>
      </c>
      <c r="AZ1976" s="61" t="str">
        <f>IFERROR(__xludf.DUMMYFUNCTION("vlookup(BB1976,importrange(""https://docs.google.com/spreadsheets/d/1d2vevQ_7D_v35q4wCQ4RpQ_IPoTwEMB9Yp6ymwlPqew/edit?gid=984458430#gid=984458430"", ""'replication success'!A:M""), 12, FAlSE)"),"")</f>
        <v/>
      </c>
      <c r="BA1976" s="61" t="str">
        <f>IFERROR(__xludf.DUMMYFUNCTION("vlookup(BB1976,importrange(""https://docs.google.com/spreadsheets/d/1d2vevQ_7D_v35q4wCQ4RpQ_IPoTwEMB9Yp6ymwlPqew/edit?gid=984458430#gid=984458430"", ""'replication success'!A:M""), 13, FAlSE)"),"abstract")</f>
        <v>abstract</v>
      </c>
      <c r="BB1976" s="61" t="str">
        <f>IFERROR(__xludf.DUMMYFUNCTION("REGEXREPLACE(G1976, ""_[a-z]{1,2}$"", """")"),"osc201528")</f>
        <v>osc201528</v>
      </c>
      <c r="BD1976" s="68" t="s">
        <v>1441</v>
      </c>
    </row>
    <row r="1977">
      <c r="A1977" s="44">
        <v>1977.0</v>
      </c>
      <c r="B1977" s="68" t="s">
        <v>114</v>
      </c>
      <c r="C1977" s="62" t="s">
        <v>115</v>
      </c>
      <c r="D1977" s="62" t="s">
        <v>153</v>
      </c>
      <c r="F1977" s="159" t="s">
        <v>11813</v>
      </c>
      <c r="G1977" s="1449" t="s">
        <v>11814</v>
      </c>
      <c r="H1977" s="159" t="s">
        <v>153</v>
      </c>
      <c r="I1977" s="529">
        <v>45690.0</v>
      </c>
      <c r="J1977" s="1376">
        <v>45693.0</v>
      </c>
      <c r="K1977" s="68" t="s">
        <v>11827</v>
      </c>
      <c r="L1977" s="68"/>
      <c r="M1977" s="1885" t="s">
        <v>11817</v>
      </c>
      <c r="N1977" s="437" t="s">
        <v>11818</v>
      </c>
      <c r="O1977" s="1926">
        <v>1.0</v>
      </c>
      <c r="P1977" s="382" t="s">
        <v>11819</v>
      </c>
      <c r="Q1977" s="52" t="str">
        <f t="array" ref="Q1977"> if(iserror(MATCH(V1977, 'File Links'!C:C, 0)), "N/A", HYPERLINK(INDEX('File Links'!B:B, MATCH(P1977, 'File Links'!C:C, 0))))</f>
        <v>https://drive.google.com/file/d/1G9_olsUh3tpfcqhh1KX72VpE0keeAnj7/view?usp=drivesdk</v>
      </c>
      <c r="R1977" s="159" t="s">
        <v>11820</v>
      </c>
      <c r="S1977" s="437" t="s">
        <v>10720</v>
      </c>
      <c r="T1977" s="68"/>
      <c r="U1977" s="336">
        <v>1.0</v>
      </c>
      <c r="V1977" s="198" t="str">
        <f t="shared" si="120"/>
        <v>10.1126--science.aac4716.pdf</v>
      </c>
      <c r="W1977" s="159" t="s">
        <v>164</v>
      </c>
      <c r="X1977" s="54" t="str">
        <f t="array" ref="X1977"> if(iserror(MATCH(V1977, 'File Links'!C:C, 0)), "N/A", HYPERLINK(INDEX('File Links'!B:B, MATCH(V1977, 'File Links'!C:C, 0))))</f>
        <v>https://drive.google.com/file/d/1UMAh9VGta6ExS2-Lb6GkDF4fmnI2EMeM/view?usp=drivesdk</v>
      </c>
      <c r="Y1977" s="68"/>
      <c r="Z1977" s="159" t="s">
        <v>148</v>
      </c>
      <c r="AA1977" s="159" t="s">
        <v>11821</v>
      </c>
      <c r="AB1977" s="159" t="s">
        <v>11828</v>
      </c>
      <c r="AC1977" s="159" t="s">
        <v>11823</v>
      </c>
      <c r="AD1977" s="159" t="s">
        <v>11829</v>
      </c>
      <c r="AE1977" s="1303">
        <v>4.0</v>
      </c>
      <c r="AF1977" s="156">
        <v>32.0</v>
      </c>
      <c r="AG1977" s="156" t="s">
        <v>11830</v>
      </c>
      <c r="AH1977" s="159" t="s">
        <v>134</v>
      </c>
      <c r="AI1977" s="159" t="s">
        <v>850</v>
      </c>
      <c r="AJ1977" s="337">
        <v>0.06</v>
      </c>
      <c r="AK1977" s="57" t="s">
        <v>135</v>
      </c>
      <c r="AL1977" s="57" t="s">
        <v>186</v>
      </c>
      <c r="AM1977" s="68" t="s">
        <v>137</v>
      </c>
      <c r="AN1977" s="1058" t="s">
        <v>138</v>
      </c>
      <c r="AO1977" s="336">
        <v>91.0</v>
      </c>
      <c r="AP1977" s="336">
        <v>0.011</v>
      </c>
      <c r="AQ1977" s="159" t="s">
        <v>139</v>
      </c>
      <c r="AR1977" s="159" t="s">
        <v>813</v>
      </c>
      <c r="AS1977" s="156">
        <v>0.33</v>
      </c>
      <c r="AT1977" s="159" t="s">
        <v>172</v>
      </c>
      <c r="AU1977" s="159" t="s">
        <v>186</v>
      </c>
      <c r="AV1977" s="68" t="s">
        <v>137</v>
      </c>
      <c r="AW1977" s="435" t="s">
        <v>11826</v>
      </c>
      <c r="AX1977" s="68" t="s">
        <v>143</v>
      </c>
      <c r="AY1977" s="61" t="str">
        <f>IFERROR(__xludf.DUMMYFUNCTION("vlookup(BB1977,importrange(""https://docs.google.com/spreadsheets/d/1d2vevQ_7D_v35q4wCQ4RpQ_IPoTwEMB9Yp6ymwlPqew/edit?gid=984458430#gid=984458430"", ""'replication success'!A:K""), 11, FAlSE)"),"")</f>
        <v/>
      </c>
      <c r="AZ1977" s="61" t="str">
        <f>IFERROR(__xludf.DUMMYFUNCTION("vlookup(BB1977,importrange(""https://docs.google.com/spreadsheets/d/1d2vevQ_7D_v35q4wCQ4RpQ_IPoTwEMB9Yp6ymwlPqew/edit?gid=984458430#gid=984458430"", ""'replication success'!A:M""), 12, FAlSE)"),"")</f>
        <v/>
      </c>
      <c r="BA1977" s="61" t="str">
        <f>IFERROR(__xludf.DUMMYFUNCTION("vlookup(BB1977,importrange(""https://docs.google.com/spreadsheets/d/1d2vevQ_7D_v35q4wCQ4RpQ_IPoTwEMB9Yp6ymwlPqew/edit?gid=984458430#gid=984458430"", ""'replication success'!A:M""), 13, FAlSE)"),"abstract")</f>
        <v>abstract</v>
      </c>
      <c r="BB1977" s="61" t="str">
        <f>IFERROR(__xludf.DUMMYFUNCTION("REGEXREPLACE(G1977, ""_[a-z]{1,2}$"", """")"),"osc201528")</f>
        <v>osc201528</v>
      </c>
      <c r="BD1977" s="68" t="s">
        <v>1441</v>
      </c>
    </row>
    <row r="1978">
      <c r="A1978" s="44">
        <v>1978.0</v>
      </c>
      <c r="B1978" s="68" t="s">
        <v>152</v>
      </c>
      <c r="C1978" s="62" t="s">
        <v>115</v>
      </c>
      <c r="D1978" s="62" t="s">
        <v>1441</v>
      </c>
      <c r="F1978" s="159" t="s">
        <v>11831</v>
      </c>
      <c r="G1978" s="1449" t="s">
        <v>11832</v>
      </c>
      <c r="H1978" s="159" t="s">
        <v>11833</v>
      </c>
      <c r="I1978" s="529">
        <v>45690.0</v>
      </c>
      <c r="J1978" s="1376">
        <v>45693.0</v>
      </c>
      <c r="K1978" s="68"/>
      <c r="L1978" s="68" t="s">
        <v>11834</v>
      </c>
      <c r="M1978" s="1909" t="s">
        <v>11835</v>
      </c>
      <c r="N1978" s="159" t="s">
        <v>11836</v>
      </c>
      <c r="O1978" s="68" t="s">
        <v>5934</v>
      </c>
      <c r="P1978" s="382" t="s">
        <v>11837</v>
      </c>
      <c r="Q1978" s="52" t="str">
        <f t="array" ref="Q1978"> if(iserror(MATCH(V1978, 'File Links'!C:C, 0)), "N/A", HYPERLINK(INDEX('File Links'!B:B, MATCH(P1978, 'File Links'!C:C, 0))))</f>
        <v>https://drive.google.com/file/d/1y0oKhgHFMs_nXH4ufYi5ZaxDoesUnD71/view?usp=drivesdk</v>
      </c>
      <c r="R1978" s="159" t="s">
        <v>11838</v>
      </c>
      <c r="S1978" s="437" t="s">
        <v>10720</v>
      </c>
      <c r="T1978" s="129"/>
      <c r="U1978" s="336">
        <v>1.0</v>
      </c>
      <c r="V1978" s="198" t="str">
        <f t="shared" si="120"/>
        <v>10.1126--science.aac4716.pdf</v>
      </c>
      <c r="W1978" s="68" t="s">
        <v>164</v>
      </c>
      <c r="X1978" s="54" t="str">
        <f t="array" ref="X1978"> if(iserror(MATCH(V1978, 'File Links'!C:C, 0)), "N/A", HYPERLINK(INDEX('File Links'!B:B, MATCH(V1978, 'File Links'!C:C, 0))))</f>
        <v>https://drive.google.com/file/d/1UMAh9VGta6ExS2-Lb6GkDF4fmnI2EMeM/view?usp=drivesdk</v>
      </c>
      <c r="Y1978" s="68"/>
      <c r="Z1978" s="68" t="s">
        <v>148</v>
      </c>
      <c r="AA1978" s="68" t="s">
        <v>11839</v>
      </c>
      <c r="AB1978" s="68" t="s">
        <v>11840</v>
      </c>
      <c r="AC1978" s="1914" t="s">
        <v>11841</v>
      </c>
      <c r="AD1978" s="68" t="s">
        <v>11842</v>
      </c>
      <c r="AE1978" s="336">
        <v>6.0</v>
      </c>
      <c r="AF1978" s="336">
        <v>8.0</v>
      </c>
      <c r="AG1978" s="336">
        <v>1.023</v>
      </c>
      <c r="AH1978" s="68" t="s">
        <v>173</v>
      </c>
      <c r="AI1978" s="68" t="s">
        <v>140</v>
      </c>
      <c r="AJ1978" s="337">
        <v>0.023</v>
      </c>
      <c r="AK1978" s="61" t="s">
        <v>172</v>
      </c>
      <c r="AL1978" s="61" t="s">
        <v>186</v>
      </c>
      <c r="AM1978" s="68" t="s">
        <v>137</v>
      </c>
      <c r="AN1978" s="1058" t="s">
        <v>138</v>
      </c>
      <c r="AO1978" s="336">
        <v>15.0</v>
      </c>
      <c r="AP1978" s="336">
        <v>0.957</v>
      </c>
      <c r="AQ1978" s="68" t="s">
        <v>173</v>
      </c>
      <c r="AR1978" s="68" t="s">
        <v>217</v>
      </c>
      <c r="AS1978" s="336">
        <v>0.002</v>
      </c>
      <c r="AT1978" s="68" t="s">
        <v>172</v>
      </c>
      <c r="AU1978" s="68" t="s">
        <v>186</v>
      </c>
      <c r="AV1978" s="68" t="s">
        <v>137</v>
      </c>
      <c r="AW1978" s="435" t="s">
        <v>11843</v>
      </c>
      <c r="AX1978" s="68" t="s">
        <v>143</v>
      </c>
      <c r="AY1978" s="61" t="str">
        <f>IFERROR(__xludf.DUMMYFUNCTION("vlookup(BB1978,importrange(""https://docs.google.com/spreadsheets/d/1d2vevQ_7D_v35q4wCQ4RpQ_IPoTwEMB9Yp6ymwlPqew/edit?gid=984458430#gid=984458430"", ""'replication success'!A:K""), 11, FAlSE)"),"")</f>
        <v/>
      </c>
      <c r="AZ1978" s="61" t="str">
        <f>IFERROR(__xludf.DUMMYFUNCTION("vlookup(BB1978,importrange(""https://docs.google.com/spreadsheets/d/1d2vevQ_7D_v35q4wCQ4RpQ_IPoTwEMB9Yp6ymwlPqew/edit?gid=984458430#gid=984458430"", ""'replication success'!A:M""), 12, FAlSE)"),"")</f>
        <v/>
      </c>
      <c r="BA1978" s="61" t="str">
        <f>IFERROR(__xludf.DUMMYFUNCTION("vlookup(BB1978,importrange(""https://docs.google.com/spreadsheets/d/1d2vevQ_7D_v35q4wCQ4RpQ_IPoTwEMB9Yp6ymwlPqew/edit?gid=984458430#gid=984458430"", ""'replication success'!A:M""), 13, FAlSE)"),"abstract")</f>
        <v>abstract</v>
      </c>
      <c r="BB1978" s="61" t="str">
        <f>IFERROR(__xludf.DUMMYFUNCTION("REGEXREPLACE(G1978, ""_[a-z]{1,2}$"", """")"),"osc201529")</f>
        <v>osc201529</v>
      </c>
      <c r="BD1978" s="68" t="s">
        <v>1441</v>
      </c>
    </row>
    <row r="1979">
      <c r="A1979" s="44">
        <v>1979.0</v>
      </c>
      <c r="B1979" s="68" t="s">
        <v>114</v>
      </c>
      <c r="C1979" s="62" t="s">
        <v>115</v>
      </c>
      <c r="D1979" s="62" t="s">
        <v>153</v>
      </c>
      <c r="F1979" s="159" t="s">
        <v>11831</v>
      </c>
      <c r="G1979" s="1449" t="s">
        <v>11832</v>
      </c>
      <c r="H1979" s="159" t="s">
        <v>153</v>
      </c>
      <c r="I1979" s="529">
        <v>45690.0</v>
      </c>
      <c r="J1979" s="1376">
        <v>45693.0</v>
      </c>
      <c r="K1979" s="159" t="s">
        <v>11844</v>
      </c>
      <c r="L1979" s="68"/>
      <c r="M1979" s="1909" t="s">
        <v>11835</v>
      </c>
      <c r="N1979" s="159" t="s">
        <v>11836</v>
      </c>
      <c r="O1979" s="159" t="s">
        <v>5934</v>
      </c>
      <c r="P1979" s="382" t="s">
        <v>11837</v>
      </c>
      <c r="Q1979" s="52" t="str">
        <f t="array" ref="Q1979"> if(iserror(MATCH(V1979, 'File Links'!C:C, 0)), "N/A", HYPERLINK(INDEX('File Links'!B:B, MATCH(P1979, 'File Links'!C:C, 0))))</f>
        <v>https://drive.google.com/file/d/1y0oKhgHFMs_nXH4ufYi5ZaxDoesUnD71/view?usp=drivesdk</v>
      </c>
      <c r="R1979" s="159" t="s">
        <v>11838</v>
      </c>
      <c r="S1979" s="437" t="s">
        <v>10720</v>
      </c>
      <c r="T1979" s="129"/>
      <c r="U1979" s="336">
        <v>1.0</v>
      </c>
      <c r="V1979" s="198" t="str">
        <f t="shared" si="120"/>
        <v>10.1126--science.aac4716.pdf</v>
      </c>
      <c r="W1979" s="159" t="s">
        <v>164</v>
      </c>
      <c r="X1979" s="54" t="str">
        <f t="array" ref="X1979"> if(iserror(MATCH(V1979, 'File Links'!C:C, 0)), "N/A", HYPERLINK(INDEX('File Links'!B:B, MATCH(V1979, 'File Links'!C:C, 0))))</f>
        <v>https://drive.google.com/file/d/1UMAh9VGta6ExS2-Lb6GkDF4fmnI2EMeM/view?usp=drivesdk</v>
      </c>
      <c r="Y1979" s="68"/>
      <c r="Z1979" s="159" t="s">
        <v>148</v>
      </c>
      <c r="AA1979" s="159" t="s">
        <v>11845</v>
      </c>
      <c r="AB1979" s="159" t="s">
        <v>11846</v>
      </c>
      <c r="AC1979" s="159" t="s">
        <v>11841</v>
      </c>
      <c r="AD1979" s="159" t="s">
        <v>11847</v>
      </c>
      <c r="AE1979" s="156">
        <v>6.0</v>
      </c>
      <c r="AF1979" s="156">
        <v>8.0</v>
      </c>
      <c r="AG1979" s="156">
        <v>1.023</v>
      </c>
      <c r="AH1979" s="159" t="s">
        <v>173</v>
      </c>
      <c r="AI1979" s="159" t="s">
        <v>140</v>
      </c>
      <c r="AJ1979" s="337">
        <v>0.023</v>
      </c>
      <c r="AK1979" s="57" t="s">
        <v>172</v>
      </c>
      <c r="AL1979" s="57" t="s">
        <v>186</v>
      </c>
      <c r="AM1979" s="68" t="s">
        <v>137</v>
      </c>
      <c r="AN1979" s="1058" t="s">
        <v>138</v>
      </c>
      <c r="AO1979" s="156">
        <v>15.0</v>
      </c>
      <c r="AP1979" s="156">
        <v>0.957</v>
      </c>
      <c r="AQ1979" s="159" t="s">
        <v>173</v>
      </c>
      <c r="AR1979" s="159" t="s">
        <v>217</v>
      </c>
      <c r="AS1979" s="156">
        <v>0.002</v>
      </c>
      <c r="AT1979" s="159" t="s">
        <v>172</v>
      </c>
      <c r="AU1979" s="159" t="s">
        <v>186</v>
      </c>
      <c r="AV1979" s="68" t="s">
        <v>137</v>
      </c>
      <c r="AW1979" s="435" t="s">
        <v>11843</v>
      </c>
      <c r="AX1979" s="1915" t="s">
        <v>151</v>
      </c>
      <c r="AY1979" s="61" t="str">
        <f>IFERROR(__xludf.DUMMYFUNCTION("vlookup(BB1979,importrange(""https://docs.google.com/spreadsheets/d/1d2vevQ_7D_v35q4wCQ4RpQ_IPoTwEMB9Yp6ymwlPqew/edit?gid=984458430#gid=984458430"", ""'replication success'!A:K""), 11, FAlSE)"),"")</f>
        <v/>
      </c>
      <c r="AZ1979" s="61" t="str">
        <f>IFERROR(__xludf.DUMMYFUNCTION("vlookup(BB1979,importrange(""https://docs.google.com/spreadsheets/d/1d2vevQ_7D_v35q4wCQ4RpQ_IPoTwEMB9Yp6ymwlPqew/edit?gid=984458430#gid=984458430"", ""'replication success'!A:M""), 12, FAlSE)"),"")</f>
        <v/>
      </c>
      <c r="BA1979" s="61" t="str">
        <f>IFERROR(__xludf.DUMMYFUNCTION("vlookup(BB1979,importrange(""https://docs.google.com/spreadsheets/d/1d2vevQ_7D_v35q4wCQ4RpQ_IPoTwEMB9Yp6ymwlPqew/edit?gid=984458430#gid=984458430"", ""'replication success'!A:M""), 13, FAlSE)"),"abstract")</f>
        <v>abstract</v>
      </c>
      <c r="BB1979" s="61" t="str">
        <f>IFERROR(__xludf.DUMMYFUNCTION("REGEXREPLACE(G1979, ""_[a-z]{1,2}$"", """")"),"osc201529")</f>
        <v>osc201529</v>
      </c>
      <c r="BD1979" s="68" t="s">
        <v>1441</v>
      </c>
    </row>
    <row r="1980">
      <c r="A1980" s="44">
        <v>1980.0</v>
      </c>
      <c r="B1980" s="68" t="s">
        <v>152</v>
      </c>
      <c r="C1980" s="62" t="s">
        <v>115</v>
      </c>
      <c r="D1980" s="62" t="s">
        <v>1441</v>
      </c>
      <c r="F1980" s="159" t="s">
        <v>11848</v>
      </c>
      <c r="G1980" s="1449" t="s">
        <v>11849</v>
      </c>
      <c r="H1980" s="159" t="s">
        <v>11850</v>
      </c>
      <c r="I1980" s="529">
        <v>45690.0</v>
      </c>
      <c r="J1980" s="1376">
        <v>45693.0</v>
      </c>
      <c r="K1980" s="68"/>
      <c r="L1980" s="68"/>
      <c r="M1980" s="1909" t="s">
        <v>11851</v>
      </c>
      <c r="N1980" s="159" t="s">
        <v>11852</v>
      </c>
      <c r="O1980" s="336">
        <v>4.0</v>
      </c>
      <c r="P1980" s="382" t="s">
        <v>11853</v>
      </c>
      <c r="Q1980" s="52" t="str">
        <f t="array" ref="Q1980"> if(iserror(MATCH(V1980, 'File Links'!C:C, 0)), "N/A", HYPERLINK(INDEX('File Links'!B:B, MATCH(P1980, 'File Links'!C:C, 0))))</f>
        <v>https://drive.google.com/file/d/1NiPCpcI4sxnM3OTJQdqenG265Dkr8hRb/view?usp=drivesdk</v>
      </c>
      <c r="R1980" s="159" t="s">
        <v>11854</v>
      </c>
      <c r="S1980" s="437" t="s">
        <v>10720</v>
      </c>
      <c r="T1980" s="129"/>
      <c r="U1980" s="336">
        <v>1.0</v>
      </c>
      <c r="V1980" s="198" t="str">
        <f t="shared" si="120"/>
        <v>10.1126--science.aac4716.pdf</v>
      </c>
      <c r="W1980" s="68" t="s">
        <v>3570</v>
      </c>
      <c r="X1980" s="54" t="str">
        <f t="array" ref="X1980"> if(iserror(MATCH(V1980, 'File Links'!C:C, 0)), "N/A", HYPERLINK(INDEX('File Links'!B:B, MATCH(V1980, 'File Links'!C:C, 0))))</f>
        <v>https://drive.google.com/file/d/1UMAh9VGta6ExS2-Lb6GkDF4fmnI2EMeM/view?usp=drivesdk</v>
      </c>
      <c r="Y1980" s="68"/>
      <c r="Z1980" s="68" t="s">
        <v>148</v>
      </c>
      <c r="AA1980" s="159" t="s">
        <v>11855</v>
      </c>
      <c r="AB1980" s="159" t="s">
        <v>11856</v>
      </c>
      <c r="AC1980" s="1914" t="s">
        <v>11857</v>
      </c>
      <c r="AD1980" s="68" t="s">
        <v>11858</v>
      </c>
      <c r="AE1980" s="336">
        <v>11.0</v>
      </c>
      <c r="AF1980" s="156">
        <v>25.0</v>
      </c>
      <c r="AG1980" s="68" t="s">
        <v>11859</v>
      </c>
      <c r="AH1980" s="68" t="s">
        <v>134</v>
      </c>
      <c r="AI1980" s="68" t="s">
        <v>307</v>
      </c>
      <c r="AJ1980" s="337">
        <v>0.05</v>
      </c>
      <c r="AK1980" s="61" t="s">
        <v>135</v>
      </c>
      <c r="AL1980" s="61" t="s">
        <v>136</v>
      </c>
      <c r="AM1980" s="68" t="s">
        <v>137</v>
      </c>
      <c r="AN1980" s="1058" t="s">
        <v>138</v>
      </c>
      <c r="AO1980" s="156">
        <v>32.0</v>
      </c>
      <c r="AP1980" s="336">
        <v>0.046</v>
      </c>
      <c r="AQ1980" s="68" t="s">
        <v>874</v>
      </c>
      <c r="AR1980" s="68" t="s">
        <v>813</v>
      </c>
      <c r="AS1980" s="336">
        <v>0.229</v>
      </c>
      <c r="AT1980" s="68" t="s">
        <v>172</v>
      </c>
      <c r="AU1980" s="68" t="s">
        <v>186</v>
      </c>
      <c r="AV1980" s="68" t="s">
        <v>137</v>
      </c>
      <c r="AW1980" s="435" t="s">
        <v>11860</v>
      </c>
      <c r="AX1980" s="68" t="s">
        <v>143</v>
      </c>
      <c r="AY1980" s="61" t="str">
        <f>IFERROR(__xludf.DUMMYFUNCTION("vlookup(BB1980,importrange(""https://docs.google.com/spreadsheets/d/1d2vevQ_7D_v35q4wCQ4RpQ_IPoTwEMB9Yp6ymwlPqew/edit?gid=984458430#gid=984458430"", ""'replication success'!A:K""), 11, FAlSE)"),"")</f>
        <v/>
      </c>
      <c r="AZ1980" s="61" t="str">
        <f>IFERROR(__xludf.DUMMYFUNCTION("vlookup(BB1980,importrange(""https://docs.google.com/spreadsheets/d/1d2vevQ_7D_v35q4wCQ4RpQ_IPoTwEMB9Yp6ymwlPqew/edit?gid=984458430#gid=984458430"", ""'replication success'!A:M""), 12, FAlSE)"),"")</f>
        <v/>
      </c>
      <c r="BA1980" s="61" t="str">
        <f>IFERROR(__xludf.DUMMYFUNCTION("vlookup(BB1980,importrange(""https://docs.google.com/spreadsheets/d/1d2vevQ_7D_v35q4wCQ4RpQ_IPoTwEMB9Yp6ymwlPqew/edit?gid=984458430#gid=984458430"", ""'replication success'!A:M""), 13, FAlSE)"),"abstract")</f>
        <v>abstract</v>
      </c>
      <c r="BB1980" s="61" t="str">
        <f>IFERROR(__xludf.DUMMYFUNCTION("REGEXREPLACE(G1980, ""_[a-z]{1,2}$"", """")"),"osc20153")</f>
        <v>osc20153</v>
      </c>
      <c r="BD1980" s="68" t="s">
        <v>1441</v>
      </c>
    </row>
    <row r="1981">
      <c r="A1981" s="44">
        <v>1981.0</v>
      </c>
      <c r="B1981" s="68" t="s">
        <v>114</v>
      </c>
      <c r="C1981" s="62" t="s">
        <v>115</v>
      </c>
      <c r="D1981" s="62" t="s">
        <v>153</v>
      </c>
      <c r="F1981" s="159" t="s">
        <v>11848</v>
      </c>
      <c r="G1981" s="1449" t="s">
        <v>11849</v>
      </c>
      <c r="H1981" s="159" t="s">
        <v>153</v>
      </c>
      <c r="I1981" s="529">
        <v>45690.0</v>
      </c>
      <c r="J1981" s="1376">
        <v>45693.0</v>
      </c>
      <c r="K1981" s="159" t="s">
        <v>11861</v>
      </c>
      <c r="L1981" s="68"/>
      <c r="M1981" s="1909" t="s">
        <v>11851</v>
      </c>
      <c r="N1981" s="159" t="s">
        <v>11852</v>
      </c>
      <c r="O1981" s="156">
        <v>4.0</v>
      </c>
      <c r="P1981" s="382" t="s">
        <v>11853</v>
      </c>
      <c r="Q1981" s="52" t="str">
        <f t="array" ref="Q1981"> if(iserror(MATCH(V1981, 'File Links'!C:C, 0)), "N/A", HYPERLINK(INDEX('File Links'!B:B, MATCH(P1981, 'File Links'!C:C, 0))))</f>
        <v>https://drive.google.com/file/d/1NiPCpcI4sxnM3OTJQdqenG265Dkr8hRb/view?usp=drivesdk</v>
      </c>
      <c r="R1981" s="159" t="s">
        <v>11854</v>
      </c>
      <c r="S1981" s="437" t="s">
        <v>10720</v>
      </c>
      <c r="T1981" s="129"/>
      <c r="U1981" s="336">
        <v>1.0</v>
      </c>
      <c r="V1981" s="198" t="str">
        <f t="shared" si="120"/>
        <v>10.1126--science.aac4716.pdf</v>
      </c>
      <c r="W1981" s="159" t="s">
        <v>3570</v>
      </c>
      <c r="X1981" s="54" t="str">
        <f t="array" ref="X1981"> if(iserror(MATCH(V1981, 'File Links'!C:C, 0)), "N/A", HYPERLINK(INDEX('File Links'!B:B, MATCH(V1981, 'File Links'!C:C, 0))))</f>
        <v>https://drive.google.com/file/d/1UMAh9VGta6ExS2-Lb6GkDF4fmnI2EMeM/view?usp=drivesdk</v>
      </c>
      <c r="Y1981" s="68"/>
      <c r="Z1981" s="159" t="s">
        <v>148</v>
      </c>
      <c r="AA1981" s="159" t="s">
        <v>4302</v>
      </c>
      <c r="AB1981" s="159" t="s">
        <v>11862</v>
      </c>
      <c r="AC1981" s="159" t="s">
        <v>11857</v>
      </c>
      <c r="AD1981" s="159" t="s">
        <v>11863</v>
      </c>
      <c r="AE1981" s="156">
        <v>11.0</v>
      </c>
      <c r="AF1981" s="156">
        <v>25.0</v>
      </c>
      <c r="AG1981" s="159" t="s">
        <v>11859</v>
      </c>
      <c r="AH1981" s="159" t="s">
        <v>134</v>
      </c>
      <c r="AI1981" s="159" t="s">
        <v>307</v>
      </c>
      <c r="AJ1981" s="337">
        <v>0.05</v>
      </c>
      <c r="AK1981" s="57" t="s">
        <v>135</v>
      </c>
      <c r="AL1981" s="57" t="s">
        <v>136</v>
      </c>
      <c r="AM1981" s="68" t="s">
        <v>137</v>
      </c>
      <c r="AN1981" s="1058" t="s">
        <v>138</v>
      </c>
      <c r="AO1981" s="156">
        <v>32.0</v>
      </c>
      <c r="AP1981" s="156">
        <v>0.046</v>
      </c>
      <c r="AQ1981" s="1917" t="s">
        <v>139</v>
      </c>
      <c r="AR1981" s="159" t="s">
        <v>813</v>
      </c>
      <c r="AS1981" s="156">
        <v>0.229</v>
      </c>
      <c r="AT1981" s="159" t="s">
        <v>172</v>
      </c>
      <c r="AU1981" s="159" t="s">
        <v>186</v>
      </c>
      <c r="AV1981" s="68" t="s">
        <v>137</v>
      </c>
      <c r="AW1981" s="435" t="s">
        <v>11860</v>
      </c>
      <c r="AX1981" s="68" t="s">
        <v>143</v>
      </c>
      <c r="AY1981" s="61" t="str">
        <f>IFERROR(__xludf.DUMMYFUNCTION("vlookup(BB1981,importrange(""https://docs.google.com/spreadsheets/d/1d2vevQ_7D_v35q4wCQ4RpQ_IPoTwEMB9Yp6ymwlPqew/edit?gid=984458430#gid=984458430"", ""'replication success'!A:K""), 11, FAlSE)"),"")</f>
        <v/>
      </c>
      <c r="AZ1981" s="61" t="str">
        <f>IFERROR(__xludf.DUMMYFUNCTION("vlookup(BB1981,importrange(""https://docs.google.com/spreadsheets/d/1d2vevQ_7D_v35q4wCQ4RpQ_IPoTwEMB9Yp6ymwlPqew/edit?gid=984458430#gid=984458430"", ""'replication success'!A:M""), 12, FAlSE)"),"")</f>
        <v/>
      </c>
      <c r="BA1981" s="61" t="str">
        <f>IFERROR(__xludf.DUMMYFUNCTION("vlookup(BB1981,importrange(""https://docs.google.com/spreadsheets/d/1d2vevQ_7D_v35q4wCQ4RpQ_IPoTwEMB9Yp6ymwlPqew/edit?gid=984458430#gid=984458430"", ""'replication success'!A:M""), 13, FAlSE)"),"abstract")</f>
        <v>abstract</v>
      </c>
      <c r="BB1981" s="61" t="str">
        <f>IFERROR(__xludf.DUMMYFUNCTION("REGEXREPLACE(G1981, ""_[a-z]{1,2}$"", """")"),"osc20153")</f>
        <v>osc20153</v>
      </c>
      <c r="BD1981" s="68" t="s">
        <v>1441</v>
      </c>
    </row>
    <row r="1982">
      <c r="A1982" s="44">
        <v>1982.0</v>
      </c>
      <c r="B1982" s="68" t="s">
        <v>152</v>
      </c>
      <c r="C1982" s="62" t="s">
        <v>115</v>
      </c>
      <c r="D1982" s="62" t="s">
        <v>1441</v>
      </c>
      <c r="F1982" s="159" t="s">
        <v>11864</v>
      </c>
      <c r="G1982" s="1449" t="s">
        <v>11865</v>
      </c>
      <c r="H1982" s="159" t="s">
        <v>11642</v>
      </c>
      <c r="I1982" s="529">
        <v>45690.0</v>
      </c>
      <c r="J1982" s="1376">
        <v>45693.0</v>
      </c>
      <c r="K1982" s="68"/>
      <c r="L1982" s="68"/>
      <c r="M1982" s="1909" t="s">
        <v>11866</v>
      </c>
      <c r="N1982" s="159" t="s">
        <v>11867</v>
      </c>
      <c r="O1982" s="336">
        <v>3.0</v>
      </c>
      <c r="P1982" s="382" t="s">
        <v>11868</v>
      </c>
      <c r="Q1982" s="52" t="str">
        <f t="array" ref="Q1982"> if(iserror(MATCH(V1982, 'File Links'!C:C, 0)), "N/A", HYPERLINK(INDEX('File Links'!B:B, MATCH(P1982, 'File Links'!C:C, 0))))</f>
        <v>https://drive.google.com/file/d/1VkkAzt4eeAeZtV2ewwPlwMagejOBaOcs/view?usp=drivesdk</v>
      </c>
      <c r="R1982" s="159" t="s">
        <v>11869</v>
      </c>
      <c r="S1982" s="437" t="s">
        <v>10720</v>
      </c>
      <c r="T1982" s="129"/>
      <c r="U1982" s="336">
        <v>1.0</v>
      </c>
      <c r="V1982" s="198" t="str">
        <f t="shared" si="120"/>
        <v>10.1126--science.aac4716.pdf</v>
      </c>
      <c r="W1982" s="68" t="s">
        <v>164</v>
      </c>
      <c r="X1982" s="54" t="str">
        <f t="array" ref="X1982"> if(iserror(MATCH(V1982, 'File Links'!C:C, 0)), "N/A", HYPERLINK(INDEX('File Links'!B:B, MATCH(V1982, 'File Links'!C:C, 0))))</f>
        <v>https://drive.google.com/file/d/1UMAh9VGta6ExS2-Lb6GkDF4fmnI2EMeM/view?usp=drivesdk</v>
      </c>
      <c r="Y1982" s="68"/>
      <c r="Z1982" s="68" t="s">
        <v>148</v>
      </c>
      <c r="AA1982" s="68" t="s">
        <v>11870</v>
      </c>
      <c r="AB1982" s="159" t="s">
        <v>11871</v>
      </c>
      <c r="AC1982" s="1925" t="s">
        <v>11872</v>
      </c>
      <c r="AD1982" s="68" t="s">
        <v>11873</v>
      </c>
      <c r="AE1982" s="336">
        <v>7.0</v>
      </c>
      <c r="AF1982" s="156">
        <v>37.0</v>
      </c>
      <c r="AG1982" s="68" t="s">
        <v>11874</v>
      </c>
      <c r="AH1982" s="68" t="s">
        <v>134</v>
      </c>
      <c r="AI1982" s="68" t="s">
        <v>132</v>
      </c>
      <c r="AJ1982" s="337">
        <v>0.001</v>
      </c>
      <c r="AK1982" s="61" t="s">
        <v>135</v>
      </c>
      <c r="AL1982" s="61" t="s">
        <v>186</v>
      </c>
      <c r="AM1982" s="68" t="s">
        <v>141</v>
      </c>
      <c r="AN1982" s="1058" t="s">
        <v>138</v>
      </c>
      <c r="AO1982" s="156">
        <v>38.0</v>
      </c>
      <c r="AP1982" s="336">
        <v>0.23</v>
      </c>
      <c r="AQ1982" s="68" t="s">
        <v>874</v>
      </c>
      <c r="AR1982" s="68" t="s">
        <v>217</v>
      </c>
      <c r="AS1982" s="336">
        <v>0.002</v>
      </c>
      <c r="AT1982" s="68" t="s">
        <v>172</v>
      </c>
      <c r="AU1982" s="68" t="s">
        <v>186</v>
      </c>
      <c r="AV1982" s="68" t="s">
        <v>141</v>
      </c>
      <c r="AW1982" s="1308" t="s">
        <v>11875</v>
      </c>
      <c r="AX1982" s="68" t="s">
        <v>143</v>
      </c>
      <c r="AY1982" s="61" t="str">
        <f>IFERROR(__xludf.DUMMYFUNCTION("vlookup(BB1982,importrange(""https://docs.google.com/spreadsheets/d/1d2vevQ_7D_v35q4wCQ4RpQ_IPoTwEMB9Yp6ymwlPqew/edit?gid=984458430#gid=984458430"", ""'replication success'!A:K""), 11, FAlSE)"),"")</f>
        <v/>
      </c>
      <c r="AZ1982" s="61" t="str">
        <f>IFERROR(__xludf.DUMMYFUNCTION("vlookup(BB1982,importrange(""https://docs.google.com/spreadsheets/d/1d2vevQ_7D_v35q4wCQ4RpQ_IPoTwEMB9Yp6ymwlPqew/edit?gid=984458430#gid=984458430"", ""'replication success'!A:M""), 12, FAlSE)"),"")</f>
        <v/>
      </c>
      <c r="BA1982" s="61" t="str">
        <f>IFERROR(__xludf.DUMMYFUNCTION("vlookup(BB1982,importrange(""https://docs.google.com/spreadsheets/d/1d2vevQ_7D_v35q4wCQ4RpQ_IPoTwEMB9Yp6ymwlPqew/edit?gid=984458430#gid=984458430"", ""'replication success'!A:M""), 13, FAlSE)"),"abstract")</f>
        <v>abstract</v>
      </c>
      <c r="BB1982" s="61" t="str">
        <f>IFERROR(__xludf.DUMMYFUNCTION("REGEXREPLACE(G1982, ""_[a-z]{1,2}$"", """")"),"osc201532")</f>
        <v>osc201532</v>
      </c>
      <c r="BD1982" s="68" t="s">
        <v>1441</v>
      </c>
    </row>
    <row r="1983">
      <c r="A1983" s="44">
        <v>1983.0</v>
      </c>
      <c r="B1983" s="68" t="s">
        <v>114</v>
      </c>
      <c r="C1983" s="62" t="s">
        <v>115</v>
      </c>
      <c r="D1983" s="62" t="s">
        <v>153</v>
      </c>
      <c r="F1983" s="159" t="s">
        <v>11864</v>
      </c>
      <c r="G1983" s="1449" t="s">
        <v>11865</v>
      </c>
      <c r="H1983" s="159" t="s">
        <v>11876</v>
      </c>
      <c r="I1983" s="529">
        <v>45690.0</v>
      </c>
      <c r="J1983" s="1376">
        <v>45693.0</v>
      </c>
      <c r="K1983" s="159" t="s">
        <v>11877</v>
      </c>
      <c r="L1983" s="68"/>
      <c r="M1983" s="1909" t="s">
        <v>11866</v>
      </c>
      <c r="N1983" s="159" t="s">
        <v>11867</v>
      </c>
      <c r="O1983" s="156">
        <v>3.0</v>
      </c>
      <c r="P1983" s="382" t="s">
        <v>11868</v>
      </c>
      <c r="Q1983" s="52" t="str">
        <f t="array" ref="Q1983"> if(iserror(MATCH(V1983, 'File Links'!C:C, 0)), "N/A", HYPERLINK(INDEX('File Links'!B:B, MATCH(P1983, 'File Links'!C:C, 0))))</f>
        <v>https://drive.google.com/file/d/1VkkAzt4eeAeZtV2ewwPlwMagejOBaOcs/view?usp=drivesdk</v>
      </c>
      <c r="R1983" s="159" t="s">
        <v>11869</v>
      </c>
      <c r="S1983" s="437" t="s">
        <v>10720</v>
      </c>
      <c r="T1983" s="129"/>
      <c r="U1983" s="336">
        <v>1.0</v>
      </c>
      <c r="V1983" s="198" t="str">
        <f t="shared" si="120"/>
        <v>10.1126--science.aac4716.pdf</v>
      </c>
      <c r="W1983" s="159" t="s">
        <v>164</v>
      </c>
      <c r="X1983" s="54" t="str">
        <f t="array" ref="X1983"> if(iserror(MATCH(V1983, 'File Links'!C:C, 0)), "N/A", HYPERLINK(INDEX('File Links'!B:B, MATCH(V1983, 'File Links'!C:C, 0))))</f>
        <v>https://drive.google.com/file/d/1UMAh9VGta6ExS2-Lb6GkDF4fmnI2EMeM/view?usp=drivesdk</v>
      </c>
      <c r="Y1983" s="68"/>
      <c r="Z1983" s="159" t="s">
        <v>148</v>
      </c>
      <c r="AA1983" s="159" t="s">
        <v>11870</v>
      </c>
      <c r="AB1983" s="159" t="s">
        <v>11878</v>
      </c>
      <c r="AC1983" s="159" t="s">
        <v>11872</v>
      </c>
      <c r="AD1983" s="159" t="s">
        <v>11879</v>
      </c>
      <c r="AE1983" s="156">
        <v>7.0</v>
      </c>
      <c r="AF1983" s="156">
        <v>37.0</v>
      </c>
      <c r="AG1983" s="159" t="s">
        <v>11874</v>
      </c>
      <c r="AH1983" s="159" t="s">
        <v>134</v>
      </c>
      <c r="AI1983" s="159" t="s">
        <v>132</v>
      </c>
      <c r="AJ1983" s="337">
        <v>0.001</v>
      </c>
      <c r="AK1983" s="57" t="s">
        <v>135</v>
      </c>
      <c r="AL1983" s="57" t="s">
        <v>186</v>
      </c>
      <c r="AM1983" s="1915" t="s">
        <v>137</v>
      </c>
      <c r="AN1983" s="1058" t="s">
        <v>138</v>
      </c>
      <c r="AO1983" s="156">
        <v>38.0</v>
      </c>
      <c r="AP1983" s="156">
        <v>0.23</v>
      </c>
      <c r="AQ1983" s="1917" t="s">
        <v>139</v>
      </c>
      <c r="AR1983" s="159" t="s">
        <v>217</v>
      </c>
      <c r="AS1983" s="156">
        <v>0.002</v>
      </c>
      <c r="AT1983" s="159" t="s">
        <v>172</v>
      </c>
      <c r="AU1983" s="159" t="s">
        <v>186</v>
      </c>
      <c r="AV1983" s="1915" t="s">
        <v>137</v>
      </c>
      <c r="AW1983" s="435" t="s">
        <v>11880</v>
      </c>
      <c r="AX1983" s="68" t="s">
        <v>143</v>
      </c>
      <c r="AY1983" s="61" t="str">
        <f>IFERROR(__xludf.DUMMYFUNCTION("vlookup(BB1983,importrange(""https://docs.google.com/spreadsheets/d/1d2vevQ_7D_v35q4wCQ4RpQ_IPoTwEMB9Yp6ymwlPqew/edit?gid=984458430#gid=984458430"", ""'replication success'!A:K""), 11, FAlSE)"),"")</f>
        <v/>
      </c>
      <c r="AZ1983" s="61" t="str">
        <f>IFERROR(__xludf.DUMMYFUNCTION("vlookup(BB1983,importrange(""https://docs.google.com/spreadsheets/d/1d2vevQ_7D_v35q4wCQ4RpQ_IPoTwEMB9Yp6ymwlPqew/edit?gid=984458430#gid=984458430"", ""'replication success'!A:M""), 12, FAlSE)"),"")</f>
        <v/>
      </c>
      <c r="BA1983" s="61" t="str">
        <f>IFERROR(__xludf.DUMMYFUNCTION("vlookup(BB1983,importrange(""https://docs.google.com/spreadsheets/d/1d2vevQ_7D_v35q4wCQ4RpQ_IPoTwEMB9Yp6ymwlPqew/edit?gid=984458430#gid=984458430"", ""'replication success'!A:M""), 13, FAlSE)"),"abstract")</f>
        <v>abstract</v>
      </c>
      <c r="BB1983" s="61" t="str">
        <f>IFERROR(__xludf.DUMMYFUNCTION("REGEXREPLACE(G1983, ""_[a-z]{1,2}$"", """")"),"osc201532")</f>
        <v>osc201532</v>
      </c>
      <c r="BD1983" s="68" t="s">
        <v>1441</v>
      </c>
    </row>
    <row r="1984">
      <c r="A1984" s="44">
        <v>1984.0</v>
      </c>
      <c r="B1984" s="68" t="s">
        <v>152</v>
      </c>
      <c r="C1984" s="62" t="s">
        <v>115</v>
      </c>
      <c r="D1984" s="62" t="s">
        <v>1441</v>
      </c>
      <c r="F1984" s="159" t="s">
        <v>11881</v>
      </c>
      <c r="G1984" s="1449" t="s">
        <v>11882</v>
      </c>
      <c r="H1984" s="159" t="s">
        <v>11533</v>
      </c>
      <c r="I1984" s="529">
        <v>45690.0</v>
      </c>
      <c r="J1984" s="1376">
        <v>45693.0</v>
      </c>
      <c r="K1984" s="68"/>
      <c r="L1984" s="68"/>
      <c r="M1984" s="1909" t="s">
        <v>11883</v>
      </c>
      <c r="N1984" s="437" t="s">
        <v>11884</v>
      </c>
      <c r="O1984" s="336">
        <v>2.0</v>
      </c>
      <c r="P1984" s="382" t="s">
        <v>11885</v>
      </c>
      <c r="Q1984" s="52" t="str">
        <f t="array" ref="Q1984"> if(iserror(MATCH(V1984, 'File Links'!C:C, 0)), "N/A", HYPERLINK(INDEX('File Links'!B:B, MATCH(P1984, 'File Links'!C:C, 0))))</f>
        <v>https://drive.google.com/file/d/1Lf2mJhcl4k2IlhscpNWAcWIYn_DN1RLo/view?usp=drivesdk</v>
      </c>
      <c r="R1984" s="159" t="s">
        <v>11886</v>
      </c>
      <c r="S1984" s="437" t="s">
        <v>10720</v>
      </c>
      <c r="T1984" s="68"/>
      <c r="U1984" s="336">
        <v>1.0</v>
      </c>
      <c r="V1984" s="198" t="str">
        <f t="shared" si="120"/>
        <v>10.1126--science.aac4716.pdf</v>
      </c>
      <c r="W1984" s="68" t="s">
        <v>164</v>
      </c>
      <c r="X1984" s="54" t="str">
        <f t="array" ref="X1984"> if(iserror(MATCH(V1984, 'File Links'!C:C, 0)), "N/A", HYPERLINK(INDEX('File Links'!B:B, MATCH(V1984, 'File Links'!C:C, 0))))</f>
        <v>https://drive.google.com/file/d/1UMAh9VGta6ExS2-Lb6GkDF4fmnI2EMeM/view?usp=drivesdk</v>
      </c>
      <c r="Y1984" s="68"/>
      <c r="Z1984" s="68" t="s">
        <v>148</v>
      </c>
      <c r="AA1984" s="68" t="s">
        <v>11887</v>
      </c>
      <c r="AB1984" s="159" t="s">
        <v>11888</v>
      </c>
      <c r="AC1984" s="1925" t="s">
        <v>11889</v>
      </c>
      <c r="AD1984" s="68" t="s">
        <v>11890</v>
      </c>
      <c r="AE1984" s="336">
        <v>6.0</v>
      </c>
      <c r="AF1984" s="156">
        <v>40.0</v>
      </c>
      <c r="AG1984" s="336">
        <v>0.6</v>
      </c>
      <c r="AH1984" s="68" t="s">
        <v>173</v>
      </c>
      <c r="AI1984" s="68" t="s">
        <v>140</v>
      </c>
      <c r="AJ1984" s="337">
        <v>0.001</v>
      </c>
      <c r="AK1984" s="61" t="s">
        <v>172</v>
      </c>
      <c r="AL1984" s="61" t="s">
        <v>186</v>
      </c>
      <c r="AM1984" s="68" t="s">
        <v>141</v>
      </c>
      <c r="AN1984" s="1058" t="s">
        <v>138</v>
      </c>
      <c r="AO1984" s="336">
        <v>40.0</v>
      </c>
      <c r="AP1984" s="336">
        <v>0.37</v>
      </c>
      <c r="AQ1984" s="68" t="s">
        <v>173</v>
      </c>
      <c r="AR1984" s="68" t="s">
        <v>813</v>
      </c>
      <c r="AS1984" s="336">
        <v>0.044</v>
      </c>
      <c r="AT1984" s="68" t="s">
        <v>172</v>
      </c>
      <c r="AU1984" s="68" t="s">
        <v>186</v>
      </c>
      <c r="AV1984" s="68" t="s">
        <v>141</v>
      </c>
      <c r="AW1984" s="435" t="s">
        <v>11891</v>
      </c>
      <c r="AX1984" s="68" t="s">
        <v>143</v>
      </c>
      <c r="AY1984" s="61" t="str">
        <f>IFERROR(__xludf.DUMMYFUNCTION("vlookup(BB1984,importrange(""https://docs.google.com/spreadsheets/d/1d2vevQ_7D_v35q4wCQ4RpQ_IPoTwEMB9Yp6ymwlPqew/edit?gid=984458430#gid=984458430"", ""'replication success'!A:K""), 11, FAlSE)"),"")</f>
        <v/>
      </c>
      <c r="AZ1984" s="61" t="str">
        <f>IFERROR(__xludf.DUMMYFUNCTION("vlookup(BB1984,importrange(""https://docs.google.com/spreadsheets/d/1d2vevQ_7D_v35q4wCQ4RpQ_IPoTwEMB9Yp6ymwlPqew/edit?gid=984458430#gid=984458430"", ""'replication success'!A:M""), 12, FAlSE)"),"")</f>
        <v/>
      </c>
      <c r="BA1984" s="61" t="str">
        <f>IFERROR(__xludf.DUMMYFUNCTION("vlookup(BB1984,importrange(""https://docs.google.com/spreadsheets/d/1d2vevQ_7D_v35q4wCQ4RpQ_IPoTwEMB9Yp6ymwlPqew/edit?gid=984458430#gid=984458430"", ""'replication success'!A:M""), 13, FAlSE)"),"abstract")</f>
        <v>abstract</v>
      </c>
      <c r="BB1984" s="61" t="str">
        <f>IFERROR(__xludf.DUMMYFUNCTION("REGEXREPLACE(G1984, ""_[a-z]{1,2}$"", """")"),"osc201533")</f>
        <v>osc201533</v>
      </c>
      <c r="BD1984" s="68" t="s">
        <v>1441</v>
      </c>
    </row>
    <row r="1985">
      <c r="A1985" s="44">
        <v>1985.0</v>
      </c>
      <c r="B1985" s="68" t="s">
        <v>114</v>
      </c>
      <c r="C1985" s="62" t="s">
        <v>115</v>
      </c>
      <c r="D1985" s="62" t="s">
        <v>153</v>
      </c>
      <c r="F1985" s="159" t="s">
        <v>11881</v>
      </c>
      <c r="G1985" s="1449" t="s">
        <v>11882</v>
      </c>
      <c r="H1985" s="159" t="s">
        <v>153</v>
      </c>
      <c r="I1985" s="529">
        <v>45690.0</v>
      </c>
      <c r="J1985" s="1376">
        <v>45693.0</v>
      </c>
      <c r="K1985" s="68"/>
      <c r="L1985" s="68"/>
      <c r="M1985" s="1909" t="s">
        <v>11883</v>
      </c>
      <c r="N1985" s="159" t="s">
        <v>11884</v>
      </c>
      <c r="O1985" s="156">
        <v>2.0</v>
      </c>
      <c r="P1985" s="382" t="s">
        <v>11885</v>
      </c>
      <c r="Q1985" s="52" t="str">
        <f t="array" ref="Q1985"> if(iserror(MATCH(V1985, 'File Links'!C:C, 0)), "N/A", HYPERLINK(INDEX('File Links'!B:B, MATCH(P1985, 'File Links'!C:C, 0))))</f>
        <v>https://drive.google.com/file/d/1Lf2mJhcl4k2IlhscpNWAcWIYn_DN1RLo/view?usp=drivesdk</v>
      </c>
      <c r="R1985" s="159" t="s">
        <v>11886</v>
      </c>
      <c r="S1985" s="437" t="s">
        <v>10720</v>
      </c>
      <c r="T1985" s="129"/>
      <c r="U1985" s="336">
        <v>1.0</v>
      </c>
      <c r="V1985" s="198" t="str">
        <f t="shared" si="120"/>
        <v>10.1126--science.aac4716.pdf</v>
      </c>
      <c r="W1985" s="159" t="s">
        <v>164</v>
      </c>
      <c r="X1985" s="54" t="str">
        <f t="array" ref="X1985"> if(iserror(MATCH(V1985, 'File Links'!C:C, 0)), "N/A", HYPERLINK(INDEX('File Links'!B:B, MATCH(V1985, 'File Links'!C:C, 0))))</f>
        <v>https://drive.google.com/file/d/1UMAh9VGta6ExS2-Lb6GkDF4fmnI2EMeM/view?usp=drivesdk</v>
      </c>
      <c r="Y1985" s="68"/>
      <c r="Z1985" s="159" t="s">
        <v>148</v>
      </c>
      <c r="AA1985" s="159" t="s">
        <v>11892</v>
      </c>
      <c r="AB1985" s="159" t="s">
        <v>11893</v>
      </c>
      <c r="AC1985" s="159" t="s">
        <v>11889</v>
      </c>
      <c r="AD1985" s="159" t="s">
        <v>11894</v>
      </c>
      <c r="AE1985" s="1926">
        <v>11.0</v>
      </c>
      <c r="AF1985" s="156">
        <v>40.0</v>
      </c>
      <c r="AG1985" s="1926">
        <v>0.44</v>
      </c>
      <c r="AH1985" s="159" t="s">
        <v>173</v>
      </c>
      <c r="AI1985" s="1916" t="s">
        <v>307</v>
      </c>
      <c r="AJ1985" s="337">
        <v>0.008</v>
      </c>
      <c r="AK1985" s="57" t="s">
        <v>135</v>
      </c>
      <c r="AL1985" s="57" t="s">
        <v>186</v>
      </c>
      <c r="AM1985" s="1915" t="s">
        <v>137</v>
      </c>
      <c r="AN1985" s="1058" t="s">
        <v>138</v>
      </c>
      <c r="AO1985" s="156">
        <v>40.0</v>
      </c>
      <c r="AP1985" s="156">
        <v>0.37</v>
      </c>
      <c r="AQ1985" s="159" t="s">
        <v>173</v>
      </c>
      <c r="AR1985" s="159" t="s">
        <v>813</v>
      </c>
      <c r="AS1985" s="1926">
        <v>0.44</v>
      </c>
      <c r="AT1985" s="159" t="s">
        <v>172</v>
      </c>
      <c r="AU1985" s="159" t="s">
        <v>186</v>
      </c>
      <c r="AV1985" s="1915" t="s">
        <v>137</v>
      </c>
      <c r="AW1985" s="435" t="s">
        <v>11895</v>
      </c>
      <c r="AX1985" s="68" t="s">
        <v>143</v>
      </c>
      <c r="AY1985" s="61" t="str">
        <f>IFERROR(__xludf.DUMMYFUNCTION("vlookup(BB1985,importrange(""https://docs.google.com/spreadsheets/d/1d2vevQ_7D_v35q4wCQ4RpQ_IPoTwEMB9Yp6ymwlPqew/edit?gid=984458430#gid=984458430"", ""'replication success'!A:K""), 11, FAlSE)"),"")</f>
        <v/>
      </c>
      <c r="AZ1985" s="61" t="str">
        <f>IFERROR(__xludf.DUMMYFUNCTION("vlookup(BB1985,importrange(""https://docs.google.com/spreadsheets/d/1d2vevQ_7D_v35q4wCQ4RpQ_IPoTwEMB9Yp6ymwlPqew/edit?gid=984458430#gid=984458430"", ""'replication success'!A:M""), 12, FAlSE)"),"")</f>
        <v/>
      </c>
      <c r="BA1985" s="61" t="str">
        <f>IFERROR(__xludf.DUMMYFUNCTION("vlookup(BB1985,importrange(""https://docs.google.com/spreadsheets/d/1d2vevQ_7D_v35q4wCQ4RpQ_IPoTwEMB9Yp6ymwlPqew/edit?gid=984458430#gid=984458430"", ""'replication success'!A:M""), 13, FAlSE)"),"abstract")</f>
        <v>abstract</v>
      </c>
      <c r="BB1985" s="61" t="str">
        <f>IFERROR(__xludf.DUMMYFUNCTION("REGEXREPLACE(G1985, ""_[a-z]{1,2}$"", """")"),"osc201533")</f>
        <v>osc201533</v>
      </c>
      <c r="BD1985" s="68" t="s">
        <v>1441</v>
      </c>
    </row>
    <row r="1986">
      <c r="A1986" s="44">
        <v>1986.0</v>
      </c>
      <c r="B1986" s="68" t="s">
        <v>152</v>
      </c>
      <c r="C1986" s="62" t="s">
        <v>115</v>
      </c>
      <c r="D1986" s="62" t="s">
        <v>1441</v>
      </c>
      <c r="F1986" s="159" t="s">
        <v>11896</v>
      </c>
      <c r="G1986" s="1449" t="s">
        <v>11897</v>
      </c>
      <c r="H1986" s="68" t="s">
        <v>11898</v>
      </c>
      <c r="I1986" s="529">
        <v>45690.0</v>
      </c>
      <c r="J1986" s="1376">
        <v>45693.0</v>
      </c>
      <c r="K1986" s="68"/>
      <c r="L1986" s="68"/>
      <c r="M1986" s="1909" t="s">
        <v>11899</v>
      </c>
      <c r="N1986" s="159" t="s">
        <v>11900</v>
      </c>
      <c r="O1986" s="68" t="s">
        <v>5934</v>
      </c>
      <c r="P1986" s="382" t="s">
        <v>11901</v>
      </c>
      <c r="Q1986" s="52" t="str">
        <f t="array" ref="Q1986"> if(iserror(MATCH(V1986, 'File Links'!C:C, 0)), "N/A", HYPERLINK(INDEX('File Links'!B:B, MATCH(P1986, 'File Links'!C:C, 0))))</f>
        <v>https://drive.google.com/file/d/16eIzUB6LjNl3GMULG3vB5p7EO1iC0SJ3/view?usp=drivesdk</v>
      </c>
      <c r="R1986" s="159" t="s">
        <v>11902</v>
      </c>
      <c r="S1986" s="437" t="s">
        <v>10720</v>
      </c>
      <c r="T1986" s="129"/>
      <c r="U1986" s="336">
        <v>1.0</v>
      </c>
      <c r="V1986" s="198" t="str">
        <f t="shared" si="120"/>
        <v>10.1126--science.aac4716.pdf</v>
      </c>
      <c r="W1986" s="68" t="s">
        <v>164</v>
      </c>
      <c r="X1986" s="54" t="str">
        <f t="array" ref="X1986"> if(iserror(MATCH(V1986, 'File Links'!C:C, 0)), "N/A", HYPERLINK(INDEX('File Links'!B:B, MATCH(V1986, 'File Links'!C:C, 0))))</f>
        <v>https://drive.google.com/file/d/1UMAh9VGta6ExS2-Lb6GkDF4fmnI2EMeM/view?usp=drivesdk</v>
      </c>
      <c r="Y1986" s="68"/>
      <c r="Z1986" s="68" t="s">
        <v>148</v>
      </c>
      <c r="AA1986" s="68" t="s">
        <v>11903</v>
      </c>
      <c r="AB1986" s="159" t="s">
        <v>11904</v>
      </c>
      <c r="AC1986" s="1914" t="s">
        <v>11905</v>
      </c>
      <c r="AD1986" s="68" t="s">
        <v>11906</v>
      </c>
      <c r="AE1986" s="336">
        <v>12.0</v>
      </c>
      <c r="AF1986" s="156">
        <v>24.0</v>
      </c>
      <c r="AG1986" s="336">
        <v>0.51</v>
      </c>
      <c r="AH1986" s="68" t="s">
        <v>874</v>
      </c>
      <c r="AI1986" s="68" t="s">
        <v>612</v>
      </c>
      <c r="AJ1986" s="337">
        <v>0.01</v>
      </c>
      <c r="AK1986" s="61" t="s">
        <v>135</v>
      </c>
      <c r="AL1986" s="61" t="s">
        <v>186</v>
      </c>
      <c r="AM1986" s="68" t="s">
        <v>137</v>
      </c>
      <c r="AN1986" s="1058" t="s">
        <v>138</v>
      </c>
      <c r="AO1986" s="156">
        <v>24.0</v>
      </c>
      <c r="AP1986" s="336">
        <v>0.46</v>
      </c>
      <c r="AQ1986" s="68" t="s">
        <v>874</v>
      </c>
      <c r="AR1986" s="68" t="s">
        <v>850</v>
      </c>
      <c r="AS1986" s="336">
        <v>0.001</v>
      </c>
      <c r="AT1986" s="68" t="s">
        <v>135</v>
      </c>
      <c r="AU1986" s="68" t="s">
        <v>186</v>
      </c>
      <c r="AV1986" s="68" t="s">
        <v>137</v>
      </c>
      <c r="AW1986" s="435" t="s">
        <v>11907</v>
      </c>
      <c r="AX1986" s="68" t="s">
        <v>143</v>
      </c>
      <c r="AY1986" s="61" t="str">
        <f>IFERROR(__xludf.DUMMYFUNCTION("vlookup(BB1986,importrange(""https://docs.google.com/spreadsheets/d/1d2vevQ_7D_v35q4wCQ4RpQ_IPoTwEMB9Yp6ymwlPqew/edit?gid=984458430#gid=984458430"", ""'replication success'!A:K""), 11, FAlSE)"),"")</f>
        <v/>
      </c>
      <c r="AZ1986" s="61" t="str">
        <f>IFERROR(__xludf.DUMMYFUNCTION("vlookup(BB1986,importrange(""https://docs.google.com/spreadsheets/d/1d2vevQ_7D_v35q4wCQ4RpQ_IPoTwEMB9Yp6ymwlPqew/edit?gid=984458430#gid=984458430"", ""'replication success'!A:M""), 12, FAlSE)"),"")</f>
        <v/>
      </c>
      <c r="BA1986" s="61" t="str">
        <f>IFERROR(__xludf.DUMMYFUNCTION("vlookup(BB1986,importrange(""https://docs.google.com/spreadsheets/d/1d2vevQ_7D_v35q4wCQ4RpQ_IPoTwEMB9Yp6ymwlPqew/edit?gid=984458430#gid=984458430"", ""'replication success'!A:M""), 13, FAlSE)"),"abstract")</f>
        <v>abstract</v>
      </c>
      <c r="BB1986" s="61" t="str">
        <f>IFERROR(__xludf.DUMMYFUNCTION("REGEXREPLACE(G1986, ""_[a-z]{1,2}$"", """")"),"osc201536")</f>
        <v>osc201536</v>
      </c>
      <c r="BD1986" s="68" t="s">
        <v>1441</v>
      </c>
    </row>
    <row r="1987">
      <c r="A1987" s="44">
        <v>1987.0</v>
      </c>
      <c r="B1987" s="68" t="s">
        <v>114</v>
      </c>
      <c r="C1987" s="62" t="s">
        <v>115</v>
      </c>
      <c r="D1987" s="62" t="s">
        <v>153</v>
      </c>
      <c r="F1987" s="159" t="s">
        <v>11896</v>
      </c>
      <c r="G1987" s="1449" t="s">
        <v>11897</v>
      </c>
      <c r="H1987" s="159" t="s">
        <v>153</v>
      </c>
      <c r="I1987" s="529">
        <v>45690.0</v>
      </c>
      <c r="J1987" s="1376">
        <v>45693.0</v>
      </c>
      <c r="K1987" s="159" t="s">
        <v>11908</v>
      </c>
      <c r="L1987" s="68"/>
      <c r="M1987" s="1909" t="s">
        <v>11899</v>
      </c>
      <c r="N1987" s="159" t="s">
        <v>11900</v>
      </c>
      <c r="O1987" s="159" t="s">
        <v>5934</v>
      </c>
      <c r="P1987" s="382" t="s">
        <v>11901</v>
      </c>
      <c r="Q1987" s="52" t="str">
        <f t="array" ref="Q1987"> if(iserror(MATCH(V1987, 'File Links'!C:C, 0)), "N/A", HYPERLINK(INDEX('File Links'!B:B, MATCH(P1987, 'File Links'!C:C, 0))))</f>
        <v>https://drive.google.com/file/d/16eIzUB6LjNl3GMULG3vB5p7EO1iC0SJ3/view?usp=drivesdk</v>
      </c>
      <c r="R1987" s="159" t="s">
        <v>11902</v>
      </c>
      <c r="S1987" s="437" t="s">
        <v>10720</v>
      </c>
      <c r="T1987" s="129"/>
      <c r="U1987" s="336">
        <v>1.0</v>
      </c>
      <c r="V1987" s="198" t="str">
        <f t="shared" si="120"/>
        <v>10.1126--science.aac4716.pdf</v>
      </c>
      <c r="W1987" s="159" t="s">
        <v>164</v>
      </c>
      <c r="X1987" s="54" t="str">
        <f t="array" ref="X1987"> if(iserror(MATCH(V1987, 'File Links'!C:C, 0)), "N/A", HYPERLINK(INDEX('File Links'!B:B, MATCH(V1987, 'File Links'!C:C, 0))))</f>
        <v>https://drive.google.com/file/d/1UMAh9VGta6ExS2-Lb6GkDF4fmnI2EMeM/view?usp=drivesdk</v>
      </c>
      <c r="Y1987" s="68"/>
      <c r="Z1987" s="159" t="s">
        <v>148</v>
      </c>
      <c r="AA1987" s="159" t="s">
        <v>5232</v>
      </c>
      <c r="AB1987" s="159" t="s">
        <v>11909</v>
      </c>
      <c r="AC1987" s="159" t="s">
        <v>11905</v>
      </c>
      <c r="AD1987" s="159" t="s">
        <v>11910</v>
      </c>
      <c r="AE1987" s="156">
        <v>12.0</v>
      </c>
      <c r="AF1987" s="156">
        <v>24.0</v>
      </c>
      <c r="AG1987" s="156">
        <v>0.51</v>
      </c>
      <c r="AH1987" s="1917" t="s">
        <v>139</v>
      </c>
      <c r="AI1987" s="159" t="s">
        <v>612</v>
      </c>
      <c r="AJ1987" s="337">
        <v>0.01</v>
      </c>
      <c r="AK1987" s="57" t="s">
        <v>135</v>
      </c>
      <c r="AL1987" s="57" t="s">
        <v>186</v>
      </c>
      <c r="AM1987" s="68" t="s">
        <v>137</v>
      </c>
      <c r="AN1987" s="1058" t="s">
        <v>138</v>
      </c>
      <c r="AO1987" s="156">
        <v>24.0</v>
      </c>
      <c r="AP1987" s="156">
        <v>0.46</v>
      </c>
      <c r="AQ1987" s="1917" t="s">
        <v>139</v>
      </c>
      <c r="AR1987" s="159" t="s">
        <v>850</v>
      </c>
      <c r="AS1987" s="156">
        <v>0.001</v>
      </c>
      <c r="AT1987" s="159" t="s">
        <v>135</v>
      </c>
      <c r="AU1987" s="159" t="s">
        <v>186</v>
      </c>
      <c r="AV1987" s="68" t="s">
        <v>137</v>
      </c>
      <c r="AW1987" s="435" t="s">
        <v>11911</v>
      </c>
      <c r="AX1987" s="68" t="s">
        <v>143</v>
      </c>
      <c r="AY1987" s="61" t="str">
        <f>IFERROR(__xludf.DUMMYFUNCTION("vlookup(BB1987,importrange(""https://docs.google.com/spreadsheets/d/1d2vevQ_7D_v35q4wCQ4RpQ_IPoTwEMB9Yp6ymwlPqew/edit?gid=984458430#gid=984458430"", ""'replication success'!A:K""), 11, FAlSE)"),"")</f>
        <v/>
      </c>
      <c r="AZ1987" s="61" t="str">
        <f>IFERROR(__xludf.DUMMYFUNCTION("vlookup(BB1987,importrange(""https://docs.google.com/spreadsheets/d/1d2vevQ_7D_v35q4wCQ4RpQ_IPoTwEMB9Yp6ymwlPqew/edit?gid=984458430#gid=984458430"", ""'replication success'!A:M""), 12, FAlSE)"),"")</f>
        <v/>
      </c>
      <c r="BA1987" s="61" t="str">
        <f>IFERROR(__xludf.DUMMYFUNCTION("vlookup(BB1987,importrange(""https://docs.google.com/spreadsheets/d/1d2vevQ_7D_v35q4wCQ4RpQ_IPoTwEMB9Yp6ymwlPqew/edit?gid=984458430#gid=984458430"", ""'replication success'!A:M""), 13, FAlSE)"),"abstract")</f>
        <v>abstract</v>
      </c>
      <c r="BB1987" s="61" t="str">
        <f>IFERROR(__xludf.DUMMYFUNCTION("REGEXREPLACE(G1987, ""_[a-z]{1,2}$"", """")"),"osc201536")</f>
        <v>osc201536</v>
      </c>
      <c r="BD1987" s="68" t="s">
        <v>1441</v>
      </c>
    </row>
    <row r="1988">
      <c r="A1988" s="44">
        <v>1988.0</v>
      </c>
      <c r="B1988" s="68" t="s">
        <v>152</v>
      </c>
      <c r="C1988" s="62" t="s">
        <v>115</v>
      </c>
      <c r="D1988" s="62" t="s">
        <v>1441</v>
      </c>
      <c r="F1988" s="159" t="s">
        <v>11912</v>
      </c>
      <c r="G1988" s="1449" t="s">
        <v>11913</v>
      </c>
      <c r="H1988" s="159" t="s">
        <v>11914</v>
      </c>
      <c r="I1988" s="529">
        <v>45690.0</v>
      </c>
      <c r="J1988" s="1376">
        <v>45693.0</v>
      </c>
      <c r="K1988" s="68" t="s">
        <v>11915</v>
      </c>
      <c r="L1988" s="68"/>
      <c r="M1988" s="1909" t="s">
        <v>11916</v>
      </c>
      <c r="N1988" s="437" t="s">
        <v>11917</v>
      </c>
      <c r="O1988" s="336">
        <v>3.0</v>
      </c>
      <c r="P1988" s="382" t="s">
        <v>11918</v>
      </c>
      <c r="Q1988" s="52" t="str">
        <f t="array" ref="Q1988"> if(iserror(MATCH(V1988, 'File Links'!C:C, 0)), "N/A", HYPERLINK(INDEX('File Links'!B:B, MATCH(P1988, 'File Links'!C:C, 0))))</f>
        <v>https://drive.google.com/file/d/15LyeMLPtv2yK2REXBqDLC63QQhUXXDVm/view?usp=drivesdk</v>
      </c>
      <c r="R1988" s="159" t="s">
        <v>11919</v>
      </c>
      <c r="S1988" s="437" t="s">
        <v>10720</v>
      </c>
      <c r="T1988" s="68"/>
      <c r="U1988" s="336">
        <v>1.0</v>
      </c>
      <c r="V1988" s="198" t="str">
        <f t="shared" si="120"/>
        <v>10.1126--science.aac4716.pdf</v>
      </c>
      <c r="W1988" s="68" t="s">
        <v>164</v>
      </c>
      <c r="X1988" s="54" t="str">
        <f t="array" ref="X1988"> if(iserror(MATCH(V1988, 'File Links'!C:C, 0)), "N/A", HYPERLINK(INDEX('File Links'!B:B, MATCH(V1988, 'File Links'!C:C, 0))))</f>
        <v>https://drive.google.com/file/d/1UMAh9VGta6ExS2-Lb6GkDF4fmnI2EMeM/view?usp=drivesdk</v>
      </c>
      <c r="Y1988" s="68"/>
      <c r="Z1988" s="68" t="s">
        <v>148</v>
      </c>
      <c r="AA1988" s="68" t="s">
        <v>11920</v>
      </c>
      <c r="AB1988" s="159" t="s">
        <v>11921</v>
      </c>
      <c r="AC1988" s="159" t="s">
        <v>11922</v>
      </c>
      <c r="AD1988" s="68" t="s">
        <v>11923</v>
      </c>
      <c r="AE1988" s="336">
        <v>8.0</v>
      </c>
      <c r="AF1988" s="156">
        <v>12.0</v>
      </c>
      <c r="AG1988" s="68" t="s">
        <v>11924</v>
      </c>
      <c r="AH1988" s="68" t="s">
        <v>134</v>
      </c>
      <c r="AI1988" s="68" t="s">
        <v>604</v>
      </c>
      <c r="AJ1988" s="337">
        <v>0.05</v>
      </c>
      <c r="AK1988" s="61" t="s">
        <v>135</v>
      </c>
      <c r="AL1988" s="61" t="s">
        <v>186</v>
      </c>
      <c r="AM1988" s="68" t="s">
        <v>141</v>
      </c>
      <c r="AN1988" s="1058" t="s">
        <v>138</v>
      </c>
      <c r="AO1988" s="336">
        <v>18.0</v>
      </c>
      <c r="AP1988" s="336">
        <v>0.102</v>
      </c>
      <c r="AQ1988" s="68" t="s">
        <v>173</v>
      </c>
      <c r="AR1988" s="68" t="s">
        <v>217</v>
      </c>
      <c r="AS1988" s="336">
        <v>0.142</v>
      </c>
      <c r="AT1988" s="68" t="s">
        <v>172</v>
      </c>
      <c r="AU1988" s="68" t="s">
        <v>186</v>
      </c>
      <c r="AV1988" s="68" t="s">
        <v>141</v>
      </c>
      <c r="AW1988" s="435" t="s">
        <v>11925</v>
      </c>
      <c r="AX1988" s="68" t="s">
        <v>143</v>
      </c>
      <c r="AY1988" s="61" t="str">
        <f>IFERROR(__xludf.DUMMYFUNCTION("vlookup(BB1988,importrange(""https://docs.google.com/spreadsheets/d/1d2vevQ_7D_v35q4wCQ4RpQ_IPoTwEMB9Yp6ymwlPqew/edit?gid=984458430#gid=984458430"", ""'replication success'!A:K""), 11, FAlSE)"),"")</f>
        <v/>
      </c>
      <c r="AZ1988" s="61" t="str">
        <f>IFERROR(__xludf.DUMMYFUNCTION("vlookup(BB1988,importrange(""https://docs.google.com/spreadsheets/d/1d2vevQ_7D_v35q4wCQ4RpQ_IPoTwEMB9Yp6ymwlPqew/edit?gid=984458430#gid=984458430"", ""'replication success'!A:M""), 12, FAlSE)"),"")</f>
        <v/>
      </c>
      <c r="BA1988" s="61" t="str">
        <f>IFERROR(__xludf.DUMMYFUNCTION("vlookup(BB1988,importrange(""https://docs.google.com/spreadsheets/d/1d2vevQ_7D_v35q4wCQ4RpQ_IPoTwEMB9Yp6ymwlPqew/edit?gid=984458430#gid=984458430"", ""'replication success'!A:M""), 13, FAlSE)"),"abstract")</f>
        <v>abstract</v>
      </c>
      <c r="BB1988" s="61" t="str">
        <f>IFERROR(__xludf.DUMMYFUNCTION("REGEXREPLACE(G1988, ""_[a-z]{1,2}$"", """")"),"osc201537")</f>
        <v>osc201537</v>
      </c>
      <c r="BD1988" s="68" t="s">
        <v>1441</v>
      </c>
    </row>
    <row r="1989">
      <c r="A1989" s="44">
        <v>1989.0</v>
      </c>
      <c r="B1989" s="68" t="s">
        <v>114</v>
      </c>
      <c r="C1989" s="62" t="s">
        <v>115</v>
      </c>
      <c r="D1989" s="62" t="s">
        <v>153</v>
      </c>
      <c r="F1989" s="159" t="s">
        <v>11912</v>
      </c>
      <c r="G1989" s="1449" t="s">
        <v>11913</v>
      </c>
      <c r="H1989" s="159" t="s">
        <v>11926</v>
      </c>
      <c r="I1989" s="529">
        <v>45690.0</v>
      </c>
      <c r="J1989" s="1376">
        <v>45693.0</v>
      </c>
      <c r="K1989" s="68"/>
      <c r="L1989" s="68"/>
      <c r="M1989" s="1909" t="s">
        <v>11916</v>
      </c>
      <c r="N1989" s="159" t="s">
        <v>11917</v>
      </c>
      <c r="O1989" s="156">
        <v>3.0</v>
      </c>
      <c r="P1989" s="382" t="s">
        <v>11918</v>
      </c>
      <c r="Q1989" s="52" t="str">
        <f t="array" ref="Q1989"> if(iserror(MATCH(V1989, 'File Links'!C:C, 0)), "N/A", HYPERLINK(INDEX('File Links'!B:B, MATCH(P1989, 'File Links'!C:C, 0))))</f>
        <v>https://drive.google.com/file/d/15LyeMLPtv2yK2REXBqDLC63QQhUXXDVm/view?usp=drivesdk</v>
      </c>
      <c r="R1989" s="159" t="s">
        <v>11919</v>
      </c>
      <c r="S1989" s="437" t="s">
        <v>10720</v>
      </c>
      <c r="T1989" s="129"/>
      <c r="U1989" s="336">
        <v>1.0</v>
      </c>
      <c r="V1989" s="198" t="str">
        <f t="shared" si="120"/>
        <v>10.1126--science.aac4716.pdf</v>
      </c>
      <c r="W1989" s="159" t="s">
        <v>164</v>
      </c>
      <c r="X1989" s="54" t="str">
        <f t="array" ref="X1989"> if(iserror(MATCH(V1989, 'File Links'!C:C, 0)), "N/A", HYPERLINK(INDEX('File Links'!B:B, MATCH(V1989, 'File Links'!C:C, 0))))</f>
        <v>https://drive.google.com/file/d/1UMAh9VGta6ExS2-Lb6GkDF4fmnI2EMeM/view?usp=drivesdk</v>
      </c>
      <c r="Y1989" s="68"/>
      <c r="Z1989" s="159" t="s">
        <v>148</v>
      </c>
      <c r="AA1989" s="159" t="s">
        <v>11927</v>
      </c>
      <c r="AB1989" s="159" t="s">
        <v>11928</v>
      </c>
      <c r="AC1989" s="159" t="s">
        <v>11929</v>
      </c>
      <c r="AD1989" s="159" t="s">
        <v>11930</v>
      </c>
      <c r="AE1989" s="156">
        <v>8.0</v>
      </c>
      <c r="AF1989" s="156">
        <v>12.0</v>
      </c>
      <c r="AG1989" s="159" t="s">
        <v>11931</v>
      </c>
      <c r="AH1989" s="159" t="s">
        <v>134</v>
      </c>
      <c r="AI1989" s="159" t="s">
        <v>613</v>
      </c>
      <c r="AJ1989" s="337">
        <v>0.05</v>
      </c>
      <c r="AK1989" s="57" t="s">
        <v>135</v>
      </c>
      <c r="AL1989" s="57" t="s">
        <v>186</v>
      </c>
      <c r="AM1989" s="68" t="s">
        <v>141</v>
      </c>
      <c r="AN1989" s="1058" t="s">
        <v>138</v>
      </c>
      <c r="AO1989" s="156">
        <v>18.0</v>
      </c>
      <c r="AP1989" s="156">
        <v>0.102</v>
      </c>
      <c r="AQ1989" s="159" t="s">
        <v>173</v>
      </c>
      <c r="AR1989" s="159" t="s">
        <v>217</v>
      </c>
      <c r="AS1989" s="156">
        <v>0.142</v>
      </c>
      <c r="AT1989" s="159" t="s">
        <v>172</v>
      </c>
      <c r="AU1989" s="159" t="s">
        <v>186</v>
      </c>
      <c r="AV1989" s="68" t="s">
        <v>141</v>
      </c>
      <c r="AW1989" s="435" t="s">
        <v>11925</v>
      </c>
      <c r="AX1989" s="68" t="s">
        <v>143</v>
      </c>
      <c r="AY1989" s="61" t="str">
        <f>IFERROR(__xludf.DUMMYFUNCTION("vlookup(BB1989,importrange(""https://docs.google.com/spreadsheets/d/1d2vevQ_7D_v35q4wCQ4RpQ_IPoTwEMB9Yp6ymwlPqew/edit?gid=984458430#gid=984458430"", ""'replication success'!A:K""), 11, FAlSE)"),"")</f>
        <v/>
      </c>
      <c r="AZ1989" s="61" t="str">
        <f>IFERROR(__xludf.DUMMYFUNCTION("vlookup(BB1989,importrange(""https://docs.google.com/spreadsheets/d/1d2vevQ_7D_v35q4wCQ4RpQ_IPoTwEMB9Yp6ymwlPqew/edit?gid=984458430#gid=984458430"", ""'replication success'!A:M""), 12, FAlSE)"),"")</f>
        <v/>
      </c>
      <c r="BA1989" s="61" t="str">
        <f>IFERROR(__xludf.DUMMYFUNCTION("vlookup(BB1989,importrange(""https://docs.google.com/spreadsheets/d/1d2vevQ_7D_v35q4wCQ4RpQ_IPoTwEMB9Yp6ymwlPqew/edit?gid=984458430#gid=984458430"", ""'replication success'!A:M""), 13, FAlSE)"),"abstract")</f>
        <v>abstract</v>
      </c>
      <c r="BB1989" s="61" t="str">
        <f>IFERROR(__xludf.DUMMYFUNCTION("REGEXREPLACE(G1989, ""_[a-z]{1,2}$"", """")"),"osc201537")</f>
        <v>osc201537</v>
      </c>
      <c r="BD1989" s="68" t="s">
        <v>1441</v>
      </c>
    </row>
    <row r="1990">
      <c r="A1990" s="44">
        <v>1990.0</v>
      </c>
      <c r="B1990" s="68" t="s">
        <v>152</v>
      </c>
      <c r="C1990" s="62" t="s">
        <v>115</v>
      </c>
      <c r="D1990" s="62" t="s">
        <v>1441</v>
      </c>
      <c r="F1990" s="159" t="s">
        <v>11932</v>
      </c>
      <c r="G1990" s="1449" t="s">
        <v>11933</v>
      </c>
      <c r="H1990" s="159" t="s">
        <v>11934</v>
      </c>
      <c r="I1990" s="529">
        <v>45690.0</v>
      </c>
      <c r="J1990" s="1376">
        <v>45693.0</v>
      </c>
      <c r="K1990" s="68"/>
      <c r="L1990" s="68"/>
      <c r="M1990" s="1909" t="s">
        <v>11935</v>
      </c>
      <c r="N1990" s="159" t="s">
        <v>11936</v>
      </c>
      <c r="O1990" s="336">
        <v>1.0</v>
      </c>
      <c r="P1990" s="382" t="s">
        <v>11937</v>
      </c>
      <c r="Q1990" s="52" t="str">
        <f t="array" ref="Q1990"> if(iserror(MATCH(V1990, 'File Links'!C:C, 0)), "N/A", HYPERLINK(INDEX('File Links'!B:B, MATCH(P1990, 'File Links'!C:C, 0))))</f>
        <v>https://drive.google.com/file/d/1fP-Dr1DLCnPl-2Ya6EGtFK2aCF6SWr93/view?usp=drivesdk</v>
      </c>
      <c r="R1990" s="159" t="s">
        <v>11938</v>
      </c>
      <c r="S1990" s="437" t="s">
        <v>10720</v>
      </c>
      <c r="T1990" s="129"/>
      <c r="U1990" s="336">
        <v>1.0</v>
      </c>
      <c r="V1990" s="198" t="str">
        <f t="shared" si="120"/>
        <v>10.1126--science.aac4716.pdf</v>
      </c>
      <c r="W1990" s="68" t="s">
        <v>164</v>
      </c>
      <c r="X1990" s="54" t="str">
        <f t="array" ref="X1990"> if(iserror(MATCH(V1990, 'File Links'!C:C, 0)), "N/A", HYPERLINK(INDEX('File Links'!B:B, MATCH(V1990, 'File Links'!C:C, 0))))</f>
        <v>https://drive.google.com/file/d/1UMAh9VGta6ExS2-Lb6GkDF4fmnI2EMeM/view?usp=drivesdk</v>
      </c>
      <c r="Y1990" s="68"/>
      <c r="Z1990" s="68" t="s">
        <v>148</v>
      </c>
      <c r="AA1990" s="68" t="s">
        <v>11939</v>
      </c>
      <c r="AB1990" s="159" t="s">
        <v>11940</v>
      </c>
      <c r="AC1990" s="159" t="s">
        <v>11941</v>
      </c>
      <c r="AD1990" s="68" t="s">
        <v>11942</v>
      </c>
      <c r="AE1990" s="336">
        <v>11.0</v>
      </c>
      <c r="AF1990" s="156">
        <v>68.0</v>
      </c>
      <c r="AG1990" s="129" t="s">
        <v>11943</v>
      </c>
      <c r="AH1990" s="68" t="s">
        <v>134</v>
      </c>
      <c r="AI1990" s="68" t="s">
        <v>307</v>
      </c>
      <c r="AJ1990" s="337">
        <v>0.05</v>
      </c>
      <c r="AK1990" s="61" t="s">
        <v>135</v>
      </c>
      <c r="AL1990" s="61" t="s">
        <v>186</v>
      </c>
      <c r="AM1990" s="68" t="s">
        <v>141</v>
      </c>
      <c r="AN1990" s="1058" t="s">
        <v>138</v>
      </c>
      <c r="AO1990" s="156">
        <v>153.0</v>
      </c>
      <c r="AP1990" s="129" t="s">
        <v>11944</v>
      </c>
      <c r="AQ1990" s="68" t="s">
        <v>134</v>
      </c>
      <c r="AR1990" s="68" t="s">
        <v>140</v>
      </c>
      <c r="AS1990" s="336">
        <v>0.21</v>
      </c>
      <c r="AT1990" s="68" t="s">
        <v>172</v>
      </c>
      <c r="AU1990" s="68" t="s">
        <v>136</v>
      </c>
      <c r="AV1990" s="68" t="s">
        <v>141</v>
      </c>
      <c r="AW1990" s="435" t="s">
        <v>11945</v>
      </c>
      <c r="AX1990" s="68" t="s">
        <v>143</v>
      </c>
      <c r="AY1990" s="61" t="str">
        <f>IFERROR(__xludf.DUMMYFUNCTION("vlookup(BB1990,importrange(""https://docs.google.com/spreadsheets/d/1d2vevQ_7D_v35q4wCQ4RpQ_IPoTwEMB9Yp6ymwlPqew/edit?gid=984458430#gid=984458430"", ""'replication success'!A:K""), 11, FAlSE)"),"")</f>
        <v/>
      </c>
      <c r="AZ1990" s="61" t="str">
        <f>IFERROR(__xludf.DUMMYFUNCTION("vlookup(BB1990,importrange(""https://docs.google.com/spreadsheets/d/1d2vevQ_7D_v35q4wCQ4RpQ_IPoTwEMB9Yp6ymwlPqew/edit?gid=984458430#gid=984458430"", ""'replication success'!A:M""), 12, FAlSE)"),"")</f>
        <v/>
      </c>
      <c r="BA1990" s="61" t="str">
        <f>IFERROR(__xludf.DUMMYFUNCTION("vlookup(BB1990,importrange(""https://docs.google.com/spreadsheets/d/1d2vevQ_7D_v35q4wCQ4RpQ_IPoTwEMB9Yp6ymwlPqew/edit?gid=984458430#gid=984458430"", ""'replication success'!A:M""), 13, FAlSE)"),"abstract")</f>
        <v>abstract</v>
      </c>
      <c r="BB1990" s="61" t="str">
        <f>IFERROR(__xludf.DUMMYFUNCTION("REGEXREPLACE(G1990, ""_[a-z]{1,2}$"", """")"),"osc201539")</f>
        <v>osc201539</v>
      </c>
      <c r="BD1990" s="68" t="s">
        <v>1441</v>
      </c>
    </row>
    <row r="1991">
      <c r="A1991" s="44">
        <v>1991.0</v>
      </c>
      <c r="B1991" s="68" t="s">
        <v>114</v>
      </c>
      <c r="C1991" s="62" t="s">
        <v>115</v>
      </c>
      <c r="D1991" s="62" t="s">
        <v>153</v>
      </c>
      <c r="F1991" s="159" t="s">
        <v>11932</v>
      </c>
      <c r="G1991" s="1449" t="s">
        <v>11933</v>
      </c>
      <c r="H1991" s="159" t="s">
        <v>153</v>
      </c>
      <c r="I1991" s="529">
        <v>45690.0</v>
      </c>
      <c r="J1991" s="1376">
        <v>45693.0</v>
      </c>
      <c r="K1991" s="159" t="s">
        <v>11946</v>
      </c>
      <c r="L1991" s="68"/>
      <c r="M1991" s="1909" t="s">
        <v>11935</v>
      </c>
      <c r="N1991" s="437" t="s">
        <v>11936</v>
      </c>
      <c r="O1991" s="156">
        <v>1.0</v>
      </c>
      <c r="P1991" s="382" t="s">
        <v>11937</v>
      </c>
      <c r="Q1991" s="52" t="str">
        <f t="array" ref="Q1991"> if(iserror(MATCH(V1991, 'File Links'!C:C, 0)), "N/A", HYPERLINK(INDEX('File Links'!B:B, MATCH(P1991, 'File Links'!C:C, 0))))</f>
        <v>https://drive.google.com/file/d/1fP-Dr1DLCnPl-2Ya6EGtFK2aCF6SWr93/view?usp=drivesdk</v>
      </c>
      <c r="R1991" s="159" t="s">
        <v>11938</v>
      </c>
      <c r="S1991" s="437" t="s">
        <v>10720</v>
      </c>
      <c r="T1991" s="68"/>
      <c r="U1991" s="336">
        <v>1.0</v>
      </c>
      <c r="V1991" s="198" t="str">
        <f t="shared" si="120"/>
        <v>10.1126--science.aac4716.pdf</v>
      </c>
      <c r="W1991" s="437" t="s">
        <v>164</v>
      </c>
      <c r="X1991" s="54" t="str">
        <f t="array" ref="X1991"> if(iserror(MATCH(V1991, 'File Links'!C:C, 0)), "N/A", HYPERLINK(INDEX('File Links'!B:B, MATCH(V1991, 'File Links'!C:C, 0))))</f>
        <v>https://drive.google.com/file/d/1UMAh9VGta6ExS2-Lb6GkDF4fmnI2EMeM/view?usp=drivesdk</v>
      </c>
      <c r="Y1991" s="68"/>
      <c r="Z1991" s="159" t="s">
        <v>148</v>
      </c>
      <c r="AA1991" s="159" t="s">
        <v>10912</v>
      </c>
      <c r="AB1991" s="159" t="s">
        <v>11947</v>
      </c>
      <c r="AC1991" s="68" t="s">
        <v>11948</v>
      </c>
      <c r="AD1991" s="159" t="s">
        <v>11949</v>
      </c>
      <c r="AE1991" s="336">
        <v>11.0</v>
      </c>
      <c r="AF1991" s="156">
        <v>68.0</v>
      </c>
      <c r="AG1991" s="336" t="s">
        <v>11950</v>
      </c>
      <c r="AH1991" s="159" t="s">
        <v>134</v>
      </c>
      <c r="AI1991" s="68" t="s">
        <v>307</v>
      </c>
      <c r="AJ1991" s="337">
        <v>0.05</v>
      </c>
      <c r="AK1991" s="57" t="s">
        <v>135</v>
      </c>
      <c r="AL1991" s="57" t="s">
        <v>186</v>
      </c>
      <c r="AM1991" s="1915" t="s">
        <v>137</v>
      </c>
      <c r="AN1991" s="1058" t="s">
        <v>138</v>
      </c>
      <c r="AO1991" s="336">
        <v>153.0</v>
      </c>
      <c r="AP1991" s="336" t="s">
        <v>11951</v>
      </c>
      <c r="AQ1991" s="159" t="s">
        <v>134</v>
      </c>
      <c r="AR1991" s="68" t="s">
        <v>140</v>
      </c>
      <c r="AS1991" s="336">
        <v>0.21</v>
      </c>
      <c r="AT1991" s="68" t="s">
        <v>172</v>
      </c>
      <c r="AU1991" s="159" t="s">
        <v>136</v>
      </c>
      <c r="AV1991" s="1915" t="s">
        <v>137</v>
      </c>
      <c r="AW1991" s="435" t="s">
        <v>11952</v>
      </c>
      <c r="AX1991" s="68" t="s">
        <v>143</v>
      </c>
      <c r="AY1991" s="61" t="str">
        <f>IFERROR(__xludf.DUMMYFUNCTION("vlookup(BB1991,importrange(""https://docs.google.com/spreadsheets/d/1d2vevQ_7D_v35q4wCQ4RpQ_IPoTwEMB9Yp6ymwlPqew/edit?gid=984458430#gid=984458430"", ""'replication success'!A:K""), 11, FAlSE)"),"")</f>
        <v/>
      </c>
      <c r="AZ1991" s="61" t="str">
        <f>IFERROR(__xludf.DUMMYFUNCTION("vlookup(BB1991,importrange(""https://docs.google.com/spreadsheets/d/1d2vevQ_7D_v35q4wCQ4RpQ_IPoTwEMB9Yp6ymwlPqew/edit?gid=984458430#gid=984458430"", ""'replication success'!A:M""), 12, FAlSE)"),"")</f>
        <v/>
      </c>
      <c r="BA1991" s="61" t="str">
        <f>IFERROR(__xludf.DUMMYFUNCTION("vlookup(BB1991,importrange(""https://docs.google.com/spreadsheets/d/1d2vevQ_7D_v35q4wCQ4RpQ_IPoTwEMB9Yp6ymwlPqew/edit?gid=984458430#gid=984458430"", ""'replication success'!A:M""), 13, FAlSE)"),"abstract")</f>
        <v>abstract</v>
      </c>
      <c r="BB1991" s="61" t="str">
        <f>IFERROR(__xludf.DUMMYFUNCTION("REGEXREPLACE(G1991, ""_[a-z]{1,2}$"", """")"),"osc201539")</f>
        <v>osc201539</v>
      </c>
      <c r="BD1991" s="68" t="s">
        <v>1441</v>
      </c>
    </row>
    <row r="1992">
      <c r="A1992" s="44">
        <v>1992.0</v>
      </c>
      <c r="B1992" s="68" t="s">
        <v>152</v>
      </c>
      <c r="C1992" s="62" t="s">
        <v>115</v>
      </c>
      <c r="D1992" s="62" t="s">
        <v>1441</v>
      </c>
      <c r="F1992" s="159" t="s">
        <v>11953</v>
      </c>
      <c r="G1992" s="1449" t="s">
        <v>11954</v>
      </c>
      <c r="H1992" s="159" t="s">
        <v>11955</v>
      </c>
      <c r="I1992" s="529">
        <v>45690.0</v>
      </c>
      <c r="J1992" s="1376">
        <v>45693.0</v>
      </c>
      <c r="K1992" s="68" t="s">
        <v>11956</v>
      </c>
      <c r="L1992" s="68" t="s">
        <v>11957</v>
      </c>
      <c r="M1992" s="1909" t="s">
        <v>11958</v>
      </c>
      <c r="N1992" s="437" t="s">
        <v>11959</v>
      </c>
      <c r="O1992" s="336">
        <v>1.0</v>
      </c>
      <c r="P1992" s="382" t="s">
        <v>11960</v>
      </c>
      <c r="Q1992" s="52" t="str">
        <f t="array" ref="Q1992"> if(iserror(MATCH(V1992, 'File Links'!C:C, 0)), "N/A", HYPERLINK(INDEX('File Links'!B:B, MATCH(P1992, 'File Links'!C:C, 0))))</f>
        <v>https://drive.google.com/file/d/1iTGkXjtQ0EE8-v45xZZ-Yv9zhQVAt2Pn/view?usp=drivesdk</v>
      </c>
      <c r="R1992" s="159" t="s">
        <v>11961</v>
      </c>
      <c r="S1992" s="437" t="s">
        <v>10720</v>
      </c>
      <c r="T1992" s="68"/>
      <c r="U1992" s="336">
        <v>1.0</v>
      </c>
      <c r="V1992" s="198" t="str">
        <f t="shared" si="120"/>
        <v>10.1126--science.aac4716.pdf</v>
      </c>
      <c r="W1992" s="68" t="s">
        <v>164</v>
      </c>
      <c r="X1992" s="54" t="str">
        <f t="array" ref="X1992"> if(iserror(MATCH(V1992, 'File Links'!C:C, 0)), "N/A", HYPERLINK(INDEX('File Links'!B:B, MATCH(V1992, 'File Links'!C:C, 0))))</f>
        <v>https://drive.google.com/file/d/1UMAh9VGta6ExS2-Lb6GkDF4fmnI2EMeM/view?usp=drivesdk</v>
      </c>
      <c r="Y1992" s="68"/>
      <c r="Z1992" s="68" t="s">
        <v>148</v>
      </c>
      <c r="AA1992" s="68" t="s">
        <v>11962</v>
      </c>
      <c r="AB1992" s="159" t="s">
        <v>11963</v>
      </c>
      <c r="AC1992" s="159" t="s">
        <v>11964</v>
      </c>
      <c r="AD1992" s="68" t="s">
        <v>11965</v>
      </c>
      <c r="AE1992" s="336">
        <v>5.0</v>
      </c>
      <c r="AF1992" s="156">
        <v>240.0</v>
      </c>
      <c r="AG1992" s="68" t="s">
        <v>11966</v>
      </c>
      <c r="AH1992" s="68" t="s">
        <v>134</v>
      </c>
      <c r="AI1992" s="68" t="s">
        <v>813</v>
      </c>
      <c r="AJ1992" s="337">
        <v>0.001</v>
      </c>
      <c r="AK1992" s="61" t="s">
        <v>135</v>
      </c>
      <c r="AL1992" s="61" t="s">
        <v>186</v>
      </c>
      <c r="AM1992" s="68" t="s">
        <v>141</v>
      </c>
      <c r="AN1992" s="1058" t="s">
        <v>138</v>
      </c>
      <c r="AO1992" s="336">
        <v>270.0</v>
      </c>
      <c r="AP1992" s="336">
        <v>0.0</v>
      </c>
      <c r="AQ1992" s="68" t="s">
        <v>874</v>
      </c>
      <c r="AR1992" s="68" t="s">
        <v>612</v>
      </c>
      <c r="AS1992" s="336">
        <v>0.991</v>
      </c>
      <c r="AT1992" s="68" t="s">
        <v>172</v>
      </c>
      <c r="AU1992" s="68" t="s">
        <v>186</v>
      </c>
      <c r="AV1992" s="68" t="s">
        <v>141</v>
      </c>
      <c r="AW1992" s="435" t="s">
        <v>11967</v>
      </c>
      <c r="AX1992" s="68" t="s">
        <v>143</v>
      </c>
      <c r="AY1992" s="61" t="str">
        <f>IFERROR(__xludf.DUMMYFUNCTION("vlookup(BB1992,importrange(""https://docs.google.com/spreadsheets/d/1d2vevQ_7D_v35q4wCQ4RpQ_IPoTwEMB9Yp6ymwlPqew/edit?gid=984458430#gid=984458430"", ""'replication success'!A:K""), 11, FAlSE)"),"")</f>
        <v/>
      </c>
      <c r="AZ1992" s="61" t="str">
        <f>IFERROR(__xludf.DUMMYFUNCTION("vlookup(BB1992,importrange(""https://docs.google.com/spreadsheets/d/1d2vevQ_7D_v35q4wCQ4RpQ_IPoTwEMB9Yp6ymwlPqew/edit?gid=984458430#gid=984458430"", ""'replication success'!A:M""), 12, FAlSE)"),"")</f>
        <v/>
      </c>
      <c r="BA1992" s="61" t="str">
        <f>IFERROR(__xludf.DUMMYFUNCTION("vlookup(BB1992,importrange(""https://docs.google.com/spreadsheets/d/1d2vevQ_7D_v35q4wCQ4RpQ_IPoTwEMB9Yp6ymwlPqew/edit?gid=984458430#gid=984458430"", ""'replication success'!A:M""), 13, FAlSE)"),"abstract")</f>
        <v>abstract</v>
      </c>
      <c r="BB1992" s="61" t="str">
        <f>IFERROR(__xludf.DUMMYFUNCTION("REGEXREPLACE(G1992, ""_[a-z]{1,2}$"", """")"),"osc20154")</f>
        <v>osc20154</v>
      </c>
      <c r="BD1992" s="68" t="s">
        <v>1441</v>
      </c>
    </row>
    <row r="1993">
      <c r="A1993" s="44">
        <v>1993.0</v>
      </c>
      <c r="B1993" s="68" t="s">
        <v>114</v>
      </c>
      <c r="C1993" s="62" t="s">
        <v>115</v>
      </c>
      <c r="D1993" s="62" t="s">
        <v>153</v>
      </c>
      <c r="F1993" s="159" t="s">
        <v>11953</v>
      </c>
      <c r="G1993" s="1449" t="s">
        <v>11954</v>
      </c>
      <c r="H1993" s="159" t="s">
        <v>153</v>
      </c>
      <c r="I1993" s="529">
        <v>45690.0</v>
      </c>
      <c r="J1993" s="1376">
        <v>45693.0</v>
      </c>
      <c r="K1993" s="159" t="s">
        <v>11968</v>
      </c>
      <c r="L1993" s="68"/>
      <c r="M1993" s="1909" t="s">
        <v>11958</v>
      </c>
      <c r="N1993" s="159" t="s">
        <v>11959</v>
      </c>
      <c r="O1993" s="156">
        <v>1.0</v>
      </c>
      <c r="P1993" s="382" t="s">
        <v>11960</v>
      </c>
      <c r="Q1993" s="52" t="str">
        <f t="array" ref="Q1993"> if(iserror(MATCH(V1993, 'File Links'!C:C, 0)), "N/A", HYPERLINK(INDEX('File Links'!B:B, MATCH(P1993, 'File Links'!C:C, 0))))</f>
        <v>https://drive.google.com/file/d/1iTGkXjtQ0EE8-v45xZZ-Yv9zhQVAt2Pn/view?usp=drivesdk</v>
      </c>
      <c r="R1993" s="159" t="s">
        <v>11961</v>
      </c>
      <c r="S1993" s="437" t="s">
        <v>10720</v>
      </c>
      <c r="T1993" s="129"/>
      <c r="U1993" s="336">
        <v>1.0</v>
      </c>
      <c r="V1993" s="198" t="str">
        <f t="shared" si="120"/>
        <v>10.1126--science.aac4716.pdf</v>
      </c>
      <c r="W1993" s="159" t="s">
        <v>164</v>
      </c>
      <c r="X1993" s="54" t="str">
        <f t="array" ref="X1993"> if(iserror(MATCH(V1993, 'File Links'!C:C, 0)), "N/A", HYPERLINK(INDEX('File Links'!B:B, MATCH(V1993, 'File Links'!C:C, 0))))</f>
        <v>https://drive.google.com/file/d/1UMAh9VGta6ExS2-Lb6GkDF4fmnI2EMeM/view?usp=drivesdk</v>
      </c>
      <c r="Y1993" s="68"/>
      <c r="Z1993" s="159" t="s">
        <v>148</v>
      </c>
      <c r="AA1993" s="159" t="s">
        <v>11962</v>
      </c>
      <c r="AB1993" s="159" t="s">
        <v>11969</v>
      </c>
      <c r="AC1993" s="159" t="s">
        <v>11970</v>
      </c>
      <c r="AD1993" s="159" t="s">
        <v>11971</v>
      </c>
      <c r="AE1993" s="156">
        <v>5.0</v>
      </c>
      <c r="AF1993" s="156">
        <v>240.0</v>
      </c>
      <c r="AG1993" s="159" t="s">
        <v>11972</v>
      </c>
      <c r="AH1993" s="159" t="s">
        <v>134</v>
      </c>
      <c r="AI1993" s="159" t="s">
        <v>813</v>
      </c>
      <c r="AJ1993" s="337">
        <v>0.001</v>
      </c>
      <c r="AK1993" s="57" t="s">
        <v>135</v>
      </c>
      <c r="AL1993" s="57" t="s">
        <v>186</v>
      </c>
      <c r="AM1993" s="68" t="s">
        <v>141</v>
      </c>
      <c r="AN1993" s="1058" t="s">
        <v>138</v>
      </c>
      <c r="AO1993" s="156">
        <v>270.0</v>
      </c>
      <c r="AP1993" s="156">
        <v>0.0</v>
      </c>
      <c r="AQ1993" s="1917" t="s">
        <v>139</v>
      </c>
      <c r="AR1993" s="159" t="s">
        <v>612</v>
      </c>
      <c r="AS1993" s="156">
        <v>0.991</v>
      </c>
      <c r="AT1993" s="159" t="s">
        <v>172</v>
      </c>
      <c r="AU1993" s="159" t="s">
        <v>186</v>
      </c>
      <c r="AV1993" s="68" t="s">
        <v>141</v>
      </c>
      <c r="AW1993" s="435" t="s">
        <v>11967</v>
      </c>
      <c r="AX1993" s="1915" t="s">
        <v>151</v>
      </c>
      <c r="AY1993" s="61" t="str">
        <f>IFERROR(__xludf.DUMMYFUNCTION("vlookup(BB1993,importrange(""https://docs.google.com/spreadsheets/d/1d2vevQ_7D_v35q4wCQ4RpQ_IPoTwEMB9Yp6ymwlPqew/edit?gid=984458430#gid=984458430"", ""'replication success'!A:K""), 11, FAlSE)"),"")</f>
        <v/>
      </c>
      <c r="AZ1993" s="61" t="str">
        <f>IFERROR(__xludf.DUMMYFUNCTION("vlookup(BB1993,importrange(""https://docs.google.com/spreadsheets/d/1d2vevQ_7D_v35q4wCQ4RpQ_IPoTwEMB9Yp6ymwlPqew/edit?gid=984458430#gid=984458430"", ""'replication success'!A:M""), 12, FAlSE)"),"")</f>
        <v/>
      </c>
      <c r="BA1993" s="61" t="str">
        <f>IFERROR(__xludf.DUMMYFUNCTION("vlookup(BB1993,importrange(""https://docs.google.com/spreadsheets/d/1d2vevQ_7D_v35q4wCQ4RpQ_IPoTwEMB9Yp6ymwlPqew/edit?gid=984458430#gid=984458430"", ""'replication success'!A:M""), 13, FAlSE)"),"abstract")</f>
        <v>abstract</v>
      </c>
      <c r="BB1993" s="61" t="str">
        <f>IFERROR(__xludf.DUMMYFUNCTION("REGEXREPLACE(G1993, ""_[a-z]{1,2}$"", """")"),"osc20154")</f>
        <v>osc20154</v>
      </c>
      <c r="BD1993" s="68" t="s">
        <v>1441</v>
      </c>
    </row>
    <row r="1994">
      <c r="A1994" s="44">
        <v>1994.0</v>
      </c>
      <c r="B1994" s="68" t="s">
        <v>152</v>
      </c>
      <c r="C1994" s="62" t="s">
        <v>115</v>
      </c>
      <c r="D1994" s="62" t="s">
        <v>1441</v>
      </c>
      <c r="F1994" s="159" t="s">
        <v>11973</v>
      </c>
      <c r="G1994" s="1449" t="s">
        <v>11974</v>
      </c>
      <c r="H1994" s="159" t="s">
        <v>11975</v>
      </c>
      <c r="I1994" s="529">
        <v>45690.0</v>
      </c>
      <c r="J1994" s="1376">
        <v>45693.0</v>
      </c>
      <c r="K1994" s="68" t="s">
        <v>11976</v>
      </c>
      <c r="L1994" s="68"/>
      <c r="M1994" s="1909" t="s">
        <v>11977</v>
      </c>
      <c r="N1994" s="437" t="s">
        <v>6595</v>
      </c>
      <c r="O1994" s="336">
        <v>4.0</v>
      </c>
      <c r="P1994" s="382" t="s">
        <v>11978</v>
      </c>
      <c r="Q1994" s="52" t="str">
        <f t="array" ref="Q1994"> if(iserror(MATCH(V1994, 'File Links'!C:C, 0)), "N/A", HYPERLINK(INDEX('File Links'!B:B, MATCH(P1994, 'File Links'!C:C, 0))))</f>
        <v>https://drive.google.com/file/d/14KU35or-OxTWODmUyKwRoB3qwuTQZobO/view?usp=drivesdk</v>
      </c>
      <c r="R1994" s="159" t="s">
        <v>11979</v>
      </c>
      <c r="S1994" s="437" t="s">
        <v>10720</v>
      </c>
      <c r="T1994" s="68"/>
      <c r="U1994" s="336"/>
      <c r="V1994" s="198" t="str">
        <f t="shared" si="120"/>
        <v>10.1126--science.aac4716.pdf</v>
      </c>
      <c r="W1994" s="68" t="s">
        <v>164</v>
      </c>
      <c r="X1994" s="54" t="str">
        <f t="array" ref="X1994"> if(iserror(MATCH(V1994, 'File Links'!C:C, 0)), "N/A", HYPERLINK(INDEX('File Links'!B:B, MATCH(V1994, 'File Links'!C:C, 0))))</f>
        <v>https://drive.google.com/file/d/1UMAh9VGta6ExS2-Lb6GkDF4fmnI2EMeM/view?usp=drivesdk</v>
      </c>
      <c r="Y1994" s="68"/>
      <c r="Z1994" s="68" t="s">
        <v>226</v>
      </c>
      <c r="AA1994" s="68" t="s">
        <v>11980</v>
      </c>
      <c r="AB1994" s="159" t="s">
        <v>11981</v>
      </c>
      <c r="AC1994" s="1925" t="s">
        <v>11982</v>
      </c>
      <c r="AD1994" s="68" t="s">
        <v>11983</v>
      </c>
      <c r="AE1994" s="336">
        <v>12.0</v>
      </c>
      <c r="AF1994" s="156">
        <v>67.0</v>
      </c>
      <c r="AG1994" s="68" t="s">
        <v>11984</v>
      </c>
      <c r="AH1994" s="68" t="s">
        <v>134</v>
      </c>
      <c r="AI1994" s="68" t="s">
        <v>307</v>
      </c>
      <c r="AJ1994" s="337">
        <v>0.01</v>
      </c>
      <c r="AK1994" s="61" t="s">
        <v>135</v>
      </c>
      <c r="AL1994" s="61" t="s">
        <v>186</v>
      </c>
      <c r="AM1994" s="68" t="s">
        <v>137</v>
      </c>
      <c r="AN1994" s="1058" t="s">
        <v>138</v>
      </c>
      <c r="AO1994" s="336">
        <v>75.0</v>
      </c>
      <c r="AP1994" s="68" t="s">
        <v>11985</v>
      </c>
      <c r="AQ1994" s="68" t="s">
        <v>134</v>
      </c>
      <c r="AR1994" s="68" t="s">
        <v>613</v>
      </c>
      <c r="AS1994" s="336">
        <v>0.1469</v>
      </c>
      <c r="AT1994" s="68" t="s">
        <v>172</v>
      </c>
      <c r="AU1994" s="68" t="s">
        <v>136</v>
      </c>
      <c r="AV1994" s="68" t="s">
        <v>137</v>
      </c>
      <c r="AW1994" s="1308" t="s">
        <v>11986</v>
      </c>
      <c r="AX1994" s="68" t="s">
        <v>143</v>
      </c>
      <c r="AY1994" s="61" t="str">
        <f>IFERROR(__xludf.DUMMYFUNCTION("vlookup(BB1994,importrange(""https://docs.google.com/spreadsheets/d/1d2vevQ_7D_v35q4wCQ4RpQ_IPoTwEMB9Yp6ymwlPqew/edit?gid=984458430#gid=984458430"", ""'replication success'!A:K""), 11, FAlSE)"),"")</f>
        <v/>
      </c>
      <c r="AZ1994" s="61" t="str">
        <f>IFERROR(__xludf.DUMMYFUNCTION("vlookup(BB1994,importrange(""https://docs.google.com/spreadsheets/d/1d2vevQ_7D_v35q4wCQ4RpQ_IPoTwEMB9Yp6ymwlPqew/edit?gid=984458430#gid=984458430"", ""'replication success'!A:M""), 12, FAlSE)"),"")</f>
        <v/>
      </c>
      <c r="BA1994" s="61" t="str">
        <f>IFERROR(__xludf.DUMMYFUNCTION("vlookup(BB1994,importrange(""https://docs.google.com/spreadsheets/d/1d2vevQ_7D_v35q4wCQ4RpQ_IPoTwEMB9Yp6ymwlPqew/edit?gid=984458430#gid=984458430"", ""'replication success'!A:M""), 13, FAlSE)"),"abstract")</f>
        <v>abstract</v>
      </c>
      <c r="BB1994" s="61" t="str">
        <f>IFERROR(__xludf.DUMMYFUNCTION("REGEXREPLACE(G1994, ""_[a-z]{1,2}$"", """")"),"osc201543")</f>
        <v>osc201543</v>
      </c>
      <c r="BD1994" s="68" t="s">
        <v>1441</v>
      </c>
    </row>
    <row r="1995">
      <c r="A1995" s="44">
        <v>1995.0</v>
      </c>
      <c r="B1995" s="68" t="s">
        <v>114</v>
      </c>
      <c r="C1995" s="62" t="s">
        <v>115</v>
      </c>
      <c r="D1995" s="62" t="s">
        <v>153</v>
      </c>
      <c r="F1995" s="159" t="s">
        <v>11973</v>
      </c>
      <c r="G1995" s="1449" t="s">
        <v>11987</v>
      </c>
      <c r="H1995" s="159" t="s">
        <v>153</v>
      </c>
      <c r="I1995" s="529">
        <v>45690.0</v>
      </c>
      <c r="J1995" s="1376">
        <v>45693.0</v>
      </c>
      <c r="K1995" s="159" t="s">
        <v>11988</v>
      </c>
      <c r="L1995" s="68"/>
      <c r="M1995" s="1909" t="s">
        <v>11977</v>
      </c>
      <c r="N1995" s="437" t="s">
        <v>6595</v>
      </c>
      <c r="O1995" s="156">
        <v>4.0</v>
      </c>
      <c r="P1995" s="382" t="s">
        <v>11978</v>
      </c>
      <c r="Q1995" s="52" t="str">
        <f t="array" ref="Q1995"> if(iserror(MATCH(V1995, 'File Links'!C:C, 0)), "N/A", HYPERLINK(INDEX('File Links'!B:B, MATCH(P1995, 'File Links'!C:C, 0))))</f>
        <v>https://drive.google.com/file/d/14KU35or-OxTWODmUyKwRoB3qwuTQZobO/view?usp=drivesdk</v>
      </c>
      <c r="R1995" s="159" t="s">
        <v>11979</v>
      </c>
      <c r="S1995" s="437" t="s">
        <v>10720</v>
      </c>
      <c r="T1995" s="68"/>
      <c r="U1995" s="336">
        <v>1.0</v>
      </c>
      <c r="V1995" s="198" t="str">
        <f t="shared" si="120"/>
        <v>10.1126--science.aac4716.pdf</v>
      </c>
      <c r="W1995" s="159" t="s">
        <v>164</v>
      </c>
      <c r="X1995" s="54" t="str">
        <f t="array" ref="X1995"> if(iserror(MATCH(V1995, 'File Links'!C:C, 0)), "N/A", HYPERLINK(INDEX('File Links'!B:B, MATCH(V1995, 'File Links'!C:C, 0))))</f>
        <v>https://drive.google.com/file/d/1UMAh9VGta6ExS2-Lb6GkDF4fmnI2EMeM/view?usp=drivesdk</v>
      </c>
      <c r="Y1995" s="68"/>
      <c r="Z1995" s="159" t="s">
        <v>226</v>
      </c>
      <c r="AA1995" s="159" t="s">
        <v>11989</v>
      </c>
      <c r="AB1995" s="159" t="s">
        <v>11990</v>
      </c>
      <c r="AC1995" s="159" t="s">
        <v>11982</v>
      </c>
      <c r="AD1995" s="159" t="s">
        <v>11991</v>
      </c>
      <c r="AE1995" s="156">
        <v>12.0</v>
      </c>
      <c r="AF1995" s="156">
        <v>67.0</v>
      </c>
      <c r="AG1995" s="156" t="s">
        <v>11984</v>
      </c>
      <c r="AH1995" s="159" t="s">
        <v>134</v>
      </c>
      <c r="AI1995" s="159" t="s">
        <v>307</v>
      </c>
      <c r="AJ1995" s="709">
        <v>0.01</v>
      </c>
      <c r="AK1995" s="57" t="s">
        <v>135</v>
      </c>
      <c r="AL1995" s="57" t="s">
        <v>186</v>
      </c>
      <c r="AM1995" s="68" t="s">
        <v>137</v>
      </c>
      <c r="AN1995" s="1058" t="s">
        <v>138</v>
      </c>
      <c r="AO1995" s="336">
        <v>75.0</v>
      </c>
      <c r="AP1995" s="336" t="s">
        <v>11985</v>
      </c>
      <c r="AQ1995" s="1917" t="s">
        <v>173</v>
      </c>
      <c r="AR1995" s="159" t="s">
        <v>307</v>
      </c>
      <c r="AS1995" s="1918">
        <v>0.05</v>
      </c>
      <c r="AT1995" s="159" t="s">
        <v>335</v>
      </c>
      <c r="AU1995" s="159" t="s">
        <v>136</v>
      </c>
      <c r="AV1995" s="68" t="s">
        <v>137</v>
      </c>
      <c r="AW1995" s="435" t="s">
        <v>11992</v>
      </c>
      <c r="AX1995" s="68" t="s">
        <v>143</v>
      </c>
      <c r="AY1995" s="61" t="str">
        <f>IFERROR(__xludf.DUMMYFUNCTION("vlookup(BB1995,importrange(""https://docs.google.com/spreadsheets/d/1d2vevQ_7D_v35q4wCQ4RpQ_IPoTwEMB9Yp6ymwlPqew/edit?gid=984458430#gid=984458430"", ""'replication success'!A:K""), 11, FAlSE)"),"")</f>
        <v/>
      </c>
      <c r="AZ1995" s="61" t="str">
        <f>IFERROR(__xludf.DUMMYFUNCTION("vlookup(BB1995,importrange(""https://docs.google.com/spreadsheets/d/1d2vevQ_7D_v35q4wCQ4RpQ_IPoTwEMB9Yp6ymwlPqew/edit?gid=984458430#gid=984458430"", ""'replication success'!A:M""), 12, FAlSE)"),"")</f>
        <v/>
      </c>
      <c r="BA1995" s="61" t="str">
        <f>IFERROR(__xludf.DUMMYFUNCTION("vlookup(BB1995,importrange(""https://docs.google.com/spreadsheets/d/1d2vevQ_7D_v35q4wCQ4RpQ_IPoTwEMB9Yp6ymwlPqew/edit?gid=984458430#gid=984458430"", ""'replication success'!A:M""), 13, FAlSE)"),"abstract")</f>
        <v>abstract</v>
      </c>
      <c r="BB1995" s="61" t="str">
        <f>IFERROR(__xludf.DUMMYFUNCTION("REGEXREPLACE(G1995, ""_[a-z]{1,2}$"", """")"),"osc201543")</f>
        <v>osc201543</v>
      </c>
      <c r="BD1995" s="68" t="s">
        <v>1441</v>
      </c>
    </row>
    <row r="1996">
      <c r="A1996" s="44">
        <v>1996.0</v>
      </c>
      <c r="B1996" s="68" t="s">
        <v>114</v>
      </c>
      <c r="C1996" s="62" t="s">
        <v>115</v>
      </c>
      <c r="D1996" s="62" t="s">
        <v>1441</v>
      </c>
      <c r="F1996" s="159" t="s">
        <v>11993</v>
      </c>
      <c r="G1996" s="1449" t="s">
        <v>11994</v>
      </c>
      <c r="H1996" s="159" t="s">
        <v>11995</v>
      </c>
      <c r="I1996" s="529">
        <v>45690.0</v>
      </c>
      <c r="J1996" s="1376">
        <v>45693.0</v>
      </c>
      <c r="K1996" s="68"/>
      <c r="L1996" s="68"/>
      <c r="M1996" s="1909" t="s">
        <v>11996</v>
      </c>
      <c r="N1996" s="159" t="s">
        <v>11997</v>
      </c>
      <c r="O1996" s="336">
        <v>4.0</v>
      </c>
      <c r="P1996" s="382" t="s">
        <v>11998</v>
      </c>
      <c r="Q1996" s="52" t="str">
        <f t="array" ref="Q1996"> if(iserror(MATCH(V1996, 'File Links'!C:C, 0)), "N/A", HYPERLINK(INDEX('File Links'!B:B, MATCH(P1996, 'File Links'!C:C, 0))))</f>
        <v>https://drive.google.com/file/d/1yQorPB990ECp--s5Y810aRf0XfraQ5Wv/view?usp=drivesdk</v>
      </c>
      <c r="R1996" s="159" t="s">
        <v>11999</v>
      </c>
      <c r="S1996" s="437" t="s">
        <v>10720</v>
      </c>
      <c r="T1996" s="129"/>
      <c r="U1996" s="336">
        <v>1.0</v>
      </c>
      <c r="V1996" s="198" t="str">
        <f t="shared" si="120"/>
        <v>10.1126--science.aac4716.pdf</v>
      </c>
      <c r="W1996" s="68" t="s">
        <v>164</v>
      </c>
      <c r="X1996" s="54" t="str">
        <f t="array" ref="X1996"> if(iserror(MATCH(V1996, 'File Links'!C:C, 0)), "N/A", HYPERLINK(INDEX('File Links'!B:B, MATCH(V1996, 'File Links'!C:C, 0))))</f>
        <v>https://drive.google.com/file/d/1UMAh9VGta6ExS2-Lb6GkDF4fmnI2EMeM/view?usp=drivesdk</v>
      </c>
      <c r="Y1996" s="68"/>
      <c r="Z1996" s="68" t="s">
        <v>226</v>
      </c>
      <c r="AA1996" s="68" t="s">
        <v>12000</v>
      </c>
      <c r="AB1996" s="159" t="s">
        <v>12001</v>
      </c>
      <c r="AC1996" s="159" t="s">
        <v>12002</v>
      </c>
      <c r="AD1996" s="68" t="s">
        <v>12003</v>
      </c>
      <c r="AE1996" s="336">
        <v>13.0</v>
      </c>
      <c r="AF1996" s="156">
        <v>70.0</v>
      </c>
      <c r="AG1996" s="68" t="s">
        <v>12004</v>
      </c>
      <c r="AH1996" s="68" t="s">
        <v>134</v>
      </c>
      <c r="AI1996" s="68" t="s">
        <v>436</v>
      </c>
      <c r="AJ1996" s="337">
        <v>0.01</v>
      </c>
      <c r="AK1996" s="61" t="s">
        <v>135</v>
      </c>
      <c r="AL1996" s="61" t="s">
        <v>186</v>
      </c>
      <c r="AM1996" s="68" t="s">
        <v>141</v>
      </c>
      <c r="AN1996" s="1058" t="s">
        <v>138</v>
      </c>
      <c r="AO1996" s="156">
        <v>180.0</v>
      </c>
      <c r="AP1996" s="336">
        <v>0.016</v>
      </c>
      <c r="AQ1996" s="219" t="s">
        <v>2619</v>
      </c>
      <c r="AR1996" s="68" t="s">
        <v>813</v>
      </c>
      <c r="AS1996" s="336">
        <v>0.045</v>
      </c>
      <c r="AT1996" s="68" t="s">
        <v>172</v>
      </c>
      <c r="AU1996" s="68" t="s">
        <v>186</v>
      </c>
      <c r="AV1996" s="68" t="s">
        <v>141</v>
      </c>
      <c r="AW1996" s="129" t="s">
        <v>138</v>
      </c>
      <c r="AX1996" s="68" t="s">
        <v>143</v>
      </c>
      <c r="AY1996" s="61" t="str">
        <f>IFERROR(__xludf.DUMMYFUNCTION("vlookup(BB1996,importrange(""https://docs.google.com/spreadsheets/d/1d2vevQ_7D_v35q4wCQ4RpQ_IPoTwEMB9Yp6ymwlPqew/edit?gid=984458430#gid=984458430"", ""'replication success'!A:K""), 11, FAlSE)"),"")</f>
        <v/>
      </c>
      <c r="AZ1996" s="61" t="str">
        <f>IFERROR(__xludf.DUMMYFUNCTION("vlookup(BB1996,importrange(""https://docs.google.com/spreadsheets/d/1d2vevQ_7D_v35q4wCQ4RpQ_IPoTwEMB9Yp6ymwlPqew/edit?gid=984458430#gid=984458430"", ""'replication success'!A:M""), 12, FAlSE)"),"")</f>
        <v/>
      </c>
      <c r="BA1996" s="61" t="str">
        <f>IFERROR(__xludf.DUMMYFUNCTION("vlookup(BB1996,importrange(""https://docs.google.com/spreadsheets/d/1d2vevQ_7D_v35q4wCQ4RpQ_IPoTwEMB9Yp6ymwlPqew/edit?gid=984458430#gid=984458430"", ""'replication success'!A:M""), 13, FAlSE)"),"abstract")</f>
        <v>abstract</v>
      </c>
      <c r="BB1996" s="61" t="str">
        <f>IFERROR(__xludf.DUMMYFUNCTION("REGEXREPLACE(G1996, ""_[a-z]{1,2}$"", """")"),"osc201544")</f>
        <v>osc201544</v>
      </c>
      <c r="BD1996" s="68" t="s">
        <v>1441</v>
      </c>
    </row>
    <row r="1997">
      <c r="A1997" s="44">
        <v>1997.0</v>
      </c>
      <c r="B1997" s="68" t="s">
        <v>152</v>
      </c>
      <c r="C1997" s="62" t="s">
        <v>115</v>
      </c>
      <c r="D1997" s="62" t="s">
        <v>153</v>
      </c>
      <c r="F1997" s="159" t="s">
        <v>11993</v>
      </c>
      <c r="G1997" s="1449" t="s">
        <v>12005</v>
      </c>
      <c r="H1997" s="159" t="s">
        <v>153</v>
      </c>
      <c r="I1997" s="529">
        <v>45690.0</v>
      </c>
      <c r="J1997" s="1376">
        <v>45693.0</v>
      </c>
      <c r="K1997" s="68" t="s">
        <v>12006</v>
      </c>
      <c r="L1997" s="68"/>
      <c r="M1997" s="1909" t="s">
        <v>11996</v>
      </c>
      <c r="N1997" s="437" t="s">
        <v>11997</v>
      </c>
      <c r="O1997" s="156">
        <v>4.0</v>
      </c>
      <c r="P1997" s="382" t="s">
        <v>11998</v>
      </c>
      <c r="Q1997" s="52" t="str">
        <f t="array" ref="Q1997"> if(iserror(MATCH(V1997, 'File Links'!C:C, 0)), "N/A", HYPERLINK(INDEX('File Links'!B:B, MATCH(P1997, 'File Links'!C:C, 0))))</f>
        <v>https://drive.google.com/file/d/1yQorPB990ECp--s5Y810aRf0XfraQ5Wv/view?usp=drivesdk</v>
      </c>
      <c r="R1997" s="159" t="s">
        <v>11999</v>
      </c>
      <c r="S1997" s="437" t="s">
        <v>10720</v>
      </c>
      <c r="T1997" s="68"/>
      <c r="U1997" s="336">
        <v>1.0</v>
      </c>
      <c r="V1997" s="198" t="str">
        <f t="shared" si="120"/>
        <v>10.1126--science.aac4716.pdf</v>
      </c>
      <c r="W1997" s="159" t="s">
        <v>164</v>
      </c>
      <c r="X1997" s="54" t="str">
        <f t="array" ref="X1997"> if(iserror(MATCH(V1997, 'File Links'!C:C, 0)), "N/A", HYPERLINK(INDEX('File Links'!B:B, MATCH(V1997, 'File Links'!C:C, 0))))</f>
        <v>https://drive.google.com/file/d/1UMAh9VGta6ExS2-Lb6GkDF4fmnI2EMeM/view?usp=drivesdk</v>
      </c>
      <c r="Y1997" s="68"/>
      <c r="Z1997" s="159" t="s">
        <v>226</v>
      </c>
      <c r="AA1997" s="159" t="s">
        <v>12007</v>
      </c>
      <c r="AB1997" s="159" t="s">
        <v>12008</v>
      </c>
      <c r="AC1997" s="159" t="s">
        <v>12009</v>
      </c>
      <c r="AD1997" s="1910" t="s">
        <v>12003</v>
      </c>
      <c r="AE1997" s="156">
        <v>13.0</v>
      </c>
      <c r="AF1997" s="156">
        <v>70.0</v>
      </c>
      <c r="AG1997" s="156" t="s">
        <v>12004</v>
      </c>
      <c r="AH1997" s="159" t="s">
        <v>134</v>
      </c>
      <c r="AI1997" s="159" t="s">
        <v>436</v>
      </c>
      <c r="AJ1997" s="709">
        <v>0.01</v>
      </c>
      <c r="AK1997" s="57" t="s">
        <v>135</v>
      </c>
      <c r="AL1997" s="57" t="s">
        <v>186</v>
      </c>
      <c r="AM1997" s="68" t="s">
        <v>141</v>
      </c>
      <c r="AN1997" s="1058" t="s">
        <v>138</v>
      </c>
      <c r="AO1997" s="336">
        <v>180.0</v>
      </c>
      <c r="AP1997" s="336">
        <v>0.016</v>
      </c>
      <c r="AQ1997" s="219" t="s">
        <v>2619</v>
      </c>
      <c r="AR1997" s="159" t="s">
        <v>813</v>
      </c>
      <c r="AS1997" s="156">
        <v>0.045</v>
      </c>
      <c r="AT1997" s="159" t="s">
        <v>172</v>
      </c>
      <c r="AU1997" s="159" t="s">
        <v>186</v>
      </c>
      <c r="AV1997" s="68" t="s">
        <v>141</v>
      </c>
      <c r="AW1997" s="435" t="s">
        <v>12010</v>
      </c>
      <c r="AX1997" s="68" t="s">
        <v>143</v>
      </c>
      <c r="AY1997" s="61" t="str">
        <f>IFERROR(__xludf.DUMMYFUNCTION("vlookup(BB1997,importrange(""https://docs.google.com/spreadsheets/d/1d2vevQ_7D_v35q4wCQ4RpQ_IPoTwEMB9Yp6ymwlPqew/edit?gid=984458430#gid=984458430"", ""'replication success'!A:K""), 11, FAlSE)"),"")</f>
        <v/>
      </c>
      <c r="AZ1997" s="61" t="str">
        <f>IFERROR(__xludf.DUMMYFUNCTION("vlookup(BB1997,importrange(""https://docs.google.com/spreadsheets/d/1d2vevQ_7D_v35q4wCQ4RpQ_IPoTwEMB9Yp6ymwlPqew/edit?gid=984458430#gid=984458430"", ""'replication success'!A:M""), 12, FAlSE)"),"")</f>
        <v/>
      </c>
      <c r="BA1997" s="61" t="str">
        <f>IFERROR(__xludf.DUMMYFUNCTION("vlookup(BB1997,importrange(""https://docs.google.com/spreadsheets/d/1d2vevQ_7D_v35q4wCQ4RpQ_IPoTwEMB9Yp6ymwlPqew/edit?gid=984458430#gid=984458430"", ""'replication success'!A:M""), 13, FAlSE)"),"abstract")</f>
        <v>abstract</v>
      </c>
      <c r="BB1997" s="61" t="str">
        <f>IFERROR(__xludf.DUMMYFUNCTION("REGEXREPLACE(G1997, ""_[a-z]{1,2}$"", """")"),"osc201544")</f>
        <v>osc201544</v>
      </c>
      <c r="BD1997" s="68" t="s">
        <v>1441</v>
      </c>
    </row>
    <row r="1998">
      <c r="A1998" s="44">
        <v>1998.0</v>
      </c>
      <c r="B1998" s="68" t="s">
        <v>114</v>
      </c>
      <c r="C1998" s="62" t="s">
        <v>115</v>
      </c>
      <c r="D1998" s="62" t="s">
        <v>1441</v>
      </c>
      <c r="F1998" s="159" t="s">
        <v>12011</v>
      </c>
      <c r="G1998" s="1449" t="s">
        <v>12012</v>
      </c>
      <c r="H1998" s="159" t="s">
        <v>12013</v>
      </c>
      <c r="I1998" s="529">
        <v>45690.0</v>
      </c>
      <c r="J1998" s="1376">
        <v>45693.0</v>
      </c>
      <c r="K1998" s="68" t="s">
        <v>12014</v>
      </c>
      <c r="L1998" s="68"/>
      <c r="M1998" s="1909" t="s">
        <v>12015</v>
      </c>
      <c r="N1998" s="437" t="s">
        <v>12016</v>
      </c>
      <c r="O1998" s="68"/>
      <c r="P1998" s="382" t="s">
        <v>12017</v>
      </c>
      <c r="Q1998" s="52" t="str">
        <f t="array" ref="Q1998"> if(iserror(MATCH(V1998, 'File Links'!C:C, 0)), "N/A", HYPERLINK(INDEX('File Links'!B:B, MATCH(P1998, 'File Links'!C:C, 0))))</f>
        <v>https://drive.google.com/file/d/1_PDJ9HJdyc65HgAxy4hirK9FdTGjmJt6/view?usp=drivesdk</v>
      </c>
      <c r="R1998" s="159" t="s">
        <v>12018</v>
      </c>
      <c r="S1998" s="437" t="s">
        <v>10720</v>
      </c>
      <c r="T1998" s="68"/>
      <c r="U1998" s="336">
        <v>1.0</v>
      </c>
      <c r="V1998" s="198" t="str">
        <f t="shared" si="120"/>
        <v>10.1126--science.aac4716.pdf</v>
      </c>
      <c r="W1998" s="68" t="s">
        <v>12019</v>
      </c>
      <c r="X1998" s="54" t="str">
        <f t="array" ref="X1998"> if(iserror(MATCH(V1998, 'File Links'!C:C, 0)), "N/A", HYPERLINK(INDEX('File Links'!B:B, MATCH(V1998, 'File Links'!C:C, 0))))</f>
        <v>https://drive.google.com/file/d/1UMAh9VGta6ExS2-Lb6GkDF4fmnI2EMeM/view?usp=drivesdk</v>
      </c>
      <c r="Y1998" s="68"/>
      <c r="Z1998" s="68" t="s">
        <v>226</v>
      </c>
      <c r="AA1998" s="68" t="s">
        <v>12020</v>
      </c>
      <c r="AB1998" s="159" t="s">
        <v>12021</v>
      </c>
      <c r="AC1998" s="159" t="s">
        <v>12022</v>
      </c>
      <c r="AD1998" s="68" t="s">
        <v>12023</v>
      </c>
      <c r="AE1998" s="336">
        <v>7.0</v>
      </c>
      <c r="AF1998" s="156">
        <v>230047.0</v>
      </c>
      <c r="AG1998" s="68" t="s">
        <v>12024</v>
      </c>
      <c r="AH1998" s="68" t="s">
        <v>134</v>
      </c>
      <c r="AI1998" s="68" t="s">
        <v>132</v>
      </c>
      <c r="AJ1998" s="337">
        <v>0.001</v>
      </c>
      <c r="AK1998" s="61" t="s">
        <v>135</v>
      </c>
      <c r="AL1998" s="61" t="s">
        <v>218</v>
      </c>
      <c r="AM1998" s="68" t="s">
        <v>137</v>
      </c>
      <c r="AN1998" s="1058" t="s">
        <v>138</v>
      </c>
      <c r="AO1998" s="336">
        <v>455326.0</v>
      </c>
      <c r="AP1998" s="68" t="s">
        <v>12025</v>
      </c>
      <c r="AQ1998" s="68" t="s">
        <v>134</v>
      </c>
      <c r="AR1998" s="68" t="s">
        <v>217</v>
      </c>
      <c r="AS1998" s="336">
        <v>2.2E-16</v>
      </c>
      <c r="AT1998" s="68" t="s">
        <v>172</v>
      </c>
      <c r="AU1998" s="68" t="s">
        <v>186</v>
      </c>
      <c r="AV1998" s="68" t="s">
        <v>137</v>
      </c>
      <c r="AW1998" s="129" t="s">
        <v>138</v>
      </c>
      <c r="AX1998" s="68" t="s">
        <v>143</v>
      </c>
      <c r="AY1998" s="61" t="str">
        <f>IFERROR(__xludf.DUMMYFUNCTION("vlookup(BB1998,importrange(""https://docs.google.com/spreadsheets/d/1d2vevQ_7D_v35q4wCQ4RpQ_IPoTwEMB9Yp6ymwlPqew/edit?gid=984458430#gid=984458430"", ""'replication success'!A:K""), 11, FAlSE)"),"")</f>
        <v/>
      </c>
      <c r="AZ1998" s="61" t="str">
        <f>IFERROR(__xludf.DUMMYFUNCTION("vlookup(BB1998,importrange(""https://docs.google.com/spreadsheets/d/1d2vevQ_7D_v35q4wCQ4RpQ_IPoTwEMB9Yp6ymwlPqew/edit?gid=984458430#gid=984458430"", ""'replication success'!A:M""), 12, FAlSE)"),"")</f>
        <v/>
      </c>
      <c r="BA1998" s="61" t="str">
        <f>IFERROR(__xludf.DUMMYFUNCTION("vlookup(BB1998,importrange(""https://docs.google.com/spreadsheets/d/1d2vevQ_7D_v35q4wCQ4RpQ_IPoTwEMB9Yp6ymwlPqew/edit?gid=984458430#gid=984458430"", ""'replication success'!A:M""), 13, FAlSE)"),"abstract")</f>
        <v>abstract</v>
      </c>
      <c r="BB1998" s="61" t="str">
        <f>IFERROR(__xludf.DUMMYFUNCTION("REGEXREPLACE(G1998, ""_[a-z]{1,2}$"", """")"),"osc201546")</f>
        <v>osc201546</v>
      </c>
      <c r="BD1998" s="68" t="s">
        <v>1441</v>
      </c>
    </row>
    <row r="1999">
      <c r="A1999" s="44">
        <v>1999.0</v>
      </c>
      <c r="B1999" s="68" t="s">
        <v>152</v>
      </c>
      <c r="C1999" s="62" t="s">
        <v>115</v>
      </c>
      <c r="D1999" s="62" t="s">
        <v>153</v>
      </c>
      <c r="F1999" s="159" t="s">
        <v>12011</v>
      </c>
      <c r="G1999" s="1449" t="s">
        <v>12012</v>
      </c>
      <c r="H1999" s="159" t="s">
        <v>12026</v>
      </c>
      <c r="I1999" s="529">
        <v>45690.0</v>
      </c>
      <c r="J1999" s="1376">
        <v>45693.0</v>
      </c>
      <c r="K1999" s="159" t="s">
        <v>12027</v>
      </c>
      <c r="L1999" s="68"/>
      <c r="M1999" s="1909" t="s">
        <v>12015</v>
      </c>
      <c r="N1999" s="159" t="s">
        <v>12016</v>
      </c>
      <c r="O1999" s="156">
        <v>1.0</v>
      </c>
      <c r="P1999" s="382" t="s">
        <v>12017</v>
      </c>
      <c r="Q1999" s="52" t="str">
        <f t="array" ref="Q1999"> if(iserror(MATCH(V1999, 'File Links'!C:C, 0)), "N/A", HYPERLINK(INDEX('File Links'!B:B, MATCH(P1999, 'File Links'!C:C, 0))))</f>
        <v>https://drive.google.com/file/d/1_PDJ9HJdyc65HgAxy4hirK9FdTGjmJt6/view?usp=drivesdk</v>
      </c>
      <c r="R1999" s="159" t="s">
        <v>12018</v>
      </c>
      <c r="S1999" s="437" t="s">
        <v>10720</v>
      </c>
      <c r="T1999" s="129"/>
      <c r="U1999" s="336">
        <v>1.0</v>
      </c>
      <c r="V1999" s="198" t="str">
        <f t="shared" si="120"/>
        <v>10.1126--science.aac4716.pdf</v>
      </c>
      <c r="W1999" s="159" t="s">
        <v>3807</v>
      </c>
      <c r="X1999" s="54" t="str">
        <f t="array" ref="X1999"> if(iserror(MATCH(V1999, 'File Links'!C:C, 0)), "N/A", HYPERLINK(INDEX('File Links'!B:B, MATCH(V1999, 'File Links'!C:C, 0))))</f>
        <v>https://drive.google.com/file/d/1UMAh9VGta6ExS2-Lb6GkDF4fmnI2EMeM/view?usp=drivesdk</v>
      </c>
      <c r="Y1999" s="68"/>
      <c r="Z1999" s="159" t="s">
        <v>226</v>
      </c>
      <c r="AA1999" s="159" t="s">
        <v>12028</v>
      </c>
      <c r="AB1999" s="159" t="s">
        <v>12029</v>
      </c>
      <c r="AC1999" s="159" t="s">
        <v>12030</v>
      </c>
      <c r="AD1999" s="159" t="s">
        <v>12031</v>
      </c>
      <c r="AE1999" s="156">
        <v>7.0</v>
      </c>
      <c r="AF1999" s="156">
        <v>230047.0</v>
      </c>
      <c r="AG1999" s="159" t="s">
        <v>12024</v>
      </c>
      <c r="AH1999" s="159" t="s">
        <v>134</v>
      </c>
      <c r="AI1999" s="159" t="s">
        <v>132</v>
      </c>
      <c r="AJ1999" s="337">
        <v>0.001</v>
      </c>
      <c r="AK1999" s="57" t="s">
        <v>135</v>
      </c>
      <c r="AL1999" s="57" t="s">
        <v>218</v>
      </c>
      <c r="AM1999" s="68" t="s">
        <v>137</v>
      </c>
      <c r="AN1999" s="1058" t="s">
        <v>138</v>
      </c>
      <c r="AO1999" s="156">
        <v>455326.0</v>
      </c>
      <c r="AP1999" s="159" t="s">
        <v>12025</v>
      </c>
      <c r="AQ1999" s="159" t="s">
        <v>134</v>
      </c>
      <c r="AR1999" s="159" t="s">
        <v>217</v>
      </c>
      <c r="AS1999" s="156">
        <v>0.0</v>
      </c>
      <c r="AT1999" s="159" t="s">
        <v>172</v>
      </c>
      <c r="AU1999" s="159" t="s">
        <v>186</v>
      </c>
      <c r="AV1999" s="68" t="s">
        <v>137</v>
      </c>
      <c r="AW1999" s="435" t="s">
        <v>12032</v>
      </c>
      <c r="AX1999" s="68" t="s">
        <v>151</v>
      </c>
      <c r="AY1999" s="61" t="str">
        <f>IFERROR(__xludf.DUMMYFUNCTION("vlookup(BB1999,importrange(""https://docs.google.com/spreadsheets/d/1d2vevQ_7D_v35q4wCQ4RpQ_IPoTwEMB9Yp6ymwlPqew/edit?gid=984458430#gid=984458430"", ""'replication success'!A:K""), 11, FAlSE)"),"")</f>
        <v/>
      </c>
      <c r="AZ1999" s="61" t="str">
        <f>IFERROR(__xludf.DUMMYFUNCTION("vlookup(BB1999,importrange(""https://docs.google.com/spreadsheets/d/1d2vevQ_7D_v35q4wCQ4RpQ_IPoTwEMB9Yp6ymwlPqew/edit?gid=984458430#gid=984458430"", ""'replication success'!A:M""), 12, FAlSE)"),"")</f>
        <v/>
      </c>
      <c r="BA1999" s="61" t="str">
        <f>IFERROR(__xludf.DUMMYFUNCTION("vlookup(BB1999,importrange(""https://docs.google.com/spreadsheets/d/1d2vevQ_7D_v35q4wCQ4RpQ_IPoTwEMB9Yp6ymwlPqew/edit?gid=984458430#gid=984458430"", ""'replication success'!A:M""), 13, FAlSE)"),"abstract")</f>
        <v>abstract</v>
      </c>
      <c r="BB1999" s="61" t="str">
        <f>IFERROR(__xludf.DUMMYFUNCTION("REGEXREPLACE(G1999, ""_[a-z]{1,2}$"", """")"),"osc201546")</f>
        <v>osc201546</v>
      </c>
      <c r="BD1999" s="68" t="s">
        <v>1441</v>
      </c>
    </row>
    <row r="2000">
      <c r="A2000" s="44">
        <v>2000.0</v>
      </c>
      <c r="B2000" s="68" t="s">
        <v>152</v>
      </c>
      <c r="C2000" s="62" t="s">
        <v>115</v>
      </c>
      <c r="D2000" s="62" t="s">
        <v>1441</v>
      </c>
      <c r="F2000" s="159" t="s">
        <v>12033</v>
      </c>
      <c r="G2000" s="1449" t="s">
        <v>12034</v>
      </c>
      <c r="H2000" s="159" t="s">
        <v>12035</v>
      </c>
      <c r="I2000" s="529">
        <v>45690.0</v>
      </c>
      <c r="J2000" s="1376">
        <v>45693.0</v>
      </c>
      <c r="K2000" s="68"/>
      <c r="L2000" s="68"/>
      <c r="M2000" s="1909" t="s">
        <v>12036</v>
      </c>
      <c r="N2000" s="159" t="s">
        <v>12037</v>
      </c>
      <c r="O2000" s="336">
        <v>6.0</v>
      </c>
      <c r="P2000" s="382" t="s">
        <v>12038</v>
      </c>
      <c r="Q2000" s="52" t="str">
        <f t="array" ref="Q2000"> if(iserror(MATCH(V2000, 'File Links'!C:C, 0)), "N/A", HYPERLINK(INDEX('File Links'!B:B, MATCH(P2000, 'File Links'!C:C, 0))))</f>
        <v>https://drive.google.com/file/d/1uUa0wmROI0qE2xnTwxRVDmnwcW2lORPw/view?usp=drivesdk</v>
      </c>
      <c r="R2000" s="159" t="s">
        <v>12039</v>
      </c>
      <c r="S2000" s="437" t="s">
        <v>10720</v>
      </c>
      <c r="T2000" s="129"/>
      <c r="U2000" s="336">
        <v>1.0</v>
      </c>
      <c r="V2000" s="198" t="str">
        <f t="shared" si="120"/>
        <v>10.1126--science.aac4716.pdf</v>
      </c>
      <c r="W2000" s="68" t="s">
        <v>3570</v>
      </c>
      <c r="X2000" s="54" t="str">
        <f t="array" ref="X2000"> if(iserror(MATCH(V2000, 'File Links'!C:C, 0)), "N/A", HYPERLINK(INDEX('File Links'!B:B, MATCH(V2000, 'File Links'!C:C, 0))))</f>
        <v>https://drive.google.com/file/d/1UMAh9VGta6ExS2-Lb6GkDF4fmnI2EMeM/view?usp=drivesdk</v>
      </c>
      <c r="Y2000" s="68"/>
      <c r="Z2000" s="68" t="s">
        <v>226</v>
      </c>
      <c r="AA2000" s="68" t="s">
        <v>12040</v>
      </c>
      <c r="AB2000" s="159" t="s">
        <v>12041</v>
      </c>
      <c r="AC2000" s="1914" t="s">
        <v>12042</v>
      </c>
      <c r="AD2000" s="68" t="s">
        <v>12043</v>
      </c>
      <c r="AE2000" s="336">
        <v>16.0</v>
      </c>
      <c r="AF2000" s="156">
        <v>100.0</v>
      </c>
      <c r="AG2000" s="336">
        <v>-32.04</v>
      </c>
      <c r="AH2000" s="68" t="s">
        <v>987</v>
      </c>
      <c r="AI2000" s="68" t="s">
        <v>12044</v>
      </c>
      <c r="AJ2000" s="337">
        <v>0.03</v>
      </c>
      <c r="AK2000" s="61" t="s">
        <v>172</v>
      </c>
      <c r="AL2000" s="61" t="s">
        <v>186</v>
      </c>
      <c r="AM2000" s="68" t="s">
        <v>141</v>
      </c>
      <c r="AN2000" s="1058" t="s">
        <v>138</v>
      </c>
      <c r="AO2000" s="156">
        <v>200.0</v>
      </c>
      <c r="AP2000" s="336">
        <v>0.05</v>
      </c>
      <c r="AQ2000" s="159" t="s">
        <v>12045</v>
      </c>
      <c r="AR2000" s="68" t="s">
        <v>628</v>
      </c>
      <c r="AS2000" s="336">
        <v>0.47</v>
      </c>
      <c r="AT2000" s="68" t="s">
        <v>172</v>
      </c>
      <c r="AU2000" s="68" t="s">
        <v>136</v>
      </c>
      <c r="AV2000" s="68" t="s">
        <v>141</v>
      </c>
      <c r="AW2000" s="435" t="s">
        <v>12046</v>
      </c>
      <c r="AX2000" s="68" t="s">
        <v>143</v>
      </c>
      <c r="AY2000" s="61" t="str">
        <f>IFERROR(__xludf.DUMMYFUNCTION("vlookup(BB2000,importrange(""https://docs.google.com/spreadsheets/d/1d2vevQ_7D_v35q4wCQ4RpQ_IPoTwEMB9Yp6ymwlPqew/edit?gid=984458430#gid=984458430"", ""'replication success'!A:K""), 11, FAlSE)"),"")</f>
        <v/>
      </c>
      <c r="AZ2000" s="61" t="str">
        <f>IFERROR(__xludf.DUMMYFUNCTION("vlookup(BB2000,importrange(""https://docs.google.com/spreadsheets/d/1d2vevQ_7D_v35q4wCQ4RpQ_IPoTwEMB9Yp6ymwlPqew/edit?gid=984458430#gid=984458430"", ""'replication success'!A:M""), 12, FAlSE)"),"")</f>
        <v/>
      </c>
      <c r="BA2000" s="61" t="str">
        <f>IFERROR(__xludf.DUMMYFUNCTION("vlookup(BB2000,importrange(""https://docs.google.com/spreadsheets/d/1d2vevQ_7D_v35q4wCQ4RpQ_IPoTwEMB9Yp6ymwlPqew/edit?gid=984458430#gid=984458430"", ""'replication success'!A:M""), 13, FAlSE)"),"abstract")</f>
        <v>abstract</v>
      </c>
      <c r="BB2000" s="61" t="str">
        <f>IFERROR(__xludf.DUMMYFUNCTION("REGEXREPLACE(G2000, ""_[a-z]{1,2}$"", """")"),"osc201548")</f>
        <v>osc201548</v>
      </c>
      <c r="BD2000" s="68" t="s">
        <v>1441</v>
      </c>
    </row>
    <row r="2001">
      <c r="A2001" s="44">
        <v>2001.0</v>
      </c>
      <c r="B2001" s="68" t="s">
        <v>114</v>
      </c>
      <c r="C2001" s="62" t="s">
        <v>115</v>
      </c>
      <c r="D2001" s="62" t="s">
        <v>153</v>
      </c>
      <c r="F2001" s="159" t="s">
        <v>12033</v>
      </c>
      <c r="G2001" s="1449" t="s">
        <v>12047</v>
      </c>
      <c r="H2001" s="159" t="s">
        <v>153</v>
      </c>
      <c r="I2001" s="529">
        <v>45690.0</v>
      </c>
      <c r="J2001" s="1376">
        <v>45693.0</v>
      </c>
      <c r="K2001" s="159" t="s">
        <v>12048</v>
      </c>
      <c r="L2001" s="68"/>
      <c r="M2001" s="1909" t="s">
        <v>12036</v>
      </c>
      <c r="N2001" s="159" t="s">
        <v>12037</v>
      </c>
      <c r="O2001" s="156">
        <v>6.0</v>
      </c>
      <c r="P2001" s="382" t="s">
        <v>12038</v>
      </c>
      <c r="Q2001" s="52" t="str">
        <f t="array" ref="Q2001"> if(iserror(MATCH(V2001, 'File Links'!C:C, 0)), "N/A", HYPERLINK(INDEX('File Links'!B:B, MATCH(P2001, 'File Links'!C:C, 0))))</f>
        <v>https://drive.google.com/file/d/1uUa0wmROI0qE2xnTwxRVDmnwcW2lORPw/view?usp=drivesdk</v>
      </c>
      <c r="R2001" s="159" t="s">
        <v>12039</v>
      </c>
      <c r="S2001" s="437" t="s">
        <v>10720</v>
      </c>
      <c r="T2001" s="129"/>
      <c r="U2001" s="336">
        <v>1.0</v>
      </c>
      <c r="V2001" s="198" t="str">
        <f t="shared" si="120"/>
        <v>10.1126--science.aac4716.pdf</v>
      </c>
      <c r="W2001" s="159" t="s">
        <v>3570</v>
      </c>
      <c r="X2001" s="54" t="str">
        <f t="array" ref="X2001"> if(iserror(MATCH(V2001, 'File Links'!C:C, 0)), "N/A", HYPERLINK(INDEX('File Links'!B:B, MATCH(V2001, 'File Links'!C:C, 0))))</f>
        <v>https://drive.google.com/file/d/1UMAh9VGta6ExS2-Lb6GkDF4fmnI2EMeM/view?usp=drivesdk</v>
      </c>
      <c r="Y2001" s="68"/>
      <c r="Z2001" s="159" t="s">
        <v>226</v>
      </c>
      <c r="AA2001" s="159" t="s">
        <v>12040</v>
      </c>
      <c r="AB2001" s="159" t="s">
        <v>12049</v>
      </c>
      <c r="AC2001" s="159" t="s">
        <v>12042</v>
      </c>
      <c r="AD2001" s="159" t="s">
        <v>12050</v>
      </c>
      <c r="AE2001" s="156">
        <v>16.0</v>
      </c>
      <c r="AF2001" s="156">
        <v>100.0</v>
      </c>
      <c r="AG2001" s="156">
        <v>-32.04</v>
      </c>
      <c r="AH2001" s="159" t="s">
        <v>987</v>
      </c>
      <c r="AI2001" s="159" t="s">
        <v>182</v>
      </c>
      <c r="AJ2001" s="337">
        <v>0.03</v>
      </c>
      <c r="AK2001" s="57" t="s">
        <v>172</v>
      </c>
      <c r="AL2001" s="57" t="s">
        <v>186</v>
      </c>
      <c r="AM2001" s="1915" t="s">
        <v>137</v>
      </c>
      <c r="AN2001" s="1058" t="s">
        <v>138</v>
      </c>
      <c r="AO2001" s="156">
        <v>200.0</v>
      </c>
      <c r="AP2001" s="156">
        <v>0.05</v>
      </c>
      <c r="AQ2001" s="159" t="s">
        <v>12045</v>
      </c>
      <c r="AR2001" s="159" t="s">
        <v>628</v>
      </c>
      <c r="AS2001" s="156">
        <v>0.47</v>
      </c>
      <c r="AT2001" s="159" t="s">
        <v>172</v>
      </c>
      <c r="AU2001" s="159" t="s">
        <v>136</v>
      </c>
      <c r="AV2001" s="68" t="s">
        <v>141</v>
      </c>
      <c r="AW2001" s="435" t="s">
        <v>12046</v>
      </c>
      <c r="AX2001" s="68" t="s">
        <v>143</v>
      </c>
      <c r="AY2001" s="61" t="str">
        <f>IFERROR(__xludf.DUMMYFUNCTION("vlookup(BB2001,importrange(""https://docs.google.com/spreadsheets/d/1d2vevQ_7D_v35q4wCQ4RpQ_IPoTwEMB9Yp6ymwlPqew/edit?gid=984458430#gid=984458430"", ""'replication success'!A:K""), 11, FAlSE)"),"")</f>
        <v/>
      </c>
      <c r="AZ2001" s="61" t="str">
        <f>IFERROR(__xludf.DUMMYFUNCTION("vlookup(BB2001,importrange(""https://docs.google.com/spreadsheets/d/1d2vevQ_7D_v35q4wCQ4RpQ_IPoTwEMB9Yp6ymwlPqew/edit?gid=984458430#gid=984458430"", ""'replication success'!A:M""), 12, FAlSE)"),"")</f>
        <v/>
      </c>
      <c r="BA2001" s="61" t="str">
        <f>IFERROR(__xludf.DUMMYFUNCTION("vlookup(BB2001,importrange(""https://docs.google.com/spreadsheets/d/1d2vevQ_7D_v35q4wCQ4RpQ_IPoTwEMB9Yp6ymwlPqew/edit?gid=984458430#gid=984458430"", ""'replication success'!A:M""), 13, FAlSE)"),"abstract")</f>
        <v>abstract</v>
      </c>
      <c r="BB2001" s="61" t="str">
        <f>IFERROR(__xludf.DUMMYFUNCTION("REGEXREPLACE(G2001, ""_[a-z]{1,2}$"", """")"),"osc201548")</f>
        <v>osc201548</v>
      </c>
      <c r="BD2001" s="68" t="s">
        <v>1441</v>
      </c>
    </row>
    <row r="2002">
      <c r="A2002" s="44">
        <v>2002.0</v>
      </c>
      <c r="B2002" s="68" t="s">
        <v>152</v>
      </c>
      <c r="C2002" s="62" t="s">
        <v>115</v>
      </c>
      <c r="D2002" s="62" t="s">
        <v>1441</v>
      </c>
      <c r="F2002" s="159" t="s">
        <v>12051</v>
      </c>
      <c r="G2002" s="1449" t="s">
        <v>12052</v>
      </c>
      <c r="H2002" s="159" t="s">
        <v>12053</v>
      </c>
      <c r="I2002" s="529">
        <v>45690.0</v>
      </c>
      <c r="J2002" s="1376">
        <v>45693.0</v>
      </c>
      <c r="K2002" s="68"/>
      <c r="L2002" s="68" t="s">
        <v>12054</v>
      </c>
      <c r="M2002" s="1909" t="s">
        <v>12055</v>
      </c>
      <c r="N2002" s="437" t="s">
        <v>5448</v>
      </c>
      <c r="O2002" s="336">
        <v>5.0</v>
      </c>
      <c r="P2002" s="382" t="s">
        <v>12056</v>
      </c>
      <c r="Q2002" s="52" t="str">
        <f t="array" ref="Q2002"> if(iserror(MATCH(V2002, 'File Links'!C:C, 0)), "N/A", HYPERLINK(INDEX('File Links'!B:B, MATCH(P2002, 'File Links'!C:C, 0))))</f>
        <v>https://drive.google.com/file/d/1HpcHlK2DyzZieaRbX6Fr0ov7Mf_R671v/view?usp=drivesdk</v>
      </c>
      <c r="R2002" s="159" t="s">
        <v>12057</v>
      </c>
      <c r="S2002" s="437" t="s">
        <v>10720</v>
      </c>
      <c r="T2002" s="68"/>
      <c r="U2002" s="1928"/>
      <c r="V2002" s="198" t="str">
        <f t="shared" si="120"/>
        <v>10.1126--science.aac4716.pdf</v>
      </c>
      <c r="W2002" s="68" t="s">
        <v>164</v>
      </c>
      <c r="X2002" s="54" t="str">
        <f t="array" ref="X2002"> if(iserror(MATCH(V2002, 'File Links'!C:C, 0)), "N/A", HYPERLINK(INDEX('File Links'!B:B, MATCH(V2002, 'File Links'!C:C, 0))))</f>
        <v>https://drive.google.com/file/d/1UMAh9VGta6ExS2-Lb6GkDF4fmnI2EMeM/view?usp=drivesdk</v>
      </c>
      <c r="Y2002" s="68"/>
      <c r="Z2002" s="68" t="s">
        <v>226</v>
      </c>
      <c r="AA2002" s="68" t="s">
        <v>12058</v>
      </c>
      <c r="AB2002" s="159" t="s">
        <v>12059</v>
      </c>
      <c r="AC2002" s="1914" t="s">
        <v>12060</v>
      </c>
      <c r="AD2002" s="68" t="s">
        <v>12061</v>
      </c>
      <c r="AE2002" s="336">
        <v>8.0</v>
      </c>
      <c r="AF2002" s="156">
        <v>36.0</v>
      </c>
      <c r="AG2002" s="68" t="s">
        <v>5458</v>
      </c>
      <c r="AH2002" s="68" t="s">
        <v>134</v>
      </c>
      <c r="AI2002" s="68" t="s">
        <v>613</v>
      </c>
      <c r="AJ2002" s="337">
        <v>0.02</v>
      </c>
      <c r="AK2002" s="61" t="s">
        <v>172</v>
      </c>
      <c r="AL2002" s="61" t="s">
        <v>186</v>
      </c>
      <c r="AM2002" s="68" t="s">
        <v>137</v>
      </c>
      <c r="AN2002" s="1058" t="s">
        <v>138</v>
      </c>
      <c r="AO2002" s="336">
        <v>88.0</v>
      </c>
      <c r="AP2002" s="68" t="s">
        <v>12062</v>
      </c>
      <c r="AQ2002" s="68" t="s">
        <v>134</v>
      </c>
      <c r="AR2002" s="68" t="s">
        <v>850</v>
      </c>
      <c r="AS2002" s="336">
        <v>0.77</v>
      </c>
      <c r="AT2002" s="68" t="s">
        <v>172</v>
      </c>
      <c r="AU2002" s="68" t="s">
        <v>136</v>
      </c>
      <c r="AV2002" s="68" t="s">
        <v>137</v>
      </c>
      <c r="AW2002" s="435" t="s">
        <v>12063</v>
      </c>
      <c r="AX2002" s="68" t="s">
        <v>143</v>
      </c>
      <c r="AY2002" s="61" t="str">
        <f>IFERROR(__xludf.DUMMYFUNCTION("vlookup(BB2002,importrange(""https://docs.google.com/spreadsheets/d/1d2vevQ_7D_v35q4wCQ4RpQ_IPoTwEMB9Yp6ymwlPqew/edit?gid=984458430#gid=984458430"", ""'replication success'!A:K""), 11, FAlSE)"),"")</f>
        <v/>
      </c>
      <c r="AZ2002" s="61" t="str">
        <f>IFERROR(__xludf.DUMMYFUNCTION("vlookup(BB2002,importrange(""https://docs.google.com/spreadsheets/d/1d2vevQ_7D_v35q4wCQ4RpQ_IPoTwEMB9Yp6ymwlPqew/edit?gid=984458430#gid=984458430"", ""'replication success'!A:M""), 12, FAlSE)"),"")</f>
        <v/>
      </c>
      <c r="BA2002" s="61" t="str">
        <f>IFERROR(__xludf.DUMMYFUNCTION("vlookup(BB2002,importrange(""https://docs.google.com/spreadsheets/d/1d2vevQ_7D_v35q4wCQ4RpQ_IPoTwEMB9Yp6ymwlPqew/edit?gid=984458430#gid=984458430"", ""'replication success'!A:M""), 13, FAlSE)"),"abstract")</f>
        <v>abstract</v>
      </c>
      <c r="BB2002" s="61" t="str">
        <f>IFERROR(__xludf.DUMMYFUNCTION("REGEXREPLACE(G2002, ""_[a-z]{1,2}$"", """")"),"osc201549")</f>
        <v>osc201549</v>
      </c>
      <c r="BD2002" s="68" t="s">
        <v>1441</v>
      </c>
    </row>
    <row r="2003">
      <c r="A2003" s="44">
        <v>2003.0</v>
      </c>
      <c r="B2003" s="68" t="s">
        <v>114</v>
      </c>
      <c r="C2003" s="62" t="s">
        <v>115</v>
      </c>
      <c r="D2003" s="62" t="s">
        <v>153</v>
      </c>
      <c r="F2003" s="159" t="s">
        <v>12051</v>
      </c>
      <c r="G2003" s="1449" t="s">
        <v>12052</v>
      </c>
      <c r="H2003" s="159" t="s">
        <v>12064</v>
      </c>
      <c r="I2003" s="529">
        <v>45690.0</v>
      </c>
      <c r="J2003" s="1376">
        <v>45693.0</v>
      </c>
      <c r="K2003" s="159" t="s">
        <v>12065</v>
      </c>
      <c r="L2003" s="68"/>
      <c r="M2003" s="1909" t="s">
        <v>12055</v>
      </c>
      <c r="N2003" s="437" t="s">
        <v>5448</v>
      </c>
      <c r="O2003" s="156">
        <v>5.0</v>
      </c>
      <c r="P2003" s="382" t="s">
        <v>12056</v>
      </c>
      <c r="Q2003" s="52" t="str">
        <f t="array" ref="Q2003"> if(iserror(MATCH(V2003, 'File Links'!C:C, 0)), "N/A", HYPERLINK(INDEX('File Links'!B:B, MATCH(P2003, 'File Links'!C:C, 0))))</f>
        <v>https://drive.google.com/file/d/1HpcHlK2DyzZieaRbX6Fr0ov7Mf_R671v/view?usp=drivesdk</v>
      </c>
      <c r="R2003" s="159" t="s">
        <v>12057</v>
      </c>
      <c r="S2003" s="437" t="s">
        <v>10720</v>
      </c>
      <c r="T2003" s="68"/>
      <c r="U2003" s="336">
        <v>1.0</v>
      </c>
      <c r="V2003" s="198" t="str">
        <f t="shared" si="120"/>
        <v>10.1126--science.aac4716.pdf</v>
      </c>
      <c r="W2003" s="159" t="s">
        <v>164</v>
      </c>
      <c r="X2003" s="54" t="str">
        <f t="array" ref="X2003"> if(iserror(MATCH(V2003, 'File Links'!C:C, 0)), "N/A", HYPERLINK(INDEX('File Links'!B:B, MATCH(V2003, 'File Links'!C:C, 0))))</f>
        <v>https://drive.google.com/file/d/1UMAh9VGta6ExS2-Lb6GkDF4fmnI2EMeM/view?usp=drivesdk</v>
      </c>
      <c r="Y2003" s="68"/>
      <c r="Z2003" s="159" t="s">
        <v>226</v>
      </c>
      <c r="AA2003" s="159" t="s">
        <v>5454</v>
      </c>
      <c r="AB2003" s="159" t="s">
        <v>5455</v>
      </c>
      <c r="AC2003" s="159" t="s">
        <v>12060</v>
      </c>
      <c r="AD2003" s="159" t="s">
        <v>12066</v>
      </c>
      <c r="AE2003" s="336">
        <v>8.0</v>
      </c>
      <c r="AF2003" s="336">
        <v>36.0</v>
      </c>
      <c r="AG2003" s="336" t="s">
        <v>5458</v>
      </c>
      <c r="AH2003" s="159" t="s">
        <v>134</v>
      </c>
      <c r="AI2003" s="68" t="s">
        <v>613</v>
      </c>
      <c r="AJ2003" s="337">
        <v>0.02</v>
      </c>
      <c r="AK2003" s="57" t="s">
        <v>172</v>
      </c>
      <c r="AL2003" s="57" t="s">
        <v>186</v>
      </c>
      <c r="AM2003" s="68" t="s">
        <v>137</v>
      </c>
      <c r="AN2003" s="1058" t="s">
        <v>138</v>
      </c>
      <c r="AO2003" s="336">
        <v>88.0</v>
      </c>
      <c r="AP2003" s="336" t="s">
        <v>12067</v>
      </c>
      <c r="AQ2003" s="159" t="s">
        <v>134</v>
      </c>
      <c r="AR2003" s="68" t="s">
        <v>850</v>
      </c>
      <c r="AS2003" s="336">
        <v>0.77</v>
      </c>
      <c r="AT2003" s="159" t="s">
        <v>172</v>
      </c>
      <c r="AU2003" s="159" t="s">
        <v>136</v>
      </c>
      <c r="AV2003" s="68" t="s">
        <v>137</v>
      </c>
      <c r="AW2003" s="435" t="s">
        <v>12068</v>
      </c>
      <c r="AX2003" s="1915" t="s">
        <v>151</v>
      </c>
      <c r="AY2003" s="61" t="str">
        <f>IFERROR(__xludf.DUMMYFUNCTION("vlookup(BB2003,importrange(""https://docs.google.com/spreadsheets/d/1d2vevQ_7D_v35q4wCQ4RpQ_IPoTwEMB9Yp6ymwlPqew/edit?gid=984458430#gid=984458430"", ""'replication success'!A:K""), 11, FAlSE)"),"")</f>
        <v/>
      </c>
      <c r="AZ2003" s="61" t="str">
        <f>IFERROR(__xludf.DUMMYFUNCTION("vlookup(BB2003,importrange(""https://docs.google.com/spreadsheets/d/1d2vevQ_7D_v35q4wCQ4RpQ_IPoTwEMB9Yp6ymwlPqew/edit?gid=984458430#gid=984458430"", ""'replication success'!A:M""), 12, FAlSE)"),"")</f>
        <v/>
      </c>
      <c r="BA2003" s="61" t="str">
        <f>IFERROR(__xludf.DUMMYFUNCTION("vlookup(BB2003,importrange(""https://docs.google.com/spreadsheets/d/1d2vevQ_7D_v35q4wCQ4RpQ_IPoTwEMB9Yp6ymwlPqew/edit?gid=984458430#gid=984458430"", ""'replication success'!A:M""), 13, FAlSE)"),"abstract")</f>
        <v>abstract</v>
      </c>
      <c r="BB2003" s="61" t="str">
        <f>IFERROR(__xludf.DUMMYFUNCTION("REGEXREPLACE(G2003, ""_[a-z]{1,2}$"", """")"),"osc201549")</f>
        <v>osc201549</v>
      </c>
      <c r="BD2003" s="68" t="s">
        <v>1441</v>
      </c>
    </row>
    <row r="2004">
      <c r="A2004" s="44">
        <v>2004.0</v>
      </c>
      <c r="B2004" s="68" t="s">
        <v>152</v>
      </c>
      <c r="C2004" s="62" t="s">
        <v>115</v>
      </c>
      <c r="D2004" s="62" t="s">
        <v>1441</v>
      </c>
      <c r="F2004" s="159" t="s">
        <v>12069</v>
      </c>
      <c r="G2004" s="1449" t="s">
        <v>12070</v>
      </c>
      <c r="H2004" s="159" t="s">
        <v>12071</v>
      </c>
      <c r="I2004" s="529">
        <v>45690.0</v>
      </c>
      <c r="J2004" s="1376">
        <v>45693.0</v>
      </c>
      <c r="K2004" s="594" t="s">
        <v>12072</v>
      </c>
      <c r="L2004" s="68"/>
      <c r="M2004" s="1909" t="s">
        <v>12073</v>
      </c>
      <c r="N2004" s="159" t="s">
        <v>12074</v>
      </c>
      <c r="O2004" s="336">
        <v>2.0</v>
      </c>
      <c r="P2004" s="382" t="s">
        <v>12075</v>
      </c>
      <c r="Q2004" s="52" t="str">
        <f t="array" ref="Q2004"> if(iserror(MATCH(V2004, 'File Links'!C:C, 0)), "N/A", HYPERLINK(INDEX('File Links'!B:B, MATCH(P2004, 'File Links'!C:C, 0))))</f>
        <v>https://drive.google.com/file/d/1YjgU1oCfPf7_yAtASpZhwJS4TVj_g8CU/view?usp=drivesdk</v>
      </c>
      <c r="R2004" s="159" t="s">
        <v>12076</v>
      </c>
      <c r="S2004" s="437" t="s">
        <v>10720</v>
      </c>
      <c r="T2004" s="129"/>
      <c r="U2004" s="68"/>
      <c r="V2004" s="198" t="str">
        <f t="shared" si="120"/>
        <v>10.1126--science.aac4716.pdf</v>
      </c>
      <c r="W2004" s="68" t="s">
        <v>164</v>
      </c>
      <c r="X2004" s="54" t="str">
        <f t="array" ref="X2004"> if(iserror(MATCH(V2004, 'File Links'!C:C, 0)), "N/A", HYPERLINK(INDEX('File Links'!B:B, MATCH(V2004, 'File Links'!C:C, 0))))</f>
        <v>https://drive.google.com/file/d/1UMAh9VGta6ExS2-Lb6GkDF4fmnI2EMeM/view?usp=drivesdk</v>
      </c>
      <c r="Y2004" s="68"/>
      <c r="Z2004" s="68" t="s">
        <v>148</v>
      </c>
      <c r="AA2004" s="68" t="s">
        <v>12077</v>
      </c>
      <c r="AB2004" s="159" t="s">
        <v>12078</v>
      </c>
      <c r="AC2004" s="1914" t="s">
        <v>12079</v>
      </c>
      <c r="AD2004" s="68" t="s">
        <v>12080</v>
      </c>
      <c r="AE2004" s="336">
        <v>4.0</v>
      </c>
      <c r="AF2004" s="156">
        <v>32.0</v>
      </c>
      <c r="AG2004" s="68" t="s">
        <v>12081</v>
      </c>
      <c r="AH2004" s="68" t="s">
        <v>134</v>
      </c>
      <c r="AI2004" s="68" t="s">
        <v>850</v>
      </c>
      <c r="AJ2004" s="338" t="s">
        <v>138</v>
      </c>
      <c r="AK2004" s="61"/>
      <c r="AL2004" s="61" t="s">
        <v>136</v>
      </c>
      <c r="AM2004" s="68" t="s">
        <v>137</v>
      </c>
      <c r="AN2004" s="1058" t="s">
        <v>138</v>
      </c>
      <c r="AO2004" s="156">
        <v>48.0</v>
      </c>
      <c r="AP2004" s="336">
        <v>0.02</v>
      </c>
      <c r="AQ2004" s="68" t="s">
        <v>874</v>
      </c>
      <c r="AR2004" s="68" t="s">
        <v>628</v>
      </c>
      <c r="AS2004" s="336">
        <v>0.335</v>
      </c>
      <c r="AT2004" s="68" t="s">
        <v>172</v>
      </c>
      <c r="AU2004" s="68" t="s">
        <v>136</v>
      </c>
      <c r="AV2004" s="68" t="s">
        <v>137</v>
      </c>
      <c r="AW2004" s="435" t="s">
        <v>12082</v>
      </c>
      <c r="AX2004" s="68" t="s">
        <v>143</v>
      </c>
      <c r="AY2004" s="61" t="str">
        <f>IFERROR(__xludf.DUMMYFUNCTION("vlookup(BB2004,importrange(""https://docs.google.com/spreadsheets/d/1d2vevQ_7D_v35q4wCQ4RpQ_IPoTwEMB9Yp6ymwlPqew/edit?gid=984458430#gid=984458430"", ""'replication success'!A:K""), 11, FAlSE)"),"")</f>
        <v/>
      </c>
      <c r="AZ2004" s="61" t="str">
        <f>IFERROR(__xludf.DUMMYFUNCTION("vlookup(BB2004,importrange(""https://docs.google.com/spreadsheets/d/1d2vevQ_7D_v35q4wCQ4RpQ_IPoTwEMB9Yp6ymwlPqew/edit?gid=984458430#gid=984458430"", ""'replication success'!A:M""), 12, FAlSE)"),"")</f>
        <v/>
      </c>
      <c r="BA2004" s="61" t="str">
        <f>IFERROR(__xludf.DUMMYFUNCTION("vlookup(BB2004,importrange(""https://docs.google.com/spreadsheets/d/1d2vevQ_7D_v35q4wCQ4RpQ_IPoTwEMB9Yp6ymwlPqew/edit?gid=984458430#gid=984458430"", ""'replication success'!A:M""), 13, FAlSE)"),"abstract")</f>
        <v>abstract</v>
      </c>
      <c r="BB2004" s="61" t="str">
        <f>IFERROR(__xludf.DUMMYFUNCTION("REGEXREPLACE(G2004, ""_[a-z]{1,2}$"", """")"),"osc20155")</f>
        <v>osc20155</v>
      </c>
      <c r="BD2004" s="68" t="s">
        <v>1441</v>
      </c>
    </row>
    <row r="2005">
      <c r="A2005" s="44">
        <v>2005.0</v>
      </c>
      <c r="B2005" s="68" t="s">
        <v>114</v>
      </c>
      <c r="C2005" s="62" t="s">
        <v>115</v>
      </c>
      <c r="D2005" s="62" t="s">
        <v>153</v>
      </c>
      <c r="F2005" s="159" t="s">
        <v>12069</v>
      </c>
      <c r="G2005" s="1449" t="s">
        <v>12070</v>
      </c>
      <c r="H2005" s="159" t="s">
        <v>153</v>
      </c>
      <c r="I2005" s="529">
        <v>45690.0</v>
      </c>
      <c r="J2005" s="1376">
        <v>45693.0</v>
      </c>
      <c r="K2005" s="159" t="s">
        <v>12083</v>
      </c>
      <c r="L2005" s="68"/>
      <c r="M2005" s="1909" t="s">
        <v>12073</v>
      </c>
      <c r="N2005" s="159" t="s">
        <v>12074</v>
      </c>
      <c r="O2005" s="156">
        <v>2.0</v>
      </c>
      <c r="P2005" s="382" t="s">
        <v>12075</v>
      </c>
      <c r="Q2005" s="52" t="str">
        <f t="array" ref="Q2005"> if(iserror(MATCH(V2005, 'File Links'!C:C, 0)), "N/A", HYPERLINK(INDEX('File Links'!B:B, MATCH(P2005, 'File Links'!C:C, 0))))</f>
        <v>https://drive.google.com/file/d/1YjgU1oCfPf7_yAtASpZhwJS4TVj_g8CU/view?usp=drivesdk</v>
      </c>
      <c r="R2005" s="159" t="s">
        <v>12076</v>
      </c>
      <c r="S2005" s="437" t="s">
        <v>10720</v>
      </c>
      <c r="T2005" s="129"/>
      <c r="U2005" s="336">
        <v>1.0</v>
      </c>
      <c r="V2005" s="198" t="str">
        <f t="shared" si="120"/>
        <v>10.1126--science.aac4716.pdf</v>
      </c>
      <c r="W2005" s="159" t="s">
        <v>164</v>
      </c>
      <c r="X2005" s="54" t="str">
        <f t="array" ref="X2005"> if(iserror(MATCH(V2005, 'File Links'!C:C, 0)), "N/A", HYPERLINK(INDEX('File Links'!B:B, MATCH(V2005, 'File Links'!C:C, 0))))</f>
        <v>https://drive.google.com/file/d/1UMAh9VGta6ExS2-Lb6GkDF4fmnI2EMeM/view?usp=drivesdk</v>
      </c>
      <c r="Y2005" s="68"/>
      <c r="Z2005" s="159" t="s">
        <v>148</v>
      </c>
      <c r="AA2005" s="159" t="s">
        <v>12084</v>
      </c>
      <c r="AB2005" s="159" t="s">
        <v>12085</v>
      </c>
      <c r="AC2005" s="159" t="s">
        <v>12079</v>
      </c>
      <c r="AD2005" s="159" t="s">
        <v>12086</v>
      </c>
      <c r="AE2005" s="156">
        <v>4.0</v>
      </c>
      <c r="AF2005" s="156">
        <v>32.0</v>
      </c>
      <c r="AG2005" s="159" t="s">
        <v>12087</v>
      </c>
      <c r="AH2005" s="159" t="s">
        <v>134</v>
      </c>
      <c r="AI2005" s="159" t="s">
        <v>850</v>
      </c>
      <c r="AJ2005" s="338"/>
      <c r="AK2005" s="61"/>
      <c r="AL2005" s="57" t="s">
        <v>136</v>
      </c>
      <c r="AM2005" s="68" t="s">
        <v>137</v>
      </c>
      <c r="AN2005" s="1058" t="s">
        <v>138</v>
      </c>
      <c r="AO2005" s="156">
        <v>48.0</v>
      </c>
      <c r="AP2005" s="156">
        <v>0.02</v>
      </c>
      <c r="AQ2005" s="1917" t="s">
        <v>139</v>
      </c>
      <c r="AR2005" s="159" t="s">
        <v>628</v>
      </c>
      <c r="AS2005" s="156">
        <v>0.335</v>
      </c>
      <c r="AT2005" s="159" t="s">
        <v>172</v>
      </c>
      <c r="AU2005" s="159" t="s">
        <v>136</v>
      </c>
      <c r="AV2005" s="68" t="s">
        <v>137</v>
      </c>
      <c r="AW2005" s="435" t="s">
        <v>12082</v>
      </c>
      <c r="AX2005" s="68" t="s">
        <v>143</v>
      </c>
      <c r="AY2005" s="61" t="str">
        <f>IFERROR(__xludf.DUMMYFUNCTION("vlookup(BB2005,importrange(""https://docs.google.com/spreadsheets/d/1d2vevQ_7D_v35q4wCQ4RpQ_IPoTwEMB9Yp6ymwlPqew/edit?gid=984458430#gid=984458430"", ""'replication success'!A:K""), 11, FAlSE)"),"")</f>
        <v/>
      </c>
      <c r="AZ2005" s="61" t="str">
        <f>IFERROR(__xludf.DUMMYFUNCTION("vlookup(BB2005,importrange(""https://docs.google.com/spreadsheets/d/1d2vevQ_7D_v35q4wCQ4RpQ_IPoTwEMB9Yp6ymwlPqew/edit?gid=984458430#gid=984458430"", ""'replication success'!A:M""), 12, FAlSE)"),"")</f>
        <v/>
      </c>
      <c r="BA2005" s="61" t="str">
        <f>IFERROR(__xludf.DUMMYFUNCTION("vlookup(BB2005,importrange(""https://docs.google.com/spreadsheets/d/1d2vevQ_7D_v35q4wCQ4RpQ_IPoTwEMB9Yp6ymwlPqew/edit?gid=984458430#gid=984458430"", ""'replication success'!A:M""), 13, FAlSE)"),"abstract")</f>
        <v>abstract</v>
      </c>
      <c r="BB2005" s="61" t="str">
        <f>IFERROR(__xludf.DUMMYFUNCTION("REGEXREPLACE(G2005, ""_[a-z]{1,2}$"", """")"),"osc20155")</f>
        <v>osc20155</v>
      </c>
      <c r="BD2005" s="68" t="s">
        <v>1441</v>
      </c>
    </row>
    <row r="2006">
      <c r="A2006" s="44">
        <v>2006.0</v>
      </c>
      <c r="B2006" s="68" t="s">
        <v>152</v>
      </c>
      <c r="C2006" s="62" t="s">
        <v>115</v>
      </c>
      <c r="D2006" s="62" t="s">
        <v>1441</v>
      </c>
      <c r="F2006" s="159" t="s">
        <v>12088</v>
      </c>
      <c r="G2006" s="1449" t="s">
        <v>12089</v>
      </c>
      <c r="H2006" s="159" t="s">
        <v>12090</v>
      </c>
      <c r="I2006" s="529">
        <v>45690.0</v>
      </c>
      <c r="J2006" s="1376">
        <v>45693.0</v>
      </c>
      <c r="K2006" s="68"/>
      <c r="L2006" s="68"/>
      <c r="M2006" s="1909" t="s">
        <v>12091</v>
      </c>
      <c r="N2006" s="159" t="s">
        <v>5448</v>
      </c>
      <c r="O2006" s="336">
        <v>7.0</v>
      </c>
      <c r="P2006" s="382" t="s">
        <v>12056</v>
      </c>
      <c r="Q2006" s="52" t="str">
        <f t="array" ref="Q2006"> if(iserror(MATCH(V2006, 'File Links'!C:C, 0)), "N/A", HYPERLINK(INDEX('File Links'!B:B, MATCH(P2006, 'File Links'!C:C, 0))))</f>
        <v>https://drive.google.com/file/d/1HpcHlK2DyzZieaRbX6Fr0ov7Mf_R671v/view?usp=drivesdk</v>
      </c>
      <c r="R2006" s="159" t="s">
        <v>12092</v>
      </c>
      <c r="S2006" s="437" t="s">
        <v>10720</v>
      </c>
      <c r="T2006" s="129"/>
      <c r="U2006" s="68"/>
      <c r="V2006" s="198" t="str">
        <f t="shared" si="120"/>
        <v>10.1126--science.aac4716.pdf</v>
      </c>
      <c r="W2006" s="68" t="s">
        <v>164</v>
      </c>
      <c r="X2006" s="54" t="str">
        <f t="array" ref="X2006"> if(iserror(MATCH(V2006, 'File Links'!C:C, 0)), "N/A", HYPERLINK(INDEX('File Links'!B:B, MATCH(V2006, 'File Links'!C:C, 0))))</f>
        <v>https://drive.google.com/file/d/1UMAh9VGta6ExS2-Lb6GkDF4fmnI2EMeM/view?usp=drivesdk</v>
      </c>
      <c r="Y2006" s="68"/>
      <c r="Z2006" s="68" t="s">
        <v>226</v>
      </c>
      <c r="AA2006" s="68" t="s">
        <v>12058</v>
      </c>
      <c r="AB2006" s="159" t="s">
        <v>12059</v>
      </c>
      <c r="AC2006" s="1914" t="s">
        <v>12093</v>
      </c>
      <c r="AD2006" s="68" t="s">
        <v>12094</v>
      </c>
      <c r="AE2006" s="336">
        <v>10.0</v>
      </c>
      <c r="AF2006" s="156">
        <v>98.0</v>
      </c>
      <c r="AG2006" s="68" t="s">
        <v>12095</v>
      </c>
      <c r="AH2006" s="68" t="s">
        <v>134</v>
      </c>
      <c r="AI2006" s="68" t="s">
        <v>632</v>
      </c>
      <c r="AJ2006" s="337">
        <v>0.02</v>
      </c>
      <c r="AK2006" s="61" t="s">
        <v>172</v>
      </c>
      <c r="AL2006" s="61" t="s">
        <v>186</v>
      </c>
      <c r="AM2006" s="68" t="s">
        <v>141</v>
      </c>
      <c r="AN2006" s="1058" t="s">
        <v>138</v>
      </c>
      <c r="AO2006" s="156">
        <v>105.0</v>
      </c>
      <c r="AP2006" s="336">
        <v>0.049</v>
      </c>
      <c r="AQ2006" s="68" t="s">
        <v>874</v>
      </c>
      <c r="AR2006" s="68" t="s">
        <v>850</v>
      </c>
      <c r="AS2006" s="336">
        <v>0.085</v>
      </c>
      <c r="AT2006" s="68" t="s">
        <v>172</v>
      </c>
      <c r="AU2006" s="68" t="s">
        <v>186</v>
      </c>
      <c r="AV2006" s="68" t="s">
        <v>141</v>
      </c>
      <c r="AW2006" s="435" t="s">
        <v>12096</v>
      </c>
      <c r="AX2006" s="68" t="s">
        <v>143</v>
      </c>
      <c r="AY2006" s="61" t="str">
        <f>IFERROR(__xludf.DUMMYFUNCTION("vlookup(BB2006,importrange(""https://docs.google.com/spreadsheets/d/1d2vevQ_7D_v35q4wCQ4RpQ_IPoTwEMB9Yp6ymwlPqew/edit?gid=984458430#gid=984458430"", ""'replication success'!A:K""), 11, FAlSE)"),"")</f>
        <v/>
      </c>
      <c r="AZ2006" s="61" t="str">
        <f>IFERROR(__xludf.DUMMYFUNCTION("vlookup(BB2006,importrange(""https://docs.google.com/spreadsheets/d/1d2vevQ_7D_v35q4wCQ4RpQ_IPoTwEMB9Yp6ymwlPqew/edit?gid=984458430#gid=984458430"", ""'replication success'!A:M""), 12, FAlSE)"),"")</f>
        <v/>
      </c>
      <c r="BA2006" s="61" t="str">
        <f>IFERROR(__xludf.DUMMYFUNCTION("vlookup(BB2006,importrange(""https://docs.google.com/spreadsheets/d/1d2vevQ_7D_v35q4wCQ4RpQ_IPoTwEMB9Yp6ymwlPqew/edit?gid=984458430#gid=984458430"", ""'replication success'!A:M""), 13, FAlSE)"),"abstract")</f>
        <v>abstract</v>
      </c>
      <c r="BB2006" s="61" t="str">
        <f>IFERROR(__xludf.DUMMYFUNCTION("REGEXREPLACE(G2006, ""_[a-z]{1,2}$"", """")"),"osc201550")</f>
        <v>osc201550</v>
      </c>
      <c r="BD2006" s="68" t="s">
        <v>1441</v>
      </c>
      <c r="BE2006" s="71"/>
      <c r="BF2006" s="71"/>
      <c r="BG2006" s="71"/>
      <c r="BH2006" s="71"/>
      <c r="BI2006" s="71"/>
      <c r="BJ2006" s="71"/>
      <c r="BK2006" s="71"/>
      <c r="BL2006" s="71"/>
      <c r="BM2006" s="71"/>
      <c r="BN2006" s="71"/>
      <c r="BO2006" s="71"/>
      <c r="BP2006" s="71"/>
      <c r="BQ2006" s="71"/>
      <c r="BR2006" s="71"/>
      <c r="BS2006" s="71"/>
      <c r="BT2006" s="71"/>
      <c r="BU2006" s="71"/>
      <c r="BV2006" s="71"/>
      <c r="BW2006" s="71"/>
      <c r="BX2006" s="71"/>
      <c r="BY2006" s="71"/>
      <c r="BZ2006" s="71"/>
      <c r="CA2006" s="71"/>
      <c r="CB2006" s="71"/>
      <c r="CC2006" s="71"/>
      <c r="CD2006" s="71"/>
      <c r="CE2006" s="71"/>
      <c r="CF2006" s="71"/>
      <c r="CG2006" s="71"/>
      <c r="CH2006" s="71"/>
      <c r="CI2006" s="71"/>
      <c r="CJ2006" s="71"/>
      <c r="CK2006" s="71"/>
      <c r="CL2006" s="71"/>
      <c r="CM2006" s="71"/>
      <c r="CN2006" s="71"/>
      <c r="CO2006" s="71"/>
      <c r="CP2006" s="71"/>
      <c r="CQ2006" s="71"/>
      <c r="CR2006" s="71"/>
      <c r="CS2006" s="71"/>
      <c r="CT2006" s="71"/>
      <c r="CU2006" s="71"/>
      <c r="CV2006" s="71"/>
      <c r="CW2006" s="71"/>
      <c r="CX2006" s="71"/>
      <c r="CY2006" s="71"/>
      <c r="CZ2006" s="71"/>
      <c r="DA2006" s="71"/>
      <c r="DB2006" s="71"/>
      <c r="DC2006" s="71"/>
      <c r="DD2006" s="71"/>
      <c r="DE2006" s="71"/>
      <c r="DF2006" s="71"/>
      <c r="DG2006" s="71"/>
      <c r="DH2006" s="71"/>
      <c r="DI2006" s="71"/>
      <c r="DJ2006" s="71"/>
      <c r="DK2006" s="71"/>
      <c r="DL2006" s="71"/>
    </row>
    <row r="2007">
      <c r="A2007" s="44">
        <v>2007.0</v>
      </c>
      <c r="B2007" s="68" t="s">
        <v>114</v>
      </c>
      <c r="C2007" s="62" t="s">
        <v>115</v>
      </c>
      <c r="D2007" s="62" t="s">
        <v>153</v>
      </c>
      <c r="F2007" s="159" t="s">
        <v>12088</v>
      </c>
      <c r="G2007" s="1449" t="s">
        <v>12089</v>
      </c>
      <c r="H2007" s="159" t="s">
        <v>153</v>
      </c>
      <c r="I2007" s="529">
        <v>45690.0</v>
      </c>
      <c r="J2007" s="1376">
        <v>45693.0</v>
      </c>
      <c r="K2007" s="68"/>
      <c r="L2007" s="68"/>
      <c r="M2007" s="1909" t="s">
        <v>12091</v>
      </c>
      <c r="N2007" s="159" t="s">
        <v>5448</v>
      </c>
      <c r="O2007" s="156">
        <v>7.0</v>
      </c>
      <c r="P2007" s="382" t="s">
        <v>12056</v>
      </c>
      <c r="Q2007" s="52" t="str">
        <f t="array" ref="Q2007"> if(iserror(MATCH(V2007, 'File Links'!C:C, 0)), "N/A", HYPERLINK(INDEX('File Links'!B:B, MATCH(P2007, 'File Links'!C:C, 0))))</f>
        <v>https://drive.google.com/file/d/1HpcHlK2DyzZieaRbX6Fr0ov7Mf_R671v/view?usp=drivesdk</v>
      </c>
      <c r="R2007" s="159" t="s">
        <v>12092</v>
      </c>
      <c r="S2007" s="437" t="s">
        <v>10720</v>
      </c>
      <c r="T2007" s="129"/>
      <c r="U2007" s="336">
        <v>1.0</v>
      </c>
      <c r="V2007" s="198" t="str">
        <f t="shared" si="120"/>
        <v>10.1126--science.aac4716.pdf</v>
      </c>
      <c r="W2007" s="159" t="s">
        <v>164</v>
      </c>
      <c r="X2007" s="54" t="str">
        <f t="array" ref="X2007"> if(iserror(MATCH(V2007, 'File Links'!C:C, 0)), "N/A", HYPERLINK(INDEX('File Links'!B:B, MATCH(V2007, 'File Links'!C:C, 0))))</f>
        <v>https://drive.google.com/file/d/1UMAh9VGta6ExS2-Lb6GkDF4fmnI2EMeM/view?usp=drivesdk</v>
      </c>
      <c r="Y2007" s="68"/>
      <c r="Z2007" s="159" t="s">
        <v>226</v>
      </c>
      <c r="AA2007" s="159" t="s">
        <v>5454</v>
      </c>
      <c r="AB2007" s="159" t="s">
        <v>5455</v>
      </c>
      <c r="AC2007" s="159" t="s">
        <v>12093</v>
      </c>
      <c r="AD2007" s="159" t="s">
        <v>12097</v>
      </c>
      <c r="AE2007" s="156">
        <v>10.0</v>
      </c>
      <c r="AF2007" s="156">
        <v>98.0</v>
      </c>
      <c r="AG2007" s="159" t="s">
        <v>12095</v>
      </c>
      <c r="AH2007" s="1917" t="s">
        <v>139</v>
      </c>
      <c r="AI2007" s="159" t="s">
        <v>632</v>
      </c>
      <c r="AJ2007" s="337">
        <v>0.02</v>
      </c>
      <c r="AK2007" s="57" t="s">
        <v>172</v>
      </c>
      <c r="AL2007" s="57" t="s">
        <v>186</v>
      </c>
      <c r="AM2007" s="68" t="s">
        <v>141</v>
      </c>
      <c r="AN2007" s="1058" t="s">
        <v>138</v>
      </c>
      <c r="AO2007" s="156">
        <v>105.0</v>
      </c>
      <c r="AP2007" s="156">
        <v>0.049</v>
      </c>
      <c r="AQ2007" s="1917" t="s">
        <v>139</v>
      </c>
      <c r="AR2007" s="159" t="s">
        <v>850</v>
      </c>
      <c r="AS2007" s="156">
        <v>0.085</v>
      </c>
      <c r="AT2007" s="159" t="s">
        <v>172</v>
      </c>
      <c r="AU2007" s="159" t="s">
        <v>186</v>
      </c>
      <c r="AV2007" s="68" t="s">
        <v>141</v>
      </c>
      <c r="AW2007" s="435" t="s">
        <v>12096</v>
      </c>
      <c r="AX2007" s="68" t="s">
        <v>143</v>
      </c>
      <c r="AY2007" s="61" t="str">
        <f>IFERROR(__xludf.DUMMYFUNCTION("vlookup(BB2007,importrange(""https://docs.google.com/spreadsheets/d/1d2vevQ_7D_v35q4wCQ4RpQ_IPoTwEMB9Yp6ymwlPqew/edit?gid=984458430#gid=984458430"", ""'replication success'!A:K""), 11, FAlSE)"),"")</f>
        <v/>
      </c>
      <c r="AZ2007" s="61" t="str">
        <f>IFERROR(__xludf.DUMMYFUNCTION("vlookup(BB2007,importrange(""https://docs.google.com/spreadsheets/d/1d2vevQ_7D_v35q4wCQ4RpQ_IPoTwEMB9Yp6ymwlPqew/edit?gid=984458430#gid=984458430"", ""'replication success'!A:M""), 12, FAlSE)"),"")</f>
        <v/>
      </c>
      <c r="BA2007" s="61" t="str">
        <f>IFERROR(__xludf.DUMMYFUNCTION("vlookup(BB2007,importrange(""https://docs.google.com/spreadsheets/d/1d2vevQ_7D_v35q4wCQ4RpQ_IPoTwEMB9Yp6ymwlPqew/edit?gid=984458430#gid=984458430"", ""'replication success'!A:M""), 13, FAlSE)"),"abstract")</f>
        <v>abstract</v>
      </c>
      <c r="BB2007" s="61" t="str">
        <f>IFERROR(__xludf.DUMMYFUNCTION("REGEXREPLACE(G2007, ""_[a-z]{1,2}$"", """")"),"osc201550")</f>
        <v>osc201550</v>
      </c>
      <c r="BD2007" s="68" t="s">
        <v>1441</v>
      </c>
      <c r="BE2007" s="71"/>
      <c r="BF2007" s="71"/>
      <c r="BG2007" s="71"/>
      <c r="BH2007" s="71"/>
      <c r="BI2007" s="71"/>
      <c r="BJ2007" s="71"/>
      <c r="BK2007" s="71"/>
      <c r="BL2007" s="71"/>
      <c r="BM2007" s="71"/>
      <c r="BN2007" s="71"/>
      <c r="BO2007" s="71"/>
      <c r="BP2007" s="71"/>
      <c r="BQ2007" s="71"/>
      <c r="BR2007" s="71"/>
      <c r="BS2007" s="71"/>
      <c r="BT2007" s="71"/>
      <c r="BU2007" s="71"/>
      <c r="BV2007" s="71"/>
      <c r="BW2007" s="71"/>
      <c r="BX2007" s="71"/>
      <c r="BY2007" s="71"/>
      <c r="BZ2007" s="71"/>
      <c r="CA2007" s="71"/>
      <c r="CB2007" s="71"/>
      <c r="CC2007" s="71"/>
      <c r="CD2007" s="71"/>
      <c r="CE2007" s="71"/>
      <c r="CF2007" s="71"/>
      <c r="CG2007" s="71"/>
      <c r="CH2007" s="71"/>
      <c r="CI2007" s="71"/>
      <c r="CJ2007" s="71"/>
      <c r="CK2007" s="71"/>
      <c r="CL2007" s="71"/>
      <c r="CM2007" s="71"/>
      <c r="CN2007" s="71"/>
      <c r="CO2007" s="71"/>
      <c r="CP2007" s="71"/>
      <c r="CQ2007" s="71"/>
      <c r="CR2007" s="71"/>
      <c r="CS2007" s="71"/>
      <c r="CT2007" s="71"/>
      <c r="CU2007" s="71"/>
      <c r="CV2007" s="71"/>
      <c r="CW2007" s="71"/>
      <c r="CX2007" s="71"/>
      <c r="CY2007" s="71"/>
      <c r="CZ2007" s="71"/>
      <c r="DA2007" s="71"/>
      <c r="DB2007" s="71"/>
      <c r="DC2007" s="71"/>
      <c r="DD2007" s="71"/>
      <c r="DE2007" s="71"/>
      <c r="DF2007" s="71"/>
      <c r="DG2007" s="71"/>
      <c r="DH2007" s="71"/>
      <c r="DI2007" s="71"/>
      <c r="DJ2007" s="71"/>
      <c r="DK2007" s="71"/>
      <c r="DL2007" s="71"/>
    </row>
    <row r="2008">
      <c r="A2008" s="44">
        <v>2008.0</v>
      </c>
      <c r="B2008" s="68" t="s">
        <v>114</v>
      </c>
      <c r="C2008" s="62" t="s">
        <v>115</v>
      </c>
      <c r="D2008" s="62" t="s">
        <v>1441</v>
      </c>
      <c r="F2008" s="159" t="s">
        <v>12098</v>
      </c>
      <c r="G2008" s="1449" t="s">
        <v>12099</v>
      </c>
      <c r="H2008" s="159" t="s">
        <v>12100</v>
      </c>
      <c r="I2008" s="529">
        <v>45690.0</v>
      </c>
      <c r="J2008" s="1376">
        <v>45693.0</v>
      </c>
      <c r="K2008" s="68" t="s">
        <v>12101</v>
      </c>
      <c r="L2008" s="68"/>
      <c r="M2008" s="1909" t="s">
        <v>12102</v>
      </c>
      <c r="N2008" s="437" t="s">
        <v>12103</v>
      </c>
      <c r="O2008" s="336">
        <v>5.0</v>
      </c>
      <c r="P2008" s="382" t="s">
        <v>12104</v>
      </c>
      <c r="Q2008" s="52" t="str">
        <f t="array" ref="Q2008"> if(iserror(MATCH(V2008, 'File Links'!C:C, 0)), "N/A", HYPERLINK(INDEX('File Links'!B:B, MATCH(P2008, 'File Links'!C:C, 0))))</f>
        <v>https://drive.google.com/file/d/17-wgGNPZwtL6rEYJQatdPfEg3Zj4LlVp/view?usp=drivesdk</v>
      </c>
      <c r="R2008" s="159" t="s">
        <v>12105</v>
      </c>
      <c r="S2008" s="437" t="s">
        <v>10720</v>
      </c>
      <c r="T2008" s="129"/>
      <c r="U2008" s="336">
        <v>1.0</v>
      </c>
      <c r="V2008" s="198" t="str">
        <f t="shared" si="120"/>
        <v>10.1126--science.aac4716.pdf</v>
      </c>
      <c r="W2008" s="68" t="s">
        <v>164</v>
      </c>
      <c r="X2008" s="54" t="str">
        <f t="array" ref="X2008"> if(iserror(MATCH(V2008, 'File Links'!C:C, 0)), "N/A", HYPERLINK(INDEX('File Links'!B:B, MATCH(V2008, 'File Links'!C:C, 0))))</f>
        <v>https://drive.google.com/file/d/1UMAh9VGta6ExS2-Lb6GkDF4fmnI2EMeM/view?usp=drivesdk</v>
      </c>
      <c r="Y2008" s="68"/>
      <c r="Z2008" s="68" t="s">
        <v>226</v>
      </c>
      <c r="AA2008" s="68" t="s">
        <v>12106</v>
      </c>
      <c r="AB2008" s="159" t="s">
        <v>12107</v>
      </c>
      <c r="AC2008" s="159" t="s">
        <v>12108</v>
      </c>
      <c r="AD2008" s="68" t="s">
        <v>12109</v>
      </c>
      <c r="AE2008" s="336">
        <v>14.0</v>
      </c>
      <c r="AF2008" s="156">
        <v>133.0</v>
      </c>
      <c r="AG2008" s="336">
        <v>0.04</v>
      </c>
      <c r="AH2008" s="68" t="s">
        <v>139</v>
      </c>
      <c r="AI2008" s="68" t="s">
        <v>2229</v>
      </c>
      <c r="AJ2008" s="337">
        <v>0.02</v>
      </c>
      <c r="AK2008" s="61" t="s">
        <v>135</v>
      </c>
      <c r="AL2008" s="61" t="s">
        <v>186</v>
      </c>
      <c r="AM2008" s="68" t="s">
        <v>141</v>
      </c>
      <c r="AN2008" s="1058" t="s">
        <v>138</v>
      </c>
      <c r="AO2008" s="336">
        <v>113.0</v>
      </c>
      <c r="AP2008" s="68" t="s">
        <v>12110</v>
      </c>
      <c r="AQ2008" s="68" t="s">
        <v>134</v>
      </c>
      <c r="AR2008" s="68" t="s">
        <v>140</v>
      </c>
      <c r="AS2008" s="336">
        <v>0.471</v>
      </c>
      <c r="AT2008" s="68" t="s">
        <v>172</v>
      </c>
      <c r="AU2008" s="68" t="s">
        <v>186</v>
      </c>
      <c r="AV2008" s="68" t="s">
        <v>141</v>
      </c>
      <c r="AW2008" s="435" t="s">
        <v>12111</v>
      </c>
      <c r="AX2008" s="68" t="s">
        <v>143</v>
      </c>
      <c r="AY2008" s="61" t="str">
        <f>IFERROR(__xludf.DUMMYFUNCTION("vlookup(BB2008,importrange(""https://docs.google.com/spreadsheets/d/1d2vevQ_7D_v35q4wCQ4RpQ_IPoTwEMB9Yp6ymwlPqew/edit?gid=984458430#gid=984458430"", ""'replication success'!A:K""), 11, FAlSE)"),"")</f>
        <v/>
      </c>
      <c r="AZ2008" s="61" t="str">
        <f>IFERROR(__xludf.DUMMYFUNCTION("vlookup(BB2008,importrange(""https://docs.google.com/spreadsheets/d/1d2vevQ_7D_v35q4wCQ4RpQ_IPoTwEMB9Yp6ymwlPqew/edit?gid=984458430#gid=984458430"", ""'replication success'!A:M""), 12, FAlSE)"),"")</f>
        <v/>
      </c>
      <c r="BA2008" s="61" t="str">
        <f>IFERROR(__xludf.DUMMYFUNCTION("vlookup(BB2008,importrange(""https://docs.google.com/spreadsheets/d/1d2vevQ_7D_v35q4wCQ4RpQ_IPoTwEMB9Yp6ymwlPqew/edit?gid=984458430#gid=984458430"", ""'replication success'!A:M""), 13, FAlSE)"),"abstract")</f>
        <v>abstract</v>
      </c>
      <c r="BB2008" s="61" t="str">
        <f>IFERROR(__xludf.DUMMYFUNCTION("REGEXREPLACE(G2008, ""_[a-z]{1,2}$"", """")"),"osc201552")</f>
        <v>osc201552</v>
      </c>
      <c r="BD2008" s="68" t="s">
        <v>1441</v>
      </c>
    </row>
    <row r="2009">
      <c r="A2009" s="44">
        <v>2009.0</v>
      </c>
      <c r="B2009" s="68" t="s">
        <v>152</v>
      </c>
      <c r="C2009" s="62" t="s">
        <v>115</v>
      </c>
      <c r="D2009" s="62" t="s">
        <v>153</v>
      </c>
      <c r="F2009" s="159" t="s">
        <v>12098</v>
      </c>
      <c r="G2009" s="1449" t="s">
        <v>12099</v>
      </c>
      <c r="H2009" s="159" t="s">
        <v>153</v>
      </c>
      <c r="I2009" s="529">
        <v>45690.0</v>
      </c>
      <c r="J2009" s="1376">
        <v>45693.0</v>
      </c>
      <c r="K2009" s="159" t="s">
        <v>12112</v>
      </c>
      <c r="L2009" s="68"/>
      <c r="M2009" s="1909" t="s">
        <v>12102</v>
      </c>
      <c r="N2009" s="159" t="s">
        <v>12103</v>
      </c>
      <c r="O2009" s="156">
        <v>5.0</v>
      </c>
      <c r="P2009" s="382" t="s">
        <v>12104</v>
      </c>
      <c r="Q2009" s="52" t="str">
        <f t="array" ref="Q2009"> if(iserror(MATCH(V2009, 'File Links'!C:C, 0)), "N/A", HYPERLINK(INDEX('File Links'!B:B, MATCH(P2009, 'File Links'!C:C, 0))))</f>
        <v>https://drive.google.com/file/d/17-wgGNPZwtL6rEYJQatdPfEg3Zj4LlVp/view?usp=drivesdk</v>
      </c>
      <c r="R2009" s="159" t="s">
        <v>12105</v>
      </c>
      <c r="S2009" s="437" t="s">
        <v>10720</v>
      </c>
      <c r="T2009" s="129"/>
      <c r="U2009" s="336">
        <v>1.0</v>
      </c>
      <c r="V2009" s="198" t="str">
        <f t="shared" si="120"/>
        <v>10.1126--science.aac4716.pdf</v>
      </c>
      <c r="W2009" s="159" t="s">
        <v>164</v>
      </c>
      <c r="X2009" s="54" t="str">
        <f t="array" ref="X2009"> if(iserror(MATCH(V2009, 'File Links'!C:C, 0)), "N/A", HYPERLINK(INDEX('File Links'!B:B, MATCH(V2009, 'File Links'!C:C, 0))))</f>
        <v>https://drive.google.com/file/d/1UMAh9VGta6ExS2-Lb6GkDF4fmnI2EMeM/view?usp=drivesdk</v>
      </c>
      <c r="Y2009" s="68"/>
      <c r="Z2009" s="159" t="s">
        <v>226</v>
      </c>
      <c r="AA2009" s="159" t="s">
        <v>12106</v>
      </c>
      <c r="AB2009" s="159" t="s">
        <v>12113</v>
      </c>
      <c r="AC2009" s="159" t="s">
        <v>12114</v>
      </c>
      <c r="AD2009" s="1910" t="s">
        <v>12109</v>
      </c>
      <c r="AE2009" s="156">
        <v>14.0</v>
      </c>
      <c r="AF2009" s="156">
        <v>133.0</v>
      </c>
      <c r="AG2009" s="156">
        <v>0.04</v>
      </c>
      <c r="AH2009" s="159" t="s">
        <v>139</v>
      </c>
      <c r="AI2009" s="159" t="s">
        <v>2229</v>
      </c>
      <c r="AJ2009" s="337">
        <v>0.02</v>
      </c>
      <c r="AK2009" s="57" t="s">
        <v>135</v>
      </c>
      <c r="AL2009" s="57" t="s">
        <v>186</v>
      </c>
      <c r="AM2009" s="68" t="s">
        <v>141</v>
      </c>
      <c r="AN2009" s="1058" t="s">
        <v>138</v>
      </c>
      <c r="AO2009" s="156">
        <v>113.0</v>
      </c>
      <c r="AP2009" s="159" t="s">
        <v>12115</v>
      </c>
      <c r="AQ2009" s="159" t="s">
        <v>134</v>
      </c>
      <c r="AR2009" s="159" t="s">
        <v>140</v>
      </c>
      <c r="AS2009" s="156">
        <v>0.471</v>
      </c>
      <c r="AT2009" s="159" t="s">
        <v>172</v>
      </c>
      <c r="AU2009" s="159" t="s">
        <v>186</v>
      </c>
      <c r="AV2009" s="68" t="s">
        <v>141</v>
      </c>
      <c r="AW2009" s="435" t="s">
        <v>12111</v>
      </c>
      <c r="AX2009" s="68" t="s">
        <v>143</v>
      </c>
      <c r="AY2009" s="61" t="str">
        <f>IFERROR(__xludf.DUMMYFUNCTION("vlookup(BB2009,importrange(""https://docs.google.com/spreadsheets/d/1d2vevQ_7D_v35q4wCQ4RpQ_IPoTwEMB9Yp6ymwlPqew/edit?gid=984458430#gid=984458430"", ""'replication success'!A:K""), 11, FAlSE)"),"")</f>
        <v/>
      </c>
      <c r="AZ2009" s="61" t="str">
        <f>IFERROR(__xludf.DUMMYFUNCTION("vlookup(BB2009,importrange(""https://docs.google.com/spreadsheets/d/1d2vevQ_7D_v35q4wCQ4RpQ_IPoTwEMB9Yp6ymwlPqew/edit?gid=984458430#gid=984458430"", ""'replication success'!A:M""), 12, FAlSE)"),"")</f>
        <v/>
      </c>
      <c r="BA2009" s="61" t="str">
        <f>IFERROR(__xludf.DUMMYFUNCTION("vlookup(BB2009,importrange(""https://docs.google.com/spreadsheets/d/1d2vevQ_7D_v35q4wCQ4RpQ_IPoTwEMB9Yp6ymwlPqew/edit?gid=984458430#gid=984458430"", ""'replication success'!A:M""), 13, FAlSE)"),"abstract")</f>
        <v>abstract</v>
      </c>
      <c r="BB2009" s="61" t="str">
        <f>IFERROR(__xludf.DUMMYFUNCTION("REGEXREPLACE(G2009, ""_[a-z]{1,2}$"", """")"),"osc201552")</f>
        <v>osc201552</v>
      </c>
      <c r="BD2009" s="68" t="s">
        <v>1441</v>
      </c>
    </row>
    <row r="2010">
      <c r="A2010" s="44">
        <v>2010.0</v>
      </c>
      <c r="B2010" s="68" t="s">
        <v>152</v>
      </c>
      <c r="C2010" s="62" t="s">
        <v>115</v>
      </c>
      <c r="D2010" s="62" t="s">
        <v>1441</v>
      </c>
      <c r="F2010" s="159" t="s">
        <v>12116</v>
      </c>
      <c r="G2010" s="1449" t="s">
        <v>12117</v>
      </c>
      <c r="H2010" s="159" t="s">
        <v>12118</v>
      </c>
      <c r="I2010" s="529">
        <v>45690.0</v>
      </c>
      <c r="J2010" s="1376">
        <v>45693.0</v>
      </c>
      <c r="K2010" s="594" t="s">
        <v>12119</v>
      </c>
      <c r="L2010" s="68"/>
      <c r="M2010" s="1909" t="s">
        <v>12120</v>
      </c>
      <c r="N2010" s="159" t="s">
        <v>12121</v>
      </c>
      <c r="O2010" s="336">
        <v>2.0</v>
      </c>
      <c r="P2010" s="382" t="s">
        <v>12122</v>
      </c>
      <c r="Q2010" s="52" t="str">
        <f t="array" ref="Q2010"> if(iserror(MATCH(V2010, 'File Links'!C:C, 0)), "N/A", HYPERLINK(INDEX('File Links'!B:B, MATCH(P2010, 'File Links'!C:C, 0))))</f>
        <v>https://drive.google.com/file/d/16Fdz5Q4hZTnIAAvzSPJ1UmDOOND5AaDe/view?usp=drivesdk</v>
      </c>
      <c r="R2010" s="159" t="s">
        <v>12123</v>
      </c>
      <c r="S2010" s="437" t="s">
        <v>10720</v>
      </c>
      <c r="T2010" s="129"/>
      <c r="U2010" s="336">
        <v>1.0</v>
      </c>
      <c r="V2010" s="198" t="str">
        <f t="shared" si="120"/>
        <v>10.1126--science.aac4716.pdf</v>
      </c>
      <c r="W2010" s="68" t="s">
        <v>164</v>
      </c>
      <c r="X2010" s="54" t="str">
        <f t="array" ref="X2010"> if(iserror(MATCH(V2010, 'File Links'!C:C, 0)), "N/A", HYPERLINK(INDEX('File Links'!B:B, MATCH(V2010, 'File Links'!C:C, 0))))</f>
        <v>https://drive.google.com/file/d/1UMAh9VGta6ExS2-Lb6GkDF4fmnI2EMeM/view?usp=drivesdk</v>
      </c>
      <c r="Y2010" s="68"/>
      <c r="Z2010" s="68" t="s">
        <v>226</v>
      </c>
      <c r="AA2010" s="68" t="s">
        <v>12124</v>
      </c>
      <c r="AB2010" s="159" t="s">
        <v>12125</v>
      </c>
      <c r="AC2010" s="1910" t="s">
        <v>12126</v>
      </c>
      <c r="AD2010" s="68" t="s">
        <v>12127</v>
      </c>
      <c r="AE2010" s="336">
        <v>12.0</v>
      </c>
      <c r="AF2010" s="156">
        <v>48.0</v>
      </c>
      <c r="AG2010" s="68" t="s">
        <v>12128</v>
      </c>
      <c r="AH2010" s="68" t="s">
        <v>134</v>
      </c>
      <c r="AI2010" s="68" t="s">
        <v>612</v>
      </c>
      <c r="AJ2010" s="337">
        <v>0.03</v>
      </c>
      <c r="AK2010" s="61" t="s">
        <v>172</v>
      </c>
      <c r="AL2010" s="61" t="s">
        <v>186</v>
      </c>
      <c r="AM2010" s="68" t="s">
        <v>141</v>
      </c>
      <c r="AN2010" s="1058" t="s">
        <v>138</v>
      </c>
      <c r="AO2010" s="156">
        <v>75.0</v>
      </c>
      <c r="AP2010" s="336">
        <v>0.006</v>
      </c>
      <c r="AQ2010" s="68" t="s">
        <v>874</v>
      </c>
      <c r="AR2010" s="68" t="s">
        <v>132</v>
      </c>
      <c r="AS2010" s="336">
        <v>0.513</v>
      </c>
      <c r="AT2010" s="68" t="s">
        <v>172</v>
      </c>
      <c r="AU2010" s="68" t="s">
        <v>186</v>
      </c>
      <c r="AV2010" s="68" t="s">
        <v>141</v>
      </c>
      <c r="AW2010" s="435" t="s">
        <v>12129</v>
      </c>
      <c r="AX2010" s="68" t="s">
        <v>143</v>
      </c>
      <c r="AY2010" s="61" t="str">
        <f>IFERROR(__xludf.DUMMYFUNCTION("vlookup(BB2010,importrange(""https://docs.google.com/spreadsheets/d/1d2vevQ_7D_v35q4wCQ4RpQ_IPoTwEMB9Yp6ymwlPqew/edit?gid=984458430#gid=984458430"", ""'replication success'!A:K""), 11, FAlSE)"),"")</f>
        <v/>
      </c>
      <c r="AZ2010" s="61" t="str">
        <f>IFERROR(__xludf.DUMMYFUNCTION("vlookup(BB2010,importrange(""https://docs.google.com/spreadsheets/d/1d2vevQ_7D_v35q4wCQ4RpQ_IPoTwEMB9Yp6ymwlPqew/edit?gid=984458430#gid=984458430"", ""'replication success'!A:M""), 12, FAlSE)"),"")</f>
        <v/>
      </c>
      <c r="BA2010" s="61" t="str">
        <f>IFERROR(__xludf.DUMMYFUNCTION("vlookup(BB2010,importrange(""https://docs.google.com/spreadsheets/d/1d2vevQ_7D_v35q4wCQ4RpQ_IPoTwEMB9Yp6ymwlPqew/edit?gid=984458430#gid=984458430"", ""'replication success'!A:M""), 13, FAlSE)"),"abstract")</f>
        <v>abstract</v>
      </c>
      <c r="BB2010" s="61" t="str">
        <f>IFERROR(__xludf.DUMMYFUNCTION("REGEXREPLACE(G2010, ""_[a-z]{1,2}$"", """")"),"osc201553")</f>
        <v>osc201553</v>
      </c>
      <c r="BD2010" s="68" t="s">
        <v>1441</v>
      </c>
    </row>
    <row r="2011">
      <c r="A2011" s="44">
        <v>2011.0</v>
      </c>
      <c r="B2011" s="68" t="s">
        <v>114</v>
      </c>
      <c r="C2011" s="62" t="s">
        <v>115</v>
      </c>
      <c r="D2011" s="62" t="s">
        <v>153</v>
      </c>
      <c r="F2011" s="159" t="s">
        <v>12116</v>
      </c>
      <c r="G2011" s="1449" t="s">
        <v>12130</v>
      </c>
      <c r="H2011" s="159" t="s">
        <v>153</v>
      </c>
      <c r="I2011" s="529">
        <v>45690.0</v>
      </c>
      <c r="J2011" s="1376">
        <v>45693.0</v>
      </c>
      <c r="K2011" s="68" t="s">
        <v>12131</v>
      </c>
      <c r="L2011" s="68"/>
      <c r="M2011" s="1909" t="s">
        <v>12120</v>
      </c>
      <c r="N2011" s="159" t="s">
        <v>12121</v>
      </c>
      <c r="O2011" s="336">
        <v>2.0</v>
      </c>
      <c r="P2011" s="382" t="s">
        <v>12122</v>
      </c>
      <c r="Q2011" s="52" t="str">
        <f t="array" ref="Q2011"> if(iserror(MATCH(V2011, 'File Links'!C:C, 0)), "N/A", HYPERLINK(INDEX('File Links'!B:B, MATCH(P2011, 'File Links'!C:C, 0))))</f>
        <v>https://drive.google.com/file/d/16Fdz5Q4hZTnIAAvzSPJ1UmDOOND5AaDe/view?usp=drivesdk</v>
      </c>
      <c r="R2011" s="159" t="s">
        <v>12123</v>
      </c>
      <c r="S2011" s="437" t="s">
        <v>10720</v>
      </c>
      <c r="T2011" s="129"/>
      <c r="U2011" s="336">
        <v>1.0</v>
      </c>
      <c r="V2011" s="198" t="str">
        <f t="shared" si="120"/>
        <v>10.1126--science.aac4716.pdf</v>
      </c>
      <c r="W2011" s="159" t="s">
        <v>164</v>
      </c>
      <c r="X2011" s="54" t="str">
        <f t="array" ref="X2011"> if(iserror(MATCH(V2011, 'File Links'!C:C, 0)), "N/A", HYPERLINK(INDEX('File Links'!B:B, MATCH(V2011, 'File Links'!C:C, 0))))</f>
        <v>https://drive.google.com/file/d/1UMAh9VGta6ExS2-Lb6GkDF4fmnI2EMeM/view?usp=drivesdk</v>
      </c>
      <c r="Y2011" s="68"/>
      <c r="Z2011" s="159" t="s">
        <v>226</v>
      </c>
      <c r="AA2011" s="159" t="s">
        <v>4031</v>
      </c>
      <c r="AB2011" s="68" t="s">
        <v>12132</v>
      </c>
      <c r="AC2011" s="68" t="s">
        <v>12126</v>
      </c>
      <c r="AD2011" s="159" t="s">
        <v>12133</v>
      </c>
      <c r="AE2011" s="336">
        <v>12.0</v>
      </c>
      <c r="AF2011" s="336">
        <v>48.0</v>
      </c>
      <c r="AG2011" s="336" t="s">
        <v>12128</v>
      </c>
      <c r="AH2011" s="159" t="s">
        <v>134</v>
      </c>
      <c r="AI2011" s="68" t="s">
        <v>612</v>
      </c>
      <c r="AJ2011" s="337">
        <v>0.03</v>
      </c>
      <c r="AK2011" s="61" t="s">
        <v>172</v>
      </c>
      <c r="AL2011" s="61" t="s">
        <v>186</v>
      </c>
      <c r="AM2011" s="68" t="s">
        <v>141</v>
      </c>
      <c r="AN2011" s="1058" t="s">
        <v>138</v>
      </c>
      <c r="AO2011" s="336">
        <v>75.0</v>
      </c>
      <c r="AP2011" s="336">
        <v>0.006</v>
      </c>
      <c r="AQ2011" s="1915" t="s">
        <v>139</v>
      </c>
      <c r="AR2011" s="68" t="s">
        <v>132</v>
      </c>
      <c r="AS2011" s="336">
        <v>0.513</v>
      </c>
      <c r="AT2011" s="68" t="s">
        <v>172</v>
      </c>
      <c r="AU2011" s="68" t="s">
        <v>186</v>
      </c>
      <c r="AV2011" s="68" t="s">
        <v>141</v>
      </c>
      <c r="AW2011" s="435" t="s">
        <v>12129</v>
      </c>
      <c r="AX2011" s="68" t="s">
        <v>143</v>
      </c>
      <c r="AY2011" s="61" t="str">
        <f>IFERROR(__xludf.DUMMYFUNCTION("vlookup(BB2011,importrange(""https://docs.google.com/spreadsheets/d/1d2vevQ_7D_v35q4wCQ4RpQ_IPoTwEMB9Yp6ymwlPqew/edit?gid=984458430#gid=984458430"", ""'replication success'!A:K""), 11, FAlSE)"),"")</f>
        <v/>
      </c>
      <c r="AZ2011" s="61" t="str">
        <f>IFERROR(__xludf.DUMMYFUNCTION("vlookup(BB2011,importrange(""https://docs.google.com/spreadsheets/d/1d2vevQ_7D_v35q4wCQ4RpQ_IPoTwEMB9Yp6ymwlPqew/edit?gid=984458430#gid=984458430"", ""'replication success'!A:M""), 12, FAlSE)"),"")</f>
        <v/>
      </c>
      <c r="BA2011" s="61" t="str">
        <f>IFERROR(__xludf.DUMMYFUNCTION("vlookup(BB2011,importrange(""https://docs.google.com/spreadsheets/d/1d2vevQ_7D_v35q4wCQ4RpQ_IPoTwEMB9Yp6ymwlPqew/edit?gid=984458430#gid=984458430"", ""'replication success'!A:M""), 13, FAlSE)"),"abstract")</f>
        <v>abstract</v>
      </c>
      <c r="BB2011" s="61" t="str">
        <f>IFERROR(__xludf.DUMMYFUNCTION("REGEXREPLACE(G2011, ""_[a-z]{1,2}$"", """")"),"osc201553")</f>
        <v>osc201553</v>
      </c>
      <c r="BD2011" s="68" t="s">
        <v>1441</v>
      </c>
    </row>
    <row r="2012">
      <c r="A2012" s="44">
        <v>2012.0</v>
      </c>
      <c r="B2012" s="68" t="s">
        <v>152</v>
      </c>
      <c r="C2012" s="62" t="s">
        <v>115</v>
      </c>
      <c r="D2012" s="62" t="s">
        <v>1441</v>
      </c>
      <c r="F2012" s="159" t="s">
        <v>12134</v>
      </c>
      <c r="G2012" s="1449" t="s">
        <v>12135</v>
      </c>
      <c r="H2012" s="159" t="s">
        <v>12136</v>
      </c>
      <c r="I2012" s="529">
        <v>45690.0</v>
      </c>
      <c r="J2012" s="1376">
        <v>45693.0</v>
      </c>
      <c r="K2012" s="68"/>
      <c r="L2012" s="68"/>
      <c r="M2012" s="1909" t="s">
        <v>12137</v>
      </c>
      <c r="N2012" s="437" t="s">
        <v>12138</v>
      </c>
      <c r="O2012" s="336">
        <v>2.0</v>
      </c>
      <c r="P2012" s="382" t="s">
        <v>12139</v>
      </c>
      <c r="Q2012" s="52" t="str">
        <f t="array" ref="Q2012"> if(iserror(MATCH(V2012, 'File Links'!C:C, 0)), "N/A", HYPERLINK(INDEX('File Links'!B:B, MATCH(P2012, 'File Links'!C:C, 0))))</f>
        <v>https://drive.google.com/file/d/1GCFNtGI_d_CgIPtrM02hpi0r-UNQaVqq/view?usp=drivesdk</v>
      </c>
      <c r="R2012" s="159" t="s">
        <v>12140</v>
      </c>
      <c r="S2012" s="437" t="s">
        <v>10720</v>
      </c>
      <c r="T2012" s="68"/>
      <c r="U2012" s="336">
        <v>1.0</v>
      </c>
      <c r="V2012" s="198" t="str">
        <f t="shared" si="120"/>
        <v>10.1126--science.aac4716.pdf</v>
      </c>
      <c r="W2012" s="68" t="s">
        <v>3570</v>
      </c>
      <c r="X2012" s="54" t="str">
        <f t="array" ref="X2012"> if(iserror(MATCH(V2012, 'File Links'!C:C, 0)), "N/A", HYPERLINK(INDEX('File Links'!B:B, MATCH(V2012, 'File Links'!C:C, 0))))</f>
        <v>https://drive.google.com/file/d/1UMAh9VGta6ExS2-Lb6GkDF4fmnI2EMeM/view?usp=drivesdk</v>
      </c>
      <c r="Y2012" s="68"/>
      <c r="Z2012" s="68" t="s">
        <v>226</v>
      </c>
      <c r="AA2012" s="68" t="s">
        <v>12141</v>
      </c>
      <c r="AB2012" s="159" t="s">
        <v>12142</v>
      </c>
      <c r="AC2012" s="1914" t="s">
        <v>12143</v>
      </c>
      <c r="AD2012" s="68" t="s">
        <v>12144</v>
      </c>
      <c r="AE2012" s="336">
        <v>9.0</v>
      </c>
      <c r="AF2012" s="156">
        <v>57.0</v>
      </c>
      <c r="AG2012" s="336">
        <v>0.11</v>
      </c>
      <c r="AH2012" s="68" t="s">
        <v>874</v>
      </c>
      <c r="AI2012" s="68" t="s">
        <v>628</v>
      </c>
      <c r="AJ2012" s="337">
        <v>0.05</v>
      </c>
      <c r="AK2012" s="61" t="s">
        <v>135</v>
      </c>
      <c r="AL2012" s="61" t="s">
        <v>186</v>
      </c>
      <c r="AM2012" s="68" t="s">
        <v>141</v>
      </c>
      <c r="AN2012" s="1058" t="s">
        <v>138</v>
      </c>
      <c r="AO2012" s="336">
        <v>71.0</v>
      </c>
      <c r="AP2012" s="336">
        <v>0.01</v>
      </c>
      <c r="AQ2012" s="68" t="s">
        <v>874</v>
      </c>
      <c r="AR2012" s="68" t="s">
        <v>813</v>
      </c>
      <c r="AS2012" s="336">
        <v>0.74</v>
      </c>
      <c r="AT2012" s="68" t="s">
        <v>172</v>
      </c>
      <c r="AU2012" s="68" t="s">
        <v>186</v>
      </c>
      <c r="AV2012" s="68" t="s">
        <v>141</v>
      </c>
      <c r="AW2012" s="435" t="s">
        <v>12145</v>
      </c>
      <c r="AX2012" s="68" t="s">
        <v>143</v>
      </c>
      <c r="AY2012" s="61" t="str">
        <f>IFERROR(__xludf.DUMMYFUNCTION("vlookup(BB2012,importrange(""https://docs.google.com/spreadsheets/d/1d2vevQ_7D_v35q4wCQ4RpQ_IPoTwEMB9Yp6ymwlPqew/edit?gid=984458430#gid=984458430"", ""'replication success'!A:K""), 11, FAlSE)"),"")</f>
        <v/>
      </c>
      <c r="AZ2012" s="61" t="str">
        <f>IFERROR(__xludf.DUMMYFUNCTION("vlookup(BB2012,importrange(""https://docs.google.com/spreadsheets/d/1d2vevQ_7D_v35q4wCQ4RpQ_IPoTwEMB9Yp6ymwlPqew/edit?gid=984458430#gid=984458430"", ""'replication success'!A:M""), 12, FAlSE)"),"")</f>
        <v/>
      </c>
      <c r="BA2012" s="61" t="str">
        <f>IFERROR(__xludf.DUMMYFUNCTION("vlookup(BB2012,importrange(""https://docs.google.com/spreadsheets/d/1d2vevQ_7D_v35q4wCQ4RpQ_IPoTwEMB9Yp6ymwlPqew/edit?gid=984458430#gid=984458430"", ""'replication success'!A:M""), 13, FAlSE)"),"abstract")</f>
        <v>abstract</v>
      </c>
      <c r="BB2012" s="61" t="str">
        <f>IFERROR(__xludf.DUMMYFUNCTION("REGEXREPLACE(G2012, ""_[a-z]{1,2}$"", """")"),"osc201555")</f>
        <v>osc201555</v>
      </c>
      <c r="BD2012" s="68" t="s">
        <v>1441</v>
      </c>
    </row>
    <row r="2013">
      <c r="A2013" s="44">
        <v>2013.0</v>
      </c>
      <c r="B2013" s="68" t="s">
        <v>114</v>
      </c>
      <c r="C2013" s="62" t="s">
        <v>115</v>
      </c>
      <c r="D2013" s="62" t="s">
        <v>153</v>
      </c>
      <c r="F2013" s="159" t="s">
        <v>12134</v>
      </c>
      <c r="G2013" s="1449" t="s">
        <v>12146</v>
      </c>
      <c r="H2013" s="159" t="s">
        <v>153</v>
      </c>
      <c r="I2013" s="529">
        <v>45690.0</v>
      </c>
      <c r="J2013" s="1376">
        <v>45693.0</v>
      </c>
      <c r="K2013" s="159" t="s">
        <v>12147</v>
      </c>
      <c r="L2013" s="68"/>
      <c r="M2013" s="1909" t="s">
        <v>12137</v>
      </c>
      <c r="N2013" s="437" t="s">
        <v>12138</v>
      </c>
      <c r="O2013" s="156">
        <v>2.0</v>
      </c>
      <c r="P2013" s="382" t="s">
        <v>12139</v>
      </c>
      <c r="Q2013" s="52" t="str">
        <f t="array" ref="Q2013"> if(iserror(MATCH(V2013, 'File Links'!C:C, 0)), "N/A", HYPERLINK(INDEX('File Links'!B:B, MATCH(P2013, 'File Links'!C:C, 0))))</f>
        <v>https://drive.google.com/file/d/1GCFNtGI_d_CgIPtrM02hpi0r-UNQaVqq/view?usp=drivesdk</v>
      </c>
      <c r="R2013" s="159" t="s">
        <v>12140</v>
      </c>
      <c r="S2013" s="437" t="s">
        <v>10720</v>
      </c>
      <c r="T2013" s="68"/>
      <c r="U2013" s="336">
        <v>1.0</v>
      </c>
      <c r="V2013" s="198" t="str">
        <f t="shared" si="120"/>
        <v>10.1126--science.aac4716.pdf</v>
      </c>
      <c r="W2013" s="159" t="s">
        <v>3570</v>
      </c>
      <c r="X2013" s="54" t="str">
        <f t="array" ref="X2013"> if(iserror(MATCH(V2013, 'File Links'!C:C, 0)), "N/A", HYPERLINK(INDEX('File Links'!B:B, MATCH(V2013, 'File Links'!C:C, 0))))</f>
        <v>https://drive.google.com/file/d/1UMAh9VGta6ExS2-Lb6GkDF4fmnI2EMeM/view?usp=drivesdk</v>
      </c>
      <c r="Y2013" s="68"/>
      <c r="Z2013" s="159" t="s">
        <v>226</v>
      </c>
      <c r="AA2013" s="159" t="s">
        <v>12148</v>
      </c>
      <c r="AB2013" s="159" t="s">
        <v>12149</v>
      </c>
      <c r="AC2013" s="159" t="s">
        <v>12143</v>
      </c>
      <c r="AD2013" s="159" t="s">
        <v>12150</v>
      </c>
      <c r="AE2013" s="156">
        <v>9.0</v>
      </c>
      <c r="AF2013" s="156">
        <v>57.0</v>
      </c>
      <c r="AG2013" s="156">
        <v>0.11</v>
      </c>
      <c r="AH2013" s="1917" t="s">
        <v>139</v>
      </c>
      <c r="AI2013" s="159" t="s">
        <v>628</v>
      </c>
      <c r="AJ2013" s="709">
        <v>0.05</v>
      </c>
      <c r="AK2013" s="57" t="s">
        <v>135</v>
      </c>
      <c r="AL2013" s="57" t="s">
        <v>186</v>
      </c>
      <c r="AM2013" s="68" t="s">
        <v>141</v>
      </c>
      <c r="AN2013" s="1058" t="s">
        <v>138</v>
      </c>
      <c r="AO2013" s="336">
        <v>71.0</v>
      </c>
      <c r="AP2013" s="336">
        <v>0.01</v>
      </c>
      <c r="AQ2013" s="1917" t="s">
        <v>139</v>
      </c>
      <c r="AR2013" s="159" t="s">
        <v>813</v>
      </c>
      <c r="AS2013" s="156">
        <v>0.74</v>
      </c>
      <c r="AT2013" s="159" t="s">
        <v>172</v>
      </c>
      <c r="AU2013" s="159" t="s">
        <v>186</v>
      </c>
      <c r="AV2013" s="68" t="s">
        <v>141</v>
      </c>
      <c r="AW2013" s="435" t="s">
        <v>12145</v>
      </c>
      <c r="AX2013" s="68" t="s">
        <v>143</v>
      </c>
      <c r="AY2013" s="61" t="str">
        <f>IFERROR(__xludf.DUMMYFUNCTION("vlookup(BB2013,importrange(""https://docs.google.com/spreadsheets/d/1d2vevQ_7D_v35q4wCQ4RpQ_IPoTwEMB9Yp6ymwlPqew/edit?gid=984458430#gid=984458430"", ""'replication success'!A:K""), 11, FAlSE)"),"")</f>
        <v/>
      </c>
      <c r="AZ2013" s="61" t="str">
        <f>IFERROR(__xludf.DUMMYFUNCTION("vlookup(BB2013,importrange(""https://docs.google.com/spreadsheets/d/1d2vevQ_7D_v35q4wCQ4RpQ_IPoTwEMB9Yp6ymwlPqew/edit?gid=984458430#gid=984458430"", ""'replication success'!A:M""), 12, FAlSE)"),"")</f>
        <v/>
      </c>
      <c r="BA2013" s="61" t="str">
        <f>IFERROR(__xludf.DUMMYFUNCTION("vlookup(BB2013,importrange(""https://docs.google.com/spreadsheets/d/1d2vevQ_7D_v35q4wCQ4RpQ_IPoTwEMB9Yp6ymwlPqew/edit?gid=984458430#gid=984458430"", ""'replication success'!A:M""), 13, FAlSE)"),"abstract")</f>
        <v>abstract</v>
      </c>
      <c r="BB2013" s="61" t="str">
        <f>IFERROR(__xludf.DUMMYFUNCTION("REGEXREPLACE(G2013, ""_[a-z]{1,2}$"", """")"),"osc201555")</f>
        <v>osc201555</v>
      </c>
      <c r="BD2013" s="68" t="s">
        <v>1441</v>
      </c>
    </row>
    <row r="2014">
      <c r="A2014" s="44">
        <v>2014.0</v>
      </c>
      <c r="B2014" s="68" t="s">
        <v>152</v>
      </c>
      <c r="C2014" s="62" t="s">
        <v>115</v>
      </c>
      <c r="D2014" s="62" t="s">
        <v>1441</v>
      </c>
      <c r="F2014" s="159" t="s">
        <v>12151</v>
      </c>
      <c r="G2014" s="1449" t="s">
        <v>12152</v>
      </c>
      <c r="H2014" s="159" t="s">
        <v>12153</v>
      </c>
      <c r="I2014" s="529">
        <v>45690.0</v>
      </c>
      <c r="J2014" s="1376">
        <v>45693.0</v>
      </c>
      <c r="K2014" s="68" t="s">
        <v>12154</v>
      </c>
      <c r="L2014" s="68" t="s">
        <v>12155</v>
      </c>
      <c r="M2014" s="1909" t="s">
        <v>12156</v>
      </c>
      <c r="N2014" s="159" t="s">
        <v>12157</v>
      </c>
      <c r="O2014" s="336">
        <v>3.0</v>
      </c>
      <c r="P2014" s="382" t="s">
        <v>12158</v>
      </c>
      <c r="Q2014" s="52" t="str">
        <f t="array" ref="Q2014"> if(iserror(MATCH(V2014, 'File Links'!C:C, 0)), "N/A", HYPERLINK(INDEX('File Links'!B:B, MATCH(P2014, 'File Links'!C:C, 0))))</f>
        <v>https://drive.google.com/file/d/1UTh20eT7TkvvPfQekHv-og8JNZ7R1WP8/view?usp=drivesdk</v>
      </c>
      <c r="R2014" s="159" t="s">
        <v>12159</v>
      </c>
      <c r="S2014" s="437" t="s">
        <v>10720</v>
      </c>
      <c r="T2014" s="129" t="s">
        <v>12160</v>
      </c>
      <c r="U2014" s="336">
        <v>1.0</v>
      </c>
      <c r="V2014" s="198" t="str">
        <f t="shared" si="120"/>
        <v>10.1126--science.aac4716.pdf</v>
      </c>
      <c r="W2014" s="68" t="s">
        <v>3570</v>
      </c>
      <c r="X2014" s="54" t="str">
        <f t="array" ref="X2014"> if(iserror(MATCH(V2014, 'File Links'!C:C, 0)), "N/A", HYPERLINK(INDEX('File Links'!B:B, MATCH(V2014, 'File Links'!C:C, 0))))</f>
        <v>https://drive.google.com/file/d/1UMAh9VGta6ExS2-Lb6GkDF4fmnI2EMeM/view?usp=drivesdk</v>
      </c>
      <c r="Y2014" s="68"/>
      <c r="Z2014" s="68" t="s">
        <v>226</v>
      </c>
      <c r="AA2014" s="68" t="s">
        <v>12161</v>
      </c>
      <c r="AB2014" s="159" t="s">
        <v>12162</v>
      </c>
      <c r="AC2014" s="1925" t="s">
        <v>12163</v>
      </c>
      <c r="AD2014" s="68" t="s">
        <v>12164</v>
      </c>
      <c r="AE2014" s="336">
        <v>10.0</v>
      </c>
      <c r="AF2014" s="156">
        <v>103.0</v>
      </c>
      <c r="AG2014" s="68" t="s">
        <v>12165</v>
      </c>
      <c r="AH2014" s="68" t="s">
        <v>134</v>
      </c>
      <c r="AI2014" s="68" t="s">
        <v>632</v>
      </c>
      <c r="AJ2014" s="337">
        <v>1.0E-4</v>
      </c>
      <c r="AK2014" s="61" t="s">
        <v>135</v>
      </c>
      <c r="AL2014" s="61" t="s">
        <v>186</v>
      </c>
      <c r="AM2014" s="68" t="s">
        <v>141</v>
      </c>
      <c r="AN2014" s="1058" t="s">
        <v>138</v>
      </c>
      <c r="AO2014" s="156">
        <v>83.0</v>
      </c>
      <c r="AP2014" s="336">
        <v>-0.08</v>
      </c>
      <c r="AQ2014" s="68" t="s">
        <v>173</v>
      </c>
      <c r="AR2014" s="68" t="s">
        <v>132</v>
      </c>
      <c r="AS2014" s="336">
        <v>0.8</v>
      </c>
      <c r="AT2014" s="68" t="s">
        <v>172</v>
      </c>
      <c r="AU2014" s="68" t="s">
        <v>136</v>
      </c>
      <c r="AV2014" s="68" t="s">
        <v>141</v>
      </c>
      <c r="AW2014" s="435" t="s">
        <v>12166</v>
      </c>
      <c r="AX2014" s="68" t="s">
        <v>143</v>
      </c>
      <c r="AY2014" s="61" t="str">
        <f>IFERROR(__xludf.DUMMYFUNCTION("vlookup(BB2014,importrange(""https://docs.google.com/spreadsheets/d/1d2vevQ_7D_v35q4wCQ4RpQ_IPoTwEMB9Yp6ymwlPqew/edit?gid=984458430#gid=984458430"", ""'replication success'!A:K""), 11, FAlSE)"),"")</f>
        <v/>
      </c>
      <c r="AZ2014" s="61" t="str">
        <f>IFERROR(__xludf.DUMMYFUNCTION("vlookup(BB2014,importrange(""https://docs.google.com/spreadsheets/d/1d2vevQ_7D_v35q4wCQ4RpQ_IPoTwEMB9Yp6ymwlPqew/edit?gid=984458430#gid=984458430"", ""'replication success'!A:M""), 12, FAlSE)"),"")</f>
        <v/>
      </c>
      <c r="BA2014" s="61" t="str">
        <f>IFERROR(__xludf.DUMMYFUNCTION("vlookup(BB2014,importrange(""https://docs.google.com/spreadsheets/d/1d2vevQ_7D_v35q4wCQ4RpQ_IPoTwEMB9Yp6ymwlPqew/edit?gid=984458430#gid=984458430"", ""'replication success'!A:M""), 13, FAlSE)"),"abstract")</f>
        <v>abstract</v>
      </c>
      <c r="BB2014" s="61" t="str">
        <f>IFERROR(__xludf.DUMMYFUNCTION("REGEXREPLACE(G2014, ""_[a-z]{1,2}$"", """")"),"osc201556")</f>
        <v>osc201556</v>
      </c>
      <c r="BD2014" s="68" t="s">
        <v>1441</v>
      </c>
    </row>
    <row r="2015">
      <c r="A2015" s="44">
        <v>2015.0</v>
      </c>
      <c r="B2015" s="68" t="s">
        <v>114</v>
      </c>
      <c r="C2015" s="62" t="s">
        <v>115</v>
      </c>
      <c r="D2015" s="62" t="s">
        <v>153</v>
      </c>
      <c r="F2015" s="159" t="s">
        <v>12151</v>
      </c>
      <c r="G2015" s="1449" t="s">
        <v>12152</v>
      </c>
      <c r="H2015" s="159" t="s">
        <v>12167</v>
      </c>
      <c r="I2015" s="529">
        <v>45690.0</v>
      </c>
      <c r="J2015" s="1376">
        <v>45693.0</v>
      </c>
      <c r="K2015" s="159" t="s">
        <v>12168</v>
      </c>
      <c r="L2015" s="68"/>
      <c r="M2015" s="1909" t="s">
        <v>12156</v>
      </c>
      <c r="N2015" s="437" t="s">
        <v>12157</v>
      </c>
      <c r="O2015" s="156">
        <v>3.0</v>
      </c>
      <c r="P2015" s="382" t="s">
        <v>12158</v>
      </c>
      <c r="Q2015" s="52" t="str">
        <f t="array" ref="Q2015"> if(iserror(MATCH(V2015, 'File Links'!C:C, 0)), "N/A", HYPERLINK(INDEX('File Links'!B:B, MATCH(P2015, 'File Links'!C:C, 0))))</f>
        <v>https://drive.google.com/file/d/1UTh20eT7TkvvPfQekHv-og8JNZ7R1WP8/view?usp=drivesdk</v>
      </c>
      <c r="R2015" s="159" t="s">
        <v>12159</v>
      </c>
      <c r="S2015" s="437" t="s">
        <v>10720</v>
      </c>
      <c r="T2015" s="68"/>
      <c r="U2015" s="336">
        <v>1.0</v>
      </c>
      <c r="V2015" s="198" t="str">
        <f t="shared" si="120"/>
        <v>10.1126--science.aac4716.pdf</v>
      </c>
      <c r="W2015" s="159" t="s">
        <v>3570</v>
      </c>
      <c r="X2015" s="54" t="str">
        <f t="array" ref="X2015"> if(iserror(MATCH(V2015, 'File Links'!C:C, 0)), "N/A", HYPERLINK(INDEX('File Links'!B:B, MATCH(V2015, 'File Links'!C:C, 0))))</f>
        <v>https://drive.google.com/file/d/1UMAh9VGta6ExS2-Lb6GkDF4fmnI2EMeM/view?usp=drivesdk</v>
      </c>
      <c r="Y2015" s="68"/>
      <c r="Z2015" s="159" t="s">
        <v>226</v>
      </c>
      <c r="AA2015" s="159" t="s">
        <v>4712</v>
      </c>
      <c r="AB2015" s="159" t="s">
        <v>12169</v>
      </c>
      <c r="AC2015" s="159" t="s">
        <v>12163</v>
      </c>
      <c r="AD2015" s="159" t="s">
        <v>12170</v>
      </c>
      <c r="AE2015" s="156">
        <v>10.0</v>
      </c>
      <c r="AF2015" s="156">
        <v>103.0</v>
      </c>
      <c r="AG2015" s="1918">
        <v>0.1433</v>
      </c>
      <c r="AH2015" s="1917" t="s">
        <v>139</v>
      </c>
      <c r="AI2015" s="159" t="s">
        <v>632</v>
      </c>
      <c r="AJ2015" s="709">
        <v>1.0E-4</v>
      </c>
      <c r="AK2015" s="57" t="s">
        <v>135</v>
      </c>
      <c r="AL2015" s="57" t="s">
        <v>186</v>
      </c>
      <c r="AM2015" s="1915" t="s">
        <v>137</v>
      </c>
      <c r="AN2015" s="1058" t="s">
        <v>138</v>
      </c>
      <c r="AO2015" s="336">
        <v>83.0</v>
      </c>
      <c r="AP2015" s="336">
        <v>-0.08</v>
      </c>
      <c r="AQ2015" s="159" t="s">
        <v>173</v>
      </c>
      <c r="AR2015" s="159" t="s">
        <v>132</v>
      </c>
      <c r="AS2015" s="156">
        <v>0.8</v>
      </c>
      <c r="AT2015" s="159" t="s">
        <v>172</v>
      </c>
      <c r="AU2015" s="159" t="s">
        <v>136</v>
      </c>
      <c r="AV2015" s="1915" t="s">
        <v>137</v>
      </c>
      <c r="AW2015" s="435" t="s">
        <v>12171</v>
      </c>
      <c r="AX2015" s="68" t="s">
        <v>151</v>
      </c>
      <c r="AY2015" s="61" t="str">
        <f>IFERROR(__xludf.DUMMYFUNCTION("vlookup(BB2015,importrange(""https://docs.google.com/spreadsheets/d/1d2vevQ_7D_v35q4wCQ4RpQ_IPoTwEMB9Yp6ymwlPqew/edit?gid=984458430#gid=984458430"", ""'replication success'!A:K""), 11, FAlSE)"),"")</f>
        <v/>
      </c>
      <c r="AZ2015" s="61" t="str">
        <f>IFERROR(__xludf.DUMMYFUNCTION("vlookup(BB2015,importrange(""https://docs.google.com/spreadsheets/d/1d2vevQ_7D_v35q4wCQ4RpQ_IPoTwEMB9Yp6ymwlPqew/edit?gid=984458430#gid=984458430"", ""'replication success'!A:M""), 12, FAlSE)"),"")</f>
        <v/>
      </c>
      <c r="BA2015" s="61" t="str">
        <f>IFERROR(__xludf.DUMMYFUNCTION("vlookup(BB2015,importrange(""https://docs.google.com/spreadsheets/d/1d2vevQ_7D_v35q4wCQ4RpQ_IPoTwEMB9Yp6ymwlPqew/edit?gid=984458430#gid=984458430"", ""'replication success'!A:M""), 13, FAlSE)"),"abstract")</f>
        <v>abstract</v>
      </c>
      <c r="BB2015" s="61" t="str">
        <f>IFERROR(__xludf.DUMMYFUNCTION("REGEXREPLACE(G2015, ""_[a-z]{1,2}$"", """")"),"osc201556")</f>
        <v>osc201556</v>
      </c>
      <c r="BD2015" s="68" t="s">
        <v>1441</v>
      </c>
    </row>
    <row r="2016">
      <c r="A2016" s="44">
        <v>2016.0</v>
      </c>
      <c r="B2016" s="68" t="s">
        <v>114</v>
      </c>
      <c r="C2016" s="62" t="s">
        <v>115</v>
      </c>
      <c r="D2016" s="62" t="s">
        <v>1441</v>
      </c>
      <c r="F2016" s="159" t="s">
        <v>12172</v>
      </c>
      <c r="G2016" s="1449" t="s">
        <v>12173</v>
      </c>
      <c r="H2016" s="159" t="s">
        <v>12174</v>
      </c>
      <c r="I2016" s="529">
        <v>45690.0</v>
      </c>
      <c r="J2016" s="1376">
        <v>45693.0</v>
      </c>
      <c r="K2016" s="68"/>
      <c r="L2016" s="68"/>
      <c r="M2016" s="1909" t="s">
        <v>12175</v>
      </c>
      <c r="N2016" s="437" t="s">
        <v>12176</v>
      </c>
      <c r="O2016" s="336">
        <v>5.0</v>
      </c>
      <c r="P2016" s="382" t="s">
        <v>12177</v>
      </c>
      <c r="Q2016" s="52" t="str">
        <f t="array" ref="Q2016"> if(iserror(MATCH(V2016, 'File Links'!C:C, 0)), "N/A", HYPERLINK(INDEX('File Links'!B:B, MATCH(P2016, 'File Links'!C:C, 0))))</f>
        <v>https://drive.google.com/file/d/1EGlmFl81-d1oxiKpGgGytIRbyZhEQLuV/view?usp=drivesdk</v>
      </c>
      <c r="R2016" s="159" t="s">
        <v>12178</v>
      </c>
      <c r="S2016" s="437" t="s">
        <v>10720</v>
      </c>
      <c r="T2016" s="68"/>
      <c r="U2016" s="336"/>
      <c r="V2016" s="198" t="str">
        <f t="shared" si="120"/>
        <v>10.1126--science.aac4716.pdf</v>
      </c>
      <c r="W2016" s="68" t="s">
        <v>3570</v>
      </c>
      <c r="X2016" s="54" t="str">
        <f t="array" ref="X2016"> if(iserror(MATCH(V2016, 'File Links'!C:C, 0)), "N/A", HYPERLINK(INDEX('File Links'!B:B, MATCH(V2016, 'File Links'!C:C, 0))))</f>
        <v>https://drive.google.com/file/d/1UMAh9VGta6ExS2-Lb6GkDF4fmnI2EMeM/view?usp=drivesdk</v>
      </c>
      <c r="Y2016" s="68"/>
      <c r="Z2016" s="68" t="s">
        <v>226</v>
      </c>
      <c r="AA2016" s="68" t="s">
        <v>12179</v>
      </c>
      <c r="AB2016" s="159" t="s">
        <v>12180</v>
      </c>
      <c r="AC2016" s="159" t="s">
        <v>12181</v>
      </c>
      <c r="AD2016" s="68" t="s">
        <v>12182</v>
      </c>
      <c r="AE2016" s="336">
        <v>16.0</v>
      </c>
      <c r="AF2016" s="156">
        <v>186.0</v>
      </c>
      <c r="AG2016" s="336">
        <v>0.03</v>
      </c>
      <c r="AH2016" s="68" t="s">
        <v>139</v>
      </c>
      <c r="AI2016" s="68" t="s">
        <v>182</v>
      </c>
      <c r="AJ2016" s="337">
        <v>0.05</v>
      </c>
      <c r="AK2016" s="61" t="s">
        <v>135</v>
      </c>
      <c r="AL2016" s="61" t="s">
        <v>186</v>
      </c>
      <c r="AM2016" s="68" t="s">
        <v>141</v>
      </c>
      <c r="AN2016" s="1058" t="s">
        <v>138</v>
      </c>
      <c r="AO2016" s="336">
        <v>280.0</v>
      </c>
      <c r="AP2016" s="336">
        <v>0.001</v>
      </c>
      <c r="AQ2016" s="68" t="s">
        <v>139</v>
      </c>
      <c r="AR2016" s="68" t="s">
        <v>813</v>
      </c>
      <c r="AS2016" s="336">
        <v>0.54</v>
      </c>
      <c r="AT2016" s="68" t="s">
        <v>172</v>
      </c>
      <c r="AU2016" s="68" t="s">
        <v>186</v>
      </c>
      <c r="AV2016" s="68" t="s">
        <v>141</v>
      </c>
      <c r="AW2016" s="129" t="s">
        <v>138</v>
      </c>
      <c r="AX2016" s="68" t="s">
        <v>143</v>
      </c>
      <c r="AY2016" s="61" t="str">
        <f>IFERROR(__xludf.DUMMYFUNCTION("vlookup(BB2016,importrange(""https://docs.google.com/spreadsheets/d/1d2vevQ_7D_v35q4wCQ4RpQ_IPoTwEMB9Yp6ymwlPqew/edit?gid=984458430#gid=984458430"", ""'replication success'!A:K""), 11, FAlSE)"),"")</f>
        <v/>
      </c>
      <c r="AZ2016" s="61" t="str">
        <f>IFERROR(__xludf.DUMMYFUNCTION("vlookup(BB2016,importrange(""https://docs.google.com/spreadsheets/d/1d2vevQ_7D_v35q4wCQ4RpQ_IPoTwEMB9Yp6ymwlPqew/edit?gid=984458430#gid=984458430"", ""'replication success'!A:M""), 12, FAlSE)"),"")</f>
        <v/>
      </c>
      <c r="BA2016" s="61" t="str">
        <f>IFERROR(__xludf.DUMMYFUNCTION("vlookup(BB2016,importrange(""https://docs.google.com/spreadsheets/d/1d2vevQ_7D_v35q4wCQ4RpQ_IPoTwEMB9Yp6ymwlPqew/edit?gid=984458430#gid=984458430"", ""'replication success'!A:M""), 13, FAlSE)"),"abstract")</f>
        <v>abstract</v>
      </c>
      <c r="BB2016" s="61" t="str">
        <f>IFERROR(__xludf.DUMMYFUNCTION("REGEXREPLACE(G2016, ""_[a-z]{1,2}$"", """")"),"osc201558")</f>
        <v>osc201558</v>
      </c>
      <c r="BD2016" s="68" t="s">
        <v>1441</v>
      </c>
    </row>
    <row r="2017">
      <c r="A2017" s="44">
        <v>2017.0</v>
      </c>
      <c r="B2017" s="68" t="s">
        <v>152</v>
      </c>
      <c r="C2017" s="62" t="s">
        <v>115</v>
      </c>
      <c r="D2017" s="62" t="s">
        <v>153</v>
      </c>
      <c r="F2017" s="159" t="s">
        <v>12172</v>
      </c>
      <c r="G2017" s="1449" t="s">
        <v>12173</v>
      </c>
      <c r="H2017" s="159" t="s">
        <v>12183</v>
      </c>
      <c r="I2017" s="529">
        <v>45690.0</v>
      </c>
      <c r="J2017" s="1376">
        <v>45693.0</v>
      </c>
      <c r="K2017" s="159" t="s">
        <v>12184</v>
      </c>
      <c r="L2017" s="68"/>
      <c r="M2017" s="1909" t="s">
        <v>12175</v>
      </c>
      <c r="N2017" s="437" t="s">
        <v>12176</v>
      </c>
      <c r="O2017" s="156">
        <v>5.0</v>
      </c>
      <c r="P2017" s="382" t="s">
        <v>12177</v>
      </c>
      <c r="Q2017" s="52" t="str">
        <f t="array" ref="Q2017"> if(iserror(MATCH(V2017, 'File Links'!C:C, 0)), "N/A", HYPERLINK(INDEX('File Links'!B:B, MATCH(P2017, 'File Links'!C:C, 0))))</f>
        <v>https://drive.google.com/file/d/1EGlmFl81-d1oxiKpGgGytIRbyZhEQLuV/view?usp=drivesdk</v>
      </c>
      <c r="R2017" s="159" t="s">
        <v>12178</v>
      </c>
      <c r="S2017" s="437" t="s">
        <v>10720</v>
      </c>
      <c r="T2017" s="68"/>
      <c r="U2017" s="336">
        <v>1.0</v>
      </c>
      <c r="V2017" s="198" t="str">
        <f t="shared" si="120"/>
        <v>10.1126--science.aac4716.pdf</v>
      </c>
      <c r="W2017" s="159" t="s">
        <v>3570</v>
      </c>
      <c r="X2017" s="54" t="str">
        <f t="array" ref="X2017"> if(iserror(MATCH(V2017, 'File Links'!C:C, 0)), "N/A", HYPERLINK(INDEX('File Links'!B:B, MATCH(V2017, 'File Links'!C:C, 0))))</f>
        <v>https://drive.google.com/file/d/1UMAh9VGta6ExS2-Lb6GkDF4fmnI2EMeM/view?usp=drivesdk</v>
      </c>
      <c r="Y2017" s="68"/>
      <c r="Z2017" s="159" t="s">
        <v>226</v>
      </c>
      <c r="AA2017" s="159" t="s">
        <v>12185</v>
      </c>
      <c r="AB2017" s="159" t="s">
        <v>12186</v>
      </c>
      <c r="AC2017" s="159" t="s">
        <v>12187</v>
      </c>
      <c r="AD2017" s="1910" t="s">
        <v>12182</v>
      </c>
      <c r="AE2017" s="336">
        <v>16.0</v>
      </c>
      <c r="AF2017" s="156">
        <v>186.0</v>
      </c>
      <c r="AG2017" s="336">
        <v>0.03</v>
      </c>
      <c r="AH2017" s="159" t="s">
        <v>139</v>
      </c>
      <c r="AI2017" s="68" t="s">
        <v>182</v>
      </c>
      <c r="AJ2017" s="337">
        <v>0.05</v>
      </c>
      <c r="AK2017" s="57" t="s">
        <v>135</v>
      </c>
      <c r="AL2017" s="57" t="s">
        <v>186</v>
      </c>
      <c r="AM2017" s="68" t="s">
        <v>141</v>
      </c>
      <c r="AN2017" s="1058" t="s">
        <v>138</v>
      </c>
      <c r="AO2017" s="336">
        <v>280.0</v>
      </c>
      <c r="AP2017" s="336">
        <v>0.001</v>
      </c>
      <c r="AQ2017" s="159" t="s">
        <v>139</v>
      </c>
      <c r="AR2017" s="159" t="s">
        <v>813</v>
      </c>
      <c r="AS2017" s="336">
        <v>0.54</v>
      </c>
      <c r="AT2017" s="159" t="s">
        <v>172</v>
      </c>
      <c r="AU2017" s="159" t="s">
        <v>186</v>
      </c>
      <c r="AV2017" s="68" t="s">
        <v>141</v>
      </c>
      <c r="AW2017" s="435" t="s">
        <v>12188</v>
      </c>
      <c r="AX2017" s="68" t="s">
        <v>143</v>
      </c>
      <c r="AY2017" s="61" t="str">
        <f>IFERROR(__xludf.DUMMYFUNCTION("vlookup(BB2017,importrange(""https://docs.google.com/spreadsheets/d/1d2vevQ_7D_v35q4wCQ4RpQ_IPoTwEMB9Yp6ymwlPqew/edit?gid=984458430#gid=984458430"", ""'replication success'!A:K""), 11, FAlSE)"),"")</f>
        <v/>
      </c>
      <c r="AZ2017" s="61" t="str">
        <f>IFERROR(__xludf.DUMMYFUNCTION("vlookup(BB2017,importrange(""https://docs.google.com/spreadsheets/d/1d2vevQ_7D_v35q4wCQ4RpQ_IPoTwEMB9Yp6ymwlPqew/edit?gid=984458430#gid=984458430"", ""'replication success'!A:M""), 12, FAlSE)"),"")</f>
        <v/>
      </c>
      <c r="BA2017" s="61" t="str">
        <f>IFERROR(__xludf.DUMMYFUNCTION("vlookup(BB2017,importrange(""https://docs.google.com/spreadsheets/d/1d2vevQ_7D_v35q4wCQ4RpQ_IPoTwEMB9Yp6ymwlPqew/edit?gid=984458430#gid=984458430"", ""'replication success'!A:M""), 13, FAlSE)"),"abstract")</f>
        <v>abstract</v>
      </c>
      <c r="BB2017" s="61" t="str">
        <f>IFERROR(__xludf.DUMMYFUNCTION("REGEXREPLACE(G2017, ""_[a-z]{1,2}$"", """")"),"osc201558")</f>
        <v>osc201558</v>
      </c>
      <c r="BD2017" s="68" t="s">
        <v>1441</v>
      </c>
    </row>
    <row r="2018">
      <c r="A2018" s="44">
        <v>2018.0</v>
      </c>
      <c r="B2018" s="68" t="s">
        <v>152</v>
      </c>
      <c r="C2018" s="62" t="s">
        <v>115</v>
      </c>
      <c r="D2018" s="62" t="s">
        <v>1441</v>
      </c>
      <c r="F2018" s="159" t="s">
        <v>12189</v>
      </c>
      <c r="G2018" s="1449" t="s">
        <v>12190</v>
      </c>
      <c r="H2018" s="159" t="s">
        <v>12191</v>
      </c>
      <c r="I2018" s="529">
        <v>45690.0</v>
      </c>
      <c r="J2018" s="1376">
        <v>45693.0</v>
      </c>
      <c r="K2018" s="68"/>
      <c r="L2018" s="68"/>
      <c r="M2018" s="1909" t="s">
        <v>12192</v>
      </c>
      <c r="N2018" s="159" t="s">
        <v>12193</v>
      </c>
      <c r="O2018" s="336">
        <v>5.0</v>
      </c>
      <c r="P2018" s="382" t="s">
        <v>12194</v>
      </c>
      <c r="Q2018" s="52" t="str">
        <f t="array" ref="Q2018"> if(iserror(MATCH(V2018, 'File Links'!C:C, 0)), "N/A", HYPERLINK(INDEX('File Links'!B:B, MATCH(P2018, 'File Links'!C:C, 0))))</f>
        <v>https://drive.google.com/file/d/1y8mrTT7_nUvHiOOj_Est9-y7QPFPn7bM/view?usp=drivesdk</v>
      </c>
      <c r="R2018" s="159" t="s">
        <v>12195</v>
      </c>
      <c r="S2018" s="437" t="s">
        <v>10720</v>
      </c>
      <c r="T2018" s="129"/>
      <c r="U2018" s="336">
        <v>1.0</v>
      </c>
      <c r="V2018" s="198" t="str">
        <f t="shared" si="120"/>
        <v>10.1126--science.aac4716.pdf</v>
      </c>
      <c r="W2018" s="68" t="s">
        <v>3570</v>
      </c>
      <c r="X2018" s="54" t="str">
        <f t="array" ref="X2018"> if(iserror(MATCH(V2018, 'File Links'!C:C, 0)), "N/A", HYPERLINK(INDEX('File Links'!B:B, MATCH(V2018, 'File Links'!C:C, 0))))</f>
        <v>https://drive.google.com/file/d/1UMAh9VGta6ExS2-Lb6GkDF4fmnI2EMeM/view?usp=drivesdk</v>
      </c>
      <c r="Y2018" s="68"/>
      <c r="Z2018" s="68" t="s">
        <v>226</v>
      </c>
      <c r="AA2018" s="68" t="s">
        <v>12196</v>
      </c>
      <c r="AB2018" s="159" t="s">
        <v>12197</v>
      </c>
      <c r="AC2018" s="1914" t="s">
        <v>12198</v>
      </c>
      <c r="AD2018" s="68" t="s">
        <v>12199</v>
      </c>
      <c r="AE2018" s="336">
        <v>18.0</v>
      </c>
      <c r="AF2018" s="156">
        <v>153.0</v>
      </c>
      <c r="AG2018" s="336">
        <v>0.68</v>
      </c>
      <c r="AH2018" s="68" t="s">
        <v>987</v>
      </c>
      <c r="AI2018" s="68" t="s">
        <v>2812</v>
      </c>
      <c r="AJ2018" s="337">
        <v>0.001</v>
      </c>
      <c r="AK2018" s="61" t="s">
        <v>135</v>
      </c>
      <c r="AL2018" s="61" t="s">
        <v>136</v>
      </c>
      <c r="AM2018" s="68" t="s">
        <v>141</v>
      </c>
      <c r="AN2018" s="1058" t="s">
        <v>138</v>
      </c>
      <c r="AO2018" s="156">
        <v>216.0</v>
      </c>
      <c r="AP2018" s="336">
        <v>0.7</v>
      </c>
      <c r="AQ2018" s="68" t="s">
        <v>987</v>
      </c>
      <c r="AR2018" s="68" t="s">
        <v>813</v>
      </c>
      <c r="AS2018" s="336">
        <v>1.0E-4</v>
      </c>
      <c r="AT2018" s="68" t="s">
        <v>135</v>
      </c>
      <c r="AU2018" s="68" t="s">
        <v>186</v>
      </c>
      <c r="AV2018" s="68" t="s">
        <v>137</v>
      </c>
      <c r="AW2018" s="435" t="s">
        <v>12200</v>
      </c>
      <c r="AX2018" s="68" t="s">
        <v>143</v>
      </c>
      <c r="AY2018" s="61" t="str">
        <f>IFERROR(__xludf.DUMMYFUNCTION("vlookup(BB2018,importrange(""https://docs.google.com/spreadsheets/d/1d2vevQ_7D_v35q4wCQ4RpQ_IPoTwEMB9Yp6ymwlPqew/edit?gid=984458430#gid=984458430"", ""'replication success'!A:K""), 11, FAlSE)"),"")</f>
        <v/>
      </c>
      <c r="AZ2018" s="61" t="str">
        <f>IFERROR(__xludf.DUMMYFUNCTION("vlookup(BB2018,importrange(""https://docs.google.com/spreadsheets/d/1d2vevQ_7D_v35q4wCQ4RpQ_IPoTwEMB9Yp6ymwlPqew/edit?gid=984458430#gid=984458430"", ""'replication success'!A:M""), 12, FAlSE)"),"")</f>
        <v/>
      </c>
      <c r="BA2018" s="61" t="str">
        <f>IFERROR(__xludf.DUMMYFUNCTION("vlookup(BB2018,importrange(""https://docs.google.com/spreadsheets/d/1d2vevQ_7D_v35q4wCQ4RpQ_IPoTwEMB9Yp6ymwlPqew/edit?gid=984458430#gid=984458430"", ""'replication success'!A:M""), 13, FAlSE)"),"abstract")</f>
        <v>abstract</v>
      </c>
      <c r="BB2018" s="61" t="str">
        <f>IFERROR(__xludf.DUMMYFUNCTION("REGEXREPLACE(G2018, ""_[a-z]{1,2}$"", """")"),"osc201559")</f>
        <v>osc201559</v>
      </c>
      <c r="BD2018" s="68" t="s">
        <v>1441</v>
      </c>
    </row>
    <row r="2019">
      <c r="A2019" s="44">
        <v>2019.0</v>
      </c>
      <c r="B2019" s="68" t="s">
        <v>114</v>
      </c>
      <c r="C2019" s="62" t="s">
        <v>115</v>
      </c>
      <c r="D2019" s="62" t="s">
        <v>153</v>
      </c>
      <c r="F2019" s="159" t="s">
        <v>12189</v>
      </c>
      <c r="G2019" s="1449" t="s">
        <v>12190</v>
      </c>
      <c r="H2019" s="159" t="s">
        <v>153</v>
      </c>
      <c r="I2019" s="529">
        <v>45690.0</v>
      </c>
      <c r="J2019" s="1376">
        <v>45693.0</v>
      </c>
      <c r="K2019" s="159" t="s">
        <v>12201</v>
      </c>
      <c r="L2019" s="68"/>
      <c r="M2019" s="1909" t="s">
        <v>12202</v>
      </c>
      <c r="N2019" s="159" t="s">
        <v>12193</v>
      </c>
      <c r="O2019" s="156">
        <v>5.0</v>
      </c>
      <c r="P2019" s="382" t="s">
        <v>12194</v>
      </c>
      <c r="Q2019" s="52" t="str">
        <f t="array" ref="Q2019"> if(iserror(MATCH(V2019, 'File Links'!C:C, 0)), "N/A", HYPERLINK(INDEX('File Links'!B:B, MATCH(P2019, 'File Links'!C:C, 0))))</f>
        <v>https://drive.google.com/file/d/1y8mrTT7_nUvHiOOj_Est9-y7QPFPn7bM/view?usp=drivesdk</v>
      </c>
      <c r="R2019" s="159" t="s">
        <v>12195</v>
      </c>
      <c r="S2019" s="437" t="s">
        <v>10720</v>
      </c>
      <c r="T2019" s="129"/>
      <c r="U2019" s="336">
        <v>1.0</v>
      </c>
      <c r="V2019" s="198" t="str">
        <f t="shared" si="120"/>
        <v>10.1126--science.aac4716.pdf</v>
      </c>
      <c r="W2019" s="159" t="s">
        <v>3570</v>
      </c>
      <c r="X2019" s="54" t="str">
        <f t="array" ref="X2019"> if(iserror(MATCH(V2019, 'File Links'!C:C, 0)), "N/A", HYPERLINK(INDEX('File Links'!B:B, MATCH(V2019, 'File Links'!C:C, 0))))</f>
        <v>https://drive.google.com/file/d/1UMAh9VGta6ExS2-Lb6GkDF4fmnI2EMeM/view?usp=drivesdk</v>
      </c>
      <c r="Y2019" s="68"/>
      <c r="Z2019" s="159" t="s">
        <v>226</v>
      </c>
      <c r="AA2019" s="159" t="s">
        <v>12203</v>
      </c>
      <c r="AB2019" s="159" t="s">
        <v>12204</v>
      </c>
      <c r="AC2019" s="159" t="s">
        <v>12198</v>
      </c>
      <c r="AD2019" s="159" t="s">
        <v>12205</v>
      </c>
      <c r="AE2019" s="156">
        <v>18.0</v>
      </c>
      <c r="AF2019" s="156">
        <v>153.0</v>
      </c>
      <c r="AG2019" s="156">
        <v>0.68</v>
      </c>
      <c r="AH2019" s="1917" t="s">
        <v>361</v>
      </c>
      <c r="AI2019" s="159" t="s">
        <v>2812</v>
      </c>
      <c r="AJ2019" s="337">
        <v>0.001</v>
      </c>
      <c r="AK2019" s="57" t="s">
        <v>135</v>
      </c>
      <c r="AL2019" s="57" t="s">
        <v>136</v>
      </c>
      <c r="AM2019" s="68" t="s">
        <v>141</v>
      </c>
      <c r="AN2019" s="1058" t="s">
        <v>138</v>
      </c>
      <c r="AO2019" s="156">
        <v>216.0</v>
      </c>
      <c r="AP2019" s="156">
        <v>0.7</v>
      </c>
      <c r="AQ2019" s="1917" t="s">
        <v>361</v>
      </c>
      <c r="AR2019" s="159" t="s">
        <v>813</v>
      </c>
      <c r="AS2019" s="156">
        <v>1.0E-4</v>
      </c>
      <c r="AT2019" s="159" t="s">
        <v>135</v>
      </c>
      <c r="AU2019" s="159" t="s">
        <v>186</v>
      </c>
      <c r="AV2019" s="68" t="s">
        <v>137</v>
      </c>
      <c r="AW2019" s="435" t="s">
        <v>12200</v>
      </c>
      <c r="AX2019" s="1915" t="s">
        <v>151</v>
      </c>
      <c r="AY2019" s="61" t="str">
        <f>IFERROR(__xludf.DUMMYFUNCTION("vlookup(BB2019,importrange(""https://docs.google.com/spreadsheets/d/1d2vevQ_7D_v35q4wCQ4RpQ_IPoTwEMB9Yp6ymwlPqew/edit?gid=984458430#gid=984458430"", ""'replication success'!A:K""), 11, FAlSE)"),"")</f>
        <v/>
      </c>
      <c r="AZ2019" s="61" t="str">
        <f>IFERROR(__xludf.DUMMYFUNCTION("vlookup(BB2019,importrange(""https://docs.google.com/spreadsheets/d/1d2vevQ_7D_v35q4wCQ4RpQ_IPoTwEMB9Yp6ymwlPqew/edit?gid=984458430#gid=984458430"", ""'replication success'!A:M""), 12, FAlSE)"),"")</f>
        <v/>
      </c>
      <c r="BA2019" s="61" t="str">
        <f>IFERROR(__xludf.DUMMYFUNCTION("vlookup(BB2019,importrange(""https://docs.google.com/spreadsheets/d/1d2vevQ_7D_v35q4wCQ4RpQ_IPoTwEMB9Yp6ymwlPqew/edit?gid=984458430#gid=984458430"", ""'replication success'!A:M""), 13, FAlSE)"),"abstract")</f>
        <v>abstract</v>
      </c>
      <c r="BB2019" s="61" t="str">
        <f>IFERROR(__xludf.DUMMYFUNCTION("REGEXREPLACE(G2019, ""_[a-z]{1,2}$"", """")"),"osc201559")</f>
        <v>osc201559</v>
      </c>
      <c r="BD2019" s="68" t="s">
        <v>1441</v>
      </c>
    </row>
    <row r="2020">
      <c r="A2020" s="44">
        <v>2020.0</v>
      </c>
      <c r="B2020" s="68" t="s">
        <v>152</v>
      </c>
      <c r="C2020" s="62" t="s">
        <v>115</v>
      </c>
      <c r="D2020" s="62" t="s">
        <v>1441</v>
      </c>
      <c r="F2020" s="159" t="s">
        <v>12206</v>
      </c>
      <c r="G2020" s="1449" t="s">
        <v>12207</v>
      </c>
      <c r="H2020" s="159" t="s">
        <v>12208</v>
      </c>
      <c r="I2020" s="529">
        <v>45690.0</v>
      </c>
      <c r="J2020" s="1376">
        <v>45693.0</v>
      </c>
      <c r="K2020" s="68"/>
      <c r="L2020" s="68" t="s">
        <v>12209</v>
      </c>
      <c r="M2020" s="1909" t="s">
        <v>12210</v>
      </c>
      <c r="N2020" s="437" t="s">
        <v>12211</v>
      </c>
      <c r="O2020" s="336">
        <v>1.0</v>
      </c>
      <c r="P2020" s="382" t="s">
        <v>12212</v>
      </c>
      <c r="Q2020" s="52" t="str">
        <f t="array" ref="Q2020"> if(iserror(MATCH(V2020, 'File Links'!C:C, 0)), "N/A", HYPERLINK(INDEX('File Links'!B:B, MATCH(P2020, 'File Links'!C:C, 0))))</f>
        <v>https://drive.google.com/file/d/16CJXCd6Rzqik5rD_iyUPgxYh8MalzPm4/view?usp=drivesdk</v>
      </c>
      <c r="R2020" s="159" t="s">
        <v>12213</v>
      </c>
      <c r="S2020" s="437" t="s">
        <v>10720</v>
      </c>
      <c r="T2020" s="68"/>
      <c r="U2020" s="336">
        <v>1.0</v>
      </c>
      <c r="V2020" s="198" t="str">
        <f t="shared" si="120"/>
        <v>10.1126--science.aac4716.pdf</v>
      </c>
      <c r="W2020" s="68" t="s">
        <v>3570</v>
      </c>
      <c r="X2020" s="54" t="str">
        <f t="array" ref="X2020"> if(iserror(MATCH(V2020, 'File Links'!C:C, 0)), "N/A", HYPERLINK(INDEX('File Links'!B:B, MATCH(V2020, 'File Links'!C:C, 0))))</f>
        <v>https://drive.google.com/file/d/1UMAh9VGta6ExS2-Lb6GkDF4fmnI2EMeM/view?usp=drivesdk</v>
      </c>
      <c r="Y2020" s="68"/>
      <c r="Z2020" s="68" t="s">
        <v>148</v>
      </c>
      <c r="AA2020" s="68" t="s">
        <v>12214</v>
      </c>
      <c r="AB2020" s="159" t="s">
        <v>12215</v>
      </c>
      <c r="AC2020" s="159" t="s">
        <v>12216</v>
      </c>
      <c r="AD2020" s="68" t="s">
        <v>12217</v>
      </c>
      <c r="AE2020" s="336">
        <v>4.0</v>
      </c>
      <c r="AF2020" s="156">
        <v>24.0</v>
      </c>
      <c r="AG2020" s="68" t="s">
        <v>12218</v>
      </c>
      <c r="AH2020" s="68" t="s">
        <v>134</v>
      </c>
      <c r="AI2020" s="68" t="s">
        <v>850</v>
      </c>
      <c r="AJ2020" s="337">
        <v>0.002</v>
      </c>
      <c r="AK2020" s="61" t="s">
        <v>172</v>
      </c>
      <c r="AL2020" s="61" t="s">
        <v>136</v>
      </c>
      <c r="AM2020" s="68" t="s">
        <v>137</v>
      </c>
      <c r="AN2020" s="1058" t="s">
        <v>138</v>
      </c>
      <c r="AO2020" s="336">
        <v>32.0</v>
      </c>
      <c r="AP2020" s="68" t="s">
        <v>12219</v>
      </c>
      <c r="AQ2020" s="68" t="s">
        <v>134</v>
      </c>
      <c r="AR2020" s="68" t="s">
        <v>140</v>
      </c>
      <c r="AS2020" s="336">
        <v>0.023</v>
      </c>
      <c r="AT2020" s="68" t="s">
        <v>172</v>
      </c>
      <c r="AU2020" s="68" t="s">
        <v>136</v>
      </c>
      <c r="AV2020" s="68" t="s">
        <v>137</v>
      </c>
      <c r="AW2020" s="435" t="s">
        <v>12220</v>
      </c>
      <c r="AX2020" s="68" t="s">
        <v>143</v>
      </c>
      <c r="AY2020" s="61" t="str">
        <f>IFERROR(__xludf.DUMMYFUNCTION("vlookup(BB2020,importrange(""https://docs.google.com/spreadsheets/d/1d2vevQ_7D_v35q4wCQ4RpQ_IPoTwEMB9Yp6ymwlPqew/edit?gid=984458430#gid=984458430"", ""'replication success'!A:K""), 11, FAlSE)"),"")</f>
        <v/>
      </c>
      <c r="AZ2020" s="61" t="str">
        <f>IFERROR(__xludf.DUMMYFUNCTION("vlookup(BB2020,importrange(""https://docs.google.com/spreadsheets/d/1d2vevQ_7D_v35q4wCQ4RpQ_IPoTwEMB9Yp6ymwlPqew/edit?gid=984458430#gid=984458430"", ""'replication success'!A:M""), 12, FAlSE)"),"")</f>
        <v/>
      </c>
      <c r="BA2020" s="61" t="str">
        <f>IFERROR(__xludf.DUMMYFUNCTION("vlookup(BB2020,importrange(""https://docs.google.com/spreadsheets/d/1d2vevQ_7D_v35q4wCQ4RpQ_IPoTwEMB9Yp6ymwlPqew/edit?gid=984458430#gid=984458430"", ""'replication success'!A:M""), 13, FAlSE)"),"abstract")</f>
        <v>abstract</v>
      </c>
      <c r="BB2020" s="61" t="str">
        <f>IFERROR(__xludf.DUMMYFUNCTION("REGEXREPLACE(G2020, ""_[a-z]{1,2}$"", """")"),"osc20156")</f>
        <v>osc20156</v>
      </c>
      <c r="BD2020" s="68" t="s">
        <v>1441</v>
      </c>
    </row>
    <row r="2021">
      <c r="A2021" s="44">
        <v>2021.0</v>
      </c>
      <c r="B2021" s="68" t="s">
        <v>114</v>
      </c>
      <c r="C2021" s="62" t="s">
        <v>115</v>
      </c>
      <c r="D2021" s="62" t="s">
        <v>153</v>
      </c>
      <c r="F2021" s="159" t="s">
        <v>12206</v>
      </c>
      <c r="G2021" s="1449" t="s">
        <v>12207</v>
      </c>
      <c r="H2021" s="159" t="s">
        <v>153</v>
      </c>
      <c r="I2021" s="529">
        <v>45690.0</v>
      </c>
      <c r="J2021" s="1376">
        <v>45693.0</v>
      </c>
      <c r="K2021" s="159" t="s">
        <v>12221</v>
      </c>
      <c r="L2021" s="68"/>
      <c r="M2021" s="1909" t="s">
        <v>12210</v>
      </c>
      <c r="N2021" s="437" t="s">
        <v>12211</v>
      </c>
      <c r="O2021" s="156">
        <v>1.0</v>
      </c>
      <c r="P2021" s="382" t="s">
        <v>12212</v>
      </c>
      <c r="Q2021" s="52" t="str">
        <f t="array" ref="Q2021"> if(iserror(MATCH(V2021, 'File Links'!C:C, 0)), "N/A", HYPERLINK(INDEX('File Links'!B:B, MATCH(P2021, 'File Links'!C:C, 0))))</f>
        <v>https://drive.google.com/file/d/16CJXCd6Rzqik5rD_iyUPgxYh8MalzPm4/view?usp=drivesdk</v>
      </c>
      <c r="R2021" s="159" t="s">
        <v>12213</v>
      </c>
      <c r="S2021" s="437" t="s">
        <v>10720</v>
      </c>
      <c r="T2021" s="68"/>
      <c r="U2021" s="336">
        <v>1.0</v>
      </c>
      <c r="V2021" s="198" t="str">
        <f t="shared" si="120"/>
        <v>10.1126--science.aac4716.pdf</v>
      </c>
      <c r="W2021" s="159" t="s">
        <v>164</v>
      </c>
      <c r="X2021" s="54" t="str">
        <f t="array" ref="X2021"> if(iserror(MATCH(V2021, 'File Links'!C:C, 0)), "N/A", HYPERLINK(INDEX('File Links'!B:B, MATCH(V2021, 'File Links'!C:C, 0))))</f>
        <v>https://drive.google.com/file/d/1UMAh9VGta6ExS2-Lb6GkDF4fmnI2EMeM/view?usp=drivesdk</v>
      </c>
      <c r="Y2021" s="68"/>
      <c r="Z2021" s="159" t="s">
        <v>148</v>
      </c>
      <c r="AA2021" s="159" t="s">
        <v>4052</v>
      </c>
      <c r="AB2021" s="159" t="s">
        <v>12222</v>
      </c>
      <c r="AC2021" s="159" t="s">
        <v>12223</v>
      </c>
      <c r="AD2021" s="159" t="s">
        <v>12224</v>
      </c>
      <c r="AE2021" s="156">
        <v>4.0</v>
      </c>
      <c r="AF2021" s="156">
        <v>24.0</v>
      </c>
      <c r="AG2021" s="156" t="s">
        <v>12218</v>
      </c>
      <c r="AH2021" s="159" t="s">
        <v>134</v>
      </c>
      <c r="AI2021" s="159" t="s">
        <v>850</v>
      </c>
      <c r="AJ2021" s="709">
        <v>0.002</v>
      </c>
      <c r="AK2021" s="57" t="s">
        <v>172</v>
      </c>
      <c r="AL2021" s="57" t="s">
        <v>136</v>
      </c>
      <c r="AM2021" s="68" t="s">
        <v>137</v>
      </c>
      <c r="AN2021" s="1058" t="s">
        <v>138</v>
      </c>
      <c r="AO2021" s="336">
        <v>32.0</v>
      </c>
      <c r="AP2021" s="336" t="s">
        <v>12219</v>
      </c>
      <c r="AQ2021" s="159" t="s">
        <v>134</v>
      </c>
      <c r="AR2021" s="159" t="s">
        <v>140</v>
      </c>
      <c r="AS2021" s="156">
        <v>0.023</v>
      </c>
      <c r="AT2021" s="159" t="s">
        <v>172</v>
      </c>
      <c r="AU2021" s="159" t="s">
        <v>136</v>
      </c>
      <c r="AV2021" s="68" t="s">
        <v>137</v>
      </c>
      <c r="AW2021" s="435" t="s">
        <v>12220</v>
      </c>
      <c r="AX2021" s="1915" t="s">
        <v>151</v>
      </c>
      <c r="AY2021" s="61" t="str">
        <f>IFERROR(__xludf.DUMMYFUNCTION("vlookup(BB2021,importrange(""https://docs.google.com/spreadsheets/d/1d2vevQ_7D_v35q4wCQ4RpQ_IPoTwEMB9Yp6ymwlPqew/edit?gid=984458430#gid=984458430"", ""'replication success'!A:K""), 11, FAlSE)"),"")</f>
        <v/>
      </c>
      <c r="AZ2021" s="61" t="str">
        <f>IFERROR(__xludf.DUMMYFUNCTION("vlookup(BB2021,importrange(""https://docs.google.com/spreadsheets/d/1d2vevQ_7D_v35q4wCQ4RpQ_IPoTwEMB9Yp6ymwlPqew/edit?gid=984458430#gid=984458430"", ""'replication success'!A:M""), 12, FAlSE)"),"")</f>
        <v/>
      </c>
      <c r="BA2021" s="61" t="str">
        <f>IFERROR(__xludf.DUMMYFUNCTION("vlookup(BB2021,importrange(""https://docs.google.com/spreadsheets/d/1d2vevQ_7D_v35q4wCQ4RpQ_IPoTwEMB9Yp6ymwlPqew/edit?gid=984458430#gid=984458430"", ""'replication success'!A:M""), 13, FAlSE)"),"abstract")</f>
        <v>abstract</v>
      </c>
      <c r="BB2021" s="61" t="str">
        <f>IFERROR(__xludf.DUMMYFUNCTION("REGEXREPLACE(G2021, ""_[a-z]{1,2}$"", """")"),"osc20156")</f>
        <v>osc20156</v>
      </c>
      <c r="BD2021" s="68" t="s">
        <v>1441</v>
      </c>
    </row>
    <row r="2022">
      <c r="A2022" s="44">
        <v>2022.0</v>
      </c>
      <c r="B2022" s="68" t="s">
        <v>114</v>
      </c>
      <c r="C2022" s="62" t="s">
        <v>115</v>
      </c>
      <c r="D2022" s="62" t="s">
        <v>1441</v>
      </c>
      <c r="F2022" s="159" t="s">
        <v>12225</v>
      </c>
      <c r="G2022" s="1449" t="s">
        <v>12226</v>
      </c>
      <c r="H2022" s="159" t="s">
        <v>12227</v>
      </c>
      <c r="I2022" s="529">
        <v>45690.0</v>
      </c>
      <c r="J2022" s="1376">
        <v>45693.0</v>
      </c>
      <c r="K2022" s="68" t="s">
        <v>12228</v>
      </c>
      <c r="L2022" s="68"/>
      <c r="M2022" s="1909" t="s">
        <v>12229</v>
      </c>
      <c r="N2022" s="159" t="s">
        <v>12230</v>
      </c>
      <c r="O2022" s="336">
        <v>2.0</v>
      </c>
      <c r="P2022" s="382" t="s">
        <v>12231</v>
      </c>
      <c r="Q2022" s="52" t="str">
        <f t="array" ref="Q2022"> if(iserror(MATCH(V2022, 'File Links'!C:C, 0)), "N/A", HYPERLINK(INDEX('File Links'!B:B, MATCH(P2022, 'File Links'!C:C, 0))))</f>
        <v>https://drive.google.com/file/d/1FHV-u9hbFTbf5tQRw4AZBWXvlnvbsJuW/view?usp=drivesdk</v>
      </c>
      <c r="R2022" s="68" t="s">
        <v>12232</v>
      </c>
      <c r="S2022" s="437" t="s">
        <v>10720</v>
      </c>
      <c r="T2022" s="129"/>
      <c r="U2022" s="68"/>
      <c r="V2022" s="198" t="str">
        <f t="shared" si="120"/>
        <v>10.1126--science.aac4716.pdf</v>
      </c>
      <c r="W2022" s="68" t="s">
        <v>164</v>
      </c>
      <c r="X2022" s="54" t="str">
        <f t="array" ref="X2022"> if(iserror(MATCH(V2022, 'File Links'!C:C, 0)), "N/A", HYPERLINK(INDEX('File Links'!B:B, MATCH(V2022, 'File Links'!C:C, 0))))</f>
        <v>https://drive.google.com/file/d/1UMAh9VGta6ExS2-Lb6GkDF4fmnI2EMeM/view?usp=drivesdk</v>
      </c>
      <c r="Y2022" s="68"/>
      <c r="Z2022" s="68" t="s">
        <v>226</v>
      </c>
      <c r="AA2022" s="68" t="s">
        <v>12233</v>
      </c>
      <c r="AB2022" s="68" t="s">
        <v>12234</v>
      </c>
      <c r="AC2022" s="68" t="s">
        <v>12235</v>
      </c>
      <c r="AD2022" s="68" t="s">
        <v>12236</v>
      </c>
      <c r="AE2022" s="336">
        <v>7.0</v>
      </c>
      <c r="AF2022" s="336">
        <v>110.0</v>
      </c>
      <c r="AG2022" s="68" t="s">
        <v>12237</v>
      </c>
      <c r="AH2022" s="68" t="s">
        <v>134</v>
      </c>
      <c r="AI2022" s="68" t="s">
        <v>132</v>
      </c>
      <c r="AJ2022" s="337">
        <v>0.05</v>
      </c>
      <c r="AK2022" s="61" t="s">
        <v>135</v>
      </c>
      <c r="AL2022" s="61" t="s">
        <v>136</v>
      </c>
      <c r="AM2022" s="68" t="s">
        <v>137</v>
      </c>
      <c r="AN2022" s="1058" t="s">
        <v>138</v>
      </c>
      <c r="AO2022" s="336">
        <v>222.0</v>
      </c>
      <c r="AP2022" s="336">
        <v>0.01</v>
      </c>
      <c r="AQ2022" s="68" t="s">
        <v>173</v>
      </c>
      <c r="AR2022" s="68" t="s">
        <v>217</v>
      </c>
      <c r="AS2022" s="336">
        <v>0.94</v>
      </c>
      <c r="AT2022" s="68" t="s">
        <v>172</v>
      </c>
      <c r="AU2022" s="68" t="s">
        <v>136</v>
      </c>
      <c r="AV2022" s="68" t="s">
        <v>137</v>
      </c>
      <c r="AW2022" s="129" t="s">
        <v>138</v>
      </c>
      <c r="AX2022" s="68" t="s">
        <v>143</v>
      </c>
      <c r="AY2022" s="61" t="str">
        <f>IFERROR(__xludf.DUMMYFUNCTION("vlookup(BB2022,importrange(""https://docs.google.com/spreadsheets/d/1d2vevQ_7D_v35q4wCQ4RpQ_IPoTwEMB9Yp6ymwlPqew/edit?gid=984458430#gid=984458430"", ""'replication success'!A:K""), 11, FAlSE)"),"")</f>
        <v/>
      </c>
      <c r="AZ2022" s="61" t="str">
        <f>IFERROR(__xludf.DUMMYFUNCTION("vlookup(BB2022,importrange(""https://docs.google.com/spreadsheets/d/1d2vevQ_7D_v35q4wCQ4RpQ_IPoTwEMB9Yp6ymwlPqew/edit?gid=984458430#gid=984458430"", ""'replication success'!A:M""), 12, FAlSE)"),"")</f>
        <v/>
      </c>
      <c r="BA2022" s="61" t="str">
        <f>IFERROR(__xludf.DUMMYFUNCTION("vlookup(BB2022,importrange(""https://docs.google.com/spreadsheets/d/1d2vevQ_7D_v35q4wCQ4RpQ_IPoTwEMB9Yp6ymwlPqew/edit?gid=984458430#gid=984458430"", ""'replication success'!A:M""), 13, FAlSE)"),"abstract")</f>
        <v>abstract</v>
      </c>
      <c r="BB2022" s="61" t="str">
        <f>IFERROR(__xludf.DUMMYFUNCTION("REGEXREPLACE(G2022, ""_[a-z]{1,2}$"", """")"),"osc201561")</f>
        <v>osc201561</v>
      </c>
      <c r="BD2022" s="68" t="s">
        <v>1441</v>
      </c>
    </row>
    <row r="2023">
      <c r="A2023" s="44">
        <v>2023.0</v>
      </c>
      <c r="B2023" s="68" t="s">
        <v>152</v>
      </c>
      <c r="C2023" s="62" t="s">
        <v>115</v>
      </c>
      <c r="D2023" s="62" t="s">
        <v>153</v>
      </c>
      <c r="F2023" s="159" t="s">
        <v>12225</v>
      </c>
      <c r="G2023" s="1449" t="s">
        <v>12238</v>
      </c>
      <c r="H2023" s="159" t="s">
        <v>153</v>
      </c>
      <c r="I2023" s="529">
        <v>45690.0</v>
      </c>
      <c r="J2023" s="1376">
        <v>45693.0</v>
      </c>
      <c r="K2023" s="159" t="s">
        <v>12239</v>
      </c>
      <c r="L2023" s="68" t="s">
        <v>12240</v>
      </c>
      <c r="M2023" s="1909" t="s">
        <v>12229</v>
      </c>
      <c r="N2023" s="159" t="s">
        <v>12230</v>
      </c>
      <c r="O2023" s="156">
        <v>2.0</v>
      </c>
      <c r="P2023" s="382" t="s">
        <v>12231</v>
      </c>
      <c r="Q2023" s="52" t="str">
        <f t="array" ref="Q2023"> if(iserror(MATCH(V2023, 'File Links'!C:C, 0)), "N/A", HYPERLINK(INDEX('File Links'!B:B, MATCH(P2023, 'File Links'!C:C, 0))))</f>
        <v>https://drive.google.com/file/d/1FHV-u9hbFTbf5tQRw4AZBWXvlnvbsJuW/view?usp=drivesdk</v>
      </c>
      <c r="R2023" s="159" t="s">
        <v>12232</v>
      </c>
      <c r="S2023" s="437" t="s">
        <v>10720</v>
      </c>
      <c r="T2023" s="129"/>
      <c r="U2023" s="336">
        <v>1.0</v>
      </c>
      <c r="V2023" s="198" t="str">
        <f t="shared" si="120"/>
        <v>10.1126--science.aac4716.pdf</v>
      </c>
      <c r="W2023" s="159" t="s">
        <v>164</v>
      </c>
      <c r="X2023" s="54" t="str">
        <f t="array" ref="X2023"> if(iserror(MATCH(V2023, 'File Links'!C:C, 0)), "N/A", HYPERLINK(INDEX('File Links'!B:B, MATCH(V2023, 'File Links'!C:C, 0))))</f>
        <v>https://drive.google.com/file/d/1UMAh9VGta6ExS2-Lb6GkDF4fmnI2EMeM/view?usp=drivesdk</v>
      </c>
      <c r="Y2023" s="68"/>
      <c r="Z2023" s="159" t="s">
        <v>226</v>
      </c>
      <c r="AA2023" s="1910" t="s">
        <v>12233</v>
      </c>
      <c r="AB2023" s="159" t="s">
        <v>12241</v>
      </c>
      <c r="AC2023" s="159" t="s">
        <v>12242</v>
      </c>
      <c r="AD2023" s="1910" t="s">
        <v>12236</v>
      </c>
      <c r="AE2023" s="156">
        <v>7.0</v>
      </c>
      <c r="AF2023" s="156">
        <v>110.0</v>
      </c>
      <c r="AG2023" s="159" t="s">
        <v>12237</v>
      </c>
      <c r="AH2023" s="159" t="s">
        <v>134</v>
      </c>
      <c r="AI2023" s="159" t="s">
        <v>132</v>
      </c>
      <c r="AJ2023" s="337">
        <v>0.05</v>
      </c>
      <c r="AK2023" s="57" t="s">
        <v>135</v>
      </c>
      <c r="AL2023" s="57" t="s">
        <v>136</v>
      </c>
      <c r="AM2023" s="68" t="s">
        <v>137</v>
      </c>
      <c r="AN2023" s="1058" t="s">
        <v>138</v>
      </c>
      <c r="AO2023" s="156">
        <v>222.0</v>
      </c>
      <c r="AP2023" s="156">
        <v>0.01</v>
      </c>
      <c r="AQ2023" s="159" t="s">
        <v>173</v>
      </c>
      <c r="AR2023" s="159" t="s">
        <v>217</v>
      </c>
      <c r="AS2023" s="156">
        <v>0.94</v>
      </c>
      <c r="AT2023" s="159" t="s">
        <v>172</v>
      </c>
      <c r="AU2023" s="159" t="s">
        <v>136</v>
      </c>
      <c r="AV2023" s="68" t="s">
        <v>137</v>
      </c>
      <c r="AW2023" s="435" t="s">
        <v>12243</v>
      </c>
      <c r="AX2023" s="68" t="s">
        <v>143</v>
      </c>
      <c r="AY2023" s="61" t="str">
        <f>IFERROR(__xludf.DUMMYFUNCTION("vlookup(BB2023,importrange(""https://docs.google.com/spreadsheets/d/1d2vevQ_7D_v35q4wCQ4RpQ_IPoTwEMB9Yp6ymwlPqew/edit?gid=984458430#gid=984458430"", ""'replication success'!A:K""), 11, FAlSE)"),"")</f>
        <v/>
      </c>
      <c r="AZ2023" s="61" t="str">
        <f>IFERROR(__xludf.DUMMYFUNCTION("vlookup(BB2023,importrange(""https://docs.google.com/spreadsheets/d/1d2vevQ_7D_v35q4wCQ4RpQ_IPoTwEMB9Yp6ymwlPqew/edit?gid=984458430#gid=984458430"", ""'replication success'!A:M""), 12, FAlSE)"),"")</f>
        <v/>
      </c>
      <c r="BA2023" s="61" t="str">
        <f>IFERROR(__xludf.DUMMYFUNCTION("vlookup(BB2023,importrange(""https://docs.google.com/spreadsheets/d/1d2vevQ_7D_v35q4wCQ4RpQ_IPoTwEMB9Yp6ymwlPqew/edit?gid=984458430#gid=984458430"", ""'replication success'!A:M""), 13, FAlSE)"),"abstract")</f>
        <v>abstract</v>
      </c>
      <c r="BB2023" s="61" t="str">
        <f>IFERROR(__xludf.DUMMYFUNCTION("REGEXREPLACE(G2023, ""_[a-z]{1,2}$"", """")"),"osc201561")</f>
        <v>osc201561</v>
      </c>
      <c r="BD2023" s="68" t="s">
        <v>1441</v>
      </c>
    </row>
    <row r="2024">
      <c r="A2024" s="44">
        <v>2024.0</v>
      </c>
      <c r="B2024" s="68" t="s">
        <v>114</v>
      </c>
      <c r="C2024" s="62" t="s">
        <v>115</v>
      </c>
      <c r="D2024" s="62" t="s">
        <v>1441</v>
      </c>
      <c r="F2024" s="159" t="s">
        <v>12244</v>
      </c>
      <c r="G2024" s="1449" t="s">
        <v>12245</v>
      </c>
      <c r="H2024" s="159" t="s">
        <v>12246</v>
      </c>
      <c r="I2024" s="529">
        <v>45690.0</v>
      </c>
      <c r="J2024" s="1376">
        <v>45693.0</v>
      </c>
      <c r="K2024" s="68" t="s">
        <v>12247</v>
      </c>
      <c r="L2024" s="68"/>
      <c r="M2024" s="1909" t="s">
        <v>12248</v>
      </c>
      <c r="N2024" s="159" t="s">
        <v>7902</v>
      </c>
      <c r="O2024" s="336">
        <v>2.0</v>
      </c>
      <c r="P2024" s="382" t="s">
        <v>7903</v>
      </c>
      <c r="Q2024" s="52" t="str">
        <f t="array" ref="Q2024"> if(iserror(MATCH(V2024, 'File Links'!C:C, 0)), "N/A", HYPERLINK(INDEX('File Links'!B:B, MATCH(P2024, 'File Links'!C:C, 0))))</f>
        <v>https://drive.google.com/file/d/12hPE3_ROkrr-EwAg8DQR8e8OYrtwuoYT/view?usp=drivesdk</v>
      </c>
      <c r="R2024" s="159" t="s">
        <v>12249</v>
      </c>
      <c r="S2024" s="437" t="s">
        <v>10720</v>
      </c>
      <c r="T2024" s="129"/>
      <c r="U2024" s="68"/>
      <c r="V2024" s="198" t="str">
        <f t="shared" si="120"/>
        <v>10.1126--science.aac4716.pdf</v>
      </c>
      <c r="W2024" s="68" t="s">
        <v>3570</v>
      </c>
      <c r="X2024" s="54" t="str">
        <f t="array" ref="X2024"> if(iserror(MATCH(V2024, 'File Links'!C:C, 0)), "N/A", HYPERLINK(INDEX('File Links'!B:B, MATCH(V2024, 'File Links'!C:C, 0))))</f>
        <v>https://drive.google.com/file/d/1UMAh9VGta6ExS2-Lb6GkDF4fmnI2EMeM/view?usp=drivesdk</v>
      </c>
      <c r="Y2024" s="68"/>
      <c r="Z2024" s="68" t="s">
        <v>226</v>
      </c>
      <c r="AA2024" s="68" t="s">
        <v>12250</v>
      </c>
      <c r="AB2024" s="159" t="s">
        <v>12251</v>
      </c>
      <c r="AC2024" s="159" t="s">
        <v>12252</v>
      </c>
      <c r="AD2024" s="68" t="s">
        <v>12253</v>
      </c>
      <c r="AE2024" s="336">
        <v>9.0</v>
      </c>
      <c r="AF2024" s="156">
        <v>71.0</v>
      </c>
      <c r="AG2024" s="68" t="s">
        <v>7921</v>
      </c>
      <c r="AH2024" s="68" t="s">
        <v>134</v>
      </c>
      <c r="AI2024" s="68" t="s">
        <v>628</v>
      </c>
      <c r="AJ2024" s="337">
        <v>0.02</v>
      </c>
      <c r="AK2024" s="61" t="s">
        <v>135</v>
      </c>
      <c r="AL2024" s="61" t="s">
        <v>186</v>
      </c>
      <c r="AM2024" s="68" t="s">
        <v>137</v>
      </c>
      <c r="AN2024" s="1058" t="s">
        <v>138</v>
      </c>
      <c r="AO2024" s="156">
        <v>148.0</v>
      </c>
      <c r="AP2024" s="336">
        <v>0.15</v>
      </c>
      <c r="AQ2024" s="68" t="s">
        <v>173</v>
      </c>
      <c r="AR2024" s="68" t="s">
        <v>813</v>
      </c>
      <c r="AS2024" s="336">
        <v>0.37</v>
      </c>
      <c r="AT2024" s="68" t="s">
        <v>335</v>
      </c>
      <c r="AU2024" s="68" t="s">
        <v>186</v>
      </c>
      <c r="AV2024" s="68" t="s">
        <v>137</v>
      </c>
      <c r="AW2024" s="129" t="s">
        <v>138</v>
      </c>
      <c r="AX2024" s="68" t="s">
        <v>151</v>
      </c>
      <c r="AY2024" s="61" t="str">
        <f>IFERROR(__xludf.DUMMYFUNCTION("vlookup(BB2024,importrange(""https://docs.google.com/spreadsheets/d/1d2vevQ_7D_v35q4wCQ4RpQ_IPoTwEMB9Yp6ymwlPqew/edit?gid=984458430#gid=984458430"", ""'replication success'!A:K""), 11, FAlSE)"),"")</f>
        <v/>
      </c>
      <c r="AZ2024" s="61" t="str">
        <f>IFERROR(__xludf.DUMMYFUNCTION("vlookup(BB2024,importrange(""https://docs.google.com/spreadsheets/d/1d2vevQ_7D_v35q4wCQ4RpQ_IPoTwEMB9Yp6ymwlPqew/edit?gid=984458430#gid=984458430"", ""'replication success'!A:M""), 12, FAlSE)"),"")</f>
        <v/>
      </c>
      <c r="BA2024" s="61" t="str">
        <f>IFERROR(__xludf.DUMMYFUNCTION("vlookup(BB2024,importrange(""https://docs.google.com/spreadsheets/d/1d2vevQ_7D_v35q4wCQ4RpQ_IPoTwEMB9Yp6ymwlPqew/edit?gid=984458430#gid=984458430"", ""'replication success'!A:M""), 13, FAlSE)"),"abstract")</f>
        <v>abstract</v>
      </c>
      <c r="BB2024" s="61" t="str">
        <f>IFERROR(__xludf.DUMMYFUNCTION("REGEXREPLACE(G2024, ""_[a-z]{1,2}$"", """")"),"osc201563")</f>
        <v>osc201563</v>
      </c>
      <c r="BD2024" s="68" t="s">
        <v>1441</v>
      </c>
    </row>
    <row r="2025">
      <c r="A2025" s="44">
        <v>2025.0</v>
      </c>
      <c r="B2025" s="68" t="s">
        <v>152</v>
      </c>
      <c r="C2025" s="62" t="s">
        <v>115</v>
      </c>
      <c r="D2025" s="62" t="s">
        <v>153</v>
      </c>
      <c r="F2025" s="159" t="s">
        <v>12244</v>
      </c>
      <c r="G2025" s="1449" t="s">
        <v>12254</v>
      </c>
      <c r="H2025" s="159" t="s">
        <v>153</v>
      </c>
      <c r="I2025" s="529">
        <v>45690.0</v>
      </c>
      <c r="J2025" s="1376">
        <v>45693.0</v>
      </c>
      <c r="K2025" s="159" t="s">
        <v>12255</v>
      </c>
      <c r="L2025" s="68"/>
      <c r="M2025" s="1909" t="s">
        <v>12248</v>
      </c>
      <c r="N2025" s="159" t="s">
        <v>7902</v>
      </c>
      <c r="O2025" s="156">
        <v>2.0</v>
      </c>
      <c r="P2025" s="382" t="s">
        <v>7903</v>
      </c>
      <c r="Q2025" s="52" t="str">
        <f t="array" ref="Q2025"> if(iserror(MATCH(V2025, 'File Links'!C:C, 0)), "N/A", HYPERLINK(INDEX('File Links'!B:B, MATCH(P2025, 'File Links'!C:C, 0))))</f>
        <v>https://drive.google.com/file/d/12hPE3_ROkrr-EwAg8DQR8e8OYrtwuoYT/view?usp=drivesdk</v>
      </c>
      <c r="R2025" s="159" t="s">
        <v>12249</v>
      </c>
      <c r="S2025" s="437" t="s">
        <v>10720</v>
      </c>
      <c r="T2025" s="129"/>
      <c r="U2025" s="336">
        <v>1.0</v>
      </c>
      <c r="V2025" s="198" t="str">
        <f t="shared" si="120"/>
        <v>10.1126--science.aac4716.pdf</v>
      </c>
      <c r="W2025" s="159" t="s">
        <v>3570</v>
      </c>
      <c r="X2025" s="54" t="str">
        <f t="array" ref="X2025"> if(iserror(MATCH(V2025, 'File Links'!C:C, 0)), "N/A", HYPERLINK(INDEX('File Links'!B:B, MATCH(V2025, 'File Links'!C:C, 0))))</f>
        <v>https://drive.google.com/file/d/1UMAh9VGta6ExS2-Lb6GkDF4fmnI2EMeM/view?usp=drivesdk</v>
      </c>
      <c r="Y2025" s="68"/>
      <c r="Z2025" s="159" t="s">
        <v>226</v>
      </c>
      <c r="AA2025" s="159" t="s">
        <v>12250</v>
      </c>
      <c r="AB2025" s="159" t="s">
        <v>12256</v>
      </c>
      <c r="AC2025" s="159" t="s">
        <v>12257</v>
      </c>
      <c r="AD2025" s="159" t="s">
        <v>12258</v>
      </c>
      <c r="AE2025" s="156">
        <v>9.0</v>
      </c>
      <c r="AF2025" s="156">
        <v>71.0</v>
      </c>
      <c r="AG2025" s="159" t="s">
        <v>7921</v>
      </c>
      <c r="AH2025" s="159" t="s">
        <v>134</v>
      </c>
      <c r="AI2025" s="159" t="s">
        <v>628</v>
      </c>
      <c r="AJ2025" s="337">
        <v>0.02</v>
      </c>
      <c r="AK2025" s="57" t="s">
        <v>135</v>
      </c>
      <c r="AL2025" s="57" t="s">
        <v>186</v>
      </c>
      <c r="AM2025" s="68" t="s">
        <v>137</v>
      </c>
      <c r="AN2025" s="1058" t="s">
        <v>138</v>
      </c>
      <c r="AO2025" s="156">
        <v>148.0</v>
      </c>
      <c r="AP2025" s="156">
        <v>0.15</v>
      </c>
      <c r="AQ2025" s="159" t="s">
        <v>173</v>
      </c>
      <c r="AR2025" s="159" t="s">
        <v>813</v>
      </c>
      <c r="AS2025" s="156">
        <v>0.37</v>
      </c>
      <c r="AT2025" s="159" t="s">
        <v>335</v>
      </c>
      <c r="AU2025" s="159" t="s">
        <v>186</v>
      </c>
      <c r="AV2025" s="68" t="s">
        <v>137</v>
      </c>
      <c r="AW2025" s="435" t="s">
        <v>12259</v>
      </c>
      <c r="AX2025" s="68" t="s">
        <v>151</v>
      </c>
      <c r="AY2025" s="61" t="str">
        <f>IFERROR(__xludf.DUMMYFUNCTION("vlookup(BB2025,importrange(""https://docs.google.com/spreadsheets/d/1d2vevQ_7D_v35q4wCQ4RpQ_IPoTwEMB9Yp6ymwlPqew/edit?gid=984458430#gid=984458430"", ""'replication success'!A:K""), 11, FAlSE)"),"")</f>
        <v/>
      </c>
      <c r="AZ2025" s="61" t="str">
        <f>IFERROR(__xludf.DUMMYFUNCTION("vlookup(BB2025,importrange(""https://docs.google.com/spreadsheets/d/1d2vevQ_7D_v35q4wCQ4RpQ_IPoTwEMB9Yp6ymwlPqew/edit?gid=984458430#gid=984458430"", ""'replication success'!A:M""), 12, FAlSE)"),"")</f>
        <v/>
      </c>
      <c r="BA2025" s="61" t="str">
        <f>IFERROR(__xludf.DUMMYFUNCTION("vlookup(BB2025,importrange(""https://docs.google.com/spreadsheets/d/1d2vevQ_7D_v35q4wCQ4RpQ_IPoTwEMB9Yp6ymwlPqew/edit?gid=984458430#gid=984458430"", ""'replication success'!A:M""), 13, FAlSE)"),"abstract")</f>
        <v>abstract</v>
      </c>
      <c r="BB2025" s="61" t="str">
        <f>IFERROR(__xludf.DUMMYFUNCTION("REGEXREPLACE(G2025, ""_[a-z]{1,2}$"", """")"),"osc201563")</f>
        <v>osc201563</v>
      </c>
      <c r="BD2025" s="68" t="s">
        <v>1441</v>
      </c>
    </row>
    <row r="2026">
      <c r="A2026" s="44">
        <v>2026.0</v>
      </c>
      <c r="B2026" s="68" t="s">
        <v>152</v>
      </c>
      <c r="C2026" s="62" t="s">
        <v>115</v>
      </c>
      <c r="D2026" s="62" t="s">
        <v>1441</v>
      </c>
      <c r="F2026" s="159" t="s">
        <v>12260</v>
      </c>
      <c r="G2026" s="1449" t="s">
        <v>12261</v>
      </c>
      <c r="H2026" s="159" t="s">
        <v>12262</v>
      </c>
      <c r="I2026" s="529">
        <v>45690.0</v>
      </c>
      <c r="J2026" s="1376">
        <v>45693.0</v>
      </c>
      <c r="K2026" s="68"/>
      <c r="L2026" s="68"/>
      <c r="M2026" s="1909" t="s">
        <v>12263</v>
      </c>
      <c r="N2026" s="437" t="s">
        <v>12264</v>
      </c>
      <c r="O2026" s="336">
        <v>1.0</v>
      </c>
      <c r="P2026" s="382" t="s">
        <v>12265</v>
      </c>
      <c r="Q2026" s="52" t="str">
        <f t="array" ref="Q2026"> if(iserror(MATCH(V2026, 'File Links'!C:C, 0)), "N/A", HYPERLINK(INDEX('File Links'!B:B, MATCH(P2026, 'File Links'!C:C, 0))))</f>
        <v>https://drive.google.com/file/d/1TnJyaUoRrpzVV53y8GXds5wdlyuM-9mX/view?usp=drivesdk</v>
      </c>
      <c r="R2026" s="159" t="s">
        <v>12266</v>
      </c>
      <c r="S2026" s="437" t="s">
        <v>10720</v>
      </c>
      <c r="T2026" s="68"/>
      <c r="U2026" s="336">
        <v>1.0</v>
      </c>
      <c r="V2026" s="198" t="str">
        <f t="shared" si="120"/>
        <v>10.1126--science.aac4716.pdf</v>
      </c>
      <c r="W2026" s="68" t="s">
        <v>164</v>
      </c>
      <c r="X2026" s="54" t="str">
        <f t="array" ref="X2026"> if(iserror(MATCH(V2026, 'File Links'!C:C, 0)), "N/A", HYPERLINK(INDEX('File Links'!B:B, MATCH(V2026, 'File Links'!C:C, 0))))</f>
        <v>https://drive.google.com/file/d/1UMAh9VGta6ExS2-Lb6GkDF4fmnI2EMeM/view?usp=drivesdk</v>
      </c>
      <c r="Y2026" s="68"/>
      <c r="Z2026" s="68" t="s">
        <v>226</v>
      </c>
      <c r="AA2026" s="68" t="s">
        <v>12267</v>
      </c>
      <c r="AB2026" s="159" t="s">
        <v>12268</v>
      </c>
      <c r="AC2026" s="1914" t="s">
        <v>12269</v>
      </c>
      <c r="AD2026" s="68" t="s">
        <v>12270</v>
      </c>
      <c r="AE2026" s="336">
        <v>5.0</v>
      </c>
      <c r="AF2026" s="156">
        <v>82.0</v>
      </c>
      <c r="AG2026" s="68" t="s">
        <v>12271</v>
      </c>
      <c r="AH2026" s="68" t="s">
        <v>134</v>
      </c>
      <c r="AI2026" s="68" t="s">
        <v>813</v>
      </c>
      <c r="AJ2026" s="337">
        <v>1.0E-4</v>
      </c>
      <c r="AK2026" s="61" t="s">
        <v>135</v>
      </c>
      <c r="AL2026" s="61" t="s">
        <v>186</v>
      </c>
      <c r="AM2026" s="68" t="s">
        <v>141</v>
      </c>
      <c r="AN2026" s="1058" t="s">
        <v>138</v>
      </c>
      <c r="AO2026" s="336">
        <v>71.0</v>
      </c>
      <c r="AP2026" s="336">
        <v>0.0259</v>
      </c>
      <c r="AQ2026" s="68" t="s">
        <v>874</v>
      </c>
      <c r="AR2026" s="68" t="s">
        <v>813</v>
      </c>
      <c r="AS2026" s="336">
        <v>0.426</v>
      </c>
      <c r="AT2026" s="68" t="s">
        <v>172</v>
      </c>
      <c r="AU2026" s="68" t="s">
        <v>186</v>
      </c>
      <c r="AV2026" s="68" t="s">
        <v>141</v>
      </c>
      <c r="AW2026" s="435" t="s">
        <v>12272</v>
      </c>
      <c r="AX2026" s="68" t="s">
        <v>143</v>
      </c>
      <c r="AY2026" s="61" t="str">
        <f>IFERROR(__xludf.DUMMYFUNCTION("vlookup(BB2026,importrange(""https://docs.google.com/spreadsheets/d/1d2vevQ_7D_v35q4wCQ4RpQ_IPoTwEMB9Yp6ymwlPqew/edit?gid=984458430#gid=984458430"", ""'replication success'!A:K""), 11, FAlSE)"),"")</f>
        <v/>
      </c>
      <c r="AZ2026" s="61" t="str">
        <f>IFERROR(__xludf.DUMMYFUNCTION("vlookup(BB2026,importrange(""https://docs.google.com/spreadsheets/d/1d2vevQ_7D_v35q4wCQ4RpQ_IPoTwEMB9Yp6ymwlPqew/edit?gid=984458430#gid=984458430"", ""'replication success'!A:M""), 12, FAlSE)"),"")</f>
        <v/>
      </c>
      <c r="BA2026" s="61" t="str">
        <f>IFERROR(__xludf.DUMMYFUNCTION("vlookup(BB2026,importrange(""https://docs.google.com/spreadsheets/d/1d2vevQ_7D_v35q4wCQ4RpQ_IPoTwEMB9Yp6ymwlPqew/edit?gid=984458430#gid=984458430"", ""'replication success'!A:M""), 13, FAlSE)"),"abstract")</f>
        <v>abstract</v>
      </c>
      <c r="BB2026" s="61" t="str">
        <f>IFERROR(__xludf.DUMMYFUNCTION("REGEXREPLACE(G2026, ""_[a-z]{1,2}$"", """")"),"osc201564")</f>
        <v>osc201564</v>
      </c>
      <c r="BD2026" s="68" t="s">
        <v>1441</v>
      </c>
    </row>
    <row r="2027">
      <c r="A2027" s="44">
        <v>2027.0</v>
      </c>
      <c r="B2027" s="68" t="s">
        <v>114</v>
      </c>
      <c r="C2027" s="62" t="s">
        <v>115</v>
      </c>
      <c r="D2027" s="62" t="s">
        <v>153</v>
      </c>
      <c r="F2027" s="159" t="s">
        <v>12260</v>
      </c>
      <c r="G2027" s="1449" t="s">
        <v>12273</v>
      </c>
      <c r="H2027" s="159" t="s">
        <v>153</v>
      </c>
      <c r="I2027" s="529">
        <v>45690.0</v>
      </c>
      <c r="J2027" s="1376">
        <v>45693.0</v>
      </c>
      <c r="K2027" s="68" t="s">
        <v>12274</v>
      </c>
      <c r="L2027" s="68"/>
      <c r="M2027" s="1909" t="s">
        <v>12263</v>
      </c>
      <c r="N2027" s="437" t="s">
        <v>12264</v>
      </c>
      <c r="O2027" s="156">
        <v>1.0</v>
      </c>
      <c r="P2027" s="382" t="s">
        <v>12265</v>
      </c>
      <c r="Q2027" s="52" t="str">
        <f t="array" ref="Q2027"> if(iserror(MATCH(V2027, 'File Links'!C:C, 0)), "N/A", HYPERLINK(INDEX('File Links'!B:B, MATCH(P2027, 'File Links'!C:C, 0))))</f>
        <v>https://drive.google.com/file/d/1TnJyaUoRrpzVV53y8GXds5wdlyuM-9mX/view?usp=drivesdk</v>
      </c>
      <c r="R2027" s="159" t="s">
        <v>12266</v>
      </c>
      <c r="S2027" s="437" t="s">
        <v>10720</v>
      </c>
      <c r="T2027" s="68"/>
      <c r="U2027" s="336">
        <v>1.0</v>
      </c>
      <c r="V2027" s="198" t="str">
        <f t="shared" si="120"/>
        <v>10.1126--science.aac4716.pdf</v>
      </c>
      <c r="W2027" s="159" t="s">
        <v>164</v>
      </c>
      <c r="X2027" s="54" t="str">
        <f t="array" ref="X2027"> if(iserror(MATCH(V2027, 'File Links'!C:C, 0)), "N/A", HYPERLINK(INDEX('File Links'!B:B, MATCH(V2027, 'File Links'!C:C, 0))))</f>
        <v>https://drive.google.com/file/d/1UMAh9VGta6ExS2-Lb6GkDF4fmnI2EMeM/view?usp=drivesdk</v>
      </c>
      <c r="Y2027" s="68"/>
      <c r="Z2027" s="159" t="s">
        <v>226</v>
      </c>
      <c r="AA2027" s="159" t="s">
        <v>12275</v>
      </c>
      <c r="AB2027" s="159" t="s">
        <v>12276</v>
      </c>
      <c r="AC2027" s="159" t="s">
        <v>12269</v>
      </c>
      <c r="AD2027" s="159" t="s">
        <v>12277</v>
      </c>
      <c r="AE2027" s="156">
        <v>5.0</v>
      </c>
      <c r="AF2027" s="156">
        <v>82.0</v>
      </c>
      <c r="AG2027" s="156" t="s">
        <v>12271</v>
      </c>
      <c r="AH2027" s="159" t="s">
        <v>134</v>
      </c>
      <c r="AI2027" s="159" t="s">
        <v>882</v>
      </c>
      <c r="AJ2027" s="709">
        <v>1.0E-4</v>
      </c>
      <c r="AK2027" s="57" t="s">
        <v>135</v>
      </c>
      <c r="AL2027" s="57" t="s">
        <v>186</v>
      </c>
      <c r="AM2027" s="68" t="s">
        <v>141</v>
      </c>
      <c r="AN2027" s="1058" t="s">
        <v>138</v>
      </c>
      <c r="AO2027" s="336">
        <v>71.0</v>
      </c>
      <c r="AP2027" s="336">
        <v>0.0259</v>
      </c>
      <c r="AQ2027" s="1917" t="s">
        <v>139</v>
      </c>
      <c r="AR2027" s="159" t="s">
        <v>813</v>
      </c>
      <c r="AS2027" s="156">
        <v>0.426</v>
      </c>
      <c r="AT2027" s="159" t="s">
        <v>172</v>
      </c>
      <c r="AU2027" s="159" t="s">
        <v>186</v>
      </c>
      <c r="AV2027" s="68" t="s">
        <v>141</v>
      </c>
      <c r="AW2027" s="435" t="s">
        <v>12272</v>
      </c>
      <c r="AX2027" s="68" t="s">
        <v>143</v>
      </c>
      <c r="AY2027" s="61" t="str">
        <f>IFERROR(__xludf.DUMMYFUNCTION("vlookup(BB2027,importrange(""https://docs.google.com/spreadsheets/d/1d2vevQ_7D_v35q4wCQ4RpQ_IPoTwEMB9Yp6ymwlPqew/edit?gid=984458430#gid=984458430"", ""'replication success'!A:K""), 11, FAlSE)"),"")</f>
        <v/>
      </c>
      <c r="AZ2027" s="61" t="str">
        <f>IFERROR(__xludf.DUMMYFUNCTION("vlookup(BB2027,importrange(""https://docs.google.com/spreadsheets/d/1d2vevQ_7D_v35q4wCQ4RpQ_IPoTwEMB9Yp6ymwlPqew/edit?gid=984458430#gid=984458430"", ""'replication success'!A:M""), 12, FAlSE)"),"")</f>
        <v/>
      </c>
      <c r="BA2027" s="61" t="str">
        <f>IFERROR(__xludf.DUMMYFUNCTION("vlookup(BB2027,importrange(""https://docs.google.com/spreadsheets/d/1d2vevQ_7D_v35q4wCQ4RpQ_IPoTwEMB9Yp6ymwlPqew/edit?gid=984458430#gid=984458430"", ""'replication success'!A:M""), 13, FAlSE)"),"abstract")</f>
        <v>abstract</v>
      </c>
      <c r="BB2027" s="61" t="str">
        <f>IFERROR(__xludf.DUMMYFUNCTION("REGEXREPLACE(G2027, ""_[a-z]{1,2}$"", """")"),"osc201564")</f>
        <v>osc201564</v>
      </c>
      <c r="BD2027" s="68" t="s">
        <v>1441</v>
      </c>
    </row>
    <row r="2028">
      <c r="A2028" s="44">
        <v>2028.0</v>
      </c>
      <c r="B2028" s="68" t="s">
        <v>114</v>
      </c>
      <c r="C2028" s="62" t="s">
        <v>115</v>
      </c>
      <c r="D2028" s="62" t="s">
        <v>1441</v>
      </c>
      <c r="F2028" s="159" t="s">
        <v>12278</v>
      </c>
      <c r="G2028" s="1449" t="s">
        <v>12279</v>
      </c>
      <c r="H2028" s="159" t="s">
        <v>12280</v>
      </c>
      <c r="I2028" s="529">
        <v>45690.0</v>
      </c>
      <c r="J2028" s="1376">
        <v>45693.0</v>
      </c>
      <c r="K2028" s="68"/>
      <c r="L2028" s="68"/>
      <c r="M2028" s="1909" t="s">
        <v>12281</v>
      </c>
      <c r="N2028" s="159" t="s">
        <v>5728</v>
      </c>
      <c r="O2028" s="68"/>
      <c r="P2028" s="382" t="s">
        <v>12282</v>
      </c>
      <c r="Q2028" s="52" t="str">
        <f t="array" ref="Q2028"> if(iserror(MATCH(V2028, 'File Links'!C:C, 0)), "N/A", HYPERLINK(INDEX('File Links'!B:B, MATCH(P2028, 'File Links'!C:C, 0))))</f>
        <v>https://drive.google.com/file/d/1sVDcE0S8Au1V2yPyjhNJC-dbCas3mbhd/view?usp=drivesdk</v>
      </c>
      <c r="R2028" s="159" t="s">
        <v>12283</v>
      </c>
      <c r="S2028" s="437" t="s">
        <v>10720</v>
      </c>
      <c r="T2028" s="129"/>
      <c r="U2028" s="336">
        <v>1.0</v>
      </c>
      <c r="V2028" s="198" t="str">
        <f t="shared" si="120"/>
        <v>10.1126--science.aac4716.pdf</v>
      </c>
      <c r="W2028" s="68" t="s">
        <v>164</v>
      </c>
      <c r="X2028" s="54" t="str">
        <f t="array" ref="X2028"> if(iserror(MATCH(V2028, 'File Links'!C:C, 0)), "N/A", HYPERLINK(INDEX('File Links'!B:B, MATCH(V2028, 'File Links'!C:C, 0))))</f>
        <v>https://drive.google.com/file/d/1UMAh9VGta6ExS2-Lb6GkDF4fmnI2EMeM/view?usp=drivesdk</v>
      </c>
      <c r="Y2028" s="68"/>
      <c r="Z2028" s="68" t="s">
        <v>226</v>
      </c>
      <c r="AA2028" s="68" t="s">
        <v>12284</v>
      </c>
      <c r="AB2028" s="159" t="s">
        <v>12285</v>
      </c>
      <c r="AC2028" s="159" t="s">
        <v>12286</v>
      </c>
      <c r="AD2028" s="68" t="s">
        <v>12287</v>
      </c>
      <c r="AE2028" s="336">
        <v>12.0</v>
      </c>
      <c r="AF2028" s="156">
        <v>45.0</v>
      </c>
      <c r="AG2028" s="336">
        <v>0.06</v>
      </c>
      <c r="AH2028" s="68" t="s">
        <v>139</v>
      </c>
      <c r="AI2028" s="68" t="s">
        <v>612</v>
      </c>
      <c r="AJ2028" s="337">
        <v>0.01</v>
      </c>
      <c r="AK2028" s="61" t="s">
        <v>135</v>
      </c>
      <c r="AL2028" s="61" t="s">
        <v>186</v>
      </c>
      <c r="AM2028" s="68" t="s">
        <v>141</v>
      </c>
      <c r="AN2028" s="1058" t="s">
        <v>138</v>
      </c>
      <c r="AO2028" s="156">
        <v>135.0</v>
      </c>
      <c r="AP2028" s="336">
        <v>0.001</v>
      </c>
      <c r="AQ2028" s="68" t="s">
        <v>139</v>
      </c>
      <c r="AR2028" s="68" t="s">
        <v>850</v>
      </c>
      <c r="AS2028" s="336">
        <v>0.89</v>
      </c>
      <c r="AT2028" s="68" t="s">
        <v>172</v>
      </c>
      <c r="AU2028" s="68" t="s">
        <v>186</v>
      </c>
      <c r="AV2028" s="68" t="s">
        <v>141</v>
      </c>
      <c r="AW2028" s="129" t="s">
        <v>138</v>
      </c>
      <c r="AX2028" s="68" t="s">
        <v>143</v>
      </c>
      <c r="AY2028" s="61" t="str">
        <f>IFERROR(__xludf.DUMMYFUNCTION("vlookup(BB2028,importrange(""https://docs.google.com/spreadsheets/d/1d2vevQ_7D_v35q4wCQ4RpQ_IPoTwEMB9Yp6ymwlPqew/edit?gid=984458430#gid=984458430"", ""'replication success'!A:K""), 11, FAlSE)"),"")</f>
        <v/>
      </c>
      <c r="AZ2028" s="61" t="str">
        <f>IFERROR(__xludf.DUMMYFUNCTION("vlookup(BB2028,importrange(""https://docs.google.com/spreadsheets/d/1d2vevQ_7D_v35q4wCQ4RpQ_IPoTwEMB9Yp6ymwlPqew/edit?gid=984458430#gid=984458430"", ""'replication success'!A:M""), 12, FAlSE)"),"")</f>
        <v/>
      </c>
      <c r="BA2028" s="61" t="str">
        <f>IFERROR(__xludf.DUMMYFUNCTION("vlookup(BB2028,importrange(""https://docs.google.com/spreadsheets/d/1d2vevQ_7D_v35q4wCQ4RpQ_IPoTwEMB9Yp6ymwlPqew/edit?gid=984458430#gid=984458430"", ""'replication success'!A:M""), 13, FAlSE)"),"abstract")</f>
        <v>abstract</v>
      </c>
      <c r="BB2028" s="61" t="str">
        <f>IFERROR(__xludf.DUMMYFUNCTION("REGEXREPLACE(G2028, ""_[a-z]{1,2}$"", """")"),"osc201565")</f>
        <v>osc201565</v>
      </c>
      <c r="BD2028" s="68" t="s">
        <v>1441</v>
      </c>
    </row>
    <row r="2029">
      <c r="A2029" s="44">
        <v>2029.0</v>
      </c>
      <c r="B2029" s="68" t="s">
        <v>152</v>
      </c>
      <c r="C2029" s="62" t="s">
        <v>115</v>
      </c>
      <c r="D2029" s="62" t="s">
        <v>153</v>
      </c>
      <c r="F2029" s="159" t="s">
        <v>12278</v>
      </c>
      <c r="G2029" s="1449" t="s">
        <v>12288</v>
      </c>
      <c r="H2029" s="159" t="s">
        <v>153</v>
      </c>
      <c r="I2029" s="529">
        <v>45690.0</v>
      </c>
      <c r="J2029" s="1376">
        <v>45693.0</v>
      </c>
      <c r="K2029" s="159" t="s">
        <v>12289</v>
      </c>
      <c r="L2029" s="68"/>
      <c r="M2029" s="1909" t="s">
        <v>12281</v>
      </c>
      <c r="N2029" s="159" t="s">
        <v>5728</v>
      </c>
      <c r="O2029" s="156">
        <v>7.0</v>
      </c>
      <c r="P2029" s="382" t="s">
        <v>12282</v>
      </c>
      <c r="Q2029" s="52" t="str">
        <f t="array" ref="Q2029"> if(iserror(MATCH(V2029, 'File Links'!C:C, 0)), "N/A", HYPERLINK(INDEX('File Links'!B:B, MATCH(P2029, 'File Links'!C:C, 0))))</f>
        <v>https://drive.google.com/file/d/1sVDcE0S8Au1V2yPyjhNJC-dbCas3mbhd/view?usp=drivesdk</v>
      </c>
      <c r="R2029" s="159" t="s">
        <v>12283</v>
      </c>
      <c r="S2029" s="437" t="s">
        <v>10720</v>
      </c>
      <c r="T2029" s="129"/>
      <c r="U2029" s="336">
        <v>1.0</v>
      </c>
      <c r="V2029" s="198" t="str">
        <f t="shared" si="120"/>
        <v>10.1126--science.aac4716.pdf</v>
      </c>
      <c r="W2029" s="159" t="s">
        <v>164</v>
      </c>
      <c r="X2029" s="54" t="str">
        <f t="array" ref="X2029"> if(iserror(MATCH(V2029, 'File Links'!C:C, 0)), "N/A", HYPERLINK(INDEX('File Links'!B:B, MATCH(V2029, 'File Links'!C:C, 0))))</f>
        <v>https://drive.google.com/file/d/1UMAh9VGta6ExS2-Lb6GkDF4fmnI2EMeM/view?usp=drivesdk</v>
      </c>
      <c r="Y2029" s="68"/>
      <c r="Z2029" s="159" t="s">
        <v>226</v>
      </c>
      <c r="AA2029" s="159" t="s">
        <v>12290</v>
      </c>
      <c r="AB2029" s="159" t="s">
        <v>12291</v>
      </c>
      <c r="AC2029" s="159" t="s">
        <v>12292</v>
      </c>
      <c r="AD2029" s="159" t="s">
        <v>12293</v>
      </c>
      <c r="AE2029" s="156">
        <v>17.0</v>
      </c>
      <c r="AF2029" s="156">
        <v>45.0</v>
      </c>
      <c r="AG2029" s="156">
        <v>0.06</v>
      </c>
      <c r="AH2029" s="159" t="s">
        <v>139</v>
      </c>
      <c r="AI2029" s="159" t="s">
        <v>612</v>
      </c>
      <c r="AJ2029" s="337">
        <v>0.01</v>
      </c>
      <c r="AK2029" s="57" t="s">
        <v>135</v>
      </c>
      <c r="AL2029" s="57" t="s">
        <v>186</v>
      </c>
      <c r="AM2029" s="68" t="s">
        <v>141</v>
      </c>
      <c r="AN2029" s="1058" t="s">
        <v>138</v>
      </c>
      <c r="AO2029" s="156">
        <v>135.0</v>
      </c>
      <c r="AP2029" s="156">
        <v>0.001</v>
      </c>
      <c r="AQ2029" s="159" t="s">
        <v>139</v>
      </c>
      <c r="AR2029" s="159" t="s">
        <v>850</v>
      </c>
      <c r="AS2029" s="156">
        <v>0.89</v>
      </c>
      <c r="AT2029" s="159" t="s">
        <v>172</v>
      </c>
      <c r="AU2029" s="159" t="s">
        <v>186</v>
      </c>
      <c r="AV2029" s="68" t="s">
        <v>141</v>
      </c>
      <c r="AW2029" s="435" t="s">
        <v>12294</v>
      </c>
      <c r="AX2029" s="68" t="s">
        <v>143</v>
      </c>
      <c r="AY2029" s="61" t="str">
        <f>IFERROR(__xludf.DUMMYFUNCTION("vlookup(BB2029,importrange(""https://docs.google.com/spreadsheets/d/1d2vevQ_7D_v35q4wCQ4RpQ_IPoTwEMB9Yp6ymwlPqew/edit?gid=984458430#gid=984458430"", ""'replication success'!A:K""), 11, FAlSE)"),"")</f>
        <v/>
      </c>
      <c r="AZ2029" s="61" t="str">
        <f>IFERROR(__xludf.DUMMYFUNCTION("vlookup(BB2029,importrange(""https://docs.google.com/spreadsheets/d/1d2vevQ_7D_v35q4wCQ4RpQ_IPoTwEMB9Yp6ymwlPqew/edit?gid=984458430#gid=984458430"", ""'replication success'!A:M""), 12, FAlSE)"),"")</f>
        <v/>
      </c>
      <c r="BA2029" s="61" t="str">
        <f>IFERROR(__xludf.DUMMYFUNCTION("vlookup(BB2029,importrange(""https://docs.google.com/spreadsheets/d/1d2vevQ_7D_v35q4wCQ4RpQ_IPoTwEMB9Yp6ymwlPqew/edit?gid=984458430#gid=984458430"", ""'replication success'!A:M""), 13, FAlSE)"),"abstract")</f>
        <v>abstract</v>
      </c>
      <c r="BB2029" s="61" t="str">
        <f>IFERROR(__xludf.DUMMYFUNCTION("REGEXREPLACE(G2029, ""_[a-z]{1,2}$"", """")"),"osc201565")</f>
        <v>osc201565</v>
      </c>
      <c r="BD2029" s="68" t="s">
        <v>1441</v>
      </c>
    </row>
    <row r="2030">
      <c r="A2030" s="44">
        <v>2030.0</v>
      </c>
      <c r="B2030" s="68" t="s">
        <v>152</v>
      </c>
      <c r="C2030" s="62" t="s">
        <v>115</v>
      </c>
      <c r="D2030" s="62" t="s">
        <v>1441</v>
      </c>
      <c r="F2030" s="159" t="s">
        <v>12295</v>
      </c>
      <c r="G2030" s="1449" t="s">
        <v>12296</v>
      </c>
      <c r="H2030" s="159" t="s">
        <v>12297</v>
      </c>
      <c r="I2030" s="529">
        <v>45690.0</v>
      </c>
      <c r="J2030" s="1376">
        <v>45693.0</v>
      </c>
      <c r="K2030" s="594" t="s">
        <v>12298</v>
      </c>
      <c r="L2030" s="68" t="s">
        <v>12299</v>
      </c>
      <c r="M2030" s="1909" t="s">
        <v>12300</v>
      </c>
      <c r="N2030" s="437" t="s">
        <v>4311</v>
      </c>
      <c r="O2030" s="336">
        <v>6.0</v>
      </c>
      <c r="P2030" s="382" t="s">
        <v>12301</v>
      </c>
      <c r="Q2030" s="52" t="str">
        <f t="array" ref="Q2030"> if(iserror(MATCH(V2030, 'File Links'!C:C, 0)), "N/A", HYPERLINK(INDEX('File Links'!B:B, MATCH(P2030, 'File Links'!C:C, 0))))</f>
        <v>https://drive.google.com/file/d/1Gkz07e_5xnoHy7zdKAHfWY6layqbA2lX/view?usp=drivesdk</v>
      </c>
      <c r="R2030" s="68" t="s">
        <v>12302</v>
      </c>
      <c r="S2030" s="437" t="s">
        <v>10720</v>
      </c>
      <c r="T2030" s="68"/>
      <c r="U2030" s="336">
        <v>1.0</v>
      </c>
      <c r="V2030" s="198" t="str">
        <f t="shared" si="120"/>
        <v>10.1126--science.aac4716.pdf</v>
      </c>
      <c r="W2030" s="68" t="s">
        <v>164</v>
      </c>
      <c r="X2030" s="54" t="str">
        <f t="array" ref="X2030"> if(iserror(MATCH(V2030, 'File Links'!C:C, 0)), "N/A", HYPERLINK(INDEX('File Links'!B:B, MATCH(V2030, 'File Links'!C:C, 0))))</f>
        <v>https://drive.google.com/file/d/1UMAh9VGta6ExS2-Lb6GkDF4fmnI2EMeM/view?usp=drivesdk</v>
      </c>
      <c r="Y2030" s="68"/>
      <c r="Z2030" s="68" t="s">
        <v>226</v>
      </c>
      <c r="AA2030" s="68" t="s">
        <v>12303</v>
      </c>
      <c r="AB2030" s="68" t="s">
        <v>12304</v>
      </c>
      <c r="AC2030" s="1929" t="s">
        <v>12305</v>
      </c>
      <c r="AD2030" s="68" t="s">
        <v>12306</v>
      </c>
      <c r="AE2030" s="336">
        <v>10.0</v>
      </c>
      <c r="AF2030" s="336">
        <v>122.0</v>
      </c>
      <c r="AG2030" s="68" t="s">
        <v>12307</v>
      </c>
      <c r="AH2030" s="68" t="s">
        <v>134</v>
      </c>
      <c r="AI2030" s="68" t="s">
        <v>632</v>
      </c>
      <c r="AJ2030" s="337">
        <v>0.05</v>
      </c>
      <c r="AK2030" s="61" t="s">
        <v>135</v>
      </c>
      <c r="AL2030" s="61" t="s">
        <v>186</v>
      </c>
      <c r="AM2030" s="68" t="s">
        <v>137</v>
      </c>
      <c r="AN2030" s="1058" t="s">
        <v>138</v>
      </c>
      <c r="AO2030" s="336">
        <v>226.0</v>
      </c>
      <c r="AP2030" s="68" t="s">
        <v>12308</v>
      </c>
      <c r="AQ2030" s="68" t="s">
        <v>134</v>
      </c>
      <c r="AR2030" s="68" t="s">
        <v>140</v>
      </c>
      <c r="AS2030" s="336">
        <v>0.961</v>
      </c>
      <c r="AT2030" s="68" t="s">
        <v>172</v>
      </c>
      <c r="AU2030" s="68" t="s">
        <v>186</v>
      </c>
      <c r="AV2030" s="68" t="s">
        <v>137</v>
      </c>
      <c r="AW2030" s="435" t="s">
        <v>12309</v>
      </c>
      <c r="AX2030" s="68" t="s">
        <v>143</v>
      </c>
      <c r="AY2030" s="61" t="str">
        <f>IFERROR(__xludf.DUMMYFUNCTION("vlookup(BB2030,importrange(""https://docs.google.com/spreadsheets/d/1d2vevQ_7D_v35q4wCQ4RpQ_IPoTwEMB9Yp6ymwlPqew/edit?gid=984458430#gid=984458430"", ""'replication success'!A:K""), 11, FAlSE)"),"")</f>
        <v/>
      </c>
      <c r="AZ2030" s="61" t="str">
        <f>IFERROR(__xludf.DUMMYFUNCTION("vlookup(BB2030,importrange(""https://docs.google.com/spreadsheets/d/1d2vevQ_7D_v35q4wCQ4RpQ_IPoTwEMB9Yp6ymwlPqew/edit?gid=984458430#gid=984458430"", ""'replication success'!A:M""), 12, FAlSE)"),"")</f>
        <v/>
      </c>
      <c r="BA2030" s="61" t="str">
        <f>IFERROR(__xludf.DUMMYFUNCTION("vlookup(BB2030,importrange(""https://docs.google.com/spreadsheets/d/1d2vevQ_7D_v35q4wCQ4RpQ_IPoTwEMB9Yp6ymwlPqew/edit?gid=984458430#gid=984458430"", ""'replication success'!A:M""), 13, FAlSE)"),"abstract")</f>
        <v>abstract</v>
      </c>
      <c r="BB2030" s="61" t="str">
        <f>IFERROR(__xludf.DUMMYFUNCTION("REGEXREPLACE(G2030, ""_[a-z]{1,2}$"", """")"),"osc201568")</f>
        <v>osc201568</v>
      </c>
      <c r="BD2030" s="68" t="s">
        <v>1441</v>
      </c>
    </row>
    <row r="2031">
      <c r="A2031" s="44">
        <v>2031.0</v>
      </c>
      <c r="B2031" s="68" t="s">
        <v>114</v>
      </c>
      <c r="C2031" s="62" t="s">
        <v>115</v>
      </c>
      <c r="D2031" s="62" t="s">
        <v>153</v>
      </c>
      <c r="F2031" s="159" t="s">
        <v>12295</v>
      </c>
      <c r="G2031" s="1449" t="s">
        <v>12296</v>
      </c>
      <c r="H2031" s="159" t="s">
        <v>153</v>
      </c>
      <c r="I2031" s="529">
        <v>45690.0</v>
      </c>
      <c r="J2031" s="1376">
        <v>45693.0</v>
      </c>
      <c r="K2031" s="159" t="s">
        <v>12310</v>
      </c>
      <c r="L2031" s="68"/>
      <c r="M2031" s="1909" t="s">
        <v>12300</v>
      </c>
      <c r="N2031" s="437" t="s">
        <v>4311</v>
      </c>
      <c r="O2031" s="156">
        <v>6.0</v>
      </c>
      <c r="P2031" s="382" t="s">
        <v>12301</v>
      </c>
      <c r="Q2031" s="52" t="str">
        <f t="array" ref="Q2031"> if(iserror(MATCH(V2031, 'File Links'!C:C, 0)), "N/A", HYPERLINK(INDEX('File Links'!B:B, MATCH(P2031, 'File Links'!C:C, 0))))</f>
        <v>https://drive.google.com/file/d/1Gkz07e_5xnoHy7zdKAHfWY6layqbA2lX/view?usp=drivesdk</v>
      </c>
      <c r="R2031" s="159" t="s">
        <v>12302</v>
      </c>
      <c r="S2031" s="437" t="s">
        <v>10720</v>
      </c>
      <c r="T2031" s="68"/>
      <c r="U2031" s="336">
        <v>1.0</v>
      </c>
      <c r="V2031" s="198" t="str">
        <f t="shared" si="120"/>
        <v>10.1126--science.aac4716.pdf</v>
      </c>
      <c r="W2031" s="159" t="s">
        <v>164</v>
      </c>
      <c r="X2031" s="54" t="str">
        <f t="array" ref="X2031"> if(iserror(MATCH(V2031, 'File Links'!C:C, 0)), "N/A", HYPERLINK(INDEX('File Links'!B:B, MATCH(V2031, 'File Links'!C:C, 0))))</f>
        <v>https://drive.google.com/file/d/1UMAh9VGta6ExS2-Lb6GkDF4fmnI2EMeM/view?usp=drivesdk</v>
      </c>
      <c r="Y2031" s="68"/>
      <c r="Z2031" s="159" t="s">
        <v>226</v>
      </c>
      <c r="AA2031" s="159" t="s">
        <v>12311</v>
      </c>
      <c r="AB2031" s="437" t="s">
        <v>4313</v>
      </c>
      <c r="AC2031" s="437" t="s">
        <v>12305</v>
      </c>
      <c r="AD2031" s="159" t="s">
        <v>12312</v>
      </c>
      <c r="AE2031" s="156">
        <v>10.0</v>
      </c>
      <c r="AF2031" s="156">
        <v>122.0</v>
      </c>
      <c r="AG2031" s="156" t="s">
        <v>12307</v>
      </c>
      <c r="AH2031" s="159" t="s">
        <v>134</v>
      </c>
      <c r="AI2031" s="159" t="s">
        <v>632</v>
      </c>
      <c r="AJ2031" s="337">
        <v>0.05</v>
      </c>
      <c r="AK2031" s="57" t="s">
        <v>135</v>
      </c>
      <c r="AL2031" s="57" t="s">
        <v>186</v>
      </c>
      <c r="AM2031" s="68" t="s">
        <v>141</v>
      </c>
      <c r="AN2031" s="1058" t="s">
        <v>138</v>
      </c>
      <c r="AO2031" s="336">
        <v>226.0</v>
      </c>
      <c r="AP2031" s="336" t="s">
        <v>12308</v>
      </c>
      <c r="AQ2031" s="159" t="s">
        <v>134</v>
      </c>
      <c r="AR2031" s="159" t="s">
        <v>140</v>
      </c>
      <c r="AS2031" s="156">
        <v>0.961</v>
      </c>
      <c r="AT2031" s="159" t="s">
        <v>172</v>
      </c>
      <c r="AU2031" s="159" t="s">
        <v>186</v>
      </c>
      <c r="AV2031" s="68" t="s">
        <v>141</v>
      </c>
      <c r="AW2031" s="435" t="s">
        <v>12313</v>
      </c>
      <c r="AX2031" s="68" t="s">
        <v>151</v>
      </c>
      <c r="AY2031" s="61" t="str">
        <f>IFERROR(__xludf.DUMMYFUNCTION("vlookup(BB2031,importrange(""https://docs.google.com/spreadsheets/d/1d2vevQ_7D_v35q4wCQ4RpQ_IPoTwEMB9Yp6ymwlPqew/edit?gid=984458430#gid=984458430"", ""'replication success'!A:K""), 11, FAlSE)"),"")</f>
        <v/>
      </c>
      <c r="AZ2031" s="61" t="str">
        <f>IFERROR(__xludf.DUMMYFUNCTION("vlookup(BB2031,importrange(""https://docs.google.com/spreadsheets/d/1d2vevQ_7D_v35q4wCQ4RpQ_IPoTwEMB9Yp6ymwlPqew/edit?gid=984458430#gid=984458430"", ""'replication success'!A:M""), 12, FAlSE)"),"")</f>
        <v/>
      </c>
      <c r="BA2031" s="61" t="str">
        <f>IFERROR(__xludf.DUMMYFUNCTION("vlookup(BB2031,importrange(""https://docs.google.com/spreadsheets/d/1d2vevQ_7D_v35q4wCQ4RpQ_IPoTwEMB9Yp6ymwlPqew/edit?gid=984458430#gid=984458430"", ""'replication success'!A:M""), 13, FAlSE)"),"abstract")</f>
        <v>abstract</v>
      </c>
      <c r="BB2031" s="61" t="str">
        <f>IFERROR(__xludf.DUMMYFUNCTION("REGEXREPLACE(G2031, ""_[a-z]{1,2}$"", """")"),"osc201568")</f>
        <v>osc201568</v>
      </c>
      <c r="BD2031" s="68" t="s">
        <v>1441</v>
      </c>
    </row>
    <row r="2032">
      <c r="A2032" s="44">
        <v>2032.0</v>
      </c>
      <c r="B2032" s="68" t="s">
        <v>152</v>
      </c>
      <c r="C2032" s="62" t="s">
        <v>115</v>
      </c>
      <c r="D2032" s="62" t="s">
        <v>1441</v>
      </c>
      <c r="F2032" s="159" t="s">
        <v>12314</v>
      </c>
      <c r="G2032" s="1449" t="s">
        <v>12315</v>
      </c>
      <c r="H2032" s="159" t="s">
        <v>12316</v>
      </c>
      <c r="I2032" s="529">
        <v>45690.0</v>
      </c>
      <c r="J2032" s="1376">
        <v>45693.0</v>
      </c>
      <c r="K2032" s="68"/>
      <c r="L2032" s="129" t="s">
        <v>12317</v>
      </c>
      <c r="M2032" s="1909" t="s">
        <v>12318</v>
      </c>
      <c r="N2032" s="159" t="s">
        <v>12319</v>
      </c>
      <c r="O2032" s="336">
        <v>4.0</v>
      </c>
      <c r="P2032" s="382" t="s">
        <v>12320</v>
      </c>
      <c r="Q2032" s="52" t="str">
        <f t="array" ref="Q2032"> if(iserror(MATCH(V2032, 'File Links'!C:C, 0)), "N/A", HYPERLINK(INDEX('File Links'!B:B, MATCH(P2032, 'File Links'!C:C, 0))))</f>
        <v>https://drive.google.com/file/d/1IyaF2VJcgVfWLGGRX0Pw4RnInw7LvfCb/view?usp=drivesdk</v>
      </c>
      <c r="R2032" s="159" t="s">
        <v>12321</v>
      </c>
      <c r="S2032" s="437" t="s">
        <v>10720</v>
      </c>
      <c r="T2032" s="129"/>
      <c r="U2032" s="68"/>
      <c r="V2032" s="198" t="str">
        <f t="shared" si="120"/>
        <v>10.1126--science.aac4716.pdf</v>
      </c>
      <c r="W2032" s="68" t="s">
        <v>164</v>
      </c>
      <c r="X2032" s="54" t="str">
        <f t="array" ref="X2032"> if(iserror(MATCH(V2032, 'File Links'!C:C, 0)), "N/A", HYPERLINK(INDEX('File Links'!B:B, MATCH(V2032, 'File Links'!C:C, 0))))</f>
        <v>https://drive.google.com/file/d/1UMAh9VGta6ExS2-Lb6GkDF4fmnI2EMeM/view?usp=drivesdk</v>
      </c>
      <c r="Y2032" s="68"/>
      <c r="Z2032" s="68" t="s">
        <v>226</v>
      </c>
      <c r="AA2032" s="68" t="s">
        <v>12322</v>
      </c>
      <c r="AB2032" s="159" t="s">
        <v>12323</v>
      </c>
      <c r="AC2032" s="159" t="s">
        <v>12324</v>
      </c>
      <c r="AD2032" s="68" t="s">
        <v>12325</v>
      </c>
      <c r="AE2032" s="336">
        <v>11.0</v>
      </c>
      <c r="AF2032" s="156">
        <v>211.0</v>
      </c>
      <c r="AG2032" s="68" t="s">
        <v>12326</v>
      </c>
      <c r="AH2032" s="167" t="s">
        <v>138</v>
      </c>
      <c r="AI2032" s="68" t="s">
        <v>307</v>
      </c>
      <c r="AJ2032" s="337">
        <v>0.05</v>
      </c>
      <c r="AK2032" s="61" t="s">
        <v>135</v>
      </c>
      <c r="AL2032" s="61" t="s">
        <v>136</v>
      </c>
      <c r="AM2032" s="68" t="s">
        <v>137</v>
      </c>
      <c r="AN2032" s="1058" t="s">
        <v>138</v>
      </c>
      <c r="AO2032" s="156">
        <v>333.0</v>
      </c>
      <c r="AP2032" s="68" t="s">
        <v>12327</v>
      </c>
      <c r="AQ2032" s="129" t="s">
        <v>138</v>
      </c>
      <c r="AR2032" s="68" t="s">
        <v>813</v>
      </c>
      <c r="AS2032" s="336">
        <v>0.05</v>
      </c>
      <c r="AT2032" s="68" t="s">
        <v>172</v>
      </c>
      <c r="AU2032" s="68" t="s">
        <v>186</v>
      </c>
      <c r="AV2032" s="68" t="s">
        <v>137</v>
      </c>
      <c r="AW2032" s="1930" t="s">
        <v>12328</v>
      </c>
      <c r="AX2032" s="68" t="s">
        <v>143</v>
      </c>
      <c r="AY2032" s="61" t="str">
        <f>IFERROR(__xludf.DUMMYFUNCTION("vlookup(BB2032,importrange(""https://docs.google.com/spreadsheets/d/1d2vevQ_7D_v35q4wCQ4RpQ_IPoTwEMB9Yp6ymwlPqew/edit?gid=984458430#gid=984458430"", ""'replication success'!A:K""), 11, FAlSE)"),"")</f>
        <v/>
      </c>
      <c r="AZ2032" s="61" t="str">
        <f>IFERROR(__xludf.DUMMYFUNCTION("vlookup(BB2032,importrange(""https://docs.google.com/spreadsheets/d/1d2vevQ_7D_v35q4wCQ4RpQ_IPoTwEMB9Yp6ymwlPqew/edit?gid=984458430#gid=984458430"", ""'replication success'!A:M""), 12, FAlSE)"),"")</f>
        <v/>
      </c>
      <c r="BA2032" s="61" t="str">
        <f>IFERROR(__xludf.DUMMYFUNCTION("vlookup(BB2032,importrange(""https://docs.google.com/spreadsheets/d/1d2vevQ_7D_v35q4wCQ4RpQ_IPoTwEMB9Yp6ymwlPqew/edit?gid=984458430#gid=984458430"", ""'replication success'!A:M""), 13, FAlSE)"),"abstract")</f>
        <v>abstract</v>
      </c>
      <c r="BB2032" s="61" t="str">
        <f>IFERROR(__xludf.DUMMYFUNCTION("REGEXREPLACE(G2032, ""_[a-z]{1,2}$"", """")"),"osc201569")</f>
        <v>osc201569</v>
      </c>
      <c r="BD2032" s="68" t="s">
        <v>1441</v>
      </c>
    </row>
    <row r="2033">
      <c r="A2033" s="44">
        <v>2033.0</v>
      </c>
      <c r="B2033" s="68" t="s">
        <v>114</v>
      </c>
      <c r="C2033" s="62" t="s">
        <v>115</v>
      </c>
      <c r="D2033" s="62" t="s">
        <v>153</v>
      </c>
      <c r="F2033" s="159" t="s">
        <v>12314</v>
      </c>
      <c r="G2033" s="1449" t="s">
        <v>12329</v>
      </c>
      <c r="H2033" s="159" t="s">
        <v>153</v>
      </c>
      <c r="I2033" s="529">
        <v>45690.0</v>
      </c>
      <c r="J2033" s="1376">
        <v>45693.0</v>
      </c>
      <c r="K2033" s="159" t="s">
        <v>12330</v>
      </c>
      <c r="L2033" s="68"/>
      <c r="M2033" s="1909" t="s">
        <v>12318</v>
      </c>
      <c r="N2033" s="159" t="s">
        <v>12319</v>
      </c>
      <c r="O2033" s="156">
        <v>4.0</v>
      </c>
      <c r="P2033" s="382" t="s">
        <v>12320</v>
      </c>
      <c r="Q2033" s="52" t="str">
        <f t="array" ref="Q2033"> if(iserror(MATCH(V2033, 'File Links'!C:C, 0)), "N/A", HYPERLINK(INDEX('File Links'!B:B, MATCH(P2033, 'File Links'!C:C, 0))))</f>
        <v>https://drive.google.com/file/d/1IyaF2VJcgVfWLGGRX0Pw4RnInw7LvfCb/view?usp=drivesdk</v>
      </c>
      <c r="R2033" s="159" t="s">
        <v>12321</v>
      </c>
      <c r="S2033" s="437" t="s">
        <v>10720</v>
      </c>
      <c r="T2033" s="129"/>
      <c r="U2033" s="336">
        <v>1.0</v>
      </c>
      <c r="V2033" s="198" t="str">
        <f t="shared" si="120"/>
        <v>10.1126--science.aac4716.pdf</v>
      </c>
      <c r="W2033" s="159" t="s">
        <v>164</v>
      </c>
      <c r="X2033" s="54" t="str">
        <f t="array" ref="X2033"> if(iserror(MATCH(V2033, 'File Links'!C:C, 0)), "N/A", HYPERLINK(INDEX('File Links'!B:B, MATCH(V2033, 'File Links'!C:C, 0))))</f>
        <v>https://drive.google.com/file/d/1UMAh9VGta6ExS2-Lb6GkDF4fmnI2EMeM/view?usp=drivesdk</v>
      </c>
      <c r="Y2033" s="68"/>
      <c r="Z2033" s="159" t="s">
        <v>226</v>
      </c>
      <c r="AA2033" s="159" t="s">
        <v>4723</v>
      </c>
      <c r="AB2033" s="159" t="s">
        <v>12331</v>
      </c>
      <c r="AC2033" s="159" t="s">
        <v>12332</v>
      </c>
      <c r="AD2033" s="159" t="s">
        <v>12333</v>
      </c>
      <c r="AE2033" s="1303">
        <v>11.0</v>
      </c>
      <c r="AF2033" s="156">
        <v>211.0</v>
      </c>
      <c r="AG2033" s="159" t="s">
        <v>12334</v>
      </c>
      <c r="AH2033" s="159" t="s">
        <v>134</v>
      </c>
      <c r="AI2033" s="159" t="s">
        <v>307</v>
      </c>
      <c r="AJ2033" s="337">
        <v>0.05</v>
      </c>
      <c r="AK2033" s="57" t="s">
        <v>135</v>
      </c>
      <c r="AL2033" s="57" t="s">
        <v>136</v>
      </c>
      <c r="AM2033" s="68" t="s">
        <v>137</v>
      </c>
      <c r="AN2033" s="1058" t="s">
        <v>138</v>
      </c>
      <c r="AO2033" s="156">
        <v>333.0</v>
      </c>
      <c r="AP2033" s="159" t="s">
        <v>12335</v>
      </c>
      <c r="AQ2033" s="159" t="s">
        <v>134</v>
      </c>
      <c r="AR2033" s="159" t="s">
        <v>813</v>
      </c>
      <c r="AS2033" s="156">
        <v>0.05</v>
      </c>
      <c r="AT2033" s="159" t="s">
        <v>172</v>
      </c>
      <c r="AU2033" s="159" t="s">
        <v>186</v>
      </c>
      <c r="AV2033" s="68" t="s">
        <v>137</v>
      </c>
      <c r="AW2033" s="435" t="s">
        <v>12328</v>
      </c>
      <c r="AX2033" s="68" t="s">
        <v>143</v>
      </c>
      <c r="AY2033" s="61" t="str">
        <f>IFERROR(__xludf.DUMMYFUNCTION("vlookup(BB2033,importrange(""https://docs.google.com/spreadsheets/d/1d2vevQ_7D_v35q4wCQ4RpQ_IPoTwEMB9Yp6ymwlPqew/edit?gid=984458430#gid=984458430"", ""'replication success'!A:K""), 11, FAlSE)"),"")</f>
        <v/>
      </c>
      <c r="AZ2033" s="61" t="str">
        <f>IFERROR(__xludf.DUMMYFUNCTION("vlookup(BB2033,importrange(""https://docs.google.com/spreadsheets/d/1d2vevQ_7D_v35q4wCQ4RpQ_IPoTwEMB9Yp6ymwlPqew/edit?gid=984458430#gid=984458430"", ""'replication success'!A:M""), 12, FAlSE)"),"")</f>
        <v/>
      </c>
      <c r="BA2033" s="61" t="str">
        <f>IFERROR(__xludf.DUMMYFUNCTION("vlookup(BB2033,importrange(""https://docs.google.com/spreadsheets/d/1d2vevQ_7D_v35q4wCQ4RpQ_IPoTwEMB9Yp6ymwlPqew/edit?gid=984458430#gid=984458430"", ""'replication success'!A:M""), 13, FAlSE)"),"abstract")</f>
        <v>abstract</v>
      </c>
      <c r="BB2033" s="61" t="str">
        <f>IFERROR(__xludf.DUMMYFUNCTION("REGEXREPLACE(G2033, ""_[a-z]{1,2}$"", """")"),"osc201569")</f>
        <v>osc201569</v>
      </c>
      <c r="BD2033" s="68" t="s">
        <v>1441</v>
      </c>
    </row>
    <row r="2034">
      <c r="A2034" s="44">
        <v>2034.0</v>
      </c>
      <c r="B2034" s="68" t="s">
        <v>152</v>
      </c>
      <c r="C2034" s="62" t="s">
        <v>115</v>
      </c>
      <c r="D2034" s="62" t="s">
        <v>1441</v>
      </c>
      <c r="F2034" s="159" t="s">
        <v>12336</v>
      </c>
      <c r="G2034" s="1449" t="s">
        <v>12337</v>
      </c>
      <c r="H2034" s="159" t="s">
        <v>12338</v>
      </c>
      <c r="I2034" s="529">
        <v>45690.0</v>
      </c>
      <c r="J2034" s="1376">
        <v>45693.0</v>
      </c>
      <c r="K2034" s="68" t="s">
        <v>12339</v>
      </c>
      <c r="L2034" s="68"/>
      <c r="M2034" s="1909" t="s">
        <v>12340</v>
      </c>
      <c r="N2034" s="159" t="s">
        <v>12341</v>
      </c>
      <c r="O2034" s="336">
        <v>2.0</v>
      </c>
      <c r="P2034" s="382" t="s">
        <v>12342</v>
      </c>
      <c r="Q2034" s="52" t="str">
        <f t="array" ref="Q2034"> if(iserror(MATCH(V2034, 'File Links'!C:C, 0)), "N/A", HYPERLINK(INDEX('File Links'!B:B, MATCH(P2034, 'File Links'!C:C, 0))))</f>
        <v>https://drive.google.com/file/d/11evBHOPkYEq9tia_AUJzn9cHtIQOUcWa/view?usp=drivesdk</v>
      </c>
      <c r="R2034" s="159" t="s">
        <v>12343</v>
      </c>
      <c r="S2034" s="437" t="s">
        <v>10720</v>
      </c>
      <c r="T2034" s="129"/>
      <c r="U2034" s="336">
        <v>1.0</v>
      </c>
      <c r="V2034" s="198" t="str">
        <f t="shared" si="120"/>
        <v>10.1126--science.aac4716.pdf</v>
      </c>
      <c r="W2034" s="68" t="s">
        <v>164</v>
      </c>
      <c r="X2034" s="54" t="str">
        <f t="array" ref="X2034"> if(iserror(MATCH(V2034, 'File Links'!C:C, 0)), "N/A", HYPERLINK(INDEX('File Links'!B:B, MATCH(V2034, 'File Links'!C:C, 0))))</f>
        <v>https://drive.google.com/file/d/1UMAh9VGta6ExS2-Lb6GkDF4fmnI2EMeM/view?usp=drivesdk</v>
      </c>
      <c r="Y2034" s="68"/>
      <c r="Z2034" s="68" t="s">
        <v>148</v>
      </c>
      <c r="AA2034" s="68" t="s">
        <v>12344</v>
      </c>
      <c r="AB2034" s="159" t="s">
        <v>12345</v>
      </c>
      <c r="AC2034" s="1914" t="s">
        <v>12346</v>
      </c>
      <c r="AD2034" s="68" t="s">
        <v>12347</v>
      </c>
      <c r="AE2034" s="336">
        <v>5.0</v>
      </c>
      <c r="AF2034" s="156">
        <v>100.0</v>
      </c>
      <c r="AG2034" s="68" t="s">
        <v>12348</v>
      </c>
      <c r="AH2034" s="68" t="s">
        <v>134</v>
      </c>
      <c r="AI2034" s="68" t="s">
        <v>813</v>
      </c>
      <c r="AJ2034" s="337">
        <v>0.05</v>
      </c>
      <c r="AK2034" s="61" t="s">
        <v>135</v>
      </c>
      <c r="AL2034" s="61" t="s">
        <v>218</v>
      </c>
      <c r="AM2034" s="68" t="s">
        <v>137</v>
      </c>
      <c r="AN2034" s="1058" t="s">
        <v>138</v>
      </c>
      <c r="AO2034" s="156">
        <v>15.0</v>
      </c>
      <c r="AP2034" s="68" t="s">
        <v>12349</v>
      </c>
      <c r="AQ2034" s="68" t="s">
        <v>134</v>
      </c>
      <c r="AR2034" s="68" t="s">
        <v>850</v>
      </c>
      <c r="AS2034" s="336">
        <v>0.314</v>
      </c>
      <c r="AT2034" s="68" t="s">
        <v>172</v>
      </c>
      <c r="AU2034" s="68" t="s">
        <v>218</v>
      </c>
      <c r="AV2034" s="68" t="s">
        <v>137</v>
      </c>
      <c r="AW2034" s="435" t="s">
        <v>12350</v>
      </c>
      <c r="AX2034" s="68" t="s">
        <v>143</v>
      </c>
      <c r="AY2034" s="61" t="str">
        <f>IFERROR(__xludf.DUMMYFUNCTION("vlookup(BB2034,importrange(""https://docs.google.com/spreadsheets/d/1d2vevQ_7D_v35q4wCQ4RpQ_IPoTwEMB9Yp6ymwlPqew/edit?gid=984458430#gid=984458430"", ""'replication success'!A:K""), 11, FAlSE)"),"")</f>
        <v/>
      </c>
      <c r="AZ2034" s="61" t="str">
        <f>IFERROR(__xludf.DUMMYFUNCTION("vlookup(BB2034,importrange(""https://docs.google.com/spreadsheets/d/1d2vevQ_7D_v35q4wCQ4RpQ_IPoTwEMB9Yp6ymwlPqew/edit?gid=984458430#gid=984458430"", ""'replication success'!A:M""), 12, FAlSE)"),"")</f>
        <v/>
      </c>
      <c r="BA2034" s="61" t="str">
        <f>IFERROR(__xludf.DUMMYFUNCTION("vlookup(BB2034,importrange(""https://docs.google.com/spreadsheets/d/1d2vevQ_7D_v35q4wCQ4RpQ_IPoTwEMB9Yp6ymwlPqew/edit?gid=984458430#gid=984458430"", ""'replication success'!A:M""), 13, FAlSE)"),"abstract")</f>
        <v>abstract</v>
      </c>
      <c r="BB2034" s="61" t="str">
        <f>IFERROR(__xludf.DUMMYFUNCTION("REGEXREPLACE(G2034, ""_[a-z]{1,2}$"", """")"),"osc20157")</f>
        <v>osc20157</v>
      </c>
      <c r="BD2034" s="68" t="s">
        <v>1441</v>
      </c>
    </row>
    <row r="2035">
      <c r="A2035" s="44">
        <v>2035.0</v>
      </c>
      <c r="B2035" s="68" t="s">
        <v>114</v>
      </c>
      <c r="C2035" s="62" t="s">
        <v>115</v>
      </c>
      <c r="D2035" s="62" t="s">
        <v>153</v>
      </c>
      <c r="F2035" s="159" t="s">
        <v>12336</v>
      </c>
      <c r="G2035" s="1449" t="s">
        <v>12337</v>
      </c>
      <c r="H2035" s="159" t="s">
        <v>153</v>
      </c>
      <c r="I2035" s="529">
        <v>45690.0</v>
      </c>
      <c r="J2035" s="1376">
        <v>45693.0</v>
      </c>
      <c r="K2035" s="159" t="s">
        <v>12351</v>
      </c>
      <c r="L2035" s="68" t="s">
        <v>12352</v>
      </c>
      <c r="M2035" s="1909" t="s">
        <v>12340</v>
      </c>
      <c r="N2035" s="437" t="s">
        <v>12341</v>
      </c>
      <c r="O2035" s="156">
        <v>2.0</v>
      </c>
      <c r="P2035" s="382" t="s">
        <v>12342</v>
      </c>
      <c r="Q2035" s="52" t="str">
        <f t="array" ref="Q2035"> if(iserror(MATCH(V2035, 'File Links'!C:C, 0)), "N/A", HYPERLINK(INDEX('File Links'!B:B, MATCH(P2035, 'File Links'!C:C, 0))))</f>
        <v>https://drive.google.com/file/d/11evBHOPkYEq9tia_AUJzn9cHtIQOUcWa/view?usp=drivesdk</v>
      </c>
      <c r="R2035" s="159" t="s">
        <v>12343</v>
      </c>
      <c r="S2035" s="437" t="s">
        <v>10720</v>
      </c>
      <c r="T2035" s="68"/>
      <c r="U2035" s="336">
        <v>1.0</v>
      </c>
      <c r="V2035" s="198" t="str">
        <f t="shared" si="120"/>
        <v>10.1126--science.aac4716.pdf</v>
      </c>
      <c r="W2035" s="159" t="s">
        <v>164</v>
      </c>
      <c r="X2035" s="54" t="str">
        <f t="array" ref="X2035"> if(iserror(MATCH(V2035, 'File Links'!C:C, 0)), "N/A", HYPERLINK(INDEX('File Links'!B:B, MATCH(V2035, 'File Links'!C:C, 0))))</f>
        <v>https://drive.google.com/file/d/1UMAh9VGta6ExS2-Lb6GkDF4fmnI2EMeM/view?usp=drivesdk</v>
      </c>
      <c r="Y2035" s="68"/>
      <c r="Z2035" s="159" t="s">
        <v>148</v>
      </c>
      <c r="AA2035" s="159" t="s">
        <v>5136</v>
      </c>
      <c r="AB2035" s="159" t="s">
        <v>12353</v>
      </c>
      <c r="AC2035" s="159" t="s">
        <v>12346</v>
      </c>
      <c r="AD2035" s="159" t="s">
        <v>12354</v>
      </c>
      <c r="AE2035" s="156">
        <v>5.0</v>
      </c>
      <c r="AF2035" s="156">
        <v>100.0</v>
      </c>
      <c r="AG2035" s="156" t="s">
        <v>12355</v>
      </c>
      <c r="AH2035" s="159" t="s">
        <v>134</v>
      </c>
      <c r="AI2035" s="159" t="s">
        <v>813</v>
      </c>
      <c r="AJ2035" s="709">
        <v>0.05</v>
      </c>
      <c r="AK2035" s="57" t="s">
        <v>135</v>
      </c>
      <c r="AL2035" s="57" t="s">
        <v>218</v>
      </c>
      <c r="AM2035" s="68" t="s">
        <v>137</v>
      </c>
      <c r="AN2035" s="1058" t="s">
        <v>138</v>
      </c>
      <c r="AO2035" s="336">
        <v>15.0</v>
      </c>
      <c r="AP2035" s="1931">
        <v>0.091</v>
      </c>
      <c r="AQ2035" s="481" t="s">
        <v>173</v>
      </c>
      <c r="AR2035" s="159" t="s">
        <v>850</v>
      </c>
      <c r="AS2035" s="156">
        <v>0.314</v>
      </c>
      <c r="AT2035" s="159" t="s">
        <v>172</v>
      </c>
      <c r="AU2035" s="159" t="s">
        <v>218</v>
      </c>
      <c r="AV2035" s="68" t="s">
        <v>137</v>
      </c>
      <c r="AW2035" s="435" t="s">
        <v>12356</v>
      </c>
      <c r="AX2035" s="68" t="s">
        <v>143</v>
      </c>
      <c r="AY2035" s="61" t="str">
        <f>IFERROR(__xludf.DUMMYFUNCTION("vlookup(BB2035,importrange(""https://docs.google.com/spreadsheets/d/1d2vevQ_7D_v35q4wCQ4RpQ_IPoTwEMB9Yp6ymwlPqew/edit?gid=984458430#gid=984458430"", ""'replication success'!A:K""), 11, FAlSE)"),"")</f>
        <v/>
      </c>
      <c r="AZ2035" s="61" t="str">
        <f>IFERROR(__xludf.DUMMYFUNCTION("vlookup(BB2035,importrange(""https://docs.google.com/spreadsheets/d/1d2vevQ_7D_v35q4wCQ4RpQ_IPoTwEMB9Yp6ymwlPqew/edit?gid=984458430#gid=984458430"", ""'replication success'!A:M""), 12, FAlSE)"),"")</f>
        <v/>
      </c>
      <c r="BA2035" s="61" t="str">
        <f>IFERROR(__xludf.DUMMYFUNCTION("vlookup(BB2035,importrange(""https://docs.google.com/spreadsheets/d/1d2vevQ_7D_v35q4wCQ4RpQ_IPoTwEMB9Yp6ymwlPqew/edit?gid=984458430#gid=984458430"", ""'replication success'!A:M""), 13, FAlSE)"),"abstract")</f>
        <v>abstract</v>
      </c>
      <c r="BB2035" s="61" t="str">
        <f>IFERROR(__xludf.DUMMYFUNCTION("REGEXREPLACE(G2035, ""_[a-z]{1,2}$"", """")"),"osc20157")</f>
        <v>osc20157</v>
      </c>
      <c r="BD2035" s="68" t="s">
        <v>1441</v>
      </c>
    </row>
    <row r="2036">
      <c r="A2036" s="44">
        <v>2036.0</v>
      </c>
      <c r="B2036" s="68" t="s">
        <v>114</v>
      </c>
      <c r="C2036" s="62" t="s">
        <v>115</v>
      </c>
      <c r="D2036" s="62" t="s">
        <v>1441</v>
      </c>
      <c r="F2036" s="159" t="s">
        <v>12357</v>
      </c>
      <c r="G2036" s="1449" t="s">
        <v>12358</v>
      </c>
      <c r="H2036" s="159" t="s">
        <v>12174</v>
      </c>
      <c r="I2036" s="529">
        <v>45690.0</v>
      </c>
      <c r="J2036" s="1376">
        <v>45693.0</v>
      </c>
      <c r="K2036" s="68"/>
      <c r="L2036" s="68"/>
      <c r="M2036" s="1909" t="s">
        <v>12359</v>
      </c>
      <c r="N2036" s="437" t="s">
        <v>12360</v>
      </c>
      <c r="O2036" s="336">
        <v>8.0</v>
      </c>
      <c r="P2036" s="382" t="s">
        <v>12361</v>
      </c>
      <c r="Q2036" s="52" t="str">
        <f t="array" ref="Q2036"> if(iserror(MATCH(V2036, 'File Links'!C:C, 0)), "N/A", HYPERLINK(INDEX('File Links'!B:B, MATCH(P2036, 'File Links'!C:C, 0))))</f>
        <v>https://drive.google.com/file/d/1mE5XaAsbpzpaVByGMY_Y-yHafY0h2G_x/view?usp=drivesdk</v>
      </c>
      <c r="R2036" s="159" t="s">
        <v>12362</v>
      </c>
      <c r="S2036" s="437" t="s">
        <v>10720</v>
      </c>
      <c r="T2036" s="68"/>
      <c r="U2036" s="336"/>
      <c r="V2036" s="198" t="str">
        <f t="shared" si="120"/>
        <v>10.1126--science.aac4716.pdf</v>
      </c>
      <c r="W2036" s="68" t="s">
        <v>3570</v>
      </c>
      <c r="X2036" s="54" t="str">
        <f t="array" ref="X2036"> if(iserror(MATCH(V2036, 'File Links'!C:C, 0)), "N/A", HYPERLINK(INDEX('File Links'!B:B, MATCH(V2036, 'File Links'!C:C, 0))))</f>
        <v>https://drive.google.com/file/d/1UMAh9VGta6ExS2-Lb6GkDF4fmnI2EMeM/view?usp=drivesdk</v>
      </c>
      <c r="Y2036" s="68"/>
      <c r="Z2036" s="68" t="s">
        <v>226</v>
      </c>
      <c r="AA2036" s="68" t="s">
        <v>12363</v>
      </c>
      <c r="AB2036" s="159" t="s">
        <v>12364</v>
      </c>
      <c r="AC2036" s="1914" t="s">
        <v>12365</v>
      </c>
      <c r="AD2036" s="68" t="s">
        <v>12366</v>
      </c>
      <c r="AE2036" s="336">
        <v>14.0</v>
      </c>
      <c r="AF2036" s="156">
        <v>375.0</v>
      </c>
      <c r="AG2036" s="336">
        <v>0.493</v>
      </c>
      <c r="AH2036" s="68" t="s">
        <v>173</v>
      </c>
      <c r="AI2036" s="68" t="s">
        <v>2229</v>
      </c>
      <c r="AJ2036" s="337">
        <v>0.001</v>
      </c>
      <c r="AK2036" s="61" t="s">
        <v>135</v>
      </c>
      <c r="AL2036" s="61" t="s">
        <v>136</v>
      </c>
      <c r="AM2036" s="68" t="s">
        <v>137</v>
      </c>
      <c r="AN2036" s="1058" t="s">
        <v>138</v>
      </c>
      <c r="AO2036" s="336">
        <v>177.0</v>
      </c>
      <c r="AP2036" s="336">
        <v>0.15</v>
      </c>
      <c r="AQ2036" s="68" t="s">
        <v>173</v>
      </c>
      <c r="AR2036" s="68" t="s">
        <v>217</v>
      </c>
      <c r="AS2036" s="336">
        <v>0.332</v>
      </c>
      <c r="AT2036" s="68" t="s">
        <v>172</v>
      </c>
      <c r="AU2036" s="68" t="s">
        <v>136</v>
      </c>
      <c r="AV2036" s="68" t="s">
        <v>137</v>
      </c>
      <c r="AW2036" s="435" t="s">
        <v>12367</v>
      </c>
      <c r="AX2036" s="68" t="s">
        <v>143</v>
      </c>
      <c r="AY2036" s="61" t="str">
        <f>IFERROR(__xludf.DUMMYFUNCTION("vlookup(BB2036,importrange(""https://docs.google.com/spreadsheets/d/1d2vevQ_7D_v35q4wCQ4RpQ_IPoTwEMB9Yp6ymwlPqew/edit?gid=984458430#gid=984458430"", ""'replication success'!A:K""), 11, FAlSE)"),"")</f>
        <v/>
      </c>
      <c r="AZ2036" s="61" t="str">
        <f>IFERROR(__xludf.DUMMYFUNCTION("vlookup(BB2036,importrange(""https://docs.google.com/spreadsheets/d/1d2vevQ_7D_v35q4wCQ4RpQ_IPoTwEMB9Yp6ymwlPqew/edit?gid=984458430#gid=984458430"", ""'replication success'!A:M""), 12, FAlSE)"),"")</f>
        <v/>
      </c>
      <c r="BA2036" s="61" t="str">
        <f>IFERROR(__xludf.DUMMYFUNCTION("vlookup(BB2036,importrange(""https://docs.google.com/spreadsheets/d/1d2vevQ_7D_v35q4wCQ4RpQ_IPoTwEMB9Yp6ymwlPqew/edit?gid=984458430#gid=984458430"", ""'replication success'!A:M""), 13, FAlSE)"),"abstract")</f>
        <v>abstract</v>
      </c>
      <c r="BB2036" s="61" t="str">
        <f>IFERROR(__xludf.DUMMYFUNCTION("REGEXREPLACE(G2036, ""_[a-z]{1,2}$"", """")"),"osc201571")</f>
        <v>osc201571</v>
      </c>
      <c r="BD2036" s="68" t="s">
        <v>1441</v>
      </c>
    </row>
    <row r="2037">
      <c r="A2037" s="44">
        <v>2037.0</v>
      </c>
      <c r="B2037" s="68" t="s">
        <v>152</v>
      </c>
      <c r="C2037" s="62" t="s">
        <v>115</v>
      </c>
      <c r="D2037" s="62" t="s">
        <v>153</v>
      </c>
      <c r="F2037" s="159" t="s">
        <v>12357</v>
      </c>
      <c r="G2037" s="1449" t="s">
        <v>12368</v>
      </c>
      <c r="H2037" s="159" t="s">
        <v>153</v>
      </c>
      <c r="I2037" s="529">
        <v>45690.0</v>
      </c>
      <c r="J2037" s="1376">
        <v>45693.0</v>
      </c>
      <c r="K2037" s="437" t="s">
        <v>12369</v>
      </c>
      <c r="L2037" s="68"/>
      <c r="M2037" s="1909" t="s">
        <v>12359</v>
      </c>
      <c r="N2037" s="437" t="s">
        <v>12360</v>
      </c>
      <c r="O2037" s="156">
        <v>8.0</v>
      </c>
      <c r="P2037" s="382" t="s">
        <v>12361</v>
      </c>
      <c r="Q2037" s="52" t="str">
        <f t="array" ref="Q2037"> if(iserror(MATCH(V2037, 'File Links'!C:C, 0)), "N/A", HYPERLINK(INDEX('File Links'!B:B, MATCH(P2037, 'File Links'!C:C, 0))))</f>
        <v>https://drive.google.com/file/d/1mE5XaAsbpzpaVByGMY_Y-yHafY0h2G_x/view?usp=drivesdk</v>
      </c>
      <c r="R2037" s="159" t="s">
        <v>12362</v>
      </c>
      <c r="S2037" s="437" t="s">
        <v>10720</v>
      </c>
      <c r="T2037" s="68"/>
      <c r="U2037" s="336">
        <v>1.0</v>
      </c>
      <c r="V2037" s="198" t="str">
        <f t="shared" si="120"/>
        <v>10.1126--science.aac4716.pdf</v>
      </c>
      <c r="W2037" s="159" t="s">
        <v>3570</v>
      </c>
      <c r="X2037" s="54" t="str">
        <f t="array" ref="X2037"> if(iserror(MATCH(V2037, 'File Links'!C:C, 0)), "N/A", HYPERLINK(INDEX('File Links'!B:B, MATCH(V2037, 'File Links'!C:C, 0))))</f>
        <v>https://drive.google.com/file/d/1UMAh9VGta6ExS2-Lb6GkDF4fmnI2EMeM/view?usp=drivesdk</v>
      </c>
      <c r="Y2037" s="68"/>
      <c r="Z2037" s="159" t="s">
        <v>226</v>
      </c>
      <c r="AA2037" s="159" t="s">
        <v>12363</v>
      </c>
      <c r="AB2037" s="437" t="s">
        <v>12370</v>
      </c>
      <c r="AC2037" s="159" t="s">
        <v>12365</v>
      </c>
      <c r="AD2037" s="1910" t="s">
        <v>12366</v>
      </c>
      <c r="AE2037" s="156">
        <v>14.0</v>
      </c>
      <c r="AF2037" s="156">
        <v>375.0</v>
      </c>
      <c r="AG2037" s="156">
        <v>0.493</v>
      </c>
      <c r="AH2037" s="159" t="s">
        <v>173</v>
      </c>
      <c r="AI2037" s="159" t="s">
        <v>2229</v>
      </c>
      <c r="AJ2037" s="337">
        <v>0.001</v>
      </c>
      <c r="AK2037" s="57" t="s">
        <v>135</v>
      </c>
      <c r="AL2037" s="57" t="s">
        <v>136</v>
      </c>
      <c r="AM2037" s="68" t="s">
        <v>137</v>
      </c>
      <c r="AN2037" s="1058" t="s">
        <v>138</v>
      </c>
      <c r="AO2037" s="336">
        <v>177.0</v>
      </c>
      <c r="AP2037" s="336">
        <v>0.15</v>
      </c>
      <c r="AQ2037" s="159" t="s">
        <v>173</v>
      </c>
      <c r="AR2037" s="68"/>
      <c r="AS2037" s="156">
        <v>0.332</v>
      </c>
      <c r="AT2037" s="159" t="s">
        <v>172</v>
      </c>
      <c r="AU2037" s="159" t="s">
        <v>136</v>
      </c>
      <c r="AV2037" s="68" t="s">
        <v>137</v>
      </c>
      <c r="AW2037" s="435" t="s">
        <v>12367</v>
      </c>
      <c r="AX2037" s="68" t="s">
        <v>143</v>
      </c>
      <c r="AY2037" s="61" t="str">
        <f>IFERROR(__xludf.DUMMYFUNCTION("vlookup(BB2037,importrange(""https://docs.google.com/spreadsheets/d/1d2vevQ_7D_v35q4wCQ4RpQ_IPoTwEMB9Yp6ymwlPqew/edit?gid=984458430#gid=984458430"", ""'replication success'!A:K""), 11, FAlSE)"),"")</f>
        <v/>
      </c>
      <c r="AZ2037" s="61" t="str">
        <f>IFERROR(__xludf.DUMMYFUNCTION("vlookup(BB2037,importrange(""https://docs.google.com/spreadsheets/d/1d2vevQ_7D_v35q4wCQ4RpQ_IPoTwEMB9Yp6ymwlPqew/edit?gid=984458430#gid=984458430"", ""'replication success'!A:M""), 12, FAlSE)"),"")</f>
        <v/>
      </c>
      <c r="BA2037" s="61" t="str">
        <f>IFERROR(__xludf.DUMMYFUNCTION("vlookup(BB2037,importrange(""https://docs.google.com/spreadsheets/d/1d2vevQ_7D_v35q4wCQ4RpQ_IPoTwEMB9Yp6ymwlPqew/edit?gid=984458430#gid=984458430"", ""'replication success'!A:M""), 13, FAlSE)"),"abstract")</f>
        <v>abstract</v>
      </c>
      <c r="BB2037" s="61" t="str">
        <f>IFERROR(__xludf.DUMMYFUNCTION("REGEXREPLACE(G2037, ""_[a-z]{1,2}$"", """")"),"osc201571")</f>
        <v>osc201571</v>
      </c>
      <c r="BD2037" s="68" t="s">
        <v>1441</v>
      </c>
    </row>
    <row r="2038">
      <c r="A2038" s="44">
        <v>2038.0</v>
      </c>
      <c r="B2038" s="68" t="s">
        <v>152</v>
      </c>
      <c r="C2038" s="62" t="s">
        <v>115</v>
      </c>
      <c r="D2038" s="62" t="s">
        <v>1441</v>
      </c>
      <c r="F2038" s="159" t="s">
        <v>12371</v>
      </c>
      <c r="G2038" s="1449" t="s">
        <v>12372</v>
      </c>
      <c r="H2038" s="159" t="s">
        <v>12373</v>
      </c>
      <c r="I2038" s="529">
        <v>45690.0</v>
      </c>
      <c r="J2038" s="1376">
        <v>45693.0</v>
      </c>
      <c r="K2038" s="1914" t="s">
        <v>12374</v>
      </c>
      <c r="L2038" s="68"/>
      <c r="M2038" s="1909" t="s">
        <v>12375</v>
      </c>
      <c r="N2038" s="159" t="s">
        <v>3917</v>
      </c>
      <c r="O2038" s="68" t="s">
        <v>12376</v>
      </c>
      <c r="P2038" s="382" t="s">
        <v>12377</v>
      </c>
      <c r="Q2038" s="52" t="str">
        <f t="array" ref="Q2038"> if(iserror(MATCH(V2038, 'File Links'!C:C, 0)), "N/A", HYPERLINK(INDEX('File Links'!B:B, MATCH(P2038, 'File Links'!C:C, 0))))</f>
        <v>https://drive.google.com/file/d/1UKyZSyadeWWKlD03-UFjhlFvSy-jY0H-/view?usp=drivesdk</v>
      </c>
      <c r="R2038" s="159" t="s">
        <v>12378</v>
      </c>
      <c r="S2038" s="437" t="s">
        <v>10720</v>
      </c>
      <c r="T2038" s="129"/>
      <c r="U2038" s="336">
        <v>1.0</v>
      </c>
      <c r="V2038" s="198" t="str">
        <f t="shared" si="120"/>
        <v>10.1126--science.aac4716.pdf</v>
      </c>
      <c r="W2038" s="68" t="s">
        <v>164</v>
      </c>
      <c r="X2038" s="54" t="str">
        <f t="array" ref="X2038"> if(iserror(MATCH(V2038, 'File Links'!C:C, 0)), "N/A", HYPERLINK(INDEX('File Links'!B:B, MATCH(V2038, 'File Links'!C:C, 0))))</f>
        <v>https://drive.google.com/file/d/1UMAh9VGta6ExS2-Lb6GkDF4fmnI2EMeM/view?usp=drivesdk</v>
      </c>
      <c r="Y2038" s="68"/>
      <c r="Z2038" s="68" t="s">
        <v>226</v>
      </c>
      <c r="AA2038" s="68" t="s">
        <v>12379</v>
      </c>
      <c r="AB2038" s="159" t="s">
        <v>12380</v>
      </c>
      <c r="AC2038" s="1925" t="s">
        <v>12381</v>
      </c>
      <c r="AD2038" s="68" t="s">
        <v>12382</v>
      </c>
      <c r="AE2038" s="336">
        <v>13.0</v>
      </c>
      <c r="AF2038" s="156">
        <v>261.0</v>
      </c>
      <c r="AG2038" s="68" t="s">
        <v>3928</v>
      </c>
      <c r="AH2038" s="68" t="s">
        <v>134</v>
      </c>
      <c r="AI2038" s="68" t="s">
        <v>436</v>
      </c>
      <c r="AJ2038" s="337">
        <v>0.002</v>
      </c>
      <c r="AK2038" s="61" t="s">
        <v>172</v>
      </c>
      <c r="AL2038" s="61" t="s">
        <v>186</v>
      </c>
      <c r="AM2038" s="68" t="s">
        <v>141</v>
      </c>
      <c r="AN2038" s="1058" t="s">
        <v>138</v>
      </c>
      <c r="AO2038" s="156">
        <v>251.0</v>
      </c>
      <c r="AP2038" s="336">
        <v>0.002</v>
      </c>
      <c r="AQ2038" s="68" t="s">
        <v>874</v>
      </c>
      <c r="AR2038" s="68" t="s">
        <v>850</v>
      </c>
      <c r="AS2038" s="336">
        <v>0.49</v>
      </c>
      <c r="AT2038" s="68" t="s">
        <v>172</v>
      </c>
      <c r="AU2038" s="68" t="s">
        <v>186</v>
      </c>
      <c r="AV2038" s="68" t="s">
        <v>141</v>
      </c>
      <c r="AW2038" s="435" t="s">
        <v>12383</v>
      </c>
      <c r="AX2038" s="68" t="s">
        <v>143</v>
      </c>
      <c r="AY2038" s="61" t="str">
        <f>IFERROR(__xludf.DUMMYFUNCTION("vlookup(BB2038,importrange(""https://docs.google.com/spreadsheets/d/1d2vevQ_7D_v35q4wCQ4RpQ_IPoTwEMB9Yp6ymwlPqew/edit?gid=984458430#gid=984458430"", ""'replication success'!A:K""), 11, FAlSE)"),"")</f>
        <v/>
      </c>
      <c r="AZ2038" s="61" t="str">
        <f>IFERROR(__xludf.DUMMYFUNCTION("vlookup(BB2038,importrange(""https://docs.google.com/spreadsheets/d/1d2vevQ_7D_v35q4wCQ4RpQ_IPoTwEMB9Yp6ymwlPqew/edit?gid=984458430#gid=984458430"", ""'replication success'!A:M""), 12, FAlSE)"),"")</f>
        <v/>
      </c>
      <c r="BA2038" s="61" t="str">
        <f>IFERROR(__xludf.DUMMYFUNCTION("vlookup(BB2038,importrange(""https://docs.google.com/spreadsheets/d/1d2vevQ_7D_v35q4wCQ4RpQ_IPoTwEMB9Yp6ymwlPqew/edit?gid=984458430#gid=984458430"", ""'replication success'!A:M""), 13, FAlSE)"),"abstract")</f>
        <v>abstract</v>
      </c>
      <c r="BB2038" s="61" t="str">
        <f>IFERROR(__xludf.DUMMYFUNCTION("REGEXREPLACE(G2038, ""_[a-z]{1,2}$"", """")"),"osc201572")</f>
        <v>osc201572</v>
      </c>
      <c r="BD2038" s="68" t="s">
        <v>1441</v>
      </c>
    </row>
    <row r="2039">
      <c r="A2039" s="44">
        <v>2039.0</v>
      </c>
      <c r="B2039" s="68" t="s">
        <v>114</v>
      </c>
      <c r="C2039" s="62" t="s">
        <v>115</v>
      </c>
      <c r="D2039" s="62" t="s">
        <v>153</v>
      </c>
      <c r="F2039" s="159" t="s">
        <v>12371</v>
      </c>
      <c r="G2039" s="1449" t="s">
        <v>12384</v>
      </c>
      <c r="H2039" s="159" t="s">
        <v>153</v>
      </c>
      <c r="I2039" s="529">
        <v>45690.0</v>
      </c>
      <c r="J2039" s="1376">
        <v>45693.0</v>
      </c>
      <c r="K2039" s="159" t="s">
        <v>12374</v>
      </c>
      <c r="L2039" s="68"/>
      <c r="M2039" s="1909" t="s">
        <v>12375</v>
      </c>
      <c r="N2039" s="159" t="s">
        <v>3917</v>
      </c>
      <c r="O2039" s="159" t="s">
        <v>12376</v>
      </c>
      <c r="P2039" s="382" t="s">
        <v>12377</v>
      </c>
      <c r="Q2039" s="52" t="str">
        <f t="array" ref="Q2039"> if(iserror(MATCH(V2039, 'File Links'!C:C, 0)), "N/A", HYPERLINK(INDEX('File Links'!B:B, MATCH(P2039, 'File Links'!C:C, 0))))</f>
        <v>https://drive.google.com/file/d/1UKyZSyadeWWKlD03-UFjhlFvSy-jY0H-/view?usp=drivesdk</v>
      </c>
      <c r="R2039" s="159" t="s">
        <v>12378</v>
      </c>
      <c r="S2039" s="437" t="s">
        <v>10720</v>
      </c>
      <c r="T2039" s="129"/>
      <c r="U2039" s="336">
        <v>1.0</v>
      </c>
      <c r="V2039" s="198" t="str">
        <f t="shared" si="120"/>
        <v>10.1126--science.aac4716.pdf</v>
      </c>
      <c r="W2039" s="159" t="s">
        <v>164</v>
      </c>
      <c r="X2039" s="54" t="str">
        <f t="array" ref="X2039"> if(iserror(MATCH(V2039, 'File Links'!C:C, 0)), "N/A", HYPERLINK(INDEX('File Links'!B:B, MATCH(V2039, 'File Links'!C:C, 0))))</f>
        <v>https://drive.google.com/file/d/1UMAh9VGta6ExS2-Lb6GkDF4fmnI2EMeM/view?usp=drivesdk</v>
      </c>
      <c r="Y2039" s="68"/>
      <c r="Z2039" s="159" t="s">
        <v>226</v>
      </c>
      <c r="AA2039" s="159" t="s">
        <v>3924</v>
      </c>
      <c r="AB2039" s="159" t="s">
        <v>12385</v>
      </c>
      <c r="AC2039" s="159" t="s">
        <v>12381</v>
      </c>
      <c r="AD2039" s="159" t="s">
        <v>12386</v>
      </c>
      <c r="AE2039" s="156">
        <v>14.0</v>
      </c>
      <c r="AF2039" s="156">
        <v>261.0</v>
      </c>
      <c r="AG2039" s="159" t="s">
        <v>3928</v>
      </c>
      <c r="AH2039" s="159" t="s">
        <v>134</v>
      </c>
      <c r="AI2039" s="159" t="s">
        <v>2229</v>
      </c>
      <c r="AJ2039" s="337">
        <v>0.002</v>
      </c>
      <c r="AK2039" s="57" t="s">
        <v>172</v>
      </c>
      <c r="AL2039" s="57" t="s">
        <v>186</v>
      </c>
      <c r="AM2039" s="68" t="s">
        <v>141</v>
      </c>
      <c r="AN2039" s="1058" t="s">
        <v>138</v>
      </c>
      <c r="AO2039" s="156">
        <v>251.0</v>
      </c>
      <c r="AP2039" s="156">
        <v>0.002</v>
      </c>
      <c r="AQ2039" s="1917" t="s">
        <v>139</v>
      </c>
      <c r="AR2039" s="159" t="s">
        <v>850</v>
      </c>
      <c r="AS2039" s="156">
        <v>0.49</v>
      </c>
      <c r="AT2039" s="159" t="s">
        <v>172</v>
      </c>
      <c r="AU2039" s="159" t="s">
        <v>186</v>
      </c>
      <c r="AV2039" s="68" t="s">
        <v>141</v>
      </c>
      <c r="AW2039" s="435" t="s">
        <v>12387</v>
      </c>
      <c r="AX2039" s="68" t="s">
        <v>143</v>
      </c>
      <c r="AY2039" s="61" t="str">
        <f>IFERROR(__xludf.DUMMYFUNCTION("vlookup(BB2039,importrange(""https://docs.google.com/spreadsheets/d/1d2vevQ_7D_v35q4wCQ4RpQ_IPoTwEMB9Yp6ymwlPqew/edit?gid=984458430#gid=984458430"", ""'replication success'!A:K""), 11, FAlSE)"),"")</f>
        <v/>
      </c>
      <c r="AZ2039" s="61" t="str">
        <f>IFERROR(__xludf.DUMMYFUNCTION("vlookup(BB2039,importrange(""https://docs.google.com/spreadsheets/d/1d2vevQ_7D_v35q4wCQ4RpQ_IPoTwEMB9Yp6ymwlPqew/edit?gid=984458430#gid=984458430"", ""'replication success'!A:M""), 12, FAlSE)"),"")</f>
        <v/>
      </c>
      <c r="BA2039" s="61" t="str">
        <f>IFERROR(__xludf.DUMMYFUNCTION("vlookup(BB2039,importrange(""https://docs.google.com/spreadsheets/d/1d2vevQ_7D_v35q4wCQ4RpQ_IPoTwEMB9Yp6ymwlPqew/edit?gid=984458430#gid=984458430"", ""'replication success'!A:M""), 13, FAlSE)"),"abstract")</f>
        <v>abstract</v>
      </c>
      <c r="BB2039" s="61" t="str">
        <f>IFERROR(__xludf.DUMMYFUNCTION("REGEXREPLACE(G2039, ""_[a-z]{1,2}$"", """")"),"osc201572")</f>
        <v>osc201572</v>
      </c>
      <c r="BD2039" s="68" t="s">
        <v>1441</v>
      </c>
    </row>
    <row r="2040">
      <c r="A2040" s="44">
        <v>2040.0</v>
      </c>
      <c r="B2040" s="68" t="s">
        <v>114</v>
      </c>
      <c r="C2040" s="62" t="s">
        <v>115</v>
      </c>
      <c r="D2040" s="62" t="s">
        <v>1441</v>
      </c>
      <c r="F2040" s="159" t="s">
        <v>12388</v>
      </c>
      <c r="G2040" s="1449" t="s">
        <v>12389</v>
      </c>
      <c r="H2040" s="159" t="s">
        <v>12390</v>
      </c>
      <c r="I2040" s="529">
        <v>45690.0</v>
      </c>
      <c r="J2040" s="1376">
        <v>45693.0</v>
      </c>
      <c r="K2040" s="68" t="s">
        <v>12391</v>
      </c>
      <c r="L2040" s="68"/>
      <c r="M2040" s="1909" t="s">
        <v>12392</v>
      </c>
      <c r="N2040" s="437" t="s">
        <v>12393</v>
      </c>
      <c r="O2040" s="336">
        <v>3.0</v>
      </c>
      <c r="P2040" s="382" t="s">
        <v>12394</v>
      </c>
      <c r="Q2040" s="52" t="str">
        <f t="array" ref="Q2040"> if(iserror(MATCH(V2040, 'File Links'!C:C, 0)), "N/A", HYPERLINK(INDEX('File Links'!B:B, MATCH(P2040, 'File Links'!C:C, 0))))</f>
        <v>https://drive.google.com/file/d/1n-xkjkrGpKzc0Ew4FDfG-BXhbw4Koezu/view?usp=drivesdk</v>
      </c>
      <c r="R2040" s="68" t="s">
        <v>12395</v>
      </c>
      <c r="S2040" s="437" t="s">
        <v>10720</v>
      </c>
      <c r="T2040" s="68"/>
      <c r="U2040" s="336"/>
      <c r="V2040" s="198" t="str">
        <f t="shared" si="120"/>
        <v>10.1126--science.aac4716.pdf</v>
      </c>
      <c r="W2040" s="68" t="s">
        <v>164</v>
      </c>
      <c r="X2040" s="54" t="str">
        <f t="array" ref="X2040"> if(iserror(MATCH(V2040, 'File Links'!C:C, 0)), "N/A", HYPERLINK(INDEX('File Links'!B:B, MATCH(V2040, 'File Links'!C:C, 0))))</f>
        <v>https://drive.google.com/file/d/1UMAh9VGta6ExS2-Lb6GkDF4fmnI2EMeM/view?usp=drivesdk</v>
      </c>
      <c r="Y2040" s="68"/>
      <c r="Z2040" s="68" t="s">
        <v>226</v>
      </c>
      <c r="AA2040" s="68" t="s">
        <v>12396</v>
      </c>
      <c r="AB2040" s="159" t="s">
        <v>12397</v>
      </c>
      <c r="AC2040" s="159" t="s">
        <v>12398</v>
      </c>
      <c r="AD2040" s="68" t="s">
        <v>12399</v>
      </c>
      <c r="AE2040" s="336">
        <v>9.0</v>
      </c>
      <c r="AF2040" s="156">
        <v>37.0</v>
      </c>
      <c r="AG2040" s="68" t="s">
        <v>12400</v>
      </c>
      <c r="AH2040" s="68" t="s">
        <v>134</v>
      </c>
      <c r="AI2040" s="68" t="s">
        <v>628</v>
      </c>
      <c r="AJ2040" s="337">
        <v>0.05</v>
      </c>
      <c r="AK2040" s="61" t="s">
        <v>135</v>
      </c>
      <c r="AL2040" s="61" t="s">
        <v>186</v>
      </c>
      <c r="AM2040" s="68" t="s">
        <v>137</v>
      </c>
      <c r="AN2040" s="1058" t="s">
        <v>138</v>
      </c>
      <c r="AO2040" s="336">
        <v>120.0</v>
      </c>
      <c r="AP2040" s="336">
        <v>0.2</v>
      </c>
      <c r="AQ2040" s="68" t="s">
        <v>7792</v>
      </c>
      <c r="AR2040" s="68" t="s">
        <v>882</v>
      </c>
      <c r="AS2040" s="336">
        <v>0.028</v>
      </c>
      <c r="AT2040" s="68" t="s">
        <v>172</v>
      </c>
      <c r="AU2040" s="68" t="s">
        <v>186</v>
      </c>
      <c r="AV2040" s="68" t="s">
        <v>137</v>
      </c>
      <c r="AW2040" s="129" t="s">
        <v>138</v>
      </c>
      <c r="AX2040" s="68" t="s">
        <v>143</v>
      </c>
      <c r="AY2040" s="61" t="str">
        <f>IFERROR(__xludf.DUMMYFUNCTION("vlookup(BB2040,importrange(""https://docs.google.com/spreadsheets/d/1d2vevQ_7D_v35q4wCQ4RpQ_IPoTwEMB9Yp6ymwlPqew/edit?gid=984458430#gid=984458430"", ""'replication success'!A:K""), 11, FAlSE)"),"")</f>
        <v/>
      </c>
      <c r="AZ2040" s="61" t="str">
        <f>IFERROR(__xludf.DUMMYFUNCTION("vlookup(BB2040,importrange(""https://docs.google.com/spreadsheets/d/1d2vevQ_7D_v35q4wCQ4RpQ_IPoTwEMB9Yp6ymwlPqew/edit?gid=984458430#gid=984458430"", ""'replication success'!A:M""), 12, FAlSE)"),"")</f>
        <v/>
      </c>
      <c r="BA2040" s="61" t="str">
        <f>IFERROR(__xludf.DUMMYFUNCTION("vlookup(BB2040,importrange(""https://docs.google.com/spreadsheets/d/1d2vevQ_7D_v35q4wCQ4RpQ_IPoTwEMB9Yp6ymwlPqew/edit?gid=984458430#gid=984458430"", ""'replication success'!A:M""), 13, FAlSE)"),"abstract")</f>
        <v>abstract</v>
      </c>
      <c r="BB2040" s="61" t="str">
        <f>IFERROR(__xludf.DUMMYFUNCTION("REGEXREPLACE(G2040, ""_[a-z]{1,2}$"", """")"),"osc201573")</f>
        <v>osc201573</v>
      </c>
      <c r="BD2040" s="68" t="s">
        <v>1441</v>
      </c>
    </row>
    <row r="2041">
      <c r="A2041" s="44">
        <v>2041.0</v>
      </c>
      <c r="B2041" s="68" t="s">
        <v>152</v>
      </c>
      <c r="C2041" s="62" t="s">
        <v>115</v>
      </c>
      <c r="D2041" s="62" t="s">
        <v>153</v>
      </c>
      <c r="F2041" s="159" t="s">
        <v>12388</v>
      </c>
      <c r="G2041" s="1449" t="s">
        <v>12389</v>
      </c>
      <c r="H2041" s="159" t="s">
        <v>153</v>
      </c>
      <c r="I2041" s="529">
        <v>45690.0</v>
      </c>
      <c r="J2041" s="1376">
        <v>45693.0</v>
      </c>
      <c r="K2041" s="159" t="s">
        <v>12401</v>
      </c>
      <c r="L2041" s="68"/>
      <c r="M2041" s="1909" t="s">
        <v>12392</v>
      </c>
      <c r="N2041" s="437" t="s">
        <v>12393</v>
      </c>
      <c r="O2041" s="156">
        <v>3.0</v>
      </c>
      <c r="P2041" s="382" t="s">
        <v>12394</v>
      </c>
      <c r="Q2041" s="52" t="str">
        <f t="array" ref="Q2041"> if(iserror(MATCH(V2041, 'File Links'!C:C, 0)), "N/A", HYPERLINK(INDEX('File Links'!B:B, MATCH(P2041, 'File Links'!C:C, 0))))</f>
        <v>https://drive.google.com/file/d/1n-xkjkrGpKzc0Ew4FDfG-BXhbw4Koezu/view?usp=drivesdk</v>
      </c>
      <c r="R2041" s="159" t="s">
        <v>12395</v>
      </c>
      <c r="S2041" s="437" t="s">
        <v>10720</v>
      </c>
      <c r="T2041" s="68"/>
      <c r="U2041" s="336">
        <v>1.0</v>
      </c>
      <c r="V2041" s="198" t="str">
        <f t="shared" si="120"/>
        <v>10.1126--science.aac4716.pdf</v>
      </c>
      <c r="W2041" s="437" t="s">
        <v>164</v>
      </c>
      <c r="X2041" s="54" t="str">
        <f t="array" ref="X2041"> if(iserror(MATCH(V2041, 'File Links'!C:C, 0)), "N/A", HYPERLINK(INDEX('File Links'!B:B, MATCH(V2041, 'File Links'!C:C, 0))))</f>
        <v>https://drive.google.com/file/d/1UMAh9VGta6ExS2-Lb6GkDF4fmnI2EMeM/view?usp=drivesdk</v>
      </c>
      <c r="Y2041" s="68"/>
      <c r="Z2041" s="159" t="s">
        <v>226</v>
      </c>
      <c r="AA2041" s="159" t="s">
        <v>12402</v>
      </c>
      <c r="AB2041" s="437" t="s">
        <v>12403</v>
      </c>
      <c r="AC2041" s="159" t="s">
        <v>12404</v>
      </c>
      <c r="AD2041" s="159" t="s">
        <v>12405</v>
      </c>
      <c r="AE2041" s="336">
        <v>9.0</v>
      </c>
      <c r="AF2041" s="336">
        <v>37.0</v>
      </c>
      <c r="AG2041" s="501" t="s">
        <v>12406</v>
      </c>
      <c r="AH2041" s="159" t="s">
        <v>134</v>
      </c>
      <c r="AI2041" s="68" t="s">
        <v>628</v>
      </c>
      <c r="AJ2041" s="337">
        <v>0.05</v>
      </c>
      <c r="AK2041" s="57" t="s">
        <v>135</v>
      </c>
      <c r="AL2041" s="57" t="s">
        <v>186</v>
      </c>
      <c r="AM2041" s="68" t="s">
        <v>137</v>
      </c>
      <c r="AN2041" s="1058" t="s">
        <v>138</v>
      </c>
      <c r="AO2041" s="336">
        <v>120.0</v>
      </c>
      <c r="AP2041" s="336">
        <v>0.2</v>
      </c>
      <c r="AQ2041" s="159" t="s">
        <v>7792</v>
      </c>
      <c r="AR2041" s="159" t="s">
        <v>813</v>
      </c>
      <c r="AS2041" s="336">
        <v>0.028</v>
      </c>
      <c r="AT2041" s="159" t="s">
        <v>172</v>
      </c>
      <c r="AU2041" s="159" t="s">
        <v>186</v>
      </c>
      <c r="AV2041" s="68" t="s">
        <v>137</v>
      </c>
      <c r="AW2041" s="435" t="s">
        <v>12407</v>
      </c>
      <c r="AX2041" s="68" t="s">
        <v>143</v>
      </c>
      <c r="AY2041" s="61" t="str">
        <f>IFERROR(__xludf.DUMMYFUNCTION("vlookup(BB2041,importrange(""https://docs.google.com/spreadsheets/d/1d2vevQ_7D_v35q4wCQ4RpQ_IPoTwEMB9Yp6ymwlPqew/edit?gid=984458430#gid=984458430"", ""'replication success'!A:K""), 11, FAlSE)"),"")</f>
        <v/>
      </c>
      <c r="AZ2041" s="61" t="str">
        <f>IFERROR(__xludf.DUMMYFUNCTION("vlookup(BB2041,importrange(""https://docs.google.com/spreadsheets/d/1d2vevQ_7D_v35q4wCQ4RpQ_IPoTwEMB9Yp6ymwlPqew/edit?gid=984458430#gid=984458430"", ""'replication success'!A:M""), 12, FAlSE)"),"")</f>
        <v/>
      </c>
      <c r="BA2041" s="61" t="str">
        <f>IFERROR(__xludf.DUMMYFUNCTION("vlookup(BB2041,importrange(""https://docs.google.com/spreadsheets/d/1d2vevQ_7D_v35q4wCQ4RpQ_IPoTwEMB9Yp6ymwlPqew/edit?gid=984458430#gid=984458430"", ""'replication success'!A:M""), 13, FAlSE)"),"abstract")</f>
        <v>abstract</v>
      </c>
      <c r="BB2041" s="61" t="str">
        <f>IFERROR(__xludf.DUMMYFUNCTION("REGEXREPLACE(G2041, ""_[a-z]{1,2}$"", """")"),"osc201573")</f>
        <v>osc201573</v>
      </c>
      <c r="BD2041" s="68" t="s">
        <v>1441</v>
      </c>
    </row>
    <row r="2042">
      <c r="A2042" s="44">
        <v>2042.0</v>
      </c>
      <c r="B2042" s="68" t="s">
        <v>152</v>
      </c>
      <c r="C2042" s="62" t="s">
        <v>115</v>
      </c>
      <c r="D2042" s="62" t="s">
        <v>1441</v>
      </c>
      <c r="F2042" s="360" t="s">
        <v>12408</v>
      </c>
      <c r="G2042" s="47" t="s">
        <v>12409</v>
      </c>
      <c r="H2042" s="360" t="s">
        <v>12410</v>
      </c>
      <c r="I2042" s="529">
        <v>45690.0</v>
      </c>
      <c r="J2042" s="1376">
        <v>45693.0</v>
      </c>
      <c r="K2042" s="46" t="s">
        <v>12411</v>
      </c>
      <c r="L2042" s="46"/>
      <c r="M2042" s="1909" t="s">
        <v>12412</v>
      </c>
      <c r="N2042" s="360" t="s">
        <v>12413</v>
      </c>
      <c r="O2042" s="385">
        <v>4.0</v>
      </c>
      <c r="P2042" s="360" t="s">
        <v>12414</v>
      </c>
      <c r="Q2042" s="52" t="str">
        <f t="array" ref="Q2042"> if(iserror(MATCH(V2042, 'File Links'!C:C, 0)), "N/A", HYPERLINK(INDEX('File Links'!B:B, MATCH(P2042, 'File Links'!C:C, 0))))</f>
        <v>https://drive.google.com/file/d/19DaZ3U3kDTGt8DNgyBPYTrh0pbrw_vwe/view?usp=drivesdk</v>
      </c>
      <c r="R2042" s="360" t="s">
        <v>12415</v>
      </c>
      <c r="S2042" s="437" t="s">
        <v>10720</v>
      </c>
      <c r="T2042" s="129"/>
      <c r="U2042" s="46"/>
      <c r="V2042" s="343" t="s">
        <v>12416</v>
      </c>
      <c r="W2042" s="46" t="s">
        <v>3570</v>
      </c>
      <c r="X2042" s="54" t="str">
        <f t="array" ref="X2042"> if(iserror(MATCH(V2042, 'File Links'!C:C, 0)), "N/A", HYPERLINK(INDEX('File Links'!B:B, MATCH(V2042, 'File Links'!C:C, 0))))</f>
        <v>https://drive.google.com/file/d/1fXdEI1kl0lQt_4qWiP91lWgenOEsMrKg/view?usp=drivesdk</v>
      </c>
      <c r="Y2042" s="46" t="s">
        <v>12417</v>
      </c>
      <c r="Z2042" s="46" t="s">
        <v>226</v>
      </c>
      <c r="AA2042" s="46" t="s">
        <v>12418</v>
      </c>
      <c r="AB2042" s="360" t="s">
        <v>12419</v>
      </c>
      <c r="AC2042" s="1914" t="s">
        <v>12420</v>
      </c>
      <c r="AD2042" s="46" t="s">
        <v>12421</v>
      </c>
      <c r="AE2042" s="385">
        <v>10.0</v>
      </c>
      <c r="AF2042" s="357">
        <v>246.0</v>
      </c>
      <c r="AG2042" s="46" t="s">
        <v>12422</v>
      </c>
      <c r="AH2042" s="46" t="s">
        <v>134</v>
      </c>
      <c r="AI2042" s="46" t="s">
        <v>632</v>
      </c>
      <c r="AJ2042" s="53">
        <v>0.01</v>
      </c>
      <c r="AK2042" s="49" t="s">
        <v>135</v>
      </c>
      <c r="AL2042" s="49" t="s">
        <v>186</v>
      </c>
      <c r="AM2042" s="46" t="s">
        <v>137</v>
      </c>
      <c r="AN2042" s="1058" t="s">
        <v>138</v>
      </c>
      <c r="AO2042" s="357">
        <v>768703.0</v>
      </c>
      <c r="AP2042" s="385">
        <v>0.4695</v>
      </c>
      <c r="AQ2042" s="46" t="s">
        <v>361</v>
      </c>
      <c r="AR2042" s="46" t="s">
        <v>140</v>
      </c>
      <c r="AS2042" s="385">
        <v>0.758</v>
      </c>
      <c r="AT2042" s="46" t="s">
        <v>172</v>
      </c>
      <c r="AU2042" s="46" t="s">
        <v>186</v>
      </c>
      <c r="AV2042" s="46" t="s">
        <v>137</v>
      </c>
      <c r="AW2042" s="435" t="s">
        <v>12423</v>
      </c>
      <c r="AX2042" s="46" t="s">
        <v>143</v>
      </c>
      <c r="AY2042" s="61" t="str">
        <f>IFERROR(__xludf.DUMMYFUNCTION("vlookup(BB2042,importrange(""https://docs.google.com/spreadsheets/d/1d2vevQ_7D_v35q4wCQ4RpQ_IPoTwEMB9Yp6ymwlPqew/edit?gid=984458430#gid=984458430"", ""'replication success'!A:K""), 11, FAlSE)"),"")</f>
        <v/>
      </c>
      <c r="AZ2042" s="61" t="str">
        <f>IFERROR(__xludf.DUMMYFUNCTION("vlookup(BB2042,importrange(""https://docs.google.com/spreadsheets/d/1d2vevQ_7D_v35q4wCQ4RpQ_IPoTwEMB9Yp6ymwlPqew/edit?gid=984458430#gid=984458430"", ""'replication success'!A:M""), 12, FAlSE)"),"")</f>
        <v/>
      </c>
      <c r="BA2042" s="61" t="str">
        <f>IFERROR(__xludf.DUMMYFUNCTION("vlookup(BB2042,importrange(""https://docs.google.com/spreadsheets/d/1d2vevQ_7D_v35q4wCQ4RpQ_IPoTwEMB9Yp6ymwlPqew/edit?gid=984458430#gid=984458430"", ""'replication success'!A:M""), 13, FAlSE)"),"abstract")</f>
        <v>abstract</v>
      </c>
      <c r="BB2042" s="61" t="str">
        <f>IFERROR(__xludf.DUMMYFUNCTION("REGEXREPLACE(G2042, ""_[a-z]{1,2}$"", """")"),"osc201577")</f>
        <v>osc201577</v>
      </c>
      <c r="BD2042" s="68" t="s">
        <v>1441</v>
      </c>
    </row>
    <row r="2043">
      <c r="A2043" s="44">
        <v>2043.0</v>
      </c>
      <c r="B2043" s="68" t="s">
        <v>114</v>
      </c>
      <c r="C2043" s="62" t="s">
        <v>115</v>
      </c>
      <c r="D2043" s="62" t="s">
        <v>153</v>
      </c>
      <c r="F2043" s="159" t="s">
        <v>12408</v>
      </c>
      <c r="G2043" s="1449" t="s">
        <v>12424</v>
      </c>
      <c r="H2043" s="159" t="s">
        <v>153</v>
      </c>
      <c r="I2043" s="529">
        <v>45690.0</v>
      </c>
      <c r="J2043" s="1376">
        <v>45693.0</v>
      </c>
      <c r="K2043" s="159" t="s">
        <v>12425</v>
      </c>
      <c r="L2043" s="68"/>
      <c r="M2043" s="1909" t="s">
        <v>12412</v>
      </c>
      <c r="N2043" s="159" t="s">
        <v>12413</v>
      </c>
      <c r="O2043" s="156">
        <v>4.0</v>
      </c>
      <c r="P2043" s="382" t="s">
        <v>12414</v>
      </c>
      <c r="Q2043" s="52" t="str">
        <f t="array" ref="Q2043"> if(iserror(MATCH(V2043, 'File Links'!C:C, 0)), "N/A", HYPERLINK(INDEX('File Links'!B:B, MATCH(P2043, 'File Links'!C:C, 0))))</f>
        <v>https://drive.google.com/file/d/19DaZ3U3kDTGt8DNgyBPYTrh0pbrw_vwe/view?usp=drivesdk</v>
      </c>
      <c r="R2043" s="159" t="s">
        <v>12415</v>
      </c>
      <c r="S2043" s="437" t="s">
        <v>10720</v>
      </c>
      <c r="T2043" s="129"/>
      <c r="U2043" s="336">
        <v>1.0</v>
      </c>
      <c r="V2043" s="382" t="s">
        <v>11253</v>
      </c>
      <c r="W2043" s="159" t="s">
        <v>3570</v>
      </c>
      <c r="X2043" s="54" t="str">
        <f t="array" ref="X2043"> if(iserror(MATCH(V2043, 'File Links'!C:C, 0)), "N/A", HYPERLINK(INDEX('File Links'!B:B, MATCH(V2043, 'File Links'!C:C, 0))))</f>
        <v>https://drive.google.com/file/d/1UMAh9VGta6ExS2-Lb6GkDF4fmnI2EMeM/view?usp=drivesdk</v>
      </c>
      <c r="Y2043" s="68" t="s">
        <v>12426</v>
      </c>
      <c r="Z2043" s="159" t="s">
        <v>226</v>
      </c>
      <c r="AA2043" s="68"/>
      <c r="AB2043" s="159" t="s">
        <v>12427</v>
      </c>
      <c r="AC2043" s="159" t="s">
        <v>12420</v>
      </c>
      <c r="AD2043" s="159" t="s">
        <v>12428</v>
      </c>
      <c r="AE2043" s="156">
        <v>10.0</v>
      </c>
      <c r="AF2043" s="156">
        <v>246.0</v>
      </c>
      <c r="AG2043" s="159" t="s">
        <v>12422</v>
      </c>
      <c r="AH2043" s="159" t="s">
        <v>134</v>
      </c>
      <c r="AI2043" s="159" t="s">
        <v>632</v>
      </c>
      <c r="AJ2043" s="337">
        <v>0.01</v>
      </c>
      <c r="AK2043" s="57" t="s">
        <v>135</v>
      </c>
      <c r="AL2043" s="57" t="s">
        <v>186</v>
      </c>
      <c r="AM2043" s="1915" t="s">
        <v>141</v>
      </c>
      <c r="AN2043" s="1058" t="s">
        <v>138</v>
      </c>
      <c r="AO2043" s="156">
        <v>768703.0</v>
      </c>
      <c r="AP2043" s="156">
        <v>0.4695</v>
      </c>
      <c r="AQ2043" s="159" t="s">
        <v>987</v>
      </c>
      <c r="AR2043" s="159" t="s">
        <v>140</v>
      </c>
      <c r="AS2043" s="156">
        <v>0.758</v>
      </c>
      <c r="AT2043" s="159" t="s">
        <v>172</v>
      </c>
      <c r="AU2043" s="159" t="s">
        <v>186</v>
      </c>
      <c r="AV2043" s="1915" t="s">
        <v>141</v>
      </c>
      <c r="AW2043" s="435" t="s">
        <v>12423</v>
      </c>
      <c r="AX2043" s="68" t="s">
        <v>143</v>
      </c>
      <c r="AY2043" s="61" t="str">
        <f>IFERROR(__xludf.DUMMYFUNCTION("vlookup(BB2043,importrange(""https://docs.google.com/spreadsheets/d/1d2vevQ_7D_v35q4wCQ4RpQ_IPoTwEMB9Yp6ymwlPqew/edit?gid=984458430#gid=984458430"", ""'replication success'!A:K""), 11, FAlSE)"),"")</f>
        <v/>
      </c>
      <c r="AZ2043" s="61" t="str">
        <f>IFERROR(__xludf.DUMMYFUNCTION("vlookup(BB2043,importrange(""https://docs.google.com/spreadsheets/d/1d2vevQ_7D_v35q4wCQ4RpQ_IPoTwEMB9Yp6ymwlPqew/edit?gid=984458430#gid=984458430"", ""'replication success'!A:M""), 12, FAlSE)"),"")</f>
        <v/>
      </c>
      <c r="BA2043" s="61" t="str">
        <f>IFERROR(__xludf.DUMMYFUNCTION("vlookup(BB2043,importrange(""https://docs.google.com/spreadsheets/d/1d2vevQ_7D_v35q4wCQ4RpQ_IPoTwEMB9Yp6ymwlPqew/edit?gid=984458430#gid=984458430"", ""'replication success'!A:M""), 13, FAlSE)"),"abstract")</f>
        <v>abstract</v>
      </c>
      <c r="BB2043" s="61" t="str">
        <f>IFERROR(__xludf.DUMMYFUNCTION("REGEXREPLACE(G2043, ""_[a-z]{1,2}$"", """")"),"osc201577")</f>
        <v>osc201577</v>
      </c>
      <c r="BD2043" s="68" t="s">
        <v>1441</v>
      </c>
    </row>
    <row r="2044">
      <c r="A2044" s="44">
        <v>2044.0</v>
      </c>
      <c r="B2044" s="68" t="s">
        <v>152</v>
      </c>
      <c r="C2044" s="62" t="s">
        <v>115</v>
      </c>
      <c r="D2044" s="62" t="s">
        <v>1441</v>
      </c>
      <c r="F2044" s="159" t="s">
        <v>12429</v>
      </c>
      <c r="G2044" s="1449" t="s">
        <v>12430</v>
      </c>
      <c r="H2044" s="159" t="s">
        <v>12431</v>
      </c>
      <c r="I2044" s="529">
        <v>45690.0</v>
      </c>
      <c r="J2044" s="1376">
        <v>45693.0</v>
      </c>
      <c r="K2044" s="68"/>
      <c r="L2044" s="68"/>
      <c r="M2044" s="1909" t="s">
        <v>12432</v>
      </c>
      <c r="N2044" s="437" t="s">
        <v>12433</v>
      </c>
      <c r="O2044" s="336">
        <v>3.0</v>
      </c>
      <c r="P2044" s="382" t="s">
        <v>12434</v>
      </c>
      <c r="Q2044" s="52" t="str">
        <f t="array" ref="Q2044"> if(iserror(MATCH(V2044, 'File Links'!C:C, 0)), "N/A", HYPERLINK(INDEX('File Links'!B:B, MATCH(P2044, 'File Links'!C:C, 0))))</f>
        <v>https://drive.google.com/file/d/12RwvQLmV6wPAqPP_X6JgA8Qo27g_8SJK/view?usp=drivesdk</v>
      </c>
      <c r="R2044" s="159" t="s">
        <v>12435</v>
      </c>
      <c r="S2044" s="437" t="s">
        <v>10720</v>
      </c>
      <c r="T2044" s="68"/>
      <c r="U2044" s="336">
        <v>1.0</v>
      </c>
      <c r="V2044" s="198" t="str">
        <f t="shared" ref="V2044:V2059" si="121"> hyperlink(vlookup(lower(S2044),#REF!, 2, FALSE), SUBSTITUTE(lower(S2044), "/", "--") &amp;  ".pdf")</f>
        <v>10.1126--science.aac4716.pdf</v>
      </c>
      <c r="W2044" s="68" t="s">
        <v>3570</v>
      </c>
      <c r="X2044" s="54" t="str">
        <f t="array" ref="X2044"> if(iserror(MATCH(V2044, 'File Links'!C:C, 0)), "N/A", HYPERLINK(INDEX('File Links'!B:B, MATCH(V2044, 'File Links'!C:C, 0))))</f>
        <v>https://drive.google.com/file/d/1UMAh9VGta6ExS2-Lb6GkDF4fmnI2EMeM/view?usp=drivesdk</v>
      </c>
      <c r="Y2044" s="68"/>
      <c r="Z2044" s="68" t="s">
        <v>148</v>
      </c>
      <c r="AA2044" s="68" t="s">
        <v>12436</v>
      </c>
      <c r="AB2044" s="159" t="s">
        <v>12437</v>
      </c>
      <c r="AC2044" s="1932" t="s">
        <v>12438</v>
      </c>
      <c r="AD2044" s="68" t="s">
        <v>12439</v>
      </c>
      <c r="AE2044" s="336">
        <v>13.0</v>
      </c>
      <c r="AF2044" s="156">
        <v>39.0</v>
      </c>
      <c r="AG2044" s="336">
        <v>0.32</v>
      </c>
      <c r="AH2044" s="68" t="s">
        <v>139</v>
      </c>
      <c r="AI2044" s="68" t="s">
        <v>436</v>
      </c>
      <c r="AJ2044" s="337">
        <v>0.001</v>
      </c>
      <c r="AK2044" s="61" t="s">
        <v>135</v>
      </c>
      <c r="AL2044" s="61" t="s">
        <v>186</v>
      </c>
      <c r="AM2044" s="68" t="s">
        <v>137</v>
      </c>
      <c r="AN2044" s="1058" t="s">
        <v>138</v>
      </c>
      <c r="AO2044" s="336">
        <v>33.0</v>
      </c>
      <c r="AP2044" s="68" t="s">
        <v>12440</v>
      </c>
      <c r="AQ2044" s="68" t="s">
        <v>134</v>
      </c>
      <c r="AR2044" s="68" t="s">
        <v>813</v>
      </c>
      <c r="AS2044" s="336">
        <v>0.54</v>
      </c>
      <c r="AT2044" s="68" t="s">
        <v>172</v>
      </c>
      <c r="AU2044" s="68" t="s">
        <v>186</v>
      </c>
      <c r="AV2044" s="68" t="s">
        <v>137</v>
      </c>
      <c r="AW2044" s="435" t="s">
        <v>12441</v>
      </c>
      <c r="AX2044" s="68" t="s">
        <v>143</v>
      </c>
      <c r="AY2044" s="61" t="str">
        <f>IFERROR(__xludf.DUMMYFUNCTION("vlookup(BB2044,importrange(""https://docs.google.com/spreadsheets/d/1d2vevQ_7D_v35q4wCQ4RpQ_IPoTwEMB9Yp6ymwlPqew/edit?gid=984458430#gid=984458430"", ""'replication success'!A:K""), 11, FAlSE)"),"")</f>
        <v/>
      </c>
      <c r="AZ2044" s="61" t="str">
        <f>IFERROR(__xludf.DUMMYFUNCTION("vlookup(BB2044,importrange(""https://docs.google.com/spreadsheets/d/1d2vevQ_7D_v35q4wCQ4RpQ_IPoTwEMB9Yp6ymwlPqew/edit?gid=984458430#gid=984458430"", ""'replication success'!A:M""), 12, FAlSE)"),"")</f>
        <v/>
      </c>
      <c r="BA2044" s="61" t="str">
        <f>IFERROR(__xludf.DUMMYFUNCTION("vlookup(BB2044,importrange(""https://docs.google.com/spreadsheets/d/1d2vevQ_7D_v35q4wCQ4RpQ_IPoTwEMB9Yp6ymwlPqew/edit?gid=984458430#gid=984458430"", ""'replication success'!A:M""), 13, FAlSE)"),"abstract")</f>
        <v>abstract</v>
      </c>
      <c r="BB2044" s="61" t="str">
        <f>IFERROR(__xludf.DUMMYFUNCTION("REGEXREPLACE(G2044, ""_[a-z]{1,2}$"", """")"),"osc20158")</f>
        <v>osc20158</v>
      </c>
      <c r="BD2044" s="68" t="s">
        <v>1441</v>
      </c>
    </row>
    <row r="2045">
      <c r="A2045" s="44">
        <v>2045.0</v>
      </c>
      <c r="B2045" s="68" t="s">
        <v>114</v>
      </c>
      <c r="C2045" s="62" t="s">
        <v>115</v>
      </c>
      <c r="D2045" s="62" t="s">
        <v>153</v>
      </c>
      <c r="F2045" s="159" t="s">
        <v>12429</v>
      </c>
      <c r="G2045" s="1449" t="s">
        <v>12430</v>
      </c>
      <c r="H2045" s="159" t="s">
        <v>153</v>
      </c>
      <c r="I2045" s="529">
        <v>45690.0</v>
      </c>
      <c r="J2045" s="1376">
        <v>45693.0</v>
      </c>
      <c r="K2045" s="68" t="s">
        <v>12442</v>
      </c>
      <c r="L2045" s="68"/>
      <c r="M2045" s="1909" t="s">
        <v>12432</v>
      </c>
      <c r="N2045" s="159" t="s">
        <v>12433</v>
      </c>
      <c r="O2045" s="336">
        <v>3.0</v>
      </c>
      <c r="P2045" s="382" t="s">
        <v>12434</v>
      </c>
      <c r="Q2045" s="52" t="str">
        <f t="array" ref="Q2045"> if(iserror(MATCH(V2045, 'File Links'!C:C, 0)), "N/A", HYPERLINK(INDEX('File Links'!B:B, MATCH(P2045, 'File Links'!C:C, 0))))</f>
        <v>https://drive.google.com/file/d/12RwvQLmV6wPAqPP_X6JgA8Qo27g_8SJK/view?usp=drivesdk</v>
      </c>
      <c r="R2045" s="159" t="s">
        <v>12435</v>
      </c>
      <c r="S2045" s="437" t="s">
        <v>10720</v>
      </c>
      <c r="T2045" s="129"/>
      <c r="U2045" s="336">
        <v>1.0</v>
      </c>
      <c r="V2045" s="198" t="str">
        <f t="shared" si="121"/>
        <v>10.1126--science.aac4716.pdf</v>
      </c>
      <c r="W2045" s="159" t="s">
        <v>3570</v>
      </c>
      <c r="X2045" s="54" t="str">
        <f t="array" ref="X2045"> if(iserror(MATCH(V2045, 'File Links'!C:C, 0)), "N/A", HYPERLINK(INDEX('File Links'!B:B, MATCH(V2045, 'File Links'!C:C, 0))))</f>
        <v>https://drive.google.com/file/d/1UMAh9VGta6ExS2-Lb6GkDF4fmnI2EMeM/view?usp=drivesdk</v>
      </c>
      <c r="Y2045" s="68"/>
      <c r="Z2045" s="159" t="s">
        <v>148</v>
      </c>
      <c r="AA2045" s="159" t="s">
        <v>12443</v>
      </c>
      <c r="AB2045" s="68" t="s">
        <v>12444</v>
      </c>
      <c r="AC2045" s="68" t="s">
        <v>12438</v>
      </c>
      <c r="AD2045" s="159" t="s">
        <v>12445</v>
      </c>
      <c r="AE2045" s="336">
        <v>13.0</v>
      </c>
      <c r="AF2045" s="336">
        <v>39.0</v>
      </c>
      <c r="AG2045" s="336">
        <v>0.32</v>
      </c>
      <c r="AH2045" s="159" t="s">
        <v>139</v>
      </c>
      <c r="AI2045" s="68" t="s">
        <v>436</v>
      </c>
      <c r="AJ2045" s="337">
        <v>0.001</v>
      </c>
      <c r="AK2045" s="61" t="s">
        <v>135</v>
      </c>
      <c r="AL2045" s="61" t="s">
        <v>186</v>
      </c>
      <c r="AM2045" s="1915" t="s">
        <v>141</v>
      </c>
      <c r="AN2045" s="1058" t="s">
        <v>138</v>
      </c>
      <c r="AO2045" s="336">
        <v>33.0</v>
      </c>
      <c r="AP2045" s="336" t="s">
        <v>12446</v>
      </c>
      <c r="AQ2045" s="68" t="s">
        <v>134</v>
      </c>
      <c r="AR2045" s="68" t="s">
        <v>813</v>
      </c>
      <c r="AS2045" s="336">
        <v>0.54</v>
      </c>
      <c r="AT2045" s="68" t="s">
        <v>172</v>
      </c>
      <c r="AU2045" s="68" t="s">
        <v>186</v>
      </c>
      <c r="AV2045" s="1915" t="s">
        <v>141</v>
      </c>
      <c r="AW2045" s="435" t="s">
        <v>12441</v>
      </c>
      <c r="AX2045" s="68" t="s">
        <v>143</v>
      </c>
      <c r="AY2045" s="61" t="str">
        <f>IFERROR(__xludf.DUMMYFUNCTION("vlookup(BB2045,importrange(""https://docs.google.com/spreadsheets/d/1d2vevQ_7D_v35q4wCQ4RpQ_IPoTwEMB9Yp6ymwlPqew/edit?gid=984458430#gid=984458430"", ""'replication success'!A:K""), 11, FAlSE)"),"")</f>
        <v/>
      </c>
      <c r="AZ2045" s="61" t="str">
        <f>IFERROR(__xludf.DUMMYFUNCTION("vlookup(BB2045,importrange(""https://docs.google.com/spreadsheets/d/1d2vevQ_7D_v35q4wCQ4RpQ_IPoTwEMB9Yp6ymwlPqew/edit?gid=984458430#gid=984458430"", ""'replication success'!A:M""), 12, FAlSE)"),"")</f>
        <v/>
      </c>
      <c r="BA2045" s="61" t="str">
        <f>IFERROR(__xludf.DUMMYFUNCTION("vlookup(BB2045,importrange(""https://docs.google.com/spreadsheets/d/1d2vevQ_7D_v35q4wCQ4RpQ_IPoTwEMB9Yp6ymwlPqew/edit?gid=984458430#gid=984458430"", ""'replication success'!A:M""), 13, FAlSE)"),"abstract")</f>
        <v>abstract</v>
      </c>
      <c r="BB2045" s="61" t="str">
        <f>IFERROR(__xludf.DUMMYFUNCTION("REGEXREPLACE(G2045, ""_[a-z]{1,2}$"", """")"),"osc20158")</f>
        <v>osc20158</v>
      </c>
      <c r="BD2045" s="68" t="s">
        <v>1441</v>
      </c>
    </row>
    <row r="2046">
      <c r="A2046" s="44">
        <v>2046.0</v>
      </c>
      <c r="B2046" s="68" t="s">
        <v>152</v>
      </c>
      <c r="C2046" s="62" t="s">
        <v>115</v>
      </c>
      <c r="D2046" s="62" t="s">
        <v>1441</v>
      </c>
      <c r="F2046" s="159" t="s">
        <v>12447</v>
      </c>
      <c r="G2046" s="1449" t="s">
        <v>12448</v>
      </c>
      <c r="H2046" s="159" t="s">
        <v>12449</v>
      </c>
      <c r="I2046" s="529">
        <v>45690.0</v>
      </c>
      <c r="J2046" s="1376">
        <v>45693.0</v>
      </c>
      <c r="K2046" s="594" t="s">
        <v>12450</v>
      </c>
      <c r="L2046" s="68"/>
      <c r="M2046" s="1909" t="s">
        <v>12451</v>
      </c>
      <c r="N2046" s="437" t="s">
        <v>6032</v>
      </c>
      <c r="O2046" s="336">
        <v>5.0</v>
      </c>
      <c r="P2046" s="382" t="s">
        <v>12452</v>
      </c>
      <c r="Q2046" s="52" t="str">
        <f t="array" ref="Q2046"> if(iserror(MATCH(V2046, 'File Links'!C:C, 0)), "N/A", HYPERLINK(INDEX('File Links'!B:B, MATCH(P2046, 'File Links'!C:C, 0))))</f>
        <v>https://drive.google.com/file/d/11YlCMyN4uuL8Bm15aAIWE8inJeqhHaiW/view?usp=drivesdk</v>
      </c>
      <c r="R2046" s="159" t="s">
        <v>12453</v>
      </c>
      <c r="S2046" s="437" t="s">
        <v>10720</v>
      </c>
      <c r="T2046" s="68"/>
      <c r="U2046" s="336"/>
      <c r="V2046" s="198" t="str">
        <f t="shared" si="121"/>
        <v>10.1126--science.aac4716.pdf</v>
      </c>
      <c r="W2046" s="68" t="s">
        <v>164</v>
      </c>
      <c r="X2046" s="54" t="str">
        <f t="array" ref="X2046"> if(iserror(MATCH(V2046, 'File Links'!C:C, 0)), "N/A", HYPERLINK(INDEX('File Links'!B:B, MATCH(V2046, 'File Links'!C:C, 0))))</f>
        <v>https://drive.google.com/file/d/1UMAh9VGta6ExS2-Lb6GkDF4fmnI2EMeM/view?usp=drivesdk</v>
      </c>
      <c r="Y2046" s="68"/>
      <c r="Z2046" s="68" t="s">
        <v>226</v>
      </c>
      <c r="AA2046" s="68" t="s">
        <v>12454</v>
      </c>
      <c r="AB2046" s="159" t="s">
        <v>12455</v>
      </c>
      <c r="AC2046" s="1914" t="s">
        <v>12456</v>
      </c>
      <c r="AD2046" s="68" t="s">
        <v>12457</v>
      </c>
      <c r="AE2046" s="336">
        <v>11.0</v>
      </c>
      <c r="AF2046" s="156">
        <v>46.0</v>
      </c>
      <c r="AG2046" s="68" t="s">
        <v>12458</v>
      </c>
      <c r="AH2046" s="68" t="s">
        <v>134</v>
      </c>
      <c r="AI2046" s="68" t="s">
        <v>307</v>
      </c>
      <c r="AJ2046" s="337">
        <v>0.05</v>
      </c>
      <c r="AK2046" s="61" t="s">
        <v>135</v>
      </c>
      <c r="AL2046" s="61" t="s">
        <v>186</v>
      </c>
      <c r="AM2046" s="68" t="s">
        <v>141</v>
      </c>
      <c r="AN2046" s="1058" t="s">
        <v>138</v>
      </c>
      <c r="AO2046" s="336">
        <v>70.0</v>
      </c>
      <c r="AP2046" s="68" t="s">
        <v>12459</v>
      </c>
      <c r="AQ2046" s="68" t="s">
        <v>134</v>
      </c>
      <c r="AR2046" s="68" t="s">
        <v>850</v>
      </c>
      <c r="AS2046" s="336">
        <v>0.19</v>
      </c>
      <c r="AT2046" s="68" t="s">
        <v>172</v>
      </c>
      <c r="AU2046" s="68" t="s">
        <v>186</v>
      </c>
      <c r="AV2046" s="68" t="s">
        <v>141</v>
      </c>
      <c r="AW2046" s="435" t="s">
        <v>12460</v>
      </c>
      <c r="AX2046" s="68" t="s">
        <v>143</v>
      </c>
      <c r="AY2046" s="61" t="str">
        <f>IFERROR(__xludf.DUMMYFUNCTION("vlookup(BB2046,importrange(""https://docs.google.com/spreadsheets/d/1d2vevQ_7D_v35q4wCQ4RpQ_IPoTwEMB9Yp6ymwlPqew/edit?gid=984458430#gid=984458430"", ""'replication success'!A:K""), 11, FAlSE)"),"")</f>
        <v/>
      </c>
      <c r="AZ2046" s="61" t="str">
        <f>IFERROR(__xludf.DUMMYFUNCTION("vlookup(BB2046,importrange(""https://docs.google.com/spreadsheets/d/1d2vevQ_7D_v35q4wCQ4RpQ_IPoTwEMB9Yp6ymwlPqew/edit?gid=984458430#gid=984458430"", ""'replication success'!A:M""), 12, FAlSE)"),"")</f>
        <v/>
      </c>
      <c r="BA2046" s="61" t="str">
        <f>IFERROR(__xludf.DUMMYFUNCTION("vlookup(BB2046,importrange(""https://docs.google.com/spreadsheets/d/1d2vevQ_7D_v35q4wCQ4RpQ_IPoTwEMB9Yp6ymwlPqew/edit?gid=984458430#gid=984458430"", ""'replication success'!A:M""), 13, FAlSE)"),"abstract")</f>
        <v>abstract</v>
      </c>
      <c r="BB2046" s="61" t="str">
        <f>IFERROR(__xludf.DUMMYFUNCTION("REGEXREPLACE(G2046, ""_[a-z]{1,2}$"", """")"),"osc201580")</f>
        <v>osc201580</v>
      </c>
      <c r="BD2046" s="68" t="s">
        <v>1441</v>
      </c>
    </row>
    <row r="2047">
      <c r="A2047" s="44">
        <v>2047.0</v>
      </c>
      <c r="B2047" s="68" t="s">
        <v>114</v>
      </c>
      <c r="C2047" s="62" t="s">
        <v>115</v>
      </c>
      <c r="D2047" s="62" t="s">
        <v>153</v>
      </c>
      <c r="F2047" s="159" t="s">
        <v>12447</v>
      </c>
      <c r="G2047" s="1449" t="s">
        <v>12461</v>
      </c>
      <c r="H2047" s="159" t="s">
        <v>153</v>
      </c>
      <c r="I2047" s="529">
        <v>45690.0</v>
      </c>
      <c r="J2047" s="1376">
        <v>45693.0</v>
      </c>
      <c r="K2047" s="159" t="s">
        <v>12462</v>
      </c>
      <c r="L2047" s="68"/>
      <c r="M2047" s="1885" t="s">
        <v>12451</v>
      </c>
      <c r="N2047" s="437" t="s">
        <v>6032</v>
      </c>
      <c r="O2047" s="156">
        <v>5.0</v>
      </c>
      <c r="P2047" s="159" t="s">
        <v>12452</v>
      </c>
      <c r="Q2047" s="52" t="str">
        <f t="array" ref="Q2047"> if(iserror(MATCH(V2047, 'File Links'!C:C, 0)), "N/A", HYPERLINK(INDEX('File Links'!B:B, MATCH(P2047, 'File Links'!C:C, 0))))</f>
        <v>https://drive.google.com/file/d/11YlCMyN4uuL8Bm15aAIWE8inJeqhHaiW/view?usp=drivesdk</v>
      </c>
      <c r="R2047" s="159" t="s">
        <v>12453</v>
      </c>
      <c r="S2047" s="437" t="s">
        <v>10720</v>
      </c>
      <c r="T2047" s="68"/>
      <c r="U2047" s="68"/>
      <c r="V2047" s="198" t="str">
        <f t="shared" si="121"/>
        <v>10.1126--science.aac4716.pdf</v>
      </c>
      <c r="W2047" s="159" t="s">
        <v>164</v>
      </c>
      <c r="X2047" s="54" t="str">
        <f t="array" ref="X2047"> if(iserror(MATCH(V2047, 'File Links'!C:C, 0)), "N/A", HYPERLINK(INDEX('File Links'!B:B, MATCH(V2047, 'File Links'!C:C, 0))))</f>
        <v>https://drive.google.com/file/d/1UMAh9VGta6ExS2-Lb6GkDF4fmnI2EMeM/view?usp=drivesdk</v>
      </c>
      <c r="Y2047" s="68"/>
      <c r="Z2047" s="159" t="s">
        <v>226</v>
      </c>
      <c r="AA2047" s="159" t="s">
        <v>12463</v>
      </c>
      <c r="AB2047" s="159" t="s">
        <v>12464</v>
      </c>
      <c r="AC2047" s="159" t="s">
        <v>12456</v>
      </c>
      <c r="AD2047" s="159" t="s">
        <v>12465</v>
      </c>
      <c r="AE2047" s="156">
        <v>11.0</v>
      </c>
      <c r="AF2047" s="156">
        <v>46.0</v>
      </c>
      <c r="AG2047" s="156" t="s">
        <v>12458</v>
      </c>
      <c r="AH2047" s="159" t="s">
        <v>134</v>
      </c>
      <c r="AI2047" s="159" t="s">
        <v>307</v>
      </c>
      <c r="AJ2047" s="709">
        <v>0.05</v>
      </c>
      <c r="AK2047" s="57" t="s">
        <v>135</v>
      </c>
      <c r="AL2047" s="57" t="s">
        <v>186</v>
      </c>
      <c r="AM2047" s="1915" t="s">
        <v>137</v>
      </c>
      <c r="AN2047" s="1058" t="s">
        <v>138</v>
      </c>
      <c r="AO2047" s="336">
        <v>70.0</v>
      </c>
      <c r="AP2047" s="336" t="s">
        <v>12459</v>
      </c>
      <c r="AQ2047" s="159" t="s">
        <v>134</v>
      </c>
      <c r="AR2047" s="159" t="s">
        <v>850</v>
      </c>
      <c r="AS2047" s="156">
        <v>0.19</v>
      </c>
      <c r="AT2047" s="159" t="s">
        <v>172</v>
      </c>
      <c r="AU2047" s="159" t="s">
        <v>186</v>
      </c>
      <c r="AV2047" s="1915" t="s">
        <v>137</v>
      </c>
      <c r="AW2047" s="435" t="s">
        <v>12460</v>
      </c>
      <c r="AX2047" s="68" t="s">
        <v>143</v>
      </c>
      <c r="AY2047" s="61" t="str">
        <f>IFERROR(__xludf.DUMMYFUNCTION("vlookup(BB2047,importrange(""https://docs.google.com/spreadsheets/d/1d2vevQ_7D_v35q4wCQ4RpQ_IPoTwEMB9Yp6ymwlPqew/edit?gid=984458430#gid=984458430"", ""'replication success'!A:K""), 11, FAlSE)"),"")</f>
        <v/>
      </c>
      <c r="AZ2047" s="61" t="str">
        <f>IFERROR(__xludf.DUMMYFUNCTION("vlookup(BB2047,importrange(""https://docs.google.com/spreadsheets/d/1d2vevQ_7D_v35q4wCQ4RpQ_IPoTwEMB9Yp6ymwlPqew/edit?gid=984458430#gid=984458430"", ""'replication success'!A:M""), 12, FAlSE)"),"")</f>
        <v/>
      </c>
      <c r="BA2047" s="61" t="str">
        <f>IFERROR(__xludf.DUMMYFUNCTION("vlookup(BB2047,importrange(""https://docs.google.com/spreadsheets/d/1d2vevQ_7D_v35q4wCQ4RpQ_IPoTwEMB9Yp6ymwlPqew/edit?gid=984458430#gid=984458430"", ""'replication success'!A:M""), 13, FAlSE)"),"abstract")</f>
        <v>abstract</v>
      </c>
      <c r="BB2047" s="61" t="str">
        <f>IFERROR(__xludf.DUMMYFUNCTION("REGEXREPLACE(G2047, ""_[a-z]{1,2}$"", """")"),"osc201580")</f>
        <v>osc201580</v>
      </c>
      <c r="BD2047" s="68" t="s">
        <v>1441</v>
      </c>
    </row>
    <row r="2048">
      <c r="A2048" s="44">
        <v>2048.0</v>
      </c>
      <c r="B2048" s="68" t="s">
        <v>152</v>
      </c>
      <c r="C2048" s="62" t="s">
        <v>115</v>
      </c>
      <c r="D2048" s="62" t="s">
        <v>1441</v>
      </c>
      <c r="F2048" s="159" t="s">
        <v>12466</v>
      </c>
      <c r="G2048" s="1449" t="s">
        <v>12467</v>
      </c>
      <c r="H2048" s="159" t="s">
        <v>12468</v>
      </c>
      <c r="I2048" s="529">
        <v>45690.0</v>
      </c>
      <c r="J2048" s="1376">
        <v>45693.0</v>
      </c>
      <c r="K2048" s="68" t="s">
        <v>12469</v>
      </c>
      <c r="L2048" s="68"/>
      <c r="M2048" s="1909" t="s">
        <v>12470</v>
      </c>
      <c r="N2048" s="159" t="s">
        <v>12471</v>
      </c>
      <c r="O2048" s="336">
        <v>4.0</v>
      </c>
      <c r="P2048" s="382" t="s">
        <v>12472</v>
      </c>
      <c r="Q2048" s="52" t="str">
        <f t="array" ref="Q2048"> if(iserror(MATCH(V2048, 'File Links'!C:C, 0)), "N/A", HYPERLINK(INDEX('File Links'!B:B, MATCH(P2048, 'File Links'!C:C, 0))))</f>
        <v>https://drive.google.com/file/d/1je9cw-vS4o0h7s6-W5SXMCb_uEat2QOt/view?usp=drivesdk</v>
      </c>
      <c r="R2048" s="159" t="s">
        <v>12473</v>
      </c>
      <c r="S2048" s="437" t="s">
        <v>10720</v>
      </c>
      <c r="T2048" s="129"/>
      <c r="U2048" s="336">
        <v>1.0</v>
      </c>
      <c r="V2048" s="198" t="str">
        <f t="shared" si="121"/>
        <v>10.1126--science.aac4716.pdf</v>
      </c>
      <c r="W2048" s="68" t="s">
        <v>164</v>
      </c>
      <c r="X2048" s="54" t="str">
        <f t="array" ref="X2048"> if(iserror(MATCH(V2048, 'File Links'!C:C, 0)), "N/A", HYPERLINK(INDEX('File Links'!B:B, MATCH(V2048, 'File Links'!C:C, 0))))</f>
        <v>https://drive.google.com/file/d/1UMAh9VGta6ExS2-Lb6GkDF4fmnI2EMeM/view?usp=drivesdk</v>
      </c>
      <c r="Y2048" s="68"/>
      <c r="Z2048" s="68" t="s">
        <v>226</v>
      </c>
      <c r="AA2048" s="68" t="s">
        <v>12474</v>
      </c>
      <c r="AB2048" s="159" t="s">
        <v>12475</v>
      </c>
      <c r="AC2048" s="1910" t="s">
        <v>12476</v>
      </c>
      <c r="AD2048" s="68" t="s">
        <v>12477</v>
      </c>
      <c r="AE2048" s="336">
        <v>14.0</v>
      </c>
      <c r="AF2048" s="156">
        <v>94.0</v>
      </c>
      <c r="AG2048" s="336">
        <v>0.07</v>
      </c>
      <c r="AH2048" s="68" t="s">
        <v>139</v>
      </c>
      <c r="AI2048" s="68" t="s">
        <v>2229</v>
      </c>
      <c r="AJ2048" s="337">
        <v>0.01</v>
      </c>
      <c r="AK2048" s="61" t="s">
        <v>135</v>
      </c>
      <c r="AL2048" s="61" t="s">
        <v>186</v>
      </c>
      <c r="AM2048" s="68" t="s">
        <v>141</v>
      </c>
      <c r="AN2048" s="1058" t="s">
        <v>138</v>
      </c>
      <c r="AO2048" s="156">
        <v>141.0</v>
      </c>
      <c r="AP2048" s="68" t="s">
        <v>12478</v>
      </c>
      <c r="AQ2048" s="68" t="s">
        <v>134</v>
      </c>
      <c r="AR2048" s="68" t="s">
        <v>850</v>
      </c>
      <c r="AS2048" s="336">
        <v>0.235</v>
      </c>
      <c r="AT2048" s="68" t="s">
        <v>172</v>
      </c>
      <c r="AU2048" s="68" t="s">
        <v>186</v>
      </c>
      <c r="AV2048" s="68" t="s">
        <v>141</v>
      </c>
      <c r="AW2048" s="435" t="s">
        <v>12479</v>
      </c>
      <c r="AX2048" s="68" t="s">
        <v>151</v>
      </c>
      <c r="AY2048" s="61" t="str">
        <f>IFERROR(__xludf.DUMMYFUNCTION("vlookup(BB2048,importrange(""https://docs.google.com/spreadsheets/d/1d2vevQ_7D_v35q4wCQ4RpQ_IPoTwEMB9Yp6ymwlPqew/edit?gid=984458430#gid=984458430"", ""'replication success'!A:K""), 11, FAlSE)"),"")</f>
        <v/>
      </c>
      <c r="AZ2048" s="61" t="str">
        <f>IFERROR(__xludf.DUMMYFUNCTION("vlookup(BB2048,importrange(""https://docs.google.com/spreadsheets/d/1d2vevQ_7D_v35q4wCQ4RpQ_IPoTwEMB9Yp6ymwlPqew/edit?gid=984458430#gid=984458430"", ""'replication success'!A:M""), 12, FAlSE)"),"")</f>
        <v/>
      </c>
      <c r="BA2048" s="61" t="str">
        <f>IFERROR(__xludf.DUMMYFUNCTION("vlookup(BB2048,importrange(""https://docs.google.com/spreadsheets/d/1d2vevQ_7D_v35q4wCQ4RpQ_IPoTwEMB9Yp6ymwlPqew/edit?gid=984458430#gid=984458430"", ""'replication success'!A:M""), 13, FAlSE)"),"abstract")</f>
        <v>abstract</v>
      </c>
      <c r="BB2048" s="61" t="str">
        <f>IFERROR(__xludf.DUMMYFUNCTION("REGEXREPLACE(G2048, ""_[a-z]{1,2}$"", """")"),"osc201581")</f>
        <v>osc201581</v>
      </c>
      <c r="BD2048" s="68" t="s">
        <v>1441</v>
      </c>
    </row>
    <row r="2049">
      <c r="A2049" s="44">
        <v>2049.0</v>
      </c>
      <c r="B2049" s="68" t="s">
        <v>114</v>
      </c>
      <c r="C2049" s="62" t="s">
        <v>115</v>
      </c>
      <c r="D2049" s="62" t="s">
        <v>153</v>
      </c>
      <c r="F2049" s="159" t="s">
        <v>12466</v>
      </c>
      <c r="G2049" s="1449" t="s">
        <v>12480</v>
      </c>
      <c r="H2049" s="159" t="s">
        <v>153</v>
      </c>
      <c r="I2049" s="529">
        <v>45690.0</v>
      </c>
      <c r="J2049" s="1376">
        <v>45693.0</v>
      </c>
      <c r="K2049" s="159" t="s">
        <v>12481</v>
      </c>
      <c r="L2049" s="68" t="s">
        <v>12482</v>
      </c>
      <c r="M2049" s="1909" t="s">
        <v>12470</v>
      </c>
      <c r="N2049" s="437" t="s">
        <v>12471</v>
      </c>
      <c r="O2049" s="156">
        <v>4.0</v>
      </c>
      <c r="P2049" s="382" t="s">
        <v>12472</v>
      </c>
      <c r="Q2049" s="52" t="str">
        <f t="array" ref="Q2049"> if(iserror(MATCH(V2049, 'File Links'!C:C, 0)), "N/A", HYPERLINK(INDEX('File Links'!B:B, MATCH(P2049, 'File Links'!C:C, 0))))</f>
        <v>https://drive.google.com/file/d/1je9cw-vS4o0h7s6-W5SXMCb_uEat2QOt/view?usp=drivesdk</v>
      </c>
      <c r="R2049" s="159" t="s">
        <v>12473</v>
      </c>
      <c r="S2049" s="437" t="s">
        <v>10720</v>
      </c>
      <c r="T2049" s="68"/>
      <c r="U2049" s="336">
        <v>1.0</v>
      </c>
      <c r="V2049" s="198" t="str">
        <f t="shared" si="121"/>
        <v>10.1126--science.aac4716.pdf</v>
      </c>
      <c r="W2049" s="159" t="s">
        <v>164</v>
      </c>
      <c r="X2049" s="54" t="str">
        <f t="array" ref="X2049"> if(iserror(MATCH(V2049, 'File Links'!C:C, 0)), "N/A", HYPERLINK(INDEX('File Links'!B:B, MATCH(V2049, 'File Links'!C:C, 0))))</f>
        <v>https://drive.google.com/file/d/1UMAh9VGta6ExS2-Lb6GkDF4fmnI2EMeM/view?usp=drivesdk</v>
      </c>
      <c r="Y2049" s="68"/>
      <c r="Z2049" s="159" t="s">
        <v>226</v>
      </c>
      <c r="AA2049" s="159" t="s">
        <v>12483</v>
      </c>
      <c r="AB2049" s="159" t="s">
        <v>12484</v>
      </c>
      <c r="AC2049" s="68" t="s">
        <v>12476</v>
      </c>
      <c r="AD2049" s="159" t="s">
        <v>12485</v>
      </c>
      <c r="AE2049" s="336">
        <v>14.0</v>
      </c>
      <c r="AF2049" s="336">
        <v>94.0</v>
      </c>
      <c r="AG2049" s="336">
        <v>0.07</v>
      </c>
      <c r="AH2049" s="159" t="s">
        <v>139</v>
      </c>
      <c r="AI2049" s="159" t="s">
        <v>2229</v>
      </c>
      <c r="AJ2049" s="337">
        <v>0.05</v>
      </c>
      <c r="AK2049" s="57" t="s">
        <v>135</v>
      </c>
      <c r="AL2049" s="57" t="s">
        <v>186</v>
      </c>
      <c r="AM2049" s="68" t="s">
        <v>141</v>
      </c>
      <c r="AN2049" s="1058" t="s">
        <v>138</v>
      </c>
      <c r="AO2049" s="336">
        <v>141.0</v>
      </c>
      <c r="AP2049" s="1933" t="s">
        <v>12486</v>
      </c>
      <c r="AQ2049" s="159" t="s">
        <v>134</v>
      </c>
      <c r="AR2049" s="68" t="s">
        <v>850</v>
      </c>
      <c r="AS2049" s="336">
        <v>0.235</v>
      </c>
      <c r="AT2049" s="159" t="s">
        <v>172</v>
      </c>
      <c r="AU2049" s="159" t="s">
        <v>186</v>
      </c>
      <c r="AV2049" s="68" t="s">
        <v>141</v>
      </c>
      <c r="AW2049" s="435" t="s">
        <v>12479</v>
      </c>
      <c r="AX2049" s="68" t="s">
        <v>151</v>
      </c>
      <c r="AY2049" s="61" t="str">
        <f>IFERROR(__xludf.DUMMYFUNCTION("vlookup(BB2049,importrange(""https://docs.google.com/spreadsheets/d/1d2vevQ_7D_v35q4wCQ4RpQ_IPoTwEMB9Yp6ymwlPqew/edit?gid=984458430#gid=984458430"", ""'replication success'!A:K""), 11, FAlSE)"),"")</f>
        <v/>
      </c>
      <c r="AZ2049" s="61" t="str">
        <f>IFERROR(__xludf.DUMMYFUNCTION("vlookup(BB2049,importrange(""https://docs.google.com/spreadsheets/d/1d2vevQ_7D_v35q4wCQ4RpQ_IPoTwEMB9Yp6ymwlPqew/edit?gid=984458430#gid=984458430"", ""'replication success'!A:M""), 12, FAlSE)"),"")</f>
        <v/>
      </c>
      <c r="BA2049" s="61" t="str">
        <f>IFERROR(__xludf.DUMMYFUNCTION("vlookup(BB2049,importrange(""https://docs.google.com/spreadsheets/d/1d2vevQ_7D_v35q4wCQ4RpQ_IPoTwEMB9Yp6ymwlPqew/edit?gid=984458430#gid=984458430"", ""'replication success'!A:M""), 13, FAlSE)"),"abstract")</f>
        <v>abstract</v>
      </c>
      <c r="BB2049" s="61" t="str">
        <f>IFERROR(__xludf.DUMMYFUNCTION("REGEXREPLACE(G2049, ""_[a-z]{1,2}$"", """")"),"osc201581")</f>
        <v>osc201581</v>
      </c>
      <c r="BD2049" s="68" t="s">
        <v>1441</v>
      </c>
    </row>
    <row r="2050">
      <c r="A2050" s="44">
        <v>2050.0</v>
      </c>
      <c r="B2050" s="68" t="s">
        <v>152</v>
      </c>
      <c r="C2050" s="62" t="s">
        <v>115</v>
      </c>
      <c r="D2050" s="62" t="s">
        <v>1441</v>
      </c>
      <c r="F2050" s="159" t="s">
        <v>12487</v>
      </c>
      <c r="G2050" s="1449" t="s">
        <v>12488</v>
      </c>
      <c r="H2050" s="159" t="s">
        <v>12489</v>
      </c>
      <c r="I2050" s="529">
        <v>45690.0</v>
      </c>
      <c r="J2050" s="1376">
        <v>45693.0</v>
      </c>
      <c r="K2050" s="68"/>
      <c r="L2050" s="68" t="s">
        <v>12490</v>
      </c>
      <c r="M2050" s="1909" t="s">
        <v>12491</v>
      </c>
      <c r="N2050" s="159" t="s">
        <v>12492</v>
      </c>
      <c r="O2050" s="336">
        <v>1.0</v>
      </c>
      <c r="P2050" s="382" t="s">
        <v>12493</v>
      </c>
      <c r="Q2050" s="52" t="str">
        <f t="array" ref="Q2050"> if(iserror(MATCH(V2050, 'File Links'!C:C, 0)), "N/A", HYPERLINK(INDEX('File Links'!B:B, MATCH(P2050, 'File Links'!C:C, 0))))</f>
        <v>https://drive.google.com/file/d/1TOZ9euIliRhkN1zDzYb6v8ankkIXs-ya/view?usp=drivesdk</v>
      </c>
      <c r="R2050" s="159" t="s">
        <v>12494</v>
      </c>
      <c r="S2050" s="159" t="s">
        <v>10720</v>
      </c>
      <c r="T2050" s="68"/>
      <c r="U2050" s="336"/>
      <c r="V2050" s="198" t="str">
        <f t="shared" si="121"/>
        <v>10.1126--science.aac4716.pdf</v>
      </c>
      <c r="W2050" s="68" t="s">
        <v>164</v>
      </c>
      <c r="X2050" s="54" t="str">
        <f t="array" ref="X2050"> if(iserror(MATCH(V2050, 'File Links'!C:C, 0)), "N/A", HYPERLINK(INDEX('File Links'!B:B, MATCH(V2050, 'File Links'!C:C, 0))))</f>
        <v>https://drive.google.com/file/d/1UMAh9VGta6ExS2-Lb6GkDF4fmnI2EMeM/view?usp=drivesdk</v>
      </c>
      <c r="Y2050" s="68"/>
      <c r="Z2050" s="68" t="s">
        <v>226</v>
      </c>
      <c r="AA2050" s="68" t="s">
        <v>12495</v>
      </c>
      <c r="AB2050" s="68" t="s">
        <v>12496</v>
      </c>
      <c r="AC2050" s="1914" t="s">
        <v>12497</v>
      </c>
      <c r="AD2050" s="68" t="s">
        <v>12498</v>
      </c>
      <c r="AE2050" s="336">
        <v>2.0</v>
      </c>
      <c r="AF2050" s="336">
        <v>50.0</v>
      </c>
      <c r="AG2050" s="336">
        <v>0.3</v>
      </c>
      <c r="AH2050" s="68" t="s">
        <v>215</v>
      </c>
      <c r="AI2050" s="68" t="s">
        <v>875</v>
      </c>
      <c r="AJ2050" s="337">
        <v>0.05</v>
      </c>
      <c r="AK2050" s="61" t="s">
        <v>135</v>
      </c>
      <c r="AL2050" s="61" t="s">
        <v>186</v>
      </c>
      <c r="AM2050" s="68" t="s">
        <v>137</v>
      </c>
      <c r="AN2050" s="1058" t="s">
        <v>138</v>
      </c>
      <c r="AO2050" s="336">
        <v>50.0</v>
      </c>
      <c r="AP2050" s="336">
        <v>0.27</v>
      </c>
      <c r="AQ2050" s="68" t="s">
        <v>215</v>
      </c>
      <c r="AR2050" s="68" t="s">
        <v>813</v>
      </c>
      <c r="AS2050" s="336">
        <v>0.086</v>
      </c>
      <c r="AT2050" s="68" t="s">
        <v>172</v>
      </c>
      <c r="AU2050" s="68" t="s">
        <v>136</v>
      </c>
      <c r="AV2050" s="68" t="s">
        <v>141</v>
      </c>
      <c r="AW2050" s="435" t="s">
        <v>12499</v>
      </c>
      <c r="AX2050" s="68" t="s">
        <v>143</v>
      </c>
      <c r="AY2050" s="61" t="str">
        <f>IFERROR(__xludf.DUMMYFUNCTION("vlookup(BB2050,importrange(""https://docs.google.com/spreadsheets/d/1d2vevQ_7D_v35q4wCQ4RpQ_IPoTwEMB9Yp6ymwlPqew/edit?gid=984458430#gid=984458430"", ""'replication success'!A:K""), 11, FAlSE)"),"")</f>
        <v/>
      </c>
      <c r="AZ2050" s="61" t="str">
        <f>IFERROR(__xludf.DUMMYFUNCTION("vlookup(BB2050,importrange(""https://docs.google.com/spreadsheets/d/1d2vevQ_7D_v35q4wCQ4RpQ_IPoTwEMB9Yp6ymwlPqew/edit?gid=984458430#gid=984458430"", ""'replication success'!A:M""), 12, FAlSE)"),"")</f>
        <v/>
      </c>
      <c r="BA2050" s="61" t="str">
        <f>IFERROR(__xludf.DUMMYFUNCTION("vlookup(BB2050,importrange(""https://docs.google.com/spreadsheets/d/1d2vevQ_7D_v35q4wCQ4RpQ_IPoTwEMB9Yp6ymwlPqew/edit?gid=984458430#gid=984458430"", ""'replication success'!A:M""), 13, FAlSE)"),"abstract")</f>
        <v>abstract</v>
      </c>
      <c r="BB2050" s="61" t="str">
        <f>IFERROR(__xludf.DUMMYFUNCTION("REGEXREPLACE(G2050, ""_[a-z]{1,2}$"", """")"),"osc201582")</f>
        <v>osc201582</v>
      </c>
      <c r="BD2050" s="68" t="s">
        <v>1441</v>
      </c>
    </row>
    <row r="2051">
      <c r="A2051" s="44">
        <v>2051.0</v>
      </c>
      <c r="B2051" s="68" t="s">
        <v>114</v>
      </c>
      <c r="C2051" s="62" t="s">
        <v>115</v>
      </c>
      <c r="D2051" s="62" t="s">
        <v>153</v>
      </c>
      <c r="F2051" s="159" t="s">
        <v>12487</v>
      </c>
      <c r="G2051" s="1449" t="s">
        <v>12488</v>
      </c>
      <c r="H2051" s="159" t="s">
        <v>153</v>
      </c>
      <c r="I2051" s="529">
        <v>45690.0</v>
      </c>
      <c r="J2051" s="1376">
        <v>45693.0</v>
      </c>
      <c r="K2051" s="68"/>
      <c r="L2051" s="68"/>
      <c r="M2051" s="1909" t="s">
        <v>12491</v>
      </c>
      <c r="N2051" s="437" t="s">
        <v>12492</v>
      </c>
      <c r="O2051" s="156">
        <v>1.0</v>
      </c>
      <c r="P2051" s="382" t="s">
        <v>12493</v>
      </c>
      <c r="Q2051" s="52" t="str">
        <f t="array" ref="Q2051"> if(iserror(MATCH(V2051, 'File Links'!C:C, 0)), "N/A", HYPERLINK(INDEX('File Links'!B:B, MATCH(P2051, 'File Links'!C:C, 0))))</f>
        <v>https://drive.google.com/file/d/1TOZ9euIliRhkN1zDzYb6v8ankkIXs-ya/view?usp=drivesdk</v>
      </c>
      <c r="R2051" s="159" t="s">
        <v>12494</v>
      </c>
      <c r="S2051" s="437" t="s">
        <v>10720</v>
      </c>
      <c r="T2051" s="68"/>
      <c r="U2051" s="336">
        <v>1.0</v>
      </c>
      <c r="V2051" s="198" t="str">
        <f t="shared" si="121"/>
        <v>10.1126--science.aac4716.pdf</v>
      </c>
      <c r="W2051" s="159" t="s">
        <v>164</v>
      </c>
      <c r="X2051" s="54" t="str">
        <f t="array" ref="X2051"> if(iserror(MATCH(V2051, 'File Links'!C:C, 0)), "N/A", HYPERLINK(INDEX('File Links'!B:B, MATCH(V2051, 'File Links'!C:C, 0))))</f>
        <v>https://drive.google.com/file/d/1UMAh9VGta6ExS2-Lb6GkDF4fmnI2EMeM/view?usp=drivesdk</v>
      </c>
      <c r="Y2051" s="68"/>
      <c r="Z2051" s="159" t="s">
        <v>226</v>
      </c>
      <c r="AA2051" s="159" t="s">
        <v>4031</v>
      </c>
      <c r="AB2051" s="159" t="s">
        <v>12500</v>
      </c>
      <c r="AC2051" s="159" t="s">
        <v>12497</v>
      </c>
      <c r="AD2051" s="159" t="s">
        <v>12501</v>
      </c>
      <c r="AE2051" s="156">
        <v>2.0</v>
      </c>
      <c r="AF2051" s="156">
        <v>50.0</v>
      </c>
      <c r="AG2051" s="156" t="s">
        <v>12502</v>
      </c>
      <c r="AH2051" s="159" t="s">
        <v>215</v>
      </c>
      <c r="AI2051" s="159" t="s">
        <v>875</v>
      </c>
      <c r="AJ2051" s="709">
        <v>0.025</v>
      </c>
      <c r="AK2051" s="57" t="s">
        <v>135</v>
      </c>
      <c r="AL2051" s="57" t="s">
        <v>186</v>
      </c>
      <c r="AM2051" s="1915" t="s">
        <v>137</v>
      </c>
      <c r="AN2051" s="1058" t="s">
        <v>138</v>
      </c>
      <c r="AO2051" s="336">
        <v>50.0</v>
      </c>
      <c r="AP2051" s="336" t="s">
        <v>12503</v>
      </c>
      <c r="AQ2051" s="159" t="s">
        <v>215</v>
      </c>
      <c r="AR2051" s="159" t="s">
        <v>813</v>
      </c>
      <c r="AS2051" s="156">
        <v>0.086</v>
      </c>
      <c r="AT2051" s="159" t="s">
        <v>172</v>
      </c>
      <c r="AU2051" s="159" t="s">
        <v>136</v>
      </c>
      <c r="AV2051" s="1915" t="s">
        <v>137</v>
      </c>
      <c r="AW2051" s="435" t="s">
        <v>12504</v>
      </c>
      <c r="AX2051" s="68" t="s">
        <v>143</v>
      </c>
      <c r="AY2051" s="61" t="str">
        <f>IFERROR(__xludf.DUMMYFUNCTION("vlookup(BB2051,importrange(""https://docs.google.com/spreadsheets/d/1d2vevQ_7D_v35q4wCQ4RpQ_IPoTwEMB9Yp6ymwlPqew/edit?gid=984458430#gid=984458430"", ""'replication success'!A:K""), 11, FAlSE)"),"")</f>
        <v/>
      </c>
      <c r="AZ2051" s="61" t="str">
        <f>IFERROR(__xludf.DUMMYFUNCTION("vlookup(BB2051,importrange(""https://docs.google.com/spreadsheets/d/1d2vevQ_7D_v35q4wCQ4RpQ_IPoTwEMB9Yp6ymwlPqew/edit?gid=984458430#gid=984458430"", ""'replication success'!A:M""), 12, FAlSE)"),"")</f>
        <v/>
      </c>
      <c r="BA2051" s="61" t="str">
        <f>IFERROR(__xludf.DUMMYFUNCTION("vlookup(BB2051,importrange(""https://docs.google.com/spreadsheets/d/1d2vevQ_7D_v35q4wCQ4RpQ_IPoTwEMB9Yp6ymwlPqew/edit?gid=984458430#gid=984458430"", ""'replication success'!A:M""), 13, FAlSE)"),"abstract")</f>
        <v>abstract</v>
      </c>
      <c r="BB2051" s="61" t="str">
        <f>IFERROR(__xludf.DUMMYFUNCTION("REGEXREPLACE(G2051, ""_[a-z]{1,2}$"", """")"),"osc201582")</f>
        <v>osc201582</v>
      </c>
      <c r="BD2051" s="68" t="s">
        <v>1441</v>
      </c>
    </row>
    <row r="2052">
      <c r="A2052" s="44">
        <v>2052.0</v>
      </c>
      <c r="B2052" s="68" t="s">
        <v>152</v>
      </c>
      <c r="C2052" s="62" t="s">
        <v>115</v>
      </c>
      <c r="D2052" s="62" t="s">
        <v>1441</v>
      </c>
      <c r="F2052" s="159" t="s">
        <v>12505</v>
      </c>
      <c r="G2052" s="1449" t="s">
        <v>12506</v>
      </c>
      <c r="H2052" s="159" t="s">
        <v>12507</v>
      </c>
      <c r="I2052" s="529">
        <v>45690.0</v>
      </c>
      <c r="J2052" s="1376">
        <v>45693.0</v>
      </c>
      <c r="K2052" s="68"/>
      <c r="L2052" s="68" t="s">
        <v>12508</v>
      </c>
      <c r="M2052" s="1909" t="s">
        <v>12509</v>
      </c>
      <c r="N2052" s="159" t="s">
        <v>5759</v>
      </c>
      <c r="O2052" s="336">
        <v>4.0</v>
      </c>
      <c r="P2052" s="382" t="s">
        <v>12510</v>
      </c>
      <c r="Q2052" s="52" t="str">
        <f t="array" ref="Q2052"> if(iserror(MATCH(V2052, 'File Links'!C:C, 0)), "N/A", HYPERLINK(INDEX('File Links'!B:B, MATCH(P2052, 'File Links'!C:C, 0))))</f>
        <v>https://drive.google.com/file/d/15DQQpECVr9NdJZ7O7RNWRdNwXQ6KQeXe/view?usp=drivesdk</v>
      </c>
      <c r="R2052" s="159" t="s">
        <v>12511</v>
      </c>
      <c r="S2052" s="437" t="s">
        <v>10720</v>
      </c>
      <c r="T2052" s="129"/>
      <c r="U2052" s="336">
        <v>1.0</v>
      </c>
      <c r="V2052" s="198" t="str">
        <f t="shared" si="121"/>
        <v>10.1126--science.aac4716.pdf</v>
      </c>
      <c r="W2052" s="68" t="s">
        <v>164</v>
      </c>
      <c r="X2052" s="54" t="str">
        <f t="array" ref="X2052"> if(iserror(MATCH(V2052, 'File Links'!C:C, 0)), "N/A", HYPERLINK(INDEX('File Links'!B:B, MATCH(V2052, 'File Links'!C:C, 0))))</f>
        <v>https://drive.google.com/file/d/1UMAh9VGta6ExS2-Lb6GkDF4fmnI2EMeM/view?usp=drivesdk</v>
      </c>
      <c r="Y2052" s="68"/>
      <c r="Z2052" s="68" t="s">
        <v>226</v>
      </c>
      <c r="AA2052" s="68" t="s">
        <v>12512</v>
      </c>
      <c r="AB2052" s="159" t="s">
        <v>12513</v>
      </c>
      <c r="AC2052" s="1914" t="s">
        <v>12514</v>
      </c>
      <c r="AD2052" s="68" t="s">
        <v>12515</v>
      </c>
      <c r="AE2052" s="336">
        <v>11.0</v>
      </c>
      <c r="AF2052" s="156">
        <v>52.0</v>
      </c>
      <c r="AG2052" s="129" t="s">
        <v>12516</v>
      </c>
      <c r="AH2052" s="68" t="s">
        <v>134</v>
      </c>
      <c r="AI2052" s="68" t="s">
        <v>307</v>
      </c>
      <c r="AJ2052" s="337">
        <v>0.001</v>
      </c>
      <c r="AK2052" s="61" t="s">
        <v>172</v>
      </c>
      <c r="AL2052" s="61" t="s">
        <v>186</v>
      </c>
      <c r="AM2052" s="68" t="s">
        <v>141</v>
      </c>
      <c r="AN2052" s="1058" t="s">
        <v>138</v>
      </c>
      <c r="AO2052" s="156">
        <v>150.0</v>
      </c>
      <c r="AP2052" s="129" t="s">
        <v>12517</v>
      </c>
      <c r="AQ2052" s="68" t="s">
        <v>134</v>
      </c>
      <c r="AR2052" s="68" t="s">
        <v>850</v>
      </c>
      <c r="AS2052" s="336">
        <v>0.008</v>
      </c>
      <c r="AT2052" s="68" t="s">
        <v>172</v>
      </c>
      <c r="AU2052" s="68" t="s">
        <v>186</v>
      </c>
      <c r="AV2052" s="68" t="s">
        <v>141</v>
      </c>
      <c r="AW2052" s="435" t="s">
        <v>12518</v>
      </c>
      <c r="AX2052" s="68" t="s">
        <v>143</v>
      </c>
      <c r="AY2052" s="61" t="str">
        <f>IFERROR(__xludf.DUMMYFUNCTION("vlookup(BB2052,importrange(""https://docs.google.com/spreadsheets/d/1d2vevQ_7D_v35q4wCQ4RpQ_IPoTwEMB9Yp6ymwlPqew/edit?gid=984458430#gid=984458430"", ""'replication success'!A:K""), 11, FAlSE)"),"")</f>
        <v/>
      </c>
      <c r="AZ2052" s="61" t="str">
        <f>IFERROR(__xludf.DUMMYFUNCTION("vlookup(BB2052,importrange(""https://docs.google.com/spreadsheets/d/1d2vevQ_7D_v35q4wCQ4RpQ_IPoTwEMB9Yp6ymwlPqew/edit?gid=984458430#gid=984458430"", ""'replication success'!A:M""), 12, FAlSE)"),"")</f>
        <v/>
      </c>
      <c r="BA2052" s="61" t="str">
        <f>IFERROR(__xludf.DUMMYFUNCTION("vlookup(BB2052,importrange(""https://docs.google.com/spreadsheets/d/1d2vevQ_7D_v35q4wCQ4RpQ_IPoTwEMB9Yp6ymwlPqew/edit?gid=984458430#gid=984458430"", ""'replication success'!A:M""), 13, FAlSE)"),"abstract")</f>
        <v>abstract</v>
      </c>
      <c r="BB2052" s="61" t="str">
        <f>IFERROR(__xludf.DUMMYFUNCTION("REGEXREPLACE(G2052, ""_[a-z]{1,2}$"", """")"),"osc201584")</f>
        <v>osc201584</v>
      </c>
      <c r="BD2052" s="68" t="s">
        <v>1441</v>
      </c>
    </row>
    <row r="2053">
      <c r="A2053" s="44">
        <v>2053.0</v>
      </c>
      <c r="B2053" s="68" t="s">
        <v>114</v>
      </c>
      <c r="C2053" s="62" t="s">
        <v>115</v>
      </c>
      <c r="D2053" s="62" t="s">
        <v>153</v>
      </c>
      <c r="F2053" s="159" t="s">
        <v>12505</v>
      </c>
      <c r="G2053" s="1449" t="s">
        <v>12506</v>
      </c>
      <c r="H2053" s="159" t="s">
        <v>12519</v>
      </c>
      <c r="I2053" s="529">
        <v>45690.0</v>
      </c>
      <c r="J2053" s="1376">
        <v>45693.0</v>
      </c>
      <c r="K2053" s="159" t="s">
        <v>12520</v>
      </c>
      <c r="L2053" s="68"/>
      <c r="M2053" s="1909" t="s">
        <v>12509</v>
      </c>
      <c r="N2053" s="159" t="s">
        <v>5759</v>
      </c>
      <c r="O2053" s="156">
        <v>4.0</v>
      </c>
      <c r="P2053" s="382" t="s">
        <v>12510</v>
      </c>
      <c r="Q2053" s="52" t="str">
        <f t="array" ref="Q2053"> if(iserror(MATCH(V2053, 'File Links'!C:C, 0)), "N/A", HYPERLINK(INDEX('File Links'!B:B, MATCH(P2053, 'File Links'!C:C, 0))))</f>
        <v>https://drive.google.com/file/d/15DQQpECVr9NdJZ7O7RNWRdNwXQ6KQeXe/view?usp=drivesdk</v>
      </c>
      <c r="R2053" s="159" t="s">
        <v>12511</v>
      </c>
      <c r="S2053" s="437" t="s">
        <v>10720</v>
      </c>
      <c r="T2053" s="129"/>
      <c r="U2053" s="336">
        <v>1.0</v>
      </c>
      <c r="V2053" s="198" t="str">
        <f t="shared" si="121"/>
        <v>10.1126--science.aac4716.pdf</v>
      </c>
      <c r="W2053" s="159" t="s">
        <v>164</v>
      </c>
      <c r="X2053" s="54" t="str">
        <f t="array" ref="X2053"> if(iserror(MATCH(V2053, 'File Links'!C:C, 0)), "N/A", HYPERLINK(INDEX('File Links'!B:B, MATCH(V2053, 'File Links'!C:C, 0))))</f>
        <v>https://drive.google.com/file/d/1UMAh9VGta6ExS2-Lb6GkDF4fmnI2EMeM/view?usp=drivesdk</v>
      </c>
      <c r="Y2053" s="68"/>
      <c r="Z2053" s="159" t="s">
        <v>226</v>
      </c>
      <c r="AA2053" s="159" t="s">
        <v>12521</v>
      </c>
      <c r="AB2053" s="159" t="s">
        <v>12522</v>
      </c>
      <c r="AC2053" s="159" t="s">
        <v>12514</v>
      </c>
      <c r="AD2053" s="151" t="s">
        <v>12523</v>
      </c>
      <c r="AE2053" s="156">
        <v>11.0</v>
      </c>
      <c r="AF2053" s="156">
        <v>52.0</v>
      </c>
      <c r="AG2053" s="151" t="s">
        <v>12516</v>
      </c>
      <c r="AH2053" s="159" t="s">
        <v>134</v>
      </c>
      <c r="AI2053" s="159" t="s">
        <v>307</v>
      </c>
      <c r="AJ2053" s="337">
        <v>0.001</v>
      </c>
      <c r="AK2053" s="57" t="s">
        <v>172</v>
      </c>
      <c r="AL2053" s="57" t="s">
        <v>186</v>
      </c>
      <c r="AM2053" s="1915" t="s">
        <v>137</v>
      </c>
      <c r="AN2053" s="1058" t="s">
        <v>138</v>
      </c>
      <c r="AO2053" s="156">
        <v>150.0</v>
      </c>
      <c r="AP2053" s="159" t="s">
        <v>12524</v>
      </c>
      <c r="AQ2053" s="159" t="s">
        <v>134</v>
      </c>
      <c r="AR2053" s="159" t="s">
        <v>850</v>
      </c>
      <c r="AS2053" s="156">
        <v>0.008</v>
      </c>
      <c r="AT2053" s="159" t="s">
        <v>172</v>
      </c>
      <c r="AU2053" s="159" t="s">
        <v>186</v>
      </c>
      <c r="AV2053" s="1915" t="s">
        <v>137</v>
      </c>
      <c r="AW2053" s="435" t="s">
        <v>12525</v>
      </c>
      <c r="AX2053" s="68" t="s">
        <v>151</v>
      </c>
      <c r="AY2053" s="61" t="str">
        <f>IFERROR(__xludf.DUMMYFUNCTION("vlookup(BB2053,importrange(""https://docs.google.com/spreadsheets/d/1d2vevQ_7D_v35q4wCQ4RpQ_IPoTwEMB9Yp6ymwlPqew/edit?gid=984458430#gid=984458430"", ""'replication success'!A:K""), 11, FAlSE)"),"")</f>
        <v/>
      </c>
      <c r="AZ2053" s="61" t="str">
        <f>IFERROR(__xludf.DUMMYFUNCTION("vlookup(BB2053,importrange(""https://docs.google.com/spreadsheets/d/1d2vevQ_7D_v35q4wCQ4RpQ_IPoTwEMB9Yp6ymwlPqew/edit?gid=984458430#gid=984458430"", ""'replication success'!A:M""), 12, FAlSE)"),"")</f>
        <v/>
      </c>
      <c r="BA2053" s="61" t="str">
        <f>IFERROR(__xludf.DUMMYFUNCTION("vlookup(BB2053,importrange(""https://docs.google.com/spreadsheets/d/1d2vevQ_7D_v35q4wCQ4RpQ_IPoTwEMB9Yp6ymwlPqew/edit?gid=984458430#gid=984458430"", ""'replication success'!A:M""), 13, FAlSE)"),"abstract")</f>
        <v>abstract</v>
      </c>
      <c r="BB2053" s="61" t="str">
        <f>IFERROR(__xludf.DUMMYFUNCTION("REGEXREPLACE(G2053, ""_[a-z]{1,2}$"", """")"),"osc201584")</f>
        <v>osc201584</v>
      </c>
      <c r="BD2053" s="68" t="s">
        <v>1441</v>
      </c>
    </row>
    <row r="2054">
      <c r="A2054" s="44">
        <v>2054.0</v>
      </c>
      <c r="B2054" s="68" t="s">
        <v>114</v>
      </c>
      <c r="C2054" s="62" t="s">
        <v>115</v>
      </c>
      <c r="D2054" s="62" t="s">
        <v>1441</v>
      </c>
      <c r="F2054" s="159" t="s">
        <v>12526</v>
      </c>
      <c r="G2054" s="1449" t="s">
        <v>12527</v>
      </c>
      <c r="H2054" s="159" t="s">
        <v>12528</v>
      </c>
      <c r="I2054" s="529">
        <v>45690.0</v>
      </c>
      <c r="J2054" s="1376">
        <v>45693.0</v>
      </c>
      <c r="K2054" s="594" t="s">
        <v>12529</v>
      </c>
      <c r="L2054" s="68"/>
      <c r="M2054" s="1909" t="s">
        <v>12530</v>
      </c>
      <c r="N2054" s="437" t="s">
        <v>12531</v>
      </c>
      <c r="O2054" s="336">
        <v>2.0</v>
      </c>
      <c r="P2054" s="382" t="s">
        <v>12532</v>
      </c>
      <c r="Q2054" s="52" t="str">
        <f t="array" ref="Q2054"> if(iserror(MATCH(V2054, 'File Links'!C:C, 0)), "N/A", HYPERLINK(INDEX('File Links'!B:B, MATCH(P2054, 'File Links'!C:C, 0))))</f>
        <v>https://drive.google.com/file/d/1HdBN17kLB5Dti11EcyS-dTKrGQBVVhsc/view?usp=drivesdk</v>
      </c>
      <c r="R2054" s="159" t="s">
        <v>12533</v>
      </c>
      <c r="S2054" s="437" t="s">
        <v>10720</v>
      </c>
      <c r="T2054" s="68"/>
      <c r="U2054" s="336"/>
      <c r="V2054" s="198" t="str">
        <f t="shared" si="121"/>
        <v>10.1126--science.aac4716.pdf</v>
      </c>
      <c r="W2054" s="68" t="s">
        <v>164</v>
      </c>
      <c r="X2054" s="54" t="str">
        <f t="array" ref="X2054"> if(iserror(MATCH(V2054, 'File Links'!C:C, 0)), "N/A", HYPERLINK(INDEX('File Links'!B:B, MATCH(V2054, 'File Links'!C:C, 0))))</f>
        <v>https://drive.google.com/file/d/1UMAh9VGta6ExS2-Lb6GkDF4fmnI2EMeM/view?usp=drivesdk</v>
      </c>
      <c r="Y2054" s="68"/>
      <c r="Z2054" s="68" t="s">
        <v>226</v>
      </c>
      <c r="AA2054" s="68" t="s">
        <v>12534</v>
      </c>
      <c r="AB2054" s="159" t="s">
        <v>12535</v>
      </c>
      <c r="AC2054" s="159" t="s">
        <v>12536</v>
      </c>
      <c r="AD2054" s="68" t="s">
        <v>12537</v>
      </c>
      <c r="AE2054" s="336">
        <v>6.0</v>
      </c>
      <c r="AF2054" s="156">
        <v>85.0</v>
      </c>
      <c r="AG2054" s="336">
        <v>0.09</v>
      </c>
      <c r="AH2054" s="68" t="s">
        <v>139</v>
      </c>
      <c r="AI2054" s="68" t="s">
        <v>140</v>
      </c>
      <c r="AJ2054" s="337">
        <v>0.02</v>
      </c>
      <c r="AK2054" s="61" t="s">
        <v>135</v>
      </c>
      <c r="AL2054" s="61" t="s">
        <v>186</v>
      </c>
      <c r="AM2054" s="68" t="s">
        <v>137</v>
      </c>
      <c r="AN2054" s="1058" t="s">
        <v>138</v>
      </c>
      <c r="AO2054" s="336">
        <v>140.0</v>
      </c>
      <c r="AP2054" s="336">
        <v>0.01</v>
      </c>
      <c r="AQ2054" s="68" t="s">
        <v>139</v>
      </c>
      <c r="AR2054" s="68" t="s">
        <v>813</v>
      </c>
      <c r="AS2054" s="336">
        <v>0.7</v>
      </c>
      <c r="AT2054" s="68" t="s">
        <v>172</v>
      </c>
      <c r="AU2054" s="68" t="s">
        <v>186</v>
      </c>
      <c r="AV2054" s="68" t="s">
        <v>141</v>
      </c>
      <c r="AW2054" s="129" t="s">
        <v>138</v>
      </c>
      <c r="AX2054" s="68" t="s">
        <v>143</v>
      </c>
      <c r="AY2054" s="61" t="str">
        <f>IFERROR(__xludf.DUMMYFUNCTION("vlookup(BB2054,importrange(""https://docs.google.com/spreadsheets/d/1d2vevQ_7D_v35q4wCQ4RpQ_IPoTwEMB9Yp6ymwlPqew/edit?gid=984458430#gid=984458430"", ""'replication success'!A:K""), 11, FAlSE)"),"")</f>
        <v/>
      </c>
      <c r="AZ2054" s="61" t="str">
        <f>IFERROR(__xludf.DUMMYFUNCTION("vlookup(BB2054,importrange(""https://docs.google.com/spreadsheets/d/1d2vevQ_7D_v35q4wCQ4RpQ_IPoTwEMB9Yp6ymwlPqew/edit?gid=984458430#gid=984458430"", ""'replication success'!A:M""), 12, FAlSE)"),"")</f>
        <v/>
      </c>
      <c r="BA2054" s="61" t="str">
        <f>IFERROR(__xludf.DUMMYFUNCTION("vlookup(BB2054,importrange(""https://docs.google.com/spreadsheets/d/1d2vevQ_7D_v35q4wCQ4RpQ_IPoTwEMB9Yp6ymwlPqew/edit?gid=984458430#gid=984458430"", ""'replication success'!A:M""), 13, FAlSE)"),"abstract")</f>
        <v>abstract</v>
      </c>
      <c r="BB2054" s="61" t="str">
        <f>IFERROR(__xludf.DUMMYFUNCTION("REGEXREPLACE(G2054, ""_[a-z]{1,2}$"", """")"),"osc201586")</f>
        <v>osc201586</v>
      </c>
      <c r="BD2054" s="68" t="s">
        <v>1441</v>
      </c>
    </row>
    <row r="2055">
      <c r="A2055" s="44">
        <v>2055.0</v>
      </c>
      <c r="B2055" s="68" t="s">
        <v>152</v>
      </c>
      <c r="C2055" s="62" t="s">
        <v>115</v>
      </c>
      <c r="D2055" s="62" t="s">
        <v>153</v>
      </c>
      <c r="F2055" s="159" t="s">
        <v>12526</v>
      </c>
      <c r="G2055" s="1449" t="s">
        <v>12538</v>
      </c>
      <c r="H2055" s="159" t="s">
        <v>153</v>
      </c>
      <c r="I2055" s="529">
        <v>45690.0</v>
      </c>
      <c r="J2055" s="1376">
        <v>45693.0</v>
      </c>
      <c r="K2055" s="159" t="s">
        <v>12539</v>
      </c>
      <c r="L2055" s="68"/>
      <c r="M2055" s="1909" t="s">
        <v>12530</v>
      </c>
      <c r="N2055" s="437" t="s">
        <v>12531</v>
      </c>
      <c r="O2055" s="156">
        <v>2.0</v>
      </c>
      <c r="P2055" s="382" t="s">
        <v>12532</v>
      </c>
      <c r="Q2055" s="52" t="str">
        <f t="array" ref="Q2055"> if(iserror(MATCH(V2055, 'File Links'!C:C, 0)), "N/A", HYPERLINK(INDEX('File Links'!B:B, MATCH(P2055, 'File Links'!C:C, 0))))</f>
        <v>https://drive.google.com/file/d/1HdBN17kLB5Dti11EcyS-dTKrGQBVVhsc/view?usp=drivesdk</v>
      </c>
      <c r="R2055" s="159" t="s">
        <v>12533</v>
      </c>
      <c r="S2055" s="437" t="s">
        <v>10720</v>
      </c>
      <c r="T2055" s="68"/>
      <c r="U2055" s="336">
        <v>1.0</v>
      </c>
      <c r="V2055" s="198" t="str">
        <f t="shared" si="121"/>
        <v>10.1126--science.aac4716.pdf</v>
      </c>
      <c r="W2055" s="159" t="s">
        <v>164</v>
      </c>
      <c r="X2055" s="54" t="str">
        <f t="array" ref="X2055"> if(iserror(MATCH(V2055, 'File Links'!C:C, 0)), "N/A", HYPERLINK(INDEX('File Links'!B:B, MATCH(V2055, 'File Links'!C:C, 0))))</f>
        <v>https://drive.google.com/file/d/1UMAh9VGta6ExS2-Lb6GkDF4fmnI2EMeM/view?usp=drivesdk</v>
      </c>
      <c r="Y2055" s="68"/>
      <c r="Z2055" s="159" t="s">
        <v>226</v>
      </c>
      <c r="AA2055" s="159" t="s">
        <v>12540</v>
      </c>
      <c r="AB2055" s="159" t="s">
        <v>12541</v>
      </c>
      <c r="AC2055" s="159" t="s">
        <v>12542</v>
      </c>
      <c r="AD2055" s="1910" t="s">
        <v>12537</v>
      </c>
      <c r="AE2055" s="336">
        <v>6.0</v>
      </c>
      <c r="AF2055" s="336">
        <v>85.0</v>
      </c>
      <c r="AG2055" s="336">
        <v>0.09</v>
      </c>
      <c r="AH2055" s="159" t="s">
        <v>139</v>
      </c>
      <c r="AI2055" s="68" t="s">
        <v>140</v>
      </c>
      <c r="AJ2055" s="337">
        <v>0.02</v>
      </c>
      <c r="AK2055" s="57" t="s">
        <v>135</v>
      </c>
      <c r="AL2055" s="57" t="s">
        <v>186</v>
      </c>
      <c r="AM2055" s="68" t="s">
        <v>137</v>
      </c>
      <c r="AN2055" s="1058" t="s">
        <v>138</v>
      </c>
      <c r="AO2055" s="336">
        <v>140.0</v>
      </c>
      <c r="AP2055" s="336">
        <v>0.01</v>
      </c>
      <c r="AQ2055" s="159" t="s">
        <v>139</v>
      </c>
      <c r="AR2055" s="68" t="s">
        <v>813</v>
      </c>
      <c r="AS2055" s="336">
        <v>0.7</v>
      </c>
      <c r="AT2055" s="159" t="s">
        <v>172</v>
      </c>
      <c r="AU2055" s="159" t="s">
        <v>186</v>
      </c>
      <c r="AV2055" s="68" t="s">
        <v>141</v>
      </c>
      <c r="AW2055" s="435" t="s">
        <v>12543</v>
      </c>
      <c r="AX2055" s="68" t="s">
        <v>143</v>
      </c>
      <c r="AY2055" s="61" t="str">
        <f>IFERROR(__xludf.DUMMYFUNCTION("vlookup(BB2055,importrange(""https://docs.google.com/spreadsheets/d/1d2vevQ_7D_v35q4wCQ4RpQ_IPoTwEMB9Yp6ymwlPqew/edit?gid=984458430#gid=984458430"", ""'replication success'!A:K""), 11, FAlSE)"),"")</f>
        <v/>
      </c>
      <c r="AZ2055" s="61" t="str">
        <f>IFERROR(__xludf.DUMMYFUNCTION("vlookup(BB2055,importrange(""https://docs.google.com/spreadsheets/d/1d2vevQ_7D_v35q4wCQ4RpQ_IPoTwEMB9Yp6ymwlPqew/edit?gid=984458430#gid=984458430"", ""'replication success'!A:M""), 12, FAlSE)"),"")</f>
        <v/>
      </c>
      <c r="BA2055" s="61" t="str">
        <f>IFERROR(__xludf.DUMMYFUNCTION("vlookup(BB2055,importrange(""https://docs.google.com/spreadsheets/d/1d2vevQ_7D_v35q4wCQ4RpQ_IPoTwEMB9Yp6ymwlPqew/edit?gid=984458430#gid=984458430"", ""'replication success'!A:M""), 13, FAlSE)"),"abstract")</f>
        <v>abstract</v>
      </c>
      <c r="BB2055" s="61" t="str">
        <f>IFERROR(__xludf.DUMMYFUNCTION("REGEXREPLACE(G2055, ""_[a-z]{1,2}$"", """")"),"osc201586")</f>
        <v>osc201586</v>
      </c>
      <c r="BD2055" s="68" t="s">
        <v>1441</v>
      </c>
    </row>
    <row r="2056">
      <c r="A2056" s="44">
        <v>2056.0</v>
      </c>
      <c r="B2056" s="68" t="s">
        <v>152</v>
      </c>
      <c r="C2056" s="62" t="s">
        <v>115</v>
      </c>
      <c r="D2056" s="62" t="s">
        <v>1441</v>
      </c>
      <c r="F2056" s="159" t="s">
        <v>12544</v>
      </c>
      <c r="G2056" s="1449" t="s">
        <v>12545</v>
      </c>
      <c r="H2056" s="159" t="s">
        <v>12546</v>
      </c>
      <c r="I2056" s="529">
        <v>45690.0</v>
      </c>
      <c r="J2056" s="1376">
        <v>45693.0</v>
      </c>
      <c r="K2056" s="68" t="s">
        <v>12547</v>
      </c>
      <c r="L2056" s="68"/>
      <c r="M2056" s="1909" t="s">
        <v>12548</v>
      </c>
      <c r="N2056" s="159" t="s">
        <v>12549</v>
      </c>
      <c r="O2056" s="336">
        <v>4.0</v>
      </c>
      <c r="P2056" s="382" t="s">
        <v>12550</v>
      </c>
      <c r="Q2056" s="52" t="str">
        <f t="array" ref="Q2056"> if(iserror(MATCH(V2056, 'File Links'!C:C, 0)), "N/A", HYPERLINK(INDEX('File Links'!B:B, MATCH(P2056, 'File Links'!C:C, 0))))</f>
        <v>https://drive.google.com/file/d/1Ic6aADz9FFftbyqRAxUFmh-o53coOang/view?usp=drivesdk</v>
      </c>
      <c r="R2056" s="159" t="s">
        <v>12551</v>
      </c>
      <c r="S2056" s="437" t="s">
        <v>10720</v>
      </c>
      <c r="T2056" s="129"/>
      <c r="U2056" s="336">
        <v>1.0</v>
      </c>
      <c r="V2056" s="198" t="str">
        <f t="shared" si="121"/>
        <v>10.1126--science.aac4716.pdf</v>
      </c>
      <c r="W2056" s="68" t="s">
        <v>164</v>
      </c>
      <c r="X2056" s="54" t="str">
        <f t="array" ref="X2056"> if(iserror(MATCH(V2056, 'File Links'!C:C, 0)), "N/A", HYPERLINK(INDEX('File Links'!B:B, MATCH(V2056, 'File Links'!C:C, 0))))</f>
        <v>https://drive.google.com/file/d/1UMAh9VGta6ExS2-Lb6GkDF4fmnI2EMeM/view?usp=drivesdk</v>
      </c>
      <c r="Y2056" s="68"/>
      <c r="Z2056" s="68" t="s">
        <v>226</v>
      </c>
      <c r="AA2056" s="68" t="s">
        <v>12552</v>
      </c>
      <c r="AB2056" s="159" t="s">
        <v>12553</v>
      </c>
      <c r="AC2056" s="1934" t="s">
        <v>12554</v>
      </c>
      <c r="AD2056" s="68" t="s">
        <v>12555</v>
      </c>
      <c r="AE2056" s="336">
        <v>12.0</v>
      </c>
      <c r="AF2056" s="156">
        <v>55.0</v>
      </c>
      <c r="AG2056" s="336">
        <v>0.16</v>
      </c>
      <c r="AH2056" s="68" t="s">
        <v>139</v>
      </c>
      <c r="AI2056" s="68" t="s">
        <v>612</v>
      </c>
      <c r="AJ2056" s="337">
        <v>0.01</v>
      </c>
      <c r="AK2056" s="61" t="s">
        <v>135</v>
      </c>
      <c r="AL2056" s="61" t="s">
        <v>186</v>
      </c>
      <c r="AM2056" s="68" t="s">
        <v>137</v>
      </c>
      <c r="AN2056" s="1058" t="s">
        <v>138</v>
      </c>
      <c r="AO2056" s="156">
        <v>51.0</v>
      </c>
      <c r="AP2056" s="68" t="s">
        <v>12556</v>
      </c>
      <c r="AQ2056" s="68" t="s">
        <v>134</v>
      </c>
      <c r="AR2056" s="68" t="s">
        <v>140</v>
      </c>
      <c r="AS2056" s="336">
        <v>0.93</v>
      </c>
      <c r="AT2056" s="68" t="s">
        <v>172</v>
      </c>
      <c r="AU2056" s="68" t="s">
        <v>186</v>
      </c>
      <c r="AV2056" s="68" t="s">
        <v>137</v>
      </c>
      <c r="AW2056" s="435" t="s">
        <v>12557</v>
      </c>
      <c r="AX2056" s="68" t="s">
        <v>151</v>
      </c>
      <c r="AY2056" s="61" t="str">
        <f>IFERROR(__xludf.DUMMYFUNCTION("vlookup(BB2056,importrange(""https://docs.google.com/spreadsheets/d/1d2vevQ_7D_v35q4wCQ4RpQ_IPoTwEMB9Yp6ymwlPqew/edit?gid=984458430#gid=984458430"", ""'replication success'!A:K""), 11, FAlSE)"),"")</f>
        <v/>
      </c>
      <c r="AZ2056" s="61" t="str">
        <f>IFERROR(__xludf.DUMMYFUNCTION("vlookup(BB2056,importrange(""https://docs.google.com/spreadsheets/d/1d2vevQ_7D_v35q4wCQ4RpQ_IPoTwEMB9Yp6ymwlPqew/edit?gid=984458430#gid=984458430"", ""'replication success'!A:M""), 12, FAlSE)"),"")</f>
        <v/>
      </c>
      <c r="BA2056" s="61" t="str">
        <f>IFERROR(__xludf.DUMMYFUNCTION("vlookup(BB2056,importrange(""https://docs.google.com/spreadsheets/d/1d2vevQ_7D_v35q4wCQ4RpQ_IPoTwEMB9Yp6ymwlPqew/edit?gid=984458430#gid=984458430"", ""'replication success'!A:M""), 13, FAlSE)"),"abstract")</f>
        <v>abstract</v>
      </c>
      <c r="BB2056" s="61" t="str">
        <f>IFERROR(__xludf.DUMMYFUNCTION("REGEXREPLACE(G2056, ""_[a-z]{1,2}$"", """")"),"osc201587")</f>
        <v>osc201587</v>
      </c>
      <c r="BD2056" s="68" t="s">
        <v>1441</v>
      </c>
    </row>
    <row r="2057">
      <c r="A2057" s="44">
        <v>2057.0</v>
      </c>
      <c r="B2057" s="68" t="s">
        <v>114</v>
      </c>
      <c r="C2057" s="62" t="s">
        <v>115</v>
      </c>
      <c r="D2057" s="62" t="s">
        <v>153</v>
      </c>
      <c r="F2057" s="159" t="s">
        <v>12544</v>
      </c>
      <c r="G2057" s="1449" t="s">
        <v>12558</v>
      </c>
      <c r="H2057" s="159" t="s">
        <v>153</v>
      </c>
      <c r="I2057" s="529">
        <v>45690.0</v>
      </c>
      <c r="J2057" s="1376">
        <v>45693.0</v>
      </c>
      <c r="K2057" s="159" t="s">
        <v>12559</v>
      </c>
      <c r="L2057" s="68"/>
      <c r="M2057" s="1909" t="s">
        <v>12548</v>
      </c>
      <c r="N2057" s="437" t="s">
        <v>12549</v>
      </c>
      <c r="O2057" s="156">
        <v>4.0</v>
      </c>
      <c r="P2057" s="382" t="s">
        <v>12550</v>
      </c>
      <c r="Q2057" s="52" t="str">
        <f t="array" ref="Q2057"> if(iserror(MATCH(V2057, 'File Links'!C:C, 0)), "N/A", HYPERLINK(INDEX('File Links'!B:B, MATCH(P2057, 'File Links'!C:C, 0))))</f>
        <v>https://drive.google.com/file/d/1Ic6aADz9FFftbyqRAxUFmh-o53coOang/view?usp=drivesdk</v>
      </c>
      <c r="R2057" s="159" t="s">
        <v>12551</v>
      </c>
      <c r="S2057" s="437" t="s">
        <v>10720</v>
      </c>
      <c r="T2057" s="68"/>
      <c r="U2057" s="336">
        <v>1.0</v>
      </c>
      <c r="V2057" s="198" t="str">
        <f t="shared" si="121"/>
        <v>10.1126--science.aac4716.pdf</v>
      </c>
      <c r="W2057" s="159" t="s">
        <v>164</v>
      </c>
      <c r="X2057" s="54" t="str">
        <f t="array" ref="X2057"> if(iserror(MATCH(V2057, 'File Links'!C:C, 0)), "N/A", HYPERLINK(INDEX('File Links'!B:B, MATCH(V2057, 'File Links'!C:C, 0))))</f>
        <v>https://drive.google.com/file/d/1UMAh9VGta6ExS2-Lb6GkDF4fmnI2EMeM/view?usp=drivesdk</v>
      </c>
      <c r="Y2057" s="68"/>
      <c r="Z2057" s="159" t="s">
        <v>226</v>
      </c>
      <c r="AA2057" s="159" t="s">
        <v>12560</v>
      </c>
      <c r="AB2057" s="437" t="s">
        <v>12561</v>
      </c>
      <c r="AC2057" s="437" t="s">
        <v>12554</v>
      </c>
      <c r="AD2057" s="159" t="s">
        <v>12562</v>
      </c>
      <c r="AE2057" s="156">
        <v>12.0</v>
      </c>
      <c r="AF2057" s="156">
        <v>55.0</v>
      </c>
      <c r="AG2057" s="156">
        <v>0.16</v>
      </c>
      <c r="AH2057" s="159" t="s">
        <v>139</v>
      </c>
      <c r="AI2057" s="159" t="s">
        <v>612</v>
      </c>
      <c r="AJ2057" s="337">
        <v>0.01</v>
      </c>
      <c r="AK2057" s="57" t="s">
        <v>135</v>
      </c>
      <c r="AL2057" s="57" t="s">
        <v>186</v>
      </c>
      <c r="AM2057" s="1915" t="s">
        <v>141</v>
      </c>
      <c r="AN2057" s="1058" t="s">
        <v>138</v>
      </c>
      <c r="AO2057" s="336">
        <v>51.0</v>
      </c>
      <c r="AP2057" s="336" t="s">
        <v>12563</v>
      </c>
      <c r="AQ2057" s="159" t="s">
        <v>134</v>
      </c>
      <c r="AR2057" s="159" t="s">
        <v>140</v>
      </c>
      <c r="AS2057" s="156">
        <v>0.93</v>
      </c>
      <c r="AT2057" s="159" t="s">
        <v>172</v>
      </c>
      <c r="AU2057" s="159" t="s">
        <v>186</v>
      </c>
      <c r="AV2057" s="1915" t="s">
        <v>141</v>
      </c>
      <c r="AW2057" s="435" t="s">
        <v>12557</v>
      </c>
      <c r="AX2057" s="68" t="s">
        <v>151</v>
      </c>
      <c r="AY2057" s="61" t="str">
        <f>IFERROR(__xludf.DUMMYFUNCTION("vlookup(BB2057,importrange(""https://docs.google.com/spreadsheets/d/1d2vevQ_7D_v35q4wCQ4RpQ_IPoTwEMB9Yp6ymwlPqew/edit?gid=984458430#gid=984458430"", ""'replication success'!A:K""), 11, FAlSE)"),"")</f>
        <v/>
      </c>
      <c r="AZ2057" s="61" t="str">
        <f>IFERROR(__xludf.DUMMYFUNCTION("vlookup(BB2057,importrange(""https://docs.google.com/spreadsheets/d/1d2vevQ_7D_v35q4wCQ4RpQ_IPoTwEMB9Yp6ymwlPqew/edit?gid=984458430#gid=984458430"", ""'replication success'!A:M""), 12, FAlSE)"),"")</f>
        <v/>
      </c>
      <c r="BA2057" s="61" t="str">
        <f>IFERROR(__xludf.DUMMYFUNCTION("vlookup(BB2057,importrange(""https://docs.google.com/spreadsheets/d/1d2vevQ_7D_v35q4wCQ4RpQ_IPoTwEMB9Yp6ymwlPqew/edit?gid=984458430#gid=984458430"", ""'replication success'!A:M""), 13, FAlSE)"),"abstract")</f>
        <v>abstract</v>
      </c>
      <c r="BB2057" s="61" t="str">
        <f>IFERROR(__xludf.DUMMYFUNCTION("REGEXREPLACE(G2057, ""_[a-z]{1,2}$"", """")"),"osc201587")</f>
        <v>osc201587</v>
      </c>
      <c r="BD2057" s="68" t="s">
        <v>1441</v>
      </c>
    </row>
    <row r="2058">
      <c r="A2058" s="44">
        <v>2058.0</v>
      </c>
      <c r="B2058" s="68" t="s">
        <v>152</v>
      </c>
      <c r="C2058" s="188" t="s">
        <v>115</v>
      </c>
      <c r="D2058" s="188" t="s">
        <v>1441</v>
      </c>
      <c r="E2058" s="189"/>
      <c r="F2058" s="198" t="s">
        <v>12564</v>
      </c>
      <c r="G2058" s="58" t="s">
        <v>12565</v>
      </c>
      <c r="H2058" s="198" t="s">
        <v>12566</v>
      </c>
      <c r="I2058" s="1332">
        <v>45690.0</v>
      </c>
      <c r="J2058" s="1376">
        <v>45693.0</v>
      </c>
      <c r="K2058" s="190" t="s">
        <v>12567</v>
      </c>
      <c r="L2058" s="374" t="s">
        <v>12568</v>
      </c>
      <c r="M2058" s="1935" t="s">
        <v>12569</v>
      </c>
      <c r="N2058" s="369" t="s">
        <v>12570</v>
      </c>
      <c r="O2058" s="1096">
        <v>1.0</v>
      </c>
      <c r="P2058" s="198" t="s">
        <v>12571</v>
      </c>
      <c r="Q2058" s="52" t="str">
        <f t="array" ref="Q2058"> if(iserror(MATCH(V2058, 'File Links'!C:C, 0)), "N/A", HYPERLINK(INDEX('File Links'!B:B, MATCH(P2058, 'File Links'!C:C, 0))))</f>
        <v>https://drive.google.com/file/d/1eQcmhUZAM11qxH-mwM6jAouV_rCECXvM/view?usp=drivesdk</v>
      </c>
      <c r="R2058" s="198" t="s">
        <v>12572</v>
      </c>
      <c r="S2058" s="369" t="s">
        <v>10720</v>
      </c>
      <c r="T2058" s="190"/>
      <c r="U2058" s="750" t="s">
        <v>12572</v>
      </c>
      <c r="V2058" s="198" t="str">
        <f t="shared" si="121"/>
        <v>10.1126--science.aac4716.pdf</v>
      </c>
      <c r="W2058" s="190" t="s">
        <v>164</v>
      </c>
      <c r="X2058" s="54" t="str">
        <f t="array" ref="X2058"> if(iserror(MATCH(V2058, 'File Links'!C:C, 0)), "N/A", HYPERLINK(INDEX('File Links'!B:B, MATCH(V2058, 'File Links'!C:C, 0))))</f>
        <v>https://drive.google.com/file/d/1UMAh9VGta6ExS2-Lb6GkDF4fmnI2EMeM/view?usp=drivesdk</v>
      </c>
      <c r="Y2058" s="190"/>
      <c r="Z2058" s="190" t="s">
        <v>226</v>
      </c>
      <c r="AA2058" s="190" t="s">
        <v>12573</v>
      </c>
      <c r="AB2058" s="575" t="s">
        <v>12574</v>
      </c>
      <c r="AC2058" s="198" t="s">
        <v>12575</v>
      </c>
      <c r="AD2058" s="190" t="s">
        <v>12576</v>
      </c>
      <c r="AE2058" s="750">
        <v>9.0</v>
      </c>
      <c r="AF2058" s="758">
        <v>163.0</v>
      </c>
      <c r="AG2058" s="750">
        <v>-0.04</v>
      </c>
      <c r="AH2058" s="190" t="s">
        <v>215</v>
      </c>
      <c r="AI2058" s="190" t="s">
        <v>628</v>
      </c>
      <c r="AJ2058" s="1128">
        <v>0.48</v>
      </c>
      <c r="AK2058" s="193" t="s">
        <v>172</v>
      </c>
      <c r="AL2058" s="193" t="s">
        <v>186</v>
      </c>
      <c r="AM2058" s="190" t="s">
        <v>137</v>
      </c>
      <c r="AN2058" s="1094" t="s">
        <v>138</v>
      </c>
      <c r="AO2058" s="750">
        <v>304.0</v>
      </c>
      <c r="AP2058" s="1936" t="s">
        <v>12577</v>
      </c>
      <c r="AQ2058" s="190" t="s">
        <v>215</v>
      </c>
      <c r="AR2058" s="198" t="s">
        <v>627</v>
      </c>
      <c r="AS2058" s="1937">
        <v>0.42</v>
      </c>
      <c r="AT2058" s="190" t="s">
        <v>172</v>
      </c>
      <c r="AU2058" s="190" t="s">
        <v>186</v>
      </c>
      <c r="AV2058" s="190" t="s">
        <v>137</v>
      </c>
      <c r="AW2058" s="877" t="s">
        <v>12578</v>
      </c>
      <c r="AX2058" s="190" t="s">
        <v>143</v>
      </c>
      <c r="AY2058" s="61" t="str">
        <f>IFERROR(__xludf.DUMMYFUNCTION("vlookup(BB2058,importrange(""https://docs.google.com/spreadsheets/d/1d2vevQ_7D_v35q4wCQ4RpQ_IPoTwEMB9Yp6ymwlPqew/edit?gid=984458430#gid=984458430"", ""'replication success'!A:K""), 11, FAlSE)"),"")</f>
        <v/>
      </c>
      <c r="AZ2058" s="61" t="str">
        <f>IFERROR(__xludf.DUMMYFUNCTION("vlookup(BB2058,importrange(""https://docs.google.com/spreadsheets/d/1d2vevQ_7D_v35q4wCQ4RpQ_IPoTwEMB9Yp6ymwlPqew/edit?gid=984458430#gid=984458430"", ""'replication success'!A:M""), 12, FAlSE)"),"")</f>
        <v/>
      </c>
      <c r="BA2058" s="61" t="str">
        <f>IFERROR(__xludf.DUMMYFUNCTION("vlookup(BB2058,importrange(""https://docs.google.com/spreadsheets/d/1d2vevQ_7D_v35q4wCQ4RpQ_IPoTwEMB9Yp6ymwlPqew/edit?gid=984458430#gid=984458430"", ""'replication success'!A:M""), 13, FAlSE)"),"abstract")</f>
        <v>abstract</v>
      </c>
      <c r="BB2058" s="61" t="str">
        <f>IFERROR(__xludf.DUMMYFUNCTION("REGEXREPLACE(G2058, ""_[a-z]{1,2}$"", """")"),"osc201589")</f>
        <v>osc201589</v>
      </c>
      <c r="BC2058" s="189"/>
      <c r="BD2058" s="374" t="s">
        <v>12579</v>
      </c>
    </row>
    <row r="2059">
      <c r="A2059" s="44">
        <v>2059.0</v>
      </c>
      <c r="B2059" s="68" t="s">
        <v>114</v>
      </c>
      <c r="C2059" s="188" t="s">
        <v>115</v>
      </c>
      <c r="D2059" s="188" t="s">
        <v>153</v>
      </c>
      <c r="E2059" s="189"/>
      <c r="F2059" s="198" t="s">
        <v>12564</v>
      </c>
      <c r="G2059" s="58" t="s">
        <v>12580</v>
      </c>
      <c r="H2059" s="198" t="s">
        <v>153</v>
      </c>
      <c r="I2059" s="1332">
        <v>45690.0</v>
      </c>
      <c r="J2059" s="1376">
        <v>45693.0</v>
      </c>
      <c r="K2059" s="190" t="s">
        <v>12581</v>
      </c>
      <c r="L2059" s="190" t="s">
        <v>12582</v>
      </c>
      <c r="M2059" s="1935" t="s">
        <v>12569</v>
      </c>
      <c r="N2059" s="369" t="s">
        <v>12570</v>
      </c>
      <c r="O2059" s="758">
        <v>1.0</v>
      </c>
      <c r="P2059" s="198" t="s">
        <v>12571</v>
      </c>
      <c r="Q2059" s="52" t="str">
        <f t="array" ref="Q2059"> if(iserror(MATCH(V2059, 'File Links'!C:C, 0)), "N/A", HYPERLINK(INDEX('File Links'!B:B, MATCH(P2059, 'File Links'!C:C, 0))))</f>
        <v>https://drive.google.com/file/d/1eQcmhUZAM11qxH-mwM6jAouV_rCECXvM/view?usp=drivesdk</v>
      </c>
      <c r="R2059" s="198" t="s">
        <v>12572</v>
      </c>
      <c r="S2059" s="369" t="s">
        <v>10720</v>
      </c>
      <c r="T2059" s="190"/>
      <c r="U2059" s="750" t="s">
        <v>12572</v>
      </c>
      <c r="V2059" s="198" t="str">
        <f t="shared" si="121"/>
        <v>10.1126--science.aac4716.pdf</v>
      </c>
      <c r="W2059" s="198" t="s">
        <v>164</v>
      </c>
      <c r="X2059" s="54" t="str">
        <f t="array" ref="X2059"> if(iserror(MATCH(V2059, 'File Links'!C:C, 0)), "N/A", HYPERLINK(INDEX('File Links'!B:B, MATCH(V2059, 'File Links'!C:C, 0))))</f>
        <v>https://drive.google.com/file/d/1UMAh9VGta6ExS2-Lb6GkDF4fmnI2EMeM/view?usp=drivesdk</v>
      </c>
      <c r="Y2059" s="190"/>
      <c r="Z2059" s="198" t="s">
        <v>226</v>
      </c>
      <c r="AA2059" s="198" t="s">
        <v>12583</v>
      </c>
      <c r="AB2059" s="198" t="s">
        <v>12584</v>
      </c>
      <c r="AC2059" s="198" t="s">
        <v>12585</v>
      </c>
      <c r="AD2059" s="198" t="s">
        <v>12586</v>
      </c>
      <c r="AE2059" s="758">
        <v>9.0</v>
      </c>
      <c r="AF2059" s="758">
        <v>163.0</v>
      </c>
      <c r="AG2059" s="758">
        <v>-0.04</v>
      </c>
      <c r="AH2059" s="198" t="s">
        <v>215</v>
      </c>
      <c r="AI2059" s="198" t="s">
        <v>628</v>
      </c>
      <c r="AJ2059" s="875">
        <v>0.48</v>
      </c>
      <c r="AK2059" s="58" t="s">
        <v>172</v>
      </c>
      <c r="AL2059" s="58" t="s">
        <v>186</v>
      </c>
      <c r="AM2059" s="190" t="s">
        <v>137</v>
      </c>
      <c r="AN2059" s="1094" t="s">
        <v>138</v>
      </c>
      <c r="AO2059" s="750">
        <v>304.0</v>
      </c>
      <c r="AP2059" s="1145">
        <v>0.19</v>
      </c>
      <c r="AQ2059" s="198" t="s">
        <v>215</v>
      </c>
      <c r="AR2059" s="198" t="s">
        <v>627</v>
      </c>
      <c r="AS2059" s="1137">
        <v>0.05</v>
      </c>
      <c r="AT2059" s="198" t="s">
        <v>335</v>
      </c>
      <c r="AU2059" s="198" t="s">
        <v>186</v>
      </c>
      <c r="AV2059" s="190" t="s">
        <v>137</v>
      </c>
      <c r="AW2059" s="877" t="s">
        <v>12578</v>
      </c>
      <c r="AX2059" s="190" t="s">
        <v>151</v>
      </c>
      <c r="AY2059" s="61" t="str">
        <f>IFERROR(__xludf.DUMMYFUNCTION("vlookup(BB2059,importrange(""https://docs.google.com/spreadsheets/d/1d2vevQ_7D_v35q4wCQ4RpQ_IPoTwEMB9Yp6ymwlPqew/edit?gid=984458430#gid=984458430"", ""'replication success'!A:K""), 11, FAlSE)"),"")</f>
        <v/>
      </c>
      <c r="AZ2059" s="61" t="str">
        <f>IFERROR(__xludf.DUMMYFUNCTION("vlookup(BB2059,importrange(""https://docs.google.com/spreadsheets/d/1d2vevQ_7D_v35q4wCQ4RpQ_IPoTwEMB9Yp6ymwlPqew/edit?gid=984458430#gid=984458430"", ""'replication success'!A:M""), 12, FAlSE)"),"")</f>
        <v/>
      </c>
      <c r="BA2059" s="61" t="str">
        <f>IFERROR(__xludf.DUMMYFUNCTION("vlookup(BB2059,importrange(""https://docs.google.com/spreadsheets/d/1d2vevQ_7D_v35q4wCQ4RpQ_IPoTwEMB9Yp6ymwlPqew/edit?gid=984458430#gid=984458430"", ""'replication success'!A:M""), 13, FAlSE)"),"abstract")</f>
        <v>abstract</v>
      </c>
      <c r="BB2059" s="61" t="str">
        <f>IFERROR(__xludf.DUMMYFUNCTION("REGEXREPLACE(G2059, ""_[a-z]{1,2}$"", """")"),"osc201589")</f>
        <v>osc201589</v>
      </c>
      <c r="BC2059" s="189"/>
      <c r="BD2059" s="374" t="s">
        <v>12579</v>
      </c>
    </row>
    <row r="2060">
      <c r="A2060" s="44">
        <v>2060.0</v>
      </c>
      <c r="B2060" s="129" t="s">
        <v>114</v>
      </c>
      <c r="C2060" s="62" t="s">
        <v>115</v>
      </c>
      <c r="D2060" s="62" t="s">
        <v>1441</v>
      </c>
      <c r="F2060" s="360" t="s">
        <v>12587</v>
      </c>
      <c r="G2060" s="47" t="s">
        <v>12588</v>
      </c>
      <c r="H2060" s="360" t="s">
        <v>12589</v>
      </c>
      <c r="I2060" s="529">
        <v>45690.0</v>
      </c>
      <c r="J2060" s="1376">
        <v>45693.0</v>
      </c>
      <c r="K2060" s="46"/>
      <c r="L2060" s="360" t="s">
        <v>12590</v>
      </c>
      <c r="M2060" s="1909" t="s">
        <v>12591</v>
      </c>
      <c r="N2060" s="360" t="s">
        <v>12592</v>
      </c>
      <c r="O2060" s="46"/>
      <c r="P2060" s="360" t="s">
        <v>12593</v>
      </c>
      <c r="Q2060" s="52" t="str">
        <f t="array" ref="Q2060"> if(iserror(MATCH(V2060, 'File Links'!C:C, 0)), "N/A", HYPERLINK(INDEX('File Links'!B:B, MATCH(P2060, 'File Links'!C:C, 0))))</f>
        <v>https://drive.google.com/file/d/1ILNp7MaC4OusbPANu-7wOS3KK98RWdcz/view?usp=drivesdk</v>
      </c>
      <c r="R2060" s="360" t="s">
        <v>12594</v>
      </c>
      <c r="S2060" s="437" t="s">
        <v>10720</v>
      </c>
      <c r="T2060" s="129"/>
      <c r="U2060" s="46"/>
      <c r="V2060" s="360" t="s">
        <v>11253</v>
      </c>
      <c r="W2060" s="46"/>
      <c r="X2060" s="54" t="str">
        <f t="array" ref="X2060"> if(iserror(MATCH(V2060, 'File Links'!C:C, 0)), "N/A", HYPERLINK(INDEX('File Links'!B:B, MATCH(V2060, 'File Links'!C:C, 0))))</f>
        <v>https://drive.google.com/file/d/1UMAh9VGta6ExS2-Lb6GkDF4fmnI2EMeM/view?usp=drivesdk</v>
      </c>
      <c r="Y2060" s="46" t="s">
        <v>12595</v>
      </c>
      <c r="Z2060" s="46"/>
      <c r="AA2060" s="46"/>
      <c r="AB2060" s="360" t="s">
        <v>12596</v>
      </c>
      <c r="AC2060" s="360" t="s">
        <v>12597</v>
      </c>
      <c r="AD2060" s="46"/>
      <c r="AE2060" s="46"/>
      <c r="AF2060" s="357">
        <v>118.0</v>
      </c>
      <c r="AG2060" s="46"/>
      <c r="AH2060" s="46"/>
      <c r="AI2060" s="46"/>
      <c r="AJ2060" s="105"/>
      <c r="AK2060" s="49"/>
      <c r="AL2060" s="49"/>
      <c r="AM2060" s="46"/>
      <c r="AN2060" s="1058" t="s">
        <v>138</v>
      </c>
      <c r="AO2060" s="46"/>
      <c r="AP2060" s="46"/>
      <c r="AQ2060" s="46"/>
      <c r="AR2060" s="46"/>
      <c r="AS2060" s="46"/>
      <c r="AT2060" s="46"/>
      <c r="AU2060" s="46"/>
      <c r="AV2060" s="46"/>
      <c r="AW2060" s="56" t="s">
        <v>138</v>
      </c>
      <c r="AX2060" s="46"/>
      <c r="AY2060" s="61" t="str">
        <f>IFERROR(__xludf.DUMMYFUNCTION("vlookup(BB2060,importrange(""https://docs.google.com/spreadsheets/d/1d2vevQ_7D_v35q4wCQ4RpQ_IPoTwEMB9Yp6ymwlPqew/edit?gid=984458430#gid=984458430"", ""'replication success'!A:K""), 11, FAlSE)"),"#N/A")</f>
        <v>#N/A</v>
      </c>
      <c r="AZ2060" s="61" t="str">
        <f>IFERROR(__xludf.DUMMYFUNCTION("vlookup(BB2060,importrange(""https://docs.google.com/spreadsheets/d/1d2vevQ_7D_v35q4wCQ4RpQ_IPoTwEMB9Yp6ymwlPqew/edit?gid=984458430#gid=984458430"", ""'replication success'!A:M""), 12, FAlSE)"),"#N/A")</f>
        <v>#N/A</v>
      </c>
      <c r="BA2060" s="61" t="str">
        <f>IFERROR(__xludf.DUMMYFUNCTION("vlookup(BB2060,importrange(""https://docs.google.com/spreadsheets/d/1d2vevQ_7D_v35q4wCQ4RpQ_IPoTwEMB9Yp6ymwlPqew/edit?gid=984458430#gid=984458430"", ""'replication success'!A:M""), 13, FAlSE)"),"#N/A")</f>
        <v>#N/A</v>
      </c>
      <c r="BB2060" s="61" t="str">
        <f>IFERROR(__xludf.DUMMYFUNCTION("REGEXREPLACE(G2060, ""_[a-z]{1,2}$"", """")"),"osc20159")</f>
        <v>osc20159</v>
      </c>
      <c r="BD2060" s="68" t="s">
        <v>1441</v>
      </c>
    </row>
    <row r="2061">
      <c r="A2061" s="44">
        <v>2061.0</v>
      </c>
      <c r="B2061" s="68" t="s">
        <v>114</v>
      </c>
      <c r="C2061" s="62" t="s">
        <v>115</v>
      </c>
      <c r="D2061" s="62" t="s">
        <v>153</v>
      </c>
      <c r="F2061" s="159" t="s">
        <v>12587</v>
      </c>
      <c r="G2061" s="1449" t="s">
        <v>12588</v>
      </c>
      <c r="H2061" s="159" t="s">
        <v>153</v>
      </c>
      <c r="I2061" s="529">
        <v>45690.0</v>
      </c>
      <c r="J2061" s="1376">
        <v>45693.0</v>
      </c>
      <c r="K2061" s="159" t="s">
        <v>12598</v>
      </c>
      <c r="L2061" s="159" t="s">
        <v>12590</v>
      </c>
      <c r="M2061" s="1909" t="s">
        <v>12591</v>
      </c>
      <c r="N2061" s="159" t="s">
        <v>12592</v>
      </c>
      <c r="O2061" s="156">
        <v>4.0</v>
      </c>
      <c r="P2061" s="382" t="s">
        <v>12593</v>
      </c>
      <c r="Q2061" s="52" t="str">
        <f t="array" ref="Q2061"> if(iserror(MATCH(V2061, 'File Links'!C:C, 0)), "N/A", HYPERLINK(INDEX('File Links'!B:B, MATCH(P2061, 'File Links'!C:C, 0))))</f>
        <v>https://drive.google.com/file/d/1ILNp7MaC4OusbPANu-7wOS3KK98RWdcz/view?usp=drivesdk</v>
      </c>
      <c r="R2061" s="159" t="s">
        <v>12594</v>
      </c>
      <c r="S2061" s="437" t="s">
        <v>10720</v>
      </c>
      <c r="T2061" s="129"/>
      <c r="U2061" s="336">
        <v>1.0</v>
      </c>
      <c r="V2061" s="382" t="s">
        <v>11253</v>
      </c>
      <c r="W2061" s="159" t="s">
        <v>164</v>
      </c>
      <c r="X2061" s="54" t="str">
        <f t="array" ref="X2061"> if(iserror(MATCH(V2061, 'File Links'!C:C, 0)), "N/A", HYPERLINK(INDEX('File Links'!B:B, MATCH(V2061, 'File Links'!C:C, 0))))</f>
        <v>https://drive.google.com/file/d/1UMAh9VGta6ExS2-Lb6GkDF4fmnI2EMeM/view?usp=drivesdk</v>
      </c>
      <c r="Y2061" s="68" t="s">
        <v>12599</v>
      </c>
      <c r="Z2061" s="68"/>
      <c r="AA2061" s="68"/>
      <c r="AB2061" s="68"/>
      <c r="AC2061" s="68"/>
      <c r="AD2061" s="68"/>
      <c r="AE2061" s="68"/>
      <c r="AF2061" s="68"/>
      <c r="AG2061" s="68"/>
      <c r="AH2061" s="68"/>
      <c r="AI2061" s="68"/>
      <c r="AJ2061" s="338"/>
      <c r="AK2061" s="61"/>
      <c r="AL2061" s="61"/>
      <c r="AM2061" s="68"/>
      <c r="AN2061" s="1058" t="s">
        <v>138</v>
      </c>
      <c r="AO2061" s="68"/>
      <c r="AP2061" s="68"/>
      <c r="AQ2061" s="68"/>
      <c r="AR2061" s="68"/>
      <c r="AS2061" s="68"/>
      <c r="AT2061" s="68"/>
      <c r="AU2061" s="68"/>
      <c r="AV2061" s="68"/>
      <c r="AW2061" s="129" t="s">
        <v>138</v>
      </c>
      <c r="AX2061" s="68" t="s">
        <v>143</v>
      </c>
      <c r="AY2061" s="61" t="str">
        <f>IFERROR(__xludf.DUMMYFUNCTION("vlookup(BB2061,importrange(""https://docs.google.com/spreadsheets/d/1d2vevQ_7D_v35q4wCQ4RpQ_IPoTwEMB9Yp6ymwlPqew/edit?gid=984458430#gid=984458430"", ""'replication success'!A:K""), 11, FAlSE)"),"#N/A")</f>
        <v>#N/A</v>
      </c>
      <c r="AZ2061" s="61" t="str">
        <f>IFERROR(__xludf.DUMMYFUNCTION("vlookup(BB2061,importrange(""https://docs.google.com/spreadsheets/d/1d2vevQ_7D_v35q4wCQ4RpQ_IPoTwEMB9Yp6ymwlPqew/edit?gid=984458430#gid=984458430"", ""'replication success'!A:M""), 12, FAlSE)"),"#N/A")</f>
        <v>#N/A</v>
      </c>
      <c r="BA2061" s="61" t="str">
        <f>IFERROR(__xludf.DUMMYFUNCTION("vlookup(BB2061,importrange(""https://docs.google.com/spreadsheets/d/1d2vevQ_7D_v35q4wCQ4RpQ_IPoTwEMB9Yp6ymwlPqew/edit?gid=984458430#gid=984458430"", ""'replication success'!A:M""), 13, FAlSE)"),"#N/A")</f>
        <v>#N/A</v>
      </c>
      <c r="BB2061" s="61" t="str">
        <f>IFERROR(__xludf.DUMMYFUNCTION("REGEXREPLACE(G2061, ""_[a-z]{1,2}$"", """")"),"osc20159")</f>
        <v>osc20159</v>
      </c>
      <c r="BD2061" s="68" t="s">
        <v>1441</v>
      </c>
    </row>
    <row r="2062">
      <c r="A2062" s="44">
        <v>2062.0</v>
      </c>
      <c r="B2062" s="68" t="s">
        <v>152</v>
      </c>
      <c r="C2062" s="149" t="s">
        <v>115</v>
      </c>
      <c r="D2062" s="149" t="s">
        <v>1441</v>
      </c>
      <c r="E2062" s="71"/>
      <c r="F2062" s="122" t="s">
        <v>12600</v>
      </c>
      <c r="G2062" s="112" t="s">
        <v>12601</v>
      </c>
      <c r="H2062" s="122" t="s">
        <v>12602</v>
      </c>
      <c r="I2062" s="1334">
        <v>45690.0</v>
      </c>
      <c r="J2062" s="1376">
        <v>45693.0</v>
      </c>
      <c r="K2062" s="111" t="s">
        <v>12603</v>
      </c>
      <c r="L2062" s="147" t="s">
        <v>12604</v>
      </c>
      <c r="M2062" s="1890" t="s">
        <v>12605</v>
      </c>
      <c r="N2062" s="122" t="s">
        <v>12606</v>
      </c>
      <c r="O2062" s="111"/>
      <c r="P2062" s="122" t="s">
        <v>12607</v>
      </c>
      <c r="Q2062" s="52" t="str">
        <f t="array" ref="Q2062"> if(iserror(MATCH(V2062, 'File Links'!C:C, 0)), "N/A", HYPERLINK(INDEX('File Links'!B:B, MATCH(P2062, 'File Links'!C:C, 0))))</f>
        <v>https://drive.google.com/file/d/1oih40CT0uXiqw7e6vWDoDVi8-0MewGVn/view?usp=drivesdk</v>
      </c>
      <c r="R2062" s="122" t="s">
        <v>12608</v>
      </c>
      <c r="S2062" s="437" t="s">
        <v>10720</v>
      </c>
      <c r="T2062" s="129"/>
      <c r="U2062" s="111"/>
      <c r="V2062" s="198" t="str">
        <f t="shared" ref="V2062:V2074" si="122"> hyperlink(vlookup(lower(S2062),#REF!, 2, FALSE), SUBSTITUTE(lower(S2062), "/", "--") &amp;  ".pdf")</f>
        <v>10.1126--science.aac4716.pdf</v>
      </c>
      <c r="W2062" s="111" t="s">
        <v>3570</v>
      </c>
      <c r="X2062" s="54" t="str">
        <f t="array" ref="X2062"> if(iserror(MATCH(V2062, 'File Links'!C:C, 0)), "N/A", HYPERLINK(INDEX('File Links'!B:B, MATCH(V2062, 'File Links'!C:C, 0))))</f>
        <v>https://drive.google.com/file/d/1UMAh9VGta6ExS2-Lb6GkDF4fmnI2EMeM/view?usp=drivesdk</v>
      </c>
      <c r="Y2062" s="111"/>
      <c r="Z2062" s="111" t="s">
        <v>226</v>
      </c>
      <c r="AA2062" s="111" t="s">
        <v>12609</v>
      </c>
      <c r="AB2062" s="122" t="s">
        <v>12610</v>
      </c>
      <c r="AC2062" s="1938" t="s">
        <v>12611</v>
      </c>
      <c r="AD2062" s="111" t="s">
        <v>12612</v>
      </c>
      <c r="AE2062" s="1891">
        <v>24.0</v>
      </c>
      <c r="AF2062" s="537">
        <v>91.0</v>
      </c>
      <c r="AG2062" s="1109">
        <v>0.59</v>
      </c>
      <c r="AH2062" s="111" t="s">
        <v>361</v>
      </c>
      <c r="AI2062" s="111" t="s">
        <v>2295</v>
      </c>
      <c r="AJ2062" s="1110">
        <v>0.01</v>
      </c>
      <c r="AK2062" s="114" t="s">
        <v>135</v>
      </c>
      <c r="AL2062" s="114" t="s">
        <v>186</v>
      </c>
      <c r="AM2062" s="111" t="s">
        <v>141</v>
      </c>
      <c r="AN2062" s="458" t="s">
        <v>138</v>
      </c>
      <c r="AO2062" s="537">
        <v>76.0</v>
      </c>
      <c r="AP2062" s="147" t="s">
        <v>12613</v>
      </c>
      <c r="AQ2062" s="111" t="s">
        <v>134</v>
      </c>
      <c r="AR2062" s="147" t="s">
        <v>632</v>
      </c>
      <c r="AS2062" s="1164" t="s">
        <v>138</v>
      </c>
      <c r="AT2062" s="219" t="s">
        <v>138</v>
      </c>
      <c r="AU2062" s="111" t="s">
        <v>186</v>
      </c>
      <c r="AV2062" s="111" t="s">
        <v>141</v>
      </c>
      <c r="AW2062" s="656" t="s">
        <v>12614</v>
      </c>
      <c r="AX2062" s="111" t="s">
        <v>143</v>
      </c>
      <c r="AY2062" s="61" t="str">
        <f>IFERROR(__xludf.DUMMYFUNCTION("vlookup(BB2062,importrange(""https://docs.google.com/spreadsheets/d/1d2vevQ_7D_v35q4wCQ4RpQ_IPoTwEMB9Yp6ymwlPqew/edit?gid=984458430#gid=984458430"", ""'replication success'!A:K""), 11, FAlSE)"),"")</f>
        <v/>
      </c>
      <c r="AZ2062" s="61" t="str">
        <f>IFERROR(__xludf.DUMMYFUNCTION("vlookup(BB2062,importrange(""https://docs.google.com/spreadsheets/d/1d2vevQ_7D_v35q4wCQ4RpQ_IPoTwEMB9Yp6ymwlPqew/edit?gid=984458430#gid=984458430"", ""'replication success'!A:M""), 12, FAlSE)"),"")</f>
        <v/>
      </c>
      <c r="BA2062" s="61" t="str">
        <f>IFERROR(__xludf.DUMMYFUNCTION("vlookup(BB2062,importrange(""https://docs.google.com/spreadsheets/d/1d2vevQ_7D_v35q4wCQ4RpQ_IPoTwEMB9Yp6ymwlPqew/edit?gid=984458430#gid=984458430"", ""'replication success'!A:M""), 13, FAlSE)"),"abstract")</f>
        <v>abstract</v>
      </c>
      <c r="BB2062" s="61" t="str">
        <f>IFERROR(__xludf.DUMMYFUNCTION("REGEXREPLACE(G2062, ""_[a-z]{1,2}$"", """")"),"osc201593")</f>
        <v>osc201593</v>
      </c>
      <c r="BC2062" s="71"/>
      <c r="BD2062" s="147" t="s">
        <v>12579</v>
      </c>
    </row>
    <row r="2063">
      <c r="A2063" s="44">
        <v>2063.0</v>
      </c>
      <c r="B2063" s="68" t="s">
        <v>152</v>
      </c>
      <c r="C2063" s="149" t="s">
        <v>115</v>
      </c>
      <c r="D2063" s="149" t="s">
        <v>153</v>
      </c>
      <c r="E2063" s="71"/>
      <c r="F2063" s="122" t="s">
        <v>12600</v>
      </c>
      <c r="G2063" s="112" t="s">
        <v>12615</v>
      </c>
      <c r="H2063" s="122" t="s">
        <v>153</v>
      </c>
      <c r="I2063" s="1334">
        <v>45690.0</v>
      </c>
      <c r="J2063" s="1376">
        <v>45693.0</v>
      </c>
      <c r="K2063" s="122" t="s">
        <v>12616</v>
      </c>
      <c r="L2063" s="111"/>
      <c r="M2063" s="1890" t="s">
        <v>12605</v>
      </c>
      <c r="N2063" s="218" t="s">
        <v>12606</v>
      </c>
      <c r="O2063" s="537">
        <v>8.0</v>
      </c>
      <c r="P2063" s="122" t="s">
        <v>12607</v>
      </c>
      <c r="Q2063" s="52" t="str">
        <f t="array" ref="Q2063"> if(iserror(MATCH(V2063, 'File Links'!C:C, 0)), "N/A", HYPERLINK(INDEX('File Links'!B:B, MATCH(P2063, 'File Links'!C:C, 0))))</f>
        <v>https://drive.google.com/file/d/1oih40CT0uXiqw7e6vWDoDVi8-0MewGVn/view?usp=drivesdk</v>
      </c>
      <c r="R2063" s="122" t="s">
        <v>12608</v>
      </c>
      <c r="S2063" s="218" t="s">
        <v>10720</v>
      </c>
      <c r="T2063" s="111"/>
      <c r="U2063" s="111"/>
      <c r="V2063" s="198" t="str">
        <f t="shared" si="122"/>
        <v>10.1126--science.aac4716.pdf</v>
      </c>
      <c r="W2063" s="122" t="s">
        <v>3570</v>
      </c>
      <c r="X2063" s="54" t="str">
        <f t="array" ref="X2063"> if(iserror(MATCH(V2063, 'File Links'!C:C, 0)), "N/A", HYPERLINK(INDEX('File Links'!B:B, MATCH(V2063, 'File Links'!C:C, 0))))</f>
        <v>https://drive.google.com/file/d/1UMAh9VGta6ExS2-Lb6GkDF4fmnI2EMeM/view?usp=drivesdk</v>
      </c>
      <c r="Y2063" s="111"/>
      <c r="Z2063" s="122" t="s">
        <v>226</v>
      </c>
      <c r="AA2063" s="122" t="s">
        <v>12617</v>
      </c>
      <c r="AB2063" s="218" t="s">
        <v>12618</v>
      </c>
      <c r="AC2063" s="122" t="s">
        <v>12611</v>
      </c>
      <c r="AD2063" s="122" t="s">
        <v>12619</v>
      </c>
      <c r="AE2063" s="1109">
        <v>24.0</v>
      </c>
      <c r="AF2063" s="1109">
        <v>91.0</v>
      </c>
      <c r="AG2063" s="1109">
        <v>0.59</v>
      </c>
      <c r="AH2063" s="1939" t="s">
        <v>361</v>
      </c>
      <c r="AI2063" s="111" t="s">
        <v>2295</v>
      </c>
      <c r="AJ2063" s="1110">
        <v>0.01</v>
      </c>
      <c r="AK2063" s="112" t="s">
        <v>135</v>
      </c>
      <c r="AL2063" s="112" t="s">
        <v>186</v>
      </c>
      <c r="AM2063" s="111" t="s">
        <v>141</v>
      </c>
      <c r="AN2063" s="458" t="s">
        <v>138</v>
      </c>
      <c r="AO2063" s="1109">
        <v>76.0</v>
      </c>
      <c r="AP2063" s="1109">
        <v>0.9</v>
      </c>
      <c r="AQ2063" s="1939" t="s">
        <v>987</v>
      </c>
      <c r="AR2063" s="111" t="s">
        <v>632</v>
      </c>
      <c r="AS2063" s="111"/>
      <c r="AT2063" s="219" t="s">
        <v>138</v>
      </c>
      <c r="AU2063" s="122" t="s">
        <v>186</v>
      </c>
      <c r="AV2063" s="111" t="s">
        <v>141</v>
      </c>
      <c r="AW2063" s="656" t="s">
        <v>12614</v>
      </c>
      <c r="AX2063" s="111" t="s">
        <v>143</v>
      </c>
      <c r="AY2063" s="61" t="str">
        <f>IFERROR(__xludf.DUMMYFUNCTION("vlookup(BB2063,importrange(""https://docs.google.com/spreadsheets/d/1d2vevQ_7D_v35q4wCQ4RpQ_IPoTwEMB9Yp6ymwlPqew/edit?gid=984458430#gid=984458430"", ""'replication success'!A:K""), 11, FAlSE)"),"")</f>
        <v/>
      </c>
      <c r="AZ2063" s="61" t="str">
        <f>IFERROR(__xludf.DUMMYFUNCTION("vlookup(BB2063,importrange(""https://docs.google.com/spreadsheets/d/1d2vevQ_7D_v35q4wCQ4RpQ_IPoTwEMB9Yp6ymwlPqew/edit?gid=984458430#gid=984458430"", ""'replication success'!A:M""), 12, FAlSE)"),"")</f>
        <v/>
      </c>
      <c r="BA2063" s="61" t="str">
        <f>IFERROR(__xludf.DUMMYFUNCTION("vlookup(BB2063,importrange(""https://docs.google.com/spreadsheets/d/1d2vevQ_7D_v35q4wCQ4RpQ_IPoTwEMB9Yp6ymwlPqew/edit?gid=984458430#gid=984458430"", ""'replication success'!A:M""), 13, FAlSE)"),"abstract")</f>
        <v>abstract</v>
      </c>
      <c r="BB2063" s="61" t="str">
        <f>IFERROR(__xludf.DUMMYFUNCTION("REGEXREPLACE(G2063, ""_[a-z]{1,2}$"", """")"),"osc201593")</f>
        <v>osc201593</v>
      </c>
      <c r="BC2063" s="71"/>
      <c r="BD2063" s="111" t="s">
        <v>1441</v>
      </c>
    </row>
    <row r="2064">
      <c r="A2064" s="44">
        <v>2064.0</v>
      </c>
      <c r="B2064" s="68" t="s">
        <v>152</v>
      </c>
      <c r="C2064" s="62" t="s">
        <v>115</v>
      </c>
      <c r="D2064" s="62" t="s">
        <v>1441</v>
      </c>
      <c r="F2064" s="159" t="s">
        <v>12620</v>
      </c>
      <c r="G2064" s="1449" t="s">
        <v>12621</v>
      </c>
      <c r="H2064" s="159" t="s">
        <v>11796</v>
      </c>
      <c r="I2064" s="529">
        <v>45690.0</v>
      </c>
      <c r="J2064" s="1376">
        <v>45693.0</v>
      </c>
      <c r="K2064" s="68" t="s">
        <v>12622</v>
      </c>
      <c r="L2064" s="129" t="s">
        <v>12623</v>
      </c>
      <c r="M2064" s="1909" t="s">
        <v>12624</v>
      </c>
      <c r="N2064" s="437" t="s">
        <v>12625</v>
      </c>
      <c r="O2064" s="336">
        <v>5.0</v>
      </c>
      <c r="P2064" s="382" t="s">
        <v>12626</v>
      </c>
      <c r="Q2064" s="52" t="str">
        <f t="array" ref="Q2064"> if(iserror(MATCH(V2064, 'File Links'!C:C, 0)), "N/A", HYPERLINK(INDEX('File Links'!B:B, MATCH(P2064, 'File Links'!C:C, 0))))</f>
        <v>https://drive.google.com/file/d/1a05JoYmLdyaqZqx1lMlnobPSBoVtshdG/view?usp=drivesdk</v>
      </c>
      <c r="R2064" s="159" t="s">
        <v>12627</v>
      </c>
      <c r="S2064" s="437" t="s">
        <v>10720</v>
      </c>
      <c r="T2064" s="68"/>
      <c r="U2064" s="336"/>
      <c r="V2064" s="198" t="str">
        <f t="shared" si="122"/>
        <v>10.1126--science.aac4716.pdf</v>
      </c>
      <c r="W2064" s="68" t="s">
        <v>3570</v>
      </c>
      <c r="X2064" s="54" t="str">
        <f t="array" ref="X2064"> if(iserror(MATCH(V2064, 'File Links'!C:C, 0)), "N/A", HYPERLINK(INDEX('File Links'!B:B, MATCH(V2064, 'File Links'!C:C, 0))))</f>
        <v>https://drive.google.com/file/d/1UMAh9VGta6ExS2-Lb6GkDF4fmnI2EMeM/view?usp=drivesdk</v>
      </c>
      <c r="Y2064" s="68"/>
      <c r="Z2064" s="68" t="s">
        <v>226</v>
      </c>
      <c r="AA2064" s="68" t="s">
        <v>12628</v>
      </c>
      <c r="AB2064" s="159" t="s">
        <v>12629</v>
      </c>
      <c r="AC2064" s="1914" t="s">
        <v>12630</v>
      </c>
      <c r="AD2064" s="68" t="s">
        <v>12631</v>
      </c>
      <c r="AE2064" s="336">
        <v>14.0</v>
      </c>
      <c r="AF2064" s="156">
        <v>28.0</v>
      </c>
      <c r="AG2064" s="336">
        <v>0.12</v>
      </c>
      <c r="AH2064" s="68" t="s">
        <v>139</v>
      </c>
      <c r="AI2064" s="68" t="s">
        <v>627</v>
      </c>
      <c r="AJ2064" s="337">
        <v>0.05</v>
      </c>
      <c r="AK2064" s="61" t="s">
        <v>135</v>
      </c>
      <c r="AL2064" s="61" t="s">
        <v>218</v>
      </c>
      <c r="AM2064" s="68" t="s">
        <v>137</v>
      </c>
      <c r="AN2064" s="1058" t="s">
        <v>138</v>
      </c>
      <c r="AO2064" s="336">
        <v>61.0</v>
      </c>
      <c r="AP2064" s="68" t="s">
        <v>12632</v>
      </c>
      <c r="AQ2064" s="68" t="s">
        <v>134</v>
      </c>
      <c r="AR2064" s="159" t="s">
        <v>217</v>
      </c>
      <c r="AS2064" s="336">
        <v>0.01175</v>
      </c>
      <c r="AT2064" s="68" t="s">
        <v>172</v>
      </c>
      <c r="AU2064" s="68" t="s">
        <v>218</v>
      </c>
      <c r="AV2064" s="68" t="s">
        <v>137</v>
      </c>
      <c r="AW2064" s="435" t="s">
        <v>12633</v>
      </c>
      <c r="AX2064" s="68" t="s">
        <v>143</v>
      </c>
      <c r="AY2064" s="61" t="str">
        <f>IFERROR(__xludf.DUMMYFUNCTION("vlookup(BB2064,importrange(""https://docs.google.com/spreadsheets/d/1d2vevQ_7D_v35q4wCQ4RpQ_IPoTwEMB9Yp6ymwlPqew/edit?gid=984458430#gid=984458430"", ""'replication success'!A:K""), 11, FAlSE)"),"")</f>
        <v/>
      </c>
      <c r="AZ2064" s="61" t="str">
        <f>IFERROR(__xludf.DUMMYFUNCTION("vlookup(BB2064,importrange(""https://docs.google.com/spreadsheets/d/1d2vevQ_7D_v35q4wCQ4RpQ_IPoTwEMB9Yp6ymwlPqew/edit?gid=984458430#gid=984458430"", ""'replication success'!A:M""), 12, FAlSE)"),"")</f>
        <v/>
      </c>
      <c r="BA2064" s="61" t="str">
        <f>IFERROR(__xludf.DUMMYFUNCTION("vlookup(BB2064,importrange(""https://docs.google.com/spreadsheets/d/1d2vevQ_7D_v35q4wCQ4RpQ_IPoTwEMB9Yp6ymwlPqew/edit?gid=984458430#gid=984458430"", ""'replication success'!A:M""), 13, FAlSE)"),"abstract")</f>
        <v>abstract</v>
      </c>
      <c r="BB2064" s="61" t="str">
        <f>IFERROR(__xludf.DUMMYFUNCTION("REGEXREPLACE(G2064, ""_[a-z]{1,2}$"", """")"),"osc201594")</f>
        <v>osc201594</v>
      </c>
      <c r="BD2064" s="68" t="s">
        <v>1441</v>
      </c>
    </row>
    <row r="2065">
      <c r="A2065" s="44">
        <v>2065.0</v>
      </c>
      <c r="B2065" s="68" t="s">
        <v>114</v>
      </c>
      <c r="C2065" s="62" t="s">
        <v>115</v>
      </c>
      <c r="D2065" s="62" t="s">
        <v>153</v>
      </c>
      <c r="F2065" s="159" t="s">
        <v>12620</v>
      </c>
      <c r="G2065" s="1449" t="s">
        <v>12621</v>
      </c>
      <c r="H2065" s="159" t="s">
        <v>153</v>
      </c>
      <c r="I2065" s="529">
        <v>45690.0</v>
      </c>
      <c r="J2065" s="1376">
        <v>45693.0</v>
      </c>
      <c r="K2065" s="68"/>
      <c r="L2065" s="68"/>
      <c r="M2065" s="1909" t="s">
        <v>12624</v>
      </c>
      <c r="N2065" s="159" t="s">
        <v>12625</v>
      </c>
      <c r="O2065" s="156">
        <v>5.0</v>
      </c>
      <c r="P2065" s="382" t="s">
        <v>12626</v>
      </c>
      <c r="Q2065" s="52" t="str">
        <f t="array" ref="Q2065"> if(iserror(MATCH(V2065, 'File Links'!C:C, 0)), "N/A", HYPERLINK(INDEX('File Links'!B:B, MATCH(P2065, 'File Links'!C:C, 0))))</f>
        <v>https://drive.google.com/file/d/1a05JoYmLdyaqZqx1lMlnobPSBoVtshdG/view?usp=drivesdk</v>
      </c>
      <c r="R2065" s="159" t="s">
        <v>12627</v>
      </c>
      <c r="S2065" s="159" t="s">
        <v>10720</v>
      </c>
      <c r="T2065" s="68"/>
      <c r="U2065" s="1940"/>
      <c r="V2065" s="198" t="str">
        <f t="shared" si="122"/>
        <v>10.1126--science.aac4716.pdf</v>
      </c>
      <c r="W2065" s="159" t="s">
        <v>12634</v>
      </c>
      <c r="X2065" s="54" t="str">
        <f t="array" ref="X2065"> if(iserror(MATCH(V2065, 'File Links'!C:C, 0)), "N/A", HYPERLINK(INDEX('File Links'!B:B, MATCH(V2065, 'File Links'!C:C, 0))))</f>
        <v>https://drive.google.com/file/d/1UMAh9VGta6ExS2-Lb6GkDF4fmnI2EMeM/view?usp=drivesdk</v>
      </c>
      <c r="Y2065" s="68"/>
      <c r="Z2065" s="159" t="s">
        <v>226</v>
      </c>
      <c r="AA2065" s="159" t="s">
        <v>12635</v>
      </c>
      <c r="AB2065" s="159" t="s">
        <v>12636</v>
      </c>
      <c r="AC2065" s="159" t="s">
        <v>12630</v>
      </c>
      <c r="AD2065" s="159" t="s">
        <v>12637</v>
      </c>
      <c r="AE2065" s="156">
        <v>14.0</v>
      </c>
      <c r="AF2065" s="156">
        <v>28.0</v>
      </c>
      <c r="AG2065" s="156">
        <v>0.12</v>
      </c>
      <c r="AH2065" s="159" t="s">
        <v>139</v>
      </c>
      <c r="AI2065" s="159" t="s">
        <v>627</v>
      </c>
      <c r="AJ2065" s="337">
        <v>0.05</v>
      </c>
      <c r="AK2065" s="57" t="s">
        <v>135</v>
      </c>
      <c r="AL2065" s="57" t="s">
        <v>218</v>
      </c>
      <c r="AM2065" s="68" t="s">
        <v>137</v>
      </c>
      <c r="AN2065" s="1058" t="s">
        <v>138</v>
      </c>
      <c r="AO2065" s="156">
        <v>61.0</v>
      </c>
      <c r="AP2065" s="159" t="s">
        <v>12638</v>
      </c>
      <c r="AQ2065" s="159" t="s">
        <v>134</v>
      </c>
      <c r="AR2065" s="159" t="s">
        <v>217</v>
      </c>
      <c r="AS2065" s="156">
        <v>0.01175</v>
      </c>
      <c r="AT2065" s="159" t="s">
        <v>172</v>
      </c>
      <c r="AU2065" s="159" t="s">
        <v>218</v>
      </c>
      <c r="AV2065" s="68" t="s">
        <v>137</v>
      </c>
      <c r="AW2065" s="435" t="s">
        <v>12633</v>
      </c>
      <c r="AX2065" s="68" t="s">
        <v>143</v>
      </c>
      <c r="AY2065" s="61" t="str">
        <f>IFERROR(__xludf.DUMMYFUNCTION("vlookup(BB2065,importrange(""https://docs.google.com/spreadsheets/d/1d2vevQ_7D_v35q4wCQ4RpQ_IPoTwEMB9Yp6ymwlPqew/edit?gid=984458430#gid=984458430"", ""'replication success'!A:K""), 11, FAlSE)"),"")</f>
        <v/>
      </c>
      <c r="AZ2065" s="61" t="str">
        <f>IFERROR(__xludf.DUMMYFUNCTION("vlookup(BB2065,importrange(""https://docs.google.com/spreadsheets/d/1d2vevQ_7D_v35q4wCQ4RpQ_IPoTwEMB9Yp6ymwlPqew/edit?gid=984458430#gid=984458430"", ""'replication success'!A:M""), 12, FAlSE)"),"")</f>
        <v/>
      </c>
      <c r="BA2065" s="61" t="str">
        <f>IFERROR(__xludf.DUMMYFUNCTION("vlookup(BB2065,importrange(""https://docs.google.com/spreadsheets/d/1d2vevQ_7D_v35q4wCQ4RpQ_IPoTwEMB9Yp6ymwlPqew/edit?gid=984458430#gid=984458430"", ""'replication success'!A:M""), 13, FAlSE)"),"abstract")</f>
        <v>abstract</v>
      </c>
      <c r="BB2065" s="61" t="str">
        <f>IFERROR(__xludf.DUMMYFUNCTION("REGEXREPLACE(G2065, ""_[a-z]{1,2}$"", """")"),"osc201594")</f>
        <v>osc201594</v>
      </c>
      <c r="BD2065" s="68" t="s">
        <v>1441</v>
      </c>
    </row>
    <row r="2066">
      <c r="A2066" s="44">
        <v>2066.0</v>
      </c>
      <c r="B2066" s="68" t="s">
        <v>114</v>
      </c>
      <c r="C2066" s="62" t="s">
        <v>115</v>
      </c>
      <c r="D2066" s="62" t="s">
        <v>1441</v>
      </c>
      <c r="F2066" s="159" t="s">
        <v>12639</v>
      </c>
      <c r="G2066" s="1449" t="s">
        <v>12640</v>
      </c>
      <c r="H2066" s="159" t="s">
        <v>12641</v>
      </c>
      <c r="I2066" s="529">
        <v>45690.0</v>
      </c>
      <c r="J2066" s="1376">
        <v>45693.0</v>
      </c>
      <c r="K2066" s="68"/>
      <c r="L2066" s="68"/>
      <c r="M2066" s="1909" t="s">
        <v>12642</v>
      </c>
      <c r="N2066" s="159" t="s">
        <v>12643</v>
      </c>
      <c r="O2066" s="336">
        <v>3.0</v>
      </c>
      <c r="P2066" s="382" t="s">
        <v>12644</v>
      </c>
      <c r="Q2066" s="52" t="str">
        <f t="array" ref="Q2066"> if(iserror(MATCH(V2066, 'File Links'!C:C, 0)), "N/A", HYPERLINK(INDEX('File Links'!B:B, MATCH(P2066, 'File Links'!C:C, 0))))</f>
        <v>https://drive.google.com/file/d/1VyZodnC88TkBiX9hwQqLISstx0--OlF9/view?usp=drivesdk</v>
      </c>
      <c r="R2066" s="159" t="s">
        <v>12645</v>
      </c>
      <c r="S2066" s="159" t="s">
        <v>12646</v>
      </c>
      <c r="T2066" s="68"/>
      <c r="U2066" s="68"/>
      <c r="V2066" s="198" t="str">
        <f t="shared" si="122"/>
        <v>10.17605--osf.io--etg7c.pdf</v>
      </c>
      <c r="W2066" s="68" t="s">
        <v>5398</v>
      </c>
      <c r="X2066" s="54" t="str">
        <f t="array" ref="X2066"> if(iserror(MATCH(V2066, 'File Links'!C:C, 0)), "N/A", HYPERLINK(INDEX('File Links'!B:B, MATCH(V2066, 'File Links'!C:C, 0))))</f>
        <v>https://drive.google.com/file/d/1LNTqrRGiajQW8AmTfTYGS-EuhKSBbzXe/view?usp=drivesdk</v>
      </c>
      <c r="Y2066" s="68"/>
      <c r="Z2066" s="68" t="s">
        <v>226</v>
      </c>
      <c r="AA2066" s="68" t="s">
        <v>12647</v>
      </c>
      <c r="AB2066" s="159" t="s">
        <v>12648</v>
      </c>
      <c r="AC2066" s="159" t="s">
        <v>12649</v>
      </c>
      <c r="AD2066" s="68" t="s">
        <v>12650</v>
      </c>
      <c r="AE2066" s="336">
        <v>11.0</v>
      </c>
      <c r="AF2066" s="156">
        <v>90.0</v>
      </c>
      <c r="AG2066" s="68" t="s">
        <v>12651</v>
      </c>
      <c r="AH2066" s="68" t="s">
        <v>134</v>
      </c>
      <c r="AI2066" s="68" t="s">
        <v>307</v>
      </c>
      <c r="AJ2066" s="337">
        <v>0.001</v>
      </c>
      <c r="AK2066" s="61" t="s">
        <v>172</v>
      </c>
      <c r="AL2066" s="61" t="s">
        <v>186</v>
      </c>
      <c r="AM2066" s="68" t="s">
        <v>141</v>
      </c>
      <c r="AN2066" s="1058" t="s">
        <v>138</v>
      </c>
      <c r="AO2066" s="156">
        <v>1490.0</v>
      </c>
      <c r="AP2066" s="336">
        <v>0.001</v>
      </c>
      <c r="AQ2066" s="68" t="s">
        <v>874</v>
      </c>
      <c r="AR2066" s="68" t="s">
        <v>613</v>
      </c>
      <c r="AS2066" s="336">
        <v>0.154</v>
      </c>
      <c r="AT2066" s="68" t="s">
        <v>172</v>
      </c>
      <c r="AU2066" s="68" t="s">
        <v>136</v>
      </c>
      <c r="AV2066" s="68" t="s">
        <v>141</v>
      </c>
      <c r="AW2066" s="129" t="s">
        <v>138</v>
      </c>
      <c r="AX2066" s="68" t="s">
        <v>143</v>
      </c>
      <c r="AY2066" s="61" t="str">
        <f>IFERROR(__xludf.DUMMYFUNCTION("vlookup(BB2066,importrange(""https://docs.google.com/spreadsheets/d/1d2vevQ_7D_v35q4wCQ4RpQ_IPoTwEMB9Yp6ymwlPqew/edit?gid=984458430#gid=984458430"", ""'replication success'!A:K""), 11, FAlSE)"),"failed")</f>
        <v>failed</v>
      </c>
      <c r="AZ2066" s="61" t="str">
        <f>IFERROR(__xludf.DUMMYFUNCTION("vlookup(BB2066,importrange(""https://docs.google.com/spreadsheets/d/1d2vevQ_7D_v35q4wCQ4RpQ_IPoTwEMB9Yp6ymwlPqew/edit?gid=984458430#gid=984458430"", ""'replication success'!A:M""), 12, FAlSE)"),"Confirmatory analyses did not replicate the original finding that fairness cues create more
trust for Black but not White participants in an environment with low-minority representation.")</f>
        <v>Confirmatory analyses did not replicate the original finding that fairness cues create more
trust for Black but not White participants in an environment with low-minority representation.</v>
      </c>
      <c r="BA2066" s="61" t="str">
        <f>IFERROR(__xludf.DUMMYFUNCTION("vlookup(BB2066,importrange(""https://docs.google.com/spreadsheets/d/1d2vevQ_7D_v35q4wCQ4RpQ_IPoTwEMB9Yp6ymwlPqew/edit?gid=984458430#gid=984458430"", ""'replication success'!A:M""), 13, FAlSE)"),"pg. 8")</f>
        <v>pg. 8</v>
      </c>
      <c r="BB2066" s="61" t="str">
        <f>IFERROR(__xludf.DUMMYFUNCTION("REGEXREPLACE(G2066, ""_[a-z]{1,2}$"", """")"),"osc201597")</f>
        <v>osc201597</v>
      </c>
      <c r="BD2066" s="68" t="s">
        <v>1441</v>
      </c>
    </row>
    <row r="2067">
      <c r="A2067" s="44">
        <v>2067.0</v>
      </c>
      <c r="B2067" s="68" t="s">
        <v>152</v>
      </c>
      <c r="C2067" s="62" t="s">
        <v>115</v>
      </c>
      <c r="D2067" s="62" t="s">
        <v>153</v>
      </c>
      <c r="F2067" s="159" t="s">
        <v>12639</v>
      </c>
      <c r="G2067" s="1449" t="s">
        <v>12652</v>
      </c>
      <c r="H2067" s="159" t="s">
        <v>153</v>
      </c>
      <c r="I2067" s="529">
        <v>45690.0</v>
      </c>
      <c r="J2067" s="1376">
        <v>45693.0</v>
      </c>
      <c r="K2067" s="68" t="s">
        <v>12653</v>
      </c>
      <c r="L2067" s="68" t="s">
        <v>12654</v>
      </c>
      <c r="M2067" s="360" t="s">
        <v>12642</v>
      </c>
      <c r="N2067" s="437" t="s">
        <v>12643</v>
      </c>
      <c r="O2067" s="156">
        <v>3.0</v>
      </c>
      <c r="P2067" s="382" t="s">
        <v>12644</v>
      </c>
      <c r="Q2067" s="52" t="str">
        <f t="array" ref="Q2067"> if(iserror(MATCH(V2067, 'File Links'!C:C, 0)), "N/A", HYPERLINK(INDEX('File Links'!B:B, MATCH(P2067, 'File Links'!C:C, 0))))</f>
        <v>https://drive.google.com/file/d/1VyZodnC88TkBiX9hwQqLISstx0--OlF9/view?usp=drivesdk</v>
      </c>
      <c r="R2067" s="159" t="s">
        <v>12645</v>
      </c>
      <c r="S2067" s="437" t="s">
        <v>12646</v>
      </c>
      <c r="T2067" s="68"/>
      <c r="U2067" s="336">
        <v>1.0</v>
      </c>
      <c r="V2067" s="198" t="str">
        <f t="shared" si="122"/>
        <v>10.17605--osf.io--etg7c.pdf</v>
      </c>
      <c r="W2067" s="159" t="s">
        <v>5398</v>
      </c>
      <c r="X2067" s="54" t="str">
        <f t="array" ref="X2067"> if(iserror(MATCH(V2067, 'File Links'!C:C, 0)), "N/A", HYPERLINK(INDEX('File Links'!B:B, MATCH(V2067, 'File Links'!C:C, 0))))</f>
        <v>https://drive.google.com/file/d/1LNTqrRGiajQW8AmTfTYGS-EuhKSBbzXe/view?usp=drivesdk</v>
      </c>
      <c r="Y2067" s="68"/>
      <c r="Z2067" s="159" t="s">
        <v>226</v>
      </c>
      <c r="AA2067" s="159" t="s">
        <v>12655</v>
      </c>
      <c r="AB2067" s="159" t="s">
        <v>12656</v>
      </c>
      <c r="AC2067" s="159" t="s">
        <v>12657</v>
      </c>
      <c r="AD2067" s="1910" t="s">
        <v>12650</v>
      </c>
      <c r="AE2067" s="336">
        <v>11.0</v>
      </c>
      <c r="AF2067" s="156">
        <v>90.0</v>
      </c>
      <c r="AG2067" s="156" t="s">
        <v>12651</v>
      </c>
      <c r="AH2067" s="159" t="s">
        <v>134</v>
      </c>
      <c r="AI2067" s="159" t="s">
        <v>307</v>
      </c>
      <c r="AJ2067" s="709">
        <v>0.001</v>
      </c>
      <c r="AK2067" s="57" t="s">
        <v>172</v>
      </c>
      <c r="AL2067" s="57" t="s">
        <v>186</v>
      </c>
      <c r="AM2067" s="68" t="s">
        <v>141</v>
      </c>
      <c r="AN2067" s="1058" t="s">
        <v>138</v>
      </c>
      <c r="AO2067" s="336">
        <v>1490.0</v>
      </c>
      <c r="AP2067" s="336">
        <v>0.001</v>
      </c>
      <c r="AQ2067" s="1941" t="s">
        <v>874</v>
      </c>
      <c r="AR2067" s="159" t="s">
        <v>613</v>
      </c>
      <c r="AS2067" s="156">
        <v>0.154</v>
      </c>
      <c r="AT2067" s="159" t="s">
        <v>172</v>
      </c>
      <c r="AU2067" s="159" t="s">
        <v>136</v>
      </c>
      <c r="AV2067" s="68" t="s">
        <v>141</v>
      </c>
      <c r="AW2067" s="435" t="s">
        <v>12658</v>
      </c>
      <c r="AX2067" s="68" t="s">
        <v>151</v>
      </c>
      <c r="AY2067" s="61" t="str">
        <f>IFERROR(__xludf.DUMMYFUNCTION("vlookup(BB2067,importrange(""https://docs.google.com/spreadsheets/d/1d2vevQ_7D_v35q4wCQ4RpQ_IPoTwEMB9Yp6ymwlPqew/edit?gid=984458430#gid=984458430"", ""'replication success'!A:K""), 11, FAlSE)"),"failed")</f>
        <v>failed</v>
      </c>
      <c r="AZ2067" s="61" t="str">
        <f>IFERROR(__xludf.DUMMYFUNCTION("vlookup(BB2067,importrange(""https://docs.google.com/spreadsheets/d/1d2vevQ_7D_v35q4wCQ4RpQ_IPoTwEMB9Yp6ymwlPqew/edit?gid=984458430#gid=984458430"", ""'replication success'!A:M""), 12, FAlSE)"),"Confirmatory analyses did not replicate the original finding that fairness cues create more
trust for Black but not White participants in an environment with low-minority representation.")</f>
        <v>Confirmatory analyses did not replicate the original finding that fairness cues create more
trust for Black but not White participants in an environment with low-minority representation.</v>
      </c>
      <c r="BA2067" s="61" t="str">
        <f>IFERROR(__xludf.DUMMYFUNCTION("vlookup(BB2067,importrange(""https://docs.google.com/spreadsheets/d/1d2vevQ_7D_v35q4wCQ4RpQ_IPoTwEMB9Yp6ymwlPqew/edit?gid=984458430#gid=984458430"", ""'replication success'!A:M""), 13, FAlSE)"),"pg. 8")</f>
        <v>pg. 8</v>
      </c>
      <c r="BB2067" s="61" t="str">
        <f>IFERROR(__xludf.DUMMYFUNCTION("REGEXREPLACE(G2067, ""_[a-z]{1,2}$"", """")"),"osc201597")</f>
        <v>osc201597</v>
      </c>
      <c r="BD2067" s="68" t="s">
        <v>1441</v>
      </c>
    </row>
    <row r="2068">
      <c r="A2068" s="44">
        <v>2068.0</v>
      </c>
      <c r="B2068" s="368" t="s">
        <v>152</v>
      </c>
      <c r="C2068" s="368" t="s">
        <v>115</v>
      </c>
      <c r="D2068" s="368" t="s">
        <v>153</v>
      </c>
      <c r="E2068" s="689"/>
      <c r="F2068" s="190" t="s">
        <v>12659</v>
      </c>
      <c r="G2068" s="58" t="s">
        <v>12660</v>
      </c>
      <c r="H2068" s="58" t="s">
        <v>153</v>
      </c>
      <c r="I2068" s="685">
        <v>45638.0</v>
      </c>
      <c r="J2068" s="682">
        <v>45677.0</v>
      </c>
      <c r="K2068" s="192" t="s">
        <v>8661</v>
      </c>
      <c r="L2068" s="193"/>
      <c r="M2068" s="575" t="s">
        <v>8663</v>
      </c>
      <c r="N2068" s="58" t="s">
        <v>8664</v>
      </c>
      <c r="O2068" s="1942" t="s">
        <v>12661</v>
      </c>
      <c r="P2068" s="194" t="s">
        <v>8665</v>
      </c>
      <c r="Q2068" s="52" t="str">
        <f t="array" ref="Q2068"> if(iserror(MATCH(V2068, 'File Links'!C:C, 0)), "N/A", HYPERLINK(INDEX('File Links'!B:B, MATCH(P2068, 'File Links'!C:C, 0))))</f>
        <v>https://drive.google.com/file/d/1-8o-L3-LBDg-R5swBEF53YfzOD1dWuZJ/view?usp=drivesdk</v>
      </c>
      <c r="R2068" s="192" t="s">
        <v>12662</v>
      </c>
      <c r="S2068" s="575" t="s">
        <v>12663</v>
      </c>
      <c r="T2068" s="88" t="s">
        <v>12664</v>
      </c>
      <c r="U2068" s="1943">
        <v>2.0</v>
      </c>
      <c r="V2068" s="198" t="str">
        <f t="shared" si="122"/>
        <v>10.31234--osf.io--bgp3m.pdf</v>
      </c>
      <c r="W2068" s="58" t="s">
        <v>5398</v>
      </c>
      <c r="X2068" s="54" t="str">
        <f t="array" ref="X2068"> if(iserror(MATCH(V2068, 'File Links'!C:C, 0)), "N/A", HYPERLINK(INDEX('File Links'!B:B, MATCH(V2068, 'File Links'!C:C, 0))))</f>
        <v>https://drive.google.com/file/d/1hVwbIyW3epWRQsMMft62XMBr_6n68gLn/view?usp=drivesdk</v>
      </c>
      <c r="Y2068" s="193"/>
      <c r="Z2068" s="58" t="s">
        <v>226</v>
      </c>
      <c r="AA2068" s="192" t="s">
        <v>8668</v>
      </c>
      <c r="AB2068" s="192" t="s">
        <v>8669</v>
      </c>
      <c r="AC2068" s="58" t="s">
        <v>12665</v>
      </c>
      <c r="AD2068" s="58" t="s">
        <v>12666</v>
      </c>
      <c r="AE2068" s="197">
        <v>7.0</v>
      </c>
      <c r="AF2068" s="1944">
        <v>94.0</v>
      </c>
      <c r="AG2068" s="197">
        <v>0.66</v>
      </c>
      <c r="AH2068" s="194" t="s">
        <v>173</v>
      </c>
      <c r="AI2068" s="197">
        <v>7.0</v>
      </c>
      <c r="AJ2068" s="197">
        <v>0.01</v>
      </c>
      <c r="AK2068" s="198" t="s">
        <v>135</v>
      </c>
      <c r="AL2068" s="58" t="s">
        <v>136</v>
      </c>
      <c r="AM2068" s="193" t="s">
        <v>137</v>
      </c>
      <c r="AN2068" s="374" t="s">
        <v>138</v>
      </c>
      <c r="AO2068" s="197">
        <v>182.0</v>
      </c>
      <c r="AP2068" s="197">
        <v>0.215</v>
      </c>
      <c r="AQ2068" s="58" t="s">
        <v>173</v>
      </c>
      <c r="AR2068" s="58" t="s">
        <v>8527</v>
      </c>
      <c r="AS2068" s="197">
        <v>0.925</v>
      </c>
      <c r="AT2068" s="198" t="s">
        <v>172</v>
      </c>
      <c r="AU2068" s="198" t="s">
        <v>136</v>
      </c>
      <c r="AV2068" s="190" t="s">
        <v>137</v>
      </c>
      <c r="AW2068" s="877" t="s">
        <v>12667</v>
      </c>
      <c r="AX2068" s="1945" t="s">
        <v>151</v>
      </c>
      <c r="AY2068" s="61" t="str">
        <f>IFERROR(__xludf.DUMMYFUNCTION("vlookup(BB2068,importrange(""https://docs.google.com/spreadsheets/d/1d2vevQ_7D_v35q4wCQ4RpQ_IPoTwEMB9Yp6ymwlPqew/edit?gid=984458430#gid=984458430"", ""'replication success'!A:K""), 11, FAlSE)"),"failed")</f>
        <v>failed</v>
      </c>
      <c r="AZ2068" s="61" t="str">
        <f>IFERROR(__xludf.DUMMYFUNCTION("vlookup(BB2068,importrange(""https://docs.google.com/spreadsheets/d/1d2vevQ_7D_v35q4wCQ4RpQ_IPoTwEMB9Yp6ymwlPqew/edit?gid=984458430#gid=984458430"", ""'replication success'!A:M""), 12, FAlSE)"),"We found no evidence that either type of
anchoring is moderated by any of the moderators.")</f>
        <v>We found no evidence that either type of
anchoring is moderated by any of the moderators.</v>
      </c>
      <c r="BA2068" s="61" t="str">
        <f>IFERROR(__xludf.DUMMYFUNCTION("vlookup(BB2068,importrange(""https://docs.google.com/spreadsheets/d/1d2vevQ_7D_v35q4wCQ4RpQ_IPoTwEMB9Yp6ymwlPqew/edit?gid=984458430#gid=984458430"", ""'replication success'!A:M""), 13, FAlSE)"),"abstract")</f>
        <v>abstract</v>
      </c>
      <c r="BB2068" s="61" t="str">
        <f>IFERROR(__xludf.DUMMYFUNCTION("REGEXREPLACE(G2068, ""_[a-z]{1,2}$"", """")"),"q6tv8")</f>
        <v>q6tv8</v>
      </c>
      <c r="BC2068" s="189"/>
      <c r="BD2068" s="188" t="s">
        <v>144</v>
      </c>
    </row>
    <row r="2069">
      <c r="A2069" s="44">
        <v>2069.0</v>
      </c>
      <c r="B2069" s="368" t="s">
        <v>152</v>
      </c>
      <c r="C2069" s="368" t="s">
        <v>115</v>
      </c>
      <c r="D2069" s="368" t="s">
        <v>153</v>
      </c>
      <c r="E2069" s="689"/>
      <c r="F2069" s="190" t="s">
        <v>12659</v>
      </c>
      <c r="G2069" s="58" t="s">
        <v>12660</v>
      </c>
      <c r="H2069" s="58" t="s">
        <v>153</v>
      </c>
      <c r="I2069" s="685">
        <v>45638.0</v>
      </c>
      <c r="J2069" s="682">
        <v>45677.0</v>
      </c>
      <c r="K2069" s="192" t="s">
        <v>8661</v>
      </c>
      <c r="L2069" s="193"/>
      <c r="M2069" s="575" t="s">
        <v>8663</v>
      </c>
      <c r="N2069" s="58" t="s">
        <v>8664</v>
      </c>
      <c r="O2069" s="1942" t="s">
        <v>12661</v>
      </c>
      <c r="P2069" s="194" t="s">
        <v>8665</v>
      </c>
      <c r="Q2069" s="52" t="str">
        <f t="array" ref="Q2069"> if(iserror(MATCH(V2069, 'File Links'!C:C, 0)), "N/A", HYPERLINK(INDEX('File Links'!B:B, MATCH(P2069, 'File Links'!C:C, 0))))</f>
        <v>https://drive.google.com/file/d/1-8o-L3-LBDg-R5swBEF53YfzOD1dWuZJ/view?usp=drivesdk</v>
      </c>
      <c r="R2069" s="192" t="s">
        <v>12662</v>
      </c>
      <c r="S2069" s="575" t="s">
        <v>12663</v>
      </c>
      <c r="T2069" s="97" t="s">
        <v>12668</v>
      </c>
      <c r="U2069" s="1943">
        <v>2.0</v>
      </c>
      <c r="V2069" s="198" t="str">
        <f t="shared" si="122"/>
        <v>10.31234--osf.io--bgp3m.pdf</v>
      </c>
      <c r="W2069" s="58" t="s">
        <v>5398</v>
      </c>
      <c r="X2069" s="54" t="str">
        <f t="array" ref="X2069"> if(iserror(MATCH(V2069, 'File Links'!C:C, 0)), "N/A", HYPERLINK(INDEX('File Links'!B:B, MATCH(V2069, 'File Links'!C:C, 0))))</f>
        <v>https://drive.google.com/file/d/1hVwbIyW3epWRQsMMft62XMBr_6n68gLn/view?usp=drivesdk</v>
      </c>
      <c r="Y2069" s="193"/>
      <c r="Z2069" s="58" t="s">
        <v>226</v>
      </c>
      <c r="AA2069" s="192" t="s">
        <v>8668</v>
      </c>
      <c r="AB2069" s="192" t="s">
        <v>8669</v>
      </c>
      <c r="AC2069" s="58" t="s">
        <v>12665</v>
      </c>
      <c r="AD2069" s="58" t="s">
        <v>12669</v>
      </c>
      <c r="AE2069" s="197">
        <v>7.0</v>
      </c>
      <c r="AF2069" s="1944">
        <v>94.0</v>
      </c>
      <c r="AG2069" s="197">
        <v>0.03</v>
      </c>
      <c r="AH2069" s="194" t="s">
        <v>139</v>
      </c>
      <c r="AI2069" s="197">
        <v>7.0</v>
      </c>
      <c r="AJ2069" s="197">
        <v>0.08</v>
      </c>
      <c r="AK2069" s="198" t="s">
        <v>172</v>
      </c>
      <c r="AL2069" s="58" t="s">
        <v>136</v>
      </c>
      <c r="AM2069" s="193" t="s">
        <v>141</v>
      </c>
      <c r="AN2069" s="374" t="s">
        <v>138</v>
      </c>
      <c r="AO2069" s="197">
        <v>182.0</v>
      </c>
      <c r="AP2069" s="197">
        <v>0.001</v>
      </c>
      <c r="AQ2069" s="58" t="s">
        <v>139</v>
      </c>
      <c r="AR2069" s="58" t="s">
        <v>8527</v>
      </c>
      <c r="AS2069" s="197">
        <v>0.216</v>
      </c>
      <c r="AT2069" s="198" t="s">
        <v>135</v>
      </c>
      <c r="AU2069" s="198" t="s">
        <v>136</v>
      </c>
      <c r="AV2069" s="190" t="s">
        <v>141</v>
      </c>
      <c r="AW2069" s="877" t="s">
        <v>12667</v>
      </c>
      <c r="AX2069" s="1945" t="s">
        <v>151</v>
      </c>
      <c r="AY2069" s="61" t="str">
        <f>IFERROR(__xludf.DUMMYFUNCTION("vlookup(BB2069,importrange(""https://docs.google.com/spreadsheets/d/1d2vevQ_7D_v35q4wCQ4RpQ_IPoTwEMB9Yp6ymwlPqew/edit?gid=984458430#gid=984458430"", ""'replication success'!A:K""), 11, FAlSE)"),"failed")</f>
        <v>failed</v>
      </c>
      <c r="AZ2069" s="61" t="str">
        <f>IFERROR(__xludf.DUMMYFUNCTION("vlookup(BB2069,importrange(""https://docs.google.com/spreadsheets/d/1d2vevQ_7D_v35q4wCQ4RpQ_IPoTwEMB9Yp6ymwlPqew/edit?gid=984458430#gid=984458430"", ""'replication success'!A:M""), 12, FAlSE)"),"We found no evidence that either type of
anchoring is moderated by any of the moderators.")</f>
        <v>We found no evidence that either type of
anchoring is moderated by any of the moderators.</v>
      </c>
      <c r="BA2069" s="61" t="str">
        <f>IFERROR(__xludf.DUMMYFUNCTION("vlookup(BB2069,importrange(""https://docs.google.com/spreadsheets/d/1d2vevQ_7D_v35q4wCQ4RpQ_IPoTwEMB9Yp6ymwlPqew/edit?gid=984458430#gid=984458430"", ""'replication success'!A:M""), 13, FAlSE)"),"abstract")</f>
        <v>abstract</v>
      </c>
      <c r="BB2069" s="61" t="str">
        <f>IFERROR(__xludf.DUMMYFUNCTION("REGEXREPLACE(G2069, ""_[a-z]{1,2}$"", """")"),"q6tv8")</f>
        <v>q6tv8</v>
      </c>
      <c r="BC2069" s="189"/>
      <c r="BD2069" s="188" t="s">
        <v>144</v>
      </c>
    </row>
    <row r="2070">
      <c r="A2070" s="44">
        <v>2070.0</v>
      </c>
      <c r="B2070" s="188" t="s">
        <v>114</v>
      </c>
      <c r="C2070" s="188" t="s">
        <v>115</v>
      </c>
      <c r="D2070" s="188" t="s">
        <v>176</v>
      </c>
      <c r="E2070" s="189"/>
      <c r="F2070" s="190" t="s">
        <v>12659</v>
      </c>
      <c r="G2070" s="58" t="s">
        <v>12660</v>
      </c>
      <c r="H2070" s="198" t="s">
        <v>176</v>
      </c>
      <c r="I2070" s="681">
        <v>45637.0</v>
      </c>
      <c r="J2070" s="682">
        <v>45677.0</v>
      </c>
      <c r="K2070" s="198" t="s">
        <v>12670</v>
      </c>
      <c r="L2070" s="190"/>
      <c r="M2070" s="575" t="s">
        <v>8663</v>
      </c>
      <c r="N2070" s="198" t="s">
        <v>8664</v>
      </c>
      <c r="O2070" s="758" t="s">
        <v>12661</v>
      </c>
      <c r="P2070" s="198" t="s">
        <v>8665</v>
      </c>
      <c r="Q2070" s="52" t="str">
        <f t="array" ref="Q2070"> if(iserror(MATCH(V2070, 'File Links'!C:C, 0)), "N/A", HYPERLINK(INDEX('File Links'!B:B, MATCH(P2070, 'File Links'!C:C, 0))))</f>
        <v>https://drive.google.com/file/d/1-8o-L3-LBDg-R5swBEF53YfzOD1dWuZJ/view?usp=drivesdk</v>
      </c>
      <c r="R2070" s="198" t="s">
        <v>12662</v>
      </c>
      <c r="S2070" s="575" t="s">
        <v>12663</v>
      </c>
      <c r="T2070" s="97" t="s">
        <v>12671</v>
      </c>
      <c r="U2070" s="758">
        <v>2.0</v>
      </c>
      <c r="V2070" s="198" t="str">
        <f t="shared" si="122"/>
        <v>10.31234--osf.io--bgp3m.pdf</v>
      </c>
      <c r="W2070" s="198" t="s">
        <v>12672</v>
      </c>
      <c r="X2070" s="54" t="str">
        <f t="array" ref="X2070"> if(iserror(MATCH(V2070, 'File Links'!C:C, 0)), "N/A", HYPERLINK(INDEX('File Links'!B:B, MATCH(V2070, 'File Links'!C:C, 0))))</f>
        <v>https://drive.google.com/file/d/1hVwbIyW3epWRQsMMft62XMBr_6n68gLn/view?usp=drivesdk</v>
      </c>
      <c r="Y2070" s="190"/>
      <c r="Z2070" s="1946" t="s">
        <v>226</v>
      </c>
      <c r="AA2070" s="198" t="s">
        <v>8675</v>
      </c>
      <c r="AB2070" s="198" t="s">
        <v>8676</v>
      </c>
      <c r="AC2070" s="198" t="s">
        <v>12673</v>
      </c>
      <c r="AD2070" s="198" t="s">
        <v>12674</v>
      </c>
      <c r="AE2070" s="198" t="s">
        <v>132</v>
      </c>
      <c r="AF2070" s="758">
        <v>94.0</v>
      </c>
      <c r="AG2070" s="198" t="s">
        <v>12675</v>
      </c>
      <c r="AH2070" s="194" t="s">
        <v>173</v>
      </c>
      <c r="AI2070" s="58" t="s">
        <v>132</v>
      </c>
      <c r="AJ2070" s="58" t="s">
        <v>3619</v>
      </c>
      <c r="AK2070" s="198" t="s">
        <v>135</v>
      </c>
      <c r="AL2070" s="58" t="s">
        <v>186</v>
      </c>
      <c r="AM2070" s="190" t="s">
        <v>137</v>
      </c>
      <c r="AN2070" s="190"/>
      <c r="AO2070" s="758">
        <v>182.0</v>
      </c>
      <c r="AP2070" s="198" t="s">
        <v>12676</v>
      </c>
      <c r="AQ2070" s="198" t="s">
        <v>173</v>
      </c>
      <c r="AR2070" s="198" t="s">
        <v>3892</v>
      </c>
      <c r="AS2070" s="198" t="s">
        <v>12677</v>
      </c>
      <c r="AT2070" s="198" t="s">
        <v>172</v>
      </c>
      <c r="AU2070" s="198" t="s">
        <v>136</v>
      </c>
      <c r="AV2070" s="190" t="s">
        <v>141</v>
      </c>
      <c r="AW2070" s="877" t="s">
        <v>12678</v>
      </c>
      <c r="AX2070" s="1945" t="s">
        <v>143</v>
      </c>
      <c r="AY2070" s="61" t="str">
        <f>IFERROR(__xludf.DUMMYFUNCTION("vlookup(BB2070,importrange(""https://docs.google.com/spreadsheets/d/1d2vevQ_7D_v35q4wCQ4RpQ_IPoTwEMB9Yp6ymwlPqew/edit?gid=984458430#gid=984458430"", ""'replication success'!A:K""), 11, FAlSE)"),"failed")</f>
        <v>failed</v>
      </c>
      <c r="AZ2070" s="61" t="str">
        <f>IFERROR(__xludf.DUMMYFUNCTION("vlookup(BB2070,importrange(""https://docs.google.com/spreadsheets/d/1d2vevQ_7D_v35q4wCQ4RpQ_IPoTwEMB9Yp6ymwlPqew/edit?gid=984458430#gid=984458430"", ""'replication success'!A:M""), 12, FAlSE)"),"We found no evidence that either type of
anchoring is moderated by any of the moderators.")</f>
        <v>We found no evidence that either type of
anchoring is moderated by any of the moderators.</v>
      </c>
      <c r="BA2070" s="61" t="str">
        <f>IFERROR(__xludf.DUMMYFUNCTION("vlookup(BB2070,importrange(""https://docs.google.com/spreadsheets/d/1d2vevQ_7D_v35q4wCQ4RpQ_IPoTwEMB9Yp6ymwlPqew/edit?gid=984458430#gid=984458430"", ""'replication success'!A:M""), 13, FAlSE)"),"abstract")</f>
        <v>abstract</v>
      </c>
      <c r="BB2070" s="61" t="str">
        <f>IFERROR(__xludf.DUMMYFUNCTION("REGEXREPLACE(G2070, ""_[a-z]{1,2}$"", """")"),"q6tv8")</f>
        <v>q6tv8</v>
      </c>
      <c r="BC2070" s="189"/>
      <c r="BD2070" s="188" t="s">
        <v>144</v>
      </c>
    </row>
    <row r="2071">
      <c r="A2071" s="44">
        <v>2071.0</v>
      </c>
      <c r="B2071" s="62" t="s">
        <v>114</v>
      </c>
      <c r="C2071" s="62" t="s">
        <v>115</v>
      </c>
      <c r="D2071" s="62" t="s">
        <v>2056</v>
      </c>
      <c r="F2071" s="68" t="s">
        <v>12679</v>
      </c>
      <c r="G2071" s="57" t="s">
        <v>12680</v>
      </c>
      <c r="H2071" s="159" t="s">
        <v>2059</v>
      </c>
      <c r="I2071" s="152">
        <v>45478.0</v>
      </c>
      <c r="J2071" s="152">
        <v>45634.0</v>
      </c>
      <c r="K2071" s="68"/>
      <c r="L2071" s="68"/>
      <c r="M2071" s="159" t="s">
        <v>12681</v>
      </c>
      <c r="N2071" s="159" t="s">
        <v>2063</v>
      </c>
      <c r="O2071" s="159" t="s">
        <v>2870</v>
      </c>
      <c r="P2071" s="382" t="s">
        <v>12682</v>
      </c>
      <c r="Q2071" s="52" t="str">
        <f t="array" ref="Q2071"> if(iserror(MATCH(V2071, 'File Links'!C:C, 0)), "N/A", HYPERLINK(INDEX('File Links'!B:B, MATCH(P2071, 'File Links'!C:C, 0))))</f>
        <v>https://drive.google.com/file/d/1jEnrVGc2PxWYnqqR5b5QggE9HgY-tjOC/view?usp=drivesdk</v>
      </c>
      <c r="R2071" s="159" t="s">
        <v>12683</v>
      </c>
      <c r="S2071" s="159" t="s">
        <v>2065</v>
      </c>
      <c r="T2071" s="68"/>
      <c r="U2071" s="151" t="s">
        <v>138</v>
      </c>
      <c r="V2071" s="198" t="str">
        <f t="shared" si="122"/>
        <v>10.5281--zenodo.6426882.pdf</v>
      </c>
      <c r="W2071" s="159" t="s">
        <v>12684</v>
      </c>
      <c r="X2071" s="54" t="str">
        <f t="array" ref="X2071"> if(iserror(MATCH(V2071, 'File Links'!C:C, 0)), "N/A", HYPERLINK(INDEX('File Links'!B:B, MATCH(V2071, 'File Links'!C:C, 0))))</f>
        <v>https://drive.google.com/file/d/1jvhXrkXP500Hc10PhmlgwF_pIcWK0diq/view?usp=drivesdk</v>
      </c>
      <c r="Y2071" s="68"/>
      <c r="Z2071" s="159" t="s">
        <v>241</v>
      </c>
      <c r="AA2071" s="68"/>
      <c r="AB2071" s="68"/>
      <c r="AC2071" s="159" t="s">
        <v>12685</v>
      </c>
      <c r="AD2071" s="68"/>
      <c r="AE2071" s="68"/>
      <c r="AF2071" s="68"/>
      <c r="AG2071" s="68"/>
      <c r="AH2071" s="338"/>
      <c r="AI2071" s="61"/>
      <c r="AJ2071" s="61"/>
      <c r="AK2071" s="68"/>
      <c r="AL2071" s="61"/>
      <c r="AM2071" s="68"/>
      <c r="AN2071" s="68"/>
      <c r="AO2071" s="68"/>
      <c r="AP2071" s="68"/>
      <c r="AQ2071" s="68"/>
      <c r="AR2071" s="68"/>
      <c r="AS2071" s="68"/>
      <c r="AT2071" s="68"/>
      <c r="AU2071" s="68"/>
      <c r="AV2071" s="68"/>
      <c r="AW2071" s="68"/>
      <c r="AX2071" s="68"/>
      <c r="AY2071" s="61" t="str">
        <f>IFERROR(__xludf.DUMMYFUNCTION("vlookup(BB2071,importrange(""https://docs.google.com/spreadsheets/d/1d2vevQ_7D_v35q4wCQ4RpQ_IPoTwEMB9Yp6ymwlPqew/edit?gid=984458430#gid=984458430"", ""'replication success'!A:K""), 11, FAlSE)"),"#N/A")</f>
        <v>#N/A</v>
      </c>
      <c r="AZ2071" s="61" t="str">
        <f>IFERROR(__xludf.DUMMYFUNCTION("vlookup(BB2071,importrange(""https://docs.google.com/spreadsheets/d/1d2vevQ_7D_v35q4wCQ4RpQ_IPoTwEMB9Yp6ymwlPqew/edit?gid=984458430#gid=984458430"", ""'replication success'!A:M""), 12, FAlSE)"),"#N/A")</f>
        <v>#N/A</v>
      </c>
      <c r="BA2071" s="61" t="str">
        <f>IFERROR(__xludf.DUMMYFUNCTION("vlookup(BB2071,importrange(""https://docs.google.com/spreadsheets/d/1d2vevQ_7D_v35q4wCQ4RpQ_IPoTwEMB9Yp6ymwlPqew/edit?gid=984458430#gid=984458430"", ""'replication success'!A:M""), 13, FAlSE)"),"#N/A")</f>
        <v>#N/A</v>
      </c>
      <c r="BB2071" s="61" t="str">
        <f>IFERROR(__xludf.DUMMYFUNCTION("REGEXREPLACE(G2071, ""_[a-z]{1,2}$"", """")"),"resciencex_01")</f>
        <v>resciencex_01</v>
      </c>
    </row>
    <row r="2072">
      <c r="A2072" s="44">
        <v>2072.0</v>
      </c>
      <c r="B2072" s="129" t="s">
        <v>114</v>
      </c>
      <c r="C2072" s="62" t="s">
        <v>115</v>
      </c>
      <c r="D2072" s="62" t="s">
        <v>1270</v>
      </c>
      <c r="F2072" s="68" t="s">
        <v>12679</v>
      </c>
      <c r="G2072" s="159" t="s">
        <v>12680</v>
      </c>
      <c r="H2072" s="159" t="s">
        <v>2067</v>
      </c>
      <c r="I2072" s="152">
        <v>45478.0</v>
      </c>
      <c r="J2072" s="152">
        <v>45695.0</v>
      </c>
      <c r="K2072" s="159" t="s">
        <v>12686</v>
      </c>
      <c r="L2072" s="68"/>
      <c r="M2072" s="159" t="s">
        <v>12681</v>
      </c>
      <c r="N2072" s="159" t="s">
        <v>2063</v>
      </c>
      <c r="O2072" s="68"/>
      <c r="P2072" s="159" t="str">
        <f>SUBSTITUTE(LOWER(N2072), "/", "--") &amp;  ".pdf"</f>
        <v>10.1016--j.econedurev.2005.05.008.pdf</v>
      </c>
      <c r="Q2072" s="52" t="str">
        <f t="array" ref="Q2072"> if(iserror(MATCH(V2072, 'File Links'!C:C, 0)), "N/A", HYPERLINK(INDEX('File Links'!B:B, MATCH(P2072, 'File Links'!C:C, 0))))</f>
        <v>https://drive.google.com/file/d/1jEnrVGc2PxWYnqqR5b5QggE9HgY-tjOC/view?usp=drivesdk</v>
      </c>
      <c r="R2072" s="159" t="s">
        <v>12683</v>
      </c>
      <c r="S2072" s="159" t="s">
        <v>2065</v>
      </c>
      <c r="T2072" s="68"/>
      <c r="U2072" s="68"/>
      <c r="V2072" s="198" t="str">
        <f t="shared" si="122"/>
        <v>10.5281--zenodo.6426882.pdf</v>
      </c>
      <c r="W2072" s="159" t="s">
        <v>209</v>
      </c>
      <c r="X2072" s="54" t="str">
        <f t="array" ref="X2072"> if(iserror(MATCH(V2072, 'File Links'!C:C, 0)), "N/A", HYPERLINK(INDEX('File Links'!B:B, MATCH(V2072, 'File Links'!C:C, 0))))</f>
        <v>https://drive.google.com/file/d/1jvhXrkXP500Hc10PhmlgwF_pIcWK0diq/view?usp=drivesdk</v>
      </c>
      <c r="Y2072" s="68"/>
      <c r="Z2072" s="159" t="s">
        <v>241</v>
      </c>
      <c r="AA2072" s="68"/>
      <c r="AB2072" s="159" t="s">
        <v>12687</v>
      </c>
      <c r="AC2072" s="68"/>
      <c r="AD2072" s="159" t="s">
        <v>12688</v>
      </c>
      <c r="AE2072" s="68"/>
      <c r="AF2072" s="156">
        <v>5167.0</v>
      </c>
      <c r="AG2072" s="159" t="s">
        <v>12689</v>
      </c>
      <c r="AH2072" s="159" t="s">
        <v>134</v>
      </c>
      <c r="AI2072" s="159" t="s">
        <v>628</v>
      </c>
      <c r="AJ2072" s="159" t="s">
        <v>138</v>
      </c>
      <c r="AK2072" s="68"/>
      <c r="AL2072" s="159" t="s">
        <v>186</v>
      </c>
      <c r="AM2072" s="68" t="s">
        <v>1905</v>
      </c>
      <c r="AN2072" s="68"/>
      <c r="AO2072" s="156">
        <v>2968.0</v>
      </c>
      <c r="AP2072" s="159" t="s">
        <v>12690</v>
      </c>
      <c r="AQ2072" s="159" t="s">
        <v>134</v>
      </c>
      <c r="AR2072" s="159" t="s">
        <v>613</v>
      </c>
      <c r="AS2072" s="156">
        <v>0.04</v>
      </c>
      <c r="AT2072" s="159" t="s">
        <v>172</v>
      </c>
      <c r="AU2072" s="159" t="s">
        <v>186</v>
      </c>
      <c r="AV2072" s="68" t="s">
        <v>1905</v>
      </c>
      <c r="AW2072" s="68"/>
      <c r="AX2072" s="68" t="s">
        <v>143</v>
      </c>
      <c r="AY2072" s="61" t="str">
        <f>IFERROR(__xludf.DUMMYFUNCTION("vlookup(BB2072,importrange(""https://docs.google.com/spreadsheets/d/1d2vevQ_7D_v35q4wCQ4RpQ_IPoTwEMB9Yp6ymwlPqew/edit?gid=984458430#gid=984458430"", ""'replication success'!A:K""), 11, FAlSE)"),"#N/A")</f>
        <v>#N/A</v>
      </c>
      <c r="AZ2072" s="61" t="str">
        <f>IFERROR(__xludf.DUMMYFUNCTION("vlookup(BB2072,importrange(""https://docs.google.com/spreadsheets/d/1d2vevQ_7D_v35q4wCQ4RpQ_IPoTwEMB9Yp6ymwlPqew/edit?gid=984458430#gid=984458430"", ""'replication success'!A:M""), 12, FAlSE)"),"#N/A")</f>
        <v>#N/A</v>
      </c>
      <c r="BA2072" s="61" t="str">
        <f>IFERROR(__xludf.DUMMYFUNCTION("vlookup(BB2072,importrange(""https://docs.google.com/spreadsheets/d/1d2vevQ_7D_v35q4wCQ4RpQ_IPoTwEMB9Yp6ymwlPqew/edit?gid=984458430#gid=984458430"", ""'replication success'!A:M""), 13, FAlSE)"),"#N/A")</f>
        <v>#N/A</v>
      </c>
      <c r="BB2072" s="61" t="str">
        <f>IFERROR(__xludf.DUMMYFUNCTION("REGEXREPLACE(G2072, ""_[a-z]{1,2}$"", """")"),"resciencex_01")</f>
        <v>resciencex_01</v>
      </c>
    </row>
    <row r="2073">
      <c r="A2073" s="44">
        <v>2073.0</v>
      </c>
      <c r="B2073" s="322" t="s">
        <v>152</v>
      </c>
      <c r="C2073" s="322" t="s">
        <v>115</v>
      </c>
      <c r="D2073" s="325" t="s">
        <v>145</v>
      </c>
      <c r="E2073" s="226"/>
      <c r="F2073" s="331" t="s">
        <v>12691</v>
      </c>
      <c r="G2073" s="412" t="s">
        <v>12692</v>
      </c>
      <c r="H2073" s="412" t="s">
        <v>12693</v>
      </c>
      <c r="I2073" s="1438">
        <v>45641.0</v>
      </c>
      <c r="J2073" s="682">
        <v>45677.0</v>
      </c>
      <c r="K2073" s="390"/>
      <c r="L2073" s="330" t="s">
        <v>12694</v>
      </c>
      <c r="M2073" s="412" t="s">
        <v>8065</v>
      </c>
      <c r="N2073" s="412" t="s">
        <v>8066</v>
      </c>
      <c r="O2073" s="1422">
        <v>2.0</v>
      </c>
      <c r="P2073" s="660" t="s">
        <v>12695</v>
      </c>
      <c r="Q2073" s="52" t="str">
        <f t="array" ref="Q2073"> if(iserror(MATCH(V2073, 'File Links'!C:C, 0)), "N/A", HYPERLINK(INDEX('File Links'!B:B, MATCH(P2073, 'File Links'!C:C, 0))))</f>
        <v>https://drive.google.com/file/d/1dqYztlMOBsUY1H2Tadvsh9mJOiZQ1nVh/view?usp=drivesdk</v>
      </c>
      <c r="R2073" s="1947" t="s">
        <v>12696</v>
      </c>
      <c r="S2073" s="324" t="s">
        <v>12697</v>
      </c>
      <c r="T2073" s="390"/>
      <c r="U2073" s="1182">
        <v>3.0</v>
      </c>
      <c r="V2073" s="198" t="str">
        <f t="shared" si="122"/>
        <v>10.2139--ssrn.2586261.pdf</v>
      </c>
      <c r="W2073" s="390"/>
      <c r="X2073" s="54" t="str">
        <f t="array" ref="X2073"> if(iserror(MATCH(V2073, 'File Links'!C:C, 0)), "N/A", HYPERLINK(INDEX('File Links'!B:B, MATCH(V2073, 'File Links'!C:C, 0))))</f>
        <v>https://drive.google.com/file/d/1H4h52o-2l4VeH6zifkEQWasrzj-Pi8k3/view?usp=drivesdk</v>
      </c>
      <c r="Y2073" s="390"/>
      <c r="Z2073" s="390" t="s">
        <v>210</v>
      </c>
      <c r="AA2073" s="330" t="s">
        <v>8077</v>
      </c>
      <c r="AB2073" s="390" t="s">
        <v>12698</v>
      </c>
      <c r="AC2073" s="390" t="s">
        <v>12699</v>
      </c>
      <c r="AD2073" s="330" t="s">
        <v>12700</v>
      </c>
      <c r="AE2073" s="390" t="s">
        <v>850</v>
      </c>
      <c r="AF2073" s="1422">
        <v>51.0</v>
      </c>
      <c r="AG2073" s="1422">
        <v>0.08</v>
      </c>
      <c r="AH2073" s="662" t="s">
        <v>139</v>
      </c>
      <c r="AI2073" s="390" t="s">
        <v>850</v>
      </c>
      <c r="AJ2073" s="1422">
        <v>0.05</v>
      </c>
      <c r="AK2073" s="331" t="s">
        <v>135</v>
      </c>
      <c r="AL2073" s="390" t="s">
        <v>218</v>
      </c>
      <c r="AM2073" s="390" t="s">
        <v>137</v>
      </c>
      <c r="AN2073" s="374" t="s">
        <v>138</v>
      </c>
      <c r="AO2073" s="1422">
        <v>698.0</v>
      </c>
      <c r="AP2073" s="1422">
        <v>0.02</v>
      </c>
      <c r="AQ2073" s="390" t="s">
        <v>173</v>
      </c>
      <c r="AR2073" s="390" t="s">
        <v>628</v>
      </c>
      <c r="AS2073" s="1422">
        <v>0.84</v>
      </c>
      <c r="AT2073" s="331" t="s">
        <v>172</v>
      </c>
      <c r="AU2073" s="331" t="s">
        <v>218</v>
      </c>
      <c r="AV2073" s="331" t="s">
        <v>137</v>
      </c>
      <c r="AW2073" s="1040" t="s">
        <v>12701</v>
      </c>
      <c r="AX2073" s="1041" t="s">
        <v>143</v>
      </c>
      <c r="AY2073" s="61" t="str">
        <f>IFERROR(__xludf.DUMMYFUNCTION("vlookup(BB2073,importrange(""https://docs.google.com/spreadsheets/d/1d2vevQ_7D_v35q4wCQ4RpQ_IPoTwEMB9Yp6ymwlPqew/edit?gid=984458430#gid=984458430"", ""'replication success'!A:K""), 11, FAlSE)"),"failed")</f>
        <v>failed</v>
      </c>
      <c r="AZ2073" s="61" t="str">
        <f>IFERROR(__xludf.DUMMYFUNCTION("vlookup(BB2073,importrange(""https://docs.google.com/spreadsheets/d/1d2vevQ_7D_v35q4wCQ4RpQ_IPoTwEMB9Yp6ymwlPqew/edit?gid=984458430#gid=984458430"", ""'replication success'!A:M""), 12, FAlSE)"),"Our confirmatory analyses did not replicate Jostmann et al.’s (2009) study.")</f>
        <v>Our confirmatory analyses did not replicate Jostmann et al.’s (2009) study.</v>
      </c>
      <c r="BA2073" s="61" t="str">
        <f>IFERROR(__xludf.DUMMYFUNCTION("vlookup(BB2073,importrange(""https://docs.google.com/spreadsheets/d/1d2vevQ_7D_v35q4wCQ4RpQ_IPoTwEMB9Yp6ymwlPqew/edit?gid=984458430#gid=984458430"", ""'replication success'!A:M""), 13, FAlSE)"),"pg. 8")</f>
        <v>pg. 8</v>
      </c>
      <c r="BB2073" s="61" t="str">
        <f>IFERROR(__xludf.DUMMYFUNCTION("REGEXREPLACE(G2073, ""_[a-z]{1,2}$"", """")"),"rtn9s")</f>
        <v>rtn9s</v>
      </c>
      <c r="BC2073" s="325" t="s">
        <v>12702</v>
      </c>
      <c r="BD2073" s="381" t="s">
        <v>144</v>
      </c>
    </row>
    <row r="2074">
      <c r="A2074" s="44">
        <v>2074.0</v>
      </c>
      <c r="B2074" s="325" t="s">
        <v>114</v>
      </c>
      <c r="C2074" s="325" t="s">
        <v>115</v>
      </c>
      <c r="D2074" s="325" t="s">
        <v>195</v>
      </c>
      <c r="E2074" s="226"/>
      <c r="F2074" s="325" t="s">
        <v>12691</v>
      </c>
      <c r="G2074" s="322" t="s">
        <v>12692</v>
      </c>
      <c r="H2074" s="322" t="s">
        <v>12703</v>
      </c>
      <c r="I2074" s="327">
        <v>45644.0</v>
      </c>
      <c r="J2074" s="682">
        <v>45677.0</v>
      </c>
      <c r="K2074" s="328"/>
      <c r="L2074" s="328"/>
      <c r="M2074" s="322" t="s">
        <v>8065</v>
      </c>
      <c r="N2074" s="322" t="s">
        <v>8066</v>
      </c>
      <c r="O2074" s="328"/>
      <c r="P2074" s="322" t="s">
        <v>12695</v>
      </c>
      <c r="Q2074" s="52" t="str">
        <f t="array" ref="Q2074"> if(iserror(MATCH(V2074, 'File Links'!C:C, 0)), "N/A", HYPERLINK(INDEX('File Links'!B:B, MATCH(P2074, 'File Links'!C:C, 0))))</f>
        <v>https://drive.google.com/file/d/1dqYztlMOBsUY1H2Tadvsh9mJOiZQ1nVh/view?usp=drivesdk</v>
      </c>
      <c r="R2074" s="322" t="s">
        <v>12704</v>
      </c>
      <c r="S2074" s="324" t="s">
        <v>12697</v>
      </c>
      <c r="T2074" s="328"/>
      <c r="U2074" s="1182">
        <v>3.0</v>
      </c>
      <c r="V2074" s="198" t="str">
        <f t="shared" si="122"/>
        <v>10.2139--ssrn.2586261.pdf</v>
      </c>
      <c r="W2074" s="328"/>
      <c r="X2074" s="54" t="str">
        <f t="array" ref="X2074"> if(iserror(MATCH(V2074, 'File Links'!C:C, 0)), "N/A", HYPERLINK(INDEX('File Links'!B:B, MATCH(V2074, 'File Links'!C:C, 0))))</f>
        <v>https://drive.google.com/file/d/1H4h52o-2l4VeH6zifkEQWasrzj-Pi8k3/view?usp=drivesdk</v>
      </c>
      <c r="Y2074" s="322"/>
      <c r="Z2074" s="322" t="s">
        <v>148</v>
      </c>
      <c r="AA2074" s="328"/>
      <c r="AB2074" s="328"/>
      <c r="AC2074" s="328"/>
      <c r="AD2074" s="328"/>
      <c r="AE2074" s="328"/>
      <c r="AF2074" s="328"/>
      <c r="AG2074" s="328"/>
      <c r="AH2074" s="322"/>
      <c r="AI2074" s="328"/>
      <c r="AJ2074" s="328"/>
      <c r="AK2074" s="226"/>
      <c r="AL2074" s="328"/>
      <c r="AM2074" s="328"/>
      <c r="AN2074" s="328"/>
      <c r="AO2074" s="328"/>
      <c r="AP2074" s="322">
        <v>0.02</v>
      </c>
      <c r="AQ2074" s="322" t="s">
        <v>2805</v>
      </c>
      <c r="AR2074" s="328"/>
      <c r="AS2074" s="322" t="s">
        <v>150</v>
      </c>
      <c r="AT2074" s="226"/>
      <c r="AU2074" s="226"/>
      <c r="AV2074" s="331"/>
      <c r="AW2074" s="226"/>
      <c r="AX2074" s="325" t="s">
        <v>151</v>
      </c>
      <c r="AY2074" s="61" t="str">
        <f>IFERROR(__xludf.DUMMYFUNCTION("vlookup(BB2074,importrange(""https://docs.google.com/spreadsheets/d/1d2vevQ_7D_v35q4wCQ4RpQ_IPoTwEMB9Yp6ymwlPqew/edit?gid=984458430#gid=984458430"", ""'replication success'!A:K""), 11, FAlSE)"),"failed")</f>
        <v>failed</v>
      </c>
      <c r="AZ2074" s="61" t="str">
        <f>IFERROR(__xludf.DUMMYFUNCTION("vlookup(BB2074,importrange(""https://docs.google.com/spreadsheets/d/1d2vevQ_7D_v35q4wCQ4RpQ_IPoTwEMB9Yp6ymwlPqew/edit?gid=984458430#gid=984458430"", ""'replication success'!A:M""), 12, FAlSE)"),"Our confirmatory analyses did not replicate Jostmann et al.’s (2009) study.")</f>
        <v>Our confirmatory analyses did not replicate Jostmann et al.’s (2009) study.</v>
      </c>
      <c r="BA2074" s="61" t="str">
        <f>IFERROR(__xludf.DUMMYFUNCTION("vlookup(BB2074,importrange(""https://docs.google.com/spreadsheets/d/1d2vevQ_7D_v35q4wCQ4RpQ_IPoTwEMB9Yp6ymwlPqew/edit?gid=984458430#gid=984458430"", ""'replication success'!A:M""), 13, FAlSE)"),"pg. 8")</f>
        <v>pg. 8</v>
      </c>
      <c r="BB2074" s="61" t="str">
        <f>IFERROR(__xludf.DUMMYFUNCTION("REGEXREPLACE(G2074, ""_[a-z]{1,2}$"", """")"),"rtn9s")</f>
        <v>rtn9s</v>
      </c>
      <c r="BC2074" s="226"/>
      <c r="BD2074" s="381" t="s">
        <v>144</v>
      </c>
    </row>
    <row r="2075">
      <c r="A2075" s="44">
        <v>2075.0</v>
      </c>
      <c r="B2075" s="129" t="s">
        <v>114</v>
      </c>
      <c r="C2075" s="62" t="s">
        <v>115</v>
      </c>
      <c r="D2075" s="62" t="s">
        <v>1441</v>
      </c>
      <c r="F2075" s="68" t="s">
        <v>12705</v>
      </c>
      <c r="G2075" s="159" t="s">
        <v>12706</v>
      </c>
      <c r="H2075" s="159" t="s">
        <v>12707</v>
      </c>
      <c r="I2075" s="1948">
        <v>44991.730891203704</v>
      </c>
      <c r="J2075" s="152">
        <v>45712.0</v>
      </c>
      <c r="K2075" s="68"/>
      <c r="L2075" s="129" t="s">
        <v>12708</v>
      </c>
      <c r="M2075" s="159" t="s">
        <v>12709</v>
      </c>
      <c r="N2075" s="159" t="s">
        <v>12710</v>
      </c>
      <c r="O2075" s="156">
        <v>3.0</v>
      </c>
      <c r="P2075" s="382" t="s">
        <v>12711</v>
      </c>
      <c r="Q2075" s="52" t="str">
        <f t="array" ref="Q2075"> if(iserror(MATCH(V2075, 'File Links'!C:C, 0)), "N/A", HYPERLINK(INDEX('File Links'!B:B, MATCH(P2075, 'File Links'!C:C, 0))))</f>
        <v>https://drive.google.com/file/d/1gzyiuMNHruki0iqw9ZPuG1ROg8sPoSnR/view?usp=drivesdk</v>
      </c>
      <c r="R2075" s="159" t="s">
        <v>12712</v>
      </c>
      <c r="S2075" s="159" t="s">
        <v>12713</v>
      </c>
      <c r="T2075" s="68"/>
      <c r="U2075" s="156">
        <v>3.0</v>
      </c>
      <c r="V2075" s="382" t="s">
        <v>12714</v>
      </c>
      <c r="W2075" s="159" t="s">
        <v>10994</v>
      </c>
      <c r="X2075" s="54" t="str">
        <f t="array" ref="X2075"> if(iserror(MATCH(V2075, 'File Links'!C:C, 0)), "N/A", HYPERLINK(INDEX('File Links'!B:B, MATCH(V2075, 'File Links'!C:C, 0))))</f>
        <v>https://drive.google.com/file/d/1FM8L4aEO4RUDs49kJAJIdOCQaOMgYN0P/view?usp=drivesdk</v>
      </c>
      <c r="Y2075" s="68"/>
      <c r="Z2075" s="159" t="s">
        <v>12715</v>
      </c>
      <c r="AA2075" s="159" t="s">
        <v>12716</v>
      </c>
      <c r="AB2075" s="159" t="s">
        <v>12717</v>
      </c>
      <c r="AC2075" s="159" t="s">
        <v>12716</v>
      </c>
      <c r="AD2075" s="1060" t="s">
        <v>12718</v>
      </c>
      <c r="AE2075" s="156">
        <v>9.0</v>
      </c>
      <c r="AF2075" s="156">
        <v>105.0</v>
      </c>
      <c r="AG2075" s="159" t="s">
        <v>12719</v>
      </c>
      <c r="AH2075" s="159" t="s">
        <v>134</v>
      </c>
      <c r="AI2075" s="159" t="s">
        <v>628</v>
      </c>
      <c r="AJ2075" s="156">
        <v>0.02</v>
      </c>
      <c r="AK2075" s="159" t="s">
        <v>135</v>
      </c>
      <c r="AL2075" s="159" t="s">
        <v>186</v>
      </c>
      <c r="AM2075" s="159" t="s">
        <v>141</v>
      </c>
      <c r="AN2075" s="68" t="s">
        <v>138</v>
      </c>
      <c r="AO2075" s="156">
        <v>144.0</v>
      </c>
      <c r="AP2075" s="1479">
        <v>0.114</v>
      </c>
      <c r="AQ2075" s="159" t="s">
        <v>173</v>
      </c>
      <c r="AR2075" s="159" t="s">
        <v>182</v>
      </c>
      <c r="AS2075" s="156">
        <v>0.172</v>
      </c>
      <c r="AT2075" s="159" t="s">
        <v>172</v>
      </c>
      <c r="AU2075" s="159" t="s">
        <v>136</v>
      </c>
      <c r="AV2075" s="159" t="s">
        <v>141</v>
      </c>
      <c r="AW2075" s="159" t="s">
        <v>138</v>
      </c>
      <c r="AX2075" s="159" t="s">
        <v>143</v>
      </c>
      <c r="AY2075" s="61" t="str">
        <f>IFERROR(__xludf.DUMMYFUNCTION("vlookup(BB2075,importrange(""https://docs.google.com/spreadsheets/d/1d2vevQ_7D_v35q4wCQ4RpQ_IPoTwEMB9Yp6ymwlPqew/edit?gid=984458430#gid=984458430"", ""'replication success'!A:K""), 11, FAlSE)"),"#N/A")</f>
        <v>#N/A</v>
      </c>
      <c r="AZ2075" s="61" t="str">
        <f>IFERROR(__xludf.DUMMYFUNCTION("vlookup(BB2075,importrange(""https://docs.google.com/spreadsheets/d/1d2vevQ_7D_v35q4wCQ4RpQ_IPoTwEMB9Yp6ymwlPqew/edit?gid=984458430#gid=984458430"", ""'replication success'!A:M""), 12, FAlSE)"),"#N/A")</f>
        <v>#N/A</v>
      </c>
      <c r="BA2075" s="61" t="str">
        <f>IFERROR(__xludf.DUMMYFUNCTION("vlookup(BB2075,importrange(""https://docs.google.com/spreadsheets/d/1d2vevQ_7D_v35q4wCQ4RpQ_IPoTwEMB9Yp6ymwlPqew/edit?gid=984458430#gid=984458430"", ""'replication success'!A:M""), 13, FAlSE)"),"#N/A")</f>
        <v>#N/A</v>
      </c>
      <c r="BB2075" s="61" t="str">
        <f>IFERROR(__xludf.DUMMYFUNCTION("REGEXREPLACE(G2075, ""_[a-z]{1,2}$"", """")"),"soscisubmission1")</f>
        <v>soscisubmission1</v>
      </c>
      <c r="BC2075" s="68"/>
      <c r="BD2075" s="62" t="s">
        <v>5074</v>
      </c>
    </row>
    <row r="2076">
      <c r="A2076" s="44">
        <v>2076.0</v>
      </c>
      <c r="B2076" s="129" t="s">
        <v>152</v>
      </c>
      <c r="C2076" s="62" t="s">
        <v>115</v>
      </c>
      <c r="D2076" s="62" t="s">
        <v>153</v>
      </c>
      <c r="F2076" s="129" t="s">
        <v>12705</v>
      </c>
      <c r="G2076" s="129" t="s">
        <v>12720</v>
      </c>
      <c r="H2076" s="151" t="s">
        <v>8556</v>
      </c>
      <c r="I2076" s="161" t="s">
        <v>8557</v>
      </c>
      <c r="J2076" s="68"/>
      <c r="K2076" s="151" t="s">
        <v>12721</v>
      </c>
      <c r="L2076" s="68"/>
      <c r="M2076" s="129" t="s">
        <v>12709</v>
      </c>
      <c r="N2076" s="129" t="s">
        <v>12710</v>
      </c>
      <c r="O2076" s="501">
        <v>3.0</v>
      </c>
      <c r="P2076" s="309" t="s">
        <v>12711</v>
      </c>
      <c r="Q2076" s="52" t="str">
        <f t="array" ref="Q2076"> if(iserror(MATCH(V2076, 'File Links'!C:C, 0)), "N/A", HYPERLINK(INDEX('File Links'!B:B, MATCH(P2076, 'File Links'!C:C, 0))))</f>
        <v>https://drive.google.com/file/d/1gzyiuMNHruki0iqw9ZPuG1ROg8sPoSnR/view?usp=drivesdk</v>
      </c>
      <c r="R2076" s="1697" t="s">
        <v>12712</v>
      </c>
      <c r="S2076" s="129" t="s">
        <v>12713</v>
      </c>
      <c r="T2076" s="1379"/>
      <c r="U2076" s="501">
        <v>3.0</v>
      </c>
      <c r="V2076" s="151" t="s">
        <v>12714</v>
      </c>
      <c r="W2076" s="151" t="s">
        <v>2050</v>
      </c>
      <c r="X2076" s="54" t="str">
        <f t="array" ref="X2076"> if(iserror(MATCH(V2076, 'File Links'!C:C, 0)), "N/A", HYPERLINK(INDEX('File Links'!B:B, MATCH(V2076, 'File Links'!C:C, 0))))</f>
        <v>https://drive.google.com/file/d/1FM8L4aEO4RUDs49kJAJIdOCQaOMgYN0P/view?usp=drivesdk</v>
      </c>
      <c r="Y2076" s="68"/>
      <c r="Z2076" s="1115" t="s">
        <v>12715</v>
      </c>
      <c r="AA2076" s="129" t="s">
        <v>12722</v>
      </c>
      <c r="AB2076" s="151" t="s">
        <v>12723</v>
      </c>
      <c r="AC2076" s="151" t="s">
        <v>12724</v>
      </c>
      <c r="AD2076" s="151" t="s">
        <v>12725</v>
      </c>
      <c r="AE2076" s="151">
        <v>8.0</v>
      </c>
      <c r="AF2076" s="161">
        <v>104.0</v>
      </c>
      <c r="AG2076" s="161" t="s">
        <v>12726</v>
      </c>
      <c r="AH2076" s="159" t="s">
        <v>134</v>
      </c>
      <c r="AI2076" s="151" t="s">
        <v>613</v>
      </c>
      <c r="AJ2076" s="161">
        <v>0.05</v>
      </c>
      <c r="AK2076" s="151" t="s">
        <v>135</v>
      </c>
      <c r="AL2076" s="1116" t="s">
        <v>186</v>
      </c>
      <c r="AM2076" s="129" t="s">
        <v>137</v>
      </c>
      <c r="AN2076" s="1300" t="s">
        <v>138</v>
      </c>
      <c r="AO2076" s="161">
        <v>144.0</v>
      </c>
      <c r="AP2076" s="161">
        <v>0.114</v>
      </c>
      <c r="AQ2076" s="151" t="s">
        <v>173</v>
      </c>
      <c r="AR2076" s="151" t="s">
        <v>182</v>
      </c>
      <c r="AS2076" s="161">
        <v>0.172</v>
      </c>
      <c r="AT2076" s="151" t="s">
        <v>172</v>
      </c>
      <c r="AU2076" s="151" t="s">
        <v>136</v>
      </c>
      <c r="AV2076" s="129" t="s">
        <v>137</v>
      </c>
      <c r="AW2076" s="1115" t="s">
        <v>138</v>
      </c>
      <c r="AX2076" s="129" t="s">
        <v>151</v>
      </c>
      <c r="AY2076" s="61" t="str">
        <f>IFERROR(__xludf.DUMMYFUNCTION("vlookup(BB2076,importrange(""https://docs.google.com/spreadsheets/d/1d2vevQ_7D_v35q4wCQ4RpQ_IPoTwEMB9Yp6ymwlPqew/edit?gid=984458430#gid=984458430"", ""'replication success'!A:K""), 11, FAlSE)"),"failed")</f>
        <v>failed</v>
      </c>
      <c r="AZ2076" s="61" t="str">
        <f>IFERROR(__xludf.DUMMYFUNCTION("vlookup(BB2076,importrange(""https://docs.google.com/spreadsheets/d/1d2vevQ_7D_v35q4wCQ4RpQ_IPoTwEMB9Yp6ymwlPqew/edit?gid=984458430#gid=984458430"", ""'replication success'!A:M""), 12, FAlSE)"),"We conducted six studies with methods that
were similar to those used by Redden and Hoch and did not find this effect in any of them. A
meta-analysis of the four original studies and 6 replication studies (N = 1,383) revealed no
evidence for the phenom"&amp;"enon that variety reduces perceived quantity.")</f>
        <v>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v>
      </c>
      <c r="BA2076" s="61" t="str">
        <f>IFERROR(__xludf.DUMMYFUNCTION("vlookup(BB2076,importrange(""https://docs.google.com/spreadsheets/d/1d2vevQ_7D_v35q4wCQ4RpQ_IPoTwEMB9Yp6ymwlPqew/edit?gid=984458430#gid=984458430"", ""'replication success'!A:M""), 13, FAlSE)"),"abstract")</f>
        <v>abstract</v>
      </c>
      <c r="BB2076" s="61" t="str">
        <f>IFERROR(__xludf.DUMMYFUNCTION("REGEXREPLACE(G2076, ""_[a-z]{1,2}$"", """")"),"soscisubmission1_2")</f>
        <v>soscisubmission1_2</v>
      </c>
      <c r="BD2076" s="62" t="s">
        <v>5074</v>
      </c>
    </row>
    <row r="2077">
      <c r="A2077" s="44">
        <v>2077.0</v>
      </c>
      <c r="B2077" s="129" t="s">
        <v>114</v>
      </c>
      <c r="C2077" s="62" t="s">
        <v>115</v>
      </c>
      <c r="D2077" s="62" t="s">
        <v>248</v>
      </c>
      <c r="F2077" s="68" t="s">
        <v>12727</v>
      </c>
      <c r="G2077" s="68" t="s">
        <v>12728</v>
      </c>
      <c r="H2077" s="68" t="s">
        <v>249</v>
      </c>
      <c r="I2077" s="529">
        <v>45713.0</v>
      </c>
      <c r="J2077" s="540">
        <v>45762.0</v>
      </c>
      <c r="K2077" s="68" t="s">
        <v>12729</v>
      </c>
      <c r="L2077" s="129" t="s">
        <v>12730</v>
      </c>
      <c r="M2077" s="68" t="s">
        <v>12731</v>
      </c>
      <c r="N2077" s="68" t="s">
        <v>12732</v>
      </c>
      <c r="O2077" s="336">
        <v>2.0</v>
      </c>
      <c r="P2077" s="573" t="s">
        <v>12733</v>
      </c>
      <c r="Q2077" s="52" t="str">
        <f t="array" ref="Q2077"> if(iserror(MATCH(V2077, 'File Links'!C:C, 0)), "N/A", HYPERLINK(INDEX('File Links'!B:B, MATCH(P2077, 'File Links'!C:C, 0))))</f>
        <v>https://drive.google.com/file/d/1qBoMlGJSxfD9Le6GQLq29-E2xuX5NtUI/view?usp=drivesdk</v>
      </c>
      <c r="R2077" s="68" t="s">
        <v>12734</v>
      </c>
      <c r="S2077" s="68" t="s">
        <v>12735</v>
      </c>
      <c r="T2077" s="68"/>
      <c r="U2077" s="336">
        <v>2.0</v>
      </c>
      <c r="V2077" s="573" t="s">
        <v>12736</v>
      </c>
      <c r="W2077" s="68" t="s">
        <v>7850</v>
      </c>
      <c r="X2077" s="54" t="str">
        <f t="array" ref="X2077"> if(iserror(MATCH(V2077, 'File Links'!C:C, 0)), "N/A", HYPERLINK(INDEX('File Links'!B:B, MATCH(V2077, 'File Links'!C:C, 0))))</f>
        <v>https://drive.google.com/file/d/1gqkCLQ8YLn27JACJIv51ycR1U6cUfNAJ/view?usp=drivesdk</v>
      </c>
      <c r="Y2077" s="68"/>
      <c r="Z2077" s="68" t="s">
        <v>12737</v>
      </c>
      <c r="AA2077" s="129" t="s">
        <v>12738</v>
      </c>
      <c r="AB2077" s="68" t="s">
        <v>12739</v>
      </c>
      <c r="AC2077" s="68" t="s">
        <v>12740</v>
      </c>
      <c r="AD2077" s="68" t="s">
        <v>12741</v>
      </c>
      <c r="AE2077" s="336">
        <v>2.0</v>
      </c>
      <c r="AF2077" s="336">
        <v>44.0</v>
      </c>
      <c r="AG2077" s="336">
        <v>0.12</v>
      </c>
      <c r="AH2077" s="68" t="s">
        <v>874</v>
      </c>
      <c r="AI2077" s="68" t="s">
        <v>2771</v>
      </c>
      <c r="AJ2077" s="336">
        <v>0.05</v>
      </c>
      <c r="AK2077" s="68" t="s">
        <v>135</v>
      </c>
      <c r="AL2077" s="68" t="s">
        <v>186</v>
      </c>
      <c r="AM2077" s="68" t="s">
        <v>137</v>
      </c>
      <c r="AN2077" s="68" t="s">
        <v>138</v>
      </c>
      <c r="AO2077" s="336">
        <v>104.0</v>
      </c>
      <c r="AP2077" s="336">
        <v>-0.23</v>
      </c>
      <c r="AQ2077" s="68" t="s">
        <v>173</v>
      </c>
      <c r="AR2077" s="68" t="s">
        <v>613</v>
      </c>
      <c r="AS2077" s="336">
        <v>0.872</v>
      </c>
      <c r="AT2077" s="68" t="s">
        <v>172</v>
      </c>
      <c r="AU2077" s="68" t="s">
        <v>218</v>
      </c>
      <c r="AV2077" s="68" t="s">
        <v>137</v>
      </c>
      <c r="AW2077" s="68" t="s">
        <v>138</v>
      </c>
      <c r="AX2077" s="68" t="s">
        <v>143</v>
      </c>
      <c r="AY2077" s="61" t="str">
        <f>IFERROR(__xludf.DUMMYFUNCTION("vlookup(BB2077,importrange(""https://docs.google.com/spreadsheets/d/1d2vevQ_7D_v35q4wCQ4RpQ_IPoTwEMB9Yp6ymwlPqew/edit?gid=984458430#gid=984458430"", ""'replication success'!A:K""), 11, FAlSE)"),"failed")</f>
        <v>failed</v>
      </c>
      <c r="AZ2077" s="61" t="str">
        <f>IFERROR(__xludf.DUMMYFUNCTION("vlookup(BB2077,importrange(""https://docs.google.com/spreadsheets/d/1d2vevQ_7D_v35q4wCQ4RpQ_IPoTwEMB9Yp6ymwlPqew/edit?gid=984458430#gid=984458430"", ""'replication success'!A:M""), 12, FAlSE)"),"Experiments 1 and 2 (Ns = 69 and 104)
are direct replications of Lichtenfeld, Maier, Elliot, and Pekrun (2009). Both experiments
failed to uncover a red color effect on verbal reasoning scores among high school students
and undergraduates (Cohen’s d = "&amp;"0.04 and -0.23).")</f>
        <v>Experiments 1 and 2 (Ns = 69 and 104)
are direct replications of Lichtenfeld, Maier, Elliot, and Pekrun (2009). Both experiments
failed to uncover a red color effect on verbal reasoning scores among high school students
and undergraduates (Cohen’s d = 0.04 and -0.23).</v>
      </c>
      <c r="BA2077" s="61" t="str">
        <f>IFERROR(__xludf.DUMMYFUNCTION("vlookup(BB2077,importrange(""https://docs.google.com/spreadsheets/d/1d2vevQ_7D_v35q4wCQ4RpQ_IPoTwEMB9Yp6ymwlPqew/edit?gid=984458430#gid=984458430"", ""'replication success'!A:M""), 13, FAlSE)"),"abstract")</f>
        <v>abstract</v>
      </c>
      <c r="BB2077" s="61" t="str">
        <f>IFERROR(__xludf.DUMMYFUNCTION("REGEXREPLACE(G2077, ""_[a-z]{1,2}$"", """")"),"soscisubmission10")</f>
        <v>soscisubmission10</v>
      </c>
      <c r="BD2077" s="62" t="s">
        <v>5074</v>
      </c>
    </row>
    <row r="2078">
      <c r="A2078" s="44">
        <v>2078.0</v>
      </c>
      <c r="B2078" s="129" t="s">
        <v>152</v>
      </c>
      <c r="C2078" s="62" t="s">
        <v>115</v>
      </c>
      <c r="D2078" s="62" t="s">
        <v>145</v>
      </c>
      <c r="F2078" s="68" t="s">
        <v>12727</v>
      </c>
      <c r="G2078" s="68" t="s">
        <v>12728</v>
      </c>
      <c r="H2078" s="68" t="s">
        <v>12742</v>
      </c>
      <c r="I2078" s="529">
        <v>45713.0</v>
      </c>
      <c r="J2078" s="540">
        <v>45762.0</v>
      </c>
      <c r="K2078" s="68" t="s">
        <v>12743</v>
      </c>
      <c r="L2078" s="68"/>
      <c r="M2078" s="68" t="s">
        <v>12731</v>
      </c>
      <c r="N2078" s="68" t="s">
        <v>12732</v>
      </c>
      <c r="O2078" s="336">
        <v>2.0</v>
      </c>
      <c r="P2078" s="68" t="s">
        <v>12733</v>
      </c>
      <c r="Q2078" s="52" t="str">
        <f t="array" ref="Q2078"> if(iserror(MATCH(V2078, 'File Links'!C:C, 0)), "N/A", HYPERLINK(INDEX('File Links'!B:B, MATCH(P2078, 'File Links'!C:C, 0))))</f>
        <v>https://drive.google.com/file/d/1qBoMlGJSxfD9Le6GQLq29-E2xuX5NtUI/view?usp=drivesdk</v>
      </c>
      <c r="R2078" s="68" t="s">
        <v>12734</v>
      </c>
      <c r="S2078" s="68" t="s">
        <v>12735</v>
      </c>
      <c r="T2078" s="68"/>
      <c r="U2078" s="336">
        <v>2.0</v>
      </c>
      <c r="V2078" s="68" t="s">
        <v>12736</v>
      </c>
      <c r="W2078" s="68" t="s">
        <v>2125</v>
      </c>
      <c r="X2078" s="54" t="str">
        <f t="array" ref="X2078"> if(iserror(MATCH(V2078, 'File Links'!C:C, 0)), "N/A", HYPERLINK(INDEX('File Links'!B:B, MATCH(V2078, 'File Links'!C:C, 0))))</f>
        <v>https://drive.google.com/file/d/1gqkCLQ8YLn27JACJIv51ycR1U6cUfNAJ/view?usp=drivesdk</v>
      </c>
      <c r="Y2078" s="68"/>
      <c r="Z2078" s="68" t="s">
        <v>12737</v>
      </c>
      <c r="AA2078" s="129" t="s">
        <v>12744</v>
      </c>
      <c r="AB2078" s="129" t="s">
        <v>12745</v>
      </c>
      <c r="AC2078" s="68" t="s">
        <v>12740</v>
      </c>
      <c r="AD2078" s="68" t="s">
        <v>12746</v>
      </c>
      <c r="AE2078" s="68" t="s">
        <v>6331</v>
      </c>
      <c r="AF2078" s="336">
        <v>44.0</v>
      </c>
      <c r="AG2078" s="336">
        <v>0.12</v>
      </c>
      <c r="AH2078" s="68" t="s">
        <v>874</v>
      </c>
      <c r="AI2078" s="68" t="s">
        <v>875</v>
      </c>
      <c r="AJ2078" s="336">
        <v>0.05</v>
      </c>
      <c r="AK2078" s="68" t="s">
        <v>135</v>
      </c>
      <c r="AL2078" s="68" t="s">
        <v>186</v>
      </c>
      <c r="AM2078" s="68" t="s">
        <v>137</v>
      </c>
      <c r="AN2078" s="68" t="s">
        <v>138</v>
      </c>
      <c r="AO2078" s="336">
        <v>104.0</v>
      </c>
      <c r="AP2078" s="336">
        <v>-0.23</v>
      </c>
      <c r="AQ2078" s="68" t="s">
        <v>173</v>
      </c>
      <c r="AR2078" s="68" t="s">
        <v>613</v>
      </c>
      <c r="AS2078" s="336">
        <v>0.872</v>
      </c>
      <c r="AT2078" s="68" t="s">
        <v>172</v>
      </c>
      <c r="AU2078" s="68" t="s">
        <v>218</v>
      </c>
      <c r="AV2078" s="68" t="s">
        <v>137</v>
      </c>
      <c r="AW2078" s="68" t="s">
        <v>1535</v>
      </c>
      <c r="AX2078" s="68" t="s">
        <v>143</v>
      </c>
      <c r="AY2078" s="61" t="str">
        <f>IFERROR(__xludf.DUMMYFUNCTION("vlookup(BB2078,importrange(""https://docs.google.com/spreadsheets/d/1d2vevQ_7D_v35q4wCQ4RpQ_IPoTwEMB9Yp6ymwlPqew/edit?gid=984458430#gid=984458430"", ""'replication success'!A:K""), 11, FAlSE)"),"failed")</f>
        <v>failed</v>
      </c>
      <c r="AZ2078" s="61" t="str">
        <f>IFERROR(__xludf.DUMMYFUNCTION("vlookup(BB2078,importrange(""https://docs.google.com/spreadsheets/d/1d2vevQ_7D_v35q4wCQ4RpQ_IPoTwEMB9Yp6ymwlPqew/edit?gid=984458430#gid=984458430"", ""'replication success'!A:M""), 12, FAlSE)"),"Experiments 1 and 2 (Ns = 69 and 104)
are direct replications of Lichtenfeld, Maier, Elliot, and Pekrun (2009). Both experiments
failed to uncover a red color effect on verbal reasoning scores among high school students
and undergraduates (Cohen’s d = "&amp;"0.04 and -0.23).")</f>
        <v>Experiments 1 and 2 (Ns = 69 and 104)
are direct replications of Lichtenfeld, Maier, Elliot, and Pekrun (2009). Both experiments
failed to uncover a red color effect on verbal reasoning scores among high school students
and undergraduates (Cohen’s d = 0.04 and -0.23).</v>
      </c>
      <c r="BA2078" s="61" t="str">
        <f>IFERROR(__xludf.DUMMYFUNCTION("vlookup(BB2078,importrange(""https://docs.google.com/spreadsheets/d/1d2vevQ_7D_v35q4wCQ4RpQ_IPoTwEMB9Yp6ymwlPqew/edit?gid=984458430#gid=984458430"", ""'replication success'!A:M""), 13, FAlSE)"),"abstract")</f>
        <v>abstract</v>
      </c>
      <c r="BB2078" s="61" t="str">
        <f>IFERROR(__xludf.DUMMYFUNCTION("REGEXREPLACE(G2078, ""_[a-z]{1,2}$"", """")"),"soscisubmission10")</f>
        <v>soscisubmission10</v>
      </c>
      <c r="BD2078" s="62" t="s">
        <v>5074</v>
      </c>
    </row>
    <row r="2079">
      <c r="A2079" s="44">
        <v>2079.0</v>
      </c>
      <c r="B2079" s="129" t="s">
        <v>114</v>
      </c>
      <c r="C2079" s="62" t="s">
        <v>115</v>
      </c>
      <c r="D2079" s="62" t="s">
        <v>248</v>
      </c>
      <c r="F2079" s="68" t="s">
        <v>12747</v>
      </c>
      <c r="G2079" s="68" t="s">
        <v>12748</v>
      </c>
      <c r="H2079" s="68" t="s">
        <v>249</v>
      </c>
      <c r="I2079" s="529">
        <v>45713.0</v>
      </c>
      <c r="J2079" s="540">
        <v>45762.0</v>
      </c>
      <c r="K2079" s="68" t="s">
        <v>12749</v>
      </c>
      <c r="L2079" s="129" t="s">
        <v>12750</v>
      </c>
      <c r="M2079" s="68" t="s">
        <v>12751</v>
      </c>
      <c r="N2079" s="68" t="s">
        <v>12752</v>
      </c>
      <c r="O2079" s="68"/>
      <c r="P2079" s="68" t="s">
        <v>12753</v>
      </c>
      <c r="Q2079" s="108" t="str">
        <f t="array" ref="Q2079"> if(iserror(MATCH(V2079, 'File Links'!C:C, 0)), "N/A", HYPERLINK(INDEX('File Links'!B:B, MATCH(P2079, 'File Links'!C:C, 0))))</f>
        <v>N/A</v>
      </c>
      <c r="R2079" s="68" t="s">
        <v>12754</v>
      </c>
      <c r="S2079" s="68" t="s">
        <v>12755</v>
      </c>
      <c r="T2079" s="435" t="s">
        <v>12756</v>
      </c>
      <c r="U2079" s="129" t="s">
        <v>138</v>
      </c>
      <c r="V2079" s="68" t="s">
        <v>12757</v>
      </c>
      <c r="W2079" s="68" t="s">
        <v>2425</v>
      </c>
      <c r="X2079" s="49" t="str">
        <f t="array" ref="X2079"> if(iserror(MATCH(V2079, 'File Links'!C:C, 0)), "N/A", HYPERLINK(INDEX('File Links'!B:B, MATCH(V2079, 'File Links'!C:C, 0))))</f>
        <v>N/A</v>
      </c>
      <c r="Y2079" s="68" t="s">
        <v>12749</v>
      </c>
      <c r="Z2079" s="68" t="s">
        <v>12758</v>
      </c>
      <c r="AA2079" s="68"/>
      <c r="AB2079" s="68" t="s">
        <v>12759</v>
      </c>
      <c r="AC2079" s="68" t="s">
        <v>12760</v>
      </c>
      <c r="AD2079" s="68"/>
      <c r="AE2079" s="68"/>
      <c r="AF2079" s="336">
        <v>123.0</v>
      </c>
      <c r="AG2079" s="336">
        <v>0.81</v>
      </c>
      <c r="AH2079" s="68" t="s">
        <v>173</v>
      </c>
      <c r="AI2079" s="68"/>
      <c r="AJ2079" s="68"/>
      <c r="AK2079" s="68"/>
      <c r="AL2079" s="68"/>
      <c r="AM2079" s="68"/>
      <c r="AN2079" s="435" t="s">
        <v>12761</v>
      </c>
      <c r="AO2079" s="336">
        <v>277.0</v>
      </c>
      <c r="AP2079" s="336">
        <v>0.82</v>
      </c>
      <c r="AQ2079" s="68" t="s">
        <v>173</v>
      </c>
      <c r="AR2079" s="68"/>
      <c r="AS2079" s="68"/>
      <c r="AT2079" s="68"/>
      <c r="AU2079" s="68"/>
      <c r="AV2079" s="68"/>
      <c r="AW2079" s="435" t="s">
        <v>12762</v>
      </c>
      <c r="AX2079" s="68" t="s">
        <v>143</v>
      </c>
      <c r="AY2079" s="61" t="str">
        <f>IFERROR(__xludf.DUMMYFUNCTION("vlookup(BB2079,importrange(""https://docs.google.com/spreadsheets/d/1d2vevQ_7D_v35q4wCQ4RpQ_IPoTwEMB9Yp6ymwlPqew/edit?gid=984458430#gid=984458430"", ""'replication success'!A:K""), 11, FAlSE)"),"#N/A")</f>
        <v>#N/A</v>
      </c>
      <c r="AZ2079" s="61" t="str">
        <f>IFERROR(__xludf.DUMMYFUNCTION("vlookup(BB2079,importrange(""https://docs.google.com/spreadsheets/d/1d2vevQ_7D_v35q4wCQ4RpQ_IPoTwEMB9Yp6ymwlPqew/edit?gid=984458430#gid=984458430"", ""'replication success'!A:M""), 12, FAlSE)"),"#N/A")</f>
        <v>#N/A</v>
      </c>
      <c r="BA2079" s="61" t="str">
        <f>IFERROR(__xludf.DUMMYFUNCTION("vlookup(BB2079,importrange(""https://docs.google.com/spreadsheets/d/1d2vevQ_7D_v35q4wCQ4RpQ_IPoTwEMB9Yp6ymwlPqew/edit?gid=984458430#gid=984458430"", ""'replication success'!A:M""), 13, FAlSE)"),"#N/A")</f>
        <v>#N/A</v>
      </c>
      <c r="BB2079" s="61" t="str">
        <f>IFERROR(__xludf.DUMMYFUNCTION("REGEXREPLACE(G2079, ""_[a-z]{1,2}$"", """")"),"soscisubmission11")</f>
        <v>soscisubmission11</v>
      </c>
      <c r="BD2079" s="62" t="s">
        <v>5074</v>
      </c>
    </row>
    <row r="2080">
      <c r="A2080" s="44">
        <v>2080.0</v>
      </c>
      <c r="B2080" s="129" t="s">
        <v>114</v>
      </c>
      <c r="C2080" s="62" t="s">
        <v>115</v>
      </c>
      <c r="D2080" s="62" t="s">
        <v>145</v>
      </c>
      <c r="F2080" s="68" t="s">
        <v>12747</v>
      </c>
      <c r="G2080" s="68" t="s">
        <v>12748</v>
      </c>
      <c r="H2080" s="68" t="s">
        <v>12763</v>
      </c>
      <c r="I2080" s="529">
        <v>45713.0</v>
      </c>
      <c r="J2080" s="540">
        <v>45762.0</v>
      </c>
      <c r="K2080" s="129" t="s">
        <v>12764</v>
      </c>
      <c r="L2080" s="68"/>
      <c r="M2080" s="594" t="s">
        <v>12765</v>
      </c>
      <c r="N2080" s="68" t="s">
        <v>12752</v>
      </c>
      <c r="O2080" s="336">
        <v>1.0</v>
      </c>
      <c r="P2080" s="68" t="s">
        <v>12753</v>
      </c>
      <c r="Q2080" s="108" t="str">
        <f t="array" ref="Q2080"> if(iserror(MATCH(V2080, 'File Links'!C:C, 0)), "N/A", HYPERLINK(INDEX('File Links'!B:B, MATCH(P2080, 'File Links'!C:C, 0))))</f>
        <v>N/A</v>
      </c>
      <c r="R2080" s="68" t="s">
        <v>12754</v>
      </c>
      <c r="S2080" s="68" t="s">
        <v>12755</v>
      </c>
      <c r="T2080" s="435" t="s">
        <v>12756</v>
      </c>
      <c r="U2080" s="129" t="s">
        <v>138</v>
      </c>
      <c r="V2080" s="68" t="s">
        <v>12757</v>
      </c>
      <c r="W2080" s="68"/>
      <c r="X2080" s="49" t="str">
        <f t="array" ref="X2080"> if(iserror(MATCH(V2080, 'File Links'!C:C, 0)), "N/A", HYPERLINK(INDEX('File Links'!B:B, MATCH(V2080, 'File Links'!C:C, 0))))</f>
        <v>N/A</v>
      </c>
      <c r="Y2080" s="68" t="s">
        <v>12766</v>
      </c>
      <c r="Z2080" s="68" t="s">
        <v>226</v>
      </c>
      <c r="AA2080" s="68" t="s">
        <v>1535</v>
      </c>
      <c r="AB2080" s="68" t="s">
        <v>12767</v>
      </c>
      <c r="AC2080" s="68" t="s">
        <v>12768</v>
      </c>
      <c r="AD2080" s="68"/>
      <c r="AE2080" s="68"/>
      <c r="AF2080" s="336">
        <v>123.0</v>
      </c>
      <c r="AG2080" s="336">
        <v>0.81</v>
      </c>
      <c r="AH2080" s="68" t="s">
        <v>173</v>
      </c>
      <c r="AI2080" s="68"/>
      <c r="AJ2080" s="68"/>
      <c r="AK2080" s="68"/>
      <c r="AL2080" s="68"/>
      <c r="AM2080" s="68"/>
      <c r="AN2080" s="435" t="s">
        <v>12769</v>
      </c>
      <c r="AO2080" s="336">
        <v>277.0</v>
      </c>
      <c r="AP2080" s="336">
        <v>0.82</v>
      </c>
      <c r="AQ2080" s="68" t="s">
        <v>173</v>
      </c>
      <c r="AR2080" s="68"/>
      <c r="AS2080" s="68"/>
      <c r="AT2080" s="68"/>
      <c r="AU2080" s="68" t="s">
        <v>186</v>
      </c>
      <c r="AV2080" s="68" t="s">
        <v>137</v>
      </c>
      <c r="AW2080" s="68" t="s">
        <v>1535</v>
      </c>
      <c r="AX2080" s="68" t="s">
        <v>143</v>
      </c>
      <c r="AY2080" s="61" t="str">
        <f>IFERROR(__xludf.DUMMYFUNCTION("vlookup(BB2080,importrange(""https://docs.google.com/spreadsheets/d/1d2vevQ_7D_v35q4wCQ4RpQ_IPoTwEMB9Yp6ymwlPqew/edit?gid=984458430#gid=984458430"", ""'replication success'!A:K""), 11, FAlSE)"),"#N/A")</f>
        <v>#N/A</v>
      </c>
      <c r="AZ2080" s="61" t="str">
        <f>IFERROR(__xludf.DUMMYFUNCTION("vlookup(BB2080,importrange(""https://docs.google.com/spreadsheets/d/1d2vevQ_7D_v35q4wCQ4RpQ_IPoTwEMB9Yp6ymwlPqew/edit?gid=984458430#gid=984458430"", ""'replication success'!A:M""), 12, FAlSE)"),"#N/A")</f>
        <v>#N/A</v>
      </c>
      <c r="BA2080" s="61" t="str">
        <f>IFERROR(__xludf.DUMMYFUNCTION("vlookup(BB2080,importrange(""https://docs.google.com/spreadsheets/d/1d2vevQ_7D_v35q4wCQ4RpQ_IPoTwEMB9Yp6ymwlPqew/edit?gid=984458430#gid=984458430"", ""'replication success'!A:M""), 13, FAlSE)"),"#N/A")</f>
        <v>#N/A</v>
      </c>
      <c r="BB2080" s="61" t="str">
        <f>IFERROR(__xludf.DUMMYFUNCTION("REGEXREPLACE(G2080, ""_[a-z]{1,2}$"", """")"),"soscisubmission11")</f>
        <v>soscisubmission11</v>
      </c>
      <c r="BD2080" s="62" t="s">
        <v>5074</v>
      </c>
    </row>
    <row r="2081">
      <c r="A2081" s="44">
        <v>2081.0</v>
      </c>
      <c r="B2081" s="129" t="s">
        <v>152</v>
      </c>
      <c r="C2081" s="62" t="s">
        <v>115</v>
      </c>
      <c r="D2081" s="62" t="s">
        <v>248</v>
      </c>
      <c r="F2081" s="68" t="s">
        <v>12770</v>
      </c>
      <c r="G2081" s="68" t="s">
        <v>12771</v>
      </c>
      <c r="H2081" s="68" t="s">
        <v>249</v>
      </c>
      <c r="I2081" s="529">
        <v>45713.0</v>
      </c>
      <c r="J2081" s="540">
        <v>45762.0</v>
      </c>
      <c r="K2081" s="68" t="s">
        <v>12772</v>
      </c>
      <c r="L2081" s="129" t="s">
        <v>12773</v>
      </c>
      <c r="M2081" s="68" t="s">
        <v>12774</v>
      </c>
      <c r="N2081" s="68" t="s">
        <v>12775</v>
      </c>
      <c r="O2081" s="336">
        <v>3.0</v>
      </c>
      <c r="P2081" s="573" t="s">
        <v>12776</v>
      </c>
      <c r="Q2081" s="52" t="str">
        <f t="array" ref="Q2081"> if(iserror(MATCH(V2081, 'File Links'!C:C, 0)), "N/A", HYPERLINK(INDEX('File Links'!B:B, MATCH(P2081, 'File Links'!C:C, 0))))</f>
        <v>https://drive.google.com/file/d/1LFgNyzLqTELlP9tfS2pwZ6Egg431WCHQ/view?usp=drivesdk</v>
      </c>
      <c r="R2081" s="68" t="s">
        <v>12777</v>
      </c>
      <c r="S2081" s="68" t="s">
        <v>12778</v>
      </c>
      <c r="T2081" s="68"/>
      <c r="U2081" s="129">
        <v>1.0</v>
      </c>
      <c r="V2081" s="573" t="s">
        <v>12779</v>
      </c>
      <c r="W2081" s="68" t="s">
        <v>2125</v>
      </c>
      <c r="X2081" s="54" t="str">
        <f t="array" ref="X2081"> if(iserror(MATCH(V2081, 'File Links'!C:C, 0)), "N/A", HYPERLINK(INDEX('File Links'!B:B, MATCH(V2081, 'File Links'!C:C, 0))))</f>
        <v>https://drive.google.com/file/d/1yu5hD1Fq1gaQ5iAk9Sy1oujO3qnlBxsm/view?usp=drivesdk</v>
      </c>
      <c r="Y2081" s="68"/>
      <c r="Z2081" s="68" t="s">
        <v>12737</v>
      </c>
      <c r="AA2081" s="68" t="s">
        <v>12780</v>
      </c>
      <c r="AB2081" s="129" t="s">
        <v>12781</v>
      </c>
      <c r="AC2081" s="68" t="s">
        <v>12782</v>
      </c>
      <c r="AD2081" s="68" t="s">
        <v>12783</v>
      </c>
      <c r="AE2081" s="68" t="s">
        <v>5645</v>
      </c>
      <c r="AF2081" s="336">
        <v>72.0</v>
      </c>
      <c r="AG2081" s="129" t="s">
        <v>12784</v>
      </c>
      <c r="AH2081" s="68" t="s">
        <v>134</v>
      </c>
      <c r="AI2081" s="68" t="s">
        <v>132</v>
      </c>
      <c r="AJ2081" s="336">
        <v>0.091</v>
      </c>
      <c r="AK2081" s="68" t="s">
        <v>172</v>
      </c>
      <c r="AL2081" s="68" t="s">
        <v>136</v>
      </c>
      <c r="AM2081" s="68" t="s">
        <v>137</v>
      </c>
      <c r="AN2081" s="68" t="s">
        <v>138</v>
      </c>
      <c r="AO2081" s="336">
        <v>391.0</v>
      </c>
      <c r="AP2081" s="129" t="s">
        <v>12785</v>
      </c>
      <c r="AQ2081" s="68" t="s">
        <v>134</v>
      </c>
      <c r="AR2081" s="68" t="s">
        <v>9246</v>
      </c>
      <c r="AS2081" s="336">
        <v>0.001</v>
      </c>
      <c r="AT2081" s="68" t="s">
        <v>172</v>
      </c>
      <c r="AU2081" s="68" t="s">
        <v>136</v>
      </c>
      <c r="AV2081" s="68" t="s">
        <v>137</v>
      </c>
      <c r="AW2081" s="435" t="s">
        <v>12786</v>
      </c>
      <c r="AX2081" s="68" t="s">
        <v>143</v>
      </c>
      <c r="AY2081" s="61" t="str">
        <f>IFERROR(__xludf.DUMMYFUNCTION("vlookup(BB2081,importrange(""https://docs.google.com/spreadsheets/d/1d2vevQ_7D_v35q4wCQ4RpQ_IPoTwEMB9Yp6ymwlPqew/edit?gid=984458430#gid=984458430"", ""'replication success'!A:K""), 11, FAlSE)"),"successful")</f>
        <v>successful</v>
      </c>
      <c r="AZ2081" s="61" t="str">
        <f>IFERROR(__xludf.DUMMYFUNCTION("vlookup(BB2081,importrange(""https://docs.google.com/spreadsheets/d/1d2vevQ_7D_v35q4wCQ4RpQ_IPoTwEMB9Yp6ymwlPqew/edit?gid=984458430#gid=984458430"", ""'replication success'!A:M""), 12, FAlSE)"),"Overall, compliance rates in our replication were similarly high as those Cialdini et al. (1975) found 45 years ago.")</f>
        <v>Overall, compliance rates in our replication were similarly high as those Cialdini et al. (1975) found 45 years ago.</v>
      </c>
      <c r="BA2081" s="61" t="str">
        <f>IFERROR(__xludf.DUMMYFUNCTION("vlookup(BB2081,importrange(""https://docs.google.com/spreadsheets/d/1d2vevQ_7D_v35q4wCQ4RpQ_IPoTwEMB9Yp6ymwlPqew/edit?gid=984458430#gid=984458430"", ""'replication success'!A:M""), 13, FAlSE)"),"abstract")</f>
        <v>abstract</v>
      </c>
      <c r="BB2081" s="61" t="str">
        <f>IFERROR(__xludf.DUMMYFUNCTION("REGEXREPLACE(G2081, ""_[a-z]{1,2}$"", """")"),"soscisubmission13")</f>
        <v>soscisubmission13</v>
      </c>
      <c r="BD2081" s="62" t="s">
        <v>5074</v>
      </c>
    </row>
    <row r="2082">
      <c r="A2082" s="44">
        <v>2082.0</v>
      </c>
      <c r="B2082" s="129" t="s">
        <v>114</v>
      </c>
      <c r="C2082" s="62" t="s">
        <v>115</v>
      </c>
      <c r="D2082" s="62" t="s">
        <v>145</v>
      </c>
      <c r="F2082" s="68" t="s">
        <v>12770</v>
      </c>
      <c r="G2082" s="68" t="s">
        <v>12771</v>
      </c>
      <c r="H2082" s="68" t="s">
        <v>12787</v>
      </c>
      <c r="I2082" s="529">
        <v>45713.0</v>
      </c>
      <c r="J2082" s="540">
        <v>45762.0</v>
      </c>
      <c r="K2082" s="68" t="s">
        <v>12788</v>
      </c>
      <c r="L2082" s="594" t="s">
        <v>12789</v>
      </c>
      <c r="M2082" s="594" t="s">
        <v>12790</v>
      </c>
      <c r="N2082" s="68" t="s">
        <v>12775</v>
      </c>
      <c r="O2082" s="336">
        <v>3.0</v>
      </c>
      <c r="P2082" s="68" t="s">
        <v>12776</v>
      </c>
      <c r="Q2082" s="52" t="str">
        <f t="array" ref="Q2082"> if(iserror(MATCH(V2082, 'File Links'!C:C, 0)), "N/A", HYPERLINK(INDEX('File Links'!B:B, MATCH(P2082, 'File Links'!C:C, 0))))</f>
        <v>https://drive.google.com/file/d/1LFgNyzLqTELlP9tfS2pwZ6Egg431WCHQ/view?usp=drivesdk</v>
      </c>
      <c r="R2082" s="68" t="s">
        <v>12777</v>
      </c>
      <c r="S2082" s="68" t="s">
        <v>12778</v>
      </c>
      <c r="T2082" s="68"/>
      <c r="U2082" s="129">
        <v>1.0</v>
      </c>
      <c r="V2082" s="68" t="s">
        <v>12779</v>
      </c>
      <c r="W2082" s="68" t="s">
        <v>2125</v>
      </c>
      <c r="X2082" s="54" t="str">
        <f t="array" ref="X2082"> if(iserror(MATCH(V2082, 'File Links'!C:C, 0)), "N/A", HYPERLINK(INDEX('File Links'!B:B, MATCH(V2082, 'File Links'!C:C, 0))))</f>
        <v>https://drive.google.com/file/d/1yu5hD1Fq1gaQ5iAk9Sy1oujO3qnlBxsm/view?usp=drivesdk</v>
      </c>
      <c r="Y2082" s="68"/>
      <c r="Z2082" s="68" t="s">
        <v>12737</v>
      </c>
      <c r="AA2082" s="68" t="s">
        <v>12780</v>
      </c>
      <c r="AB2082" s="68" t="s">
        <v>12791</v>
      </c>
      <c r="AC2082" s="68" t="s">
        <v>12792</v>
      </c>
      <c r="AD2082" s="68" t="s">
        <v>12793</v>
      </c>
      <c r="AE2082" s="336">
        <v>7.0</v>
      </c>
      <c r="AF2082" s="336">
        <v>72.0</v>
      </c>
      <c r="AG2082" s="323" t="s">
        <v>12794</v>
      </c>
      <c r="AH2082" s="68" t="s">
        <v>134</v>
      </c>
      <c r="AI2082" s="68" t="s">
        <v>132</v>
      </c>
      <c r="AJ2082" s="1949">
        <v>0.05</v>
      </c>
      <c r="AK2082" s="1392" t="s">
        <v>335</v>
      </c>
      <c r="AL2082" s="68" t="s">
        <v>136</v>
      </c>
      <c r="AM2082" s="68" t="s">
        <v>137</v>
      </c>
      <c r="AN2082" s="68" t="s">
        <v>138</v>
      </c>
      <c r="AO2082" s="336">
        <v>391.0</v>
      </c>
      <c r="AP2082" s="129" t="s">
        <v>12795</v>
      </c>
      <c r="AQ2082" s="68" t="s">
        <v>134</v>
      </c>
      <c r="AR2082" s="68" t="s">
        <v>2229</v>
      </c>
      <c r="AS2082" s="336">
        <v>0.146</v>
      </c>
      <c r="AT2082" s="68" t="s">
        <v>172</v>
      </c>
      <c r="AU2082" s="68" t="s">
        <v>186</v>
      </c>
      <c r="AV2082" s="68" t="s">
        <v>137</v>
      </c>
      <c r="AW2082" s="435" t="s">
        <v>12786</v>
      </c>
      <c r="AX2082" s="68" t="s">
        <v>143</v>
      </c>
      <c r="AY2082" s="61" t="str">
        <f>IFERROR(__xludf.DUMMYFUNCTION("vlookup(BB2082,importrange(""https://docs.google.com/spreadsheets/d/1d2vevQ_7D_v35q4wCQ4RpQ_IPoTwEMB9Yp6ymwlPqew/edit?gid=984458430#gid=984458430"", ""'replication success'!A:K""), 11, FAlSE)"),"successful")</f>
        <v>successful</v>
      </c>
      <c r="AZ2082" s="61" t="str">
        <f>IFERROR(__xludf.DUMMYFUNCTION("vlookup(BB2082,importrange(""https://docs.google.com/spreadsheets/d/1d2vevQ_7D_v35q4wCQ4RpQ_IPoTwEMB9Yp6ymwlPqew/edit?gid=984458430#gid=984458430"", ""'replication success'!A:M""), 12, FAlSE)"),"Overall, compliance rates in our replication were similarly high as those Cialdini et al. (1975) found 45 years ago.")</f>
        <v>Overall, compliance rates in our replication were similarly high as those Cialdini et al. (1975) found 45 years ago.</v>
      </c>
      <c r="BA2082" s="61" t="str">
        <f>IFERROR(__xludf.DUMMYFUNCTION("vlookup(BB2082,importrange(""https://docs.google.com/spreadsheets/d/1d2vevQ_7D_v35q4wCQ4RpQ_IPoTwEMB9Yp6ymwlPqew/edit?gid=984458430#gid=984458430"", ""'replication success'!A:M""), 13, FAlSE)"),"abstract")</f>
        <v>abstract</v>
      </c>
      <c r="BB2082" s="61" t="str">
        <f>IFERROR(__xludf.DUMMYFUNCTION("REGEXREPLACE(G2082, ""_[a-z]{1,2}$"", """")"),"soscisubmission13")</f>
        <v>soscisubmission13</v>
      </c>
      <c r="BD2082" s="62" t="s">
        <v>5074</v>
      </c>
    </row>
    <row r="2083">
      <c r="A2083" s="44">
        <v>2083.0</v>
      </c>
      <c r="B2083" s="129" t="s">
        <v>152</v>
      </c>
      <c r="C2083" s="62" t="s">
        <v>115</v>
      </c>
      <c r="D2083" s="62" t="s">
        <v>248</v>
      </c>
      <c r="F2083" s="68" t="s">
        <v>12796</v>
      </c>
      <c r="G2083" s="68" t="s">
        <v>12797</v>
      </c>
      <c r="H2083" s="68" t="s">
        <v>249</v>
      </c>
      <c r="I2083" s="529">
        <v>45713.0</v>
      </c>
      <c r="J2083" s="540">
        <v>45762.0</v>
      </c>
      <c r="K2083" s="68" t="s">
        <v>12798</v>
      </c>
      <c r="L2083" s="129" t="s">
        <v>12799</v>
      </c>
      <c r="M2083" s="129" t="s">
        <v>12800</v>
      </c>
      <c r="N2083" s="68" t="s">
        <v>12801</v>
      </c>
      <c r="O2083" s="336">
        <v>1.0</v>
      </c>
      <c r="P2083" s="573" t="s">
        <v>12802</v>
      </c>
      <c r="Q2083" s="52" t="str">
        <f t="array" ref="Q2083"> if(iserror(MATCH(V2083, 'File Links'!C:C, 0)), "N/A", HYPERLINK(INDEX('File Links'!B:B, MATCH(P2083, 'File Links'!C:C, 0))))</f>
        <v>https://drive.google.com/file/d/1kMj9bYJrk8644y4gPjpgYXSikwfmuYTS/view?usp=drivesdk</v>
      </c>
      <c r="R2083" s="68" t="s">
        <v>12800</v>
      </c>
      <c r="S2083" s="68" t="s">
        <v>12801</v>
      </c>
      <c r="T2083" s="68"/>
      <c r="U2083" s="336">
        <v>2.0</v>
      </c>
      <c r="V2083" s="573" t="s">
        <v>12802</v>
      </c>
      <c r="W2083" s="68" t="s">
        <v>138</v>
      </c>
      <c r="X2083" s="54" t="str">
        <f t="array" ref="X2083"> if(iserror(MATCH(V2083, 'File Links'!C:C, 0)), "N/A", HYPERLINK(INDEX('File Links'!B:B, MATCH(V2083, 'File Links'!C:C, 0))))</f>
        <v>https://drive.google.com/file/d/1kMj9bYJrk8644y4gPjpgYXSikwfmuYTS/view?usp=drivesdk</v>
      </c>
      <c r="Y2083" s="68"/>
      <c r="Z2083" s="68" t="s">
        <v>12803</v>
      </c>
      <c r="AA2083" s="68" t="s">
        <v>12804</v>
      </c>
      <c r="AB2083" s="129" t="s">
        <v>12805</v>
      </c>
      <c r="AC2083" s="68" t="s">
        <v>12804</v>
      </c>
      <c r="AD2083" s="68" t="s">
        <v>12806</v>
      </c>
      <c r="AE2083" s="1950">
        <v>45750.0</v>
      </c>
      <c r="AF2083" s="336">
        <v>60.0</v>
      </c>
      <c r="AG2083" s="336">
        <v>0.29</v>
      </c>
      <c r="AH2083" s="68" t="s">
        <v>215</v>
      </c>
      <c r="AI2083" s="68" t="s">
        <v>217</v>
      </c>
      <c r="AJ2083" s="336">
        <v>0.023</v>
      </c>
      <c r="AK2083" s="68" t="s">
        <v>172</v>
      </c>
      <c r="AL2083" s="68" t="s">
        <v>186</v>
      </c>
      <c r="AM2083" s="68" t="s">
        <v>137</v>
      </c>
      <c r="AN2083" s="68" t="s">
        <v>138</v>
      </c>
      <c r="AO2083" s="336">
        <v>42.0</v>
      </c>
      <c r="AP2083" s="563">
        <v>0.32</v>
      </c>
      <c r="AQ2083" s="68" t="s">
        <v>215</v>
      </c>
      <c r="AR2083" s="68" t="s">
        <v>507</v>
      </c>
      <c r="AS2083" s="336">
        <v>0.039</v>
      </c>
      <c r="AT2083" s="68" t="s">
        <v>172</v>
      </c>
      <c r="AU2083" s="68" t="s">
        <v>186</v>
      </c>
      <c r="AV2083" s="68" t="s">
        <v>137</v>
      </c>
      <c r="AW2083" s="68" t="s">
        <v>138</v>
      </c>
      <c r="AX2083" s="68" t="s">
        <v>438</v>
      </c>
      <c r="AY2083" s="61" t="str">
        <f>IFERROR(__xludf.DUMMYFUNCTION("vlookup(BB2083,importrange(""https://docs.google.com/spreadsheets/d/1d2vevQ_7D_v35q4wCQ4RpQ_IPoTwEMB9Yp6ymwlPqew/edit?gid=984458430#gid=984458430"", ""'replication success'!A:K""), 11, FAlSE)"),"uninformative")</f>
        <v>uninformative</v>
      </c>
      <c r="AZ2083" s="61" t="str">
        <f>IFERROR(__xludf.DUMMYFUNCTION("vlookup(BB2083,importrange(""https://docs.google.com/spreadsheets/d/1d2vevQ_7D_v35q4wCQ4RpQ_IPoTwEMB9Yp6ymwlPqew/edit?gid=984458430#gid=984458430"", ""'replication success'!A:M""), 12, FAlSE)"),"NA")</f>
        <v>NA</v>
      </c>
      <c r="BA2083" s="61" t="str">
        <f>IFERROR(__xludf.DUMMYFUNCTION("vlookup(BB2083,importrange(""https://docs.google.com/spreadsheets/d/1d2vevQ_7D_v35q4wCQ4RpQ_IPoTwEMB9Yp6ymwlPqew/edit?gid=984458430#gid=984458430"", ""'replication success'!A:M""), 13, FAlSE)"),"abstract")</f>
        <v>abstract</v>
      </c>
      <c r="BB2083" s="61" t="str">
        <f>IFERROR(__xludf.DUMMYFUNCTION("REGEXREPLACE(G2083, ""_[a-z]{1,2}$"", """")"),"soscisubmission14a")</f>
        <v>soscisubmission14a</v>
      </c>
      <c r="BD2083" s="62" t="s">
        <v>5074</v>
      </c>
    </row>
    <row r="2084">
      <c r="A2084" s="44">
        <v>2084.0</v>
      </c>
      <c r="B2084" s="129" t="s">
        <v>114</v>
      </c>
      <c r="C2084" s="62" t="s">
        <v>115</v>
      </c>
      <c r="D2084" s="62" t="s">
        <v>145</v>
      </c>
      <c r="F2084" s="68" t="s">
        <v>12796</v>
      </c>
      <c r="G2084" s="68" t="s">
        <v>12797</v>
      </c>
      <c r="H2084" s="68" t="s">
        <v>12807</v>
      </c>
      <c r="I2084" s="529">
        <v>45713.0</v>
      </c>
      <c r="J2084" s="540">
        <v>45762.0</v>
      </c>
      <c r="K2084" s="68"/>
      <c r="L2084" s="68"/>
      <c r="M2084" s="129" t="s">
        <v>12800</v>
      </c>
      <c r="N2084" s="68" t="s">
        <v>12801</v>
      </c>
      <c r="O2084" s="336">
        <v>1.0</v>
      </c>
      <c r="P2084" s="68" t="s">
        <v>12802</v>
      </c>
      <c r="Q2084" s="52" t="str">
        <f t="array" ref="Q2084"> if(iserror(MATCH(V2084, 'File Links'!C:C, 0)), "N/A", HYPERLINK(INDEX('File Links'!B:B, MATCH(P2084, 'File Links'!C:C, 0))))</f>
        <v>https://drive.google.com/file/d/1kMj9bYJrk8644y4gPjpgYXSikwfmuYTS/view?usp=drivesdk</v>
      </c>
      <c r="R2084" s="68" t="s">
        <v>12800</v>
      </c>
      <c r="S2084" s="68" t="s">
        <v>12801</v>
      </c>
      <c r="T2084" s="68"/>
      <c r="U2084" s="129">
        <v>1.0</v>
      </c>
      <c r="V2084" s="68" t="s">
        <v>12802</v>
      </c>
      <c r="W2084" s="68"/>
      <c r="X2084" s="54" t="str">
        <f t="array" ref="X2084"> if(iserror(MATCH(V2084, 'File Links'!C:C, 0)), "N/A", HYPERLINK(INDEX('File Links'!B:B, MATCH(V2084, 'File Links'!C:C, 0))))</f>
        <v>https://drive.google.com/file/d/1kMj9bYJrk8644y4gPjpgYXSikwfmuYTS/view?usp=drivesdk</v>
      </c>
      <c r="Y2084" s="68" t="s">
        <v>12808</v>
      </c>
      <c r="Z2084" s="68" t="s">
        <v>148</v>
      </c>
      <c r="AA2084" s="68" t="s">
        <v>12804</v>
      </c>
      <c r="AB2084" s="68" t="s">
        <v>12809</v>
      </c>
      <c r="AC2084" s="68" t="s">
        <v>12804</v>
      </c>
      <c r="AD2084" s="68"/>
      <c r="AE2084" s="68"/>
      <c r="AF2084" s="336"/>
      <c r="AG2084" s="336"/>
      <c r="AH2084" s="68"/>
      <c r="AI2084" s="68"/>
      <c r="AJ2084" s="68"/>
      <c r="AK2084" s="68"/>
      <c r="AL2084" s="68"/>
      <c r="AM2084" s="68"/>
      <c r="AN2084" s="68" t="s">
        <v>138</v>
      </c>
      <c r="AO2084" s="336"/>
      <c r="AP2084" s="563"/>
      <c r="AQ2084" s="68"/>
      <c r="AR2084" s="68"/>
      <c r="AS2084" s="68"/>
      <c r="AT2084" s="68"/>
      <c r="AU2084" s="68"/>
      <c r="AV2084" s="68"/>
      <c r="AW2084" s="68"/>
      <c r="AX2084" s="68"/>
      <c r="AY2084" s="61" t="str">
        <f>IFERROR(__xludf.DUMMYFUNCTION("vlookup(BB2084,importrange(""https://docs.google.com/spreadsheets/d/1d2vevQ_7D_v35q4wCQ4RpQ_IPoTwEMB9Yp6ymwlPqew/edit?gid=984458430#gid=984458430"", ""'replication success'!A:K""), 11, FAlSE)"),"uninformative")</f>
        <v>uninformative</v>
      </c>
      <c r="AZ2084" s="61" t="str">
        <f>IFERROR(__xludf.DUMMYFUNCTION("vlookup(BB2084,importrange(""https://docs.google.com/spreadsheets/d/1d2vevQ_7D_v35q4wCQ4RpQ_IPoTwEMB9Yp6ymwlPqew/edit?gid=984458430#gid=984458430"", ""'replication success'!A:M""), 12, FAlSE)"),"NA")</f>
        <v>NA</v>
      </c>
      <c r="BA2084" s="61" t="str">
        <f>IFERROR(__xludf.DUMMYFUNCTION("vlookup(BB2084,importrange(""https://docs.google.com/spreadsheets/d/1d2vevQ_7D_v35q4wCQ4RpQ_IPoTwEMB9Yp6ymwlPqew/edit?gid=984458430#gid=984458430"", ""'replication success'!A:M""), 13, FAlSE)"),"abstract")</f>
        <v>abstract</v>
      </c>
      <c r="BB2084" s="61" t="str">
        <f>IFERROR(__xludf.DUMMYFUNCTION("REGEXREPLACE(G2084, ""_[a-z]{1,2}$"", """")"),"soscisubmission14a")</f>
        <v>soscisubmission14a</v>
      </c>
      <c r="BD2084" s="62" t="s">
        <v>5074</v>
      </c>
    </row>
    <row r="2085">
      <c r="A2085" s="44">
        <v>2085.0</v>
      </c>
      <c r="B2085" s="129" t="s">
        <v>152</v>
      </c>
      <c r="C2085" s="62" t="s">
        <v>115</v>
      </c>
      <c r="D2085" s="62" t="s">
        <v>248</v>
      </c>
      <c r="F2085" s="68" t="s">
        <v>12810</v>
      </c>
      <c r="G2085" s="68" t="s">
        <v>12811</v>
      </c>
      <c r="H2085" s="68" t="s">
        <v>249</v>
      </c>
      <c r="I2085" s="529">
        <v>45713.0</v>
      </c>
      <c r="J2085" s="540">
        <v>45763.0</v>
      </c>
      <c r="K2085" s="68" t="s">
        <v>12812</v>
      </c>
      <c r="L2085" s="129" t="s">
        <v>12813</v>
      </c>
      <c r="M2085" s="129" t="s">
        <v>12800</v>
      </c>
      <c r="N2085" s="68" t="s">
        <v>12801</v>
      </c>
      <c r="O2085" s="336">
        <v>1.0</v>
      </c>
      <c r="P2085" s="573" t="s">
        <v>12802</v>
      </c>
      <c r="Q2085" s="52" t="str">
        <f t="array" ref="Q2085"> if(iserror(MATCH(V2085, 'File Links'!C:C, 0)), "N/A", HYPERLINK(INDEX('File Links'!B:B, MATCH(P2085, 'File Links'!C:C, 0))))</f>
        <v>https://drive.google.com/file/d/1kMj9bYJrk8644y4gPjpgYXSikwfmuYTS/view?usp=drivesdk</v>
      </c>
      <c r="R2085" s="68" t="s">
        <v>12814</v>
      </c>
      <c r="S2085" s="68" t="s">
        <v>12815</v>
      </c>
      <c r="T2085" s="68"/>
      <c r="U2085" s="129">
        <v>1.0</v>
      </c>
      <c r="V2085" s="573" t="s">
        <v>12816</v>
      </c>
      <c r="W2085" s="68" t="s">
        <v>138</v>
      </c>
      <c r="X2085" s="54" t="str">
        <f t="array" ref="X2085"> if(iserror(MATCH(V2085, 'File Links'!C:C, 0)), "N/A", HYPERLINK(INDEX('File Links'!B:B, MATCH(V2085, 'File Links'!C:C, 0))))</f>
        <v>https://drive.google.com/file/d/1gdDOOMTIigM-6Ed3enxRZxDW_ycizIYq/view?usp=drivesdk</v>
      </c>
      <c r="Y2085" s="68"/>
      <c r="Z2085" s="68" t="s">
        <v>12803</v>
      </c>
      <c r="AA2085" s="68" t="s">
        <v>12804</v>
      </c>
      <c r="AB2085" s="129" t="s">
        <v>12817</v>
      </c>
      <c r="AC2085" s="68" t="s">
        <v>12804</v>
      </c>
      <c r="AD2085" s="68" t="s">
        <v>12806</v>
      </c>
      <c r="AE2085" s="1950">
        <v>45750.0</v>
      </c>
      <c r="AF2085" s="336">
        <v>60.0</v>
      </c>
      <c r="AG2085" s="336">
        <v>0.29</v>
      </c>
      <c r="AH2085" s="68" t="s">
        <v>215</v>
      </c>
      <c r="AI2085" s="68" t="s">
        <v>217</v>
      </c>
      <c r="AJ2085" s="336">
        <v>0.023</v>
      </c>
      <c r="AK2085" s="68" t="s">
        <v>172</v>
      </c>
      <c r="AL2085" s="68" t="s">
        <v>186</v>
      </c>
      <c r="AM2085" s="68" t="s">
        <v>137</v>
      </c>
      <c r="AN2085" s="68" t="s">
        <v>138</v>
      </c>
      <c r="AO2085" s="336">
        <v>48.0</v>
      </c>
      <c r="AP2085" s="1951">
        <v>1.0</v>
      </c>
      <c r="AQ2085" s="68" t="s">
        <v>722</v>
      </c>
      <c r="AR2085" s="129" t="s">
        <v>12818</v>
      </c>
      <c r="AS2085" s="67" t="str">
        <f> "=(" &amp; AS2082 &amp; "/" &amp; AT2082 &amp; ")/(" &amp; AS2083 &amp; "/" &amp; AT2083 &amp; ")"
</f>
        <v>=(0.146/e (=))/(0.039/e (=))</v>
      </c>
      <c r="AT2085" s="151" t="s">
        <v>138</v>
      </c>
      <c r="AU2085" s="68" t="s">
        <v>186</v>
      </c>
      <c r="AV2085" s="68" t="s">
        <v>141</v>
      </c>
      <c r="AW2085" s="68" t="s">
        <v>138</v>
      </c>
      <c r="AX2085" s="68" t="s">
        <v>143</v>
      </c>
      <c r="AY2085" s="61" t="str">
        <f>IFERROR(__xludf.DUMMYFUNCTION("vlookup(BB2085,importrange(""https://docs.google.com/spreadsheets/d/1d2vevQ_7D_v35q4wCQ4RpQ_IPoTwEMB9Yp6ymwlPqew/edit?gid=984458430#gid=984458430"", ""'replication success'!A:K""), 11, FAlSE)"),"uninformative")</f>
        <v>uninformative</v>
      </c>
      <c r="AZ2085" s="61" t="str">
        <f>IFERROR(__xludf.DUMMYFUNCTION("vlookup(BB2085,importrange(""https://docs.google.com/spreadsheets/d/1d2vevQ_7D_v35q4wCQ4RpQ_IPoTwEMB9Yp6ymwlPqew/edit?gid=984458430#gid=984458430"", ""'replication success'!A:M""), 12, FAlSE)"),"NA")</f>
        <v>NA</v>
      </c>
      <c r="BA2085" s="61" t="str">
        <f>IFERROR(__xludf.DUMMYFUNCTION("vlookup(BB2085,importrange(""https://docs.google.com/spreadsheets/d/1d2vevQ_7D_v35q4wCQ4RpQ_IPoTwEMB9Yp6ymwlPqew/edit?gid=984458430#gid=984458430"", ""'replication success'!A:M""), 13, FAlSE)"),"abstract")</f>
        <v>abstract</v>
      </c>
      <c r="BB2085" s="61" t="str">
        <f>IFERROR(__xludf.DUMMYFUNCTION("REGEXREPLACE(G2085, ""_[a-z]{1,2}$"", """")"),"soscisubmission14b")</f>
        <v>soscisubmission14b</v>
      </c>
      <c r="BD2085" s="62" t="s">
        <v>5074</v>
      </c>
    </row>
    <row r="2086">
      <c r="A2086" s="44">
        <v>2086.0</v>
      </c>
      <c r="B2086" s="129" t="s">
        <v>114</v>
      </c>
      <c r="C2086" s="62" t="s">
        <v>115</v>
      </c>
      <c r="D2086" s="62" t="s">
        <v>145</v>
      </c>
      <c r="F2086" s="68" t="s">
        <v>12810</v>
      </c>
      <c r="G2086" s="68" t="s">
        <v>12811</v>
      </c>
      <c r="H2086" s="68" t="s">
        <v>12819</v>
      </c>
      <c r="I2086" s="529">
        <v>45713.0</v>
      </c>
      <c r="J2086" s="540">
        <v>45763.0</v>
      </c>
      <c r="K2086" s="68" t="s">
        <v>12820</v>
      </c>
      <c r="L2086" s="68"/>
      <c r="M2086" s="129" t="s">
        <v>12800</v>
      </c>
      <c r="N2086" s="68" t="s">
        <v>12801</v>
      </c>
      <c r="O2086" s="336">
        <v>1.0</v>
      </c>
      <c r="P2086" s="68" t="s">
        <v>12802</v>
      </c>
      <c r="Q2086" s="52" t="str">
        <f t="array" ref="Q2086"> if(iserror(MATCH(V2086, 'File Links'!C:C, 0)), "N/A", HYPERLINK(INDEX('File Links'!B:B, MATCH(P2086, 'File Links'!C:C, 0))))</f>
        <v>https://drive.google.com/file/d/1kMj9bYJrk8644y4gPjpgYXSikwfmuYTS/view?usp=drivesdk</v>
      </c>
      <c r="R2086" s="68" t="s">
        <v>12814</v>
      </c>
      <c r="S2086" s="68" t="s">
        <v>12815</v>
      </c>
      <c r="T2086" s="68"/>
      <c r="U2086" s="129">
        <v>1.0</v>
      </c>
      <c r="V2086" s="68" t="s">
        <v>12816</v>
      </c>
      <c r="W2086" s="68" t="s">
        <v>138</v>
      </c>
      <c r="X2086" s="54" t="str">
        <f t="array" ref="X2086"> if(iserror(MATCH(V2086, 'File Links'!C:C, 0)), "N/A", HYPERLINK(INDEX('File Links'!B:B, MATCH(V2086, 'File Links'!C:C, 0))))</f>
        <v>https://drive.google.com/file/d/1gdDOOMTIigM-6Ed3enxRZxDW_ycizIYq/view?usp=drivesdk</v>
      </c>
      <c r="Y2086" s="68"/>
      <c r="Z2086" s="68" t="s">
        <v>148</v>
      </c>
      <c r="AA2086" s="68" t="s">
        <v>12804</v>
      </c>
      <c r="AB2086" s="68" t="s">
        <v>12821</v>
      </c>
      <c r="AC2086" s="68" t="s">
        <v>12804</v>
      </c>
      <c r="AD2086" s="68" t="s">
        <v>12822</v>
      </c>
      <c r="AE2086" s="336">
        <v>3.0</v>
      </c>
      <c r="AF2086" s="336">
        <v>60.0</v>
      </c>
      <c r="AG2086" s="336">
        <v>0.29</v>
      </c>
      <c r="AH2086" s="68" t="s">
        <v>215</v>
      </c>
      <c r="AI2086" s="68" t="s">
        <v>217</v>
      </c>
      <c r="AJ2086" s="336">
        <v>0.023</v>
      </c>
      <c r="AK2086" s="68" t="s">
        <v>172</v>
      </c>
      <c r="AL2086" s="68" t="s">
        <v>186</v>
      </c>
      <c r="AM2086" s="68" t="s">
        <v>137</v>
      </c>
      <c r="AN2086" s="68" t="s">
        <v>138</v>
      </c>
      <c r="AO2086" s="336">
        <v>48.0</v>
      </c>
      <c r="AP2086" s="1952">
        <v>0.32</v>
      </c>
      <c r="AQ2086" s="1392" t="s">
        <v>173</v>
      </c>
      <c r="AR2086" s="1392" t="s">
        <v>613</v>
      </c>
      <c r="AS2086" s="1949">
        <v>0.004</v>
      </c>
      <c r="AT2086" s="68" t="s">
        <v>172</v>
      </c>
      <c r="AU2086" s="68" t="s">
        <v>186</v>
      </c>
      <c r="AV2086" s="68" t="s">
        <v>141</v>
      </c>
      <c r="AW2086" s="68" t="s">
        <v>1535</v>
      </c>
      <c r="AX2086" s="68" t="s">
        <v>143</v>
      </c>
      <c r="AY2086" s="61" t="str">
        <f>IFERROR(__xludf.DUMMYFUNCTION("vlookup(BB2086,importrange(""https://docs.google.com/spreadsheets/d/1d2vevQ_7D_v35q4wCQ4RpQ_IPoTwEMB9Yp6ymwlPqew/edit?gid=984458430#gid=984458430"", ""'replication success'!A:K""), 11, FAlSE)"),"uninformative")</f>
        <v>uninformative</v>
      </c>
      <c r="AZ2086" s="61" t="str">
        <f>IFERROR(__xludf.DUMMYFUNCTION("vlookup(BB2086,importrange(""https://docs.google.com/spreadsheets/d/1d2vevQ_7D_v35q4wCQ4RpQ_IPoTwEMB9Yp6ymwlPqew/edit?gid=984458430#gid=984458430"", ""'replication success'!A:M""), 12, FAlSE)"),"NA")</f>
        <v>NA</v>
      </c>
      <c r="BA2086" s="61" t="str">
        <f>IFERROR(__xludf.DUMMYFUNCTION("vlookup(BB2086,importrange(""https://docs.google.com/spreadsheets/d/1d2vevQ_7D_v35q4wCQ4RpQ_IPoTwEMB9Yp6ymwlPqew/edit?gid=984458430#gid=984458430"", ""'replication success'!A:M""), 13, FAlSE)"),"abstract")</f>
        <v>abstract</v>
      </c>
      <c r="BB2086" s="61" t="str">
        <f>IFERROR(__xludf.DUMMYFUNCTION("REGEXREPLACE(G2086, ""_[a-z]{1,2}$"", """")"),"soscisubmission14b")</f>
        <v>soscisubmission14b</v>
      </c>
      <c r="BD2086" s="62" t="s">
        <v>5074</v>
      </c>
    </row>
    <row r="2087">
      <c r="A2087" s="44">
        <v>2087.0</v>
      </c>
      <c r="B2087" s="129" t="s">
        <v>152</v>
      </c>
      <c r="C2087" s="62" t="s">
        <v>115</v>
      </c>
      <c r="D2087" s="62" t="s">
        <v>248</v>
      </c>
      <c r="F2087" s="68" t="s">
        <v>12823</v>
      </c>
      <c r="G2087" s="68" t="s">
        <v>12824</v>
      </c>
      <c r="H2087" s="68" t="s">
        <v>249</v>
      </c>
      <c r="I2087" s="529">
        <v>45713.0</v>
      </c>
      <c r="J2087" s="540">
        <v>45763.0</v>
      </c>
      <c r="K2087" s="68" t="s">
        <v>12825</v>
      </c>
      <c r="L2087" s="129" t="s">
        <v>12826</v>
      </c>
      <c r="M2087" s="129" t="s">
        <v>12800</v>
      </c>
      <c r="N2087" s="68" t="s">
        <v>12801</v>
      </c>
      <c r="O2087" s="336">
        <v>1.0</v>
      </c>
      <c r="P2087" s="573" t="s">
        <v>12802</v>
      </c>
      <c r="Q2087" s="52" t="str">
        <f t="array" ref="Q2087"> if(iserror(MATCH(V2087, 'File Links'!C:C, 0)), "N/A", HYPERLINK(INDEX('File Links'!B:B, MATCH(P2087, 'File Links'!C:C, 0))))</f>
        <v>https://drive.google.com/file/d/1kMj9bYJrk8644y4gPjpgYXSikwfmuYTS/view?usp=drivesdk</v>
      </c>
      <c r="R2087" s="68" t="s">
        <v>12827</v>
      </c>
      <c r="S2087" s="68" t="s">
        <v>12828</v>
      </c>
      <c r="T2087" s="68"/>
      <c r="U2087" s="129">
        <v>1.0</v>
      </c>
      <c r="V2087" s="573" t="s">
        <v>12829</v>
      </c>
      <c r="W2087" s="68" t="s">
        <v>138</v>
      </c>
      <c r="X2087" s="54" t="str">
        <f t="array" ref="X2087"> if(iserror(MATCH(V2087, 'File Links'!C:C, 0)), "N/A", HYPERLINK(INDEX('File Links'!B:B, MATCH(V2087, 'File Links'!C:C, 0))))</f>
        <v>https://drive.google.com/file/d/1qykbPSroz40PGKkag9WEI54L9tC55d5r/view?usp=drivesdk</v>
      </c>
      <c r="Y2087" s="68"/>
      <c r="Z2087" s="68" t="s">
        <v>12803</v>
      </c>
      <c r="AA2087" s="68" t="s">
        <v>12804</v>
      </c>
      <c r="AB2087" s="129" t="s">
        <v>12830</v>
      </c>
      <c r="AC2087" s="68" t="s">
        <v>12804</v>
      </c>
      <c r="AD2087" s="68" t="s">
        <v>12806</v>
      </c>
      <c r="AE2087" s="1950">
        <v>45750.0</v>
      </c>
      <c r="AF2087" s="336">
        <v>60.0</v>
      </c>
      <c r="AG2087" s="336">
        <v>0.29</v>
      </c>
      <c r="AH2087" s="68" t="s">
        <v>215</v>
      </c>
      <c r="AI2087" s="68" t="s">
        <v>217</v>
      </c>
      <c r="AJ2087" s="336">
        <v>0.023</v>
      </c>
      <c r="AK2087" s="68" t="s">
        <v>172</v>
      </c>
      <c r="AL2087" s="68" t="s">
        <v>186</v>
      </c>
      <c r="AM2087" s="68" t="s">
        <v>137</v>
      </c>
      <c r="AN2087" s="68" t="s">
        <v>138</v>
      </c>
      <c r="AO2087" s="336">
        <v>329.0</v>
      </c>
      <c r="AP2087" s="563">
        <v>0.017</v>
      </c>
      <c r="AQ2087" s="68" t="s">
        <v>874</v>
      </c>
      <c r="AR2087" s="68" t="s">
        <v>132</v>
      </c>
      <c r="AS2087" s="336">
        <v>0.065</v>
      </c>
      <c r="AT2087" s="68" t="s">
        <v>172</v>
      </c>
      <c r="AU2087" s="68" t="s">
        <v>186</v>
      </c>
      <c r="AV2087" s="68" t="s">
        <v>141</v>
      </c>
      <c r="AW2087" s="435" t="s">
        <v>12831</v>
      </c>
      <c r="AX2087" s="68" t="s">
        <v>143</v>
      </c>
      <c r="AY2087" s="61" t="str">
        <f>IFERROR(__xludf.DUMMYFUNCTION("vlookup(BB2087,importrange(""https://docs.google.com/spreadsheets/d/1d2vevQ_7D_v35q4wCQ4RpQ_IPoTwEMB9Yp6ymwlPqew/edit?gid=984458430#gid=984458430"", ""'replication success'!A:K""), 11, FAlSE)"),"failed")</f>
        <v>failed</v>
      </c>
      <c r="AZ2087" s="61" t="str">
        <f>IFERROR(__xludf.DUMMYFUNCTION("vlookup(BB2087,importrange(""https://docs.google.com/spreadsheets/d/1d2vevQ_7D_v35q4wCQ4RpQ_IPoTwEMB9Yp6ymwlPqew/edit?gid=984458430#gid=984458430"", ""'replication success'!A:M""), 12, FAlSE)"),"Despite the use of a
substantially larger sample and higher doses of alcohol compared with the ones in prior studies, alcohol had no significant
effect on moral judgments. The results pose a challenge to the idea that alcohol increases utilitarianism in m"&amp;"oral judgments.")</f>
        <v>Despite the use of a
substantially larger sample and higher doses of alcohol compared with the ones in prior studies, alcohol had no significant
effect on moral judgments. The results pose a challenge to the idea that alcohol increases utilitarianism in moral judgments.</v>
      </c>
      <c r="BA2087" s="61" t="str">
        <f>IFERROR(__xludf.DUMMYFUNCTION("vlookup(BB2087,importrange(""https://docs.google.com/spreadsheets/d/1d2vevQ_7D_v35q4wCQ4RpQ_IPoTwEMB9Yp6ymwlPqew/edit?gid=984458430#gid=984458430"", ""'replication success'!A:M""), 13, FAlSE)"),"abstract")</f>
        <v>abstract</v>
      </c>
      <c r="BB2087" s="61" t="str">
        <f>IFERROR(__xludf.DUMMYFUNCTION("REGEXREPLACE(G2087, ""_[a-z]{1,2}$"", """")"),"soscisubmission14c")</f>
        <v>soscisubmission14c</v>
      </c>
      <c r="BD2087" s="62" t="s">
        <v>5074</v>
      </c>
    </row>
    <row r="2088">
      <c r="A2088" s="44">
        <v>2088.0</v>
      </c>
      <c r="B2088" s="129" t="s">
        <v>114</v>
      </c>
      <c r="C2088" s="62" t="s">
        <v>115</v>
      </c>
      <c r="D2088" s="62" t="s">
        <v>145</v>
      </c>
      <c r="F2088" s="68" t="s">
        <v>12823</v>
      </c>
      <c r="G2088" s="68" t="s">
        <v>12824</v>
      </c>
      <c r="H2088" s="68" t="s">
        <v>12807</v>
      </c>
      <c r="I2088" s="529">
        <v>45713.0</v>
      </c>
      <c r="J2088" s="540">
        <v>45763.0</v>
      </c>
      <c r="K2088" s="68" t="s">
        <v>12832</v>
      </c>
      <c r="L2088" s="68"/>
      <c r="M2088" s="129" t="s">
        <v>12800</v>
      </c>
      <c r="N2088" s="68" t="s">
        <v>12801</v>
      </c>
      <c r="O2088" s="336">
        <v>1.0</v>
      </c>
      <c r="P2088" s="68" t="s">
        <v>12802</v>
      </c>
      <c r="Q2088" s="52" t="str">
        <f t="array" ref="Q2088"> if(iserror(MATCH(V2088, 'File Links'!C:C, 0)), "N/A", HYPERLINK(INDEX('File Links'!B:B, MATCH(P2088, 'File Links'!C:C, 0))))</f>
        <v>https://drive.google.com/file/d/1kMj9bYJrk8644y4gPjpgYXSikwfmuYTS/view?usp=drivesdk</v>
      </c>
      <c r="R2088" s="68" t="s">
        <v>12827</v>
      </c>
      <c r="S2088" s="68" t="s">
        <v>12828</v>
      </c>
      <c r="T2088" s="68"/>
      <c r="U2088" s="129">
        <v>1.0</v>
      </c>
      <c r="V2088" s="68" t="s">
        <v>12829</v>
      </c>
      <c r="W2088" s="68" t="s">
        <v>138</v>
      </c>
      <c r="X2088" s="54" t="str">
        <f t="array" ref="X2088"> if(iserror(MATCH(V2088, 'File Links'!C:C, 0)), "N/A", HYPERLINK(INDEX('File Links'!B:B, MATCH(V2088, 'File Links'!C:C, 0))))</f>
        <v>https://drive.google.com/file/d/1qykbPSroz40PGKkag9WEI54L9tC55d5r/view?usp=drivesdk</v>
      </c>
      <c r="Y2088" s="68"/>
      <c r="Z2088" s="68" t="s">
        <v>226</v>
      </c>
      <c r="AA2088" s="68" t="s">
        <v>12804</v>
      </c>
      <c r="AB2088" s="68" t="s">
        <v>12833</v>
      </c>
      <c r="AC2088" s="68" t="s">
        <v>12834</v>
      </c>
      <c r="AD2088" s="68" t="s">
        <v>12822</v>
      </c>
      <c r="AE2088" s="336">
        <v>3.0</v>
      </c>
      <c r="AF2088" s="336">
        <v>60.0</v>
      </c>
      <c r="AG2088" s="336">
        <v>0.29</v>
      </c>
      <c r="AH2088" s="68" t="s">
        <v>215</v>
      </c>
      <c r="AI2088" s="68" t="s">
        <v>217</v>
      </c>
      <c r="AJ2088" s="336">
        <v>0.023</v>
      </c>
      <c r="AK2088" s="68" t="s">
        <v>172</v>
      </c>
      <c r="AL2088" s="68" t="s">
        <v>186</v>
      </c>
      <c r="AM2088" s="68" t="s">
        <v>137</v>
      </c>
      <c r="AN2088" s="68" t="s">
        <v>138</v>
      </c>
      <c r="AO2088" s="1949">
        <v>106.0</v>
      </c>
      <c r="AP2088" s="1952">
        <v>0.4</v>
      </c>
      <c r="AQ2088" s="1392" t="s">
        <v>215</v>
      </c>
      <c r="AR2088" s="1392" t="s">
        <v>12835</v>
      </c>
      <c r="AS2088" s="1949">
        <v>0.01</v>
      </c>
      <c r="AT2088" s="1392" t="s">
        <v>135</v>
      </c>
      <c r="AU2088" s="68" t="s">
        <v>186</v>
      </c>
      <c r="AV2088" s="68" t="s">
        <v>1905</v>
      </c>
      <c r="AW2088" s="435" t="s">
        <v>12831</v>
      </c>
      <c r="AX2088" s="68" t="s">
        <v>143</v>
      </c>
      <c r="AY2088" s="61" t="str">
        <f>IFERROR(__xludf.DUMMYFUNCTION("vlookup(BB2088,importrange(""https://docs.google.com/spreadsheets/d/1d2vevQ_7D_v35q4wCQ4RpQ_IPoTwEMB9Yp6ymwlPqew/edit?gid=984458430#gid=984458430"", ""'replication success'!A:K""), 11, FAlSE)"),"failed")</f>
        <v>failed</v>
      </c>
      <c r="AZ2088" s="61" t="str">
        <f>IFERROR(__xludf.DUMMYFUNCTION("vlookup(BB2088,importrange(""https://docs.google.com/spreadsheets/d/1d2vevQ_7D_v35q4wCQ4RpQ_IPoTwEMB9Yp6ymwlPqew/edit?gid=984458430#gid=984458430"", ""'replication success'!A:M""), 12, FAlSE)"),"Despite the use of a
substantially larger sample and higher doses of alcohol compared with the ones in prior studies, alcohol had no significant
effect on moral judgments. The results pose a challenge to the idea that alcohol increases utilitarianism in m"&amp;"oral judgments.")</f>
        <v>Despite the use of a
substantially larger sample and higher doses of alcohol compared with the ones in prior studies, alcohol had no significant
effect on moral judgments. The results pose a challenge to the idea that alcohol increases utilitarianism in moral judgments.</v>
      </c>
      <c r="BA2088" s="61" t="str">
        <f>IFERROR(__xludf.DUMMYFUNCTION("vlookup(BB2088,importrange(""https://docs.google.com/spreadsheets/d/1d2vevQ_7D_v35q4wCQ4RpQ_IPoTwEMB9Yp6ymwlPqew/edit?gid=984458430#gid=984458430"", ""'replication success'!A:M""), 13, FAlSE)"),"abstract")</f>
        <v>abstract</v>
      </c>
      <c r="BB2088" s="61" t="str">
        <f>IFERROR(__xludf.DUMMYFUNCTION("REGEXREPLACE(G2088, ""_[a-z]{1,2}$"", """")"),"soscisubmission14c")</f>
        <v>soscisubmission14c</v>
      </c>
      <c r="BD2088" s="62" t="s">
        <v>5074</v>
      </c>
    </row>
    <row r="2089">
      <c r="A2089" s="44">
        <v>2089.0</v>
      </c>
      <c r="B2089" s="129" t="s">
        <v>114</v>
      </c>
      <c r="C2089" s="62" t="s">
        <v>115</v>
      </c>
      <c r="D2089" s="62" t="s">
        <v>1441</v>
      </c>
      <c r="F2089" s="68" t="s">
        <v>12836</v>
      </c>
      <c r="G2089" s="159" t="s">
        <v>12837</v>
      </c>
      <c r="H2089" s="159" t="s">
        <v>12838</v>
      </c>
      <c r="I2089" s="1287" t="s">
        <v>12839</v>
      </c>
      <c r="J2089" s="153">
        <v>45764.0</v>
      </c>
      <c r="K2089" s="159" t="s">
        <v>12840</v>
      </c>
      <c r="L2089" s="159" t="s">
        <v>12841</v>
      </c>
      <c r="M2089" s="159" t="s">
        <v>12842</v>
      </c>
      <c r="N2089" s="159" t="s">
        <v>12843</v>
      </c>
      <c r="O2089" s="156">
        <v>1.0</v>
      </c>
      <c r="P2089" s="382" t="s">
        <v>12844</v>
      </c>
      <c r="Q2089" s="52" t="str">
        <f t="array" ref="Q2089"> if(iserror(MATCH(V2089, 'File Links'!C:C, 0)), "N/A", HYPERLINK(INDEX('File Links'!B:B, MATCH(P2089, 'File Links'!C:C, 0))))</f>
        <v>https://drive.google.com/file/d/1jS6-wcsNs2BINT3z4pARWRtZLYGXCQno/view?usp=drivesdk</v>
      </c>
      <c r="R2089" s="159" t="s">
        <v>12845</v>
      </c>
      <c r="S2089" s="159" t="s">
        <v>12846</v>
      </c>
      <c r="T2089" s="68"/>
      <c r="U2089" s="156">
        <v>1.0</v>
      </c>
      <c r="V2089" s="382" t="s">
        <v>12847</v>
      </c>
      <c r="W2089" s="159" t="s">
        <v>1265</v>
      </c>
      <c r="X2089" s="54" t="str">
        <f t="array" ref="X2089"> if(iserror(MATCH(V2089, 'File Links'!C:C, 0)), "N/A", HYPERLINK(INDEX('File Links'!B:B, MATCH(V2089, 'File Links'!C:C, 0))))</f>
        <v>https://drive.google.com/file/d/1M6Ltzqhoq6i38u_uKwWyzNhrrtQbazWq/view?usp=drivesdk</v>
      </c>
      <c r="Y2089" s="68"/>
      <c r="Z2089" s="159" t="s">
        <v>1011</v>
      </c>
      <c r="AA2089" s="159" t="s">
        <v>12848</v>
      </c>
      <c r="AB2089" s="159" t="s">
        <v>12849</v>
      </c>
      <c r="AC2089" s="159" t="s">
        <v>12850</v>
      </c>
      <c r="AD2089" s="159" t="s">
        <v>12851</v>
      </c>
      <c r="AE2089" s="156">
        <v>5.0</v>
      </c>
      <c r="AF2089" s="156">
        <v>16.0</v>
      </c>
      <c r="AG2089" s="1059">
        <v>-0.88</v>
      </c>
      <c r="AH2089" s="1060" t="s">
        <v>12852</v>
      </c>
      <c r="AI2089" s="159" t="s">
        <v>813</v>
      </c>
      <c r="AJ2089" s="156">
        <v>0.003</v>
      </c>
      <c r="AK2089" s="159" t="s">
        <v>172</v>
      </c>
      <c r="AL2089" s="159" t="s">
        <v>186</v>
      </c>
      <c r="AM2089" s="159" t="s">
        <v>141</v>
      </c>
      <c r="AN2089" s="68" t="s">
        <v>138</v>
      </c>
      <c r="AO2089" s="156">
        <v>30.0</v>
      </c>
      <c r="AP2089" s="1059">
        <v>0.19</v>
      </c>
      <c r="AQ2089" s="1060" t="s">
        <v>12852</v>
      </c>
      <c r="AR2089" s="159" t="s">
        <v>813</v>
      </c>
      <c r="AS2089" s="159" t="s">
        <v>138</v>
      </c>
      <c r="AT2089" s="159" t="s">
        <v>172</v>
      </c>
      <c r="AU2089" s="159" t="s">
        <v>186</v>
      </c>
      <c r="AV2089" s="159" t="s">
        <v>141</v>
      </c>
      <c r="AW2089" s="435" t="s">
        <v>12853</v>
      </c>
      <c r="AX2089" s="159" t="s">
        <v>143</v>
      </c>
      <c r="AY2089" s="61" t="str">
        <f>IFERROR(__xludf.DUMMYFUNCTION("vlookup(BB2089,importrange(""https://docs.google.com/spreadsheets/d/1d2vevQ_7D_v35q4wCQ4RpQ_IPoTwEMB9Yp6ymwlPqew/edit?gid=984458430#gid=984458430"", ""'replication success'!A:K""), 11, FAlSE)"),"mixed")</f>
        <v>mixed</v>
      </c>
      <c r="AZ2089" s="61" t="str">
        <f>IFERROR(__xludf.DUMMYFUNCTION("vlookup(BB2089,importrange(""https://docs.google.com/spreadsheets/d/1d2vevQ_7D_v35q4wCQ4RpQ_IPoTwEMB9Yp6ymwlPqew/edit?gid=984458430#gid=984458430"", ""'replication success'!A:M""), 12, FAlSE)"),"Our data seem to challenge the idea that mental fatigue
has a negative influence on exercise performance. Although we did succeed at manipulating subjective mental fatigue, this
did not impair physical performance. However, we cannot discard the possibi"&amp;"lity that mental fatigue may have a negative
influence under conditions not explored here, e.g., individualizing mentally fatiguing tasks.")</f>
        <v>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v>
      </c>
      <c r="BA2089" s="61" t="str">
        <f>IFERROR(__xludf.DUMMYFUNCTION("vlookup(BB2089,importrange(""https://docs.google.com/spreadsheets/d/1d2vevQ_7D_v35q4wCQ4RpQ_IPoTwEMB9Yp6ymwlPqew/edit?gid=984458430#gid=984458430"", ""'replication success'!A:M""), 13, FAlSE)"),"abstract")</f>
        <v>abstract</v>
      </c>
      <c r="BB2089" s="61" t="str">
        <f>IFERROR(__xludf.DUMMYFUNCTION("REGEXREPLACE(G2089, ""_[a-z]{1,2}$"", """")"),"soscisubmission15")</f>
        <v>soscisubmission15</v>
      </c>
      <c r="BC2089" s="68"/>
      <c r="BD2089" s="62" t="s">
        <v>5074</v>
      </c>
    </row>
    <row r="2090">
      <c r="A2090" s="44">
        <v>2090.0</v>
      </c>
      <c r="B2090" s="129" t="s">
        <v>152</v>
      </c>
      <c r="C2090" s="62" t="s">
        <v>115</v>
      </c>
      <c r="D2090" s="62" t="s">
        <v>153</v>
      </c>
      <c r="F2090" s="129" t="s">
        <v>12836</v>
      </c>
      <c r="G2090" s="129" t="s">
        <v>12837</v>
      </c>
      <c r="H2090" s="151" t="s">
        <v>8556</v>
      </c>
      <c r="I2090" s="161" t="s">
        <v>8557</v>
      </c>
      <c r="J2090" s="153">
        <v>45764.0</v>
      </c>
      <c r="K2090" s="151" t="s">
        <v>12854</v>
      </c>
      <c r="L2090" s="68"/>
      <c r="M2090" s="129" t="s">
        <v>12842</v>
      </c>
      <c r="N2090" s="129" t="s">
        <v>12843</v>
      </c>
      <c r="O2090" s="336"/>
      <c r="P2090" s="309" t="s">
        <v>12844</v>
      </c>
      <c r="Q2090" s="52" t="str">
        <f t="array" ref="Q2090"> if(iserror(MATCH(V2090, 'File Links'!C:C, 0)), "N/A", HYPERLINK(INDEX('File Links'!B:B, MATCH(P2090, 'File Links'!C:C, 0))))</f>
        <v>https://drive.google.com/file/d/1jS6-wcsNs2BINT3z4pARWRtZLYGXCQno/view?usp=drivesdk</v>
      </c>
      <c r="R2090" s="1697" t="s">
        <v>12845</v>
      </c>
      <c r="S2090" s="129" t="s">
        <v>12846</v>
      </c>
      <c r="T2090" s="1379"/>
      <c r="U2090" s="1093">
        <v>1.0</v>
      </c>
      <c r="V2090" s="151" t="s">
        <v>12847</v>
      </c>
      <c r="W2090" s="151" t="s">
        <v>164</v>
      </c>
      <c r="X2090" s="54" t="str">
        <f t="array" ref="X2090"> if(iserror(MATCH(V2090, 'File Links'!C:C, 0)), "N/A", HYPERLINK(INDEX('File Links'!B:B, MATCH(V2090, 'File Links'!C:C, 0))))</f>
        <v>https://drive.google.com/file/d/1M6Ltzqhoq6i38u_uKwWyzNhrrtQbazWq/view?usp=drivesdk</v>
      </c>
      <c r="Y2090" s="68"/>
      <c r="Z2090" s="1115" t="s">
        <v>1011</v>
      </c>
      <c r="AA2090" s="129" t="s">
        <v>12855</v>
      </c>
      <c r="AB2090" s="151" t="s">
        <v>12849</v>
      </c>
      <c r="AC2090" s="1115" t="s">
        <v>12850</v>
      </c>
      <c r="AD2090" s="151" t="s">
        <v>12856</v>
      </c>
      <c r="AE2090" s="151">
        <v>5.0</v>
      </c>
      <c r="AF2090" s="161">
        <v>16.0</v>
      </c>
      <c r="AG2090" s="161">
        <v>0.348</v>
      </c>
      <c r="AH2090" s="151" t="s">
        <v>173</v>
      </c>
      <c r="AI2090" s="1116" t="s">
        <v>12857</v>
      </c>
      <c r="AJ2090" s="161">
        <v>0.003</v>
      </c>
      <c r="AK2090" s="151" t="s">
        <v>172</v>
      </c>
      <c r="AL2090" s="1115" t="s">
        <v>186</v>
      </c>
      <c r="AM2090" s="1115" t="s">
        <v>141</v>
      </c>
      <c r="AN2090" s="1300" t="s">
        <v>138</v>
      </c>
      <c r="AO2090" s="161">
        <v>30.0</v>
      </c>
      <c r="AP2090" s="161">
        <v>0.128</v>
      </c>
      <c r="AQ2090" s="151" t="s">
        <v>173</v>
      </c>
      <c r="AR2090" s="151" t="s">
        <v>12858</v>
      </c>
      <c r="AS2090" s="1115" t="s">
        <v>138</v>
      </c>
      <c r="AT2090" s="1115" t="s">
        <v>138</v>
      </c>
      <c r="AU2090" s="159" t="s">
        <v>186</v>
      </c>
      <c r="AV2090" s="129" t="s">
        <v>137</v>
      </c>
      <c r="AW2090" s="1308" t="s">
        <v>12859</v>
      </c>
      <c r="AX2090" s="129" t="s">
        <v>143</v>
      </c>
      <c r="AY2090" s="61" t="str">
        <f>IFERROR(__xludf.DUMMYFUNCTION("vlookup(BB2090,importrange(""https://docs.google.com/spreadsheets/d/1d2vevQ_7D_v35q4wCQ4RpQ_IPoTwEMB9Yp6ymwlPqew/edit?gid=984458430#gid=984458430"", ""'replication success'!A:K""), 11, FAlSE)"),"mixed")</f>
        <v>mixed</v>
      </c>
      <c r="AZ2090" s="61" t="str">
        <f>IFERROR(__xludf.DUMMYFUNCTION("vlookup(BB2090,importrange(""https://docs.google.com/spreadsheets/d/1d2vevQ_7D_v35q4wCQ4RpQ_IPoTwEMB9Yp6ymwlPqew/edit?gid=984458430#gid=984458430"", ""'replication success'!A:M""), 12, FAlSE)"),"Our data seem to challenge the idea that mental fatigue
has a negative influence on exercise performance. Although we did succeed at manipulating subjective mental fatigue, this
did not impair physical performance. However, we cannot discard the possibi"&amp;"lity that mental fatigue may have a negative
influence under conditions not explored here, e.g., individualizing mentally fatiguing tasks.")</f>
        <v>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v>
      </c>
      <c r="BA2090" s="61" t="str">
        <f>IFERROR(__xludf.DUMMYFUNCTION("vlookup(BB2090,importrange(""https://docs.google.com/spreadsheets/d/1d2vevQ_7D_v35q4wCQ4RpQ_IPoTwEMB9Yp6ymwlPqew/edit?gid=984458430#gid=984458430"", ""'replication success'!A:M""), 13, FAlSE)"),"abstract")</f>
        <v>abstract</v>
      </c>
      <c r="BB2090" s="61" t="str">
        <f>IFERROR(__xludf.DUMMYFUNCTION("REGEXREPLACE(G2090, ""_[a-z]{1,2}$"", """")"),"soscisubmission15")</f>
        <v>soscisubmission15</v>
      </c>
      <c r="BD2090" s="62" t="s">
        <v>5074</v>
      </c>
    </row>
    <row r="2091">
      <c r="A2091" s="44">
        <v>2091.0</v>
      </c>
      <c r="B2091" s="129" t="s">
        <v>523</v>
      </c>
      <c r="C2091" s="62" t="s">
        <v>115</v>
      </c>
      <c r="D2091" s="62" t="s">
        <v>153</v>
      </c>
      <c r="F2091" s="129" t="s">
        <v>12836</v>
      </c>
      <c r="G2091" s="129" t="s">
        <v>12860</v>
      </c>
      <c r="H2091" s="151" t="s">
        <v>8556</v>
      </c>
      <c r="I2091" s="161" t="s">
        <v>8557</v>
      </c>
      <c r="J2091" s="68"/>
      <c r="K2091" s="151" t="s">
        <v>12861</v>
      </c>
      <c r="L2091" s="68"/>
      <c r="M2091" s="129" t="s">
        <v>12842</v>
      </c>
      <c r="N2091" s="129" t="s">
        <v>12843</v>
      </c>
      <c r="O2091" s="336"/>
      <c r="P2091" s="309" t="s">
        <v>12844</v>
      </c>
      <c r="Q2091" s="52" t="str">
        <f t="array" ref="Q2091"> if(iserror(MATCH(V2091, 'File Links'!C:C, 0)), "N/A", HYPERLINK(INDEX('File Links'!B:B, MATCH(P2091, 'File Links'!C:C, 0))))</f>
        <v>https://drive.google.com/file/d/1jS6-wcsNs2BINT3z4pARWRtZLYGXCQno/view?usp=drivesdk</v>
      </c>
      <c r="R2091" s="1697" t="s">
        <v>12845</v>
      </c>
      <c r="S2091" s="129" t="s">
        <v>12846</v>
      </c>
      <c r="T2091" s="1379"/>
      <c r="U2091" s="336"/>
      <c r="V2091" s="151" t="s">
        <v>12847</v>
      </c>
      <c r="W2091" s="151" t="s">
        <v>164</v>
      </c>
      <c r="X2091" s="54" t="str">
        <f t="array" ref="X2091"> if(iserror(MATCH(V2091, 'File Links'!C:C, 0)), "N/A", HYPERLINK(INDEX('File Links'!B:B, MATCH(V2091, 'File Links'!C:C, 0))))</f>
        <v>https://drive.google.com/file/d/1M6Ltzqhoq6i38u_uKwWyzNhrrtQbazWq/view?usp=drivesdk</v>
      </c>
      <c r="Y2091" s="68"/>
      <c r="Z2091" s="151" t="s">
        <v>503</v>
      </c>
      <c r="AA2091" s="129" t="s">
        <v>12855</v>
      </c>
      <c r="AB2091" s="151" t="s">
        <v>12849</v>
      </c>
      <c r="AC2091" s="151" t="s">
        <v>12862</v>
      </c>
      <c r="AD2091" s="151" t="s">
        <v>12863</v>
      </c>
      <c r="AE2091" s="159"/>
      <c r="AF2091" s="161" t="s">
        <v>12842</v>
      </c>
      <c r="AG2091" s="161" t="s">
        <v>12843</v>
      </c>
      <c r="AH2091" s="159"/>
      <c r="AI2091" s="151" t="s">
        <v>12844</v>
      </c>
      <c r="AJ2091" s="161" t="s">
        <v>7284</v>
      </c>
      <c r="AK2091" s="151" t="s">
        <v>12845</v>
      </c>
      <c r="AL2091" s="151" t="s">
        <v>12846</v>
      </c>
      <c r="AM2091" s="68"/>
      <c r="AN2091" s="68"/>
      <c r="AO2091" s="161" t="s">
        <v>12847</v>
      </c>
      <c r="AP2091" s="161" t="s">
        <v>164</v>
      </c>
      <c r="AQ2091" s="151"/>
      <c r="AR2091" s="159"/>
      <c r="AS2091" s="161" t="s">
        <v>503</v>
      </c>
      <c r="AT2091" s="151" t="s">
        <v>12855</v>
      </c>
      <c r="AU2091" s="151" t="s">
        <v>12849</v>
      </c>
      <c r="AV2091" s="129" t="s">
        <v>12864</v>
      </c>
      <c r="AW2091" s="1308" t="s">
        <v>12865</v>
      </c>
      <c r="AX2091" s="129">
        <v>4.0</v>
      </c>
      <c r="AY2091" s="61" t="str">
        <f>IFERROR(__xludf.DUMMYFUNCTION("vlookup(BB2091,importrange(""https://docs.google.com/spreadsheets/d/1d2vevQ_7D_v35q4wCQ4RpQ_IPoTwEMB9Yp6ymwlPqew/edit?gid=984458430#gid=984458430"", ""'replication success'!A:K""), 11, FAlSE)"),"mixed")</f>
        <v>mixed</v>
      </c>
      <c r="AZ2091" s="61" t="str">
        <f>IFERROR(__xludf.DUMMYFUNCTION("vlookup(BB2091,importrange(""https://docs.google.com/spreadsheets/d/1d2vevQ_7D_v35q4wCQ4RpQ_IPoTwEMB9Yp6ymwlPqew/edit?gid=984458430#gid=984458430"", ""'replication success'!A:M""), 12, FAlSE)"),"Our data seem to challenge the idea that mental fatigue
has a negative influence on exercise performance. Although we did succeed at manipulating subjective mental fatigue, this
did not impair physical performance. However, we cannot discard the possibi"&amp;"lity that mental fatigue may have a negative
influence under conditions not explored here, e.g., individualizing mentally fatiguing tasks.")</f>
        <v>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v>
      </c>
      <c r="BA2091" s="61" t="str">
        <f>IFERROR(__xludf.DUMMYFUNCTION("vlookup(BB2091,importrange(""https://docs.google.com/spreadsheets/d/1d2vevQ_7D_v35q4wCQ4RpQ_IPoTwEMB9Yp6ymwlPqew/edit?gid=984458430#gid=984458430"", ""'replication success'!A:M""), 13, FAlSE)"),"abstract")</f>
        <v>abstract</v>
      </c>
      <c r="BB2091" s="61" t="str">
        <f>IFERROR(__xludf.DUMMYFUNCTION("REGEXREPLACE(G2091, ""_[a-z]{1,2}$"", """")"),"soscisubmission15")</f>
        <v>soscisubmission15</v>
      </c>
      <c r="BC2091" s="62">
        <v>16.0</v>
      </c>
      <c r="BD2091" s="62">
        <v>1.004</v>
      </c>
    </row>
    <row r="2092">
      <c r="A2092" s="354">
        <v>2092.0</v>
      </c>
      <c r="B2092" s="56" t="s">
        <v>523</v>
      </c>
      <c r="C2092" s="341" t="s">
        <v>115</v>
      </c>
      <c r="D2092" s="341" t="s">
        <v>153</v>
      </c>
      <c r="E2092" s="342"/>
      <c r="F2092" s="56" t="s">
        <v>12836</v>
      </c>
      <c r="G2092" s="56" t="s">
        <v>12866</v>
      </c>
      <c r="H2092" s="343" t="s">
        <v>8556</v>
      </c>
      <c r="I2092" s="347" t="s">
        <v>8557</v>
      </c>
      <c r="J2092" s="46"/>
      <c r="K2092" s="343" t="s">
        <v>12867</v>
      </c>
      <c r="L2092" s="46"/>
      <c r="M2092" s="56" t="s">
        <v>12842</v>
      </c>
      <c r="N2092" s="56" t="s">
        <v>12843</v>
      </c>
      <c r="O2092" s="385"/>
      <c r="P2092" s="343" t="s">
        <v>12844</v>
      </c>
      <c r="Q2092" s="104" t="str">
        <f t="array" ref="Q2092"> if(iserror(MATCH(V2092, 'File Links'!C:C, 0)), "N/A", HYPERLINK(INDEX('File Links'!B:B, MATCH(P2092, 'File Links'!C:C, 0))))</f>
        <v>https://drive.google.com/file/d/1jS6-wcsNs2BINT3z4pARWRtZLYGXCQno/view?usp=drivesdk</v>
      </c>
      <c r="R2092" s="1697" t="s">
        <v>12845</v>
      </c>
      <c r="S2092" s="56" t="s">
        <v>12846</v>
      </c>
      <c r="T2092" s="1798"/>
      <c r="U2092" s="385"/>
      <c r="V2092" s="343" t="s">
        <v>12847</v>
      </c>
      <c r="W2092" s="343" t="s">
        <v>164</v>
      </c>
      <c r="X2092" s="54" t="str">
        <f t="array" ref="X2092"> if(iserror(MATCH(V2092, 'File Links'!C:C, 0)), "N/A", HYPERLINK(INDEX('File Links'!B:B, MATCH(V2092, 'File Links'!C:C, 0))))</f>
        <v>https://drive.google.com/file/d/1M6Ltzqhoq6i38u_uKwWyzNhrrtQbazWq/view?usp=drivesdk</v>
      </c>
      <c r="Y2092" s="46"/>
      <c r="Z2092" s="343" t="s">
        <v>503</v>
      </c>
      <c r="AA2092" s="56" t="s">
        <v>12855</v>
      </c>
      <c r="AB2092" s="343" t="s">
        <v>12849</v>
      </c>
      <c r="AC2092" s="343" t="s">
        <v>12868</v>
      </c>
      <c r="AD2092" s="343" t="s">
        <v>12869</v>
      </c>
      <c r="AE2092" s="343">
        <v>4.0</v>
      </c>
      <c r="AF2092" s="347">
        <v>16.0</v>
      </c>
      <c r="AG2092" s="347">
        <v>0.375</v>
      </c>
      <c r="AH2092" s="343" t="s">
        <v>173</v>
      </c>
      <c r="AI2092" s="343" t="s">
        <v>850</v>
      </c>
      <c r="AJ2092" s="347">
        <v>0.046</v>
      </c>
      <c r="AK2092" s="343" t="s">
        <v>172</v>
      </c>
      <c r="AL2092" s="343" t="s">
        <v>136</v>
      </c>
      <c r="AM2092" s="56" t="s">
        <v>137</v>
      </c>
      <c r="AN2092" s="46"/>
      <c r="AO2092" s="347">
        <v>30.0</v>
      </c>
      <c r="AP2092" s="347">
        <v>0.467</v>
      </c>
      <c r="AQ2092" s="343" t="s">
        <v>173</v>
      </c>
      <c r="AR2092" s="343" t="s">
        <v>813</v>
      </c>
      <c r="AS2092" s="357"/>
      <c r="AT2092" s="360"/>
      <c r="AU2092" s="343" t="s">
        <v>218</v>
      </c>
      <c r="AV2092" s="56" t="s">
        <v>137</v>
      </c>
      <c r="AW2092" s="1699" t="s">
        <v>12859</v>
      </c>
      <c r="AX2092" s="56" t="s">
        <v>143</v>
      </c>
      <c r="AY2092" s="61" t="str">
        <f>IFERROR(__xludf.DUMMYFUNCTION("vlookup(BB2092,importrange(""https://docs.google.com/spreadsheets/d/1d2vevQ_7D_v35q4wCQ4RpQ_IPoTwEMB9Yp6ymwlPqew/edit?gid=984458430#gid=984458430"", ""'replication success'!A:K""), 11, FAlSE)"),"mixed")</f>
        <v>mixed</v>
      </c>
      <c r="AZ2092" s="61" t="str">
        <f>IFERROR(__xludf.DUMMYFUNCTION("vlookup(BB2092,importrange(""https://docs.google.com/spreadsheets/d/1d2vevQ_7D_v35q4wCQ4RpQ_IPoTwEMB9Yp6ymwlPqew/edit?gid=984458430#gid=984458430"", ""'replication success'!A:M""), 12, FAlSE)"),"Our data seem to challenge the idea that mental fatigue
has a negative influence on exercise performance. Although we did succeed at manipulating subjective mental fatigue, this
did not impair physical performance. However, we cannot discard the possibi"&amp;"lity that mental fatigue may have a negative
influence under conditions not explored here, e.g., individualizing mentally fatiguing tasks.")</f>
        <v>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v>
      </c>
      <c r="BA2092" s="61" t="str">
        <f>IFERROR(__xludf.DUMMYFUNCTION("vlookup(BB2092,importrange(""https://docs.google.com/spreadsheets/d/1d2vevQ_7D_v35q4wCQ4RpQ_IPoTwEMB9Yp6ymwlPqew/edit?gid=984458430#gid=984458430"", ""'replication success'!A:M""), 13, FAlSE)"),"abstract")</f>
        <v>abstract</v>
      </c>
      <c r="BB2092" s="61" t="str">
        <f>IFERROR(__xludf.DUMMYFUNCTION("REGEXREPLACE(G2092, ""_[a-z]{1,2}$"", """")"),"soscisubmission15")</f>
        <v>soscisubmission15</v>
      </c>
      <c r="BC2092" s="342"/>
      <c r="BD2092" s="341" t="s">
        <v>3130</v>
      </c>
      <c r="BE2092" s="342"/>
      <c r="BF2092" s="342"/>
      <c r="BG2092" s="342"/>
      <c r="BH2092" s="342"/>
      <c r="BI2092" s="342"/>
      <c r="BJ2092" s="342"/>
      <c r="BK2092" s="342"/>
      <c r="BL2092" s="342"/>
      <c r="BM2092" s="342"/>
      <c r="BN2092" s="342"/>
      <c r="BO2092" s="342"/>
      <c r="BP2092" s="342"/>
      <c r="BQ2092" s="342"/>
      <c r="BR2092" s="342"/>
      <c r="BS2092" s="342"/>
      <c r="BT2092" s="342"/>
      <c r="BU2092" s="342"/>
      <c r="BV2092" s="342"/>
      <c r="BW2092" s="342"/>
      <c r="BX2092" s="342"/>
      <c r="BY2092" s="342"/>
      <c r="BZ2092" s="342"/>
      <c r="CA2092" s="342"/>
      <c r="CB2092" s="342"/>
      <c r="CC2092" s="342"/>
      <c r="CD2092" s="342"/>
      <c r="CE2092" s="342"/>
      <c r="CF2092" s="342"/>
      <c r="CG2092" s="342"/>
      <c r="CH2092" s="342"/>
      <c r="CI2092" s="342"/>
      <c r="CJ2092" s="342"/>
      <c r="CK2092" s="342"/>
      <c r="CL2092" s="342"/>
      <c r="CM2092" s="342"/>
      <c r="CN2092" s="342"/>
      <c r="CO2092" s="342"/>
      <c r="CP2092" s="342"/>
      <c r="CQ2092" s="342"/>
      <c r="CR2092" s="342"/>
      <c r="CS2092" s="342"/>
      <c r="CT2092" s="342"/>
      <c r="CU2092" s="342"/>
      <c r="CV2092" s="342"/>
      <c r="CW2092" s="342"/>
      <c r="CX2092" s="342"/>
      <c r="CY2092" s="342"/>
      <c r="CZ2092" s="342"/>
      <c r="DA2092" s="342"/>
      <c r="DB2092" s="342"/>
      <c r="DC2092" s="342"/>
      <c r="DD2092" s="342"/>
      <c r="DE2092" s="342"/>
      <c r="DF2092" s="342"/>
      <c r="DG2092" s="342"/>
      <c r="DH2092" s="342"/>
      <c r="DI2092" s="342"/>
      <c r="DJ2092" s="342"/>
      <c r="DK2092" s="342"/>
      <c r="DL2092" s="342"/>
    </row>
    <row r="2093">
      <c r="A2093" s="1398">
        <v>2093.0</v>
      </c>
      <c r="B2093" s="695" t="s">
        <v>152</v>
      </c>
      <c r="C2093" s="227" t="s">
        <v>115</v>
      </c>
      <c r="D2093" s="227" t="s">
        <v>1458</v>
      </c>
      <c r="E2093" s="228"/>
      <c r="F2093" s="695" t="s">
        <v>12870</v>
      </c>
      <c r="G2093" s="695" t="s">
        <v>12871</v>
      </c>
      <c r="H2093" s="234" t="s">
        <v>12872</v>
      </c>
      <c r="I2093" s="698" t="s">
        <v>12873</v>
      </c>
      <c r="J2093" s="1953">
        <v>45747.0</v>
      </c>
      <c r="K2093" s="234" t="s">
        <v>12874</v>
      </c>
      <c r="L2093" s="237"/>
      <c r="M2093" s="695" t="s">
        <v>12875</v>
      </c>
      <c r="N2093" s="695" t="s">
        <v>12876</v>
      </c>
      <c r="O2093" s="1954">
        <v>1.0</v>
      </c>
      <c r="P2093" s="234" t="s">
        <v>12877</v>
      </c>
      <c r="Q2093" s="1409" t="str">
        <f t="array" ref="Q2093"> if(iserror(MATCH(V2093, 'File Links'!C:C, 0)), "N/A", HYPERLINK(INDEX('File Links'!B:B, MATCH(P2093, 'File Links'!C:C, 0))))</f>
        <v>https://drive.google.com/file/d/1bo9aASmCjIsAeU5__CNxEyKU60JbH_Oz/view?usp=drivesdk</v>
      </c>
      <c r="R2093" s="1955" t="s">
        <v>12878</v>
      </c>
      <c r="S2093" s="695" t="s">
        <v>12879</v>
      </c>
      <c r="T2093" s="1956" t="s">
        <v>138</v>
      </c>
      <c r="U2093" s="1954">
        <v>1.0</v>
      </c>
      <c r="V2093" s="234" t="s">
        <v>12880</v>
      </c>
      <c r="W2093" s="235"/>
      <c r="X2093" s="1410" t="str">
        <f t="array" ref="X2093"> if(iserror(MATCH(V2093, 'File Links'!C:C, 0)), "N/A", HYPERLINK(INDEX('File Links'!B:B, MATCH(V2093, 'File Links'!C:C, 0))))</f>
        <v>https://drive.google.com/file/d/15PNrZmOOUmljg2u3ulDQT64Zk426YNiM/view?usp=drivesdk</v>
      </c>
      <c r="Y2093" s="695" t="s">
        <v>138</v>
      </c>
      <c r="Z2093" s="234" t="s">
        <v>586</v>
      </c>
      <c r="AA2093" s="695" t="s">
        <v>12881</v>
      </c>
      <c r="AB2093" s="234" t="s">
        <v>12882</v>
      </c>
      <c r="AC2093" s="234" t="s">
        <v>12883</v>
      </c>
      <c r="AD2093" s="234" t="s">
        <v>12884</v>
      </c>
      <c r="AE2093" s="234">
        <v>6.0</v>
      </c>
      <c r="AF2093" s="698">
        <v>499.0</v>
      </c>
      <c r="AG2093" s="698">
        <v>0.65</v>
      </c>
      <c r="AH2093" s="234" t="s">
        <v>361</v>
      </c>
      <c r="AI2093" s="234" t="s">
        <v>1042</v>
      </c>
      <c r="AJ2093" s="698">
        <v>0.001</v>
      </c>
      <c r="AK2093" s="234" t="s">
        <v>135</v>
      </c>
      <c r="AL2093" s="234" t="s">
        <v>186</v>
      </c>
      <c r="AM2093" s="695" t="s">
        <v>141</v>
      </c>
      <c r="AN2093" s="695" t="s">
        <v>138</v>
      </c>
      <c r="AO2093" s="698">
        <v>668.0</v>
      </c>
      <c r="AP2093" s="698">
        <v>0.47</v>
      </c>
      <c r="AQ2093" s="234" t="s">
        <v>361</v>
      </c>
      <c r="AR2093" s="234" t="s">
        <v>2442</v>
      </c>
      <c r="AS2093" s="698">
        <v>0.001</v>
      </c>
      <c r="AT2093" s="234" t="s">
        <v>135</v>
      </c>
      <c r="AU2093" s="234" t="s">
        <v>186</v>
      </c>
      <c r="AV2093" s="695" t="s">
        <v>141</v>
      </c>
      <c r="AW2093" s="1957" t="s">
        <v>138</v>
      </c>
      <c r="AX2093" s="695" t="s">
        <v>143</v>
      </c>
      <c r="AY2093" s="61" t="str">
        <f>IFERROR(__xludf.DUMMYFUNCTION("vlookup(BB2093,importrange(""https://docs.google.com/spreadsheets/d/1d2vevQ_7D_v35q4wCQ4RpQ_IPoTwEMB9Yp6ymwlPqew/edit?gid=984458430#gid=984458430"", ""'replication success'!A:K""), 11, FAlSE)"),"#N/A")</f>
        <v>#N/A</v>
      </c>
      <c r="AZ2093" s="61" t="str">
        <f>IFERROR(__xludf.DUMMYFUNCTION("vlookup(BB2093,importrange(""https://docs.google.com/spreadsheets/d/1d2vevQ_7D_v35q4wCQ4RpQ_IPoTwEMB9Yp6ymwlPqew/edit?gid=984458430#gid=984458430"", ""'replication success'!A:M""), 12, FAlSE)"),"#N/A")</f>
        <v>#N/A</v>
      </c>
      <c r="BA2093" s="61" t="str">
        <f>IFERROR(__xludf.DUMMYFUNCTION("vlookup(BB2093,importrange(""https://docs.google.com/spreadsheets/d/1d2vevQ_7D_v35q4wCQ4RpQ_IPoTwEMB9Yp6ymwlPqew/edit?gid=984458430#gid=984458430"", ""'replication success'!A:M""), 13, FAlSE)"),"#N/A")</f>
        <v>#N/A</v>
      </c>
      <c r="BB2093" s="61" t="str">
        <f>IFERROR(__xludf.DUMMYFUNCTION("REGEXREPLACE(G2093, ""_[a-z]{1,2}$"", """")"),"soscisubmission18")</f>
        <v>soscisubmission18</v>
      </c>
      <c r="BC2093" s="228"/>
      <c r="BD2093" s="227" t="s">
        <v>692</v>
      </c>
      <c r="BE2093" s="228"/>
      <c r="BF2093" s="228"/>
      <c r="BG2093" s="228"/>
      <c r="BH2093" s="228"/>
      <c r="BI2093" s="228"/>
      <c r="BJ2093" s="228"/>
      <c r="BK2093" s="228"/>
      <c r="BL2093" s="228"/>
      <c r="BM2093" s="228"/>
      <c r="BN2093" s="228"/>
      <c r="BO2093" s="228"/>
      <c r="BP2093" s="228"/>
      <c r="BQ2093" s="228"/>
      <c r="BR2093" s="228"/>
      <c r="BS2093" s="228"/>
      <c r="BT2093" s="228"/>
      <c r="BU2093" s="228"/>
      <c r="BV2093" s="228"/>
      <c r="BW2093" s="228"/>
      <c r="BX2093" s="228"/>
      <c r="BY2093" s="228"/>
      <c r="BZ2093" s="228"/>
      <c r="CA2093" s="228"/>
      <c r="CB2093" s="228"/>
      <c r="CC2093" s="228"/>
      <c r="CD2093" s="228"/>
      <c r="CE2093" s="228"/>
      <c r="CF2093" s="228"/>
      <c r="CG2093" s="228"/>
      <c r="CH2093" s="228"/>
      <c r="CI2093" s="228"/>
      <c r="CJ2093" s="228"/>
      <c r="CK2093" s="228"/>
      <c r="CL2093" s="228"/>
      <c r="CM2093" s="228"/>
      <c r="CN2093" s="228"/>
      <c r="CO2093" s="228"/>
      <c r="CP2093" s="228"/>
      <c r="CQ2093" s="228"/>
      <c r="CR2093" s="228"/>
      <c r="CS2093" s="228"/>
      <c r="CT2093" s="228"/>
      <c r="CU2093" s="228"/>
      <c r="CV2093" s="228"/>
      <c r="CW2093" s="228"/>
      <c r="CX2093" s="228"/>
      <c r="CY2093" s="228"/>
      <c r="CZ2093" s="228"/>
      <c r="DA2093" s="228"/>
      <c r="DB2093" s="228"/>
      <c r="DC2093" s="228"/>
      <c r="DD2093" s="228"/>
      <c r="DE2093" s="228"/>
      <c r="DF2093" s="228"/>
      <c r="DG2093" s="228"/>
      <c r="DH2093" s="228"/>
      <c r="DI2093" s="228"/>
      <c r="DJ2093" s="228"/>
      <c r="DK2093" s="228"/>
      <c r="DL2093" s="228"/>
    </row>
    <row r="2094">
      <c r="A2094" s="1398">
        <v>2094.0</v>
      </c>
      <c r="B2094" s="695" t="s">
        <v>152</v>
      </c>
      <c r="C2094" s="227" t="s">
        <v>115</v>
      </c>
      <c r="D2094" s="227" t="s">
        <v>1458</v>
      </c>
      <c r="E2094" s="228"/>
      <c r="F2094" s="695" t="s">
        <v>12885</v>
      </c>
      <c r="G2094" s="695" t="s">
        <v>12871</v>
      </c>
      <c r="H2094" s="234" t="s">
        <v>12872</v>
      </c>
      <c r="I2094" s="698" t="s">
        <v>12873</v>
      </c>
      <c r="J2094" s="1953">
        <v>45747.0</v>
      </c>
      <c r="K2094" s="234" t="s">
        <v>138</v>
      </c>
      <c r="L2094" s="237"/>
      <c r="M2094" s="695" t="s">
        <v>12875</v>
      </c>
      <c r="N2094" s="695" t="s">
        <v>12876</v>
      </c>
      <c r="O2094" s="1954">
        <v>1.0</v>
      </c>
      <c r="P2094" s="234" t="s">
        <v>12877</v>
      </c>
      <c r="Q2094" s="1409" t="str">
        <f t="array" ref="Q2094"> if(iserror(MATCH(V2094, 'File Links'!C:C, 0)), "N/A", HYPERLINK(INDEX('File Links'!B:B, MATCH(P2094, 'File Links'!C:C, 0))))</f>
        <v>https://drive.google.com/file/d/1bo9aASmCjIsAeU5__CNxEyKU60JbH_Oz/view?usp=drivesdk</v>
      </c>
      <c r="R2094" s="1955" t="s">
        <v>12878</v>
      </c>
      <c r="S2094" s="695" t="s">
        <v>12879</v>
      </c>
      <c r="T2094" s="1956" t="s">
        <v>138</v>
      </c>
      <c r="U2094" s="1954">
        <v>1.0</v>
      </c>
      <c r="V2094" s="234" t="s">
        <v>12880</v>
      </c>
      <c r="W2094" s="235"/>
      <c r="X2094" s="1410" t="str">
        <f t="array" ref="X2094"> if(iserror(MATCH(V2094, 'File Links'!C:C, 0)), "N/A", HYPERLINK(INDEX('File Links'!B:B, MATCH(V2094, 'File Links'!C:C, 0))))</f>
        <v>https://drive.google.com/file/d/15PNrZmOOUmljg2u3ulDQT64Zk426YNiM/view?usp=drivesdk</v>
      </c>
      <c r="Y2094" s="695" t="s">
        <v>138</v>
      </c>
      <c r="Z2094" s="234" t="s">
        <v>586</v>
      </c>
      <c r="AA2094" s="695" t="s">
        <v>12881</v>
      </c>
      <c r="AB2094" s="234" t="s">
        <v>12882</v>
      </c>
      <c r="AC2094" s="234" t="s">
        <v>12886</v>
      </c>
      <c r="AD2094" s="234" t="s">
        <v>12887</v>
      </c>
      <c r="AE2094" s="234">
        <v>6.0</v>
      </c>
      <c r="AF2094" s="698">
        <v>499.0</v>
      </c>
      <c r="AG2094" s="698">
        <v>-0.04</v>
      </c>
      <c r="AH2094" s="234" t="s">
        <v>361</v>
      </c>
      <c r="AI2094" s="234" t="s">
        <v>12888</v>
      </c>
      <c r="AJ2094" s="698">
        <v>0.43</v>
      </c>
      <c r="AK2094" s="234" t="s">
        <v>172</v>
      </c>
      <c r="AL2094" s="234" t="s">
        <v>186</v>
      </c>
      <c r="AM2094" s="695" t="s">
        <v>141</v>
      </c>
      <c r="AN2094" s="695" t="s">
        <v>138</v>
      </c>
      <c r="AO2094" s="698">
        <v>668.0</v>
      </c>
      <c r="AP2094" s="698">
        <v>-0.09</v>
      </c>
      <c r="AQ2094" s="234" t="s">
        <v>361</v>
      </c>
      <c r="AR2094" s="234" t="s">
        <v>12889</v>
      </c>
      <c r="AS2094" s="698">
        <v>0.024</v>
      </c>
      <c r="AT2094" s="234" t="s">
        <v>135</v>
      </c>
      <c r="AU2094" s="234" t="s">
        <v>186</v>
      </c>
      <c r="AV2094" s="695" t="s">
        <v>141</v>
      </c>
      <c r="AW2094" s="1957" t="s">
        <v>138</v>
      </c>
      <c r="AX2094" s="695" t="s">
        <v>143</v>
      </c>
      <c r="AY2094" s="61" t="str">
        <f>IFERROR(__xludf.DUMMYFUNCTION("vlookup(BB2094,importrange(""https://docs.google.com/spreadsheets/d/1d2vevQ_7D_v35q4wCQ4RpQ_IPoTwEMB9Yp6ymwlPqew/edit?gid=984458430#gid=984458430"", ""'replication success'!A:K""), 11, FAlSE)"),"#N/A")</f>
        <v>#N/A</v>
      </c>
      <c r="AZ2094" s="61" t="str">
        <f>IFERROR(__xludf.DUMMYFUNCTION("vlookup(BB2094,importrange(""https://docs.google.com/spreadsheets/d/1d2vevQ_7D_v35q4wCQ4RpQ_IPoTwEMB9Yp6ymwlPqew/edit?gid=984458430#gid=984458430"", ""'replication success'!A:M""), 12, FAlSE)"),"#N/A")</f>
        <v>#N/A</v>
      </c>
      <c r="BA2094" s="61" t="str">
        <f>IFERROR(__xludf.DUMMYFUNCTION("vlookup(BB2094,importrange(""https://docs.google.com/spreadsheets/d/1d2vevQ_7D_v35q4wCQ4RpQ_IPoTwEMB9Yp6ymwlPqew/edit?gid=984458430#gid=984458430"", ""'replication success'!A:M""), 13, FAlSE)"),"#N/A")</f>
        <v>#N/A</v>
      </c>
      <c r="BB2094" s="61" t="str">
        <f>IFERROR(__xludf.DUMMYFUNCTION("REGEXREPLACE(G2094, ""_[a-z]{1,2}$"", """")"),"soscisubmission18")</f>
        <v>soscisubmission18</v>
      </c>
      <c r="BC2094" s="228"/>
      <c r="BD2094" s="227" t="s">
        <v>692</v>
      </c>
      <c r="BE2094" s="228"/>
      <c r="BF2094" s="228"/>
      <c r="BG2094" s="228"/>
      <c r="BH2094" s="228"/>
      <c r="BI2094" s="228"/>
      <c r="BJ2094" s="228"/>
      <c r="BK2094" s="228"/>
      <c r="BL2094" s="228"/>
      <c r="BM2094" s="228"/>
      <c r="BN2094" s="228"/>
      <c r="BO2094" s="228"/>
      <c r="BP2094" s="228"/>
      <c r="BQ2094" s="228"/>
      <c r="BR2094" s="228"/>
      <c r="BS2094" s="228"/>
      <c r="BT2094" s="228"/>
      <c r="BU2094" s="228"/>
      <c r="BV2094" s="228"/>
      <c r="BW2094" s="228"/>
      <c r="BX2094" s="228"/>
      <c r="BY2094" s="228"/>
      <c r="BZ2094" s="228"/>
      <c r="CA2094" s="228"/>
      <c r="CB2094" s="228"/>
      <c r="CC2094" s="228"/>
      <c r="CD2094" s="228"/>
      <c r="CE2094" s="228"/>
      <c r="CF2094" s="228"/>
      <c r="CG2094" s="228"/>
      <c r="CH2094" s="228"/>
      <c r="CI2094" s="228"/>
      <c r="CJ2094" s="228"/>
      <c r="CK2094" s="228"/>
      <c r="CL2094" s="228"/>
      <c r="CM2094" s="228"/>
      <c r="CN2094" s="228"/>
      <c r="CO2094" s="228"/>
      <c r="CP2094" s="228"/>
      <c r="CQ2094" s="228"/>
      <c r="CR2094" s="228"/>
      <c r="CS2094" s="228"/>
      <c r="CT2094" s="228"/>
      <c r="CU2094" s="228"/>
      <c r="CV2094" s="228"/>
      <c r="CW2094" s="228"/>
      <c r="CX2094" s="228"/>
      <c r="CY2094" s="228"/>
      <c r="CZ2094" s="228"/>
      <c r="DA2094" s="228"/>
      <c r="DB2094" s="228"/>
      <c r="DC2094" s="228"/>
      <c r="DD2094" s="228"/>
      <c r="DE2094" s="228"/>
      <c r="DF2094" s="228"/>
      <c r="DG2094" s="228"/>
      <c r="DH2094" s="228"/>
      <c r="DI2094" s="228"/>
      <c r="DJ2094" s="228"/>
      <c r="DK2094" s="228"/>
      <c r="DL2094" s="228"/>
    </row>
    <row r="2095">
      <c r="A2095" s="1398">
        <v>2095.0</v>
      </c>
      <c r="B2095" s="695" t="s">
        <v>152</v>
      </c>
      <c r="C2095" s="227" t="s">
        <v>115</v>
      </c>
      <c r="D2095" s="227" t="s">
        <v>1458</v>
      </c>
      <c r="E2095" s="228"/>
      <c r="F2095" s="695" t="s">
        <v>12890</v>
      </c>
      <c r="G2095" s="695" t="s">
        <v>12871</v>
      </c>
      <c r="H2095" s="234" t="s">
        <v>12872</v>
      </c>
      <c r="I2095" s="698" t="s">
        <v>12873</v>
      </c>
      <c r="J2095" s="1953">
        <v>45747.0</v>
      </c>
      <c r="K2095" s="234" t="s">
        <v>138</v>
      </c>
      <c r="L2095" s="237"/>
      <c r="M2095" s="695" t="s">
        <v>12875</v>
      </c>
      <c r="N2095" s="695" t="s">
        <v>12876</v>
      </c>
      <c r="O2095" s="1954">
        <v>1.0</v>
      </c>
      <c r="P2095" s="234" t="s">
        <v>12877</v>
      </c>
      <c r="Q2095" s="1409" t="str">
        <f t="array" ref="Q2095"> if(iserror(MATCH(V2095, 'File Links'!C:C, 0)), "N/A", HYPERLINK(INDEX('File Links'!B:B, MATCH(P2095, 'File Links'!C:C, 0))))</f>
        <v>https://drive.google.com/file/d/1bo9aASmCjIsAeU5__CNxEyKU60JbH_Oz/view?usp=drivesdk</v>
      </c>
      <c r="R2095" s="1955" t="s">
        <v>12878</v>
      </c>
      <c r="S2095" s="695" t="s">
        <v>12879</v>
      </c>
      <c r="T2095" s="1956" t="s">
        <v>138</v>
      </c>
      <c r="U2095" s="1954">
        <v>1.0</v>
      </c>
      <c r="V2095" s="234" t="s">
        <v>12880</v>
      </c>
      <c r="W2095" s="235"/>
      <c r="X2095" s="1410" t="str">
        <f t="array" ref="X2095"> if(iserror(MATCH(V2095, 'File Links'!C:C, 0)), "N/A", HYPERLINK(INDEX('File Links'!B:B, MATCH(V2095, 'File Links'!C:C, 0))))</f>
        <v>https://drive.google.com/file/d/15PNrZmOOUmljg2u3ulDQT64Zk426YNiM/view?usp=drivesdk</v>
      </c>
      <c r="Y2095" s="695" t="s">
        <v>138</v>
      </c>
      <c r="Z2095" s="234" t="s">
        <v>586</v>
      </c>
      <c r="AA2095" s="695" t="s">
        <v>12881</v>
      </c>
      <c r="AB2095" s="234" t="s">
        <v>12882</v>
      </c>
      <c r="AC2095" s="234" t="s">
        <v>12891</v>
      </c>
      <c r="AD2095" s="234" t="s">
        <v>12892</v>
      </c>
      <c r="AE2095" s="234">
        <v>7.0</v>
      </c>
      <c r="AF2095" s="698">
        <v>499.0</v>
      </c>
      <c r="AG2095" s="698">
        <v>0.29</v>
      </c>
      <c r="AH2095" s="234" t="s">
        <v>361</v>
      </c>
      <c r="AI2095" s="234" t="s">
        <v>12893</v>
      </c>
      <c r="AJ2095" s="698">
        <v>0.001</v>
      </c>
      <c r="AK2095" s="234" t="s">
        <v>135</v>
      </c>
      <c r="AL2095" s="234" t="s">
        <v>186</v>
      </c>
      <c r="AM2095" s="695" t="s">
        <v>141</v>
      </c>
      <c r="AN2095" s="695" t="s">
        <v>138</v>
      </c>
      <c r="AO2095" s="698">
        <v>668.0</v>
      </c>
      <c r="AP2095" s="698">
        <v>0.43</v>
      </c>
      <c r="AQ2095" s="234" t="s">
        <v>361</v>
      </c>
      <c r="AR2095" s="234" t="s">
        <v>12889</v>
      </c>
      <c r="AS2095" s="698">
        <v>0.001</v>
      </c>
      <c r="AT2095" s="234" t="s">
        <v>135</v>
      </c>
      <c r="AU2095" s="234" t="s">
        <v>186</v>
      </c>
      <c r="AV2095" s="695" t="s">
        <v>141</v>
      </c>
      <c r="AW2095" s="1957" t="s">
        <v>138</v>
      </c>
      <c r="AX2095" s="695" t="s">
        <v>143</v>
      </c>
      <c r="AY2095" s="61" t="str">
        <f>IFERROR(__xludf.DUMMYFUNCTION("vlookup(BB2095,importrange(""https://docs.google.com/spreadsheets/d/1d2vevQ_7D_v35q4wCQ4RpQ_IPoTwEMB9Yp6ymwlPqew/edit?gid=984458430#gid=984458430"", ""'replication success'!A:K""), 11, FAlSE)"),"#N/A")</f>
        <v>#N/A</v>
      </c>
      <c r="AZ2095" s="61" t="str">
        <f>IFERROR(__xludf.DUMMYFUNCTION("vlookup(BB2095,importrange(""https://docs.google.com/spreadsheets/d/1d2vevQ_7D_v35q4wCQ4RpQ_IPoTwEMB9Yp6ymwlPqew/edit?gid=984458430#gid=984458430"", ""'replication success'!A:M""), 12, FAlSE)"),"#N/A")</f>
        <v>#N/A</v>
      </c>
      <c r="BA2095" s="61" t="str">
        <f>IFERROR(__xludf.DUMMYFUNCTION("vlookup(BB2095,importrange(""https://docs.google.com/spreadsheets/d/1d2vevQ_7D_v35q4wCQ4RpQ_IPoTwEMB9Yp6ymwlPqew/edit?gid=984458430#gid=984458430"", ""'replication success'!A:M""), 13, FAlSE)"),"#N/A")</f>
        <v>#N/A</v>
      </c>
      <c r="BB2095" s="61" t="str">
        <f>IFERROR(__xludf.DUMMYFUNCTION("REGEXREPLACE(G2095, ""_[a-z]{1,2}$"", """")"),"soscisubmission18")</f>
        <v>soscisubmission18</v>
      </c>
      <c r="BC2095" s="228"/>
      <c r="BD2095" s="227" t="s">
        <v>692</v>
      </c>
      <c r="BE2095" s="228"/>
      <c r="BF2095" s="228"/>
      <c r="BG2095" s="228"/>
      <c r="BH2095" s="228"/>
      <c r="BI2095" s="228"/>
      <c r="BJ2095" s="228"/>
      <c r="BK2095" s="228"/>
      <c r="BL2095" s="228"/>
      <c r="BM2095" s="228"/>
      <c r="BN2095" s="228"/>
      <c r="BO2095" s="228"/>
      <c r="BP2095" s="228"/>
      <c r="BQ2095" s="228"/>
      <c r="BR2095" s="228"/>
      <c r="BS2095" s="228"/>
      <c r="BT2095" s="228"/>
      <c r="BU2095" s="228"/>
      <c r="BV2095" s="228"/>
      <c r="BW2095" s="228"/>
      <c r="BX2095" s="228"/>
      <c r="BY2095" s="228"/>
      <c r="BZ2095" s="228"/>
      <c r="CA2095" s="228"/>
      <c r="CB2095" s="228"/>
      <c r="CC2095" s="228"/>
      <c r="CD2095" s="228"/>
      <c r="CE2095" s="228"/>
      <c r="CF2095" s="228"/>
      <c r="CG2095" s="228"/>
      <c r="CH2095" s="228"/>
      <c r="CI2095" s="228"/>
      <c r="CJ2095" s="228"/>
      <c r="CK2095" s="228"/>
      <c r="CL2095" s="228"/>
      <c r="CM2095" s="228"/>
      <c r="CN2095" s="228"/>
      <c r="CO2095" s="228"/>
      <c r="CP2095" s="228"/>
      <c r="CQ2095" s="228"/>
      <c r="CR2095" s="228"/>
      <c r="CS2095" s="228"/>
      <c r="CT2095" s="228"/>
      <c r="CU2095" s="228"/>
      <c r="CV2095" s="228"/>
      <c r="CW2095" s="228"/>
      <c r="CX2095" s="228"/>
      <c r="CY2095" s="228"/>
      <c r="CZ2095" s="228"/>
      <c r="DA2095" s="228"/>
      <c r="DB2095" s="228"/>
      <c r="DC2095" s="228"/>
      <c r="DD2095" s="228"/>
      <c r="DE2095" s="228"/>
      <c r="DF2095" s="228"/>
      <c r="DG2095" s="228"/>
      <c r="DH2095" s="228"/>
      <c r="DI2095" s="228"/>
      <c r="DJ2095" s="228"/>
      <c r="DK2095" s="228"/>
      <c r="DL2095" s="228"/>
    </row>
    <row r="2096">
      <c r="A2096" s="1398">
        <v>2096.0</v>
      </c>
      <c r="B2096" s="695" t="s">
        <v>152</v>
      </c>
      <c r="C2096" s="227" t="s">
        <v>115</v>
      </c>
      <c r="D2096" s="227" t="s">
        <v>1458</v>
      </c>
      <c r="E2096" s="228"/>
      <c r="F2096" s="695" t="s">
        <v>12894</v>
      </c>
      <c r="G2096" s="695" t="s">
        <v>12871</v>
      </c>
      <c r="H2096" s="234" t="s">
        <v>12872</v>
      </c>
      <c r="I2096" s="698" t="s">
        <v>12873</v>
      </c>
      <c r="J2096" s="1953">
        <v>45747.0</v>
      </c>
      <c r="K2096" s="234" t="s">
        <v>138</v>
      </c>
      <c r="L2096" s="237"/>
      <c r="M2096" s="695" t="s">
        <v>12875</v>
      </c>
      <c r="N2096" s="695" t="s">
        <v>12876</v>
      </c>
      <c r="O2096" s="1954">
        <v>1.0</v>
      </c>
      <c r="P2096" s="234" t="s">
        <v>12877</v>
      </c>
      <c r="Q2096" s="1409" t="str">
        <f t="array" ref="Q2096"> if(iserror(MATCH(V2096, 'File Links'!C:C, 0)), "N/A", HYPERLINK(INDEX('File Links'!B:B, MATCH(P2096, 'File Links'!C:C, 0))))</f>
        <v>https://drive.google.com/file/d/1bo9aASmCjIsAeU5__CNxEyKU60JbH_Oz/view?usp=drivesdk</v>
      </c>
      <c r="R2096" s="1955" t="s">
        <v>12878</v>
      </c>
      <c r="S2096" s="695" t="s">
        <v>12879</v>
      </c>
      <c r="T2096" s="1956" t="s">
        <v>138</v>
      </c>
      <c r="U2096" s="1954">
        <v>1.0</v>
      </c>
      <c r="V2096" s="234" t="s">
        <v>12880</v>
      </c>
      <c r="W2096" s="235"/>
      <c r="X2096" s="1410" t="str">
        <f t="array" ref="X2096"> if(iserror(MATCH(V2096, 'File Links'!C:C, 0)), "N/A", HYPERLINK(INDEX('File Links'!B:B, MATCH(V2096, 'File Links'!C:C, 0))))</f>
        <v>https://drive.google.com/file/d/15PNrZmOOUmljg2u3ulDQT64Zk426YNiM/view?usp=drivesdk</v>
      </c>
      <c r="Y2096" s="695" t="s">
        <v>138</v>
      </c>
      <c r="Z2096" s="234" t="s">
        <v>586</v>
      </c>
      <c r="AA2096" s="695" t="s">
        <v>12881</v>
      </c>
      <c r="AB2096" s="234" t="s">
        <v>12882</v>
      </c>
      <c r="AC2096" s="234" t="s">
        <v>12895</v>
      </c>
      <c r="AD2096" s="234" t="s">
        <v>12896</v>
      </c>
      <c r="AE2096" s="234">
        <v>7.0</v>
      </c>
      <c r="AF2096" s="698">
        <v>499.0</v>
      </c>
      <c r="AG2096" s="698">
        <v>0.38</v>
      </c>
      <c r="AH2096" s="234" t="s">
        <v>361</v>
      </c>
      <c r="AI2096" s="234" t="s">
        <v>12893</v>
      </c>
      <c r="AJ2096" s="698">
        <v>0.001</v>
      </c>
      <c r="AK2096" s="234" t="s">
        <v>135</v>
      </c>
      <c r="AL2096" s="234" t="s">
        <v>186</v>
      </c>
      <c r="AM2096" s="695" t="s">
        <v>141</v>
      </c>
      <c r="AN2096" s="695" t="s">
        <v>138</v>
      </c>
      <c r="AO2096" s="698">
        <v>668.0</v>
      </c>
      <c r="AP2096" s="698">
        <v>0.22</v>
      </c>
      <c r="AQ2096" s="234" t="s">
        <v>361</v>
      </c>
      <c r="AR2096" s="234" t="s">
        <v>12889</v>
      </c>
      <c r="AS2096" s="698">
        <v>0.001</v>
      </c>
      <c r="AT2096" s="234" t="s">
        <v>135</v>
      </c>
      <c r="AU2096" s="234" t="s">
        <v>186</v>
      </c>
      <c r="AV2096" s="695" t="s">
        <v>141</v>
      </c>
      <c r="AW2096" s="1957" t="s">
        <v>138</v>
      </c>
      <c r="AX2096" s="695" t="s">
        <v>143</v>
      </c>
      <c r="AY2096" s="61" t="str">
        <f>IFERROR(__xludf.DUMMYFUNCTION("vlookup(BB2096,importrange(""https://docs.google.com/spreadsheets/d/1d2vevQ_7D_v35q4wCQ4RpQ_IPoTwEMB9Yp6ymwlPqew/edit?gid=984458430#gid=984458430"", ""'replication success'!A:K""), 11, FAlSE)"),"#N/A")</f>
        <v>#N/A</v>
      </c>
      <c r="AZ2096" s="61" t="str">
        <f>IFERROR(__xludf.DUMMYFUNCTION("vlookup(BB2096,importrange(""https://docs.google.com/spreadsheets/d/1d2vevQ_7D_v35q4wCQ4RpQ_IPoTwEMB9Yp6ymwlPqew/edit?gid=984458430#gid=984458430"", ""'replication success'!A:M""), 12, FAlSE)"),"#N/A")</f>
        <v>#N/A</v>
      </c>
      <c r="BA2096" s="61" t="str">
        <f>IFERROR(__xludf.DUMMYFUNCTION("vlookup(BB2096,importrange(""https://docs.google.com/spreadsheets/d/1d2vevQ_7D_v35q4wCQ4RpQ_IPoTwEMB9Yp6ymwlPqew/edit?gid=984458430#gid=984458430"", ""'replication success'!A:M""), 13, FAlSE)"),"#N/A")</f>
        <v>#N/A</v>
      </c>
      <c r="BB2096" s="61" t="str">
        <f>IFERROR(__xludf.DUMMYFUNCTION("REGEXREPLACE(G2096, ""_[a-z]{1,2}$"", """")"),"soscisubmission18")</f>
        <v>soscisubmission18</v>
      </c>
      <c r="BC2096" s="228"/>
      <c r="BD2096" s="227" t="s">
        <v>692</v>
      </c>
      <c r="BE2096" s="228"/>
      <c r="BF2096" s="228"/>
      <c r="BG2096" s="228"/>
      <c r="BH2096" s="228"/>
      <c r="BI2096" s="228"/>
      <c r="BJ2096" s="228"/>
      <c r="BK2096" s="228"/>
      <c r="BL2096" s="228"/>
      <c r="BM2096" s="228"/>
      <c r="BN2096" s="228"/>
      <c r="BO2096" s="228"/>
      <c r="BP2096" s="228"/>
      <c r="BQ2096" s="228"/>
      <c r="BR2096" s="228"/>
      <c r="BS2096" s="228"/>
      <c r="BT2096" s="228"/>
      <c r="BU2096" s="228"/>
      <c r="BV2096" s="228"/>
      <c r="BW2096" s="228"/>
      <c r="BX2096" s="228"/>
      <c r="BY2096" s="228"/>
      <c r="BZ2096" s="228"/>
      <c r="CA2096" s="228"/>
      <c r="CB2096" s="228"/>
      <c r="CC2096" s="228"/>
      <c r="CD2096" s="228"/>
      <c r="CE2096" s="228"/>
      <c r="CF2096" s="228"/>
      <c r="CG2096" s="228"/>
      <c r="CH2096" s="228"/>
      <c r="CI2096" s="228"/>
      <c r="CJ2096" s="228"/>
      <c r="CK2096" s="228"/>
      <c r="CL2096" s="228"/>
      <c r="CM2096" s="228"/>
      <c r="CN2096" s="228"/>
      <c r="CO2096" s="228"/>
      <c r="CP2096" s="228"/>
      <c r="CQ2096" s="228"/>
      <c r="CR2096" s="228"/>
      <c r="CS2096" s="228"/>
      <c r="CT2096" s="228"/>
      <c r="CU2096" s="228"/>
      <c r="CV2096" s="228"/>
      <c r="CW2096" s="228"/>
      <c r="CX2096" s="228"/>
      <c r="CY2096" s="228"/>
      <c r="CZ2096" s="228"/>
      <c r="DA2096" s="228"/>
      <c r="DB2096" s="228"/>
      <c r="DC2096" s="228"/>
      <c r="DD2096" s="228"/>
      <c r="DE2096" s="228"/>
      <c r="DF2096" s="228"/>
      <c r="DG2096" s="228"/>
      <c r="DH2096" s="228"/>
      <c r="DI2096" s="228"/>
      <c r="DJ2096" s="228"/>
      <c r="DK2096" s="228"/>
      <c r="DL2096" s="228"/>
    </row>
    <row r="2097">
      <c r="A2097" s="1398">
        <v>2097.0</v>
      </c>
      <c r="B2097" s="695" t="s">
        <v>152</v>
      </c>
      <c r="C2097" s="227" t="s">
        <v>115</v>
      </c>
      <c r="D2097" s="227" t="s">
        <v>1458</v>
      </c>
      <c r="E2097" s="228"/>
      <c r="F2097" s="695" t="s">
        <v>12897</v>
      </c>
      <c r="G2097" s="695" t="s">
        <v>12871</v>
      </c>
      <c r="H2097" s="234" t="s">
        <v>12872</v>
      </c>
      <c r="I2097" s="698" t="s">
        <v>12873</v>
      </c>
      <c r="J2097" s="1953">
        <v>45747.0</v>
      </c>
      <c r="K2097" s="234" t="s">
        <v>138</v>
      </c>
      <c r="L2097" s="237"/>
      <c r="M2097" s="695" t="s">
        <v>12875</v>
      </c>
      <c r="N2097" s="695" t="s">
        <v>12876</v>
      </c>
      <c r="O2097" s="1954">
        <v>1.0</v>
      </c>
      <c r="P2097" s="234" t="s">
        <v>12877</v>
      </c>
      <c r="Q2097" s="1409" t="str">
        <f t="array" ref="Q2097"> if(iserror(MATCH(V2097, 'File Links'!C:C, 0)), "N/A", HYPERLINK(INDEX('File Links'!B:B, MATCH(P2097, 'File Links'!C:C, 0))))</f>
        <v>https://drive.google.com/file/d/1bo9aASmCjIsAeU5__CNxEyKU60JbH_Oz/view?usp=drivesdk</v>
      </c>
      <c r="R2097" s="1955" t="s">
        <v>12878</v>
      </c>
      <c r="S2097" s="695" t="s">
        <v>12879</v>
      </c>
      <c r="T2097" s="1956" t="s">
        <v>138</v>
      </c>
      <c r="U2097" s="1954">
        <v>1.0</v>
      </c>
      <c r="V2097" s="234" t="s">
        <v>12880</v>
      </c>
      <c r="W2097" s="235"/>
      <c r="X2097" s="1410" t="str">
        <f t="array" ref="X2097"> if(iserror(MATCH(V2097, 'File Links'!C:C, 0)), "N/A", HYPERLINK(INDEX('File Links'!B:B, MATCH(V2097, 'File Links'!C:C, 0))))</f>
        <v>https://drive.google.com/file/d/15PNrZmOOUmljg2u3ulDQT64Zk426YNiM/view?usp=drivesdk</v>
      </c>
      <c r="Y2097" s="695" t="s">
        <v>138</v>
      </c>
      <c r="Z2097" s="234" t="s">
        <v>586</v>
      </c>
      <c r="AA2097" s="695" t="s">
        <v>12881</v>
      </c>
      <c r="AB2097" s="234" t="s">
        <v>12882</v>
      </c>
      <c r="AC2097" s="234" t="s">
        <v>12898</v>
      </c>
      <c r="AD2097" s="234" t="s">
        <v>12899</v>
      </c>
      <c r="AE2097" s="234">
        <v>7.0</v>
      </c>
      <c r="AF2097" s="698">
        <v>499.0</v>
      </c>
      <c r="AG2097" s="698">
        <v>0.15</v>
      </c>
      <c r="AH2097" s="234" t="s">
        <v>361</v>
      </c>
      <c r="AI2097" s="234" t="s">
        <v>4979</v>
      </c>
      <c r="AJ2097" s="698">
        <v>0.01</v>
      </c>
      <c r="AK2097" s="234" t="s">
        <v>135</v>
      </c>
      <c r="AL2097" s="234" t="s">
        <v>186</v>
      </c>
      <c r="AM2097" s="695" t="s">
        <v>141</v>
      </c>
      <c r="AN2097" s="695" t="s">
        <v>138</v>
      </c>
      <c r="AO2097" s="698">
        <v>668.0</v>
      </c>
      <c r="AP2097" s="698">
        <v>0.34</v>
      </c>
      <c r="AQ2097" s="234" t="s">
        <v>361</v>
      </c>
      <c r="AR2097" s="234" t="s">
        <v>2442</v>
      </c>
      <c r="AS2097" s="698">
        <v>0.001</v>
      </c>
      <c r="AT2097" s="234" t="s">
        <v>135</v>
      </c>
      <c r="AU2097" s="234" t="s">
        <v>186</v>
      </c>
      <c r="AV2097" s="695" t="s">
        <v>141</v>
      </c>
      <c r="AW2097" s="1957" t="s">
        <v>138</v>
      </c>
      <c r="AX2097" s="695" t="s">
        <v>143</v>
      </c>
      <c r="AY2097" s="61" t="str">
        <f>IFERROR(__xludf.DUMMYFUNCTION("vlookup(BB2097,importrange(""https://docs.google.com/spreadsheets/d/1d2vevQ_7D_v35q4wCQ4RpQ_IPoTwEMB9Yp6ymwlPqew/edit?gid=984458430#gid=984458430"", ""'replication success'!A:K""), 11, FAlSE)"),"#N/A")</f>
        <v>#N/A</v>
      </c>
      <c r="AZ2097" s="61" t="str">
        <f>IFERROR(__xludf.DUMMYFUNCTION("vlookup(BB2097,importrange(""https://docs.google.com/spreadsheets/d/1d2vevQ_7D_v35q4wCQ4RpQ_IPoTwEMB9Yp6ymwlPqew/edit?gid=984458430#gid=984458430"", ""'replication success'!A:M""), 12, FAlSE)"),"#N/A")</f>
        <v>#N/A</v>
      </c>
      <c r="BA2097" s="61" t="str">
        <f>IFERROR(__xludf.DUMMYFUNCTION("vlookup(BB2097,importrange(""https://docs.google.com/spreadsheets/d/1d2vevQ_7D_v35q4wCQ4RpQ_IPoTwEMB9Yp6ymwlPqew/edit?gid=984458430#gid=984458430"", ""'replication success'!A:M""), 13, FAlSE)"),"#N/A")</f>
        <v>#N/A</v>
      </c>
      <c r="BB2097" s="61" t="str">
        <f>IFERROR(__xludf.DUMMYFUNCTION("REGEXREPLACE(G2097, ""_[a-z]{1,2}$"", """")"),"soscisubmission18")</f>
        <v>soscisubmission18</v>
      </c>
      <c r="BC2097" s="228"/>
      <c r="BD2097" s="227" t="s">
        <v>692</v>
      </c>
      <c r="BE2097" s="228"/>
      <c r="BF2097" s="228"/>
      <c r="BG2097" s="228"/>
      <c r="BH2097" s="228"/>
      <c r="BI2097" s="228"/>
      <c r="BJ2097" s="228"/>
      <c r="BK2097" s="228"/>
      <c r="BL2097" s="228"/>
      <c r="BM2097" s="228"/>
      <c r="BN2097" s="228"/>
      <c r="BO2097" s="228"/>
      <c r="BP2097" s="228"/>
      <c r="BQ2097" s="228"/>
      <c r="BR2097" s="228"/>
      <c r="BS2097" s="228"/>
      <c r="BT2097" s="228"/>
      <c r="BU2097" s="228"/>
      <c r="BV2097" s="228"/>
      <c r="BW2097" s="228"/>
      <c r="BX2097" s="228"/>
      <c r="BY2097" s="228"/>
      <c r="BZ2097" s="228"/>
      <c r="CA2097" s="228"/>
      <c r="CB2097" s="228"/>
      <c r="CC2097" s="228"/>
      <c r="CD2097" s="228"/>
      <c r="CE2097" s="228"/>
      <c r="CF2097" s="228"/>
      <c r="CG2097" s="228"/>
      <c r="CH2097" s="228"/>
      <c r="CI2097" s="228"/>
      <c r="CJ2097" s="228"/>
      <c r="CK2097" s="228"/>
      <c r="CL2097" s="228"/>
      <c r="CM2097" s="228"/>
      <c r="CN2097" s="228"/>
      <c r="CO2097" s="228"/>
      <c r="CP2097" s="228"/>
      <c r="CQ2097" s="228"/>
      <c r="CR2097" s="228"/>
      <c r="CS2097" s="228"/>
      <c r="CT2097" s="228"/>
      <c r="CU2097" s="228"/>
      <c r="CV2097" s="228"/>
      <c r="CW2097" s="228"/>
      <c r="CX2097" s="228"/>
      <c r="CY2097" s="228"/>
      <c r="CZ2097" s="228"/>
      <c r="DA2097" s="228"/>
      <c r="DB2097" s="228"/>
      <c r="DC2097" s="228"/>
      <c r="DD2097" s="228"/>
      <c r="DE2097" s="228"/>
      <c r="DF2097" s="228"/>
      <c r="DG2097" s="228"/>
      <c r="DH2097" s="228"/>
      <c r="DI2097" s="228"/>
      <c r="DJ2097" s="228"/>
      <c r="DK2097" s="228"/>
      <c r="DL2097" s="228"/>
    </row>
    <row r="2098">
      <c r="A2098" s="1398">
        <v>2098.0</v>
      </c>
      <c r="B2098" s="695" t="s">
        <v>152</v>
      </c>
      <c r="C2098" s="227" t="s">
        <v>115</v>
      </c>
      <c r="D2098" s="227" t="s">
        <v>1458</v>
      </c>
      <c r="E2098" s="228"/>
      <c r="F2098" s="695" t="s">
        <v>12900</v>
      </c>
      <c r="G2098" s="695" t="s">
        <v>12871</v>
      </c>
      <c r="H2098" s="234" t="s">
        <v>12872</v>
      </c>
      <c r="I2098" s="698" t="s">
        <v>12873</v>
      </c>
      <c r="J2098" s="1953">
        <v>45747.0</v>
      </c>
      <c r="K2098" s="234" t="s">
        <v>138</v>
      </c>
      <c r="L2098" s="237"/>
      <c r="M2098" s="695" t="s">
        <v>12875</v>
      </c>
      <c r="N2098" s="695" t="s">
        <v>12876</v>
      </c>
      <c r="O2098" s="1954">
        <v>1.0</v>
      </c>
      <c r="P2098" s="234" t="s">
        <v>12877</v>
      </c>
      <c r="Q2098" s="1409" t="str">
        <f t="array" ref="Q2098"> if(iserror(MATCH(V2098, 'File Links'!C:C, 0)), "N/A", HYPERLINK(INDEX('File Links'!B:B, MATCH(P2098, 'File Links'!C:C, 0))))</f>
        <v>https://drive.google.com/file/d/1bo9aASmCjIsAeU5__CNxEyKU60JbH_Oz/view?usp=drivesdk</v>
      </c>
      <c r="R2098" s="1955" t="s">
        <v>12878</v>
      </c>
      <c r="S2098" s="695" t="s">
        <v>12879</v>
      </c>
      <c r="T2098" s="1956" t="s">
        <v>138</v>
      </c>
      <c r="U2098" s="1954">
        <v>1.0</v>
      </c>
      <c r="V2098" s="234" t="s">
        <v>12880</v>
      </c>
      <c r="W2098" s="235"/>
      <c r="X2098" s="1410" t="str">
        <f t="array" ref="X2098"> if(iserror(MATCH(V2098, 'File Links'!C:C, 0)), "N/A", HYPERLINK(INDEX('File Links'!B:B, MATCH(V2098, 'File Links'!C:C, 0))))</f>
        <v>https://drive.google.com/file/d/15PNrZmOOUmljg2u3ulDQT64Zk426YNiM/view?usp=drivesdk</v>
      </c>
      <c r="Y2098" s="695" t="s">
        <v>138</v>
      </c>
      <c r="Z2098" s="234" t="s">
        <v>586</v>
      </c>
      <c r="AA2098" s="695" t="s">
        <v>12881</v>
      </c>
      <c r="AB2098" s="234" t="s">
        <v>12882</v>
      </c>
      <c r="AC2098" s="234" t="s">
        <v>12901</v>
      </c>
      <c r="AD2098" s="234" t="s">
        <v>12902</v>
      </c>
      <c r="AE2098" s="234">
        <v>6.0</v>
      </c>
      <c r="AF2098" s="698">
        <v>499.0</v>
      </c>
      <c r="AG2098" s="698">
        <v>0.47</v>
      </c>
      <c r="AH2098" s="234" t="s">
        <v>361</v>
      </c>
      <c r="AI2098" s="234" t="s">
        <v>1042</v>
      </c>
      <c r="AJ2098" s="698">
        <v>0.001</v>
      </c>
      <c r="AK2098" s="234" t="s">
        <v>135</v>
      </c>
      <c r="AL2098" s="234" t="s">
        <v>186</v>
      </c>
      <c r="AM2098" s="695" t="s">
        <v>141</v>
      </c>
      <c r="AN2098" s="695" t="s">
        <v>138</v>
      </c>
      <c r="AO2098" s="698">
        <v>668.0</v>
      </c>
      <c r="AP2098" s="698">
        <v>0.19</v>
      </c>
      <c r="AQ2098" s="234" t="s">
        <v>361</v>
      </c>
      <c r="AR2098" s="234" t="s">
        <v>2442</v>
      </c>
      <c r="AS2098" s="698">
        <v>0.001</v>
      </c>
      <c r="AT2098" s="234" t="s">
        <v>135</v>
      </c>
      <c r="AU2098" s="234" t="s">
        <v>186</v>
      </c>
      <c r="AV2098" s="695" t="s">
        <v>141</v>
      </c>
      <c r="AW2098" s="1957" t="s">
        <v>138</v>
      </c>
      <c r="AX2098" s="695" t="s">
        <v>143</v>
      </c>
      <c r="AY2098" s="61" t="str">
        <f>IFERROR(__xludf.DUMMYFUNCTION("vlookup(BB2098,importrange(""https://docs.google.com/spreadsheets/d/1d2vevQ_7D_v35q4wCQ4RpQ_IPoTwEMB9Yp6ymwlPqew/edit?gid=984458430#gid=984458430"", ""'replication success'!A:K""), 11, FAlSE)"),"#N/A")</f>
        <v>#N/A</v>
      </c>
      <c r="AZ2098" s="61" t="str">
        <f>IFERROR(__xludf.DUMMYFUNCTION("vlookup(BB2098,importrange(""https://docs.google.com/spreadsheets/d/1d2vevQ_7D_v35q4wCQ4RpQ_IPoTwEMB9Yp6ymwlPqew/edit?gid=984458430#gid=984458430"", ""'replication success'!A:M""), 12, FAlSE)"),"#N/A")</f>
        <v>#N/A</v>
      </c>
      <c r="BA2098" s="61" t="str">
        <f>IFERROR(__xludf.DUMMYFUNCTION("vlookup(BB2098,importrange(""https://docs.google.com/spreadsheets/d/1d2vevQ_7D_v35q4wCQ4RpQ_IPoTwEMB9Yp6ymwlPqew/edit?gid=984458430#gid=984458430"", ""'replication success'!A:M""), 13, FAlSE)"),"#N/A")</f>
        <v>#N/A</v>
      </c>
      <c r="BB2098" s="61" t="str">
        <f>IFERROR(__xludf.DUMMYFUNCTION("REGEXREPLACE(G2098, ""_[a-z]{1,2}$"", """")"),"soscisubmission18")</f>
        <v>soscisubmission18</v>
      </c>
      <c r="BC2098" s="228"/>
      <c r="BD2098" s="227" t="s">
        <v>692</v>
      </c>
      <c r="BE2098" s="228"/>
      <c r="BF2098" s="228"/>
      <c r="BG2098" s="228"/>
      <c r="BH2098" s="228"/>
      <c r="BI2098" s="228"/>
      <c r="BJ2098" s="228"/>
      <c r="BK2098" s="228"/>
      <c r="BL2098" s="228"/>
      <c r="BM2098" s="228"/>
      <c r="BN2098" s="228"/>
      <c r="BO2098" s="228"/>
      <c r="BP2098" s="228"/>
      <c r="BQ2098" s="228"/>
      <c r="BR2098" s="228"/>
      <c r="BS2098" s="228"/>
      <c r="BT2098" s="228"/>
      <c r="BU2098" s="228"/>
      <c r="BV2098" s="228"/>
      <c r="BW2098" s="228"/>
      <c r="BX2098" s="228"/>
      <c r="BY2098" s="228"/>
      <c r="BZ2098" s="228"/>
      <c r="CA2098" s="228"/>
      <c r="CB2098" s="228"/>
      <c r="CC2098" s="228"/>
      <c r="CD2098" s="228"/>
      <c r="CE2098" s="228"/>
      <c r="CF2098" s="228"/>
      <c r="CG2098" s="228"/>
      <c r="CH2098" s="228"/>
      <c r="CI2098" s="228"/>
      <c r="CJ2098" s="228"/>
      <c r="CK2098" s="228"/>
      <c r="CL2098" s="228"/>
      <c r="CM2098" s="228"/>
      <c r="CN2098" s="228"/>
      <c r="CO2098" s="228"/>
      <c r="CP2098" s="228"/>
      <c r="CQ2098" s="228"/>
      <c r="CR2098" s="228"/>
      <c r="CS2098" s="228"/>
      <c r="CT2098" s="228"/>
      <c r="CU2098" s="228"/>
      <c r="CV2098" s="228"/>
      <c r="CW2098" s="228"/>
      <c r="CX2098" s="228"/>
      <c r="CY2098" s="228"/>
      <c r="CZ2098" s="228"/>
      <c r="DA2098" s="228"/>
      <c r="DB2098" s="228"/>
      <c r="DC2098" s="228"/>
      <c r="DD2098" s="228"/>
      <c r="DE2098" s="228"/>
      <c r="DF2098" s="228"/>
      <c r="DG2098" s="228"/>
      <c r="DH2098" s="228"/>
      <c r="DI2098" s="228"/>
      <c r="DJ2098" s="228"/>
      <c r="DK2098" s="228"/>
      <c r="DL2098" s="228"/>
    </row>
    <row r="2099">
      <c r="A2099" s="1398">
        <v>2099.0</v>
      </c>
      <c r="B2099" s="695" t="s">
        <v>152</v>
      </c>
      <c r="C2099" s="227" t="s">
        <v>115</v>
      </c>
      <c r="D2099" s="227" t="s">
        <v>1458</v>
      </c>
      <c r="E2099" s="228"/>
      <c r="F2099" s="695" t="s">
        <v>12903</v>
      </c>
      <c r="G2099" s="695" t="s">
        <v>12871</v>
      </c>
      <c r="H2099" s="234" t="s">
        <v>12872</v>
      </c>
      <c r="I2099" s="698" t="s">
        <v>12873</v>
      </c>
      <c r="J2099" s="1953">
        <v>45747.0</v>
      </c>
      <c r="K2099" s="234" t="s">
        <v>12904</v>
      </c>
      <c r="L2099" s="237"/>
      <c r="M2099" s="695" t="s">
        <v>12875</v>
      </c>
      <c r="N2099" s="695" t="s">
        <v>12876</v>
      </c>
      <c r="O2099" s="1954">
        <v>1.0</v>
      </c>
      <c r="P2099" s="234" t="s">
        <v>12877</v>
      </c>
      <c r="Q2099" s="1409" t="str">
        <f t="array" ref="Q2099"> if(iserror(MATCH(V2099, 'File Links'!C:C, 0)), "N/A", HYPERLINK(INDEX('File Links'!B:B, MATCH(P2099, 'File Links'!C:C, 0))))</f>
        <v>https://drive.google.com/file/d/1bo9aASmCjIsAeU5__CNxEyKU60JbH_Oz/view?usp=drivesdk</v>
      </c>
      <c r="R2099" s="1955" t="s">
        <v>12878</v>
      </c>
      <c r="S2099" s="695" t="s">
        <v>12879</v>
      </c>
      <c r="T2099" s="1956" t="s">
        <v>138</v>
      </c>
      <c r="U2099" s="1954">
        <v>1.0</v>
      </c>
      <c r="V2099" s="234" t="s">
        <v>12880</v>
      </c>
      <c r="W2099" s="235"/>
      <c r="X2099" s="1410" t="str">
        <f t="array" ref="X2099"> if(iserror(MATCH(V2099, 'File Links'!C:C, 0)), "N/A", HYPERLINK(INDEX('File Links'!B:B, MATCH(V2099, 'File Links'!C:C, 0))))</f>
        <v>https://drive.google.com/file/d/15PNrZmOOUmljg2u3ulDQT64Zk426YNiM/view?usp=drivesdk</v>
      </c>
      <c r="Y2099" s="695" t="s">
        <v>138</v>
      </c>
      <c r="Z2099" s="234" t="s">
        <v>586</v>
      </c>
      <c r="AA2099" s="695" t="s">
        <v>12881</v>
      </c>
      <c r="AB2099" s="234" t="s">
        <v>12882</v>
      </c>
      <c r="AC2099" s="234" t="s">
        <v>12905</v>
      </c>
      <c r="AD2099" s="234" t="s">
        <v>12906</v>
      </c>
      <c r="AE2099" s="234">
        <v>6.0</v>
      </c>
      <c r="AF2099" s="698">
        <v>499.0</v>
      </c>
      <c r="AG2099" s="698">
        <v>-0.11</v>
      </c>
      <c r="AH2099" s="234" t="s">
        <v>361</v>
      </c>
      <c r="AI2099" s="234" t="s">
        <v>1042</v>
      </c>
      <c r="AJ2099" s="698">
        <v>0.05</v>
      </c>
      <c r="AK2099" s="234" t="s">
        <v>135</v>
      </c>
      <c r="AL2099" s="234" t="s">
        <v>186</v>
      </c>
      <c r="AM2099" s="695" t="s">
        <v>141</v>
      </c>
      <c r="AN2099" s="695" t="s">
        <v>138</v>
      </c>
      <c r="AO2099" s="698">
        <v>668.0</v>
      </c>
      <c r="AP2099" s="698" t="s">
        <v>138</v>
      </c>
      <c r="AQ2099" s="695" t="s">
        <v>138</v>
      </c>
      <c r="AR2099" s="234" t="s">
        <v>138</v>
      </c>
      <c r="AS2099" s="698" t="s">
        <v>138</v>
      </c>
      <c r="AT2099" s="234" t="s">
        <v>138</v>
      </c>
      <c r="AU2099" s="234" t="s">
        <v>186</v>
      </c>
      <c r="AV2099" s="695" t="s">
        <v>138</v>
      </c>
      <c r="AW2099" s="1957" t="s">
        <v>138</v>
      </c>
      <c r="AX2099" s="695" t="s">
        <v>143</v>
      </c>
      <c r="AY2099" s="61" t="str">
        <f>IFERROR(__xludf.DUMMYFUNCTION("vlookup(BB2099,importrange(""https://docs.google.com/spreadsheets/d/1d2vevQ_7D_v35q4wCQ4RpQ_IPoTwEMB9Yp6ymwlPqew/edit?gid=984458430#gid=984458430"", ""'replication success'!A:K""), 11, FAlSE)"),"#N/A")</f>
        <v>#N/A</v>
      </c>
      <c r="AZ2099" s="61" t="str">
        <f>IFERROR(__xludf.DUMMYFUNCTION("vlookup(BB2099,importrange(""https://docs.google.com/spreadsheets/d/1d2vevQ_7D_v35q4wCQ4RpQ_IPoTwEMB9Yp6ymwlPqew/edit?gid=984458430#gid=984458430"", ""'replication success'!A:M""), 12, FAlSE)"),"#N/A")</f>
        <v>#N/A</v>
      </c>
      <c r="BA2099" s="61" t="str">
        <f>IFERROR(__xludf.DUMMYFUNCTION("vlookup(BB2099,importrange(""https://docs.google.com/spreadsheets/d/1d2vevQ_7D_v35q4wCQ4RpQ_IPoTwEMB9Yp6ymwlPqew/edit?gid=984458430#gid=984458430"", ""'replication success'!A:M""), 13, FAlSE)"),"#N/A")</f>
        <v>#N/A</v>
      </c>
      <c r="BB2099" s="61" t="str">
        <f>IFERROR(__xludf.DUMMYFUNCTION("REGEXREPLACE(G2099, ""_[a-z]{1,2}$"", """")"),"soscisubmission18")</f>
        <v>soscisubmission18</v>
      </c>
      <c r="BC2099" s="228"/>
      <c r="BD2099" s="227" t="s">
        <v>692</v>
      </c>
      <c r="BE2099" s="228"/>
      <c r="BF2099" s="228"/>
      <c r="BG2099" s="228"/>
      <c r="BH2099" s="228"/>
      <c r="BI2099" s="228"/>
      <c r="BJ2099" s="228"/>
      <c r="BK2099" s="228"/>
      <c r="BL2099" s="228"/>
      <c r="BM2099" s="228"/>
      <c r="BN2099" s="228"/>
      <c r="BO2099" s="228"/>
      <c r="BP2099" s="228"/>
      <c r="BQ2099" s="228"/>
      <c r="BR2099" s="228"/>
      <c r="BS2099" s="228"/>
      <c r="BT2099" s="228"/>
      <c r="BU2099" s="228"/>
      <c r="BV2099" s="228"/>
      <c r="BW2099" s="228"/>
      <c r="BX2099" s="228"/>
      <c r="BY2099" s="228"/>
      <c r="BZ2099" s="228"/>
      <c r="CA2099" s="228"/>
      <c r="CB2099" s="228"/>
      <c r="CC2099" s="228"/>
      <c r="CD2099" s="228"/>
      <c r="CE2099" s="228"/>
      <c r="CF2099" s="228"/>
      <c r="CG2099" s="228"/>
      <c r="CH2099" s="228"/>
      <c r="CI2099" s="228"/>
      <c r="CJ2099" s="228"/>
      <c r="CK2099" s="228"/>
      <c r="CL2099" s="228"/>
      <c r="CM2099" s="228"/>
      <c r="CN2099" s="228"/>
      <c r="CO2099" s="228"/>
      <c r="CP2099" s="228"/>
      <c r="CQ2099" s="228"/>
      <c r="CR2099" s="228"/>
      <c r="CS2099" s="228"/>
      <c r="CT2099" s="228"/>
      <c r="CU2099" s="228"/>
      <c r="CV2099" s="228"/>
      <c r="CW2099" s="228"/>
      <c r="CX2099" s="228"/>
      <c r="CY2099" s="228"/>
      <c r="CZ2099" s="228"/>
      <c r="DA2099" s="228"/>
      <c r="DB2099" s="228"/>
      <c r="DC2099" s="228"/>
      <c r="DD2099" s="228"/>
      <c r="DE2099" s="228"/>
      <c r="DF2099" s="228"/>
      <c r="DG2099" s="228"/>
      <c r="DH2099" s="228"/>
      <c r="DI2099" s="228"/>
      <c r="DJ2099" s="228"/>
      <c r="DK2099" s="228"/>
      <c r="DL2099" s="228"/>
    </row>
    <row r="2100">
      <c r="A2100" s="1398">
        <v>2100.0</v>
      </c>
      <c r="B2100" s="695" t="s">
        <v>152</v>
      </c>
      <c r="C2100" s="227" t="s">
        <v>115</v>
      </c>
      <c r="D2100" s="227" t="s">
        <v>1458</v>
      </c>
      <c r="E2100" s="228"/>
      <c r="F2100" s="695" t="s">
        <v>12907</v>
      </c>
      <c r="G2100" s="695" t="s">
        <v>12871</v>
      </c>
      <c r="H2100" s="234" t="s">
        <v>12872</v>
      </c>
      <c r="I2100" s="698" t="s">
        <v>12873</v>
      </c>
      <c r="J2100" s="1953">
        <v>45747.0</v>
      </c>
      <c r="K2100" s="234" t="s">
        <v>138</v>
      </c>
      <c r="L2100" s="237"/>
      <c r="M2100" s="695" t="s">
        <v>12875</v>
      </c>
      <c r="N2100" s="695" t="s">
        <v>12876</v>
      </c>
      <c r="O2100" s="1954">
        <v>1.0</v>
      </c>
      <c r="P2100" s="234" t="s">
        <v>12877</v>
      </c>
      <c r="Q2100" s="1409" t="str">
        <f t="array" ref="Q2100"> if(iserror(MATCH(V2100, 'File Links'!C:C, 0)), "N/A", HYPERLINK(INDEX('File Links'!B:B, MATCH(P2100, 'File Links'!C:C, 0))))</f>
        <v>https://drive.google.com/file/d/1bo9aASmCjIsAeU5__CNxEyKU60JbH_Oz/view?usp=drivesdk</v>
      </c>
      <c r="R2100" s="1955" t="s">
        <v>12878</v>
      </c>
      <c r="S2100" s="695" t="s">
        <v>12879</v>
      </c>
      <c r="T2100" s="1956" t="s">
        <v>138</v>
      </c>
      <c r="U2100" s="1954">
        <v>1.0</v>
      </c>
      <c r="V2100" s="234" t="s">
        <v>12880</v>
      </c>
      <c r="W2100" s="235"/>
      <c r="X2100" s="1410" t="str">
        <f t="array" ref="X2100"> if(iserror(MATCH(V2100, 'File Links'!C:C, 0)), "N/A", HYPERLINK(INDEX('File Links'!B:B, MATCH(V2100, 'File Links'!C:C, 0))))</f>
        <v>https://drive.google.com/file/d/15PNrZmOOUmljg2u3ulDQT64Zk426YNiM/view?usp=drivesdk</v>
      </c>
      <c r="Y2100" s="695" t="s">
        <v>138</v>
      </c>
      <c r="Z2100" s="234" t="s">
        <v>586</v>
      </c>
      <c r="AA2100" s="695" t="s">
        <v>12881</v>
      </c>
      <c r="AB2100" s="234" t="s">
        <v>12882</v>
      </c>
      <c r="AC2100" s="234" t="s">
        <v>12908</v>
      </c>
      <c r="AD2100" s="234" t="s">
        <v>12909</v>
      </c>
      <c r="AE2100" s="234">
        <v>7.0</v>
      </c>
      <c r="AF2100" s="698">
        <v>499.0</v>
      </c>
      <c r="AG2100" s="698">
        <v>0.27</v>
      </c>
      <c r="AH2100" s="234" t="s">
        <v>361</v>
      </c>
      <c r="AI2100" s="234" t="s">
        <v>12893</v>
      </c>
      <c r="AJ2100" s="698">
        <v>0.001</v>
      </c>
      <c r="AK2100" s="234" t="s">
        <v>135</v>
      </c>
      <c r="AL2100" s="234" t="s">
        <v>186</v>
      </c>
      <c r="AM2100" s="695" t="s">
        <v>141</v>
      </c>
      <c r="AN2100" s="695" t="s">
        <v>138</v>
      </c>
      <c r="AO2100" s="698">
        <v>668.0</v>
      </c>
      <c r="AP2100" s="698">
        <v>0.64</v>
      </c>
      <c r="AQ2100" s="234" t="s">
        <v>361</v>
      </c>
      <c r="AR2100" s="234" t="s">
        <v>12889</v>
      </c>
      <c r="AS2100" s="698">
        <v>0.001</v>
      </c>
      <c r="AT2100" s="234" t="s">
        <v>135</v>
      </c>
      <c r="AU2100" s="234" t="s">
        <v>186</v>
      </c>
      <c r="AV2100" s="695" t="s">
        <v>141</v>
      </c>
      <c r="AW2100" s="1957" t="s">
        <v>138</v>
      </c>
      <c r="AX2100" s="695" t="s">
        <v>143</v>
      </c>
      <c r="AY2100" s="61" t="str">
        <f>IFERROR(__xludf.DUMMYFUNCTION("vlookup(BB2100,importrange(""https://docs.google.com/spreadsheets/d/1d2vevQ_7D_v35q4wCQ4RpQ_IPoTwEMB9Yp6ymwlPqew/edit?gid=984458430#gid=984458430"", ""'replication success'!A:K""), 11, FAlSE)"),"#N/A")</f>
        <v>#N/A</v>
      </c>
      <c r="AZ2100" s="61" t="str">
        <f>IFERROR(__xludf.DUMMYFUNCTION("vlookup(BB2100,importrange(""https://docs.google.com/spreadsheets/d/1d2vevQ_7D_v35q4wCQ4RpQ_IPoTwEMB9Yp6ymwlPqew/edit?gid=984458430#gid=984458430"", ""'replication success'!A:M""), 12, FAlSE)"),"#N/A")</f>
        <v>#N/A</v>
      </c>
      <c r="BA2100" s="61" t="str">
        <f>IFERROR(__xludf.DUMMYFUNCTION("vlookup(BB2100,importrange(""https://docs.google.com/spreadsheets/d/1d2vevQ_7D_v35q4wCQ4RpQ_IPoTwEMB9Yp6ymwlPqew/edit?gid=984458430#gid=984458430"", ""'replication success'!A:M""), 13, FAlSE)"),"#N/A")</f>
        <v>#N/A</v>
      </c>
      <c r="BB2100" s="61" t="str">
        <f>IFERROR(__xludf.DUMMYFUNCTION("REGEXREPLACE(G2100, ""_[a-z]{1,2}$"", """")"),"soscisubmission18")</f>
        <v>soscisubmission18</v>
      </c>
      <c r="BC2100" s="228"/>
      <c r="BD2100" s="227" t="s">
        <v>692</v>
      </c>
      <c r="BE2100" s="228"/>
      <c r="BF2100" s="228"/>
      <c r="BG2100" s="228"/>
      <c r="BH2100" s="228"/>
      <c r="BI2100" s="228"/>
      <c r="BJ2100" s="228"/>
      <c r="BK2100" s="228"/>
      <c r="BL2100" s="228"/>
      <c r="BM2100" s="228"/>
      <c r="BN2100" s="228"/>
      <c r="BO2100" s="228"/>
      <c r="BP2100" s="228"/>
      <c r="BQ2100" s="228"/>
      <c r="BR2100" s="228"/>
      <c r="BS2100" s="228"/>
      <c r="BT2100" s="228"/>
      <c r="BU2100" s="228"/>
      <c r="BV2100" s="228"/>
      <c r="BW2100" s="228"/>
      <c r="BX2100" s="228"/>
      <c r="BY2100" s="228"/>
      <c r="BZ2100" s="228"/>
      <c r="CA2100" s="228"/>
      <c r="CB2100" s="228"/>
      <c r="CC2100" s="228"/>
      <c r="CD2100" s="228"/>
      <c r="CE2100" s="228"/>
      <c r="CF2100" s="228"/>
      <c r="CG2100" s="228"/>
      <c r="CH2100" s="228"/>
      <c r="CI2100" s="228"/>
      <c r="CJ2100" s="228"/>
      <c r="CK2100" s="228"/>
      <c r="CL2100" s="228"/>
      <c r="CM2100" s="228"/>
      <c r="CN2100" s="228"/>
      <c r="CO2100" s="228"/>
      <c r="CP2100" s="228"/>
      <c r="CQ2100" s="228"/>
      <c r="CR2100" s="228"/>
      <c r="CS2100" s="228"/>
      <c r="CT2100" s="228"/>
      <c r="CU2100" s="228"/>
      <c r="CV2100" s="228"/>
      <c r="CW2100" s="228"/>
      <c r="CX2100" s="228"/>
      <c r="CY2100" s="228"/>
      <c r="CZ2100" s="228"/>
      <c r="DA2100" s="228"/>
      <c r="DB2100" s="228"/>
      <c r="DC2100" s="228"/>
      <c r="DD2100" s="228"/>
      <c r="DE2100" s="228"/>
      <c r="DF2100" s="228"/>
      <c r="DG2100" s="228"/>
      <c r="DH2100" s="228"/>
      <c r="DI2100" s="228"/>
      <c r="DJ2100" s="228"/>
      <c r="DK2100" s="228"/>
      <c r="DL2100" s="228"/>
    </row>
    <row r="2101">
      <c r="A2101" s="1398">
        <v>2101.0</v>
      </c>
      <c r="B2101" s="695" t="s">
        <v>152</v>
      </c>
      <c r="C2101" s="227" t="s">
        <v>115</v>
      </c>
      <c r="D2101" s="227" t="s">
        <v>1458</v>
      </c>
      <c r="E2101" s="228"/>
      <c r="F2101" s="695" t="s">
        <v>12910</v>
      </c>
      <c r="G2101" s="695" t="s">
        <v>12871</v>
      </c>
      <c r="H2101" s="234" t="s">
        <v>12872</v>
      </c>
      <c r="I2101" s="698" t="s">
        <v>12873</v>
      </c>
      <c r="J2101" s="1953">
        <v>45747.0</v>
      </c>
      <c r="K2101" s="234" t="s">
        <v>12911</v>
      </c>
      <c r="L2101" s="237"/>
      <c r="M2101" s="695" t="s">
        <v>12875</v>
      </c>
      <c r="N2101" s="695" t="s">
        <v>12876</v>
      </c>
      <c r="O2101" s="1954">
        <v>1.0</v>
      </c>
      <c r="P2101" s="234" t="s">
        <v>12877</v>
      </c>
      <c r="Q2101" s="1409" t="str">
        <f t="array" ref="Q2101"> if(iserror(MATCH(V2101, 'File Links'!C:C, 0)), "N/A", HYPERLINK(INDEX('File Links'!B:B, MATCH(P2101, 'File Links'!C:C, 0))))</f>
        <v>https://drive.google.com/file/d/1bo9aASmCjIsAeU5__CNxEyKU60JbH_Oz/view?usp=drivesdk</v>
      </c>
      <c r="R2101" s="1955" t="s">
        <v>12878</v>
      </c>
      <c r="S2101" s="695" t="s">
        <v>12879</v>
      </c>
      <c r="T2101" s="1956" t="s">
        <v>138</v>
      </c>
      <c r="U2101" s="1954">
        <v>1.0</v>
      </c>
      <c r="V2101" s="234" t="s">
        <v>12880</v>
      </c>
      <c r="W2101" s="235"/>
      <c r="X2101" s="1410" t="str">
        <f t="array" ref="X2101"> if(iserror(MATCH(V2101, 'File Links'!C:C, 0)), "N/A", HYPERLINK(INDEX('File Links'!B:B, MATCH(V2101, 'File Links'!C:C, 0))))</f>
        <v>https://drive.google.com/file/d/15PNrZmOOUmljg2u3ulDQT64Zk426YNiM/view?usp=drivesdk</v>
      </c>
      <c r="Y2101" s="695" t="s">
        <v>138</v>
      </c>
      <c r="Z2101" s="234" t="s">
        <v>586</v>
      </c>
      <c r="AA2101" s="695" t="s">
        <v>12881</v>
      </c>
      <c r="AB2101" s="234" t="s">
        <v>12882</v>
      </c>
      <c r="AC2101" s="234" t="s">
        <v>12912</v>
      </c>
      <c r="AD2101" s="234" t="s">
        <v>12913</v>
      </c>
      <c r="AE2101" s="234">
        <v>7.0</v>
      </c>
      <c r="AF2101" s="698">
        <v>499.0</v>
      </c>
      <c r="AG2101" s="698">
        <v>0.08</v>
      </c>
      <c r="AH2101" s="234" t="s">
        <v>361</v>
      </c>
      <c r="AI2101" s="234" t="s">
        <v>4979</v>
      </c>
      <c r="AJ2101" s="698">
        <v>0.11</v>
      </c>
      <c r="AK2101" s="234" t="s">
        <v>172</v>
      </c>
      <c r="AL2101" s="234" t="s">
        <v>186</v>
      </c>
      <c r="AM2101" s="695" t="s">
        <v>141</v>
      </c>
      <c r="AN2101" s="695" t="s">
        <v>138</v>
      </c>
      <c r="AO2101" s="698">
        <v>668.0</v>
      </c>
      <c r="AP2101" s="698">
        <v>0.06</v>
      </c>
      <c r="AQ2101" s="234" t="s">
        <v>361</v>
      </c>
      <c r="AR2101" s="234" t="s">
        <v>138</v>
      </c>
      <c r="AS2101" s="698" t="s">
        <v>138</v>
      </c>
      <c r="AT2101" s="234" t="s">
        <v>138</v>
      </c>
      <c r="AU2101" s="234" t="s">
        <v>186</v>
      </c>
      <c r="AV2101" s="695" t="s">
        <v>138</v>
      </c>
      <c r="AW2101" s="1957" t="s">
        <v>138</v>
      </c>
      <c r="AX2101" s="695" t="s">
        <v>143</v>
      </c>
      <c r="AY2101" s="61" t="str">
        <f>IFERROR(__xludf.DUMMYFUNCTION("vlookup(BB2101,importrange(""https://docs.google.com/spreadsheets/d/1d2vevQ_7D_v35q4wCQ4RpQ_IPoTwEMB9Yp6ymwlPqew/edit?gid=984458430#gid=984458430"", ""'replication success'!A:K""), 11, FAlSE)"),"#N/A")</f>
        <v>#N/A</v>
      </c>
      <c r="AZ2101" s="61" t="str">
        <f>IFERROR(__xludf.DUMMYFUNCTION("vlookup(BB2101,importrange(""https://docs.google.com/spreadsheets/d/1d2vevQ_7D_v35q4wCQ4RpQ_IPoTwEMB9Yp6ymwlPqew/edit?gid=984458430#gid=984458430"", ""'replication success'!A:M""), 12, FAlSE)"),"#N/A")</f>
        <v>#N/A</v>
      </c>
      <c r="BA2101" s="61" t="str">
        <f>IFERROR(__xludf.DUMMYFUNCTION("vlookup(BB2101,importrange(""https://docs.google.com/spreadsheets/d/1d2vevQ_7D_v35q4wCQ4RpQ_IPoTwEMB9Yp6ymwlPqew/edit?gid=984458430#gid=984458430"", ""'replication success'!A:M""), 13, FAlSE)"),"#N/A")</f>
        <v>#N/A</v>
      </c>
      <c r="BB2101" s="61" t="str">
        <f>IFERROR(__xludf.DUMMYFUNCTION("REGEXREPLACE(G2101, ""_[a-z]{1,2}$"", """")"),"soscisubmission18")</f>
        <v>soscisubmission18</v>
      </c>
      <c r="BC2101" s="228"/>
      <c r="BD2101" s="227" t="s">
        <v>692</v>
      </c>
      <c r="BE2101" s="228"/>
      <c r="BF2101" s="228"/>
      <c r="BG2101" s="228"/>
      <c r="BH2101" s="228"/>
      <c r="BI2101" s="228"/>
      <c r="BJ2101" s="228"/>
      <c r="BK2101" s="228"/>
      <c r="BL2101" s="228"/>
      <c r="BM2101" s="228"/>
      <c r="BN2101" s="228"/>
      <c r="BO2101" s="228"/>
      <c r="BP2101" s="228"/>
      <c r="BQ2101" s="228"/>
      <c r="BR2101" s="228"/>
      <c r="BS2101" s="228"/>
      <c r="BT2101" s="228"/>
      <c r="BU2101" s="228"/>
      <c r="BV2101" s="228"/>
      <c r="BW2101" s="228"/>
      <c r="BX2101" s="228"/>
      <c r="BY2101" s="228"/>
      <c r="BZ2101" s="228"/>
      <c r="CA2101" s="228"/>
      <c r="CB2101" s="228"/>
      <c r="CC2101" s="228"/>
      <c r="CD2101" s="228"/>
      <c r="CE2101" s="228"/>
      <c r="CF2101" s="228"/>
      <c r="CG2101" s="228"/>
      <c r="CH2101" s="228"/>
      <c r="CI2101" s="228"/>
      <c r="CJ2101" s="228"/>
      <c r="CK2101" s="228"/>
      <c r="CL2101" s="228"/>
      <c r="CM2101" s="228"/>
      <c r="CN2101" s="228"/>
      <c r="CO2101" s="228"/>
      <c r="CP2101" s="228"/>
      <c r="CQ2101" s="228"/>
      <c r="CR2101" s="228"/>
      <c r="CS2101" s="228"/>
      <c r="CT2101" s="228"/>
      <c r="CU2101" s="228"/>
      <c r="CV2101" s="228"/>
      <c r="CW2101" s="228"/>
      <c r="CX2101" s="228"/>
      <c r="CY2101" s="228"/>
      <c r="CZ2101" s="228"/>
      <c r="DA2101" s="228"/>
      <c r="DB2101" s="228"/>
      <c r="DC2101" s="228"/>
      <c r="DD2101" s="228"/>
      <c r="DE2101" s="228"/>
      <c r="DF2101" s="228"/>
      <c r="DG2101" s="228"/>
      <c r="DH2101" s="228"/>
      <c r="DI2101" s="228"/>
      <c r="DJ2101" s="228"/>
      <c r="DK2101" s="228"/>
      <c r="DL2101" s="228"/>
    </row>
    <row r="2102">
      <c r="A2102" s="1398">
        <v>2102.0</v>
      </c>
      <c r="B2102" s="695" t="s">
        <v>152</v>
      </c>
      <c r="C2102" s="227" t="s">
        <v>115</v>
      </c>
      <c r="D2102" s="227" t="s">
        <v>1458</v>
      </c>
      <c r="E2102" s="228"/>
      <c r="F2102" s="695" t="s">
        <v>12914</v>
      </c>
      <c r="G2102" s="695" t="s">
        <v>12871</v>
      </c>
      <c r="H2102" s="234" t="s">
        <v>12872</v>
      </c>
      <c r="I2102" s="698" t="s">
        <v>12873</v>
      </c>
      <c r="J2102" s="1953">
        <v>45747.0</v>
      </c>
      <c r="K2102" s="234" t="s">
        <v>12904</v>
      </c>
      <c r="L2102" s="237"/>
      <c r="M2102" s="695" t="s">
        <v>12875</v>
      </c>
      <c r="N2102" s="695" t="s">
        <v>12876</v>
      </c>
      <c r="O2102" s="1954">
        <v>1.0</v>
      </c>
      <c r="P2102" s="234" t="s">
        <v>12877</v>
      </c>
      <c r="Q2102" s="1409" t="str">
        <f t="array" ref="Q2102"> if(iserror(MATCH(V2102, 'File Links'!C:C, 0)), "N/A", HYPERLINK(INDEX('File Links'!B:B, MATCH(P2102, 'File Links'!C:C, 0))))</f>
        <v>https://drive.google.com/file/d/1bo9aASmCjIsAeU5__CNxEyKU60JbH_Oz/view?usp=drivesdk</v>
      </c>
      <c r="R2102" s="1955" t="s">
        <v>12878</v>
      </c>
      <c r="S2102" s="695" t="s">
        <v>12879</v>
      </c>
      <c r="T2102" s="1956" t="s">
        <v>138</v>
      </c>
      <c r="U2102" s="1954">
        <v>1.0</v>
      </c>
      <c r="V2102" s="234" t="s">
        <v>12880</v>
      </c>
      <c r="W2102" s="235"/>
      <c r="X2102" s="1410" t="str">
        <f t="array" ref="X2102"> if(iserror(MATCH(V2102, 'File Links'!C:C, 0)), "N/A", HYPERLINK(INDEX('File Links'!B:B, MATCH(V2102, 'File Links'!C:C, 0))))</f>
        <v>https://drive.google.com/file/d/15PNrZmOOUmljg2u3ulDQT64Zk426YNiM/view?usp=drivesdk</v>
      </c>
      <c r="Y2102" s="695" t="s">
        <v>138</v>
      </c>
      <c r="Z2102" s="234" t="s">
        <v>586</v>
      </c>
      <c r="AA2102" s="695" t="s">
        <v>12881</v>
      </c>
      <c r="AB2102" s="234" t="s">
        <v>12882</v>
      </c>
      <c r="AC2102" s="234" t="s">
        <v>12915</v>
      </c>
      <c r="AD2102" s="234" t="s">
        <v>12916</v>
      </c>
      <c r="AE2102" s="234">
        <v>6.0</v>
      </c>
      <c r="AF2102" s="698">
        <v>499.0</v>
      </c>
      <c r="AG2102" s="698">
        <v>-0.15</v>
      </c>
      <c r="AH2102" s="234" t="s">
        <v>361</v>
      </c>
      <c r="AI2102" s="234" t="s">
        <v>1042</v>
      </c>
      <c r="AJ2102" s="698">
        <v>0.01</v>
      </c>
      <c r="AK2102" s="234" t="s">
        <v>135</v>
      </c>
      <c r="AL2102" s="234" t="s">
        <v>186</v>
      </c>
      <c r="AM2102" s="695" t="s">
        <v>141</v>
      </c>
      <c r="AN2102" s="695" t="s">
        <v>138</v>
      </c>
      <c r="AO2102" s="698">
        <v>668.0</v>
      </c>
      <c r="AP2102" s="698">
        <v>-0.07</v>
      </c>
      <c r="AQ2102" s="234" t="s">
        <v>361</v>
      </c>
      <c r="AR2102" s="234" t="s">
        <v>138</v>
      </c>
      <c r="AS2102" s="698" t="s">
        <v>138</v>
      </c>
      <c r="AT2102" s="234" t="s">
        <v>138</v>
      </c>
      <c r="AU2102" s="234" t="s">
        <v>186</v>
      </c>
      <c r="AV2102" s="695" t="s">
        <v>138</v>
      </c>
      <c r="AW2102" s="1957" t="s">
        <v>138</v>
      </c>
      <c r="AX2102" s="695" t="s">
        <v>143</v>
      </c>
      <c r="AY2102" s="61" t="str">
        <f>IFERROR(__xludf.DUMMYFUNCTION("vlookup(BB2102,importrange(""https://docs.google.com/spreadsheets/d/1d2vevQ_7D_v35q4wCQ4RpQ_IPoTwEMB9Yp6ymwlPqew/edit?gid=984458430#gid=984458430"", ""'replication success'!A:K""), 11, FAlSE)"),"#N/A")</f>
        <v>#N/A</v>
      </c>
      <c r="AZ2102" s="61" t="str">
        <f>IFERROR(__xludf.DUMMYFUNCTION("vlookup(BB2102,importrange(""https://docs.google.com/spreadsheets/d/1d2vevQ_7D_v35q4wCQ4RpQ_IPoTwEMB9Yp6ymwlPqew/edit?gid=984458430#gid=984458430"", ""'replication success'!A:M""), 12, FAlSE)"),"#N/A")</f>
        <v>#N/A</v>
      </c>
      <c r="BA2102" s="61" t="str">
        <f>IFERROR(__xludf.DUMMYFUNCTION("vlookup(BB2102,importrange(""https://docs.google.com/spreadsheets/d/1d2vevQ_7D_v35q4wCQ4RpQ_IPoTwEMB9Yp6ymwlPqew/edit?gid=984458430#gid=984458430"", ""'replication success'!A:M""), 13, FAlSE)"),"#N/A")</f>
        <v>#N/A</v>
      </c>
      <c r="BB2102" s="61" t="str">
        <f>IFERROR(__xludf.DUMMYFUNCTION("REGEXREPLACE(G2102, ""_[a-z]{1,2}$"", """")"),"soscisubmission18")</f>
        <v>soscisubmission18</v>
      </c>
      <c r="BC2102" s="228"/>
      <c r="BD2102" s="227" t="s">
        <v>692</v>
      </c>
      <c r="BE2102" s="228"/>
      <c r="BF2102" s="228"/>
      <c r="BG2102" s="228"/>
      <c r="BH2102" s="228"/>
      <c r="BI2102" s="228"/>
      <c r="BJ2102" s="228"/>
      <c r="BK2102" s="228"/>
      <c r="BL2102" s="228"/>
      <c r="BM2102" s="228"/>
      <c r="BN2102" s="228"/>
      <c r="BO2102" s="228"/>
      <c r="BP2102" s="228"/>
      <c r="BQ2102" s="228"/>
      <c r="BR2102" s="228"/>
      <c r="BS2102" s="228"/>
      <c r="BT2102" s="228"/>
      <c r="BU2102" s="228"/>
      <c r="BV2102" s="228"/>
      <c r="BW2102" s="228"/>
      <c r="BX2102" s="228"/>
      <c r="BY2102" s="228"/>
      <c r="BZ2102" s="228"/>
      <c r="CA2102" s="228"/>
      <c r="CB2102" s="228"/>
      <c r="CC2102" s="228"/>
      <c r="CD2102" s="228"/>
      <c r="CE2102" s="228"/>
      <c r="CF2102" s="228"/>
      <c r="CG2102" s="228"/>
      <c r="CH2102" s="228"/>
      <c r="CI2102" s="228"/>
      <c r="CJ2102" s="228"/>
      <c r="CK2102" s="228"/>
      <c r="CL2102" s="228"/>
      <c r="CM2102" s="228"/>
      <c r="CN2102" s="228"/>
      <c r="CO2102" s="228"/>
      <c r="CP2102" s="228"/>
      <c r="CQ2102" s="228"/>
      <c r="CR2102" s="228"/>
      <c r="CS2102" s="228"/>
      <c r="CT2102" s="228"/>
      <c r="CU2102" s="228"/>
      <c r="CV2102" s="228"/>
      <c r="CW2102" s="228"/>
      <c r="CX2102" s="228"/>
      <c r="CY2102" s="228"/>
      <c r="CZ2102" s="228"/>
      <c r="DA2102" s="228"/>
      <c r="DB2102" s="228"/>
      <c r="DC2102" s="228"/>
      <c r="DD2102" s="228"/>
      <c r="DE2102" s="228"/>
      <c r="DF2102" s="228"/>
      <c r="DG2102" s="228"/>
      <c r="DH2102" s="228"/>
      <c r="DI2102" s="228"/>
      <c r="DJ2102" s="228"/>
      <c r="DK2102" s="228"/>
      <c r="DL2102" s="228"/>
    </row>
    <row r="2103">
      <c r="A2103" s="1398">
        <v>2103.0</v>
      </c>
      <c r="B2103" s="695" t="s">
        <v>152</v>
      </c>
      <c r="C2103" s="227" t="s">
        <v>115</v>
      </c>
      <c r="D2103" s="227" t="s">
        <v>1458</v>
      </c>
      <c r="E2103" s="228"/>
      <c r="F2103" s="695" t="s">
        <v>12917</v>
      </c>
      <c r="G2103" s="695" t="s">
        <v>12871</v>
      </c>
      <c r="H2103" s="234" t="s">
        <v>12872</v>
      </c>
      <c r="I2103" s="698" t="s">
        <v>12873</v>
      </c>
      <c r="J2103" s="1953">
        <v>45747.0</v>
      </c>
      <c r="K2103" s="234" t="s">
        <v>138</v>
      </c>
      <c r="L2103" s="237"/>
      <c r="M2103" s="695" t="s">
        <v>12875</v>
      </c>
      <c r="N2103" s="695" t="s">
        <v>12876</v>
      </c>
      <c r="O2103" s="1954">
        <v>1.0</v>
      </c>
      <c r="P2103" s="234" t="s">
        <v>12877</v>
      </c>
      <c r="Q2103" s="1409" t="str">
        <f t="array" ref="Q2103"> if(iserror(MATCH(V2103, 'File Links'!C:C, 0)), "N/A", HYPERLINK(INDEX('File Links'!B:B, MATCH(P2103, 'File Links'!C:C, 0))))</f>
        <v>https://drive.google.com/file/d/1bo9aASmCjIsAeU5__CNxEyKU60JbH_Oz/view?usp=drivesdk</v>
      </c>
      <c r="R2103" s="1955" t="s">
        <v>12878</v>
      </c>
      <c r="S2103" s="695" t="s">
        <v>12879</v>
      </c>
      <c r="T2103" s="1956" t="s">
        <v>138</v>
      </c>
      <c r="U2103" s="1954">
        <v>1.0</v>
      </c>
      <c r="V2103" s="234" t="s">
        <v>12880</v>
      </c>
      <c r="W2103" s="235"/>
      <c r="X2103" s="1410" t="str">
        <f t="array" ref="X2103"> if(iserror(MATCH(V2103, 'File Links'!C:C, 0)), "N/A", HYPERLINK(INDEX('File Links'!B:B, MATCH(V2103, 'File Links'!C:C, 0))))</f>
        <v>https://drive.google.com/file/d/15PNrZmOOUmljg2u3ulDQT64Zk426YNiM/view?usp=drivesdk</v>
      </c>
      <c r="Y2103" s="695" t="s">
        <v>138</v>
      </c>
      <c r="Z2103" s="234" t="s">
        <v>586</v>
      </c>
      <c r="AA2103" s="695" t="s">
        <v>12881</v>
      </c>
      <c r="AB2103" s="234" t="s">
        <v>12882</v>
      </c>
      <c r="AC2103" s="234" t="s">
        <v>12918</v>
      </c>
      <c r="AD2103" s="234" t="s">
        <v>12919</v>
      </c>
      <c r="AE2103" s="234">
        <v>7.0</v>
      </c>
      <c r="AF2103" s="698">
        <v>499.0</v>
      </c>
      <c r="AG2103" s="698">
        <v>0.09</v>
      </c>
      <c r="AH2103" s="234" t="s">
        <v>361</v>
      </c>
      <c r="AI2103" s="234" t="s">
        <v>4979</v>
      </c>
      <c r="AJ2103" s="698">
        <v>0.11</v>
      </c>
      <c r="AK2103" s="234" t="s">
        <v>172</v>
      </c>
      <c r="AL2103" s="234" t="s">
        <v>186</v>
      </c>
      <c r="AM2103" s="695" t="s">
        <v>141</v>
      </c>
      <c r="AN2103" s="695" t="s">
        <v>138</v>
      </c>
      <c r="AO2103" s="698">
        <v>668.0</v>
      </c>
      <c r="AP2103" s="698">
        <v>0.16</v>
      </c>
      <c r="AQ2103" s="234" t="s">
        <v>361</v>
      </c>
      <c r="AR2103" s="234" t="s">
        <v>2442</v>
      </c>
      <c r="AS2103" s="698">
        <v>0.007</v>
      </c>
      <c r="AT2103" s="234" t="s">
        <v>172</v>
      </c>
      <c r="AU2103" s="234" t="s">
        <v>186</v>
      </c>
      <c r="AV2103" s="695" t="s">
        <v>141</v>
      </c>
      <c r="AW2103" s="1957" t="s">
        <v>138</v>
      </c>
      <c r="AX2103" s="695" t="s">
        <v>143</v>
      </c>
      <c r="AY2103" s="61" t="str">
        <f>IFERROR(__xludf.DUMMYFUNCTION("vlookup(BB2103,importrange(""https://docs.google.com/spreadsheets/d/1d2vevQ_7D_v35q4wCQ4RpQ_IPoTwEMB9Yp6ymwlPqew/edit?gid=984458430#gid=984458430"", ""'replication success'!A:K""), 11, FAlSE)"),"#N/A")</f>
        <v>#N/A</v>
      </c>
      <c r="AZ2103" s="61" t="str">
        <f>IFERROR(__xludf.DUMMYFUNCTION("vlookup(BB2103,importrange(""https://docs.google.com/spreadsheets/d/1d2vevQ_7D_v35q4wCQ4RpQ_IPoTwEMB9Yp6ymwlPqew/edit?gid=984458430#gid=984458430"", ""'replication success'!A:M""), 12, FAlSE)"),"#N/A")</f>
        <v>#N/A</v>
      </c>
      <c r="BA2103" s="61" t="str">
        <f>IFERROR(__xludf.DUMMYFUNCTION("vlookup(BB2103,importrange(""https://docs.google.com/spreadsheets/d/1d2vevQ_7D_v35q4wCQ4RpQ_IPoTwEMB9Yp6ymwlPqew/edit?gid=984458430#gid=984458430"", ""'replication success'!A:M""), 13, FAlSE)"),"#N/A")</f>
        <v>#N/A</v>
      </c>
      <c r="BB2103" s="61" t="str">
        <f>IFERROR(__xludf.DUMMYFUNCTION("REGEXREPLACE(G2103, ""_[a-z]{1,2}$"", """")"),"soscisubmission18")</f>
        <v>soscisubmission18</v>
      </c>
      <c r="BC2103" s="228"/>
      <c r="BD2103" s="227" t="s">
        <v>692</v>
      </c>
      <c r="BE2103" s="228"/>
      <c r="BF2103" s="228"/>
      <c r="BG2103" s="228"/>
      <c r="BH2103" s="228"/>
      <c r="BI2103" s="228"/>
      <c r="BJ2103" s="228"/>
      <c r="BK2103" s="228"/>
      <c r="BL2103" s="228"/>
      <c r="BM2103" s="228"/>
      <c r="BN2103" s="228"/>
      <c r="BO2103" s="228"/>
      <c r="BP2103" s="228"/>
      <c r="BQ2103" s="228"/>
      <c r="BR2103" s="228"/>
      <c r="BS2103" s="228"/>
      <c r="BT2103" s="228"/>
      <c r="BU2103" s="228"/>
      <c r="BV2103" s="228"/>
      <c r="BW2103" s="228"/>
      <c r="BX2103" s="228"/>
      <c r="BY2103" s="228"/>
      <c r="BZ2103" s="228"/>
      <c r="CA2103" s="228"/>
      <c r="CB2103" s="228"/>
      <c r="CC2103" s="228"/>
      <c r="CD2103" s="228"/>
      <c r="CE2103" s="228"/>
      <c r="CF2103" s="228"/>
      <c r="CG2103" s="228"/>
      <c r="CH2103" s="228"/>
      <c r="CI2103" s="228"/>
      <c r="CJ2103" s="228"/>
      <c r="CK2103" s="228"/>
      <c r="CL2103" s="228"/>
      <c r="CM2103" s="228"/>
      <c r="CN2103" s="228"/>
      <c r="CO2103" s="228"/>
      <c r="CP2103" s="228"/>
      <c r="CQ2103" s="228"/>
      <c r="CR2103" s="228"/>
      <c r="CS2103" s="228"/>
      <c r="CT2103" s="228"/>
      <c r="CU2103" s="228"/>
      <c r="CV2103" s="228"/>
      <c r="CW2103" s="228"/>
      <c r="CX2103" s="228"/>
      <c r="CY2103" s="228"/>
      <c r="CZ2103" s="228"/>
      <c r="DA2103" s="228"/>
      <c r="DB2103" s="228"/>
      <c r="DC2103" s="228"/>
      <c r="DD2103" s="228"/>
      <c r="DE2103" s="228"/>
      <c r="DF2103" s="228"/>
      <c r="DG2103" s="228"/>
      <c r="DH2103" s="228"/>
      <c r="DI2103" s="228"/>
      <c r="DJ2103" s="228"/>
      <c r="DK2103" s="228"/>
      <c r="DL2103" s="228"/>
    </row>
    <row r="2104">
      <c r="A2104" s="1398">
        <v>2104.0</v>
      </c>
      <c r="B2104" s="695" t="s">
        <v>152</v>
      </c>
      <c r="C2104" s="227" t="s">
        <v>115</v>
      </c>
      <c r="D2104" s="227" t="s">
        <v>1458</v>
      </c>
      <c r="E2104" s="228"/>
      <c r="F2104" s="695" t="s">
        <v>12920</v>
      </c>
      <c r="G2104" s="695" t="s">
        <v>12871</v>
      </c>
      <c r="H2104" s="234" t="s">
        <v>12872</v>
      </c>
      <c r="I2104" s="698" t="s">
        <v>12873</v>
      </c>
      <c r="J2104" s="1953">
        <v>45747.0</v>
      </c>
      <c r="K2104" s="234" t="s">
        <v>12911</v>
      </c>
      <c r="L2104" s="237"/>
      <c r="M2104" s="695" t="s">
        <v>12875</v>
      </c>
      <c r="N2104" s="695" t="s">
        <v>12876</v>
      </c>
      <c r="O2104" s="1954">
        <v>1.0</v>
      </c>
      <c r="P2104" s="234" t="s">
        <v>12877</v>
      </c>
      <c r="Q2104" s="1409" t="str">
        <f t="array" ref="Q2104"> if(iserror(MATCH(V2104, 'File Links'!C:C, 0)), "N/A", HYPERLINK(INDEX('File Links'!B:B, MATCH(P2104, 'File Links'!C:C, 0))))</f>
        <v>https://drive.google.com/file/d/1bo9aASmCjIsAeU5__CNxEyKU60JbH_Oz/view?usp=drivesdk</v>
      </c>
      <c r="R2104" s="1955" t="s">
        <v>12878</v>
      </c>
      <c r="S2104" s="695" t="s">
        <v>12879</v>
      </c>
      <c r="T2104" s="1956" t="s">
        <v>138</v>
      </c>
      <c r="U2104" s="1954">
        <v>1.0</v>
      </c>
      <c r="V2104" s="234" t="s">
        <v>12880</v>
      </c>
      <c r="W2104" s="235"/>
      <c r="X2104" s="1410" t="str">
        <f t="array" ref="X2104"> if(iserror(MATCH(V2104, 'File Links'!C:C, 0)), "N/A", HYPERLINK(INDEX('File Links'!B:B, MATCH(V2104, 'File Links'!C:C, 0))))</f>
        <v>https://drive.google.com/file/d/15PNrZmOOUmljg2u3ulDQT64Zk426YNiM/view?usp=drivesdk</v>
      </c>
      <c r="Y2104" s="695" t="s">
        <v>138</v>
      </c>
      <c r="Z2104" s="234" t="s">
        <v>586</v>
      </c>
      <c r="AA2104" s="695" t="s">
        <v>12881</v>
      </c>
      <c r="AB2104" s="234" t="s">
        <v>12882</v>
      </c>
      <c r="AC2104" s="234" t="s">
        <v>12921</v>
      </c>
      <c r="AD2104" s="234" t="s">
        <v>12922</v>
      </c>
      <c r="AE2104" s="234">
        <v>7.0</v>
      </c>
      <c r="AF2104" s="698">
        <v>499.0</v>
      </c>
      <c r="AG2104" s="698">
        <v>0.07</v>
      </c>
      <c r="AH2104" s="234" t="s">
        <v>361</v>
      </c>
      <c r="AI2104" s="234" t="s">
        <v>4979</v>
      </c>
      <c r="AJ2104" s="698">
        <v>0.55</v>
      </c>
      <c r="AK2104" s="234" t="s">
        <v>172</v>
      </c>
      <c r="AL2104" s="234" t="s">
        <v>186</v>
      </c>
      <c r="AM2104" s="695" t="s">
        <v>141</v>
      </c>
      <c r="AN2104" s="695" t="s">
        <v>138</v>
      </c>
      <c r="AO2104" s="698">
        <v>668.0</v>
      </c>
      <c r="AP2104" s="698" t="s">
        <v>138</v>
      </c>
      <c r="AQ2104" s="695" t="s">
        <v>138</v>
      </c>
      <c r="AR2104" s="234" t="s">
        <v>138</v>
      </c>
      <c r="AS2104" s="698" t="s">
        <v>138</v>
      </c>
      <c r="AT2104" s="234" t="s">
        <v>138</v>
      </c>
      <c r="AU2104" s="234" t="s">
        <v>186</v>
      </c>
      <c r="AV2104" s="695" t="s">
        <v>138</v>
      </c>
      <c r="AW2104" s="1957" t="s">
        <v>138</v>
      </c>
      <c r="AX2104" s="695" t="s">
        <v>143</v>
      </c>
      <c r="AY2104" s="61" t="str">
        <f>IFERROR(__xludf.DUMMYFUNCTION("vlookup(BB2104,importrange(""https://docs.google.com/spreadsheets/d/1d2vevQ_7D_v35q4wCQ4RpQ_IPoTwEMB9Yp6ymwlPqew/edit?gid=984458430#gid=984458430"", ""'replication success'!A:K""), 11, FAlSE)"),"#N/A")</f>
        <v>#N/A</v>
      </c>
      <c r="AZ2104" s="61" t="str">
        <f>IFERROR(__xludf.DUMMYFUNCTION("vlookup(BB2104,importrange(""https://docs.google.com/spreadsheets/d/1d2vevQ_7D_v35q4wCQ4RpQ_IPoTwEMB9Yp6ymwlPqew/edit?gid=984458430#gid=984458430"", ""'replication success'!A:M""), 12, FAlSE)"),"#N/A")</f>
        <v>#N/A</v>
      </c>
      <c r="BA2104" s="61" t="str">
        <f>IFERROR(__xludf.DUMMYFUNCTION("vlookup(BB2104,importrange(""https://docs.google.com/spreadsheets/d/1d2vevQ_7D_v35q4wCQ4RpQ_IPoTwEMB9Yp6ymwlPqew/edit?gid=984458430#gid=984458430"", ""'replication success'!A:M""), 13, FAlSE)"),"#N/A")</f>
        <v>#N/A</v>
      </c>
      <c r="BB2104" s="61" t="str">
        <f>IFERROR(__xludf.DUMMYFUNCTION("REGEXREPLACE(G2104, ""_[a-z]{1,2}$"", """")"),"soscisubmission18")</f>
        <v>soscisubmission18</v>
      </c>
      <c r="BC2104" s="228"/>
      <c r="BD2104" s="227" t="s">
        <v>692</v>
      </c>
      <c r="BE2104" s="228"/>
      <c r="BF2104" s="228"/>
      <c r="BG2104" s="228"/>
      <c r="BH2104" s="228"/>
      <c r="BI2104" s="228"/>
      <c r="BJ2104" s="228"/>
      <c r="BK2104" s="228"/>
      <c r="BL2104" s="228"/>
      <c r="BM2104" s="228"/>
      <c r="BN2104" s="228"/>
      <c r="BO2104" s="228"/>
      <c r="BP2104" s="228"/>
      <c r="BQ2104" s="228"/>
      <c r="BR2104" s="228"/>
      <c r="BS2104" s="228"/>
      <c r="BT2104" s="228"/>
      <c r="BU2104" s="228"/>
      <c r="BV2104" s="228"/>
      <c r="BW2104" s="228"/>
      <c r="BX2104" s="228"/>
      <c r="BY2104" s="228"/>
      <c r="BZ2104" s="228"/>
      <c r="CA2104" s="228"/>
      <c r="CB2104" s="228"/>
      <c r="CC2104" s="228"/>
      <c r="CD2104" s="228"/>
      <c r="CE2104" s="228"/>
      <c r="CF2104" s="228"/>
      <c r="CG2104" s="228"/>
      <c r="CH2104" s="228"/>
      <c r="CI2104" s="228"/>
      <c r="CJ2104" s="228"/>
      <c r="CK2104" s="228"/>
      <c r="CL2104" s="228"/>
      <c r="CM2104" s="228"/>
      <c r="CN2104" s="228"/>
      <c r="CO2104" s="228"/>
      <c r="CP2104" s="228"/>
      <c r="CQ2104" s="228"/>
      <c r="CR2104" s="228"/>
      <c r="CS2104" s="228"/>
      <c r="CT2104" s="228"/>
      <c r="CU2104" s="228"/>
      <c r="CV2104" s="228"/>
      <c r="CW2104" s="228"/>
      <c r="CX2104" s="228"/>
      <c r="CY2104" s="228"/>
      <c r="CZ2104" s="228"/>
      <c r="DA2104" s="228"/>
      <c r="DB2104" s="228"/>
      <c r="DC2104" s="228"/>
      <c r="DD2104" s="228"/>
      <c r="DE2104" s="228"/>
      <c r="DF2104" s="228"/>
      <c r="DG2104" s="228"/>
      <c r="DH2104" s="228"/>
      <c r="DI2104" s="228"/>
      <c r="DJ2104" s="228"/>
      <c r="DK2104" s="228"/>
      <c r="DL2104" s="228"/>
    </row>
    <row r="2105">
      <c r="A2105" s="44">
        <v>2105.0</v>
      </c>
      <c r="B2105" s="56" t="s">
        <v>114</v>
      </c>
      <c r="C2105" s="341" t="s">
        <v>115</v>
      </c>
      <c r="D2105" s="341" t="s">
        <v>1441</v>
      </c>
      <c r="E2105" s="342"/>
      <c r="F2105" s="46" t="s">
        <v>12923</v>
      </c>
      <c r="G2105" s="360" t="s">
        <v>12924</v>
      </c>
      <c r="H2105" s="360" t="s">
        <v>12925</v>
      </c>
      <c r="I2105" s="1958">
        <v>44991.734768518516</v>
      </c>
      <c r="J2105" s="344">
        <v>45712.0</v>
      </c>
      <c r="K2105" s="46"/>
      <c r="L2105" s="46"/>
      <c r="M2105" s="360" t="s">
        <v>12926</v>
      </c>
      <c r="N2105" s="360" t="s">
        <v>12710</v>
      </c>
      <c r="O2105" s="357">
        <v>1.0</v>
      </c>
      <c r="P2105" s="360" t="s">
        <v>12711</v>
      </c>
      <c r="Q2105" s="52" t="str">
        <f t="array" ref="Q2105"> if(iserror(MATCH(V2105, 'File Links'!C:C, 0)), "N/A", HYPERLINK(INDEX('File Links'!B:B, MATCH(P2105, 'File Links'!C:C, 0))))</f>
        <v>https://drive.google.com/file/d/1gzyiuMNHruki0iqw9ZPuG1ROg8sPoSnR/view?usp=drivesdk</v>
      </c>
      <c r="R2105" s="360" t="s">
        <v>12927</v>
      </c>
      <c r="S2105" s="360" t="s">
        <v>12713</v>
      </c>
      <c r="T2105" s="46"/>
      <c r="U2105" s="357">
        <v>4.0</v>
      </c>
      <c r="V2105" s="360" t="s">
        <v>12714</v>
      </c>
      <c r="W2105" s="360" t="s">
        <v>10994</v>
      </c>
      <c r="X2105" s="54" t="str">
        <f t="array" ref="X2105"> if(iserror(MATCH(V2105, 'File Links'!C:C, 0)), "N/A", HYPERLINK(INDEX('File Links'!B:B, MATCH(V2105, 'File Links'!C:C, 0))))</f>
        <v>https://drive.google.com/file/d/1FM8L4aEO4RUDs49kJAJIdOCQaOMgYN0P/view?usp=drivesdk</v>
      </c>
      <c r="Y2105" s="46"/>
      <c r="Z2105" s="360" t="s">
        <v>12715</v>
      </c>
      <c r="AA2105" s="360" t="s">
        <v>12716</v>
      </c>
      <c r="AB2105" s="360" t="s">
        <v>12717</v>
      </c>
      <c r="AC2105" s="360" t="s">
        <v>12716</v>
      </c>
      <c r="AD2105" s="360" t="s">
        <v>12928</v>
      </c>
      <c r="AE2105" s="357">
        <v>4.0</v>
      </c>
      <c r="AF2105" s="357">
        <v>80.0</v>
      </c>
      <c r="AG2105" s="46" t="s">
        <v>12929</v>
      </c>
      <c r="AH2105" s="360" t="s">
        <v>134</v>
      </c>
      <c r="AI2105" s="360" t="s">
        <v>850</v>
      </c>
      <c r="AJ2105" s="357">
        <v>1.0E-4</v>
      </c>
      <c r="AK2105" s="360" t="s">
        <v>135</v>
      </c>
      <c r="AL2105" s="360" t="s">
        <v>186</v>
      </c>
      <c r="AM2105" s="360" t="s">
        <v>141</v>
      </c>
      <c r="AN2105" s="46" t="s">
        <v>138</v>
      </c>
      <c r="AO2105" s="357">
        <v>82.0</v>
      </c>
      <c r="AP2105" s="357">
        <v>-0.039</v>
      </c>
      <c r="AQ2105" s="360" t="s">
        <v>173</v>
      </c>
      <c r="AR2105" s="360" t="s">
        <v>1257</v>
      </c>
      <c r="AS2105" s="357">
        <v>0.727</v>
      </c>
      <c r="AT2105" s="360" t="s">
        <v>172</v>
      </c>
      <c r="AU2105" s="360" t="s">
        <v>136</v>
      </c>
      <c r="AV2105" s="360" t="s">
        <v>141</v>
      </c>
      <c r="AW2105" s="360" t="s">
        <v>138</v>
      </c>
      <c r="AX2105" s="360" t="s">
        <v>143</v>
      </c>
      <c r="AY2105" s="61" t="str">
        <f>IFERROR(__xludf.DUMMYFUNCTION("vlookup(BB2105,importrange(""https://docs.google.com/spreadsheets/d/1d2vevQ_7D_v35q4wCQ4RpQ_IPoTwEMB9Yp6ymwlPqew/edit?gid=984458430#gid=984458430"", ""'replication success'!A:K""), 11, FAlSE)"),"#N/A")</f>
        <v>#N/A</v>
      </c>
      <c r="AZ2105" s="61" t="str">
        <f>IFERROR(__xludf.DUMMYFUNCTION("vlookup(BB2105,importrange(""https://docs.google.com/spreadsheets/d/1d2vevQ_7D_v35q4wCQ4RpQ_IPoTwEMB9Yp6ymwlPqew/edit?gid=984458430#gid=984458430"", ""'replication success'!A:M""), 12, FAlSE)"),"#N/A")</f>
        <v>#N/A</v>
      </c>
      <c r="BA2105" s="61" t="str">
        <f>IFERROR(__xludf.DUMMYFUNCTION("vlookup(BB2105,importrange(""https://docs.google.com/spreadsheets/d/1d2vevQ_7D_v35q4wCQ4RpQ_IPoTwEMB9Yp6ymwlPqew/edit?gid=984458430#gid=984458430"", ""'replication success'!A:M""), 13, FAlSE)"),"#N/A")</f>
        <v>#N/A</v>
      </c>
      <c r="BB2105" s="61" t="str">
        <f>IFERROR(__xludf.DUMMYFUNCTION("REGEXREPLACE(G2105, ""_[a-z]{1,2}$"", """")"),"soscisubmission")</f>
        <v>soscisubmission</v>
      </c>
      <c r="BC2105" s="46"/>
      <c r="BD2105" s="341" t="s">
        <v>8426</v>
      </c>
      <c r="BE2105" s="342"/>
      <c r="BF2105" s="342"/>
      <c r="BG2105" s="342"/>
      <c r="BH2105" s="342"/>
      <c r="BI2105" s="342"/>
      <c r="BJ2105" s="342"/>
      <c r="BK2105" s="342"/>
      <c r="BL2105" s="342"/>
      <c r="BM2105" s="342"/>
      <c r="BN2105" s="342"/>
      <c r="BO2105" s="342"/>
      <c r="BP2105" s="342"/>
      <c r="BQ2105" s="342"/>
      <c r="BR2105" s="342"/>
      <c r="BS2105" s="342"/>
      <c r="BT2105" s="342"/>
      <c r="BU2105" s="342"/>
      <c r="BV2105" s="342"/>
      <c r="BW2105" s="342"/>
      <c r="BX2105" s="342"/>
      <c r="BY2105" s="342"/>
      <c r="BZ2105" s="342"/>
      <c r="CA2105" s="342"/>
      <c r="CB2105" s="342"/>
      <c r="CC2105" s="342"/>
      <c r="CD2105" s="342"/>
      <c r="CE2105" s="342"/>
      <c r="CF2105" s="342"/>
      <c r="CG2105" s="342"/>
      <c r="CH2105" s="342"/>
      <c r="CI2105" s="342"/>
      <c r="CJ2105" s="342"/>
      <c r="CK2105" s="342"/>
      <c r="CL2105" s="342"/>
      <c r="CM2105" s="342"/>
      <c r="CN2105" s="342"/>
      <c r="CO2105" s="342"/>
      <c r="CP2105" s="342"/>
      <c r="CQ2105" s="342"/>
      <c r="CR2105" s="342"/>
      <c r="CS2105" s="342"/>
      <c r="CT2105" s="342"/>
      <c r="CU2105" s="342"/>
      <c r="CV2105" s="342"/>
      <c r="CW2105" s="342"/>
      <c r="CX2105" s="342"/>
      <c r="CY2105" s="342"/>
      <c r="CZ2105" s="342"/>
      <c r="DA2105" s="342"/>
      <c r="DB2105" s="342"/>
      <c r="DC2105" s="342"/>
      <c r="DD2105" s="342"/>
      <c r="DE2105" s="342"/>
      <c r="DF2105" s="342"/>
      <c r="DG2105" s="342"/>
      <c r="DH2105" s="342"/>
      <c r="DI2105" s="342"/>
      <c r="DJ2105" s="342"/>
      <c r="DK2105" s="342"/>
      <c r="DL2105" s="342"/>
    </row>
    <row r="2106">
      <c r="A2106" s="44">
        <v>2106.0</v>
      </c>
      <c r="B2106" s="56" t="s">
        <v>152</v>
      </c>
      <c r="C2106" s="341" t="s">
        <v>115</v>
      </c>
      <c r="D2106" s="341" t="s">
        <v>153</v>
      </c>
      <c r="E2106" s="342"/>
      <c r="F2106" s="56" t="s">
        <v>12923</v>
      </c>
      <c r="G2106" s="56" t="s">
        <v>12930</v>
      </c>
      <c r="H2106" s="343" t="s">
        <v>8556</v>
      </c>
      <c r="I2106" s="347" t="s">
        <v>8557</v>
      </c>
      <c r="J2106" s="46"/>
      <c r="K2106" s="343" t="s">
        <v>12931</v>
      </c>
      <c r="L2106" s="56" t="s">
        <v>12932</v>
      </c>
      <c r="M2106" s="56" t="s">
        <v>12926</v>
      </c>
      <c r="N2106" s="56" t="s">
        <v>12710</v>
      </c>
      <c r="O2106" s="55">
        <v>1.0</v>
      </c>
      <c r="P2106" s="343" t="s">
        <v>12711</v>
      </c>
      <c r="Q2106" s="52" t="str">
        <f t="array" ref="Q2106"> if(iserror(MATCH(V2106, 'File Links'!C:C, 0)), "N/A", HYPERLINK(INDEX('File Links'!B:B, MATCH(P2106, 'File Links'!C:C, 0))))</f>
        <v>https://drive.google.com/file/d/1gzyiuMNHruki0iqw9ZPuG1ROg8sPoSnR/view?usp=drivesdk</v>
      </c>
      <c r="R2106" s="1697" t="s">
        <v>12927</v>
      </c>
      <c r="S2106" s="56" t="s">
        <v>12713</v>
      </c>
      <c r="T2106" s="1798"/>
      <c r="U2106" s="55">
        <v>4.0</v>
      </c>
      <c r="V2106" s="343" t="s">
        <v>12714</v>
      </c>
      <c r="W2106" s="1710" t="s">
        <v>12933</v>
      </c>
      <c r="X2106" s="54" t="str">
        <f t="array" ref="X2106"> if(iserror(MATCH(V2106, 'File Links'!C:C, 0)), "N/A", HYPERLINK(INDEX('File Links'!B:B, MATCH(V2106, 'File Links'!C:C, 0))))</f>
        <v>https://drive.google.com/file/d/1FM8L4aEO4RUDs49kJAJIdOCQaOMgYN0P/view?usp=drivesdk</v>
      </c>
      <c r="Y2106" s="46"/>
      <c r="Z2106" s="343" t="s">
        <v>226</v>
      </c>
      <c r="AA2106" s="56" t="s">
        <v>12722</v>
      </c>
      <c r="AB2106" s="343" t="s">
        <v>12934</v>
      </c>
      <c r="AC2106" s="343" t="s">
        <v>12935</v>
      </c>
      <c r="AD2106" s="343" t="s">
        <v>12936</v>
      </c>
      <c r="AE2106" s="343">
        <v>4.0</v>
      </c>
      <c r="AF2106" s="347">
        <v>80.0</v>
      </c>
      <c r="AG2106" s="347" t="s">
        <v>12937</v>
      </c>
      <c r="AH2106" s="343" t="s">
        <v>134</v>
      </c>
      <c r="AI2106" s="343" t="s">
        <v>850</v>
      </c>
      <c r="AJ2106" s="347">
        <v>1.0E-4</v>
      </c>
      <c r="AK2106" s="343" t="s">
        <v>135</v>
      </c>
      <c r="AL2106" s="343" t="s">
        <v>218</v>
      </c>
      <c r="AM2106" s="56" t="s">
        <v>137</v>
      </c>
      <c r="AN2106" s="500" t="s">
        <v>138</v>
      </c>
      <c r="AO2106" s="347">
        <v>82.0</v>
      </c>
      <c r="AP2106" s="347">
        <v>-0.039</v>
      </c>
      <c r="AQ2106" s="343" t="s">
        <v>173</v>
      </c>
      <c r="AR2106" s="343" t="s">
        <v>1257</v>
      </c>
      <c r="AS2106" s="347">
        <v>0.727</v>
      </c>
      <c r="AT2106" s="343" t="s">
        <v>172</v>
      </c>
      <c r="AU2106" s="343" t="s">
        <v>136</v>
      </c>
      <c r="AV2106" s="56" t="s">
        <v>137</v>
      </c>
      <c r="AW2106" s="1959" t="s">
        <v>138</v>
      </c>
      <c r="AX2106" s="56" t="s">
        <v>151</v>
      </c>
      <c r="AY2106" s="61" t="str">
        <f>IFERROR(__xludf.DUMMYFUNCTION("vlookup(BB2106,importrange(""https://docs.google.com/spreadsheets/d/1d2vevQ_7D_v35q4wCQ4RpQ_IPoTwEMB9Yp6ymwlPqew/edit?gid=984458430#gid=984458430"", ""'replication success'!A:K""), 11, FAlSE)"),"failed")</f>
        <v>failed</v>
      </c>
      <c r="AZ2106" s="61" t="str">
        <f>IFERROR(__xludf.DUMMYFUNCTION("vlookup(BB2106,importrange(""https://docs.google.com/spreadsheets/d/1d2vevQ_7D_v35q4wCQ4RpQ_IPoTwEMB9Yp6ymwlPqew/edit?gid=984458430#gid=984458430"", ""'replication success'!A:M""), 12, FAlSE)"),"We conducted six studies with methods that
were similar to those used by Redden and Hoch and did not find this effect in any of them. A meta-analysis of the four original studies and 6 replication studies (N = 1,383) revealed no
evidence for the phenome"&amp;"non that variety reduces perceived quantity.")</f>
        <v>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v>
      </c>
      <c r="BA2106" s="61" t="str">
        <f>IFERROR(__xludf.DUMMYFUNCTION("vlookup(BB2106,importrange(""https://docs.google.com/spreadsheets/d/1d2vevQ_7D_v35q4wCQ4RpQ_IPoTwEMB9Yp6ymwlPqew/edit?gid=984458430#gid=984458430"", ""'replication success'!A:M""), 13, FAlSE)"),"abstract")</f>
        <v>abstract</v>
      </c>
      <c r="BB2106" s="61" t="str">
        <f>IFERROR(__xludf.DUMMYFUNCTION("REGEXREPLACE(G2106, ""_[a-z]{1,2}$"", """")"),"soscisubmission2_2")</f>
        <v>soscisubmission2_2</v>
      </c>
      <c r="BC2106" s="342"/>
      <c r="BD2106" s="341" t="s">
        <v>8426</v>
      </c>
      <c r="BE2106" s="342"/>
      <c r="BF2106" s="342"/>
      <c r="BG2106" s="342"/>
      <c r="BH2106" s="342"/>
      <c r="BI2106" s="342"/>
      <c r="BJ2106" s="342"/>
      <c r="BK2106" s="342"/>
      <c r="BL2106" s="342"/>
      <c r="BM2106" s="342"/>
      <c r="BN2106" s="342"/>
      <c r="BO2106" s="342"/>
      <c r="BP2106" s="342"/>
      <c r="BQ2106" s="342"/>
      <c r="BR2106" s="342"/>
      <c r="BS2106" s="342"/>
      <c r="BT2106" s="342"/>
      <c r="BU2106" s="342"/>
      <c r="BV2106" s="342"/>
      <c r="BW2106" s="342"/>
      <c r="BX2106" s="342"/>
      <c r="BY2106" s="342"/>
      <c r="BZ2106" s="342"/>
      <c r="CA2106" s="342"/>
      <c r="CB2106" s="342"/>
      <c r="CC2106" s="342"/>
      <c r="CD2106" s="342"/>
      <c r="CE2106" s="342"/>
      <c r="CF2106" s="342"/>
      <c r="CG2106" s="342"/>
      <c r="CH2106" s="342"/>
      <c r="CI2106" s="342"/>
      <c r="CJ2106" s="342"/>
      <c r="CK2106" s="342"/>
      <c r="CL2106" s="342"/>
      <c r="CM2106" s="342"/>
      <c r="CN2106" s="342"/>
      <c r="CO2106" s="342"/>
      <c r="CP2106" s="342"/>
      <c r="CQ2106" s="342"/>
      <c r="CR2106" s="342"/>
      <c r="CS2106" s="342"/>
      <c r="CT2106" s="342"/>
      <c r="CU2106" s="342"/>
      <c r="CV2106" s="342"/>
      <c r="CW2106" s="342"/>
      <c r="CX2106" s="342"/>
      <c r="CY2106" s="342"/>
      <c r="CZ2106" s="342"/>
      <c r="DA2106" s="342"/>
      <c r="DB2106" s="342"/>
      <c r="DC2106" s="342"/>
      <c r="DD2106" s="342"/>
      <c r="DE2106" s="342"/>
      <c r="DF2106" s="342"/>
      <c r="DG2106" s="342"/>
      <c r="DH2106" s="342"/>
      <c r="DI2106" s="342"/>
      <c r="DJ2106" s="342"/>
      <c r="DK2106" s="342"/>
      <c r="DL2106" s="342"/>
    </row>
    <row r="2107">
      <c r="A2107" s="44">
        <v>2107.0</v>
      </c>
      <c r="B2107" s="56" t="s">
        <v>114</v>
      </c>
      <c r="C2107" s="341" t="s">
        <v>115</v>
      </c>
      <c r="D2107" s="341" t="s">
        <v>1441</v>
      </c>
      <c r="E2107" s="342"/>
      <c r="F2107" s="46" t="s">
        <v>12938</v>
      </c>
      <c r="G2107" s="360" t="s">
        <v>12939</v>
      </c>
      <c r="H2107" s="360" t="s">
        <v>12925</v>
      </c>
      <c r="I2107" s="1958">
        <v>44991.73814814815</v>
      </c>
      <c r="J2107" s="344">
        <v>45712.0</v>
      </c>
      <c r="K2107" s="46"/>
      <c r="L2107" s="46"/>
      <c r="M2107" s="360" t="s">
        <v>12926</v>
      </c>
      <c r="N2107" s="360" t="s">
        <v>12710</v>
      </c>
      <c r="O2107" s="357">
        <v>1.0</v>
      </c>
      <c r="P2107" s="360" t="s">
        <v>12711</v>
      </c>
      <c r="Q2107" s="52" t="str">
        <f t="array" ref="Q2107"> if(iserror(MATCH(V2107, 'File Links'!C:C, 0)), "N/A", HYPERLINK(INDEX('File Links'!B:B, MATCH(P2107, 'File Links'!C:C, 0))))</f>
        <v>https://drive.google.com/file/d/1gzyiuMNHruki0iqw9ZPuG1ROg8sPoSnR/view?usp=drivesdk</v>
      </c>
      <c r="R2107" s="360" t="s">
        <v>12940</v>
      </c>
      <c r="S2107" s="360" t="s">
        <v>12713</v>
      </c>
      <c r="T2107" s="46"/>
      <c r="U2107" s="357">
        <v>5.0</v>
      </c>
      <c r="V2107" s="360" t="s">
        <v>12714</v>
      </c>
      <c r="W2107" s="360" t="s">
        <v>10994</v>
      </c>
      <c r="X2107" s="54" t="str">
        <f t="array" ref="X2107"> if(iserror(MATCH(V2107, 'File Links'!C:C, 0)), "N/A", HYPERLINK(INDEX('File Links'!B:B, MATCH(V2107, 'File Links'!C:C, 0))))</f>
        <v>https://drive.google.com/file/d/1FM8L4aEO4RUDs49kJAJIdOCQaOMgYN0P/view?usp=drivesdk</v>
      </c>
      <c r="Y2107" s="46"/>
      <c r="Z2107" s="360" t="s">
        <v>12715</v>
      </c>
      <c r="AA2107" s="360" t="s">
        <v>12716</v>
      </c>
      <c r="AB2107" s="360" t="s">
        <v>12717</v>
      </c>
      <c r="AC2107" s="360" t="s">
        <v>12716</v>
      </c>
      <c r="AD2107" s="360" t="s">
        <v>12928</v>
      </c>
      <c r="AE2107" s="357">
        <v>4.0</v>
      </c>
      <c r="AF2107" s="357">
        <v>80.0</v>
      </c>
      <c r="AG2107" s="46" t="s">
        <v>12929</v>
      </c>
      <c r="AH2107" s="360" t="s">
        <v>134</v>
      </c>
      <c r="AI2107" s="360" t="s">
        <v>850</v>
      </c>
      <c r="AJ2107" s="357">
        <v>1.0E-4</v>
      </c>
      <c r="AK2107" s="360" t="s">
        <v>135</v>
      </c>
      <c r="AL2107" s="360" t="s">
        <v>186</v>
      </c>
      <c r="AM2107" s="360" t="s">
        <v>141</v>
      </c>
      <c r="AN2107" s="46" t="s">
        <v>138</v>
      </c>
      <c r="AO2107" s="357">
        <v>45.0</v>
      </c>
      <c r="AP2107" s="357">
        <v>0.3</v>
      </c>
      <c r="AQ2107" s="360" t="s">
        <v>139</v>
      </c>
      <c r="AR2107" s="360" t="s">
        <v>9321</v>
      </c>
      <c r="AS2107" s="357">
        <v>0.419</v>
      </c>
      <c r="AT2107" s="360" t="s">
        <v>172</v>
      </c>
      <c r="AU2107" s="360" t="s">
        <v>186</v>
      </c>
      <c r="AV2107" s="360" t="s">
        <v>141</v>
      </c>
      <c r="AW2107" s="360" t="s">
        <v>138</v>
      </c>
      <c r="AX2107" s="360" t="s">
        <v>143</v>
      </c>
      <c r="AY2107" s="61" t="str">
        <f>IFERROR(__xludf.DUMMYFUNCTION("vlookup(BB2107,importrange(""https://docs.google.com/spreadsheets/d/1d2vevQ_7D_v35q4wCQ4RpQ_IPoTwEMB9Yp6ymwlPqew/edit?gid=984458430#gid=984458430"", ""'replication success'!A:K""), 11, FAlSE)"),"#N/A")</f>
        <v>#N/A</v>
      </c>
      <c r="AZ2107" s="61" t="str">
        <f>IFERROR(__xludf.DUMMYFUNCTION("vlookup(BB2107,importrange(""https://docs.google.com/spreadsheets/d/1d2vevQ_7D_v35q4wCQ4RpQ_IPoTwEMB9Yp6ymwlPqew/edit?gid=984458430#gid=984458430"", ""'replication success'!A:M""), 12, FAlSE)"),"#N/A")</f>
        <v>#N/A</v>
      </c>
      <c r="BA2107" s="61" t="str">
        <f>IFERROR(__xludf.DUMMYFUNCTION("vlookup(BB2107,importrange(""https://docs.google.com/spreadsheets/d/1d2vevQ_7D_v35q4wCQ4RpQ_IPoTwEMB9Yp6ymwlPqew/edit?gid=984458430#gid=984458430"", ""'replication success'!A:M""), 13, FAlSE)"),"#N/A")</f>
        <v>#N/A</v>
      </c>
      <c r="BB2107" s="61" t="str">
        <f>IFERROR(__xludf.DUMMYFUNCTION("REGEXREPLACE(G2107, ""_[a-z]{1,2}$"", """")"),"soscisubmission")</f>
        <v>soscisubmission</v>
      </c>
      <c r="BC2107" s="46"/>
      <c r="BD2107" s="341" t="s">
        <v>8426</v>
      </c>
      <c r="BE2107" s="342"/>
      <c r="BF2107" s="342"/>
      <c r="BG2107" s="342"/>
      <c r="BH2107" s="342"/>
      <c r="BI2107" s="342"/>
      <c r="BJ2107" s="342"/>
      <c r="BK2107" s="342"/>
      <c r="BL2107" s="342"/>
      <c r="BM2107" s="342"/>
      <c r="BN2107" s="342"/>
      <c r="BO2107" s="342"/>
      <c r="BP2107" s="342"/>
      <c r="BQ2107" s="342"/>
      <c r="BR2107" s="342"/>
      <c r="BS2107" s="342"/>
      <c r="BT2107" s="342"/>
      <c r="BU2107" s="342"/>
      <c r="BV2107" s="342"/>
      <c r="BW2107" s="342"/>
      <c r="BX2107" s="342"/>
      <c r="BY2107" s="342"/>
      <c r="BZ2107" s="342"/>
      <c r="CA2107" s="342"/>
      <c r="CB2107" s="342"/>
      <c r="CC2107" s="342"/>
      <c r="CD2107" s="342"/>
      <c r="CE2107" s="342"/>
      <c r="CF2107" s="342"/>
      <c r="CG2107" s="342"/>
      <c r="CH2107" s="342"/>
      <c r="CI2107" s="342"/>
      <c r="CJ2107" s="342"/>
      <c r="CK2107" s="342"/>
      <c r="CL2107" s="342"/>
      <c r="CM2107" s="342"/>
      <c r="CN2107" s="342"/>
      <c r="CO2107" s="342"/>
      <c r="CP2107" s="342"/>
      <c r="CQ2107" s="342"/>
      <c r="CR2107" s="342"/>
      <c r="CS2107" s="342"/>
      <c r="CT2107" s="342"/>
      <c r="CU2107" s="342"/>
      <c r="CV2107" s="342"/>
      <c r="CW2107" s="342"/>
      <c r="CX2107" s="342"/>
      <c r="CY2107" s="342"/>
      <c r="CZ2107" s="342"/>
      <c r="DA2107" s="342"/>
      <c r="DB2107" s="342"/>
      <c r="DC2107" s="342"/>
      <c r="DD2107" s="342"/>
      <c r="DE2107" s="342"/>
      <c r="DF2107" s="342"/>
      <c r="DG2107" s="342"/>
      <c r="DH2107" s="342"/>
      <c r="DI2107" s="342"/>
      <c r="DJ2107" s="342"/>
      <c r="DK2107" s="342"/>
      <c r="DL2107" s="342"/>
    </row>
    <row r="2108">
      <c r="A2108" s="44">
        <v>2108.0</v>
      </c>
      <c r="B2108" s="56" t="s">
        <v>152</v>
      </c>
      <c r="C2108" s="341" t="s">
        <v>115</v>
      </c>
      <c r="D2108" s="341" t="s">
        <v>153</v>
      </c>
      <c r="E2108" s="342"/>
      <c r="F2108" s="56" t="s">
        <v>12938</v>
      </c>
      <c r="G2108" s="56" t="s">
        <v>12938</v>
      </c>
      <c r="H2108" s="343" t="s">
        <v>8556</v>
      </c>
      <c r="I2108" s="347" t="s">
        <v>8557</v>
      </c>
      <c r="J2108" s="46"/>
      <c r="K2108" s="343" t="s">
        <v>12941</v>
      </c>
      <c r="L2108" s="56" t="s">
        <v>12942</v>
      </c>
      <c r="M2108" s="56" t="s">
        <v>12926</v>
      </c>
      <c r="N2108" s="56" t="s">
        <v>12710</v>
      </c>
      <c r="O2108" s="55">
        <v>1.0</v>
      </c>
      <c r="P2108" s="343" t="s">
        <v>12711</v>
      </c>
      <c r="Q2108" s="52" t="str">
        <f t="array" ref="Q2108"> if(iserror(MATCH(V2108, 'File Links'!C:C, 0)), "N/A", HYPERLINK(INDEX('File Links'!B:B, MATCH(P2108, 'File Links'!C:C, 0))))</f>
        <v>https://drive.google.com/file/d/1gzyiuMNHruki0iqw9ZPuG1ROg8sPoSnR/view?usp=drivesdk</v>
      </c>
      <c r="R2108" s="1697" t="s">
        <v>12940</v>
      </c>
      <c r="S2108" s="56" t="s">
        <v>12713</v>
      </c>
      <c r="T2108" s="1798"/>
      <c r="U2108" s="55">
        <v>5.0</v>
      </c>
      <c r="V2108" s="343" t="s">
        <v>12714</v>
      </c>
      <c r="W2108" s="343" t="s">
        <v>3726</v>
      </c>
      <c r="X2108" s="54" t="str">
        <f t="array" ref="X2108"> if(iserror(MATCH(V2108, 'File Links'!C:C, 0)), "N/A", HYPERLINK(INDEX('File Links'!B:B, MATCH(V2108, 'File Links'!C:C, 0))))</f>
        <v>https://drive.google.com/file/d/1FM8L4aEO4RUDs49kJAJIdOCQaOMgYN0P/view?usp=drivesdk</v>
      </c>
      <c r="Y2108" s="46"/>
      <c r="Z2108" s="343" t="s">
        <v>226</v>
      </c>
      <c r="AA2108" s="56" t="s">
        <v>12722</v>
      </c>
      <c r="AB2108" s="343" t="s">
        <v>12934</v>
      </c>
      <c r="AC2108" s="343" t="s">
        <v>12935</v>
      </c>
      <c r="AD2108" s="343" t="s">
        <v>12936</v>
      </c>
      <c r="AE2108" s="343">
        <v>4.0</v>
      </c>
      <c r="AF2108" s="347">
        <v>80.0</v>
      </c>
      <c r="AG2108" s="347" t="s">
        <v>12937</v>
      </c>
      <c r="AH2108" s="343" t="s">
        <v>134</v>
      </c>
      <c r="AI2108" s="343" t="s">
        <v>850</v>
      </c>
      <c r="AJ2108" s="347">
        <v>1.0E-4</v>
      </c>
      <c r="AK2108" s="343" t="s">
        <v>135</v>
      </c>
      <c r="AL2108" s="343" t="s">
        <v>218</v>
      </c>
      <c r="AM2108" s="56" t="s">
        <v>137</v>
      </c>
      <c r="AN2108" s="500" t="s">
        <v>138</v>
      </c>
      <c r="AO2108" s="347">
        <v>45.0</v>
      </c>
      <c r="AP2108" s="347">
        <v>0.084</v>
      </c>
      <c r="AQ2108" s="343" t="s">
        <v>173</v>
      </c>
      <c r="AR2108" s="343" t="s">
        <v>2413</v>
      </c>
      <c r="AS2108" s="347">
        <v>0.574</v>
      </c>
      <c r="AT2108" s="343" t="s">
        <v>172</v>
      </c>
      <c r="AU2108" s="343" t="s">
        <v>136</v>
      </c>
      <c r="AV2108" s="56" t="s">
        <v>137</v>
      </c>
      <c r="AW2108" s="1959" t="s">
        <v>138</v>
      </c>
      <c r="AX2108" s="56" t="s">
        <v>151</v>
      </c>
      <c r="AY2108" s="61" t="str">
        <f>IFERROR(__xludf.DUMMYFUNCTION("vlookup(BB2108,importrange(""https://docs.google.com/spreadsheets/d/1d2vevQ_7D_v35q4wCQ4RpQ_IPoTwEMB9Yp6ymwlPqew/edit?gid=984458430#gid=984458430"", ""'replication success'!A:K""), 11, FAlSE)"),"failed")</f>
        <v>failed</v>
      </c>
      <c r="AZ2108" s="61" t="str">
        <f>IFERROR(__xludf.DUMMYFUNCTION("vlookup(BB2108,importrange(""https://docs.google.com/spreadsheets/d/1d2vevQ_7D_v35q4wCQ4RpQ_IPoTwEMB9Yp6ymwlPqew/edit?gid=984458430#gid=984458430"", ""'replication success'!A:M""), 12, FAlSE)"),"We conducted six studies with methods that
were similar to those used by Redden and Hoch and did not find this effect in any of them. A meta-analysis of the four original studies and 6 replication studies (N = 1,383) revealed no
evidence for the phenome"&amp;"non that variety reduces perceived quantity.")</f>
        <v>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v>
      </c>
      <c r="BA2108" s="61" t="str">
        <f>IFERROR(__xludf.DUMMYFUNCTION("vlookup(BB2108,importrange(""https://docs.google.com/spreadsheets/d/1d2vevQ_7D_v35q4wCQ4RpQ_IPoTwEMB9Yp6ymwlPqew/edit?gid=984458430#gid=984458430"", ""'replication success'!A:M""), 13, FAlSE)"),"abstract")</f>
        <v>abstract</v>
      </c>
      <c r="BB2108" s="61" t="str">
        <f>IFERROR(__xludf.DUMMYFUNCTION("REGEXREPLACE(G2108, ""_[a-z]{1,2}$"", """")"),"soscisubmission3_1")</f>
        <v>soscisubmission3_1</v>
      </c>
      <c r="BC2108" s="342"/>
      <c r="BD2108" s="341" t="s">
        <v>8426</v>
      </c>
      <c r="BE2108" s="342"/>
      <c r="BF2108" s="342"/>
      <c r="BG2108" s="342"/>
      <c r="BH2108" s="342"/>
      <c r="BI2108" s="342"/>
      <c r="BJ2108" s="342"/>
      <c r="BK2108" s="342"/>
      <c r="BL2108" s="342"/>
      <c r="BM2108" s="342"/>
      <c r="BN2108" s="342"/>
      <c r="BO2108" s="342"/>
      <c r="BP2108" s="342"/>
      <c r="BQ2108" s="342"/>
      <c r="BR2108" s="342"/>
      <c r="BS2108" s="342"/>
      <c r="BT2108" s="342"/>
      <c r="BU2108" s="342"/>
      <c r="BV2108" s="342"/>
      <c r="BW2108" s="342"/>
      <c r="BX2108" s="342"/>
      <c r="BY2108" s="342"/>
      <c r="BZ2108" s="342"/>
      <c r="CA2108" s="342"/>
      <c r="CB2108" s="342"/>
      <c r="CC2108" s="342"/>
      <c r="CD2108" s="342"/>
      <c r="CE2108" s="342"/>
      <c r="CF2108" s="342"/>
      <c r="CG2108" s="342"/>
      <c r="CH2108" s="342"/>
      <c r="CI2108" s="342"/>
      <c r="CJ2108" s="342"/>
      <c r="CK2108" s="342"/>
      <c r="CL2108" s="342"/>
      <c r="CM2108" s="342"/>
      <c r="CN2108" s="342"/>
      <c r="CO2108" s="342"/>
      <c r="CP2108" s="342"/>
      <c r="CQ2108" s="342"/>
      <c r="CR2108" s="342"/>
      <c r="CS2108" s="342"/>
      <c r="CT2108" s="342"/>
      <c r="CU2108" s="342"/>
      <c r="CV2108" s="342"/>
      <c r="CW2108" s="342"/>
      <c r="CX2108" s="342"/>
      <c r="CY2108" s="342"/>
      <c r="CZ2108" s="342"/>
      <c r="DA2108" s="342"/>
      <c r="DB2108" s="342"/>
      <c r="DC2108" s="342"/>
      <c r="DD2108" s="342"/>
      <c r="DE2108" s="342"/>
      <c r="DF2108" s="342"/>
      <c r="DG2108" s="342"/>
      <c r="DH2108" s="342"/>
      <c r="DI2108" s="342"/>
      <c r="DJ2108" s="342"/>
      <c r="DK2108" s="342"/>
      <c r="DL2108" s="342"/>
    </row>
    <row r="2109">
      <c r="A2109" s="44">
        <v>2109.0</v>
      </c>
      <c r="B2109" s="56" t="s">
        <v>152</v>
      </c>
      <c r="C2109" s="341" t="s">
        <v>115</v>
      </c>
      <c r="D2109" s="341" t="s">
        <v>153</v>
      </c>
      <c r="E2109" s="342"/>
      <c r="F2109" s="56" t="s">
        <v>12938</v>
      </c>
      <c r="G2109" s="56" t="s">
        <v>12943</v>
      </c>
      <c r="H2109" s="343" t="s">
        <v>8556</v>
      </c>
      <c r="I2109" s="347" t="s">
        <v>8557</v>
      </c>
      <c r="J2109" s="46"/>
      <c r="K2109" s="343" t="s">
        <v>12941</v>
      </c>
      <c r="L2109" s="56" t="s">
        <v>12942</v>
      </c>
      <c r="M2109" s="56" t="s">
        <v>12926</v>
      </c>
      <c r="N2109" s="56" t="s">
        <v>12710</v>
      </c>
      <c r="O2109" s="55">
        <v>1.0</v>
      </c>
      <c r="P2109" s="343" t="s">
        <v>12711</v>
      </c>
      <c r="Q2109" s="52" t="str">
        <f t="array" ref="Q2109"> if(iserror(MATCH(V2109, 'File Links'!C:C, 0)), "N/A", HYPERLINK(INDEX('File Links'!B:B, MATCH(P2109, 'File Links'!C:C, 0))))</f>
        <v>https://drive.google.com/file/d/1gzyiuMNHruki0iqw9ZPuG1ROg8sPoSnR/view?usp=drivesdk</v>
      </c>
      <c r="R2109" s="1697" t="s">
        <v>12940</v>
      </c>
      <c r="S2109" s="56" t="s">
        <v>12713</v>
      </c>
      <c r="T2109" s="1798"/>
      <c r="U2109" s="55">
        <v>5.0</v>
      </c>
      <c r="V2109" s="343" t="s">
        <v>12714</v>
      </c>
      <c r="W2109" s="343" t="s">
        <v>3726</v>
      </c>
      <c r="X2109" s="54" t="str">
        <f t="array" ref="X2109"> if(iserror(MATCH(V2109, 'File Links'!C:C, 0)), "N/A", HYPERLINK(INDEX('File Links'!B:B, MATCH(V2109, 'File Links'!C:C, 0))))</f>
        <v>https://drive.google.com/file/d/1FM8L4aEO4RUDs49kJAJIdOCQaOMgYN0P/view?usp=drivesdk</v>
      </c>
      <c r="Y2109" s="46"/>
      <c r="Z2109" s="343" t="s">
        <v>226</v>
      </c>
      <c r="AA2109" s="56" t="s">
        <v>12722</v>
      </c>
      <c r="AB2109" s="343" t="s">
        <v>12934</v>
      </c>
      <c r="AC2109" s="343" t="s">
        <v>12944</v>
      </c>
      <c r="AD2109" s="343" t="s">
        <v>12945</v>
      </c>
      <c r="AE2109" s="343">
        <v>4.0</v>
      </c>
      <c r="AF2109" s="347">
        <v>80.0</v>
      </c>
      <c r="AG2109" s="347" t="s">
        <v>12946</v>
      </c>
      <c r="AH2109" s="343" t="s">
        <v>134</v>
      </c>
      <c r="AI2109" s="343" t="s">
        <v>850</v>
      </c>
      <c r="AJ2109" s="347">
        <v>1.0E-4</v>
      </c>
      <c r="AK2109" s="343" t="s">
        <v>135</v>
      </c>
      <c r="AL2109" s="343" t="s">
        <v>218</v>
      </c>
      <c r="AM2109" s="56" t="s">
        <v>137</v>
      </c>
      <c r="AN2109" s="500" t="s">
        <v>138</v>
      </c>
      <c r="AO2109" s="347">
        <v>45.0</v>
      </c>
      <c r="AP2109" s="347">
        <v>0.777</v>
      </c>
      <c r="AQ2109" s="343" t="s">
        <v>139</v>
      </c>
      <c r="AR2109" s="343" t="s">
        <v>9321</v>
      </c>
      <c r="AS2109" s="347">
        <v>0.001</v>
      </c>
      <c r="AT2109" s="343" t="s">
        <v>135</v>
      </c>
      <c r="AU2109" s="343" t="s">
        <v>218</v>
      </c>
      <c r="AV2109" s="56" t="s">
        <v>137</v>
      </c>
      <c r="AW2109" s="1959" t="s">
        <v>138</v>
      </c>
      <c r="AX2109" s="56" t="s">
        <v>151</v>
      </c>
      <c r="AY2109" s="61" t="str">
        <f>IFERROR(__xludf.DUMMYFUNCTION("vlookup(BB2109,importrange(""https://docs.google.com/spreadsheets/d/1d2vevQ_7D_v35q4wCQ4RpQ_IPoTwEMB9Yp6ymwlPqew/edit?gid=984458430#gid=984458430"", ""'replication success'!A:K""), 11, FAlSE)"),"#N/A")</f>
        <v>#N/A</v>
      </c>
      <c r="AZ2109" s="61" t="str">
        <f>IFERROR(__xludf.DUMMYFUNCTION("vlookup(BB2109,importrange(""https://docs.google.com/spreadsheets/d/1d2vevQ_7D_v35q4wCQ4RpQ_IPoTwEMB9Yp6ymwlPqew/edit?gid=984458430#gid=984458430"", ""'replication success'!A:M""), 12, FAlSE)"),"#N/A")</f>
        <v>#N/A</v>
      </c>
      <c r="BA2109" s="61" t="str">
        <f>IFERROR(__xludf.DUMMYFUNCTION("vlookup(BB2109,importrange(""https://docs.google.com/spreadsheets/d/1d2vevQ_7D_v35q4wCQ4RpQ_IPoTwEMB9Yp6ymwlPqew/edit?gid=984458430#gid=984458430"", ""'replication success'!A:M""), 13, FAlSE)"),"#N/A")</f>
        <v>#N/A</v>
      </c>
      <c r="BB2109" s="61" t="str">
        <f>IFERROR(__xludf.DUMMYFUNCTION("REGEXREPLACE(G2109, ""_[a-z]{1,2}$"", """")"),"soscisubmission3_2")</f>
        <v>soscisubmission3_2</v>
      </c>
      <c r="BC2109" s="342"/>
      <c r="BD2109" s="341" t="s">
        <v>8426</v>
      </c>
      <c r="BE2109" s="342"/>
      <c r="BF2109" s="342"/>
      <c r="BG2109" s="342"/>
      <c r="BH2109" s="342"/>
      <c r="BI2109" s="342"/>
      <c r="BJ2109" s="342"/>
      <c r="BK2109" s="342"/>
      <c r="BL2109" s="342"/>
      <c r="BM2109" s="342"/>
      <c r="BN2109" s="342"/>
      <c r="BO2109" s="342"/>
      <c r="BP2109" s="342"/>
      <c r="BQ2109" s="342"/>
      <c r="BR2109" s="342"/>
      <c r="BS2109" s="342"/>
      <c r="BT2109" s="342"/>
      <c r="BU2109" s="342"/>
      <c r="BV2109" s="342"/>
      <c r="BW2109" s="342"/>
      <c r="BX2109" s="342"/>
      <c r="BY2109" s="342"/>
      <c r="BZ2109" s="342"/>
      <c r="CA2109" s="342"/>
      <c r="CB2109" s="342"/>
      <c r="CC2109" s="342"/>
      <c r="CD2109" s="342"/>
      <c r="CE2109" s="342"/>
      <c r="CF2109" s="342"/>
      <c r="CG2109" s="342"/>
      <c r="CH2109" s="342"/>
      <c r="CI2109" s="342"/>
      <c r="CJ2109" s="342"/>
      <c r="CK2109" s="342"/>
      <c r="CL2109" s="342"/>
      <c r="CM2109" s="342"/>
      <c r="CN2109" s="342"/>
      <c r="CO2109" s="342"/>
      <c r="CP2109" s="342"/>
      <c r="CQ2109" s="342"/>
      <c r="CR2109" s="342"/>
      <c r="CS2109" s="342"/>
      <c r="CT2109" s="342"/>
      <c r="CU2109" s="342"/>
      <c r="CV2109" s="342"/>
      <c r="CW2109" s="342"/>
      <c r="CX2109" s="342"/>
      <c r="CY2109" s="342"/>
      <c r="CZ2109" s="342"/>
      <c r="DA2109" s="342"/>
      <c r="DB2109" s="342"/>
      <c r="DC2109" s="342"/>
      <c r="DD2109" s="342"/>
      <c r="DE2109" s="342"/>
      <c r="DF2109" s="342"/>
      <c r="DG2109" s="342"/>
      <c r="DH2109" s="342"/>
      <c r="DI2109" s="342"/>
      <c r="DJ2109" s="342"/>
      <c r="DK2109" s="342"/>
      <c r="DL2109" s="342"/>
    </row>
    <row r="2110">
      <c r="A2110" s="44">
        <v>2110.0</v>
      </c>
      <c r="B2110" s="56" t="s">
        <v>152</v>
      </c>
      <c r="C2110" s="341" t="s">
        <v>115</v>
      </c>
      <c r="D2110" s="341" t="s">
        <v>153</v>
      </c>
      <c r="E2110" s="342"/>
      <c r="F2110" s="56" t="s">
        <v>12938</v>
      </c>
      <c r="G2110" s="56" t="s">
        <v>12947</v>
      </c>
      <c r="H2110" s="343" t="s">
        <v>8556</v>
      </c>
      <c r="I2110" s="347" t="s">
        <v>8557</v>
      </c>
      <c r="J2110" s="46"/>
      <c r="K2110" s="343" t="s">
        <v>12941</v>
      </c>
      <c r="L2110" s="46"/>
      <c r="M2110" s="56" t="s">
        <v>12926</v>
      </c>
      <c r="N2110" s="56" t="s">
        <v>12710</v>
      </c>
      <c r="O2110" s="55">
        <v>1.0</v>
      </c>
      <c r="P2110" s="343" t="s">
        <v>12711</v>
      </c>
      <c r="Q2110" s="52" t="str">
        <f t="array" ref="Q2110"> if(iserror(MATCH(V2110, 'File Links'!C:C, 0)), "N/A", HYPERLINK(INDEX('File Links'!B:B, MATCH(P2110, 'File Links'!C:C, 0))))</f>
        <v>https://drive.google.com/file/d/1gzyiuMNHruki0iqw9ZPuG1ROg8sPoSnR/view?usp=drivesdk</v>
      </c>
      <c r="R2110" s="1697" t="s">
        <v>12940</v>
      </c>
      <c r="S2110" s="56" t="s">
        <v>12713</v>
      </c>
      <c r="T2110" s="1798"/>
      <c r="U2110" s="55">
        <v>5.0</v>
      </c>
      <c r="V2110" s="343" t="s">
        <v>12714</v>
      </c>
      <c r="W2110" s="343" t="s">
        <v>3726</v>
      </c>
      <c r="X2110" s="54" t="str">
        <f t="array" ref="X2110"> if(iserror(MATCH(V2110, 'File Links'!C:C, 0)), "N/A", HYPERLINK(INDEX('File Links'!B:B, MATCH(V2110, 'File Links'!C:C, 0))))</f>
        <v>https://drive.google.com/file/d/1FM8L4aEO4RUDs49kJAJIdOCQaOMgYN0P/view?usp=drivesdk</v>
      </c>
      <c r="Y2110" s="46"/>
      <c r="Z2110" s="343" t="s">
        <v>226</v>
      </c>
      <c r="AA2110" s="56" t="s">
        <v>12722</v>
      </c>
      <c r="AB2110" s="343" t="s">
        <v>12934</v>
      </c>
      <c r="AC2110" s="343" t="s">
        <v>12948</v>
      </c>
      <c r="AD2110" s="343" t="s">
        <v>12949</v>
      </c>
      <c r="AE2110" s="343">
        <v>4.0</v>
      </c>
      <c r="AF2110" s="347">
        <v>80.0</v>
      </c>
      <c r="AG2110" s="347" t="s">
        <v>12950</v>
      </c>
      <c r="AH2110" s="343" t="s">
        <v>134</v>
      </c>
      <c r="AI2110" s="343" t="s">
        <v>850</v>
      </c>
      <c r="AJ2110" s="347">
        <v>0.03</v>
      </c>
      <c r="AK2110" s="343" t="s">
        <v>135</v>
      </c>
      <c r="AL2110" s="343" t="s">
        <v>218</v>
      </c>
      <c r="AM2110" s="56" t="s">
        <v>137</v>
      </c>
      <c r="AN2110" s="500" t="s">
        <v>138</v>
      </c>
      <c r="AO2110" s="347">
        <v>45.0</v>
      </c>
      <c r="AP2110" s="347">
        <v>0.03</v>
      </c>
      <c r="AQ2110" s="343" t="s">
        <v>139</v>
      </c>
      <c r="AR2110" s="343" t="s">
        <v>9321</v>
      </c>
      <c r="AS2110" s="347">
        <v>0.419</v>
      </c>
      <c r="AT2110" s="343" t="s">
        <v>172</v>
      </c>
      <c r="AU2110" s="343" t="s">
        <v>218</v>
      </c>
      <c r="AV2110" s="56" t="s">
        <v>137</v>
      </c>
      <c r="AW2110" s="1959" t="s">
        <v>138</v>
      </c>
      <c r="AX2110" s="56" t="s">
        <v>151</v>
      </c>
      <c r="AY2110" s="61" t="str">
        <f>IFERROR(__xludf.DUMMYFUNCTION("vlookup(BB2110,importrange(""https://docs.google.com/spreadsheets/d/1d2vevQ_7D_v35q4wCQ4RpQ_IPoTwEMB9Yp6ymwlPqew/edit?gid=984458430#gid=984458430"", ""'replication success'!A:K""), 11, FAlSE)"),"#N/A")</f>
        <v>#N/A</v>
      </c>
      <c r="AZ2110" s="61" t="str">
        <f>IFERROR(__xludf.DUMMYFUNCTION("vlookup(BB2110,importrange(""https://docs.google.com/spreadsheets/d/1d2vevQ_7D_v35q4wCQ4RpQ_IPoTwEMB9Yp6ymwlPqew/edit?gid=984458430#gid=984458430"", ""'replication success'!A:M""), 12, FAlSE)"),"#N/A")</f>
        <v>#N/A</v>
      </c>
      <c r="BA2110" s="61" t="str">
        <f>IFERROR(__xludf.DUMMYFUNCTION("vlookup(BB2110,importrange(""https://docs.google.com/spreadsheets/d/1d2vevQ_7D_v35q4wCQ4RpQ_IPoTwEMB9Yp6ymwlPqew/edit?gid=984458430#gid=984458430"", ""'replication success'!A:M""), 13, FAlSE)"),"#N/A")</f>
        <v>#N/A</v>
      </c>
      <c r="BB2110" s="61" t="str">
        <f>IFERROR(__xludf.DUMMYFUNCTION("REGEXREPLACE(G2110, ""_[a-z]{1,2}$"", """")"),"soscisubmission3_3")</f>
        <v>soscisubmission3_3</v>
      </c>
      <c r="BC2110" s="342"/>
      <c r="BD2110" s="341" t="s">
        <v>8426</v>
      </c>
      <c r="BE2110" s="342"/>
      <c r="BF2110" s="342"/>
      <c r="BG2110" s="342"/>
      <c r="BH2110" s="342"/>
      <c r="BI2110" s="342"/>
      <c r="BJ2110" s="342"/>
      <c r="BK2110" s="342"/>
      <c r="BL2110" s="342"/>
      <c r="BM2110" s="342"/>
      <c r="BN2110" s="342"/>
      <c r="BO2110" s="342"/>
      <c r="BP2110" s="342"/>
      <c r="BQ2110" s="342"/>
      <c r="BR2110" s="342"/>
      <c r="BS2110" s="342"/>
      <c r="BT2110" s="342"/>
      <c r="BU2110" s="342"/>
      <c r="BV2110" s="342"/>
      <c r="BW2110" s="342"/>
      <c r="BX2110" s="342"/>
      <c r="BY2110" s="342"/>
      <c r="BZ2110" s="342"/>
      <c r="CA2110" s="342"/>
      <c r="CB2110" s="342"/>
      <c r="CC2110" s="342"/>
      <c r="CD2110" s="342"/>
      <c r="CE2110" s="342"/>
      <c r="CF2110" s="342"/>
      <c r="CG2110" s="342"/>
      <c r="CH2110" s="342"/>
      <c r="CI2110" s="342"/>
      <c r="CJ2110" s="342"/>
      <c r="CK2110" s="342"/>
      <c r="CL2110" s="342"/>
      <c r="CM2110" s="342"/>
      <c r="CN2110" s="342"/>
      <c r="CO2110" s="342"/>
      <c r="CP2110" s="342"/>
      <c r="CQ2110" s="342"/>
      <c r="CR2110" s="342"/>
      <c r="CS2110" s="342"/>
      <c r="CT2110" s="342"/>
      <c r="CU2110" s="342"/>
      <c r="CV2110" s="342"/>
      <c r="CW2110" s="342"/>
      <c r="CX2110" s="342"/>
      <c r="CY2110" s="342"/>
      <c r="CZ2110" s="342"/>
      <c r="DA2110" s="342"/>
      <c r="DB2110" s="342"/>
      <c r="DC2110" s="342"/>
      <c r="DD2110" s="342"/>
      <c r="DE2110" s="342"/>
      <c r="DF2110" s="342"/>
      <c r="DG2110" s="342"/>
      <c r="DH2110" s="342"/>
      <c r="DI2110" s="342"/>
      <c r="DJ2110" s="342"/>
      <c r="DK2110" s="342"/>
      <c r="DL2110" s="342"/>
    </row>
    <row r="2111">
      <c r="A2111" s="44">
        <v>2111.0</v>
      </c>
      <c r="B2111" s="56" t="s">
        <v>152</v>
      </c>
      <c r="C2111" s="341" t="s">
        <v>115</v>
      </c>
      <c r="D2111" s="341" t="s">
        <v>153</v>
      </c>
      <c r="E2111" s="342"/>
      <c r="F2111" s="56" t="s">
        <v>12938</v>
      </c>
      <c r="G2111" s="56" t="s">
        <v>12951</v>
      </c>
      <c r="H2111" s="343" t="s">
        <v>8556</v>
      </c>
      <c r="I2111" s="347" t="s">
        <v>8557</v>
      </c>
      <c r="J2111" s="46"/>
      <c r="K2111" s="343" t="s">
        <v>12941</v>
      </c>
      <c r="L2111" s="46"/>
      <c r="M2111" s="56" t="s">
        <v>12926</v>
      </c>
      <c r="N2111" s="56" t="s">
        <v>12710</v>
      </c>
      <c r="O2111" s="55">
        <v>1.0</v>
      </c>
      <c r="P2111" s="343" t="s">
        <v>12711</v>
      </c>
      <c r="Q2111" s="52" t="str">
        <f t="array" ref="Q2111"> if(iserror(MATCH(V2111, 'File Links'!C:C, 0)), "N/A", HYPERLINK(INDEX('File Links'!B:B, MATCH(P2111, 'File Links'!C:C, 0))))</f>
        <v>https://drive.google.com/file/d/1gzyiuMNHruki0iqw9ZPuG1ROg8sPoSnR/view?usp=drivesdk</v>
      </c>
      <c r="R2111" s="1697" t="s">
        <v>12940</v>
      </c>
      <c r="S2111" s="56" t="s">
        <v>12713</v>
      </c>
      <c r="T2111" s="1798"/>
      <c r="U2111" s="55">
        <v>5.0</v>
      </c>
      <c r="V2111" s="343" t="s">
        <v>12714</v>
      </c>
      <c r="W2111" s="343" t="s">
        <v>3726</v>
      </c>
      <c r="X2111" s="54" t="str">
        <f t="array" ref="X2111"> if(iserror(MATCH(V2111, 'File Links'!C:C, 0)), "N/A", HYPERLINK(INDEX('File Links'!B:B, MATCH(V2111, 'File Links'!C:C, 0))))</f>
        <v>https://drive.google.com/file/d/1FM8L4aEO4RUDs49kJAJIdOCQaOMgYN0P/view?usp=drivesdk</v>
      </c>
      <c r="Y2111" s="46"/>
      <c r="Z2111" s="343" t="s">
        <v>226</v>
      </c>
      <c r="AA2111" s="56" t="s">
        <v>12722</v>
      </c>
      <c r="AB2111" s="343" t="s">
        <v>12934</v>
      </c>
      <c r="AC2111" s="343" t="s">
        <v>12952</v>
      </c>
      <c r="AD2111" s="343" t="s">
        <v>12953</v>
      </c>
      <c r="AE2111" s="343">
        <v>4.0</v>
      </c>
      <c r="AF2111" s="347">
        <v>80.0</v>
      </c>
      <c r="AG2111" s="347" t="s">
        <v>12954</v>
      </c>
      <c r="AH2111" s="343" t="s">
        <v>134</v>
      </c>
      <c r="AI2111" s="343" t="s">
        <v>850</v>
      </c>
      <c r="AJ2111" s="347">
        <v>1.0E-4</v>
      </c>
      <c r="AK2111" s="343" t="s">
        <v>135</v>
      </c>
      <c r="AL2111" s="343" t="s">
        <v>218</v>
      </c>
      <c r="AM2111" s="56" t="s">
        <v>137</v>
      </c>
      <c r="AN2111" s="500" t="s">
        <v>138</v>
      </c>
      <c r="AO2111" s="347">
        <v>45.0</v>
      </c>
      <c r="AP2111" s="347">
        <v>0.091</v>
      </c>
      <c r="AQ2111" s="343" t="s">
        <v>139</v>
      </c>
      <c r="AR2111" s="343" t="s">
        <v>9321</v>
      </c>
      <c r="AS2111" s="347">
        <v>0.001</v>
      </c>
      <c r="AT2111" s="343" t="s">
        <v>172</v>
      </c>
      <c r="AU2111" s="343" t="s">
        <v>218</v>
      </c>
      <c r="AV2111" s="56" t="s">
        <v>137</v>
      </c>
      <c r="AW2111" s="1959" t="s">
        <v>138</v>
      </c>
      <c r="AX2111" s="56" t="s">
        <v>151</v>
      </c>
      <c r="AY2111" s="61" t="str">
        <f>IFERROR(__xludf.DUMMYFUNCTION("vlookup(BB2111,importrange(""https://docs.google.com/spreadsheets/d/1d2vevQ_7D_v35q4wCQ4RpQ_IPoTwEMB9Yp6ymwlPqew/edit?gid=984458430#gid=984458430"", ""'replication success'!A:K""), 11, FAlSE)"),"#N/A")</f>
        <v>#N/A</v>
      </c>
      <c r="AZ2111" s="61" t="str">
        <f>IFERROR(__xludf.DUMMYFUNCTION("vlookup(BB2111,importrange(""https://docs.google.com/spreadsheets/d/1d2vevQ_7D_v35q4wCQ4RpQ_IPoTwEMB9Yp6ymwlPqew/edit?gid=984458430#gid=984458430"", ""'replication success'!A:M""), 12, FAlSE)"),"#N/A")</f>
        <v>#N/A</v>
      </c>
      <c r="BA2111" s="61" t="str">
        <f>IFERROR(__xludf.DUMMYFUNCTION("vlookup(BB2111,importrange(""https://docs.google.com/spreadsheets/d/1d2vevQ_7D_v35q4wCQ4RpQ_IPoTwEMB9Yp6ymwlPqew/edit?gid=984458430#gid=984458430"", ""'replication success'!A:M""), 13, FAlSE)"),"#N/A")</f>
        <v>#N/A</v>
      </c>
      <c r="BB2111" s="61" t="str">
        <f>IFERROR(__xludf.DUMMYFUNCTION("REGEXREPLACE(G2111, ""_[a-z]{1,2}$"", """")"),"soscisubmission3_4")</f>
        <v>soscisubmission3_4</v>
      </c>
      <c r="BC2111" s="342"/>
      <c r="BD2111" s="341" t="s">
        <v>8426</v>
      </c>
      <c r="BE2111" s="342"/>
      <c r="BF2111" s="342"/>
      <c r="BG2111" s="342"/>
      <c r="BH2111" s="342"/>
      <c r="BI2111" s="342"/>
      <c r="BJ2111" s="342"/>
      <c r="BK2111" s="342"/>
      <c r="BL2111" s="342"/>
      <c r="BM2111" s="342"/>
      <c r="BN2111" s="342"/>
      <c r="BO2111" s="342"/>
      <c r="BP2111" s="342"/>
      <c r="BQ2111" s="342"/>
      <c r="BR2111" s="342"/>
      <c r="BS2111" s="342"/>
      <c r="BT2111" s="342"/>
      <c r="BU2111" s="342"/>
      <c r="BV2111" s="342"/>
      <c r="BW2111" s="342"/>
      <c r="BX2111" s="342"/>
      <c r="BY2111" s="342"/>
      <c r="BZ2111" s="342"/>
      <c r="CA2111" s="342"/>
      <c r="CB2111" s="342"/>
      <c r="CC2111" s="342"/>
      <c r="CD2111" s="342"/>
      <c r="CE2111" s="342"/>
      <c r="CF2111" s="342"/>
      <c r="CG2111" s="342"/>
      <c r="CH2111" s="342"/>
      <c r="CI2111" s="342"/>
      <c r="CJ2111" s="342"/>
      <c r="CK2111" s="342"/>
      <c r="CL2111" s="342"/>
      <c r="CM2111" s="342"/>
      <c r="CN2111" s="342"/>
      <c r="CO2111" s="342"/>
      <c r="CP2111" s="342"/>
      <c r="CQ2111" s="342"/>
      <c r="CR2111" s="342"/>
      <c r="CS2111" s="342"/>
      <c r="CT2111" s="342"/>
      <c r="CU2111" s="342"/>
      <c r="CV2111" s="342"/>
      <c r="CW2111" s="342"/>
      <c r="CX2111" s="342"/>
      <c r="CY2111" s="342"/>
      <c r="CZ2111" s="342"/>
      <c r="DA2111" s="342"/>
      <c r="DB2111" s="342"/>
      <c r="DC2111" s="342"/>
      <c r="DD2111" s="342"/>
      <c r="DE2111" s="342"/>
      <c r="DF2111" s="342"/>
      <c r="DG2111" s="342"/>
      <c r="DH2111" s="342"/>
      <c r="DI2111" s="342"/>
      <c r="DJ2111" s="342"/>
      <c r="DK2111" s="342"/>
      <c r="DL2111" s="342"/>
    </row>
    <row r="2112">
      <c r="A2112" s="44">
        <v>2112.0</v>
      </c>
      <c r="B2112" s="56" t="s">
        <v>152</v>
      </c>
      <c r="C2112" s="341" t="s">
        <v>115</v>
      </c>
      <c r="D2112" s="341" t="s">
        <v>1441</v>
      </c>
      <c r="E2112" s="342"/>
      <c r="F2112" s="46" t="s">
        <v>12955</v>
      </c>
      <c r="G2112" s="360" t="s">
        <v>12956</v>
      </c>
      <c r="H2112" s="360" t="s">
        <v>12957</v>
      </c>
      <c r="I2112" s="1692" t="s">
        <v>12958</v>
      </c>
      <c r="J2112" s="344">
        <v>45712.0</v>
      </c>
      <c r="K2112" s="360" t="s">
        <v>12959</v>
      </c>
      <c r="L2112" s="360" t="s">
        <v>12960</v>
      </c>
      <c r="M2112" s="360" t="s">
        <v>12961</v>
      </c>
      <c r="N2112" s="360" t="s">
        <v>12962</v>
      </c>
      <c r="O2112" s="357">
        <v>1.0</v>
      </c>
      <c r="P2112" s="360" t="s">
        <v>12963</v>
      </c>
      <c r="Q2112" s="52" t="str">
        <f t="array" ref="Q2112"> if(iserror(MATCH(V2112, 'File Links'!C:C, 0)), "N/A", HYPERLINK(INDEX('File Links'!B:B, MATCH(P2112, 'File Links'!C:C, 0))))</f>
        <v>https://drive.google.com/file/d/1vaJaM70la8WjjudMF5sP3NGFuj_0wy9h/view?usp=drivesdk</v>
      </c>
      <c r="R2112" s="360" t="s">
        <v>12964</v>
      </c>
      <c r="S2112" s="360" t="s">
        <v>12965</v>
      </c>
      <c r="T2112" s="46"/>
      <c r="U2112" s="357">
        <v>1.0</v>
      </c>
      <c r="V2112" s="360" t="s">
        <v>12966</v>
      </c>
      <c r="W2112" s="360" t="s">
        <v>12967</v>
      </c>
      <c r="X2112" s="54" t="str">
        <f t="array" ref="X2112"> if(iserror(MATCH(V2112, 'File Links'!C:C, 0)), "N/A", HYPERLINK(INDEX('File Links'!B:B, MATCH(V2112, 'File Links'!C:C, 0))))</f>
        <v>https://drive.google.com/file/d/1rBJAGWTtBimqdJkF-7AeLyVrGIG8EBnW/view?usp=drivesdk</v>
      </c>
      <c r="Y2112" s="46"/>
      <c r="Z2112" s="360" t="s">
        <v>12968</v>
      </c>
      <c r="AA2112" s="360" t="s">
        <v>12969</v>
      </c>
      <c r="AB2112" s="46" t="s">
        <v>12970</v>
      </c>
      <c r="AC2112" s="360" t="s">
        <v>12971</v>
      </c>
      <c r="AD2112" s="360" t="s">
        <v>12972</v>
      </c>
      <c r="AE2112" s="357">
        <v>5.0</v>
      </c>
      <c r="AF2112" s="357">
        <v>651.0</v>
      </c>
      <c r="AG2112" s="360" t="s">
        <v>138</v>
      </c>
      <c r="AH2112" s="167" t="s">
        <v>138</v>
      </c>
      <c r="AI2112" s="360" t="s">
        <v>813</v>
      </c>
      <c r="AJ2112" s="357">
        <v>0.01</v>
      </c>
      <c r="AK2112" s="360" t="s">
        <v>135</v>
      </c>
      <c r="AL2112" s="360" t="s">
        <v>186</v>
      </c>
      <c r="AM2112" s="360" t="s">
        <v>137</v>
      </c>
      <c r="AN2112" s="46" t="s">
        <v>138</v>
      </c>
      <c r="AO2112" s="357">
        <v>954.0</v>
      </c>
      <c r="AP2112" s="56" t="s">
        <v>12973</v>
      </c>
      <c r="AQ2112" s="360" t="s">
        <v>134</v>
      </c>
      <c r="AR2112" s="360" t="s">
        <v>850</v>
      </c>
      <c r="AS2112" s="357">
        <v>0.021</v>
      </c>
      <c r="AT2112" s="360" t="s">
        <v>172</v>
      </c>
      <c r="AU2112" s="360" t="s">
        <v>186</v>
      </c>
      <c r="AV2112" s="360" t="s">
        <v>137</v>
      </c>
      <c r="AW2112" s="356" t="s">
        <v>12974</v>
      </c>
      <c r="AX2112" s="360" t="s">
        <v>143</v>
      </c>
      <c r="AY2112" s="61" t="str">
        <f>IFERROR(__xludf.DUMMYFUNCTION("vlookup(BB2112,importrange(""https://docs.google.com/spreadsheets/d/1d2vevQ_7D_v35q4wCQ4RpQ_IPoTwEMB9Yp6ymwlPqew/edit?gid=984458430#gid=984458430"", ""'replication success'!A:K""), 11, FAlSE)"),"successful")</f>
        <v>successful</v>
      </c>
      <c r="AZ2112" s="61" t="str">
        <f>IFERROR(__xludf.DUMMYFUNCTION("vlookup(BB2112,importrange(""https://docs.google.com/spreadsheets/d/1d2vevQ_7D_v35q4wCQ4RpQ_IPoTwEMB9Yp6ymwlPqew/edit?gid=984458430#gid=984458430"", ""'replication success'!A:M""), 12, FAlSE)"),"We found that despite this delay the original result
replicated, albeit with a smaller magnitude.")</f>
        <v>We found that despite this delay the original result
replicated, albeit with a smaller magnitude.</v>
      </c>
      <c r="BA2112" s="61" t="str">
        <f>IFERROR(__xludf.DUMMYFUNCTION("vlookup(BB2112,importrange(""https://docs.google.com/spreadsheets/d/1d2vevQ_7D_v35q4wCQ4RpQ_IPoTwEMB9Yp6ymwlPqew/edit?gid=984458430#gid=984458430"", ""'replication success'!A:M""), 13, FAlSE)"),"abstract")</f>
        <v>abstract</v>
      </c>
      <c r="BB2112" s="61" t="str">
        <f>IFERROR(__xludf.DUMMYFUNCTION("REGEXREPLACE(G2112, ""_[a-z]{1,2}$"", """")"),"soscisubmission34")</f>
        <v>soscisubmission34</v>
      </c>
      <c r="BC2112" s="46"/>
      <c r="BD2112" s="341" t="s">
        <v>692</v>
      </c>
      <c r="BE2112" s="342"/>
      <c r="BF2112" s="342"/>
      <c r="BG2112" s="342"/>
      <c r="BH2112" s="342"/>
      <c r="BI2112" s="342"/>
      <c r="BJ2112" s="342"/>
      <c r="BK2112" s="342"/>
      <c r="BL2112" s="342"/>
      <c r="BM2112" s="342"/>
      <c r="BN2112" s="342"/>
      <c r="BO2112" s="342"/>
      <c r="BP2112" s="342"/>
      <c r="BQ2112" s="342"/>
      <c r="BR2112" s="342"/>
      <c r="BS2112" s="342"/>
      <c r="BT2112" s="342"/>
      <c r="BU2112" s="342"/>
      <c r="BV2112" s="342"/>
      <c r="BW2112" s="342"/>
      <c r="BX2112" s="342"/>
      <c r="BY2112" s="342"/>
      <c r="BZ2112" s="342"/>
      <c r="CA2112" s="342"/>
      <c r="CB2112" s="342"/>
      <c r="CC2112" s="342"/>
      <c r="CD2112" s="342"/>
      <c r="CE2112" s="342"/>
      <c r="CF2112" s="342"/>
      <c r="CG2112" s="342"/>
      <c r="CH2112" s="342"/>
      <c r="CI2112" s="342"/>
      <c r="CJ2112" s="342"/>
      <c r="CK2112" s="342"/>
      <c r="CL2112" s="342"/>
      <c r="CM2112" s="342"/>
      <c r="CN2112" s="342"/>
      <c r="CO2112" s="342"/>
      <c r="CP2112" s="342"/>
      <c r="CQ2112" s="342"/>
      <c r="CR2112" s="342"/>
      <c r="CS2112" s="342"/>
      <c r="CT2112" s="342"/>
      <c r="CU2112" s="342"/>
      <c r="CV2112" s="342"/>
      <c r="CW2112" s="342"/>
      <c r="CX2112" s="342"/>
      <c r="CY2112" s="342"/>
      <c r="CZ2112" s="342"/>
      <c r="DA2112" s="342"/>
      <c r="DB2112" s="342"/>
      <c r="DC2112" s="342"/>
      <c r="DD2112" s="342"/>
      <c r="DE2112" s="342"/>
      <c r="DF2112" s="342"/>
      <c r="DG2112" s="342"/>
      <c r="DH2112" s="342"/>
      <c r="DI2112" s="342"/>
      <c r="DJ2112" s="342"/>
      <c r="DK2112" s="342"/>
      <c r="DL2112" s="342"/>
    </row>
    <row r="2113">
      <c r="A2113" s="44">
        <v>2113.0</v>
      </c>
      <c r="B2113" s="56" t="s">
        <v>152</v>
      </c>
      <c r="C2113" s="341" t="s">
        <v>115</v>
      </c>
      <c r="D2113" s="341" t="s">
        <v>153</v>
      </c>
      <c r="E2113" s="342"/>
      <c r="F2113" s="56" t="s">
        <v>12955</v>
      </c>
      <c r="G2113" s="56" t="s">
        <v>12975</v>
      </c>
      <c r="H2113" s="343" t="s">
        <v>8556</v>
      </c>
      <c r="I2113" s="347" t="s">
        <v>8557</v>
      </c>
      <c r="J2113" s="46"/>
      <c r="K2113" s="343" t="s">
        <v>12976</v>
      </c>
      <c r="L2113" s="56" t="s">
        <v>12960</v>
      </c>
      <c r="M2113" s="56" t="s">
        <v>12961</v>
      </c>
      <c r="N2113" s="56" t="s">
        <v>12962</v>
      </c>
      <c r="O2113" s="385"/>
      <c r="P2113" s="343" t="s">
        <v>12963</v>
      </c>
      <c r="Q2113" s="52" t="str">
        <f t="array" ref="Q2113"> if(iserror(MATCH(V2113, 'File Links'!C:C, 0)), "N/A", HYPERLINK(INDEX('File Links'!B:B, MATCH(P2113, 'File Links'!C:C, 0))))</f>
        <v>https://drive.google.com/file/d/1vaJaM70la8WjjudMF5sP3NGFuj_0wy9h/view?usp=drivesdk</v>
      </c>
      <c r="R2113" s="1697" t="s">
        <v>12964</v>
      </c>
      <c r="S2113" s="56" t="s">
        <v>12965</v>
      </c>
      <c r="T2113" s="1798"/>
      <c r="U2113" s="385"/>
      <c r="V2113" s="343" t="s">
        <v>12966</v>
      </c>
      <c r="W2113" s="343" t="s">
        <v>12977</v>
      </c>
      <c r="X2113" s="54" t="str">
        <f t="array" ref="X2113"> if(iserror(MATCH(V2113, 'File Links'!C:C, 0)), "N/A", HYPERLINK(INDEX('File Links'!B:B, MATCH(V2113, 'File Links'!C:C, 0))))</f>
        <v>https://drive.google.com/file/d/1rBJAGWTtBimqdJkF-7AeLyVrGIG8EBnW/view?usp=drivesdk</v>
      </c>
      <c r="Y2113" s="46"/>
      <c r="Z2113" s="343" t="s">
        <v>12968</v>
      </c>
      <c r="AA2113" s="56" t="s">
        <v>12978</v>
      </c>
      <c r="AB2113" s="343" t="s">
        <v>12979</v>
      </c>
      <c r="AC2113" s="343" t="s">
        <v>12980</v>
      </c>
      <c r="AD2113" s="343" t="s">
        <v>12981</v>
      </c>
      <c r="AE2113" s="343">
        <v>6.0</v>
      </c>
      <c r="AF2113" s="347">
        <v>651.0</v>
      </c>
      <c r="AG2113" s="347">
        <v>0.352</v>
      </c>
      <c r="AH2113" s="159" t="s">
        <v>722</v>
      </c>
      <c r="AI2113" s="343" t="s">
        <v>140</v>
      </c>
      <c r="AJ2113" s="347">
        <v>0.054</v>
      </c>
      <c r="AK2113" s="343" t="s">
        <v>172</v>
      </c>
      <c r="AL2113" s="343" t="s">
        <v>136</v>
      </c>
      <c r="AM2113" s="56" t="s">
        <v>137</v>
      </c>
      <c r="AN2113" s="500" t="s">
        <v>138</v>
      </c>
      <c r="AO2113" s="347">
        <v>954.0</v>
      </c>
      <c r="AP2113" s="347" t="s">
        <v>12982</v>
      </c>
      <c r="AQ2113" s="343" t="s">
        <v>134</v>
      </c>
      <c r="AR2113" s="343" t="s">
        <v>140</v>
      </c>
      <c r="AS2113" s="347">
        <v>0.256</v>
      </c>
      <c r="AT2113" s="343" t="s">
        <v>172</v>
      </c>
      <c r="AU2113" s="343" t="s">
        <v>136</v>
      </c>
      <c r="AV2113" s="56" t="s">
        <v>137</v>
      </c>
      <c r="AW2113" s="1699" t="s">
        <v>12974</v>
      </c>
      <c r="AX2113" s="56" t="s">
        <v>143</v>
      </c>
      <c r="AY2113" s="61" t="str">
        <f>IFERROR(__xludf.DUMMYFUNCTION("vlookup(BB2113,importrange(""https://docs.google.com/spreadsheets/d/1d2vevQ_7D_v35q4wCQ4RpQ_IPoTwEMB9Yp6ymwlPqew/edit?gid=984458430#gid=984458430"", ""'replication success'!A:K""), 11, FAlSE)"),"successful")</f>
        <v>successful</v>
      </c>
      <c r="AZ2113" s="61" t="str">
        <f>IFERROR(__xludf.DUMMYFUNCTION("vlookup(BB2113,importrange(""https://docs.google.com/spreadsheets/d/1d2vevQ_7D_v35q4wCQ4RpQ_IPoTwEMB9Yp6ymwlPqew/edit?gid=984458430#gid=984458430"", ""'replication success'!A:M""), 12, FAlSE)"),"We found that despite this delay the original result
replicated, albeit with a smaller magnitude.")</f>
        <v>We found that despite this delay the original result
replicated, albeit with a smaller magnitude.</v>
      </c>
      <c r="BA2113" s="61" t="str">
        <f>IFERROR(__xludf.DUMMYFUNCTION("vlookup(BB2113,importrange(""https://docs.google.com/spreadsheets/d/1d2vevQ_7D_v35q4wCQ4RpQ_IPoTwEMB9Yp6ymwlPqew/edit?gid=984458430#gid=984458430"", ""'replication success'!A:M""), 13, FAlSE)"),"abstract")</f>
        <v>abstract</v>
      </c>
      <c r="BB2113" s="61" t="str">
        <f>IFERROR(__xludf.DUMMYFUNCTION("REGEXREPLACE(G2113, ""_[a-z]{1,2}$"", """")"),"soscisubmission34_2_1")</f>
        <v>soscisubmission34_2_1</v>
      </c>
      <c r="BC2113" s="341" t="s">
        <v>12983</v>
      </c>
      <c r="BD2113" s="341" t="s">
        <v>8426</v>
      </c>
      <c r="BE2113" s="342"/>
      <c r="BF2113" s="342"/>
      <c r="BG2113" s="342"/>
      <c r="BH2113" s="342"/>
      <c r="BI2113" s="342"/>
      <c r="BJ2113" s="342"/>
      <c r="BK2113" s="342"/>
      <c r="BL2113" s="342"/>
      <c r="BM2113" s="342"/>
      <c r="BN2113" s="342"/>
      <c r="BO2113" s="342"/>
      <c r="BP2113" s="342"/>
      <c r="BQ2113" s="342"/>
      <c r="BR2113" s="342"/>
      <c r="BS2113" s="342"/>
      <c r="BT2113" s="342"/>
      <c r="BU2113" s="342"/>
      <c r="BV2113" s="342"/>
      <c r="BW2113" s="342"/>
      <c r="BX2113" s="342"/>
      <c r="BY2113" s="342"/>
      <c r="BZ2113" s="342"/>
      <c r="CA2113" s="342"/>
      <c r="CB2113" s="342"/>
      <c r="CC2113" s="342"/>
      <c r="CD2113" s="342"/>
      <c r="CE2113" s="342"/>
      <c r="CF2113" s="342"/>
      <c r="CG2113" s="342"/>
      <c r="CH2113" s="342"/>
      <c r="CI2113" s="342"/>
      <c r="CJ2113" s="342"/>
      <c r="CK2113" s="342"/>
      <c r="CL2113" s="342"/>
      <c r="CM2113" s="342"/>
      <c r="CN2113" s="342"/>
      <c r="CO2113" s="342"/>
      <c r="CP2113" s="342"/>
      <c r="CQ2113" s="342"/>
      <c r="CR2113" s="342"/>
      <c r="CS2113" s="342"/>
      <c r="CT2113" s="342"/>
      <c r="CU2113" s="342"/>
      <c r="CV2113" s="342"/>
      <c r="CW2113" s="342"/>
      <c r="CX2113" s="342"/>
      <c r="CY2113" s="342"/>
      <c r="CZ2113" s="342"/>
      <c r="DA2113" s="342"/>
      <c r="DB2113" s="342"/>
      <c r="DC2113" s="342"/>
      <c r="DD2113" s="342"/>
      <c r="DE2113" s="342"/>
      <c r="DF2113" s="342"/>
      <c r="DG2113" s="342"/>
      <c r="DH2113" s="342"/>
      <c r="DI2113" s="342"/>
      <c r="DJ2113" s="342"/>
      <c r="DK2113" s="342"/>
      <c r="DL2113" s="342"/>
    </row>
    <row r="2114">
      <c r="A2114" s="44">
        <v>2114.0</v>
      </c>
      <c r="B2114" s="56" t="s">
        <v>152</v>
      </c>
      <c r="C2114" s="341" t="s">
        <v>115</v>
      </c>
      <c r="D2114" s="341" t="s">
        <v>153</v>
      </c>
      <c r="E2114" s="342"/>
      <c r="F2114" s="56" t="s">
        <v>12955</v>
      </c>
      <c r="G2114" s="56" t="s">
        <v>12984</v>
      </c>
      <c r="H2114" s="343" t="s">
        <v>8556</v>
      </c>
      <c r="I2114" s="347" t="s">
        <v>8557</v>
      </c>
      <c r="J2114" s="46"/>
      <c r="K2114" s="343" t="s">
        <v>12985</v>
      </c>
      <c r="L2114" s="56" t="s">
        <v>12960</v>
      </c>
      <c r="M2114" s="56" t="s">
        <v>12961</v>
      </c>
      <c r="N2114" s="56" t="s">
        <v>12962</v>
      </c>
      <c r="O2114" s="385"/>
      <c r="P2114" s="343" t="s">
        <v>12963</v>
      </c>
      <c r="Q2114" s="52" t="str">
        <f t="array" ref="Q2114"> if(iserror(MATCH(V2114, 'File Links'!C:C, 0)), "N/A", HYPERLINK(INDEX('File Links'!B:B, MATCH(P2114, 'File Links'!C:C, 0))))</f>
        <v>https://drive.google.com/file/d/1vaJaM70la8WjjudMF5sP3NGFuj_0wy9h/view?usp=drivesdk</v>
      </c>
      <c r="R2114" s="1697" t="s">
        <v>12964</v>
      </c>
      <c r="S2114" s="56" t="s">
        <v>12965</v>
      </c>
      <c r="T2114" s="1798"/>
      <c r="U2114" s="385"/>
      <c r="V2114" s="343" t="s">
        <v>12966</v>
      </c>
      <c r="W2114" s="343" t="s">
        <v>12977</v>
      </c>
      <c r="X2114" s="54" t="str">
        <f t="array" ref="X2114"> if(iserror(MATCH(V2114, 'File Links'!C:C, 0)), "N/A", HYPERLINK(INDEX('File Links'!B:B, MATCH(V2114, 'File Links'!C:C, 0))))</f>
        <v>https://drive.google.com/file/d/1rBJAGWTtBimqdJkF-7AeLyVrGIG8EBnW/view?usp=drivesdk</v>
      </c>
      <c r="Y2114" s="46"/>
      <c r="Z2114" s="343" t="s">
        <v>12968</v>
      </c>
      <c r="AA2114" s="56" t="s">
        <v>12978</v>
      </c>
      <c r="AB2114" s="343" t="s">
        <v>12979</v>
      </c>
      <c r="AC2114" s="343" t="s">
        <v>12986</v>
      </c>
      <c r="AD2114" s="343" t="s">
        <v>12987</v>
      </c>
      <c r="AE2114" s="343">
        <v>7.0</v>
      </c>
      <c r="AF2114" s="347">
        <v>651.0</v>
      </c>
      <c r="AG2114" s="347">
        <v>0.167</v>
      </c>
      <c r="AH2114" s="159" t="s">
        <v>722</v>
      </c>
      <c r="AI2114" s="343" t="s">
        <v>132</v>
      </c>
      <c r="AJ2114" s="347" t="s">
        <v>138</v>
      </c>
      <c r="AK2114" s="360"/>
      <c r="AL2114" s="360"/>
      <c r="AM2114" s="56" t="s">
        <v>137</v>
      </c>
      <c r="AN2114" s="500" t="s">
        <v>138</v>
      </c>
      <c r="AO2114" s="347">
        <v>954.0</v>
      </c>
      <c r="AP2114" s="347" t="s">
        <v>12988</v>
      </c>
      <c r="AQ2114" s="343" t="s">
        <v>134</v>
      </c>
      <c r="AR2114" s="343" t="s">
        <v>850</v>
      </c>
      <c r="AS2114" s="347">
        <v>0.033</v>
      </c>
      <c r="AT2114" s="343" t="s">
        <v>172</v>
      </c>
      <c r="AU2114" s="343" t="s">
        <v>136</v>
      </c>
      <c r="AV2114" s="56" t="s">
        <v>137</v>
      </c>
      <c r="AW2114" s="1699" t="s">
        <v>12974</v>
      </c>
      <c r="AX2114" s="56" t="s">
        <v>143</v>
      </c>
      <c r="AY2114" s="61" t="str">
        <f>IFERROR(__xludf.DUMMYFUNCTION("vlookup(BB2114,importrange(""https://docs.google.com/spreadsheets/d/1d2vevQ_7D_v35q4wCQ4RpQ_IPoTwEMB9Yp6ymwlPqew/edit?gid=984458430#gid=984458430"", ""'replication success'!A:K""), 11, FAlSE)"),"#N/A")</f>
        <v>#N/A</v>
      </c>
      <c r="AZ2114" s="61" t="str">
        <f>IFERROR(__xludf.DUMMYFUNCTION("vlookup(BB2114,importrange(""https://docs.google.com/spreadsheets/d/1d2vevQ_7D_v35q4wCQ4RpQ_IPoTwEMB9Yp6ymwlPqew/edit?gid=984458430#gid=984458430"", ""'replication success'!A:M""), 12, FAlSE)"),"#N/A")</f>
        <v>#N/A</v>
      </c>
      <c r="BA2114" s="61" t="str">
        <f>IFERROR(__xludf.DUMMYFUNCTION("vlookup(BB2114,importrange(""https://docs.google.com/spreadsheets/d/1d2vevQ_7D_v35q4wCQ4RpQ_IPoTwEMB9Yp6ymwlPqew/edit?gid=984458430#gid=984458430"", ""'replication success'!A:M""), 13, FAlSE)"),"#N/A")</f>
        <v>#N/A</v>
      </c>
      <c r="BB2114" s="61" t="str">
        <f>IFERROR(__xludf.DUMMYFUNCTION("REGEXREPLACE(G2114, ""_[a-z]{1,2}$"", """")"),"soscisubmission34_2_2")</f>
        <v>soscisubmission34_2_2</v>
      </c>
      <c r="BC2114" s="341" t="s">
        <v>12983</v>
      </c>
      <c r="BD2114" s="341" t="s">
        <v>692</v>
      </c>
      <c r="BE2114" s="342"/>
      <c r="BF2114" s="342"/>
      <c r="BG2114" s="342"/>
      <c r="BH2114" s="342"/>
      <c r="BI2114" s="342"/>
      <c r="BJ2114" s="342"/>
      <c r="BK2114" s="342"/>
      <c r="BL2114" s="342"/>
      <c r="BM2114" s="342"/>
      <c r="BN2114" s="342"/>
      <c r="BO2114" s="342"/>
      <c r="BP2114" s="342"/>
      <c r="BQ2114" s="342"/>
      <c r="BR2114" s="342"/>
      <c r="BS2114" s="342"/>
      <c r="BT2114" s="342"/>
      <c r="BU2114" s="342"/>
      <c r="BV2114" s="342"/>
      <c r="BW2114" s="342"/>
      <c r="BX2114" s="342"/>
      <c r="BY2114" s="342"/>
      <c r="BZ2114" s="342"/>
      <c r="CA2114" s="342"/>
      <c r="CB2114" s="342"/>
      <c r="CC2114" s="342"/>
      <c r="CD2114" s="342"/>
      <c r="CE2114" s="342"/>
      <c r="CF2114" s="342"/>
      <c r="CG2114" s="342"/>
      <c r="CH2114" s="342"/>
      <c r="CI2114" s="342"/>
      <c r="CJ2114" s="342"/>
      <c r="CK2114" s="342"/>
      <c r="CL2114" s="342"/>
      <c r="CM2114" s="342"/>
      <c r="CN2114" s="342"/>
      <c r="CO2114" s="342"/>
      <c r="CP2114" s="342"/>
      <c r="CQ2114" s="342"/>
      <c r="CR2114" s="342"/>
      <c r="CS2114" s="342"/>
      <c r="CT2114" s="342"/>
      <c r="CU2114" s="342"/>
      <c r="CV2114" s="342"/>
      <c r="CW2114" s="342"/>
      <c r="CX2114" s="342"/>
      <c r="CY2114" s="342"/>
      <c r="CZ2114" s="342"/>
      <c r="DA2114" s="342"/>
      <c r="DB2114" s="342"/>
      <c r="DC2114" s="342"/>
      <c r="DD2114" s="342"/>
      <c r="DE2114" s="342"/>
      <c r="DF2114" s="342"/>
      <c r="DG2114" s="342"/>
      <c r="DH2114" s="342"/>
      <c r="DI2114" s="342"/>
      <c r="DJ2114" s="342"/>
      <c r="DK2114" s="342"/>
      <c r="DL2114" s="342"/>
    </row>
    <row r="2115">
      <c r="A2115" s="44">
        <v>2115.0</v>
      </c>
      <c r="B2115" s="56" t="s">
        <v>114</v>
      </c>
      <c r="C2115" s="341" t="s">
        <v>115</v>
      </c>
      <c r="D2115" s="341" t="s">
        <v>1441</v>
      </c>
      <c r="E2115" s="342"/>
      <c r="F2115" s="46" t="s">
        <v>12989</v>
      </c>
      <c r="G2115" s="360" t="s">
        <v>12990</v>
      </c>
      <c r="H2115" s="360" t="s">
        <v>12991</v>
      </c>
      <c r="I2115" s="1692" t="s">
        <v>12992</v>
      </c>
      <c r="J2115" s="344">
        <v>45712.0</v>
      </c>
      <c r="K2115" s="360" t="s">
        <v>12993</v>
      </c>
      <c r="L2115" s="360" t="s">
        <v>12994</v>
      </c>
      <c r="M2115" s="360" t="s">
        <v>12995</v>
      </c>
      <c r="N2115" s="360" t="s">
        <v>12996</v>
      </c>
      <c r="O2115" s="357">
        <v>2.0</v>
      </c>
      <c r="P2115" s="360" t="s">
        <v>12997</v>
      </c>
      <c r="Q2115" s="52" t="str">
        <f t="array" ref="Q2115"> if(iserror(MATCH(V2115, 'File Links'!C:C, 0)), "N/A", HYPERLINK(INDEX('File Links'!B:B, MATCH(P2115, 'File Links'!C:C, 0))))</f>
        <v>https://drive.google.com/file/d/11jqeGWUpUh79pKFzwZ3T_bBagRuPGFCi/view?usp=drivesdk</v>
      </c>
      <c r="R2115" s="360" t="s">
        <v>12998</v>
      </c>
      <c r="S2115" s="360" t="s">
        <v>12999</v>
      </c>
      <c r="T2115" s="46"/>
      <c r="U2115" s="385">
        <v>1.0</v>
      </c>
      <c r="V2115" s="360" t="s">
        <v>13000</v>
      </c>
      <c r="W2115" s="360" t="s">
        <v>13001</v>
      </c>
      <c r="X2115" s="54" t="str">
        <f t="array" ref="X2115"> if(iserror(MATCH(V2115, 'File Links'!C:C, 0)), "N/A", HYPERLINK(INDEX('File Links'!B:B, MATCH(V2115, 'File Links'!C:C, 0))))</f>
        <v>https://drive.google.com/file/d/1tBea1xcrmrgSGVymZfDDDZH7SLB5aF-6/view?usp=drivesdk</v>
      </c>
      <c r="Y2115" s="46"/>
      <c r="Z2115" s="360" t="s">
        <v>12737</v>
      </c>
      <c r="AA2115" s="360" t="s">
        <v>13002</v>
      </c>
      <c r="AB2115" s="46" t="s">
        <v>13003</v>
      </c>
      <c r="AC2115" s="46" t="s">
        <v>13004</v>
      </c>
      <c r="AD2115" s="360" t="s">
        <v>13005</v>
      </c>
      <c r="AE2115" s="357">
        <v>4.0</v>
      </c>
      <c r="AF2115" s="357">
        <v>50.0</v>
      </c>
      <c r="AG2115" s="360" t="s">
        <v>13006</v>
      </c>
      <c r="AH2115" s="360" t="s">
        <v>134</v>
      </c>
      <c r="AI2115" s="360" t="s">
        <v>850</v>
      </c>
      <c r="AJ2115" s="357">
        <v>0.015</v>
      </c>
      <c r="AK2115" s="360" t="s">
        <v>172</v>
      </c>
      <c r="AL2115" s="360" t="s">
        <v>186</v>
      </c>
      <c r="AM2115" s="360" t="s">
        <v>141</v>
      </c>
      <c r="AN2115" s="46" t="s">
        <v>138</v>
      </c>
      <c r="AO2115" s="357">
        <v>1340.0</v>
      </c>
      <c r="AP2115" s="357">
        <v>0.12</v>
      </c>
      <c r="AQ2115" s="360" t="s">
        <v>602</v>
      </c>
      <c r="AR2115" s="360" t="s">
        <v>132</v>
      </c>
      <c r="AS2115" s="357">
        <v>0.002</v>
      </c>
      <c r="AT2115" s="360" t="s">
        <v>172</v>
      </c>
      <c r="AU2115" s="360" t="s">
        <v>136</v>
      </c>
      <c r="AV2115" s="360" t="s">
        <v>141</v>
      </c>
      <c r="AW2115" s="59" t="s">
        <v>13007</v>
      </c>
      <c r="AX2115" s="360" t="s">
        <v>438</v>
      </c>
      <c r="AY2115" s="61" t="str">
        <f>IFERROR(__xludf.DUMMYFUNCTION("vlookup(BB2115,importrange(""https://docs.google.com/spreadsheets/d/1d2vevQ_7D_v35q4wCQ4RpQ_IPoTwEMB9Yp6ymwlPqew/edit?gid=984458430#gid=984458430"", ""'replication success'!A:K""), 11, FAlSE)"),"#N/A")</f>
        <v>#N/A</v>
      </c>
      <c r="AZ2115" s="61" t="str">
        <f>IFERROR(__xludf.DUMMYFUNCTION("vlookup(BB2115,importrange(""https://docs.google.com/spreadsheets/d/1d2vevQ_7D_v35q4wCQ4RpQ_IPoTwEMB9Yp6ymwlPqew/edit?gid=984458430#gid=984458430"", ""'replication success'!A:M""), 12, FAlSE)"),"#N/A")</f>
        <v>#N/A</v>
      </c>
      <c r="BA2115" s="61" t="str">
        <f>IFERROR(__xludf.DUMMYFUNCTION("vlookup(BB2115,importrange(""https://docs.google.com/spreadsheets/d/1d2vevQ_7D_v35q4wCQ4RpQ_IPoTwEMB9Yp6ymwlPqew/edit?gid=984458430#gid=984458430"", ""'replication success'!A:M""), 13, FAlSE)"),"#N/A")</f>
        <v>#N/A</v>
      </c>
      <c r="BB2115" s="61" t="str">
        <f>IFERROR(__xludf.DUMMYFUNCTION("REGEXREPLACE(G2115, ""_[a-z]{1,2}$"", """")"),"soscisubmission38")</f>
        <v>soscisubmission38</v>
      </c>
      <c r="BC2115" s="46"/>
      <c r="BD2115" s="341" t="s">
        <v>8426</v>
      </c>
      <c r="BE2115" s="342"/>
      <c r="BF2115" s="342"/>
      <c r="BG2115" s="342"/>
      <c r="BH2115" s="342"/>
      <c r="BI2115" s="342"/>
      <c r="BJ2115" s="342"/>
      <c r="BK2115" s="342"/>
      <c r="BL2115" s="342"/>
      <c r="BM2115" s="342"/>
      <c r="BN2115" s="342"/>
      <c r="BO2115" s="342"/>
      <c r="BP2115" s="342"/>
      <c r="BQ2115" s="342"/>
      <c r="BR2115" s="342"/>
      <c r="BS2115" s="342"/>
      <c r="BT2115" s="342"/>
      <c r="BU2115" s="342"/>
      <c r="BV2115" s="342"/>
      <c r="BW2115" s="342"/>
      <c r="BX2115" s="342"/>
      <c r="BY2115" s="342"/>
      <c r="BZ2115" s="342"/>
      <c r="CA2115" s="342"/>
      <c r="CB2115" s="342"/>
      <c r="CC2115" s="342"/>
      <c r="CD2115" s="342"/>
      <c r="CE2115" s="342"/>
      <c r="CF2115" s="342"/>
      <c r="CG2115" s="342"/>
      <c r="CH2115" s="342"/>
      <c r="CI2115" s="342"/>
      <c r="CJ2115" s="342"/>
      <c r="CK2115" s="342"/>
      <c r="CL2115" s="342"/>
      <c r="CM2115" s="342"/>
      <c r="CN2115" s="342"/>
      <c r="CO2115" s="342"/>
      <c r="CP2115" s="342"/>
      <c r="CQ2115" s="342"/>
      <c r="CR2115" s="342"/>
      <c r="CS2115" s="342"/>
      <c r="CT2115" s="342"/>
      <c r="CU2115" s="342"/>
      <c r="CV2115" s="342"/>
      <c r="CW2115" s="342"/>
      <c r="CX2115" s="342"/>
      <c r="CY2115" s="342"/>
      <c r="CZ2115" s="342"/>
      <c r="DA2115" s="342"/>
      <c r="DB2115" s="342"/>
      <c r="DC2115" s="342"/>
      <c r="DD2115" s="342"/>
      <c r="DE2115" s="342"/>
      <c r="DF2115" s="342"/>
      <c r="DG2115" s="342"/>
      <c r="DH2115" s="342"/>
      <c r="DI2115" s="342"/>
      <c r="DJ2115" s="342"/>
      <c r="DK2115" s="342"/>
      <c r="DL2115" s="342"/>
    </row>
    <row r="2116">
      <c r="A2116" s="44">
        <v>2116.0</v>
      </c>
      <c r="B2116" s="56" t="s">
        <v>152</v>
      </c>
      <c r="C2116" s="341" t="s">
        <v>115</v>
      </c>
      <c r="D2116" s="341" t="s">
        <v>153</v>
      </c>
      <c r="E2116" s="342"/>
      <c r="F2116" s="56" t="s">
        <v>12989</v>
      </c>
      <c r="G2116" s="56" t="s">
        <v>13008</v>
      </c>
      <c r="H2116" s="343" t="s">
        <v>8556</v>
      </c>
      <c r="I2116" s="347" t="s">
        <v>8557</v>
      </c>
      <c r="J2116" s="46"/>
      <c r="K2116" s="343" t="s">
        <v>13009</v>
      </c>
      <c r="L2116" s="56" t="s">
        <v>12994</v>
      </c>
      <c r="M2116" s="56" t="s">
        <v>12995</v>
      </c>
      <c r="N2116" s="56" t="s">
        <v>12996</v>
      </c>
      <c r="O2116" s="55">
        <v>2.0</v>
      </c>
      <c r="P2116" s="343" t="s">
        <v>12997</v>
      </c>
      <c r="Q2116" s="52" t="str">
        <f t="array" ref="Q2116"> if(iserror(MATCH(V2116, 'File Links'!C:C, 0)), "N/A", HYPERLINK(INDEX('File Links'!B:B, MATCH(P2116, 'File Links'!C:C, 0))))</f>
        <v>https://drive.google.com/file/d/11jqeGWUpUh79pKFzwZ3T_bBagRuPGFCi/view?usp=drivesdk</v>
      </c>
      <c r="R2116" s="1697" t="s">
        <v>12998</v>
      </c>
      <c r="S2116" s="56" t="s">
        <v>12999</v>
      </c>
      <c r="T2116" s="1798"/>
      <c r="U2116" s="1960">
        <v>1.0</v>
      </c>
      <c r="V2116" s="343" t="s">
        <v>13000</v>
      </c>
      <c r="W2116" s="343" t="s">
        <v>3726</v>
      </c>
      <c r="X2116" s="54" t="str">
        <f t="array" ref="X2116"> if(iserror(MATCH(V2116, 'File Links'!C:C, 0)), "N/A", HYPERLINK(INDEX('File Links'!B:B, MATCH(V2116, 'File Links'!C:C, 0))))</f>
        <v>https://drive.google.com/file/d/1tBea1xcrmrgSGVymZfDDDZH7SLB5aF-6/view?usp=drivesdk</v>
      </c>
      <c r="Y2116" s="46"/>
      <c r="Z2116" s="343" t="s">
        <v>12737</v>
      </c>
      <c r="AA2116" s="56" t="s">
        <v>12007</v>
      </c>
      <c r="AB2116" s="343" t="s">
        <v>13010</v>
      </c>
      <c r="AC2116" s="343" t="s">
        <v>13011</v>
      </c>
      <c r="AD2116" s="343" t="s">
        <v>13012</v>
      </c>
      <c r="AE2116" s="343">
        <v>4.0</v>
      </c>
      <c r="AF2116" s="347">
        <v>50.0</v>
      </c>
      <c r="AG2116" s="347" t="s">
        <v>13013</v>
      </c>
      <c r="AH2116" s="343" t="s">
        <v>134</v>
      </c>
      <c r="AI2116" s="343" t="s">
        <v>850</v>
      </c>
      <c r="AJ2116" s="347">
        <v>0.03</v>
      </c>
      <c r="AK2116" s="343" t="s">
        <v>172</v>
      </c>
      <c r="AL2116" s="343" t="s">
        <v>186</v>
      </c>
      <c r="AM2116" s="56" t="s">
        <v>137</v>
      </c>
      <c r="AN2116" s="500" t="s">
        <v>138</v>
      </c>
      <c r="AO2116" s="347">
        <v>1340.0</v>
      </c>
      <c r="AP2116" s="347">
        <v>0.12</v>
      </c>
      <c r="AQ2116" s="343" t="s">
        <v>602</v>
      </c>
      <c r="AR2116" s="343" t="s">
        <v>132</v>
      </c>
      <c r="AS2116" s="347">
        <v>0.002</v>
      </c>
      <c r="AT2116" s="343" t="s">
        <v>172</v>
      </c>
      <c r="AU2116" s="343" t="s">
        <v>186</v>
      </c>
      <c r="AV2116" s="56" t="s">
        <v>137</v>
      </c>
      <c r="AW2116" s="1699" t="s">
        <v>13014</v>
      </c>
      <c r="AX2116" s="56" t="s">
        <v>143</v>
      </c>
      <c r="AY2116" s="61" t="str">
        <f>IFERROR(__xludf.DUMMYFUNCTION("vlookup(BB2116,importrange(""https://docs.google.com/spreadsheets/d/1d2vevQ_7D_v35q4wCQ4RpQ_IPoTwEMB9Yp6ymwlPqew/edit?gid=984458430#gid=984458430"", ""'replication success'!A:K""), 11, FAlSE)"),"mixed")</f>
        <v>mixed</v>
      </c>
      <c r="AZ2116" s="61" t="str">
        <f>IFERROR(__xludf.DUMMYFUNCTION("vlookup(BB2116,importrange(""https://docs.google.com/spreadsheets/d/1d2vevQ_7D_v35q4wCQ4RpQ_IPoTwEMB9Yp6ymwlPqew/edit?gid=984458430#gid=984458430"", ""'replication success'!A:M""), 12, FAlSE)"),"We obtained evidence for a small EC effect when
‘aware’ participants were excluded using the original criterion – therefore replicating the original effect. However, no such effect emerged when three other awareness criteria were used.")</f>
        <v>We obtained evidence for a small EC effect when
‘aware’ participants were excluded using the original criterion – therefore replicating the original effect. However, no such effect emerged when three other awareness criteria were used.</v>
      </c>
      <c r="BA2116" s="61" t="str">
        <f>IFERROR(__xludf.DUMMYFUNCTION("vlookup(BB2116,importrange(""https://docs.google.com/spreadsheets/d/1d2vevQ_7D_v35q4wCQ4RpQ_IPoTwEMB9Yp6ymwlPqew/edit?gid=984458430#gid=984458430"", ""'replication success'!A:M""), 13, FAlSE)"),"abstract")</f>
        <v>abstract</v>
      </c>
      <c r="BB2116" s="61" t="str">
        <f>IFERROR(__xludf.DUMMYFUNCTION("REGEXREPLACE(G2116, ""_[a-z]{1,2}$"", """")"),"soscisubmission38_1_1")</f>
        <v>soscisubmission38_1_1</v>
      </c>
      <c r="BC2116" s="342"/>
      <c r="BD2116" s="341" t="s">
        <v>692</v>
      </c>
      <c r="BE2116" s="342"/>
      <c r="BF2116" s="342"/>
      <c r="BG2116" s="342"/>
      <c r="BH2116" s="342"/>
      <c r="BI2116" s="342"/>
      <c r="BJ2116" s="342"/>
      <c r="BK2116" s="342"/>
      <c r="BL2116" s="342"/>
      <c r="BM2116" s="342"/>
      <c r="BN2116" s="342"/>
      <c r="BO2116" s="342"/>
      <c r="BP2116" s="342"/>
      <c r="BQ2116" s="342"/>
      <c r="BR2116" s="342"/>
      <c r="BS2116" s="342"/>
      <c r="BT2116" s="342"/>
      <c r="BU2116" s="342"/>
      <c r="BV2116" s="342"/>
      <c r="BW2116" s="342"/>
      <c r="BX2116" s="342"/>
      <c r="BY2116" s="342"/>
      <c r="BZ2116" s="342"/>
      <c r="CA2116" s="342"/>
      <c r="CB2116" s="342"/>
      <c r="CC2116" s="342"/>
      <c r="CD2116" s="342"/>
      <c r="CE2116" s="342"/>
      <c r="CF2116" s="342"/>
      <c r="CG2116" s="342"/>
      <c r="CH2116" s="342"/>
      <c r="CI2116" s="342"/>
      <c r="CJ2116" s="342"/>
      <c r="CK2116" s="342"/>
      <c r="CL2116" s="342"/>
      <c r="CM2116" s="342"/>
      <c r="CN2116" s="342"/>
      <c r="CO2116" s="342"/>
      <c r="CP2116" s="342"/>
      <c r="CQ2116" s="342"/>
      <c r="CR2116" s="342"/>
      <c r="CS2116" s="342"/>
      <c r="CT2116" s="342"/>
      <c r="CU2116" s="342"/>
      <c r="CV2116" s="342"/>
      <c r="CW2116" s="342"/>
      <c r="CX2116" s="342"/>
      <c r="CY2116" s="342"/>
      <c r="CZ2116" s="342"/>
      <c r="DA2116" s="342"/>
      <c r="DB2116" s="342"/>
      <c r="DC2116" s="342"/>
      <c r="DD2116" s="342"/>
      <c r="DE2116" s="342"/>
      <c r="DF2116" s="342"/>
      <c r="DG2116" s="342"/>
      <c r="DH2116" s="342"/>
      <c r="DI2116" s="342"/>
      <c r="DJ2116" s="342"/>
      <c r="DK2116" s="342"/>
      <c r="DL2116" s="342"/>
    </row>
    <row r="2117">
      <c r="A2117" s="44">
        <v>2117.0</v>
      </c>
      <c r="B2117" s="129" t="s">
        <v>114</v>
      </c>
      <c r="C2117" s="62" t="s">
        <v>115</v>
      </c>
      <c r="D2117" s="62" t="s">
        <v>1234</v>
      </c>
      <c r="F2117" s="68" t="s">
        <v>13015</v>
      </c>
      <c r="G2117" s="159" t="s">
        <v>13016</v>
      </c>
      <c r="H2117" s="159" t="s">
        <v>13017</v>
      </c>
      <c r="I2117" s="1287" t="s">
        <v>12992</v>
      </c>
      <c r="J2117" s="1542">
        <v>45762.0</v>
      </c>
      <c r="K2117" s="159" t="s">
        <v>13018</v>
      </c>
      <c r="L2117" s="129" t="s">
        <v>13019</v>
      </c>
      <c r="M2117" s="151" t="s">
        <v>13020</v>
      </c>
      <c r="N2117" s="159" t="s">
        <v>13021</v>
      </c>
      <c r="O2117" s="1356">
        <v>3.0</v>
      </c>
      <c r="P2117" s="382" t="s">
        <v>13022</v>
      </c>
      <c r="Q2117" s="52" t="str">
        <f t="array" ref="Q2117"> if(iserror(MATCH(V2117, 'File Links'!C:C, 0)), "N/A", HYPERLINK(INDEX('File Links'!B:B, MATCH(P2117, 'File Links'!C:C, 0))))</f>
        <v>https://drive.google.com/file/d/1xWbz_w1r9P1BGfJ_vctcFlsqK4cuVLq_/view?usp=drivesdk</v>
      </c>
      <c r="R2117" s="159" t="s">
        <v>13023</v>
      </c>
      <c r="S2117" s="159" t="s">
        <v>13024</v>
      </c>
      <c r="T2117" s="159" t="s">
        <v>138</v>
      </c>
      <c r="U2117" s="156">
        <v>1.0</v>
      </c>
      <c r="V2117" s="382" t="s">
        <v>13025</v>
      </c>
      <c r="W2117" s="159" t="s">
        <v>13026</v>
      </c>
      <c r="X2117" s="54" t="str">
        <f t="array" ref="X2117"> if(iserror(MATCH(V2117, 'File Links'!C:C, 0)), "N/A", HYPERLINK(INDEX('File Links'!B:B, MATCH(V2117, 'File Links'!C:C, 0))))</f>
        <v>https://drive.google.com/file/d/1yMYVS-DUlP_U3zcoWL7wKPwZrYzyiImV/view?usp=drivesdk</v>
      </c>
      <c r="Y2117" s="159"/>
      <c r="Z2117" s="159" t="s">
        <v>226</v>
      </c>
      <c r="AA2117" s="159" t="s">
        <v>13027</v>
      </c>
      <c r="AB2117" s="159" t="s">
        <v>13028</v>
      </c>
      <c r="AC2117" s="159" t="s">
        <v>13029</v>
      </c>
      <c r="AD2117" s="159" t="s">
        <v>13030</v>
      </c>
      <c r="AE2117" s="156">
        <v>9.0</v>
      </c>
      <c r="AF2117" s="156">
        <v>72.0</v>
      </c>
      <c r="AG2117" s="159" t="s">
        <v>138</v>
      </c>
      <c r="AH2117" s="167" t="s">
        <v>138</v>
      </c>
      <c r="AI2117" s="159" t="s">
        <v>138</v>
      </c>
      <c r="AJ2117" s="864">
        <v>0.001</v>
      </c>
      <c r="AK2117" s="159" t="s">
        <v>135</v>
      </c>
      <c r="AL2117" s="159" t="s">
        <v>136</v>
      </c>
      <c r="AM2117" s="159" t="s">
        <v>141</v>
      </c>
      <c r="AN2117" s="68" t="s">
        <v>138</v>
      </c>
      <c r="AO2117" s="156">
        <v>295.0</v>
      </c>
      <c r="AP2117" s="864">
        <v>0.96</v>
      </c>
      <c r="AQ2117" s="159" t="s">
        <v>173</v>
      </c>
      <c r="AR2117" s="159" t="s">
        <v>13031</v>
      </c>
      <c r="AS2117" s="864">
        <v>0.001</v>
      </c>
      <c r="AT2117" s="159" t="s">
        <v>135</v>
      </c>
      <c r="AU2117" s="159" t="s">
        <v>136</v>
      </c>
      <c r="AV2117" s="159" t="s">
        <v>141</v>
      </c>
      <c r="AW2117" s="1961" t="s">
        <v>13032</v>
      </c>
      <c r="AX2117" s="159" t="s">
        <v>151</v>
      </c>
      <c r="AY2117" s="61" t="str">
        <f>IFERROR(__xludf.DUMMYFUNCTION("vlookup(BB2117,importrange(""https://docs.google.com/spreadsheets/d/1d2vevQ_7D_v35q4wCQ4RpQ_IPoTwEMB9Yp6ymwlPqew/edit?gid=984458430#gid=984458430"", ""'replication success'!A:K""), 11, FAlSE)"),"failed")</f>
        <v>failed</v>
      </c>
      <c r="AZ2117" s="61" t="str">
        <f>IFERROR(__xludf.DUMMYFUNCTION("vlookup(BB2117,importrange(""https://docs.google.com/spreadsheets/d/1d2vevQ_7D_v35q4wCQ4RpQ_IPoTwEMB9Yp6ymwlPqew/edit?gid=984458430#gid=984458430"", ""'replication success'!A:M""), 12, FAlSE)"),"Taken together, our results suggest that AMP effects are not implicit in the way that has been claimed,
a finding that has implications for the procedure, past findings, and theory. ")</f>
        <v>Taken together, our results suggest that AMP effects are not implicit in the way that has been claimed,
a finding that has implications for the procedure, past findings, and theory. </v>
      </c>
      <c r="BA2117" s="61" t="str">
        <f>IFERROR(__xludf.DUMMYFUNCTION("vlookup(BB2117,importrange(""https://docs.google.com/spreadsheets/d/1d2vevQ_7D_v35q4wCQ4RpQ_IPoTwEMB9Yp6ymwlPqew/edit?gid=984458430#gid=984458430"", ""'replication success'!A:M""), 13, FAlSE)"),"abstract")</f>
        <v>abstract</v>
      </c>
      <c r="BB2117" s="61" t="str">
        <f>IFERROR(__xludf.DUMMYFUNCTION("REGEXREPLACE(G2117, ""_[a-z]{1,2}$"", """")"),"soscisubmission39")</f>
        <v>soscisubmission39</v>
      </c>
      <c r="BC2117" s="68"/>
      <c r="BD2117" s="62" t="s">
        <v>5074</v>
      </c>
    </row>
    <row r="2118">
      <c r="A2118" s="44">
        <v>2118.0</v>
      </c>
      <c r="B2118" s="129" t="s">
        <v>152</v>
      </c>
      <c r="C2118" s="62" t="s">
        <v>115</v>
      </c>
      <c r="D2118" s="62" t="s">
        <v>1458</v>
      </c>
      <c r="F2118" s="68" t="s">
        <v>13015</v>
      </c>
      <c r="G2118" s="159" t="s">
        <v>13016</v>
      </c>
      <c r="H2118" s="159" t="s">
        <v>1518</v>
      </c>
      <c r="I2118" s="1287" t="s">
        <v>12992</v>
      </c>
      <c r="J2118" s="1542">
        <v>45762.0</v>
      </c>
      <c r="K2118" s="159" t="s">
        <v>13033</v>
      </c>
      <c r="L2118" s="68"/>
      <c r="M2118" s="151" t="s">
        <v>13020</v>
      </c>
      <c r="N2118" s="159" t="s">
        <v>13021</v>
      </c>
      <c r="O2118" s="161">
        <v>3.0</v>
      </c>
      <c r="P2118" s="382" t="s">
        <v>13022</v>
      </c>
      <c r="Q2118" s="52" t="str">
        <f t="array" ref="Q2118"> if(iserror(MATCH(V2118, 'File Links'!C:C, 0)), "N/A", HYPERLINK(INDEX('File Links'!B:B, MATCH(P2118, 'File Links'!C:C, 0))))</f>
        <v>https://drive.google.com/file/d/1xWbz_w1r9P1BGfJ_vctcFlsqK4cuVLq_/view?usp=drivesdk</v>
      </c>
      <c r="R2118" s="159" t="s">
        <v>13023</v>
      </c>
      <c r="S2118" s="159" t="s">
        <v>13024</v>
      </c>
      <c r="T2118" s="159" t="s">
        <v>138</v>
      </c>
      <c r="U2118" s="156">
        <v>1.0</v>
      </c>
      <c r="V2118" s="382" t="s">
        <v>13025</v>
      </c>
      <c r="W2118" s="159" t="s">
        <v>2125</v>
      </c>
      <c r="X2118" s="54" t="str">
        <f t="array" ref="X2118"> if(iserror(MATCH(V2118, 'File Links'!C:C, 0)), "N/A", HYPERLINK(INDEX('File Links'!B:B, MATCH(V2118, 'File Links'!C:C, 0))))</f>
        <v>https://drive.google.com/file/d/1yMYVS-DUlP_U3zcoWL7wKPwZrYzyiImV/view?usp=drivesdk</v>
      </c>
      <c r="Y2118" s="159"/>
      <c r="Z2118" s="159" t="s">
        <v>226</v>
      </c>
      <c r="AA2118" s="159" t="s">
        <v>13027</v>
      </c>
      <c r="AB2118" s="151" t="s">
        <v>13034</v>
      </c>
      <c r="AC2118" s="159" t="s">
        <v>13035</v>
      </c>
      <c r="AD2118" s="151" t="s">
        <v>13036</v>
      </c>
      <c r="AE2118" s="156">
        <v>9.0</v>
      </c>
      <c r="AF2118" s="156">
        <v>72.0</v>
      </c>
      <c r="AG2118" s="1116" t="s">
        <v>13037</v>
      </c>
      <c r="AH2118" s="159" t="s">
        <v>134</v>
      </c>
      <c r="AI2118" s="159" t="s">
        <v>624</v>
      </c>
      <c r="AJ2118" s="1117">
        <v>0.55</v>
      </c>
      <c r="AK2118" s="68" t="s">
        <v>172</v>
      </c>
      <c r="AL2118" s="159" t="s">
        <v>186</v>
      </c>
      <c r="AM2118" s="159" t="s">
        <v>137</v>
      </c>
      <c r="AN2118" s="68" t="s">
        <v>138</v>
      </c>
      <c r="AO2118" s="156">
        <v>295.0</v>
      </c>
      <c r="AP2118" s="159" t="s">
        <v>13038</v>
      </c>
      <c r="AQ2118" s="159" t="s">
        <v>134</v>
      </c>
      <c r="AR2118" s="159" t="s">
        <v>4979</v>
      </c>
      <c r="AS2118" s="156">
        <v>0.001</v>
      </c>
      <c r="AT2118" s="159" t="s">
        <v>135</v>
      </c>
      <c r="AU2118" s="159" t="s">
        <v>186</v>
      </c>
      <c r="AV2118" s="159" t="s">
        <v>141</v>
      </c>
      <c r="AW2118" s="123" t="s">
        <v>13039</v>
      </c>
      <c r="AX2118" s="1115" t="s">
        <v>151</v>
      </c>
      <c r="AY2118" s="61" t="str">
        <f>IFERROR(__xludf.DUMMYFUNCTION("vlookup(BB2118,importrange(""https://docs.google.com/spreadsheets/d/1d2vevQ_7D_v35q4wCQ4RpQ_IPoTwEMB9Yp6ymwlPqew/edit?gid=984458430#gid=984458430"", ""'replication success'!A:K""), 11, FAlSE)"),"failed")</f>
        <v>failed</v>
      </c>
      <c r="AZ2118" s="61" t="str">
        <f>IFERROR(__xludf.DUMMYFUNCTION("vlookup(BB2118,importrange(""https://docs.google.com/spreadsheets/d/1d2vevQ_7D_v35q4wCQ4RpQ_IPoTwEMB9Yp6ymwlPqew/edit?gid=984458430#gid=984458430"", ""'replication success'!A:M""), 12, FAlSE)"),"Taken together, our results suggest that AMP effects are not implicit in the way that has been claimed,
a finding that has implications for the procedure, past findings, and theory. ")</f>
        <v>Taken together, our results suggest that AMP effects are not implicit in the way that has been claimed,
a finding that has implications for the procedure, past findings, and theory. </v>
      </c>
      <c r="BA2118" s="61" t="str">
        <f>IFERROR(__xludf.DUMMYFUNCTION("vlookup(BB2118,importrange(""https://docs.google.com/spreadsheets/d/1d2vevQ_7D_v35q4wCQ4RpQ_IPoTwEMB9Yp6ymwlPqew/edit?gid=984458430#gid=984458430"", ""'replication success'!A:M""), 13, FAlSE)"),"abstract")</f>
        <v>abstract</v>
      </c>
      <c r="BB2118" s="61" t="str">
        <f>IFERROR(__xludf.DUMMYFUNCTION("REGEXREPLACE(G2118, ""_[a-z]{1,2}$"", """")"),"soscisubmission39")</f>
        <v>soscisubmission39</v>
      </c>
      <c r="BD2118" s="62" t="s">
        <v>5074</v>
      </c>
    </row>
    <row r="2119">
      <c r="A2119" s="44">
        <v>2119.0</v>
      </c>
      <c r="B2119" s="129" t="s">
        <v>114</v>
      </c>
      <c r="C2119" s="62" t="s">
        <v>115</v>
      </c>
      <c r="D2119" s="62" t="s">
        <v>248</v>
      </c>
      <c r="F2119" s="68" t="s">
        <v>13040</v>
      </c>
      <c r="G2119" s="68" t="s">
        <v>13041</v>
      </c>
      <c r="H2119" s="68" t="s">
        <v>249</v>
      </c>
      <c r="I2119" s="529">
        <v>45714.0</v>
      </c>
      <c r="J2119" s="1542">
        <v>45762.0</v>
      </c>
      <c r="K2119" s="68" t="s">
        <v>13042</v>
      </c>
      <c r="L2119" s="129" t="s">
        <v>13043</v>
      </c>
      <c r="M2119" s="68" t="s">
        <v>13044</v>
      </c>
      <c r="N2119" s="68" t="s">
        <v>13045</v>
      </c>
      <c r="O2119" s="68" t="s">
        <v>13046</v>
      </c>
      <c r="P2119" s="573" t="s">
        <v>13047</v>
      </c>
      <c r="Q2119" s="52" t="str">
        <f t="array" ref="Q2119"> if(iserror(MATCH(V2119, 'File Links'!C:C, 0)), "N/A", HYPERLINK(INDEX('File Links'!B:B, MATCH(P2119, 'File Links'!C:C, 0))))</f>
        <v>https://drive.google.com/file/d/1OxFDVNyZI1frRjeq-YzZQaUFqgYur5QQ/view?usp=drivesdk</v>
      </c>
      <c r="R2119" s="68" t="s">
        <v>13048</v>
      </c>
      <c r="S2119" s="68" t="s">
        <v>13049</v>
      </c>
      <c r="T2119" s="68"/>
      <c r="U2119" s="336">
        <v>1.0</v>
      </c>
      <c r="V2119" s="573" t="s">
        <v>13050</v>
      </c>
      <c r="W2119" s="68" t="s">
        <v>138</v>
      </c>
      <c r="X2119" s="54" t="str">
        <f t="array" ref="X2119"> if(iserror(MATCH(V2119, 'File Links'!C:C, 0)), "N/A", HYPERLINK(INDEX('File Links'!B:B, MATCH(V2119, 'File Links'!C:C, 0))))</f>
        <v>https://drive.google.com/file/d/1Xoam7f13E5M2EddKf56QMnzGorZg_Rlu/view?usp=drivesdk</v>
      </c>
      <c r="Y2119" s="68"/>
      <c r="Z2119" s="68" t="s">
        <v>226</v>
      </c>
      <c r="AA2119" s="68" t="s">
        <v>138</v>
      </c>
      <c r="AB2119" s="68" t="s">
        <v>13051</v>
      </c>
      <c r="AC2119" s="68" t="s">
        <v>13052</v>
      </c>
      <c r="AD2119" s="68" t="s">
        <v>13053</v>
      </c>
      <c r="AE2119" s="336">
        <v>5.0</v>
      </c>
      <c r="AF2119" s="336">
        <v>601.0</v>
      </c>
      <c r="AG2119" s="336">
        <v>0.84</v>
      </c>
      <c r="AH2119" s="68" t="s">
        <v>173</v>
      </c>
      <c r="AI2119" s="68" t="s">
        <v>813</v>
      </c>
      <c r="AJ2119" s="336">
        <v>0.001</v>
      </c>
      <c r="AK2119" s="68" t="s">
        <v>135</v>
      </c>
      <c r="AL2119" s="68" t="s">
        <v>186</v>
      </c>
      <c r="AM2119" s="68" t="s">
        <v>141</v>
      </c>
      <c r="AN2119" s="68" t="s">
        <v>138</v>
      </c>
      <c r="AO2119" s="336">
        <v>446.0</v>
      </c>
      <c r="AP2119" s="336">
        <v>0.728</v>
      </c>
      <c r="AQ2119" s="68" t="s">
        <v>173</v>
      </c>
      <c r="AR2119" s="68" t="s">
        <v>305</v>
      </c>
      <c r="AS2119" s="336">
        <v>0.001</v>
      </c>
      <c r="AT2119" s="68" t="s">
        <v>135</v>
      </c>
      <c r="AU2119" s="68" t="s">
        <v>136</v>
      </c>
      <c r="AV2119" s="68" t="s">
        <v>141</v>
      </c>
      <c r="AW2119" s="1385" t="s">
        <v>13054</v>
      </c>
      <c r="AX2119" s="68" t="s">
        <v>438</v>
      </c>
      <c r="AY2119" s="61" t="str">
        <f>IFERROR(__xludf.DUMMYFUNCTION("vlookup(BB2119,importrange(""https://docs.google.com/spreadsheets/d/1d2vevQ_7D_v35q4wCQ4RpQ_IPoTwEMB9Yp6ymwlPqew/edit?gid=984458430#gid=984458430"", ""'replication success'!A:K""), 11, FAlSE)"),"successful")</f>
        <v>successful</v>
      </c>
      <c r="AZ2119" s="61" t="str">
        <f>IFERROR(__xludf.DUMMYFUNCTION("vlookup(BB2119,importrange(""https://docs.google.com/spreadsheets/d/1d2vevQ_7D_v35q4wCQ4RpQ_IPoTwEMB9Yp6ymwlPqew/edit?gid=984458430#gid=984458430"",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119" s="61" t="str">
        <f>IFERROR(__xludf.DUMMYFUNCTION("vlookup(BB2119,importrange(""https://docs.google.com/spreadsheets/d/1d2vevQ_7D_v35q4wCQ4RpQ_IPoTwEMB9Yp6ymwlPqew/edit?gid=984458430#gid=984458430"", ""'replication success'!A:M""), 13, FAlSE)"),"pg. 9")</f>
        <v>pg. 9</v>
      </c>
      <c r="BB2119" s="61" t="str">
        <f>IFERROR(__xludf.DUMMYFUNCTION("REGEXREPLACE(G2119, ""_[a-z]{1,2}$"", """")"),"soscisubmission41")</f>
        <v>soscisubmission41</v>
      </c>
      <c r="BD2119" s="62" t="s">
        <v>5074</v>
      </c>
    </row>
    <row r="2120">
      <c r="A2120" s="44">
        <v>2120.0</v>
      </c>
      <c r="B2120" s="129" t="s">
        <v>152</v>
      </c>
      <c r="C2120" s="62" t="s">
        <v>115</v>
      </c>
      <c r="D2120" s="62" t="s">
        <v>145</v>
      </c>
      <c r="F2120" s="68" t="s">
        <v>13040</v>
      </c>
      <c r="G2120" s="68" t="s">
        <v>13041</v>
      </c>
      <c r="H2120" s="68" t="s">
        <v>13055</v>
      </c>
      <c r="I2120" s="529">
        <v>45713.0</v>
      </c>
      <c r="J2120" s="1542">
        <v>45762.0</v>
      </c>
      <c r="K2120" s="68"/>
      <c r="L2120" s="68" t="s">
        <v>13056</v>
      </c>
      <c r="M2120" s="68" t="s">
        <v>13044</v>
      </c>
      <c r="N2120" s="68" t="s">
        <v>13045</v>
      </c>
      <c r="O2120" s="68" t="s">
        <v>13057</v>
      </c>
      <c r="P2120" s="68" t="s">
        <v>13047</v>
      </c>
      <c r="Q2120" s="52" t="str">
        <f t="array" ref="Q2120"> if(iserror(MATCH(V2120, 'File Links'!C:C, 0)), "N/A", HYPERLINK(INDEX('File Links'!B:B, MATCH(P2120, 'File Links'!C:C, 0))))</f>
        <v>https://drive.google.com/file/d/1OxFDVNyZI1frRjeq-YzZQaUFqgYur5QQ/view?usp=drivesdk</v>
      </c>
      <c r="R2120" s="68" t="s">
        <v>13048</v>
      </c>
      <c r="S2120" s="68" t="s">
        <v>13049</v>
      </c>
      <c r="T2120" s="68"/>
      <c r="U2120" s="129">
        <v>2.0</v>
      </c>
      <c r="V2120" s="68" t="s">
        <v>13050</v>
      </c>
      <c r="W2120" s="68" t="s">
        <v>13058</v>
      </c>
      <c r="X2120" s="54" t="str">
        <f t="array" ref="X2120"> if(iserror(MATCH(V2120, 'File Links'!C:C, 0)), "N/A", HYPERLINK(INDEX('File Links'!B:B, MATCH(V2120, 'File Links'!C:C, 0))))</f>
        <v>https://drive.google.com/file/d/1Xoam7f13E5M2EddKf56QMnzGorZg_Rlu/view?usp=drivesdk</v>
      </c>
      <c r="Y2120" s="68"/>
      <c r="Z2120" s="68" t="s">
        <v>226</v>
      </c>
      <c r="AA2120" s="68" t="s">
        <v>13059</v>
      </c>
      <c r="AB2120" s="68" t="s">
        <v>13060</v>
      </c>
      <c r="AC2120" s="68" t="s">
        <v>13052</v>
      </c>
      <c r="AD2120" s="68" t="s">
        <v>13061</v>
      </c>
      <c r="AE2120" s="68" t="s">
        <v>5747</v>
      </c>
      <c r="AF2120" s="336">
        <v>601.0</v>
      </c>
      <c r="AG2120" s="336">
        <v>0.84</v>
      </c>
      <c r="AH2120" s="68" t="s">
        <v>173</v>
      </c>
      <c r="AI2120" s="1300" t="s">
        <v>813</v>
      </c>
      <c r="AJ2120" s="336">
        <v>0.001</v>
      </c>
      <c r="AK2120" s="68" t="s">
        <v>135</v>
      </c>
      <c r="AL2120" s="68" t="s">
        <v>186</v>
      </c>
      <c r="AM2120" s="68" t="s">
        <v>137</v>
      </c>
      <c r="AN2120" s="68" t="s">
        <v>138</v>
      </c>
      <c r="AO2120" s="336">
        <v>446.0</v>
      </c>
      <c r="AP2120" s="336">
        <v>0.728</v>
      </c>
      <c r="AQ2120" s="68" t="s">
        <v>173</v>
      </c>
      <c r="AR2120" s="68" t="s">
        <v>305</v>
      </c>
      <c r="AS2120" s="336">
        <v>0.001</v>
      </c>
      <c r="AT2120" s="68" t="s">
        <v>135</v>
      </c>
      <c r="AU2120" s="68" t="s">
        <v>186</v>
      </c>
      <c r="AV2120" s="68" t="s">
        <v>137</v>
      </c>
      <c r="AW2120" s="68" t="s">
        <v>1535</v>
      </c>
      <c r="AX2120" s="68" t="s">
        <v>438</v>
      </c>
      <c r="AY2120" s="61" t="str">
        <f>IFERROR(__xludf.DUMMYFUNCTION("vlookup(BB2120,importrange(""https://docs.google.com/spreadsheets/d/1d2vevQ_7D_v35q4wCQ4RpQ_IPoTwEMB9Yp6ymwlPqew/edit?gid=984458430#gid=984458430"", ""'replication success'!A:K""), 11, FAlSE)"),"successful")</f>
        <v>successful</v>
      </c>
      <c r="AZ2120" s="61" t="str">
        <f>IFERROR(__xludf.DUMMYFUNCTION("vlookup(BB2120,importrange(""https://docs.google.com/spreadsheets/d/1d2vevQ_7D_v35q4wCQ4RpQ_IPoTwEMB9Yp6ymwlPqew/edit?gid=984458430#gid=984458430"",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120" s="61" t="str">
        <f>IFERROR(__xludf.DUMMYFUNCTION("vlookup(BB2120,importrange(""https://docs.google.com/spreadsheets/d/1d2vevQ_7D_v35q4wCQ4RpQ_IPoTwEMB9Yp6ymwlPqew/edit?gid=984458430#gid=984458430"", ""'replication success'!A:M""), 13, FAlSE)"),"pg. 9")</f>
        <v>pg. 9</v>
      </c>
      <c r="BB2120" s="61" t="str">
        <f>IFERROR(__xludf.DUMMYFUNCTION("REGEXREPLACE(G2120, ""_[a-z]{1,2}$"", """")"),"soscisubmission41")</f>
        <v>soscisubmission41</v>
      </c>
      <c r="BD2120" s="62" t="s">
        <v>5074</v>
      </c>
    </row>
    <row r="2121">
      <c r="A2121" s="44">
        <v>2121.0</v>
      </c>
      <c r="B2121" s="129" t="s">
        <v>523</v>
      </c>
      <c r="C2121" s="62" t="s">
        <v>115</v>
      </c>
      <c r="D2121" s="62" t="s">
        <v>248</v>
      </c>
      <c r="F2121" s="68" t="s">
        <v>13062</v>
      </c>
      <c r="G2121" s="68" t="s">
        <v>13041</v>
      </c>
      <c r="H2121" s="68" t="s">
        <v>249</v>
      </c>
      <c r="I2121" s="529">
        <v>45714.0</v>
      </c>
      <c r="J2121" s="68"/>
      <c r="K2121" s="68" t="s">
        <v>13042</v>
      </c>
      <c r="L2121" s="68" t="s">
        <v>13063</v>
      </c>
      <c r="M2121" s="68" t="s">
        <v>13044</v>
      </c>
      <c r="N2121" s="68" t="s">
        <v>13045</v>
      </c>
      <c r="O2121" s="68" t="s">
        <v>13046</v>
      </c>
      <c r="P2121" s="573" t="s">
        <v>13047</v>
      </c>
      <c r="Q2121" s="52" t="str">
        <f t="array" ref="Q2121"> if(iserror(MATCH(V2121, 'File Links'!C:C, 0)), "N/A", HYPERLINK(INDEX('File Links'!B:B, MATCH(P2121, 'File Links'!C:C, 0))))</f>
        <v>https://drive.google.com/file/d/1OxFDVNyZI1frRjeq-YzZQaUFqgYur5QQ/view?usp=drivesdk</v>
      </c>
      <c r="R2121" s="68" t="s">
        <v>13048</v>
      </c>
      <c r="S2121" s="68" t="s">
        <v>13049</v>
      </c>
      <c r="T2121" s="68"/>
      <c r="U2121" s="336">
        <v>1.0</v>
      </c>
      <c r="V2121" s="573" t="s">
        <v>13050</v>
      </c>
      <c r="W2121" s="68" t="s">
        <v>138</v>
      </c>
      <c r="X2121" s="54" t="str">
        <f t="array" ref="X2121"> if(iserror(MATCH(V2121, 'File Links'!C:C, 0)), "N/A", HYPERLINK(INDEX('File Links'!B:B, MATCH(V2121, 'File Links'!C:C, 0))))</f>
        <v>https://drive.google.com/file/d/1Xoam7f13E5M2EddKf56QMnzGorZg_Rlu/view?usp=drivesdk</v>
      </c>
      <c r="Y2121" s="68"/>
      <c r="Z2121" s="68" t="s">
        <v>226</v>
      </c>
      <c r="AA2121" s="68" t="s">
        <v>138</v>
      </c>
      <c r="AB2121" s="68" t="s">
        <v>13051</v>
      </c>
      <c r="AC2121" s="68" t="s">
        <v>13064</v>
      </c>
      <c r="AD2121" s="68" t="s">
        <v>13053</v>
      </c>
      <c r="AE2121" s="336">
        <v>5.0</v>
      </c>
      <c r="AF2121" s="336">
        <v>601.0</v>
      </c>
      <c r="AG2121" s="336">
        <v>0.35</v>
      </c>
      <c r="AH2121" s="68" t="s">
        <v>173</v>
      </c>
      <c r="AI2121" s="68" t="s">
        <v>813</v>
      </c>
      <c r="AJ2121" s="336">
        <v>0.001</v>
      </c>
      <c r="AK2121" s="68" t="s">
        <v>135</v>
      </c>
      <c r="AL2121" s="68" t="s">
        <v>186</v>
      </c>
      <c r="AM2121" s="68" t="s">
        <v>141</v>
      </c>
      <c r="AN2121" s="68" t="s">
        <v>138</v>
      </c>
      <c r="AO2121" s="336">
        <v>446.0</v>
      </c>
      <c r="AP2121" s="336">
        <v>0.365</v>
      </c>
      <c r="AQ2121" s="68" t="s">
        <v>173</v>
      </c>
      <c r="AR2121" s="68" t="s">
        <v>305</v>
      </c>
      <c r="AS2121" s="336">
        <v>0.001</v>
      </c>
      <c r="AT2121" s="68" t="s">
        <v>135</v>
      </c>
      <c r="AU2121" s="68" t="s">
        <v>136</v>
      </c>
      <c r="AV2121" s="68" t="s">
        <v>141</v>
      </c>
      <c r="AW2121" s="435" t="s">
        <v>13054</v>
      </c>
      <c r="AX2121" s="68" t="s">
        <v>438</v>
      </c>
      <c r="AY2121" s="61" t="str">
        <f>IFERROR(__xludf.DUMMYFUNCTION("vlookup(BB2121,importrange(""https://docs.google.com/spreadsheets/d/1d2vevQ_7D_v35q4wCQ4RpQ_IPoTwEMB9Yp6ymwlPqew/edit?gid=984458430#gid=984458430"", ""'replication success'!A:K""), 11, FAlSE)"),"successful")</f>
        <v>successful</v>
      </c>
      <c r="AZ2121" s="61" t="str">
        <f>IFERROR(__xludf.DUMMYFUNCTION("vlookup(BB2121,importrange(""https://docs.google.com/spreadsheets/d/1d2vevQ_7D_v35q4wCQ4RpQ_IPoTwEMB9Yp6ymwlPqew/edit?gid=984458430#gid=984458430"",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121" s="61" t="str">
        <f>IFERROR(__xludf.DUMMYFUNCTION("vlookup(BB2121,importrange(""https://docs.google.com/spreadsheets/d/1d2vevQ_7D_v35q4wCQ4RpQ_IPoTwEMB9Yp6ymwlPqew/edit?gid=984458430#gid=984458430"", ""'replication success'!A:M""), 13, FAlSE)"),"pg. 9")</f>
        <v>pg. 9</v>
      </c>
      <c r="BB2121" s="61" t="str">
        <f>IFERROR(__xludf.DUMMYFUNCTION("REGEXREPLACE(G2121, ""_[a-z]{1,2}$"", """")"),"soscisubmission41")</f>
        <v>soscisubmission41</v>
      </c>
    </row>
    <row r="2122">
      <c r="A2122" s="44">
        <v>2122.0</v>
      </c>
      <c r="B2122" s="129" t="s">
        <v>523</v>
      </c>
      <c r="C2122" s="62" t="s">
        <v>115</v>
      </c>
      <c r="D2122" s="62" t="s">
        <v>248</v>
      </c>
      <c r="F2122" s="68" t="s">
        <v>13065</v>
      </c>
      <c r="G2122" s="68" t="s">
        <v>13041</v>
      </c>
      <c r="H2122" s="68" t="s">
        <v>249</v>
      </c>
      <c r="I2122" s="529">
        <v>45714.0</v>
      </c>
      <c r="J2122" s="68"/>
      <c r="K2122" s="68" t="s">
        <v>13042</v>
      </c>
      <c r="L2122" s="68" t="s">
        <v>13066</v>
      </c>
      <c r="M2122" s="68" t="s">
        <v>13044</v>
      </c>
      <c r="N2122" s="68" t="s">
        <v>13045</v>
      </c>
      <c r="O2122" s="68" t="s">
        <v>13046</v>
      </c>
      <c r="P2122" s="573" t="s">
        <v>13047</v>
      </c>
      <c r="Q2122" s="52" t="str">
        <f t="array" ref="Q2122"> if(iserror(MATCH(V2122, 'File Links'!C:C, 0)), "N/A", HYPERLINK(INDEX('File Links'!B:B, MATCH(P2122, 'File Links'!C:C, 0))))</f>
        <v>https://drive.google.com/file/d/1OxFDVNyZI1frRjeq-YzZQaUFqgYur5QQ/view?usp=drivesdk</v>
      </c>
      <c r="R2122" s="68" t="s">
        <v>13048</v>
      </c>
      <c r="S2122" s="68" t="s">
        <v>13049</v>
      </c>
      <c r="T2122" s="68"/>
      <c r="U2122" s="336">
        <v>1.0</v>
      </c>
      <c r="V2122" s="573" t="s">
        <v>13050</v>
      </c>
      <c r="W2122" s="68" t="s">
        <v>138</v>
      </c>
      <c r="X2122" s="54" t="str">
        <f t="array" ref="X2122"> if(iserror(MATCH(V2122, 'File Links'!C:C, 0)), "N/A", HYPERLINK(INDEX('File Links'!B:B, MATCH(V2122, 'File Links'!C:C, 0))))</f>
        <v>https://drive.google.com/file/d/1Xoam7f13E5M2EddKf56QMnzGorZg_Rlu/view?usp=drivesdk</v>
      </c>
      <c r="Y2122" s="68"/>
      <c r="Z2122" s="68" t="s">
        <v>226</v>
      </c>
      <c r="AA2122" s="68" t="s">
        <v>138</v>
      </c>
      <c r="AB2122" s="68" t="s">
        <v>13051</v>
      </c>
      <c r="AC2122" s="68" t="s">
        <v>13067</v>
      </c>
      <c r="AD2122" s="68" t="s">
        <v>13053</v>
      </c>
      <c r="AE2122" s="336">
        <v>5.0</v>
      </c>
      <c r="AF2122" s="336">
        <v>601.0</v>
      </c>
      <c r="AG2122" s="336">
        <v>0.44</v>
      </c>
      <c r="AH2122" s="68" t="s">
        <v>173</v>
      </c>
      <c r="AI2122" s="68" t="s">
        <v>813</v>
      </c>
      <c r="AJ2122" s="336">
        <v>0.001</v>
      </c>
      <c r="AK2122" s="68" t="s">
        <v>135</v>
      </c>
      <c r="AL2122" s="68" t="s">
        <v>186</v>
      </c>
      <c r="AM2122" s="68" t="s">
        <v>141</v>
      </c>
      <c r="AN2122" s="68" t="s">
        <v>138</v>
      </c>
      <c r="AO2122" s="336">
        <v>446.0</v>
      </c>
      <c r="AP2122" s="336">
        <v>0.409</v>
      </c>
      <c r="AQ2122" s="68" t="s">
        <v>173</v>
      </c>
      <c r="AR2122" s="68" t="s">
        <v>305</v>
      </c>
      <c r="AS2122" s="336">
        <v>0.001</v>
      </c>
      <c r="AT2122" s="68" t="s">
        <v>135</v>
      </c>
      <c r="AU2122" s="68" t="s">
        <v>136</v>
      </c>
      <c r="AV2122" s="68" t="s">
        <v>141</v>
      </c>
      <c r="AW2122" s="435" t="s">
        <v>13054</v>
      </c>
      <c r="AX2122" s="68" t="s">
        <v>438</v>
      </c>
      <c r="AY2122" s="61" t="str">
        <f>IFERROR(__xludf.DUMMYFUNCTION("vlookup(BB2122,importrange(""https://docs.google.com/spreadsheets/d/1d2vevQ_7D_v35q4wCQ4RpQ_IPoTwEMB9Yp6ymwlPqew/edit?gid=984458430#gid=984458430"", ""'replication success'!A:K""), 11, FAlSE)"),"successful")</f>
        <v>successful</v>
      </c>
      <c r="AZ2122" s="61" t="str">
        <f>IFERROR(__xludf.DUMMYFUNCTION("vlookup(BB2122,importrange(""https://docs.google.com/spreadsheets/d/1d2vevQ_7D_v35q4wCQ4RpQ_IPoTwEMB9Yp6ymwlPqew/edit?gid=984458430#gid=984458430"",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122" s="61" t="str">
        <f>IFERROR(__xludf.DUMMYFUNCTION("vlookup(BB2122,importrange(""https://docs.google.com/spreadsheets/d/1d2vevQ_7D_v35q4wCQ4RpQ_IPoTwEMB9Yp6ymwlPqew/edit?gid=984458430#gid=984458430"", ""'replication success'!A:M""), 13, FAlSE)"),"pg. 9")</f>
        <v>pg. 9</v>
      </c>
      <c r="BB2122" s="61" t="str">
        <f>IFERROR(__xludf.DUMMYFUNCTION("REGEXREPLACE(G2122, ""_[a-z]{1,2}$"", """")"),"soscisubmission41")</f>
        <v>soscisubmission41</v>
      </c>
    </row>
    <row r="2123">
      <c r="A2123" s="44">
        <v>2123.0</v>
      </c>
      <c r="B2123" s="129" t="s">
        <v>152</v>
      </c>
      <c r="C2123" s="62" t="s">
        <v>115</v>
      </c>
      <c r="D2123" s="62" t="s">
        <v>248</v>
      </c>
      <c r="F2123" s="68" t="s">
        <v>13068</v>
      </c>
      <c r="G2123" s="68" t="s">
        <v>13069</v>
      </c>
      <c r="H2123" s="68" t="s">
        <v>249</v>
      </c>
      <c r="I2123" s="529">
        <v>45713.0</v>
      </c>
      <c r="J2123" s="1542">
        <v>45762.0</v>
      </c>
      <c r="K2123" s="68"/>
      <c r="L2123" s="129" t="s">
        <v>13070</v>
      </c>
      <c r="M2123" s="68" t="s">
        <v>13071</v>
      </c>
      <c r="N2123" s="68" t="s">
        <v>13072</v>
      </c>
      <c r="O2123" s="336">
        <v>3.0</v>
      </c>
      <c r="P2123" s="573" t="s">
        <v>13073</v>
      </c>
      <c r="Q2123" s="52" t="str">
        <f t="array" ref="Q2123"> if(iserror(MATCH(V2123, 'File Links'!C:C, 0)), "N/A", HYPERLINK(INDEX('File Links'!B:B, MATCH(P2123, 'File Links'!C:C, 0))))</f>
        <v>https://drive.google.com/file/d/13_FjItFP6GHekMwAss_IcUYD2Z-Q2DAK/view?usp=drivesdk</v>
      </c>
      <c r="R2123" s="68" t="s">
        <v>13074</v>
      </c>
      <c r="S2123" s="68" t="s">
        <v>13075</v>
      </c>
      <c r="T2123" s="68"/>
      <c r="U2123" s="68"/>
      <c r="V2123" s="573" t="s">
        <v>13076</v>
      </c>
      <c r="W2123" s="68" t="s">
        <v>138</v>
      </c>
      <c r="X2123" s="54" t="str">
        <f t="array" ref="X2123"> if(iserror(MATCH(V2123, 'File Links'!C:C, 0)), "N/A", HYPERLINK(INDEX('File Links'!B:B, MATCH(V2123, 'File Links'!C:C, 0))))</f>
        <v>https://drive.google.com/file/d/1d6qI-QqNlpjQgx9Vwa0NjPkDpYx45iMg/view?usp=drivesdk</v>
      </c>
      <c r="Y2123" s="68"/>
      <c r="Z2123" s="68" t="s">
        <v>226</v>
      </c>
      <c r="AA2123" s="68" t="s">
        <v>13077</v>
      </c>
      <c r="AB2123" s="68" t="s">
        <v>13078</v>
      </c>
      <c r="AC2123" s="68" t="s">
        <v>13079</v>
      </c>
      <c r="AD2123" s="68" t="s">
        <v>13080</v>
      </c>
      <c r="AE2123" s="336">
        <v>7.0</v>
      </c>
      <c r="AF2123" s="336">
        <v>135.0</v>
      </c>
      <c r="AG2123" s="336">
        <v>0.355</v>
      </c>
      <c r="AH2123" s="68" t="s">
        <v>173</v>
      </c>
      <c r="AI2123" s="68" t="s">
        <v>132</v>
      </c>
      <c r="AJ2123" s="336">
        <v>0.04</v>
      </c>
      <c r="AK2123" s="68" t="s">
        <v>172</v>
      </c>
      <c r="AL2123" s="68" t="s">
        <v>186</v>
      </c>
      <c r="AM2123" s="68" t="s">
        <v>137</v>
      </c>
      <c r="AN2123" s="68" t="s">
        <v>138</v>
      </c>
      <c r="AO2123" s="336">
        <v>740.0</v>
      </c>
      <c r="AP2123" s="501">
        <v>0.342</v>
      </c>
      <c r="AQ2123" s="129" t="s">
        <v>173</v>
      </c>
      <c r="AR2123" s="68" t="s">
        <v>1042</v>
      </c>
      <c r="AS2123" s="336">
        <v>0.001</v>
      </c>
      <c r="AT2123" s="68" t="s">
        <v>135</v>
      </c>
      <c r="AU2123" s="68" t="s">
        <v>186</v>
      </c>
      <c r="AV2123" s="68" t="s">
        <v>137</v>
      </c>
      <c r="AW2123" s="435" t="s">
        <v>13081</v>
      </c>
      <c r="AX2123" s="68" t="s">
        <v>438</v>
      </c>
      <c r="AY2123" s="61" t="str">
        <f>IFERROR(__xludf.DUMMYFUNCTION("vlookup(BB2123,importrange(""https://docs.google.com/spreadsheets/d/1d2vevQ_7D_v35q4wCQ4RpQ_IPoTwEMB9Yp6ymwlPqew/edit?gid=984458430#gid=984458430"", ""'replication success'!A:K""), 11, FAlSE)"),"uninformative")</f>
        <v>uninformative</v>
      </c>
      <c r="AZ2123" s="61" t="str">
        <f>IFERROR(__xludf.DUMMYFUNCTION("vlookup(BB2123,importrange(""https://docs.google.com/spreadsheets/d/1d2vevQ_7D_v35q4wCQ4RpQ_IPoTwEMB9Yp6ymwlPqew/edit?gid=984458430#gid=984458430"", ""'replication success'!A:M""), 12, FAlSE)"),"NA")</f>
        <v>NA</v>
      </c>
      <c r="BA2123" s="61" t="str">
        <f>IFERROR(__xludf.DUMMYFUNCTION("vlookup(BB2123,importrange(""https://docs.google.com/spreadsheets/d/1d2vevQ_7D_v35q4wCQ4RpQ_IPoTwEMB9Yp6ymwlPqew/edit?gid=984458430#gid=984458430"", ""'replication success'!A:M""), 13, FAlSE)"),"abstract")</f>
        <v>abstract</v>
      </c>
      <c r="BB2123" s="61" t="str">
        <f>IFERROR(__xludf.DUMMYFUNCTION("REGEXREPLACE(G2123, ""_[a-z]{1,2}$"", """")"),"soscisubmission45")</f>
        <v>soscisubmission45</v>
      </c>
      <c r="BD2123" s="62" t="s">
        <v>5074</v>
      </c>
    </row>
    <row r="2124">
      <c r="A2124" s="44">
        <v>2124.0</v>
      </c>
      <c r="B2124" s="129" t="s">
        <v>114</v>
      </c>
      <c r="C2124" s="62" t="s">
        <v>115</v>
      </c>
      <c r="D2124" s="62" t="s">
        <v>145</v>
      </c>
      <c r="F2124" s="68" t="s">
        <v>13068</v>
      </c>
      <c r="G2124" s="68" t="s">
        <v>13069</v>
      </c>
      <c r="H2124" s="68" t="s">
        <v>13082</v>
      </c>
      <c r="I2124" s="529">
        <v>45713.0</v>
      </c>
      <c r="J2124" s="1542">
        <v>45762.0</v>
      </c>
      <c r="K2124" s="68" t="s">
        <v>13083</v>
      </c>
      <c r="L2124" s="68" t="s">
        <v>12841</v>
      </c>
      <c r="M2124" s="594" t="s">
        <v>13084</v>
      </c>
      <c r="N2124" s="68" t="s">
        <v>13072</v>
      </c>
      <c r="O2124" s="336">
        <v>3.0</v>
      </c>
      <c r="P2124" s="68" t="s">
        <v>13073</v>
      </c>
      <c r="Q2124" s="52" t="str">
        <f t="array" ref="Q2124"> if(iserror(MATCH(V2124, 'File Links'!C:C, 0)), "N/A", HYPERLINK(INDEX('File Links'!B:B, MATCH(P2124, 'File Links'!C:C, 0))))</f>
        <v>https://drive.google.com/file/d/13_FjItFP6GHekMwAss_IcUYD2Z-Q2DAK/view?usp=drivesdk</v>
      </c>
      <c r="R2124" s="68" t="s">
        <v>13074</v>
      </c>
      <c r="S2124" s="68" t="s">
        <v>13075</v>
      </c>
      <c r="T2124" s="68"/>
      <c r="U2124" s="68"/>
      <c r="V2124" s="68" t="s">
        <v>13076</v>
      </c>
      <c r="W2124" s="68" t="s">
        <v>13058</v>
      </c>
      <c r="X2124" s="54" t="str">
        <f t="array" ref="X2124"> if(iserror(MATCH(V2124, 'File Links'!C:C, 0)), "N/A", HYPERLINK(INDEX('File Links'!B:B, MATCH(V2124, 'File Links'!C:C, 0))))</f>
        <v>https://drive.google.com/file/d/1d6qI-QqNlpjQgx9Vwa0NjPkDpYx45iMg/view?usp=drivesdk</v>
      </c>
      <c r="Y2124" s="68"/>
      <c r="Z2124" s="68" t="s">
        <v>226</v>
      </c>
      <c r="AA2124" s="68" t="s">
        <v>13077</v>
      </c>
      <c r="AB2124" s="68" t="s">
        <v>13085</v>
      </c>
      <c r="AC2124" s="68" t="s">
        <v>13079</v>
      </c>
      <c r="AD2124" s="68" t="s">
        <v>13086</v>
      </c>
      <c r="AE2124" s="336">
        <v>7.0</v>
      </c>
      <c r="AF2124" s="336">
        <v>135.0</v>
      </c>
      <c r="AG2124" s="1392" t="s">
        <v>13087</v>
      </c>
      <c r="AH2124" s="68" t="s">
        <v>134</v>
      </c>
      <c r="AI2124" s="68" t="s">
        <v>132</v>
      </c>
      <c r="AJ2124" s="336">
        <v>0.777</v>
      </c>
      <c r="AK2124" s="68" t="s">
        <v>172</v>
      </c>
      <c r="AL2124" s="68" t="s">
        <v>186</v>
      </c>
      <c r="AM2124" s="68" t="s">
        <v>137</v>
      </c>
      <c r="AN2124" s="68" t="s">
        <v>138</v>
      </c>
      <c r="AO2124" s="1949">
        <v>457.0</v>
      </c>
      <c r="AP2124" s="1949">
        <v>0.117</v>
      </c>
      <c r="AQ2124" s="1392" t="s">
        <v>215</v>
      </c>
      <c r="AR2124" s="68" t="s">
        <v>140</v>
      </c>
      <c r="AS2124" s="336">
        <v>0.001</v>
      </c>
      <c r="AT2124" s="68" t="s">
        <v>135</v>
      </c>
      <c r="AU2124" s="68" t="s">
        <v>186</v>
      </c>
      <c r="AV2124" s="68" t="s">
        <v>137</v>
      </c>
      <c r="AW2124" s="435" t="s">
        <v>13081</v>
      </c>
      <c r="AX2124" s="68" t="s">
        <v>438</v>
      </c>
      <c r="AY2124" s="61" t="str">
        <f>IFERROR(__xludf.DUMMYFUNCTION("vlookup(BB2124,importrange(""https://docs.google.com/spreadsheets/d/1d2vevQ_7D_v35q4wCQ4RpQ_IPoTwEMB9Yp6ymwlPqew/edit?gid=984458430#gid=984458430"", ""'replication success'!A:K""), 11, FAlSE)"),"uninformative")</f>
        <v>uninformative</v>
      </c>
      <c r="AZ2124" s="61" t="str">
        <f>IFERROR(__xludf.DUMMYFUNCTION("vlookup(BB2124,importrange(""https://docs.google.com/spreadsheets/d/1d2vevQ_7D_v35q4wCQ4RpQ_IPoTwEMB9Yp6ymwlPqew/edit?gid=984458430#gid=984458430"", ""'replication success'!A:M""), 12, FAlSE)"),"NA")</f>
        <v>NA</v>
      </c>
      <c r="BA2124" s="61" t="str">
        <f>IFERROR(__xludf.DUMMYFUNCTION("vlookup(BB2124,importrange(""https://docs.google.com/spreadsheets/d/1d2vevQ_7D_v35q4wCQ4RpQ_IPoTwEMB9Yp6ymwlPqew/edit?gid=984458430#gid=984458430"", ""'replication success'!A:M""), 13, FAlSE)"),"abstract")</f>
        <v>abstract</v>
      </c>
      <c r="BB2124" s="61" t="str">
        <f>IFERROR(__xludf.DUMMYFUNCTION("REGEXREPLACE(G2124, ""_[a-z]{1,2}$"", """")"),"soscisubmission45")</f>
        <v>soscisubmission45</v>
      </c>
      <c r="BD2124" s="62" t="s">
        <v>5074</v>
      </c>
    </row>
    <row r="2125">
      <c r="A2125" s="44">
        <v>2125.0</v>
      </c>
      <c r="B2125" s="129" t="s">
        <v>152</v>
      </c>
      <c r="C2125" s="62" t="s">
        <v>115</v>
      </c>
      <c r="D2125" s="62" t="s">
        <v>248</v>
      </c>
      <c r="F2125" s="68" t="s">
        <v>13088</v>
      </c>
      <c r="G2125" s="68" t="s">
        <v>13089</v>
      </c>
      <c r="H2125" s="68" t="s">
        <v>249</v>
      </c>
      <c r="I2125" s="529">
        <v>45713.0</v>
      </c>
      <c r="J2125" s="68"/>
      <c r="K2125" s="68" t="s">
        <v>13090</v>
      </c>
      <c r="L2125" s="129" t="s">
        <v>13091</v>
      </c>
      <c r="M2125" s="68" t="s">
        <v>13092</v>
      </c>
      <c r="N2125" s="68" t="s">
        <v>13093</v>
      </c>
      <c r="O2125" s="336">
        <v>2.0</v>
      </c>
      <c r="P2125" s="573" t="s">
        <v>13094</v>
      </c>
      <c r="Q2125" s="108" t="str">
        <f t="array" ref="Q2125"> if(iserror(MATCH(V2125, 'File Links'!C:C, 0)), "N/A", HYPERLINK(INDEX('File Links'!B:B, MATCH(P2125, 'File Links'!C:C, 0))))</f>
        <v>N/A</v>
      </c>
      <c r="R2125" s="68" t="s">
        <v>13095</v>
      </c>
      <c r="S2125" s="68" t="s">
        <v>138</v>
      </c>
      <c r="T2125" s="435" t="s">
        <v>13096</v>
      </c>
      <c r="U2125" s="68"/>
      <c r="V2125" s="1078" t="s">
        <v>138</v>
      </c>
      <c r="W2125" s="68" t="s">
        <v>209</v>
      </c>
      <c r="X2125" s="49" t="str">
        <f t="array" ref="X2125"> if(iserror(MATCH(V2125, 'File Links'!C:C, 0)), "N/A", HYPERLINK(INDEX('File Links'!B:B, MATCH(V2125, 'File Links'!C:C, 0))))</f>
        <v>N/A</v>
      </c>
      <c r="Y2125" s="68"/>
      <c r="Z2125" s="68" t="s">
        <v>148</v>
      </c>
      <c r="AA2125" s="68" t="s">
        <v>138</v>
      </c>
      <c r="AB2125" s="129" t="s">
        <v>13097</v>
      </c>
      <c r="AC2125" s="68" t="s">
        <v>13098</v>
      </c>
      <c r="AD2125" s="129" t="s">
        <v>13099</v>
      </c>
      <c r="AE2125" s="336">
        <v>6.0</v>
      </c>
      <c r="AF2125" s="336">
        <v>34.0</v>
      </c>
      <c r="AG2125" s="336">
        <v>0.57</v>
      </c>
      <c r="AH2125" s="68" t="s">
        <v>139</v>
      </c>
      <c r="AI2125" s="68" t="s">
        <v>140</v>
      </c>
      <c r="AJ2125" s="336">
        <v>0.01</v>
      </c>
      <c r="AK2125" s="68" t="s">
        <v>135</v>
      </c>
      <c r="AL2125" s="68" t="s">
        <v>186</v>
      </c>
      <c r="AM2125" s="1300" t="s">
        <v>137</v>
      </c>
      <c r="AN2125" s="68" t="s">
        <v>138</v>
      </c>
      <c r="AO2125" s="336">
        <v>147.0</v>
      </c>
      <c r="AP2125" s="336">
        <v>0.37</v>
      </c>
      <c r="AQ2125" s="68" t="s">
        <v>874</v>
      </c>
      <c r="AR2125" s="1119" t="s">
        <v>13100</v>
      </c>
      <c r="AS2125" s="336">
        <v>0.001</v>
      </c>
      <c r="AT2125" s="68" t="s">
        <v>135</v>
      </c>
      <c r="AU2125" s="68" t="s">
        <v>186</v>
      </c>
      <c r="AV2125" s="1300" t="s">
        <v>137</v>
      </c>
      <c r="AW2125" s="435" t="s">
        <v>13101</v>
      </c>
      <c r="AX2125" s="68" t="s">
        <v>143</v>
      </c>
      <c r="AY2125" s="61" t="str">
        <f>IFERROR(__xludf.DUMMYFUNCTION("vlookup(BB2125,importrange(""https://docs.google.com/spreadsheets/d/1d2vevQ_7D_v35q4wCQ4RpQ_IPoTwEMB9Yp6ymwlPqew/edit?gid=984458430#gid=984458430"", ""'replication success'!A:K""), 11, FAlSE)"),"successful")</f>
        <v>successful</v>
      </c>
      <c r="AZ2125" s="61" t="str">
        <f>IFERROR(__xludf.DUMMYFUNCTION("vlookup(BB2125,importrange(""https://docs.google.com/spreadsheets/d/1d2vevQ_7D_v35q4wCQ4RpQ_IPoTwEMB9Yp6ymwlPqew/edit?gid=984458430#gid=984458430"", ""'replication success'!A:M""), 12, FAlSE)"),"In summary, we found significant evidence for bimodal Flanker effects, F(2, 292) = 83.94, p &lt; .001, np2 = .37, and a significant interaction of congruency and flanker modality, F(2, 292) = 4.28, p = .015, np2 = .03.")</f>
        <v>In summary, we found significant evidence for bimodal Flanker effects, F(2, 292) = 83.94, p &lt; .001, np2 = .37, and a significant interaction of congruency and flanker modality, F(2, 292) = 4.28, p = .015, np2 = .03.</v>
      </c>
      <c r="BA2125" s="61" t="str">
        <f>IFERROR(__xludf.DUMMYFUNCTION("vlookup(BB2125,importrange(""https://docs.google.com/spreadsheets/d/1d2vevQ_7D_v35q4wCQ4RpQ_IPoTwEMB9Yp6ymwlPqew/edit?gid=984458430#gid=984458430"", ""'replication success'!A:M""), 13, FAlSE)"),"abstract")</f>
        <v>abstract</v>
      </c>
      <c r="BB2125" s="61" t="str">
        <f>IFERROR(__xludf.DUMMYFUNCTION("REGEXREPLACE(G2125, ""_[a-z]{1,2}$"", """")"),"soscisubmission46")</f>
        <v>soscisubmission46</v>
      </c>
      <c r="BD2125" s="62" t="s">
        <v>5074</v>
      </c>
    </row>
    <row r="2126">
      <c r="A2126" s="44">
        <v>2126.0</v>
      </c>
      <c r="B2126" s="129" t="s">
        <v>114</v>
      </c>
      <c r="C2126" s="62" t="s">
        <v>115</v>
      </c>
      <c r="D2126" s="62" t="s">
        <v>145</v>
      </c>
      <c r="F2126" s="68" t="s">
        <v>13088</v>
      </c>
      <c r="G2126" s="68" t="s">
        <v>13089</v>
      </c>
      <c r="H2126" s="68" t="s">
        <v>13102</v>
      </c>
      <c r="I2126" s="529">
        <v>45713.0</v>
      </c>
      <c r="J2126" s="68"/>
      <c r="K2126" s="68" t="s">
        <v>13103</v>
      </c>
      <c r="L2126" s="68"/>
      <c r="M2126" s="68" t="s">
        <v>13092</v>
      </c>
      <c r="N2126" s="68" t="s">
        <v>13093</v>
      </c>
      <c r="O2126" s="336">
        <v>2.0</v>
      </c>
      <c r="P2126" s="68" t="s">
        <v>13094</v>
      </c>
      <c r="Q2126" s="108" t="str">
        <f t="array" ref="Q2126"> if(iserror(MATCH(V2126, 'File Links'!C:C, 0)), "N/A", HYPERLINK(INDEX('File Links'!B:B, MATCH(P2126, 'File Links'!C:C, 0))))</f>
        <v>N/A</v>
      </c>
      <c r="R2126" s="68" t="s">
        <v>13095</v>
      </c>
      <c r="S2126" s="68" t="s">
        <v>138</v>
      </c>
      <c r="T2126" s="435" t="s">
        <v>13096</v>
      </c>
      <c r="U2126" s="68"/>
      <c r="V2126" s="129" t="s">
        <v>138</v>
      </c>
      <c r="W2126" s="68" t="s">
        <v>209</v>
      </c>
      <c r="X2126" s="49" t="str">
        <f t="array" ref="X2126"> if(iserror(MATCH(V2126, 'File Links'!C:C, 0)), "N/A", HYPERLINK(INDEX('File Links'!B:B, MATCH(V2126, 'File Links'!C:C, 0))))</f>
        <v>N/A</v>
      </c>
      <c r="Y2126" s="68"/>
      <c r="Z2126" s="68" t="s">
        <v>226</v>
      </c>
      <c r="AA2126" s="68" t="s">
        <v>13104</v>
      </c>
      <c r="AB2126" s="68" t="s">
        <v>13105</v>
      </c>
      <c r="AC2126" s="68" t="s">
        <v>13106</v>
      </c>
      <c r="AD2126" s="1392" t="s">
        <v>13107</v>
      </c>
      <c r="AE2126" s="336">
        <v>6.0</v>
      </c>
      <c r="AF2126" s="336">
        <v>34.0</v>
      </c>
      <c r="AG2126" s="1949">
        <v>0.04</v>
      </c>
      <c r="AH2126" s="1392" t="s">
        <v>139</v>
      </c>
      <c r="AI2126" s="1392" t="s">
        <v>140</v>
      </c>
      <c r="AJ2126" s="1949">
        <v>0.24</v>
      </c>
      <c r="AK2126" s="1392" t="s">
        <v>172</v>
      </c>
      <c r="AL2126" s="68" t="s">
        <v>186</v>
      </c>
      <c r="AM2126" s="68" t="s">
        <v>137</v>
      </c>
      <c r="AN2126" s="68" t="s">
        <v>138</v>
      </c>
      <c r="AO2126" s="336">
        <v>147.0</v>
      </c>
      <c r="AP2126" s="336">
        <v>0.37</v>
      </c>
      <c r="AQ2126" s="1392" t="s">
        <v>139</v>
      </c>
      <c r="AR2126" s="435" t="s">
        <v>13100</v>
      </c>
      <c r="AS2126" s="336">
        <v>0.001</v>
      </c>
      <c r="AT2126" s="68" t="s">
        <v>135</v>
      </c>
      <c r="AU2126" s="68" t="s">
        <v>186</v>
      </c>
      <c r="AV2126" s="68" t="s">
        <v>137</v>
      </c>
      <c r="AW2126" s="435" t="s">
        <v>13101</v>
      </c>
      <c r="AX2126" s="68" t="s">
        <v>143</v>
      </c>
      <c r="AY2126" s="61" t="str">
        <f>IFERROR(__xludf.DUMMYFUNCTION("vlookup(BB2126,importrange(""https://docs.google.com/spreadsheets/d/1d2vevQ_7D_v35q4wCQ4RpQ_IPoTwEMB9Yp6ymwlPqew/edit?gid=984458430#gid=984458430"", ""'replication success'!A:K""), 11, FAlSE)"),"successful")</f>
        <v>successful</v>
      </c>
      <c r="AZ2126" s="61" t="str">
        <f>IFERROR(__xludf.DUMMYFUNCTION("vlookup(BB2126,importrange(""https://docs.google.com/spreadsheets/d/1d2vevQ_7D_v35q4wCQ4RpQ_IPoTwEMB9Yp6ymwlPqew/edit?gid=984458430#gid=984458430"", ""'replication success'!A:M""), 12, FAlSE)"),"In summary, we found significant evidence for bimodal Flanker effects, F(2, 292) = 83.94, p &lt; .001, np2 = .37, and a significant interaction of congruency and flanker modality, F(2, 292) = 4.28, p = .015, np2 = .03.")</f>
        <v>In summary, we found significant evidence for bimodal Flanker effects, F(2, 292) = 83.94, p &lt; .001, np2 = .37, and a significant interaction of congruency and flanker modality, F(2, 292) = 4.28, p = .015, np2 = .03.</v>
      </c>
      <c r="BA2126" s="61" t="str">
        <f>IFERROR(__xludf.DUMMYFUNCTION("vlookup(BB2126,importrange(""https://docs.google.com/spreadsheets/d/1d2vevQ_7D_v35q4wCQ4RpQ_IPoTwEMB9Yp6ymwlPqew/edit?gid=984458430#gid=984458430"", ""'replication success'!A:M""), 13, FAlSE)"),"abstract")</f>
        <v>abstract</v>
      </c>
      <c r="BB2126" s="61" t="str">
        <f>IFERROR(__xludf.DUMMYFUNCTION("REGEXREPLACE(G2126, ""_[a-z]{1,2}$"", """")"),"soscisubmission46")</f>
        <v>soscisubmission46</v>
      </c>
      <c r="BD2126" s="62" t="s">
        <v>5074</v>
      </c>
    </row>
    <row r="2127">
      <c r="A2127" s="44">
        <v>2127.0</v>
      </c>
      <c r="B2127" s="129" t="s">
        <v>114</v>
      </c>
      <c r="C2127" s="62" t="s">
        <v>115</v>
      </c>
      <c r="D2127" s="62" t="s">
        <v>248</v>
      </c>
      <c r="F2127" s="68" t="s">
        <v>13108</v>
      </c>
      <c r="G2127" s="68" t="s">
        <v>13109</v>
      </c>
      <c r="H2127" s="68" t="s">
        <v>249</v>
      </c>
      <c r="I2127" s="529">
        <v>45714.0</v>
      </c>
      <c r="J2127" s="1542">
        <v>45762.0</v>
      </c>
      <c r="K2127" s="68"/>
      <c r="L2127" s="129" t="s">
        <v>13110</v>
      </c>
      <c r="M2127" s="68" t="s">
        <v>13111</v>
      </c>
      <c r="N2127" s="68" t="s">
        <v>13112</v>
      </c>
      <c r="O2127" s="1370">
        <v>1.0</v>
      </c>
      <c r="P2127" s="573" t="s">
        <v>13113</v>
      </c>
      <c r="Q2127" s="52" t="str">
        <f t="array" ref="Q2127"> if(iserror(MATCH(V2127, 'File Links'!C:C, 0)), "N/A", HYPERLINK(INDEX('File Links'!B:B, MATCH(P2127, 'File Links'!C:C, 0))))</f>
        <v>https://drive.google.com/file/d/1EZllPY8-yvLte77cCpv9UnSzrQEaA1l4/view?usp=drivesdk</v>
      </c>
      <c r="R2127" s="68" t="s">
        <v>13114</v>
      </c>
      <c r="S2127" s="68" t="s">
        <v>13115</v>
      </c>
      <c r="T2127" s="68"/>
      <c r="U2127" s="68"/>
      <c r="V2127" s="573" t="s">
        <v>13116</v>
      </c>
      <c r="W2127" s="68" t="s">
        <v>164</v>
      </c>
      <c r="X2127" s="54" t="str">
        <f t="array" ref="X2127"> if(iserror(MATCH(V2127, 'File Links'!C:C, 0)), "N/A", HYPERLINK(INDEX('File Links'!B:B, MATCH(V2127, 'File Links'!C:C, 0))))</f>
        <v>https://drive.google.com/file/d/1YzEqH7QTG95vm-E-CJt-CI-rq6sFA3bV/view?usp=drivesdk</v>
      </c>
      <c r="Y2127" s="68"/>
      <c r="Z2127" s="68" t="s">
        <v>226</v>
      </c>
      <c r="AA2127" s="68" t="s">
        <v>138</v>
      </c>
      <c r="AB2127" s="68" t="s">
        <v>13117</v>
      </c>
      <c r="AC2127" s="68" t="s">
        <v>13118</v>
      </c>
      <c r="AD2127" s="68" t="s">
        <v>13119</v>
      </c>
      <c r="AE2127" s="336">
        <v>2.0</v>
      </c>
      <c r="AF2127" s="336">
        <v>107.0</v>
      </c>
      <c r="AG2127" s="336">
        <v>0.55</v>
      </c>
      <c r="AH2127" s="68" t="s">
        <v>139</v>
      </c>
      <c r="AI2127" s="68" t="s">
        <v>875</v>
      </c>
      <c r="AJ2127" s="336">
        <v>0.001</v>
      </c>
      <c r="AK2127" s="68" t="s">
        <v>135</v>
      </c>
      <c r="AL2127" s="68" t="s">
        <v>136</v>
      </c>
      <c r="AM2127" s="68" t="s">
        <v>141</v>
      </c>
      <c r="AN2127" s="68" t="s">
        <v>138</v>
      </c>
      <c r="AO2127" s="336">
        <v>86.0</v>
      </c>
      <c r="AP2127" s="336">
        <v>0.562</v>
      </c>
      <c r="AQ2127" s="68" t="s">
        <v>139</v>
      </c>
      <c r="AR2127" s="68" t="s">
        <v>613</v>
      </c>
      <c r="AS2127" s="336">
        <v>0.001</v>
      </c>
      <c r="AT2127" s="68" t="s">
        <v>135</v>
      </c>
      <c r="AU2127" s="68" t="s">
        <v>136</v>
      </c>
      <c r="AV2127" s="68" t="s">
        <v>141</v>
      </c>
      <c r="AW2127" s="435" t="s">
        <v>13120</v>
      </c>
      <c r="AX2127" s="68" t="s">
        <v>143</v>
      </c>
      <c r="AY2127" s="61" t="str">
        <f>IFERROR(__xludf.DUMMYFUNCTION("vlookup(BB2127,importrange(""https://docs.google.com/spreadsheets/d/1d2vevQ_7D_v35q4wCQ4RpQ_IPoTwEMB9Yp6ymwlPqew/edit?gid=984458430#gid=984458430"", ""'replication success'!A:K""), 11, FAlSE)"),"successful")</f>
        <v>successful</v>
      </c>
      <c r="AZ2127" s="61" t="str">
        <f>IFERROR(__xludf.DUMMYFUNCTION("vlookup(BB2127,importrange(""https://docs.google.com/spreadsheets/d/1d2vevQ_7D_v35q4wCQ4RpQ_IPoTwEMB9Yp6ymwlPqew/edit?gid=984458430#gid=984458430"", ""'replication success'!A:M""), 12, FAlSE)"),"We were able to replicate the previously
observed results of a preservation or even enhancement in socio-affective processes, but a decline in socio-cognitive processes for older adults.")</f>
        <v>We were able to replicate the previously
observed results of a preservation or even enhancement in socio-affective processes, but a decline in socio-cognitive processes for older adults.</v>
      </c>
      <c r="BA2127" s="61" t="str">
        <f>IFERROR(__xludf.DUMMYFUNCTION("vlookup(BB2127,importrange(""https://docs.google.com/spreadsheets/d/1d2vevQ_7D_v35q4wCQ4RpQ_IPoTwEMB9Yp6ymwlPqew/edit?gid=984458430#gid=984458430"", ""'replication success'!A:M""), 13, FAlSE)"),"abstract")</f>
        <v>abstract</v>
      </c>
      <c r="BB2127" s="61" t="str">
        <f>IFERROR(__xludf.DUMMYFUNCTION("REGEXREPLACE(G2127, ""_[a-z]{1,2}$"", """")"),"soscisubmission47")</f>
        <v>soscisubmission47</v>
      </c>
      <c r="BD2127" s="62" t="s">
        <v>5074</v>
      </c>
    </row>
    <row r="2128">
      <c r="A2128" s="44">
        <v>2128.0</v>
      </c>
      <c r="B2128" s="129" t="s">
        <v>152</v>
      </c>
      <c r="C2128" s="62" t="s">
        <v>115</v>
      </c>
      <c r="D2128" s="62" t="s">
        <v>145</v>
      </c>
      <c r="F2128" s="68" t="s">
        <v>13108</v>
      </c>
      <c r="G2128" s="68" t="s">
        <v>13109</v>
      </c>
      <c r="H2128" s="68" t="s">
        <v>5592</v>
      </c>
      <c r="I2128" s="529">
        <v>45713.0</v>
      </c>
      <c r="J2128" s="1542">
        <v>45762.0</v>
      </c>
      <c r="K2128" s="68" t="s">
        <v>13121</v>
      </c>
      <c r="L2128" s="68"/>
      <c r="M2128" s="594" t="s">
        <v>13122</v>
      </c>
      <c r="N2128" s="68" t="s">
        <v>13112</v>
      </c>
      <c r="O2128" s="336">
        <v>1.0</v>
      </c>
      <c r="P2128" s="68" t="s">
        <v>13113</v>
      </c>
      <c r="Q2128" s="52" t="str">
        <f t="array" ref="Q2128"> if(iserror(MATCH(V2128, 'File Links'!C:C, 0)), "N/A", HYPERLINK(INDEX('File Links'!B:B, MATCH(P2128, 'File Links'!C:C, 0))))</f>
        <v>https://drive.google.com/file/d/1EZllPY8-yvLte77cCpv9UnSzrQEaA1l4/view?usp=drivesdk</v>
      </c>
      <c r="R2128" s="594" t="s">
        <v>13123</v>
      </c>
      <c r="S2128" s="68" t="s">
        <v>13115</v>
      </c>
      <c r="T2128" s="68"/>
      <c r="U2128" s="68"/>
      <c r="V2128" s="68" t="s">
        <v>13116</v>
      </c>
      <c r="W2128" s="68" t="s">
        <v>209</v>
      </c>
      <c r="X2128" s="54" t="str">
        <f t="array" ref="X2128"> if(iserror(MATCH(V2128, 'File Links'!C:C, 0)), "N/A", HYPERLINK(INDEX('File Links'!B:B, MATCH(V2128, 'File Links'!C:C, 0))))</f>
        <v>https://drive.google.com/file/d/1YzEqH7QTG95vm-E-CJt-CI-rq6sFA3bV/view?usp=drivesdk</v>
      </c>
      <c r="Y2128" s="68"/>
      <c r="Z2128" s="68" t="s">
        <v>148</v>
      </c>
      <c r="AA2128" s="68" t="s">
        <v>1535</v>
      </c>
      <c r="AB2128" s="68" t="s">
        <v>13124</v>
      </c>
      <c r="AC2128" s="68" t="s">
        <v>13118</v>
      </c>
      <c r="AD2128" s="129" t="s">
        <v>13125</v>
      </c>
      <c r="AE2128" s="336">
        <v>2.0</v>
      </c>
      <c r="AF2128" s="336">
        <v>107.0</v>
      </c>
      <c r="AG2128" s="336">
        <v>0.55</v>
      </c>
      <c r="AH2128" s="68" t="s">
        <v>139</v>
      </c>
      <c r="AI2128" s="68" t="s">
        <v>875</v>
      </c>
      <c r="AJ2128" s="336">
        <v>0.001</v>
      </c>
      <c r="AK2128" s="68" t="s">
        <v>135</v>
      </c>
      <c r="AL2128" s="68" t="s">
        <v>186</v>
      </c>
      <c r="AM2128" s="1300" t="s">
        <v>141</v>
      </c>
      <c r="AN2128" s="68" t="s">
        <v>138</v>
      </c>
      <c r="AO2128" s="336">
        <v>86.0</v>
      </c>
      <c r="AP2128" s="336">
        <v>0.562</v>
      </c>
      <c r="AQ2128" s="68" t="s">
        <v>139</v>
      </c>
      <c r="AR2128" s="68" t="s">
        <v>613</v>
      </c>
      <c r="AS2128" s="336">
        <v>0.001</v>
      </c>
      <c r="AT2128" s="68" t="s">
        <v>135</v>
      </c>
      <c r="AU2128" s="68" t="s">
        <v>186</v>
      </c>
      <c r="AV2128" s="1300" t="s">
        <v>141</v>
      </c>
      <c r="AW2128" s="1119" t="s">
        <v>13120</v>
      </c>
      <c r="AX2128" s="68" t="s">
        <v>438</v>
      </c>
      <c r="AY2128" s="61" t="str">
        <f>IFERROR(__xludf.DUMMYFUNCTION("vlookup(BB2128,importrange(""https://docs.google.com/spreadsheets/d/1d2vevQ_7D_v35q4wCQ4RpQ_IPoTwEMB9Yp6ymwlPqew/edit?gid=984458430#gid=984458430"", ""'replication success'!A:K""), 11, FAlSE)"),"successful")</f>
        <v>successful</v>
      </c>
      <c r="AZ2128" s="61" t="str">
        <f>IFERROR(__xludf.DUMMYFUNCTION("vlookup(BB2128,importrange(""https://docs.google.com/spreadsheets/d/1d2vevQ_7D_v35q4wCQ4RpQ_IPoTwEMB9Yp6ymwlPqew/edit?gid=984458430#gid=984458430"", ""'replication success'!A:M""), 12, FAlSE)"),"We were able to replicate the previously
observed results of a preservation or even enhancement in socio-affective processes, but a decline in socio-cognitive processes for older adults.")</f>
        <v>We were able to replicate the previously
observed results of a preservation or even enhancement in socio-affective processes, but a decline in socio-cognitive processes for older adults.</v>
      </c>
      <c r="BA2128" s="61" t="str">
        <f>IFERROR(__xludf.DUMMYFUNCTION("vlookup(BB2128,importrange(""https://docs.google.com/spreadsheets/d/1d2vevQ_7D_v35q4wCQ4RpQ_IPoTwEMB9Yp6ymwlPqew/edit?gid=984458430#gid=984458430"", ""'replication success'!A:M""), 13, FAlSE)"),"abstract")</f>
        <v>abstract</v>
      </c>
      <c r="BB2128" s="61" t="str">
        <f>IFERROR(__xludf.DUMMYFUNCTION("REGEXREPLACE(G2128, ""_[a-z]{1,2}$"", """")"),"soscisubmission47")</f>
        <v>soscisubmission47</v>
      </c>
      <c r="BD2128" s="62" t="s">
        <v>5074</v>
      </c>
    </row>
    <row r="2129">
      <c r="A2129" s="44">
        <v>2129.0</v>
      </c>
      <c r="B2129" s="129" t="s">
        <v>114</v>
      </c>
      <c r="C2129" s="62" t="s">
        <v>115</v>
      </c>
      <c r="D2129" s="62" t="s">
        <v>248</v>
      </c>
      <c r="F2129" s="68" t="s">
        <v>13108</v>
      </c>
      <c r="G2129" s="68" t="s">
        <v>13126</v>
      </c>
      <c r="H2129" s="68" t="s">
        <v>249</v>
      </c>
      <c r="I2129" s="529">
        <v>45714.0</v>
      </c>
      <c r="J2129" s="1542">
        <v>45762.0</v>
      </c>
      <c r="K2129" s="68"/>
      <c r="L2129" s="129" t="s">
        <v>13110</v>
      </c>
      <c r="M2129" s="68" t="s">
        <v>13127</v>
      </c>
      <c r="N2129" s="68" t="s">
        <v>13112</v>
      </c>
      <c r="O2129" s="68"/>
      <c r="P2129" s="573" t="s">
        <v>13113</v>
      </c>
      <c r="Q2129" s="52" t="str">
        <f t="array" ref="Q2129"> if(iserror(MATCH(V2129, 'File Links'!C:C, 0)), "N/A", HYPERLINK(INDEX('File Links'!B:B, MATCH(P2129, 'File Links'!C:C, 0))))</f>
        <v>https://drive.google.com/file/d/1EZllPY8-yvLte77cCpv9UnSzrQEaA1l4/view?usp=drivesdk</v>
      </c>
      <c r="R2129" s="68" t="s">
        <v>13114</v>
      </c>
      <c r="S2129" s="68" t="s">
        <v>13115</v>
      </c>
      <c r="T2129" s="68"/>
      <c r="U2129" s="68"/>
      <c r="V2129" s="573" t="s">
        <v>13116</v>
      </c>
      <c r="W2129" s="68" t="s">
        <v>164</v>
      </c>
      <c r="X2129" s="54" t="str">
        <f t="array" ref="X2129"> if(iserror(MATCH(V2129, 'File Links'!C:C, 0)), "N/A", HYPERLINK(INDEX('File Links'!B:B, MATCH(V2129, 'File Links'!C:C, 0))))</f>
        <v>https://drive.google.com/file/d/1YzEqH7QTG95vm-E-CJt-CI-rq6sFA3bV/view?usp=drivesdk</v>
      </c>
      <c r="Y2129" s="68"/>
      <c r="Z2129" s="68" t="s">
        <v>226</v>
      </c>
      <c r="AA2129" s="68" t="s">
        <v>138</v>
      </c>
      <c r="AB2129" s="68" t="s">
        <v>13128</v>
      </c>
      <c r="AC2129" s="68" t="s">
        <v>13129</v>
      </c>
      <c r="AD2129" s="68" t="s">
        <v>13130</v>
      </c>
      <c r="AE2129" s="336">
        <v>3.0</v>
      </c>
      <c r="AF2129" s="336">
        <v>107.0</v>
      </c>
      <c r="AG2129" s="336">
        <v>0.02</v>
      </c>
      <c r="AH2129" s="68" t="s">
        <v>139</v>
      </c>
      <c r="AI2129" s="68" t="s">
        <v>507</v>
      </c>
      <c r="AJ2129" s="336">
        <v>0.12</v>
      </c>
      <c r="AK2129" s="68" t="s">
        <v>172</v>
      </c>
      <c r="AL2129" s="68" t="s">
        <v>136</v>
      </c>
      <c r="AM2129" s="68" t="s">
        <v>141</v>
      </c>
      <c r="AN2129" s="68" t="s">
        <v>138</v>
      </c>
      <c r="AO2129" s="336">
        <v>83.0</v>
      </c>
      <c r="AP2129" s="336">
        <v>0.026</v>
      </c>
      <c r="AQ2129" s="68" t="s">
        <v>139</v>
      </c>
      <c r="AR2129" s="68" t="s">
        <v>132</v>
      </c>
      <c r="AS2129" s="336">
        <v>0.145</v>
      </c>
      <c r="AT2129" s="68" t="s">
        <v>172</v>
      </c>
      <c r="AU2129" s="68" t="s">
        <v>136</v>
      </c>
      <c r="AV2129" s="68" t="s">
        <v>141</v>
      </c>
      <c r="AW2129" s="435" t="s">
        <v>13120</v>
      </c>
      <c r="AX2129" s="68" t="s">
        <v>143</v>
      </c>
      <c r="AY2129" s="61" t="str">
        <f>IFERROR(__xludf.DUMMYFUNCTION("vlookup(BB2129,importrange(""https://docs.google.com/spreadsheets/d/1d2vevQ_7D_v35q4wCQ4RpQ_IPoTwEMB9Yp6ymwlPqew/edit?gid=984458430#gid=984458430"", ""'replication success'!A:K""), 11, FAlSE)"),"successful")</f>
        <v>successful</v>
      </c>
      <c r="AZ2129" s="61" t="str">
        <f>IFERROR(__xludf.DUMMYFUNCTION("vlookup(BB2129,importrange(""https://docs.google.com/spreadsheets/d/1d2vevQ_7D_v35q4wCQ4RpQ_IPoTwEMB9Yp6ymwlPqew/edit?gid=984458430#gid=984458430"", ""'replication success'!A:M""), 12, FAlSE)"),"We were able to replicate the previously
observed results of a preservation or even enhancement in socio-affective processes, but a decline in socio-cognitive processes for older adults.")</f>
        <v>We were able to replicate the previously
observed results of a preservation or even enhancement in socio-affective processes, but a decline in socio-cognitive processes for older adults.</v>
      </c>
      <c r="BA2129" s="61" t="str">
        <f>IFERROR(__xludf.DUMMYFUNCTION("vlookup(BB2129,importrange(""https://docs.google.com/spreadsheets/d/1d2vevQ_7D_v35q4wCQ4RpQ_IPoTwEMB9Yp6ymwlPqew/edit?gid=984458430#gid=984458430"", ""'replication success'!A:M""), 13, FAlSE)"),"abstract")</f>
        <v>abstract</v>
      </c>
      <c r="BB2129" s="61" t="str">
        <f>IFERROR(__xludf.DUMMYFUNCTION("REGEXREPLACE(G2129, ""_[a-z]{1,2}$"", """")"),"soscisubmission47")</f>
        <v>soscisubmission47</v>
      </c>
      <c r="BD2129" s="62" t="s">
        <v>5074</v>
      </c>
    </row>
    <row r="2130">
      <c r="A2130" s="44">
        <v>2130.0</v>
      </c>
      <c r="B2130" s="129" t="s">
        <v>152</v>
      </c>
      <c r="C2130" s="62" t="s">
        <v>115</v>
      </c>
      <c r="D2130" s="62" t="s">
        <v>145</v>
      </c>
      <c r="F2130" s="68" t="s">
        <v>13108</v>
      </c>
      <c r="G2130" s="68" t="s">
        <v>13126</v>
      </c>
      <c r="H2130" s="68" t="s">
        <v>13131</v>
      </c>
      <c r="I2130" s="529">
        <v>45713.0</v>
      </c>
      <c r="J2130" s="1542">
        <v>45762.0</v>
      </c>
      <c r="K2130" s="68" t="s">
        <v>13132</v>
      </c>
      <c r="L2130" s="68"/>
      <c r="M2130" s="594" t="s">
        <v>13133</v>
      </c>
      <c r="N2130" s="68" t="s">
        <v>13112</v>
      </c>
      <c r="O2130" s="336">
        <v>1.0</v>
      </c>
      <c r="P2130" s="68" t="s">
        <v>13113</v>
      </c>
      <c r="Q2130" s="52" t="str">
        <f t="array" ref="Q2130"> if(iserror(MATCH(V2130, 'File Links'!C:C, 0)), "N/A", HYPERLINK(INDEX('File Links'!B:B, MATCH(P2130, 'File Links'!C:C, 0))))</f>
        <v>https://drive.google.com/file/d/1EZllPY8-yvLte77cCpv9UnSzrQEaA1l4/view?usp=drivesdk</v>
      </c>
      <c r="R2130" s="594" t="s">
        <v>13134</v>
      </c>
      <c r="S2130" s="68" t="s">
        <v>13115</v>
      </c>
      <c r="T2130" s="68"/>
      <c r="U2130" s="68"/>
      <c r="V2130" s="68" t="s">
        <v>13116</v>
      </c>
      <c r="W2130" s="68" t="s">
        <v>209</v>
      </c>
      <c r="X2130" s="54" t="str">
        <f t="array" ref="X2130"> if(iserror(MATCH(V2130, 'File Links'!C:C, 0)), "N/A", HYPERLINK(INDEX('File Links'!B:B, MATCH(V2130, 'File Links'!C:C, 0))))</f>
        <v>https://drive.google.com/file/d/1YzEqH7QTG95vm-E-CJt-CI-rq6sFA3bV/view?usp=drivesdk</v>
      </c>
      <c r="Y2130" s="68"/>
      <c r="Z2130" s="68" t="s">
        <v>148</v>
      </c>
      <c r="AA2130" s="68" t="s">
        <v>1535</v>
      </c>
      <c r="AB2130" s="68" t="s">
        <v>13124</v>
      </c>
      <c r="AC2130" s="68" t="s">
        <v>13129</v>
      </c>
      <c r="AD2130" s="68" t="s">
        <v>13135</v>
      </c>
      <c r="AE2130" s="336">
        <v>3.0</v>
      </c>
      <c r="AF2130" s="336">
        <v>107.0</v>
      </c>
      <c r="AG2130" s="336">
        <v>0.02</v>
      </c>
      <c r="AH2130" s="68" t="s">
        <v>139</v>
      </c>
      <c r="AI2130" s="68" t="s">
        <v>217</v>
      </c>
      <c r="AJ2130" s="336">
        <v>0.12</v>
      </c>
      <c r="AK2130" s="68" t="s">
        <v>172</v>
      </c>
      <c r="AL2130" s="68" t="s">
        <v>186</v>
      </c>
      <c r="AM2130" s="1300" t="s">
        <v>141</v>
      </c>
      <c r="AN2130" s="68" t="s">
        <v>138</v>
      </c>
      <c r="AO2130" s="336">
        <v>83.0</v>
      </c>
      <c r="AP2130" s="336">
        <v>0.026</v>
      </c>
      <c r="AQ2130" s="68" t="s">
        <v>139</v>
      </c>
      <c r="AR2130" s="68" t="s">
        <v>132</v>
      </c>
      <c r="AS2130" s="336">
        <v>0.145</v>
      </c>
      <c r="AT2130" s="68" t="s">
        <v>172</v>
      </c>
      <c r="AU2130" s="68" t="s">
        <v>186</v>
      </c>
      <c r="AV2130" s="1300" t="s">
        <v>141</v>
      </c>
      <c r="AW2130" s="1119" t="s">
        <v>13120</v>
      </c>
      <c r="AX2130" s="68" t="s">
        <v>438</v>
      </c>
      <c r="AY2130" s="61" t="str">
        <f>IFERROR(__xludf.DUMMYFUNCTION("vlookup(BB2130,importrange(""https://docs.google.com/spreadsheets/d/1d2vevQ_7D_v35q4wCQ4RpQ_IPoTwEMB9Yp6ymwlPqew/edit?gid=984458430#gid=984458430"", ""'replication success'!A:K""), 11, FAlSE)"),"successful")</f>
        <v>successful</v>
      </c>
      <c r="AZ2130" s="61" t="str">
        <f>IFERROR(__xludf.DUMMYFUNCTION("vlookup(BB2130,importrange(""https://docs.google.com/spreadsheets/d/1d2vevQ_7D_v35q4wCQ4RpQ_IPoTwEMB9Yp6ymwlPqew/edit?gid=984458430#gid=984458430"", ""'replication success'!A:M""), 12, FAlSE)"),"We were able to replicate the previously
observed results of a preservation or even enhancement in socio-affective processes, but a decline in socio-cognitive processes for older adults.")</f>
        <v>We were able to replicate the previously
observed results of a preservation or even enhancement in socio-affective processes, but a decline in socio-cognitive processes for older adults.</v>
      </c>
      <c r="BA2130" s="61" t="str">
        <f>IFERROR(__xludf.DUMMYFUNCTION("vlookup(BB2130,importrange(""https://docs.google.com/spreadsheets/d/1d2vevQ_7D_v35q4wCQ4RpQ_IPoTwEMB9Yp6ymwlPqew/edit?gid=984458430#gid=984458430"", ""'replication success'!A:M""), 13, FAlSE)"),"abstract")</f>
        <v>abstract</v>
      </c>
      <c r="BB2130" s="61" t="str">
        <f>IFERROR(__xludf.DUMMYFUNCTION("REGEXREPLACE(G2130, ""_[a-z]{1,2}$"", """")"),"soscisubmission47")</f>
        <v>soscisubmission47</v>
      </c>
      <c r="BD2130" s="62" t="s">
        <v>5074</v>
      </c>
    </row>
    <row r="2131">
      <c r="A2131" s="44">
        <v>2131.0</v>
      </c>
      <c r="B2131" s="129" t="s">
        <v>114</v>
      </c>
      <c r="C2131" s="62" t="s">
        <v>115</v>
      </c>
      <c r="D2131" s="62" t="s">
        <v>248</v>
      </c>
      <c r="F2131" s="68" t="s">
        <v>13136</v>
      </c>
      <c r="G2131" s="68" t="s">
        <v>13137</v>
      </c>
      <c r="H2131" s="68" t="s">
        <v>249</v>
      </c>
      <c r="I2131" s="529">
        <v>45714.0</v>
      </c>
      <c r="J2131" s="1542">
        <v>45762.0</v>
      </c>
      <c r="K2131" s="68"/>
      <c r="L2131" s="129" t="s">
        <v>13138</v>
      </c>
      <c r="M2131" s="68" t="s">
        <v>13127</v>
      </c>
      <c r="N2131" s="68" t="s">
        <v>13112</v>
      </c>
      <c r="O2131" s="68"/>
      <c r="P2131" s="573" t="s">
        <v>13113</v>
      </c>
      <c r="Q2131" s="52" t="str">
        <f t="array" ref="Q2131"> if(iserror(MATCH(V2131, 'File Links'!C:C, 0)), "N/A", HYPERLINK(INDEX('File Links'!B:B, MATCH(P2131, 'File Links'!C:C, 0))))</f>
        <v>https://drive.google.com/file/d/1EZllPY8-yvLte77cCpv9UnSzrQEaA1l4/view?usp=drivesdk</v>
      </c>
      <c r="R2131" s="68" t="s">
        <v>13114</v>
      </c>
      <c r="S2131" s="68" t="s">
        <v>13115</v>
      </c>
      <c r="T2131" s="68"/>
      <c r="U2131" s="68"/>
      <c r="V2131" s="573" t="s">
        <v>13116</v>
      </c>
      <c r="W2131" s="68" t="s">
        <v>164</v>
      </c>
      <c r="X2131" s="54" t="str">
        <f t="array" ref="X2131"> if(iserror(MATCH(V2131, 'File Links'!C:C, 0)), "N/A", HYPERLINK(INDEX('File Links'!B:B, MATCH(V2131, 'File Links'!C:C, 0))))</f>
        <v>https://drive.google.com/file/d/1YzEqH7QTG95vm-E-CJt-CI-rq6sFA3bV/view?usp=drivesdk</v>
      </c>
      <c r="Y2131" s="68"/>
      <c r="Z2131" s="68" t="s">
        <v>226</v>
      </c>
      <c r="AA2131" s="68" t="s">
        <v>138</v>
      </c>
      <c r="AB2131" s="68" t="s">
        <v>13128</v>
      </c>
      <c r="AC2131" s="68" t="s">
        <v>13139</v>
      </c>
      <c r="AD2131" s="68" t="s">
        <v>13140</v>
      </c>
      <c r="AE2131" s="336">
        <v>3.0</v>
      </c>
      <c r="AF2131" s="336">
        <v>107.0</v>
      </c>
      <c r="AG2131" s="336">
        <v>0.99</v>
      </c>
      <c r="AH2131" s="68" t="s">
        <v>173</v>
      </c>
      <c r="AI2131" s="68" t="s">
        <v>507</v>
      </c>
      <c r="AJ2131" s="336">
        <v>0.001</v>
      </c>
      <c r="AK2131" s="68" t="s">
        <v>135</v>
      </c>
      <c r="AL2131" s="68" t="s">
        <v>136</v>
      </c>
      <c r="AM2131" s="68" t="s">
        <v>137</v>
      </c>
      <c r="AN2131" s="68" t="s">
        <v>138</v>
      </c>
      <c r="AO2131" s="336">
        <v>85.0</v>
      </c>
      <c r="AP2131" s="565">
        <v>1.55</v>
      </c>
      <c r="AQ2131" s="68" t="s">
        <v>173</v>
      </c>
      <c r="AR2131" s="68" t="s">
        <v>132</v>
      </c>
      <c r="AS2131" s="336">
        <v>0.001</v>
      </c>
      <c r="AT2131" s="68" t="s">
        <v>135</v>
      </c>
      <c r="AU2131" s="68" t="s">
        <v>136</v>
      </c>
      <c r="AV2131" s="68" t="s">
        <v>137</v>
      </c>
      <c r="AW2131" s="435" t="s">
        <v>13120</v>
      </c>
      <c r="AX2131" s="68" t="s">
        <v>143</v>
      </c>
      <c r="AY2131" s="61" t="str">
        <f>IFERROR(__xludf.DUMMYFUNCTION("vlookup(BB2131,importrange(""https://docs.google.com/spreadsheets/d/1d2vevQ_7D_v35q4wCQ4RpQ_IPoTwEMB9Yp6ymwlPqew/edit?gid=984458430#gid=984458430"", ""'replication success'!A:K""), 11, FAlSE)"),"#N/A")</f>
        <v>#N/A</v>
      </c>
      <c r="AZ2131" s="61" t="str">
        <f>IFERROR(__xludf.DUMMYFUNCTION("vlookup(BB2131,importrange(""https://docs.google.com/spreadsheets/d/1d2vevQ_7D_v35q4wCQ4RpQ_IPoTwEMB9Yp6ymwlPqew/edit?gid=984458430#gid=984458430"", ""'replication success'!A:M""), 12, FAlSE)"),"#N/A")</f>
        <v>#N/A</v>
      </c>
      <c r="BA2131" s="61" t="str">
        <f>IFERROR(__xludf.DUMMYFUNCTION("vlookup(BB2131,importrange(""https://docs.google.com/spreadsheets/d/1d2vevQ_7D_v35q4wCQ4RpQ_IPoTwEMB9Yp6ymwlPqew/edit?gid=984458430#gid=984458430"", ""'replication success'!A:M""), 13, FAlSE)"),"#N/A")</f>
        <v>#N/A</v>
      </c>
      <c r="BB2131" s="61" t="str">
        <f>IFERROR(__xludf.DUMMYFUNCTION("REGEXREPLACE(G2131, ""_[a-z]{1,2}$"", """")"),"soscisubmission49")</f>
        <v>soscisubmission49</v>
      </c>
      <c r="BD2131" s="62" t="s">
        <v>5074</v>
      </c>
    </row>
    <row r="2132">
      <c r="A2132" s="44">
        <v>2132.0</v>
      </c>
      <c r="B2132" s="129" t="s">
        <v>152</v>
      </c>
      <c r="C2132" s="62" t="s">
        <v>115</v>
      </c>
      <c r="D2132" s="62" t="s">
        <v>145</v>
      </c>
      <c r="F2132" s="68" t="s">
        <v>13136</v>
      </c>
      <c r="G2132" s="68" t="s">
        <v>13141</v>
      </c>
      <c r="H2132" s="68" t="s">
        <v>13142</v>
      </c>
      <c r="I2132" s="529">
        <v>45713.0</v>
      </c>
      <c r="J2132" s="1542">
        <v>45762.0</v>
      </c>
      <c r="K2132" s="68" t="s">
        <v>13143</v>
      </c>
      <c r="L2132" s="68"/>
      <c r="M2132" s="594" t="s">
        <v>13144</v>
      </c>
      <c r="N2132" s="68" t="s">
        <v>13112</v>
      </c>
      <c r="O2132" s="336">
        <v>1.0</v>
      </c>
      <c r="P2132" s="68" t="s">
        <v>13113</v>
      </c>
      <c r="Q2132" s="52" t="str">
        <f t="array" ref="Q2132"> if(iserror(MATCH(V2132, 'File Links'!C:C, 0)), "N/A", HYPERLINK(INDEX('File Links'!B:B, MATCH(P2132, 'File Links'!C:C, 0))))</f>
        <v>https://drive.google.com/file/d/1EZllPY8-yvLte77cCpv9UnSzrQEaA1l4/view?usp=drivesdk</v>
      </c>
      <c r="R2132" s="594" t="s">
        <v>13145</v>
      </c>
      <c r="S2132" s="68" t="s">
        <v>13115</v>
      </c>
      <c r="T2132" s="68"/>
      <c r="U2132" s="68"/>
      <c r="V2132" s="68" t="s">
        <v>13116</v>
      </c>
      <c r="W2132" s="68" t="s">
        <v>209</v>
      </c>
      <c r="X2132" s="54" t="str">
        <f t="array" ref="X2132"> if(iserror(MATCH(V2132, 'File Links'!C:C, 0)), "N/A", HYPERLINK(INDEX('File Links'!B:B, MATCH(V2132, 'File Links'!C:C, 0))))</f>
        <v>https://drive.google.com/file/d/1YzEqH7QTG95vm-E-CJt-CI-rq6sFA3bV/view?usp=drivesdk</v>
      </c>
      <c r="Y2132" s="68"/>
      <c r="Z2132" s="68" t="s">
        <v>148</v>
      </c>
      <c r="AA2132" s="68" t="s">
        <v>1535</v>
      </c>
      <c r="AB2132" s="68" t="s">
        <v>13124</v>
      </c>
      <c r="AC2132" s="68" t="s">
        <v>13139</v>
      </c>
      <c r="AD2132" s="68" t="s">
        <v>13146</v>
      </c>
      <c r="AE2132" s="336">
        <v>3.0</v>
      </c>
      <c r="AF2132" s="336">
        <v>107.0</v>
      </c>
      <c r="AG2132" s="336">
        <v>0.99</v>
      </c>
      <c r="AH2132" s="68" t="s">
        <v>173</v>
      </c>
      <c r="AI2132" s="68" t="s">
        <v>217</v>
      </c>
      <c r="AJ2132" s="336">
        <v>0.001</v>
      </c>
      <c r="AK2132" s="68" t="s">
        <v>135</v>
      </c>
      <c r="AL2132" s="68" t="s">
        <v>186</v>
      </c>
      <c r="AM2132" s="1300" t="s">
        <v>137</v>
      </c>
      <c r="AN2132" s="68" t="s">
        <v>138</v>
      </c>
      <c r="AO2132" s="336">
        <v>74.0</v>
      </c>
      <c r="AP2132" s="565">
        <v>1.55</v>
      </c>
      <c r="AQ2132" s="68" t="s">
        <v>173</v>
      </c>
      <c r="AR2132" s="68" t="s">
        <v>132</v>
      </c>
      <c r="AS2132" s="336">
        <v>0.001</v>
      </c>
      <c r="AT2132" s="68" t="s">
        <v>135</v>
      </c>
      <c r="AU2132" s="68" t="s">
        <v>186</v>
      </c>
      <c r="AV2132" s="68" t="s">
        <v>137</v>
      </c>
      <c r="AW2132" s="1119" t="s">
        <v>13120</v>
      </c>
      <c r="AX2132" s="68" t="s">
        <v>438</v>
      </c>
      <c r="AY2132" s="61" t="str">
        <f>IFERROR(__xludf.DUMMYFUNCTION("vlookup(BB2132,importrange(""https://docs.google.com/spreadsheets/d/1d2vevQ_7D_v35q4wCQ4RpQ_IPoTwEMB9Yp6ymwlPqew/edit?gid=984458430#gid=984458430"", ""'replication success'!A:K""), 11, FAlSE)"),"successful")</f>
        <v>successful</v>
      </c>
      <c r="AZ2132" s="61" t="str">
        <f>IFERROR(__xludf.DUMMYFUNCTION("vlookup(BB2132,importrange(""https://docs.google.com/spreadsheets/d/1d2vevQ_7D_v35q4wCQ4RpQ_IPoTwEMB9Yp6ymwlPqew/edit?gid=984458430#gid=984458430"", ""'replication success'!A:M""), 12, FAlSE)"),"We were able to replicate the previously
observed results of a preservation or even enhancement in socio-affective processes, but a decline in socio-cognitive processes for older adults.")</f>
        <v>We were able to replicate the previously
observed results of a preservation or even enhancement in socio-affective processes, but a decline in socio-cognitive processes for older adults.</v>
      </c>
      <c r="BA2132" s="61" t="str">
        <f>IFERROR(__xludf.DUMMYFUNCTION("vlookup(BB2132,importrange(""https://docs.google.com/spreadsheets/d/1d2vevQ_7D_v35q4wCQ4RpQ_IPoTwEMB9Yp6ymwlPqew/edit?gid=984458430#gid=984458430"", ""'replication success'!A:M""), 13, FAlSE)"),"abstract")</f>
        <v>abstract</v>
      </c>
      <c r="BB2132" s="61" t="str">
        <f>IFERROR(__xludf.DUMMYFUNCTION("REGEXREPLACE(G2132, ""_[a-z]{1,2}$"", """")"),"soscisubmission47")</f>
        <v>soscisubmission47</v>
      </c>
      <c r="BD2132" s="62" t="s">
        <v>5074</v>
      </c>
    </row>
    <row r="2133">
      <c r="A2133" s="44">
        <v>2133.0</v>
      </c>
      <c r="B2133" s="56" t="s">
        <v>152</v>
      </c>
      <c r="C2133" s="341" t="s">
        <v>115</v>
      </c>
      <c r="D2133" s="341" t="s">
        <v>1441</v>
      </c>
      <c r="E2133" s="342"/>
      <c r="F2133" s="360" t="s">
        <v>13147</v>
      </c>
      <c r="G2133" s="360" t="s">
        <v>13148</v>
      </c>
      <c r="H2133" s="360" t="s">
        <v>13149</v>
      </c>
      <c r="I2133" s="1692" t="s">
        <v>13150</v>
      </c>
      <c r="J2133" s="1962">
        <v>45710.0</v>
      </c>
      <c r="K2133" s="360" t="s">
        <v>13151</v>
      </c>
      <c r="L2133" s="46"/>
      <c r="M2133" s="360" t="s">
        <v>13152</v>
      </c>
      <c r="N2133" s="360" t="s">
        <v>13153</v>
      </c>
      <c r="O2133" s="357">
        <v>1.0</v>
      </c>
      <c r="P2133" s="360" t="s">
        <v>13154</v>
      </c>
      <c r="Q2133" s="108" t="str">
        <f t="array" ref="Q2133"> if(iserror(MATCH(V2133, 'File Links'!C:C, 0)), "N/A", HYPERLINK(INDEX('File Links'!B:B, MATCH(P2133, 'File Links'!C:C, 0))))</f>
        <v>N/A</v>
      </c>
      <c r="R2133" s="360" t="s">
        <v>13155</v>
      </c>
      <c r="S2133" s="360" t="s">
        <v>13156</v>
      </c>
      <c r="T2133" s="46"/>
      <c r="U2133" s="360" t="s">
        <v>9850</v>
      </c>
      <c r="V2133" s="360" t="s">
        <v>13157</v>
      </c>
      <c r="W2133" s="47" t="s">
        <v>13158</v>
      </c>
      <c r="X2133" s="49" t="str">
        <f t="array" ref="X2133"> if(iserror(MATCH(V2133, 'File Links'!C:C, 0)), "N/A", HYPERLINK(INDEX('File Links'!B:B, MATCH(V2133, 'File Links'!C:C, 0))))</f>
        <v>N/A</v>
      </c>
      <c r="Y2133" s="46"/>
      <c r="Z2133" s="360" t="s">
        <v>1600</v>
      </c>
      <c r="AA2133" s="360" t="s">
        <v>13159</v>
      </c>
      <c r="AB2133" s="360" t="s">
        <v>13160</v>
      </c>
      <c r="AC2133" s="360" t="s">
        <v>13161</v>
      </c>
      <c r="AD2133" s="360" t="s">
        <v>13162</v>
      </c>
      <c r="AE2133" s="1963" t="s">
        <v>13163</v>
      </c>
      <c r="AF2133" s="357">
        <v>44.0</v>
      </c>
      <c r="AG2133" s="46" t="s">
        <v>13164</v>
      </c>
      <c r="AH2133" s="360" t="s">
        <v>134</v>
      </c>
      <c r="AI2133" s="360" t="s">
        <v>13165</v>
      </c>
      <c r="AJ2133" s="357">
        <v>0.01</v>
      </c>
      <c r="AK2133" s="360" t="s">
        <v>135</v>
      </c>
      <c r="AL2133" s="360" t="s">
        <v>186</v>
      </c>
      <c r="AM2133" s="360" t="s">
        <v>141</v>
      </c>
      <c r="AN2133" s="46" t="s">
        <v>138</v>
      </c>
      <c r="AO2133" s="357">
        <v>96.0</v>
      </c>
      <c r="AP2133" s="1964" t="s">
        <v>13166</v>
      </c>
      <c r="AQ2133" s="360" t="s">
        <v>139</v>
      </c>
      <c r="AR2133" s="360" t="s">
        <v>140</v>
      </c>
      <c r="AS2133" s="357">
        <v>0.12</v>
      </c>
      <c r="AT2133" s="360" t="s">
        <v>172</v>
      </c>
      <c r="AU2133" s="360" t="s">
        <v>186</v>
      </c>
      <c r="AV2133" s="360" t="s">
        <v>141</v>
      </c>
      <c r="AW2133" s="360" t="s">
        <v>138</v>
      </c>
      <c r="AX2133" s="360" t="s">
        <v>143</v>
      </c>
      <c r="AY2133" s="61" t="str">
        <f>IFERROR(__xludf.DUMMYFUNCTION("vlookup(BB2133,importrange(""https://docs.google.com/spreadsheets/d/1d2vevQ_7D_v35q4wCQ4RpQ_IPoTwEMB9Yp6ymwlPqew/edit?gid=984458430#gid=984458430"", ""'replication success'!A:K""), 11, FAlSE)"),"successful")</f>
        <v>successful</v>
      </c>
      <c r="AZ2133" s="61" t="str">
        <f>IFERROR(__xludf.DUMMYFUNCTION("vlookup(BB2133,importrange(""https://docs.google.com/spreadsheets/d/1d2vevQ_7D_v35q4wCQ4RpQ_IPoTwEMB9Yp6ymwlPqew/edit?gid=984458430#gid=984458430"", ""'replication success'!A:M""), 12, FAlSE)"),"Results showed that early-acquired items were responded 
to more quickly than late-acquired ones for all experiments, except for Experiment 3B (spoken word 
naming) where the AoA effect was shown for only low-frequency words. ")</f>
        <v>Results showed that early-acquired items were responded 
to more quickly than late-acquired ones for all experiments, except for Experiment 3B (spoken word 
naming) where the AoA effect was shown for only low-frequency words. </v>
      </c>
      <c r="BA2133" s="61" t="str">
        <f>IFERROR(__xludf.DUMMYFUNCTION("vlookup(BB2133,importrange(""https://docs.google.com/spreadsheets/d/1d2vevQ_7D_v35q4wCQ4RpQ_IPoTwEMB9Yp6ymwlPqew/edit?gid=984458430#gid=984458430"", ""'replication success'!A:M""), 13, FAlSE)"),"abstract")</f>
        <v>abstract</v>
      </c>
      <c r="BB2133" s="61" t="str">
        <f>IFERROR(__xludf.DUMMYFUNCTION("REGEXREPLACE(G2133, ""_[a-z]{1,2}$"", """")"),"soscisubmission6")</f>
        <v>soscisubmission6</v>
      </c>
      <c r="BC2133" s="46"/>
      <c r="BD2133" s="341" t="s">
        <v>8426</v>
      </c>
      <c r="BE2133" s="342"/>
      <c r="BF2133" s="342"/>
      <c r="BG2133" s="342"/>
      <c r="BH2133" s="342"/>
      <c r="BI2133" s="342"/>
      <c r="BJ2133" s="342"/>
      <c r="BK2133" s="342"/>
      <c r="BL2133" s="342"/>
      <c r="BM2133" s="342"/>
      <c r="BN2133" s="342"/>
      <c r="BO2133" s="342"/>
      <c r="BP2133" s="342"/>
      <c r="BQ2133" s="342"/>
      <c r="BR2133" s="342"/>
      <c r="BS2133" s="342"/>
      <c r="BT2133" s="342"/>
      <c r="BU2133" s="342"/>
      <c r="BV2133" s="342"/>
      <c r="BW2133" s="342"/>
      <c r="BX2133" s="342"/>
      <c r="BY2133" s="342"/>
      <c r="BZ2133" s="342"/>
      <c r="CA2133" s="342"/>
      <c r="CB2133" s="342"/>
      <c r="CC2133" s="342"/>
      <c r="CD2133" s="342"/>
      <c r="CE2133" s="342"/>
      <c r="CF2133" s="342"/>
      <c r="CG2133" s="342"/>
      <c r="CH2133" s="342"/>
      <c r="CI2133" s="342"/>
      <c r="CJ2133" s="342"/>
      <c r="CK2133" s="342"/>
      <c r="CL2133" s="342"/>
      <c r="CM2133" s="342"/>
      <c r="CN2133" s="342"/>
      <c r="CO2133" s="342"/>
      <c r="CP2133" s="342"/>
      <c r="CQ2133" s="342"/>
      <c r="CR2133" s="342"/>
      <c r="CS2133" s="342"/>
      <c r="CT2133" s="342"/>
      <c r="CU2133" s="342"/>
      <c r="CV2133" s="342"/>
      <c r="CW2133" s="342"/>
      <c r="CX2133" s="342"/>
      <c r="CY2133" s="342"/>
      <c r="CZ2133" s="342"/>
      <c r="DA2133" s="342"/>
      <c r="DB2133" s="342"/>
      <c r="DC2133" s="342"/>
      <c r="DD2133" s="342"/>
      <c r="DE2133" s="342"/>
      <c r="DF2133" s="342"/>
      <c r="DG2133" s="342"/>
      <c r="DH2133" s="342"/>
      <c r="DI2133" s="342"/>
      <c r="DJ2133" s="342"/>
      <c r="DK2133" s="342"/>
      <c r="DL2133" s="342"/>
    </row>
    <row r="2134">
      <c r="A2134" s="44">
        <v>2134.0</v>
      </c>
      <c r="B2134" s="56" t="s">
        <v>152</v>
      </c>
      <c r="C2134" s="341" t="s">
        <v>115</v>
      </c>
      <c r="D2134" s="341" t="s">
        <v>153</v>
      </c>
      <c r="E2134" s="342"/>
      <c r="F2134" s="56" t="s">
        <v>13147</v>
      </c>
      <c r="G2134" s="56" t="s">
        <v>13167</v>
      </c>
      <c r="H2134" s="343" t="s">
        <v>8556</v>
      </c>
      <c r="I2134" s="347" t="s">
        <v>8557</v>
      </c>
      <c r="J2134" s="46"/>
      <c r="K2134" s="343" t="s">
        <v>13168</v>
      </c>
      <c r="L2134" s="56" t="s">
        <v>13169</v>
      </c>
      <c r="M2134" s="56" t="s">
        <v>13152</v>
      </c>
      <c r="N2134" s="56" t="s">
        <v>13153</v>
      </c>
      <c r="O2134" s="1693">
        <v>1.0</v>
      </c>
      <c r="P2134" s="343" t="s">
        <v>13154</v>
      </c>
      <c r="Q2134" s="108" t="str">
        <f t="array" ref="Q2134"> if(iserror(MATCH(V2134, 'File Links'!C:C, 0)), "N/A", HYPERLINK(INDEX('File Links'!B:B, MATCH(P2134, 'File Links'!C:C, 0))))</f>
        <v>N/A</v>
      </c>
      <c r="R2134" s="1697" t="s">
        <v>13155</v>
      </c>
      <c r="S2134" s="56" t="s">
        <v>13156</v>
      </c>
      <c r="T2134" s="1698" t="s">
        <v>5535</v>
      </c>
      <c r="U2134" s="55" t="s">
        <v>13170</v>
      </c>
      <c r="V2134" s="343" t="s">
        <v>13157</v>
      </c>
      <c r="W2134" s="343" t="s">
        <v>13158</v>
      </c>
      <c r="X2134" s="49" t="str">
        <f t="array" ref="X2134"> if(iserror(MATCH(V2134, 'File Links'!C:C, 0)), "N/A", HYPERLINK(INDEX('File Links'!B:B, MATCH(V2134, 'File Links'!C:C, 0))))</f>
        <v>N/A</v>
      </c>
      <c r="Y2134" s="46"/>
      <c r="Z2134" s="343" t="s">
        <v>1600</v>
      </c>
      <c r="AA2134" s="56" t="s">
        <v>13171</v>
      </c>
      <c r="AB2134" s="343" t="s">
        <v>13172</v>
      </c>
      <c r="AC2134" s="343" t="s">
        <v>13173</v>
      </c>
      <c r="AD2134" s="343" t="s">
        <v>13174</v>
      </c>
      <c r="AE2134" s="343">
        <v>14.0</v>
      </c>
      <c r="AF2134" s="347">
        <v>44.0</v>
      </c>
      <c r="AG2134" s="347" t="s">
        <v>13175</v>
      </c>
      <c r="AH2134" s="343" t="s">
        <v>134</v>
      </c>
      <c r="AI2134" s="343" t="s">
        <v>2229</v>
      </c>
      <c r="AJ2134" s="347">
        <v>0.01</v>
      </c>
      <c r="AK2134" s="343" t="s">
        <v>135</v>
      </c>
      <c r="AL2134" s="343" t="s">
        <v>186</v>
      </c>
      <c r="AM2134" s="56" t="s">
        <v>137</v>
      </c>
      <c r="AN2134" s="46"/>
      <c r="AO2134" s="347">
        <v>96.0</v>
      </c>
      <c r="AP2134" s="347" t="s">
        <v>13176</v>
      </c>
      <c r="AQ2134" s="343" t="s">
        <v>134</v>
      </c>
      <c r="AR2134" s="343" t="s">
        <v>613</v>
      </c>
      <c r="AS2134" s="347">
        <v>0.001</v>
      </c>
      <c r="AT2134" s="343" t="s">
        <v>135</v>
      </c>
      <c r="AU2134" s="343" t="s">
        <v>136</v>
      </c>
      <c r="AV2134" s="56" t="s">
        <v>137</v>
      </c>
      <c r="AW2134" s="59"/>
      <c r="AX2134" s="56" t="s">
        <v>143</v>
      </c>
      <c r="AY2134" s="61" t="str">
        <f>IFERROR(__xludf.DUMMYFUNCTION("vlookup(BB2134,importrange(""https://docs.google.com/spreadsheets/d/1d2vevQ_7D_v35q4wCQ4RpQ_IPoTwEMB9Yp6ymwlPqew/edit?gid=984458430#gid=984458430"", ""'replication success'!A:K""), 11, FAlSE)"),"successful")</f>
        <v>successful</v>
      </c>
      <c r="AZ2134" s="61" t="str">
        <f>IFERROR(__xludf.DUMMYFUNCTION("vlookup(BB2134,importrange(""https://docs.google.com/spreadsheets/d/1d2vevQ_7D_v35q4wCQ4RpQ_IPoTwEMB9Yp6ymwlPqew/edit?gid=984458430#gid=984458430"", ""'replication success'!A:M""), 12, FAlSE)"),"Results showed that early-acquired items were responded 
to more quickly than late-acquired ones for all experiments, except for Experiment 3B (spoken word 
naming) where the AoA effect was shown for only low-frequency words. ")</f>
        <v>Results showed that early-acquired items were responded 
to more quickly than late-acquired ones for all experiments, except for Experiment 3B (spoken word 
naming) where the AoA effect was shown for only low-frequency words. </v>
      </c>
      <c r="BA2134" s="61" t="str">
        <f>IFERROR(__xludf.DUMMYFUNCTION("vlookup(BB2134,importrange(""https://docs.google.com/spreadsheets/d/1d2vevQ_7D_v35q4wCQ4RpQ_IPoTwEMB9Yp6ymwlPqew/edit?gid=984458430#gid=984458430"", ""'replication success'!A:M""), 13, FAlSE)"),"abstract")</f>
        <v>abstract</v>
      </c>
      <c r="BB2134" s="61" t="str">
        <f>IFERROR(__xludf.DUMMYFUNCTION("REGEXREPLACE(G2134, ""_[a-z]{1,2}$"", """")"),"soscisubmission6_1_2_1")</f>
        <v>soscisubmission6_1_2_1</v>
      </c>
      <c r="BC2134" s="342"/>
      <c r="BD2134" s="341" t="s">
        <v>8426</v>
      </c>
      <c r="BE2134" s="342"/>
      <c r="BF2134" s="342"/>
      <c r="BG2134" s="342"/>
      <c r="BH2134" s="342"/>
      <c r="BI2134" s="342"/>
      <c r="BJ2134" s="342"/>
      <c r="BK2134" s="342"/>
      <c r="BL2134" s="342"/>
      <c r="BM2134" s="342"/>
      <c r="BN2134" s="342"/>
      <c r="BO2134" s="342"/>
      <c r="BP2134" s="342"/>
      <c r="BQ2134" s="342"/>
      <c r="BR2134" s="342"/>
      <c r="BS2134" s="342"/>
      <c r="BT2134" s="342"/>
      <c r="BU2134" s="342"/>
      <c r="BV2134" s="342"/>
      <c r="BW2134" s="342"/>
      <c r="BX2134" s="342"/>
      <c r="BY2134" s="342"/>
      <c r="BZ2134" s="342"/>
      <c r="CA2134" s="342"/>
      <c r="CB2134" s="342"/>
      <c r="CC2134" s="342"/>
      <c r="CD2134" s="342"/>
      <c r="CE2134" s="342"/>
      <c r="CF2134" s="342"/>
      <c r="CG2134" s="342"/>
      <c r="CH2134" s="342"/>
      <c r="CI2134" s="342"/>
      <c r="CJ2134" s="342"/>
      <c r="CK2134" s="342"/>
      <c r="CL2134" s="342"/>
      <c r="CM2134" s="342"/>
      <c r="CN2134" s="342"/>
      <c r="CO2134" s="342"/>
      <c r="CP2134" s="342"/>
      <c r="CQ2134" s="342"/>
      <c r="CR2134" s="342"/>
      <c r="CS2134" s="342"/>
      <c r="CT2134" s="342"/>
      <c r="CU2134" s="342"/>
      <c r="CV2134" s="342"/>
      <c r="CW2134" s="342"/>
      <c r="CX2134" s="342"/>
      <c r="CY2134" s="342"/>
      <c r="CZ2134" s="342"/>
      <c r="DA2134" s="342"/>
      <c r="DB2134" s="342"/>
      <c r="DC2134" s="342"/>
      <c r="DD2134" s="342"/>
      <c r="DE2134" s="342"/>
      <c r="DF2134" s="342"/>
      <c r="DG2134" s="342"/>
      <c r="DH2134" s="342"/>
      <c r="DI2134" s="342"/>
      <c r="DJ2134" s="342"/>
      <c r="DK2134" s="342"/>
      <c r="DL2134" s="342"/>
    </row>
    <row r="2135">
      <c r="A2135" s="44">
        <v>2135.0</v>
      </c>
      <c r="B2135" s="56" t="s">
        <v>152</v>
      </c>
      <c r="C2135" s="341" t="s">
        <v>115</v>
      </c>
      <c r="D2135" s="341" t="s">
        <v>1441</v>
      </c>
      <c r="E2135" s="342"/>
      <c r="F2135" s="360" t="s">
        <v>13177</v>
      </c>
      <c r="G2135" s="360" t="s">
        <v>13178</v>
      </c>
      <c r="H2135" s="360" t="s">
        <v>13149</v>
      </c>
      <c r="I2135" s="1692" t="s">
        <v>13150</v>
      </c>
      <c r="J2135" s="1962">
        <v>45710.0</v>
      </c>
      <c r="K2135" s="360" t="s">
        <v>13151</v>
      </c>
      <c r="L2135" s="46"/>
      <c r="M2135" s="360" t="s">
        <v>13152</v>
      </c>
      <c r="N2135" s="360" t="s">
        <v>13153</v>
      </c>
      <c r="O2135" s="357">
        <v>1.0</v>
      </c>
      <c r="P2135" s="360" t="s">
        <v>13154</v>
      </c>
      <c r="Q2135" s="108" t="str">
        <f t="array" ref="Q2135"> if(iserror(MATCH(V2135, 'File Links'!C:C, 0)), "N/A", HYPERLINK(INDEX('File Links'!B:B, MATCH(P2135, 'File Links'!C:C, 0))))</f>
        <v>N/A</v>
      </c>
      <c r="R2135" s="360" t="s">
        <v>13155</v>
      </c>
      <c r="S2135" s="360" t="s">
        <v>13156</v>
      </c>
      <c r="T2135" s="46"/>
      <c r="U2135" s="360" t="s">
        <v>3079</v>
      </c>
      <c r="V2135" s="360" t="s">
        <v>13157</v>
      </c>
      <c r="W2135" s="360" t="s">
        <v>13158</v>
      </c>
      <c r="X2135" s="49" t="str">
        <f t="array" ref="X2135"> if(iserror(MATCH(V2135, 'File Links'!C:C, 0)), "N/A", HYPERLINK(INDEX('File Links'!B:B, MATCH(V2135, 'File Links'!C:C, 0))))</f>
        <v>N/A</v>
      </c>
      <c r="Y2135" s="46"/>
      <c r="Z2135" s="360" t="s">
        <v>1600</v>
      </c>
      <c r="AA2135" s="360" t="s">
        <v>13159</v>
      </c>
      <c r="AB2135" s="151" t="s">
        <v>13179</v>
      </c>
      <c r="AC2135" s="360" t="s">
        <v>13161</v>
      </c>
      <c r="AD2135" s="360" t="s">
        <v>13162</v>
      </c>
      <c r="AE2135" s="1963" t="s">
        <v>13163</v>
      </c>
      <c r="AF2135" s="357">
        <v>44.0</v>
      </c>
      <c r="AG2135" s="46" t="s">
        <v>13164</v>
      </c>
      <c r="AH2135" s="360" t="s">
        <v>134</v>
      </c>
      <c r="AI2135" s="360" t="s">
        <v>13165</v>
      </c>
      <c r="AJ2135" s="357">
        <v>0.01</v>
      </c>
      <c r="AK2135" s="360" t="s">
        <v>135</v>
      </c>
      <c r="AL2135" s="360" t="s">
        <v>186</v>
      </c>
      <c r="AM2135" s="360" t="s">
        <v>141</v>
      </c>
      <c r="AN2135" s="46" t="s">
        <v>138</v>
      </c>
      <c r="AO2135" s="357">
        <v>96.0</v>
      </c>
      <c r="AP2135" s="1965" t="s">
        <v>13180</v>
      </c>
      <c r="AQ2135" s="360" t="s">
        <v>139</v>
      </c>
      <c r="AR2135" s="360" t="s">
        <v>140</v>
      </c>
      <c r="AS2135" s="357">
        <v>0.47</v>
      </c>
      <c r="AT2135" s="360" t="s">
        <v>172</v>
      </c>
      <c r="AU2135" s="360" t="s">
        <v>186</v>
      </c>
      <c r="AV2135" s="360" t="s">
        <v>141</v>
      </c>
      <c r="AW2135" s="360" t="s">
        <v>138</v>
      </c>
      <c r="AX2135" s="360" t="s">
        <v>143</v>
      </c>
      <c r="AY2135" s="61" t="str">
        <f>IFERROR(__xludf.DUMMYFUNCTION("vlookup(BB2135,importrange(""https://docs.google.com/spreadsheets/d/1d2vevQ_7D_v35q4wCQ4RpQ_IPoTwEMB9Yp6ymwlPqew/edit?gid=984458430#gid=984458430"", ""'replication success'!A:K""), 11, FAlSE)"),"successful")</f>
        <v>successful</v>
      </c>
      <c r="AZ2135" s="61" t="str">
        <f>IFERROR(__xludf.DUMMYFUNCTION("vlookup(BB2135,importrange(""https://docs.google.com/spreadsheets/d/1d2vevQ_7D_v35q4wCQ4RpQ_IPoTwEMB9Yp6ymwlPqew/edit?gid=984458430#gid=984458430"", ""'replication success'!A:M""), 12, FAlSE)"),"Results showed that early-acquired items were responded 
to more quickly than late-acquired ones for all experiments, except for Experiment 3B (spoken word 
naming) where the AoA effect was shown for only low-frequency words. ")</f>
        <v>Results showed that early-acquired items were responded 
to more quickly than late-acquired ones for all experiments, except for Experiment 3B (spoken word 
naming) where the AoA effect was shown for only low-frequency words. </v>
      </c>
      <c r="BA2135" s="61" t="str">
        <f>IFERROR(__xludf.DUMMYFUNCTION("vlookup(BB2135,importrange(""https://docs.google.com/spreadsheets/d/1d2vevQ_7D_v35q4wCQ4RpQ_IPoTwEMB9Yp6ymwlPqew/edit?gid=984458430#gid=984458430"", ""'replication success'!A:M""), 13, FAlSE)"),"abstract")</f>
        <v>abstract</v>
      </c>
      <c r="BB2135" s="61" t="str">
        <f>IFERROR(__xludf.DUMMYFUNCTION("REGEXREPLACE(G2135, ""_[a-z]{1,2}$"", """")"),"soscisubmission6")</f>
        <v>soscisubmission6</v>
      </c>
      <c r="BC2135" s="46"/>
      <c r="BD2135" s="341" t="s">
        <v>8426</v>
      </c>
      <c r="BE2135" s="342"/>
      <c r="BF2135" s="342"/>
      <c r="BG2135" s="342"/>
      <c r="BH2135" s="342"/>
      <c r="BI2135" s="342"/>
      <c r="BJ2135" s="342"/>
      <c r="BK2135" s="342"/>
      <c r="BL2135" s="342"/>
      <c r="BM2135" s="342"/>
      <c r="BN2135" s="342"/>
      <c r="BO2135" s="342"/>
      <c r="BP2135" s="342"/>
      <c r="BQ2135" s="342"/>
      <c r="BR2135" s="342"/>
      <c r="BS2135" s="342"/>
      <c r="BT2135" s="342"/>
      <c r="BU2135" s="342"/>
      <c r="BV2135" s="342"/>
      <c r="BW2135" s="342"/>
      <c r="BX2135" s="342"/>
      <c r="BY2135" s="342"/>
      <c r="BZ2135" s="342"/>
      <c r="CA2135" s="342"/>
      <c r="CB2135" s="342"/>
      <c r="CC2135" s="342"/>
      <c r="CD2135" s="342"/>
      <c r="CE2135" s="342"/>
      <c r="CF2135" s="342"/>
      <c r="CG2135" s="342"/>
      <c r="CH2135" s="342"/>
      <c r="CI2135" s="342"/>
      <c r="CJ2135" s="342"/>
      <c r="CK2135" s="342"/>
      <c r="CL2135" s="342"/>
      <c r="CM2135" s="342"/>
      <c r="CN2135" s="342"/>
      <c r="CO2135" s="342"/>
      <c r="CP2135" s="342"/>
      <c r="CQ2135" s="342"/>
      <c r="CR2135" s="342"/>
      <c r="CS2135" s="342"/>
      <c r="CT2135" s="342"/>
      <c r="CU2135" s="342"/>
      <c r="CV2135" s="342"/>
      <c r="CW2135" s="342"/>
      <c r="CX2135" s="342"/>
      <c r="CY2135" s="342"/>
      <c r="CZ2135" s="342"/>
      <c r="DA2135" s="342"/>
      <c r="DB2135" s="342"/>
      <c r="DC2135" s="342"/>
      <c r="DD2135" s="342"/>
      <c r="DE2135" s="342"/>
      <c r="DF2135" s="342"/>
      <c r="DG2135" s="342"/>
      <c r="DH2135" s="342"/>
      <c r="DI2135" s="342"/>
      <c r="DJ2135" s="342"/>
      <c r="DK2135" s="342"/>
      <c r="DL2135" s="342"/>
    </row>
    <row r="2136">
      <c r="A2136" s="44">
        <v>2136.0</v>
      </c>
      <c r="B2136" s="56" t="s">
        <v>152</v>
      </c>
      <c r="C2136" s="341" t="s">
        <v>115</v>
      </c>
      <c r="D2136" s="341" t="s">
        <v>153</v>
      </c>
      <c r="E2136" s="342"/>
      <c r="F2136" s="56" t="s">
        <v>13177</v>
      </c>
      <c r="G2136" s="56" t="s">
        <v>13167</v>
      </c>
      <c r="H2136" s="343" t="s">
        <v>8556</v>
      </c>
      <c r="I2136" s="347" t="s">
        <v>8557</v>
      </c>
      <c r="J2136" s="46"/>
      <c r="K2136" s="360"/>
      <c r="L2136" s="56" t="s">
        <v>13181</v>
      </c>
      <c r="M2136" s="56" t="s">
        <v>13152</v>
      </c>
      <c r="N2136" s="56" t="s">
        <v>13153</v>
      </c>
      <c r="O2136" s="1693">
        <v>1.0</v>
      </c>
      <c r="P2136" s="343" t="s">
        <v>13154</v>
      </c>
      <c r="Q2136" s="108" t="str">
        <f t="array" ref="Q2136"> if(iserror(MATCH(V2136, 'File Links'!C:C, 0)), "N/A", HYPERLINK(INDEX('File Links'!B:B, MATCH(P2136, 'File Links'!C:C, 0))))</f>
        <v>N/A</v>
      </c>
      <c r="R2136" s="1697" t="s">
        <v>13155</v>
      </c>
      <c r="S2136" s="56" t="s">
        <v>13156</v>
      </c>
      <c r="T2136" s="1966" t="s">
        <v>138</v>
      </c>
      <c r="U2136" s="55" t="s">
        <v>13182</v>
      </c>
      <c r="V2136" s="343" t="s">
        <v>13157</v>
      </c>
      <c r="W2136" s="343" t="s">
        <v>13158</v>
      </c>
      <c r="X2136" s="49" t="str">
        <f t="array" ref="X2136"> if(iserror(MATCH(V2136, 'File Links'!C:C, 0)), "N/A", HYPERLINK(INDEX('File Links'!B:B, MATCH(V2136, 'File Links'!C:C, 0))))</f>
        <v>N/A</v>
      </c>
      <c r="Y2136" s="46"/>
      <c r="Z2136" s="343" t="s">
        <v>1600</v>
      </c>
      <c r="AA2136" s="56" t="s">
        <v>13171</v>
      </c>
      <c r="AB2136" s="343" t="s">
        <v>13172</v>
      </c>
      <c r="AC2136" s="343" t="s">
        <v>13183</v>
      </c>
      <c r="AD2136" s="343" t="s">
        <v>13184</v>
      </c>
      <c r="AE2136" s="343">
        <v>14.0</v>
      </c>
      <c r="AF2136" s="347">
        <v>44.0</v>
      </c>
      <c r="AG2136" s="347" t="s">
        <v>13185</v>
      </c>
      <c r="AH2136" s="343" t="s">
        <v>134</v>
      </c>
      <c r="AI2136" s="343" t="s">
        <v>2229</v>
      </c>
      <c r="AJ2136" s="347" t="s">
        <v>138</v>
      </c>
      <c r="AK2136" s="360"/>
      <c r="AL2136" s="343" t="s">
        <v>186</v>
      </c>
      <c r="AM2136" s="56" t="s">
        <v>137</v>
      </c>
      <c r="AN2136" s="46"/>
      <c r="AO2136" s="347">
        <v>96.0</v>
      </c>
      <c r="AP2136" s="351" t="s">
        <v>13186</v>
      </c>
      <c r="AQ2136" s="343" t="s">
        <v>134</v>
      </c>
      <c r="AR2136" s="343" t="s">
        <v>612</v>
      </c>
      <c r="AS2136" s="347">
        <v>0.51</v>
      </c>
      <c r="AT2136" s="343" t="s">
        <v>172</v>
      </c>
      <c r="AU2136" s="343" t="s">
        <v>136</v>
      </c>
      <c r="AV2136" s="56" t="s">
        <v>137</v>
      </c>
      <c r="AW2136" s="59"/>
      <c r="AX2136" s="56" t="s">
        <v>143</v>
      </c>
      <c r="AY2136" s="61" t="str">
        <f>IFERROR(__xludf.DUMMYFUNCTION("vlookup(BB2136,importrange(""https://docs.google.com/spreadsheets/d/1d2vevQ_7D_v35q4wCQ4RpQ_IPoTwEMB9Yp6ymwlPqew/edit?gid=984458430#gid=984458430"", ""'replication success'!A:K""), 11, FAlSE)"),"successful")</f>
        <v>successful</v>
      </c>
      <c r="AZ2136" s="61" t="str">
        <f>IFERROR(__xludf.DUMMYFUNCTION("vlookup(BB2136,importrange(""https://docs.google.com/spreadsheets/d/1d2vevQ_7D_v35q4wCQ4RpQ_IPoTwEMB9Yp6ymwlPqew/edit?gid=984458430#gid=984458430"", ""'replication success'!A:M""), 12, FAlSE)"),"Results showed that early-acquired items were responded 
to more quickly than late-acquired ones for all experiments, except for Experiment 3B (spoken word 
naming) where the AoA effect was shown for only low-frequency words. ")</f>
        <v>Results showed that early-acquired items were responded 
to more quickly than late-acquired ones for all experiments, except for Experiment 3B (spoken word 
naming) where the AoA effect was shown for only low-frequency words. </v>
      </c>
      <c r="BA2136" s="61" t="str">
        <f>IFERROR(__xludf.DUMMYFUNCTION("vlookup(BB2136,importrange(""https://docs.google.com/spreadsheets/d/1d2vevQ_7D_v35q4wCQ4RpQ_IPoTwEMB9Yp6ymwlPqew/edit?gid=984458430#gid=984458430"", ""'replication success'!A:M""), 13, FAlSE)"),"abstract")</f>
        <v>abstract</v>
      </c>
      <c r="BB2136" s="61" t="str">
        <f>IFERROR(__xludf.DUMMYFUNCTION("REGEXREPLACE(G2136, ""_[a-z]{1,2}$"", """")"),"soscisubmission6_1_2_1")</f>
        <v>soscisubmission6_1_2_1</v>
      </c>
      <c r="BC2136" s="342"/>
      <c r="BD2136" s="341" t="s">
        <v>8426</v>
      </c>
      <c r="BE2136" s="342"/>
      <c r="BF2136" s="342"/>
      <c r="BG2136" s="342"/>
      <c r="BH2136" s="342"/>
      <c r="BI2136" s="342"/>
      <c r="BJ2136" s="342"/>
      <c r="BK2136" s="342"/>
      <c r="BL2136" s="342"/>
      <c r="BM2136" s="342"/>
      <c r="BN2136" s="342"/>
      <c r="BO2136" s="342"/>
      <c r="BP2136" s="342"/>
      <c r="BQ2136" s="342"/>
      <c r="BR2136" s="342"/>
      <c r="BS2136" s="342"/>
      <c r="BT2136" s="342"/>
      <c r="BU2136" s="342"/>
      <c r="BV2136" s="342"/>
      <c r="BW2136" s="342"/>
      <c r="BX2136" s="342"/>
      <c r="BY2136" s="342"/>
      <c r="BZ2136" s="342"/>
      <c r="CA2136" s="342"/>
      <c r="CB2136" s="342"/>
      <c r="CC2136" s="342"/>
      <c r="CD2136" s="342"/>
      <c r="CE2136" s="342"/>
      <c r="CF2136" s="342"/>
      <c r="CG2136" s="342"/>
      <c r="CH2136" s="342"/>
      <c r="CI2136" s="342"/>
      <c r="CJ2136" s="342"/>
      <c r="CK2136" s="342"/>
      <c r="CL2136" s="342"/>
      <c r="CM2136" s="342"/>
      <c r="CN2136" s="342"/>
      <c r="CO2136" s="342"/>
      <c r="CP2136" s="342"/>
      <c r="CQ2136" s="342"/>
      <c r="CR2136" s="342"/>
      <c r="CS2136" s="342"/>
      <c r="CT2136" s="342"/>
      <c r="CU2136" s="342"/>
      <c r="CV2136" s="342"/>
      <c r="CW2136" s="342"/>
      <c r="CX2136" s="342"/>
      <c r="CY2136" s="342"/>
      <c r="CZ2136" s="342"/>
      <c r="DA2136" s="342"/>
      <c r="DB2136" s="342"/>
      <c r="DC2136" s="342"/>
      <c r="DD2136" s="342"/>
      <c r="DE2136" s="342"/>
      <c r="DF2136" s="342"/>
      <c r="DG2136" s="342"/>
      <c r="DH2136" s="342"/>
      <c r="DI2136" s="342"/>
      <c r="DJ2136" s="342"/>
      <c r="DK2136" s="342"/>
      <c r="DL2136" s="342"/>
    </row>
    <row r="2137">
      <c r="A2137" s="44">
        <v>2137.0</v>
      </c>
      <c r="B2137" s="129" t="s">
        <v>114</v>
      </c>
      <c r="C2137" s="62" t="s">
        <v>115</v>
      </c>
      <c r="D2137" s="62" t="s">
        <v>1441</v>
      </c>
      <c r="F2137" s="68" t="s">
        <v>13187</v>
      </c>
      <c r="G2137" s="159" t="s">
        <v>13188</v>
      </c>
      <c r="H2137" s="159" t="s">
        <v>13189</v>
      </c>
      <c r="I2137" s="1287" t="s">
        <v>13190</v>
      </c>
      <c r="J2137" s="153">
        <v>45764.0</v>
      </c>
      <c r="K2137" s="68"/>
      <c r="L2137" s="129" t="s">
        <v>13191</v>
      </c>
      <c r="M2137" s="159" t="s">
        <v>13192</v>
      </c>
      <c r="N2137" s="159" t="s">
        <v>13193</v>
      </c>
      <c r="O2137" s="156">
        <v>1.0</v>
      </c>
      <c r="P2137" s="382" t="s">
        <v>13194</v>
      </c>
      <c r="Q2137" s="52" t="str">
        <f t="array" ref="Q2137"> if(iserror(MATCH(V2137, 'File Links'!C:C, 0)), "N/A", HYPERLINK(INDEX('File Links'!B:B, MATCH(P2137, 'File Links'!C:C, 0))))</f>
        <v>https://drive.google.com/file/d/1F6e63Lvx_picFSFjsYovkHAFanA2uAHa/view?usp=drivesdk</v>
      </c>
      <c r="R2137" s="159" t="s">
        <v>13195</v>
      </c>
      <c r="S2137" s="159" t="s">
        <v>13196</v>
      </c>
      <c r="T2137" s="68"/>
      <c r="U2137" s="156">
        <v>1.0</v>
      </c>
      <c r="V2137" s="382" t="s">
        <v>13197</v>
      </c>
      <c r="W2137" s="159" t="s">
        <v>13198</v>
      </c>
      <c r="X2137" s="54" t="str">
        <f t="array" ref="X2137"> if(iserror(MATCH(V2137, 'File Links'!C:C, 0)), "N/A", HYPERLINK(INDEX('File Links'!B:B, MATCH(V2137, 'File Links'!C:C, 0))))</f>
        <v>https://drive.google.com/file/d/1CVrT0V-MeqSfZShwoRY6MMjJJXISWk02/view?usp=drivesdk</v>
      </c>
      <c r="Y2137" s="68"/>
      <c r="Z2137" s="159" t="s">
        <v>12737</v>
      </c>
      <c r="AA2137" s="159" t="s">
        <v>7997</v>
      </c>
      <c r="AB2137" s="68" t="s">
        <v>13199</v>
      </c>
      <c r="AC2137" s="159" t="s">
        <v>13200</v>
      </c>
      <c r="AD2137" s="159" t="s">
        <v>13201</v>
      </c>
      <c r="AE2137" s="156">
        <v>4.0</v>
      </c>
      <c r="AF2137" s="156">
        <v>20.0</v>
      </c>
      <c r="AG2137" s="156">
        <v>0.22</v>
      </c>
      <c r="AH2137" s="159" t="s">
        <v>874</v>
      </c>
      <c r="AI2137" s="159" t="s">
        <v>850</v>
      </c>
      <c r="AJ2137" s="156">
        <v>0.035</v>
      </c>
      <c r="AK2137" s="159" t="s">
        <v>172</v>
      </c>
      <c r="AL2137" s="159" t="s">
        <v>186</v>
      </c>
      <c r="AM2137" s="159" t="s">
        <v>141</v>
      </c>
      <c r="AN2137" s="68" t="s">
        <v>138</v>
      </c>
      <c r="AO2137" s="156">
        <v>52.0</v>
      </c>
      <c r="AP2137" s="156">
        <v>0.25</v>
      </c>
      <c r="AQ2137" s="159" t="s">
        <v>173</v>
      </c>
      <c r="AR2137" s="159" t="s">
        <v>140</v>
      </c>
      <c r="AS2137" s="156">
        <v>0.083</v>
      </c>
      <c r="AT2137" s="159" t="s">
        <v>172</v>
      </c>
      <c r="AU2137" s="159" t="s">
        <v>186</v>
      </c>
      <c r="AV2137" s="1060" t="s">
        <v>141</v>
      </c>
      <c r="AW2137" s="435" t="s">
        <v>13202</v>
      </c>
      <c r="AX2137" s="159" t="s">
        <v>143</v>
      </c>
      <c r="AY2137" s="61" t="str">
        <f>IFERROR(__xludf.DUMMYFUNCTION("vlookup(BB2137,importrange(""https://docs.google.com/spreadsheets/d/1d2vevQ_7D_v35q4wCQ4RpQ_IPoTwEMB9Yp6ymwlPqew/edit?gid=984458430#gid=984458430"", ""'replication success'!A:K""), 11, FAlSE)"),"#N/A")</f>
        <v>#N/A</v>
      </c>
      <c r="AZ2137" s="61" t="str">
        <f>IFERROR(__xludf.DUMMYFUNCTION("vlookup(BB2137,importrange(""https://docs.google.com/spreadsheets/d/1d2vevQ_7D_v35q4wCQ4RpQ_IPoTwEMB9Yp6ymwlPqew/edit?gid=984458430#gid=984458430"", ""'replication success'!A:M""), 12, FAlSE)"),"#N/A")</f>
        <v>#N/A</v>
      </c>
      <c r="BA2137" s="61" t="str">
        <f>IFERROR(__xludf.DUMMYFUNCTION("vlookup(BB2137,importrange(""https://docs.google.com/spreadsheets/d/1d2vevQ_7D_v35q4wCQ4RpQ_IPoTwEMB9Yp6ymwlPqew/edit?gid=984458430#gid=984458430"", ""'replication success'!A:M""), 13, FAlSE)"),"#N/A")</f>
        <v>#N/A</v>
      </c>
      <c r="BB2137" s="61" t="str">
        <f>IFERROR(__xludf.DUMMYFUNCTION("REGEXREPLACE(G2137, ""_[a-z]{1,2}$"", """")"),"soscisubmission7")</f>
        <v>soscisubmission7</v>
      </c>
      <c r="BC2137" s="68"/>
      <c r="BD2137" s="62" t="s">
        <v>5074</v>
      </c>
    </row>
    <row r="2138">
      <c r="A2138" s="44">
        <v>2138.0</v>
      </c>
      <c r="B2138" s="129" t="s">
        <v>152</v>
      </c>
      <c r="C2138" s="62" t="s">
        <v>115</v>
      </c>
      <c r="D2138" s="62" t="s">
        <v>153</v>
      </c>
      <c r="F2138" s="129" t="s">
        <v>13187</v>
      </c>
      <c r="G2138" s="129" t="s">
        <v>13203</v>
      </c>
      <c r="H2138" s="151" t="s">
        <v>8556</v>
      </c>
      <c r="I2138" s="161" t="s">
        <v>8557</v>
      </c>
      <c r="J2138" s="153">
        <v>45764.0</v>
      </c>
      <c r="K2138" s="151" t="s">
        <v>13204</v>
      </c>
      <c r="L2138" s="68"/>
      <c r="M2138" s="129" t="s">
        <v>13192</v>
      </c>
      <c r="N2138" s="129" t="s">
        <v>13193</v>
      </c>
      <c r="O2138" s="1093">
        <v>1.0</v>
      </c>
      <c r="P2138" s="309" t="s">
        <v>13194</v>
      </c>
      <c r="Q2138" s="52" t="str">
        <f t="array" ref="Q2138"> if(iserror(MATCH(V2138, 'File Links'!C:C, 0)), "N/A", HYPERLINK(INDEX('File Links'!B:B, MATCH(P2138, 'File Links'!C:C, 0))))</f>
        <v>https://drive.google.com/file/d/1F6e63Lvx_picFSFjsYovkHAFanA2uAHa/view?usp=drivesdk</v>
      </c>
      <c r="R2138" s="1697" t="s">
        <v>13195</v>
      </c>
      <c r="S2138" s="129" t="s">
        <v>13196</v>
      </c>
      <c r="T2138" s="1379"/>
      <c r="U2138" s="1093">
        <v>1.0</v>
      </c>
      <c r="V2138" s="151" t="s">
        <v>13197</v>
      </c>
      <c r="W2138" s="151" t="s">
        <v>924</v>
      </c>
      <c r="X2138" s="54" t="str">
        <f t="array" ref="X2138"> if(iserror(MATCH(V2138, 'File Links'!C:C, 0)), "N/A", HYPERLINK(INDEX('File Links'!B:B, MATCH(V2138, 'File Links'!C:C, 0))))</f>
        <v>https://drive.google.com/file/d/1CVrT0V-MeqSfZShwoRY6MMjJJXISWk02/view?usp=drivesdk</v>
      </c>
      <c r="Y2138" s="68"/>
      <c r="Z2138" s="151" t="s">
        <v>1600</v>
      </c>
      <c r="AA2138" s="129" t="s">
        <v>13205</v>
      </c>
      <c r="AB2138" s="151" t="s">
        <v>13206</v>
      </c>
      <c r="AC2138" s="151" t="s">
        <v>13207</v>
      </c>
      <c r="AD2138" s="151" t="s">
        <v>13208</v>
      </c>
      <c r="AE2138" s="151">
        <v>4.0</v>
      </c>
      <c r="AF2138" s="161">
        <v>20.0</v>
      </c>
      <c r="AG2138" s="161">
        <v>0.22</v>
      </c>
      <c r="AH2138" s="159" t="s">
        <v>874</v>
      </c>
      <c r="AI2138" s="151" t="s">
        <v>850</v>
      </c>
      <c r="AJ2138" s="161">
        <v>0.035</v>
      </c>
      <c r="AK2138" s="151" t="s">
        <v>172</v>
      </c>
      <c r="AL2138" s="1115" t="s">
        <v>186</v>
      </c>
      <c r="AM2138" s="1115" t="s">
        <v>141</v>
      </c>
      <c r="AN2138" s="1300" t="s">
        <v>138</v>
      </c>
      <c r="AO2138" s="161">
        <v>54.0</v>
      </c>
      <c r="AP2138" s="161">
        <v>0.25</v>
      </c>
      <c r="AQ2138" s="151" t="s">
        <v>173</v>
      </c>
      <c r="AR2138" s="151" t="s">
        <v>140</v>
      </c>
      <c r="AS2138" s="161">
        <v>0.083</v>
      </c>
      <c r="AT2138" s="151" t="s">
        <v>172</v>
      </c>
      <c r="AU2138" s="1115" t="s">
        <v>186</v>
      </c>
      <c r="AV2138" s="129" t="s">
        <v>137</v>
      </c>
      <c r="AW2138" s="1308" t="s">
        <v>13209</v>
      </c>
      <c r="AX2138" s="129" t="s">
        <v>143</v>
      </c>
      <c r="AY2138" s="61" t="str">
        <f>IFERROR(__xludf.DUMMYFUNCTION("vlookup(BB2138,importrange(""https://docs.google.com/spreadsheets/d/1d2vevQ_7D_v35q4wCQ4RpQ_IPoTwEMB9Yp6ymwlPqew/edit?gid=984458430#gid=984458430"", ""'replication success'!A:K""), 11, FAlSE)"),"failed")</f>
        <v>failed</v>
      </c>
      <c r="AZ2138" s="61" t="str">
        <f>IFERROR(__xludf.DUMMYFUNCTION("vlookup(BB2138,importrange(""https://docs.google.com/spreadsheets/d/1d2vevQ_7D_v35q4wCQ4RpQ_IPoTwEMB9Yp6ymwlPqew/edit?gid=984458430#gid=984458430"", ""'replication success'!A:M""), 12, FAlSE)"),"Results showed that only one of the four paradigms
was reliably replicated. A second set of studies revealed, further, that this one paradigm was no longer replicated once
confounds were removed, which calls its validity into question. There were also n"&amp;"o correlations between paradigms, and
thus, no evidence for their convergent validity. In conclusion, findings from anticipatory-looking false-belief paradigms
seem less reliable and valid than previously assumed, thus limiting the conclusions that can "&amp;"be drawn from them.")</f>
        <v>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v>
      </c>
      <c r="BA2138" s="61" t="str">
        <f>IFERROR(__xludf.DUMMYFUNCTION("vlookup(BB2138,importrange(""https://docs.google.com/spreadsheets/d/1d2vevQ_7D_v35q4wCQ4RpQ_IPoTwEMB9Yp6ymwlPqew/edit?gid=984458430#gid=984458430"", ""'replication success'!A:M""), 13, FAlSE)"),"abstract")</f>
        <v>abstract</v>
      </c>
      <c r="BB2138" s="61" t="str">
        <f>IFERROR(__xludf.DUMMYFUNCTION("REGEXREPLACE(G2138, ""_[a-z]{1,2}$"", """")"),"soscisubmission7_1_2_1")</f>
        <v>soscisubmission7_1_2_1</v>
      </c>
      <c r="BD2138" s="62" t="s">
        <v>5074</v>
      </c>
    </row>
    <row r="2139">
      <c r="A2139" s="44">
        <v>2139.0</v>
      </c>
      <c r="B2139" s="129" t="s">
        <v>523</v>
      </c>
      <c r="C2139" s="62" t="s">
        <v>115</v>
      </c>
      <c r="D2139" s="62" t="s">
        <v>153</v>
      </c>
      <c r="F2139" s="129" t="s">
        <v>13187</v>
      </c>
      <c r="G2139" s="129" t="s">
        <v>13210</v>
      </c>
      <c r="H2139" s="151" t="s">
        <v>8556</v>
      </c>
      <c r="I2139" s="161" t="s">
        <v>8557</v>
      </c>
      <c r="J2139" s="68"/>
      <c r="K2139" s="151" t="s">
        <v>13204</v>
      </c>
      <c r="L2139" s="68"/>
      <c r="M2139" s="129" t="s">
        <v>13192</v>
      </c>
      <c r="N2139" s="129" t="s">
        <v>13193</v>
      </c>
      <c r="O2139" s="336"/>
      <c r="P2139" s="309" t="s">
        <v>13194</v>
      </c>
      <c r="Q2139" s="52" t="str">
        <f t="array" ref="Q2139"> if(iserror(MATCH(V2139, 'File Links'!C:C, 0)), "N/A", HYPERLINK(INDEX('File Links'!B:B, MATCH(P2139, 'File Links'!C:C, 0))))</f>
        <v>https://drive.google.com/file/d/1F6e63Lvx_picFSFjsYovkHAFanA2uAHa/view?usp=drivesdk</v>
      </c>
      <c r="R2139" s="1697" t="s">
        <v>13195</v>
      </c>
      <c r="S2139" s="129" t="s">
        <v>13196</v>
      </c>
      <c r="T2139" s="1379"/>
      <c r="U2139" s="336"/>
      <c r="V2139" s="151" t="s">
        <v>13197</v>
      </c>
      <c r="W2139" s="151" t="s">
        <v>924</v>
      </c>
      <c r="X2139" s="54" t="str">
        <f t="array" ref="X2139"> if(iserror(MATCH(V2139, 'File Links'!C:C, 0)), "N/A", HYPERLINK(INDEX('File Links'!B:B, MATCH(V2139, 'File Links'!C:C, 0))))</f>
        <v>https://drive.google.com/file/d/1CVrT0V-MeqSfZShwoRY6MMjJJXISWk02/view?usp=drivesdk</v>
      </c>
      <c r="Y2139" s="68"/>
      <c r="Z2139" s="151" t="s">
        <v>1600</v>
      </c>
      <c r="AA2139" s="129" t="s">
        <v>13205</v>
      </c>
      <c r="AB2139" s="151" t="s">
        <v>13211</v>
      </c>
      <c r="AC2139" s="151" t="s">
        <v>13212</v>
      </c>
      <c r="AD2139" s="151" t="s">
        <v>13213</v>
      </c>
      <c r="AE2139" s="151">
        <v>4.0</v>
      </c>
      <c r="AF2139" s="161">
        <v>20.0</v>
      </c>
      <c r="AG2139" s="161" t="s">
        <v>138</v>
      </c>
      <c r="AH2139" s="159"/>
      <c r="AI2139" s="151" t="s">
        <v>850</v>
      </c>
      <c r="AJ2139" s="161">
        <v>0.05</v>
      </c>
      <c r="AK2139" s="151" t="s">
        <v>335</v>
      </c>
      <c r="AL2139" s="151" t="s">
        <v>136</v>
      </c>
      <c r="AM2139" s="129" t="s">
        <v>137</v>
      </c>
      <c r="AN2139" s="68"/>
      <c r="AO2139" s="161">
        <v>54.0</v>
      </c>
      <c r="AP2139" s="161">
        <v>1.515</v>
      </c>
      <c r="AQ2139" s="151" t="s">
        <v>173</v>
      </c>
      <c r="AR2139" s="151" t="s">
        <v>140</v>
      </c>
      <c r="AS2139" s="156"/>
      <c r="AT2139" s="159"/>
      <c r="AU2139" s="151" t="s">
        <v>136</v>
      </c>
      <c r="AV2139" s="129" t="s">
        <v>137</v>
      </c>
      <c r="AW2139" s="1308" t="s">
        <v>13209</v>
      </c>
      <c r="AX2139" s="129" t="s">
        <v>143</v>
      </c>
      <c r="AY2139" s="61" t="str">
        <f>IFERROR(__xludf.DUMMYFUNCTION("vlookup(BB2139,importrange(""https://docs.google.com/spreadsheets/d/1d2vevQ_7D_v35q4wCQ4RpQ_IPoTwEMB9Yp6ymwlPqew/edit?gid=984458430#gid=984458430"", ""'replication success'!A:K""), 11, FAlSE)"),"#N/A")</f>
        <v>#N/A</v>
      </c>
      <c r="AZ2139" s="61" t="str">
        <f>IFERROR(__xludf.DUMMYFUNCTION("vlookup(BB2139,importrange(""https://docs.google.com/spreadsheets/d/1d2vevQ_7D_v35q4wCQ4RpQ_IPoTwEMB9Yp6ymwlPqew/edit?gid=984458430#gid=984458430"", ""'replication success'!A:M""), 12, FAlSE)"),"#N/A")</f>
        <v>#N/A</v>
      </c>
      <c r="BA2139" s="61" t="str">
        <f>IFERROR(__xludf.DUMMYFUNCTION("vlookup(BB2139,importrange(""https://docs.google.com/spreadsheets/d/1d2vevQ_7D_v35q4wCQ4RpQ_IPoTwEMB9Yp6ymwlPqew/edit?gid=984458430#gid=984458430"", ""'replication success'!A:M""), 13, FAlSE)"),"#N/A")</f>
        <v>#N/A</v>
      </c>
      <c r="BB2139" s="61" t="str">
        <f>IFERROR(__xludf.DUMMYFUNCTION("REGEXREPLACE(G2139, ""_[a-z]{1,2}$"", """")"),"soscisubmission7_1_2_2")</f>
        <v>soscisubmission7_1_2_2</v>
      </c>
    </row>
    <row r="2140">
      <c r="A2140" s="44">
        <v>2140.0</v>
      </c>
      <c r="B2140" s="129" t="s">
        <v>523</v>
      </c>
      <c r="C2140" s="62" t="s">
        <v>115</v>
      </c>
      <c r="D2140" s="62" t="s">
        <v>153</v>
      </c>
      <c r="F2140" s="129" t="s">
        <v>13187</v>
      </c>
      <c r="G2140" s="129" t="s">
        <v>13214</v>
      </c>
      <c r="H2140" s="151" t="s">
        <v>8556</v>
      </c>
      <c r="I2140" s="161" t="s">
        <v>8557</v>
      </c>
      <c r="J2140" s="68"/>
      <c r="K2140" s="151" t="s">
        <v>13204</v>
      </c>
      <c r="L2140" s="68"/>
      <c r="M2140" s="129" t="s">
        <v>13192</v>
      </c>
      <c r="N2140" s="129" t="s">
        <v>13193</v>
      </c>
      <c r="O2140" s="336"/>
      <c r="P2140" s="309" t="s">
        <v>13194</v>
      </c>
      <c r="Q2140" s="52" t="str">
        <f t="array" ref="Q2140"> if(iserror(MATCH(V2140, 'File Links'!C:C, 0)), "N/A", HYPERLINK(INDEX('File Links'!B:B, MATCH(P2140, 'File Links'!C:C, 0))))</f>
        <v>https://drive.google.com/file/d/1F6e63Lvx_picFSFjsYovkHAFanA2uAHa/view?usp=drivesdk</v>
      </c>
      <c r="R2140" s="1697" t="s">
        <v>13195</v>
      </c>
      <c r="S2140" s="129" t="s">
        <v>13196</v>
      </c>
      <c r="T2140" s="1379"/>
      <c r="U2140" s="336"/>
      <c r="V2140" s="151" t="s">
        <v>13197</v>
      </c>
      <c r="W2140" s="151" t="s">
        <v>924</v>
      </c>
      <c r="X2140" s="54" t="str">
        <f t="array" ref="X2140"> if(iserror(MATCH(V2140, 'File Links'!C:C, 0)), "N/A", HYPERLINK(INDEX('File Links'!B:B, MATCH(V2140, 'File Links'!C:C, 0))))</f>
        <v>https://drive.google.com/file/d/1CVrT0V-MeqSfZShwoRY6MMjJJXISWk02/view?usp=drivesdk</v>
      </c>
      <c r="Y2140" s="68"/>
      <c r="Z2140" s="151" t="s">
        <v>1600</v>
      </c>
      <c r="AA2140" s="129" t="s">
        <v>13205</v>
      </c>
      <c r="AB2140" s="151" t="s">
        <v>13211</v>
      </c>
      <c r="AC2140" s="159"/>
      <c r="AD2140" s="159"/>
      <c r="AE2140" s="151">
        <v>4.0</v>
      </c>
      <c r="AF2140" s="161">
        <v>20.0</v>
      </c>
      <c r="AG2140" s="161" t="s">
        <v>138</v>
      </c>
      <c r="AH2140" s="159"/>
      <c r="AI2140" s="151" t="s">
        <v>850</v>
      </c>
      <c r="AJ2140" s="156"/>
      <c r="AK2140" s="159"/>
      <c r="AL2140" s="159"/>
      <c r="AM2140" s="68"/>
      <c r="AN2140" s="68"/>
      <c r="AO2140" s="161">
        <v>54.0</v>
      </c>
      <c r="AP2140" s="161">
        <v>0.95</v>
      </c>
      <c r="AQ2140" s="151" t="s">
        <v>173</v>
      </c>
      <c r="AR2140" s="151" t="s">
        <v>140</v>
      </c>
      <c r="AS2140" s="161">
        <v>0.001</v>
      </c>
      <c r="AT2140" s="151" t="s">
        <v>135</v>
      </c>
      <c r="AU2140" s="151" t="s">
        <v>136</v>
      </c>
      <c r="AV2140" s="129" t="s">
        <v>137</v>
      </c>
      <c r="AW2140" s="1308" t="s">
        <v>13209</v>
      </c>
      <c r="AX2140" s="129" t="s">
        <v>143</v>
      </c>
      <c r="AY2140" s="61" t="str">
        <f>IFERROR(__xludf.DUMMYFUNCTION("vlookup(BB2140,importrange(""https://docs.google.com/spreadsheets/d/1d2vevQ_7D_v35q4wCQ4RpQ_IPoTwEMB9Yp6ymwlPqew/edit?gid=984458430#gid=984458430"", ""'replication success'!A:K""), 11, FAlSE)"),"#N/A")</f>
        <v>#N/A</v>
      </c>
      <c r="AZ2140" s="61" t="str">
        <f>IFERROR(__xludf.DUMMYFUNCTION("vlookup(BB2140,importrange(""https://docs.google.com/spreadsheets/d/1d2vevQ_7D_v35q4wCQ4RpQ_IPoTwEMB9Yp6ymwlPqew/edit?gid=984458430#gid=984458430"", ""'replication success'!A:M""), 12, FAlSE)"),"#N/A")</f>
        <v>#N/A</v>
      </c>
      <c r="BA2140" s="61" t="str">
        <f>IFERROR(__xludf.DUMMYFUNCTION("vlookup(BB2140,importrange(""https://docs.google.com/spreadsheets/d/1d2vevQ_7D_v35q4wCQ4RpQ_IPoTwEMB9Yp6ymwlPqew/edit?gid=984458430#gid=984458430"", ""'replication success'!A:M""), 13, FAlSE)"),"#N/A")</f>
        <v>#N/A</v>
      </c>
      <c r="BB2140" s="61" t="str">
        <f>IFERROR(__xludf.DUMMYFUNCTION("REGEXREPLACE(G2140, ""_[a-z]{1,2}$"", """")"),"soscisubmission7_1_2_3")</f>
        <v>soscisubmission7_1_2_3</v>
      </c>
    </row>
    <row r="2141">
      <c r="A2141" s="44">
        <v>2141.0</v>
      </c>
      <c r="B2141" s="129" t="s">
        <v>523</v>
      </c>
      <c r="C2141" s="62" t="s">
        <v>115</v>
      </c>
      <c r="D2141" s="62" t="s">
        <v>153</v>
      </c>
      <c r="F2141" s="129" t="s">
        <v>13187</v>
      </c>
      <c r="G2141" s="129" t="s">
        <v>13215</v>
      </c>
      <c r="H2141" s="151" t="s">
        <v>8556</v>
      </c>
      <c r="I2141" s="161" t="s">
        <v>8557</v>
      </c>
      <c r="J2141" s="68"/>
      <c r="K2141" s="151" t="s">
        <v>13204</v>
      </c>
      <c r="L2141" s="68"/>
      <c r="M2141" s="129" t="s">
        <v>13192</v>
      </c>
      <c r="N2141" s="129" t="s">
        <v>13193</v>
      </c>
      <c r="O2141" s="336"/>
      <c r="P2141" s="309" t="s">
        <v>13194</v>
      </c>
      <c r="Q2141" s="52" t="str">
        <f t="array" ref="Q2141"> if(iserror(MATCH(V2141, 'File Links'!C:C, 0)), "N/A", HYPERLINK(INDEX('File Links'!B:B, MATCH(P2141, 'File Links'!C:C, 0))))</f>
        <v>https://drive.google.com/file/d/1F6e63Lvx_picFSFjsYovkHAFanA2uAHa/view?usp=drivesdk</v>
      </c>
      <c r="R2141" s="1697" t="s">
        <v>13195</v>
      </c>
      <c r="S2141" s="129" t="s">
        <v>13196</v>
      </c>
      <c r="T2141" s="1379"/>
      <c r="U2141" s="336"/>
      <c r="V2141" s="151" t="s">
        <v>13197</v>
      </c>
      <c r="W2141" s="151" t="s">
        <v>924</v>
      </c>
      <c r="X2141" s="54" t="str">
        <f t="array" ref="X2141"> if(iserror(MATCH(V2141, 'File Links'!C:C, 0)), "N/A", HYPERLINK(INDEX('File Links'!B:B, MATCH(V2141, 'File Links'!C:C, 0))))</f>
        <v>https://drive.google.com/file/d/1CVrT0V-MeqSfZShwoRY6MMjJJXISWk02/view?usp=drivesdk</v>
      </c>
      <c r="Y2141" s="68"/>
      <c r="Z2141" s="151" t="s">
        <v>1600</v>
      </c>
      <c r="AA2141" s="129" t="s">
        <v>13205</v>
      </c>
      <c r="AB2141" s="151" t="s">
        <v>13211</v>
      </c>
      <c r="AC2141" s="159"/>
      <c r="AD2141" s="159"/>
      <c r="AE2141" s="151">
        <v>4.0</v>
      </c>
      <c r="AF2141" s="161">
        <v>20.0</v>
      </c>
      <c r="AG2141" s="161" t="s">
        <v>138</v>
      </c>
      <c r="AH2141" s="159"/>
      <c r="AI2141" s="151" t="s">
        <v>850</v>
      </c>
      <c r="AJ2141" s="156"/>
      <c r="AK2141" s="159"/>
      <c r="AL2141" s="159"/>
      <c r="AM2141" s="68"/>
      <c r="AN2141" s="68"/>
      <c r="AO2141" s="161">
        <v>54.0</v>
      </c>
      <c r="AP2141" s="161">
        <v>-0.54</v>
      </c>
      <c r="AQ2141" s="151" t="s">
        <v>173</v>
      </c>
      <c r="AR2141" s="151" t="s">
        <v>140</v>
      </c>
      <c r="AS2141" s="161">
        <v>0.015</v>
      </c>
      <c r="AT2141" s="151" t="s">
        <v>172</v>
      </c>
      <c r="AU2141" s="151" t="s">
        <v>136</v>
      </c>
      <c r="AV2141" s="129" t="s">
        <v>137</v>
      </c>
      <c r="AW2141" s="1308" t="s">
        <v>13209</v>
      </c>
      <c r="AX2141" s="129" t="s">
        <v>143</v>
      </c>
      <c r="AY2141" s="61" t="str">
        <f>IFERROR(__xludf.DUMMYFUNCTION("vlookup(BB2141,importrange(""https://docs.google.com/spreadsheets/d/1d2vevQ_7D_v35q4wCQ4RpQ_IPoTwEMB9Yp6ymwlPqew/edit?gid=984458430#gid=984458430"", ""'replication success'!A:K""), 11, FAlSE)"),"#N/A")</f>
        <v>#N/A</v>
      </c>
      <c r="AZ2141" s="61" t="str">
        <f>IFERROR(__xludf.DUMMYFUNCTION("vlookup(BB2141,importrange(""https://docs.google.com/spreadsheets/d/1d2vevQ_7D_v35q4wCQ4RpQ_IPoTwEMB9Yp6ymwlPqew/edit?gid=984458430#gid=984458430"", ""'replication success'!A:M""), 12, FAlSE)"),"#N/A")</f>
        <v>#N/A</v>
      </c>
      <c r="BA2141" s="61" t="str">
        <f>IFERROR(__xludf.DUMMYFUNCTION("vlookup(BB2141,importrange(""https://docs.google.com/spreadsheets/d/1d2vevQ_7D_v35q4wCQ4RpQ_IPoTwEMB9Yp6ymwlPqew/edit?gid=984458430#gid=984458430"", ""'replication success'!A:M""), 13, FAlSE)"),"#N/A")</f>
        <v>#N/A</v>
      </c>
      <c r="BB2141" s="61" t="str">
        <f>IFERROR(__xludf.DUMMYFUNCTION("REGEXREPLACE(G2141, ""_[a-z]{1,2}$"", """")"),"soscisubmission7_1_2_4")</f>
        <v>soscisubmission7_1_2_4</v>
      </c>
    </row>
    <row r="2142">
      <c r="A2142" s="44">
        <v>2142.0</v>
      </c>
      <c r="B2142" s="147" t="s">
        <v>523</v>
      </c>
      <c r="C2142" s="149" t="s">
        <v>115</v>
      </c>
      <c r="D2142" s="149" t="s">
        <v>1441</v>
      </c>
      <c r="E2142" s="71"/>
      <c r="F2142" s="111" t="s">
        <v>13216</v>
      </c>
      <c r="G2142" s="122" t="s">
        <v>13217</v>
      </c>
      <c r="H2142" s="122" t="s">
        <v>13218</v>
      </c>
      <c r="I2142" s="1403" t="s">
        <v>13190</v>
      </c>
      <c r="J2142" s="417">
        <v>45712.0</v>
      </c>
      <c r="K2142" s="111"/>
      <c r="L2142" s="122" t="s">
        <v>13219</v>
      </c>
      <c r="M2142" s="122" t="s">
        <v>13220</v>
      </c>
      <c r="N2142" s="122" t="s">
        <v>13221</v>
      </c>
      <c r="O2142" s="537">
        <v>1.0</v>
      </c>
      <c r="P2142" s="122" t="s">
        <v>13222</v>
      </c>
      <c r="Q2142" s="52" t="str">
        <f t="array" ref="Q2142"> if(iserror(MATCH(V2142, 'File Links'!C:C, 0)), "N/A", HYPERLINK(INDEX('File Links'!B:B, MATCH(P2142, 'File Links'!C:C, 0))))</f>
        <v>https://drive.google.com/file/d/156tAE8v5cFhpA2JE6GA1a7Ktomq0eLYG/view?usp=drivesdk</v>
      </c>
      <c r="R2142" s="122" t="s">
        <v>13223</v>
      </c>
      <c r="S2142" s="122" t="s">
        <v>13224</v>
      </c>
      <c r="T2142" s="111"/>
      <c r="U2142" s="537">
        <v>2.0</v>
      </c>
      <c r="V2142" s="122" t="s">
        <v>13225</v>
      </c>
      <c r="W2142" s="122" t="s">
        <v>13226</v>
      </c>
      <c r="X2142" s="54" t="str">
        <f t="array" ref="X2142"> if(iserror(MATCH(V2142, 'File Links'!C:C, 0)), "N/A", HYPERLINK(INDEX('File Links'!B:B, MATCH(V2142, 'File Links'!C:C, 0))))</f>
        <v>https://drive.google.com/file/d/12vr4IdpuKGHum4clozdFiyxIbQP3jx5f/view?usp=drivesdk</v>
      </c>
      <c r="Y2142" s="111"/>
      <c r="Z2142" s="122" t="s">
        <v>12737</v>
      </c>
      <c r="AA2142" s="122" t="s">
        <v>13227</v>
      </c>
      <c r="AB2142" s="111" t="s">
        <v>13228</v>
      </c>
      <c r="AC2142" s="122" t="s">
        <v>13229</v>
      </c>
      <c r="AD2142" s="122" t="s">
        <v>13230</v>
      </c>
      <c r="AE2142" s="537">
        <v>6.0</v>
      </c>
      <c r="AF2142" s="537">
        <v>373.0</v>
      </c>
      <c r="AG2142" s="537">
        <v>0.53</v>
      </c>
      <c r="AH2142" s="122" t="s">
        <v>361</v>
      </c>
      <c r="AI2142" s="122" t="s">
        <v>140</v>
      </c>
      <c r="AJ2142" s="537">
        <v>0.05</v>
      </c>
      <c r="AK2142" s="122" t="s">
        <v>135</v>
      </c>
      <c r="AL2142" s="122" t="s">
        <v>186</v>
      </c>
      <c r="AM2142" s="122" t="s">
        <v>141</v>
      </c>
      <c r="AN2142" s="111" t="s">
        <v>138</v>
      </c>
      <c r="AO2142" s="537">
        <v>582.0</v>
      </c>
      <c r="AP2142" s="537">
        <v>-0.03</v>
      </c>
      <c r="AQ2142" s="122" t="s">
        <v>361</v>
      </c>
      <c r="AR2142" s="122" t="s">
        <v>140</v>
      </c>
      <c r="AS2142" s="537">
        <v>0.592</v>
      </c>
      <c r="AT2142" s="122" t="s">
        <v>172</v>
      </c>
      <c r="AU2142" s="122" t="s">
        <v>186</v>
      </c>
      <c r="AV2142" s="122" t="s">
        <v>141</v>
      </c>
      <c r="AW2142" s="111" t="s">
        <v>138</v>
      </c>
      <c r="AX2142" s="122" t="s">
        <v>143</v>
      </c>
      <c r="AY2142" s="61" t="str">
        <f>IFERROR(__xludf.DUMMYFUNCTION("vlookup(BB2142,importrange(""https://docs.google.com/spreadsheets/d/1d2vevQ_7D_v35q4wCQ4RpQ_IPoTwEMB9Yp6ymwlPqew/edit?gid=984458430#gid=984458430"", ""'replication success'!A:K""), 11, FAlSE)"),"#N/A")</f>
        <v>#N/A</v>
      </c>
      <c r="AZ2142" s="61" t="str">
        <f>IFERROR(__xludf.DUMMYFUNCTION("vlookup(BB2142,importrange(""https://docs.google.com/spreadsheets/d/1d2vevQ_7D_v35q4wCQ4RpQ_IPoTwEMB9Yp6ymwlPqew/edit?gid=984458430#gid=984458430"", ""'replication success'!A:M""), 12, FAlSE)"),"#N/A")</f>
        <v>#N/A</v>
      </c>
      <c r="BA2142" s="61" t="str">
        <f>IFERROR(__xludf.DUMMYFUNCTION("vlookup(BB2142,importrange(""https://docs.google.com/spreadsheets/d/1d2vevQ_7D_v35q4wCQ4RpQ_IPoTwEMB9Yp6ymwlPqew/edit?gid=984458430#gid=984458430"", ""'replication success'!A:M""), 13, FAlSE)"),"#N/A")</f>
        <v>#N/A</v>
      </c>
      <c r="BB2142" s="61" t="str">
        <f>IFERROR(__xludf.DUMMYFUNCTION("REGEXREPLACE(G2142, ""_[a-z]{1,2}$"", """")"),"soscisubmission8")</f>
        <v>soscisubmission8</v>
      </c>
      <c r="BC2142" s="111"/>
      <c r="BD2142" s="1063" t="s">
        <v>13231</v>
      </c>
      <c r="BE2142" s="71"/>
      <c r="BF2142" s="71"/>
      <c r="BG2142" s="71"/>
      <c r="BH2142" s="71"/>
      <c r="BI2142" s="71"/>
      <c r="BJ2142" s="71"/>
      <c r="BK2142" s="71"/>
      <c r="BL2142" s="71"/>
      <c r="BM2142" s="71"/>
      <c r="BN2142" s="71"/>
      <c r="BO2142" s="71"/>
      <c r="BP2142" s="71"/>
      <c r="BQ2142" s="71"/>
      <c r="BR2142" s="71"/>
      <c r="BS2142" s="71"/>
      <c r="BT2142" s="71"/>
      <c r="BU2142" s="71"/>
      <c r="BV2142" s="71"/>
      <c r="BW2142" s="71"/>
      <c r="BX2142" s="71"/>
      <c r="BY2142" s="71"/>
      <c r="BZ2142" s="71"/>
      <c r="CA2142" s="71"/>
      <c r="CB2142" s="71"/>
      <c r="CC2142" s="71"/>
      <c r="CD2142" s="71"/>
      <c r="CE2142" s="71"/>
      <c r="CF2142" s="71"/>
      <c r="CG2142" s="71"/>
      <c r="CH2142" s="71"/>
      <c r="CI2142" s="71"/>
      <c r="CJ2142" s="71"/>
      <c r="CK2142" s="71"/>
      <c r="CL2142" s="71"/>
      <c r="CM2142" s="71"/>
      <c r="CN2142" s="71"/>
      <c r="CO2142" s="71"/>
      <c r="CP2142" s="71"/>
      <c r="CQ2142" s="71"/>
      <c r="CR2142" s="71"/>
      <c r="CS2142" s="71"/>
      <c r="CT2142" s="71"/>
      <c r="CU2142" s="71"/>
      <c r="CV2142" s="71"/>
      <c r="CW2142" s="71"/>
      <c r="CX2142" s="71"/>
      <c r="CY2142" s="71"/>
      <c r="CZ2142" s="71"/>
      <c r="DA2142" s="71"/>
      <c r="DB2142" s="71"/>
      <c r="DC2142" s="71"/>
      <c r="DD2142" s="71"/>
      <c r="DE2142" s="71"/>
      <c r="DF2142" s="71"/>
      <c r="DG2142" s="71"/>
      <c r="DH2142" s="71"/>
      <c r="DI2142" s="71"/>
      <c r="DJ2142" s="71"/>
      <c r="DK2142" s="71"/>
      <c r="DL2142" s="71"/>
    </row>
    <row r="2143">
      <c r="A2143" s="44">
        <v>2143.0</v>
      </c>
      <c r="B2143" s="147" t="s">
        <v>523</v>
      </c>
      <c r="C2143" s="149" t="s">
        <v>115</v>
      </c>
      <c r="D2143" s="149" t="s">
        <v>153</v>
      </c>
      <c r="E2143" s="71"/>
      <c r="F2143" s="147" t="s">
        <v>13216</v>
      </c>
      <c r="G2143" s="147" t="s">
        <v>13232</v>
      </c>
      <c r="H2143" s="116" t="s">
        <v>8556</v>
      </c>
      <c r="I2143" s="683" t="s">
        <v>8557</v>
      </c>
      <c r="J2143" s="111"/>
      <c r="K2143" s="116" t="s">
        <v>13233</v>
      </c>
      <c r="L2143" s="147" t="s">
        <v>13219</v>
      </c>
      <c r="M2143" s="147" t="s">
        <v>13220</v>
      </c>
      <c r="N2143" s="147" t="s">
        <v>13221</v>
      </c>
      <c r="O2143" s="1164">
        <v>1.0</v>
      </c>
      <c r="P2143" s="116" t="s">
        <v>13222</v>
      </c>
      <c r="Q2143" s="52" t="str">
        <f t="array" ref="Q2143"> if(iserror(MATCH(V2143, 'File Links'!C:C, 0)), "N/A", HYPERLINK(INDEX('File Links'!B:B, MATCH(P2143, 'File Links'!C:C, 0))))</f>
        <v>https://drive.google.com/file/d/156tAE8v5cFhpA2JE6GA1a7Ktomq0eLYG/view?usp=drivesdk</v>
      </c>
      <c r="R2143" s="1761" t="s">
        <v>13223</v>
      </c>
      <c r="S2143" s="147" t="s">
        <v>13224</v>
      </c>
      <c r="T2143" s="1967"/>
      <c r="U2143" s="1164">
        <v>2.0</v>
      </c>
      <c r="V2143" s="116" t="s">
        <v>13225</v>
      </c>
      <c r="W2143" s="116" t="s">
        <v>13226</v>
      </c>
      <c r="X2143" s="54" t="str">
        <f t="array" ref="X2143"> if(iserror(MATCH(V2143, 'File Links'!C:C, 0)), "N/A", HYPERLINK(INDEX('File Links'!B:B, MATCH(V2143, 'File Links'!C:C, 0))))</f>
        <v>https://drive.google.com/file/d/12vr4IdpuKGHum4clozdFiyxIbQP3jx5f/view?usp=drivesdk</v>
      </c>
      <c r="Y2143" s="111"/>
      <c r="Z2143" s="116" t="s">
        <v>1600</v>
      </c>
      <c r="AA2143" s="147" t="s">
        <v>13234</v>
      </c>
      <c r="AB2143" s="116" t="s">
        <v>13235</v>
      </c>
      <c r="AC2143" s="116" t="s">
        <v>13236</v>
      </c>
      <c r="AD2143" s="116" t="s">
        <v>13237</v>
      </c>
      <c r="AE2143" s="116">
        <v>6.0</v>
      </c>
      <c r="AF2143" s="683">
        <v>373.0</v>
      </c>
      <c r="AG2143" s="683">
        <v>0.17</v>
      </c>
      <c r="AH2143" s="116" t="s">
        <v>987</v>
      </c>
      <c r="AI2143" s="116" t="s">
        <v>140</v>
      </c>
      <c r="AJ2143" s="683">
        <v>0.05</v>
      </c>
      <c r="AK2143" s="116" t="s">
        <v>135</v>
      </c>
      <c r="AL2143" s="116" t="s">
        <v>218</v>
      </c>
      <c r="AM2143" s="147" t="s">
        <v>137</v>
      </c>
      <c r="AN2143" s="111"/>
      <c r="AO2143" s="683">
        <v>582.0</v>
      </c>
      <c r="AP2143" s="683">
        <v>0.02</v>
      </c>
      <c r="AQ2143" s="116" t="s">
        <v>987</v>
      </c>
      <c r="AR2143" s="116" t="s">
        <v>140</v>
      </c>
      <c r="AS2143" s="683">
        <v>0.763</v>
      </c>
      <c r="AT2143" s="116" t="s">
        <v>172</v>
      </c>
      <c r="AU2143" s="116" t="s">
        <v>218</v>
      </c>
      <c r="AV2143" s="147" t="s">
        <v>137</v>
      </c>
      <c r="AW2143" s="1968" t="s">
        <v>138</v>
      </c>
      <c r="AX2143" s="147" t="s">
        <v>151</v>
      </c>
      <c r="AY2143" s="61" t="str">
        <f>IFERROR(__xludf.DUMMYFUNCTION("vlookup(BB2143,importrange(""https://docs.google.com/spreadsheets/d/1d2vevQ_7D_v35q4wCQ4RpQ_IPoTwEMB9Yp6ymwlPqew/edit?gid=984458430#gid=984458430"", ""'replication success'!A:K""), 11, FAlSE)"),"#N/A")</f>
        <v>#N/A</v>
      </c>
      <c r="AZ2143" s="61" t="str">
        <f>IFERROR(__xludf.DUMMYFUNCTION("vlookup(BB2143,importrange(""https://docs.google.com/spreadsheets/d/1d2vevQ_7D_v35q4wCQ4RpQ_IPoTwEMB9Yp6ymwlPqew/edit?gid=984458430#gid=984458430"", ""'replication success'!A:M""), 12, FAlSE)"),"#N/A")</f>
        <v>#N/A</v>
      </c>
      <c r="BA2143" s="61" t="str">
        <f>IFERROR(__xludf.DUMMYFUNCTION("vlookup(BB2143,importrange(""https://docs.google.com/spreadsheets/d/1d2vevQ_7D_v35q4wCQ4RpQ_IPoTwEMB9Yp6ymwlPqew/edit?gid=984458430#gid=984458430"", ""'replication success'!A:M""), 13, FAlSE)"),"#N/A")</f>
        <v>#N/A</v>
      </c>
      <c r="BB2143" s="61" t="str">
        <f>IFERROR(__xludf.DUMMYFUNCTION("REGEXREPLACE(G2143, ""_[a-z]{1,2}$"", """")"),"soscisubmission8_1_1")</f>
        <v>soscisubmission8_1_1</v>
      </c>
      <c r="BC2143" s="71"/>
      <c r="BD2143" s="1063" t="s">
        <v>13231</v>
      </c>
      <c r="BE2143" s="71"/>
      <c r="BF2143" s="71"/>
      <c r="BG2143" s="71"/>
      <c r="BH2143" s="71"/>
      <c r="BI2143" s="71"/>
      <c r="BJ2143" s="71"/>
      <c r="BK2143" s="71"/>
      <c r="BL2143" s="71"/>
      <c r="BM2143" s="71"/>
      <c r="BN2143" s="71"/>
      <c r="BO2143" s="71"/>
      <c r="BP2143" s="71"/>
      <c r="BQ2143" s="71"/>
      <c r="BR2143" s="71"/>
      <c r="BS2143" s="71"/>
      <c r="BT2143" s="71"/>
      <c r="BU2143" s="71"/>
      <c r="BV2143" s="71"/>
      <c r="BW2143" s="71"/>
      <c r="BX2143" s="71"/>
      <c r="BY2143" s="71"/>
      <c r="BZ2143" s="71"/>
      <c r="CA2143" s="71"/>
      <c r="CB2143" s="71"/>
      <c r="CC2143" s="71"/>
      <c r="CD2143" s="71"/>
      <c r="CE2143" s="71"/>
      <c r="CF2143" s="71"/>
      <c r="CG2143" s="71"/>
      <c r="CH2143" s="71"/>
      <c r="CI2143" s="71"/>
      <c r="CJ2143" s="71"/>
      <c r="CK2143" s="71"/>
      <c r="CL2143" s="71"/>
      <c r="CM2143" s="71"/>
      <c r="CN2143" s="71"/>
      <c r="CO2143" s="71"/>
      <c r="CP2143" s="71"/>
      <c r="CQ2143" s="71"/>
      <c r="CR2143" s="71"/>
      <c r="CS2143" s="71"/>
      <c r="CT2143" s="71"/>
      <c r="CU2143" s="71"/>
      <c r="CV2143" s="71"/>
      <c r="CW2143" s="71"/>
      <c r="CX2143" s="71"/>
      <c r="CY2143" s="71"/>
      <c r="CZ2143" s="71"/>
      <c r="DA2143" s="71"/>
      <c r="DB2143" s="71"/>
      <c r="DC2143" s="71"/>
      <c r="DD2143" s="71"/>
      <c r="DE2143" s="71"/>
      <c r="DF2143" s="71"/>
      <c r="DG2143" s="71"/>
      <c r="DH2143" s="71"/>
      <c r="DI2143" s="71"/>
      <c r="DJ2143" s="71"/>
      <c r="DK2143" s="71"/>
      <c r="DL2143" s="71"/>
    </row>
    <row r="2144">
      <c r="A2144" s="44">
        <v>2144.0</v>
      </c>
      <c r="B2144" s="129" t="s">
        <v>114</v>
      </c>
      <c r="C2144" s="62" t="s">
        <v>115</v>
      </c>
      <c r="D2144" s="62" t="s">
        <v>248</v>
      </c>
      <c r="F2144" s="68" t="s">
        <v>13238</v>
      </c>
      <c r="G2144" s="68" t="s">
        <v>13239</v>
      </c>
      <c r="H2144" s="68" t="s">
        <v>249</v>
      </c>
      <c r="I2144" s="529">
        <v>45713.0</v>
      </c>
      <c r="J2144" s="540">
        <v>45762.0</v>
      </c>
      <c r="K2144" s="68" t="s">
        <v>13240</v>
      </c>
      <c r="L2144" s="129" t="s">
        <v>13241</v>
      </c>
      <c r="M2144" s="68" t="s">
        <v>12731</v>
      </c>
      <c r="N2144" s="68" t="s">
        <v>12732</v>
      </c>
      <c r="O2144" s="336">
        <v>2.0</v>
      </c>
      <c r="P2144" s="573" t="s">
        <v>12733</v>
      </c>
      <c r="Q2144" s="52" t="str">
        <f t="array" ref="Q2144"> if(iserror(MATCH(V2144, 'File Links'!C:C, 0)), "N/A", HYPERLINK(INDEX('File Links'!B:B, MATCH(P2144, 'File Links'!C:C, 0))))</f>
        <v>https://drive.google.com/file/d/1qBoMlGJSxfD9Le6GQLq29-E2xuX5NtUI/view?usp=drivesdk</v>
      </c>
      <c r="R2144" s="68" t="s">
        <v>13242</v>
      </c>
      <c r="S2144" s="68" t="s">
        <v>12735</v>
      </c>
      <c r="T2144" s="68"/>
      <c r="U2144" s="336">
        <v>1.0</v>
      </c>
      <c r="V2144" s="573" t="s">
        <v>12736</v>
      </c>
      <c r="W2144" s="68" t="s">
        <v>7850</v>
      </c>
      <c r="X2144" s="54" t="str">
        <f t="array" ref="X2144"> if(iserror(MATCH(V2144, 'File Links'!C:C, 0)), "N/A", HYPERLINK(INDEX('File Links'!B:B, MATCH(V2144, 'File Links'!C:C, 0))))</f>
        <v>https://drive.google.com/file/d/1gqkCLQ8YLn27JACJIv51ycR1U6cUfNAJ/view?usp=drivesdk</v>
      </c>
      <c r="Y2144" s="68"/>
      <c r="Z2144" s="68" t="s">
        <v>12737</v>
      </c>
      <c r="AA2144" s="68" t="s">
        <v>13243</v>
      </c>
      <c r="AB2144" s="68" t="s">
        <v>13244</v>
      </c>
      <c r="AC2144" s="68" t="s">
        <v>12740</v>
      </c>
      <c r="AD2144" s="129" t="s">
        <v>13245</v>
      </c>
      <c r="AE2144" s="336">
        <v>2.0</v>
      </c>
      <c r="AF2144" s="336">
        <v>44.0</v>
      </c>
      <c r="AG2144" s="336">
        <v>0.12</v>
      </c>
      <c r="AH2144" s="68" t="s">
        <v>874</v>
      </c>
      <c r="AI2144" s="68" t="s">
        <v>2771</v>
      </c>
      <c r="AJ2144" s="336">
        <v>0.05</v>
      </c>
      <c r="AK2144" s="68" t="s">
        <v>135</v>
      </c>
      <c r="AL2144" s="68" t="s">
        <v>186</v>
      </c>
      <c r="AM2144" s="68" t="s">
        <v>137</v>
      </c>
      <c r="AN2144" s="68" t="s">
        <v>138</v>
      </c>
      <c r="AO2144" s="336">
        <v>69.0</v>
      </c>
      <c r="AP2144" s="336">
        <v>0.04</v>
      </c>
      <c r="AQ2144" s="68" t="s">
        <v>173</v>
      </c>
      <c r="AR2144" s="68" t="s">
        <v>132</v>
      </c>
      <c r="AS2144" s="336">
        <v>0.443</v>
      </c>
      <c r="AT2144" s="68" t="s">
        <v>172</v>
      </c>
      <c r="AU2144" s="68" t="s">
        <v>218</v>
      </c>
      <c r="AV2144" s="68" t="s">
        <v>137</v>
      </c>
      <c r="AW2144" s="68" t="s">
        <v>138</v>
      </c>
      <c r="AX2144" s="68" t="s">
        <v>143</v>
      </c>
      <c r="AY2144" s="61" t="str">
        <f>IFERROR(__xludf.DUMMYFUNCTION("vlookup(BB2144,importrange(""https://docs.google.com/spreadsheets/d/1d2vevQ_7D_v35q4wCQ4RpQ_IPoTwEMB9Yp6ymwlPqew/edit?gid=984458430#gid=984458430"", ""'replication success'!A:K""), 11, FAlSE)"),"failed")</f>
        <v>failed</v>
      </c>
      <c r="AZ2144" s="61" t="str">
        <f>IFERROR(__xludf.DUMMYFUNCTION("vlookup(BB2144,importrange(""https://docs.google.com/spreadsheets/d/1d2vevQ_7D_v35q4wCQ4RpQ_IPoTwEMB9Yp6ymwlPqew/edit?gid=984458430#gid=984458430"", ""'replication success'!A:M""), 12, FAlSE)"),"Experiments 1 and 2 (Ns = 69 and 104)
are direct replications of Lichtenfeld, Maier, Elliot, and Pekrun (2009). Both experiments
failed to uncover a red color effect on verbal reasoning scores among high school students
and undergraduates (Cohen’s d = "&amp;"0.04 and -0.23).")</f>
        <v>Experiments 1 and 2 (Ns = 69 and 104)
are direct replications of Lichtenfeld, Maier, Elliot, and Pekrun (2009). Both experiments
failed to uncover a red color effect on verbal reasoning scores among high school students
and undergraduates (Cohen’s d = 0.04 and -0.23).</v>
      </c>
      <c r="BA2144" s="61" t="str">
        <f>IFERROR(__xludf.DUMMYFUNCTION("vlookup(BB2144,importrange(""https://docs.google.com/spreadsheets/d/1d2vevQ_7D_v35q4wCQ4RpQ_IPoTwEMB9Yp6ymwlPqew/edit?gid=984458430#gid=984458430"", ""'replication success'!A:M""), 13, FAlSE)"),"abstract")</f>
        <v>abstract</v>
      </c>
      <c r="BB2144" s="61" t="str">
        <f>IFERROR(__xludf.DUMMYFUNCTION("REGEXREPLACE(G2144, ""_[a-z]{1,2}$"", """")"),"soscisubmission9")</f>
        <v>soscisubmission9</v>
      </c>
      <c r="BD2144" s="62" t="s">
        <v>5074</v>
      </c>
    </row>
    <row r="2145">
      <c r="A2145" s="44">
        <v>2145.0</v>
      </c>
      <c r="B2145" s="129" t="s">
        <v>152</v>
      </c>
      <c r="C2145" s="62" t="s">
        <v>115</v>
      </c>
      <c r="D2145" s="62" t="s">
        <v>145</v>
      </c>
      <c r="F2145" s="68" t="s">
        <v>13238</v>
      </c>
      <c r="G2145" s="68" t="s">
        <v>13239</v>
      </c>
      <c r="H2145" s="68" t="s">
        <v>12742</v>
      </c>
      <c r="I2145" s="529">
        <v>45713.0</v>
      </c>
      <c r="J2145" s="540">
        <v>45762.0</v>
      </c>
      <c r="K2145" s="68" t="s">
        <v>13246</v>
      </c>
      <c r="L2145" s="129" t="s">
        <v>13247</v>
      </c>
      <c r="M2145" s="68" t="s">
        <v>12731</v>
      </c>
      <c r="N2145" s="68" t="s">
        <v>12732</v>
      </c>
      <c r="O2145" s="336">
        <v>2.0</v>
      </c>
      <c r="P2145" s="68" t="s">
        <v>12733</v>
      </c>
      <c r="Q2145" s="52" t="str">
        <f t="array" ref="Q2145"> if(iserror(MATCH(V2145, 'File Links'!C:C, 0)), "N/A", HYPERLINK(INDEX('File Links'!B:B, MATCH(P2145, 'File Links'!C:C, 0))))</f>
        <v>https://drive.google.com/file/d/1qBoMlGJSxfD9Le6GQLq29-E2xuX5NtUI/view?usp=drivesdk</v>
      </c>
      <c r="R2145" s="68" t="s">
        <v>13242</v>
      </c>
      <c r="S2145" s="68" t="s">
        <v>12735</v>
      </c>
      <c r="T2145" s="68"/>
      <c r="U2145" s="336">
        <v>1.0</v>
      </c>
      <c r="V2145" s="68" t="s">
        <v>12736</v>
      </c>
      <c r="W2145" s="68" t="s">
        <v>2125</v>
      </c>
      <c r="X2145" s="54" t="str">
        <f t="array" ref="X2145"> if(iserror(MATCH(V2145, 'File Links'!C:C, 0)), "N/A", HYPERLINK(INDEX('File Links'!B:B, MATCH(V2145, 'File Links'!C:C, 0))))</f>
        <v>https://drive.google.com/file/d/1gqkCLQ8YLn27JACJIv51ycR1U6cUfNAJ/view?usp=drivesdk</v>
      </c>
      <c r="Y2145" s="68"/>
      <c r="Z2145" s="68" t="s">
        <v>12737</v>
      </c>
      <c r="AA2145" s="68" t="s">
        <v>13248</v>
      </c>
      <c r="AB2145" s="129" t="s">
        <v>13249</v>
      </c>
      <c r="AC2145" s="68" t="s">
        <v>12740</v>
      </c>
      <c r="AD2145" s="68" t="s">
        <v>12746</v>
      </c>
      <c r="AE2145" s="68" t="s">
        <v>6331</v>
      </c>
      <c r="AF2145" s="336">
        <v>44.0</v>
      </c>
      <c r="AG2145" s="336">
        <v>0.12</v>
      </c>
      <c r="AH2145" s="68" t="s">
        <v>874</v>
      </c>
      <c r="AI2145" s="68" t="s">
        <v>875</v>
      </c>
      <c r="AJ2145" s="336">
        <v>0.05</v>
      </c>
      <c r="AK2145" s="68" t="s">
        <v>135</v>
      </c>
      <c r="AL2145" s="68" t="s">
        <v>186</v>
      </c>
      <c r="AM2145" s="68" t="s">
        <v>137</v>
      </c>
      <c r="AN2145" s="68" t="s">
        <v>1535</v>
      </c>
      <c r="AO2145" s="336">
        <v>69.0</v>
      </c>
      <c r="AP2145" s="336">
        <v>0.04</v>
      </c>
      <c r="AQ2145" s="68" t="s">
        <v>173</v>
      </c>
      <c r="AR2145" s="68" t="s">
        <v>132</v>
      </c>
      <c r="AS2145" s="336">
        <v>0.443</v>
      </c>
      <c r="AT2145" s="68" t="s">
        <v>172</v>
      </c>
      <c r="AU2145" s="68" t="s">
        <v>218</v>
      </c>
      <c r="AV2145" s="68" t="s">
        <v>137</v>
      </c>
      <c r="AW2145" s="68" t="s">
        <v>1535</v>
      </c>
      <c r="AX2145" s="68" t="s">
        <v>143</v>
      </c>
      <c r="AY2145" s="61" t="str">
        <f>IFERROR(__xludf.DUMMYFUNCTION("vlookup(BB2145,importrange(""https://docs.google.com/spreadsheets/d/1d2vevQ_7D_v35q4wCQ4RpQ_IPoTwEMB9Yp6ymwlPqew/edit?gid=984458430#gid=984458430"", ""'replication success'!A:K""), 11, FAlSE)"),"failed")</f>
        <v>failed</v>
      </c>
      <c r="AZ2145" s="61" t="str">
        <f>IFERROR(__xludf.DUMMYFUNCTION("vlookup(BB2145,importrange(""https://docs.google.com/spreadsheets/d/1d2vevQ_7D_v35q4wCQ4RpQ_IPoTwEMB9Yp6ymwlPqew/edit?gid=984458430#gid=984458430"", ""'replication success'!A:M""), 12, FAlSE)"),"Experiments 1 and 2 (Ns = 69 and 104)
are direct replications of Lichtenfeld, Maier, Elliot, and Pekrun (2009). Both experiments
failed to uncover a red color effect on verbal reasoning scores among high school students
and undergraduates (Cohen’s d = "&amp;"0.04 and -0.23).")</f>
        <v>Experiments 1 and 2 (Ns = 69 and 104)
are direct replications of Lichtenfeld, Maier, Elliot, and Pekrun (2009). Both experiments
failed to uncover a red color effect on verbal reasoning scores among high school students
and undergraduates (Cohen’s d = 0.04 and -0.23).</v>
      </c>
      <c r="BA2145" s="61" t="str">
        <f>IFERROR(__xludf.DUMMYFUNCTION("vlookup(BB2145,importrange(""https://docs.google.com/spreadsheets/d/1d2vevQ_7D_v35q4wCQ4RpQ_IPoTwEMB9Yp6ymwlPqew/edit?gid=984458430#gid=984458430"", ""'replication success'!A:M""), 13, FAlSE)"),"abstract")</f>
        <v>abstract</v>
      </c>
      <c r="BB2145" s="61" t="str">
        <f>IFERROR(__xludf.DUMMYFUNCTION("REGEXREPLACE(G2145, ""_[a-z]{1,2}$"", """")"),"soscisubmission9")</f>
        <v>soscisubmission9</v>
      </c>
      <c r="BD2145" s="62" t="s">
        <v>5074</v>
      </c>
      <c r="BE2145" s="342"/>
      <c r="BF2145" s="342"/>
      <c r="BG2145" s="342"/>
      <c r="BH2145" s="342"/>
      <c r="BI2145" s="342"/>
      <c r="BJ2145" s="342"/>
      <c r="BK2145" s="342"/>
      <c r="BL2145" s="342"/>
      <c r="BM2145" s="342"/>
      <c r="BN2145" s="342"/>
      <c r="BO2145" s="342"/>
      <c r="BP2145" s="342"/>
      <c r="BQ2145" s="342"/>
      <c r="BR2145" s="342"/>
      <c r="BS2145" s="342"/>
      <c r="BT2145" s="342"/>
      <c r="BU2145" s="342"/>
      <c r="BV2145" s="342"/>
      <c r="BW2145" s="342"/>
      <c r="BX2145" s="342"/>
      <c r="BY2145" s="342"/>
      <c r="BZ2145" s="342"/>
      <c r="CA2145" s="342"/>
      <c r="CB2145" s="342"/>
      <c r="CC2145" s="342"/>
      <c r="CD2145" s="342"/>
      <c r="CE2145" s="342"/>
      <c r="CF2145" s="342"/>
      <c r="CG2145" s="342"/>
      <c r="CH2145" s="342"/>
      <c r="CI2145" s="342"/>
      <c r="CJ2145" s="342"/>
      <c r="CK2145" s="342"/>
      <c r="CL2145" s="342"/>
      <c r="CM2145" s="342"/>
      <c r="CN2145" s="342"/>
      <c r="CO2145" s="342"/>
      <c r="CP2145" s="342"/>
      <c r="CQ2145" s="342"/>
      <c r="CR2145" s="342"/>
      <c r="CS2145" s="342"/>
      <c r="CT2145" s="342"/>
      <c r="CU2145" s="342"/>
      <c r="CV2145" s="342"/>
      <c r="CW2145" s="342"/>
      <c r="CX2145" s="342"/>
      <c r="CY2145" s="342"/>
      <c r="CZ2145" s="342"/>
      <c r="DA2145" s="342"/>
      <c r="DB2145" s="342"/>
      <c r="DC2145" s="342"/>
      <c r="DD2145" s="342"/>
      <c r="DE2145" s="342"/>
      <c r="DF2145" s="342"/>
      <c r="DG2145" s="342"/>
      <c r="DH2145" s="342"/>
      <c r="DI2145" s="342"/>
      <c r="DJ2145" s="342"/>
      <c r="DK2145" s="342"/>
      <c r="DL2145" s="342"/>
    </row>
    <row r="2146">
      <c r="A2146" s="44">
        <v>2146.0</v>
      </c>
      <c r="B2146" s="720" t="s">
        <v>114</v>
      </c>
      <c r="C2146" s="716" t="s">
        <v>115</v>
      </c>
      <c r="D2146" s="716" t="s">
        <v>221</v>
      </c>
      <c r="E2146" s="697"/>
      <c r="F2146" s="720" t="s">
        <v>13250</v>
      </c>
      <c r="G2146" s="720" t="s">
        <v>13251</v>
      </c>
      <c r="H2146" s="730" t="s">
        <v>222</v>
      </c>
      <c r="I2146" s="1505" t="s">
        <v>13252</v>
      </c>
      <c r="J2146" s="1506">
        <v>45827.0</v>
      </c>
      <c r="K2146" s="1969" t="s">
        <v>13253</v>
      </c>
      <c r="L2146" s="720" t="s">
        <v>13254</v>
      </c>
      <c r="M2146" s="720" t="s">
        <v>13255</v>
      </c>
      <c r="N2146" s="720" t="s">
        <v>9892</v>
      </c>
      <c r="O2146" s="1510">
        <v>1.0</v>
      </c>
      <c r="P2146" s="730" t="s">
        <v>13256</v>
      </c>
      <c r="Q2146" s="1507" t="str">
        <f t="array" ref="Q2146"> if(iserror(MATCH(V2146, 'File Links'!C:C, 0)), "N/A", HYPERLINK(INDEX('File Links'!B:B, MATCH(P2146, 'File Links'!C:C, 0))))</f>
        <v>https://drive.google.com/file/d/1FklynAHzflh7rbxQIU4qTxOz3VBhye8B/view?usp=drivesdk</v>
      </c>
      <c r="R2146" s="1508" t="s">
        <v>13257</v>
      </c>
      <c r="S2146" s="720" t="s">
        <v>13258</v>
      </c>
      <c r="T2146" s="1509"/>
      <c r="U2146" s="1970">
        <v>1.0</v>
      </c>
      <c r="V2146" s="730" t="s">
        <v>13259</v>
      </c>
      <c r="W2146" s="717"/>
      <c r="X2146" s="1511" t="str">
        <f t="array" ref="X2146"> if(iserror(MATCH(V2146, 'File Links'!C:C, 0)), "N/A", HYPERLINK(INDEX('File Links'!B:B, MATCH(V2146, 'File Links'!C:C, 0))))</f>
        <v>https://drive.google.com/file/d/1hYNUJrx3yjyMoTgcG7Qz4pix-8ruWFMC/view?usp=drivesdk</v>
      </c>
      <c r="Y2146" s="1428"/>
      <c r="Z2146" s="730" t="s">
        <v>226</v>
      </c>
      <c r="AA2146" s="720" t="s">
        <v>13260</v>
      </c>
      <c r="AB2146" s="730" t="s">
        <v>13261</v>
      </c>
      <c r="AC2146" s="730" t="s">
        <v>13262</v>
      </c>
      <c r="AD2146" s="717"/>
      <c r="AE2146" s="717"/>
      <c r="AF2146" s="1505">
        <v>573.0</v>
      </c>
      <c r="AG2146" s="1505">
        <v>0.23</v>
      </c>
      <c r="AH2146" s="730" t="s">
        <v>173</v>
      </c>
      <c r="AI2146" s="1971">
        <v>6.0</v>
      </c>
      <c r="AJ2146" s="1972">
        <v>0.02</v>
      </c>
      <c r="AK2146" s="1971" t="s">
        <v>135</v>
      </c>
      <c r="AL2146" s="1971" t="s">
        <v>136</v>
      </c>
      <c r="AM2146" s="720" t="s">
        <v>137</v>
      </c>
      <c r="AN2146" s="720" t="s">
        <v>138</v>
      </c>
      <c r="AO2146" s="1505">
        <v>1446.0</v>
      </c>
      <c r="AP2146" s="1505">
        <v>0.16</v>
      </c>
      <c r="AQ2146" s="730" t="s">
        <v>173</v>
      </c>
      <c r="AR2146" s="730">
        <v>7.0</v>
      </c>
      <c r="AS2146" s="1505">
        <v>0.001</v>
      </c>
      <c r="AT2146" s="730" t="s">
        <v>172</v>
      </c>
      <c r="AU2146" s="730" t="s">
        <v>136</v>
      </c>
      <c r="AV2146" s="720" t="s">
        <v>137</v>
      </c>
      <c r="AW2146" s="1973" t="s">
        <v>13263</v>
      </c>
      <c r="AX2146" s="720" t="s">
        <v>143</v>
      </c>
      <c r="AY2146" s="61" t="str">
        <f>IFERROR(__xludf.DUMMYFUNCTION("vlookup(BB2146,importrange(""https://docs.google.com/spreadsheets/d/1d2vevQ_7D_v35q4wCQ4RpQ_IPoTwEMB9Yp6ymwlPqew/edit?gid=984458430#gid=984458430"", ""'replication success'!A:K""), 11, FAlSE)"),"mixed")</f>
        <v>mixed</v>
      </c>
      <c r="AZ2146" s="61" t="str">
        <f>IFERROR(__xludf.DUMMYFUNCTION("vlookup(BB2146,importrange(""https://docs.google.com/spreadsheets/d/1d2vevQ_7D_v35q4wCQ4RpQ_IPoTwEMB9Yp6ymwlPqew/edit?gid=984458430#gid=984458430"",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46" s="61" t="str">
        <f>IFERROR(__xludf.DUMMYFUNCTION("vlookup(BB2146,importrange(""https://docs.google.com/spreadsheets/d/1d2vevQ_7D_v35q4wCQ4RpQ_IPoTwEMB9Yp6ymwlPqew/edit?gid=984458430#gid=984458430"", ""'replication success'!A:M""), 13, FAlSE)"),"abstract")</f>
        <v>abstract</v>
      </c>
      <c r="BB2146" s="61" t="str">
        <f>IFERROR(__xludf.DUMMYFUNCTION("REGEXREPLACE(G2146, ""_[a-z]{1,2}$"", """")"),"svodevelopment")</f>
        <v>svodevelopment</v>
      </c>
      <c r="BC2146" s="697"/>
      <c r="BD2146" s="716" t="s">
        <v>13264</v>
      </c>
      <c r="BE2146" s="342"/>
      <c r="BF2146" s="342"/>
      <c r="BG2146" s="342"/>
      <c r="BH2146" s="342"/>
      <c r="BI2146" s="342"/>
      <c r="BJ2146" s="342"/>
      <c r="BK2146" s="342"/>
      <c r="BL2146" s="342"/>
      <c r="BM2146" s="342"/>
      <c r="BN2146" s="342"/>
      <c r="BO2146" s="342"/>
      <c r="BP2146" s="342"/>
      <c r="BQ2146" s="342"/>
      <c r="BR2146" s="342"/>
      <c r="BS2146" s="342"/>
      <c r="BT2146" s="342"/>
      <c r="BU2146" s="342"/>
      <c r="BV2146" s="342"/>
      <c r="BW2146" s="342"/>
      <c r="BX2146" s="342"/>
      <c r="BY2146" s="342"/>
      <c r="BZ2146" s="342"/>
      <c r="CA2146" s="342"/>
      <c r="CB2146" s="342"/>
      <c r="CC2146" s="342"/>
      <c r="CD2146" s="342"/>
      <c r="CE2146" s="342"/>
      <c r="CF2146" s="342"/>
      <c r="CG2146" s="342"/>
      <c r="CH2146" s="342"/>
      <c r="CI2146" s="342"/>
      <c r="CJ2146" s="342"/>
      <c r="CK2146" s="342"/>
      <c r="CL2146" s="342"/>
      <c r="CM2146" s="342"/>
      <c r="CN2146" s="342"/>
      <c r="CO2146" s="342"/>
      <c r="CP2146" s="342"/>
      <c r="CQ2146" s="342"/>
      <c r="CR2146" s="342"/>
      <c r="CS2146" s="342"/>
      <c r="CT2146" s="342"/>
      <c r="CU2146" s="342"/>
      <c r="CV2146" s="342"/>
      <c r="CW2146" s="342"/>
      <c r="CX2146" s="342"/>
      <c r="CY2146" s="342"/>
      <c r="CZ2146" s="342"/>
      <c r="DA2146" s="342"/>
      <c r="DB2146" s="342"/>
      <c r="DC2146" s="342"/>
      <c r="DD2146" s="342"/>
      <c r="DE2146" s="342"/>
      <c r="DF2146" s="342"/>
      <c r="DG2146" s="342"/>
      <c r="DH2146" s="342"/>
      <c r="DI2146" s="342"/>
      <c r="DJ2146" s="342"/>
      <c r="DK2146" s="342"/>
      <c r="DL2146" s="342"/>
    </row>
    <row r="2147">
      <c r="A2147" s="44">
        <v>2147.0</v>
      </c>
      <c r="B2147" s="720" t="s">
        <v>590</v>
      </c>
      <c r="C2147" s="716" t="s">
        <v>115</v>
      </c>
      <c r="D2147" s="716" t="s">
        <v>2930</v>
      </c>
      <c r="E2147" s="697"/>
      <c r="F2147" s="720" t="s">
        <v>13250</v>
      </c>
      <c r="G2147" s="720" t="s">
        <v>13251</v>
      </c>
      <c r="H2147" s="730" t="s">
        <v>13265</v>
      </c>
      <c r="I2147" s="1505" t="s">
        <v>13266</v>
      </c>
      <c r="J2147" s="1506">
        <v>45827.0</v>
      </c>
      <c r="K2147" s="1969" t="s">
        <v>13267</v>
      </c>
      <c r="L2147" s="720" t="s">
        <v>13268</v>
      </c>
      <c r="M2147" s="720" t="s">
        <v>13255</v>
      </c>
      <c r="N2147" s="720" t="s">
        <v>9892</v>
      </c>
      <c r="O2147" s="1510">
        <v>1.0</v>
      </c>
      <c r="P2147" s="730" t="s">
        <v>13256</v>
      </c>
      <c r="Q2147" s="1507" t="str">
        <f t="array" ref="Q2147"> if(iserror(MATCH(V2147, 'File Links'!C:C, 0)), "N/A", HYPERLINK(INDEX('File Links'!B:B, MATCH(P2147, 'File Links'!C:C, 0))))</f>
        <v>https://drive.google.com/file/d/1FklynAHzflh7rbxQIU4qTxOz3VBhye8B/view?usp=drivesdk</v>
      </c>
      <c r="R2147" s="1508" t="s">
        <v>13257</v>
      </c>
      <c r="S2147" s="720" t="s">
        <v>13258</v>
      </c>
      <c r="T2147" s="1974" t="s">
        <v>138</v>
      </c>
      <c r="U2147" s="1510">
        <v>1.0</v>
      </c>
      <c r="V2147" s="730" t="s">
        <v>13259</v>
      </c>
      <c r="W2147" s="730" t="s">
        <v>209</v>
      </c>
      <c r="X2147" s="1511" t="str">
        <f t="array" ref="X2147"> if(iserror(MATCH(V2147, 'File Links'!C:C, 0)), "N/A", HYPERLINK(INDEX('File Links'!B:B, MATCH(V2147, 'File Links'!C:C, 0))))</f>
        <v>https://drive.google.com/file/d/1hYNUJrx3yjyMoTgcG7Qz4pix-8ruWFMC/view?usp=drivesdk</v>
      </c>
      <c r="Y2147" s="1428"/>
      <c r="Z2147" s="730" t="s">
        <v>226</v>
      </c>
      <c r="AA2147" s="720" t="s">
        <v>13260</v>
      </c>
      <c r="AB2147" s="730" t="s">
        <v>13269</v>
      </c>
      <c r="AC2147" s="730" t="s">
        <v>13262</v>
      </c>
      <c r="AD2147" s="730" t="s">
        <v>13270</v>
      </c>
      <c r="AE2147" s="730">
        <v>4.0</v>
      </c>
      <c r="AF2147" s="1505">
        <v>573.0</v>
      </c>
      <c r="AG2147" s="1505">
        <v>0.234</v>
      </c>
      <c r="AH2147" s="730" t="s">
        <v>173</v>
      </c>
      <c r="AI2147" s="730" t="s">
        <v>850</v>
      </c>
      <c r="AJ2147" s="1505" t="s">
        <v>138</v>
      </c>
      <c r="AK2147" s="717"/>
      <c r="AL2147" s="730" t="s">
        <v>186</v>
      </c>
      <c r="AM2147" s="720" t="s">
        <v>137</v>
      </c>
      <c r="AN2147" s="720" t="s">
        <v>138</v>
      </c>
      <c r="AO2147" s="1505">
        <v>1446.0</v>
      </c>
      <c r="AP2147" s="1505">
        <v>1.18</v>
      </c>
      <c r="AQ2147" s="730" t="s">
        <v>722</v>
      </c>
      <c r="AR2147" s="730" t="s">
        <v>13271</v>
      </c>
      <c r="AS2147" s="1975">
        <v>0.018</v>
      </c>
      <c r="AT2147" s="730" t="s">
        <v>172</v>
      </c>
      <c r="AU2147" s="730" t="s">
        <v>186</v>
      </c>
      <c r="AV2147" s="720" t="s">
        <v>137</v>
      </c>
      <c r="AW2147" s="1973" t="s">
        <v>13263</v>
      </c>
      <c r="AX2147" s="1115" t="s">
        <v>438</v>
      </c>
      <c r="AY2147" s="61" t="str">
        <f>IFERROR(__xludf.DUMMYFUNCTION("vlookup(BB2147,importrange(""https://docs.google.com/spreadsheets/d/1d2vevQ_7D_v35q4wCQ4RpQ_IPoTwEMB9Yp6ymwlPqew/edit?gid=984458430#gid=984458430"", ""'replication success'!A:K""), 11, FAlSE)"),"mixed")</f>
        <v>mixed</v>
      </c>
      <c r="AZ2147" s="61" t="str">
        <f>IFERROR(__xludf.DUMMYFUNCTION("vlookup(BB2147,importrange(""https://docs.google.com/spreadsheets/d/1d2vevQ_7D_v35q4wCQ4RpQ_IPoTwEMB9Yp6ymwlPqew/edit?gid=984458430#gid=984458430"",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47" s="61" t="str">
        <f>IFERROR(__xludf.DUMMYFUNCTION("vlookup(BB2147,importrange(""https://docs.google.com/spreadsheets/d/1d2vevQ_7D_v35q4wCQ4RpQ_IPoTwEMB9Yp6ymwlPqew/edit?gid=984458430#gid=984458430"", ""'replication success'!A:M""), 13, FAlSE)"),"abstract")</f>
        <v>abstract</v>
      </c>
      <c r="BB2147" s="61" t="str">
        <f>IFERROR(__xludf.DUMMYFUNCTION("REGEXREPLACE(G2147, ""_[a-z]{1,2}$"", """")"),"svodevelopment")</f>
        <v>svodevelopment</v>
      </c>
      <c r="BC2147" s="697"/>
      <c r="BD2147" s="716" t="s">
        <v>13264</v>
      </c>
      <c r="BE2147" s="342"/>
      <c r="BF2147" s="342"/>
      <c r="BG2147" s="342"/>
      <c r="BH2147" s="342"/>
      <c r="BI2147" s="342"/>
      <c r="BJ2147" s="342"/>
      <c r="BK2147" s="342"/>
      <c r="BL2147" s="342"/>
      <c r="BM2147" s="342"/>
      <c r="BN2147" s="342"/>
      <c r="BO2147" s="342"/>
      <c r="BP2147" s="342"/>
      <c r="BQ2147" s="342"/>
      <c r="BR2147" s="342"/>
      <c r="BS2147" s="342"/>
      <c r="BT2147" s="342"/>
      <c r="BU2147" s="342"/>
      <c r="BV2147" s="342"/>
      <c r="BW2147" s="342"/>
      <c r="BX2147" s="342"/>
      <c r="BY2147" s="342"/>
      <c r="BZ2147" s="342"/>
      <c r="CA2147" s="342"/>
      <c r="CB2147" s="342"/>
      <c r="CC2147" s="342"/>
      <c r="CD2147" s="342"/>
      <c r="CE2147" s="342"/>
      <c r="CF2147" s="342"/>
      <c r="CG2147" s="342"/>
      <c r="CH2147" s="342"/>
      <c r="CI2147" s="342"/>
      <c r="CJ2147" s="342"/>
      <c r="CK2147" s="342"/>
      <c r="CL2147" s="342"/>
      <c r="CM2147" s="342"/>
      <c r="CN2147" s="342"/>
      <c r="CO2147" s="342"/>
      <c r="CP2147" s="342"/>
      <c r="CQ2147" s="342"/>
      <c r="CR2147" s="342"/>
      <c r="CS2147" s="342"/>
      <c r="CT2147" s="342"/>
      <c r="CU2147" s="342"/>
      <c r="CV2147" s="342"/>
      <c r="CW2147" s="342"/>
      <c r="CX2147" s="342"/>
      <c r="CY2147" s="342"/>
      <c r="CZ2147" s="342"/>
      <c r="DA2147" s="342"/>
      <c r="DB2147" s="342"/>
      <c r="DC2147" s="342"/>
      <c r="DD2147" s="342"/>
      <c r="DE2147" s="342"/>
      <c r="DF2147" s="342"/>
      <c r="DG2147" s="342"/>
      <c r="DH2147" s="342"/>
      <c r="DI2147" s="342"/>
      <c r="DJ2147" s="342"/>
      <c r="DK2147" s="342"/>
      <c r="DL2147" s="342"/>
    </row>
    <row r="2148">
      <c r="A2148" s="44">
        <v>2148.0</v>
      </c>
      <c r="B2148" s="720" t="s">
        <v>114</v>
      </c>
      <c r="C2148" s="716" t="s">
        <v>115</v>
      </c>
      <c r="D2148" s="716" t="s">
        <v>221</v>
      </c>
      <c r="E2148" s="697"/>
      <c r="F2148" s="720" t="s">
        <v>13272</v>
      </c>
      <c r="G2148" s="720" t="s">
        <v>13251</v>
      </c>
      <c r="H2148" s="730" t="s">
        <v>222</v>
      </c>
      <c r="I2148" s="1505" t="s">
        <v>13252</v>
      </c>
      <c r="J2148" s="1506">
        <v>45828.0</v>
      </c>
      <c r="K2148" s="730" t="s">
        <v>13273</v>
      </c>
      <c r="L2148" s="720" t="s">
        <v>13274</v>
      </c>
      <c r="M2148" s="720" t="s">
        <v>13255</v>
      </c>
      <c r="N2148" s="720" t="s">
        <v>9892</v>
      </c>
      <c r="O2148" s="1510">
        <v>1.0</v>
      </c>
      <c r="P2148" s="730" t="s">
        <v>13256</v>
      </c>
      <c r="Q2148" s="1507" t="str">
        <f t="array" ref="Q2148"> if(iserror(MATCH(V2148, 'File Links'!C:C, 0)), "N/A", HYPERLINK(INDEX('File Links'!B:B, MATCH(P2148, 'File Links'!C:C, 0))))</f>
        <v>https://drive.google.com/file/d/1FklynAHzflh7rbxQIU4qTxOz3VBhye8B/view?usp=drivesdk</v>
      </c>
      <c r="R2148" s="1508" t="s">
        <v>13257</v>
      </c>
      <c r="S2148" s="720" t="s">
        <v>13258</v>
      </c>
      <c r="T2148" s="1509"/>
      <c r="U2148" s="1970">
        <v>1.0</v>
      </c>
      <c r="V2148" s="730" t="s">
        <v>13259</v>
      </c>
      <c r="W2148" s="717"/>
      <c r="X2148" s="1511" t="str">
        <f t="array" ref="X2148"> if(iserror(MATCH(V2148, 'File Links'!C:C, 0)), "N/A", HYPERLINK(INDEX('File Links'!B:B, MATCH(V2148, 'File Links'!C:C, 0))))</f>
        <v>https://drive.google.com/file/d/1hYNUJrx3yjyMoTgcG7Qz4pix-8ruWFMC/view?usp=drivesdk</v>
      </c>
      <c r="Y2148" s="1428"/>
      <c r="Z2148" s="730" t="s">
        <v>226</v>
      </c>
      <c r="AA2148" s="720" t="s">
        <v>13260</v>
      </c>
      <c r="AB2148" s="730" t="s">
        <v>13275</v>
      </c>
      <c r="AC2148" s="730" t="s">
        <v>13276</v>
      </c>
      <c r="AD2148" s="717"/>
      <c r="AE2148" s="717"/>
      <c r="AF2148" s="1505">
        <v>573.0</v>
      </c>
      <c r="AG2148" s="1505">
        <v>0.49</v>
      </c>
      <c r="AH2148" s="730" t="s">
        <v>173</v>
      </c>
      <c r="AI2148" s="1971">
        <v>6.0</v>
      </c>
      <c r="AJ2148" s="1972">
        <v>0.018</v>
      </c>
      <c r="AK2148" s="1971" t="s">
        <v>135</v>
      </c>
      <c r="AL2148" s="1971" t="s">
        <v>136</v>
      </c>
      <c r="AM2148" s="720" t="s">
        <v>137</v>
      </c>
      <c r="AN2148" s="720" t="s">
        <v>138</v>
      </c>
      <c r="AO2148" s="1505">
        <v>1446.0</v>
      </c>
      <c r="AP2148" s="1505">
        <v>0.09</v>
      </c>
      <c r="AQ2148" s="730" t="s">
        <v>173</v>
      </c>
      <c r="AR2148" s="730">
        <v>7.0</v>
      </c>
      <c r="AS2148" s="1505">
        <v>0.001</v>
      </c>
      <c r="AT2148" s="730" t="s">
        <v>172</v>
      </c>
      <c r="AU2148" s="730" t="s">
        <v>136</v>
      </c>
      <c r="AV2148" s="720" t="s">
        <v>137</v>
      </c>
      <c r="AW2148" s="1973" t="s">
        <v>13263</v>
      </c>
      <c r="AX2148" s="720" t="s">
        <v>151</v>
      </c>
      <c r="AY2148" s="61" t="str">
        <f>IFERROR(__xludf.DUMMYFUNCTION("vlookup(BB2148,importrange(""https://docs.google.com/spreadsheets/d/1d2vevQ_7D_v35q4wCQ4RpQ_IPoTwEMB9Yp6ymwlPqew/edit?gid=984458430#gid=984458430"", ""'replication success'!A:K""), 11, FAlSE)"),"mixed")</f>
        <v>mixed</v>
      </c>
      <c r="AZ2148" s="61" t="str">
        <f>IFERROR(__xludf.DUMMYFUNCTION("vlookup(BB2148,importrange(""https://docs.google.com/spreadsheets/d/1d2vevQ_7D_v35q4wCQ4RpQ_IPoTwEMB9Yp6ymwlPqew/edit?gid=984458430#gid=984458430"",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48" s="61" t="str">
        <f>IFERROR(__xludf.DUMMYFUNCTION("vlookup(BB2148,importrange(""https://docs.google.com/spreadsheets/d/1d2vevQ_7D_v35q4wCQ4RpQ_IPoTwEMB9Yp6ymwlPqew/edit?gid=984458430#gid=984458430"", ""'replication success'!A:M""), 13, FAlSE)"),"abstract")</f>
        <v>abstract</v>
      </c>
      <c r="BB2148" s="61" t="str">
        <f>IFERROR(__xludf.DUMMYFUNCTION("REGEXREPLACE(G2148, ""_[a-z]{1,2}$"", """")"),"svodevelopment")</f>
        <v>svodevelopment</v>
      </c>
      <c r="BC2148" s="697"/>
      <c r="BD2148" s="716" t="s">
        <v>13264</v>
      </c>
      <c r="BE2148" s="342"/>
      <c r="BF2148" s="342"/>
      <c r="BG2148" s="342"/>
      <c r="BH2148" s="342"/>
      <c r="BI2148" s="342"/>
      <c r="BJ2148" s="342"/>
      <c r="BK2148" s="342"/>
      <c r="BL2148" s="342"/>
      <c r="BM2148" s="342"/>
      <c r="BN2148" s="342"/>
      <c r="BO2148" s="342"/>
      <c r="BP2148" s="342"/>
      <c r="BQ2148" s="342"/>
      <c r="BR2148" s="342"/>
      <c r="BS2148" s="342"/>
      <c r="BT2148" s="342"/>
      <c r="BU2148" s="342"/>
      <c r="BV2148" s="342"/>
      <c r="BW2148" s="342"/>
      <c r="BX2148" s="342"/>
      <c r="BY2148" s="342"/>
      <c r="BZ2148" s="342"/>
      <c r="CA2148" s="342"/>
      <c r="CB2148" s="342"/>
      <c r="CC2148" s="342"/>
      <c r="CD2148" s="342"/>
      <c r="CE2148" s="342"/>
      <c r="CF2148" s="342"/>
      <c r="CG2148" s="342"/>
      <c r="CH2148" s="342"/>
      <c r="CI2148" s="342"/>
      <c r="CJ2148" s="342"/>
      <c r="CK2148" s="342"/>
      <c r="CL2148" s="342"/>
      <c r="CM2148" s="342"/>
      <c r="CN2148" s="342"/>
      <c r="CO2148" s="342"/>
      <c r="CP2148" s="342"/>
      <c r="CQ2148" s="342"/>
      <c r="CR2148" s="342"/>
      <c r="CS2148" s="342"/>
      <c r="CT2148" s="342"/>
      <c r="CU2148" s="342"/>
      <c r="CV2148" s="342"/>
      <c r="CW2148" s="342"/>
      <c r="CX2148" s="342"/>
      <c r="CY2148" s="342"/>
      <c r="CZ2148" s="342"/>
      <c r="DA2148" s="342"/>
      <c r="DB2148" s="342"/>
      <c r="DC2148" s="342"/>
      <c r="DD2148" s="342"/>
      <c r="DE2148" s="342"/>
      <c r="DF2148" s="342"/>
      <c r="DG2148" s="342"/>
      <c r="DH2148" s="342"/>
      <c r="DI2148" s="342"/>
      <c r="DJ2148" s="342"/>
      <c r="DK2148" s="342"/>
      <c r="DL2148" s="342"/>
    </row>
    <row r="2149">
      <c r="A2149" s="44">
        <v>2149.0</v>
      </c>
      <c r="B2149" s="720" t="s">
        <v>152</v>
      </c>
      <c r="C2149" s="716" t="s">
        <v>115</v>
      </c>
      <c r="D2149" s="716" t="s">
        <v>2930</v>
      </c>
      <c r="E2149" s="697"/>
      <c r="F2149" s="720" t="s">
        <v>13272</v>
      </c>
      <c r="G2149" s="720" t="s">
        <v>13251</v>
      </c>
      <c r="H2149" s="730" t="s">
        <v>13265</v>
      </c>
      <c r="I2149" s="1505" t="s">
        <v>13277</v>
      </c>
      <c r="J2149" s="1506">
        <v>45828.0</v>
      </c>
      <c r="K2149" s="730" t="s">
        <v>13278</v>
      </c>
      <c r="L2149" s="720" t="s">
        <v>13279</v>
      </c>
      <c r="M2149" s="720" t="s">
        <v>13255</v>
      </c>
      <c r="N2149" s="720" t="s">
        <v>9892</v>
      </c>
      <c r="O2149" s="1510">
        <v>1.0</v>
      </c>
      <c r="P2149" s="730" t="s">
        <v>13256</v>
      </c>
      <c r="Q2149" s="1507" t="str">
        <f t="array" ref="Q2149"> if(iserror(MATCH(V2149, 'File Links'!C:C, 0)), "N/A", HYPERLINK(INDEX('File Links'!B:B, MATCH(P2149, 'File Links'!C:C, 0))))</f>
        <v>https://drive.google.com/file/d/1FklynAHzflh7rbxQIU4qTxOz3VBhye8B/view?usp=drivesdk</v>
      </c>
      <c r="R2149" s="1508" t="s">
        <v>13257</v>
      </c>
      <c r="S2149" s="720" t="s">
        <v>13258</v>
      </c>
      <c r="T2149" s="1974" t="s">
        <v>138</v>
      </c>
      <c r="U2149" s="1510">
        <v>1.0</v>
      </c>
      <c r="V2149" s="730" t="s">
        <v>13259</v>
      </c>
      <c r="W2149" s="730" t="s">
        <v>209</v>
      </c>
      <c r="X2149" s="1511" t="str">
        <f t="array" ref="X2149"> if(iserror(MATCH(V2149, 'File Links'!C:C, 0)), "N/A", HYPERLINK(INDEX('File Links'!B:B, MATCH(V2149, 'File Links'!C:C, 0))))</f>
        <v>https://drive.google.com/file/d/1hYNUJrx3yjyMoTgcG7Qz4pix-8ruWFMC/view?usp=drivesdk</v>
      </c>
      <c r="Y2149" s="1428"/>
      <c r="Z2149" s="730" t="s">
        <v>226</v>
      </c>
      <c r="AA2149" s="720" t="s">
        <v>13260</v>
      </c>
      <c r="AB2149" s="730" t="s">
        <v>13280</v>
      </c>
      <c r="AC2149" s="730" t="s">
        <v>13276</v>
      </c>
      <c r="AD2149" s="730" t="s">
        <v>13281</v>
      </c>
      <c r="AE2149" s="730">
        <v>4.0</v>
      </c>
      <c r="AF2149" s="1505">
        <v>573.0</v>
      </c>
      <c r="AG2149" s="1505">
        <v>0.49</v>
      </c>
      <c r="AH2149" s="730" t="s">
        <v>173</v>
      </c>
      <c r="AI2149" s="730" t="s">
        <v>496</v>
      </c>
      <c r="AJ2149" s="1505" t="s">
        <v>138</v>
      </c>
      <c r="AK2149" s="717"/>
      <c r="AL2149" s="730" t="s">
        <v>186</v>
      </c>
      <c r="AM2149" s="720" t="s">
        <v>137</v>
      </c>
      <c r="AN2149" s="720" t="s">
        <v>138</v>
      </c>
      <c r="AO2149" s="1505">
        <v>1446.0</v>
      </c>
      <c r="AP2149" s="1505">
        <v>0.05</v>
      </c>
      <c r="AQ2149" s="730" t="s">
        <v>722</v>
      </c>
      <c r="AR2149" s="730" t="s">
        <v>13271</v>
      </c>
      <c r="AS2149" s="1505">
        <v>0.182</v>
      </c>
      <c r="AT2149" s="730" t="s">
        <v>172</v>
      </c>
      <c r="AU2149" s="730" t="s">
        <v>186</v>
      </c>
      <c r="AV2149" s="720" t="s">
        <v>137</v>
      </c>
      <c r="AW2149" s="1973" t="s">
        <v>13263</v>
      </c>
      <c r="AX2149" s="1115" t="s">
        <v>438</v>
      </c>
      <c r="AY2149" s="61" t="str">
        <f>IFERROR(__xludf.DUMMYFUNCTION("vlookup(BB2149,importrange(""https://docs.google.com/spreadsheets/d/1d2vevQ_7D_v35q4wCQ4RpQ_IPoTwEMB9Yp6ymwlPqew/edit?gid=984458430#gid=984458430"", ""'replication success'!A:K""), 11, FAlSE)"),"mixed")</f>
        <v>mixed</v>
      </c>
      <c r="AZ2149" s="61" t="str">
        <f>IFERROR(__xludf.DUMMYFUNCTION("vlookup(BB2149,importrange(""https://docs.google.com/spreadsheets/d/1d2vevQ_7D_v35q4wCQ4RpQ_IPoTwEMB9Yp6ymwlPqew/edit?gid=984458430#gid=984458430"",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49" s="61" t="str">
        <f>IFERROR(__xludf.DUMMYFUNCTION("vlookup(BB2149,importrange(""https://docs.google.com/spreadsheets/d/1d2vevQ_7D_v35q4wCQ4RpQ_IPoTwEMB9Yp6ymwlPqew/edit?gid=984458430#gid=984458430"", ""'replication success'!A:M""), 13, FAlSE)"),"abstract")</f>
        <v>abstract</v>
      </c>
      <c r="BB2149" s="61" t="str">
        <f>IFERROR(__xludf.DUMMYFUNCTION("REGEXREPLACE(G2149, ""_[a-z]{1,2}$"", """")"),"svodevelopment")</f>
        <v>svodevelopment</v>
      </c>
      <c r="BC2149" s="697"/>
      <c r="BD2149" s="716" t="s">
        <v>13264</v>
      </c>
      <c r="BE2149" s="342"/>
      <c r="BF2149" s="342"/>
      <c r="BG2149" s="342"/>
      <c r="BH2149" s="342"/>
      <c r="BI2149" s="342"/>
      <c r="BJ2149" s="342"/>
      <c r="BK2149" s="342"/>
      <c r="BL2149" s="342"/>
      <c r="BM2149" s="342"/>
      <c r="BN2149" s="342"/>
      <c r="BO2149" s="342"/>
      <c r="BP2149" s="342"/>
      <c r="BQ2149" s="342"/>
      <c r="BR2149" s="342"/>
      <c r="BS2149" s="342"/>
      <c r="BT2149" s="342"/>
      <c r="BU2149" s="342"/>
      <c r="BV2149" s="342"/>
      <c r="BW2149" s="342"/>
      <c r="BX2149" s="342"/>
      <c r="BY2149" s="342"/>
      <c r="BZ2149" s="342"/>
      <c r="CA2149" s="342"/>
      <c r="CB2149" s="342"/>
      <c r="CC2149" s="342"/>
      <c r="CD2149" s="342"/>
      <c r="CE2149" s="342"/>
      <c r="CF2149" s="342"/>
      <c r="CG2149" s="342"/>
      <c r="CH2149" s="342"/>
      <c r="CI2149" s="342"/>
      <c r="CJ2149" s="342"/>
      <c r="CK2149" s="342"/>
      <c r="CL2149" s="342"/>
      <c r="CM2149" s="342"/>
      <c r="CN2149" s="342"/>
      <c r="CO2149" s="342"/>
      <c r="CP2149" s="342"/>
      <c r="CQ2149" s="342"/>
      <c r="CR2149" s="342"/>
      <c r="CS2149" s="342"/>
      <c r="CT2149" s="342"/>
      <c r="CU2149" s="342"/>
      <c r="CV2149" s="342"/>
      <c r="CW2149" s="342"/>
      <c r="CX2149" s="342"/>
      <c r="CY2149" s="342"/>
      <c r="CZ2149" s="342"/>
      <c r="DA2149" s="342"/>
      <c r="DB2149" s="342"/>
      <c r="DC2149" s="342"/>
      <c r="DD2149" s="342"/>
      <c r="DE2149" s="342"/>
      <c r="DF2149" s="342"/>
      <c r="DG2149" s="342"/>
      <c r="DH2149" s="342"/>
      <c r="DI2149" s="342"/>
      <c r="DJ2149" s="342"/>
      <c r="DK2149" s="342"/>
      <c r="DL2149" s="342"/>
    </row>
    <row r="2150">
      <c r="A2150" s="44">
        <v>2150.0</v>
      </c>
      <c r="B2150" s="720" t="s">
        <v>114</v>
      </c>
      <c r="C2150" s="716" t="s">
        <v>115</v>
      </c>
      <c r="D2150" s="716" t="s">
        <v>221</v>
      </c>
      <c r="E2150" s="697"/>
      <c r="F2150" s="720" t="s">
        <v>13282</v>
      </c>
      <c r="G2150" s="720" t="s">
        <v>13251</v>
      </c>
      <c r="H2150" s="730" t="s">
        <v>222</v>
      </c>
      <c r="I2150" s="1505" t="s">
        <v>13252</v>
      </c>
      <c r="J2150" s="1506">
        <v>45828.0</v>
      </c>
      <c r="K2150" s="730" t="s">
        <v>13283</v>
      </c>
      <c r="L2150" s="720" t="s">
        <v>13254</v>
      </c>
      <c r="M2150" s="720" t="s">
        <v>13255</v>
      </c>
      <c r="N2150" s="720" t="s">
        <v>9892</v>
      </c>
      <c r="O2150" s="1510">
        <v>1.0</v>
      </c>
      <c r="P2150" s="730" t="s">
        <v>13256</v>
      </c>
      <c r="Q2150" s="1507" t="str">
        <f t="array" ref="Q2150"> if(iserror(MATCH(V2150, 'File Links'!C:C, 0)), "N/A", HYPERLINK(INDEX('File Links'!B:B, MATCH(P2150, 'File Links'!C:C, 0))))</f>
        <v>https://drive.google.com/file/d/1FklynAHzflh7rbxQIU4qTxOz3VBhye8B/view?usp=drivesdk</v>
      </c>
      <c r="R2150" s="1508" t="s">
        <v>13257</v>
      </c>
      <c r="S2150" s="720" t="s">
        <v>13258</v>
      </c>
      <c r="T2150" s="1509"/>
      <c r="U2150" s="1970">
        <v>1.0</v>
      </c>
      <c r="V2150" s="730" t="s">
        <v>13259</v>
      </c>
      <c r="W2150" s="717"/>
      <c r="X2150" s="1511" t="str">
        <f t="array" ref="X2150"> if(iserror(MATCH(V2150, 'File Links'!C:C, 0)), "N/A", HYPERLINK(INDEX('File Links'!B:B, MATCH(V2150, 'File Links'!C:C, 0))))</f>
        <v>https://drive.google.com/file/d/1hYNUJrx3yjyMoTgcG7Qz4pix-8ruWFMC/view?usp=drivesdk</v>
      </c>
      <c r="Y2150" s="1428"/>
      <c r="Z2150" s="730" t="s">
        <v>226</v>
      </c>
      <c r="AA2150" s="720" t="s">
        <v>13260</v>
      </c>
      <c r="AB2150" s="730" t="s">
        <v>13284</v>
      </c>
      <c r="AC2150" s="730" t="s">
        <v>13276</v>
      </c>
      <c r="AD2150" s="717"/>
      <c r="AE2150" s="717"/>
      <c r="AF2150" s="1505">
        <v>573.0</v>
      </c>
      <c r="AG2150" s="1505">
        <v>0.49</v>
      </c>
      <c r="AH2150" s="730" t="s">
        <v>173</v>
      </c>
      <c r="AI2150" s="1971">
        <v>6.0</v>
      </c>
      <c r="AJ2150" s="1972">
        <v>0.018</v>
      </c>
      <c r="AK2150" s="1971" t="s">
        <v>135</v>
      </c>
      <c r="AL2150" s="1971" t="s">
        <v>136</v>
      </c>
      <c r="AM2150" s="720" t="s">
        <v>137</v>
      </c>
      <c r="AN2150" s="720" t="s">
        <v>138</v>
      </c>
      <c r="AO2150" s="1505">
        <v>1446.0</v>
      </c>
      <c r="AP2150" s="1505">
        <v>0.13</v>
      </c>
      <c r="AQ2150" s="730" t="s">
        <v>173</v>
      </c>
      <c r="AR2150" s="730">
        <v>7.0</v>
      </c>
      <c r="AS2150" s="1505">
        <v>0.001</v>
      </c>
      <c r="AT2150" s="730" t="s">
        <v>172</v>
      </c>
      <c r="AU2150" s="730" t="s">
        <v>136</v>
      </c>
      <c r="AV2150" s="720" t="s">
        <v>137</v>
      </c>
      <c r="AW2150" s="1976" t="s">
        <v>13263</v>
      </c>
      <c r="AX2150" s="720" t="s">
        <v>151</v>
      </c>
      <c r="AY2150" s="61" t="str">
        <f>IFERROR(__xludf.DUMMYFUNCTION("vlookup(BB2150,importrange(""https://docs.google.com/spreadsheets/d/1d2vevQ_7D_v35q4wCQ4RpQ_IPoTwEMB9Yp6ymwlPqew/edit?gid=984458430#gid=984458430"", ""'replication success'!A:K""), 11, FAlSE)"),"mixed")</f>
        <v>mixed</v>
      </c>
      <c r="AZ2150" s="61" t="str">
        <f>IFERROR(__xludf.DUMMYFUNCTION("vlookup(BB2150,importrange(""https://docs.google.com/spreadsheets/d/1d2vevQ_7D_v35q4wCQ4RpQ_IPoTwEMB9Yp6ymwlPqew/edit?gid=984458430#gid=984458430"",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0" s="61" t="str">
        <f>IFERROR(__xludf.DUMMYFUNCTION("vlookup(BB2150,importrange(""https://docs.google.com/spreadsheets/d/1d2vevQ_7D_v35q4wCQ4RpQ_IPoTwEMB9Yp6ymwlPqew/edit?gid=984458430#gid=984458430"", ""'replication success'!A:M""), 13, FAlSE)"),"abstract")</f>
        <v>abstract</v>
      </c>
      <c r="BB2150" s="61" t="str">
        <f>IFERROR(__xludf.DUMMYFUNCTION("REGEXREPLACE(G2150, ""_[a-z]{1,2}$"", """")"),"svodevelopment")</f>
        <v>svodevelopment</v>
      </c>
      <c r="BC2150" s="697"/>
      <c r="BD2150" s="716" t="s">
        <v>13264</v>
      </c>
      <c r="BE2150" s="342"/>
      <c r="BF2150" s="342"/>
      <c r="BG2150" s="342"/>
      <c r="BH2150" s="342"/>
      <c r="BI2150" s="342"/>
      <c r="BJ2150" s="342"/>
      <c r="BK2150" s="342"/>
      <c r="BL2150" s="342"/>
      <c r="BM2150" s="342"/>
      <c r="BN2150" s="342"/>
      <c r="BO2150" s="342"/>
      <c r="BP2150" s="342"/>
      <c r="BQ2150" s="342"/>
      <c r="BR2150" s="342"/>
      <c r="BS2150" s="342"/>
      <c r="BT2150" s="342"/>
      <c r="BU2150" s="342"/>
      <c r="BV2150" s="342"/>
      <c r="BW2150" s="342"/>
      <c r="BX2150" s="342"/>
      <c r="BY2150" s="342"/>
      <c r="BZ2150" s="342"/>
      <c r="CA2150" s="342"/>
      <c r="CB2150" s="342"/>
      <c r="CC2150" s="342"/>
      <c r="CD2150" s="342"/>
      <c r="CE2150" s="342"/>
      <c r="CF2150" s="342"/>
      <c r="CG2150" s="342"/>
      <c r="CH2150" s="342"/>
      <c r="CI2150" s="342"/>
      <c r="CJ2150" s="342"/>
      <c r="CK2150" s="342"/>
      <c r="CL2150" s="342"/>
      <c r="CM2150" s="342"/>
      <c r="CN2150" s="342"/>
      <c r="CO2150" s="342"/>
      <c r="CP2150" s="342"/>
      <c r="CQ2150" s="342"/>
      <c r="CR2150" s="342"/>
      <c r="CS2150" s="342"/>
      <c r="CT2150" s="342"/>
      <c r="CU2150" s="342"/>
      <c r="CV2150" s="342"/>
      <c r="CW2150" s="342"/>
      <c r="CX2150" s="342"/>
      <c r="CY2150" s="342"/>
      <c r="CZ2150" s="342"/>
      <c r="DA2150" s="342"/>
      <c r="DB2150" s="342"/>
      <c r="DC2150" s="342"/>
      <c r="DD2150" s="342"/>
      <c r="DE2150" s="342"/>
      <c r="DF2150" s="342"/>
      <c r="DG2150" s="342"/>
      <c r="DH2150" s="342"/>
      <c r="DI2150" s="342"/>
      <c r="DJ2150" s="342"/>
      <c r="DK2150" s="342"/>
      <c r="DL2150" s="342"/>
    </row>
    <row r="2151">
      <c r="A2151" s="44">
        <v>2151.0</v>
      </c>
      <c r="B2151" s="720" t="s">
        <v>152</v>
      </c>
      <c r="C2151" s="716" t="s">
        <v>115</v>
      </c>
      <c r="D2151" s="716" t="s">
        <v>2930</v>
      </c>
      <c r="E2151" s="697"/>
      <c r="F2151" s="720" t="s">
        <v>13282</v>
      </c>
      <c r="G2151" s="720" t="s">
        <v>13251</v>
      </c>
      <c r="H2151" s="730" t="s">
        <v>13265</v>
      </c>
      <c r="I2151" s="1505" t="s">
        <v>13277</v>
      </c>
      <c r="J2151" s="1506">
        <v>45828.0</v>
      </c>
      <c r="K2151" s="730" t="s">
        <v>13278</v>
      </c>
      <c r="L2151" s="720" t="s">
        <v>13279</v>
      </c>
      <c r="M2151" s="720" t="s">
        <v>13255</v>
      </c>
      <c r="N2151" s="720" t="s">
        <v>9892</v>
      </c>
      <c r="O2151" s="1510">
        <v>1.0</v>
      </c>
      <c r="P2151" s="730" t="s">
        <v>13256</v>
      </c>
      <c r="Q2151" s="1507" t="str">
        <f t="array" ref="Q2151"> if(iserror(MATCH(V2151, 'File Links'!C:C, 0)), "N/A", HYPERLINK(INDEX('File Links'!B:B, MATCH(P2151, 'File Links'!C:C, 0))))</f>
        <v>https://drive.google.com/file/d/1FklynAHzflh7rbxQIU4qTxOz3VBhye8B/view?usp=drivesdk</v>
      </c>
      <c r="R2151" s="1508" t="s">
        <v>13257</v>
      </c>
      <c r="S2151" s="720" t="s">
        <v>13258</v>
      </c>
      <c r="T2151" s="1974" t="s">
        <v>138</v>
      </c>
      <c r="U2151" s="1510">
        <v>1.0</v>
      </c>
      <c r="V2151" s="730" t="s">
        <v>13259</v>
      </c>
      <c r="W2151" s="730" t="s">
        <v>209</v>
      </c>
      <c r="X2151" s="1511" t="str">
        <f t="array" ref="X2151"> if(iserror(MATCH(V2151, 'File Links'!C:C, 0)), "N/A", HYPERLINK(INDEX('File Links'!B:B, MATCH(V2151, 'File Links'!C:C, 0))))</f>
        <v>https://drive.google.com/file/d/1hYNUJrx3yjyMoTgcG7Qz4pix-8ruWFMC/view?usp=drivesdk</v>
      </c>
      <c r="Y2151" s="1428"/>
      <c r="Z2151" s="730" t="s">
        <v>226</v>
      </c>
      <c r="AA2151" s="720" t="s">
        <v>13260</v>
      </c>
      <c r="AB2151" s="730" t="s">
        <v>13285</v>
      </c>
      <c r="AC2151" s="730" t="s">
        <v>13276</v>
      </c>
      <c r="AD2151" s="730" t="s">
        <v>13281</v>
      </c>
      <c r="AE2151" s="730">
        <v>4.0</v>
      </c>
      <c r="AF2151" s="1505">
        <v>573.0</v>
      </c>
      <c r="AG2151" s="1505">
        <v>0.49</v>
      </c>
      <c r="AH2151" s="730" t="s">
        <v>173</v>
      </c>
      <c r="AI2151" s="730" t="s">
        <v>850</v>
      </c>
      <c r="AJ2151" s="1505" t="s">
        <v>138</v>
      </c>
      <c r="AK2151" s="717"/>
      <c r="AL2151" s="730" t="s">
        <v>186</v>
      </c>
      <c r="AM2151" s="720" t="s">
        <v>137</v>
      </c>
      <c r="AN2151" s="720" t="s">
        <v>138</v>
      </c>
      <c r="AO2151" s="1505">
        <v>1446.0</v>
      </c>
      <c r="AP2151" s="1505">
        <v>0.07</v>
      </c>
      <c r="AQ2151" s="730" t="s">
        <v>722</v>
      </c>
      <c r="AR2151" s="730" t="s">
        <v>13271</v>
      </c>
      <c r="AS2151" s="1975">
        <v>0.106</v>
      </c>
      <c r="AT2151" s="730" t="s">
        <v>172</v>
      </c>
      <c r="AU2151" s="730" t="s">
        <v>186</v>
      </c>
      <c r="AV2151" s="720" t="s">
        <v>137</v>
      </c>
      <c r="AW2151" s="1976" t="s">
        <v>13263</v>
      </c>
      <c r="AX2151" s="1115" t="s">
        <v>438</v>
      </c>
      <c r="AY2151" s="61" t="str">
        <f>IFERROR(__xludf.DUMMYFUNCTION("vlookup(BB2151,importrange(""https://docs.google.com/spreadsheets/d/1d2vevQ_7D_v35q4wCQ4RpQ_IPoTwEMB9Yp6ymwlPqew/edit?gid=984458430#gid=984458430"", ""'replication success'!A:K""), 11, FAlSE)"),"mixed")</f>
        <v>mixed</v>
      </c>
      <c r="AZ2151" s="61" t="str">
        <f>IFERROR(__xludf.DUMMYFUNCTION("vlookup(BB2151,importrange(""https://docs.google.com/spreadsheets/d/1d2vevQ_7D_v35q4wCQ4RpQ_IPoTwEMB9Yp6ymwlPqew/edit?gid=984458430#gid=984458430"",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1" s="61" t="str">
        <f>IFERROR(__xludf.DUMMYFUNCTION("vlookup(BB2151,importrange(""https://docs.google.com/spreadsheets/d/1d2vevQ_7D_v35q4wCQ4RpQ_IPoTwEMB9Yp6ymwlPqew/edit?gid=984458430#gid=984458430"", ""'replication success'!A:M""), 13, FAlSE)"),"abstract")</f>
        <v>abstract</v>
      </c>
      <c r="BB2151" s="61" t="str">
        <f>IFERROR(__xludf.DUMMYFUNCTION("REGEXREPLACE(G2151, ""_[a-z]{1,2}$"", """")"),"svodevelopment")</f>
        <v>svodevelopment</v>
      </c>
      <c r="BC2151" s="697"/>
      <c r="BD2151" s="716" t="s">
        <v>13264</v>
      </c>
      <c r="BE2151" s="342"/>
      <c r="BF2151" s="342"/>
      <c r="BG2151" s="342"/>
      <c r="BH2151" s="342"/>
      <c r="BI2151" s="342"/>
      <c r="BJ2151" s="342"/>
      <c r="BK2151" s="342"/>
      <c r="BL2151" s="342"/>
      <c r="BM2151" s="342"/>
      <c r="BN2151" s="342"/>
      <c r="BO2151" s="342"/>
      <c r="BP2151" s="342"/>
      <c r="BQ2151" s="342"/>
      <c r="BR2151" s="342"/>
      <c r="BS2151" s="342"/>
      <c r="BT2151" s="342"/>
      <c r="BU2151" s="342"/>
      <c r="BV2151" s="342"/>
      <c r="BW2151" s="342"/>
      <c r="BX2151" s="342"/>
      <c r="BY2151" s="342"/>
      <c r="BZ2151" s="342"/>
      <c r="CA2151" s="342"/>
      <c r="CB2151" s="342"/>
      <c r="CC2151" s="342"/>
      <c r="CD2151" s="342"/>
      <c r="CE2151" s="342"/>
      <c r="CF2151" s="342"/>
      <c r="CG2151" s="342"/>
      <c r="CH2151" s="342"/>
      <c r="CI2151" s="342"/>
      <c r="CJ2151" s="342"/>
      <c r="CK2151" s="342"/>
      <c r="CL2151" s="342"/>
      <c r="CM2151" s="342"/>
      <c r="CN2151" s="342"/>
      <c r="CO2151" s="342"/>
      <c r="CP2151" s="342"/>
      <c r="CQ2151" s="342"/>
      <c r="CR2151" s="342"/>
      <c r="CS2151" s="342"/>
      <c r="CT2151" s="342"/>
      <c r="CU2151" s="342"/>
      <c r="CV2151" s="342"/>
      <c r="CW2151" s="342"/>
      <c r="CX2151" s="342"/>
      <c r="CY2151" s="342"/>
      <c r="CZ2151" s="342"/>
      <c r="DA2151" s="342"/>
      <c r="DB2151" s="342"/>
      <c r="DC2151" s="342"/>
      <c r="DD2151" s="342"/>
      <c r="DE2151" s="342"/>
      <c r="DF2151" s="342"/>
      <c r="DG2151" s="342"/>
      <c r="DH2151" s="342"/>
      <c r="DI2151" s="342"/>
      <c r="DJ2151" s="342"/>
      <c r="DK2151" s="342"/>
      <c r="DL2151" s="342"/>
    </row>
    <row r="2152">
      <c r="A2152" s="44">
        <v>2152.0</v>
      </c>
      <c r="B2152" s="720" t="s">
        <v>114</v>
      </c>
      <c r="C2152" s="716" t="s">
        <v>115</v>
      </c>
      <c r="D2152" s="716" t="s">
        <v>221</v>
      </c>
      <c r="E2152" s="697"/>
      <c r="F2152" s="720" t="s">
        <v>13286</v>
      </c>
      <c r="G2152" s="720" t="s">
        <v>13251</v>
      </c>
      <c r="H2152" s="730" t="s">
        <v>222</v>
      </c>
      <c r="I2152" s="1505" t="s">
        <v>13252</v>
      </c>
      <c r="J2152" s="1506">
        <v>45828.0</v>
      </c>
      <c r="K2152" s="730" t="s">
        <v>13287</v>
      </c>
      <c r="L2152" s="720" t="s">
        <v>13288</v>
      </c>
      <c r="M2152" s="720" t="s">
        <v>13255</v>
      </c>
      <c r="N2152" s="720" t="s">
        <v>9892</v>
      </c>
      <c r="O2152" s="1510">
        <v>1.0</v>
      </c>
      <c r="P2152" s="730" t="s">
        <v>13256</v>
      </c>
      <c r="Q2152" s="1507" t="str">
        <f t="array" ref="Q2152"> if(iserror(MATCH(V2152, 'File Links'!C:C, 0)), "N/A", HYPERLINK(INDEX('File Links'!B:B, MATCH(P2152, 'File Links'!C:C, 0))))</f>
        <v>https://drive.google.com/file/d/1FklynAHzflh7rbxQIU4qTxOz3VBhye8B/view?usp=drivesdk</v>
      </c>
      <c r="R2152" s="1508" t="s">
        <v>13257</v>
      </c>
      <c r="S2152" s="720" t="s">
        <v>13258</v>
      </c>
      <c r="T2152" s="1509"/>
      <c r="U2152" s="1970">
        <v>1.0</v>
      </c>
      <c r="V2152" s="730" t="s">
        <v>13259</v>
      </c>
      <c r="W2152" s="717"/>
      <c r="X2152" s="1511" t="str">
        <f t="array" ref="X2152"> if(iserror(MATCH(V2152, 'File Links'!C:C, 0)), "N/A", HYPERLINK(INDEX('File Links'!B:B, MATCH(V2152, 'File Links'!C:C, 0))))</f>
        <v>https://drive.google.com/file/d/1hYNUJrx3yjyMoTgcG7Qz4pix-8ruWFMC/view?usp=drivesdk</v>
      </c>
      <c r="Y2152" s="1428"/>
      <c r="Z2152" s="730" t="s">
        <v>226</v>
      </c>
      <c r="AA2152" s="720" t="s">
        <v>13260</v>
      </c>
      <c r="AB2152" s="730" t="s">
        <v>13289</v>
      </c>
      <c r="AC2152" s="730" t="s">
        <v>13276</v>
      </c>
      <c r="AD2152" s="717"/>
      <c r="AE2152" s="717"/>
      <c r="AF2152" s="1505">
        <v>573.0</v>
      </c>
      <c r="AG2152" s="1505">
        <v>0.49</v>
      </c>
      <c r="AH2152" s="730" t="s">
        <v>173</v>
      </c>
      <c r="AI2152" s="1971">
        <v>6.0</v>
      </c>
      <c r="AJ2152" s="1972">
        <v>0.018</v>
      </c>
      <c r="AK2152" s="1971" t="s">
        <v>135</v>
      </c>
      <c r="AL2152" s="1971" t="s">
        <v>136</v>
      </c>
      <c r="AM2152" s="720" t="s">
        <v>137</v>
      </c>
      <c r="AN2152" s="720" t="s">
        <v>138</v>
      </c>
      <c r="AO2152" s="1505">
        <v>1446.0</v>
      </c>
      <c r="AP2152" s="1505">
        <v>0.26</v>
      </c>
      <c r="AQ2152" s="730" t="s">
        <v>173</v>
      </c>
      <c r="AR2152" s="730">
        <v>7.0</v>
      </c>
      <c r="AS2152" s="1505">
        <v>0.001</v>
      </c>
      <c r="AT2152" s="730" t="s">
        <v>172</v>
      </c>
      <c r="AU2152" s="730" t="s">
        <v>136</v>
      </c>
      <c r="AV2152" s="720" t="s">
        <v>137</v>
      </c>
      <c r="AW2152" s="1973" t="s">
        <v>13263</v>
      </c>
      <c r="AX2152" s="720" t="s">
        <v>151</v>
      </c>
      <c r="AY2152" s="61" t="str">
        <f>IFERROR(__xludf.DUMMYFUNCTION("vlookup(BB2152,importrange(""https://docs.google.com/spreadsheets/d/1d2vevQ_7D_v35q4wCQ4RpQ_IPoTwEMB9Yp6ymwlPqew/edit?gid=984458430#gid=984458430"", ""'replication success'!A:K""), 11, FAlSE)"),"mixed")</f>
        <v>mixed</v>
      </c>
      <c r="AZ2152" s="61" t="str">
        <f>IFERROR(__xludf.DUMMYFUNCTION("vlookup(BB2152,importrange(""https://docs.google.com/spreadsheets/d/1d2vevQ_7D_v35q4wCQ4RpQ_IPoTwEMB9Yp6ymwlPqew/edit?gid=984458430#gid=984458430"",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2" s="61" t="str">
        <f>IFERROR(__xludf.DUMMYFUNCTION("vlookup(BB2152,importrange(""https://docs.google.com/spreadsheets/d/1d2vevQ_7D_v35q4wCQ4RpQ_IPoTwEMB9Yp6ymwlPqew/edit?gid=984458430#gid=984458430"", ""'replication success'!A:M""), 13, FAlSE)"),"abstract")</f>
        <v>abstract</v>
      </c>
      <c r="BB2152" s="61" t="str">
        <f>IFERROR(__xludf.DUMMYFUNCTION("REGEXREPLACE(G2152, ""_[a-z]{1,2}$"", """")"),"svodevelopment")</f>
        <v>svodevelopment</v>
      </c>
      <c r="BC2152" s="697"/>
      <c r="BD2152" s="716" t="s">
        <v>13264</v>
      </c>
      <c r="BE2152" s="342"/>
      <c r="BF2152" s="342"/>
      <c r="BG2152" s="342"/>
      <c r="BH2152" s="342"/>
      <c r="BI2152" s="342"/>
      <c r="BJ2152" s="342"/>
      <c r="BK2152" s="342"/>
      <c r="BL2152" s="342"/>
      <c r="BM2152" s="342"/>
      <c r="BN2152" s="342"/>
      <c r="BO2152" s="342"/>
      <c r="BP2152" s="342"/>
      <c r="BQ2152" s="342"/>
      <c r="BR2152" s="342"/>
      <c r="BS2152" s="342"/>
      <c r="BT2152" s="342"/>
      <c r="BU2152" s="342"/>
      <c r="BV2152" s="342"/>
      <c r="BW2152" s="342"/>
      <c r="BX2152" s="342"/>
      <c r="BY2152" s="342"/>
      <c r="BZ2152" s="342"/>
      <c r="CA2152" s="342"/>
      <c r="CB2152" s="342"/>
      <c r="CC2152" s="342"/>
      <c r="CD2152" s="342"/>
      <c r="CE2152" s="342"/>
      <c r="CF2152" s="342"/>
      <c r="CG2152" s="342"/>
      <c r="CH2152" s="342"/>
      <c r="CI2152" s="342"/>
      <c r="CJ2152" s="342"/>
      <c r="CK2152" s="342"/>
      <c r="CL2152" s="342"/>
      <c r="CM2152" s="342"/>
      <c r="CN2152" s="342"/>
      <c r="CO2152" s="342"/>
      <c r="CP2152" s="342"/>
      <c r="CQ2152" s="342"/>
      <c r="CR2152" s="342"/>
      <c r="CS2152" s="342"/>
      <c r="CT2152" s="342"/>
      <c r="CU2152" s="342"/>
      <c r="CV2152" s="342"/>
      <c r="CW2152" s="342"/>
      <c r="CX2152" s="342"/>
      <c r="CY2152" s="342"/>
      <c r="CZ2152" s="342"/>
      <c r="DA2152" s="342"/>
      <c r="DB2152" s="342"/>
      <c r="DC2152" s="342"/>
      <c r="DD2152" s="342"/>
      <c r="DE2152" s="342"/>
      <c r="DF2152" s="342"/>
      <c r="DG2152" s="342"/>
      <c r="DH2152" s="342"/>
      <c r="DI2152" s="342"/>
      <c r="DJ2152" s="342"/>
      <c r="DK2152" s="342"/>
      <c r="DL2152" s="342"/>
    </row>
    <row r="2153">
      <c r="A2153" s="44">
        <v>2153.0</v>
      </c>
      <c r="B2153" s="720" t="s">
        <v>590</v>
      </c>
      <c r="C2153" s="716" t="s">
        <v>115</v>
      </c>
      <c r="D2153" s="716" t="s">
        <v>2930</v>
      </c>
      <c r="E2153" s="697"/>
      <c r="F2153" s="720" t="s">
        <v>13286</v>
      </c>
      <c r="G2153" s="720" t="s">
        <v>13251</v>
      </c>
      <c r="H2153" s="730" t="s">
        <v>13265</v>
      </c>
      <c r="I2153" s="1505" t="s">
        <v>13277</v>
      </c>
      <c r="J2153" s="1506">
        <v>45828.0</v>
      </c>
      <c r="K2153" s="730" t="s">
        <v>13278</v>
      </c>
      <c r="L2153" s="720" t="s">
        <v>13288</v>
      </c>
      <c r="M2153" s="720" t="s">
        <v>13255</v>
      </c>
      <c r="N2153" s="720" t="s">
        <v>9892</v>
      </c>
      <c r="O2153" s="1510">
        <v>1.0</v>
      </c>
      <c r="P2153" s="730" t="s">
        <v>13256</v>
      </c>
      <c r="Q2153" s="1507" t="str">
        <f t="array" ref="Q2153"> if(iserror(MATCH(V2153, 'File Links'!C:C, 0)), "N/A", HYPERLINK(INDEX('File Links'!B:B, MATCH(P2153, 'File Links'!C:C, 0))))</f>
        <v>https://drive.google.com/file/d/1FklynAHzflh7rbxQIU4qTxOz3VBhye8B/view?usp=drivesdk</v>
      </c>
      <c r="R2153" s="1508" t="s">
        <v>13257</v>
      </c>
      <c r="S2153" s="720" t="s">
        <v>13258</v>
      </c>
      <c r="T2153" s="1974" t="s">
        <v>138</v>
      </c>
      <c r="U2153" s="1510">
        <v>1.0</v>
      </c>
      <c r="V2153" s="730" t="s">
        <v>13259</v>
      </c>
      <c r="W2153" s="730" t="s">
        <v>209</v>
      </c>
      <c r="X2153" s="1511" t="str">
        <f t="array" ref="X2153"> if(iserror(MATCH(V2153, 'File Links'!C:C, 0)), "N/A", HYPERLINK(INDEX('File Links'!B:B, MATCH(V2153, 'File Links'!C:C, 0))))</f>
        <v>https://drive.google.com/file/d/1hYNUJrx3yjyMoTgcG7Qz4pix-8ruWFMC/view?usp=drivesdk</v>
      </c>
      <c r="Y2153" s="1428"/>
      <c r="Z2153" s="730" t="s">
        <v>226</v>
      </c>
      <c r="AA2153" s="720" t="s">
        <v>13260</v>
      </c>
      <c r="AB2153" s="730" t="s">
        <v>13290</v>
      </c>
      <c r="AC2153" s="730" t="s">
        <v>13276</v>
      </c>
      <c r="AD2153" s="730" t="s">
        <v>13281</v>
      </c>
      <c r="AE2153" s="730">
        <v>4.0</v>
      </c>
      <c r="AF2153" s="1505">
        <v>573.0</v>
      </c>
      <c r="AG2153" s="1505">
        <v>0.49</v>
      </c>
      <c r="AH2153" s="730" t="s">
        <v>173</v>
      </c>
      <c r="AI2153" s="730" t="s">
        <v>850</v>
      </c>
      <c r="AJ2153" s="1505" t="s">
        <v>138</v>
      </c>
      <c r="AK2153" s="717"/>
      <c r="AL2153" s="730" t="s">
        <v>186</v>
      </c>
      <c r="AM2153" s="720" t="s">
        <v>137</v>
      </c>
      <c r="AN2153" s="720" t="s">
        <v>138</v>
      </c>
      <c r="AO2153" s="1505">
        <v>1446.0</v>
      </c>
      <c r="AP2153" s="1505">
        <v>0.07</v>
      </c>
      <c r="AQ2153" s="730" t="s">
        <v>722</v>
      </c>
      <c r="AR2153" s="730" t="s">
        <v>13271</v>
      </c>
      <c r="AS2153" s="1505">
        <v>0.015</v>
      </c>
      <c r="AT2153" s="730" t="s">
        <v>172</v>
      </c>
      <c r="AU2153" s="730" t="s">
        <v>186</v>
      </c>
      <c r="AV2153" s="720" t="s">
        <v>137</v>
      </c>
      <c r="AW2153" s="1973" t="s">
        <v>13263</v>
      </c>
      <c r="AX2153" s="1115" t="s">
        <v>438</v>
      </c>
      <c r="AY2153" s="61" t="str">
        <f>IFERROR(__xludf.DUMMYFUNCTION("vlookup(BB2153,importrange(""https://docs.google.com/spreadsheets/d/1d2vevQ_7D_v35q4wCQ4RpQ_IPoTwEMB9Yp6ymwlPqew/edit?gid=984458430#gid=984458430"", ""'replication success'!A:K""), 11, FAlSE)"),"mixed")</f>
        <v>mixed</v>
      </c>
      <c r="AZ2153" s="61" t="str">
        <f>IFERROR(__xludf.DUMMYFUNCTION("vlookup(BB2153,importrange(""https://docs.google.com/spreadsheets/d/1d2vevQ_7D_v35q4wCQ4RpQ_IPoTwEMB9Yp6ymwlPqew/edit?gid=984458430#gid=984458430"",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3" s="61" t="str">
        <f>IFERROR(__xludf.DUMMYFUNCTION("vlookup(BB2153,importrange(""https://docs.google.com/spreadsheets/d/1d2vevQ_7D_v35q4wCQ4RpQ_IPoTwEMB9Yp6ymwlPqew/edit?gid=984458430#gid=984458430"", ""'replication success'!A:M""), 13, FAlSE)"),"abstract")</f>
        <v>abstract</v>
      </c>
      <c r="BB2153" s="61" t="str">
        <f>IFERROR(__xludf.DUMMYFUNCTION("REGEXREPLACE(G2153, ""_[a-z]{1,2}$"", """")"),"svodevelopment")</f>
        <v>svodevelopment</v>
      </c>
      <c r="BC2153" s="697"/>
      <c r="BD2153" s="716" t="s">
        <v>13264</v>
      </c>
      <c r="BE2153" s="342"/>
      <c r="BF2153" s="342"/>
      <c r="BG2153" s="342"/>
      <c r="BH2153" s="342"/>
      <c r="BI2153" s="342"/>
      <c r="BJ2153" s="342"/>
      <c r="BK2153" s="342"/>
      <c r="BL2153" s="342"/>
      <c r="BM2153" s="342"/>
      <c r="BN2153" s="342"/>
      <c r="BO2153" s="342"/>
      <c r="BP2153" s="342"/>
      <c r="BQ2153" s="342"/>
      <c r="BR2153" s="342"/>
      <c r="BS2153" s="342"/>
      <c r="BT2153" s="342"/>
      <c r="BU2153" s="342"/>
      <c r="BV2153" s="342"/>
      <c r="BW2153" s="342"/>
      <c r="BX2153" s="342"/>
      <c r="BY2153" s="342"/>
      <c r="BZ2153" s="342"/>
      <c r="CA2153" s="342"/>
      <c r="CB2153" s="342"/>
      <c r="CC2153" s="342"/>
      <c r="CD2153" s="342"/>
      <c r="CE2153" s="342"/>
      <c r="CF2153" s="342"/>
      <c r="CG2153" s="342"/>
      <c r="CH2153" s="342"/>
      <c r="CI2153" s="342"/>
      <c r="CJ2153" s="342"/>
      <c r="CK2153" s="342"/>
      <c r="CL2153" s="342"/>
      <c r="CM2153" s="342"/>
      <c r="CN2153" s="342"/>
      <c r="CO2153" s="342"/>
      <c r="CP2153" s="342"/>
      <c r="CQ2153" s="342"/>
      <c r="CR2153" s="342"/>
      <c r="CS2153" s="342"/>
      <c r="CT2153" s="342"/>
      <c r="CU2153" s="342"/>
      <c r="CV2153" s="342"/>
      <c r="CW2153" s="342"/>
      <c r="CX2153" s="342"/>
      <c r="CY2153" s="342"/>
      <c r="CZ2153" s="342"/>
      <c r="DA2153" s="342"/>
      <c r="DB2153" s="342"/>
      <c r="DC2153" s="342"/>
      <c r="DD2153" s="342"/>
      <c r="DE2153" s="342"/>
      <c r="DF2153" s="342"/>
      <c r="DG2153" s="342"/>
      <c r="DH2153" s="342"/>
      <c r="DI2153" s="342"/>
      <c r="DJ2153" s="342"/>
      <c r="DK2153" s="342"/>
      <c r="DL2153" s="342"/>
    </row>
    <row r="2154">
      <c r="A2154" s="44">
        <v>2154.0</v>
      </c>
      <c r="B2154" s="720" t="s">
        <v>114</v>
      </c>
      <c r="C2154" s="716" t="s">
        <v>115</v>
      </c>
      <c r="D2154" s="716" t="s">
        <v>221</v>
      </c>
      <c r="E2154" s="697"/>
      <c r="F2154" s="720" t="s">
        <v>13291</v>
      </c>
      <c r="G2154" s="720" t="s">
        <v>13251</v>
      </c>
      <c r="H2154" s="730" t="s">
        <v>222</v>
      </c>
      <c r="I2154" s="1505" t="s">
        <v>13252</v>
      </c>
      <c r="J2154" s="1506">
        <v>45828.0</v>
      </c>
      <c r="K2154" s="730" t="s">
        <v>13292</v>
      </c>
      <c r="L2154" s="720" t="s">
        <v>13288</v>
      </c>
      <c r="M2154" s="720" t="s">
        <v>13293</v>
      </c>
      <c r="N2154" s="720" t="s">
        <v>9892</v>
      </c>
      <c r="O2154" s="1510">
        <v>3.0</v>
      </c>
      <c r="P2154" s="730" t="s">
        <v>13256</v>
      </c>
      <c r="Q2154" s="1507" t="str">
        <f t="array" ref="Q2154"> if(iserror(MATCH(V2154, 'File Links'!C:C, 0)), "N/A", HYPERLINK(INDEX('File Links'!B:B, MATCH(P2154, 'File Links'!C:C, 0))))</f>
        <v>https://drive.google.com/file/d/1FklynAHzflh7rbxQIU4qTxOz3VBhye8B/view?usp=drivesdk</v>
      </c>
      <c r="R2154" s="1508" t="s">
        <v>13257</v>
      </c>
      <c r="S2154" s="720" t="s">
        <v>13258</v>
      </c>
      <c r="T2154" s="1509"/>
      <c r="U2154" s="1970">
        <v>1.0</v>
      </c>
      <c r="V2154" s="730" t="s">
        <v>13259</v>
      </c>
      <c r="W2154" s="717"/>
      <c r="X2154" s="1511" t="str">
        <f t="array" ref="X2154"> if(iserror(MATCH(V2154, 'File Links'!C:C, 0)), "N/A", HYPERLINK(INDEX('File Links'!B:B, MATCH(V2154, 'File Links'!C:C, 0))))</f>
        <v>https://drive.google.com/file/d/1hYNUJrx3yjyMoTgcG7Qz4pix-8ruWFMC/view?usp=drivesdk</v>
      </c>
      <c r="Y2154" s="1428"/>
      <c r="Z2154" s="730" t="s">
        <v>226</v>
      </c>
      <c r="AA2154" s="720" t="s">
        <v>13260</v>
      </c>
      <c r="AB2154" s="730" t="s">
        <v>13294</v>
      </c>
      <c r="AC2154" s="730" t="s">
        <v>13295</v>
      </c>
      <c r="AD2154" s="717"/>
      <c r="AE2154" s="717"/>
      <c r="AF2154" s="1505">
        <v>631.0</v>
      </c>
      <c r="AG2154" s="1505">
        <v>0.31</v>
      </c>
      <c r="AH2154" s="730" t="s">
        <v>173</v>
      </c>
      <c r="AI2154" s="1971">
        <v>9.0</v>
      </c>
      <c r="AJ2154" s="1972">
        <v>0.043</v>
      </c>
      <c r="AK2154" s="1971" t="s">
        <v>135</v>
      </c>
      <c r="AL2154" s="1971" t="s">
        <v>136</v>
      </c>
      <c r="AM2154" s="720" t="s">
        <v>137</v>
      </c>
      <c r="AN2154" s="720" t="s">
        <v>138</v>
      </c>
      <c r="AO2154" s="1505">
        <v>1446.0</v>
      </c>
      <c r="AP2154" s="1505">
        <v>0.12</v>
      </c>
      <c r="AQ2154" s="730" t="s">
        <v>173</v>
      </c>
      <c r="AR2154" s="730">
        <v>10.0</v>
      </c>
      <c r="AS2154" s="1505">
        <v>0.001</v>
      </c>
      <c r="AT2154" s="730" t="s">
        <v>172</v>
      </c>
      <c r="AU2154" s="730" t="s">
        <v>136</v>
      </c>
      <c r="AV2154" s="720" t="s">
        <v>137</v>
      </c>
      <c r="AW2154" s="1973" t="s">
        <v>13263</v>
      </c>
      <c r="AX2154" s="720" t="s">
        <v>143</v>
      </c>
      <c r="AY2154" s="61" t="str">
        <f>IFERROR(__xludf.DUMMYFUNCTION("vlookup(BB2154,importrange(""https://docs.google.com/spreadsheets/d/1d2vevQ_7D_v35q4wCQ4RpQ_IPoTwEMB9Yp6ymwlPqew/edit?gid=984458430#gid=984458430"", ""'replication success'!A:K""), 11, FAlSE)"),"mixed")</f>
        <v>mixed</v>
      </c>
      <c r="AZ2154" s="61" t="str">
        <f>IFERROR(__xludf.DUMMYFUNCTION("vlookup(BB2154,importrange(""https://docs.google.com/spreadsheets/d/1d2vevQ_7D_v35q4wCQ4RpQ_IPoTwEMB9Yp6ymwlPqew/edit?gid=984458430#gid=984458430"",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4" s="61" t="str">
        <f>IFERROR(__xludf.DUMMYFUNCTION("vlookup(BB2154,importrange(""https://docs.google.com/spreadsheets/d/1d2vevQ_7D_v35q4wCQ4RpQ_IPoTwEMB9Yp6ymwlPqew/edit?gid=984458430#gid=984458430"", ""'replication success'!A:M""), 13, FAlSE)"),"abstract")</f>
        <v>abstract</v>
      </c>
      <c r="BB2154" s="61" t="str">
        <f>IFERROR(__xludf.DUMMYFUNCTION("REGEXREPLACE(G2154, ""_[a-z]{1,2}$"", """")"),"svodevelopment")</f>
        <v>svodevelopment</v>
      </c>
      <c r="BC2154" s="697"/>
      <c r="BD2154" s="716" t="s">
        <v>13264</v>
      </c>
      <c r="BE2154" s="342"/>
      <c r="BF2154" s="342"/>
      <c r="BG2154" s="342"/>
      <c r="BH2154" s="342"/>
      <c r="BI2154" s="342"/>
      <c r="BJ2154" s="342"/>
      <c r="BK2154" s="342"/>
      <c r="BL2154" s="342"/>
      <c r="BM2154" s="342"/>
      <c r="BN2154" s="342"/>
      <c r="BO2154" s="342"/>
      <c r="BP2154" s="342"/>
      <c r="BQ2154" s="342"/>
      <c r="BR2154" s="342"/>
      <c r="BS2154" s="342"/>
      <c r="BT2154" s="342"/>
      <c r="BU2154" s="342"/>
      <c r="BV2154" s="342"/>
      <c r="BW2154" s="342"/>
      <c r="BX2154" s="342"/>
      <c r="BY2154" s="342"/>
      <c r="BZ2154" s="342"/>
      <c r="CA2154" s="342"/>
      <c r="CB2154" s="342"/>
      <c r="CC2154" s="342"/>
      <c r="CD2154" s="342"/>
      <c r="CE2154" s="342"/>
      <c r="CF2154" s="342"/>
      <c r="CG2154" s="342"/>
      <c r="CH2154" s="342"/>
      <c r="CI2154" s="342"/>
      <c r="CJ2154" s="342"/>
      <c r="CK2154" s="342"/>
      <c r="CL2154" s="342"/>
      <c r="CM2154" s="342"/>
      <c r="CN2154" s="342"/>
      <c r="CO2154" s="342"/>
      <c r="CP2154" s="342"/>
      <c r="CQ2154" s="342"/>
      <c r="CR2154" s="342"/>
      <c r="CS2154" s="342"/>
      <c r="CT2154" s="342"/>
      <c r="CU2154" s="342"/>
      <c r="CV2154" s="342"/>
      <c r="CW2154" s="342"/>
      <c r="CX2154" s="342"/>
      <c r="CY2154" s="342"/>
      <c r="CZ2154" s="342"/>
      <c r="DA2154" s="342"/>
      <c r="DB2154" s="342"/>
      <c r="DC2154" s="342"/>
      <c r="DD2154" s="342"/>
      <c r="DE2154" s="342"/>
      <c r="DF2154" s="342"/>
      <c r="DG2154" s="342"/>
      <c r="DH2154" s="342"/>
      <c r="DI2154" s="342"/>
      <c r="DJ2154" s="342"/>
      <c r="DK2154" s="342"/>
      <c r="DL2154" s="342"/>
    </row>
    <row r="2155">
      <c r="A2155" s="44">
        <v>2155.0</v>
      </c>
      <c r="B2155" s="720" t="s">
        <v>152</v>
      </c>
      <c r="C2155" s="716" t="s">
        <v>115</v>
      </c>
      <c r="D2155" s="716" t="s">
        <v>2930</v>
      </c>
      <c r="E2155" s="697"/>
      <c r="F2155" s="720" t="s">
        <v>13291</v>
      </c>
      <c r="G2155" s="720" t="s">
        <v>13251</v>
      </c>
      <c r="H2155" s="730" t="s">
        <v>13265</v>
      </c>
      <c r="I2155" s="1505" t="s">
        <v>13296</v>
      </c>
      <c r="J2155" s="1506">
        <v>45828.0</v>
      </c>
      <c r="K2155" s="730" t="s">
        <v>13278</v>
      </c>
      <c r="L2155" s="720" t="s">
        <v>13288</v>
      </c>
      <c r="M2155" s="720" t="s">
        <v>13293</v>
      </c>
      <c r="N2155" s="720" t="s">
        <v>9892</v>
      </c>
      <c r="O2155" s="1510">
        <v>3.0</v>
      </c>
      <c r="P2155" s="730" t="s">
        <v>13256</v>
      </c>
      <c r="Q2155" s="1507" t="str">
        <f t="array" ref="Q2155"> if(iserror(MATCH(V2155, 'File Links'!C:C, 0)), "N/A", HYPERLINK(INDEX('File Links'!B:B, MATCH(P2155, 'File Links'!C:C, 0))))</f>
        <v>https://drive.google.com/file/d/1FklynAHzflh7rbxQIU4qTxOz3VBhye8B/view?usp=drivesdk</v>
      </c>
      <c r="R2155" s="1508" t="s">
        <v>13257</v>
      </c>
      <c r="S2155" s="720" t="s">
        <v>13258</v>
      </c>
      <c r="T2155" s="1974" t="s">
        <v>138</v>
      </c>
      <c r="U2155" s="1510">
        <v>1.0</v>
      </c>
      <c r="V2155" s="730" t="s">
        <v>13259</v>
      </c>
      <c r="W2155" s="730" t="s">
        <v>209</v>
      </c>
      <c r="X2155" s="1511" t="str">
        <f t="array" ref="X2155"> if(iserror(MATCH(V2155, 'File Links'!C:C, 0)), "N/A", HYPERLINK(INDEX('File Links'!B:B, MATCH(V2155, 'File Links'!C:C, 0))))</f>
        <v>https://drive.google.com/file/d/1hYNUJrx3yjyMoTgcG7Qz4pix-8ruWFMC/view?usp=drivesdk</v>
      </c>
      <c r="Y2155" s="1428"/>
      <c r="Z2155" s="730" t="s">
        <v>226</v>
      </c>
      <c r="AA2155" s="720" t="s">
        <v>13260</v>
      </c>
      <c r="AB2155" s="730" t="s">
        <v>13297</v>
      </c>
      <c r="AC2155" s="730" t="s">
        <v>13295</v>
      </c>
      <c r="AD2155" s="730" t="s">
        <v>13298</v>
      </c>
      <c r="AE2155" s="730">
        <v>7.0</v>
      </c>
      <c r="AF2155" s="1505">
        <v>631.0</v>
      </c>
      <c r="AG2155" s="1505">
        <v>0.305</v>
      </c>
      <c r="AH2155" s="730" t="s">
        <v>173</v>
      </c>
      <c r="AI2155" s="730" t="s">
        <v>132</v>
      </c>
      <c r="AJ2155" s="1505" t="s">
        <v>138</v>
      </c>
      <c r="AK2155" s="717"/>
      <c r="AL2155" s="730" t="s">
        <v>186</v>
      </c>
      <c r="AM2155" s="720" t="s">
        <v>137</v>
      </c>
      <c r="AN2155" s="720" t="s">
        <v>138</v>
      </c>
      <c r="AO2155" s="1505">
        <v>1446.0</v>
      </c>
      <c r="AP2155" s="1505">
        <v>1.14</v>
      </c>
      <c r="AQ2155" s="730" t="s">
        <v>722</v>
      </c>
      <c r="AR2155" s="730" t="s">
        <v>13299</v>
      </c>
      <c r="AS2155" s="1505">
        <v>0.075</v>
      </c>
      <c r="AT2155" s="730" t="s">
        <v>172</v>
      </c>
      <c r="AU2155" s="730" t="s">
        <v>186</v>
      </c>
      <c r="AV2155" s="720" t="s">
        <v>137</v>
      </c>
      <c r="AW2155" s="1973" t="s">
        <v>13263</v>
      </c>
      <c r="AX2155" s="1115" t="s">
        <v>438</v>
      </c>
      <c r="AY2155" s="61" t="str">
        <f>IFERROR(__xludf.DUMMYFUNCTION("vlookup(BB2155,importrange(""https://docs.google.com/spreadsheets/d/1d2vevQ_7D_v35q4wCQ4RpQ_IPoTwEMB9Yp6ymwlPqew/edit?gid=984458430#gid=984458430"", ""'replication success'!A:K""), 11, FAlSE)"),"mixed")</f>
        <v>mixed</v>
      </c>
      <c r="AZ2155" s="61" t="str">
        <f>IFERROR(__xludf.DUMMYFUNCTION("vlookup(BB2155,importrange(""https://docs.google.com/spreadsheets/d/1d2vevQ_7D_v35q4wCQ4RpQ_IPoTwEMB9Yp6ymwlPqew/edit?gid=984458430#gid=984458430"",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5" s="61" t="str">
        <f>IFERROR(__xludf.DUMMYFUNCTION("vlookup(BB2155,importrange(""https://docs.google.com/spreadsheets/d/1d2vevQ_7D_v35q4wCQ4RpQ_IPoTwEMB9Yp6ymwlPqew/edit?gid=984458430#gid=984458430"", ""'replication success'!A:M""), 13, FAlSE)"),"abstract")</f>
        <v>abstract</v>
      </c>
      <c r="BB2155" s="61" t="str">
        <f>IFERROR(__xludf.DUMMYFUNCTION("REGEXREPLACE(G2155, ""_[a-z]{1,2}$"", """")"),"svodevelopment")</f>
        <v>svodevelopment</v>
      </c>
      <c r="BC2155" s="697"/>
      <c r="BD2155" s="716" t="s">
        <v>13264</v>
      </c>
      <c r="BE2155" s="342"/>
      <c r="BF2155" s="342"/>
      <c r="BG2155" s="342"/>
      <c r="BH2155" s="342"/>
      <c r="BI2155" s="342"/>
      <c r="BJ2155" s="342"/>
      <c r="BK2155" s="342"/>
      <c r="BL2155" s="342"/>
      <c r="BM2155" s="342"/>
      <c r="BN2155" s="342"/>
      <c r="BO2155" s="342"/>
      <c r="BP2155" s="342"/>
      <c r="BQ2155" s="342"/>
      <c r="BR2155" s="342"/>
      <c r="BS2155" s="342"/>
      <c r="BT2155" s="342"/>
      <c r="BU2155" s="342"/>
      <c r="BV2155" s="342"/>
      <c r="BW2155" s="342"/>
      <c r="BX2155" s="342"/>
      <c r="BY2155" s="342"/>
      <c r="BZ2155" s="342"/>
      <c r="CA2155" s="342"/>
      <c r="CB2155" s="342"/>
      <c r="CC2155" s="342"/>
      <c r="CD2155" s="342"/>
      <c r="CE2155" s="342"/>
      <c r="CF2155" s="342"/>
      <c r="CG2155" s="342"/>
      <c r="CH2155" s="342"/>
      <c r="CI2155" s="342"/>
      <c r="CJ2155" s="342"/>
      <c r="CK2155" s="342"/>
      <c r="CL2155" s="342"/>
      <c r="CM2155" s="342"/>
      <c r="CN2155" s="342"/>
      <c r="CO2155" s="342"/>
      <c r="CP2155" s="342"/>
      <c r="CQ2155" s="342"/>
      <c r="CR2155" s="342"/>
      <c r="CS2155" s="342"/>
      <c r="CT2155" s="342"/>
      <c r="CU2155" s="342"/>
      <c r="CV2155" s="342"/>
      <c r="CW2155" s="342"/>
      <c r="CX2155" s="342"/>
      <c r="CY2155" s="342"/>
      <c r="CZ2155" s="342"/>
      <c r="DA2155" s="342"/>
      <c r="DB2155" s="342"/>
      <c r="DC2155" s="342"/>
      <c r="DD2155" s="342"/>
      <c r="DE2155" s="342"/>
      <c r="DF2155" s="342"/>
      <c r="DG2155" s="342"/>
      <c r="DH2155" s="342"/>
      <c r="DI2155" s="342"/>
      <c r="DJ2155" s="342"/>
      <c r="DK2155" s="342"/>
      <c r="DL2155" s="342"/>
    </row>
    <row r="2156">
      <c r="A2156" s="44">
        <v>2156.0</v>
      </c>
      <c r="B2156" s="720" t="s">
        <v>114</v>
      </c>
      <c r="C2156" s="716" t="s">
        <v>115</v>
      </c>
      <c r="D2156" s="716" t="s">
        <v>221</v>
      </c>
      <c r="E2156" s="697"/>
      <c r="F2156" s="720" t="s">
        <v>13300</v>
      </c>
      <c r="G2156" s="720" t="s">
        <v>13251</v>
      </c>
      <c r="H2156" s="730" t="s">
        <v>222</v>
      </c>
      <c r="I2156" s="1505" t="s">
        <v>13252</v>
      </c>
      <c r="J2156" s="1506">
        <v>45828.0</v>
      </c>
      <c r="K2156" s="730" t="s">
        <v>13301</v>
      </c>
      <c r="L2156" s="720" t="s">
        <v>13288</v>
      </c>
      <c r="M2156" s="720" t="s">
        <v>13293</v>
      </c>
      <c r="N2156" s="720" t="s">
        <v>9892</v>
      </c>
      <c r="O2156" s="1510">
        <v>3.0</v>
      </c>
      <c r="P2156" s="730" t="s">
        <v>13256</v>
      </c>
      <c r="Q2156" s="1507" t="str">
        <f t="array" ref="Q2156"> if(iserror(MATCH(V2156, 'File Links'!C:C, 0)), "N/A", HYPERLINK(INDEX('File Links'!B:B, MATCH(P2156, 'File Links'!C:C, 0))))</f>
        <v>https://drive.google.com/file/d/1FklynAHzflh7rbxQIU4qTxOz3VBhye8B/view?usp=drivesdk</v>
      </c>
      <c r="R2156" s="1508" t="s">
        <v>13257</v>
      </c>
      <c r="S2156" s="720" t="s">
        <v>13258</v>
      </c>
      <c r="T2156" s="1509"/>
      <c r="U2156" s="1970">
        <v>1.0</v>
      </c>
      <c r="V2156" s="730" t="s">
        <v>13259</v>
      </c>
      <c r="W2156" s="717"/>
      <c r="X2156" s="1511" t="str">
        <f t="array" ref="X2156"> if(iserror(MATCH(V2156, 'File Links'!C:C, 0)), "N/A", HYPERLINK(INDEX('File Links'!B:B, MATCH(V2156, 'File Links'!C:C, 0))))</f>
        <v>https://drive.google.com/file/d/1hYNUJrx3yjyMoTgcG7Qz4pix-8ruWFMC/view?usp=drivesdk</v>
      </c>
      <c r="Y2156" s="1428"/>
      <c r="Z2156" s="730" t="s">
        <v>226</v>
      </c>
      <c r="AA2156" s="720" t="s">
        <v>13260</v>
      </c>
      <c r="AB2156" s="730" t="s">
        <v>13294</v>
      </c>
      <c r="AC2156" s="730" t="s">
        <v>13302</v>
      </c>
      <c r="AD2156" s="717"/>
      <c r="AE2156" s="717"/>
      <c r="AF2156" s="1505">
        <v>631.0</v>
      </c>
      <c r="AG2156" s="1505">
        <v>0.22</v>
      </c>
      <c r="AH2156" s="730" t="s">
        <v>173</v>
      </c>
      <c r="AI2156" s="730">
        <v>9.0</v>
      </c>
      <c r="AJ2156" s="1505">
        <v>0.043</v>
      </c>
      <c r="AK2156" s="730" t="s">
        <v>135</v>
      </c>
      <c r="AL2156" s="730" t="s">
        <v>136</v>
      </c>
      <c r="AM2156" s="720" t="s">
        <v>137</v>
      </c>
      <c r="AN2156" s="720" t="s">
        <v>138</v>
      </c>
      <c r="AO2156" s="1505">
        <v>1446.0</v>
      </c>
      <c r="AP2156" s="1505">
        <v>-0.45</v>
      </c>
      <c r="AQ2156" s="730" t="s">
        <v>173</v>
      </c>
      <c r="AR2156" s="730">
        <v>10.0</v>
      </c>
      <c r="AS2156" s="1505">
        <v>0.001</v>
      </c>
      <c r="AT2156" s="730" t="s">
        <v>172</v>
      </c>
      <c r="AU2156" s="730" t="s">
        <v>136</v>
      </c>
      <c r="AV2156" s="720" t="s">
        <v>137</v>
      </c>
      <c r="AW2156" s="1973" t="s">
        <v>13263</v>
      </c>
      <c r="AX2156" s="720" t="s">
        <v>143</v>
      </c>
      <c r="AY2156" s="61" t="str">
        <f>IFERROR(__xludf.DUMMYFUNCTION("vlookup(BB2156,importrange(""https://docs.google.com/spreadsheets/d/1d2vevQ_7D_v35q4wCQ4RpQ_IPoTwEMB9Yp6ymwlPqew/edit?gid=984458430#gid=984458430"", ""'replication success'!A:K""), 11, FAlSE)"),"mixed")</f>
        <v>mixed</v>
      </c>
      <c r="AZ2156" s="61" t="str">
        <f>IFERROR(__xludf.DUMMYFUNCTION("vlookup(BB2156,importrange(""https://docs.google.com/spreadsheets/d/1d2vevQ_7D_v35q4wCQ4RpQ_IPoTwEMB9Yp6ymwlPqew/edit?gid=984458430#gid=984458430"",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6" s="61" t="str">
        <f>IFERROR(__xludf.DUMMYFUNCTION("vlookup(BB2156,importrange(""https://docs.google.com/spreadsheets/d/1d2vevQ_7D_v35q4wCQ4RpQ_IPoTwEMB9Yp6ymwlPqew/edit?gid=984458430#gid=984458430"", ""'replication success'!A:M""), 13, FAlSE)"),"abstract")</f>
        <v>abstract</v>
      </c>
      <c r="BB2156" s="61" t="str">
        <f>IFERROR(__xludf.DUMMYFUNCTION("REGEXREPLACE(G2156, ""_[a-z]{1,2}$"", """")"),"svodevelopment")</f>
        <v>svodevelopment</v>
      </c>
      <c r="BC2156" s="697"/>
      <c r="BD2156" s="716" t="s">
        <v>13264</v>
      </c>
      <c r="BE2156" s="342"/>
      <c r="BF2156" s="342"/>
      <c r="BG2156" s="342"/>
      <c r="BH2156" s="342"/>
      <c r="BI2156" s="342"/>
      <c r="BJ2156" s="342"/>
      <c r="BK2156" s="342"/>
      <c r="BL2156" s="342"/>
      <c r="BM2156" s="342"/>
      <c r="BN2156" s="342"/>
      <c r="BO2156" s="342"/>
      <c r="BP2156" s="342"/>
      <c r="BQ2156" s="342"/>
      <c r="BR2156" s="342"/>
      <c r="BS2156" s="342"/>
      <c r="BT2156" s="342"/>
      <c r="BU2156" s="342"/>
      <c r="BV2156" s="342"/>
      <c r="BW2156" s="342"/>
      <c r="BX2156" s="342"/>
      <c r="BY2156" s="342"/>
      <c r="BZ2156" s="342"/>
      <c r="CA2156" s="342"/>
      <c r="CB2156" s="342"/>
      <c r="CC2156" s="342"/>
      <c r="CD2156" s="342"/>
      <c r="CE2156" s="342"/>
      <c r="CF2156" s="342"/>
      <c r="CG2156" s="342"/>
      <c r="CH2156" s="342"/>
      <c r="CI2156" s="342"/>
      <c r="CJ2156" s="342"/>
      <c r="CK2156" s="342"/>
      <c r="CL2156" s="342"/>
      <c r="CM2156" s="342"/>
      <c r="CN2156" s="342"/>
      <c r="CO2156" s="342"/>
      <c r="CP2156" s="342"/>
      <c r="CQ2156" s="342"/>
      <c r="CR2156" s="342"/>
      <c r="CS2156" s="342"/>
      <c r="CT2156" s="342"/>
      <c r="CU2156" s="342"/>
      <c r="CV2156" s="342"/>
      <c r="CW2156" s="342"/>
      <c r="CX2156" s="342"/>
      <c r="CY2156" s="342"/>
      <c r="CZ2156" s="342"/>
      <c r="DA2156" s="342"/>
      <c r="DB2156" s="342"/>
      <c r="DC2156" s="342"/>
      <c r="DD2156" s="342"/>
      <c r="DE2156" s="342"/>
      <c r="DF2156" s="342"/>
      <c r="DG2156" s="342"/>
      <c r="DH2156" s="342"/>
      <c r="DI2156" s="342"/>
      <c r="DJ2156" s="342"/>
      <c r="DK2156" s="342"/>
      <c r="DL2156" s="342"/>
    </row>
    <row r="2157">
      <c r="A2157" s="44">
        <v>2157.0</v>
      </c>
      <c r="B2157" s="720" t="s">
        <v>152</v>
      </c>
      <c r="C2157" s="716" t="s">
        <v>115</v>
      </c>
      <c r="D2157" s="716" t="s">
        <v>2930</v>
      </c>
      <c r="E2157" s="697"/>
      <c r="F2157" s="720" t="s">
        <v>13300</v>
      </c>
      <c r="G2157" s="720" t="s">
        <v>13251</v>
      </c>
      <c r="H2157" s="730" t="s">
        <v>13265</v>
      </c>
      <c r="I2157" s="1505" t="s">
        <v>13296</v>
      </c>
      <c r="J2157" s="1506">
        <v>45828.0</v>
      </c>
      <c r="K2157" s="730" t="s">
        <v>13278</v>
      </c>
      <c r="L2157" s="720" t="s">
        <v>13288</v>
      </c>
      <c r="M2157" s="720" t="s">
        <v>13293</v>
      </c>
      <c r="N2157" s="720" t="s">
        <v>9892</v>
      </c>
      <c r="O2157" s="1510">
        <v>3.0</v>
      </c>
      <c r="P2157" s="730" t="s">
        <v>13256</v>
      </c>
      <c r="Q2157" s="1507" t="str">
        <f t="array" ref="Q2157"> if(iserror(MATCH(V2157, 'File Links'!C:C, 0)), "N/A", HYPERLINK(INDEX('File Links'!B:B, MATCH(P2157, 'File Links'!C:C, 0))))</f>
        <v>https://drive.google.com/file/d/1FklynAHzflh7rbxQIU4qTxOz3VBhye8B/view?usp=drivesdk</v>
      </c>
      <c r="R2157" s="1508" t="s">
        <v>13257</v>
      </c>
      <c r="S2157" s="720" t="s">
        <v>13258</v>
      </c>
      <c r="T2157" s="1974" t="s">
        <v>138</v>
      </c>
      <c r="U2157" s="1510">
        <v>1.0</v>
      </c>
      <c r="V2157" s="730" t="s">
        <v>13259</v>
      </c>
      <c r="W2157" s="730" t="s">
        <v>209</v>
      </c>
      <c r="X2157" s="1511" t="str">
        <f t="array" ref="X2157"> if(iserror(MATCH(V2157, 'File Links'!C:C, 0)), "N/A", HYPERLINK(INDEX('File Links'!B:B, MATCH(V2157, 'File Links'!C:C, 0))))</f>
        <v>https://drive.google.com/file/d/1hYNUJrx3yjyMoTgcG7Qz4pix-8ruWFMC/view?usp=drivesdk</v>
      </c>
      <c r="Y2157" s="1428"/>
      <c r="Z2157" s="730" t="s">
        <v>226</v>
      </c>
      <c r="AA2157" s="720" t="s">
        <v>13260</v>
      </c>
      <c r="AB2157" s="730" t="s">
        <v>13297</v>
      </c>
      <c r="AC2157" s="730" t="s">
        <v>13302</v>
      </c>
      <c r="AD2157" s="730" t="s">
        <v>13303</v>
      </c>
      <c r="AE2157" s="730">
        <v>7.0</v>
      </c>
      <c r="AF2157" s="1505">
        <v>631.0</v>
      </c>
      <c r="AG2157" s="1505">
        <v>0.219</v>
      </c>
      <c r="AH2157" s="730" t="s">
        <v>173</v>
      </c>
      <c r="AI2157" s="730" t="s">
        <v>132</v>
      </c>
      <c r="AJ2157" s="1505" t="s">
        <v>138</v>
      </c>
      <c r="AK2157" s="717"/>
      <c r="AL2157" s="730" t="s">
        <v>186</v>
      </c>
      <c r="AM2157" s="720" t="s">
        <v>137</v>
      </c>
      <c r="AN2157" s="720" t="s">
        <v>138</v>
      </c>
      <c r="AO2157" s="1505">
        <v>1446.0</v>
      </c>
      <c r="AP2157" s="1505">
        <v>1.14</v>
      </c>
      <c r="AQ2157" s="730" t="s">
        <v>722</v>
      </c>
      <c r="AR2157" s="730" t="s">
        <v>13299</v>
      </c>
      <c r="AS2157" s="1505">
        <v>0.075</v>
      </c>
      <c r="AT2157" s="730" t="s">
        <v>172</v>
      </c>
      <c r="AU2157" s="730" t="s">
        <v>186</v>
      </c>
      <c r="AV2157" s="720" t="s">
        <v>137</v>
      </c>
      <c r="AW2157" s="1973" t="s">
        <v>13263</v>
      </c>
      <c r="AX2157" s="720" t="s">
        <v>143</v>
      </c>
      <c r="AY2157" s="61" t="str">
        <f>IFERROR(__xludf.DUMMYFUNCTION("vlookup(BB2157,importrange(""https://docs.google.com/spreadsheets/d/1d2vevQ_7D_v35q4wCQ4RpQ_IPoTwEMB9Yp6ymwlPqew/edit?gid=984458430#gid=984458430"", ""'replication success'!A:K""), 11, FAlSE)"),"mixed")</f>
        <v>mixed</v>
      </c>
      <c r="AZ2157" s="61" t="str">
        <f>IFERROR(__xludf.DUMMYFUNCTION("vlookup(BB2157,importrange(""https://docs.google.com/spreadsheets/d/1d2vevQ_7D_v35q4wCQ4RpQ_IPoTwEMB9Yp6ymwlPqew/edit?gid=984458430#gid=984458430"",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7" s="61" t="str">
        <f>IFERROR(__xludf.DUMMYFUNCTION("vlookup(BB2157,importrange(""https://docs.google.com/spreadsheets/d/1d2vevQ_7D_v35q4wCQ4RpQ_IPoTwEMB9Yp6ymwlPqew/edit?gid=984458430#gid=984458430"", ""'replication success'!A:M""), 13, FAlSE)"),"abstract")</f>
        <v>abstract</v>
      </c>
      <c r="BB2157" s="61" t="str">
        <f>IFERROR(__xludf.DUMMYFUNCTION("REGEXREPLACE(G2157, ""_[a-z]{1,2}$"", """")"),"svodevelopment")</f>
        <v>svodevelopment</v>
      </c>
      <c r="BC2157" s="697"/>
      <c r="BD2157" s="716" t="s">
        <v>13264</v>
      </c>
      <c r="BE2157" s="342"/>
      <c r="BF2157" s="342"/>
      <c r="BG2157" s="342"/>
      <c r="BH2157" s="342"/>
      <c r="BI2157" s="342"/>
      <c r="BJ2157" s="342"/>
      <c r="BK2157" s="342"/>
      <c r="BL2157" s="342"/>
      <c r="BM2157" s="342"/>
      <c r="BN2157" s="342"/>
      <c r="BO2157" s="342"/>
      <c r="BP2157" s="342"/>
      <c r="BQ2157" s="342"/>
      <c r="BR2157" s="342"/>
      <c r="BS2157" s="342"/>
      <c r="BT2157" s="342"/>
      <c r="BU2157" s="342"/>
      <c r="BV2157" s="342"/>
      <c r="BW2157" s="342"/>
      <c r="BX2157" s="342"/>
      <c r="BY2157" s="342"/>
      <c r="BZ2157" s="342"/>
      <c r="CA2157" s="342"/>
      <c r="CB2157" s="342"/>
      <c r="CC2157" s="342"/>
      <c r="CD2157" s="342"/>
      <c r="CE2157" s="342"/>
      <c r="CF2157" s="342"/>
      <c r="CG2157" s="342"/>
      <c r="CH2157" s="342"/>
      <c r="CI2157" s="342"/>
      <c r="CJ2157" s="342"/>
      <c r="CK2157" s="342"/>
      <c r="CL2157" s="342"/>
      <c r="CM2157" s="342"/>
      <c r="CN2157" s="342"/>
      <c r="CO2157" s="342"/>
      <c r="CP2157" s="342"/>
      <c r="CQ2157" s="342"/>
      <c r="CR2157" s="342"/>
      <c r="CS2157" s="342"/>
      <c r="CT2157" s="342"/>
      <c r="CU2157" s="342"/>
      <c r="CV2157" s="342"/>
      <c r="CW2157" s="342"/>
      <c r="CX2157" s="342"/>
      <c r="CY2157" s="342"/>
      <c r="CZ2157" s="342"/>
      <c r="DA2157" s="342"/>
      <c r="DB2157" s="342"/>
      <c r="DC2157" s="342"/>
      <c r="DD2157" s="342"/>
      <c r="DE2157" s="342"/>
      <c r="DF2157" s="342"/>
      <c r="DG2157" s="342"/>
      <c r="DH2157" s="342"/>
      <c r="DI2157" s="342"/>
      <c r="DJ2157" s="342"/>
      <c r="DK2157" s="342"/>
      <c r="DL2157" s="342"/>
    </row>
    <row r="2158">
      <c r="A2158" s="44">
        <v>2158.0</v>
      </c>
      <c r="B2158" s="720" t="s">
        <v>114</v>
      </c>
      <c r="C2158" s="716" t="s">
        <v>115</v>
      </c>
      <c r="D2158" s="716" t="s">
        <v>221</v>
      </c>
      <c r="E2158" s="697"/>
      <c r="F2158" s="720" t="s">
        <v>13304</v>
      </c>
      <c r="G2158" s="720" t="s">
        <v>13251</v>
      </c>
      <c r="H2158" s="730" t="s">
        <v>222</v>
      </c>
      <c r="I2158" s="1505" t="s">
        <v>13252</v>
      </c>
      <c r="J2158" s="1506">
        <v>45828.0</v>
      </c>
      <c r="K2158" s="730" t="s">
        <v>13305</v>
      </c>
      <c r="L2158" s="720" t="s">
        <v>13288</v>
      </c>
      <c r="M2158" s="720" t="s">
        <v>13293</v>
      </c>
      <c r="N2158" s="720" t="s">
        <v>9892</v>
      </c>
      <c r="O2158" s="1510">
        <v>3.0</v>
      </c>
      <c r="P2158" s="730" t="s">
        <v>13256</v>
      </c>
      <c r="Q2158" s="1507" t="str">
        <f t="array" ref="Q2158"> if(iserror(MATCH(V2158, 'File Links'!C:C, 0)), "N/A", HYPERLINK(INDEX('File Links'!B:B, MATCH(P2158, 'File Links'!C:C, 0))))</f>
        <v>https://drive.google.com/file/d/1FklynAHzflh7rbxQIU4qTxOz3VBhye8B/view?usp=drivesdk</v>
      </c>
      <c r="R2158" s="1508" t="s">
        <v>13257</v>
      </c>
      <c r="S2158" s="720" t="s">
        <v>13258</v>
      </c>
      <c r="T2158" s="1509"/>
      <c r="U2158" s="1970">
        <v>1.0</v>
      </c>
      <c r="V2158" s="730" t="s">
        <v>13259</v>
      </c>
      <c r="W2158" s="717"/>
      <c r="X2158" s="1511" t="str">
        <f t="array" ref="X2158"> if(iserror(MATCH(V2158, 'File Links'!C:C, 0)), "N/A", HYPERLINK(INDEX('File Links'!B:B, MATCH(V2158, 'File Links'!C:C, 0))))</f>
        <v>https://drive.google.com/file/d/1hYNUJrx3yjyMoTgcG7Qz4pix-8ruWFMC/view?usp=drivesdk</v>
      </c>
      <c r="Y2158" s="1428"/>
      <c r="Z2158" s="730" t="s">
        <v>226</v>
      </c>
      <c r="AA2158" s="720" t="s">
        <v>13260</v>
      </c>
      <c r="AB2158" s="730" t="s">
        <v>13306</v>
      </c>
      <c r="AC2158" s="730" t="s">
        <v>13307</v>
      </c>
      <c r="AD2158" s="717"/>
      <c r="AE2158" s="717"/>
      <c r="AF2158" s="1505">
        <v>631.0</v>
      </c>
      <c r="AG2158" s="1505">
        <v>0.32</v>
      </c>
      <c r="AH2158" s="730" t="s">
        <v>173</v>
      </c>
      <c r="AI2158" s="730">
        <v>9.0</v>
      </c>
      <c r="AJ2158" s="1505">
        <v>0.024</v>
      </c>
      <c r="AK2158" s="730" t="s">
        <v>135</v>
      </c>
      <c r="AL2158" s="730" t="s">
        <v>136</v>
      </c>
      <c r="AM2158" s="720" t="s">
        <v>137</v>
      </c>
      <c r="AN2158" s="720" t="s">
        <v>138</v>
      </c>
      <c r="AO2158" s="1505">
        <v>1446.0</v>
      </c>
      <c r="AP2158" s="1505">
        <v>0.12</v>
      </c>
      <c r="AQ2158" s="730" t="s">
        <v>173</v>
      </c>
      <c r="AR2158" s="730">
        <v>10.0</v>
      </c>
      <c r="AS2158" s="1505">
        <v>0.001</v>
      </c>
      <c r="AT2158" s="730" t="s">
        <v>172</v>
      </c>
      <c r="AU2158" s="730" t="s">
        <v>136</v>
      </c>
      <c r="AV2158" s="720" t="s">
        <v>137</v>
      </c>
      <c r="AW2158" s="1973" t="s">
        <v>13263</v>
      </c>
      <c r="AX2158" s="720" t="s">
        <v>143</v>
      </c>
      <c r="AY2158" s="61" t="str">
        <f>IFERROR(__xludf.DUMMYFUNCTION("vlookup(BB2158,importrange(""https://docs.google.com/spreadsheets/d/1d2vevQ_7D_v35q4wCQ4RpQ_IPoTwEMB9Yp6ymwlPqew/edit?gid=984458430#gid=984458430"", ""'replication success'!A:K""), 11, FAlSE)"),"mixed")</f>
        <v>mixed</v>
      </c>
      <c r="AZ2158" s="61" t="str">
        <f>IFERROR(__xludf.DUMMYFUNCTION("vlookup(BB2158,importrange(""https://docs.google.com/spreadsheets/d/1d2vevQ_7D_v35q4wCQ4RpQ_IPoTwEMB9Yp6ymwlPqew/edit?gid=984458430#gid=984458430"",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8" s="61" t="str">
        <f>IFERROR(__xludf.DUMMYFUNCTION("vlookup(BB2158,importrange(""https://docs.google.com/spreadsheets/d/1d2vevQ_7D_v35q4wCQ4RpQ_IPoTwEMB9Yp6ymwlPqew/edit?gid=984458430#gid=984458430"", ""'replication success'!A:M""), 13, FAlSE)"),"abstract")</f>
        <v>abstract</v>
      </c>
      <c r="BB2158" s="61" t="str">
        <f>IFERROR(__xludf.DUMMYFUNCTION("REGEXREPLACE(G2158, ""_[a-z]{1,2}$"", """")"),"svodevelopment")</f>
        <v>svodevelopment</v>
      </c>
      <c r="BC2158" s="697"/>
      <c r="BD2158" s="716" t="s">
        <v>13264</v>
      </c>
      <c r="BE2158" s="342"/>
      <c r="BF2158" s="342"/>
      <c r="BG2158" s="342"/>
      <c r="BH2158" s="342"/>
      <c r="BI2158" s="342"/>
      <c r="BJ2158" s="342"/>
      <c r="BK2158" s="342"/>
      <c r="BL2158" s="342"/>
      <c r="BM2158" s="342"/>
      <c r="BN2158" s="342"/>
      <c r="BO2158" s="342"/>
      <c r="BP2158" s="342"/>
      <c r="BQ2158" s="342"/>
      <c r="BR2158" s="342"/>
      <c r="BS2158" s="342"/>
      <c r="BT2158" s="342"/>
      <c r="BU2158" s="342"/>
      <c r="BV2158" s="342"/>
      <c r="BW2158" s="342"/>
      <c r="BX2158" s="342"/>
      <c r="BY2158" s="342"/>
      <c r="BZ2158" s="342"/>
      <c r="CA2158" s="342"/>
      <c r="CB2158" s="342"/>
      <c r="CC2158" s="342"/>
      <c r="CD2158" s="342"/>
      <c r="CE2158" s="342"/>
      <c r="CF2158" s="342"/>
      <c r="CG2158" s="342"/>
      <c r="CH2158" s="342"/>
      <c r="CI2158" s="342"/>
      <c r="CJ2158" s="342"/>
      <c r="CK2158" s="342"/>
      <c r="CL2158" s="342"/>
      <c r="CM2158" s="342"/>
      <c r="CN2158" s="342"/>
      <c r="CO2158" s="342"/>
      <c r="CP2158" s="342"/>
      <c r="CQ2158" s="342"/>
      <c r="CR2158" s="342"/>
      <c r="CS2158" s="342"/>
      <c r="CT2158" s="342"/>
      <c r="CU2158" s="342"/>
      <c r="CV2158" s="342"/>
      <c r="CW2158" s="342"/>
      <c r="CX2158" s="342"/>
      <c r="CY2158" s="342"/>
      <c r="CZ2158" s="342"/>
      <c r="DA2158" s="342"/>
      <c r="DB2158" s="342"/>
      <c r="DC2158" s="342"/>
      <c r="DD2158" s="342"/>
      <c r="DE2158" s="342"/>
      <c r="DF2158" s="342"/>
      <c r="DG2158" s="342"/>
      <c r="DH2158" s="342"/>
      <c r="DI2158" s="342"/>
      <c r="DJ2158" s="342"/>
      <c r="DK2158" s="342"/>
      <c r="DL2158" s="342"/>
    </row>
    <row r="2159">
      <c r="A2159" s="44">
        <v>2159.0</v>
      </c>
      <c r="B2159" s="720" t="s">
        <v>152</v>
      </c>
      <c r="C2159" s="716" t="s">
        <v>115</v>
      </c>
      <c r="D2159" s="716" t="s">
        <v>2930</v>
      </c>
      <c r="E2159" s="697"/>
      <c r="F2159" s="720" t="s">
        <v>13304</v>
      </c>
      <c r="G2159" s="720" t="s">
        <v>13251</v>
      </c>
      <c r="H2159" s="730" t="s">
        <v>13265</v>
      </c>
      <c r="I2159" s="1505" t="s">
        <v>13296</v>
      </c>
      <c r="J2159" s="1506">
        <v>45828.0</v>
      </c>
      <c r="K2159" s="730" t="s">
        <v>13278</v>
      </c>
      <c r="L2159" s="720" t="s">
        <v>13288</v>
      </c>
      <c r="M2159" s="720" t="s">
        <v>13293</v>
      </c>
      <c r="N2159" s="720" t="s">
        <v>9892</v>
      </c>
      <c r="O2159" s="1510">
        <v>3.0</v>
      </c>
      <c r="P2159" s="730" t="s">
        <v>13256</v>
      </c>
      <c r="Q2159" s="1507" t="str">
        <f t="array" ref="Q2159"> if(iserror(MATCH(V2159, 'File Links'!C:C, 0)), "N/A", HYPERLINK(INDEX('File Links'!B:B, MATCH(P2159, 'File Links'!C:C, 0))))</f>
        <v>https://drive.google.com/file/d/1FklynAHzflh7rbxQIU4qTxOz3VBhye8B/view?usp=drivesdk</v>
      </c>
      <c r="R2159" s="1508" t="s">
        <v>13257</v>
      </c>
      <c r="S2159" s="720" t="s">
        <v>13258</v>
      </c>
      <c r="T2159" s="1974" t="s">
        <v>138</v>
      </c>
      <c r="U2159" s="1510">
        <v>1.0</v>
      </c>
      <c r="V2159" s="730" t="s">
        <v>13259</v>
      </c>
      <c r="W2159" s="730" t="s">
        <v>209</v>
      </c>
      <c r="X2159" s="1511" t="str">
        <f t="array" ref="X2159"> if(iserror(MATCH(V2159, 'File Links'!C:C, 0)), "N/A", HYPERLINK(INDEX('File Links'!B:B, MATCH(V2159, 'File Links'!C:C, 0))))</f>
        <v>https://drive.google.com/file/d/1hYNUJrx3yjyMoTgcG7Qz4pix-8ruWFMC/view?usp=drivesdk</v>
      </c>
      <c r="Y2159" s="1428"/>
      <c r="Z2159" s="730" t="s">
        <v>226</v>
      </c>
      <c r="AA2159" s="720" t="s">
        <v>13260</v>
      </c>
      <c r="AB2159" s="730" t="s">
        <v>13308</v>
      </c>
      <c r="AC2159" s="730" t="s">
        <v>13307</v>
      </c>
      <c r="AD2159" s="730" t="s">
        <v>13309</v>
      </c>
      <c r="AE2159" s="730">
        <v>8.0</v>
      </c>
      <c r="AF2159" s="1505">
        <v>631.0</v>
      </c>
      <c r="AG2159" s="1505">
        <v>0.321</v>
      </c>
      <c r="AH2159" s="730" t="s">
        <v>173</v>
      </c>
      <c r="AI2159" s="730" t="s">
        <v>613</v>
      </c>
      <c r="AJ2159" s="1505" t="s">
        <v>138</v>
      </c>
      <c r="AK2159" s="717"/>
      <c r="AL2159" s="730" t="s">
        <v>186</v>
      </c>
      <c r="AM2159" s="720" t="s">
        <v>137</v>
      </c>
      <c r="AN2159" s="720" t="s">
        <v>138</v>
      </c>
      <c r="AO2159" s="1505">
        <v>1446.0</v>
      </c>
      <c r="AP2159" s="1505">
        <v>1.14</v>
      </c>
      <c r="AQ2159" s="730" t="s">
        <v>722</v>
      </c>
      <c r="AR2159" s="730" t="s">
        <v>13299</v>
      </c>
      <c r="AS2159" s="1505">
        <v>0.121</v>
      </c>
      <c r="AT2159" s="730" t="s">
        <v>172</v>
      </c>
      <c r="AU2159" s="730" t="s">
        <v>186</v>
      </c>
      <c r="AV2159" s="720" t="s">
        <v>137</v>
      </c>
      <c r="AW2159" s="1973" t="s">
        <v>13263</v>
      </c>
      <c r="AX2159" s="1115" t="s">
        <v>438</v>
      </c>
      <c r="AY2159" s="61" t="str">
        <f>IFERROR(__xludf.DUMMYFUNCTION("vlookup(BB2159,importrange(""https://docs.google.com/spreadsheets/d/1d2vevQ_7D_v35q4wCQ4RpQ_IPoTwEMB9Yp6ymwlPqew/edit?gid=984458430#gid=984458430"", ""'replication success'!A:K""), 11, FAlSE)"),"mixed")</f>
        <v>mixed</v>
      </c>
      <c r="AZ2159" s="61" t="str">
        <f>IFERROR(__xludf.DUMMYFUNCTION("vlookup(BB2159,importrange(""https://docs.google.com/spreadsheets/d/1d2vevQ_7D_v35q4wCQ4RpQ_IPoTwEMB9Yp6ymwlPqew/edit?gid=984458430#gid=984458430"",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59" s="61" t="str">
        <f>IFERROR(__xludf.DUMMYFUNCTION("vlookup(BB2159,importrange(""https://docs.google.com/spreadsheets/d/1d2vevQ_7D_v35q4wCQ4RpQ_IPoTwEMB9Yp6ymwlPqew/edit?gid=984458430#gid=984458430"", ""'replication success'!A:M""), 13, FAlSE)"),"abstract")</f>
        <v>abstract</v>
      </c>
      <c r="BB2159" s="61" t="str">
        <f>IFERROR(__xludf.DUMMYFUNCTION("REGEXREPLACE(G2159, ""_[a-z]{1,2}$"", """")"),"svodevelopment")</f>
        <v>svodevelopment</v>
      </c>
      <c r="BC2159" s="697"/>
      <c r="BD2159" s="716" t="s">
        <v>13264</v>
      </c>
      <c r="BE2159" s="342"/>
      <c r="BF2159" s="342"/>
      <c r="BG2159" s="342"/>
      <c r="BH2159" s="342"/>
      <c r="BI2159" s="342"/>
      <c r="BJ2159" s="342"/>
      <c r="BK2159" s="342"/>
      <c r="BL2159" s="342"/>
      <c r="BM2159" s="342"/>
      <c r="BN2159" s="342"/>
      <c r="BO2159" s="342"/>
      <c r="BP2159" s="342"/>
      <c r="BQ2159" s="342"/>
      <c r="BR2159" s="342"/>
      <c r="BS2159" s="342"/>
      <c r="BT2159" s="342"/>
      <c r="BU2159" s="342"/>
      <c r="BV2159" s="342"/>
      <c r="BW2159" s="342"/>
      <c r="BX2159" s="342"/>
      <c r="BY2159" s="342"/>
      <c r="BZ2159" s="342"/>
      <c r="CA2159" s="342"/>
      <c r="CB2159" s="342"/>
      <c r="CC2159" s="342"/>
      <c r="CD2159" s="342"/>
      <c r="CE2159" s="342"/>
      <c r="CF2159" s="342"/>
      <c r="CG2159" s="342"/>
      <c r="CH2159" s="342"/>
      <c r="CI2159" s="342"/>
      <c r="CJ2159" s="342"/>
      <c r="CK2159" s="342"/>
      <c r="CL2159" s="342"/>
      <c r="CM2159" s="342"/>
      <c r="CN2159" s="342"/>
      <c r="CO2159" s="342"/>
      <c r="CP2159" s="342"/>
      <c r="CQ2159" s="342"/>
      <c r="CR2159" s="342"/>
      <c r="CS2159" s="342"/>
      <c r="CT2159" s="342"/>
      <c r="CU2159" s="342"/>
      <c r="CV2159" s="342"/>
      <c r="CW2159" s="342"/>
      <c r="CX2159" s="342"/>
      <c r="CY2159" s="342"/>
      <c r="CZ2159" s="342"/>
      <c r="DA2159" s="342"/>
      <c r="DB2159" s="342"/>
      <c r="DC2159" s="342"/>
      <c r="DD2159" s="342"/>
      <c r="DE2159" s="342"/>
      <c r="DF2159" s="342"/>
      <c r="DG2159" s="342"/>
      <c r="DH2159" s="342"/>
      <c r="DI2159" s="342"/>
      <c r="DJ2159" s="342"/>
      <c r="DK2159" s="342"/>
      <c r="DL2159" s="342"/>
    </row>
    <row r="2160">
      <c r="A2160" s="44">
        <v>2160.0</v>
      </c>
      <c r="B2160" s="1977" t="s">
        <v>114</v>
      </c>
      <c r="C2160" s="1978" t="s">
        <v>115</v>
      </c>
      <c r="D2160" s="1978" t="s">
        <v>221</v>
      </c>
      <c r="E2160" s="1979"/>
      <c r="F2160" s="1977" t="s">
        <v>13310</v>
      </c>
      <c r="G2160" s="1977" t="s">
        <v>13251</v>
      </c>
      <c r="H2160" s="1980" t="s">
        <v>222</v>
      </c>
      <c r="I2160" s="1975" t="s">
        <v>13252</v>
      </c>
      <c r="J2160" s="1981">
        <v>45828.0</v>
      </c>
      <c r="K2160" s="1980" t="s">
        <v>13311</v>
      </c>
      <c r="L2160" s="1977" t="s">
        <v>13288</v>
      </c>
      <c r="M2160" s="1977" t="s">
        <v>13293</v>
      </c>
      <c r="N2160" s="1977" t="s">
        <v>9892</v>
      </c>
      <c r="O2160" s="1982">
        <v>3.0</v>
      </c>
      <c r="P2160" s="1980" t="s">
        <v>13256</v>
      </c>
      <c r="Q2160" s="1983" t="str">
        <f t="array" ref="Q2160"> if(iserror(MATCH(V2160, 'File Links'!C:C, 0)), "N/A", HYPERLINK(INDEX('File Links'!B:B, MATCH(P2160, 'File Links'!C:C, 0))))</f>
        <v>https://drive.google.com/file/d/1FklynAHzflh7rbxQIU4qTxOz3VBhye8B/view?usp=drivesdk</v>
      </c>
      <c r="R2160" s="1977" t="s">
        <v>13257</v>
      </c>
      <c r="S2160" s="1977" t="s">
        <v>13258</v>
      </c>
      <c r="T2160" s="1984"/>
      <c r="U2160" s="1982">
        <v>1.0</v>
      </c>
      <c r="V2160" s="1980" t="s">
        <v>13259</v>
      </c>
      <c r="W2160" s="1985"/>
      <c r="X2160" s="1986" t="str">
        <f t="array" ref="X2160"> if(iserror(MATCH(V2160, 'File Links'!C:C, 0)), "N/A", HYPERLINK(INDEX('File Links'!B:B, MATCH(V2160, 'File Links'!C:C, 0))))</f>
        <v>https://drive.google.com/file/d/1hYNUJrx3yjyMoTgcG7Qz4pix-8ruWFMC/view?usp=drivesdk</v>
      </c>
      <c r="Y2160" s="1987"/>
      <c r="Z2160" s="1980" t="s">
        <v>226</v>
      </c>
      <c r="AA2160" s="1977" t="s">
        <v>13260</v>
      </c>
      <c r="AB2160" s="1980" t="s">
        <v>13306</v>
      </c>
      <c r="AC2160" s="1980" t="s">
        <v>13312</v>
      </c>
      <c r="AD2160" s="1985"/>
      <c r="AE2160" s="1985"/>
      <c r="AF2160" s="1975">
        <v>631.0</v>
      </c>
      <c r="AG2160" s="1975">
        <v>0.28</v>
      </c>
      <c r="AH2160" s="1980" t="s">
        <v>173</v>
      </c>
      <c r="AI2160" s="1980">
        <v>9.0</v>
      </c>
      <c r="AJ2160" s="1975">
        <v>0.024</v>
      </c>
      <c r="AK2160" s="1980" t="s">
        <v>135</v>
      </c>
      <c r="AL2160" s="1980" t="s">
        <v>136</v>
      </c>
      <c r="AM2160" s="1977" t="s">
        <v>137</v>
      </c>
      <c r="AN2160" s="1977" t="s">
        <v>138</v>
      </c>
      <c r="AO2160" s="1975">
        <v>1446.0</v>
      </c>
      <c r="AP2160" s="1975">
        <v>-0.3</v>
      </c>
      <c r="AQ2160" s="1980" t="s">
        <v>173</v>
      </c>
      <c r="AR2160" s="1980">
        <v>10.0</v>
      </c>
      <c r="AS2160" s="1975">
        <v>0.001</v>
      </c>
      <c r="AT2160" s="1980" t="s">
        <v>172</v>
      </c>
      <c r="AU2160" s="1980" t="s">
        <v>136</v>
      </c>
      <c r="AV2160" s="1977" t="s">
        <v>137</v>
      </c>
      <c r="AW2160" s="1973" t="s">
        <v>13263</v>
      </c>
      <c r="AX2160" s="1977" t="s">
        <v>143</v>
      </c>
      <c r="AY2160" s="61" t="str">
        <f>IFERROR(__xludf.DUMMYFUNCTION("vlookup(BB2160,importrange(""https://docs.google.com/spreadsheets/d/1d2vevQ_7D_v35q4wCQ4RpQ_IPoTwEMB9Yp6ymwlPqew/edit?gid=984458430#gid=984458430"", ""'replication success'!A:K""), 11, FAlSE)"),"mixed")</f>
        <v>mixed</v>
      </c>
      <c r="AZ2160" s="61" t="str">
        <f>IFERROR(__xludf.DUMMYFUNCTION("vlookup(BB2160,importrange(""https://docs.google.com/spreadsheets/d/1d2vevQ_7D_v35q4wCQ4RpQ_IPoTwEMB9Yp6ymwlPqew/edit?gid=984458430#gid=984458430"",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0" s="61" t="str">
        <f>IFERROR(__xludf.DUMMYFUNCTION("vlookup(BB2160,importrange(""https://docs.google.com/spreadsheets/d/1d2vevQ_7D_v35q4wCQ4RpQ_IPoTwEMB9Yp6ymwlPqew/edit?gid=984458430#gid=984458430"", ""'replication success'!A:M""), 13, FAlSE)"),"abstract")</f>
        <v>abstract</v>
      </c>
      <c r="BB2160" s="61" t="str">
        <f>IFERROR(__xludf.DUMMYFUNCTION("REGEXREPLACE(G2160, ""_[a-z]{1,2}$"", """")"),"svodevelopment")</f>
        <v>svodevelopment</v>
      </c>
      <c r="BC2160" s="1979"/>
      <c r="BD2160" s="1978" t="s">
        <v>13264</v>
      </c>
      <c r="BE2160" s="1988"/>
      <c r="BF2160" s="1988"/>
      <c r="BG2160" s="1988"/>
      <c r="BH2160" s="1988"/>
      <c r="BI2160" s="1988"/>
      <c r="BJ2160" s="1988"/>
      <c r="BK2160" s="1988"/>
      <c r="BL2160" s="1988"/>
      <c r="BM2160" s="1988"/>
      <c r="BN2160" s="1988"/>
      <c r="BO2160" s="1988"/>
      <c r="BP2160" s="1988"/>
      <c r="BQ2160" s="1988"/>
      <c r="BR2160" s="1988"/>
      <c r="BS2160" s="1988"/>
      <c r="BT2160" s="1988"/>
      <c r="BU2160" s="1988"/>
      <c r="BV2160" s="1988"/>
      <c r="BW2160" s="1988"/>
      <c r="BX2160" s="1988"/>
      <c r="BY2160" s="1988"/>
      <c r="BZ2160" s="1988"/>
      <c r="CA2160" s="1988"/>
      <c r="CB2160" s="1988"/>
      <c r="CC2160" s="1988"/>
      <c r="CD2160" s="1988"/>
      <c r="CE2160" s="1988"/>
      <c r="CF2160" s="1988"/>
      <c r="CG2160" s="1988"/>
      <c r="CH2160" s="1988"/>
      <c r="CI2160" s="1988"/>
      <c r="CJ2160" s="1988"/>
      <c r="CK2160" s="1988"/>
      <c r="CL2160" s="1988"/>
      <c r="CM2160" s="1988"/>
      <c r="CN2160" s="1988"/>
      <c r="CO2160" s="1988"/>
      <c r="CP2160" s="1988"/>
      <c r="CQ2160" s="1988"/>
      <c r="CR2160" s="1988"/>
      <c r="CS2160" s="1988"/>
      <c r="CT2160" s="1988"/>
      <c r="CU2160" s="1988"/>
      <c r="CV2160" s="1988"/>
      <c r="CW2160" s="1988"/>
      <c r="CX2160" s="1988"/>
      <c r="CY2160" s="1988"/>
      <c r="CZ2160" s="1988"/>
      <c r="DA2160" s="1988"/>
      <c r="DB2160" s="1988"/>
      <c r="DC2160" s="1988"/>
      <c r="DD2160" s="1988"/>
      <c r="DE2160" s="1988"/>
      <c r="DF2160" s="1988"/>
      <c r="DG2160" s="1988"/>
      <c r="DH2160" s="1988"/>
      <c r="DI2160" s="1988"/>
      <c r="DJ2160" s="1988"/>
      <c r="DK2160" s="1988"/>
      <c r="DL2160" s="1988"/>
    </row>
    <row r="2161">
      <c r="A2161" s="44">
        <v>2161.0</v>
      </c>
      <c r="B2161" s="1977" t="s">
        <v>152</v>
      </c>
      <c r="C2161" s="1978" t="s">
        <v>115</v>
      </c>
      <c r="D2161" s="1978" t="s">
        <v>2930</v>
      </c>
      <c r="E2161" s="1979"/>
      <c r="F2161" s="1977" t="s">
        <v>13310</v>
      </c>
      <c r="G2161" s="1977" t="s">
        <v>13251</v>
      </c>
      <c r="H2161" s="1980" t="s">
        <v>13265</v>
      </c>
      <c r="I2161" s="1975" t="s">
        <v>13296</v>
      </c>
      <c r="J2161" s="1981">
        <v>45828.0</v>
      </c>
      <c r="K2161" s="1980" t="s">
        <v>13278</v>
      </c>
      <c r="L2161" s="1977" t="s">
        <v>13288</v>
      </c>
      <c r="M2161" s="1977" t="s">
        <v>13293</v>
      </c>
      <c r="N2161" s="1977" t="s">
        <v>9892</v>
      </c>
      <c r="O2161" s="1982">
        <v>3.0</v>
      </c>
      <c r="P2161" s="1980" t="s">
        <v>13256</v>
      </c>
      <c r="Q2161" s="1983" t="str">
        <f t="array" ref="Q2161"> if(iserror(MATCH(V2161, 'File Links'!C:C, 0)), "N/A", HYPERLINK(INDEX('File Links'!B:B, MATCH(P2161, 'File Links'!C:C, 0))))</f>
        <v>https://drive.google.com/file/d/1FklynAHzflh7rbxQIU4qTxOz3VBhye8B/view?usp=drivesdk</v>
      </c>
      <c r="R2161" s="1977" t="s">
        <v>13257</v>
      </c>
      <c r="S2161" s="1977" t="s">
        <v>13258</v>
      </c>
      <c r="T2161" s="1989" t="s">
        <v>138</v>
      </c>
      <c r="U2161" s="1982">
        <v>1.0</v>
      </c>
      <c r="V2161" s="1980" t="s">
        <v>13259</v>
      </c>
      <c r="W2161" s="1980" t="s">
        <v>209</v>
      </c>
      <c r="X2161" s="1986" t="str">
        <f t="array" ref="X2161"> if(iserror(MATCH(V2161, 'File Links'!C:C, 0)), "N/A", HYPERLINK(INDEX('File Links'!B:B, MATCH(V2161, 'File Links'!C:C, 0))))</f>
        <v>https://drive.google.com/file/d/1hYNUJrx3yjyMoTgcG7Qz4pix-8ruWFMC/view?usp=drivesdk</v>
      </c>
      <c r="Y2161" s="1987"/>
      <c r="Z2161" s="1980" t="s">
        <v>226</v>
      </c>
      <c r="AA2161" s="1977" t="s">
        <v>13260</v>
      </c>
      <c r="AB2161" s="1980" t="s">
        <v>13308</v>
      </c>
      <c r="AC2161" s="1980" t="s">
        <v>13312</v>
      </c>
      <c r="AD2161" s="1980" t="s">
        <v>13313</v>
      </c>
      <c r="AE2161" s="1980">
        <v>8.0</v>
      </c>
      <c r="AF2161" s="1975">
        <v>631.0</v>
      </c>
      <c r="AG2161" s="1975">
        <v>0.285</v>
      </c>
      <c r="AH2161" s="1980" t="s">
        <v>173</v>
      </c>
      <c r="AI2161" s="1980" t="s">
        <v>613</v>
      </c>
      <c r="AJ2161" s="1975" t="s">
        <v>138</v>
      </c>
      <c r="AK2161" s="1985"/>
      <c r="AL2161" s="1980" t="s">
        <v>186</v>
      </c>
      <c r="AM2161" s="1977" t="s">
        <v>137</v>
      </c>
      <c r="AN2161" s="1977" t="s">
        <v>138</v>
      </c>
      <c r="AO2161" s="1975">
        <v>1446.0</v>
      </c>
      <c r="AP2161" s="1975">
        <v>1.14</v>
      </c>
      <c r="AQ2161" s="1980" t="s">
        <v>722</v>
      </c>
      <c r="AR2161" s="1980" t="s">
        <v>13299</v>
      </c>
      <c r="AS2161" s="1975">
        <v>0.121</v>
      </c>
      <c r="AT2161" s="1980" t="s">
        <v>172</v>
      </c>
      <c r="AU2161" s="1980" t="s">
        <v>186</v>
      </c>
      <c r="AV2161" s="1977" t="s">
        <v>137</v>
      </c>
      <c r="AW2161" s="1973" t="s">
        <v>13263</v>
      </c>
      <c r="AX2161" s="1115" t="s">
        <v>438</v>
      </c>
      <c r="AY2161" s="61" t="str">
        <f>IFERROR(__xludf.DUMMYFUNCTION("vlookup(BB2161,importrange(""https://docs.google.com/spreadsheets/d/1d2vevQ_7D_v35q4wCQ4RpQ_IPoTwEMB9Yp6ymwlPqew/edit?gid=984458430#gid=984458430"", ""'replication success'!A:K""), 11, FAlSE)"),"mixed")</f>
        <v>mixed</v>
      </c>
      <c r="AZ2161" s="61" t="str">
        <f>IFERROR(__xludf.DUMMYFUNCTION("vlookup(BB2161,importrange(""https://docs.google.com/spreadsheets/d/1d2vevQ_7D_v35q4wCQ4RpQ_IPoTwEMB9Yp6ymwlPqew/edit?gid=984458430#gid=984458430"",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1" s="61" t="str">
        <f>IFERROR(__xludf.DUMMYFUNCTION("vlookup(BB2161,importrange(""https://docs.google.com/spreadsheets/d/1d2vevQ_7D_v35q4wCQ4RpQ_IPoTwEMB9Yp6ymwlPqew/edit?gid=984458430#gid=984458430"", ""'replication success'!A:M""), 13, FAlSE)"),"abstract")</f>
        <v>abstract</v>
      </c>
      <c r="BB2161" s="61" t="str">
        <f>IFERROR(__xludf.DUMMYFUNCTION("REGEXREPLACE(G2161, ""_[a-z]{1,2}$"", """")"),"svodevelopment")</f>
        <v>svodevelopment</v>
      </c>
      <c r="BC2161" s="1979"/>
      <c r="BD2161" s="1978" t="s">
        <v>13264</v>
      </c>
      <c r="BE2161" s="1988"/>
      <c r="BF2161" s="1988"/>
      <c r="BG2161" s="1988"/>
      <c r="BH2161" s="1988"/>
      <c r="BI2161" s="1988"/>
      <c r="BJ2161" s="1988"/>
      <c r="BK2161" s="1988"/>
      <c r="BL2161" s="1988"/>
      <c r="BM2161" s="1988"/>
      <c r="BN2161" s="1988"/>
      <c r="BO2161" s="1988"/>
      <c r="BP2161" s="1988"/>
      <c r="BQ2161" s="1988"/>
      <c r="BR2161" s="1988"/>
      <c r="BS2161" s="1988"/>
      <c r="BT2161" s="1988"/>
      <c r="BU2161" s="1988"/>
      <c r="BV2161" s="1988"/>
      <c r="BW2161" s="1988"/>
      <c r="BX2161" s="1988"/>
      <c r="BY2161" s="1988"/>
      <c r="BZ2161" s="1988"/>
      <c r="CA2161" s="1988"/>
      <c r="CB2161" s="1988"/>
      <c r="CC2161" s="1988"/>
      <c r="CD2161" s="1988"/>
      <c r="CE2161" s="1988"/>
      <c r="CF2161" s="1988"/>
      <c r="CG2161" s="1988"/>
      <c r="CH2161" s="1988"/>
      <c r="CI2161" s="1988"/>
      <c r="CJ2161" s="1988"/>
      <c r="CK2161" s="1988"/>
      <c r="CL2161" s="1988"/>
      <c r="CM2161" s="1988"/>
      <c r="CN2161" s="1988"/>
      <c r="CO2161" s="1988"/>
      <c r="CP2161" s="1988"/>
      <c r="CQ2161" s="1988"/>
      <c r="CR2161" s="1988"/>
      <c r="CS2161" s="1988"/>
      <c r="CT2161" s="1988"/>
      <c r="CU2161" s="1988"/>
      <c r="CV2161" s="1988"/>
      <c r="CW2161" s="1988"/>
      <c r="CX2161" s="1988"/>
      <c r="CY2161" s="1988"/>
      <c r="CZ2161" s="1988"/>
      <c r="DA2161" s="1988"/>
      <c r="DB2161" s="1988"/>
      <c r="DC2161" s="1988"/>
      <c r="DD2161" s="1988"/>
      <c r="DE2161" s="1988"/>
      <c r="DF2161" s="1988"/>
      <c r="DG2161" s="1988"/>
      <c r="DH2161" s="1988"/>
      <c r="DI2161" s="1988"/>
      <c r="DJ2161" s="1988"/>
      <c r="DK2161" s="1988"/>
      <c r="DL2161" s="1988"/>
    </row>
    <row r="2162">
      <c r="A2162" s="44">
        <v>2162.0</v>
      </c>
      <c r="B2162" s="720" t="s">
        <v>114</v>
      </c>
      <c r="C2162" s="716" t="s">
        <v>115</v>
      </c>
      <c r="D2162" s="716" t="s">
        <v>221</v>
      </c>
      <c r="E2162" s="697"/>
      <c r="F2162" s="720" t="s">
        <v>13314</v>
      </c>
      <c r="G2162" s="720" t="s">
        <v>13251</v>
      </c>
      <c r="H2162" s="730" t="s">
        <v>222</v>
      </c>
      <c r="I2162" s="1505" t="s">
        <v>13252</v>
      </c>
      <c r="J2162" s="1506">
        <v>45828.0</v>
      </c>
      <c r="K2162" s="730" t="s">
        <v>13315</v>
      </c>
      <c r="L2162" s="720" t="s">
        <v>13288</v>
      </c>
      <c r="M2162" s="720" t="s">
        <v>13293</v>
      </c>
      <c r="N2162" s="720" t="s">
        <v>9892</v>
      </c>
      <c r="O2162" s="1510">
        <v>3.0</v>
      </c>
      <c r="P2162" s="730" t="s">
        <v>13256</v>
      </c>
      <c r="Q2162" s="1507" t="str">
        <f t="array" ref="Q2162"> if(iserror(MATCH(V2162, 'File Links'!C:C, 0)), "N/A", HYPERLINK(INDEX('File Links'!B:B, MATCH(P2162, 'File Links'!C:C, 0))))</f>
        <v>https://drive.google.com/file/d/1FklynAHzflh7rbxQIU4qTxOz3VBhye8B/view?usp=drivesdk</v>
      </c>
      <c r="R2162" s="1508" t="s">
        <v>13257</v>
      </c>
      <c r="S2162" s="720" t="s">
        <v>13258</v>
      </c>
      <c r="T2162" s="1509"/>
      <c r="U2162" s="1970">
        <v>1.0</v>
      </c>
      <c r="V2162" s="730" t="s">
        <v>13259</v>
      </c>
      <c r="W2162" s="717"/>
      <c r="X2162" s="1511" t="str">
        <f t="array" ref="X2162"> if(iserror(MATCH(V2162, 'File Links'!C:C, 0)), "N/A", HYPERLINK(INDEX('File Links'!B:B, MATCH(V2162, 'File Links'!C:C, 0))))</f>
        <v>https://drive.google.com/file/d/1hYNUJrx3yjyMoTgcG7Qz4pix-8ruWFMC/view?usp=drivesdk</v>
      </c>
      <c r="Y2162" s="1428"/>
      <c r="Z2162" s="730" t="s">
        <v>226</v>
      </c>
      <c r="AA2162" s="720" t="s">
        <v>13260</v>
      </c>
      <c r="AB2162" s="730" t="s">
        <v>13179</v>
      </c>
      <c r="AC2162" s="730" t="s">
        <v>13316</v>
      </c>
      <c r="AD2162" s="717"/>
      <c r="AE2162" s="717"/>
      <c r="AF2162" s="1505">
        <v>631.0</v>
      </c>
      <c r="AG2162" s="1505">
        <v>0.28</v>
      </c>
      <c r="AH2162" s="730" t="s">
        <v>173</v>
      </c>
      <c r="AI2162" s="730">
        <v>9.0</v>
      </c>
      <c r="AJ2162" s="1505">
        <v>0.035</v>
      </c>
      <c r="AK2162" s="730" t="s">
        <v>135</v>
      </c>
      <c r="AL2162" s="730" t="s">
        <v>136</v>
      </c>
      <c r="AM2162" s="720" t="s">
        <v>137</v>
      </c>
      <c r="AN2162" s="720" t="s">
        <v>138</v>
      </c>
      <c r="AO2162" s="1505">
        <v>1446.0</v>
      </c>
      <c r="AP2162" s="1505">
        <v>0.05</v>
      </c>
      <c r="AQ2162" s="730" t="s">
        <v>173</v>
      </c>
      <c r="AR2162" s="730">
        <v>10.0</v>
      </c>
      <c r="AS2162" s="1505">
        <v>0.001</v>
      </c>
      <c r="AT2162" s="730" t="s">
        <v>172</v>
      </c>
      <c r="AU2162" s="730" t="s">
        <v>136</v>
      </c>
      <c r="AV2162" s="720" t="s">
        <v>137</v>
      </c>
      <c r="AW2162" s="1973" t="s">
        <v>13263</v>
      </c>
      <c r="AX2162" s="720" t="s">
        <v>143</v>
      </c>
      <c r="AY2162" s="61" t="str">
        <f>IFERROR(__xludf.DUMMYFUNCTION("vlookup(BB2162,importrange(""https://docs.google.com/spreadsheets/d/1d2vevQ_7D_v35q4wCQ4RpQ_IPoTwEMB9Yp6ymwlPqew/edit?gid=984458430#gid=984458430"", ""'replication success'!A:K""), 11, FAlSE)"),"mixed")</f>
        <v>mixed</v>
      </c>
      <c r="AZ2162" s="61" t="str">
        <f>IFERROR(__xludf.DUMMYFUNCTION("vlookup(BB2162,importrange(""https://docs.google.com/spreadsheets/d/1d2vevQ_7D_v35q4wCQ4RpQ_IPoTwEMB9Yp6ymwlPqew/edit?gid=984458430#gid=984458430"",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2" s="61" t="str">
        <f>IFERROR(__xludf.DUMMYFUNCTION("vlookup(BB2162,importrange(""https://docs.google.com/spreadsheets/d/1d2vevQ_7D_v35q4wCQ4RpQ_IPoTwEMB9Yp6ymwlPqew/edit?gid=984458430#gid=984458430"", ""'replication success'!A:M""), 13, FAlSE)"),"abstract")</f>
        <v>abstract</v>
      </c>
      <c r="BB2162" s="61" t="str">
        <f>IFERROR(__xludf.DUMMYFUNCTION("REGEXREPLACE(G2162, ""_[a-z]{1,2}$"", """")"),"svodevelopment")</f>
        <v>svodevelopment</v>
      </c>
      <c r="BC2162" s="697"/>
      <c r="BD2162" s="716" t="s">
        <v>13264</v>
      </c>
      <c r="BE2162" s="342"/>
      <c r="BF2162" s="342"/>
      <c r="BG2162" s="342"/>
      <c r="BH2162" s="342"/>
      <c r="BI2162" s="342"/>
      <c r="BJ2162" s="342"/>
      <c r="BK2162" s="342"/>
      <c r="BL2162" s="342"/>
      <c r="BM2162" s="342"/>
      <c r="BN2162" s="342"/>
      <c r="BO2162" s="342"/>
      <c r="BP2162" s="342"/>
      <c r="BQ2162" s="342"/>
      <c r="BR2162" s="342"/>
      <c r="BS2162" s="342"/>
      <c r="BT2162" s="342"/>
      <c r="BU2162" s="342"/>
      <c r="BV2162" s="342"/>
      <c r="BW2162" s="342"/>
      <c r="BX2162" s="342"/>
      <c r="BY2162" s="342"/>
      <c r="BZ2162" s="342"/>
      <c r="CA2162" s="342"/>
      <c r="CB2162" s="342"/>
      <c r="CC2162" s="342"/>
      <c r="CD2162" s="342"/>
      <c r="CE2162" s="342"/>
      <c r="CF2162" s="342"/>
      <c r="CG2162" s="342"/>
      <c r="CH2162" s="342"/>
      <c r="CI2162" s="342"/>
      <c r="CJ2162" s="342"/>
      <c r="CK2162" s="342"/>
      <c r="CL2162" s="342"/>
      <c r="CM2162" s="342"/>
      <c r="CN2162" s="342"/>
      <c r="CO2162" s="342"/>
      <c r="CP2162" s="342"/>
      <c r="CQ2162" s="342"/>
      <c r="CR2162" s="342"/>
      <c r="CS2162" s="342"/>
      <c r="CT2162" s="342"/>
      <c r="CU2162" s="342"/>
      <c r="CV2162" s="342"/>
      <c r="CW2162" s="342"/>
      <c r="CX2162" s="342"/>
      <c r="CY2162" s="342"/>
      <c r="CZ2162" s="342"/>
      <c r="DA2162" s="342"/>
      <c r="DB2162" s="342"/>
      <c r="DC2162" s="342"/>
      <c r="DD2162" s="342"/>
      <c r="DE2162" s="342"/>
      <c r="DF2162" s="342"/>
      <c r="DG2162" s="342"/>
      <c r="DH2162" s="342"/>
      <c r="DI2162" s="342"/>
      <c r="DJ2162" s="342"/>
      <c r="DK2162" s="342"/>
      <c r="DL2162" s="342"/>
    </row>
    <row r="2163">
      <c r="A2163" s="44">
        <v>2163.0</v>
      </c>
      <c r="B2163" s="720" t="s">
        <v>152</v>
      </c>
      <c r="C2163" s="716" t="s">
        <v>115</v>
      </c>
      <c r="D2163" s="716" t="s">
        <v>2930</v>
      </c>
      <c r="E2163" s="697"/>
      <c r="F2163" s="720" t="s">
        <v>13314</v>
      </c>
      <c r="G2163" s="720" t="s">
        <v>13251</v>
      </c>
      <c r="H2163" s="730" t="s">
        <v>13265</v>
      </c>
      <c r="I2163" s="1505" t="s">
        <v>13296</v>
      </c>
      <c r="J2163" s="1506">
        <v>45828.0</v>
      </c>
      <c r="K2163" s="730" t="s">
        <v>13278</v>
      </c>
      <c r="L2163" s="720" t="s">
        <v>13288</v>
      </c>
      <c r="M2163" s="720" t="s">
        <v>13293</v>
      </c>
      <c r="N2163" s="720" t="s">
        <v>9892</v>
      </c>
      <c r="O2163" s="1510">
        <v>3.0</v>
      </c>
      <c r="P2163" s="730" t="s">
        <v>13256</v>
      </c>
      <c r="Q2163" s="1507" t="str">
        <f t="array" ref="Q2163"> if(iserror(MATCH(V2163, 'File Links'!C:C, 0)), "N/A", HYPERLINK(INDEX('File Links'!B:B, MATCH(P2163, 'File Links'!C:C, 0))))</f>
        <v>https://drive.google.com/file/d/1FklynAHzflh7rbxQIU4qTxOz3VBhye8B/view?usp=drivesdk</v>
      </c>
      <c r="R2163" s="1508" t="s">
        <v>13257</v>
      </c>
      <c r="S2163" s="720" t="s">
        <v>13258</v>
      </c>
      <c r="T2163" s="1974" t="s">
        <v>138</v>
      </c>
      <c r="U2163" s="1510">
        <v>1.0</v>
      </c>
      <c r="V2163" s="730" t="s">
        <v>13259</v>
      </c>
      <c r="W2163" s="730" t="s">
        <v>209</v>
      </c>
      <c r="X2163" s="1511" t="str">
        <f t="array" ref="X2163"> if(iserror(MATCH(V2163, 'File Links'!C:C, 0)), "N/A", HYPERLINK(INDEX('File Links'!B:B, MATCH(V2163, 'File Links'!C:C, 0))))</f>
        <v>https://drive.google.com/file/d/1hYNUJrx3yjyMoTgcG7Qz4pix-8ruWFMC/view?usp=drivesdk</v>
      </c>
      <c r="Y2163" s="1428"/>
      <c r="Z2163" s="730" t="s">
        <v>226</v>
      </c>
      <c r="AA2163" s="720" t="s">
        <v>13260</v>
      </c>
      <c r="AB2163" s="730" t="s">
        <v>13317</v>
      </c>
      <c r="AC2163" s="730" t="s">
        <v>13316</v>
      </c>
      <c r="AD2163" s="730" t="s">
        <v>13318</v>
      </c>
      <c r="AE2163" s="730">
        <v>8.0</v>
      </c>
      <c r="AF2163" s="1505">
        <v>631.0</v>
      </c>
      <c r="AG2163" s="1505">
        <v>0.277</v>
      </c>
      <c r="AH2163" s="730" t="s">
        <v>173</v>
      </c>
      <c r="AI2163" s="730" t="s">
        <v>613</v>
      </c>
      <c r="AJ2163" s="1505" t="s">
        <v>138</v>
      </c>
      <c r="AK2163" s="717"/>
      <c r="AL2163" s="730" t="s">
        <v>186</v>
      </c>
      <c r="AM2163" s="720" t="s">
        <v>137</v>
      </c>
      <c r="AN2163" s="720" t="s">
        <v>138</v>
      </c>
      <c r="AO2163" s="1505">
        <v>1446.0</v>
      </c>
      <c r="AP2163" s="1505">
        <v>1.05</v>
      </c>
      <c r="AQ2163" s="730" t="s">
        <v>722</v>
      </c>
      <c r="AR2163" s="730" t="s">
        <v>13299</v>
      </c>
      <c r="AS2163" s="1505">
        <v>0.82</v>
      </c>
      <c r="AT2163" s="730" t="s">
        <v>172</v>
      </c>
      <c r="AU2163" s="730" t="s">
        <v>186</v>
      </c>
      <c r="AV2163" s="720" t="s">
        <v>137</v>
      </c>
      <c r="AW2163" s="1973" t="s">
        <v>13263</v>
      </c>
      <c r="AX2163" s="1115" t="s">
        <v>438</v>
      </c>
      <c r="AY2163" s="61" t="str">
        <f>IFERROR(__xludf.DUMMYFUNCTION("vlookup(BB2163,importrange(""https://docs.google.com/spreadsheets/d/1d2vevQ_7D_v35q4wCQ4RpQ_IPoTwEMB9Yp6ymwlPqew/edit?gid=984458430#gid=984458430"", ""'replication success'!A:K""), 11, FAlSE)"),"mixed")</f>
        <v>mixed</v>
      </c>
      <c r="AZ2163" s="61" t="str">
        <f>IFERROR(__xludf.DUMMYFUNCTION("vlookup(BB2163,importrange(""https://docs.google.com/spreadsheets/d/1d2vevQ_7D_v35q4wCQ4RpQ_IPoTwEMB9Yp6ymwlPqew/edit?gid=984458430#gid=984458430"",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3" s="61" t="str">
        <f>IFERROR(__xludf.DUMMYFUNCTION("vlookup(BB2163,importrange(""https://docs.google.com/spreadsheets/d/1d2vevQ_7D_v35q4wCQ4RpQ_IPoTwEMB9Yp6ymwlPqew/edit?gid=984458430#gid=984458430"", ""'replication success'!A:M""), 13, FAlSE)"),"abstract")</f>
        <v>abstract</v>
      </c>
      <c r="BB2163" s="61" t="str">
        <f>IFERROR(__xludf.DUMMYFUNCTION("REGEXREPLACE(G2163, ""_[a-z]{1,2}$"", """")"),"svodevelopment")</f>
        <v>svodevelopment</v>
      </c>
      <c r="BC2163" s="697"/>
      <c r="BD2163" s="716" t="s">
        <v>13264</v>
      </c>
      <c r="BE2163" s="342"/>
      <c r="BF2163" s="342"/>
      <c r="BG2163" s="342"/>
      <c r="BH2163" s="342"/>
      <c r="BI2163" s="342"/>
      <c r="BJ2163" s="342"/>
      <c r="BK2163" s="342"/>
      <c r="BL2163" s="342"/>
      <c r="BM2163" s="342"/>
      <c r="BN2163" s="342"/>
      <c r="BO2163" s="342"/>
      <c r="BP2163" s="342"/>
      <c r="BQ2163" s="342"/>
      <c r="BR2163" s="342"/>
      <c r="BS2163" s="342"/>
      <c r="BT2163" s="342"/>
      <c r="BU2163" s="342"/>
      <c r="BV2163" s="342"/>
      <c r="BW2163" s="342"/>
      <c r="BX2163" s="342"/>
      <c r="BY2163" s="342"/>
      <c r="BZ2163" s="342"/>
      <c r="CA2163" s="342"/>
      <c r="CB2163" s="342"/>
      <c r="CC2163" s="342"/>
      <c r="CD2163" s="342"/>
      <c r="CE2163" s="342"/>
      <c r="CF2163" s="342"/>
      <c r="CG2163" s="342"/>
      <c r="CH2163" s="342"/>
      <c r="CI2163" s="342"/>
      <c r="CJ2163" s="342"/>
      <c r="CK2163" s="342"/>
      <c r="CL2163" s="342"/>
      <c r="CM2163" s="342"/>
      <c r="CN2163" s="342"/>
      <c r="CO2163" s="342"/>
      <c r="CP2163" s="342"/>
      <c r="CQ2163" s="342"/>
      <c r="CR2163" s="342"/>
      <c r="CS2163" s="342"/>
      <c r="CT2163" s="342"/>
      <c r="CU2163" s="342"/>
      <c r="CV2163" s="342"/>
      <c r="CW2163" s="342"/>
      <c r="CX2163" s="342"/>
      <c r="CY2163" s="342"/>
      <c r="CZ2163" s="342"/>
      <c r="DA2163" s="342"/>
      <c r="DB2163" s="342"/>
      <c r="DC2163" s="342"/>
      <c r="DD2163" s="342"/>
      <c r="DE2163" s="342"/>
      <c r="DF2163" s="342"/>
      <c r="DG2163" s="342"/>
      <c r="DH2163" s="342"/>
      <c r="DI2163" s="342"/>
      <c r="DJ2163" s="342"/>
      <c r="DK2163" s="342"/>
      <c r="DL2163" s="342"/>
    </row>
    <row r="2164">
      <c r="A2164" s="44">
        <v>2164.0</v>
      </c>
      <c r="B2164" s="720" t="s">
        <v>114</v>
      </c>
      <c r="C2164" s="716" t="s">
        <v>115</v>
      </c>
      <c r="D2164" s="716" t="s">
        <v>221</v>
      </c>
      <c r="E2164" s="697"/>
      <c r="F2164" s="720" t="s">
        <v>13319</v>
      </c>
      <c r="G2164" s="720" t="s">
        <v>13251</v>
      </c>
      <c r="H2164" s="730" t="s">
        <v>222</v>
      </c>
      <c r="I2164" s="1505" t="s">
        <v>13252</v>
      </c>
      <c r="J2164" s="1506">
        <v>45833.0</v>
      </c>
      <c r="K2164" s="730" t="s">
        <v>13320</v>
      </c>
      <c r="L2164" s="720" t="s">
        <v>13321</v>
      </c>
      <c r="M2164" s="720" t="s">
        <v>13293</v>
      </c>
      <c r="N2164" s="720" t="s">
        <v>9892</v>
      </c>
      <c r="O2164" s="1510">
        <v>3.0</v>
      </c>
      <c r="P2164" s="730" t="s">
        <v>13256</v>
      </c>
      <c r="Q2164" s="1507" t="str">
        <f t="array" ref="Q2164"> if(iserror(MATCH(V2164, 'File Links'!C:C, 0)), "N/A", HYPERLINK(INDEX('File Links'!B:B, MATCH(P2164, 'File Links'!C:C, 0))))</f>
        <v>https://drive.google.com/file/d/1FklynAHzflh7rbxQIU4qTxOz3VBhye8B/view?usp=drivesdk</v>
      </c>
      <c r="R2164" s="1508" t="s">
        <v>13257</v>
      </c>
      <c r="S2164" s="720" t="s">
        <v>13258</v>
      </c>
      <c r="T2164" s="1509"/>
      <c r="U2164" s="1970">
        <v>1.0</v>
      </c>
      <c r="V2164" s="730" t="s">
        <v>13259</v>
      </c>
      <c r="W2164" s="717"/>
      <c r="X2164" s="1511" t="str">
        <f t="array" ref="X2164"> if(iserror(MATCH(V2164, 'File Links'!C:C, 0)), "N/A", HYPERLINK(INDEX('File Links'!B:B, MATCH(V2164, 'File Links'!C:C, 0))))</f>
        <v>https://drive.google.com/file/d/1hYNUJrx3yjyMoTgcG7Qz4pix-8ruWFMC/view?usp=drivesdk</v>
      </c>
      <c r="Y2164" s="1428"/>
      <c r="Z2164" s="730" t="s">
        <v>226</v>
      </c>
      <c r="AA2164" s="720" t="s">
        <v>13260</v>
      </c>
      <c r="AB2164" s="730" t="s">
        <v>13317</v>
      </c>
      <c r="AC2164" s="730" t="s">
        <v>13322</v>
      </c>
      <c r="AD2164" s="717"/>
      <c r="AE2164" s="717"/>
      <c r="AF2164" s="1505">
        <v>631.0</v>
      </c>
      <c r="AG2164" s="1505">
        <v>0.05</v>
      </c>
      <c r="AH2164" s="730" t="s">
        <v>173</v>
      </c>
      <c r="AI2164" s="730">
        <v>9.0</v>
      </c>
      <c r="AJ2164" s="1505">
        <v>0.035</v>
      </c>
      <c r="AK2164" s="730" t="s">
        <v>135</v>
      </c>
      <c r="AL2164" s="1971" t="s">
        <v>136</v>
      </c>
      <c r="AM2164" s="720" t="s">
        <v>137</v>
      </c>
      <c r="AN2164" s="720" t="s">
        <v>138</v>
      </c>
      <c r="AO2164" s="1505">
        <v>1446.0</v>
      </c>
      <c r="AP2164" s="1505">
        <v>-0.05</v>
      </c>
      <c r="AQ2164" s="730" t="s">
        <v>173</v>
      </c>
      <c r="AR2164" s="730">
        <v>10.0</v>
      </c>
      <c r="AS2164" s="1505">
        <v>0.001</v>
      </c>
      <c r="AT2164" s="730" t="s">
        <v>172</v>
      </c>
      <c r="AU2164" s="1971" t="s">
        <v>136</v>
      </c>
      <c r="AV2164" s="720" t="s">
        <v>137</v>
      </c>
      <c r="AW2164" s="1973" t="s">
        <v>13263</v>
      </c>
      <c r="AX2164" s="720" t="s">
        <v>143</v>
      </c>
      <c r="AY2164" s="61" t="str">
        <f>IFERROR(__xludf.DUMMYFUNCTION("vlookup(BB2164,importrange(""https://docs.google.com/spreadsheets/d/1d2vevQ_7D_v35q4wCQ4RpQ_IPoTwEMB9Yp6ymwlPqew/edit?gid=984458430#gid=984458430"", ""'replication success'!A:K""), 11, FAlSE)"),"mixed")</f>
        <v>mixed</v>
      </c>
      <c r="AZ2164" s="61" t="str">
        <f>IFERROR(__xludf.DUMMYFUNCTION("vlookup(BB2164,importrange(""https://docs.google.com/spreadsheets/d/1d2vevQ_7D_v35q4wCQ4RpQ_IPoTwEMB9Yp6ymwlPqew/edit?gid=984458430#gid=984458430"",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4" s="61" t="str">
        <f>IFERROR(__xludf.DUMMYFUNCTION("vlookup(BB2164,importrange(""https://docs.google.com/spreadsheets/d/1d2vevQ_7D_v35q4wCQ4RpQ_IPoTwEMB9Yp6ymwlPqew/edit?gid=984458430#gid=984458430"", ""'replication success'!A:M""), 13, FAlSE)"),"abstract")</f>
        <v>abstract</v>
      </c>
      <c r="BB2164" s="61" t="str">
        <f>IFERROR(__xludf.DUMMYFUNCTION("REGEXREPLACE(G2164, ""_[a-z]{1,2}$"", """")"),"svodevelopment")</f>
        <v>svodevelopment</v>
      </c>
      <c r="BC2164" s="697"/>
      <c r="BD2164" s="716" t="s">
        <v>13264</v>
      </c>
      <c r="BE2164" s="342"/>
      <c r="BF2164" s="342"/>
      <c r="BG2164" s="342"/>
      <c r="BH2164" s="342"/>
      <c r="BI2164" s="342"/>
      <c r="BJ2164" s="342"/>
      <c r="BK2164" s="342"/>
      <c r="BL2164" s="342"/>
      <c r="BM2164" s="342"/>
      <c r="BN2164" s="342"/>
      <c r="BO2164" s="342"/>
      <c r="BP2164" s="342"/>
      <c r="BQ2164" s="342"/>
      <c r="BR2164" s="342"/>
      <c r="BS2164" s="342"/>
      <c r="BT2164" s="342"/>
      <c r="BU2164" s="342"/>
      <c r="BV2164" s="342"/>
      <c r="BW2164" s="342"/>
      <c r="BX2164" s="342"/>
      <c r="BY2164" s="342"/>
      <c r="BZ2164" s="342"/>
      <c r="CA2164" s="342"/>
      <c r="CB2164" s="342"/>
      <c r="CC2164" s="342"/>
      <c r="CD2164" s="342"/>
      <c r="CE2164" s="342"/>
      <c r="CF2164" s="342"/>
      <c r="CG2164" s="342"/>
      <c r="CH2164" s="342"/>
      <c r="CI2164" s="342"/>
      <c r="CJ2164" s="342"/>
      <c r="CK2164" s="342"/>
      <c r="CL2164" s="342"/>
      <c r="CM2164" s="342"/>
      <c r="CN2164" s="342"/>
      <c r="CO2164" s="342"/>
      <c r="CP2164" s="342"/>
      <c r="CQ2164" s="342"/>
      <c r="CR2164" s="342"/>
      <c r="CS2164" s="342"/>
      <c r="CT2164" s="342"/>
      <c r="CU2164" s="342"/>
      <c r="CV2164" s="342"/>
      <c r="CW2164" s="342"/>
      <c r="CX2164" s="342"/>
      <c r="CY2164" s="342"/>
      <c r="CZ2164" s="342"/>
      <c r="DA2164" s="342"/>
      <c r="DB2164" s="342"/>
      <c r="DC2164" s="342"/>
      <c r="DD2164" s="342"/>
      <c r="DE2164" s="342"/>
      <c r="DF2164" s="342"/>
      <c r="DG2164" s="342"/>
      <c r="DH2164" s="342"/>
      <c r="DI2164" s="342"/>
      <c r="DJ2164" s="342"/>
      <c r="DK2164" s="342"/>
      <c r="DL2164" s="342"/>
    </row>
    <row r="2165">
      <c r="A2165" s="44">
        <v>2165.0</v>
      </c>
      <c r="B2165" s="720" t="s">
        <v>114</v>
      </c>
      <c r="C2165" s="716" t="s">
        <v>115</v>
      </c>
      <c r="D2165" s="716" t="s">
        <v>2930</v>
      </c>
      <c r="E2165" s="697"/>
      <c r="F2165" s="720" t="s">
        <v>13319</v>
      </c>
      <c r="G2165" s="720" t="s">
        <v>13251</v>
      </c>
      <c r="H2165" s="730" t="s">
        <v>13265</v>
      </c>
      <c r="I2165" s="1505" t="s">
        <v>13296</v>
      </c>
      <c r="J2165" s="1506">
        <v>45828.0</v>
      </c>
      <c r="K2165" s="730" t="s">
        <v>138</v>
      </c>
      <c r="L2165" s="720" t="s">
        <v>13323</v>
      </c>
      <c r="M2165" s="720" t="s">
        <v>13293</v>
      </c>
      <c r="N2165" s="720" t="s">
        <v>9892</v>
      </c>
      <c r="O2165" s="1970">
        <v>3.0</v>
      </c>
      <c r="P2165" s="730" t="s">
        <v>13256</v>
      </c>
      <c r="Q2165" s="1507" t="str">
        <f t="array" ref="Q2165"> if(iserror(MATCH(V2165, 'File Links'!C:C, 0)), "N/A", HYPERLINK(INDEX('File Links'!B:B, MATCH(P2165, 'File Links'!C:C, 0))))</f>
        <v>https://drive.google.com/file/d/1FklynAHzflh7rbxQIU4qTxOz3VBhye8B/view?usp=drivesdk</v>
      </c>
      <c r="R2165" s="1508" t="s">
        <v>13257</v>
      </c>
      <c r="S2165" s="720" t="s">
        <v>13258</v>
      </c>
      <c r="T2165" s="1974" t="s">
        <v>138</v>
      </c>
      <c r="U2165" s="1510" t="s">
        <v>138</v>
      </c>
      <c r="V2165" s="730" t="s">
        <v>13259</v>
      </c>
      <c r="W2165" s="730" t="s">
        <v>138</v>
      </c>
      <c r="X2165" s="1511" t="str">
        <f t="array" ref="X2165"> if(iserror(MATCH(V2165, 'File Links'!C:C, 0)), "N/A", HYPERLINK(INDEX('File Links'!B:B, MATCH(V2165, 'File Links'!C:C, 0))))</f>
        <v>https://drive.google.com/file/d/1hYNUJrx3yjyMoTgcG7Qz4pix-8ruWFMC/view?usp=drivesdk</v>
      </c>
      <c r="Y2165" s="720" t="s">
        <v>13324</v>
      </c>
      <c r="Z2165" s="730" t="s">
        <v>226</v>
      </c>
      <c r="AA2165" s="720" t="s">
        <v>13260</v>
      </c>
      <c r="AB2165" s="697"/>
      <c r="AC2165" s="730" t="s">
        <v>13322</v>
      </c>
      <c r="AD2165" s="730" t="s">
        <v>138</v>
      </c>
      <c r="AE2165" s="730" t="s">
        <v>138</v>
      </c>
      <c r="AF2165" s="1505" t="s">
        <v>138</v>
      </c>
      <c r="AG2165" s="1505" t="s">
        <v>138</v>
      </c>
      <c r="AH2165" s="717"/>
      <c r="AI2165" s="730" t="s">
        <v>138</v>
      </c>
      <c r="AJ2165" s="1505" t="s">
        <v>138</v>
      </c>
      <c r="AK2165" s="717"/>
      <c r="AL2165" s="717"/>
      <c r="AM2165" s="1428"/>
      <c r="AN2165" s="720" t="s">
        <v>138</v>
      </c>
      <c r="AO2165" s="1505" t="s">
        <v>138</v>
      </c>
      <c r="AP2165" s="1505" t="s">
        <v>138</v>
      </c>
      <c r="AQ2165" s="720" t="s">
        <v>138</v>
      </c>
      <c r="AR2165" s="730" t="s">
        <v>138</v>
      </c>
      <c r="AS2165" s="1505" t="s">
        <v>138</v>
      </c>
      <c r="AT2165" s="717"/>
      <c r="AU2165" s="717"/>
      <c r="AV2165" s="1428"/>
      <c r="AW2165" s="1512" t="s">
        <v>138</v>
      </c>
      <c r="AX2165" s="1428"/>
      <c r="AY2165" s="61" t="str">
        <f>IFERROR(__xludf.DUMMYFUNCTION("vlookup(BB2165,importrange(""https://docs.google.com/spreadsheets/d/1d2vevQ_7D_v35q4wCQ4RpQ_IPoTwEMB9Yp6ymwlPqew/edit?gid=984458430#gid=984458430"", ""'replication success'!A:K""), 11, FAlSE)"),"mixed")</f>
        <v>mixed</v>
      </c>
      <c r="AZ2165" s="61" t="str">
        <f>IFERROR(__xludf.DUMMYFUNCTION("vlookup(BB2165,importrange(""https://docs.google.com/spreadsheets/d/1d2vevQ_7D_v35q4wCQ4RpQ_IPoTwEMB9Yp6ymwlPqew/edit?gid=984458430#gid=984458430"",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5" s="61" t="str">
        <f>IFERROR(__xludf.DUMMYFUNCTION("vlookup(BB2165,importrange(""https://docs.google.com/spreadsheets/d/1d2vevQ_7D_v35q4wCQ4RpQ_IPoTwEMB9Yp6ymwlPqew/edit?gid=984458430#gid=984458430"", ""'replication success'!A:M""), 13, FAlSE)"),"abstract")</f>
        <v>abstract</v>
      </c>
      <c r="BB2165" s="61" t="str">
        <f>IFERROR(__xludf.DUMMYFUNCTION("REGEXREPLACE(G2165, ""_[a-z]{1,2}$"", """")"),"svodevelopment")</f>
        <v>svodevelopment</v>
      </c>
      <c r="BC2165" s="697"/>
      <c r="BD2165" s="716" t="s">
        <v>13264</v>
      </c>
      <c r="BE2165" s="342"/>
      <c r="BF2165" s="342"/>
      <c r="BG2165" s="342"/>
      <c r="BH2165" s="342"/>
      <c r="BI2165" s="342"/>
      <c r="BJ2165" s="342"/>
      <c r="BK2165" s="342"/>
      <c r="BL2165" s="342"/>
      <c r="BM2165" s="342"/>
      <c r="BN2165" s="342"/>
      <c r="BO2165" s="342"/>
      <c r="BP2165" s="342"/>
      <c r="BQ2165" s="342"/>
      <c r="BR2165" s="342"/>
      <c r="BS2165" s="342"/>
      <c r="BT2165" s="342"/>
      <c r="BU2165" s="342"/>
      <c r="BV2165" s="342"/>
      <c r="BW2165" s="342"/>
      <c r="BX2165" s="342"/>
      <c r="BY2165" s="342"/>
      <c r="BZ2165" s="342"/>
      <c r="CA2165" s="342"/>
      <c r="CB2165" s="342"/>
      <c r="CC2165" s="342"/>
      <c r="CD2165" s="342"/>
      <c r="CE2165" s="342"/>
      <c r="CF2165" s="342"/>
      <c r="CG2165" s="342"/>
      <c r="CH2165" s="342"/>
      <c r="CI2165" s="342"/>
      <c r="CJ2165" s="342"/>
      <c r="CK2165" s="342"/>
      <c r="CL2165" s="342"/>
      <c r="CM2165" s="342"/>
      <c r="CN2165" s="342"/>
      <c r="CO2165" s="342"/>
      <c r="CP2165" s="342"/>
      <c r="CQ2165" s="342"/>
      <c r="CR2165" s="342"/>
      <c r="CS2165" s="342"/>
      <c r="CT2165" s="342"/>
      <c r="CU2165" s="342"/>
      <c r="CV2165" s="342"/>
      <c r="CW2165" s="342"/>
      <c r="CX2165" s="342"/>
      <c r="CY2165" s="342"/>
      <c r="CZ2165" s="342"/>
      <c r="DA2165" s="342"/>
      <c r="DB2165" s="342"/>
      <c r="DC2165" s="342"/>
      <c r="DD2165" s="342"/>
      <c r="DE2165" s="342"/>
      <c r="DF2165" s="342"/>
      <c r="DG2165" s="342"/>
      <c r="DH2165" s="342"/>
      <c r="DI2165" s="342"/>
      <c r="DJ2165" s="342"/>
      <c r="DK2165" s="342"/>
      <c r="DL2165" s="342"/>
    </row>
    <row r="2166">
      <c r="A2166" s="44">
        <v>2166.0</v>
      </c>
      <c r="B2166" s="905" t="s">
        <v>114</v>
      </c>
      <c r="C2166" s="839" t="s">
        <v>115</v>
      </c>
      <c r="D2166" s="839" t="s">
        <v>221</v>
      </c>
      <c r="E2166" s="752"/>
      <c r="F2166" s="905" t="s">
        <v>13325</v>
      </c>
      <c r="G2166" s="905" t="s">
        <v>13251</v>
      </c>
      <c r="H2166" s="999" t="s">
        <v>222</v>
      </c>
      <c r="I2166" s="1990" t="s">
        <v>13252</v>
      </c>
      <c r="J2166" s="995">
        <v>45832.0</v>
      </c>
      <c r="K2166" s="999" t="s">
        <v>13326</v>
      </c>
      <c r="L2166" s="905" t="s">
        <v>13288</v>
      </c>
      <c r="M2166" s="905" t="s">
        <v>13293</v>
      </c>
      <c r="N2166" s="905" t="s">
        <v>9892</v>
      </c>
      <c r="O2166" s="1991">
        <v>3.0</v>
      </c>
      <c r="P2166" s="999" t="s">
        <v>13256</v>
      </c>
      <c r="Q2166" s="901" t="str">
        <f t="array" ref="Q2166"> if(iserror(MATCH(V2166, 'File Links'!C:C, 0)), "N/A", HYPERLINK(INDEX('File Links'!B:B, MATCH(P2166, 'File Links'!C:C, 0))))</f>
        <v>https://drive.google.com/file/d/1FklynAHzflh7rbxQIU4qTxOz3VBhye8B/view?usp=drivesdk</v>
      </c>
      <c r="R2166" s="1992" t="s">
        <v>13257</v>
      </c>
      <c r="S2166" s="905" t="s">
        <v>13258</v>
      </c>
      <c r="T2166" s="1993"/>
      <c r="U2166" s="1994">
        <v>1.0</v>
      </c>
      <c r="V2166" s="999" t="s">
        <v>13259</v>
      </c>
      <c r="W2166" s="840"/>
      <c r="X2166" s="903" t="str">
        <f t="array" ref="X2166"> if(iserror(MATCH(V2166, 'File Links'!C:C, 0)), "N/A", HYPERLINK(INDEX('File Links'!B:B, MATCH(V2166, 'File Links'!C:C, 0))))</f>
        <v>https://drive.google.com/file/d/1hYNUJrx3yjyMoTgcG7Qz4pix-8ruWFMC/view?usp=drivesdk</v>
      </c>
      <c r="Y2166" s="851"/>
      <c r="Z2166" s="999" t="s">
        <v>226</v>
      </c>
      <c r="AA2166" s="905" t="s">
        <v>13260</v>
      </c>
      <c r="AB2166" s="999" t="s">
        <v>13327</v>
      </c>
      <c r="AC2166" s="999" t="s">
        <v>13295</v>
      </c>
      <c r="AD2166" s="840"/>
      <c r="AE2166" s="840"/>
      <c r="AF2166" s="1990">
        <v>631.0</v>
      </c>
      <c r="AG2166" s="1990">
        <v>0.31</v>
      </c>
      <c r="AH2166" s="999" t="s">
        <v>173</v>
      </c>
      <c r="AI2166" s="999">
        <v>9.0</v>
      </c>
      <c r="AJ2166" s="1990">
        <v>0.043</v>
      </c>
      <c r="AK2166" s="999" t="s">
        <v>135</v>
      </c>
      <c r="AL2166" s="999" t="s">
        <v>136</v>
      </c>
      <c r="AM2166" s="905" t="s">
        <v>137</v>
      </c>
      <c r="AN2166" s="905" t="s">
        <v>138</v>
      </c>
      <c r="AO2166" s="1990">
        <v>1446.0</v>
      </c>
      <c r="AP2166" s="1990">
        <v>0.16</v>
      </c>
      <c r="AQ2166" s="999" t="s">
        <v>173</v>
      </c>
      <c r="AR2166" s="999">
        <v>10.0</v>
      </c>
      <c r="AS2166" s="1990">
        <v>0.001</v>
      </c>
      <c r="AT2166" s="999" t="s">
        <v>172</v>
      </c>
      <c r="AU2166" s="999" t="s">
        <v>136</v>
      </c>
      <c r="AV2166" s="905" t="s">
        <v>137</v>
      </c>
      <c r="AW2166" s="1995" t="s">
        <v>13263</v>
      </c>
      <c r="AX2166" s="905" t="s">
        <v>151</v>
      </c>
      <c r="AY2166" s="61" t="str">
        <f>IFERROR(__xludf.DUMMYFUNCTION("vlookup(BB2166,importrange(""https://docs.google.com/spreadsheets/d/1d2vevQ_7D_v35q4wCQ4RpQ_IPoTwEMB9Yp6ymwlPqew/edit?gid=984458430#gid=984458430"", ""'replication success'!A:K""), 11, FAlSE)"),"mixed")</f>
        <v>mixed</v>
      </c>
      <c r="AZ2166" s="61" t="str">
        <f>IFERROR(__xludf.DUMMYFUNCTION("vlookup(BB2166,importrange(""https://docs.google.com/spreadsheets/d/1d2vevQ_7D_v35q4wCQ4RpQ_IPoTwEMB9Yp6ymwlPqew/edit?gid=984458430#gid=984458430"",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6" s="61" t="str">
        <f>IFERROR(__xludf.DUMMYFUNCTION("vlookup(BB2166,importrange(""https://docs.google.com/spreadsheets/d/1d2vevQ_7D_v35q4wCQ4RpQ_IPoTwEMB9Yp6ymwlPqew/edit?gid=984458430#gid=984458430"", ""'replication success'!A:M""), 13, FAlSE)"),"abstract")</f>
        <v>abstract</v>
      </c>
      <c r="BB2166" s="61" t="str">
        <f>IFERROR(__xludf.DUMMYFUNCTION("REGEXREPLACE(G2166, ""_[a-z]{1,2}$"", """")"),"svodevelopment")</f>
        <v>svodevelopment</v>
      </c>
      <c r="BC2166" s="752"/>
      <c r="BD2166" s="839" t="s">
        <v>13264</v>
      </c>
      <c r="BE2166" s="342"/>
      <c r="BF2166" s="342"/>
      <c r="BG2166" s="342"/>
      <c r="BH2166" s="342"/>
      <c r="BI2166" s="342"/>
      <c r="BJ2166" s="342"/>
      <c r="BK2166" s="342"/>
      <c r="BL2166" s="342"/>
      <c r="BM2166" s="342"/>
      <c r="BN2166" s="342"/>
      <c r="BO2166" s="342"/>
      <c r="BP2166" s="342"/>
      <c r="BQ2166" s="342"/>
      <c r="BR2166" s="342"/>
      <c r="BS2166" s="342"/>
      <c r="BT2166" s="342"/>
      <c r="BU2166" s="342"/>
      <c r="BV2166" s="342"/>
      <c r="BW2166" s="342"/>
      <c r="BX2166" s="342"/>
      <c r="BY2166" s="342"/>
      <c r="BZ2166" s="342"/>
      <c r="CA2166" s="342"/>
      <c r="CB2166" s="342"/>
      <c r="CC2166" s="342"/>
      <c r="CD2166" s="342"/>
      <c r="CE2166" s="342"/>
      <c r="CF2166" s="342"/>
      <c r="CG2166" s="342"/>
      <c r="CH2166" s="342"/>
      <c r="CI2166" s="342"/>
      <c r="CJ2166" s="342"/>
      <c r="CK2166" s="342"/>
      <c r="CL2166" s="342"/>
      <c r="CM2166" s="342"/>
      <c r="CN2166" s="342"/>
      <c r="CO2166" s="342"/>
      <c r="CP2166" s="342"/>
      <c r="CQ2166" s="342"/>
      <c r="CR2166" s="342"/>
      <c r="CS2166" s="342"/>
      <c r="CT2166" s="342"/>
      <c r="CU2166" s="342"/>
      <c r="CV2166" s="342"/>
      <c r="CW2166" s="342"/>
      <c r="CX2166" s="342"/>
      <c r="CY2166" s="342"/>
      <c r="CZ2166" s="342"/>
      <c r="DA2166" s="342"/>
      <c r="DB2166" s="342"/>
      <c r="DC2166" s="342"/>
      <c r="DD2166" s="342"/>
      <c r="DE2166" s="342"/>
      <c r="DF2166" s="342"/>
      <c r="DG2166" s="342"/>
      <c r="DH2166" s="342"/>
      <c r="DI2166" s="342"/>
      <c r="DJ2166" s="342"/>
      <c r="DK2166" s="342"/>
      <c r="DL2166" s="342"/>
    </row>
    <row r="2167">
      <c r="A2167" s="44">
        <v>2167.0</v>
      </c>
      <c r="B2167" s="720" t="s">
        <v>152</v>
      </c>
      <c r="C2167" s="716" t="s">
        <v>115</v>
      </c>
      <c r="D2167" s="716" t="s">
        <v>2930</v>
      </c>
      <c r="E2167" s="697"/>
      <c r="F2167" s="720" t="s">
        <v>13325</v>
      </c>
      <c r="G2167" s="720" t="s">
        <v>13251</v>
      </c>
      <c r="H2167" s="730" t="s">
        <v>13265</v>
      </c>
      <c r="I2167" s="1505" t="s">
        <v>13296</v>
      </c>
      <c r="J2167" s="1506">
        <v>45832.0</v>
      </c>
      <c r="K2167" s="730" t="s">
        <v>13278</v>
      </c>
      <c r="L2167" s="720" t="s">
        <v>13288</v>
      </c>
      <c r="M2167" s="720" t="s">
        <v>13293</v>
      </c>
      <c r="N2167" s="720" t="s">
        <v>9892</v>
      </c>
      <c r="O2167" s="1510">
        <v>3.0</v>
      </c>
      <c r="P2167" s="730" t="s">
        <v>13256</v>
      </c>
      <c r="Q2167" s="1507" t="str">
        <f t="array" ref="Q2167"> if(iserror(MATCH(V2167, 'File Links'!C:C, 0)), "N/A", HYPERLINK(INDEX('File Links'!B:B, MATCH(P2167, 'File Links'!C:C, 0))))</f>
        <v>https://drive.google.com/file/d/1FklynAHzflh7rbxQIU4qTxOz3VBhye8B/view?usp=drivesdk</v>
      </c>
      <c r="R2167" s="1508" t="s">
        <v>13257</v>
      </c>
      <c r="S2167" s="720" t="s">
        <v>13258</v>
      </c>
      <c r="T2167" s="1974" t="s">
        <v>138</v>
      </c>
      <c r="U2167" s="1510">
        <v>1.0</v>
      </c>
      <c r="V2167" s="730" t="s">
        <v>13259</v>
      </c>
      <c r="W2167" s="730" t="s">
        <v>209</v>
      </c>
      <c r="X2167" s="1511" t="str">
        <f t="array" ref="X2167"> if(iserror(MATCH(V2167, 'File Links'!C:C, 0)), "N/A", HYPERLINK(INDEX('File Links'!B:B, MATCH(V2167, 'File Links'!C:C, 0))))</f>
        <v>https://drive.google.com/file/d/1hYNUJrx3yjyMoTgcG7Qz4pix-8ruWFMC/view?usp=drivesdk</v>
      </c>
      <c r="Y2167" s="1428"/>
      <c r="Z2167" s="730" t="s">
        <v>226</v>
      </c>
      <c r="AA2167" s="720" t="s">
        <v>13260</v>
      </c>
      <c r="AB2167" s="730" t="s">
        <v>13328</v>
      </c>
      <c r="AC2167" s="730" t="s">
        <v>13295</v>
      </c>
      <c r="AD2167" s="730" t="s">
        <v>13298</v>
      </c>
      <c r="AE2167" s="730">
        <v>7.0</v>
      </c>
      <c r="AF2167" s="1505">
        <v>631.0</v>
      </c>
      <c r="AG2167" s="1505">
        <v>0.305</v>
      </c>
      <c r="AH2167" s="730" t="s">
        <v>173</v>
      </c>
      <c r="AI2167" s="730" t="s">
        <v>132</v>
      </c>
      <c r="AJ2167" s="1505" t="s">
        <v>138</v>
      </c>
      <c r="AK2167" s="717"/>
      <c r="AL2167" s="730" t="s">
        <v>186</v>
      </c>
      <c r="AM2167" s="720" t="s">
        <v>137</v>
      </c>
      <c r="AN2167" s="720" t="s">
        <v>138</v>
      </c>
      <c r="AO2167" s="1505">
        <v>1446.0</v>
      </c>
      <c r="AP2167" s="1505">
        <v>0.11</v>
      </c>
      <c r="AQ2167" s="730" t="s">
        <v>722</v>
      </c>
      <c r="AR2167" s="730" t="s">
        <v>13299</v>
      </c>
      <c r="AS2167" s="1505">
        <v>0.001</v>
      </c>
      <c r="AT2167" s="730" t="s">
        <v>172</v>
      </c>
      <c r="AU2167" s="730" t="s">
        <v>186</v>
      </c>
      <c r="AV2167" s="720" t="s">
        <v>137</v>
      </c>
      <c r="AW2167" s="1973" t="s">
        <v>13263</v>
      </c>
      <c r="AX2167" s="1115" t="s">
        <v>438</v>
      </c>
      <c r="AY2167" s="61" t="str">
        <f>IFERROR(__xludf.DUMMYFUNCTION("vlookup(BB2167,importrange(""https://docs.google.com/spreadsheets/d/1d2vevQ_7D_v35q4wCQ4RpQ_IPoTwEMB9Yp6ymwlPqew/edit?gid=984458430#gid=984458430"", ""'replication success'!A:K""), 11, FAlSE)"),"mixed")</f>
        <v>mixed</v>
      </c>
      <c r="AZ2167" s="61" t="str">
        <f>IFERROR(__xludf.DUMMYFUNCTION("vlookup(BB2167,importrange(""https://docs.google.com/spreadsheets/d/1d2vevQ_7D_v35q4wCQ4RpQ_IPoTwEMB9Yp6ymwlPqew/edit?gid=984458430#gid=984458430"",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7" s="61" t="str">
        <f>IFERROR(__xludf.DUMMYFUNCTION("vlookup(BB2167,importrange(""https://docs.google.com/spreadsheets/d/1d2vevQ_7D_v35q4wCQ4RpQ_IPoTwEMB9Yp6ymwlPqew/edit?gid=984458430#gid=984458430"", ""'replication success'!A:M""), 13, FAlSE)"),"abstract")</f>
        <v>abstract</v>
      </c>
      <c r="BB2167" s="61" t="str">
        <f>IFERROR(__xludf.DUMMYFUNCTION("REGEXREPLACE(G2167, ""_[a-z]{1,2}$"", """")"),"svodevelopment")</f>
        <v>svodevelopment</v>
      </c>
      <c r="BC2167" s="697"/>
      <c r="BD2167" s="716" t="s">
        <v>13264</v>
      </c>
      <c r="BE2167" s="342"/>
      <c r="BF2167" s="342"/>
      <c r="BG2167" s="342"/>
      <c r="BH2167" s="342"/>
      <c r="BI2167" s="342"/>
      <c r="BJ2167" s="342"/>
      <c r="BK2167" s="342"/>
      <c r="BL2167" s="342"/>
      <c r="BM2167" s="342"/>
      <c r="BN2167" s="342"/>
      <c r="BO2167" s="342"/>
      <c r="BP2167" s="342"/>
      <c r="BQ2167" s="342"/>
      <c r="BR2167" s="342"/>
      <c r="BS2167" s="342"/>
      <c r="BT2167" s="342"/>
      <c r="BU2167" s="342"/>
      <c r="BV2167" s="342"/>
      <c r="BW2167" s="342"/>
      <c r="BX2167" s="342"/>
      <c r="BY2167" s="342"/>
      <c r="BZ2167" s="342"/>
      <c r="CA2167" s="342"/>
      <c r="CB2167" s="342"/>
      <c r="CC2167" s="342"/>
      <c r="CD2167" s="342"/>
      <c r="CE2167" s="342"/>
      <c r="CF2167" s="342"/>
      <c r="CG2167" s="342"/>
      <c r="CH2167" s="342"/>
      <c r="CI2167" s="342"/>
      <c r="CJ2167" s="342"/>
      <c r="CK2167" s="342"/>
      <c r="CL2167" s="342"/>
      <c r="CM2167" s="342"/>
      <c r="CN2167" s="342"/>
      <c r="CO2167" s="342"/>
      <c r="CP2167" s="342"/>
      <c r="CQ2167" s="342"/>
      <c r="CR2167" s="342"/>
      <c r="CS2167" s="342"/>
      <c r="CT2167" s="342"/>
      <c r="CU2167" s="342"/>
      <c r="CV2167" s="342"/>
      <c r="CW2167" s="342"/>
      <c r="CX2167" s="342"/>
      <c r="CY2167" s="342"/>
      <c r="CZ2167" s="342"/>
      <c r="DA2167" s="342"/>
      <c r="DB2167" s="342"/>
      <c r="DC2167" s="342"/>
      <c r="DD2167" s="342"/>
      <c r="DE2167" s="342"/>
      <c r="DF2167" s="342"/>
      <c r="DG2167" s="342"/>
      <c r="DH2167" s="342"/>
      <c r="DI2167" s="342"/>
      <c r="DJ2167" s="342"/>
      <c r="DK2167" s="342"/>
      <c r="DL2167" s="342"/>
    </row>
    <row r="2168">
      <c r="A2168" s="44">
        <v>2168.0</v>
      </c>
      <c r="B2168" s="720" t="s">
        <v>114</v>
      </c>
      <c r="C2168" s="716" t="s">
        <v>115</v>
      </c>
      <c r="D2168" s="716" t="s">
        <v>221</v>
      </c>
      <c r="E2168" s="697"/>
      <c r="F2168" s="720" t="s">
        <v>13329</v>
      </c>
      <c r="G2168" s="720" t="s">
        <v>13251</v>
      </c>
      <c r="H2168" s="730" t="s">
        <v>222</v>
      </c>
      <c r="I2168" s="1505" t="s">
        <v>13252</v>
      </c>
      <c r="J2168" s="1506">
        <v>45832.0</v>
      </c>
      <c r="K2168" s="730" t="s">
        <v>13330</v>
      </c>
      <c r="L2168" s="720" t="s">
        <v>13288</v>
      </c>
      <c r="M2168" s="720" t="s">
        <v>13255</v>
      </c>
      <c r="N2168" s="720" t="s">
        <v>9892</v>
      </c>
      <c r="O2168" s="1510">
        <v>1.0</v>
      </c>
      <c r="P2168" s="730" t="s">
        <v>13256</v>
      </c>
      <c r="Q2168" s="1507" t="str">
        <f t="array" ref="Q2168"> if(iserror(MATCH(V2168, 'File Links'!C:C, 0)), "N/A", HYPERLINK(INDEX('File Links'!B:B, MATCH(P2168, 'File Links'!C:C, 0))))</f>
        <v>https://drive.google.com/file/d/1FklynAHzflh7rbxQIU4qTxOz3VBhye8B/view?usp=drivesdk</v>
      </c>
      <c r="R2168" s="1508" t="s">
        <v>13257</v>
      </c>
      <c r="S2168" s="720" t="s">
        <v>13258</v>
      </c>
      <c r="T2168" s="1509"/>
      <c r="U2168" s="1970">
        <v>1.0</v>
      </c>
      <c r="V2168" s="730" t="s">
        <v>13259</v>
      </c>
      <c r="W2168" s="717"/>
      <c r="X2168" s="1511" t="str">
        <f t="array" ref="X2168"> if(iserror(MATCH(V2168, 'File Links'!C:C, 0)), "N/A", HYPERLINK(INDEX('File Links'!B:B, MATCH(V2168, 'File Links'!C:C, 0))))</f>
        <v>https://drive.google.com/file/d/1hYNUJrx3yjyMoTgcG7Qz4pix-8ruWFMC/view?usp=drivesdk</v>
      </c>
      <c r="Y2168" s="1428"/>
      <c r="Z2168" s="730" t="s">
        <v>226</v>
      </c>
      <c r="AA2168" s="720" t="s">
        <v>13260</v>
      </c>
      <c r="AB2168" s="730" t="s">
        <v>13331</v>
      </c>
      <c r="AC2168" s="730" t="s">
        <v>13262</v>
      </c>
      <c r="AD2168" s="717"/>
      <c r="AE2168" s="717"/>
      <c r="AF2168" s="1505">
        <v>573.0</v>
      </c>
      <c r="AG2168" s="1505">
        <v>0.23</v>
      </c>
      <c r="AH2168" s="730" t="s">
        <v>173</v>
      </c>
      <c r="AI2168" s="730">
        <v>6.0</v>
      </c>
      <c r="AJ2168" s="1505">
        <v>0.02</v>
      </c>
      <c r="AK2168" s="730" t="s">
        <v>135</v>
      </c>
      <c r="AL2168" s="730" t="s">
        <v>136</v>
      </c>
      <c r="AM2168" s="720" t="s">
        <v>137</v>
      </c>
      <c r="AN2168" s="720" t="s">
        <v>138</v>
      </c>
      <c r="AO2168" s="1505">
        <v>1446.0</v>
      </c>
      <c r="AP2168" s="1505">
        <v>0.18</v>
      </c>
      <c r="AQ2168" s="730" t="s">
        <v>173</v>
      </c>
      <c r="AR2168" s="730">
        <v>7.0</v>
      </c>
      <c r="AS2168" s="1505">
        <v>0.001</v>
      </c>
      <c r="AT2168" s="730" t="s">
        <v>172</v>
      </c>
      <c r="AU2168" s="730" t="s">
        <v>136</v>
      </c>
      <c r="AV2168" s="720" t="s">
        <v>137</v>
      </c>
      <c r="AW2168" s="1973" t="s">
        <v>13263</v>
      </c>
      <c r="AX2168" s="720" t="s">
        <v>143</v>
      </c>
      <c r="AY2168" s="61" t="str">
        <f>IFERROR(__xludf.DUMMYFUNCTION("vlookup(BB2168,importrange(""https://docs.google.com/spreadsheets/d/1d2vevQ_7D_v35q4wCQ4RpQ_IPoTwEMB9Yp6ymwlPqew/edit?gid=984458430#gid=984458430"", ""'replication success'!A:K""), 11, FAlSE)"),"mixed")</f>
        <v>mixed</v>
      </c>
      <c r="AZ2168" s="61" t="str">
        <f>IFERROR(__xludf.DUMMYFUNCTION("vlookup(BB2168,importrange(""https://docs.google.com/spreadsheets/d/1d2vevQ_7D_v35q4wCQ4RpQ_IPoTwEMB9Yp6ymwlPqew/edit?gid=984458430#gid=984458430"",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8" s="61" t="str">
        <f>IFERROR(__xludf.DUMMYFUNCTION("vlookup(BB2168,importrange(""https://docs.google.com/spreadsheets/d/1d2vevQ_7D_v35q4wCQ4RpQ_IPoTwEMB9Yp6ymwlPqew/edit?gid=984458430#gid=984458430"", ""'replication success'!A:M""), 13, FAlSE)"),"abstract")</f>
        <v>abstract</v>
      </c>
      <c r="BB2168" s="61" t="str">
        <f>IFERROR(__xludf.DUMMYFUNCTION("REGEXREPLACE(G2168, ""_[a-z]{1,2}$"", """")"),"svodevelopment")</f>
        <v>svodevelopment</v>
      </c>
      <c r="BC2168" s="697"/>
      <c r="BD2168" s="716" t="s">
        <v>13264</v>
      </c>
      <c r="BE2168" s="342"/>
      <c r="BF2168" s="342"/>
      <c r="BG2168" s="342"/>
      <c r="BH2168" s="342"/>
      <c r="BI2168" s="342"/>
      <c r="BJ2168" s="342"/>
      <c r="BK2168" s="342"/>
      <c r="BL2168" s="342"/>
      <c r="BM2168" s="342"/>
      <c r="BN2168" s="342"/>
      <c r="BO2168" s="342"/>
      <c r="BP2168" s="342"/>
      <c r="BQ2168" s="342"/>
      <c r="BR2168" s="342"/>
      <c r="BS2168" s="342"/>
      <c r="BT2168" s="342"/>
      <c r="BU2168" s="342"/>
      <c r="BV2168" s="342"/>
      <c r="BW2168" s="342"/>
      <c r="BX2168" s="342"/>
      <c r="BY2168" s="342"/>
      <c r="BZ2168" s="342"/>
      <c r="CA2168" s="342"/>
      <c r="CB2168" s="342"/>
      <c r="CC2168" s="342"/>
      <c r="CD2168" s="342"/>
      <c r="CE2168" s="342"/>
      <c r="CF2168" s="342"/>
      <c r="CG2168" s="342"/>
      <c r="CH2168" s="342"/>
      <c r="CI2168" s="342"/>
      <c r="CJ2168" s="342"/>
      <c r="CK2168" s="342"/>
      <c r="CL2168" s="342"/>
      <c r="CM2168" s="342"/>
      <c r="CN2168" s="342"/>
      <c r="CO2168" s="342"/>
      <c r="CP2168" s="342"/>
      <c r="CQ2168" s="342"/>
      <c r="CR2168" s="342"/>
      <c r="CS2168" s="342"/>
      <c r="CT2168" s="342"/>
      <c r="CU2168" s="342"/>
      <c r="CV2168" s="342"/>
      <c r="CW2168" s="342"/>
      <c r="CX2168" s="342"/>
      <c r="CY2168" s="342"/>
      <c r="CZ2168" s="342"/>
      <c r="DA2168" s="342"/>
      <c r="DB2168" s="342"/>
      <c r="DC2168" s="342"/>
      <c r="DD2168" s="342"/>
      <c r="DE2168" s="342"/>
      <c r="DF2168" s="342"/>
      <c r="DG2168" s="342"/>
      <c r="DH2168" s="342"/>
      <c r="DI2168" s="342"/>
      <c r="DJ2168" s="342"/>
      <c r="DK2168" s="342"/>
      <c r="DL2168" s="342"/>
    </row>
    <row r="2169">
      <c r="A2169" s="44">
        <v>2169.0</v>
      </c>
      <c r="B2169" s="720" t="s">
        <v>152</v>
      </c>
      <c r="C2169" s="716" t="s">
        <v>115</v>
      </c>
      <c r="D2169" s="716" t="s">
        <v>2930</v>
      </c>
      <c r="E2169" s="697"/>
      <c r="F2169" s="720" t="s">
        <v>13329</v>
      </c>
      <c r="G2169" s="720" t="s">
        <v>13251</v>
      </c>
      <c r="H2169" s="730" t="s">
        <v>13265</v>
      </c>
      <c r="I2169" s="1505" t="s">
        <v>13266</v>
      </c>
      <c r="J2169" s="1506">
        <v>45832.0</v>
      </c>
      <c r="K2169" s="730" t="s">
        <v>13332</v>
      </c>
      <c r="L2169" s="720" t="s">
        <v>13288</v>
      </c>
      <c r="M2169" s="720" t="s">
        <v>13255</v>
      </c>
      <c r="N2169" s="720" t="s">
        <v>9892</v>
      </c>
      <c r="O2169" s="1510">
        <v>1.0</v>
      </c>
      <c r="P2169" s="730" t="s">
        <v>13256</v>
      </c>
      <c r="Q2169" s="1507" t="str">
        <f t="array" ref="Q2169"> if(iserror(MATCH(V2169, 'File Links'!C:C, 0)), "N/A", HYPERLINK(INDEX('File Links'!B:B, MATCH(P2169, 'File Links'!C:C, 0))))</f>
        <v>https://drive.google.com/file/d/1FklynAHzflh7rbxQIU4qTxOz3VBhye8B/view?usp=drivesdk</v>
      </c>
      <c r="R2169" s="1508" t="s">
        <v>13257</v>
      </c>
      <c r="S2169" s="720" t="s">
        <v>13258</v>
      </c>
      <c r="T2169" s="1974" t="s">
        <v>138</v>
      </c>
      <c r="U2169" s="1510">
        <v>1.0</v>
      </c>
      <c r="V2169" s="730" t="s">
        <v>13259</v>
      </c>
      <c r="W2169" s="730" t="s">
        <v>209</v>
      </c>
      <c r="X2169" s="1511" t="str">
        <f t="array" ref="X2169"> if(iserror(MATCH(V2169, 'File Links'!C:C, 0)), "N/A", HYPERLINK(INDEX('File Links'!B:B, MATCH(V2169, 'File Links'!C:C, 0))))</f>
        <v>https://drive.google.com/file/d/1hYNUJrx3yjyMoTgcG7Qz4pix-8ruWFMC/view?usp=drivesdk</v>
      </c>
      <c r="Y2169" s="1428"/>
      <c r="Z2169" s="730" t="s">
        <v>226</v>
      </c>
      <c r="AA2169" s="720" t="s">
        <v>13260</v>
      </c>
      <c r="AB2169" s="730" t="s">
        <v>13333</v>
      </c>
      <c r="AC2169" s="730" t="s">
        <v>13262</v>
      </c>
      <c r="AD2169" s="730" t="s">
        <v>13270</v>
      </c>
      <c r="AE2169" s="730">
        <v>4.0</v>
      </c>
      <c r="AF2169" s="1505">
        <v>573.0</v>
      </c>
      <c r="AG2169" s="1505">
        <v>0.234</v>
      </c>
      <c r="AH2169" s="730" t="s">
        <v>173</v>
      </c>
      <c r="AI2169" s="730" t="s">
        <v>850</v>
      </c>
      <c r="AJ2169" s="1505" t="s">
        <v>138</v>
      </c>
      <c r="AK2169" s="717"/>
      <c r="AL2169" s="730" t="s">
        <v>186</v>
      </c>
      <c r="AM2169" s="720" t="s">
        <v>137</v>
      </c>
      <c r="AN2169" s="720" t="s">
        <v>138</v>
      </c>
      <c r="AO2169" s="1505">
        <v>1446.0</v>
      </c>
      <c r="AP2169" s="1505">
        <v>1.22</v>
      </c>
      <c r="AQ2169" s="730" t="s">
        <v>722</v>
      </c>
      <c r="AR2169" s="730" t="s">
        <v>13271</v>
      </c>
      <c r="AS2169" s="1505">
        <v>0.015</v>
      </c>
      <c r="AT2169" s="730" t="s">
        <v>172</v>
      </c>
      <c r="AU2169" s="730" t="s">
        <v>186</v>
      </c>
      <c r="AV2169" s="720" t="s">
        <v>137</v>
      </c>
      <c r="AW2169" s="1973" t="s">
        <v>13263</v>
      </c>
      <c r="AX2169" s="1115" t="s">
        <v>438</v>
      </c>
      <c r="AY2169" s="61" t="str">
        <f>IFERROR(__xludf.DUMMYFUNCTION("vlookup(BB2169,importrange(""https://docs.google.com/spreadsheets/d/1d2vevQ_7D_v35q4wCQ4RpQ_IPoTwEMB9Yp6ymwlPqew/edit?gid=984458430#gid=984458430"", ""'replication success'!A:K""), 11, FAlSE)"),"mixed")</f>
        <v>mixed</v>
      </c>
      <c r="AZ2169" s="61" t="str">
        <f>IFERROR(__xludf.DUMMYFUNCTION("vlookup(BB2169,importrange(""https://docs.google.com/spreadsheets/d/1d2vevQ_7D_v35q4wCQ4RpQ_IPoTwEMB9Yp6ymwlPqew/edit?gid=984458430#gid=984458430"",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69" s="61" t="str">
        <f>IFERROR(__xludf.DUMMYFUNCTION("vlookup(BB2169,importrange(""https://docs.google.com/spreadsheets/d/1d2vevQ_7D_v35q4wCQ4RpQ_IPoTwEMB9Yp6ymwlPqew/edit?gid=984458430#gid=984458430"", ""'replication success'!A:M""), 13, FAlSE)"),"abstract")</f>
        <v>abstract</v>
      </c>
      <c r="BB2169" s="61" t="str">
        <f>IFERROR(__xludf.DUMMYFUNCTION("REGEXREPLACE(G2169, ""_[a-z]{1,2}$"", """")"),"svodevelopment")</f>
        <v>svodevelopment</v>
      </c>
      <c r="BC2169" s="697"/>
      <c r="BD2169" s="716" t="s">
        <v>13264</v>
      </c>
      <c r="BE2169" s="342"/>
      <c r="BF2169" s="342"/>
      <c r="BG2169" s="342"/>
      <c r="BH2169" s="342"/>
      <c r="BI2169" s="342"/>
      <c r="BJ2169" s="342"/>
      <c r="BK2169" s="342"/>
      <c r="BL2169" s="342"/>
      <c r="BM2169" s="342"/>
      <c r="BN2169" s="342"/>
      <c r="BO2169" s="342"/>
      <c r="BP2169" s="342"/>
      <c r="BQ2169" s="342"/>
      <c r="BR2169" s="342"/>
      <c r="BS2169" s="342"/>
      <c r="BT2169" s="342"/>
      <c r="BU2169" s="342"/>
      <c r="BV2169" s="342"/>
      <c r="BW2169" s="342"/>
      <c r="BX2169" s="342"/>
      <c r="BY2169" s="342"/>
      <c r="BZ2169" s="342"/>
      <c r="CA2169" s="342"/>
      <c r="CB2169" s="342"/>
      <c r="CC2169" s="342"/>
      <c r="CD2169" s="342"/>
      <c r="CE2169" s="342"/>
      <c r="CF2169" s="342"/>
      <c r="CG2169" s="342"/>
      <c r="CH2169" s="342"/>
      <c r="CI2169" s="342"/>
      <c r="CJ2169" s="342"/>
      <c r="CK2169" s="342"/>
      <c r="CL2169" s="342"/>
      <c r="CM2169" s="342"/>
      <c r="CN2169" s="342"/>
      <c r="CO2169" s="342"/>
      <c r="CP2169" s="342"/>
      <c r="CQ2169" s="342"/>
      <c r="CR2169" s="342"/>
      <c r="CS2169" s="342"/>
      <c r="CT2169" s="342"/>
      <c r="CU2169" s="342"/>
      <c r="CV2169" s="342"/>
      <c r="CW2169" s="342"/>
      <c r="CX2169" s="342"/>
      <c r="CY2169" s="342"/>
      <c r="CZ2169" s="342"/>
      <c r="DA2169" s="342"/>
      <c r="DB2169" s="342"/>
      <c r="DC2169" s="342"/>
      <c r="DD2169" s="342"/>
      <c r="DE2169" s="342"/>
      <c r="DF2169" s="342"/>
      <c r="DG2169" s="342"/>
      <c r="DH2169" s="342"/>
      <c r="DI2169" s="342"/>
      <c r="DJ2169" s="342"/>
      <c r="DK2169" s="342"/>
      <c r="DL2169" s="342"/>
    </row>
    <row r="2170">
      <c r="A2170" s="44">
        <v>2170.0</v>
      </c>
      <c r="B2170" s="720" t="s">
        <v>114</v>
      </c>
      <c r="C2170" s="716" t="s">
        <v>115</v>
      </c>
      <c r="D2170" s="716" t="s">
        <v>221</v>
      </c>
      <c r="E2170" s="697"/>
      <c r="F2170" s="720" t="s">
        <v>13334</v>
      </c>
      <c r="G2170" s="720" t="s">
        <v>13251</v>
      </c>
      <c r="H2170" s="730" t="s">
        <v>222</v>
      </c>
      <c r="I2170" s="1505" t="s">
        <v>13252</v>
      </c>
      <c r="J2170" s="1506">
        <v>45832.0</v>
      </c>
      <c r="K2170" s="730" t="s">
        <v>13335</v>
      </c>
      <c r="L2170" s="720" t="s">
        <v>13288</v>
      </c>
      <c r="M2170" s="720" t="s">
        <v>13293</v>
      </c>
      <c r="N2170" s="720" t="s">
        <v>9892</v>
      </c>
      <c r="O2170" s="1510">
        <v>3.0</v>
      </c>
      <c r="P2170" s="730" t="s">
        <v>13256</v>
      </c>
      <c r="Q2170" s="1507" t="str">
        <f t="array" ref="Q2170"> if(iserror(MATCH(V2170, 'File Links'!C:C, 0)), "N/A", HYPERLINK(INDEX('File Links'!B:B, MATCH(P2170, 'File Links'!C:C, 0))))</f>
        <v>https://drive.google.com/file/d/1FklynAHzflh7rbxQIU4qTxOz3VBhye8B/view?usp=drivesdk</v>
      </c>
      <c r="R2170" s="1508" t="s">
        <v>13257</v>
      </c>
      <c r="S2170" s="720" t="s">
        <v>13258</v>
      </c>
      <c r="T2170" s="1509"/>
      <c r="U2170" s="1970">
        <v>1.0</v>
      </c>
      <c r="V2170" s="730" t="s">
        <v>13259</v>
      </c>
      <c r="W2170" s="717"/>
      <c r="X2170" s="1511" t="str">
        <f t="array" ref="X2170"> if(iserror(MATCH(V2170, 'File Links'!C:C, 0)), "N/A", HYPERLINK(INDEX('File Links'!B:B, MATCH(V2170, 'File Links'!C:C, 0))))</f>
        <v>https://drive.google.com/file/d/1hYNUJrx3yjyMoTgcG7Qz4pix-8ruWFMC/view?usp=drivesdk</v>
      </c>
      <c r="Y2170" s="1428"/>
      <c r="Z2170" s="730" t="s">
        <v>226</v>
      </c>
      <c r="AA2170" s="720" t="s">
        <v>13260</v>
      </c>
      <c r="AB2170" s="730" t="s">
        <v>13327</v>
      </c>
      <c r="AC2170" s="730" t="s">
        <v>13302</v>
      </c>
      <c r="AD2170" s="717"/>
      <c r="AE2170" s="717"/>
      <c r="AF2170" s="1505">
        <v>631.0</v>
      </c>
      <c r="AG2170" s="1505">
        <v>0.22</v>
      </c>
      <c r="AH2170" s="730" t="s">
        <v>173</v>
      </c>
      <c r="AI2170" s="730">
        <v>9.0</v>
      </c>
      <c r="AJ2170" s="1505">
        <v>0.043</v>
      </c>
      <c r="AK2170" s="730" t="s">
        <v>135</v>
      </c>
      <c r="AL2170" s="730" t="s">
        <v>136</v>
      </c>
      <c r="AM2170" s="720" t="s">
        <v>137</v>
      </c>
      <c r="AN2170" s="720" t="s">
        <v>138</v>
      </c>
      <c r="AO2170" s="1505">
        <v>1446.0</v>
      </c>
      <c r="AP2170" s="1505">
        <v>-0.88</v>
      </c>
      <c r="AQ2170" s="730" t="s">
        <v>173</v>
      </c>
      <c r="AR2170" s="730">
        <v>10.0</v>
      </c>
      <c r="AS2170" s="1505">
        <v>0.001</v>
      </c>
      <c r="AT2170" s="730" t="s">
        <v>172</v>
      </c>
      <c r="AU2170" s="730" t="s">
        <v>136</v>
      </c>
      <c r="AV2170" s="720" t="s">
        <v>137</v>
      </c>
      <c r="AW2170" s="1973" t="s">
        <v>13263</v>
      </c>
      <c r="AX2170" s="720" t="s">
        <v>151</v>
      </c>
      <c r="AY2170" s="61" t="str">
        <f>IFERROR(__xludf.DUMMYFUNCTION("vlookup(BB2170,importrange(""https://docs.google.com/spreadsheets/d/1d2vevQ_7D_v35q4wCQ4RpQ_IPoTwEMB9Yp6ymwlPqew/edit?gid=984458430#gid=984458430"", ""'replication success'!A:K""), 11, FAlSE)"),"mixed")</f>
        <v>mixed</v>
      </c>
      <c r="AZ2170" s="61" t="str">
        <f>IFERROR(__xludf.DUMMYFUNCTION("vlookup(BB2170,importrange(""https://docs.google.com/spreadsheets/d/1d2vevQ_7D_v35q4wCQ4RpQ_IPoTwEMB9Yp6ymwlPqew/edit?gid=984458430#gid=984458430"",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0" s="61" t="str">
        <f>IFERROR(__xludf.DUMMYFUNCTION("vlookup(BB2170,importrange(""https://docs.google.com/spreadsheets/d/1d2vevQ_7D_v35q4wCQ4RpQ_IPoTwEMB9Yp6ymwlPqew/edit?gid=984458430#gid=984458430"", ""'replication success'!A:M""), 13, FAlSE)"),"abstract")</f>
        <v>abstract</v>
      </c>
      <c r="BB2170" s="61" t="str">
        <f>IFERROR(__xludf.DUMMYFUNCTION("REGEXREPLACE(G2170, ""_[a-z]{1,2}$"", """")"),"svodevelopment")</f>
        <v>svodevelopment</v>
      </c>
      <c r="BC2170" s="697"/>
      <c r="BD2170" s="716" t="s">
        <v>13264</v>
      </c>
      <c r="BE2170" s="342"/>
      <c r="BF2170" s="342"/>
      <c r="BG2170" s="342"/>
      <c r="BH2170" s="342"/>
      <c r="BI2170" s="342"/>
      <c r="BJ2170" s="342"/>
      <c r="BK2170" s="342"/>
      <c r="BL2170" s="342"/>
      <c r="BM2170" s="342"/>
      <c r="BN2170" s="342"/>
      <c r="BO2170" s="342"/>
      <c r="BP2170" s="342"/>
      <c r="BQ2170" s="342"/>
      <c r="BR2170" s="342"/>
      <c r="BS2170" s="342"/>
      <c r="BT2170" s="342"/>
      <c r="BU2170" s="342"/>
      <c r="BV2170" s="342"/>
      <c r="BW2170" s="342"/>
      <c r="BX2170" s="342"/>
      <c r="BY2170" s="342"/>
      <c r="BZ2170" s="342"/>
      <c r="CA2170" s="342"/>
      <c r="CB2170" s="342"/>
      <c r="CC2170" s="342"/>
      <c r="CD2170" s="342"/>
      <c r="CE2170" s="342"/>
      <c r="CF2170" s="342"/>
      <c r="CG2170" s="342"/>
      <c r="CH2170" s="342"/>
      <c r="CI2170" s="342"/>
      <c r="CJ2170" s="342"/>
      <c r="CK2170" s="342"/>
      <c r="CL2170" s="342"/>
      <c r="CM2170" s="342"/>
      <c r="CN2170" s="342"/>
      <c r="CO2170" s="342"/>
      <c r="CP2170" s="342"/>
      <c r="CQ2170" s="342"/>
      <c r="CR2170" s="342"/>
      <c r="CS2170" s="342"/>
      <c r="CT2170" s="342"/>
      <c r="CU2170" s="342"/>
      <c r="CV2170" s="342"/>
      <c r="CW2170" s="342"/>
      <c r="CX2170" s="342"/>
      <c r="CY2170" s="342"/>
      <c r="CZ2170" s="342"/>
      <c r="DA2170" s="342"/>
      <c r="DB2170" s="342"/>
      <c r="DC2170" s="342"/>
      <c r="DD2170" s="342"/>
      <c r="DE2170" s="342"/>
      <c r="DF2170" s="342"/>
      <c r="DG2170" s="342"/>
      <c r="DH2170" s="342"/>
      <c r="DI2170" s="342"/>
      <c r="DJ2170" s="342"/>
      <c r="DK2170" s="342"/>
      <c r="DL2170" s="342"/>
    </row>
    <row r="2171">
      <c r="A2171" s="44">
        <v>2171.0</v>
      </c>
      <c r="B2171" s="720" t="s">
        <v>152</v>
      </c>
      <c r="C2171" s="716" t="s">
        <v>115</v>
      </c>
      <c r="D2171" s="716" t="s">
        <v>2930</v>
      </c>
      <c r="E2171" s="697"/>
      <c r="F2171" s="720" t="s">
        <v>13334</v>
      </c>
      <c r="G2171" s="720" t="s">
        <v>13251</v>
      </c>
      <c r="H2171" s="730" t="s">
        <v>13265</v>
      </c>
      <c r="I2171" s="1505" t="s">
        <v>13296</v>
      </c>
      <c r="J2171" s="1506">
        <v>45832.0</v>
      </c>
      <c r="K2171" s="730" t="s">
        <v>13278</v>
      </c>
      <c r="L2171" s="720" t="s">
        <v>13288</v>
      </c>
      <c r="M2171" s="720" t="s">
        <v>13293</v>
      </c>
      <c r="N2171" s="720" t="s">
        <v>9892</v>
      </c>
      <c r="O2171" s="1510">
        <v>3.0</v>
      </c>
      <c r="P2171" s="730" t="s">
        <v>13256</v>
      </c>
      <c r="Q2171" s="1507" t="str">
        <f t="array" ref="Q2171"> if(iserror(MATCH(V2171, 'File Links'!C:C, 0)), "N/A", HYPERLINK(INDEX('File Links'!B:B, MATCH(P2171, 'File Links'!C:C, 0))))</f>
        <v>https://drive.google.com/file/d/1FklynAHzflh7rbxQIU4qTxOz3VBhye8B/view?usp=drivesdk</v>
      </c>
      <c r="R2171" s="1508" t="s">
        <v>13257</v>
      </c>
      <c r="S2171" s="720" t="s">
        <v>13258</v>
      </c>
      <c r="T2171" s="1974" t="s">
        <v>138</v>
      </c>
      <c r="U2171" s="1510">
        <v>1.0</v>
      </c>
      <c r="V2171" s="730" t="s">
        <v>13259</v>
      </c>
      <c r="W2171" s="730" t="s">
        <v>209</v>
      </c>
      <c r="X2171" s="1511" t="str">
        <f t="array" ref="X2171"> if(iserror(MATCH(V2171, 'File Links'!C:C, 0)), "N/A", HYPERLINK(INDEX('File Links'!B:B, MATCH(V2171, 'File Links'!C:C, 0))))</f>
        <v>https://drive.google.com/file/d/1hYNUJrx3yjyMoTgcG7Qz4pix-8ruWFMC/view?usp=drivesdk</v>
      </c>
      <c r="Y2171" s="1428"/>
      <c r="Z2171" s="730" t="s">
        <v>226</v>
      </c>
      <c r="AA2171" s="720" t="s">
        <v>13260</v>
      </c>
      <c r="AB2171" s="730" t="s">
        <v>13328</v>
      </c>
      <c r="AC2171" s="730" t="s">
        <v>13302</v>
      </c>
      <c r="AD2171" s="730" t="s">
        <v>13303</v>
      </c>
      <c r="AE2171" s="730">
        <v>7.0</v>
      </c>
      <c r="AF2171" s="1505">
        <v>631.0</v>
      </c>
      <c r="AG2171" s="1505">
        <v>0.219</v>
      </c>
      <c r="AH2171" s="730" t="s">
        <v>173</v>
      </c>
      <c r="AI2171" s="730" t="s">
        <v>132</v>
      </c>
      <c r="AJ2171" s="1505" t="s">
        <v>138</v>
      </c>
      <c r="AK2171" s="717"/>
      <c r="AL2171" s="730" t="s">
        <v>186</v>
      </c>
      <c r="AM2171" s="720" t="s">
        <v>137</v>
      </c>
      <c r="AN2171" s="720" t="s">
        <v>138</v>
      </c>
      <c r="AO2171" s="1505">
        <v>1446.0</v>
      </c>
      <c r="AP2171" s="1505">
        <v>0.11</v>
      </c>
      <c r="AQ2171" s="730" t="s">
        <v>722</v>
      </c>
      <c r="AR2171" s="730" t="s">
        <v>13299</v>
      </c>
      <c r="AS2171" s="1505">
        <v>0.001</v>
      </c>
      <c r="AT2171" s="730" t="s">
        <v>172</v>
      </c>
      <c r="AU2171" s="730" t="s">
        <v>186</v>
      </c>
      <c r="AV2171" s="720" t="s">
        <v>137</v>
      </c>
      <c r="AW2171" s="1973" t="s">
        <v>13263</v>
      </c>
      <c r="AX2171" s="1115" t="s">
        <v>438</v>
      </c>
      <c r="AY2171" s="61" t="str">
        <f>IFERROR(__xludf.DUMMYFUNCTION("vlookup(BB2171,importrange(""https://docs.google.com/spreadsheets/d/1d2vevQ_7D_v35q4wCQ4RpQ_IPoTwEMB9Yp6ymwlPqew/edit?gid=984458430#gid=984458430"", ""'replication success'!A:K""), 11, FAlSE)"),"mixed")</f>
        <v>mixed</v>
      </c>
      <c r="AZ2171" s="61" t="str">
        <f>IFERROR(__xludf.DUMMYFUNCTION("vlookup(BB2171,importrange(""https://docs.google.com/spreadsheets/d/1d2vevQ_7D_v35q4wCQ4RpQ_IPoTwEMB9Yp6ymwlPqew/edit?gid=984458430#gid=984458430"",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1" s="61" t="str">
        <f>IFERROR(__xludf.DUMMYFUNCTION("vlookup(BB2171,importrange(""https://docs.google.com/spreadsheets/d/1d2vevQ_7D_v35q4wCQ4RpQ_IPoTwEMB9Yp6ymwlPqew/edit?gid=984458430#gid=984458430"", ""'replication success'!A:M""), 13, FAlSE)"),"abstract")</f>
        <v>abstract</v>
      </c>
      <c r="BB2171" s="61" t="str">
        <f>IFERROR(__xludf.DUMMYFUNCTION("REGEXREPLACE(G2171, ""_[a-z]{1,2}$"", """")"),"svodevelopment")</f>
        <v>svodevelopment</v>
      </c>
      <c r="BC2171" s="697"/>
      <c r="BD2171" s="716" t="s">
        <v>13264</v>
      </c>
      <c r="BE2171" s="342"/>
      <c r="BF2171" s="342"/>
      <c r="BG2171" s="342"/>
      <c r="BH2171" s="342"/>
      <c r="BI2171" s="342"/>
      <c r="BJ2171" s="342"/>
      <c r="BK2171" s="342"/>
      <c r="BL2171" s="342"/>
      <c r="BM2171" s="342"/>
      <c r="BN2171" s="342"/>
      <c r="BO2171" s="342"/>
      <c r="BP2171" s="342"/>
      <c r="BQ2171" s="342"/>
      <c r="BR2171" s="342"/>
      <c r="BS2171" s="342"/>
      <c r="BT2171" s="342"/>
      <c r="BU2171" s="342"/>
      <c r="BV2171" s="342"/>
      <c r="BW2171" s="342"/>
      <c r="BX2171" s="342"/>
      <c r="BY2171" s="342"/>
      <c r="BZ2171" s="342"/>
      <c r="CA2171" s="342"/>
      <c r="CB2171" s="342"/>
      <c r="CC2171" s="342"/>
      <c r="CD2171" s="342"/>
      <c r="CE2171" s="342"/>
      <c r="CF2171" s="342"/>
      <c r="CG2171" s="342"/>
      <c r="CH2171" s="342"/>
      <c r="CI2171" s="342"/>
      <c r="CJ2171" s="342"/>
      <c r="CK2171" s="342"/>
      <c r="CL2171" s="342"/>
      <c r="CM2171" s="342"/>
      <c r="CN2171" s="342"/>
      <c r="CO2171" s="342"/>
      <c r="CP2171" s="342"/>
      <c r="CQ2171" s="342"/>
      <c r="CR2171" s="342"/>
      <c r="CS2171" s="342"/>
      <c r="CT2171" s="342"/>
      <c r="CU2171" s="342"/>
      <c r="CV2171" s="342"/>
      <c r="CW2171" s="342"/>
      <c r="CX2171" s="342"/>
      <c r="CY2171" s="342"/>
      <c r="CZ2171" s="342"/>
      <c r="DA2171" s="342"/>
      <c r="DB2171" s="342"/>
      <c r="DC2171" s="342"/>
      <c r="DD2171" s="342"/>
      <c r="DE2171" s="342"/>
      <c r="DF2171" s="342"/>
      <c r="DG2171" s="342"/>
      <c r="DH2171" s="342"/>
      <c r="DI2171" s="342"/>
      <c r="DJ2171" s="342"/>
      <c r="DK2171" s="342"/>
      <c r="DL2171" s="342"/>
    </row>
    <row r="2172">
      <c r="A2172" s="44">
        <v>2172.0</v>
      </c>
      <c r="B2172" s="720" t="s">
        <v>114</v>
      </c>
      <c r="C2172" s="716" t="s">
        <v>115</v>
      </c>
      <c r="D2172" s="716" t="s">
        <v>221</v>
      </c>
      <c r="E2172" s="697"/>
      <c r="F2172" s="720" t="s">
        <v>13336</v>
      </c>
      <c r="G2172" s="720" t="s">
        <v>13251</v>
      </c>
      <c r="H2172" s="730" t="s">
        <v>222</v>
      </c>
      <c r="I2172" s="1505" t="s">
        <v>13252</v>
      </c>
      <c r="J2172" s="1506">
        <v>45832.0</v>
      </c>
      <c r="K2172" s="730" t="s">
        <v>13337</v>
      </c>
      <c r="L2172" s="720" t="s">
        <v>13288</v>
      </c>
      <c r="M2172" s="720" t="s">
        <v>13293</v>
      </c>
      <c r="N2172" s="720" t="s">
        <v>9892</v>
      </c>
      <c r="O2172" s="1510">
        <v>3.0</v>
      </c>
      <c r="P2172" s="730" t="s">
        <v>13256</v>
      </c>
      <c r="Q2172" s="1507" t="str">
        <f t="array" ref="Q2172"> if(iserror(MATCH(V2172, 'File Links'!C:C, 0)), "N/A", HYPERLINK(INDEX('File Links'!B:B, MATCH(P2172, 'File Links'!C:C, 0))))</f>
        <v>https://drive.google.com/file/d/1FklynAHzflh7rbxQIU4qTxOz3VBhye8B/view?usp=drivesdk</v>
      </c>
      <c r="R2172" s="1508" t="s">
        <v>13257</v>
      </c>
      <c r="S2172" s="720" t="s">
        <v>13258</v>
      </c>
      <c r="T2172" s="1509"/>
      <c r="U2172" s="1970">
        <v>1.0</v>
      </c>
      <c r="V2172" s="730" t="s">
        <v>13259</v>
      </c>
      <c r="W2172" s="717"/>
      <c r="X2172" s="1511" t="str">
        <f t="array" ref="X2172"> if(iserror(MATCH(V2172, 'File Links'!C:C, 0)), "N/A", HYPERLINK(INDEX('File Links'!B:B, MATCH(V2172, 'File Links'!C:C, 0))))</f>
        <v>https://drive.google.com/file/d/1hYNUJrx3yjyMoTgcG7Qz4pix-8ruWFMC/view?usp=drivesdk</v>
      </c>
      <c r="Y2172" s="1428"/>
      <c r="Z2172" s="730" t="s">
        <v>226</v>
      </c>
      <c r="AA2172" s="720" t="s">
        <v>13260</v>
      </c>
      <c r="AB2172" s="730" t="s">
        <v>13338</v>
      </c>
      <c r="AC2172" s="730" t="s">
        <v>13307</v>
      </c>
      <c r="AD2172" s="717"/>
      <c r="AE2172" s="717"/>
      <c r="AF2172" s="1505">
        <v>631.0</v>
      </c>
      <c r="AG2172" s="1505">
        <v>0.32</v>
      </c>
      <c r="AH2172" s="730" t="s">
        <v>173</v>
      </c>
      <c r="AI2172" s="730">
        <v>9.0</v>
      </c>
      <c r="AJ2172" s="1505">
        <v>0.024</v>
      </c>
      <c r="AK2172" s="730" t="s">
        <v>135</v>
      </c>
      <c r="AL2172" s="730" t="s">
        <v>136</v>
      </c>
      <c r="AM2172" s="720" t="s">
        <v>137</v>
      </c>
      <c r="AN2172" s="720" t="s">
        <v>138</v>
      </c>
      <c r="AO2172" s="1505">
        <v>1446.0</v>
      </c>
      <c r="AP2172" s="1505">
        <v>0.15</v>
      </c>
      <c r="AQ2172" s="730" t="s">
        <v>173</v>
      </c>
      <c r="AR2172" s="730">
        <v>10.0</v>
      </c>
      <c r="AS2172" s="1505">
        <v>0.001</v>
      </c>
      <c r="AT2172" s="730" t="s">
        <v>172</v>
      </c>
      <c r="AU2172" s="730" t="s">
        <v>136</v>
      </c>
      <c r="AV2172" s="720" t="s">
        <v>137</v>
      </c>
      <c r="AW2172" s="1973" t="s">
        <v>13263</v>
      </c>
      <c r="AX2172" s="720" t="s">
        <v>151</v>
      </c>
      <c r="AY2172" s="61" t="str">
        <f>IFERROR(__xludf.DUMMYFUNCTION("vlookup(BB2172,importrange(""https://docs.google.com/spreadsheets/d/1d2vevQ_7D_v35q4wCQ4RpQ_IPoTwEMB9Yp6ymwlPqew/edit?gid=984458430#gid=984458430"", ""'replication success'!A:K""), 11, FAlSE)"),"mixed")</f>
        <v>mixed</v>
      </c>
      <c r="AZ2172" s="61" t="str">
        <f>IFERROR(__xludf.DUMMYFUNCTION("vlookup(BB2172,importrange(""https://docs.google.com/spreadsheets/d/1d2vevQ_7D_v35q4wCQ4RpQ_IPoTwEMB9Yp6ymwlPqew/edit?gid=984458430#gid=984458430"",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2" s="61" t="str">
        <f>IFERROR(__xludf.DUMMYFUNCTION("vlookup(BB2172,importrange(""https://docs.google.com/spreadsheets/d/1d2vevQ_7D_v35q4wCQ4RpQ_IPoTwEMB9Yp6ymwlPqew/edit?gid=984458430#gid=984458430"", ""'replication success'!A:M""), 13, FAlSE)"),"abstract")</f>
        <v>abstract</v>
      </c>
      <c r="BB2172" s="61" t="str">
        <f>IFERROR(__xludf.DUMMYFUNCTION("REGEXREPLACE(G2172, ""_[a-z]{1,2}$"", """")"),"svodevelopment")</f>
        <v>svodevelopment</v>
      </c>
      <c r="BC2172" s="697"/>
      <c r="BD2172" s="716" t="s">
        <v>13264</v>
      </c>
      <c r="BE2172" s="342"/>
      <c r="BF2172" s="342"/>
      <c r="BG2172" s="342"/>
      <c r="BH2172" s="342"/>
      <c r="BI2172" s="342"/>
      <c r="BJ2172" s="342"/>
      <c r="BK2172" s="342"/>
      <c r="BL2172" s="342"/>
      <c r="BM2172" s="342"/>
      <c r="BN2172" s="342"/>
      <c r="BO2172" s="342"/>
      <c r="BP2172" s="342"/>
      <c r="BQ2172" s="342"/>
      <c r="BR2172" s="342"/>
      <c r="BS2172" s="342"/>
      <c r="BT2172" s="342"/>
      <c r="BU2172" s="342"/>
      <c r="BV2172" s="342"/>
      <c r="BW2172" s="342"/>
      <c r="BX2172" s="342"/>
      <c r="BY2172" s="342"/>
      <c r="BZ2172" s="342"/>
      <c r="CA2172" s="342"/>
      <c r="CB2172" s="342"/>
      <c r="CC2172" s="342"/>
      <c r="CD2172" s="342"/>
      <c r="CE2172" s="342"/>
      <c r="CF2172" s="342"/>
      <c r="CG2172" s="342"/>
      <c r="CH2172" s="342"/>
      <c r="CI2172" s="342"/>
      <c r="CJ2172" s="342"/>
      <c r="CK2172" s="342"/>
      <c r="CL2172" s="342"/>
      <c r="CM2172" s="342"/>
      <c r="CN2172" s="342"/>
      <c r="CO2172" s="342"/>
      <c r="CP2172" s="342"/>
      <c r="CQ2172" s="342"/>
      <c r="CR2172" s="342"/>
      <c r="CS2172" s="342"/>
      <c r="CT2172" s="342"/>
      <c r="CU2172" s="342"/>
      <c r="CV2172" s="342"/>
      <c r="CW2172" s="342"/>
      <c r="CX2172" s="342"/>
      <c r="CY2172" s="342"/>
      <c r="CZ2172" s="342"/>
      <c r="DA2172" s="342"/>
      <c r="DB2172" s="342"/>
      <c r="DC2172" s="342"/>
      <c r="DD2172" s="342"/>
      <c r="DE2172" s="342"/>
      <c r="DF2172" s="342"/>
      <c r="DG2172" s="342"/>
      <c r="DH2172" s="342"/>
      <c r="DI2172" s="342"/>
      <c r="DJ2172" s="342"/>
      <c r="DK2172" s="342"/>
      <c r="DL2172" s="342"/>
    </row>
    <row r="2173">
      <c r="A2173" s="44">
        <v>2173.0</v>
      </c>
      <c r="B2173" s="720" t="s">
        <v>152</v>
      </c>
      <c r="C2173" s="716" t="s">
        <v>115</v>
      </c>
      <c r="D2173" s="716" t="s">
        <v>2930</v>
      </c>
      <c r="E2173" s="697"/>
      <c r="F2173" s="720" t="s">
        <v>13336</v>
      </c>
      <c r="G2173" s="720" t="s">
        <v>13251</v>
      </c>
      <c r="H2173" s="730" t="s">
        <v>13265</v>
      </c>
      <c r="I2173" s="1505" t="s">
        <v>13296</v>
      </c>
      <c r="J2173" s="1506">
        <v>45832.0</v>
      </c>
      <c r="K2173" s="730" t="s">
        <v>13278</v>
      </c>
      <c r="L2173" s="720" t="s">
        <v>13288</v>
      </c>
      <c r="M2173" s="720" t="s">
        <v>13293</v>
      </c>
      <c r="N2173" s="720" t="s">
        <v>9892</v>
      </c>
      <c r="O2173" s="1510">
        <v>3.0</v>
      </c>
      <c r="P2173" s="730" t="s">
        <v>13256</v>
      </c>
      <c r="Q2173" s="1507" t="str">
        <f t="array" ref="Q2173"> if(iserror(MATCH(V2173, 'File Links'!C:C, 0)), "N/A", HYPERLINK(INDEX('File Links'!B:B, MATCH(P2173, 'File Links'!C:C, 0))))</f>
        <v>https://drive.google.com/file/d/1FklynAHzflh7rbxQIU4qTxOz3VBhye8B/view?usp=drivesdk</v>
      </c>
      <c r="R2173" s="1508" t="s">
        <v>13257</v>
      </c>
      <c r="S2173" s="720" t="s">
        <v>13258</v>
      </c>
      <c r="T2173" s="1974" t="s">
        <v>138</v>
      </c>
      <c r="U2173" s="1510">
        <v>1.0</v>
      </c>
      <c r="V2173" s="730" t="s">
        <v>13259</v>
      </c>
      <c r="W2173" s="730" t="s">
        <v>209</v>
      </c>
      <c r="X2173" s="1511" t="str">
        <f t="array" ref="X2173"> if(iserror(MATCH(V2173, 'File Links'!C:C, 0)), "N/A", HYPERLINK(INDEX('File Links'!B:B, MATCH(V2173, 'File Links'!C:C, 0))))</f>
        <v>https://drive.google.com/file/d/1hYNUJrx3yjyMoTgcG7Qz4pix-8ruWFMC/view?usp=drivesdk</v>
      </c>
      <c r="Y2173" s="1428"/>
      <c r="Z2173" s="730" t="s">
        <v>226</v>
      </c>
      <c r="AA2173" s="720" t="s">
        <v>13260</v>
      </c>
      <c r="AB2173" s="730" t="s">
        <v>13339</v>
      </c>
      <c r="AC2173" s="730" t="s">
        <v>13307</v>
      </c>
      <c r="AD2173" s="730" t="s">
        <v>13309</v>
      </c>
      <c r="AE2173" s="730">
        <v>8.0</v>
      </c>
      <c r="AF2173" s="1505">
        <v>631.0</v>
      </c>
      <c r="AG2173" s="1505">
        <v>0.321</v>
      </c>
      <c r="AH2173" s="730" t="s">
        <v>173</v>
      </c>
      <c r="AI2173" s="730" t="s">
        <v>613</v>
      </c>
      <c r="AJ2173" s="1505" t="s">
        <v>138</v>
      </c>
      <c r="AK2173" s="717"/>
      <c r="AL2173" s="730" t="s">
        <v>186</v>
      </c>
      <c r="AM2173" s="720" t="s">
        <v>137</v>
      </c>
      <c r="AN2173" s="720" t="s">
        <v>138</v>
      </c>
      <c r="AO2173" s="1505">
        <v>1446.0</v>
      </c>
      <c r="AP2173" s="1505">
        <v>0.1</v>
      </c>
      <c r="AQ2173" s="730" t="s">
        <v>722</v>
      </c>
      <c r="AR2173" s="730" t="s">
        <v>13299</v>
      </c>
      <c r="AS2173" s="1505">
        <v>0.005</v>
      </c>
      <c r="AT2173" s="730" t="s">
        <v>172</v>
      </c>
      <c r="AU2173" s="730" t="s">
        <v>186</v>
      </c>
      <c r="AV2173" s="720" t="s">
        <v>137</v>
      </c>
      <c r="AW2173" s="1973" t="s">
        <v>13263</v>
      </c>
      <c r="AX2173" s="1115" t="s">
        <v>438</v>
      </c>
      <c r="AY2173" s="61" t="str">
        <f>IFERROR(__xludf.DUMMYFUNCTION("vlookup(BB2173,importrange(""https://docs.google.com/spreadsheets/d/1d2vevQ_7D_v35q4wCQ4RpQ_IPoTwEMB9Yp6ymwlPqew/edit?gid=984458430#gid=984458430"", ""'replication success'!A:K""), 11, FAlSE)"),"mixed")</f>
        <v>mixed</v>
      </c>
      <c r="AZ2173" s="61" t="str">
        <f>IFERROR(__xludf.DUMMYFUNCTION("vlookup(BB2173,importrange(""https://docs.google.com/spreadsheets/d/1d2vevQ_7D_v35q4wCQ4RpQ_IPoTwEMB9Yp6ymwlPqew/edit?gid=984458430#gid=984458430"",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3" s="61" t="str">
        <f>IFERROR(__xludf.DUMMYFUNCTION("vlookup(BB2173,importrange(""https://docs.google.com/spreadsheets/d/1d2vevQ_7D_v35q4wCQ4RpQ_IPoTwEMB9Yp6ymwlPqew/edit?gid=984458430#gid=984458430"", ""'replication success'!A:M""), 13, FAlSE)"),"abstract")</f>
        <v>abstract</v>
      </c>
      <c r="BB2173" s="61" t="str">
        <f>IFERROR(__xludf.DUMMYFUNCTION("REGEXREPLACE(G2173, ""_[a-z]{1,2}$"", """")"),"svodevelopment")</f>
        <v>svodevelopment</v>
      </c>
      <c r="BC2173" s="697"/>
      <c r="BD2173" s="716" t="s">
        <v>13264</v>
      </c>
      <c r="BE2173" s="342"/>
      <c r="BF2173" s="342"/>
      <c r="BG2173" s="342"/>
      <c r="BH2173" s="342"/>
      <c r="BI2173" s="342"/>
      <c r="BJ2173" s="342"/>
      <c r="BK2173" s="342"/>
      <c r="BL2173" s="342"/>
      <c r="BM2173" s="342"/>
      <c r="BN2173" s="342"/>
      <c r="BO2173" s="342"/>
      <c r="BP2173" s="342"/>
      <c r="BQ2173" s="342"/>
      <c r="BR2173" s="342"/>
      <c r="BS2173" s="342"/>
      <c r="BT2173" s="342"/>
      <c r="BU2173" s="342"/>
      <c r="BV2173" s="342"/>
      <c r="BW2173" s="342"/>
      <c r="BX2173" s="342"/>
      <c r="BY2173" s="342"/>
      <c r="BZ2173" s="342"/>
      <c r="CA2173" s="342"/>
      <c r="CB2173" s="342"/>
      <c r="CC2173" s="342"/>
      <c r="CD2173" s="342"/>
      <c r="CE2173" s="342"/>
      <c r="CF2173" s="342"/>
      <c r="CG2173" s="342"/>
      <c r="CH2173" s="342"/>
      <c r="CI2173" s="342"/>
      <c r="CJ2173" s="342"/>
      <c r="CK2173" s="342"/>
      <c r="CL2173" s="342"/>
      <c r="CM2173" s="342"/>
      <c r="CN2173" s="342"/>
      <c r="CO2173" s="342"/>
      <c r="CP2173" s="342"/>
      <c r="CQ2173" s="342"/>
      <c r="CR2173" s="342"/>
      <c r="CS2173" s="342"/>
      <c r="CT2173" s="342"/>
      <c r="CU2173" s="342"/>
      <c r="CV2173" s="342"/>
      <c r="CW2173" s="342"/>
      <c r="CX2173" s="342"/>
      <c r="CY2173" s="342"/>
      <c r="CZ2173" s="342"/>
      <c r="DA2173" s="342"/>
      <c r="DB2173" s="342"/>
      <c r="DC2173" s="342"/>
      <c r="DD2173" s="342"/>
      <c r="DE2173" s="342"/>
      <c r="DF2173" s="342"/>
      <c r="DG2173" s="342"/>
      <c r="DH2173" s="342"/>
      <c r="DI2173" s="342"/>
      <c r="DJ2173" s="342"/>
      <c r="DK2173" s="342"/>
      <c r="DL2173" s="342"/>
    </row>
    <row r="2174">
      <c r="A2174" s="44">
        <v>2174.0</v>
      </c>
      <c r="B2174" s="720" t="s">
        <v>114</v>
      </c>
      <c r="C2174" s="716" t="s">
        <v>115</v>
      </c>
      <c r="D2174" s="716" t="s">
        <v>221</v>
      </c>
      <c r="E2174" s="697"/>
      <c r="F2174" s="720" t="s">
        <v>13340</v>
      </c>
      <c r="G2174" s="720" t="s">
        <v>13251</v>
      </c>
      <c r="H2174" s="730" t="s">
        <v>222</v>
      </c>
      <c r="I2174" s="1505" t="s">
        <v>13252</v>
      </c>
      <c r="J2174" s="1506">
        <v>45832.0</v>
      </c>
      <c r="K2174" s="730" t="s">
        <v>13341</v>
      </c>
      <c r="L2174" s="720" t="s">
        <v>13288</v>
      </c>
      <c r="M2174" s="720" t="s">
        <v>13293</v>
      </c>
      <c r="N2174" s="720" t="s">
        <v>9892</v>
      </c>
      <c r="O2174" s="1510">
        <v>3.0</v>
      </c>
      <c r="P2174" s="730" t="s">
        <v>13256</v>
      </c>
      <c r="Q2174" s="1507" t="str">
        <f t="array" ref="Q2174"> if(iserror(MATCH(V2174, 'File Links'!C:C, 0)), "N/A", HYPERLINK(INDEX('File Links'!B:B, MATCH(P2174, 'File Links'!C:C, 0))))</f>
        <v>https://drive.google.com/file/d/1FklynAHzflh7rbxQIU4qTxOz3VBhye8B/view?usp=drivesdk</v>
      </c>
      <c r="R2174" s="1508" t="s">
        <v>13257</v>
      </c>
      <c r="S2174" s="720" t="s">
        <v>13258</v>
      </c>
      <c r="T2174" s="1509"/>
      <c r="U2174" s="1970">
        <v>1.0</v>
      </c>
      <c r="V2174" s="730" t="s">
        <v>13259</v>
      </c>
      <c r="W2174" s="717"/>
      <c r="X2174" s="1511" t="str">
        <f t="array" ref="X2174"> if(iserror(MATCH(V2174, 'File Links'!C:C, 0)), "N/A", HYPERLINK(INDEX('File Links'!B:B, MATCH(V2174, 'File Links'!C:C, 0))))</f>
        <v>https://drive.google.com/file/d/1hYNUJrx3yjyMoTgcG7Qz4pix-8ruWFMC/view?usp=drivesdk</v>
      </c>
      <c r="Y2174" s="1428"/>
      <c r="Z2174" s="730" t="s">
        <v>226</v>
      </c>
      <c r="AA2174" s="720" t="s">
        <v>13260</v>
      </c>
      <c r="AB2174" s="730" t="s">
        <v>13338</v>
      </c>
      <c r="AC2174" s="730" t="s">
        <v>13312</v>
      </c>
      <c r="AD2174" s="717"/>
      <c r="AE2174" s="717"/>
      <c r="AF2174" s="1505">
        <v>631.0</v>
      </c>
      <c r="AG2174" s="1505">
        <v>0.28</v>
      </c>
      <c r="AH2174" s="730" t="s">
        <v>173</v>
      </c>
      <c r="AI2174" s="730">
        <v>9.0</v>
      </c>
      <c r="AJ2174" s="1505">
        <v>0.024</v>
      </c>
      <c r="AK2174" s="730" t="s">
        <v>135</v>
      </c>
      <c r="AL2174" s="730" t="s">
        <v>136</v>
      </c>
      <c r="AM2174" s="720" t="s">
        <v>137</v>
      </c>
      <c r="AN2174" s="720" t="s">
        <v>138</v>
      </c>
      <c r="AO2174" s="1505">
        <v>1446.0</v>
      </c>
      <c r="AP2174" s="1505">
        <v>-0.62</v>
      </c>
      <c r="AQ2174" s="730" t="s">
        <v>173</v>
      </c>
      <c r="AR2174" s="730">
        <v>10.0</v>
      </c>
      <c r="AS2174" s="1505">
        <v>0.001</v>
      </c>
      <c r="AT2174" s="730" t="s">
        <v>172</v>
      </c>
      <c r="AU2174" s="730" t="s">
        <v>136</v>
      </c>
      <c r="AV2174" s="720" t="s">
        <v>137</v>
      </c>
      <c r="AW2174" s="1973" t="s">
        <v>13263</v>
      </c>
      <c r="AX2174" s="720" t="s">
        <v>151</v>
      </c>
      <c r="AY2174" s="61" t="str">
        <f>IFERROR(__xludf.DUMMYFUNCTION("vlookup(BB2174,importrange(""https://docs.google.com/spreadsheets/d/1d2vevQ_7D_v35q4wCQ4RpQ_IPoTwEMB9Yp6ymwlPqew/edit?gid=984458430#gid=984458430"", ""'replication success'!A:K""), 11, FAlSE)"),"mixed")</f>
        <v>mixed</v>
      </c>
      <c r="AZ2174" s="61" t="str">
        <f>IFERROR(__xludf.DUMMYFUNCTION("vlookup(BB2174,importrange(""https://docs.google.com/spreadsheets/d/1d2vevQ_7D_v35q4wCQ4RpQ_IPoTwEMB9Yp6ymwlPqew/edit?gid=984458430#gid=984458430"",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4" s="61" t="str">
        <f>IFERROR(__xludf.DUMMYFUNCTION("vlookup(BB2174,importrange(""https://docs.google.com/spreadsheets/d/1d2vevQ_7D_v35q4wCQ4RpQ_IPoTwEMB9Yp6ymwlPqew/edit?gid=984458430#gid=984458430"", ""'replication success'!A:M""), 13, FAlSE)"),"abstract")</f>
        <v>abstract</v>
      </c>
      <c r="BB2174" s="61" t="str">
        <f>IFERROR(__xludf.DUMMYFUNCTION("REGEXREPLACE(G2174, ""_[a-z]{1,2}$"", """")"),"svodevelopment")</f>
        <v>svodevelopment</v>
      </c>
      <c r="BC2174" s="697"/>
      <c r="BD2174" s="716" t="s">
        <v>13264</v>
      </c>
      <c r="BE2174" s="342"/>
      <c r="BF2174" s="342"/>
      <c r="BG2174" s="342"/>
      <c r="BH2174" s="342"/>
      <c r="BI2174" s="342"/>
      <c r="BJ2174" s="342"/>
      <c r="BK2174" s="342"/>
      <c r="BL2174" s="342"/>
      <c r="BM2174" s="342"/>
      <c r="BN2174" s="342"/>
      <c r="BO2174" s="342"/>
      <c r="BP2174" s="342"/>
      <c r="BQ2174" s="342"/>
      <c r="BR2174" s="342"/>
      <c r="BS2174" s="342"/>
      <c r="BT2174" s="342"/>
      <c r="BU2174" s="342"/>
      <c r="BV2174" s="342"/>
      <c r="BW2174" s="342"/>
      <c r="BX2174" s="342"/>
      <c r="BY2174" s="342"/>
      <c r="BZ2174" s="342"/>
      <c r="CA2174" s="342"/>
      <c r="CB2174" s="342"/>
      <c r="CC2174" s="342"/>
      <c r="CD2174" s="342"/>
      <c r="CE2174" s="342"/>
      <c r="CF2174" s="342"/>
      <c r="CG2174" s="342"/>
      <c r="CH2174" s="342"/>
      <c r="CI2174" s="342"/>
      <c r="CJ2174" s="342"/>
      <c r="CK2174" s="342"/>
      <c r="CL2174" s="342"/>
      <c r="CM2174" s="342"/>
      <c r="CN2174" s="342"/>
      <c r="CO2174" s="342"/>
      <c r="CP2174" s="342"/>
      <c r="CQ2174" s="342"/>
      <c r="CR2174" s="342"/>
      <c r="CS2174" s="342"/>
      <c r="CT2174" s="342"/>
      <c r="CU2174" s="342"/>
      <c r="CV2174" s="342"/>
      <c r="CW2174" s="342"/>
      <c r="CX2174" s="342"/>
      <c r="CY2174" s="342"/>
      <c r="CZ2174" s="342"/>
      <c r="DA2174" s="342"/>
      <c r="DB2174" s="342"/>
      <c r="DC2174" s="342"/>
      <c r="DD2174" s="342"/>
      <c r="DE2174" s="342"/>
      <c r="DF2174" s="342"/>
      <c r="DG2174" s="342"/>
      <c r="DH2174" s="342"/>
      <c r="DI2174" s="342"/>
      <c r="DJ2174" s="342"/>
      <c r="DK2174" s="342"/>
      <c r="DL2174" s="342"/>
    </row>
    <row r="2175">
      <c r="A2175" s="44">
        <v>2175.0</v>
      </c>
      <c r="B2175" s="720" t="s">
        <v>152</v>
      </c>
      <c r="C2175" s="716" t="s">
        <v>115</v>
      </c>
      <c r="D2175" s="716" t="s">
        <v>2930</v>
      </c>
      <c r="E2175" s="697"/>
      <c r="F2175" s="720" t="s">
        <v>13340</v>
      </c>
      <c r="G2175" s="720" t="s">
        <v>13251</v>
      </c>
      <c r="H2175" s="730" t="s">
        <v>13265</v>
      </c>
      <c r="I2175" s="1505" t="s">
        <v>13296</v>
      </c>
      <c r="J2175" s="1506">
        <v>45832.0</v>
      </c>
      <c r="K2175" s="730" t="s">
        <v>13278</v>
      </c>
      <c r="L2175" s="720" t="s">
        <v>13288</v>
      </c>
      <c r="M2175" s="720" t="s">
        <v>13293</v>
      </c>
      <c r="N2175" s="720" t="s">
        <v>9892</v>
      </c>
      <c r="O2175" s="1510">
        <v>3.0</v>
      </c>
      <c r="P2175" s="730" t="s">
        <v>13256</v>
      </c>
      <c r="Q2175" s="1507" t="str">
        <f t="array" ref="Q2175"> if(iserror(MATCH(V2175, 'File Links'!C:C, 0)), "N/A", HYPERLINK(INDEX('File Links'!B:B, MATCH(P2175, 'File Links'!C:C, 0))))</f>
        <v>https://drive.google.com/file/d/1FklynAHzflh7rbxQIU4qTxOz3VBhye8B/view?usp=drivesdk</v>
      </c>
      <c r="R2175" s="1508" t="s">
        <v>13257</v>
      </c>
      <c r="S2175" s="720" t="s">
        <v>13258</v>
      </c>
      <c r="T2175" s="1974" t="s">
        <v>138</v>
      </c>
      <c r="U2175" s="1510">
        <v>1.0</v>
      </c>
      <c r="V2175" s="730" t="s">
        <v>13259</v>
      </c>
      <c r="W2175" s="730" t="s">
        <v>209</v>
      </c>
      <c r="X2175" s="1511" t="str">
        <f t="array" ref="X2175"> if(iserror(MATCH(V2175, 'File Links'!C:C, 0)), "N/A", HYPERLINK(INDEX('File Links'!B:B, MATCH(V2175, 'File Links'!C:C, 0))))</f>
        <v>https://drive.google.com/file/d/1hYNUJrx3yjyMoTgcG7Qz4pix-8ruWFMC/view?usp=drivesdk</v>
      </c>
      <c r="Y2175" s="1428"/>
      <c r="Z2175" s="730" t="s">
        <v>226</v>
      </c>
      <c r="AA2175" s="720" t="s">
        <v>13260</v>
      </c>
      <c r="AB2175" s="730" t="s">
        <v>13339</v>
      </c>
      <c r="AC2175" s="730" t="s">
        <v>13312</v>
      </c>
      <c r="AD2175" s="730" t="s">
        <v>13313</v>
      </c>
      <c r="AE2175" s="730">
        <v>8.0</v>
      </c>
      <c r="AF2175" s="1505">
        <v>631.0</v>
      </c>
      <c r="AG2175" s="1505">
        <v>0.285</v>
      </c>
      <c r="AH2175" s="730" t="s">
        <v>173</v>
      </c>
      <c r="AI2175" s="730" t="s">
        <v>613</v>
      </c>
      <c r="AJ2175" s="1505" t="s">
        <v>138</v>
      </c>
      <c r="AK2175" s="717"/>
      <c r="AL2175" s="730" t="s">
        <v>186</v>
      </c>
      <c r="AM2175" s="720" t="s">
        <v>137</v>
      </c>
      <c r="AN2175" s="720" t="s">
        <v>138</v>
      </c>
      <c r="AO2175" s="1505">
        <v>1446.0</v>
      </c>
      <c r="AP2175" s="1505">
        <v>0.1</v>
      </c>
      <c r="AQ2175" s="730" t="s">
        <v>722</v>
      </c>
      <c r="AR2175" s="730" t="s">
        <v>13299</v>
      </c>
      <c r="AS2175" s="1505">
        <v>0.005</v>
      </c>
      <c r="AT2175" s="730" t="s">
        <v>172</v>
      </c>
      <c r="AU2175" s="730" t="s">
        <v>186</v>
      </c>
      <c r="AV2175" s="720" t="s">
        <v>137</v>
      </c>
      <c r="AW2175" s="1973" t="s">
        <v>13263</v>
      </c>
      <c r="AX2175" s="1115" t="s">
        <v>438</v>
      </c>
      <c r="AY2175" s="61" t="str">
        <f>IFERROR(__xludf.DUMMYFUNCTION("vlookup(BB2175,importrange(""https://docs.google.com/spreadsheets/d/1d2vevQ_7D_v35q4wCQ4RpQ_IPoTwEMB9Yp6ymwlPqew/edit?gid=984458430#gid=984458430"", ""'replication success'!A:K""), 11, FAlSE)"),"mixed")</f>
        <v>mixed</v>
      </c>
      <c r="AZ2175" s="61" t="str">
        <f>IFERROR(__xludf.DUMMYFUNCTION("vlookup(BB2175,importrange(""https://docs.google.com/spreadsheets/d/1d2vevQ_7D_v35q4wCQ4RpQ_IPoTwEMB9Yp6ymwlPqew/edit?gid=984458430#gid=984458430"",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5" s="61" t="str">
        <f>IFERROR(__xludf.DUMMYFUNCTION("vlookup(BB2175,importrange(""https://docs.google.com/spreadsheets/d/1d2vevQ_7D_v35q4wCQ4RpQ_IPoTwEMB9Yp6ymwlPqew/edit?gid=984458430#gid=984458430"", ""'replication success'!A:M""), 13, FAlSE)"),"abstract")</f>
        <v>abstract</v>
      </c>
      <c r="BB2175" s="61" t="str">
        <f>IFERROR(__xludf.DUMMYFUNCTION("REGEXREPLACE(G2175, ""_[a-z]{1,2}$"", """")"),"svodevelopment")</f>
        <v>svodevelopment</v>
      </c>
      <c r="BC2175" s="697"/>
      <c r="BD2175" s="716" t="s">
        <v>13264</v>
      </c>
      <c r="BE2175" s="342"/>
      <c r="BF2175" s="342"/>
      <c r="BG2175" s="342"/>
      <c r="BH2175" s="342"/>
      <c r="BI2175" s="342"/>
      <c r="BJ2175" s="342"/>
      <c r="BK2175" s="342"/>
      <c r="BL2175" s="342"/>
      <c r="BM2175" s="342"/>
      <c r="BN2175" s="342"/>
      <c r="BO2175" s="342"/>
      <c r="BP2175" s="342"/>
      <c r="BQ2175" s="342"/>
      <c r="BR2175" s="342"/>
      <c r="BS2175" s="342"/>
      <c r="BT2175" s="342"/>
      <c r="BU2175" s="342"/>
      <c r="BV2175" s="342"/>
      <c r="BW2175" s="342"/>
      <c r="BX2175" s="342"/>
      <c r="BY2175" s="342"/>
      <c r="BZ2175" s="342"/>
      <c r="CA2175" s="342"/>
      <c r="CB2175" s="342"/>
      <c r="CC2175" s="342"/>
      <c r="CD2175" s="342"/>
      <c r="CE2175" s="342"/>
      <c r="CF2175" s="342"/>
      <c r="CG2175" s="342"/>
      <c r="CH2175" s="342"/>
      <c r="CI2175" s="342"/>
      <c r="CJ2175" s="342"/>
      <c r="CK2175" s="342"/>
      <c r="CL2175" s="342"/>
      <c r="CM2175" s="342"/>
      <c r="CN2175" s="342"/>
      <c r="CO2175" s="342"/>
      <c r="CP2175" s="342"/>
      <c r="CQ2175" s="342"/>
      <c r="CR2175" s="342"/>
      <c r="CS2175" s="342"/>
      <c r="CT2175" s="342"/>
      <c r="CU2175" s="342"/>
      <c r="CV2175" s="342"/>
      <c r="CW2175" s="342"/>
      <c r="CX2175" s="342"/>
      <c r="CY2175" s="342"/>
      <c r="CZ2175" s="342"/>
      <c r="DA2175" s="342"/>
      <c r="DB2175" s="342"/>
      <c r="DC2175" s="342"/>
      <c r="DD2175" s="342"/>
      <c r="DE2175" s="342"/>
      <c r="DF2175" s="342"/>
      <c r="DG2175" s="342"/>
      <c r="DH2175" s="342"/>
      <c r="DI2175" s="342"/>
      <c r="DJ2175" s="342"/>
      <c r="DK2175" s="342"/>
      <c r="DL2175" s="342"/>
    </row>
    <row r="2176">
      <c r="A2176" s="44">
        <v>2176.0</v>
      </c>
      <c r="B2176" s="720" t="s">
        <v>114</v>
      </c>
      <c r="C2176" s="716" t="s">
        <v>115</v>
      </c>
      <c r="D2176" s="716" t="s">
        <v>221</v>
      </c>
      <c r="E2176" s="697"/>
      <c r="F2176" s="720" t="s">
        <v>13342</v>
      </c>
      <c r="G2176" s="720" t="s">
        <v>13251</v>
      </c>
      <c r="H2176" s="730" t="s">
        <v>222</v>
      </c>
      <c r="I2176" s="1505" t="s">
        <v>13252</v>
      </c>
      <c r="J2176" s="1506">
        <v>45832.0</v>
      </c>
      <c r="K2176" s="730" t="s">
        <v>13343</v>
      </c>
      <c r="L2176" s="720" t="s">
        <v>13288</v>
      </c>
      <c r="M2176" s="720" t="s">
        <v>13293</v>
      </c>
      <c r="N2176" s="720" t="s">
        <v>9892</v>
      </c>
      <c r="O2176" s="1510">
        <v>3.0</v>
      </c>
      <c r="P2176" s="730" t="s">
        <v>13256</v>
      </c>
      <c r="Q2176" s="1507" t="str">
        <f t="array" ref="Q2176"> if(iserror(MATCH(V2176, 'File Links'!C:C, 0)), "N/A", HYPERLINK(INDEX('File Links'!B:B, MATCH(P2176, 'File Links'!C:C, 0))))</f>
        <v>https://drive.google.com/file/d/1FklynAHzflh7rbxQIU4qTxOz3VBhye8B/view?usp=drivesdk</v>
      </c>
      <c r="R2176" s="1508" t="s">
        <v>13257</v>
      </c>
      <c r="S2176" s="720" t="s">
        <v>13258</v>
      </c>
      <c r="T2176" s="1509"/>
      <c r="U2176" s="1970">
        <v>1.0</v>
      </c>
      <c r="V2176" s="730" t="s">
        <v>13259</v>
      </c>
      <c r="W2176" s="717"/>
      <c r="X2176" s="1511" t="str">
        <f t="array" ref="X2176"> if(iserror(MATCH(V2176, 'File Links'!C:C, 0)), "N/A", HYPERLINK(INDEX('File Links'!B:B, MATCH(V2176, 'File Links'!C:C, 0))))</f>
        <v>https://drive.google.com/file/d/1hYNUJrx3yjyMoTgcG7Qz4pix-8ruWFMC/view?usp=drivesdk</v>
      </c>
      <c r="Y2176" s="1428"/>
      <c r="Z2176" s="730" t="s">
        <v>226</v>
      </c>
      <c r="AA2176" s="720" t="s">
        <v>13260</v>
      </c>
      <c r="AB2176" s="730" t="s">
        <v>13344</v>
      </c>
      <c r="AC2176" s="730" t="s">
        <v>13316</v>
      </c>
      <c r="AD2176" s="717"/>
      <c r="AE2176" s="717"/>
      <c r="AF2176" s="1505">
        <v>631.0</v>
      </c>
      <c r="AG2176" s="1505">
        <v>0.28</v>
      </c>
      <c r="AH2176" s="730" t="s">
        <v>173</v>
      </c>
      <c r="AI2176" s="730">
        <v>9.0</v>
      </c>
      <c r="AJ2176" s="1505">
        <v>0.035</v>
      </c>
      <c r="AK2176" s="730" t="s">
        <v>135</v>
      </c>
      <c r="AL2176" s="730" t="s">
        <v>136</v>
      </c>
      <c r="AM2176" s="720" t="s">
        <v>137</v>
      </c>
      <c r="AN2176" s="720" t="s">
        <v>138</v>
      </c>
      <c r="AO2176" s="1505">
        <v>1446.0</v>
      </c>
      <c r="AP2176" s="1505">
        <v>0.08</v>
      </c>
      <c r="AQ2176" s="730" t="s">
        <v>173</v>
      </c>
      <c r="AR2176" s="730">
        <v>10.0</v>
      </c>
      <c r="AS2176" s="1505">
        <v>0.001</v>
      </c>
      <c r="AT2176" s="730" t="s">
        <v>172</v>
      </c>
      <c r="AU2176" s="730" t="s">
        <v>136</v>
      </c>
      <c r="AV2176" s="720" t="s">
        <v>137</v>
      </c>
      <c r="AW2176" s="1973" t="s">
        <v>13263</v>
      </c>
      <c r="AX2176" s="720" t="s">
        <v>151</v>
      </c>
      <c r="AY2176" s="61" t="str">
        <f>IFERROR(__xludf.DUMMYFUNCTION("vlookup(BB2176,importrange(""https://docs.google.com/spreadsheets/d/1d2vevQ_7D_v35q4wCQ4RpQ_IPoTwEMB9Yp6ymwlPqew/edit?gid=984458430#gid=984458430"", ""'replication success'!A:K""), 11, FAlSE)"),"mixed")</f>
        <v>mixed</v>
      </c>
      <c r="AZ2176" s="61" t="str">
        <f>IFERROR(__xludf.DUMMYFUNCTION("vlookup(BB2176,importrange(""https://docs.google.com/spreadsheets/d/1d2vevQ_7D_v35q4wCQ4RpQ_IPoTwEMB9Yp6ymwlPqew/edit?gid=984458430#gid=984458430"",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6" s="61" t="str">
        <f>IFERROR(__xludf.DUMMYFUNCTION("vlookup(BB2176,importrange(""https://docs.google.com/spreadsheets/d/1d2vevQ_7D_v35q4wCQ4RpQ_IPoTwEMB9Yp6ymwlPqew/edit?gid=984458430#gid=984458430"", ""'replication success'!A:M""), 13, FAlSE)"),"abstract")</f>
        <v>abstract</v>
      </c>
      <c r="BB2176" s="61" t="str">
        <f>IFERROR(__xludf.DUMMYFUNCTION("REGEXREPLACE(G2176, ""_[a-z]{1,2}$"", """")"),"svodevelopment")</f>
        <v>svodevelopment</v>
      </c>
      <c r="BC2176" s="697"/>
      <c r="BD2176" s="716" t="s">
        <v>13264</v>
      </c>
      <c r="BE2176" s="342"/>
      <c r="BF2176" s="342"/>
      <c r="BG2176" s="342"/>
      <c r="BH2176" s="342"/>
      <c r="BI2176" s="342"/>
      <c r="BJ2176" s="342"/>
      <c r="BK2176" s="342"/>
      <c r="BL2176" s="342"/>
      <c r="BM2176" s="342"/>
      <c r="BN2176" s="342"/>
      <c r="BO2176" s="342"/>
      <c r="BP2176" s="342"/>
      <c r="BQ2176" s="342"/>
      <c r="BR2176" s="342"/>
      <c r="BS2176" s="342"/>
      <c r="BT2176" s="342"/>
      <c r="BU2176" s="342"/>
      <c r="BV2176" s="342"/>
      <c r="BW2176" s="342"/>
      <c r="BX2176" s="342"/>
      <c r="BY2176" s="342"/>
      <c r="BZ2176" s="342"/>
      <c r="CA2176" s="342"/>
      <c r="CB2176" s="342"/>
      <c r="CC2176" s="342"/>
      <c r="CD2176" s="342"/>
      <c r="CE2176" s="342"/>
      <c r="CF2176" s="342"/>
      <c r="CG2176" s="342"/>
      <c r="CH2176" s="342"/>
      <c r="CI2176" s="342"/>
      <c r="CJ2176" s="342"/>
      <c r="CK2176" s="342"/>
      <c r="CL2176" s="342"/>
      <c r="CM2176" s="342"/>
      <c r="CN2176" s="342"/>
      <c r="CO2176" s="342"/>
      <c r="CP2176" s="342"/>
      <c r="CQ2176" s="342"/>
      <c r="CR2176" s="342"/>
      <c r="CS2176" s="342"/>
      <c r="CT2176" s="342"/>
      <c r="CU2176" s="342"/>
      <c r="CV2176" s="342"/>
      <c r="CW2176" s="342"/>
      <c r="CX2176" s="342"/>
      <c r="CY2176" s="342"/>
      <c r="CZ2176" s="342"/>
      <c r="DA2176" s="342"/>
      <c r="DB2176" s="342"/>
      <c r="DC2176" s="342"/>
      <c r="DD2176" s="342"/>
      <c r="DE2176" s="342"/>
      <c r="DF2176" s="342"/>
      <c r="DG2176" s="342"/>
      <c r="DH2176" s="342"/>
      <c r="DI2176" s="342"/>
      <c r="DJ2176" s="342"/>
      <c r="DK2176" s="342"/>
      <c r="DL2176" s="342"/>
    </row>
    <row r="2177">
      <c r="A2177" s="44">
        <v>2177.0</v>
      </c>
      <c r="B2177" s="720" t="s">
        <v>152</v>
      </c>
      <c r="C2177" s="716" t="s">
        <v>115</v>
      </c>
      <c r="D2177" s="716" t="s">
        <v>2930</v>
      </c>
      <c r="E2177" s="697"/>
      <c r="F2177" s="720" t="s">
        <v>13342</v>
      </c>
      <c r="G2177" s="720" t="s">
        <v>13251</v>
      </c>
      <c r="H2177" s="730" t="s">
        <v>13265</v>
      </c>
      <c r="I2177" s="1505" t="s">
        <v>13296</v>
      </c>
      <c r="J2177" s="1506">
        <v>45832.0</v>
      </c>
      <c r="K2177" s="730" t="s">
        <v>13278</v>
      </c>
      <c r="L2177" s="720" t="s">
        <v>13345</v>
      </c>
      <c r="M2177" s="720" t="s">
        <v>13293</v>
      </c>
      <c r="N2177" s="720" t="s">
        <v>9892</v>
      </c>
      <c r="O2177" s="1510">
        <v>3.0</v>
      </c>
      <c r="P2177" s="730" t="s">
        <v>13256</v>
      </c>
      <c r="Q2177" s="1507" t="str">
        <f t="array" ref="Q2177"> if(iserror(MATCH(V2177, 'File Links'!C:C, 0)), "N/A", HYPERLINK(INDEX('File Links'!B:B, MATCH(P2177, 'File Links'!C:C, 0))))</f>
        <v>https://drive.google.com/file/d/1FklynAHzflh7rbxQIU4qTxOz3VBhye8B/view?usp=drivesdk</v>
      </c>
      <c r="R2177" s="1508" t="s">
        <v>13257</v>
      </c>
      <c r="S2177" s="720" t="s">
        <v>13258</v>
      </c>
      <c r="T2177" s="1974" t="s">
        <v>138</v>
      </c>
      <c r="U2177" s="1510">
        <v>1.0</v>
      </c>
      <c r="V2177" s="730" t="s">
        <v>13259</v>
      </c>
      <c r="W2177" s="730" t="s">
        <v>209</v>
      </c>
      <c r="X2177" s="1511" t="str">
        <f t="array" ref="X2177"> if(iserror(MATCH(V2177, 'File Links'!C:C, 0)), "N/A", HYPERLINK(INDEX('File Links'!B:B, MATCH(V2177, 'File Links'!C:C, 0))))</f>
        <v>https://drive.google.com/file/d/1hYNUJrx3yjyMoTgcG7Qz4pix-8ruWFMC/view?usp=drivesdk</v>
      </c>
      <c r="Y2177" s="1428"/>
      <c r="Z2177" s="730" t="s">
        <v>226</v>
      </c>
      <c r="AA2177" s="720" t="s">
        <v>13260</v>
      </c>
      <c r="AB2177" s="730" t="s">
        <v>13346</v>
      </c>
      <c r="AC2177" s="730" t="s">
        <v>13316</v>
      </c>
      <c r="AD2177" s="1996" t="s">
        <v>13347</v>
      </c>
      <c r="AE2177" s="1996">
        <v>8.0</v>
      </c>
      <c r="AF2177" s="1505">
        <v>631.0</v>
      </c>
      <c r="AG2177" s="1505">
        <v>0.277</v>
      </c>
      <c r="AH2177" s="730" t="s">
        <v>173</v>
      </c>
      <c r="AI2177" s="730" t="s">
        <v>613</v>
      </c>
      <c r="AJ2177" s="1505" t="s">
        <v>138</v>
      </c>
      <c r="AK2177" s="717"/>
      <c r="AL2177" s="730" t="s">
        <v>186</v>
      </c>
      <c r="AM2177" s="720" t="s">
        <v>137</v>
      </c>
      <c r="AN2177" s="720" t="s">
        <v>138</v>
      </c>
      <c r="AO2177" s="1505">
        <v>1446.0</v>
      </c>
      <c r="AP2177" s="1505">
        <v>0.06</v>
      </c>
      <c r="AQ2177" s="730" t="s">
        <v>722</v>
      </c>
      <c r="AR2177" s="730" t="s">
        <v>13299</v>
      </c>
      <c r="AS2177" s="1505">
        <v>0.173</v>
      </c>
      <c r="AT2177" s="730" t="s">
        <v>172</v>
      </c>
      <c r="AU2177" s="730" t="s">
        <v>186</v>
      </c>
      <c r="AV2177" s="720" t="s">
        <v>137</v>
      </c>
      <c r="AW2177" s="1973" t="s">
        <v>13263</v>
      </c>
      <c r="AX2177" s="1115" t="s">
        <v>438</v>
      </c>
      <c r="AY2177" s="61" t="str">
        <f>IFERROR(__xludf.DUMMYFUNCTION("vlookup(BB2177,importrange(""https://docs.google.com/spreadsheets/d/1d2vevQ_7D_v35q4wCQ4RpQ_IPoTwEMB9Yp6ymwlPqew/edit?gid=984458430#gid=984458430"", ""'replication success'!A:K""), 11, FAlSE)"),"mixed")</f>
        <v>mixed</v>
      </c>
      <c r="AZ2177" s="61" t="str">
        <f>IFERROR(__xludf.DUMMYFUNCTION("vlookup(BB2177,importrange(""https://docs.google.com/spreadsheets/d/1d2vevQ_7D_v35q4wCQ4RpQ_IPoTwEMB9Yp6ymwlPqew/edit?gid=984458430#gid=984458430"",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7" s="61" t="str">
        <f>IFERROR(__xludf.DUMMYFUNCTION("vlookup(BB2177,importrange(""https://docs.google.com/spreadsheets/d/1d2vevQ_7D_v35q4wCQ4RpQ_IPoTwEMB9Yp6ymwlPqew/edit?gid=984458430#gid=984458430"", ""'replication success'!A:M""), 13, FAlSE)"),"abstract")</f>
        <v>abstract</v>
      </c>
      <c r="BB2177" s="61" t="str">
        <f>IFERROR(__xludf.DUMMYFUNCTION("REGEXREPLACE(G2177, ""_[a-z]{1,2}$"", """")"),"svodevelopment")</f>
        <v>svodevelopment</v>
      </c>
      <c r="BC2177" s="697"/>
      <c r="BD2177" s="716" t="s">
        <v>13264</v>
      </c>
      <c r="BE2177" s="342"/>
      <c r="BF2177" s="342"/>
      <c r="BG2177" s="342"/>
      <c r="BH2177" s="342"/>
      <c r="BI2177" s="342"/>
      <c r="BJ2177" s="342"/>
      <c r="BK2177" s="342"/>
      <c r="BL2177" s="342"/>
      <c r="BM2177" s="342"/>
      <c r="BN2177" s="342"/>
      <c r="BO2177" s="342"/>
      <c r="BP2177" s="342"/>
      <c r="BQ2177" s="342"/>
      <c r="BR2177" s="342"/>
      <c r="BS2177" s="342"/>
      <c r="BT2177" s="342"/>
      <c r="BU2177" s="342"/>
      <c r="BV2177" s="342"/>
      <c r="BW2177" s="342"/>
      <c r="BX2177" s="342"/>
      <c r="BY2177" s="342"/>
      <c r="BZ2177" s="342"/>
      <c r="CA2177" s="342"/>
      <c r="CB2177" s="342"/>
      <c r="CC2177" s="342"/>
      <c r="CD2177" s="342"/>
      <c r="CE2177" s="342"/>
      <c r="CF2177" s="342"/>
      <c r="CG2177" s="342"/>
      <c r="CH2177" s="342"/>
      <c r="CI2177" s="342"/>
      <c r="CJ2177" s="342"/>
      <c r="CK2177" s="342"/>
      <c r="CL2177" s="342"/>
      <c r="CM2177" s="342"/>
      <c r="CN2177" s="342"/>
      <c r="CO2177" s="342"/>
      <c r="CP2177" s="342"/>
      <c r="CQ2177" s="342"/>
      <c r="CR2177" s="342"/>
      <c r="CS2177" s="342"/>
      <c r="CT2177" s="342"/>
      <c r="CU2177" s="342"/>
      <c r="CV2177" s="342"/>
      <c r="CW2177" s="342"/>
      <c r="CX2177" s="342"/>
      <c r="CY2177" s="342"/>
      <c r="CZ2177" s="342"/>
      <c r="DA2177" s="342"/>
      <c r="DB2177" s="342"/>
      <c r="DC2177" s="342"/>
      <c r="DD2177" s="342"/>
      <c r="DE2177" s="342"/>
      <c r="DF2177" s="342"/>
      <c r="DG2177" s="342"/>
      <c r="DH2177" s="342"/>
      <c r="DI2177" s="342"/>
      <c r="DJ2177" s="342"/>
      <c r="DK2177" s="342"/>
      <c r="DL2177" s="342"/>
    </row>
    <row r="2178">
      <c r="A2178" s="44">
        <v>2178.0</v>
      </c>
      <c r="B2178" s="720" t="s">
        <v>114</v>
      </c>
      <c r="C2178" s="716" t="s">
        <v>115</v>
      </c>
      <c r="D2178" s="716" t="s">
        <v>221</v>
      </c>
      <c r="E2178" s="697"/>
      <c r="F2178" s="720" t="s">
        <v>13348</v>
      </c>
      <c r="G2178" s="720" t="s">
        <v>13251</v>
      </c>
      <c r="H2178" s="730" t="s">
        <v>222</v>
      </c>
      <c r="I2178" s="1505" t="s">
        <v>13252</v>
      </c>
      <c r="J2178" s="1506">
        <v>45833.0</v>
      </c>
      <c r="K2178" s="730" t="s">
        <v>13349</v>
      </c>
      <c r="L2178" s="720" t="s">
        <v>13321</v>
      </c>
      <c r="M2178" s="720" t="s">
        <v>13293</v>
      </c>
      <c r="N2178" s="720" t="s">
        <v>9892</v>
      </c>
      <c r="O2178" s="1510">
        <v>3.0</v>
      </c>
      <c r="P2178" s="730" t="s">
        <v>13256</v>
      </c>
      <c r="Q2178" s="1507" t="str">
        <f t="array" ref="Q2178"> if(iserror(MATCH(V2178, 'File Links'!C:C, 0)), "N/A", HYPERLINK(INDEX('File Links'!B:B, MATCH(P2178, 'File Links'!C:C, 0))))</f>
        <v>https://drive.google.com/file/d/1FklynAHzflh7rbxQIU4qTxOz3VBhye8B/view?usp=drivesdk</v>
      </c>
      <c r="R2178" s="1508" t="s">
        <v>13257</v>
      </c>
      <c r="S2178" s="720" t="s">
        <v>13258</v>
      </c>
      <c r="T2178" s="1509"/>
      <c r="U2178" s="1997"/>
      <c r="V2178" s="730" t="s">
        <v>13259</v>
      </c>
      <c r="W2178" s="717"/>
      <c r="X2178" s="1511" t="str">
        <f t="array" ref="X2178"> if(iserror(MATCH(V2178, 'File Links'!C:C, 0)), "N/A", HYPERLINK(INDEX('File Links'!B:B, MATCH(V2178, 'File Links'!C:C, 0))))</f>
        <v>https://drive.google.com/file/d/1hYNUJrx3yjyMoTgcG7Qz4pix-8ruWFMC/view?usp=drivesdk</v>
      </c>
      <c r="Y2178" s="1428"/>
      <c r="Z2178" s="730" t="s">
        <v>226</v>
      </c>
      <c r="AA2178" s="720" t="s">
        <v>13260</v>
      </c>
      <c r="AB2178" s="730" t="s">
        <v>13346</v>
      </c>
      <c r="AC2178" s="730" t="s">
        <v>13322</v>
      </c>
      <c r="AD2178" s="717"/>
      <c r="AE2178" s="717"/>
      <c r="AF2178" s="1505">
        <v>631.0</v>
      </c>
      <c r="AG2178" s="1505">
        <v>0.05</v>
      </c>
      <c r="AH2178" s="730" t="s">
        <v>173</v>
      </c>
      <c r="AI2178" s="730">
        <v>9.0</v>
      </c>
      <c r="AJ2178" s="1505">
        <v>0.035</v>
      </c>
      <c r="AK2178" s="730" t="s">
        <v>135</v>
      </c>
      <c r="AL2178" s="1971" t="s">
        <v>136</v>
      </c>
      <c r="AM2178" s="720" t="s">
        <v>137</v>
      </c>
      <c r="AN2178" s="720" t="s">
        <v>138</v>
      </c>
      <c r="AO2178" s="1505">
        <v>1446.0</v>
      </c>
      <c r="AP2178" s="1505">
        <v>-0.35</v>
      </c>
      <c r="AQ2178" s="730" t="s">
        <v>173</v>
      </c>
      <c r="AR2178" s="730">
        <v>10.0</v>
      </c>
      <c r="AS2178" s="1505">
        <v>0.001</v>
      </c>
      <c r="AT2178" s="730" t="s">
        <v>172</v>
      </c>
      <c r="AU2178" s="1971" t="s">
        <v>136</v>
      </c>
      <c r="AV2178" s="720" t="s">
        <v>137</v>
      </c>
      <c r="AW2178" s="1973" t="s">
        <v>13263</v>
      </c>
      <c r="AX2178" s="720" t="s">
        <v>151</v>
      </c>
      <c r="AY2178" s="61" t="str">
        <f>IFERROR(__xludf.DUMMYFUNCTION("vlookup(BB2178,importrange(""https://docs.google.com/spreadsheets/d/1d2vevQ_7D_v35q4wCQ4RpQ_IPoTwEMB9Yp6ymwlPqew/edit?gid=984458430#gid=984458430"", ""'replication success'!A:K""), 11, FAlSE)"),"mixed")</f>
        <v>mixed</v>
      </c>
      <c r="AZ2178" s="61" t="str">
        <f>IFERROR(__xludf.DUMMYFUNCTION("vlookup(BB2178,importrange(""https://docs.google.com/spreadsheets/d/1d2vevQ_7D_v35q4wCQ4RpQ_IPoTwEMB9Yp6ymwlPqew/edit?gid=984458430#gid=984458430"",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8" s="61" t="str">
        <f>IFERROR(__xludf.DUMMYFUNCTION("vlookup(BB2178,importrange(""https://docs.google.com/spreadsheets/d/1d2vevQ_7D_v35q4wCQ4RpQ_IPoTwEMB9Yp6ymwlPqew/edit?gid=984458430#gid=984458430"", ""'replication success'!A:M""), 13, FAlSE)"),"abstract")</f>
        <v>abstract</v>
      </c>
      <c r="BB2178" s="61" t="str">
        <f>IFERROR(__xludf.DUMMYFUNCTION("REGEXREPLACE(G2178, ""_[a-z]{1,2}$"", """")"),"svodevelopment")</f>
        <v>svodevelopment</v>
      </c>
      <c r="BC2178" s="697"/>
      <c r="BD2178" s="716" t="s">
        <v>13264</v>
      </c>
      <c r="BE2178" s="342"/>
      <c r="BF2178" s="342"/>
      <c r="BG2178" s="342"/>
      <c r="BH2178" s="342"/>
      <c r="BI2178" s="342"/>
      <c r="BJ2178" s="342"/>
      <c r="BK2178" s="342"/>
      <c r="BL2178" s="342"/>
      <c r="BM2178" s="342"/>
      <c r="BN2178" s="342"/>
      <c r="BO2178" s="342"/>
      <c r="BP2178" s="342"/>
      <c r="BQ2178" s="342"/>
      <c r="BR2178" s="342"/>
      <c r="BS2178" s="342"/>
      <c r="BT2178" s="342"/>
      <c r="BU2178" s="342"/>
      <c r="BV2178" s="342"/>
      <c r="BW2178" s="342"/>
      <c r="BX2178" s="342"/>
      <c r="BY2178" s="342"/>
      <c r="BZ2178" s="342"/>
      <c r="CA2178" s="342"/>
      <c r="CB2178" s="342"/>
      <c r="CC2178" s="342"/>
      <c r="CD2178" s="342"/>
      <c r="CE2178" s="342"/>
      <c r="CF2178" s="342"/>
      <c r="CG2178" s="342"/>
      <c r="CH2178" s="342"/>
      <c r="CI2178" s="342"/>
      <c r="CJ2178" s="342"/>
      <c r="CK2178" s="342"/>
      <c r="CL2178" s="342"/>
      <c r="CM2178" s="342"/>
      <c r="CN2178" s="342"/>
      <c r="CO2178" s="342"/>
      <c r="CP2178" s="342"/>
      <c r="CQ2178" s="342"/>
      <c r="CR2178" s="342"/>
      <c r="CS2178" s="342"/>
      <c r="CT2178" s="342"/>
      <c r="CU2178" s="342"/>
      <c r="CV2178" s="342"/>
      <c r="CW2178" s="342"/>
      <c r="CX2178" s="342"/>
      <c r="CY2178" s="342"/>
      <c r="CZ2178" s="342"/>
      <c r="DA2178" s="342"/>
      <c r="DB2178" s="342"/>
      <c r="DC2178" s="342"/>
      <c r="DD2178" s="342"/>
      <c r="DE2178" s="342"/>
      <c r="DF2178" s="342"/>
      <c r="DG2178" s="342"/>
      <c r="DH2178" s="342"/>
      <c r="DI2178" s="342"/>
      <c r="DJ2178" s="342"/>
      <c r="DK2178" s="342"/>
      <c r="DL2178" s="342"/>
    </row>
    <row r="2179">
      <c r="A2179" s="44">
        <v>2179.0</v>
      </c>
      <c r="B2179" s="720" t="s">
        <v>114</v>
      </c>
      <c r="C2179" s="716" t="s">
        <v>115</v>
      </c>
      <c r="D2179" s="716" t="s">
        <v>2930</v>
      </c>
      <c r="E2179" s="697"/>
      <c r="F2179" s="720" t="s">
        <v>13348</v>
      </c>
      <c r="G2179" s="720" t="s">
        <v>13251</v>
      </c>
      <c r="H2179" s="730" t="s">
        <v>13265</v>
      </c>
      <c r="I2179" s="1505" t="s">
        <v>13350</v>
      </c>
      <c r="J2179" s="1506">
        <v>45832.0</v>
      </c>
      <c r="K2179" s="730" t="s">
        <v>138</v>
      </c>
      <c r="L2179" s="720" t="s">
        <v>13323</v>
      </c>
      <c r="M2179" s="720" t="s">
        <v>13293</v>
      </c>
      <c r="N2179" s="720" t="s">
        <v>9892</v>
      </c>
      <c r="O2179" s="1510" t="s">
        <v>138</v>
      </c>
      <c r="P2179" s="730" t="s">
        <v>13256</v>
      </c>
      <c r="Q2179" s="1507" t="str">
        <f t="array" ref="Q2179"> if(iserror(MATCH(V2179, 'File Links'!C:C, 0)), "N/A", HYPERLINK(INDEX('File Links'!B:B, MATCH(P2179, 'File Links'!C:C, 0))))</f>
        <v>https://drive.google.com/file/d/1FklynAHzflh7rbxQIU4qTxOz3VBhye8B/view?usp=drivesdk</v>
      </c>
      <c r="R2179" s="1508" t="s">
        <v>13257</v>
      </c>
      <c r="S2179" s="720" t="s">
        <v>13258</v>
      </c>
      <c r="T2179" s="1974" t="s">
        <v>138</v>
      </c>
      <c r="U2179" s="1510" t="s">
        <v>138</v>
      </c>
      <c r="V2179" s="730" t="s">
        <v>13259</v>
      </c>
      <c r="W2179" s="730" t="s">
        <v>138</v>
      </c>
      <c r="X2179" s="1511" t="str">
        <f t="array" ref="X2179"> if(iserror(MATCH(V2179, 'File Links'!C:C, 0)), "N/A", HYPERLINK(INDEX('File Links'!B:B, MATCH(V2179, 'File Links'!C:C, 0))))</f>
        <v>https://drive.google.com/file/d/1hYNUJrx3yjyMoTgcG7Qz4pix-8ruWFMC/view?usp=drivesdk</v>
      </c>
      <c r="Y2179" s="720" t="s">
        <v>13324</v>
      </c>
      <c r="Z2179" s="730" t="s">
        <v>226</v>
      </c>
      <c r="AA2179" s="720" t="s">
        <v>13260</v>
      </c>
      <c r="AB2179" s="730" t="s">
        <v>13346</v>
      </c>
      <c r="AC2179" s="730" t="s">
        <v>13322</v>
      </c>
      <c r="AD2179" s="730" t="s">
        <v>138</v>
      </c>
      <c r="AE2179" s="730" t="s">
        <v>138</v>
      </c>
      <c r="AF2179" s="1505" t="s">
        <v>138</v>
      </c>
      <c r="AG2179" s="1505" t="s">
        <v>138</v>
      </c>
      <c r="AH2179" s="717"/>
      <c r="AI2179" s="730" t="s">
        <v>138</v>
      </c>
      <c r="AJ2179" s="1505" t="s">
        <v>138</v>
      </c>
      <c r="AK2179" s="717"/>
      <c r="AL2179" s="717"/>
      <c r="AM2179" s="1428"/>
      <c r="AN2179" s="720" t="s">
        <v>138</v>
      </c>
      <c r="AO2179" s="1505" t="s">
        <v>138</v>
      </c>
      <c r="AP2179" s="1505" t="s">
        <v>138</v>
      </c>
      <c r="AQ2179" s="720" t="s">
        <v>138</v>
      </c>
      <c r="AR2179" s="730" t="s">
        <v>138</v>
      </c>
      <c r="AS2179" s="1505" t="s">
        <v>138</v>
      </c>
      <c r="AT2179" s="717"/>
      <c r="AU2179" s="717"/>
      <c r="AV2179" s="1428"/>
      <c r="AW2179" s="1512" t="s">
        <v>138</v>
      </c>
      <c r="AX2179" s="1428"/>
      <c r="AY2179" s="61" t="str">
        <f>IFERROR(__xludf.DUMMYFUNCTION("vlookup(BB2179,importrange(""https://docs.google.com/spreadsheets/d/1d2vevQ_7D_v35q4wCQ4RpQ_IPoTwEMB9Yp6ymwlPqew/edit?gid=984458430#gid=984458430"", ""'replication success'!A:K""), 11, FAlSE)"),"mixed")</f>
        <v>mixed</v>
      </c>
      <c r="AZ2179" s="61" t="str">
        <f>IFERROR(__xludf.DUMMYFUNCTION("vlookup(BB2179,importrange(""https://docs.google.com/spreadsheets/d/1d2vevQ_7D_v35q4wCQ4RpQ_IPoTwEMB9Yp6ymwlPqew/edit?gid=984458430#gid=984458430"",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79" s="61" t="str">
        <f>IFERROR(__xludf.DUMMYFUNCTION("vlookup(BB2179,importrange(""https://docs.google.com/spreadsheets/d/1d2vevQ_7D_v35q4wCQ4RpQ_IPoTwEMB9Yp6ymwlPqew/edit?gid=984458430#gid=984458430"", ""'replication success'!A:M""), 13, FAlSE)"),"abstract")</f>
        <v>abstract</v>
      </c>
      <c r="BB2179" s="61" t="str">
        <f>IFERROR(__xludf.DUMMYFUNCTION("REGEXREPLACE(G2179, ""_[a-z]{1,2}$"", """")"),"svodevelopment")</f>
        <v>svodevelopment</v>
      </c>
      <c r="BC2179" s="697"/>
      <c r="BD2179" s="716" t="s">
        <v>13264</v>
      </c>
      <c r="BE2179" s="342"/>
      <c r="BF2179" s="342"/>
      <c r="BG2179" s="342"/>
      <c r="BH2179" s="342"/>
      <c r="BI2179" s="342"/>
      <c r="BJ2179" s="342"/>
      <c r="BK2179" s="342"/>
      <c r="BL2179" s="342"/>
      <c r="BM2179" s="342"/>
      <c r="BN2179" s="342"/>
      <c r="BO2179" s="342"/>
      <c r="BP2179" s="342"/>
      <c r="BQ2179" s="342"/>
      <c r="BR2179" s="342"/>
      <c r="BS2179" s="342"/>
      <c r="BT2179" s="342"/>
      <c r="BU2179" s="342"/>
      <c r="BV2179" s="342"/>
      <c r="BW2179" s="342"/>
      <c r="BX2179" s="342"/>
      <c r="BY2179" s="342"/>
      <c r="BZ2179" s="342"/>
      <c r="CA2179" s="342"/>
      <c r="CB2179" s="342"/>
      <c r="CC2179" s="342"/>
      <c r="CD2179" s="342"/>
      <c r="CE2179" s="342"/>
      <c r="CF2179" s="342"/>
      <c r="CG2179" s="342"/>
      <c r="CH2179" s="342"/>
      <c r="CI2179" s="342"/>
      <c r="CJ2179" s="342"/>
      <c r="CK2179" s="342"/>
      <c r="CL2179" s="342"/>
      <c r="CM2179" s="342"/>
      <c r="CN2179" s="342"/>
      <c r="CO2179" s="342"/>
      <c r="CP2179" s="342"/>
      <c r="CQ2179" s="342"/>
      <c r="CR2179" s="342"/>
      <c r="CS2179" s="342"/>
      <c r="CT2179" s="342"/>
      <c r="CU2179" s="342"/>
      <c r="CV2179" s="342"/>
      <c r="CW2179" s="342"/>
      <c r="CX2179" s="342"/>
      <c r="CY2179" s="342"/>
      <c r="CZ2179" s="342"/>
      <c r="DA2179" s="342"/>
      <c r="DB2179" s="342"/>
      <c r="DC2179" s="342"/>
      <c r="DD2179" s="342"/>
      <c r="DE2179" s="342"/>
      <c r="DF2179" s="342"/>
      <c r="DG2179" s="342"/>
      <c r="DH2179" s="342"/>
      <c r="DI2179" s="342"/>
      <c r="DJ2179" s="342"/>
      <c r="DK2179" s="342"/>
      <c r="DL2179" s="342"/>
    </row>
    <row r="2180">
      <c r="A2180" s="44">
        <v>2180.0</v>
      </c>
      <c r="B2180" s="720" t="s">
        <v>114</v>
      </c>
      <c r="C2180" s="716" t="s">
        <v>115</v>
      </c>
      <c r="D2180" s="716" t="s">
        <v>221</v>
      </c>
      <c r="E2180" s="697"/>
      <c r="F2180" s="720" t="s">
        <v>13351</v>
      </c>
      <c r="G2180" s="720" t="s">
        <v>13251</v>
      </c>
      <c r="H2180" s="730" t="s">
        <v>222</v>
      </c>
      <c r="I2180" s="1505" t="s">
        <v>13252</v>
      </c>
      <c r="J2180" s="1506">
        <v>45832.0</v>
      </c>
      <c r="K2180" s="730" t="s">
        <v>13352</v>
      </c>
      <c r="L2180" s="720" t="s">
        <v>13288</v>
      </c>
      <c r="M2180" s="720" t="s">
        <v>13353</v>
      </c>
      <c r="N2180" s="720" t="s">
        <v>9892</v>
      </c>
      <c r="O2180" s="1510">
        <v>4.0</v>
      </c>
      <c r="P2180" s="730" t="s">
        <v>13256</v>
      </c>
      <c r="Q2180" s="1507" t="str">
        <f t="array" ref="Q2180"> if(iserror(MATCH(V2180, 'File Links'!C:C, 0)), "N/A", HYPERLINK(INDEX('File Links'!B:B, MATCH(P2180, 'File Links'!C:C, 0))))</f>
        <v>https://drive.google.com/file/d/1FklynAHzflh7rbxQIU4qTxOz3VBhye8B/view?usp=drivesdk</v>
      </c>
      <c r="R2180" s="1508" t="s">
        <v>13257</v>
      </c>
      <c r="S2180" s="720" t="s">
        <v>13258</v>
      </c>
      <c r="T2180" s="1509"/>
      <c r="U2180" s="1970">
        <v>1.0</v>
      </c>
      <c r="V2180" s="730" t="s">
        <v>13259</v>
      </c>
      <c r="W2180" s="717"/>
      <c r="X2180" s="1511" t="str">
        <f t="array" ref="X2180"> if(iserror(MATCH(V2180, 'File Links'!C:C, 0)), "N/A", HYPERLINK(INDEX('File Links'!B:B, MATCH(V2180, 'File Links'!C:C, 0))))</f>
        <v>https://drive.google.com/file/d/1hYNUJrx3yjyMoTgcG7Qz4pix-8ruWFMC/view?usp=drivesdk</v>
      </c>
      <c r="Y2180" s="1428"/>
      <c r="Z2180" s="730" t="s">
        <v>226</v>
      </c>
      <c r="AA2180" s="720" t="s">
        <v>13260</v>
      </c>
      <c r="AB2180" s="730" t="s">
        <v>13354</v>
      </c>
      <c r="AC2180" s="730" t="s">
        <v>13355</v>
      </c>
      <c r="AD2180" s="717"/>
      <c r="AE2180" s="717"/>
      <c r="AF2180" s="1505">
        <v>1728.0</v>
      </c>
      <c r="AG2180" s="1505">
        <v>1.15</v>
      </c>
      <c r="AH2180" s="730" t="s">
        <v>1256</v>
      </c>
      <c r="AI2180" s="730">
        <v>9.0</v>
      </c>
      <c r="AJ2180" s="1505">
        <v>0.035</v>
      </c>
      <c r="AK2180" s="730" t="s">
        <v>135</v>
      </c>
      <c r="AL2180" s="730" t="s">
        <v>136</v>
      </c>
      <c r="AM2180" s="720" t="s">
        <v>137</v>
      </c>
      <c r="AN2180" s="720" t="s">
        <v>138</v>
      </c>
      <c r="AO2180" s="1505">
        <v>1446.0</v>
      </c>
      <c r="AP2180" s="1505">
        <v>1.07</v>
      </c>
      <c r="AQ2180" s="730" t="s">
        <v>722</v>
      </c>
      <c r="AR2180" s="730">
        <v>10.0</v>
      </c>
      <c r="AS2180" s="1505">
        <v>0.001</v>
      </c>
      <c r="AT2180" s="730" t="s">
        <v>172</v>
      </c>
      <c r="AU2180" s="730" t="s">
        <v>136</v>
      </c>
      <c r="AV2180" s="720" t="s">
        <v>137</v>
      </c>
      <c r="AW2180" s="1973" t="s">
        <v>13263</v>
      </c>
      <c r="AX2180" s="720" t="s">
        <v>143</v>
      </c>
      <c r="AY2180" s="61" t="str">
        <f>IFERROR(__xludf.DUMMYFUNCTION("vlookup(BB2180,importrange(""https://docs.google.com/spreadsheets/d/1d2vevQ_7D_v35q4wCQ4RpQ_IPoTwEMB9Yp6ymwlPqew/edit?gid=984458430#gid=984458430"", ""'replication success'!A:K""), 11, FAlSE)"),"mixed")</f>
        <v>mixed</v>
      </c>
      <c r="AZ2180" s="61" t="str">
        <f>IFERROR(__xludf.DUMMYFUNCTION("vlookup(BB2180,importrange(""https://docs.google.com/spreadsheets/d/1d2vevQ_7D_v35q4wCQ4RpQ_IPoTwEMB9Yp6ymwlPqew/edit?gid=984458430#gid=984458430"",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0" s="61" t="str">
        <f>IFERROR(__xludf.DUMMYFUNCTION("vlookup(BB2180,importrange(""https://docs.google.com/spreadsheets/d/1d2vevQ_7D_v35q4wCQ4RpQ_IPoTwEMB9Yp6ymwlPqew/edit?gid=984458430#gid=984458430"", ""'replication success'!A:M""), 13, FAlSE)"),"abstract")</f>
        <v>abstract</v>
      </c>
      <c r="BB2180" s="61" t="str">
        <f>IFERROR(__xludf.DUMMYFUNCTION("REGEXREPLACE(G2180, ""_[a-z]{1,2}$"", """")"),"svodevelopment")</f>
        <v>svodevelopment</v>
      </c>
      <c r="BC2180" s="697"/>
      <c r="BD2180" s="716" t="s">
        <v>13264</v>
      </c>
      <c r="BE2180" s="342"/>
      <c r="BF2180" s="342"/>
      <c r="BG2180" s="342"/>
      <c r="BH2180" s="342"/>
      <c r="BI2180" s="342"/>
      <c r="BJ2180" s="342"/>
      <c r="BK2180" s="342"/>
      <c r="BL2180" s="342"/>
      <c r="BM2180" s="342"/>
      <c r="BN2180" s="342"/>
      <c r="BO2180" s="342"/>
      <c r="BP2180" s="342"/>
      <c r="BQ2180" s="342"/>
      <c r="BR2180" s="342"/>
      <c r="BS2180" s="342"/>
      <c r="BT2180" s="342"/>
      <c r="BU2180" s="342"/>
      <c r="BV2180" s="342"/>
      <c r="BW2180" s="342"/>
      <c r="BX2180" s="342"/>
      <c r="BY2180" s="342"/>
      <c r="BZ2180" s="342"/>
      <c r="CA2180" s="342"/>
      <c r="CB2180" s="342"/>
      <c r="CC2180" s="342"/>
      <c r="CD2180" s="342"/>
      <c r="CE2180" s="342"/>
      <c r="CF2180" s="342"/>
      <c r="CG2180" s="342"/>
      <c r="CH2180" s="342"/>
      <c r="CI2180" s="342"/>
      <c r="CJ2180" s="342"/>
      <c r="CK2180" s="342"/>
      <c r="CL2180" s="342"/>
      <c r="CM2180" s="342"/>
      <c r="CN2180" s="342"/>
      <c r="CO2180" s="342"/>
      <c r="CP2180" s="342"/>
      <c r="CQ2180" s="342"/>
      <c r="CR2180" s="342"/>
      <c r="CS2180" s="342"/>
      <c r="CT2180" s="342"/>
      <c r="CU2180" s="342"/>
      <c r="CV2180" s="342"/>
      <c r="CW2180" s="342"/>
      <c r="CX2180" s="342"/>
      <c r="CY2180" s="342"/>
      <c r="CZ2180" s="342"/>
      <c r="DA2180" s="342"/>
      <c r="DB2180" s="342"/>
      <c r="DC2180" s="342"/>
      <c r="DD2180" s="342"/>
      <c r="DE2180" s="342"/>
      <c r="DF2180" s="342"/>
      <c r="DG2180" s="342"/>
      <c r="DH2180" s="342"/>
      <c r="DI2180" s="342"/>
      <c r="DJ2180" s="342"/>
      <c r="DK2180" s="342"/>
      <c r="DL2180" s="342"/>
    </row>
    <row r="2181">
      <c r="A2181" s="44">
        <v>2181.0</v>
      </c>
      <c r="B2181" s="720" t="s">
        <v>590</v>
      </c>
      <c r="C2181" s="716" t="s">
        <v>115</v>
      </c>
      <c r="D2181" s="716" t="s">
        <v>2930</v>
      </c>
      <c r="E2181" s="697"/>
      <c r="F2181" s="720" t="s">
        <v>13351</v>
      </c>
      <c r="G2181" s="720" t="s">
        <v>13251</v>
      </c>
      <c r="H2181" s="730" t="s">
        <v>13265</v>
      </c>
      <c r="I2181" s="1505" t="s">
        <v>13350</v>
      </c>
      <c r="J2181" s="1506">
        <v>45832.0</v>
      </c>
      <c r="K2181" s="730" t="s">
        <v>13356</v>
      </c>
      <c r="L2181" s="1998" t="s">
        <v>13357</v>
      </c>
      <c r="M2181" s="720" t="s">
        <v>13353</v>
      </c>
      <c r="N2181" s="720" t="s">
        <v>9892</v>
      </c>
      <c r="O2181" s="1510">
        <v>4.0</v>
      </c>
      <c r="P2181" s="730" t="s">
        <v>13256</v>
      </c>
      <c r="Q2181" s="1507" t="str">
        <f t="array" ref="Q2181"> if(iserror(MATCH(V2181, 'File Links'!C:C, 0)), "N/A", HYPERLINK(INDEX('File Links'!B:B, MATCH(P2181, 'File Links'!C:C, 0))))</f>
        <v>https://drive.google.com/file/d/1FklynAHzflh7rbxQIU4qTxOz3VBhye8B/view?usp=drivesdk</v>
      </c>
      <c r="R2181" s="1508" t="s">
        <v>13257</v>
      </c>
      <c r="S2181" s="720" t="s">
        <v>13258</v>
      </c>
      <c r="T2181" s="1974" t="s">
        <v>138</v>
      </c>
      <c r="U2181" s="1510">
        <v>1.0</v>
      </c>
      <c r="V2181" s="730" t="s">
        <v>13259</v>
      </c>
      <c r="W2181" s="730" t="s">
        <v>209</v>
      </c>
      <c r="X2181" s="1511" t="str">
        <f t="array" ref="X2181"> if(iserror(MATCH(V2181, 'File Links'!C:C, 0)), "N/A", HYPERLINK(INDEX('File Links'!B:B, MATCH(V2181, 'File Links'!C:C, 0))))</f>
        <v>https://drive.google.com/file/d/1hYNUJrx3yjyMoTgcG7Qz4pix-8ruWFMC/view?usp=drivesdk</v>
      </c>
      <c r="Y2181" s="1428"/>
      <c r="Z2181" s="730" t="s">
        <v>226</v>
      </c>
      <c r="AA2181" s="720" t="s">
        <v>13260</v>
      </c>
      <c r="AB2181" s="730" t="s">
        <v>13358</v>
      </c>
      <c r="AC2181" s="730" t="s">
        <v>13355</v>
      </c>
      <c r="AD2181" s="730" t="s">
        <v>13359</v>
      </c>
      <c r="AE2181" s="730">
        <v>9.0</v>
      </c>
      <c r="AF2181" s="1505">
        <v>1728.0</v>
      </c>
      <c r="AG2181" s="1505">
        <v>0.134</v>
      </c>
      <c r="AH2181" s="730" t="s">
        <v>1256</v>
      </c>
      <c r="AI2181" s="730" t="s">
        <v>628</v>
      </c>
      <c r="AJ2181" s="1505">
        <v>0.001</v>
      </c>
      <c r="AK2181" s="730" t="s">
        <v>135</v>
      </c>
      <c r="AL2181" s="730" t="s">
        <v>186</v>
      </c>
      <c r="AM2181" s="720" t="s">
        <v>137</v>
      </c>
      <c r="AN2181" s="720" t="s">
        <v>138</v>
      </c>
      <c r="AO2181" s="1505">
        <v>1446.0</v>
      </c>
      <c r="AP2181" s="1505">
        <v>1.07</v>
      </c>
      <c r="AQ2181" s="730" t="s">
        <v>722</v>
      </c>
      <c r="AR2181" s="730" t="s">
        <v>13299</v>
      </c>
      <c r="AS2181" s="1505">
        <v>0.287</v>
      </c>
      <c r="AT2181" s="730" t="s">
        <v>172</v>
      </c>
      <c r="AU2181" s="730" t="s">
        <v>186</v>
      </c>
      <c r="AV2181" s="720" t="s">
        <v>137</v>
      </c>
      <c r="AW2181" s="1973" t="s">
        <v>13263</v>
      </c>
      <c r="AX2181" s="720" t="s">
        <v>143</v>
      </c>
      <c r="AY2181" s="61" t="str">
        <f>IFERROR(__xludf.DUMMYFUNCTION("vlookup(BB2181,importrange(""https://docs.google.com/spreadsheets/d/1d2vevQ_7D_v35q4wCQ4RpQ_IPoTwEMB9Yp6ymwlPqew/edit?gid=984458430#gid=984458430"", ""'replication success'!A:K""), 11, FAlSE)"),"mixed")</f>
        <v>mixed</v>
      </c>
      <c r="AZ2181" s="61" t="str">
        <f>IFERROR(__xludf.DUMMYFUNCTION("vlookup(BB2181,importrange(""https://docs.google.com/spreadsheets/d/1d2vevQ_7D_v35q4wCQ4RpQ_IPoTwEMB9Yp6ymwlPqew/edit?gid=984458430#gid=984458430"",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1" s="61" t="str">
        <f>IFERROR(__xludf.DUMMYFUNCTION("vlookup(BB2181,importrange(""https://docs.google.com/spreadsheets/d/1d2vevQ_7D_v35q4wCQ4RpQ_IPoTwEMB9Yp6ymwlPqew/edit?gid=984458430#gid=984458430"", ""'replication success'!A:M""), 13, FAlSE)"),"abstract")</f>
        <v>abstract</v>
      </c>
      <c r="BB2181" s="61" t="str">
        <f>IFERROR(__xludf.DUMMYFUNCTION("REGEXREPLACE(G2181, ""_[a-z]{1,2}$"", """")"),"svodevelopment")</f>
        <v>svodevelopment</v>
      </c>
      <c r="BC2181" s="697"/>
      <c r="BD2181" s="716" t="s">
        <v>13264</v>
      </c>
      <c r="BE2181" s="342"/>
      <c r="BF2181" s="342"/>
      <c r="BG2181" s="342"/>
      <c r="BH2181" s="342"/>
      <c r="BI2181" s="342"/>
      <c r="BJ2181" s="342"/>
      <c r="BK2181" s="342"/>
      <c r="BL2181" s="342"/>
      <c r="BM2181" s="342"/>
      <c r="BN2181" s="342"/>
      <c r="BO2181" s="342"/>
      <c r="BP2181" s="342"/>
      <c r="BQ2181" s="342"/>
      <c r="BR2181" s="342"/>
      <c r="BS2181" s="342"/>
      <c r="BT2181" s="342"/>
      <c r="BU2181" s="342"/>
      <c r="BV2181" s="342"/>
      <c r="BW2181" s="342"/>
      <c r="BX2181" s="342"/>
      <c r="BY2181" s="342"/>
      <c r="BZ2181" s="342"/>
      <c r="CA2181" s="342"/>
      <c r="CB2181" s="342"/>
      <c r="CC2181" s="342"/>
      <c r="CD2181" s="342"/>
      <c r="CE2181" s="342"/>
      <c r="CF2181" s="342"/>
      <c r="CG2181" s="342"/>
      <c r="CH2181" s="342"/>
      <c r="CI2181" s="342"/>
      <c r="CJ2181" s="342"/>
      <c r="CK2181" s="342"/>
      <c r="CL2181" s="342"/>
      <c r="CM2181" s="342"/>
      <c r="CN2181" s="342"/>
      <c r="CO2181" s="342"/>
      <c r="CP2181" s="342"/>
      <c r="CQ2181" s="342"/>
      <c r="CR2181" s="342"/>
      <c r="CS2181" s="342"/>
      <c r="CT2181" s="342"/>
      <c r="CU2181" s="342"/>
      <c r="CV2181" s="342"/>
      <c r="CW2181" s="342"/>
      <c r="CX2181" s="342"/>
      <c r="CY2181" s="342"/>
      <c r="CZ2181" s="342"/>
      <c r="DA2181" s="342"/>
      <c r="DB2181" s="342"/>
      <c r="DC2181" s="342"/>
      <c r="DD2181" s="342"/>
      <c r="DE2181" s="342"/>
      <c r="DF2181" s="342"/>
      <c r="DG2181" s="342"/>
      <c r="DH2181" s="342"/>
      <c r="DI2181" s="342"/>
      <c r="DJ2181" s="342"/>
      <c r="DK2181" s="342"/>
      <c r="DL2181" s="342"/>
    </row>
    <row r="2182">
      <c r="A2182" s="44">
        <v>2182.0</v>
      </c>
      <c r="B2182" s="720" t="s">
        <v>114</v>
      </c>
      <c r="C2182" s="716" t="s">
        <v>115</v>
      </c>
      <c r="D2182" s="716" t="s">
        <v>221</v>
      </c>
      <c r="E2182" s="697"/>
      <c r="F2182" s="720" t="s">
        <v>13360</v>
      </c>
      <c r="G2182" s="720" t="s">
        <v>13251</v>
      </c>
      <c r="H2182" s="730" t="s">
        <v>222</v>
      </c>
      <c r="I2182" s="1505" t="s">
        <v>13252</v>
      </c>
      <c r="J2182" s="1506">
        <v>45833.0</v>
      </c>
      <c r="K2182" s="730" t="s">
        <v>13361</v>
      </c>
      <c r="L2182" s="720" t="s">
        <v>13362</v>
      </c>
      <c r="M2182" s="720" t="s">
        <v>13353</v>
      </c>
      <c r="N2182" s="720" t="s">
        <v>9892</v>
      </c>
      <c r="O2182" s="1510">
        <v>4.0</v>
      </c>
      <c r="P2182" s="730" t="s">
        <v>13256</v>
      </c>
      <c r="Q2182" s="1507" t="str">
        <f t="array" ref="Q2182"> if(iserror(MATCH(V2182, 'File Links'!C:C, 0)), "N/A", HYPERLINK(INDEX('File Links'!B:B, MATCH(P2182, 'File Links'!C:C, 0))))</f>
        <v>https://drive.google.com/file/d/1FklynAHzflh7rbxQIU4qTxOz3VBhye8B/view?usp=drivesdk</v>
      </c>
      <c r="R2182" s="1508" t="s">
        <v>13257</v>
      </c>
      <c r="S2182" s="720" t="s">
        <v>13258</v>
      </c>
      <c r="T2182" s="1509"/>
      <c r="U2182" s="1970">
        <v>1.0</v>
      </c>
      <c r="V2182" s="730" t="s">
        <v>13259</v>
      </c>
      <c r="W2182" s="717"/>
      <c r="X2182" s="1511" t="str">
        <f t="array" ref="X2182"> if(iserror(MATCH(V2182, 'File Links'!C:C, 0)), "N/A", HYPERLINK(INDEX('File Links'!B:B, MATCH(V2182, 'File Links'!C:C, 0))))</f>
        <v>https://drive.google.com/file/d/1hYNUJrx3yjyMoTgcG7Qz4pix-8ruWFMC/view?usp=drivesdk</v>
      </c>
      <c r="Y2182" s="1428"/>
      <c r="Z2182" s="730" t="s">
        <v>226</v>
      </c>
      <c r="AA2182" s="720" t="s">
        <v>13260</v>
      </c>
      <c r="AB2182" s="730" t="s">
        <v>13363</v>
      </c>
      <c r="AC2182" s="730" t="s">
        <v>13355</v>
      </c>
      <c r="AD2182" s="717"/>
      <c r="AE2182" s="717"/>
      <c r="AF2182" s="1505">
        <v>1728.0</v>
      </c>
      <c r="AG2182" s="1505">
        <v>1.15</v>
      </c>
      <c r="AH2182" s="730" t="s">
        <v>1256</v>
      </c>
      <c r="AI2182" s="730">
        <v>9.0</v>
      </c>
      <c r="AJ2182" s="1505">
        <v>0.031</v>
      </c>
      <c r="AK2182" s="730" t="s">
        <v>135</v>
      </c>
      <c r="AL2182" s="1971" t="s">
        <v>136</v>
      </c>
      <c r="AM2182" s="720" t="s">
        <v>137</v>
      </c>
      <c r="AN2182" s="720" t="s">
        <v>138</v>
      </c>
      <c r="AO2182" s="1505">
        <v>1446.0</v>
      </c>
      <c r="AP2182" s="1505">
        <v>0.04</v>
      </c>
      <c r="AQ2182" s="730" t="s">
        <v>215</v>
      </c>
      <c r="AR2182" s="730">
        <v>10.0</v>
      </c>
      <c r="AS2182" s="1505">
        <v>0.001</v>
      </c>
      <c r="AT2182" s="730" t="s">
        <v>172</v>
      </c>
      <c r="AU2182" s="1971" t="s">
        <v>136</v>
      </c>
      <c r="AV2182" s="720" t="s">
        <v>137</v>
      </c>
      <c r="AW2182" s="1999" t="s">
        <v>13263</v>
      </c>
      <c r="AX2182" s="720" t="s">
        <v>151</v>
      </c>
      <c r="AY2182" s="61" t="str">
        <f>IFERROR(__xludf.DUMMYFUNCTION("vlookup(BB2182,importrange(""https://docs.google.com/spreadsheets/d/1d2vevQ_7D_v35q4wCQ4RpQ_IPoTwEMB9Yp6ymwlPqew/edit?gid=984458430#gid=984458430"", ""'replication success'!A:K""), 11, FAlSE)"),"mixed")</f>
        <v>mixed</v>
      </c>
      <c r="AZ2182" s="61" t="str">
        <f>IFERROR(__xludf.DUMMYFUNCTION("vlookup(BB2182,importrange(""https://docs.google.com/spreadsheets/d/1d2vevQ_7D_v35q4wCQ4RpQ_IPoTwEMB9Yp6ymwlPqew/edit?gid=984458430#gid=984458430"",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2" s="61" t="str">
        <f>IFERROR(__xludf.DUMMYFUNCTION("vlookup(BB2182,importrange(""https://docs.google.com/spreadsheets/d/1d2vevQ_7D_v35q4wCQ4RpQ_IPoTwEMB9Yp6ymwlPqew/edit?gid=984458430#gid=984458430"", ""'replication success'!A:M""), 13, FAlSE)"),"abstract")</f>
        <v>abstract</v>
      </c>
      <c r="BB2182" s="61" t="str">
        <f>IFERROR(__xludf.DUMMYFUNCTION("REGEXREPLACE(G2182, ""_[a-z]{1,2}$"", """")"),"svodevelopment")</f>
        <v>svodevelopment</v>
      </c>
      <c r="BC2182" s="697"/>
      <c r="BD2182" s="716" t="s">
        <v>13264</v>
      </c>
      <c r="BE2182" s="342"/>
      <c r="BF2182" s="342"/>
      <c r="BG2182" s="342"/>
      <c r="BH2182" s="342"/>
      <c r="BI2182" s="342"/>
      <c r="BJ2182" s="342"/>
      <c r="BK2182" s="342"/>
      <c r="BL2182" s="342"/>
      <c r="BM2182" s="342"/>
      <c r="BN2182" s="342"/>
      <c r="BO2182" s="342"/>
      <c r="BP2182" s="342"/>
      <c r="BQ2182" s="342"/>
      <c r="BR2182" s="342"/>
      <c r="BS2182" s="342"/>
      <c r="BT2182" s="342"/>
      <c r="BU2182" s="342"/>
      <c r="BV2182" s="342"/>
      <c r="BW2182" s="342"/>
      <c r="BX2182" s="342"/>
      <c r="BY2182" s="342"/>
      <c r="BZ2182" s="342"/>
      <c r="CA2182" s="342"/>
      <c r="CB2182" s="342"/>
      <c r="CC2182" s="342"/>
      <c r="CD2182" s="342"/>
      <c r="CE2182" s="342"/>
      <c r="CF2182" s="342"/>
      <c r="CG2182" s="342"/>
      <c r="CH2182" s="342"/>
      <c r="CI2182" s="342"/>
      <c r="CJ2182" s="342"/>
      <c r="CK2182" s="342"/>
      <c r="CL2182" s="342"/>
      <c r="CM2182" s="342"/>
      <c r="CN2182" s="342"/>
      <c r="CO2182" s="342"/>
      <c r="CP2182" s="342"/>
      <c r="CQ2182" s="342"/>
      <c r="CR2182" s="342"/>
      <c r="CS2182" s="342"/>
      <c r="CT2182" s="342"/>
      <c r="CU2182" s="342"/>
      <c r="CV2182" s="342"/>
      <c r="CW2182" s="342"/>
      <c r="CX2182" s="342"/>
      <c r="CY2182" s="342"/>
      <c r="CZ2182" s="342"/>
      <c r="DA2182" s="342"/>
      <c r="DB2182" s="342"/>
      <c r="DC2182" s="342"/>
      <c r="DD2182" s="342"/>
      <c r="DE2182" s="342"/>
      <c r="DF2182" s="342"/>
      <c r="DG2182" s="342"/>
      <c r="DH2182" s="342"/>
      <c r="DI2182" s="342"/>
      <c r="DJ2182" s="342"/>
      <c r="DK2182" s="342"/>
      <c r="DL2182" s="342"/>
    </row>
    <row r="2183">
      <c r="A2183" s="44">
        <v>2183.0</v>
      </c>
      <c r="B2183" s="720" t="s">
        <v>114</v>
      </c>
      <c r="C2183" s="716" t="s">
        <v>115</v>
      </c>
      <c r="D2183" s="716" t="s">
        <v>2930</v>
      </c>
      <c r="E2183" s="697"/>
      <c r="F2183" s="720" t="s">
        <v>13360</v>
      </c>
      <c r="G2183" s="720" t="s">
        <v>13251</v>
      </c>
      <c r="H2183" s="730" t="s">
        <v>13265</v>
      </c>
      <c r="I2183" s="1505" t="s">
        <v>13350</v>
      </c>
      <c r="J2183" s="1506">
        <v>45833.0</v>
      </c>
      <c r="K2183" s="730" t="s">
        <v>138</v>
      </c>
      <c r="L2183" s="720" t="s">
        <v>13288</v>
      </c>
      <c r="M2183" s="720" t="s">
        <v>13353</v>
      </c>
      <c r="N2183" s="720" t="s">
        <v>9892</v>
      </c>
      <c r="O2183" s="1510" t="s">
        <v>138</v>
      </c>
      <c r="P2183" s="730" t="s">
        <v>13256</v>
      </c>
      <c r="Q2183" s="1507" t="str">
        <f t="array" ref="Q2183"> if(iserror(MATCH(V2183, 'File Links'!C:C, 0)), "N/A", HYPERLINK(INDEX('File Links'!B:B, MATCH(P2183, 'File Links'!C:C, 0))))</f>
        <v>https://drive.google.com/file/d/1FklynAHzflh7rbxQIU4qTxOz3VBhye8B/view?usp=drivesdk</v>
      </c>
      <c r="R2183" s="1508" t="s">
        <v>13257</v>
      </c>
      <c r="S2183" s="720" t="s">
        <v>13258</v>
      </c>
      <c r="T2183" s="1974" t="s">
        <v>138</v>
      </c>
      <c r="U2183" s="1510" t="s">
        <v>138</v>
      </c>
      <c r="V2183" s="730" t="s">
        <v>13259</v>
      </c>
      <c r="W2183" s="730" t="s">
        <v>138</v>
      </c>
      <c r="X2183" s="1511" t="str">
        <f t="array" ref="X2183"> if(iserror(MATCH(V2183, 'File Links'!C:C, 0)), "N/A", HYPERLINK(INDEX('File Links'!B:B, MATCH(V2183, 'File Links'!C:C, 0))))</f>
        <v>https://drive.google.com/file/d/1hYNUJrx3yjyMoTgcG7Qz4pix-8ruWFMC/view?usp=drivesdk</v>
      </c>
      <c r="Y2183" s="720" t="s">
        <v>13364</v>
      </c>
      <c r="Z2183" s="730" t="s">
        <v>226</v>
      </c>
      <c r="AA2183" s="720" t="s">
        <v>13260</v>
      </c>
      <c r="AB2183" s="730" t="s">
        <v>13363</v>
      </c>
      <c r="AC2183" s="730" t="s">
        <v>13355</v>
      </c>
      <c r="AD2183" s="730" t="s">
        <v>138</v>
      </c>
      <c r="AE2183" s="730" t="s">
        <v>138</v>
      </c>
      <c r="AF2183" s="1505" t="s">
        <v>138</v>
      </c>
      <c r="AG2183" s="1505" t="s">
        <v>138</v>
      </c>
      <c r="AH2183" s="717"/>
      <c r="AI2183" s="730" t="s">
        <v>138</v>
      </c>
      <c r="AJ2183" s="1505" t="s">
        <v>138</v>
      </c>
      <c r="AK2183" s="717"/>
      <c r="AL2183" s="717"/>
      <c r="AM2183" s="1428"/>
      <c r="AN2183" s="720" t="s">
        <v>138</v>
      </c>
      <c r="AO2183" s="1505" t="s">
        <v>138</v>
      </c>
      <c r="AP2183" s="1505" t="s">
        <v>138</v>
      </c>
      <c r="AQ2183" s="2000" t="s">
        <v>361</v>
      </c>
      <c r="AR2183" s="730" t="s">
        <v>138</v>
      </c>
      <c r="AS2183" s="1505" t="s">
        <v>138</v>
      </c>
      <c r="AT2183" s="717"/>
      <c r="AU2183" s="717"/>
      <c r="AV2183" s="1428"/>
      <c r="AW2183" s="1512" t="s">
        <v>138</v>
      </c>
      <c r="AX2183" s="1428"/>
      <c r="AY2183" s="61" t="str">
        <f>IFERROR(__xludf.DUMMYFUNCTION("vlookup(BB2183,importrange(""https://docs.google.com/spreadsheets/d/1d2vevQ_7D_v35q4wCQ4RpQ_IPoTwEMB9Yp6ymwlPqew/edit?gid=984458430#gid=984458430"", ""'replication success'!A:K""), 11, FAlSE)"),"mixed")</f>
        <v>mixed</v>
      </c>
      <c r="AZ2183" s="61" t="str">
        <f>IFERROR(__xludf.DUMMYFUNCTION("vlookup(BB2183,importrange(""https://docs.google.com/spreadsheets/d/1d2vevQ_7D_v35q4wCQ4RpQ_IPoTwEMB9Yp6ymwlPqew/edit?gid=984458430#gid=984458430"",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3" s="61" t="str">
        <f>IFERROR(__xludf.DUMMYFUNCTION("vlookup(BB2183,importrange(""https://docs.google.com/spreadsheets/d/1d2vevQ_7D_v35q4wCQ4RpQ_IPoTwEMB9Yp6ymwlPqew/edit?gid=984458430#gid=984458430"", ""'replication success'!A:M""), 13, FAlSE)"),"abstract")</f>
        <v>abstract</v>
      </c>
      <c r="BB2183" s="61" t="str">
        <f>IFERROR(__xludf.DUMMYFUNCTION("REGEXREPLACE(G2183, ""_[a-z]{1,2}$"", """")"),"svodevelopment")</f>
        <v>svodevelopment</v>
      </c>
      <c r="BC2183" s="697"/>
      <c r="BD2183" s="716" t="s">
        <v>13264</v>
      </c>
      <c r="BE2183" s="342"/>
      <c r="BF2183" s="342"/>
      <c r="BG2183" s="342"/>
      <c r="BH2183" s="342"/>
      <c r="BI2183" s="342"/>
      <c r="BJ2183" s="342"/>
      <c r="BK2183" s="342"/>
      <c r="BL2183" s="342"/>
      <c r="BM2183" s="342"/>
      <c r="BN2183" s="342"/>
      <c r="BO2183" s="342"/>
      <c r="BP2183" s="342"/>
      <c r="BQ2183" s="342"/>
      <c r="BR2183" s="342"/>
      <c r="BS2183" s="342"/>
      <c r="BT2183" s="342"/>
      <c r="BU2183" s="342"/>
      <c r="BV2183" s="342"/>
      <c r="BW2183" s="342"/>
      <c r="BX2183" s="342"/>
      <c r="BY2183" s="342"/>
      <c r="BZ2183" s="342"/>
      <c r="CA2183" s="342"/>
      <c r="CB2183" s="342"/>
      <c r="CC2183" s="342"/>
      <c r="CD2183" s="342"/>
      <c r="CE2183" s="342"/>
      <c r="CF2183" s="342"/>
      <c r="CG2183" s="342"/>
      <c r="CH2183" s="342"/>
      <c r="CI2183" s="342"/>
      <c r="CJ2183" s="342"/>
      <c r="CK2183" s="342"/>
      <c r="CL2183" s="342"/>
      <c r="CM2183" s="342"/>
      <c r="CN2183" s="342"/>
      <c r="CO2183" s="342"/>
      <c r="CP2183" s="342"/>
      <c r="CQ2183" s="342"/>
      <c r="CR2183" s="342"/>
      <c r="CS2183" s="342"/>
      <c r="CT2183" s="342"/>
      <c r="CU2183" s="342"/>
      <c r="CV2183" s="342"/>
      <c r="CW2183" s="342"/>
      <c r="CX2183" s="342"/>
      <c r="CY2183" s="342"/>
      <c r="CZ2183" s="342"/>
      <c r="DA2183" s="342"/>
      <c r="DB2183" s="342"/>
      <c r="DC2183" s="342"/>
      <c r="DD2183" s="342"/>
      <c r="DE2183" s="342"/>
      <c r="DF2183" s="342"/>
      <c r="DG2183" s="342"/>
      <c r="DH2183" s="342"/>
      <c r="DI2183" s="342"/>
      <c r="DJ2183" s="342"/>
      <c r="DK2183" s="342"/>
      <c r="DL2183" s="342"/>
    </row>
    <row r="2184">
      <c r="A2184" s="44">
        <v>2184.0</v>
      </c>
      <c r="B2184" s="720" t="s">
        <v>114</v>
      </c>
      <c r="C2184" s="716" t="s">
        <v>115</v>
      </c>
      <c r="D2184" s="716" t="s">
        <v>221</v>
      </c>
      <c r="E2184" s="697"/>
      <c r="F2184" s="720" t="s">
        <v>13365</v>
      </c>
      <c r="G2184" s="720" t="s">
        <v>13251</v>
      </c>
      <c r="H2184" s="730" t="s">
        <v>222</v>
      </c>
      <c r="I2184" s="1505" t="s">
        <v>13252</v>
      </c>
      <c r="J2184" s="1506">
        <v>45832.0</v>
      </c>
      <c r="K2184" s="730" t="s">
        <v>13366</v>
      </c>
      <c r="L2184" s="720" t="s">
        <v>13288</v>
      </c>
      <c r="M2184" s="720" t="s">
        <v>13255</v>
      </c>
      <c r="N2184" s="720" t="s">
        <v>9892</v>
      </c>
      <c r="O2184" s="1510">
        <v>1.0</v>
      </c>
      <c r="P2184" s="730" t="s">
        <v>13256</v>
      </c>
      <c r="Q2184" s="1507" t="str">
        <f t="array" ref="Q2184"> if(iserror(MATCH(V2184, 'File Links'!C:C, 0)), "N/A", HYPERLINK(INDEX('File Links'!B:B, MATCH(P2184, 'File Links'!C:C, 0))))</f>
        <v>https://drive.google.com/file/d/1FklynAHzflh7rbxQIU4qTxOz3VBhye8B/view?usp=drivesdk</v>
      </c>
      <c r="R2184" s="1508" t="s">
        <v>13257</v>
      </c>
      <c r="S2184" s="720" t="s">
        <v>13258</v>
      </c>
      <c r="T2184" s="1509"/>
      <c r="U2184" s="1970">
        <v>1.0</v>
      </c>
      <c r="V2184" s="730" t="s">
        <v>13259</v>
      </c>
      <c r="W2184" s="717"/>
      <c r="X2184" s="1511" t="str">
        <f t="array" ref="X2184"> if(iserror(MATCH(V2184, 'File Links'!C:C, 0)), "N/A", HYPERLINK(INDEX('File Links'!B:B, MATCH(V2184, 'File Links'!C:C, 0))))</f>
        <v>https://drive.google.com/file/d/1hYNUJrx3yjyMoTgcG7Qz4pix-8ruWFMC/view?usp=drivesdk</v>
      </c>
      <c r="Y2184" s="1428"/>
      <c r="Z2184" s="730" t="s">
        <v>226</v>
      </c>
      <c r="AA2184" s="720" t="s">
        <v>13260</v>
      </c>
      <c r="AB2184" s="730" t="s">
        <v>13367</v>
      </c>
      <c r="AC2184" s="730" t="s">
        <v>13262</v>
      </c>
      <c r="AD2184" s="717"/>
      <c r="AE2184" s="717"/>
      <c r="AF2184" s="1505">
        <v>573.0</v>
      </c>
      <c r="AG2184" s="1505">
        <v>0.23</v>
      </c>
      <c r="AH2184" s="730" t="s">
        <v>173</v>
      </c>
      <c r="AI2184" s="730">
        <v>6.0</v>
      </c>
      <c r="AJ2184" s="1505">
        <v>0.02</v>
      </c>
      <c r="AK2184" s="730" t="s">
        <v>135</v>
      </c>
      <c r="AL2184" s="730" t="s">
        <v>136</v>
      </c>
      <c r="AM2184" s="720" t="s">
        <v>137</v>
      </c>
      <c r="AN2184" s="720" t="s">
        <v>138</v>
      </c>
      <c r="AO2184" s="1505">
        <v>1446.0</v>
      </c>
      <c r="AP2184" s="1505">
        <v>0.19</v>
      </c>
      <c r="AQ2184" s="730" t="s">
        <v>173</v>
      </c>
      <c r="AR2184" s="730">
        <v>7.0</v>
      </c>
      <c r="AS2184" s="1505">
        <v>0.001</v>
      </c>
      <c r="AT2184" s="730" t="s">
        <v>172</v>
      </c>
      <c r="AU2184" s="730" t="s">
        <v>136</v>
      </c>
      <c r="AV2184" s="720" t="s">
        <v>137</v>
      </c>
      <c r="AW2184" s="1973" t="s">
        <v>13263</v>
      </c>
      <c r="AX2184" s="720" t="s">
        <v>151</v>
      </c>
      <c r="AY2184" s="61" t="str">
        <f>IFERROR(__xludf.DUMMYFUNCTION("vlookup(BB2184,importrange(""https://docs.google.com/spreadsheets/d/1d2vevQ_7D_v35q4wCQ4RpQ_IPoTwEMB9Yp6ymwlPqew/edit?gid=984458430#gid=984458430"", ""'replication success'!A:K""), 11, FAlSE)"),"mixed")</f>
        <v>mixed</v>
      </c>
      <c r="AZ2184" s="61" t="str">
        <f>IFERROR(__xludf.DUMMYFUNCTION("vlookup(BB2184,importrange(""https://docs.google.com/spreadsheets/d/1d2vevQ_7D_v35q4wCQ4RpQ_IPoTwEMB9Yp6ymwlPqew/edit?gid=984458430#gid=984458430"",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4" s="61" t="str">
        <f>IFERROR(__xludf.DUMMYFUNCTION("vlookup(BB2184,importrange(""https://docs.google.com/spreadsheets/d/1d2vevQ_7D_v35q4wCQ4RpQ_IPoTwEMB9Yp6ymwlPqew/edit?gid=984458430#gid=984458430"", ""'replication success'!A:M""), 13, FAlSE)"),"abstract")</f>
        <v>abstract</v>
      </c>
      <c r="BB2184" s="61" t="str">
        <f>IFERROR(__xludf.DUMMYFUNCTION("REGEXREPLACE(G2184, ""_[a-z]{1,2}$"", """")"),"svodevelopment")</f>
        <v>svodevelopment</v>
      </c>
      <c r="BC2184" s="697"/>
      <c r="BD2184" s="716" t="s">
        <v>145</v>
      </c>
      <c r="BE2184" s="342"/>
      <c r="BF2184" s="342"/>
      <c r="BG2184" s="342"/>
      <c r="BH2184" s="342"/>
      <c r="BI2184" s="342"/>
      <c r="BJ2184" s="342"/>
      <c r="BK2184" s="342"/>
      <c r="BL2184" s="342"/>
      <c r="BM2184" s="342"/>
      <c r="BN2184" s="342"/>
      <c r="BO2184" s="342"/>
      <c r="BP2184" s="342"/>
      <c r="BQ2184" s="342"/>
      <c r="BR2184" s="342"/>
      <c r="BS2184" s="342"/>
      <c r="BT2184" s="342"/>
      <c r="BU2184" s="342"/>
      <c r="BV2184" s="342"/>
      <c r="BW2184" s="342"/>
      <c r="BX2184" s="342"/>
      <c r="BY2184" s="342"/>
      <c r="BZ2184" s="342"/>
      <c r="CA2184" s="342"/>
      <c r="CB2184" s="342"/>
      <c r="CC2184" s="342"/>
      <c r="CD2184" s="342"/>
      <c r="CE2184" s="342"/>
      <c r="CF2184" s="342"/>
      <c r="CG2184" s="342"/>
      <c r="CH2184" s="342"/>
      <c r="CI2184" s="342"/>
      <c r="CJ2184" s="342"/>
      <c r="CK2184" s="342"/>
      <c r="CL2184" s="342"/>
      <c r="CM2184" s="342"/>
      <c r="CN2184" s="342"/>
      <c r="CO2184" s="342"/>
      <c r="CP2184" s="342"/>
      <c r="CQ2184" s="342"/>
      <c r="CR2184" s="342"/>
      <c r="CS2184" s="342"/>
      <c r="CT2184" s="342"/>
      <c r="CU2184" s="342"/>
      <c r="CV2184" s="342"/>
      <c r="CW2184" s="342"/>
      <c r="CX2184" s="342"/>
      <c r="CY2184" s="342"/>
      <c r="CZ2184" s="342"/>
      <c r="DA2184" s="342"/>
      <c r="DB2184" s="342"/>
      <c r="DC2184" s="342"/>
      <c r="DD2184" s="342"/>
      <c r="DE2184" s="342"/>
      <c r="DF2184" s="342"/>
      <c r="DG2184" s="342"/>
      <c r="DH2184" s="342"/>
      <c r="DI2184" s="342"/>
      <c r="DJ2184" s="342"/>
      <c r="DK2184" s="342"/>
      <c r="DL2184" s="342"/>
    </row>
    <row r="2185">
      <c r="A2185" s="44">
        <v>2185.0</v>
      </c>
      <c r="B2185" s="720" t="s">
        <v>152</v>
      </c>
      <c r="C2185" s="716" t="s">
        <v>115</v>
      </c>
      <c r="D2185" s="716" t="s">
        <v>2930</v>
      </c>
      <c r="E2185" s="697"/>
      <c r="F2185" s="720" t="s">
        <v>13365</v>
      </c>
      <c r="G2185" s="720" t="s">
        <v>13251</v>
      </c>
      <c r="H2185" s="730" t="s">
        <v>13265</v>
      </c>
      <c r="I2185" s="1505" t="s">
        <v>13368</v>
      </c>
      <c r="J2185" s="1506">
        <v>45832.0</v>
      </c>
      <c r="K2185" s="730" t="s">
        <v>13332</v>
      </c>
      <c r="L2185" s="720" t="s">
        <v>13288</v>
      </c>
      <c r="M2185" s="720" t="s">
        <v>13255</v>
      </c>
      <c r="N2185" s="720" t="s">
        <v>9892</v>
      </c>
      <c r="O2185" s="1510">
        <v>1.0</v>
      </c>
      <c r="P2185" s="730" t="s">
        <v>13256</v>
      </c>
      <c r="Q2185" s="1507" t="str">
        <f t="array" ref="Q2185"> if(iserror(MATCH(V2185, 'File Links'!C:C, 0)), "N/A", HYPERLINK(INDEX('File Links'!B:B, MATCH(P2185, 'File Links'!C:C, 0))))</f>
        <v>https://drive.google.com/file/d/1FklynAHzflh7rbxQIU4qTxOz3VBhye8B/view?usp=drivesdk</v>
      </c>
      <c r="R2185" s="1508" t="s">
        <v>13257</v>
      </c>
      <c r="S2185" s="720" t="s">
        <v>13258</v>
      </c>
      <c r="T2185" s="1974" t="s">
        <v>138</v>
      </c>
      <c r="U2185" s="1510">
        <v>1.0</v>
      </c>
      <c r="V2185" s="730" t="s">
        <v>13259</v>
      </c>
      <c r="W2185" s="730" t="s">
        <v>209</v>
      </c>
      <c r="X2185" s="1511" t="str">
        <f t="array" ref="X2185"> if(iserror(MATCH(V2185, 'File Links'!C:C, 0)), "N/A", HYPERLINK(INDEX('File Links'!B:B, MATCH(V2185, 'File Links'!C:C, 0))))</f>
        <v>https://drive.google.com/file/d/1hYNUJrx3yjyMoTgcG7Qz4pix-8ruWFMC/view?usp=drivesdk</v>
      </c>
      <c r="Y2185" s="1428"/>
      <c r="Z2185" s="730" t="s">
        <v>226</v>
      </c>
      <c r="AA2185" s="720" t="s">
        <v>13260</v>
      </c>
      <c r="AB2185" s="730" t="s">
        <v>13367</v>
      </c>
      <c r="AC2185" s="730" t="s">
        <v>13262</v>
      </c>
      <c r="AD2185" s="730" t="s">
        <v>13270</v>
      </c>
      <c r="AE2185" s="730">
        <v>4.0</v>
      </c>
      <c r="AF2185" s="1505">
        <v>573.0</v>
      </c>
      <c r="AG2185" s="1505">
        <v>0.234</v>
      </c>
      <c r="AH2185" s="730" t="s">
        <v>173</v>
      </c>
      <c r="AI2185" s="730" t="s">
        <v>850</v>
      </c>
      <c r="AJ2185" s="1505" t="s">
        <v>138</v>
      </c>
      <c r="AK2185" s="717"/>
      <c r="AL2185" s="730" t="s">
        <v>186</v>
      </c>
      <c r="AM2185" s="720" t="s">
        <v>137</v>
      </c>
      <c r="AN2185" s="720" t="s">
        <v>138</v>
      </c>
      <c r="AO2185" s="1505">
        <v>1446.0</v>
      </c>
      <c r="AP2185" s="1505">
        <v>1.25</v>
      </c>
      <c r="AQ2185" s="730" t="s">
        <v>722</v>
      </c>
      <c r="AR2185" s="730" t="s">
        <v>13271</v>
      </c>
      <c r="AS2185" s="1505">
        <v>0.002</v>
      </c>
      <c r="AT2185" s="730" t="s">
        <v>172</v>
      </c>
      <c r="AU2185" s="730" t="s">
        <v>186</v>
      </c>
      <c r="AV2185" s="720" t="s">
        <v>137</v>
      </c>
      <c r="AW2185" s="1973" t="s">
        <v>13263</v>
      </c>
      <c r="AX2185" s="1115" t="s">
        <v>438</v>
      </c>
      <c r="AY2185" s="61" t="str">
        <f>IFERROR(__xludf.DUMMYFUNCTION("vlookup(BB2185,importrange(""https://docs.google.com/spreadsheets/d/1d2vevQ_7D_v35q4wCQ4RpQ_IPoTwEMB9Yp6ymwlPqew/edit?gid=984458430#gid=984458430"", ""'replication success'!A:K""), 11, FAlSE)"),"mixed")</f>
        <v>mixed</v>
      </c>
      <c r="AZ2185" s="61" t="str">
        <f>IFERROR(__xludf.DUMMYFUNCTION("vlookup(BB2185,importrange(""https://docs.google.com/spreadsheets/d/1d2vevQ_7D_v35q4wCQ4RpQ_IPoTwEMB9Yp6ymwlPqew/edit?gid=984458430#gid=984458430"",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5" s="61" t="str">
        <f>IFERROR(__xludf.DUMMYFUNCTION("vlookup(BB2185,importrange(""https://docs.google.com/spreadsheets/d/1d2vevQ_7D_v35q4wCQ4RpQ_IPoTwEMB9Yp6ymwlPqew/edit?gid=984458430#gid=984458430"", ""'replication success'!A:M""), 13, FAlSE)"),"abstract")</f>
        <v>abstract</v>
      </c>
      <c r="BB2185" s="61" t="str">
        <f>IFERROR(__xludf.DUMMYFUNCTION("REGEXREPLACE(G2185, ""_[a-z]{1,2}$"", """")"),"svodevelopment")</f>
        <v>svodevelopment</v>
      </c>
      <c r="BC2185" s="697"/>
      <c r="BD2185" s="716" t="s">
        <v>13264</v>
      </c>
      <c r="BE2185" s="342"/>
      <c r="BF2185" s="342"/>
      <c r="BG2185" s="342"/>
      <c r="BH2185" s="342"/>
      <c r="BI2185" s="342"/>
      <c r="BJ2185" s="342"/>
      <c r="BK2185" s="342"/>
      <c r="BL2185" s="342"/>
      <c r="BM2185" s="342"/>
      <c r="BN2185" s="342"/>
      <c r="BO2185" s="342"/>
      <c r="BP2185" s="342"/>
      <c r="BQ2185" s="342"/>
      <c r="BR2185" s="342"/>
      <c r="BS2185" s="342"/>
      <c r="BT2185" s="342"/>
      <c r="BU2185" s="342"/>
      <c r="BV2185" s="342"/>
      <c r="BW2185" s="342"/>
      <c r="BX2185" s="342"/>
      <c r="BY2185" s="342"/>
      <c r="BZ2185" s="342"/>
      <c r="CA2185" s="342"/>
      <c r="CB2185" s="342"/>
      <c r="CC2185" s="342"/>
      <c r="CD2185" s="342"/>
      <c r="CE2185" s="342"/>
      <c r="CF2185" s="342"/>
      <c r="CG2185" s="342"/>
      <c r="CH2185" s="342"/>
      <c r="CI2185" s="342"/>
      <c r="CJ2185" s="342"/>
      <c r="CK2185" s="342"/>
      <c r="CL2185" s="342"/>
      <c r="CM2185" s="342"/>
      <c r="CN2185" s="342"/>
      <c r="CO2185" s="342"/>
      <c r="CP2185" s="342"/>
      <c r="CQ2185" s="342"/>
      <c r="CR2185" s="342"/>
      <c r="CS2185" s="342"/>
      <c r="CT2185" s="342"/>
      <c r="CU2185" s="342"/>
      <c r="CV2185" s="342"/>
      <c r="CW2185" s="342"/>
      <c r="CX2185" s="342"/>
      <c r="CY2185" s="342"/>
      <c r="CZ2185" s="342"/>
      <c r="DA2185" s="342"/>
      <c r="DB2185" s="342"/>
      <c r="DC2185" s="342"/>
      <c r="DD2185" s="342"/>
      <c r="DE2185" s="342"/>
      <c r="DF2185" s="342"/>
      <c r="DG2185" s="342"/>
      <c r="DH2185" s="342"/>
      <c r="DI2185" s="342"/>
      <c r="DJ2185" s="342"/>
      <c r="DK2185" s="342"/>
      <c r="DL2185" s="342"/>
    </row>
    <row r="2186">
      <c r="A2186" s="44">
        <v>2186.0</v>
      </c>
      <c r="B2186" s="720" t="s">
        <v>114</v>
      </c>
      <c r="C2186" s="716" t="s">
        <v>115</v>
      </c>
      <c r="D2186" s="716" t="s">
        <v>221</v>
      </c>
      <c r="E2186" s="697"/>
      <c r="F2186" s="720" t="s">
        <v>13369</v>
      </c>
      <c r="G2186" s="720" t="s">
        <v>13251</v>
      </c>
      <c r="H2186" s="730" t="s">
        <v>222</v>
      </c>
      <c r="I2186" s="1505" t="s">
        <v>13252</v>
      </c>
      <c r="J2186" s="1506">
        <v>45832.0</v>
      </c>
      <c r="K2186" s="730" t="s">
        <v>13370</v>
      </c>
      <c r="L2186" s="720" t="s">
        <v>13288</v>
      </c>
      <c r="M2186" s="720" t="s">
        <v>13255</v>
      </c>
      <c r="N2186" s="720" t="s">
        <v>9892</v>
      </c>
      <c r="O2186" s="1510">
        <v>1.0</v>
      </c>
      <c r="P2186" s="730" t="s">
        <v>13256</v>
      </c>
      <c r="Q2186" s="1507" t="str">
        <f t="array" ref="Q2186"> if(iserror(MATCH(V2186, 'File Links'!C:C, 0)), "N/A", HYPERLINK(INDEX('File Links'!B:B, MATCH(P2186, 'File Links'!C:C, 0))))</f>
        <v>https://drive.google.com/file/d/1FklynAHzflh7rbxQIU4qTxOz3VBhye8B/view?usp=drivesdk</v>
      </c>
      <c r="R2186" s="1508" t="s">
        <v>13257</v>
      </c>
      <c r="S2186" s="720" t="s">
        <v>13258</v>
      </c>
      <c r="T2186" s="1509"/>
      <c r="U2186" s="1970">
        <v>1.0</v>
      </c>
      <c r="V2186" s="730" t="s">
        <v>13259</v>
      </c>
      <c r="W2186" s="717"/>
      <c r="X2186" s="1511" t="str">
        <f t="array" ref="X2186"> if(iserror(MATCH(V2186, 'File Links'!C:C, 0)), "N/A", HYPERLINK(INDEX('File Links'!B:B, MATCH(V2186, 'File Links'!C:C, 0))))</f>
        <v>https://drive.google.com/file/d/1hYNUJrx3yjyMoTgcG7Qz4pix-8ruWFMC/view?usp=drivesdk</v>
      </c>
      <c r="Y2186" s="1428"/>
      <c r="Z2186" s="730" t="s">
        <v>226</v>
      </c>
      <c r="AA2186" s="720" t="s">
        <v>13260</v>
      </c>
      <c r="AB2186" s="730" t="s">
        <v>13371</v>
      </c>
      <c r="AC2186" s="730" t="s">
        <v>13276</v>
      </c>
      <c r="AD2186" s="717"/>
      <c r="AE2186" s="717"/>
      <c r="AF2186" s="1505">
        <v>573.0</v>
      </c>
      <c r="AG2186" s="1505">
        <v>0.49</v>
      </c>
      <c r="AH2186" s="730" t="s">
        <v>173</v>
      </c>
      <c r="AI2186" s="730">
        <v>6.0</v>
      </c>
      <c r="AJ2186" s="1505">
        <v>0.018</v>
      </c>
      <c r="AK2186" s="730" t="s">
        <v>135</v>
      </c>
      <c r="AL2186" s="730" t="s">
        <v>136</v>
      </c>
      <c r="AM2186" s="720" t="s">
        <v>137</v>
      </c>
      <c r="AN2186" s="720" t="s">
        <v>138</v>
      </c>
      <c r="AO2186" s="1505">
        <v>1446.0</v>
      </c>
      <c r="AP2186" s="1505">
        <v>0.13</v>
      </c>
      <c r="AQ2186" s="730" t="s">
        <v>173</v>
      </c>
      <c r="AR2186" s="730">
        <v>7.0</v>
      </c>
      <c r="AS2186" s="1505">
        <v>0.001</v>
      </c>
      <c r="AT2186" s="730" t="s">
        <v>172</v>
      </c>
      <c r="AU2186" s="730" t="s">
        <v>136</v>
      </c>
      <c r="AV2186" s="720" t="s">
        <v>137</v>
      </c>
      <c r="AW2186" s="1973" t="s">
        <v>13263</v>
      </c>
      <c r="AX2186" s="720" t="s">
        <v>143</v>
      </c>
      <c r="AY2186" s="61" t="str">
        <f>IFERROR(__xludf.DUMMYFUNCTION("vlookup(BB2186,importrange(""https://docs.google.com/spreadsheets/d/1d2vevQ_7D_v35q4wCQ4RpQ_IPoTwEMB9Yp6ymwlPqew/edit?gid=984458430#gid=984458430"", ""'replication success'!A:K""), 11, FAlSE)"),"mixed")</f>
        <v>mixed</v>
      </c>
      <c r="AZ2186" s="61" t="str">
        <f>IFERROR(__xludf.DUMMYFUNCTION("vlookup(BB2186,importrange(""https://docs.google.com/spreadsheets/d/1d2vevQ_7D_v35q4wCQ4RpQ_IPoTwEMB9Yp6ymwlPqew/edit?gid=984458430#gid=984458430"",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6" s="61" t="str">
        <f>IFERROR(__xludf.DUMMYFUNCTION("vlookup(BB2186,importrange(""https://docs.google.com/spreadsheets/d/1d2vevQ_7D_v35q4wCQ4RpQ_IPoTwEMB9Yp6ymwlPqew/edit?gid=984458430#gid=984458430"", ""'replication success'!A:M""), 13, FAlSE)"),"abstract")</f>
        <v>abstract</v>
      </c>
      <c r="BB2186" s="61" t="str">
        <f>IFERROR(__xludf.DUMMYFUNCTION("REGEXREPLACE(G2186, ""_[a-z]{1,2}$"", """")"),"svodevelopment")</f>
        <v>svodevelopment</v>
      </c>
      <c r="BC2186" s="697"/>
      <c r="BD2186" s="716" t="s">
        <v>13264</v>
      </c>
      <c r="BE2186" s="342"/>
      <c r="BF2186" s="342"/>
      <c r="BG2186" s="342"/>
      <c r="BH2186" s="342"/>
      <c r="BI2186" s="342"/>
      <c r="BJ2186" s="342"/>
      <c r="BK2186" s="342"/>
      <c r="BL2186" s="342"/>
      <c r="BM2186" s="342"/>
      <c r="BN2186" s="342"/>
      <c r="BO2186" s="342"/>
      <c r="BP2186" s="342"/>
      <c r="BQ2186" s="342"/>
      <c r="BR2186" s="342"/>
      <c r="BS2186" s="342"/>
      <c r="BT2186" s="342"/>
      <c r="BU2186" s="342"/>
      <c r="BV2186" s="342"/>
      <c r="BW2186" s="342"/>
      <c r="BX2186" s="342"/>
      <c r="BY2186" s="342"/>
      <c r="BZ2186" s="342"/>
      <c r="CA2186" s="342"/>
      <c r="CB2186" s="342"/>
      <c r="CC2186" s="342"/>
      <c r="CD2186" s="342"/>
      <c r="CE2186" s="342"/>
      <c r="CF2186" s="342"/>
      <c r="CG2186" s="342"/>
      <c r="CH2186" s="342"/>
      <c r="CI2186" s="342"/>
      <c r="CJ2186" s="342"/>
      <c r="CK2186" s="342"/>
      <c r="CL2186" s="342"/>
      <c r="CM2186" s="342"/>
      <c r="CN2186" s="342"/>
      <c r="CO2186" s="342"/>
      <c r="CP2186" s="342"/>
      <c r="CQ2186" s="342"/>
      <c r="CR2186" s="342"/>
      <c r="CS2186" s="342"/>
      <c r="CT2186" s="342"/>
      <c r="CU2186" s="342"/>
      <c r="CV2186" s="342"/>
      <c r="CW2186" s="342"/>
      <c r="CX2186" s="342"/>
      <c r="CY2186" s="342"/>
      <c r="CZ2186" s="342"/>
      <c r="DA2186" s="342"/>
      <c r="DB2186" s="342"/>
      <c r="DC2186" s="342"/>
      <c r="DD2186" s="342"/>
      <c r="DE2186" s="342"/>
      <c r="DF2186" s="342"/>
      <c r="DG2186" s="342"/>
      <c r="DH2186" s="342"/>
      <c r="DI2186" s="342"/>
      <c r="DJ2186" s="342"/>
      <c r="DK2186" s="342"/>
      <c r="DL2186" s="342"/>
    </row>
    <row r="2187">
      <c r="A2187" s="44">
        <v>2187.0</v>
      </c>
      <c r="B2187" s="720" t="s">
        <v>152</v>
      </c>
      <c r="C2187" s="716" t="s">
        <v>115</v>
      </c>
      <c r="D2187" s="716" t="s">
        <v>2930</v>
      </c>
      <c r="E2187" s="697"/>
      <c r="F2187" s="720" t="s">
        <v>13369</v>
      </c>
      <c r="G2187" s="720" t="s">
        <v>13251</v>
      </c>
      <c r="H2187" s="730" t="s">
        <v>13265</v>
      </c>
      <c r="I2187" s="1505" t="s">
        <v>13277</v>
      </c>
      <c r="J2187" s="1506">
        <v>45832.0</v>
      </c>
      <c r="K2187" s="730" t="s">
        <v>13278</v>
      </c>
      <c r="L2187" s="720" t="s">
        <v>13288</v>
      </c>
      <c r="M2187" s="720" t="s">
        <v>13255</v>
      </c>
      <c r="N2187" s="720" t="s">
        <v>9892</v>
      </c>
      <c r="O2187" s="1510">
        <v>1.0</v>
      </c>
      <c r="P2187" s="730" t="s">
        <v>13256</v>
      </c>
      <c r="Q2187" s="1507" t="str">
        <f t="array" ref="Q2187"> if(iserror(MATCH(V2187, 'File Links'!C:C, 0)), "N/A", HYPERLINK(INDEX('File Links'!B:B, MATCH(P2187, 'File Links'!C:C, 0))))</f>
        <v>https://drive.google.com/file/d/1FklynAHzflh7rbxQIU4qTxOz3VBhye8B/view?usp=drivesdk</v>
      </c>
      <c r="R2187" s="1508" t="s">
        <v>13257</v>
      </c>
      <c r="S2187" s="720" t="s">
        <v>13258</v>
      </c>
      <c r="T2187" s="1974" t="s">
        <v>138</v>
      </c>
      <c r="U2187" s="1510">
        <v>1.0</v>
      </c>
      <c r="V2187" s="730" t="s">
        <v>13259</v>
      </c>
      <c r="W2187" s="730" t="s">
        <v>209</v>
      </c>
      <c r="X2187" s="1511" t="str">
        <f t="array" ref="X2187"> if(iserror(MATCH(V2187, 'File Links'!C:C, 0)), "N/A", HYPERLINK(INDEX('File Links'!B:B, MATCH(V2187, 'File Links'!C:C, 0))))</f>
        <v>https://drive.google.com/file/d/1hYNUJrx3yjyMoTgcG7Qz4pix-8ruWFMC/view?usp=drivesdk</v>
      </c>
      <c r="Y2187" s="1428"/>
      <c r="Z2187" s="730" t="s">
        <v>226</v>
      </c>
      <c r="AA2187" s="720" t="s">
        <v>13260</v>
      </c>
      <c r="AB2187" s="730" t="s">
        <v>13371</v>
      </c>
      <c r="AC2187" s="730" t="s">
        <v>13276</v>
      </c>
      <c r="AD2187" s="730" t="s">
        <v>13281</v>
      </c>
      <c r="AE2187" s="730">
        <v>4.0</v>
      </c>
      <c r="AF2187" s="1505">
        <v>573.0</v>
      </c>
      <c r="AG2187" s="1505">
        <v>0.49</v>
      </c>
      <c r="AH2187" s="730" t="s">
        <v>173</v>
      </c>
      <c r="AI2187" s="730" t="s">
        <v>850</v>
      </c>
      <c r="AJ2187" s="1505" t="s">
        <v>138</v>
      </c>
      <c r="AK2187" s="717"/>
      <c r="AL2187" s="730" t="s">
        <v>186</v>
      </c>
      <c r="AM2187" s="720" t="s">
        <v>137</v>
      </c>
      <c r="AN2187" s="720" t="s">
        <v>138</v>
      </c>
      <c r="AO2187" s="1505">
        <v>1446.0</v>
      </c>
      <c r="AP2187" s="1505">
        <v>1.18</v>
      </c>
      <c r="AQ2187" s="730" t="s">
        <v>722</v>
      </c>
      <c r="AR2187" s="730" t="s">
        <v>13271</v>
      </c>
      <c r="AS2187" s="1505">
        <v>0.018</v>
      </c>
      <c r="AT2187" s="730" t="s">
        <v>172</v>
      </c>
      <c r="AU2187" s="730" t="s">
        <v>186</v>
      </c>
      <c r="AV2187" s="720" t="s">
        <v>137</v>
      </c>
      <c r="AW2187" s="1973" t="s">
        <v>13263</v>
      </c>
      <c r="AX2187" s="1115" t="s">
        <v>438</v>
      </c>
      <c r="AY2187" s="61" t="str">
        <f>IFERROR(__xludf.DUMMYFUNCTION("vlookup(BB2187,importrange(""https://docs.google.com/spreadsheets/d/1d2vevQ_7D_v35q4wCQ4RpQ_IPoTwEMB9Yp6ymwlPqew/edit?gid=984458430#gid=984458430"", ""'replication success'!A:K""), 11, FAlSE)"),"mixed")</f>
        <v>mixed</v>
      </c>
      <c r="AZ2187" s="61" t="str">
        <f>IFERROR(__xludf.DUMMYFUNCTION("vlookup(BB2187,importrange(""https://docs.google.com/spreadsheets/d/1d2vevQ_7D_v35q4wCQ4RpQ_IPoTwEMB9Yp6ymwlPqew/edit?gid=984458430#gid=984458430"",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7" s="61" t="str">
        <f>IFERROR(__xludf.DUMMYFUNCTION("vlookup(BB2187,importrange(""https://docs.google.com/spreadsheets/d/1d2vevQ_7D_v35q4wCQ4RpQ_IPoTwEMB9Yp6ymwlPqew/edit?gid=984458430#gid=984458430"", ""'replication success'!A:M""), 13, FAlSE)"),"abstract")</f>
        <v>abstract</v>
      </c>
      <c r="BB2187" s="61" t="str">
        <f>IFERROR(__xludf.DUMMYFUNCTION("REGEXREPLACE(G2187, ""_[a-z]{1,2}$"", """")"),"svodevelopment")</f>
        <v>svodevelopment</v>
      </c>
      <c r="BC2187" s="697"/>
      <c r="BD2187" s="716" t="s">
        <v>13264</v>
      </c>
      <c r="BE2187" s="342"/>
      <c r="BF2187" s="342"/>
      <c r="BG2187" s="342"/>
      <c r="BH2187" s="342"/>
      <c r="BI2187" s="342"/>
      <c r="BJ2187" s="342"/>
      <c r="BK2187" s="342"/>
      <c r="BL2187" s="342"/>
      <c r="BM2187" s="342"/>
      <c r="BN2187" s="342"/>
      <c r="BO2187" s="342"/>
      <c r="BP2187" s="342"/>
      <c r="BQ2187" s="342"/>
      <c r="BR2187" s="342"/>
      <c r="BS2187" s="342"/>
      <c r="BT2187" s="342"/>
      <c r="BU2187" s="342"/>
      <c r="BV2187" s="342"/>
      <c r="BW2187" s="342"/>
      <c r="BX2187" s="342"/>
      <c r="BY2187" s="342"/>
      <c r="BZ2187" s="342"/>
      <c r="CA2187" s="342"/>
      <c r="CB2187" s="342"/>
      <c r="CC2187" s="342"/>
      <c r="CD2187" s="342"/>
      <c r="CE2187" s="342"/>
      <c r="CF2187" s="342"/>
      <c r="CG2187" s="342"/>
      <c r="CH2187" s="342"/>
      <c r="CI2187" s="342"/>
      <c r="CJ2187" s="342"/>
      <c r="CK2187" s="342"/>
      <c r="CL2187" s="342"/>
      <c r="CM2187" s="342"/>
      <c r="CN2187" s="342"/>
      <c r="CO2187" s="342"/>
      <c r="CP2187" s="342"/>
      <c r="CQ2187" s="342"/>
      <c r="CR2187" s="342"/>
      <c r="CS2187" s="342"/>
      <c r="CT2187" s="342"/>
      <c r="CU2187" s="342"/>
      <c r="CV2187" s="342"/>
      <c r="CW2187" s="342"/>
      <c r="CX2187" s="342"/>
      <c r="CY2187" s="342"/>
      <c r="CZ2187" s="342"/>
      <c r="DA2187" s="342"/>
      <c r="DB2187" s="342"/>
      <c r="DC2187" s="342"/>
      <c r="DD2187" s="342"/>
      <c r="DE2187" s="342"/>
      <c r="DF2187" s="342"/>
      <c r="DG2187" s="342"/>
      <c r="DH2187" s="342"/>
      <c r="DI2187" s="342"/>
      <c r="DJ2187" s="342"/>
      <c r="DK2187" s="342"/>
      <c r="DL2187" s="342"/>
    </row>
    <row r="2188">
      <c r="A2188" s="44">
        <v>2188.0</v>
      </c>
      <c r="B2188" s="720" t="s">
        <v>114</v>
      </c>
      <c r="C2188" s="716" t="s">
        <v>115</v>
      </c>
      <c r="D2188" s="716" t="s">
        <v>221</v>
      </c>
      <c r="E2188" s="697"/>
      <c r="F2188" s="720" t="s">
        <v>13372</v>
      </c>
      <c r="G2188" s="720" t="s">
        <v>13251</v>
      </c>
      <c r="H2188" s="730" t="s">
        <v>222</v>
      </c>
      <c r="I2188" s="1505" t="s">
        <v>13252</v>
      </c>
      <c r="J2188" s="1506">
        <v>45832.0</v>
      </c>
      <c r="K2188" s="717"/>
      <c r="L2188" s="720" t="s">
        <v>13288</v>
      </c>
      <c r="M2188" s="720" t="s">
        <v>13255</v>
      </c>
      <c r="N2188" s="720" t="s">
        <v>9892</v>
      </c>
      <c r="O2188" s="1510">
        <v>1.0</v>
      </c>
      <c r="P2188" s="730" t="s">
        <v>13256</v>
      </c>
      <c r="Q2188" s="1507" t="str">
        <f t="array" ref="Q2188"> if(iserror(MATCH(V2188, 'File Links'!C:C, 0)), "N/A", HYPERLINK(INDEX('File Links'!B:B, MATCH(P2188, 'File Links'!C:C, 0))))</f>
        <v>https://drive.google.com/file/d/1FklynAHzflh7rbxQIU4qTxOz3VBhye8B/view?usp=drivesdk</v>
      </c>
      <c r="R2188" s="1508" t="s">
        <v>13257</v>
      </c>
      <c r="S2188" s="720" t="s">
        <v>13258</v>
      </c>
      <c r="T2188" s="1509"/>
      <c r="U2188" s="1970">
        <v>1.0</v>
      </c>
      <c r="V2188" s="730" t="s">
        <v>13259</v>
      </c>
      <c r="W2188" s="717"/>
      <c r="X2188" s="1511" t="str">
        <f t="array" ref="X2188"> if(iserror(MATCH(V2188, 'File Links'!C:C, 0)), "N/A", HYPERLINK(INDEX('File Links'!B:B, MATCH(V2188, 'File Links'!C:C, 0))))</f>
        <v>https://drive.google.com/file/d/1hYNUJrx3yjyMoTgcG7Qz4pix-8ruWFMC/view?usp=drivesdk</v>
      </c>
      <c r="Y2188" s="1428"/>
      <c r="Z2188" s="730" t="s">
        <v>226</v>
      </c>
      <c r="AA2188" s="720" t="s">
        <v>13260</v>
      </c>
      <c r="AB2188" s="730" t="s">
        <v>13333</v>
      </c>
      <c r="AC2188" s="730" t="s">
        <v>13276</v>
      </c>
      <c r="AD2188" s="717"/>
      <c r="AE2188" s="717"/>
      <c r="AF2188" s="1505">
        <v>573.0</v>
      </c>
      <c r="AG2188" s="1505">
        <v>0.49</v>
      </c>
      <c r="AH2188" s="730" t="s">
        <v>173</v>
      </c>
      <c r="AI2188" s="730">
        <v>6.0</v>
      </c>
      <c r="AJ2188" s="1505">
        <v>0.018</v>
      </c>
      <c r="AK2188" s="730" t="s">
        <v>135</v>
      </c>
      <c r="AL2188" s="730" t="s">
        <v>136</v>
      </c>
      <c r="AM2188" s="720" t="s">
        <v>137</v>
      </c>
      <c r="AN2188" s="720" t="s">
        <v>138</v>
      </c>
      <c r="AO2188" s="1505">
        <v>1446.0</v>
      </c>
      <c r="AP2188" s="1505">
        <v>0.1</v>
      </c>
      <c r="AQ2188" s="730" t="s">
        <v>173</v>
      </c>
      <c r="AR2188" s="730">
        <v>7.0</v>
      </c>
      <c r="AS2188" s="1505">
        <v>0.001</v>
      </c>
      <c r="AT2188" s="730" t="s">
        <v>172</v>
      </c>
      <c r="AU2188" s="730" t="s">
        <v>136</v>
      </c>
      <c r="AV2188" s="720" t="s">
        <v>137</v>
      </c>
      <c r="AW2188" s="1973" t="s">
        <v>13263</v>
      </c>
      <c r="AX2188" s="720" t="s">
        <v>143</v>
      </c>
      <c r="AY2188" s="61" t="str">
        <f>IFERROR(__xludf.DUMMYFUNCTION("vlookup(BB2188,importrange(""https://docs.google.com/spreadsheets/d/1d2vevQ_7D_v35q4wCQ4RpQ_IPoTwEMB9Yp6ymwlPqew/edit?gid=984458430#gid=984458430"", ""'replication success'!A:K""), 11, FAlSE)"),"mixed")</f>
        <v>mixed</v>
      </c>
      <c r="AZ2188" s="61" t="str">
        <f>IFERROR(__xludf.DUMMYFUNCTION("vlookup(BB2188,importrange(""https://docs.google.com/spreadsheets/d/1d2vevQ_7D_v35q4wCQ4RpQ_IPoTwEMB9Yp6ymwlPqew/edit?gid=984458430#gid=984458430"",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8" s="61" t="str">
        <f>IFERROR(__xludf.DUMMYFUNCTION("vlookup(BB2188,importrange(""https://docs.google.com/spreadsheets/d/1d2vevQ_7D_v35q4wCQ4RpQ_IPoTwEMB9Yp6ymwlPqew/edit?gid=984458430#gid=984458430"", ""'replication success'!A:M""), 13, FAlSE)"),"abstract")</f>
        <v>abstract</v>
      </c>
      <c r="BB2188" s="61" t="str">
        <f>IFERROR(__xludf.DUMMYFUNCTION("REGEXREPLACE(G2188, ""_[a-z]{1,2}$"", """")"),"svodevelopment")</f>
        <v>svodevelopment</v>
      </c>
      <c r="BC2188" s="697"/>
      <c r="BD2188" s="716" t="s">
        <v>13264</v>
      </c>
      <c r="BE2188" s="342"/>
      <c r="BF2188" s="342"/>
      <c r="BG2188" s="342"/>
      <c r="BH2188" s="342"/>
      <c r="BI2188" s="342"/>
      <c r="BJ2188" s="342"/>
      <c r="BK2188" s="342"/>
      <c r="BL2188" s="342"/>
      <c r="BM2188" s="342"/>
      <c r="BN2188" s="342"/>
      <c r="BO2188" s="342"/>
      <c r="BP2188" s="342"/>
      <c r="BQ2188" s="342"/>
      <c r="BR2188" s="342"/>
      <c r="BS2188" s="342"/>
      <c r="BT2188" s="342"/>
      <c r="BU2188" s="342"/>
      <c r="BV2188" s="342"/>
      <c r="BW2188" s="342"/>
      <c r="BX2188" s="342"/>
      <c r="BY2188" s="342"/>
      <c r="BZ2188" s="342"/>
      <c r="CA2188" s="342"/>
      <c r="CB2188" s="342"/>
      <c r="CC2188" s="342"/>
      <c r="CD2188" s="342"/>
      <c r="CE2188" s="342"/>
      <c r="CF2188" s="342"/>
      <c r="CG2188" s="342"/>
      <c r="CH2188" s="342"/>
      <c r="CI2188" s="342"/>
      <c r="CJ2188" s="342"/>
      <c r="CK2188" s="342"/>
      <c r="CL2188" s="342"/>
      <c r="CM2188" s="342"/>
      <c r="CN2188" s="342"/>
      <c r="CO2188" s="342"/>
      <c r="CP2188" s="342"/>
      <c r="CQ2188" s="342"/>
      <c r="CR2188" s="342"/>
      <c r="CS2188" s="342"/>
      <c r="CT2188" s="342"/>
      <c r="CU2188" s="342"/>
      <c r="CV2188" s="342"/>
      <c r="CW2188" s="342"/>
      <c r="CX2188" s="342"/>
      <c r="CY2188" s="342"/>
      <c r="CZ2188" s="342"/>
      <c r="DA2188" s="342"/>
      <c r="DB2188" s="342"/>
      <c r="DC2188" s="342"/>
      <c r="DD2188" s="342"/>
      <c r="DE2188" s="342"/>
      <c r="DF2188" s="342"/>
      <c r="DG2188" s="342"/>
      <c r="DH2188" s="342"/>
      <c r="DI2188" s="342"/>
      <c r="DJ2188" s="342"/>
      <c r="DK2188" s="342"/>
      <c r="DL2188" s="342"/>
    </row>
    <row r="2189">
      <c r="A2189" s="44">
        <v>2189.0</v>
      </c>
      <c r="B2189" s="720" t="s">
        <v>152</v>
      </c>
      <c r="C2189" s="716" t="s">
        <v>115</v>
      </c>
      <c r="D2189" s="716" t="s">
        <v>2930</v>
      </c>
      <c r="E2189" s="697"/>
      <c r="F2189" s="720" t="s">
        <v>13372</v>
      </c>
      <c r="G2189" s="720" t="s">
        <v>13251</v>
      </c>
      <c r="H2189" s="730" t="s">
        <v>13265</v>
      </c>
      <c r="I2189" s="1505" t="s">
        <v>13277</v>
      </c>
      <c r="J2189" s="1506">
        <v>45832.0</v>
      </c>
      <c r="K2189" s="730" t="s">
        <v>13278</v>
      </c>
      <c r="L2189" s="720" t="s">
        <v>13288</v>
      </c>
      <c r="M2189" s="720" t="s">
        <v>13255</v>
      </c>
      <c r="N2189" s="720" t="s">
        <v>9892</v>
      </c>
      <c r="O2189" s="1510">
        <v>1.0</v>
      </c>
      <c r="P2189" s="730" t="s">
        <v>13256</v>
      </c>
      <c r="Q2189" s="1507" t="str">
        <f t="array" ref="Q2189"> if(iserror(MATCH(V2189, 'File Links'!C:C, 0)), "N/A", HYPERLINK(INDEX('File Links'!B:B, MATCH(P2189, 'File Links'!C:C, 0))))</f>
        <v>https://drive.google.com/file/d/1FklynAHzflh7rbxQIU4qTxOz3VBhye8B/view?usp=drivesdk</v>
      </c>
      <c r="R2189" s="1508" t="s">
        <v>13257</v>
      </c>
      <c r="S2189" s="720" t="s">
        <v>13258</v>
      </c>
      <c r="T2189" s="1974" t="s">
        <v>138</v>
      </c>
      <c r="U2189" s="1510">
        <v>1.0</v>
      </c>
      <c r="V2189" s="730" t="s">
        <v>13259</v>
      </c>
      <c r="W2189" s="730" t="s">
        <v>209</v>
      </c>
      <c r="X2189" s="1511" t="str">
        <f t="array" ref="X2189"> if(iserror(MATCH(V2189, 'File Links'!C:C, 0)), "N/A", HYPERLINK(INDEX('File Links'!B:B, MATCH(V2189, 'File Links'!C:C, 0))))</f>
        <v>https://drive.google.com/file/d/1hYNUJrx3yjyMoTgcG7Qz4pix-8ruWFMC/view?usp=drivesdk</v>
      </c>
      <c r="Y2189" s="1428"/>
      <c r="Z2189" s="730" t="s">
        <v>226</v>
      </c>
      <c r="AA2189" s="720" t="s">
        <v>13260</v>
      </c>
      <c r="AB2189" s="730" t="s">
        <v>13333</v>
      </c>
      <c r="AC2189" s="730" t="s">
        <v>13276</v>
      </c>
      <c r="AD2189" s="730" t="s">
        <v>13281</v>
      </c>
      <c r="AE2189" s="730">
        <v>4.0</v>
      </c>
      <c r="AF2189" s="1505">
        <v>573.0</v>
      </c>
      <c r="AG2189" s="1505">
        <v>0.49</v>
      </c>
      <c r="AH2189" s="730" t="s">
        <v>173</v>
      </c>
      <c r="AI2189" s="730" t="s">
        <v>850</v>
      </c>
      <c r="AJ2189" s="1505" t="s">
        <v>138</v>
      </c>
      <c r="AK2189" s="717"/>
      <c r="AL2189" s="730" t="s">
        <v>186</v>
      </c>
      <c r="AM2189" s="720" t="s">
        <v>137</v>
      </c>
      <c r="AN2189" s="720" t="s">
        <v>138</v>
      </c>
      <c r="AO2189" s="1505">
        <v>1446.0</v>
      </c>
      <c r="AP2189" s="1505">
        <v>1.22</v>
      </c>
      <c r="AQ2189" s="730" t="s">
        <v>722</v>
      </c>
      <c r="AR2189" s="730" t="s">
        <v>13271</v>
      </c>
      <c r="AS2189" s="1505">
        <v>0.015</v>
      </c>
      <c r="AT2189" s="730" t="s">
        <v>172</v>
      </c>
      <c r="AU2189" s="730" t="s">
        <v>186</v>
      </c>
      <c r="AV2189" s="720" t="s">
        <v>137</v>
      </c>
      <c r="AW2189" s="1973" t="s">
        <v>13263</v>
      </c>
      <c r="AX2189" s="1115" t="s">
        <v>438</v>
      </c>
      <c r="AY2189" s="61" t="str">
        <f>IFERROR(__xludf.DUMMYFUNCTION("vlookup(BB2189,importrange(""https://docs.google.com/spreadsheets/d/1d2vevQ_7D_v35q4wCQ4RpQ_IPoTwEMB9Yp6ymwlPqew/edit?gid=984458430#gid=984458430"", ""'replication success'!A:K""), 11, FAlSE)"),"mixed")</f>
        <v>mixed</v>
      </c>
      <c r="AZ2189" s="61" t="str">
        <f>IFERROR(__xludf.DUMMYFUNCTION("vlookup(BB2189,importrange(""https://docs.google.com/spreadsheets/d/1d2vevQ_7D_v35q4wCQ4RpQ_IPoTwEMB9Yp6ymwlPqew/edit?gid=984458430#gid=984458430"",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89" s="61" t="str">
        <f>IFERROR(__xludf.DUMMYFUNCTION("vlookup(BB2189,importrange(""https://docs.google.com/spreadsheets/d/1d2vevQ_7D_v35q4wCQ4RpQ_IPoTwEMB9Yp6ymwlPqew/edit?gid=984458430#gid=984458430"", ""'replication success'!A:M""), 13, FAlSE)"),"abstract")</f>
        <v>abstract</v>
      </c>
      <c r="BB2189" s="61" t="str">
        <f>IFERROR(__xludf.DUMMYFUNCTION("REGEXREPLACE(G2189, ""_[a-z]{1,2}$"", """")"),"svodevelopment")</f>
        <v>svodevelopment</v>
      </c>
      <c r="BC2189" s="697"/>
      <c r="BD2189" s="716" t="s">
        <v>13264</v>
      </c>
      <c r="BE2189" s="342"/>
      <c r="BF2189" s="342"/>
      <c r="BG2189" s="342"/>
      <c r="BH2189" s="342"/>
      <c r="BI2189" s="342"/>
      <c r="BJ2189" s="342"/>
      <c r="BK2189" s="342"/>
      <c r="BL2189" s="342"/>
      <c r="BM2189" s="342"/>
      <c r="BN2189" s="342"/>
      <c r="BO2189" s="342"/>
      <c r="BP2189" s="342"/>
      <c r="BQ2189" s="342"/>
      <c r="BR2189" s="342"/>
      <c r="BS2189" s="342"/>
      <c r="BT2189" s="342"/>
      <c r="BU2189" s="342"/>
      <c r="BV2189" s="342"/>
      <c r="BW2189" s="342"/>
      <c r="BX2189" s="342"/>
      <c r="BY2189" s="342"/>
      <c r="BZ2189" s="342"/>
      <c r="CA2189" s="342"/>
      <c r="CB2189" s="342"/>
      <c r="CC2189" s="342"/>
      <c r="CD2189" s="342"/>
      <c r="CE2189" s="342"/>
      <c r="CF2189" s="342"/>
      <c r="CG2189" s="342"/>
      <c r="CH2189" s="342"/>
      <c r="CI2189" s="342"/>
      <c r="CJ2189" s="342"/>
      <c r="CK2189" s="342"/>
      <c r="CL2189" s="342"/>
      <c r="CM2189" s="342"/>
      <c r="CN2189" s="342"/>
      <c r="CO2189" s="342"/>
      <c r="CP2189" s="342"/>
      <c r="CQ2189" s="342"/>
      <c r="CR2189" s="342"/>
      <c r="CS2189" s="342"/>
      <c r="CT2189" s="342"/>
      <c r="CU2189" s="342"/>
      <c r="CV2189" s="342"/>
      <c r="CW2189" s="342"/>
      <c r="CX2189" s="342"/>
      <c r="CY2189" s="342"/>
      <c r="CZ2189" s="342"/>
      <c r="DA2189" s="342"/>
      <c r="DB2189" s="342"/>
      <c r="DC2189" s="342"/>
      <c r="DD2189" s="342"/>
      <c r="DE2189" s="342"/>
      <c r="DF2189" s="342"/>
      <c r="DG2189" s="342"/>
      <c r="DH2189" s="342"/>
      <c r="DI2189" s="342"/>
      <c r="DJ2189" s="342"/>
      <c r="DK2189" s="342"/>
      <c r="DL2189" s="342"/>
    </row>
    <row r="2190">
      <c r="A2190" s="44">
        <v>2190.0</v>
      </c>
      <c r="B2190" s="720" t="s">
        <v>114</v>
      </c>
      <c r="C2190" s="716" t="s">
        <v>115</v>
      </c>
      <c r="D2190" s="716" t="s">
        <v>221</v>
      </c>
      <c r="E2190" s="697"/>
      <c r="F2190" s="720" t="s">
        <v>13373</v>
      </c>
      <c r="G2190" s="720" t="s">
        <v>13251</v>
      </c>
      <c r="H2190" s="730" t="s">
        <v>222</v>
      </c>
      <c r="I2190" s="1505" t="s">
        <v>13252</v>
      </c>
      <c r="J2190" s="1506">
        <v>45832.0</v>
      </c>
      <c r="K2190" s="730" t="s">
        <v>13374</v>
      </c>
      <c r="L2190" s="720" t="s">
        <v>13288</v>
      </c>
      <c r="M2190" s="720" t="s">
        <v>13255</v>
      </c>
      <c r="N2190" s="720" t="s">
        <v>9892</v>
      </c>
      <c r="O2190" s="1510">
        <v>1.0</v>
      </c>
      <c r="P2190" s="730" t="s">
        <v>13256</v>
      </c>
      <c r="Q2190" s="1507" t="str">
        <f t="array" ref="Q2190"> if(iserror(MATCH(V2190, 'File Links'!C:C, 0)), "N/A", HYPERLINK(INDEX('File Links'!B:B, MATCH(P2190, 'File Links'!C:C, 0))))</f>
        <v>https://drive.google.com/file/d/1FklynAHzflh7rbxQIU4qTxOz3VBhye8B/view?usp=drivesdk</v>
      </c>
      <c r="R2190" s="1508" t="s">
        <v>13257</v>
      </c>
      <c r="S2190" s="720" t="s">
        <v>13258</v>
      </c>
      <c r="T2190" s="1509"/>
      <c r="U2190" s="1970">
        <v>1.0</v>
      </c>
      <c r="V2190" s="730" t="s">
        <v>13259</v>
      </c>
      <c r="W2190" s="717"/>
      <c r="X2190" s="1511" t="str">
        <f t="array" ref="X2190"> if(iserror(MATCH(V2190, 'File Links'!C:C, 0)), "N/A", HYPERLINK(INDEX('File Links'!B:B, MATCH(V2190, 'File Links'!C:C, 0))))</f>
        <v>https://drive.google.com/file/d/1hYNUJrx3yjyMoTgcG7Qz4pix-8ruWFMC/view?usp=drivesdk</v>
      </c>
      <c r="Y2190" s="1428"/>
      <c r="Z2190" s="730" t="s">
        <v>226</v>
      </c>
      <c r="AA2190" s="720" t="s">
        <v>13260</v>
      </c>
      <c r="AB2190" s="730" t="s">
        <v>13367</v>
      </c>
      <c r="AC2190" s="730" t="s">
        <v>13276</v>
      </c>
      <c r="AD2190" s="717"/>
      <c r="AE2190" s="717"/>
      <c r="AF2190" s="1505">
        <v>573.0</v>
      </c>
      <c r="AG2190" s="1505">
        <v>0.49</v>
      </c>
      <c r="AH2190" s="730" t="s">
        <v>173</v>
      </c>
      <c r="AI2190" s="730">
        <v>6.0</v>
      </c>
      <c r="AJ2190" s="1505">
        <v>0.018</v>
      </c>
      <c r="AK2190" s="730" t="s">
        <v>135</v>
      </c>
      <c r="AL2190" s="730" t="s">
        <v>136</v>
      </c>
      <c r="AM2190" s="720" t="s">
        <v>137</v>
      </c>
      <c r="AN2190" s="720" t="s">
        <v>138</v>
      </c>
      <c r="AO2190" s="1505">
        <v>1446.0</v>
      </c>
      <c r="AP2190" s="1505">
        <v>0.54</v>
      </c>
      <c r="AQ2190" s="730" t="s">
        <v>173</v>
      </c>
      <c r="AR2190" s="730">
        <v>7.0</v>
      </c>
      <c r="AS2190" s="1505">
        <v>0.001</v>
      </c>
      <c r="AT2190" s="730" t="s">
        <v>172</v>
      </c>
      <c r="AU2190" s="730" t="s">
        <v>136</v>
      </c>
      <c r="AV2190" s="720" t="s">
        <v>137</v>
      </c>
      <c r="AW2190" s="1973" t="s">
        <v>13263</v>
      </c>
      <c r="AX2190" s="720" t="s">
        <v>151</v>
      </c>
      <c r="AY2190" s="61" t="str">
        <f>IFERROR(__xludf.DUMMYFUNCTION("vlookup(BB2190,importrange(""https://docs.google.com/spreadsheets/d/1d2vevQ_7D_v35q4wCQ4RpQ_IPoTwEMB9Yp6ymwlPqew/edit?gid=984458430#gid=984458430"", ""'replication success'!A:K""), 11, FAlSE)"),"mixed")</f>
        <v>mixed</v>
      </c>
      <c r="AZ2190" s="61" t="str">
        <f>IFERROR(__xludf.DUMMYFUNCTION("vlookup(BB2190,importrange(""https://docs.google.com/spreadsheets/d/1d2vevQ_7D_v35q4wCQ4RpQ_IPoTwEMB9Yp6ymwlPqew/edit?gid=984458430#gid=984458430"",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0" s="61" t="str">
        <f>IFERROR(__xludf.DUMMYFUNCTION("vlookup(BB2190,importrange(""https://docs.google.com/spreadsheets/d/1d2vevQ_7D_v35q4wCQ4RpQ_IPoTwEMB9Yp6ymwlPqew/edit?gid=984458430#gid=984458430"", ""'replication success'!A:M""), 13, FAlSE)"),"abstract")</f>
        <v>abstract</v>
      </c>
      <c r="BB2190" s="61" t="str">
        <f>IFERROR(__xludf.DUMMYFUNCTION("REGEXREPLACE(G2190, ""_[a-z]{1,2}$"", """")"),"svodevelopment")</f>
        <v>svodevelopment</v>
      </c>
      <c r="BC2190" s="697"/>
      <c r="BD2190" s="716" t="s">
        <v>13264</v>
      </c>
      <c r="BE2190" s="342"/>
      <c r="BF2190" s="342"/>
      <c r="BG2190" s="342"/>
      <c r="BH2190" s="342"/>
      <c r="BI2190" s="342"/>
      <c r="BJ2190" s="342"/>
      <c r="BK2190" s="342"/>
      <c r="BL2190" s="342"/>
      <c r="BM2190" s="342"/>
      <c r="BN2190" s="342"/>
      <c r="BO2190" s="342"/>
      <c r="BP2190" s="342"/>
      <c r="BQ2190" s="342"/>
      <c r="BR2190" s="342"/>
      <c r="BS2190" s="342"/>
      <c r="BT2190" s="342"/>
      <c r="BU2190" s="342"/>
      <c r="BV2190" s="342"/>
      <c r="BW2190" s="342"/>
      <c r="BX2190" s="342"/>
      <c r="BY2190" s="342"/>
      <c r="BZ2190" s="342"/>
      <c r="CA2190" s="342"/>
      <c r="CB2190" s="342"/>
      <c r="CC2190" s="342"/>
      <c r="CD2190" s="342"/>
      <c r="CE2190" s="342"/>
      <c r="CF2190" s="342"/>
      <c r="CG2190" s="342"/>
      <c r="CH2190" s="342"/>
      <c r="CI2190" s="342"/>
      <c r="CJ2190" s="342"/>
      <c r="CK2190" s="342"/>
      <c r="CL2190" s="342"/>
      <c r="CM2190" s="342"/>
      <c r="CN2190" s="342"/>
      <c r="CO2190" s="342"/>
      <c r="CP2190" s="342"/>
      <c r="CQ2190" s="342"/>
      <c r="CR2190" s="342"/>
      <c r="CS2190" s="342"/>
      <c r="CT2190" s="342"/>
      <c r="CU2190" s="342"/>
      <c r="CV2190" s="342"/>
      <c r="CW2190" s="342"/>
      <c r="CX2190" s="342"/>
      <c r="CY2190" s="342"/>
      <c r="CZ2190" s="342"/>
      <c r="DA2190" s="342"/>
      <c r="DB2190" s="342"/>
      <c r="DC2190" s="342"/>
      <c r="DD2190" s="342"/>
      <c r="DE2190" s="342"/>
      <c r="DF2190" s="342"/>
      <c r="DG2190" s="342"/>
      <c r="DH2190" s="342"/>
      <c r="DI2190" s="342"/>
      <c r="DJ2190" s="342"/>
      <c r="DK2190" s="342"/>
      <c r="DL2190" s="342"/>
    </row>
    <row r="2191">
      <c r="A2191" s="44">
        <v>2191.0</v>
      </c>
      <c r="B2191" s="720" t="s">
        <v>152</v>
      </c>
      <c r="C2191" s="716" t="s">
        <v>115</v>
      </c>
      <c r="D2191" s="716" t="s">
        <v>2930</v>
      </c>
      <c r="E2191" s="697"/>
      <c r="F2191" s="720" t="s">
        <v>13373</v>
      </c>
      <c r="G2191" s="720" t="s">
        <v>13251</v>
      </c>
      <c r="H2191" s="730" t="s">
        <v>13265</v>
      </c>
      <c r="I2191" s="1505" t="s">
        <v>13277</v>
      </c>
      <c r="J2191" s="1506">
        <v>45832.0</v>
      </c>
      <c r="K2191" s="730" t="s">
        <v>13278</v>
      </c>
      <c r="L2191" s="720" t="s">
        <v>13288</v>
      </c>
      <c r="M2191" s="720" t="s">
        <v>13255</v>
      </c>
      <c r="N2191" s="720" t="s">
        <v>9892</v>
      </c>
      <c r="O2191" s="1510">
        <v>1.0</v>
      </c>
      <c r="P2191" s="730" t="s">
        <v>13256</v>
      </c>
      <c r="Q2191" s="1507" t="str">
        <f t="array" ref="Q2191"> if(iserror(MATCH(V2191, 'File Links'!C:C, 0)), "N/A", HYPERLINK(INDEX('File Links'!B:B, MATCH(P2191, 'File Links'!C:C, 0))))</f>
        <v>https://drive.google.com/file/d/1FklynAHzflh7rbxQIU4qTxOz3VBhye8B/view?usp=drivesdk</v>
      </c>
      <c r="R2191" s="1508" t="s">
        <v>13257</v>
      </c>
      <c r="S2191" s="720" t="s">
        <v>13258</v>
      </c>
      <c r="T2191" s="1974" t="s">
        <v>138</v>
      </c>
      <c r="U2191" s="1510">
        <v>1.0</v>
      </c>
      <c r="V2191" s="730" t="s">
        <v>13259</v>
      </c>
      <c r="W2191" s="730" t="s">
        <v>209</v>
      </c>
      <c r="X2191" s="1511" t="str">
        <f t="array" ref="X2191"> if(iserror(MATCH(V2191, 'File Links'!C:C, 0)), "N/A", HYPERLINK(INDEX('File Links'!B:B, MATCH(V2191, 'File Links'!C:C, 0))))</f>
        <v>https://drive.google.com/file/d/1hYNUJrx3yjyMoTgcG7Qz4pix-8ruWFMC/view?usp=drivesdk</v>
      </c>
      <c r="Y2191" s="1428"/>
      <c r="Z2191" s="730" t="s">
        <v>226</v>
      </c>
      <c r="AA2191" s="720" t="s">
        <v>13260</v>
      </c>
      <c r="AB2191" s="730" t="s">
        <v>13367</v>
      </c>
      <c r="AC2191" s="730" t="s">
        <v>13276</v>
      </c>
      <c r="AD2191" s="730" t="s">
        <v>13281</v>
      </c>
      <c r="AE2191" s="730">
        <v>4.0</v>
      </c>
      <c r="AF2191" s="1505">
        <v>573.0</v>
      </c>
      <c r="AG2191" s="1505">
        <v>0.49</v>
      </c>
      <c r="AH2191" s="730" t="s">
        <v>173</v>
      </c>
      <c r="AI2191" s="730" t="s">
        <v>850</v>
      </c>
      <c r="AJ2191" s="1505" t="s">
        <v>138</v>
      </c>
      <c r="AK2191" s="717"/>
      <c r="AL2191" s="730" t="s">
        <v>186</v>
      </c>
      <c r="AM2191" s="720" t="s">
        <v>137</v>
      </c>
      <c r="AN2191" s="720" t="s">
        <v>138</v>
      </c>
      <c r="AO2191" s="1505">
        <v>1446.0</v>
      </c>
      <c r="AP2191" s="1505">
        <v>1.25</v>
      </c>
      <c r="AQ2191" s="730" t="s">
        <v>722</v>
      </c>
      <c r="AR2191" s="730" t="s">
        <v>13271</v>
      </c>
      <c r="AS2191" s="1505">
        <v>0.002</v>
      </c>
      <c r="AT2191" s="730" t="s">
        <v>172</v>
      </c>
      <c r="AU2191" s="730" t="s">
        <v>186</v>
      </c>
      <c r="AV2191" s="720" t="s">
        <v>137</v>
      </c>
      <c r="AW2191" s="1973" t="s">
        <v>13263</v>
      </c>
      <c r="AX2191" s="1115" t="s">
        <v>438</v>
      </c>
      <c r="AY2191" s="61" t="str">
        <f>IFERROR(__xludf.DUMMYFUNCTION("vlookup(BB2191,importrange(""https://docs.google.com/spreadsheets/d/1d2vevQ_7D_v35q4wCQ4RpQ_IPoTwEMB9Yp6ymwlPqew/edit?gid=984458430#gid=984458430"", ""'replication success'!A:K""), 11, FAlSE)"),"mixed")</f>
        <v>mixed</v>
      </c>
      <c r="AZ2191" s="61" t="str">
        <f>IFERROR(__xludf.DUMMYFUNCTION("vlookup(BB2191,importrange(""https://docs.google.com/spreadsheets/d/1d2vevQ_7D_v35q4wCQ4RpQ_IPoTwEMB9Yp6ymwlPqew/edit?gid=984458430#gid=984458430"",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1" s="61" t="str">
        <f>IFERROR(__xludf.DUMMYFUNCTION("vlookup(BB2191,importrange(""https://docs.google.com/spreadsheets/d/1d2vevQ_7D_v35q4wCQ4RpQ_IPoTwEMB9Yp6ymwlPqew/edit?gid=984458430#gid=984458430"", ""'replication success'!A:M""), 13, FAlSE)"),"abstract")</f>
        <v>abstract</v>
      </c>
      <c r="BB2191" s="61" t="str">
        <f>IFERROR(__xludf.DUMMYFUNCTION("REGEXREPLACE(G2191, ""_[a-z]{1,2}$"", """")"),"svodevelopment")</f>
        <v>svodevelopment</v>
      </c>
      <c r="BC2191" s="697"/>
      <c r="BD2191" s="716" t="s">
        <v>13264</v>
      </c>
      <c r="BE2191" s="342"/>
      <c r="BF2191" s="342"/>
      <c r="BG2191" s="342"/>
      <c r="BH2191" s="342"/>
      <c r="BI2191" s="342"/>
      <c r="BJ2191" s="342"/>
      <c r="BK2191" s="342"/>
      <c r="BL2191" s="342"/>
      <c r="BM2191" s="342"/>
      <c r="BN2191" s="342"/>
      <c r="BO2191" s="342"/>
      <c r="BP2191" s="342"/>
      <c r="BQ2191" s="342"/>
      <c r="BR2191" s="342"/>
      <c r="BS2191" s="342"/>
      <c r="BT2191" s="342"/>
      <c r="BU2191" s="342"/>
      <c r="BV2191" s="342"/>
      <c r="BW2191" s="342"/>
      <c r="BX2191" s="342"/>
      <c r="BY2191" s="342"/>
      <c r="BZ2191" s="342"/>
      <c r="CA2191" s="342"/>
      <c r="CB2191" s="342"/>
      <c r="CC2191" s="342"/>
      <c r="CD2191" s="342"/>
      <c r="CE2191" s="342"/>
      <c r="CF2191" s="342"/>
      <c r="CG2191" s="342"/>
      <c r="CH2191" s="342"/>
      <c r="CI2191" s="342"/>
      <c r="CJ2191" s="342"/>
      <c r="CK2191" s="342"/>
      <c r="CL2191" s="342"/>
      <c r="CM2191" s="342"/>
      <c r="CN2191" s="342"/>
      <c r="CO2191" s="342"/>
      <c r="CP2191" s="342"/>
      <c r="CQ2191" s="342"/>
      <c r="CR2191" s="342"/>
      <c r="CS2191" s="342"/>
      <c r="CT2191" s="342"/>
      <c r="CU2191" s="342"/>
      <c r="CV2191" s="342"/>
      <c r="CW2191" s="342"/>
      <c r="CX2191" s="342"/>
      <c r="CY2191" s="342"/>
      <c r="CZ2191" s="342"/>
      <c r="DA2191" s="342"/>
      <c r="DB2191" s="342"/>
      <c r="DC2191" s="342"/>
      <c r="DD2191" s="342"/>
      <c r="DE2191" s="342"/>
      <c r="DF2191" s="342"/>
      <c r="DG2191" s="342"/>
      <c r="DH2191" s="342"/>
      <c r="DI2191" s="342"/>
      <c r="DJ2191" s="342"/>
      <c r="DK2191" s="342"/>
      <c r="DL2191" s="342"/>
    </row>
    <row r="2192">
      <c r="A2192" s="44">
        <v>2192.0</v>
      </c>
      <c r="B2192" s="720" t="s">
        <v>114</v>
      </c>
      <c r="C2192" s="716" t="s">
        <v>115</v>
      </c>
      <c r="D2192" s="716" t="s">
        <v>221</v>
      </c>
      <c r="E2192" s="697"/>
      <c r="F2192" s="720" t="s">
        <v>13375</v>
      </c>
      <c r="G2192" s="720" t="s">
        <v>13251</v>
      </c>
      <c r="H2192" s="730" t="s">
        <v>222</v>
      </c>
      <c r="I2192" s="1505" t="s">
        <v>13252</v>
      </c>
      <c r="J2192" s="1506">
        <v>45832.0</v>
      </c>
      <c r="K2192" s="730" t="s">
        <v>13376</v>
      </c>
      <c r="L2192" s="720" t="s">
        <v>13288</v>
      </c>
      <c r="M2192" s="720" t="s">
        <v>13255</v>
      </c>
      <c r="N2192" s="720" t="s">
        <v>9892</v>
      </c>
      <c r="O2192" s="1510">
        <v>1.0</v>
      </c>
      <c r="P2192" s="730" t="s">
        <v>13256</v>
      </c>
      <c r="Q2192" s="1507" t="str">
        <f t="array" ref="Q2192"> if(iserror(MATCH(V2192, 'File Links'!C:C, 0)), "N/A", HYPERLINK(INDEX('File Links'!B:B, MATCH(P2192, 'File Links'!C:C, 0))))</f>
        <v>https://drive.google.com/file/d/1FklynAHzflh7rbxQIU4qTxOz3VBhye8B/view?usp=drivesdk</v>
      </c>
      <c r="R2192" s="1508" t="s">
        <v>13257</v>
      </c>
      <c r="S2192" s="720" t="s">
        <v>13258</v>
      </c>
      <c r="T2192" s="1509"/>
      <c r="U2192" s="1970">
        <v>1.0</v>
      </c>
      <c r="V2192" s="730" t="s">
        <v>13259</v>
      </c>
      <c r="W2192" s="717"/>
      <c r="X2192" s="1511" t="str">
        <f t="array" ref="X2192"> if(iserror(MATCH(V2192, 'File Links'!C:C, 0)), "N/A", HYPERLINK(INDEX('File Links'!B:B, MATCH(V2192, 'File Links'!C:C, 0))))</f>
        <v>https://drive.google.com/file/d/1hYNUJrx3yjyMoTgcG7Qz4pix-8ruWFMC/view?usp=drivesdk</v>
      </c>
      <c r="Y2192" s="1428"/>
      <c r="Z2192" s="730" t="s">
        <v>226</v>
      </c>
      <c r="AA2192" s="720" t="s">
        <v>13260</v>
      </c>
      <c r="AB2192" s="730" t="s">
        <v>13377</v>
      </c>
      <c r="AC2192" s="730" t="s">
        <v>13262</v>
      </c>
      <c r="AD2192" s="717"/>
      <c r="AE2192" s="717"/>
      <c r="AF2192" s="1505">
        <v>573.0</v>
      </c>
      <c r="AG2192" s="1505">
        <v>0.23</v>
      </c>
      <c r="AH2192" s="730" t="s">
        <v>173</v>
      </c>
      <c r="AI2192" s="730">
        <v>6.0</v>
      </c>
      <c r="AJ2192" s="1505">
        <v>0.02</v>
      </c>
      <c r="AK2192" s="730" t="s">
        <v>135</v>
      </c>
      <c r="AL2192" s="730" t="s">
        <v>136</v>
      </c>
      <c r="AM2192" s="720" t="s">
        <v>137</v>
      </c>
      <c r="AN2192" s="720" t="s">
        <v>138</v>
      </c>
      <c r="AO2192" s="1505">
        <v>1446.0</v>
      </c>
      <c r="AP2192" s="1505">
        <v>0.05</v>
      </c>
      <c r="AQ2192" s="730" t="s">
        <v>173</v>
      </c>
      <c r="AR2192" s="730">
        <v>7.0</v>
      </c>
      <c r="AS2192" s="1505">
        <v>0.001</v>
      </c>
      <c r="AT2192" s="730" t="s">
        <v>172</v>
      </c>
      <c r="AU2192" s="730" t="s">
        <v>136</v>
      </c>
      <c r="AV2192" s="720" t="s">
        <v>137</v>
      </c>
      <c r="AW2192" s="1973" t="s">
        <v>13263</v>
      </c>
      <c r="AX2192" s="720" t="s">
        <v>151</v>
      </c>
      <c r="AY2192" s="61" t="str">
        <f>IFERROR(__xludf.DUMMYFUNCTION("vlookup(BB2192,importrange(""https://docs.google.com/spreadsheets/d/1d2vevQ_7D_v35q4wCQ4RpQ_IPoTwEMB9Yp6ymwlPqew/edit?gid=984458430#gid=984458430"", ""'replication success'!A:K""), 11, FAlSE)"),"mixed")</f>
        <v>mixed</v>
      </c>
      <c r="AZ2192" s="61" t="str">
        <f>IFERROR(__xludf.DUMMYFUNCTION("vlookup(BB2192,importrange(""https://docs.google.com/spreadsheets/d/1d2vevQ_7D_v35q4wCQ4RpQ_IPoTwEMB9Yp6ymwlPqew/edit?gid=984458430#gid=984458430"",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2" s="61" t="str">
        <f>IFERROR(__xludf.DUMMYFUNCTION("vlookup(BB2192,importrange(""https://docs.google.com/spreadsheets/d/1d2vevQ_7D_v35q4wCQ4RpQ_IPoTwEMB9Yp6ymwlPqew/edit?gid=984458430#gid=984458430"", ""'replication success'!A:M""), 13, FAlSE)"),"abstract")</f>
        <v>abstract</v>
      </c>
      <c r="BB2192" s="61" t="str">
        <f>IFERROR(__xludf.DUMMYFUNCTION("REGEXREPLACE(G2192, ""_[a-z]{1,2}$"", """")"),"svodevelopment")</f>
        <v>svodevelopment</v>
      </c>
      <c r="BC2192" s="697"/>
      <c r="BD2192" s="716" t="s">
        <v>13264</v>
      </c>
      <c r="BE2192" s="342"/>
      <c r="BF2192" s="342"/>
      <c r="BG2192" s="342"/>
      <c r="BH2192" s="342"/>
      <c r="BI2192" s="342"/>
      <c r="BJ2192" s="342"/>
      <c r="BK2192" s="342"/>
      <c r="BL2192" s="342"/>
      <c r="BM2192" s="342"/>
      <c r="BN2192" s="342"/>
      <c r="BO2192" s="342"/>
      <c r="BP2192" s="342"/>
      <c r="BQ2192" s="342"/>
      <c r="BR2192" s="342"/>
      <c r="BS2192" s="342"/>
      <c r="BT2192" s="342"/>
      <c r="BU2192" s="342"/>
      <c r="BV2192" s="342"/>
      <c r="BW2192" s="342"/>
      <c r="BX2192" s="342"/>
      <c r="BY2192" s="342"/>
      <c r="BZ2192" s="342"/>
      <c r="CA2192" s="342"/>
      <c r="CB2192" s="342"/>
      <c r="CC2192" s="342"/>
      <c r="CD2192" s="342"/>
      <c r="CE2192" s="342"/>
      <c r="CF2192" s="342"/>
      <c r="CG2192" s="342"/>
      <c r="CH2192" s="342"/>
      <c r="CI2192" s="342"/>
      <c r="CJ2192" s="342"/>
      <c r="CK2192" s="342"/>
      <c r="CL2192" s="342"/>
      <c r="CM2192" s="342"/>
      <c r="CN2192" s="342"/>
      <c r="CO2192" s="342"/>
      <c r="CP2192" s="342"/>
      <c r="CQ2192" s="342"/>
      <c r="CR2192" s="342"/>
      <c r="CS2192" s="342"/>
      <c r="CT2192" s="342"/>
      <c r="CU2192" s="342"/>
      <c r="CV2192" s="342"/>
      <c r="CW2192" s="342"/>
      <c r="CX2192" s="342"/>
      <c r="CY2192" s="342"/>
      <c r="CZ2192" s="342"/>
      <c r="DA2192" s="342"/>
      <c r="DB2192" s="342"/>
      <c r="DC2192" s="342"/>
      <c r="DD2192" s="342"/>
      <c r="DE2192" s="342"/>
      <c r="DF2192" s="342"/>
      <c r="DG2192" s="342"/>
      <c r="DH2192" s="342"/>
      <c r="DI2192" s="342"/>
      <c r="DJ2192" s="342"/>
      <c r="DK2192" s="342"/>
      <c r="DL2192" s="342"/>
    </row>
    <row r="2193">
      <c r="A2193" s="44">
        <v>2193.0</v>
      </c>
      <c r="B2193" s="720" t="s">
        <v>152</v>
      </c>
      <c r="C2193" s="716" t="s">
        <v>115</v>
      </c>
      <c r="D2193" s="716" t="s">
        <v>2930</v>
      </c>
      <c r="E2193" s="697"/>
      <c r="F2193" s="720" t="s">
        <v>13375</v>
      </c>
      <c r="G2193" s="720" t="s">
        <v>13251</v>
      </c>
      <c r="H2193" s="730" t="s">
        <v>13265</v>
      </c>
      <c r="I2193" s="1505" t="s">
        <v>13277</v>
      </c>
      <c r="J2193" s="1506">
        <v>45832.0</v>
      </c>
      <c r="K2193" s="730" t="s">
        <v>13278</v>
      </c>
      <c r="L2193" s="720" t="s">
        <v>13288</v>
      </c>
      <c r="M2193" s="720" t="s">
        <v>13255</v>
      </c>
      <c r="N2193" s="720" t="s">
        <v>9892</v>
      </c>
      <c r="O2193" s="1510">
        <v>1.0</v>
      </c>
      <c r="P2193" s="730" t="s">
        <v>13256</v>
      </c>
      <c r="Q2193" s="1507" t="str">
        <f t="array" ref="Q2193"> if(iserror(MATCH(V2193, 'File Links'!C:C, 0)), "N/A", HYPERLINK(INDEX('File Links'!B:B, MATCH(P2193, 'File Links'!C:C, 0))))</f>
        <v>https://drive.google.com/file/d/1FklynAHzflh7rbxQIU4qTxOz3VBhye8B/view?usp=drivesdk</v>
      </c>
      <c r="R2193" s="1508" t="s">
        <v>13257</v>
      </c>
      <c r="S2193" s="720" t="s">
        <v>13258</v>
      </c>
      <c r="T2193" s="1974" t="s">
        <v>138</v>
      </c>
      <c r="U2193" s="1510">
        <v>1.0</v>
      </c>
      <c r="V2193" s="730" t="s">
        <v>13259</v>
      </c>
      <c r="W2193" s="730" t="s">
        <v>209</v>
      </c>
      <c r="X2193" s="1511" t="str">
        <f t="array" ref="X2193"> if(iserror(MATCH(V2193, 'File Links'!C:C, 0)), "N/A", HYPERLINK(INDEX('File Links'!B:B, MATCH(V2193, 'File Links'!C:C, 0))))</f>
        <v>https://drive.google.com/file/d/1hYNUJrx3yjyMoTgcG7Qz4pix-8ruWFMC/view?usp=drivesdk</v>
      </c>
      <c r="Y2193" s="1428"/>
      <c r="Z2193" s="730" t="s">
        <v>226</v>
      </c>
      <c r="AA2193" s="720" t="s">
        <v>13260</v>
      </c>
      <c r="AB2193" s="730" t="s">
        <v>13377</v>
      </c>
      <c r="AC2193" s="730" t="s">
        <v>13262</v>
      </c>
      <c r="AD2193" s="730" t="s">
        <v>13270</v>
      </c>
      <c r="AE2193" s="730">
        <v>4.0</v>
      </c>
      <c r="AF2193" s="1505">
        <v>573.0</v>
      </c>
      <c r="AG2193" s="1505">
        <v>0.234</v>
      </c>
      <c r="AH2193" s="730" t="s">
        <v>173</v>
      </c>
      <c r="AI2193" s="730" t="s">
        <v>496</v>
      </c>
      <c r="AJ2193" s="1505" t="s">
        <v>138</v>
      </c>
      <c r="AK2193" s="717"/>
      <c r="AL2193" s="730" t="s">
        <v>186</v>
      </c>
      <c r="AM2193" s="720" t="s">
        <v>137</v>
      </c>
      <c r="AN2193" s="720" t="s">
        <v>138</v>
      </c>
      <c r="AO2193" s="1505">
        <v>1446.0</v>
      </c>
      <c r="AP2193" s="1505">
        <v>0.05</v>
      </c>
      <c r="AQ2193" s="730" t="s">
        <v>722</v>
      </c>
      <c r="AR2193" s="730" t="s">
        <v>13271</v>
      </c>
      <c r="AS2193" s="1505">
        <v>0.182</v>
      </c>
      <c r="AT2193" s="730" t="s">
        <v>172</v>
      </c>
      <c r="AU2193" s="730" t="s">
        <v>186</v>
      </c>
      <c r="AV2193" s="720" t="s">
        <v>137</v>
      </c>
      <c r="AW2193" s="1973" t="s">
        <v>13263</v>
      </c>
      <c r="AX2193" s="2000" t="s">
        <v>151</v>
      </c>
      <c r="AY2193" s="61" t="str">
        <f>IFERROR(__xludf.DUMMYFUNCTION("vlookup(BB2193,importrange(""https://docs.google.com/spreadsheets/d/1d2vevQ_7D_v35q4wCQ4RpQ_IPoTwEMB9Yp6ymwlPqew/edit?gid=984458430#gid=984458430"", ""'replication success'!A:K""), 11, FAlSE)"),"mixed")</f>
        <v>mixed</v>
      </c>
      <c r="AZ2193" s="61" t="str">
        <f>IFERROR(__xludf.DUMMYFUNCTION("vlookup(BB2193,importrange(""https://docs.google.com/spreadsheets/d/1d2vevQ_7D_v35q4wCQ4RpQ_IPoTwEMB9Yp6ymwlPqew/edit?gid=984458430#gid=984458430"",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3" s="61" t="str">
        <f>IFERROR(__xludf.DUMMYFUNCTION("vlookup(BB2193,importrange(""https://docs.google.com/spreadsheets/d/1d2vevQ_7D_v35q4wCQ4RpQ_IPoTwEMB9Yp6ymwlPqew/edit?gid=984458430#gid=984458430"", ""'replication success'!A:M""), 13, FAlSE)"),"abstract")</f>
        <v>abstract</v>
      </c>
      <c r="BB2193" s="61" t="str">
        <f>IFERROR(__xludf.DUMMYFUNCTION("REGEXREPLACE(G2193, ""_[a-z]{1,2}$"", """")"),"svodevelopment")</f>
        <v>svodevelopment</v>
      </c>
      <c r="BC2193" s="697"/>
      <c r="BD2193" s="716" t="s">
        <v>13264</v>
      </c>
      <c r="BE2193" s="342"/>
      <c r="BF2193" s="342"/>
      <c r="BG2193" s="342"/>
      <c r="BH2193" s="342"/>
      <c r="BI2193" s="342"/>
      <c r="BJ2193" s="342"/>
      <c r="BK2193" s="342"/>
      <c r="BL2193" s="342"/>
      <c r="BM2193" s="342"/>
      <c r="BN2193" s="342"/>
      <c r="BO2193" s="342"/>
      <c r="BP2193" s="342"/>
      <c r="BQ2193" s="342"/>
      <c r="BR2193" s="342"/>
      <c r="BS2193" s="342"/>
      <c r="BT2193" s="342"/>
      <c r="BU2193" s="342"/>
      <c r="BV2193" s="342"/>
      <c r="BW2193" s="342"/>
      <c r="BX2193" s="342"/>
      <c r="BY2193" s="342"/>
      <c r="BZ2193" s="342"/>
      <c r="CA2193" s="342"/>
      <c r="CB2193" s="342"/>
      <c r="CC2193" s="342"/>
      <c r="CD2193" s="342"/>
      <c r="CE2193" s="342"/>
      <c r="CF2193" s="342"/>
      <c r="CG2193" s="342"/>
      <c r="CH2193" s="342"/>
      <c r="CI2193" s="342"/>
      <c r="CJ2193" s="342"/>
      <c r="CK2193" s="342"/>
      <c r="CL2193" s="342"/>
      <c r="CM2193" s="342"/>
      <c r="CN2193" s="342"/>
      <c r="CO2193" s="342"/>
      <c r="CP2193" s="342"/>
      <c r="CQ2193" s="342"/>
      <c r="CR2193" s="342"/>
      <c r="CS2193" s="342"/>
      <c r="CT2193" s="342"/>
      <c r="CU2193" s="342"/>
      <c r="CV2193" s="342"/>
      <c r="CW2193" s="342"/>
      <c r="CX2193" s="342"/>
      <c r="CY2193" s="342"/>
      <c r="CZ2193" s="342"/>
      <c r="DA2193" s="342"/>
      <c r="DB2193" s="342"/>
      <c r="DC2193" s="342"/>
      <c r="DD2193" s="342"/>
      <c r="DE2193" s="342"/>
      <c r="DF2193" s="342"/>
      <c r="DG2193" s="342"/>
      <c r="DH2193" s="342"/>
      <c r="DI2193" s="342"/>
      <c r="DJ2193" s="342"/>
      <c r="DK2193" s="342"/>
      <c r="DL2193" s="342"/>
    </row>
    <row r="2194">
      <c r="A2194" s="44">
        <v>2194.0</v>
      </c>
      <c r="B2194" s="905" t="s">
        <v>114</v>
      </c>
      <c r="C2194" s="839" t="s">
        <v>115</v>
      </c>
      <c r="D2194" s="839" t="s">
        <v>221</v>
      </c>
      <c r="E2194" s="752"/>
      <c r="F2194" s="905" t="s">
        <v>13378</v>
      </c>
      <c r="G2194" s="905" t="s">
        <v>13251</v>
      </c>
      <c r="H2194" s="999" t="s">
        <v>222</v>
      </c>
      <c r="I2194" s="1990" t="s">
        <v>13252</v>
      </c>
      <c r="J2194" s="995">
        <v>45832.0</v>
      </c>
      <c r="K2194" s="840"/>
      <c r="L2194" s="905" t="s">
        <v>13379</v>
      </c>
      <c r="M2194" s="905" t="s">
        <v>13255</v>
      </c>
      <c r="N2194" s="905" t="s">
        <v>9892</v>
      </c>
      <c r="O2194" s="1991">
        <v>1.0</v>
      </c>
      <c r="P2194" s="999" t="s">
        <v>13256</v>
      </c>
      <c r="Q2194" s="901" t="str">
        <f t="array" ref="Q2194"> if(iserror(MATCH(V2194, 'File Links'!C:C, 0)), "N/A", HYPERLINK(INDEX('File Links'!B:B, MATCH(P2194, 'File Links'!C:C, 0))))</f>
        <v>https://drive.google.com/file/d/1FklynAHzflh7rbxQIU4qTxOz3VBhye8B/view?usp=drivesdk</v>
      </c>
      <c r="R2194" s="1992" t="s">
        <v>13257</v>
      </c>
      <c r="S2194" s="905" t="s">
        <v>13258</v>
      </c>
      <c r="T2194" s="1993"/>
      <c r="U2194" s="1994">
        <v>1.0</v>
      </c>
      <c r="V2194" s="999" t="s">
        <v>13259</v>
      </c>
      <c r="W2194" s="840"/>
      <c r="X2194" s="903" t="str">
        <f t="array" ref="X2194"> if(iserror(MATCH(V2194, 'File Links'!C:C, 0)), "N/A", HYPERLINK(INDEX('File Links'!B:B, MATCH(V2194, 'File Links'!C:C, 0))))</f>
        <v>https://drive.google.com/file/d/1hYNUJrx3yjyMoTgcG7Qz4pix-8ruWFMC/view?usp=drivesdk</v>
      </c>
      <c r="Y2194" s="851"/>
      <c r="Z2194" s="999" t="s">
        <v>226</v>
      </c>
      <c r="AA2194" s="905" t="s">
        <v>13260</v>
      </c>
      <c r="AB2194" s="999" t="s">
        <v>13380</v>
      </c>
      <c r="AC2194" s="999" t="s">
        <v>13262</v>
      </c>
      <c r="AD2194" s="840"/>
      <c r="AE2194" s="840"/>
      <c r="AF2194" s="1990">
        <v>573.0</v>
      </c>
      <c r="AG2194" s="1990">
        <v>0.23</v>
      </c>
      <c r="AH2194" s="999" t="s">
        <v>173</v>
      </c>
      <c r="AI2194" s="999">
        <v>6.0</v>
      </c>
      <c r="AJ2194" s="1990">
        <v>0.02</v>
      </c>
      <c r="AK2194" s="999" t="s">
        <v>135</v>
      </c>
      <c r="AL2194" s="999" t="s">
        <v>136</v>
      </c>
      <c r="AM2194" s="905" t="s">
        <v>137</v>
      </c>
      <c r="AN2194" s="905" t="s">
        <v>138</v>
      </c>
      <c r="AO2194" s="1990">
        <v>1446.0</v>
      </c>
      <c r="AP2194" s="1990">
        <v>0.07</v>
      </c>
      <c r="AQ2194" s="999" t="s">
        <v>173</v>
      </c>
      <c r="AR2194" s="999">
        <v>7.0</v>
      </c>
      <c r="AS2194" s="1990">
        <v>0.001</v>
      </c>
      <c r="AT2194" s="999" t="s">
        <v>172</v>
      </c>
      <c r="AU2194" s="999" t="s">
        <v>136</v>
      </c>
      <c r="AV2194" s="905" t="s">
        <v>137</v>
      </c>
      <c r="AW2194" s="1995" t="s">
        <v>13263</v>
      </c>
      <c r="AX2194" s="2001" t="s">
        <v>151</v>
      </c>
      <c r="AY2194" s="61" t="str">
        <f>IFERROR(__xludf.DUMMYFUNCTION("vlookup(BB2194,importrange(""https://docs.google.com/spreadsheets/d/1d2vevQ_7D_v35q4wCQ4RpQ_IPoTwEMB9Yp6ymwlPqew/edit?gid=984458430#gid=984458430"", ""'replication success'!A:K""), 11, FAlSE)"),"mixed")</f>
        <v>mixed</v>
      </c>
      <c r="AZ2194" s="61" t="str">
        <f>IFERROR(__xludf.DUMMYFUNCTION("vlookup(BB2194,importrange(""https://docs.google.com/spreadsheets/d/1d2vevQ_7D_v35q4wCQ4RpQ_IPoTwEMB9Yp6ymwlPqew/edit?gid=984458430#gid=984458430"",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4" s="61" t="str">
        <f>IFERROR(__xludf.DUMMYFUNCTION("vlookup(BB2194,importrange(""https://docs.google.com/spreadsheets/d/1d2vevQ_7D_v35q4wCQ4RpQ_IPoTwEMB9Yp6ymwlPqew/edit?gid=984458430#gid=984458430"", ""'replication success'!A:M""), 13, FAlSE)"),"abstract")</f>
        <v>abstract</v>
      </c>
      <c r="BB2194" s="61" t="str">
        <f>IFERROR(__xludf.DUMMYFUNCTION("REGEXREPLACE(G2194, ""_[a-z]{1,2}$"", """")"),"svodevelopment")</f>
        <v>svodevelopment</v>
      </c>
      <c r="BC2194" s="752"/>
      <c r="BD2194" s="839" t="s">
        <v>13264</v>
      </c>
      <c r="BE2194" s="342"/>
      <c r="BF2194" s="342"/>
      <c r="BG2194" s="342"/>
      <c r="BH2194" s="342"/>
      <c r="BI2194" s="342"/>
      <c r="BJ2194" s="342"/>
      <c r="BK2194" s="342"/>
      <c r="BL2194" s="342"/>
      <c r="BM2194" s="342"/>
      <c r="BN2194" s="342"/>
      <c r="BO2194" s="342"/>
      <c r="BP2194" s="342"/>
      <c r="BQ2194" s="342"/>
      <c r="BR2194" s="342"/>
      <c r="BS2194" s="342"/>
      <c r="BT2194" s="342"/>
      <c r="BU2194" s="342"/>
      <c r="BV2194" s="342"/>
      <c r="BW2194" s="342"/>
      <c r="BX2194" s="342"/>
      <c r="BY2194" s="342"/>
      <c r="BZ2194" s="342"/>
      <c r="CA2194" s="342"/>
      <c r="CB2194" s="342"/>
      <c r="CC2194" s="342"/>
      <c r="CD2194" s="342"/>
      <c r="CE2194" s="342"/>
      <c r="CF2194" s="342"/>
      <c r="CG2194" s="342"/>
      <c r="CH2194" s="342"/>
      <c r="CI2194" s="342"/>
      <c r="CJ2194" s="342"/>
      <c r="CK2194" s="342"/>
      <c r="CL2194" s="342"/>
      <c r="CM2194" s="342"/>
      <c r="CN2194" s="342"/>
      <c r="CO2194" s="342"/>
      <c r="CP2194" s="342"/>
      <c r="CQ2194" s="342"/>
      <c r="CR2194" s="342"/>
      <c r="CS2194" s="342"/>
      <c r="CT2194" s="342"/>
      <c r="CU2194" s="342"/>
      <c r="CV2194" s="342"/>
      <c r="CW2194" s="342"/>
      <c r="CX2194" s="342"/>
      <c r="CY2194" s="342"/>
      <c r="CZ2194" s="342"/>
      <c r="DA2194" s="342"/>
      <c r="DB2194" s="342"/>
      <c r="DC2194" s="342"/>
      <c r="DD2194" s="342"/>
      <c r="DE2194" s="342"/>
      <c r="DF2194" s="342"/>
      <c r="DG2194" s="342"/>
      <c r="DH2194" s="342"/>
      <c r="DI2194" s="342"/>
      <c r="DJ2194" s="342"/>
      <c r="DK2194" s="342"/>
      <c r="DL2194" s="342"/>
    </row>
    <row r="2195">
      <c r="A2195" s="44">
        <v>2195.0</v>
      </c>
      <c r="B2195" s="905" t="s">
        <v>152</v>
      </c>
      <c r="C2195" s="839" t="s">
        <v>115</v>
      </c>
      <c r="D2195" s="839" t="s">
        <v>2930</v>
      </c>
      <c r="E2195" s="752"/>
      <c r="F2195" s="905" t="s">
        <v>13378</v>
      </c>
      <c r="G2195" s="905" t="s">
        <v>13251</v>
      </c>
      <c r="H2195" s="999" t="s">
        <v>13265</v>
      </c>
      <c r="I2195" s="1990" t="s">
        <v>13277</v>
      </c>
      <c r="J2195" s="995">
        <v>45832.0</v>
      </c>
      <c r="K2195" s="999" t="s">
        <v>13278</v>
      </c>
      <c r="L2195" s="905" t="s">
        <v>13288</v>
      </c>
      <c r="M2195" s="905" t="s">
        <v>13255</v>
      </c>
      <c r="N2195" s="905" t="s">
        <v>9892</v>
      </c>
      <c r="O2195" s="1991">
        <v>1.0</v>
      </c>
      <c r="P2195" s="999" t="s">
        <v>13256</v>
      </c>
      <c r="Q2195" s="901" t="str">
        <f t="array" ref="Q2195"> if(iserror(MATCH(V2195, 'File Links'!C:C, 0)), "N/A", HYPERLINK(INDEX('File Links'!B:B, MATCH(P2195, 'File Links'!C:C, 0))))</f>
        <v>https://drive.google.com/file/d/1FklynAHzflh7rbxQIU4qTxOz3VBhye8B/view?usp=drivesdk</v>
      </c>
      <c r="R2195" s="1992" t="s">
        <v>13257</v>
      </c>
      <c r="S2195" s="905" t="s">
        <v>13258</v>
      </c>
      <c r="T2195" s="2002" t="s">
        <v>138</v>
      </c>
      <c r="U2195" s="1991">
        <v>1.0</v>
      </c>
      <c r="V2195" s="999" t="s">
        <v>13259</v>
      </c>
      <c r="W2195" s="999" t="s">
        <v>209</v>
      </c>
      <c r="X2195" s="903" t="str">
        <f t="array" ref="X2195"> if(iserror(MATCH(V2195, 'File Links'!C:C, 0)), "N/A", HYPERLINK(INDEX('File Links'!B:B, MATCH(V2195, 'File Links'!C:C, 0))))</f>
        <v>https://drive.google.com/file/d/1hYNUJrx3yjyMoTgcG7Qz4pix-8ruWFMC/view?usp=drivesdk</v>
      </c>
      <c r="Y2195" s="851"/>
      <c r="Z2195" s="999" t="s">
        <v>226</v>
      </c>
      <c r="AA2195" s="905" t="s">
        <v>13260</v>
      </c>
      <c r="AB2195" s="999" t="s">
        <v>13380</v>
      </c>
      <c r="AC2195" s="999" t="s">
        <v>13262</v>
      </c>
      <c r="AD2195" s="999" t="s">
        <v>13270</v>
      </c>
      <c r="AE2195" s="999">
        <v>4.0</v>
      </c>
      <c r="AF2195" s="1990">
        <v>573.0</v>
      </c>
      <c r="AG2195" s="1990">
        <v>0.234</v>
      </c>
      <c r="AH2195" s="999" t="s">
        <v>173</v>
      </c>
      <c r="AI2195" s="999" t="s">
        <v>850</v>
      </c>
      <c r="AJ2195" s="1990" t="s">
        <v>138</v>
      </c>
      <c r="AK2195" s="840"/>
      <c r="AL2195" s="999" t="s">
        <v>186</v>
      </c>
      <c r="AM2195" s="905" t="s">
        <v>137</v>
      </c>
      <c r="AN2195" s="905" t="s">
        <v>138</v>
      </c>
      <c r="AO2195" s="1990">
        <v>1446.0</v>
      </c>
      <c r="AP2195" s="1990">
        <v>0.07</v>
      </c>
      <c r="AQ2195" s="999" t="s">
        <v>722</v>
      </c>
      <c r="AR2195" s="999" t="s">
        <v>13271</v>
      </c>
      <c r="AS2195" s="1990">
        <v>0.106</v>
      </c>
      <c r="AT2195" s="999" t="s">
        <v>172</v>
      </c>
      <c r="AU2195" s="999" t="s">
        <v>186</v>
      </c>
      <c r="AV2195" s="905" t="s">
        <v>137</v>
      </c>
      <c r="AW2195" s="1995" t="s">
        <v>13263</v>
      </c>
      <c r="AX2195" s="1115" t="s">
        <v>438</v>
      </c>
      <c r="AY2195" s="61" t="str">
        <f>IFERROR(__xludf.DUMMYFUNCTION("vlookup(BB2195,importrange(""https://docs.google.com/spreadsheets/d/1d2vevQ_7D_v35q4wCQ4RpQ_IPoTwEMB9Yp6ymwlPqew/edit?gid=984458430#gid=984458430"", ""'replication success'!A:K""), 11, FAlSE)"),"mixed")</f>
        <v>mixed</v>
      </c>
      <c r="AZ2195" s="61" t="str">
        <f>IFERROR(__xludf.DUMMYFUNCTION("vlookup(BB2195,importrange(""https://docs.google.com/spreadsheets/d/1d2vevQ_7D_v35q4wCQ4RpQ_IPoTwEMB9Yp6ymwlPqew/edit?gid=984458430#gid=984458430"",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5" s="61" t="str">
        <f>IFERROR(__xludf.DUMMYFUNCTION("vlookup(BB2195,importrange(""https://docs.google.com/spreadsheets/d/1d2vevQ_7D_v35q4wCQ4RpQ_IPoTwEMB9Yp6ymwlPqew/edit?gid=984458430#gid=984458430"", ""'replication success'!A:M""), 13, FAlSE)"),"abstract")</f>
        <v>abstract</v>
      </c>
      <c r="BB2195" s="61" t="str">
        <f>IFERROR(__xludf.DUMMYFUNCTION("REGEXREPLACE(G2195, ""_[a-z]{1,2}$"", """")"),"svodevelopment")</f>
        <v>svodevelopment</v>
      </c>
      <c r="BC2195" s="752"/>
      <c r="BD2195" s="839" t="s">
        <v>13264</v>
      </c>
      <c r="BE2195" s="342"/>
      <c r="BF2195" s="342"/>
      <c r="BG2195" s="342"/>
      <c r="BH2195" s="342"/>
      <c r="BI2195" s="342"/>
      <c r="BJ2195" s="342"/>
      <c r="BK2195" s="342"/>
      <c r="BL2195" s="342"/>
      <c r="BM2195" s="342"/>
      <c r="BN2195" s="342"/>
      <c r="BO2195" s="342"/>
      <c r="BP2195" s="342"/>
      <c r="BQ2195" s="342"/>
      <c r="BR2195" s="342"/>
      <c r="BS2195" s="342"/>
      <c r="BT2195" s="342"/>
      <c r="BU2195" s="342"/>
      <c r="BV2195" s="342"/>
      <c r="BW2195" s="342"/>
      <c r="BX2195" s="342"/>
      <c r="BY2195" s="342"/>
      <c r="BZ2195" s="342"/>
      <c r="CA2195" s="342"/>
      <c r="CB2195" s="342"/>
      <c r="CC2195" s="342"/>
      <c r="CD2195" s="342"/>
      <c r="CE2195" s="342"/>
      <c r="CF2195" s="342"/>
      <c r="CG2195" s="342"/>
      <c r="CH2195" s="342"/>
      <c r="CI2195" s="342"/>
      <c r="CJ2195" s="342"/>
      <c r="CK2195" s="342"/>
      <c r="CL2195" s="342"/>
      <c r="CM2195" s="342"/>
      <c r="CN2195" s="342"/>
      <c r="CO2195" s="342"/>
      <c r="CP2195" s="342"/>
      <c r="CQ2195" s="342"/>
      <c r="CR2195" s="342"/>
      <c r="CS2195" s="342"/>
      <c r="CT2195" s="342"/>
      <c r="CU2195" s="342"/>
      <c r="CV2195" s="342"/>
      <c r="CW2195" s="342"/>
      <c r="CX2195" s="342"/>
      <c r="CY2195" s="342"/>
      <c r="CZ2195" s="342"/>
      <c r="DA2195" s="342"/>
      <c r="DB2195" s="342"/>
      <c r="DC2195" s="342"/>
      <c r="DD2195" s="342"/>
      <c r="DE2195" s="342"/>
      <c r="DF2195" s="342"/>
      <c r="DG2195" s="342"/>
      <c r="DH2195" s="342"/>
      <c r="DI2195" s="342"/>
      <c r="DJ2195" s="342"/>
      <c r="DK2195" s="342"/>
      <c r="DL2195" s="342"/>
    </row>
    <row r="2196">
      <c r="A2196" s="44">
        <v>2196.0</v>
      </c>
      <c r="B2196" s="720" t="s">
        <v>114</v>
      </c>
      <c r="C2196" s="716" t="s">
        <v>115</v>
      </c>
      <c r="D2196" s="716" t="s">
        <v>221</v>
      </c>
      <c r="E2196" s="697"/>
      <c r="F2196" s="720" t="s">
        <v>13381</v>
      </c>
      <c r="G2196" s="720" t="s">
        <v>13251</v>
      </c>
      <c r="H2196" s="730" t="s">
        <v>222</v>
      </c>
      <c r="I2196" s="1505" t="s">
        <v>13252</v>
      </c>
      <c r="J2196" s="1506">
        <v>45832.0</v>
      </c>
      <c r="K2196" s="730" t="s">
        <v>13382</v>
      </c>
      <c r="L2196" s="720" t="s">
        <v>13288</v>
      </c>
      <c r="M2196" s="720" t="s">
        <v>13255</v>
      </c>
      <c r="N2196" s="720" t="s">
        <v>9892</v>
      </c>
      <c r="O2196" s="1510">
        <v>1.0</v>
      </c>
      <c r="P2196" s="730" t="s">
        <v>13256</v>
      </c>
      <c r="Q2196" s="1507" t="str">
        <f t="array" ref="Q2196"> if(iserror(MATCH(V2196, 'File Links'!C:C, 0)), "N/A", HYPERLINK(INDEX('File Links'!B:B, MATCH(P2196, 'File Links'!C:C, 0))))</f>
        <v>https://drive.google.com/file/d/1FklynAHzflh7rbxQIU4qTxOz3VBhye8B/view?usp=drivesdk</v>
      </c>
      <c r="R2196" s="1508" t="s">
        <v>13257</v>
      </c>
      <c r="S2196" s="720" t="s">
        <v>13258</v>
      </c>
      <c r="T2196" s="1509"/>
      <c r="U2196" s="1970">
        <v>1.0</v>
      </c>
      <c r="V2196" s="730" t="s">
        <v>13259</v>
      </c>
      <c r="W2196" s="717"/>
      <c r="X2196" s="1511" t="str">
        <f t="array" ref="X2196"> if(iserror(MATCH(V2196, 'File Links'!C:C, 0)), "N/A", HYPERLINK(INDEX('File Links'!B:B, MATCH(V2196, 'File Links'!C:C, 0))))</f>
        <v>https://drive.google.com/file/d/1hYNUJrx3yjyMoTgcG7Qz4pix-8ruWFMC/view?usp=drivesdk</v>
      </c>
      <c r="Y2196" s="1428"/>
      <c r="Z2196" s="730" t="s">
        <v>226</v>
      </c>
      <c r="AA2196" s="720" t="s">
        <v>13260</v>
      </c>
      <c r="AB2196" s="730" t="s">
        <v>13383</v>
      </c>
      <c r="AC2196" s="730" t="s">
        <v>13262</v>
      </c>
      <c r="AD2196" s="717"/>
      <c r="AE2196" s="717"/>
      <c r="AF2196" s="1505">
        <v>573.0</v>
      </c>
      <c r="AG2196" s="1505">
        <v>0.23</v>
      </c>
      <c r="AH2196" s="730" t="s">
        <v>173</v>
      </c>
      <c r="AI2196" s="730">
        <v>6.0</v>
      </c>
      <c r="AJ2196" s="1505">
        <v>0.02</v>
      </c>
      <c r="AK2196" s="730" t="s">
        <v>135</v>
      </c>
      <c r="AL2196" s="730" t="s">
        <v>136</v>
      </c>
      <c r="AM2196" s="720" t="s">
        <v>137</v>
      </c>
      <c r="AN2196" s="720" t="s">
        <v>138</v>
      </c>
      <c r="AO2196" s="1505">
        <v>1446.0</v>
      </c>
      <c r="AP2196" s="1505">
        <v>0.14</v>
      </c>
      <c r="AQ2196" s="730" t="s">
        <v>173</v>
      </c>
      <c r="AR2196" s="730">
        <v>7.0</v>
      </c>
      <c r="AS2196" s="1505">
        <v>0.001</v>
      </c>
      <c r="AT2196" s="730" t="s">
        <v>172</v>
      </c>
      <c r="AU2196" s="730" t="s">
        <v>136</v>
      </c>
      <c r="AV2196" s="720" t="s">
        <v>137</v>
      </c>
      <c r="AW2196" s="1973" t="s">
        <v>13263</v>
      </c>
      <c r="AX2196" s="720" t="s">
        <v>151</v>
      </c>
      <c r="AY2196" s="61" t="str">
        <f>IFERROR(__xludf.DUMMYFUNCTION("vlookup(BB2196,importrange(""https://docs.google.com/spreadsheets/d/1d2vevQ_7D_v35q4wCQ4RpQ_IPoTwEMB9Yp6ymwlPqew/edit?gid=984458430#gid=984458430"", ""'replication success'!A:K""), 11, FAlSE)"),"mixed")</f>
        <v>mixed</v>
      </c>
      <c r="AZ2196" s="61" t="str">
        <f>IFERROR(__xludf.DUMMYFUNCTION("vlookup(BB2196,importrange(""https://docs.google.com/spreadsheets/d/1d2vevQ_7D_v35q4wCQ4RpQ_IPoTwEMB9Yp6ymwlPqew/edit?gid=984458430#gid=984458430"",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6" s="61" t="str">
        <f>IFERROR(__xludf.DUMMYFUNCTION("vlookup(BB2196,importrange(""https://docs.google.com/spreadsheets/d/1d2vevQ_7D_v35q4wCQ4RpQ_IPoTwEMB9Yp6ymwlPqew/edit?gid=984458430#gid=984458430"", ""'replication success'!A:M""), 13, FAlSE)"),"abstract")</f>
        <v>abstract</v>
      </c>
      <c r="BB2196" s="61" t="str">
        <f>IFERROR(__xludf.DUMMYFUNCTION("REGEXREPLACE(G2196, ""_[a-z]{1,2}$"", """")"),"svodevelopment")</f>
        <v>svodevelopment</v>
      </c>
      <c r="BC2196" s="697"/>
      <c r="BD2196" s="716" t="s">
        <v>13264</v>
      </c>
      <c r="BE2196" s="342"/>
      <c r="BF2196" s="342"/>
      <c r="BG2196" s="342"/>
      <c r="BH2196" s="342"/>
      <c r="BI2196" s="342"/>
      <c r="BJ2196" s="342"/>
      <c r="BK2196" s="342"/>
      <c r="BL2196" s="342"/>
      <c r="BM2196" s="342"/>
      <c r="BN2196" s="342"/>
      <c r="BO2196" s="342"/>
      <c r="BP2196" s="342"/>
      <c r="BQ2196" s="342"/>
      <c r="BR2196" s="342"/>
      <c r="BS2196" s="342"/>
      <c r="BT2196" s="342"/>
      <c r="BU2196" s="342"/>
      <c r="BV2196" s="342"/>
      <c r="BW2196" s="342"/>
      <c r="BX2196" s="342"/>
      <c r="BY2196" s="342"/>
      <c r="BZ2196" s="342"/>
      <c r="CA2196" s="342"/>
      <c r="CB2196" s="342"/>
      <c r="CC2196" s="342"/>
      <c r="CD2196" s="342"/>
      <c r="CE2196" s="342"/>
      <c r="CF2196" s="342"/>
      <c r="CG2196" s="342"/>
      <c r="CH2196" s="342"/>
      <c r="CI2196" s="342"/>
      <c r="CJ2196" s="342"/>
      <c r="CK2196" s="342"/>
      <c r="CL2196" s="342"/>
      <c r="CM2196" s="342"/>
      <c r="CN2196" s="342"/>
      <c r="CO2196" s="342"/>
      <c r="CP2196" s="342"/>
      <c r="CQ2196" s="342"/>
      <c r="CR2196" s="342"/>
      <c r="CS2196" s="342"/>
      <c r="CT2196" s="342"/>
      <c r="CU2196" s="342"/>
      <c r="CV2196" s="342"/>
      <c r="CW2196" s="342"/>
      <c r="CX2196" s="342"/>
      <c r="CY2196" s="342"/>
      <c r="CZ2196" s="342"/>
      <c r="DA2196" s="342"/>
      <c r="DB2196" s="342"/>
      <c r="DC2196" s="342"/>
      <c r="DD2196" s="342"/>
      <c r="DE2196" s="342"/>
      <c r="DF2196" s="342"/>
      <c r="DG2196" s="342"/>
      <c r="DH2196" s="342"/>
      <c r="DI2196" s="342"/>
      <c r="DJ2196" s="342"/>
      <c r="DK2196" s="342"/>
      <c r="DL2196" s="342"/>
    </row>
    <row r="2197">
      <c r="A2197" s="44">
        <v>2197.0</v>
      </c>
      <c r="B2197" s="720" t="s">
        <v>152</v>
      </c>
      <c r="C2197" s="716" t="s">
        <v>115</v>
      </c>
      <c r="D2197" s="716" t="s">
        <v>2930</v>
      </c>
      <c r="E2197" s="697"/>
      <c r="F2197" s="720" t="s">
        <v>13381</v>
      </c>
      <c r="G2197" s="720" t="s">
        <v>13251</v>
      </c>
      <c r="H2197" s="730" t="s">
        <v>13265</v>
      </c>
      <c r="I2197" s="1505" t="s">
        <v>13277</v>
      </c>
      <c r="J2197" s="1506">
        <v>45832.0</v>
      </c>
      <c r="K2197" s="730" t="s">
        <v>13278</v>
      </c>
      <c r="L2197" s="720" t="s">
        <v>13288</v>
      </c>
      <c r="M2197" s="720" t="s">
        <v>13255</v>
      </c>
      <c r="N2197" s="720" t="s">
        <v>9892</v>
      </c>
      <c r="O2197" s="1510">
        <v>1.0</v>
      </c>
      <c r="P2197" s="730" t="s">
        <v>13256</v>
      </c>
      <c r="Q2197" s="1507" t="str">
        <f t="array" ref="Q2197"> if(iserror(MATCH(V2197, 'File Links'!C:C, 0)), "N/A", HYPERLINK(INDEX('File Links'!B:B, MATCH(P2197, 'File Links'!C:C, 0))))</f>
        <v>https://drive.google.com/file/d/1FklynAHzflh7rbxQIU4qTxOz3VBhye8B/view?usp=drivesdk</v>
      </c>
      <c r="R2197" s="1508" t="s">
        <v>13257</v>
      </c>
      <c r="S2197" s="720" t="s">
        <v>13258</v>
      </c>
      <c r="T2197" s="1974" t="s">
        <v>138</v>
      </c>
      <c r="U2197" s="1510">
        <v>1.0</v>
      </c>
      <c r="V2197" s="730" t="s">
        <v>13259</v>
      </c>
      <c r="W2197" s="730" t="s">
        <v>209</v>
      </c>
      <c r="X2197" s="1511" t="str">
        <f t="array" ref="X2197"> if(iserror(MATCH(V2197, 'File Links'!C:C, 0)), "N/A", HYPERLINK(INDEX('File Links'!B:B, MATCH(V2197, 'File Links'!C:C, 0))))</f>
        <v>https://drive.google.com/file/d/1hYNUJrx3yjyMoTgcG7Qz4pix-8ruWFMC/view?usp=drivesdk</v>
      </c>
      <c r="Y2197" s="1428"/>
      <c r="Z2197" s="730" t="s">
        <v>226</v>
      </c>
      <c r="AA2197" s="720" t="s">
        <v>13260</v>
      </c>
      <c r="AB2197" s="730" t="s">
        <v>13383</v>
      </c>
      <c r="AC2197" s="730" t="s">
        <v>13262</v>
      </c>
      <c r="AD2197" s="730" t="s">
        <v>13270</v>
      </c>
      <c r="AE2197" s="730">
        <v>4.0</v>
      </c>
      <c r="AF2197" s="1505">
        <v>573.0</v>
      </c>
      <c r="AG2197" s="1505">
        <v>0.234</v>
      </c>
      <c r="AH2197" s="730" t="s">
        <v>173</v>
      </c>
      <c r="AI2197" s="730" t="s">
        <v>850</v>
      </c>
      <c r="AJ2197" s="1505" t="s">
        <v>138</v>
      </c>
      <c r="AK2197" s="717"/>
      <c r="AL2197" s="730" t="s">
        <v>186</v>
      </c>
      <c r="AM2197" s="720" t="s">
        <v>137</v>
      </c>
      <c r="AN2197" s="720" t="s">
        <v>138</v>
      </c>
      <c r="AO2197" s="1505">
        <v>1446.0</v>
      </c>
      <c r="AP2197" s="1505">
        <v>0.07</v>
      </c>
      <c r="AQ2197" s="730" t="s">
        <v>722</v>
      </c>
      <c r="AR2197" s="730" t="s">
        <v>13271</v>
      </c>
      <c r="AS2197" s="1505">
        <v>0.015</v>
      </c>
      <c r="AT2197" s="730" t="s">
        <v>172</v>
      </c>
      <c r="AU2197" s="730" t="s">
        <v>186</v>
      </c>
      <c r="AV2197" s="720" t="s">
        <v>137</v>
      </c>
      <c r="AW2197" s="1973" t="s">
        <v>13263</v>
      </c>
      <c r="AX2197" s="2000" t="s">
        <v>151</v>
      </c>
      <c r="AY2197" s="61" t="str">
        <f>IFERROR(__xludf.DUMMYFUNCTION("vlookup(BB2197,importrange(""https://docs.google.com/spreadsheets/d/1d2vevQ_7D_v35q4wCQ4RpQ_IPoTwEMB9Yp6ymwlPqew/edit?gid=984458430#gid=984458430"", ""'replication success'!A:K""), 11, FAlSE)"),"mixed")</f>
        <v>mixed</v>
      </c>
      <c r="AZ2197" s="61" t="str">
        <f>IFERROR(__xludf.DUMMYFUNCTION("vlookup(BB2197,importrange(""https://docs.google.com/spreadsheets/d/1d2vevQ_7D_v35q4wCQ4RpQ_IPoTwEMB9Yp6ymwlPqew/edit?gid=984458430#gid=984458430"", ""'replication success'!A:M""), 12, FAlSE)"),"With online samples (N = 1446 and 2644) from MTurk and Prolific, we replicated earlier findings that
prosociality was associated with a greater level of secure attachment and a lower level of avoidant attachment. Moreover,
prosociality was positively re"&amp;"lated to the number of siblings, especially sisters, as discovered by Study 3 of the original study.
However, we failed to replicate the significant relation between SVO and age.")</f>
        <v>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v>
      </c>
      <c r="BA2197" s="61" t="str">
        <f>IFERROR(__xludf.DUMMYFUNCTION("vlookup(BB2197,importrange(""https://docs.google.com/spreadsheets/d/1d2vevQ_7D_v35q4wCQ4RpQ_IPoTwEMB9Yp6ymwlPqew/edit?gid=984458430#gid=984458430"", ""'replication success'!A:M""), 13, FAlSE)"),"abstract")</f>
        <v>abstract</v>
      </c>
      <c r="BB2197" s="61" t="str">
        <f>IFERROR(__xludf.DUMMYFUNCTION("REGEXREPLACE(G2197, ""_[a-z]{1,2}$"", """")"),"svodevelopment")</f>
        <v>svodevelopment</v>
      </c>
      <c r="BC2197" s="697"/>
      <c r="BD2197" s="716" t="s">
        <v>13264</v>
      </c>
      <c r="BE2197" s="342"/>
      <c r="BF2197" s="342"/>
      <c r="BG2197" s="342"/>
      <c r="BH2197" s="342"/>
      <c r="BI2197" s="342"/>
      <c r="BJ2197" s="342"/>
      <c r="BK2197" s="342"/>
      <c r="BL2197" s="342"/>
      <c r="BM2197" s="342"/>
      <c r="BN2197" s="342"/>
      <c r="BO2197" s="342"/>
      <c r="BP2197" s="342"/>
      <c r="BQ2197" s="342"/>
      <c r="BR2197" s="342"/>
      <c r="BS2197" s="342"/>
      <c r="BT2197" s="342"/>
      <c r="BU2197" s="342"/>
      <c r="BV2197" s="342"/>
      <c r="BW2197" s="342"/>
      <c r="BX2197" s="342"/>
      <c r="BY2197" s="342"/>
      <c r="BZ2197" s="342"/>
      <c r="CA2197" s="342"/>
      <c r="CB2197" s="342"/>
      <c r="CC2197" s="342"/>
      <c r="CD2197" s="342"/>
      <c r="CE2197" s="342"/>
      <c r="CF2197" s="342"/>
      <c r="CG2197" s="342"/>
      <c r="CH2197" s="342"/>
      <c r="CI2197" s="342"/>
      <c r="CJ2197" s="342"/>
      <c r="CK2197" s="342"/>
      <c r="CL2197" s="342"/>
      <c r="CM2197" s="342"/>
      <c r="CN2197" s="342"/>
      <c r="CO2197" s="342"/>
      <c r="CP2197" s="342"/>
      <c r="CQ2197" s="342"/>
      <c r="CR2197" s="342"/>
      <c r="CS2197" s="342"/>
      <c r="CT2197" s="342"/>
      <c r="CU2197" s="342"/>
      <c r="CV2197" s="342"/>
      <c r="CW2197" s="342"/>
      <c r="CX2197" s="342"/>
      <c r="CY2197" s="342"/>
      <c r="CZ2197" s="342"/>
      <c r="DA2197" s="342"/>
      <c r="DB2197" s="342"/>
      <c r="DC2197" s="342"/>
      <c r="DD2197" s="342"/>
      <c r="DE2197" s="342"/>
      <c r="DF2197" s="342"/>
      <c r="DG2197" s="342"/>
      <c r="DH2197" s="342"/>
      <c r="DI2197" s="342"/>
      <c r="DJ2197" s="342"/>
      <c r="DK2197" s="342"/>
      <c r="DL2197" s="342"/>
    </row>
    <row r="2198">
      <c r="A2198" s="44">
        <v>2198.0</v>
      </c>
      <c r="B2198" s="720" t="s">
        <v>114</v>
      </c>
      <c r="C2198" s="716" t="s">
        <v>115</v>
      </c>
      <c r="D2198" s="716" t="s">
        <v>990</v>
      </c>
      <c r="E2198" s="697"/>
      <c r="F2198" s="1428" t="s">
        <v>13384</v>
      </c>
      <c r="G2198" s="717" t="s">
        <v>13385</v>
      </c>
      <c r="H2198" s="717" t="s">
        <v>13386</v>
      </c>
      <c r="I2198" s="2003" t="s">
        <v>13387</v>
      </c>
      <c r="J2198" s="1506">
        <v>45833.0</v>
      </c>
      <c r="K2198" s="717" t="s">
        <v>138</v>
      </c>
      <c r="L2198" s="720" t="s">
        <v>13388</v>
      </c>
      <c r="M2198" s="717" t="s">
        <v>13255</v>
      </c>
      <c r="N2198" s="717" t="s">
        <v>9892</v>
      </c>
      <c r="O2198" s="1430">
        <v>1.0</v>
      </c>
      <c r="P2198" s="717" t="s">
        <v>13256</v>
      </c>
      <c r="Q2198" s="1507" t="str">
        <f t="array" ref="Q2198"> if(iserror(MATCH(V2198, 'File Links'!C:C, 0)), "N/A", HYPERLINK(INDEX('File Links'!B:B, MATCH(P2198, 'File Links'!C:C, 0))))</f>
        <v>https://drive.google.com/file/d/1FklynAHzflh7rbxQIU4qTxOz3VBhye8B/view?usp=drivesdk</v>
      </c>
      <c r="R2198" s="717" t="s">
        <v>13257</v>
      </c>
      <c r="S2198" s="717" t="s">
        <v>13258</v>
      </c>
      <c r="T2198" s="717" t="s">
        <v>138</v>
      </c>
      <c r="U2198" s="1430">
        <v>2.0</v>
      </c>
      <c r="V2198" s="717" t="s">
        <v>13259</v>
      </c>
      <c r="W2198" s="1428"/>
      <c r="X2198" s="1511" t="str">
        <f t="array" ref="X2198"> if(iserror(MATCH(V2198, 'File Links'!C:C, 0)), "N/A", HYPERLINK(INDEX('File Links'!B:B, MATCH(V2198, 'File Links'!C:C, 0))))</f>
        <v>https://drive.google.com/file/d/1hYNUJrx3yjyMoTgcG7Qz4pix-8ruWFMC/view?usp=drivesdk</v>
      </c>
      <c r="Y2198" s="717" t="s">
        <v>138</v>
      </c>
      <c r="Z2198" s="717" t="s">
        <v>226</v>
      </c>
      <c r="AA2198" s="717" t="s">
        <v>13260</v>
      </c>
      <c r="AB2198" s="717" t="s">
        <v>13389</v>
      </c>
      <c r="AC2198" s="717" t="s">
        <v>13390</v>
      </c>
      <c r="AD2198" s="717" t="s">
        <v>13391</v>
      </c>
      <c r="AE2198" s="1996">
        <v>6.0</v>
      </c>
      <c r="AF2198" s="2004">
        <v>101.0</v>
      </c>
      <c r="AG2198" s="1430">
        <v>0.183</v>
      </c>
      <c r="AH2198" s="717" t="s">
        <v>173</v>
      </c>
      <c r="AI2198" s="717" t="s">
        <v>1042</v>
      </c>
      <c r="AJ2198" s="1430">
        <v>0.05</v>
      </c>
      <c r="AK2198" s="717" t="s">
        <v>135</v>
      </c>
      <c r="AL2198" s="2005" t="s">
        <v>136</v>
      </c>
      <c r="AM2198" s="717" t="s">
        <v>137</v>
      </c>
      <c r="AN2198" s="717" t="s">
        <v>138</v>
      </c>
      <c r="AO2198" s="1430">
        <v>3762.0</v>
      </c>
      <c r="AP2198" s="1430">
        <v>1.12</v>
      </c>
      <c r="AQ2198" s="717" t="s">
        <v>722</v>
      </c>
      <c r="AR2198" s="717" t="s">
        <v>624</v>
      </c>
      <c r="AS2198" s="1430">
        <v>0.001</v>
      </c>
      <c r="AT2198" s="717" t="s">
        <v>172</v>
      </c>
      <c r="AU2198" s="2005" t="s">
        <v>136</v>
      </c>
      <c r="AV2198" s="717" t="s">
        <v>137</v>
      </c>
      <c r="AW2198" s="1973" t="s">
        <v>13263</v>
      </c>
      <c r="AX2198" s="717" t="s">
        <v>438</v>
      </c>
      <c r="AY2198" s="61" t="str">
        <f>IFERROR(__xludf.DUMMYFUNCTION("vlookup(BB2198,importrange(""https://docs.google.com/spreadsheets/d/1d2vevQ_7D_v35q4wCQ4RpQ_IPoTwEMB9Yp6ymwlPqew/edit?gid=984458430#gid=984458430"", ""'replication success'!A:K""), 11, FAlSE)"),"#N/A")</f>
        <v>#N/A</v>
      </c>
      <c r="AZ2198" s="61" t="str">
        <f>IFERROR(__xludf.DUMMYFUNCTION("vlookup(BB2198,importrange(""https://docs.google.com/spreadsheets/d/1d2vevQ_7D_v35q4wCQ4RpQ_IPoTwEMB9Yp6ymwlPqew/edit?gid=984458430#gid=984458430"", ""'replication success'!A:M""), 12, FAlSE)"),"#N/A")</f>
        <v>#N/A</v>
      </c>
      <c r="BA2198" s="61" t="str">
        <f>IFERROR(__xludf.DUMMYFUNCTION("vlookup(BB2198,importrange(""https://docs.google.com/spreadsheets/d/1d2vevQ_7D_v35q4wCQ4RpQ_IPoTwEMB9Yp6ymwlPqew/edit?gid=984458430#gid=984458430"", ""'replication success'!A:M""), 13, FAlSE)"),"#N/A")</f>
        <v>#N/A</v>
      </c>
      <c r="BB2198" s="61" t="str">
        <f>IFERROR(__xludf.DUMMYFUNCTION("REGEXREPLACE(G2198, ""_[a-z]{1,2}$"", """")"),"svodevelopment2")</f>
        <v>svodevelopment2</v>
      </c>
      <c r="BC2198" s="697"/>
      <c r="BD2198" s="716" t="s">
        <v>13264</v>
      </c>
      <c r="BE2198" s="342"/>
      <c r="BF2198" s="342"/>
      <c r="BG2198" s="342"/>
      <c r="BH2198" s="342"/>
      <c r="BI2198" s="342"/>
      <c r="BJ2198" s="342"/>
      <c r="BK2198" s="342"/>
      <c r="BL2198" s="342"/>
      <c r="BM2198" s="342"/>
      <c r="BN2198" s="342"/>
      <c r="BO2198" s="342"/>
      <c r="BP2198" s="342"/>
      <c r="BQ2198" s="342"/>
      <c r="BR2198" s="342"/>
      <c r="BS2198" s="342"/>
      <c r="BT2198" s="342"/>
      <c r="BU2198" s="342"/>
      <c r="BV2198" s="342"/>
      <c r="BW2198" s="342"/>
      <c r="BX2198" s="342"/>
      <c r="BY2198" s="342"/>
      <c r="BZ2198" s="342"/>
      <c r="CA2198" s="342"/>
      <c r="CB2198" s="342"/>
      <c r="CC2198" s="342"/>
      <c r="CD2198" s="342"/>
      <c r="CE2198" s="342"/>
      <c r="CF2198" s="342"/>
      <c r="CG2198" s="342"/>
      <c r="CH2198" s="342"/>
      <c r="CI2198" s="342"/>
      <c r="CJ2198" s="342"/>
      <c r="CK2198" s="342"/>
      <c r="CL2198" s="342"/>
      <c r="CM2198" s="342"/>
      <c r="CN2198" s="342"/>
      <c r="CO2198" s="342"/>
      <c r="CP2198" s="342"/>
      <c r="CQ2198" s="342"/>
      <c r="CR2198" s="342"/>
      <c r="CS2198" s="342"/>
      <c r="CT2198" s="342"/>
      <c r="CU2198" s="342"/>
      <c r="CV2198" s="342"/>
      <c r="CW2198" s="342"/>
      <c r="CX2198" s="342"/>
      <c r="CY2198" s="342"/>
      <c r="CZ2198" s="342"/>
      <c r="DA2198" s="342"/>
      <c r="DB2198" s="342"/>
      <c r="DC2198" s="342"/>
      <c r="DD2198" s="342"/>
      <c r="DE2198" s="342"/>
      <c r="DF2198" s="342"/>
      <c r="DG2198" s="342"/>
      <c r="DH2198" s="342"/>
      <c r="DI2198" s="342"/>
      <c r="DJ2198" s="342"/>
      <c r="DK2198" s="342"/>
      <c r="DL2198" s="342"/>
    </row>
    <row r="2199">
      <c r="A2199" s="44">
        <v>2199.0</v>
      </c>
      <c r="B2199" s="720" t="s">
        <v>590</v>
      </c>
      <c r="C2199" s="716" t="s">
        <v>115</v>
      </c>
      <c r="D2199" s="716" t="s">
        <v>176</v>
      </c>
      <c r="E2199" s="697"/>
      <c r="F2199" s="720" t="s">
        <v>13384</v>
      </c>
      <c r="G2199" s="720" t="s">
        <v>13385</v>
      </c>
      <c r="H2199" s="730" t="s">
        <v>7252</v>
      </c>
      <c r="I2199" s="1505" t="s">
        <v>13296</v>
      </c>
      <c r="J2199" s="1506">
        <v>45833.0</v>
      </c>
      <c r="K2199" s="717"/>
      <c r="L2199" s="720" t="s">
        <v>13392</v>
      </c>
      <c r="M2199" s="720" t="s">
        <v>13255</v>
      </c>
      <c r="N2199" s="720" t="s">
        <v>9892</v>
      </c>
      <c r="O2199" s="1510">
        <v>1.0</v>
      </c>
      <c r="P2199" s="730" t="s">
        <v>13256</v>
      </c>
      <c r="Q2199" s="1507" t="str">
        <f t="array" ref="Q2199"> if(iserror(MATCH(V2199, 'File Links'!C:C, 0)), "N/A", HYPERLINK(INDEX('File Links'!B:B, MATCH(P2199, 'File Links'!C:C, 0))))</f>
        <v>https://drive.google.com/file/d/1FklynAHzflh7rbxQIU4qTxOz3VBhye8B/view?usp=drivesdk</v>
      </c>
      <c r="R2199" s="1508" t="s">
        <v>13257</v>
      </c>
      <c r="S2199" s="720" t="s">
        <v>13258</v>
      </c>
      <c r="T2199" s="1509"/>
      <c r="U2199" s="1997"/>
      <c r="V2199" s="730" t="s">
        <v>13259</v>
      </c>
      <c r="W2199" s="730" t="s">
        <v>672</v>
      </c>
      <c r="X2199" s="1511" t="str">
        <f t="array" ref="X2199"> if(iserror(MATCH(V2199, 'File Links'!C:C, 0)), "N/A", HYPERLINK(INDEX('File Links'!B:B, MATCH(V2199, 'File Links'!C:C, 0))))</f>
        <v>https://drive.google.com/file/d/1hYNUJrx3yjyMoTgcG7Qz4pix-8ruWFMC/view?usp=drivesdk</v>
      </c>
      <c r="Y2199" s="1428"/>
      <c r="Z2199" s="730" t="s">
        <v>226</v>
      </c>
      <c r="AA2199" s="720" t="s">
        <v>13260</v>
      </c>
      <c r="AB2199" s="730" t="s">
        <v>13393</v>
      </c>
      <c r="AC2199" s="730" t="s">
        <v>13394</v>
      </c>
      <c r="AD2199" s="730" t="s">
        <v>13395</v>
      </c>
      <c r="AE2199" s="1996">
        <v>4.0</v>
      </c>
      <c r="AF2199" s="1972">
        <v>458.0</v>
      </c>
      <c r="AG2199" s="1505" t="s">
        <v>13396</v>
      </c>
      <c r="AH2199" s="730" t="s">
        <v>134</v>
      </c>
      <c r="AI2199" s="730" t="s">
        <v>496</v>
      </c>
      <c r="AJ2199" s="1505">
        <v>0.01</v>
      </c>
      <c r="AK2199" s="730" t="s">
        <v>135</v>
      </c>
      <c r="AL2199" s="730" t="s">
        <v>186</v>
      </c>
      <c r="AM2199" s="720" t="s">
        <v>141</v>
      </c>
      <c r="AN2199" s="1428"/>
      <c r="AO2199" s="1505">
        <v>2544.0</v>
      </c>
      <c r="AP2199" s="1430"/>
      <c r="AQ2199" s="717"/>
      <c r="AR2199" s="717"/>
      <c r="AS2199" s="1430"/>
      <c r="AT2199" s="717"/>
      <c r="AU2199" s="717"/>
      <c r="AV2199" s="1428"/>
      <c r="AW2199" s="1717"/>
      <c r="AX2199" s="720" t="s">
        <v>151</v>
      </c>
      <c r="AY2199" s="61" t="str">
        <f>IFERROR(__xludf.DUMMYFUNCTION("vlookup(BB2199,importrange(""https://docs.google.com/spreadsheets/d/1d2vevQ_7D_v35q4wCQ4RpQ_IPoTwEMB9Yp6ymwlPqew/edit?gid=984458430#gid=984458430"", ""'replication success'!A:K""), 11, FAlSE)"),"#N/A")</f>
        <v>#N/A</v>
      </c>
      <c r="AZ2199" s="61" t="str">
        <f>IFERROR(__xludf.DUMMYFUNCTION("vlookup(BB2199,importrange(""https://docs.google.com/spreadsheets/d/1d2vevQ_7D_v35q4wCQ4RpQ_IPoTwEMB9Yp6ymwlPqew/edit?gid=984458430#gid=984458430"", ""'replication success'!A:M""), 12, FAlSE)"),"#N/A")</f>
        <v>#N/A</v>
      </c>
      <c r="BA2199" s="61" t="str">
        <f>IFERROR(__xludf.DUMMYFUNCTION("vlookup(BB2199,importrange(""https://docs.google.com/spreadsheets/d/1d2vevQ_7D_v35q4wCQ4RpQ_IPoTwEMB9Yp6ymwlPqew/edit?gid=984458430#gid=984458430"", ""'replication success'!A:M""), 13, FAlSE)"),"#N/A")</f>
        <v>#N/A</v>
      </c>
      <c r="BB2199" s="61" t="str">
        <f>IFERROR(__xludf.DUMMYFUNCTION("REGEXREPLACE(G2199, ""_[a-z]{1,2}$"", """")"),"svodevelopment2")</f>
        <v>svodevelopment2</v>
      </c>
      <c r="BC2199" s="697"/>
      <c r="BD2199" s="716" t="s">
        <v>13264</v>
      </c>
      <c r="BE2199" s="342"/>
      <c r="BF2199" s="342"/>
      <c r="BG2199" s="342"/>
      <c r="BH2199" s="342"/>
      <c r="BI2199" s="342"/>
      <c r="BJ2199" s="342"/>
      <c r="BK2199" s="342"/>
      <c r="BL2199" s="342"/>
      <c r="BM2199" s="342"/>
      <c r="BN2199" s="342"/>
      <c r="BO2199" s="342"/>
      <c r="BP2199" s="342"/>
      <c r="BQ2199" s="342"/>
      <c r="BR2199" s="342"/>
      <c r="BS2199" s="342"/>
      <c r="BT2199" s="342"/>
      <c r="BU2199" s="342"/>
      <c r="BV2199" s="342"/>
      <c r="BW2199" s="342"/>
      <c r="BX2199" s="342"/>
      <c r="BY2199" s="342"/>
      <c r="BZ2199" s="342"/>
      <c r="CA2199" s="342"/>
      <c r="CB2199" s="342"/>
      <c r="CC2199" s="342"/>
      <c r="CD2199" s="342"/>
      <c r="CE2199" s="342"/>
      <c r="CF2199" s="342"/>
      <c r="CG2199" s="342"/>
      <c r="CH2199" s="342"/>
      <c r="CI2199" s="342"/>
      <c r="CJ2199" s="342"/>
      <c r="CK2199" s="342"/>
      <c r="CL2199" s="342"/>
      <c r="CM2199" s="342"/>
      <c r="CN2199" s="342"/>
      <c r="CO2199" s="342"/>
      <c r="CP2199" s="342"/>
      <c r="CQ2199" s="342"/>
      <c r="CR2199" s="342"/>
      <c r="CS2199" s="342"/>
      <c r="CT2199" s="342"/>
      <c r="CU2199" s="342"/>
      <c r="CV2199" s="342"/>
      <c r="CW2199" s="342"/>
      <c r="CX2199" s="342"/>
      <c r="CY2199" s="342"/>
      <c r="CZ2199" s="342"/>
      <c r="DA2199" s="342"/>
      <c r="DB2199" s="342"/>
      <c r="DC2199" s="342"/>
      <c r="DD2199" s="342"/>
      <c r="DE2199" s="342"/>
      <c r="DF2199" s="342"/>
      <c r="DG2199" s="342"/>
      <c r="DH2199" s="342"/>
      <c r="DI2199" s="342"/>
      <c r="DJ2199" s="342"/>
      <c r="DK2199" s="342"/>
      <c r="DL2199" s="342"/>
    </row>
    <row r="2200">
      <c r="A2200" s="44">
        <v>2200.0</v>
      </c>
      <c r="B2200" s="56" t="s">
        <v>523</v>
      </c>
      <c r="C2200" s="341" t="s">
        <v>115</v>
      </c>
      <c r="D2200" s="341" t="s">
        <v>990</v>
      </c>
      <c r="E2200" s="342"/>
      <c r="F2200" s="46" t="s">
        <v>13397</v>
      </c>
      <c r="G2200" s="360" t="s">
        <v>13385</v>
      </c>
      <c r="H2200" s="360" t="s">
        <v>13386</v>
      </c>
      <c r="I2200" s="1692" t="s">
        <v>13387</v>
      </c>
      <c r="J2200" s="1587"/>
      <c r="K2200" s="360" t="s">
        <v>138</v>
      </c>
      <c r="L2200" s="56" t="s">
        <v>13288</v>
      </c>
      <c r="M2200" s="360" t="s">
        <v>13255</v>
      </c>
      <c r="N2200" s="360" t="s">
        <v>9892</v>
      </c>
      <c r="O2200" s="357">
        <v>1.0</v>
      </c>
      <c r="P2200" s="360" t="s">
        <v>13256</v>
      </c>
      <c r="Q2200" s="104" t="str">
        <f t="array" ref="Q2200"> if(iserror(MATCH(V2200, 'File Links'!C:C, 0)), "N/A", HYPERLINK(INDEX('File Links'!B:B, MATCH(P2200, 'File Links'!C:C, 0))))</f>
        <v>https://drive.google.com/file/d/1FklynAHzflh7rbxQIU4qTxOz3VBhye8B/view?usp=drivesdk</v>
      </c>
      <c r="R2200" s="360" t="s">
        <v>13257</v>
      </c>
      <c r="S2200" s="360" t="s">
        <v>13258</v>
      </c>
      <c r="T2200" s="360" t="s">
        <v>138</v>
      </c>
      <c r="U2200" s="357">
        <v>2.0</v>
      </c>
      <c r="V2200" s="360" t="s">
        <v>13259</v>
      </c>
      <c r="W2200" s="46"/>
      <c r="X2200" s="54" t="str">
        <f t="array" ref="X2200"> if(iserror(MATCH(V2200, 'File Links'!C:C, 0)), "N/A", HYPERLINK(INDEX('File Links'!B:B, MATCH(V2200, 'File Links'!C:C, 0))))</f>
        <v>https://drive.google.com/file/d/1hYNUJrx3yjyMoTgcG7Qz4pix-8ruWFMC/view?usp=drivesdk</v>
      </c>
      <c r="Y2200" s="360" t="s">
        <v>138</v>
      </c>
      <c r="Z2200" s="360" t="s">
        <v>226</v>
      </c>
      <c r="AA2200" s="360" t="s">
        <v>13260</v>
      </c>
      <c r="AB2200" s="360" t="s">
        <v>13389</v>
      </c>
      <c r="AC2200" s="360" t="s">
        <v>13398</v>
      </c>
      <c r="AD2200" s="360" t="s">
        <v>13399</v>
      </c>
      <c r="AE2200" s="360" t="s">
        <v>1042</v>
      </c>
      <c r="AF2200" s="357">
        <v>85.0</v>
      </c>
      <c r="AG2200" s="357">
        <v>0.803</v>
      </c>
      <c r="AH2200" s="360" t="s">
        <v>173</v>
      </c>
      <c r="AI2200" s="360" t="s">
        <v>1042</v>
      </c>
      <c r="AJ2200" s="357">
        <v>0.05</v>
      </c>
      <c r="AK2200" s="360" t="s">
        <v>135</v>
      </c>
      <c r="AL2200" s="360" t="s">
        <v>136</v>
      </c>
      <c r="AM2200" s="360" t="s">
        <v>137</v>
      </c>
      <c r="AN2200" s="360" t="s">
        <v>138</v>
      </c>
      <c r="AO2200" s="357">
        <v>4090.0</v>
      </c>
      <c r="AP2200" s="357">
        <v>-0.04</v>
      </c>
      <c r="AQ2200" s="360" t="s">
        <v>722</v>
      </c>
      <c r="AR2200" s="360" t="s">
        <v>624</v>
      </c>
      <c r="AS2200" s="357">
        <v>0.02</v>
      </c>
      <c r="AT2200" s="360" t="s">
        <v>172</v>
      </c>
      <c r="AU2200" s="360" t="s">
        <v>136</v>
      </c>
      <c r="AV2200" s="360" t="s">
        <v>137</v>
      </c>
      <c r="AW2200" s="2006" t="s">
        <v>13263</v>
      </c>
      <c r="AX2200" s="360" t="s">
        <v>438</v>
      </c>
      <c r="AY2200" s="61" t="str">
        <f>IFERROR(__xludf.DUMMYFUNCTION("vlookup(BB2200,importrange(""https://docs.google.com/spreadsheets/d/1d2vevQ_7D_v35q4wCQ4RpQ_IPoTwEMB9Yp6ymwlPqew/edit?gid=984458430#gid=984458430"", ""'replication success'!A:K""), 11, FAlSE)"),"#N/A")</f>
        <v>#N/A</v>
      </c>
      <c r="AZ2200" s="61" t="str">
        <f>IFERROR(__xludf.DUMMYFUNCTION("vlookup(BB2200,importrange(""https://docs.google.com/spreadsheets/d/1d2vevQ_7D_v35q4wCQ4RpQ_IPoTwEMB9Yp6ymwlPqew/edit?gid=984458430#gid=984458430"", ""'replication success'!A:M""), 12, FAlSE)"),"#N/A")</f>
        <v>#N/A</v>
      </c>
      <c r="BA2200" s="61" t="str">
        <f>IFERROR(__xludf.DUMMYFUNCTION("vlookup(BB2200,importrange(""https://docs.google.com/spreadsheets/d/1d2vevQ_7D_v35q4wCQ4RpQ_IPoTwEMB9Yp6ymwlPqew/edit?gid=984458430#gid=984458430"", ""'replication success'!A:M""), 13, FAlSE)"),"#N/A")</f>
        <v>#N/A</v>
      </c>
      <c r="BB2200" s="61" t="str">
        <f>IFERROR(__xludf.DUMMYFUNCTION("REGEXREPLACE(G2200, ""_[a-z]{1,2}$"", """")"),"svodevelopment2")</f>
        <v>svodevelopment2</v>
      </c>
      <c r="BC2200" s="342"/>
      <c r="BD2200" s="1440" t="s">
        <v>13400</v>
      </c>
      <c r="BE2200" s="342"/>
      <c r="BF2200" s="342"/>
      <c r="BG2200" s="342"/>
      <c r="BH2200" s="342"/>
      <c r="BI2200" s="342"/>
      <c r="BJ2200" s="342"/>
      <c r="BK2200" s="342"/>
      <c r="BL2200" s="342"/>
      <c r="BM2200" s="342"/>
      <c r="BN2200" s="342"/>
      <c r="BO2200" s="342"/>
      <c r="BP2200" s="342"/>
      <c r="BQ2200" s="342"/>
      <c r="BR2200" s="342"/>
      <c r="BS2200" s="342"/>
      <c r="BT2200" s="342"/>
      <c r="BU2200" s="342"/>
      <c r="BV2200" s="342"/>
      <c r="BW2200" s="342"/>
      <c r="BX2200" s="342"/>
      <c r="BY2200" s="342"/>
      <c r="BZ2200" s="342"/>
      <c r="CA2200" s="342"/>
      <c r="CB2200" s="342"/>
      <c r="CC2200" s="342"/>
      <c r="CD2200" s="342"/>
      <c r="CE2200" s="342"/>
      <c r="CF2200" s="342"/>
      <c r="CG2200" s="342"/>
      <c r="CH2200" s="342"/>
      <c r="CI2200" s="342"/>
      <c r="CJ2200" s="342"/>
      <c r="CK2200" s="342"/>
      <c r="CL2200" s="342"/>
      <c r="CM2200" s="342"/>
      <c r="CN2200" s="342"/>
      <c r="CO2200" s="342"/>
      <c r="CP2200" s="342"/>
      <c r="CQ2200" s="342"/>
      <c r="CR2200" s="342"/>
      <c r="CS2200" s="342"/>
      <c r="CT2200" s="342"/>
      <c r="CU2200" s="342"/>
      <c r="CV2200" s="342"/>
      <c r="CW2200" s="342"/>
      <c r="CX2200" s="342"/>
      <c r="CY2200" s="342"/>
      <c r="CZ2200" s="342"/>
      <c r="DA2200" s="342"/>
      <c r="DB2200" s="342"/>
      <c r="DC2200" s="342"/>
      <c r="DD2200" s="342"/>
      <c r="DE2200" s="342"/>
      <c r="DF2200" s="342"/>
      <c r="DG2200" s="342"/>
      <c r="DH2200" s="342"/>
      <c r="DI2200" s="342"/>
      <c r="DJ2200" s="342"/>
      <c r="DK2200" s="342"/>
      <c r="DL2200" s="342"/>
    </row>
    <row r="2201">
      <c r="A2201" s="44">
        <v>2201.0</v>
      </c>
      <c r="B2201" s="129" t="s">
        <v>523</v>
      </c>
      <c r="C2201" s="62" t="s">
        <v>115</v>
      </c>
      <c r="D2201" s="62" t="s">
        <v>176</v>
      </c>
      <c r="F2201" s="129" t="s">
        <v>13397</v>
      </c>
      <c r="G2201" s="129" t="s">
        <v>13401</v>
      </c>
      <c r="H2201" s="151" t="s">
        <v>7252</v>
      </c>
      <c r="I2201" s="161" t="s">
        <v>13296</v>
      </c>
      <c r="J2201" s="1587"/>
      <c r="K2201" s="159"/>
      <c r="L2201" s="129" t="s">
        <v>13402</v>
      </c>
      <c r="M2201" s="129" t="s">
        <v>13255</v>
      </c>
      <c r="N2201" s="129" t="s">
        <v>9892</v>
      </c>
      <c r="O2201" s="501">
        <v>1.0</v>
      </c>
      <c r="P2201" s="309" t="s">
        <v>13256</v>
      </c>
      <c r="Q2201" s="52" t="str">
        <f t="array" ref="Q2201"> if(iserror(MATCH(V2201, 'File Links'!C:C, 0)), "N/A", HYPERLINK(INDEX('File Links'!B:B, MATCH(P2201, 'File Links'!C:C, 0))))</f>
        <v>https://drive.google.com/file/d/1FklynAHzflh7rbxQIU4qTxOz3VBhye8B/view?usp=drivesdk</v>
      </c>
      <c r="R2201" s="1697" t="s">
        <v>13257</v>
      </c>
      <c r="S2201" s="129" t="s">
        <v>13258</v>
      </c>
      <c r="T2201" s="1379"/>
      <c r="U2201" s="336"/>
      <c r="V2201" s="151" t="s">
        <v>13259</v>
      </c>
      <c r="W2201" s="151" t="s">
        <v>672</v>
      </c>
      <c r="X2201" s="54" t="str">
        <f t="array" ref="X2201"> if(iserror(MATCH(V2201, 'File Links'!C:C, 0)), "N/A", HYPERLINK(INDEX('File Links'!B:B, MATCH(V2201, 'File Links'!C:C, 0))))</f>
        <v>https://drive.google.com/file/d/1hYNUJrx3yjyMoTgcG7Qz4pix-8ruWFMC/view?usp=drivesdk</v>
      </c>
      <c r="Y2201" s="68"/>
      <c r="Z2201" s="151" t="s">
        <v>226</v>
      </c>
      <c r="AA2201" s="129" t="s">
        <v>13260</v>
      </c>
      <c r="AB2201" s="151" t="s">
        <v>13393</v>
      </c>
      <c r="AC2201" s="151" t="s">
        <v>13403</v>
      </c>
      <c r="AD2201" s="151" t="s">
        <v>13404</v>
      </c>
      <c r="AE2201" s="151" t="s">
        <v>882</v>
      </c>
      <c r="AF2201" s="161">
        <v>447.0</v>
      </c>
      <c r="AG2201" s="161" t="s">
        <v>13405</v>
      </c>
      <c r="AH2201" s="151" t="s">
        <v>134</v>
      </c>
      <c r="AI2201" s="151" t="s">
        <v>496</v>
      </c>
      <c r="AJ2201" s="161">
        <v>0.05</v>
      </c>
      <c r="AK2201" s="151" t="s">
        <v>135</v>
      </c>
      <c r="AL2201" s="151" t="s">
        <v>186</v>
      </c>
      <c r="AM2201" s="129" t="s">
        <v>137</v>
      </c>
      <c r="AN2201" s="68"/>
      <c r="AO2201" s="161">
        <v>2644.0</v>
      </c>
      <c r="AP2201" s="156"/>
      <c r="AQ2201" s="159"/>
      <c r="AR2201" s="151" t="s">
        <v>13406</v>
      </c>
      <c r="AS2201" s="156"/>
      <c r="AT2201" s="159"/>
      <c r="AU2201" s="159"/>
      <c r="AV2201" s="68"/>
      <c r="AW2201" s="435"/>
      <c r="AX2201" s="129" t="s">
        <v>151</v>
      </c>
      <c r="AY2201" s="61" t="str">
        <f>IFERROR(__xludf.DUMMYFUNCTION("vlookup(BB2201,importrange(""https://docs.google.com/spreadsheets/d/1d2vevQ_7D_v35q4wCQ4RpQ_IPoTwEMB9Yp6ymwlPqew/edit?gid=984458430#gid=984458430"", ""'replication success'!A:K""), 11, FAlSE)"),"#N/A")</f>
        <v>#N/A</v>
      </c>
      <c r="AZ2201" s="61" t="str">
        <f>IFERROR(__xludf.DUMMYFUNCTION("vlookup(BB2201,importrange(""https://docs.google.com/spreadsheets/d/1d2vevQ_7D_v35q4wCQ4RpQ_IPoTwEMB9Yp6ymwlPqew/edit?gid=984458430#gid=984458430"", ""'replication success'!A:M""), 12, FAlSE)"),"#N/A")</f>
        <v>#N/A</v>
      </c>
      <c r="BA2201" s="61" t="str">
        <f>IFERROR(__xludf.DUMMYFUNCTION("vlookup(BB2201,importrange(""https://docs.google.com/spreadsheets/d/1d2vevQ_7D_v35q4wCQ4RpQ_IPoTwEMB9Yp6ymwlPqew/edit?gid=984458430#gid=984458430"", ""'replication success'!A:M""), 13, FAlSE)"),"#N/A")</f>
        <v>#N/A</v>
      </c>
      <c r="BB2201" s="61" t="str">
        <f>IFERROR(__xludf.DUMMYFUNCTION("REGEXREPLACE(G2201, ""_[a-z]{1,2}$"", """")"),"svodevelopment2_1i")</f>
        <v>svodevelopment2_1i</v>
      </c>
      <c r="BD2201" s="1440" t="s">
        <v>13400</v>
      </c>
      <c r="BE2201" s="342"/>
      <c r="BF2201" s="342"/>
      <c r="BG2201" s="342"/>
      <c r="BH2201" s="342"/>
      <c r="BI2201" s="342"/>
      <c r="BJ2201" s="342"/>
      <c r="BK2201" s="342"/>
      <c r="BL2201" s="342"/>
      <c r="BM2201" s="342"/>
      <c r="BN2201" s="342"/>
      <c r="BO2201" s="342"/>
      <c r="BP2201" s="342"/>
      <c r="BQ2201" s="342"/>
      <c r="BR2201" s="342"/>
      <c r="BS2201" s="342"/>
      <c r="BT2201" s="342"/>
      <c r="BU2201" s="342"/>
      <c r="BV2201" s="342"/>
      <c r="BW2201" s="342"/>
      <c r="BX2201" s="342"/>
      <c r="BY2201" s="342"/>
      <c r="BZ2201" s="342"/>
      <c r="CA2201" s="342"/>
      <c r="CB2201" s="342"/>
      <c r="CC2201" s="342"/>
      <c r="CD2201" s="342"/>
      <c r="CE2201" s="342"/>
      <c r="CF2201" s="342"/>
      <c r="CG2201" s="342"/>
      <c r="CH2201" s="342"/>
      <c r="CI2201" s="342"/>
      <c r="CJ2201" s="342"/>
      <c r="CK2201" s="342"/>
      <c r="CL2201" s="342"/>
      <c r="CM2201" s="342"/>
      <c r="CN2201" s="342"/>
      <c r="CO2201" s="342"/>
      <c r="CP2201" s="342"/>
      <c r="CQ2201" s="342"/>
      <c r="CR2201" s="342"/>
      <c r="CS2201" s="342"/>
      <c r="CT2201" s="342"/>
      <c r="CU2201" s="342"/>
      <c r="CV2201" s="342"/>
      <c r="CW2201" s="342"/>
      <c r="CX2201" s="342"/>
      <c r="CY2201" s="342"/>
      <c r="CZ2201" s="342"/>
      <c r="DA2201" s="342"/>
      <c r="DB2201" s="342"/>
      <c r="DC2201" s="342"/>
      <c r="DD2201" s="342"/>
      <c r="DE2201" s="342"/>
      <c r="DF2201" s="342"/>
      <c r="DG2201" s="342"/>
      <c r="DH2201" s="342"/>
      <c r="DI2201" s="342"/>
      <c r="DJ2201" s="342"/>
      <c r="DK2201" s="342"/>
      <c r="DL2201" s="342"/>
    </row>
    <row r="2202">
      <c r="A2202" s="44">
        <v>2202.0</v>
      </c>
      <c r="B2202" s="129" t="s">
        <v>523</v>
      </c>
      <c r="C2202" s="62" t="s">
        <v>115</v>
      </c>
      <c r="D2202" s="62" t="s">
        <v>990</v>
      </c>
      <c r="F2202" s="68" t="s">
        <v>13407</v>
      </c>
      <c r="G2202" s="159" t="s">
        <v>13385</v>
      </c>
      <c r="H2202" s="159" t="s">
        <v>13386</v>
      </c>
      <c r="I2202" s="1287" t="s">
        <v>13387</v>
      </c>
      <c r="J2202" s="1587"/>
      <c r="K2202" s="159" t="s">
        <v>138</v>
      </c>
      <c r="L2202" s="56" t="s">
        <v>13288</v>
      </c>
      <c r="M2202" s="159" t="s">
        <v>13255</v>
      </c>
      <c r="N2202" s="159" t="s">
        <v>9892</v>
      </c>
      <c r="O2202" s="156">
        <v>1.0</v>
      </c>
      <c r="P2202" s="382" t="s">
        <v>13256</v>
      </c>
      <c r="Q2202" s="52" t="str">
        <f t="array" ref="Q2202"> if(iserror(MATCH(V2202, 'File Links'!C:C, 0)), "N/A", HYPERLINK(INDEX('File Links'!B:B, MATCH(P2202, 'File Links'!C:C, 0))))</f>
        <v>https://drive.google.com/file/d/1FklynAHzflh7rbxQIU4qTxOz3VBhye8B/view?usp=drivesdk</v>
      </c>
      <c r="R2202" s="159" t="s">
        <v>13257</v>
      </c>
      <c r="S2202" s="159" t="s">
        <v>13258</v>
      </c>
      <c r="T2202" s="159" t="s">
        <v>138</v>
      </c>
      <c r="U2202" s="156">
        <v>2.0</v>
      </c>
      <c r="V2202" s="382" t="s">
        <v>13259</v>
      </c>
      <c r="W2202" s="1228"/>
      <c r="X2202" s="54" t="str">
        <f t="array" ref="X2202"> if(iserror(MATCH(V2202, 'File Links'!C:C, 0)), "N/A", HYPERLINK(INDEX('File Links'!B:B, MATCH(V2202, 'File Links'!C:C, 0))))</f>
        <v>https://drive.google.com/file/d/1hYNUJrx3yjyMoTgcG7Qz4pix-8ruWFMC/view?usp=drivesdk</v>
      </c>
      <c r="Y2202" s="159" t="s">
        <v>138</v>
      </c>
      <c r="Z2202" s="159" t="s">
        <v>226</v>
      </c>
      <c r="AA2202" s="159" t="s">
        <v>13260</v>
      </c>
      <c r="AB2202" s="159" t="s">
        <v>13389</v>
      </c>
      <c r="AC2202" s="159" t="s">
        <v>13408</v>
      </c>
      <c r="AD2202" s="159" t="s">
        <v>13399</v>
      </c>
      <c r="AE2202" s="159" t="s">
        <v>1042</v>
      </c>
      <c r="AF2202" s="156">
        <v>85.0</v>
      </c>
      <c r="AG2202" s="156">
        <v>0.803</v>
      </c>
      <c r="AH2202" s="159" t="s">
        <v>173</v>
      </c>
      <c r="AI2202" s="159" t="s">
        <v>1042</v>
      </c>
      <c r="AJ2202" s="156">
        <v>0.05</v>
      </c>
      <c r="AK2202" s="159" t="s">
        <v>135</v>
      </c>
      <c r="AL2202" s="159" t="s">
        <v>136</v>
      </c>
      <c r="AM2202" s="159" t="s">
        <v>137</v>
      </c>
      <c r="AN2202" s="159" t="s">
        <v>138</v>
      </c>
      <c r="AO2202" s="156">
        <v>4090.0</v>
      </c>
      <c r="AP2202" s="156">
        <v>-0.2</v>
      </c>
      <c r="AQ2202" s="159" t="s">
        <v>722</v>
      </c>
      <c r="AR2202" s="159" t="s">
        <v>624</v>
      </c>
      <c r="AS2202" s="156">
        <v>0.259</v>
      </c>
      <c r="AT2202" s="159" t="s">
        <v>172</v>
      </c>
      <c r="AU2202" s="159" t="s">
        <v>136</v>
      </c>
      <c r="AV2202" s="159" t="s">
        <v>137</v>
      </c>
      <c r="AW2202" s="2007" t="s">
        <v>13263</v>
      </c>
      <c r="AX2202" s="159" t="s">
        <v>438</v>
      </c>
      <c r="AY2202" s="61" t="str">
        <f>IFERROR(__xludf.DUMMYFUNCTION("vlookup(BB2202,importrange(""https://docs.google.com/spreadsheets/d/1d2vevQ_7D_v35q4wCQ4RpQ_IPoTwEMB9Yp6ymwlPqew/edit?gid=984458430#gid=984458430"", ""'replication success'!A:K""), 11, FAlSE)"),"#N/A")</f>
        <v>#N/A</v>
      </c>
      <c r="AZ2202" s="61" t="str">
        <f>IFERROR(__xludf.DUMMYFUNCTION("vlookup(BB2202,importrange(""https://docs.google.com/spreadsheets/d/1d2vevQ_7D_v35q4wCQ4RpQ_IPoTwEMB9Yp6ymwlPqew/edit?gid=984458430#gid=984458430"", ""'replication success'!A:M""), 12, FAlSE)"),"#N/A")</f>
        <v>#N/A</v>
      </c>
      <c r="BA2202" s="61" t="str">
        <f>IFERROR(__xludf.DUMMYFUNCTION("vlookup(BB2202,importrange(""https://docs.google.com/spreadsheets/d/1d2vevQ_7D_v35q4wCQ4RpQ_IPoTwEMB9Yp6ymwlPqew/edit?gid=984458430#gid=984458430"", ""'replication success'!A:M""), 13, FAlSE)"),"#N/A")</f>
        <v>#N/A</v>
      </c>
      <c r="BB2202" s="61" t="str">
        <f>IFERROR(__xludf.DUMMYFUNCTION("REGEXREPLACE(G2202, ""_[a-z]{1,2}$"", """")"),"svodevelopment2")</f>
        <v>svodevelopment2</v>
      </c>
      <c r="BD2202" s="1440" t="s">
        <v>13400</v>
      </c>
      <c r="BE2202" s="342"/>
      <c r="BF2202" s="342"/>
      <c r="BG2202" s="342"/>
      <c r="BH2202" s="342"/>
      <c r="BI2202" s="342"/>
      <c r="BJ2202" s="342"/>
      <c r="BK2202" s="342"/>
      <c r="BL2202" s="342"/>
      <c r="BM2202" s="342"/>
      <c r="BN2202" s="342"/>
      <c r="BO2202" s="342"/>
      <c r="BP2202" s="342"/>
      <c r="BQ2202" s="342"/>
      <c r="BR2202" s="342"/>
      <c r="BS2202" s="342"/>
      <c r="BT2202" s="342"/>
      <c r="BU2202" s="342"/>
      <c r="BV2202" s="342"/>
      <c r="BW2202" s="342"/>
      <c r="BX2202" s="342"/>
      <c r="BY2202" s="342"/>
      <c r="BZ2202" s="342"/>
      <c r="CA2202" s="342"/>
      <c r="CB2202" s="342"/>
      <c r="CC2202" s="342"/>
      <c r="CD2202" s="342"/>
      <c r="CE2202" s="342"/>
      <c r="CF2202" s="342"/>
      <c r="CG2202" s="342"/>
      <c r="CH2202" s="342"/>
      <c r="CI2202" s="342"/>
      <c r="CJ2202" s="342"/>
      <c r="CK2202" s="342"/>
      <c r="CL2202" s="342"/>
      <c r="CM2202" s="342"/>
      <c r="CN2202" s="342"/>
      <c r="CO2202" s="342"/>
      <c r="CP2202" s="342"/>
      <c r="CQ2202" s="342"/>
      <c r="CR2202" s="342"/>
      <c r="CS2202" s="342"/>
      <c r="CT2202" s="342"/>
      <c r="CU2202" s="342"/>
      <c r="CV2202" s="342"/>
      <c r="CW2202" s="342"/>
      <c r="CX2202" s="342"/>
      <c r="CY2202" s="342"/>
      <c r="CZ2202" s="342"/>
      <c r="DA2202" s="342"/>
      <c r="DB2202" s="342"/>
      <c r="DC2202" s="342"/>
      <c r="DD2202" s="342"/>
      <c r="DE2202" s="342"/>
      <c r="DF2202" s="342"/>
      <c r="DG2202" s="342"/>
      <c r="DH2202" s="342"/>
      <c r="DI2202" s="342"/>
      <c r="DJ2202" s="342"/>
      <c r="DK2202" s="342"/>
      <c r="DL2202" s="342"/>
    </row>
    <row r="2203">
      <c r="A2203" s="44">
        <v>2203.0</v>
      </c>
      <c r="B2203" s="129" t="s">
        <v>523</v>
      </c>
      <c r="C2203" s="62" t="s">
        <v>115</v>
      </c>
      <c r="D2203" s="62" t="s">
        <v>176</v>
      </c>
      <c r="F2203" s="129" t="s">
        <v>13407</v>
      </c>
      <c r="G2203" s="129" t="s">
        <v>13409</v>
      </c>
      <c r="H2203" s="151" t="s">
        <v>7252</v>
      </c>
      <c r="I2203" s="161" t="s">
        <v>13296</v>
      </c>
      <c r="J2203" s="1587"/>
      <c r="K2203" s="159"/>
      <c r="L2203" s="129" t="s">
        <v>13410</v>
      </c>
      <c r="M2203" s="129" t="s">
        <v>13255</v>
      </c>
      <c r="N2203" s="129" t="s">
        <v>9892</v>
      </c>
      <c r="O2203" s="501">
        <v>1.0</v>
      </c>
      <c r="P2203" s="309" t="s">
        <v>13256</v>
      </c>
      <c r="Q2203" s="52" t="str">
        <f t="array" ref="Q2203"> if(iserror(MATCH(V2203, 'File Links'!C:C, 0)), "N/A", HYPERLINK(INDEX('File Links'!B:B, MATCH(P2203, 'File Links'!C:C, 0))))</f>
        <v>https://drive.google.com/file/d/1FklynAHzflh7rbxQIU4qTxOz3VBhye8B/view?usp=drivesdk</v>
      </c>
      <c r="R2203" s="1697" t="s">
        <v>13257</v>
      </c>
      <c r="S2203" s="129" t="s">
        <v>13258</v>
      </c>
      <c r="T2203" s="1379"/>
      <c r="U2203" s="336"/>
      <c r="V2203" s="151" t="s">
        <v>13259</v>
      </c>
      <c r="W2203" s="151" t="s">
        <v>672</v>
      </c>
      <c r="X2203" s="54" t="str">
        <f t="array" ref="X2203"> if(iserror(MATCH(V2203, 'File Links'!C:C, 0)), "N/A", HYPERLINK(INDEX('File Links'!B:B, MATCH(V2203, 'File Links'!C:C, 0))))</f>
        <v>https://drive.google.com/file/d/1hYNUJrx3yjyMoTgcG7Qz4pix-8ruWFMC/view?usp=drivesdk</v>
      </c>
      <c r="Y2203" s="68"/>
      <c r="Z2203" s="151" t="s">
        <v>226</v>
      </c>
      <c r="AA2203" s="129" t="s">
        <v>13260</v>
      </c>
      <c r="AB2203" s="151" t="s">
        <v>13393</v>
      </c>
      <c r="AC2203" s="151" t="s">
        <v>13411</v>
      </c>
      <c r="AD2203" s="151" t="s">
        <v>13412</v>
      </c>
      <c r="AE2203" s="151" t="s">
        <v>882</v>
      </c>
      <c r="AF2203" s="161">
        <v>447.0</v>
      </c>
      <c r="AG2203" s="156"/>
      <c r="AH2203" s="159"/>
      <c r="AI2203" s="151" t="s">
        <v>496</v>
      </c>
      <c r="AJ2203" s="156"/>
      <c r="AK2203" s="159"/>
      <c r="AL2203" s="159"/>
      <c r="AM2203" s="68"/>
      <c r="AN2203" s="68"/>
      <c r="AO2203" s="161">
        <v>2644.0</v>
      </c>
      <c r="AP2203" s="156"/>
      <c r="AQ2203" s="159"/>
      <c r="AR2203" s="151" t="s">
        <v>13406</v>
      </c>
      <c r="AS2203" s="156"/>
      <c r="AT2203" s="159"/>
      <c r="AU2203" s="159"/>
      <c r="AV2203" s="68"/>
      <c r="AW2203" s="435"/>
      <c r="AX2203" s="129" t="s">
        <v>151</v>
      </c>
      <c r="AY2203" s="61" t="str">
        <f>IFERROR(__xludf.DUMMYFUNCTION("vlookup(BB2203,importrange(""https://docs.google.com/spreadsheets/d/1d2vevQ_7D_v35q4wCQ4RpQ_IPoTwEMB9Yp6ymwlPqew/edit?gid=984458430#gid=984458430"", ""'replication success'!A:K""), 11, FAlSE)"),"#N/A")</f>
        <v>#N/A</v>
      </c>
      <c r="AZ2203" s="61" t="str">
        <f>IFERROR(__xludf.DUMMYFUNCTION("vlookup(BB2203,importrange(""https://docs.google.com/spreadsheets/d/1d2vevQ_7D_v35q4wCQ4RpQ_IPoTwEMB9Yp6ymwlPqew/edit?gid=984458430#gid=984458430"", ""'replication success'!A:M""), 12, FAlSE)"),"#N/A")</f>
        <v>#N/A</v>
      </c>
      <c r="BA2203" s="61" t="str">
        <f>IFERROR(__xludf.DUMMYFUNCTION("vlookup(BB2203,importrange(""https://docs.google.com/spreadsheets/d/1d2vevQ_7D_v35q4wCQ4RpQ_IPoTwEMB9Yp6ymwlPqew/edit?gid=984458430#gid=984458430"", ""'replication success'!A:M""), 13, FAlSE)"),"#N/A")</f>
        <v>#N/A</v>
      </c>
      <c r="BB2203" s="61" t="str">
        <f>IFERROR(__xludf.DUMMYFUNCTION("REGEXREPLACE(G2203, ""_[a-z]{1,2}$"", """")"),"svodevelopment2_1j")</f>
        <v>svodevelopment2_1j</v>
      </c>
      <c r="BD2203" s="1440" t="s">
        <v>13400</v>
      </c>
    </row>
    <row r="2204">
      <c r="A2204" s="44">
        <v>2204.0</v>
      </c>
      <c r="B2204" s="129" t="s">
        <v>523</v>
      </c>
      <c r="C2204" s="62" t="s">
        <v>115</v>
      </c>
      <c r="D2204" s="62" t="s">
        <v>990</v>
      </c>
      <c r="F2204" s="68" t="s">
        <v>13413</v>
      </c>
      <c r="G2204" s="159" t="s">
        <v>13385</v>
      </c>
      <c r="H2204" s="159" t="s">
        <v>13386</v>
      </c>
      <c r="I2204" s="1287" t="s">
        <v>13387</v>
      </c>
      <c r="J2204" s="1587"/>
      <c r="K2204" s="159" t="s">
        <v>138</v>
      </c>
      <c r="L2204" s="56" t="s">
        <v>13288</v>
      </c>
      <c r="M2204" s="159" t="s">
        <v>13255</v>
      </c>
      <c r="N2204" s="159" t="s">
        <v>9892</v>
      </c>
      <c r="O2204" s="156">
        <v>1.0</v>
      </c>
      <c r="P2204" s="382" t="s">
        <v>13256</v>
      </c>
      <c r="Q2204" s="52" t="str">
        <f t="array" ref="Q2204"> if(iserror(MATCH(V2204, 'File Links'!C:C, 0)), "N/A", HYPERLINK(INDEX('File Links'!B:B, MATCH(P2204, 'File Links'!C:C, 0))))</f>
        <v>https://drive.google.com/file/d/1FklynAHzflh7rbxQIU4qTxOz3VBhye8B/view?usp=drivesdk</v>
      </c>
      <c r="R2204" s="159" t="s">
        <v>13257</v>
      </c>
      <c r="S2204" s="159" t="s">
        <v>13258</v>
      </c>
      <c r="T2204" s="159" t="s">
        <v>138</v>
      </c>
      <c r="U2204" s="156">
        <v>2.0</v>
      </c>
      <c r="V2204" s="382" t="s">
        <v>13259</v>
      </c>
      <c r="W2204" s="1228"/>
      <c r="X2204" s="54" t="str">
        <f t="array" ref="X2204"> if(iserror(MATCH(V2204, 'File Links'!C:C, 0)), "N/A", HYPERLINK(INDEX('File Links'!B:B, MATCH(V2204, 'File Links'!C:C, 0))))</f>
        <v>https://drive.google.com/file/d/1hYNUJrx3yjyMoTgcG7Qz4pix-8ruWFMC/view?usp=drivesdk</v>
      </c>
      <c r="Y2204" s="159" t="s">
        <v>138</v>
      </c>
      <c r="Z2204" s="159" t="s">
        <v>226</v>
      </c>
      <c r="AA2204" s="159" t="s">
        <v>13260</v>
      </c>
      <c r="AB2204" s="159" t="s">
        <v>13389</v>
      </c>
      <c r="AC2204" s="159" t="s">
        <v>13414</v>
      </c>
      <c r="AD2204" s="159" t="s">
        <v>13399</v>
      </c>
      <c r="AE2204" s="159" t="s">
        <v>1042</v>
      </c>
      <c r="AF2204" s="156">
        <v>85.0</v>
      </c>
      <c r="AG2204" s="156">
        <v>0.803</v>
      </c>
      <c r="AH2204" s="159" t="s">
        <v>173</v>
      </c>
      <c r="AI2204" s="159" t="s">
        <v>1042</v>
      </c>
      <c r="AJ2204" s="156">
        <v>0.05</v>
      </c>
      <c r="AK2204" s="159" t="s">
        <v>135</v>
      </c>
      <c r="AL2204" s="159" t="s">
        <v>136</v>
      </c>
      <c r="AM2204" s="159" t="s">
        <v>137</v>
      </c>
      <c r="AN2204" s="159" t="s">
        <v>138</v>
      </c>
      <c r="AO2204" s="156">
        <v>4090.0</v>
      </c>
      <c r="AP2204" s="156">
        <v>-0.02</v>
      </c>
      <c r="AQ2204" s="159" t="s">
        <v>722</v>
      </c>
      <c r="AR2204" s="159" t="s">
        <v>624</v>
      </c>
      <c r="AS2204" s="156">
        <v>0.162</v>
      </c>
      <c r="AT2204" s="159" t="s">
        <v>172</v>
      </c>
      <c r="AU2204" s="159" t="s">
        <v>136</v>
      </c>
      <c r="AV2204" s="159" t="s">
        <v>137</v>
      </c>
      <c r="AW2204" s="2007" t="s">
        <v>13263</v>
      </c>
      <c r="AX2204" s="159" t="s">
        <v>438</v>
      </c>
      <c r="AY2204" s="61" t="str">
        <f>IFERROR(__xludf.DUMMYFUNCTION("vlookup(BB2204,importrange(""https://docs.google.com/spreadsheets/d/1d2vevQ_7D_v35q4wCQ4RpQ_IPoTwEMB9Yp6ymwlPqew/edit?gid=984458430#gid=984458430"", ""'replication success'!A:K""), 11, FAlSE)"),"#N/A")</f>
        <v>#N/A</v>
      </c>
      <c r="AZ2204" s="61" t="str">
        <f>IFERROR(__xludf.DUMMYFUNCTION("vlookup(BB2204,importrange(""https://docs.google.com/spreadsheets/d/1d2vevQ_7D_v35q4wCQ4RpQ_IPoTwEMB9Yp6ymwlPqew/edit?gid=984458430#gid=984458430"", ""'replication success'!A:M""), 12, FAlSE)"),"#N/A")</f>
        <v>#N/A</v>
      </c>
      <c r="BA2204" s="61" t="str">
        <f>IFERROR(__xludf.DUMMYFUNCTION("vlookup(BB2204,importrange(""https://docs.google.com/spreadsheets/d/1d2vevQ_7D_v35q4wCQ4RpQ_IPoTwEMB9Yp6ymwlPqew/edit?gid=984458430#gid=984458430"", ""'replication success'!A:M""), 13, FAlSE)"),"#N/A")</f>
        <v>#N/A</v>
      </c>
      <c r="BB2204" s="61" t="str">
        <f>IFERROR(__xludf.DUMMYFUNCTION("REGEXREPLACE(G2204, ""_[a-z]{1,2}$"", """")"),"svodevelopment2")</f>
        <v>svodevelopment2</v>
      </c>
      <c r="BD2204" s="1440" t="s">
        <v>13400</v>
      </c>
    </row>
    <row r="2205">
      <c r="A2205" s="44">
        <v>2205.0</v>
      </c>
      <c r="B2205" s="129" t="s">
        <v>523</v>
      </c>
      <c r="C2205" s="62" t="s">
        <v>115</v>
      </c>
      <c r="D2205" s="62" t="s">
        <v>176</v>
      </c>
      <c r="F2205" s="129" t="s">
        <v>13413</v>
      </c>
      <c r="G2205" s="129" t="s">
        <v>13415</v>
      </c>
      <c r="H2205" s="151" t="s">
        <v>7252</v>
      </c>
      <c r="I2205" s="161" t="s">
        <v>13296</v>
      </c>
      <c r="J2205" s="1587"/>
      <c r="K2205" s="159"/>
      <c r="L2205" s="129" t="s">
        <v>13410</v>
      </c>
      <c r="M2205" s="129" t="s">
        <v>13255</v>
      </c>
      <c r="N2205" s="129" t="s">
        <v>9892</v>
      </c>
      <c r="O2205" s="501">
        <v>3.0</v>
      </c>
      <c r="P2205" s="309" t="s">
        <v>13256</v>
      </c>
      <c r="Q2205" s="52" t="str">
        <f t="array" ref="Q2205"> if(iserror(MATCH(V2205, 'File Links'!C:C, 0)), "N/A", HYPERLINK(INDEX('File Links'!B:B, MATCH(P2205, 'File Links'!C:C, 0))))</f>
        <v>https://drive.google.com/file/d/1FklynAHzflh7rbxQIU4qTxOz3VBhye8B/view?usp=drivesdk</v>
      </c>
      <c r="R2205" s="1697" t="s">
        <v>13257</v>
      </c>
      <c r="S2205" s="129" t="s">
        <v>13258</v>
      </c>
      <c r="T2205" s="1379"/>
      <c r="U2205" s="336"/>
      <c r="V2205" s="151" t="s">
        <v>13259</v>
      </c>
      <c r="W2205" s="159"/>
      <c r="X2205" s="54" t="str">
        <f t="array" ref="X2205"> if(iserror(MATCH(V2205, 'File Links'!C:C, 0)), "N/A", HYPERLINK(INDEX('File Links'!B:B, MATCH(V2205, 'File Links'!C:C, 0))))</f>
        <v>https://drive.google.com/file/d/1hYNUJrx3yjyMoTgcG7Qz4pix-8ruWFMC/view?usp=drivesdk</v>
      </c>
      <c r="Y2205" s="68"/>
      <c r="Z2205" s="151" t="s">
        <v>226</v>
      </c>
      <c r="AA2205" s="129" t="s">
        <v>13260</v>
      </c>
      <c r="AB2205" s="151" t="s">
        <v>13393</v>
      </c>
      <c r="AC2205" s="151" t="s">
        <v>13416</v>
      </c>
      <c r="AD2205" s="151" t="s">
        <v>13417</v>
      </c>
      <c r="AE2205" s="151" t="s">
        <v>4979</v>
      </c>
      <c r="AF2205" s="161">
        <v>544.0</v>
      </c>
      <c r="AG2205" s="161" t="s">
        <v>9901</v>
      </c>
      <c r="AH2205" s="151" t="s">
        <v>134</v>
      </c>
      <c r="AI2205" s="151" t="s">
        <v>4979</v>
      </c>
      <c r="AJ2205" s="161">
        <v>0.01</v>
      </c>
      <c r="AK2205" s="151" t="s">
        <v>135</v>
      </c>
      <c r="AL2205" s="151" t="s">
        <v>186</v>
      </c>
      <c r="AM2205" s="129" t="s">
        <v>137</v>
      </c>
      <c r="AN2205" s="68"/>
      <c r="AO2205" s="161">
        <v>2644.0</v>
      </c>
      <c r="AP2205" s="161">
        <v>2.73</v>
      </c>
      <c r="AQ2205" s="151" t="s">
        <v>134</v>
      </c>
      <c r="AR2205" s="151" t="s">
        <v>13406</v>
      </c>
      <c r="AS2205" s="161">
        <v>0.006</v>
      </c>
      <c r="AT2205" s="151" t="s">
        <v>172</v>
      </c>
      <c r="AU2205" s="151" t="s">
        <v>186</v>
      </c>
      <c r="AV2205" s="129" t="s">
        <v>137</v>
      </c>
      <c r="AW2205" s="435"/>
      <c r="AX2205" s="129" t="s">
        <v>151</v>
      </c>
      <c r="AY2205" s="61" t="str">
        <f>IFERROR(__xludf.DUMMYFUNCTION("vlookup(BB2205,importrange(""https://docs.google.com/spreadsheets/d/1d2vevQ_7D_v35q4wCQ4RpQ_IPoTwEMB9Yp6ymwlPqew/edit?gid=984458430#gid=984458430"", ""'replication success'!A:K""), 11, FAlSE)"),"#N/A")</f>
        <v>#N/A</v>
      </c>
      <c r="AZ2205" s="61" t="str">
        <f>IFERROR(__xludf.DUMMYFUNCTION("vlookup(BB2205,importrange(""https://docs.google.com/spreadsheets/d/1d2vevQ_7D_v35q4wCQ4RpQ_IPoTwEMB9Yp6ymwlPqew/edit?gid=984458430#gid=984458430"", ""'replication success'!A:M""), 12, FAlSE)"),"#N/A")</f>
        <v>#N/A</v>
      </c>
      <c r="BA2205" s="61" t="str">
        <f>IFERROR(__xludf.DUMMYFUNCTION("vlookup(BB2205,importrange(""https://docs.google.com/spreadsheets/d/1d2vevQ_7D_v35q4wCQ4RpQ_IPoTwEMB9Yp6ymwlPqew/edit?gid=984458430#gid=984458430"", ""'replication success'!A:M""), 13, FAlSE)"),"#N/A")</f>
        <v>#N/A</v>
      </c>
      <c r="BB2205" s="61" t="str">
        <f>IFERROR(__xludf.DUMMYFUNCTION("REGEXREPLACE(G2205, ""_[a-z]{1,2}$"", """")"),"svodevelopment2_3")</f>
        <v>svodevelopment2_3</v>
      </c>
      <c r="BD2205" s="1440" t="s">
        <v>13400</v>
      </c>
    </row>
    <row r="2206">
      <c r="A2206" s="44">
        <v>2206.0</v>
      </c>
      <c r="B2206" s="129" t="s">
        <v>523</v>
      </c>
      <c r="C2206" s="62" t="s">
        <v>115</v>
      </c>
      <c r="D2206" s="62" t="s">
        <v>990</v>
      </c>
      <c r="F2206" s="68" t="s">
        <v>13418</v>
      </c>
      <c r="G2206" s="159" t="s">
        <v>13385</v>
      </c>
      <c r="H2206" s="159" t="s">
        <v>13386</v>
      </c>
      <c r="I2206" s="1287" t="s">
        <v>13387</v>
      </c>
      <c r="J2206" s="1587"/>
      <c r="K2206" s="159" t="s">
        <v>138</v>
      </c>
      <c r="L2206" s="56" t="s">
        <v>13288</v>
      </c>
      <c r="M2206" s="159" t="s">
        <v>13293</v>
      </c>
      <c r="N2206" s="159" t="s">
        <v>9892</v>
      </c>
      <c r="O2206" s="156">
        <v>3.0</v>
      </c>
      <c r="P2206" s="382" t="s">
        <v>13256</v>
      </c>
      <c r="Q2206" s="52" t="str">
        <f t="array" ref="Q2206"> if(iserror(MATCH(V2206, 'File Links'!C:C, 0)), "N/A", HYPERLINK(INDEX('File Links'!B:B, MATCH(P2206, 'File Links'!C:C, 0))))</f>
        <v>https://drive.google.com/file/d/1FklynAHzflh7rbxQIU4qTxOz3VBhye8B/view?usp=drivesdk</v>
      </c>
      <c r="R2206" s="159" t="s">
        <v>13257</v>
      </c>
      <c r="S2206" s="159" t="s">
        <v>13258</v>
      </c>
      <c r="T2206" s="159" t="s">
        <v>138</v>
      </c>
      <c r="U2206" s="156">
        <v>2.0</v>
      </c>
      <c r="V2206" s="382" t="s">
        <v>13259</v>
      </c>
      <c r="W2206" s="1228"/>
      <c r="X2206" s="54" t="str">
        <f t="array" ref="X2206"> if(iserror(MATCH(V2206, 'File Links'!C:C, 0)), "N/A", HYPERLINK(INDEX('File Links'!B:B, MATCH(V2206, 'File Links'!C:C, 0))))</f>
        <v>https://drive.google.com/file/d/1hYNUJrx3yjyMoTgcG7Qz4pix-8ruWFMC/view?usp=drivesdk</v>
      </c>
      <c r="Y2206" s="159" t="s">
        <v>138</v>
      </c>
      <c r="Z2206" s="159" t="s">
        <v>226</v>
      </c>
      <c r="AA2206" s="159" t="s">
        <v>13260</v>
      </c>
      <c r="AB2206" s="159" t="s">
        <v>13389</v>
      </c>
      <c r="AC2206" s="159" t="s">
        <v>13419</v>
      </c>
      <c r="AD2206" s="159" t="s">
        <v>13420</v>
      </c>
      <c r="AE2206" s="159" t="s">
        <v>4979</v>
      </c>
      <c r="AF2206" s="156">
        <v>471.0</v>
      </c>
      <c r="AG2206" s="156">
        <v>0.287</v>
      </c>
      <c r="AH2206" s="159" t="s">
        <v>173</v>
      </c>
      <c r="AI2206" s="159" t="s">
        <v>4979</v>
      </c>
      <c r="AJ2206" s="156">
        <v>0.05</v>
      </c>
      <c r="AK2206" s="159" t="s">
        <v>135</v>
      </c>
      <c r="AL2206" s="159" t="s">
        <v>136</v>
      </c>
      <c r="AM2206" s="159" t="s">
        <v>137</v>
      </c>
      <c r="AN2206" s="159" t="s">
        <v>138</v>
      </c>
      <c r="AO2206" s="156">
        <v>3683.0</v>
      </c>
      <c r="AP2206" s="156">
        <v>1.12</v>
      </c>
      <c r="AQ2206" s="159" t="s">
        <v>722</v>
      </c>
      <c r="AR2206" s="159" t="s">
        <v>624</v>
      </c>
      <c r="AS2206" s="156">
        <v>0.003</v>
      </c>
      <c r="AT2206" s="159" t="s">
        <v>172</v>
      </c>
      <c r="AU2206" s="159" t="s">
        <v>136</v>
      </c>
      <c r="AV2206" s="159" t="s">
        <v>137</v>
      </c>
      <c r="AW2206" s="2007" t="s">
        <v>13263</v>
      </c>
      <c r="AX2206" s="159" t="s">
        <v>438</v>
      </c>
      <c r="AY2206" s="61" t="str">
        <f>IFERROR(__xludf.DUMMYFUNCTION("vlookup(BB2206,importrange(""https://docs.google.com/spreadsheets/d/1d2vevQ_7D_v35q4wCQ4RpQ_IPoTwEMB9Yp6ymwlPqew/edit?gid=984458430#gid=984458430"", ""'replication success'!A:K""), 11, FAlSE)"),"#N/A")</f>
        <v>#N/A</v>
      </c>
      <c r="AZ2206" s="61" t="str">
        <f>IFERROR(__xludf.DUMMYFUNCTION("vlookup(BB2206,importrange(""https://docs.google.com/spreadsheets/d/1d2vevQ_7D_v35q4wCQ4RpQ_IPoTwEMB9Yp6ymwlPqew/edit?gid=984458430#gid=984458430"", ""'replication success'!A:M""), 12, FAlSE)"),"#N/A")</f>
        <v>#N/A</v>
      </c>
      <c r="BA2206" s="61" t="str">
        <f>IFERROR(__xludf.DUMMYFUNCTION("vlookup(BB2206,importrange(""https://docs.google.com/spreadsheets/d/1d2vevQ_7D_v35q4wCQ4RpQ_IPoTwEMB9Yp6ymwlPqew/edit?gid=984458430#gid=984458430"", ""'replication success'!A:M""), 13, FAlSE)"),"#N/A")</f>
        <v>#N/A</v>
      </c>
      <c r="BB2206" s="61" t="str">
        <f>IFERROR(__xludf.DUMMYFUNCTION("REGEXREPLACE(G2206, ""_[a-z]{1,2}$"", """")"),"svodevelopment2")</f>
        <v>svodevelopment2</v>
      </c>
      <c r="BD2206" s="1440" t="s">
        <v>13400</v>
      </c>
    </row>
    <row r="2207">
      <c r="A2207" s="44">
        <v>2207.0</v>
      </c>
      <c r="B2207" s="129" t="s">
        <v>523</v>
      </c>
      <c r="C2207" s="62" t="s">
        <v>115</v>
      </c>
      <c r="D2207" s="62" t="s">
        <v>176</v>
      </c>
      <c r="F2207" s="129" t="s">
        <v>13418</v>
      </c>
      <c r="G2207" s="129" t="s">
        <v>13421</v>
      </c>
      <c r="H2207" s="151" t="s">
        <v>7252</v>
      </c>
      <c r="I2207" s="161" t="s">
        <v>13296</v>
      </c>
      <c r="J2207" s="1587"/>
      <c r="K2207" s="159"/>
      <c r="L2207" s="129" t="s">
        <v>13402</v>
      </c>
      <c r="M2207" s="129" t="s">
        <v>13293</v>
      </c>
      <c r="N2207" s="129" t="s">
        <v>9892</v>
      </c>
      <c r="O2207" s="501">
        <v>3.0</v>
      </c>
      <c r="P2207" s="309" t="s">
        <v>13256</v>
      </c>
      <c r="Q2207" s="52" t="str">
        <f t="array" ref="Q2207"> if(iserror(MATCH(V2207, 'File Links'!C:C, 0)), "N/A", HYPERLINK(INDEX('File Links'!B:B, MATCH(P2207, 'File Links'!C:C, 0))))</f>
        <v>https://drive.google.com/file/d/1FklynAHzflh7rbxQIU4qTxOz3VBhye8B/view?usp=drivesdk</v>
      </c>
      <c r="R2207" s="1697" t="s">
        <v>13257</v>
      </c>
      <c r="S2207" s="129" t="s">
        <v>13258</v>
      </c>
      <c r="T2207" s="1379"/>
      <c r="U2207" s="336"/>
      <c r="V2207" s="151" t="s">
        <v>13259</v>
      </c>
      <c r="W2207" s="159"/>
      <c r="X2207" s="54" t="str">
        <f t="array" ref="X2207"> if(iserror(MATCH(V2207, 'File Links'!C:C, 0)), "N/A", HYPERLINK(INDEX('File Links'!B:B, MATCH(V2207, 'File Links'!C:C, 0))))</f>
        <v>https://drive.google.com/file/d/1hYNUJrx3yjyMoTgcG7Qz4pix-8ruWFMC/view?usp=drivesdk</v>
      </c>
      <c r="Y2207" s="68"/>
      <c r="Z2207" s="151" t="s">
        <v>226</v>
      </c>
      <c r="AA2207" s="129" t="s">
        <v>13260</v>
      </c>
      <c r="AB2207" s="151" t="s">
        <v>13393</v>
      </c>
      <c r="AC2207" s="151" t="s">
        <v>13422</v>
      </c>
      <c r="AD2207" s="151" t="s">
        <v>13423</v>
      </c>
      <c r="AE2207" s="151" t="s">
        <v>13424</v>
      </c>
      <c r="AF2207" s="161">
        <v>554.0</v>
      </c>
      <c r="AG2207" s="161" t="s">
        <v>13425</v>
      </c>
      <c r="AH2207" s="151" t="s">
        <v>134</v>
      </c>
      <c r="AI2207" s="151" t="s">
        <v>4979</v>
      </c>
      <c r="AJ2207" s="161">
        <v>0.005</v>
      </c>
      <c r="AK2207" s="151" t="s">
        <v>135</v>
      </c>
      <c r="AL2207" s="151" t="s">
        <v>186</v>
      </c>
      <c r="AM2207" s="129" t="s">
        <v>137</v>
      </c>
      <c r="AN2207" s="68"/>
      <c r="AO2207" s="161">
        <v>2644.0</v>
      </c>
      <c r="AP2207" s="156"/>
      <c r="AQ2207" s="159"/>
      <c r="AR2207" s="151" t="s">
        <v>13406</v>
      </c>
      <c r="AS2207" s="156"/>
      <c r="AT2207" s="159"/>
      <c r="AU2207" s="159"/>
      <c r="AV2207" s="68"/>
      <c r="AW2207" s="435"/>
      <c r="AX2207" s="129" t="s">
        <v>151</v>
      </c>
      <c r="AY2207" s="61" t="str">
        <f>IFERROR(__xludf.DUMMYFUNCTION("vlookup(BB2207,importrange(""https://docs.google.com/spreadsheets/d/1d2vevQ_7D_v35q4wCQ4RpQ_IPoTwEMB9Yp6ymwlPqew/edit?gid=984458430#gid=984458430"", ""'replication success'!A:K""), 11, FAlSE)"),"#N/A")</f>
        <v>#N/A</v>
      </c>
      <c r="AZ2207" s="61" t="str">
        <f>IFERROR(__xludf.DUMMYFUNCTION("vlookup(BB2207,importrange(""https://docs.google.com/spreadsheets/d/1d2vevQ_7D_v35q4wCQ4RpQ_IPoTwEMB9Yp6ymwlPqew/edit?gid=984458430#gid=984458430"", ""'replication success'!A:M""), 12, FAlSE)"),"#N/A")</f>
        <v>#N/A</v>
      </c>
      <c r="BA2207" s="61" t="str">
        <f>IFERROR(__xludf.DUMMYFUNCTION("vlookup(BB2207,importrange(""https://docs.google.com/spreadsheets/d/1d2vevQ_7D_v35q4wCQ4RpQ_IPoTwEMB9Yp6ymwlPqew/edit?gid=984458430#gid=984458430"", ""'replication success'!A:M""), 13, FAlSE)"),"#N/A")</f>
        <v>#N/A</v>
      </c>
      <c r="BB2207" s="61" t="str">
        <f>IFERROR(__xludf.DUMMYFUNCTION("REGEXREPLACE(G2207, ""_[a-z]{1,2}$"", """")"),"svodevelopment2_3a")</f>
        <v>svodevelopment2_3a</v>
      </c>
      <c r="BD2207" s="1440" t="s">
        <v>13400</v>
      </c>
    </row>
    <row r="2208">
      <c r="A2208" s="44">
        <v>2208.0</v>
      </c>
      <c r="B2208" s="129" t="s">
        <v>523</v>
      </c>
      <c r="C2208" s="62" t="s">
        <v>115</v>
      </c>
      <c r="D2208" s="62" t="s">
        <v>990</v>
      </c>
      <c r="F2208" s="68" t="s">
        <v>13426</v>
      </c>
      <c r="G2208" s="159" t="s">
        <v>13385</v>
      </c>
      <c r="H2208" s="159" t="s">
        <v>13386</v>
      </c>
      <c r="I2208" s="1287" t="s">
        <v>13387</v>
      </c>
      <c r="J2208" s="1587"/>
      <c r="K2208" s="159" t="s">
        <v>138</v>
      </c>
      <c r="L2208" s="56" t="s">
        <v>13288</v>
      </c>
      <c r="M2208" s="159" t="s">
        <v>13293</v>
      </c>
      <c r="N2208" s="159" t="s">
        <v>9892</v>
      </c>
      <c r="O2208" s="156">
        <v>3.0</v>
      </c>
      <c r="P2208" s="382" t="s">
        <v>13256</v>
      </c>
      <c r="Q2208" s="52" t="str">
        <f t="array" ref="Q2208"> if(iserror(MATCH(V2208, 'File Links'!C:C, 0)), "N/A", HYPERLINK(INDEX('File Links'!B:B, MATCH(P2208, 'File Links'!C:C, 0))))</f>
        <v>https://drive.google.com/file/d/1FklynAHzflh7rbxQIU4qTxOz3VBhye8B/view?usp=drivesdk</v>
      </c>
      <c r="R2208" s="159" t="s">
        <v>13257</v>
      </c>
      <c r="S2208" s="159" t="s">
        <v>13258</v>
      </c>
      <c r="T2208" s="159" t="s">
        <v>138</v>
      </c>
      <c r="U2208" s="156">
        <v>2.0</v>
      </c>
      <c r="V2208" s="382" t="s">
        <v>13259</v>
      </c>
      <c r="W2208" s="1228"/>
      <c r="X2208" s="54" t="str">
        <f t="array" ref="X2208"> if(iserror(MATCH(V2208, 'File Links'!C:C, 0)), "N/A", HYPERLINK(INDEX('File Links'!B:B, MATCH(V2208, 'File Links'!C:C, 0))))</f>
        <v>https://drive.google.com/file/d/1hYNUJrx3yjyMoTgcG7Qz4pix-8ruWFMC/view?usp=drivesdk</v>
      </c>
      <c r="Y2208" s="159" t="s">
        <v>138</v>
      </c>
      <c r="Z2208" s="159" t="s">
        <v>226</v>
      </c>
      <c r="AA2208" s="159" t="s">
        <v>13260</v>
      </c>
      <c r="AB2208" s="159" t="s">
        <v>13389</v>
      </c>
      <c r="AC2208" s="159" t="s">
        <v>13427</v>
      </c>
      <c r="AD2208" s="159" t="s">
        <v>13420</v>
      </c>
      <c r="AE2208" s="159" t="s">
        <v>4979</v>
      </c>
      <c r="AF2208" s="156">
        <v>384.0</v>
      </c>
      <c r="AG2208" s="156">
        <v>0.21</v>
      </c>
      <c r="AH2208" s="159" t="s">
        <v>173</v>
      </c>
      <c r="AI2208" s="159" t="s">
        <v>4979</v>
      </c>
      <c r="AJ2208" s="156">
        <v>0.05</v>
      </c>
      <c r="AK2208" s="159" t="s">
        <v>135</v>
      </c>
      <c r="AL2208" s="159" t="s">
        <v>136</v>
      </c>
      <c r="AM2208" s="159" t="s">
        <v>137</v>
      </c>
      <c r="AN2208" s="159" t="s">
        <v>138</v>
      </c>
      <c r="AO2208" s="156">
        <v>3683.0</v>
      </c>
      <c r="AP2208" s="156">
        <v>1.12</v>
      </c>
      <c r="AQ2208" s="159" t="s">
        <v>722</v>
      </c>
      <c r="AR2208" s="159" t="s">
        <v>624</v>
      </c>
      <c r="AS2208" s="156">
        <v>0.003</v>
      </c>
      <c r="AT2208" s="159" t="s">
        <v>172</v>
      </c>
      <c r="AU2208" s="159" t="s">
        <v>136</v>
      </c>
      <c r="AV2208" s="159" t="s">
        <v>137</v>
      </c>
      <c r="AW2208" s="2007" t="s">
        <v>13263</v>
      </c>
      <c r="AX2208" s="159" t="s">
        <v>438</v>
      </c>
      <c r="AY2208" s="61" t="str">
        <f>IFERROR(__xludf.DUMMYFUNCTION("vlookup(BB2208,importrange(""https://docs.google.com/spreadsheets/d/1d2vevQ_7D_v35q4wCQ4RpQ_IPoTwEMB9Yp6ymwlPqew/edit?gid=984458430#gid=984458430"", ""'replication success'!A:K""), 11, FAlSE)"),"#N/A")</f>
        <v>#N/A</v>
      </c>
      <c r="AZ2208" s="61" t="str">
        <f>IFERROR(__xludf.DUMMYFUNCTION("vlookup(BB2208,importrange(""https://docs.google.com/spreadsheets/d/1d2vevQ_7D_v35q4wCQ4RpQ_IPoTwEMB9Yp6ymwlPqew/edit?gid=984458430#gid=984458430"", ""'replication success'!A:M""), 12, FAlSE)"),"#N/A")</f>
        <v>#N/A</v>
      </c>
      <c r="BA2208" s="61" t="str">
        <f>IFERROR(__xludf.DUMMYFUNCTION("vlookup(BB2208,importrange(""https://docs.google.com/spreadsheets/d/1d2vevQ_7D_v35q4wCQ4RpQ_IPoTwEMB9Yp6ymwlPqew/edit?gid=984458430#gid=984458430"", ""'replication success'!A:M""), 13, FAlSE)"),"#N/A")</f>
        <v>#N/A</v>
      </c>
      <c r="BB2208" s="61" t="str">
        <f>IFERROR(__xludf.DUMMYFUNCTION("REGEXREPLACE(G2208, ""_[a-z]{1,2}$"", """")"),"svodevelopment2")</f>
        <v>svodevelopment2</v>
      </c>
      <c r="BD2208" s="1440" t="s">
        <v>13400</v>
      </c>
    </row>
    <row r="2209">
      <c r="A2209" s="44">
        <v>2209.0</v>
      </c>
      <c r="B2209" s="129" t="s">
        <v>523</v>
      </c>
      <c r="C2209" s="62" t="s">
        <v>115</v>
      </c>
      <c r="D2209" s="62" t="s">
        <v>176</v>
      </c>
      <c r="F2209" s="129" t="s">
        <v>13426</v>
      </c>
      <c r="G2209" s="129" t="s">
        <v>13428</v>
      </c>
      <c r="H2209" s="151" t="s">
        <v>7252</v>
      </c>
      <c r="I2209" s="161" t="s">
        <v>13296</v>
      </c>
      <c r="J2209" s="1587"/>
      <c r="K2209" s="159"/>
      <c r="L2209" s="129" t="s">
        <v>13429</v>
      </c>
      <c r="M2209" s="129" t="s">
        <v>13293</v>
      </c>
      <c r="N2209" s="129" t="s">
        <v>9892</v>
      </c>
      <c r="O2209" s="501">
        <v>3.0</v>
      </c>
      <c r="P2209" s="309" t="s">
        <v>13256</v>
      </c>
      <c r="Q2209" s="52" t="str">
        <f t="array" ref="Q2209"> if(iserror(MATCH(V2209, 'File Links'!C:C, 0)), "N/A", HYPERLINK(INDEX('File Links'!B:B, MATCH(P2209, 'File Links'!C:C, 0))))</f>
        <v>https://drive.google.com/file/d/1FklynAHzflh7rbxQIU4qTxOz3VBhye8B/view?usp=drivesdk</v>
      </c>
      <c r="R2209" s="1697" t="s">
        <v>13257</v>
      </c>
      <c r="S2209" s="129" t="s">
        <v>13258</v>
      </c>
      <c r="T2209" s="1379"/>
      <c r="U2209" s="336"/>
      <c r="V2209" s="151" t="s">
        <v>13259</v>
      </c>
      <c r="W2209" s="159"/>
      <c r="X2209" s="54" t="str">
        <f t="array" ref="X2209"> if(iserror(MATCH(V2209, 'File Links'!C:C, 0)), "N/A", HYPERLINK(INDEX('File Links'!B:B, MATCH(V2209, 'File Links'!C:C, 0))))</f>
        <v>https://drive.google.com/file/d/1hYNUJrx3yjyMoTgcG7Qz4pix-8ruWFMC/view?usp=drivesdk</v>
      </c>
      <c r="Y2209" s="68"/>
      <c r="Z2209" s="151" t="s">
        <v>226</v>
      </c>
      <c r="AA2209" s="129" t="s">
        <v>13260</v>
      </c>
      <c r="AB2209" s="151" t="s">
        <v>13393</v>
      </c>
      <c r="AC2209" s="151" t="s">
        <v>13430</v>
      </c>
      <c r="AD2209" s="151" t="s">
        <v>13431</v>
      </c>
      <c r="AE2209" s="151" t="s">
        <v>604</v>
      </c>
      <c r="AF2209" s="161">
        <v>554.0</v>
      </c>
      <c r="AG2209" s="156"/>
      <c r="AH2209" s="159"/>
      <c r="AI2209" s="151" t="s">
        <v>4979</v>
      </c>
      <c r="AJ2209" s="156"/>
      <c r="AK2209" s="159"/>
      <c r="AL2209" s="159"/>
      <c r="AM2209" s="68"/>
      <c r="AN2209" s="68"/>
      <c r="AO2209" s="161">
        <v>2644.0</v>
      </c>
      <c r="AP2209" s="156"/>
      <c r="AQ2209" s="159"/>
      <c r="AR2209" s="151" t="s">
        <v>13406</v>
      </c>
      <c r="AS2209" s="156"/>
      <c r="AT2209" s="159"/>
      <c r="AU2209" s="159"/>
      <c r="AV2209" s="68"/>
      <c r="AW2209" s="435"/>
      <c r="AX2209" s="129" t="s">
        <v>151</v>
      </c>
      <c r="AY2209" s="61" t="str">
        <f>IFERROR(__xludf.DUMMYFUNCTION("vlookup(BB2209,importrange(""https://docs.google.com/spreadsheets/d/1d2vevQ_7D_v35q4wCQ4RpQ_IPoTwEMB9Yp6ymwlPqew/edit?gid=984458430#gid=984458430"", ""'replication success'!A:K""), 11, FAlSE)"),"#N/A")</f>
        <v>#N/A</v>
      </c>
      <c r="AZ2209" s="61" t="str">
        <f>IFERROR(__xludf.DUMMYFUNCTION("vlookup(BB2209,importrange(""https://docs.google.com/spreadsheets/d/1d2vevQ_7D_v35q4wCQ4RpQ_IPoTwEMB9Yp6ymwlPqew/edit?gid=984458430#gid=984458430"", ""'replication success'!A:M""), 12, FAlSE)"),"#N/A")</f>
        <v>#N/A</v>
      </c>
      <c r="BA2209" s="61" t="str">
        <f>IFERROR(__xludf.DUMMYFUNCTION("vlookup(BB2209,importrange(""https://docs.google.com/spreadsheets/d/1d2vevQ_7D_v35q4wCQ4RpQ_IPoTwEMB9Yp6ymwlPqew/edit?gid=984458430#gid=984458430"", ""'replication success'!A:M""), 13, FAlSE)"),"#N/A")</f>
        <v>#N/A</v>
      </c>
      <c r="BB2209" s="61" t="str">
        <f>IFERROR(__xludf.DUMMYFUNCTION("REGEXREPLACE(G2209, ""_[a-z]{1,2}$"", """")"),"svodevelopment2_3b")</f>
        <v>svodevelopment2_3b</v>
      </c>
      <c r="BD2209" s="1440" t="s">
        <v>13400</v>
      </c>
    </row>
    <row r="2210">
      <c r="A2210" s="44">
        <v>2210.0</v>
      </c>
      <c r="B2210" s="129" t="s">
        <v>523</v>
      </c>
      <c r="C2210" s="62" t="s">
        <v>115</v>
      </c>
      <c r="D2210" s="62" t="s">
        <v>990</v>
      </c>
      <c r="F2210" s="68" t="s">
        <v>13432</v>
      </c>
      <c r="G2210" s="159" t="s">
        <v>13385</v>
      </c>
      <c r="H2210" s="159" t="s">
        <v>13386</v>
      </c>
      <c r="I2210" s="1287" t="s">
        <v>13387</v>
      </c>
      <c r="J2210" s="1587"/>
      <c r="K2210" s="159" t="s">
        <v>138</v>
      </c>
      <c r="L2210" s="56" t="s">
        <v>13288</v>
      </c>
      <c r="M2210" s="159" t="s">
        <v>13293</v>
      </c>
      <c r="N2210" s="159" t="s">
        <v>9892</v>
      </c>
      <c r="O2210" s="156">
        <v>3.0</v>
      </c>
      <c r="P2210" s="382" t="s">
        <v>13256</v>
      </c>
      <c r="Q2210" s="52" t="str">
        <f t="array" ref="Q2210"> if(iserror(MATCH(V2210, 'File Links'!C:C, 0)), "N/A", HYPERLINK(INDEX('File Links'!B:B, MATCH(P2210, 'File Links'!C:C, 0))))</f>
        <v>https://drive.google.com/file/d/1FklynAHzflh7rbxQIU4qTxOz3VBhye8B/view?usp=drivesdk</v>
      </c>
      <c r="R2210" s="159" t="s">
        <v>13257</v>
      </c>
      <c r="S2210" s="159" t="s">
        <v>13258</v>
      </c>
      <c r="T2210" s="159" t="s">
        <v>138</v>
      </c>
      <c r="U2210" s="156">
        <v>2.0</v>
      </c>
      <c r="V2210" s="382" t="s">
        <v>13259</v>
      </c>
      <c r="W2210" s="1228"/>
      <c r="X2210" s="54" t="str">
        <f t="array" ref="X2210"> if(iserror(MATCH(V2210, 'File Links'!C:C, 0)), "N/A", HYPERLINK(INDEX('File Links'!B:B, MATCH(V2210, 'File Links'!C:C, 0))))</f>
        <v>https://drive.google.com/file/d/1hYNUJrx3yjyMoTgcG7Qz4pix-8ruWFMC/view?usp=drivesdk</v>
      </c>
      <c r="Y2210" s="159" t="s">
        <v>138</v>
      </c>
      <c r="Z2210" s="159" t="s">
        <v>226</v>
      </c>
      <c r="AA2210" s="159" t="s">
        <v>13260</v>
      </c>
      <c r="AB2210" s="159" t="s">
        <v>13389</v>
      </c>
      <c r="AC2210" s="159" t="s">
        <v>13433</v>
      </c>
      <c r="AD2210" s="159" t="s">
        <v>13434</v>
      </c>
      <c r="AE2210" s="159" t="s">
        <v>604</v>
      </c>
      <c r="AF2210" s="156">
        <v>471.0</v>
      </c>
      <c r="AG2210" s="156">
        <v>0.303</v>
      </c>
      <c r="AH2210" s="159" t="s">
        <v>173</v>
      </c>
      <c r="AI2210" s="159" t="s">
        <v>604</v>
      </c>
      <c r="AJ2210" s="156">
        <v>0.001</v>
      </c>
      <c r="AK2210" s="159" t="s">
        <v>135</v>
      </c>
      <c r="AL2210" s="159" t="s">
        <v>136</v>
      </c>
      <c r="AM2210" s="159" t="s">
        <v>137</v>
      </c>
      <c r="AN2210" s="159" t="s">
        <v>138</v>
      </c>
      <c r="AO2210" s="156">
        <v>3683.0</v>
      </c>
      <c r="AP2210" s="156">
        <v>1.11</v>
      </c>
      <c r="AQ2210" s="159" t="s">
        <v>722</v>
      </c>
      <c r="AR2210" s="159" t="s">
        <v>624</v>
      </c>
      <c r="AS2210" s="156">
        <v>0.004</v>
      </c>
      <c r="AT2210" s="159" t="s">
        <v>172</v>
      </c>
      <c r="AU2210" s="159" t="s">
        <v>136</v>
      </c>
      <c r="AV2210" s="159" t="s">
        <v>137</v>
      </c>
      <c r="AW2210" s="2007" t="s">
        <v>13263</v>
      </c>
      <c r="AX2210" s="159" t="s">
        <v>438</v>
      </c>
      <c r="AY2210" s="61" t="str">
        <f>IFERROR(__xludf.DUMMYFUNCTION("vlookup(BB2210,importrange(""https://docs.google.com/spreadsheets/d/1d2vevQ_7D_v35q4wCQ4RpQ_IPoTwEMB9Yp6ymwlPqew/edit?gid=984458430#gid=984458430"", ""'replication success'!A:K""), 11, FAlSE)"),"#N/A")</f>
        <v>#N/A</v>
      </c>
      <c r="AZ2210" s="61" t="str">
        <f>IFERROR(__xludf.DUMMYFUNCTION("vlookup(BB2210,importrange(""https://docs.google.com/spreadsheets/d/1d2vevQ_7D_v35q4wCQ4RpQ_IPoTwEMB9Yp6ymwlPqew/edit?gid=984458430#gid=984458430"", ""'replication success'!A:M""), 12, FAlSE)"),"#N/A")</f>
        <v>#N/A</v>
      </c>
      <c r="BA2210" s="61" t="str">
        <f>IFERROR(__xludf.DUMMYFUNCTION("vlookup(BB2210,importrange(""https://docs.google.com/spreadsheets/d/1d2vevQ_7D_v35q4wCQ4RpQ_IPoTwEMB9Yp6ymwlPqew/edit?gid=984458430#gid=984458430"", ""'replication success'!A:M""), 13, FAlSE)"),"#N/A")</f>
        <v>#N/A</v>
      </c>
      <c r="BB2210" s="61" t="str">
        <f>IFERROR(__xludf.DUMMYFUNCTION("REGEXREPLACE(G2210, ""_[a-z]{1,2}$"", """")"),"svodevelopment2")</f>
        <v>svodevelopment2</v>
      </c>
      <c r="BD2210" s="1440" t="s">
        <v>13400</v>
      </c>
    </row>
    <row r="2211">
      <c r="A2211" s="44">
        <v>2211.0</v>
      </c>
      <c r="B2211" s="129" t="s">
        <v>523</v>
      </c>
      <c r="C2211" s="62" t="s">
        <v>115</v>
      </c>
      <c r="D2211" s="62" t="s">
        <v>176</v>
      </c>
      <c r="F2211" s="129" t="s">
        <v>13432</v>
      </c>
      <c r="G2211" s="129" t="s">
        <v>13435</v>
      </c>
      <c r="H2211" s="151" t="s">
        <v>7252</v>
      </c>
      <c r="I2211" s="161" t="s">
        <v>13296</v>
      </c>
      <c r="J2211" s="1587"/>
      <c r="K2211" s="159"/>
      <c r="L2211" s="129" t="s">
        <v>13402</v>
      </c>
      <c r="M2211" s="129" t="s">
        <v>13293</v>
      </c>
      <c r="N2211" s="129" t="s">
        <v>9892</v>
      </c>
      <c r="O2211" s="501">
        <v>3.0</v>
      </c>
      <c r="P2211" s="309" t="s">
        <v>13256</v>
      </c>
      <c r="Q2211" s="52" t="str">
        <f t="array" ref="Q2211"> if(iserror(MATCH(V2211, 'File Links'!C:C, 0)), "N/A", HYPERLINK(INDEX('File Links'!B:B, MATCH(P2211, 'File Links'!C:C, 0))))</f>
        <v>https://drive.google.com/file/d/1FklynAHzflh7rbxQIU4qTxOz3VBhye8B/view?usp=drivesdk</v>
      </c>
      <c r="R2211" s="1697" t="s">
        <v>13257</v>
      </c>
      <c r="S2211" s="129" t="s">
        <v>13258</v>
      </c>
      <c r="T2211" s="1379"/>
      <c r="U2211" s="336"/>
      <c r="V2211" s="151" t="s">
        <v>13259</v>
      </c>
      <c r="W2211" s="159"/>
      <c r="X2211" s="54" t="str">
        <f t="array" ref="X2211"> if(iserror(MATCH(V2211, 'File Links'!C:C, 0)), "N/A", HYPERLINK(INDEX('File Links'!B:B, MATCH(V2211, 'File Links'!C:C, 0))))</f>
        <v>https://drive.google.com/file/d/1hYNUJrx3yjyMoTgcG7Qz4pix-8ruWFMC/view?usp=drivesdk</v>
      </c>
      <c r="Y2211" s="68"/>
      <c r="Z2211" s="151" t="s">
        <v>226</v>
      </c>
      <c r="AA2211" s="129" t="s">
        <v>13260</v>
      </c>
      <c r="AB2211" s="151" t="s">
        <v>13393</v>
      </c>
      <c r="AC2211" s="151" t="s">
        <v>13436</v>
      </c>
      <c r="AD2211" s="151" t="s">
        <v>13437</v>
      </c>
      <c r="AE2211" s="151" t="s">
        <v>604</v>
      </c>
      <c r="AF2211" s="161">
        <v>554.0</v>
      </c>
      <c r="AG2211" s="161" t="s">
        <v>13438</v>
      </c>
      <c r="AH2211" s="151" t="s">
        <v>134</v>
      </c>
      <c r="AI2211" s="151" t="s">
        <v>4979</v>
      </c>
      <c r="AJ2211" s="161">
        <v>0.05</v>
      </c>
      <c r="AK2211" s="151" t="s">
        <v>135</v>
      </c>
      <c r="AL2211" s="151" t="s">
        <v>186</v>
      </c>
      <c r="AM2211" s="129" t="s">
        <v>137</v>
      </c>
      <c r="AN2211" s="68"/>
      <c r="AO2211" s="161">
        <v>2644.0</v>
      </c>
      <c r="AP2211" s="156"/>
      <c r="AQ2211" s="159"/>
      <c r="AR2211" s="151" t="s">
        <v>13406</v>
      </c>
      <c r="AS2211" s="156"/>
      <c r="AT2211" s="159"/>
      <c r="AU2211" s="159"/>
      <c r="AV2211" s="68"/>
      <c r="AW2211" s="435"/>
      <c r="AX2211" s="129" t="s">
        <v>151</v>
      </c>
      <c r="AY2211" s="61" t="str">
        <f>IFERROR(__xludf.DUMMYFUNCTION("vlookup(BB2211,importrange(""https://docs.google.com/spreadsheets/d/1d2vevQ_7D_v35q4wCQ4RpQ_IPoTwEMB9Yp6ymwlPqew/edit?gid=984458430#gid=984458430"", ""'replication success'!A:K""), 11, FAlSE)"),"#N/A")</f>
        <v>#N/A</v>
      </c>
      <c r="AZ2211" s="61" t="str">
        <f>IFERROR(__xludf.DUMMYFUNCTION("vlookup(BB2211,importrange(""https://docs.google.com/spreadsheets/d/1d2vevQ_7D_v35q4wCQ4RpQ_IPoTwEMB9Yp6ymwlPqew/edit?gid=984458430#gid=984458430"", ""'replication success'!A:M""), 12, FAlSE)"),"#N/A")</f>
        <v>#N/A</v>
      </c>
      <c r="BA2211" s="61" t="str">
        <f>IFERROR(__xludf.DUMMYFUNCTION("vlookup(BB2211,importrange(""https://docs.google.com/spreadsheets/d/1d2vevQ_7D_v35q4wCQ4RpQ_IPoTwEMB9Yp6ymwlPqew/edit?gid=984458430#gid=984458430"", ""'replication success'!A:M""), 13, FAlSE)"),"#N/A")</f>
        <v>#N/A</v>
      </c>
      <c r="BB2211" s="61" t="str">
        <f>IFERROR(__xludf.DUMMYFUNCTION("REGEXREPLACE(G2211, ""_[a-z]{1,2}$"", """")"),"svodevelopment2_3c")</f>
        <v>svodevelopment2_3c</v>
      </c>
      <c r="BD2211" s="1440" t="s">
        <v>13400</v>
      </c>
    </row>
    <row r="2212">
      <c r="A2212" s="44">
        <v>2212.0</v>
      </c>
      <c r="B2212" s="129" t="s">
        <v>523</v>
      </c>
      <c r="C2212" s="62" t="s">
        <v>115</v>
      </c>
      <c r="D2212" s="62" t="s">
        <v>990</v>
      </c>
      <c r="F2212" s="68" t="s">
        <v>13439</v>
      </c>
      <c r="G2212" s="159" t="s">
        <v>13385</v>
      </c>
      <c r="H2212" s="159" t="s">
        <v>13386</v>
      </c>
      <c r="I2212" s="1287" t="s">
        <v>13387</v>
      </c>
      <c r="J2212" s="1587"/>
      <c r="K2212" s="159" t="s">
        <v>138</v>
      </c>
      <c r="L2212" s="56" t="s">
        <v>13288</v>
      </c>
      <c r="M2212" s="159" t="s">
        <v>13293</v>
      </c>
      <c r="N2212" s="159" t="s">
        <v>9892</v>
      </c>
      <c r="O2212" s="156">
        <v>3.0</v>
      </c>
      <c r="P2212" s="382" t="s">
        <v>13256</v>
      </c>
      <c r="Q2212" s="52" t="str">
        <f t="array" ref="Q2212"> if(iserror(MATCH(V2212, 'File Links'!C:C, 0)), "N/A", HYPERLINK(INDEX('File Links'!B:B, MATCH(P2212, 'File Links'!C:C, 0))))</f>
        <v>https://drive.google.com/file/d/1FklynAHzflh7rbxQIU4qTxOz3VBhye8B/view?usp=drivesdk</v>
      </c>
      <c r="R2212" s="159" t="s">
        <v>13257</v>
      </c>
      <c r="S2212" s="159" t="s">
        <v>13258</v>
      </c>
      <c r="T2212" s="159" t="s">
        <v>138</v>
      </c>
      <c r="U2212" s="156">
        <v>2.0</v>
      </c>
      <c r="V2212" s="382" t="s">
        <v>13259</v>
      </c>
      <c r="W2212" s="1228"/>
      <c r="X2212" s="54" t="str">
        <f t="array" ref="X2212"> if(iserror(MATCH(V2212, 'File Links'!C:C, 0)), "N/A", HYPERLINK(INDEX('File Links'!B:B, MATCH(V2212, 'File Links'!C:C, 0))))</f>
        <v>https://drive.google.com/file/d/1hYNUJrx3yjyMoTgcG7Qz4pix-8ruWFMC/view?usp=drivesdk</v>
      </c>
      <c r="Y2212" s="159" t="s">
        <v>138</v>
      </c>
      <c r="Z2212" s="159" t="s">
        <v>226</v>
      </c>
      <c r="AA2212" s="159" t="s">
        <v>13260</v>
      </c>
      <c r="AB2212" s="159" t="s">
        <v>13389</v>
      </c>
      <c r="AC2212" s="159" t="s">
        <v>13440</v>
      </c>
      <c r="AD2212" s="159" t="s">
        <v>13434</v>
      </c>
      <c r="AE2212" s="159" t="s">
        <v>604</v>
      </c>
      <c r="AF2212" s="156">
        <v>384.0</v>
      </c>
      <c r="AG2212" s="156">
        <v>0.265</v>
      </c>
      <c r="AH2212" s="159" t="s">
        <v>173</v>
      </c>
      <c r="AI2212" s="159" t="s">
        <v>604</v>
      </c>
      <c r="AJ2212" s="156">
        <v>0.001</v>
      </c>
      <c r="AK2212" s="159" t="s">
        <v>135</v>
      </c>
      <c r="AL2212" s="159" t="s">
        <v>136</v>
      </c>
      <c r="AM2212" s="159" t="s">
        <v>137</v>
      </c>
      <c r="AN2212" s="159" t="s">
        <v>138</v>
      </c>
      <c r="AO2212" s="156">
        <v>3683.0</v>
      </c>
      <c r="AP2212" s="156">
        <v>1.11</v>
      </c>
      <c r="AQ2212" s="159" t="s">
        <v>722</v>
      </c>
      <c r="AR2212" s="159" t="s">
        <v>624</v>
      </c>
      <c r="AS2212" s="156">
        <v>0.004</v>
      </c>
      <c r="AT2212" s="159" t="s">
        <v>172</v>
      </c>
      <c r="AU2212" s="159" t="s">
        <v>136</v>
      </c>
      <c r="AV2212" s="159" t="s">
        <v>137</v>
      </c>
      <c r="AW2212" s="2007" t="s">
        <v>13263</v>
      </c>
      <c r="AX2212" s="159" t="s">
        <v>438</v>
      </c>
      <c r="AY2212" s="61" t="str">
        <f>IFERROR(__xludf.DUMMYFUNCTION("vlookup(BB2212,importrange(""https://docs.google.com/spreadsheets/d/1d2vevQ_7D_v35q4wCQ4RpQ_IPoTwEMB9Yp6ymwlPqew/edit?gid=984458430#gid=984458430"", ""'replication success'!A:K""), 11, FAlSE)"),"#N/A")</f>
        <v>#N/A</v>
      </c>
      <c r="AZ2212" s="61" t="str">
        <f>IFERROR(__xludf.DUMMYFUNCTION("vlookup(BB2212,importrange(""https://docs.google.com/spreadsheets/d/1d2vevQ_7D_v35q4wCQ4RpQ_IPoTwEMB9Yp6ymwlPqew/edit?gid=984458430#gid=984458430"", ""'replication success'!A:M""), 12, FAlSE)"),"#N/A")</f>
        <v>#N/A</v>
      </c>
      <c r="BA2212" s="61" t="str">
        <f>IFERROR(__xludf.DUMMYFUNCTION("vlookup(BB2212,importrange(""https://docs.google.com/spreadsheets/d/1d2vevQ_7D_v35q4wCQ4RpQ_IPoTwEMB9Yp6ymwlPqew/edit?gid=984458430#gid=984458430"", ""'replication success'!A:M""), 13, FAlSE)"),"#N/A")</f>
        <v>#N/A</v>
      </c>
      <c r="BB2212" s="61" t="str">
        <f>IFERROR(__xludf.DUMMYFUNCTION("REGEXREPLACE(G2212, ""_[a-z]{1,2}$"", """")"),"svodevelopment2")</f>
        <v>svodevelopment2</v>
      </c>
      <c r="BD2212" s="1440" t="s">
        <v>13400</v>
      </c>
    </row>
    <row r="2213">
      <c r="A2213" s="44">
        <v>2213.0</v>
      </c>
      <c r="B2213" s="129" t="s">
        <v>523</v>
      </c>
      <c r="C2213" s="62" t="s">
        <v>115</v>
      </c>
      <c r="D2213" s="62" t="s">
        <v>176</v>
      </c>
      <c r="F2213" s="129" t="s">
        <v>13439</v>
      </c>
      <c r="G2213" s="129" t="s">
        <v>13441</v>
      </c>
      <c r="H2213" s="151" t="s">
        <v>7252</v>
      </c>
      <c r="I2213" s="161" t="s">
        <v>13296</v>
      </c>
      <c r="J2213" s="1587"/>
      <c r="K2213" s="159"/>
      <c r="L2213" s="129" t="s">
        <v>13442</v>
      </c>
      <c r="M2213" s="129" t="s">
        <v>13293</v>
      </c>
      <c r="N2213" s="129" t="s">
        <v>9892</v>
      </c>
      <c r="O2213" s="501">
        <v>3.0</v>
      </c>
      <c r="P2213" s="309" t="s">
        <v>13256</v>
      </c>
      <c r="Q2213" s="52" t="str">
        <f t="array" ref="Q2213"> if(iserror(MATCH(V2213, 'File Links'!C:C, 0)), "N/A", HYPERLINK(INDEX('File Links'!B:B, MATCH(P2213, 'File Links'!C:C, 0))))</f>
        <v>https://drive.google.com/file/d/1FklynAHzflh7rbxQIU4qTxOz3VBhye8B/view?usp=drivesdk</v>
      </c>
      <c r="R2213" s="1697" t="s">
        <v>13257</v>
      </c>
      <c r="S2213" s="129" t="s">
        <v>13258</v>
      </c>
      <c r="T2213" s="1379"/>
      <c r="U2213" s="336"/>
      <c r="V2213" s="151" t="s">
        <v>13259</v>
      </c>
      <c r="W2213" s="159"/>
      <c r="X2213" s="54" t="str">
        <f t="array" ref="X2213"> if(iserror(MATCH(V2213, 'File Links'!C:C, 0)), "N/A", HYPERLINK(INDEX('File Links'!B:B, MATCH(V2213, 'File Links'!C:C, 0))))</f>
        <v>https://drive.google.com/file/d/1hYNUJrx3yjyMoTgcG7Qz4pix-8ruWFMC/view?usp=drivesdk</v>
      </c>
      <c r="Y2213" s="68"/>
      <c r="Z2213" s="151" t="s">
        <v>226</v>
      </c>
      <c r="AA2213" s="129" t="s">
        <v>13260</v>
      </c>
      <c r="AB2213" s="151" t="s">
        <v>13393</v>
      </c>
      <c r="AC2213" s="151" t="s">
        <v>13443</v>
      </c>
      <c r="AD2213" s="151" t="s">
        <v>13444</v>
      </c>
      <c r="AE2213" s="151" t="s">
        <v>604</v>
      </c>
      <c r="AF2213" s="161">
        <v>554.0</v>
      </c>
      <c r="AG2213" s="161" t="s">
        <v>13445</v>
      </c>
      <c r="AH2213" s="151" t="s">
        <v>134</v>
      </c>
      <c r="AI2213" s="151" t="s">
        <v>4979</v>
      </c>
      <c r="AJ2213" s="161">
        <v>0.05</v>
      </c>
      <c r="AK2213" s="151" t="s">
        <v>135</v>
      </c>
      <c r="AL2213" s="151" t="s">
        <v>186</v>
      </c>
      <c r="AM2213" s="129" t="s">
        <v>137</v>
      </c>
      <c r="AN2213" s="68"/>
      <c r="AO2213" s="161">
        <v>2644.0</v>
      </c>
      <c r="AP2213" s="161">
        <v>0.91</v>
      </c>
      <c r="AQ2213" s="151" t="s">
        <v>134</v>
      </c>
      <c r="AR2213" s="151" t="s">
        <v>13406</v>
      </c>
      <c r="AS2213" s="161">
        <v>0.363</v>
      </c>
      <c r="AT2213" s="151" t="s">
        <v>172</v>
      </c>
      <c r="AU2213" s="151" t="s">
        <v>186</v>
      </c>
      <c r="AV2213" s="129" t="s">
        <v>137</v>
      </c>
      <c r="AW2213" s="435"/>
      <c r="AX2213" s="129" t="s">
        <v>151</v>
      </c>
      <c r="AY2213" s="61" t="str">
        <f>IFERROR(__xludf.DUMMYFUNCTION("vlookup(BB2213,importrange(""https://docs.google.com/spreadsheets/d/1d2vevQ_7D_v35q4wCQ4RpQ_IPoTwEMB9Yp6ymwlPqew/edit?gid=984458430#gid=984458430"", ""'replication success'!A:K""), 11, FAlSE)"),"#N/A")</f>
        <v>#N/A</v>
      </c>
      <c r="AZ2213" s="61" t="str">
        <f>IFERROR(__xludf.DUMMYFUNCTION("vlookup(BB2213,importrange(""https://docs.google.com/spreadsheets/d/1d2vevQ_7D_v35q4wCQ4RpQ_IPoTwEMB9Yp6ymwlPqew/edit?gid=984458430#gid=984458430"", ""'replication success'!A:M""), 12, FAlSE)"),"#N/A")</f>
        <v>#N/A</v>
      </c>
      <c r="BA2213" s="61" t="str">
        <f>IFERROR(__xludf.DUMMYFUNCTION("vlookup(BB2213,importrange(""https://docs.google.com/spreadsheets/d/1d2vevQ_7D_v35q4wCQ4RpQ_IPoTwEMB9Yp6ymwlPqew/edit?gid=984458430#gid=984458430"", ""'replication success'!A:M""), 13, FAlSE)"),"#N/A")</f>
        <v>#N/A</v>
      </c>
      <c r="BB2213" s="61" t="str">
        <f>IFERROR(__xludf.DUMMYFUNCTION("REGEXREPLACE(G2213, ""_[a-z]{1,2}$"", """")"),"svodevelopment2_3d")</f>
        <v>svodevelopment2_3d</v>
      </c>
      <c r="BD2213" s="1440" t="s">
        <v>13400</v>
      </c>
    </row>
    <row r="2214">
      <c r="A2214" s="44">
        <v>2214.0</v>
      </c>
      <c r="B2214" s="129" t="s">
        <v>523</v>
      </c>
      <c r="C2214" s="62" t="s">
        <v>115</v>
      </c>
      <c r="D2214" s="62" t="s">
        <v>990</v>
      </c>
      <c r="F2214" s="68" t="s">
        <v>13446</v>
      </c>
      <c r="G2214" s="159" t="s">
        <v>13385</v>
      </c>
      <c r="H2214" s="159" t="s">
        <v>13386</v>
      </c>
      <c r="I2214" s="1287" t="s">
        <v>13387</v>
      </c>
      <c r="J2214" s="1587"/>
      <c r="K2214" s="159" t="s">
        <v>138</v>
      </c>
      <c r="L2214" s="56" t="s">
        <v>13288</v>
      </c>
      <c r="M2214" s="159" t="s">
        <v>13293</v>
      </c>
      <c r="N2214" s="159" t="s">
        <v>9892</v>
      </c>
      <c r="O2214" s="156">
        <v>3.0</v>
      </c>
      <c r="P2214" s="382" t="s">
        <v>13256</v>
      </c>
      <c r="Q2214" s="52" t="str">
        <f t="array" ref="Q2214"> if(iserror(MATCH(V2214, 'File Links'!C:C, 0)), "N/A", HYPERLINK(INDEX('File Links'!B:B, MATCH(P2214, 'File Links'!C:C, 0))))</f>
        <v>https://drive.google.com/file/d/1FklynAHzflh7rbxQIU4qTxOz3VBhye8B/view?usp=drivesdk</v>
      </c>
      <c r="R2214" s="159" t="s">
        <v>13257</v>
      </c>
      <c r="S2214" s="159" t="s">
        <v>13258</v>
      </c>
      <c r="T2214" s="159" t="s">
        <v>138</v>
      </c>
      <c r="U2214" s="156">
        <v>2.0</v>
      </c>
      <c r="V2214" s="382" t="s">
        <v>13259</v>
      </c>
      <c r="W2214" s="1228"/>
      <c r="X2214" s="54" t="str">
        <f t="array" ref="X2214"> if(iserror(MATCH(V2214, 'File Links'!C:C, 0)), "N/A", HYPERLINK(INDEX('File Links'!B:B, MATCH(V2214, 'File Links'!C:C, 0))))</f>
        <v>https://drive.google.com/file/d/1hYNUJrx3yjyMoTgcG7Qz4pix-8ruWFMC/view?usp=drivesdk</v>
      </c>
      <c r="Y2214" s="159" t="s">
        <v>138</v>
      </c>
      <c r="Z2214" s="159" t="s">
        <v>226</v>
      </c>
      <c r="AA2214" s="159" t="s">
        <v>13260</v>
      </c>
      <c r="AB2214" s="159" t="s">
        <v>13389</v>
      </c>
      <c r="AC2214" s="159" t="s">
        <v>13447</v>
      </c>
      <c r="AD2214" s="159" t="s">
        <v>13448</v>
      </c>
      <c r="AE2214" s="159" t="s">
        <v>604</v>
      </c>
      <c r="AF2214" s="156">
        <v>471.0</v>
      </c>
      <c r="AG2214" s="156">
        <v>0.26</v>
      </c>
      <c r="AH2214" s="159" t="s">
        <v>173</v>
      </c>
      <c r="AI2214" s="159" t="s">
        <v>604</v>
      </c>
      <c r="AJ2214" s="156">
        <v>0.005</v>
      </c>
      <c r="AK2214" s="159" t="s">
        <v>135</v>
      </c>
      <c r="AL2214" s="159" t="s">
        <v>136</v>
      </c>
      <c r="AM2214" s="159" t="s">
        <v>137</v>
      </c>
      <c r="AN2214" s="159" t="s">
        <v>138</v>
      </c>
      <c r="AO2214" s="156">
        <v>3683.0</v>
      </c>
      <c r="AP2214" s="156">
        <v>1.05</v>
      </c>
      <c r="AQ2214" s="159" t="s">
        <v>722</v>
      </c>
      <c r="AR2214" s="159" t="s">
        <v>624</v>
      </c>
      <c r="AS2214" s="156">
        <v>0.219</v>
      </c>
      <c r="AT2214" s="159" t="s">
        <v>172</v>
      </c>
      <c r="AU2214" s="159" t="s">
        <v>136</v>
      </c>
      <c r="AV2214" s="159" t="s">
        <v>137</v>
      </c>
      <c r="AW2214" s="2007" t="s">
        <v>13263</v>
      </c>
      <c r="AX2214" s="159" t="s">
        <v>438</v>
      </c>
      <c r="AY2214" s="61" t="str">
        <f>IFERROR(__xludf.DUMMYFUNCTION("vlookup(BB2214,importrange(""https://docs.google.com/spreadsheets/d/1d2vevQ_7D_v35q4wCQ4RpQ_IPoTwEMB9Yp6ymwlPqew/edit?gid=984458430#gid=984458430"", ""'replication success'!A:K""), 11, FAlSE)"),"#N/A")</f>
        <v>#N/A</v>
      </c>
      <c r="AZ2214" s="61" t="str">
        <f>IFERROR(__xludf.DUMMYFUNCTION("vlookup(BB2214,importrange(""https://docs.google.com/spreadsheets/d/1d2vevQ_7D_v35q4wCQ4RpQ_IPoTwEMB9Yp6ymwlPqew/edit?gid=984458430#gid=984458430"", ""'replication success'!A:M""), 12, FAlSE)"),"#N/A")</f>
        <v>#N/A</v>
      </c>
      <c r="BA2214" s="61" t="str">
        <f>IFERROR(__xludf.DUMMYFUNCTION("vlookup(BB2214,importrange(""https://docs.google.com/spreadsheets/d/1d2vevQ_7D_v35q4wCQ4RpQ_IPoTwEMB9Yp6ymwlPqew/edit?gid=984458430#gid=984458430"", ""'replication success'!A:M""), 13, FAlSE)"),"#N/A")</f>
        <v>#N/A</v>
      </c>
      <c r="BB2214" s="61" t="str">
        <f>IFERROR(__xludf.DUMMYFUNCTION("REGEXREPLACE(G2214, ""_[a-z]{1,2}$"", """")"),"svodevelopment2")</f>
        <v>svodevelopment2</v>
      </c>
      <c r="BD2214" s="1440" t="s">
        <v>13400</v>
      </c>
    </row>
    <row r="2215">
      <c r="A2215" s="44">
        <v>2215.0</v>
      </c>
      <c r="B2215" s="129" t="s">
        <v>523</v>
      </c>
      <c r="C2215" s="62" t="s">
        <v>115</v>
      </c>
      <c r="D2215" s="62" t="s">
        <v>176</v>
      </c>
      <c r="F2215" s="129" t="s">
        <v>13446</v>
      </c>
      <c r="G2215" s="129" t="s">
        <v>13449</v>
      </c>
      <c r="H2215" s="151" t="s">
        <v>7252</v>
      </c>
      <c r="I2215" s="161" t="s">
        <v>13296</v>
      </c>
      <c r="J2215" s="1587"/>
      <c r="K2215" s="159"/>
      <c r="L2215" s="129" t="s">
        <v>13442</v>
      </c>
      <c r="M2215" s="129" t="s">
        <v>13293</v>
      </c>
      <c r="N2215" s="129" t="s">
        <v>9892</v>
      </c>
      <c r="O2215" s="501">
        <v>3.0</v>
      </c>
      <c r="P2215" s="309" t="s">
        <v>13256</v>
      </c>
      <c r="Q2215" s="52" t="str">
        <f t="array" ref="Q2215"> if(iserror(MATCH(V2215, 'File Links'!C:C, 0)), "N/A", HYPERLINK(INDEX('File Links'!B:B, MATCH(P2215, 'File Links'!C:C, 0))))</f>
        <v>https://drive.google.com/file/d/1FklynAHzflh7rbxQIU4qTxOz3VBhye8B/view?usp=drivesdk</v>
      </c>
      <c r="R2215" s="1697" t="s">
        <v>13257</v>
      </c>
      <c r="S2215" s="129" t="s">
        <v>13258</v>
      </c>
      <c r="T2215" s="1379"/>
      <c r="U2215" s="336"/>
      <c r="V2215" s="151" t="s">
        <v>13259</v>
      </c>
      <c r="W2215" s="159"/>
      <c r="X2215" s="54" t="str">
        <f t="array" ref="X2215"> if(iserror(MATCH(V2215, 'File Links'!C:C, 0)), "N/A", HYPERLINK(INDEX('File Links'!B:B, MATCH(V2215, 'File Links'!C:C, 0))))</f>
        <v>https://drive.google.com/file/d/1hYNUJrx3yjyMoTgcG7Qz4pix-8ruWFMC/view?usp=drivesdk</v>
      </c>
      <c r="Y2215" s="68"/>
      <c r="Z2215" s="151" t="s">
        <v>226</v>
      </c>
      <c r="AA2215" s="129" t="s">
        <v>13260</v>
      </c>
      <c r="AB2215" s="151" t="s">
        <v>13393</v>
      </c>
      <c r="AC2215" s="151" t="s">
        <v>13450</v>
      </c>
      <c r="AD2215" s="151" t="s">
        <v>13451</v>
      </c>
      <c r="AE2215" s="151" t="s">
        <v>604</v>
      </c>
      <c r="AF2215" s="161">
        <v>554.0</v>
      </c>
      <c r="AG2215" s="161" t="s">
        <v>13452</v>
      </c>
      <c r="AH2215" s="151" t="s">
        <v>134</v>
      </c>
      <c r="AI2215" s="151" t="s">
        <v>4979</v>
      </c>
      <c r="AJ2215" s="161">
        <v>0.005</v>
      </c>
      <c r="AK2215" s="151" t="s">
        <v>135</v>
      </c>
      <c r="AL2215" s="151" t="s">
        <v>186</v>
      </c>
      <c r="AM2215" s="129" t="s">
        <v>137</v>
      </c>
      <c r="AN2215" s="68"/>
      <c r="AO2215" s="161">
        <v>2644.0</v>
      </c>
      <c r="AP2215" s="161">
        <v>1.91</v>
      </c>
      <c r="AQ2215" s="151" t="s">
        <v>134</v>
      </c>
      <c r="AR2215" s="151" t="s">
        <v>13406</v>
      </c>
      <c r="AS2215" s="161">
        <v>0.56</v>
      </c>
      <c r="AT2215" s="151" t="s">
        <v>172</v>
      </c>
      <c r="AU2215" s="151" t="s">
        <v>186</v>
      </c>
      <c r="AV2215" s="129" t="s">
        <v>137</v>
      </c>
      <c r="AW2215" s="435"/>
      <c r="AX2215" s="129" t="s">
        <v>151</v>
      </c>
      <c r="AY2215" s="61" t="str">
        <f>IFERROR(__xludf.DUMMYFUNCTION("vlookup(BB2215,importrange(""https://docs.google.com/spreadsheets/d/1d2vevQ_7D_v35q4wCQ4RpQ_IPoTwEMB9Yp6ymwlPqew/edit?gid=984458430#gid=984458430"", ""'replication success'!A:K""), 11, FAlSE)"),"#N/A")</f>
        <v>#N/A</v>
      </c>
      <c r="AZ2215" s="61" t="str">
        <f>IFERROR(__xludf.DUMMYFUNCTION("vlookup(BB2215,importrange(""https://docs.google.com/spreadsheets/d/1d2vevQ_7D_v35q4wCQ4RpQ_IPoTwEMB9Yp6ymwlPqew/edit?gid=984458430#gid=984458430"", ""'replication success'!A:M""), 12, FAlSE)"),"#N/A")</f>
        <v>#N/A</v>
      </c>
      <c r="BA2215" s="61" t="str">
        <f>IFERROR(__xludf.DUMMYFUNCTION("vlookup(BB2215,importrange(""https://docs.google.com/spreadsheets/d/1d2vevQ_7D_v35q4wCQ4RpQ_IPoTwEMB9Yp6ymwlPqew/edit?gid=984458430#gid=984458430"", ""'replication success'!A:M""), 13, FAlSE)"),"#N/A")</f>
        <v>#N/A</v>
      </c>
      <c r="BB2215" s="61" t="str">
        <f>IFERROR(__xludf.DUMMYFUNCTION("REGEXREPLACE(G2215, ""_[a-z]{1,2}$"", """")"),"svodevelopment2_3e")</f>
        <v>svodevelopment2_3e</v>
      </c>
      <c r="BD2215" s="1440" t="s">
        <v>13400</v>
      </c>
    </row>
    <row r="2216">
      <c r="A2216" s="44">
        <v>2216.0</v>
      </c>
      <c r="B2216" s="129" t="s">
        <v>523</v>
      </c>
      <c r="C2216" s="62" t="s">
        <v>115</v>
      </c>
      <c r="D2216" s="62" t="s">
        <v>990</v>
      </c>
      <c r="F2216" s="68" t="s">
        <v>13453</v>
      </c>
      <c r="G2216" s="159" t="s">
        <v>13385</v>
      </c>
      <c r="H2216" s="159" t="s">
        <v>13386</v>
      </c>
      <c r="I2216" s="1287" t="s">
        <v>13387</v>
      </c>
      <c r="J2216" s="1587"/>
      <c r="K2216" s="159" t="s">
        <v>138</v>
      </c>
      <c r="L2216" s="56" t="s">
        <v>13288</v>
      </c>
      <c r="M2216" s="159" t="s">
        <v>13293</v>
      </c>
      <c r="N2216" s="159" t="s">
        <v>9892</v>
      </c>
      <c r="O2216" s="156">
        <v>3.0</v>
      </c>
      <c r="P2216" s="382" t="s">
        <v>13256</v>
      </c>
      <c r="Q2216" s="52" t="str">
        <f t="array" ref="Q2216"> if(iserror(MATCH(V2216, 'File Links'!C:C, 0)), "N/A", HYPERLINK(INDEX('File Links'!B:B, MATCH(P2216, 'File Links'!C:C, 0))))</f>
        <v>https://drive.google.com/file/d/1FklynAHzflh7rbxQIU4qTxOz3VBhye8B/view?usp=drivesdk</v>
      </c>
      <c r="R2216" s="159" t="s">
        <v>13257</v>
      </c>
      <c r="S2216" s="159" t="s">
        <v>13258</v>
      </c>
      <c r="T2216" s="159" t="s">
        <v>138</v>
      </c>
      <c r="U2216" s="156">
        <v>2.0</v>
      </c>
      <c r="V2216" s="382" t="s">
        <v>13259</v>
      </c>
      <c r="W2216" s="1228"/>
      <c r="X2216" s="54" t="str">
        <f t="array" ref="X2216"> if(iserror(MATCH(V2216, 'File Links'!C:C, 0)), "N/A", HYPERLINK(INDEX('File Links'!B:B, MATCH(V2216, 'File Links'!C:C, 0))))</f>
        <v>https://drive.google.com/file/d/1hYNUJrx3yjyMoTgcG7Qz4pix-8ruWFMC/view?usp=drivesdk</v>
      </c>
      <c r="Y2216" s="159" t="s">
        <v>138</v>
      </c>
      <c r="Z2216" s="159" t="s">
        <v>226</v>
      </c>
      <c r="AA2216" s="159" t="s">
        <v>13260</v>
      </c>
      <c r="AB2216" s="159" t="s">
        <v>13389</v>
      </c>
      <c r="AC2216" s="159" t="s">
        <v>13454</v>
      </c>
      <c r="AD2216" s="159" t="s">
        <v>13448</v>
      </c>
      <c r="AE2216" s="159" t="s">
        <v>604</v>
      </c>
      <c r="AF2216" s="156">
        <v>384.0</v>
      </c>
      <c r="AG2216" s="156">
        <v>0.05</v>
      </c>
      <c r="AH2216" s="159" t="s">
        <v>173</v>
      </c>
      <c r="AI2216" s="159" t="s">
        <v>604</v>
      </c>
      <c r="AJ2216" s="156">
        <v>0.05</v>
      </c>
      <c r="AK2216" s="159" t="s">
        <v>335</v>
      </c>
      <c r="AL2216" s="159" t="s">
        <v>136</v>
      </c>
      <c r="AM2216" s="159" t="s">
        <v>137</v>
      </c>
      <c r="AN2216" s="159" t="s">
        <v>138</v>
      </c>
      <c r="AO2216" s="156">
        <v>3683.0</v>
      </c>
      <c r="AP2216" s="156">
        <v>1.05</v>
      </c>
      <c r="AQ2216" s="159" t="s">
        <v>722</v>
      </c>
      <c r="AR2216" s="159" t="s">
        <v>624</v>
      </c>
      <c r="AS2216" s="156">
        <v>0.219</v>
      </c>
      <c r="AT2216" s="159" t="s">
        <v>172</v>
      </c>
      <c r="AU2216" s="159" t="s">
        <v>136</v>
      </c>
      <c r="AV2216" s="159" t="s">
        <v>137</v>
      </c>
      <c r="AW2216" s="2007" t="s">
        <v>13263</v>
      </c>
      <c r="AX2216" s="159" t="s">
        <v>438</v>
      </c>
      <c r="AY2216" s="61" t="str">
        <f>IFERROR(__xludf.DUMMYFUNCTION("vlookup(BB2216,importrange(""https://docs.google.com/spreadsheets/d/1d2vevQ_7D_v35q4wCQ4RpQ_IPoTwEMB9Yp6ymwlPqew/edit?gid=984458430#gid=984458430"", ""'replication success'!A:K""), 11, FAlSE)"),"#N/A")</f>
        <v>#N/A</v>
      </c>
      <c r="AZ2216" s="61" t="str">
        <f>IFERROR(__xludf.DUMMYFUNCTION("vlookup(BB2216,importrange(""https://docs.google.com/spreadsheets/d/1d2vevQ_7D_v35q4wCQ4RpQ_IPoTwEMB9Yp6ymwlPqew/edit?gid=984458430#gid=984458430"", ""'replication success'!A:M""), 12, FAlSE)"),"#N/A")</f>
        <v>#N/A</v>
      </c>
      <c r="BA2216" s="61" t="str">
        <f>IFERROR(__xludf.DUMMYFUNCTION("vlookup(BB2216,importrange(""https://docs.google.com/spreadsheets/d/1d2vevQ_7D_v35q4wCQ4RpQ_IPoTwEMB9Yp6ymwlPqew/edit?gid=984458430#gid=984458430"", ""'replication success'!A:M""), 13, FAlSE)"),"#N/A")</f>
        <v>#N/A</v>
      </c>
      <c r="BB2216" s="61" t="str">
        <f>IFERROR(__xludf.DUMMYFUNCTION("REGEXREPLACE(G2216, ""_[a-z]{1,2}$"", """")"),"svodevelopment2")</f>
        <v>svodevelopment2</v>
      </c>
      <c r="BD2216" s="1440" t="s">
        <v>13400</v>
      </c>
    </row>
    <row r="2217">
      <c r="A2217" s="44">
        <v>2217.0</v>
      </c>
      <c r="B2217" s="129" t="s">
        <v>523</v>
      </c>
      <c r="C2217" s="62" t="s">
        <v>115</v>
      </c>
      <c r="D2217" s="62" t="s">
        <v>176</v>
      </c>
      <c r="F2217" s="129" t="s">
        <v>13453</v>
      </c>
      <c r="G2217" s="129" t="s">
        <v>13455</v>
      </c>
      <c r="H2217" s="151" t="s">
        <v>7252</v>
      </c>
      <c r="I2217" s="161" t="s">
        <v>13296</v>
      </c>
      <c r="J2217" s="1587"/>
      <c r="K2217" s="159"/>
      <c r="L2217" s="129" t="s">
        <v>13402</v>
      </c>
      <c r="M2217" s="129" t="s">
        <v>13293</v>
      </c>
      <c r="N2217" s="129" t="s">
        <v>9892</v>
      </c>
      <c r="O2217" s="501">
        <v>3.0</v>
      </c>
      <c r="P2217" s="309" t="s">
        <v>13256</v>
      </c>
      <c r="Q2217" s="52" t="str">
        <f t="array" ref="Q2217"> if(iserror(MATCH(V2217, 'File Links'!C:C, 0)), "N/A", HYPERLINK(INDEX('File Links'!B:B, MATCH(P2217, 'File Links'!C:C, 0))))</f>
        <v>https://drive.google.com/file/d/1FklynAHzflh7rbxQIU4qTxOz3VBhye8B/view?usp=drivesdk</v>
      </c>
      <c r="R2217" s="1697" t="s">
        <v>13257</v>
      </c>
      <c r="S2217" s="129" t="s">
        <v>13258</v>
      </c>
      <c r="T2217" s="1379"/>
      <c r="U2217" s="336"/>
      <c r="V2217" s="151" t="s">
        <v>13259</v>
      </c>
      <c r="W2217" s="159"/>
      <c r="X2217" s="54" t="str">
        <f t="array" ref="X2217"> if(iserror(MATCH(V2217, 'File Links'!C:C, 0)), "N/A", HYPERLINK(INDEX('File Links'!B:B, MATCH(V2217, 'File Links'!C:C, 0))))</f>
        <v>https://drive.google.com/file/d/1hYNUJrx3yjyMoTgcG7Qz4pix-8ruWFMC/view?usp=drivesdk</v>
      </c>
      <c r="Y2217" s="68"/>
      <c r="Z2217" s="151" t="s">
        <v>226</v>
      </c>
      <c r="AA2217" s="129" t="s">
        <v>13260</v>
      </c>
      <c r="AB2217" s="151" t="s">
        <v>13393</v>
      </c>
      <c r="AC2217" s="151" t="s">
        <v>13456</v>
      </c>
      <c r="AD2217" s="151" t="s">
        <v>13457</v>
      </c>
      <c r="AE2217" s="151" t="s">
        <v>604</v>
      </c>
      <c r="AF2217" s="161">
        <v>554.0</v>
      </c>
      <c r="AG2217" s="161" t="s">
        <v>13458</v>
      </c>
      <c r="AH2217" s="151" t="s">
        <v>134</v>
      </c>
      <c r="AI2217" s="151" t="s">
        <v>4979</v>
      </c>
      <c r="AJ2217" s="161">
        <v>0.05</v>
      </c>
      <c r="AK2217" s="151" t="s">
        <v>135</v>
      </c>
      <c r="AL2217" s="151" t="s">
        <v>186</v>
      </c>
      <c r="AM2217" s="129" t="s">
        <v>137</v>
      </c>
      <c r="AN2217" s="68"/>
      <c r="AO2217" s="161">
        <v>2644.0</v>
      </c>
      <c r="AP2217" s="156"/>
      <c r="AQ2217" s="159"/>
      <c r="AR2217" s="151" t="s">
        <v>13406</v>
      </c>
      <c r="AS2217" s="156"/>
      <c r="AT2217" s="159"/>
      <c r="AU2217" s="159"/>
      <c r="AV2217" s="68"/>
      <c r="AW2217" s="435"/>
      <c r="AX2217" s="129" t="s">
        <v>151</v>
      </c>
      <c r="AY2217" s="61" t="str">
        <f>IFERROR(__xludf.DUMMYFUNCTION("vlookup(BB2217,importrange(""https://docs.google.com/spreadsheets/d/1d2vevQ_7D_v35q4wCQ4RpQ_IPoTwEMB9Yp6ymwlPqew/edit?gid=984458430#gid=984458430"", ""'replication success'!A:K""), 11, FAlSE)"),"#N/A")</f>
        <v>#N/A</v>
      </c>
      <c r="AZ2217" s="61" t="str">
        <f>IFERROR(__xludf.DUMMYFUNCTION("vlookup(BB2217,importrange(""https://docs.google.com/spreadsheets/d/1d2vevQ_7D_v35q4wCQ4RpQ_IPoTwEMB9Yp6ymwlPqew/edit?gid=984458430#gid=984458430"", ""'replication success'!A:M""), 12, FAlSE)"),"#N/A")</f>
        <v>#N/A</v>
      </c>
      <c r="BA2217" s="61" t="str">
        <f>IFERROR(__xludf.DUMMYFUNCTION("vlookup(BB2217,importrange(""https://docs.google.com/spreadsheets/d/1d2vevQ_7D_v35q4wCQ4RpQ_IPoTwEMB9Yp6ymwlPqew/edit?gid=984458430#gid=984458430"", ""'replication success'!A:M""), 13, FAlSE)"),"#N/A")</f>
        <v>#N/A</v>
      </c>
      <c r="BB2217" s="61" t="str">
        <f>IFERROR(__xludf.DUMMYFUNCTION("REGEXREPLACE(G2217, ""_[a-z]{1,2}$"", """")"),"svodevelopment2_3f")</f>
        <v>svodevelopment2_3f</v>
      </c>
      <c r="BD2217" s="1440" t="s">
        <v>13400</v>
      </c>
    </row>
    <row r="2218">
      <c r="A2218" s="44">
        <v>2218.0</v>
      </c>
      <c r="B2218" s="129" t="s">
        <v>523</v>
      </c>
      <c r="C2218" s="62" t="s">
        <v>115</v>
      </c>
      <c r="D2218" s="62" t="s">
        <v>990</v>
      </c>
      <c r="F2218" s="68" t="s">
        <v>13459</v>
      </c>
      <c r="G2218" s="159" t="s">
        <v>13385</v>
      </c>
      <c r="H2218" s="159" t="s">
        <v>13386</v>
      </c>
      <c r="I2218" s="1287" t="s">
        <v>13387</v>
      </c>
      <c r="J2218" s="1587"/>
      <c r="K2218" s="159" t="s">
        <v>138</v>
      </c>
      <c r="L2218" s="56" t="s">
        <v>13288</v>
      </c>
      <c r="M2218" s="159" t="s">
        <v>13293</v>
      </c>
      <c r="N2218" s="159" t="s">
        <v>9892</v>
      </c>
      <c r="O2218" s="156">
        <v>3.0</v>
      </c>
      <c r="P2218" s="382" t="s">
        <v>13256</v>
      </c>
      <c r="Q2218" s="52" t="str">
        <f t="array" ref="Q2218"> if(iserror(MATCH(V2218, 'File Links'!C:C, 0)), "N/A", HYPERLINK(INDEX('File Links'!B:B, MATCH(P2218, 'File Links'!C:C, 0))))</f>
        <v>https://drive.google.com/file/d/1FklynAHzflh7rbxQIU4qTxOz3VBhye8B/view?usp=drivesdk</v>
      </c>
      <c r="R2218" s="159" t="s">
        <v>13257</v>
      </c>
      <c r="S2218" s="159" t="s">
        <v>13258</v>
      </c>
      <c r="T2218" s="159" t="s">
        <v>138</v>
      </c>
      <c r="U2218" s="156">
        <v>2.0</v>
      </c>
      <c r="V2218" s="382" t="s">
        <v>13259</v>
      </c>
      <c r="W2218" s="1228"/>
      <c r="X2218" s="54" t="str">
        <f t="array" ref="X2218"> if(iserror(MATCH(V2218, 'File Links'!C:C, 0)), "N/A", HYPERLINK(INDEX('File Links'!B:B, MATCH(V2218, 'File Links'!C:C, 0))))</f>
        <v>https://drive.google.com/file/d/1hYNUJrx3yjyMoTgcG7Qz4pix-8ruWFMC/view?usp=drivesdk</v>
      </c>
      <c r="Y2218" s="159" t="s">
        <v>138</v>
      </c>
      <c r="Z2218" s="159" t="s">
        <v>226</v>
      </c>
      <c r="AA2218" s="159" t="s">
        <v>13260</v>
      </c>
      <c r="AB2218" s="159" t="s">
        <v>13389</v>
      </c>
      <c r="AC2218" s="159" t="s">
        <v>13460</v>
      </c>
      <c r="AD2218" s="159" t="s">
        <v>13420</v>
      </c>
      <c r="AE2218" s="159" t="s">
        <v>4979</v>
      </c>
      <c r="AF2218" s="156">
        <v>471.0</v>
      </c>
      <c r="AG2218" s="156">
        <v>0.287</v>
      </c>
      <c r="AH2218" s="159" t="s">
        <v>173</v>
      </c>
      <c r="AI2218" s="159" t="s">
        <v>4979</v>
      </c>
      <c r="AJ2218" s="156">
        <v>0.05</v>
      </c>
      <c r="AK2218" s="159" t="s">
        <v>135</v>
      </c>
      <c r="AL2218" s="159" t="s">
        <v>136</v>
      </c>
      <c r="AM2218" s="159" t="s">
        <v>137</v>
      </c>
      <c r="AN2218" s="159" t="s">
        <v>138</v>
      </c>
      <c r="AO2218" s="156">
        <v>3683.0</v>
      </c>
      <c r="AP2218" s="156">
        <v>0.07</v>
      </c>
      <c r="AQ2218" s="159" t="s">
        <v>722</v>
      </c>
      <c r="AR2218" s="159" t="s">
        <v>624</v>
      </c>
      <c r="AS2218" s="156">
        <v>0.001</v>
      </c>
      <c r="AT2218" s="159" t="s">
        <v>135</v>
      </c>
      <c r="AU2218" s="159" t="s">
        <v>136</v>
      </c>
      <c r="AV2218" s="159" t="s">
        <v>137</v>
      </c>
      <c r="AW2218" s="2007" t="s">
        <v>13263</v>
      </c>
      <c r="AX2218" s="159" t="s">
        <v>438</v>
      </c>
      <c r="AY2218" s="61" t="str">
        <f>IFERROR(__xludf.DUMMYFUNCTION("vlookup(BB2218,importrange(""https://docs.google.com/spreadsheets/d/1d2vevQ_7D_v35q4wCQ4RpQ_IPoTwEMB9Yp6ymwlPqew/edit?gid=984458430#gid=984458430"", ""'replication success'!A:K""), 11, FAlSE)"),"#N/A")</f>
        <v>#N/A</v>
      </c>
      <c r="AZ2218" s="61" t="str">
        <f>IFERROR(__xludf.DUMMYFUNCTION("vlookup(BB2218,importrange(""https://docs.google.com/spreadsheets/d/1d2vevQ_7D_v35q4wCQ4RpQ_IPoTwEMB9Yp6ymwlPqew/edit?gid=984458430#gid=984458430"", ""'replication success'!A:M""), 12, FAlSE)"),"#N/A")</f>
        <v>#N/A</v>
      </c>
      <c r="BA2218" s="61" t="str">
        <f>IFERROR(__xludf.DUMMYFUNCTION("vlookup(BB2218,importrange(""https://docs.google.com/spreadsheets/d/1d2vevQ_7D_v35q4wCQ4RpQ_IPoTwEMB9Yp6ymwlPqew/edit?gid=984458430#gid=984458430"", ""'replication success'!A:M""), 13, FAlSE)"),"#N/A")</f>
        <v>#N/A</v>
      </c>
      <c r="BB2218" s="61" t="str">
        <f>IFERROR(__xludf.DUMMYFUNCTION("REGEXREPLACE(G2218, ""_[a-z]{1,2}$"", """")"),"svodevelopment2")</f>
        <v>svodevelopment2</v>
      </c>
      <c r="BD2218" s="1440" t="s">
        <v>13400</v>
      </c>
    </row>
    <row r="2219">
      <c r="A2219" s="44">
        <v>2219.0</v>
      </c>
      <c r="B2219" s="129" t="s">
        <v>523</v>
      </c>
      <c r="C2219" s="62" t="s">
        <v>115</v>
      </c>
      <c r="D2219" s="62" t="s">
        <v>176</v>
      </c>
      <c r="F2219" s="129" t="s">
        <v>13459</v>
      </c>
      <c r="G2219" s="129" t="s">
        <v>13461</v>
      </c>
      <c r="H2219" s="151" t="s">
        <v>7252</v>
      </c>
      <c r="I2219" s="161" t="s">
        <v>13296</v>
      </c>
      <c r="J2219" s="1587"/>
      <c r="K2219" s="159"/>
      <c r="L2219" s="129" t="s">
        <v>13410</v>
      </c>
      <c r="M2219" s="129" t="s">
        <v>13293</v>
      </c>
      <c r="N2219" s="129" t="s">
        <v>9892</v>
      </c>
      <c r="O2219" s="501">
        <v>3.0</v>
      </c>
      <c r="P2219" s="309" t="s">
        <v>13256</v>
      </c>
      <c r="Q2219" s="52" t="str">
        <f t="array" ref="Q2219"> if(iserror(MATCH(V2219, 'File Links'!C:C, 0)), "N/A", HYPERLINK(INDEX('File Links'!B:B, MATCH(P2219, 'File Links'!C:C, 0))))</f>
        <v>https://drive.google.com/file/d/1FklynAHzflh7rbxQIU4qTxOz3VBhye8B/view?usp=drivesdk</v>
      </c>
      <c r="R2219" s="1697" t="s">
        <v>13257</v>
      </c>
      <c r="S2219" s="129" t="s">
        <v>13258</v>
      </c>
      <c r="T2219" s="1379"/>
      <c r="U2219" s="336"/>
      <c r="V2219" s="151" t="s">
        <v>13259</v>
      </c>
      <c r="W2219" s="159"/>
      <c r="X2219" s="54" t="str">
        <f t="array" ref="X2219"> if(iserror(MATCH(V2219, 'File Links'!C:C, 0)), "N/A", HYPERLINK(INDEX('File Links'!B:B, MATCH(V2219, 'File Links'!C:C, 0))))</f>
        <v>https://drive.google.com/file/d/1hYNUJrx3yjyMoTgcG7Qz4pix-8ruWFMC/view?usp=drivesdk</v>
      </c>
      <c r="Y2219" s="68"/>
      <c r="Z2219" s="151" t="s">
        <v>226</v>
      </c>
      <c r="AA2219" s="129" t="s">
        <v>13260</v>
      </c>
      <c r="AB2219" s="151" t="s">
        <v>13393</v>
      </c>
      <c r="AC2219" s="151" t="s">
        <v>13462</v>
      </c>
      <c r="AD2219" s="151" t="s">
        <v>13463</v>
      </c>
      <c r="AE2219" s="151" t="s">
        <v>604</v>
      </c>
      <c r="AF2219" s="161">
        <v>554.0</v>
      </c>
      <c r="AG2219" s="156"/>
      <c r="AH2219" s="159"/>
      <c r="AI2219" s="151" t="s">
        <v>4979</v>
      </c>
      <c r="AJ2219" s="156"/>
      <c r="AK2219" s="159"/>
      <c r="AL2219" s="159"/>
      <c r="AM2219" s="68"/>
      <c r="AN2219" s="68"/>
      <c r="AO2219" s="161">
        <v>2644.0</v>
      </c>
      <c r="AP2219" s="156"/>
      <c r="AQ2219" s="159"/>
      <c r="AR2219" s="151" t="s">
        <v>13406</v>
      </c>
      <c r="AS2219" s="156"/>
      <c r="AT2219" s="159"/>
      <c r="AU2219" s="159"/>
      <c r="AV2219" s="68"/>
      <c r="AW2219" s="435"/>
      <c r="AX2219" s="129" t="s">
        <v>151</v>
      </c>
      <c r="AY2219" s="61" t="str">
        <f>IFERROR(__xludf.DUMMYFUNCTION("vlookup(BB2219,importrange(""https://docs.google.com/spreadsheets/d/1d2vevQ_7D_v35q4wCQ4RpQ_IPoTwEMB9Yp6ymwlPqew/edit?gid=984458430#gid=984458430"", ""'replication success'!A:K""), 11, FAlSE)"),"#N/A")</f>
        <v>#N/A</v>
      </c>
      <c r="AZ2219" s="61" t="str">
        <f>IFERROR(__xludf.DUMMYFUNCTION("vlookup(BB2219,importrange(""https://docs.google.com/spreadsheets/d/1d2vevQ_7D_v35q4wCQ4RpQ_IPoTwEMB9Yp6ymwlPqew/edit?gid=984458430#gid=984458430"", ""'replication success'!A:M""), 12, FAlSE)"),"#N/A")</f>
        <v>#N/A</v>
      </c>
      <c r="BA2219" s="61" t="str">
        <f>IFERROR(__xludf.DUMMYFUNCTION("vlookup(BB2219,importrange(""https://docs.google.com/spreadsheets/d/1d2vevQ_7D_v35q4wCQ4RpQ_IPoTwEMB9Yp6ymwlPqew/edit?gid=984458430#gid=984458430"", ""'replication success'!A:M""), 13, FAlSE)"),"#N/A")</f>
        <v>#N/A</v>
      </c>
      <c r="BB2219" s="61" t="str">
        <f>IFERROR(__xludf.DUMMYFUNCTION("REGEXREPLACE(G2219, ""_[a-z]{1,2}$"", """")"),"svodevelopment2_3g")</f>
        <v>svodevelopment2_3g</v>
      </c>
      <c r="BD2219" s="1440" t="s">
        <v>13400</v>
      </c>
    </row>
    <row r="2220">
      <c r="A2220" s="44">
        <v>2220.0</v>
      </c>
      <c r="B2220" s="129" t="s">
        <v>523</v>
      </c>
      <c r="C2220" s="62" t="s">
        <v>115</v>
      </c>
      <c r="D2220" s="62" t="s">
        <v>990</v>
      </c>
      <c r="F2220" s="68" t="s">
        <v>13464</v>
      </c>
      <c r="G2220" s="159" t="s">
        <v>13385</v>
      </c>
      <c r="H2220" s="159" t="s">
        <v>13386</v>
      </c>
      <c r="I2220" s="1287" t="s">
        <v>13387</v>
      </c>
      <c r="J2220" s="1587"/>
      <c r="K2220" s="159" t="s">
        <v>138</v>
      </c>
      <c r="L2220" s="56" t="s">
        <v>13288</v>
      </c>
      <c r="M2220" s="159" t="s">
        <v>13255</v>
      </c>
      <c r="N2220" s="159" t="s">
        <v>9892</v>
      </c>
      <c r="O2220" s="156">
        <v>1.0</v>
      </c>
      <c r="P2220" s="382" t="s">
        <v>13256</v>
      </c>
      <c r="Q2220" s="52" t="str">
        <f t="array" ref="Q2220"> if(iserror(MATCH(V2220, 'File Links'!C:C, 0)), "N/A", HYPERLINK(INDEX('File Links'!B:B, MATCH(P2220, 'File Links'!C:C, 0))))</f>
        <v>https://drive.google.com/file/d/1FklynAHzflh7rbxQIU4qTxOz3VBhye8B/view?usp=drivesdk</v>
      </c>
      <c r="R2220" s="159" t="s">
        <v>13257</v>
      </c>
      <c r="S2220" s="159" t="s">
        <v>13258</v>
      </c>
      <c r="T2220" s="159" t="s">
        <v>138</v>
      </c>
      <c r="U2220" s="156">
        <v>2.0</v>
      </c>
      <c r="V2220" s="382" t="s">
        <v>13259</v>
      </c>
      <c r="W2220" s="1228"/>
      <c r="X2220" s="54" t="str">
        <f t="array" ref="X2220"> if(iserror(MATCH(V2220, 'File Links'!C:C, 0)), "N/A", HYPERLINK(INDEX('File Links'!B:B, MATCH(V2220, 'File Links'!C:C, 0))))</f>
        <v>https://drive.google.com/file/d/1hYNUJrx3yjyMoTgcG7Qz4pix-8ruWFMC/view?usp=drivesdk</v>
      </c>
      <c r="Y2220" s="159" t="s">
        <v>138</v>
      </c>
      <c r="Z2220" s="159" t="s">
        <v>226</v>
      </c>
      <c r="AA2220" s="159" t="s">
        <v>13260</v>
      </c>
      <c r="AB2220" s="159" t="s">
        <v>13389</v>
      </c>
      <c r="AC2220" s="159" t="s">
        <v>13465</v>
      </c>
      <c r="AD2220" s="159" t="s">
        <v>13391</v>
      </c>
      <c r="AE2220" s="159" t="s">
        <v>1042</v>
      </c>
      <c r="AF2220" s="156">
        <v>101.0</v>
      </c>
      <c r="AG2220" s="156">
        <v>0.183</v>
      </c>
      <c r="AH2220" s="159" t="s">
        <v>173</v>
      </c>
      <c r="AI2220" s="159" t="s">
        <v>1042</v>
      </c>
      <c r="AJ2220" s="156">
        <v>0.05</v>
      </c>
      <c r="AK2220" s="159" t="s">
        <v>135</v>
      </c>
      <c r="AL2220" s="159" t="s">
        <v>136</v>
      </c>
      <c r="AM2220" s="159" t="s">
        <v>137</v>
      </c>
      <c r="AN2220" s="159" t="s">
        <v>138</v>
      </c>
      <c r="AO2220" s="156">
        <v>3762.0</v>
      </c>
      <c r="AP2220" s="156">
        <v>1.14</v>
      </c>
      <c r="AQ2220" s="159" t="s">
        <v>722</v>
      </c>
      <c r="AR2220" s="159" t="s">
        <v>624</v>
      </c>
      <c r="AS2220" s="156">
        <v>0.001</v>
      </c>
      <c r="AT2220" s="159" t="s">
        <v>135</v>
      </c>
      <c r="AU2220" s="159" t="s">
        <v>136</v>
      </c>
      <c r="AV2220" s="159" t="s">
        <v>137</v>
      </c>
      <c r="AW2220" s="2007" t="s">
        <v>13263</v>
      </c>
      <c r="AX2220" s="159" t="s">
        <v>438</v>
      </c>
      <c r="AY2220" s="61" t="str">
        <f>IFERROR(__xludf.DUMMYFUNCTION("vlookup(BB2220,importrange(""https://docs.google.com/spreadsheets/d/1d2vevQ_7D_v35q4wCQ4RpQ_IPoTwEMB9Yp6ymwlPqew/edit?gid=984458430#gid=984458430"", ""'replication success'!A:K""), 11, FAlSE)"),"#N/A")</f>
        <v>#N/A</v>
      </c>
      <c r="AZ2220" s="61" t="str">
        <f>IFERROR(__xludf.DUMMYFUNCTION("vlookup(BB2220,importrange(""https://docs.google.com/spreadsheets/d/1d2vevQ_7D_v35q4wCQ4RpQ_IPoTwEMB9Yp6ymwlPqew/edit?gid=984458430#gid=984458430"", ""'replication success'!A:M""), 12, FAlSE)"),"#N/A")</f>
        <v>#N/A</v>
      </c>
      <c r="BA2220" s="61" t="str">
        <f>IFERROR(__xludf.DUMMYFUNCTION("vlookup(BB2220,importrange(""https://docs.google.com/spreadsheets/d/1d2vevQ_7D_v35q4wCQ4RpQ_IPoTwEMB9Yp6ymwlPqew/edit?gid=984458430#gid=984458430"", ""'replication success'!A:M""), 13, FAlSE)"),"#N/A")</f>
        <v>#N/A</v>
      </c>
      <c r="BB2220" s="61" t="str">
        <f>IFERROR(__xludf.DUMMYFUNCTION("REGEXREPLACE(G2220, ""_[a-z]{1,2}$"", """")"),"svodevelopment2")</f>
        <v>svodevelopment2</v>
      </c>
      <c r="BD2220" s="1440" t="s">
        <v>13400</v>
      </c>
    </row>
    <row r="2221">
      <c r="A2221" s="44">
        <v>2221.0</v>
      </c>
      <c r="B2221" s="129" t="s">
        <v>523</v>
      </c>
      <c r="C2221" s="62" t="s">
        <v>115</v>
      </c>
      <c r="D2221" s="62" t="s">
        <v>176</v>
      </c>
      <c r="F2221" s="129" t="s">
        <v>13464</v>
      </c>
      <c r="G2221" s="129" t="s">
        <v>13466</v>
      </c>
      <c r="H2221" s="151" t="s">
        <v>7252</v>
      </c>
      <c r="I2221" s="161" t="s">
        <v>13296</v>
      </c>
      <c r="J2221" s="1587"/>
      <c r="K2221" s="159"/>
      <c r="L2221" s="129" t="s">
        <v>13467</v>
      </c>
      <c r="M2221" s="129" t="s">
        <v>13255</v>
      </c>
      <c r="N2221" s="129" t="s">
        <v>9892</v>
      </c>
      <c r="O2221" s="501">
        <v>1.0</v>
      </c>
      <c r="P2221" s="309" t="s">
        <v>13256</v>
      </c>
      <c r="Q2221" s="52" t="str">
        <f t="array" ref="Q2221"> if(iserror(MATCH(V2221, 'File Links'!C:C, 0)), "N/A", HYPERLINK(INDEX('File Links'!B:B, MATCH(P2221, 'File Links'!C:C, 0))))</f>
        <v>https://drive.google.com/file/d/1FklynAHzflh7rbxQIU4qTxOz3VBhye8B/view?usp=drivesdk</v>
      </c>
      <c r="R2221" s="1697" t="s">
        <v>13257</v>
      </c>
      <c r="S2221" s="129" t="s">
        <v>13258</v>
      </c>
      <c r="T2221" s="1379"/>
      <c r="U2221" s="336"/>
      <c r="V2221" s="151" t="s">
        <v>13259</v>
      </c>
      <c r="W2221" s="151" t="s">
        <v>672</v>
      </c>
      <c r="X2221" s="54" t="str">
        <f t="array" ref="X2221"> if(iserror(MATCH(V2221, 'File Links'!C:C, 0)), "N/A", HYPERLINK(INDEX('File Links'!B:B, MATCH(V2221, 'File Links'!C:C, 0))))</f>
        <v>https://drive.google.com/file/d/1hYNUJrx3yjyMoTgcG7Qz4pix-8ruWFMC/view?usp=drivesdk</v>
      </c>
      <c r="Y2221" s="68"/>
      <c r="Z2221" s="151" t="s">
        <v>226</v>
      </c>
      <c r="AA2221" s="129" t="s">
        <v>13260</v>
      </c>
      <c r="AB2221" s="151" t="s">
        <v>13393</v>
      </c>
      <c r="AC2221" s="151" t="s">
        <v>13468</v>
      </c>
      <c r="AD2221" s="151" t="s">
        <v>13469</v>
      </c>
      <c r="AE2221" s="151" t="s">
        <v>496</v>
      </c>
      <c r="AF2221" s="161">
        <v>447.0</v>
      </c>
      <c r="AG2221" s="161" t="s">
        <v>13470</v>
      </c>
      <c r="AH2221" s="151" t="s">
        <v>134</v>
      </c>
      <c r="AI2221" s="151" t="s">
        <v>496</v>
      </c>
      <c r="AJ2221" s="161">
        <v>0.001</v>
      </c>
      <c r="AK2221" s="151" t="s">
        <v>135</v>
      </c>
      <c r="AL2221" s="151" t="s">
        <v>186</v>
      </c>
      <c r="AM2221" s="129" t="s">
        <v>137</v>
      </c>
      <c r="AN2221" s="68"/>
      <c r="AO2221" s="161">
        <v>2644.0</v>
      </c>
      <c r="AP2221" s="161">
        <v>2.23</v>
      </c>
      <c r="AQ2221" s="151" t="s">
        <v>134</v>
      </c>
      <c r="AR2221" s="151" t="s">
        <v>13406</v>
      </c>
      <c r="AS2221" s="161">
        <v>0.026</v>
      </c>
      <c r="AT2221" s="151" t="s">
        <v>172</v>
      </c>
      <c r="AU2221" s="151" t="s">
        <v>186</v>
      </c>
      <c r="AV2221" s="129" t="s">
        <v>137</v>
      </c>
      <c r="AW2221" s="435"/>
      <c r="AX2221" s="129" t="s">
        <v>151</v>
      </c>
      <c r="AY2221" s="61" t="str">
        <f>IFERROR(__xludf.DUMMYFUNCTION("vlookup(BB2221,importrange(""https://docs.google.com/spreadsheets/d/1d2vevQ_7D_v35q4wCQ4RpQ_IPoTwEMB9Yp6ymwlPqew/edit?gid=984458430#gid=984458430"", ""'replication success'!A:K""), 11, FAlSE)"),"#N/A")</f>
        <v>#N/A</v>
      </c>
      <c r="AZ2221" s="61" t="str">
        <f>IFERROR(__xludf.DUMMYFUNCTION("vlookup(BB2221,importrange(""https://docs.google.com/spreadsheets/d/1d2vevQ_7D_v35q4wCQ4RpQ_IPoTwEMB9Yp6ymwlPqew/edit?gid=984458430#gid=984458430"", ""'replication success'!A:M""), 12, FAlSE)"),"#N/A")</f>
        <v>#N/A</v>
      </c>
      <c r="BA2221" s="61" t="str">
        <f>IFERROR(__xludf.DUMMYFUNCTION("vlookup(BB2221,importrange(""https://docs.google.com/spreadsheets/d/1d2vevQ_7D_v35q4wCQ4RpQ_IPoTwEMB9Yp6ymwlPqew/edit?gid=984458430#gid=984458430"", ""'replication success'!A:M""), 13, FAlSE)"),"#N/A")</f>
        <v>#N/A</v>
      </c>
      <c r="BB2221" s="61" t="str">
        <f>IFERROR(__xludf.DUMMYFUNCTION("REGEXREPLACE(G2221, ""_[a-z]{1,2}$"", """")"),"svodevelopment2_1a")</f>
        <v>svodevelopment2_1a</v>
      </c>
      <c r="BD2221" s="1440" t="s">
        <v>13400</v>
      </c>
    </row>
    <row r="2222">
      <c r="A2222" s="44">
        <v>2222.0</v>
      </c>
      <c r="B2222" s="129" t="s">
        <v>523</v>
      </c>
      <c r="C2222" s="62" t="s">
        <v>115</v>
      </c>
      <c r="D2222" s="62" t="s">
        <v>990</v>
      </c>
      <c r="F2222" s="68" t="s">
        <v>13471</v>
      </c>
      <c r="G2222" s="159" t="s">
        <v>13385</v>
      </c>
      <c r="H2222" s="159" t="s">
        <v>13386</v>
      </c>
      <c r="I2222" s="1287" t="s">
        <v>13387</v>
      </c>
      <c r="J2222" s="1587"/>
      <c r="K2222" s="159" t="s">
        <v>138</v>
      </c>
      <c r="L2222" s="56" t="s">
        <v>13288</v>
      </c>
      <c r="M2222" s="159" t="s">
        <v>13293</v>
      </c>
      <c r="N2222" s="159" t="s">
        <v>9892</v>
      </c>
      <c r="O2222" s="156">
        <v>3.0</v>
      </c>
      <c r="P2222" s="382" t="s">
        <v>13256</v>
      </c>
      <c r="Q2222" s="52" t="str">
        <f t="array" ref="Q2222"> if(iserror(MATCH(V2222, 'File Links'!C:C, 0)), "N/A", HYPERLINK(INDEX('File Links'!B:B, MATCH(P2222, 'File Links'!C:C, 0))))</f>
        <v>https://drive.google.com/file/d/1FklynAHzflh7rbxQIU4qTxOz3VBhye8B/view?usp=drivesdk</v>
      </c>
      <c r="R2222" s="159" t="s">
        <v>13257</v>
      </c>
      <c r="S2222" s="159" t="s">
        <v>13258</v>
      </c>
      <c r="T2222" s="159" t="s">
        <v>138</v>
      </c>
      <c r="U2222" s="156">
        <v>2.0</v>
      </c>
      <c r="V2222" s="382" t="s">
        <v>13259</v>
      </c>
      <c r="W2222" s="1228"/>
      <c r="X2222" s="54" t="str">
        <f t="array" ref="X2222"> if(iserror(MATCH(V2222, 'File Links'!C:C, 0)), "N/A", HYPERLINK(INDEX('File Links'!B:B, MATCH(V2222, 'File Links'!C:C, 0))))</f>
        <v>https://drive.google.com/file/d/1hYNUJrx3yjyMoTgcG7Qz4pix-8ruWFMC/view?usp=drivesdk</v>
      </c>
      <c r="Y2222" s="159" t="s">
        <v>138</v>
      </c>
      <c r="Z2222" s="159" t="s">
        <v>226</v>
      </c>
      <c r="AA2222" s="159" t="s">
        <v>13260</v>
      </c>
      <c r="AB2222" s="159" t="s">
        <v>13389</v>
      </c>
      <c r="AC2222" s="159" t="s">
        <v>13472</v>
      </c>
      <c r="AD2222" s="159" t="s">
        <v>13420</v>
      </c>
      <c r="AE2222" s="159" t="s">
        <v>4979</v>
      </c>
      <c r="AF2222" s="156">
        <v>384.0</v>
      </c>
      <c r="AG2222" s="156">
        <v>0.21</v>
      </c>
      <c r="AH2222" s="159" t="s">
        <v>173</v>
      </c>
      <c r="AI2222" s="159" t="s">
        <v>4979</v>
      </c>
      <c r="AJ2222" s="156">
        <v>0.05</v>
      </c>
      <c r="AK2222" s="159" t="s">
        <v>135</v>
      </c>
      <c r="AL2222" s="159" t="s">
        <v>136</v>
      </c>
      <c r="AM2222" s="159" t="s">
        <v>137</v>
      </c>
      <c r="AN2222" s="159" t="s">
        <v>138</v>
      </c>
      <c r="AO2222" s="156">
        <v>3683.0</v>
      </c>
      <c r="AP2222" s="156">
        <v>0.07</v>
      </c>
      <c r="AQ2222" s="159" t="s">
        <v>722</v>
      </c>
      <c r="AR2222" s="159" t="s">
        <v>624</v>
      </c>
      <c r="AS2222" s="156">
        <v>0.001</v>
      </c>
      <c r="AT2222" s="159" t="s">
        <v>135</v>
      </c>
      <c r="AU2222" s="159" t="s">
        <v>136</v>
      </c>
      <c r="AV2222" s="159" t="s">
        <v>137</v>
      </c>
      <c r="AW2222" s="2007" t="s">
        <v>13263</v>
      </c>
      <c r="AX2222" s="159" t="s">
        <v>438</v>
      </c>
      <c r="AY2222" s="61" t="str">
        <f>IFERROR(__xludf.DUMMYFUNCTION("vlookup(BB2222,importrange(""https://docs.google.com/spreadsheets/d/1d2vevQ_7D_v35q4wCQ4RpQ_IPoTwEMB9Yp6ymwlPqew/edit?gid=984458430#gid=984458430"", ""'replication success'!A:K""), 11, FAlSE)"),"#N/A")</f>
        <v>#N/A</v>
      </c>
      <c r="AZ2222" s="61" t="str">
        <f>IFERROR(__xludf.DUMMYFUNCTION("vlookup(BB2222,importrange(""https://docs.google.com/spreadsheets/d/1d2vevQ_7D_v35q4wCQ4RpQ_IPoTwEMB9Yp6ymwlPqew/edit?gid=984458430#gid=984458430"", ""'replication success'!A:M""), 12, FAlSE)"),"#N/A")</f>
        <v>#N/A</v>
      </c>
      <c r="BA2222" s="61" t="str">
        <f>IFERROR(__xludf.DUMMYFUNCTION("vlookup(BB2222,importrange(""https://docs.google.com/spreadsheets/d/1d2vevQ_7D_v35q4wCQ4RpQ_IPoTwEMB9Yp6ymwlPqew/edit?gid=984458430#gid=984458430"", ""'replication success'!A:M""), 13, FAlSE)"),"#N/A")</f>
        <v>#N/A</v>
      </c>
      <c r="BB2222" s="61" t="str">
        <f>IFERROR(__xludf.DUMMYFUNCTION("REGEXREPLACE(G2222, ""_[a-z]{1,2}$"", """")"),"svodevelopment2")</f>
        <v>svodevelopment2</v>
      </c>
      <c r="BD2222" s="1440" t="s">
        <v>13400</v>
      </c>
    </row>
    <row r="2223">
      <c r="A2223" s="44">
        <v>2223.0</v>
      </c>
      <c r="B2223" s="129" t="s">
        <v>523</v>
      </c>
      <c r="C2223" s="62" t="s">
        <v>115</v>
      </c>
      <c r="D2223" s="62" t="s">
        <v>176</v>
      </c>
      <c r="F2223" s="129" t="s">
        <v>13471</v>
      </c>
      <c r="G2223" s="129" t="s">
        <v>13473</v>
      </c>
      <c r="H2223" s="151" t="s">
        <v>7252</v>
      </c>
      <c r="I2223" s="161" t="s">
        <v>13296</v>
      </c>
      <c r="J2223" s="1587"/>
      <c r="K2223" s="159"/>
      <c r="L2223" s="129" t="s">
        <v>13402</v>
      </c>
      <c r="M2223" s="129" t="s">
        <v>13293</v>
      </c>
      <c r="N2223" s="129" t="s">
        <v>9892</v>
      </c>
      <c r="O2223" s="501">
        <v>3.0</v>
      </c>
      <c r="P2223" s="309" t="s">
        <v>13256</v>
      </c>
      <c r="Q2223" s="52" t="str">
        <f t="array" ref="Q2223"> if(iserror(MATCH(V2223, 'File Links'!C:C, 0)), "N/A", HYPERLINK(INDEX('File Links'!B:B, MATCH(P2223, 'File Links'!C:C, 0))))</f>
        <v>https://drive.google.com/file/d/1FklynAHzflh7rbxQIU4qTxOz3VBhye8B/view?usp=drivesdk</v>
      </c>
      <c r="R2223" s="1697" t="s">
        <v>13257</v>
      </c>
      <c r="S2223" s="129" t="s">
        <v>13258</v>
      </c>
      <c r="T2223" s="1379"/>
      <c r="U2223" s="336"/>
      <c r="V2223" s="151" t="s">
        <v>13259</v>
      </c>
      <c r="W2223" s="159"/>
      <c r="X2223" s="54" t="str">
        <f t="array" ref="X2223"> if(iserror(MATCH(V2223, 'File Links'!C:C, 0)), "N/A", HYPERLINK(INDEX('File Links'!B:B, MATCH(V2223, 'File Links'!C:C, 0))))</f>
        <v>https://drive.google.com/file/d/1hYNUJrx3yjyMoTgcG7Qz4pix-8ruWFMC/view?usp=drivesdk</v>
      </c>
      <c r="Y2223" s="68"/>
      <c r="Z2223" s="151" t="s">
        <v>226</v>
      </c>
      <c r="AA2223" s="129" t="s">
        <v>13260</v>
      </c>
      <c r="AB2223" s="151" t="s">
        <v>13393</v>
      </c>
      <c r="AC2223" s="151" t="s">
        <v>13474</v>
      </c>
      <c r="AD2223" s="151" t="s">
        <v>13475</v>
      </c>
      <c r="AE2223" s="151" t="s">
        <v>604</v>
      </c>
      <c r="AF2223" s="161">
        <v>554.0</v>
      </c>
      <c r="AG2223" s="161" t="s">
        <v>13476</v>
      </c>
      <c r="AH2223" s="151" t="s">
        <v>134</v>
      </c>
      <c r="AI2223" s="151" t="s">
        <v>4979</v>
      </c>
      <c r="AJ2223" s="161">
        <v>0.005</v>
      </c>
      <c r="AK2223" s="151" t="s">
        <v>135</v>
      </c>
      <c r="AL2223" s="151" t="s">
        <v>186</v>
      </c>
      <c r="AM2223" s="129" t="s">
        <v>137</v>
      </c>
      <c r="AN2223" s="68"/>
      <c r="AO2223" s="161">
        <v>2644.0</v>
      </c>
      <c r="AP2223" s="156"/>
      <c r="AQ2223" s="159"/>
      <c r="AR2223" s="151" t="s">
        <v>13406</v>
      </c>
      <c r="AS2223" s="156"/>
      <c r="AT2223" s="159"/>
      <c r="AU2223" s="159"/>
      <c r="AV2223" s="68"/>
      <c r="AW2223" s="435"/>
      <c r="AX2223" s="129" t="s">
        <v>151</v>
      </c>
      <c r="AY2223" s="61" t="str">
        <f>IFERROR(__xludf.DUMMYFUNCTION("vlookup(BB2223,importrange(""https://docs.google.com/spreadsheets/d/1d2vevQ_7D_v35q4wCQ4RpQ_IPoTwEMB9Yp6ymwlPqew/edit?gid=984458430#gid=984458430"", ""'replication success'!A:K""), 11, FAlSE)"),"#N/A")</f>
        <v>#N/A</v>
      </c>
      <c r="AZ2223" s="61" t="str">
        <f>IFERROR(__xludf.DUMMYFUNCTION("vlookup(BB2223,importrange(""https://docs.google.com/spreadsheets/d/1d2vevQ_7D_v35q4wCQ4RpQ_IPoTwEMB9Yp6ymwlPqew/edit?gid=984458430#gid=984458430"", ""'replication success'!A:M""), 12, FAlSE)"),"#N/A")</f>
        <v>#N/A</v>
      </c>
      <c r="BA2223" s="61" t="str">
        <f>IFERROR(__xludf.DUMMYFUNCTION("vlookup(BB2223,importrange(""https://docs.google.com/spreadsheets/d/1d2vevQ_7D_v35q4wCQ4RpQ_IPoTwEMB9Yp6ymwlPqew/edit?gid=984458430#gid=984458430"", ""'replication success'!A:M""), 13, FAlSE)"),"#N/A")</f>
        <v>#N/A</v>
      </c>
      <c r="BB2223" s="61" t="str">
        <f>IFERROR(__xludf.DUMMYFUNCTION("REGEXREPLACE(G2223, ""_[a-z]{1,2}$"", """")"),"svodevelopment2_3h")</f>
        <v>svodevelopment2_3h</v>
      </c>
      <c r="BD2223" s="1440" t="s">
        <v>13400</v>
      </c>
    </row>
    <row r="2224">
      <c r="A2224" s="354">
        <v>2224.0</v>
      </c>
      <c r="B2224" s="56" t="s">
        <v>523</v>
      </c>
      <c r="C2224" s="341" t="s">
        <v>115</v>
      </c>
      <c r="D2224" s="341" t="s">
        <v>990</v>
      </c>
      <c r="E2224" s="342"/>
      <c r="F2224" s="46" t="s">
        <v>13477</v>
      </c>
      <c r="G2224" s="360" t="s">
        <v>13385</v>
      </c>
      <c r="H2224" s="360" t="s">
        <v>13386</v>
      </c>
      <c r="I2224" s="1692" t="s">
        <v>13387</v>
      </c>
      <c r="J2224" s="1587"/>
      <c r="K2224" s="360" t="s">
        <v>138</v>
      </c>
      <c r="L2224" s="56" t="s">
        <v>13288</v>
      </c>
      <c r="M2224" s="360" t="s">
        <v>13293</v>
      </c>
      <c r="N2224" s="360" t="s">
        <v>9892</v>
      </c>
      <c r="O2224" s="357">
        <v>3.0</v>
      </c>
      <c r="P2224" s="360" t="s">
        <v>13256</v>
      </c>
      <c r="Q2224" s="104" t="str">
        <f t="array" ref="Q2224"> if(iserror(MATCH(V2224, 'File Links'!C:C, 0)), "N/A", HYPERLINK(INDEX('File Links'!B:B, MATCH(P2224, 'File Links'!C:C, 0))))</f>
        <v>https://drive.google.com/file/d/1FklynAHzflh7rbxQIU4qTxOz3VBhye8B/view?usp=drivesdk</v>
      </c>
      <c r="R2224" s="360" t="s">
        <v>13257</v>
      </c>
      <c r="S2224" s="360" t="s">
        <v>13258</v>
      </c>
      <c r="T2224" s="360" t="s">
        <v>138</v>
      </c>
      <c r="U2224" s="357">
        <v>2.0</v>
      </c>
      <c r="V2224" s="360" t="s">
        <v>13259</v>
      </c>
      <c r="W2224" s="46"/>
      <c r="X2224" s="54" t="str">
        <f t="array" ref="X2224"> if(iserror(MATCH(V2224, 'File Links'!C:C, 0)), "N/A", HYPERLINK(INDEX('File Links'!B:B, MATCH(V2224, 'File Links'!C:C, 0))))</f>
        <v>https://drive.google.com/file/d/1hYNUJrx3yjyMoTgcG7Qz4pix-8ruWFMC/view?usp=drivesdk</v>
      </c>
      <c r="Y2224" s="360" t="s">
        <v>138</v>
      </c>
      <c r="Z2224" s="360" t="s">
        <v>226</v>
      </c>
      <c r="AA2224" s="360" t="s">
        <v>13260</v>
      </c>
      <c r="AB2224" s="360" t="s">
        <v>13389</v>
      </c>
      <c r="AC2224" s="360" t="s">
        <v>13478</v>
      </c>
      <c r="AD2224" s="360" t="s">
        <v>13434</v>
      </c>
      <c r="AE2224" s="360" t="s">
        <v>604</v>
      </c>
      <c r="AF2224" s="357">
        <v>471.0</v>
      </c>
      <c r="AG2224" s="357">
        <v>0.303</v>
      </c>
      <c r="AH2224" s="360" t="s">
        <v>173</v>
      </c>
      <c r="AI2224" s="360" t="s">
        <v>604</v>
      </c>
      <c r="AJ2224" s="357">
        <v>0.001</v>
      </c>
      <c r="AK2224" s="360" t="s">
        <v>135</v>
      </c>
      <c r="AL2224" s="360" t="s">
        <v>136</v>
      </c>
      <c r="AM2224" s="360" t="s">
        <v>137</v>
      </c>
      <c r="AN2224" s="360" t="s">
        <v>138</v>
      </c>
      <c r="AO2224" s="357">
        <v>3683.0</v>
      </c>
      <c r="AP2224" s="357">
        <v>0.05</v>
      </c>
      <c r="AQ2224" s="360" t="s">
        <v>722</v>
      </c>
      <c r="AR2224" s="360" t="s">
        <v>624</v>
      </c>
      <c r="AS2224" s="357">
        <v>0.002</v>
      </c>
      <c r="AT2224" s="360" t="s">
        <v>172</v>
      </c>
      <c r="AU2224" s="360" t="s">
        <v>136</v>
      </c>
      <c r="AV2224" s="360" t="s">
        <v>137</v>
      </c>
      <c r="AW2224" s="2006" t="s">
        <v>13263</v>
      </c>
      <c r="AX2224" s="360" t="s">
        <v>438</v>
      </c>
      <c r="AY2224" s="61" t="str">
        <f>IFERROR(__xludf.DUMMYFUNCTION("vlookup(BB2224,importrange(""https://docs.google.com/spreadsheets/d/1d2vevQ_7D_v35q4wCQ4RpQ_IPoTwEMB9Yp6ymwlPqew/edit?gid=984458430#gid=984458430"", ""'replication success'!A:K""), 11, FAlSE)"),"#N/A")</f>
        <v>#N/A</v>
      </c>
      <c r="AZ2224" s="61" t="str">
        <f>IFERROR(__xludf.DUMMYFUNCTION("vlookup(BB2224,importrange(""https://docs.google.com/spreadsheets/d/1d2vevQ_7D_v35q4wCQ4RpQ_IPoTwEMB9Yp6ymwlPqew/edit?gid=984458430#gid=984458430"", ""'replication success'!A:M""), 12, FAlSE)"),"#N/A")</f>
        <v>#N/A</v>
      </c>
      <c r="BA2224" s="61" t="str">
        <f>IFERROR(__xludf.DUMMYFUNCTION("vlookup(BB2224,importrange(""https://docs.google.com/spreadsheets/d/1d2vevQ_7D_v35q4wCQ4RpQ_IPoTwEMB9Yp6ymwlPqew/edit?gid=984458430#gid=984458430"", ""'replication success'!A:M""), 13, FAlSE)"),"#N/A")</f>
        <v>#N/A</v>
      </c>
      <c r="BB2224" s="61" t="str">
        <f>IFERROR(__xludf.DUMMYFUNCTION("REGEXREPLACE(G2224, ""_[a-z]{1,2}$"", """")"),"svodevelopment2")</f>
        <v>svodevelopment2</v>
      </c>
      <c r="BC2224" s="342"/>
      <c r="BD2224" s="1440" t="s">
        <v>13400</v>
      </c>
      <c r="BE2224" s="342"/>
      <c r="BF2224" s="342"/>
      <c r="BG2224" s="342"/>
      <c r="BH2224" s="342"/>
      <c r="BI2224" s="342"/>
      <c r="BJ2224" s="342"/>
      <c r="BK2224" s="342"/>
      <c r="BL2224" s="342"/>
      <c r="BM2224" s="342"/>
      <c r="BN2224" s="342"/>
      <c r="BO2224" s="342"/>
      <c r="BP2224" s="342"/>
      <c r="BQ2224" s="342"/>
      <c r="BR2224" s="342"/>
      <c r="BS2224" s="342"/>
      <c r="BT2224" s="342"/>
      <c r="BU2224" s="342"/>
      <c r="BV2224" s="342"/>
      <c r="BW2224" s="342"/>
      <c r="BX2224" s="342"/>
      <c r="BY2224" s="342"/>
      <c r="BZ2224" s="342"/>
      <c r="CA2224" s="342"/>
      <c r="CB2224" s="342"/>
      <c r="CC2224" s="342"/>
      <c r="CD2224" s="342"/>
      <c r="CE2224" s="342"/>
      <c r="CF2224" s="342"/>
      <c r="CG2224" s="342"/>
      <c r="CH2224" s="342"/>
      <c r="CI2224" s="342"/>
      <c r="CJ2224" s="342"/>
      <c r="CK2224" s="342"/>
      <c r="CL2224" s="342"/>
      <c r="CM2224" s="342"/>
      <c r="CN2224" s="342"/>
      <c r="CO2224" s="342"/>
      <c r="CP2224" s="342"/>
      <c r="CQ2224" s="342"/>
      <c r="CR2224" s="342"/>
      <c r="CS2224" s="342"/>
      <c r="CT2224" s="342"/>
      <c r="CU2224" s="342"/>
      <c r="CV2224" s="342"/>
      <c r="CW2224" s="342"/>
      <c r="CX2224" s="342"/>
      <c r="CY2224" s="342"/>
      <c r="CZ2224" s="342"/>
      <c r="DA2224" s="342"/>
      <c r="DB2224" s="342"/>
      <c r="DC2224" s="342"/>
      <c r="DD2224" s="342"/>
      <c r="DE2224" s="342"/>
      <c r="DF2224" s="342"/>
      <c r="DG2224" s="342"/>
      <c r="DH2224" s="342"/>
      <c r="DI2224" s="342"/>
      <c r="DJ2224" s="342"/>
      <c r="DK2224" s="342"/>
      <c r="DL2224" s="342"/>
    </row>
    <row r="2225">
      <c r="A2225" s="354">
        <v>2225.0</v>
      </c>
      <c r="B2225" s="56" t="s">
        <v>523</v>
      </c>
      <c r="C2225" s="341" t="s">
        <v>115</v>
      </c>
      <c r="D2225" s="341" t="s">
        <v>176</v>
      </c>
      <c r="E2225" s="342"/>
      <c r="F2225" s="56" t="s">
        <v>13477</v>
      </c>
      <c r="G2225" s="56" t="s">
        <v>13479</v>
      </c>
      <c r="H2225" s="343" t="s">
        <v>7252</v>
      </c>
      <c r="I2225" s="347" t="s">
        <v>13296</v>
      </c>
      <c r="J2225" s="1587"/>
      <c r="K2225" s="360"/>
      <c r="L2225" s="56" t="s">
        <v>13480</v>
      </c>
      <c r="M2225" s="56" t="s">
        <v>13293</v>
      </c>
      <c r="N2225" s="56" t="s">
        <v>9892</v>
      </c>
      <c r="O2225" s="55">
        <v>3.0</v>
      </c>
      <c r="P2225" s="343" t="s">
        <v>13256</v>
      </c>
      <c r="Q2225" s="104" t="str">
        <f t="array" ref="Q2225"> if(iserror(MATCH(V2225, 'File Links'!C:C, 0)), "N/A", HYPERLINK(INDEX('File Links'!B:B, MATCH(P2225, 'File Links'!C:C, 0))))</f>
        <v>https://drive.google.com/file/d/1FklynAHzflh7rbxQIU4qTxOz3VBhye8B/view?usp=drivesdk</v>
      </c>
      <c r="R2225" s="1697" t="s">
        <v>13257</v>
      </c>
      <c r="S2225" s="56" t="s">
        <v>13258</v>
      </c>
      <c r="T2225" s="1798"/>
      <c r="U2225" s="385"/>
      <c r="V2225" s="343" t="s">
        <v>13259</v>
      </c>
      <c r="W2225" s="360"/>
      <c r="X2225" s="54" t="str">
        <f t="array" ref="X2225"> if(iserror(MATCH(V2225, 'File Links'!C:C, 0)), "N/A", HYPERLINK(INDEX('File Links'!B:B, MATCH(V2225, 'File Links'!C:C, 0))))</f>
        <v>https://drive.google.com/file/d/1hYNUJrx3yjyMoTgcG7Qz4pix-8ruWFMC/view?usp=drivesdk</v>
      </c>
      <c r="Y2225" s="46"/>
      <c r="Z2225" s="343" t="s">
        <v>226</v>
      </c>
      <c r="AA2225" s="56" t="s">
        <v>13260</v>
      </c>
      <c r="AB2225" s="343" t="s">
        <v>13393</v>
      </c>
      <c r="AC2225" s="343" t="s">
        <v>13481</v>
      </c>
      <c r="AD2225" s="343" t="s">
        <v>13481</v>
      </c>
      <c r="AE2225" s="343" t="s">
        <v>604</v>
      </c>
      <c r="AF2225" s="347">
        <v>554.0</v>
      </c>
      <c r="AG2225" s="357"/>
      <c r="AH2225" s="360"/>
      <c r="AI2225" s="343" t="s">
        <v>4979</v>
      </c>
      <c r="AJ2225" s="357"/>
      <c r="AK2225" s="360"/>
      <c r="AL2225" s="360"/>
      <c r="AM2225" s="46"/>
      <c r="AN2225" s="46"/>
      <c r="AO2225" s="347">
        <v>2644.0</v>
      </c>
      <c r="AP2225" s="357"/>
      <c r="AQ2225" s="360"/>
      <c r="AR2225" s="343" t="s">
        <v>13406</v>
      </c>
      <c r="AS2225" s="357"/>
      <c r="AT2225" s="360"/>
      <c r="AU2225" s="360"/>
      <c r="AV2225" s="46"/>
      <c r="AW2225" s="59"/>
      <c r="AX2225" s="56" t="s">
        <v>151</v>
      </c>
      <c r="AY2225" s="61" t="str">
        <f>IFERROR(__xludf.DUMMYFUNCTION("vlookup(BB2225,importrange(""https://docs.google.com/spreadsheets/d/1d2vevQ_7D_v35q4wCQ4RpQ_IPoTwEMB9Yp6ymwlPqew/edit?gid=984458430#gid=984458430"", ""'replication success'!A:K""), 11, FAlSE)"),"#N/A")</f>
        <v>#N/A</v>
      </c>
      <c r="AZ2225" s="61" t="str">
        <f>IFERROR(__xludf.DUMMYFUNCTION("vlookup(BB2225,importrange(""https://docs.google.com/spreadsheets/d/1d2vevQ_7D_v35q4wCQ4RpQ_IPoTwEMB9Yp6ymwlPqew/edit?gid=984458430#gid=984458430"", ""'replication success'!A:M""), 12, FAlSE)"),"#N/A")</f>
        <v>#N/A</v>
      </c>
      <c r="BA2225" s="61" t="str">
        <f>IFERROR(__xludf.DUMMYFUNCTION("vlookup(BB2225,importrange(""https://docs.google.com/spreadsheets/d/1d2vevQ_7D_v35q4wCQ4RpQ_IPoTwEMB9Yp6ymwlPqew/edit?gid=984458430#gid=984458430"", ""'replication success'!A:M""), 13, FAlSE)"),"#N/A")</f>
        <v>#N/A</v>
      </c>
      <c r="BB2225" s="61" t="str">
        <f>IFERROR(__xludf.DUMMYFUNCTION("REGEXREPLACE(G2225, ""_[a-z]{1,2}$"", """")"),"svodevelopment2_3i")</f>
        <v>svodevelopment2_3i</v>
      </c>
      <c r="BC2225" s="342"/>
      <c r="BD2225" s="1440" t="s">
        <v>13400</v>
      </c>
      <c r="BE2225" s="342"/>
      <c r="BF2225" s="342"/>
      <c r="BG2225" s="342"/>
      <c r="BH2225" s="342"/>
      <c r="BI2225" s="342"/>
      <c r="BJ2225" s="342"/>
      <c r="BK2225" s="342"/>
      <c r="BL2225" s="342"/>
      <c r="BM2225" s="342"/>
      <c r="BN2225" s="342"/>
      <c r="BO2225" s="342"/>
      <c r="BP2225" s="342"/>
      <c r="BQ2225" s="342"/>
      <c r="BR2225" s="342"/>
      <c r="BS2225" s="342"/>
      <c r="BT2225" s="342"/>
      <c r="BU2225" s="342"/>
      <c r="BV2225" s="342"/>
      <c r="BW2225" s="342"/>
      <c r="BX2225" s="342"/>
      <c r="BY2225" s="342"/>
      <c r="BZ2225" s="342"/>
      <c r="CA2225" s="342"/>
      <c r="CB2225" s="342"/>
      <c r="CC2225" s="342"/>
      <c r="CD2225" s="342"/>
      <c r="CE2225" s="342"/>
      <c r="CF2225" s="342"/>
      <c r="CG2225" s="342"/>
      <c r="CH2225" s="342"/>
      <c r="CI2225" s="342"/>
      <c r="CJ2225" s="342"/>
      <c r="CK2225" s="342"/>
      <c r="CL2225" s="342"/>
      <c r="CM2225" s="342"/>
      <c r="CN2225" s="342"/>
      <c r="CO2225" s="342"/>
      <c r="CP2225" s="342"/>
      <c r="CQ2225" s="342"/>
      <c r="CR2225" s="342"/>
      <c r="CS2225" s="342"/>
      <c r="CT2225" s="342"/>
      <c r="CU2225" s="342"/>
      <c r="CV2225" s="342"/>
      <c r="CW2225" s="342"/>
      <c r="CX2225" s="342"/>
      <c r="CY2225" s="342"/>
      <c r="CZ2225" s="342"/>
      <c r="DA2225" s="342"/>
      <c r="DB2225" s="342"/>
      <c r="DC2225" s="342"/>
      <c r="DD2225" s="342"/>
      <c r="DE2225" s="342"/>
      <c r="DF2225" s="342"/>
      <c r="DG2225" s="342"/>
      <c r="DH2225" s="342"/>
      <c r="DI2225" s="342"/>
      <c r="DJ2225" s="342"/>
      <c r="DK2225" s="342"/>
      <c r="DL2225" s="342"/>
    </row>
    <row r="2226">
      <c r="A2226" s="44">
        <v>2226.0</v>
      </c>
      <c r="B2226" s="129" t="s">
        <v>523</v>
      </c>
      <c r="C2226" s="62" t="s">
        <v>115</v>
      </c>
      <c r="D2226" s="62" t="s">
        <v>990</v>
      </c>
      <c r="F2226" s="68" t="s">
        <v>13482</v>
      </c>
      <c r="G2226" s="159" t="s">
        <v>13385</v>
      </c>
      <c r="H2226" s="159" t="s">
        <v>13386</v>
      </c>
      <c r="I2226" s="1287" t="s">
        <v>13387</v>
      </c>
      <c r="J2226" s="159" t="s">
        <v>13483</v>
      </c>
      <c r="K2226" s="159" t="s">
        <v>138</v>
      </c>
      <c r="L2226" s="56" t="s">
        <v>13288</v>
      </c>
      <c r="M2226" s="159" t="s">
        <v>13293</v>
      </c>
      <c r="N2226" s="159" t="s">
        <v>9892</v>
      </c>
      <c r="O2226" s="156">
        <v>3.0</v>
      </c>
      <c r="P2226" s="382" t="s">
        <v>13256</v>
      </c>
      <c r="Q2226" s="52" t="str">
        <f t="array" ref="Q2226"> if(iserror(MATCH(V2226, 'File Links'!C:C, 0)), "N/A", HYPERLINK(INDEX('File Links'!B:B, MATCH(P2226, 'File Links'!C:C, 0))))</f>
        <v>https://drive.google.com/file/d/1FklynAHzflh7rbxQIU4qTxOz3VBhye8B/view?usp=drivesdk</v>
      </c>
      <c r="R2226" s="159" t="s">
        <v>13257</v>
      </c>
      <c r="S2226" s="159" t="s">
        <v>13258</v>
      </c>
      <c r="T2226" s="159" t="s">
        <v>138</v>
      </c>
      <c r="U2226" s="156">
        <v>2.0</v>
      </c>
      <c r="V2226" s="382" t="s">
        <v>13259</v>
      </c>
      <c r="W2226" s="1228"/>
      <c r="X2226" s="54" t="str">
        <f t="array" ref="X2226"> if(iserror(MATCH(V2226, 'File Links'!C:C, 0)), "N/A", HYPERLINK(INDEX('File Links'!B:B, MATCH(V2226, 'File Links'!C:C, 0))))</f>
        <v>https://drive.google.com/file/d/1hYNUJrx3yjyMoTgcG7Qz4pix-8ruWFMC/view?usp=drivesdk</v>
      </c>
      <c r="Y2226" s="159" t="s">
        <v>138</v>
      </c>
      <c r="Z2226" s="159" t="s">
        <v>226</v>
      </c>
      <c r="AA2226" s="159" t="s">
        <v>13260</v>
      </c>
      <c r="AB2226" s="159" t="s">
        <v>13389</v>
      </c>
      <c r="AC2226" s="159" t="s">
        <v>13484</v>
      </c>
      <c r="AD2226" s="159" t="s">
        <v>13434</v>
      </c>
      <c r="AE2226" s="159" t="s">
        <v>604</v>
      </c>
      <c r="AF2226" s="156">
        <v>384.0</v>
      </c>
      <c r="AG2226" s="156">
        <v>0.265</v>
      </c>
      <c r="AH2226" s="159" t="s">
        <v>173</v>
      </c>
      <c r="AI2226" s="159" t="s">
        <v>604</v>
      </c>
      <c r="AJ2226" s="156">
        <v>0.001</v>
      </c>
      <c r="AK2226" s="159" t="s">
        <v>135</v>
      </c>
      <c r="AL2226" s="159" t="s">
        <v>136</v>
      </c>
      <c r="AM2226" s="159" t="s">
        <v>137</v>
      </c>
      <c r="AN2226" s="159" t="s">
        <v>138</v>
      </c>
      <c r="AO2226" s="156">
        <v>3683.0</v>
      </c>
      <c r="AP2226" s="156">
        <v>0.05</v>
      </c>
      <c r="AQ2226" s="159" t="s">
        <v>722</v>
      </c>
      <c r="AR2226" s="159" t="s">
        <v>624</v>
      </c>
      <c r="AS2226" s="156">
        <v>0.002</v>
      </c>
      <c r="AT2226" s="159" t="s">
        <v>172</v>
      </c>
      <c r="AU2226" s="159" t="s">
        <v>136</v>
      </c>
      <c r="AV2226" s="159" t="s">
        <v>137</v>
      </c>
      <c r="AW2226" s="2007" t="s">
        <v>13263</v>
      </c>
      <c r="AX2226" s="159" t="s">
        <v>438</v>
      </c>
      <c r="AY2226" s="61" t="str">
        <f>IFERROR(__xludf.DUMMYFUNCTION("vlookup(BB2226,importrange(""https://docs.google.com/spreadsheets/d/1d2vevQ_7D_v35q4wCQ4RpQ_IPoTwEMB9Yp6ymwlPqew/edit?gid=984458430#gid=984458430"", ""'replication success'!A:K""), 11, FAlSE)"),"#N/A")</f>
        <v>#N/A</v>
      </c>
      <c r="AZ2226" s="61" t="str">
        <f>IFERROR(__xludf.DUMMYFUNCTION("vlookup(BB2226,importrange(""https://docs.google.com/spreadsheets/d/1d2vevQ_7D_v35q4wCQ4RpQ_IPoTwEMB9Yp6ymwlPqew/edit?gid=984458430#gid=984458430"", ""'replication success'!A:M""), 12, FAlSE)"),"#N/A")</f>
        <v>#N/A</v>
      </c>
      <c r="BA2226" s="61" t="str">
        <f>IFERROR(__xludf.DUMMYFUNCTION("vlookup(BB2226,importrange(""https://docs.google.com/spreadsheets/d/1d2vevQ_7D_v35q4wCQ4RpQ_IPoTwEMB9Yp6ymwlPqew/edit?gid=984458430#gid=984458430"", ""'replication success'!A:M""), 13, FAlSE)"),"#N/A")</f>
        <v>#N/A</v>
      </c>
      <c r="BB2226" s="61" t="str">
        <f>IFERROR(__xludf.DUMMYFUNCTION("REGEXREPLACE(G2226, ""_[a-z]{1,2}$"", """")"),"svodevelopment2")</f>
        <v>svodevelopment2</v>
      </c>
      <c r="BD2226" s="1440" t="s">
        <v>13400</v>
      </c>
    </row>
    <row r="2227">
      <c r="A2227" s="44">
        <v>2227.0</v>
      </c>
      <c r="B2227" s="129" t="s">
        <v>523</v>
      </c>
      <c r="C2227" s="62" t="s">
        <v>115</v>
      </c>
      <c r="D2227" s="62" t="s">
        <v>176</v>
      </c>
      <c r="F2227" s="129" t="s">
        <v>13482</v>
      </c>
      <c r="G2227" s="129" t="s">
        <v>13485</v>
      </c>
      <c r="H2227" s="151" t="s">
        <v>7252</v>
      </c>
      <c r="I2227" s="161" t="s">
        <v>13296</v>
      </c>
      <c r="J2227" s="68"/>
      <c r="K2227" s="159"/>
      <c r="L2227" s="129" t="s">
        <v>13486</v>
      </c>
      <c r="M2227" s="129" t="s">
        <v>13293</v>
      </c>
      <c r="N2227" s="129" t="s">
        <v>9892</v>
      </c>
      <c r="O2227" s="501">
        <v>4.0</v>
      </c>
      <c r="P2227" s="309" t="s">
        <v>13256</v>
      </c>
      <c r="Q2227" s="52" t="str">
        <f t="array" ref="Q2227"> if(iserror(MATCH(V2227, 'File Links'!C:C, 0)), "N/A", HYPERLINK(INDEX('File Links'!B:B, MATCH(P2227, 'File Links'!C:C, 0))))</f>
        <v>https://drive.google.com/file/d/1FklynAHzflh7rbxQIU4qTxOz3VBhye8B/view?usp=drivesdk</v>
      </c>
      <c r="R2227" s="1697" t="s">
        <v>13257</v>
      </c>
      <c r="S2227" s="129" t="s">
        <v>13258</v>
      </c>
      <c r="T2227" s="1379"/>
      <c r="U2227" s="336"/>
      <c r="V2227" s="151" t="s">
        <v>13259</v>
      </c>
      <c r="W2227" s="159"/>
      <c r="X2227" s="54" t="str">
        <f t="array" ref="X2227"> if(iserror(MATCH(V2227, 'File Links'!C:C, 0)), "N/A", HYPERLINK(INDEX('File Links'!B:B, MATCH(V2227, 'File Links'!C:C, 0))))</f>
        <v>https://drive.google.com/file/d/1hYNUJrx3yjyMoTgcG7Qz4pix-8ruWFMC/view?usp=drivesdk</v>
      </c>
      <c r="Y2227" s="68"/>
      <c r="Z2227" s="151" t="s">
        <v>226</v>
      </c>
      <c r="AA2227" s="129" t="s">
        <v>13260</v>
      </c>
      <c r="AB2227" s="151" t="s">
        <v>13393</v>
      </c>
      <c r="AC2227" s="151" t="s">
        <v>13487</v>
      </c>
      <c r="AD2227" s="151" t="s">
        <v>13488</v>
      </c>
      <c r="AE2227" s="151" t="s">
        <v>624</v>
      </c>
      <c r="AF2227" s="161">
        <v>1593.0</v>
      </c>
      <c r="AG2227" s="161" t="s">
        <v>13489</v>
      </c>
      <c r="AH2227" s="151" t="s">
        <v>134</v>
      </c>
      <c r="AI2227" s="151" t="s">
        <v>624</v>
      </c>
      <c r="AJ2227" s="161">
        <v>0.001</v>
      </c>
      <c r="AK2227" s="151" t="s">
        <v>135</v>
      </c>
      <c r="AL2227" s="151" t="s">
        <v>186</v>
      </c>
      <c r="AM2227" s="129" t="s">
        <v>137</v>
      </c>
      <c r="AN2227" s="68"/>
      <c r="AO2227" s="161">
        <v>2644.0</v>
      </c>
      <c r="AP2227" s="156"/>
      <c r="AQ2227" s="159"/>
      <c r="AR2227" s="151" t="s">
        <v>13406</v>
      </c>
      <c r="AS2227" s="156"/>
      <c r="AT2227" s="159"/>
      <c r="AU2227" s="159"/>
      <c r="AV2227" s="68"/>
      <c r="AW2227" s="435"/>
      <c r="AX2227" s="129" t="s">
        <v>151</v>
      </c>
      <c r="AY2227" s="61" t="str">
        <f>IFERROR(__xludf.DUMMYFUNCTION("vlookup(BB2227,importrange(""https://docs.google.com/spreadsheets/d/1d2vevQ_7D_v35q4wCQ4RpQ_IPoTwEMB9Yp6ymwlPqew/edit?gid=984458430#gid=984458430"", ""'replication success'!A:K""), 11, FAlSE)"),"#N/A")</f>
        <v>#N/A</v>
      </c>
      <c r="AZ2227" s="61" t="str">
        <f>IFERROR(__xludf.DUMMYFUNCTION("vlookup(BB2227,importrange(""https://docs.google.com/spreadsheets/d/1d2vevQ_7D_v35q4wCQ4RpQ_IPoTwEMB9Yp6ymwlPqew/edit?gid=984458430#gid=984458430"", ""'replication success'!A:M""), 12, FAlSE)"),"#N/A")</f>
        <v>#N/A</v>
      </c>
      <c r="BA2227" s="61" t="str">
        <f>IFERROR(__xludf.DUMMYFUNCTION("vlookup(BB2227,importrange(""https://docs.google.com/spreadsheets/d/1d2vevQ_7D_v35q4wCQ4RpQ_IPoTwEMB9Yp6ymwlPqew/edit?gid=984458430#gid=984458430"", ""'replication success'!A:M""), 13, FAlSE)"),"#N/A")</f>
        <v>#N/A</v>
      </c>
      <c r="BB2227" s="61" t="str">
        <f>IFERROR(__xludf.DUMMYFUNCTION("REGEXREPLACE(G2227, ""_[a-z]{1,2}$"", """")"),"svodevelopment2_4")</f>
        <v>svodevelopment2_4</v>
      </c>
      <c r="BD2227" s="1440" t="s">
        <v>13400</v>
      </c>
    </row>
    <row r="2228">
      <c r="A2228" s="44">
        <v>2228.0</v>
      </c>
      <c r="B2228" s="129" t="s">
        <v>523</v>
      </c>
      <c r="C2228" s="62" t="s">
        <v>115</v>
      </c>
      <c r="D2228" s="62" t="s">
        <v>990</v>
      </c>
      <c r="F2228" s="68" t="s">
        <v>13490</v>
      </c>
      <c r="G2228" s="159" t="s">
        <v>13385</v>
      </c>
      <c r="H2228" s="159" t="s">
        <v>13386</v>
      </c>
      <c r="I2228" s="1287" t="s">
        <v>13387</v>
      </c>
      <c r="J2228" s="159" t="s">
        <v>13483</v>
      </c>
      <c r="K2228" s="159" t="s">
        <v>138</v>
      </c>
      <c r="L2228" s="56" t="s">
        <v>13288</v>
      </c>
      <c r="M2228" s="159" t="s">
        <v>13293</v>
      </c>
      <c r="N2228" s="159" t="s">
        <v>9892</v>
      </c>
      <c r="O2228" s="156">
        <v>3.0</v>
      </c>
      <c r="P2228" s="382" t="s">
        <v>13256</v>
      </c>
      <c r="Q2228" s="52" t="str">
        <f t="array" ref="Q2228"> if(iserror(MATCH(V2228, 'File Links'!C:C, 0)), "N/A", HYPERLINK(INDEX('File Links'!B:B, MATCH(P2228, 'File Links'!C:C, 0))))</f>
        <v>https://drive.google.com/file/d/1FklynAHzflh7rbxQIU4qTxOz3VBhye8B/view?usp=drivesdk</v>
      </c>
      <c r="R2228" s="159" t="s">
        <v>13257</v>
      </c>
      <c r="S2228" s="159" t="s">
        <v>13258</v>
      </c>
      <c r="T2228" s="159" t="s">
        <v>138</v>
      </c>
      <c r="U2228" s="156">
        <v>2.0</v>
      </c>
      <c r="V2228" s="382" t="s">
        <v>13259</v>
      </c>
      <c r="W2228" s="1228"/>
      <c r="X2228" s="54" t="str">
        <f t="array" ref="X2228"> if(iserror(MATCH(V2228, 'File Links'!C:C, 0)), "N/A", HYPERLINK(INDEX('File Links'!B:B, MATCH(V2228, 'File Links'!C:C, 0))))</f>
        <v>https://drive.google.com/file/d/1hYNUJrx3yjyMoTgcG7Qz4pix-8ruWFMC/view?usp=drivesdk</v>
      </c>
      <c r="Y2228" s="159" t="s">
        <v>138</v>
      </c>
      <c r="Z2228" s="159" t="s">
        <v>226</v>
      </c>
      <c r="AA2228" s="159" t="s">
        <v>13260</v>
      </c>
      <c r="AB2228" s="159" t="s">
        <v>13389</v>
      </c>
      <c r="AC2228" s="159" t="s">
        <v>13491</v>
      </c>
      <c r="AD2228" s="159" t="s">
        <v>13448</v>
      </c>
      <c r="AE2228" s="159" t="s">
        <v>604</v>
      </c>
      <c r="AF2228" s="156">
        <v>471.0</v>
      </c>
      <c r="AG2228" s="156">
        <v>0.26</v>
      </c>
      <c r="AH2228" s="159" t="s">
        <v>173</v>
      </c>
      <c r="AI2228" s="159" t="s">
        <v>604</v>
      </c>
      <c r="AJ2228" s="156">
        <v>0.005</v>
      </c>
      <c r="AK2228" s="159" t="s">
        <v>135</v>
      </c>
      <c r="AL2228" s="159" t="s">
        <v>136</v>
      </c>
      <c r="AM2228" s="159" t="s">
        <v>137</v>
      </c>
      <c r="AN2228" s="159" t="s">
        <v>138</v>
      </c>
      <c r="AO2228" s="156">
        <v>3683.0</v>
      </c>
      <c r="AP2228" s="156">
        <v>0.04</v>
      </c>
      <c r="AQ2228" s="159" t="s">
        <v>722</v>
      </c>
      <c r="AR2228" s="159" t="s">
        <v>624</v>
      </c>
      <c r="AS2228" s="156">
        <v>0.011</v>
      </c>
      <c r="AT2228" s="159" t="s">
        <v>172</v>
      </c>
      <c r="AU2228" s="159" t="s">
        <v>136</v>
      </c>
      <c r="AV2228" s="159" t="s">
        <v>137</v>
      </c>
      <c r="AW2228" s="2007" t="s">
        <v>13263</v>
      </c>
      <c r="AX2228" s="159" t="s">
        <v>438</v>
      </c>
      <c r="AY2228" s="61" t="str">
        <f>IFERROR(__xludf.DUMMYFUNCTION("vlookup(BB2228,importrange(""https://docs.google.com/spreadsheets/d/1d2vevQ_7D_v35q4wCQ4RpQ_IPoTwEMB9Yp6ymwlPqew/edit?gid=984458430#gid=984458430"", ""'replication success'!A:K""), 11, FAlSE)"),"#N/A")</f>
        <v>#N/A</v>
      </c>
      <c r="AZ2228" s="61" t="str">
        <f>IFERROR(__xludf.DUMMYFUNCTION("vlookup(BB2228,importrange(""https://docs.google.com/spreadsheets/d/1d2vevQ_7D_v35q4wCQ4RpQ_IPoTwEMB9Yp6ymwlPqew/edit?gid=984458430#gid=984458430"", ""'replication success'!A:M""), 12, FAlSE)"),"#N/A")</f>
        <v>#N/A</v>
      </c>
      <c r="BA2228" s="61" t="str">
        <f>IFERROR(__xludf.DUMMYFUNCTION("vlookup(BB2228,importrange(""https://docs.google.com/spreadsheets/d/1d2vevQ_7D_v35q4wCQ4RpQ_IPoTwEMB9Yp6ymwlPqew/edit?gid=984458430#gid=984458430"", ""'replication success'!A:M""), 13, FAlSE)"),"#N/A")</f>
        <v>#N/A</v>
      </c>
      <c r="BB2228" s="61" t="str">
        <f>IFERROR(__xludf.DUMMYFUNCTION("REGEXREPLACE(G2228, ""_[a-z]{1,2}$"", """")"),"svodevelopment2")</f>
        <v>svodevelopment2</v>
      </c>
      <c r="BD2228" s="1440" t="s">
        <v>13400</v>
      </c>
    </row>
    <row r="2229">
      <c r="A2229" s="44">
        <v>2229.0</v>
      </c>
      <c r="B2229" s="129" t="s">
        <v>523</v>
      </c>
      <c r="C2229" s="62" t="s">
        <v>115</v>
      </c>
      <c r="D2229" s="62" t="s">
        <v>176</v>
      </c>
      <c r="F2229" s="129" t="s">
        <v>13490</v>
      </c>
      <c r="G2229" s="129" t="s">
        <v>13492</v>
      </c>
      <c r="H2229" s="151" t="s">
        <v>7252</v>
      </c>
      <c r="I2229" s="161" t="s">
        <v>13296</v>
      </c>
      <c r="J2229" s="68"/>
      <c r="K2229" s="159"/>
      <c r="L2229" s="129" t="s">
        <v>13493</v>
      </c>
      <c r="M2229" s="129" t="s">
        <v>13293</v>
      </c>
      <c r="N2229" s="129" t="s">
        <v>9892</v>
      </c>
      <c r="O2229" s="501">
        <v>4.0</v>
      </c>
      <c r="P2229" s="309" t="s">
        <v>13256</v>
      </c>
      <c r="Q2229" s="52" t="str">
        <f t="array" ref="Q2229"> if(iserror(MATCH(V2229, 'File Links'!C:C, 0)), "N/A", HYPERLINK(INDEX('File Links'!B:B, MATCH(P2229, 'File Links'!C:C, 0))))</f>
        <v>https://drive.google.com/file/d/1FklynAHzflh7rbxQIU4qTxOz3VBhye8B/view?usp=drivesdk</v>
      </c>
      <c r="R2229" s="1697" t="s">
        <v>13257</v>
      </c>
      <c r="S2229" s="129" t="s">
        <v>13258</v>
      </c>
      <c r="T2229" s="1379"/>
      <c r="U2229" s="336"/>
      <c r="V2229" s="151" t="s">
        <v>13259</v>
      </c>
      <c r="W2229" s="159"/>
      <c r="X2229" s="54" t="str">
        <f t="array" ref="X2229"> if(iserror(MATCH(V2229, 'File Links'!C:C, 0)), "N/A", HYPERLINK(INDEX('File Links'!B:B, MATCH(V2229, 'File Links'!C:C, 0))))</f>
        <v>https://drive.google.com/file/d/1hYNUJrx3yjyMoTgcG7Qz4pix-8ruWFMC/view?usp=drivesdk</v>
      </c>
      <c r="Y2229" s="68"/>
      <c r="Z2229" s="151" t="s">
        <v>226</v>
      </c>
      <c r="AA2229" s="129" t="s">
        <v>13260</v>
      </c>
      <c r="AB2229" s="151" t="s">
        <v>13393</v>
      </c>
      <c r="AC2229" s="151" t="s">
        <v>13494</v>
      </c>
      <c r="AD2229" s="151" t="s">
        <v>13495</v>
      </c>
      <c r="AE2229" s="151" t="s">
        <v>624</v>
      </c>
      <c r="AF2229" s="161">
        <v>1593.0</v>
      </c>
      <c r="AG2229" s="161" t="s">
        <v>13496</v>
      </c>
      <c r="AH2229" s="151" t="s">
        <v>134</v>
      </c>
      <c r="AI2229" s="151" t="s">
        <v>624</v>
      </c>
      <c r="AJ2229" s="161">
        <v>0.001</v>
      </c>
      <c r="AK2229" s="151" t="s">
        <v>135</v>
      </c>
      <c r="AL2229" s="151" t="s">
        <v>186</v>
      </c>
      <c r="AM2229" s="129" t="s">
        <v>137</v>
      </c>
      <c r="AN2229" s="68"/>
      <c r="AO2229" s="161">
        <v>2644.0</v>
      </c>
      <c r="AP2229" s="156"/>
      <c r="AQ2229" s="159"/>
      <c r="AR2229" s="151" t="s">
        <v>13406</v>
      </c>
      <c r="AS2229" s="156"/>
      <c r="AT2229" s="159"/>
      <c r="AU2229" s="159"/>
      <c r="AV2229" s="68"/>
      <c r="AW2229" s="435"/>
      <c r="AX2229" s="68"/>
      <c r="AY2229" s="61" t="str">
        <f>IFERROR(__xludf.DUMMYFUNCTION("vlookup(BB2229,importrange(""https://docs.google.com/spreadsheets/d/1d2vevQ_7D_v35q4wCQ4RpQ_IPoTwEMB9Yp6ymwlPqew/edit?gid=984458430#gid=984458430"", ""'replication success'!A:K""), 11, FAlSE)"),"#N/A")</f>
        <v>#N/A</v>
      </c>
      <c r="AZ2229" s="61" t="str">
        <f>IFERROR(__xludf.DUMMYFUNCTION("vlookup(BB2229,importrange(""https://docs.google.com/spreadsheets/d/1d2vevQ_7D_v35q4wCQ4RpQ_IPoTwEMB9Yp6ymwlPqew/edit?gid=984458430#gid=984458430"", ""'replication success'!A:M""), 12, FAlSE)"),"#N/A")</f>
        <v>#N/A</v>
      </c>
      <c r="BA2229" s="61" t="str">
        <f>IFERROR(__xludf.DUMMYFUNCTION("vlookup(BB2229,importrange(""https://docs.google.com/spreadsheets/d/1d2vevQ_7D_v35q4wCQ4RpQ_IPoTwEMB9Yp6ymwlPqew/edit?gid=984458430#gid=984458430"", ""'replication success'!A:M""), 13, FAlSE)"),"#N/A")</f>
        <v>#N/A</v>
      </c>
      <c r="BB2229" s="61" t="str">
        <f>IFERROR(__xludf.DUMMYFUNCTION("REGEXREPLACE(G2229, ""_[a-z]{1,2}$"", """")"),"svodevelopment2_4a")</f>
        <v>svodevelopment2_4a</v>
      </c>
      <c r="BD2229" s="1440" t="s">
        <v>13400</v>
      </c>
    </row>
    <row r="2230">
      <c r="A2230" s="44">
        <v>2230.0</v>
      </c>
      <c r="B2230" s="129" t="s">
        <v>523</v>
      </c>
      <c r="C2230" s="62" t="s">
        <v>115</v>
      </c>
      <c r="D2230" s="62" t="s">
        <v>990</v>
      </c>
      <c r="F2230" s="68" t="s">
        <v>13497</v>
      </c>
      <c r="G2230" s="159" t="s">
        <v>13385</v>
      </c>
      <c r="H2230" s="159" t="s">
        <v>13386</v>
      </c>
      <c r="I2230" s="1287" t="s">
        <v>13387</v>
      </c>
      <c r="J2230" s="159" t="s">
        <v>13483</v>
      </c>
      <c r="K2230" s="159" t="s">
        <v>138</v>
      </c>
      <c r="L2230" s="56" t="s">
        <v>13288</v>
      </c>
      <c r="M2230" s="159" t="s">
        <v>13293</v>
      </c>
      <c r="N2230" s="159" t="s">
        <v>9892</v>
      </c>
      <c r="O2230" s="156">
        <v>3.0</v>
      </c>
      <c r="P2230" s="382" t="s">
        <v>13256</v>
      </c>
      <c r="Q2230" s="52" t="str">
        <f t="array" ref="Q2230"> if(iserror(MATCH(V2230, 'File Links'!C:C, 0)), "N/A", HYPERLINK(INDEX('File Links'!B:B, MATCH(P2230, 'File Links'!C:C, 0))))</f>
        <v>https://drive.google.com/file/d/1FklynAHzflh7rbxQIU4qTxOz3VBhye8B/view?usp=drivesdk</v>
      </c>
      <c r="R2230" s="159" t="s">
        <v>13257</v>
      </c>
      <c r="S2230" s="159" t="s">
        <v>13258</v>
      </c>
      <c r="T2230" s="159" t="s">
        <v>138</v>
      </c>
      <c r="U2230" s="156">
        <v>2.0</v>
      </c>
      <c r="V2230" s="382" t="s">
        <v>13259</v>
      </c>
      <c r="W2230" s="1228"/>
      <c r="X2230" s="54" t="str">
        <f t="array" ref="X2230"> if(iserror(MATCH(V2230, 'File Links'!C:C, 0)), "N/A", HYPERLINK(INDEX('File Links'!B:B, MATCH(V2230, 'File Links'!C:C, 0))))</f>
        <v>https://drive.google.com/file/d/1hYNUJrx3yjyMoTgcG7Qz4pix-8ruWFMC/view?usp=drivesdk</v>
      </c>
      <c r="Y2230" s="159" t="s">
        <v>138</v>
      </c>
      <c r="Z2230" s="159" t="s">
        <v>226</v>
      </c>
      <c r="AA2230" s="159" t="s">
        <v>13260</v>
      </c>
      <c r="AB2230" s="159" t="s">
        <v>13389</v>
      </c>
      <c r="AC2230" s="159" t="s">
        <v>13498</v>
      </c>
      <c r="AD2230" s="159" t="s">
        <v>13448</v>
      </c>
      <c r="AE2230" s="159" t="s">
        <v>604</v>
      </c>
      <c r="AF2230" s="156">
        <v>384.0</v>
      </c>
      <c r="AG2230" s="156">
        <v>0.05</v>
      </c>
      <c r="AH2230" s="159" t="s">
        <v>173</v>
      </c>
      <c r="AI2230" s="159" t="s">
        <v>604</v>
      </c>
      <c r="AJ2230" s="156">
        <v>0.05</v>
      </c>
      <c r="AK2230" s="159" t="s">
        <v>335</v>
      </c>
      <c r="AL2230" s="159" t="s">
        <v>136</v>
      </c>
      <c r="AM2230" s="159" t="s">
        <v>137</v>
      </c>
      <c r="AN2230" s="159" t="s">
        <v>138</v>
      </c>
      <c r="AO2230" s="156">
        <v>3683.0</v>
      </c>
      <c r="AP2230" s="156">
        <v>0.04</v>
      </c>
      <c r="AQ2230" s="159" t="s">
        <v>722</v>
      </c>
      <c r="AR2230" s="159" t="s">
        <v>624</v>
      </c>
      <c r="AS2230" s="156">
        <v>0.011</v>
      </c>
      <c r="AT2230" s="159" t="s">
        <v>172</v>
      </c>
      <c r="AU2230" s="159" t="s">
        <v>136</v>
      </c>
      <c r="AV2230" s="159" t="s">
        <v>137</v>
      </c>
      <c r="AW2230" s="2007" t="s">
        <v>13263</v>
      </c>
      <c r="AX2230" s="159" t="s">
        <v>438</v>
      </c>
      <c r="AY2230" s="61" t="str">
        <f>IFERROR(__xludf.DUMMYFUNCTION("vlookup(BB2230,importrange(""https://docs.google.com/spreadsheets/d/1d2vevQ_7D_v35q4wCQ4RpQ_IPoTwEMB9Yp6ymwlPqew/edit?gid=984458430#gid=984458430"", ""'replication success'!A:K""), 11, FAlSE)"),"#N/A")</f>
        <v>#N/A</v>
      </c>
      <c r="AZ2230" s="61" t="str">
        <f>IFERROR(__xludf.DUMMYFUNCTION("vlookup(BB2230,importrange(""https://docs.google.com/spreadsheets/d/1d2vevQ_7D_v35q4wCQ4RpQ_IPoTwEMB9Yp6ymwlPqew/edit?gid=984458430#gid=984458430"", ""'replication success'!A:M""), 12, FAlSE)"),"#N/A")</f>
        <v>#N/A</v>
      </c>
      <c r="BA2230" s="61" t="str">
        <f>IFERROR(__xludf.DUMMYFUNCTION("vlookup(BB2230,importrange(""https://docs.google.com/spreadsheets/d/1d2vevQ_7D_v35q4wCQ4RpQ_IPoTwEMB9Yp6ymwlPqew/edit?gid=984458430#gid=984458430"", ""'replication success'!A:M""), 13, FAlSE)"),"#N/A")</f>
        <v>#N/A</v>
      </c>
      <c r="BB2230" s="61" t="str">
        <f>IFERROR(__xludf.DUMMYFUNCTION("REGEXREPLACE(G2230, ""_[a-z]{1,2}$"", """")"),"svodevelopment2")</f>
        <v>svodevelopment2</v>
      </c>
      <c r="BD2230" s="1440" t="s">
        <v>13400</v>
      </c>
    </row>
    <row r="2231">
      <c r="A2231" s="354">
        <v>2231.0</v>
      </c>
      <c r="B2231" s="56" t="s">
        <v>523</v>
      </c>
      <c r="C2231" s="341" t="s">
        <v>115</v>
      </c>
      <c r="D2231" s="341" t="s">
        <v>176</v>
      </c>
      <c r="E2231" s="342"/>
      <c r="F2231" s="56" t="s">
        <v>13497</v>
      </c>
      <c r="G2231" s="56" t="s">
        <v>13499</v>
      </c>
      <c r="H2231" s="343" t="s">
        <v>7252</v>
      </c>
      <c r="I2231" s="347" t="s">
        <v>13296</v>
      </c>
      <c r="J2231" s="46"/>
      <c r="K2231" s="360"/>
      <c r="L2231" s="56" t="s">
        <v>13442</v>
      </c>
      <c r="M2231" s="56" t="s">
        <v>13353</v>
      </c>
      <c r="N2231" s="56" t="s">
        <v>9892</v>
      </c>
      <c r="O2231" s="55">
        <v>4.0</v>
      </c>
      <c r="P2231" s="343" t="s">
        <v>13256</v>
      </c>
      <c r="Q2231" s="104" t="str">
        <f t="array" ref="Q2231"> if(iserror(MATCH(V2231, 'File Links'!C:C, 0)), "N/A", HYPERLINK(INDEX('File Links'!B:B, MATCH(P2231, 'File Links'!C:C, 0))))</f>
        <v>https://drive.google.com/file/d/1FklynAHzflh7rbxQIU4qTxOz3VBhye8B/view?usp=drivesdk</v>
      </c>
      <c r="R2231" s="1697" t="s">
        <v>13257</v>
      </c>
      <c r="S2231" s="56" t="s">
        <v>13258</v>
      </c>
      <c r="T2231" s="1798"/>
      <c r="U2231" s="385"/>
      <c r="V2231" s="343" t="s">
        <v>13259</v>
      </c>
      <c r="W2231" s="360"/>
      <c r="X2231" s="54" t="str">
        <f t="array" ref="X2231"> if(iserror(MATCH(V2231, 'File Links'!C:C, 0)), "N/A", HYPERLINK(INDEX('File Links'!B:B, MATCH(V2231, 'File Links'!C:C, 0))))</f>
        <v>https://drive.google.com/file/d/1hYNUJrx3yjyMoTgcG7Qz4pix-8ruWFMC/view?usp=drivesdk</v>
      </c>
      <c r="Y2231" s="46"/>
      <c r="Z2231" s="343" t="s">
        <v>226</v>
      </c>
      <c r="AA2231" s="56" t="s">
        <v>13260</v>
      </c>
      <c r="AB2231" s="343" t="s">
        <v>13393</v>
      </c>
      <c r="AC2231" s="343" t="s">
        <v>13500</v>
      </c>
      <c r="AD2231" s="343" t="s">
        <v>13501</v>
      </c>
      <c r="AE2231" s="343" t="s">
        <v>624</v>
      </c>
      <c r="AF2231" s="347">
        <v>1593.0</v>
      </c>
      <c r="AG2231" s="347" t="s">
        <v>13502</v>
      </c>
      <c r="AH2231" s="343" t="s">
        <v>134</v>
      </c>
      <c r="AI2231" s="343" t="s">
        <v>624</v>
      </c>
      <c r="AJ2231" s="347">
        <v>0.001</v>
      </c>
      <c r="AK2231" s="343" t="s">
        <v>135</v>
      </c>
      <c r="AL2231" s="343" t="s">
        <v>186</v>
      </c>
      <c r="AM2231" s="56" t="s">
        <v>137</v>
      </c>
      <c r="AN2231" s="46"/>
      <c r="AO2231" s="347">
        <v>2644.0</v>
      </c>
      <c r="AP2231" s="347">
        <v>0.6</v>
      </c>
      <c r="AQ2231" s="343" t="s">
        <v>134</v>
      </c>
      <c r="AR2231" s="343" t="s">
        <v>13406</v>
      </c>
      <c r="AS2231" s="347">
        <v>0.551</v>
      </c>
      <c r="AT2231" s="343" t="s">
        <v>172</v>
      </c>
      <c r="AU2231" s="343" t="s">
        <v>186</v>
      </c>
      <c r="AV2231" s="56" t="s">
        <v>137</v>
      </c>
      <c r="AW2231" s="59"/>
      <c r="AX2231" s="46"/>
      <c r="AY2231" s="61" t="str">
        <f>IFERROR(__xludf.DUMMYFUNCTION("vlookup(BB2231,importrange(""https://docs.google.com/spreadsheets/d/1d2vevQ_7D_v35q4wCQ4RpQ_IPoTwEMB9Yp6ymwlPqew/edit?gid=984458430#gid=984458430"", ""'replication success'!A:K""), 11, FAlSE)"),"#N/A")</f>
        <v>#N/A</v>
      </c>
      <c r="AZ2231" s="61" t="str">
        <f>IFERROR(__xludf.DUMMYFUNCTION("vlookup(BB2231,importrange(""https://docs.google.com/spreadsheets/d/1d2vevQ_7D_v35q4wCQ4RpQ_IPoTwEMB9Yp6ymwlPqew/edit?gid=984458430#gid=984458430"", ""'replication success'!A:M""), 12, FAlSE)"),"#N/A")</f>
        <v>#N/A</v>
      </c>
      <c r="BA2231" s="61" t="str">
        <f>IFERROR(__xludf.DUMMYFUNCTION("vlookup(BB2231,importrange(""https://docs.google.com/spreadsheets/d/1d2vevQ_7D_v35q4wCQ4RpQ_IPoTwEMB9Yp6ymwlPqew/edit?gid=984458430#gid=984458430"", ""'replication success'!A:M""), 13, FAlSE)"),"#N/A")</f>
        <v>#N/A</v>
      </c>
      <c r="BB2231" s="61" t="str">
        <f>IFERROR(__xludf.DUMMYFUNCTION("REGEXREPLACE(G2231, ""_[a-z]{1,2}$"", """")"),"svodevelopment2_4b")</f>
        <v>svodevelopment2_4b</v>
      </c>
      <c r="BC2231" s="342"/>
      <c r="BD2231" s="1440" t="s">
        <v>13400</v>
      </c>
      <c r="BE2231" s="342"/>
      <c r="BF2231" s="342"/>
      <c r="BG2231" s="342"/>
      <c r="BH2231" s="342"/>
      <c r="BI2231" s="342"/>
      <c r="BJ2231" s="342"/>
      <c r="BK2231" s="342"/>
      <c r="BL2231" s="342"/>
      <c r="BM2231" s="342"/>
      <c r="BN2231" s="342"/>
      <c r="BO2231" s="342"/>
      <c r="BP2231" s="342"/>
      <c r="BQ2231" s="342"/>
      <c r="BR2231" s="342"/>
      <c r="BS2231" s="342"/>
      <c r="BT2231" s="342"/>
      <c r="BU2231" s="342"/>
      <c r="BV2231" s="342"/>
      <c r="BW2231" s="342"/>
      <c r="BX2231" s="342"/>
      <c r="BY2231" s="342"/>
      <c r="BZ2231" s="342"/>
      <c r="CA2231" s="342"/>
      <c r="CB2231" s="342"/>
      <c r="CC2231" s="342"/>
      <c r="CD2231" s="342"/>
      <c r="CE2231" s="342"/>
      <c r="CF2231" s="342"/>
      <c r="CG2231" s="342"/>
      <c r="CH2231" s="342"/>
      <c r="CI2231" s="342"/>
      <c r="CJ2231" s="342"/>
      <c r="CK2231" s="342"/>
      <c r="CL2231" s="342"/>
      <c r="CM2231" s="342"/>
      <c r="CN2231" s="342"/>
      <c r="CO2231" s="342"/>
      <c r="CP2231" s="342"/>
      <c r="CQ2231" s="342"/>
      <c r="CR2231" s="342"/>
      <c r="CS2231" s="342"/>
      <c r="CT2231" s="342"/>
      <c r="CU2231" s="342"/>
      <c r="CV2231" s="342"/>
      <c r="CW2231" s="342"/>
      <c r="CX2231" s="342"/>
      <c r="CY2231" s="342"/>
      <c r="CZ2231" s="342"/>
      <c r="DA2231" s="342"/>
      <c r="DB2231" s="342"/>
      <c r="DC2231" s="342"/>
      <c r="DD2231" s="342"/>
      <c r="DE2231" s="342"/>
      <c r="DF2231" s="342"/>
      <c r="DG2231" s="342"/>
      <c r="DH2231" s="342"/>
      <c r="DI2231" s="342"/>
      <c r="DJ2231" s="342"/>
      <c r="DK2231" s="342"/>
      <c r="DL2231" s="342"/>
    </row>
    <row r="2232">
      <c r="A2232" s="354">
        <v>2232.0</v>
      </c>
      <c r="B2232" s="56" t="s">
        <v>523</v>
      </c>
      <c r="C2232" s="341" t="s">
        <v>115</v>
      </c>
      <c r="D2232" s="341" t="s">
        <v>990</v>
      </c>
      <c r="E2232" s="342"/>
      <c r="F2232" s="46" t="s">
        <v>13503</v>
      </c>
      <c r="G2232" s="360" t="s">
        <v>13385</v>
      </c>
      <c r="H2232" s="360" t="s">
        <v>13386</v>
      </c>
      <c r="I2232" s="1692" t="s">
        <v>13387</v>
      </c>
      <c r="J2232" s="360" t="s">
        <v>13483</v>
      </c>
      <c r="K2232" s="360" t="s">
        <v>138</v>
      </c>
      <c r="L2232" s="56" t="s">
        <v>13288</v>
      </c>
      <c r="M2232" s="360" t="s">
        <v>13353</v>
      </c>
      <c r="N2232" s="360" t="s">
        <v>9892</v>
      </c>
      <c r="O2232" s="357">
        <v>4.0</v>
      </c>
      <c r="P2232" s="360" t="s">
        <v>13256</v>
      </c>
      <c r="Q2232" s="104" t="str">
        <f t="array" ref="Q2232"> if(iserror(MATCH(V2232, 'File Links'!C:C, 0)), "N/A", HYPERLINK(INDEX('File Links'!B:B, MATCH(P2232, 'File Links'!C:C, 0))))</f>
        <v>https://drive.google.com/file/d/1FklynAHzflh7rbxQIU4qTxOz3VBhye8B/view?usp=drivesdk</v>
      </c>
      <c r="R2232" s="360" t="s">
        <v>13257</v>
      </c>
      <c r="S2232" s="360" t="s">
        <v>13258</v>
      </c>
      <c r="T2232" s="360" t="s">
        <v>138</v>
      </c>
      <c r="U2232" s="357">
        <v>2.0</v>
      </c>
      <c r="V2232" s="360" t="s">
        <v>13259</v>
      </c>
      <c r="W2232" s="46"/>
      <c r="X2232" s="54" t="str">
        <f t="array" ref="X2232"> if(iserror(MATCH(V2232, 'File Links'!C:C, 0)), "N/A", HYPERLINK(INDEX('File Links'!B:B, MATCH(V2232, 'File Links'!C:C, 0))))</f>
        <v>https://drive.google.com/file/d/1hYNUJrx3yjyMoTgcG7Qz4pix-8ruWFMC/view?usp=drivesdk</v>
      </c>
      <c r="Y2232" s="360" t="s">
        <v>138</v>
      </c>
      <c r="Z2232" s="360" t="s">
        <v>226</v>
      </c>
      <c r="AA2232" s="360" t="s">
        <v>13260</v>
      </c>
      <c r="AB2232" s="360" t="s">
        <v>13389</v>
      </c>
      <c r="AC2232" s="360" t="s">
        <v>13504</v>
      </c>
      <c r="AD2232" s="360" t="s">
        <v>13505</v>
      </c>
      <c r="AE2232" s="360" t="s">
        <v>630</v>
      </c>
      <c r="AF2232" s="357">
        <v>1593.0</v>
      </c>
      <c r="AG2232" s="360" t="s">
        <v>13506</v>
      </c>
      <c r="AH2232" s="343" t="s">
        <v>134</v>
      </c>
      <c r="AI2232" s="360" t="s">
        <v>630</v>
      </c>
      <c r="AJ2232" s="357">
        <v>0.001</v>
      </c>
      <c r="AK2232" s="360" t="s">
        <v>135</v>
      </c>
      <c r="AL2232" s="360" t="s">
        <v>186</v>
      </c>
      <c r="AM2232" s="360" t="s">
        <v>137</v>
      </c>
      <c r="AN2232" s="360" t="s">
        <v>138</v>
      </c>
      <c r="AO2232" s="357">
        <v>3683.0</v>
      </c>
      <c r="AP2232" s="357">
        <v>1.04</v>
      </c>
      <c r="AQ2232" s="360" t="s">
        <v>722</v>
      </c>
      <c r="AR2232" s="360" t="s">
        <v>624</v>
      </c>
      <c r="AS2232" s="357">
        <v>0.241</v>
      </c>
      <c r="AT2232" s="360" t="s">
        <v>172</v>
      </c>
      <c r="AU2232" s="360" t="s">
        <v>136</v>
      </c>
      <c r="AV2232" s="360" t="s">
        <v>137</v>
      </c>
      <c r="AW2232" s="2006" t="s">
        <v>13263</v>
      </c>
      <c r="AX2232" s="360" t="s">
        <v>438</v>
      </c>
      <c r="AY2232" s="61" t="str">
        <f>IFERROR(__xludf.DUMMYFUNCTION("vlookup(BB2232,importrange(""https://docs.google.com/spreadsheets/d/1d2vevQ_7D_v35q4wCQ4RpQ_IPoTwEMB9Yp6ymwlPqew/edit?gid=984458430#gid=984458430"", ""'replication success'!A:K""), 11, FAlSE)"),"#N/A")</f>
        <v>#N/A</v>
      </c>
      <c r="AZ2232" s="61" t="str">
        <f>IFERROR(__xludf.DUMMYFUNCTION("vlookup(BB2232,importrange(""https://docs.google.com/spreadsheets/d/1d2vevQ_7D_v35q4wCQ4RpQ_IPoTwEMB9Yp6ymwlPqew/edit?gid=984458430#gid=984458430"", ""'replication success'!A:M""), 12, FAlSE)"),"#N/A")</f>
        <v>#N/A</v>
      </c>
      <c r="BA2232" s="61" t="str">
        <f>IFERROR(__xludf.DUMMYFUNCTION("vlookup(BB2232,importrange(""https://docs.google.com/spreadsheets/d/1d2vevQ_7D_v35q4wCQ4RpQ_IPoTwEMB9Yp6ymwlPqew/edit?gid=984458430#gid=984458430"", ""'replication success'!A:M""), 13, FAlSE)"),"#N/A")</f>
        <v>#N/A</v>
      </c>
      <c r="BB2232" s="61" t="str">
        <f>IFERROR(__xludf.DUMMYFUNCTION("REGEXREPLACE(G2232, ""_[a-z]{1,2}$"", """")"),"svodevelopment2")</f>
        <v>svodevelopment2</v>
      </c>
      <c r="BC2232" s="342"/>
      <c r="BD2232" s="1440" t="s">
        <v>13400</v>
      </c>
      <c r="BE2232" s="342"/>
      <c r="BF2232" s="342"/>
      <c r="BG2232" s="342"/>
      <c r="BH2232" s="342"/>
      <c r="BI2232" s="342"/>
      <c r="BJ2232" s="342"/>
      <c r="BK2232" s="342"/>
      <c r="BL2232" s="342"/>
      <c r="BM2232" s="342"/>
      <c r="BN2232" s="342"/>
      <c r="BO2232" s="342"/>
      <c r="BP2232" s="342"/>
      <c r="BQ2232" s="342"/>
      <c r="BR2232" s="342"/>
      <c r="BS2232" s="342"/>
      <c r="BT2232" s="342"/>
      <c r="BU2232" s="342"/>
      <c r="BV2232" s="342"/>
      <c r="BW2232" s="342"/>
      <c r="BX2232" s="342"/>
      <c r="BY2232" s="342"/>
      <c r="BZ2232" s="342"/>
      <c r="CA2232" s="342"/>
      <c r="CB2232" s="342"/>
      <c r="CC2232" s="342"/>
      <c r="CD2232" s="342"/>
      <c r="CE2232" s="342"/>
      <c r="CF2232" s="342"/>
      <c r="CG2232" s="342"/>
      <c r="CH2232" s="342"/>
      <c r="CI2232" s="342"/>
      <c r="CJ2232" s="342"/>
      <c r="CK2232" s="342"/>
      <c r="CL2232" s="342"/>
      <c r="CM2232" s="342"/>
      <c r="CN2232" s="342"/>
      <c r="CO2232" s="342"/>
      <c r="CP2232" s="342"/>
      <c r="CQ2232" s="342"/>
      <c r="CR2232" s="342"/>
      <c r="CS2232" s="342"/>
      <c r="CT2232" s="342"/>
      <c r="CU2232" s="342"/>
      <c r="CV2232" s="342"/>
      <c r="CW2232" s="342"/>
      <c r="CX2232" s="342"/>
      <c r="CY2232" s="342"/>
      <c r="CZ2232" s="342"/>
      <c r="DA2232" s="342"/>
      <c r="DB2232" s="342"/>
      <c r="DC2232" s="342"/>
      <c r="DD2232" s="342"/>
      <c r="DE2232" s="342"/>
      <c r="DF2232" s="342"/>
      <c r="DG2232" s="342"/>
      <c r="DH2232" s="342"/>
      <c r="DI2232" s="342"/>
      <c r="DJ2232" s="342"/>
      <c r="DK2232" s="342"/>
      <c r="DL2232" s="342"/>
    </row>
    <row r="2233">
      <c r="A2233" s="354">
        <v>2233.0</v>
      </c>
      <c r="B2233" s="56" t="s">
        <v>523</v>
      </c>
      <c r="C2233" s="341" t="s">
        <v>115</v>
      </c>
      <c r="D2233" s="341" t="s">
        <v>176</v>
      </c>
      <c r="E2233" s="342"/>
      <c r="F2233" s="56" t="s">
        <v>13503</v>
      </c>
      <c r="G2233" s="56" t="s">
        <v>13385</v>
      </c>
      <c r="H2233" s="343" t="s">
        <v>7252</v>
      </c>
      <c r="I2233" s="347" t="s">
        <v>13296</v>
      </c>
      <c r="J2233" s="46"/>
      <c r="K2233" s="360"/>
      <c r="L2233" s="46"/>
      <c r="M2233" s="56" t="s">
        <v>13293</v>
      </c>
      <c r="N2233" s="56" t="s">
        <v>9892</v>
      </c>
      <c r="O2233" s="385"/>
      <c r="P2233" s="343" t="s">
        <v>13256</v>
      </c>
      <c r="Q2233" s="104" t="str">
        <f t="array" ref="Q2233"> if(iserror(MATCH(V2233, 'File Links'!C:C, 0)), "N/A", HYPERLINK(INDEX('File Links'!B:B, MATCH(P2233, 'File Links'!C:C, 0))))</f>
        <v>https://drive.google.com/file/d/1FklynAHzflh7rbxQIU4qTxOz3VBhye8B/view?usp=drivesdk</v>
      </c>
      <c r="R2233" s="1697" t="s">
        <v>13257</v>
      </c>
      <c r="S2233" s="56" t="s">
        <v>13258</v>
      </c>
      <c r="T2233" s="1798"/>
      <c r="U2233" s="385"/>
      <c r="V2233" s="343" t="s">
        <v>13259</v>
      </c>
      <c r="W2233" s="360"/>
      <c r="X2233" s="54" t="str">
        <f t="array" ref="X2233"> if(iserror(MATCH(V2233, 'File Links'!C:C, 0)), "N/A", HYPERLINK(INDEX('File Links'!B:B, MATCH(V2233, 'File Links'!C:C, 0))))</f>
        <v>https://drive.google.com/file/d/1hYNUJrx3yjyMoTgcG7Qz4pix-8ruWFMC/view?usp=drivesdk</v>
      </c>
      <c r="Y2233" s="46"/>
      <c r="Z2233" s="343" t="s">
        <v>226</v>
      </c>
      <c r="AA2233" s="56" t="s">
        <v>13260</v>
      </c>
      <c r="AB2233" s="343" t="s">
        <v>13393</v>
      </c>
      <c r="AC2233" s="360"/>
      <c r="AD2233" s="360"/>
      <c r="AE2233" s="360"/>
      <c r="AF2233" s="357"/>
      <c r="AG2233" s="357"/>
      <c r="AH2233" s="360"/>
      <c r="AI2233" s="360"/>
      <c r="AJ2233" s="357"/>
      <c r="AK2233" s="360"/>
      <c r="AL2233" s="360"/>
      <c r="AM2233" s="46"/>
      <c r="AN2233" s="46"/>
      <c r="AO2233" s="357"/>
      <c r="AP2233" s="357"/>
      <c r="AQ2233" s="360"/>
      <c r="AR2233" s="360"/>
      <c r="AS2233" s="357"/>
      <c r="AT2233" s="360"/>
      <c r="AU2233" s="360"/>
      <c r="AV2233" s="46"/>
      <c r="AW2233" s="59"/>
      <c r="AX2233" s="46"/>
      <c r="AY2233" s="61" t="str">
        <f>IFERROR(__xludf.DUMMYFUNCTION("vlookup(BB2233,importrange(""https://docs.google.com/spreadsheets/d/1d2vevQ_7D_v35q4wCQ4RpQ_IPoTwEMB9Yp6ymwlPqew/edit?gid=984458430#gid=984458430"", ""'replication success'!A:K""), 11, FAlSE)"),"#N/A")</f>
        <v>#N/A</v>
      </c>
      <c r="AZ2233" s="61" t="str">
        <f>IFERROR(__xludf.DUMMYFUNCTION("vlookup(BB2233,importrange(""https://docs.google.com/spreadsheets/d/1d2vevQ_7D_v35q4wCQ4RpQ_IPoTwEMB9Yp6ymwlPqew/edit?gid=984458430#gid=984458430"", ""'replication success'!A:M""), 12, FAlSE)"),"#N/A")</f>
        <v>#N/A</v>
      </c>
      <c r="BA2233" s="61" t="str">
        <f>IFERROR(__xludf.DUMMYFUNCTION("vlookup(BB2233,importrange(""https://docs.google.com/spreadsheets/d/1d2vevQ_7D_v35q4wCQ4RpQ_IPoTwEMB9Yp6ymwlPqew/edit?gid=984458430#gid=984458430"", ""'replication success'!A:M""), 13, FAlSE)"),"#N/A")</f>
        <v>#N/A</v>
      </c>
      <c r="BB2233" s="61" t="str">
        <f>IFERROR(__xludf.DUMMYFUNCTION("REGEXREPLACE(G2233, ""_[a-z]{1,2}$"", """")"),"svodevelopment2")</f>
        <v>svodevelopment2</v>
      </c>
      <c r="BC2233" s="342"/>
      <c r="BD2233" s="1440" t="s">
        <v>13400</v>
      </c>
      <c r="BE2233" s="342"/>
      <c r="BF2233" s="342"/>
      <c r="BG2233" s="342"/>
      <c r="BH2233" s="342"/>
      <c r="BI2233" s="342"/>
      <c r="BJ2233" s="342"/>
      <c r="BK2233" s="342"/>
      <c r="BL2233" s="342"/>
      <c r="BM2233" s="342"/>
      <c r="BN2233" s="342"/>
      <c r="BO2233" s="342"/>
      <c r="BP2233" s="342"/>
      <c r="BQ2233" s="342"/>
      <c r="BR2233" s="342"/>
      <c r="BS2233" s="342"/>
      <c r="BT2233" s="342"/>
      <c r="BU2233" s="342"/>
      <c r="BV2233" s="342"/>
      <c r="BW2233" s="342"/>
      <c r="BX2233" s="342"/>
      <c r="BY2233" s="342"/>
      <c r="BZ2233" s="342"/>
      <c r="CA2233" s="342"/>
      <c r="CB2233" s="342"/>
      <c r="CC2233" s="342"/>
      <c r="CD2233" s="342"/>
      <c r="CE2233" s="342"/>
      <c r="CF2233" s="342"/>
      <c r="CG2233" s="342"/>
      <c r="CH2233" s="342"/>
      <c r="CI2233" s="342"/>
      <c r="CJ2233" s="342"/>
      <c r="CK2233" s="342"/>
      <c r="CL2233" s="342"/>
      <c r="CM2233" s="342"/>
      <c r="CN2233" s="342"/>
      <c r="CO2233" s="342"/>
      <c r="CP2233" s="342"/>
      <c r="CQ2233" s="342"/>
      <c r="CR2233" s="342"/>
      <c r="CS2233" s="342"/>
      <c r="CT2233" s="342"/>
      <c r="CU2233" s="342"/>
      <c r="CV2233" s="342"/>
      <c r="CW2233" s="342"/>
      <c r="CX2233" s="342"/>
      <c r="CY2233" s="342"/>
      <c r="CZ2233" s="342"/>
      <c r="DA2233" s="342"/>
      <c r="DB2233" s="342"/>
      <c r="DC2233" s="342"/>
      <c r="DD2233" s="342"/>
      <c r="DE2233" s="342"/>
      <c r="DF2233" s="342"/>
      <c r="DG2233" s="342"/>
      <c r="DH2233" s="342"/>
      <c r="DI2233" s="342"/>
      <c r="DJ2233" s="342"/>
      <c r="DK2233" s="342"/>
      <c r="DL2233" s="342"/>
    </row>
    <row r="2234">
      <c r="A2234" s="44">
        <v>2234.0</v>
      </c>
      <c r="B2234" s="129" t="s">
        <v>523</v>
      </c>
      <c r="C2234" s="62" t="s">
        <v>115</v>
      </c>
      <c r="D2234" s="62" t="s">
        <v>990</v>
      </c>
      <c r="F2234" s="68" t="s">
        <v>13507</v>
      </c>
      <c r="G2234" s="159" t="s">
        <v>13385</v>
      </c>
      <c r="H2234" s="159" t="s">
        <v>13386</v>
      </c>
      <c r="I2234" s="1287" t="s">
        <v>13387</v>
      </c>
      <c r="J2234" s="159" t="s">
        <v>13483</v>
      </c>
      <c r="K2234" s="159" t="s">
        <v>138</v>
      </c>
      <c r="L2234" s="56" t="s">
        <v>13288</v>
      </c>
      <c r="M2234" s="159" t="s">
        <v>13353</v>
      </c>
      <c r="N2234" s="159" t="s">
        <v>9892</v>
      </c>
      <c r="O2234" s="156">
        <v>4.0</v>
      </c>
      <c r="P2234" s="382" t="s">
        <v>13256</v>
      </c>
      <c r="Q2234" s="52" t="str">
        <f t="array" ref="Q2234"> if(iserror(MATCH(V2234, 'File Links'!C:C, 0)), "N/A", HYPERLINK(INDEX('File Links'!B:B, MATCH(P2234, 'File Links'!C:C, 0))))</f>
        <v>https://drive.google.com/file/d/1FklynAHzflh7rbxQIU4qTxOz3VBhye8B/view?usp=drivesdk</v>
      </c>
      <c r="R2234" s="159" t="s">
        <v>13257</v>
      </c>
      <c r="S2234" s="159" t="s">
        <v>13258</v>
      </c>
      <c r="T2234" s="159" t="s">
        <v>138</v>
      </c>
      <c r="U2234" s="156">
        <v>2.0</v>
      </c>
      <c r="V2234" s="382" t="s">
        <v>13259</v>
      </c>
      <c r="W2234" s="1228"/>
      <c r="X2234" s="54" t="str">
        <f t="array" ref="X2234"> if(iserror(MATCH(V2234, 'File Links'!C:C, 0)), "N/A", HYPERLINK(INDEX('File Links'!B:B, MATCH(V2234, 'File Links'!C:C, 0))))</f>
        <v>https://drive.google.com/file/d/1hYNUJrx3yjyMoTgcG7Qz4pix-8ruWFMC/view?usp=drivesdk</v>
      </c>
      <c r="Y2234" s="159" t="s">
        <v>138</v>
      </c>
      <c r="Z2234" s="159" t="s">
        <v>226</v>
      </c>
      <c r="AA2234" s="159" t="s">
        <v>13260</v>
      </c>
      <c r="AB2234" s="159" t="s">
        <v>13389</v>
      </c>
      <c r="AC2234" s="159" t="s">
        <v>13508</v>
      </c>
      <c r="AD2234" s="159" t="s">
        <v>13505</v>
      </c>
      <c r="AE2234" s="159" t="s">
        <v>630</v>
      </c>
      <c r="AF2234" s="156">
        <v>1593.0</v>
      </c>
      <c r="AG2234" s="159" t="s">
        <v>13506</v>
      </c>
      <c r="AH2234" s="349" t="s">
        <v>134</v>
      </c>
      <c r="AI2234" s="159" t="s">
        <v>630</v>
      </c>
      <c r="AJ2234" s="156">
        <v>0.001</v>
      </c>
      <c r="AK2234" s="159" t="s">
        <v>135</v>
      </c>
      <c r="AL2234" s="159" t="s">
        <v>186</v>
      </c>
      <c r="AM2234" s="159" t="s">
        <v>137</v>
      </c>
      <c r="AN2234" s="159" t="s">
        <v>138</v>
      </c>
      <c r="AO2234" s="156">
        <v>3683.0</v>
      </c>
      <c r="AP2234" s="156">
        <v>0.02</v>
      </c>
      <c r="AQ2234" s="159" t="s">
        <v>987</v>
      </c>
      <c r="AR2234" s="159" t="s">
        <v>624</v>
      </c>
      <c r="AS2234" s="156">
        <v>0.179</v>
      </c>
      <c r="AT2234" s="159" t="s">
        <v>172</v>
      </c>
      <c r="AU2234" s="159" t="s">
        <v>136</v>
      </c>
      <c r="AV2234" s="159" t="s">
        <v>137</v>
      </c>
      <c r="AW2234" s="2007" t="s">
        <v>13263</v>
      </c>
      <c r="AX2234" s="159" t="s">
        <v>438</v>
      </c>
      <c r="AY2234" s="61" t="str">
        <f>IFERROR(__xludf.DUMMYFUNCTION("vlookup(BB2234,importrange(""https://docs.google.com/spreadsheets/d/1d2vevQ_7D_v35q4wCQ4RpQ_IPoTwEMB9Yp6ymwlPqew/edit?gid=984458430#gid=984458430"", ""'replication success'!A:K""), 11, FAlSE)"),"#N/A")</f>
        <v>#N/A</v>
      </c>
      <c r="AZ2234" s="61" t="str">
        <f>IFERROR(__xludf.DUMMYFUNCTION("vlookup(BB2234,importrange(""https://docs.google.com/spreadsheets/d/1d2vevQ_7D_v35q4wCQ4RpQ_IPoTwEMB9Yp6ymwlPqew/edit?gid=984458430#gid=984458430"", ""'replication success'!A:M""), 12, FAlSE)"),"#N/A")</f>
        <v>#N/A</v>
      </c>
      <c r="BA2234" s="61" t="str">
        <f>IFERROR(__xludf.DUMMYFUNCTION("vlookup(BB2234,importrange(""https://docs.google.com/spreadsheets/d/1d2vevQ_7D_v35q4wCQ4RpQ_IPoTwEMB9Yp6ymwlPqew/edit?gid=984458430#gid=984458430"", ""'replication success'!A:M""), 13, FAlSE)"),"#N/A")</f>
        <v>#N/A</v>
      </c>
      <c r="BB2234" s="61" t="str">
        <f>IFERROR(__xludf.DUMMYFUNCTION("REGEXREPLACE(G2234, ""_[a-z]{1,2}$"", """")"),"svodevelopment2")</f>
        <v>svodevelopment2</v>
      </c>
      <c r="BD2234" s="1440" t="s">
        <v>13400</v>
      </c>
    </row>
    <row r="2235">
      <c r="A2235" s="44">
        <v>2235.0</v>
      </c>
      <c r="B2235" s="129" t="s">
        <v>523</v>
      </c>
      <c r="C2235" s="62" t="s">
        <v>115</v>
      </c>
      <c r="D2235" s="62" t="s">
        <v>176</v>
      </c>
      <c r="F2235" s="129" t="s">
        <v>13507</v>
      </c>
      <c r="G2235" s="129" t="s">
        <v>13385</v>
      </c>
      <c r="H2235" s="151" t="s">
        <v>7252</v>
      </c>
      <c r="I2235" s="161" t="s">
        <v>13296</v>
      </c>
      <c r="J2235" s="68"/>
      <c r="K2235" s="159"/>
      <c r="L2235" s="68"/>
      <c r="M2235" s="129" t="s">
        <v>13353</v>
      </c>
      <c r="N2235" s="129" t="s">
        <v>9892</v>
      </c>
      <c r="O2235" s="336"/>
      <c r="P2235" s="309" t="s">
        <v>13256</v>
      </c>
      <c r="Q2235" s="52" t="str">
        <f t="array" ref="Q2235"> if(iserror(MATCH(V2235, 'File Links'!C:C, 0)), "N/A", HYPERLINK(INDEX('File Links'!B:B, MATCH(P2235, 'File Links'!C:C, 0))))</f>
        <v>https://drive.google.com/file/d/1FklynAHzflh7rbxQIU4qTxOz3VBhye8B/view?usp=drivesdk</v>
      </c>
      <c r="R2235" s="1697" t="s">
        <v>13257</v>
      </c>
      <c r="S2235" s="129" t="s">
        <v>13258</v>
      </c>
      <c r="T2235" s="1379"/>
      <c r="U2235" s="336"/>
      <c r="V2235" s="151" t="s">
        <v>13259</v>
      </c>
      <c r="W2235" s="159"/>
      <c r="X2235" s="54" t="str">
        <f t="array" ref="X2235"> if(iserror(MATCH(V2235, 'File Links'!C:C, 0)), "N/A", HYPERLINK(INDEX('File Links'!B:B, MATCH(V2235, 'File Links'!C:C, 0))))</f>
        <v>https://drive.google.com/file/d/1hYNUJrx3yjyMoTgcG7Qz4pix-8ruWFMC/view?usp=drivesdk</v>
      </c>
      <c r="Y2235" s="68"/>
      <c r="Z2235" s="151" t="s">
        <v>226</v>
      </c>
      <c r="AA2235" s="129" t="s">
        <v>13260</v>
      </c>
      <c r="AB2235" s="151" t="s">
        <v>13393</v>
      </c>
      <c r="AC2235" s="159"/>
      <c r="AD2235" s="159"/>
      <c r="AE2235" s="159"/>
      <c r="AF2235" s="156"/>
      <c r="AG2235" s="156"/>
      <c r="AH2235" s="159"/>
      <c r="AI2235" s="159"/>
      <c r="AJ2235" s="156"/>
      <c r="AK2235" s="159"/>
      <c r="AL2235" s="159"/>
      <c r="AM2235" s="68"/>
      <c r="AN2235" s="68"/>
      <c r="AO2235" s="156"/>
      <c r="AP2235" s="156"/>
      <c r="AQ2235" s="159"/>
      <c r="AR2235" s="159"/>
      <c r="AS2235" s="156"/>
      <c r="AT2235" s="159"/>
      <c r="AU2235" s="159"/>
      <c r="AV2235" s="68"/>
      <c r="AW2235" s="435"/>
      <c r="AX2235" s="68"/>
      <c r="AY2235" s="61" t="str">
        <f>IFERROR(__xludf.DUMMYFUNCTION("vlookup(BB2235,importrange(""https://docs.google.com/spreadsheets/d/1d2vevQ_7D_v35q4wCQ4RpQ_IPoTwEMB9Yp6ymwlPqew/edit?gid=984458430#gid=984458430"", ""'replication success'!A:K""), 11, FAlSE)"),"#N/A")</f>
        <v>#N/A</v>
      </c>
      <c r="AZ2235" s="61" t="str">
        <f>IFERROR(__xludf.DUMMYFUNCTION("vlookup(BB2235,importrange(""https://docs.google.com/spreadsheets/d/1d2vevQ_7D_v35q4wCQ4RpQ_IPoTwEMB9Yp6ymwlPqew/edit?gid=984458430#gid=984458430"", ""'replication success'!A:M""), 12, FAlSE)"),"#N/A")</f>
        <v>#N/A</v>
      </c>
      <c r="BA2235" s="61" t="str">
        <f>IFERROR(__xludf.DUMMYFUNCTION("vlookup(BB2235,importrange(""https://docs.google.com/spreadsheets/d/1d2vevQ_7D_v35q4wCQ4RpQ_IPoTwEMB9Yp6ymwlPqew/edit?gid=984458430#gid=984458430"", ""'replication success'!A:M""), 13, FAlSE)"),"#N/A")</f>
        <v>#N/A</v>
      </c>
      <c r="BB2235" s="61" t="str">
        <f>IFERROR(__xludf.DUMMYFUNCTION("REGEXREPLACE(G2235, ""_[a-z]{1,2}$"", """")"),"svodevelopment2")</f>
        <v>svodevelopment2</v>
      </c>
      <c r="BD2235" s="1440" t="s">
        <v>13400</v>
      </c>
    </row>
    <row r="2236">
      <c r="A2236" s="44">
        <v>2236.0</v>
      </c>
      <c r="B2236" s="129" t="s">
        <v>523</v>
      </c>
      <c r="C2236" s="62" t="s">
        <v>115</v>
      </c>
      <c r="D2236" s="62" t="s">
        <v>990</v>
      </c>
      <c r="F2236" s="68" t="s">
        <v>13415</v>
      </c>
      <c r="G2236" s="159" t="s">
        <v>13385</v>
      </c>
      <c r="H2236" s="159" t="s">
        <v>13386</v>
      </c>
      <c r="I2236" s="1287" t="s">
        <v>13387</v>
      </c>
      <c r="J2236" s="159" t="s">
        <v>13483</v>
      </c>
      <c r="K2236" s="159" t="s">
        <v>138</v>
      </c>
      <c r="L2236" s="56" t="s">
        <v>13288</v>
      </c>
      <c r="M2236" s="159" t="s">
        <v>13255</v>
      </c>
      <c r="N2236" s="159" t="s">
        <v>9892</v>
      </c>
      <c r="O2236" s="156">
        <v>1.0</v>
      </c>
      <c r="P2236" s="382" t="s">
        <v>13256</v>
      </c>
      <c r="Q2236" s="52" t="str">
        <f t="array" ref="Q2236"> if(iserror(MATCH(V2236, 'File Links'!C:C, 0)), "N/A", HYPERLINK(INDEX('File Links'!B:B, MATCH(P2236, 'File Links'!C:C, 0))))</f>
        <v>https://drive.google.com/file/d/1FklynAHzflh7rbxQIU4qTxOz3VBhye8B/view?usp=drivesdk</v>
      </c>
      <c r="R2236" s="159" t="s">
        <v>13257</v>
      </c>
      <c r="S2236" s="159" t="s">
        <v>13258</v>
      </c>
      <c r="T2236" s="159" t="s">
        <v>138</v>
      </c>
      <c r="U2236" s="156">
        <v>2.0</v>
      </c>
      <c r="V2236" s="382" t="s">
        <v>13259</v>
      </c>
      <c r="W2236" s="1228"/>
      <c r="X2236" s="54" t="str">
        <f t="array" ref="X2236"> if(iserror(MATCH(V2236, 'File Links'!C:C, 0)), "N/A", HYPERLINK(INDEX('File Links'!B:B, MATCH(V2236, 'File Links'!C:C, 0))))</f>
        <v>https://drive.google.com/file/d/1hYNUJrx3yjyMoTgcG7Qz4pix-8ruWFMC/view?usp=drivesdk</v>
      </c>
      <c r="Y2236" s="159" t="s">
        <v>138</v>
      </c>
      <c r="Z2236" s="159" t="s">
        <v>226</v>
      </c>
      <c r="AA2236" s="159" t="s">
        <v>13260</v>
      </c>
      <c r="AB2236" s="159" t="s">
        <v>13389</v>
      </c>
      <c r="AC2236" s="159" t="s">
        <v>13509</v>
      </c>
      <c r="AD2236" s="159" t="s">
        <v>13391</v>
      </c>
      <c r="AE2236" s="159" t="s">
        <v>1042</v>
      </c>
      <c r="AF2236" s="156">
        <v>101.0</v>
      </c>
      <c r="AG2236" s="156">
        <v>0.183</v>
      </c>
      <c r="AH2236" s="159" t="s">
        <v>173</v>
      </c>
      <c r="AI2236" s="159" t="s">
        <v>1042</v>
      </c>
      <c r="AJ2236" s="156">
        <v>0.05</v>
      </c>
      <c r="AK2236" s="159" t="s">
        <v>135</v>
      </c>
      <c r="AL2236" s="159" t="s">
        <v>136</v>
      </c>
      <c r="AM2236" s="159" t="s">
        <v>137</v>
      </c>
      <c r="AN2236" s="159" t="s">
        <v>138</v>
      </c>
      <c r="AO2236" s="156">
        <v>3762.0</v>
      </c>
      <c r="AP2236" s="156">
        <v>1.11</v>
      </c>
      <c r="AQ2236" s="159" t="s">
        <v>722</v>
      </c>
      <c r="AR2236" s="159" t="s">
        <v>624</v>
      </c>
      <c r="AS2236" s="156">
        <v>0.002</v>
      </c>
      <c r="AT2236" s="159" t="s">
        <v>172</v>
      </c>
      <c r="AU2236" s="159" t="s">
        <v>136</v>
      </c>
      <c r="AV2236" s="159" t="s">
        <v>137</v>
      </c>
      <c r="AW2236" s="2007" t="s">
        <v>13263</v>
      </c>
      <c r="AX2236" s="159" t="s">
        <v>438</v>
      </c>
      <c r="AY2236" s="61" t="str">
        <f>IFERROR(__xludf.DUMMYFUNCTION("vlookup(BB2236,importrange(""https://docs.google.com/spreadsheets/d/1d2vevQ_7D_v35q4wCQ4RpQ_IPoTwEMB9Yp6ymwlPqew/edit?gid=984458430#gid=984458430"", ""'replication success'!A:K""), 11, FAlSE)"),"#N/A")</f>
        <v>#N/A</v>
      </c>
      <c r="AZ2236" s="61" t="str">
        <f>IFERROR(__xludf.DUMMYFUNCTION("vlookup(BB2236,importrange(""https://docs.google.com/spreadsheets/d/1d2vevQ_7D_v35q4wCQ4RpQ_IPoTwEMB9Yp6ymwlPqew/edit?gid=984458430#gid=984458430"", ""'replication success'!A:M""), 12, FAlSE)"),"#N/A")</f>
        <v>#N/A</v>
      </c>
      <c r="BA2236" s="61" t="str">
        <f>IFERROR(__xludf.DUMMYFUNCTION("vlookup(BB2236,importrange(""https://docs.google.com/spreadsheets/d/1d2vevQ_7D_v35q4wCQ4RpQ_IPoTwEMB9Yp6ymwlPqew/edit?gid=984458430#gid=984458430"", ""'replication success'!A:M""), 13, FAlSE)"),"#N/A")</f>
        <v>#N/A</v>
      </c>
      <c r="BB2236" s="61" t="str">
        <f>IFERROR(__xludf.DUMMYFUNCTION("REGEXREPLACE(G2236, ""_[a-z]{1,2}$"", """")"),"svodevelopment2")</f>
        <v>svodevelopment2</v>
      </c>
      <c r="BD2236" s="1440" t="s">
        <v>13400</v>
      </c>
    </row>
    <row r="2237">
      <c r="A2237" s="44">
        <v>2237.0</v>
      </c>
      <c r="B2237" s="129" t="s">
        <v>523</v>
      </c>
      <c r="C2237" s="62" t="s">
        <v>115</v>
      </c>
      <c r="D2237" s="62" t="s">
        <v>176</v>
      </c>
      <c r="F2237" s="129" t="s">
        <v>13415</v>
      </c>
      <c r="G2237" s="129" t="s">
        <v>13510</v>
      </c>
      <c r="H2237" s="151" t="s">
        <v>7252</v>
      </c>
      <c r="I2237" s="161" t="s">
        <v>13296</v>
      </c>
      <c r="J2237" s="68"/>
      <c r="K2237" s="159"/>
      <c r="L2237" s="129" t="s">
        <v>13442</v>
      </c>
      <c r="M2237" s="129" t="s">
        <v>13255</v>
      </c>
      <c r="N2237" s="129" t="s">
        <v>9892</v>
      </c>
      <c r="O2237" s="501">
        <v>1.0</v>
      </c>
      <c r="P2237" s="309" t="s">
        <v>13256</v>
      </c>
      <c r="Q2237" s="52" t="str">
        <f t="array" ref="Q2237"> if(iserror(MATCH(V2237, 'File Links'!C:C, 0)), "N/A", HYPERLINK(INDEX('File Links'!B:B, MATCH(P2237, 'File Links'!C:C, 0))))</f>
        <v>https://drive.google.com/file/d/1FklynAHzflh7rbxQIU4qTxOz3VBhye8B/view?usp=drivesdk</v>
      </c>
      <c r="R2237" s="1697" t="s">
        <v>13257</v>
      </c>
      <c r="S2237" s="129" t="s">
        <v>13258</v>
      </c>
      <c r="T2237" s="1379"/>
      <c r="U2237" s="336"/>
      <c r="V2237" s="151" t="s">
        <v>13259</v>
      </c>
      <c r="W2237" s="151" t="s">
        <v>672</v>
      </c>
      <c r="X2237" s="54" t="str">
        <f t="array" ref="X2237"> if(iserror(MATCH(V2237, 'File Links'!C:C, 0)), "N/A", HYPERLINK(INDEX('File Links'!B:B, MATCH(V2237, 'File Links'!C:C, 0))))</f>
        <v>https://drive.google.com/file/d/1hYNUJrx3yjyMoTgcG7Qz4pix-8ruWFMC/view?usp=drivesdk</v>
      </c>
      <c r="Y2237" s="68"/>
      <c r="Z2237" s="151" t="s">
        <v>226</v>
      </c>
      <c r="AA2237" s="129" t="s">
        <v>13260</v>
      </c>
      <c r="AB2237" s="151" t="s">
        <v>13393</v>
      </c>
      <c r="AC2237" s="151" t="s">
        <v>13511</v>
      </c>
      <c r="AD2237" s="151" t="s">
        <v>13512</v>
      </c>
      <c r="AE2237" s="151" t="s">
        <v>496</v>
      </c>
      <c r="AF2237" s="161">
        <v>447.0</v>
      </c>
      <c r="AG2237" s="161" t="s">
        <v>13513</v>
      </c>
      <c r="AH2237" s="151" t="s">
        <v>134</v>
      </c>
      <c r="AI2237" s="151" t="s">
        <v>496</v>
      </c>
      <c r="AJ2237" s="161">
        <v>0.1</v>
      </c>
      <c r="AK2237" s="151" t="s">
        <v>135</v>
      </c>
      <c r="AL2237" s="151" t="s">
        <v>186</v>
      </c>
      <c r="AM2237" s="129" t="s">
        <v>137</v>
      </c>
      <c r="AN2237" s="68"/>
      <c r="AO2237" s="161">
        <v>2644.0</v>
      </c>
      <c r="AP2237" s="161">
        <v>-1.28</v>
      </c>
      <c r="AQ2237" s="151" t="s">
        <v>134</v>
      </c>
      <c r="AR2237" s="151" t="s">
        <v>13406</v>
      </c>
      <c r="AS2237" s="161">
        <v>0.201</v>
      </c>
      <c r="AT2237" s="151" t="s">
        <v>172</v>
      </c>
      <c r="AU2237" s="151" t="s">
        <v>186</v>
      </c>
      <c r="AV2237" s="129" t="s">
        <v>137</v>
      </c>
      <c r="AW2237" s="435"/>
      <c r="AX2237" s="129" t="s">
        <v>151</v>
      </c>
      <c r="AY2237" s="61" t="str">
        <f>IFERROR(__xludf.DUMMYFUNCTION("vlookup(BB2237,importrange(""https://docs.google.com/spreadsheets/d/1d2vevQ_7D_v35q4wCQ4RpQ_IPoTwEMB9Yp6ymwlPqew/edit?gid=984458430#gid=984458430"", ""'replication success'!A:K""), 11, FAlSE)"),"#N/A")</f>
        <v>#N/A</v>
      </c>
      <c r="AZ2237" s="61" t="str">
        <f>IFERROR(__xludf.DUMMYFUNCTION("vlookup(BB2237,importrange(""https://docs.google.com/spreadsheets/d/1d2vevQ_7D_v35q4wCQ4RpQ_IPoTwEMB9Yp6ymwlPqew/edit?gid=984458430#gid=984458430"", ""'replication success'!A:M""), 12, FAlSE)"),"#N/A")</f>
        <v>#N/A</v>
      </c>
      <c r="BA2237" s="61" t="str">
        <f>IFERROR(__xludf.DUMMYFUNCTION("vlookup(BB2237,importrange(""https://docs.google.com/spreadsheets/d/1d2vevQ_7D_v35q4wCQ4RpQ_IPoTwEMB9Yp6ymwlPqew/edit?gid=984458430#gid=984458430"", ""'replication success'!A:M""), 13, FAlSE)"),"#N/A")</f>
        <v>#N/A</v>
      </c>
      <c r="BB2237" s="61" t="str">
        <f>IFERROR(__xludf.DUMMYFUNCTION("REGEXREPLACE(G2237, ""_[a-z]{1,2}$"", """")"),"svodevelopment2_1b")</f>
        <v>svodevelopment2_1b</v>
      </c>
      <c r="BD2237" s="1440" t="s">
        <v>13400</v>
      </c>
    </row>
    <row r="2238">
      <c r="A2238" s="44">
        <v>2238.0</v>
      </c>
      <c r="B2238" s="129" t="s">
        <v>523</v>
      </c>
      <c r="C2238" s="62" t="s">
        <v>115</v>
      </c>
      <c r="D2238" s="62" t="s">
        <v>990</v>
      </c>
      <c r="F2238" s="68" t="s">
        <v>13485</v>
      </c>
      <c r="G2238" s="159" t="s">
        <v>13385</v>
      </c>
      <c r="H2238" s="159" t="s">
        <v>13386</v>
      </c>
      <c r="I2238" s="1287" t="s">
        <v>13387</v>
      </c>
      <c r="J2238" s="159" t="s">
        <v>13483</v>
      </c>
      <c r="K2238" s="159" t="s">
        <v>138</v>
      </c>
      <c r="L2238" s="56" t="s">
        <v>13288</v>
      </c>
      <c r="M2238" s="159" t="s">
        <v>13255</v>
      </c>
      <c r="N2238" s="159" t="s">
        <v>9892</v>
      </c>
      <c r="O2238" s="156">
        <v>1.0</v>
      </c>
      <c r="P2238" s="382" t="s">
        <v>13256</v>
      </c>
      <c r="Q2238" s="52" t="str">
        <f t="array" ref="Q2238"> if(iserror(MATCH(V2238, 'File Links'!C:C, 0)), "N/A", HYPERLINK(INDEX('File Links'!B:B, MATCH(P2238, 'File Links'!C:C, 0))))</f>
        <v>https://drive.google.com/file/d/1FklynAHzflh7rbxQIU4qTxOz3VBhye8B/view?usp=drivesdk</v>
      </c>
      <c r="R2238" s="159" t="s">
        <v>13257</v>
      </c>
      <c r="S2238" s="159" t="s">
        <v>13258</v>
      </c>
      <c r="T2238" s="159" t="s">
        <v>138</v>
      </c>
      <c r="U2238" s="156">
        <v>2.0</v>
      </c>
      <c r="V2238" s="382" t="s">
        <v>13259</v>
      </c>
      <c r="W2238" s="1228"/>
      <c r="X2238" s="54" t="str">
        <f t="array" ref="X2238"> if(iserror(MATCH(V2238, 'File Links'!C:C, 0)), "N/A", HYPERLINK(INDEX('File Links'!B:B, MATCH(V2238, 'File Links'!C:C, 0))))</f>
        <v>https://drive.google.com/file/d/1hYNUJrx3yjyMoTgcG7Qz4pix-8ruWFMC/view?usp=drivesdk</v>
      </c>
      <c r="Y2238" s="159" t="s">
        <v>138</v>
      </c>
      <c r="Z2238" s="159" t="s">
        <v>226</v>
      </c>
      <c r="AA2238" s="159" t="s">
        <v>13260</v>
      </c>
      <c r="AB2238" s="159" t="s">
        <v>13389</v>
      </c>
      <c r="AC2238" s="159" t="s">
        <v>13514</v>
      </c>
      <c r="AD2238" s="159" t="s">
        <v>13399</v>
      </c>
      <c r="AE2238" s="159" t="s">
        <v>1042</v>
      </c>
      <c r="AF2238" s="156">
        <v>85.0</v>
      </c>
      <c r="AG2238" s="156">
        <v>0.803</v>
      </c>
      <c r="AH2238" s="159" t="s">
        <v>173</v>
      </c>
      <c r="AI2238" s="159" t="s">
        <v>1042</v>
      </c>
      <c r="AJ2238" s="156">
        <v>0.05</v>
      </c>
      <c r="AK2238" s="159" t="s">
        <v>135</v>
      </c>
      <c r="AL2238" s="159" t="s">
        <v>136</v>
      </c>
      <c r="AM2238" s="159" t="s">
        <v>137</v>
      </c>
      <c r="AN2238" s="159" t="s">
        <v>138</v>
      </c>
      <c r="AO2238" s="156">
        <v>3762.0</v>
      </c>
      <c r="AP2238" s="156">
        <v>0.9</v>
      </c>
      <c r="AQ2238" s="159" t="s">
        <v>722</v>
      </c>
      <c r="AR2238" s="159" t="s">
        <v>624</v>
      </c>
      <c r="AS2238" s="156">
        <v>0.003</v>
      </c>
      <c r="AT2238" s="159" t="s">
        <v>172</v>
      </c>
      <c r="AU2238" s="159" t="s">
        <v>136</v>
      </c>
      <c r="AV2238" s="159" t="s">
        <v>137</v>
      </c>
      <c r="AW2238" s="2007" t="s">
        <v>13263</v>
      </c>
      <c r="AX2238" s="159" t="s">
        <v>438</v>
      </c>
      <c r="AY2238" s="61" t="str">
        <f>IFERROR(__xludf.DUMMYFUNCTION("vlookup(BB2238,importrange(""https://docs.google.com/spreadsheets/d/1d2vevQ_7D_v35q4wCQ4RpQ_IPoTwEMB9Yp6ymwlPqew/edit?gid=984458430#gid=984458430"", ""'replication success'!A:K""), 11, FAlSE)"),"#N/A")</f>
        <v>#N/A</v>
      </c>
      <c r="AZ2238" s="61" t="str">
        <f>IFERROR(__xludf.DUMMYFUNCTION("vlookup(BB2238,importrange(""https://docs.google.com/spreadsheets/d/1d2vevQ_7D_v35q4wCQ4RpQ_IPoTwEMB9Yp6ymwlPqew/edit?gid=984458430#gid=984458430"", ""'replication success'!A:M""), 12, FAlSE)"),"#N/A")</f>
        <v>#N/A</v>
      </c>
      <c r="BA2238" s="61" t="str">
        <f>IFERROR(__xludf.DUMMYFUNCTION("vlookup(BB2238,importrange(""https://docs.google.com/spreadsheets/d/1d2vevQ_7D_v35q4wCQ4RpQ_IPoTwEMB9Yp6ymwlPqew/edit?gid=984458430#gid=984458430"", ""'replication success'!A:M""), 13, FAlSE)"),"#N/A")</f>
        <v>#N/A</v>
      </c>
      <c r="BB2238" s="61" t="str">
        <f>IFERROR(__xludf.DUMMYFUNCTION("REGEXREPLACE(G2238, ""_[a-z]{1,2}$"", """")"),"svodevelopment2")</f>
        <v>svodevelopment2</v>
      </c>
      <c r="BD2238" s="1440" t="s">
        <v>13400</v>
      </c>
    </row>
    <row r="2239">
      <c r="A2239" s="44">
        <v>2239.0</v>
      </c>
      <c r="B2239" s="129" t="s">
        <v>523</v>
      </c>
      <c r="C2239" s="62" t="s">
        <v>115</v>
      </c>
      <c r="D2239" s="62" t="s">
        <v>176</v>
      </c>
      <c r="F2239" s="129" t="s">
        <v>13485</v>
      </c>
      <c r="G2239" s="129" t="s">
        <v>13515</v>
      </c>
      <c r="H2239" s="151" t="s">
        <v>7252</v>
      </c>
      <c r="I2239" s="161" t="s">
        <v>13296</v>
      </c>
      <c r="J2239" s="68"/>
      <c r="K2239" s="159"/>
      <c r="L2239" s="129" t="s">
        <v>13442</v>
      </c>
      <c r="M2239" s="129" t="s">
        <v>13255</v>
      </c>
      <c r="N2239" s="129" t="s">
        <v>9892</v>
      </c>
      <c r="O2239" s="501">
        <v>1.0</v>
      </c>
      <c r="P2239" s="309" t="s">
        <v>13256</v>
      </c>
      <c r="Q2239" s="52" t="str">
        <f t="array" ref="Q2239"> if(iserror(MATCH(V2239, 'File Links'!C:C, 0)), "N/A", HYPERLINK(INDEX('File Links'!B:B, MATCH(P2239, 'File Links'!C:C, 0))))</f>
        <v>https://drive.google.com/file/d/1FklynAHzflh7rbxQIU4qTxOz3VBhye8B/view?usp=drivesdk</v>
      </c>
      <c r="R2239" s="1697" t="s">
        <v>13257</v>
      </c>
      <c r="S2239" s="129" t="s">
        <v>13258</v>
      </c>
      <c r="T2239" s="1379"/>
      <c r="U2239" s="336"/>
      <c r="V2239" s="151" t="s">
        <v>13259</v>
      </c>
      <c r="W2239" s="151" t="s">
        <v>672</v>
      </c>
      <c r="X2239" s="54" t="str">
        <f t="array" ref="X2239"> if(iserror(MATCH(V2239, 'File Links'!C:C, 0)), "N/A", HYPERLINK(INDEX('File Links'!B:B, MATCH(V2239, 'File Links'!C:C, 0))))</f>
        <v>https://drive.google.com/file/d/1hYNUJrx3yjyMoTgcG7Qz4pix-8ruWFMC/view?usp=drivesdk</v>
      </c>
      <c r="Y2239" s="68"/>
      <c r="Z2239" s="151" t="s">
        <v>226</v>
      </c>
      <c r="AA2239" s="129" t="s">
        <v>13260</v>
      </c>
      <c r="AB2239" s="151" t="s">
        <v>13393</v>
      </c>
      <c r="AC2239" s="151" t="s">
        <v>13516</v>
      </c>
      <c r="AD2239" s="151" t="s">
        <v>13517</v>
      </c>
      <c r="AE2239" s="151" t="s">
        <v>496</v>
      </c>
      <c r="AF2239" s="161">
        <v>447.0</v>
      </c>
      <c r="AG2239" s="161" t="s">
        <v>13518</v>
      </c>
      <c r="AH2239" s="151" t="s">
        <v>134</v>
      </c>
      <c r="AI2239" s="151" t="s">
        <v>496</v>
      </c>
      <c r="AJ2239" s="161">
        <v>0.1</v>
      </c>
      <c r="AK2239" s="151" t="s">
        <v>135</v>
      </c>
      <c r="AL2239" s="151" t="s">
        <v>186</v>
      </c>
      <c r="AM2239" s="129" t="s">
        <v>137</v>
      </c>
      <c r="AN2239" s="68"/>
      <c r="AO2239" s="161">
        <v>2644.0</v>
      </c>
      <c r="AP2239" s="161">
        <v>0.76</v>
      </c>
      <c r="AQ2239" s="151" t="s">
        <v>134</v>
      </c>
      <c r="AR2239" s="151" t="s">
        <v>13406</v>
      </c>
      <c r="AS2239" s="161">
        <v>0.447</v>
      </c>
      <c r="AT2239" s="151" t="s">
        <v>172</v>
      </c>
      <c r="AU2239" s="151" t="s">
        <v>186</v>
      </c>
      <c r="AV2239" s="129" t="s">
        <v>137</v>
      </c>
      <c r="AW2239" s="435"/>
      <c r="AX2239" s="129" t="s">
        <v>151</v>
      </c>
      <c r="AY2239" s="61" t="str">
        <f>IFERROR(__xludf.DUMMYFUNCTION("vlookup(BB2239,importrange(""https://docs.google.com/spreadsheets/d/1d2vevQ_7D_v35q4wCQ4RpQ_IPoTwEMB9Yp6ymwlPqew/edit?gid=984458430#gid=984458430"", ""'replication success'!A:K""), 11, FAlSE)"),"#N/A")</f>
        <v>#N/A</v>
      </c>
      <c r="AZ2239" s="61" t="str">
        <f>IFERROR(__xludf.DUMMYFUNCTION("vlookup(BB2239,importrange(""https://docs.google.com/spreadsheets/d/1d2vevQ_7D_v35q4wCQ4RpQ_IPoTwEMB9Yp6ymwlPqew/edit?gid=984458430#gid=984458430"", ""'replication success'!A:M""), 12, FAlSE)"),"#N/A")</f>
        <v>#N/A</v>
      </c>
      <c r="BA2239" s="61" t="str">
        <f>IFERROR(__xludf.DUMMYFUNCTION("vlookup(BB2239,importrange(""https://docs.google.com/spreadsheets/d/1d2vevQ_7D_v35q4wCQ4RpQ_IPoTwEMB9Yp6ymwlPqew/edit?gid=984458430#gid=984458430"", ""'replication success'!A:M""), 13, FAlSE)"),"#N/A")</f>
        <v>#N/A</v>
      </c>
      <c r="BB2239" s="61" t="str">
        <f>IFERROR(__xludf.DUMMYFUNCTION("REGEXREPLACE(G2239, ""_[a-z]{1,2}$"", """")"),"svodevelopment2_1c")</f>
        <v>svodevelopment2_1c</v>
      </c>
      <c r="BD2239" s="1440" t="s">
        <v>13400</v>
      </c>
    </row>
    <row r="2240">
      <c r="A2240" s="44">
        <v>2240.0</v>
      </c>
      <c r="B2240" s="129" t="s">
        <v>523</v>
      </c>
      <c r="C2240" s="62" t="s">
        <v>115</v>
      </c>
      <c r="D2240" s="62" t="s">
        <v>990</v>
      </c>
      <c r="F2240" s="68" t="s">
        <v>13519</v>
      </c>
      <c r="G2240" s="159" t="s">
        <v>13385</v>
      </c>
      <c r="H2240" s="159" t="s">
        <v>13386</v>
      </c>
      <c r="I2240" s="1287" t="s">
        <v>13387</v>
      </c>
      <c r="J2240" s="159" t="s">
        <v>13483</v>
      </c>
      <c r="K2240" s="159" t="s">
        <v>138</v>
      </c>
      <c r="L2240" s="56" t="s">
        <v>13288</v>
      </c>
      <c r="M2240" s="159" t="s">
        <v>13255</v>
      </c>
      <c r="N2240" s="159" t="s">
        <v>9892</v>
      </c>
      <c r="O2240" s="156">
        <v>1.0</v>
      </c>
      <c r="P2240" s="382" t="s">
        <v>13256</v>
      </c>
      <c r="Q2240" s="52" t="str">
        <f t="array" ref="Q2240"> if(iserror(MATCH(V2240, 'File Links'!C:C, 0)), "N/A", HYPERLINK(INDEX('File Links'!B:B, MATCH(P2240, 'File Links'!C:C, 0))))</f>
        <v>https://drive.google.com/file/d/1FklynAHzflh7rbxQIU4qTxOz3VBhye8B/view?usp=drivesdk</v>
      </c>
      <c r="R2240" s="159" t="s">
        <v>13257</v>
      </c>
      <c r="S2240" s="159" t="s">
        <v>13258</v>
      </c>
      <c r="T2240" s="159" t="s">
        <v>138</v>
      </c>
      <c r="U2240" s="156">
        <v>2.0</v>
      </c>
      <c r="V2240" s="382" t="s">
        <v>13259</v>
      </c>
      <c r="W2240" s="1228"/>
      <c r="X2240" s="54" t="str">
        <f t="array" ref="X2240"> if(iserror(MATCH(V2240, 'File Links'!C:C, 0)), "N/A", HYPERLINK(INDEX('File Links'!B:B, MATCH(V2240, 'File Links'!C:C, 0))))</f>
        <v>https://drive.google.com/file/d/1hYNUJrx3yjyMoTgcG7Qz4pix-8ruWFMC/view?usp=drivesdk</v>
      </c>
      <c r="Y2240" s="159" t="s">
        <v>138</v>
      </c>
      <c r="Z2240" s="159" t="s">
        <v>226</v>
      </c>
      <c r="AA2240" s="159" t="s">
        <v>13260</v>
      </c>
      <c r="AB2240" s="159" t="s">
        <v>13389</v>
      </c>
      <c r="AC2240" s="159" t="s">
        <v>13520</v>
      </c>
      <c r="AD2240" s="159" t="s">
        <v>13399</v>
      </c>
      <c r="AE2240" s="159" t="s">
        <v>1042</v>
      </c>
      <c r="AF2240" s="156">
        <v>85.0</v>
      </c>
      <c r="AG2240" s="156">
        <v>0.803</v>
      </c>
      <c r="AH2240" s="159" t="s">
        <v>173</v>
      </c>
      <c r="AI2240" s="159" t="s">
        <v>1042</v>
      </c>
      <c r="AJ2240" s="156">
        <v>0.05</v>
      </c>
      <c r="AK2240" s="159" t="s">
        <v>135</v>
      </c>
      <c r="AL2240" s="159" t="s">
        <v>136</v>
      </c>
      <c r="AM2240" s="159" t="s">
        <v>137</v>
      </c>
      <c r="AN2240" s="159" t="s">
        <v>138</v>
      </c>
      <c r="AO2240" s="156">
        <v>3762.0</v>
      </c>
      <c r="AP2240" s="156">
        <v>0.95</v>
      </c>
      <c r="AQ2240" s="159" t="s">
        <v>722</v>
      </c>
      <c r="AR2240" s="159" t="s">
        <v>624</v>
      </c>
      <c r="AS2240" s="156">
        <v>0.131</v>
      </c>
      <c r="AT2240" s="159" t="s">
        <v>172</v>
      </c>
      <c r="AU2240" s="159" t="s">
        <v>136</v>
      </c>
      <c r="AV2240" s="159" t="s">
        <v>137</v>
      </c>
      <c r="AW2240" s="2007" t="s">
        <v>13263</v>
      </c>
      <c r="AX2240" s="159" t="s">
        <v>438</v>
      </c>
      <c r="AY2240" s="61" t="str">
        <f>IFERROR(__xludf.DUMMYFUNCTION("vlookup(BB2240,importrange(""https://docs.google.com/spreadsheets/d/1d2vevQ_7D_v35q4wCQ4RpQ_IPoTwEMB9Yp6ymwlPqew/edit?gid=984458430#gid=984458430"", ""'replication success'!A:K""), 11, FAlSE)"),"#N/A")</f>
        <v>#N/A</v>
      </c>
      <c r="AZ2240" s="61" t="str">
        <f>IFERROR(__xludf.DUMMYFUNCTION("vlookup(BB2240,importrange(""https://docs.google.com/spreadsheets/d/1d2vevQ_7D_v35q4wCQ4RpQ_IPoTwEMB9Yp6ymwlPqew/edit?gid=984458430#gid=984458430"", ""'replication success'!A:M""), 12, FAlSE)"),"#N/A")</f>
        <v>#N/A</v>
      </c>
      <c r="BA2240" s="61" t="str">
        <f>IFERROR(__xludf.DUMMYFUNCTION("vlookup(BB2240,importrange(""https://docs.google.com/spreadsheets/d/1d2vevQ_7D_v35q4wCQ4RpQ_IPoTwEMB9Yp6ymwlPqew/edit?gid=984458430#gid=984458430"", ""'replication success'!A:M""), 13, FAlSE)"),"#N/A")</f>
        <v>#N/A</v>
      </c>
      <c r="BB2240" s="61" t="str">
        <f>IFERROR(__xludf.DUMMYFUNCTION("REGEXREPLACE(G2240, ""_[a-z]{1,2}$"", """")"),"svodevelopment2")</f>
        <v>svodevelopment2</v>
      </c>
      <c r="BD2240" s="1440" t="s">
        <v>13400</v>
      </c>
    </row>
    <row r="2241">
      <c r="A2241" s="44">
        <v>2241.0</v>
      </c>
      <c r="B2241" s="129" t="s">
        <v>523</v>
      </c>
      <c r="C2241" s="62" t="s">
        <v>115</v>
      </c>
      <c r="D2241" s="62" t="s">
        <v>176</v>
      </c>
      <c r="F2241" s="129" t="s">
        <v>13519</v>
      </c>
      <c r="G2241" s="129" t="s">
        <v>13521</v>
      </c>
      <c r="H2241" s="151" t="s">
        <v>7252</v>
      </c>
      <c r="I2241" s="161" t="s">
        <v>13296</v>
      </c>
      <c r="J2241" s="68"/>
      <c r="K2241" s="159"/>
      <c r="L2241" s="129" t="s">
        <v>13522</v>
      </c>
      <c r="M2241" s="129" t="s">
        <v>13255</v>
      </c>
      <c r="N2241" s="129" t="s">
        <v>9892</v>
      </c>
      <c r="O2241" s="501">
        <v>1.0</v>
      </c>
      <c r="P2241" s="309" t="s">
        <v>13256</v>
      </c>
      <c r="Q2241" s="52" t="str">
        <f t="array" ref="Q2241"> if(iserror(MATCH(V2241, 'File Links'!C:C, 0)), "N/A", HYPERLINK(INDEX('File Links'!B:B, MATCH(P2241, 'File Links'!C:C, 0))))</f>
        <v>https://drive.google.com/file/d/1FklynAHzflh7rbxQIU4qTxOz3VBhye8B/view?usp=drivesdk</v>
      </c>
      <c r="R2241" s="1697" t="s">
        <v>13257</v>
      </c>
      <c r="S2241" s="129" t="s">
        <v>13258</v>
      </c>
      <c r="T2241" s="1379"/>
      <c r="U2241" s="336"/>
      <c r="V2241" s="151" t="s">
        <v>13259</v>
      </c>
      <c r="W2241" s="151" t="s">
        <v>672</v>
      </c>
      <c r="X2241" s="54" t="str">
        <f t="array" ref="X2241"> if(iserror(MATCH(V2241, 'File Links'!C:C, 0)), "N/A", HYPERLINK(INDEX('File Links'!B:B, MATCH(V2241, 'File Links'!C:C, 0))))</f>
        <v>https://drive.google.com/file/d/1hYNUJrx3yjyMoTgcG7Qz4pix-8ruWFMC/view?usp=drivesdk</v>
      </c>
      <c r="Y2241" s="68"/>
      <c r="Z2241" s="151" t="s">
        <v>226</v>
      </c>
      <c r="AA2241" s="129" t="s">
        <v>13260</v>
      </c>
      <c r="AB2241" s="151" t="s">
        <v>13393</v>
      </c>
      <c r="AC2241" s="151" t="s">
        <v>13523</v>
      </c>
      <c r="AD2241" s="151" t="s">
        <v>13524</v>
      </c>
      <c r="AE2241" s="151" t="s">
        <v>496</v>
      </c>
      <c r="AF2241" s="161">
        <v>447.0</v>
      </c>
      <c r="AG2241" s="156"/>
      <c r="AH2241" s="159"/>
      <c r="AI2241" s="151" t="s">
        <v>496</v>
      </c>
      <c r="AJ2241" s="156"/>
      <c r="AK2241" s="159"/>
      <c r="AL2241" s="159"/>
      <c r="AM2241" s="68"/>
      <c r="AN2241" s="68"/>
      <c r="AO2241" s="161">
        <v>2644.0</v>
      </c>
      <c r="AP2241" s="156"/>
      <c r="AQ2241" s="159"/>
      <c r="AR2241" s="151" t="s">
        <v>13406</v>
      </c>
      <c r="AS2241" s="156"/>
      <c r="AT2241" s="159"/>
      <c r="AU2241" s="159"/>
      <c r="AV2241" s="68"/>
      <c r="AW2241" s="435"/>
      <c r="AX2241" s="129" t="s">
        <v>151</v>
      </c>
      <c r="AY2241" s="61" t="str">
        <f>IFERROR(__xludf.DUMMYFUNCTION("vlookup(BB2241,importrange(""https://docs.google.com/spreadsheets/d/1d2vevQ_7D_v35q4wCQ4RpQ_IPoTwEMB9Yp6ymwlPqew/edit?gid=984458430#gid=984458430"", ""'replication success'!A:K""), 11, FAlSE)"),"#N/A")</f>
        <v>#N/A</v>
      </c>
      <c r="AZ2241" s="61" t="str">
        <f>IFERROR(__xludf.DUMMYFUNCTION("vlookup(BB2241,importrange(""https://docs.google.com/spreadsheets/d/1d2vevQ_7D_v35q4wCQ4RpQ_IPoTwEMB9Yp6ymwlPqew/edit?gid=984458430#gid=984458430"", ""'replication success'!A:M""), 12, FAlSE)"),"#N/A")</f>
        <v>#N/A</v>
      </c>
      <c r="BA2241" s="61" t="str">
        <f>IFERROR(__xludf.DUMMYFUNCTION("vlookup(BB2241,importrange(""https://docs.google.com/spreadsheets/d/1d2vevQ_7D_v35q4wCQ4RpQ_IPoTwEMB9Yp6ymwlPqew/edit?gid=984458430#gid=984458430"", ""'replication success'!A:M""), 13, FAlSE)"),"#N/A")</f>
        <v>#N/A</v>
      </c>
      <c r="BB2241" s="61" t="str">
        <f>IFERROR(__xludf.DUMMYFUNCTION("REGEXREPLACE(G2241, ""_[a-z]{1,2}$"", """")"),"svodevelopment2_1d")</f>
        <v>svodevelopment2_1d</v>
      </c>
      <c r="BD2241" s="1440" t="s">
        <v>13400</v>
      </c>
    </row>
    <row r="2242">
      <c r="A2242" s="44">
        <v>2242.0</v>
      </c>
      <c r="B2242" s="129" t="s">
        <v>523</v>
      </c>
      <c r="C2242" s="62" t="s">
        <v>115</v>
      </c>
      <c r="D2242" s="62" t="s">
        <v>990</v>
      </c>
      <c r="F2242" s="68" t="s">
        <v>13525</v>
      </c>
      <c r="G2242" s="159" t="s">
        <v>13385</v>
      </c>
      <c r="H2242" s="159" t="s">
        <v>13386</v>
      </c>
      <c r="I2242" s="1287" t="s">
        <v>13387</v>
      </c>
      <c r="J2242" s="159" t="s">
        <v>13483</v>
      </c>
      <c r="K2242" s="159" t="s">
        <v>138</v>
      </c>
      <c r="L2242" s="56" t="s">
        <v>13288</v>
      </c>
      <c r="M2242" s="159" t="s">
        <v>13255</v>
      </c>
      <c r="N2242" s="159" t="s">
        <v>9892</v>
      </c>
      <c r="O2242" s="156">
        <v>1.0</v>
      </c>
      <c r="P2242" s="382" t="s">
        <v>13256</v>
      </c>
      <c r="Q2242" s="52" t="str">
        <f t="array" ref="Q2242"> if(iserror(MATCH(V2242, 'File Links'!C:C, 0)), "N/A", HYPERLINK(INDEX('File Links'!B:B, MATCH(P2242, 'File Links'!C:C, 0))))</f>
        <v>https://drive.google.com/file/d/1FklynAHzflh7rbxQIU4qTxOz3VBhye8B/view?usp=drivesdk</v>
      </c>
      <c r="R2242" s="159" t="s">
        <v>13257</v>
      </c>
      <c r="S2242" s="159" t="s">
        <v>13258</v>
      </c>
      <c r="T2242" s="159" t="s">
        <v>138</v>
      </c>
      <c r="U2242" s="156">
        <v>2.0</v>
      </c>
      <c r="V2242" s="382" t="s">
        <v>13259</v>
      </c>
      <c r="W2242" s="1228"/>
      <c r="X2242" s="54" t="str">
        <f t="array" ref="X2242"> if(iserror(MATCH(V2242, 'File Links'!C:C, 0)), "N/A", HYPERLINK(INDEX('File Links'!B:B, MATCH(V2242, 'File Links'!C:C, 0))))</f>
        <v>https://drive.google.com/file/d/1hYNUJrx3yjyMoTgcG7Qz4pix-8ruWFMC/view?usp=drivesdk</v>
      </c>
      <c r="Y2242" s="159" t="s">
        <v>138</v>
      </c>
      <c r="Z2242" s="159" t="s">
        <v>226</v>
      </c>
      <c r="AA2242" s="159" t="s">
        <v>13260</v>
      </c>
      <c r="AB2242" s="159" t="s">
        <v>13389</v>
      </c>
      <c r="AC2242" s="159" t="s">
        <v>13526</v>
      </c>
      <c r="AD2242" s="159" t="s">
        <v>13399</v>
      </c>
      <c r="AE2242" s="159" t="s">
        <v>1042</v>
      </c>
      <c r="AF2242" s="156">
        <v>85.0</v>
      </c>
      <c r="AG2242" s="156">
        <v>0.803</v>
      </c>
      <c r="AH2242" s="159" t="s">
        <v>173</v>
      </c>
      <c r="AI2242" s="159" t="s">
        <v>1042</v>
      </c>
      <c r="AJ2242" s="156">
        <v>0.05</v>
      </c>
      <c r="AK2242" s="159" t="s">
        <v>135</v>
      </c>
      <c r="AL2242" s="159" t="s">
        <v>136</v>
      </c>
      <c r="AM2242" s="159" t="s">
        <v>137</v>
      </c>
      <c r="AN2242" s="159" t="s">
        <v>138</v>
      </c>
      <c r="AO2242" s="156">
        <v>3762.0</v>
      </c>
      <c r="AP2242" s="156">
        <v>0.93</v>
      </c>
      <c r="AQ2242" s="159" t="s">
        <v>722</v>
      </c>
      <c r="AR2242" s="159" t="s">
        <v>624</v>
      </c>
      <c r="AS2242" s="156">
        <v>0.039</v>
      </c>
      <c r="AT2242" s="159" t="s">
        <v>172</v>
      </c>
      <c r="AU2242" s="159" t="s">
        <v>136</v>
      </c>
      <c r="AV2242" s="159" t="s">
        <v>137</v>
      </c>
      <c r="AW2242" s="2007" t="s">
        <v>13263</v>
      </c>
      <c r="AX2242" s="159" t="s">
        <v>438</v>
      </c>
      <c r="AY2242" s="61" t="str">
        <f>IFERROR(__xludf.DUMMYFUNCTION("vlookup(BB2242,importrange(""https://docs.google.com/spreadsheets/d/1d2vevQ_7D_v35q4wCQ4RpQ_IPoTwEMB9Yp6ymwlPqew/edit?gid=984458430#gid=984458430"", ""'replication success'!A:K""), 11, FAlSE)"),"#N/A")</f>
        <v>#N/A</v>
      </c>
      <c r="AZ2242" s="61" t="str">
        <f>IFERROR(__xludf.DUMMYFUNCTION("vlookup(BB2242,importrange(""https://docs.google.com/spreadsheets/d/1d2vevQ_7D_v35q4wCQ4RpQ_IPoTwEMB9Yp6ymwlPqew/edit?gid=984458430#gid=984458430"", ""'replication success'!A:M""), 12, FAlSE)"),"#N/A")</f>
        <v>#N/A</v>
      </c>
      <c r="BA2242" s="61" t="str">
        <f>IFERROR(__xludf.DUMMYFUNCTION("vlookup(BB2242,importrange(""https://docs.google.com/spreadsheets/d/1d2vevQ_7D_v35q4wCQ4RpQ_IPoTwEMB9Yp6ymwlPqew/edit?gid=984458430#gid=984458430"", ""'replication success'!A:M""), 13, FAlSE)"),"#N/A")</f>
        <v>#N/A</v>
      </c>
      <c r="BB2242" s="61" t="str">
        <f>IFERROR(__xludf.DUMMYFUNCTION("REGEXREPLACE(G2242, ""_[a-z]{1,2}$"", """")"),"svodevelopment2")</f>
        <v>svodevelopment2</v>
      </c>
      <c r="BD2242" s="1440" t="s">
        <v>13400</v>
      </c>
    </row>
    <row r="2243">
      <c r="A2243" s="44">
        <v>2243.0</v>
      </c>
      <c r="B2243" s="129" t="s">
        <v>523</v>
      </c>
      <c r="C2243" s="62" t="s">
        <v>115</v>
      </c>
      <c r="D2243" s="62" t="s">
        <v>176</v>
      </c>
      <c r="F2243" s="129" t="s">
        <v>13525</v>
      </c>
      <c r="G2243" s="129" t="s">
        <v>13527</v>
      </c>
      <c r="H2243" s="151" t="s">
        <v>7252</v>
      </c>
      <c r="I2243" s="161" t="s">
        <v>13296</v>
      </c>
      <c r="J2243" s="68"/>
      <c r="K2243" s="159"/>
      <c r="L2243" s="129" t="s">
        <v>13402</v>
      </c>
      <c r="M2243" s="129" t="s">
        <v>13255</v>
      </c>
      <c r="N2243" s="129" t="s">
        <v>9892</v>
      </c>
      <c r="O2243" s="501">
        <v>1.0</v>
      </c>
      <c r="P2243" s="309" t="s">
        <v>13256</v>
      </c>
      <c r="Q2243" s="52" t="str">
        <f t="array" ref="Q2243"> if(iserror(MATCH(V2243, 'File Links'!C:C, 0)), "N/A", HYPERLINK(INDEX('File Links'!B:B, MATCH(P2243, 'File Links'!C:C, 0))))</f>
        <v>https://drive.google.com/file/d/1FklynAHzflh7rbxQIU4qTxOz3VBhye8B/view?usp=drivesdk</v>
      </c>
      <c r="R2243" s="1697" t="s">
        <v>13257</v>
      </c>
      <c r="S2243" s="129" t="s">
        <v>13258</v>
      </c>
      <c r="T2243" s="1379"/>
      <c r="U2243" s="336"/>
      <c r="V2243" s="151" t="s">
        <v>13259</v>
      </c>
      <c r="W2243" s="151" t="s">
        <v>672</v>
      </c>
      <c r="X2243" s="54" t="str">
        <f t="array" ref="X2243"> if(iserror(MATCH(V2243, 'File Links'!C:C, 0)), "N/A", HYPERLINK(INDEX('File Links'!B:B, MATCH(V2243, 'File Links'!C:C, 0))))</f>
        <v>https://drive.google.com/file/d/1hYNUJrx3yjyMoTgcG7Qz4pix-8ruWFMC/view?usp=drivesdk</v>
      </c>
      <c r="Y2243" s="68"/>
      <c r="Z2243" s="151" t="s">
        <v>226</v>
      </c>
      <c r="AA2243" s="129" t="s">
        <v>13260</v>
      </c>
      <c r="AB2243" s="151" t="s">
        <v>13393</v>
      </c>
      <c r="AC2243" s="151" t="s">
        <v>13528</v>
      </c>
      <c r="AD2243" s="151" t="s">
        <v>13529</v>
      </c>
      <c r="AE2243" s="151" t="s">
        <v>13530</v>
      </c>
      <c r="AF2243" s="161">
        <v>447.0</v>
      </c>
      <c r="AG2243" s="161" t="s">
        <v>13531</v>
      </c>
      <c r="AH2243" s="151" t="s">
        <v>134</v>
      </c>
      <c r="AI2243" s="151" t="s">
        <v>496</v>
      </c>
      <c r="AJ2243" s="161">
        <v>0.001</v>
      </c>
      <c r="AK2243" s="151" t="s">
        <v>135</v>
      </c>
      <c r="AL2243" s="151" t="s">
        <v>186</v>
      </c>
      <c r="AM2243" s="129" t="s">
        <v>137</v>
      </c>
      <c r="AN2243" s="68"/>
      <c r="AO2243" s="161">
        <v>2644.0</v>
      </c>
      <c r="AP2243" s="156"/>
      <c r="AQ2243" s="159"/>
      <c r="AR2243" s="151" t="s">
        <v>13406</v>
      </c>
      <c r="AS2243" s="156"/>
      <c r="AT2243" s="159"/>
      <c r="AU2243" s="159"/>
      <c r="AV2243" s="68"/>
      <c r="AW2243" s="435"/>
      <c r="AX2243" s="129" t="s">
        <v>151</v>
      </c>
      <c r="AY2243" s="61" t="str">
        <f>IFERROR(__xludf.DUMMYFUNCTION("vlookup(BB2243,importrange(""https://docs.google.com/spreadsheets/d/1d2vevQ_7D_v35q4wCQ4RpQ_IPoTwEMB9Yp6ymwlPqew/edit?gid=984458430#gid=984458430"", ""'replication success'!A:K""), 11, FAlSE)"),"#N/A")</f>
        <v>#N/A</v>
      </c>
      <c r="AZ2243" s="61" t="str">
        <f>IFERROR(__xludf.DUMMYFUNCTION("vlookup(BB2243,importrange(""https://docs.google.com/spreadsheets/d/1d2vevQ_7D_v35q4wCQ4RpQ_IPoTwEMB9Yp6ymwlPqew/edit?gid=984458430#gid=984458430"", ""'replication success'!A:M""), 12, FAlSE)"),"#N/A")</f>
        <v>#N/A</v>
      </c>
      <c r="BA2243" s="61" t="str">
        <f>IFERROR(__xludf.DUMMYFUNCTION("vlookup(BB2243,importrange(""https://docs.google.com/spreadsheets/d/1d2vevQ_7D_v35q4wCQ4RpQ_IPoTwEMB9Yp6ymwlPqew/edit?gid=984458430#gid=984458430"", ""'replication success'!A:M""), 13, FAlSE)"),"#N/A")</f>
        <v>#N/A</v>
      </c>
      <c r="BB2243" s="61" t="str">
        <f>IFERROR(__xludf.DUMMYFUNCTION("REGEXREPLACE(G2243, ""_[a-z]{1,2}$"", """")"),"svodevelopment2_1e")</f>
        <v>svodevelopment2_1e</v>
      </c>
      <c r="BD2243" s="1440" t="s">
        <v>13400</v>
      </c>
    </row>
    <row r="2244">
      <c r="A2244" s="44">
        <v>2244.0</v>
      </c>
      <c r="B2244" s="129" t="s">
        <v>523</v>
      </c>
      <c r="C2244" s="62" t="s">
        <v>115</v>
      </c>
      <c r="D2244" s="62" t="s">
        <v>990</v>
      </c>
      <c r="F2244" s="68" t="s">
        <v>13532</v>
      </c>
      <c r="G2244" s="159" t="s">
        <v>13385</v>
      </c>
      <c r="H2244" s="159" t="s">
        <v>13386</v>
      </c>
      <c r="I2244" s="1287" t="s">
        <v>13387</v>
      </c>
      <c r="J2244" s="159" t="s">
        <v>13483</v>
      </c>
      <c r="K2244" s="159" t="s">
        <v>138</v>
      </c>
      <c r="L2244" s="56" t="s">
        <v>13288</v>
      </c>
      <c r="M2244" s="159" t="s">
        <v>13255</v>
      </c>
      <c r="N2244" s="159" t="s">
        <v>9892</v>
      </c>
      <c r="O2244" s="156">
        <v>1.0</v>
      </c>
      <c r="P2244" s="382" t="s">
        <v>13256</v>
      </c>
      <c r="Q2244" s="52" t="str">
        <f t="array" ref="Q2244"> if(iserror(MATCH(V2244, 'File Links'!C:C, 0)), "N/A", HYPERLINK(INDEX('File Links'!B:B, MATCH(P2244, 'File Links'!C:C, 0))))</f>
        <v>https://drive.google.com/file/d/1FklynAHzflh7rbxQIU4qTxOz3VBhye8B/view?usp=drivesdk</v>
      </c>
      <c r="R2244" s="159" t="s">
        <v>13257</v>
      </c>
      <c r="S2244" s="159" t="s">
        <v>13258</v>
      </c>
      <c r="T2244" s="159" t="s">
        <v>138</v>
      </c>
      <c r="U2244" s="156">
        <v>2.0</v>
      </c>
      <c r="V2244" s="382" t="s">
        <v>13259</v>
      </c>
      <c r="W2244" s="1228"/>
      <c r="X2244" s="54" t="str">
        <f t="array" ref="X2244"> if(iserror(MATCH(V2244, 'File Links'!C:C, 0)), "N/A", HYPERLINK(INDEX('File Links'!B:B, MATCH(V2244, 'File Links'!C:C, 0))))</f>
        <v>https://drive.google.com/file/d/1hYNUJrx3yjyMoTgcG7Qz4pix-8ruWFMC/view?usp=drivesdk</v>
      </c>
      <c r="Y2244" s="159" t="s">
        <v>138</v>
      </c>
      <c r="Z2244" s="159" t="s">
        <v>226</v>
      </c>
      <c r="AA2244" s="159" t="s">
        <v>13260</v>
      </c>
      <c r="AB2244" s="159" t="s">
        <v>13389</v>
      </c>
      <c r="AC2244" s="159" t="s">
        <v>13533</v>
      </c>
      <c r="AD2244" s="159" t="s">
        <v>13391</v>
      </c>
      <c r="AE2244" s="159" t="s">
        <v>1042</v>
      </c>
      <c r="AF2244" s="156">
        <v>101.0</v>
      </c>
      <c r="AG2244" s="156">
        <v>0.183</v>
      </c>
      <c r="AH2244" s="159" t="s">
        <v>173</v>
      </c>
      <c r="AI2244" s="159" t="s">
        <v>1042</v>
      </c>
      <c r="AJ2244" s="156">
        <v>0.05</v>
      </c>
      <c r="AK2244" s="159" t="s">
        <v>135</v>
      </c>
      <c r="AL2244" s="159" t="s">
        <v>136</v>
      </c>
      <c r="AM2244" s="159" t="s">
        <v>137</v>
      </c>
      <c r="AN2244" s="159" t="s">
        <v>138</v>
      </c>
      <c r="AO2244" s="156">
        <v>4090.0</v>
      </c>
      <c r="AP2244" s="156">
        <v>0.05</v>
      </c>
      <c r="AQ2244" s="159" t="s">
        <v>722</v>
      </c>
      <c r="AR2244" s="159" t="s">
        <v>624</v>
      </c>
      <c r="AS2244" s="156">
        <v>0.002</v>
      </c>
      <c r="AT2244" s="159" t="s">
        <v>172</v>
      </c>
      <c r="AU2244" s="159" t="s">
        <v>136</v>
      </c>
      <c r="AV2244" s="159" t="s">
        <v>137</v>
      </c>
      <c r="AW2244" s="2007" t="s">
        <v>13263</v>
      </c>
      <c r="AX2244" s="159" t="s">
        <v>438</v>
      </c>
      <c r="AY2244" s="61" t="str">
        <f>IFERROR(__xludf.DUMMYFUNCTION("vlookup(BB2244,importrange(""https://docs.google.com/spreadsheets/d/1d2vevQ_7D_v35q4wCQ4RpQ_IPoTwEMB9Yp6ymwlPqew/edit?gid=984458430#gid=984458430"", ""'replication success'!A:K""), 11, FAlSE)"),"#N/A")</f>
        <v>#N/A</v>
      </c>
      <c r="AZ2244" s="61" t="str">
        <f>IFERROR(__xludf.DUMMYFUNCTION("vlookup(BB2244,importrange(""https://docs.google.com/spreadsheets/d/1d2vevQ_7D_v35q4wCQ4RpQ_IPoTwEMB9Yp6ymwlPqew/edit?gid=984458430#gid=984458430"", ""'replication success'!A:M""), 12, FAlSE)"),"#N/A")</f>
        <v>#N/A</v>
      </c>
      <c r="BA2244" s="61" t="str">
        <f>IFERROR(__xludf.DUMMYFUNCTION("vlookup(BB2244,importrange(""https://docs.google.com/spreadsheets/d/1d2vevQ_7D_v35q4wCQ4RpQ_IPoTwEMB9Yp6ymwlPqew/edit?gid=984458430#gid=984458430"", ""'replication success'!A:M""), 13, FAlSE)"),"#N/A")</f>
        <v>#N/A</v>
      </c>
      <c r="BB2244" s="61" t="str">
        <f>IFERROR(__xludf.DUMMYFUNCTION("REGEXREPLACE(G2244, ""_[a-z]{1,2}$"", """")"),"svodevelopment2")</f>
        <v>svodevelopment2</v>
      </c>
      <c r="BD2244" s="1440" t="s">
        <v>13400</v>
      </c>
    </row>
    <row r="2245">
      <c r="A2245" s="44">
        <v>2245.0</v>
      </c>
      <c r="B2245" s="129" t="s">
        <v>523</v>
      </c>
      <c r="C2245" s="62" t="s">
        <v>115</v>
      </c>
      <c r="D2245" s="62" t="s">
        <v>176</v>
      </c>
      <c r="F2245" s="129" t="s">
        <v>13532</v>
      </c>
      <c r="G2245" s="129" t="s">
        <v>13534</v>
      </c>
      <c r="H2245" s="151" t="s">
        <v>7252</v>
      </c>
      <c r="I2245" s="161" t="s">
        <v>13296</v>
      </c>
      <c r="J2245" s="68"/>
      <c r="K2245" s="159"/>
      <c r="L2245" s="129" t="s">
        <v>13402</v>
      </c>
      <c r="M2245" s="129" t="s">
        <v>13255</v>
      </c>
      <c r="N2245" s="129" t="s">
        <v>9892</v>
      </c>
      <c r="O2245" s="501">
        <v>1.0</v>
      </c>
      <c r="P2245" s="309" t="s">
        <v>13256</v>
      </c>
      <c r="Q2245" s="52" t="str">
        <f t="array" ref="Q2245"> if(iserror(MATCH(V2245, 'File Links'!C:C, 0)), "N/A", HYPERLINK(INDEX('File Links'!B:B, MATCH(P2245, 'File Links'!C:C, 0))))</f>
        <v>https://drive.google.com/file/d/1FklynAHzflh7rbxQIU4qTxOz3VBhye8B/view?usp=drivesdk</v>
      </c>
      <c r="R2245" s="1697" t="s">
        <v>13257</v>
      </c>
      <c r="S2245" s="129" t="s">
        <v>13258</v>
      </c>
      <c r="T2245" s="1379"/>
      <c r="U2245" s="336"/>
      <c r="V2245" s="151" t="s">
        <v>13259</v>
      </c>
      <c r="W2245" s="151" t="s">
        <v>672</v>
      </c>
      <c r="X2245" s="54" t="str">
        <f t="array" ref="X2245"> if(iserror(MATCH(V2245, 'File Links'!C:C, 0)), "N/A", HYPERLINK(INDEX('File Links'!B:B, MATCH(V2245, 'File Links'!C:C, 0))))</f>
        <v>https://drive.google.com/file/d/1hYNUJrx3yjyMoTgcG7Qz4pix-8ruWFMC/view?usp=drivesdk</v>
      </c>
      <c r="Y2245" s="68"/>
      <c r="Z2245" s="151" t="s">
        <v>226</v>
      </c>
      <c r="AA2245" s="129" t="s">
        <v>13260</v>
      </c>
      <c r="AB2245" s="151" t="s">
        <v>13393</v>
      </c>
      <c r="AC2245" s="151" t="s">
        <v>13535</v>
      </c>
      <c r="AD2245" s="151" t="s">
        <v>13536</v>
      </c>
      <c r="AE2245" s="151" t="s">
        <v>13530</v>
      </c>
      <c r="AF2245" s="161">
        <v>447.0</v>
      </c>
      <c r="AG2245" s="161" t="s">
        <v>13537</v>
      </c>
      <c r="AH2245" s="151" t="s">
        <v>134</v>
      </c>
      <c r="AI2245" s="151" t="s">
        <v>496</v>
      </c>
      <c r="AJ2245" s="161">
        <v>0.1</v>
      </c>
      <c r="AK2245" s="151" t="s">
        <v>135</v>
      </c>
      <c r="AL2245" s="151" t="s">
        <v>186</v>
      </c>
      <c r="AM2245" s="129" t="s">
        <v>137</v>
      </c>
      <c r="AN2245" s="68"/>
      <c r="AO2245" s="161">
        <v>2644.0</v>
      </c>
      <c r="AP2245" s="156"/>
      <c r="AQ2245" s="159"/>
      <c r="AR2245" s="151" t="s">
        <v>13406</v>
      </c>
      <c r="AS2245" s="156"/>
      <c r="AT2245" s="159"/>
      <c r="AU2245" s="159"/>
      <c r="AV2245" s="68"/>
      <c r="AW2245" s="435"/>
      <c r="AX2245" s="129" t="s">
        <v>151</v>
      </c>
      <c r="AY2245" s="61" t="str">
        <f>IFERROR(__xludf.DUMMYFUNCTION("vlookup(BB2245,importrange(""https://docs.google.com/spreadsheets/d/1d2vevQ_7D_v35q4wCQ4RpQ_IPoTwEMB9Yp6ymwlPqew/edit?gid=984458430#gid=984458430"", ""'replication success'!A:K""), 11, FAlSE)"),"#N/A")</f>
        <v>#N/A</v>
      </c>
      <c r="AZ2245" s="61" t="str">
        <f>IFERROR(__xludf.DUMMYFUNCTION("vlookup(BB2245,importrange(""https://docs.google.com/spreadsheets/d/1d2vevQ_7D_v35q4wCQ4RpQ_IPoTwEMB9Yp6ymwlPqew/edit?gid=984458430#gid=984458430"", ""'replication success'!A:M""), 12, FAlSE)"),"#N/A")</f>
        <v>#N/A</v>
      </c>
      <c r="BA2245" s="61" t="str">
        <f>IFERROR(__xludf.DUMMYFUNCTION("vlookup(BB2245,importrange(""https://docs.google.com/spreadsheets/d/1d2vevQ_7D_v35q4wCQ4RpQ_IPoTwEMB9Yp6ymwlPqew/edit?gid=984458430#gid=984458430"", ""'replication success'!A:M""), 13, FAlSE)"),"#N/A")</f>
        <v>#N/A</v>
      </c>
      <c r="BB2245" s="61" t="str">
        <f>IFERROR(__xludf.DUMMYFUNCTION("REGEXREPLACE(G2245, ""_[a-z]{1,2}$"", """")"),"svodevelopment2_1f")</f>
        <v>svodevelopment2_1f</v>
      </c>
      <c r="BD2245" s="1440" t="s">
        <v>13400</v>
      </c>
    </row>
    <row r="2246">
      <c r="A2246" s="44">
        <v>2246.0</v>
      </c>
      <c r="B2246" s="129" t="s">
        <v>523</v>
      </c>
      <c r="C2246" s="62" t="s">
        <v>115</v>
      </c>
      <c r="D2246" s="62" t="s">
        <v>990</v>
      </c>
      <c r="F2246" s="68" t="s">
        <v>13538</v>
      </c>
      <c r="G2246" s="159" t="s">
        <v>13385</v>
      </c>
      <c r="H2246" s="159" t="s">
        <v>13386</v>
      </c>
      <c r="I2246" s="1287" t="s">
        <v>13387</v>
      </c>
      <c r="J2246" s="159" t="s">
        <v>13483</v>
      </c>
      <c r="K2246" s="159" t="s">
        <v>138</v>
      </c>
      <c r="L2246" s="56" t="s">
        <v>13288</v>
      </c>
      <c r="M2246" s="159" t="s">
        <v>13255</v>
      </c>
      <c r="N2246" s="159" t="s">
        <v>9892</v>
      </c>
      <c r="O2246" s="156">
        <v>1.0</v>
      </c>
      <c r="P2246" s="382" t="s">
        <v>13256</v>
      </c>
      <c r="Q2246" s="52" t="str">
        <f t="array" ref="Q2246"> if(iserror(MATCH(V2246, 'File Links'!C:C, 0)), "N/A", HYPERLINK(INDEX('File Links'!B:B, MATCH(P2246, 'File Links'!C:C, 0))))</f>
        <v>https://drive.google.com/file/d/1FklynAHzflh7rbxQIU4qTxOz3VBhye8B/view?usp=drivesdk</v>
      </c>
      <c r="R2246" s="159" t="s">
        <v>13257</v>
      </c>
      <c r="S2246" s="159" t="s">
        <v>13258</v>
      </c>
      <c r="T2246" s="159" t="s">
        <v>138</v>
      </c>
      <c r="U2246" s="156">
        <v>2.0</v>
      </c>
      <c r="V2246" s="382" t="s">
        <v>13259</v>
      </c>
      <c r="W2246" s="1228"/>
      <c r="X2246" s="54" t="str">
        <f t="array" ref="X2246"> if(iserror(MATCH(V2246, 'File Links'!C:C, 0)), "N/A", HYPERLINK(INDEX('File Links'!B:B, MATCH(V2246, 'File Links'!C:C, 0))))</f>
        <v>https://drive.google.com/file/d/1hYNUJrx3yjyMoTgcG7Qz4pix-8ruWFMC/view?usp=drivesdk</v>
      </c>
      <c r="Y2246" s="159" t="s">
        <v>138</v>
      </c>
      <c r="Z2246" s="159" t="s">
        <v>226</v>
      </c>
      <c r="AA2246" s="159" t="s">
        <v>13260</v>
      </c>
      <c r="AB2246" s="159" t="s">
        <v>13389</v>
      </c>
      <c r="AC2246" s="159" t="s">
        <v>13539</v>
      </c>
      <c r="AD2246" s="159" t="s">
        <v>13391</v>
      </c>
      <c r="AE2246" s="159" t="s">
        <v>1042</v>
      </c>
      <c r="AF2246" s="156">
        <v>101.0</v>
      </c>
      <c r="AG2246" s="156">
        <v>0.183</v>
      </c>
      <c r="AH2246" s="159" t="s">
        <v>173</v>
      </c>
      <c r="AI2246" s="159" t="s">
        <v>1042</v>
      </c>
      <c r="AJ2246" s="156">
        <v>0.05</v>
      </c>
      <c r="AK2246" s="159" t="s">
        <v>135</v>
      </c>
      <c r="AL2246" s="159" t="s">
        <v>136</v>
      </c>
      <c r="AM2246" s="159" t="s">
        <v>137</v>
      </c>
      <c r="AN2246" s="159" t="s">
        <v>138</v>
      </c>
      <c r="AO2246" s="156">
        <v>4090.0</v>
      </c>
      <c r="AP2246" s="156">
        <v>0.06</v>
      </c>
      <c r="AQ2246" s="159" t="s">
        <v>722</v>
      </c>
      <c r="AR2246" s="159" t="s">
        <v>624</v>
      </c>
      <c r="AS2246" s="156">
        <v>0.001</v>
      </c>
      <c r="AT2246" s="159" t="s">
        <v>135</v>
      </c>
      <c r="AU2246" s="159" t="s">
        <v>136</v>
      </c>
      <c r="AV2246" s="159" t="s">
        <v>137</v>
      </c>
      <c r="AW2246" s="2007" t="s">
        <v>13263</v>
      </c>
      <c r="AX2246" s="159" t="s">
        <v>438</v>
      </c>
      <c r="AY2246" s="61" t="str">
        <f>IFERROR(__xludf.DUMMYFUNCTION("vlookup(BB2246,importrange(""https://docs.google.com/spreadsheets/d/1d2vevQ_7D_v35q4wCQ4RpQ_IPoTwEMB9Yp6ymwlPqew/edit?gid=984458430#gid=984458430"", ""'replication success'!A:K""), 11, FAlSE)"),"#N/A")</f>
        <v>#N/A</v>
      </c>
      <c r="AZ2246" s="61" t="str">
        <f>IFERROR(__xludf.DUMMYFUNCTION("vlookup(BB2246,importrange(""https://docs.google.com/spreadsheets/d/1d2vevQ_7D_v35q4wCQ4RpQ_IPoTwEMB9Yp6ymwlPqew/edit?gid=984458430#gid=984458430"", ""'replication success'!A:M""), 12, FAlSE)"),"#N/A")</f>
        <v>#N/A</v>
      </c>
      <c r="BA2246" s="61" t="str">
        <f>IFERROR(__xludf.DUMMYFUNCTION("vlookup(BB2246,importrange(""https://docs.google.com/spreadsheets/d/1d2vevQ_7D_v35q4wCQ4RpQ_IPoTwEMB9Yp6ymwlPqew/edit?gid=984458430#gid=984458430"", ""'replication success'!A:M""), 13, FAlSE)"),"#N/A")</f>
        <v>#N/A</v>
      </c>
      <c r="BB2246" s="61" t="str">
        <f>IFERROR(__xludf.DUMMYFUNCTION("REGEXREPLACE(G2246, ""_[a-z]{1,2}$"", """")"),"svodevelopment2")</f>
        <v>svodevelopment2</v>
      </c>
      <c r="BD2246" s="1440" t="s">
        <v>13400</v>
      </c>
    </row>
    <row r="2247">
      <c r="A2247" s="44">
        <v>2247.0</v>
      </c>
      <c r="B2247" s="129" t="s">
        <v>523</v>
      </c>
      <c r="C2247" s="62" t="s">
        <v>115</v>
      </c>
      <c r="D2247" s="62" t="s">
        <v>176</v>
      </c>
      <c r="F2247" s="129" t="s">
        <v>13538</v>
      </c>
      <c r="G2247" s="129" t="s">
        <v>13540</v>
      </c>
      <c r="H2247" s="151" t="s">
        <v>7252</v>
      </c>
      <c r="I2247" s="161" t="s">
        <v>13296</v>
      </c>
      <c r="J2247" s="68"/>
      <c r="K2247" s="159"/>
      <c r="L2247" s="129" t="s">
        <v>13402</v>
      </c>
      <c r="M2247" s="129" t="s">
        <v>13255</v>
      </c>
      <c r="N2247" s="129" t="s">
        <v>9892</v>
      </c>
      <c r="O2247" s="501">
        <v>1.0</v>
      </c>
      <c r="P2247" s="309" t="s">
        <v>13256</v>
      </c>
      <c r="Q2247" s="52" t="str">
        <f t="array" ref="Q2247"> if(iserror(MATCH(V2247, 'File Links'!C:C, 0)), "N/A", HYPERLINK(INDEX('File Links'!B:B, MATCH(P2247, 'File Links'!C:C, 0))))</f>
        <v>https://drive.google.com/file/d/1FklynAHzflh7rbxQIU4qTxOz3VBhye8B/view?usp=drivesdk</v>
      </c>
      <c r="R2247" s="1697" t="s">
        <v>13257</v>
      </c>
      <c r="S2247" s="129" t="s">
        <v>13258</v>
      </c>
      <c r="T2247" s="1379"/>
      <c r="U2247" s="336"/>
      <c r="V2247" s="151" t="s">
        <v>13259</v>
      </c>
      <c r="W2247" s="151" t="s">
        <v>672</v>
      </c>
      <c r="X2247" s="54" t="str">
        <f t="array" ref="X2247"> if(iserror(MATCH(V2247, 'File Links'!C:C, 0)), "N/A", HYPERLINK(INDEX('File Links'!B:B, MATCH(V2247, 'File Links'!C:C, 0))))</f>
        <v>https://drive.google.com/file/d/1hYNUJrx3yjyMoTgcG7Qz4pix-8ruWFMC/view?usp=drivesdk</v>
      </c>
      <c r="Y2247" s="68"/>
      <c r="Z2247" s="151" t="s">
        <v>226</v>
      </c>
      <c r="AA2247" s="129" t="s">
        <v>13260</v>
      </c>
      <c r="AB2247" s="151" t="s">
        <v>13393</v>
      </c>
      <c r="AC2247" s="151" t="s">
        <v>13541</v>
      </c>
      <c r="AD2247" s="151" t="s">
        <v>13542</v>
      </c>
      <c r="AE2247" s="151" t="s">
        <v>882</v>
      </c>
      <c r="AF2247" s="161">
        <v>447.0</v>
      </c>
      <c r="AG2247" s="161" t="s">
        <v>13543</v>
      </c>
      <c r="AH2247" s="151" t="s">
        <v>134</v>
      </c>
      <c r="AI2247" s="151" t="s">
        <v>496</v>
      </c>
      <c r="AJ2247" s="161">
        <v>0.05</v>
      </c>
      <c r="AK2247" s="151" t="s">
        <v>135</v>
      </c>
      <c r="AL2247" s="151" t="s">
        <v>186</v>
      </c>
      <c r="AM2247" s="129" t="s">
        <v>137</v>
      </c>
      <c r="AN2247" s="68"/>
      <c r="AO2247" s="161">
        <v>2644.0</v>
      </c>
      <c r="AP2247" s="156"/>
      <c r="AQ2247" s="159"/>
      <c r="AR2247" s="151" t="s">
        <v>13406</v>
      </c>
      <c r="AS2247" s="156"/>
      <c r="AT2247" s="159"/>
      <c r="AU2247" s="159"/>
      <c r="AV2247" s="68"/>
      <c r="AW2247" s="435"/>
      <c r="AX2247" s="129" t="s">
        <v>151</v>
      </c>
      <c r="AY2247" s="61" t="str">
        <f>IFERROR(__xludf.DUMMYFUNCTION("vlookup(BB2247,importrange(""https://docs.google.com/spreadsheets/d/1d2vevQ_7D_v35q4wCQ4RpQ_IPoTwEMB9Yp6ymwlPqew/edit?gid=984458430#gid=984458430"", ""'replication success'!A:K""), 11, FAlSE)"),"#N/A")</f>
        <v>#N/A</v>
      </c>
      <c r="AZ2247" s="61" t="str">
        <f>IFERROR(__xludf.DUMMYFUNCTION("vlookup(BB2247,importrange(""https://docs.google.com/spreadsheets/d/1d2vevQ_7D_v35q4wCQ4RpQ_IPoTwEMB9Yp6ymwlPqew/edit?gid=984458430#gid=984458430"", ""'replication success'!A:M""), 12, FAlSE)"),"#N/A")</f>
        <v>#N/A</v>
      </c>
      <c r="BA2247" s="61" t="str">
        <f>IFERROR(__xludf.DUMMYFUNCTION("vlookup(BB2247,importrange(""https://docs.google.com/spreadsheets/d/1d2vevQ_7D_v35q4wCQ4RpQ_IPoTwEMB9Yp6ymwlPqew/edit?gid=984458430#gid=984458430"", ""'replication success'!A:M""), 13, FAlSE)"),"#N/A")</f>
        <v>#N/A</v>
      </c>
      <c r="BB2247" s="61" t="str">
        <f>IFERROR(__xludf.DUMMYFUNCTION("REGEXREPLACE(G2247, ""_[a-z]{1,2}$"", """")"),"svodevelopment2_1g")</f>
        <v>svodevelopment2_1g</v>
      </c>
      <c r="BD2247" s="1440" t="s">
        <v>13400</v>
      </c>
    </row>
    <row r="2248">
      <c r="A2248" s="44">
        <v>2248.0</v>
      </c>
      <c r="B2248" s="129" t="s">
        <v>523</v>
      </c>
      <c r="C2248" s="62" t="s">
        <v>115</v>
      </c>
      <c r="D2248" s="62" t="s">
        <v>990</v>
      </c>
      <c r="F2248" s="68" t="s">
        <v>13544</v>
      </c>
      <c r="G2248" s="159" t="s">
        <v>13385</v>
      </c>
      <c r="H2248" s="159" t="s">
        <v>13386</v>
      </c>
      <c r="I2248" s="1287" t="s">
        <v>13387</v>
      </c>
      <c r="J2248" s="159" t="s">
        <v>13483</v>
      </c>
      <c r="K2248" s="159" t="s">
        <v>138</v>
      </c>
      <c r="L2248" s="56" t="s">
        <v>13288</v>
      </c>
      <c r="M2248" s="159" t="s">
        <v>13255</v>
      </c>
      <c r="N2248" s="159" t="s">
        <v>9892</v>
      </c>
      <c r="O2248" s="156">
        <v>1.0</v>
      </c>
      <c r="P2248" s="382" t="s">
        <v>13256</v>
      </c>
      <c r="Q2248" s="52" t="str">
        <f t="array" ref="Q2248"> if(iserror(MATCH(V2248, 'File Links'!C:C, 0)), "N/A", HYPERLINK(INDEX('File Links'!B:B, MATCH(P2248, 'File Links'!C:C, 0))))</f>
        <v>https://drive.google.com/file/d/1FklynAHzflh7rbxQIU4qTxOz3VBhye8B/view?usp=drivesdk</v>
      </c>
      <c r="R2248" s="159" t="s">
        <v>13257</v>
      </c>
      <c r="S2248" s="159" t="s">
        <v>13258</v>
      </c>
      <c r="T2248" s="159" t="s">
        <v>138</v>
      </c>
      <c r="U2248" s="156">
        <v>2.0</v>
      </c>
      <c r="V2248" s="382" t="s">
        <v>13259</v>
      </c>
      <c r="W2248" s="1228"/>
      <c r="X2248" s="54" t="str">
        <f t="array" ref="X2248"> if(iserror(MATCH(V2248, 'File Links'!C:C, 0)), "N/A", HYPERLINK(INDEX('File Links'!B:B, MATCH(V2248, 'File Links'!C:C, 0))))</f>
        <v>https://drive.google.com/file/d/1hYNUJrx3yjyMoTgcG7Qz4pix-8ruWFMC/view?usp=drivesdk</v>
      </c>
      <c r="Y2248" s="159" t="s">
        <v>138</v>
      </c>
      <c r="Z2248" s="159" t="s">
        <v>226</v>
      </c>
      <c r="AA2248" s="159" t="s">
        <v>13260</v>
      </c>
      <c r="AB2248" s="159" t="s">
        <v>13389</v>
      </c>
      <c r="AC2248" s="159" t="s">
        <v>13545</v>
      </c>
      <c r="AD2248" s="159" t="s">
        <v>13391</v>
      </c>
      <c r="AE2248" s="159" t="s">
        <v>1042</v>
      </c>
      <c r="AF2248" s="156">
        <v>101.0</v>
      </c>
      <c r="AG2248" s="156">
        <v>0.183</v>
      </c>
      <c r="AH2248" s="159" t="s">
        <v>173</v>
      </c>
      <c r="AI2248" s="159" t="s">
        <v>1042</v>
      </c>
      <c r="AJ2248" s="156">
        <v>0.05</v>
      </c>
      <c r="AK2248" s="159" t="s">
        <v>135</v>
      </c>
      <c r="AL2248" s="159" t="s">
        <v>136</v>
      </c>
      <c r="AM2248" s="159" t="s">
        <v>137</v>
      </c>
      <c r="AN2248" s="159" t="s">
        <v>138</v>
      </c>
      <c r="AO2248" s="156">
        <v>4090.0</v>
      </c>
      <c r="AP2248" s="156">
        <v>0.04</v>
      </c>
      <c r="AQ2248" s="159" t="s">
        <v>722</v>
      </c>
      <c r="AR2248" s="159" t="s">
        <v>624</v>
      </c>
      <c r="AS2248" s="156">
        <v>0.008</v>
      </c>
      <c r="AT2248" s="159" t="s">
        <v>172</v>
      </c>
      <c r="AU2248" s="159" t="s">
        <v>136</v>
      </c>
      <c r="AV2248" s="159" t="s">
        <v>137</v>
      </c>
      <c r="AW2248" s="2007" t="s">
        <v>13263</v>
      </c>
      <c r="AX2248" s="159" t="s">
        <v>438</v>
      </c>
      <c r="AY2248" s="61" t="str">
        <f>IFERROR(__xludf.DUMMYFUNCTION("vlookup(BB2248,importrange(""https://docs.google.com/spreadsheets/d/1d2vevQ_7D_v35q4wCQ4RpQ_IPoTwEMB9Yp6ymwlPqew/edit?gid=984458430#gid=984458430"", ""'replication success'!A:K""), 11, FAlSE)"),"#N/A")</f>
        <v>#N/A</v>
      </c>
      <c r="AZ2248" s="61" t="str">
        <f>IFERROR(__xludf.DUMMYFUNCTION("vlookup(BB2248,importrange(""https://docs.google.com/spreadsheets/d/1d2vevQ_7D_v35q4wCQ4RpQ_IPoTwEMB9Yp6ymwlPqew/edit?gid=984458430#gid=984458430"", ""'replication success'!A:M""), 12, FAlSE)"),"#N/A")</f>
        <v>#N/A</v>
      </c>
      <c r="BA2248" s="61" t="str">
        <f>IFERROR(__xludf.DUMMYFUNCTION("vlookup(BB2248,importrange(""https://docs.google.com/spreadsheets/d/1d2vevQ_7D_v35q4wCQ4RpQ_IPoTwEMB9Yp6ymwlPqew/edit?gid=984458430#gid=984458430"", ""'replication success'!A:M""), 13, FAlSE)"),"#N/A")</f>
        <v>#N/A</v>
      </c>
      <c r="BB2248" s="61" t="str">
        <f>IFERROR(__xludf.DUMMYFUNCTION("REGEXREPLACE(G2248, ""_[a-z]{1,2}$"", """")"),"svodevelopment2")</f>
        <v>svodevelopment2</v>
      </c>
      <c r="BD2248" s="1440" t="s">
        <v>13400</v>
      </c>
    </row>
    <row r="2249">
      <c r="A2249" s="44">
        <v>2249.0</v>
      </c>
      <c r="B2249" s="2008" t="s">
        <v>523</v>
      </c>
      <c r="C2249" s="2009" t="s">
        <v>115</v>
      </c>
      <c r="D2249" s="2009" t="s">
        <v>176</v>
      </c>
      <c r="E2249" s="2010"/>
      <c r="F2249" s="2008" t="s">
        <v>13544</v>
      </c>
      <c r="G2249" s="2008" t="s">
        <v>13546</v>
      </c>
      <c r="H2249" s="2011" t="s">
        <v>7252</v>
      </c>
      <c r="I2249" s="2012" t="s">
        <v>13296</v>
      </c>
      <c r="J2249" s="2013"/>
      <c r="K2249" s="2014"/>
      <c r="L2249" s="2008" t="s">
        <v>13410</v>
      </c>
      <c r="M2249" s="2008" t="s">
        <v>13255</v>
      </c>
      <c r="N2249" s="2008" t="s">
        <v>9892</v>
      </c>
      <c r="O2249" s="2015">
        <v>1.0</v>
      </c>
      <c r="P2249" s="2011" t="s">
        <v>13256</v>
      </c>
      <c r="Q2249" s="2016" t="str">
        <f t="array" ref="Q2249"> if(iserror(MATCH(V2249, 'File Links'!C:C, 0)), "N/A", HYPERLINK(INDEX('File Links'!B:B, MATCH(P2249, 'File Links'!C:C, 0))))</f>
        <v>https://drive.google.com/file/d/1FklynAHzflh7rbxQIU4qTxOz3VBhye8B/view?usp=drivesdk</v>
      </c>
      <c r="R2249" s="2017" t="s">
        <v>13257</v>
      </c>
      <c r="S2249" s="2008" t="s">
        <v>13258</v>
      </c>
      <c r="T2249" s="2018"/>
      <c r="U2249" s="2019"/>
      <c r="V2249" s="2011" t="s">
        <v>13259</v>
      </c>
      <c r="W2249" s="2011" t="s">
        <v>672</v>
      </c>
      <c r="X2249" s="2020" t="str">
        <f t="array" ref="X2249"> if(iserror(MATCH(V2249, 'File Links'!C:C, 0)), "N/A", HYPERLINK(INDEX('File Links'!B:B, MATCH(V2249, 'File Links'!C:C, 0))))</f>
        <v>https://drive.google.com/file/d/1hYNUJrx3yjyMoTgcG7Qz4pix-8ruWFMC/view?usp=drivesdk</v>
      </c>
      <c r="Y2249" s="2013"/>
      <c r="Z2249" s="2011" t="s">
        <v>226</v>
      </c>
      <c r="AA2249" s="2008" t="s">
        <v>13260</v>
      </c>
      <c r="AB2249" s="2011" t="s">
        <v>13393</v>
      </c>
      <c r="AC2249" s="2011" t="s">
        <v>13411</v>
      </c>
      <c r="AD2249" s="2011" t="s">
        <v>13547</v>
      </c>
      <c r="AE2249" s="2011" t="s">
        <v>882</v>
      </c>
      <c r="AF2249" s="2012">
        <v>447.0</v>
      </c>
      <c r="AG2249" s="2021"/>
      <c r="AH2249" s="2014"/>
      <c r="AI2249" s="2011" t="s">
        <v>496</v>
      </c>
      <c r="AJ2249" s="2021"/>
      <c r="AK2249" s="2014"/>
      <c r="AL2249" s="2014"/>
      <c r="AM2249" s="2013"/>
      <c r="AN2249" s="2013"/>
      <c r="AO2249" s="2012">
        <v>2644.0</v>
      </c>
      <c r="AP2249" s="2021"/>
      <c r="AQ2249" s="2014"/>
      <c r="AR2249" s="2011" t="s">
        <v>13406</v>
      </c>
      <c r="AS2249" s="2021"/>
      <c r="AT2249" s="2014"/>
      <c r="AU2249" s="2014"/>
      <c r="AV2249" s="2013"/>
      <c r="AW2249" s="2022"/>
      <c r="AX2249" s="2008" t="s">
        <v>151</v>
      </c>
      <c r="AY2249" s="61" t="str">
        <f>IFERROR(__xludf.DUMMYFUNCTION("vlookup(BB2249,importrange(""https://docs.google.com/spreadsheets/d/1d2vevQ_7D_v35q4wCQ4RpQ_IPoTwEMB9Yp6ymwlPqew/edit?gid=984458430#gid=984458430"", ""'replication success'!A:K""), 11, FAlSE)"),"#N/A")</f>
        <v>#N/A</v>
      </c>
      <c r="AZ2249" s="61" t="str">
        <f>IFERROR(__xludf.DUMMYFUNCTION("vlookup(BB2249,importrange(""https://docs.google.com/spreadsheets/d/1d2vevQ_7D_v35q4wCQ4RpQ_IPoTwEMB9Yp6ymwlPqew/edit?gid=984458430#gid=984458430"", ""'replication success'!A:M""), 12, FAlSE)"),"#N/A")</f>
        <v>#N/A</v>
      </c>
      <c r="BA2249" s="61" t="str">
        <f>IFERROR(__xludf.DUMMYFUNCTION("vlookup(BB2249,importrange(""https://docs.google.com/spreadsheets/d/1d2vevQ_7D_v35q4wCQ4RpQ_IPoTwEMB9Yp6ymwlPqew/edit?gid=984458430#gid=984458430"", ""'replication success'!A:M""), 13, FAlSE)"),"#N/A")</f>
        <v>#N/A</v>
      </c>
      <c r="BB2249" s="61" t="str">
        <f>IFERROR(__xludf.DUMMYFUNCTION("REGEXREPLACE(G2249, ""_[a-z]{1,2}$"", """")"),"svodevelopment2_1h")</f>
        <v>svodevelopment2_1h</v>
      </c>
      <c r="BC2249" s="2010"/>
      <c r="BD2249" s="2009" t="s">
        <v>13400</v>
      </c>
      <c r="BE2249" s="2010"/>
      <c r="BF2249" s="2010"/>
      <c r="BG2249" s="2010"/>
      <c r="BH2249" s="2010"/>
      <c r="BI2249" s="2010"/>
      <c r="BJ2249" s="2010"/>
      <c r="BK2249" s="2010"/>
      <c r="BL2249" s="2010"/>
      <c r="BM2249" s="2010"/>
      <c r="BN2249" s="2010"/>
      <c r="BO2249" s="2010"/>
      <c r="BP2249" s="2010"/>
      <c r="BQ2249" s="2010"/>
      <c r="BR2249" s="2010"/>
      <c r="BS2249" s="2010"/>
      <c r="BT2249" s="2010"/>
      <c r="BU2249" s="2010"/>
      <c r="BV2249" s="2010"/>
      <c r="BW2249" s="2010"/>
      <c r="BX2249" s="2010"/>
      <c r="BY2249" s="2010"/>
      <c r="BZ2249" s="2010"/>
      <c r="CA2249" s="2010"/>
      <c r="CB2249" s="2010"/>
      <c r="CC2249" s="2010"/>
      <c r="CD2249" s="2010"/>
      <c r="CE2249" s="2010"/>
      <c r="CF2249" s="2010"/>
      <c r="CG2249" s="2010"/>
      <c r="CH2249" s="2010"/>
      <c r="CI2249" s="2010"/>
      <c r="CJ2249" s="2010"/>
      <c r="CK2249" s="2010"/>
      <c r="CL2249" s="2010"/>
      <c r="CM2249" s="2010"/>
      <c r="CN2249" s="2010"/>
      <c r="CO2249" s="2010"/>
      <c r="CP2249" s="2010"/>
      <c r="CQ2249" s="2010"/>
      <c r="CR2249" s="2010"/>
      <c r="CS2249" s="2010"/>
      <c r="CT2249" s="2010"/>
      <c r="CU2249" s="2010"/>
      <c r="CV2249" s="2010"/>
      <c r="CW2249" s="2010"/>
      <c r="CX2249" s="2010"/>
      <c r="CY2249" s="2010"/>
      <c r="CZ2249" s="2010"/>
      <c r="DA2249" s="2010"/>
      <c r="DB2249" s="2010"/>
      <c r="DC2249" s="2010"/>
      <c r="DD2249" s="2010"/>
      <c r="DE2249" s="2010"/>
      <c r="DF2249" s="2010"/>
      <c r="DG2249" s="2010"/>
      <c r="DH2249" s="2010"/>
      <c r="DI2249" s="2010"/>
      <c r="DJ2249" s="2010"/>
      <c r="DK2249" s="2010"/>
      <c r="DL2249" s="2010"/>
    </row>
    <row r="2250">
      <c r="A2250" s="44">
        <v>2250.0</v>
      </c>
      <c r="B2250" s="322" t="s">
        <v>152</v>
      </c>
      <c r="C2250" s="490" t="s">
        <v>115</v>
      </c>
      <c r="D2250" s="490" t="s">
        <v>153</v>
      </c>
      <c r="E2250" s="803"/>
      <c r="F2250" s="489" t="s">
        <v>13548</v>
      </c>
      <c r="G2250" s="486" t="s">
        <v>13549</v>
      </c>
      <c r="H2250" s="486" t="s">
        <v>153</v>
      </c>
      <c r="I2250" s="1006">
        <v>45638.0</v>
      </c>
      <c r="J2250" s="682">
        <v>45677.0</v>
      </c>
      <c r="K2250" s="2023" t="s">
        <v>13550</v>
      </c>
      <c r="L2250" s="789"/>
      <c r="M2250" s="486" t="s">
        <v>9259</v>
      </c>
      <c r="N2250" s="486" t="s">
        <v>7273</v>
      </c>
      <c r="O2250" s="488">
        <v>1.0</v>
      </c>
      <c r="P2250" s="1013" t="s">
        <v>7274</v>
      </c>
      <c r="Q2250" s="108" t="str">
        <f t="array" ref="Q2250"> if(iserror(MATCH(V2250, 'File Links'!C:C, 0)), "N/A", HYPERLINK(INDEX('File Links'!B:B, MATCH(P2250, 'File Links'!C:C, 0))))</f>
        <v>N/A</v>
      </c>
      <c r="R2250" s="486" t="s">
        <v>13551</v>
      </c>
      <c r="S2250" s="486" t="s">
        <v>13552</v>
      </c>
      <c r="T2250" s="789"/>
      <c r="U2250" s="488">
        <v>1.0</v>
      </c>
      <c r="V2250" s="198" t="str">
        <f t="shared" ref="V2250:V2387" si="123"> hyperlink(vlookup(lower(S2250),#REF!, 2, FALSE), SUBSTITUTE(lower(S2250), "/", "--") &amp;  ".pdf")</f>
        <v>10.17605--osf.io--uxajg.pdf</v>
      </c>
      <c r="W2250" s="1008" t="s">
        <v>164</v>
      </c>
      <c r="X2250" s="49" t="str">
        <f t="array" ref="X2250"> if(iserror(MATCH(V2250, 'File Links'!C:C, 0)), "N/A", HYPERLINK(INDEX('File Links'!B:B, MATCH(V2250, 'File Links'!C:C, 0))))</f>
        <v>N/A</v>
      </c>
      <c r="Y2250" s="789"/>
      <c r="Z2250" s="486" t="s">
        <v>226</v>
      </c>
      <c r="AA2250" s="486" t="s">
        <v>9274</v>
      </c>
      <c r="AB2250" s="2024" t="s">
        <v>9275</v>
      </c>
      <c r="AC2250" s="789" t="s">
        <v>9276</v>
      </c>
      <c r="AD2250" s="789" t="s">
        <v>9277</v>
      </c>
      <c r="AE2250" s="2025">
        <v>5.0</v>
      </c>
      <c r="AF2250" s="792">
        <v>218.0</v>
      </c>
      <c r="AG2250" s="792">
        <v>-0.29</v>
      </c>
      <c r="AH2250" s="1013" t="s">
        <v>173</v>
      </c>
      <c r="AI2250" s="486" t="s">
        <v>1042</v>
      </c>
      <c r="AJ2250" s="792">
        <v>0.04</v>
      </c>
      <c r="AK2250" s="485" t="s">
        <v>172</v>
      </c>
      <c r="AL2250" s="486" t="s">
        <v>186</v>
      </c>
      <c r="AM2250" s="789" t="s">
        <v>137</v>
      </c>
      <c r="AN2250" s="374" t="s">
        <v>138</v>
      </c>
      <c r="AO2250" s="792">
        <v>387.0</v>
      </c>
      <c r="AP2250" s="792">
        <v>0.12375</v>
      </c>
      <c r="AQ2250" s="486" t="s">
        <v>173</v>
      </c>
      <c r="AR2250" s="488" t="s">
        <v>138</v>
      </c>
      <c r="AS2250" s="792">
        <v>0.05</v>
      </c>
      <c r="AT2250" s="485" t="s">
        <v>335</v>
      </c>
      <c r="AU2250" s="485" t="s">
        <v>186</v>
      </c>
      <c r="AV2250" s="489" t="s">
        <v>137</v>
      </c>
      <c r="AW2250" s="1016" t="s">
        <v>13553</v>
      </c>
      <c r="AX2250" s="1017" t="s">
        <v>151</v>
      </c>
      <c r="AY2250" s="61" t="str">
        <f>IFERROR(__xludf.DUMMYFUNCTION("vlookup(BB2250,importrange(""https://docs.google.com/spreadsheets/d/1d2vevQ_7D_v35q4wCQ4RpQ_IPoTwEMB9Yp6ymwlPqew/edit?gid=984458430#gid=984458430"", ""'replication success'!A:K""), 11, FAlSE)"),"uninformative")</f>
        <v>uninformative</v>
      </c>
      <c r="AZ2250" s="61" t="str">
        <f>IFERROR(__xludf.DUMMYFUNCTION("vlookup(BB2250,importrange(""https://docs.google.com/spreadsheets/d/1d2vevQ_7D_v35q4wCQ4RpQ_IPoTwEMB9Yp6ymwlPqew/edit?gid=984458430#gid=984458430"", ""'replication success'!A:M""), 12, FAlSE)"),"NA")</f>
        <v>NA</v>
      </c>
      <c r="BA2250" s="61" t="str">
        <f>IFERROR(__xludf.DUMMYFUNCTION("vlookup(BB2250,importrange(""https://docs.google.com/spreadsheets/d/1d2vevQ_7D_v35q4wCQ4RpQ_IPoTwEMB9Yp6ymwlPqew/edit?gid=984458430#gid=984458430"", ""'replication success'!A:M""), 13, FAlSE)"),"abstract")</f>
        <v>abstract</v>
      </c>
      <c r="BB2250" s="61" t="str">
        <f>IFERROR(__xludf.DUMMYFUNCTION("REGEXREPLACE(G2250, ""_[a-z]{1,2}$"", """")"),"uxajg")</f>
        <v>uxajg</v>
      </c>
      <c r="BC2250" s="484"/>
      <c r="BD2250" s="381" t="s">
        <v>144</v>
      </c>
    </row>
    <row r="2251">
      <c r="A2251" s="44">
        <v>2251.0</v>
      </c>
      <c r="B2251" s="381" t="s">
        <v>114</v>
      </c>
      <c r="C2251" s="381" t="s">
        <v>115</v>
      </c>
      <c r="D2251" s="381" t="s">
        <v>176</v>
      </c>
      <c r="E2251" s="484"/>
      <c r="F2251" s="489" t="s">
        <v>13548</v>
      </c>
      <c r="G2251" s="486" t="s">
        <v>13549</v>
      </c>
      <c r="H2251" s="485" t="s">
        <v>176</v>
      </c>
      <c r="I2251" s="2026">
        <v>45651.0</v>
      </c>
      <c r="J2251" s="682">
        <v>45677.0</v>
      </c>
      <c r="K2251" s="485" t="s">
        <v>13554</v>
      </c>
      <c r="L2251" s="489"/>
      <c r="M2251" s="485" t="s">
        <v>9259</v>
      </c>
      <c r="N2251" s="485" t="s">
        <v>7273</v>
      </c>
      <c r="O2251" s="495">
        <v>2.0</v>
      </c>
      <c r="P2251" s="485" t="s">
        <v>7274</v>
      </c>
      <c r="Q2251" s="108" t="str">
        <f t="array" ref="Q2251"> if(iserror(MATCH(V2251, 'File Links'!C:C, 0)), "N/A", HYPERLINK(INDEX('File Links'!B:B, MATCH(P2251, 'File Links'!C:C, 0))))</f>
        <v>N/A</v>
      </c>
      <c r="R2251" s="485" t="s">
        <v>13551</v>
      </c>
      <c r="S2251" s="485" t="s">
        <v>13552</v>
      </c>
      <c r="T2251" s="489"/>
      <c r="U2251" s="489"/>
      <c r="V2251" s="198" t="str">
        <f t="shared" si="123"/>
        <v>10.17605--osf.io--uxajg.pdf</v>
      </c>
      <c r="W2251" s="485" t="s">
        <v>164</v>
      </c>
      <c r="X2251" s="49" t="str">
        <f t="array" ref="X2251"> if(iserror(MATCH(V2251, 'File Links'!C:C, 0)), "N/A", HYPERLINK(INDEX('File Links'!B:B, MATCH(V2251, 'File Links'!C:C, 0))))</f>
        <v>N/A</v>
      </c>
      <c r="Y2251" s="489"/>
      <c r="Z2251" s="485" t="s">
        <v>226</v>
      </c>
      <c r="AA2251" s="485" t="s">
        <v>8405</v>
      </c>
      <c r="AB2251" s="485" t="s">
        <v>9261</v>
      </c>
      <c r="AC2251" s="485" t="s">
        <v>13555</v>
      </c>
      <c r="AD2251" s="485" t="s">
        <v>9277</v>
      </c>
      <c r="AE2251" s="485" t="s">
        <v>813</v>
      </c>
      <c r="AF2251" s="495">
        <v>218.0</v>
      </c>
      <c r="AG2251" s="485" t="s">
        <v>13556</v>
      </c>
      <c r="AH2251" s="1013" t="s">
        <v>173</v>
      </c>
      <c r="AI2251" s="486" t="s">
        <v>813</v>
      </c>
      <c r="AJ2251" s="486" t="s">
        <v>13557</v>
      </c>
      <c r="AK2251" s="485" t="s">
        <v>172</v>
      </c>
      <c r="AL2251" s="486" t="s">
        <v>186</v>
      </c>
      <c r="AM2251" s="489" t="s">
        <v>137</v>
      </c>
      <c r="AN2251" s="489"/>
      <c r="AO2251" s="495">
        <v>387.0</v>
      </c>
      <c r="AP2251" s="489"/>
      <c r="AQ2251" s="489"/>
      <c r="AR2251" s="489"/>
      <c r="AS2251" s="489"/>
      <c r="AT2251" s="489"/>
      <c r="AU2251" s="489"/>
      <c r="AV2251" s="489"/>
      <c r="AW2251" s="1016" t="s">
        <v>13558</v>
      </c>
      <c r="AX2251" s="489"/>
      <c r="AY2251" s="61" t="str">
        <f>IFERROR(__xludf.DUMMYFUNCTION("vlookup(BB2251,importrange(""https://docs.google.com/spreadsheets/d/1d2vevQ_7D_v35q4wCQ4RpQ_IPoTwEMB9Yp6ymwlPqew/edit?gid=984458430#gid=984458430"", ""'replication success'!A:K""), 11, FAlSE)"),"uninformative")</f>
        <v>uninformative</v>
      </c>
      <c r="AZ2251" s="61" t="str">
        <f>IFERROR(__xludf.DUMMYFUNCTION("vlookup(BB2251,importrange(""https://docs.google.com/spreadsheets/d/1d2vevQ_7D_v35q4wCQ4RpQ_IPoTwEMB9Yp6ymwlPqew/edit?gid=984458430#gid=984458430"", ""'replication success'!A:M""), 12, FAlSE)"),"NA")</f>
        <v>NA</v>
      </c>
      <c r="BA2251" s="61" t="str">
        <f>IFERROR(__xludf.DUMMYFUNCTION("vlookup(BB2251,importrange(""https://docs.google.com/spreadsheets/d/1d2vevQ_7D_v35q4wCQ4RpQ_IPoTwEMB9Yp6ymwlPqew/edit?gid=984458430#gid=984458430"", ""'replication success'!A:M""), 13, FAlSE)"),"abstract")</f>
        <v>abstract</v>
      </c>
      <c r="BB2251" s="61" t="str">
        <f>IFERROR(__xludf.DUMMYFUNCTION("REGEXREPLACE(G2251, ""_[a-z]{1,2}$"", """")"),"uxajg")</f>
        <v>uxajg</v>
      </c>
      <c r="BC2251" s="484"/>
      <c r="BD2251" s="381" t="s">
        <v>144</v>
      </c>
    </row>
    <row r="2252">
      <c r="A2252" s="44">
        <v>2252.0</v>
      </c>
      <c r="B2252" s="45" t="s">
        <v>590</v>
      </c>
      <c r="C2252" s="62" t="s">
        <v>115</v>
      </c>
      <c r="D2252" s="62" t="s">
        <v>248</v>
      </c>
      <c r="F2252" s="2027" t="s">
        <v>13559</v>
      </c>
      <c r="G2252" s="159" t="s">
        <v>13560</v>
      </c>
      <c r="H2252" s="1287" t="s">
        <v>249</v>
      </c>
      <c r="I2252" s="152">
        <v>45331.0</v>
      </c>
      <c r="J2252" s="1288">
        <v>45691.0</v>
      </c>
      <c r="K2252" s="159" t="s">
        <v>13561</v>
      </c>
      <c r="L2252" s="159" t="s">
        <v>13562</v>
      </c>
      <c r="M2252" s="159" t="s">
        <v>13563</v>
      </c>
      <c r="N2252" s="159" t="s">
        <v>13564</v>
      </c>
      <c r="O2252" s="129">
        <v>1.0</v>
      </c>
      <c r="P2252" s="159" t="s">
        <v>13565</v>
      </c>
      <c r="Q2252" s="52" t="str">
        <f t="array" ref="Q2252"> if(iserror(MATCH(V2252, 'File Links'!C:C, 0)), "N/A", HYPERLINK(INDEX('File Links'!B:B, MATCH(P2252, 'File Links'!C:C, 0))))</f>
        <v>https://drive.google.com/file/d/1tNde2WsKCKtTxCH7EfB-a1TjXERl50pJ/view?usp=drivesdk</v>
      </c>
      <c r="R2252" s="2028" t="s">
        <v>5028</v>
      </c>
      <c r="S2252" s="159" t="s">
        <v>5029</v>
      </c>
      <c r="T2252" s="68"/>
      <c r="U2252" s="68"/>
      <c r="V2252" s="159" t="str">
        <f t="shared" si="123"/>
        <v>10.1007--s13164-018-0400-9.pdf</v>
      </c>
      <c r="W2252" s="1290" t="s">
        <v>5031</v>
      </c>
      <c r="X2252" s="54" t="str">
        <f t="array" ref="X2252"> if(iserror(MATCH(V2252, 'File Links'!C:C, 0)), "N/A", HYPERLINK(INDEX('File Links'!B:B, MATCH(V2252, 'File Links'!C:C, 0))))</f>
        <v>https://drive.google.com/file/d/1hjI3aqifdfXjWhQAlvKCKKtvjuncAn5M/view?usp=drivesdk</v>
      </c>
      <c r="Y2252" s="68"/>
      <c r="Z2252" s="159" t="s">
        <v>165</v>
      </c>
      <c r="AA2252" s="129" t="s">
        <v>138</v>
      </c>
      <c r="AB2252" s="159" t="s">
        <v>5041</v>
      </c>
      <c r="AC2252" s="68"/>
      <c r="AD2252" s="159" t="s">
        <v>138</v>
      </c>
      <c r="AE2252" s="159" t="s">
        <v>138</v>
      </c>
      <c r="AF2252" s="156">
        <v>21.0</v>
      </c>
      <c r="AG2252" s="156">
        <v>0.32</v>
      </c>
      <c r="AH2252" s="159" t="s">
        <v>271</v>
      </c>
      <c r="AI2252" s="2029" t="s">
        <v>13566</v>
      </c>
      <c r="AJ2252" s="379">
        <v>0.004089</v>
      </c>
      <c r="AK2252" s="57" t="s">
        <v>172</v>
      </c>
      <c r="AL2252" s="159" t="s">
        <v>186</v>
      </c>
      <c r="AM2252" s="1286" t="s">
        <v>137</v>
      </c>
      <c r="AN2252" s="159" t="s">
        <v>137</v>
      </c>
      <c r="AO2252" s="1247">
        <v>161.0</v>
      </c>
      <c r="AP2252" s="1247">
        <v>0.12</v>
      </c>
      <c r="AQ2252" s="2030" t="s">
        <v>271</v>
      </c>
      <c r="AR2252" s="2030" t="s">
        <v>13567</v>
      </c>
      <c r="AS2252" s="156">
        <v>0.1343</v>
      </c>
      <c r="AT2252" s="159" t="s">
        <v>172</v>
      </c>
      <c r="AU2252" s="159" t="s">
        <v>186</v>
      </c>
      <c r="AV2252" s="154" t="s">
        <v>137</v>
      </c>
      <c r="AW2252" s="2031" t="s">
        <v>13568</v>
      </c>
      <c r="AX2252" s="154" t="s">
        <v>143</v>
      </c>
      <c r="AY2252" s="61" t="str">
        <f>IFERROR(__xludf.DUMMYFUNCTION("vlookup(BB2252,importrange(""https://docs.google.com/spreadsheets/d/1d2vevQ_7D_v35q4wCQ4RpQ_IPoTwEMB9Yp6ymwlPqew/edit?gid=984458430#gid=984458430"", ""'replication success'!A:K""), 11, FAlSE)"),"#N/A")</f>
        <v>#N/A</v>
      </c>
      <c r="AZ2252" s="61" t="str">
        <f>IFERROR(__xludf.DUMMYFUNCTION("vlookup(BB2252,importrange(""https://docs.google.com/spreadsheets/d/1d2vevQ_7D_v35q4wCQ4RpQ_IPoTwEMB9Yp6ymwlPqew/edit?gid=984458430#gid=984458430"", ""'replication success'!A:M""), 12, FAlSE)"),"#N/A")</f>
        <v>#N/A</v>
      </c>
      <c r="BA2252" s="61" t="str">
        <f>IFERROR(__xludf.DUMMYFUNCTION("vlookup(BB2252,importrange(""https://docs.google.com/spreadsheets/d/1d2vevQ_7D_v35q4wCQ4RpQ_IPoTwEMB9Yp6ymwlPqew/edit?gid=984458430#gid=984458430"", ""'replication success'!A:M""), 13, FAlSE)"),"#N/A")</f>
        <v>#N/A</v>
      </c>
      <c r="BB2252" s="61" t="str">
        <f>IFERROR(__xludf.DUMMYFUNCTION("REGEXREPLACE(G2252, ""_[a-z]{1,2}$"", """")"),"XPHI10")</f>
        <v>XPHI10</v>
      </c>
      <c r="BD2252" s="68" t="s">
        <v>249</v>
      </c>
    </row>
    <row r="2253">
      <c r="A2253" s="44">
        <v>2253.0</v>
      </c>
      <c r="B2253" s="322" t="s">
        <v>590</v>
      </c>
      <c r="C2253" s="149" t="s">
        <v>115</v>
      </c>
      <c r="D2253" s="62" t="s">
        <v>1270</v>
      </c>
      <c r="F2253" s="129" t="s">
        <v>5051</v>
      </c>
      <c r="G2253" s="151" t="s">
        <v>13569</v>
      </c>
      <c r="H2253" s="1287" t="s">
        <v>5024</v>
      </c>
      <c r="I2253" s="152">
        <v>45667.0</v>
      </c>
      <c r="J2253" s="1288">
        <v>45691.0</v>
      </c>
      <c r="K2253" s="159" t="s">
        <v>13570</v>
      </c>
      <c r="L2253" s="323" t="s">
        <v>13571</v>
      </c>
      <c r="M2253" s="159" t="s">
        <v>13572</v>
      </c>
      <c r="N2253" s="159" t="s">
        <v>5054</v>
      </c>
      <c r="O2253" s="129">
        <v>1.0</v>
      </c>
      <c r="P2253" s="159" t="str">
        <f t="shared" ref="P2253:P2254" si="124">SUBSTITUTE(LOWER(N2253), "/", "--") &amp;  ".pdf"</f>
        <v>10.1163--156853706776931222.pdf</v>
      </c>
      <c r="Q2253" s="52" t="str">
        <f t="array" ref="Q2253"> if(iserror(MATCH(V2253, 'File Links'!C:C, 0)), "N/A", HYPERLINK(INDEX('File Links'!B:B, MATCH(P2253, 'File Links'!C:C, 0))))</f>
        <v>https://drive.google.com/file/d/1_KweoGhNrt_00Umu1vsjHfibTm4z9cNE/view?usp=drivesdk</v>
      </c>
      <c r="R2253" s="2028" t="s">
        <v>5028</v>
      </c>
      <c r="S2253" s="310" t="s">
        <v>5029</v>
      </c>
      <c r="T2253" s="310" t="s">
        <v>5030</v>
      </c>
      <c r="U2253" s="156">
        <v>11.0</v>
      </c>
      <c r="V2253" s="198" t="str">
        <f t="shared" si="123"/>
        <v>10.1007--s13164-018-0400-9.pdf</v>
      </c>
      <c r="W2253" s="1290" t="s">
        <v>5031</v>
      </c>
      <c r="X2253" s="54" t="str">
        <f t="array" ref="X2253"> if(iserror(MATCH(V2253, 'File Links'!C:C, 0)), "N/A", HYPERLINK(INDEX('File Links'!B:B, MATCH(V2253, 'File Links'!C:C, 0))))</f>
        <v>https://drive.google.com/file/d/1hjI3aqifdfXjWhQAlvKCKKtvjuncAn5M/view?usp=drivesdk</v>
      </c>
      <c r="Y2253" s="68"/>
      <c r="Z2253" s="159" t="s">
        <v>165</v>
      </c>
      <c r="AA2253" s="129" t="s">
        <v>138</v>
      </c>
      <c r="AB2253" s="159" t="s">
        <v>13573</v>
      </c>
      <c r="AC2253" s="68"/>
      <c r="AD2253" s="159" t="s">
        <v>13574</v>
      </c>
      <c r="AE2253" s="156">
        <v>19.0</v>
      </c>
      <c r="AF2253" s="156">
        <v>31.0</v>
      </c>
      <c r="AG2253" s="1291" t="s">
        <v>13575</v>
      </c>
      <c r="AH2253" s="159" t="s">
        <v>134</v>
      </c>
      <c r="AI2253" s="339" t="s">
        <v>3255</v>
      </c>
      <c r="AJ2253" s="379">
        <v>0.001</v>
      </c>
      <c r="AK2253" s="57" t="s">
        <v>135</v>
      </c>
      <c r="AL2253" s="159" t="s">
        <v>186</v>
      </c>
      <c r="AM2253" s="57" t="s">
        <v>137</v>
      </c>
      <c r="AN2253" s="68"/>
      <c r="AO2253" s="156">
        <v>47.0</v>
      </c>
      <c r="AP2253" s="1291" t="s">
        <v>13576</v>
      </c>
      <c r="AQ2253" s="159" t="s">
        <v>134</v>
      </c>
      <c r="AR2253" s="159" t="s">
        <v>13577</v>
      </c>
      <c r="AS2253" s="156">
        <v>0.002</v>
      </c>
      <c r="AT2253" s="159" t="s">
        <v>172</v>
      </c>
      <c r="AU2253" s="159" t="s">
        <v>186</v>
      </c>
      <c r="AV2253" s="159" t="s">
        <v>137</v>
      </c>
      <c r="AW2253" s="310" t="s">
        <v>5061</v>
      </c>
      <c r="AX2253" s="159" t="s">
        <v>143</v>
      </c>
      <c r="AY2253" s="61" t="str">
        <f>IFERROR(__xludf.DUMMYFUNCTION("vlookup(BB2253,importrange(""https://docs.google.com/spreadsheets/d/1d2vevQ_7D_v35q4wCQ4RpQ_IPoTwEMB9Yp6ymwlPqew/edit?gid=984458430#gid=984458430"", ""'replication success'!A:K""), 11, FAlSE)"),"successful")</f>
        <v>successful</v>
      </c>
      <c r="AZ2253" s="91" t="str">
        <f>IFERROR(__xludf.DUMMYFUNCTION("vlookup(BB2253,importrange(""https://docs.google.com/spreadsheets/d/1d2vevQ_7D_v35q4wCQ4RpQ_IPoTwEMB9Yp6ymwlPqew/edit?gid=984458430#gid=984458430"", ""'replication success'!A:M""), 12, FAlSE)"),"https://osf.io/4ewkh")</f>
        <v>https://osf.io/4ewkh</v>
      </c>
      <c r="BA2253" s="91" t="str">
        <f>IFERROR(__xludf.DUMMYFUNCTION("vlookup(BB2253,importrange(""https://docs.google.com/spreadsheets/d/1d2vevQ_7D_v35q4wCQ4RpQ_IPoTwEMB9Yp6ymwlPqew/edit?gid=984458430#gid=984458430"", ""'replication success'!A:M""), 13, FAlSE)"),"https://osf.io/4ewkh")</f>
        <v>https://osf.io/4ewkh</v>
      </c>
      <c r="BB2253" s="61" t="str">
        <f>IFERROR(__xludf.DUMMYFUNCTION("REGEXREPLACE(G2253, ""_[a-z]{1,2}$"", """")"),"XPHI11")</f>
        <v>XPHI11</v>
      </c>
      <c r="BD2253" s="155" t="s">
        <v>13578</v>
      </c>
    </row>
    <row r="2254">
      <c r="A2254" s="44">
        <v>2254.0</v>
      </c>
      <c r="B2254" s="68" t="s">
        <v>114</v>
      </c>
      <c r="C2254" s="62" t="s">
        <v>115</v>
      </c>
      <c r="D2254" s="62" t="s">
        <v>1270</v>
      </c>
      <c r="F2254" s="2027" t="s">
        <v>13579</v>
      </c>
      <c r="G2254" s="159" t="s">
        <v>13580</v>
      </c>
      <c r="H2254" s="1287" t="s">
        <v>5024</v>
      </c>
      <c r="I2254" s="152">
        <v>45667.0</v>
      </c>
      <c r="J2254" s="153">
        <v>45716.0</v>
      </c>
      <c r="K2254" s="159" t="s">
        <v>13581</v>
      </c>
      <c r="L2254" s="129" t="s">
        <v>13582</v>
      </c>
      <c r="M2254" s="159" t="s">
        <v>13583</v>
      </c>
      <c r="N2254" s="159" t="s">
        <v>13584</v>
      </c>
      <c r="O2254" s="156">
        <v>3.0</v>
      </c>
      <c r="P2254" s="159" t="str">
        <f t="shared" si="124"/>
        <v>10.1163--156853706776931385.pdf</v>
      </c>
      <c r="Q2254" s="52" t="str">
        <f t="array" ref="Q2254"> if(iserror(MATCH(V2254, 'File Links'!C:C, 0)), "N/A", HYPERLINK(INDEX('File Links'!B:B, MATCH(P2254, 'File Links'!C:C, 0))))</f>
        <v>https://drive.google.com/file/d/1XAdHa8ntbQreOrtrubV-Qgfz8m_7szBt/view?usp=drivesdk</v>
      </c>
      <c r="R2254" s="2028" t="s">
        <v>5028</v>
      </c>
      <c r="S2254" s="310" t="s">
        <v>5029</v>
      </c>
      <c r="T2254" s="1390" t="s">
        <v>5030</v>
      </c>
      <c r="U2254" s="156">
        <v>12.0</v>
      </c>
      <c r="V2254" s="159" t="str">
        <f t="shared" si="123"/>
        <v>10.1007--s13164-018-0400-9.pdf</v>
      </c>
      <c r="W2254" s="1290" t="s">
        <v>5031</v>
      </c>
      <c r="X2254" s="54" t="str">
        <f t="array" ref="X2254"> if(iserror(MATCH(V2254, 'File Links'!C:C, 0)), "N/A", HYPERLINK(INDEX('File Links'!B:B, MATCH(V2254, 'File Links'!C:C, 0))))</f>
        <v>https://drive.google.com/file/d/1hjI3aqifdfXjWhQAlvKCKKtvjuncAn5M/view?usp=drivesdk</v>
      </c>
      <c r="Y2254" s="68"/>
      <c r="Z2254" s="159" t="s">
        <v>165</v>
      </c>
      <c r="AA2254" s="129" t="s">
        <v>138</v>
      </c>
      <c r="AB2254" s="159" t="s">
        <v>13585</v>
      </c>
      <c r="AC2254" s="68"/>
      <c r="AD2254" s="159" t="s">
        <v>13586</v>
      </c>
      <c r="AE2254" s="159" t="s">
        <v>10509</v>
      </c>
      <c r="AF2254" s="156">
        <v>8.0</v>
      </c>
      <c r="AG2254" s="1291" t="s">
        <v>13587</v>
      </c>
      <c r="AH2254" s="159" t="s">
        <v>134</v>
      </c>
      <c r="AI2254" s="339" t="s">
        <v>305</v>
      </c>
      <c r="AJ2254" s="379">
        <v>0.05</v>
      </c>
      <c r="AK2254" s="57" t="s">
        <v>135</v>
      </c>
      <c r="AL2254" s="159" t="s">
        <v>136</v>
      </c>
      <c r="AM2254" s="57" t="s">
        <v>137</v>
      </c>
      <c r="AN2254" s="68"/>
      <c r="AO2254" s="1292">
        <v>50.0</v>
      </c>
      <c r="AP2254" s="2032">
        <v>0.44</v>
      </c>
      <c r="AQ2254" s="159" t="s">
        <v>271</v>
      </c>
      <c r="AR2254" s="1060" t="s">
        <v>13577</v>
      </c>
      <c r="AS2254" s="1059">
        <v>0.002863</v>
      </c>
      <c r="AT2254" s="159" t="s">
        <v>172</v>
      </c>
      <c r="AU2254" s="159" t="s">
        <v>186</v>
      </c>
      <c r="AV2254" s="159" t="s">
        <v>137</v>
      </c>
      <c r="AW2254" s="1390" t="s">
        <v>13588</v>
      </c>
      <c r="AX2254" s="159" t="s">
        <v>143</v>
      </c>
      <c r="AY2254" s="61" t="str">
        <f>IFERROR(__xludf.DUMMYFUNCTION("vlookup(BB2254,importrange(""https://docs.google.com/spreadsheets/d/1d2vevQ_7D_v35q4wCQ4RpQ_IPoTwEMB9Yp6ymwlPqew/edit?gid=984458430#gid=984458430"", ""'replication success'!A:K""), 11, FAlSE)"),"successful")</f>
        <v>successful</v>
      </c>
      <c r="AZ2254" s="91" t="str">
        <f>IFERROR(__xludf.DUMMYFUNCTION("vlookup(BB2254,importrange(""https://docs.google.com/spreadsheets/d/1d2vevQ_7D_v35q4wCQ4RpQ_IPoTwEMB9Yp6ymwlPqew/edit?gid=984458430#gid=984458430"", ""'replication success'!A:M""), 12, FAlSE)"),"https://osf.io/4ewkh")</f>
        <v>https://osf.io/4ewkh</v>
      </c>
      <c r="BA2254" s="91" t="str">
        <f>IFERROR(__xludf.DUMMYFUNCTION("vlookup(BB2254,importrange(""https://docs.google.com/spreadsheets/d/1d2vevQ_7D_v35q4wCQ4RpQ_IPoTwEMB9Yp6ymwlPqew/edit?gid=984458430#gid=984458430"", ""'replication success'!A:M""), 13, FAlSE)"),"https://osf.io/4ewkh")</f>
        <v>https://osf.io/4ewkh</v>
      </c>
      <c r="BB2254" s="61" t="str">
        <f>IFERROR(__xludf.DUMMYFUNCTION("REGEXREPLACE(G2254, ""_[a-z]{1,2}$"", """")"),"XPHI12")</f>
        <v>XPHI12</v>
      </c>
      <c r="BD2254" s="68" t="s">
        <v>249</v>
      </c>
    </row>
    <row r="2255">
      <c r="A2255" s="44">
        <v>2255.0</v>
      </c>
      <c r="B2255" s="45" t="s">
        <v>152</v>
      </c>
      <c r="C2255" s="62" t="s">
        <v>115</v>
      </c>
      <c r="D2255" s="62" t="s">
        <v>248</v>
      </c>
      <c r="F2255" s="2027" t="s">
        <v>13579</v>
      </c>
      <c r="G2255" s="159" t="s">
        <v>13580</v>
      </c>
      <c r="H2255" s="1287" t="s">
        <v>249</v>
      </c>
      <c r="I2255" s="152">
        <v>45331.0</v>
      </c>
      <c r="J2255" s="153">
        <v>45716.0</v>
      </c>
      <c r="K2255" s="154" t="s">
        <v>13589</v>
      </c>
      <c r="L2255" s="129" t="s">
        <v>13590</v>
      </c>
      <c r="M2255" s="159" t="s">
        <v>13583</v>
      </c>
      <c r="N2255" s="159" t="s">
        <v>13584</v>
      </c>
      <c r="O2255" s="129">
        <v>3.0</v>
      </c>
      <c r="P2255" s="159" t="s">
        <v>13591</v>
      </c>
      <c r="Q2255" s="52" t="str">
        <f t="array" ref="Q2255"> if(iserror(MATCH(V2255, 'File Links'!C:C, 0)), "N/A", HYPERLINK(INDEX('File Links'!B:B, MATCH(P2255, 'File Links'!C:C, 0))))</f>
        <v>https://drive.google.com/file/d/1XAdHa8ntbQreOrtrubV-Qgfz8m_7szBt/view?usp=drivesdk</v>
      </c>
      <c r="R2255" s="2028" t="s">
        <v>5028</v>
      </c>
      <c r="S2255" s="159" t="s">
        <v>5029</v>
      </c>
      <c r="T2255" s="2007" t="s">
        <v>13592</v>
      </c>
      <c r="U2255" s="1093">
        <v>12.0</v>
      </c>
      <c r="V2255" s="159" t="str">
        <f t="shared" si="123"/>
        <v>10.1007--s13164-018-0400-9.pdf</v>
      </c>
      <c r="W2255" s="1290" t="s">
        <v>5031</v>
      </c>
      <c r="X2255" s="54" t="str">
        <f t="array" ref="X2255"> if(iserror(MATCH(V2255, 'File Links'!C:C, 0)), "N/A", HYPERLINK(INDEX('File Links'!B:B, MATCH(V2255, 'File Links'!C:C, 0))))</f>
        <v>https://drive.google.com/file/d/1hjI3aqifdfXjWhQAlvKCKKtvjuncAn5M/view?usp=drivesdk</v>
      </c>
      <c r="Y2255" s="68"/>
      <c r="Z2255" s="159" t="s">
        <v>165</v>
      </c>
      <c r="AA2255" s="129" t="s">
        <v>138</v>
      </c>
      <c r="AB2255" s="151" t="s">
        <v>13593</v>
      </c>
      <c r="AC2255" s="1370" t="s">
        <v>13594</v>
      </c>
      <c r="AD2255" s="159" t="s">
        <v>13595</v>
      </c>
      <c r="AE2255" s="159" t="s">
        <v>305</v>
      </c>
      <c r="AF2255" s="156">
        <v>8.0</v>
      </c>
      <c r="AG2255" s="1291" t="s">
        <v>13587</v>
      </c>
      <c r="AH2255" s="159" t="s">
        <v>134</v>
      </c>
      <c r="AI2255" s="151" t="s">
        <v>305</v>
      </c>
      <c r="AJ2255" s="379">
        <v>0.05</v>
      </c>
      <c r="AK2255" s="57" t="s">
        <v>135</v>
      </c>
      <c r="AL2255" s="159" t="s">
        <v>136</v>
      </c>
      <c r="AM2255" s="1286" t="s">
        <v>137</v>
      </c>
      <c r="AN2255" s="151" t="s">
        <v>138</v>
      </c>
      <c r="AO2255" s="1292">
        <v>50.0</v>
      </c>
      <c r="AP2255" s="156">
        <v>0.44</v>
      </c>
      <c r="AQ2255" s="159" t="s">
        <v>271</v>
      </c>
      <c r="AR2255" s="159" t="s">
        <v>13596</v>
      </c>
      <c r="AS2255" s="156">
        <v>0.001863</v>
      </c>
      <c r="AT2255" s="159" t="s">
        <v>172</v>
      </c>
      <c r="AU2255" s="159" t="s">
        <v>186</v>
      </c>
      <c r="AV2255" s="154" t="s">
        <v>137</v>
      </c>
      <c r="AW2255" s="2033" t="s">
        <v>13597</v>
      </c>
      <c r="AX2255" s="154" t="s">
        <v>143</v>
      </c>
      <c r="AY2255" s="61" t="str">
        <f>IFERROR(__xludf.DUMMYFUNCTION("vlookup(BB2255,importrange(""https://docs.google.com/spreadsheets/d/1d2vevQ_7D_v35q4wCQ4RpQ_IPoTwEMB9Yp6ymwlPqew/edit?gid=984458430#gid=984458430"", ""'replication success'!A:K""), 11, FAlSE)"),"successful")</f>
        <v>successful</v>
      </c>
      <c r="AZ2255" s="91" t="str">
        <f>IFERROR(__xludf.DUMMYFUNCTION("vlookup(BB2255,importrange(""https://docs.google.com/spreadsheets/d/1d2vevQ_7D_v35q4wCQ4RpQ_IPoTwEMB9Yp6ymwlPqew/edit?gid=984458430#gid=984458430"", ""'replication success'!A:M""), 12, FAlSE)"),"https://osf.io/4ewkh")</f>
        <v>https://osf.io/4ewkh</v>
      </c>
      <c r="BA2255" s="91" t="str">
        <f>IFERROR(__xludf.DUMMYFUNCTION("vlookup(BB2255,importrange(""https://docs.google.com/spreadsheets/d/1d2vevQ_7D_v35q4wCQ4RpQ_IPoTwEMB9Yp6ymwlPqew/edit?gid=984458430#gid=984458430"", ""'replication success'!A:M""), 13, FAlSE)"),"https://osf.io/4ewkh")</f>
        <v>https://osf.io/4ewkh</v>
      </c>
      <c r="BB2255" s="61" t="str">
        <f>IFERROR(__xludf.DUMMYFUNCTION("REGEXREPLACE(G2255, ""_[a-z]{1,2}$"", """")"),"XPHI12")</f>
        <v>XPHI12</v>
      </c>
      <c r="BD2255" s="129" t="s">
        <v>13598</v>
      </c>
    </row>
    <row r="2256">
      <c r="A2256" s="44">
        <v>2256.0</v>
      </c>
      <c r="B2256" s="45" t="s">
        <v>590</v>
      </c>
      <c r="C2256" s="62" t="s">
        <v>115</v>
      </c>
      <c r="D2256" s="62" t="s">
        <v>248</v>
      </c>
      <c r="F2256" s="2027" t="s">
        <v>13599</v>
      </c>
      <c r="G2256" s="159" t="s">
        <v>13600</v>
      </c>
      <c r="H2256" s="1287" t="s">
        <v>249</v>
      </c>
      <c r="I2256" s="152">
        <v>45331.0</v>
      </c>
      <c r="J2256" s="1288">
        <v>45691.0</v>
      </c>
      <c r="K2256" s="154" t="s">
        <v>13601</v>
      </c>
      <c r="L2256" s="159" t="s">
        <v>13562</v>
      </c>
      <c r="M2256" s="159" t="s">
        <v>13602</v>
      </c>
      <c r="N2256" s="159" t="s">
        <v>13603</v>
      </c>
      <c r="O2256" s="129">
        <v>1.0</v>
      </c>
      <c r="P2256" s="159" t="s">
        <v>13604</v>
      </c>
      <c r="Q2256" s="52" t="str">
        <f t="array" ref="Q2256"> if(iserror(MATCH(V2256, 'File Links'!C:C, 0)), "N/A", HYPERLINK(INDEX('File Links'!B:B, MATCH(P2256, 'File Links'!C:C, 0))))</f>
        <v>https://drive.google.com/file/d/1Y8W4Pu0XmqnQ5lA-X7ANKZNlSBzl4UGP/view?usp=drivesdk</v>
      </c>
      <c r="R2256" s="2028" t="s">
        <v>5028</v>
      </c>
      <c r="S2256" s="159" t="s">
        <v>5029</v>
      </c>
      <c r="T2256" s="68"/>
      <c r="U2256" s="68"/>
      <c r="V2256" s="159" t="str">
        <f t="shared" si="123"/>
        <v>10.1007--s13164-018-0400-9.pdf</v>
      </c>
      <c r="W2256" s="1290" t="s">
        <v>5031</v>
      </c>
      <c r="X2256" s="54" t="str">
        <f t="array" ref="X2256"> if(iserror(MATCH(V2256, 'File Links'!C:C, 0)), "N/A", HYPERLINK(INDEX('File Links'!B:B, MATCH(V2256, 'File Links'!C:C, 0))))</f>
        <v>https://drive.google.com/file/d/1hjI3aqifdfXjWhQAlvKCKKtvjuncAn5M/view?usp=drivesdk</v>
      </c>
      <c r="Y2256" s="68"/>
      <c r="Z2256" s="159" t="s">
        <v>165</v>
      </c>
      <c r="AA2256" s="129" t="s">
        <v>138</v>
      </c>
      <c r="AB2256" s="159" t="s">
        <v>5041</v>
      </c>
      <c r="AC2256" s="68"/>
      <c r="AD2256" s="159" t="s">
        <v>13605</v>
      </c>
      <c r="AE2256" s="159" t="s">
        <v>13606</v>
      </c>
      <c r="AF2256" s="156">
        <v>126.0</v>
      </c>
      <c r="AG2256" s="156">
        <v>0.25</v>
      </c>
      <c r="AH2256" s="159" t="s">
        <v>271</v>
      </c>
      <c r="AI2256" s="339" t="s">
        <v>13607</v>
      </c>
      <c r="AJ2256" s="379">
        <v>0.01</v>
      </c>
      <c r="AK2256" s="57" t="s">
        <v>135</v>
      </c>
      <c r="AL2256" s="159" t="s">
        <v>186</v>
      </c>
      <c r="AM2256" s="1286" t="s">
        <v>137</v>
      </c>
      <c r="AN2256" s="1370" t="s">
        <v>138</v>
      </c>
      <c r="AO2256" s="1292">
        <v>259.0</v>
      </c>
      <c r="AP2256" s="156">
        <v>0.41</v>
      </c>
      <c r="AQ2256" s="159" t="s">
        <v>271</v>
      </c>
      <c r="AR2256" s="151" t="s">
        <v>13608</v>
      </c>
      <c r="AS2256" s="156">
        <v>0.001</v>
      </c>
      <c r="AT2256" s="159" t="s">
        <v>135</v>
      </c>
      <c r="AU2256" s="159" t="s">
        <v>186</v>
      </c>
      <c r="AV2256" s="154" t="s">
        <v>137</v>
      </c>
      <c r="AW2256" s="1293" t="s">
        <v>13609</v>
      </c>
      <c r="AX2256" s="154" t="s">
        <v>143</v>
      </c>
      <c r="AY2256" s="61" t="str">
        <f>IFERROR(__xludf.DUMMYFUNCTION("vlookup(BB2256,importrange(""https://docs.google.com/spreadsheets/d/1d2vevQ_7D_v35q4wCQ4RpQ_IPoTwEMB9Yp6ymwlPqew/edit?gid=984458430#gid=984458430"", ""'replication success'!A:K""), 11, FAlSE)"),"#N/A")</f>
        <v>#N/A</v>
      </c>
      <c r="AZ2256" s="61" t="str">
        <f>IFERROR(__xludf.DUMMYFUNCTION("vlookup(BB2256,importrange(""https://docs.google.com/spreadsheets/d/1d2vevQ_7D_v35q4wCQ4RpQ_IPoTwEMB9Yp6ymwlPqew/edit?gid=984458430#gid=984458430"", ""'replication success'!A:M""), 12, FAlSE)"),"#N/A")</f>
        <v>#N/A</v>
      </c>
      <c r="BA2256" s="61" t="str">
        <f>IFERROR(__xludf.DUMMYFUNCTION("vlookup(BB2256,importrange(""https://docs.google.com/spreadsheets/d/1d2vevQ_7D_v35q4wCQ4RpQ_IPoTwEMB9Yp6ymwlPqew/edit?gid=984458430#gid=984458430"", ""'replication success'!A:M""), 13, FAlSE)"),"#N/A")</f>
        <v>#N/A</v>
      </c>
      <c r="BB2256" s="61" t="str">
        <f>IFERROR(__xludf.DUMMYFUNCTION("REGEXREPLACE(G2256, ""_[a-z]{1,2}$"", """")"),"XPHI13")</f>
        <v>XPHI13</v>
      </c>
      <c r="BD2256" s="68" t="s">
        <v>249</v>
      </c>
    </row>
    <row r="2257">
      <c r="A2257" s="44">
        <v>2257.0</v>
      </c>
      <c r="B2257" s="45" t="s">
        <v>590</v>
      </c>
      <c r="C2257" s="62" t="s">
        <v>115</v>
      </c>
      <c r="D2257" s="62" t="s">
        <v>248</v>
      </c>
      <c r="F2257" s="2027" t="s">
        <v>13610</v>
      </c>
      <c r="G2257" s="159" t="s">
        <v>13611</v>
      </c>
      <c r="H2257" s="1287" t="s">
        <v>249</v>
      </c>
      <c r="I2257" s="152">
        <v>45331.0</v>
      </c>
      <c r="J2257" s="1288">
        <v>45691.0</v>
      </c>
      <c r="K2257" s="154" t="s">
        <v>13601</v>
      </c>
      <c r="L2257" s="159" t="s">
        <v>13562</v>
      </c>
      <c r="M2257" s="159" t="s">
        <v>13612</v>
      </c>
      <c r="N2257" s="159" t="s">
        <v>13613</v>
      </c>
      <c r="O2257" s="129">
        <v>1.0</v>
      </c>
      <c r="P2257" s="159" t="s">
        <v>13614</v>
      </c>
      <c r="Q2257" s="52" t="str">
        <f t="array" ref="Q2257"> if(iserror(MATCH(V2257, 'File Links'!C:C, 0)), "N/A", HYPERLINK(INDEX('File Links'!B:B, MATCH(P2257, 'File Links'!C:C, 0))))</f>
        <v>https://drive.google.com/file/d/1KGwRGETP91kM9JQ1Lkln3MN4JSxyj4OW/view?usp=drivesdk</v>
      </c>
      <c r="R2257" s="2028" t="s">
        <v>5028</v>
      </c>
      <c r="S2257" s="159" t="s">
        <v>5029</v>
      </c>
      <c r="T2257" s="68"/>
      <c r="U2257" s="68"/>
      <c r="V2257" s="159" t="str">
        <f t="shared" si="123"/>
        <v>10.1007--s13164-018-0400-9.pdf</v>
      </c>
      <c r="W2257" s="1290" t="s">
        <v>5031</v>
      </c>
      <c r="X2257" s="54" t="str">
        <f t="array" ref="X2257"> if(iserror(MATCH(V2257, 'File Links'!C:C, 0)), "N/A", HYPERLINK(INDEX('File Links'!B:B, MATCH(V2257, 'File Links'!C:C, 0))))</f>
        <v>https://drive.google.com/file/d/1hjI3aqifdfXjWhQAlvKCKKtvjuncAn5M/view?usp=drivesdk</v>
      </c>
      <c r="Y2257" s="68"/>
      <c r="Z2257" s="159" t="s">
        <v>165</v>
      </c>
      <c r="AA2257" s="129" t="s">
        <v>138</v>
      </c>
      <c r="AB2257" s="159" t="s">
        <v>13615</v>
      </c>
      <c r="AC2257" s="68"/>
      <c r="AD2257" s="159" t="s">
        <v>13616</v>
      </c>
      <c r="AE2257" s="159" t="s">
        <v>13617</v>
      </c>
      <c r="AF2257" s="156">
        <v>41.0</v>
      </c>
      <c r="AG2257" s="156">
        <v>0.38</v>
      </c>
      <c r="AH2257" s="159" t="s">
        <v>271</v>
      </c>
      <c r="AI2257" s="339" t="s">
        <v>13618</v>
      </c>
      <c r="AJ2257" s="379">
        <v>0.05</v>
      </c>
      <c r="AK2257" s="57" t="s">
        <v>135</v>
      </c>
      <c r="AL2257" s="159" t="s">
        <v>186</v>
      </c>
      <c r="AM2257" s="1286" t="s">
        <v>137</v>
      </c>
      <c r="AN2257" s="1370" t="s">
        <v>138</v>
      </c>
      <c r="AO2257" s="1292">
        <v>80.0</v>
      </c>
      <c r="AP2257" s="156">
        <v>0.73</v>
      </c>
      <c r="AQ2257" s="159" t="s">
        <v>271</v>
      </c>
      <c r="AR2257" s="151" t="s">
        <v>13619</v>
      </c>
      <c r="AS2257" s="156">
        <v>0.001</v>
      </c>
      <c r="AT2257" s="159" t="s">
        <v>135</v>
      </c>
      <c r="AU2257" s="159" t="s">
        <v>186</v>
      </c>
      <c r="AV2257" s="154" t="s">
        <v>137</v>
      </c>
      <c r="AW2257" s="1293" t="s">
        <v>13620</v>
      </c>
      <c r="AX2257" s="154" t="s">
        <v>143</v>
      </c>
      <c r="AY2257" s="61" t="str">
        <f>IFERROR(__xludf.DUMMYFUNCTION("vlookup(BB2257,importrange(""https://docs.google.com/spreadsheets/d/1d2vevQ_7D_v35q4wCQ4RpQ_IPoTwEMB9Yp6ymwlPqew/edit?gid=984458430#gid=984458430"", ""'replication success'!A:K""), 11, FAlSE)"),"#N/A")</f>
        <v>#N/A</v>
      </c>
      <c r="AZ2257" s="61" t="str">
        <f>IFERROR(__xludf.DUMMYFUNCTION("vlookup(BB2257,importrange(""https://docs.google.com/spreadsheets/d/1d2vevQ_7D_v35q4wCQ4RpQ_IPoTwEMB9Yp6ymwlPqew/edit?gid=984458430#gid=984458430"", ""'replication success'!A:M""), 12, FAlSE)"),"#N/A")</f>
        <v>#N/A</v>
      </c>
      <c r="BA2257" s="61" t="str">
        <f>IFERROR(__xludf.DUMMYFUNCTION("vlookup(BB2257,importrange(""https://docs.google.com/spreadsheets/d/1d2vevQ_7D_v35q4wCQ4RpQ_IPoTwEMB9Yp6ymwlPqew/edit?gid=984458430#gid=984458430"", ""'replication success'!A:M""), 13, FAlSE)"),"#N/A")</f>
        <v>#N/A</v>
      </c>
      <c r="BB2257" s="61" t="str">
        <f>IFERROR(__xludf.DUMMYFUNCTION("REGEXREPLACE(G2257, ""_[a-z]{1,2}$"", """")"),"XPHI14")</f>
        <v>XPHI14</v>
      </c>
      <c r="BD2257" s="68" t="s">
        <v>249</v>
      </c>
    </row>
    <row r="2258">
      <c r="A2258" s="44">
        <v>2258.0</v>
      </c>
      <c r="B2258" s="154" t="s">
        <v>114</v>
      </c>
      <c r="C2258" s="62" t="s">
        <v>115</v>
      </c>
      <c r="D2258" s="62" t="s">
        <v>1270</v>
      </c>
      <c r="F2258" s="1286" t="s">
        <v>13621</v>
      </c>
      <c r="G2258" s="159" t="s">
        <v>13622</v>
      </c>
      <c r="H2258" s="1287" t="s">
        <v>5024</v>
      </c>
      <c r="I2258" s="152">
        <v>45670.0</v>
      </c>
      <c r="J2258" s="153">
        <v>45716.0</v>
      </c>
      <c r="K2258" s="159" t="s">
        <v>13623</v>
      </c>
      <c r="L2258" s="68"/>
      <c r="M2258" s="159" t="s">
        <v>13624</v>
      </c>
      <c r="N2258" s="159" t="s">
        <v>13625</v>
      </c>
      <c r="O2258" s="129">
        <v>1.0</v>
      </c>
      <c r="P2258" s="159" t="str">
        <f>SUBSTITUTE(LOWER(N2258), "/", "--") &amp;  ".pdf"</f>
        <v>10.1111--j.1475-4975.2007.00158.x.pdf</v>
      </c>
      <c r="Q2258" s="52" t="str">
        <f t="array" ref="Q2258"> if(iserror(MATCH(V2258, 'File Links'!C:C, 0)), "N/A", HYPERLINK(INDEX('File Links'!B:B, MATCH(P2258, 'File Links'!C:C, 0))))</f>
        <v>https://drive.google.com/file/d/1Mbtg5W4r7YUV6SqGN7Y6QssV1kBq9eYn/view?usp=drivesdk</v>
      </c>
      <c r="R2258" s="2028" t="s">
        <v>5028</v>
      </c>
      <c r="S2258" s="310" t="s">
        <v>5029</v>
      </c>
      <c r="T2258" s="1390" t="s">
        <v>5030</v>
      </c>
      <c r="U2258" s="156">
        <v>15.0</v>
      </c>
      <c r="V2258" s="159" t="str">
        <f t="shared" si="123"/>
        <v>10.1007--s13164-018-0400-9.pdf</v>
      </c>
      <c r="W2258" s="1290" t="s">
        <v>5031</v>
      </c>
      <c r="X2258" s="54" t="str">
        <f t="array" ref="X2258"> if(iserror(MATCH(V2258, 'File Links'!C:C, 0)), "N/A", HYPERLINK(INDEX('File Links'!B:B, MATCH(V2258, 'File Links'!C:C, 0))))</f>
        <v>https://drive.google.com/file/d/1hjI3aqifdfXjWhQAlvKCKKtvjuncAn5M/view?usp=drivesdk</v>
      </c>
      <c r="Y2258" s="68"/>
      <c r="Z2258" s="159" t="s">
        <v>165</v>
      </c>
      <c r="AA2258" s="129" t="s">
        <v>138</v>
      </c>
      <c r="AB2258" s="159" t="s">
        <v>13626</v>
      </c>
      <c r="AC2258" s="68"/>
      <c r="AD2258" s="159" t="s">
        <v>13627</v>
      </c>
      <c r="AE2258" s="159" t="s">
        <v>13628</v>
      </c>
      <c r="AF2258" s="156">
        <v>307.0</v>
      </c>
      <c r="AG2258" s="159" t="s">
        <v>13629</v>
      </c>
      <c r="AH2258" s="159" t="s">
        <v>134</v>
      </c>
      <c r="AI2258" s="339" t="s">
        <v>627</v>
      </c>
      <c r="AJ2258" s="379">
        <v>0.001</v>
      </c>
      <c r="AK2258" s="57" t="s">
        <v>135</v>
      </c>
      <c r="AL2258" s="159" t="s">
        <v>186</v>
      </c>
      <c r="AM2258" s="57" t="s">
        <v>137</v>
      </c>
      <c r="AN2258" s="151" t="s">
        <v>138</v>
      </c>
      <c r="AO2258" s="1292">
        <v>183.0</v>
      </c>
      <c r="AP2258" s="2034" t="s">
        <v>13630</v>
      </c>
      <c r="AQ2258" s="159" t="s">
        <v>134</v>
      </c>
      <c r="AR2258" s="159" t="s">
        <v>13631</v>
      </c>
      <c r="AS2258" s="156">
        <v>0.001</v>
      </c>
      <c r="AT2258" s="159" t="s">
        <v>135</v>
      </c>
      <c r="AU2258" s="159" t="s">
        <v>186</v>
      </c>
      <c r="AV2258" s="159" t="s">
        <v>137</v>
      </c>
      <c r="AW2258" s="310" t="s">
        <v>13632</v>
      </c>
      <c r="AX2258" s="159" t="s">
        <v>143</v>
      </c>
      <c r="AY2258" s="61" t="str">
        <f>IFERROR(__xludf.DUMMYFUNCTION("vlookup(BB2258,importrange(""https://docs.google.com/spreadsheets/d/1d2vevQ_7D_v35q4wCQ4RpQ_IPoTwEMB9Yp6ymwlPqew/edit?gid=984458430#gid=984458430"", ""'replication success'!A:K""), 11, FAlSE)"),"successful")</f>
        <v>successful</v>
      </c>
      <c r="AZ2258" s="91" t="str">
        <f>IFERROR(__xludf.DUMMYFUNCTION("vlookup(BB2258,importrange(""https://docs.google.com/spreadsheets/d/1d2vevQ_7D_v35q4wCQ4RpQ_IPoTwEMB9Yp6ymwlPqew/edit?gid=984458430#gid=984458430"", ""'replication success'!A:M""), 12, FAlSE)"),"https://osf.io/4ewkh")</f>
        <v>https://osf.io/4ewkh</v>
      </c>
      <c r="BA2258" s="91" t="str">
        <f>IFERROR(__xludf.DUMMYFUNCTION("vlookup(BB2258,importrange(""https://docs.google.com/spreadsheets/d/1d2vevQ_7D_v35q4wCQ4RpQ_IPoTwEMB9Yp6ymwlPqew/edit?gid=984458430#gid=984458430"", ""'replication success'!A:M""), 13, FAlSE)"),"https://osf.io/4ewkh")</f>
        <v>https://osf.io/4ewkh</v>
      </c>
      <c r="BB2258" s="61" t="str">
        <f>IFERROR(__xludf.DUMMYFUNCTION("REGEXREPLACE(G2258, ""_[a-z]{1,2}$"", """")"),"XPHI15")</f>
        <v>XPHI15</v>
      </c>
      <c r="BD2258" s="68" t="s">
        <v>249</v>
      </c>
    </row>
    <row r="2259">
      <c r="A2259" s="44">
        <v>2259.0</v>
      </c>
      <c r="B2259" s="45" t="s">
        <v>152</v>
      </c>
      <c r="C2259" s="62" t="s">
        <v>115</v>
      </c>
      <c r="D2259" s="62" t="s">
        <v>248</v>
      </c>
      <c r="F2259" s="1286" t="s">
        <v>13621</v>
      </c>
      <c r="G2259" s="159" t="s">
        <v>13622</v>
      </c>
      <c r="H2259" s="1287" t="s">
        <v>249</v>
      </c>
      <c r="I2259" s="152">
        <v>45331.0</v>
      </c>
      <c r="J2259" s="153">
        <v>45716.0</v>
      </c>
      <c r="K2259" s="159" t="s">
        <v>13633</v>
      </c>
      <c r="L2259" s="129" t="s">
        <v>13634</v>
      </c>
      <c r="M2259" s="159" t="s">
        <v>13624</v>
      </c>
      <c r="N2259" s="159" t="s">
        <v>13625</v>
      </c>
      <c r="O2259" s="129">
        <v>1.0</v>
      </c>
      <c r="P2259" s="159" t="s">
        <v>13635</v>
      </c>
      <c r="Q2259" s="52" t="str">
        <f t="array" ref="Q2259"> if(iserror(MATCH(V2259, 'File Links'!C:C, 0)), "N/A", HYPERLINK(INDEX('File Links'!B:B, MATCH(P2259, 'File Links'!C:C, 0))))</f>
        <v>https://drive.google.com/file/d/1Mbtg5W4r7YUV6SqGN7Y6QssV1kBq9eYn/view?usp=drivesdk</v>
      </c>
      <c r="R2259" s="2028" t="s">
        <v>5028</v>
      </c>
      <c r="S2259" s="159" t="s">
        <v>5029</v>
      </c>
      <c r="T2259" s="2007" t="s">
        <v>13636</v>
      </c>
      <c r="U2259" s="1370">
        <v>15.0</v>
      </c>
      <c r="V2259" s="159" t="str">
        <f t="shared" si="123"/>
        <v>10.1007--s13164-018-0400-9.pdf</v>
      </c>
      <c r="W2259" s="1290" t="s">
        <v>5031</v>
      </c>
      <c r="X2259" s="54" t="str">
        <f t="array" ref="X2259"> if(iserror(MATCH(V2259, 'File Links'!C:C, 0)), "N/A", HYPERLINK(INDEX('File Links'!B:B, MATCH(V2259, 'File Links'!C:C, 0))))</f>
        <v>https://drive.google.com/file/d/1hjI3aqifdfXjWhQAlvKCKKtvjuncAn5M/view?usp=drivesdk</v>
      </c>
      <c r="Y2259" s="68"/>
      <c r="Z2259" s="159" t="s">
        <v>165</v>
      </c>
      <c r="AA2259" s="129" t="s">
        <v>138</v>
      </c>
      <c r="AB2259" s="159" t="s">
        <v>13626</v>
      </c>
      <c r="AC2259" s="1370" t="s">
        <v>13637</v>
      </c>
      <c r="AD2259" s="159" t="s">
        <v>13638</v>
      </c>
      <c r="AE2259" s="154" t="s">
        <v>627</v>
      </c>
      <c r="AF2259" s="156">
        <v>307.0</v>
      </c>
      <c r="AG2259" s="1115" t="s">
        <v>13629</v>
      </c>
      <c r="AH2259" s="151" t="s">
        <v>134</v>
      </c>
      <c r="AI2259" s="151" t="s">
        <v>627</v>
      </c>
      <c r="AJ2259" s="379">
        <v>0.001</v>
      </c>
      <c r="AK2259" s="57" t="s">
        <v>135</v>
      </c>
      <c r="AL2259" s="1116" t="s">
        <v>186</v>
      </c>
      <c r="AM2259" s="1286" t="s">
        <v>137</v>
      </c>
      <c r="AN2259" s="151" t="s">
        <v>138</v>
      </c>
      <c r="AO2259" s="156">
        <v>183.0</v>
      </c>
      <c r="AP2259" s="2035" t="s">
        <v>13630</v>
      </c>
      <c r="AQ2259" s="1116" t="s">
        <v>134</v>
      </c>
      <c r="AR2259" s="151" t="s">
        <v>217</v>
      </c>
      <c r="AS2259" s="156">
        <v>0.001</v>
      </c>
      <c r="AT2259" s="159" t="s">
        <v>135</v>
      </c>
      <c r="AU2259" s="1116" t="s">
        <v>186</v>
      </c>
      <c r="AV2259" s="154" t="s">
        <v>137</v>
      </c>
      <c r="AW2259" s="2033" t="s">
        <v>13639</v>
      </c>
      <c r="AX2259" s="154" t="s">
        <v>143</v>
      </c>
      <c r="AY2259" s="61" t="str">
        <f>IFERROR(__xludf.DUMMYFUNCTION("vlookup(BB2259,importrange(""https://docs.google.com/spreadsheets/d/1d2vevQ_7D_v35q4wCQ4RpQ_IPoTwEMB9Yp6ymwlPqew/edit?gid=984458430#gid=984458430"", ""'replication success'!A:K""), 11, FAlSE)"),"successful")</f>
        <v>successful</v>
      </c>
      <c r="AZ2259" s="91" t="str">
        <f>IFERROR(__xludf.DUMMYFUNCTION("vlookup(BB2259,importrange(""https://docs.google.com/spreadsheets/d/1d2vevQ_7D_v35q4wCQ4RpQ_IPoTwEMB9Yp6ymwlPqew/edit?gid=984458430#gid=984458430"", ""'replication success'!A:M""), 12, FAlSE)"),"https://osf.io/4ewkh")</f>
        <v>https://osf.io/4ewkh</v>
      </c>
      <c r="BA2259" s="91" t="str">
        <f>IFERROR(__xludf.DUMMYFUNCTION("vlookup(BB2259,importrange(""https://docs.google.com/spreadsheets/d/1d2vevQ_7D_v35q4wCQ4RpQ_IPoTwEMB9Yp6ymwlPqew/edit?gid=984458430#gid=984458430"", ""'replication success'!A:M""), 13, FAlSE)"),"https://osf.io/4ewkh")</f>
        <v>https://osf.io/4ewkh</v>
      </c>
      <c r="BB2259" s="61" t="str">
        <f>IFERROR(__xludf.DUMMYFUNCTION("REGEXREPLACE(G2259, ""_[a-z]{1,2}$"", """")"),"XPHI15")</f>
        <v>XPHI15</v>
      </c>
      <c r="BD2259" s="129" t="s">
        <v>13598</v>
      </c>
    </row>
    <row r="2260">
      <c r="A2260" s="44">
        <v>2260.0</v>
      </c>
      <c r="B2260" s="322" t="s">
        <v>4523</v>
      </c>
      <c r="C2260" s="149" t="s">
        <v>115</v>
      </c>
      <c r="D2260" s="62" t="s">
        <v>248</v>
      </c>
      <c r="F2260" s="129" t="s">
        <v>13621</v>
      </c>
      <c r="G2260" s="159" t="s">
        <v>13640</v>
      </c>
      <c r="H2260" s="1287" t="s">
        <v>249</v>
      </c>
      <c r="I2260" s="152">
        <v>45331.0</v>
      </c>
      <c r="J2260" s="152">
        <v>45688.0</v>
      </c>
      <c r="K2260" s="68" t="s">
        <v>13641</v>
      </c>
      <c r="L2260" s="68" t="s">
        <v>13642</v>
      </c>
      <c r="M2260" s="159" t="s">
        <v>13624</v>
      </c>
      <c r="N2260" s="159" t="s">
        <v>13625</v>
      </c>
      <c r="O2260" s="129">
        <v>1.0</v>
      </c>
      <c r="P2260" s="159" t="str">
        <f t="shared" ref="P2260:P2267" si="125">SUBSTITUTE(LOWER(N2260), "/", "--") &amp;  ".pdf"</f>
        <v>10.1111--j.1475-4975.2007.00158.x.pdf</v>
      </c>
      <c r="Q2260" s="52" t="str">
        <f t="array" ref="Q2260"> if(iserror(MATCH(V2260, 'File Links'!C:C, 0)), "N/A", HYPERLINK(INDEX('File Links'!B:B, MATCH(P2260, 'File Links'!C:C, 0))))</f>
        <v>https://drive.google.com/file/d/1Mbtg5W4r7YUV6SqGN7Y6QssV1kBq9eYn/view?usp=drivesdk</v>
      </c>
      <c r="R2260" s="2028" t="s">
        <v>5028</v>
      </c>
      <c r="S2260" s="310" t="s">
        <v>5029</v>
      </c>
      <c r="T2260" s="310" t="s">
        <v>5030</v>
      </c>
      <c r="U2260" s="156">
        <v>15.0</v>
      </c>
      <c r="V2260" s="198" t="str">
        <f t="shared" si="123"/>
        <v>10.1007--s13164-018-0400-9.pdf</v>
      </c>
      <c r="W2260" s="1290" t="s">
        <v>5031</v>
      </c>
      <c r="X2260" s="54" t="str">
        <f t="array" ref="X2260"> if(iserror(MATCH(V2260, 'File Links'!C:C, 0)), "N/A", HYPERLINK(INDEX('File Links'!B:B, MATCH(V2260, 'File Links'!C:C, 0))))</f>
        <v>https://drive.google.com/file/d/1hjI3aqifdfXjWhQAlvKCKKtvjuncAn5M/view?usp=drivesdk</v>
      </c>
      <c r="Y2260" s="68"/>
      <c r="Z2260" s="159" t="s">
        <v>165</v>
      </c>
      <c r="AA2260" s="129" t="s">
        <v>138</v>
      </c>
      <c r="AB2260" s="159" t="s">
        <v>13643</v>
      </c>
      <c r="AC2260" s="68"/>
      <c r="AD2260" s="159" t="s">
        <v>13644</v>
      </c>
      <c r="AE2260" s="159" t="s">
        <v>13628</v>
      </c>
      <c r="AF2260" s="156">
        <v>307.0</v>
      </c>
      <c r="AG2260" s="159" t="s">
        <v>13645</v>
      </c>
      <c r="AH2260" s="159" t="s">
        <v>134</v>
      </c>
      <c r="AI2260" s="339" t="s">
        <v>627</v>
      </c>
      <c r="AJ2260" s="379">
        <v>0.001</v>
      </c>
      <c r="AK2260" s="57" t="s">
        <v>135</v>
      </c>
      <c r="AL2260" s="159" t="s">
        <v>186</v>
      </c>
      <c r="AM2260" s="57" t="s">
        <v>137</v>
      </c>
      <c r="AN2260" s="330" t="s">
        <v>138</v>
      </c>
      <c r="AO2260" s="156">
        <v>183.0</v>
      </c>
      <c r="AP2260" s="2034" t="s">
        <v>13646</v>
      </c>
      <c r="AQ2260" s="159" t="s">
        <v>134</v>
      </c>
      <c r="AR2260" s="159" t="s">
        <v>13631</v>
      </c>
      <c r="AS2260" s="156">
        <v>0.001</v>
      </c>
      <c r="AT2260" s="159" t="s">
        <v>135</v>
      </c>
      <c r="AU2260" s="159" t="s">
        <v>186</v>
      </c>
      <c r="AV2260" s="159" t="s">
        <v>137</v>
      </c>
      <c r="AW2260" s="1293" t="s">
        <v>13647</v>
      </c>
      <c r="AX2260" s="159" t="s">
        <v>143</v>
      </c>
      <c r="AY2260" s="61" t="str">
        <f>IFERROR(__xludf.DUMMYFUNCTION("vlookup(BB2260,importrange(""https://docs.google.com/spreadsheets/d/1d2vevQ_7D_v35q4wCQ4RpQ_IPoTwEMB9Yp6ymwlPqew/edit?gid=984458430#gid=984458430"", ""'replication success'!A:K""), 11, FAlSE)"),"successful")</f>
        <v>successful</v>
      </c>
      <c r="AZ2260" s="91" t="str">
        <f>IFERROR(__xludf.DUMMYFUNCTION("vlookup(BB2260,importrange(""https://docs.google.com/spreadsheets/d/1d2vevQ_7D_v35q4wCQ4RpQ_IPoTwEMB9Yp6ymwlPqew/edit?gid=984458430#gid=984458430"", ""'replication success'!A:M""), 12, FAlSE)"),"https://osf.io/4ewkh")</f>
        <v>https://osf.io/4ewkh</v>
      </c>
      <c r="BA2260" s="91" t="str">
        <f>IFERROR(__xludf.DUMMYFUNCTION("vlookup(BB2260,importrange(""https://docs.google.com/spreadsheets/d/1d2vevQ_7D_v35q4wCQ4RpQ_IPoTwEMB9Yp6ymwlPqew/edit?gid=984458430#gid=984458430"", ""'replication success'!A:M""), 13, FAlSE)"),"https://osf.io/4ewkh")</f>
        <v>https://osf.io/4ewkh</v>
      </c>
      <c r="BB2260" s="61" t="str">
        <f>IFERROR(__xludf.DUMMYFUNCTION("REGEXREPLACE(G2260, ""_[a-z]{1,2}$"", """")"),"XPHI15")</f>
        <v>XPHI15</v>
      </c>
      <c r="BD2260" s="154" t="s">
        <v>249</v>
      </c>
    </row>
    <row r="2261">
      <c r="A2261" s="44">
        <v>2261.0</v>
      </c>
      <c r="B2261" s="68" t="s">
        <v>114</v>
      </c>
      <c r="C2261" s="149" t="s">
        <v>115</v>
      </c>
      <c r="D2261" s="62" t="s">
        <v>1270</v>
      </c>
      <c r="F2261" s="129" t="s">
        <v>13621</v>
      </c>
      <c r="G2261" s="151" t="s">
        <v>13640</v>
      </c>
      <c r="H2261" s="1287" t="s">
        <v>5024</v>
      </c>
      <c r="I2261" s="152">
        <v>45670.0</v>
      </c>
      <c r="J2261" s="152">
        <v>45688.0</v>
      </c>
      <c r="K2261" s="68"/>
      <c r="L2261" s="68" t="s">
        <v>13642</v>
      </c>
      <c r="M2261" s="159" t="s">
        <v>13624</v>
      </c>
      <c r="N2261" s="159" t="s">
        <v>13625</v>
      </c>
      <c r="O2261" s="129">
        <v>1.0</v>
      </c>
      <c r="P2261" s="159" t="str">
        <f t="shared" si="125"/>
        <v>10.1111--j.1475-4975.2007.00158.x.pdf</v>
      </c>
      <c r="Q2261" s="52" t="str">
        <f t="array" ref="Q2261"> if(iserror(MATCH(V2261, 'File Links'!C:C, 0)), "N/A", HYPERLINK(INDEX('File Links'!B:B, MATCH(P2261, 'File Links'!C:C, 0))))</f>
        <v>https://drive.google.com/file/d/1Mbtg5W4r7YUV6SqGN7Y6QssV1kBq9eYn/view?usp=drivesdk</v>
      </c>
      <c r="R2261" s="2028" t="s">
        <v>5028</v>
      </c>
      <c r="S2261" s="310" t="s">
        <v>5029</v>
      </c>
      <c r="T2261" s="310" t="s">
        <v>5030</v>
      </c>
      <c r="U2261" s="156">
        <v>15.0</v>
      </c>
      <c r="V2261" s="198" t="str">
        <f t="shared" si="123"/>
        <v>10.1007--s13164-018-0400-9.pdf</v>
      </c>
      <c r="W2261" s="1290" t="s">
        <v>5031</v>
      </c>
      <c r="X2261" s="54" t="str">
        <f t="array" ref="X2261"> if(iserror(MATCH(V2261, 'File Links'!C:C, 0)), "N/A", HYPERLINK(INDEX('File Links'!B:B, MATCH(V2261, 'File Links'!C:C, 0))))</f>
        <v>https://drive.google.com/file/d/1hjI3aqifdfXjWhQAlvKCKKtvjuncAn5M/view?usp=drivesdk</v>
      </c>
      <c r="Y2261" s="68"/>
      <c r="Z2261" s="159" t="s">
        <v>165</v>
      </c>
      <c r="AA2261" s="129" t="s">
        <v>138</v>
      </c>
      <c r="AB2261" s="159" t="s">
        <v>13626</v>
      </c>
      <c r="AC2261" s="68"/>
      <c r="AD2261" s="159" t="s">
        <v>13648</v>
      </c>
      <c r="AE2261" s="159" t="s">
        <v>13628</v>
      </c>
      <c r="AF2261" s="156">
        <v>307.0</v>
      </c>
      <c r="AG2261" s="159" t="s">
        <v>13645</v>
      </c>
      <c r="AH2261" s="159" t="s">
        <v>134</v>
      </c>
      <c r="AI2261" s="339" t="s">
        <v>627</v>
      </c>
      <c r="AJ2261" s="379">
        <v>0.001</v>
      </c>
      <c r="AK2261" s="57" t="s">
        <v>135</v>
      </c>
      <c r="AL2261" s="159" t="s">
        <v>186</v>
      </c>
      <c r="AM2261" s="57" t="s">
        <v>137</v>
      </c>
      <c r="AN2261" s="330" t="s">
        <v>138</v>
      </c>
      <c r="AO2261" s="156">
        <v>183.0</v>
      </c>
      <c r="AP2261" s="2034" t="s">
        <v>13646</v>
      </c>
      <c r="AQ2261" s="159" t="s">
        <v>134</v>
      </c>
      <c r="AR2261" s="159" t="s">
        <v>13631</v>
      </c>
      <c r="AS2261" s="156">
        <v>0.001</v>
      </c>
      <c r="AT2261" s="159" t="s">
        <v>135</v>
      </c>
      <c r="AU2261" s="159" t="s">
        <v>186</v>
      </c>
      <c r="AV2261" s="159" t="s">
        <v>137</v>
      </c>
      <c r="AW2261" s="310" t="s">
        <v>13632</v>
      </c>
      <c r="AX2261" s="159" t="s">
        <v>143</v>
      </c>
      <c r="AY2261" s="61" t="str">
        <f>IFERROR(__xludf.DUMMYFUNCTION("vlookup(BB2261,importrange(""https://docs.google.com/spreadsheets/d/1d2vevQ_7D_v35q4wCQ4RpQ_IPoTwEMB9Yp6ymwlPqew/edit?gid=984458430#gid=984458430"", ""'replication success'!A:K""), 11, FAlSE)"),"successful")</f>
        <v>successful</v>
      </c>
      <c r="AZ2261" s="91" t="str">
        <f>IFERROR(__xludf.DUMMYFUNCTION("vlookup(BB2261,importrange(""https://docs.google.com/spreadsheets/d/1d2vevQ_7D_v35q4wCQ4RpQ_IPoTwEMB9Yp6ymwlPqew/edit?gid=984458430#gid=984458430"", ""'replication success'!A:M""), 12, FAlSE)"),"https://osf.io/4ewkh")</f>
        <v>https://osf.io/4ewkh</v>
      </c>
      <c r="BA2261" s="91" t="str">
        <f>IFERROR(__xludf.DUMMYFUNCTION("vlookup(BB2261,importrange(""https://docs.google.com/spreadsheets/d/1d2vevQ_7D_v35q4wCQ4RpQ_IPoTwEMB9Yp6ymwlPqew/edit?gid=984458430#gid=984458430"", ""'replication success'!A:M""), 13, FAlSE)"),"https://osf.io/4ewkh")</f>
        <v>https://osf.io/4ewkh</v>
      </c>
      <c r="BB2261" s="61" t="str">
        <f>IFERROR(__xludf.DUMMYFUNCTION("REGEXREPLACE(G2261, ""_[a-z]{1,2}$"", """")"),"XPHI15")</f>
        <v>XPHI15</v>
      </c>
      <c r="BD2261" s="154" t="s">
        <v>249</v>
      </c>
    </row>
    <row r="2262">
      <c r="A2262" s="44">
        <v>2262.0</v>
      </c>
      <c r="B2262" s="322" t="s">
        <v>4523</v>
      </c>
      <c r="C2262" s="149" t="s">
        <v>115</v>
      </c>
      <c r="D2262" s="62" t="s">
        <v>248</v>
      </c>
      <c r="F2262" s="129" t="s">
        <v>13621</v>
      </c>
      <c r="G2262" s="159" t="s">
        <v>13649</v>
      </c>
      <c r="H2262" s="1287" t="s">
        <v>249</v>
      </c>
      <c r="I2262" s="152">
        <v>45331.0</v>
      </c>
      <c r="J2262" s="152">
        <v>45688.0</v>
      </c>
      <c r="K2262" s="68" t="s">
        <v>13641</v>
      </c>
      <c r="L2262" s="68" t="s">
        <v>13642</v>
      </c>
      <c r="M2262" s="159" t="s">
        <v>13624</v>
      </c>
      <c r="N2262" s="159" t="s">
        <v>13625</v>
      </c>
      <c r="O2262" s="129">
        <v>1.0</v>
      </c>
      <c r="P2262" s="159" t="str">
        <f t="shared" si="125"/>
        <v>10.1111--j.1475-4975.2007.00158.x.pdf</v>
      </c>
      <c r="Q2262" s="52" t="str">
        <f t="array" ref="Q2262"> if(iserror(MATCH(V2262, 'File Links'!C:C, 0)), "N/A", HYPERLINK(INDEX('File Links'!B:B, MATCH(P2262, 'File Links'!C:C, 0))))</f>
        <v>https://drive.google.com/file/d/1Mbtg5W4r7YUV6SqGN7Y6QssV1kBq9eYn/view?usp=drivesdk</v>
      </c>
      <c r="R2262" s="2028" t="s">
        <v>5028</v>
      </c>
      <c r="S2262" s="310" t="s">
        <v>5029</v>
      </c>
      <c r="T2262" s="310" t="s">
        <v>5030</v>
      </c>
      <c r="U2262" s="156">
        <v>15.0</v>
      </c>
      <c r="V2262" s="198" t="str">
        <f t="shared" si="123"/>
        <v>10.1007--s13164-018-0400-9.pdf</v>
      </c>
      <c r="W2262" s="1290" t="s">
        <v>5031</v>
      </c>
      <c r="X2262" s="54" t="str">
        <f t="array" ref="X2262"> if(iserror(MATCH(V2262, 'File Links'!C:C, 0)), "N/A", HYPERLINK(INDEX('File Links'!B:B, MATCH(V2262, 'File Links'!C:C, 0))))</f>
        <v>https://drive.google.com/file/d/1hjI3aqifdfXjWhQAlvKCKKtvjuncAn5M/view?usp=drivesdk</v>
      </c>
      <c r="Y2262" s="68"/>
      <c r="Z2262" s="159" t="s">
        <v>165</v>
      </c>
      <c r="AA2262" s="129" t="s">
        <v>138</v>
      </c>
      <c r="AB2262" s="159" t="s">
        <v>13650</v>
      </c>
      <c r="AC2262" s="68"/>
      <c r="AD2262" s="159" t="s">
        <v>13651</v>
      </c>
      <c r="AE2262" s="159" t="s">
        <v>13628</v>
      </c>
      <c r="AF2262" s="156">
        <v>307.0</v>
      </c>
      <c r="AG2262" s="159" t="s">
        <v>13652</v>
      </c>
      <c r="AH2262" s="159" t="s">
        <v>134</v>
      </c>
      <c r="AI2262" s="339" t="s">
        <v>627</v>
      </c>
      <c r="AJ2262" s="379">
        <v>0.001</v>
      </c>
      <c r="AK2262" s="57" t="s">
        <v>135</v>
      </c>
      <c r="AL2262" s="159" t="s">
        <v>186</v>
      </c>
      <c r="AM2262" s="57" t="s">
        <v>137</v>
      </c>
      <c r="AN2262" s="330" t="s">
        <v>138</v>
      </c>
      <c r="AO2262" s="156">
        <v>183.0</v>
      </c>
      <c r="AP2262" s="2034" t="s">
        <v>13653</v>
      </c>
      <c r="AQ2262" s="159" t="s">
        <v>134</v>
      </c>
      <c r="AR2262" s="159" t="s">
        <v>13631</v>
      </c>
      <c r="AS2262" s="156">
        <v>0.004</v>
      </c>
      <c r="AT2262" s="159" t="s">
        <v>172</v>
      </c>
      <c r="AU2262" s="159" t="s">
        <v>186</v>
      </c>
      <c r="AV2262" s="159" t="s">
        <v>137</v>
      </c>
      <c r="AW2262" s="1293" t="s">
        <v>13654</v>
      </c>
      <c r="AX2262" s="159" t="s">
        <v>143</v>
      </c>
      <c r="AY2262" s="61" t="str">
        <f>IFERROR(__xludf.DUMMYFUNCTION("vlookup(BB2262,importrange(""https://docs.google.com/spreadsheets/d/1d2vevQ_7D_v35q4wCQ4RpQ_IPoTwEMB9Yp6ymwlPqew/edit?gid=984458430#gid=984458430"", ""'replication success'!A:K""), 11, FAlSE)"),"successful")</f>
        <v>successful</v>
      </c>
      <c r="AZ2262" s="91" t="str">
        <f>IFERROR(__xludf.DUMMYFUNCTION("vlookup(BB2262,importrange(""https://docs.google.com/spreadsheets/d/1d2vevQ_7D_v35q4wCQ4RpQ_IPoTwEMB9Yp6ymwlPqew/edit?gid=984458430#gid=984458430"", ""'replication success'!A:M""), 12, FAlSE)"),"https://osf.io/4ewkh")</f>
        <v>https://osf.io/4ewkh</v>
      </c>
      <c r="BA2262" s="91" t="str">
        <f>IFERROR(__xludf.DUMMYFUNCTION("vlookup(BB2262,importrange(""https://docs.google.com/spreadsheets/d/1d2vevQ_7D_v35q4wCQ4RpQ_IPoTwEMB9Yp6ymwlPqew/edit?gid=984458430#gid=984458430"", ""'replication success'!A:M""), 13, FAlSE)"),"https://osf.io/4ewkh")</f>
        <v>https://osf.io/4ewkh</v>
      </c>
      <c r="BB2262" s="61" t="str">
        <f>IFERROR(__xludf.DUMMYFUNCTION("REGEXREPLACE(G2262, ""_[a-z]{1,2}$"", """")"),"XPHI15")</f>
        <v>XPHI15</v>
      </c>
      <c r="BD2262" s="154" t="s">
        <v>249</v>
      </c>
    </row>
    <row r="2263">
      <c r="A2263" s="44">
        <v>2263.0</v>
      </c>
      <c r="B2263" s="68" t="s">
        <v>114</v>
      </c>
      <c r="C2263" s="149" t="s">
        <v>115</v>
      </c>
      <c r="D2263" s="62" t="s">
        <v>1270</v>
      </c>
      <c r="F2263" s="129" t="s">
        <v>13621</v>
      </c>
      <c r="G2263" s="151" t="s">
        <v>13649</v>
      </c>
      <c r="H2263" s="1287" t="s">
        <v>5024</v>
      </c>
      <c r="I2263" s="152">
        <v>45670.0</v>
      </c>
      <c r="J2263" s="152">
        <v>45688.0</v>
      </c>
      <c r="K2263" s="68"/>
      <c r="L2263" s="68" t="s">
        <v>13642</v>
      </c>
      <c r="M2263" s="159" t="s">
        <v>13624</v>
      </c>
      <c r="N2263" s="159" t="s">
        <v>13625</v>
      </c>
      <c r="O2263" s="129">
        <v>1.0</v>
      </c>
      <c r="P2263" s="159" t="str">
        <f t="shared" si="125"/>
        <v>10.1111--j.1475-4975.2007.00158.x.pdf</v>
      </c>
      <c r="Q2263" s="52" t="str">
        <f t="array" ref="Q2263"> if(iserror(MATCH(V2263, 'File Links'!C:C, 0)), "N/A", HYPERLINK(INDEX('File Links'!B:B, MATCH(P2263, 'File Links'!C:C, 0))))</f>
        <v>https://drive.google.com/file/d/1Mbtg5W4r7YUV6SqGN7Y6QssV1kBq9eYn/view?usp=drivesdk</v>
      </c>
      <c r="R2263" s="2028" t="s">
        <v>5028</v>
      </c>
      <c r="S2263" s="310" t="s">
        <v>5029</v>
      </c>
      <c r="T2263" s="310" t="s">
        <v>5030</v>
      </c>
      <c r="U2263" s="156">
        <v>15.0</v>
      </c>
      <c r="V2263" s="198" t="str">
        <f t="shared" si="123"/>
        <v>10.1007--s13164-018-0400-9.pdf</v>
      </c>
      <c r="W2263" s="1290" t="s">
        <v>5031</v>
      </c>
      <c r="X2263" s="54" t="str">
        <f t="array" ref="X2263"> if(iserror(MATCH(V2263, 'File Links'!C:C, 0)), "N/A", HYPERLINK(INDEX('File Links'!B:B, MATCH(V2263, 'File Links'!C:C, 0))))</f>
        <v>https://drive.google.com/file/d/1hjI3aqifdfXjWhQAlvKCKKtvjuncAn5M/view?usp=drivesdk</v>
      </c>
      <c r="Y2263" s="68"/>
      <c r="Z2263" s="159" t="s">
        <v>165</v>
      </c>
      <c r="AA2263" s="129" t="s">
        <v>138</v>
      </c>
      <c r="AB2263" s="159" t="s">
        <v>13626</v>
      </c>
      <c r="AC2263" s="68"/>
      <c r="AD2263" s="159" t="s">
        <v>13655</v>
      </c>
      <c r="AE2263" s="159" t="s">
        <v>13628</v>
      </c>
      <c r="AF2263" s="156">
        <v>307.0</v>
      </c>
      <c r="AG2263" s="159" t="s">
        <v>13652</v>
      </c>
      <c r="AH2263" s="159" t="s">
        <v>134</v>
      </c>
      <c r="AI2263" s="339" t="s">
        <v>627</v>
      </c>
      <c r="AJ2263" s="379">
        <v>0.001</v>
      </c>
      <c r="AK2263" s="57" t="s">
        <v>135</v>
      </c>
      <c r="AL2263" s="159" t="s">
        <v>186</v>
      </c>
      <c r="AM2263" s="57" t="s">
        <v>137</v>
      </c>
      <c r="AN2263" s="330" t="s">
        <v>138</v>
      </c>
      <c r="AO2263" s="156">
        <v>183.0</v>
      </c>
      <c r="AP2263" s="2034" t="s">
        <v>13653</v>
      </c>
      <c r="AQ2263" s="159" t="s">
        <v>134</v>
      </c>
      <c r="AR2263" s="159" t="s">
        <v>13631</v>
      </c>
      <c r="AS2263" s="156">
        <v>0.004</v>
      </c>
      <c r="AT2263" s="159" t="s">
        <v>172</v>
      </c>
      <c r="AU2263" s="159" t="s">
        <v>186</v>
      </c>
      <c r="AV2263" s="159" t="s">
        <v>137</v>
      </c>
      <c r="AW2263" s="310" t="s">
        <v>13632</v>
      </c>
      <c r="AX2263" s="159" t="s">
        <v>143</v>
      </c>
      <c r="AY2263" s="61" t="str">
        <f>IFERROR(__xludf.DUMMYFUNCTION("vlookup(BB2263,importrange(""https://docs.google.com/spreadsheets/d/1d2vevQ_7D_v35q4wCQ4RpQ_IPoTwEMB9Yp6ymwlPqew/edit?gid=984458430#gid=984458430"", ""'replication success'!A:K""), 11, FAlSE)"),"successful")</f>
        <v>successful</v>
      </c>
      <c r="AZ2263" s="91" t="str">
        <f>IFERROR(__xludf.DUMMYFUNCTION("vlookup(BB2263,importrange(""https://docs.google.com/spreadsheets/d/1d2vevQ_7D_v35q4wCQ4RpQ_IPoTwEMB9Yp6ymwlPqew/edit?gid=984458430#gid=984458430"", ""'replication success'!A:M""), 12, FAlSE)"),"https://osf.io/4ewkh")</f>
        <v>https://osf.io/4ewkh</v>
      </c>
      <c r="BA2263" s="91" t="str">
        <f>IFERROR(__xludf.DUMMYFUNCTION("vlookup(BB2263,importrange(""https://docs.google.com/spreadsheets/d/1d2vevQ_7D_v35q4wCQ4RpQ_IPoTwEMB9Yp6ymwlPqew/edit?gid=984458430#gid=984458430"", ""'replication success'!A:M""), 13, FAlSE)"),"https://osf.io/4ewkh")</f>
        <v>https://osf.io/4ewkh</v>
      </c>
      <c r="BB2263" s="61" t="str">
        <f>IFERROR(__xludf.DUMMYFUNCTION("REGEXREPLACE(G2263, ""_[a-z]{1,2}$"", """")"),"XPHI15")</f>
        <v>XPHI15</v>
      </c>
      <c r="BD2263" s="154" t="s">
        <v>249</v>
      </c>
    </row>
    <row r="2264">
      <c r="A2264" s="44">
        <v>2264.0</v>
      </c>
      <c r="B2264" s="322" t="s">
        <v>4523</v>
      </c>
      <c r="C2264" s="149" t="s">
        <v>115</v>
      </c>
      <c r="D2264" s="62" t="s">
        <v>248</v>
      </c>
      <c r="F2264" s="129" t="s">
        <v>13621</v>
      </c>
      <c r="G2264" s="159" t="s">
        <v>13656</v>
      </c>
      <c r="H2264" s="1287" t="s">
        <v>249</v>
      </c>
      <c r="I2264" s="152">
        <v>45331.0</v>
      </c>
      <c r="J2264" s="152">
        <v>45688.0</v>
      </c>
      <c r="K2264" s="68" t="s">
        <v>13641</v>
      </c>
      <c r="L2264" s="68" t="s">
        <v>13642</v>
      </c>
      <c r="M2264" s="159" t="s">
        <v>13624</v>
      </c>
      <c r="N2264" s="159" t="s">
        <v>13625</v>
      </c>
      <c r="O2264" s="129">
        <v>1.0</v>
      </c>
      <c r="P2264" s="159" t="str">
        <f t="shared" si="125"/>
        <v>10.1111--j.1475-4975.2007.00158.x.pdf</v>
      </c>
      <c r="Q2264" s="52" t="str">
        <f t="array" ref="Q2264"> if(iserror(MATCH(V2264, 'File Links'!C:C, 0)), "N/A", HYPERLINK(INDEX('File Links'!B:B, MATCH(P2264, 'File Links'!C:C, 0))))</f>
        <v>https://drive.google.com/file/d/1Mbtg5W4r7YUV6SqGN7Y6QssV1kBq9eYn/view?usp=drivesdk</v>
      </c>
      <c r="R2264" s="2028" t="s">
        <v>5028</v>
      </c>
      <c r="S2264" s="310" t="s">
        <v>5029</v>
      </c>
      <c r="T2264" s="310" t="s">
        <v>5030</v>
      </c>
      <c r="U2264" s="156">
        <v>15.0</v>
      </c>
      <c r="V2264" s="198" t="str">
        <f t="shared" si="123"/>
        <v>10.1007--s13164-018-0400-9.pdf</v>
      </c>
      <c r="W2264" s="1290" t="s">
        <v>5031</v>
      </c>
      <c r="X2264" s="54" t="str">
        <f t="array" ref="X2264"> if(iserror(MATCH(V2264, 'File Links'!C:C, 0)), "N/A", HYPERLINK(INDEX('File Links'!B:B, MATCH(V2264, 'File Links'!C:C, 0))))</f>
        <v>https://drive.google.com/file/d/1hjI3aqifdfXjWhQAlvKCKKtvjuncAn5M/view?usp=drivesdk</v>
      </c>
      <c r="Y2264" s="68"/>
      <c r="Z2264" s="159" t="s">
        <v>165</v>
      </c>
      <c r="AA2264" s="129" t="s">
        <v>138</v>
      </c>
      <c r="AB2264" s="159" t="s">
        <v>13657</v>
      </c>
      <c r="AC2264" s="68"/>
      <c r="AD2264" s="159" t="s">
        <v>13658</v>
      </c>
      <c r="AE2264" s="159" t="s">
        <v>13628</v>
      </c>
      <c r="AF2264" s="156">
        <v>307.0</v>
      </c>
      <c r="AG2264" s="159" t="s">
        <v>13659</v>
      </c>
      <c r="AH2264" s="159" t="s">
        <v>134</v>
      </c>
      <c r="AI2264" s="339" t="s">
        <v>627</v>
      </c>
      <c r="AJ2264" s="379">
        <v>0.001</v>
      </c>
      <c r="AK2264" s="57" t="s">
        <v>135</v>
      </c>
      <c r="AL2264" s="159" t="s">
        <v>186</v>
      </c>
      <c r="AM2264" s="57" t="s">
        <v>137</v>
      </c>
      <c r="AN2264" s="330" t="s">
        <v>138</v>
      </c>
      <c r="AO2264" s="156">
        <v>183.0</v>
      </c>
      <c r="AP2264" s="2034" t="s">
        <v>13660</v>
      </c>
      <c r="AQ2264" s="159" t="s">
        <v>134</v>
      </c>
      <c r="AR2264" s="159" t="s">
        <v>13631</v>
      </c>
      <c r="AS2264" s="156">
        <v>0.001</v>
      </c>
      <c r="AT2264" s="159" t="s">
        <v>135</v>
      </c>
      <c r="AU2264" s="159" t="s">
        <v>186</v>
      </c>
      <c r="AV2264" s="159" t="s">
        <v>137</v>
      </c>
      <c r="AW2264" s="1293" t="s">
        <v>13661</v>
      </c>
      <c r="AX2264" s="159" t="s">
        <v>143</v>
      </c>
      <c r="AY2264" s="61" t="str">
        <f>IFERROR(__xludf.DUMMYFUNCTION("vlookup(BB2264,importrange(""https://docs.google.com/spreadsheets/d/1d2vevQ_7D_v35q4wCQ4RpQ_IPoTwEMB9Yp6ymwlPqew/edit?gid=984458430#gid=984458430"", ""'replication success'!A:K""), 11, FAlSE)"),"successful")</f>
        <v>successful</v>
      </c>
      <c r="AZ2264" s="91" t="str">
        <f>IFERROR(__xludf.DUMMYFUNCTION("vlookup(BB2264,importrange(""https://docs.google.com/spreadsheets/d/1d2vevQ_7D_v35q4wCQ4RpQ_IPoTwEMB9Yp6ymwlPqew/edit?gid=984458430#gid=984458430"", ""'replication success'!A:M""), 12, FAlSE)"),"https://osf.io/4ewkh")</f>
        <v>https://osf.io/4ewkh</v>
      </c>
      <c r="BA2264" s="91" t="str">
        <f>IFERROR(__xludf.DUMMYFUNCTION("vlookup(BB2264,importrange(""https://docs.google.com/spreadsheets/d/1d2vevQ_7D_v35q4wCQ4RpQ_IPoTwEMB9Yp6ymwlPqew/edit?gid=984458430#gid=984458430"", ""'replication success'!A:M""), 13, FAlSE)"),"https://osf.io/4ewkh")</f>
        <v>https://osf.io/4ewkh</v>
      </c>
      <c r="BB2264" s="61" t="str">
        <f>IFERROR(__xludf.DUMMYFUNCTION("REGEXREPLACE(G2264, ""_[a-z]{1,2}$"", """")"),"XPHI15")</f>
        <v>XPHI15</v>
      </c>
      <c r="BD2264" s="154" t="s">
        <v>249</v>
      </c>
    </row>
    <row r="2265">
      <c r="A2265" s="44">
        <v>2265.0</v>
      </c>
      <c r="B2265" s="154" t="s">
        <v>114</v>
      </c>
      <c r="C2265" s="149" t="s">
        <v>115</v>
      </c>
      <c r="D2265" s="62" t="s">
        <v>1270</v>
      </c>
      <c r="F2265" s="129" t="s">
        <v>13621</v>
      </c>
      <c r="G2265" s="151" t="s">
        <v>13656</v>
      </c>
      <c r="H2265" s="1287" t="s">
        <v>5024</v>
      </c>
      <c r="I2265" s="152">
        <v>45670.0</v>
      </c>
      <c r="J2265" s="152">
        <v>45688.0</v>
      </c>
      <c r="K2265" s="68"/>
      <c r="L2265" s="68" t="s">
        <v>13642</v>
      </c>
      <c r="M2265" s="159" t="s">
        <v>13624</v>
      </c>
      <c r="N2265" s="159" t="s">
        <v>13625</v>
      </c>
      <c r="O2265" s="129">
        <v>1.0</v>
      </c>
      <c r="P2265" s="159" t="str">
        <f t="shared" si="125"/>
        <v>10.1111--j.1475-4975.2007.00158.x.pdf</v>
      </c>
      <c r="Q2265" s="52" t="str">
        <f t="array" ref="Q2265"> if(iserror(MATCH(V2265, 'File Links'!C:C, 0)), "N/A", HYPERLINK(INDEX('File Links'!B:B, MATCH(P2265, 'File Links'!C:C, 0))))</f>
        <v>https://drive.google.com/file/d/1Mbtg5W4r7YUV6SqGN7Y6QssV1kBq9eYn/view?usp=drivesdk</v>
      </c>
      <c r="R2265" s="2028" t="s">
        <v>5028</v>
      </c>
      <c r="S2265" s="310" t="s">
        <v>5029</v>
      </c>
      <c r="T2265" s="310" t="s">
        <v>5030</v>
      </c>
      <c r="U2265" s="156">
        <v>15.0</v>
      </c>
      <c r="V2265" s="198" t="str">
        <f t="shared" si="123"/>
        <v>10.1007--s13164-018-0400-9.pdf</v>
      </c>
      <c r="W2265" s="1290" t="s">
        <v>5031</v>
      </c>
      <c r="X2265" s="54" t="str">
        <f t="array" ref="X2265"> if(iserror(MATCH(V2265, 'File Links'!C:C, 0)), "N/A", HYPERLINK(INDEX('File Links'!B:B, MATCH(V2265, 'File Links'!C:C, 0))))</f>
        <v>https://drive.google.com/file/d/1hjI3aqifdfXjWhQAlvKCKKtvjuncAn5M/view?usp=drivesdk</v>
      </c>
      <c r="Y2265" s="68"/>
      <c r="Z2265" s="159" t="s">
        <v>165</v>
      </c>
      <c r="AA2265" s="129" t="s">
        <v>138</v>
      </c>
      <c r="AB2265" s="159" t="s">
        <v>13626</v>
      </c>
      <c r="AC2265" s="68"/>
      <c r="AD2265" s="159" t="s">
        <v>13662</v>
      </c>
      <c r="AE2265" s="159" t="s">
        <v>13628</v>
      </c>
      <c r="AF2265" s="156">
        <v>307.0</v>
      </c>
      <c r="AG2265" s="159" t="s">
        <v>13659</v>
      </c>
      <c r="AH2265" s="159" t="s">
        <v>134</v>
      </c>
      <c r="AI2265" s="339" t="s">
        <v>627</v>
      </c>
      <c r="AJ2265" s="379">
        <v>0.001</v>
      </c>
      <c r="AK2265" s="57" t="s">
        <v>135</v>
      </c>
      <c r="AL2265" s="159" t="s">
        <v>186</v>
      </c>
      <c r="AM2265" s="57" t="s">
        <v>137</v>
      </c>
      <c r="AN2265" s="330" t="s">
        <v>138</v>
      </c>
      <c r="AO2265" s="156">
        <v>183.0</v>
      </c>
      <c r="AP2265" s="2034" t="s">
        <v>13660</v>
      </c>
      <c r="AQ2265" s="159" t="s">
        <v>134</v>
      </c>
      <c r="AR2265" s="159" t="s">
        <v>13631</v>
      </c>
      <c r="AS2265" s="156">
        <v>0.001</v>
      </c>
      <c r="AT2265" s="159" t="s">
        <v>135</v>
      </c>
      <c r="AU2265" s="159" t="s">
        <v>186</v>
      </c>
      <c r="AV2265" s="159" t="s">
        <v>137</v>
      </c>
      <c r="AW2265" s="310" t="s">
        <v>13632</v>
      </c>
      <c r="AX2265" s="159" t="s">
        <v>143</v>
      </c>
      <c r="AY2265" s="61" t="str">
        <f>IFERROR(__xludf.DUMMYFUNCTION("vlookup(BB2265,importrange(""https://docs.google.com/spreadsheets/d/1d2vevQ_7D_v35q4wCQ4RpQ_IPoTwEMB9Yp6ymwlPqew/edit?gid=984458430#gid=984458430"", ""'replication success'!A:K""), 11, FAlSE)"),"successful")</f>
        <v>successful</v>
      </c>
      <c r="AZ2265" s="91" t="str">
        <f>IFERROR(__xludf.DUMMYFUNCTION("vlookup(BB2265,importrange(""https://docs.google.com/spreadsheets/d/1d2vevQ_7D_v35q4wCQ4RpQ_IPoTwEMB9Yp6ymwlPqew/edit?gid=984458430#gid=984458430"", ""'replication success'!A:M""), 12, FAlSE)"),"https://osf.io/4ewkh")</f>
        <v>https://osf.io/4ewkh</v>
      </c>
      <c r="BA2265" s="91" t="str">
        <f>IFERROR(__xludf.DUMMYFUNCTION("vlookup(BB2265,importrange(""https://docs.google.com/spreadsheets/d/1d2vevQ_7D_v35q4wCQ4RpQ_IPoTwEMB9Yp6ymwlPqew/edit?gid=984458430#gid=984458430"", ""'replication success'!A:M""), 13, FAlSE)"),"https://osf.io/4ewkh")</f>
        <v>https://osf.io/4ewkh</v>
      </c>
      <c r="BB2265" s="61" t="str">
        <f>IFERROR(__xludf.DUMMYFUNCTION("REGEXREPLACE(G2265, ""_[a-z]{1,2}$"", """")"),"XPHI15")</f>
        <v>XPHI15</v>
      </c>
      <c r="BD2265" s="154" t="s">
        <v>249</v>
      </c>
    </row>
    <row r="2266">
      <c r="A2266" s="44">
        <v>2266.0</v>
      </c>
      <c r="B2266" s="322" t="s">
        <v>4523</v>
      </c>
      <c r="C2266" s="149" t="s">
        <v>115</v>
      </c>
      <c r="D2266" s="62" t="s">
        <v>1270</v>
      </c>
      <c r="F2266" s="129" t="s">
        <v>13621</v>
      </c>
      <c r="G2266" s="151" t="s">
        <v>13663</v>
      </c>
      <c r="H2266" s="1287" t="s">
        <v>5024</v>
      </c>
      <c r="I2266" s="152">
        <v>45670.0</v>
      </c>
      <c r="J2266" s="152">
        <v>45688.0</v>
      </c>
      <c r="K2266" s="68"/>
      <c r="L2266" s="68" t="s">
        <v>13642</v>
      </c>
      <c r="M2266" s="159" t="s">
        <v>13624</v>
      </c>
      <c r="N2266" s="159" t="s">
        <v>13625</v>
      </c>
      <c r="O2266" s="129">
        <v>1.0</v>
      </c>
      <c r="P2266" s="159" t="str">
        <f t="shared" si="125"/>
        <v>10.1111--j.1475-4975.2007.00158.x.pdf</v>
      </c>
      <c r="Q2266" s="52" t="str">
        <f t="array" ref="Q2266"> if(iserror(MATCH(V2266, 'File Links'!C:C, 0)), "N/A", HYPERLINK(INDEX('File Links'!B:B, MATCH(P2266, 'File Links'!C:C, 0))))</f>
        <v>https://drive.google.com/file/d/1Mbtg5W4r7YUV6SqGN7Y6QssV1kBq9eYn/view?usp=drivesdk</v>
      </c>
      <c r="R2266" s="2028" t="s">
        <v>5028</v>
      </c>
      <c r="S2266" s="310" t="s">
        <v>5029</v>
      </c>
      <c r="T2266" s="310" t="s">
        <v>5030</v>
      </c>
      <c r="U2266" s="156">
        <v>15.0</v>
      </c>
      <c r="V2266" s="198" t="str">
        <f t="shared" si="123"/>
        <v>10.1007--s13164-018-0400-9.pdf</v>
      </c>
      <c r="W2266" s="1290" t="s">
        <v>5031</v>
      </c>
      <c r="X2266" s="54" t="str">
        <f t="array" ref="X2266"> if(iserror(MATCH(V2266, 'File Links'!C:C, 0)), "N/A", HYPERLINK(INDEX('File Links'!B:B, MATCH(V2266, 'File Links'!C:C, 0))))</f>
        <v>https://drive.google.com/file/d/1hjI3aqifdfXjWhQAlvKCKKtvjuncAn5M/view?usp=drivesdk</v>
      </c>
      <c r="Y2266" s="68"/>
      <c r="Z2266" s="159" t="s">
        <v>165</v>
      </c>
      <c r="AA2266" s="129" t="s">
        <v>138</v>
      </c>
      <c r="AB2266" s="159" t="s">
        <v>13626</v>
      </c>
      <c r="AC2266" s="68"/>
      <c r="AD2266" s="159" t="s">
        <v>13664</v>
      </c>
      <c r="AE2266" s="159" t="s">
        <v>13628</v>
      </c>
      <c r="AF2266" s="156">
        <v>307.0</v>
      </c>
      <c r="AG2266" s="159" t="s">
        <v>13665</v>
      </c>
      <c r="AH2266" s="159" t="s">
        <v>134</v>
      </c>
      <c r="AI2266" s="339" t="s">
        <v>627</v>
      </c>
      <c r="AJ2266" s="379">
        <v>0.001</v>
      </c>
      <c r="AK2266" s="57" t="s">
        <v>135</v>
      </c>
      <c r="AL2266" s="159" t="s">
        <v>186</v>
      </c>
      <c r="AM2266" s="57" t="s">
        <v>137</v>
      </c>
      <c r="AN2266" s="330" t="s">
        <v>138</v>
      </c>
      <c r="AO2266" s="156">
        <v>183.0</v>
      </c>
      <c r="AP2266" s="2034" t="s">
        <v>13666</v>
      </c>
      <c r="AQ2266" s="159" t="s">
        <v>134</v>
      </c>
      <c r="AR2266" s="159" t="s">
        <v>13631</v>
      </c>
      <c r="AS2266" s="156">
        <v>0.001</v>
      </c>
      <c r="AT2266" s="159" t="s">
        <v>135</v>
      </c>
      <c r="AU2266" s="159" t="s">
        <v>186</v>
      </c>
      <c r="AV2266" s="159" t="s">
        <v>137</v>
      </c>
      <c r="AW2266" s="310" t="s">
        <v>13632</v>
      </c>
      <c r="AX2266" s="159" t="s">
        <v>143</v>
      </c>
      <c r="AY2266" s="61" t="str">
        <f>IFERROR(__xludf.DUMMYFUNCTION("vlookup(BB2266,importrange(""https://docs.google.com/spreadsheets/d/1d2vevQ_7D_v35q4wCQ4RpQ_IPoTwEMB9Yp6ymwlPqew/edit?gid=984458430#gid=984458430"", ""'replication success'!A:K""), 11, FAlSE)"),"successful")</f>
        <v>successful</v>
      </c>
      <c r="AZ2266" s="91" t="str">
        <f>IFERROR(__xludf.DUMMYFUNCTION("vlookup(BB2266,importrange(""https://docs.google.com/spreadsheets/d/1d2vevQ_7D_v35q4wCQ4RpQ_IPoTwEMB9Yp6ymwlPqew/edit?gid=984458430#gid=984458430"", ""'replication success'!A:M""), 12, FAlSE)"),"https://osf.io/4ewkh")</f>
        <v>https://osf.io/4ewkh</v>
      </c>
      <c r="BA2266" s="91" t="str">
        <f>IFERROR(__xludf.DUMMYFUNCTION("vlookup(BB2266,importrange(""https://docs.google.com/spreadsheets/d/1d2vevQ_7D_v35q4wCQ4RpQ_IPoTwEMB9Yp6ymwlPqew/edit?gid=984458430#gid=984458430"", ""'replication success'!A:M""), 13, FAlSE)"),"https://osf.io/4ewkh")</f>
        <v>https://osf.io/4ewkh</v>
      </c>
      <c r="BB2266" s="61" t="str">
        <f>IFERROR(__xludf.DUMMYFUNCTION("REGEXREPLACE(G2266, ""_[a-z]{1,2}$"", """")"),"XPHI15")</f>
        <v>XPHI15</v>
      </c>
      <c r="BD2266" s="154" t="s">
        <v>249</v>
      </c>
    </row>
    <row r="2267">
      <c r="A2267" s="44">
        <v>2267.0</v>
      </c>
      <c r="B2267" s="45" t="s">
        <v>152</v>
      </c>
      <c r="C2267" s="62" t="s">
        <v>115</v>
      </c>
      <c r="D2267" s="62" t="s">
        <v>1270</v>
      </c>
      <c r="F2267" s="1286" t="s">
        <v>13667</v>
      </c>
      <c r="G2267" s="159" t="s">
        <v>13668</v>
      </c>
      <c r="H2267" s="1287" t="s">
        <v>5024</v>
      </c>
      <c r="I2267" s="152">
        <v>45670.0</v>
      </c>
      <c r="J2267" s="153">
        <v>45716.0</v>
      </c>
      <c r="K2267" s="159" t="s">
        <v>13669</v>
      </c>
      <c r="L2267" s="129" t="s">
        <v>13670</v>
      </c>
      <c r="M2267" s="159" t="s">
        <v>13671</v>
      </c>
      <c r="N2267" s="159" t="s">
        <v>13672</v>
      </c>
      <c r="O2267" s="156">
        <v>1.0</v>
      </c>
      <c r="P2267" s="159" t="str">
        <f t="shared" si="125"/>
        <v>10.1111--j.1475-4975.2007.00150.x.pdf</v>
      </c>
      <c r="Q2267" s="52" t="str">
        <f t="array" ref="Q2267"> if(iserror(MATCH(V2267, 'File Links'!C:C, 0)), "N/A", HYPERLINK(INDEX('File Links'!B:B, MATCH(P2267, 'File Links'!C:C, 0))))</f>
        <v>https://drive.google.com/file/d/16qY0dLq9qys2p0JL-JepbP82uCNsmR0S/view?usp=drivesdk</v>
      </c>
      <c r="R2267" s="2028" t="s">
        <v>5028</v>
      </c>
      <c r="S2267" s="310" t="s">
        <v>5029</v>
      </c>
      <c r="T2267" s="2036" t="s">
        <v>13673</v>
      </c>
      <c r="U2267" s="156">
        <v>16.0</v>
      </c>
      <c r="V2267" s="159" t="str">
        <f t="shared" si="123"/>
        <v>10.1007--s13164-018-0400-9.pdf</v>
      </c>
      <c r="W2267" s="1290" t="s">
        <v>5031</v>
      </c>
      <c r="X2267" s="54" t="str">
        <f t="array" ref="X2267"> if(iserror(MATCH(V2267, 'File Links'!C:C, 0)), "N/A", HYPERLINK(INDEX('File Links'!B:B, MATCH(V2267, 'File Links'!C:C, 0))))</f>
        <v>https://drive.google.com/file/d/1hjI3aqifdfXjWhQAlvKCKKtvjuncAn5M/view?usp=drivesdk</v>
      </c>
      <c r="Y2267" s="68"/>
      <c r="Z2267" s="159" t="s">
        <v>165</v>
      </c>
      <c r="AA2267" s="129" t="s">
        <v>138</v>
      </c>
      <c r="AB2267" s="159" t="s">
        <v>13674</v>
      </c>
      <c r="AC2267" s="1370" t="s">
        <v>13675</v>
      </c>
      <c r="AD2267" s="159" t="s">
        <v>13676</v>
      </c>
      <c r="AE2267" s="159" t="s">
        <v>13677</v>
      </c>
      <c r="AF2267" s="156">
        <v>95.0</v>
      </c>
      <c r="AG2267" s="159" t="s">
        <v>13678</v>
      </c>
      <c r="AH2267" s="159" t="s">
        <v>173</v>
      </c>
      <c r="AI2267" s="151" t="s">
        <v>632</v>
      </c>
      <c r="AJ2267" s="379">
        <v>0.05</v>
      </c>
      <c r="AK2267" s="57" t="s">
        <v>135</v>
      </c>
      <c r="AL2267" s="159" t="s">
        <v>136</v>
      </c>
      <c r="AM2267" s="57" t="s">
        <v>137</v>
      </c>
      <c r="AN2267" s="151" t="s">
        <v>138</v>
      </c>
      <c r="AO2267" s="1292">
        <v>272.0</v>
      </c>
      <c r="AP2267" s="2034" t="s">
        <v>13679</v>
      </c>
      <c r="AQ2267" s="159" t="s">
        <v>173</v>
      </c>
      <c r="AR2267" s="690" t="s">
        <v>13680</v>
      </c>
      <c r="AS2267" s="156">
        <v>0.001</v>
      </c>
      <c r="AT2267" s="159" t="s">
        <v>135</v>
      </c>
      <c r="AU2267" s="1116" t="s">
        <v>218</v>
      </c>
      <c r="AV2267" s="159" t="s">
        <v>137</v>
      </c>
      <c r="AW2267" s="310" t="s">
        <v>13681</v>
      </c>
      <c r="AX2267" s="159" t="s">
        <v>143</v>
      </c>
      <c r="AY2267" s="61" t="str">
        <f>IFERROR(__xludf.DUMMYFUNCTION("vlookup(BB2267,importrange(""https://docs.google.com/spreadsheets/d/1d2vevQ_7D_v35q4wCQ4RpQ_IPoTwEMB9Yp6ymwlPqew/edit?gid=984458430#gid=984458430"", ""'replication success'!A:K""), 11, FAlSE)"),"successful")</f>
        <v>successful</v>
      </c>
      <c r="AZ2267" s="91" t="str">
        <f>IFERROR(__xludf.DUMMYFUNCTION("vlookup(BB2267,importrange(""https://docs.google.com/spreadsheets/d/1d2vevQ_7D_v35q4wCQ4RpQ_IPoTwEMB9Yp6ymwlPqew/edit?gid=984458430#gid=984458430"", ""'replication success'!A:M""), 12, FAlSE)"),"https://osf.io/4ewkh")</f>
        <v>https://osf.io/4ewkh</v>
      </c>
      <c r="BA2267" s="91" t="str">
        <f>IFERROR(__xludf.DUMMYFUNCTION("vlookup(BB2267,importrange(""https://docs.google.com/spreadsheets/d/1d2vevQ_7D_v35q4wCQ4RpQ_IPoTwEMB9Yp6ymwlPqew/edit?gid=984458430#gid=984458430"", ""'replication success'!A:M""), 13, FAlSE)"),"https://osf.io/4ewkh")</f>
        <v>https://osf.io/4ewkh</v>
      </c>
      <c r="BB2267" s="61" t="str">
        <f>IFERROR(__xludf.DUMMYFUNCTION("REGEXREPLACE(G2267, ""_[a-z]{1,2}$"", """")"),"XPHI16")</f>
        <v>XPHI16</v>
      </c>
      <c r="BD2267" s="68" t="s">
        <v>249</v>
      </c>
    </row>
    <row r="2268">
      <c r="A2268" s="44">
        <v>2268.0</v>
      </c>
      <c r="B2268" s="68" t="s">
        <v>114</v>
      </c>
      <c r="C2268" s="62" t="s">
        <v>115</v>
      </c>
      <c r="D2268" s="62" t="s">
        <v>248</v>
      </c>
      <c r="F2268" s="1286" t="s">
        <v>13667</v>
      </c>
      <c r="G2268" s="159" t="s">
        <v>13668</v>
      </c>
      <c r="H2268" s="1287" t="s">
        <v>249</v>
      </c>
      <c r="I2268" s="152">
        <v>45331.0</v>
      </c>
      <c r="J2268" s="153">
        <v>45716.0</v>
      </c>
      <c r="K2268" s="68"/>
      <c r="L2268" s="68"/>
      <c r="M2268" s="159" t="s">
        <v>13671</v>
      </c>
      <c r="N2268" s="159" t="s">
        <v>13672</v>
      </c>
      <c r="O2268" s="129">
        <v>1.0</v>
      </c>
      <c r="P2268" s="159" t="s">
        <v>13682</v>
      </c>
      <c r="Q2268" s="52" t="str">
        <f t="array" ref="Q2268"> if(iserror(MATCH(V2268, 'File Links'!C:C, 0)), "N/A", HYPERLINK(INDEX('File Links'!B:B, MATCH(P2268, 'File Links'!C:C, 0))))</f>
        <v>https://drive.google.com/file/d/16qY0dLq9qys2p0JL-JepbP82uCNsmR0S/view?usp=drivesdk</v>
      </c>
      <c r="R2268" s="2028" t="s">
        <v>5028</v>
      </c>
      <c r="S2268" s="159" t="s">
        <v>5029</v>
      </c>
      <c r="T2268" s="68"/>
      <c r="U2268" s="68"/>
      <c r="V2268" s="159" t="str">
        <f t="shared" si="123"/>
        <v>10.1007--s13164-018-0400-9.pdf</v>
      </c>
      <c r="W2268" s="1290" t="s">
        <v>5031</v>
      </c>
      <c r="X2268" s="54" t="str">
        <f t="array" ref="X2268"> if(iserror(MATCH(V2268, 'File Links'!C:C, 0)), "N/A", HYPERLINK(INDEX('File Links'!B:B, MATCH(V2268, 'File Links'!C:C, 0))))</f>
        <v>https://drive.google.com/file/d/1hjI3aqifdfXjWhQAlvKCKKtvjuncAn5M/view?usp=drivesdk</v>
      </c>
      <c r="Y2268" s="68"/>
      <c r="Z2268" s="159" t="s">
        <v>165</v>
      </c>
      <c r="AA2268" s="129" t="s">
        <v>138</v>
      </c>
      <c r="AB2268" s="159" t="s">
        <v>13674</v>
      </c>
      <c r="AC2268" s="68"/>
      <c r="AD2268" s="159" t="s">
        <v>13683</v>
      </c>
      <c r="AE2268" s="159" t="s">
        <v>13684</v>
      </c>
      <c r="AF2268" s="156">
        <v>95.0</v>
      </c>
      <c r="AG2268" s="156">
        <v>0.43</v>
      </c>
      <c r="AH2268" s="159" t="s">
        <v>173</v>
      </c>
      <c r="AI2268" s="339" t="s">
        <v>13685</v>
      </c>
      <c r="AJ2268" s="379">
        <v>0.05</v>
      </c>
      <c r="AK2268" s="57" t="s">
        <v>135</v>
      </c>
      <c r="AL2268" s="159" t="s">
        <v>136</v>
      </c>
      <c r="AM2268" s="1286" t="s">
        <v>137</v>
      </c>
      <c r="AN2268" s="151" t="s">
        <v>138</v>
      </c>
      <c r="AO2268" s="1292">
        <v>272.0</v>
      </c>
      <c r="AP2268" s="156">
        <v>0.57</v>
      </c>
      <c r="AQ2268" s="159" t="s">
        <v>173</v>
      </c>
      <c r="AR2268" s="159" t="s">
        <v>13686</v>
      </c>
      <c r="AS2268" s="156">
        <v>0.001</v>
      </c>
      <c r="AT2268" s="159" t="s">
        <v>135</v>
      </c>
      <c r="AU2268" s="1060" t="s">
        <v>136</v>
      </c>
      <c r="AV2268" s="154" t="s">
        <v>137</v>
      </c>
      <c r="AW2268" s="1293" t="s">
        <v>13687</v>
      </c>
      <c r="AX2268" s="154" t="s">
        <v>143</v>
      </c>
      <c r="AY2268" s="61" t="str">
        <f>IFERROR(__xludf.DUMMYFUNCTION("vlookup(BB2268,importrange(""https://docs.google.com/spreadsheets/d/1d2vevQ_7D_v35q4wCQ4RpQ_IPoTwEMB9Yp6ymwlPqew/edit?gid=984458430#gid=984458430"", ""'replication success'!A:K""), 11, FAlSE)"),"successful")</f>
        <v>successful</v>
      </c>
      <c r="AZ2268" s="91" t="str">
        <f>IFERROR(__xludf.DUMMYFUNCTION("vlookup(BB2268,importrange(""https://docs.google.com/spreadsheets/d/1d2vevQ_7D_v35q4wCQ4RpQ_IPoTwEMB9Yp6ymwlPqew/edit?gid=984458430#gid=984458430"", ""'replication success'!A:M""), 12, FAlSE)"),"https://osf.io/4ewkh")</f>
        <v>https://osf.io/4ewkh</v>
      </c>
      <c r="BA2268" s="91" t="str">
        <f>IFERROR(__xludf.DUMMYFUNCTION("vlookup(BB2268,importrange(""https://docs.google.com/spreadsheets/d/1d2vevQ_7D_v35q4wCQ4RpQ_IPoTwEMB9Yp6ymwlPqew/edit?gid=984458430#gid=984458430"", ""'replication success'!A:M""), 13, FAlSE)"),"https://osf.io/4ewkh")</f>
        <v>https://osf.io/4ewkh</v>
      </c>
      <c r="BB2268" s="61" t="str">
        <f>IFERROR(__xludf.DUMMYFUNCTION("REGEXREPLACE(G2268, ""_[a-z]{1,2}$"", """")"),"XPHI16")</f>
        <v>XPHI16</v>
      </c>
      <c r="BD2268" s="68" t="s">
        <v>249</v>
      </c>
    </row>
    <row r="2269">
      <c r="A2269" s="44">
        <v>2269.0</v>
      </c>
      <c r="B2269" s="68" t="s">
        <v>114</v>
      </c>
      <c r="C2269" s="62" t="s">
        <v>115</v>
      </c>
      <c r="D2269" s="62" t="s">
        <v>1270</v>
      </c>
      <c r="F2269" s="1286" t="s">
        <v>13688</v>
      </c>
      <c r="G2269" s="159" t="s">
        <v>13689</v>
      </c>
      <c r="H2269" s="1287" t="s">
        <v>5024</v>
      </c>
      <c r="I2269" s="152">
        <v>45674.0</v>
      </c>
      <c r="J2269" s="153">
        <v>45716.0</v>
      </c>
      <c r="K2269" s="159" t="s">
        <v>13690</v>
      </c>
      <c r="L2269" s="68"/>
      <c r="M2269" s="159" t="s">
        <v>5959</v>
      </c>
      <c r="N2269" s="159" t="s">
        <v>5960</v>
      </c>
      <c r="O2269" s="129">
        <v>1.0</v>
      </c>
      <c r="P2269" s="159" t="str">
        <f>SUBSTITUTE(LOWER(N2269), "/", "--") &amp;  ".pdf"</f>
        <v>10.1016--j.cognition.2007.11.004.pdf</v>
      </c>
      <c r="Q2269" s="52" t="str">
        <f t="array" ref="Q2269"> if(iserror(MATCH(V2269, 'File Links'!C:C, 0)), "N/A", HYPERLINK(INDEX('File Links'!B:B, MATCH(P2269, 'File Links'!C:C, 0))))</f>
        <v>https://drive.google.com/file/d/15WVNsHu4qw18Mufo3UCjKv6cq2gXORb0/view?usp=drivesdk</v>
      </c>
      <c r="R2269" s="2028" t="s">
        <v>5028</v>
      </c>
      <c r="S2269" s="310" t="s">
        <v>5029</v>
      </c>
      <c r="T2269" s="310" t="s">
        <v>5030</v>
      </c>
      <c r="U2269" s="156">
        <v>17.0</v>
      </c>
      <c r="V2269" s="159" t="str">
        <f t="shared" si="123"/>
        <v>10.1007--s13164-018-0400-9.pdf</v>
      </c>
      <c r="W2269" s="1290" t="s">
        <v>5031</v>
      </c>
      <c r="X2269" s="54" t="str">
        <f t="array" ref="X2269"> if(iserror(MATCH(V2269, 'File Links'!C:C, 0)), "N/A", HYPERLINK(INDEX('File Links'!B:B, MATCH(V2269, 'File Links'!C:C, 0))))</f>
        <v>https://drive.google.com/file/d/1hjI3aqifdfXjWhQAlvKCKKtvjuncAn5M/view?usp=drivesdk</v>
      </c>
      <c r="Y2269" s="68"/>
      <c r="Z2269" s="159" t="s">
        <v>165</v>
      </c>
      <c r="AA2269" s="129" t="s">
        <v>138</v>
      </c>
      <c r="AB2269" s="159" t="s">
        <v>13691</v>
      </c>
      <c r="AC2269" s="68"/>
      <c r="AD2269" s="159" t="s">
        <v>13692</v>
      </c>
      <c r="AE2269" s="159" t="s">
        <v>13693</v>
      </c>
      <c r="AF2269" s="156">
        <v>82.0</v>
      </c>
      <c r="AG2269" s="159" t="s">
        <v>5969</v>
      </c>
      <c r="AH2269" s="159" t="s">
        <v>134</v>
      </c>
      <c r="AI2269" s="339" t="s">
        <v>140</v>
      </c>
      <c r="AJ2269" s="379">
        <v>0.005</v>
      </c>
      <c r="AK2269" s="57" t="s">
        <v>172</v>
      </c>
      <c r="AL2269" s="159" t="s">
        <v>186</v>
      </c>
      <c r="AM2269" s="57" t="s">
        <v>137</v>
      </c>
      <c r="AN2269" s="151" t="s">
        <v>138</v>
      </c>
      <c r="AO2269" s="1292">
        <v>85.0</v>
      </c>
      <c r="AP2269" s="159" t="s">
        <v>13694</v>
      </c>
      <c r="AQ2269" s="159" t="s">
        <v>134</v>
      </c>
      <c r="AR2269" s="159" t="s">
        <v>5030</v>
      </c>
      <c r="AS2269" s="156">
        <v>0.27</v>
      </c>
      <c r="AT2269" s="159" t="s">
        <v>172</v>
      </c>
      <c r="AU2269" s="159" t="s">
        <v>186</v>
      </c>
      <c r="AV2269" s="159" t="s">
        <v>137</v>
      </c>
      <c r="AW2269" s="68"/>
      <c r="AX2269" s="159" t="s">
        <v>143</v>
      </c>
      <c r="AY2269" s="61" t="str">
        <f>IFERROR(__xludf.DUMMYFUNCTION("vlookup(BB2269,importrange(""https://docs.google.com/spreadsheets/d/1d2vevQ_7D_v35q4wCQ4RpQ_IPoTwEMB9Yp6ymwlPqew/edit?gid=984458430#gid=984458430"", ""'replication success'!A:K""), 11, FAlSE)"),"failed")</f>
        <v>failed</v>
      </c>
      <c r="AZ2269" s="91" t="str">
        <f>IFERROR(__xludf.DUMMYFUNCTION("vlookup(BB2269,importrange(""https://docs.google.com/spreadsheets/d/1d2vevQ_7D_v35q4wCQ4RpQ_IPoTwEMB9Yp6ymwlPqew/edit?gid=984458430#gid=984458430"", ""'replication success'!A:M""), 12, FAlSE)"),"https://osf.io/4ewkh")</f>
        <v>https://osf.io/4ewkh</v>
      </c>
      <c r="BA2269" s="91" t="str">
        <f>IFERROR(__xludf.DUMMYFUNCTION("vlookup(BB2269,importrange(""https://docs.google.com/spreadsheets/d/1d2vevQ_7D_v35q4wCQ4RpQ_IPoTwEMB9Yp6ymwlPqew/edit?gid=984458430#gid=984458430"", ""'replication success'!A:M""), 13, FAlSE)"),"https://osf.io/4ewkh")</f>
        <v>https://osf.io/4ewkh</v>
      </c>
      <c r="BB2269" s="61" t="str">
        <f>IFERROR(__xludf.DUMMYFUNCTION("REGEXREPLACE(G2269, ""_[a-z]{1,2}$"", """")"),"XPHI17")</f>
        <v>XPHI17</v>
      </c>
      <c r="BD2269" s="68" t="s">
        <v>249</v>
      </c>
    </row>
    <row r="2270">
      <c r="A2270" s="44">
        <v>2270.0</v>
      </c>
      <c r="B2270" s="45" t="s">
        <v>152</v>
      </c>
      <c r="C2270" s="62" t="s">
        <v>115</v>
      </c>
      <c r="D2270" s="62" t="s">
        <v>248</v>
      </c>
      <c r="F2270" s="1286" t="s">
        <v>13688</v>
      </c>
      <c r="G2270" s="159" t="s">
        <v>13689</v>
      </c>
      <c r="H2270" s="1287" t="s">
        <v>249</v>
      </c>
      <c r="I2270" s="152">
        <v>45331.0</v>
      </c>
      <c r="J2270" s="153">
        <v>45716.0</v>
      </c>
      <c r="K2270" s="159" t="s">
        <v>13695</v>
      </c>
      <c r="L2270" s="68"/>
      <c r="M2270" s="159" t="s">
        <v>5959</v>
      </c>
      <c r="N2270" s="159" t="s">
        <v>5960</v>
      </c>
      <c r="O2270" s="129">
        <v>1.0</v>
      </c>
      <c r="P2270" s="159" t="s">
        <v>13696</v>
      </c>
      <c r="Q2270" s="52" t="str">
        <f t="array" ref="Q2270"> if(iserror(MATCH(V2270, 'File Links'!C:C, 0)), "N/A", HYPERLINK(INDEX('File Links'!B:B, MATCH(P2270, 'File Links'!C:C, 0))))</f>
        <v>https://drive.google.com/file/d/15WVNsHu4qw18Mufo3UCjKv6cq2gXORb0/view?usp=drivesdk</v>
      </c>
      <c r="R2270" s="2028" t="s">
        <v>5028</v>
      </c>
      <c r="S2270" s="159" t="s">
        <v>5029</v>
      </c>
      <c r="T2270" s="310" t="s">
        <v>5030</v>
      </c>
      <c r="U2270" s="156">
        <v>17.0</v>
      </c>
      <c r="V2270" s="159" t="str">
        <f t="shared" si="123"/>
        <v>10.1007--s13164-018-0400-9.pdf</v>
      </c>
      <c r="W2270" s="1290" t="s">
        <v>5031</v>
      </c>
      <c r="X2270" s="54" t="str">
        <f t="array" ref="X2270"> if(iserror(MATCH(V2270, 'File Links'!C:C, 0)), "N/A", HYPERLINK(INDEX('File Links'!B:B, MATCH(V2270, 'File Links'!C:C, 0))))</f>
        <v>https://drive.google.com/file/d/1hjI3aqifdfXjWhQAlvKCKKtvjuncAn5M/view?usp=drivesdk</v>
      </c>
      <c r="Y2270" s="68"/>
      <c r="Z2270" s="159" t="s">
        <v>165</v>
      </c>
      <c r="AA2270" s="129" t="s">
        <v>138</v>
      </c>
      <c r="AB2270" s="159" t="s">
        <v>13691</v>
      </c>
      <c r="AC2270" s="1058" t="s">
        <v>13697</v>
      </c>
      <c r="AD2270" s="159" t="s">
        <v>13698</v>
      </c>
      <c r="AE2270" s="159" t="s">
        <v>13699</v>
      </c>
      <c r="AF2270" s="156">
        <v>82.0</v>
      </c>
      <c r="AG2270" s="159" t="s">
        <v>5969</v>
      </c>
      <c r="AH2270" s="159" t="s">
        <v>134</v>
      </c>
      <c r="AI2270" s="339" t="s">
        <v>13700</v>
      </c>
      <c r="AJ2270" s="379">
        <v>0.005</v>
      </c>
      <c r="AK2270" s="57" t="s">
        <v>172</v>
      </c>
      <c r="AL2270" s="159" t="s">
        <v>186</v>
      </c>
      <c r="AM2270" s="1286" t="s">
        <v>137</v>
      </c>
      <c r="AN2270" s="151" t="s">
        <v>138</v>
      </c>
      <c r="AO2270" s="1292">
        <v>85.0</v>
      </c>
      <c r="AP2270" s="159" t="s">
        <v>13694</v>
      </c>
      <c r="AQ2270" s="159" t="s">
        <v>134</v>
      </c>
      <c r="AR2270" s="159" t="s">
        <v>13701</v>
      </c>
      <c r="AS2270" s="156">
        <v>0.27</v>
      </c>
      <c r="AT2270" s="159" t="s">
        <v>172</v>
      </c>
      <c r="AU2270" s="159" t="s">
        <v>186</v>
      </c>
      <c r="AV2270" s="154" t="s">
        <v>137</v>
      </c>
      <c r="AW2270" s="1293" t="s">
        <v>13702</v>
      </c>
      <c r="AX2270" s="154" t="s">
        <v>143</v>
      </c>
      <c r="AY2270" s="61" t="str">
        <f>IFERROR(__xludf.DUMMYFUNCTION("vlookup(BB2270,importrange(""https://docs.google.com/spreadsheets/d/1d2vevQ_7D_v35q4wCQ4RpQ_IPoTwEMB9Yp6ymwlPqew/edit?gid=984458430#gid=984458430"", ""'replication success'!A:K""), 11, FAlSE)"),"failed")</f>
        <v>failed</v>
      </c>
      <c r="AZ2270" s="91" t="str">
        <f>IFERROR(__xludf.DUMMYFUNCTION("vlookup(BB2270,importrange(""https://docs.google.com/spreadsheets/d/1d2vevQ_7D_v35q4wCQ4RpQ_IPoTwEMB9Yp6ymwlPqew/edit?gid=984458430#gid=984458430"", ""'replication success'!A:M""), 12, FAlSE)"),"https://osf.io/4ewkh")</f>
        <v>https://osf.io/4ewkh</v>
      </c>
      <c r="BA2270" s="91" t="str">
        <f>IFERROR(__xludf.DUMMYFUNCTION("vlookup(BB2270,importrange(""https://docs.google.com/spreadsheets/d/1d2vevQ_7D_v35q4wCQ4RpQ_IPoTwEMB9Yp6ymwlPqew/edit?gid=984458430#gid=984458430"", ""'replication success'!A:M""), 13, FAlSE)"),"https://osf.io/4ewkh")</f>
        <v>https://osf.io/4ewkh</v>
      </c>
      <c r="BB2270" s="61" t="str">
        <f>IFERROR(__xludf.DUMMYFUNCTION("REGEXREPLACE(G2270, ""_[a-z]{1,2}$"", """")"),"XPHI17")</f>
        <v>XPHI17</v>
      </c>
      <c r="BD2270" s="68" t="s">
        <v>249</v>
      </c>
    </row>
    <row r="2271">
      <c r="A2271" s="44">
        <v>2271.0</v>
      </c>
      <c r="B2271" s="45" t="s">
        <v>152</v>
      </c>
      <c r="C2271" s="62" t="s">
        <v>115</v>
      </c>
      <c r="D2271" s="62" t="s">
        <v>1270</v>
      </c>
      <c r="F2271" s="1286" t="s">
        <v>13703</v>
      </c>
      <c r="G2271" s="159" t="s">
        <v>13704</v>
      </c>
      <c r="H2271" s="1287" t="s">
        <v>5024</v>
      </c>
      <c r="I2271" s="152">
        <v>45674.0</v>
      </c>
      <c r="J2271" s="153">
        <v>45716.0</v>
      </c>
      <c r="K2271" s="159" t="s">
        <v>13705</v>
      </c>
      <c r="L2271" s="68"/>
      <c r="M2271" s="159" t="s">
        <v>13706</v>
      </c>
      <c r="N2271" s="159" t="s">
        <v>13707</v>
      </c>
      <c r="O2271" s="129">
        <v>1.0</v>
      </c>
      <c r="P2271" s="159" t="str">
        <f>SUBSTITUTE(LOWER(N2271), "/", "--") &amp;  ".pdf"</f>
        <v>10.1080--09515080801978777.pdf</v>
      </c>
      <c r="Q2271" s="52" t="str">
        <f t="array" ref="Q2271"> if(iserror(MATCH(V2271, 'File Links'!C:C, 0)), "N/A", HYPERLINK(INDEX('File Links'!B:B, MATCH(P2271, 'File Links'!C:C, 0))))</f>
        <v>https://drive.google.com/file/d/1G4gv0ySakjef__T9l4MU6vM4mSqIKpQf/view?usp=drivesdk</v>
      </c>
      <c r="R2271" s="2028" t="s">
        <v>5028</v>
      </c>
      <c r="S2271" s="310" t="s">
        <v>5029</v>
      </c>
      <c r="T2271" s="310" t="s">
        <v>5030</v>
      </c>
      <c r="U2271" s="156">
        <v>18.0</v>
      </c>
      <c r="V2271" s="159" t="str">
        <f t="shared" si="123"/>
        <v>10.1007--s13164-018-0400-9.pdf</v>
      </c>
      <c r="W2271" s="1290" t="s">
        <v>5031</v>
      </c>
      <c r="X2271" s="54" t="str">
        <f t="array" ref="X2271"> if(iserror(MATCH(V2271, 'File Links'!C:C, 0)), "N/A", HYPERLINK(INDEX('File Links'!B:B, MATCH(V2271, 'File Links'!C:C, 0))))</f>
        <v>https://drive.google.com/file/d/1hjI3aqifdfXjWhQAlvKCKKtvjuncAn5M/view?usp=drivesdk</v>
      </c>
      <c r="Y2271" s="68"/>
      <c r="Z2271" s="159" t="s">
        <v>165</v>
      </c>
      <c r="AA2271" s="129" t="s">
        <v>138</v>
      </c>
      <c r="AB2271" s="159" t="s">
        <v>13708</v>
      </c>
      <c r="AC2271" s="1058" t="s">
        <v>13709</v>
      </c>
      <c r="AD2271" s="159" t="s">
        <v>13710</v>
      </c>
      <c r="AE2271" s="159" t="s">
        <v>13711</v>
      </c>
      <c r="AF2271" s="156">
        <v>44.0</v>
      </c>
      <c r="AG2271" s="129" t="s">
        <v>138</v>
      </c>
      <c r="AH2271" s="167" t="s">
        <v>138</v>
      </c>
      <c r="AI2271" s="151" t="s">
        <v>138</v>
      </c>
      <c r="AJ2271" s="379">
        <v>0.05</v>
      </c>
      <c r="AK2271" s="57" t="s">
        <v>135</v>
      </c>
      <c r="AL2271" s="159" t="s">
        <v>186</v>
      </c>
      <c r="AM2271" s="57" t="s">
        <v>137</v>
      </c>
      <c r="AN2271" s="151" t="s">
        <v>138</v>
      </c>
      <c r="AO2271" s="1292">
        <v>252.0</v>
      </c>
      <c r="AP2271" s="2034" t="s">
        <v>13712</v>
      </c>
      <c r="AQ2271" s="159" t="s">
        <v>173</v>
      </c>
      <c r="AR2271" s="159" t="s">
        <v>5030</v>
      </c>
      <c r="AS2271" s="156">
        <v>0.001</v>
      </c>
      <c r="AT2271" s="159" t="s">
        <v>135</v>
      </c>
      <c r="AU2271" s="159" t="s">
        <v>186</v>
      </c>
      <c r="AV2271" s="159" t="s">
        <v>137</v>
      </c>
      <c r="AW2271" s="310" t="s">
        <v>13713</v>
      </c>
      <c r="AX2271" s="159" t="s">
        <v>143</v>
      </c>
      <c r="AY2271" s="61" t="str">
        <f>IFERROR(__xludf.DUMMYFUNCTION("vlookup(BB2271,importrange(""https://docs.google.com/spreadsheets/d/1d2vevQ_7D_v35q4wCQ4RpQ_IPoTwEMB9Yp6ymwlPqew/edit?gid=984458430#gid=984458430"", ""'replication success'!A:K""), 11, FAlSE)"),"successful")</f>
        <v>successful</v>
      </c>
      <c r="AZ2271" s="91" t="str">
        <f>IFERROR(__xludf.DUMMYFUNCTION("vlookup(BB2271,importrange(""https://docs.google.com/spreadsheets/d/1d2vevQ_7D_v35q4wCQ4RpQ_IPoTwEMB9Yp6ymwlPqew/edit?gid=984458430#gid=984458430"", ""'replication success'!A:M""), 12, FAlSE)"),"https://osf.io/4ewkh")</f>
        <v>https://osf.io/4ewkh</v>
      </c>
      <c r="BA2271" s="91" t="str">
        <f>IFERROR(__xludf.DUMMYFUNCTION("vlookup(BB2271,importrange(""https://docs.google.com/spreadsheets/d/1d2vevQ_7D_v35q4wCQ4RpQ_IPoTwEMB9Yp6ymwlPqew/edit?gid=984458430#gid=984458430"", ""'replication success'!A:M""), 13, FAlSE)"),"https://osf.io/4ewkh")</f>
        <v>https://osf.io/4ewkh</v>
      </c>
      <c r="BB2271" s="61" t="str">
        <f>IFERROR(__xludf.DUMMYFUNCTION("REGEXREPLACE(G2271, ""_[a-z]{1,2}$"", """")"),"XPHI18")</f>
        <v>XPHI18</v>
      </c>
      <c r="BD2271" s="68" t="s">
        <v>249</v>
      </c>
    </row>
    <row r="2272">
      <c r="A2272" s="44">
        <v>2272.0</v>
      </c>
      <c r="B2272" s="154" t="s">
        <v>114</v>
      </c>
      <c r="C2272" s="62" t="s">
        <v>115</v>
      </c>
      <c r="D2272" s="62" t="s">
        <v>248</v>
      </c>
      <c r="F2272" s="1286" t="s">
        <v>13703</v>
      </c>
      <c r="G2272" s="159" t="s">
        <v>13704</v>
      </c>
      <c r="H2272" s="1287" t="s">
        <v>249</v>
      </c>
      <c r="I2272" s="152">
        <v>45331.0</v>
      </c>
      <c r="J2272" s="153">
        <v>45716.0</v>
      </c>
      <c r="K2272" s="159" t="s">
        <v>13705</v>
      </c>
      <c r="L2272" s="68"/>
      <c r="M2272" s="159" t="s">
        <v>13706</v>
      </c>
      <c r="N2272" s="159" t="s">
        <v>13707</v>
      </c>
      <c r="O2272" s="129">
        <v>1.0</v>
      </c>
      <c r="P2272" s="159" t="s">
        <v>13714</v>
      </c>
      <c r="Q2272" s="52" t="str">
        <f t="array" ref="Q2272"> if(iserror(MATCH(V2272, 'File Links'!C:C, 0)), "N/A", HYPERLINK(INDEX('File Links'!B:B, MATCH(P2272, 'File Links'!C:C, 0))))</f>
        <v>https://drive.google.com/file/d/1G4gv0ySakjef__T9l4MU6vM4mSqIKpQf/view?usp=drivesdk</v>
      </c>
      <c r="R2272" s="2028" t="s">
        <v>5028</v>
      </c>
      <c r="S2272" s="159" t="s">
        <v>5029</v>
      </c>
      <c r="T2272" s="68"/>
      <c r="U2272" s="68"/>
      <c r="V2272" s="159" t="str">
        <f t="shared" si="123"/>
        <v>10.1007--s13164-018-0400-9.pdf</v>
      </c>
      <c r="W2272" s="1290" t="s">
        <v>5031</v>
      </c>
      <c r="X2272" s="54" t="str">
        <f t="array" ref="X2272"> if(iserror(MATCH(V2272, 'File Links'!C:C, 0)), "N/A", HYPERLINK(INDEX('File Links'!B:B, MATCH(V2272, 'File Links'!C:C, 0))))</f>
        <v>https://drive.google.com/file/d/1hjI3aqifdfXjWhQAlvKCKKtvjuncAn5M/view?usp=drivesdk</v>
      </c>
      <c r="Y2272" s="68"/>
      <c r="Z2272" s="159" t="s">
        <v>165</v>
      </c>
      <c r="AA2272" s="129" t="s">
        <v>138</v>
      </c>
      <c r="AB2272" s="159" t="s">
        <v>13715</v>
      </c>
      <c r="AC2272" s="68"/>
      <c r="AD2272" s="159" t="s">
        <v>13716</v>
      </c>
      <c r="AE2272" s="159" t="s">
        <v>13717</v>
      </c>
      <c r="AF2272" s="156">
        <v>44.0</v>
      </c>
      <c r="AG2272" s="159" t="s">
        <v>138</v>
      </c>
      <c r="AH2272" s="167" t="s">
        <v>138</v>
      </c>
      <c r="AI2272" s="339" t="s">
        <v>138</v>
      </c>
      <c r="AJ2272" s="379">
        <v>0.05</v>
      </c>
      <c r="AK2272" s="57" t="s">
        <v>135</v>
      </c>
      <c r="AL2272" s="159" t="s">
        <v>186</v>
      </c>
      <c r="AM2272" s="1286" t="s">
        <v>137</v>
      </c>
      <c r="AN2272" s="151" t="s">
        <v>138</v>
      </c>
      <c r="AO2272" s="1292">
        <v>252.0</v>
      </c>
      <c r="AP2272" s="156">
        <v>0.67</v>
      </c>
      <c r="AQ2272" s="159" t="s">
        <v>173</v>
      </c>
      <c r="AR2272" s="68"/>
      <c r="AS2272" s="156">
        <v>0.001</v>
      </c>
      <c r="AT2272" s="159" t="s">
        <v>135</v>
      </c>
      <c r="AU2272" s="159" t="s">
        <v>186</v>
      </c>
      <c r="AV2272" s="154" t="s">
        <v>137</v>
      </c>
      <c r="AW2272" s="1293" t="s">
        <v>13718</v>
      </c>
      <c r="AX2272" s="154" t="s">
        <v>143</v>
      </c>
      <c r="AY2272" s="61" t="str">
        <f>IFERROR(__xludf.DUMMYFUNCTION("vlookup(BB2272,importrange(""https://docs.google.com/spreadsheets/d/1d2vevQ_7D_v35q4wCQ4RpQ_IPoTwEMB9Yp6ymwlPqew/edit?gid=984458430#gid=984458430"", ""'replication success'!A:K""), 11, FAlSE)"),"successful")</f>
        <v>successful</v>
      </c>
      <c r="AZ2272" s="91" t="str">
        <f>IFERROR(__xludf.DUMMYFUNCTION("vlookup(BB2272,importrange(""https://docs.google.com/spreadsheets/d/1d2vevQ_7D_v35q4wCQ4RpQ_IPoTwEMB9Yp6ymwlPqew/edit?gid=984458430#gid=984458430"", ""'replication success'!A:M""), 12, FAlSE)"),"https://osf.io/4ewkh")</f>
        <v>https://osf.io/4ewkh</v>
      </c>
      <c r="BA2272" s="91" t="str">
        <f>IFERROR(__xludf.DUMMYFUNCTION("vlookup(BB2272,importrange(""https://docs.google.com/spreadsheets/d/1d2vevQ_7D_v35q4wCQ4RpQ_IPoTwEMB9Yp6ymwlPqew/edit?gid=984458430#gid=984458430"", ""'replication success'!A:M""), 13, FAlSE)"),"https://osf.io/4ewkh")</f>
        <v>https://osf.io/4ewkh</v>
      </c>
      <c r="BB2272" s="61" t="str">
        <f>IFERROR(__xludf.DUMMYFUNCTION("REGEXREPLACE(G2272, ""_[a-z]{1,2}$"", """")"),"XPHI18")</f>
        <v>XPHI18</v>
      </c>
      <c r="BD2272" s="68" t="s">
        <v>249</v>
      </c>
    </row>
    <row r="2273">
      <c r="A2273" s="44">
        <v>2273.0</v>
      </c>
      <c r="B2273" s="45" t="s">
        <v>590</v>
      </c>
      <c r="C2273" s="62" t="s">
        <v>115</v>
      </c>
      <c r="D2273" s="62" t="s">
        <v>248</v>
      </c>
      <c r="F2273" s="1286" t="s">
        <v>13719</v>
      </c>
      <c r="G2273" s="159" t="s">
        <v>13720</v>
      </c>
      <c r="H2273" s="1287" t="s">
        <v>249</v>
      </c>
      <c r="I2273" s="152">
        <v>45331.0</v>
      </c>
      <c r="J2273" s="153">
        <v>45716.0</v>
      </c>
      <c r="K2273" s="154" t="s">
        <v>13601</v>
      </c>
      <c r="L2273" s="159" t="s">
        <v>13562</v>
      </c>
      <c r="M2273" s="159" t="s">
        <v>13721</v>
      </c>
      <c r="N2273" s="159" t="s">
        <v>13722</v>
      </c>
      <c r="O2273" s="129">
        <v>1.0</v>
      </c>
      <c r="P2273" s="159" t="s">
        <v>13723</v>
      </c>
      <c r="Q2273" s="52" t="str">
        <f t="array" ref="Q2273"> if(iserror(MATCH(V2273, 'File Links'!C:C, 0)), "N/A", HYPERLINK(INDEX('File Links'!B:B, MATCH(P2273, 'File Links'!C:C, 0))))</f>
        <v>https://drive.google.com/file/d/1esh5oqCpj4F374ZeOWGrHgAoZG4Cbaxf/view?usp=drivesdk</v>
      </c>
      <c r="R2273" s="2028" t="s">
        <v>5028</v>
      </c>
      <c r="S2273" s="159" t="s">
        <v>5029</v>
      </c>
      <c r="T2273" s="68"/>
      <c r="U2273" s="68"/>
      <c r="V2273" s="159" t="str">
        <f t="shared" si="123"/>
        <v>10.1007--s13164-018-0400-9.pdf</v>
      </c>
      <c r="W2273" s="1290" t="s">
        <v>5031</v>
      </c>
      <c r="X2273" s="54" t="str">
        <f t="array" ref="X2273"> if(iserror(MATCH(V2273, 'File Links'!C:C, 0)), "N/A", HYPERLINK(INDEX('File Links'!B:B, MATCH(V2273, 'File Links'!C:C, 0))))</f>
        <v>https://drive.google.com/file/d/1hjI3aqifdfXjWhQAlvKCKKtvjuncAn5M/view?usp=drivesdk</v>
      </c>
      <c r="Y2273" s="68"/>
      <c r="Z2273" s="159" t="s">
        <v>165</v>
      </c>
      <c r="AA2273" s="129" t="s">
        <v>138</v>
      </c>
      <c r="AB2273" s="159" t="s">
        <v>5041</v>
      </c>
      <c r="AC2273" s="68"/>
      <c r="AD2273" s="159" t="s">
        <v>13724</v>
      </c>
      <c r="AE2273" s="159" t="s">
        <v>13725</v>
      </c>
      <c r="AF2273" s="156">
        <v>85.0</v>
      </c>
      <c r="AG2273" s="156">
        <v>0.3</v>
      </c>
      <c r="AH2273" s="159" t="s">
        <v>271</v>
      </c>
      <c r="AI2273" s="339" t="s">
        <v>13726</v>
      </c>
      <c r="AJ2273" s="379">
        <v>0.005</v>
      </c>
      <c r="AK2273" s="57" t="s">
        <v>172</v>
      </c>
      <c r="AL2273" s="159" t="s">
        <v>186</v>
      </c>
      <c r="AM2273" s="1286" t="s">
        <v>137</v>
      </c>
      <c r="AN2273" s="151" t="s">
        <v>138</v>
      </c>
      <c r="AO2273" s="1292">
        <v>150.0</v>
      </c>
      <c r="AP2273" s="156">
        <v>0.002</v>
      </c>
      <c r="AQ2273" s="159" t="s">
        <v>271</v>
      </c>
      <c r="AR2273" s="159" t="s">
        <v>13727</v>
      </c>
      <c r="AS2273" s="156">
        <v>0.05</v>
      </c>
      <c r="AT2273" s="159" t="s">
        <v>172</v>
      </c>
      <c r="AU2273" s="159" t="s">
        <v>186</v>
      </c>
      <c r="AV2273" s="154" t="s">
        <v>137</v>
      </c>
      <c r="AW2273" s="1293" t="s">
        <v>13728</v>
      </c>
      <c r="AX2273" s="154" t="s">
        <v>143</v>
      </c>
      <c r="AY2273" s="61" t="str">
        <f>IFERROR(__xludf.DUMMYFUNCTION("vlookup(BB2273,importrange(""https://docs.google.com/spreadsheets/d/1d2vevQ_7D_v35q4wCQ4RpQ_IPoTwEMB9Yp6ymwlPqew/edit?gid=984458430#gid=984458430"", ""'replication success'!A:K""), 11, FAlSE)"),"#N/A")</f>
        <v>#N/A</v>
      </c>
      <c r="AZ2273" s="61" t="str">
        <f>IFERROR(__xludf.DUMMYFUNCTION("vlookup(BB2273,importrange(""https://docs.google.com/spreadsheets/d/1d2vevQ_7D_v35q4wCQ4RpQ_IPoTwEMB9Yp6ymwlPqew/edit?gid=984458430#gid=984458430"", ""'replication success'!A:M""), 12, FAlSE)"),"#N/A")</f>
        <v>#N/A</v>
      </c>
      <c r="BA2273" s="61" t="str">
        <f>IFERROR(__xludf.DUMMYFUNCTION("vlookup(BB2273,importrange(""https://docs.google.com/spreadsheets/d/1d2vevQ_7D_v35q4wCQ4RpQ_IPoTwEMB9Yp6ymwlPqew/edit?gid=984458430#gid=984458430"", ""'replication success'!A:M""), 13, FAlSE)"),"#N/A")</f>
        <v>#N/A</v>
      </c>
      <c r="BB2273" s="61" t="str">
        <f>IFERROR(__xludf.DUMMYFUNCTION("REGEXREPLACE(G2273, ""_[a-z]{1,2}$"", """")"),"XPHI19")</f>
        <v>XPHI19</v>
      </c>
      <c r="BD2273" s="68" t="s">
        <v>249</v>
      </c>
      <c r="BE2273" s="1783"/>
      <c r="BF2273" s="1783"/>
      <c r="BG2273" s="1783"/>
      <c r="BH2273" s="1783"/>
      <c r="BI2273" s="1783"/>
      <c r="BJ2273" s="1783"/>
      <c r="BK2273" s="1783"/>
      <c r="BL2273" s="1783"/>
      <c r="BM2273" s="1783"/>
      <c r="BN2273" s="1783"/>
      <c r="BO2273" s="1783"/>
      <c r="BP2273" s="1783"/>
      <c r="BQ2273" s="1783"/>
      <c r="BR2273" s="1783"/>
      <c r="BS2273" s="1783"/>
      <c r="BT2273" s="1783"/>
      <c r="BU2273" s="1783"/>
      <c r="BV2273" s="1783"/>
      <c r="BW2273" s="1783"/>
      <c r="BX2273" s="1783"/>
      <c r="BY2273" s="1783"/>
      <c r="BZ2273" s="1783"/>
      <c r="CA2273" s="1783"/>
      <c r="CB2273" s="1783"/>
      <c r="CC2273" s="1783"/>
      <c r="CD2273" s="1783"/>
      <c r="CE2273" s="1783"/>
      <c r="CF2273" s="1783"/>
      <c r="CG2273" s="1783"/>
      <c r="CH2273" s="1783"/>
      <c r="CI2273" s="1783"/>
      <c r="CJ2273" s="1783"/>
      <c r="CK2273" s="1783"/>
      <c r="CL2273" s="1783"/>
      <c r="CM2273" s="1783"/>
      <c r="CN2273" s="1783"/>
      <c r="CO2273" s="1783"/>
      <c r="CP2273" s="1783"/>
      <c r="CQ2273" s="1783"/>
      <c r="CR2273" s="1783"/>
      <c r="CS2273" s="1783"/>
      <c r="CT2273" s="1783"/>
      <c r="CU2273" s="1783"/>
      <c r="CV2273" s="1783"/>
      <c r="CW2273" s="1783"/>
      <c r="CX2273" s="1783"/>
      <c r="CY2273" s="1783"/>
      <c r="CZ2273" s="1783"/>
      <c r="DA2273" s="1783"/>
      <c r="DB2273" s="1783"/>
      <c r="DC2273" s="1783"/>
      <c r="DD2273" s="1783"/>
      <c r="DE2273" s="1783"/>
      <c r="DF2273" s="1783"/>
      <c r="DG2273" s="1783"/>
      <c r="DH2273" s="1783"/>
      <c r="DI2273" s="1783"/>
      <c r="DJ2273" s="1783"/>
      <c r="DK2273" s="1783"/>
      <c r="DL2273" s="1783"/>
    </row>
    <row r="2274">
      <c r="A2274" s="44">
        <v>2274.0</v>
      </c>
      <c r="B2274" s="45" t="s">
        <v>590</v>
      </c>
      <c r="C2274" s="62" t="s">
        <v>115</v>
      </c>
      <c r="D2274" s="62" t="s">
        <v>248</v>
      </c>
      <c r="F2274" s="1286" t="s">
        <v>13729</v>
      </c>
      <c r="G2274" s="159" t="s">
        <v>13730</v>
      </c>
      <c r="H2274" s="1287" t="s">
        <v>249</v>
      </c>
      <c r="I2274" s="152">
        <v>45331.0</v>
      </c>
      <c r="J2274" s="153">
        <v>45716.0</v>
      </c>
      <c r="K2274" s="154" t="s">
        <v>13601</v>
      </c>
      <c r="L2274" s="159" t="s">
        <v>13562</v>
      </c>
      <c r="M2274" s="159" t="s">
        <v>13731</v>
      </c>
      <c r="N2274" s="159" t="s">
        <v>13732</v>
      </c>
      <c r="O2274" s="156">
        <v>1.0</v>
      </c>
      <c r="P2274" s="159" t="s">
        <v>13733</v>
      </c>
      <c r="Q2274" s="52" t="str">
        <f t="array" ref="Q2274"> if(iserror(MATCH(V2274, 'File Links'!C:C, 0)), "N/A", HYPERLINK(INDEX('File Links'!B:B, MATCH(P2274, 'File Links'!C:C, 0))))</f>
        <v>https://drive.google.com/file/d/1NZ8v6491Ny_LbUh8osKtj88hF7RAiobW/view?usp=drivesdk</v>
      </c>
      <c r="R2274" s="2028" t="s">
        <v>5028</v>
      </c>
      <c r="S2274" s="159" t="s">
        <v>5029</v>
      </c>
      <c r="T2274" s="68"/>
      <c r="U2274" s="68"/>
      <c r="V2274" s="159" t="str">
        <f t="shared" si="123"/>
        <v>10.1007--s13164-018-0400-9.pdf</v>
      </c>
      <c r="W2274" s="1290" t="s">
        <v>5031</v>
      </c>
      <c r="X2274" s="54" t="str">
        <f t="array" ref="X2274"> if(iserror(MATCH(V2274, 'File Links'!C:C, 0)), "N/A", HYPERLINK(INDEX('File Links'!B:B, MATCH(V2274, 'File Links'!C:C, 0))))</f>
        <v>https://drive.google.com/file/d/1hjI3aqifdfXjWhQAlvKCKKtvjuncAn5M/view?usp=drivesdk</v>
      </c>
      <c r="Y2274" s="68"/>
      <c r="Z2274" s="159" t="s">
        <v>165</v>
      </c>
      <c r="AA2274" s="129" t="s">
        <v>138</v>
      </c>
      <c r="AB2274" s="159" t="s">
        <v>5041</v>
      </c>
      <c r="AC2274" s="159" t="s">
        <v>13734</v>
      </c>
      <c r="AD2274" s="154" t="s">
        <v>13735</v>
      </c>
      <c r="AE2274" s="159" t="s">
        <v>13736</v>
      </c>
      <c r="AF2274" s="156">
        <v>37.0</v>
      </c>
      <c r="AG2274" s="156">
        <v>0.46</v>
      </c>
      <c r="AH2274" s="159" t="s">
        <v>271</v>
      </c>
      <c r="AI2274" s="339" t="s">
        <v>13737</v>
      </c>
      <c r="AJ2274" s="379">
        <v>0.01</v>
      </c>
      <c r="AK2274" s="57" t="s">
        <v>135</v>
      </c>
      <c r="AL2274" s="159" t="s">
        <v>186</v>
      </c>
      <c r="AM2274" s="1286" t="s">
        <v>137</v>
      </c>
      <c r="AN2274" s="151" t="s">
        <v>138</v>
      </c>
      <c r="AO2274" s="1292">
        <v>145.0</v>
      </c>
      <c r="AP2274" s="156">
        <v>0.6</v>
      </c>
      <c r="AQ2274" s="159" t="s">
        <v>271</v>
      </c>
      <c r="AR2274" s="151" t="s">
        <v>13738</v>
      </c>
      <c r="AS2274" s="156">
        <v>0.001</v>
      </c>
      <c r="AT2274" s="159" t="s">
        <v>135</v>
      </c>
      <c r="AU2274" s="159" t="s">
        <v>186</v>
      </c>
      <c r="AV2274" s="154" t="s">
        <v>137</v>
      </c>
      <c r="AW2274" s="680" t="s">
        <v>13739</v>
      </c>
      <c r="AX2274" s="154" t="s">
        <v>143</v>
      </c>
      <c r="AY2274" s="61" t="str">
        <f>IFERROR(__xludf.DUMMYFUNCTION("vlookup(BB2274,importrange(""https://docs.google.com/spreadsheets/d/1d2vevQ_7D_v35q4wCQ4RpQ_IPoTwEMB9Yp6ymwlPqew/edit?gid=984458430#gid=984458430"", ""'replication success'!A:K""), 11, FAlSE)"),"#N/A")</f>
        <v>#N/A</v>
      </c>
      <c r="AZ2274" s="61" t="str">
        <f>IFERROR(__xludf.DUMMYFUNCTION("vlookup(BB2274,importrange(""https://docs.google.com/spreadsheets/d/1d2vevQ_7D_v35q4wCQ4RpQ_IPoTwEMB9Yp6ymwlPqew/edit?gid=984458430#gid=984458430"", ""'replication success'!A:M""), 12, FAlSE)"),"#N/A")</f>
        <v>#N/A</v>
      </c>
      <c r="BA2274" s="61" t="str">
        <f>IFERROR(__xludf.DUMMYFUNCTION("vlookup(BB2274,importrange(""https://docs.google.com/spreadsheets/d/1d2vevQ_7D_v35q4wCQ4RpQ_IPoTwEMB9Yp6ymwlPqew/edit?gid=984458430#gid=984458430"", ""'replication success'!A:M""), 13, FAlSE)"),"#N/A")</f>
        <v>#N/A</v>
      </c>
      <c r="BB2274" s="61" t="str">
        <f>IFERROR(__xludf.DUMMYFUNCTION("REGEXREPLACE(G2274, ""_[a-z]{1,2}$"", """")"),"XPHI2")</f>
        <v>XPHI2</v>
      </c>
      <c r="BD2274" s="68" t="s">
        <v>249</v>
      </c>
    </row>
    <row r="2275">
      <c r="A2275" s="44">
        <v>2275.0</v>
      </c>
      <c r="B2275" s="68" t="s">
        <v>114</v>
      </c>
      <c r="C2275" s="62" t="s">
        <v>115</v>
      </c>
      <c r="D2275" s="62" t="s">
        <v>1270</v>
      </c>
      <c r="F2275" s="2027" t="s">
        <v>13740</v>
      </c>
      <c r="G2275" s="159" t="s">
        <v>13741</v>
      </c>
      <c r="H2275" s="1287" t="s">
        <v>5024</v>
      </c>
      <c r="I2275" s="152">
        <v>45674.0</v>
      </c>
      <c r="J2275" s="153">
        <v>45716.0</v>
      </c>
      <c r="K2275" s="159" t="s">
        <v>13742</v>
      </c>
      <c r="L2275" s="68" t="s">
        <v>13743</v>
      </c>
      <c r="M2275" s="680" t="s">
        <v>13744</v>
      </c>
      <c r="N2275" s="159" t="s">
        <v>13745</v>
      </c>
      <c r="O2275" s="129">
        <v>1.0</v>
      </c>
      <c r="P2275" s="159" t="str">
        <f>SUBSTITUTE(LOWER(N2275), "/", "--") &amp;  ".pdf"</f>
        <v>10.5840--jphil20091061128.pdf</v>
      </c>
      <c r="Q2275" s="52" t="str">
        <f t="array" ref="Q2275"> if(iserror(MATCH(V2275, 'File Links'!C:C, 0)), "N/A", HYPERLINK(INDEX('File Links'!B:B, MATCH(P2275, 'File Links'!C:C, 0))))</f>
        <v>https://drive.google.com/file/d/1iPMC-k9xrxfHtNZFhdKSSGpPAPPmY3J4/view?usp=drivesdk</v>
      </c>
      <c r="R2275" s="2028" t="s">
        <v>5028</v>
      </c>
      <c r="S2275" s="310" t="s">
        <v>5029</v>
      </c>
      <c r="T2275" s="310" t="s">
        <v>5030</v>
      </c>
      <c r="U2275" s="156">
        <v>20.0</v>
      </c>
      <c r="V2275" s="159" t="str">
        <f t="shared" si="123"/>
        <v>10.1007--s13164-018-0400-9.pdf</v>
      </c>
      <c r="W2275" s="1290" t="s">
        <v>5031</v>
      </c>
      <c r="X2275" s="54" t="str">
        <f t="array" ref="X2275"> if(iserror(MATCH(V2275, 'File Links'!C:C, 0)), "N/A", HYPERLINK(INDEX('File Links'!B:B, MATCH(V2275, 'File Links'!C:C, 0))))</f>
        <v>https://drive.google.com/file/d/1hjI3aqifdfXjWhQAlvKCKKtvjuncAn5M/view?usp=drivesdk</v>
      </c>
      <c r="Y2275" s="68"/>
      <c r="Z2275" s="159" t="s">
        <v>165</v>
      </c>
      <c r="AA2275" s="129" t="s">
        <v>138</v>
      </c>
      <c r="AB2275" s="159" t="s">
        <v>13746</v>
      </c>
      <c r="AC2275" s="68"/>
      <c r="AD2275" s="159" t="s">
        <v>13747</v>
      </c>
      <c r="AE2275" s="156">
        <v>18.0</v>
      </c>
      <c r="AF2275" s="68"/>
      <c r="AG2275" s="68"/>
      <c r="AH2275" s="68"/>
      <c r="AI2275" s="338"/>
      <c r="AJ2275" s="379">
        <v>0.001</v>
      </c>
      <c r="AK2275" s="57" t="s">
        <v>135</v>
      </c>
      <c r="AL2275" s="159" t="s">
        <v>186</v>
      </c>
      <c r="AM2275" s="57" t="s">
        <v>137</v>
      </c>
      <c r="AN2275" s="151" t="s">
        <v>138</v>
      </c>
      <c r="AO2275" s="2037">
        <v>3413.0</v>
      </c>
      <c r="AP2275" s="1060" t="s">
        <v>13748</v>
      </c>
      <c r="AQ2275" s="1060" t="s">
        <v>134</v>
      </c>
      <c r="AR2275" s="1060" t="s">
        <v>2812</v>
      </c>
      <c r="AS2275" s="1059">
        <v>0.001</v>
      </c>
      <c r="AT2275" s="1060" t="s">
        <v>135</v>
      </c>
      <c r="AU2275" s="159" t="s">
        <v>186</v>
      </c>
      <c r="AV2275" s="159" t="s">
        <v>137</v>
      </c>
      <c r="AW2275" s="310" t="s">
        <v>13749</v>
      </c>
      <c r="AX2275" s="159" t="s">
        <v>143</v>
      </c>
      <c r="AY2275" s="61" t="str">
        <f>IFERROR(__xludf.DUMMYFUNCTION("vlookup(BB2275,importrange(""https://docs.google.com/spreadsheets/d/1d2vevQ_7D_v35q4wCQ4RpQ_IPoTwEMB9Yp6ymwlPqew/edit?gid=984458430#gid=984458430"", ""'replication success'!A:K""), 11, FAlSE)"),"successful")</f>
        <v>successful</v>
      </c>
      <c r="AZ2275" s="91" t="str">
        <f>IFERROR(__xludf.DUMMYFUNCTION("vlookup(BB2275,importrange(""https://docs.google.com/spreadsheets/d/1d2vevQ_7D_v35q4wCQ4RpQ_IPoTwEMB9Yp6ymwlPqew/edit?gid=984458430#gid=984458430"", ""'replication success'!A:M""), 12, FAlSE)"),"https://osf.io/4ewkh")</f>
        <v>https://osf.io/4ewkh</v>
      </c>
      <c r="BA2275" s="91" t="str">
        <f>IFERROR(__xludf.DUMMYFUNCTION("vlookup(BB2275,importrange(""https://docs.google.com/spreadsheets/d/1d2vevQ_7D_v35q4wCQ4RpQ_IPoTwEMB9Yp6ymwlPqew/edit?gid=984458430#gid=984458430"", ""'replication success'!A:M""), 13, FAlSE)"),"https://osf.io/4ewkh")</f>
        <v>https://osf.io/4ewkh</v>
      </c>
      <c r="BB2275" s="61" t="str">
        <f>IFERROR(__xludf.DUMMYFUNCTION("REGEXREPLACE(G2275, ""_[a-z]{1,2}$"", """")"),"XPHI20")</f>
        <v>XPHI20</v>
      </c>
      <c r="BD2275" s="129" t="s">
        <v>13750</v>
      </c>
    </row>
    <row r="2276">
      <c r="A2276" s="44">
        <v>2276.0</v>
      </c>
      <c r="B2276" s="45" t="s">
        <v>152</v>
      </c>
      <c r="C2276" s="62" t="s">
        <v>115</v>
      </c>
      <c r="D2276" s="62" t="s">
        <v>248</v>
      </c>
      <c r="F2276" s="2027" t="s">
        <v>13740</v>
      </c>
      <c r="G2276" s="159" t="s">
        <v>13741</v>
      </c>
      <c r="H2276" s="1287" t="s">
        <v>249</v>
      </c>
      <c r="I2276" s="152">
        <v>45331.0</v>
      </c>
      <c r="J2276" s="153">
        <v>45716.0</v>
      </c>
      <c r="K2276" s="154" t="s">
        <v>13601</v>
      </c>
      <c r="L2276" s="68"/>
      <c r="M2276" s="680" t="s">
        <v>13744</v>
      </c>
      <c r="N2276" s="159" t="s">
        <v>13745</v>
      </c>
      <c r="O2276" s="129">
        <v>1.0</v>
      </c>
      <c r="P2276" s="159" t="s">
        <v>13751</v>
      </c>
      <c r="Q2276" s="52" t="str">
        <f t="array" ref="Q2276"> if(iserror(MATCH(V2276, 'File Links'!C:C, 0)), "N/A", HYPERLINK(INDEX('File Links'!B:B, MATCH(P2276, 'File Links'!C:C, 0))))</f>
        <v>https://drive.google.com/file/d/1iPMC-k9xrxfHtNZFhdKSSGpPAPPmY3J4/view?usp=drivesdk</v>
      </c>
      <c r="R2276" s="2028" t="s">
        <v>5028</v>
      </c>
      <c r="S2276" s="159" t="s">
        <v>5029</v>
      </c>
      <c r="T2276" s="310" t="s">
        <v>5030</v>
      </c>
      <c r="U2276" s="1752">
        <v>20.0</v>
      </c>
      <c r="V2276" s="159" t="str">
        <f t="shared" si="123"/>
        <v>10.1007--s13164-018-0400-9.pdf</v>
      </c>
      <c r="W2276" s="1290" t="s">
        <v>5031</v>
      </c>
      <c r="X2276" s="54" t="str">
        <f t="array" ref="X2276"> if(iserror(MATCH(V2276, 'File Links'!C:C, 0)), "N/A", HYPERLINK(INDEX('File Links'!B:B, MATCH(V2276, 'File Links'!C:C, 0))))</f>
        <v>https://drive.google.com/file/d/1hjI3aqifdfXjWhQAlvKCKKtvjuncAn5M/view?usp=drivesdk</v>
      </c>
      <c r="Y2276" s="68"/>
      <c r="Z2276" s="159" t="s">
        <v>165</v>
      </c>
      <c r="AA2276" s="129" t="s">
        <v>138</v>
      </c>
      <c r="AB2276" s="159" t="s">
        <v>5041</v>
      </c>
      <c r="AC2276" s="1058" t="s">
        <v>13752</v>
      </c>
      <c r="AD2276" s="159" t="s">
        <v>13753</v>
      </c>
      <c r="AE2276" s="159" t="s">
        <v>2812</v>
      </c>
      <c r="AF2276" s="156">
        <v>3413.0</v>
      </c>
      <c r="AG2276" s="2038" t="s">
        <v>13748</v>
      </c>
      <c r="AH2276" s="1131" t="s">
        <v>134</v>
      </c>
      <c r="AI2276" s="339" t="s">
        <v>13754</v>
      </c>
      <c r="AJ2276" s="379">
        <v>0.001</v>
      </c>
      <c r="AK2276" s="57" t="s">
        <v>135</v>
      </c>
      <c r="AL2276" s="159" t="s">
        <v>186</v>
      </c>
      <c r="AM2276" s="1286" t="s">
        <v>137</v>
      </c>
      <c r="AN2276" s="151" t="s">
        <v>138</v>
      </c>
      <c r="AO2276" s="1292">
        <v>200.0</v>
      </c>
      <c r="AP2276" s="156">
        <v>0.63</v>
      </c>
      <c r="AQ2276" s="159" t="s">
        <v>173</v>
      </c>
      <c r="AR2276" s="2039" t="s">
        <v>13755</v>
      </c>
      <c r="AS2276" s="156">
        <v>0.001</v>
      </c>
      <c r="AT2276" s="159" t="s">
        <v>135</v>
      </c>
      <c r="AU2276" s="159" t="s">
        <v>186</v>
      </c>
      <c r="AV2276" s="154" t="s">
        <v>137</v>
      </c>
      <c r="AW2276" s="2040" t="s">
        <v>13749</v>
      </c>
      <c r="AX2276" s="154" t="s">
        <v>143</v>
      </c>
      <c r="AY2276" s="61" t="str">
        <f>IFERROR(__xludf.DUMMYFUNCTION("vlookup(BB2276,importrange(""https://docs.google.com/spreadsheets/d/1d2vevQ_7D_v35q4wCQ4RpQ_IPoTwEMB9Yp6ymwlPqew/edit?gid=984458430#gid=984458430"", ""'replication success'!A:K""), 11, FAlSE)"),"successful")</f>
        <v>successful</v>
      </c>
      <c r="AZ2276" s="91" t="str">
        <f>IFERROR(__xludf.DUMMYFUNCTION("vlookup(BB2276,importrange(""https://docs.google.com/spreadsheets/d/1d2vevQ_7D_v35q4wCQ4RpQ_IPoTwEMB9Yp6ymwlPqew/edit?gid=984458430#gid=984458430"", ""'replication success'!A:M""), 12, FAlSE)"),"https://osf.io/4ewkh")</f>
        <v>https://osf.io/4ewkh</v>
      </c>
      <c r="BA2276" s="91" t="str">
        <f>IFERROR(__xludf.DUMMYFUNCTION("vlookup(BB2276,importrange(""https://docs.google.com/spreadsheets/d/1d2vevQ_7D_v35q4wCQ4RpQ_IPoTwEMB9Yp6ymwlPqew/edit?gid=984458430#gid=984458430"", ""'replication success'!A:M""), 13, FAlSE)"),"https://osf.io/4ewkh")</f>
        <v>https://osf.io/4ewkh</v>
      </c>
      <c r="BB2276" s="61" t="str">
        <f>IFERROR(__xludf.DUMMYFUNCTION("REGEXREPLACE(G2276, ""_[a-z]{1,2}$"", """")"),"XPHI20")</f>
        <v>XPHI20</v>
      </c>
      <c r="BD2276" s="129" t="s">
        <v>13750</v>
      </c>
    </row>
    <row r="2277">
      <c r="A2277" s="44">
        <v>2277.0</v>
      </c>
      <c r="B2277" s="45" t="s">
        <v>152</v>
      </c>
      <c r="C2277" s="62" t="s">
        <v>115</v>
      </c>
      <c r="D2277" s="62" t="s">
        <v>248</v>
      </c>
      <c r="F2277" s="2027" t="s">
        <v>13740</v>
      </c>
      <c r="G2277" s="159" t="s">
        <v>13741</v>
      </c>
      <c r="H2277" s="1287" t="s">
        <v>249</v>
      </c>
      <c r="I2277" s="152">
        <v>45331.0</v>
      </c>
      <c r="J2277" s="153">
        <v>45716.0</v>
      </c>
      <c r="K2277" s="154" t="s">
        <v>13601</v>
      </c>
      <c r="L2277" s="129" t="s">
        <v>13756</v>
      </c>
      <c r="M2277" s="680" t="s">
        <v>13744</v>
      </c>
      <c r="N2277" s="159" t="s">
        <v>13745</v>
      </c>
      <c r="O2277" s="129">
        <v>1.0</v>
      </c>
      <c r="P2277" s="159" t="s">
        <v>13751</v>
      </c>
      <c r="Q2277" s="52" t="str">
        <f t="array" ref="Q2277"> if(iserror(MATCH(V2277, 'File Links'!C:C, 0)), "N/A", HYPERLINK(INDEX('File Links'!B:B, MATCH(P2277, 'File Links'!C:C, 0))))</f>
        <v>https://drive.google.com/file/d/1iPMC-k9xrxfHtNZFhdKSSGpPAPPmY3J4/view?usp=drivesdk</v>
      </c>
      <c r="R2277" s="2028" t="s">
        <v>5028</v>
      </c>
      <c r="S2277" s="159" t="s">
        <v>5029</v>
      </c>
      <c r="T2277" s="310" t="s">
        <v>5030</v>
      </c>
      <c r="U2277" s="1752">
        <v>20.0</v>
      </c>
      <c r="V2277" s="159" t="str">
        <f t="shared" si="123"/>
        <v>10.1007--s13164-018-0400-9.pdf</v>
      </c>
      <c r="W2277" s="1290" t="s">
        <v>5031</v>
      </c>
      <c r="X2277" s="54" t="str">
        <f t="array" ref="X2277"> if(iserror(MATCH(V2277, 'File Links'!C:C, 0)), "N/A", HYPERLINK(INDEX('File Links'!B:B, MATCH(V2277, 'File Links'!C:C, 0))))</f>
        <v>https://drive.google.com/file/d/1hjI3aqifdfXjWhQAlvKCKKtvjuncAn5M/view?usp=drivesdk</v>
      </c>
      <c r="Y2277" s="68"/>
      <c r="Z2277" s="159" t="s">
        <v>165</v>
      </c>
      <c r="AA2277" s="129" t="s">
        <v>138</v>
      </c>
      <c r="AB2277" s="159" t="s">
        <v>5041</v>
      </c>
      <c r="AC2277" s="1058" t="s">
        <v>13757</v>
      </c>
      <c r="AD2277" s="159" t="s">
        <v>13753</v>
      </c>
      <c r="AE2277" s="159" t="s">
        <v>2812</v>
      </c>
      <c r="AF2277" s="156">
        <v>3413.0</v>
      </c>
      <c r="AG2277" s="2038" t="s">
        <v>13748</v>
      </c>
      <c r="AH2277" s="1131" t="s">
        <v>134</v>
      </c>
      <c r="AI2277" s="339" t="s">
        <v>13754</v>
      </c>
      <c r="AJ2277" s="379">
        <v>0.001</v>
      </c>
      <c r="AK2277" s="57" t="s">
        <v>135</v>
      </c>
      <c r="AL2277" s="159" t="s">
        <v>186</v>
      </c>
      <c r="AM2277" s="1286" t="s">
        <v>137</v>
      </c>
      <c r="AN2277" s="151" t="s">
        <v>138</v>
      </c>
      <c r="AO2277" s="1292">
        <v>200.0</v>
      </c>
      <c r="AP2277" s="161">
        <v>1.16</v>
      </c>
      <c r="AQ2277" s="159" t="s">
        <v>173</v>
      </c>
      <c r="AR2277" s="2039" t="s">
        <v>13758</v>
      </c>
      <c r="AS2277" s="156">
        <v>0.001</v>
      </c>
      <c r="AT2277" s="159" t="s">
        <v>135</v>
      </c>
      <c r="AU2277" s="159" t="s">
        <v>186</v>
      </c>
      <c r="AV2277" s="154" t="s">
        <v>137</v>
      </c>
      <c r="AW2277" s="2040" t="s">
        <v>13749</v>
      </c>
      <c r="AX2277" s="154" t="s">
        <v>143</v>
      </c>
      <c r="AY2277" s="61" t="str">
        <f>IFERROR(__xludf.DUMMYFUNCTION("vlookup(BB2277,importrange(""https://docs.google.com/spreadsheets/d/1d2vevQ_7D_v35q4wCQ4RpQ_IPoTwEMB9Yp6ymwlPqew/edit?gid=984458430#gid=984458430"", ""'replication success'!A:K""), 11, FAlSE)"),"successful")</f>
        <v>successful</v>
      </c>
      <c r="AZ2277" s="91" t="str">
        <f>IFERROR(__xludf.DUMMYFUNCTION("vlookup(BB2277,importrange(""https://docs.google.com/spreadsheets/d/1d2vevQ_7D_v35q4wCQ4RpQ_IPoTwEMB9Yp6ymwlPqew/edit?gid=984458430#gid=984458430"", ""'replication success'!A:M""), 12, FAlSE)"),"https://osf.io/4ewkh")</f>
        <v>https://osf.io/4ewkh</v>
      </c>
      <c r="BA2277" s="91" t="str">
        <f>IFERROR(__xludf.DUMMYFUNCTION("vlookup(BB2277,importrange(""https://docs.google.com/spreadsheets/d/1d2vevQ_7D_v35q4wCQ4RpQ_IPoTwEMB9Yp6ymwlPqew/edit?gid=984458430#gid=984458430"", ""'replication success'!A:M""), 13, FAlSE)"),"https://osf.io/4ewkh")</f>
        <v>https://osf.io/4ewkh</v>
      </c>
      <c r="BB2277" s="61" t="str">
        <f>IFERROR(__xludf.DUMMYFUNCTION("REGEXREPLACE(G2277, ""_[a-z]{1,2}$"", """")"),"XPHI20")</f>
        <v>XPHI20</v>
      </c>
      <c r="BD2277" s="129" t="s">
        <v>13750</v>
      </c>
    </row>
    <row r="2278">
      <c r="A2278" s="44">
        <v>2278.0</v>
      </c>
      <c r="B2278" s="154" t="s">
        <v>114</v>
      </c>
      <c r="C2278" s="149" t="s">
        <v>115</v>
      </c>
      <c r="D2278" s="62" t="s">
        <v>1270</v>
      </c>
      <c r="F2278" s="129" t="s">
        <v>13740</v>
      </c>
      <c r="G2278" s="151" t="s">
        <v>13759</v>
      </c>
      <c r="H2278" s="1287" t="s">
        <v>5024</v>
      </c>
      <c r="I2278" s="152">
        <v>45674.0</v>
      </c>
      <c r="J2278" s="68"/>
      <c r="K2278" s="159" t="s">
        <v>13742</v>
      </c>
      <c r="L2278" s="68" t="s">
        <v>13760</v>
      </c>
      <c r="M2278" s="159" t="s">
        <v>13744</v>
      </c>
      <c r="N2278" s="159" t="s">
        <v>13745</v>
      </c>
      <c r="O2278" s="129">
        <v>1.0</v>
      </c>
      <c r="P2278" s="159" t="str">
        <f t="shared" ref="P2278:P2279" si="126">SUBSTITUTE(LOWER(N2278), "/", "--") &amp;  ".pdf"</f>
        <v>10.5840--jphil20091061128.pdf</v>
      </c>
      <c r="Q2278" s="52" t="str">
        <f t="array" ref="Q2278"> if(iserror(MATCH(V2278, 'File Links'!C:C, 0)), "N/A", HYPERLINK(INDEX('File Links'!B:B, MATCH(P2278, 'File Links'!C:C, 0))))</f>
        <v>https://drive.google.com/file/d/1iPMC-k9xrxfHtNZFhdKSSGpPAPPmY3J4/view?usp=drivesdk</v>
      </c>
      <c r="R2278" s="2028" t="s">
        <v>5028</v>
      </c>
      <c r="S2278" s="310" t="s">
        <v>5029</v>
      </c>
      <c r="T2278" s="310" t="s">
        <v>5030</v>
      </c>
      <c r="U2278" s="156">
        <v>20.0</v>
      </c>
      <c r="V2278" s="198" t="str">
        <f t="shared" si="123"/>
        <v>10.1007--s13164-018-0400-9.pdf</v>
      </c>
      <c r="W2278" s="1290" t="s">
        <v>5031</v>
      </c>
      <c r="X2278" s="54" t="str">
        <f t="array" ref="X2278"> if(iserror(MATCH(V2278, 'File Links'!C:C, 0)), "N/A", HYPERLINK(INDEX('File Links'!B:B, MATCH(V2278, 'File Links'!C:C, 0))))</f>
        <v>https://drive.google.com/file/d/1hjI3aqifdfXjWhQAlvKCKKtvjuncAn5M/view?usp=drivesdk</v>
      </c>
      <c r="Y2278" s="68"/>
      <c r="Z2278" s="159" t="s">
        <v>165</v>
      </c>
      <c r="AA2278" s="129" t="s">
        <v>138</v>
      </c>
      <c r="AB2278" s="159" t="s">
        <v>13746</v>
      </c>
      <c r="AC2278" s="68"/>
      <c r="AD2278" s="159" t="s">
        <v>13761</v>
      </c>
      <c r="AE2278" s="156">
        <v>19.0</v>
      </c>
      <c r="AF2278" s="68"/>
      <c r="AG2278" s="68"/>
      <c r="AH2278" s="68"/>
      <c r="AI2278" s="338"/>
      <c r="AJ2278" s="379">
        <v>0.001</v>
      </c>
      <c r="AK2278" s="57" t="s">
        <v>135</v>
      </c>
      <c r="AL2278" s="159" t="s">
        <v>186</v>
      </c>
      <c r="AM2278" s="57" t="s">
        <v>137</v>
      </c>
      <c r="AN2278" s="68"/>
      <c r="AO2278" s="1059">
        <v>3413.0</v>
      </c>
      <c r="AP2278" s="1060" t="s">
        <v>13762</v>
      </c>
      <c r="AQ2278" s="1060" t="s">
        <v>134</v>
      </c>
      <c r="AR2278" s="1060" t="s">
        <v>3255</v>
      </c>
      <c r="AS2278" s="1059">
        <v>0.001</v>
      </c>
      <c r="AT2278" s="1060" t="s">
        <v>135</v>
      </c>
      <c r="AU2278" s="159" t="s">
        <v>186</v>
      </c>
      <c r="AV2278" s="159" t="s">
        <v>137</v>
      </c>
      <c r="AW2278" s="310" t="s">
        <v>13749</v>
      </c>
      <c r="AX2278" s="159" t="s">
        <v>143</v>
      </c>
      <c r="AY2278" s="61" t="str">
        <f>IFERROR(__xludf.DUMMYFUNCTION("vlookup(BB2278,importrange(""https://docs.google.com/spreadsheets/d/1d2vevQ_7D_v35q4wCQ4RpQ_IPoTwEMB9Yp6ymwlPqew/edit?gid=984458430#gid=984458430"", ""'replication success'!A:K""), 11, FAlSE)"),"successful")</f>
        <v>successful</v>
      </c>
      <c r="AZ2278" s="91" t="str">
        <f>IFERROR(__xludf.DUMMYFUNCTION("vlookup(BB2278,importrange(""https://docs.google.com/spreadsheets/d/1d2vevQ_7D_v35q4wCQ4RpQ_IPoTwEMB9Yp6ymwlPqew/edit?gid=984458430#gid=984458430"", ""'replication success'!A:M""), 12, FAlSE)"),"https://osf.io/4ewkh")</f>
        <v>https://osf.io/4ewkh</v>
      </c>
      <c r="BA2278" s="91" t="str">
        <f>IFERROR(__xludf.DUMMYFUNCTION("vlookup(BB2278,importrange(""https://docs.google.com/spreadsheets/d/1d2vevQ_7D_v35q4wCQ4RpQ_IPoTwEMB9Yp6ymwlPqew/edit?gid=984458430#gid=984458430"", ""'replication success'!A:M""), 13, FAlSE)"),"https://osf.io/4ewkh")</f>
        <v>https://osf.io/4ewkh</v>
      </c>
      <c r="BB2278" s="61" t="str">
        <f>IFERROR(__xludf.DUMMYFUNCTION("REGEXREPLACE(G2278, ""_[a-z]{1,2}$"", """")"),"XPHI20")</f>
        <v>XPHI20</v>
      </c>
      <c r="BD2278" s="154" t="s">
        <v>249</v>
      </c>
    </row>
    <row r="2279">
      <c r="A2279" s="44">
        <v>2279.0</v>
      </c>
      <c r="B2279" s="68" t="s">
        <v>114</v>
      </c>
      <c r="C2279" s="62" t="s">
        <v>115</v>
      </c>
      <c r="D2279" s="62" t="s">
        <v>1270</v>
      </c>
      <c r="F2279" s="2027" t="s">
        <v>13763</v>
      </c>
      <c r="G2279" s="159" t="s">
        <v>13764</v>
      </c>
      <c r="H2279" s="1287" t="s">
        <v>5024</v>
      </c>
      <c r="I2279" s="152">
        <v>45674.0</v>
      </c>
      <c r="J2279" s="153">
        <v>45716.0</v>
      </c>
      <c r="K2279" s="68"/>
      <c r="L2279" s="68" t="s">
        <v>13765</v>
      </c>
      <c r="M2279" s="680" t="s">
        <v>13766</v>
      </c>
      <c r="N2279" s="159" t="s">
        <v>13767</v>
      </c>
      <c r="O2279" s="129">
        <v>1.0</v>
      </c>
      <c r="P2279" s="159" t="str">
        <f t="shared" si="126"/>
        <v>10.1080--09515080902802769.pdf</v>
      </c>
      <c r="Q2279" s="52" t="str">
        <f t="array" ref="Q2279"> if(iserror(MATCH(V2279, 'File Links'!C:C, 0)), "N/A", HYPERLINK(INDEX('File Links'!B:B, MATCH(P2279, 'File Links'!C:C, 0))))</f>
        <v>https://drive.google.com/file/d/1FBVDq-txued5VjX89SxjAxiqVp_WzRYr/view?usp=drivesdk</v>
      </c>
      <c r="R2279" s="2028" t="s">
        <v>5028</v>
      </c>
      <c r="S2279" s="310" t="s">
        <v>5029</v>
      </c>
      <c r="T2279" s="310" t="s">
        <v>5030</v>
      </c>
      <c r="U2279" s="156">
        <v>21.0</v>
      </c>
      <c r="V2279" s="159" t="str">
        <f t="shared" si="123"/>
        <v>10.1007--s13164-018-0400-9.pdf</v>
      </c>
      <c r="W2279" s="1290" t="s">
        <v>5031</v>
      </c>
      <c r="X2279" s="54" t="str">
        <f t="array" ref="X2279"> if(iserror(MATCH(V2279, 'File Links'!C:C, 0)), "N/A", HYPERLINK(INDEX('File Links'!B:B, MATCH(V2279, 'File Links'!C:C, 0))))</f>
        <v>https://drive.google.com/file/d/1hjI3aqifdfXjWhQAlvKCKKtvjuncAn5M/view?usp=drivesdk</v>
      </c>
      <c r="Y2279" s="68"/>
      <c r="Z2279" s="159" t="s">
        <v>165</v>
      </c>
      <c r="AA2279" s="129" t="s">
        <v>138</v>
      </c>
      <c r="AB2279" s="159" t="s">
        <v>13768</v>
      </c>
      <c r="AC2279" s="68"/>
      <c r="AD2279" s="159" t="s">
        <v>13769</v>
      </c>
      <c r="AE2279" s="156">
        <v>8.0</v>
      </c>
      <c r="AF2279" s="68"/>
      <c r="AG2279" s="68"/>
      <c r="AH2279" s="68"/>
      <c r="AI2279" s="338"/>
      <c r="AJ2279" s="379">
        <v>0.001</v>
      </c>
      <c r="AK2279" s="57" t="s">
        <v>135</v>
      </c>
      <c r="AL2279" s="159" t="s">
        <v>186</v>
      </c>
      <c r="AM2279" s="57" t="s">
        <v>137</v>
      </c>
      <c r="AN2279" s="151" t="s">
        <v>138</v>
      </c>
      <c r="AO2279" s="1292">
        <v>118.0</v>
      </c>
      <c r="AP2279" s="159" t="s">
        <v>13770</v>
      </c>
      <c r="AQ2279" s="159" t="s">
        <v>134</v>
      </c>
      <c r="AR2279" s="151" t="s">
        <v>13771</v>
      </c>
      <c r="AS2279" s="156">
        <v>0.917</v>
      </c>
      <c r="AT2279" s="159" t="s">
        <v>172</v>
      </c>
      <c r="AU2279" s="159" t="s">
        <v>218</v>
      </c>
      <c r="AV2279" s="159" t="s">
        <v>137</v>
      </c>
      <c r="AW2279" s="310" t="s">
        <v>13772</v>
      </c>
      <c r="AX2279" s="159" t="s">
        <v>143</v>
      </c>
      <c r="AY2279" s="61" t="str">
        <f>IFERROR(__xludf.DUMMYFUNCTION("vlookup(BB2279,importrange(""https://docs.google.com/spreadsheets/d/1d2vevQ_7D_v35q4wCQ4RpQ_IPoTwEMB9Yp6ymwlPqew/edit?gid=984458430#gid=984458430"", ""'replication success'!A:K""), 11, FAlSE)"),"failed")</f>
        <v>failed</v>
      </c>
      <c r="AZ2279" s="91" t="str">
        <f>IFERROR(__xludf.DUMMYFUNCTION("vlookup(BB2279,importrange(""https://docs.google.com/spreadsheets/d/1d2vevQ_7D_v35q4wCQ4RpQ_IPoTwEMB9Yp6ymwlPqew/edit?gid=984458430#gid=984458430"", ""'replication success'!A:M""), 12, FAlSE)"),"https://osf.io/4ewkh")</f>
        <v>https://osf.io/4ewkh</v>
      </c>
      <c r="BA2279" s="91" t="str">
        <f>IFERROR(__xludf.DUMMYFUNCTION("vlookup(BB2279,importrange(""https://docs.google.com/spreadsheets/d/1d2vevQ_7D_v35q4wCQ4RpQ_IPoTwEMB9Yp6ymwlPqew/edit?gid=984458430#gid=984458430"", ""'replication success'!A:M""), 13, FAlSE)"),"https://osf.io/4ewkh")</f>
        <v>https://osf.io/4ewkh</v>
      </c>
      <c r="BB2279" s="61" t="str">
        <f>IFERROR(__xludf.DUMMYFUNCTION("REGEXREPLACE(G2279, ""_[a-z]{1,2}$"", """")"),"XPHI21")</f>
        <v>XPHI21</v>
      </c>
      <c r="BC2279" s="88" t="s">
        <v>13773</v>
      </c>
      <c r="BD2279" s="129" t="s">
        <v>13750</v>
      </c>
    </row>
    <row r="2280">
      <c r="A2280" s="44">
        <v>2280.0</v>
      </c>
      <c r="B2280" s="45" t="s">
        <v>152</v>
      </c>
      <c r="C2280" s="62" t="s">
        <v>115</v>
      </c>
      <c r="D2280" s="62" t="s">
        <v>248</v>
      </c>
      <c r="F2280" s="2027" t="s">
        <v>13763</v>
      </c>
      <c r="G2280" s="159" t="s">
        <v>13764</v>
      </c>
      <c r="H2280" s="1287" t="s">
        <v>249</v>
      </c>
      <c r="I2280" s="152">
        <v>45331.0</v>
      </c>
      <c r="J2280" s="153">
        <v>45716.0</v>
      </c>
      <c r="K2280" s="154" t="s">
        <v>13601</v>
      </c>
      <c r="L2280" s="151" t="s">
        <v>13774</v>
      </c>
      <c r="M2280" s="159" t="s">
        <v>13766</v>
      </c>
      <c r="N2280" s="159" t="s">
        <v>13767</v>
      </c>
      <c r="O2280" s="129">
        <v>1.0</v>
      </c>
      <c r="P2280" s="159" t="s">
        <v>13775</v>
      </c>
      <c r="Q2280" s="52" t="str">
        <f t="array" ref="Q2280"> if(iserror(MATCH(V2280, 'File Links'!C:C, 0)), "N/A", HYPERLINK(INDEX('File Links'!B:B, MATCH(P2280, 'File Links'!C:C, 0))))</f>
        <v>https://drive.google.com/file/d/1FBVDq-txued5VjX89SxjAxiqVp_WzRYr/view?usp=drivesdk</v>
      </c>
      <c r="R2280" s="2028" t="s">
        <v>5028</v>
      </c>
      <c r="S2280" s="159" t="s">
        <v>5029</v>
      </c>
      <c r="T2280" s="310" t="s">
        <v>5030</v>
      </c>
      <c r="U2280" s="1058">
        <v>21.0</v>
      </c>
      <c r="V2280" s="159" t="str">
        <f t="shared" si="123"/>
        <v>10.1007--s13164-018-0400-9.pdf</v>
      </c>
      <c r="W2280" s="1290" t="s">
        <v>5031</v>
      </c>
      <c r="X2280" s="54" t="str">
        <f t="array" ref="X2280"> if(iserror(MATCH(V2280, 'File Links'!C:C, 0)), "N/A", HYPERLINK(INDEX('File Links'!B:B, MATCH(V2280, 'File Links'!C:C, 0))))</f>
        <v>https://drive.google.com/file/d/1hjI3aqifdfXjWhQAlvKCKKtvjuncAn5M/view?usp=drivesdk</v>
      </c>
      <c r="Y2280" s="68"/>
      <c r="Z2280" s="159" t="s">
        <v>165</v>
      </c>
      <c r="AA2280" s="129" t="s">
        <v>138</v>
      </c>
      <c r="AB2280" s="159" t="s">
        <v>13768</v>
      </c>
      <c r="AC2280" s="129" t="s">
        <v>13776</v>
      </c>
      <c r="AD2280" s="151" t="s">
        <v>13769</v>
      </c>
      <c r="AE2280" s="159" t="s">
        <v>13777</v>
      </c>
      <c r="AF2280" s="156">
        <v>118.0</v>
      </c>
      <c r="AG2280" s="2041">
        <v>0.6878307</v>
      </c>
      <c r="AH2280" s="159" t="s">
        <v>173</v>
      </c>
      <c r="AI2280" s="339" t="s">
        <v>13778</v>
      </c>
      <c r="AJ2280" s="379">
        <v>0.001</v>
      </c>
      <c r="AK2280" s="57" t="s">
        <v>135</v>
      </c>
      <c r="AL2280" s="159" t="s">
        <v>186</v>
      </c>
      <c r="AM2280" s="1286" t="s">
        <v>137</v>
      </c>
      <c r="AN2280" s="151" t="s">
        <v>138</v>
      </c>
      <c r="AO2280" s="2042">
        <v>206.0</v>
      </c>
      <c r="AP2280" s="161" t="s">
        <v>13779</v>
      </c>
      <c r="AQ2280" s="151" t="s">
        <v>134</v>
      </c>
      <c r="AR2280" s="690" t="s">
        <v>13780</v>
      </c>
      <c r="AS2280" s="156">
        <v>0.917</v>
      </c>
      <c r="AT2280" s="159" t="s">
        <v>172</v>
      </c>
      <c r="AU2280" s="159" t="s">
        <v>186</v>
      </c>
      <c r="AV2280" s="154" t="s">
        <v>137</v>
      </c>
      <c r="AW2280" s="2040" t="s">
        <v>13772</v>
      </c>
      <c r="AX2280" s="154" t="s">
        <v>143</v>
      </c>
      <c r="AY2280" s="61" t="str">
        <f>IFERROR(__xludf.DUMMYFUNCTION("vlookup(BB2280,importrange(""https://docs.google.com/spreadsheets/d/1d2vevQ_7D_v35q4wCQ4RpQ_IPoTwEMB9Yp6ymwlPqew/edit?gid=984458430#gid=984458430"", ""'replication success'!A:K""), 11, FAlSE)"),"failed")</f>
        <v>failed</v>
      </c>
      <c r="AZ2280" s="91" t="str">
        <f>IFERROR(__xludf.DUMMYFUNCTION("vlookup(BB2280,importrange(""https://docs.google.com/spreadsheets/d/1d2vevQ_7D_v35q4wCQ4RpQ_IPoTwEMB9Yp6ymwlPqew/edit?gid=984458430#gid=984458430"", ""'replication success'!A:M""), 12, FAlSE)"),"https://osf.io/4ewkh")</f>
        <v>https://osf.io/4ewkh</v>
      </c>
      <c r="BA2280" s="91" t="str">
        <f>IFERROR(__xludf.DUMMYFUNCTION("vlookup(BB2280,importrange(""https://docs.google.com/spreadsheets/d/1d2vevQ_7D_v35q4wCQ4RpQ_IPoTwEMB9Yp6ymwlPqew/edit?gid=984458430#gid=984458430"", ""'replication success'!A:M""), 13, FAlSE)"),"https://osf.io/4ewkh")</f>
        <v>https://osf.io/4ewkh</v>
      </c>
      <c r="BB2280" s="61" t="str">
        <f>IFERROR(__xludf.DUMMYFUNCTION("REGEXREPLACE(G2280, ""_[a-z]{1,2}$"", """")"),"XPHI21")</f>
        <v>XPHI21</v>
      </c>
      <c r="BD2280" s="129" t="s">
        <v>13750</v>
      </c>
    </row>
    <row r="2281">
      <c r="A2281" s="44">
        <v>2281.0</v>
      </c>
      <c r="B2281" s="154" t="s">
        <v>114</v>
      </c>
      <c r="C2281" s="62" t="s">
        <v>115</v>
      </c>
      <c r="D2281" s="62" t="s">
        <v>1270</v>
      </c>
      <c r="F2281" s="2027" t="s">
        <v>13781</v>
      </c>
      <c r="G2281" s="159" t="s">
        <v>13782</v>
      </c>
      <c r="H2281" s="1287" t="s">
        <v>5024</v>
      </c>
      <c r="I2281" s="152">
        <v>45674.0</v>
      </c>
      <c r="J2281" s="153">
        <v>45716.0</v>
      </c>
      <c r="K2281" s="159" t="s">
        <v>13783</v>
      </c>
      <c r="L2281" s="68"/>
      <c r="M2281" s="159" t="s">
        <v>13784</v>
      </c>
      <c r="N2281" s="159" t="s">
        <v>13785</v>
      </c>
      <c r="O2281" s="129">
        <v>1.0</v>
      </c>
      <c r="P2281" s="159" t="str">
        <f>SUBSTITUTE(LOWER(N2281), "/", "--") &amp;  ".pdf"</f>
        <v>10.1016--j.concog.2008.11.006.pdf</v>
      </c>
      <c r="Q2281" s="52" t="str">
        <f t="array" ref="Q2281"> if(iserror(MATCH(V2281, 'File Links'!C:C, 0)), "N/A", HYPERLINK(INDEX('File Links'!B:B, MATCH(P2281, 'File Links'!C:C, 0))))</f>
        <v>https://drive.google.com/file/d/1jf3ctwxwUpc5AYKxlkNN-odE2ElrZuqN/view?usp=drivesdk</v>
      </c>
      <c r="R2281" s="2028" t="s">
        <v>5028</v>
      </c>
      <c r="S2281" s="310" t="s">
        <v>5029</v>
      </c>
      <c r="T2281" s="310" t="s">
        <v>5030</v>
      </c>
      <c r="U2281" s="1059">
        <v>22.0</v>
      </c>
      <c r="V2281" s="159" t="str">
        <f t="shared" si="123"/>
        <v>10.1007--s13164-018-0400-9.pdf</v>
      </c>
      <c r="W2281" s="1290" t="s">
        <v>5031</v>
      </c>
      <c r="X2281" s="54" t="str">
        <f t="array" ref="X2281"> if(iserror(MATCH(V2281, 'File Links'!C:C, 0)), "N/A", HYPERLINK(INDEX('File Links'!B:B, MATCH(V2281, 'File Links'!C:C, 0))))</f>
        <v>https://drive.google.com/file/d/1hjI3aqifdfXjWhQAlvKCKKtvjuncAn5M/view?usp=drivesdk</v>
      </c>
      <c r="Y2281" s="68"/>
      <c r="Z2281" s="159" t="s">
        <v>165</v>
      </c>
      <c r="AA2281" s="129" t="s">
        <v>138</v>
      </c>
      <c r="AB2281" s="159" t="s">
        <v>13786</v>
      </c>
      <c r="AC2281" s="68"/>
      <c r="AD2281" s="159" t="s">
        <v>13787</v>
      </c>
      <c r="AE2281" s="159" t="s">
        <v>5036</v>
      </c>
      <c r="AF2281" s="68"/>
      <c r="AG2281" s="68"/>
      <c r="AH2281" s="68"/>
      <c r="AI2281" s="338"/>
      <c r="AJ2281" s="61"/>
      <c r="AK2281" s="61"/>
      <c r="AL2281" s="68"/>
      <c r="AM2281" s="61"/>
      <c r="AN2281" s="151" t="s">
        <v>138</v>
      </c>
      <c r="AO2281" s="1292">
        <v>231.0</v>
      </c>
      <c r="AP2281" s="129" t="s">
        <v>13788</v>
      </c>
      <c r="AQ2281" s="68"/>
      <c r="AR2281" s="68"/>
      <c r="AS2281" s="156">
        <v>0.002</v>
      </c>
      <c r="AT2281" s="159" t="s">
        <v>172</v>
      </c>
      <c r="AU2281" s="159" t="s">
        <v>186</v>
      </c>
      <c r="AV2281" s="159" t="s">
        <v>137</v>
      </c>
      <c r="AW2281" s="68"/>
      <c r="AX2281" s="159" t="s">
        <v>143</v>
      </c>
      <c r="AY2281" s="61" t="str">
        <f>IFERROR(__xludf.DUMMYFUNCTION("vlookup(BB2281,importrange(""https://docs.google.com/spreadsheets/d/1d2vevQ_7D_v35q4wCQ4RpQ_IPoTwEMB9Yp6ymwlPqew/edit?gid=984458430#gid=984458430"", ""'replication success'!A:K""), 11, FAlSE)"),"failed")</f>
        <v>failed</v>
      </c>
      <c r="AZ2281" s="91" t="str">
        <f>IFERROR(__xludf.DUMMYFUNCTION("vlookup(BB2281,importrange(""https://docs.google.com/spreadsheets/d/1d2vevQ_7D_v35q4wCQ4RpQ_IPoTwEMB9Yp6ymwlPqew/edit?gid=984458430#gid=984458430"", ""'replication success'!A:M""), 12, FAlSE)"),"https://osf.io/4ewkh")</f>
        <v>https://osf.io/4ewkh</v>
      </c>
      <c r="BA2281" s="91" t="str">
        <f>IFERROR(__xludf.DUMMYFUNCTION("vlookup(BB2281,importrange(""https://docs.google.com/spreadsheets/d/1d2vevQ_7D_v35q4wCQ4RpQ_IPoTwEMB9Yp6ymwlPqew/edit?gid=984458430#gid=984458430"", ""'replication success'!A:M""), 13, FAlSE)"),"https://osf.io/4ewkh")</f>
        <v>https://osf.io/4ewkh</v>
      </c>
      <c r="BB2281" s="61" t="str">
        <f>IFERROR(__xludf.DUMMYFUNCTION("REGEXREPLACE(G2281, ""_[a-z]{1,2}$"", """")"),"XPHI22")</f>
        <v>XPHI22</v>
      </c>
      <c r="BD2281" s="129" t="s">
        <v>13750</v>
      </c>
    </row>
    <row r="2282">
      <c r="A2282" s="44">
        <v>2282.0</v>
      </c>
      <c r="B2282" s="45" t="s">
        <v>152</v>
      </c>
      <c r="C2282" s="62" t="s">
        <v>115</v>
      </c>
      <c r="D2282" s="62" t="s">
        <v>248</v>
      </c>
      <c r="F2282" s="2027" t="s">
        <v>13781</v>
      </c>
      <c r="G2282" s="159" t="s">
        <v>13782</v>
      </c>
      <c r="H2282" s="1287" t="s">
        <v>249</v>
      </c>
      <c r="I2282" s="152">
        <v>45331.0</v>
      </c>
      <c r="J2282" s="153">
        <v>45716.0</v>
      </c>
      <c r="K2282" s="154" t="s">
        <v>13789</v>
      </c>
      <c r="L2282" s="129" t="s">
        <v>13790</v>
      </c>
      <c r="M2282" s="159" t="s">
        <v>13784</v>
      </c>
      <c r="N2282" s="159" t="s">
        <v>13785</v>
      </c>
      <c r="O2282" s="129">
        <v>1.0</v>
      </c>
      <c r="P2282" s="159" t="s">
        <v>13791</v>
      </c>
      <c r="Q2282" s="52" t="str">
        <f t="array" ref="Q2282"> if(iserror(MATCH(V2282, 'File Links'!C:C, 0)), "N/A", HYPERLINK(INDEX('File Links'!B:B, MATCH(P2282, 'File Links'!C:C, 0))))</f>
        <v>https://drive.google.com/file/d/1jf3ctwxwUpc5AYKxlkNN-odE2ElrZuqN/view?usp=drivesdk</v>
      </c>
      <c r="R2282" s="2028" t="s">
        <v>5028</v>
      </c>
      <c r="S2282" s="159" t="s">
        <v>5029</v>
      </c>
      <c r="T2282" s="310" t="s">
        <v>5030</v>
      </c>
      <c r="U2282" s="68"/>
      <c r="V2282" s="159" t="str">
        <f t="shared" si="123"/>
        <v>10.1007--s13164-018-0400-9.pdf</v>
      </c>
      <c r="W2282" s="1290" t="s">
        <v>5031</v>
      </c>
      <c r="X2282" s="54" t="str">
        <f t="array" ref="X2282"> if(iserror(MATCH(V2282, 'File Links'!C:C, 0)), "N/A", HYPERLINK(INDEX('File Links'!B:B, MATCH(V2282, 'File Links'!C:C, 0))))</f>
        <v>https://drive.google.com/file/d/1hjI3aqifdfXjWhQAlvKCKKtvjuncAn5M/view?usp=drivesdk</v>
      </c>
      <c r="Y2282" s="68"/>
      <c r="Z2282" s="159" t="s">
        <v>165</v>
      </c>
      <c r="AA2282" s="129" t="s">
        <v>138</v>
      </c>
      <c r="AB2282" s="1290" t="s">
        <v>13786</v>
      </c>
      <c r="AC2282" s="129" t="s">
        <v>13792</v>
      </c>
      <c r="AD2282" s="1131" t="s">
        <v>13793</v>
      </c>
      <c r="AE2282" s="1290" t="s">
        <v>5036</v>
      </c>
      <c r="AF2282" s="1356">
        <v>233.0</v>
      </c>
      <c r="AG2282" s="154" t="s">
        <v>138</v>
      </c>
      <c r="AH2282" s="68"/>
      <c r="AI2282" s="339" t="s">
        <v>138</v>
      </c>
      <c r="AJ2282" s="57" t="s">
        <v>138</v>
      </c>
      <c r="AK2282" s="61"/>
      <c r="AL2282" s="159" t="s">
        <v>186</v>
      </c>
      <c r="AM2282" s="1286" t="s">
        <v>137</v>
      </c>
      <c r="AN2282" s="151" t="s">
        <v>138</v>
      </c>
      <c r="AO2282" s="1292">
        <v>500.0</v>
      </c>
      <c r="AP2282" s="156">
        <v>0.139</v>
      </c>
      <c r="AQ2282" s="159" t="s">
        <v>215</v>
      </c>
      <c r="AR2282" s="690" t="s">
        <v>13794</v>
      </c>
      <c r="AS2282" s="156">
        <v>0.002</v>
      </c>
      <c r="AT2282" s="159" t="s">
        <v>172</v>
      </c>
      <c r="AU2282" s="159" t="s">
        <v>186</v>
      </c>
      <c r="AV2282" s="154" t="s">
        <v>137</v>
      </c>
      <c r="AW2282" s="680" t="s">
        <v>13795</v>
      </c>
      <c r="AX2282" s="154" t="s">
        <v>143</v>
      </c>
      <c r="AY2282" s="61" t="str">
        <f>IFERROR(__xludf.DUMMYFUNCTION("vlookup(BB2282,importrange(""https://docs.google.com/spreadsheets/d/1d2vevQ_7D_v35q4wCQ4RpQ_IPoTwEMB9Yp6ymwlPqew/edit?gid=984458430#gid=984458430"", ""'replication success'!A:K""), 11, FAlSE)"),"failed")</f>
        <v>failed</v>
      </c>
      <c r="AZ2282" s="91" t="str">
        <f>IFERROR(__xludf.DUMMYFUNCTION("vlookup(BB2282,importrange(""https://docs.google.com/spreadsheets/d/1d2vevQ_7D_v35q4wCQ4RpQ_IPoTwEMB9Yp6ymwlPqew/edit?gid=984458430#gid=984458430"", ""'replication success'!A:M""), 12, FAlSE)"),"https://osf.io/4ewkh")</f>
        <v>https://osf.io/4ewkh</v>
      </c>
      <c r="BA2282" s="91" t="str">
        <f>IFERROR(__xludf.DUMMYFUNCTION("vlookup(BB2282,importrange(""https://docs.google.com/spreadsheets/d/1d2vevQ_7D_v35q4wCQ4RpQ_IPoTwEMB9Yp6ymwlPqew/edit?gid=984458430#gid=984458430"", ""'replication success'!A:M""), 13, FAlSE)"),"https://osf.io/4ewkh")</f>
        <v>https://osf.io/4ewkh</v>
      </c>
      <c r="BB2282" s="61" t="str">
        <f>IFERROR(__xludf.DUMMYFUNCTION("REGEXREPLACE(G2282, ""_[a-z]{1,2}$"", """")"),"XPHI22")</f>
        <v>XPHI22</v>
      </c>
      <c r="BD2282" s="129" t="s">
        <v>13750</v>
      </c>
    </row>
    <row r="2283">
      <c r="A2283" s="44">
        <v>2283.0</v>
      </c>
      <c r="B2283" s="68" t="s">
        <v>590</v>
      </c>
      <c r="C2283" s="62" t="s">
        <v>115</v>
      </c>
      <c r="D2283" s="62" t="s">
        <v>1270</v>
      </c>
      <c r="F2283" s="1286" t="s">
        <v>13796</v>
      </c>
      <c r="G2283" s="159" t="s">
        <v>13797</v>
      </c>
      <c r="H2283" s="1287" t="s">
        <v>5024</v>
      </c>
      <c r="I2283" s="152">
        <v>45674.0</v>
      </c>
      <c r="J2283" s="152">
        <v>45691.0</v>
      </c>
      <c r="K2283" s="159" t="s">
        <v>13798</v>
      </c>
      <c r="L2283" s="68" t="s">
        <v>13799</v>
      </c>
      <c r="M2283" s="159" t="s">
        <v>13800</v>
      </c>
      <c r="N2283" s="159" t="s">
        <v>13801</v>
      </c>
      <c r="O2283" s="129">
        <v>1.0</v>
      </c>
      <c r="P2283" s="159" t="str">
        <f>SUBSTITUTE(LOWER(N2283), "/", "--") &amp;  ".pdf"</f>
        <v>10.1080--09515080903532290.pdf</v>
      </c>
      <c r="Q2283" s="52" t="str">
        <f t="array" ref="Q2283"> if(iserror(MATCH(V2283, 'File Links'!C:C, 0)), "N/A", HYPERLINK(INDEX('File Links'!B:B, MATCH(P2283, 'File Links'!C:C, 0))))</f>
        <v>https://drive.google.com/file/d/1V4dif0GlZHpTSBPr0wrGGqKPzj36JjUm/view?usp=drivesdk</v>
      </c>
      <c r="R2283" s="2028" t="s">
        <v>5028</v>
      </c>
      <c r="S2283" s="310" t="s">
        <v>5029</v>
      </c>
      <c r="T2283" s="310" t="s">
        <v>5030</v>
      </c>
      <c r="U2283" s="156">
        <v>23.0</v>
      </c>
      <c r="V2283" s="159" t="str">
        <f t="shared" si="123"/>
        <v>10.1007--s13164-018-0400-9.pdf</v>
      </c>
      <c r="W2283" s="1290" t="s">
        <v>5031</v>
      </c>
      <c r="X2283" s="54" t="str">
        <f t="array" ref="X2283"> if(iserror(MATCH(V2283, 'File Links'!C:C, 0)), "N/A", HYPERLINK(INDEX('File Links'!B:B, MATCH(V2283, 'File Links'!C:C, 0))))</f>
        <v>https://drive.google.com/file/d/1hjI3aqifdfXjWhQAlvKCKKtvjuncAn5M/view?usp=drivesdk</v>
      </c>
      <c r="Y2283" s="68"/>
      <c r="Z2283" s="159" t="s">
        <v>165</v>
      </c>
      <c r="AA2283" s="129" t="s">
        <v>138</v>
      </c>
      <c r="AB2283" s="159" t="s">
        <v>13802</v>
      </c>
      <c r="AC2283" s="68"/>
      <c r="AD2283" s="159" t="s">
        <v>13803</v>
      </c>
      <c r="AE2283" s="159" t="s">
        <v>13804</v>
      </c>
      <c r="AF2283" s="68"/>
      <c r="AG2283" s="68"/>
      <c r="AH2283" s="68"/>
      <c r="AI2283" s="338"/>
      <c r="AJ2283" s="61"/>
      <c r="AK2283" s="61"/>
      <c r="AL2283" s="68"/>
      <c r="AM2283" s="57" t="s">
        <v>137</v>
      </c>
      <c r="AN2283" s="1370" t="s">
        <v>138</v>
      </c>
      <c r="AO2283" s="1292">
        <v>48.0</v>
      </c>
      <c r="AP2283" s="159" t="s">
        <v>13805</v>
      </c>
      <c r="AQ2283" s="159" t="s">
        <v>722</v>
      </c>
      <c r="AR2283" s="159" t="s">
        <v>13806</v>
      </c>
      <c r="AS2283" s="156">
        <v>0.03</v>
      </c>
      <c r="AT2283" s="159" t="s">
        <v>172</v>
      </c>
      <c r="AU2283" s="159" t="s">
        <v>186</v>
      </c>
      <c r="AV2283" s="159" t="s">
        <v>137</v>
      </c>
      <c r="AW2283" s="310" t="s">
        <v>13807</v>
      </c>
      <c r="AX2283" s="159" t="s">
        <v>143</v>
      </c>
      <c r="AY2283" s="61" t="str">
        <f>IFERROR(__xludf.DUMMYFUNCTION("vlookup(BB2283,importrange(""https://docs.google.com/spreadsheets/d/1d2vevQ_7D_v35q4wCQ4RpQ_IPoTwEMB9Yp6ymwlPqew/edit?gid=984458430#gid=984458430"", ""'replication success'!A:K""), 11, FAlSE)"),"#N/A")</f>
        <v>#N/A</v>
      </c>
      <c r="AZ2283" s="61" t="str">
        <f>IFERROR(__xludf.DUMMYFUNCTION("vlookup(BB2283,importrange(""https://docs.google.com/spreadsheets/d/1d2vevQ_7D_v35q4wCQ4RpQ_IPoTwEMB9Yp6ymwlPqew/edit?gid=984458430#gid=984458430"", ""'replication success'!A:M""), 12, FAlSE)"),"#N/A")</f>
        <v>#N/A</v>
      </c>
      <c r="BA2283" s="61" t="str">
        <f>IFERROR(__xludf.DUMMYFUNCTION("vlookup(BB2283,importrange(""https://docs.google.com/spreadsheets/d/1d2vevQ_7D_v35q4wCQ4RpQ_IPoTwEMB9Yp6ymwlPqew/edit?gid=984458430#gid=984458430"", ""'replication success'!A:M""), 13, FAlSE)"),"#N/A")</f>
        <v>#N/A</v>
      </c>
      <c r="BB2283" s="61" t="str">
        <f>IFERROR(__xludf.DUMMYFUNCTION("REGEXREPLACE(G2283, ""_[a-z]{1,2}$"", """")"),"XPHI23")</f>
        <v>XPHI23</v>
      </c>
      <c r="BD2283" s="68" t="s">
        <v>249</v>
      </c>
    </row>
    <row r="2284">
      <c r="A2284" s="44">
        <v>2284.0</v>
      </c>
      <c r="B2284" s="68" t="s">
        <v>590</v>
      </c>
      <c r="C2284" s="62" t="s">
        <v>115</v>
      </c>
      <c r="D2284" s="62" t="s">
        <v>248</v>
      </c>
      <c r="F2284" s="1286" t="s">
        <v>13796</v>
      </c>
      <c r="G2284" s="159" t="s">
        <v>13797</v>
      </c>
      <c r="H2284" s="1287" t="s">
        <v>249</v>
      </c>
      <c r="I2284" s="152">
        <v>45331.0</v>
      </c>
      <c r="J2284" s="152">
        <v>45691.0</v>
      </c>
      <c r="K2284" s="159" t="s">
        <v>13808</v>
      </c>
      <c r="L2284" s="68" t="s">
        <v>13799</v>
      </c>
      <c r="M2284" s="159" t="s">
        <v>13800</v>
      </c>
      <c r="N2284" s="159" t="s">
        <v>13801</v>
      </c>
      <c r="O2284" s="129">
        <v>1.0</v>
      </c>
      <c r="P2284" s="159" t="s">
        <v>13809</v>
      </c>
      <c r="Q2284" s="52" t="str">
        <f t="array" ref="Q2284"> if(iserror(MATCH(V2284, 'File Links'!C:C, 0)), "N/A", HYPERLINK(INDEX('File Links'!B:B, MATCH(P2284, 'File Links'!C:C, 0))))</f>
        <v>https://drive.google.com/file/d/1V4dif0GlZHpTSBPr0wrGGqKPzj36JjUm/view?usp=drivesdk</v>
      </c>
      <c r="R2284" s="2028" t="s">
        <v>5028</v>
      </c>
      <c r="S2284" s="159" t="s">
        <v>5029</v>
      </c>
      <c r="T2284" s="68"/>
      <c r="U2284" s="68"/>
      <c r="V2284" s="159" t="str">
        <f t="shared" si="123"/>
        <v>10.1007--s13164-018-0400-9.pdf</v>
      </c>
      <c r="W2284" s="1290" t="s">
        <v>5031</v>
      </c>
      <c r="X2284" s="54" t="str">
        <f t="array" ref="X2284"> if(iserror(MATCH(V2284, 'File Links'!C:C, 0)), "N/A", HYPERLINK(INDEX('File Links'!B:B, MATCH(V2284, 'File Links'!C:C, 0))))</f>
        <v>https://drive.google.com/file/d/1hjI3aqifdfXjWhQAlvKCKKtvjuncAn5M/view?usp=drivesdk</v>
      </c>
      <c r="Y2284" s="68"/>
      <c r="Z2284" s="159" t="s">
        <v>165</v>
      </c>
      <c r="AA2284" s="129" t="s">
        <v>138</v>
      </c>
      <c r="AB2284" s="159" t="s">
        <v>5041</v>
      </c>
      <c r="AC2284" s="68"/>
      <c r="AD2284" s="68"/>
      <c r="AE2284" s="68"/>
      <c r="AF2284" s="156">
        <v>48.0</v>
      </c>
      <c r="AG2284" s="2043">
        <v>0.36</v>
      </c>
      <c r="AH2284" s="159" t="s">
        <v>271</v>
      </c>
      <c r="AI2284" s="339" t="s">
        <v>13810</v>
      </c>
      <c r="AJ2284" s="379">
        <v>0.05</v>
      </c>
      <c r="AK2284" s="57" t="s">
        <v>135</v>
      </c>
      <c r="AL2284" s="159" t="s">
        <v>186</v>
      </c>
      <c r="AM2284" s="1286" t="s">
        <v>137</v>
      </c>
      <c r="AN2284" s="1370" t="s">
        <v>138</v>
      </c>
      <c r="AO2284" s="1292">
        <v>60.0</v>
      </c>
      <c r="AP2284" s="156">
        <v>0.27</v>
      </c>
      <c r="AQ2284" s="159" t="s">
        <v>271</v>
      </c>
      <c r="AR2284" s="159" t="s">
        <v>13811</v>
      </c>
      <c r="AS2284" s="156">
        <v>0.04</v>
      </c>
      <c r="AT2284" s="159" t="s">
        <v>172</v>
      </c>
      <c r="AU2284" s="159" t="s">
        <v>186</v>
      </c>
      <c r="AV2284" s="154" t="s">
        <v>137</v>
      </c>
      <c r="AW2284" s="680" t="s">
        <v>13812</v>
      </c>
      <c r="AX2284" s="154" t="s">
        <v>143</v>
      </c>
      <c r="AY2284" s="61" t="str">
        <f>IFERROR(__xludf.DUMMYFUNCTION("vlookup(BB2284,importrange(""https://docs.google.com/spreadsheets/d/1d2vevQ_7D_v35q4wCQ4RpQ_IPoTwEMB9Yp6ymwlPqew/edit?gid=984458430#gid=984458430"", ""'replication success'!A:K""), 11, FAlSE)"),"#N/A")</f>
        <v>#N/A</v>
      </c>
      <c r="AZ2284" s="61" t="str">
        <f>IFERROR(__xludf.DUMMYFUNCTION("vlookup(BB2284,importrange(""https://docs.google.com/spreadsheets/d/1d2vevQ_7D_v35q4wCQ4RpQ_IPoTwEMB9Yp6ymwlPqew/edit?gid=984458430#gid=984458430"", ""'replication success'!A:M""), 12, FAlSE)"),"#N/A")</f>
        <v>#N/A</v>
      </c>
      <c r="BA2284" s="61" t="str">
        <f>IFERROR(__xludf.DUMMYFUNCTION("vlookup(BB2284,importrange(""https://docs.google.com/spreadsheets/d/1d2vevQ_7D_v35q4wCQ4RpQ_IPoTwEMB9Yp6ymwlPqew/edit?gid=984458430#gid=984458430"", ""'replication success'!A:M""), 13, FAlSE)"),"#N/A")</f>
        <v>#N/A</v>
      </c>
      <c r="BB2284" s="61" t="str">
        <f>IFERROR(__xludf.DUMMYFUNCTION("REGEXREPLACE(G2284, ""_[a-z]{1,2}$"", """")"),"XPHI23")</f>
        <v>XPHI23</v>
      </c>
      <c r="BD2284" s="68" t="s">
        <v>249</v>
      </c>
    </row>
    <row r="2285">
      <c r="A2285" s="44">
        <v>2285.0</v>
      </c>
      <c r="B2285" s="154" t="s">
        <v>114</v>
      </c>
      <c r="C2285" s="62" t="s">
        <v>115</v>
      </c>
      <c r="D2285" s="62" t="s">
        <v>1270</v>
      </c>
      <c r="F2285" s="2027" t="s">
        <v>13813</v>
      </c>
      <c r="G2285" s="159" t="s">
        <v>13814</v>
      </c>
      <c r="H2285" s="1287" t="s">
        <v>5024</v>
      </c>
      <c r="I2285" s="152">
        <v>45674.0</v>
      </c>
      <c r="J2285" s="153">
        <v>45716.0</v>
      </c>
      <c r="K2285" s="159" t="s">
        <v>13815</v>
      </c>
      <c r="L2285" s="68"/>
      <c r="M2285" s="159" t="s">
        <v>13816</v>
      </c>
      <c r="N2285" s="159" t="s">
        <v>13817</v>
      </c>
      <c r="O2285" s="129">
        <v>1.0</v>
      </c>
      <c r="P2285" s="159" t="str">
        <f>SUBSTITUTE(LOWER(N2285), "/", "--") &amp;  ".pdf"</f>
        <v>10.1111--j.1468-0017.2010.01398.x.pdf</v>
      </c>
      <c r="Q2285" s="52" t="str">
        <f t="array" ref="Q2285"> if(iserror(MATCH(V2285, 'File Links'!C:C, 0)), "N/A", HYPERLINK(INDEX('File Links'!B:B, MATCH(P2285, 'File Links'!C:C, 0))))</f>
        <v>https://drive.google.com/file/d/1Q-7NFLR9V_1Z9QaSQGnQmRUgw6UigOsQ/view?usp=drivesdk</v>
      </c>
      <c r="R2285" s="2028" t="s">
        <v>5028</v>
      </c>
      <c r="S2285" s="310" t="s">
        <v>5029</v>
      </c>
      <c r="T2285" s="310" t="s">
        <v>5030</v>
      </c>
      <c r="U2285" s="156">
        <v>24.0</v>
      </c>
      <c r="V2285" s="159" t="str">
        <f t="shared" si="123"/>
        <v>10.1007--s13164-018-0400-9.pdf</v>
      </c>
      <c r="W2285" s="1290" t="s">
        <v>5031</v>
      </c>
      <c r="X2285" s="54" t="str">
        <f t="array" ref="X2285"> if(iserror(MATCH(V2285, 'File Links'!C:C, 0)), "N/A", HYPERLINK(INDEX('File Links'!B:B, MATCH(V2285, 'File Links'!C:C, 0))))</f>
        <v>https://drive.google.com/file/d/1hjI3aqifdfXjWhQAlvKCKKtvjuncAn5M/view?usp=drivesdk</v>
      </c>
      <c r="Y2285" s="68"/>
      <c r="Z2285" s="159" t="s">
        <v>165</v>
      </c>
      <c r="AA2285" s="129" t="s">
        <v>138</v>
      </c>
      <c r="AB2285" s="159" t="s">
        <v>13818</v>
      </c>
      <c r="AC2285" s="1290" t="s">
        <v>13818</v>
      </c>
      <c r="AD2285" s="159" t="s">
        <v>13819</v>
      </c>
      <c r="AE2285" s="159" t="s">
        <v>5036</v>
      </c>
      <c r="AF2285" s="68"/>
      <c r="AG2285" s="68"/>
      <c r="AH2285" s="68"/>
      <c r="AI2285" s="338"/>
      <c r="AJ2285" s="379">
        <v>0.001</v>
      </c>
      <c r="AK2285" s="57" t="s">
        <v>135</v>
      </c>
      <c r="AL2285" s="159" t="s">
        <v>186</v>
      </c>
      <c r="AM2285" s="57" t="s">
        <v>137</v>
      </c>
      <c r="AN2285" s="151" t="s">
        <v>138</v>
      </c>
      <c r="AO2285" s="2037">
        <v>749.0</v>
      </c>
      <c r="AP2285" s="1060" t="s">
        <v>13820</v>
      </c>
      <c r="AQ2285" s="159" t="s">
        <v>134</v>
      </c>
      <c r="AR2285" s="159" t="s">
        <v>217</v>
      </c>
      <c r="AS2285" s="156">
        <v>5.0E-4</v>
      </c>
      <c r="AT2285" s="159" t="s">
        <v>135</v>
      </c>
      <c r="AU2285" s="159" t="s">
        <v>186</v>
      </c>
      <c r="AV2285" s="159" t="s">
        <v>137</v>
      </c>
      <c r="AW2285" s="129" t="s">
        <v>138</v>
      </c>
      <c r="AX2285" s="159" t="s">
        <v>143</v>
      </c>
      <c r="AY2285" s="61" t="str">
        <f>IFERROR(__xludf.DUMMYFUNCTION("vlookup(BB2285,importrange(""https://docs.google.com/spreadsheets/d/1d2vevQ_7D_v35q4wCQ4RpQ_IPoTwEMB9Yp6ymwlPqew/edit?gid=984458430#gid=984458430"", ""'replication success'!A:K""), 11, FAlSE)"),"successful")</f>
        <v>successful</v>
      </c>
      <c r="AZ2285" s="91" t="str">
        <f>IFERROR(__xludf.DUMMYFUNCTION("vlookup(BB2285,importrange(""https://docs.google.com/spreadsheets/d/1d2vevQ_7D_v35q4wCQ4RpQ_IPoTwEMB9Yp6ymwlPqew/edit?gid=984458430#gid=984458430"", ""'replication success'!A:M""), 12, FAlSE)"),"https://osf.io/4ewkh")</f>
        <v>https://osf.io/4ewkh</v>
      </c>
      <c r="BA2285" s="91" t="str">
        <f>IFERROR(__xludf.DUMMYFUNCTION("vlookup(BB2285,importrange(""https://docs.google.com/spreadsheets/d/1d2vevQ_7D_v35q4wCQ4RpQ_IPoTwEMB9Yp6ymwlPqew/edit?gid=984458430#gid=984458430"", ""'replication success'!A:M""), 13, FAlSE)"),"https://osf.io/4ewkh")</f>
        <v>https://osf.io/4ewkh</v>
      </c>
      <c r="BB2285" s="61" t="str">
        <f>IFERROR(__xludf.DUMMYFUNCTION("REGEXREPLACE(G2285, ""_[a-z]{1,2}$"", """")"),"XPHI24")</f>
        <v>XPHI24</v>
      </c>
      <c r="BD2285" s="129" t="s">
        <v>13750</v>
      </c>
    </row>
    <row r="2286">
      <c r="A2286" s="44">
        <v>2286.0</v>
      </c>
      <c r="B2286" s="45" t="s">
        <v>152</v>
      </c>
      <c r="C2286" s="62" t="s">
        <v>115</v>
      </c>
      <c r="D2286" s="62" t="s">
        <v>248</v>
      </c>
      <c r="F2286" s="2027" t="s">
        <v>13813</v>
      </c>
      <c r="G2286" s="159" t="s">
        <v>13814</v>
      </c>
      <c r="H2286" s="1287" t="s">
        <v>249</v>
      </c>
      <c r="I2286" s="152">
        <v>45331.0</v>
      </c>
      <c r="J2286" s="153">
        <v>45716.0</v>
      </c>
      <c r="K2286" s="154" t="s">
        <v>13601</v>
      </c>
      <c r="L2286" s="68"/>
      <c r="M2286" s="159" t="s">
        <v>13816</v>
      </c>
      <c r="N2286" s="159" t="s">
        <v>13817</v>
      </c>
      <c r="O2286" s="129">
        <v>1.0</v>
      </c>
      <c r="P2286" s="159" t="s">
        <v>13821</v>
      </c>
      <c r="Q2286" s="52" t="str">
        <f t="array" ref="Q2286"> if(iserror(MATCH(V2286, 'File Links'!C:C, 0)), "N/A", HYPERLINK(INDEX('File Links'!B:B, MATCH(P2286, 'File Links'!C:C, 0))))</f>
        <v>https://drive.google.com/file/d/1Q-7NFLR9V_1Z9QaSQGnQmRUgw6UigOsQ/view?usp=drivesdk</v>
      </c>
      <c r="R2286" s="2028" t="s">
        <v>5028</v>
      </c>
      <c r="S2286" s="159" t="s">
        <v>5029</v>
      </c>
      <c r="T2286" s="310" t="s">
        <v>5030</v>
      </c>
      <c r="U2286" s="68"/>
      <c r="V2286" s="159" t="str">
        <f t="shared" si="123"/>
        <v>10.1007--s13164-018-0400-9.pdf</v>
      </c>
      <c r="W2286" s="1290" t="s">
        <v>5031</v>
      </c>
      <c r="X2286" s="54" t="str">
        <f t="array" ref="X2286"> if(iserror(MATCH(V2286, 'File Links'!C:C, 0)), "N/A", HYPERLINK(INDEX('File Links'!B:B, MATCH(V2286, 'File Links'!C:C, 0))))</f>
        <v>https://drive.google.com/file/d/1hjI3aqifdfXjWhQAlvKCKKtvjuncAn5M/view?usp=drivesdk</v>
      </c>
      <c r="Y2286" s="68"/>
      <c r="Z2286" s="159" t="s">
        <v>165</v>
      </c>
      <c r="AA2286" s="129" t="s">
        <v>138</v>
      </c>
      <c r="AB2286" s="159" t="s">
        <v>5041</v>
      </c>
      <c r="AC2286" s="1290" t="s">
        <v>13818</v>
      </c>
      <c r="AD2286" s="1290" t="s">
        <v>13819</v>
      </c>
      <c r="AE2286" s="151" t="s">
        <v>13822</v>
      </c>
      <c r="AF2286" s="156">
        <v>749.0</v>
      </c>
      <c r="AG2286" s="2043">
        <v>0.74</v>
      </c>
      <c r="AH2286" s="159" t="s">
        <v>173</v>
      </c>
      <c r="AI2286" s="339" t="s">
        <v>13823</v>
      </c>
      <c r="AJ2286" s="379">
        <v>0.001</v>
      </c>
      <c r="AK2286" s="57" t="s">
        <v>135</v>
      </c>
      <c r="AL2286" s="159" t="s">
        <v>186</v>
      </c>
      <c r="AM2286" s="1286" t="s">
        <v>137</v>
      </c>
      <c r="AN2286" s="151" t="s">
        <v>138</v>
      </c>
      <c r="AO2286" s="1292">
        <v>514.0</v>
      </c>
      <c r="AP2286" s="156">
        <v>0.66</v>
      </c>
      <c r="AQ2286" s="159" t="s">
        <v>173</v>
      </c>
      <c r="AR2286" s="690" t="s">
        <v>13824</v>
      </c>
      <c r="AS2286" s="156">
        <v>0.001</v>
      </c>
      <c r="AT2286" s="159" t="s">
        <v>135</v>
      </c>
      <c r="AU2286" s="159" t="s">
        <v>186</v>
      </c>
      <c r="AV2286" s="154" t="s">
        <v>137</v>
      </c>
      <c r="AW2286" s="2044" t="s">
        <v>138</v>
      </c>
      <c r="AX2286" s="154" t="s">
        <v>143</v>
      </c>
      <c r="AY2286" s="61" t="str">
        <f>IFERROR(__xludf.DUMMYFUNCTION("vlookup(BB2286,importrange(""https://docs.google.com/spreadsheets/d/1d2vevQ_7D_v35q4wCQ4RpQ_IPoTwEMB9Yp6ymwlPqew/edit?gid=984458430#gid=984458430"", ""'replication success'!A:K""), 11, FAlSE)"),"successful")</f>
        <v>successful</v>
      </c>
      <c r="AZ2286" s="91" t="str">
        <f>IFERROR(__xludf.DUMMYFUNCTION("vlookup(BB2286,importrange(""https://docs.google.com/spreadsheets/d/1d2vevQ_7D_v35q4wCQ4RpQ_IPoTwEMB9Yp6ymwlPqew/edit?gid=984458430#gid=984458430"", ""'replication success'!A:M""), 12, FAlSE)"),"https://osf.io/4ewkh")</f>
        <v>https://osf.io/4ewkh</v>
      </c>
      <c r="BA2286" s="91" t="str">
        <f>IFERROR(__xludf.DUMMYFUNCTION("vlookup(BB2286,importrange(""https://docs.google.com/spreadsheets/d/1d2vevQ_7D_v35q4wCQ4RpQ_IPoTwEMB9Yp6ymwlPqew/edit?gid=984458430#gid=984458430"", ""'replication success'!A:M""), 13, FAlSE)"),"https://osf.io/4ewkh")</f>
        <v>https://osf.io/4ewkh</v>
      </c>
      <c r="BB2286" s="61" t="str">
        <f>IFERROR(__xludf.DUMMYFUNCTION("REGEXREPLACE(G2286, ""_[a-z]{1,2}$"", """")"),"XPHI24")</f>
        <v>XPHI24</v>
      </c>
      <c r="BD2286" s="129" t="s">
        <v>13750</v>
      </c>
    </row>
    <row r="2287">
      <c r="A2287" s="44">
        <v>2287.0</v>
      </c>
      <c r="B2287" s="154" t="s">
        <v>114</v>
      </c>
      <c r="C2287" s="62" t="s">
        <v>115</v>
      </c>
      <c r="D2287" s="62" t="s">
        <v>1270</v>
      </c>
      <c r="F2287" s="1286" t="s">
        <v>13825</v>
      </c>
      <c r="G2287" s="159" t="s">
        <v>13826</v>
      </c>
      <c r="H2287" s="1287" t="s">
        <v>5024</v>
      </c>
      <c r="I2287" s="152">
        <v>45674.0</v>
      </c>
      <c r="J2287" s="153">
        <v>45716.0</v>
      </c>
      <c r="K2287" s="159" t="s">
        <v>13827</v>
      </c>
      <c r="L2287" s="68"/>
      <c r="M2287" s="159" t="s">
        <v>13828</v>
      </c>
      <c r="N2287" s="159" t="s">
        <v>13829</v>
      </c>
      <c r="O2287" s="156">
        <v>1.0</v>
      </c>
      <c r="P2287" s="159" t="str">
        <f>SUBSTITUTE(LOWER(N2287), "/", "--") &amp;  ".pdf"</f>
        <v>10.1007--s11098-009-9439-x.pdf</v>
      </c>
      <c r="Q2287" s="52" t="str">
        <f t="array" ref="Q2287"> if(iserror(MATCH(V2287, 'File Links'!C:C, 0)), "N/A", HYPERLINK(INDEX('File Links'!B:B, MATCH(P2287, 'File Links'!C:C, 0))))</f>
        <v>https://drive.google.com/file/d/1tY7SvX2n-lCVOB9eR5KtC31EmD0a4uX2/view?usp=drivesdk</v>
      </c>
      <c r="R2287" s="2028" t="s">
        <v>5028</v>
      </c>
      <c r="S2287" s="310" t="s">
        <v>5029</v>
      </c>
      <c r="T2287" s="310" t="s">
        <v>5030</v>
      </c>
      <c r="U2287" s="156">
        <v>25.0</v>
      </c>
      <c r="V2287" s="159" t="str">
        <f t="shared" si="123"/>
        <v>10.1007--s13164-018-0400-9.pdf</v>
      </c>
      <c r="W2287" s="1290" t="s">
        <v>5031</v>
      </c>
      <c r="X2287" s="54" t="str">
        <f t="array" ref="X2287"> if(iserror(MATCH(V2287, 'File Links'!C:C, 0)), "N/A", HYPERLINK(INDEX('File Links'!B:B, MATCH(V2287, 'File Links'!C:C, 0))))</f>
        <v>https://drive.google.com/file/d/1hjI3aqifdfXjWhQAlvKCKKtvjuncAn5M/view?usp=drivesdk</v>
      </c>
      <c r="Y2287" s="68"/>
      <c r="Z2287" s="159" t="s">
        <v>165</v>
      </c>
      <c r="AA2287" s="129" t="s">
        <v>138</v>
      </c>
      <c r="AB2287" s="151" t="s">
        <v>13830</v>
      </c>
      <c r="AC2287" s="1058" t="s">
        <v>13831</v>
      </c>
      <c r="AD2287" s="159" t="s">
        <v>13832</v>
      </c>
      <c r="AE2287" s="159" t="s">
        <v>13833</v>
      </c>
      <c r="AF2287" s="68"/>
      <c r="AG2287" s="68"/>
      <c r="AH2287" s="68"/>
      <c r="AI2287" s="338"/>
      <c r="AJ2287" s="61"/>
      <c r="AK2287" s="61"/>
      <c r="AL2287" s="68"/>
      <c r="AM2287" s="61"/>
      <c r="AN2287" s="68"/>
      <c r="AO2287" s="1292">
        <v>148.0</v>
      </c>
      <c r="AP2287" s="159" t="s">
        <v>13834</v>
      </c>
      <c r="AQ2287" s="159" t="s">
        <v>173</v>
      </c>
      <c r="AR2287" s="159" t="s">
        <v>628</v>
      </c>
      <c r="AS2287" s="156">
        <v>0.018</v>
      </c>
      <c r="AT2287" s="159" t="s">
        <v>172</v>
      </c>
      <c r="AU2287" s="159" t="s">
        <v>186</v>
      </c>
      <c r="AV2287" s="159" t="s">
        <v>137</v>
      </c>
      <c r="AW2287" s="68"/>
      <c r="AX2287" s="159" t="s">
        <v>143</v>
      </c>
      <c r="AY2287" s="61" t="str">
        <f>IFERROR(__xludf.DUMMYFUNCTION("vlookup(BB2287,importrange(""https://docs.google.com/spreadsheets/d/1d2vevQ_7D_v35q4wCQ4RpQ_IPoTwEMB9Yp6ymwlPqew/edit?gid=984458430#gid=984458430"", ""'replication success'!A:K""), 11, FAlSE)"),"successful")</f>
        <v>successful</v>
      </c>
      <c r="AZ2287" s="91" t="str">
        <f>IFERROR(__xludf.DUMMYFUNCTION("vlookup(BB2287,importrange(""https://docs.google.com/spreadsheets/d/1d2vevQ_7D_v35q4wCQ4RpQ_IPoTwEMB9Yp6ymwlPqew/edit?gid=984458430#gid=984458430"", ""'replication success'!A:M""), 12, FAlSE)"),"https://osf.io/4ewkh")</f>
        <v>https://osf.io/4ewkh</v>
      </c>
      <c r="BA2287" s="91" t="str">
        <f>IFERROR(__xludf.DUMMYFUNCTION("vlookup(BB2287,importrange(""https://docs.google.com/spreadsheets/d/1d2vevQ_7D_v35q4wCQ4RpQ_IPoTwEMB9Yp6ymwlPqew/edit?gid=984458430#gid=984458430"", ""'replication success'!A:M""), 13, FAlSE)"),"https://osf.io/4ewkh")</f>
        <v>https://osf.io/4ewkh</v>
      </c>
      <c r="BB2287" s="61" t="str">
        <f>IFERROR(__xludf.DUMMYFUNCTION("REGEXREPLACE(G2287, ""_[a-z]{1,2}$"", """")"),"XPHI25")</f>
        <v>XPHI25</v>
      </c>
      <c r="BD2287" s="129" t="s">
        <v>13750</v>
      </c>
    </row>
    <row r="2288">
      <c r="A2288" s="44">
        <v>2288.0</v>
      </c>
      <c r="B2288" s="45" t="s">
        <v>152</v>
      </c>
      <c r="C2288" s="62" t="s">
        <v>115</v>
      </c>
      <c r="D2288" s="62" t="s">
        <v>248</v>
      </c>
      <c r="F2288" s="1286" t="s">
        <v>13825</v>
      </c>
      <c r="G2288" s="159" t="s">
        <v>13826</v>
      </c>
      <c r="H2288" s="1287" t="s">
        <v>249</v>
      </c>
      <c r="I2288" s="152">
        <v>45331.0</v>
      </c>
      <c r="J2288" s="153">
        <v>45716.0</v>
      </c>
      <c r="K2288" s="159" t="s">
        <v>13835</v>
      </c>
      <c r="L2288" s="129" t="s">
        <v>13836</v>
      </c>
      <c r="M2288" s="159" t="s">
        <v>13828</v>
      </c>
      <c r="N2288" s="159" t="s">
        <v>13829</v>
      </c>
      <c r="O2288" s="129">
        <v>1.0</v>
      </c>
      <c r="P2288" s="159" t="s">
        <v>13837</v>
      </c>
      <c r="Q2288" s="52" t="str">
        <f t="array" ref="Q2288"> if(iserror(MATCH(V2288, 'File Links'!C:C, 0)), "N/A", HYPERLINK(INDEX('File Links'!B:B, MATCH(P2288, 'File Links'!C:C, 0))))</f>
        <v>https://drive.google.com/file/d/1tY7SvX2n-lCVOB9eR5KtC31EmD0a4uX2/view?usp=drivesdk</v>
      </c>
      <c r="R2288" s="2028" t="s">
        <v>5028</v>
      </c>
      <c r="S2288" s="159" t="s">
        <v>5029</v>
      </c>
      <c r="T2288" s="310" t="s">
        <v>5030</v>
      </c>
      <c r="U2288" s="68"/>
      <c r="V2288" s="159" t="str">
        <f t="shared" si="123"/>
        <v>10.1007--s13164-018-0400-9.pdf</v>
      </c>
      <c r="W2288" s="1290" t="s">
        <v>5031</v>
      </c>
      <c r="X2288" s="54" t="str">
        <f t="array" ref="X2288"> if(iserror(MATCH(V2288, 'File Links'!C:C, 0)), "N/A", HYPERLINK(INDEX('File Links'!B:B, MATCH(V2288, 'File Links'!C:C, 0))))</f>
        <v>https://drive.google.com/file/d/1hjI3aqifdfXjWhQAlvKCKKtvjuncAn5M/view?usp=drivesdk</v>
      </c>
      <c r="Y2288" s="68"/>
      <c r="Z2288" s="159" t="s">
        <v>165</v>
      </c>
      <c r="AA2288" s="129" t="s">
        <v>138</v>
      </c>
      <c r="AB2288" s="159" t="s">
        <v>4187</v>
      </c>
      <c r="AC2288" s="1058" t="s">
        <v>13831</v>
      </c>
      <c r="AD2288" s="159" t="s">
        <v>13838</v>
      </c>
      <c r="AE2288" s="1290" t="s">
        <v>13833</v>
      </c>
      <c r="AF2288" s="1356">
        <v>111.0</v>
      </c>
      <c r="AG2288" s="2043">
        <v>0.87</v>
      </c>
      <c r="AH2288" s="159" t="s">
        <v>173</v>
      </c>
      <c r="AI2288" s="339" t="s">
        <v>13839</v>
      </c>
      <c r="AJ2288" s="379">
        <v>0.001</v>
      </c>
      <c r="AK2288" s="57" t="s">
        <v>135</v>
      </c>
      <c r="AL2288" s="159" t="s">
        <v>186</v>
      </c>
      <c r="AM2288" s="2045" t="s">
        <v>137</v>
      </c>
      <c r="AN2288" s="1131" t="s">
        <v>138</v>
      </c>
      <c r="AO2288" s="2046">
        <v>88.0</v>
      </c>
      <c r="AP2288" s="156">
        <v>0.52</v>
      </c>
      <c r="AQ2288" s="159" t="s">
        <v>173</v>
      </c>
      <c r="AR2288" s="690" t="s">
        <v>13840</v>
      </c>
      <c r="AS2288" s="156">
        <v>0.018</v>
      </c>
      <c r="AT2288" s="159" t="s">
        <v>172</v>
      </c>
      <c r="AU2288" s="159" t="s">
        <v>186</v>
      </c>
      <c r="AV2288" s="154" t="s">
        <v>137</v>
      </c>
      <c r="AW2288" s="2047" t="s">
        <v>138</v>
      </c>
      <c r="AX2288" s="154" t="s">
        <v>143</v>
      </c>
      <c r="AY2288" s="61" t="str">
        <f>IFERROR(__xludf.DUMMYFUNCTION("vlookup(BB2288,importrange(""https://docs.google.com/spreadsheets/d/1d2vevQ_7D_v35q4wCQ4RpQ_IPoTwEMB9Yp6ymwlPqew/edit?gid=984458430#gid=984458430"", ""'replication success'!A:K""), 11, FAlSE)"),"successful")</f>
        <v>successful</v>
      </c>
      <c r="AZ2288" s="91" t="str">
        <f>IFERROR(__xludf.DUMMYFUNCTION("vlookup(BB2288,importrange(""https://docs.google.com/spreadsheets/d/1d2vevQ_7D_v35q4wCQ4RpQ_IPoTwEMB9Yp6ymwlPqew/edit?gid=984458430#gid=984458430"", ""'replication success'!A:M""), 12, FAlSE)"),"https://osf.io/4ewkh")</f>
        <v>https://osf.io/4ewkh</v>
      </c>
      <c r="BA2288" s="91" t="str">
        <f>IFERROR(__xludf.DUMMYFUNCTION("vlookup(BB2288,importrange(""https://docs.google.com/spreadsheets/d/1d2vevQ_7D_v35q4wCQ4RpQ_IPoTwEMB9Yp6ymwlPqew/edit?gid=984458430#gid=984458430"", ""'replication success'!A:M""), 13, FAlSE)"),"https://osf.io/4ewkh")</f>
        <v>https://osf.io/4ewkh</v>
      </c>
      <c r="BB2288" s="61" t="str">
        <f>IFERROR(__xludf.DUMMYFUNCTION("REGEXREPLACE(G2288, ""_[a-z]{1,2}$"", """")"),"XPHI25")</f>
        <v>XPHI25</v>
      </c>
      <c r="BD2288" s="129" t="s">
        <v>13750</v>
      </c>
    </row>
    <row r="2289">
      <c r="A2289" s="44">
        <v>2289.0</v>
      </c>
      <c r="B2289" s="155" t="s">
        <v>152</v>
      </c>
      <c r="C2289" s="62" t="s">
        <v>115</v>
      </c>
      <c r="D2289" s="62" t="s">
        <v>1270</v>
      </c>
      <c r="F2289" s="2027" t="s">
        <v>13841</v>
      </c>
      <c r="G2289" s="159" t="s">
        <v>13842</v>
      </c>
      <c r="H2289" s="1287" t="s">
        <v>5024</v>
      </c>
      <c r="I2289" s="152">
        <v>45674.0</v>
      </c>
      <c r="J2289" s="153">
        <v>45716.0</v>
      </c>
      <c r="K2289" s="159" t="s">
        <v>13843</v>
      </c>
      <c r="L2289" s="129" t="s">
        <v>4935</v>
      </c>
      <c r="M2289" s="159" t="s">
        <v>13844</v>
      </c>
      <c r="N2289" s="159" t="s">
        <v>13845</v>
      </c>
      <c r="O2289" s="156">
        <v>1.0</v>
      </c>
      <c r="P2289" s="159" t="str">
        <f>SUBSTITUTE(LOWER(N2289), "/", "--") &amp;  ".pdf"</f>
        <v>10.5840--jphil20111081238.pdf</v>
      </c>
      <c r="Q2289" s="52" t="str">
        <f t="array" ref="Q2289"> if(iserror(MATCH(V2289, 'File Links'!C:C, 0)), "N/A", HYPERLINK(INDEX('File Links'!B:B, MATCH(P2289, 'File Links'!C:C, 0))))</f>
        <v>https://drive.google.com/file/d/1-XMlXEjoIspJ3kqVPF-O6pr1PklAU4DF/view?usp=drivesdk</v>
      </c>
      <c r="R2289" s="2028" t="s">
        <v>5028</v>
      </c>
      <c r="S2289" s="310" t="s">
        <v>5029</v>
      </c>
      <c r="T2289" s="310" t="s">
        <v>5030</v>
      </c>
      <c r="U2289" s="156">
        <v>26.0</v>
      </c>
      <c r="V2289" s="159" t="str">
        <f t="shared" si="123"/>
        <v>10.1007--s13164-018-0400-9.pdf</v>
      </c>
      <c r="W2289" s="1290" t="s">
        <v>5031</v>
      </c>
      <c r="X2289" s="54" t="str">
        <f t="array" ref="X2289"> if(iserror(MATCH(V2289, 'File Links'!C:C, 0)), "N/A", HYPERLINK(INDEX('File Links'!B:B, MATCH(V2289, 'File Links'!C:C, 0))))</f>
        <v>https://drive.google.com/file/d/1hjI3aqifdfXjWhQAlvKCKKtvjuncAn5M/view?usp=drivesdk</v>
      </c>
      <c r="Y2289" s="68"/>
      <c r="Z2289" s="159" t="s">
        <v>165</v>
      </c>
      <c r="AA2289" s="129" t="s">
        <v>138</v>
      </c>
      <c r="AB2289" s="159" t="s">
        <v>13846</v>
      </c>
      <c r="AC2289" s="129" t="s">
        <v>13847</v>
      </c>
      <c r="AD2289" s="1290" t="s">
        <v>13848</v>
      </c>
      <c r="AE2289" s="2048" t="s">
        <v>13849</v>
      </c>
      <c r="AF2289" s="1752">
        <v>217.0</v>
      </c>
      <c r="AG2289" s="2038" t="s">
        <v>13850</v>
      </c>
      <c r="AH2289" s="1131" t="s">
        <v>134</v>
      </c>
      <c r="AI2289" s="1131" t="s">
        <v>13851</v>
      </c>
      <c r="AJ2289" s="379">
        <v>0.001</v>
      </c>
      <c r="AK2289" s="57" t="s">
        <v>135</v>
      </c>
      <c r="AL2289" s="159" t="s">
        <v>186</v>
      </c>
      <c r="AM2289" s="57" t="s">
        <v>137</v>
      </c>
      <c r="AN2289" s="1058" t="s">
        <v>138</v>
      </c>
      <c r="AO2289" s="1292">
        <v>217.0</v>
      </c>
      <c r="AP2289" s="159" t="s">
        <v>13852</v>
      </c>
      <c r="AQ2289" s="159" t="s">
        <v>134</v>
      </c>
      <c r="AR2289" s="690" t="s">
        <v>13853</v>
      </c>
      <c r="AS2289" s="156">
        <v>0.32</v>
      </c>
      <c r="AT2289" s="159" t="s">
        <v>172</v>
      </c>
      <c r="AU2289" s="159" t="s">
        <v>186</v>
      </c>
      <c r="AV2289" s="159" t="s">
        <v>137</v>
      </c>
      <c r="AW2289" s="310" t="s">
        <v>13854</v>
      </c>
      <c r="AX2289" s="159" t="s">
        <v>143</v>
      </c>
      <c r="AY2289" s="61" t="str">
        <f>IFERROR(__xludf.DUMMYFUNCTION("vlookup(BB2289,importrange(""https://docs.google.com/spreadsheets/d/1d2vevQ_7D_v35q4wCQ4RpQ_IPoTwEMB9Yp6ymwlPqew/edit?gid=984458430#gid=984458430"", ""'replication success'!A:K""), 11, FAlSE)"),"failed")</f>
        <v>failed</v>
      </c>
      <c r="AZ2289" s="91" t="str">
        <f>IFERROR(__xludf.DUMMYFUNCTION("vlookup(BB2289,importrange(""https://docs.google.com/spreadsheets/d/1d2vevQ_7D_v35q4wCQ4RpQ_IPoTwEMB9Yp6ymwlPqew/edit?gid=984458430#gid=984458430"", ""'replication success'!A:M""), 12, FAlSE)"),"https://osf.io/4ewkh")</f>
        <v>https://osf.io/4ewkh</v>
      </c>
      <c r="BA2289" s="91" t="str">
        <f>IFERROR(__xludf.DUMMYFUNCTION("vlookup(BB2289,importrange(""https://docs.google.com/spreadsheets/d/1d2vevQ_7D_v35q4wCQ4RpQ_IPoTwEMB9Yp6ymwlPqew/edit?gid=984458430#gid=984458430"", ""'replication success'!A:M""), 13, FAlSE)"),"https://osf.io/4ewkh")</f>
        <v>https://osf.io/4ewkh</v>
      </c>
      <c r="BB2289" s="61" t="str">
        <f>IFERROR(__xludf.DUMMYFUNCTION("REGEXREPLACE(G2289, ""_[a-z]{1,2}$"", """")"),"XPHI26")</f>
        <v>XPHI26</v>
      </c>
      <c r="BD2289" s="129" t="s">
        <v>13750</v>
      </c>
      <c r="BE2289" s="1123"/>
      <c r="BF2289" s="1123"/>
      <c r="BG2289" s="1123"/>
      <c r="BH2289" s="1123"/>
      <c r="BI2289" s="1123"/>
      <c r="BJ2289" s="1123"/>
      <c r="BK2289" s="1123"/>
      <c r="BL2289" s="1123"/>
      <c r="BM2289" s="1123"/>
      <c r="BN2289" s="1123"/>
      <c r="BO2289" s="1123"/>
      <c r="BP2289" s="1123"/>
      <c r="BQ2289" s="1123"/>
      <c r="BR2289" s="1123"/>
      <c r="BS2289" s="1123"/>
      <c r="BT2289" s="1123"/>
      <c r="BU2289" s="1123"/>
      <c r="BV2289" s="1123"/>
      <c r="BW2289" s="1123"/>
      <c r="BX2289" s="1123"/>
      <c r="BY2289" s="1123"/>
      <c r="BZ2289" s="1123"/>
      <c r="CA2289" s="1123"/>
      <c r="CB2289" s="1123"/>
      <c r="CC2289" s="1123"/>
      <c r="CD2289" s="1123"/>
      <c r="CE2289" s="1123"/>
      <c r="CF2289" s="1123"/>
      <c r="CG2289" s="1123"/>
      <c r="CH2289" s="1123"/>
      <c r="CI2289" s="1123"/>
      <c r="CJ2289" s="1123"/>
      <c r="CK2289" s="1123"/>
      <c r="CL2289" s="1123"/>
      <c r="CM2289" s="1123"/>
      <c r="CN2289" s="1123"/>
      <c r="CO2289" s="1123"/>
      <c r="CP2289" s="1123"/>
      <c r="CQ2289" s="1123"/>
      <c r="CR2289" s="1123"/>
      <c r="CS2289" s="1123"/>
      <c r="CT2289" s="1123"/>
      <c r="CU2289" s="1123"/>
      <c r="CV2289" s="1123"/>
      <c r="CW2289" s="1123"/>
      <c r="CX2289" s="1123"/>
      <c r="CY2289" s="1123"/>
      <c r="CZ2289" s="1123"/>
      <c r="DA2289" s="1123"/>
      <c r="DB2289" s="1123"/>
      <c r="DC2289" s="1123"/>
      <c r="DD2289" s="1123"/>
      <c r="DE2289" s="1123"/>
      <c r="DF2289" s="1123"/>
      <c r="DG2289" s="1123"/>
      <c r="DH2289" s="1123"/>
      <c r="DI2289" s="1123"/>
      <c r="DJ2289" s="1123"/>
      <c r="DK2289" s="1123"/>
      <c r="DL2289" s="1123"/>
    </row>
    <row r="2290">
      <c r="A2290" s="44">
        <v>2290.0</v>
      </c>
      <c r="B2290" s="45" t="s">
        <v>114</v>
      </c>
      <c r="C2290" s="62" t="s">
        <v>115</v>
      </c>
      <c r="D2290" s="62" t="s">
        <v>248</v>
      </c>
      <c r="F2290" s="2027" t="s">
        <v>13841</v>
      </c>
      <c r="G2290" s="159" t="s">
        <v>13842</v>
      </c>
      <c r="H2290" s="1287" t="s">
        <v>249</v>
      </c>
      <c r="I2290" s="152">
        <v>45331.0</v>
      </c>
      <c r="J2290" s="153">
        <v>45716.0</v>
      </c>
      <c r="K2290" s="68"/>
      <c r="L2290" s="68"/>
      <c r="M2290" s="159" t="s">
        <v>13844</v>
      </c>
      <c r="N2290" s="159" t="s">
        <v>13845</v>
      </c>
      <c r="O2290" s="129">
        <v>1.0</v>
      </c>
      <c r="P2290" s="159" t="s">
        <v>13855</v>
      </c>
      <c r="Q2290" s="52" t="str">
        <f t="array" ref="Q2290"> if(iserror(MATCH(V2290, 'File Links'!C:C, 0)), "N/A", HYPERLINK(INDEX('File Links'!B:B, MATCH(P2290, 'File Links'!C:C, 0))))</f>
        <v>https://drive.google.com/file/d/1-XMlXEjoIspJ3kqVPF-O6pr1PklAU4DF/view?usp=drivesdk</v>
      </c>
      <c r="R2290" s="2028" t="s">
        <v>5028</v>
      </c>
      <c r="S2290" s="159" t="s">
        <v>5029</v>
      </c>
      <c r="T2290" s="310" t="s">
        <v>5030</v>
      </c>
      <c r="U2290" s="68"/>
      <c r="V2290" s="159" t="str">
        <f t="shared" si="123"/>
        <v>10.1007--s13164-018-0400-9.pdf</v>
      </c>
      <c r="W2290" s="1290" t="s">
        <v>5031</v>
      </c>
      <c r="X2290" s="54" t="str">
        <f t="array" ref="X2290"> if(iserror(MATCH(V2290, 'File Links'!C:C, 0)), "N/A", HYPERLINK(INDEX('File Links'!B:B, MATCH(V2290, 'File Links'!C:C, 0))))</f>
        <v>https://drive.google.com/file/d/1hjI3aqifdfXjWhQAlvKCKKtvjuncAn5M/view?usp=drivesdk</v>
      </c>
      <c r="Y2290" s="68"/>
      <c r="Z2290" s="159" t="s">
        <v>165</v>
      </c>
      <c r="AA2290" s="129" t="s">
        <v>138</v>
      </c>
      <c r="AB2290" s="159" t="s">
        <v>5041</v>
      </c>
      <c r="AC2290" s="68"/>
      <c r="AD2290" s="151" t="s">
        <v>13856</v>
      </c>
      <c r="AE2290" s="1477" t="s">
        <v>13849</v>
      </c>
      <c r="AF2290" s="156">
        <v>217.0</v>
      </c>
      <c r="AG2290" s="2049" t="s">
        <v>13857</v>
      </c>
      <c r="AH2290" s="119" t="s">
        <v>134</v>
      </c>
      <c r="AI2290" s="339" t="s">
        <v>13858</v>
      </c>
      <c r="AJ2290" s="379">
        <v>0.001</v>
      </c>
      <c r="AK2290" s="57" t="s">
        <v>135</v>
      </c>
      <c r="AL2290" s="159" t="s">
        <v>186</v>
      </c>
      <c r="AM2290" s="1286" t="s">
        <v>137</v>
      </c>
      <c r="AN2290" s="1131" t="s">
        <v>138</v>
      </c>
      <c r="AO2290" s="1292">
        <v>217.0</v>
      </c>
      <c r="AP2290" s="161" t="s">
        <v>13859</v>
      </c>
      <c r="AQ2290" s="151" t="s">
        <v>134</v>
      </c>
      <c r="AR2290" s="159"/>
      <c r="AS2290" s="156">
        <v>0.032</v>
      </c>
      <c r="AT2290" s="159" t="s">
        <v>172</v>
      </c>
      <c r="AU2290" s="159" t="s">
        <v>186</v>
      </c>
      <c r="AV2290" s="68"/>
      <c r="AW2290" s="680" t="s">
        <v>13860</v>
      </c>
      <c r="AX2290" s="154" t="s">
        <v>143</v>
      </c>
      <c r="AY2290" s="61" t="str">
        <f>IFERROR(__xludf.DUMMYFUNCTION("vlookup(BB2290,importrange(""https://docs.google.com/spreadsheets/d/1d2vevQ_7D_v35q4wCQ4RpQ_IPoTwEMB9Yp6ymwlPqew/edit?gid=984458430#gid=984458430"", ""'replication success'!A:K""), 11, FAlSE)"),"failed")</f>
        <v>failed</v>
      </c>
      <c r="AZ2290" s="91" t="str">
        <f>IFERROR(__xludf.DUMMYFUNCTION("vlookup(BB2290,importrange(""https://docs.google.com/spreadsheets/d/1d2vevQ_7D_v35q4wCQ4RpQ_IPoTwEMB9Yp6ymwlPqew/edit?gid=984458430#gid=984458430"", ""'replication success'!A:M""), 12, FAlSE)"),"https://osf.io/4ewkh")</f>
        <v>https://osf.io/4ewkh</v>
      </c>
      <c r="BA2290" s="91" t="str">
        <f>IFERROR(__xludf.DUMMYFUNCTION("vlookup(BB2290,importrange(""https://docs.google.com/spreadsheets/d/1d2vevQ_7D_v35q4wCQ4RpQ_IPoTwEMB9Yp6ymwlPqew/edit?gid=984458430#gid=984458430"", ""'replication success'!A:M""), 13, FAlSE)"),"https://osf.io/4ewkh")</f>
        <v>https://osf.io/4ewkh</v>
      </c>
      <c r="BB2290" s="61" t="str">
        <f>IFERROR(__xludf.DUMMYFUNCTION("REGEXREPLACE(G2290, ""_[a-z]{1,2}$"", """")"),"XPHI26")</f>
        <v>XPHI26</v>
      </c>
      <c r="BD2290" s="129" t="s">
        <v>13750</v>
      </c>
      <c r="BE2290" s="1123"/>
      <c r="BF2290" s="1123"/>
      <c r="BG2290" s="1123"/>
      <c r="BH2290" s="1123"/>
      <c r="BI2290" s="1123"/>
      <c r="BJ2290" s="1123"/>
      <c r="BK2290" s="1123"/>
      <c r="BL2290" s="1123"/>
      <c r="BM2290" s="1123"/>
      <c r="BN2290" s="1123"/>
      <c r="BO2290" s="1123"/>
      <c r="BP2290" s="1123"/>
      <c r="BQ2290" s="1123"/>
      <c r="BR2290" s="1123"/>
      <c r="BS2290" s="1123"/>
      <c r="BT2290" s="1123"/>
      <c r="BU2290" s="1123"/>
      <c r="BV2290" s="1123"/>
      <c r="BW2290" s="1123"/>
      <c r="BX2290" s="1123"/>
      <c r="BY2290" s="1123"/>
      <c r="BZ2290" s="1123"/>
      <c r="CA2290" s="1123"/>
      <c r="CB2290" s="1123"/>
      <c r="CC2290" s="1123"/>
      <c r="CD2290" s="1123"/>
      <c r="CE2290" s="1123"/>
      <c r="CF2290" s="1123"/>
      <c r="CG2290" s="1123"/>
      <c r="CH2290" s="1123"/>
      <c r="CI2290" s="1123"/>
      <c r="CJ2290" s="1123"/>
      <c r="CK2290" s="1123"/>
      <c r="CL2290" s="1123"/>
      <c r="CM2290" s="1123"/>
      <c r="CN2290" s="1123"/>
      <c r="CO2290" s="1123"/>
      <c r="CP2290" s="1123"/>
      <c r="CQ2290" s="1123"/>
      <c r="CR2290" s="1123"/>
      <c r="CS2290" s="1123"/>
      <c r="CT2290" s="1123"/>
      <c r="CU2290" s="1123"/>
      <c r="CV2290" s="1123"/>
      <c r="CW2290" s="1123"/>
      <c r="CX2290" s="1123"/>
      <c r="CY2290" s="1123"/>
      <c r="CZ2290" s="1123"/>
      <c r="DA2290" s="1123"/>
      <c r="DB2290" s="1123"/>
      <c r="DC2290" s="1123"/>
      <c r="DD2290" s="1123"/>
      <c r="DE2290" s="1123"/>
      <c r="DF2290" s="1123"/>
      <c r="DG2290" s="1123"/>
      <c r="DH2290" s="1123"/>
      <c r="DI2290" s="1123"/>
      <c r="DJ2290" s="1123"/>
      <c r="DK2290" s="1123"/>
      <c r="DL2290" s="1123"/>
    </row>
    <row r="2291">
      <c r="A2291" s="44">
        <v>2291.0</v>
      </c>
      <c r="B2291" s="322" t="s">
        <v>523</v>
      </c>
      <c r="C2291" s="149" t="s">
        <v>115</v>
      </c>
      <c r="D2291" s="62" t="s">
        <v>1270</v>
      </c>
      <c r="F2291" s="129" t="s">
        <v>13841</v>
      </c>
      <c r="G2291" s="151" t="s">
        <v>13861</v>
      </c>
      <c r="H2291" s="1287" t="s">
        <v>5024</v>
      </c>
      <c r="I2291" s="152">
        <v>45674.0</v>
      </c>
      <c r="J2291" s="152">
        <v>45691.0</v>
      </c>
      <c r="K2291" s="159" t="s">
        <v>13862</v>
      </c>
      <c r="L2291" s="68" t="s">
        <v>13863</v>
      </c>
      <c r="M2291" s="159" t="s">
        <v>13844</v>
      </c>
      <c r="N2291" s="159" t="s">
        <v>13845</v>
      </c>
      <c r="O2291" s="156">
        <v>1.0</v>
      </c>
      <c r="P2291" s="159" t="str">
        <f t="shared" ref="P2291:P2298" si="127">SUBSTITUTE(LOWER(N2291), "/", "--") &amp;  ".pdf"</f>
        <v>10.5840--jphil20111081238.pdf</v>
      </c>
      <c r="Q2291" s="52" t="str">
        <f t="array" ref="Q2291"> if(iserror(MATCH(V2291, 'File Links'!C:C, 0)), "N/A", HYPERLINK(INDEX('File Links'!B:B, MATCH(P2291, 'File Links'!C:C, 0))))</f>
        <v>https://drive.google.com/file/d/1-XMlXEjoIspJ3kqVPF-O6pr1PklAU4DF/view?usp=drivesdk</v>
      </c>
      <c r="R2291" s="2028" t="s">
        <v>5028</v>
      </c>
      <c r="S2291" s="310" t="s">
        <v>5029</v>
      </c>
      <c r="T2291" s="310" t="s">
        <v>5030</v>
      </c>
      <c r="U2291" s="156">
        <v>26.0</v>
      </c>
      <c r="V2291" s="198" t="str">
        <f t="shared" si="123"/>
        <v>10.1007--s13164-018-0400-9.pdf</v>
      </c>
      <c r="W2291" s="1290" t="s">
        <v>5031</v>
      </c>
      <c r="X2291" s="54" t="str">
        <f t="array" ref="X2291"> if(iserror(MATCH(V2291, 'File Links'!C:C, 0)), "N/A", HYPERLINK(INDEX('File Links'!B:B, MATCH(V2291, 'File Links'!C:C, 0))))</f>
        <v>https://drive.google.com/file/d/1hjI3aqifdfXjWhQAlvKCKKtvjuncAn5M/view?usp=drivesdk</v>
      </c>
      <c r="Y2291" s="68"/>
      <c r="Z2291" s="159" t="s">
        <v>165</v>
      </c>
      <c r="AA2291" s="129" t="s">
        <v>138</v>
      </c>
      <c r="AB2291" s="159" t="s">
        <v>13846</v>
      </c>
      <c r="AC2291" s="68"/>
      <c r="AD2291" s="159" t="s">
        <v>13864</v>
      </c>
      <c r="AE2291" s="159" t="s">
        <v>13865</v>
      </c>
      <c r="AF2291" s="2050">
        <v>217.0</v>
      </c>
      <c r="AG2291" s="2051" t="s">
        <v>13866</v>
      </c>
      <c r="AH2291" s="119" t="s">
        <v>134</v>
      </c>
      <c r="AI2291" s="2052" t="s">
        <v>13867</v>
      </c>
      <c r="AJ2291" s="379">
        <v>0.001</v>
      </c>
      <c r="AK2291" s="57" t="s">
        <v>135</v>
      </c>
      <c r="AL2291" s="159" t="s">
        <v>186</v>
      </c>
      <c r="AM2291" s="57" t="s">
        <v>137</v>
      </c>
      <c r="AN2291" s="330" t="s">
        <v>138</v>
      </c>
      <c r="AO2291" s="156">
        <v>319.0</v>
      </c>
      <c r="AP2291" s="159" t="s">
        <v>13868</v>
      </c>
      <c r="AQ2291" s="159" t="s">
        <v>134</v>
      </c>
      <c r="AR2291" s="159" t="s">
        <v>632</v>
      </c>
      <c r="AS2291" s="156">
        <v>0.18</v>
      </c>
      <c r="AT2291" s="159" t="s">
        <v>172</v>
      </c>
      <c r="AU2291" s="159" t="s">
        <v>186</v>
      </c>
      <c r="AV2291" s="159" t="s">
        <v>137</v>
      </c>
      <c r="AW2291" s="310" t="s">
        <v>13854</v>
      </c>
      <c r="AX2291" s="159" t="s">
        <v>143</v>
      </c>
      <c r="AY2291" s="61" t="str">
        <f>IFERROR(__xludf.DUMMYFUNCTION("vlookup(BB2291,importrange(""https://docs.google.com/spreadsheets/d/1d2vevQ_7D_v35q4wCQ4RpQ_IPoTwEMB9Yp6ymwlPqew/edit?gid=984458430#gid=984458430"", ""'replication success'!A:K""), 11, FAlSE)"),"failed")</f>
        <v>failed</v>
      </c>
      <c r="AZ2291" s="91" t="str">
        <f>IFERROR(__xludf.DUMMYFUNCTION("vlookup(BB2291,importrange(""https://docs.google.com/spreadsheets/d/1d2vevQ_7D_v35q4wCQ4RpQ_IPoTwEMB9Yp6ymwlPqew/edit?gid=984458430#gid=984458430"", ""'replication success'!A:M""), 12, FAlSE)"),"https://osf.io/4ewkh")</f>
        <v>https://osf.io/4ewkh</v>
      </c>
      <c r="BA2291" s="91" t="str">
        <f>IFERROR(__xludf.DUMMYFUNCTION("vlookup(BB2291,importrange(""https://docs.google.com/spreadsheets/d/1d2vevQ_7D_v35q4wCQ4RpQ_IPoTwEMB9Yp6ymwlPqew/edit?gid=984458430#gid=984458430"", ""'replication success'!A:M""), 13, FAlSE)"),"https://osf.io/4ewkh")</f>
        <v>https://osf.io/4ewkh</v>
      </c>
      <c r="BB2291" s="61" t="str">
        <f>IFERROR(__xludf.DUMMYFUNCTION("REGEXREPLACE(G2291, ""_[a-z]{1,2}$"", """")"),"XPHI26")</f>
        <v>XPHI26</v>
      </c>
      <c r="BD2291" s="154" t="s">
        <v>249</v>
      </c>
      <c r="BE2291" s="1123"/>
      <c r="BF2291" s="1123"/>
      <c r="BG2291" s="1123"/>
      <c r="BH2291" s="1123"/>
      <c r="BI2291" s="1123"/>
      <c r="BJ2291" s="1123"/>
      <c r="BK2291" s="1123"/>
      <c r="BL2291" s="1123"/>
      <c r="BM2291" s="1123"/>
      <c r="BN2291" s="1123"/>
      <c r="BO2291" s="1123"/>
      <c r="BP2291" s="1123"/>
      <c r="BQ2291" s="1123"/>
      <c r="BR2291" s="1123"/>
      <c r="BS2291" s="1123"/>
      <c r="BT2291" s="1123"/>
      <c r="BU2291" s="1123"/>
      <c r="BV2291" s="1123"/>
      <c r="BW2291" s="1123"/>
      <c r="BX2291" s="1123"/>
      <c r="BY2291" s="1123"/>
      <c r="BZ2291" s="1123"/>
      <c r="CA2291" s="1123"/>
      <c r="CB2291" s="1123"/>
      <c r="CC2291" s="1123"/>
      <c r="CD2291" s="1123"/>
      <c r="CE2291" s="1123"/>
      <c r="CF2291" s="1123"/>
      <c r="CG2291" s="1123"/>
      <c r="CH2291" s="1123"/>
      <c r="CI2291" s="1123"/>
      <c r="CJ2291" s="1123"/>
      <c r="CK2291" s="1123"/>
      <c r="CL2291" s="1123"/>
      <c r="CM2291" s="1123"/>
      <c r="CN2291" s="1123"/>
      <c r="CO2291" s="1123"/>
      <c r="CP2291" s="1123"/>
      <c r="CQ2291" s="1123"/>
      <c r="CR2291" s="1123"/>
      <c r="CS2291" s="1123"/>
      <c r="CT2291" s="1123"/>
      <c r="CU2291" s="1123"/>
      <c r="CV2291" s="1123"/>
      <c r="CW2291" s="1123"/>
      <c r="CX2291" s="1123"/>
      <c r="CY2291" s="1123"/>
      <c r="CZ2291" s="1123"/>
      <c r="DA2291" s="1123"/>
      <c r="DB2291" s="1123"/>
      <c r="DC2291" s="1123"/>
      <c r="DD2291" s="1123"/>
      <c r="DE2291" s="1123"/>
      <c r="DF2291" s="1123"/>
      <c r="DG2291" s="1123"/>
      <c r="DH2291" s="1123"/>
      <c r="DI2291" s="1123"/>
      <c r="DJ2291" s="1123"/>
      <c r="DK2291" s="1123"/>
      <c r="DL2291" s="1123"/>
    </row>
    <row r="2292">
      <c r="A2292" s="44">
        <v>2292.0</v>
      </c>
      <c r="B2292" s="322" t="s">
        <v>523</v>
      </c>
      <c r="C2292" s="149" t="s">
        <v>115</v>
      </c>
      <c r="D2292" s="62" t="s">
        <v>1270</v>
      </c>
      <c r="F2292" s="129" t="s">
        <v>13841</v>
      </c>
      <c r="G2292" s="151" t="s">
        <v>13869</v>
      </c>
      <c r="H2292" s="1287" t="s">
        <v>5024</v>
      </c>
      <c r="I2292" s="152">
        <v>45674.0</v>
      </c>
      <c r="J2292" s="152">
        <v>45691.0</v>
      </c>
      <c r="K2292" s="680" t="s">
        <v>13862</v>
      </c>
      <c r="L2292" s="68" t="s">
        <v>13863</v>
      </c>
      <c r="M2292" s="159" t="s">
        <v>13844</v>
      </c>
      <c r="N2292" s="159" t="s">
        <v>13845</v>
      </c>
      <c r="O2292" s="156">
        <v>1.0</v>
      </c>
      <c r="P2292" s="159" t="str">
        <f t="shared" si="127"/>
        <v>10.5840--jphil20111081238.pdf</v>
      </c>
      <c r="Q2292" s="52" t="str">
        <f t="array" ref="Q2292"> if(iserror(MATCH(V2292, 'File Links'!C:C, 0)), "N/A", HYPERLINK(INDEX('File Links'!B:B, MATCH(P2292, 'File Links'!C:C, 0))))</f>
        <v>https://drive.google.com/file/d/1-XMlXEjoIspJ3kqVPF-O6pr1PklAU4DF/view?usp=drivesdk</v>
      </c>
      <c r="R2292" s="2028" t="s">
        <v>5028</v>
      </c>
      <c r="S2292" s="310" t="s">
        <v>5029</v>
      </c>
      <c r="T2292" s="310" t="s">
        <v>5030</v>
      </c>
      <c r="U2292" s="156">
        <v>26.0</v>
      </c>
      <c r="V2292" s="198" t="str">
        <f t="shared" si="123"/>
        <v>10.1007--s13164-018-0400-9.pdf</v>
      </c>
      <c r="W2292" s="1290" t="s">
        <v>5031</v>
      </c>
      <c r="X2292" s="54" t="str">
        <f t="array" ref="X2292"> if(iserror(MATCH(V2292, 'File Links'!C:C, 0)), "N/A", HYPERLINK(INDEX('File Links'!B:B, MATCH(V2292, 'File Links'!C:C, 0))))</f>
        <v>https://drive.google.com/file/d/1hjI3aqifdfXjWhQAlvKCKKtvjuncAn5M/view?usp=drivesdk</v>
      </c>
      <c r="Y2292" s="68"/>
      <c r="Z2292" s="159" t="s">
        <v>165</v>
      </c>
      <c r="AA2292" s="129" t="s">
        <v>138</v>
      </c>
      <c r="AB2292" s="159" t="s">
        <v>13846</v>
      </c>
      <c r="AC2292" s="68"/>
      <c r="AD2292" s="159" t="s">
        <v>13870</v>
      </c>
      <c r="AE2292" s="159" t="s">
        <v>13865</v>
      </c>
      <c r="AF2292" s="2050">
        <v>217.0</v>
      </c>
      <c r="AG2292" s="2051" t="s">
        <v>13871</v>
      </c>
      <c r="AH2292" s="119" t="s">
        <v>134</v>
      </c>
      <c r="AI2292" s="2052" t="s">
        <v>13867</v>
      </c>
      <c r="AJ2292" s="379">
        <v>0.001</v>
      </c>
      <c r="AK2292" s="57" t="s">
        <v>135</v>
      </c>
      <c r="AL2292" s="159" t="s">
        <v>186</v>
      </c>
      <c r="AM2292" s="57" t="s">
        <v>137</v>
      </c>
      <c r="AN2292" s="330" t="s">
        <v>138</v>
      </c>
      <c r="AO2292" s="156">
        <v>319.0</v>
      </c>
      <c r="AP2292" s="159" t="s">
        <v>13871</v>
      </c>
      <c r="AQ2292" s="159" t="s">
        <v>134</v>
      </c>
      <c r="AR2292" s="159" t="s">
        <v>632</v>
      </c>
      <c r="AS2292" s="156">
        <v>0.001</v>
      </c>
      <c r="AT2292" s="159" t="s">
        <v>135</v>
      </c>
      <c r="AU2292" s="159" t="s">
        <v>186</v>
      </c>
      <c r="AV2292" s="159" t="s">
        <v>137</v>
      </c>
      <c r="AW2292" s="310" t="s">
        <v>13854</v>
      </c>
      <c r="AX2292" s="159" t="s">
        <v>143</v>
      </c>
      <c r="AY2292" s="61" t="str">
        <f>IFERROR(__xludf.DUMMYFUNCTION("vlookup(BB2292,importrange(""https://docs.google.com/spreadsheets/d/1d2vevQ_7D_v35q4wCQ4RpQ_IPoTwEMB9Yp6ymwlPqew/edit?gid=984458430#gid=984458430"", ""'replication success'!A:K""), 11, FAlSE)"),"failed")</f>
        <v>failed</v>
      </c>
      <c r="AZ2292" s="91" t="str">
        <f>IFERROR(__xludf.DUMMYFUNCTION("vlookup(BB2292,importrange(""https://docs.google.com/spreadsheets/d/1d2vevQ_7D_v35q4wCQ4RpQ_IPoTwEMB9Yp6ymwlPqew/edit?gid=984458430#gid=984458430"", ""'replication success'!A:M""), 12, FAlSE)"),"https://osf.io/4ewkh")</f>
        <v>https://osf.io/4ewkh</v>
      </c>
      <c r="BA2292" s="91" t="str">
        <f>IFERROR(__xludf.DUMMYFUNCTION("vlookup(BB2292,importrange(""https://docs.google.com/spreadsheets/d/1d2vevQ_7D_v35q4wCQ4RpQ_IPoTwEMB9Yp6ymwlPqew/edit?gid=984458430#gid=984458430"", ""'replication success'!A:M""), 13, FAlSE)"),"https://osf.io/4ewkh")</f>
        <v>https://osf.io/4ewkh</v>
      </c>
      <c r="BB2292" s="61" t="str">
        <f>IFERROR(__xludf.DUMMYFUNCTION("REGEXREPLACE(G2292, ""_[a-z]{1,2}$"", """")"),"XPHI26")</f>
        <v>XPHI26</v>
      </c>
      <c r="BD2292" s="154" t="s">
        <v>249</v>
      </c>
      <c r="BE2292" s="1123"/>
      <c r="BF2292" s="1123"/>
      <c r="BG2292" s="1123"/>
      <c r="BH2292" s="1123"/>
      <c r="BI2292" s="1123"/>
      <c r="BJ2292" s="1123"/>
      <c r="BK2292" s="1123"/>
      <c r="BL2292" s="1123"/>
      <c r="BM2292" s="1123"/>
      <c r="BN2292" s="1123"/>
      <c r="BO2292" s="1123"/>
      <c r="BP2292" s="1123"/>
      <c r="BQ2292" s="1123"/>
      <c r="BR2292" s="1123"/>
      <c r="BS2292" s="1123"/>
      <c r="BT2292" s="1123"/>
      <c r="BU2292" s="1123"/>
      <c r="BV2292" s="1123"/>
      <c r="BW2292" s="1123"/>
      <c r="BX2292" s="1123"/>
      <c r="BY2292" s="1123"/>
      <c r="BZ2292" s="1123"/>
      <c r="CA2292" s="1123"/>
      <c r="CB2292" s="1123"/>
      <c r="CC2292" s="1123"/>
      <c r="CD2292" s="1123"/>
      <c r="CE2292" s="1123"/>
      <c r="CF2292" s="1123"/>
      <c r="CG2292" s="1123"/>
      <c r="CH2292" s="1123"/>
      <c r="CI2292" s="1123"/>
      <c r="CJ2292" s="1123"/>
      <c r="CK2292" s="1123"/>
      <c r="CL2292" s="1123"/>
      <c r="CM2292" s="1123"/>
      <c r="CN2292" s="1123"/>
      <c r="CO2292" s="1123"/>
      <c r="CP2292" s="1123"/>
      <c r="CQ2292" s="1123"/>
      <c r="CR2292" s="1123"/>
      <c r="CS2292" s="1123"/>
      <c r="CT2292" s="1123"/>
      <c r="CU2292" s="1123"/>
      <c r="CV2292" s="1123"/>
      <c r="CW2292" s="1123"/>
      <c r="CX2292" s="1123"/>
      <c r="CY2292" s="1123"/>
      <c r="CZ2292" s="1123"/>
      <c r="DA2292" s="1123"/>
      <c r="DB2292" s="1123"/>
      <c r="DC2292" s="1123"/>
      <c r="DD2292" s="1123"/>
      <c r="DE2292" s="1123"/>
      <c r="DF2292" s="1123"/>
      <c r="DG2292" s="1123"/>
      <c r="DH2292" s="1123"/>
      <c r="DI2292" s="1123"/>
      <c r="DJ2292" s="1123"/>
      <c r="DK2292" s="1123"/>
      <c r="DL2292" s="1123"/>
    </row>
    <row r="2293">
      <c r="A2293" s="44">
        <v>2293.0</v>
      </c>
      <c r="B2293" s="68" t="s">
        <v>152</v>
      </c>
      <c r="C2293" s="62" t="s">
        <v>115</v>
      </c>
      <c r="D2293" s="62" t="s">
        <v>1270</v>
      </c>
      <c r="F2293" s="129" t="s">
        <v>13841</v>
      </c>
      <c r="G2293" s="151" t="s">
        <v>13872</v>
      </c>
      <c r="H2293" s="1287" t="s">
        <v>5024</v>
      </c>
      <c r="I2293" s="152">
        <v>45674.0</v>
      </c>
      <c r="J2293" s="152">
        <v>45691.0</v>
      </c>
      <c r="K2293" s="159" t="s">
        <v>13862</v>
      </c>
      <c r="L2293" s="68" t="s">
        <v>13863</v>
      </c>
      <c r="M2293" s="159" t="s">
        <v>13844</v>
      </c>
      <c r="N2293" s="159" t="s">
        <v>13845</v>
      </c>
      <c r="O2293" s="156">
        <v>1.0</v>
      </c>
      <c r="P2293" s="159" t="str">
        <f t="shared" si="127"/>
        <v>10.5840--jphil20111081238.pdf</v>
      </c>
      <c r="Q2293" s="52" t="str">
        <f t="array" ref="Q2293"> if(iserror(MATCH(V2293, 'File Links'!C:C, 0)), "N/A", HYPERLINK(INDEX('File Links'!B:B, MATCH(P2293, 'File Links'!C:C, 0))))</f>
        <v>https://drive.google.com/file/d/1-XMlXEjoIspJ3kqVPF-O6pr1PklAU4DF/view?usp=drivesdk</v>
      </c>
      <c r="R2293" s="2028" t="s">
        <v>5028</v>
      </c>
      <c r="S2293" s="310" t="s">
        <v>5029</v>
      </c>
      <c r="T2293" s="310" t="s">
        <v>5030</v>
      </c>
      <c r="U2293" s="156">
        <v>26.0</v>
      </c>
      <c r="V2293" s="159" t="str">
        <f t="shared" si="123"/>
        <v>10.1007--s13164-018-0400-9.pdf</v>
      </c>
      <c r="W2293" s="1290" t="s">
        <v>5031</v>
      </c>
      <c r="X2293" s="54" t="str">
        <f t="array" ref="X2293"> if(iserror(MATCH(V2293, 'File Links'!C:C, 0)), "N/A", HYPERLINK(INDEX('File Links'!B:B, MATCH(V2293, 'File Links'!C:C, 0))))</f>
        <v>https://drive.google.com/file/d/1hjI3aqifdfXjWhQAlvKCKKtvjuncAn5M/view?usp=drivesdk</v>
      </c>
      <c r="Y2293" s="68"/>
      <c r="Z2293" s="159" t="s">
        <v>165</v>
      </c>
      <c r="AA2293" s="129" t="s">
        <v>138</v>
      </c>
      <c r="AB2293" s="159" t="s">
        <v>13846</v>
      </c>
      <c r="AC2293" s="159" t="s">
        <v>13846</v>
      </c>
      <c r="AD2293" s="159" t="s">
        <v>13873</v>
      </c>
      <c r="AE2293" s="159" t="s">
        <v>13865</v>
      </c>
      <c r="AF2293" s="2050">
        <v>217.0</v>
      </c>
      <c r="AG2293" s="2051" t="s">
        <v>13874</v>
      </c>
      <c r="AH2293" s="119" t="s">
        <v>134</v>
      </c>
      <c r="AI2293" s="2052" t="s">
        <v>13867</v>
      </c>
      <c r="AJ2293" s="379">
        <v>1.0E-4</v>
      </c>
      <c r="AK2293" s="57" t="s">
        <v>135</v>
      </c>
      <c r="AL2293" s="159" t="s">
        <v>186</v>
      </c>
      <c r="AM2293" s="57" t="s">
        <v>137</v>
      </c>
      <c r="AN2293" s="330" t="s">
        <v>138</v>
      </c>
      <c r="AO2293" s="156">
        <v>319.0</v>
      </c>
      <c r="AP2293" s="159" t="s">
        <v>13874</v>
      </c>
      <c r="AQ2293" s="159" t="s">
        <v>134</v>
      </c>
      <c r="AR2293" s="159" t="s">
        <v>632</v>
      </c>
      <c r="AS2293" s="156">
        <v>0.001</v>
      </c>
      <c r="AT2293" s="159" t="s">
        <v>135</v>
      </c>
      <c r="AU2293" s="159" t="s">
        <v>186</v>
      </c>
      <c r="AV2293" s="159" t="s">
        <v>137</v>
      </c>
      <c r="AW2293" s="310" t="s">
        <v>13854</v>
      </c>
      <c r="AX2293" s="159" t="s">
        <v>143</v>
      </c>
      <c r="AY2293" s="61" t="str">
        <f>IFERROR(__xludf.DUMMYFUNCTION("vlookup(BB2293,importrange(""https://docs.google.com/spreadsheets/d/1d2vevQ_7D_v35q4wCQ4RpQ_IPoTwEMB9Yp6ymwlPqew/edit?gid=984458430#gid=984458430"", ""'replication success'!A:K""), 11, FAlSE)"),"failed")</f>
        <v>failed</v>
      </c>
      <c r="AZ2293" s="91" t="str">
        <f>IFERROR(__xludf.DUMMYFUNCTION("vlookup(BB2293,importrange(""https://docs.google.com/spreadsheets/d/1d2vevQ_7D_v35q4wCQ4RpQ_IPoTwEMB9Yp6ymwlPqew/edit?gid=984458430#gid=984458430"", ""'replication success'!A:M""), 12, FAlSE)"),"https://osf.io/4ewkh")</f>
        <v>https://osf.io/4ewkh</v>
      </c>
      <c r="BA2293" s="91" t="str">
        <f>IFERROR(__xludf.DUMMYFUNCTION("vlookup(BB2293,importrange(""https://docs.google.com/spreadsheets/d/1d2vevQ_7D_v35q4wCQ4RpQ_IPoTwEMB9Yp6ymwlPqew/edit?gid=984458430#gid=984458430"", ""'replication success'!A:M""), 13, FAlSE)"),"https://osf.io/4ewkh")</f>
        <v>https://osf.io/4ewkh</v>
      </c>
      <c r="BB2293" s="61" t="str">
        <f>IFERROR(__xludf.DUMMYFUNCTION("REGEXREPLACE(G2293, ""_[a-z]{1,2}$"", """")"),"XPHI26")</f>
        <v>XPHI26</v>
      </c>
      <c r="BD2293" s="154" t="s">
        <v>249</v>
      </c>
      <c r="BE2293" s="342"/>
      <c r="BF2293" s="342"/>
      <c r="BG2293" s="342"/>
      <c r="BH2293" s="342"/>
      <c r="BI2293" s="342"/>
      <c r="BJ2293" s="342"/>
      <c r="BK2293" s="342"/>
      <c r="BL2293" s="342"/>
      <c r="BM2293" s="342"/>
      <c r="BN2293" s="342"/>
      <c r="BO2293" s="342"/>
      <c r="BP2293" s="342"/>
      <c r="BQ2293" s="342"/>
      <c r="BR2293" s="342"/>
      <c r="BS2293" s="342"/>
      <c r="BT2293" s="342"/>
      <c r="BU2293" s="342"/>
      <c r="BV2293" s="342"/>
      <c r="BW2293" s="342"/>
      <c r="BX2293" s="342"/>
      <c r="BY2293" s="342"/>
      <c r="BZ2293" s="342"/>
      <c r="CA2293" s="342"/>
      <c r="CB2293" s="342"/>
      <c r="CC2293" s="342"/>
      <c r="CD2293" s="342"/>
      <c r="CE2293" s="342"/>
      <c r="CF2293" s="342"/>
      <c r="CG2293" s="342"/>
      <c r="CH2293" s="342"/>
      <c r="CI2293" s="342"/>
      <c r="CJ2293" s="342"/>
      <c r="CK2293" s="342"/>
      <c r="CL2293" s="342"/>
      <c r="CM2293" s="342"/>
      <c r="CN2293" s="342"/>
      <c r="CO2293" s="342"/>
      <c r="CP2293" s="342"/>
      <c r="CQ2293" s="342"/>
      <c r="CR2293" s="342"/>
      <c r="CS2293" s="342"/>
      <c r="CT2293" s="342"/>
      <c r="CU2293" s="342"/>
      <c r="CV2293" s="342"/>
      <c r="CW2293" s="342"/>
      <c r="CX2293" s="342"/>
      <c r="CY2293" s="342"/>
      <c r="CZ2293" s="342"/>
      <c r="DA2293" s="342"/>
      <c r="DB2293" s="342"/>
      <c r="DC2293" s="342"/>
      <c r="DD2293" s="342"/>
      <c r="DE2293" s="342"/>
      <c r="DF2293" s="342"/>
      <c r="DG2293" s="342"/>
      <c r="DH2293" s="342"/>
      <c r="DI2293" s="342"/>
      <c r="DJ2293" s="342"/>
      <c r="DK2293" s="342"/>
      <c r="DL2293" s="342"/>
    </row>
    <row r="2294">
      <c r="A2294" s="44">
        <v>2294.0</v>
      </c>
      <c r="B2294" s="68" t="s">
        <v>152</v>
      </c>
      <c r="C2294" s="62" t="s">
        <v>115</v>
      </c>
      <c r="D2294" s="62" t="s">
        <v>1270</v>
      </c>
      <c r="F2294" s="129" t="s">
        <v>13841</v>
      </c>
      <c r="G2294" s="151" t="s">
        <v>13875</v>
      </c>
      <c r="H2294" s="1287" t="s">
        <v>5024</v>
      </c>
      <c r="I2294" s="152">
        <v>45674.0</v>
      </c>
      <c r="J2294" s="152">
        <v>45691.0</v>
      </c>
      <c r="K2294" s="680" t="s">
        <v>13862</v>
      </c>
      <c r="L2294" s="68" t="s">
        <v>13863</v>
      </c>
      <c r="M2294" s="159" t="s">
        <v>13844</v>
      </c>
      <c r="N2294" s="159" t="s">
        <v>13845</v>
      </c>
      <c r="O2294" s="156">
        <v>1.0</v>
      </c>
      <c r="P2294" s="159" t="str">
        <f t="shared" si="127"/>
        <v>10.5840--jphil20111081238.pdf</v>
      </c>
      <c r="Q2294" s="52" t="str">
        <f t="array" ref="Q2294"> if(iserror(MATCH(V2294, 'File Links'!C:C, 0)), "N/A", HYPERLINK(INDEX('File Links'!B:B, MATCH(P2294, 'File Links'!C:C, 0))))</f>
        <v>https://drive.google.com/file/d/1-XMlXEjoIspJ3kqVPF-O6pr1PklAU4DF/view?usp=drivesdk</v>
      </c>
      <c r="R2294" s="2028" t="s">
        <v>5028</v>
      </c>
      <c r="S2294" s="310" t="s">
        <v>5029</v>
      </c>
      <c r="T2294" s="310" t="s">
        <v>5030</v>
      </c>
      <c r="U2294" s="156">
        <v>26.0</v>
      </c>
      <c r="V2294" s="159" t="str">
        <f t="shared" si="123"/>
        <v>10.1007--s13164-018-0400-9.pdf</v>
      </c>
      <c r="W2294" s="1290" t="s">
        <v>5031</v>
      </c>
      <c r="X2294" s="54" t="str">
        <f t="array" ref="X2294"> if(iserror(MATCH(V2294, 'File Links'!C:C, 0)), "N/A", HYPERLINK(INDEX('File Links'!B:B, MATCH(V2294, 'File Links'!C:C, 0))))</f>
        <v>https://drive.google.com/file/d/1hjI3aqifdfXjWhQAlvKCKKtvjuncAn5M/view?usp=drivesdk</v>
      </c>
      <c r="Y2294" s="68"/>
      <c r="Z2294" s="159" t="s">
        <v>165</v>
      </c>
      <c r="AA2294" s="129" t="s">
        <v>138</v>
      </c>
      <c r="AB2294" s="159" t="s">
        <v>13846</v>
      </c>
      <c r="AC2294" s="159" t="s">
        <v>13846</v>
      </c>
      <c r="AD2294" s="159" t="s">
        <v>13876</v>
      </c>
      <c r="AE2294" s="159" t="s">
        <v>13865</v>
      </c>
      <c r="AF2294" s="2050">
        <v>217.0</v>
      </c>
      <c r="AG2294" s="2051" t="s">
        <v>13877</v>
      </c>
      <c r="AH2294" s="119" t="s">
        <v>134</v>
      </c>
      <c r="AI2294" s="2052" t="s">
        <v>13867</v>
      </c>
      <c r="AJ2294" s="379">
        <v>0.01</v>
      </c>
      <c r="AK2294" s="57" t="s">
        <v>135</v>
      </c>
      <c r="AL2294" s="159" t="s">
        <v>186</v>
      </c>
      <c r="AM2294" s="57" t="s">
        <v>137</v>
      </c>
      <c r="AN2294" s="330" t="s">
        <v>138</v>
      </c>
      <c r="AO2294" s="156">
        <v>319.0</v>
      </c>
      <c r="AP2294" s="159" t="s">
        <v>13877</v>
      </c>
      <c r="AQ2294" s="159" t="s">
        <v>134</v>
      </c>
      <c r="AR2294" s="159" t="s">
        <v>632</v>
      </c>
      <c r="AS2294" s="156">
        <v>0.46</v>
      </c>
      <c r="AT2294" s="159" t="s">
        <v>172</v>
      </c>
      <c r="AU2294" s="159" t="s">
        <v>186</v>
      </c>
      <c r="AV2294" s="159" t="s">
        <v>137</v>
      </c>
      <c r="AW2294" s="310" t="s">
        <v>13854</v>
      </c>
      <c r="AX2294" s="159" t="s">
        <v>143</v>
      </c>
      <c r="AY2294" s="61" t="str">
        <f>IFERROR(__xludf.DUMMYFUNCTION("vlookup(BB2294,importrange(""https://docs.google.com/spreadsheets/d/1d2vevQ_7D_v35q4wCQ4RpQ_IPoTwEMB9Yp6ymwlPqew/edit?gid=984458430#gid=984458430"", ""'replication success'!A:K""), 11, FAlSE)"),"failed")</f>
        <v>failed</v>
      </c>
      <c r="AZ2294" s="91" t="str">
        <f>IFERROR(__xludf.DUMMYFUNCTION("vlookup(BB2294,importrange(""https://docs.google.com/spreadsheets/d/1d2vevQ_7D_v35q4wCQ4RpQ_IPoTwEMB9Yp6ymwlPqew/edit?gid=984458430#gid=984458430"", ""'replication success'!A:M""), 12, FAlSE)"),"https://osf.io/4ewkh")</f>
        <v>https://osf.io/4ewkh</v>
      </c>
      <c r="BA2294" s="91" t="str">
        <f>IFERROR(__xludf.DUMMYFUNCTION("vlookup(BB2294,importrange(""https://docs.google.com/spreadsheets/d/1d2vevQ_7D_v35q4wCQ4RpQ_IPoTwEMB9Yp6ymwlPqew/edit?gid=984458430#gid=984458430"", ""'replication success'!A:M""), 13, FAlSE)"),"https://osf.io/4ewkh")</f>
        <v>https://osf.io/4ewkh</v>
      </c>
      <c r="BB2294" s="61" t="str">
        <f>IFERROR(__xludf.DUMMYFUNCTION("REGEXREPLACE(G2294, ""_[a-z]{1,2}$"", """")"),"XPHI26")</f>
        <v>XPHI26</v>
      </c>
      <c r="BD2294" s="154" t="s">
        <v>249</v>
      </c>
    </row>
    <row r="2295">
      <c r="A2295" s="44">
        <v>2295.0</v>
      </c>
      <c r="B2295" s="154" t="s">
        <v>152</v>
      </c>
      <c r="C2295" s="62" t="s">
        <v>115</v>
      </c>
      <c r="D2295" s="62" t="s">
        <v>1270</v>
      </c>
      <c r="F2295" s="129" t="s">
        <v>13841</v>
      </c>
      <c r="G2295" s="151" t="s">
        <v>13878</v>
      </c>
      <c r="H2295" s="1287" t="s">
        <v>5024</v>
      </c>
      <c r="I2295" s="152">
        <v>45674.0</v>
      </c>
      <c r="J2295" s="152">
        <v>45691.0</v>
      </c>
      <c r="K2295" s="159" t="s">
        <v>13862</v>
      </c>
      <c r="L2295" s="68" t="s">
        <v>13863</v>
      </c>
      <c r="M2295" s="159" t="s">
        <v>13844</v>
      </c>
      <c r="N2295" s="159" t="s">
        <v>13845</v>
      </c>
      <c r="O2295" s="156">
        <v>1.0</v>
      </c>
      <c r="P2295" s="159" t="str">
        <f t="shared" si="127"/>
        <v>10.5840--jphil20111081238.pdf</v>
      </c>
      <c r="Q2295" s="52" t="str">
        <f t="array" ref="Q2295"> if(iserror(MATCH(V2295, 'File Links'!C:C, 0)), "N/A", HYPERLINK(INDEX('File Links'!B:B, MATCH(P2295, 'File Links'!C:C, 0))))</f>
        <v>https://drive.google.com/file/d/1-XMlXEjoIspJ3kqVPF-O6pr1PklAU4DF/view?usp=drivesdk</v>
      </c>
      <c r="R2295" s="2028" t="s">
        <v>5028</v>
      </c>
      <c r="S2295" s="310" t="s">
        <v>5029</v>
      </c>
      <c r="T2295" s="310" t="s">
        <v>5030</v>
      </c>
      <c r="U2295" s="156">
        <v>26.0</v>
      </c>
      <c r="V2295" s="159" t="str">
        <f t="shared" si="123"/>
        <v>10.1007--s13164-018-0400-9.pdf</v>
      </c>
      <c r="W2295" s="1290" t="s">
        <v>5031</v>
      </c>
      <c r="X2295" s="54" t="str">
        <f t="array" ref="X2295"> if(iserror(MATCH(V2295, 'File Links'!C:C, 0)), "N/A", HYPERLINK(INDEX('File Links'!B:B, MATCH(V2295, 'File Links'!C:C, 0))))</f>
        <v>https://drive.google.com/file/d/1hjI3aqifdfXjWhQAlvKCKKtvjuncAn5M/view?usp=drivesdk</v>
      </c>
      <c r="Y2295" s="68"/>
      <c r="Z2295" s="159" t="s">
        <v>165</v>
      </c>
      <c r="AA2295" s="129" t="s">
        <v>138</v>
      </c>
      <c r="AB2295" s="159" t="s">
        <v>13846</v>
      </c>
      <c r="AC2295" s="159" t="s">
        <v>13846</v>
      </c>
      <c r="AD2295" s="159" t="s">
        <v>13879</v>
      </c>
      <c r="AE2295" s="159" t="s">
        <v>13865</v>
      </c>
      <c r="AF2295" s="2050">
        <v>217.0</v>
      </c>
      <c r="AG2295" s="2051" t="s">
        <v>13880</v>
      </c>
      <c r="AH2295" s="119" t="s">
        <v>134</v>
      </c>
      <c r="AI2295" s="2052" t="s">
        <v>13867</v>
      </c>
      <c r="AJ2295" s="379">
        <v>1.0E-4</v>
      </c>
      <c r="AK2295" s="57" t="s">
        <v>135</v>
      </c>
      <c r="AL2295" s="159" t="s">
        <v>186</v>
      </c>
      <c r="AM2295" s="57" t="s">
        <v>137</v>
      </c>
      <c r="AN2295" s="330" t="s">
        <v>138</v>
      </c>
      <c r="AO2295" s="156">
        <v>319.0</v>
      </c>
      <c r="AP2295" s="159" t="s">
        <v>13880</v>
      </c>
      <c r="AQ2295" s="159" t="s">
        <v>134</v>
      </c>
      <c r="AR2295" s="159" t="s">
        <v>632</v>
      </c>
      <c r="AS2295" s="156">
        <v>0.001</v>
      </c>
      <c r="AT2295" s="159" t="s">
        <v>135</v>
      </c>
      <c r="AU2295" s="159" t="s">
        <v>186</v>
      </c>
      <c r="AV2295" s="159" t="s">
        <v>137</v>
      </c>
      <c r="AW2295" s="310" t="s">
        <v>13854</v>
      </c>
      <c r="AX2295" s="159" t="s">
        <v>143</v>
      </c>
      <c r="AY2295" s="61" t="str">
        <f>IFERROR(__xludf.DUMMYFUNCTION("vlookup(BB2295,importrange(""https://docs.google.com/spreadsheets/d/1d2vevQ_7D_v35q4wCQ4RpQ_IPoTwEMB9Yp6ymwlPqew/edit?gid=984458430#gid=984458430"", ""'replication success'!A:K""), 11, FAlSE)"),"failed")</f>
        <v>failed</v>
      </c>
      <c r="AZ2295" s="91" t="str">
        <f>IFERROR(__xludf.DUMMYFUNCTION("vlookup(BB2295,importrange(""https://docs.google.com/spreadsheets/d/1d2vevQ_7D_v35q4wCQ4RpQ_IPoTwEMB9Yp6ymwlPqew/edit?gid=984458430#gid=984458430"", ""'replication success'!A:M""), 12, FAlSE)"),"https://osf.io/4ewkh")</f>
        <v>https://osf.io/4ewkh</v>
      </c>
      <c r="BA2295" s="91" t="str">
        <f>IFERROR(__xludf.DUMMYFUNCTION("vlookup(BB2295,importrange(""https://docs.google.com/spreadsheets/d/1d2vevQ_7D_v35q4wCQ4RpQ_IPoTwEMB9Yp6ymwlPqew/edit?gid=984458430#gid=984458430"", ""'replication success'!A:M""), 13, FAlSE)"),"https://osf.io/4ewkh")</f>
        <v>https://osf.io/4ewkh</v>
      </c>
      <c r="BB2295" s="61" t="str">
        <f>IFERROR(__xludf.DUMMYFUNCTION("REGEXREPLACE(G2295, ""_[a-z]{1,2}$"", """")"),"XPHI26")</f>
        <v>XPHI26</v>
      </c>
      <c r="BD2295" s="154" t="s">
        <v>249</v>
      </c>
    </row>
    <row r="2296">
      <c r="A2296" s="44">
        <v>2296.0</v>
      </c>
      <c r="B2296" s="68" t="s">
        <v>152</v>
      </c>
      <c r="C2296" s="62" t="s">
        <v>115</v>
      </c>
      <c r="D2296" s="62" t="s">
        <v>1270</v>
      </c>
      <c r="F2296" s="129" t="s">
        <v>13841</v>
      </c>
      <c r="G2296" s="151" t="s">
        <v>13881</v>
      </c>
      <c r="H2296" s="1287" t="s">
        <v>5024</v>
      </c>
      <c r="I2296" s="152">
        <v>45674.0</v>
      </c>
      <c r="J2296" s="152">
        <v>45691.0</v>
      </c>
      <c r="K2296" s="159" t="s">
        <v>13862</v>
      </c>
      <c r="L2296" s="68" t="s">
        <v>13863</v>
      </c>
      <c r="M2296" s="159" t="s">
        <v>13844</v>
      </c>
      <c r="N2296" s="159" t="s">
        <v>13845</v>
      </c>
      <c r="O2296" s="156">
        <v>1.0</v>
      </c>
      <c r="P2296" s="159" t="str">
        <f t="shared" si="127"/>
        <v>10.5840--jphil20111081238.pdf</v>
      </c>
      <c r="Q2296" s="52" t="str">
        <f t="array" ref="Q2296"> if(iserror(MATCH(V2296, 'File Links'!C:C, 0)), "N/A", HYPERLINK(INDEX('File Links'!B:B, MATCH(P2296, 'File Links'!C:C, 0))))</f>
        <v>https://drive.google.com/file/d/1-XMlXEjoIspJ3kqVPF-O6pr1PklAU4DF/view?usp=drivesdk</v>
      </c>
      <c r="R2296" s="2028" t="s">
        <v>5028</v>
      </c>
      <c r="S2296" s="310" t="s">
        <v>5029</v>
      </c>
      <c r="T2296" s="310" t="s">
        <v>5030</v>
      </c>
      <c r="U2296" s="156">
        <v>26.0</v>
      </c>
      <c r="V2296" s="159" t="str">
        <f t="shared" si="123"/>
        <v>10.1007--s13164-018-0400-9.pdf</v>
      </c>
      <c r="W2296" s="1290" t="s">
        <v>5031</v>
      </c>
      <c r="X2296" s="54" t="str">
        <f t="array" ref="X2296"> if(iserror(MATCH(V2296, 'File Links'!C:C, 0)), "N/A", HYPERLINK(INDEX('File Links'!B:B, MATCH(V2296, 'File Links'!C:C, 0))))</f>
        <v>https://drive.google.com/file/d/1hjI3aqifdfXjWhQAlvKCKKtvjuncAn5M/view?usp=drivesdk</v>
      </c>
      <c r="Y2296" s="68"/>
      <c r="Z2296" s="159" t="s">
        <v>165</v>
      </c>
      <c r="AA2296" s="129" t="s">
        <v>138</v>
      </c>
      <c r="AB2296" s="159" t="s">
        <v>13846</v>
      </c>
      <c r="AC2296" s="159" t="s">
        <v>13846</v>
      </c>
      <c r="AD2296" s="159" t="s">
        <v>13882</v>
      </c>
      <c r="AE2296" s="156">
        <v>11.0</v>
      </c>
      <c r="AF2296" s="2050">
        <v>217.0</v>
      </c>
      <c r="AG2296" s="2051" t="s">
        <v>13883</v>
      </c>
      <c r="AH2296" s="119" t="s">
        <v>134</v>
      </c>
      <c r="AI2296" s="2052" t="s">
        <v>13867</v>
      </c>
      <c r="AJ2296" s="379">
        <v>1.0E-4</v>
      </c>
      <c r="AK2296" s="57" t="s">
        <v>135</v>
      </c>
      <c r="AL2296" s="159" t="s">
        <v>186</v>
      </c>
      <c r="AM2296" s="57" t="s">
        <v>137</v>
      </c>
      <c r="AN2296" s="330" t="s">
        <v>138</v>
      </c>
      <c r="AO2296" s="156">
        <v>319.0</v>
      </c>
      <c r="AP2296" s="159" t="s">
        <v>13884</v>
      </c>
      <c r="AQ2296" s="159" t="s">
        <v>134</v>
      </c>
      <c r="AR2296" s="159" t="s">
        <v>632</v>
      </c>
      <c r="AS2296" s="156">
        <v>0.001</v>
      </c>
      <c r="AT2296" s="159" t="s">
        <v>135</v>
      </c>
      <c r="AU2296" s="159" t="s">
        <v>186</v>
      </c>
      <c r="AV2296" s="159" t="s">
        <v>137</v>
      </c>
      <c r="AW2296" s="310" t="s">
        <v>13854</v>
      </c>
      <c r="AX2296" s="159" t="s">
        <v>143</v>
      </c>
      <c r="AY2296" s="61" t="str">
        <f>IFERROR(__xludf.DUMMYFUNCTION("vlookup(BB2296,importrange(""https://docs.google.com/spreadsheets/d/1d2vevQ_7D_v35q4wCQ4RpQ_IPoTwEMB9Yp6ymwlPqew/edit?gid=984458430#gid=984458430"", ""'replication success'!A:K""), 11, FAlSE)"),"failed")</f>
        <v>failed</v>
      </c>
      <c r="AZ2296" s="91" t="str">
        <f>IFERROR(__xludf.DUMMYFUNCTION("vlookup(BB2296,importrange(""https://docs.google.com/spreadsheets/d/1d2vevQ_7D_v35q4wCQ4RpQ_IPoTwEMB9Yp6ymwlPqew/edit?gid=984458430#gid=984458430"", ""'replication success'!A:M""), 12, FAlSE)"),"https://osf.io/4ewkh")</f>
        <v>https://osf.io/4ewkh</v>
      </c>
      <c r="BA2296" s="91" t="str">
        <f>IFERROR(__xludf.DUMMYFUNCTION("vlookup(BB2296,importrange(""https://docs.google.com/spreadsheets/d/1d2vevQ_7D_v35q4wCQ4RpQ_IPoTwEMB9Yp6ymwlPqew/edit?gid=984458430#gid=984458430"", ""'replication success'!A:M""), 13, FAlSE)"),"https://osf.io/4ewkh")</f>
        <v>https://osf.io/4ewkh</v>
      </c>
      <c r="BB2296" s="61" t="str">
        <f>IFERROR(__xludf.DUMMYFUNCTION("REGEXREPLACE(G2296, ""_[a-z]{1,2}$"", """")"),"XPHI26")</f>
        <v>XPHI26</v>
      </c>
      <c r="BD2296" s="154" t="s">
        <v>249</v>
      </c>
    </row>
    <row r="2297">
      <c r="A2297" s="44">
        <v>2297.0</v>
      </c>
      <c r="B2297" s="154" t="s">
        <v>114</v>
      </c>
      <c r="C2297" s="62" t="s">
        <v>115</v>
      </c>
      <c r="D2297" s="62" t="s">
        <v>1270</v>
      </c>
      <c r="F2297" s="2027" t="s">
        <v>13885</v>
      </c>
      <c r="G2297" s="159" t="s">
        <v>13886</v>
      </c>
      <c r="H2297" s="1287" t="s">
        <v>5024</v>
      </c>
      <c r="I2297" s="152">
        <v>45674.0</v>
      </c>
      <c r="J2297" s="152">
        <v>45691.0</v>
      </c>
      <c r="K2297" s="159" t="s">
        <v>13887</v>
      </c>
      <c r="L2297" s="68"/>
      <c r="M2297" s="159" t="s">
        <v>13888</v>
      </c>
      <c r="N2297" s="129" t="s">
        <v>13889</v>
      </c>
      <c r="O2297" s="129">
        <v>1.0</v>
      </c>
      <c r="P2297" s="159" t="str">
        <f t="shared" si="127"/>
        <v>art00005.pdf</v>
      </c>
      <c r="Q2297" s="52" t="str">
        <f t="array" ref="Q2297"> if(iserror(MATCH(V2297, 'File Links'!C:C, 0)), "N/A", HYPERLINK(INDEX('File Links'!B:B, MATCH(P2297, 'File Links'!C:C, 0))))</f>
        <v>https://drive.google.com/file/d/1_mm78I7fP7y2ESrJlwaIrN7h22W30B5K/view?usp=drivesdk</v>
      </c>
      <c r="R2297" s="2028" t="s">
        <v>5028</v>
      </c>
      <c r="S2297" s="310" t="s">
        <v>5029</v>
      </c>
      <c r="T2297" s="310" t="s">
        <v>5030</v>
      </c>
      <c r="U2297" s="156">
        <v>27.0</v>
      </c>
      <c r="V2297" s="159" t="str">
        <f t="shared" si="123"/>
        <v>10.1007--s13164-018-0400-9.pdf</v>
      </c>
      <c r="W2297" s="1290" t="s">
        <v>5031</v>
      </c>
      <c r="X2297" s="54" t="str">
        <f t="array" ref="X2297"> if(iserror(MATCH(V2297, 'File Links'!C:C, 0)), "N/A", HYPERLINK(INDEX('File Links'!B:B, MATCH(V2297, 'File Links'!C:C, 0))))</f>
        <v>https://drive.google.com/file/d/1hjI3aqifdfXjWhQAlvKCKKtvjuncAn5M/view?usp=drivesdk</v>
      </c>
      <c r="Y2297" s="68"/>
      <c r="Z2297" s="159" t="s">
        <v>165</v>
      </c>
      <c r="AA2297" s="129" t="s">
        <v>138</v>
      </c>
      <c r="AB2297" s="159" t="s">
        <v>13890</v>
      </c>
      <c r="AC2297" s="68"/>
      <c r="AD2297" s="159" t="s">
        <v>13891</v>
      </c>
      <c r="AE2297" s="156">
        <v>8.0</v>
      </c>
      <c r="AF2297" s="68"/>
      <c r="AG2297" s="68"/>
      <c r="AH2297" s="68"/>
      <c r="AI2297" s="338"/>
      <c r="AJ2297" s="61"/>
      <c r="AK2297" s="61"/>
      <c r="AL2297" s="68"/>
      <c r="AM2297" s="61"/>
      <c r="AN2297" s="330" t="s">
        <v>138</v>
      </c>
      <c r="AO2297" s="2053"/>
      <c r="AP2297" s="2034" t="s">
        <v>13892</v>
      </c>
      <c r="AQ2297" s="159" t="s">
        <v>271</v>
      </c>
      <c r="AR2297" s="159" t="s">
        <v>5030</v>
      </c>
      <c r="AS2297" s="156">
        <v>0.001</v>
      </c>
      <c r="AT2297" s="159" t="s">
        <v>135</v>
      </c>
      <c r="AU2297" s="159" t="s">
        <v>186</v>
      </c>
      <c r="AV2297" s="159" t="s">
        <v>137</v>
      </c>
      <c r="AW2297" s="1390" t="s">
        <v>13854</v>
      </c>
      <c r="AX2297" s="159" t="s">
        <v>143</v>
      </c>
      <c r="AY2297" s="61" t="str">
        <f>IFERROR(__xludf.DUMMYFUNCTION("vlookup(BB2297,importrange(""https://docs.google.com/spreadsheets/d/1d2vevQ_7D_v35q4wCQ4RpQ_IPoTwEMB9Yp6ymwlPqew/edit?gid=984458430#gid=984458430"", ""'replication success'!A:K""), 11, FAlSE)"),"successful")</f>
        <v>successful</v>
      </c>
      <c r="AZ2297" s="91" t="str">
        <f>IFERROR(__xludf.DUMMYFUNCTION("vlookup(BB2297,importrange(""https://docs.google.com/spreadsheets/d/1d2vevQ_7D_v35q4wCQ4RpQ_IPoTwEMB9Yp6ymwlPqew/edit?gid=984458430#gid=984458430"", ""'replication success'!A:M""), 12, FAlSE)"),"https://osf.io/4ewkh")</f>
        <v>https://osf.io/4ewkh</v>
      </c>
      <c r="BA2297" s="91" t="str">
        <f>IFERROR(__xludf.DUMMYFUNCTION("vlookup(BB2297,importrange(""https://docs.google.com/spreadsheets/d/1d2vevQ_7D_v35q4wCQ4RpQ_IPoTwEMB9Yp6ymwlPqew/edit?gid=984458430#gid=984458430"", ""'replication success'!A:M""), 13, FAlSE)"),"https://osf.io/4ewkh")</f>
        <v>https://osf.io/4ewkh</v>
      </c>
      <c r="BB2297" s="61" t="str">
        <f>IFERROR(__xludf.DUMMYFUNCTION("REGEXREPLACE(G2297, ""_[a-z]{1,2}$"", """")"),"XPHI27")</f>
        <v>XPHI27</v>
      </c>
      <c r="BD2297" s="129" t="s">
        <v>13750</v>
      </c>
    </row>
    <row r="2298">
      <c r="A2298" s="44">
        <v>2298.0</v>
      </c>
      <c r="B2298" s="45" t="s">
        <v>152</v>
      </c>
      <c r="C2298" s="62" t="s">
        <v>115</v>
      </c>
      <c r="D2298" s="62" t="s">
        <v>248</v>
      </c>
      <c r="F2298" s="2027" t="s">
        <v>13885</v>
      </c>
      <c r="G2298" s="159" t="s">
        <v>13886</v>
      </c>
      <c r="H2298" s="1287" t="s">
        <v>249</v>
      </c>
      <c r="I2298" s="152">
        <v>45331.0</v>
      </c>
      <c r="J2298" s="152">
        <v>45691.0</v>
      </c>
      <c r="K2298" s="2054" t="s">
        <v>13893</v>
      </c>
      <c r="L2298" s="68"/>
      <c r="M2298" s="159" t="s">
        <v>13888</v>
      </c>
      <c r="N2298" s="129" t="s">
        <v>13889</v>
      </c>
      <c r="O2298" s="129">
        <v>1.0</v>
      </c>
      <c r="P2298" s="159" t="str">
        <f t="shared" si="127"/>
        <v>art00005.pdf</v>
      </c>
      <c r="Q2298" s="52" t="str">
        <f t="array" ref="Q2298"> if(iserror(MATCH(V2298, 'File Links'!C:C, 0)), "N/A", HYPERLINK(INDEX('File Links'!B:B, MATCH(P2298, 'File Links'!C:C, 0))))</f>
        <v>https://drive.google.com/file/d/1_mm78I7fP7y2ESrJlwaIrN7h22W30B5K/view?usp=drivesdk</v>
      </c>
      <c r="R2298" s="2028" t="s">
        <v>5028</v>
      </c>
      <c r="S2298" s="159" t="s">
        <v>5029</v>
      </c>
      <c r="T2298" s="310" t="s">
        <v>5030</v>
      </c>
      <c r="U2298" s="1752">
        <v>27.0</v>
      </c>
      <c r="V2298" s="159" t="str">
        <f t="shared" si="123"/>
        <v>10.1007--s13164-018-0400-9.pdf</v>
      </c>
      <c r="W2298" s="1290" t="s">
        <v>5031</v>
      </c>
      <c r="X2298" s="54" t="str">
        <f t="array" ref="X2298"> if(iserror(MATCH(V2298, 'File Links'!C:C, 0)), "N/A", HYPERLINK(INDEX('File Links'!B:B, MATCH(V2298, 'File Links'!C:C, 0))))</f>
        <v>https://drive.google.com/file/d/1hjI3aqifdfXjWhQAlvKCKKtvjuncAn5M/view?usp=drivesdk</v>
      </c>
      <c r="Y2298" s="68"/>
      <c r="Z2298" s="159" t="s">
        <v>165</v>
      </c>
      <c r="AA2298" s="129" t="s">
        <v>138</v>
      </c>
      <c r="AB2298" s="159" t="s">
        <v>5041</v>
      </c>
      <c r="AC2298" s="129" t="s">
        <v>13894</v>
      </c>
      <c r="AD2298" s="159" t="s">
        <v>13891</v>
      </c>
      <c r="AE2298" s="159" t="s">
        <v>138</v>
      </c>
      <c r="AF2298" s="156">
        <v>15664.0</v>
      </c>
      <c r="AG2298" s="2043">
        <v>0.31</v>
      </c>
      <c r="AH2298" s="159" t="s">
        <v>271</v>
      </c>
      <c r="AI2298" s="151" t="s">
        <v>13895</v>
      </c>
      <c r="AJ2298" s="379">
        <v>0.001</v>
      </c>
      <c r="AK2298" s="57" t="s">
        <v>135</v>
      </c>
      <c r="AL2298" s="159" t="s">
        <v>186</v>
      </c>
      <c r="AM2298" s="1286" t="s">
        <v>137</v>
      </c>
      <c r="AN2298" s="1131" t="s">
        <v>138</v>
      </c>
      <c r="AO2298" s="2055">
        <v>2211.0</v>
      </c>
      <c r="AP2298" s="156">
        <v>0.27</v>
      </c>
      <c r="AQ2298" s="159" t="s">
        <v>271</v>
      </c>
      <c r="AR2298" s="690" t="s">
        <v>13896</v>
      </c>
      <c r="AS2298" s="156">
        <v>0.001</v>
      </c>
      <c r="AT2298" s="159" t="s">
        <v>135</v>
      </c>
      <c r="AU2298" s="159" t="s">
        <v>186</v>
      </c>
      <c r="AV2298" s="154" t="s">
        <v>137</v>
      </c>
      <c r="AW2298" s="2056" t="s">
        <v>138</v>
      </c>
      <c r="AX2298" s="154" t="s">
        <v>143</v>
      </c>
      <c r="AY2298" s="61" t="str">
        <f>IFERROR(__xludf.DUMMYFUNCTION("vlookup(BB2298,importrange(""https://docs.google.com/spreadsheets/d/1d2vevQ_7D_v35q4wCQ4RpQ_IPoTwEMB9Yp6ymwlPqew/edit?gid=984458430#gid=984458430"", ""'replication success'!A:K""), 11, FAlSE)"),"successful")</f>
        <v>successful</v>
      </c>
      <c r="AZ2298" s="91" t="str">
        <f>IFERROR(__xludf.DUMMYFUNCTION("vlookup(BB2298,importrange(""https://docs.google.com/spreadsheets/d/1d2vevQ_7D_v35q4wCQ4RpQ_IPoTwEMB9Yp6ymwlPqew/edit?gid=984458430#gid=984458430"", ""'replication success'!A:M""), 12, FAlSE)"),"https://osf.io/4ewkh")</f>
        <v>https://osf.io/4ewkh</v>
      </c>
      <c r="BA2298" s="91" t="str">
        <f>IFERROR(__xludf.DUMMYFUNCTION("vlookup(BB2298,importrange(""https://docs.google.com/spreadsheets/d/1d2vevQ_7D_v35q4wCQ4RpQ_IPoTwEMB9Yp6ymwlPqew/edit?gid=984458430#gid=984458430"", ""'replication success'!A:M""), 13, FAlSE)"),"https://osf.io/4ewkh")</f>
        <v>https://osf.io/4ewkh</v>
      </c>
      <c r="BB2298" s="61" t="str">
        <f>IFERROR(__xludf.DUMMYFUNCTION("REGEXREPLACE(G2298, ""_[a-z]{1,2}$"", """")"),"XPHI27")</f>
        <v>XPHI27</v>
      </c>
      <c r="BD2298" s="129" t="s">
        <v>13750</v>
      </c>
      <c r="BE2298" s="342"/>
      <c r="BF2298" s="342"/>
      <c r="BG2298" s="342"/>
      <c r="BH2298" s="342"/>
      <c r="BI2298" s="342"/>
      <c r="BJ2298" s="342"/>
      <c r="BK2298" s="342"/>
      <c r="BL2298" s="342"/>
      <c r="BM2298" s="342"/>
      <c r="BN2298" s="342"/>
      <c r="BO2298" s="342"/>
      <c r="BP2298" s="342"/>
      <c r="BQ2298" s="342"/>
      <c r="BR2298" s="342"/>
      <c r="BS2298" s="342"/>
      <c r="BT2298" s="342"/>
      <c r="BU2298" s="342"/>
      <c r="BV2298" s="342"/>
      <c r="BW2298" s="342"/>
      <c r="BX2298" s="342"/>
      <c r="BY2298" s="342"/>
      <c r="BZ2298" s="342"/>
      <c r="CA2298" s="342"/>
      <c r="CB2298" s="342"/>
      <c r="CC2298" s="342"/>
      <c r="CD2298" s="342"/>
      <c r="CE2298" s="342"/>
      <c r="CF2298" s="342"/>
      <c r="CG2298" s="342"/>
      <c r="CH2298" s="342"/>
      <c r="CI2298" s="342"/>
      <c r="CJ2298" s="342"/>
      <c r="CK2298" s="342"/>
      <c r="CL2298" s="342"/>
      <c r="CM2298" s="342"/>
      <c r="CN2298" s="342"/>
      <c r="CO2298" s="342"/>
      <c r="CP2298" s="342"/>
      <c r="CQ2298" s="342"/>
      <c r="CR2298" s="342"/>
      <c r="CS2298" s="342"/>
      <c r="CT2298" s="342"/>
      <c r="CU2298" s="342"/>
      <c r="CV2298" s="342"/>
      <c r="CW2298" s="342"/>
      <c r="CX2298" s="342"/>
      <c r="CY2298" s="342"/>
      <c r="CZ2298" s="342"/>
      <c r="DA2298" s="342"/>
      <c r="DB2298" s="342"/>
      <c r="DC2298" s="342"/>
      <c r="DD2298" s="342"/>
      <c r="DE2298" s="342"/>
      <c r="DF2298" s="342"/>
      <c r="DG2298" s="342"/>
      <c r="DH2298" s="342"/>
      <c r="DI2298" s="342"/>
      <c r="DJ2298" s="342"/>
      <c r="DK2298" s="342"/>
      <c r="DL2298" s="342"/>
    </row>
    <row r="2299">
      <c r="A2299" s="44">
        <v>2299.0</v>
      </c>
      <c r="B2299" s="45" t="s">
        <v>590</v>
      </c>
      <c r="C2299" s="62" t="s">
        <v>115</v>
      </c>
      <c r="D2299" s="62" t="s">
        <v>248</v>
      </c>
      <c r="F2299" s="2027" t="s">
        <v>13897</v>
      </c>
      <c r="G2299" s="159" t="s">
        <v>13898</v>
      </c>
      <c r="H2299" s="1287" t="s">
        <v>249</v>
      </c>
      <c r="I2299" s="152">
        <v>45331.0</v>
      </c>
      <c r="J2299" s="152">
        <v>45686.0</v>
      </c>
      <c r="K2299" s="159" t="s">
        <v>13899</v>
      </c>
      <c r="L2299" s="481" t="s">
        <v>13562</v>
      </c>
      <c r="M2299" s="159" t="s">
        <v>13900</v>
      </c>
      <c r="N2299" s="159" t="s">
        <v>13901</v>
      </c>
      <c r="O2299" s="129">
        <v>1.0</v>
      </c>
      <c r="P2299" s="159" t="s">
        <v>13902</v>
      </c>
      <c r="Q2299" s="52" t="str">
        <f t="array" ref="Q2299"> if(iserror(MATCH(V2299, 'File Links'!C:C, 0)), "N/A", HYPERLINK(INDEX('File Links'!B:B, MATCH(P2299, 'File Links'!C:C, 0))))</f>
        <v>https://drive.google.com/file/d/1TdFZluOSkUInT8sXikux3vYR7IOX4RMk/view?usp=drivesdk</v>
      </c>
      <c r="R2299" s="2028" t="s">
        <v>5028</v>
      </c>
      <c r="S2299" s="159" t="s">
        <v>5029</v>
      </c>
      <c r="T2299" s="310" t="s">
        <v>5030</v>
      </c>
      <c r="U2299" s="1058">
        <v>29.0</v>
      </c>
      <c r="V2299" s="159" t="str">
        <f t="shared" si="123"/>
        <v>10.1007--s13164-018-0400-9.pdf</v>
      </c>
      <c r="W2299" s="1290" t="s">
        <v>5031</v>
      </c>
      <c r="X2299" s="54" t="str">
        <f t="array" ref="X2299"> if(iserror(MATCH(V2299, 'File Links'!C:C, 0)), "N/A", HYPERLINK(INDEX('File Links'!B:B, MATCH(V2299, 'File Links'!C:C, 0))))</f>
        <v>https://drive.google.com/file/d/1hjI3aqifdfXjWhQAlvKCKKtvjuncAn5M/view?usp=drivesdk</v>
      </c>
      <c r="Y2299" s="68"/>
      <c r="Z2299" s="159" t="s">
        <v>165</v>
      </c>
      <c r="AA2299" s="129" t="s">
        <v>138</v>
      </c>
      <c r="AB2299" s="1290" t="s">
        <v>13903</v>
      </c>
      <c r="AC2299" s="129" t="s">
        <v>13904</v>
      </c>
      <c r="AD2299" s="159" t="s">
        <v>13905</v>
      </c>
      <c r="AE2299" s="159" t="s">
        <v>13906</v>
      </c>
      <c r="AF2299" s="156">
        <v>223.0</v>
      </c>
      <c r="AG2299" s="2049" t="s">
        <v>13907</v>
      </c>
      <c r="AH2299" s="119" t="s">
        <v>134</v>
      </c>
      <c r="AI2299" s="2057" t="s">
        <v>13906</v>
      </c>
      <c r="AJ2299" s="379">
        <v>0.001</v>
      </c>
      <c r="AK2299" s="57" t="s">
        <v>135</v>
      </c>
      <c r="AL2299" s="159" t="s">
        <v>186</v>
      </c>
      <c r="AM2299" s="1286" t="s">
        <v>141</v>
      </c>
      <c r="AN2299" s="1131" t="s">
        <v>138</v>
      </c>
      <c r="AO2299" s="1292">
        <v>363.0</v>
      </c>
      <c r="AP2299" s="161" t="s">
        <v>13908</v>
      </c>
      <c r="AQ2299" s="151" t="s">
        <v>134</v>
      </c>
      <c r="AR2299" s="159"/>
      <c r="AS2299" s="156">
        <v>0.001</v>
      </c>
      <c r="AT2299" s="159" t="s">
        <v>135</v>
      </c>
      <c r="AU2299" s="159" t="s">
        <v>186</v>
      </c>
      <c r="AV2299" s="154" t="s">
        <v>141</v>
      </c>
      <c r="AW2299" s="1293" t="s">
        <v>13909</v>
      </c>
      <c r="AX2299" s="154" t="s">
        <v>143</v>
      </c>
      <c r="AY2299" s="61" t="str">
        <f>IFERROR(__xludf.DUMMYFUNCTION("vlookup(BB2299,importrange(""https://docs.google.com/spreadsheets/d/1d2vevQ_7D_v35q4wCQ4RpQ_IPoTwEMB9Yp6ymwlPqew/edit?gid=984458430#gid=984458430"", ""'replication success'!A:K""), 11, FAlSE)"),"#N/A")</f>
        <v>#N/A</v>
      </c>
      <c r="AZ2299" s="61" t="str">
        <f>IFERROR(__xludf.DUMMYFUNCTION("vlookup(BB2299,importrange(""https://docs.google.com/spreadsheets/d/1d2vevQ_7D_v35q4wCQ4RpQ_IPoTwEMB9Yp6ymwlPqew/edit?gid=984458430#gid=984458430"", ""'replication success'!A:M""), 12, FAlSE)"),"#N/A")</f>
        <v>#N/A</v>
      </c>
      <c r="BA2299" s="61" t="str">
        <f>IFERROR(__xludf.DUMMYFUNCTION("vlookup(BB2299,importrange(""https://docs.google.com/spreadsheets/d/1d2vevQ_7D_v35q4wCQ4RpQ_IPoTwEMB9Yp6ymwlPqew/edit?gid=984458430#gid=984458430"", ""'replication success'!A:M""), 13, FAlSE)"),"#N/A")</f>
        <v>#N/A</v>
      </c>
      <c r="BB2299" s="61" t="str">
        <f>IFERROR(__xludf.DUMMYFUNCTION("REGEXREPLACE(G2299, ""_[a-z]{1,2}$"", """")"),"XPHI28")</f>
        <v>XPHI28</v>
      </c>
      <c r="BD2299" s="68" t="s">
        <v>249</v>
      </c>
      <c r="BE2299" s="342"/>
      <c r="BF2299" s="342"/>
      <c r="BG2299" s="342"/>
      <c r="BH2299" s="342"/>
      <c r="BI2299" s="342"/>
      <c r="BJ2299" s="342"/>
      <c r="BK2299" s="342"/>
      <c r="BL2299" s="342"/>
      <c r="BM2299" s="342"/>
      <c r="BN2299" s="342"/>
      <c r="BO2299" s="342"/>
      <c r="BP2299" s="342"/>
      <c r="BQ2299" s="342"/>
      <c r="BR2299" s="342"/>
      <c r="BS2299" s="342"/>
      <c r="BT2299" s="342"/>
      <c r="BU2299" s="342"/>
      <c r="BV2299" s="342"/>
      <c r="BW2299" s="342"/>
      <c r="BX2299" s="342"/>
      <c r="BY2299" s="342"/>
      <c r="BZ2299" s="342"/>
      <c r="CA2299" s="342"/>
      <c r="CB2299" s="342"/>
      <c r="CC2299" s="342"/>
      <c r="CD2299" s="342"/>
      <c r="CE2299" s="342"/>
      <c r="CF2299" s="342"/>
      <c r="CG2299" s="342"/>
      <c r="CH2299" s="342"/>
      <c r="CI2299" s="342"/>
      <c r="CJ2299" s="342"/>
      <c r="CK2299" s="342"/>
      <c r="CL2299" s="342"/>
      <c r="CM2299" s="342"/>
      <c r="CN2299" s="342"/>
      <c r="CO2299" s="342"/>
      <c r="CP2299" s="342"/>
      <c r="CQ2299" s="342"/>
      <c r="CR2299" s="342"/>
      <c r="CS2299" s="342"/>
      <c r="CT2299" s="342"/>
      <c r="CU2299" s="342"/>
      <c r="CV2299" s="342"/>
      <c r="CW2299" s="342"/>
      <c r="CX2299" s="342"/>
      <c r="CY2299" s="342"/>
      <c r="CZ2299" s="342"/>
      <c r="DA2299" s="342"/>
      <c r="DB2299" s="342"/>
      <c r="DC2299" s="342"/>
      <c r="DD2299" s="342"/>
      <c r="DE2299" s="342"/>
      <c r="DF2299" s="342"/>
      <c r="DG2299" s="342"/>
      <c r="DH2299" s="342"/>
      <c r="DI2299" s="342"/>
      <c r="DJ2299" s="342"/>
      <c r="DK2299" s="342"/>
      <c r="DL2299" s="342"/>
    </row>
    <row r="2300">
      <c r="A2300" s="44">
        <v>2300.0</v>
      </c>
      <c r="B2300" s="129" t="s">
        <v>152</v>
      </c>
      <c r="C2300" s="62" t="s">
        <v>115</v>
      </c>
      <c r="D2300" s="62" t="s">
        <v>1270</v>
      </c>
      <c r="F2300" s="1286" t="s">
        <v>13910</v>
      </c>
      <c r="G2300" s="159" t="s">
        <v>13911</v>
      </c>
      <c r="H2300" s="1287" t="s">
        <v>5024</v>
      </c>
      <c r="I2300" s="152">
        <v>45674.0</v>
      </c>
      <c r="J2300" s="152">
        <v>45691.0</v>
      </c>
      <c r="K2300" s="159" t="s">
        <v>13912</v>
      </c>
      <c r="L2300" s="68"/>
      <c r="M2300" s="159" t="s">
        <v>3939</v>
      </c>
      <c r="N2300" s="159" t="s">
        <v>3940</v>
      </c>
      <c r="O2300" s="156">
        <v>1.0</v>
      </c>
      <c r="P2300" s="159" t="str">
        <f>SUBSTITUTE(LOWER(N2300), "/", "--") &amp;  ".pdf"</f>
        <v>10.1111--j.1551-6709.2011.01210.x.pdf</v>
      </c>
      <c r="Q2300" s="52" t="str">
        <f t="array" ref="Q2300"> if(iserror(MATCH(V2300, 'File Links'!C:C, 0)), "N/A", HYPERLINK(INDEX('File Links'!B:B, MATCH(P2300, 'File Links'!C:C, 0))))</f>
        <v>https://drive.google.com/file/d/1peHj2qn55XShERDto7FmUKmKRW04vw25/view?usp=drivesdk</v>
      </c>
      <c r="R2300" s="2028" t="s">
        <v>5028</v>
      </c>
      <c r="S2300" s="310" t="s">
        <v>5029</v>
      </c>
      <c r="T2300" s="310" t="s">
        <v>5030</v>
      </c>
      <c r="U2300" s="156">
        <v>29.0</v>
      </c>
      <c r="V2300" s="159" t="str">
        <f t="shared" si="123"/>
        <v>10.1007--s13164-018-0400-9.pdf</v>
      </c>
      <c r="W2300" s="1290" t="s">
        <v>5031</v>
      </c>
      <c r="X2300" s="54" t="str">
        <f t="array" ref="X2300"> if(iserror(MATCH(V2300, 'File Links'!C:C, 0)), "N/A", HYPERLINK(INDEX('File Links'!B:B, MATCH(V2300, 'File Links'!C:C, 0))))</f>
        <v>https://drive.google.com/file/d/1hjI3aqifdfXjWhQAlvKCKKtvjuncAn5M/view?usp=drivesdk</v>
      </c>
      <c r="Y2300" s="68"/>
      <c r="Z2300" s="159" t="s">
        <v>165</v>
      </c>
      <c r="AA2300" s="129" t="s">
        <v>138</v>
      </c>
      <c r="AB2300" s="159" t="s">
        <v>13903</v>
      </c>
      <c r="AC2300" s="1058" t="s">
        <v>13913</v>
      </c>
      <c r="AD2300" s="159" t="s">
        <v>13914</v>
      </c>
      <c r="AE2300" s="159" t="s">
        <v>13915</v>
      </c>
      <c r="AF2300" s="156">
        <v>92.0</v>
      </c>
      <c r="AG2300" s="159" t="s">
        <v>13678</v>
      </c>
      <c r="AH2300" s="159" t="s">
        <v>173</v>
      </c>
      <c r="AI2300" s="339" t="s">
        <v>850</v>
      </c>
      <c r="AJ2300" s="379">
        <v>0.05</v>
      </c>
      <c r="AK2300" s="57" t="s">
        <v>172</v>
      </c>
      <c r="AL2300" s="159" t="s">
        <v>186</v>
      </c>
      <c r="AM2300" s="57" t="s">
        <v>137</v>
      </c>
      <c r="AN2300" s="1887"/>
      <c r="AO2300" s="1292">
        <v>298.0</v>
      </c>
      <c r="AP2300" s="2034" t="s">
        <v>13916</v>
      </c>
      <c r="AQ2300" s="159" t="s">
        <v>173</v>
      </c>
      <c r="AR2300" s="159" t="s">
        <v>5030</v>
      </c>
      <c r="AS2300" s="156">
        <v>0.24</v>
      </c>
      <c r="AT2300" s="159" t="s">
        <v>172</v>
      </c>
      <c r="AU2300" s="159" t="s">
        <v>186</v>
      </c>
      <c r="AV2300" s="159" t="s">
        <v>137</v>
      </c>
      <c r="AW2300" s="310" t="s">
        <v>13917</v>
      </c>
      <c r="AX2300" s="159" t="s">
        <v>143</v>
      </c>
      <c r="AY2300" s="61" t="str">
        <f>IFERROR(__xludf.DUMMYFUNCTION("vlookup(BB2300,importrange(""https://docs.google.com/spreadsheets/d/1d2vevQ_7D_v35q4wCQ4RpQ_IPoTwEMB9Yp6ymwlPqew/edit?gid=984458430#gid=984458430"", ""'replication success'!A:K""), 11, FAlSE)"),"failed")</f>
        <v>failed</v>
      </c>
      <c r="AZ2300" s="91" t="str">
        <f>IFERROR(__xludf.DUMMYFUNCTION("vlookup(BB2300,importrange(""https://docs.google.com/spreadsheets/d/1d2vevQ_7D_v35q4wCQ4RpQ_IPoTwEMB9Yp6ymwlPqew/edit?gid=984458430#gid=984458430"", ""'replication success'!A:M""), 12, FAlSE)"),"https://osf.io/4ewkh")</f>
        <v>https://osf.io/4ewkh</v>
      </c>
      <c r="BA2300" s="91" t="str">
        <f>IFERROR(__xludf.DUMMYFUNCTION("vlookup(BB2300,importrange(""https://docs.google.com/spreadsheets/d/1d2vevQ_7D_v35q4wCQ4RpQ_IPoTwEMB9Yp6ymwlPqew/edit?gid=984458430#gid=984458430"", ""'replication success'!A:M""), 13, FAlSE)"),"https://osf.io/4ewkh")</f>
        <v>https://osf.io/4ewkh</v>
      </c>
      <c r="BB2300" s="61" t="str">
        <f>IFERROR(__xludf.DUMMYFUNCTION("REGEXREPLACE(G2300, ""_[a-z]{1,2}$"", """")"),"XPHI29")</f>
        <v>XPHI29</v>
      </c>
      <c r="BD2300" s="129" t="s">
        <v>13750</v>
      </c>
      <c r="BE2300" s="342"/>
      <c r="BF2300" s="342"/>
      <c r="BG2300" s="342"/>
      <c r="BH2300" s="342"/>
      <c r="BI2300" s="342"/>
      <c r="BJ2300" s="342"/>
      <c r="BK2300" s="342"/>
      <c r="BL2300" s="342"/>
      <c r="BM2300" s="342"/>
      <c r="BN2300" s="342"/>
      <c r="BO2300" s="342"/>
      <c r="BP2300" s="342"/>
      <c r="BQ2300" s="342"/>
      <c r="BR2300" s="342"/>
      <c r="BS2300" s="342"/>
      <c r="BT2300" s="342"/>
      <c r="BU2300" s="342"/>
      <c r="BV2300" s="342"/>
      <c r="BW2300" s="342"/>
      <c r="BX2300" s="342"/>
      <c r="BY2300" s="342"/>
      <c r="BZ2300" s="342"/>
      <c r="CA2300" s="342"/>
      <c r="CB2300" s="342"/>
      <c r="CC2300" s="342"/>
      <c r="CD2300" s="342"/>
      <c r="CE2300" s="342"/>
      <c r="CF2300" s="342"/>
      <c r="CG2300" s="342"/>
      <c r="CH2300" s="342"/>
      <c r="CI2300" s="342"/>
      <c r="CJ2300" s="342"/>
      <c r="CK2300" s="342"/>
      <c r="CL2300" s="342"/>
      <c r="CM2300" s="342"/>
      <c r="CN2300" s="342"/>
      <c r="CO2300" s="342"/>
      <c r="CP2300" s="342"/>
      <c r="CQ2300" s="342"/>
      <c r="CR2300" s="342"/>
      <c r="CS2300" s="342"/>
      <c r="CT2300" s="342"/>
      <c r="CU2300" s="342"/>
      <c r="CV2300" s="342"/>
      <c r="CW2300" s="342"/>
      <c r="CX2300" s="342"/>
      <c r="CY2300" s="342"/>
      <c r="CZ2300" s="342"/>
      <c r="DA2300" s="342"/>
      <c r="DB2300" s="342"/>
      <c r="DC2300" s="342"/>
      <c r="DD2300" s="342"/>
      <c r="DE2300" s="342"/>
      <c r="DF2300" s="342"/>
      <c r="DG2300" s="342"/>
      <c r="DH2300" s="342"/>
      <c r="DI2300" s="342"/>
      <c r="DJ2300" s="342"/>
      <c r="DK2300" s="342"/>
      <c r="DL2300" s="342"/>
    </row>
    <row r="2301">
      <c r="A2301" s="44">
        <v>2301.0</v>
      </c>
      <c r="B2301" s="45" t="s">
        <v>114</v>
      </c>
      <c r="C2301" s="62" t="s">
        <v>115</v>
      </c>
      <c r="D2301" s="62" t="s">
        <v>248</v>
      </c>
      <c r="F2301" s="1286" t="s">
        <v>13910</v>
      </c>
      <c r="G2301" s="159" t="s">
        <v>13911</v>
      </c>
      <c r="H2301" s="1287" t="s">
        <v>249</v>
      </c>
      <c r="I2301" s="152">
        <v>45331.0</v>
      </c>
      <c r="J2301" s="152">
        <v>45691.0</v>
      </c>
      <c r="K2301" s="2058" t="s">
        <v>13912</v>
      </c>
      <c r="L2301" s="68"/>
      <c r="M2301" s="159" t="s">
        <v>3939</v>
      </c>
      <c r="N2301" s="159" t="s">
        <v>3940</v>
      </c>
      <c r="O2301" s="129">
        <v>1.0</v>
      </c>
      <c r="P2301" s="159" t="s">
        <v>13918</v>
      </c>
      <c r="Q2301" s="52" t="str">
        <f t="array" ref="Q2301"> if(iserror(MATCH(V2301, 'File Links'!C:C, 0)), "N/A", HYPERLINK(INDEX('File Links'!B:B, MATCH(P2301, 'File Links'!C:C, 0))))</f>
        <v>https://drive.google.com/file/d/1peHj2qn55XShERDto7FmUKmKRW04vw25/view?usp=drivesdk</v>
      </c>
      <c r="R2301" s="2028" t="s">
        <v>5028</v>
      </c>
      <c r="S2301" s="159" t="s">
        <v>5029</v>
      </c>
      <c r="T2301" s="68"/>
      <c r="U2301" s="1752">
        <v>29.0</v>
      </c>
      <c r="V2301" s="159" t="str">
        <f t="shared" si="123"/>
        <v>10.1007--s13164-018-0400-9.pdf</v>
      </c>
      <c r="W2301" s="1290" t="s">
        <v>5031</v>
      </c>
      <c r="X2301" s="54" t="str">
        <f t="array" ref="X2301"> if(iserror(MATCH(V2301, 'File Links'!C:C, 0)), "N/A", HYPERLINK(INDEX('File Links'!B:B, MATCH(V2301, 'File Links'!C:C, 0))))</f>
        <v>https://drive.google.com/file/d/1hjI3aqifdfXjWhQAlvKCKKtvjuncAn5M/view?usp=drivesdk</v>
      </c>
      <c r="Y2301" s="68"/>
      <c r="Z2301" s="159" t="s">
        <v>165</v>
      </c>
      <c r="AA2301" s="129" t="s">
        <v>138</v>
      </c>
      <c r="AB2301" s="159" t="s">
        <v>13903</v>
      </c>
      <c r="AC2301" s="1058" t="s">
        <v>13913</v>
      </c>
      <c r="AD2301" s="159" t="s">
        <v>13919</v>
      </c>
      <c r="AE2301" s="159" t="s">
        <v>13920</v>
      </c>
      <c r="AF2301" s="156">
        <v>92.0</v>
      </c>
      <c r="AG2301" s="2043">
        <v>0.43</v>
      </c>
      <c r="AH2301" s="159" t="s">
        <v>173</v>
      </c>
      <c r="AI2301" s="2059" t="s">
        <v>13921</v>
      </c>
      <c r="AJ2301" s="379">
        <v>0.05</v>
      </c>
      <c r="AK2301" s="57" t="s">
        <v>172</v>
      </c>
      <c r="AL2301" s="159" t="s">
        <v>186</v>
      </c>
      <c r="AM2301" s="1286" t="s">
        <v>137</v>
      </c>
      <c r="AN2301" s="1131" t="s">
        <v>138</v>
      </c>
      <c r="AO2301" s="156">
        <v>298.0</v>
      </c>
      <c r="AP2301" s="156">
        <v>0.13</v>
      </c>
      <c r="AQ2301" s="159" t="s">
        <v>173</v>
      </c>
      <c r="AR2301" s="159" t="s">
        <v>13922</v>
      </c>
      <c r="AS2301" s="156">
        <v>0.24</v>
      </c>
      <c r="AT2301" s="159" t="s">
        <v>172</v>
      </c>
      <c r="AU2301" s="159" t="s">
        <v>186</v>
      </c>
      <c r="AV2301" s="154" t="s">
        <v>137</v>
      </c>
      <c r="AW2301" s="1293" t="s">
        <v>13923</v>
      </c>
      <c r="AX2301" s="154" t="s">
        <v>143</v>
      </c>
      <c r="AY2301" s="61" t="str">
        <f>IFERROR(__xludf.DUMMYFUNCTION("vlookup(BB2301,importrange(""https://docs.google.com/spreadsheets/d/1d2vevQ_7D_v35q4wCQ4RpQ_IPoTwEMB9Yp6ymwlPqew/edit?gid=984458430#gid=984458430"", ""'replication success'!A:K""), 11, FAlSE)"),"failed")</f>
        <v>failed</v>
      </c>
      <c r="AZ2301" s="91" t="str">
        <f>IFERROR(__xludf.DUMMYFUNCTION("vlookup(BB2301,importrange(""https://docs.google.com/spreadsheets/d/1d2vevQ_7D_v35q4wCQ4RpQ_IPoTwEMB9Yp6ymwlPqew/edit?gid=984458430#gid=984458430"", ""'replication success'!A:M""), 12, FAlSE)"),"https://osf.io/4ewkh")</f>
        <v>https://osf.io/4ewkh</v>
      </c>
      <c r="BA2301" s="91" t="str">
        <f>IFERROR(__xludf.DUMMYFUNCTION("vlookup(BB2301,importrange(""https://docs.google.com/spreadsheets/d/1d2vevQ_7D_v35q4wCQ4RpQ_IPoTwEMB9Yp6ymwlPqew/edit?gid=984458430#gid=984458430"", ""'replication success'!A:M""), 13, FAlSE)"),"https://osf.io/4ewkh")</f>
        <v>https://osf.io/4ewkh</v>
      </c>
      <c r="BB2301" s="61" t="str">
        <f>IFERROR(__xludf.DUMMYFUNCTION("REGEXREPLACE(G2301, ""_[a-z]{1,2}$"", """")"),"XPHI29")</f>
        <v>XPHI29</v>
      </c>
      <c r="BD2301" s="129" t="s">
        <v>13750</v>
      </c>
      <c r="BE2301" s="342"/>
      <c r="BF2301" s="342"/>
      <c r="BG2301" s="342"/>
      <c r="BH2301" s="342"/>
      <c r="BI2301" s="342"/>
      <c r="BJ2301" s="342"/>
      <c r="BK2301" s="342"/>
      <c r="BL2301" s="342"/>
      <c r="BM2301" s="342"/>
      <c r="BN2301" s="342"/>
      <c r="BO2301" s="342"/>
      <c r="BP2301" s="342"/>
      <c r="BQ2301" s="342"/>
      <c r="BR2301" s="342"/>
      <c r="BS2301" s="342"/>
      <c r="BT2301" s="342"/>
      <c r="BU2301" s="342"/>
      <c r="BV2301" s="342"/>
      <c r="BW2301" s="342"/>
      <c r="BX2301" s="342"/>
      <c r="BY2301" s="342"/>
      <c r="BZ2301" s="342"/>
      <c r="CA2301" s="342"/>
      <c r="CB2301" s="342"/>
      <c r="CC2301" s="342"/>
      <c r="CD2301" s="342"/>
      <c r="CE2301" s="342"/>
      <c r="CF2301" s="342"/>
      <c r="CG2301" s="342"/>
      <c r="CH2301" s="342"/>
      <c r="CI2301" s="342"/>
      <c r="CJ2301" s="342"/>
      <c r="CK2301" s="342"/>
      <c r="CL2301" s="342"/>
      <c r="CM2301" s="342"/>
      <c r="CN2301" s="342"/>
      <c r="CO2301" s="342"/>
      <c r="CP2301" s="342"/>
      <c r="CQ2301" s="342"/>
      <c r="CR2301" s="342"/>
      <c r="CS2301" s="342"/>
      <c r="CT2301" s="342"/>
      <c r="CU2301" s="342"/>
      <c r="CV2301" s="342"/>
      <c r="CW2301" s="342"/>
      <c r="CX2301" s="342"/>
      <c r="CY2301" s="342"/>
      <c r="CZ2301" s="342"/>
      <c r="DA2301" s="342"/>
      <c r="DB2301" s="342"/>
      <c r="DC2301" s="342"/>
      <c r="DD2301" s="342"/>
      <c r="DE2301" s="342"/>
      <c r="DF2301" s="342"/>
      <c r="DG2301" s="342"/>
      <c r="DH2301" s="342"/>
      <c r="DI2301" s="342"/>
      <c r="DJ2301" s="342"/>
      <c r="DK2301" s="342"/>
      <c r="DL2301" s="342"/>
    </row>
    <row r="2302">
      <c r="A2302" s="44">
        <v>2302.0</v>
      </c>
      <c r="B2302" s="68" t="s">
        <v>152</v>
      </c>
      <c r="C2302" s="62" t="s">
        <v>115</v>
      </c>
      <c r="D2302" s="62" t="s">
        <v>1270</v>
      </c>
      <c r="F2302" s="129" t="s">
        <v>13910</v>
      </c>
      <c r="G2302" s="151" t="s">
        <v>13924</v>
      </c>
      <c r="H2302" s="1287" t="s">
        <v>5024</v>
      </c>
      <c r="I2302" s="152">
        <v>45674.0</v>
      </c>
      <c r="J2302" s="152">
        <v>45691.0</v>
      </c>
      <c r="K2302" s="680" t="s">
        <v>13912</v>
      </c>
      <c r="L2302" s="68" t="s">
        <v>13642</v>
      </c>
      <c r="M2302" s="159" t="s">
        <v>3939</v>
      </c>
      <c r="N2302" s="159" t="s">
        <v>3940</v>
      </c>
      <c r="O2302" s="156">
        <v>1.0</v>
      </c>
      <c r="P2302" s="159" t="str">
        <f t="shared" ref="P2302:P2303" si="128">SUBSTITUTE(LOWER(N2302), "/", "--") &amp;  ".pdf"</f>
        <v>10.1111--j.1551-6709.2011.01210.x.pdf</v>
      </c>
      <c r="Q2302" s="52" t="str">
        <f t="array" ref="Q2302"> if(iserror(MATCH(V2302, 'File Links'!C:C, 0)), "N/A", HYPERLINK(INDEX('File Links'!B:B, MATCH(P2302, 'File Links'!C:C, 0))))</f>
        <v>https://drive.google.com/file/d/1peHj2qn55XShERDto7FmUKmKRW04vw25/view?usp=drivesdk</v>
      </c>
      <c r="R2302" s="2028" t="s">
        <v>5028</v>
      </c>
      <c r="S2302" s="310" t="s">
        <v>5029</v>
      </c>
      <c r="T2302" s="310" t="s">
        <v>5030</v>
      </c>
      <c r="U2302" s="156">
        <v>29.0</v>
      </c>
      <c r="V2302" s="159" t="str">
        <f t="shared" si="123"/>
        <v>10.1007--s13164-018-0400-9.pdf</v>
      </c>
      <c r="W2302" s="1290" t="s">
        <v>5031</v>
      </c>
      <c r="X2302" s="54" t="str">
        <f t="array" ref="X2302"> if(iserror(MATCH(V2302, 'File Links'!C:C, 0)), "N/A", HYPERLINK(INDEX('File Links'!B:B, MATCH(V2302, 'File Links'!C:C, 0))))</f>
        <v>https://drive.google.com/file/d/1hjI3aqifdfXjWhQAlvKCKKtvjuncAn5M/view?usp=drivesdk</v>
      </c>
      <c r="Y2302" s="68"/>
      <c r="Z2302" s="159" t="s">
        <v>165</v>
      </c>
      <c r="AA2302" s="129" t="s">
        <v>138</v>
      </c>
      <c r="AB2302" s="159" t="s">
        <v>13903</v>
      </c>
      <c r="AC2302" s="1058" t="s">
        <v>13913</v>
      </c>
      <c r="AD2302" s="159" t="s">
        <v>13925</v>
      </c>
      <c r="AE2302" s="159" t="s">
        <v>13915</v>
      </c>
      <c r="AF2302" s="156">
        <v>92.0</v>
      </c>
      <c r="AG2302" s="159" t="s">
        <v>13926</v>
      </c>
      <c r="AH2302" s="159" t="s">
        <v>215</v>
      </c>
      <c r="AI2302" s="339" t="s">
        <v>850</v>
      </c>
      <c r="AJ2302" s="379">
        <v>0.001</v>
      </c>
      <c r="AK2302" s="57" t="s">
        <v>172</v>
      </c>
      <c r="AL2302" s="159" t="s">
        <v>186</v>
      </c>
      <c r="AM2302" s="57" t="s">
        <v>137</v>
      </c>
      <c r="AN2302" s="68"/>
      <c r="AO2302" s="156">
        <v>316.0</v>
      </c>
      <c r="AP2302" s="2034" t="s">
        <v>13927</v>
      </c>
      <c r="AQ2302" s="159" t="s">
        <v>215</v>
      </c>
      <c r="AR2302" s="159" t="s">
        <v>13928</v>
      </c>
      <c r="AS2302" s="156">
        <v>0.11</v>
      </c>
      <c r="AT2302" s="159" t="s">
        <v>172</v>
      </c>
      <c r="AU2302" s="159" t="s">
        <v>186</v>
      </c>
      <c r="AV2302" s="159" t="s">
        <v>137</v>
      </c>
      <c r="AW2302" s="310" t="s">
        <v>13917</v>
      </c>
      <c r="AX2302" s="159" t="s">
        <v>143</v>
      </c>
      <c r="AY2302" s="61" t="str">
        <f>IFERROR(__xludf.DUMMYFUNCTION("vlookup(BB2302,importrange(""https://docs.google.com/spreadsheets/d/1d2vevQ_7D_v35q4wCQ4RpQ_IPoTwEMB9Yp6ymwlPqew/edit?gid=984458430#gid=984458430"", ""'replication success'!A:K""), 11, FAlSE)"),"failed")</f>
        <v>failed</v>
      </c>
      <c r="AZ2302" s="91" t="str">
        <f>IFERROR(__xludf.DUMMYFUNCTION("vlookup(BB2302,importrange(""https://docs.google.com/spreadsheets/d/1d2vevQ_7D_v35q4wCQ4RpQ_IPoTwEMB9Yp6ymwlPqew/edit?gid=984458430#gid=984458430"", ""'replication success'!A:M""), 12, FAlSE)"),"https://osf.io/4ewkh")</f>
        <v>https://osf.io/4ewkh</v>
      </c>
      <c r="BA2302" s="91" t="str">
        <f>IFERROR(__xludf.DUMMYFUNCTION("vlookup(BB2302,importrange(""https://docs.google.com/spreadsheets/d/1d2vevQ_7D_v35q4wCQ4RpQ_IPoTwEMB9Yp6ymwlPqew/edit?gid=984458430#gid=984458430"", ""'replication success'!A:M""), 13, FAlSE)"),"https://osf.io/4ewkh")</f>
        <v>https://osf.io/4ewkh</v>
      </c>
      <c r="BB2302" s="61" t="str">
        <f>IFERROR(__xludf.DUMMYFUNCTION("REGEXREPLACE(G2302, ""_[a-z]{1,2}$"", """")"),"XPHI29")</f>
        <v>XPHI29</v>
      </c>
      <c r="BD2302" s="154" t="s">
        <v>249</v>
      </c>
    </row>
    <row r="2303">
      <c r="A2303" s="44">
        <v>2303.0</v>
      </c>
      <c r="B2303" s="68" t="s">
        <v>114</v>
      </c>
      <c r="C2303" s="62" t="s">
        <v>115</v>
      </c>
      <c r="D2303" s="62" t="s">
        <v>1270</v>
      </c>
      <c r="F2303" s="2027" t="s">
        <v>13929</v>
      </c>
      <c r="G2303" s="159" t="s">
        <v>13930</v>
      </c>
      <c r="H2303" s="1287" t="s">
        <v>5024</v>
      </c>
      <c r="I2303" s="152">
        <v>45667.0</v>
      </c>
      <c r="J2303" s="152">
        <v>45691.0</v>
      </c>
      <c r="K2303" s="68"/>
      <c r="L2303" s="68"/>
      <c r="M2303" s="159" t="s">
        <v>13931</v>
      </c>
      <c r="N2303" s="159" t="s">
        <v>13932</v>
      </c>
      <c r="O2303" s="129">
        <v>1.0</v>
      </c>
      <c r="P2303" s="159" t="str">
        <f t="shared" si="128"/>
        <v>10.1016--j.cognition.2003.10.003.pdf</v>
      </c>
      <c r="Q2303" s="52" t="str">
        <f t="array" ref="Q2303"> if(iserror(MATCH(V2303, 'File Links'!C:C, 0)), "N/A", HYPERLINK(INDEX('File Links'!B:B, MATCH(P2303, 'File Links'!C:C, 0))))</f>
        <v>https://drive.google.com/file/d/1iXbJmAfK9HnzZ8oDPYgQfHqZeVcgywaq/view?usp=drivesdk</v>
      </c>
      <c r="R2303" s="2028" t="s">
        <v>5028</v>
      </c>
      <c r="S2303" s="310" t="s">
        <v>5029</v>
      </c>
      <c r="T2303" s="310" t="s">
        <v>5030</v>
      </c>
      <c r="U2303" s="156">
        <v>3.0</v>
      </c>
      <c r="V2303" s="159" t="str">
        <f t="shared" si="123"/>
        <v>10.1007--s13164-018-0400-9.pdf</v>
      </c>
      <c r="W2303" s="1290" t="s">
        <v>5031</v>
      </c>
      <c r="X2303" s="54" t="str">
        <f t="array" ref="X2303"> if(iserror(MATCH(V2303, 'File Links'!C:C, 0)), "N/A", HYPERLINK(INDEX('File Links'!B:B, MATCH(V2303, 'File Links'!C:C, 0))))</f>
        <v>https://drive.google.com/file/d/1hjI3aqifdfXjWhQAlvKCKKtvjuncAn5M/view?usp=drivesdk</v>
      </c>
      <c r="Y2303" s="68"/>
      <c r="Z2303" s="159" t="s">
        <v>165</v>
      </c>
      <c r="AA2303" s="1290" t="s">
        <v>5041</v>
      </c>
      <c r="AB2303" s="1290" t="s">
        <v>13933</v>
      </c>
      <c r="AC2303" s="159" t="s">
        <v>13934</v>
      </c>
      <c r="AD2303" s="2060" t="s">
        <v>13935</v>
      </c>
      <c r="AE2303" s="159" t="s">
        <v>13711</v>
      </c>
      <c r="AF2303" s="1059">
        <v>41.0</v>
      </c>
      <c r="AG2303" s="159" t="s">
        <v>13936</v>
      </c>
      <c r="AH2303" s="159" t="s">
        <v>134</v>
      </c>
      <c r="AI2303" s="339" t="s">
        <v>132</v>
      </c>
      <c r="AJ2303" s="379">
        <v>0.05</v>
      </c>
      <c r="AK2303" s="57" t="s">
        <v>135</v>
      </c>
      <c r="AL2303" s="159" t="s">
        <v>136</v>
      </c>
      <c r="AM2303" s="57" t="s">
        <v>137</v>
      </c>
      <c r="AN2303" s="68"/>
      <c r="AO2303" s="156">
        <v>181.0</v>
      </c>
      <c r="AP2303" s="1292">
        <v>0.0</v>
      </c>
      <c r="AQ2303" s="159" t="s">
        <v>173</v>
      </c>
      <c r="AR2303" s="159" t="s">
        <v>5030</v>
      </c>
      <c r="AS2303" s="156">
        <v>0.99</v>
      </c>
      <c r="AT2303" s="159" t="s">
        <v>172</v>
      </c>
      <c r="AU2303" s="159" t="s">
        <v>136</v>
      </c>
      <c r="AV2303" s="159" t="s">
        <v>137</v>
      </c>
      <c r="AW2303" s="310" t="s">
        <v>13937</v>
      </c>
      <c r="AX2303" s="159" t="s">
        <v>143</v>
      </c>
      <c r="AY2303" s="61" t="str">
        <f>IFERROR(__xludf.DUMMYFUNCTION("vlookup(BB2303,importrange(""https://docs.google.com/spreadsheets/d/1d2vevQ_7D_v35q4wCQ4RpQ_IPoTwEMB9Yp6ymwlPqew/edit?gid=984458430#gid=984458430"", ""'replication success'!A:K""), 11, FAlSE)"),"failed")</f>
        <v>failed</v>
      </c>
      <c r="AZ2303" s="91" t="str">
        <f>IFERROR(__xludf.DUMMYFUNCTION("vlookup(BB2303,importrange(""https://docs.google.com/spreadsheets/d/1d2vevQ_7D_v35q4wCQ4RpQ_IPoTwEMB9Yp6ymwlPqew/edit?gid=984458430#gid=984458430"", ""'replication success'!A:M""), 12, FAlSE)"),"https://osf.io/4ewkh")</f>
        <v>https://osf.io/4ewkh</v>
      </c>
      <c r="BA2303" s="91" t="str">
        <f>IFERROR(__xludf.DUMMYFUNCTION("vlookup(BB2303,importrange(""https://docs.google.com/spreadsheets/d/1d2vevQ_7D_v35q4wCQ4RpQ_IPoTwEMB9Yp6ymwlPqew/edit?gid=984458430#gid=984458430"", ""'replication success'!A:M""), 13, FAlSE)"),"https://osf.io/4ewkh")</f>
        <v>https://osf.io/4ewkh</v>
      </c>
      <c r="BB2303" s="61" t="str">
        <f>IFERROR(__xludf.DUMMYFUNCTION("REGEXREPLACE(G2303, ""_[a-z]{1,2}$"", """")"),"XPHI3")</f>
        <v>XPHI3</v>
      </c>
      <c r="BD2303" s="129" t="s">
        <v>13750</v>
      </c>
    </row>
    <row r="2304">
      <c r="A2304" s="44">
        <v>2304.0</v>
      </c>
      <c r="B2304" s="45" t="s">
        <v>152</v>
      </c>
      <c r="C2304" s="62" t="s">
        <v>115</v>
      </c>
      <c r="D2304" s="62" t="s">
        <v>248</v>
      </c>
      <c r="F2304" s="2027" t="s">
        <v>13929</v>
      </c>
      <c r="G2304" s="159" t="s">
        <v>13930</v>
      </c>
      <c r="H2304" s="1287" t="s">
        <v>249</v>
      </c>
      <c r="I2304" s="152">
        <v>45331.0</v>
      </c>
      <c r="J2304" s="152">
        <v>45691.0</v>
      </c>
      <c r="K2304" s="159" t="s">
        <v>13938</v>
      </c>
      <c r="L2304" s="159" t="s">
        <v>13939</v>
      </c>
      <c r="M2304" s="159" t="s">
        <v>13931</v>
      </c>
      <c r="N2304" s="159" t="s">
        <v>13932</v>
      </c>
      <c r="O2304" s="159" t="s">
        <v>13940</v>
      </c>
      <c r="P2304" s="159" t="s">
        <v>13941</v>
      </c>
      <c r="Q2304" s="52" t="str">
        <f t="array" ref="Q2304"> if(iserror(MATCH(V2304, 'File Links'!C:C, 0)), "N/A", HYPERLINK(INDEX('File Links'!B:B, MATCH(P2304, 'File Links'!C:C, 0))))</f>
        <v>https://drive.google.com/file/d/1iXbJmAfK9HnzZ8oDPYgQfHqZeVcgywaq/view?usp=drivesdk</v>
      </c>
      <c r="R2304" s="2028" t="s">
        <v>5028</v>
      </c>
      <c r="S2304" s="159" t="s">
        <v>5029</v>
      </c>
      <c r="T2304" s="68"/>
      <c r="U2304" s="1058">
        <v>3.0</v>
      </c>
      <c r="V2304" s="159" t="str">
        <f t="shared" si="123"/>
        <v>10.1007--s13164-018-0400-9.pdf</v>
      </c>
      <c r="W2304" s="1290" t="s">
        <v>5031</v>
      </c>
      <c r="X2304" s="54" t="str">
        <f t="array" ref="X2304"> if(iserror(MATCH(V2304, 'File Links'!C:C, 0)), "N/A", HYPERLINK(INDEX('File Links'!B:B, MATCH(V2304, 'File Links'!C:C, 0))))</f>
        <v>https://drive.google.com/file/d/1hjI3aqifdfXjWhQAlvKCKKtvjuncAn5M/view?usp=drivesdk</v>
      </c>
      <c r="Y2304" s="68"/>
      <c r="Z2304" s="159" t="s">
        <v>165</v>
      </c>
      <c r="AA2304" s="1290" t="s">
        <v>5041</v>
      </c>
      <c r="AB2304" s="1290" t="s">
        <v>13933</v>
      </c>
      <c r="AC2304" s="159" t="s">
        <v>13934</v>
      </c>
      <c r="AD2304" s="2061" t="s">
        <v>13935</v>
      </c>
      <c r="AE2304" s="159" t="s">
        <v>132</v>
      </c>
      <c r="AF2304" s="156">
        <v>72.0</v>
      </c>
      <c r="AG2304" s="159" t="s">
        <v>13936</v>
      </c>
      <c r="AH2304" s="159" t="s">
        <v>134</v>
      </c>
      <c r="AI2304" s="339" t="s">
        <v>13942</v>
      </c>
      <c r="AJ2304" s="379">
        <v>0.05</v>
      </c>
      <c r="AK2304" s="57" t="s">
        <v>135</v>
      </c>
      <c r="AL2304" s="159" t="s">
        <v>136</v>
      </c>
      <c r="AM2304" s="1286" t="s">
        <v>137</v>
      </c>
      <c r="AN2304" s="1370" t="s">
        <v>138</v>
      </c>
      <c r="AO2304" s="1356">
        <v>181.0</v>
      </c>
      <c r="AP2304" s="1356" t="s">
        <v>13943</v>
      </c>
      <c r="AQ2304" s="1131" t="s">
        <v>134</v>
      </c>
      <c r="AR2304" s="159" t="s">
        <v>13944</v>
      </c>
      <c r="AS2304" s="156">
        <v>0.99</v>
      </c>
      <c r="AT2304" s="159" t="s">
        <v>172</v>
      </c>
      <c r="AU2304" s="159" t="s">
        <v>186</v>
      </c>
      <c r="AV2304" s="154" t="s">
        <v>137</v>
      </c>
      <c r="AW2304" s="2062" t="s">
        <v>13945</v>
      </c>
      <c r="AX2304" s="154" t="s">
        <v>143</v>
      </c>
      <c r="AY2304" s="61" t="str">
        <f>IFERROR(__xludf.DUMMYFUNCTION("vlookup(BB2304,importrange(""https://docs.google.com/spreadsheets/d/1d2vevQ_7D_v35q4wCQ4RpQ_IPoTwEMB9Yp6ymwlPqew/edit?gid=984458430#gid=984458430"", ""'replication success'!A:K""), 11, FAlSE)"),"failed")</f>
        <v>failed</v>
      </c>
      <c r="AZ2304" s="91" t="str">
        <f>IFERROR(__xludf.DUMMYFUNCTION("vlookup(BB2304,importrange(""https://docs.google.com/spreadsheets/d/1d2vevQ_7D_v35q4wCQ4RpQ_IPoTwEMB9Yp6ymwlPqew/edit?gid=984458430#gid=984458430"", ""'replication success'!A:M""), 12, FAlSE)"),"https://osf.io/4ewkh")</f>
        <v>https://osf.io/4ewkh</v>
      </c>
      <c r="BA2304" s="91" t="str">
        <f>IFERROR(__xludf.DUMMYFUNCTION("vlookup(BB2304,importrange(""https://docs.google.com/spreadsheets/d/1d2vevQ_7D_v35q4wCQ4RpQ_IPoTwEMB9Yp6ymwlPqew/edit?gid=984458430#gid=984458430"", ""'replication success'!A:M""), 13, FAlSE)"),"https://osf.io/4ewkh")</f>
        <v>https://osf.io/4ewkh</v>
      </c>
      <c r="BB2304" s="61" t="str">
        <f>IFERROR(__xludf.DUMMYFUNCTION("REGEXREPLACE(G2304, ""_[a-z]{1,2}$"", """")"),"XPHI3")</f>
        <v>XPHI3</v>
      </c>
      <c r="BD2304" s="129" t="s">
        <v>13750</v>
      </c>
      <c r="BE2304" s="342"/>
      <c r="BF2304" s="342"/>
      <c r="BG2304" s="342"/>
      <c r="BH2304" s="342"/>
      <c r="BI2304" s="342"/>
      <c r="BJ2304" s="342"/>
      <c r="BK2304" s="342"/>
      <c r="BL2304" s="342"/>
      <c r="BM2304" s="342"/>
      <c r="BN2304" s="342"/>
      <c r="BO2304" s="342"/>
      <c r="BP2304" s="342"/>
      <c r="BQ2304" s="342"/>
      <c r="BR2304" s="342"/>
      <c r="BS2304" s="342"/>
      <c r="BT2304" s="342"/>
      <c r="BU2304" s="342"/>
      <c r="BV2304" s="342"/>
      <c r="BW2304" s="342"/>
      <c r="BX2304" s="342"/>
      <c r="BY2304" s="342"/>
      <c r="BZ2304" s="342"/>
      <c r="CA2304" s="342"/>
      <c r="CB2304" s="342"/>
      <c r="CC2304" s="342"/>
      <c r="CD2304" s="342"/>
      <c r="CE2304" s="342"/>
      <c r="CF2304" s="342"/>
      <c r="CG2304" s="342"/>
      <c r="CH2304" s="342"/>
      <c r="CI2304" s="342"/>
      <c r="CJ2304" s="342"/>
      <c r="CK2304" s="342"/>
      <c r="CL2304" s="342"/>
      <c r="CM2304" s="342"/>
      <c r="CN2304" s="342"/>
      <c r="CO2304" s="342"/>
      <c r="CP2304" s="342"/>
      <c r="CQ2304" s="342"/>
      <c r="CR2304" s="342"/>
      <c r="CS2304" s="342"/>
      <c r="CT2304" s="342"/>
      <c r="CU2304" s="342"/>
      <c r="CV2304" s="342"/>
      <c r="CW2304" s="342"/>
      <c r="CX2304" s="342"/>
      <c r="CY2304" s="342"/>
      <c r="CZ2304" s="342"/>
      <c r="DA2304" s="342"/>
      <c r="DB2304" s="342"/>
      <c r="DC2304" s="342"/>
      <c r="DD2304" s="342"/>
      <c r="DE2304" s="342"/>
      <c r="DF2304" s="342"/>
      <c r="DG2304" s="342"/>
      <c r="DH2304" s="342"/>
      <c r="DI2304" s="342"/>
      <c r="DJ2304" s="342"/>
      <c r="DK2304" s="342"/>
      <c r="DL2304" s="342"/>
    </row>
    <row r="2305">
      <c r="A2305" s="44">
        <v>2305.0</v>
      </c>
      <c r="B2305" s="45" t="s">
        <v>590</v>
      </c>
      <c r="C2305" s="62" t="s">
        <v>115</v>
      </c>
      <c r="D2305" s="62" t="s">
        <v>248</v>
      </c>
      <c r="F2305" s="2027" t="s">
        <v>13946</v>
      </c>
      <c r="G2305" s="159" t="s">
        <v>13947</v>
      </c>
      <c r="H2305" s="1287" t="s">
        <v>249</v>
      </c>
      <c r="I2305" s="152">
        <v>45331.0</v>
      </c>
      <c r="J2305" s="152">
        <v>45686.0</v>
      </c>
      <c r="K2305" s="68"/>
      <c r="L2305" s="481" t="s">
        <v>13562</v>
      </c>
      <c r="M2305" s="159" t="s">
        <v>158</v>
      </c>
      <c r="N2305" s="159" t="s">
        <v>159</v>
      </c>
      <c r="O2305" s="129">
        <v>1.0</v>
      </c>
      <c r="P2305" s="159" t="s">
        <v>160</v>
      </c>
      <c r="Q2305" s="52" t="str">
        <f t="array" ref="Q2305"> if(iserror(MATCH(V2305, 'File Links'!C:C, 0)), "N/A", HYPERLINK(INDEX('File Links'!B:B, MATCH(P2305, 'File Links'!C:C, 0))))</f>
        <v>https://drive.google.com/file/d/1O4mjB0-ZSujMTJYtaAoIsXTPuhxgEF-0/view?usp=drivesdk</v>
      </c>
      <c r="R2305" s="2028" t="s">
        <v>5028</v>
      </c>
      <c r="S2305" s="159" t="s">
        <v>5029</v>
      </c>
      <c r="T2305" s="68"/>
      <c r="U2305" s="68"/>
      <c r="V2305" s="159" t="str">
        <f t="shared" si="123"/>
        <v>10.1007--s13164-018-0400-9.pdf</v>
      </c>
      <c r="W2305" s="1290" t="s">
        <v>5031</v>
      </c>
      <c r="X2305" s="54" t="str">
        <f t="array" ref="X2305"> if(iserror(MATCH(V2305, 'File Links'!C:C, 0)), "N/A", HYPERLINK(INDEX('File Links'!B:B, MATCH(V2305, 'File Links'!C:C, 0))))</f>
        <v>https://drive.google.com/file/d/1hjI3aqifdfXjWhQAlvKCKKtvjuncAn5M/view?usp=drivesdk</v>
      </c>
      <c r="Y2305" s="68"/>
      <c r="Z2305" s="159" t="s">
        <v>165</v>
      </c>
      <c r="AA2305" s="129" t="s">
        <v>138</v>
      </c>
      <c r="AB2305" s="159" t="s">
        <v>5041</v>
      </c>
      <c r="AC2305" s="68"/>
      <c r="AD2305" s="159" t="s">
        <v>13948</v>
      </c>
      <c r="AE2305" s="159" t="s">
        <v>13949</v>
      </c>
      <c r="AF2305" s="156">
        <v>100.0</v>
      </c>
      <c r="AG2305" s="2043">
        <v>0.68</v>
      </c>
      <c r="AH2305" s="159" t="s">
        <v>173</v>
      </c>
      <c r="AI2305" s="2059" t="s">
        <v>13950</v>
      </c>
      <c r="AJ2305" s="379">
        <v>0.001</v>
      </c>
      <c r="AK2305" s="57" t="s">
        <v>172</v>
      </c>
      <c r="AL2305" s="159" t="s">
        <v>186</v>
      </c>
      <c r="AM2305" s="1286" t="s">
        <v>137</v>
      </c>
      <c r="AN2305" s="1370" t="s">
        <v>138</v>
      </c>
      <c r="AO2305" s="156">
        <v>150.0</v>
      </c>
      <c r="AP2305" s="156">
        <v>0.58</v>
      </c>
      <c r="AQ2305" s="159" t="s">
        <v>173</v>
      </c>
      <c r="AR2305" s="159" t="s">
        <v>13951</v>
      </c>
      <c r="AS2305" s="156">
        <v>0.001</v>
      </c>
      <c r="AT2305" s="159" t="s">
        <v>135</v>
      </c>
      <c r="AU2305" s="159" t="s">
        <v>186</v>
      </c>
      <c r="AV2305" s="154" t="s">
        <v>137</v>
      </c>
      <c r="AW2305" s="680" t="s">
        <v>13952</v>
      </c>
      <c r="AX2305" s="159" t="s">
        <v>143</v>
      </c>
      <c r="AY2305" s="61" t="str">
        <f>IFERROR(__xludf.DUMMYFUNCTION("vlookup(BB2305,importrange(""https://docs.google.com/spreadsheets/d/1d2vevQ_7D_v35q4wCQ4RpQ_IPoTwEMB9Yp6ymwlPqew/edit?gid=984458430#gid=984458430"", ""'replication success'!A:K""), 11, FAlSE)"),"#N/A")</f>
        <v>#N/A</v>
      </c>
      <c r="AZ2305" s="61" t="str">
        <f>IFERROR(__xludf.DUMMYFUNCTION("vlookup(BB2305,importrange(""https://docs.google.com/spreadsheets/d/1d2vevQ_7D_v35q4wCQ4RpQ_IPoTwEMB9Yp6ymwlPqew/edit?gid=984458430#gid=984458430"", ""'replication success'!A:M""), 12, FAlSE)"),"#N/A")</f>
        <v>#N/A</v>
      </c>
      <c r="BA2305" s="61" t="str">
        <f>IFERROR(__xludf.DUMMYFUNCTION("vlookup(BB2305,importrange(""https://docs.google.com/spreadsheets/d/1d2vevQ_7D_v35q4wCQ4RpQ_IPoTwEMB9Yp6ymwlPqew/edit?gid=984458430#gid=984458430"", ""'replication success'!A:M""), 13, FAlSE)"),"#N/A")</f>
        <v>#N/A</v>
      </c>
      <c r="BB2305" s="61" t="str">
        <f>IFERROR(__xludf.DUMMYFUNCTION("REGEXREPLACE(G2305, ""_[a-z]{1,2}$"", """")"),"XPHI30")</f>
        <v>XPHI30</v>
      </c>
      <c r="BD2305" s="155" t="s">
        <v>13578</v>
      </c>
      <c r="BE2305" s="342"/>
      <c r="BF2305" s="342"/>
      <c r="BG2305" s="342"/>
      <c r="BH2305" s="342"/>
      <c r="BI2305" s="342"/>
      <c r="BJ2305" s="342"/>
      <c r="BK2305" s="342"/>
      <c r="BL2305" s="342"/>
      <c r="BM2305" s="342"/>
      <c r="BN2305" s="342"/>
      <c r="BO2305" s="342"/>
      <c r="BP2305" s="342"/>
      <c r="BQ2305" s="342"/>
      <c r="BR2305" s="342"/>
      <c r="BS2305" s="342"/>
      <c r="BT2305" s="342"/>
      <c r="BU2305" s="342"/>
      <c r="BV2305" s="342"/>
      <c r="BW2305" s="342"/>
      <c r="BX2305" s="342"/>
      <c r="BY2305" s="342"/>
      <c r="BZ2305" s="342"/>
      <c r="CA2305" s="342"/>
      <c r="CB2305" s="342"/>
      <c r="CC2305" s="342"/>
      <c r="CD2305" s="342"/>
      <c r="CE2305" s="342"/>
      <c r="CF2305" s="342"/>
      <c r="CG2305" s="342"/>
      <c r="CH2305" s="342"/>
      <c r="CI2305" s="342"/>
      <c r="CJ2305" s="342"/>
      <c r="CK2305" s="342"/>
      <c r="CL2305" s="342"/>
      <c r="CM2305" s="342"/>
      <c r="CN2305" s="342"/>
      <c r="CO2305" s="342"/>
      <c r="CP2305" s="342"/>
      <c r="CQ2305" s="342"/>
      <c r="CR2305" s="342"/>
      <c r="CS2305" s="342"/>
      <c r="CT2305" s="342"/>
      <c r="CU2305" s="342"/>
      <c r="CV2305" s="342"/>
      <c r="CW2305" s="342"/>
      <c r="CX2305" s="342"/>
      <c r="CY2305" s="342"/>
      <c r="CZ2305" s="342"/>
      <c r="DA2305" s="342"/>
      <c r="DB2305" s="342"/>
      <c r="DC2305" s="342"/>
      <c r="DD2305" s="342"/>
      <c r="DE2305" s="342"/>
      <c r="DF2305" s="342"/>
      <c r="DG2305" s="342"/>
      <c r="DH2305" s="342"/>
      <c r="DI2305" s="342"/>
      <c r="DJ2305" s="342"/>
      <c r="DK2305" s="342"/>
      <c r="DL2305" s="342"/>
    </row>
    <row r="2306">
      <c r="A2306" s="44">
        <v>2306.0</v>
      </c>
      <c r="B2306" s="129" t="s">
        <v>152</v>
      </c>
      <c r="C2306" s="62" t="s">
        <v>115</v>
      </c>
      <c r="D2306" s="62" t="s">
        <v>1270</v>
      </c>
      <c r="F2306" s="1286" t="s">
        <v>13953</v>
      </c>
      <c r="G2306" s="159" t="s">
        <v>13954</v>
      </c>
      <c r="H2306" s="1287" t="s">
        <v>5024</v>
      </c>
      <c r="I2306" s="152">
        <v>45331.0</v>
      </c>
      <c r="J2306" s="153">
        <v>45727.0</v>
      </c>
      <c r="K2306" s="159" t="s">
        <v>13955</v>
      </c>
      <c r="L2306" s="129" t="s">
        <v>13956</v>
      </c>
      <c r="M2306" s="159" t="s">
        <v>13957</v>
      </c>
      <c r="N2306" s="159" t="s">
        <v>13958</v>
      </c>
      <c r="O2306" s="156">
        <v>3.0</v>
      </c>
      <c r="P2306" s="159" t="str">
        <f>SUBSTITUTE(LOWER(N2306), "/", "--") &amp;  ".pdf"</f>
        <v>10.1007--s11098-010-9651-8.pdf</v>
      </c>
      <c r="Q2306" s="52" t="str">
        <f t="array" ref="Q2306"> if(iserror(MATCH(V2306, 'File Links'!C:C, 0)), "N/A", HYPERLINK(INDEX('File Links'!B:B, MATCH(P2306, 'File Links'!C:C, 0))))</f>
        <v>https://drive.google.com/file/d/1pcJJj-dcZ2YUNw-3w1ykB27KPj9Bj-By/view?usp=drivesdk</v>
      </c>
      <c r="R2306" s="2028" t="s">
        <v>5028</v>
      </c>
      <c r="S2306" s="310" t="s">
        <v>5029</v>
      </c>
      <c r="T2306" s="2063" t="s">
        <v>13959</v>
      </c>
      <c r="U2306" s="156">
        <v>31.0</v>
      </c>
      <c r="V2306" s="159" t="str">
        <f t="shared" si="123"/>
        <v>10.1007--s13164-018-0400-9.pdf</v>
      </c>
      <c r="W2306" s="1290" t="s">
        <v>5031</v>
      </c>
      <c r="X2306" s="54" t="str">
        <f t="array" ref="X2306"> if(iserror(MATCH(V2306, 'File Links'!C:C, 0)), "N/A", HYPERLINK(INDEX('File Links'!B:B, MATCH(V2306, 'File Links'!C:C, 0))))</f>
        <v>https://drive.google.com/file/d/1hjI3aqifdfXjWhQAlvKCKKtvjuncAn5M/view?usp=drivesdk</v>
      </c>
      <c r="Y2306" s="68"/>
      <c r="Z2306" s="159" t="s">
        <v>165</v>
      </c>
      <c r="AA2306" s="129" t="s">
        <v>138</v>
      </c>
      <c r="AB2306" s="159" t="s">
        <v>13960</v>
      </c>
      <c r="AC2306" s="1370" t="s">
        <v>13961</v>
      </c>
      <c r="AD2306" s="159" t="s">
        <v>13962</v>
      </c>
      <c r="AE2306" s="159" t="s">
        <v>13963</v>
      </c>
      <c r="AF2306" s="156">
        <v>117.0</v>
      </c>
      <c r="AG2306" s="159" t="s">
        <v>13964</v>
      </c>
      <c r="AH2306" s="159" t="s">
        <v>134</v>
      </c>
      <c r="AI2306" s="339" t="s">
        <v>627</v>
      </c>
      <c r="AJ2306" s="379">
        <v>0.045</v>
      </c>
      <c r="AK2306" s="57" t="s">
        <v>172</v>
      </c>
      <c r="AL2306" s="159" t="s">
        <v>186</v>
      </c>
      <c r="AM2306" s="57" t="s">
        <v>137</v>
      </c>
      <c r="AN2306" s="1370" t="s">
        <v>138</v>
      </c>
      <c r="AO2306" s="156">
        <v>368.0</v>
      </c>
      <c r="AP2306" s="2034" t="s">
        <v>13965</v>
      </c>
      <c r="AQ2306" s="159" t="s">
        <v>134</v>
      </c>
      <c r="AR2306" s="159" t="s">
        <v>5030</v>
      </c>
      <c r="AS2306" s="156">
        <v>0.008</v>
      </c>
      <c r="AT2306" s="159" t="s">
        <v>172</v>
      </c>
      <c r="AU2306" s="159" t="s">
        <v>186</v>
      </c>
      <c r="AV2306" s="159" t="s">
        <v>137</v>
      </c>
      <c r="AW2306" s="129" t="s">
        <v>138</v>
      </c>
      <c r="AX2306" s="159" t="s">
        <v>143</v>
      </c>
      <c r="AY2306" s="61" t="str">
        <f>IFERROR(__xludf.DUMMYFUNCTION("vlookup(BB2306,importrange(""https://docs.google.com/spreadsheets/d/1d2vevQ_7D_v35q4wCQ4RpQ_IPoTwEMB9Yp6ymwlPqew/edit?gid=984458430#gid=984458430"", ""'replication success'!A:K""), 11, FAlSE)"),"successful")</f>
        <v>successful</v>
      </c>
      <c r="AZ2306" s="91" t="str">
        <f>IFERROR(__xludf.DUMMYFUNCTION("vlookup(BB2306,importrange(""https://docs.google.com/spreadsheets/d/1d2vevQ_7D_v35q4wCQ4RpQ_IPoTwEMB9Yp6ymwlPqew/edit?gid=984458430#gid=984458430"", ""'replication success'!A:M""), 12, FAlSE)"),"https://osf.io/4ewkh")</f>
        <v>https://osf.io/4ewkh</v>
      </c>
      <c r="BA2306" s="91" t="str">
        <f>IFERROR(__xludf.DUMMYFUNCTION("vlookup(BB2306,importrange(""https://docs.google.com/spreadsheets/d/1d2vevQ_7D_v35q4wCQ4RpQ_IPoTwEMB9Yp6ymwlPqew/edit?gid=984458430#gid=984458430"", ""'replication success'!A:M""), 13, FAlSE)"),"https://osf.io/4ewkh")</f>
        <v>https://osf.io/4ewkh</v>
      </c>
      <c r="BB2306" s="61" t="str">
        <f>IFERROR(__xludf.DUMMYFUNCTION("REGEXREPLACE(G2306, ""_[a-z]{1,2}$"", """")"),"XPHI31")</f>
        <v>XPHI31</v>
      </c>
      <c r="BD2306" s="155" t="s">
        <v>13578</v>
      </c>
    </row>
    <row r="2307">
      <c r="A2307" s="44">
        <v>2307.0</v>
      </c>
      <c r="B2307" s="45" t="s">
        <v>114</v>
      </c>
      <c r="C2307" s="62" t="s">
        <v>115</v>
      </c>
      <c r="D2307" s="62" t="s">
        <v>248</v>
      </c>
      <c r="F2307" s="1286" t="s">
        <v>13953</v>
      </c>
      <c r="G2307" s="159" t="s">
        <v>13954</v>
      </c>
      <c r="H2307" s="1287" t="s">
        <v>249</v>
      </c>
      <c r="I2307" s="152">
        <v>45331.0</v>
      </c>
      <c r="J2307" s="153">
        <v>45727.0</v>
      </c>
      <c r="K2307" s="159" t="s">
        <v>13966</v>
      </c>
      <c r="L2307" s="68"/>
      <c r="M2307" s="159" t="s">
        <v>13957</v>
      </c>
      <c r="N2307" s="159" t="s">
        <v>13958</v>
      </c>
      <c r="O2307" s="323">
        <v>3.0</v>
      </c>
      <c r="P2307" s="159" t="s">
        <v>13967</v>
      </c>
      <c r="Q2307" s="52" t="str">
        <f t="array" ref="Q2307"> if(iserror(MATCH(V2307, 'File Links'!C:C, 0)), "N/A", HYPERLINK(INDEX('File Links'!B:B, MATCH(P2307, 'File Links'!C:C, 0))))</f>
        <v>https://drive.google.com/file/d/1pcJJj-dcZ2YUNw-3w1ykB27KPj9Bj-By/view?usp=drivesdk</v>
      </c>
      <c r="R2307" s="2028" t="s">
        <v>5028</v>
      </c>
      <c r="S2307" s="159" t="s">
        <v>5029</v>
      </c>
      <c r="T2307" s="2064" t="s">
        <v>13959</v>
      </c>
      <c r="U2307" s="323">
        <v>31.0</v>
      </c>
      <c r="V2307" s="159" t="str">
        <f t="shared" si="123"/>
        <v>10.1007--s13164-018-0400-9.pdf</v>
      </c>
      <c r="W2307" s="1290" t="s">
        <v>5031</v>
      </c>
      <c r="X2307" s="54" t="str">
        <f t="array" ref="X2307"> if(iserror(MATCH(V2307, 'File Links'!C:C, 0)), "N/A", HYPERLINK(INDEX('File Links'!B:B, MATCH(V2307, 'File Links'!C:C, 0))))</f>
        <v>https://drive.google.com/file/d/1hjI3aqifdfXjWhQAlvKCKKtvjuncAn5M/view?usp=drivesdk</v>
      </c>
      <c r="Y2307" s="68"/>
      <c r="Z2307" s="159" t="s">
        <v>165</v>
      </c>
      <c r="AA2307" s="129" t="s">
        <v>138</v>
      </c>
      <c r="AB2307" s="159" t="s">
        <v>5041</v>
      </c>
      <c r="AC2307" s="1370" t="s">
        <v>13961</v>
      </c>
      <c r="AD2307" s="159" t="s">
        <v>13968</v>
      </c>
      <c r="AE2307" s="159" t="s">
        <v>13969</v>
      </c>
      <c r="AF2307" s="156">
        <v>117.0</v>
      </c>
      <c r="AG2307" s="161" t="s">
        <v>13964</v>
      </c>
      <c r="AH2307" s="119" t="s">
        <v>134</v>
      </c>
      <c r="AI2307" s="2057" t="s">
        <v>13969</v>
      </c>
      <c r="AJ2307" s="379">
        <v>0.045</v>
      </c>
      <c r="AK2307" s="57" t="s">
        <v>172</v>
      </c>
      <c r="AL2307" s="159" t="s">
        <v>186</v>
      </c>
      <c r="AM2307" s="2065" t="s">
        <v>137</v>
      </c>
      <c r="AN2307" s="1370" t="s">
        <v>138</v>
      </c>
      <c r="AO2307" s="156">
        <v>368.0</v>
      </c>
      <c r="AP2307" s="161" t="s">
        <v>13965</v>
      </c>
      <c r="AQ2307" s="151" t="s">
        <v>134</v>
      </c>
      <c r="AR2307" s="159"/>
      <c r="AS2307" s="156">
        <v>0.008</v>
      </c>
      <c r="AT2307" s="159" t="s">
        <v>172</v>
      </c>
      <c r="AU2307" s="159" t="s">
        <v>186</v>
      </c>
      <c r="AV2307" s="2066" t="s">
        <v>141</v>
      </c>
      <c r="AW2307" s="1390" t="s">
        <v>13970</v>
      </c>
      <c r="AX2307" s="159" t="s">
        <v>143</v>
      </c>
      <c r="AY2307" s="61" t="str">
        <f>IFERROR(__xludf.DUMMYFUNCTION("vlookup(BB2307,importrange(""https://docs.google.com/spreadsheets/d/1d2vevQ_7D_v35q4wCQ4RpQ_IPoTwEMB9Yp6ymwlPqew/edit?gid=984458430#gid=984458430"", ""'replication success'!A:K""), 11, FAlSE)"),"successful")</f>
        <v>successful</v>
      </c>
      <c r="AZ2307" s="91" t="str">
        <f>IFERROR(__xludf.DUMMYFUNCTION("vlookup(BB2307,importrange(""https://docs.google.com/spreadsheets/d/1d2vevQ_7D_v35q4wCQ4RpQ_IPoTwEMB9Yp6ymwlPqew/edit?gid=984458430#gid=984458430"", ""'replication success'!A:M""), 12, FAlSE)"),"https://osf.io/4ewkh")</f>
        <v>https://osf.io/4ewkh</v>
      </c>
      <c r="BA2307" s="91" t="str">
        <f>IFERROR(__xludf.DUMMYFUNCTION("vlookup(BB2307,importrange(""https://docs.google.com/spreadsheets/d/1d2vevQ_7D_v35q4wCQ4RpQ_IPoTwEMB9Yp6ymwlPqew/edit?gid=984458430#gid=984458430"", ""'replication success'!A:M""), 13, FAlSE)"),"https://osf.io/4ewkh")</f>
        <v>https://osf.io/4ewkh</v>
      </c>
      <c r="BB2307" s="61" t="str">
        <f>IFERROR(__xludf.DUMMYFUNCTION("REGEXREPLACE(G2307, ""_[a-z]{1,2}$"", """")"),"XPHI31")</f>
        <v>XPHI31</v>
      </c>
      <c r="BD2307" s="155" t="s">
        <v>13578</v>
      </c>
    </row>
    <row r="2308">
      <c r="A2308" s="44">
        <v>2308.0</v>
      </c>
      <c r="B2308" s="129" t="s">
        <v>152</v>
      </c>
      <c r="C2308" s="62" t="s">
        <v>115</v>
      </c>
      <c r="D2308" s="62" t="s">
        <v>1270</v>
      </c>
      <c r="F2308" s="2027" t="s">
        <v>13971</v>
      </c>
      <c r="G2308" s="159" t="s">
        <v>13972</v>
      </c>
      <c r="H2308" s="1287" t="s">
        <v>5024</v>
      </c>
      <c r="I2308" s="152">
        <v>45331.0</v>
      </c>
      <c r="J2308" s="153">
        <v>45727.0</v>
      </c>
      <c r="K2308" s="151" t="s">
        <v>13973</v>
      </c>
      <c r="L2308" s="129" t="s">
        <v>13974</v>
      </c>
      <c r="M2308" s="159" t="s">
        <v>13975</v>
      </c>
      <c r="N2308" s="159" t="s">
        <v>13976</v>
      </c>
      <c r="O2308" s="129">
        <v>1.0</v>
      </c>
      <c r="P2308" s="159" t="str">
        <f>SUBSTITUTE(LOWER(N2308), "/", "--") &amp;  ".pdf"</f>
        <v>10.1016--j.cognition.2013.02.008.pdf</v>
      </c>
      <c r="Q2308" s="52" t="str">
        <f t="array" ref="Q2308"> if(iserror(MATCH(V2308, 'File Links'!C:C, 0)), "N/A", HYPERLINK(INDEX('File Links'!B:B, MATCH(P2308, 'File Links'!C:C, 0))))</f>
        <v>https://drive.google.com/file/d/1kb4iozdFSFtKZKGvaK7sOkqlr4kI2jg5/view?usp=drivesdk</v>
      </c>
      <c r="R2308" s="2028" t="s">
        <v>5028</v>
      </c>
      <c r="S2308" s="310" t="s">
        <v>5029</v>
      </c>
      <c r="T2308" s="2064" t="s">
        <v>13977</v>
      </c>
      <c r="U2308" s="156">
        <v>32.0</v>
      </c>
      <c r="V2308" s="159" t="str">
        <f t="shared" si="123"/>
        <v>10.1007--s13164-018-0400-9.pdf</v>
      </c>
      <c r="W2308" s="1290" t="s">
        <v>5031</v>
      </c>
      <c r="X2308" s="54" t="str">
        <f t="array" ref="X2308"> if(iserror(MATCH(V2308, 'File Links'!C:C, 0)), "N/A", HYPERLINK(INDEX('File Links'!B:B, MATCH(V2308, 'File Links'!C:C, 0))))</f>
        <v>https://drive.google.com/file/d/1hjI3aqifdfXjWhQAlvKCKKtvjuncAn5M/view?usp=drivesdk</v>
      </c>
      <c r="Y2308" s="68"/>
      <c r="Z2308" s="159" t="s">
        <v>165</v>
      </c>
      <c r="AA2308" s="129" t="s">
        <v>138</v>
      </c>
      <c r="AB2308" s="159" t="s">
        <v>13978</v>
      </c>
      <c r="AC2308" s="1370" t="s">
        <v>13979</v>
      </c>
      <c r="AD2308" s="151" t="s">
        <v>13980</v>
      </c>
      <c r="AE2308" s="159" t="s">
        <v>13981</v>
      </c>
      <c r="AF2308" s="156">
        <v>202.0</v>
      </c>
      <c r="AG2308" s="151" t="s">
        <v>13982</v>
      </c>
      <c r="AH2308" s="159" t="s">
        <v>134</v>
      </c>
      <c r="AI2308" s="339" t="s">
        <v>140</v>
      </c>
      <c r="AJ2308" s="379">
        <v>0.001</v>
      </c>
      <c r="AK2308" s="57" t="s">
        <v>135</v>
      </c>
      <c r="AL2308" s="159" t="s">
        <v>186</v>
      </c>
      <c r="AM2308" s="1116" t="s">
        <v>137</v>
      </c>
      <c r="AN2308" s="1370" t="s">
        <v>138</v>
      </c>
      <c r="AO2308" s="156">
        <v>63.0</v>
      </c>
      <c r="AP2308" s="2055" t="s">
        <v>13983</v>
      </c>
      <c r="AQ2308" s="159" t="s">
        <v>134</v>
      </c>
      <c r="AR2308" s="159" t="s">
        <v>5030</v>
      </c>
      <c r="AS2308" s="156">
        <v>0.001</v>
      </c>
      <c r="AT2308" s="159" t="s">
        <v>135</v>
      </c>
      <c r="AU2308" s="159" t="s">
        <v>186</v>
      </c>
      <c r="AV2308" s="2067" t="s">
        <v>137</v>
      </c>
      <c r="AW2308" s="2068" t="s">
        <v>138</v>
      </c>
      <c r="AX2308" s="159" t="s">
        <v>143</v>
      </c>
      <c r="AY2308" s="61" t="str">
        <f>IFERROR(__xludf.DUMMYFUNCTION("vlookup(BB2308,importrange(""https://docs.google.com/spreadsheets/d/1d2vevQ_7D_v35q4wCQ4RpQ_IPoTwEMB9Yp6ymwlPqew/edit?gid=984458430#gid=984458430"", ""'replication success'!A:K""), 11, FAlSE)"),"successful")</f>
        <v>successful</v>
      </c>
      <c r="AZ2308" s="91" t="str">
        <f>IFERROR(__xludf.DUMMYFUNCTION("vlookup(BB2308,importrange(""https://docs.google.com/spreadsheets/d/1d2vevQ_7D_v35q4wCQ4RpQ_IPoTwEMB9Yp6ymwlPqew/edit?gid=984458430#gid=984458430"", ""'replication success'!A:M""), 12, FAlSE)"),"https://osf.io/4ewkh")</f>
        <v>https://osf.io/4ewkh</v>
      </c>
      <c r="BA2308" s="91" t="str">
        <f>IFERROR(__xludf.DUMMYFUNCTION("vlookup(BB2308,importrange(""https://docs.google.com/spreadsheets/d/1d2vevQ_7D_v35q4wCQ4RpQ_IPoTwEMB9Yp6ymwlPqew/edit?gid=984458430#gid=984458430"", ""'replication success'!A:M""), 13, FAlSE)"),"https://osf.io/4ewkh")</f>
        <v>https://osf.io/4ewkh</v>
      </c>
      <c r="BB2308" s="61" t="str">
        <f>IFERROR(__xludf.DUMMYFUNCTION("REGEXREPLACE(G2308, ""_[a-z]{1,2}$"", """")"),"XPHI32")</f>
        <v>XPHI32</v>
      </c>
      <c r="BD2308" s="155" t="s">
        <v>13578</v>
      </c>
    </row>
    <row r="2309">
      <c r="A2309" s="44">
        <v>2309.0</v>
      </c>
      <c r="B2309" s="45" t="s">
        <v>114</v>
      </c>
      <c r="C2309" s="62" t="s">
        <v>115</v>
      </c>
      <c r="D2309" s="62" t="s">
        <v>248</v>
      </c>
      <c r="F2309" s="2027" t="s">
        <v>13971</v>
      </c>
      <c r="G2309" s="159" t="s">
        <v>13972</v>
      </c>
      <c r="H2309" s="1287" t="s">
        <v>249</v>
      </c>
      <c r="I2309" s="152">
        <v>45331.0</v>
      </c>
      <c r="J2309" s="153">
        <v>45727.0</v>
      </c>
      <c r="K2309" s="159" t="s">
        <v>13984</v>
      </c>
      <c r="L2309" s="68"/>
      <c r="M2309" s="159" t="s">
        <v>13975</v>
      </c>
      <c r="N2309" s="159" t="s">
        <v>13976</v>
      </c>
      <c r="O2309" s="129">
        <v>1.0</v>
      </c>
      <c r="P2309" s="159" t="s">
        <v>13985</v>
      </c>
      <c r="Q2309" s="52" t="str">
        <f t="array" ref="Q2309"> if(iserror(MATCH(V2309, 'File Links'!C:C, 0)), "N/A", HYPERLINK(INDEX('File Links'!B:B, MATCH(P2309, 'File Links'!C:C, 0))))</f>
        <v>https://drive.google.com/file/d/1kb4iozdFSFtKZKGvaK7sOkqlr4kI2jg5/view?usp=drivesdk</v>
      </c>
      <c r="R2309" s="2028" t="s">
        <v>5028</v>
      </c>
      <c r="S2309" s="159" t="s">
        <v>5029</v>
      </c>
      <c r="T2309" s="2007" t="s">
        <v>13977</v>
      </c>
      <c r="U2309" s="1370">
        <v>32.0</v>
      </c>
      <c r="V2309" s="159" t="str">
        <f t="shared" si="123"/>
        <v>10.1007--s13164-018-0400-9.pdf</v>
      </c>
      <c r="W2309" s="1290" t="s">
        <v>5031</v>
      </c>
      <c r="X2309" s="54" t="str">
        <f t="array" ref="X2309"> if(iserror(MATCH(V2309, 'File Links'!C:C, 0)), "N/A", HYPERLINK(INDEX('File Links'!B:B, MATCH(V2309, 'File Links'!C:C, 0))))</f>
        <v>https://drive.google.com/file/d/1hjI3aqifdfXjWhQAlvKCKKtvjuncAn5M/view?usp=drivesdk</v>
      </c>
      <c r="Y2309" s="68"/>
      <c r="Z2309" s="159" t="s">
        <v>165</v>
      </c>
      <c r="AA2309" s="129" t="s">
        <v>138</v>
      </c>
      <c r="AB2309" s="159" t="s">
        <v>13986</v>
      </c>
      <c r="AC2309" s="1370" t="s">
        <v>13979</v>
      </c>
      <c r="AD2309" s="159" t="s">
        <v>13987</v>
      </c>
      <c r="AE2309" s="159" t="s">
        <v>13988</v>
      </c>
      <c r="AF2309" s="156">
        <v>202.0</v>
      </c>
      <c r="AG2309" s="2043">
        <v>0.73</v>
      </c>
      <c r="AH2309" s="159" t="s">
        <v>1256</v>
      </c>
      <c r="AI2309" s="2057" t="s">
        <v>13989</v>
      </c>
      <c r="AJ2309" s="379">
        <v>0.001</v>
      </c>
      <c r="AK2309" s="57" t="s">
        <v>135</v>
      </c>
      <c r="AL2309" s="159" t="s">
        <v>186</v>
      </c>
      <c r="AM2309" s="1286" t="s">
        <v>137</v>
      </c>
      <c r="AN2309" s="1370" t="s">
        <v>138</v>
      </c>
      <c r="AO2309" s="156">
        <v>63.0</v>
      </c>
      <c r="AP2309" s="156">
        <v>0.96</v>
      </c>
      <c r="AQ2309" s="159" t="s">
        <v>1256</v>
      </c>
      <c r="AR2309" s="151" t="s">
        <v>13990</v>
      </c>
      <c r="AS2309" s="156">
        <v>0.001</v>
      </c>
      <c r="AT2309" s="159" t="s">
        <v>135</v>
      </c>
      <c r="AU2309" s="159" t="s">
        <v>186</v>
      </c>
      <c r="AV2309" s="154" t="s">
        <v>137</v>
      </c>
      <c r="AW2309" s="680" t="s">
        <v>13991</v>
      </c>
      <c r="AX2309" s="159" t="s">
        <v>143</v>
      </c>
      <c r="AY2309" s="61" t="str">
        <f>IFERROR(__xludf.DUMMYFUNCTION("vlookup(BB2309,importrange(""https://docs.google.com/spreadsheets/d/1d2vevQ_7D_v35q4wCQ4RpQ_IPoTwEMB9Yp6ymwlPqew/edit?gid=984458430#gid=984458430"", ""'replication success'!A:K""), 11, FAlSE)"),"successful")</f>
        <v>successful</v>
      </c>
      <c r="AZ2309" s="91" t="str">
        <f>IFERROR(__xludf.DUMMYFUNCTION("vlookup(BB2309,importrange(""https://docs.google.com/spreadsheets/d/1d2vevQ_7D_v35q4wCQ4RpQ_IPoTwEMB9Yp6ymwlPqew/edit?gid=984458430#gid=984458430"", ""'replication success'!A:M""), 12, FAlSE)"),"https://osf.io/4ewkh")</f>
        <v>https://osf.io/4ewkh</v>
      </c>
      <c r="BA2309" s="91" t="str">
        <f>IFERROR(__xludf.DUMMYFUNCTION("vlookup(BB2309,importrange(""https://docs.google.com/spreadsheets/d/1d2vevQ_7D_v35q4wCQ4RpQ_IPoTwEMB9Yp6ymwlPqew/edit?gid=984458430#gid=984458430"", ""'replication success'!A:M""), 13, FAlSE)"),"https://osf.io/4ewkh")</f>
        <v>https://osf.io/4ewkh</v>
      </c>
      <c r="BB2309" s="61" t="str">
        <f>IFERROR(__xludf.DUMMYFUNCTION("REGEXREPLACE(G2309, ""_[a-z]{1,2}$"", """")"),"XPHI32")</f>
        <v>XPHI32</v>
      </c>
      <c r="BD2309" s="155" t="s">
        <v>13578</v>
      </c>
      <c r="BE2309" s="342"/>
      <c r="BF2309" s="342"/>
      <c r="BG2309" s="342"/>
      <c r="BH2309" s="342"/>
      <c r="BI2309" s="342"/>
      <c r="BJ2309" s="342"/>
      <c r="BK2309" s="342"/>
      <c r="BL2309" s="342"/>
      <c r="BM2309" s="342"/>
      <c r="BN2309" s="342"/>
      <c r="BO2309" s="342"/>
      <c r="BP2309" s="342"/>
      <c r="BQ2309" s="342"/>
      <c r="BR2309" s="342"/>
      <c r="BS2309" s="342"/>
      <c r="BT2309" s="342"/>
      <c r="BU2309" s="342"/>
      <c r="BV2309" s="342"/>
      <c r="BW2309" s="342"/>
      <c r="BX2309" s="342"/>
      <c r="BY2309" s="342"/>
      <c r="BZ2309" s="342"/>
      <c r="CA2309" s="342"/>
      <c r="CB2309" s="342"/>
      <c r="CC2309" s="342"/>
      <c r="CD2309" s="342"/>
      <c r="CE2309" s="342"/>
      <c r="CF2309" s="342"/>
      <c r="CG2309" s="342"/>
      <c r="CH2309" s="342"/>
      <c r="CI2309" s="342"/>
      <c r="CJ2309" s="342"/>
      <c r="CK2309" s="342"/>
      <c r="CL2309" s="342"/>
      <c r="CM2309" s="342"/>
      <c r="CN2309" s="342"/>
      <c r="CO2309" s="342"/>
      <c r="CP2309" s="342"/>
      <c r="CQ2309" s="342"/>
      <c r="CR2309" s="342"/>
      <c r="CS2309" s="342"/>
      <c r="CT2309" s="342"/>
      <c r="CU2309" s="342"/>
      <c r="CV2309" s="342"/>
      <c r="CW2309" s="342"/>
      <c r="CX2309" s="342"/>
      <c r="CY2309" s="342"/>
      <c r="CZ2309" s="342"/>
      <c r="DA2309" s="342"/>
      <c r="DB2309" s="342"/>
      <c r="DC2309" s="342"/>
      <c r="DD2309" s="342"/>
      <c r="DE2309" s="342"/>
      <c r="DF2309" s="342"/>
      <c r="DG2309" s="342"/>
      <c r="DH2309" s="342"/>
      <c r="DI2309" s="342"/>
      <c r="DJ2309" s="342"/>
      <c r="DK2309" s="342"/>
      <c r="DL2309" s="342"/>
    </row>
    <row r="2310">
      <c r="A2310" s="44">
        <v>2310.0</v>
      </c>
      <c r="B2310" s="68" t="s">
        <v>590</v>
      </c>
      <c r="C2310" s="62" t="s">
        <v>115</v>
      </c>
      <c r="D2310" s="62" t="s">
        <v>248</v>
      </c>
      <c r="F2310" s="129" t="s">
        <v>13971</v>
      </c>
      <c r="G2310" s="159" t="s">
        <v>13992</v>
      </c>
      <c r="H2310" s="1287" t="s">
        <v>249</v>
      </c>
      <c r="I2310" s="152">
        <v>45691.0</v>
      </c>
      <c r="J2310" s="152">
        <v>45691.0</v>
      </c>
      <c r="K2310" s="68"/>
      <c r="L2310" s="68" t="s">
        <v>13993</v>
      </c>
      <c r="M2310" s="159" t="s">
        <v>13975</v>
      </c>
      <c r="N2310" s="159" t="s">
        <v>13976</v>
      </c>
      <c r="O2310" s="129">
        <v>1.0</v>
      </c>
      <c r="P2310" s="159" t="str">
        <f t="shared" ref="P2310:P2321" si="129">SUBSTITUTE(LOWER(N2310), "/", "--") &amp;  ".pdf"</f>
        <v>10.1016--j.cognition.2013.02.008.pdf</v>
      </c>
      <c r="Q2310" s="52" t="str">
        <f t="array" ref="Q2310"> if(iserror(MATCH(V2310, 'File Links'!C:C, 0)), "N/A", HYPERLINK(INDEX('File Links'!B:B, MATCH(P2310, 'File Links'!C:C, 0))))</f>
        <v>https://drive.google.com/file/d/1kb4iozdFSFtKZKGvaK7sOkqlr4kI2jg5/view?usp=drivesdk</v>
      </c>
      <c r="R2310" s="2028" t="s">
        <v>5028</v>
      </c>
      <c r="S2310" s="310" t="s">
        <v>5029</v>
      </c>
      <c r="T2310" s="310" t="s">
        <v>5030</v>
      </c>
      <c r="U2310" s="68"/>
      <c r="V2310" s="159" t="str">
        <f t="shared" si="123"/>
        <v>10.1007--s13164-018-0400-9.pdf</v>
      </c>
      <c r="W2310" s="1290" t="s">
        <v>5031</v>
      </c>
      <c r="X2310" s="54" t="str">
        <f t="array" ref="X2310"> if(iserror(MATCH(V2310, 'File Links'!C:C, 0)), "N/A", HYPERLINK(INDEX('File Links'!B:B, MATCH(V2310, 'File Links'!C:C, 0))))</f>
        <v>https://drive.google.com/file/d/1hjI3aqifdfXjWhQAlvKCKKtvjuncAn5M/view?usp=drivesdk</v>
      </c>
      <c r="Y2310" s="68"/>
      <c r="Z2310" s="159" t="s">
        <v>165</v>
      </c>
      <c r="AA2310" s="129" t="s">
        <v>138</v>
      </c>
      <c r="AB2310" s="159" t="s">
        <v>13994</v>
      </c>
      <c r="AC2310" s="68"/>
      <c r="AD2310" s="151" t="s">
        <v>13995</v>
      </c>
      <c r="AE2310" s="156" t="s">
        <v>1042</v>
      </c>
      <c r="AF2310" s="156">
        <v>207.0</v>
      </c>
      <c r="AG2310" s="151" t="s">
        <v>13996</v>
      </c>
      <c r="AH2310" s="159" t="s">
        <v>134</v>
      </c>
      <c r="AI2310" s="161" t="s">
        <v>1042</v>
      </c>
      <c r="AJ2310" s="379">
        <v>0.001</v>
      </c>
      <c r="AK2310" s="57" t="s">
        <v>135</v>
      </c>
      <c r="AL2310" s="159" t="s">
        <v>186</v>
      </c>
      <c r="AM2310" s="1286" t="s">
        <v>137</v>
      </c>
      <c r="AN2310" s="1370" t="s">
        <v>138</v>
      </c>
      <c r="AO2310" s="156">
        <v>63.0</v>
      </c>
      <c r="AP2310" s="2055" t="s">
        <v>13997</v>
      </c>
      <c r="AQ2310" s="159" t="s">
        <v>134</v>
      </c>
      <c r="AR2310" s="151" t="s">
        <v>13998</v>
      </c>
      <c r="AS2310" s="156">
        <v>0.001</v>
      </c>
      <c r="AT2310" s="159" t="s">
        <v>135</v>
      </c>
      <c r="AU2310" s="159" t="s">
        <v>186</v>
      </c>
      <c r="AV2310" s="154" t="s">
        <v>137</v>
      </c>
      <c r="AW2310" s="680" t="s">
        <v>13999</v>
      </c>
      <c r="AX2310" s="159" t="s">
        <v>143</v>
      </c>
      <c r="AY2310" s="61" t="str">
        <f>IFERROR(__xludf.DUMMYFUNCTION("vlookup(BB2310,importrange(""https://docs.google.com/spreadsheets/d/1d2vevQ_7D_v35q4wCQ4RpQ_IPoTwEMB9Yp6ymwlPqew/edit?gid=984458430#gid=984458430"", ""'replication success'!A:K""), 11, FAlSE)"),"successful")</f>
        <v>successful</v>
      </c>
      <c r="AZ2310" s="91" t="str">
        <f>IFERROR(__xludf.DUMMYFUNCTION("vlookup(BB2310,importrange(""https://docs.google.com/spreadsheets/d/1d2vevQ_7D_v35q4wCQ4RpQ_IPoTwEMB9Yp6ymwlPqew/edit?gid=984458430#gid=984458430"", ""'replication success'!A:M""), 12, FAlSE)"),"https://osf.io/4ewkh")</f>
        <v>https://osf.io/4ewkh</v>
      </c>
      <c r="BA2310" s="91" t="str">
        <f>IFERROR(__xludf.DUMMYFUNCTION("vlookup(BB2310,importrange(""https://docs.google.com/spreadsheets/d/1d2vevQ_7D_v35q4wCQ4RpQ_IPoTwEMB9Yp6ymwlPqew/edit?gid=984458430#gid=984458430"", ""'replication success'!A:M""), 13, FAlSE)"),"https://osf.io/4ewkh")</f>
        <v>https://osf.io/4ewkh</v>
      </c>
      <c r="BB2310" s="61" t="str">
        <f>IFERROR(__xludf.DUMMYFUNCTION("REGEXREPLACE(G2310, ""_[a-z]{1,2}$"", """")"),"XPHI32")</f>
        <v>XPHI32</v>
      </c>
      <c r="BD2310" s="154" t="s">
        <v>249</v>
      </c>
      <c r="BE2310" s="1123"/>
      <c r="BF2310" s="1123"/>
      <c r="BG2310" s="1123"/>
      <c r="BH2310" s="1123"/>
      <c r="BI2310" s="1123"/>
      <c r="BJ2310" s="1123"/>
      <c r="BK2310" s="1123"/>
      <c r="BL2310" s="1123"/>
      <c r="BM2310" s="1123"/>
      <c r="BN2310" s="1123"/>
      <c r="BO2310" s="1123"/>
      <c r="BP2310" s="1123"/>
      <c r="BQ2310" s="1123"/>
      <c r="BR2310" s="1123"/>
      <c r="BS2310" s="1123"/>
      <c r="BT2310" s="1123"/>
      <c r="BU2310" s="1123"/>
      <c r="BV2310" s="1123"/>
      <c r="BW2310" s="1123"/>
      <c r="BX2310" s="1123"/>
      <c r="BY2310" s="1123"/>
      <c r="BZ2310" s="1123"/>
      <c r="CA2310" s="1123"/>
      <c r="CB2310" s="1123"/>
      <c r="CC2310" s="1123"/>
      <c r="CD2310" s="1123"/>
      <c r="CE2310" s="1123"/>
      <c r="CF2310" s="1123"/>
      <c r="CG2310" s="1123"/>
      <c r="CH2310" s="1123"/>
      <c r="CI2310" s="1123"/>
      <c r="CJ2310" s="1123"/>
      <c r="CK2310" s="1123"/>
      <c r="CL2310" s="1123"/>
      <c r="CM2310" s="1123"/>
      <c r="CN2310" s="1123"/>
      <c r="CO2310" s="1123"/>
      <c r="CP2310" s="1123"/>
      <c r="CQ2310" s="1123"/>
      <c r="CR2310" s="1123"/>
      <c r="CS2310" s="1123"/>
      <c r="CT2310" s="1123"/>
      <c r="CU2310" s="1123"/>
      <c r="CV2310" s="1123"/>
      <c r="CW2310" s="1123"/>
      <c r="CX2310" s="1123"/>
      <c r="CY2310" s="1123"/>
      <c r="CZ2310" s="1123"/>
      <c r="DA2310" s="1123"/>
      <c r="DB2310" s="1123"/>
      <c r="DC2310" s="1123"/>
      <c r="DD2310" s="1123"/>
      <c r="DE2310" s="1123"/>
      <c r="DF2310" s="1123"/>
      <c r="DG2310" s="1123"/>
      <c r="DH2310" s="1123"/>
      <c r="DI2310" s="1123"/>
      <c r="DJ2310" s="1123"/>
      <c r="DK2310" s="1123"/>
      <c r="DL2310" s="1123"/>
    </row>
    <row r="2311">
      <c r="A2311" s="44">
        <v>2311.0</v>
      </c>
      <c r="B2311" s="68" t="s">
        <v>590</v>
      </c>
      <c r="C2311" s="62" t="s">
        <v>115</v>
      </c>
      <c r="D2311" s="62" t="s">
        <v>1270</v>
      </c>
      <c r="F2311" s="129" t="s">
        <v>13971</v>
      </c>
      <c r="G2311" s="151" t="s">
        <v>13992</v>
      </c>
      <c r="H2311" s="1287" t="s">
        <v>5024</v>
      </c>
      <c r="I2311" s="152">
        <v>45674.0</v>
      </c>
      <c r="J2311" s="152">
        <v>45691.0</v>
      </c>
      <c r="K2311" s="68"/>
      <c r="L2311" s="68" t="s">
        <v>13993</v>
      </c>
      <c r="M2311" s="159" t="s">
        <v>13975</v>
      </c>
      <c r="N2311" s="159" t="s">
        <v>13976</v>
      </c>
      <c r="O2311" s="129">
        <v>1.0</v>
      </c>
      <c r="P2311" s="159" t="str">
        <f t="shared" si="129"/>
        <v>10.1016--j.cognition.2013.02.008.pdf</v>
      </c>
      <c r="Q2311" s="52" t="str">
        <f t="array" ref="Q2311"> if(iserror(MATCH(V2311, 'File Links'!C:C, 0)), "N/A", HYPERLINK(INDEX('File Links'!B:B, MATCH(P2311, 'File Links'!C:C, 0))))</f>
        <v>https://drive.google.com/file/d/1kb4iozdFSFtKZKGvaK7sOkqlr4kI2jg5/view?usp=drivesdk</v>
      </c>
      <c r="R2311" s="2028" t="s">
        <v>5028</v>
      </c>
      <c r="S2311" s="310" t="s">
        <v>5029</v>
      </c>
      <c r="T2311" s="310" t="s">
        <v>5030</v>
      </c>
      <c r="U2311" s="156">
        <v>32.0</v>
      </c>
      <c r="V2311" s="159" t="str">
        <f t="shared" si="123"/>
        <v>10.1007--s13164-018-0400-9.pdf</v>
      </c>
      <c r="W2311" s="1290" t="s">
        <v>5031</v>
      </c>
      <c r="X2311" s="54" t="str">
        <f t="array" ref="X2311"> if(iserror(MATCH(V2311, 'File Links'!C:C, 0)), "N/A", HYPERLINK(INDEX('File Links'!B:B, MATCH(V2311, 'File Links'!C:C, 0))))</f>
        <v>https://drive.google.com/file/d/1hjI3aqifdfXjWhQAlvKCKKtvjuncAn5M/view?usp=drivesdk</v>
      </c>
      <c r="Y2311" s="68"/>
      <c r="Z2311" s="159" t="s">
        <v>165</v>
      </c>
      <c r="AA2311" s="129" t="s">
        <v>138</v>
      </c>
      <c r="AB2311" s="159" t="s">
        <v>13978</v>
      </c>
      <c r="AC2311" s="68"/>
      <c r="AD2311" s="151" t="s">
        <v>14000</v>
      </c>
      <c r="AE2311" s="156">
        <v>6.0</v>
      </c>
      <c r="AF2311" s="156">
        <v>207.0</v>
      </c>
      <c r="AG2311" s="151" t="s">
        <v>13996</v>
      </c>
      <c r="AH2311" s="159" t="s">
        <v>134</v>
      </c>
      <c r="AI2311" s="161" t="s">
        <v>1042</v>
      </c>
      <c r="AJ2311" s="379">
        <v>0.001</v>
      </c>
      <c r="AK2311" s="57" t="s">
        <v>135</v>
      </c>
      <c r="AL2311" s="159" t="s">
        <v>186</v>
      </c>
      <c r="AM2311" s="57" t="s">
        <v>1905</v>
      </c>
      <c r="AN2311" s="68"/>
      <c r="AO2311" s="156">
        <v>63.0</v>
      </c>
      <c r="AP2311" s="2055" t="s">
        <v>13997</v>
      </c>
      <c r="AQ2311" s="159" t="s">
        <v>134</v>
      </c>
      <c r="AR2311" s="159" t="s">
        <v>14001</v>
      </c>
      <c r="AS2311" s="156">
        <v>0.001</v>
      </c>
      <c r="AT2311" s="159" t="s">
        <v>135</v>
      </c>
      <c r="AU2311" s="159" t="s">
        <v>186</v>
      </c>
      <c r="AV2311" s="159" t="s">
        <v>1905</v>
      </c>
      <c r="AW2311" s="310" t="s">
        <v>14002</v>
      </c>
      <c r="AX2311" s="159" t="s">
        <v>143</v>
      </c>
      <c r="AY2311" s="61" t="str">
        <f>IFERROR(__xludf.DUMMYFUNCTION("vlookup(BB2311,importrange(""https://docs.google.com/spreadsheets/d/1d2vevQ_7D_v35q4wCQ4RpQ_IPoTwEMB9Yp6ymwlPqew/edit?gid=984458430#gid=984458430"", ""'replication success'!A:K""), 11, FAlSE)"),"successful")</f>
        <v>successful</v>
      </c>
      <c r="AZ2311" s="91" t="str">
        <f>IFERROR(__xludf.DUMMYFUNCTION("vlookup(BB2311,importrange(""https://docs.google.com/spreadsheets/d/1d2vevQ_7D_v35q4wCQ4RpQ_IPoTwEMB9Yp6ymwlPqew/edit?gid=984458430#gid=984458430"", ""'replication success'!A:M""), 12, FAlSE)"),"https://osf.io/4ewkh")</f>
        <v>https://osf.io/4ewkh</v>
      </c>
      <c r="BA2311" s="91" t="str">
        <f>IFERROR(__xludf.DUMMYFUNCTION("vlookup(BB2311,importrange(""https://docs.google.com/spreadsheets/d/1d2vevQ_7D_v35q4wCQ4RpQ_IPoTwEMB9Yp6ymwlPqew/edit?gid=984458430#gid=984458430"", ""'replication success'!A:M""), 13, FAlSE)"),"https://osf.io/4ewkh")</f>
        <v>https://osf.io/4ewkh</v>
      </c>
      <c r="BB2311" s="61" t="str">
        <f>IFERROR(__xludf.DUMMYFUNCTION("REGEXREPLACE(G2311, ""_[a-z]{1,2}$"", """")"),"XPHI32")</f>
        <v>XPHI32</v>
      </c>
      <c r="BD2311" s="154" t="s">
        <v>249</v>
      </c>
      <c r="BE2311" s="342"/>
      <c r="BF2311" s="342"/>
      <c r="BG2311" s="342"/>
      <c r="BH2311" s="342"/>
      <c r="BI2311" s="342"/>
      <c r="BJ2311" s="342"/>
      <c r="BK2311" s="342"/>
      <c r="BL2311" s="342"/>
      <c r="BM2311" s="342"/>
      <c r="BN2311" s="342"/>
      <c r="BO2311" s="342"/>
      <c r="BP2311" s="342"/>
      <c r="BQ2311" s="342"/>
      <c r="BR2311" s="342"/>
      <c r="BS2311" s="342"/>
      <c r="BT2311" s="342"/>
      <c r="BU2311" s="342"/>
      <c r="BV2311" s="342"/>
      <c r="BW2311" s="342"/>
      <c r="BX2311" s="342"/>
      <c r="BY2311" s="342"/>
      <c r="BZ2311" s="342"/>
      <c r="CA2311" s="342"/>
      <c r="CB2311" s="342"/>
      <c r="CC2311" s="342"/>
      <c r="CD2311" s="342"/>
      <c r="CE2311" s="342"/>
      <c r="CF2311" s="342"/>
      <c r="CG2311" s="342"/>
      <c r="CH2311" s="342"/>
      <c r="CI2311" s="342"/>
      <c r="CJ2311" s="342"/>
      <c r="CK2311" s="342"/>
      <c r="CL2311" s="342"/>
      <c r="CM2311" s="342"/>
      <c r="CN2311" s="342"/>
      <c r="CO2311" s="342"/>
      <c r="CP2311" s="342"/>
      <c r="CQ2311" s="342"/>
      <c r="CR2311" s="342"/>
      <c r="CS2311" s="342"/>
      <c r="CT2311" s="342"/>
      <c r="CU2311" s="342"/>
      <c r="CV2311" s="342"/>
      <c r="CW2311" s="342"/>
      <c r="CX2311" s="342"/>
      <c r="CY2311" s="342"/>
      <c r="CZ2311" s="342"/>
      <c r="DA2311" s="342"/>
      <c r="DB2311" s="342"/>
      <c r="DC2311" s="342"/>
      <c r="DD2311" s="342"/>
      <c r="DE2311" s="342"/>
      <c r="DF2311" s="342"/>
      <c r="DG2311" s="342"/>
      <c r="DH2311" s="342"/>
      <c r="DI2311" s="342"/>
      <c r="DJ2311" s="342"/>
      <c r="DK2311" s="342"/>
      <c r="DL2311" s="342"/>
    </row>
    <row r="2312">
      <c r="A2312" s="44">
        <v>2312.0</v>
      </c>
      <c r="B2312" s="154" t="s">
        <v>590</v>
      </c>
      <c r="C2312" s="62" t="s">
        <v>115</v>
      </c>
      <c r="D2312" s="62" t="s">
        <v>248</v>
      </c>
      <c r="F2312" s="129" t="s">
        <v>13971</v>
      </c>
      <c r="G2312" s="159" t="s">
        <v>14003</v>
      </c>
      <c r="H2312" s="1287" t="s">
        <v>249</v>
      </c>
      <c r="I2312" s="152">
        <v>45691.0</v>
      </c>
      <c r="J2312" s="152">
        <v>45691.0</v>
      </c>
      <c r="K2312" s="68"/>
      <c r="L2312" s="68" t="s">
        <v>13993</v>
      </c>
      <c r="M2312" s="159" t="s">
        <v>13975</v>
      </c>
      <c r="N2312" s="159" t="s">
        <v>13976</v>
      </c>
      <c r="O2312" s="129">
        <v>1.0</v>
      </c>
      <c r="P2312" s="159" t="str">
        <f t="shared" si="129"/>
        <v>10.1016--j.cognition.2013.02.008.pdf</v>
      </c>
      <c r="Q2312" s="52" t="str">
        <f t="array" ref="Q2312"> if(iserror(MATCH(V2312, 'File Links'!C:C, 0)), "N/A", HYPERLINK(INDEX('File Links'!B:B, MATCH(P2312, 'File Links'!C:C, 0))))</f>
        <v>https://drive.google.com/file/d/1kb4iozdFSFtKZKGvaK7sOkqlr4kI2jg5/view?usp=drivesdk</v>
      </c>
      <c r="R2312" s="2028" t="s">
        <v>5028</v>
      </c>
      <c r="S2312" s="310" t="s">
        <v>5029</v>
      </c>
      <c r="T2312" s="310" t="s">
        <v>5030</v>
      </c>
      <c r="U2312" s="68"/>
      <c r="V2312" s="159" t="str">
        <f t="shared" si="123"/>
        <v>10.1007--s13164-018-0400-9.pdf</v>
      </c>
      <c r="W2312" s="1290" t="s">
        <v>5031</v>
      </c>
      <c r="X2312" s="54" t="str">
        <f t="array" ref="X2312"> if(iserror(MATCH(V2312, 'File Links'!C:C, 0)), "N/A", HYPERLINK(INDEX('File Links'!B:B, MATCH(V2312, 'File Links'!C:C, 0))))</f>
        <v>https://drive.google.com/file/d/1hjI3aqifdfXjWhQAlvKCKKtvjuncAn5M/view?usp=drivesdk</v>
      </c>
      <c r="Y2312" s="68"/>
      <c r="Z2312" s="159" t="s">
        <v>165</v>
      </c>
      <c r="AA2312" s="129" t="s">
        <v>138</v>
      </c>
      <c r="AB2312" s="159" t="s">
        <v>14004</v>
      </c>
      <c r="AC2312" s="68"/>
      <c r="AD2312" s="151" t="s">
        <v>14005</v>
      </c>
      <c r="AE2312" s="156" t="s">
        <v>1042</v>
      </c>
      <c r="AF2312" s="156">
        <v>204.0</v>
      </c>
      <c r="AG2312" s="156">
        <v>1.35</v>
      </c>
      <c r="AH2312" s="159" t="s">
        <v>987</v>
      </c>
      <c r="AI2312" s="161" t="s">
        <v>1042</v>
      </c>
      <c r="AJ2312" s="379">
        <v>0.001</v>
      </c>
      <c r="AK2312" s="57" t="s">
        <v>135</v>
      </c>
      <c r="AL2312" s="159" t="s">
        <v>186</v>
      </c>
      <c r="AM2312" s="1286" t="s">
        <v>137</v>
      </c>
      <c r="AN2312" s="1370" t="s">
        <v>138</v>
      </c>
      <c r="AO2312" s="156">
        <v>63.0</v>
      </c>
      <c r="AP2312" s="1292">
        <v>0.87</v>
      </c>
      <c r="AQ2312" s="159" t="s">
        <v>987</v>
      </c>
      <c r="AR2312" s="2069" t="s">
        <v>14006</v>
      </c>
      <c r="AS2312" s="156">
        <v>0.001</v>
      </c>
      <c r="AT2312" s="159" t="s">
        <v>135</v>
      </c>
      <c r="AU2312" s="159" t="s">
        <v>186</v>
      </c>
      <c r="AV2312" s="154" t="s">
        <v>137</v>
      </c>
      <c r="AW2312" s="680" t="s">
        <v>14007</v>
      </c>
      <c r="AX2312" s="159" t="s">
        <v>143</v>
      </c>
      <c r="AY2312" s="61" t="str">
        <f>IFERROR(__xludf.DUMMYFUNCTION("vlookup(BB2312,importrange(""https://docs.google.com/spreadsheets/d/1d2vevQ_7D_v35q4wCQ4RpQ_IPoTwEMB9Yp6ymwlPqew/edit?gid=984458430#gid=984458430"", ""'replication success'!A:K""), 11, FAlSE)"),"successful")</f>
        <v>successful</v>
      </c>
      <c r="AZ2312" s="91" t="str">
        <f>IFERROR(__xludf.DUMMYFUNCTION("vlookup(BB2312,importrange(""https://docs.google.com/spreadsheets/d/1d2vevQ_7D_v35q4wCQ4RpQ_IPoTwEMB9Yp6ymwlPqew/edit?gid=984458430#gid=984458430"", ""'replication success'!A:M""), 12, FAlSE)"),"https://osf.io/4ewkh")</f>
        <v>https://osf.io/4ewkh</v>
      </c>
      <c r="BA2312" s="91" t="str">
        <f>IFERROR(__xludf.DUMMYFUNCTION("vlookup(BB2312,importrange(""https://docs.google.com/spreadsheets/d/1d2vevQ_7D_v35q4wCQ4RpQ_IPoTwEMB9Yp6ymwlPqew/edit?gid=984458430#gid=984458430"", ""'replication success'!A:M""), 13, FAlSE)"),"https://osf.io/4ewkh")</f>
        <v>https://osf.io/4ewkh</v>
      </c>
      <c r="BB2312" s="61" t="str">
        <f>IFERROR(__xludf.DUMMYFUNCTION("REGEXREPLACE(G2312, ""_[a-z]{1,2}$"", """")"),"XPHI32")</f>
        <v>XPHI32</v>
      </c>
      <c r="BD2312" s="154" t="s">
        <v>249</v>
      </c>
    </row>
    <row r="2313">
      <c r="A2313" s="44">
        <v>2313.0</v>
      </c>
      <c r="B2313" s="154" t="s">
        <v>590</v>
      </c>
      <c r="C2313" s="62" t="s">
        <v>115</v>
      </c>
      <c r="D2313" s="62" t="s">
        <v>1270</v>
      </c>
      <c r="F2313" s="129" t="s">
        <v>13971</v>
      </c>
      <c r="G2313" s="151" t="s">
        <v>14003</v>
      </c>
      <c r="H2313" s="1287" t="s">
        <v>5024</v>
      </c>
      <c r="I2313" s="152">
        <v>45674.0</v>
      </c>
      <c r="J2313" s="152">
        <v>45691.0</v>
      </c>
      <c r="K2313" s="68"/>
      <c r="L2313" s="68" t="s">
        <v>13993</v>
      </c>
      <c r="M2313" s="159" t="s">
        <v>13975</v>
      </c>
      <c r="N2313" s="159" t="s">
        <v>13976</v>
      </c>
      <c r="O2313" s="129">
        <v>1.0</v>
      </c>
      <c r="P2313" s="159" t="str">
        <f t="shared" si="129"/>
        <v>10.1016--j.cognition.2013.02.008.pdf</v>
      </c>
      <c r="Q2313" s="52" t="str">
        <f t="array" ref="Q2313"> if(iserror(MATCH(V2313, 'File Links'!C:C, 0)), "N/A", HYPERLINK(INDEX('File Links'!B:B, MATCH(P2313, 'File Links'!C:C, 0))))</f>
        <v>https://drive.google.com/file/d/1kb4iozdFSFtKZKGvaK7sOkqlr4kI2jg5/view?usp=drivesdk</v>
      </c>
      <c r="R2313" s="2028" t="s">
        <v>5028</v>
      </c>
      <c r="S2313" s="310" t="s">
        <v>5029</v>
      </c>
      <c r="T2313" s="310" t="s">
        <v>5030</v>
      </c>
      <c r="U2313" s="156">
        <v>32.0</v>
      </c>
      <c r="V2313" s="159" t="str">
        <f t="shared" si="123"/>
        <v>10.1007--s13164-018-0400-9.pdf</v>
      </c>
      <c r="W2313" s="1290" t="s">
        <v>5031</v>
      </c>
      <c r="X2313" s="54" t="str">
        <f t="array" ref="X2313"> if(iserror(MATCH(V2313, 'File Links'!C:C, 0)), "N/A", HYPERLINK(INDEX('File Links'!B:B, MATCH(V2313, 'File Links'!C:C, 0))))</f>
        <v>https://drive.google.com/file/d/1hjI3aqifdfXjWhQAlvKCKKtvjuncAn5M/view?usp=drivesdk</v>
      </c>
      <c r="Y2313" s="68"/>
      <c r="Z2313" s="159" t="s">
        <v>165</v>
      </c>
      <c r="AA2313" s="129" t="s">
        <v>138</v>
      </c>
      <c r="AB2313" s="159" t="s">
        <v>13978</v>
      </c>
      <c r="AC2313" s="68"/>
      <c r="AD2313" s="151" t="s">
        <v>14008</v>
      </c>
      <c r="AE2313" s="156">
        <v>6.0</v>
      </c>
      <c r="AF2313" s="156">
        <v>204.0</v>
      </c>
      <c r="AG2313" s="151" t="s">
        <v>14009</v>
      </c>
      <c r="AH2313" s="159" t="s">
        <v>134</v>
      </c>
      <c r="AI2313" s="161" t="s">
        <v>1042</v>
      </c>
      <c r="AJ2313" s="379">
        <v>0.001</v>
      </c>
      <c r="AK2313" s="57" t="s">
        <v>135</v>
      </c>
      <c r="AL2313" s="159" t="s">
        <v>186</v>
      </c>
      <c r="AM2313" s="57" t="s">
        <v>1905</v>
      </c>
      <c r="AN2313" s="68"/>
      <c r="AO2313" s="156">
        <v>63.0</v>
      </c>
      <c r="AP2313" s="2055" t="s">
        <v>14010</v>
      </c>
      <c r="AQ2313" s="159" t="s">
        <v>134</v>
      </c>
      <c r="AR2313" s="310" t="s">
        <v>14001</v>
      </c>
      <c r="AS2313" s="156">
        <v>0.001</v>
      </c>
      <c r="AT2313" s="159" t="s">
        <v>135</v>
      </c>
      <c r="AU2313" s="159" t="s">
        <v>186</v>
      </c>
      <c r="AV2313" s="159" t="s">
        <v>1905</v>
      </c>
      <c r="AW2313" s="310" t="s">
        <v>14002</v>
      </c>
      <c r="AX2313" s="159" t="s">
        <v>143</v>
      </c>
      <c r="AY2313" s="61" t="str">
        <f>IFERROR(__xludf.DUMMYFUNCTION("vlookup(BB2313,importrange(""https://docs.google.com/spreadsheets/d/1d2vevQ_7D_v35q4wCQ4RpQ_IPoTwEMB9Yp6ymwlPqew/edit?gid=984458430#gid=984458430"", ""'replication success'!A:K""), 11, FAlSE)"),"successful")</f>
        <v>successful</v>
      </c>
      <c r="AZ2313" s="91" t="str">
        <f>IFERROR(__xludf.DUMMYFUNCTION("vlookup(BB2313,importrange(""https://docs.google.com/spreadsheets/d/1d2vevQ_7D_v35q4wCQ4RpQ_IPoTwEMB9Yp6ymwlPqew/edit?gid=984458430#gid=984458430"", ""'replication success'!A:M""), 12, FAlSE)"),"https://osf.io/4ewkh")</f>
        <v>https://osf.io/4ewkh</v>
      </c>
      <c r="BA2313" s="91" t="str">
        <f>IFERROR(__xludf.DUMMYFUNCTION("vlookup(BB2313,importrange(""https://docs.google.com/spreadsheets/d/1d2vevQ_7D_v35q4wCQ4RpQ_IPoTwEMB9Yp6ymwlPqew/edit?gid=984458430#gid=984458430"", ""'replication success'!A:M""), 13, FAlSE)"),"https://osf.io/4ewkh")</f>
        <v>https://osf.io/4ewkh</v>
      </c>
      <c r="BB2313" s="61" t="str">
        <f>IFERROR(__xludf.DUMMYFUNCTION("REGEXREPLACE(G2313, ""_[a-z]{1,2}$"", """")"),"XPHI32")</f>
        <v>XPHI32</v>
      </c>
      <c r="BD2313" s="154" t="s">
        <v>249</v>
      </c>
    </row>
    <row r="2314">
      <c r="A2314" s="44">
        <v>2314.0</v>
      </c>
      <c r="B2314" s="68" t="s">
        <v>590</v>
      </c>
      <c r="C2314" s="62" t="s">
        <v>115</v>
      </c>
      <c r="D2314" s="62" t="s">
        <v>248</v>
      </c>
      <c r="F2314" s="129" t="s">
        <v>13971</v>
      </c>
      <c r="G2314" s="159" t="s">
        <v>14011</v>
      </c>
      <c r="H2314" s="1287" t="s">
        <v>249</v>
      </c>
      <c r="I2314" s="152">
        <v>45691.0</v>
      </c>
      <c r="J2314" s="152">
        <v>45691.0</v>
      </c>
      <c r="K2314" s="68"/>
      <c r="L2314" s="68" t="s">
        <v>13993</v>
      </c>
      <c r="M2314" s="159" t="s">
        <v>13975</v>
      </c>
      <c r="N2314" s="159" t="s">
        <v>13976</v>
      </c>
      <c r="O2314" s="129">
        <v>1.0</v>
      </c>
      <c r="P2314" s="159" t="str">
        <f t="shared" si="129"/>
        <v>10.1016--j.cognition.2013.02.008.pdf</v>
      </c>
      <c r="Q2314" s="52" t="str">
        <f t="array" ref="Q2314"> if(iserror(MATCH(V2314, 'File Links'!C:C, 0)), "N/A", HYPERLINK(INDEX('File Links'!B:B, MATCH(P2314, 'File Links'!C:C, 0))))</f>
        <v>https://drive.google.com/file/d/1kb4iozdFSFtKZKGvaK7sOkqlr4kI2jg5/view?usp=drivesdk</v>
      </c>
      <c r="R2314" s="2028" t="s">
        <v>5028</v>
      </c>
      <c r="S2314" s="310" t="s">
        <v>5029</v>
      </c>
      <c r="T2314" s="310" t="s">
        <v>5030</v>
      </c>
      <c r="U2314" s="68"/>
      <c r="V2314" s="159" t="str">
        <f t="shared" si="123"/>
        <v>10.1007--s13164-018-0400-9.pdf</v>
      </c>
      <c r="W2314" s="1290" t="s">
        <v>5031</v>
      </c>
      <c r="X2314" s="54" t="str">
        <f t="array" ref="X2314"> if(iserror(MATCH(V2314, 'File Links'!C:C, 0)), "N/A", HYPERLINK(INDEX('File Links'!B:B, MATCH(V2314, 'File Links'!C:C, 0))))</f>
        <v>https://drive.google.com/file/d/1hjI3aqifdfXjWhQAlvKCKKtvjuncAn5M/view?usp=drivesdk</v>
      </c>
      <c r="Y2314" s="68"/>
      <c r="Z2314" s="159" t="s">
        <v>165</v>
      </c>
      <c r="AA2314" s="129" t="s">
        <v>138</v>
      </c>
      <c r="AB2314" s="159" t="s">
        <v>14012</v>
      </c>
      <c r="AC2314" s="68"/>
      <c r="AD2314" s="159" t="s">
        <v>14013</v>
      </c>
      <c r="AE2314" s="156" t="s">
        <v>1042</v>
      </c>
      <c r="AF2314" s="156">
        <v>204.0</v>
      </c>
      <c r="AG2314" s="156">
        <v>2.71</v>
      </c>
      <c r="AH2314" s="159" t="s">
        <v>987</v>
      </c>
      <c r="AI2314" s="161" t="s">
        <v>1042</v>
      </c>
      <c r="AJ2314" s="379">
        <v>0.001</v>
      </c>
      <c r="AK2314" s="57" t="s">
        <v>135</v>
      </c>
      <c r="AL2314" s="159" t="s">
        <v>186</v>
      </c>
      <c r="AM2314" s="1286" t="s">
        <v>137</v>
      </c>
      <c r="AN2314" s="1370" t="s">
        <v>138</v>
      </c>
      <c r="AO2314" s="156">
        <v>63.0</v>
      </c>
      <c r="AP2314" s="1292">
        <v>2.3</v>
      </c>
      <c r="AQ2314" s="159" t="s">
        <v>987</v>
      </c>
      <c r="AR2314" s="151" t="s">
        <v>14014</v>
      </c>
      <c r="AS2314" s="156">
        <v>0.001</v>
      </c>
      <c r="AT2314" s="159" t="s">
        <v>135</v>
      </c>
      <c r="AU2314" s="159" t="s">
        <v>186</v>
      </c>
      <c r="AV2314" s="154" t="s">
        <v>137</v>
      </c>
      <c r="AW2314" s="680" t="s">
        <v>14015</v>
      </c>
      <c r="AX2314" s="159" t="s">
        <v>143</v>
      </c>
      <c r="AY2314" s="61" t="str">
        <f>IFERROR(__xludf.DUMMYFUNCTION("vlookup(BB2314,importrange(""https://docs.google.com/spreadsheets/d/1d2vevQ_7D_v35q4wCQ4RpQ_IPoTwEMB9Yp6ymwlPqew/edit?gid=984458430#gid=984458430"", ""'replication success'!A:K""), 11, FAlSE)"),"successful")</f>
        <v>successful</v>
      </c>
      <c r="AZ2314" s="91" t="str">
        <f>IFERROR(__xludf.DUMMYFUNCTION("vlookup(BB2314,importrange(""https://docs.google.com/spreadsheets/d/1d2vevQ_7D_v35q4wCQ4RpQ_IPoTwEMB9Yp6ymwlPqew/edit?gid=984458430#gid=984458430"", ""'replication success'!A:M""), 12, FAlSE)"),"https://osf.io/4ewkh")</f>
        <v>https://osf.io/4ewkh</v>
      </c>
      <c r="BA2314" s="91" t="str">
        <f>IFERROR(__xludf.DUMMYFUNCTION("vlookup(BB2314,importrange(""https://docs.google.com/spreadsheets/d/1d2vevQ_7D_v35q4wCQ4RpQ_IPoTwEMB9Yp6ymwlPqew/edit?gid=984458430#gid=984458430"", ""'replication success'!A:M""), 13, FAlSE)"),"https://osf.io/4ewkh")</f>
        <v>https://osf.io/4ewkh</v>
      </c>
      <c r="BB2314" s="61" t="str">
        <f>IFERROR(__xludf.DUMMYFUNCTION("REGEXREPLACE(G2314, ""_[a-z]{1,2}$"", """")"),"XPHI32")</f>
        <v>XPHI32</v>
      </c>
      <c r="BD2314" s="154" t="s">
        <v>249</v>
      </c>
      <c r="BE2314" s="342"/>
      <c r="BF2314" s="342"/>
      <c r="BG2314" s="342"/>
      <c r="BH2314" s="342"/>
      <c r="BI2314" s="342"/>
      <c r="BJ2314" s="342"/>
      <c r="BK2314" s="342"/>
      <c r="BL2314" s="342"/>
      <c r="BM2314" s="342"/>
      <c r="BN2314" s="342"/>
      <c r="BO2314" s="342"/>
      <c r="BP2314" s="342"/>
      <c r="BQ2314" s="342"/>
      <c r="BR2314" s="342"/>
      <c r="BS2314" s="342"/>
      <c r="BT2314" s="342"/>
      <c r="BU2314" s="342"/>
      <c r="BV2314" s="342"/>
      <c r="BW2314" s="342"/>
      <c r="BX2314" s="342"/>
      <c r="BY2314" s="342"/>
      <c r="BZ2314" s="342"/>
      <c r="CA2314" s="342"/>
      <c r="CB2314" s="342"/>
      <c r="CC2314" s="342"/>
      <c r="CD2314" s="342"/>
      <c r="CE2314" s="342"/>
      <c r="CF2314" s="342"/>
      <c r="CG2314" s="342"/>
      <c r="CH2314" s="342"/>
      <c r="CI2314" s="342"/>
      <c r="CJ2314" s="342"/>
      <c r="CK2314" s="342"/>
      <c r="CL2314" s="342"/>
      <c r="CM2314" s="342"/>
      <c r="CN2314" s="342"/>
      <c r="CO2314" s="342"/>
      <c r="CP2314" s="342"/>
      <c r="CQ2314" s="342"/>
      <c r="CR2314" s="342"/>
      <c r="CS2314" s="342"/>
      <c r="CT2314" s="342"/>
      <c r="CU2314" s="342"/>
      <c r="CV2314" s="342"/>
      <c r="CW2314" s="342"/>
      <c r="CX2314" s="342"/>
      <c r="CY2314" s="342"/>
      <c r="CZ2314" s="342"/>
      <c r="DA2314" s="342"/>
      <c r="DB2314" s="342"/>
      <c r="DC2314" s="342"/>
      <c r="DD2314" s="342"/>
      <c r="DE2314" s="342"/>
      <c r="DF2314" s="342"/>
      <c r="DG2314" s="342"/>
      <c r="DH2314" s="342"/>
      <c r="DI2314" s="342"/>
      <c r="DJ2314" s="342"/>
      <c r="DK2314" s="342"/>
      <c r="DL2314" s="342"/>
    </row>
    <row r="2315">
      <c r="A2315" s="44">
        <v>2315.0</v>
      </c>
      <c r="B2315" s="68" t="s">
        <v>590</v>
      </c>
      <c r="C2315" s="62" t="s">
        <v>115</v>
      </c>
      <c r="D2315" s="62" t="s">
        <v>1270</v>
      </c>
      <c r="F2315" s="129" t="s">
        <v>13971</v>
      </c>
      <c r="G2315" s="151" t="s">
        <v>14011</v>
      </c>
      <c r="H2315" s="1287" t="s">
        <v>5024</v>
      </c>
      <c r="I2315" s="152">
        <v>45674.0</v>
      </c>
      <c r="J2315" s="152">
        <v>45691.0</v>
      </c>
      <c r="K2315" s="68"/>
      <c r="L2315" s="68" t="s">
        <v>13993</v>
      </c>
      <c r="M2315" s="159" t="s">
        <v>13975</v>
      </c>
      <c r="N2315" s="159" t="s">
        <v>13976</v>
      </c>
      <c r="O2315" s="129">
        <v>1.0</v>
      </c>
      <c r="P2315" s="159" t="str">
        <f t="shared" si="129"/>
        <v>10.1016--j.cognition.2013.02.008.pdf</v>
      </c>
      <c r="Q2315" s="52" t="str">
        <f t="array" ref="Q2315"> if(iserror(MATCH(V2315, 'File Links'!C:C, 0)), "N/A", HYPERLINK(INDEX('File Links'!B:B, MATCH(P2315, 'File Links'!C:C, 0))))</f>
        <v>https://drive.google.com/file/d/1kb4iozdFSFtKZKGvaK7sOkqlr4kI2jg5/view?usp=drivesdk</v>
      </c>
      <c r="R2315" s="2028" t="s">
        <v>5028</v>
      </c>
      <c r="S2315" s="310" t="s">
        <v>5029</v>
      </c>
      <c r="T2315" s="310" t="s">
        <v>5030</v>
      </c>
      <c r="U2315" s="156">
        <v>32.0</v>
      </c>
      <c r="V2315" s="159" t="str">
        <f t="shared" si="123"/>
        <v>10.1007--s13164-018-0400-9.pdf</v>
      </c>
      <c r="W2315" s="1290" t="s">
        <v>5031</v>
      </c>
      <c r="X2315" s="54" t="str">
        <f t="array" ref="X2315"> if(iserror(MATCH(V2315, 'File Links'!C:C, 0)), "N/A", HYPERLINK(INDEX('File Links'!B:B, MATCH(V2315, 'File Links'!C:C, 0))))</f>
        <v>https://drive.google.com/file/d/1hjI3aqifdfXjWhQAlvKCKKtvjuncAn5M/view?usp=drivesdk</v>
      </c>
      <c r="Y2315" s="68"/>
      <c r="Z2315" s="159" t="s">
        <v>165</v>
      </c>
      <c r="AA2315" s="129" t="s">
        <v>138</v>
      </c>
      <c r="AB2315" s="159" t="s">
        <v>13978</v>
      </c>
      <c r="AC2315" s="68"/>
      <c r="AD2315" s="151" t="s">
        <v>14016</v>
      </c>
      <c r="AE2315" s="156">
        <v>6.0</v>
      </c>
      <c r="AF2315" s="156">
        <v>204.0</v>
      </c>
      <c r="AG2315" s="151" t="s">
        <v>14017</v>
      </c>
      <c r="AH2315" s="159" t="s">
        <v>134</v>
      </c>
      <c r="AI2315" s="161" t="s">
        <v>1042</v>
      </c>
      <c r="AJ2315" s="379">
        <v>0.001</v>
      </c>
      <c r="AK2315" s="57" t="s">
        <v>135</v>
      </c>
      <c r="AL2315" s="159" t="s">
        <v>186</v>
      </c>
      <c r="AM2315" s="57" t="s">
        <v>1905</v>
      </c>
      <c r="AN2315" s="68"/>
      <c r="AO2315" s="156">
        <v>63.0</v>
      </c>
      <c r="AP2315" s="2055" t="s">
        <v>14018</v>
      </c>
      <c r="AQ2315" s="159" t="s">
        <v>134</v>
      </c>
      <c r="AR2315" s="159" t="s">
        <v>14001</v>
      </c>
      <c r="AS2315" s="156">
        <v>0.001</v>
      </c>
      <c r="AT2315" s="159" t="s">
        <v>135</v>
      </c>
      <c r="AU2315" s="159" t="s">
        <v>186</v>
      </c>
      <c r="AV2315" s="159" t="s">
        <v>1905</v>
      </c>
      <c r="AW2315" s="310" t="s">
        <v>14002</v>
      </c>
      <c r="AX2315" s="159" t="s">
        <v>143</v>
      </c>
      <c r="AY2315" s="61" t="str">
        <f>IFERROR(__xludf.DUMMYFUNCTION("vlookup(BB2315,importrange(""https://docs.google.com/spreadsheets/d/1d2vevQ_7D_v35q4wCQ4RpQ_IPoTwEMB9Yp6ymwlPqew/edit?gid=984458430#gid=984458430"", ""'replication success'!A:K""), 11, FAlSE)"),"successful")</f>
        <v>successful</v>
      </c>
      <c r="AZ2315" s="91" t="str">
        <f>IFERROR(__xludf.DUMMYFUNCTION("vlookup(BB2315,importrange(""https://docs.google.com/spreadsheets/d/1d2vevQ_7D_v35q4wCQ4RpQ_IPoTwEMB9Yp6ymwlPqew/edit?gid=984458430#gid=984458430"", ""'replication success'!A:M""), 12, FAlSE)"),"https://osf.io/4ewkh")</f>
        <v>https://osf.io/4ewkh</v>
      </c>
      <c r="BA2315" s="91" t="str">
        <f>IFERROR(__xludf.DUMMYFUNCTION("vlookup(BB2315,importrange(""https://docs.google.com/spreadsheets/d/1d2vevQ_7D_v35q4wCQ4RpQ_IPoTwEMB9Yp6ymwlPqew/edit?gid=984458430#gid=984458430"", ""'replication success'!A:M""), 13, FAlSE)"),"https://osf.io/4ewkh")</f>
        <v>https://osf.io/4ewkh</v>
      </c>
      <c r="BB2315" s="61" t="str">
        <f>IFERROR(__xludf.DUMMYFUNCTION("REGEXREPLACE(G2315, ""_[a-z]{1,2}$"", """")"),"XPHI32")</f>
        <v>XPHI32</v>
      </c>
      <c r="BD2315" s="154" t="s">
        <v>249</v>
      </c>
    </row>
    <row r="2316">
      <c r="A2316" s="44">
        <v>2316.0</v>
      </c>
      <c r="B2316" s="154" t="s">
        <v>590</v>
      </c>
      <c r="C2316" s="62" t="s">
        <v>115</v>
      </c>
      <c r="D2316" s="62" t="s">
        <v>248</v>
      </c>
      <c r="F2316" s="129" t="s">
        <v>13971</v>
      </c>
      <c r="G2316" s="159" t="s">
        <v>14019</v>
      </c>
      <c r="H2316" s="1287" t="s">
        <v>249</v>
      </c>
      <c r="I2316" s="152">
        <v>45691.0</v>
      </c>
      <c r="J2316" s="152">
        <v>45691.0</v>
      </c>
      <c r="K2316" s="68"/>
      <c r="L2316" s="68" t="s">
        <v>13993</v>
      </c>
      <c r="M2316" s="159" t="s">
        <v>13975</v>
      </c>
      <c r="N2316" s="159" t="s">
        <v>13976</v>
      </c>
      <c r="O2316" s="129">
        <v>1.0</v>
      </c>
      <c r="P2316" s="159" t="str">
        <f t="shared" si="129"/>
        <v>10.1016--j.cognition.2013.02.008.pdf</v>
      </c>
      <c r="Q2316" s="52" t="str">
        <f t="array" ref="Q2316"> if(iserror(MATCH(V2316, 'File Links'!C:C, 0)), "N/A", HYPERLINK(INDEX('File Links'!B:B, MATCH(P2316, 'File Links'!C:C, 0))))</f>
        <v>https://drive.google.com/file/d/1kb4iozdFSFtKZKGvaK7sOkqlr4kI2jg5/view?usp=drivesdk</v>
      </c>
      <c r="R2316" s="2028" t="s">
        <v>5028</v>
      </c>
      <c r="S2316" s="310" t="s">
        <v>5029</v>
      </c>
      <c r="T2316" s="310" t="s">
        <v>5030</v>
      </c>
      <c r="U2316" s="68"/>
      <c r="V2316" s="159" t="str">
        <f t="shared" si="123"/>
        <v>10.1007--s13164-018-0400-9.pdf</v>
      </c>
      <c r="W2316" s="1290" t="s">
        <v>5031</v>
      </c>
      <c r="X2316" s="54" t="str">
        <f t="array" ref="X2316"> if(iserror(MATCH(V2316, 'File Links'!C:C, 0)), "N/A", HYPERLINK(INDEX('File Links'!B:B, MATCH(V2316, 'File Links'!C:C, 0))))</f>
        <v>https://drive.google.com/file/d/1hjI3aqifdfXjWhQAlvKCKKtvjuncAn5M/view?usp=drivesdk</v>
      </c>
      <c r="Y2316" s="68"/>
      <c r="Z2316" s="159" t="s">
        <v>165</v>
      </c>
      <c r="AA2316" s="129" t="s">
        <v>138</v>
      </c>
      <c r="AB2316" s="159" t="s">
        <v>14020</v>
      </c>
      <c r="AC2316" s="68"/>
      <c r="AD2316" s="159" t="s">
        <v>14021</v>
      </c>
      <c r="AE2316" s="156" t="s">
        <v>1042</v>
      </c>
      <c r="AF2316" s="156">
        <v>197.0</v>
      </c>
      <c r="AG2316" s="156">
        <v>1.45</v>
      </c>
      <c r="AH2316" s="159" t="s">
        <v>987</v>
      </c>
      <c r="AI2316" s="161" t="s">
        <v>1042</v>
      </c>
      <c r="AJ2316" s="379">
        <v>0.001</v>
      </c>
      <c r="AK2316" s="57" t="s">
        <v>135</v>
      </c>
      <c r="AL2316" s="159" t="s">
        <v>186</v>
      </c>
      <c r="AM2316" s="1286" t="s">
        <v>137</v>
      </c>
      <c r="AN2316" s="1370" t="s">
        <v>138</v>
      </c>
      <c r="AO2316" s="156">
        <v>63.0</v>
      </c>
      <c r="AP2316" s="1292">
        <v>1.44</v>
      </c>
      <c r="AQ2316" s="159" t="s">
        <v>987</v>
      </c>
      <c r="AR2316" s="151" t="s">
        <v>14022</v>
      </c>
      <c r="AS2316" s="156">
        <v>0.001</v>
      </c>
      <c r="AT2316" s="159" t="s">
        <v>135</v>
      </c>
      <c r="AU2316" s="159" t="s">
        <v>186</v>
      </c>
      <c r="AV2316" s="154" t="s">
        <v>137</v>
      </c>
      <c r="AW2316" s="680" t="s">
        <v>14023</v>
      </c>
      <c r="AX2316" s="159" t="s">
        <v>143</v>
      </c>
      <c r="AY2316" s="61" t="str">
        <f>IFERROR(__xludf.DUMMYFUNCTION("vlookup(BB2316,importrange(""https://docs.google.com/spreadsheets/d/1d2vevQ_7D_v35q4wCQ4RpQ_IPoTwEMB9Yp6ymwlPqew/edit?gid=984458430#gid=984458430"", ""'replication success'!A:K""), 11, FAlSE)"),"successful")</f>
        <v>successful</v>
      </c>
      <c r="AZ2316" s="91" t="str">
        <f>IFERROR(__xludf.DUMMYFUNCTION("vlookup(BB2316,importrange(""https://docs.google.com/spreadsheets/d/1d2vevQ_7D_v35q4wCQ4RpQ_IPoTwEMB9Yp6ymwlPqew/edit?gid=984458430#gid=984458430"", ""'replication success'!A:M""), 12, FAlSE)"),"https://osf.io/4ewkh")</f>
        <v>https://osf.io/4ewkh</v>
      </c>
      <c r="BA2316" s="91" t="str">
        <f>IFERROR(__xludf.DUMMYFUNCTION("vlookup(BB2316,importrange(""https://docs.google.com/spreadsheets/d/1d2vevQ_7D_v35q4wCQ4RpQ_IPoTwEMB9Yp6ymwlPqew/edit?gid=984458430#gid=984458430"", ""'replication success'!A:M""), 13, FAlSE)"),"https://osf.io/4ewkh")</f>
        <v>https://osf.io/4ewkh</v>
      </c>
      <c r="BB2316" s="61" t="str">
        <f>IFERROR(__xludf.DUMMYFUNCTION("REGEXREPLACE(G2316, ""_[a-z]{1,2}$"", """")"),"XPHI32")</f>
        <v>XPHI32</v>
      </c>
      <c r="BD2316" s="154" t="s">
        <v>249</v>
      </c>
    </row>
    <row r="2317">
      <c r="A2317" s="44">
        <v>2317.0</v>
      </c>
      <c r="B2317" s="154" t="s">
        <v>590</v>
      </c>
      <c r="C2317" s="62" t="s">
        <v>115</v>
      </c>
      <c r="D2317" s="62" t="s">
        <v>1270</v>
      </c>
      <c r="F2317" s="129" t="s">
        <v>13971</v>
      </c>
      <c r="G2317" s="151" t="s">
        <v>14019</v>
      </c>
      <c r="H2317" s="1287" t="s">
        <v>5024</v>
      </c>
      <c r="I2317" s="152">
        <v>45674.0</v>
      </c>
      <c r="J2317" s="152">
        <v>45691.0</v>
      </c>
      <c r="K2317" s="68"/>
      <c r="L2317" s="68" t="s">
        <v>13993</v>
      </c>
      <c r="M2317" s="159" t="s">
        <v>13975</v>
      </c>
      <c r="N2317" s="159" t="s">
        <v>13976</v>
      </c>
      <c r="O2317" s="129">
        <v>1.0</v>
      </c>
      <c r="P2317" s="159" t="str">
        <f t="shared" si="129"/>
        <v>10.1016--j.cognition.2013.02.008.pdf</v>
      </c>
      <c r="Q2317" s="52" t="str">
        <f t="array" ref="Q2317"> if(iserror(MATCH(V2317, 'File Links'!C:C, 0)), "N/A", HYPERLINK(INDEX('File Links'!B:B, MATCH(P2317, 'File Links'!C:C, 0))))</f>
        <v>https://drive.google.com/file/d/1kb4iozdFSFtKZKGvaK7sOkqlr4kI2jg5/view?usp=drivesdk</v>
      </c>
      <c r="R2317" s="2028" t="s">
        <v>5028</v>
      </c>
      <c r="S2317" s="310" t="s">
        <v>5029</v>
      </c>
      <c r="T2317" s="310" t="s">
        <v>5030</v>
      </c>
      <c r="U2317" s="156">
        <v>32.0</v>
      </c>
      <c r="V2317" s="159" t="str">
        <f t="shared" si="123"/>
        <v>10.1007--s13164-018-0400-9.pdf</v>
      </c>
      <c r="W2317" s="1290" t="s">
        <v>5031</v>
      </c>
      <c r="X2317" s="54" t="str">
        <f t="array" ref="X2317"> if(iserror(MATCH(V2317, 'File Links'!C:C, 0)), "N/A", HYPERLINK(INDEX('File Links'!B:B, MATCH(V2317, 'File Links'!C:C, 0))))</f>
        <v>https://drive.google.com/file/d/1hjI3aqifdfXjWhQAlvKCKKtvjuncAn5M/view?usp=drivesdk</v>
      </c>
      <c r="Y2317" s="68"/>
      <c r="Z2317" s="159" t="s">
        <v>165</v>
      </c>
      <c r="AA2317" s="129" t="s">
        <v>138</v>
      </c>
      <c r="AB2317" s="159" t="s">
        <v>13978</v>
      </c>
      <c r="AC2317" s="68"/>
      <c r="AD2317" s="151" t="s">
        <v>14024</v>
      </c>
      <c r="AE2317" s="156">
        <v>6.0</v>
      </c>
      <c r="AF2317" s="156">
        <v>197.0</v>
      </c>
      <c r="AG2317" s="151" t="s">
        <v>14025</v>
      </c>
      <c r="AH2317" s="159" t="s">
        <v>134</v>
      </c>
      <c r="AI2317" s="161" t="s">
        <v>1042</v>
      </c>
      <c r="AJ2317" s="379">
        <v>0.001</v>
      </c>
      <c r="AK2317" s="57" t="s">
        <v>135</v>
      </c>
      <c r="AL2317" s="159" t="s">
        <v>186</v>
      </c>
      <c r="AM2317" s="57" t="s">
        <v>1905</v>
      </c>
      <c r="AN2317" s="68"/>
      <c r="AO2317" s="156">
        <v>63.0</v>
      </c>
      <c r="AP2317" s="2055" t="s">
        <v>14026</v>
      </c>
      <c r="AQ2317" s="159" t="s">
        <v>134</v>
      </c>
      <c r="AR2317" s="159" t="s">
        <v>14001</v>
      </c>
      <c r="AS2317" s="156">
        <v>0.001</v>
      </c>
      <c r="AT2317" s="159" t="s">
        <v>135</v>
      </c>
      <c r="AU2317" s="159" t="s">
        <v>186</v>
      </c>
      <c r="AV2317" s="159" t="s">
        <v>1905</v>
      </c>
      <c r="AW2317" s="310" t="s">
        <v>14002</v>
      </c>
      <c r="AX2317" s="159" t="s">
        <v>143</v>
      </c>
      <c r="AY2317" s="61" t="str">
        <f>IFERROR(__xludf.DUMMYFUNCTION("vlookup(BB2317,importrange(""https://docs.google.com/spreadsheets/d/1d2vevQ_7D_v35q4wCQ4RpQ_IPoTwEMB9Yp6ymwlPqew/edit?gid=984458430#gid=984458430"", ""'replication success'!A:K""), 11, FAlSE)"),"successful")</f>
        <v>successful</v>
      </c>
      <c r="AZ2317" s="91" t="str">
        <f>IFERROR(__xludf.DUMMYFUNCTION("vlookup(BB2317,importrange(""https://docs.google.com/spreadsheets/d/1d2vevQ_7D_v35q4wCQ4RpQ_IPoTwEMB9Yp6ymwlPqew/edit?gid=984458430#gid=984458430"", ""'replication success'!A:M""), 12, FAlSE)"),"https://osf.io/4ewkh")</f>
        <v>https://osf.io/4ewkh</v>
      </c>
      <c r="BA2317" s="91" t="str">
        <f>IFERROR(__xludf.DUMMYFUNCTION("vlookup(BB2317,importrange(""https://docs.google.com/spreadsheets/d/1d2vevQ_7D_v35q4wCQ4RpQ_IPoTwEMB9Yp6ymwlPqew/edit?gid=984458430#gid=984458430"", ""'replication success'!A:M""), 13, FAlSE)"),"https://osf.io/4ewkh")</f>
        <v>https://osf.io/4ewkh</v>
      </c>
      <c r="BB2317" s="61" t="str">
        <f>IFERROR(__xludf.DUMMYFUNCTION("REGEXREPLACE(G2317, ""_[a-z]{1,2}$"", """")"),"XPHI32")</f>
        <v>XPHI32</v>
      </c>
      <c r="BD2317" s="154" t="s">
        <v>249</v>
      </c>
    </row>
    <row r="2318">
      <c r="A2318" s="44">
        <v>2318.0</v>
      </c>
      <c r="B2318" s="68" t="s">
        <v>590</v>
      </c>
      <c r="C2318" s="62" t="s">
        <v>115</v>
      </c>
      <c r="D2318" s="62" t="s">
        <v>248</v>
      </c>
      <c r="F2318" s="129" t="s">
        <v>13971</v>
      </c>
      <c r="G2318" s="159" t="s">
        <v>14027</v>
      </c>
      <c r="H2318" s="1287" t="s">
        <v>249</v>
      </c>
      <c r="I2318" s="152">
        <v>45691.0</v>
      </c>
      <c r="J2318" s="152">
        <v>45691.0</v>
      </c>
      <c r="K2318" s="68"/>
      <c r="L2318" s="68" t="s">
        <v>13993</v>
      </c>
      <c r="M2318" s="159" t="s">
        <v>13975</v>
      </c>
      <c r="N2318" s="159" t="s">
        <v>13976</v>
      </c>
      <c r="O2318" s="129">
        <v>1.0</v>
      </c>
      <c r="P2318" s="159" t="str">
        <f t="shared" si="129"/>
        <v>10.1016--j.cognition.2013.02.008.pdf</v>
      </c>
      <c r="Q2318" s="52" t="str">
        <f t="array" ref="Q2318"> if(iserror(MATCH(V2318, 'File Links'!C:C, 0)), "N/A", HYPERLINK(INDEX('File Links'!B:B, MATCH(P2318, 'File Links'!C:C, 0))))</f>
        <v>https://drive.google.com/file/d/1kb4iozdFSFtKZKGvaK7sOkqlr4kI2jg5/view?usp=drivesdk</v>
      </c>
      <c r="R2318" s="2028" t="s">
        <v>5028</v>
      </c>
      <c r="S2318" s="310" t="s">
        <v>5029</v>
      </c>
      <c r="T2318" s="310" t="s">
        <v>5030</v>
      </c>
      <c r="U2318" s="68"/>
      <c r="V2318" s="159" t="str">
        <f t="shared" si="123"/>
        <v>10.1007--s13164-018-0400-9.pdf</v>
      </c>
      <c r="W2318" s="1290" t="s">
        <v>5031</v>
      </c>
      <c r="X2318" s="54" t="str">
        <f t="array" ref="X2318"> if(iserror(MATCH(V2318, 'File Links'!C:C, 0)), "N/A", HYPERLINK(INDEX('File Links'!B:B, MATCH(V2318, 'File Links'!C:C, 0))))</f>
        <v>https://drive.google.com/file/d/1hjI3aqifdfXjWhQAlvKCKKtvjuncAn5M/view?usp=drivesdk</v>
      </c>
      <c r="Y2318" s="68"/>
      <c r="Z2318" s="159" t="s">
        <v>165</v>
      </c>
      <c r="AA2318" s="129" t="s">
        <v>138</v>
      </c>
      <c r="AB2318" s="159" t="s">
        <v>14028</v>
      </c>
      <c r="AC2318" s="68"/>
      <c r="AD2318" s="151" t="s">
        <v>14029</v>
      </c>
      <c r="AE2318" s="156" t="s">
        <v>1042</v>
      </c>
      <c r="AF2318" s="156">
        <v>196.0</v>
      </c>
      <c r="AG2318" s="156">
        <v>1.13</v>
      </c>
      <c r="AH2318" s="159" t="s">
        <v>987</v>
      </c>
      <c r="AI2318" s="161" t="s">
        <v>1042</v>
      </c>
      <c r="AJ2318" s="379">
        <v>0.001</v>
      </c>
      <c r="AK2318" s="57" t="s">
        <v>135</v>
      </c>
      <c r="AL2318" s="159" t="s">
        <v>186</v>
      </c>
      <c r="AM2318" s="1286" t="s">
        <v>137</v>
      </c>
      <c r="AN2318" s="1370" t="s">
        <v>138</v>
      </c>
      <c r="AO2318" s="156">
        <v>63.0</v>
      </c>
      <c r="AP2318" s="1292">
        <v>1.07</v>
      </c>
      <c r="AQ2318" s="159" t="s">
        <v>987</v>
      </c>
      <c r="AR2318" s="151" t="s">
        <v>14030</v>
      </c>
      <c r="AS2318" s="156">
        <v>0.001</v>
      </c>
      <c r="AT2318" s="159" t="s">
        <v>135</v>
      </c>
      <c r="AU2318" s="159" t="s">
        <v>186</v>
      </c>
      <c r="AV2318" s="154" t="s">
        <v>137</v>
      </c>
      <c r="AW2318" s="680" t="s">
        <v>14031</v>
      </c>
      <c r="AX2318" s="159" t="s">
        <v>143</v>
      </c>
      <c r="AY2318" s="61" t="str">
        <f>IFERROR(__xludf.DUMMYFUNCTION("vlookup(BB2318,importrange(""https://docs.google.com/spreadsheets/d/1d2vevQ_7D_v35q4wCQ4RpQ_IPoTwEMB9Yp6ymwlPqew/edit?gid=984458430#gid=984458430"", ""'replication success'!A:K""), 11, FAlSE)"),"successful")</f>
        <v>successful</v>
      </c>
      <c r="AZ2318" s="91" t="str">
        <f>IFERROR(__xludf.DUMMYFUNCTION("vlookup(BB2318,importrange(""https://docs.google.com/spreadsheets/d/1d2vevQ_7D_v35q4wCQ4RpQ_IPoTwEMB9Yp6ymwlPqew/edit?gid=984458430#gid=984458430"", ""'replication success'!A:M""), 12, FAlSE)"),"https://osf.io/4ewkh")</f>
        <v>https://osf.io/4ewkh</v>
      </c>
      <c r="BA2318" s="91" t="str">
        <f>IFERROR(__xludf.DUMMYFUNCTION("vlookup(BB2318,importrange(""https://docs.google.com/spreadsheets/d/1d2vevQ_7D_v35q4wCQ4RpQ_IPoTwEMB9Yp6ymwlPqew/edit?gid=984458430#gid=984458430"", ""'replication success'!A:M""), 13, FAlSE)"),"https://osf.io/4ewkh")</f>
        <v>https://osf.io/4ewkh</v>
      </c>
      <c r="BB2318" s="61" t="str">
        <f>IFERROR(__xludf.DUMMYFUNCTION("REGEXREPLACE(G2318, ""_[a-z]{1,2}$"", """")"),"XPHI32")</f>
        <v>XPHI32</v>
      </c>
      <c r="BD2318" s="154" t="s">
        <v>249</v>
      </c>
    </row>
    <row r="2319">
      <c r="A2319" s="44">
        <v>2319.0</v>
      </c>
      <c r="B2319" s="68" t="s">
        <v>590</v>
      </c>
      <c r="C2319" s="62" t="s">
        <v>115</v>
      </c>
      <c r="D2319" s="62" t="s">
        <v>1270</v>
      </c>
      <c r="F2319" s="129" t="s">
        <v>13971</v>
      </c>
      <c r="G2319" s="151" t="s">
        <v>14027</v>
      </c>
      <c r="H2319" s="1287" t="s">
        <v>5024</v>
      </c>
      <c r="I2319" s="152">
        <v>45674.0</v>
      </c>
      <c r="J2319" s="152">
        <v>45691.0</v>
      </c>
      <c r="K2319" s="68"/>
      <c r="L2319" s="68" t="s">
        <v>13993</v>
      </c>
      <c r="M2319" s="159" t="s">
        <v>13975</v>
      </c>
      <c r="N2319" s="159" t="s">
        <v>13976</v>
      </c>
      <c r="O2319" s="129">
        <v>1.0</v>
      </c>
      <c r="P2319" s="159" t="str">
        <f t="shared" si="129"/>
        <v>10.1016--j.cognition.2013.02.008.pdf</v>
      </c>
      <c r="Q2319" s="52" t="str">
        <f t="array" ref="Q2319"> if(iserror(MATCH(V2319, 'File Links'!C:C, 0)), "N/A", HYPERLINK(INDEX('File Links'!B:B, MATCH(P2319, 'File Links'!C:C, 0))))</f>
        <v>https://drive.google.com/file/d/1kb4iozdFSFtKZKGvaK7sOkqlr4kI2jg5/view?usp=drivesdk</v>
      </c>
      <c r="R2319" s="2028" t="s">
        <v>5028</v>
      </c>
      <c r="S2319" s="310" t="s">
        <v>5029</v>
      </c>
      <c r="T2319" s="310" t="s">
        <v>5030</v>
      </c>
      <c r="U2319" s="156">
        <v>32.0</v>
      </c>
      <c r="V2319" s="159" t="str">
        <f t="shared" si="123"/>
        <v>10.1007--s13164-018-0400-9.pdf</v>
      </c>
      <c r="W2319" s="1290" t="s">
        <v>5031</v>
      </c>
      <c r="X2319" s="54" t="str">
        <f t="array" ref="X2319"> if(iserror(MATCH(V2319, 'File Links'!C:C, 0)), "N/A", HYPERLINK(INDEX('File Links'!B:B, MATCH(V2319, 'File Links'!C:C, 0))))</f>
        <v>https://drive.google.com/file/d/1hjI3aqifdfXjWhQAlvKCKKtvjuncAn5M/view?usp=drivesdk</v>
      </c>
      <c r="Y2319" s="68"/>
      <c r="Z2319" s="159" t="s">
        <v>165</v>
      </c>
      <c r="AA2319" s="129" t="s">
        <v>138</v>
      </c>
      <c r="AB2319" s="159" t="s">
        <v>13978</v>
      </c>
      <c r="AC2319" s="68"/>
      <c r="AD2319" s="151" t="s">
        <v>14032</v>
      </c>
      <c r="AE2319" s="156">
        <v>6.0</v>
      </c>
      <c r="AF2319" s="156">
        <v>196.0</v>
      </c>
      <c r="AG2319" s="151" t="s">
        <v>14033</v>
      </c>
      <c r="AH2319" s="159" t="s">
        <v>134</v>
      </c>
      <c r="AI2319" s="161" t="s">
        <v>1042</v>
      </c>
      <c r="AJ2319" s="379">
        <v>0.001</v>
      </c>
      <c r="AK2319" s="57" t="s">
        <v>135</v>
      </c>
      <c r="AL2319" s="159" t="s">
        <v>186</v>
      </c>
      <c r="AM2319" s="57" t="s">
        <v>1905</v>
      </c>
      <c r="AN2319" s="68"/>
      <c r="AO2319" s="156">
        <v>63.0</v>
      </c>
      <c r="AP2319" s="2055" t="s">
        <v>14034</v>
      </c>
      <c r="AQ2319" s="159" t="s">
        <v>134</v>
      </c>
      <c r="AR2319" s="159" t="s">
        <v>14001</v>
      </c>
      <c r="AS2319" s="156">
        <v>0.001</v>
      </c>
      <c r="AT2319" s="159" t="s">
        <v>135</v>
      </c>
      <c r="AU2319" s="159" t="s">
        <v>186</v>
      </c>
      <c r="AV2319" s="159" t="s">
        <v>1905</v>
      </c>
      <c r="AW2319" s="310" t="s">
        <v>14002</v>
      </c>
      <c r="AX2319" s="159" t="s">
        <v>143</v>
      </c>
      <c r="AY2319" s="61" t="str">
        <f>IFERROR(__xludf.DUMMYFUNCTION("vlookup(BB2319,importrange(""https://docs.google.com/spreadsheets/d/1d2vevQ_7D_v35q4wCQ4RpQ_IPoTwEMB9Yp6ymwlPqew/edit?gid=984458430#gid=984458430"", ""'replication success'!A:K""), 11, FAlSE)"),"successful")</f>
        <v>successful</v>
      </c>
      <c r="AZ2319" s="91" t="str">
        <f>IFERROR(__xludf.DUMMYFUNCTION("vlookup(BB2319,importrange(""https://docs.google.com/spreadsheets/d/1d2vevQ_7D_v35q4wCQ4RpQ_IPoTwEMB9Yp6ymwlPqew/edit?gid=984458430#gid=984458430"", ""'replication success'!A:M""), 12, FAlSE)"),"https://osf.io/4ewkh")</f>
        <v>https://osf.io/4ewkh</v>
      </c>
      <c r="BA2319" s="91" t="str">
        <f>IFERROR(__xludf.DUMMYFUNCTION("vlookup(BB2319,importrange(""https://docs.google.com/spreadsheets/d/1d2vevQ_7D_v35q4wCQ4RpQ_IPoTwEMB9Yp6ymwlPqew/edit?gid=984458430#gid=984458430"", ""'replication success'!A:M""), 13, FAlSE)"),"https://osf.io/4ewkh")</f>
        <v>https://osf.io/4ewkh</v>
      </c>
      <c r="BB2319" s="61" t="str">
        <f>IFERROR(__xludf.DUMMYFUNCTION("REGEXREPLACE(G2319, ""_[a-z]{1,2}$"", """")"),"XPHI32")</f>
        <v>XPHI32</v>
      </c>
      <c r="BD2319" s="154" t="s">
        <v>249</v>
      </c>
    </row>
    <row r="2320">
      <c r="A2320" s="44">
        <v>2320.0</v>
      </c>
      <c r="B2320" s="68" t="s">
        <v>152</v>
      </c>
      <c r="C2320" s="62" t="s">
        <v>115</v>
      </c>
      <c r="D2320" s="62" t="s">
        <v>248</v>
      </c>
      <c r="F2320" s="129" t="s">
        <v>13971</v>
      </c>
      <c r="G2320" s="159" t="s">
        <v>14035</v>
      </c>
      <c r="H2320" s="1287" t="s">
        <v>249</v>
      </c>
      <c r="I2320" s="152">
        <v>45691.0</v>
      </c>
      <c r="J2320" s="152">
        <v>45691.0</v>
      </c>
      <c r="K2320" s="68"/>
      <c r="L2320" s="68" t="s">
        <v>13642</v>
      </c>
      <c r="M2320" s="159" t="s">
        <v>13975</v>
      </c>
      <c r="N2320" s="159" t="s">
        <v>13976</v>
      </c>
      <c r="O2320" s="129">
        <v>1.0</v>
      </c>
      <c r="P2320" s="159" t="str">
        <f t="shared" si="129"/>
        <v>10.1016--j.cognition.2013.02.008.pdf</v>
      </c>
      <c r="Q2320" s="52" t="str">
        <f t="array" ref="Q2320"> if(iserror(MATCH(V2320, 'File Links'!C:C, 0)), "N/A", HYPERLINK(INDEX('File Links'!B:B, MATCH(P2320, 'File Links'!C:C, 0))))</f>
        <v>https://drive.google.com/file/d/1kb4iozdFSFtKZKGvaK7sOkqlr4kI2jg5/view?usp=drivesdk</v>
      </c>
      <c r="R2320" s="2028" t="s">
        <v>5028</v>
      </c>
      <c r="S2320" s="310" t="s">
        <v>5029</v>
      </c>
      <c r="T2320" s="310" t="s">
        <v>5030</v>
      </c>
      <c r="U2320" s="68"/>
      <c r="V2320" s="159" t="str">
        <f t="shared" si="123"/>
        <v>10.1007--s13164-018-0400-9.pdf</v>
      </c>
      <c r="W2320" s="1290" t="s">
        <v>5031</v>
      </c>
      <c r="X2320" s="54" t="str">
        <f t="array" ref="X2320"> if(iserror(MATCH(V2320, 'File Links'!C:C, 0)), "N/A", HYPERLINK(INDEX('File Links'!B:B, MATCH(V2320, 'File Links'!C:C, 0))))</f>
        <v>https://drive.google.com/file/d/1hjI3aqifdfXjWhQAlvKCKKtvjuncAn5M/view?usp=drivesdk</v>
      </c>
      <c r="Y2320" s="68"/>
      <c r="Z2320" s="159" t="s">
        <v>165</v>
      </c>
      <c r="AA2320" s="129" t="s">
        <v>138</v>
      </c>
      <c r="AB2320" s="159" t="s">
        <v>14036</v>
      </c>
      <c r="AC2320" s="129" t="s">
        <v>14037</v>
      </c>
      <c r="AD2320" s="159" t="s">
        <v>14013</v>
      </c>
      <c r="AE2320" s="156" t="s">
        <v>1042</v>
      </c>
      <c r="AF2320" s="156">
        <v>204.0</v>
      </c>
      <c r="AG2320" s="156">
        <v>1.62</v>
      </c>
      <c r="AH2320" s="159" t="s">
        <v>987</v>
      </c>
      <c r="AI2320" s="161" t="s">
        <v>1042</v>
      </c>
      <c r="AJ2320" s="379">
        <v>0.001</v>
      </c>
      <c r="AK2320" s="57" t="s">
        <v>135</v>
      </c>
      <c r="AL2320" s="159" t="s">
        <v>186</v>
      </c>
      <c r="AM2320" s="1286" t="s">
        <v>137</v>
      </c>
      <c r="AN2320" s="1370" t="s">
        <v>138</v>
      </c>
      <c r="AO2320" s="156">
        <v>63.0</v>
      </c>
      <c r="AP2320" s="1292">
        <v>1.32</v>
      </c>
      <c r="AQ2320" s="159" t="s">
        <v>987</v>
      </c>
      <c r="AR2320" s="151" t="s">
        <v>14038</v>
      </c>
      <c r="AS2320" s="156">
        <v>0.001</v>
      </c>
      <c r="AT2320" s="159" t="s">
        <v>135</v>
      </c>
      <c r="AU2320" s="159" t="s">
        <v>186</v>
      </c>
      <c r="AV2320" s="154" t="s">
        <v>137</v>
      </c>
      <c r="AW2320" s="680" t="s">
        <v>14039</v>
      </c>
      <c r="AX2320" s="159" t="s">
        <v>143</v>
      </c>
      <c r="AY2320" s="61" t="str">
        <f>IFERROR(__xludf.DUMMYFUNCTION("vlookup(BB2320,importrange(""https://docs.google.com/spreadsheets/d/1d2vevQ_7D_v35q4wCQ4RpQ_IPoTwEMB9Yp6ymwlPqew/edit?gid=984458430#gid=984458430"", ""'replication success'!A:K""), 11, FAlSE)"),"successful")</f>
        <v>successful</v>
      </c>
      <c r="AZ2320" s="91" t="str">
        <f>IFERROR(__xludf.DUMMYFUNCTION("vlookup(BB2320,importrange(""https://docs.google.com/spreadsheets/d/1d2vevQ_7D_v35q4wCQ4RpQ_IPoTwEMB9Yp6ymwlPqew/edit?gid=984458430#gid=984458430"", ""'replication success'!A:M""), 12, FAlSE)"),"https://osf.io/4ewkh")</f>
        <v>https://osf.io/4ewkh</v>
      </c>
      <c r="BA2320" s="91" t="str">
        <f>IFERROR(__xludf.DUMMYFUNCTION("vlookup(BB2320,importrange(""https://docs.google.com/spreadsheets/d/1d2vevQ_7D_v35q4wCQ4RpQ_IPoTwEMB9Yp6ymwlPqew/edit?gid=984458430#gid=984458430"", ""'replication success'!A:M""), 13, FAlSE)"),"https://osf.io/4ewkh")</f>
        <v>https://osf.io/4ewkh</v>
      </c>
      <c r="BB2320" s="61" t="str">
        <f>IFERROR(__xludf.DUMMYFUNCTION("REGEXREPLACE(G2320, ""_[a-z]{1,2}$"", """")"),"XPHI32")</f>
        <v>XPHI32</v>
      </c>
      <c r="BD2320" s="154" t="s">
        <v>249</v>
      </c>
    </row>
    <row r="2321">
      <c r="A2321" s="44">
        <v>2321.0</v>
      </c>
      <c r="B2321" s="45" t="s">
        <v>152</v>
      </c>
      <c r="C2321" s="62" t="s">
        <v>115</v>
      </c>
      <c r="D2321" s="62" t="s">
        <v>1270</v>
      </c>
      <c r="F2321" s="1286" t="s">
        <v>14040</v>
      </c>
      <c r="G2321" s="159" t="s">
        <v>14041</v>
      </c>
      <c r="H2321" s="1287" t="s">
        <v>5024</v>
      </c>
      <c r="I2321" s="152">
        <v>45331.0</v>
      </c>
      <c r="J2321" s="153">
        <v>45727.0</v>
      </c>
      <c r="K2321" s="159" t="s">
        <v>14042</v>
      </c>
      <c r="L2321" s="129" t="s">
        <v>14043</v>
      </c>
      <c r="M2321" s="159" t="s">
        <v>14044</v>
      </c>
      <c r="N2321" s="159" t="s">
        <v>14045</v>
      </c>
      <c r="O2321" s="156">
        <v>1.0</v>
      </c>
      <c r="P2321" s="159" t="str">
        <f t="shared" si="129"/>
        <v>10.1017--epi.2013.23.pdf</v>
      </c>
      <c r="Q2321" s="52" t="str">
        <f t="array" ref="Q2321"> if(iserror(MATCH(V2321, 'File Links'!C:C, 0)), "N/A", HYPERLINK(INDEX('File Links'!B:B, MATCH(P2321, 'File Links'!C:C, 0))))</f>
        <v>https://drive.google.com/file/d/1xs7muWdyYdblxSMymp-O09c44czfutsh/view?usp=drivesdk</v>
      </c>
      <c r="R2321" s="2028" t="s">
        <v>5028</v>
      </c>
      <c r="S2321" s="310" t="s">
        <v>5029</v>
      </c>
      <c r="T2321" s="2064" t="s">
        <v>14046</v>
      </c>
      <c r="U2321" s="156">
        <v>33.0</v>
      </c>
      <c r="V2321" s="159" t="str">
        <f t="shared" si="123"/>
        <v>10.1007--s13164-018-0400-9.pdf</v>
      </c>
      <c r="W2321" s="1290" t="s">
        <v>5031</v>
      </c>
      <c r="X2321" s="54" t="str">
        <f t="array" ref="X2321"> if(iserror(MATCH(V2321, 'File Links'!C:C, 0)), "N/A", HYPERLINK(INDEX('File Links'!B:B, MATCH(V2321, 'File Links'!C:C, 0))))</f>
        <v>https://drive.google.com/file/d/1hjI3aqifdfXjWhQAlvKCKKtvjuncAn5M/view?usp=drivesdk</v>
      </c>
      <c r="Y2321" s="68"/>
      <c r="Z2321" s="159" t="s">
        <v>165</v>
      </c>
      <c r="AA2321" s="129" t="s">
        <v>138</v>
      </c>
      <c r="AB2321" s="151" t="s">
        <v>14047</v>
      </c>
      <c r="AC2321" s="1370" t="s">
        <v>14048</v>
      </c>
      <c r="AD2321" s="159" t="s">
        <v>14049</v>
      </c>
      <c r="AE2321" s="156">
        <v>9.0</v>
      </c>
      <c r="AF2321" s="156">
        <v>376.0</v>
      </c>
      <c r="AG2321" s="159" t="s">
        <v>14050</v>
      </c>
      <c r="AH2321" s="159" t="s">
        <v>215</v>
      </c>
      <c r="AI2321" s="151" t="s">
        <v>613</v>
      </c>
      <c r="AJ2321" s="379">
        <v>0.001</v>
      </c>
      <c r="AK2321" s="57" t="s">
        <v>135</v>
      </c>
      <c r="AL2321" s="159" t="s">
        <v>186</v>
      </c>
      <c r="AM2321" s="1370" t="s">
        <v>137</v>
      </c>
      <c r="AN2321" s="1370" t="s">
        <v>137</v>
      </c>
      <c r="AO2321" s="156">
        <v>418.0</v>
      </c>
      <c r="AP2321" s="159" t="s">
        <v>14051</v>
      </c>
      <c r="AQ2321" s="159" t="s">
        <v>134</v>
      </c>
      <c r="AR2321" s="159" t="s">
        <v>5030</v>
      </c>
      <c r="AS2321" s="156">
        <v>0.001</v>
      </c>
      <c r="AT2321" s="159" t="s">
        <v>135</v>
      </c>
      <c r="AU2321" s="159" t="s">
        <v>186</v>
      </c>
      <c r="AV2321" s="159" t="s">
        <v>137</v>
      </c>
      <c r="AW2321" s="2064" t="s">
        <v>14052</v>
      </c>
      <c r="AX2321" s="159" t="s">
        <v>143</v>
      </c>
      <c r="AY2321" s="61" t="str">
        <f>IFERROR(__xludf.DUMMYFUNCTION("vlookup(BB2321,importrange(""https://docs.google.com/spreadsheets/d/1d2vevQ_7D_v35q4wCQ4RpQ_IPoTwEMB9Yp6ymwlPqew/edit?gid=984458430#gid=984458430"", ""'replication success'!A:K""), 11, FAlSE)"),"successful")</f>
        <v>successful</v>
      </c>
      <c r="AZ2321" s="91" t="str">
        <f>IFERROR(__xludf.DUMMYFUNCTION("vlookup(BB2321,importrange(""https://docs.google.com/spreadsheets/d/1d2vevQ_7D_v35q4wCQ4RpQ_IPoTwEMB9Yp6ymwlPqew/edit?gid=984458430#gid=984458430"", ""'replication success'!A:M""), 12, FAlSE)"),"https://osf.io/4ewkh")</f>
        <v>https://osf.io/4ewkh</v>
      </c>
      <c r="BA2321" s="91" t="str">
        <f>IFERROR(__xludf.DUMMYFUNCTION("vlookup(BB2321,importrange(""https://docs.google.com/spreadsheets/d/1d2vevQ_7D_v35q4wCQ4RpQ_IPoTwEMB9Yp6ymwlPqew/edit?gid=984458430#gid=984458430"", ""'replication success'!A:M""), 13, FAlSE)"),"https://osf.io/4ewkh")</f>
        <v>https://osf.io/4ewkh</v>
      </c>
      <c r="BB2321" s="61" t="str">
        <f>IFERROR(__xludf.DUMMYFUNCTION("REGEXREPLACE(G2321, ""_[a-z]{1,2}$"", """")"),"XPHI33")</f>
        <v>XPHI33</v>
      </c>
      <c r="BD2321" s="155" t="s">
        <v>13578</v>
      </c>
    </row>
    <row r="2322">
      <c r="A2322" s="44">
        <v>2322.0</v>
      </c>
      <c r="B2322" s="68" t="s">
        <v>114</v>
      </c>
      <c r="C2322" s="62" t="s">
        <v>115</v>
      </c>
      <c r="D2322" s="62" t="s">
        <v>248</v>
      </c>
      <c r="F2322" s="1286" t="s">
        <v>14040</v>
      </c>
      <c r="G2322" s="159" t="s">
        <v>14041</v>
      </c>
      <c r="H2322" s="1287" t="s">
        <v>249</v>
      </c>
      <c r="I2322" s="152">
        <v>45331.0</v>
      </c>
      <c r="J2322" s="153">
        <v>45727.0</v>
      </c>
      <c r="K2322" s="159" t="s">
        <v>14053</v>
      </c>
      <c r="L2322" s="68"/>
      <c r="M2322" s="159" t="s">
        <v>14044</v>
      </c>
      <c r="N2322" s="159" t="s">
        <v>14045</v>
      </c>
      <c r="O2322" s="129">
        <v>1.0</v>
      </c>
      <c r="P2322" s="159" t="s">
        <v>14054</v>
      </c>
      <c r="Q2322" s="52" t="str">
        <f t="array" ref="Q2322"> if(iserror(MATCH(V2322, 'File Links'!C:C, 0)), "N/A", HYPERLINK(INDEX('File Links'!B:B, MATCH(P2322, 'File Links'!C:C, 0))))</f>
        <v>https://drive.google.com/file/d/1xs7muWdyYdblxSMymp-O09c44czfutsh/view?usp=drivesdk</v>
      </c>
      <c r="R2322" s="2028" t="s">
        <v>5028</v>
      </c>
      <c r="S2322" s="159" t="s">
        <v>5029</v>
      </c>
      <c r="T2322" s="2007" t="s">
        <v>14046</v>
      </c>
      <c r="U2322" s="1370">
        <v>33.0</v>
      </c>
      <c r="V2322" s="159" t="str">
        <f t="shared" si="123"/>
        <v>10.1007--s13164-018-0400-9.pdf</v>
      </c>
      <c r="W2322" s="1290" t="s">
        <v>5031</v>
      </c>
      <c r="X2322" s="54" t="str">
        <f t="array" ref="X2322"> if(iserror(MATCH(V2322, 'File Links'!C:C, 0)), "N/A", HYPERLINK(INDEX('File Links'!B:B, MATCH(V2322, 'File Links'!C:C, 0))))</f>
        <v>https://drive.google.com/file/d/1hjI3aqifdfXjWhQAlvKCKKtvjuncAn5M/view?usp=drivesdk</v>
      </c>
      <c r="Y2322" s="68"/>
      <c r="Z2322" s="159" t="s">
        <v>165</v>
      </c>
      <c r="AA2322" s="129" t="s">
        <v>138</v>
      </c>
      <c r="AB2322" s="151" t="s">
        <v>14055</v>
      </c>
      <c r="AC2322" s="1370" t="s">
        <v>14048</v>
      </c>
      <c r="AD2322" s="159" t="s">
        <v>14056</v>
      </c>
      <c r="AE2322" s="159" t="s">
        <v>14057</v>
      </c>
      <c r="AF2322" s="156">
        <v>376.0</v>
      </c>
      <c r="AG2322" s="1056" t="s">
        <v>14058</v>
      </c>
      <c r="AH2322" s="119" t="s">
        <v>134</v>
      </c>
      <c r="AI2322" s="2070" t="s">
        <v>14059</v>
      </c>
      <c r="AJ2322" s="379">
        <v>0.001</v>
      </c>
      <c r="AK2322" s="57" t="s">
        <v>135</v>
      </c>
      <c r="AL2322" s="159" t="s">
        <v>186</v>
      </c>
      <c r="AM2322" s="2071" t="s">
        <v>1905</v>
      </c>
      <c r="AN2322" s="1370" t="s">
        <v>138</v>
      </c>
      <c r="AO2322" s="156">
        <v>418.0</v>
      </c>
      <c r="AP2322" s="161" t="s">
        <v>14051</v>
      </c>
      <c r="AQ2322" s="151" t="s">
        <v>134</v>
      </c>
      <c r="AR2322" s="159"/>
      <c r="AS2322" s="156">
        <v>0.001</v>
      </c>
      <c r="AT2322" s="159" t="s">
        <v>135</v>
      </c>
      <c r="AU2322" s="159" t="s">
        <v>186</v>
      </c>
      <c r="AV2322" s="2066" t="s">
        <v>1905</v>
      </c>
      <c r="AW2322" s="2064" t="s">
        <v>14052</v>
      </c>
      <c r="AX2322" s="159" t="s">
        <v>143</v>
      </c>
      <c r="AY2322" s="61" t="str">
        <f>IFERROR(__xludf.DUMMYFUNCTION("vlookup(BB2322,importrange(""https://docs.google.com/spreadsheets/d/1d2vevQ_7D_v35q4wCQ4RpQ_IPoTwEMB9Yp6ymwlPqew/edit?gid=984458430#gid=984458430"", ""'replication success'!A:K""), 11, FAlSE)"),"successful")</f>
        <v>successful</v>
      </c>
      <c r="AZ2322" s="91" t="str">
        <f>IFERROR(__xludf.DUMMYFUNCTION("vlookup(BB2322,importrange(""https://docs.google.com/spreadsheets/d/1d2vevQ_7D_v35q4wCQ4RpQ_IPoTwEMB9Yp6ymwlPqew/edit?gid=984458430#gid=984458430"", ""'replication success'!A:M""), 12, FAlSE)"),"https://osf.io/4ewkh")</f>
        <v>https://osf.io/4ewkh</v>
      </c>
      <c r="BA2322" s="91" t="str">
        <f>IFERROR(__xludf.DUMMYFUNCTION("vlookup(BB2322,importrange(""https://docs.google.com/spreadsheets/d/1d2vevQ_7D_v35q4wCQ4RpQ_IPoTwEMB9Yp6ymwlPqew/edit?gid=984458430#gid=984458430"", ""'replication success'!A:M""), 13, FAlSE)"),"https://osf.io/4ewkh")</f>
        <v>https://osf.io/4ewkh</v>
      </c>
      <c r="BB2322" s="61" t="str">
        <f>IFERROR(__xludf.DUMMYFUNCTION("REGEXREPLACE(G2322, ""_[a-z]{1,2}$"", """")"),"XPHI33")</f>
        <v>XPHI33</v>
      </c>
      <c r="BD2322" s="155" t="s">
        <v>13578</v>
      </c>
    </row>
    <row r="2323">
      <c r="A2323" s="44">
        <v>2323.0</v>
      </c>
      <c r="B2323" s="68" t="s">
        <v>152</v>
      </c>
      <c r="C2323" s="62" t="s">
        <v>115</v>
      </c>
      <c r="D2323" s="62" t="s">
        <v>1270</v>
      </c>
      <c r="F2323" s="129" t="s">
        <v>14040</v>
      </c>
      <c r="G2323" s="151" t="s">
        <v>14060</v>
      </c>
      <c r="H2323" s="1287" t="s">
        <v>5024</v>
      </c>
      <c r="I2323" s="152">
        <v>45674.0</v>
      </c>
      <c r="J2323" s="152">
        <v>45691.0</v>
      </c>
      <c r="K2323" s="68"/>
      <c r="L2323" s="68" t="s">
        <v>13642</v>
      </c>
      <c r="M2323" s="159" t="s">
        <v>14044</v>
      </c>
      <c r="N2323" s="159" t="s">
        <v>14045</v>
      </c>
      <c r="O2323" s="156">
        <v>1.0</v>
      </c>
      <c r="P2323" s="159" t="str">
        <f t="shared" ref="P2323:P2327" si="130">SUBSTITUTE(LOWER(N2323), "/", "--") &amp;  ".pdf"</f>
        <v>10.1017--epi.2013.23.pdf</v>
      </c>
      <c r="Q2323" s="52" t="str">
        <f t="array" ref="Q2323"> if(iserror(MATCH(V2323, 'File Links'!C:C, 0)), "N/A", HYPERLINK(INDEX('File Links'!B:B, MATCH(P2323, 'File Links'!C:C, 0))))</f>
        <v>https://drive.google.com/file/d/1xs7muWdyYdblxSMymp-O09c44czfutsh/view?usp=drivesdk</v>
      </c>
      <c r="R2323" s="2028" t="s">
        <v>5028</v>
      </c>
      <c r="S2323" s="310" t="s">
        <v>5029</v>
      </c>
      <c r="T2323" s="310" t="s">
        <v>5030</v>
      </c>
      <c r="U2323" s="156">
        <v>33.0</v>
      </c>
      <c r="V2323" s="159" t="str">
        <f t="shared" si="123"/>
        <v>10.1007--s13164-018-0400-9.pdf</v>
      </c>
      <c r="W2323" s="1290" t="s">
        <v>5031</v>
      </c>
      <c r="X2323" s="54" t="str">
        <f t="array" ref="X2323"> if(iserror(MATCH(V2323, 'File Links'!C:C, 0)), "N/A", HYPERLINK(INDEX('File Links'!B:B, MATCH(V2323, 'File Links'!C:C, 0))))</f>
        <v>https://drive.google.com/file/d/1hjI3aqifdfXjWhQAlvKCKKtvjuncAn5M/view?usp=drivesdk</v>
      </c>
      <c r="Y2323" s="68"/>
      <c r="Z2323" s="159" t="s">
        <v>165</v>
      </c>
      <c r="AA2323" s="129" t="s">
        <v>138</v>
      </c>
      <c r="AB2323" s="159" t="s">
        <v>14061</v>
      </c>
      <c r="AC2323" s="1370" t="s">
        <v>14048</v>
      </c>
      <c r="AD2323" s="159" t="s">
        <v>14062</v>
      </c>
      <c r="AE2323" s="156">
        <v>9.0</v>
      </c>
      <c r="AF2323" s="156">
        <v>376.0</v>
      </c>
      <c r="AG2323" s="159" t="s">
        <v>14063</v>
      </c>
      <c r="AH2323" s="151" t="s">
        <v>215</v>
      </c>
      <c r="AI2323" s="339" t="s">
        <v>628</v>
      </c>
      <c r="AJ2323" s="379">
        <v>0.05</v>
      </c>
      <c r="AK2323" s="57" t="s">
        <v>135</v>
      </c>
      <c r="AL2323" s="159" t="s">
        <v>186</v>
      </c>
      <c r="AM2323" s="57" t="s">
        <v>137</v>
      </c>
      <c r="AN2323" s="68"/>
      <c r="AO2323" s="156">
        <v>418.0</v>
      </c>
      <c r="AP2323" s="159" t="s">
        <v>12675</v>
      </c>
      <c r="AQ2323" s="159" t="s">
        <v>173</v>
      </c>
      <c r="AR2323" s="159" t="s">
        <v>14064</v>
      </c>
      <c r="AS2323" s="156">
        <v>0.001</v>
      </c>
      <c r="AT2323" s="159" t="s">
        <v>135</v>
      </c>
      <c r="AU2323" s="159" t="s">
        <v>186</v>
      </c>
      <c r="AV2323" s="159" t="s">
        <v>137</v>
      </c>
      <c r="AW2323" s="310" t="s">
        <v>14065</v>
      </c>
      <c r="AX2323" s="159" t="s">
        <v>143</v>
      </c>
      <c r="AY2323" s="61" t="str">
        <f>IFERROR(__xludf.DUMMYFUNCTION("vlookup(BB2323,importrange(""https://docs.google.com/spreadsheets/d/1d2vevQ_7D_v35q4wCQ4RpQ_IPoTwEMB9Yp6ymwlPqew/edit?gid=984458430#gid=984458430"", ""'replication success'!A:K""), 11, FAlSE)"),"successful")</f>
        <v>successful</v>
      </c>
      <c r="AZ2323" s="91" t="str">
        <f>IFERROR(__xludf.DUMMYFUNCTION("vlookup(BB2323,importrange(""https://docs.google.com/spreadsheets/d/1d2vevQ_7D_v35q4wCQ4RpQ_IPoTwEMB9Yp6ymwlPqew/edit?gid=984458430#gid=984458430"", ""'replication success'!A:M""), 12, FAlSE)"),"https://osf.io/4ewkh")</f>
        <v>https://osf.io/4ewkh</v>
      </c>
      <c r="BA2323" s="91" t="str">
        <f>IFERROR(__xludf.DUMMYFUNCTION("vlookup(BB2323,importrange(""https://docs.google.com/spreadsheets/d/1d2vevQ_7D_v35q4wCQ4RpQ_IPoTwEMB9Yp6ymwlPqew/edit?gid=984458430#gid=984458430"", ""'replication success'!A:M""), 13, FAlSE)"),"https://osf.io/4ewkh")</f>
        <v>https://osf.io/4ewkh</v>
      </c>
      <c r="BB2323" s="61" t="str">
        <f>IFERROR(__xludf.DUMMYFUNCTION("REGEXREPLACE(G2323, ""_[a-z]{1,2}$"", """")"),"XPHI33")</f>
        <v>XPHI33</v>
      </c>
      <c r="BD2323" s="154" t="s">
        <v>249</v>
      </c>
    </row>
    <row r="2324">
      <c r="A2324" s="44">
        <v>2324.0</v>
      </c>
      <c r="B2324" s="154" t="s">
        <v>152</v>
      </c>
      <c r="C2324" s="62" t="s">
        <v>115</v>
      </c>
      <c r="D2324" s="62" t="s">
        <v>1270</v>
      </c>
      <c r="F2324" s="129" t="s">
        <v>14040</v>
      </c>
      <c r="G2324" s="151" t="s">
        <v>14066</v>
      </c>
      <c r="H2324" s="1287" t="s">
        <v>5024</v>
      </c>
      <c r="I2324" s="152">
        <v>45674.0</v>
      </c>
      <c r="J2324" s="152">
        <v>45691.0</v>
      </c>
      <c r="K2324" s="68"/>
      <c r="L2324" s="68" t="s">
        <v>13642</v>
      </c>
      <c r="M2324" s="159" t="s">
        <v>14044</v>
      </c>
      <c r="N2324" s="159" t="s">
        <v>14045</v>
      </c>
      <c r="O2324" s="156">
        <v>1.0</v>
      </c>
      <c r="P2324" s="159" t="str">
        <f t="shared" si="130"/>
        <v>10.1017--epi.2013.23.pdf</v>
      </c>
      <c r="Q2324" s="52" t="str">
        <f t="array" ref="Q2324"> if(iserror(MATCH(V2324, 'File Links'!C:C, 0)), "N/A", HYPERLINK(INDEX('File Links'!B:B, MATCH(P2324, 'File Links'!C:C, 0))))</f>
        <v>https://drive.google.com/file/d/1xs7muWdyYdblxSMymp-O09c44czfutsh/view?usp=drivesdk</v>
      </c>
      <c r="R2324" s="2028" t="s">
        <v>5028</v>
      </c>
      <c r="S2324" s="310" t="s">
        <v>5029</v>
      </c>
      <c r="T2324" s="310" t="s">
        <v>5030</v>
      </c>
      <c r="U2324" s="156">
        <v>33.0</v>
      </c>
      <c r="V2324" s="159" t="str">
        <f t="shared" si="123"/>
        <v>10.1007--s13164-018-0400-9.pdf</v>
      </c>
      <c r="W2324" s="1290" t="s">
        <v>5031</v>
      </c>
      <c r="X2324" s="54" t="str">
        <f t="array" ref="X2324"> if(iserror(MATCH(V2324, 'File Links'!C:C, 0)), "N/A", HYPERLINK(INDEX('File Links'!B:B, MATCH(V2324, 'File Links'!C:C, 0))))</f>
        <v>https://drive.google.com/file/d/1hjI3aqifdfXjWhQAlvKCKKtvjuncAn5M/view?usp=drivesdk</v>
      </c>
      <c r="Y2324" s="68"/>
      <c r="Z2324" s="159" t="s">
        <v>165</v>
      </c>
      <c r="AA2324" s="129" t="s">
        <v>138</v>
      </c>
      <c r="AB2324" s="159" t="s">
        <v>14061</v>
      </c>
      <c r="AC2324" s="1370" t="s">
        <v>14048</v>
      </c>
      <c r="AD2324" s="159" t="s">
        <v>14067</v>
      </c>
      <c r="AE2324" s="156">
        <v>9.0</v>
      </c>
      <c r="AF2324" s="156">
        <v>376.0</v>
      </c>
      <c r="AG2324" s="159" t="s">
        <v>14068</v>
      </c>
      <c r="AH2324" s="151" t="s">
        <v>215</v>
      </c>
      <c r="AI2324" s="339" t="s">
        <v>628</v>
      </c>
      <c r="AJ2324" s="379">
        <v>0.05</v>
      </c>
      <c r="AK2324" s="57" t="s">
        <v>335</v>
      </c>
      <c r="AL2324" s="159" t="s">
        <v>186</v>
      </c>
      <c r="AM2324" s="57" t="s">
        <v>137</v>
      </c>
      <c r="AN2324" s="68"/>
      <c r="AO2324" s="156">
        <v>418.0</v>
      </c>
      <c r="AP2324" s="2072" t="s">
        <v>14069</v>
      </c>
      <c r="AQ2324" s="159" t="s">
        <v>173</v>
      </c>
      <c r="AR2324" s="159" t="s">
        <v>14064</v>
      </c>
      <c r="AS2324" s="156">
        <v>0.001</v>
      </c>
      <c r="AT2324" s="159" t="s">
        <v>135</v>
      </c>
      <c r="AU2324" s="159" t="s">
        <v>186</v>
      </c>
      <c r="AV2324" s="159" t="s">
        <v>137</v>
      </c>
      <c r="AW2324" s="310" t="s">
        <v>14065</v>
      </c>
      <c r="AX2324" s="159" t="s">
        <v>143</v>
      </c>
      <c r="AY2324" s="61" t="str">
        <f>IFERROR(__xludf.DUMMYFUNCTION("vlookup(BB2324,importrange(""https://docs.google.com/spreadsheets/d/1d2vevQ_7D_v35q4wCQ4RpQ_IPoTwEMB9Yp6ymwlPqew/edit?gid=984458430#gid=984458430"", ""'replication success'!A:K""), 11, FAlSE)"),"successful")</f>
        <v>successful</v>
      </c>
      <c r="AZ2324" s="91" t="str">
        <f>IFERROR(__xludf.DUMMYFUNCTION("vlookup(BB2324,importrange(""https://docs.google.com/spreadsheets/d/1d2vevQ_7D_v35q4wCQ4RpQ_IPoTwEMB9Yp6ymwlPqew/edit?gid=984458430#gid=984458430"", ""'replication success'!A:M""), 12, FAlSE)"),"https://osf.io/4ewkh")</f>
        <v>https://osf.io/4ewkh</v>
      </c>
      <c r="BA2324" s="91" t="str">
        <f>IFERROR(__xludf.DUMMYFUNCTION("vlookup(BB2324,importrange(""https://docs.google.com/spreadsheets/d/1d2vevQ_7D_v35q4wCQ4RpQ_IPoTwEMB9Yp6ymwlPqew/edit?gid=984458430#gid=984458430"", ""'replication success'!A:M""), 13, FAlSE)"),"https://osf.io/4ewkh")</f>
        <v>https://osf.io/4ewkh</v>
      </c>
      <c r="BB2324" s="61" t="str">
        <f>IFERROR(__xludf.DUMMYFUNCTION("REGEXREPLACE(G2324, ""_[a-z]{1,2}$"", """")"),"XPHI33")</f>
        <v>XPHI33</v>
      </c>
      <c r="BD2324" s="154" t="s">
        <v>249</v>
      </c>
    </row>
    <row r="2325">
      <c r="A2325" s="44">
        <v>2325.0</v>
      </c>
      <c r="B2325" s="68" t="s">
        <v>152</v>
      </c>
      <c r="C2325" s="62" t="s">
        <v>115</v>
      </c>
      <c r="D2325" s="62" t="s">
        <v>1270</v>
      </c>
      <c r="F2325" s="129" t="s">
        <v>14040</v>
      </c>
      <c r="G2325" s="151" t="s">
        <v>14070</v>
      </c>
      <c r="H2325" s="1287" t="s">
        <v>5024</v>
      </c>
      <c r="I2325" s="152">
        <v>45674.0</v>
      </c>
      <c r="J2325" s="152">
        <v>45691.0</v>
      </c>
      <c r="K2325" s="68"/>
      <c r="L2325" s="68" t="s">
        <v>13642</v>
      </c>
      <c r="M2325" s="159" t="s">
        <v>14044</v>
      </c>
      <c r="N2325" s="159" t="s">
        <v>14045</v>
      </c>
      <c r="O2325" s="156">
        <v>1.0</v>
      </c>
      <c r="P2325" s="159" t="str">
        <f t="shared" si="130"/>
        <v>10.1017--epi.2013.23.pdf</v>
      </c>
      <c r="Q2325" s="52" t="str">
        <f t="array" ref="Q2325"> if(iserror(MATCH(V2325, 'File Links'!C:C, 0)), "N/A", HYPERLINK(INDEX('File Links'!B:B, MATCH(P2325, 'File Links'!C:C, 0))))</f>
        <v>https://drive.google.com/file/d/1xs7muWdyYdblxSMymp-O09c44czfutsh/view?usp=drivesdk</v>
      </c>
      <c r="R2325" s="2028" t="s">
        <v>5028</v>
      </c>
      <c r="S2325" s="310" t="s">
        <v>5029</v>
      </c>
      <c r="T2325" s="310" t="s">
        <v>5030</v>
      </c>
      <c r="U2325" s="156">
        <v>33.0</v>
      </c>
      <c r="V2325" s="159" t="str">
        <f t="shared" si="123"/>
        <v>10.1007--s13164-018-0400-9.pdf</v>
      </c>
      <c r="W2325" s="1290" t="s">
        <v>5031</v>
      </c>
      <c r="X2325" s="54" t="str">
        <f t="array" ref="X2325"> if(iserror(MATCH(V2325, 'File Links'!C:C, 0)), "N/A", HYPERLINK(INDEX('File Links'!B:B, MATCH(V2325, 'File Links'!C:C, 0))))</f>
        <v>https://drive.google.com/file/d/1hjI3aqifdfXjWhQAlvKCKKtvjuncAn5M/view?usp=drivesdk</v>
      </c>
      <c r="Y2325" s="68"/>
      <c r="Z2325" s="159" t="s">
        <v>165</v>
      </c>
      <c r="AA2325" s="129" t="s">
        <v>138</v>
      </c>
      <c r="AB2325" s="159" t="s">
        <v>14061</v>
      </c>
      <c r="AC2325" s="1370" t="s">
        <v>14048</v>
      </c>
      <c r="AD2325" s="159" t="s">
        <v>14071</v>
      </c>
      <c r="AE2325" s="156">
        <v>9.0</v>
      </c>
      <c r="AF2325" s="156">
        <v>376.0</v>
      </c>
      <c r="AG2325" s="159" t="s">
        <v>14072</v>
      </c>
      <c r="AH2325" s="151" t="s">
        <v>215</v>
      </c>
      <c r="AI2325" s="339" t="s">
        <v>628</v>
      </c>
      <c r="AJ2325" s="379">
        <v>0.05</v>
      </c>
      <c r="AK2325" s="57" t="s">
        <v>335</v>
      </c>
      <c r="AL2325" s="159" t="s">
        <v>186</v>
      </c>
      <c r="AM2325" s="57" t="s">
        <v>137</v>
      </c>
      <c r="AN2325" s="68"/>
      <c r="AO2325" s="156">
        <v>418.0</v>
      </c>
      <c r="AP2325" s="159" t="s">
        <v>14073</v>
      </c>
      <c r="AQ2325" s="159" t="s">
        <v>173</v>
      </c>
      <c r="AR2325" s="159" t="s">
        <v>14064</v>
      </c>
      <c r="AS2325" s="156">
        <v>0.001</v>
      </c>
      <c r="AT2325" s="159" t="s">
        <v>135</v>
      </c>
      <c r="AU2325" s="159" t="s">
        <v>186</v>
      </c>
      <c r="AV2325" s="159" t="s">
        <v>137</v>
      </c>
      <c r="AW2325" s="310" t="s">
        <v>14065</v>
      </c>
      <c r="AX2325" s="159" t="s">
        <v>143</v>
      </c>
      <c r="AY2325" s="61" t="str">
        <f>IFERROR(__xludf.DUMMYFUNCTION("vlookup(BB2325,importrange(""https://docs.google.com/spreadsheets/d/1d2vevQ_7D_v35q4wCQ4RpQ_IPoTwEMB9Yp6ymwlPqew/edit?gid=984458430#gid=984458430"", ""'replication success'!A:K""), 11, FAlSE)"),"successful")</f>
        <v>successful</v>
      </c>
      <c r="AZ2325" s="91" t="str">
        <f>IFERROR(__xludf.DUMMYFUNCTION("vlookup(BB2325,importrange(""https://docs.google.com/spreadsheets/d/1d2vevQ_7D_v35q4wCQ4RpQ_IPoTwEMB9Yp6ymwlPqew/edit?gid=984458430#gid=984458430"", ""'replication success'!A:M""), 12, FAlSE)"),"https://osf.io/4ewkh")</f>
        <v>https://osf.io/4ewkh</v>
      </c>
      <c r="BA2325" s="91" t="str">
        <f>IFERROR(__xludf.DUMMYFUNCTION("vlookup(BB2325,importrange(""https://docs.google.com/spreadsheets/d/1d2vevQ_7D_v35q4wCQ4RpQ_IPoTwEMB9Yp6ymwlPqew/edit?gid=984458430#gid=984458430"", ""'replication success'!A:M""), 13, FAlSE)"),"https://osf.io/4ewkh")</f>
        <v>https://osf.io/4ewkh</v>
      </c>
      <c r="BB2325" s="61" t="str">
        <f>IFERROR(__xludf.DUMMYFUNCTION("REGEXREPLACE(G2325, ""_[a-z]{1,2}$"", """")"),"XPHI33")</f>
        <v>XPHI33</v>
      </c>
      <c r="BD2325" s="154" t="s">
        <v>249</v>
      </c>
    </row>
    <row r="2326">
      <c r="A2326" s="44">
        <v>2326.0</v>
      </c>
      <c r="B2326" s="68" t="s">
        <v>152</v>
      </c>
      <c r="C2326" s="62" t="s">
        <v>115</v>
      </c>
      <c r="D2326" s="62" t="s">
        <v>1270</v>
      </c>
      <c r="F2326" s="129" t="s">
        <v>14040</v>
      </c>
      <c r="G2326" s="151" t="s">
        <v>14074</v>
      </c>
      <c r="H2326" s="1287" t="s">
        <v>5024</v>
      </c>
      <c r="I2326" s="152">
        <v>45674.0</v>
      </c>
      <c r="J2326" s="152">
        <v>45691.0</v>
      </c>
      <c r="K2326" s="68"/>
      <c r="L2326" s="68" t="s">
        <v>13642</v>
      </c>
      <c r="M2326" s="159" t="s">
        <v>14044</v>
      </c>
      <c r="N2326" s="159" t="s">
        <v>14045</v>
      </c>
      <c r="O2326" s="156">
        <v>1.0</v>
      </c>
      <c r="P2326" s="159" t="str">
        <f t="shared" si="130"/>
        <v>10.1017--epi.2013.23.pdf</v>
      </c>
      <c r="Q2326" s="52" t="str">
        <f t="array" ref="Q2326"> if(iserror(MATCH(V2326, 'File Links'!C:C, 0)), "N/A", HYPERLINK(INDEX('File Links'!B:B, MATCH(P2326, 'File Links'!C:C, 0))))</f>
        <v>https://drive.google.com/file/d/1xs7muWdyYdblxSMymp-O09c44czfutsh/view?usp=drivesdk</v>
      </c>
      <c r="R2326" s="2028" t="s">
        <v>5028</v>
      </c>
      <c r="S2326" s="310" t="s">
        <v>5029</v>
      </c>
      <c r="T2326" s="310" t="s">
        <v>5030</v>
      </c>
      <c r="U2326" s="156">
        <v>33.0</v>
      </c>
      <c r="V2326" s="159" t="str">
        <f t="shared" si="123"/>
        <v>10.1007--s13164-018-0400-9.pdf</v>
      </c>
      <c r="W2326" s="1290" t="s">
        <v>5031</v>
      </c>
      <c r="X2326" s="54" t="str">
        <f t="array" ref="X2326"> if(iserror(MATCH(V2326, 'File Links'!C:C, 0)), "N/A", HYPERLINK(INDEX('File Links'!B:B, MATCH(V2326, 'File Links'!C:C, 0))))</f>
        <v>https://drive.google.com/file/d/1hjI3aqifdfXjWhQAlvKCKKtvjuncAn5M/view?usp=drivesdk</v>
      </c>
      <c r="Y2326" s="68"/>
      <c r="Z2326" s="159" t="s">
        <v>165</v>
      </c>
      <c r="AA2326" s="129" t="s">
        <v>138</v>
      </c>
      <c r="AB2326" s="159" t="s">
        <v>14061</v>
      </c>
      <c r="AC2326" s="1370" t="s">
        <v>14048</v>
      </c>
      <c r="AD2326" s="159" t="s">
        <v>14075</v>
      </c>
      <c r="AE2326" s="156">
        <v>9.0</v>
      </c>
      <c r="AF2326" s="156">
        <v>376.0</v>
      </c>
      <c r="AG2326" s="159" t="s">
        <v>14076</v>
      </c>
      <c r="AH2326" s="151" t="s">
        <v>215</v>
      </c>
      <c r="AI2326" s="339" t="s">
        <v>628</v>
      </c>
      <c r="AJ2326" s="379">
        <v>1.0E-4</v>
      </c>
      <c r="AK2326" s="57" t="s">
        <v>135</v>
      </c>
      <c r="AL2326" s="159" t="s">
        <v>186</v>
      </c>
      <c r="AM2326" s="57" t="s">
        <v>137</v>
      </c>
      <c r="AN2326" s="68"/>
      <c r="AO2326" s="156">
        <v>418.0</v>
      </c>
      <c r="AP2326" s="159" t="s">
        <v>14077</v>
      </c>
      <c r="AQ2326" s="159" t="s">
        <v>173</v>
      </c>
      <c r="AR2326" s="159" t="s">
        <v>14064</v>
      </c>
      <c r="AS2326" s="156">
        <v>0.04</v>
      </c>
      <c r="AT2326" s="159" t="s">
        <v>172</v>
      </c>
      <c r="AU2326" s="159" t="s">
        <v>186</v>
      </c>
      <c r="AV2326" s="159" t="s">
        <v>137</v>
      </c>
      <c r="AW2326" s="310" t="s">
        <v>14065</v>
      </c>
      <c r="AX2326" s="159" t="s">
        <v>143</v>
      </c>
      <c r="AY2326" s="61" t="str">
        <f>IFERROR(__xludf.DUMMYFUNCTION("vlookup(BB2326,importrange(""https://docs.google.com/spreadsheets/d/1d2vevQ_7D_v35q4wCQ4RpQ_IPoTwEMB9Yp6ymwlPqew/edit?gid=984458430#gid=984458430"", ""'replication success'!A:K""), 11, FAlSE)"),"successful")</f>
        <v>successful</v>
      </c>
      <c r="AZ2326" s="91" t="str">
        <f>IFERROR(__xludf.DUMMYFUNCTION("vlookup(BB2326,importrange(""https://docs.google.com/spreadsheets/d/1d2vevQ_7D_v35q4wCQ4RpQ_IPoTwEMB9Yp6ymwlPqew/edit?gid=984458430#gid=984458430"", ""'replication success'!A:M""), 12, FAlSE)"),"https://osf.io/4ewkh")</f>
        <v>https://osf.io/4ewkh</v>
      </c>
      <c r="BA2326" s="91" t="str">
        <f>IFERROR(__xludf.DUMMYFUNCTION("vlookup(BB2326,importrange(""https://docs.google.com/spreadsheets/d/1d2vevQ_7D_v35q4wCQ4RpQ_IPoTwEMB9Yp6ymwlPqew/edit?gid=984458430#gid=984458430"", ""'replication success'!A:M""), 13, FAlSE)"),"https://osf.io/4ewkh")</f>
        <v>https://osf.io/4ewkh</v>
      </c>
      <c r="BB2326" s="61" t="str">
        <f>IFERROR(__xludf.DUMMYFUNCTION("REGEXREPLACE(G2326, ""_[a-z]{1,2}$"", """")"),"XPHI33")</f>
        <v>XPHI33</v>
      </c>
      <c r="BD2326" s="154" t="s">
        <v>249</v>
      </c>
    </row>
    <row r="2327">
      <c r="A2327" s="44">
        <v>2327.0</v>
      </c>
      <c r="B2327" s="45" t="s">
        <v>152</v>
      </c>
      <c r="C2327" s="62" t="s">
        <v>115</v>
      </c>
      <c r="D2327" s="62" t="s">
        <v>1270</v>
      </c>
      <c r="F2327" s="1286" t="s">
        <v>14078</v>
      </c>
      <c r="G2327" s="159" t="s">
        <v>14079</v>
      </c>
      <c r="H2327" s="1287" t="s">
        <v>5024</v>
      </c>
      <c r="I2327" s="152">
        <v>45331.0</v>
      </c>
      <c r="J2327" s="153">
        <v>45727.0</v>
      </c>
      <c r="K2327" s="159" t="s">
        <v>14080</v>
      </c>
      <c r="L2327" s="129" t="s">
        <v>14043</v>
      </c>
      <c r="M2327" s="159" t="s">
        <v>14081</v>
      </c>
      <c r="N2327" s="159" t="s">
        <v>14082</v>
      </c>
      <c r="O2327" s="156">
        <v>1.0</v>
      </c>
      <c r="P2327" s="159" t="str">
        <f t="shared" si="130"/>
        <v>10.1007--s13164-013-0154-3.pdf</v>
      </c>
      <c r="Q2327" s="52" t="str">
        <f t="array" ref="Q2327"> if(iserror(MATCH(V2327, 'File Links'!C:C, 0)), "N/A", HYPERLINK(INDEX('File Links'!B:B, MATCH(P2327, 'File Links'!C:C, 0))))</f>
        <v>https://drive.google.com/file/d/1sQtBrEeqN1XM_1Qv0mJvDeDfWVWHohWY/view?usp=drivesdk</v>
      </c>
      <c r="R2327" s="2028" t="s">
        <v>5028</v>
      </c>
      <c r="S2327" s="310" t="s">
        <v>5029</v>
      </c>
      <c r="T2327" s="2064" t="s">
        <v>14083</v>
      </c>
      <c r="U2327" s="156">
        <v>34.0</v>
      </c>
      <c r="V2327" s="159" t="str">
        <f t="shared" si="123"/>
        <v>10.1007--s13164-018-0400-9.pdf</v>
      </c>
      <c r="W2327" s="1290" t="s">
        <v>5031</v>
      </c>
      <c r="X2327" s="54" t="str">
        <f t="array" ref="X2327"> if(iserror(MATCH(V2327, 'File Links'!C:C, 0)), "N/A", HYPERLINK(INDEX('File Links'!B:B, MATCH(V2327, 'File Links'!C:C, 0))))</f>
        <v>https://drive.google.com/file/d/1hjI3aqifdfXjWhQAlvKCKKtvjuncAn5M/view?usp=drivesdk</v>
      </c>
      <c r="Y2327" s="68"/>
      <c r="Z2327" s="159" t="s">
        <v>165</v>
      </c>
      <c r="AA2327" s="129" t="s">
        <v>138</v>
      </c>
      <c r="AB2327" s="151" t="s">
        <v>14084</v>
      </c>
      <c r="AC2327" s="1370" t="s">
        <v>14085</v>
      </c>
      <c r="AD2327" s="151" t="s">
        <v>14086</v>
      </c>
      <c r="AE2327" s="156">
        <v>8.0</v>
      </c>
      <c r="AF2327" s="156">
        <v>60.0</v>
      </c>
      <c r="AG2327" s="151" t="s">
        <v>14087</v>
      </c>
      <c r="AH2327" s="159" t="s">
        <v>134</v>
      </c>
      <c r="AI2327" s="339" t="s">
        <v>613</v>
      </c>
      <c r="AJ2327" s="379">
        <v>0.3421</v>
      </c>
      <c r="AK2327" s="57" t="s">
        <v>172</v>
      </c>
      <c r="AL2327" s="159" t="s">
        <v>186</v>
      </c>
      <c r="AM2327" s="1116" t="s">
        <v>137</v>
      </c>
      <c r="AN2327" s="1370" t="s">
        <v>138</v>
      </c>
      <c r="AO2327" s="156">
        <v>155.0</v>
      </c>
      <c r="AP2327" s="151" t="s">
        <v>14088</v>
      </c>
      <c r="AQ2327" s="1370" t="s">
        <v>134</v>
      </c>
      <c r="AR2327" s="2073" t="s">
        <v>14089</v>
      </c>
      <c r="AS2327" s="156">
        <v>0.656</v>
      </c>
      <c r="AT2327" s="159" t="s">
        <v>172</v>
      </c>
      <c r="AU2327" s="159" t="s">
        <v>186</v>
      </c>
      <c r="AV2327" s="151" t="s">
        <v>137</v>
      </c>
      <c r="AW2327" s="2064" t="s">
        <v>14090</v>
      </c>
      <c r="AX2327" s="159" t="s">
        <v>143</v>
      </c>
      <c r="AY2327" s="61" t="str">
        <f>IFERROR(__xludf.DUMMYFUNCTION("vlookup(BB2327,importrange(""https://docs.google.com/spreadsheets/d/1d2vevQ_7D_v35q4wCQ4RpQ_IPoTwEMB9Yp6ymwlPqew/edit?gid=984458430#gid=984458430"", ""'replication success'!A:K""), 11, FAlSE)"),"successful")</f>
        <v>successful</v>
      </c>
      <c r="AZ2327" s="91" t="str">
        <f>IFERROR(__xludf.DUMMYFUNCTION("vlookup(BB2327,importrange(""https://docs.google.com/spreadsheets/d/1d2vevQ_7D_v35q4wCQ4RpQ_IPoTwEMB9Yp6ymwlPqew/edit?gid=984458430#gid=984458430"", ""'replication success'!A:M""), 12, FAlSE)"),"https://osf.io/4ewkh")</f>
        <v>https://osf.io/4ewkh</v>
      </c>
      <c r="BA2327" s="91" t="str">
        <f>IFERROR(__xludf.DUMMYFUNCTION("vlookup(BB2327,importrange(""https://docs.google.com/spreadsheets/d/1d2vevQ_7D_v35q4wCQ4RpQ_IPoTwEMB9Yp6ymwlPqew/edit?gid=984458430#gid=984458430"", ""'replication success'!A:M""), 13, FAlSE)"),"https://osf.io/4ewkh")</f>
        <v>https://osf.io/4ewkh</v>
      </c>
      <c r="BB2327" s="61" t="str">
        <f>IFERROR(__xludf.DUMMYFUNCTION("REGEXREPLACE(G2327, ""_[a-z]{1,2}$"", """")"),"XPHI34")</f>
        <v>XPHI34</v>
      </c>
      <c r="BD2327" s="155" t="s">
        <v>13578</v>
      </c>
    </row>
    <row r="2328">
      <c r="A2328" s="44">
        <v>2328.0</v>
      </c>
      <c r="B2328" s="154" t="s">
        <v>114</v>
      </c>
      <c r="C2328" s="62" t="s">
        <v>115</v>
      </c>
      <c r="D2328" s="62" t="s">
        <v>248</v>
      </c>
      <c r="F2328" s="1286" t="s">
        <v>14078</v>
      </c>
      <c r="G2328" s="159" t="s">
        <v>14079</v>
      </c>
      <c r="H2328" s="1287" t="s">
        <v>249</v>
      </c>
      <c r="I2328" s="152">
        <v>45331.0</v>
      </c>
      <c r="J2328" s="153">
        <v>45727.0</v>
      </c>
      <c r="K2328" s="159" t="s">
        <v>14091</v>
      </c>
      <c r="M2328" s="159" t="s">
        <v>14081</v>
      </c>
      <c r="N2328" s="159" t="s">
        <v>14082</v>
      </c>
      <c r="O2328" s="156">
        <v>1.0</v>
      </c>
      <c r="P2328" s="159" t="s">
        <v>14092</v>
      </c>
      <c r="Q2328" s="52" t="str">
        <f t="array" ref="Q2328"> if(iserror(MATCH(V2328, 'File Links'!C:C, 0)), "N/A", HYPERLINK(INDEX('File Links'!B:B, MATCH(P2328, 'File Links'!C:C, 0))))</f>
        <v>https://drive.google.com/file/d/1sQtBrEeqN1XM_1Qv0mJvDeDfWVWHohWY/view?usp=drivesdk</v>
      </c>
      <c r="R2328" s="2028" t="s">
        <v>5028</v>
      </c>
      <c r="S2328" s="159" t="s">
        <v>5029</v>
      </c>
      <c r="T2328" s="2007" t="s">
        <v>14083</v>
      </c>
      <c r="U2328" s="1370">
        <v>34.0</v>
      </c>
      <c r="V2328" s="159" t="str">
        <f t="shared" si="123"/>
        <v>10.1007--s13164-018-0400-9.pdf</v>
      </c>
      <c r="W2328" s="1290" t="s">
        <v>5031</v>
      </c>
      <c r="X2328" s="54" t="str">
        <f t="array" ref="X2328"> if(iserror(MATCH(V2328, 'File Links'!C:C, 0)), "N/A", HYPERLINK(INDEX('File Links'!B:B, MATCH(V2328, 'File Links'!C:C, 0))))</f>
        <v>https://drive.google.com/file/d/1hjI3aqifdfXjWhQAlvKCKKtvjuncAn5M/view?usp=drivesdk</v>
      </c>
      <c r="Y2328" s="68"/>
      <c r="Z2328" s="159" t="s">
        <v>165</v>
      </c>
      <c r="AA2328" s="129" t="s">
        <v>138</v>
      </c>
      <c r="AB2328" s="151" t="s">
        <v>14093</v>
      </c>
      <c r="AC2328" s="1370" t="s">
        <v>14085</v>
      </c>
      <c r="AD2328" s="159" t="s">
        <v>14094</v>
      </c>
      <c r="AE2328" s="159" t="s">
        <v>132</v>
      </c>
      <c r="AF2328" s="864">
        <v>60.0</v>
      </c>
      <c r="AG2328" s="159" t="s">
        <v>138</v>
      </c>
      <c r="AH2328" s="68"/>
      <c r="AI2328" s="2057" t="s">
        <v>14095</v>
      </c>
      <c r="AJ2328" s="379">
        <v>0.3421</v>
      </c>
      <c r="AK2328" s="57" t="s">
        <v>172</v>
      </c>
      <c r="AL2328" s="159" t="s">
        <v>186</v>
      </c>
      <c r="AM2328" s="2071" t="s">
        <v>1905</v>
      </c>
      <c r="AN2328" s="1370" t="s">
        <v>138</v>
      </c>
      <c r="AO2328" s="156">
        <v>155.0</v>
      </c>
      <c r="AP2328" s="159" t="s">
        <v>138</v>
      </c>
      <c r="AQ2328" s="68"/>
      <c r="AR2328" s="151" t="s">
        <v>14096</v>
      </c>
      <c r="AS2328" s="156">
        <v>0.656</v>
      </c>
      <c r="AT2328" s="159" t="s">
        <v>172</v>
      </c>
      <c r="AU2328" s="159" t="s">
        <v>186</v>
      </c>
      <c r="AV2328" s="154" t="s">
        <v>1905</v>
      </c>
      <c r="AW2328" s="2064" t="s">
        <v>14090</v>
      </c>
      <c r="AX2328" s="154" t="s">
        <v>143</v>
      </c>
      <c r="AY2328" s="61" t="str">
        <f>IFERROR(__xludf.DUMMYFUNCTION("vlookup(BB2328,importrange(""https://docs.google.com/spreadsheets/d/1d2vevQ_7D_v35q4wCQ4RpQ_IPoTwEMB9Yp6ymwlPqew/edit?gid=984458430#gid=984458430"", ""'replication success'!A:K""), 11, FAlSE)"),"successful")</f>
        <v>successful</v>
      </c>
      <c r="AZ2328" s="91" t="str">
        <f>IFERROR(__xludf.DUMMYFUNCTION("vlookup(BB2328,importrange(""https://docs.google.com/spreadsheets/d/1d2vevQ_7D_v35q4wCQ4RpQ_IPoTwEMB9Yp6ymwlPqew/edit?gid=984458430#gid=984458430"", ""'replication success'!A:M""), 12, FAlSE)"),"https://osf.io/4ewkh")</f>
        <v>https://osf.io/4ewkh</v>
      </c>
      <c r="BA2328" s="91" t="str">
        <f>IFERROR(__xludf.DUMMYFUNCTION("vlookup(BB2328,importrange(""https://docs.google.com/spreadsheets/d/1d2vevQ_7D_v35q4wCQ4RpQ_IPoTwEMB9Yp6ymwlPqew/edit?gid=984458430#gid=984458430"", ""'replication success'!A:M""), 13, FAlSE)"),"https://osf.io/4ewkh")</f>
        <v>https://osf.io/4ewkh</v>
      </c>
      <c r="BB2328" s="61" t="str">
        <f>IFERROR(__xludf.DUMMYFUNCTION("REGEXREPLACE(G2328, ""_[a-z]{1,2}$"", """")"),"XPHI34")</f>
        <v>XPHI34</v>
      </c>
      <c r="BD2328" s="155" t="s">
        <v>13578</v>
      </c>
    </row>
    <row r="2329">
      <c r="A2329" s="44">
        <v>2329.0</v>
      </c>
      <c r="B2329" s="45" t="s">
        <v>152</v>
      </c>
      <c r="C2329" s="62" t="s">
        <v>115</v>
      </c>
      <c r="D2329" s="62" t="s">
        <v>1270</v>
      </c>
      <c r="F2329" s="1286" t="s">
        <v>14097</v>
      </c>
      <c r="G2329" s="159" t="s">
        <v>14098</v>
      </c>
      <c r="H2329" s="1287" t="s">
        <v>5024</v>
      </c>
      <c r="I2329" s="152">
        <v>45331.0</v>
      </c>
      <c r="J2329" s="153">
        <v>45727.0</v>
      </c>
      <c r="K2329" s="159" t="s">
        <v>14099</v>
      </c>
      <c r="L2329" s="129" t="s">
        <v>14100</v>
      </c>
      <c r="M2329" s="159" t="s">
        <v>14101</v>
      </c>
      <c r="N2329" s="159" t="s">
        <v>14102</v>
      </c>
      <c r="O2329" s="156">
        <v>1.0</v>
      </c>
      <c r="P2329" s="159" t="str">
        <f>SUBSTITUTE(LOWER(N2329), "/", "--") &amp;  ".pdf"</f>
        <v>10.1111--j.1933-1592.2012.00609.x.pdf</v>
      </c>
      <c r="Q2329" s="52" t="str">
        <f t="array" ref="Q2329"> if(iserror(MATCH(V2329, 'File Links'!C:C, 0)), "N/A", HYPERLINK(INDEX('File Links'!B:B, MATCH(P2329, 'File Links'!C:C, 0))))</f>
        <v>https://drive.google.com/file/d/1vevfUy0iTc6NQfF1T-jwqjcTM_yHdsf0/view?usp=drivesdk</v>
      </c>
      <c r="R2329" s="2028" t="s">
        <v>5028</v>
      </c>
      <c r="S2329" s="310" t="s">
        <v>5029</v>
      </c>
      <c r="T2329" s="2064" t="s">
        <v>14103</v>
      </c>
      <c r="U2329" s="156">
        <v>35.0</v>
      </c>
      <c r="V2329" s="159" t="str">
        <f t="shared" si="123"/>
        <v>10.1007--s13164-018-0400-9.pdf</v>
      </c>
      <c r="W2329" s="1290" t="s">
        <v>5031</v>
      </c>
      <c r="X2329" s="54" t="str">
        <f t="array" ref="X2329"> if(iserror(MATCH(V2329, 'File Links'!C:C, 0)), "N/A", HYPERLINK(INDEX('File Links'!B:B, MATCH(V2329, 'File Links'!C:C, 0))))</f>
        <v>https://drive.google.com/file/d/1hjI3aqifdfXjWhQAlvKCKKtvjuncAn5M/view?usp=drivesdk</v>
      </c>
      <c r="Y2329" s="68"/>
      <c r="Z2329" s="159" t="s">
        <v>165</v>
      </c>
      <c r="AA2329" s="129" t="s">
        <v>138</v>
      </c>
      <c r="AB2329" s="159" t="s">
        <v>14104</v>
      </c>
      <c r="AC2329" s="2074" t="s">
        <v>14105</v>
      </c>
      <c r="AD2329" s="159" t="s">
        <v>14106</v>
      </c>
      <c r="AE2329" s="159" t="s">
        <v>13963</v>
      </c>
      <c r="AF2329" s="864">
        <v>249.0</v>
      </c>
      <c r="AG2329" s="1116" t="s">
        <v>14107</v>
      </c>
      <c r="AH2329" s="159" t="s">
        <v>134</v>
      </c>
      <c r="AI2329" s="339" t="s">
        <v>627</v>
      </c>
      <c r="AJ2329" s="1117">
        <v>0.022</v>
      </c>
      <c r="AK2329" s="57" t="s">
        <v>172</v>
      </c>
      <c r="AL2329" s="159" t="s">
        <v>186</v>
      </c>
      <c r="AM2329" s="1116" t="s">
        <v>137</v>
      </c>
      <c r="AN2329" s="68"/>
      <c r="AO2329" s="156">
        <v>335.0</v>
      </c>
      <c r="AP2329" s="1116" t="s">
        <v>14108</v>
      </c>
      <c r="AQ2329" s="129" t="s">
        <v>134</v>
      </c>
      <c r="AR2329" s="2073" t="s">
        <v>14109</v>
      </c>
      <c r="AS2329" s="156">
        <v>1.0E-4</v>
      </c>
      <c r="AT2329" s="159" t="s">
        <v>172</v>
      </c>
      <c r="AU2329" s="159" t="s">
        <v>186</v>
      </c>
      <c r="AV2329" s="1116" t="s">
        <v>137</v>
      </c>
      <c r="AW2329" s="2064" t="s">
        <v>14110</v>
      </c>
      <c r="AX2329" s="159" t="s">
        <v>143</v>
      </c>
      <c r="AY2329" s="61" t="str">
        <f>IFERROR(__xludf.DUMMYFUNCTION("vlookup(BB2329,importrange(""https://docs.google.com/spreadsheets/d/1d2vevQ_7D_v35q4wCQ4RpQ_IPoTwEMB9Yp6ymwlPqew/edit?gid=984458430#gid=984458430"", ""'replication success'!A:K""), 11, FAlSE)"),"successful")</f>
        <v>successful</v>
      </c>
      <c r="AZ2329" s="91" t="str">
        <f>IFERROR(__xludf.DUMMYFUNCTION("vlookup(BB2329,importrange(""https://docs.google.com/spreadsheets/d/1d2vevQ_7D_v35q4wCQ4RpQ_IPoTwEMB9Yp6ymwlPqew/edit?gid=984458430#gid=984458430"", ""'replication success'!A:M""), 12, FAlSE)"),"https://osf.io/4ewkh")</f>
        <v>https://osf.io/4ewkh</v>
      </c>
      <c r="BA2329" s="91" t="str">
        <f>IFERROR(__xludf.DUMMYFUNCTION("vlookup(BB2329,importrange(""https://docs.google.com/spreadsheets/d/1d2vevQ_7D_v35q4wCQ4RpQ_IPoTwEMB9Yp6ymwlPqew/edit?gid=984458430#gid=984458430"", ""'replication success'!A:M""), 13, FAlSE)"),"https://osf.io/4ewkh")</f>
        <v>https://osf.io/4ewkh</v>
      </c>
      <c r="BB2329" s="61" t="str">
        <f>IFERROR(__xludf.DUMMYFUNCTION("REGEXREPLACE(G2329, ""_[a-z]{1,2}$"", """")"),"XPHI35")</f>
        <v>XPHI35</v>
      </c>
      <c r="BD2329" s="155" t="s">
        <v>13578</v>
      </c>
    </row>
    <row r="2330">
      <c r="A2330" s="44">
        <v>2330.0</v>
      </c>
      <c r="B2330" s="68" t="s">
        <v>114</v>
      </c>
      <c r="C2330" s="62" t="s">
        <v>115</v>
      </c>
      <c r="D2330" s="62" t="s">
        <v>248</v>
      </c>
      <c r="F2330" s="1286" t="s">
        <v>14097</v>
      </c>
      <c r="G2330" s="159" t="s">
        <v>14098</v>
      </c>
      <c r="H2330" s="1287" t="s">
        <v>249</v>
      </c>
      <c r="I2330" s="152">
        <v>45331.0</v>
      </c>
      <c r="J2330" s="153">
        <v>45727.0</v>
      </c>
      <c r="K2330" s="159" t="s">
        <v>14111</v>
      </c>
      <c r="L2330" s="68"/>
      <c r="M2330" s="159" t="s">
        <v>14101</v>
      </c>
      <c r="N2330" s="159" t="s">
        <v>14102</v>
      </c>
      <c r="O2330" s="129">
        <v>1.0</v>
      </c>
      <c r="P2330" s="159" t="s">
        <v>14112</v>
      </c>
      <c r="Q2330" s="52" t="str">
        <f t="array" ref="Q2330"> if(iserror(MATCH(V2330, 'File Links'!C:C, 0)), "N/A", HYPERLINK(INDEX('File Links'!B:B, MATCH(P2330, 'File Links'!C:C, 0))))</f>
        <v>https://drive.google.com/file/d/1vevfUy0iTc6NQfF1T-jwqjcTM_yHdsf0/view?usp=drivesdk</v>
      </c>
      <c r="R2330" s="2028" t="s">
        <v>5028</v>
      </c>
      <c r="S2330" s="159" t="s">
        <v>5029</v>
      </c>
      <c r="T2330" s="2007" t="s">
        <v>14103</v>
      </c>
      <c r="U2330" s="1370">
        <v>35.0</v>
      </c>
      <c r="V2330" s="159" t="str">
        <f t="shared" si="123"/>
        <v>10.1007--s13164-018-0400-9.pdf</v>
      </c>
      <c r="W2330" s="1290" t="s">
        <v>5031</v>
      </c>
      <c r="X2330" s="54" t="str">
        <f t="array" ref="X2330"> if(iserror(MATCH(V2330, 'File Links'!C:C, 0)), "N/A", HYPERLINK(INDEX('File Links'!B:B, MATCH(V2330, 'File Links'!C:C, 0))))</f>
        <v>https://drive.google.com/file/d/1hjI3aqifdfXjWhQAlvKCKKtvjuncAn5M/view?usp=drivesdk</v>
      </c>
      <c r="Y2330" s="68"/>
      <c r="Z2330" s="159" t="s">
        <v>165</v>
      </c>
      <c r="AA2330" s="129" t="s">
        <v>138</v>
      </c>
      <c r="AB2330" s="159" t="s">
        <v>5041</v>
      </c>
      <c r="AC2330" s="2074" t="s">
        <v>14105</v>
      </c>
      <c r="AD2330" s="159" t="s">
        <v>14113</v>
      </c>
      <c r="AE2330" s="159" t="s">
        <v>627</v>
      </c>
      <c r="AF2330" s="156">
        <v>249.0</v>
      </c>
      <c r="AG2330" s="68"/>
      <c r="AH2330" s="68"/>
      <c r="AI2330" s="2059" t="s">
        <v>14114</v>
      </c>
      <c r="AJ2330" s="379">
        <v>0.022</v>
      </c>
      <c r="AK2330" s="57" t="s">
        <v>172</v>
      </c>
      <c r="AL2330" s="159" t="s">
        <v>186</v>
      </c>
      <c r="AM2330" s="1116" t="s">
        <v>137</v>
      </c>
      <c r="AN2330" s="1370" t="s">
        <v>138</v>
      </c>
      <c r="AO2330" s="156">
        <v>335.0</v>
      </c>
      <c r="AP2330" s="159" t="s">
        <v>138</v>
      </c>
      <c r="AQ2330" s="68"/>
      <c r="AR2330" s="159" t="s">
        <v>14115</v>
      </c>
      <c r="AS2330" s="156">
        <v>1.0E-4</v>
      </c>
      <c r="AT2330" s="159" t="s">
        <v>172</v>
      </c>
      <c r="AU2330" s="159" t="s">
        <v>186</v>
      </c>
      <c r="AV2330" s="154" t="s">
        <v>1905</v>
      </c>
      <c r="AW2330" s="2064" t="s">
        <v>14110</v>
      </c>
      <c r="AX2330" s="154" t="s">
        <v>143</v>
      </c>
      <c r="AY2330" s="61" t="str">
        <f>IFERROR(__xludf.DUMMYFUNCTION("vlookup(BB2330,importrange(""https://docs.google.com/spreadsheets/d/1d2vevQ_7D_v35q4wCQ4RpQ_IPoTwEMB9Yp6ymwlPqew/edit?gid=984458430#gid=984458430"", ""'replication success'!A:K""), 11, FAlSE)"),"successful")</f>
        <v>successful</v>
      </c>
      <c r="AZ2330" s="91" t="str">
        <f>IFERROR(__xludf.DUMMYFUNCTION("vlookup(BB2330,importrange(""https://docs.google.com/spreadsheets/d/1d2vevQ_7D_v35q4wCQ4RpQ_IPoTwEMB9Yp6ymwlPqew/edit?gid=984458430#gid=984458430"", ""'replication success'!A:M""), 12, FAlSE)"),"https://osf.io/4ewkh")</f>
        <v>https://osf.io/4ewkh</v>
      </c>
      <c r="BA2330" s="91" t="str">
        <f>IFERROR(__xludf.DUMMYFUNCTION("vlookup(BB2330,importrange(""https://docs.google.com/spreadsheets/d/1d2vevQ_7D_v35q4wCQ4RpQ_IPoTwEMB9Yp6ymwlPqew/edit?gid=984458430#gid=984458430"", ""'replication success'!A:M""), 13, FAlSE)"),"https://osf.io/4ewkh")</f>
        <v>https://osf.io/4ewkh</v>
      </c>
      <c r="BB2330" s="61" t="str">
        <f>IFERROR(__xludf.DUMMYFUNCTION("REGEXREPLACE(G2330, ""_[a-z]{1,2}$"", """")"),"XPHI35")</f>
        <v>XPHI35</v>
      </c>
      <c r="BD2330" s="155" t="s">
        <v>13578</v>
      </c>
    </row>
    <row r="2331">
      <c r="A2331" s="44">
        <v>2331.0</v>
      </c>
      <c r="B2331" s="68" t="s">
        <v>152</v>
      </c>
      <c r="C2331" s="62" t="s">
        <v>115</v>
      </c>
      <c r="D2331" s="62" t="s">
        <v>1270</v>
      </c>
      <c r="F2331" s="61" t="s">
        <v>14097</v>
      </c>
      <c r="G2331" s="151" t="s">
        <v>14116</v>
      </c>
      <c r="H2331" s="1287" t="s">
        <v>5024</v>
      </c>
      <c r="I2331" s="152">
        <v>45674.0</v>
      </c>
      <c r="J2331" s="68"/>
      <c r="K2331" s="159" t="s">
        <v>14117</v>
      </c>
      <c r="L2331" s="68" t="s">
        <v>14118</v>
      </c>
      <c r="M2331" s="159" t="s">
        <v>14101</v>
      </c>
      <c r="N2331" s="159" t="s">
        <v>14102</v>
      </c>
      <c r="O2331" s="156">
        <v>1.0</v>
      </c>
      <c r="P2331" s="159" t="str">
        <f t="shared" ref="P2331:P2333" si="131">SUBSTITUTE(LOWER(N2331), "/", "--") &amp;  ".pdf"</f>
        <v>10.1111--j.1933-1592.2012.00609.x.pdf</v>
      </c>
      <c r="Q2331" s="52" t="str">
        <f t="array" ref="Q2331"> if(iserror(MATCH(V2331, 'File Links'!C:C, 0)), "N/A", HYPERLINK(INDEX('File Links'!B:B, MATCH(P2331, 'File Links'!C:C, 0))))</f>
        <v>https://drive.google.com/file/d/1vevfUy0iTc6NQfF1T-jwqjcTM_yHdsf0/view?usp=drivesdk</v>
      </c>
      <c r="R2331" s="2028" t="s">
        <v>5028</v>
      </c>
      <c r="S2331" s="310" t="s">
        <v>5029</v>
      </c>
      <c r="T2331" s="310" t="s">
        <v>5030</v>
      </c>
      <c r="U2331" s="156">
        <v>35.0</v>
      </c>
      <c r="V2331" s="159" t="str">
        <f t="shared" si="123"/>
        <v>10.1007--s13164-018-0400-9.pdf</v>
      </c>
      <c r="W2331" s="1290" t="s">
        <v>5031</v>
      </c>
      <c r="X2331" s="54" t="str">
        <f t="array" ref="X2331"> if(iserror(MATCH(V2331, 'File Links'!C:C, 0)), "N/A", HYPERLINK(INDEX('File Links'!B:B, MATCH(V2331, 'File Links'!C:C, 0))))</f>
        <v>https://drive.google.com/file/d/1hjI3aqifdfXjWhQAlvKCKKtvjuncAn5M/view?usp=drivesdk</v>
      </c>
      <c r="Y2331" s="68"/>
      <c r="Z2331" s="159" t="s">
        <v>165</v>
      </c>
      <c r="AA2331" s="129" t="s">
        <v>138</v>
      </c>
      <c r="AB2331" s="159" t="s">
        <v>14104</v>
      </c>
      <c r="AC2331" s="2074" t="s">
        <v>14105</v>
      </c>
      <c r="AD2331" s="159" t="s">
        <v>14119</v>
      </c>
      <c r="AE2331" s="156">
        <v>16.0</v>
      </c>
      <c r="AF2331" s="156">
        <v>134.0</v>
      </c>
      <c r="AG2331" s="159" t="s">
        <v>14120</v>
      </c>
      <c r="AH2331" s="159" t="s">
        <v>134</v>
      </c>
      <c r="AI2331" s="339" t="s">
        <v>182</v>
      </c>
      <c r="AJ2331" s="379">
        <v>0.004</v>
      </c>
      <c r="AK2331" s="57" t="s">
        <v>172</v>
      </c>
      <c r="AL2331" s="159" t="s">
        <v>186</v>
      </c>
      <c r="AM2331" s="57" t="s">
        <v>137</v>
      </c>
      <c r="AN2331" s="68"/>
      <c r="AO2331" s="156">
        <v>335.0</v>
      </c>
      <c r="AP2331" s="159" t="s">
        <v>14121</v>
      </c>
      <c r="AQ2331" s="2075" t="s">
        <v>215</v>
      </c>
      <c r="AR2331" s="2076" t="s">
        <v>2771</v>
      </c>
      <c r="AS2331" s="156">
        <v>0.001</v>
      </c>
      <c r="AT2331" s="159" t="s">
        <v>135</v>
      </c>
      <c r="AU2331" s="159" t="s">
        <v>186</v>
      </c>
      <c r="AV2331" s="159" t="s">
        <v>137</v>
      </c>
      <c r="AW2331" s="310" t="s">
        <v>14122</v>
      </c>
      <c r="AX2331" s="159" t="s">
        <v>143</v>
      </c>
      <c r="AY2331" s="61" t="str">
        <f>IFERROR(__xludf.DUMMYFUNCTION("vlookup(BB2331,importrange(""https://docs.google.com/spreadsheets/d/1d2vevQ_7D_v35q4wCQ4RpQ_IPoTwEMB9Yp6ymwlPqew/edit?gid=984458430#gid=984458430"", ""'replication success'!A:K""), 11, FAlSE)"),"successful")</f>
        <v>successful</v>
      </c>
      <c r="AZ2331" s="91" t="str">
        <f>IFERROR(__xludf.DUMMYFUNCTION("vlookup(BB2331,importrange(""https://docs.google.com/spreadsheets/d/1d2vevQ_7D_v35q4wCQ4RpQ_IPoTwEMB9Yp6ymwlPqew/edit?gid=984458430#gid=984458430"", ""'replication success'!A:M""), 12, FAlSE)"),"https://osf.io/4ewkh")</f>
        <v>https://osf.io/4ewkh</v>
      </c>
      <c r="BA2331" s="91" t="str">
        <f>IFERROR(__xludf.DUMMYFUNCTION("vlookup(BB2331,importrange(""https://docs.google.com/spreadsheets/d/1d2vevQ_7D_v35q4wCQ4RpQ_IPoTwEMB9Yp6ymwlPqew/edit?gid=984458430#gid=984458430"", ""'replication success'!A:M""), 13, FAlSE)"),"https://osf.io/4ewkh")</f>
        <v>https://osf.io/4ewkh</v>
      </c>
      <c r="BB2331" s="61" t="str">
        <f>IFERROR(__xludf.DUMMYFUNCTION("REGEXREPLACE(G2331, ""_[a-z]{1,2}$"", """")"),"XPHI35")</f>
        <v>XPHI35</v>
      </c>
      <c r="BD2331" s="154" t="s">
        <v>249</v>
      </c>
    </row>
    <row r="2332">
      <c r="A2332" s="44">
        <v>2332.0</v>
      </c>
      <c r="B2332" s="68" t="s">
        <v>152</v>
      </c>
      <c r="C2332" s="62" t="s">
        <v>115</v>
      </c>
      <c r="D2332" s="62" t="s">
        <v>1270</v>
      </c>
      <c r="F2332" s="61" t="s">
        <v>14097</v>
      </c>
      <c r="G2332" s="151" t="s">
        <v>14123</v>
      </c>
      <c r="H2332" s="1287" t="s">
        <v>5024</v>
      </c>
      <c r="I2332" s="152">
        <v>45674.0</v>
      </c>
      <c r="J2332" s="68"/>
      <c r="K2332" s="159" t="s">
        <v>14117</v>
      </c>
      <c r="L2332" s="68" t="s">
        <v>14118</v>
      </c>
      <c r="M2332" s="159" t="s">
        <v>14101</v>
      </c>
      <c r="N2332" s="159" t="s">
        <v>14102</v>
      </c>
      <c r="O2332" s="156">
        <v>1.0</v>
      </c>
      <c r="P2332" s="159" t="str">
        <f t="shared" si="131"/>
        <v>10.1111--j.1933-1592.2012.00609.x.pdf</v>
      </c>
      <c r="Q2332" s="52" t="str">
        <f t="array" ref="Q2332"> if(iserror(MATCH(V2332, 'File Links'!C:C, 0)), "N/A", HYPERLINK(INDEX('File Links'!B:B, MATCH(P2332, 'File Links'!C:C, 0))))</f>
        <v>https://drive.google.com/file/d/1vevfUy0iTc6NQfF1T-jwqjcTM_yHdsf0/view?usp=drivesdk</v>
      </c>
      <c r="R2332" s="2028" t="s">
        <v>5028</v>
      </c>
      <c r="S2332" s="310" t="s">
        <v>5029</v>
      </c>
      <c r="T2332" s="310" t="s">
        <v>5030</v>
      </c>
      <c r="U2332" s="156">
        <v>35.0</v>
      </c>
      <c r="V2332" s="159" t="str">
        <f t="shared" si="123"/>
        <v>10.1007--s13164-018-0400-9.pdf</v>
      </c>
      <c r="W2332" s="1290" t="s">
        <v>5031</v>
      </c>
      <c r="X2332" s="54" t="str">
        <f t="array" ref="X2332"> if(iserror(MATCH(V2332, 'File Links'!C:C, 0)), "N/A", HYPERLINK(INDEX('File Links'!B:B, MATCH(V2332, 'File Links'!C:C, 0))))</f>
        <v>https://drive.google.com/file/d/1hjI3aqifdfXjWhQAlvKCKKtvjuncAn5M/view?usp=drivesdk</v>
      </c>
      <c r="Y2332" s="68"/>
      <c r="Z2332" s="159" t="s">
        <v>165</v>
      </c>
      <c r="AA2332" s="129" t="s">
        <v>138</v>
      </c>
      <c r="AB2332" s="159" t="s">
        <v>14104</v>
      </c>
      <c r="AC2332" s="2074" t="s">
        <v>14105</v>
      </c>
      <c r="AD2332" s="159" t="s">
        <v>14124</v>
      </c>
      <c r="AE2332" s="156">
        <v>16.0</v>
      </c>
      <c r="AF2332" s="156">
        <v>134.0</v>
      </c>
      <c r="AG2332" s="159" t="s">
        <v>14125</v>
      </c>
      <c r="AH2332" s="159" t="s">
        <v>134</v>
      </c>
      <c r="AI2332" s="339" t="s">
        <v>182</v>
      </c>
      <c r="AJ2332" s="379">
        <v>0.022</v>
      </c>
      <c r="AK2332" s="57" t="s">
        <v>172</v>
      </c>
      <c r="AL2332" s="159" t="s">
        <v>186</v>
      </c>
      <c r="AM2332" s="57" t="s">
        <v>137</v>
      </c>
      <c r="AN2332" s="68"/>
      <c r="AO2332" s="156">
        <v>335.0</v>
      </c>
      <c r="AP2332" s="159" t="s">
        <v>14126</v>
      </c>
      <c r="AQ2332" s="2075" t="s">
        <v>215</v>
      </c>
      <c r="AR2332" s="2076" t="s">
        <v>507</v>
      </c>
      <c r="AS2332" s="156">
        <v>0.001</v>
      </c>
      <c r="AT2332" s="159" t="s">
        <v>135</v>
      </c>
      <c r="AU2332" s="159" t="s">
        <v>186</v>
      </c>
      <c r="AV2332" s="159" t="s">
        <v>137</v>
      </c>
      <c r="AW2332" s="310" t="s">
        <v>14122</v>
      </c>
      <c r="AX2332" s="159" t="s">
        <v>143</v>
      </c>
      <c r="AY2332" s="61" t="str">
        <f>IFERROR(__xludf.DUMMYFUNCTION("vlookup(BB2332,importrange(""https://docs.google.com/spreadsheets/d/1d2vevQ_7D_v35q4wCQ4RpQ_IPoTwEMB9Yp6ymwlPqew/edit?gid=984458430#gid=984458430"", ""'replication success'!A:K""), 11, FAlSE)"),"successful")</f>
        <v>successful</v>
      </c>
      <c r="AZ2332" s="91" t="str">
        <f>IFERROR(__xludf.DUMMYFUNCTION("vlookup(BB2332,importrange(""https://docs.google.com/spreadsheets/d/1d2vevQ_7D_v35q4wCQ4RpQ_IPoTwEMB9Yp6ymwlPqew/edit?gid=984458430#gid=984458430"", ""'replication success'!A:M""), 12, FAlSE)"),"https://osf.io/4ewkh")</f>
        <v>https://osf.io/4ewkh</v>
      </c>
      <c r="BA2332" s="91" t="str">
        <f>IFERROR(__xludf.DUMMYFUNCTION("vlookup(BB2332,importrange(""https://docs.google.com/spreadsheets/d/1d2vevQ_7D_v35q4wCQ4RpQ_IPoTwEMB9Yp6ymwlPqew/edit?gid=984458430#gid=984458430"", ""'replication success'!A:M""), 13, FAlSE)"),"https://osf.io/4ewkh")</f>
        <v>https://osf.io/4ewkh</v>
      </c>
      <c r="BB2332" s="61" t="str">
        <f>IFERROR(__xludf.DUMMYFUNCTION("REGEXREPLACE(G2332, ""_[a-z]{1,2}$"", """")"),"XPHI35")</f>
        <v>XPHI35</v>
      </c>
      <c r="BD2332" s="154" t="s">
        <v>249</v>
      </c>
    </row>
    <row r="2333">
      <c r="A2333" s="44">
        <v>2333.0</v>
      </c>
      <c r="B2333" s="155" t="s">
        <v>152</v>
      </c>
      <c r="C2333" s="62" t="s">
        <v>115</v>
      </c>
      <c r="D2333" s="62" t="s">
        <v>1270</v>
      </c>
      <c r="F2333" s="2027" t="s">
        <v>14127</v>
      </c>
      <c r="G2333" s="159" t="s">
        <v>14128</v>
      </c>
      <c r="H2333" s="1287" t="s">
        <v>5024</v>
      </c>
      <c r="I2333" s="152">
        <v>45674.0</v>
      </c>
      <c r="J2333" s="153">
        <v>45727.0</v>
      </c>
      <c r="K2333" s="68"/>
      <c r="L2333" s="129" t="s">
        <v>14129</v>
      </c>
      <c r="M2333" s="159" t="s">
        <v>14130</v>
      </c>
      <c r="N2333" s="159" t="s">
        <v>14131</v>
      </c>
      <c r="O2333" s="129">
        <v>1.0</v>
      </c>
      <c r="P2333" s="159" t="str">
        <f t="shared" si="131"/>
        <v>10.1007--s13164-013-0162-3.pdf</v>
      </c>
      <c r="Q2333" s="52" t="str">
        <f t="array" ref="Q2333"> if(iserror(MATCH(V2333, 'File Links'!C:C, 0)), "N/A", HYPERLINK(INDEX('File Links'!B:B, MATCH(P2333, 'File Links'!C:C, 0))))</f>
        <v>https://drive.google.com/file/d/1_iGxIOrj5vzUvhOaCiFYGOOkUVaaRx4p/view?usp=drivesdk</v>
      </c>
      <c r="R2333" s="2028" t="s">
        <v>5028</v>
      </c>
      <c r="S2333" s="310" t="s">
        <v>5029</v>
      </c>
      <c r="T2333" s="2064" t="s">
        <v>14132</v>
      </c>
      <c r="U2333" s="156">
        <v>36.0</v>
      </c>
      <c r="V2333" s="159" t="str">
        <f t="shared" si="123"/>
        <v>10.1007--s13164-018-0400-9.pdf</v>
      </c>
      <c r="W2333" s="1290" t="s">
        <v>5031</v>
      </c>
      <c r="X2333" s="54" t="str">
        <f t="array" ref="X2333"> if(iserror(MATCH(V2333, 'File Links'!C:C, 0)), "N/A", HYPERLINK(INDEX('File Links'!B:B, MATCH(V2333, 'File Links'!C:C, 0))))</f>
        <v>https://drive.google.com/file/d/1hjI3aqifdfXjWhQAlvKCKKtvjuncAn5M/view?usp=drivesdk</v>
      </c>
      <c r="Y2333" s="68"/>
      <c r="Z2333" s="159" t="s">
        <v>165</v>
      </c>
      <c r="AA2333" s="129" t="s">
        <v>138</v>
      </c>
      <c r="AB2333" s="159" t="s">
        <v>14133</v>
      </c>
      <c r="AC2333" s="1370" t="s">
        <v>14134</v>
      </c>
      <c r="AD2333" s="151" t="s">
        <v>14135</v>
      </c>
      <c r="AE2333" s="156">
        <v>9.0</v>
      </c>
      <c r="AF2333" s="156">
        <v>162.0</v>
      </c>
      <c r="AG2333" s="151">
        <v>0.04</v>
      </c>
      <c r="AH2333" s="151" t="s">
        <v>139</v>
      </c>
      <c r="AI2333" s="339" t="s">
        <v>632</v>
      </c>
      <c r="AJ2333" s="379">
        <v>0.01</v>
      </c>
      <c r="AK2333" s="57" t="s">
        <v>172</v>
      </c>
      <c r="AL2333" s="159" t="s">
        <v>186</v>
      </c>
      <c r="AM2333" s="57" t="s">
        <v>137</v>
      </c>
      <c r="AN2333" s="1370" t="s">
        <v>138</v>
      </c>
      <c r="AO2333" s="156">
        <v>387.0</v>
      </c>
      <c r="AP2333" s="62">
        <v>0.196</v>
      </c>
      <c r="AQ2333" s="159" t="s">
        <v>173</v>
      </c>
      <c r="AR2333" s="97" t="s">
        <v>14132</v>
      </c>
      <c r="AS2333" s="156">
        <v>0.092</v>
      </c>
      <c r="AT2333" s="159" t="s">
        <v>172</v>
      </c>
      <c r="AU2333" s="159" t="s">
        <v>136</v>
      </c>
      <c r="AV2333" s="159" t="s">
        <v>137</v>
      </c>
      <c r="AW2333" s="2064" t="s">
        <v>14136</v>
      </c>
      <c r="AX2333" s="159" t="s">
        <v>143</v>
      </c>
      <c r="AY2333" s="61" t="str">
        <f>IFERROR(__xludf.DUMMYFUNCTION("vlookup(BB2333,importrange(""https://docs.google.com/spreadsheets/d/1d2vevQ_7D_v35q4wCQ4RpQ_IPoTwEMB9Yp6ymwlPqew/edit?gid=984458430#gid=984458430"", ""'replication success'!A:K""), 11, FAlSE)"),"failed")</f>
        <v>failed</v>
      </c>
      <c r="AZ2333" s="91" t="str">
        <f>IFERROR(__xludf.DUMMYFUNCTION("vlookup(BB2333,importrange(""https://docs.google.com/spreadsheets/d/1d2vevQ_7D_v35q4wCQ4RpQ_IPoTwEMB9Yp6ymwlPqew/edit?gid=984458430#gid=984458430"", ""'replication success'!A:M""), 12, FAlSE)"),"https://osf.io/4ewkh")</f>
        <v>https://osf.io/4ewkh</v>
      </c>
      <c r="BA2333" s="91" t="str">
        <f>IFERROR(__xludf.DUMMYFUNCTION("vlookup(BB2333,importrange(""https://docs.google.com/spreadsheets/d/1d2vevQ_7D_v35q4wCQ4RpQ_IPoTwEMB9Yp6ymwlPqew/edit?gid=984458430#gid=984458430"", ""'replication success'!A:M""), 13, FAlSE)"),"https://osf.io/4ewkh")</f>
        <v>https://osf.io/4ewkh</v>
      </c>
      <c r="BB2333" s="61" t="str">
        <f>IFERROR(__xludf.DUMMYFUNCTION("REGEXREPLACE(G2333, ""_[a-z]{1,2}$"", """")"),"XPHI36")</f>
        <v>XPHI36</v>
      </c>
      <c r="BD2333" s="155" t="s">
        <v>13578</v>
      </c>
    </row>
    <row r="2334">
      <c r="A2334" s="44">
        <v>2334.0</v>
      </c>
      <c r="B2334" s="45" t="s">
        <v>114</v>
      </c>
      <c r="C2334" s="62" t="s">
        <v>115</v>
      </c>
      <c r="D2334" s="62" t="s">
        <v>248</v>
      </c>
      <c r="F2334" s="2027" t="s">
        <v>14127</v>
      </c>
      <c r="G2334" s="159" t="s">
        <v>14128</v>
      </c>
      <c r="H2334" s="1287" t="s">
        <v>249</v>
      </c>
      <c r="I2334" s="152">
        <v>45331.0</v>
      </c>
      <c r="J2334" s="153">
        <v>45727.0</v>
      </c>
      <c r="K2334" s="159" t="s">
        <v>14137</v>
      </c>
      <c r="L2334" s="68"/>
      <c r="M2334" s="159" t="s">
        <v>14130</v>
      </c>
      <c r="N2334" s="159" t="s">
        <v>14131</v>
      </c>
      <c r="O2334" s="129">
        <v>1.0</v>
      </c>
      <c r="P2334" s="159" t="s">
        <v>14138</v>
      </c>
      <c r="Q2334" s="52" t="str">
        <f t="array" ref="Q2334"> if(iserror(MATCH(V2334, 'File Links'!C:C, 0)), "N/A", HYPERLINK(INDEX('File Links'!B:B, MATCH(P2334, 'File Links'!C:C, 0))))</f>
        <v>https://drive.google.com/file/d/1_iGxIOrj5vzUvhOaCiFYGOOkUVaaRx4p/view?usp=drivesdk</v>
      </c>
      <c r="R2334" s="2028" t="s">
        <v>5028</v>
      </c>
      <c r="S2334" s="159" t="s">
        <v>5029</v>
      </c>
      <c r="T2334" s="2007" t="s">
        <v>14132</v>
      </c>
      <c r="U2334" s="1370">
        <v>36.0</v>
      </c>
      <c r="V2334" s="159" t="str">
        <f t="shared" si="123"/>
        <v>10.1007--s13164-018-0400-9.pdf</v>
      </c>
      <c r="W2334" s="1290" t="s">
        <v>5031</v>
      </c>
      <c r="X2334" s="54" t="str">
        <f t="array" ref="X2334"> if(iserror(MATCH(V2334, 'File Links'!C:C, 0)), "N/A", HYPERLINK(INDEX('File Links'!B:B, MATCH(V2334, 'File Links'!C:C, 0))))</f>
        <v>https://drive.google.com/file/d/1hjI3aqifdfXjWhQAlvKCKKtvjuncAn5M/view?usp=drivesdk</v>
      </c>
      <c r="Y2334" s="68"/>
      <c r="Z2334" s="159" t="s">
        <v>165</v>
      </c>
      <c r="AA2334" s="129" t="s">
        <v>138</v>
      </c>
      <c r="AB2334" s="159" t="s">
        <v>5041</v>
      </c>
      <c r="AC2334" s="1370" t="s">
        <v>14134</v>
      </c>
      <c r="AD2334" s="159" t="s">
        <v>14139</v>
      </c>
      <c r="AE2334" s="159" t="s">
        <v>628</v>
      </c>
      <c r="AF2334" s="156">
        <v>162.0</v>
      </c>
      <c r="AG2334" s="159" t="s">
        <v>14140</v>
      </c>
      <c r="AH2334" s="159" t="s">
        <v>134</v>
      </c>
      <c r="AI2334" s="2059" t="s">
        <v>14141</v>
      </c>
      <c r="AJ2334" s="379">
        <v>0.01</v>
      </c>
      <c r="AK2334" s="57" t="s">
        <v>172</v>
      </c>
      <c r="AL2334" s="159" t="s">
        <v>186</v>
      </c>
      <c r="AM2334" s="1286" t="s">
        <v>137</v>
      </c>
      <c r="AN2334" s="1370" t="s">
        <v>138</v>
      </c>
      <c r="AO2334" s="156">
        <v>387.0</v>
      </c>
      <c r="AP2334" s="156">
        <v>0.2</v>
      </c>
      <c r="AQ2334" s="159" t="s">
        <v>173</v>
      </c>
      <c r="AR2334" s="159" t="s">
        <v>14142</v>
      </c>
      <c r="AS2334" s="1059">
        <v>0.007</v>
      </c>
      <c r="AT2334" s="159" t="s">
        <v>172</v>
      </c>
      <c r="AU2334" s="159" t="s">
        <v>186</v>
      </c>
      <c r="AV2334" s="154" t="s">
        <v>137</v>
      </c>
      <c r="AW2334" s="2064" t="s">
        <v>14136</v>
      </c>
      <c r="AX2334" s="154" t="s">
        <v>143</v>
      </c>
      <c r="AY2334" s="61" t="str">
        <f>IFERROR(__xludf.DUMMYFUNCTION("vlookup(BB2334,importrange(""https://docs.google.com/spreadsheets/d/1d2vevQ_7D_v35q4wCQ4RpQ_IPoTwEMB9Yp6ymwlPqew/edit?gid=984458430#gid=984458430"", ""'replication success'!A:K""), 11, FAlSE)"),"failed")</f>
        <v>failed</v>
      </c>
      <c r="AZ2334" s="91" t="str">
        <f>IFERROR(__xludf.DUMMYFUNCTION("vlookup(BB2334,importrange(""https://docs.google.com/spreadsheets/d/1d2vevQ_7D_v35q4wCQ4RpQ_IPoTwEMB9Yp6ymwlPqew/edit?gid=984458430#gid=984458430"", ""'replication success'!A:M""), 12, FAlSE)"),"https://osf.io/4ewkh")</f>
        <v>https://osf.io/4ewkh</v>
      </c>
      <c r="BA2334" s="91" t="str">
        <f>IFERROR(__xludf.DUMMYFUNCTION("vlookup(BB2334,importrange(""https://docs.google.com/spreadsheets/d/1d2vevQ_7D_v35q4wCQ4RpQ_IPoTwEMB9Yp6ymwlPqew/edit?gid=984458430#gid=984458430"", ""'replication success'!A:M""), 13, FAlSE)"),"https://osf.io/4ewkh")</f>
        <v>https://osf.io/4ewkh</v>
      </c>
      <c r="BB2334" s="61" t="str">
        <f>IFERROR(__xludf.DUMMYFUNCTION("REGEXREPLACE(G2334, ""_[a-z]{1,2}$"", """")"),"XPHI36")</f>
        <v>XPHI36</v>
      </c>
      <c r="BD2334" s="155" t="s">
        <v>13578</v>
      </c>
    </row>
    <row r="2335">
      <c r="A2335" s="44">
        <v>2335.0</v>
      </c>
      <c r="B2335" s="45" t="s">
        <v>152</v>
      </c>
      <c r="C2335" s="62" t="s">
        <v>115</v>
      </c>
      <c r="D2335" s="62" t="s">
        <v>1270</v>
      </c>
      <c r="F2335" s="1286" t="s">
        <v>14143</v>
      </c>
      <c r="G2335" s="159" t="s">
        <v>14144</v>
      </c>
      <c r="H2335" s="1287" t="s">
        <v>5024</v>
      </c>
      <c r="I2335" s="152">
        <v>45674.0</v>
      </c>
      <c r="J2335" s="153">
        <v>45727.0</v>
      </c>
      <c r="K2335" s="68"/>
      <c r="L2335" s="129" t="s">
        <v>14145</v>
      </c>
      <c r="M2335" s="159" t="s">
        <v>14146</v>
      </c>
      <c r="N2335" s="159" t="s">
        <v>14147</v>
      </c>
      <c r="O2335" s="129">
        <v>1.0</v>
      </c>
      <c r="P2335" s="159" t="str">
        <f>SUBSTITUTE(LOWER(N2335), "/", "--") &amp;  ".pdf"</f>
        <v>10.1093--aesthj--ayu027.pdf</v>
      </c>
      <c r="Q2335" s="52" t="str">
        <f t="array" ref="Q2335"> if(iserror(MATCH(V2335, 'File Links'!C:C, 0)), "N/A", HYPERLINK(INDEX('File Links'!B:B, MATCH(P2335, 'File Links'!C:C, 0))))</f>
        <v>https://drive.google.com/file/d/17zk5ntmJwRuglkdI2KDBsmDyHp9ZT9nk/view?usp=drivesdk</v>
      </c>
      <c r="R2335" s="2028" t="s">
        <v>5028</v>
      </c>
      <c r="S2335" s="310" t="s">
        <v>5029</v>
      </c>
      <c r="T2335" s="2064" t="s">
        <v>14148</v>
      </c>
      <c r="U2335" s="156">
        <v>37.0</v>
      </c>
      <c r="V2335" s="159" t="str">
        <f t="shared" si="123"/>
        <v>10.1007--s13164-018-0400-9.pdf</v>
      </c>
      <c r="W2335" s="1290" t="s">
        <v>5031</v>
      </c>
      <c r="X2335" s="54" t="str">
        <f t="array" ref="X2335"> if(iserror(MATCH(V2335, 'File Links'!C:C, 0)), "N/A", HYPERLINK(INDEX('File Links'!B:B, MATCH(V2335, 'File Links'!C:C, 0))))</f>
        <v>https://drive.google.com/file/d/1hjI3aqifdfXjWhQAlvKCKKtvjuncAn5M/view?usp=drivesdk</v>
      </c>
      <c r="Y2335" s="68"/>
      <c r="Z2335" s="159" t="s">
        <v>165</v>
      </c>
      <c r="AA2335" s="159" t="s">
        <v>14149</v>
      </c>
      <c r="AB2335" s="151" t="s">
        <v>14150</v>
      </c>
      <c r="AC2335" s="159" t="s">
        <v>14151</v>
      </c>
      <c r="AD2335" s="159" t="s">
        <v>14152</v>
      </c>
      <c r="AE2335" s="159" t="s">
        <v>14153</v>
      </c>
      <c r="AF2335" s="156">
        <v>30.0</v>
      </c>
      <c r="AG2335" s="156">
        <v>0.54</v>
      </c>
      <c r="AH2335" s="159" t="s">
        <v>215</v>
      </c>
      <c r="AI2335" s="339" t="s">
        <v>2229</v>
      </c>
      <c r="AJ2335" s="379">
        <v>0.002</v>
      </c>
      <c r="AK2335" s="57" t="s">
        <v>172</v>
      </c>
      <c r="AL2335" s="159" t="s">
        <v>186</v>
      </c>
      <c r="AM2335" s="57" t="s">
        <v>137</v>
      </c>
      <c r="AN2335" s="1370" t="s">
        <v>138</v>
      </c>
      <c r="AO2335" s="156">
        <v>99.0</v>
      </c>
      <c r="AP2335" s="156">
        <v>0.55</v>
      </c>
      <c r="AQ2335" s="159" t="s">
        <v>215</v>
      </c>
      <c r="AR2335" s="159" t="s">
        <v>5030</v>
      </c>
      <c r="AS2335" s="156">
        <v>0.001</v>
      </c>
      <c r="AT2335" s="159" t="s">
        <v>135</v>
      </c>
      <c r="AU2335" s="159" t="s">
        <v>186</v>
      </c>
      <c r="AV2335" s="159" t="s">
        <v>137</v>
      </c>
      <c r="AW2335" s="2064" t="s">
        <v>14154</v>
      </c>
      <c r="AX2335" s="159" t="s">
        <v>143</v>
      </c>
      <c r="AY2335" s="61" t="str">
        <f>IFERROR(__xludf.DUMMYFUNCTION("vlookup(BB2335,importrange(""https://docs.google.com/spreadsheets/d/1d2vevQ_7D_v35q4wCQ4RpQ_IPoTwEMB9Yp6ymwlPqew/edit?gid=984458430#gid=984458430"", ""'replication success'!A:K""), 11, FAlSE)"),"successful")</f>
        <v>successful</v>
      </c>
      <c r="AZ2335" s="91" t="str">
        <f>IFERROR(__xludf.DUMMYFUNCTION("vlookup(BB2335,importrange(""https://docs.google.com/spreadsheets/d/1d2vevQ_7D_v35q4wCQ4RpQ_IPoTwEMB9Yp6ymwlPqew/edit?gid=984458430#gid=984458430"", ""'replication success'!A:M""), 12, FAlSE)"),"https://osf.io/4ewkh")</f>
        <v>https://osf.io/4ewkh</v>
      </c>
      <c r="BA2335" s="91" t="str">
        <f>IFERROR(__xludf.DUMMYFUNCTION("vlookup(BB2335,importrange(""https://docs.google.com/spreadsheets/d/1d2vevQ_7D_v35q4wCQ4RpQ_IPoTwEMB9Yp6ymwlPqew/edit?gid=984458430#gid=984458430"", ""'replication success'!A:M""), 13, FAlSE)"),"https://osf.io/4ewkh")</f>
        <v>https://osf.io/4ewkh</v>
      </c>
      <c r="BB2335" s="61" t="str">
        <f>IFERROR(__xludf.DUMMYFUNCTION("REGEXREPLACE(G2335, ""_[a-z]{1,2}$"", """")"),"XPHI37")</f>
        <v>XPHI37</v>
      </c>
      <c r="BD2335" s="155" t="s">
        <v>13578</v>
      </c>
    </row>
    <row r="2336">
      <c r="A2336" s="44">
        <v>2336.0</v>
      </c>
      <c r="B2336" s="154" t="s">
        <v>114</v>
      </c>
      <c r="C2336" s="62" t="s">
        <v>115</v>
      </c>
      <c r="D2336" s="62" t="s">
        <v>248</v>
      </c>
      <c r="F2336" s="1286" t="s">
        <v>14143</v>
      </c>
      <c r="G2336" s="159" t="s">
        <v>14144</v>
      </c>
      <c r="H2336" s="1287" t="s">
        <v>249</v>
      </c>
      <c r="I2336" s="152">
        <v>45331.0</v>
      </c>
      <c r="J2336" s="153">
        <v>45727.0</v>
      </c>
      <c r="K2336" s="68"/>
      <c r="L2336" s="68"/>
      <c r="M2336" s="159" t="s">
        <v>14146</v>
      </c>
      <c r="N2336" s="159" t="s">
        <v>14147</v>
      </c>
      <c r="O2336" s="129">
        <v>1.0</v>
      </c>
      <c r="P2336" s="159" t="s">
        <v>14155</v>
      </c>
      <c r="Q2336" s="52" t="str">
        <f t="array" ref="Q2336"> if(iserror(MATCH(V2336, 'File Links'!C:C, 0)), "N/A", HYPERLINK(INDEX('File Links'!B:B, MATCH(P2336, 'File Links'!C:C, 0))))</f>
        <v>https://drive.google.com/file/d/17zk5ntmJwRuglkdI2KDBsmDyHp9ZT9nk/view?usp=drivesdk</v>
      </c>
      <c r="R2336" s="2028" t="s">
        <v>5028</v>
      </c>
      <c r="S2336" s="159" t="s">
        <v>5029</v>
      </c>
      <c r="T2336" s="2007" t="s">
        <v>14148</v>
      </c>
      <c r="U2336" s="1370">
        <v>37.0</v>
      </c>
      <c r="V2336" s="159" t="str">
        <f t="shared" si="123"/>
        <v>10.1007--s13164-018-0400-9.pdf</v>
      </c>
      <c r="W2336" s="1290" t="s">
        <v>5031</v>
      </c>
      <c r="X2336" s="54" t="str">
        <f t="array" ref="X2336"> if(iserror(MATCH(V2336, 'File Links'!C:C, 0)), "N/A", HYPERLINK(INDEX('File Links'!B:B, MATCH(V2336, 'File Links'!C:C, 0))))</f>
        <v>https://drive.google.com/file/d/1hjI3aqifdfXjWhQAlvKCKKtvjuncAn5M/view?usp=drivesdk</v>
      </c>
      <c r="Y2336" s="68"/>
      <c r="Z2336" s="159" t="s">
        <v>165</v>
      </c>
      <c r="AA2336" s="1115" t="s">
        <v>14149</v>
      </c>
      <c r="AB2336" s="151" t="s">
        <v>14156</v>
      </c>
      <c r="AC2336" s="1115" t="s">
        <v>14151</v>
      </c>
      <c r="AD2336" s="159" t="s">
        <v>14157</v>
      </c>
      <c r="AE2336" s="159" t="s">
        <v>14158</v>
      </c>
      <c r="AF2336" s="156">
        <v>30.0</v>
      </c>
      <c r="AG2336" s="156">
        <v>0.54</v>
      </c>
      <c r="AH2336" s="159" t="s">
        <v>215</v>
      </c>
      <c r="AI2336" s="2059" t="s">
        <v>14159</v>
      </c>
      <c r="AJ2336" s="379">
        <v>0.002</v>
      </c>
      <c r="AK2336" s="57" t="s">
        <v>172</v>
      </c>
      <c r="AL2336" s="159" t="s">
        <v>186</v>
      </c>
      <c r="AM2336" s="1286" t="s">
        <v>137</v>
      </c>
      <c r="AN2336" s="1370" t="s">
        <v>138</v>
      </c>
      <c r="AO2336" s="156">
        <v>99.0</v>
      </c>
      <c r="AP2336" s="156">
        <v>0.55</v>
      </c>
      <c r="AQ2336" s="159" t="s">
        <v>215</v>
      </c>
      <c r="AR2336" s="159" t="s">
        <v>14160</v>
      </c>
      <c r="AS2336" s="156">
        <v>0.001</v>
      </c>
      <c r="AT2336" s="159" t="s">
        <v>135</v>
      </c>
      <c r="AU2336" s="159" t="s">
        <v>186</v>
      </c>
      <c r="AV2336" s="154" t="s">
        <v>137</v>
      </c>
      <c r="AW2336" s="2064" t="s">
        <v>14154</v>
      </c>
      <c r="AX2336" s="154" t="s">
        <v>143</v>
      </c>
      <c r="AY2336" s="61" t="str">
        <f>IFERROR(__xludf.DUMMYFUNCTION("vlookup(BB2336,importrange(""https://docs.google.com/spreadsheets/d/1d2vevQ_7D_v35q4wCQ4RpQ_IPoTwEMB9Yp6ymwlPqew/edit?gid=984458430#gid=984458430"", ""'replication success'!A:K""), 11, FAlSE)"),"successful")</f>
        <v>successful</v>
      </c>
      <c r="AZ2336" s="91" t="str">
        <f>IFERROR(__xludf.DUMMYFUNCTION("vlookup(BB2336,importrange(""https://docs.google.com/spreadsheets/d/1d2vevQ_7D_v35q4wCQ4RpQ_IPoTwEMB9Yp6ymwlPqew/edit?gid=984458430#gid=984458430"", ""'replication success'!A:M""), 12, FAlSE)"),"https://osf.io/4ewkh")</f>
        <v>https://osf.io/4ewkh</v>
      </c>
      <c r="BA2336" s="91" t="str">
        <f>IFERROR(__xludf.DUMMYFUNCTION("vlookup(BB2336,importrange(""https://docs.google.com/spreadsheets/d/1d2vevQ_7D_v35q4wCQ4RpQ_IPoTwEMB9Yp6ymwlPqew/edit?gid=984458430#gid=984458430"", ""'replication success'!A:M""), 13, FAlSE)"),"https://osf.io/4ewkh")</f>
        <v>https://osf.io/4ewkh</v>
      </c>
      <c r="BB2336" s="61" t="str">
        <f>IFERROR(__xludf.DUMMYFUNCTION("REGEXREPLACE(G2336, ""_[a-z]{1,2}$"", """")"),"XPHI37")</f>
        <v>XPHI37</v>
      </c>
      <c r="BD2336" s="155" t="s">
        <v>13578</v>
      </c>
    </row>
    <row r="2337">
      <c r="A2337" s="44">
        <v>2337.0</v>
      </c>
      <c r="B2337" s="129" t="s">
        <v>152</v>
      </c>
      <c r="C2337" s="62" t="s">
        <v>115</v>
      </c>
      <c r="D2337" s="62" t="s">
        <v>1270</v>
      </c>
      <c r="F2337" s="1286" t="s">
        <v>14161</v>
      </c>
      <c r="G2337" s="159" t="s">
        <v>14162</v>
      </c>
      <c r="H2337" s="1287" t="s">
        <v>5024</v>
      </c>
      <c r="I2337" s="152">
        <v>45675.0</v>
      </c>
      <c r="J2337" s="153">
        <v>45727.0</v>
      </c>
      <c r="K2337" s="159" t="s">
        <v>14163</v>
      </c>
      <c r="L2337" s="129" t="s">
        <v>14164</v>
      </c>
      <c r="M2337" s="159" t="s">
        <v>14165</v>
      </c>
      <c r="N2337" s="159" t="s">
        <v>14166</v>
      </c>
      <c r="O2337" s="129">
        <v>1.0</v>
      </c>
      <c r="P2337" s="159" t="str">
        <f>SUBSTITUTE(LOWER(N2337), "/", "--") &amp;  ".pdf"</f>
        <v>10.1080--09515089.2014.894431.pdf</v>
      </c>
      <c r="Q2337" s="52" t="str">
        <f t="array" ref="Q2337"> if(iserror(MATCH(V2337, 'File Links'!C:C, 0)), "N/A", HYPERLINK(INDEX('File Links'!B:B, MATCH(P2337, 'File Links'!C:C, 0))))</f>
        <v>https://drive.google.com/file/d/1zG4Fc_IEv6joOTyPj0JeBdLMNt-6vqsC/view?usp=drivesdk</v>
      </c>
      <c r="R2337" s="2028" t="s">
        <v>5028</v>
      </c>
      <c r="S2337" s="310" t="s">
        <v>5029</v>
      </c>
      <c r="T2337" s="2064" t="s">
        <v>14167</v>
      </c>
      <c r="U2337" s="156">
        <v>38.0</v>
      </c>
      <c r="V2337" s="159" t="str">
        <f t="shared" si="123"/>
        <v>10.1007--s13164-018-0400-9.pdf</v>
      </c>
      <c r="W2337" s="1290" t="s">
        <v>5031</v>
      </c>
      <c r="X2337" s="54" t="str">
        <f t="array" ref="X2337"> if(iserror(MATCH(V2337, 'File Links'!C:C, 0)), "N/A", HYPERLINK(INDEX('File Links'!B:B, MATCH(V2337, 'File Links'!C:C, 0))))</f>
        <v>https://drive.google.com/file/d/1hjI3aqifdfXjWhQAlvKCKKtvjuncAn5M/view?usp=drivesdk</v>
      </c>
      <c r="Y2337" s="68"/>
      <c r="Z2337" s="159" t="s">
        <v>165</v>
      </c>
      <c r="AA2337" s="129" t="s">
        <v>138</v>
      </c>
      <c r="AB2337" s="151" t="s">
        <v>14168</v>
      </c>
      <c r="AC2337" s="1370" t="s">
        <v>14169</v>
      </c>
      <c r="AD2337" s="159" t="s">
        <v>14170</v>
      </c>
      <c r="AE2337" s="159" t="s">
        <v>13833</v>
      </c>
      <c r="AF2337" s="156">
        <v>162.0</v>
      </c>
      <c r="AG2337" s="1093">
        <v>0.3</v>
      </c>
      <c r="AH2337" s="1115" t="s">
        <v>271</v>
      </c>
      <c r="AI2337" s="2077" t="s">
        <v>14171</v>
      </c>
      <c r="AJ2337" s="129">
        <v>0.001</v>
      </c>
      <c r="AK2337" s="129" t="s">
        <v>135</v>
      </c>
      <c r="AL2337" s="129" t="s">
        <v>186</v>
      </c>
      <c r="AM2337" s="129" t="s">
        <v>137</v>
      </c>
      <c r="AN2337" s="1370" t="s">
        <v>138</v>
      </c>
      <c r="AO2337" s="156">
        <v>302.0</v>
      </c>
      <c r="AP2337" s="156">
        <v>0.26</v>
      </c>
      <c r="AQ2337" s="159" t="s">
        <v>271</v>
      </c>
      <c r="AR2337" s="159" t="s">
        <v>5030</v>
      </c>
      <c r="AS2337" s="156">
        <v>0.001</v>
      </c>
      <c r="AT2337" s="159" t="s">
        <v>135</v>
      </c>
      <c r="AU2337" s="159" t="s">
        <v>186</v>
      </c>
      <c r="AV2337" s="159" t="s">
        <v>137</v>
      </c>
      <c r="AW2337" s="310" t="s">
        <v>14172</v>
      </c>
      <c r="AX2337" s="159" t="s">
        <v>143</v>
      </c>
      <c r="AY2337" s="61" t="str">
        <f>IFERROR(__xludf.DUMMYFUNCTION("vlookup(BB2337,importrange(""https://docs.google.com/spreadsheets/d/1d2vevQ_7D_v35q4wCQ4RpQ_IPoTwEMB9Yp6ymwlPqew/edit?gid=984458430#gid=984458430"", ""'replication success'!A:K""), 11, FAlSE)"),"successful")</f>
        <v>successful</v>
      </c>
      <c r="AZ2337" s="91" t="str">
        <f>IFERROR(__xludf.DUMMYFUNCTION("vlookup(BB2337,importrange(""https://docs.google.com/spreadsheets/d/1d2vevQ_7D_v35q4wCQ4RpQ_IPoTwEMB9Yp6ymwlPqew/edit?gid=984458430#gid=984458430"", ""'replication success'!A:M""), 12, FAlSE)"),"https://osf.io/4ewkh")</f>
        <v>https://osf.io/4ewkh</v>
      </c>
      <c r="BA2337" s="91" t="str">
        <f>IFERROR(__xludf.DUMMYFUNCTION("vlookup(BB2337,importrange(""https://docs.google.com/spreadsheets/d/1d2vevQ_7D_v35q4wCQ4RpQ_IPoTwEMB9Yp6ymwlPqew/edit?gid=984458430#gid=984458430"", ""'replication success'!A:M""), 13, FAlSE)"),"https://osf.io/4ewkh")</f>
        <v>https://osf.io/4ewkh</v>
      </c>
      <c r="BB2337" s="61" t="str">
        <f>IFERROR(__xludf.DUMMYFUNCTION("REGEXREPLACE(G2337, ""_[a-z]{1,2}$"", """")"),"XPHI38")</f>
        <v>XPHI38</v>
      </c>
      <c r="BD2337" s="155" t="s">
        <v>13578</v>
      </c>
    </row>
    <row r="2338">
      <c r="A2338" s="44">
        <v>2338.0</v>
      </c>
      <c r="B2338" s="45" t="s">
        <v>114</v>
      </c>
      <c r="C2338" s="62" t="s">
        <v>115</v>
      </c>
      <c r="D2338" s="62" t="s">
        <v>248</v>
      </c>
      <c r="F2338" s="1286" t="s">
        <v>14161</v>
      </c>
      <c r="G2338" s="159" t="s">
        <v>14162</v>
      </c>
      <c r="H2338" s="1287" t="s">
        <v>249</v>
      </c>
      <c r="I2338" s="152">
        <v>45331.0</v>
      </c>
      <c r="J2338" s="153">
        <v>45727.0</v>
      </c>
      <c r="K2338" s="154" t="s">
        <v>14173</v>
      </c>
      <c r="L2338" s="68"/>
      <c r="M2338" s="159" t="s">
        <v>14174</v>
      </c>
      <c r="N2338" s="159" t="s">
        <v>14166</v>
      </c>
      <c r="O2338" s="129">
        <v>1.0</v>
      </c>
      <c r="P2338" s="159" t="s">
        <v>14175</v>
      </c>
      <c r="Q2338" s="52" t="str">
        <f t="array" ref="Q2338"> if(iserror(MATCH(V2338, 'File Links'!C:C, 0)), "N/A", HYPERLINK(INDEX('File Links'!B:B, MATCH(P2338, 'File Links'!C:C, 0))))</f>
        <v>https://drive.google.com/file/d/1zG4Fc_IEv6joOTyPj0JeBdLMNt-6vqsC/view?usp=drivesdk</v>
      </c>
      <c r="R2338" s="2028" t="s">
        <v>5028</v>
      </c>
      <c r="S2338" s="159" t="s">
        <v>5029</v>
      </c>
      <c r="T2338" s="2007" t="s">
        <v>14167</v>
      </c>
      <c r="U2338" s="1370">
        <v>38.0</v>
      </c>
      <c r="V2338" s="159" t="str">
        <f t="shared" si="123"/>
        <v>10.1007--s13164-018-0400-9.pdf</v>
      </c>
      <c r="W2338" s="1290" t="s">
        <v>5031</v>
      </c>
      <c r="X2338" s="54" t="str">
        <f t="array" ref="X2338"> if(iserror(MATCH(V2338, 'File Links'!C:C, 0)), "N/A", HYPERLINK(INDEX('File Links'!B:B, MATCH(V2338, 'File Links'!C:C, 0))))</f>
        <v>https://drive.google.com/file/d/1hjI3aqifdfXjWhQAlvKCKKtvjuncAn5M/view?usp=drivesdk</v>
      </c>
      <c r="Y2338" s="68"/>
      <c r="Z2338" s="159" t="s">
        <v>165</v>
      </c>
      <c r="AA2338" s="129" t="s">
        <v>138</v>
      </c>
      <c r="AB2338" s="151" t="s">
        <v>14176</v>
      </c>
      <c r="AC2338" s="1370" t="s">
        <v>14169</v>
      </c>
      <c r="AD2338" s="159" t="s">
        <v>14177</v>
      </c>
      <c r="AE2338" s="159" t="s">
        <v>14178</v>
      </c>
      <c r="AF2338" s="156">
        <v>162.0</v>
      </c>
      <c r="AG2338" s="156">
        <v>0.3</v>
      </c>
      <c r="AH2338" s="159" t="s">
        <v>271</v>
      </c>
      <c r="AI2338" s="2059" t="s">
        <v>14171</v>
      </c>
      <c r="AJ2338" s="379">
        <v>0.001</v>
      </c>
      <c r="AK2338" s="57" t="s">
        <v>135</v>
      </c>
      <c r="AL2338" s="159" t="s">
        <v>186</v>
      </c>
      <c r="AM2338" s="1286" t="s">
        <v>137</v>
      </c>
      <c r="AN2338" s="1370" t="s">
        <v>138</v>
      </c>
      <c r="AO2338" s="156">
        <v>302.0</v>
      </c>
      <c r="AP2338" s="156">
        <v>0.26</v>
      </c>
      <c r="AQ2338" s="159" t="s">
        <v>271</v>
      </c>
      <c r="AR2338" s="159" t="s">
        <v>14179</v>
      </c>
      <c r="AS2338" s="156">
        <v>0.001</v>
      </c>
      <c r="AT2338" s="159" t="s">
        <v>135</v>
      </c>
      <c r="AU2338" s="159" t="s">
        <v>186</v>
      </c>
      <c r="AV2338" s="154" t="s">
        <v>137</v>
      </c>
      <c r="AW2338" s="1389" t="s">
        <v>14172</v>
      </c>
      <c r="AX2338" s="154" t="s">
        <v>143</v>
      </c>
      <c r="AY2338" s="61" t="str">
        <f>IFERROR(__xludf.DUMMYFUNCTION("vlookup(BB2338,importrange(""https://docs.google.com/spreadsheets/d/1d2vevQ_7D_v35q4wCQ4RpQ_IPoTwEMB9Yp6ymwlPqew/edit?gid=984458430#gid=984458430"", ""'replication success'!A:K""), 11, FAlSE)"),"successful")</f>
        <v>successful</v>
      </c>
      <c r="AZ2338" s="91" t="str">
        <f>IFERROR(__xludf.DUMMYFUNCTION("vlookup(BB2338,importrange(""https://docs.google.com/spreadsheets/d/1d2vevQ_7D_v35q4wCQ4RpQ_IPoTwEMB9Yp6ymwlPqew/edit?gid=984458430#gid=984458430"", ""'replication success'!A:M""), 12, FAlSE)"),"https://osf.io/4ewkh")</f>
        <v>https://osf.io/4ewkh</v>
      </c>
      <c r="BA2338" s="91" t="str">
        <f>IFERROR(__xludf.DUMMYFUNCTION("vlookup(BB2338,importrange(""https://docs.google.com/spreadsheets/d/1d2vevQ_7D_v35q4wCQ4RpQ_IPoTwEMB9Yp6ymwlPqew/edit?gid=984458430#gid=984458430"", ""'replication success'!A:M""), 13, FAlSE)"),"https://osf.io/4ewkh")</f>
        <v>https://osf.io/4ewkh</v>
      </c>
      <c r="BB2338" s="61" t="str">
        <f>IFERROR(__xludf.DUMMYFUNCTION("REGEXREPLACE(G2338, ""_[a-z]{1,2}$"", """")"),"XPHI38")</f>
        <v>XPHI38</v>
      </c>
      <c r="BD2338" s="155" t="s">
        <v>13578</v>
      </c>
    </row>
    <row r="2339">
      <c r="A2339" s="44">
        <v>2339.0</v>
      </c>
      <c r="B2339" s="154" t="s">
        <v>152</v>
      </c>
      <c r="C2339" s="62" t="s">
        <v>115</v>
      </c>
      <c r="D2339" s="62" t="s">
        <v>1270</v>
      </c>
      <c r="F2339" s="61" t="s">
        <v>14161</v>
      </c>
      <c r="G2339" s="151" t="s">
        <v>14180</v>
      </c>
      <c r="H2339" s="1287" t="s">
        <v>5024</v>
      </c>
      <c r="I2339" s="152">
        <v>45675.0</v>
      </c>
      <c r="J2339" s="152">
        <v>45691.0</v>
      </c>
      <c r="K2339" s="680" t="s">
        <v>14163</v>
      </c>
      <c r="L2339" s="68" t="s">
        <v>13642</v>
      </c>
      <c r="M2339" s="159" t="s">
        <v>14165</v>
      </c>
      <c r="N2339" s="159" t="s">
        <v>14166</v>
      </c>
      <c r="O2339" s="129">
        <v>1.0</v>
      </c>
      <c r="P2339" s="159" t="str">
        <f t="shared" ref="P2339:P2340" si="132">SUBSTITUTE(LOWER(N2339), "/", "--") &amp;  ".pdf"</f>
        <v>10.1080--09515089.2014.894431.pdf</v>
      </c>
      <c r="Q2339" s="52" t="str">
        <f t="array" ref="Q2339"> if(iserror(MATCH(V2339, 'File Links'!C:C, 0)), "N/A", HYPERLINK(INDEX('File Links'!B:B, MATCH(P2339, 'File Links'!C:C, 0))))</f>
        <v>https://drive.google.com/file/d/1zG4Fc_IEv6joOTyPj0JeBdLMNt-6vqsC/view?usp=drivesdk</v>
      </c>
      <c r="R2339" s="2028" t="s">
        <v>5028</v>
      </c>
      <c r="S2339" s="310" t="s">
        <v>5029</v>
      </c>
      <c r="T2339" s="310" t="s">
        <v>5030</v>
      </c>
      <c r="U2339" s="156">
        <v>38.0</v>
      </c>
      <c r="V2339" s="159" t="str">
        <f t="shared" si="123"/>
        <v>10.1007--s13164-018-0400-9.pdf</v>
      </c>
      <c r="W2339" s="1290" t="s">
        <v>5031</v>
      </c>
      <c r="X2339" s="54" t="str">
        <f t="array" ref="X2339"> if(iserror(MATCH(V2339, 'File Links'!C:C, 0)), "N/A", HYPERLINK(INDEX('File Links'!B:B, MATCH(V2339, 'File Links'!C:C, 0))))</f>
        <v>https://drive.google.com/file/d/1hjI3aqifdfXjWhQAlvKCKKtvjuncAn5M/view?usp=drivesdk</v>
      </c>
      <c r="Y2339" s="68"/>
      <c r="Z2339" s="159" t="s">
        <v>165</v>
      </c>
      <c r="AA2339" s="129" t="s">
        <v>138</v>
      </c>
      <c r="AB2339" s="159" t="s">
        <v>14181</v>
      </c>
      <c r="AC2339" s="1370" t="s">
        <v>14169</v>
      </c>
      <c r="AD2339" s="159" t="s">
        <v>14182</v>
      </c>
      <c r="AE2339" s="159" t="s">
        <v>13833</v>
      </c>
      <c r="AF2339" s="156">
        <v>169.0</v>
      </c>
      <c r="AG2339" s="864">
        <v>3296.0</v>
      </c>
      <c r="AH2339" s="159" t="s">
        <v>722</v>
      </c>
      <c r="AI2339" s="339" t="s">
        <v>628</v>
      </c>
      <c r="AJ2339" s="129" t="s">
        <v>138</v>
      </c>
      <c r="AK2339" s="129" t="s">
        <v>138</v>
      </c>
      <c r="AL2339" s="159" t="s">
        <v>186</v>
      </c>
      <c r="AM2339" s="129" t="s">
        <v>137</v>
      </c>
      <c r="AN2339" s="129" t="s">
        <v>138</v>
      </c>
      <c r="AO2339" s="156">
        <v>304.0</v>
      </c>
      <c r="AP2339" s="151" t="s">
        <v>14183</v>
      </c>
      <c r="AQ2339" s="159" t="s">
        <v>134</v>
      </c>
      <c r="AR2339" s="159" t="s">
        <v>14184</v>
      </c>
      <c r="AS2339" s="156">
        <v>0.001</v>
      </c>
      <c r="AT2339" s="159" t="s">
        <v>135</v>
      </c>
      <c r="AU2339" s="159" t="s">
        <v>186</v>
      </c>
      <c r="AV2339" s="159" t="s">
        <v>137</v>
      </c>
      <c r="AW2339" s="310" t="s">
        <v>14172</v>
      </c>
      <c r="AX2339" s="159" t="s">
        <v>143</v>
      </c>
      <c r="AY2339" s="61" t="str">
        <f>IFERROR(__xludf.DUMMYFUNCTION("vlookup(BB2339,importrange(""https://docs.google.com/spreadsheets/d/1d2vevQ_7D_v35q4wCQ4RpQ_IPoTwEMB9Yp6ymwlPqew/edit?gid=984458430#gid=984458430"", ""'replication success'!A:K""), 11, FAlSE)"),"successful")</f>
        <v>successful</v>
      </c>
      <c r="AZ2339" s="91" t="str">
        <f>IFERROR(__xludf.DUMMYFUNCTION("vlookup(BB2339,importrange(""https://docs.google.com/spreadsheets/d/1d2vevQ_7D_v35q4wCQ4RpQ_IPoTwEMB9Yp6ymwlPqew/edit?gid=984458430#gid=984458430"", ""'replication success'!A:M""), 12, FAlSE)"),"https://osf.io/4ewkh")</f>
        <v>https://osf.io/4ewkh</v>
      </c>
      <c r="BA2339" s="91" t="str">
        <f>IFERROR(__xludf.DUMMYFUNCTION("vlookup(BB2339,importrange(""https://docs.google.com/spreadsheets/d/1d2vevQ_7D_v35q4wCQ4RpQ_IPoTwEMB9Yp6ymwlPqew/edit?gid=984458430#gid=984458430"", ""'replication success'!A:M""), 13, FAlSE)"),"https://osf.io/4ewkh")</f>
        <v>https://osf.io/4ewkh</v>
      </c>
      <c r="BB2339" s="61" t="str">
        <f>IFERROR(__xludf.DUMMYFUNCTION("REGEXREPLACE(G2339, ""_[a-z]{1,2}$"", """")"),"XPHI38")</f>
        <v>XPHI38</v>
      </c>
      <c r="BD2339" s="154" t="s">
        <v>249</v>
      </c>
    </row>
    <row r="2340">
      <c r="A2340" s="44">
        <v>2340.0</v>
      </c>
      <c r="B2340" s="129" t="s">
        <v>152</v>
      </c>
      <c r="C2340" s="62" t="s">
        <v>115</v>
      </c>
      <c r="D2340" s="62" t="s">
        <v>1270</v>
      </c>
      <c r="F2340" s="2027" t="s">
        <v>14185</v>
      </c>
      <c r="G2340" s="159" t="s">
        <v>14186</v>
      </c>
      <c r="H2340" s="1287" t="s">
        <v>5024</v>
      </c>
      <c r="I2340" s="152">
        <v>45675.0</v>
      </c>
      <c r="J2340" s="153">
        <v>45727.0</v>
      </c>
      <c r="K2340" s="68"/>
      <c r="L2340" s="129" t="s">
        <v>14187</v>
      </c>
      <c r="M2340" s="159" t="s">
        <v>14188</v>
      </c>
      <c r="N2340" s="159" t="s">
        <v>14189</v>
      </c>
      <c r="O2340" s="129">
        <v>1.0</v>
      </c>
      <c r="P2340" s="159" t="str">
        <f t="shared" si="132"/>
        <v>10.1111--nous.12017.pdf</v>
      </c>
      <c r="Q2340" s="52" t="str">
        <f t="array" ref="Q2340"> if(iserror(MATCH(V2340, 'File Links'!C:C, 0)), "N/A", HYPERLINK(INDEX('File Links'!B:B, MATCH(P2340, 'File Links'!C:C, 0))))</f>
        <v>https://drive.google.com/file/d/1siDzTCg5TAqWvx1F7jfvqWF5y01jo9l6/view?usp=drivesdk</v>
      </c>
      <c r="R2340" s="2028" t="s">
        <v>5028</v>
      </c>
      <c r="S2340" s="310" t="s">
        <v>5029</v>
      </c>
      <c r="T2340" s="2064" t="s">
        <v>14190</v>
      </c>
      <c r="U2340" s="156">
        <v>39.0</v>
      </c>
      <c r="V2340" s="159" t="str">
        <f t="shared" si="123"/>
        <v>10.1007--s13164-018-0400-9.pdf</v>
      </c>
      <c r="W2340" s="1290" t="s">
        <v>5031</v>
      </c>
      <c r="X2340" s="54" t="str">
        <f t="array" ref="X2340"> if(iserror(MATCH(V2340, 'File Links'!C:C, 0)), "N/A", HYPERLINK(INDEX('File Links'!B:B, MATCH(V2340, 'File Links'!C:C, 0))))</f>
        <v>https://drive.google.com/file/d/1hjI3aqifdfXjWhQAlvKCKKtvjuncAn5M/view?usp=drivesdk</v>
      </c>
      <c r="Y2340" s="68"/>
      <c r="Z2340" s="159" t="s">
        <v>165</v>
      </c>
      <c r="AA2340" s="129" t="s">
        <v>138</v>
      </c>
      <c r="AB2340" s="159" t="s">
        <v>14191</v>
      </c>
      <c r="AC2340" s="1370" t="s">
        <v>14192</v>
      </c>
      <c r="AD2340" s="159" t="s">
        <v>14193</v>
      </c>
      <c r="AE2340" s="159" t="s">
        <v>14194</v>
      </c>
      <c r="AF2340" s="156">
        <v>264.0</v>
      </c>
      <c r="AG2340" s="159" t="s">
        <v>14195</v>
      </c>
      <c r="AH2340" s="159" t="s">
        <v>134</v>
      </c>
      <c r="AI2340" s="339" t="s">
        <v>14196</v>
      </c>
      <c r="AJ2340" s="379">
        <v>0.001</v>
      </c>
      <c r="AK2340" s="57" t="s">
        <v>135</v>
      </c>
      <c r="AL2340" s="159" t="s">
        <v>186</v>
      </c>
      <c r="AM2340" s="57" t="s">
        <v>137</v>
      </c>
      <c r="AN2340" s="1370" t="s">
        <v>138</v>
      </c>
      <c r="AO2340" s="1292">
        <v>442.0</v>
      </c>
      <c r="AP2340" s="159" t="s">
        <v>14197</v>
      </c>
      <c r="AQ2340" s="159" t="s">
        <v>134</v>
      </c>
      <c r="AR2340" s="159" t="s">
        <v>5030</v>
      </c>
      <c r="AS2340" s="156">
        <v>0.001</v>
      </c>
      <c r="AT2340" s="159" t="s">
        <v>135</v>
      </c>
      <c r="AU2340" s="159" t="s">
        <v>186</v>
      </c>
      <c r="AV2340" s="159" t="s">
        <v>137</v>
      </c>
      <c r="AW2340" s="310" t="s">
        <v>14198</v>
      </c>
      <c r="AX2340" s="159" t="s">
        <v>143</v>
      </c>
      <c r="AY2340" s="61" t="str">
        <f>IFERROR(__xludf.DUMMYFUNCTION("vlookup(BB2340,importrange(""https://docs.google.com/spreadsheets/d/1d2vevQ_7D_v35q4wCQ4RpQ_IPoTwEMB9Yp6ymwlPqew/edit?gid=984458430#gid=984458430"", ""'replication success'!A:K""), 11, FAlSE)"),"successful")</f>
        <v>successful</v>
      </c>
      <c r="AZ2340" s="91" t="str">
        <f>IFERROR(__xludf.DUMMYFUNCTION("vlookup(BB2340,importrange(""https://docs.google.com/spreadsheets/d/1d2vevQ_7D_v35q4wCQ4RpQ_IPoTwEMB9Yp6ymwlPqew/edit?gid=984458430#gid=984458430"", ""'replication success'!A:M""), 12, FAlSE)"),"https://osf.io/4ewkh")</f>
        <v>https://osf.io/4ewkh</v>
      </c>
      <c r="BA2340" s="91" t="str">
        <f>IFERROR(__xludf.DUMMYFUNCTION("vlookup(BB2340,importrange(""https://docs.google.com/spreadsheets/d/1d2vevQ_7D_v35q4wCQ4RpQ_IPoTwEMB9Yp6ymwlPqew/edit?gid=984458430#gid=984458430"", ""'replication success'!A:M""), 13, FAlSE)"),"https://osf.io/4ewkh")</f>
        <v>https://osf.io/4ewkh</v>
      </c>
      <c r="BB2340" s="61" t="str">
        <f>IFERROR(__xludf.DUMMYFUNCTION("REGEXREPLACE(G2340, ""_[a-z]{1,2}$"", """")"),"XPHI39")</f>
        <v>XPHI39</v>
      </c>
      <c r="BD2340" s="155" t="s">
        <v>13578</v>
      </c>
    </row>
    <row r="2341">
      <c r="A2341" s="44">
        <v>2341.0</v>
      </c>
      <c r="B2341" s="45" t="s">
        <v>114</v>
      </c>
      <c r="C2341" s="62" t="s">
        <v>115</v>
      </c>
      <c r="D2341" s="62" t="s">
        <v>248</v>
      </c>
      <c r="F2341" s="2027" t="s">
        <v>14185</v>
      </c>
      <c r="G2341" s="159" t="s">
        <v>14186</v>
      </c>
      <c r="H2341" s="1287" t="s">
        <v>249</v>
      </c>
      <c r="I2341" s="152">
        <v>45331.0</v>
      </c>
      <c r="J2341" s="153">
        <v>45727.0</v>
      </c>
      <c r="K2341" s="68"/>
      <c r="L2341" s="68"/>
      <c r="M2341" s="159" t="s">
        <v>14188</v>
      </c>
      <c r="N2341" s="159" t="s">
        <v>14189</v>
      </c>
      <c r="O2341" s="129">
        <v>1.0</v>
      </c>
      <c r="P2341" s="159" t="s">
        <v>14199</v>
      </c>
      <c r="Q2341" s="52" t="str">
        <f t="array" ref="Q2341"> if(iserror(MATCH(V2341, 'File Links'!C:C, 0)), "N/A", HYPERLINK(INDEX('File Links'!B:B, MATCH(P2341, 'File Links'!C:C, 0))))</f>
        <v>https://drive.google.com/file/d/1siDzTCg5TAqWvx1F7jfvqWF5y01jo9l6/view?usp=drivesdk</v>
      </c>
      <c r="R2341" s="2028" t="s">
        <v>5028</v>
      </c>
      <c r="S2341" s="159" t="s">
        <v>5029</v>
      </c>
      <c r="T2341" s="2007" t="s">
        <v>14190</v>
      </c>
      <c r="U2341" s="1370">
        <v>39.0</v>
      </c>
      <c r="V2341" s="159" t="str">
        <f t="shared" si="123"/>
        <v>10.1007--s13164-018-0400-9.pdf</v>
      </c>
      <c r="W2341" s="1290" t="s">
        <v>5031</v>
      </c>
      <c r="X2341" s="54" t="str">
        <f t="array" ref="X2341"> if(iserror(MATCH(V2341, 'File Links'!C:C, 0)), "N/A", HYPERLINK(INDEX('File Links'!B:B, MATCH(V2341, 'File Links'!C:C, 0))))</f>
        <v>https://drive.google.com/file/d/1hjI3aqifdfXjWhQAlvKCKKtvjuncAn5M/view?usp=drivesdk</v>
      </c>
      <c r="Y2341" s="68"/>
      <c r="Z2341" s="159" t="s">
        <v>165</v>
      </c>
      <c r="AA2341" s="129" t="s">
        <v>138</v>
      </c>
      <c r="AB2341" s="1060" t="s">
        <v>14200</v>
      </c>
      <c r="AC2341" s="1370" t="s">
        <v>14192</v>
      </c>
      <c r="AD2341" s="159" t="s">
        <v>14201</v>
      </c>
      <c r="AE2341" s="159" t="s">
        <v>14202</v>
      </c>
      <c r="AF2341" s="156">
        <v>264.0</v>
      </c>
      <c r="AG2341" s="1056" t="s">
        <v>14203</v>
      </c>
      <c r="AH2341" s="119" t="s">
        <v>134</v>
      </c>
      <c r="AI2341" s="2057" t="s">
        <v>14196</v>
      </c>
      <c r="AJ2341" s="379">
        <v>0.001</v>
      </c>
      <c r="AK2341" s="57" t="s">
        <v>135</v>
      </c>
      <c r="AL2341" s="159" t="s">
        <v>186</v>
      </c>
      <c r="AM2341" s="1286" t="s">
        <v>141</v>
      </c>
      <c r="AN2341" s="1370" t="s">
        <v>138</v>
      </c>
      <c r="AO2341" s="1292">
        <v>442.0</v>
      </c>
      <c r="AP2341" s="1056" t="s">
        <v>14204</v>
      </c>
      <c r="AQ2341" s="151" t="s">
        <v>134</v>
      </c>
      <c r="AR2341" s="159"/>
      <c r="AS2341" s="156">
        <v>0.001</v>
      </c>
      <c r="AT2341" s="159" t="s">
        <v>135</v>
      </c>
      <c r="AU2341" s="159" t="s">
        <v>186</v>
      </c>
      <c r="AV2341" s="154" t="s">
        <v>141</v>
      </c>
      <c r="AW2341" s="1389" t="s">
        <v>14198</v>
      </c>
      <c r="AX2341" s="154" t="s">
        <v>143</v>
      </c>
      <c r="AY2341" s="61" t="str">
        <f>IFERROR(__xludf.DUMMYFUNCTION("vlookup(BB2341,importrange(""https://docs.google.com/spreadsheets/d/1d2vevQ_7D_v35q4wCQ4RpQ_IPoTwEMB9Yp6ymwlPqew/edit?gid=984458430#gid=984458430"", ""'replication success'!A:K""), 11, FAlSE)"),"successful")</f>
        <v>successful</v>
      </c>
      <c r="AZ2341" s="91" t="str">
        <f>IFERROR(__xludf.DUMMYFUNCTION("vlookup(BB2341,importrange(""https://docs.google.com/spreadsheets/d/1d2vevQ_7D_v35q4wCQ4RpQ_IPoTwEMB9Yp6ymwlPqew/edit?gid=984458430#gid=984458430"", ""'replication success'!A:M""), 12, FAlSE)"),"https://osf.io/4ewkh")</f>
        <v>https://osf.io/4ewkh</v>
      </c>
      <c r="BA2341" s="91" t="str">
        <f>IFERROR(__xludf.DUMMYFUNCTION("vlookup(BB2341,importrange(""https://docs.google.com/spreadsheets/d/1d2vevQ_7D_v35q4wCQ4RpQ_IPoTwEMB9Yp6ymwlPqew/edit?gid=984458430#gid=984458430"", ""'replication success'!A:M""), 13, FAlSE)"),"https://osf.io/4ewkh")</f>
        <v>https://osf.io/4ewkh</v>
      </c>
      <c r="BB2341" s="61" t="str">
        <f>IFERROR(__xludf.DUMMYFUNCTION("REGEXREPLACE(G2341, ""_[a-z]{1,2}$"", """")"),"XPHI39")</f>
        <v>XPHI39</v>
      </c>
      <c r="BD2341" s="155" t="s">
        <v>13578</v>
      </c>
    </row>
    <row r="2342">
      <c r="A2342" s="44">
        <v>2342.0</v>
      </c>
      <c r="B2342" s="68" t="s">
        <v>152</v>
      </c>
      <c r="C2342" s="62" t="s">
        <v>115</v>
      </c>
      <c r="D2342" s="62" t="s">
        <v>248</v>
      </c>
      <c r="F2342" s="61" t="s">
        <v>14185</v>
      </c>
      <c r="G2342" s="159" t="s">
        <v>14205</v>
      </c>
      <c r="H2342" s="1287" t="s">
        <v>249</v>
      </c>
      <c r="I2342" s="152">
        <v>45331.0</v>
      </c>
      <c r="J2342" s="152">
        <v>45691.0</v>
      </c>
      <c r="K2342" s="68"/>
      <c r="L2342" s="68" t="s">
        <v>13642</v>
      </c>
      <c r="M2342" s="159" t="s">
        <v>14188</v>
      </c>
      <c r="N2342" s="159" t="s">
        <v>14189</v>
      </c>
      <c r="O2342" s="129">
        <v>1.0</v>
      </c>
      <c r="P2342" s="159" t="s">
        <v>14199</v>
      </c>
      <c r="Q2342" s="52" t="str">
        <f t="array" ref="Q2342"> if(iserror(MATCH(V2342, 'File Links'!C:C, 0)), "N/A", HYPERLINK(INDEX('File Links'!B:B, MATCH(P2342, 'File Links'!C:C, 0))))</f>
        <v>https://drive.google.com/file/d/1siDzTCg5TAqWvx1F7jfvqWF5y01jo9l6/view?usp=drivesdk</v>
      </c>
      <c r="R2342" s="2028" t="s">
        <v>5028</v>
      </c>
      <c r="S2342" s="680" t="s">
        <v>5029</v>
      </c>
      <c r="T2342" s="2078" t="s">
        <v>5030</v>
      </c>
      <c r="U2342" s="156">
        <v>39.0</v>
      </c>
      <c r="V2342" s="159" t="str">
        <f t="shared" si="123"/>
        <v>10.1007--s13164-018-0400-9.pdf</v>
      </c>
      <c r="W2342" s="1290" t="s">
        <v>5031</v>
      </c>
      <c r="X2342" s="54" t="str">
        <f t="array" ref="X2342"> if(iserror(MATCH(V2342, 'File Links'!C:C, 0)), "N/A", HYPERLINK(INDEX('File Links'!B:B, MATCH(V2342, 'File Links'!C:C, 0))))</f>
        <v>https://drive.google.com/file/d/1hjI3aqifdfXjWhQAlvKCKKtvjuncAn5M/view?usp=drivesdk</v>
      </c>
      <c r="Y2342" s="68"/>
      <c r="Z2342" s="159" t="s">
        <v>165</v>
      </c>
      <c r="AA2342" s="129" t="s">
        <v>138</v>
      </c>
      <c r="AB2342" s="159" t="s">
        <v>14206</v>
      </c>
      <c r="AC2342" s="68"/>
      <c r="AD2342" s="159" t="s">
        <v>14207</v>
      </c>
      <c r="AE2342" s="159" t="s">
        <v>171</v>
      </c>
      <c r="AF2342" s="156">
        <v>264.0</v>
      </c>
      <c r="AG2342" s="161" t="s">
        <v>14208</v>
      </c>
      <c r="AH2342" s="119" t="s">
        <v>134</v>
      </c>
      <c r="AI2342" s="151" t="s">
        <v>14196</v>
      </c>
      <c r="AJ2342" s="379">
        <v>0.24</v>
      </c>
      <c r="AK2342" s="57" t="s">
        <v>172</v>
      </c>
      <c r="AL2342" s="159" t="s">
        <v>186</v>
      </c>
      <c r="AM2342" s="57" t="s">
        <v>137</v>
      </c>
      <c r="AN2342" s="68"/>
      <c r="AO2342" s="156">
        <v>442.0</v>
      </c>
      <c r="AP2342" s="159" t="s">
        <v>14209</v>
      </c>
      <c r="AQ2342" s="151" t="s">
        <v>134</v>
      </c>
      <c r="AS2342" s="156">
        <v>0.64</v>
      </c>
      <c r="AT2342" s="159" t="s">
        <v>172</v>
      </c>
      <c r="AU2342" s="159" t="s">
        <v>186</v>
      </c>
      <c r="AV2342" s="159" t="s">
        <v>137</v>
      </c>
      <c r="AW2342" s="680" t="s">
        <v>14210</v>
      </c>
      <c r="AX2342" s="159" t="s">
        <v>143</v>
      </c>
      <c r="AY2342" s="61" t="str">
        <f>IFERROR(__xludf.DUMMYFUNCTION("vlookup(BB2342,importrange(""https://docs.google.com/spreadsheets/d/1d2vevQ_7D_v35q4wCQ4RpQ_IPoTwEMB9Yp6ymwlPqew/edit?gid=984458430#gid=984458430"", ""'replication success'!A:K""), 11, FAlSE)"),"successful")</f>
        <v>successful</v>
      </c>
      <c r="AZ2342" s="91" t="str">
        <f>IFERROR(__xludf.DUMMYFUNCTION("vlookup(BB2342,importrange(""https://docs.google.com/spreadsheets/d/1d2vevQ_7D_v35q4wCQ4RpQ_IPoTwEMB9Yp6ymwlPqew/edit?gid=984458430#gid=984458430"", ""'replication success'!A:M""), 12, FAlSE)"),"https://osf.io/4ewkh")</f>
        <v>https://osf.io/4ewkh</v>
      </c>
      <c r="BA2342" s="91" t="str">
        <f>IFERROR(__xludf.DUMMYFUNCTION("vlookup(BB2342,importrange(""https://docs.google.com/spreadsheets/d/1d2vevQ_7D_v35q4wCQ4RpQ_IPoTwEMB9Yp6ymwlPqew/edit?gid=984458430#gid=984458430"", ""'replication success'!A:M""), 13, FAlSE)"),"https://osf.io/4ewkh")</f>
        <v>https://osf.io/4ewkh</v>
      </c>
      <c r="BB2342" s="61" t="str">
        <f>IFERROR(__xludf.DUMMYFUNCTION("REGEXREPLACE(G2342, ""_[a-z]{1,2}$"", """")"),"XPHI39")</f>
        <v>XPHI39</v>
      </c>
      <c r="BD2342" s="154" t="s">
        <v>249</v>
      </c>
    </row>
    <row r="2343">
      <c r="A2343" s="44">
        <v>2343.0</v>
      </c>
      <c r="B2343" s="68" t="s">
        <v>114</v>
      </c>
      <c r="C2343" s="62" t="s">
        <v>115</v>
      </c>
      <c r="D2343" s="62" t="s">
        <v>1270</v>
      </c>
      <c r="F2343" s="61" t="s">
        <v>14185</v>
      </c>
      <c r="G2343" s="151" t="s">
        <v>14205</v>
      </c>
      <c r="H2343" s="1287" t="s">
        <v>5024</v>
      </c>
      <c r="I2343" s="152">
        <v>45675.0</v>
      </c>
      <c r="J2343" s="152">
        <v>45691.0</v>
      </c>
      <c r="K2343" s="68"/>
      <c r="L2343" s="68" t="s">
        <v>13642</v>
      </c>
      <c r="M2343" s="159" t="s">
        <v>14188</v>
      </c>
      <c r="N2343" s="159" t="s">
        <v>14189</v>
      </c>
      <c r="O2343" s="129">
        <v>1.0</v>
      </c>
      <c r="P2343" s="159" t="s">
        <v>14199</v>
      </c>
      <c r="Q2343" s="52" t="str">
        <f t="array" ref="Q2343"> if(iserror(MATCH(V2343, 'File Links'!C:C, 0)), "N/A", HYPERLINK(INDEX('File Links'!B:B, MATCH(P2343, 'File Links'!C:C, 0))))</f>
        <v>https://drive.google.com/file/d/1siDzTCg5TAqWvx1F7jfvqWF5y01jo9l6/view?usp=drivesdk</v>
      </c>
      <c r="R2343" s="2028" t="s">
        <v>5028</v>
      </c>
      <c r="S2343" s="2078" t="s">
        <v>5029</v>
      </c>
      <c r="T2343" s="2078" t="s">
        <v>5030</v>
      </c>
      <c r="U2343" s="156">
        <v>39.0</v>
      </c>
      <c r="V2343" s="159" t="str">
        <f t="shared" si="123"/>
        <v>10.1007--s13164-018-0400-9.pdf</v>
      </c>
      <c r="W2343" s="1290" t="s">
        <v>5031</v>
      </c>
      <c r="X2343" s="54" t="str">
        <f t="array" ref="X2343"> if(iserror(MATCH(V2343, 'File Links'!C:C, 0)), "N/A", HYPERLINK(INDEX('File Links'!B:B, MATCH(V2343, 'File Links'!C:C, 0))))</f>
        <v>https://drive.google.com/file/d/1hjI3aqifdfXjWhQAlvKCKKtvjuncAn5M/view?usp=drivesdk</v>
      </c>
      <c r="Y2343" s="68"/>
      <c r="Z2343" s="159" t="s">
        <v>165</v>
      </c>
      <c r="AA2343" s="129" t="s">
        <v>138</v>
      </c>
      <c r="AB2343" s="159" t="s">
        <v>14191</v>
      </c>
      <c r="AC2343" s="68"/>
      <c r="AD2343" s="159" t="s">
        <v>14211</v>
      </c>
      <c r="AE2343" s="159" t="s">
        <v>14194</v>
      </c>
      <c r="AF2343" s="156">
        <v>264.0</v>
      </c>
      <c r="AG2343" s="159" t="s">
        <v>14212</v>
      </c>
      <c r="AH2343" s="159" t="s">
        <v>134</v>
      </c>
      <c r="AI2343" s="339" t="s">
        <v>14196</v>
      </c>
      <c r="AJ2343" s="379">
        <v>0.24</v>
      </c>
      <c r="AK2343" s="57" t="s">
        <v>172</v>
      </c>
      <c r="AL2343" s="159" t="s">
        <v>186</v>
      </c>
      <c r="AM2343" s="57" t="s">
        <v>137</v>
      </c>
      <c r="AN2343" s="68"/>
      <c r="AO2343" s="156">
        <v>442.0</v>
      </c>
      <c r="AP2343" s="159" t="s">
        <v>14209</v>
      </c>
      <c r="AQ2343" s="159" t="s">
        <v>134</v>
      </c>
      <c r="AR2343" s="159" t="s">
        <v>14213</v>
      </c>
      <c r="AS2343" s="156">
        <v>0.64</v>
      </c>
      <c r="AT2343" s="159" t="s">
        <v>172</v>
      </c>
      <c r="AU2343" s="159" t="s">
        <v>186</v>
      </c>
      <c r="AV2343" s="159" t="s">
        <v>137</v>
      </c>
      <c r="AW2343" s="310" t="s">
        <v>14198</v>
      </c>
      <c r="AX2343" s="159" t="s">
        <v>143</v>
      </c>
      <c r="AY2343" s="61" t="str">
        <f>IFERROR(__xludf.DUMMYFUNCTION("vlookup(BB2343,importrange(""https://docs.google.com/spreadsheets/d/1d2vevQ_7D_v35q4wCQ4RpQ_IPoTwEMB9Yp6ymwlPqew/edit?gid=984458430#gid=984458430"", ""'replication success'!A:K""), 11, FAlSE)"),"successful")</f>
        <v>successful</v>
      </c>
      <c r="AZ2343" s="91" t="str">
        <f>IFERROR(__xludf.DUMMYFUNCTION("vlookup(BB2343,importrange(""https://docs.google.com/spreadsheets/d/1d2vevQ_7D_v35q4wCQ4RpQ_IPoTwEMB9Yp6ymwlPqew/edit?gid=984458430#gid=984458430"", ""'replication success'!A:M""), 12, FAlSE)"),"https://osf.io/4ewkh")</f>
        <v>https://osf.io/4ewkh</v>
      </c>
      <c r="BA2343" s="91" t="str">
        <f>IFERROR(__xludf.DUMMYFUNCTION("vlookup(BB2343,importrange(""https://docs.google.com/spreadsheets/d/1d2vevQ_7D_v35q4wCQ4RpQ_IPoTwEMB9Yp6ymwlPqew/edit?gid=984458430#gid=984458430"", ""'replication success'!A:M""), 13, FAlSE)"),"https://osf.io/4ewkh")</f>
        <v>https://osf.io/4ewkh</v>
      </c>
      <c r="BB2343" s="61" t="str">
        <f>IFERROR(__xludf.DUMMYFUNCTION("REGEXREPLACE(G2343, ""_[a-z]{1,2}$"", """")"),"XPHI39")</f>
        <v>XPHI39</v>
      </c>
      <c r="BD2343" s="154" t="s">
        <v>249</v>
      </c>
    </row>
    <row r="2344">
      <c r="A2344" s="44">
        <v>2344.0</v>
      </c>
      <c r="B2344" s="154" t="s">
        <v>152</v>
      </c>
      <c r="C2344" s="62" t="s">
        <v>115</v>
      </c>
      <c r="D2344" s="62" t="s">
        <v>248</v>
      </c>
      <c r="F2344" s="61" t="s">
        <v>14185</v>
      </c>
      <c r="G2344" s="159" t="s">
        <v>14214</v>
      </c>
      <c r="H2344" s="1287" t="s">
        <v>249</v>
      </c>
      <c r="I2344" s="152">
        <v>45331.0</v>
      </c>
      <c r="J2344" s="152">
        <v>45691.0</v>
      </c>
      <c r="K2344" s="68"/>
      <c r="L2344" s="68" t="s">
        <v>13642</v>
      </c>
      <c r="M2344" s="159" t="s">
        <v>14188</v>
      </c>
      <c r="N2344" s="159" t="s">
        <v>14189</v>
      </c>
      <c r="O2344" s="129">
        <v>1.0</v>
      </c>
      <c r="P2344" s="159" t="s">
        <v>14199</v>
      </c>
      <c r="Q2344" s="52" t="str">
        <f t="array" ref="Q2344"> if(iserror(MATCH(V2344, 'File Links'!C:C, 0)), "N/A", HYPERLINK(INDEX('File Links'!B:B, MATCH(P2344, 'File Links'!C:C, 0))))</f>
        <v>https://drive.google.com/file/d/1siDzTCg5TAqWvx1F7jfvqWF5y01jo9l6/view?usp=drivesdk</v>
      </c>
      <c r="R2344" s="2028" t="s">
        <v>5028</v>
      </c>
      <c r="S2344" s="2078" t="s">
        <v>5029</v>
      </c>
      <c r="T2344" s="2078" t="s">
        <v>5030</v>
      </c>
      <c r="U2344" s="156">
        <v>39.0</v>
      </c>
      <c r="V2344" s="159" t="str">
        <f t="shared" si="123"/>
        <v>10.1007--s13164-018-0400-9.pdf</v>
      </c>
      <c r="W2344" s="1290" t="s">
        <v>5031</v>
      </c>
      <c r="X2344" s="54" t="str">
        <f t="array" ref="X2344"> if(iserror(MATCH(V2344, 'File Links'!C:C, 0)), "N/A", HYPERLINK(INDEX('File Links'!B:B, MATCH(V2344, 'File Links'!C:C, 0))))</f>
        <v>https://drive.google.com/file/d/1hjI3aqifdfXjWhQAlvKCKKtvjuncAn5M/view?usp=drivesdk</v>
      </c>
      <c r="Y2344" s="68"/>
      <c r="Z2344" s="159" t="s">
        <v>165</v>
      </c>
      <c r="AA2344" s="129" t="s">
        <v>138</v>
      </c>
      <c r="AB2344" s="159" t="s">
        <v>14215</v>
      </c>
      <c r="AC2344" s="68"/>
      <c r="AD2344" s="159" t="s">
        <v>14207</v>
      </c>
      <c r="AE2344" s="159" t="s">
        <v>171</v>
      </c>
      <c r="AF2344" s="156">
        <v>264.0</v>
      </c>
      <c r="AG2344" s="161" t="s">
        <v>14216</v>
      </c>
      <c r="AH2344" s="119" t="s">
        <v>134</v>
      </c>
      <c r="AI2344" s="151" t="s">
        <v>14196</v>
      </c>
      <c r="AJ2344" s="379">
        <v>0.83</v>
      </c>
      <c r="AK2344" s="57" t="s">
        <v>172</v>
      </c>
      <c r="AL2344" s="159" t="s">
        <v>186</v>
      </c>
      <c r="AM2344" s="57" t="s">
        <v>137</v>
      </c>
      <c r="AN2344" s="68"/>
      <c r="AO2344" s="156">
        <v>442.0</v>
      </c>
      <c r="AP2344" s="159" t="s">
        <v>14217</v>
      </c>
      <c r="AQ2344" s="151" t="s">
        <v>134</v>
      </c>
      <c r="AS2344" s="156">
        <v>0.35</v>
      </c>
      <c r="AT2344" s="159" t="s">
        <v>172</v>
      </c>
      <c r="AU2344" s="159" t="s">
        <v>186</v>
      </c>
      <c r="AV2344" s="159" t="s">
        <v>137</v>
      </c>
      <c r="AW2344" s="680" t="s">
        <v>14218</v>
      </c>
      <c r="AX2344" s="159" t="s">
        <v>143</v>
      </c>
      <c r="AY2344" s="61" t="str">
        <f>IFERROR(__xludf.DUMMYFUNCTION("vlookup(BB2344,importrange(""https://docs.google.com/spreadsheets/d/1d2vevQ_7D_v35q4wCQ4RpQ_IPoTwEMB9Yp6ymwlPqew/edit?gid=984458430#gid=984458430"", ""'replication success'!A:K""), 11, FAlSE)"),"successful")</f>
        <v>successful</v>
      </c>
      <c r="AZ2344" s="91" t="str">
        <f>IFERROR(__xludf.DUMMYFUNCTION("vlookup(BB2344,importrange(""https://docs.google.com/spreadsheets/d/1d2vevQ_7D_v35q4wCQ4RpQ_IPoTwEMB9Yp6ymwlPqew/edit?gid=984458430#gid=984458430"", ""'replication success'!A:M""), 12, FAlSE)"),"https://osf.io/4ewkh")</f>
        <v>https://osf.io/4ewkh</v>
      </c>
      <c r="BA2344" s="91" t="str">
        <f>IFERROR(__xludf.DUMMYFUNCTION("vlookup(BB2344,importrange(""https://docs.google.com/spreadsheets/d/1d2vevQ_7D_v35q4wCQ4RpQ_IPoTwEMB9Yp6ymwlPqew/edit?gid=984458430#gid=984458430"", ""'replication success'!A:M""), 13, FAlSE)"),"https://osf.io/4ewkh")</f>
        <v>https://osf.io/4ewkh</v>
      </c>
      <c r="BB2344" s="61" t="str">
        <f>IFERROR(__xludf.DUMMYFUNCTION("REGEXREPLACE(G2344, ""_[a-z]{1,2}$"", """")"),"XPHI39")</f>
        <v>XPHI39</v>
      </c>
      <c r="BD2344" s="154" t="s">
        <v>249</v>
      </c>
    </row>
    <row r="2345">
      <c r="A2345" s="44">
        <v>2345.0</v>
      </c>
      <c r="B2345" s="154" t="s">
        <v>114</v>
      </c>
      <c r="C2345" s="62" t="s">
        <v>115</v>
      </c>
      <c r="D2345" s="62" t="s">
        <v>1270</v>
      </c>
      <c r="F2345" s="61" t="s">
        <v>14185</v>
      </c>
      <c r="G2345" s="151" t="s">
        <v>14214</v>
      </c>
      <c r="H2345" s="1287" t="s">
        <v>5024</v>
      </c>
      <c r="I2345" s="152">
        <v>45675.0</v>
      </c>
      <c r="J2345" s="152">
        <v>45691.0</v>
      </c>
      <c r="K2345" s="68"/>
      <c r="L2345" s="68" t="s">
        <v>13642</v>
      </c>
      <c r="M2345" s="159" t="s">
        <v>14188</v>
      </c>
      <c r="N2345" s="159" t="s">
        <v>14189</v>
      </c>
      <c r="O2345" s="129">
        <v>1.0</v>
      </c>
      <c r="P2345" s="159" t="s">
        <v>14199</v>
      </c>
      <c r="Q2345" s="52" t="str">
        <f t="array" ref="Q2345"> if(iserror(MATCH(V2345, 'File Links'!C:C, 0)), "N/A", HYPERLINK(INDEX('File Links'!B:B, MATCH(P2345, 'File Links'!C:C, 0))))</f>
        <v>https://drive.google.com/file/d/1siDzTCg5TAqWvx1F7jfvqWF5y01jo9l6/view?usp=drivesdk</v>
      </c>
      <c r="R2345" s="2028" t="s">
        <v>5028</v>
      </c>
      <c r="S2345" s="2078" t="s">
        <v>5029</v>
      </c>
      <c r="T2345" s="2078" t="s">
        <v>5030</v>
      </c>
      <c r="U2345" s="156">
        <v>39.0</v>
      </c>
      <c r="V2345" s="159" t="str">
        <f t="shared" si="123"/>
        <v>10.1007--s13164-018-0400-9.pdf</v>
      </c>
      <c r="W2345" s="1290" t="s">
        <v>5031</v>
      </c>
      <c r="X2345" s="54" t="str">
        <f t="array" ref="X2345"> if(iserror(MATCH(V2345, 'File Links'!C:C, 0)), "N/A", HYPERLINK(INDEX('File Links'!B:B, MATCH(V2345, 'File Links'!C:C, 0))))</f>
        <v>https://drive.google.com/file/d/1hjI3aqifdfXjWhQAlvKCKKtvjuncAn5M/view?usp=drivesdk</v>
      </c>
      <c r="Y2345" s="68"/>
      <c r="Z2345" s="159" t="s">
        <v>165</v>
      </c>
      <c r="AA2345" s="129" t="s">
        <v>138</v>
      </c>
      <c r="AB2345" s="159" t="s">
        <v>14191</v>
      </c>
      <c r="AC2345" s="68"/>
      <c r="AD2345" s="159" t="s">
        <v>14219</v>
      </c>
      <c r="AE2345" s="159" t="s">
        <v>14194</v>
      </c>
      <c r="AF2345" s="156">
        <v>264.0</v>
      </c>
      <c r="AG2345" s="159" t="s">
        <v>14220</v>
      </c>
      <c r="AH2345" s="159" t="s">
        <v>134</v>
      </c>
      <c r="AI2345" s="339" t="s">
        <v>14196</v>
      </c>
      <c r="AJ2345" s="379">
        <v>0.83</v>
      </c>
      <c r="AK2345" s="57" t="s">
        <v>172</v>
      </c>
      <c r="AL2345" s="159" t="s">
        <v>186</v>
      </c>
      <c r="AM2345" s="57" t="s">
        <v>137</v>
      </c>
      <c r="AN2345" s="68"/>
      <c r="AO2345" s="156">
        <v>442.0</v>
      </c>
      <c r="AP2345" s="159" t="s">
        <v>14217</v>
      </c>
      <c r="AQ2345" s="159" t="s">
        <v>134</v>
      </c>
      <c r="AR2345" s="159" t="s">
        <v>14213</v>
      </c>
      <c r="AS2345" s="156">
        <v>0.35</v>
      </c>
      <c r="AT2345" s="159" t="s">
        <v>172</v>
      </c>
      <c r="AU2345" s="159" t="s">
        <v>186</v>
      </c>
      <c r="AV2345" s="159" t="s">
        <v>137</v>
      </c>
      <c r="AW2345" s="310" t="s">
        <v>14198</v>
      </c>
      <c r="AX2345" s="159" t="s">
        <v>143</v>
      </c>
      <c r="AY2345" s="61" t="str">
        <f>IFERROR(__xludf.DUMMYFUNCTION("vlookup(BB2345,importrange(""https://docs.google.com/spreadsheets/d/1d2vevQ_7D_v35q4wCQ4RpQ_IPoTwEMB9Yp6ymwlPqew/edit?gid=984458430#gid=984458430"", ""'replication success'!A:K""), 11, FAlSE)"),"successful")</f>
        <v>successful</v>
      </c>
      <c r="AZ2345" s="91" t="str">
        <f>IFERROR(__xludf.DUMMYFUNCTION("vlookup(BB2345,importrange(""https://docs.google.com/spreadsheets/d/1d2vevQ_7D_v35q4wCQ4RpQ_IPoTwEMB9Yp6ymwlPqew/edit?gid=984458430#gid=984458430"", ""'replication success'!A:M""), 12, FAlSE)"),"https://osf.io/4ewkh")</f>
        <v>https://osf.io/4ewkh</v>
      </c>
      <c r="BA2345" s="91" t="str">
        <f>IFERROR(__xludf.DUMMYFUNCTION("vlookup(BB2345,importrange(""https://docs.google.com/spreadsheets/d/1d2vevQ_7D_v35q4wCQ4RpQ_IPoTwEMB9Yp6ymwlPqew/edit?gid=984458430#gid=984458430"", ""'replication success'!A:M""), 13, FAlSE)"),"https://osf.io/4ewkh")</f>
        <v>https://osf.io/4ewkh</v>
      </c>
      <c r="BB2345" s="61" t="str">
        <f>IFERROR(__xludf.DUMMYFUNCTION("REGEXREPLACE(G2345, ""_[a-z]{1,2}$"", """")"),"XPHI39")</f>
        <v>XPHI39</v>
      </c>
      <c r="BD2345" s="154" t="s">
        <v>249</v>
      </c>
    </row>
    <row r="2346">
      <c r="A2346" s="44">
        <v>2346.0</v>
      </c>
      <c r="B2346" s="129" t="s">
        <v>152</v>
      </c>
      <c r="C2346" s="62" t="s">
        <v>115</v>
      </c>
      <c r="D2346" s="62" t="s">
        <v>1270</v>
      </c>
      <c r="F2346" s="1286" t="s">
        <v>14221</v>
      </c>
      <c r="G2346" s="159" t="s">
        <v>14222</v>
      </c>
      <c r="H2346" s="1287" t="s">
        <v>5024</v>
      </c>
      <c r="I2346" s="152">
        <v>45667.0</v>
      </c>
      <c r="J2346" s="153">
        <v>45727.0</v>
      </c>
      <c r="K2346" s="159" t="s">
        <v>14223</v>
      </c>
      <c r="L2346" s="129" t="s">
        <v>14224</v>
      </c>
      <c r="M2346" s="159" t="s">
        <v>14225</v>
      </c>
      <c r="N2346" s="159" t="s">
        <v>14226</v>
      </c>
      <c r="O2346" s="129">
        <v>1.0</v>
      </c>
      <c r="P2346" s="159" t="str">
        <f>SUBSTITUTE(LOWER(N2346), "/", "--") &amp;  ".pdf"</f>
        <v>10.1111--j.1467-8284.2004.00481.x.pdf</v>
      </c>
      <c r="Q2346" s="52" t="str">
        <f t="array" ref="Q2346"> if(iserror(MATCH(V2346, 'File Links'!C:C, 0)), "N/A", HYPERLINK(INDEX('File Links'!B:B, MATCH(P2346, 'File Links'!C:C, 0))))</f>
        <v>https://drive.google.com/file/d/1KEBKYl19fq4HtJxW3DL6KczxjYJ94hp2/view?usp=drivesdk</v>
      </c>
      <c r="R2346" s="2028" t="s">
        <v>5028</v>
      </c>
      <c r="S2346" s="310" t="s">
        <v>5029</v>
      </c>
      <c r="T2346" s="2064" t="s">
        <v>14227</v>
      </c>
      <c r="U2346" s="156">
        <v>4.0</v>
      </c>
      <c r="V2346" s="159" t="str">
        <f t="shared" si="123"/>
        <v>10.1007--s13164-018-0400-9.pdf</v>
      </c>
      <c r="W2346" s="1290" t="s">
        <v>5031</v>
      </c>
      <c r="X2346" s="54" t="str">
        <f t="array" ref="X2346"> if(iserror(MATCH(V2346, 'File Links'!C:C, 0)), "N/A", HYPERLINK(INDEX('File Links'!B:B, MATCH(V2346, 'File Links'!C:C, 0))))</f>
        <v>https://drive.google.com/file/d/1hjI3aqifdfXjWhQAlvKCKKtvjuncAn5M/view?usp=drivesdk</v>
      </c>
      <c r="Y2346" s="68"/>
      <c r="Z2346" s="159" t="s">
        <v>165</v>
      </c>
      <c r="AA2346" s="129" t="s">
        <v>138</v>
      </c>
      <c r="AB2346" s="151" t="s">
        <v>14228</v>
      </c>
      <c r="AC2346" s="1370" t="s">
        <v>14229</v>
      </c>
      <c r="AD2346" s="159" t="s">
        <v>14230</v>
      </c>
      <c r="AE2346" s="156">
        <v>4.0</v>
      </c>
      <c r="AF2346" s="156">
        <v>77.0</v>
      </c>
      <c r="AG2346" s="159" t="s">
        <v>14231</v>
      </c>
      <c r="AH2346" s="159" t="s">
        <v>134</v>
      </c>
      <c r="AI2346" s="339" t="s">
        <v>850</v>
      </c>
      <c r="AJ2346" s="379">
        <v>0.01</v>
      </c>
      <c r="AK2346" s="57" t="s">
        <v>172</v>
      </c>
      <c r="AL2346" s="159" t="s">
        <v>186</v>
      </c>
      <c r="AM2346" s="57" t="s">
        <v>137</v>
      </c>
      <c r="AN2346" s="129" t="s">
        <v>138</v>
      </c>
      <c r="AO2346" s="1292">
        <v>127.0</v>
      </c>
      <c r="AP2346" s="1292">
        <v>1.27</v>
      </c>
      <c r="AQ2346" s="159" t="s">
        <v>173</v>
      </c>
      <c r="AR2346" s="2064" t="s">
        <v>14227</v>
      </c>
      <c r="AS2346" s="156">
        <v>0.001</v>
      </c>
      <c r="AT2346" s="159" t="s">
        <v>135</v>
      </c>
      <c r="AU2346" s="159" t="s">
        <v>186</v>
      </c>
      <c r="AV2346" s="159" t="s">
        <v>137</v>
      </c>
      <c r="AW2346" s="1389" t="s">
        <v>14232</v>
      </c>
      <c r="AX2346" s="159" t="s">
        <v>143</v>
      </c>
      <c r="AY2346" s="61" t="str">
        <f>IFERROR(__xludf.DUMMYFUNCTION("vlookup(BB2346,importrange(""https://docs.google.com/spreadsheets/d/1d2vevQ_7D_v35q4wCQ4RpQ_IPoTwEMB9Yp6ymwlPqew/edit?gid=984458430#gid=984458430"", ""'replication success'!A:K""), 11, FAlSE)"),"successful")</f>
        <v>successful</v>
      </c>
      <c r="AZ2346" s="91" t="str">
        <f>IFERROR(__xludf.DUMMYFUNCTION("vlookup(BB2346,importrange(""https://docs.google.com/spreadsheets/d/1d2vevQ_7D_v35q4wCQ4RpQ_IPoTwEMB9Yp6ymwlPqew/edit?gid=984458430#gid=984458430"", ""'replication success'!A:M""), 12, FAlSE)"),"https://osf.io/4ewkh")</f>
        <v>https://osf.io/4ewkh</v>
      </c>
      <c r="BA2346" s="91" t="str">
        <f>IFERROR(__xludf.DUMMYFUNCTION("vlookup(BB2346,importrange(""https://docs.google.com/spreadsheets/d/1d2vevQ_7D_v35q4wCQ4RpQ_IPoTwEMB9Yp6ymwlPqew/edit?gid=984458430#gid=984458430"", ""'replication success'!A:M""), 13, FAlSE)"),"https://osf.io/4ewkh")</f>
        <v>https://osf.io/4ewkh</v>
      </c>
      <c r="BB2346" s="61" t="str">
        <f>IFERROR(__xludf.DUMMYFUNCTION("REGEXREPLACE(G2346, ""_[a-z]{1,2}$"", """")"),"XPHI4")</f>
        <v>XPHI4</v>
      </c>
      <c r="BD2346" s="155" t="s">
        <v>13578</v>
      </c>
    </row>
    <row r="2347">
      <c r="A2347" s="44">
        <v>2347.0</v>
      </c>
      <c r="B2347" s="45" t="s">
        <v>114</v>
      </c>
      <c r="C2347" s="62" t="s">
        <v>115</v>
      </c>
      <c r="D2347" s="62" t="s">
        <v>248</v>
      </c>
      <c r="F2347" s="1286" t="s">
        <v>14221</v>
      </c>
      <c r="G2347" s="159" t="s">
        <v>14222</v>
      </c>
      <c r="H2347" s="1287" t="s">
        <v>249</v>
      </c>
      <c r="I2347" s="152">
        <v>45331.0</v>
      </c>
      <c r="J2347" s="153">
        <v>45727.0</v>
      </c>
      <c r="K2347" s="159" t="s">
        <v>14233</v>
      </c>
      <c r="L2347" s="159" t="s">
        <v>14234</v>
      </c>
      <c r="M2347" s="159" t="s">
        <v>14225</v>
      </c>
      <c r="N2347" s="159" t="s">
        <v>14226</v>
      </c>
      <c r="O2347" s="129">
        <v>1.0</v>
      </c>
      <c r="P2347" s="159" t="s">
        <v>14235</v>
      </c>
      <c r="Q2347" s="52" t="str">
        <f t="array" ref="Q2347"> if(iserror(MATCH(V2347, 'File Links'!C:C, 0)), "N/A", HYPERLINK(INDEX('File Links'!B:B, MATCH(P2347, 'File Links'!C:C, 0))))</f>
        <v>https://drive.google.com/file/d/1KEBKYl19fq4HtJxW3DL6KczxjYJ94hp2/view?usp=drivesdk</v>
      </c>
      <c r="R2347" s="2028" t="s">
        <v>5028</v>
      </c>
      <c r="S2347" s="159" t="s">
        <v>5029</v>
      </c>
      <c r="T2347" s="2007" t="s">
        <v>14227</v>
      </c>
      <c r="U2347" s="1370">
        <v>4.0</v>
      </c>
      <c r="V2347" s="159" t="str">
        <f t="shared" si="123"/>
        <v>10.1007--s13164-018-0400-9.pdf</v>
      </c>
      <c r="W2347" s="1290" t="s">
        <v>5031</v>
      </c>
      <c r="X2347" s="54" t="str">
        <f t="array" ref="X2347"> if(iserror(MATCH(V2347, 'File Links'!C:C, 0)), "N/A", HYPERLINK(INDEX('File Links'!B:B, MATCH(V2347, 'File Links'!C:C, 0))))</f>
        <v>https://drive.google.com/file/d/1hjI3aqifdfXjWhQAlvKCKKtvjuncAn5M/view?usp=drivesdk</v>
      </c>
      <c r="Y2347" s="68"/>
      <c r="Z2347" s="159" t="s">
        <v>165</v>
      </c>
      <c r="AA2347" s="129" t="s">
        <v>138</v>
      </c>
      <c r="AB2347" s="151" t="s">
        <v>14236</v>
      </c>
      <c r="AC2347" s="1370" t="s">
        <v>14229</v>
      </c>
      <c r="AD2347" s="159" t="s">
        <v>14237</v>
      </c>
      <c r="AE2347" s="159" t="s">
        <v>496</v>
      </c>
      <c r="AF2347" s="156">
        <v>77.0</v>
      </c>
      <c r="AG2347" s="159" t="s">
        <v>14231</v>
      </c>
      <c r="AH2347" s="159" t="s">
        <v>134</v>
      </c>
      <c r="AI2347" s="2029" t="s">
        <v>14238</v>
      </c>
      <c r="AJ2347" s="379">
        <v>0.01</v>
      </c>
      <c r="AK2347" s="57" t="s">
        <v>172</v>
      </c>
      <c r="AL2347" s="159" t="s">
        <v>186</v>
      </c>
      <c r="AM2347" s="1286" t="s">
        <v>137</v>
      </c>
      <c r="AN2347" s="1370" t="s">
        <v>138</v>
      </c>
      <c r="AO2347" s="1292">
        <v>127.0</v>
      </c>
      <c r="AP2347" s="156">
        <v>1.27</v>
      </c>
      <c r="AQ2347" s="159" t="s">
        <v>173</v>
      </c>
      <c r="AR2347" s="159" t="s">
        <v>14239</v>
      </c>
      <c r="AS2347" s="156">
        <v>0.001</v>
      </c>
      <c r="AT2347" s="159" t="s">
        <v>135</v>
      </c>
      <c r="AU2347" s="159" t="s">
        <v>186</v>
      </c>
      <c r="AV2347" s="154" t="s">
        <v>137</v>
      </c>
      <c r="AW2347" s="310" t="s">
        <v>14232</v>
      </c>
      <c r="AX2347" s="154" t="s">
        <v>143</v>
      </c>
      <c r="AY2347" s="61" t="str">
        <f>IFERROR(__xludf.DUMMYFUNCTION("vlookup(BB2347,importrange(""https://docs.google.com/spreadsheets/d/1d2vevQ_7D_v35q4wCQ4RpQ_IPoTwEMB9Yp6ymwlPqew/edit?gid=984458430#gid=984458430"", ""'replication success'!A:K""), 11, FAlSE)"),"successful")</f>
        <v>successful</v>
      </c>
      <c r="AZ2347" s="91" t="str">
        <f>IFERROR(__xludf.DUMMYFUNCTION("vlookup(BB2347,importrange(""https://docs.google.com/spreadsheets/d/1d2vevQ_7D_v35q4wCQ4RpQ_IPoTwEMB9Yp6ymwlPqew/edit?gid=984458430#gid=984458430"", ""'replication success'!A:M""), 12, FAlSE)"),"https://osf.io/4ewkh")</f>
        <v>https://osf.io/4ewkh</v>
      </c>
      <c r="BA2347" s="91" t="str">
        <f>IFERROR(__xludf.DUMMYFUNCTION("vlookup(BB2347,importrange(""https://docs.google.com/spreadsheets/d/1d2vevQ_7D_v35q4wCQ4RpQ_IPoTwEMB9Yp6ymwlPqew/edit?gid=984458430#gid=984458430"", ""'replication success'!A:M""), 13, FAlSE)"),"https://osf.io/4ewkh")</f>
        <v>https://osf.io/4ewkh</v>
      </c>
      <c r="BB2347" s="61" t="str">
        <f>IFERROR(__xludf.DUMMYFUNCTION("REGEXREPLACE(G2347, ""_[a-z]{1,2}$"", """")"),"XPHI4")</f>
        <v>XPHI4</v>
      </c>
      <c r="BD2347" s="155" t="s">
        <v>13578</v>
      </c>
    </row>
    <row r="2348">
      <c r="A2348" s="44">
        <v>2348.0</v>
      </c>
      <c r="B2348" s="129" t="s">
        <v>152</v>
      </c>
      <c r="C2348" s="62" t="s">
        <v>115</v>
      </c>
      <c r="D2348" s="62" t="s">
        <v>1270</v>
      </c>
      <c r="F2348" s="1286" t="s">
        <v>14240</v>
      </c>
      <c r="G2348" s="159" t="s">
        <v>14241</v>
      </c>
      <c r="H2348" s="1287" t="s">
        <v>5024</v>
      </c>
      <c r="I2348" s="152">
        <v>45675.0</v>
      </c>
      <c r="J2348" s="152">
        <v>45691.0</v>
      </c>
      <c r="K2348" s="68"/>
      <c r="L2348" s="129" t="s">
        <v>14242</v>
      </c>
      <c r="M2348" s="159" t="s">
        <v>14243</v>
      </c>
      <c r="N2348" s="159" t="s">
        <v>14244</v>
      </c>
      <c r="O2348" s="156">
        <v>1.0</v>
      </c>
      <c r="P2348" s="159" t="str">
        <f>SUBSTITUTE(LOWER(N2348), "/", "--") &amp;  ".pdf"</f>
        <v>10.1016--j.cognition.2015.01.013.pdf</v>
      </c>
      <c r="Q2348" s="52" t="str">
        <f t="array" ref="Q2348"> if(iserror(MATCH(V2348, 'File Links'!C:C, 0)), "N/A", HYPERLINK(INDEX('File Links'!B:B, MATCH(P2348, 'File Links'!C:C, 0))))</f>
        <v>https://drive.google.com/file/d/15kuHQf8erGaSOBxt1lOz994u1DIsHk_v/view?usp=drivesdk</v>
      </c>
      <c r="R2348" s="2028" t="s">
        <v>5028</v>
      </c>
      <c r="S2348" s="310" t="s">
        <v>5029</v>
      </c>
      <c r="T2348" s="2064" t="s">
        <v>14245</v>
      </c>
      <c r="U2348" s="156">
        <v>40.0</v>
      </c>
      <c r="V2348" s="159" t="str">
        <f t="shared" si="123"/>
        <v>10.1007--s13164-018-0400-9.pdf</v>
      </c>
      <c r="W2348" s="1290" t="s">
        <v>5031</v>
      </c>
      <c r="X2348" s="54" t="str">
        <f t="array" ref="X2348"> if(iserror(MATCH(V2348, 'File Links'!C:C, 0)), "N/A", HYPERLINK(INDEX('File Links'!B:B, MATCH(V2348, 'File Links'!C:C, 0))))</f>
        <v>https://drive.google.com/file/d/1hjI3aqifdfXjWhQAlvKCKKtvjuncAn5M/view?usp=drivesdk</v>
      </c>
      <c r="Y2348" s="68"/>
      <c r="Z2348" s="159" t="s">
        <v>165</v>
      </c>
      <c r="AA2348" s="129" t="s">
        <v>138</v>
      </c>
      <c r="AB2348" s="159" t="s">
        <v>14246</v>
      </c>
      <c r="AC2348" s="1370" t="s">
        <v>14247</v>
      </c>
      <c r="AD2348" s="159" t="s">
        <v>14248</v>
      </c>
      <c r="AE2348" s="159" t="s">
        <v>14249</v>
      </c>
      <c r="AF2348" s="156">
        <v>60.0</v>
      </c>
      <c r="AG2348" s="159" t="s">
        <v>14250</v>
      </c>
      <c r="AH2348" s="159" t="s">
        <v>173</v>
      </c>
      <c r="AI2348" s="339" t="s">
        <v>140</v>
      </c>
      <c r="AJ2348" s="379">
        <v>0.031</v>
      </c>
      <c r="AK2348" s="57" t="s">
        <v>172</v>
      </c>
      <c r="AL2348" s="159" t="s">
        <v>186</v>
      </c>
      <c r="AM2348" s="57" t="s">
        <v>137</v>
      </c>
      <c r="AN2348" s="129" t="s">
        <v>138</v>
      </c>
      <c r="AO2348" s="1292">
        <v>200.0</v>
      </c>
      <c r="AP2348" s="159" t="s">
        <v>14251</v>
      </c>
      <c r="AQ2348" s="159" t="s">
        <v>173</v>
      </c>
      <c r="AR2348" s="52" t="s">
        <v>14245</v>
      </c>
      <c r="AS2348" s="156">
        <v>0.001</v>
      </c>
      <c r="AT2348" s="159" t="s">
        <v>135</v>
      </c>
      <c r="AU2348" s="159" t="s">
        <v>186</v>
      </c>
      <c r="AV2348" s="159" t="s">
        <v>137</v>
      </c>
      <c r="AW2348" s="310" t="s">
        <v>14252</v>
      </c>
      <c r="AX2348" s="159" t="s">
        <v>143</v>
      </c>
      <c r="AY2348" s="61" t="str">
        <f>IFERROR(__xludf.DUMMYFUNCTION("vlookup(BB2348,importrange(""https://docs.google.com/spreadsheets/d/1d2vevQ_7D_v35q4wCQ4RpQ_IPoTwEMB9Yp6ymwlPqew/edit?gid=984458430#gid=984458430"", ""'replication success'!A:K""), 11, FAlSE)"),"successful")</f>
        <v>successful</v>
      </c>
      <c r="AZ2348" s="91" t="str">
        <f>IFERROR(__xludf.DUMMYFUNCTION("vlookup(BB2348,importrange(""https://docs.google.com/spreadsheets/d/1d2vevQ_7D_v35q4wCQ4RpQ_IPoTwEMB9Yp6ymwlPqew/edit?gid=984458430#gid=984458430"", ""'replication success'!A:M""), 12, FAlSE)"),"https://osf.io/4ewkh")</f>
        <v>https://osf.io/4ewkh</v>
      </c>
      <c r="BA2348" s="91" t="str">
        <f>IFERROR(__xludf.DUMMYFUNCTION("vlookup(BB2348,importrange(""https://docs.google.com/spreadsheets/d/1d2vevQ_7D_v35q4wCQ4RpQ_IPoTwEMB9Yp6ymwlPqew/edit?gid=984458430#gid=984458430"", ""'replication success'!A:M""), 13, FAlSE)"),"https://osf.io/4ewkh")</f>
        <v>https://osf.io/4ewkh</v>
      </c>
      <c r="BB2348" s="61" t="str">
        <f>IFERROR(__xludf.DUMMYFUNCTION("REGEXREPLACE(G2348, ""_[a-z]{1,2}$"", """")"),"XPHI40")</f>
        <v>XPHI40</v>
      </c>
      <c r="BD2348" s="155" t="s">
        <v>13578</v>
      </c>
    </row>
    <row r="2349">
      <c r="A2349" s="44">
        <v>2349.0</v>
      </c>
      <c r="B2349" s="45" t="s">
        <v>114</v>
      </c>
      <c r="C2349" s="62" t="s">
        <v>115</v>
      </c>
      <c r="D2349" s="62" t="s">
        <v>248</v>
      </c>
      <c r="F2349" s="1286" t="s">
        <v>14240</v>
      </c>
      <c r="G2349" s="159" t="s">
        <v>14241</v>
      </c>
      <c r="H2349" s="1287" t="s">
        <v>249</v>
      </c>
      <c r="I2349" s="152">
        <v>45331.0</v>
      </c>
      <c r="J2349" s="152">
        <v>45691.0</v>
      </c>
      <c r="K2349" s="68"/>
      <c r="L2349" s="68"/>
      <c r="M2349" s="159" t="s">
        <v>14243</v>
      </c>
      <c r="N2349" s="159" t="s">
        <v>14244</v>
      </c>
      <c r="O2349" s="129">
        <v>1.0</v>
      </c>
      <c r="P2349" s="159" t="s">
        <v>14253</v>
      </c>
      <c r="Q2349" s="52" t="str">
        <f t="array" ref="Q2349"> if(iserror(MATCH(V2349, 'File Links'!C:C, 0)), "N/A", HYPERLINK(INDEX('File Links'!B:B, MATCH(P2349, 'File Links'!C:C, 0))))</f>
        <v>https://drive.google.com/file/d/15kuHQf8erGaSOBxt1lOz994u1DIsHk_v/view?usp=drivesdk</v>
      </c>
      <c r="R2349" s="2028" t="s">
        <v>5028</v>
      </c>
      <c r="S2349" s="159" t="s">
        <v>5029</v>
      </c>
      <c r="T2349" s="68"/>
      <c r="U2349" s="1370">
        <v>40.0</v>
      </c>
      <c r="V2349" s="159" t="str">
        <f t="shared" si="123"/>
        <v>10.1007--s13164-018-0400-9.pdf</v>
      </c>
      <c r="W2349" s="1290" t="s">
        <v>5031</v>
      </c>
      <c r="X2349" s="54" t="str">
        <f t="array" ref="X2349"> if(iserror(MATCH(V2349, 'File Links'!C:C, 0)), "N/A", HYPERLINK(INDEX('File Links'!B:B, MATCH(V2349, 'File Links'!C:C, 0))))</f>
        <v>https://drive.google.com/file/d/1hjI3aqifdfXjWhQAlvKCKKtvjuncAn5M/view?usp=drivesdk</v>
      </c>
      <c r="Y2349" s="68"/>
      <c r="Z2349" s="159" t="s">
        <v>165</v>
      </c>
      <c r="AA2349" s="129" t="s">
        <v>138</v>
      </c>
      <c r="AB2349" s="159" t="s">
        <v>14246</v>
      </c>
      <c r="AC2349" s="1370" t="s">
        <v>14247</v>
      </c>
      <c r="AD2349" s="1060" t="s">
        <v>14254</v>
      </c>
      <c r="AE2349" s="159" t="s">
        <v>140</v>
      </c>
      <c r="AF2349" s="156">
        <v>60.0</v>
      </c>
      <c r="AG2349" s="156">
        <v>0.568</v>
      </c>
      <c r="AH2349" s="159" t="s">
        <v>173</v>
      </c>
      <c r="AI2349" s="2029" t="s">
        <v>14255</v>
      </c>
      <c r="AJ2349" s="379">
        <v>0.031</v>
      </c>
      <c r="AK2349" s="57" t="s">
        <v>172</v>
      </c>
      <c r="AL2349" s="159" t="s">
        <v>186</v>
      </c>
      <c r="AM2349" s="1286" t="s">
        <v>137</v>
      </c>
      <c r="AN2349" s="1370" t="s">
        <v>138</v>
      </c>
      <c r="AO2349" s="1292">
        <v>200.0</v>
      </c>
      <c r="AP2349" s="156">
        <v>0.58</v>
      </c>
      <c r="AQ2349" s="159" t="s">
        <v>173</v>
      </c>
      <c r="AR2349" s="159" t="s">
        <v>14256</v>
      </c>
      <c r="AS2349" s="156">
        <v>0.001</v>
      </c>
      <c r="AT2349" s="159" t="s">
        <v>135</v>
      </c>
      <c r="AU2349" s="159" t="s">
        <v>186</v>
      </c>
      <c r="AV2349" s="154" t="s">
        <v>137</v>
      </c>
      <c r="AW2349" s="680" t="s">
        <v>14257</v>
      </c>
      <c r="AX2349" s="154" t="s">
        <v>143</v>
      </c>
      <c r="AY2349" s="61" t="str">
        <f>IFERROR(__xludf.DUMMYFUNCTION("vlookup(BB2349,importrange(""https://docs.google.com/spreadsheets/d/1d2vevQ_7D_v35q4wCQ4RpQ_IPoTwEMB9Yp6ymwlPqew/edit?gid=984458430#gid=984458430"", ""'replication success'!A:K""), 11, FAlSE)"),"successful")</f>
        <v>successful</v>
      </c>
      <c r="AZ2349" s="91" t="str">
        <f>IFERROR(__xludf.DUMMYFUNCTION("vlookup(BB2349,importrange(""https://docs.google.com/spreadsheets/d/1d2vevQ_7D_v35q4wCQ4RpQ_IPoTwEMB9Yp6ymwlPqew/edit?gid=984458430#gid=984458430"", ""'replication success'!A:M""), 12, FAlSE)"),"https://osf.io/4ewkh")</f>
        <v>https://osf.io/4ewkh</v>
      </c>
      <c r="BA2349" s="91" t="str">
        <f>IFERROR(__xludf.DUMMYFUNCTION("vlookup(BB2349,importrange(""https://docs.google.com/spreadsheets/d/1d2vevQ_7D_v35q4wCQ4RpQ_IPoTwEMB9Yp6ymwlPqew/edit?gid=984458430#gid=984458430"", ""'replication success'!A:M""), 13, FAlSE)"),"https://osf.io/4ewkh")</f>
        <v>https://osf.io/4ewkh</v>
      </c>
      <c r="BB2349" s="61" t="str">
        <f>IFERROR(__xludf.DUMMYFUNCTION("REGEXREPLACE(G2349, ""_[a-z]{1,2}$"", """")"),"XPHI40")</f>
        <v>XPHI40</v>
      </c>
      <c r="BD2349" s="155" t="s">
        <v>13578</v>
      </c>
    </row>
    <row r="2350">
      <c r="A2350" s="44">
        <v>2350.0</v>
      </c>
      <c r="B2350" s="68" t="s">
        <v>152</v>
      </c>
      <c r="C2350" s="62" t="s">
        <v>115</v>
      </c>
      <c r="D2350" s="62" t="s">
        <v>1270</v>
      </c>
      <c r="F2350" s="61" t="s">
        <v>14240</v>
      </c>
      <c r="G2350" s="151" t="s">
        <v>14258</v>
      </c>
      <c r="H2350" s="1287" t="s">
        <v>5024</v>
      </c>
      <c r="I2350" s="152">
        <v>45675.0</v>
      </c>
      <c r="J2350" s="152">
        <v>45691.0</v>
      </c>
      <c r="K2350" s="68"/>
      <c r="L2350" s="68" t="s">
        <v>13642</v>
      </c>
      <c r="M2350" s="159" t="s">
        <v>14243</v>
      </c>
      <c r="N2350" s="159" t="s">
        <v>14244</v>
      </c>
      <c r="O2350" s="156">
        <v>1.0</v>
      </c>
      <c r="P2350" s="159" t="str">
        <f t="shared" ref="P2350:P2351" si="133">SUBSTITUTE(LOWER(N2350), "/", "--") &amp;  ".pdf"</f>
        <v>10.1016--j.cognition.2015.01.013.pdf</v>
      </c>
      <c r="Q2350" s="52" t="str">
        <f t="array" ref="Q2350"> if(iserror(MATCH(V2350, 'File Links'!C:C, 0)), "N/A", HYPERLINK(INDEX('File Links'!B:B, MATCH(P2350, 'File Links'!C:C, 0))))</f>
        <v>https://drive.google.com/file/d/15kuHQf8erGaSOBxt1lOz994u1DIsHk_v/view?usp=drivesdk</v>
      </c>
      <c r="R2350" s="2028" t="s">
        <v>5028</v>
      </c>
      <c r="S2350" s="310" t="s">
        <v>5029</v>
      </c>
      <c r="T2350" s="310" t="s">
        <v>5030</v>
      </c>
      <c r="U2350" s="156">
        <v>40.0</v>
      </c>
      <c r="V2350" s="159" t="str">
        <f t="shared" si="123"/>
        <v>10.1007--s13164-018-0400-9.pdf</v>
      </c>
      <c r="W2350" s="1290" t="s">
        <v>5031</v>
      </c>
      <c r="X2350" s="54" t="str">
        <f t="array" ref="X2350"> if(iserror(MATCH(V2350, 'File Links'!C:C, 0)), "N/A", HYPERLINK(INDEX('File Links'!B:B, MATCH(V2350, 'File Links'!C:C, 0))))</f>
        <v>https://drive.google.com/file/d/1hjI3aqifdfXjWhQAlvKCKKtvjuncAn5M/view?usp=drivesdk</v>
      </c>
      <c r="Y2350" s="68"/>
      <c r="Z2350" s="159" t="s">
        <v>165</v>
      </c>
      <c r="AA2350" s="129" t="s">
        <v>138</v>
      </c>
      <c r="AB2350" s="159" t="s">
        <v>14246</v>
      </c>
      <c r="AC2350" s="1370" t="s">
        <v>14247</v>
      </c>
      <c r="AD2350" s="159" t="s">
        <v>14259</v>
      </c>
      <c r="AE2350" s="156">
        <v>6.0</v>
      </c>
      <c r="AF2350" s="156">
        <v>60.0</v>
      </c>
      <c r="AG2350" s="159" t="s">
        <v>14260</v>
      </c>
      <c r="AH2350" s="159" t="s">
        <v>173</v>
      </c>
      <c r="AI2350" s="339" t="s">
        <v>140</v>
      </c>
      <c r="AJ2350" s="379">
        <v>0.005</v>
      </c>
      <c r="AK2350" s="57" t="s">
        <v>172</v>
      </c>
      <c r="AL2350" s="159" t="s">
        <v>186</v>
      </c>
      <c r="AM2350" s="57" t="s">
        <v>137</v>
      </c>
      <c r="AN2350" s="68"/>
      <c r="AO2350" s="156">
        <v>200.0</v>
      </c>
      <c r="AP2350" s="159" t="s">
        <v>14261</v>
      </c>
      <c r="AQ2350" s="159" t="s">
        <v>134</v>
      </c>
      <c r="AR2350" s="159" t="s">
        <v>14262</v>
      </c>
      <c r="AS2350" s="156">
        <v>0.1647</v>
      </c>
      <c r="AT2350" s="159" t="s">
        <v>172</v>
      </c>
      <c r="AU2350" s="159" t="s">
        <v>186</v>
      </c>
      <c r="AV2350" s="159" t="s">
        <v>137</v>
      </c>
      <c r="AW2350" s="310" t="s">
        <v>14252</v>
      </c>
      <c r="AX2350" s="159" t="s">
        <v>143</v>
      </c>
      <c r="AY2350" s="61" t="str">
        <f>IFERROR(__xludf.DUMMYFUNCTION("vlookup(BB2350,importrange(""https://docs.google.com/spreadsheets/d/1d2vevQ_7D_v35q4wCQ4RpQ_IPoTwEMB9Yp6ymwlPqew/edit?gid=984458430#gid=984458430"", ""'replication success'!A:K""), 11, FAlSE)"),"successful")</f>
        <v>successful</v>
      </c>
      <c r="AZ2350" s="91" t="str">
        <f>IFERROR(__xludf.DUMMYFUNCTION("vlookup(BB2350,importrange(""https://docs.google.com/spreadsheets/d/1d2vevQ_7D_v35q4wCQ4RpQ_IPoTwEMB9Yp6ymwlPqew/edit?gid=984458430#gid=984458430"", ""'replication success'!A:M""), 12, FAlSE)"),"https://osf.io/4ewkh")</f>
        <v>https://osf.io/4ewkh</v>
      </c>
      <c r="BA2350" s="91" t="str">
        <f>IFERROR(__xludf.DUMMYFUNCTION("vlookup(BB2350,importrange(""https://docs.google.com/spreadsheets/d/1d2vevQ_7D_v35q4wCQ4RpQ_IPoTwEMB9Yp6ymwlPqew/edit?gid=984458430#gid=984458430"", ""'replication success'!A:M""), 13, FAlSE)"),"https://osf.io/4ewkh")</f>
        <v>https://osf.io/4ewkh</v>
      </c>
      <c r="BB2350" s="61" t="str">
        <f>IFERROR(__xludf.DUMMYFUNCTION("REGEXREPLACE(G2350, ""_[a-z]{1,2}$"", """")"),"XPHI40")</f>
        <v>XPHI40</v>
      </c>
      <c r="BD2350" s="154" t="s">
        <v>249</v>
      </c>
    </row>
    <row r="2351">
      <c r="A2351" s="44">
        <v>2351.0</v>
      </c>
      <c r="B2351" s="45" t="s">
        <v>114</v>
      </c>
      <c r="C2351" s="62" t="s">
        <v>115</v>
      </c>
      <c r="D2351" s="62" t="s">
        <v>1270</v>
      </c>
      <c r="F2351" s="1286" t="s">
        <v>14263</v>
      </c>
      <c r="G2351" s="159" t="s">
        <v>14264</v>
      </c>
      <c r="H2351" s="1287" t="s">
        <v>5024</v>
      </c>
      <c r="I2351" s="152">
        <v>45667.0</v>
      </c>
      <c r="J2351" s="152">
        <v>45691.0</v>
      </c>
      <c r="K2351" s="68"/>
      <c r="L2351" s="1392" t="s">
        <v>14265</v>
      </c>
      <c r="M2351" s="159" t="s">
        <v>14266</v>
      </c>
      <c r="N2351" s="159" t="s">
        <v>14267</v>
      </c>
      <c r="O2351" s="156">
        <v>3.0</v>
      </c>
      <c r="P2351" s="159" t="str">
        <f t="shared" si="133"/>
        <v>10.1080--0951508042000202354.pdf</v>
      </c>
      <c r="Q2351" s="52" t="str">
        <f t="array" ref="Q2351"> if(iserror(MATCH(V2351, 'File Links'!C:C, 0)), "N/A", HYPERLINK(INDEX('File Links'!B:B, MATCH(P2351, 'File Links'!C:C, 0))))</f>
        <v>https://drive.google.com/file/d/1kCe7dne_GNfNSHLYlAzOzBcQn9yFuOr2/view?usp=drivesdk</v>
      </c>
      <c r="R2351" s="2028" t="s">
        <v>5028</v>
      </c>
      <c r="S2351" s="310" t="s">
        <v>5029</v>
      </c>
      <c r="T2351" s="2064" t="s">
        <v>14268</v>
      </c>
      <c r="U2351" s="1059">
        <v>5.0</v>
      </c>
      <c r="V2351" s="159" t="str">
        <f t="shared" si="123"/>
        <v>10.1007--s13164-018-0400-9.pdf</v>
      </c>
      <c r="W2351" s="1290" t="s">
        <v>5031</v>
      </c>
      <c r="X2351" s="54" t="str">
        <f t="array" ref="X2351"> if(iserror(MATCH(V2351, 'File Links'!C:C, 0)), "N/A", HYPERLINK(INDEX('File Links'!B:B, MATCH(V2351, 'File Links'!C:C, 0))))</f>
        <v>https://drive.google.com/file/d/1hjI3aqifdfXjWhQAlvKCKKtvjuncAn5M/view?usp=drivesdk</v>
      </c>
      <c r="Y2351" s="68"/>
      <c r="Z2351" s="159" t="s">
        <v>165</v>
      </c>
      <c r="AA2351" s="129" t="s">
        <v>138</v>
      </c>
      <c r="AB2351" s="151" t="s">
        <v>14269</v>
      </c>
      <c r="AC2351" s="159" t="s">
        <v>14270</v>
      </c>
      <c r="AD2351" s="1060" t="s">
        <v>14271</v>
      </c>
      <c r="AE2351" s="156">
        <v>15.0</v>
      </c>
      <c r="AF2351" s="156">
        <v>10.0</v>
      </c>
      <c r="AG2351" s="1060" t="s">
        <v>14272</v>
      </c>
      <c r="AH2351" s="1060" t="s">
        <v>134</v>
      </c>
      <c r="AI2351" s="339" t="s">
        <v>627</v>
      </c>
      <c r="AJ2351" s="379">
        <v>0.347</v>
      </c>
      <c r="AK2351" s="57" t="s">
        <v>172</v>
      </c>
      <c r="AL2351" s="159" t="s">
        <v>186</v>
      </c>
      <c r="AM2351" s="57" t="s">
        <v>141</v>
      </c>
      <c r="AN2351" s="129" t="s">
        <v>138</v>
      </c>
      <c r="AO2351" s="156">
        <v>9.0</v>
      </c>
      <c r="AP2351" s="1292">
        <v>0.06</v>
      </c>
      <c r="AQ2351" s="159" t="s">
        <v>139</v>
      </c>
      <c r="AR2351" s="163" t="s">
        <v>14268</v>
      </c>
      <c r="AS2351" s="1059">
        <v>0.08</v>
      </c>
      <c r="AT2351" s="159" t="s">
        <v>172</v>
      </c>
      <c r="AU2351" s="159" t="s">
        <v>186</v>
      </c>
      <c r="AV2351" s="159" t="s">
        <v>141</v>
      </c>
      <c r="AW2351" s="310" t="s">
        <v>14273</v>
      </c>
      <c r="AX2351" s="159" t="s">
        <v>143</v>
      </c>
      <c r="AY2351" s="61" t="str">
        <f>IFERROR(__xludf.DUMMYFUNCTION("vlookup(BB2351,importrange(""https://docs.google.com/spreadsheets/d/1d2vevQ_7D_v35q4wCQ4RpQ_IPoTwEMB9Yp6ymwlPqew/edit?gid=984458430#gid=984458430"", ""'replication success'!A:K""), 11, FAlSE)"),"successful")</f>
        <v>successful</v>
      </c>
      <c r="AZ2351" s="91" t="str">
        <f>IFERROR(__xludf.DUMMYFUNCTION("vlookup(BB2351,importrange(""https://docs.google.com/spreadsheets/d/1d2vevQ_7D_v35q4wCQ4RpQ_IPoTwEMB9Yp6ymwlPqew/edit?gid=984458430#gid=984458430"", ""'replication success'!A:M""), 12, FAlSE)"),"https://osf.io/4ewkh")</f>
        <v>https://osf.io/4ewkh</v>
      </c>
      <c r="BA2351" s="91" t="str">
        <f>IFERROR(__xludf.DUMMYFUNCTION("vlookup(BB2351,importrange(""https://docs.google.com/spreadsheets/d/1d2vevQ_7D_v35q4wCQ4RpQ_IPoTwEMB9Yp6ymwlPqew/edit?gid=984458430#gid=984458430"", ""'replication success'!A:M""), 13, FAlSE)"),"https://osf.io/4ewkh")</f>
        <v>https://osf.io/4ewkh</v>
      </c>
      <c r="BB2351" s="61" t="str">
        <f>IFERROR(__xludf.DUMMYFUNCTION("REGEXREPLACE(G2351, ""_[a-z]{1,2}$"", """")"),"XPHI5")</f>
        <v>XPHI5</v>
      </c>
      <c r="BD2351" s="155" t="s">
        <v>13578</v>
      </c>
    </row>
    <row r="2352">
      <c r="A2352" s="44">
        <v>2352.0</v>
      </c>
      <c r="B2352" s="45" t="s">
        <v>152</v>
      </c>
      <c r="C2352" s="62" t="s">
        <v>115</v>
      </c>
      <c r="D2352" s="62" t="s">
        <v>248</v>
      </c>
      <c r="F2352" s="1286" t="s">
        <v>14263</v>
      </c>
      <c r="G2352" s="159" t="s">
        <v>14264</v>
      </c>
      <c r="H2352" s="1287" t="s">
        <v>249</v>
      </c>
      <c r="I2352" s="152">
        <v>45331.0</v>
      </c>
      <c r="J2352" s="152">
        <v>45691.0</v>
      </c>
      <c r="K2352" s="68"/>
      <c r="L2352" s="129" t="s">
        <v>14274</v>
      </c>
      <c r="M2352" s="159" t="s">
        <v>14266</v>
      </c>
      <c r="N2352" s="159" t="s">
        <v>14267</v>
      </c>
      <c r="O2352" s="156">
        <v>3.0</v>
      </c>
      <c r="P2352" s="159" t="s">
        <v>14275</v>
      </c>
      <c r="Q2352" s="52" t="str">
        <f t="array" ref="Q2352"> if(iserror(MATCH(V2352, 'File Links'!C:C, 0)), "N/A", HYPERLINK(INDEX('File Links'!B:B, MATCH(P2352, 'File Links'!C:C, 0))))</f>
        <v>https://drive.google.com/file/d/1kCe7dne_GNfNSHLYlAzOzBcQn9yFuOr2/view?usp=drivesdk</v>
      </c>
      <c r="R2352" s="2028" t="s">
        <v>5028</v>
      </c>
      <c r="S2352" s="159" t="s">
        <v>5029</v>
      </c>
      <c r="T2352" s="2064" t="s">
        <v>14268</v>
      </c>
      <c r="U2352" s="1370">
        <v>5.0</v>
      </c>
      <c r="V2352" s="159" t="str">
        <f t="shared" si="123"/>
        <v>10.1007--s13164-018-0400-9.pdf</v>
      </c>
      <c r="W2352" s="1290" t="s">
        <v>5031</v>
      </c>
      <c r="X2352" s="54" t="str">
        <f t="array" ref="X2352"> if(iserror(MATCH(V2352, 'File Links'!C:C, 0)), "N/A", HYPERLINK(INDEX('File Links'!B:B, MATCH(V2352, 'File Links'!C:C, 0))))</f>
        <v>https://drive.google.com/file/d/1hjI3aqifdfXjWhQAlvKCKKtvjuncAn5M/view?usp=drivesdk</v>
      </c>
      <c r="Y2352" s="68"/>
      <c r="Z2352" s="159" t="s">
        <v>165</v>
      </c>
      <c r="AA2352" s="129" t="s">
        <v>138</v>
      </c>
      <c r="AB2352" s="151" t="s">
        <v>14276</v>
      </c>
      <c r="AC2352" s="159" t="s">
        <v>14270</v>
      </c>
      <c r="AD2352" s="151" t="s">
        <v>14277</v>
      </c>
      <c r="AE2352" s="159" t="s">
        <v>182</v>
      </c>
      <c r="AF2352" s="156">
        <v>10.0</v>
      </c>
      <c r="AG2352" s="1117" t="s">
        <v>14278</v>
      </c>
      <c r="AH2352" s="1116" t="s">
        <v>134</v>
      </c>
      <c r="AI2352" s="151" t="s">
        <v>182</v>
      </c>
      <c r="AJ2352" s="379">
        <v>0.01</v>
      </c>
      <c r="AK2352" s="57" t="s">
        <v>172</v>
      </c>
      <c r="AL2352" s="151" t="s">
        <v>186</v>
      </c>
      <c r="AM2352" s="2065" t="s">
        <v>141</v>
      </c>
      <c r="AN2352" s="151" t="s">
        <v>138</v>
      </c>
      <c r="AO2352" s="156">
        <v>9.0</v>
      </c>
      <c r="AP2352" s="151" t="s">
        <v>14279</v>
      </c>
      <c r="AQ2352" s="151" t="s">
        <v>134</v>
      </c>
      <c r="AR2352" s="2064" t="s">
        <v>14268</v>
      </c>
      <c r="AS2352" s="156">
        <v>0.008</v>
      </c>
      <c r="AT2352" s="159" t="s">
        <v>172</v>
      </c>
      <c r="AU2352" s="151" t="s">
        <v>186</v>
      </c>
      <c r="AV2352" s="2065" t="s">
        <v>141</v>
      </c>
      <c r="AW2352" s="1389" t="s">
        <v>14273</v>
      </c>
      <c r="AX2352" s="154" t="s">
        <v>143</v>
      </c>
      <c r="AY2352" s="61" t="str">
        <f>IFERROR(__xludf.DUMMYFUNCTION("vlookup(BB2352,importrange(""https://docs.google.com/spreadsheets/d/1d2vevQ_7D_v35q4wCQ4RpQ_IPoTwEMB9Yp6ymwlPqew/edit?gid=984458430#gid=984458430"", ""'replication success'!A:K""), 11, FAlSE)"),"successful")</f>
        <v>successful</v>
      </c>
      <c r="AZ2352" s="91" t="str">
        <f>IFERROR(__xludf.DUMMYFUNCTION("vlookup(BB2352,importrange(""https://docs.google.com/spreadsheets/d/1d2vevQ_7D_v35q4wCQ4RpQ_IPoTwEMB9Yp6ymwlPqew/edit?gid=984458430#gid=984458430"", ""'replication success'!A:M""), 12, FAlSE)"),"https://osf.io/4ewkh")</f>
        <v>https://osf.io/4ewkh</v>
      </c>
      <c r="BA2352" s="91" t="str">
        <f>IFERROR(__xludf.DUMMYFUNCTION("vlookup(BB2352,importrange(""https://docs.google.com/spreadsheets/d/1d2vevQ_7D_v35q4wCQ4RpQ_IPoTwEMB9Yp6ymwlPqew/edit?gid=984458430#gid=984458430"", ""'replication success'!A:M""), 13, FAlSE)"),"https://osf.io/4ewkh")</f>
        <v>https://osf.io/4ewkh</v>
      </c>
      <c r="BB2352" s="61" t="str">
        <f>IFERROR(__xludf.DUMMYFUNCTION("REGEXREPLACE(G2352, ""_[a-z]{1,2}$"", """")"),"XPHI5")</f>
        <v>XPHI5</v>
      </c>
      <c r="BD2352" s="155" t="s">
        <v>13578</v>
      </c>
    </row>
    <row r="2353">
      <c r="A2353" s="44">
        <v>2353.0</v>
      </c>
      <c r="B2353" s="154" t="s">
        <v>152</v>
      </c>
      <c r="C2353" s="62" t="s">
        <v>115</v>
      </c>
      <c r="D2353" s="62" t="s">
        <v>1270</v>
      </c>
      <c r="F2353" s="61" t="s">
        <v>14263</v>
      </c>
      <c r="G2353" s="151" t="s">
        <v>14280</v>
      </c>
      <c r="H2353" s="1287" t="s">
        <v>5024</v>
      </c>
      <c r="I2353" s="152">
        <v>45667.0</v>
      </c>
      <c r="J2353" s="152">
        <v>45691.0</v>
      </c>
      <c r="K2353" s="68"/>
      <c r="L2353" s="68" t="s">
        <v>13642</v>
      </c>
      <c r="M2353" s="159" t="s">
        <v>14266</v>
      </c>
      <c r="N2353" s="159" t="s">
        <v>14267</v>
      </c>
      <c r="O2353" s="156">
        <v>3.0</v>
      </c>
      <c r="P2353" s="159" t="str">
        <f t="shared" ref="P2353:P2356" si="134">SUBSTITUTE(LOWER(N2353), "/", "--") &amp;  ".pdf"</f>
        <v>10.1080--0951508042000202354.pdf</v>
      </c>
      <c r="Q2353" s="52" t="str">
        <f t="array" ref="Q2353"> if(iserror(MATCH(V2353, 'File Links'!C:C, 0)), "N/A", HYPERLINK(INDEX('File Links'!B:B, MATCH(P2353, 'File Links'!C:C, 0))))</f>
        <v>https://drive.google.com/file/d/1kCe7dne_GNfNSHLYlAzOzBcQn9yFuOr2/view?usp=drivesdk</v>
      </c>
      <c r="R2353" s="2028" t="s">
        <v>5028</v>
      </c>
      <c r="S2353" s="310" t="s">
        <v>5029</v>
      </c>
      <c r="T2353" s="310" t="s">
        <v>5030</v>
      </c>
      <c r="U2353" s="156">
        <v>5.0</v>
      </c>
      <c r="V2353" s="159" t="str">
        <f t="shared" si="123"/>
        <v>10.1007--s13164-018-0400-9.pdf</v>
      </c>
      <c r="W2353" s="1290" t="s">
        <v>5031</v>
      </c>
      <c r="X2353" s="54" t="str">
        <f t="array" ref="X2353"> if(iserror(MATCH(V2353, 'File Links'!C:C, 0)), "N/A", HYPERLINK(INDEX('File Links'!B:B, MATCH(V2353, 'File Links'!C:C, 0))))</f>
        <v>https://drive.google.com/file/d/1hjI3aqifdfXjWhQAlvKCKKtvjuncAn5M/view?usp=drivesdk</v>
      </c>
      <c r="Y2353" s="68"/>
      <c r="Z2353" s="159" t="s">
        <v>165</v>
      </c>
      <c r="AA2353" s="129" t="s">
        <v>138</v>
      </c>
      <c r="AB2353" s="159" t="s">
        <v>14281</v>
      </c>
      <c r="AC2353" s="129" t="s">
        <v>14282</v>
      </c>
      <c r="AD2353" s="159" t="s">
        <v>14283</v>
      </c>
      <c r="AE2353" s="156">
        <v>15.0</v>
      </c>
      <c r="AF2353" s="156">
        <v>10.0</v>
      </c>
      <c r="AG2353" s="159" t="s">
        <v>14284</v>
      </c>
      <c r="AH2353" s="159" t="s">
        <v>134</v>
      </c>
      <c r="AI2353" s="339" t="s">
        <v>627</v>
      </c>
      <c r="AJ2353" s="379">
        <v>0.001</v>
      </c>
      <c r="AK2353" s="57" t="s">
        <v>135</v>
      </c>
      <c r="AL2353" s="159" t="s">
        <v>186</v>
      </c>
      <c r="AM2353" s="57" t="s">
        <v>141</v>
      </c>
      <c r="AN2353" s="68"/>
      <c r="AO2353" s="156">
        <v>9.0</v>
      </c>
      <c r="AP2353" s="1292">
        <v>0.24</v>
      </c>
      <c r="AQ2353" s="159" t="s">
        <v>139</v>
      </c>
      <c r="AR2353" s="159" t="s">
        <v>14285</v>
      </c>
      <c r="AS2353" s="156">
        <v>0.009</v>
      </c>
      <c r="AT2353" s="159" t="s">
        <v>172</v>
      </c>
      <c r="AU2353" s="159" t="s">
        <v>186</v>
      </c>
      <c r="AV2353" s="159" t="s">
        <v>141</v>
      </c>
      <c r="AW2353" s="310" t="s">
        <v>14273</v>
      </c>
      <c r="AX2353" s="159" t="s">
        <v>143</v>
      </c>
      <c r="AY2353" s="61" t="str">
        <f>IFERROR(__xludf.DUMMYFUNCTION("vlookup(BB2353,importrange(""https://docs.google.com/spreadsheets/d/1d2vevQ_7D_v35q4wCQ4RpQ_IPoTwEMB9Yp6ymwlPqew/edit?gid=984458430#gid=984458430"", ""'replication success'!A:K""), 11, FAlSE)"),"successful")</f>
        <v>successful</v>
      </c>
      <c r="AZ2353" s="91" t="str">
        <f>IFERROR(__xludf.DUMMYFUNCTION("vlookup(BB2353,importrange(""https://docs.google.com/spreadsheets/d/1d2vevQ_7D_v35q4wCQ4RpQ_IPoTwEMB9Yp6ymwlPqew/edit?gid=984458430#gid=984458430"", ""'replication success'!A:M""), 12, FAlSE)"),"https://osf.io/4ewkh")</f>
        <v>https://osf.io/4ewkh</v>
      </c>
      <c r="BA2353" s="91" t="str">
        <f>IFERROR(__xludf.DUMMYFUNCTION("vlookup(BB2353,importrange(""https://docs.google.com/spreadsheets/d/1d2vevQ_7D_v35q4wCQ4RpQ_IPoTwEMB9Yp6ymwlPqew/edit?gid=984458430#gid=984458430"", ""'replication success'!A:M""), 13, FAlSE)"),"https://osf.io/4ewkh")</f>
        <v>https://osf.io/4ewkh</v>
      </c>
      <c r="BB2353" s="61" t="str">
        <f>IFERROR(__xludf.DUMMYFUNCTION("REGEXREPLACE(G2353, ""_[a-z]{1,2}$"", """")"),"XPHI5")</f>
        <v>XPHI5</v>
      </c>
      <c r="BD2353" s="154" t="s">
        <v>249</v>
      </c>
    </row>
    <row r="2354">
      <c r="A2354" s="44">
        <v>2354.0</v>
      </c>
      <c r="B2354" s="154" t="s">
        <v>152</v>
      </c>
      <c r="C2354" s="62" t="s">
        <v>115</v>
      </c>
      <c r="D2354" s="62" t="s">
        <v>1270</v>
      </c>
      <c r="F2354" s="61" t="s">
        <v>14263</v>
      </c>
      <c r="G2354" s="151" t="s">
        <v>14286</v>
      </c>
      <c r="H2354" s="1287" t="s">
        <v>5024</v>
      </c>
      <c r="I2354" s="152">
        <v>45667.0</v>
      </c>
      <c r="J2354" s="152">
        <v>45691.0</v>
      </c>
      <c r="K2354" s="68"/>
      <c r="L2354" s="68" t="s">
        <v>13642</v>
      </c>
      <c r="M2354" s="159" t="s">
        <v>14266</v>
      </c>
      <c r="N2354" s="159" t="s">
        <v>14267</v>
      </c>
      <c r="O2354" s="156">
        <v>3.0</v>
      </c>
      <c r="P2354" s="159" t="str">
        <f t="shared" si="134"/>
        <v>10.1080--0951508042000202354.pdf</v>
      </c>
      <c r="Q2354" s="52" t="str">
        <f t="array" ref="Q2354"> if(iserror(MATCH(V2354, 'File Links'!C:C, 0)), "N/A", HYPERLINK(INDEX('File Links'!B:B, MATCH(P2354, 'File Links'!C:C, 0))))</f>
        <v>https://drive.google.com/file/d/1kCe7dne_GNfNSHLYlAzOzBcQn9yFuOr2/view?usp=drivesdk</v>
      </c>
      <c r="R2354" s="2028" t="s">
        <v>5028</v>
      </c>
      <c r="S2354" s="310" t="s">
        <v>5029</v>
      </c>
      <c r="T2354" s="310" t="s">
        <v>5030</v>
      </c>
      <c r="U2354" s="156">
        <v>5.0</v>
      </c>
      <c r="V2354" s="159" t="str">
        <f t="shared" si="123"/>
        <v>10.1007--s13164-018-0400-9.pdf</v>
      </c>
      <c r="W2354" s="1290" t="s">
        <v>5031</v>
      </c>
      <c r="X2354" s="54" t="str">
        <f t="array" ref="X2354"> if(iserror(MATCH(V2354, 'File Links'!C:C, 0)), "N/A", HYPERLINK(INDEX('File Links'!B:B, MATCH(V2354, 'File Links'!C:C, 0))))</f>
        <v>https://drive.google.com/file/d/1hjI3aqifdfXjWhQAlvKCKKtvjuncAn5M/view?usp=drivesdk</v>
      </c>
      <c r="Y2354" s="68"/>
      <c r="Z2354" s="159" t="s">
        <v>165</v>
      </c>
      <c r="AA2354" s="129" t="s">
        <v>138</v>
      </c>
      <c r="AB2354" s="159" t="s">
        <v>14281</v>
      </c>
      <c r="AC2354" s="129" t="s">
        <v>14282</v>
      </c>
      <c r="AD2354" s="159" t="s">
        <v>14287</v>
      </c>
      <c r="AE2354" s="156">
        <v>15.0</v>
      </c>
      <c r="AF2354" s="156">
        <v>10.0</v>
      </c>
      <c r="AG2354" s="159" t="s">
        <v>14288</v>
      </c>
      <c r="AH2354" s="159" t="s">
        <v>134</v>
      </c>
      <c r="AI2354" s="339" t="s">
        <v>627</v>
      </c>
      <c r="AJ2354" s="379">
        <v>0.01</v>
      </c>
      <c r="AK2354" s="57" t="s">
        <v>135</v>
      </c>
      <c r="AL2354" s="159" t="s">
        <v>186</v>
      </c>
      <c r="AM2354" s="57" t="s">
        <v>141</v>
      </c>
      <c r="AN2354" s="68"/>
      <c r="AO2354" s="156">
        <v>9.0</v>
      </c>
      <c r="AP2354" s="1292">
        <v>0.53</v>
      </c>
      <c r="AQ2354" s="159" t="s">
        <v>139</v>
      </c>
      <c r="AR2354" s="159" t="s">
        <v>14285</v>
      </c>
      <c r="AS2354" s="156">
        <v>0.03</v>
      </c>
      <c r="AT2354" s="159" t="s">
        <v>172</v>
      </c>
      <c r="AU2354" s="159" t="s">
        <v>186</v>
      </c>
      <c r="AV2354" s="159" t="s">
        <v>141</v>
      </c>
      <c r="AW2354" s="310" t="s">
        <v>14273</v>
      </c>
      <c r="AX2354" s="159" t="s">
        <v>143</v>
      </c>
      <c r="AY2354" s="61" t="str">
        <f>IFERROR(__xludf.DUMMYFUNCTION("vlookup(BB2354,importrange(""https://docs.google.com/spreadsheets/d/1d2vevQ_7D_v35q4wCQ4RpQ_IPoTwEMB9Yp6ymwlPqew/edit?gid=984458430#gid=984458430"", ""'replication success'!A:K""), 11, FAlSE)"),"successful")</f>
        <v>successful</v>
      </c>
      <c r="AZ2354" s="91" t="str">
        <f>IFERROR(__xludf.DUMMYFUNCTION("vlookup(BB2354,importrange(""https://docs.google.com/spreadsheets/d/1d2vevQ_7D_v35q4wCQ4RpQ_IPoTwEMB9Yp6ymwlPqew/edit?gid=984458430#gid=984458430"", ""'replication success'!A:M""), 12, FAlSE)"),"https://osf.io/4ewkh")</f>
        <v>https://osf.io/4ewkh</v>
      </c>
      <c r="BA2354" s="91" t="str">
        <f>IFERROR(__xludf.DUMMYFUNCTION("vlookup(BB2354,importrange(""https://docs.google.com/spreadsheets/d/1d2vevQ_7D_v35q4wCQ4RpQ_IPoTwEMB9Yp6ymwlPqew/edit?gid=984458430#gid=984458430"", ""'replication success'!A:M""), 13, FAlSE)"),"https://osf.io/4ewkh")</f>
        <v>https://osf.io/4ewkh</v>
      </c>
      <c r="BB2354" s="61" t="str">
        <f>IFERROR(__xludf.DUMMYFUNCTION("REGEXREPLACE(G2354, ""_[a-z]{1,2}$"", """")"),"XPHI5")</f>
        <v>XPHI5</v>
      </c>
      <c r="BD2354" s="154" t="s">
        <v>249</v>
      </c>
    </row>
    <row r="2355">
      <c r="A2355" s="44">
        <v>2355.0</v>
      </c>
      <c r="B2355" s="68" t="s">
        <v>114</v>
      </c>
      <c r="C2355" s="62" t="s">
        <v>115</v>
      </c>
      <c r="D2355" s="62" t="s">
        <v>1270</v>
      </c>
      <c r="F2355" s="61" t="s">
        <v>14263</v>
      </c>
      <c r="G2355" s="151" t="s">
        <v>14289</v>
      </c>
      <c r="H2355" s="1287" t="s">
        <v>5024</v>
      </c>
      <c r="I2355" s="152">
        <v>45667.0</v>
      </c>
      <c r="J2355" s="152">
        <v>45691.0</v>
      </c>
      <c r="K2355" s="68"/>
      <c r="L2355" s="68"/>
      <c r="M2355" s="159" t="s">
        <v>14266</v>
      </c>
      <c r="N2355" s="159" t="s">
        <v>14267</v>
      </c>
      <c r="O2355" s="156">
        <v>3.0</v>
      </c>
      <c r="P2355" s="159" t="str">
        <f t="shared" si="134"/>
        <v>10.1080--0951508042000202354.pdf</v>
      </c>
      <c r="Q2355" s="52" t="str">
        <f t="array" ref="Q2355"> if(iserror(MATCH(V2355, 'File Links'!C:C, 0)), "N/A", HYPERLINK(INDEX('File Links'!B:B, MATCH(P2355, 'File Links'!C:C, 0))))</f>
        <v>https://drive.google.com/file/d/1kCe7dne_GNfNSHLYlAzOzBcQn9yFuOr2/view?usp=drivesdk</v>
      </c>
      <c r="R2355" s="2028" t="s">
        <v>5028</v>
      </c>
      <c r="S2355" s="310" t="s">
        <v>5029</v>
      </c>
      <c r="T2355" s="310" t="s">
        <v>5030</v>
      </c>
      <c r="U2355" s="156">
        <v>5.0</v>
      </c>
      <c r="V2355" s="159" t="str">
        <f t="shared" si="123"/>
        <v>10.1007--s13164-018-0400-9.pdf</v>
      </c>
      <c r="W2355" s="1290" t="s">
        <v>5031</v>
      </c>
      <c r="X2355" s="54" t="str">
        <f t="array" ref="X2355"> if(iserror(MATCH(V2355, 'File Links'!C:C, 0)), "N/A", HYPERLINK(INDEX('File Links'!B:B, MATCH(V2355, 'File Links'!C:C, 0))))</f>
        <v>https://drive.google.com/file/d/1hjI3aqifdfXjWhQAlvKCKKtvjuncAn5M/view?usp=drivesdk</v>
      </c>
      <c r="Y2355" s="68"/>
      <c r="Z2355" s="159" t="s">
        <v>165</v>
      </c>
      <c r="AA2355" s="129" t="s">
        <v>138</v>
      </c>
      <c r="AB2355" s="159" t="s">
        <v>14281</v>
      </c>
      <c r="AC2355" s="129" t="s">
        <v>14282</v>
      </c>
      <c r="AD2355" s="159" t="s">
        <v>14290</v>
      </c>
      <c r="AE2355" s="156">
        <v>15.0</v>
      </c>
      <c r="AF2355" s="156">
        <v>10.0</v>
      </c>
      <c r="AG2355" s="159" t="s">
        <v>14291</v>
      </c>
      <c r="AH2355" s="159" t="s">
        <v>134</v>
      </c>
      <c r="AI2355" s="339" t="s">
        <v>627</v>
      </c>
      <c r="AJ2355" s="379">
        <v>0.01</v>
      </c>
      <c r="AK2355" s="57" t="s">
        <v>135</v>
      </c>
      <c r="AL2355" s="159" t="s">
        <v>186</v>
      </c>
      <c r="AM2355" s="57" t="s">
        <v>141</v>
      </c>
      <c r="AN2355" s="68"/>
      <c r="AO2355" s="156">
        <v>9.0</v>
      </c>
      <c r="AP2355" s="1292">
        <v>0.31</v>
      </c>
      <c r="AQ2355" s="159" t="s">
        <v>139</v>
      </c>
      <c r="AR2355" s="310" t="s">
        <v>14285</v>
      </c>
      <c r="AS2355" s="156">
        <v>0.008</v>
      </c>
      <c r="AT2355" s="159" t="s">
        <v>172</v>
      </c>
      <c r="AU2355" s="159" t="s">
        <v>186</v>
      </c>
      <c r="AV2355" s="159" t="s">
        <v>141</v>
      </c>
      <c r="AW2355" s="310" t="s">
        <v>14273</v>
      </c>
      <c r="AX2355" s="159" t="s">
        <v>143</v>
      </c>
      <c r="AY2355" s="61" t="str">
        <f>IFERROR(__xludf.DUMMYFUNCTION("vlookup(BB2355,importrange(""https://docs.google.com/spreadsheets/d/1d2vevQ_7D_v35q4wCQ4RpQ_IPoTwEMB9Yp6ymwlPqew/edit?gid=984458430#gid=984458430"", ""'replication success'!A:K""), 11, FAlSE)"),"successful")</f>
        <v>successful</v>
      </c>
      <c r="AZ2355" s="91" t="str">
        <f>IFERROR(__xludf.DUMMYFUNCTION("vlookup(BB2355,importrange(""https://docs.google.com/spreadsheets/d/1d2vevQ_7D_v35q4wCQ4RpQ_IPoTwEMB9Yp6ymwlPqew/edit?gid=984458430#gid=984458430"", ""'replication success'!A:M""), 12, FAlSE)"),"https://osf.io/4ewkh")</f>
        <v>https://osf.io/4ewkh</v>
      </c>
      <c r="BA2355" s="91" t="str">
        <f>IFERROR(__xludf.DUMMYFUNCTION("vlookup(BB2355,importrange(""https://docs.google.com/spreadsheets/d/1d2vevQ_7D_v35q4wCQ4RpQ_IPoTwEMB9Yp6ymwlPqew/edit?gid=984458430#gid=984458430"", ""'replication success'!A:M""), 13, FAlSE)"),"https://osf.io/4ewkh")</f>
        <v>https://osf.io/4ewkh</v>
      </c>
      <c r="BB2355" s="61" t="str">
        <f>IFERROR(__xludf.DUMMYFUNCTION("REGEXREPLACE(G2355, ""_[a-z]{1,2}$"", """")"),"XPHI5")</f>
        <v>XPHI5</v>
      </c>
      <c r="BD2355" s="154" t="s">
        <v>249</v>
      </c>
    </row>
    <row r="2356">
      <c r="A2356" s="44">
        <v>2356.0</v>
      </c>
      <c r="B2356" s="129" t="s">
        <v>152</v>
      </c>
      <c r="C2356" s="62" t="s">
        <v>115</v>
      </c>
      <c r="D2356" s="62" t="s">
        <v>1270</v>
      </c>
      <c r="F2356" s="1286" t="s">
        <v>14292</v>
      </c>
      <c r="G2356" s="159" t="s">
        <v>14293</v>
      </c>
      <c r="H2356" s="1287" t="s">
        <v>5024</v>
      </c>
      <c r="I2356" s="152">
        <v>45667.0</v>
      </c>
      <c r="J2356" s="152">
        <v>45691.0</v>
      </c>
      <c r="K2356" s="151" t="s">
        <v>14294</v>
      </c>
      <c r="L2356" s="129" t="s">
        <v>14295</v>
      </c>
      <c r="M2356" s="159" t="s">
        <v>14296</v>
      </c>
      <c r="N2356" s="159" t="s">
        <v>14297</v>
      </c>
      <c r="O2356" s="129">
        <v>1.0</v>
      </c>
      <c r="P2356" s="159" t="str">
        <f t="shared" si="134"/>
        <v>10.1037--h0091247.pdf</v>
      </c>
      <c r="Q2356" s="52" t="str">
        <f t="array" ref="Q2356"> if(iserror(MATCH(V2356, 'File Links'!C:C, 0)), "N/A", HYPERLINK(INDEX('File Links'!B:B, MATCH(P2356, 'File Links'!C:C, 0))))</f>
        <v>https://drive.google.com/file/d/1awPCjIHvs8ahIhOincmP_HaNxC6Wg3ei/view?usp=drivesdk</v>
      </c>
      <c r="R2356" s="2028" t="s">
        <v>5028</v>
      </c>
      <c r="S2356" s="310" t="s">
        <v>5029</v>
      </c>
      <c r="T2356" s="2064" t="s">
        <v>14298</v>
      </c>
      <c r="U2356" s="156">
        <v>6.0</v>
      </c>
      <c r="V2356" s="159" t="str">
        <f t="shared" si="123"/>
        <v>10.1007--s13164-018-0400-9.pdf</v>
      </c>
      <c r="W2356" s="1290" t="s">
        <v>5031</v>
      </c>
      <c r="X2356" s="54" t="str">
        <f t="array" ref="X2356"> if(iserror(MATCH(V2356, 'File Links'!C:C, 0)), "N/A", HYPERLINK(INDEX('File Links'!B:B, MATCH(V2356, 'File Links'!C:C, 0))))</f>
        <v>https://drive.google.com/file/d/1hjI3aqifdfXjWhQAlvKCKKtvjuncAn5M/view?usp=drivesdk</v>
      </c>
      <c r="Y2356" s="68"/>
      <c r="Z2356" s="159" t="s">
        <v>165</v>
      </c>
      <c r="AA2356" s="129" t="s">
        <v>138</v>
      </c>
      <c r="AB2356" s="151" t="s">
        <v>14299</v>
      </c>
      <c r="AC2356" s="1370" t="s">
        <v>14300</v>
      </c>
      <c r="AD2356" s="159" t="s">
        <v>14301</v>
      </c>
      <c r="AE2356" s="159" t="s">
        <v>13833</v>
      </c>
      <c r="AF2356" s="156">
        <v>44.0</v>
      </c>
      <c r="AG2356" s="1093">
        <v>0.69</v>
      </c>
      <c r="AH2356" s="1115" t="s">
        <v>271</v>
      </c>
      <c r="AI2356" s="151" t="s">
        <v>14302</v>
      </c>
      <c r="AJ2356" s="2079">
        <v>0.001</v>
      </c>
      <c r="AK2356" s="2080" t="s">
        <v>135</v>
      </c>
      <c r="AL2356" s="1115" t="s">
        <v>186</v>
      </c>
      <c r="AM2356" s="2081" t="s">
        <v>137</v>
      </c>
      <c r="AN2356" s="1370" t="s">
        <v>138</v>
      </c>
      <c r="AO2356" s="156">
        <v>47.0</v>
      </c>
      <c r="AP2356" s="1292">
        <v>0.83</v>
      </c>
      <c r="AQ2356" s="159" t="s">
        <v>271</v>
      </c>
      <c r="AR2356" s="2036" t="s">
        <v>14303</v>
      </c>
      <c r="AS2356" s="156">
        <v>0.001</v>
      </c>
      <c r="AT2356" s="159" t="s">
        <v>135</v>
      </c>
      <c r="AU2356" s="159" t="s">
        <v>186</v>
      </c>
      <c r="AV2356" s="159" t="s">
        <v>137</v>
      </c>
      <c r="AW2356" s="310" t="s">
        <v>14304</v>
      </c>
      <c r="AX2356" s="159" t="s">
        <v>143</v>
      </c>
      <c r="AY2356" s="61" t="str">
        <f>IFERROR(__xludf.DUMMYFUNCTION("vlookup(BB2356,importrange(""https://docs.google.com/spreadsheets/d/1d2vevQ_7D_v35q4wCQ4RpQ_IPoTwEMB9Yp6ymwlPqew/edit?gid=984458430#gid=984458430"", ""'replication success'!A:K""), 11, FAlSE)"),"successful")</f>
        <v>successful</v>
      </c>
      <c r="AZ2356" s="91" t="str">
        <f>IFERROR(__xludf.DUMMYFUNCTION("vlookup(BB2356,importrange(""https://docs.google.com/spreadsheets/d/1d2vevQ_7D_v35q4wCQ4RpQ_IPoTwEMB9Yp6ymwlPqew/edit?gid=984458430#gid=984458430"", ""'replication success'!A:M""), 12, FAlSE)"),"https://osf.io/4ewkh")</f>
        <v>https://osf.io/4ewkh</v>
      </c>
      <c r="BA2356" s="91" t="str">
        <f>IFERROR(__xludf.DUMMYFUNCTION("vlookup(BB2356,importrange(""https://docs.google.com/spreadsheets/d/1d2vevQ_7D_v35q4wCQ4RpQ_IPoTwEMB9Yp6ymwlPqew/edit?gid=984458430#gid=984458430"", ""'replication success'!A:M""), 13, FAlSE)"),"https://osf.io/4ewkh")</f>
        <v>https://osf.io/4ewkh</v>
      </c>
      <c r="BB2356" s="61" t="str">
        <f>IFERROR(__xludf.DUMMYFUNCTION("REGEXREPLACE(G2356, ""_[a-z]{1,2}$"", """")"),"XPHI6")</f>
        <v>XPHI6</v>
      </c>
      <c r="BD2356" s="155" t="s">
        <v>13578</v>
      </c>
    </row>
    <row r="2357" ht="15.75" customHeight="1">
      <c r="A2357" s="44">
        <v>2357.0</v>
      </c>
      <c r="B2357" s="45" t="s">
        <v>114</v>
      </c>
      <c r="C2357" s="62" t="s">
        <v>115</v>
      </c>
      <c r="D2357" s="62" t="s">
        <v>248</v>
      </c>
      <c r="F2357" s="1286" t="s">
        <v>14292</v>
      </c>
      <c r="G2357" s="159" t="s">
        <v>14293</v>
      </c>
      <c r="H2357" s="1287" t="s">
        <v>249</v>
      </c>
      <c r="I2357" s="152">
        <v>45331.0</v>
      </c>
      <c r="J2357" s="152">
        <v>45691.0</v>
      </c>
      <c r="K2357" s="159" t="s">
        <v>14305</v>
      </c>
      <c r="L2357" s="68"/>
      <c r="M2357" s="159" t="s">
        <v>14296</v>
      </c>
      <c r="N2357" s="159" t="s">
        <v>14297</v>
      </c>
      <c r="O2357" s="129">
        <v>1.0</v>
      </c>
      <c r="P2357" s="159" t="s">
        <v>14306</v>
      </c>
      <c r="Q2357" s="52" t="str">
        <f t="array" ref="Q2357"> if(iserror(MATCH(V2357, 'File Links'!C:C, 0)), "N/A", HYPERLINK(INDEX('File Links'!B:B, MATCH(P2357, 'File Links'!C:C, 0))))</f>
        <v>https://drive.google.com/file/d/1awPCjIHvs8ahIhOincmP_HaNxC6Wg3ei/view?usp=drivesdk</v>
      </c>
      <c r="R2357" s="2028" t="s">
        <v>5028</v>
      </c>
      <c r="S2357" s="159" t="s">
        <v>5029</v>
      </c>
      <c r="T2357" s="2007" t="s">
        <v>14298</v>
      </c>
      <c r="U2357" s="1370">
        <v>6.0</v>
      </c>
      <c r="V2357" s="159" t="str">
        <f t="shared" si="123"/>
        <v>10.1007--s13164-018-0400-9.pdf</v>
      </c>
      <c r="W2357" s="1290" t="s">
        <v>5031</v>
      </c>
      <c r="X2357" s="54" t="str">
        <f t="array" ref="X2357"> if(iserror(MATCH(V2357, 'File Links'!C:C, 0)), "N/A", HYPERLINK(INDEX('File Links'!B:B, MATCH(V2357, 'File Links'!C:C, 0))))</f>
        <v>https://drive.google.com/file/d/1hjI3aqifdfXjWhQAlvKCKKtvjuncAn5M/view?usp=drivesdk</v>
      </c>
      <c r="Y2357" s="68"/>
      <c r="Z2357" s="159" t="s">
        <v>165</v>
      </c>
      <c r="AA2357" s="129" t="s">
        <v>138</v>
      </c>
      <c r="AB2357" s="151" t="s">
        <v>14307</v>
      </c>
      <c r="AC2357" s="1370" t="s">
        <v>14300</v>
      </c>
      <c r="AD2357" s="159" t="s">
        <v>138</v>
      </c>
      <c r="AE2357" s="159" t="s">
        <v>138</v>
      </c>
      <c r="AF2357" s="156">
        <v>44.0</v>
      </c>
      <c r="AG2357" s="156">
        <v>0.69</v>
      </c>
      <c r="AH2357" s="159" t="s">
        <v>271</v>
      </c>
      <c r="AI2357" s="339" t="s">
        <v>14308</v>
      </c>
      <c r="AJ2357" s="379">
        <v>0.001</v>
      </c>
      <c r="AK2357" s="57" t="s">
        <v>135</v>
      </c>
      <c r="AL2357" s="159" t="s">
        <v>186</v>
      </c>
      <c r="AM2357" s="1286" t="s">
        <v>137</v>
      </c>
      <c r="AN2357" s="1370" t="s">
        <v>138</v>
      </c>
      <c r="AO2357" s="156">
        <v>47.0</v>
      </c>
      <c r="AP2357" s="156">
        <v>0.83</v>
      </c>
      <c r="AQ2357" s="159" t="s">
        <v>271</v>
      </c>
      <c r="AR2357" s="159" t="s">
        <v>14309</v>
      </c>
      <c r="AS2357" s="156">
        <v>0.001</v>
      </c>
      <c r="AT2357" s="159" t="s">
        <v>135</v>
      </c>
      <c r="AU2357" s="159" t="s">
        <v>186</v>
      </c>
      <c r="AV2357" s="154" t="s">
        <v>137</v>
      </c>
      <c r="AW2357" s="680" t="s">
        <v>14310</v>
      </c>
      <c r="AX2357" s="154" t="s">
        <v>143</v>
      </c>
      <c r="AY2357" s="61" t="str">
        <f>IFERROR(__xludf.DUMMYFUNCTION("vlookup(BB2357,importrange(""https://docs.google.com/spreadsheets/d/1d2vevQ_7D_v35q4wCQ4RpQ_IPoTwEMB9Yp6ymwlPqew/edit?gid=984458430#gid=984458430"", ""'replication success'!A:K""), 11, FAlSE)"),"successful")</f>
        <v>successful</v>
      </c>
      <c r="AZ2357" s="91" t="str">
        <f>IFERROR(__xludf.DUMMYFUNCTION("vlookup(BB2357,importrange(""https://docs.google.com/spreadsheets/d/1d2vevQ_7D_v35q4wCQ4RpQ_IPoTwEMB9Yp6ymwlPqew/edit?gid=984458430#gid=984458430"", ""'replication success'!A:M""), 12, FAlSE)"),"https://osf.io/4ewkh")</f>
        <v>https://osf.io/4ewkh</v>
      </c>
      <c r="BA2357" s="91" t="str">
        <f>IFERROR(__xludf.DUMMYFUNCTION("vlookup(BB2357,importrange(""https://docs.google.com/spreadsheets/d/1d2vevQ_7D_v35q4wCQ4RpQ_IPoTwEMB9Yp6ymwlPqew/edit?gid=984458430#gid=984458430"", ""'replication success'!A:M""), 13, FAlSE)"),"https://osf.io/4ewkh")</f>
        <v>https://osf.io/4ewkh</v>
      </c>
      <c r="BB2357" s="61" t="str">
        <f>IFERROR(__xludf.DUMMYFUNCTION("REGEXREPLACE(G2357, ""_[a-z]{1,2}$"", """")"),"XPHI6")</f>
        <v>XPHI6</v>
      </c>
      <c r="BD2357" s="155" t="s">
        <v>13578</v>
      </c>
    </row>
    <row r="2358">
      <c r="A2358" s="44">
        <v>2358.0</v>
      </c>
      <c r="B2358" s="68" t="s">
        <v>114</v>
      </c>
      <c r="C2358" s="149" t="s">
        <v>115</v>
      </c>
      <c r="D2358" s="62" t="s">
        <v>1270</v>
      </c>
      <c r="F2358" s="1286" t="s">
        <v>14311</v>
      </c>
      <c r="G2358" s="159" t="s">
        <v>14312</v>
      </c>
      <c r="H2358" s="1287" t="s">
        <v>5024</v>
      </c>
      <c r="I2358" s="152">
        <v>45667.0</v>
      </c>
      <c r="J2358" s="153">
        <v>45734.0</v>
      </c>
      <c r="K2358" s="68"/>
      <c r="L2358" s="68"/>
      <c r="M2358" s="159" t="s">
        <v>14313</v>
      </c>
      <c r="N2358" s="159" t="s">
        <v>14314</v>
      </c>
      <c r="O2358" s="156">
        <v>1.0</v>
      </c>
      <c r="P2358" s="159" t="str">
        <f>SUBSTITUTE(LOWER(N2358), "/", "--") &amp;  ".pdf"</f>
        <v>10.1080--09515080500264180.pdf</v>
      </c>
      <c r="Q2358" s="52" t="str">
        <f t="array" ref="Q2358"> if(iserror(MATCH(V2358, 'File Links'!C:C, 0)), "N/A", HYPERLINK(INDEX('File Links'!B:B, MATCH(P2358, 'File Links'!C:C, 0))))</f>
        <v>https://drive.google.com/file/d/1yWq9VA17bviusA1-gmEWYWL7w6FHKyMI/view?usp=drivesdk</v>
      </c>
      <c r="R2358" s="2028" t="s">
        <v>5028</v>
      </c>
      <c r="S2358" s="310" t="s">
        <v>5029</v>
      </c>
      <c r="T2358" s="2064" t="s">
        <v>14315</v>
      </c>
      <c r="U2358" s="156">
        <v>7.0</v>
      </c>
      <c r="V2358" s="198" t="str">
        <f t="shared" si="123"/>
        <v>10.1007--s13164-018-0400-9.pdf</v>
      </c>
      <c r="W2358" s="1290" t="s">
        <v>5031</v>
      </c>
      <c r="X2358" s="54" t="str">
        <f t="array" ref="X2358"> if(iserror(MATCH(V2358, 'File Links'!C:C, 0)), "N/A", HYPERLINK(INDEX('File Links'!B:B, MATCH(V2358, 'File Links'!C:C, 0))))</f>
        <v>https://drive.google.com/file/d/1hjI3aqifdfXjWhQAlvKCKKtvjuncAn5M/view?usp=drivesdk</v>
      </c>
      <c r="Y2358" s="68"/>
      <c r="Z2358" s="159" t="s">
        <v>165</v>
      </c>
      <c r="AA2358" s="129" t="s">
        <v>138</v>
      </c>
      <c r="AB2358" s="151" t="s">
        <v>14316</v>
      </c>
      <c r="AC2358" s="1370" t="s">
        <v>14317</v>
      </c>
      <c r="AD2358" s="159" t="s">
        <v>14318</v>
      </c>
      <c r="AE2358" s="159" t="s">
        <v>14319</v>
      </c>
      <c r="AF2358" s="156">
        <v>21.0</v>
      </c>
      <c r="AG2358" s="1291" t="s">
        <v>14320</v>
      </c>
      <c r="AH2358" s="159" t="s">
        <v>134</v>
      </c>
      <c r="AI2358" s="339" t="s">
        <v>2413</v>
      </c>
      <c r="AJ2358" s="379">
        <v>0.016</v>
      </c>
      <c r="AK2358" s="57" t="s">
        <v>172</v>
      </c>
      <c r="AL2358" s="159" t="s">
        <v>186</v>
      </c>
      <c r="AM2358" s="2081" t="s">
        <v>137</v>
      </c>
      <c r="AN2358" s="1370" t="s">
        <v>138</v>
      </c>
      <c r="AO2358" s="156">
        <v>186.0</v>
      </c>
      <c r="AP2358" s="1292">
        <v>0.602</v>
      </c>
      <c r="AQ2358" s="159" t="s">
        <v>271</v>
      </c>
      <c r="AR2358" s="159" t="s">
        <v>5030</v>
      </c>
      <c r="AS2358" s="156">
        <v>0.001</v>
      </c>
      <c r="AT2358" s="159" t="s">
        <v>135</v>
      </c>
      <c r="AU2358" s="159" t="s">
        <v>186</v>
      </c>
      <c r="AV2358" s="1116" t="s">
        <v>137</v>
      </c>
      <c r="AW2358" s="310" t="s">
        <v>14321</v>
      </c>
      <c r="AX2358" s="159" t="s">
        <v>143</v>
      </c>
      <c r="AY2358" s="61" t="str">
        <f>IFERROR(__xludf.DUMMYFUNCTION("vlookup(BB2358,importrange(""https://docs.google.com/spreadsheets/d/1d2vevQ_7D_v35q4wCQ4RpQ_IPoTwEMB9Yp6ymwlPqew/edit?gid=984458430#gid=984458430"", ""'replication success'!A:K""), 11, FAlSE)"),"successful")</f>
        <v>successful</v>
      </c>
      <c r="AZ2358" s="91" t="str">
        <f>IFERROR(__xludf.DUMMYFUNCTION("vlookup(BB2358,importrange(""https://docs.google.com/spreadsheets/d/1d2vevQ_7D_v35q4wCQ4RpQ_IPoTwEMB9Yp6ymwlPqew/edit?gid=984458430#gid=984458430"", ""'replication success'!A:M""), 12, FAlSE)"),"https://osf.io/4ewkh")</f>
        <v>https://osf.io/4ewkh</v>
      </c>
      <c r="BA2358" s="91" t="str">
        <f>IFERROR(__xludf.DUMMYFUNCTION("vlookup(BB2358,importrange(""https://docs.google.com/spreadsheets/d/1d2vevQ_7D_v35q4wCQ4RpQ_IPoTwEMB9Yp6ymwlPqew/edit?gid=984458430#gid=984458430"", ""'replication success'!A:M""), 13, FAlSE)"),"https://osf.io/4ewkh")</f>
        <v>https://osf.io/4ewkh</v>
      </c>
      <c r="BB2358" s="61" t="str">
        <f>IFERROR(__xludf.DUMMYFUNCTION("REGEXREPLACE(G2358, ""_[a-z]{1,2}$"", """")"),"XPHI7")</f>
        <v>XPHI7</v>
      </c>
      <c r="BD2358" s="155" t="s">
        <v>13578</v>
      </c>
      <c r="BE2358" s="1783"/>
      <c r="BF2358" s="1783"/>
      <c r="BG2358" s="1783"/>
      <c r="BH2358" s="1783"/>
      <c r="BI2358" s="1783"/>
      <c r="BJ2358" s="1783"/>
      <c r="BK2358" s="1783"/>
      <c r="BL2358" s="1783"/>
      <c r="BM2358" s="1783"/>
      <c r="BN2358" s="1783"/>
      <c r="BO2358" s="1783"/>
      <c r="BP2358" s="1783"/>
      <c r="BQ2358" s="1783"/>
      <c r="BR2358" s="1783"/>
      <c r="BS2358" s="1783"/>
      <c r="BT2358" s="1783"/>
      <c r="BU2358" s="1783"/>
      <c r="BV2358" s="1783"/>
      <c r="BW2358" s="1783"/>
      <c r="BX2358" s="1783"/>
      <c r="BY2358" s="1783"/>
      <c r="BZ2358" s="1783"/>
      <c r="CA2358" s="1783"/>
      <c r="CB2358" s="1783"/>
      <c r="CC2358" s="1783"/>
      <c r="CD2358" s="1783"/>
      <c r="CE2358" s="1783"/>
      <c r="CF2358" s="1783"/>
      <c r="CG2358" s="1783"/>
      <c r="CH2358" s="1783"/>
      <c r="CI2358" s="1783"/>
      <c r="CJ2358" s="1783"/>
      <c r="CK2358" s="1783"/>
      <c r="CL2358" s="1783"/>
      <c r="CM2358" s="1783"/>
      <c r="CN2358" s="1783"/>
      <c r="CO2358" s="1783"/>
      <c r="CP2358" s="1783"/>
      <c r="CQ2358" s="1783"/>
      <c r="CR2358" s="1783"/>
      <c r="CS2358" s="1783"/>
      <c r="CT2358" s="1783"/>
      <c r="CU2358" s="1783"/>
      <c r="CV2358" s="1783"/>
      <c r="CW2358" s="1783"/>
      <c r="CX2358" s="1783"/>
      <c r="CY2358" s="1783"/>
      <c r="CZ2358" s="1783"/>
      <c r="DA2358" s="1783"/>
      <c r="DB2358" s="1783"/>
      <c r="DC2358" s="1783"/>
      <c r="DD2358" s="1783"/>
      <c r="DE2358" s="1783"/>
      <c r="DF2358" s="1783"/>
      <c r="DG2358" s="1783"/>
      <c r="DH2358" s="1783"/>
      <c r="DI2358" s="1783"/>
      <c r="DJ2358" s="1783"/>
      <c r="DK2358" s="1783"/>
      <c r="DL2358" s="1783"/>
    </row>
    <row r="2359">
      <c r="A2359" s="44">
        <v>2359.0</v>
      </c>
      <c r="B2359" s="322" t="s">
        <v>152</v>
      </c>
      <c r="C2359" s="149" t="s">
        <v>115</v>
      </c>
      <c r="D2359" s="62" t="s">
        <v>248</v>
      </c>
      <c r="F2359" s="1286" t="s">
        <v>14311</v>
      </c>
      <c r="G2359" s="159" t="s">
        <v>14312</v>
      </c>
      <c r="H2359" s="1287" t="s">
        <v>249</v>
      </c>
      <c r="I2359" s="152">
        <v>45331.0</v>
      </c>
      <c r="J2359" s="153">
        <v>45734.0</v>
      </c>
      <c r="K2359" s="159" t="s">
        <v>14322</v>
      </c>
      <c r="L2359" s="129" t="s">
        <v>14323</v>
      </c>
      <c r="M2359" s="159" t="s">
        <v>14313</v>
      </c>
      <c r="N2359" s="159" t="s">
        <v>14314</v>
      </c>
      <c r="O2359" s="129">
        <v>1.0</v>
      </c>
      <c r="P2359" s="159" t="s">
        <v>14324</v>
      </c>
      <c r="Q2359" s="52" t="str">
        <f t="array" ref="Q2359"> if(iserror(MATCH(V2359, 'File Links'!C:C, 0)), "N/A", HYPERLINK(INDEX('File Links'!B:B, MATCH(P2359, 'File Links'!C:C, 0))))</f>
        <v>https://drive.google.com/file/d/1yWq9VA17bviusA1-gmEWYWL7w6FHKyMI/view?usp=drivesdk</v>
      </c>
      <c r="R2359" s="2028" t="s">
        <v>5028</v>
      </c>
      <c r="S2359" s="159" t="s">
        <v>5029</v>
      </c>
      <c r="T2359" s="2007" t="s">
        <v>14315</v>
      </c>
      <c r="U2359" s="1370">
        <v>7.0</v>
      </c>
      <c r="V2359" s="198" t="str">
        <f t="shared" si="123"/>
        <v>10.1007--s13164-018-0400-9.pdf</v>
      </c>
      <c r="W2359" s="1290" t="s">
        <v>5031</v>
      </c>
      <c r="X2359" s="54" t="str">
        <f t="array" ref="X2359"> if(iserror(MATCH(V2359, 'File Links'!C:C, 0)), "N/A", HYPERLINK(INDEX('File Links'!B:B, MATCH(V2359, 'File Links'!C:C, 0))))</f>
        <v>https://drive.google.com/file/d/1hjI3aqifdfXjWhQAlvKCKKtvjuncAn5M/view?usp=drivesdk</v>
      </c>
      <c r="Y2359" s="68"/>
      <c r="Z2359" s="159" t="s">
        <v>165</v>
      </c>
      <c r="AA2359" s="129" t="s">
        <v>138</v>
      </c>
      <c r="AB2359" s="151" t="s">
        <v>14325</v>
      </c>
      <c r="AC2359" s="1370" t="s">
        <v>14317</v>
      </c>
      <c r="AD2359" s="159" t="s">
        <v>14326</v>
      </c>
      <c r="AE2359" s="159" t="s">
        <v>4979</v>
      </c>
      <c r="AF2359" s="156">
        <v>21.0</v>
      </c>
      <c r="AG2359" s="1291" t="s">
        <v>14320</v>
      </c>
      <c r="AH2359" s="159" t="s">
        <v>134</v>
      </c>
      <c r="AI2359" s="151" t="s">
        <v>2413</v>
      </c>
      <c r="AJ2359" s="379">
        <v>0.016</v>
      </c>
      <c r="AK2359" s="57" t="s">
        <v>172</v>
      </c>
      <c r="AL2359" s="159" t="s">
        <v>186</v>
      </c>
      <c r="AM2359" s="1286" t="s">
        <v>137</v>
      </c>
      <c r="AN2359" s="1370" t="s">
        <v>138</v>
      </c>
      <c r="AO2359" s="156">
        <v>186.0</v>
      </c>
      <c r="AP2359" s="156">
        <v>0.602</v>
      </c>
      <c r="AQ2359" s="159" t="s">
        <v>271</v>
      </c>
      <c r="AR2359" s="151" t="s">
        <v>14327</v>
      </c>
      <c r="AS2359" s="156">
        <v>0.001</v>
      </c>
      <c r="AT2359" s="159" t="s">
        <v>135</v>
      </c>
      <c r="AU2359" s="159" t="s">
        <v>186</v>
      </c>
      <c r="AV2359" s="154" t="s">
        <v>137</v>
      </c>
      <c r="AW2359" s="1389" t="s">
        <v>14321</v>
      </c>
      <c r="AX2359" s="129" t="s">
        <v>143</v>
      </c>
      <c r="AY2359" s="61" t="str">
        <f>IFERROR(__xludf.DUMMYFUNCTION("vlookup(BB2359,importrange(""https://docs.google.com/spreadsheets/d/1d2vevQ_7D_v35q4wCQ4RpQ_IPoTwEMB9Yp6ymwlPqew/edit?gid=984458430#gid=984458430"", ""'replication success'!A:K""), 11, FAlSE)"),"successful")</f>
        <v>successful</v>
      </c>
      <c r="AZ2359" s="91" t="str">
        <f>IFERROR(__xludf.DUMMYFUNCTION("vlookup(BB2359,importrange(""https://docs.google.com/spreadsheets/d/1d2vevQ_7D_v35q4wCQ4RpQ_IPoTwEMB9Yp6ymwlPqew/edit?gid=984458430#gid=984458430"", ""'replication success'!A:M""), 12, FAlSE)"),"https://osf.io/4ewkh")</f>
        <v>https://osf.io/4ewkh</v>
      </c>
      <c r="BA2359" s="91" t="str">
        <f>IFERROR(__xludf.DUMMYFUNCTION("vlookup(BB2359,importrange(""https://docs.google.com/spreadsheets/d/1d2vevQ_7D_v35q4wCQ4RpQ_IPoTwEMB9Yp6ymwlPqew/edit?gid=984458430#gid=984458430"", ""'replication success'!A:M""), 13, FAlSE)"),"https://osf.io/4ewkh")</f>
        <v>https://osf.io/4ewkh</v>
      </c>
      <c r="BB2359" s="61" t="str">
        <f>IFERROR(__xludf.DUMMYFUNCTION("REGEXREPLACE(G2359, ""_[a-z]{1,2}$"", """")"),"XPHI7")</f>
        <v>XPHI7</v>
      </c>
      <c r="BD2359" s="155" t="s">
        <v>13578</v>
      </c>
    </row>
    <row r="2360">
      <c r="A2360" s="44">
        <v>2360.0</v>
      </c>
      <c r="B2360" s="45" t="s">
        <v>590</v>
      </c>
      <c r="C2360" s="62" t="s">
        <v>115</v>
      </c>
      <c r="D2360" s="62" t="s">
        <v>248</v>
      </c>
      <c r="F2360" s="1286" t="s">
        <v>14328</v>
      </c>
      <c r="G2360" s="159" t="s">
        <v>14329</v>
      </c>
      <c r="H2360" s="1287" t="s">
        <v>249</v>
      </c>
      <c r="I2360" s="152">
        <v>45331.0</v>
      </c>
      <c r="J2360" s="153">
        <v>45734.0</v>
      </c>
      <c r="K2360" s="159" t="s">
        <v>13561</v>
      </c>
      <c r="L2360" s="1060" t="s">
        <v>13562</v>
      </c>
      <c r="M2360" s="159" t="s">
        <v>14330</v>
      </c>
      <c r="N2360" s="159" t="s">
        <v>14331</v>
      </c>
      <c r="O2360" s="129">
        <v>1.0</v>
      </c>
      <c r="P2360" s="159" t="s">
        <v>14332</v>
      </c>
      <c r="Q2360" s="52" t="str">
        <f t="array" ref="Q2360"> if(iserror(MATCH(V2360, 'File Links'!C:C, 0)), "N/A", HYPERLINK(INDEX('File Links'!B:B, MATCH(P2360, 'File Links'!C:C, 0))))</f>
        <v>https://drive.google.com/file/d/1Dc0I6mdR5VNlZdfy9Q6SxLCujdERpq1s/view?usp=drivesdk</v>
      </c>
      <c r="R2360" s="2028" t="s">
        <v>5028</v>
      </c>
      <c r="S2360" s="159" t="s">
        <v>5029</v>
      </c>
      <c r="T2360" s="68"/>
      <c r="U2360" s="68"/>
      <c r="V2360" s="159" t="str">
        <f t="shared" si="123"/>
        <v>10.1007--s13164-018-0400-9.pdf</v>
      </c>
      <c r="W2360" s="1290" t="s">
        <v>5031</v>
      </c>
      <c r="X2360" s="54" t="str">
        <f t="array" ref="X2360"> if(iserror(MATCH(V2360, 'File Links'!C:C, 0)), "N/A", HYPERLINK(INDEX('File Links'!B:B, MATCH(V2360, 'File Links'!C:C, 0))))</f>
        <v>https://drive.google.com/file/d/1hjI3aqifdfXjWhQAlvKCKKtvjuncAn5M/view?usp=drivesdk</v>
      </c>
      <c r="Y2360" s="68"/>
      <c r="Z2360" s="159" t="s">
        <v>165</v>
      </c>
      <c r="AA2360" s="129" t="s">
        <v>138</v>
      </c>
      <c r="AB2360" s="159" t="s">
        <v>5041</v>
      </c>
      <c r="AC2360" s="68"/>
      <c r="AD2360" s="159" t="s">
        <v>138</v>
      </c>
      <c r="AE2360" s="159" t="s">
        <v>138</v>
      </c>
      <c r="AF2360" s="156">
        <v>77.0</v>
      </c>
      <c r="AG2360" s="156">
        <v>0.15</v>
      </c>
      <c r="AH2360" s="159" t="s">
        <v>271</v>
      </c>
      <c r="AI2360" s="339" t="s">
        <v>14333</v>
      </c>
      <c r="AJ2360" s="379">
        <v>0.1756</v>
      </c>
      <c r="AK2360" s="57" t="s">
        <v>172</v>
      </c>
      <c r="AL2360" s="159" t="s">
        <v>186</v>
      </c>
      <c r="AM2360" s="1286" t="s">
        <v>137</v>
      </c>
      <c r="AN2360" s="1370" t="s">
        <v>138</v>
      </c>
      <c r="AO2360" s="156">
        <v>221.0</v>
      </c>
      <c r="AP2360" s="156">
        <v>-0.04</v>
      </c>
      <c r="AQ2360" s="159" t="s">
        <v>271</v>
      </c>
      <c r="AR2360" s="159" t="s">
        <v>14334</v>
      </c>
      <c r="AS2360" s="156">
        <v>0.5151</v>
      </c>
      <c r="AT2360" s="159" t="s">
        <v>172</v>
      </c>
      <c r="AU2360" s="159" t="s">
        <v>186</v>
      </c>
      <c r="AV2360" s="154" t="s">
        <v>137</v>
      </c>
      <c r="AW2360" s="680" t="s">
        <v>14335</v>
      </c>
      <c r="AX2360" s="68"/>
      <c r="AY2360" s="61" t="str">
        <f>IFERROR(__xludf.DUMMYFUNCTION("vlookup(BB2360,importrange(""https://docs.google.com/spreadsheets/d/1d2vevQ_7D_v35q4wCQ4RpQ_IPoTwEMB9Yp6ymwlPqew/edit?gid=984458430#gid=984458430"", ""'replication success'!A:K""), 11, FAlSE)"),"#N/A")</f>
        <v>#N/A</v>
      </c>
      <c r="AZ2360" s="61" t="str">
        <f>IFERROR(__xludf.DUMMYFUNCTION("vlookup(BB2360,importrange(""https://docs.google.com/spreadsheets/d/1d2vevQ_7D_v35q4wCQ4RpQ_IPoTwEMB9Yp6ymwlPqew/edit?gid=984458430#gid=984458430"", ""'replication success'!A:M""), 12, FAlSE)"),"#N/A")</f>
        <v>#N/A</v>
      </c>
      <c r="BA2360" s="61" t="str">
        <f>IFERROR(__xludf.DUMMYFUNCTION("vlookup(BB2360,importrange(""https://docs.google.com/spreadsheets/d/1d2vevQ_7D_v35q4wCQ4RpQ_IPoTwEMB9Yp6ymwlPqew/edit?gid=984458430#gid=984458430"", ""'replication success'!A:M""), 13, FAlSE)"),"#N/A")</f>
        <v>#N/A</v>
      </c>
      <c r="BB2360" s="61" t="str">
        <f>IFERROR(__xludf.DUMMYFUNCTION("REGEXREPLACE(G2360, ""_[a-z]{1,2}$"", """")"),"XPHI8")</f>
        <v>XPHI8</v>
      </c>
      <c r="BD2360" s="155" t="s">
        <v>13578</v>
      </c>
    </row>
    <row r="2361">
      <c r="A2361" s="44">
        <v>2361.0</v>
      </c>
      <c r="B2361" s="129" t="s">
        <v>152</v>
      </c>
      <c r="C2361" s="149" t="s">
        <v>115</v>
      </c>
      <c r="D2361" s="62" t="s">
        <v>1270</v>
      </c>
      <c r="F2361" s="1286" t="s">
        <v>14336</v>
      </c>
      <c r="G2361" s="159" t="s">
        <v>14337</v>
      </c>
      <c r="H2361" s="1287" t="s">
        <v>5024</v>
      </c>
      <c r="I2361" s="152">
        <v>45667.0</v>
      </c>
      <c r="J2361" s="153">
        <v>45734.0</v>
      </c>
      <c r="K2361" s="1060" t="s">
        <v>14338</v>
      </c>
      <c r="L2361" s="129" t="s">
        <v>14339</v>
      </c>
      <c r="M2361" s="159" t="s">
        <v>14340</v>
      </c>
      <c r="N2361" s="159" t="s">
        <v>14341</v>
      </c>
      <c r="O2361" s="129">
        <v>1.0</v>
      </c>
      <c r="P2361" s="159" t="str">
        <f>SUBSTITUTE(LOWER(N2361), "/", "--") &amp;  ".pdf"</f>
        <v>10.1080--09515080500177309.pdf</v>
      </c>
      <c r="Q2361" s="52" t="str">
        <f t="array" ref="Q2361"> if(iserror(MATCH(V2361, 'File Links'!C:C, 0)), "N/A", HYPERLINK(INDEX('File Links'!B:B, MATCH(P2361, 'File Links'!C:C, 0))))</f>
        <v>https://drive.google.com/file/d/1wEFZG_VXnD2cJrOMtVKNCAqucbV5WQV9/view?usp=drivesdk</v>
      </c>
      <c r="R2361" s="2028" t="s">
        <v>5028</v>
      </c>
      <c r="S2361" s="310" t="s">
        <v>5029</v>
      </c>
      <c r="T2361" s="310" t="s">
        <v>5030</v>
      </c>
      <c r="U2361" s="156">
        <v>9.0</v>
      </c>
      <c r="V2361" s="198" t="str">
        <f t="shared" si="123"/>
        <v>10.1007--s13164-018-0400-9.pdf</v>
      </c>
      <c r="W2361" s="1290" t="s">
        <v>5031</v>
      </c>
      <c r="X2361" s="54" t="str">
        <f t="array" ref="X2361"> if(iserror(MATCH(V2361, 'File Links'!C:C, 0)), "N/A", HYPERLINK(INDEX('File Links'!B:B, MATCH(V2361, 'File Links'!C:C, 0))))</f>
        <v>https://drive.google.com/file/d/1hjI3aqifdfXjWhQAlvKCKKtvjuncAn5M/view?usp=drivesdk</v>
      </c>
      <c r="Y2361" s="68"/>
      <c r="Z2361" s="159" t="s">
        <v>165</v>
      </c>
      <c r="AA2361" s="129" t="s">
        <v>138</v>
      </c>
      <c r="AB2361" s="151" t="s">
        <v>14342</v>
      </c>
      <c r="AC2361" s="1370" t="s">
        <v>14343</v>
      </c>
      <c r="AD2361" s="159" t="s">
        <v>14344</v>
      </c>
      <c r="AE2361" s="159" t="s">
        <v>14345</v>
      </c>
      <c r="AF2361" s="156">
        <v>40.0</v>
      </c>
      <c r="AG2361" s="1370">
        <v>0.45</v>
      </c>
      <c r="AH2361" s="1370" t="s">
        <v>271</v>
      </c>
      <c r="AI2361" s="1116" t="s">
        <v>14346</v>
      </c>
      <c r="AJ2361" s="2079">
        <v>0.004</v>
      </c>
      <c r="AK2361" s="2080" t="s">
        <v>172</v>
      </c>
      <c r="AL2361" s="1115" t="s">
        <v>186</v>
      </c>
      <c r="AM2361" s="2081" t="s">
        <v>137</v>
      </c>
      <c r="AN2361" s="1370" t="s">
        <v>138</v>
      </c>
      <c r="AO2361" s="156">
        <v>123.0</v>
      </c>
      <c r="AP2361" s="1292">
        <v>0.38</v>
      </c>
      <c r="AQ2361" s="159" t="s">
        <v>271</v>
      </c>
      <c r="AR2361" s="1116" t="s">
        <v>14347</v>
      </c>
      <c r="AS2361" s="1117">
        <v>2.3E-5</v>
      </c>
      <c r="AT2361" s="1116" t="s">
        <v>172</v>
      </c>
      <c r="AU2361" s="1116" t="s">
        <v>186</v>
      </c>
      <c r="AV2361" s="159" t="s">
        <v>137</v>
      </c>
      <c r="AW2361" s="310" t="s">
        <v>14348</v>
      </c>
      <c r="AX2361" s="159" t="s">
        <v>143</v>
      </c>
      <c r="AY2361" s="61" t="str">
        <f>IFERROR(__xludf.DUMMYFUNCTION("vlookup(BB2361,importrange(""https://docs.google.com/spreadsheets/d/1d2vevQ_7D_v35q4wCQ4RpQ_IPoTwEMB9Yp6ymwlPqew/edit?gid=984458430#gid=984458430"", ""'replication success'!A:K""), 11, FAlSE)"),"successful")</f>
        <v>successful</v>
      </c>
      <c r="AZ2361" s="91" t="str">
        <f>IFERROR(__xludf.DUMMYFUNCTION("vlookup(BB2361,importrange(""https://docs.google.com/spreadsheets/d/1d2vevQ_7D_v35q4wCQ4RpQ_IPoTwEMB9Yp6ymwlPqew/edit?gid=984458430#gid=984458430"", ""'replication success'!A:M""), 12, FAlSE)"),"https://osf.io/4ewkh")</f>
        <v>https://osf.io/4ewkh</v>
      </c>
      <c r="BA2361" s="91" t="str">
        <f>IFERROR(__xludf.DUMMYFUNCTION("vlookup(BB2361,importrange(""https://docs.google.com/spreadsheets/d/1d2vevQ_7D_v35q4wCQ4RpQ_IPoTwEMB9Yp6ymwlPqew/edit?gid=984458430#gid=984458430"", ""'replication success'!A:M""), 13, FAlSE)"),"https://osf.io/4ewkh")</f>
        <v>https://osf.io/4ewkh</v>
      </c>
      <c r="BB2361" s="61" t="str">
        <f>IFERROR(__xludf.DUMMYFUNCTION("REGEXREPLACE(G2361, ""_[a-z]{1,2}$"", """")"),"XPHI9")</f>
        <v>XPHI9</v>
      </c>
      <c r="BD2361" s="155" t="s">
        <v>13578</v>
      </c>
    </row>
    <row r="2362">
      <c r="A2362" s="44">
        <v>2362.0</v>
      </c>
      <c r="B2362" s="322" t="s">
        <v>114</v>
      </c>
      <c r="C2362" s="149" t="s">
        <v>115</v>
      </c>
      <c r="D2362" s="62" t="s">
        <v>248</v>
      </c>
      <c r="F2362" s="1286" t="s">
        <v>14336</v>
      </c>
      <c r="G2362" s="159" t="s">
        <v>14337</v>
      </c>
      <c r="H2362" s="1287" t="s">
        <v>249</v>
      </c>
      <c r="I2362" s="152">
        <v>45331.0</v>
      </c>
      <c r="J2362" s="153">
        <v>45734.0</v>
      </c>
      <c r="K2362" s="159" t="s">
        <v>14349</v>
      </c>
      <c r="L2362" s="2082" t="s">
        <v>14350</v>
      </c>
      <c r="M2362" s="159" t="s">
        <v>14340</v>
      </c>
      <c r="N2362" s="159" t="s">
        <v>14341</v>
      </c>
      <c r="O2362" s="129">
        <v>1.0</v>
      </c>
      <c r="P2362" s="159" t="s">
        <v>14351</v>
      </c>
      <c r="Q2362" s="52" t="str">
        <f t="array" ref="Q2362"> if(iserror(MATCH(V2362, 'File Links'!C:C, 0)), "N/A", HYPERLINK(INDEX('File Links'!B:B, MATCH(P2362, 'File Links'!C:C, 0))))</f>
        <v>https://drive.google.com/file/d/1wEFZG_VXnD2cJrOMtVKNCAqucbV5WQV9/view?usp=drivesdk</v>
      </c>
      <c r="R2362" s="2028" t="s">
        <v>5028</v>
      </c>
      <c r="S2362" s="159" t="s">
        <v>5029</v>
      </c>
      <c r="T2362" s="68"/>
      <c r="U2362" s="1093">
        <v>9.0</v>
      </c>
      <c r="V2362" s="198" t="str">
        <f t="shared" si="123"/>
        <v>10.1007--s13164-018-0400-9.pdf</v>
      </c>
      <c r="W2362" s="1290" t="s">
        <v>5031</v>
      </c>
      <c r="X2362" s="54" t="str">
        <f t="array" ref="X2362"> if(iserror(MATCH(V2362, 'File Links'!C:C, 0)), "N/A", HYPERLINK(INDEX('File Links'!B:B, MATCH(V2362, 'File Links'!C:C, 0))))</f>
        <v>https://drive.google.com/file/d/1hjI3aqifdfXjWhQAlvKCKKtvjuncAn5M/view?usp=drivesdk</v>
      </c>
      <c r="Y2362" s="68"/>
      <c r="Z2362" s="159" t="s">
        <v>165</v>
      </c>
      <c r="AA2362" s="129" t="s">
        <v>138</v>
      </c>
      <c r="AB2362" s="151" t="s">
        <v>14352</v>
      </c>
      <c r="AC2362" s="1370" t="s">
        <v>14343</v>
      </c>
      <c r="AD2362" s="1115" t="s">
        <v>14344</v>
      </c>
      <c r="AE2362" s="1115" t="s">
        <v>14345</v>
      </c>
      <c r="AF2362" s="156">
        <v>40.0</v>
      </c>
      <c r="AG2362" s="156">
        <v>0.45</v>
      </c>
      <c r="AH2362" s="159" t="s">
        <v>271</v>
      </c>
      <c r="AI2362" s="1116" t="s">
        <v>14346</v>
      </c>
      <c r="AJ2362" s="379">
        <v>0.004</v>
      </c>
      <c r="AK2362" s="57" t="s">
        <v>172</v>
      </c>
      <c r="AL2362" s="159" t="s">
        <v>186</v>
      </c>
      <c r="AM2362" s="1286" t="s">
        <v>137</v>
      </c>
      <c r="AN2362" s="1116" t="s">
        <v>138</v>
      </c>
      <c r="AO2362" s="1059">
        <v>128.0</v>
      </c>
      <c r="AP2362" s="156">
        <v>0.38</v>
      </c>
      <c r="AQ2362" s="159" t="s">
        <v>271</v>
      </c>
      <c r="AR2362" s="1116" t="s">
        <v>14347</v>
      </c>
      <c r="AS2362" s="1117">
        <v>2.3E-5</v>
      </c>
      <c r="AT2362" s="1116" t="s">
        <v>172</v>
      </c>
      <c r="AU2362" s="159" t="s">
        <v>186</v>
      </c>
      <c r="AV2362" s="154" t="s">
        <v>137</v>
      </c>
      <c r="AW2362" s="1389" t="s">
        <v>14348</v>
      </c>
      <c r="AX2362" s="1370" t="s">
        <v>143</v>
      </c>
      <c r="AY2362" s="61" t="str">
        <f>IFERROR(__xludf.DUMMYFUNCTION("vlookup(BB2362,importrange(""https://docs.google.com/spreadsheets/d/1d2vevQ_7D_v35q4wCQ4RpQ_IPoTwEMB9Yp6ymwlPqew/edit?gid=984458430#gid=984458430"", ""'replication success'!A:K""), 11, FAlSE)"),"successful")</f>
        <v>successful</v>
      </c>
      <c r="AZ2362" s="91" t="str">
        <f>IFERROR(__xludf.DUMMYFUNCTION("vlookup(BB2362,importrange(""https://docs.google.com/spreadsheets/d/1d2vevQ_7D_v35q4wCQ4RpQ_IPoTwEMB9Yp6ymwlPqew/edit?gid=984458430#gid=984458430"", ""'replication success'!A:M""), 12, FAlSE)"),"https://osf.io/4ewkh")</f>
        <v>https://osf.io/4ewkh</v>
      </c>
      <c r="BA2362" s="91" t="str">
        <f>IFERROR(__xludf.DUMMYFUNCTION("vlookup(BB2362,importrange(""https://docs.google.com/spreadsheets/d/1d2vevQ_7D_v35q4wCQ4RpQ_IPoTwEMB9Yp6ymwlPqew/edit?gid=984458430#gid=984458430"", ""'replication success'!A:M""), 13, FAlSE)"),"https://osf.io/4ewkh")</f>
        <v>https://osf.io/4ewkh</v>
      </c>
      <c r="BB2362" s="61" t="str">
        <f>IFERROR(__xludf.DUMMYFUNCTION("REGEXREPLACE(G2362, ""_[a-z]{1,2}$"", """")"),"XPHI9")</f>
        <v>XPHI9</v>
      </c>
      <c r="BD2362" s="155" t="s">
        <v>13578</v>
      </c>
    </row>
    <row r="2363">
      <c r="A2363" s="44">
        <v>2363.0</v>
      </c>
      <c r="B2363" s="129" t="s">
        <v>523</v>
      </c>
      <c r="C2363" s="62" t="s">
        <v>115</v>
      </c>
      <c r="D2363" s="62" t="s">
        <v>1270</v>
      </c>
      <c r="F2363" s="46"/>
      <c r="G2363" s="360" t="s">
        <v>2895</v>
      </c>
      <c r="H2363" s="360" t="s">
        <v>2067</v>
      </c>
      <c r="I2363" s="344">
        <v>45473.0</v>
      </c>
      <c r="J2363" s="344">
        <v>45695.0</v>
      </c>
      <c r="K2363" s="360" t="s">
        <v>2920</v>
      </c>
      <c r="L2363" s="46"/>
      <c r="M2363" s="360" t="s">
        <v>2897</v>
      </c>
      <c r="N2363" s="360" t="s">
        <v>2898</v>
      </c>
      <c r="O2363" s="46"/>
      <c r="P2363" s="159" t="str">
        <f t="shared" ref="P2363:P2387" si="135">SUBSTITUTE(LOWER(N2363), "/", "--") &amp;  ".pdf"</f>
        <v>10.1017--s0007123421000557.pdf</v>
      </c>
      <c r="Q2363" s="52" t="str">
        <f t="array" ref="Q2363"> if(iserror(MATCH(V2363, 'File Links'!C:C, 0)), "N/A", HYPERLINK(INDEX('File Links'!B:B, MATCH(P2363, 'File Links'!C:C, 0))))</f>
        <v>https://drive.google.com/file/d/1YQ1rwTK8fHHydlCOqvw62rr4BQnhJ7v4/view?usp=drivesdk</v>
      </c>
      <c r="R2363" s="360" t="s">
        <v>2900</v>
      </c>
      <c r="S2363" s="360" t="s">
        <v>2901</v>
      </c>
      <c r="T2363" s="46"/>
      <c r="U2363" s="46"/>
      <c r="V2363" s="198" t="str">
        <f t="shared" si="123"/>
        <v>10.1080--15614263.2023.2185241.pdf</v>
      </c>
      <c r="W2363" s="360" t="s">
        <v>209</v>
      </c>
      <c r="X2363" s="54" t="str">
        <f t="array" ref="X2363"> if(iserror(MATCH(V2363, 'File Links'!C:C, 0)), "N/A", HYPERLINK(INDEX('File Links'!B:B, MATCH(V2363, 'File Links'!C:C, 0))))</f>
        <v>https://drive.google.com/file/d/15ZlJQ8dYoTyaoh7HgVjWxbumKbhPC9XU/view?usp=drivesdk</v>
      </c>
      <c r="Y2363" s="46"/>
      <c r="Z2363" s="360" t="s">
        <v>128</v>
      </c>
      <c r="AA2363" s="360" t="s">
        <v>2921</v>
      </c>
      <c r="AB2363" s="360" t="s">
        <v>2922</v>
      </c>
      <c r="AC2363" s="360" t="s">
        <v>2923</v>
      </c>
      <c r="AD2363" s="360" t="s">
        <v>14353</v>
      </c>
      <c r="AE2363" s="360" t="s">
        <v>2925</v>
      </c>
      <c r="AF2363" s="357">
        <v>47.0</v>
      </c>
      <c r="AG2363" s="360" t="s">
        <v>14354</v>
      </c>
      <c r="AH2363" s="46"/>
      <c r="AI2363" s="360" t="s">
        <v>436</v>
      </c>
      <c r="AJ2363" s="357">
        <v>0.05</v>
      </c>
      <c r="AK2363" s="360" t="s">
        <v>172</v>
      </c>
      <c r="AL2363" s="360" t="s">
        <v>186</v>
      </c>
      <c r="AM2363" s="46" t="s">
        <v>141</v>
      </c>
      <c r="AN2363" s="46"/>
      <c r="AO2363" s="357">
        <v>132.0</v>
      </c>
      <c r="AP2363" s="360" t="s">
        <v>14355</v>
      </c>
      <c r="AQ2363" s="360" t="s">
        <v>134</v>
      </c>
      <c r="AR2363" s="360" t="s">
        <v>2928</v>
      </c>
      <c r="AS2363" s="357">
        <v>0.422</v>
      </c>
      <c r="AT2363" s="360" t="s">
        <v>172</v>
      </c>
      <c r="AU2363" s="360" t="s">
        <v>186</v>
      </c>
      <c r="AV2363" s="46" t="s">
        <v>141</v>
      </c>
      <c r="AW2363" s="59" t="s">
        <v>2929</v>
      </c>
      <c r="AX2363" s="46" t="s">
        <v>151</v>
      </c>
      <c r="AY2363" s="61" t="str">
        <f>IFERROR(__xludf.DUMMYFUNCTION("vlookup(BB2363,importrange(""https://docs.google.com/spreadsheets/d/1d2vevQ_7D_v35q4wCQ4RpQ_IPoTwEMB9Yp6ymwlPqew/edit?gid=984458430#gid=984458430"", ""'replication success'!A:K""), 11, FAlSE)"),"#N/A")</f>
        <v>#N/A</v>
      </c>
      <c r="AZ2363" s="61" t="str">
        <f>IFERROR(__xludf.DUMMYFUNCTION("vlookup(BB2363,importrange(""https://docs.google.com/spreadsheets/d/1d2vevQ_7D_v35q4wCQ4RpQ_IPoTwEMB9Yp6ymwlPqew/edit?gid=984458430#gid=984458430"", ""'replication success'!A:M""), 12, FAlSE)"),"#N/A")</f>
        <v>#N/A</v>
      </c>
      <c r="BA2363" s="61" t="str">
        <f>IFERROR(__xludf.DUMMYFUNCTION("vlookup(BB2363,importrange(""https://docs.google.com/spreadsheets/d/1d2vevQ_7D_v35q4wCQ4RpQ_IPoTwEMB9Yp6ymwlPqew/edit?gid=984458430#gid=984458430"", ""'replication success'!A:M""), 13, FAlSE)"),"#N/A")</f>
        <v>#N/A</v>
      </c>
      <c r="BB2363" s="61" t="str">
        <f>IFERROR(__xludf.DUMMYFUNCTION("REGEXREPLACE(G2363, ""_[a-z]{1,2}$"", """")"),"additional_studies72")</f>
        <v>additional_studies72</v>
      </c>
    </row>
    <row r="2364">
      <c r="A2364" s="44">
        <v>2364.0</v>
      </c>
      <c r="B2364" s="129" t="s">
        <v>523</v>
      </c>
      <c r="C2364" s="62" t="s">
        <v>115</v>
      </c>
      <c r="D2364" s="62" t="s">
        <v>1270</v>
      </c>
      <c r="F2364" s="46"/>
      <c r="G2364" s="360" t="s">
        <v>2895</v>
      </c>
      <c r="H2364" s="360" t="s">
        <v>2067</v>
      </c>
      <c r="I2364" s="344">
        <v>45473.0</v>
      </c>
      <c r="J2364" s="344">
        <v>45695.0</v>
      </c>
      <c r="K2364" s="360" t="s">
        <v>2920</v>
      </c>
      <c r="L2364" s="46"/>
      <c r="M2364" s="360" t="s">
        <v>2897</v>
      </c>
      <c r="N2364" s="360" t="s">
        <v>2898</v>
      </c>
      <c r="O2364" s="46"/>
      <c r="P2364" s="159" t="str">
        <f t="shared" si="135"/>
        <v>10.1017--s0007123421000557.pdf</v>
      </c>
      <c r="Q2364" s="52" t="str">
        <f t="array" ref="Q2364"> if(iserror(MATCH(V2364, 'File Links'!C:C, 0)), "N/A", HYPERLINK(INDEX('File Links'!B:B, MATCH(P2364, 'File Links'!C:C, 0))))</f>
        <v>https://drive.google.com/file/d/1YQ1rwTK8fHHydlCOqvw62rr4BQnhJ7v4/view?usp=drivesdk</v>
      </c>
      <c r="R2364" s="360" t="s">
        <v>2900</v>
      </c>
      <c r="S2364" s="360" t="s">
        <v>2901</v>
      </c>
      <c r="T2364" s="46"/>
      <c r="U2364" s="46"/>
      <c r="V2364" s="198" t="str">
        <f t="shared" si="123"/>
        <v>10.1080--15614263.2023.2185241.pdf</v>
      </c>
      <c r="W2364" s="360" t="s">
        <v>209</v>
      </c>
      <c r="X2364" s="54" t="str">
        <f t="array" ref="X2364"> if(iserror(MATCH(V2364, 'File Links'!C:C, 0)), "N/A", HYPERLINK(INDEX('File Links'!B:B, MATCH(V2364, 'File Links'!C:C, 0))))</f>
        <v>https://drive.google.com/file/d/15ZlJQ8dYoTyaoh7HgVjWxbumKbhPC9XU/view?usp=drivesdk</v>
      </c>
      <c r="Y2364" s="46"/>
      <c r="Z2364" s="360" t="s">
        <v>128</v>
      </c>
      <c r="AA2364" s="360" t="s">
        <v>2921</v>
      </c>
      <c r="AB2364" s="360" t="s">
        <v>2922</v>
      </c>
      <c r="AC2364" s="360" t="s">
        <v>2923</v>
      </c>
      <c r="AD2364" s="360" t="s">
        <v>14356</v>
      </c>
      <c r="AE2364" s="360" t="s">
        <v>2925</v>
      </c>
      <c r="AF2364" s="357">
        <v>47.0</v>
      </c>
      <c r="AG2364" s="360" t="s">
        <v>14357</v>
      </c>
      <c r="AH2364" s="46"/>
      <c r="AI2364" s="360" t="s">
        <v>436</v>
      </c>
      <c r="AJ2364" s="357">
        <v>0.004</v>
      </c>
      <c r="AK2364" s="360" t="s">
        <v>172</v>
      </c>
      <c r="AL2364" s="360" t="s">
        <v>186</v>
      </c>
      <c r="AM2364" s="46" t="s">
        <v>141</v>
      </c>
      <c r="AN2364" s="46"/>
      <c r="AO2364" s="357">
        <v>143.0</v>
      </c>
      <c r="AP2364" s="360" t="s">
        <v>14358</v>
      </c>
      <c r="AQ2364" s="360" t="s">
        <v>134</v>
      </c>
      <c r="AR2364" s="360" t="s">
        <v>2928</v>
      </c>
      <c r="AS2364" s="357">
        <v>0.908</v>
      </c>
      <c r="AT2364" s="360" t="s">
        <v>172</v>
      </c>
      <c r="AU2364" s="360" t="s">
        <v>186</v>
      </c>
      <c r="AV2364" s="46" t="s">
        <v>141</v>
      </c>
      <c r="AW2364" s="59" t="s">
        <v>2929</v>
      </c>
      <c r="AX2364" s="46" t="s">
        <v>151</v>
      </c>
      <c r="AY2364" s="61" t="str">
        <f>IFERROR(__xludf.DUMMYFUNCTION("vlookup(BB2364,importrange(""https://docs.google.com/spreadsheets/d/1d2vevQ_7D_v35q4wCQ4RpQ_IPoTwEMB9Yp6ymwlPqew/edit?gid=984458430#gid=984458430"", ""'replication success'!A:K""), 11, FAlSE)"),"#N/A")</f>
        <v>#N/A</v>
      </c>
      <c r="AZ2364" s="61" t="str">
        <f>IFERROR(__xludf.DUMMYFUNCTION("vlookup(BB2364,importrange(""https://docs.google.com/spreadsheets/d/1d2vevQ_7D_v35q4wCQ4RpQ_IPoTwEMB9Yp6ymwlPqew/edit?gid=984458430#gid=984458430"", ""'replication success'!A:M""), 12, FAlSE)"),"#N/A")</f>
        <v>#N/A</v>
      </c>
      <c r="BA2364" s="61" t="str">
        <f>IFERROR(__xludf.DUMMYFUNCTION("vlookup(BB2364,importrange(""https://docs.google.com/spreadsheets/d/1d2vevQ_7D_v35q4wCQ4RpQ_IPoTwEMB9Yp6ymwlPqew/edit?gid=984458430#gid=984458430"", ""'replication success'!A:M""), 13, FAlSE)"),"#N/A")</f>
        <v>#N/A</v>
      </c>
      <c r="BB2364" s="61" t="str">
        <f>IFERROR(__xludf.DUMMYFUNCTION("REGEXREPLACE(G2364, ""_[a-z]{1,2}$"", """")"),"additional_studies72")</f>
        <v>additional_studies72</v>
      </c>
    </row>
    <row r="2365">
      <c r="A2365" s="44">
        <v>2365.0</v>
      </c>
      <c r="B2365" s="129" t="s">
        <v>523</v>
      </c>
      <c r="C2365" s="62" t="s">
        <v>115</v>
      </c>
      <c r="D2365" s="62" t="s">
        <v>1270</v>
      </c>
      <c r="F2365" s="68"/>
      <c r="G2365" s="159" t="s">
        <v>9520</v>
      </c>
      <c r="H2365" s="159" t="s">
        <v>5024</v>
      </c>
      <c r="I2365" s="152">
        <v>45478.0</v>
      </c>
      <c r="J2365" s="152">
        <v>45681.0</v>
      </c>
      <c r="K2365" s="159" t="s">
        <v>9536</v>
      </c>
      <c r="L2365" s="68"/>
      <c r="M2365" s="159" t="s">
        <v>9521</v>
      </c>
      <c r="N2365" s="159" t="s">
        <v>9522</v>
      </c>
      <c r="O2365" s="68"/>
      <c r="P2365" s="159" t="str">
        <f t="shared" si="135"/>
        <v>10.1002--soej.12223.pdf</v>
      </c>
      <c r="Q2365" s="52" t="str">
        <f t="array" ref="Q2365"> if(iserror(MATCH(V2365, 'File Links'!C:C, 0)), "N/A", HYPERLINK(INDEX('File Links'!B:B, MATCH(P2365, 'File Links'!C:C, 0))))</f>
        <v>https://drive.google.com/file/d/1MSm1yoidPn8M-5atsMIFyyg354c4jcsA/view?usp=drivesdk</v>
      </c>
      <c r="R2365" s="159" t="s">
        <v>9524</v>
      </c>
      <c r="S2365" s="159" t="s">
        <v>9525</v>
      </c>
      <c r="T2365" s="68"/>
      <c r="U2365" s="68"/>
      <c r="V2365" s="198" t="str">
        <f t="shared" si="123"/>
        <v>10.18718--81781.27.pdf</v>
      </c>
      <c r="W2365" s="159" t="s">
        <v>6637</v>
      </c>
      <c r="X2365" s="54" t="str">
        <f t="array" ref="X2365"> if(iserror(MATCH(V2365, 'File Links'!C:C, 0)), "N/A", HYPERLINK(INDEX('File Links'!B:B, MATCH(V2365, 'File Links'!C:C, 0))))</f>
        <v>https://drive.google.com/file/d/1B0bpIVPknZVh5AfVAO6FnFkgh37GF9dx/view?usp=drivesdk</v>
      </c>
      <c r="Y2365" s="68"/>
      <c r="Z2365" s="159" t="s">
        <v>1809</v>
      </c>
      <c r="AA2365" s="68"/>
      <c r="AB2365" s="159" t="s">
        <v>9537</v>
      </c>
      <c r="AC2365" s="1065"/>
      <c r="AD2365" s="159" t="s">
        <v>14359</v>
      </c>
      <c r="AE2365" s="159" t="s">
        <v>9539</v>
      </c>
      <c r="AF2365" s="156">
        <v>70.0</v>
      </c>
      <c r="AG2365" s="156">
        <v>0.718</v>
      </c>
      <c r="AH2365" s="159" t="s">
        <v>173</v>
      </c>
      <c r="AI2365" s="159" t="s">
        <v>850</v>
      </c>
      <c r="AJ2365" s="156">
        <v>0.001</v>
      </c>
      <c r="AK2365" s="159" t="s">
        <v>172</v>
      </c>
      <c r="AL2365" s="159" t="s">
        <v>186</v>
      </c>
      <c r="AM2365" s="68" t="s">
        <v>137</v>
      </c>
      <c r="AN2365" s="330" t="s">
        <v>138</v>
      </c>
      <c r="AO2365" s="156">
        <v>74.0</v>
      </c>
      <c r="AP2365" s="156">
        <v>0.212</v>
      </c>
      <c r="AQ2365" s="159" t="s">
        <v>173</v>
      </c>
      <c r="AR2365" s="159" t="s">
        <v>850</v>
      </c>
      <c r="AS2365" s="156">
        <v>0.725</v>
      </c>
      <c r="AT2365" s="159" t="s">
        <v>172</v>
      </c>
      <c r="AU2365" s="159" t="s">
        <v>186</v>
      </c>
      <c r="AV2365" s="68" t="s">
        <v>137</v>
      </c>
      <c r="AW2365" s="68"/>
      <c r="AX2365" s="68" t="s">
        <v>143</v>
      </c>
      <c r="AY2365" s="61" t="str">
        <f>IFERROR(__xludf.DUMMYFUNCTION("vlookup(BB2365,importrange(""https://docs.google.com/spreadsheets/d/1d2vevQ_7D_v35q4wCQ4RpQ_IPoTwEMB9Yp6ymwlPqew/edit?gid=984458430#gid=984458430"", ""'replication success'!A:K""), 11, FAlSE)"),"#N/A")</f>
        <v>#N/A</v>
      </c>
      <c r="AZ2365" s="61" t="str">
        <f>IFERROR(__xludf.DUMMYFUNCTION("vlookup(BB2365,importrange(""https://docs.google.com/spreadsheets/d/1d2vevQ_7D_v35q4wCQ4RpQ_IPoTwEMB9Yp6ymwlPqew/edit?gid=984458430#gid=984458430"", ""'replication success'!A:M""), 12, FAlSE)"),"#N/A")</f>
        <v>#N/A</v>
      </c>
      <c r="BA2365" s="61" t="str">
        <f>IFERROR(__xludf.DUMMYFUNCTION("vlookup(BB2365,importrange(""https://docs.google.com/spreadsheets/d/1d2vevQ_7D_v35q4wCQ4RpQ_IPoTwEMB9Yp6ymwlPqew/edit?gid=984458430#gid=984458430"", ""'replication success'!A:M""), 13, FAlSE)"),"#N/A")</f>
        <v>#N/A</v>
      </c>
      <c r="BB2365" s="61" t="str">
        <f>IFERROR(__xludf.DUMMYFUNCTION("REGEXREPLACE(G2365, ""_[a-z]{1,2}$"", """")"),"jcre_03")</f>
        <v>jcre_03</v>
      </c>
    </row>
    <row r="2366">
      <c r="A2366" s="44">
        <v>2366.0</v>
      </c>
      <c r="B2366" s="129" t="s">
        <v>523</v>
      </c>
      <c r="C2366" s="62" t="s">
        <v>115</v>
      </c>
      <c r="D2366" s="62" t="s">
        <v>1270</v>
      </c>
      <c r="F2366" s="68"/>
      <c r="G2366" s="159" t="s">
        <v>9520</v>
      </c>
      <c r="H2366" s="159" t="s">
        <v>5024</v>
      </c>
      <c r="I2366" s="152">
        <v>45478.0</v>
      </c>
      <c r="J2366" s="152">
        <v>45681.0</v>
      </c>
      <c r="K2366" s="159" t="s">
        <v>9536</v>
      </c>
      <c r="L2366" s="68"/>
      <c r="M2366" s="159" t="s">
        <v>9521</v>
      </c>
      <c r="N2366" s="159" t="s">
        <v>9522</v>
      </c>
      <c r="O2366" s="68"/>
      <c r="P2366" s="159" t="str">
        <f t="shared" si="135"/>
        <v>10.1002--soej.12223.pdf</v>
      </c>
      <c r="Q2366" s="52" t="str">
        <f t="array" ref="Q2366"> if(iserror(MATCH(V2366, 'File Links'!C:C, 0)), "N/A", HYPERLINK(INDEX('File Links'!B:B, MATCH(P2366, 'File Links'!C:C, 0))))</f>
        <v>https://drive.google.com/file/d/1MSm1yoidPn8M-5atsMIFyyg354c4jcsA/view?usp=drivesdk</v>
      </c>
      <c r="R2366" s="159" t="s">
        <v>9524</v>
      </c>
      <c r="S2366" s="159" t="s">
        <v>9525</v>
      </c>
      <c r="T2366" s="68"/>
      <c r="U2366" s="68"/>
      <c r="V2366" s="198" t="str">
        <f t="shared" si="123"/>
        <v>10.18718--81781.27.pdf</v>
      </c>
      <c r="W2366" s="159" t="s">
        <v>6637</v>
      </c>
      <c r="X2366" s="54" t="str">
        <f t="array" ref="X2366"> if(iserror(MATCH(V2366, 'File Links'!C:C, 0)), "N/A", HYPERLINK(INDEX('File Links'!B:B, MATCH(V2366, 'File Links'!C:C, 0))))</f>
        <v>https://drive.google.com/file/d/1B0bpIVPknZVh5AfVAO6FnFkgh37GF9dx/view?usp=drivesdk</v>
      </c>
      <c r="Y2366" s="68"/>
      <c r="Z2366" s="159" t="s">
        <v>1809</v>
      </c>
      <c r="AA2366" s="68"/>
      <c r="AB2366" s="159" t="s">
        <v>9537</v>
      </c>
      <c r="AC2366" s="1065"/>
      <c r="AD2366" s="159" t="s">
        <v>14360</v>
      </c>
      <c r="AE2366" s="159" t="s">
        <v>9539</v>
      </c>
      <c r="AF2366" s="156">
        <v>70.0</v>
      </c>
      <c r="AG2366" s="156">
        <v>0.552</v>
      </c>
      <c r="AH2366" s="159" t="s">
        <v>173</v>
      </c>
      <c r="AI2366" s="159" t="s">
        <v>850</v>
      </c>
      <c r="AJ2366" s="156">
        <v>0.039</v>
      </c>
      <c r="AK2366" s="159" t="s">
        <v>172</v>
      </c>
      <c r="AL2366" s="159" t="s">
        <v>186</v>
      </c>
      <c r="AM2366" s="68" t="s">
        <v>137</v>
      </c>
      <c r="AN2366" s="330" t="s">
        <v>138</v>
      </c>
      <c r="AO2366" s="156">
        <v>63.0</v>
      </c>
      <c r="AP2366" s="156">
        <v>0.031</v>
      </c>
      <c r="AQ2366" s="159" t="s">
        <v>173</v>
      </c>
      <c r="AR2366" s="159" t="s">
        <v>850</v>
      </c>
      <c r="AS2366" s="156">
        <v>0.927</v>
      </c>
      <c r="AT2366" s="159" t="s">
        <v>172</v>
      </c>
      <c r="AU2366" s="159" t="s">
        <v>186</v>
      </c>
      <c r="AV2366" s="68" t="s">
        <v>137</v>
      </c>
      <c r="AW2366" s="68"/>
      <c r="AX2366" s="68" t="s">
        <v>143</v>
      </c>
      <c r="AY2366" s="61" t="str">
        <f>IFERROR(__xludf.DUMMYFUNCTION("vlookup(BB2366,importrange(""https://docs.google.com/spreadsheets/d/1d2vevQ_7D_v35q4wCQ4RpQ_IPoTwEMB9Yp6ymwlPqew/edit?gid=984458430#gid=984458430"", ""'replication success'!A:K""), 11, FAlSE)"),"#N/A")</f>
        <v>#N/A</v>
      </c>
      <c r="AZ2366" s="61" t="str">
        <f>IFERROR(__xludf.DUMMYFUNCTION("vlookup(BB2366,importrange(""https://docs.google.com/spreadsheets/d/1d2vevQ_7D_v35q4wCQ4RpQ_IPoTwEMB9Yp6ymwlPqew/edit?gid=984458430#gid=984458430"", ""'replication success'!A:M""), 12, FAlSE)"),"#N/A")</f>
        <v>#N/A</v>
      </c>
      <c r="BA2366" s="61" t="str">
        <f>IFERROR(__xludf.DUMMYFUNCTION("vlookup(BB2366,importrange(""https://docs.google.com/spreadsheets/d/1d2vevQ_7D_v35q4wCQ4RpQ_IPoTwEMB9Yp6ymwlPqew/edit?gid=984458430#gid=984458430"", ""'replication success'!A:M""), 13, FAlSE)"),"#N/A")</f>
        <v>#N/A</v>
      </c>
      <c r="BB2366" s="61" t="str">
        <f>IFERROR(__xludf.DUMMYFUNCTION("REGEXREPLACE(G2366, ""_[a-z]{1,2}$"", """")"),"jcre_03")</f>
        <v>jcre_03</v>
      </c>
    </row>
    <row r="2367">
      <c r="A2367" s="44">
        <v>2367.0</v>
      </c>
      <c r="B2367" s="129" t="s">
        <v>523</v>
      </c>
      <c r="C2367" s="62" t="s">
        <v>115</v>
      </c>
      <c r="D2367" s="62" t="s">
        <v>1270</v>
      </c>
      <c r="F2367" s="68"/>
      <c r="G2367" s="159" t="s">
        <v>9520</v>
      </c>
      <c r="H2367" s="159" t="s">
        <v>5024</v>
      </c>
      <c r="I2367" s="152">
        <v>45478.0</v>
      </c>
      <c r="J2367" s="152">
        <v>45681.0</v>
      </c>
      <c r="K2367" s="159" t="s">
        <v>9536</v>
      </c>
      <c r="L2367" s="68"/>
      <c r="M2367" s="159" t="s">
        <v>9521</v>
      </c>
      <c r="N2367" s="159" t="s">
        <v>9522</v>
      </c>
      <c r="O2367" s="68"/>
      <c r="P2367" s="159" t="str">
        <f t="shared" si="135"/>
        <v>10.1002--soej.12223.pdf</v>
      </c>
      <c r="Q2367" s="52" t="str">
        <f t="array" ref="Q2367"> if(iserror(MATCH(V2367, 'File Links'!C:C, 0)), "N/A", HYPERLINK(INDEX('File Links'!B:B, MATCH(P2367, 'File Links'!C:C, 0))))</f>
        <v>https://drive.google.com/file/d/1MSm1yoidPn8M-5atsMIFyyg354c4jcsA/view?usp=drivesdk</v>
      </c>
      <c r="R2367" s="159" t="s">
        <v>9524</v>
      </c>
      <c r="S2367" s="159" t="s">
        <v>9525</v>
      </c>
      <c r="T2367" s="68"/>
      <c r="U2367" s="68"/>
      <c r="V2367" s="198" t="str">
        <f t="shared" si="123"/>
        <v>10.18718--81781.27.pdf</v>
      </c>
      <c r="W2367" s="159" t="s">
        <v>6637</v>
      </c>
      <c r="X2367" s="54" t="str">
        <f t="array" ref="X2367"> if(iserror(MATCH(V2367, 'File Links'!C:C, 0)), "N/A", HYPERLINK(INDEX('File Links'!B:B, MATCH(V2367, 'File Links'!C:C, 0))))</f>
        <v>https://drive.google.com/file/d/1B0bpIVPknZVh5AfVAO6FnFkgh37GF9dx/view?usp=drivesdk</v>
      </c>
      <c r="Y2367" s="68"/>
      <c r="Z2367" s="159" t="s">
        <v>1809</v>
      </c>
      <c r="AA2367" s="68"/>
      <c r="AB2367" s="159" t="s">
        <v>9537</v>
      </c>
      <c r="AC2367" s="1065"/>
      <c r="AD2367" s="159" t="s">
        <v>14361</v>
      </c>
      <c r="AE2367" s="159" t="s">
        <v>9539</v>
      </c>
      <c r="AF2367" s="156">
        <v>70.0</v>
      </c>
      <c r="AG2367" s="156">
        <v>0.059</v>
      </c>
      <c r="AH2367" s="159" t="s">
        <v>173</v>
      </c>
      <c r="AI2367" s="159" t="s">
        <v>850</v>
      </c>
      <c r="AJ2367" s="156">
        <v>0.594</v>
      </c>
      <c r="AK2367" s="159" t="s">
        <v>172</v>
      </c>
      <c r="AL2367" s="159" t="s">
        <v>186</v>
      </c>
      <c r="AM2367" s="68" t="s">
        <v>137</v>
      </c>
      <c r="AN2367" s="330" t="s">
        <v>138</v>
      </c>
      <c r="AO2367" s="156">
        <v>69.0</v>
      </c>
      <c r="AP2367" s="2083" t="s">
        <v>14362</v>
      </c>
      <c r="AQ2367" s="159" t="s">
        <v>173</v>
      </c>
      <c r="AR2367" s="159" t="s">
        <v>850</v>
      </c>
      <c r="AS2367" s="156">
        <v>0.699</v>
      </c>
      <c r="AT2367" s="159" t="s">
        <v>172</v>
      </c>
      <c r="AU2367" s="159" t="s">
        <v>186</v>
      </c>
      <c r="AV2367" s="68" t="s">
        <v>137</v>
      </c>
      <c r="AW2367" s="68"/>
      <c r="AX2367" s="68" t="s">
        <v>143</v>
      </c>
      <c r="AY2367" s="61" t="str">
        <f>IFERROR(__xludf.DUMMYFUNCTION("vlookup(BB2367,importrange(""https://docs.google.com/spreadsheets/d/1d2vevQ_7D_v35q4wCQ4RpQ_IPoTwEMB9Yp6ymwlPqew/edit?gid=984458430#gid=984458430"", ""'replication success'!A:K""), 11, FAlSE)"),"#N/A")</f>
        <v>#N/A</v>
      </c>
      <c r="AZ2367" s="61" t="str">
        <f>IFERROR(__xludf.DUMMYFUNCTION("vlookup(BB2367,importrange(""https://docs.google.com/spreadsheets/d/1d2vevQ_7D_v35q4wCQ4RpQ_IPoTwEMB9Yp6ymwlPqew/edit?gid=984458430#gid=984458430"", ""'replication success'!A:M""), 12, FAlSE)"),"#N/A")</f>
        <v>#N/A</v>
      </c>
      <c r="BA2367" s="61" t="str">
        <f>IFERROR(__xludf.DUMMYFUNCTION("vlookup(BB2367,importrange(""https://docs.google.com/spreadsheets/d/1d2vevQ_7D_v35q4wCQ4RpQ_IPoTwEMB9Yp6ymwlPqew/edit?gid=984458430#gid=984458430"", ""'replication success'!A:M""), 13, FAlSE)"),"#N/A")</f>
        <v>#N/A</v>
      </c>
      <c r="BB2367" s="61" t="str">
        <f>IFERROR(__xludf.DUMMYFUNCTION("REGEXREPLACE(G2367, ""_[a-z]{1,2}$"", """")"),"jcre_03")</f>
        <v>jcre_03</v>
      </c>
    </row>
    <row r="2368">
      <c r="A2368" s="44">
        <v>2368.0</v>
      </c>
      <c r="B2368" s="129" t="s">
        <v>523</v>
      </c>
      <c r="C2368" s="62" t="s">
        <v>115</v>
      </c>
      <c r="D2368" s="62" t="s">
        <v>1270</v>
      </c>
      <c r="F2368" s="68"/>
      <c r="G2368" s="159" t="s">
        <v>9520</v>
      </c>
      <c r="H2368" s="159" t="s">
        <v>5024</v>
      </c>
      <c r="I2368" s="152">
        <v>45478.0</v>
      </c>
      <c r="J2368" s="152">
        <v>45681.0</v>
      </c>
      <c r="K2368" s="159" t="s">
        <v>9536</v>
      </c>
      <c r="L2368" s="68"/>
      <c r="M2368" s="159" t="s">
        <v>9521</v>
      </c>
      <c r="N2368" s="159" t="s">
        <v>9522</v>
      </c>
      <c r="O2368" s="68"/>
      <c r="P2368" s="159" t="str">
        <f t="shared" si="135"/>
        <v>10.1002--soej.12223.pdf</v>
      </c>
      <c r="Q2368" s="52" t="str">
        <f t="array" ref="Q2368"> if(iserror(MATCH(V2368, 'File Links'!C:C, 0)), "N/A", HYPERLINK(INDEX('File Links'!B:B, MATCH(P2368, 'File Links'!C:C, 0))))</f>
        <v>https://drive.google.com/file/d/1MSm1yoidPn8M-5atsMIFyyg354c4jcsA/view?usp=drivesdk</v>
      </c>
      <c r="R2368" s="159" t="s">
        <v>9524</v>
      </c>
      <c r="S2368" s="159" t="s">
        <v>9525</v>
      </c>
      <c r="T2368" s="68"/>
      <c r="U2368" s="68"/>
      <c r="V2368" s="198" t="str">
        <f t="shared" si="123"/>
        <v>10.18718--81781.27.pdf</v>
      </c>
      <c r="W2368" s="159" t="s">
        <v>6637</v>
      </c>
      <c r="X2368" s="54" t="str">
        <f t="array" ref="X2368"> if(iserror(MATCH(V2368, 'File Links'!C:C, 0)), "N/A", HYPERLINK(INDEX('File Links'!B:B, MATCH(V2368, 'File Links'!C:C, 0))))</f>
        <v>https://drive.google.com/file/d/1B0bpIVPknZVh5AfVAO6FnFkgh37GF9dx/view?usp=drivesdk</v>
      </c>
      <c r="Y2368" s="68"/>
      <c r="Z2368" s="159" t="s">
        <v>1809</v>
      </c>
      <c r="AA2368" s="68"/>
      <c r="AB2368" s="159" t="s">
        <v>9537</v>
      </c>
      <c r="AC2368" s="1065"/>
      <c r="AD2368" s="159" t="s">
        <v>14363</v>
      </c>
      <c r="AE2368" s="159" t="s">
        <v>9539</v>
      </c>
      <c r="AF2368" s="156">
        <v>70.0</v>
      </c>
      <c r="AG2368" s="2083" t="s">
        <v>14364</v>
      </c>
      <c r="AH2368" s="159" t="s">
        <v>173</v>
      </c>
      <c r="AI2368" s="159" t="s">
        <v>850</v>
      </c>
      <c r="AJ2368" s="156">
        <v>1.0E-4</v>
      </c>
      <c r="AK2368" s="159" t="s">
        <v>172</v>
      </c>
      <c r="AL2368" s="159" t="s">
        <v>186</v>
      </c>
      <c r="AM2368" s="68" t="s">
        <v>137</v>
      </c>
      <c r="AN2368" s="330" t="s">
        <v>138</v>
      </c>
      <c r="AO2368" s="156">
        <v>67.0</v>
      </c>
      <c r="AP2368" s="2083" t="s">
        <v>14365</v>
      </c>
      <c r="AQ2368" s="159" t="s">
        <v>173</v>
      </c>
      <c r="AR2368" s="159" t="s">
        <v>850</v>
      </c>
      <c r="AS2368" s="156">
        <v>0.655</v>
      </c>
      <c r="AT2368" s="159" t="s">
        <v>172</v>
      </c>
      <c r="AU2368" s="159" t="s">
        <v>186</v>
      </c>
      <c r="AV2368" s="68" t="s">
        <v>137</v>
      </c>
      <c r="AW2368" s="68"/>
      <c r="AX2368" s="68" t="s">
        <v>143</v>
      </c>
      <c r="AY2368" s="61" t="str">
        <f>IFERROR(__xludf.DUMMYFUNCTION("vlookup(BB2368,importrange(""https://docs.google.com/spreadsheets/d/1d2vevQ_7D_v35q4wCQ4RpQ_IPoTwEMB9Yp6ymwlPqew/edit?gid=984458430#gid=984458430"", ""'replication success'!A:K""), 11, FAlSE)"),"#N/A")</f>
        <v>#N/A</v>
      </c>
      <c r="AZ2368" s="61" t="str">
        <f>IFERROR(__xludf.DUMMYFUNCTION("vlookup(BB2368,importrange(""https://docs.google.com/spreadsheets/d/1d2vevQ_7D_v35q4wCQ4RpQ_IPoTwEMB9Yp6ymwlPqew/edit?gid=984458430#gid=984458430"", ""'replication success'!A:M""), 12, FAlSE)"),"#N/A")</f>
        <v>#N/A</v>
      </c>
      <c r="BA2368" s="61" t="str">
        <f>IFERROR(__xludf.DUMMYFUNCTION("vlookup(BB2368,importrange(""https://docs.google.com/spreadsheets/d/1d2vevQ_7D_v35q4wCQ4RpQ_IPoTwEMB9Yp6ymwlPqew/edit?gid=984458430#gid=984458430"", ""'replication success'!A:M""), 13, FAlSE)"),"#N/A")</f>
        <v>#N/A</v>
      </c>
      <c r="BB2368" s="61" t="str">
        <f>IFERROR(__xludf.DUMMYFUNCTION("REGEXREPLACE(G2368, ""_[a-z]{1,2}$"", """")"),"jcre_03")</f>
        <v>jcre_03</v>
      </c>
    </row>
    <row r="2369">
      <c r="A2369" s="44">
        <v>2369.0</v>
      </c>
      <c r="B2369" s="129" t="s">
        <v>523</v>
      </c>
      <c r="C2369" s="62" t="s">
        <v>115</v>
      </c>
      <c r="D2369" s="62" t="s">
        <v>1270</v>
      </c>
      <c r="F2369" s="68"/>
      <c r="G2369" s="159" t="s">
        <v>9550</v>
      </c>
      <c r="H2369" s="159" t="s">
        <v>5024</v>
      </c>
      <c r="I2369" s="862"/>
      <c r="J2369" s="152">
        <v>45681.0</v>
      </c>
      <c r="K2369" s="159" t="s">
        <v>14366</v>
      </c>
      <c r="L2369" s="68"/>
      <c r="M2369" s="159" t="s">
        <v>9551</v>
      </c>
      <c r="N2369" s="159" t="s">
        <v>9552</v>
      </c>
      <c r="O2369" s="68"/>
      <c r="P2369" s="159" t="str">
        <f t="shared" si="135"/>
        <v>10.1162--rest_a_00258.pdf</v>
      </c>
      <c r="Q2369" s="52" t="str">
        <f t="array" ref="Q2369"> if(iserror(MATCH(V2369, 'File Links'!C:C, 0)), "N/A", HYPERLINK(INDEX('File Links'!B:B, MATCH(P2369, 'File Links'!C:C, 0))))</f>
        <v>https://drive.google.com/file/d/11AH2LlIZsd9ZFfFjWFxFf5MBHzmbtt8i/view?usp=drivesdk</v>
      </c>
      <c r="R2369" s="159" t="s">
        <v>9554</v>
      </c>
      <c r="S2369" s="159" t="s">
        <v>9555</v>
      </c>
      <c r="T2369" s="68"/>
      <c r="U2369" s="68"/>
      <c r="V2369" s="198" t="str">
        <f t="shared" si="123"/>
        <v>10.18718--81781.29.pdf</v>
      </c>
      <c r="W2369" s="159" t="s">
        <v>209</v>
      </c>
      <c r="X2369" s="54" t="str">
        <f t="array" ref="X2369"> if(iserror(MATCH(V2369, 'File Links'!C:C, 0)), "N/A", HYPERLINK(INDEX('File Links'!B:B, MATCH(V2369, 'File Links'!C:C, 0))))</f>
        <v>https://drive.google.com/file/d/1al8eDyU6ngpVrQ3pelC_b0wECY353CCu/view?usp=drivesdk</v>
      </c>
      <c r="Y2369" s="68"/>
      <c r="Z2369" s="159" t="s">
        <v>1809</v>
      </c>
      <c r="AA2369" s="68"/>
      <c r="AB2369" s="159" t="s">
        <v>9559</v>
      </c>
      <c r="AC2369" s="1065"/>
      <c r="AD2369" s="159" t="s">
        <v>9560</v>
      </c>
      <c r="AE2369" s="68"/>
      <c r="AF2369" s="156">
        <v>96560.0</v>
      </c>
      <c r="AG2369" s="1060" t="s">
        <v>9561</v>
      </c>
      <c r="AH2369" s="159" t="s">
        <v>134</v>
      </c>
      <c r="AI2369" s="159" t="s">
        <v>132</v>
      </c>
      <c r="AJ2369" s="156">
        <v>0.001</v>
      </c>
      <c r="AK2369" s="159" t="s">
        <v>135</v>
      </c>
      <c r="AL2369" s="159" t="s">
        <v>186</v>
      </c>
      <c r="AM2369" s="68" t="s">
        <v>1905</v>
      </c>
      <c r="AN2369" s="330" t="s">
        <v>138</v>
      </c>
      <c r="AO2369" s="156">
        <v>1396050.0</v>
      </c>
      <c r="AP2369" s="159" t="s">
        <v>138</v>
      </c>
      <c r="AQ2369" s="68"/>
      <c r="AR2369" s="68"/>
      <c r="AS2369" s="156">
        <v>0.001</v>
      </c>
      <c r="AT2369" s="159" t="s">
        <v>135</v>
      </c>
      <c r="AU2369" s="159" t="s">
        <v>186</v>
      </c>
      <c r="AV2369" s="68" t="s">
        <v>1905</v>
      </c>
      <c r="AW2369" s="68"/>
      <c r="AX2369" s="68" t="s">
        <v>143</v>
      </c>
      <c r="AY2369" s="61" t="str">
        <f>IFERROR(__xludf.DUMMYFUNCTION("vlookup(BB2369,importrange(""https://docs.google.com/spreadsheets/d/1d2vevQ_7D_v35q4wCQ4RpQ_IPoTwEMB9Yp6ymwlPqew/edit?gid=984458430#gid=984458430"", ""'replication success'!A:K""), 11, FAlSE)"),"#N/A")</f>
        <v>#N/A</v>
      </c>
      <c r="AZ2369" s="61" t="str">
        <f>IFERROR(__xludf.DUMMYFUNCTION("vlookup(BB2369,importrange(""https://docs.google.com/spreadsheets/d/1d2vevQ_7D_v35q4wCQ4RpQ_IPoTwEMB9Yp6ymwlPqew/edit?gid=984458430#gid=984458430"", ""'replication success'!A:M""), 12, FAlSE)"),"#N/A")</f>
        <v>#N/A</v>
      </c>
      <c r="BA2369" s="61" t="str">
        <f>IFERROR(__xludf.DUMMYFUNCTION("vlookup(BB2369,importrange(""https://docs.google.com/spreadsheets/d/1d2vevQ_7D_v35q4wCQ4RpQ_IPoTwEMB9Yp6ymwlPqew/edit?gid=984458430#gid=984458430"", ""'replication success'!A:M""), 13, FAlSE)"),"#N/A")</f>
        <v>#N/A</v>
      </c>
      <c r="BB2369" s="61" t="str">
        <f>IFERROR(__xludf.DUMMYFUNCTION("REGEXREPLACE(G2369, ""_[a-z]{1,2}$"", """")"),"jcre_05")</f>
        <v>jcre_05</v>
      </c>
    </row>
    <row r="2370">
      <c r="A2370" s="44">
        <v>2370.0</v>
      </c>
      <c r="B2370" s="129" t="s">
        <v>523</v>
      </c>
      <c r="C2370" s="62" t="s">
        <v>115</v>
      </c>
      <c r="D2370" s="62" t="s">
        <v>1270</v>
      </c>
      <c r="F2370" s="68"/>
      <c r="G2370" s="159" t="s">
        <v>9550</v>
      </c>
      <c r="H2370" s="159" t="s">
        <v>5024</v>
      </c>
      <c r="I2370" s="862"/>
      <c r="J2370" s="152">
        <v>45681.0</v>
      </c>
      <c r="K2370" s="159" t="s">
        <v>14367</v>
      </c>
      <c r="L2370" s="68"/>
      <c r="M2370" s="159" t="s">
        <v>9551</v>
      </c>
      <c r="N2370" s="159" t="s">
        <v>9552</v>
      </c>
      <c r="O2370" s="68"/>
      <c r="P2370" s="159" t="str">
        <f t="shared" si="135"/>
        <v>10.1162--rest_a_00258.pdf</v>
      </c>
      <c r="Q2370" s="52" t="str">
        <f t="array" ref="Q2370"> if(iserror(MATCH(V2370, 'File Links'!C:C, 0)), "N/A", HYPERLINK(INDEX('File Links'!B:B, MATCH(P2370, 'File Links'!C:C, 0))))</f>
        <v>https://drive.google.com/file/d/11AH2LlIZsd9ZFfFjWFxFf5MBHzmbtt8i/view?usp=drivesdk</v>
      </c>
      <c r="R2370" s="159" t="s">
        <v>9554</v>
      </c>
      <c r="S2370" s="159" t="s">
        <v>9555</v>
      </c>
      <c r="T2370" s="68"/>
      <c r="U2370" s="68"/>
      <c r="V2370" s="198" t="str">
        <f t="shared" si="123"/>
        <v>10.18718--81781.29.pdf</v>
      </c>
      <c r="W2370" s="159" t="s">
        <v>209</v>
      </c>
      <c r="X2370" s="54" t="str">
        <f t="array" ref="X2370"> if(iserror(MATCH(V2370, 'File Links'!C:C, 0)), "N/A", HYPERLINK(INDEX('File Links'!B:B, MATCH(V2370, 'File Links'!C:C, 0))))</f>
        <v>https://drive.google.com/file/d/1al8eDyU6ngpVrQ3pelC_b0wECY353CCu/view?usp=drivesdk</v>
      </c>
      <c r="Y2370" s="68"/>
      <c r="Z2370" s="159" t="s">
        <v>1809</v>
      </c>
      <c r="AA2370" s="68"/>
      <c r="AB2370" s="159" t="s">
        <v>9559</v>
      </c>
      <c r="AC2370" s="1065"/>
      <c r="AD2370" s="159" t="s">
        <v>9560</v>
      </c>
      <c r="AE2370" s="68"/>
      <c r="AF2370" s="156">
        <v>96560.0</v>
      </c>
      <c r="AG2370" s="1060" t="s">
        <v>9561</v>
      </c>
      <c r="AH2370" s="159" t="s">
        <v>134</v>
      </c>
      <c r="AI2370" s="159" t="s">
        <v>132</v>
      </c>
      <c r="AJ2370" s="156">
        <v>0.001</v>
      </c>
      <c r="AK2370" s="159" t="s">
        <v>135</v>
      </c>
      <c r="AL2370" s="159" t="s">
        <v>186</v>
      </c>
      <c r="AM2370" s="68" t="s">
        <v>1905</v>
      </c>
      <c r="AN2370" s="330" t="s">
        <v>138</v>
      </c>
      <c r="AO2370" s="156">
        <v>1697752.0</v>
      </c>
      <c r="AP2370" s="159" t="s">
        <v>138</v>
      </c>
      <c r="AQ2370" s="68"/>
      <c r="AR2370" s="68"/>
      <c r="AS2370" s="156">
        <v>0.001</v>
      </c>
      <c r="AT2370" s="159" t="s">
        <v>135</v>
      </c>
      <c r="AU2370" s="159" t="s">
        <v>186</v>
      </c>
      <c r="AV2370" s="68" t="s">
        <v>1905</v>
      </c>
      <c r="AW2370" s="68"/>
      <c r="AX2370" s="68" t="s">
        <v>143</v>
      </c>
      <c r="AY2370" s="61" t="str">
        <f>IFERROR(__xludf.DUMMYFUNCTION("vlookup(BB2370,importrange(""https://docs.google.com/spreadsheets/d/1d2vevQ_7D_v35q4wCQ4RpQ_IPoTwEMB9Yp6ymwlPqew/edit?gid=984458430#gid=984458430"", ""'replication success'!A:K""), 11, FAlSE)"),"#N/A")</f>
        <v>#N/A</v>
      </c>
      <c r="AZ2370" s="61" t="str">
        <f>IFERROR(__xludf.DUMMYFUNCTION("vlookup(BB2370,importrange(""https://docs.google.com/spreadsheets/d/1d2vevQ_7D_v35q4wCQ4RpQ_IPoTwEMB9Yp6ymwlPqew/edit?gid=984458430#gid=984458430"", ""'replication success'!A:M""), 12, FAlSE)"),"#N/A")</f>
        <v>#N/A</v>
      </c>
      <c r="BA2370" s="61" t="str">
        <f>IFERROR(__xludf.DUMMYFUNCTION("vlookup(BB2370,importrange(""https://docs.google.com/spreadsheets/d/1d2vevQ_7D_v35q4wCQ4RpQ_IPoTwEMB9Yp6ymwlPqew/edit?gid=984458430#gid=984458430"", ""'replication success'!A:M""), 13, FAlSE)"),"#N/A")</f>
        <v>#N/A</v>
      </c>
      <c r="BB2370" s="61" t="str">
        <f>IFERROR(__xludf.DUMMYFUNCTION("REGEXREPLACE(G2370, ""_[a-z]{1,2}$"", """")"),"jcre_05")</f>
        <v>jcre_05</v>
      </c>
    </row>
    <row r="2371">
      <c r="A2371" s="44">
        <v>2371.0</v>
      </c>
      <c r="B2371" s="129" t="s">
        <v>523</v>
      </c>
      <c r="C2371" s="62" t="s">
        <v>115</v>
      </c>
      <c r="D2371" s="62" t="s">
        <v>1270</v>
      </c>
      <c r="F2371" s="68"/>
      <c r="G2371" s="159" t="s">
        <v>9550</v>
      </c>
      <c r="H2371" s="159" t="s">
        <v>5024</v>
      </c>
      <c r="I2371" s="862"/>
      <c r="J2371" s="152">
        <v>45681.0</v>
      </c>
      <c r="K2371" s="159" t="s">
        <v>14368</v>
      </c>
      <c r="L2371" s="68"/>
      <c r="M2371" s="159" t="s">
        <v>9551</v>
      </c>
      <c r="N2371" s="159" t="s">
        <v>9552</v>
      </c>
      <c r="O2371" s="68"/>
      <c r="P2371" s="159" t="str">
        <f t="shared" si="135"/>
        <v>10.1162--rest_a_00258.pdf</v>
      </c>
      <c r="Q2371" s="52" t="str">
        <f t="array" ref="Q2371"> if(iserror(MATCH(V2371, 'File Links'!C:C, 0)), "N/A", HYPERLINK(INDEX('File Links'!B:B, MATCH(P2371, 'File Links'!C:C, 0))))</f>
        <v>https://drive.google.com/file/d/11AH2LlIZsd9ZFfFjWFxFf5MBHzmbtt8i/view?usp=drivesdk</v>
      </c>
      <c r="R2371" s="159" t="s">
        <v>9554</v>
      </c>
      <c r="S2371" s="159" t="s">
        <v>9555</v>
      </c>
      <c r="T2371" s="68"/>
      <c r="U2371" s="68"/>
      <c r="V2371" s="198" t="str">
        <f t="shared" si="123"/>
        <v>10.18718--81781.29.pdf</v>
      </c>
      <c r="W2371" s="159" t="s">
        <v>209</v>
      </c>
      <c r="X2371" s="54" t="str">
        <f t="array" ref="X2371"> if(iserror(MATCH(V2371, 'File Links'!C:C, 0)), "N/A", HYPERLINK(INDEX('File Links'!B:B, MATCH(V2371, 'File Links'!C:C, 0))))</f>
        <v>https://drive.google.com/file/d/1al8eDyU6ngpVrQ3pelC_b0wECY353CCu/view?usp=drivesdk</v>
      </c>
      <c r="Y2371" s="68"/>
      <c r="Z2371" s="159" t="s">
        <v>1809</v>
      </c>
      <c r="AA2371" s="68"/>
      <c r="AB2371" s="159" t="s">
        <v>9559</v>
      </c>
      <c r="AC2371" s="1065"/>
      <c r="AD2371" s="159" t="s">
        <v>14369</v>
      </c>
      <c r="AE2371" s="68"/>
      <c r="AF2371" s="156">
        <v>96560.0</v>
      </c>
      <c r="AG2371" s="1060" t="s">
        <v>14370</v>
      </c>
      <c r="AH2371" s="159" t="s">
        <v>134</v>
      </c>
      <c r="AI2371" s="159" t="s">
        <v>132</v>
      </c>
      <c r="AJ2371" s="156">
        <v>0.001</v>
      </c>
      <c r="AK2371" s="159" t="s">
        <v>135</v>
      </c>
      <c r="AL2371" s="159" t="s">
        <v>186</v>
      </c>
      <c r="AM2371" s="68" t="s">
        <v>1905</v>
      </c>
      <c r="AN2371" s="330" t="s">
        <v>138</v>
      </c>
      <c r="AO2371" s="156">
        <v>1212558.0</v>
      </c>
      <c r="AP2371" s="159" t="s">
        <v>138</v>
      </c>
      <c r="AQ2371" s="68"/>
      <c r="AR2371" s="68"/>
      <c r="AS2371" s="156">
        <v>0.001</v>
      </c>
      <c r="AT2371" s="159" t="s">
        <v>135</v>
      </c>
      <c r="AU2371" s="159" t="s">
        <v>186</v>
      </c>
      <c r="AV2371" s="68" t="s">
        <v>1905</v>
      </c>
      <c r="AW2371" s="68"/>
      <c r="AX2371" s="68" t="s">
        <v>143</v>
      </c>
      <c r="AY2371" s="61" t="str">
        <f>IFERROR(__xludf.DUMMYFUNCTION("vlookup(BB2371,importrange(""https://docs.google.com/spreadsheets/d/1d2vevQ_7D_v35q4wCQ4RpQ_IPoTwEMB9Yp6ymwlPqew/edit?gid=984458430#gid=984458430"", ""'replication success'!A:K""), 11, FAlSE)"),"#N/A")</f>
        <v>#N/A</v>
      </c>
      <c r="AZ2371" s="61" t="str">
        <f>IFERROR(__xludf.DUMMYFUNCTION("vlookup(BB2371,importrange(""https://docs.google.com/spreadsheets/d/1d2vevQ_7D_v35q4wCQ4RpQ_IPoTwEMB9Yp6ymwlPqew/edit?gid=984458430#gid=984458430"", ""'replication success'!A:M""), 12, FAlSE)"),"#N/A")</f>
        <v>#N/A</v>
      </c>
      <c r="BA2371" s="61" t="str">
        <f>IFERROR(__xludf.DUMMYFUNCTION("vlookup(BB2371,importrange(""https://docs.google.com/spreadsheets/d/1d2vevQ_7D_v35q4wCQ4RpQ_IPoTwEMB9Yp6ymwlPqew/edit?gid=984458430#gid=984458430"", ""'replication success'!A:M""), 13, FAlSE)"),"#N/A")</f>
        <v>#N/A</v>
      </c>
      <c r="BB2371" s="61" t="str">
        <f>IFERROR(__xludf.DUMMYFUNCTION("REGEXREPLACE(G2371, ""_[a-z]{1,2}$"", """")"),"jcre_05")</f>
        <v>jcre_05</v>
      </c>
    </row>
    <row r="2372">
      <c r="A2372" s="44">
        <v>2372.0</v>
      </c>
      <c r="B2372" s="129" t="s">
        <v>523</v>
      </c>
      <c r="C2372" s="62" t="s">
        <v>115</v>
      </c>
      <c r="D2372" s="62" t="s">
        <v>1270</v>
      </c>
      <c r="F2372" s="68"/>
      <c r="G2372" s="159" t="s">
        <v>9550</v>
      </c>
      <c r="H2372" s="159" t="s">
        <v>5024</v>
      </c>
      <c r="I2372" s="862"/>
      <c r="J2372" s="152">
        <v>45681.0</v>
      </c>
      <c r="K2372" s="159" t="s">
        <v>14366</v>
      </c>
      <c r="L2372" s="68"/>
      <c r="M2372" s="159" t="s">
        <v>9551</v>
      </c>
      <c r="N2372" s="159" t="s">
        <v>9552</v>
      </c>
      <c r="O2372" s="68"/>
      <c r="P2372" s="159" t="str">
        <f t="shared" si="135"/>
        <v>10.1162--rest_a_00258.pdf</v>
      </c>
      <c r="Q2372" s="52" t="str">
        <f t="array" ref="Q2372"> if(iserror(MATCH(V2372, 'File Links'!C:C, 0)), "N/A", HYPERLINK(INDEX('File Links'!B:B, MATCH(P2372, 'File Links'!C:C, 0))))</f>
        <v>https://drive.google.com/file/d/11AH2LlIZsd9ZFfFjWFxFf5MBHzmbtt8i/view?usp=drivesdk</v>
      </c>
      <c r="R2372" s="159" t="s">
        <v>9554</v>
      </c>
      <c r="S2372" s="159" t="s">
        <v>9555</v>
      </c>
      <c r="T2372" s="68"/>
      <c r="U2372" s="68"/>
      <c r="V2372" s="198" t="str">
        <f t="shared" si="123"/>
        <v>10.18718--81781.29.pdf</v>
      </c>
      <c r="W2372" s="159" t="s">
        <v>209</v>
      </c>
      <c r="X2372" s="54" t="str">
        <f t="array" ref="X2372"> if(iserror(MATCH(V2372, 'File Links'!C:C, 0)), "N/A", HYPERLINK(INDEX('File Links'!B:B, MATCH(V2372, 'File Links'!C:C, 0))))</f>
        <v>https://drive.google.com/file/d/1al8eDyU6ngpVrQ3pelC_b0wECY353CCu/view?usp=drivesdk</v>
      </c>
      <c r="Y2372" s="68"/>
      <c r="Z2372" s="159" t="s">
        <v>1809</v>
      </c>
      <c r="AA2372" s="68"/>
      <c r="AB2372" s="159" t="s">
        <v>9559</v>
      </c>
      <c r="AC2372" s="1065"/>
      <c r="AD2372" s="159" t="s">
        <v>14369</v>
      </c>
      <c r="AE2372" s="68"/>
      <c r="AF2372" s="156">
        <v>96560.0</v>
      </c>
      <c r="AG2372" s="1060" t="s">
        <v>14370</v>
      </c>
      <c r="AH2372" s="159" t="s">
        <v>134</v>
      </c>
      <c r="AI2372" s="159" t="s">
        <v>132</v>
      </c>
      <c r="AJ2372" s="156">
        <v>0.001</v>
      </c>
      <c r="AK2372" s="159" t="s">
        <v>135</v>
      </c>
      <c r="AL2372" s="159" t="s">
        <v>186</v>
      </c>
      <c r="AM2372" s="68" t="s">
        <v>1905</v>
      </c>
      <c r="AN2372" s="330" t="s">
        <v>138</v>
      </c>
      <c r="AO2372" s="156">
        <v>1396050.0</v>
      </c>
      <c r="AP2372" s="159" t="s">
        <v>138</v>
      </c>
      <c r="AQ2372" s="68"/>
      <c r="AR2372" s="68"/>
      <c r="AS2372" s="156">
        <v>0.001</v>
      </c>
      <c r="AT2372" s="159" t="s">
        <v>135</v>
      </c>
      <c r="AU2372" s="159" t="s">
        <v>186</v>
      </c>
      <c r="AV2372" s="68" t="s">
        <v>1905</v>
      </c>
      <c r="AW2372" s="68"/>
      <c r="AX2372" s="68" t="s">
        <v>143</v>
      </c>
      <c r="AY2372" s="61" t="str">
        <f>IFERROR(__xludf.DUMMYFUNCTION("vlookup(BB2372,importrange(""https://docs.google.com/spreadsheets/d/1d2vevQ_7D_v35q4wCQ4RpQ_IPoTwEMB9Yp6ymwlPqew/edit?gid=984458430#gid=984458430"", ""'replication success'!A:K""), 11, FAlSE)"),"#N/A")</f>
        <v>#N/A</v>
      </c>
      <c r="AZ2372" s="61" t="str">
        <f>IFERROR(__xludf.DUMMYFUNCTION("vlookup(BB2372,importrange(""https://docs.google.com/spreadsheets/d/1d2vevQ_7D_v35q4wCQ4RpQ_IPoTwEMB9Yp6ymwlPqew/edit?gid=984458430#gid=984458430"", ""'replication success'!A:M""), 12, FAlSE)"),"#N/A")</f>
        <v>#N/A</v>
      </c>
      <c r="BA2372" s="61" t="str">
        <f>IFERROR(__xludf.DUMMYFUNCTION("vlookup(BB2372,importrange(""https://docs.google.com/spreadsheets/d/1d2vevQ_7D_v35q4wCQ4RpQ_IPoTwEMB9Yp6ymwlPqew/edit?gid=984458430#gid=984458430"", ""'replication success'!A:M""), 13, FAlSE)"),"#N/A")</f>
        <v>#N/A</v>
      </c>
      <c r="BB2372" s="61" t="str">
        <f>IFERROR(__xludf.DUMMYFUNCTION("REGEXREPLACE(G2372, ""_[a-z]{1,2}$"", """")"),"jcre_05")</f>
        <v>jcre_05</v>
      </c>
    </row>
    <row r="2373">
      <c r="A2373" s="44">
        <v>2373.0</v>
      </c>
      <c r="B2373" s="129" t="s">
        <v>523</v>
      </c>
      <c r="C2373" s="62" t="s">
        <v>115</v>
      </c>
      <c r="D2373" s="62" t="s">
        <v>1270</v>
      </c>
      <c r="F2373" s="68"/>
      <c r="G2373" s="159" t="s">
        <v>9550</v>
      </c>
      <c r="H2373" s="159" t="s">
        <v>5024</v>
      </c>
      <c r="I2373" s="862"/>
      <c r="J2373" s="152">
        <v>45681.0</v>
      </c>
      <c r="K2373" s="159" t="s">
        <v>14367</v>
      </c>
      <c r="L2373" s="68"/>
      <c r="M2373" s="159" t="s">
        <v>9551</v>
      </c>
      <c r="N2373" s="159" t="s">
        <v>9552</v>
      </c>
      <c r="O2373" s="68"/>
      <c r="P2373" s="159" t="str">
        <f t="shared" si="135"/>
        <v>10.1162--rest_a_00258.pdf</v>
      </c>
      <c r="Q2373" s="52" t="str">
        <f t="array" ref="Q2373"> if(iserror(MATCH(V2373, 'File Links'!C:C, 0)), "N/A", HYPERLINK(INDEX('File Links'!B:B, MATCH(P2373, 'File Links'!C:C, 0))))</f>
        <v>https://drive.google.com/file/d/11AH2LlIZsd9ZFfFjWFxFf5MBHzmbtt8i/view?usp=drivesdk</v>
      </c>
      <c r="R2373" s="159" t="s">
        <v>9554</v>
      </c>
      <c r="S2373" s="159" t="s">
        <v>9555</v>
      </c>
      <c r="T2373" s="68"/>
      <c r="U2373" s="68"/>
      <c r="V2373" s="198" t="str">
        <f t="shared" si="123"/>
        <v>10.18718--81781.29.pdf</v>
      </c>
      <c r="W2373" s="159" t="s">
        <v>209</v>
      </c>
      <c r="X2373" s="54" t="str">
        <f t="array" ref="X2373"> if(iserror(MATCH(V2373, 'File Links'!C:C, 0)), "N/A", HYPERLINK(INDEX('File Links'!B:B, MATCH(V2373, 'File Links'!C:C, 0))))</f>
        <v>https://drive.google.com/file/d/1al8eDyU6ngpVrQ3pelC_b0wECY353CCu/view?usp=drivesdk</v>
      </c>
      <c r="Y2373" s="68"/>
      <c r="Z2373" s="159" t="s">
        <v>1809</v>
      </c>
      <c r="AA2373" s="68"/>
      <c r="AB2373" s="159" t="s">
        <v>9559</v>
      </c>
      <c r="AC2373" s="1065"/>
      <c r="AD2373" s="159" t="s">
        <v>14369</v>
      </c>
      <c r="AE2373" s="68"/>
      <c r="AF2373" s="156">
        <v>96560.0</v>
      </c>
      <c r="AG2373" s="1060" t="s">
        <v>14370</v>
      </c>
      <c r="AH2373" s="159" t="s">
        <v>134</v>
      </c>
      <c r="AI2373" s="159" t="s">
        <v>132</v>
      </c>
      <c r="AJ2373" s="156">
        <v>0.001</v>
      </c>
      <c r="AK2373" s="159" t="s">
        <v>135</v>
      </c>
      <c r="AL2373" s="159" t="s">
        <v>186</v>
      </c>
      <c r="AM2373" s="68" t="s">
        <v>1905</v>
      </c>
      <c r="AN2373" s="330" t="s">
        <v>138</v>
      </c>
      <c r="AO2373" s="156">
        <v>1697752.0</v>
      </c>
      <c r="AP2373" s="159" t="s">
        <v>138</v>
      </c>
      <c r="AQ2373" s="68"/>
      <c r="AR2373" s="68"/>
      <c r="AS2373" s="156">
        <v>0.001</v>
      </c>
      <c r="AT2373" s="159" t="s">
        <v>135</v>
      </c>
      <c r="AU2373" s="159" t="s">
        <v>186</v>
      </c>
      <c r="AV2373" s="68" t="s">
        <v>1905</v>
      </c>
      <c r="AW2373" s="68"/>
      <c r="AX2373" s="68" t="s">
        <v>143</v>
      </c>
      <c r="AY2373" s="61" t="str">
        <f>IFERROR(__xludf.DUMMYFUNCTION("vlookup(BB2373,importrange(""https://docs.google.com/spreadsheets/d/1d2vevQ_7D_v35q4wCQ4RpQ_IPoTwEMB9Yp6ymwlPqew/edit?gid=984458430#gid=984458430"", ""'replication success'!A:K""), 11, FAlSE)"),"#N/A")</f>
        <v>#N/A</v>
      </c>
      <c r="AZ2373" s="61" t="str">
        <f>IFERROR(__xludf.DUMMYFUNCTION("vlookup(BB2373,importrange(""https://docs.google.com/spreadsheets/d/1d2vevQ_7D_v35q4wCQ4RpQ_IPoTwEMB9Yp6ymwlPqew/edit?gid=984458430#gid=984458430"", ""'replication success'!A:M""), 12, FAlSE)"),"#N/A")</f>
        <v>#N/A</v>
      </c>
      <c r="BA2373" s="61" t="str">
        <f>IFERROR(__xludf.DUMMYFUNCTION("vlookup(BB2373,importrange(""https://docs.google.com/spreadsheets/d/1d2vevQ_7D_v35q4wCQ4RpQ_IPoTwEMB9Yp6ymwlPqew/edit?gid=984458430#gid=984458430"", ""'replication success'!A:M""), 13, FAlSE)"),"#N/A")</f>
        <v>#N/A</v>
      </c>
      <c r="BB2373" s="61" t="str">
        <f>IFERROR(__xludf.DUMMYFUNCTION("REGEXREPLACE(G2373, ""_[a-z]{1,2}$"", """")"),"jcre_05")</f>
        <v>jcre_05</v>
      </c>
    </row>
    <row r="2374">
      <c r="A2374" s="44">
        <v>2374.0</v>
      </c>
      <c r="B2374" s="129" t="s">
        <v>523</v>
      </c>
      <c r="C2374" s="62" t="s">
        <v>115</v>
      </c>
      <c r="D2374" s="62" t="s">
        <v>1270</v>
      </c>
      <c r="F2374" s="68"/>
      <c r="G2374" s="159" t="s">
        <v>9550</v>
      </c>
      <c r="H2374" s="159" t="s">
        <v>5024</v>
      </c>
      <c r="I2374" s="862"/>
      <c r="J2374" s="152">
        <v>45681.0</v>
      </c>
      <c r="K2374" s="159" t="s">
        <v>14368</v>
      </c>
      <c r="L2374" s="68"/>
      <c r="M2374" s="159" t="s">
        <v>9551</v>
      </c>
      <c r="N2374" s="159" t="s">
        <v>9552</v>
      </c>
      <c r="O2374" s="68"/>
      <c r="P2374" s="159" t="str">
        <f t="shared" si="135"/>
        <v>10.1162--rest_a_00258.pdf</v>
      </c>
      <c r="Q2374" s="52" t="str">
        <f t="array" ref="Q2374"> if(iserror(MATCH(V2374, 'File Links'!C:C, 0)), "N/A", HYPERLINK(INDEX('File Links'!B:B, MATCH(P2374, 'File Links'!C:C, 0))))</f>
        <v>https://drive.google.com/file/d/11AH2LlIZsd9ZFfFjWFxFf5MBHzmbtt8i/view?usp=drivesdk</v>
      </c>
      <c r="R2374" s="159" t="s">
        <v>9554</v>
      </c>
      <c r="S2374" s="159" t="s">
        <v>9555</v>
      </c>
      <c r="T2374" s="68"/>
      <c r="U2374" s="68"/>
      <c r="V2374" s="198" t="str">
        <f t="shared" si="123"/>
        <v>10.18718--81781.29.pdf</v>
      </c>
      <c r="W2374" s="159" t="s">
        <v>209</v>
      </c>
      <c r="X2374" s="54" t="str">
        <f t="array" ref="X2374"> if(iserror(MATCH(V2374, 'File Links'!C:C, 0)), "N/A", HYPERLINK(INDEX('File Links'!B:B, MATCH(V2374, 'File Links'!C:C, 0))))</f>
        <v>https://drive.google.com/file/d/1al8eDyU6ngpVrQ3pelC_b0wECY353CCu/view?usp=drivesdk</v>
      </c>
      <c r="Y2374" s="68"/>
      <c r="Z2374" s="159" t="s">
        <v>1809</v>
      </c>
      <c r="AA2374" s="68"/>
      <c r="AB2374" s="159" t="s">
        <v>9559</v>
      </c>
      <c r="AC2374" s="1065"/>
      <c r="AD2374" s="159" t="s">
        <v>14371</v>
      </c>
      <c r="AE2374" s="68"/>
      <c r="AF2374" s="156">
        <v>96560.0</v>
      </c>
      <c r="AG2374" s="1060" t="s">
        <v>14372</v>
      </c>
      <c r="AH2374" s="159" t="s">
        <v>134</v>
      </c>
      <c r="AI2374" s="159" t="s">
        <v>132</v>
      </c>
      <c r="AJ2374" s="156">
        <v>0.07</v>
      </c>
      <c r="AK2374" s="159" t="s">
        <v>172</v>
      </c>
      <c r="AL2374" s="159" t="s">
        <v>186</v>
      </c>
      <c r="AM2374" s="68" t="s">
        <v>1905</v>
      </c>
      <c r="AN2374" s="330" t="s">
        <v>138</v>
      </c>
      <c r="AO2374" s="156">
        <v>1212558.0</v>
      </c>
      <c r="AP2374" s="159" t="s">
        <v>138</v>
      </c>
      <c r="AQ2374" s="68"/>
      <c r="AR2374" s="68"/>
      <c r="AS2374" s="156">
        <v>0.018</v>
      </c>
      <c r="AT2374" s="159" t="s">
        <v>172</v>
      </c>
      <c r="AU2374" s="159" t="s">
        <v>186</v>
      </c>
      <c r="AV2374" s="68" t="s">
        <v>1905</v>
      </c>
      <c r="AW2374" s="68"/>
      <c r="AX2374" s="68" t="s">
        <v>143</v>
      </c>
      <c r="AY2374" s="61" t="str">
        <f>IFERROR(__xludf.DUMMYFUNCTION("vlookup(BB2374,importrange(""https://docs.google.com/spreadsheets/d/1d2vevQ_7D_v35q4wCQ4RpQ_IPoTwEMB9Yp6ymwlPqew/edit?gid=984458430#gid=984458430"", ""'replication success'!A:K""), 11, FAlSE)"),"#N/A")</f>
        <v>#N/A</v>
      </c>
      <c r="AZ2374" s="61" t="str">
        <f>IFERROR(__xludf.DUMMYFUNCTION("vlookup(BB2374,importrange(""https://docs.google.com/spreadsheets/d/1d2vevQ_7D_v35q4wCQ4RpQ_IPoTwEMB9Yp6ymwlPqew/edit?gid=984458430#gid=984458430"", ""'replication success'!A:M""), 12, FAlSE)"),"#N/A")</f>
        <v>#N/A</v>
      </c>
      <c r="BA2374" s="61" t="str">
        <f>IFERROR(__xludf.DUMMYFUNCTION("vlookup(BB2374,importrange(""https://docs.google.com/spreadsheets/d/1d2vevQ_7D_v35q4wCQ4RpQ_IPoTwEMB9Yp6ymwlPqew/edit?gid=984458430#gid=984458430"", ""'replication success'!A:M""), 13, FAlSE)"),"#N/A")</f>
        <v>#N/A</v>
      </c>
      <c r="BB2374" s="61" t="str">
        <f>IFERROR(__xludf.DUMMYFUNCTION("REGEXREPLACE(G2374, ""_[a-z]{1,2}$"", """")"),"jcre_05")</f>
        <v>jcre_05</v>
      </c>
      <c r="BE2374" s="342"/>
      <c r="BF2374" s="342"/>
      <c r="BG2374" s="342"/>
      <c r="BH2374" s="342"/>
      <c r="BI2374" s="342"/>
      <c r="BJ2374" s="342"/>
      <c r="BK2374" s="342"/>
      <c r="BL2374" s="342"/>
      <c r="BM2374" s="342"/>
      <c r="BN2374" s="342"/>
      <c r="BO2374" s="342"/>
      <c r="BP2374" s="342"/>
      <c r="BQ2374" s="342"/>
      <c r="BR2374" s="342"/>
      <c r="BS2374" s="342"/>
      <c r="BT2374" s="342"/>
      <c r="BU2374" s="342"/>
      <c r="BV2374" s="342"/>
      <c r="BW2374" s="342"/>
      <c r="BX2374" s="342"/>
      <c r="BY2374" s="342"/>
      <c r="BZ2374" s="342"/>
      <c r="CA2374" s="342"/>
      <c r="CB2374" s="342"/>
      <c r="CC2374" s="342"/>
      <c r="CD2374" s="342"/>
      <c r="CE2374" s="342"/>
      <c r="CF2374" s="342"/>
      <c r="CG2374" s="342"/>
      <c r="CH2374" s="342"/>
      <c r="CI2374" s="342"/>
      <c r="CJ2374" s="342"/>
      <c r="CK2374" s="342"/>
      <c r="CL2374" s="342"/>
      <c r="CM2374" s="342"/>
      <c r="CN2374" s="342"/>
      <c r="CO2374" s="342"/>
      <c r="CP2374" s="342"/>
      <c r="CQ2374" s="342"/>
      <c r="CR2374" s="342"/>
      <c r="CS2374" s="342"/>
      <c r="CT2374" s="342"/>
      <c r="CU2374" s="342"/>
      <c r="CV2374" s="342"/>
      <c r="CW2374" s="342"/>
      <c r="CX2374" s="342"/>
      <c r="CY2374" s="342"/>
      <c r="CZ2374" s="342"/>
      <c r="DA2374" s="342"/>
      <c r="DB2374" s="342"/>
      <c r="DC2374" s="342"/>
      <c r="DD2374" s="342"/>
      <c r="DE2374" s="342"/>
      <c r="DF2374" s="342"/>
      <c r="DG2374" s="342"/>
      <c r="DH2374" s="342"/>
      <c r="DI2374" s="342"/>
      <c r="DJ2374" s="342"/>
      <c r="DK2374" s="342"/>
      <c r="DL2374" s="342"/>
    </row>
    <row r="2375">
      <c r="A2375" s="44">
        <v>2375.0</v>
      </c>
      <c r="B2375" s="129" t="s">
        <v>523</v>
      </c>
      <c r="C2375" s="62" t="s">
        <v>115</v>
      </c>
      <c r="D2375" s="62" t="s">
        <v>1270</v>
      </c>
      <c r="F2375" s="68"/>
      <c r="G2375" s="159" t="s">
        <v>9550</v>
      </c>
      <c r="H2375" s="159" t="s">
        <v>5024</v>
      </c>
      <c r="I2375" s="862"/>
      <c r="J2375" s="152">
        <v>45681.0</v>
      </c>
      <c r="K2375" s="159" t="s">
        <v>14366</v>
      </c>
      <c r="L2375" s="68"/>
      <c r="M2375" s="159" t="s">
        <v>9551</v>
      </c>
      <c r="N2375" s="159" t="s">
        <v>9552</v>
      </c>
      <c r="O2375" s="68"/>
      <c r="P2375" s="159" t="str">
        <f t="shared" si="135"/>
        <v>10.1162--rest_a_00258.pdf</v>
      </c>
      <c r="Q2375" s="52" t="str">
        <f t="array" ref="Q2375"> if(iserror(MATCH(V2375, 'File Links'!C:C, 0)), "N/A", HYPERLINK(INDEX('File Links'!B:B, MATCH(P2375, 'File Links'!C:C, 0))))</f>
        <v>https://drive.google.com/file/d/11AH2LlIZsd9ZFfFjWFxFf5MBHzmbtt8i/view?usp=drivesdk</v>
      </c>
      <c r="R2375" s="159" t="s">
        <v>9554</v>
      </c>
      <c r="S2375" s="159" t="s">
        <v>9555</v>
      </c>
      <c r="T2375" s="68"/>
      <c r="U2375" s="68"/>
      <c r="V2375" s="198" t="str">
        <f t="shared" si="123"/>
        <v>10.18718--81781.29.pdf</v>
      </c>
      <c r="W2375" s="159" t="s">
        <v>209</v>
      </c>
      <c r="X2375" s="54" t="str">
        <f t="array" ref="X2375"> if(iserror(MATCH(V2375, 'File Links'!C:C, 0)), "N/A", HYPERLINK(INDEX('File Links'!B:B, MATCH(V2375, 'File Links'!C:C, 0))))</f>
        <v>https://drive.google.com/file/d/1al8eDyU6ngpVrQ3pelC_b0wECY353CCu/view?usp=drivesdk</v>
      </c>
      <c r="Y2375" s="68"/>
      <c r="Z2375" s="159" t="s">
        <v>1809</v>
      </c>
      <c r="AA2375" s="68"/>
      <c r="AB2375" s="159" t="s">
        <v>9559</v>
      </c>
      <c r="AC2375" s="1065"/>
      <c r="AD2375" s="159" t="s">
        <v>14371</v>
      </c>
      <c r="AE2375" s="68"/>
      <c r="AF2375" s="156">
        <v>96560.0</v>
      </c>
      <c r="AG2375" s="1060" t="s">
        <v>14372</v>
      </c>
      <c r="AH2375" s="159" t="s">
        <v>134</v>
      </c>
      <c r="AI2375" s="159" t="s">
        <v>132</v>
      </c>
      <c r="AJ2375" s="156">
        <v>0.07</v>
      </c>
      <c r="AK2375" s="159" t="s">
        <v>172</v>
      </c>
      <c r="AL2375" s="159" t="s">
        <v>186</v>
      </c>
      <c r="AM2375" s="68" t="s">
        <v>1905</v>
      </c>
      <c r="AN2375" s="330" t="s">
        <v>138</v>
      </c>
      <c r="AO2375" s="156">
        <v>1396050.0</v>
      </c>
      <c r="AP2375" s="159" t="s">
        <v>138</v>
      </c>
      <c r="AQ2375" s="68"/>
      <c r="AR2375" s="68"/>
      <c r="AS2375" s="156">
        <v>0.001</v>
      </c>
      <c r="AT2375" s="159" t="s">
        <v>135</v>
      </c>
      <c r="AU2375" s="159" t="s">
        <v>186</v>
      </c>
      <c r="AV2375" s="68" t="s">
        <v>1905</v>
      </c>
      <c r="AW2375" s="68"/>
      <c r="AX2375" s="68" t="s">
        <v>143</v>
      </c>
      <c r="AY2375" s="61" t="str">
        <f>IFERROR(__xludf.DUMMYFUNCTION("vlookup(BB2375,importrange(""https://docs.google.com/spreadsheets/d/1d2vevQ_7D_v35q4wCQ4RpQ_IPoTwEMB9Yp6ymwlPqew/edit?gid=984458430#gid=984458430"", ""'replication success'!A:K""), 11, FAlSE)"),"#N/A")</f>
        <v>#N/A</v>
      </c>
      <c r="AZ2375" s="61" t="str">
        <f>IFERROR(__xludf.DUMMYFUNCTION("vlookup(BB2375,importrange(""https://docs.google.com/spreadsheets/d/1d2vevQ_7D_v35q4wCQ4RpQ_IPoTwEMB9Yp6ymwlPqew/edit?gid=984458430#gid=984458430"", ""'replication success'!A:M""), 12, FAlSE)"),"#N/A")</f>
        <v>#N/A</v>
      </c>
      <c r="BA2375" s="61" t="str">
        <f>IFERROR(__xludf.DUMMYFUNCTION("vlookup(BB2375,importrange(""https://docs.google.com/spreadsheets/d/1d2vevQ_7D_v35q4wCQ4RpQ_IPoTwEMB9Yp6ymwlPqew/edit?gid=984458430#gid=984458430"", ""'replication success'!A:M""), 13, FAlSE)"),"#N/A")</f>
        <v>#N/A</v>
      </c>
      <c r="BB2375" s="61" t="str">
        <f>IFERROR(__xludf.DUMMYFUNCTION("REGEXREPLACE(G2375, ""_[a-z]{1,2}$"", """")"),"jcre_05")</f>
        <v>jcre_05</v>
      </c>
    </row>
    <row r="2376">
      <c r="A2376" s="44">
        <v>2376.0</v>
      </c>
      <c r="B2376" s="129" t="s">
        <v>523</v>
      </c>
      <c r="C2376" s="62" t="s">
        <v>115</v>
      </c>
      <c r="D2376" s="62" t="s">
        <v>1270</v>
      </c>
      <c r="F2376" s="68"/>
      <c r="G2376" s="159" t="s">
        <v>9550</v>
      </c>
      <c r="H2376" s="159" t="s">
        <v>5024</v>
      </c>
      <c r="I2376" s="862"/>
      <c r="J2376" s="152">
        <v>45681.0</v>
      </c>
      <c r="K2376" s="159" t="s">
        <v>14367</v>
      </c>
      <c r="L2376" s="68"/>
      <c r="M2376" s="159" t="s">
        <v>9551</v>
      </c>
      <c r="N2376" s="159" t="s">
        <v>9552</v>
      </c>
      <c r="O2376" s="68"/>
      <c r="P2376" s="159" t="str">
        <f t="shared" si="135"/>
        <v>10.1162--rest_a_00258.pdf</v>
      </c>
      <c r="Q2376" s="52" t="str">
        <f t="array" ref="Q2376"> if(iserror(MATCH(V2376, 'File Links'!C:C, 0)), "N/A", HYPERLINK(INDEX('File Links'!B:B, MATCH(P2376, 'File Links'!C:C, 0))))</f>
        <v>https://drive.google.com/file/d/11AH2LlIZsd9ZFfFjWFxFf5MBHzmbtt8i/view?usp=drivesdk</v>
      </c>
      <c r="R2376" s="159" t="s">
        <v>9554</v>
      </c>
      <c r="S2376" s="159" t="s">
        <v>9555</v>
      </c>
      <c r="T2376" s="68"/>
      <c r="U2376" s="68"/>
      <c r="V2376" s="198" t="str">
        <f t="shared" si="123"/>
        <v>10.18718--81781.29.pdf</v>
      </c>
      <c r="W2376" s="159" t="s">
        <v>209</v>
      </c>
      <c r="X2376" s="54" t="str">
        <f t="array" ref="X2376"> if(iserror(MATCH(V2376, 'File Links'!C:C, 0)), "N/A", HYPERLINK(INDEX('File Links'!B:B, MATCH(V2376, 'File Links'!C:C, 0))))</f>
        <v>https://drive.google.com/file/d/1al8eDyU6ngpVrQ3pelC_b0wECY353CCu/view?usp=drivesdk</v>
      </c>
      <c r="Y2376" s="68"/>
      <c r="Z2376" s="159" t="s">
        <v>1809</v>
      </c>
      <c r="AA2376" s="68"/>
      <c r="AB2376" s="159" t="s">
        <v>9559</v>
      </c>
      <c r="AC2376" s="1065"/>
      <c r="AD2376" s="159" t="s">
        <v>14371</v>
      </c>
      <c r="AE2376" s="68"/>
      <c r="AF2376" s="156">
        <v>96560.0</v>
      </c>
      <c r="AG2376" s="1060" t="s">
        <v>14372</v>
      </c>
      <c r="AH2376" s="159" t="s">
        <v>134</v>
      </c>
      <c r="AI2376" s="159" t="s">
        <v>132</v>
      </c>
      <c r="AJ2376" s="156">
        <v>0.07</v>
      </c>
      <c r="AK2376" s="159" t="s">
        <v>172</v>
      </c>
      <c r="AL2376" s="159" t="s">
        <v>186</v>
      </c>
      <c r="AM2376" s="68" t="s">
        <v>1905</v>
      </c>
      <c r="AN2376" s="330" t="s">
        <v>138</v>
      </c>
      <c r="AO2376" s="156">
        <v>1697752.0</v>
      </c>
      <c r="AP2376" s="159" t="s">
        <v>138</v>
      </c>
      <c r="AQ2376" s="68"/>
      <c r="AR2376" s="68"/>
      <c r="AS2376" s="156">
        <v>0.001</v>
      </c>
      <c r="AT2376" s="159" t="s">
        <v>135</v>
      </c>
      <c r="AU2376" s="159" t="s">
        <v>186</v>
      </c>
      <c r="AV2376" s="68" t="s">
        <v>1905</v>
      </c>
      <c r="AW2376" s="68"/>
      <c r="AX2376" s="68" t="s">
        <v>143</v>
      </c>
      <c r="AY2376" s="61" t="str">
        <f>IFERROR(__xludf.DUMMYFUNCTION("vlookup(BB2376,importrange(""https://docs.google.com/spreadsheets/d/1d2vevQ_7D_v35q4wCQ4RpQ_IPoTwEMB9Yp6ymwlPqew/edit?gid=984458430#gid=984458430"", ""'replication success'!A:K""), 11, FAlSE)"),"#N/A")</f>
        <v>#N/A</v>
      </c>
      <c r="AZ2376" s="61" t="str">
        <f>IFERROR(__xludf.DUMMYFUNCTION("vlookup(BB2376,importrange(""https://docs.google.com/spreadsheets/d/1d2vevQ_7D_v35q4wCQ4RpQ_IPoTwEMB9Yp6ymwlPqew/edit?gid=984458430#gid=984458430"", ""'replication success'!A:M""), 12, FAlSE)"),"#N/A")</f>
        <v>#N/A</v>
      </c>
      <c r="BA2376" s="61" t="str">
        <f>IFERROR(__xludf.DUMMYFUNCTION("vlookup(BB2376,importrange(""https://docs.google.com/spreadsheets/d/1d2vevQ_7D_v35q4wCQ4RpQ_IPoTwEMB9Yp6ymwlPqew/edit?gid=984458430#gid=984458430"", ""'replication success'!A:M""), 13, FAlSE)"),"#N/A")</f>
        <v>#N/A</v>
      </c>
      <c r="BB2376" s="61" t="str">
        <f>IFERROR(__xludf.DUMMYFUNCTION("REGEXREPLACE(G2376, ""_[a-z]{1,2}$"", """")"),"jcre_05")</f>
        <v>jcre_05</v>
      </c>
    </row>
    <row r="2377">
      <c r="A2377" s="44">
        <v>2377.0</v>
      </c>
      <c r="B2377" s="129" t="s">
        <v>523</v>
      </c>
      <c r="C2377" s="62" t="s">
        <v>115</v>
      </c>
      <c r="D2377" s="62" t="s">
        <v>1270</v>
      </c>
      <c r="F2377" s="68"/>
      <c r="G2377" s="159" t="s">
        <v>9550</v>
      </c>
      <c r="H2377" s="159" t="s">
        <v>5024</v>
      </c>
      <c r="I2377" s="862"/>
      <c r="J2377" s="152">
        <v>45681.0</v>
      </c>
      <c r="K2377" s="159" t="s">
        <v>14368</v>
      </c>
      <c r="L2377" s="68"/>
      <c r="M2377" s="159" t="s">
        <v>9551</v>
      </c>
      <c r="N2377" s="159" t="s">
        <v>9552</v>
      </c>
      <c r="O2377" s="68"/>
      <c r="P2377" s="159" t="str">
        <f t="shared" si="135"/>
        <v>10.1162--rest_a_00258.pdf</v>
      </c>
      <c r="Q2377" s="52" t="str">
        <f t="array" ref="Q2377"> if(iserror(MATCH(V2377, 'File Links'!C:C, 0)), "N/A", HYPERLINK(INDEX('File Links'!B:B, MATCH(P2377, 'File Links'!C:C, 0))))</f>
        <v>https://drive.google.com/file/d/11AH2LlIZsd9ZFfFjWFxFf5MBHzmbtt8i/view?usp=drivesdk</v>
      </c>
      <c r="R2377" s="159" t="s">
        <v>9554</v>
      </c>
      <c r="S2377" s="159" t="s">
        <v>9555</v>
      </c>
      <c r="T2377" s="68"/>
      <c r="U2377" s="68"/>
      <c r="V2377" s="198" t="str">
        <f t="shared" si="123"/>
        <v>10.18718--81781.29.pdf</v>
      </c>
      <c r="W2377" s="159" t="s">
        <v>209</v>
      </c>
      <c r="X2377" s="54" t="str">
        <f t="array" ref="X2377"> if(iserror(MATCH(V2377, 'File Links'!C:C, 0)), "N/A", HYPERLINK(INDEX('File Links'!B:B, MATCH(V2377, 'File Links'!C:C, 0))))</f>
        <v>https://drive.google.com/file/d/1al8eDyU6ngpVrQ3pelC_b0wECY353CCu/view?usp=drivesdk</v>
      </c>
      <c r="Y2377" s="68"/>
      <c r="Z2377" s="159" t="s">
        <v>1809</v>
      </c>
      <c r="AA2377" s="68"/>
      <c r="AB2377" s="159" t="s">
        <v>9559</v>
      </c>
      <c r="AC2377" s="1065"/>
      <c r="AD2377" s="159" t="s">
        <v>14373</v>
      </c>
      <c r="AE2377" s="68"/>
      <c r="AF2377" s="156">
        <v>96560.0</v>
      </c>
      <c r="AG2377" s="1060" t="s">
        <v>14374</v>
      </c>
      <c r="AH2377" s="159" t="s">
        <v>134</v>
      </c>
      <c r="AI2377" s="159" t="s">
        <v>132</v>
      </c>
      <c r="AJ2377" s="156">
        <v>0.04</v>
      </c>
      <c r="AK2377" s="159" t="s">
        <v>172</v>
      </c>
      <c r="AL2377" s="159" t="s">
        <v>186</v>
      </c>
      <c r="AM2377" s="68" t="s">
        <v>1905</v>
      </c>
      <c r="AN2377" s="330" t="s">
        <v>138</v>
      </c>
      <c r="AO2377" s="156">
        <v>1212558.0</v>
      </c>
      <c r="AP2377" s="159" t="s">
        <v>138</v>
      </c>
      <c r="AQ2377" s="68"/>
      <c r="AR2377" s="68"/>
      <c r="AS2377" s="156">
        <v>0.032</v>
      </c>
      <c r="AT2377" s="159" t="s">
        <v>172</v>
      </c>
      <c r="AU2377" s="159" t="s">
        <v>186</v>
      </c>
      <c r="AV2377" s="68" t="s">
        <v>1905</v>
      </c>
      <c r="AW2377" s="68"/>
      <c r="AX2377" s="68" t="s">
        <v>143</v>
      </c>
      <c r="AY2377" s="61" t="str">
        <f>IFERROR(__xludf.DUMMYFUNCTION("vlookup(BB2377,importrange(""https://docs.google.com/spreadsheets/d/1d2vevQ_7D_v35q4wCQ4RpQ_IPoTwEMB9Yp6ymwlPqew/edit?gid=984458430#gid=984458430"", ""'replication success'!A:K""), 11, FAlSE)"),"#N/A")</f>
        <v>#N/A</v>
      </c>
      <c r="AZ2377" s="61" t="str">
        <f>IFERROR(__xludf.DUMMYFUNCTION("vlookup(BB2377,importrange(""https://docs.google.com/spreadsheets/d/1d2vevQ_7D_v35q4wCQ4RpQ_IPoTwEMB9Yp6ymwlPqew/edit?gid=984458430#gid=984458430"", ""'replication success'!A:M""), 12, FAlSE)"),"#N/A")</f>
        <v>#N/A</v>
      </c>
      <c r="BA2377" s="61" t="str">
        <f>IFERROR(__xludf.DUMMYFUNCTION("vlookup(BB2377,importrange(""https://docs.google.com/spreadsheets/d/1d2vevQ_7D_v35q4wCQ4RpQ_IPoTwEMB9Yp6ymwlPqew/edit?gid=984458430#gid=984458430"", ""'replication success'!A:M""), 13, FAlSE)"),"#N/A")</f>
        <v>#N/A</v>
      </c>
      <c r="BB2377" s="61" t="str">
        <f>IFERROR(__xludf.DUMMYFUNCTION("REGEXREPLACE(G2377, ""_[a-z]{1,2}$"", """")"),"jcre_05")</f>
        <v>jcre_05</v>
      </c>
      <c r="BE2377" s="342"/>
      <c r="BF2377" s="342"/>
      <c r="BG2377" s="342"/>
      <c r="BH2377" s="342"/>
      <c r="BI2377" s="342"/>
      <c r="BJ2377" s="342"/>
      <c r="BK2377" s="342"/>
      <c r="BL2377" s="342"/>
      <c r="BM2377" s="342"/>
      <c r="BN2377" s="342"/>
      <c r="BO2377" s="342"/>
      <c r="BP2377" s="342"/>
      <c r="BQ2377" s="342"/>
      <c r="BR2377" s="342"/>
      <c r="BS2377" s="342"/>
      <c r="BT2377" s="342"/>
      <c r="BU2377" s="342"/>
      <c r="BV2377" s="342"/>
      <c r="BW2377" s="342"/>
      <c r="BX2377" s="342"/>
      <c r="BY2377" s="342"/>
      <c r="BZ2377" s="342"/>
      <c r="CA2377" s="342"/>
      <c r="CB2377" s="342"/>
      <c r="CC2377" s="342"/>
      <c r="CD2377" s="342"/>
      <c r="CE2377" s="342"/>
      <c r="CF2377" s="342"/>
      <c r="CG2377" s="342"/>
      <c r="CH2377" s="342"/>
      <c r="CI2377" s="342"/>
      <c r="CJ2377" s="342"/>
      <c r="CK2377" s="342"/>
      <c r="CL2377" s="342"/>
      <c r="CM2377" s="342"/>
      <c r="CN2377" s="342"/>
      <c r="CO2377" s="342"/>
      <c r="CP2377" s="342"/>
      <c r="CQ2377" s="342"/>
      <c r="CR2377" s="342"/>
      <c r="CS2377" s="342"/>
      <c r="CT2377" s="342"/>
      <c r="CU2377" s="342"/>
      <c r="CV2377" s="342"/>
      <c r="CW2377" s="342"/>
      <c r="CX2377" s="342"/>
      <c r="CY2377" s="342"/>
      <c r="CZ2377" s="342"/>
      <c r="DA2377" s="342"/>
      <c r="DB2377" s="342"/>
      <c r="DC2377" s="342"/>
      <c r="DD2377" s="342"/>
      <c r="DE2377" s="342"/>
      <c r="DF2377" s="342"/>
      <c r="DG2377" s="342"/>
      <c r="DH2377" s="342"/>
      <c r="DI2377" s="342"/>
      <c r="DJ2377" s="342"/>
      <c r="DK2377" s="342"/>
      <c r="DL2377" s="342"/>
    </row>
    <row r="2378">
      <c r="A2378" s="44">
        <v>2378.0</v>
      </c>
      <c r="B2378" s="129" t="s">
        <v>523</v>
      </c>
      <c r="C2378" s="62" t="s">
        <v>115</v>
      </c>
      <c r="D2378" s="62" t="s">
        <v>1270</v>
      </c>
      <c r="F2378" s="68"/>
      <c r="G2378" s="159" t="s">
        <v>9550</v>
      </c>
      <c r="H2378" s="159" t="s">
        <v>5024</v>
      </c>
      <c r="I2378" s="862"/>
      <c r="J2378" s="152">
        <v>45681.0</v>
      </c>
      <c r="K2378" s="159" t="s">
        <v>14366</v>
      </c>
      <c r="L2378" s="68"/>
      <c r="M2378" s="159" t="s">
        <v>9551</v>
      </c>
      <c r="N2378" s="159" t="s">
        <v>9552</v>
      </c>
      <c r="O2378" s="68"/>
      <c r="P2378" s="159" t="str">
        <f t="shared" si="135"/>
        <v>10.1162--rest_a_00258.pdf</v>
      </c>
      <c r="Q2378" s="52" t="str">
        <f t="array" ref="Q2378"> if(iserror(MATCH(V2378, 'File Links'!C:C, 0)), "N/A", HYPERLINK(INDEX('File Links'!B:B, MATCH(P2378, 'File Links'!C:C, 0))))</f>
        <v>https://drive.google.com/file/d/11AH2LlIZsd9ZFfFjWFxFf5MBHzmbtt8i/view?usp=drivesdk</v>
      </c>
      <c r="R2378" s="159" t="s">
        <v>9554</v>
      </c>
      <c r="S2378" s="159" t="s">
        <v>9555</v>
      </c>
      <c r="T2378" s="68"/>
      <c r="U2378" s="68"/>
      <c r="V2378" s="198" t="str">
        <f t="shared" si="123"/>
        <v>10.18718--81781.29.pdf</v>
      </c>
      <c r="W2378" s="159" t="s">
        <v>209</v>
      </c>
      <c r="X2378" s="54" t="str">
        <f t="array" ref="X2378"> if(iserror(MATCH(V2378, 'File Links'!C:C, 0)), "N/A", HYPERLINK(INDEX('File Links'!B:B, MATCH(V2378, 'File Links'!C:C, 0))))</f>
        <v>https://drive.google.com/file/d/1al8eDyU6ngpVrQ3pelC_b0wECY353CCu/view?usp=drivesdk</v>
      </c>
      <c r="Y2378" s="68"/>
      <c r="Z2378" s="159" t="s">
        <v>1809</v>
      </c>
      <c r="AA2378" s="68"/>
      <c r="AB2378" s="159" t="s">
        <v>9559</v>
      </c>
      <c r="AC2378" s="1065"/>
      <c r="AD2378" s="159" t="s">
        <v>14373</v>
      </c>
      <c r="AE2378" s="68"/>
      <c r="AF2378" s="156">
        <v>96560.0</v>
      </c>
      <c r="AG2378" s="1060" t="s">
        <v>14374</v>
      </c>
      <c r="AH2378" s="159" t="s">
        <v>134</v>
      </c>
      <c r="AI2378" s="159" t="s">
        <v>132</v>
      </c>
      <c r="AJ2378" s="156">
        <v>0.04</v>
      </c>
      <c r="AK2378" s="159" t="s">
        <v>172</v>
      </c>
      <c r="AL2378" s="159" t="s">
        <v>186</v>
      </c>
      <c r="AM2378" s="68" t="s">
        <v>1905</v>
      </c>
      <c r="AN2378" s="330" t="s">
        <v>138</v>
      </c>
      <c r="AO2378" s="156">
        <v>1396050.0</v>
      </c>
      <c r="AP2378" s="159" t="s">
        <v>138</v>
      </c>
      <c r="AQ2378" s="68"/>
      <c r="AR2378" s="68"/>
      <c r="AS2378" s="156">
        <v>0.001</v>
      </c>
      <c r="AT2378" s="159" t="s">
        <v>135</v>
      </c>
      <c r="AU2378" s="159" t="s">
        <v>186</v>
      </c>
      <c r="AV2378" s="68" t="s">
        <v>1905</v>
      </c>
      <c r="AW2378" s="68"/>
      <c r="AX2378" s="68" t="s">
        <v>143</v>
      </c>
      <c r="AY2378" s="61" t="str">
        <f>IFERROR(__xludf.DUMMYFUNCTION("vlookup(BB2378,importrange(""https://docs.google.com/spreadsheets/d/1d2vevQ_7D_v35q4wCQ4RpQ_IPoTwEMB9Yp6ymwlPqew/edit?gid=984458430#gid=984458430"", ""'replication success'!A:K""), 11, FAlSE)"),"#N/A")</f>
        <v>#N/A</v>
      </c>
      <c r="AZ2378" s="61" t="str">
        <f>IFERROR(__xludf.DUMMYFUNCTION("vlookup(BB2378,importrange(""https://docs.google.com/spreadsheets/d/1d2vevQ_7D_v35q4wCQ4RpQ_IPoTwEMB9Yp6ymwlPqew/edit?gid=984458430#gid=984458430"", ""'replication success'!A:M""), 12, FAlSE)"),"#N/A")</f>
        <v>#N/A</v>
      </c>
      <c r="BA2378" s="61" t="str">
        <f>IFERROR(__xludf.DUMMYFUNCTION("vlookup(BB2378,importrange(""https://docs.google.com/spreadsheets/d/1d2vevQ_7D_v35q4wCQ4RpQ_IPoTwEMB9Yp6ymwlPqew/edit?gid=984458430#gid=984458430"", ""'replication success'!A:M""), 13, FAlSE)"),"#N/A")</f>
        <v>#N/A</v>
      </c>
      <c r="BB2378" s="61" t="str">
        <f>IFERROR(__xludf.DUMMYFUNCTION("REGEXREPLACE(G2378, ""_[a-z]{1,2}$"", """")"),"jcre_05")</f>
        <v>jcre_05</v>
      </c>
      <c r="BE2378" s="342"/>
      <c r="BF2378" s="342"/>
      <c r="BG2378" s="342"/>
      <c r="BH2378" s="342"/>
      <c r="BI2378" s="342"/>
      <c r="BJ2378" s="342"/>
      <c r="BK2378" s="342"/>
      <c r="BL2378" s="342"/>
      <c r="BM2378" s="342"/>
      <c r="BN2378" s="342"/>
      <c r="BO2378" s="342"/>
      <c r="BP2378" s="342"/>
      <c r="BQ2378" s="342"/>
      <c r="BR2378" s="342"/>
      <c r="BS2378" s="342"/>
      <c r="BT2378" s="342"/>
      <c r="BU2378" s="342"/>
      <c r="BV2378" s="342"/>
      <c r="BW2378" s="342"/>
      <c r="BX2378" s="342"/>
      <c r="BY2378" s="342"/>
      <c r="BZ2378" s="342"/>
      <c r="CA2378" s="342"/>
      <c r="CB2378" s="342"/>
      <c r="CC2378" s="342"/>
      <c r="CD2378" s="342"/>
      <c r="CE2378" s="342"/>
      <c r="CF2378" s="342"/>
      <c r="CG2378" s="342"/>
      <c r="CH2378" s="342"/>
      <c r="CI2378" s="342"/>
      <c r="CJ2378" s="342"/>
      <c r="CK2378" s="342"/>
      <c r="CL2378" s="342"/>
      <c r="CM2378" s="342"/>
      <c r="CN2378" s="342"/>
      <c r="CO2378" s="342"/>
      <c r="CP2378" s="342"/>
      <c r="CQ2378" s="342"/>
      <c r="CR2378" s="342"/>
      <c r="CS2378" s="342"/>
      <c r="CT2378" s="342"/>
      <c r="CU2378" s="342"/>
      <c r="CV2378" s="342"/>
      <c r="CW2378" s="342"/>
      <c r="CX2378" s="342"/>
      <c r="CY2378" s="342"/>
      <c r="CZ2378" s="342"/>
      <c r="DA2378" s="342"/>
      <c r="DB2378" s="342"/>
      <c r="DC2378" s="342"/>
      <c r="DD2378" s="342"/>
      <c r="DE2378" s="342"/>
      <c r="DF2378" s="342"/>
      <c r="DG2378" s="342"/>
      <c r="DH2378" s="342"/>
      <c r="DI2378" s="342"/>
      <c r="DJ2378" s="342"/>
      <c r="DK2378" s="342"/>
      <c r="DL2378" s="342"/>
    </row>
    <row r="2379">
      <c r="A2379" s="44">
        <v>2379.0</v>
      </c>
      <c r="B2379" s="129" t="s">
        <v>523</v>
      </c>
      <c r="C2379" s="62" t="s">
        <v>115</v>
      </c>
      <c r="D2379" s="62" t="s">
        <v>1270</v>
      </c>
      <c r="F2379" s="68"/>
      <c r="G2379" s="159" t="s">
        <v>9550</v>
      </c>
      <c r="H2379" s="159" t="s">
        <v>5024</v>
      </c>
      <c r="I2379" s="862"/>
      <c r="J2379" s="152">
        <v>45681.0</v>
      </c>
      <c r="K2379" s="159" t="s">
        <v>14367</v>
      </c>
      <c r="L2379" s="68"/>
      <c r="M2379" s="159" t="s">
        <v>9551</v>
      </c>
      <c r="N2379" s="159" t="s">
        <v>9552</v>
      </c>
      <c r="O2379" s="68"/>
      <c r="P2379" s="159" t="str">
        <f t="shared" si="135"/>
        <v>10.1162--rest_a_00258.pdf</v>
      </c>
      <c r="Q2379" s="52" t="str">
        <f t="array" ref="Q2379"> if(iserror(MATCH(V2379, 'File Links'!C:C, 0)), "N/A", HYPERLINK(INDEX('File Links'!B:B, MATCH(P2379, 'File Links'!C:C, 0))))</f>
        <v>https://drive.google.com/file/d/11AH2LlIZsd9ZFfFjWFxFf5MBHzmbtt8i/view?usp=drivesdk</v>
      </c>
      <c r="R2379" s="159" t="s">
        <v>9554</v>
      </c>
      <c r="S2379" s="159" t="s">
        <v>9555</v>
      </c>
      <c r="T2379" s="68"/>
      <c r="U2379" s="68"/>
      <c r="V2379" s="198" t="str">
        <f t="shared" si="123"/>
        <v>10.18718--81781.29.pdf</v>
      </c>
      <c r="W2379" s="159" t="s">
        <v>209</v>
      </c>
      <c r="X2379" s="54" t="str">
        <f t="array" ref="X2379"> if(iserror(MATCH(V2379, 'File Links'!C:C, 0)), "N/A", HYPERLINK(INDEX('File Links'!B:B, MATCH(V2379, 'File Links'!C:C, 0))))</f>
        <v>https://drive.google.com/file/d/1al8eDyU6ngpVrQ3pelC_b0wECY353CCu/view?usp=drivesdk</v>
      </c>
      <c r="Y2379" s="68"/>
      <c r="Z2379" s="159" t="s">
        <v>1809</v>
      </c>
      <c r="AA2379" s="68"/>
      <c r="AB2379" s="159" t="s">
        <v>9559</v>
      </c>
      <c r="AC2379" s="1065"/>
      <c r="AD2379" s="159" t="s">
        <v>14373</v>
      </c>
      <c r="AE2379" s="68"/>
      <c r="AF2379" s="156">
        <v>96560.0</v>
      </c>
      <c r="AG2379" s="1060" t="s">
        <v>14374</v>
      </c>
      <c r="AH2379" s="159" t="s">
        <v>134</v>
      </c>
      <c r="AI2379" s="159" t="s">
        <v>132</v>
      </c>
      <c r="AJ2379" s="156">
        <v>0.04</v>
      </c>
      <c r="AK2379" s="159" t="s">
        <v>172</v>
      </c>
      <c r="AL2379" s="159" t="s">
        <v>186</v>
      </c>
      <c r="AM2379" s="68" t="s">
        <v>1905</v>
      </c>
      <c r="AN2379" s="330" t="s">
        <v>138</v>
      </c>
      <c r="AO2379" s="156">
        <v>1697752.0</v>
      </c>
      <c r="AP2379" s="159" t="s">
        <v>138</v>
      </c>
      <c r="AQ2379" s="68"/>
      <c r="AR2379" s="68"/>
      <c r="AS2379" s="156">
        <v>0.001</v>
      </c>
      <c r="AT2379" s="159" t="s">
        <v>135</v>
      </c>
      <c r="AU2379" s="159" t="s">
        <v>186</v>
      </c>
      <c r="AV2379" s="68" t="s">
        <v>1905</v>
      </c>
      <c r="AW2379" s="68"/>
      <c r="AX2379" s="68" t="s">
        <v>143</v>
      </c>
      <c r="AY2379" s="61" t="str">
        <f>IFERROR(__xludf.DUMMYFUNCTION("vlookup(BB2379,importrange(""https://docs.google.com/spreadsheets/d/1d2vevQ_7D_v35q4wCQ4RpQ_IPoTwEMB9Yp6ymwlPqew/edit?gid=984458430#gid=984458430"", ""'replication success'!A:K""), 11, FAlSE)"),"#N/A")</f>
        <v>#N/A</v>
      </c>
      <c r="AZ2379" s="61" t="str">
        <f>IFERROR(__xludf.DUMMYFUNCTION("vlookup(BB2379,importrange(""https://docs.google.com/spreadsheets/d/1d2vevQ_7D_v35q4wCQ4RpQ_IPoTwEMB9Yp6ymwlPqew/edit?gid=984458430#gid=984458430"", ""'replication success'!A:M""), 12, FAlSE)"),"#N/A")</f>
        <v>#N/A</v>
      </c>
      <c r="BA2379" s="61" t="str">
        <f>IFERROR(__xludf.DUMMYFUNCTION("vlookup(BB2379,importrange(""https://docs.google.com/spreadsheets/d/1d2vevQ_7D_v35q4wCQ4RpQ_IPoTwEMB9Yp6ymwlPqew/edit?gid=984458430#gid=984458430"", ""'replication success'!A:M""), 13, FAlSE)"),"#N/A")</f>
        <v>#N/A</v>
      </c>
      <c r="BB2379" s="61" t="str">
        <f>IFERROR(__xludf.DUMMYFUNCTION("REGEXREPLACE(G2379, ""_[a-z]{1,2}$"", """")"),"jcre_05")</f>
        <v>jcre_05</v>
      </c>
    </row>
    <row r="2380">
      <c r="A2380" s="44">
        <v>2380.0</v>
      </c>
      <c r="B2380" s="129" t="s">
        <v>523</v>
      </c>
      <c r="C2380" s="62" t="s">
        <v>115</v>
      </c>
      <c r="D2380" s="62" t="s">
        <v>1270</v>
      </c>
      <c r="F2380" s="68"/>
      <c r="G2380" s="159" t="s">
        <v>12680</v>
      </c>
      <c r="H2380" s="159" t="s">
        <v>2067</v>
      </c>
      <c r="I2380" s="152">
        <v>45478.0</v>
      </c>
      <c r="J2380" s="152">
        <v>45695.0</v>
      </c>
      <c r="K2380" s="159" t="s">
        <v>12686</v>
      </c>
      <c r="L2380" s="68"/>
      <c r="M2380" s="159" t="s">
        <v>12681</v>
      </c>
      <c r="N2380" s="159" t="s">
        <v>2063</v>
      </c>
      <c r="O2380" s="68"/>
      <c r="P2380" s="159" t="str">
        <f t="shared" si="135"/>
        <v>10.1016--j.econedurev.2005.05.008.pdf</v>
      </c>
      <c r="Q2380" s="52" t="str">
        <f t="array" ref="Q2380"> if(iserror(MATCH(V2380, 'File Links'!C:C, 0)), "N/A", HYPERLINK(INDEX('File Links'!B:B, MATCH(P2380, 'File Links'!C:C, 0))))</f>
        <v>https://drive.google.com/file/d/1jEnrVGc2PxWYnqqR5b5QggE9HgY-tjOC/view?usp=drivesdk</v>
      </c>
      <c r="R2380" s="159" t="s">
        <v>12683</v>
      </c>
      <c r="S2380" s="159" t="s">
        <v>2065</v>
      </c>
      <c r="T2380" s="68"/>
      <c r="U2380" s="68"/>
      <c r="V2380" s="198" t="str">
        <f t="shared" si="123"/>
        <v>10.5281--zenodo.6426882.pdf</v>
      </c>
      <c r="W2380" s="159" t="s">
        <v>209</v>
      </c>
      <c r="X2380" s="54" t="str">
        <f t="array" ref="X2380"> if(iserror(MATCH(V2380, 'File Links'!C:C, 0)), "N/A", HYPERLINK(INDEX('File Links'!B:B, MATCH(V2380, 'File Links'!C:C, 0))))</f>
        <v>https://drive.google.com/file/d/1jvhXrkXP500Hc10PhmlgwF_pIcWK0diq/view?usp=drivesdk</v>
      </c>
      <c r="Y2380" s="68"/>
      <c r="Z2380" s="159" t="s">
        <v>241</v>
      </c>
      <c r="AA2380" s="68"/>
      <c r="AB2380" s="159" t="s">
        <v>12687</v>
      </c>
      <c r="AC2380" s="1065"/>
      <c r="AD2380" s="159" t="s">
        <v>14375</v>
      </c>
      <c r="AE2380" s="68"/>
      <c r="AF2380" s="156">
        <v>5167.0</v>
      </c>
      <c r="AG2380" s="1060" t="s">
        <v>14376</v>
      </c>
      <c r="AH2380" s="159" t="s">
        <v>134</v>
      </c>
      <c r="AI2380" s="159" t="s">
        <v>628</v>
      </c>
      <c r="AJ2380" s="156">
        <v>0.001</v>
      </c>
      <c r="AK2380" s="159" t="s">
        <v>135</v>
      </c>
      <c r="AL2380" s="159" t="s">
        <v>186</v>
      </c>
      <c r="AM2380" s="68" t="s">
        <v>1905</v>
      </c>
      <c r="AN2380" s="330" t="s">
        <v>138</v>
      </c>
      <c r="AO2380" s="156">
        <v>2968.0</v>
      </c>
      <c r="AP2380" s="159" t="s">
        <v>14377</v>
      </c>
      <c r="AQ2380" s="159" t="s">
        <v>134</v>
      </c>
      <c r="AR2380" s="159" t="s">
        <v>613</v>
      </c>
      <c r="AS2380" s="156">
        <v>0.05</v>
      </c>
      <c r="AT2380" s="159" t="s">
        <v>172</v>
      </c>
      <c r="AU2380" s="159" t="s">
        <v>186</v>
      </c>
      <c r="AV2380" s="68" t="s">
        <v>1905</v>
      </c>
      <c r="AW2380" s="68"/>
      <c r="AX2380" s="68" t="s">
        <v>143</v>
      </c>
      <c r="AY2380" s="61" t="str">
        <f>IFERROR(__xludf.DUMMYFUNCTION("vlookup(BB2380,importrange(""https://docs.google.com/spreadsheets/d/1d2vevQ_7D_v35q4wCQ4RpQ_IPoTwEMB9Yp6ymwlPqew/edit?gid=984458430#gid=984458430"", ""'replication success'!A:K""), 11, FAlSE)"),"#N/A")</f>
        <v>#N/A</v>
      </c>
      <c r="AZ2380" s="61" t="str">
        <f>IFERROR(__xludf.DUMMYFUNCTION("vlookup(BB2380,importrange(""https://docs.google.com/spreadsheets/d/1d2vevQ_7D_v35q4wCQ4RpQ_IPoTwEMB9Yp6ymwlPqew/edit?gid=984458430#gid=984458430"", ""'replication success'!A:M""), 12, FAlSE)"),"#N/A")</f>
        <v>#N/A</v>
      </c>
      <c r="BA2380" s="61" t="str">
        <f>IFERROR(__xludf.DUMMYFUNCTION("vlookup(BB2380,importrange(""https://docs.google.com/spreadsheets/d/1d2vevQ_7D_v35q4wCQ4RpQ_IPoTwEMB9Yp6ymwlPqew/edit?gid=984458430#gid=984458430"", ""'replication success'!A:M""), 13, FAlSE)"),"#N/A")</f>
        <v>#N/A</v>
      </c>
      <c r="BB2380" s="61" t="str">
        <f>IFERROR(__xludf.DUMMYFUNCTION("REGEXREPLACE(G2380, ""_[a-z]{1,2}$"", """")"),"resciencex_01")</f>
        <v>resciencex_01</v>
      </c>
    </row>
    <row r="2381">
      <c r="A2381" s="44">
        <v>2381.0</v>
      </c>
      <c r="B2381" s="129" t="s">
        <v>523</v>
      </c>
      <c r="C2381" s="62" t="s">
        <v>115</v>
      </c>
      <c r="D2381" s="62" t="s">
        <v>1270</v>
      </c>
      <c r="F2381" s="68"/>
      <c r="G2381" s="159" t="s">
        <v>12680</v>
      </c>
      <c r="H2381" s="159" t="s">
        <v>2067</v>
      </c>
      <c r="I2381" s="152">
        <v>45478.0</v>
      </c>
      <c r="J2381" s="152">
        <v>45695.0</v>
      </c>
      <c r="K2381" s="159" t="s">
        <v>12686</v>
      </c>
      <c r="L2381" s="68"/>
      <c r="M2381" s="159" t="s">
        <v>12681</v>
      </c>
      <c r="N2381" s="159" t="s">
        <v>2063</v>
      </c>
      <c r="O2381" s="68"/>
      <c r="P2381" s="159" t="str">
        <f t="shared" si="135"/>
        <v>10.1016--j.econedurev.2005.05.008.pdf</v>
      </c>
      <c r="Q2381" s="52" t="str">
        <f t="array" ref="Q2381"> if(iserror(MATCH(V2381, 'File Links'!C:C, 0)), "N/A", HYPERLINK(INDEX('File Links'!B:B, MATCH(P2381, 'File Links'!C:C, 0))))</f>
        <v>https://drive.google.com/file/d/1jEnrVGc2PxWYnqqR5b5QggE9HgY-tjOC/view?usp=drivesdk</v>
      </c>
      <c r="R2381" s="159" t="s">
        <v>12683</v>
      </c>
      <c r="S2381" s="159" t="s">
        <v>2065</v>
      </c>
      <c r="T2381" s="68"/>
      <c r="U2381" s="68"/>
      <c r="V2381" s="198" t="str">
        <f t="shared" si="123"/>
        <v>10.5281--zenodo.6426882.pdf</v>
      </c>
      <c r="W2381" s="159" t="s">
        <v>209</v>
      </c>
      <c r="X2381" s="54" t="str">
        <f t="array" ref="X2381"> if(iserror(MATCH(V2381, 'File Links'!C:C, 0)), "N/A", HYPERLINK(INDEX('File Links'!B:B, MATCH(V2381, 'File Links'!C:C, 0))))</f>
        <v>https://drive.google.com/file/d/1jvhXrkXP500Hc10PhmlgwF_pIcWK0diq/view?usp=drivesdk</v>
      </c>
      <c r="Y2381" s="68"/>
      <c r="Z2381" s="159" t="s">
        <v>241</v>
      </c>
      <c r="AA2381" s="68"/>
      <c r="AB2381" s="159" t="s">
        <v>12687</v>
      </c>
      <c r="AC2381" s="1065"/>
      <c r="AD2381" s="68" t="s">
        <v>14378</v>
      </c>
      <c r="AE2381" s="68"/>
      <c r="AF2381" s="156">
        <v>5167.0</v>
      </c>
      <c r="AG2381" s="1392" t="s">
        <v>14379</v>
      </c>
      <c r="AH2381" s="159" t="s">
        <v>134</v>
      </c>
      <c r="AI2381" s="159" t="s">
        <v>628</v>
      </c>
      <c r="AJ2381" s="336">
        <v>0.001</v>
      </c>
      <c r="AK2381" s="68" t="s">
        <v>135</v>
      </c>
      <c r="AL2381" s="159" t="s">
        <v>186</v>
      </c>
      <c r="AM2381" s="68" t="s">
        <v>1905</v>
      </c>
      <c r="AN2381" s="330" t="s">
        <v>138</v>
      </c>
      <c r="AO2381" s="156">
        <v>2968.0</v>
      </c>
      <c r="AP2381" s="68" t="s">
        <v>14380</v>
      </c>
      <c r="AQ2381" s="68" t="s">
        <v>134</v>
      </c>
      <c r="AR2381" s="159" t="s">
        <v>613</v>
      </c>
      <c r="AS2381" s="336">
        <v>0.001</v>
      </c>
      <c r="AT2381" s="159" t="s">
        <v>135</v>
      </c>
      <c r="AU2381" s="159" t="s">
        <v>186</v>
      </c>
      <c r="AV2381" s="68" t="s">
        <v>1905</v>
      </c>
      <c r="AW2381" s="68"/>
      <c r="AX2381" s="68" t="s">
        <v>143</v>
      </c>
      <c r="AY2381" s="61" t="str">
        <f>IFERROR(__xludf.DUMMYFUNCTION("vlookup(BB2381,importrange(""https://docs.google.com/spreadsheets/d/1d2vevQ_7D_v35q4wCQ4RpQ_IPoTwEMB9Yp6ymwlPqew/edit?gid=984458430#gid=984458430"", ""'replication success'!A:K""), 11, FAlSE)"),"#N/A")</f>
        <v>#N/A</v>
      </c>
      <c r="AZ2381" s="61" t="str">
        <f>IFERROR(__xludf.DUMMYFUNCTION("vlookup(BB2381,importrange(""https://docs.google.com/spreadsheets/d/1d2vevQ_7D_v35q4wCQ4RpQ_IPoTwEMB9Yp6ymwlPqew/edit?gid=984458430#gid=984458430"", ""'replication success'!A:M""), 12, FAlSE)"),"#N/A")</f>
        <v>#N/A</v>
      </c>
      <c r="BA2381" s="61" t="str">
        <f>IFERROR(__xludf.DUMMYFUNCTION("vlookup(BB2381,importrange(""https://docs.google.com/spreadsheets/d/1d2vevQ_7D_v35q4wCQ4RpQ_IPoTwEMB9Yp6ymwlPqew/edit?gid=984458430#gid=984458430"", ""'replication success'!A:M""), 13, FAlSE)"),"#N/A")</f>
        <v>#N/A</v>
      </c>
      <c r="BB2381" s="61" t="str">
        <f>IFERROR(__xludf.DUMMYFUNCTION("REGEXREPLACE(G2381, ""_[a-z]{1,2}$"", """")"),"resciencex_01")</f>
        <v>resciencex_01</v>
      </c>
    </row>
    <row r="2382">
      <c r="A2382" s="44">
        <v>2382.0</v>
      </c>
      <c r="B2382" s="129" t="s">
        <v>523</v>
      </c>
      <c r="C2382" s="62" t="s">
        <v>115</v>
      </c>
      <c r="D2382" s="62" t="s">
        <v>1270</v>
      </c>
      <c r="F2382" s="68"/>
      <c r="G2382" s="159" t="s">
        <v>12680</v>
      </c>
      <c r="H2382" s="159" t="s">
        <v>2067</v>
      </c>
      <c r="I2382" s="152">
        <v>45478.0</v>
      </c>
      <c r="J2382" s="152">
        <v>45695.0</v>
      </c>
      <c r="K2382" s="159" t="s">
        <v>12686</v>
      </c>
      <c r="L2382" s="68"/>
      <c r="M2382" s="159" t="s">
        <v>12681</v>
      </c>
      <c r="N2382" s="159" t="s">
        <v>2063</v>
      </c>
      <c r="O2382" s="68"/>
      <c r="P2382" s="159" t="str">
        <f t="shared" si="135"/>
        <v>10.1016--j.econedurev.2005.05.008.pdf</v>
      </c>
      <c r="Q2382" s="52" t="str">
        <f t="array" ref="Q2382"> if(iserror(MATCH(V2382, 'File Links'!C:C, 0)), "N/A", HYPERLINK(INDEX('File Links'!B:B, MATCH(P2382, 'File Links'!C:C, 0))))</f>
        <v>https://drive.google.com/file/d/1jEnrVGc2PxWYnqqR5b5QggE9HgY-tjOC/view?usp=drivesdk</v>
      </c>
      <c r="R2382" s="159" t="s">
        <v>12683</v>
      </c>
      <c r="S2382" s="159" t="s">
        <v>2065</v>
      </c>
      <c r="T2382" s="68"/>
      <c r="U2382" s="68"/>
      <c r="V2382" s="198" t="str">
        <f t="shared" si="123"/>
        <v>10.5281--zenodo.6426882.pdf</v>
      </c>
      <c r="W2382" s="159" t="s">
        <v>209</v>
      </c>
      <c r="X2382" s="54" t="str">
        <f t="array" ref="X2382"> if(iserror(MATCH(V2382, 'File Links'!C:C, 0)), "N/A", HYPERLINK(INDEX('File Links'!B:B, MATCH(V2382, 'File Links'!C:C, 0))))</f>
        <v>https://drive.google.com/file/d/1jvhXrkXP500Hc10PhmlgwF_pIcWK0diq/view?usp=drivesdk</v>
      </c>
      <c r="Y2382" s="68"/>
      <c r="Z2382" s="159" t="s">
        <v>241</v>
      </c>
      <c r="AA2382" s="68"/>
      <c r="AB2382" s="159" t="s">
        <v>12687</v>
      </c>
      <c r="AC2382" s="1065"/>
      <c r="AD2382" s="68" t="s">
        <v>14381</v>
      </c>
      <c r="AE2382" s="68"/>
      <c r="AF2382" s="156">
        <v>5167.0</v>
      </c>
      <c r="AG2382" s="1060" t="s">
        <v>14382</v>
      </c>
      <c r="AH2382" s="159" t="s">
        <v>134</v>
      </c>
      <c r="AI2382" s="159" t="s">
        <v>628</v>
      </c>
      <c r="AJ2382" s="156">
        <v>0.001</v>
      </c>
      <c r="AK2382" s="159" t="s">
        <v>135</v>
      </c>
      <c r="AL2382" s="159" t="s">
        <v>186</v>
      </c>
      <c r="AM2382" s="68" t="s">
        <v>1905</v>
      </c>
      <c r="AN2382" s="330" t="s">
        <v>138</v>
      </c>
      <c r="AO2382" s="156">
        <v>2968.0</v>
      </c>
      <c r="AP2382" s="68" t="s">
        <v>14383</v>
      </c>
      <c r="AQ2382" s="159" t="s">
        <v>134</v>
      </c>
      <c r="AR2382" s="159" t="s">
        <v>613</v>
      </c>
      <c r="AS2382" s="156">
        <v>0.001</v>
      </c>
      <c r="AT2382" s="159" t="s">
        <v>135</v>
      </c>
      <c r="AU2382" s="159" t="s">
        <v>186</v>
      </c>
      <c r="AV2382" s="68" t="s">
        <v>1905</v>
      </c>
      <c r="AW2382" s="68"/>
      <c r="AX2382" s="68" t="s">
        <v>143</v>
      </c>
      <c r="AY2382" s="61" t="str">
        <f>IFERROR(__xludf.DUMMYFUNCTION("vlookup(BB2382,importrange(""https://docs.google.com/spreadsheets/d/1d2vevQ_7D_v35q4wCQ4RpQ_IPoTwEMB9Yp6ymwlPqew/edit?gid=984458430#gid=984458430"", ""'replication success'!A:K""), 11, FAlSE)"),"#N/A")</f>
        <v>#N/A</v>
      </c>
      <c r="AZ2382" s="61" t="str">
        <f>IFERROR(__xludf.DUMMYFUNCTION("vlookup(BB2382,importrange(""https://docs.google.com/spreadsheets/d/1d2vevQ_7D_v35q4wCQ4RpQ_IPoTwEMB9Yp6ymwlPqew/edit?gid=984458430#gid=984458430"", ""'replication success'!A:M""), 12, FAlSE)"),"#N/A")</f>
        <v>#N/A</v>
      </c>
      <c r="BA2382" s="61" t="str">
        <f>IFERROR(__xludf.DUMMYFUNCTION("vlookup(BB2382,importrange(""https://docs.google.com/spreadsheets/d/1d2vevQ_7D_v35q4wCQ4RpQ_IPoTwEMB9Yp6ymwlPqew/edit?gid=984458430#gid=984458430"", ""'replication success'!A:M""), 13, FAlSE)"),"#N/A")</f>
        <v>#N/A</v>
      </c>
      <c r="BB2382" s="61" t="str">
        <f>IFERROR(__xludf.DUMMYFUNCTION("REGEXREPLACE(G2382, ""_[a-z]{1,2}$"", """")"),"resciencex_01")</f>
        <v>resciencex_01</v>
      </c>
    </row>
    <row r="2383">
      <c r="A2383" s="44">
        <v>2383.0</v>
      </c>
      <c r="B2383" s="129" t="s">
        <v>523</v>
      </c>
      <c r="C2383" s="62" t="s">
        <v>115</v>
      </c>
      <c r="D2383" s="62" t="s">
        <v>1270</v>
      </c>
      <c r="F2383" s="68"/>
      <c r="G2383" s="159" t="s">
        <v>12680</v>
      </c>
      <c r="H2383" s="159" t="s">
        <v>2067</v>
      </c>
      <c r="I2383" s="152">
        <v>45478.0</v>
      </c>
      <c r="J2383" s="152">
        <v>45695.0</v>
      </c>
      <c r="K2383" s="159" t="s">
        <v>12686</v>
      </c>
      <c r="L2383" s="68"/>
      <c r="M2383" s="159" t="s">
        <v>12681</v>
      </c>
      <c r="N2383" s="159" t="s">
        <v>2063</v>
      </c>
      <c r="O2383" s="68"/>
      <c r="P2383" s="159" t="str">
        <f t="shared" si="135"/>
        <v>10.1016--j.econedurev.2005.05.008.pdf</v>
      </c>
      <c r="Q2383" s="52" t="str">
        <f t="array" ref="Q2383"> if(iserror(MATCH(V2383, 'File Links'!C:C, 0)), "N/A", HYPERLINK(INDEX('File Links'!B:B, MATCH(P2383, 'File Links'!C:C, 0))))</f>
        <v>https://drive.google.com/file/d/1jEnrVGc2PxWYnqqR5b5QggE9HgY-tjOC/view?usp=drivesdk</v>
      </c>
      <c r="R2383" s="159" t="s">
        <v>12683</v>
      </c>
      <c r="S2383" s="159" t="s">
        <v>2065</v>
      </c>
      <c r="T2383" s="68"/>
      <c r="U2383" s="68"/>
      <c r="V2383" s="198" t="str">
        <f t="shared" si="123"/>
        <v>10.5281--zenodo.6426882.pdf</v>
      </c>
      <c r="W2383" s="159" t="s">
        <v>209</v>
      </c>
      <c r="X2383" s="54" t="str">
        <f t="array" ref="X2383"> if(iserror(MATCH(V2383, 'File Links'!C:C, 0)), "N/A", HYPERLINK(INDEX('File Links'!B:B, MATCH(V2383, 'File Links'!C:C, 0))))</f>
        <v>https://drive.google.com/file/d/1jvhXrkXP500Hc10PhmlgwF_pIcWK0diq/view?usp=drivesdk</v>
      </c>
      <c r="Y2383" s="68"/>
      <c r="Z2383" s="159" t="s">
        <v>241</v>
      </c>
      <c r="AA2383" s="68"/>
      <c r="AB2383" s="159" t="s">
        <v>12687</v>
      </c>
      <c r="AC2383" s="1065"/>
      <c r="AD2383" s="159" t="s">
        <v>14384</v>
      </c>
      <c r="AE2383" s="68"/>
      <c r="AF2383" s="156">
        <v>5167.0</v>
      </c>
      <c r="AG2383" s="1060" t="s">
        <v>14385</v>
      </c>
      <c r="AH2383" s="159" t="s">
        <v>134</v>
      </c>
      <c r="AI2383" s="159" t="s">
        <v>628</v>
      </c>
      <c r="AJ2383" s="156">
        <v>0.001</v>
      </c>
      <c r="AK2383" s="159" t="s">
        <v>135</v>
      </c>
      <c r="AL2383" s="159" t="s">
        <v>186</v>
      </c>
      <c r="AM2383" s="68" t="s">
        <v>1905</v>
      </c>
      <c r="AN2383" s="330" t="s">
        <v>138</v>
      </c>
      <c r="AO2383" s="156">
        <v>2968.0</v>
      </c>
      <c r="AP2383" s="68" t="s">
        <v>14386</v>
      </c>
      <c r="AQ2383" s="159" t="s">
        <v>134</v>
      </c>
      <c r="AR2383" s="159" t="s">
        <v>613</v>
      </c>
      <c r="AS2383" s="156">
        <v>0.006</v>
      </c>
      <c r="AT2383" s="159" t="s">
        <v>172</v>
      </c>
      <c r="AU2383" s="159" t="s">
        <v>186</v>
      </c>
      <c r="AV2383" s="68" t="s">
        <v>1905</v>
      </c>
      <c r="AW2383" s="68"/>
      <c r="AX2383" s="68" t="s">
        <v>143</v>
      </c>
      <c r="AY2383" s="61" t="str">
        <f>IFERROR(__xludf.DUMMYFUNCTION("vlookup(BB2383,importrange(""https://docs.google.com/spreadsheets/d/1d2vevQ_7D_v35q4wCQ4RpQ_IPoTwEMB9Yp6ymwlPqew/edit?gid=984458430#gid=984458430"", ""'replication success'!A:K""), 11, FAlSE)"),"#N/A")</f>
        <v>#N/A</v>
      </c>
      <c r="AZ2383" s="61" t="str">
        <f>IFERROR(__xludf.DUMMYFUNCTION("vlookup(BB2383,importrange(""https://docs.google.com/spreadsheets/d/1d2vevQ_7D_v35q4wCQ4RpQ_IPoTwEMB9Yp6ymwlPqew/edit?gid=984458430#gid=984458430"", ""'replication success'!A:M""), 12, FAlSE)"),"#N/A")</f>
        <v>#N/A</v>
      </c>
      <c r="BA2383" s="61" t="str">
        <f>IFERROR(__xludf.DUMMYFUNCTION("vlookup(BB2383,importrange(""https://docs.google.com/spreadsheets/d/1d2vevQ_7D_v35q4wCQ4RpQ_IPoTwEMB9Yp6ymwlPqew/edit?gid=984458430#gid=984458430"", ""'replication success'!A:M""), 13, FAlSE)"),"#N/A")</f>
        <v>#N/A</v>
      </c>
      <c r="BB2383" s="61" t="str">
        <f>IFERROR(__xludf.DUMMYFUNCTION("REGEXREPLACE(G2383, ""_[a-z]{1,2}$"", """")"),"resciencex_01")</f>
        <v>resciencex_01</v>
      </c>
      <c r="BE2383" s="342"/>
      <c r="BF2383" s="342"/>
      <c r="BG2383" s="342"/>
      <c r="BH2383" s="342"/>
      <c r="BI2383" s="342"/>
      <c r="BJ2383" s="342"/>
      <c r="BK2383" s="342"/>
      <c r="BL2383" s="342"/>
      <c r="BM2383" s="342"/>
      <c r="BN2383" s="342"/>
      <c r="BO2383" s="342"/>
      <c r="BP2383" s="342"/>
      <c r="BQ2383" s="342"/>
      <c r="BR2383" s="342"/>
      <c r="BS2383" s="342"/>
      <c r="BT2383" s="342"/>
      <c r="BU2383" s="342"/>
      <c r="BV2383" s="342"/>
      <c r="BW2383" s="342"/>
      <c r="BX2383" s="342"/>
      <c r="BY2383" s="342"/>
      <c r="BZ2383" s="342"/>
      <c r="CA2383" s="342"/>
      <c r="CB2383" s="342"/>
      <c r="CC2383" s="342"/>
      <c r="CD2383" s="342"/>
      <c r="CE2383" s="342"/>
      <c r="CF2383" s="342"/>
      <c r="CG2383" s="342"/>
      <c r="CH2383" s="342"/>
      <c r="CI2383" s="342"/>
      <c r="CJ2383" s="342"/>
      <c r="CK2383" s="342"/>
      <c r="CL2383" s="342"/>
      <c r="CM2383" s="342"/>
      <c r="CN2383" s="342"/>
      <c r="CO2383" s="342"/>
      <c r="CP2383" s="342"/>
      <c r="CQ2383" s="342"/>
      <c r="CR2383" s="342"/>
      <c r="CS2383" s="342"/>
      <c r="CT2383" s="342"/>
      <c r="CU2383" s="342"/>
      <c r="CV2383" s="342"/>
      <c r="CW2383" s="342"/>
      <c r="CX2383" s="342"/>
      <c r="CY2383" s="342"/>
      <c r="CZ2383" s="342"/>
      <c r="DA2383" s="342"/>
      <c r="DB2383" s="342"/>
      <c r="DC2383" s="342"/>
      <c r="DD2383" s="342"/>
      <c r="DE2383" s="342"/>
      <c r="DF2383" s="342"/>
      <c r="DG2383" s="342"/>
      <c r="DH2383" s="342"/>
      <c r="DI2383" s="342"/>
      <c r="DJ2383" s="342"/>
      <c r="DK2383" s="342"/>
      <c r="DL2383" s="342"/>
    </row>
    <row r="2384">
      <c r="A2384" s="44">
        <v>2384.0</v>
      </c>
      <c r="B2384" s="129" t="s">
        <v>523</v>
      </c>
      <c r="C2384" s="62" t="s">
        <v>115</v>
      </c>
      <c r="D2384" s="62" t="s">
        <v>1270</v>
      </c>
      <c r="F2384" s="68"/>
      <c r="G2384" s="159" t="s">
        <v>12680</v>
      </c>
      <c r="H2384" s="159" t="s">
        <v>2067</v>
      </c>
      <c r="I2384" s="152">
        <v>45478.0</v>
      </c>
      <c r="J2384" s="152">
        <v>45695.0</v>
      </c>
      <c r="K2384" s="159" t="s">
        <v>12686</v>
      </c>
      <c r="L2384" s="68"/>
      <c r="M2384" s="159" t="s">
        <v>12681</v>
      </c>
      <c r="N2384" s="159" t="s">
        <v>2063</v>
      </c>
      <c r="O2384" s="68"/>
      <c r="P2384" s="159" t="str">
        <f t="shared" si="135"/>
        <v>10.1016--j.econedurev.2005.05.008.pdf</v>
      </c>
      <c r="Q2384" s="52" t="str">
        <f t="array" ref="Q2384"> if(iserror(MATCH(V2384, 'File Links'!C:C, 0)), "N/A", HYPERLINK(INDEX('File Links'!B:B, MATCH(P2384, 'File Links'!C:C, 0))))</f>
        <v>https://drive.google.com/file/d/1jEnrVGc2PxWYnqqR5b5QggE9HgY-tjOC/view?usp=drivesdk</v>
      </c>
      <c r="R2384" s="159" t="s">
        <v>12683</v>
      </c>
      <c r="S2384" s="159" t="s">
        <v>2065</v>
      </c>
      <c r="T2384" s="68"/>
      <c r="U2384" s="68"/>
      <c r="V2384" s="198" t="str">
        <f t="shared" si="123"/>
        <v>10.5281--zenodo.6426882.pdf</v>
      </c>
      <c r="W2384" s="159" t="s">
        <v>209</v>
      </c>
      <c r="X2384" s="54" t="str">
        <f t="array" ref="X2384"> if(iserror(MATCH(V2384, 'File Links'!C:C, 0)), "N/A", HYPERLINK(INDEX('File Links'!B:B, MATCH(V2384, 'File Links'!C:C, 0))))</f>
        <v>https://drive.google.com/file/d/1jvhXrkXP500Hc10PhmlgwF_pIcWK0diq/view?usp=drivesdk</v>
      </c>
      <c r="Y2384" s="68"/>
      <c r="Z2384" s="159" t="s">
        <v>241</v>
      </c>
      <c r="AA2384" s="68"/>
      <c r="AB2384" s="159" t="s">
        <v>12687</v>
      </c>
      <c r="AC2384" s="1065"/>
      <c r="AD2384" s="159" t="s">
        <v>14387</v>
      </c>
      <c r="AE2384" s="68"/>
      <c r="AF2384" s="156">
        <v>5167.0</v>
      </c>
      <c r="AG2384" s="1060" t="s">
        <v>14388</v>
      </c>
      <c r="AH2384" s="159" t="s">
        <v>134</v>
      </c>
      <c r="AI2384" s="159" t="s">
        <v>628</v>
      </c>
      <c r="AJ2384" s="156">
        <v>0.05</v>
      </c>
      <c r="AK2384" s="159" t="s">
        <v>135</v>
      </c>
      <c r="AL2384" s="159" t="s">
        <v>186</v>
      </c>
      <c r="AM2384" s="68" t="s">
        <v>1905</v>
      </c>
      <c r="AN2384" s="330" t="s">
        <v>138</v>
      </c>
      <c r="AO2384" s="156">
        <v>2968.0</v>
      </c>
      <c r="AP2384" s="68" t="s">
        <v>14389</v>
      </c>
      <c r="AQ2384" s="159" t="s">
        <v>134</v>
      </c>
      <c r="AR2384" s="159" t="s">
        <v>613</v>
      </c>
      <c r="AS2384" s="156">
        <v>0.001</v>
      </c>
      <c r="AT2384" s="159" t="s">
        <v>135</v>
      </c>
      <c r="AU2384" s="159" t="s">
        <v>186</v>
      </c>
      <c r="AV2384" s="68" t="s">
        <v>1905</v>
      </c>
      <c r="AW2384" s="68"/>
      <c r="AX2384" s="68" t="s">
        <v>143</v>
      </c>
      <c r="AY2384" s="61" t="str">
        <f>IFERROR(__xludf.DUMMYFUNCTION("vlookup(BB2384,importrange(""https://docs.google.com/spreadsheets/d/1d2vevQ_7D_v35q4wCQ4RpQ_IPoTwEMB9Yp6ymwlPqew/edit?gid=984458430#gid=984458430"", ""'replication success'!A:K""), 11, FAlSE)"),"#N/A")</f>
        <v>#N/A</v>
      </c>
      <c r="AZ2384" s="61" t="str">
        <f>IFERROR(__xludf.DUMMYFUNCTION("vlookup(BB2384,importrange(""https://docs.google.com/spreadsheets/d/1d2vevQ_7D_v35q4wCQ4RpQ_IPoTwEMB9Yp6ymwlPqew/edit?gid=984458430#gid=984458430"", ""'replication success'!A:M""), 12, FAlSE)"),"#N/A")</f>
        <v>#N/A</v>
      </c>
      <c r="BA2384" s="61" t="str">
        <f>IFERROR(__xludf.DUMMYFUNCTION("vlookup(BB2384,importrange(""https://docs.google.com/spreadsheets/d/1d2vevQ_7D_v35q4wCQ4RpQ_IPoTwEMB9Yp6ymwlPqew/edit?gid=984458430#gid=984458430"", ""'replication success'!A:M""), 13, FAlSE)"),"#N/A")</f>
        <v>#N/A</v>
      </c>
      <c r="BB2384" s="61" t="str">
        <f>IFERROR(__xludf.DUMMYFUNCTION("REGEXREPLACE(G2384, ""_[a-z]{1,2}$"", """")"),"resciencex_01")</f>
        <v>resciencex_01</v>
      </c>
      <c r="BE2384" s="342"/>
      <c r="BF2384" s="342"/>
      <c r="BG2384" s="342"/>
      <c r="BH2384" s="342"/>
      <c r="BI2384" s="342"/>
      <c r="BJ2384" s="342"/>
      <c r="BK2384" s="342"/>
      <c r="BL2384" s="342"/>
      <c r="BM2384" s="342"/>
      <c r="BN2384" s="342"/>
      <c r="BO2384" s="342"/>
      <c r="BP2384" s="342"/>
      <c r="BQ2384" s="342"/>
      <c r="BR2384" s="342"/>
      <c r="BS2384" s="342"/>
      <c r="BT2384" s="342"/>
      <c r="BU2384" s="342"/>
      <c r="BV2384" s="342"/>
      <c r="BW2384" s="342"/>
      <c r="BX2384" s="342"/>
      <c r="BY2384" s="342"/>
      <c r="BZ2384" s="342"/>
      <c r="CA2384" s="342"/>
      <c r="CB2384" s="342"/>
      <c r="CC2384" s="342"/>
      <c r="CD2384" s="342"/>
      <c r="CE2384" s="342"/>
      <c r="CF2384" s="342"/>
      <c r="CG2384" s="342"/>
      <c r="CH2384" s="342"/>
      <c r="CI2384" s="342"/>
      <c r="CJ2384" s="342"/>
      <c r="CK2384" s="342"/>
      <c r="CL2384" s="342"/>
      <c r="CM2384" s="342"/>
      <c r="CN2384" s="342"/>
      <c r="CO2384" s="342"/>
      <c r="CP2384" s="342"/>
      <c r="CQ2384" s="342"/>
      <c r="CR2384" s="342"/>
      <c r="CS2384" s="342"/>
      <c r="CT2384" s="342"/>
      <c r="CU2384" s="342"/>
      <c r="CV2384" s="342"/>
      <c r="CW2384" s="342"/>
      <c r="CX2384" s="342"/>
      <c r="CY2384" s="342"/>
      <c r="CZ2384" s="342"/>
      <c r="DA2384" s="342"/>
      <c r="DB2384" s="342"/>
      <c r="DC2384" s="342"/>
      <c r="DD2384" s="342"/>
      <c r="DE2384" s="342"/>
      <c r="DF2384" s="342"/>
      <c r="DG2384" s="342"/>
      <c r="DH2384" s="342"/>
      <c r="DI2384" s="342"/>
      <c r="DJ2384" s="342"/>
      <c r="DK2384" s="342"/>
      <c r="DL2384" s="342"/>
    </row>
    <row r="2385">
      <c r="A2385" s="44">
        <v>2385.0</v>
      </c>
      <c r="B2385" s="129" t="s">
        <v>523</v>
      </c>
      <c r="C2385" s="62" t="s">
        <v>115</v>
      </c>
      <c r="D2385" s="62" t="s">
        <v>1270</v>
      </c>
      <c r="F2385" s="68"/>
      <c r="G2385" s="159" t="s">
        <v>12680</v>
      </c>
      <c r="H2385" s="159" t="s">
        <v>2067</v>
      </c>
      <c r="I2385" s="152">
        <v>45478.0</v>
      </c>
      <c r="J2385" s="152">
        <v>45695.0</v>
      </c>
      <c r="K2385" s="159" t="s">
        <v>12686</v>
      </c>
      <c r="L2385" s="68"/>
      <c r="M2385" s="159" t="s">
        <v>12681</v>
      </c>
      <c r="N2385" s="159" t="s">
        <v>2063</v>
      </c>
      <c r="O2385" s="68"/>
      <c r="P2385" s="159" t="str">
        <f t="shared" si="135"/>
        <v>10.1016--j.econedurev.2005.05.008.pdf</v>
      </c>
      <c r="Q2385" s="52" t="str">
        <f t="array" ref="Q2385"> if(iserror(MATCH(V2385, 'File Links'!C:C, 0)), "N/A", HYPERLINK(INDEX('File Links'!B:B, MATCH(P2385, 'File Links'!C:C, 0))))</f>
        <v>https://drive.google.com/file/d/1jEnrVGc2PxWYnqqR5b5QggE9HgY-tjOC/view?usp=drivesdk</v>
      </c>
      <c r="R2385" s="159" t="s">
        <v>12683</v>
      </c>
      <c r="S2385" s="159" t="s">
        <v>2065</v>
      </c>
      <c r="T2385" s="68"/>
      <c r="U2385" s="68"/>
      <c r="V2385" s="198" t="str">
        <f t="shared" si="123"/>
        <v>10.5281--zenodo.6426882.pdf</v>
      </c>
      <c r="W2385" s="159" t="s">
        <v>209</v>
      </c>
      <c r="X2385" s="54" t="str">
        <f t="array" ref="X2385"> if(iserror(MATCH(V2385, 'File Links'!C:C, 0)), "N/A", HYPERLINK(INDEX('File Links'!B:B, MATCH(V2385, 'File Links'!C:C, 0))))</f>
        <v>https://drive.google.com/file/d/1jvhXrkXP500Hc10PhmlgwF_pIcWK0diq/view?usp=drivesdk</v>
      </c>
      <c r="Y2385" s="68"/>
      <c r="Z2385" s="159" t="s">
        <v>241</v>
      </c>
      <c r="AA2385" s="68"/>
      <c r="AB2385" s="159" t="s">
        <v>12687</v>
      </c>
      <c r="AC2385" s="1065"/>
      <c r="AD2385" s="159" t="s">
        <v>14390</v>
      </c>
      <c r="AE2385" s="68"/>
      <c r="AF2385" s="156">
        <v>5167.0</v>
      </c>
      <c r="AG2385" s="1060" t="s">
        <v>14391</v>
      </c>
      <c r="AH2385" s="159" t="s">
        <v>134</v>
      </c>
      <c r="AI2385" s="159" t="s">
        <v>628</v>
      </c>
      <c r="AJ2385" s="156">
        <v>0.001</v>
      </c>
      <c r="AK2385" s="159" t="s">
        <v>135</v>
      </c>
      <c r="AL2385" s="159" t="s">
        <v>186</v>
      </c>
      <c r="AM2385" s="68" t="s">
        <v>1905</v>
      </c>
      <c r="AN2385" s="330" t="s">
        <v>138</v>
      </c>
      <c r="AO2385" s="156">
        <v>2968.0</v>
      </c>
      <c r="AP2385" s="68" t="s">
        <v>14392</v>
      </c>
      <c r="AQ2385" s="159" t="s">
        <v>134</v>
      </c>
      <c r="AR2385" s="159" t="s">
        <v>628</v>
      </c>
      <c r="AS2385" s="156">
        <v>0.001</v>
      </c>
      <c r="AT2385" s="159" t="s">
        <v>135</v>
      </c>
      <c r="AU2385" s="159" t="s">
        <v>186</v>
      </c>
      <c r="AV2385" s="68" t="s">
        <v>1905</v>
      </c>
      <c r="AW2385" s="68"/>
      <c r="AX2385" s="68" t="s">
        <v>143</v>
      </c>
      <c r="AY2385" s="61" t="str">
        <f>IFERROR(__xludf.DUMMYFUNCTION("vlookup(BB2385,importrange(""https://docs.google.com/spreadsheets/d/1d2vevQ_7D_v35q4wCQ4RpQ_IPoTwEMB9Yp6ymwlPqew/edit?gid=984458430#gid=984458430"", ""'replication success'!A:K""), 11, FAlSE)"),"#N/A")</f>
        <v>#N/A</v>
      </c>
      <c r="AZ2385" s="61" t="str">
        <f>IFERROR(__xludf.DUMMYFUNCTION("vlookup(BB2385,importrange(""https://docs.google.com/spreadsheets/d/1d2vevQ_7D_v35q4wCQ4RpQ_IPoTwEMB9Yp6ymwlPqew/edit?gid=984458430#gid=984458430"", ""'replication success'!A:M""), 12, FAlSE)"),"#N/A")</f>
        <v>#N/A</v>
      </c>
      <c r="BA2385" s="61" t="str">
        <f>IFERROR(__xludf.DUMMYFUNCTION("vlookup(BB2385,importrange(""https://docs.google.com/spreadsheets/d/1d2vevQ_7D_v35q4wCQ4RpQ_IPoTwEMB9Yp6ymwlPqew/edit?gid=984458430#gid=984458430"", ""'replication success'!A:M""), 13, FAlSE)"),"#N/A")</f>
        <v>#N/A</v>
      </c>
      <c r="BB2385" s="61" t="str">
        <f>IFERROR(__xludf.DUMMYFUNCTION("REGEXREPLACE(G2385, ""_[a-z]{1,2}$"", """")"),"resciencex_01")</f>
        <v>resciencex_01</v>
      </c>
      <c r="BE2385" s="342"/>
      <c r="BF2385" s="342"/>
      <c r="BG2385" s="342"/>
      <c r="BH2385" s="342"/>
      <c r="BI2385" s="342"/>
      <c r="BJ2385" s="342"/>
      <c r="BK2385" s="342"/>
      <c r="BL2385" s="342"/>
      <c r="BM2385" s="342"/>
      <c r="BN2385" s="342"/>
      <c r="BO2385" s="342"/>
      <c r="BP2385" s="342"/>
      <c r="BQ2385" s="342"/>
      <c r="BR2385" s="342"/>
      <c r="BS2385" s="342"/>
      <c r="BT2385" s="342"/>
      <c r="BU2385" s="342"/>
      <c r="BV2385" s="342"/>
      <c r="BW2385" s="342"/>
      <c r="BX2385" s="342"/>
      <c r="BY2385" s="342"/>
      <c r="BZ2385" s="342"/>
      <c r="CA2385" s="342"/>
      <c r="CB2385" s="342"/>
      <c r="CC2385" s="342"/>
      <c r="CD2385" s="342"/>
      <c r="CE2385" s="342"/>
      <c r="CF2385" s="342"/>
      <c r="CG2385" s="342"/>
      <c r="CH2385" s="342"/>
      <c r="CI2385" s="342"/>
      <c r="CJ2385" s="342"/>
      <c r="CK2385" s="342"/>
      <c r="CL2385" s="342"/>
      <c r="CM2385" s="342"/>
      <c r="CN2385" s="342"/>
      <c r="CO2385" s="342"/>
      <c r="CP2385" s="342"/>
      <c r="CQ2385" s="342"/>
      <c r="CR2385" s="342"/>
      <c r="CS2385" s="342"/>
      <c r="CT2385" s="342"/>
      <c r="CU2385" s="342"/>
      <c r="CV2385" s="342"/>
      <c r="CW2385" s="342"/>
      <c r="CX2385" s="342"/>
      <c r="CY2385" s="342"/>
      <c r="CZ2385" s="342"/>
      <c r="DA2385" s="342"/>
      <c r="DB2385" s="342"/>
      <c r="DC2385" s="342"/>
      <c r="DD2385" s="342"/>
      <c r="DE2385" s="342"/>
      <c r="DF2385" s="342"/>
      <c r="DG2385" s="342"/>
      <c r="DH2385" s="342"/>
      <c r="DI2385" s="342"/>
      <c r="DJ2385" s="342"/>
      <c r="DK2385" s="342"/>
      <c r="DL2385" s="342"/>
    </row>
    <row r="2386">
      <c r="A2386" s="44">
        <v>2386.0</v>
      </c>
      <c r="B2386" s="129" t="s">
        <v>523</v>
      </c>
      <c r="C2386" s="62" t="s">
        <v>115</v>
      </c>
      <c r="D2386" s="62" t="s">
        <v>1270</v>
      </c>
      <c r="F2386" s="68"/>
      <c r="G2386" s="159" t="s">
        <v>12680</v>
      </c>
      <c r="H2386" s="159" t="s">
        <v>2067</v>
      </c>
      <c r="I2386" s="152">
        <v>45478.0</v>
      </c>
      <c r="J2386" s="152">
        <v>45695.0</v>
      </c>
      <c r="K2386" s="159" t="s">
        <v>12686</v>
      </c>
      <c r="L2386" s="68"/>
      <c r="M2386" s="159" t="s">
        <v>12681</v>
      </c>
      <c r="N2386" s="159" t="s">
        <v>2063</v>
      </c>
      <c r="O2386" s="68"/>
      <c r="P2386" s="159" t="str">
        <f t="shared" si="135"/>
        <v>10.1016--j.econedurev.2005.05.008.pdf</v>
      </c>
      <c r="Q2386" s="52" t="str">
        <f t="array" ref="Q2386"> if(iserror(MATCH(V2386, 'File Links'!C:C, 0)), "N/A", HYPERLINK(INDEX('File Links'!B:B, MATCH(P2386, 'File Links'!C:C, 0))))</f>
        <v>https://drive.google.com/file/d/1jEnrVGc2PxWYnqqR5b5QggE9HgY-tjOC/view?usp=drivesdk</v>
      </c>
      <c r="R2386" s="159" t="s">
        <v>12683</v>
      </c>
      <c r="S2386" s="159" t="s">
        <v>2065</v>
      </c>
      <c r="T2386" s="68"/>
      <c r="U2386" s="68"/>
      <c r="V2386" s="198" t="str">
        <f t="shared" si="123"/>
        <v>10.5281--zenodo.6426882.pdf</v>
      </c>
      <c r="W2386" s="159" t="s">
        <v>209</v>
      </c>
      <c r="X2386" s="54" t="str">
        <f t="array" ref="X2386"> if(iserror(MATCH(V2386, 'File Links'!C:C, 0)), "N/A", HYPERLINK(INDEX('File Links'!B:B, MATCH(V2386, 'File Links'!C:C, 0))))</f>
        <v>https://drive.google.com/file/d/1jvhXrkXP500Hc10PhmlgwF_pIcWK0diq/view?usp=drivesdk</v>
      </c>
      <c r="Y2386" s="68"/>
      <c r="Z2386" s="159" t="s">
        <v>241</v>
      </c>
      <c r="AA2386" s="68"/>
      <c r="AB2386" s="159" t="s">
        <v>12687</v>
      </c>
      <c r="AC2386" s="1065"/>
      <c r="AD2386" s="159" t="s">
        <v>14393</v>
      </c>
      <c r="AE2386" s="68"/>
      <c r="AF2386" s="156">
        <v>5167.0</v>
      </c>
      <c r="AG2386" s="1060" t="s">
        <v>14394</v>
      </c>
      <c r="AH2386" s="159" t="s">
        <v>134</v>
      </c>
      <c r="AI2386" s="159" t="s">
        <v>628</v>
      </c>
      <c r="AJ2386" s="156">
        <v>0.001</v>
      </c>
      <c r="AK2386" s="159" t="s">
        <v>135</v>
      </c>
      <c r="AL2386" s="159" t="s">
        <v>186</v>
      </c>
      <c r="AM2386" s="68" t="s">
        <v>1905</v>
      </c>
      <c r="AN2386" s="330" t="s">
        <v>138</v>
      </c>
      <c r="AO2386" s="156">
        <v>2968.0</v>
      </c>
      <c r="AP2386" s="68" t="s">
        <v>14395</v>
      </c>
      <c r="AQ2386" s="159" t="s">
        <v>134</v>
      </c>
      <c r="AR2386" s="159" t="s">
        <v>628</v>
      </c>
      <c r="AS2386" s="156">
        <v>0.004</v>
      </c>
      <c r="AT2386" s="159" t="s">
        <v>172</v>
      </c>
      <c r="AU2386" s="159" t="s">
        <v>186</v>
      </c>
      <c r="AV2386" s="68" t="s">
        <v>1905</v>
      </c>
      <c r="AW2386" s="68"/>
      <c r="AX2386" s="68" t="s">
        <v>143</v>
      </c>
      <c r="AY2386" s="61" t="str">
        <f>IFERROR(__xludf.DUMMYFUNCTION("vlookup(BB2386,importrange(""https://docs.google.com/spreadsheets/d/1d2vevQ_7D_v35q4wCQ4RpQ_IPoTwEMB9Yp6ymwlPqew/edit?gid=984458430#gid=984458430"", ""'replication success'!A:K""), 11, FAlSE)"),"#N/A")</f>
        <v>#N/A</v>
      </c>
      <c r="AZ2386" s="61" t="str">
        <f>IFERROR(__xludf.DUMMYFUNCTION("vlookup(BB2386,importrange(""https://docs.google.com/spreadsheets/d/1d2vevQ_7D_v35q4wCQ4RpQ_IPoTwEMB9Yp6ymwlPqew/edit?gid=984458430#gid=984458430"", ""'replication success'!A:M""), 12, FAlSE)"),"#N/A")</f>
        <v>#N/A</v>
      </c>
      <c r="BA2386" s="61" t="str">
        <f>IFERROR(__xludf.DUMMYFUNCTION("vlookup(BB2386,importrange(""https://docs.google.com/spreadsheets/d/1d2vevQ_7D_v35q4wCQ4RpQ_IPoTwEMB9Yp6ymwlPqew/edit?gid=984458430#gid=984458430"", ""'replication success'!A:M""), 13, FAlSE)"),"#N/A")</f>
        <v>#N/A</v>
      </c>
      <c r="BB2386" s="61" t="str">
        <f>IFERROR(__xludf.DUMMYFUNCTION("REGEXREPLACE(G2386, ""_[a-z]{1,2}$"", """")"),"resciencex_01")</f>
        <v>resciencex_01</v>
      </c>
      <c r="BE2386" s="342"/>
      <c r="BF2386" s="342"/>
      <c r="BG2386" s="342"/>
      <c r="BH2386" s="342"/>
      <c r="BI2386" s="342"/>
      <c r="BJ2386" s="342"/>
      <c r="BK2386" s="342"/>
      <c r="BL2386" s="342"/>
      <c r="BM2386" s="342"/>
      <c r="BN2386" s="342"/>
      <c r="BO2386" s="342"/>
      <c r="BP2386" s="342"/>
      <c r="BQ2386" s="342"/>
      <c r="BR2386" s="342"/>
      <c r="BS2386" s="342"/>
      <c r="BT2386" s="342"/>
      <c r="BU2386" s="342"/>
      <c r="BV2386" s="342"/>
      <c r="BW2386" s="342"/>
      <c r="BX2386" s="342"/>
      <c r="BY2386" s="342"/>
      <c r="BZ2386" s="342"/>
      <c r="CA2386" s="342"/>
      <c r="CB2386" s="342"/>
      <c r="CC2386" s="342"/>
      <c r="CD2386" s="342"/>
      <c r="CE2386" s="342"/>
      <c r="CF2386" s="342"/>
      <c r="CG2386" s="342"/>
      <c r="CH2386" s="342"/>
      <c r="CI2386" s="342"/>
      <c r="CJ2386" s="342"/>
      <c r="CK2386" s="342"/>
      <c r="CL2386" s="342"/>
      <c r="CM2386" s="342"/>
      <c r="CN2386" s="342"/>
      <c r="CO2386" s="342"/>
      <c r="CP2386" s="342"/>
      <c r="CQ2386" s="342"/>
      <c r="CR2386" s="342"/>
      <c r="CS2386" s="342"/>
      <c r="CT2386" s="342"/>
      <c r="CU2386" s="342"/>
      <c r="CV2386" s="342"/>
      <c r="CW2386" s="342"/>
      <c r="CX2386" s="342"/>
      <c r="CY2386" s="342"/>
      <c r="CZ2386" s="342"/>
      <c r="DA2386" s="342"/>
      <c r="DB2386" s="342"/>
      <c r="DC2386" s="342"/>
      <c r="DD2386" s="342"/>
      <c r="DE2386" s="342"/>
      <c r="DF2386" s="342"/>
      <c r="DG2386" s="342"/>
      <c r="DH2386" s="342"/>
      <c r="DI2386" s="342"/>
      <c r="DJ2386" s="342"/>
      <c r="DK2386" s="342"/>
      <c r="DL2386" s="342"/>
    </row>
    <row r="2387">
      <c r="A2387" s="44">
        <v>2387.0</v>
      </c>
      <c r="B2387" s="129" t="s">
        <v>523</v>
      </c>
      <c r="C2387" s="62" t="s">
        <v>115</v>
      </c>
      <c r="D2387" s="62" t="s">
        <v>1270</v>
      </c>
      <c r="F2387" s="68"/>
      <c r="G2387" s="159" t="s">
        <v>12680</v>
      </c>
      <c r="H2387" s="159" t="s">
        <v>2067</v>
      </c>
      <c r="I2387" s="152">
        <v>45478.0</v>
      </c>
      <c r="J2387" s="152">
        <v>45695.0</v>
      </c>
      <c r="K2387" s="159" t="s">
        <v>12686</v>
      </c>
      <c r="L2387" s="68"/>
      <c r="M2387" s="159" t="s">
        <v>12681</v>
      </c>
      <c r="N2387" s="159" t="s">
        <v>2063</v>
      </c>
      <c r="O2387" s="68"/>
      <c r="P2387" s="159" t="str">
        <f t="shared" si="135"/>
        <v>10.1016--j.econedurev.2005.05.008.pdf</v>
      </c>
      <c r="Q2387" s="52" t="str">
        <f t="array" ref="Q2387"> if(iserror(MATCH(V2387, 'File Links'!C:C, 0)), "N/A", HYPERLINK(INDEX('File Links'!B:B, MATCH(P2387, 'File Links'!C:C, 0))))</f>
        <v>https://drive.google.com/file/d/1jEnrVGc2PxWYnqqR5b5QggE9HgY-tjOC/view?usp=drivesdk</v>
      </c>
      <c r="R2387" s="159" t="s">
        <v>12683</v>
      </c>
      <c r="S2387" s="159" t="s">
        <v>2065</v>
      </c>
      <c r="T2387" s="68"/>
      <c r="U2387" s="68"/>
      <c r="V2387" s="198" t="str">
        <f t="shared" si="123"/>
        <v>10.5281--zenodo.6426882.pdf</v>
      </c>
      <c r="W2387" s="159" t="s">
        <v>209</v>
      </c>
      <c r="X2387" s="54" t="str">
        <f t="array" ref="X2387"> if(iserror(MATCH(V2387, 'File Links'!C:C, 0)), "N/A", HYPERLINK(INDEX('File Links'!B:B, MATCH(V2387, 'File Links'!C:C, 0))))</f>
        <v>https://drive.google.com/file/d/1jvhXrkXP500Hc10PhmlgwF_pIcWK0diq/view?usp=drivesdk</v>
      </c>
      <c r="Y2387" s="68"/>
      <c r="Z2387" s="159" t="s">
        <v>241</v>
      </c>
      <c r="AA2387" s="68"/>
      <c r="AB2387" s="159" t="s">
        <v>12687</v>
      </c>
      <c r="AC2387" s="1065"/>
      <c r="AD2387" s="159" t="s">
        <v>14396</v>
      </c>
      <c r="AE2387" s="68"/>
      <c r="AF2387" s="156">
        <v>5167.0</v>
      </c>
      <c r="AG2387" s="1060" t="s">
        <v>14397</v>
      </c>
      <c r="AH2387" s="159" t="s">
        <v>134</v>
      </c>
      <c r="AI2387" s="159" t="s">
        <v>628</v>
      </c>
      <c r="AJ2387" s="159" t="s">
        <v>138</v>
      </c>
      <c r="AK2387" s="68"/>
      <c r="AL2387" s="159" t="s">
        <v>186</v>
      </c>
      <c r="AM2387" s="68" t="s">
        <v>1905</v>
      </c>
      <c r="AN2387" s="330" t="s">
        <v>138</v>
      </c>
      <c r="AO2387" s="156">
        <v>2968.0</v>
      </c>
      <c r="AP2387" s="68" t="s">
        <v>14398</v>
      </c>
      <c r="AQ2387" s="159" t="s">
        <v>134</v>
      </c>
      <c r="AR2387" s="159" t="s">
        <v>628</v>
      </c>
      <c r="AS2387" s="156">
        <v>0.001</v>
      </c>
      <c r="AT2387" s="159" t="s">
        <v>135</v>
      </c>
      <c r="AU2387" s="159" t="s">
        <v>186</v>
      </c>
      <c r="AV2387" s="68" t="s">
        <v>1905</v>
      </c>
      <c r="AW2387" s="68"/>
      <c r="AX2387" s="68" t="s">
        <v>143</v>
      </c>
      <c r="AY2387" s="61" t="str">
        <f>IFERROR(__xludf.DUMMYFUNCTION("vlookup(BB2387,importrange(""https://docs.google.com/spreadsheets/d/1d2vevQ_7D_v35q4wCQ4RpQ_IPoTwEMB9Yp6ymwlPqew/edit?gid=984458430#gid=984458430"", ""'replication success'!A:K""), 11, FAlSE)"),"#N/A")</f>
        <v>#N/A</v>
      </c>
      <c r="AZ2387" s="61" t="str">
        <f>IFERROR(__xludf.DUMMYFUNCTION("vlookup(BB2387,importrange(""https://docs.google.com/spreadsheets/d/1d2vevQ_7D_v35q4wCQ4RpQ_IPoTwEMB9Yp6ymwlPqew/edit?gid=984458430#gid=984458430"", ""'replication success'!A:M""), 12, FAlSE)"),"#N/A")</f>
        <v>#N/A</v>
      </c>
      <c r="BA2387" s="61" t="str">
        <f>IFERROR(__xludf.DUMMYFUNCTION("vlookup(BB2387,importrange(""https://docs.google.com/spreadsheets/d/1d2vevQ_7D_v35q4wCQ4RpQ_IPoTwEMB9Yp6ymwlPqew/edit?gid=984458430#gid=984458430"", ""'replication success'!A:M""), 13, FAlSE)"),"#N/A")</f>
        <v>#N/A</v>
      </c>
      <c r="BB2387" s="61" t="str">
        <f>IFERROR(__xludf.DUMMYFUNCTION("REGEXREPLACE(G2387, ""_[a-z]{1,2}$"", """")"),"resciencex_01")</f>
        <v>resciencex_01</v>
      </c>
    </row>
    <row r="2388">
      <c r="A2388" s="44">
        <v>2388.0</v>
      </c>
      <c r="B2388" s="129" t="s">
        <v>523</v>
      </c>
      <c r="C2388" s="62" t="s">
        <v>115</v>
      </c>
      <c r="D2388" s="62" t="s">
        <v>145</v>
      </c>
      <c r="F2388" s="68"/>
      <c r="G2388" s="68" t="s">
        <v>14399</v>
      </c>
      <c r="H2388" s="68" t="s">
        <v>12807</v>
      </c>
      <c r="I2388" s="529">
        <v>45713.0</v>
      </c>
      <c r="J2388" s="68"/>
      <c r="K2388" s="68"/>
      <c r="L2388" s="68"/>
      <c r="M2388" s="129" t="s">
        <v>12800</v>
      </c>
      <c r="N2388" s="68" t="s">
        <v>12801</v>
      </c>
      <c r="O2388" s="336">
        <v>1.0</v>
      </c>
      <c r="P2388" s="68" t="s">
        <v>12802</v>
      </c>
      <c r="Q2388" s="52" t="str">
        <f t="array" ref="Q2388"> if(iserror(MATCH(V2388, 'File Links'!C:C, 0)), "N/A", HYPERLINK(INDEX('File Links'!B:B, MATCH(P2388, 'File Links'!C:C, 0))))</f>
        <v>https://drive.google.com/file/d/1kMj9bYJrk8644y4gPjpgYXSikwfmuYTS/view?usp=drivesdk</v>
      </c>
      <c r="R2388" s="68" t="s">
        <v>12827</v>
      </c>
      <c r="S2388" s="68" t="s">
        <v>12828</v>
      </c>
      <c r="T2388" s="68"/>
      <c r="U2388" s="68"/>
      <c r="V2388" s="68" t="s">
        <v>12829</v>
      </c>
      <c r="W2388" s="68" t="s">
        <v>1535</v>
      </c>
      <c r="X2388" s="54" t="str">
        <f t="array" ref="X2388"> if(iserror(MATCH(V2388, 'File Links'!C:C, 0)), "N/A", HYPERLINK(INDEX('File Links'!B:B, MATCH(V2388, 'File Links'!C:C, 0))))</f>
        <v>https://drive.google.com/file/d/1qykbPSroz40PGKkag9WEI54L9tC55d5r/view?usp=drivesdk</v>
      </c>
      <c r="Y2388" s="68"/>
      <c r="Z2388" s="68" t="s">
        <v>226</v>
      </c>
      <c r="AA2388" s="68" t="s">
        <v>12804</v>
      </c>
      <c r="AB2388" s="68" t="s">
        <v>12833</v>
      </c>
      <c r="AC2388" s="68" t="s">
        <v>14400</v>
      </c>
      <c r="AD2388" s="68" t="s">
        <v>12822</v>
      </c>
      <c r="AE2388" s="336">
        <v>3.0</v>
      </c>
      <c r="AF2388" s="336">
        <v>60.0</v>
      </c>
      <c r="AG2388" s="336">
        <v>0.29</v>
      </c>
      <c r="AH2388" s="68" t="s">
        <v>215</v>
      </c>
      <c r="AI2388" s="68" t="s">
        <v>217</v>
      </c>
      <c r="AJ2388" s="336">
        <v>0.023</v>
      </c>
      <c r="AK2388" s="68" t="s">
        <v>172</v>
      </c>
      <c r="AL2388" s="68" t="s">
        <v>186</v>
      </c>
      <c r="AM2388" s="68" t="s">
        <v>137</v>
      </c>
      <c r="AN2388" s="1370" t="s">
        <v>138</v>
      </c>
      <c r="AO2388" s="336">
        <v>114.0</v>
      </c>
      <c r="AP2388" s="563">
        <v>0.0</v>
      </c>
      <c r="AQ2388" s="68" t="s">
        <v>215</v>
      </c>
      <c r="AR2388" s="68" t="s">
        <v>12835</v>
      </c>
      <c r="AS2388" s="68" t="s">
        <v>1535</v>
      </c>
      <c r="AT2388" s="68" t="s">
        <v>1535</v>
      </c>
      <c r="AU2388" s="68" t="s">
        <v>186</v>
      </c>
      <c r="AV2388" s="68" t="s">
        <v>1905</v>
      </c>
      <c r="AW2388" s="435" t="s">
        <v>12831</v>
      </c>
      <c r="AX2388" s="68" t="s">
        <v>143</v>
      </c>
      <c r="AY2388" s="61" t="str">
        <f>IFERROR(__xludf.DUMMYFUNCTION("vlookup(BB2388,importrange(""https://docs.google.com/spreadsheets/d/1d2vevQ_7D_v35q4wCQ4RpQ_IPoTwEMB9Yp6ymwlPqew/edit?gid=984458430#gid=984458430"", ""'replication success'!A:K""), 11, FAlSE)"),"failed")</f>
        <v>failed</v>
      </c>
      <c r="AZ2388" s="61" t="str">
        <f>IFERROR(__xludf.DUMMYFUNCTION("vlookup(BB2388,importrange(""https://docs.google.com/spreadsheets/d/1d2vevQ_7D_v35q4wCQ4RpQ_IPoTwEMB9Yp6ymwlPqew/edit?gid=984458430#gid=984458430"", ""'replication success'!A:M""), 12, FAlSE)"),"Despite the use of a
substantially larger sample and higher doses of alcohol compared with the ones in prior studies, alcohol had no significant
effect on moral judgments. The results pose a challenge to the idea that alcohol increases utilitarianism in m"&amp;"oral judgments.")</f>
        <v>Despite the use of a
substantially larger sample and higher doses of alcohol compared with the ones in prior studies, alcohol had no significant
effect on moral judgments. The results pose a challenge to the idea that alcohol increases utilitarianism in moral judgments.</v>
      </c>
      <c r="BA2388" s="61" t="str">
        <f>IFERROR(__xludf.DUMMYFUNCTION("vlookup(BB2388,importrange(""https://docs.google.com/spreadsheets/d/1d2vevQ_7D_v35q4wCQ4RpQ_IPoTwEMB9Yp6ymwlPqew/edit?gid=984458430#gid=984458430"", ""'replication success'!A:M""), 13, FAlSE)"),"abstract")</f>
        <v>abstract</v>
      </c>
      <c r="BB2388" s="61" t="str">
        <f>IFERROR(__xludf.DUMMYFUNCTION("REGEXREPLACE(G2388, ""_[a-z]{1,2}$"", """")"),"soscisubmission14c")</f>
        <v>soscisubmission14c</v>
      </c>
      <c r="BE2388" s="342"/>
      <c r="BF2388" s="342"/>
      <c r="BG2388" s="342"/>
      <c r="BH2388" s="342"/>
      <c r="BI2388" s="342"/>
      <c r="BJ2388" s="342"/>
      <c r="BK2388" s="342"/>
      <c r="BL2388" s="342"/>
      <c r="BM2388" s="342"/>
      <c r="BN2388" s="342"/>
      <c r="BO2388" s="342"/>
      <c r="BP2388" s="342"/>
      <c r="BQ2388" s="342"/>
      <c r="BR2388" s="342"/>
      <c r="BS2388" s="342"/>
      <c r="BT2388" s="342"/>
      <c r="BU2388" s="342"/>
      <c r="BV2388" s="342"/>
      <c r="BW2388" s="342"/>
      <c r="BX2388" s="342"/>
      <c r="BY2388" s="342"/>
      <c r="BZ2388" s="342"/>
      <c r="CA2388" s="342"/>
      <c r="CB2388" s="342"/>
      <c r="CC2388" s="342"/>
      <c r="CD2388" s="342"/>
      <c r="CE2388" s="342"/>
      <c r="CF2388" s="342"/>
      <c r="CG2388" s="342"/>
      <c r="CH2388" s="342"/>
      <c r="CI2388" s="342"/>
      <c r="CJ2388" s="342"/>
      <c r="CK2388" s="342"/>
      <c r="CL2388" s="342"/>
      <c r="CM2388" s="342"/>
      <c r="CN2388" s="342"/>
      <c r="CO2388" s="342"/>
      <c r="CP2388" s="342"/>
      <c r="CQ2388" s="342"/>
      <c r="CR2388" s="342"/>
      <c r="CS2388" s="342"/>
      <c r="CT2388" s="342"/>
      <c r="CU2388" s="342"/>
      <c r="CV2388" s="342"/>
      <c r="CW2388" s="342"/>
      <c r="CX2388" s="342"/>
      <c r="CY2388" s="342"/>
      <c r="CZ2388" s="342"/>
      <c r="DA2388" s="342"/>
      <c r="DB2388" s="342"/>
      <c r="DC2388" s="342"/>
      <c r="DD2388" s="342"/>
      <c r="DE2388" s="342"/>
      <c r="DF2388" s="342"/>
      <c r="DG2388" s="342"/>
      <c r="DH2388" s="342"/>
      <c r="DI2388" s="342"/>
      <c r="DJ2388" s="342"/>
      <c r="DK2388" s="342"/>
      <c r="DL2388" s="342"/>
    </row>
    <row r="2389">
      <c r="A2389" s="44">
        <v>2389.0</v>
      </c>
      <c r="B2389" s="129" t="s">
        <v>523</v>
      </c>
      <c r="C2389" s="62" t="s">
        <v>115</v>
      </c>
      <c r="D2389" s="62" t="s">
        <v>145</v>
      </c>
      <c r="F2389" s="68"/>
      <c r="G2389" s="68" t="s">
        <v>14401</v>
      </c>
      <c r="H2389" s="68" t="s">
        <v>12807</v>
      </c>
      <c r="I2389" s="529">
        <v>45713.0</v>
      </c>
      <c r="J2389" s="68"/>
      <c r="K2389" s="68"/>
      <c r="L2389" s="68"/>
      <c r="M2389" s="129" t="s">
        <v>12800</v>
      </c>
      <c r="N2389" s="68" t="s">
        <v>12801</v>
      </c>
      <c r="O2389" s="336">
        <v>1.0</v>
      </c>
      <c r="P2389" s="68" t="s">
        <v>12802</v>
      </c>
      <c r="Q2389" s="52" t="str">
        <f t="array" ref="Q2389"> if(iserror(MATCH(V2389, 'File Links'!C:C, 0)), "N/A", HYPERLINK(INDEX('File Links'!B:B, MATCH(P2389, 'File Links'!C:C, 0))))</f>
        <v>https://drive.google.com/file/d/1kMj9bYJrk8644y4gPjpgYXSikwfmuYTS/view?usp=drivesdk</v>
      </c>
      <c r="R2389" s="68" t="s">
        <v>12827</v>
      </c>
      <c r="S2389" s="68" t="s">
        <v>12828</v>
      </c>
      <c r="T2389" s="68"/>
      <c r="U2389" s="68"/>
      <c r="V2389" s="68" t="s">
        <v>12829</v>
      </c>
      <c r="W2389" s="68" t="s">
        <v>1535</v>
      </c>
      <c r="X2389" s="54" t="str">
        <f t="array" ref="X2389"> if(iserror(MATCH(V2389, 'File Links'!C:C, 0)), "N/A", HYPERLINK(INDEX('File Links'!B:B, MATCH(V2389, 'File Links'!C:C, 0))))</f>
        <v>https://drive.google.com/file/d/1qykbPSroz40PGKkag9WEI54L9tC55d5r/view?usp=drivesdk</v>
      </c>
      <c r="Y2389" s="68"/>
      <c r="Z2389" s="68" t="s">
        <v>226</v>
      </c>
      <c r="AA2389" s="68" t="s">
        <v>12804</v>
      </c>
      <c r="AB2389" s="68" t="s">
        <v>12833</v>
      </c>
      <c r="AC2389" s="68" t="s">
        <v>14402</v>
      </c>
      <c r="AD2389" s="68" t="s">
        <v>12822</v>
      </c>
      <c r="AE2389" s="336">
        <v>3.0</v>
      </c>
      <c r="AF2389" s="336">
        <v>60.0</v>
      </c>
      <c r="AG2389" s="336">
        <v>0.29</v>
      </c>
      <c r="AH2389" s="68" t="s">
        <v>215</v>
      </c>
      <c r="AI2389" s="68" t="s">
        <v>217</v>
      </c>
      <c r="AJ2389" s="336">
        <v>0.023</v>
      </c>
      <c r="AK2389" s="68" t="s">
        <v>172</v>
      </c>
      <c r="AL2389" s="68" t="s">
        <v>186</v>
      </c>
      <c r="AM2389" s="68" t="s">
        <v>137</v>
      </c>
      <c r="AN2389" s="1370" t="s">
        <v>138</v>
      </c>
      <c r="AO2389" s="336">
        <v>109.0</v>
      </c>
      <c r="AP2389" s="563">
        <v>0.0</v>
      </c>
      <c r="AQ2389" s="68" t="s">
        <v>215</v>
      </c>
      <c r="AR2389" s="68" t="s">
        <v>12835</v>
      </c>
      <c r="AS2389" s="68" t="s">
        <v>1535</v>
      </c>
      <c r="AT2389" s="68" t="s">
        <v>1535</v>
      </c>
      <c r="AU2389" s="68" t="s">
        <v>186</v>
      </c>
      <c r="AV2389" s="68" t="s">
        <v>1905</v>
      </c>
      <c r="AW2389" s="435" t="s">
        <v>12831</v>
      </c>
      <c r="AX2389" s="68" t="s">
        <v>143</v>
      </c>
      <c r="AY2389" s="61" t="str">
        <f>IFERROR(__xludf.DUMMYFUNCTION("vlookup(BB2389,importrange(""https://docs.google.com/spreadsheets/d/1d2vevQ_7D_v35q4wCQ4RpQ_IPoTwEMB9Yp6ymwlPqew/edit?gid=984458430#gid=984458430"", ""'replication success'!A:K""), 11, FAlSE)"),"failed")</f>
        <v>failed</v>
      </c>
      <c r="AZ2389" s="61" t="str">
        <f>IFERROR(__xludf.DUMMYFUNCTION("vlookup(BB2389,importrange(""https://docs.google.com/spreadsheets/d/1d2vevQ_7D_v35q4wCQ4RpQ_IPoTwEMB9Yp6ymwlPqew/edit?gid=984458430#gid=984458430"", ""'replication success'!A:M""), 12, FAlSE)"),"Despite the use of a
substantially larger sample and higher doses of alcohol compared with the ones in prior studies, alcohol had no significant
effect on moral judgments. The results pose a challenge to the idea that alcohol increases utilitarianism in m"&amp;"oral judgments.")</f>
        <v>Despite the use of a
substantially larger sample and higher doses of alcohol compared with the ones in prior studies, alcohol had no significant
effect on moral judgments. The results pose a challenge to the idea that alcohol increases utilitarianism in moral judgments.</v>
      </c>
      <c r="BA2389" s="61" t="str">
        <f>IFERROR(__xludf.DUMMYFUNCTION("vlookup(BB2389,importrange(""https://docs.google.com/spreadsheets/d/1d2vevQ_7D_v35q4wCQ4RpQ_IPoTwEMB9Yp6ymwlPqew/edit?gid=984458430#gid=984458430"", ""'replication success'!A:M""), 13, FAlSE)"),"abstract")</f>
        <v>abstract</v>
      </c>
      <c r="BB2389" s="61" t="str">
        <f>IFERROR(__xludf.DUMMYFUNCTION("REGEXREPLACE(G2389, ""_[a-z]{1,2}$"", """")"),"soscisubmission14c")</f>
        <v>soscisubmission14c</v>
      </c>
      <c r="BE2389" s="342"/>
      <c r="BF2389" s="342"/>
      <c r="BG2389" s="342"/>
      <c r="BH2389" s="342"/>
      <c r="BI2389" s="342"/>
      <c r="BJ2389" s="342"/>
      <c r="BK2389" s="342"/>
      <c r="BL2389" s="342"/>
      <c r="BM2389" s="342"/>
      <c r="BN2389" s="342"/>
      <c r="BO2389" s="342"/>
      <c r="BP2389" s="342"/>
      <c r="BQ2389" s="342"/>
      <c r="BR2389" s="342"/>
      <c r="BS2389" s="342"/>
      <c r="BT2389" s="342"/>
      <c r="BU2389" s="342"/>
      <c r="BV2389" s="342"/>
      <c r="BW2389" s="342"/>
      <c r="BX2389" s="342"/>
      <c r="BY2389" s="342"/>
      <c r="BZ2389" s="342"/>
      <c r="CA2389" s="342"/>
      <c r="CB2389" s="342"/>
      <c r="CC2389" s="342"/>
      <c r="CD2389" s="342"/>
      <c r="CE2389" s="342"/>
      <c r="CF2389" s="342"/>
      <c r="CG2389" s="342"/>
      <c r="CH2389" s="342"/>
      <c r="CI2389" s="342"/>
      <c r="CJ2389" s="342"/>
      <c r="CK2389" s="342"/>
      <c r="CL2389" s="342"/>
      <c r="CM2389" s="342"/>
      <c r="CN2389" s="342"/>
      <c r="CO2389" s="342"/>
      <c r="CP2389" s="342"/>
      <c r="CQ2389" s="342"/>
      <c r="CR2389" s="342"/>
      <c r="CS2389" s="342"/>
      <c r="CT2389" s="342"/>
      <c r="CU2389" s="342"/>
      <c r="CV2389" s="342"/>
      <c r="CW2389" s="342"/>
      <c r="CX2389" s="342"/>
      <c r="CY2389" s="342"/>
      <c r="CZ2389" s="342"/>
      <c r="DA2389" s="342"/>
      <c r="DB2389" s="342"/>
      <c r="DC2389" s="342"/>
      <c r="DD2389" s="342"/>
      <c r="DE2389" s="342"/>
      <c r="DF2389" s="342"/>
      <c r="DG2389" s="342"/>
      <c r="DH2389" s="342"/>
      <c r="DI2389" s="342"/>
      <c r="DJ2389" s="342"/>
      <c r="DK2389" s="342"/>
      <c r="DL2389" s="342"/>
    </row>
    <row r="2390">
      <c r="A2390" s="44">
        <v>2390.0</v>
      </c>
      <c r="B2390" s="129" t="s">
        <v>523</v>
      </c>
      <c r="C2390" s="62" t="s">
        <v>115</v>
      </c>
      <c r="D2390" s="62" t="s">
        <v>145</v>
      </c>
      <c r="F2390" s="68"/>
      <c r="G2390" s="68" t="s">
        <v>14403</v>
      </c>
      <c r="H2390" s="68" t="s">
        <v>12787</v>
      </c>
      <c r="I2390" s="529">
        <v>45713.0</v>
      </c>
      <c r="J2390" s="68"/>
      <c r="K2390" s="68"/>
      <c r="L2390" s="594" t="s">
        <v>14404</v>
      </c>
      <c r="M2390" s="594" t="s">
        <v>14405</v>
      </c>
      <c r="N2390" s="68" t="s">
        <v>12775</v>
      </c>
      <c r="O2390" s="336">
        <v>3.0</v>
      </c>
      <c r="P2390" s="68" t="s">
        <v>12776</v>
      </c>
      <c r="Q2390" s="52" t="str">
        <f t="array" ref="Q2390"> if(iserror(MATCH(V2390, 'File Links'!C:C, 0)), "N/A", HYPERLINK(INDEX('File Links'!B:B, MATCH(P2390, 'File Links'!C:C, 0))))</f>
        <v>https://drive.google.com/file/d/1LFgNyzLqTELlP9tfS2pwZ6Egg431WCHQ/view?usp=drivesdk</v>
      </c>
      <c r="R2390" s="68" t="s">
        <v>12777</v>
      </c>
      <c r="S2390" s="68" t="s">
        <v>12778</v>
      </c>
      <c r="T2390" s="68"/>
      <c r="U2390" s="68"/>
      <c r="V2390" s="68" t="s">
        <v>12779</v>
      </c>
      <c r="W2390" s="68" t="s">
        <v>2125</v>
      </c>
      <c r="X2390" s="54" t="str">
        <f t="array" ref="X2390"> if(iserror(MATCH(V2390, 'File Links'!C:C, 0)), "N/A", HYPERLINK(INDEX('File Links'!B:B, MATCH(V2390, 'File Links'!C:C, 0))))</f>
        <v>https://drive.google.com/file/d/1yu5hD1Fq1gaQ5iAk9Sy1oujO3qnlBxsm/view?usp=drivesdk</v>
      </c>
      <c r="Y2390" s="68"/>
      <c r="Z2390" s="68" t="s">
        <v>12737</v>
      </c>
      <c r="AA2390" s="68" t="s">
        <v>12780</v>
      </c>
      <c r="AB2390" s="68" t="s">
        <v>12791</v>
      </c>
      <c r="AC2390" s="68" t="s">
        <v>14406</v>
      </c>
      <c r="AD2390" s="68" t="s">
        <v>14407</v>
      </c>
      <c r="AE2390" s="336">
        <v>7.0</v>
      </c>
      <c r="AF2390" s="336">
        <v>72.0</v>
      </c>
      <c r="AG2390" s="129" t="s">
        <v>12784</v>
      </c>
      <c r="AH2390" s="68" t="s">
        <v>134</v>
      </c>
      <c r="AI2390" s="68" t="s">
        <v>132</v>
      </c>
      <c r="AJ2390" s="336">
        <v>0.091</v>
      </c>
      <c r="AK2390" s="68" t="s">
        <v>172</v>
      </c>
      <c r="AL2390" s="68" t="s">
        <v>136</v>
      </c>
      <c r="AM2390" s="68" t="s">
        <v>137</v>
      </c>
      <c r="AN2390" s="1370" t="s">
        <v>138</v>
      </c>
      <c r="AO2390" s="336">
        <v>391.0</v>
      </c>
      <c r="AP2390" s="129" t="s">
        <v>12785</v>
      </c>
      <c r="AQ2390" s="68" t="s">
        <v>134</v>
      </c>
      <c r="AR2390" s="68" t="s">
        <v>2229</v>
      </c>
      <c r="AS2390" s="336">
        <v>0.001</v>
      </c>
      <c r="AT2390" s="68" t="s">
        <v>172</v>
      </c>
      <c r="AU2390" s="68" t="s">
        <v>186</v>
      </c>
      <c r="AV2390" s="68" t="s">
        <v>137</v>
      </c>
      <c r="AW2390" s="435" t="s">
        <v>12786</v>
      </c>
      <c r="AX2390" s="68" t="s">
        <v>143</v>
      </c>
      <c r="AY2390" s="61" t="str">
        <f>IFERROR(__xludf.DUMMYFUNCTION("vlookup(BB2390,importrange(""https://docs.google.com/spreadsheets/d/1d2vevQ_7D_v35q4wCQ4RpQ_IPoTwEMB9Yp6ymwlPqew/edit?gid=984458430#gid=984458430"", ""'replication success'!A:K""), 11, FAlSE)"),"successful")</f>
        <v>successful</v>
      </c>
      <c r="AZ2390" s="61" t="str">
        <f>IFERROR(__xludf.DUMMYFUNCTION("vlookup(BB2390,importrange(""https://docs.google.com/spreadsheets/d/1d2vevQ_7D_v35q4wCQ4RpQ_IPoTwEMB9Yp6ymwlPqew/edit?gid=984458430#gid=984458430"", ""'replication success'!A:M""), 12, FAlSE)"),"Overall, compliance rates in our replication were similarly high as those Cialdini et al. (1975) found 45 years ago.")</f>
        <v>Overall, compliance rates in our replication were similarly high as those Cialdini et al. (1975) found 45 years ago.</v>
      </c>
      <c r="BA2390" s="61" t="str">
        <f>IFERROR(__xludf.DUMMYFUNCTION("vlookup(BB2390,importrange(""https://docs.google.com/spreadsheets/d/1d2vevQ_7D_v35q4wCQ4RpQ_IPoTwEMB9Yp6ymwlPqew/edit?gid=984458430#gid=984458430"", ""'replication success'!A:M""), 13, FAlSE)"),"abstract")</f>
        <v>abstract</v>
      </c>
      <c r="BB2390" s="61" t="str">
        <f>IFERROR(__xludf.DUMMYFUNCTION("REGEXREPLACE(G2390, ""_[a-z]{1,2}$"", """")"),"soscisubmission13")</f>
        <v>soscisubmission13</v>
      </c>
    </row>
    <row r="2391">
      <c r="A2391" s="44">
        <v>2391.0</v>
      </c>
      <c r="B2391" s="129" t="s">
        <v>523</v>
      </c>
      <c r="C2391" s="62" t="s">
        <v>115</v>
      </c>
      <c r="D2391" s="62" t="s">
        <v>145</v>
      </c>
      <c r="F2391" s="68"/>
      <c r="G2391" s="68" t="s">
        <v>14408</v>
      </c>
      <c r="H2391" s="68" t="s">
        <v>13055</v>
      </c>
      <c r="I2391" s="529">
        <v>45713.0</v>
      </c>
      <c r="J2391" s="862"/>
      <c r="K2391" s="68"/>
      <c r="L2391" s="68" t="s">
        <v>13063</v>
      </c>
      <c r="M2391" s="68" t="s">
        <v>13044</v>
      </c>
      <c r="N2391" s="68" t="s">
        <v>13045</v>
      </c>
      <c r="O2391" s="68" t="s">
        <v>13057</v>
      </c>
      <c r="P2391" s="68" t="s">
        <v>13047</v>
      </c>
      <c r="Q2391" s="52" t="str">
        <f t="array" ref="Q2391"> if(iserror(MATCH(V2391, 'File Links'!C:C, 0)), "N/A", HYPERLINK(INDEX('File Links'!B:B, MATCH(P2391, 'File Links'!C:C, 0))))</f>
        <v>https://drive.google.com/file/d/1OxFDVNyZI1frRjeq-YzZQaUFqgYur5QQ/view?usp=drivesdk</v>
      </c>
      <c r="R2391" s="68" t="s">
        <v>13048</v>
      </c>
      <c r="S2391" s="68" t="s">
        <v>13049</v>
      </c>
      <c r="T2391" s="68"/>
      <c r="U2391" s="68" t="s">
        <v>14409</v>
      </c>
      <c r="V2391" s="68" t="s">
        <v>13050</v>
      </c>
      <c r="W2391" s="68" t="s">
        <v>13058</v>
      </c>
      <c r="X2391" s="54" t="str">
        <f t="array" ref="X2391"> if(iserror(MATCH(V2391, 'File Links'!C:C, 0)), "N/A", HYPERLINK(INDEX('File Links'!B:B, MATCH(V2391, 'File Links'!C:C, 0))))</f>
        <v>https://drive.google.com/file/d/1Xoam7f13E5M2EddKf56QMnzGorZg_Rlu/view?usp=drivesdk</v>
      </c>
      <c r="Y2391" s="68"/>
      <c r="Z2391" s="68" t="s">
        <v>226</v>
      </c>
      <c r="AA2391" s="68" t="s">
        <v>13059</v>
      </c>
      <c r="AB2391" s="68" t="s">
        <v>13060</v>
      </c>
      <c r="AC2391" s="68" t="s">
        <v>13064</v>
      </c>
      <c r="AD2391" s="68"/>
      <c r="AE2391" s="68" t="s">
        <v>5747</v>
      </c>
      <c r="AF2391" s="336">
        <v>601.0</v>
      </c>
      <c r="AG2391" s="336">
        <v>0.35</v>
      </c>
      <c r="AH2391" s="68" t="s">
        <v>173</v>
      </c>
      <c r="AI2391" s="68" t="s">
        <v>14410</v>
      </c>
      <c r="AJ2391" s="336">
        <v>0.001</v>
      </c>
      <c r="AK2391" s="68" t="s">
        <v>135</v>
      </c>
      <c r="AL2391" s="68" t="s">
        <v>186</v>
      </c>
      <c r="AM2391" s="68" t="s">
        <v>137</v>
      </c>
      <c r="AN2391" s="1370" t="s">
        <v>138</v>
      </c>
      <c r="AO2391" s="336">
        <v>446.0</v>
      </c>
      <c r="AP2391" s="336">
        <v>0.365</v>
      </c>
      <c r="AQ2391" s="68" t="s">
        <v>173</v>
      </c>
      <c r="AR2391" s="68" t="s">
        <v>305</v>
      </c>
      <c r="AS2391" s="336">
        <v>0.001</v>
      </c>
      <c r="AT2391" s="68" t="s">
        <v>135</v>
      </c>
      <c r="AU2391" s="68" t="s">
        <v>186</v>
      </c>
      <c r="AV2391" s="68" t="s">
        <v>137</v>
      </c>
      <c r="AW2391" s="68" t="s">
        <v>1535</v>
      </c>
      <c r="AX2391" s="68" t="s">
        <v>438</v>
      </c>
      <c r="AY2391" s="61" t="str">
        <f>IFERROR(__xludf.DUMMYFUNCTION("vlookup(BB2391,importrange(""https://docs.google.com/spreadsheets/d/1d2vevQ_7D_v35q4wCQ4RpQ_IPoTwEMB9Yp6ymwlPqew/edit?gid=984458430#gid=984458430"", ""'replication success'!A:K""), 11, FAlSE)"),"successful")</f>
        <v>successful</v>
      </c>
      <c r="AZ2391" s="61" t="str">
        <f>IFERROR(__xludf.DUMMYFUNCTION("vlookup(BB2391,importrange(""https://docs.google.com/spreadsheets/d/1d2vevQ_7D_v35q4wCQ4RpQ_IPoTwEMB9Yp6ymwlPqew/edit?gid=984458430#gid=984458430"",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391" s="61" t="str">
        <f>IFERROR(__xludf.DUMMYFUNCTION("vlookup(BB2391,importrange(""https://docs.google.com/spreadsheets/d/1d2vevQ_7D_v35q4wCQ4RpQ_IPoTwEMB9Yp6ymwlPqew/edit?gid=984458430#gid=984458430"", ""'replication success'!A:M""), 13, FAlSE)"),"pg. 9")</f>
        <v>pg. 9</v>
      </c>
      <c r="BB2391" s="61" t="str">
        <f>IFERROR(__xludf.DUMMYFUNCTION("REGEXREPLACE(G2391, ""_[a-z]{1,2}$"", """")"),"soscisubmission41")</f>
        <v>soscisubmission41</v>
      </c>
      <c r="BE2391" s="342"/>
      <c r="BF2391" s="342"/>
      <c r="BG2391" s="342"/>
      <c r="BH2391" s="342"/>
      <c r="BI2391" s="342"/>
      <c r="BJ2391" s="342"/>
      <c r="BK2391" s="342"/>
      <c r="BL2391" s="342"/>
      <c r="BM2391" s="342"/>
      <c r="BN2391" s="342"/>
      <c r="BO2391" s="342"/>
      <c r="BP2391" s="342"/>
      <c r="BQ2391" s="342"/>
      <c r="BR2391" s="342"/>
      <c r="BS2391" s="342"/>
      <c r="BT2391" s="342"/>
      <c r="BU2391" s="342"/>
      <c r="BV2391" s="342"/>
      <c r="BW2391" s="342"/>
      <c r="BX2391" s="342"/>
      <c r="BY2391" s="342"/>
      <c r="BZ2391" s="342"/>
      <c r="CA2391" s="342"/>
      <c r="CB2391" s="342"/>
      <c r="CC2391" s="342"/>
      <c r="CD2391" s="342"/>
      <c r="CE2391" s="342"/>
      <c r="CF2391" s="342"/>
      <c r="CG2391" s="342"/>
      <c r="CH2391" s="342"/>
      <c r="CI2391" s="342"/>
      <c r="CJ2391" s="342"/>
      <c r="CK2391" s="342"/>
      <c r="CL2391" s="342"/>
      <c r="CM2391" s="342"/>
      <c r="CN2391" s="342"/>
      <c r="CO2391" s="342"/>
      <c r="CP2391" s="342"/>
      <c r="CQ2391" s="342"/>
      <c r="CR2391" s="342"/>
      <c r="CS2391" s="342"/>
      <c r="CT2391" s="342"/>
      <c r="CU2391" s="342"/>
      <c r="CV2391" s="342"/>
      <c r="CW2391" s="342"/>
      <c r="CX2391" s="342"/>
      <c r="CY2391" s="342"/>
      <c r="CZ2391" s="342"/>
      <c r="DA2391" s="342"/>
      <c r="DB2391" s="342"/>
      <c r="DC2391" s="342"/>
      <c r="DD2391" s="342"/>
      <c r="DE2391" s="342"/>
      <c r="DF2391" s="342"/>
      <c r="DG2391" s="342"/>
      <c r="DH2391" s="342"/>
      <c r="DI2391" s="342"/>
      <c r="DJ2391" s="342"/>
      <c r="DK2391" s="342"/>
      <c r="DL2391" s="342"/>
    </row>
    <row r="2392">
      <c r="A2392" s="44">
        <v>2392.0</v>
      </c>
      <c r="B2392" s="129" t="s">
        <v>523</v>
      </c>
      <c r="C2392" s="62" t="s">
        <v>115</v>
      </c>
      <c r="D2392" s="62" t="s">
        <v>145</v>
      </c>
      <c r="F2392" s="68"/>
      <c r="G2392" s="68" t="s">
        <v>14411</v>
      </c>
      <c r="H2392" s="68" t="s">
        <v>13055</v>
      </c>
      <c r="I2392" s="529">
        <v>45713.0</v>
      </c>
      <c r="J2392" s="862"/>
      <c r="K2392" s="68"/>
      <c r="L2392" s="68" t="s">
        <v>13066</v>
      </c>
      <c r="M2392" s="68" t="s">
        <v>13044</v>
      </c>
      <c r="N2392" s="68" t="s">
        <v>13045</v>
      </c>
      <c r="O2392" s="68" t="s">
        <v>13057</v>
      </c>
      <c r="P2392" s="68" t="s">
        <v>13047</v>
      </c>
      <c r="Q2392" s="52" t="str">
        <f t="array" ref="Q2392"> if(iserror(MATCH(V2392, 'File Links'!C:C, 0)), "N/A", HYPERLINK(INDEX('File Links'!B:B, MATCH(P2392, 'File Links'!C:C, 0))))</f>
        <v>https://drive.google.com/file/d/1OxFDVNyZI1frRjeq-YzZQaUFqgYur5QQ/view?usp=drivesdk</v>
      </c>
      <c r="R2392" s="68" t="s">
        <v>13048</v>
      </c>
      <c r="S2392" s="68" t="s">
        <v>13049</v>
      </c>
      <c r="T2392" s="68"/>
      <c r="U2392" s="68" t="s">
        <v>14409</v>
      </c>
      <c r="V2392" s="68" t="s">
        <v>13050</v>
      </c>
      <c r="W2392" s="68" t="s">
        <v>13058</v>
      </c>
      <c r="X2392" s="54" t="str">
        <f t="array" ref="X2392"> if(iserror(MATCH(V2392, 'File Links'!C:C, 0)), "N/A", HYPERLINK(INDEX('File Links'!B:B, MATCH(V2392, 'File Links'!C:C, 0))))</f>
        <v>https://drive.google.com/file/d/1Xoam7f13E5M2EddKf56QMnzGorZg_Rlu/view?usp=drivesdk</v>
      </c>
      <c r="Y2392" s="68"/>
      <c r="Z2392" s="68" t="s">
        <v>226</v>
      </c>
      <c r="AA2392" s="68" t="s">
        <v>13059</v>
      </c>
      <c r="AB2392" s="68" t="s">
        <v>13060</v>
      </c>
      <c r="AC2392" s="68" t="s">
        <v>13067</v>
      </c>
      <c r="AD2392" s="68"/>
      <c r="AE2392" s="68" t="s">
        <v>5747</v>
      </c>
      <c r="AF2392" s="336">
        <v>601.0</v>
      </c>
      <c r="AG2392" s="336">
        <v>0.44</v>
      </c>
      <c r="AH2392" s="68" t="s">
        <v>173</v>
      </c>
      <c r="AI2392" s="68" t="s">
        <v>14410</v>
      </c>
      <c r="AJ2392" s="336">
        <v>0.001</v>
      </c>
      <c r="AK2392" s="68" t="s">
        <v>135</v>
      </c>
      <c r="AL2392" s="68" t="s">
        <v>186</v>
      </c>
      <c r="AM2392" s="68" t="s">
        <v>137</v>
      </c>
      <c r="AN2392" s="1370" t="s">
        <v>138</v>
      </c>
      <c r="AO2392" s="336">
        <v>446.0</v>
      </c>
      <c r="AP2392" s="336">
        <v>0.409</v>
      </c>
      <c r="AQ2392" s="68" t="s">
        <v>173</v>
      </c>
      <c r="AR2392" s="68" t="s">
        <v>305</v>
      </c>
      <c r="AS2392" s="336">
        <v>0.001</v>
      </c>
      <c r="AT2392" s="68" t="s">
        <v>135</v>
      </c>
      <c r="AU2392" s="68" t="s">
        <v>186</v>
      </c>
      <c r="AV2392" s="68" t="s">
        <v>137</v>
      </c>
      <c r="AW2392" s="68" t="s">
        <v>1535</v>
      </c>
      <c r="AX2392" s="68" t="s">
        <v>438</v>
      </c>
      <c r="AY2392" s="61" t="str">
        <f>IFERROR(__xludf.DUMMYFUNCTION("vlookup(BB2392,importrange(""https://docs.google.com/spreadsheets/d/1d2vevQ_7D_v35q4wCQ4RpQ_IPoTwEMB9Yp6ymwlPqew/edit?gid=984458430#gid=984458430"", ""'replication success'!A:K""), 11, FAlSE)"),"successful")</f>
        <v>successful</v>
      </c>
      <c r="AZ2392" s="61" t="str">
        <f>IFERROR(__xludf.DUMMYFUNCTION("vlookup(BB2392,importrange(""https://docs.google.com/spreadsheets/d/1d2vevQ_7D_v35q4wCQ4RpQ_IPoTwEMB9Yp6ymwlPqew/edit?gid=984458430#gid=984458430"", ""'replication success'!A:M""), 12, FAlSE)"),"Study 2 replicated many of the findings in Vaughn’s
(2018) Study 1.")</f>
        <v>Study 2 replicated many of the findings in Vaughn’s
(2018) Study 1.</v>
      </c>
      <c r="BA2392" s="61" t="str">
        <f>IFERROR(__xludf.DUMMYFUNCTION("vlookup(BB2392,importrange(""https://docs.google.com/spreadsheets/d/1d2vevQ_7D_v35q4wCQ4RpQ_IPoTwEMB9Yp6ymwlPqew/edit?gid=984458430#gid=984458430"", ""'replication success'!A:M""), 13, FAlSE)"),"pg. 9")</f>
        <v>pg. 9</v>
      </c>
      <c r="BB2392" s="61" t="str">
        <f>IFERROR(__xludf.DUMMYFUNCTION("REGEXREPLACE(G2392, ""_[a-z]{1,2}$"", """")"),"soscisubmission41")</f>
        <v>soscisubmission41</v>
      </c>
      <c r="BE2392" s="1123"/>
      <c r="BF2392" s="1123"/>
      <c r="BG2392" s="1123"/>
      <c r="BH2392" s="1123"/>
      <c r="BI2392" s="1123"/>
      <c r="BJ2392" s="1123"/>
      <c r="BK2392" s="1123"/>
      <c r="BL2392" s="1123"/>
      <c r="BM2392" s="1123"/>
      <c r="BN2392" s="1123"/>
      <c r="BO2392" s="1123"/>
      <c r="BP2392" s="1123"/>
      <c r="BQ2392" s="1123"/>
      <c r="BR2392" s="1123"/>
      <c r="BS2392" s="1123"/>
      <c r="BT2392" s="1123"/>
      <c r="BU2392" s="1123"/>
      <c r="BV2392" s="1123"/>
      <c r="BW2392" s="1123"/>
      <c r="BX2392" s="1123"/>
      <c r="BY2392" s="1123"/>
      <c r="BZ2392" s="1123"/>
      <c r="CA2392" s="1123"/>
      <c r="CB2392" s="1123"/>
      <c r="CC2392" s="1123"/>
      <c r="CD2392" s="1123"/>
      <c r="CE2392" s="1123"/>
      <c r="CF2392" s="1123"/>
      <c r="CG2392" s="1123"/>
      <c r="CH2392" s="1123"/>
      <c r="CI2392" s="1123"/>
      <c r="CJ2392" s="1123"/>
      <c r="CK2392" s="1123"/>
      <c r="CL2392" s="1123"/>
      <c r="CM2392" s="1123"/>
      <c r="CN2392" s="1123"/>
      <c r="CO2392" s="1123"/>
      <c r="CP2392" s="1123"/>
      <c r="CQ2392" s="1123"/>
      <c r="CR2392" s="1123"/>
      <c r="CS2392" s="1123"/>
      <c r="CT2392" s="1123"/>
      <c r="CU2392" s="1123"/>
      <c r="CV2392" s="1123"/>
      <c r="CW2392" s="1123"/>
      <c r="CX2392" s="1123"/>
      <c r="CY2392" s="1123"/>
      <c r="CZ2392" s="1123"/>
      <c r="DA2392" s="1123"/>
      <c r="DB2392" s="1123"/>
      <c r="DC2392" s="1123"/>
      <c r="DD2392" s="1123"/>
      <c r="DE2392" s="1123"/>
      <c r="DF2392" s="1123"/>
      <c r="DG2392" s="1123"/>
      <c r="DH2392" s="1123"/>
      <c r="DI2392" s="1123"/>
      <c r="DJ2392" s="1123"/>
      <c r="DK2392" s="1123"/>
      <c r="DL2392" s="1123"/>
    </row>
    <row r="2393">
      <c r="A2393" s="44">
        <v>2393.0</v>
      </c>
      <c r="B2393" s="129" t="s">
        <v>523</v>
      </c>
      <c r="C2393" s="62" t="s">
        <v>115</v>
      </c>
      <c r="D2393" s="62" t="s">
        <v>145</v>
      </c>
      <c r="F2393" s="68"/>
      <c r="G2393" s="68" t="s">
        <v>14412</v>
      </c>
      <c r="H2393" s="68" t="s">
        <v>12763</v>
      </c>
      <c r="I2393" s="529">
        <v>45713.0</v>
      </c>
      <c r="J2393" s="68"/>
      <c r="K2393" s="129" t="s">
        <v>12764</v>
      </c>
      <c r="L2393" s="68"/>
      <c r="M2393" s="594" t="s">
        <v>14413</v>
      </c>
      <c r="N2393" s="68" t="s">
        <v>12752</v>
      </c>
      <c r="O2393" s="336">
        <v>1.0</v>
      </c>
      <c r="P2393" s="68" t="s">
        <v>12753</v>
      </c>
      <c r="Q2393" s="108" t="str">
        <f t="array" ref="Q2393"> if(iserror(MATCH(V2393, 'File Links'!C:C, 0)), "N/A", HYPERLINK(INDEX('File Links'!B:B, MATCH(P2393, 'File Links'!C:C, 0))))</f>
        <v>N/A</v>
      </c>
      <c r="R2393" s="68" t="s">
        <v>12754</v>
      </c>
      <c r="S2393" s="68" t="s">
        <v>12755</v>
      </c>
      <c r="T2393" s="435" t="s">
        <v>12756</v>
      </c>
      <c r="U2393" s="68"/>
      <c r="V2393" s="68" t="s">
        <v>12757</v>
      </c>
      <c r="W2393" s="68"/>
      <c r="X2393" s="49" t="str">
        <f t="array" ref="X2393"> if(iserror(MATCH(V2393, 'File Links'!C:C, 0)), "N/A", HYPERLINK(INDEX('File Links'!B:B, MATCH(V2393, 'File Links'!C:C, 0))))</f>
        <v>N/A</v>
      </c>
      <c r="Y2393" s="68" t="s">
        <v>12766</v>
      </c>
      <c r="Z2393" s="68" t="s">
        <v>226</v>
      </c>
      <c r="AA2393" s="68" t="s">
        <v>1535</v>
      </c>
      <c r="AB2393" s="68" t="s">
        <v>12767</v>
      </c>
      <c r="AC2393" s="68" t="s">
        <v>14414</v>
      </c>
      <c r="AD2393" s="68"/>
      <c r="AE2393" s="68"/>
      <c r="AF2393" s="336">
        <v>110.0</v>
      </c>
      <c r="AG2393" s="336">
        <v>0.81</v>
      </c>
      <c r="AH2393" s="68" t="s">
        <v>173</v>
      </c>
      <c r="AI2393" s="68"/>
      <c r="AJ2393" s="68"/>
      <c r="AK2393" s="68"/>
      <c r="AL2393" s="68"/>
      <c r="AM2393" s="68"/>
      <c r="AN2393" s="435" t="s">
        <v>12769</v>
      </c>
      <c r="AO2393" s="336">
        <v>277.0</v>
      </c>
      <c r="AP2393" s="336">
        <v>0.82</v>
      </c>
      <c r="AQ2393" s="68" t="s">
        <v>173</v>
      </c>
      <c r="AR2393" s="68"/>
      <c r="AS2393" s="68"/>
      <c r="AT2393" s="68"/>
      <c r="AU2393" s="68" t="s">
        <v>186</v>
      </c>
      <c r="AV2393" s="68" t="s">
        <v>137</v>
      </c>
      <c r="AW2393" s="68" t="s">
        <v>1535</v>
      </c>
      <c r="AX2393" s="68" t="s">
        <v>143</v>
      </c>
      <c r="AY2393" s="61" t="str">
        <f>IFERROR(__xludf.DUMMYFUNCTION("vlookup(BB2393,importrange(""https://docs.google.com/spreadsheets/d/1d2vevQ_7D_v35q4wCQ4RpQ_IPoTwEMB9Yp6ymwlPqew/edit?gid=984458430#gid=984458430"", ""'replication success'!A:K""), 11, FAlSE)"),"#N/A")</f>
        <v>#N/A</v>
      </c>
      <c r="AZ2393" s="61" t="str">
        <f>IFERROR(__xludf.DUMMYFUNCTION("vlookup(BB2393,importrange(""https://docs.google.com/spreadsheets/d/1d2vevQ_7D_v35q4wCQ4RpQ_IPoTwEMB9Yp6ymwlPqew/edit?gid=984458430#gid=984458430"", ""'replication success'!A:M""), 12, FAlSE)"),"#N/A")</f>
        <v>#N/A</v>
      </c>
      <c r="BA2393" s="61" t="str">
        <f>IFERROR(__xludf.DUMMYFUNCTION("vlookup(BB2393,importrange(""https://docs.google.com/spreadsheets/d/1d2vevQ_7D_v35q4wCQ4RpQ_IPoTwEMB9Yp6ymwlPqew/edit?gid=984458430#gid=984458430"", ""'replication success'!A:M""), 13, FAlSE)"),"#N/A")</f>
        <v>#N/A</v>
      </c>
      <c r="BB2393" s="61" t="str">
        <f>IFERROR(__xludf.DUMMYFUNCTION("REGEXREPLACE(G2393, ""_[a-z]{1,2}$"", """")"),"soscisubmission11")</f>
        <v>soscisubmission11</v>
      </c>
      <c r="BE2393" s="342"/>
      <c r="BF2393" s="342"/>
      <c r="BG2393" s="342"/>
      <c r="BH2393" s="342"/>
      <c r="BI2393" s="342"/>
      <c r="BJ2393" s="342"/>
      <c r="BK2393" s="342"/>
      <c r="BL2393" s="342"/>
      <c r="BM2393" s="342"/>
      <c r="BN2393" s="342"/>
      <c r="BO2393" s="342"/>
      <c r="BP2393" s="342"/>
      <c r="BQ2393" s="342"/>
      <c r="BR2393" s="342"/>
      <c r="BS2393" s="342"/>
      <c r="BT2393" s="342"/>
      <c r="BU2393" s="342"/>
      <c r="BV2393" s="342"/>
      <c r="BW2393" s="342"/>
      <c r="BX2393" s="342"/>
      <c r="BY2393" s="342"/>
      <c r="BZ2393" s="342"/>
      <c r="CA2393" s="342"/>
      <c r="CB2393" s="342"/>
      <c r="CC2393" s="342"/>
      <c r="CD2393" s="342"/>
      <c r="CE2393" s="342"/>
      <c r="CF2393" s="342"/>
      <c r="CG2393" s="342"/>
      <c r="CH2393" s="342"/>
      <c r="CI2393" s="342"/>
      <c r="CJ2393" s="342"/>
      <c r="CK2393" s="342"/>
      <c r="CL2393" s="342"/>
      <c r="CM2393" s="342"/>
      <c r="CN2393" s="342"/>
      <c r="CO2393" s="342"/>
      <c r="CP2393" s="342"/>
      <c r="CQ2393" s="342"/>
      <c r="CR2393" s="342"/>
      <c r="CS2393" s="342"/>
      <c r="CT2393" s="342"/>
      <c r="CU2393" s="342"/>
      <c r="CV2393" s="342"/>
      <c r="CW2393" s="342"/>
      <c r="CX2393" s="342"/>
      <c r="CY2393" s="342"/>
      <c r="CZ2393" s="342"/>
      <c r="DA2393" s="342"/>
      <c r="DB2393" s="342"/>
      <c r="DC2393" s="342"/>
      <c r="DD2393" s="342"/>
      <c r="DE2393" s="342"/>
      <c r="DF2393" s="342"/>
      <c r="DG2393" s="342"/>
      <c r="DH2393" s="342"/>
      <c r="DI2393" s="342"/>
      <c r="DJ2393" s="342"/>
      <c r="DK2393" s="342"/>
      <c r="DL2393" s="342"/>
    </row>
    <row r="2394">
      <c r="A2394" s="44">
        <v>2394.0</v>
      </c>
      <c r="B2394" s="129" t="s">
        <v>523</v>
      </c>
      <c r="C2394" s="62" t="s">
        <v>115</v>
      </c>
      <c r="D2394" s="62" t="s">
        <v>145</v>
      </c>
      <c r="F2394" s="68"/>
      <c r="G2394" s="68" t="s">
        <v>14415</v>
      </c>
      <c r="H2394" s="68" t="s">
        <v>14416</v>
      </c>
      <c r="I2394" s="529">
        <v>45713.0</v>
      </c>
      <c r="J2394" s="68"/>
      <c r="K2394" s="68"/>
      <c r="L2394" s="68"/>
      <c r="M2394" s="68" t="s">
        <v>13092</v>
      </c>
      <c r="N2394" s="68" t="s">
        <v>13093</v>
      </c>
      <c r="O2394" s="336">
        <v>2.0</v>
      </c>
      <c r="P2394" s="68" t="s">
        <v>13094</v>
      </c>
      <c r="Q2394" s="108" t="str">
        <f t="array" ref="Q2394"> if(iserror(MATCH(V2394, 'File Links'!C:C, 0)), "N/A", HYPERLINK(INDEX('File Links'!B:B, MATCH(P2394, 'File Links'!C:C, 0))))</f>
        <v>N/A</v>
      </c>
      <c r="R2394" s="68" t="s">
        <v>13095</v>
      </c>
      <c r="S2394" s="68" t="s">
        <v>138</v>
      </c>
      <c r="T2394" s="435" t="s">
        <v>13096</v>
      </c>
      <c r="U2394" s="68"/>
      <c r="V2394" s="68" t="s">
        <v>8467</v>
      </c>
      <c r="W2394" s="68" t="s">
        <v>209</v>
      </c>
      <c r="X2394" s="49" t="str">
        <f t="array" ref="X2394"> if(iserror(MATCH(V2394, 'File Links'!C:C, 0)), "N/A", HYPERLINK(INDEX('File Links'!B:B, MATCH(V2394, 'File Links'!C:C, 0))))</f>
        <v>N/A</v>
      </c>
      <c r="Y2394" s="68"/>
      <c r="Z2394" s="68" t="s">
        <v>226</v>
      </c>
      <c r="AA2394" s="68" t="s">
        <v>13104</v>
      </c>
      <c r="AB2394" s="68" t="s">
        <v>13105</v>
      </c>
      <c r="AC2394" s="68" t="s">
        <v>14417</v>
      </c>
      <c r="AD2394" s="68" t="s">
        <v>14418</v>
      </c>
      <c r="AE2394" s="336">
        <v>6.0</v>
      </c>
      <c r="AF2394" s="336">
        <v>34.0</v>
      </c>
      <c r="AG2394" s="336">
        <v>0.57</v>
      </c>
      <c r="AH2394" s="68" t="s">
        <v>139</v>
      </c>
      <c r="AI2394" s="68" t="s">
        <v>140</v>
      </c>
      <c r="AJ2394" s="336">
        <v>0.01</v>
      </c>
      <c r="AK2394" s="68" t="s">
        <v>135</v>
      </c>
      <c r="AL2394" s="68" t="s">
        <v>186</v>
      </c>
      <c r="AM2394" s="68" t="s">
        <v>137</v>
      </c>
      <c r="AN2394" s="1370" t="s">
        <v>138</v>
      </c>
      <c r="AO2394" s="336">
        <v>147.0</v>
      </c>
      <c r="AP2394" s="336">
        <v>0.03</v>
      </c>
      <c r="AQ2394" s="68" t="s">
        <v>139</v>
      </c>
      <c r="AR2394" s="435" t="s">
        <v>13100</v>
      </c>
      <c r="AS2394" s="336">
        <v>0.015</v>
      </c>
      <c r="AT2394" s="68" t="s">
        <v>172</v>
      </c>
      <c r="AU2394" s="68" t="s">
        <v>186</v>
      </c>
      <c r="AV2394" s="68" t="s">
        <v>137</v>
      </c>
      <c r="AW2394" s="435" t="s">
        <v>13101</v>
      </c>
      <c r="AX2394" s="68" t="s">
        <v>143</v>
      </c>
      <c r="AY2394" s="61" t="str">
        <f>IFERROR(__xludf.DUMMYFUNCTION("vlookup(BB2394,importrange(""https://docs.google.com/spreadsheets/d/1d2vevQ_7D_v35q4wCQ4RpQ_IPoTwEMB9Yp6ymwlPqew/edit?gid=984458430#gid=984458430"", ""'replication success'!A:K""), 11, FAlSE)"),"successful")</f>
        <v>successful</v>
      </c>
      <c r="AZ2394" s="61" t="str">
        <f>IFERROR(__xludf.DUMMYFUNCTION("vlookup(BB2394,importrange(""https://docs.google.com/spreadsheets/d/1d2vevQ_7D_v35q4wCQ4RpQ_IPoTwEMB9Yp6ymwlPqew/edit?gid=984458430#gid=984458430"", ""'replication success'!A:M""), 12, FAlSE)"),"In summary, we found significant evidence for bimodal Flanker effects, F(2, 292) = 83.94, p &lt; .001, np2 = .37, and a significant interaction of congruency and flanker modality, F(2, 292) = 4.28, p = .015, np2 = .03.")</f>
        <v>In summary, we found significant evidence for bimodal Flanker effects, F(2, 292) = 83.94, p &lt; .001, np2 = .37, and a significant interaction of congruency and flanker modality, F(2, 292) = 4.28, p = .015, np2 = .03.</v>
      </c>
      <c r="BA2394" s="61" t="str">
        <f>IFERROR(__xludf.DUMMYFUNCTION("vlookup(BB2394,importrange(""https://docs.google.com/spreadsheets/d/1d2vevQ_7D_v35q4wCQ4RpQ_IPoTwEMB9Yp6ymwlPqew/edit?gid=984458430#gid=984458430"", ""'replication success'!A:M""), 13, FAlSE)"),"abstract")</f>
        <v>abstract</v>
      </c>
      <c r="BB2394" s="61" t="str">
        <f>IFERROR(__xludf.DUMMYFUNCTION("REGEXREPLACE(G2394, ""_[a-z]{1,2}$"", """")"),"soscisubmission46")</f>
        <v>soscisubmission46</v>
      </c>
    </row>
    <row r="2395">
      <c r="A2395" s="44">
        <v>2395.0</v>
      </c>
      <c r="B2395" s="129" t="s">
        <v>523</v>
      </c>
      <c r="C2395" s="62" t="s">
        <v>115</v>
      </c>
      <c r="D2395" s="62" t="s">
        <v>1234</v>
      </c>
      <c r="F2395" s="68"/>
      <c r="G2395" s="159" t="s">
        <v>14419</v>
      </c>
      <c r="H2395" s="159" t="s">
        <v>7761</v>
      </c>
      <c r="I2395" s="1287" t="s">
        <v>14420</v>
      </c>
      <c r="J2395" s="159" t="s">
        <v>14420</v>
      </c>
      <c r="K2395" s="159" t="s">
        <v>138</v>
      </c>
      <c r="L2395" s="159" t="s">
        <v>7350</v>
      </c>
      <c r="M2395" s="151" t="s">
        <v>7825</v>
      </c>
      <c r="N2395" s="159" t="s">
        <v>7766</v>
      </c>
      <c r="O2395" s="156">
        <v>4.0</v>
      </c>
      <c r="P2395" s="382" t="s">
        <v>7767</v>
      </c>
      <c r="Q2395" s="52" t="str">
        <f t="array" ref="Q2395"> if(iserror(MATCH(V2395, 'File Links'!C:C, 0)), "N/A", HYPERLINK(INDEX('File Links'!B:B, MATCH(P2395, 'File Links'!C:C, 0))))</f>
        <v>https://drive.google.com/file/d/1w2KBBoT3U7JrwQsTrJduC-AS9fihTDq0/view?usp=drivesdk</v>
      </c>
      <c r="R2395" s="159" t="s">
        <v>7785</v>
      </c>
      <c r="S2395" s="159" t="s">
        <v>7786</v>
      </c>
      <c r="T2395" s="159" t="s">
        <v>138</v>
      </c>
      <c r="U2395" s="156">
        <v>4.0</v>
      </c>
      <c r="V2395" s="382" t="s">
        <v>7787</v>
      </c>
      <c r="W2395" s="159" t="s">
        <v>7788</v>
      </c>
      <c r="X2395" s="54" t="str">
        <f t="array" ref="X2395"> if(iserror(MATCH(V2395, 'File Links'!C:C, 0)), "N/A", HYPERLINK(INDEX('File Links'!B:B, MATCH(V2395, 'File Links'!C:C, 0))))</f>
        <v>https://drive.google.com/file/d/1G4tP3z0FT61HHKi1B51ImyPr28TywEAv/view?usp=drivesdk</v>
      </c>
      <c r="Y2395" s="159" t="s">
        <v>138</v>
      </c>
      <c r="Z2395" s="159" t="s">
        <v>226</v>
      </c>
      <c r="AA2395" s="159" t="s">
        <v>7771</v>
      </c>
      <c r="AB2395" s="159" t="s">
        <v>7789</v>
      </c>
      <c r="AC2395" s="159" t="s">
        <v>14421</v>
      </c>
      <c r="AD2395" s="159" t="s">
        <v>14422</v>
      </c>
      <c r="AE2395" s="156">
        <v>2.0</v>
      </c>
      <c r="AF2395" s="156">
        <v>45.0</v>
      </c>
      <c r="AG2395" s="156">
        <v>0.6814</v>
      </c>
      <c r="AH2395" s="159" t="s">
        <v>2805</v>
      </c>
      <c r="AI2395" s="159" t="s">
        <v>14423</v>
      </c>
      <c r="AJ2395" s="156">
        <v>0.025</v>
      </c>
      <c r="AK2395" s="159" t="s">
        <v>172</v>
      </c>
      <c r="AL2395" s="159" t="s">
        <v>186</v>
      </c>
      <c r="AM2395" s="159" t="s">
        <v>137</v>
      </c>
      <c r="AN2395" s="159" t="s">
        <v>138</v>
      </c>
      <c r="AO2395" s="156">
        <v>28.0</v>
      </c>
      <c r="AP2395" s="156">
        <v>0.2</v>
      </c>
      <c r="AQ2395" s="159" t="s">
        <v>7792</v>
      </c>
      <c r="AR2395" s="159" t="s">
        <v>13031</v>
      </c>
      <c r="AS2395" s="159" t="s">
        <v>138</v>
      </c>
      <c r="AT2395" s="159" t="s">
        <v>172</v>
      </c>
      <c r="AU2395" s="159" t="s">
        <v>186</v>
      </c>
      <c r="AV2395" s="159" t="s">
        <v>137</v>
      </c>
      <c r="AW2395" s="159" t="s">
        <v>138</v>
      </c>
      <c r="AX2395" s="159" t="s">
        <v>143</v>
      </c>
      <c r="AY2395" s="61" t="str">
        <f>IFERROR(__xludf.DUMMYFUNCTION("vlookup(BB2395,importrange(""https://docs.google.com/spreadsheets/d/1d2vevQ_7D_v35q4wCQ4RpQ_IPoTwEMB9Yp6ymwlPqew/edit?gid=984458430#gid=984458430"", ""'replication success'!A:K""), 11, FAlSE)"),"#N/A")</f>
        <v>#N/A</v>
      </c>
      <c r="AZ2395" s="61" t="str">
        <f>IFERROR(__xludf.DUMMYFUNCTION("vlookup(BB2395,importrange(""https://docs.google.com/spreadsheets/d/1d2vevQ_7D_v35q4wCQ4RpQ_IPoTwEMB9Yp6ymwlPqew/edit?gid=984458430#gid=984458430"", ""'replication success'!A:M""), 12, FAlSE)"),"#N/A")</f>
        <v>#N/A</v>
      </c>
      <c r="BA2395" s="61" t="str">
        <f>IFERROR(__xludf.DUMMYFUNCTION("vlookup(BB2395,importrange(""https://docs.google.com/spreadsheets/d/1d2vevQ_7D_v35q4wCQ4RpQ_IPoTwEMB9Yp6ymwlPqew/edit?gid=984458430#gid=984458430"", ""'replication success'!A:M""), 13, FAlSE)"),"#N/A")</f>
        <v>#N/A</v>
      </c>
      <c r="BB2395" s="61" t="str">
        <f>IFERROR(__xludf.DUMMYFUNCTION("REGEXREPLACE(G2395, ""_[a-z]{1,2}$"", """")"),"curatescience46")</f>
        <v>curatescience46</v>
      </c>
      <c r="BC2395" s="68"/>
      <c r="BE2395" s="342"/>
      <c r="BF2395" s="342"/>
      <c r="BG2395" s="342"/>
      <c r="BH2395" s="342"/>
      <c r="BI2395" s="342"/>
      <c r="BJ2395" s="342"/>
      <c r="BK2395" s="342"/>
      <c r="BL2395" s="342"/>
      <c r="BM2395" s="342"/>
      <c r="BN2395" s="342"/>
      <c r="BO2395" s="342"/>
      <c r="BP2395" s="342"/>
      <c r="BQ2395" s="342"/>
      <c r="BR2395" s="342"/>
      <c r="BS2395" s="342"/>
      <c r="BT2395" s="342"/>
      <c r="BU2395" s="342"/>
      <c r="BV2395" s="342"/>
      <c r="BW2395" s="342"/>
      <c r="BX2395" s="342"/>
      <c r="BY2395" s="342"/>
      <c r="BZ2395" s="342"/>
      <c r="CA2395" s="342"/>
      <c r="CB2395" s="342"/>
      <c r="CC2395" s="342"/>
      <c r="CD2395" s="342"/>
      <c r="CE2395" s="342"/>
      <c r="CF2395" s="342"/>
      <c r="CG2395" s="342"/>
      <c r="CH2395" s="342"/>
      <c r="CI2395" s="342"/>
      <c r="CJ2395" s="342"/>
      <c r="CK2395" s="342"/>
      <c r="CL2395" s="342"/>
      <c r="CM2395" s="342"/>
      <c r="CN2395" s="342"/>
      <c r="CO2395" s="342"/>
      <c r="CP2395" s="342"/>
      <c r="CQ2395" s="342"/>
      <c r="CR2395" s="342"/>
      <c r="CS2395" s="342"/>
      <c r="CT2395" s="342"/>
      <c r="CU2395" s="342"/>
      <c r="CV2395" s="342"/>
      <c r="CW2395" s="342"/>
      <c r="CX2395" s="342"/>
      <c r="CY2395" s="342"/>
      <c r="CZ2395" s="342"/>
      <c r="DA2395" s="342"/>
      <c r="DB2395" s="342"/>
      <c r="DC2395" s="342"/>
      <c r="DD2395" s="342"/>
      <c r="DE2395" s="342"/>
      <c r="DF2395" s="342"/>
      <c r="DG2395" s="342"/>
      <c r="DH2395" s="342"/>
      <c r="DI2395" s="342"/>
      <c r="DJ2395" s="342"/>
      <c r="DK2395" s="342"/>
      <c r="DL2395" s="342"/>
    </row>
    <row r="2396">
      <c r="A2396" s="44">
        <v>2396.0</v>
      </c>
      <c r="B2396" s="2084" t="s">
        <v>114</v>
      </c>
      <c r="C2396" s="287" t="s">
        <v>115</v>
      </c>
      <c r="D2396" s="287" t="s">
        <v>2630</v>
      </c>
      <c r="E2396" s="308"/>
      <c r="F2396" s="290" t="s">
        <v>14424</v>
      </c>
      <c r="G2396" s="290" t="s">
        <v>14425</v>
      </c>
      <c r="H2396" s="290" t="s">
        <v>14426</v>
      </c>
      <c r="I2396" s="2085" t="s">
        <v>14427</v>
      </c>
      <c r="J2396" s="1809">
        <v>45777.0</v>
      </c>
      <c r="K2396" s="305"/>
      <c r="L2396" s="295" t="s">
        <v>14428</v>
      </c>
      <c r="M2396" s="290" t="s">
        <v>14429</v>
      </c>
      <c r="N2396" s="290" t="s">
        <v>14430</v>
      </c>
      <c r="O2396" s="295">
        <v>2.0</v>
      </c>
      <c r="P2396" s="290" t="s">
        <v>14431</v>
      </c>
      <c r="Q2396" s="1816" t="str">
        <f t="array" ref="Q2396"> if(iserror(MATCH(V2396, 'File Links'!C:C, 0)), "N/A", HYPERLINK(INDEX('File Links'!B:B, MATCH(P2396, 'File Links'!C:C, 0))))</f>
        <v>https://drive.google.com/file/d/1yjVvr6RWduwEsSlj1T5hWk4kZsgSpX7e/view?usp=drivesdk</v>
      </c>
      <c r="R2396" s="290" t="s">
        <v>14432</v>
      </c>
      <c r="S2396" s="290" t="s">
        <v>14433</v>
      </c>
      <c r="T2396" s="305"/>
      <c r="U2396" s="295">
        <v>1.0</v>
      </c>
      <c r="V2396" s="290" t="s">
        <v>14434</v>
      </c>
      <c r="W2396" s="295" t="s">
        <v>209</v>
      </c>
      <c r="X2396" s="1817" t="str">
        <f t="array" ref="X2396"> if(iserror(MATCH(V2396, 'File Links'!C:C, 0)), "N/A", HYPERLINK(INDEX('File Links'!B:B, MATCH(V2396, 'File Links'!C:C, 0))))</f>
        <v>https://drive.google.com/file/d/17mZvRs3ue7pXwqu8bmIDvgNdc95PGEcV/view?usp=drivesdk</v>
      </c>
      <c r="Y2396" s="290" t="s">
        <v>138</v>
      </c>
      <c r="Z2396" s="290" t="s">
        <v>1079</v>
      </c>
      <c r="AA2396" s="290" t="s">
        <v>14435</v>
      </c>
      <c r="AB2396" s="290" t="s">
        <v>14436</v>
      </c>
      <c r="AC2396" s="380" t="s">
        <v>14437</v>
      </c>
      <c r="AD2396" s="290" t="s">
        <v>14438</v>
      </c>
      <c r="AE2396" s="1563">
        <v>30.0</v>
      </c>
      <c r="AF2396" s="1563">
        <v>595.0</v>
      </c>
      <c r="AG2396" s="1563">
        <v>0.25</v>
      </c>
      <c r="AH2396" s="290" t="s">
        <v>215</v>
      </c>
      <c r="AI2396" s="380" t="s">
        <v>14439</v>
      </c>
      <c r="AJ2396" s="378">
        <v>0.001</v>
      </c>
      <c r="AK2396" s="481" t="s">
        <v>135</v>
      </c>
      <c r="AL2396" s="481" t="s">
        <v>186</v>
      </c>
      <c r="AM2396" s="290" t="s">
        <v>137</v>
      </c>
      <c r="AN2396" s="290" t="s">
        <v>138</v>
      </c>
      <c r="AO2396" s="1563">
        <v>1550.0</v>
      </c>
      <c r="AP2396" s="2086">
        <v>0.19</v>
      </c>
      <c r="AQ2396" s="290" t="s">
        <v>215</v>
      </c>
      <c r="AR2396" s="290" t="s">
        <v>14440</v>
      </c>
      <c r="AS2396" s="1794" t="s">
        <v>138</v>
      </c>
      <c r="AT2396" s="1794" t="s">
        <v>138</v>
      </c>
      <c r="AU2396" s="68" t="s">
        <v>186</v>
      </c>
      <c r="AV2396" s="290" t="s">
        <v>137</v>
      </c>
      <c r="AW2396" s="306" t="s">
        <v>14441</v>
      </c>
      <c r="AX2396" s="290" t="s">
        <v>143</v>
      </c>
      <c r="AY2396" s="61" t="str">
        <f>IFERROR(__xludf.DUMMYFUNCTION("vlookup(BB2396,importrange(""https://docs.google.com/spreadsheets/d/1d2vevQ_7D_v35q4wCQ4RpQ_IPoTwEMB9Yp6ymwlPqew/edit?gid=984458430#gid=984458430"", ""'replication success'!A:K""), 11, FAlSE)"),"")</f>
        <v/>
      </c>
      <c r="AZ2396" s="61" t="str">
        <f>IFERROR(__xludf.DUMMYFUNCTION("vlookup(BB2396,importrange(""https://docs.google.com/spreadsheets/d/1d2vevQ_7D_v35q4wCQ4RpQ_IPoTwEMB9Yp6ymwlPqew/edit?gid=984458430#gid=984458430"", ""'replication success'!A:M""), 12, FAlSE)"),"")</f>
        <v/>
      </c>
      <c r="BA2396" s="61" t="str">
        <f>IFERROR(__xludf.DUMMYFUNCTION("vlookup(BB2396,importrange(""https://docs.google.com/spreadsheets/d/1d2vevQ_7D_v35q4wCQ4RpQ_IPoTwEMB9Yp6ymwlPqew/edit?gid=984458430#gid=984458430"", ""'replication success'!A:M""), 13, FAlSE)"),"abstract")</f>
        <v>abstract</v>
      </c>
      <c r="BB2396" s="61" t="str">
        <f>IFERROR(__xludf.DUMMYFUNCTION("REGEXREPLACE(G2396, ""_[a-z]{1,2}$"", """")"),"Soto")</f>
        <v>Soto</v>
      </c>
      <c r="BC2396" s="308"/>
      <c r="BD2396" s="287" t="s">
        <v>1270</v>
      </c>
      <c r="BE2396" s="308"/>
      <c r="BF2396" s="308"/>
      <c r="BG2396" s="308"/>
      <c r="BH2396" s="308"/>
      <c r="BI2396" s="308"/>
      <c r="BJ2396" s="308"/>
      <c r="BK2396" s="308"/>
      <c r="BL2396" s="308"/>
      <c r="BM2396" s="308"/>
      <c r="BN2396" s="308"/>
      <c r="BO2396" s="308"/>
      <c r="BP2396" s="308"/>
      <c r="BQ2396" s="308"/>
      <c r="BR2396" s="308"/>
      <c r="BS2396" s="308"/>
      <c r="BT2396" s="308"/>
      <c r="BU2396" s="308"/>
      <c r="BV2396" s="308"/>
      <c r="BW2396" s="308"/>
      <c r="BX2396" s="308"/>
      <c r="BY2396" s="308"/>
      <c r="BZ2396" s="308"/>
      <c r="CA2396" s="308"/>
      <c r="CB2396" s="308"/>
      <c r="CC2396" s="308"/>
      <c r="CD2396" s="308"/>
      <c r="CE2396" s="308"/>
      <c r="CF2396" s="308"/>
      <c r="CG2396" s="308"/>
      <c r="CH2396" s="308"/>
      <c r="CI2396" s="308"/>
      <c r="CJ2396" s="308"/>
      <c r="CK2396" s="308"/>
      <c r="CL2396" s="308"/>
      <c r="CM2396" s="308"/>
      <c r="CN2396" s="308"/>
      <c r="CO2396" s="308"/>
      <c r="CP2396" s="308"/>
      <c r="CQ2396" s="308"/>
      <c r="CR2396" s="308"/>
      <c r="CS2396" s="308"/>
      <c r="CT2396" s="308"/>
      <c r="CU2396" s="308"/>
      <c r="CV2396" s="308"/>
      <c r="CW2396" s="308"/>
      <c r="CX2396" s="308"/>
      <c r="CY2396" s="308"/>
      <c r="CZ2396" s="308"/>
      <c r="DA2396" s="308"/>
      <c r="DB2396" s="308"/>
      <c r="DC2396" s="308"/>
      <c r="DD2396" s="308"/>
      <c r="DE2396" s="308"/>
      <c r="DF2396" s="308"/>
      <c r="DG2396" s="308"/>
      <c r="DH2396" s="308"/>
      <c r="DI2396" s="308"/>
      <c r="DJ2396" s="308"/>
      <c r="DK2396" s="308"/>
      <c r="DL2396" s="308"/>
    </row>
    <row r="2397">
      <c r="A2397" s="44">
        <v>2397.0</v>
      </c>
      <c r="B2397" s="2084" t="s">
        <v>114</v>
      </c>
      <c r="C2397" s="62" t="s">
        <v>115</v>
      </c>
      <c r="D2397" s="62" t="s">
        <v>2630</v>
      </c>
      <c r="F2397" s="159" t="s">
        <v>14442</v>
      </c>
      <c r="G2397" s="159" t="s">
        <v>14425</v>
      </c>
      <c r="H2397" s="159" t="s">
        <v>14426</v>
      </c>
      <c r="I2397" s="1287" t="s">
        <v>14427</v>
      </c>
      <c r="J2397" s="153">
        <v>45807.0</v>
      </c>
      <c r="K2397" s="68"/>
      <c r="L2397" s="295" t="s">
        <v>14443</v>
      </c>
      <c r="M2397" s="159" t="s">
        <v>14429</v>
      </c>
      <c r="N2397" s="159" t="s">
        <v>14430</v>
      </c>
      <c r="O2397" s="129">
        <v>2.0</v>
      </c>
      <c r="P2397" s="382" t="s">
        <v>14431</v>
      </c>
      <c r="Q2397" s="52" t="str">
        <f t="array" ref="Q2397"> if(iserror(MATCH(V2397, 'File Links'!C:C, 0)), "N/A", HYPERLINK(INDEX('File Links'!B:B, MATCH(P2397, 'File Links'!C:C, 0))))</f>
        <v>https://drive.google.com/file/d/1yjVvr6RWduwEsSlj1T5hWk4kZsgSpX7e/view?usp=drivesdk</v>
      </c>
      <c r="R2397" s="159" t="s">
        <v>14432</v>
      </c>
      <c r="S2397" s="159" t="s">
        <v>14433</v>
      </c>
      <c r="T2397" s="68"/>
      <c r="U2397" s="129">
        <v>1.0</v>
      </c>
      <c r="V2397" s="382" t="s">
        <v>14434</v>
      </c>
      <c r="W2397" s="295" t="s">
        <v>209</v>
      </c>
      <c r="X2397" s="54" t="str">
        <f t="array" ref="X2397"> if(iserror(MATCH(V2397, 'File Links'!C:C, 0)), "N/A", HYPERLINK(INDEX('File Links'!B:B, MATCH(V2397, 'File Links'!C:C, 0))))</f>
        <v>https://drive.google.com/file/d/17mZvRs3ue7pXwqu8bmIDvgNdc95PGEcV/view?usp=drivesdk</v>
      </c>
      <c r="Y2397" s="159" t="s">
        <v>138</v>
      </c>
      <c r="Z2397" s="159" t="s">
        <v>1079</v>
      </c>
      <c r="AA2397" s="159" t="s">
        <v>14444</v>
      </c>
      <c r="AB2397" s="159" t="s">
        <v>14436</v>
      </c>
      <c r="AC2397" s="380" t="s">
        <v>14445</v>
      </c>
      <c r="AD2397" s="159" t="s">
        <v>14438</v>
      </c>
      <c r="AE2397" s="156">
        <v>30.0</v>
      </c>
      <c r="AF2397" s="156">
        <v>595.0</v>
      </c>
      <c r="AG2397" s="156">
        <v>0.21</v>
      </c>
      <c r="AH2397" s="159" t="s">
        <v>215</v>
      </c>
      <c r="AI2397" s="380" t="s">
        <v>14439</v>
      </c>
      <c r="AJ2397" s="378">
        <v>0.001</v>
      </c>
      <c r="AK2397" s="481" t="s">
        <v>135</v>
      </c>
      <c r="AL2397" s="481" t="s">
        <v>186</v>
      </c>
      <c r="AM2397" s="159" t="s">
        <v>137</v>
      </c>
      <c r="AN2397" s="159" t="s">
        <v>138</v>
      </c>
      <c r="AO2397" s="156">
        <v>1550.0</v>
      </c>
      <c r="AP2397" s="1528">
        <v>0.15</v>
      </c>
      <c r="AQ2397" s="159" t="s">
        <v>215</v>
      </c>
      <c r="AR2397" s="159" t="s">
        <v>14440</v>
      </c>
      <c r="AS2397" s="1794" t="s">
        <v>138</v>
      </c>
      <c r="AT2397" s="1794" t="s">
        <v>138</v>
      </c>
      <c r="AU2397" s="68" t="s">
        <v>186</v>
      </c>
      <c r="AV2397" s="159" t="s">
        <v>137</v>
      </c>
      <c r="AW2397" s="435" t="s">
        <v>14441</v>
      </c>
      <c r="AX2397" s="159" t="s">
        <v>143</v>
      </c>
      <c r="AY2397" s="61" t="str">
        <f>IFERROR(__xludf.DUMMYFUNCTION("vlookup(BB2397,importrange(""https://docs.google.com/spreadsheets/d/1d2vevQ_7D_v35q4wCQ4RpQ_IPoTwEMB9Yp6ymwlPqew/edit?gid=984458430#gid=984458430"", ""'replication success'!A:K""), 11, FAlSE)"),"")</f>
        <v/>
      </c>
      <c r="AZ2397" s="61" t="str">
        <f>IFERROR(__xludf.DUMMYFUNCTION("vlookup(BB2397,importrange(""https://docs.google.com/spreadsheets/d/1d2vevQ_7D_v35q4wCQ4RpQ_IPoTwEMB9Yp6ymwlPqew/edit?gid=984458430#gid=984458430"", ""'replication success'!A:M""), 12, FAlSE)"),"")</f>
        <v/>
      </c>
      <c r="BA2397" s="61" t="str">
        <f>IFERROR(__xludf.DUMMYFUNCTION("vlookup(BB2397,importrange(""https://docs.google.com/spreadsheets/d/1d2vevQ_7D_v35q4wCQ4RpQ_IPoTwEMB9Yp6ymwlPqew/edit?gid=984458430#gid=984458430"", ""'replication success'!A:M""), 13, FAlSE)"),"abstract")</f>
        <v>abstract</v>
      </c>
      <c r="BB2397" s="61" t="str">
        <f>IFERROR(__xludf.DUMMYFUNCTION("REGEXREPLACE(G2397, ""_[a-z]{1,2}$"", """")"),"Soto")</f>
        <v>Soto</v>
      </c>
      <c r="BD2397" s="287" t="s">
        <v>1270</v>
      </c>
    </row>
    <row r="2398">
      <c r="A2398" s="44">
        <v>2398.0</v>
      </c>
      <c r="B2398" s="2084" t="s">
        <v>114</v>
      </c>
      <c r="C2398" s="62" t="s">
        <v>115</v>
      </c>
      <c r="D2398" s="62" t="s">
        <v>2630</v>
      </c>
      <c r="F2398" s="68" t="s">
        <v>14446</v>
      </c>
      <c r="G2398" s="159" t="s">
        <v>14425</v>
      </c>
      <c r="H2398" s="159" t="s">
        <v>14426</v>
      </c>
      <c r="I2398" s="1287" t="s">
        <v>14427</v>
      </c>
      <c r="J2398" s="153">
        <v>45807.0</v>
      </c>
      <c r="K2398" s="68"/>
      <c r="L2398" s="129" t="s">
        <v>14447</v>
      </c>
      <c r="M2398" s="159" t="s">
        <v>14429</v>
      </c>
      <c r="N2398" s="159" t="s">
        <v>14430</v>
      </c>
      <c r="O2398" s="129">
        <v>2.0</v>
      </c>
      <c r="P2398" s="382" t="s">
        <v>14431</v>
      </c>
      <c r="Q2398" s="52" t="str">
        <f t="array" ref="Q2398"> if(iserror(MATCH(V2398, 'File Links'!C:C, 0)), "N/A", HYPERLINK(INDEX('File Links'!B:B, MATCH(P2398, 'File Links'!C:C, 0))))</f>
        <v>https://drive.google.com/file/d/1yjVvr6RWduwEsSlj1T5hWk4kZsgSpX7e/view?usp=drivesdk</v>
      </c>
      <c r="R2398" s="159" t="s">
        <v>14432</v>
      </c>
      <c r="S2398" s="159" t="s">
        <v>14433</v>
      </c>
      <c r="T2398" s="68"/>
      <c r="U2398" s="129">
        <v>1.0</v>
      </c>
      <c r="V2398" s="382" t="s">
        <v>14434</v>
      </c>
      <c r="W2398" s="295" t="s">
        <v>209</v>
      </c>
      <c r="X2398" s="54" t="str">
        <f t="array" ref="X2398"> if(iserror(MATCH(V2398, 'File Links'!C:C, 0)), "N/A", HYPERLINK(INDEX('File Links'!B:B, MATCH(V2398, 'File Links'!C:C, 0))))</f>
        <v>https://drive.google.com/file/d/17mZvRs3ue7pXwqu8bmIDvgNdc95PGEcV/view?usp=drivesdk</v>
      </c>
      <c r="Y2398" s="159" t="s">
        <v>138</v>
      </c>
      <c r="Z2398" s="159" t="s">
        <v>1079</v>
      </c>
      <c r="AA2398" s="159" t="s">
        <v>14448</v>
      </c>
      <c r="AB2398" s="159" t="s">
        <v>14436</v>
      </c>
      <c r="AC2398" s="159" t="s">
        <v>14449</v>
      </c>
      <c r="AD2398" s="151" t="s">
        <v>14450</v>
      </c>
      <c r="AE2398" s="156">
        <v>30.0</v>
      </c>
      <c r="AF2398" s="156">
        <v>595.0</v>
      </c>
      <c r="AG2398" s="156">
        <v>0.33</v>
      </c>
      <c r="AH2398" s="159" t="s">
        <v>215</v>
      </c>
      <c r="AI2398" s="380" t="s">
        <v>14439</v>
      </c>
      <c r="AJ2398" s="378">
        <v>0.001</v>
      </c>
      <c r="AK2398" s="481" t="s">
        <v>135</v>
      </c>
      <c r="AL2398" s="481" t="s">
        <v>186</v>
      </c>
      <c r="AM2398" s="159" t="s">
        <v>137</v>
      </c>
      <c r="AN2398" s="159" t="s">
        <v>138</v>
      </c>
      <c r="AO2398" s="156">
        <v>1550.0</v>
      </c>
      <c r="AP2398" s="1527">
        <v>0.2</v>
      </c>
      <c r="AQ2398" s="159" t="s">
        <v>215</v>
      </c>
      <c r="AR2398" s="159" t="s">
        <v>14440</v>
      </c>
      <c r="AS2398" s="1794" t="s">
        <v>138</v>
      </c>
      <c r="AT2398" s="1794" t="s">
        <v>138</v>
      </c>
      <c r="AU2398" s="68" t="s">
        <v>186</v>
      </c>
      <c r="AV2398" s="159" t="s">
        <v>137</v>
      </c>
      <c r="AW2398" s="435" t="s">
        <v>14441</v>
      </c>
      <c r="AX2398" s="159" t="s">
        <v>143</v>
      </c>
      <c r="AY2398" s="61" t="str">
        <f>IFERROR(__xludf.DUMMYFUNCTION("vlookup(BB2398,importrange(""https://docs.google.com/spreadsheets/d/1d2vevQ_7D_v35q4wCQ4RpQ_IPoTwEMB9Yp6ymwlPqew/edit?gid=984458430#gid=984458430"", ""'replication success'!A:K""), 11, FAlSE)"),"")</f>
        <v/>
      </c>
      <c r="AZ2398" s="61" t="str">
        <f>IFERROR(__xludf.DUMMYFUNCTION("vlookup(BB2398,importrange(""https://docs.google.com/spreadsheets/d/1d2vevQ_7D_v35q4wCQ4RpQ_IPoTwEMB9Yp6ymwlPqew/edit?gid=984458430#gid=984458430"", ""'replication success'!A:M""), 12, FAlSE)"),"")</f>
        <v/>
      </c>
      <c r="BA2398" s="61" t="str">
        <f>IFERROR(__xludf.DUMMYFUNCTION("vlookup(BB2398,importrange(""https://docs.google.com/spreadsheets/d/1d2vevQ_7D_v35q4wCQ4RpQ_IPoTwEMB9Yp6ymwlPqew/edit?gid=984458430#gid=984458430"", ""'replication success'!A:M""), 13, FAlSE)"),"abstract")</f>
        <v>abstract</v>
      </c>
      <c r="BB2398" s="61" t="str">
        <f>IFERROR(__xludf.DUMMYFUNCTION("REGEXREPLACE(G2398, ""_[a-z]{1,2}$"", """")"),"Soto")</f>
        <v>Soto</v>
      </c>
      <c r="BD2398" s="287" t="s">
        <v>1270</v>
      </c>
    </row>
    <row r="2399">
      <c r="A2399" s="44">
        <v>2399.0</v>
      </c>
      <c r="B2399" s="2084" t="s">
        <v>114</v>
      </c>
      <c r="C2399" s="62" t="s">
        <v>115</v>
      </c>
      <c r="D2399" s="62" t="s">
        <v>2630</v>
      </c>
      <c r="F2399" s="68" t="s">
        <v>14451</v>
      </c>
      <c r="G2399" s="159" t="s">
        <v>14425</v>
      </c>
      <c r="H2399" s="159" t="s">
        <v>14426</v>
      </c>
      <c r="I2399" s="1287" t="s">
        <v>14427</v>
      </c>
      <c r="J2399" s="153">
        <v>45807.0</v>
      </c>
      <c r="K2399" s="68"/>
      <c r="L2399" s="129" t="s">
        <v>14452</v>
      </c>
      <c r="M2399" s="159" t="s">
        <v>14429</v>
      </c>
      <c r="N2399" s="159" t="s">
        <v>14430</v>
      </c>
      <c r="O2399" s="129">
        <v>2.0</v>
      </c>
      <c r="P2399" s="382" t="s">
        <v>14431</v>
      </c>
      <c r="Q2399" s="52" t="str">
        <f t="array" ref="Q2399"> if(iserror(MATCH(V2399, 'File Links'!C:C, 0)), "N/A", HYPERLINK(INDEX('File Links'!B:B, MATCH(P2399, 'File Links'!C:C, 0))))</f>
        <v>https://drive.google.com/file/d/1yjVvr6RWduwEsSlj1T5hWk4kZsgSpX7e/view?usp=drivesdk</v>
      </c>
      <c r="R2399" s="159" t="s">
        <v>14432</v>
      </c>
      <c r="S2399" s="159" t="s">
        <v>14433</v>
      </c>
      <c r="T2399" s="68"/>
      <c r="U2399" s="129">
        <v>1.0</v>
      </c>
      <c r="V2399" s="382" t="s">
        <v>14434</v>
      </c>
      <c r="W2399" s="295" t="s">
        <v>209</v>
      </c>
      <c r="X2399" s="54" t="str">
        <f t="array" ref="X2399"> if(iserror(MATCH(V2399, 'File Links'!C:C, 0)), "N/A", HYPERLINK(INDEX('File Links'!B:B, MATCH(V2399, 'File Links'!C:C, 0))))</f>
        <v>https://drive.google.com/file/d/17mZvRs3ue7pXwqu8bmIDvgNdc95PGEcV/view?usp=drivesdk</v>
      </c>
      <c r="Y2399" s="159" t="s">
        <v>138</v>
      </c>
      <c r="Z2399" s="159" t="s">
        <v>1079</v>
      </c>
      <c r="AA2399" s="159" t="s">
        <v>14453</v>
      </c>
      <c r="AB2399" s="159" t="s">
        <v>14436</v>
      </c>
      <c r="AC2399" s="159" t="s">
        <v>14454</v>
      </c>
      <c r="AD2399" s="151" t="s">
        <v>14455</v>
      </c>
      <c r="AE2399" s="156">
        <v>33.0</v>
      </c>
      <c r="AF2399" s="156">
        <v>595.0</v>
      </c>
      <c r="AG2399" s="156">
        <v>0.32</v>
      </c>
      <c r="AH2399" s="159" t="s">
        <v>215</v>
      </c>
      <c r="AI2399" s="380" t="s">
        <v>14439</v>
      </c>
      <c r="AJ2399" s="378">
        <v>0.001</v>
      </c>
      <c r="AK2399" s="481" t="s">
        <v>135</v>
      </c>
      <c r="AL2399" s="481" t="s">
        <v>186</v>
      </c>
      <c r="AM2399" s="159" t="s">
        <v>137</v>
      </c>
      <c r="AN2399" s="159" t="s">
        <v>138</v>
      </c>
      <c r="AO2399" s="156">
        <v>1550.0</v>
      </c>
      <c r="AP2399" s="151">
        <v>0.37</v>
      </c>
      <c r="AQ2399" s="159" t="s">
        <v>215</v>
      </c>
      <c r="AR2399" s="159" t="s">
        <v>14440</v>
      </c>
      <c r="AS2399" s="1794" t="s">
        <v>138</v>
      </c>
      <c r="AT2399" s="1794" t="s">
        <v>138</v>
      </c>
      <c r="AU2399" s="68" t="s">
        <v>186</v>
      </c>
      <c r="AV2399" s="159" t="s">
        <v>137</v>
      </c>
      <c r="AW2399" s="435" t="s">
        <v>14441</v>
      </c>
      <c r="AX2399" s="159" t="s">
        <v>143</v>
      </c>
      <c r="AY2399" s="61" t="str">
        <f>IFERROR(__xludf.DUMMYFUNCTION("vlookup(BB2399,importrange(""https://docs.google.com/spreadsheets/d/1d2vevQ_7D_v35q4wCQ4RpQ_IPoTwEMB9Yp6ymwlPqew/edit?gid=984458430#gid=984458430"", ""'replication success'!A:K""), 11, FAlSE)"),"")</f>
        <v/>
      </c>
      <c r="AZ2399" s="61" t="str">
        <f>IFERROR(__xludf.DUMMYFUNCTION("vlookup(BB2399,importrange(""https://docs.google.com/spreadsheets/d/1d2vevQ_7D_v35q4wCQ4RpQ_IPoTwEMB9Yp6ymwlPqew/edit?gid=984458430#gid=984458430"", ""'replication success'!A:M""), 12, FAlSE)"),"")</f>
        <v/>
      </c>
      <c r="BA2399" s="61" t="str">
        <f>IFERROR(__xludf.DUMMYFUNCTION("vlookup(BB2399,importrange(""https://docs.google.com/spreadsheets/d/1d2vevQ_7D_v35q4wCQ4RpQ_IPoTwEMB9Yp6ymwlPqew/edit?gid=984458430#gid=984458430"", ""'replication success'!A:M""), 13, FAlSE)"),"abstract")</f>
        <v>abstract</v>
      </c>
      <c r="BB2399" s="61" t="str">
        <f>IFERROR(__xludf.DUMMYFUNCTION("REGEXREPLACE(G2399, ""_[a-z]{1,2}$"", """")"),"Soto")</f>
        <v>Soto</v>
      </c>
      <c r="BD2399" s="287" t="s">
        <v>1270</v>
      </c>
    </row>
    <row r="2400">
      <c r="A2400" s="44">
        <v>2400.0</v>
      </c>
      <c r="B2400" s="2084" t="s">
        <v>114</v>
      </c>
      <c r="C2400" s="62" t="s">
        <v>115</v>
      </c>
      <c r="D2400" s="62" t="s">
        <v>2630</v>
      </c>
      <c r="F2400" s="68" t="s">
        <v>14456</v>
      </c>
      <c r="G2400" s="159" t="s">
        <v>14425</v>
      </c>
      <c r="H2400" s="159" t="s">
        <v>14426</v>
      </c>
      <c r="I2400" s="1287" t="s">
        <v>14427</v>
      </c>
      <c r="J2400" s="153">
        <v>45807.0</v>
      </c>
      <c r="K2400" s="68"/>
      <c r="L2400" s="129" t="s">
        <v>14447</v>
      </c>
      <c r="M2400" s="159" t="s">
        <v>14429</v>
      </c>
      <c r="N2400" s="159" t="s">
        <v>14430</v>
      </c>
      <c r="O2400" s="129">
        <v>2.0</v>
      </c>
      <c r="P2400" s="382" t="s">
        <v>14431</v>
      </c>
      <c r="Q2400" s="52" t="str">
        <f t="array" ref="Q2400"> if(iserror(MATCH(V2400, 'File Links'!C:C, 0)), "N/A", HYPERLINK(INDEX('File Links'!B:B, MATCH(P2400, 'File Links'!C:C, 0))))</f>
        <v>https://drive.google.com/file/d/1yjVvr6RWduwEsSlj1T5hWk4kZsgSpX7e/view?usp=drivesdk</v>
      </c>
      <c r="R2400" s="159" t="s">
        <v>14432</v>
      </c>
      <c r="S2400" s="159" t="s">
        <v>14433</v>
      </c>
      <c r="T2400" s="68"/>
      <c r="U2400" s="129">
        <v>1.0</v>
      </c>
      <c r="V2400" s="382" t="s">
        <v>14434</v>
      </c>
      <c r="W2400" s="295" t="s">
        <v>209</v>
      </c>
      <c r="X2400" s="54" t="str">
        <f t="array" ref="X2400"> if(iserror(MATCH(V2400, 'File Links'!C:C, 0)), "N/A", HYPERLINK(INDEX('File Links'!B:B, MATCH(V2400, 'File Links'!C:C, 0))))</f>
        <v>https://drive.google.com/file/d/17mZvRs3ue7pXwqu8bmIDvgNdc95PGEcV/view?usp=drivesdk</v>
      </c>
      <c r="Y2400" s="159" t="s">
        <v>138</v>
      </c>
      <c r="Z2400" s="159" t="s">
        <v>1079</v>
      </c>
      <c r="AA2400" s="159" t="s">
        <v>14457</v>
      </c>
      <c r="AB2400" s="159" t="s">
        <v>14436</v>
      </c>
      <c r="AC2400" s="159" t="s">
        <v>14458</v>
      </c>
      <c r="AD2400" s="303" t="s">
        <v>14459</v>
      </c>
      <c r="AE2400" s="1563">
        <v>33.0</v>
      </c>
      <c r="AF2400" s="156">
        <v>595.0</v>
      </c>
      <c r="AG2400" s="156">
        <v>-0.66</v>
      </c>
      <c r="AH2400" s="159" t="s">
        <v>215</v>
      </c>
      <c r="AI2400" s="380" t="s">
        <v>14439</v>
      </c>
      <c r="AJ2400" s="378">
        <v>0.001</v>
      </c>
      <c r="AK2400" s="481" t="s">
        <v>135</v>
      </c>
      <c r="AL2400" s="481" t="s">
        <v>186</v>
      </c>
      <c r="AM2400" s="159" t="s">
        <v>137</v>
      </c>
      <c r="AN2400" s="159" t="s">
        <v>138</v>
      </c>
      <c r="AO2400" s="156">
        <v>1550.0</v>
      </c>
      <c r="AP2400" s="303">
        <v>-0.63</v>
      </c>
      <c r="AQ2400" s="159" t="s">
        <v>215</v>
      </c>
      <c r="AR2400" s="159" t="s">
        <v>14440</v>
      </c>
      <c r="AS2400" s="1794" t="s">
        <v>138</v>
      </c>
      <c r="AT2400" s="1794" t="s">
        <v>138</v>
      </c>
      <c r="AU2400" s="68" t="s">
        <v>186</v>
      </c>
      <c r="AV2400" s="159" t="s">
        <v>137</v>
      </c>
      <c r="AW2400" s="435" t="s">
        <v>14441</v>
      </c>
      <c r="AX2400" s="159" t="s">
        <v>143</v>
      </c>
      <c r="AY2400" s="61" t="str">
        <f>IFERROR(__xludf.DUMMYFUNCTION("vlookup(BB2400,importrange(""https://docs.google.com/spreadsheets/d/1d2vevQ_7D_v35q4wCQ4RpQ_IPoTwEMB9Yp6ymwlPqew/edit?gid=984458430#gid=984458430"", ""'replication success'!A:K""), 11, FAlSE)"),"")</f>
        <v/>
      </c>
      <c r="AZ2400" s="61" t="str">
        <f>IFERROR(__xludf.DUMMYFUNCTION("vlookup(BB2400,importrange(""https://docs.google.com/spreadsheets/d/1d2vevQ_7D_v35q4wCQ4RpQ_IPoTwEMB9Yp6ymwlPqew/edit?gid=984458430#gid=984458430"", ""'replication success'!A:M""), 12, FAlSE)"),"")</f>
        <v/>
      </c>
      <c r="BA2400" s="61" t="str">
        <f>IFERROR(__xludf.DUMMYFUNCTION("vlookup(BB2400,importrange(""https://docs.google.com/spreadsheets/d/1d2vevQ_7D_v35q4wCQ4RpQ_IPoTwEMB9Yp6ymwlPqew/edit?gid=984458430#gid=984458430"", ""'replication success'!A:M""), 13, FAlSE)"),"abstract")</f>
        <v>abstract</v>
      </c>
      <c r="BB2400" s="61" t="str">
        <f>IFERROR(__xludf.DUMMYFUNCTION("REGEXREPLACE(G2400, ""_[a-z]{1,2}$"", """")"),"Soto")</f>
        <v>Soto</v>
      </c>
      <c r="BD2400" s="287" t="s">
        <v>1270</v>
      </c>
    </row>
    <row r="2401">
      <c r="A2401" s="44">
        <v>2401.0</v>
      </c>
      <c r="B2401" s="295" t="s">
        <v>152</v>
      </c>
      <c r="C2401" s="287" t="s">
        <v>115</v>
      </c>
      <c r="D2401" s="287" t="s">
        <v>2630</v>
      </c>
      <c r="E2401" s="308"/>
      <c r="F2401" s="305" t="s">
        <v>14460</v>
      </c>
      <c r="G2401" s="290" t="s">
        <v>14425</v>
      </c>
      <c r="H2401" s="290" t="s">
        <v>14426</v>
      </c>
      <c r="I2401" s="2085" t="s">
        <v>14427</v>
      </c>
      <c r="J2401" s="153">
        <v>45807.0</v>
      </c>
      <c r="K2401" s="305"/>
      <c r="L2401" s="295" t="s">
        <v>14461</v>
      </c>
      <c r="M2401" s="290" t="s">
        <v>14462</v>
      </c>
      <c r="N2401" s="290" t="s">
        <v>14463</v>
      </c>
      <c r="O2401" s="295" t="s">
        <v>3580</v>
      </c>
      <c r="P2401" s="290" t="s">
        <v>14464</v>
      </c>
      <c r="Q2401" s="1816" t="str">
        <f t="array" ref="Q2401"> if(iserror(MATCH(V2401, 'File Links'!C:C, 0)), "N/A", HYPERLINK(INDEX('File Links'!B:B, MATCH(P2401, 'File Links'!C:C, 0))))</f>
        <v>https://drive.google.com/file/d/1bdWCubONzotNyzQtyNAEPIstDQkJSEwL/view?usp=drivesdk</v>
      </c>
      <c r="R2401" s="290" t="s">
        <v>14432</v>
      </c>
      <c r="S2401" s="290" t="s">
        <v>14433</v>
      </c>
      <c r="T2401" s="305"/>
      <c r="U2401" s="295">
        <v>1.0</v>
      </c>
      <c r="V2401" s="290" t="s">
        <v>14434</v>
      </c>
      <c r="W2401" s="295" t="s">
        <v>209</v>
      </c>
      <c r="X2401" s="1817" t="str">
        <f t="array" ref="X2401"> if(iserror(MATCH(V2401, 'File Links'!C:C, 0)), "N/A", HYPERLINK(INDEX('File Links'!B:B, MATCH(V2401, 'File Links'!C:C, 0))))</f>
        <v>https://drive.google.com/file/d/17mZvRs3ue7pXwqu8bmIDvgNdc95PGEcV/view?usp=drivesdk</v>
      </c>
      <c r="Y2401" s="290" t="s">
        <v>138</v>
      </c>
      <c r="Z2401" s="290" t="s">
        <v>1079</v>
      </c>
      <c r="AA2401" s="290" t="s">
        <v>14465</v>
      </c>
      <c r="AB2401" s="290" t="s">
        <v>14436</v>
      </c>
      <c r="AC2401" s="290" t="s">
        <v>14466</v>
      </c>
      <c r="AD2401" s="151" t="s">
        <v>14467</v>
      </c>
      <c r="AE2401" s="156">
        <v>7.0</v>
      </c>
      <c r="AF2401" s="1563">
        <v>152.0</v>
      </c>
      <c r="AG2401" s="2087">
        <v>0.2</v>
      </c>
      <c r="AH2401" s="290" t="s">
        <v>215</v>
      </c>
      <c r="AI2401" s="303" t="s">
        <v>14468</v>
      </c>
      <c r="AJ2401" s="1563">
        <v>0.05</v>
      </c>
      <c r="AK2401" s="290" t="s">
        <v>135</v>
      </c>
      <c r="AL2401" s="481" t="s">
        <v>186</v>
      </c>
      <c r="AM2401" s="290" t="s">
        <v>137</v>
      </c>
      <c r="AN2401" s="290" t="s">
        <v>138</v>
      </c>
      <c r="AO2401" s="1563">
        <v>1514.0</v>
      </c>
      <c r="AP2401" s="1563">
        <v>0.39</v>
      </c>
      <c r="AQ2401" s="290" t="s">
        <v>215</v>
      </c>
      <c r="AR2401" s="290" t="s">
        <v>14440</v>
      </c>
      <c r="AS2401" s="2088">
        <v>1.32505878875791E-42</v>
      </c>
      <c r="AT2401" s="1793" t="s">
        <v>172</v>
      </c>
      <c r="AU2401" s="290" t="s">
        <v>136</v>
      </c>
      <c r="AV2401" s="290" t="s">
        <v>137</v>
      </c>
      <c r="AW2401" s="306" t="s">
        <v>14441</v>
      </c>
      <c r="AX2401" s="290" t="s">
        <v>143</v>
      </c>
      <c r="AY2401" s="61" t="str">
        <f>IFERROR(__xludf.DUMMYFUNCTION("vlookup(BB2401,importrange(""https://docs.google.com/spreadsheets/d/1d2vevQ_7D_v35q4wCQ4RpQ_IPoTwEMB9Yp6ymwlPqew/edit?gid=984458430#gid=984458430"", ""'replication success'!A:K""), 11, FAlSE)"),"")</f>
        <v/>
      </c>
      <c r="AZ2401" s="61" t="str">
        <f>IFERROR(__xludf.DUMMYFUNCTION("vlookup(BB2401,importrange(""https://docs.google.com/spreadsheets/d/1d2vevQ_7D_v35q4wCQ4RpQ_IPoTwEMB9Yp6ymwlPqew/edit?gid=984458430#gid=984458430"", ""'replication success'!A:M""), 12, FAlSE)"),"")</f>
        <v/>
      </c>
      <c r="BA2401" s="61" t="str">
        <f>IFERROR(__xludf.DUMMYFUNCTION("vlookup(BB2401,importrange(""https://docs.google.com/spreadsheets/d/1d2vevQ_7D_v35q4wCQ4RpQ_IPoTwEMB9Yp6ymwlPqew/edit?gid=984458430#gid=984458430"", ""'replication success'!A:M""), 13, FAlSE)"),"abstract")</f>
        <v>abstract</v>
      </c>
      <c r="BB2401" s="61" t="str">
        <f>IFERROR(__xludf.DUMMYFUNCTION("REGEXREPLACE(G2401, ""_[a-z]{1,2}$"", """")"),"Soto")</f>
        <v>Soto</v>
      </c>
      <c r="BC2401" s="308"/>
      <c r="BD2401" s="287" t="s">
        <v>1270</v>
      </c>
      <c r="BE2401" s="308"/>
      <c r="BF2401" s="308"/>
      <c r="BG2401" s="308"/>
      <c r="BH2401" s="308"/>
      <c r="BI2401" s="308"/>
      <c r="BJ2401" s="308"/>
      <c r="BK2401" s="308"/>
      <c r="BL2401" s="308"/>
      <c r="BM2401" s="308"/>
      <c r="BN2401" s="308"/>
      <c r="BO2401" s="308"/>
      <c r="BP2401" s="308"/>
      <c r="BQ2401" s="308"/>
      <c r="BR2401" s="308"/>
      <c r="BS2401" s="308"/>
      <c r="BT2401" s="308"/>
      <c r="BU2401" s="308"/>
      <c r="BV2401" s="308"/>
      <c r="BW2401" s="308"/>
      <c r="BX2401" s="308"/>
      <c r="BY2401" s="308"/>
      <c r="BZ2401" s="308"/>
      <c r="CA2401" s="308"/>
      <c r="CB2401" s="308"/>
      <c r="CC2401" s="308"/>
      <c r="CD2401" s="308"/>
      <c r="CE2401" s="308"/>
      <c r="CF2401" s="308"/>
      <c r="CG2401" s="308"/>
      <c r="CH2401" s="308"/>
      <c r="CI2401" s="308"/>
      <c r="CJ2401" s="308"/>
      <c r="CK2401" s="308"/>
      <c r="CL2401" s="308"/>
      <c r="CM2401" s="308"/>
      <c r="CN2401" s="308"/>
      <c r="CO2401" s="308"/>
      <c r="CP2401" s="308"/>
      <c r="CQ2401" s="308"/>
      <c r="CR2401" s="308"/>
      <c r="CS2401" s="308"/>
      <c r="CT2401" s="308"/>
      <c r="CU2401" s="308"/>
      <c r="CV2401" s="308"/>
      <c r="CW2401" s="308"/>
      <c r="CX2401" s="308"/>
      <c r="CY2401" s="308"/>
      <c r="CZ2401" s="308"/>
      <c r="DA2401" s="308"/>
      <c r="DB2401" s="308"/>
      <c r="DC2401" s="308"/>
      <c r="DD2401" s="308"/>
      <c r="DE2401" s="308"/>
      <c r="DF2401" s="308"/>
      <c r="DG2401" s="308"/>
      <c r="DH2401" s="308"/>
      <c r="DI2401" s="308"/>
      <c r="DJ2401" s="308"/>
      <c r="DK2401" s="308"/>
      <c r="DL2401" s="308"/>
    </row>
    <row r="2402">
      <c r="A2402" s="44">
        <v>2402.0</v>
      </c>
      <c r="B2402" s="295" t="s">
        <v>152</v>
      </c>
      <c r="C2402" s="287" t="s">
        <v>115</v>
      </c>
      <c r="D2402" s="287" t="s">
        <v>2630</v>
      </c>
      <c r="E2402" s="308"/>
      <c r="F2402" s="305" t="s">
        <v>14469</v>
      </c>
      <c r="G2402" s="290" t="s">
        <v>14425</v>
      </c>
      <c r="H2402" s="290" t="s">
        <v>14426</v>
      </c>
      <c r="I2402" s="2085" t="s">
        <v>14427</v>
      </c>
      <c r="J2402" s="153">
        <v>45807.0</v>
      </c>
      <c r="K2402" s="305"/>
      <c r="L2402" s="295" t="s">
        <v>14461</v>
      </c>
      <c r="M2402" s="290" t="s">
        <v>14462</v>
      </c>
      <c r="N2402" s="290" t="s">
        <v>14463</v>
      </c>
      <c r="O2402" s="295" t="s">
        <v>3580</v>
      </c>
      <c r="P2402" s="290" t="s">
        <v>14464</v>
      </c>
      <c r="Q2402" s="1816" t="str">
        <f t="array" ref="Q2402"> if(iserror(MATCH(V2402, 'File Links'!C:C, 0)), "N/A", HYPERLINK(INDEX('File Links'!B:B, MATCH(P2402, 'File Links'!C:C, 0))))</f>
        <v>https://drive.google.com/file/d/1bdWCubONzotNyzQtyNAEPIstDQkJSEwL/view?usp=drivesdk</v>
      </c>
      <c r="R2402" s="290" t="s">
        <v>14432</v>
      </c>
      <c r="S2402" s="290" t="s">
        <v>14433</v>
      </c>
      <c r="T2402" s="305"/>
      <c r="U2402" s="295">
        <v>1.0</v>
      </c>
      <c r="V2402" s="290" t="s">
        <v>14434</v>
      </c>
      <c r="W2402" s="295" t="s">
        <v>209</v>
      </c>
      <c r="X2402" s="1817" t="str">
        <f t="array" ref="X2402"> if(iserror(MATCH(V2402, 'File Links'!C:C, 0)), "N/A", HYPERLINK(INDEX('File Links'!B:B, MATCH(V2402, 'File Links'!C:C, 0))))</f>
        <v>https://drive.google.com/file/d/17mZvRs3ue7pXwqu8bmIDvgNdc95PGEcV/view?usp=drivesdk</v>
      </c>
      <c r="Y2402" s="290" t="s">
        <v>138</v>
      </c>
      <c r="Z2402" s="290" t="s">
        <v>1079</v>
      </c>
      <c r="AA2402" s="290" t="s">
        <v>14470</v>
      </c>
      <c r="AB2402" s="290" t="s">
        <v>14436</v>
      </c>
      <c r="AC2402" s="290" t="s">
        <v>14471</v>
      </c>
      <c r="AD2402" s="159" t="s">
        <v>14472</v>
      </c>
      <c r="AE2402" s="156">
        <v>7.0</v>
      </c>
      <c r="AF2402" s="1563">
        <v>152.0</v>
      </c>
      <c r="AG2402" s="1563">
        <v>0.43</v>
      </c>
      <c r="AH2402" s="290" t="s">
        <v>215</v>
      </c>
      <c r="AI2402" s="303" t="s">
        <v>14468</v>
      </c>
      <c r="AJ2402" s="1563">
        <v>0.001</v>
      </c>
      <c r="AK2402" s="290" t="s">
        <v>135</v>
      </c>
      <c r="AL2402" s="481" t="s">
        <v>186</v>
      </c>
      <c r="AM2402" s="290" t="s">
        <v>137</v>
      </c>
      <c r="AN2402" s="290" t="s">
        <v>138</v>
      </c>
      <c r="AO2402" s="1563">
        <v>1514.0</v>
      </c>
      <c r="AP2402" s="1563">
        <v>0.35</v>
      </c>
      <c r="AQ2402" s="290" t="s">
        <v>215</v>
      </c>
      <c r="AR2402" s="290" t="s">
        <v>14440</v>
      </c>
      <c r="AS2402" s="2088">
        <v>3.19985052214498E-31</v>
      </c>
      <c r="AT2402" s="1793" t="s">
        <v>172</v>
      </c>
      <c r="AU2402" s="290" t="s">
        <v>136</v>
      </c>
      <c r="AV2402" s="290" t="s">
        <v>137</v>
      </c>
      <c r="AW2402" s="306" t="s">
        <v>14441</v>
      </c>
      <c r="AX2402" s="290" t="s">
        <v>143</v>
      </c>
      <c r="AY2402" s="61" t="str">
        <f>IFERROR(__xludf.DUMMYFUNCTION("vlookup(BB2402,importrange(""https://docs.google.com/spreadsheets/d/1d2vevQ_7D_v35q4wCQ4RpQ_IPoTwEMB9Yp6ymwlPqew/edit?gid=984458430#gid=984458430"", ""'replication success'!A:K""), 11, FAlSE)"),"")</f>
        <v/>
      </c>
      <c r="AZ2402" s="61" t="str">
        <f>IFERROR(__xludf.DUMMYFUNCTION("vlookup(BB2402,importrange(""https://docs.google.com/spreadsheets/d/1d2vevQ_7D_v35q4wCQ4RpQ_IPoTwEMB9Yp6ymwlPqew/edit?gid=984458430#gid=984458430"", ""'replication success'!A:M""), 12, FAlSE)"),"")</f>
        <v/>
      </c>
      <c r="BA2402" s="61" t="str">
        <f>IFERROR(__xludf.DUMMYFUNCTION("vlookup(BB2402,importrange(""https://docs.google.com/spreadsheets/d/1d2vevQ_7D_v35q4wCQ4RpQ_IPoTwEMB9Yp6ymwlPqew/edit?gid=984458430#gid=984458430"", ""'replication success'!A:M""), 13, FAlSE)"),"abstract")</f>
        <v>abstract</v>
      </c>
      <c r="BB2402" s="61" t="str">
        <f>IFERROR(__xludf.DUMMYFUNCTION("REGEXREPLACE(G2402, ""_[a-z]{1,2}$"", """")"),"Soto")</f>
        <v>Soto</v>
      </c>
      <c r="BC2402" s="308"/>
      <c r="BD2402" s="287" t="s">
        <v>1270</v>
      </c>
      <c r="BE2402" s="308"/>
      <c r="BF2402" s="308"/>
      <c r="BG2402" s="308"/>
      <c r="BH2402" s="308"/>
      <c r="BI2402" s="308"/>
      <c r="BJ2402" s="308"/>
      <c r="BK2402" s="308"/>
      <c r="BL2402" s="308"/>
      <c r="BM2402" s="308"/>
      <c r="BN2402" s="308"/>
      <c r="BO2402" s="308"/>
      <c r="BP2402" s="308"/>
      <c r="BQ2402" s="308"/>
      <c r="BR2402" s="308"/>
      <c r="BS2402" s="308"/>
      <c r="BT2402" s="308"/>
      <c r="BU2402" s="308"/>
      <c r="BV2402" s="308"/>
      <c r="BW2402" s="308"/>
      <c r="BX2402" s="308"/>
      <c r="BY2402" s="308"/>
      <c r="BZ2402" s="308"/>
      <c r="CA2402" s="308"/>
      <c r="CB2402" s="308"/>
      <c r="CC2402" s="308"/>
      <c r="CD2402" s="308"/>
      <c r="CE2402" s="308"/>
      <c r="CF2402" s="308"/>
      <c r="CG2402" s="308"/>
      <c r="CH2402" s="308"/>
      <c r="CI2402" s="308"/>
      <c r="CJ2402" s="308"/>
      <c r="CK2402" s="308"/>
      <c r="CL2402" s="308"/>
      <c r="CM2402" s="308"/>
      <c r="CN2402" s="308"/>
      <c r="CO2402" s="308"/>
      <c r="CP2402" s="308"/>
      <c r="CQ2402" s="308"/>
      <c r="CR2402" s="308"/>
      <c r="CS2402" s="308"/>
      <c r="CT2402" s="308"/>
      <c r="CU2402" s="308"/>
      <c r="CV2402" s="308"/>
      <c r="CW2402" s="308"/>
      <c r="CX2402" s="308"/>
      <c r="CY2402" s="308"/>
      <c r="CZ2402" s="308"/>
      <c r="DA2402" s="308"/>
      <c r="DB2402" s="308"/>
      <c r="DC2402" s="308"/>
      <c r="DD2402" s="308"/>
      <c r="DE2402" s="308"/>
      <c r="DF2402" s="308"/>
      <c r="DG2402" s="308"/>
      <c r="DH2402" s="308"/>
      <c r="DI2402" s="308"/>
      <c r="DJ2402" s="308"/>
      <c r="DK2402" s="308"/>
      <c r="DL2402" s="308"/>
    </row>
    <row r="2403">
      <c r="A2403" s="44">
        <v>2403.0</v>
      </c>
      <c r="B2403" s="129" t="s">
        <v>114</v>
      </c>
      <c r="C2403" s="62" t="s">
        <v>115</v>
      </c>
      <c r="D2403" s="62" t="s">
        <v>2630</v>
      </c>
      <c r="F2403" s="68" t="s">
        <v>14473</v>
      </c>
      <c r="G2403" s="159" t="s">
        <v>14425</v>
      </c>
      <c r="H2403" s="159" t="s">
        <v>14426</v>
      </c>
      <c r="I2403" s="1287" t="s">
        <v>14427</v>
      </c>
      <c r="J2403" s="153">
        <v>45807.0</v>
      </c>
      <c r="K2403" s="68"/>
      <c r="L2403" s="129" t="s">
        <v>14474</v>
      </c>
      <c r="M2403" s="159" t="s">
        <v>14475</v>
      </c>
      <c r="N2403" s="159" t="s">
        <v>14476</v>
      </c>
      <c r="O2403" s="156">
        <v>2.0</v>
      </c>
      <c r="P2403" s="382" t="s">
        <v>14477</v>
      </c>
      <c r="Q2403" s="52" t="str">
        <f t="array" ref="Q2403"> if(iserror(MATCH(V2403, 'File Links'!C:C, 0)), "N/A", HYPERLINK(INDEX('File Links'!B:B, MATCH(P2403, 'File Links'!C:C, 0))))</f>
        <v>https://drive.google.com/file/d/18vVvJw5Qn9GaYfqwRHjMPOAAO8-20yq0/view?usp=drivesdk</v>
      </c>
      <c r="R2403" s="159" t="s">
        <v>14432</v>
      </c>
      <c r="S2403" s="159" t="s">
        <v>14433</v>
      </c>
      <c r="T2403" s="68"/>
      <c r="U2403" s="68"/>
      <c r="V2403" s="382" t="s">
        <v>14434</v>
      </c>
      <c r="W2403" s="295" t="s">
        <v>209</v>
      </c>
      <c r="X2403" s="54" t="str">
        <f t="array" ref="X2403"> if(iserror(MATCH(V2403, 'File Links'!C:C, 0)), "N/A", HYPERLINK(INDEX('File Links'!B:B, MATCH(V2403, 'File Links'!C:C, 0))))</f>
        <v>https://drive.google.com/file/d/17mZvRs3ue7pXwqu8bmIDvgNdc95PGEcV/view?usp=drivesdk</v>
      </c>
      <c r="Y2403" s="151" t="s">
        <v>141</v>
      </c>
      <c r="Z2403" s="159" t="s">
        <v>1079</v>
      </c>
      <c r="AA2403" s="159" t="s">
        <v>14478</v>
      </c>
      <c r="AB2403" s="159" t="s">
        <v>14436</v>
      </c>
      <c r="AC2403" s="159" t="s">
        <v>14479</v>
      </c>
      <c r="AD2403" s="68"/>
      <c r="AE2403" s="68"/>
      <c r="AF2403" s="156">
        <v>169.0</v>
      </c>
      <c r="AG2403" s="496">
        <v>0.94</v>
      </c>
      <c r="AH2403" s="481" t="s">
        <v>173</v>
      </c>
      <c r="AI2403" s="481" t="s">
        <v>14480</v>
      </c>
      <c r="AJ2403" s="496">
        <v>0.001</v>
      </c>
      <c r="AK2403" s="481" t="s">
        <v>135</v>
      </c>
      <c r="AL2403" s="481" t="s">
        <v>136</v>
      </c>
      <c r="AM2403" s="159" t="s">
        <v>137</v>
      </c>
      <c r="AN2403" s="159" t="s">
        <v>138</v>
      </c>
      <c r="AO2403" s="156">
        <v>1550.0</v>
      </c>
      <c r="AP2403" s="156">
        <v>0.16</v>
      </c>
      <c r="AQ2403" s="159" t="s">
        <v>215</v>
      </c>
      <c r="AR2403" s="159" t="s">
        <v>14440</v>
      </c>
      <c r="AS2403" s="2089">
        <v>0.001</v>
      </c>
      <c r="AT2403" s="1792" t="s">
        <v>135</v>
      </c>
      <c r="AU2403" s="1792" t="s">
        <v>136</v>
      </c>
      <c r="AV2403" s="159" t="s">
        <v>137</v>
      </c>
      <c r="AW2403" s="435" t="s">
        <v>14441</v>
      </c>
      <c r="AX2403" s="159" t="s">
        <v>143</v>
      </c>
      <c r="AY2403" s="61" t="str">
        <f>IFERROR(__xludf.DUMMYFUNCTION("vlookup(BB2403,importrange(""https://docs.google.com/spreadsheets/d/1d2vevQ_7D_v35q4wCQ4RpQ_IPoTwEMB9Yp6ymwlPqew/edit?gid=984458430#gid=984458430"", ""'replication success'!A:K""), 11, FAlSE)"),"")</f>
        <v/>
      </c>
      <c r="AZ2403" s="61" t="str">
        <f>IFERROR(__xludf.DUMMYFUNCTION("vlookup(BB2403,importrange(""https://docs.google.com/spreadsheets/d/1d2vevQ_7D_v35q4wCQ4RpQ_IPoTwEMB9Yp6ymwlPqew/edit?gid=984458430#gid=984458430"", ""'replication success'!A:M""), 12, FAlSE)"),"")</f>
        <v/>
      </c>
      <c r="BA2403" s="61" t="str">
        <f>IFERROR(__xludf.DUMMYFUNCTION("vlookup(BB2403,importrange(""https://docs.google.com/spreadsheets/d/1d2vevQ_7D_v35q4wCQ4RpQ_IPoTwEMB9Yp6ymwlPqew/edit?gid=984458430#gid=984458430"", ""'replication success'!A:M""), 13, FAlSE)"),"abstract")</f>
        <v>abstract</v>
      </c>
      <c r="BB2403" s="61" t="str">
        <f>IFERROR(__xludf.DUMMYFUNCTION("REGEXREPLACE(G2403, ""_[a-z]{1,2}$"", """")"),"Soto")</f>
        <v>Soto</v>
      </c>
      <c r="BD2403" s="287" t="s">
        <v>1270</v>
      </c>
    </row>
    <row r="2404">
      <c r="A2404" s="44">
        <v>2404.0</v>
      </c>
      <c r="B2404" s="129" t="s">
        <v>114</v>
      </c>
      <c r="C2404" s="62" t="s">
        <v>115</v>
      </c>
      <c r="D2404" s="62" t="s">
        <v>2630</v>
      </c>
      <c r="F2404" s="68" t="s">
        <v>14481</v>
      </c>
      <c r="G2404" s="159" t="s">
        <v>14425</v>
      </c>
      <c r="H2404" s="159" t="s">
        <v>14426</v>
      </c>
      <c r="I2404" s="1287" t="s">
        <v>14427</v>
      </c>
      <c r="J2404" s="153">
        <v>45807.0</v>
      </c>
      <c r="K2404" s="68"/>
      <c r="L2404" s="129" t="s">
        <v>14474</v>
      </c>
      <c r="M2404" s="159" t="s">
        <v>14475</v>
      </c>
      <c r="N2404" s="159" t="s">
        <v>14476</v>
      </c>
      <c r="O2404" s="156">
        <v>2.0</v>
      </c>
      <c r="P2404" s="382" t="s">
        <v>14477</v>
      </c>
      <c r="Q2404" s="52" t="str">
        <f t="array" ref="Q2404"> if(iserror(MATCH(V2404, 'File Links'!C:C, 0)), "N/A", HYPERLINK(INDEX('File Links'!B:B, MATCH(P2404, 'File Links'!C:C, 0))))</f>
        <v>https://drive.google.com/file/d/18vVvJw5Qn9GaYfqwRHjMPOAAO8-20yq0/view?usp=drivesdk</v>
      </c>
      <c r="R2404" s="159" t="s">
        <v>14432</v>
      </c>
      <c r="S2404" s="159" t="s">
        <v>14433</v>
      </c>
      <c r="T2404" s="68"/>
      <c r="U2404" s="68"/>
      <c r="V2404" s="382" t="s">
        <v>14434</v>
      </c>
      <c r="W2404" s="295" t="s">
        <v>209</v>
      </c>
      <c r="X2404" s="54" t="str">
        <f t="array" ref="X2404"> if(iserror(MATCH(V2404, 'File Links'!C:C, 0)), "N/A", HYPERLINK(INDEX('File Links'!B:B, MATCH(V2404, 'File Links'!C:C, 0))))</f>
        <v>https://drive.google.com/file/d/17mZvRs3ue7pXwqu8bmIDvgNdc95PGEcV/view?usp=drivesdk</v>
      </c>
      <c r="Y2404" s="151" t="s">
        <v>141</v>
      </c>
      <c r="Z2404" s="159" t="s">
        <v>1079</v>
      </c>
      <c r="AA2404" s="159" t="s">
        <v>14482</v>
      </c>
      <c r="AB2404" s="159" t="s">
        <v>14436</v>
      </c>
      <c r="AC2404" s="159" t="s">
        <v>14483</v>
      </c>
      <c r="AD2404" s="68"/>
      <c r="AE2404" s="68"/>
      <c r="AF2404" s="156">
        <v>169.0</v>
      </c>
      <c r="AG2404" s="2090">
        <v>-1.42</v>
      </c>
      <c r="AH2404" s="481" t="s">
        <v>173</v>
      </c>
      <c r="AI2404" s="481" t="s">
        <v>14480</v>
      </c>
      <c r="AJ2404" s="496">
        <v>0.001</v>
      </c>
      <c r="AK2404" s="481" t="s">
        <v>135</v>
      </c>
      <c r="AL2404" s="481" t="s">
        <v>136</v>
      </c>
      <c r="AM2404" s="159" t="s">
        <v>137</v>
      </c>
      <c r="AN2404" s="159" t="s">
        <v>138</v>
      </c>
      <c r="AO2404" s="156">
        <v>1550.0</v>
      </c>
      <c r="AP2404" s="156">
        <v>-0.13</v>
      </c>
      <c r="AQ2404" s="159" t="s">
        <v>215</v>
      </c>
      <c r="AR2404" s="159" t="s">
        <v>14440</v>
      </c>
      <c r="AS2404" s="2089">
        <v>0.001</v>
      </c>
      <c r="AT2404" s="1792" t="s">
        <v>135</v>
      </c>
      <c r="AU2404" s="1792" t="s">
        <v>136</v>
      </c>
      <c r="AV2404" s="159" t="s">
        <v>137</v>
      </c>
      <c r="AW2404" s="435" t="s">
        <v>14441</v>
      </c>
      <c r="AX2404" s="159" t="s">
        <v>143</v>
      </c>
      <c r="AY2404" s="61" t="str">
        <f>IFERROR(__xludf.DUMMYFUNCTION("vlookup(BB2404,importrange(""https://docs.google.com/spreadsheets/d/1d2vevQ_7D_v35q4wCQ4RpQ_IPoTwEMB9Yp6ymwlPqew/edit?gid=984458430#gid=984458430"", ""'replication success'!A:K""), 11, FAlSE)"),"")</f>
        <v/>
      </c>
      <c r="AZ2404" s="61" t="str">
        <f>IFERROR(__xludf.DUMMYFUNCTION("vlookup(BB2404,importrange(""https://docs.google.com/spreadsheets/d/1d2vevQ_7D_v35q4wCQ4RpQ_IPoTwEMB9Yp6ymwlPqew/edit?gid=984458430#gid=984458430"", ""'replication success'!A:M""), 12, FAlSE)"),"")</f>
        <v/>
      </c>
      <c r="BA2404" s="61" t="str">
        <f>IFERROR(__xludf.DUMMYFUNCTION("vlookup(BB2404,importrange(""https://docs.google.com/spreadsheets/d/1d2vevQ_7D_v35q4wCQ4RpQ_IPoTwEMB9Yp6ymwlPqew/edit?gid=984458430#gid=984458430"", ""'replication success'!A:M""), 13, FAlSE)"),"abstract")</f>
        <v>abstract</v>
      </c>
      <c r="BB2404" s="61" t="str">
        <f>IFERROR(__xludf.DUMMYFUNCTION("REGEXREPLACE(G2404, ""_[a-z]{1,2}$"", """")"),"Soto")</f>
        <v>Soto</v>
      </c>
      <c r="BD2404" s="287" t="s">
        <v>1270</v>
      </c>
    </row>
    <row r="2405">
      <c r="A2405" s="44">
        <v>2405.0</v>
      </c>
      <c r="B2405" s="129" t="s">
        <v>114</v>
      </c>
      <c r="C2405" s="62" t="s">
        <v>115</v>
      </c>
      <c r="D2405" s="62" t="s">
        <v>2630</v>
      </c>
      <c r="F2405" s="68" t="s">
        <v>14484</v>
      </c>
      <c r="G2405" s="159" t="s">
        <v>14425</v>
      </c>
      <c r="H2405" s="159" t="s">
        <v>14426</v>
      </c>
      <c r="I2405" s="1287" t="s">
        <v>14427</v>
      </c>
      <c r="J2405" s="153">
        <v>45807.0</v>
      </c>
      <c r="K2405" s="68"/>
      <c r="L2405" s="129" t="s">
        <v>14485</v>
      </c>
      <c r="M2405" s="159" t="s">
        <v>14486</v>
      </c>
      <c r="N2405" s="159" t="s">
        <v>14487</v>
      </c>
      <c r="O2405" s="129">
        <v>1.0</v>
      </c>
      <c r="P2405" s="382" t="s">
        <v>14488</v>
      </c>
      <c r="Q2405" s="52" t="str">
        <f t="array" ref="Q2405"> if(iserror(MATCH(V2405, 'File Links'!C:C, 0)), "N/A", HYPERLINK(INDEX('File Links'!B:B, MATCH(P2405, 'File Links'!C:C, 0))))</f>
        <v>https://drive.google.com/file/d/1gqSNC7SSmFXr_f_6y6GPvT5XVE36ywaR/view?usp=drivesdk</v>
      </c>
      <c r="R2405" s="159" t="s">
        <v>14432</v>
      </c>
      <c r="S2405" s="159" t="s">
        <v>14433</v>
      </c>
      <c r="T2405" s="68"/>
      <c r="U2405" s="129">
        <v>1.0</v>
      </c>
      <c r="V2405" s="382" t="s">
        <v>14434</v>
      </c>
      <c r="W2405" s="295" t="s">
        <v>209</v>
      </c>
      <c r="X2405" s="54" t="str">
        <f t="array" ref="X2405"> if(iserror(MATCH(V2405, 'File Links'!C:C, 0)), "N/A", HYPERLINK(INDEX('File Links'!B:B, MATCH(V2405, 'File Links'!C:C, 0))))</f>
        <v>https://drive.google.com/file/d/17mZvRs3ue7pXwqu8bmIDvgNdc95PGEcV/view?usp=drivesdk</v>
      </c>
      <c r="Y2405" s="159" t="s">
        <v>138</v>
      </c>
      <c r="Z2405" s="159" t="s">
        <v>1079</v>
      </c>
      <c r="AA2405" s="159" t="s">
        <v>14489</v>
      </c>
      <c r="AB2405" s="159" t="s">
        <v>14436</v>
      </c>
      <c r="AC2405" s="159" t="s">
        <v>14490</v>
      </c>
      <c r="AD2405" s="129" t="s">
        <v>14491</v>
      </c>
      <c r="AE2405" s="129" t="s">
        <v>132</v>
      </c>
      <c r="AF2405" s="156">
        <v>672.0</v>
      </c>
      <c r="AG2405" s="378">
        <v>0.19</v>
      </c>
      <c r="AH2405" s="481" t="s">
        <v>215</v>
      </c>
      <c r="AI2405" s="151" t="s">
        <v>14492</v>
      </c>
      <c r="AJ2405" s="378">
        <v>0.01</v>
      </c>
      <c r="AK2405" s="159" t="s">
        <v>135</v>
      </c>
      <c r="AL2405" s="481" t="s">
        <v>186</v>
      </c>
      <c r="AM2405" s="159" t="s">
        <v>137</v>
      </c>
      <c r="AN2405" s="159" t="s">
        <v>138</v>
      </c>
      <c r="AO2405" s="156">
        <v>1505.0</v>
      </c>
      <c r="AP2405" s="161">
        <v>0.19</v>
      </c>
      <c r="AQ2405" s="159" t="s">
        <v>215</v>
      </c>
      <c r="AR2405" s="159" t="s">
        <v>14440</v>
      </c>
      <c r="AS2405" s="1794" t="s">
        <v>138</v>
      </c>
      <c r="AT2405" s="1794" t="s">
        <v>138</v>
      </c>
      <c r="AU2405" s="68" t="s">
        <v>186</v>
      </c>
      <c r="AV2405" s="159" t="s">
        <v>137</v>
      </c>
      <c r="AW2405" s="435" t="s">
        <v>14441</v>
      </c>
      <c r="AX2405" s="159" t="s">
        <v>143</v>
      </c>
      <c r="AY2405" s="61" t="str">
        <f>IFERROR(__xludf.DUMMYFUNCTION("vlookup(BB2405,importrange(""https://docs.google.com/spreadsheets/d/1d2vevQ_7D_v35q4wCQ4RpQ_IPoTwEMB9Yp6ymwlPqew/edit?gid=984458430#gid=984458430"", ""'replication success'!A:K""), 11, FAlSE)"),"")</f>
        <v/>
      </c>
      <c r="AZ2405" s="61" t="str">
        <f>IFERROR(__xludf.DUMMYFUNCTION("vlookup(BB2405,importrange(""https://docs.google.com/spreadsheets/d/1d2vevQ_7D_v35q4wCQ4RpQ_IPoTwEMB9Yp6ymwlPqew/edit?gid=984458430#gid=984458430"", ""'replication success'!A:M""), 12, FAlSE)"),"")</f>
        <v/>
      </c>
      <c r="BA2405" s="61" t="str">
        <f>IFERROR(__xludf.DUMMYFUNCTION("vlookup(BB2405,importrange(""https://docs.google.com/spreadsheets/d/1d2vevQ_7D_v35q4wCQ4RpQ_IPoTwEMB9Yp6ymwlPqew/edit?gid=984458430#gid=984458430"", ""'replication success'!A:M""), 13, FAlSE)"),"abstract")</f>
        <v>abstract</v>
      </c>
      <c r="BB2405" s="61" t="str">
        <f>IFERROR(__xludf.DUMMYFUNCTION("REGEXREPLACE(G2405, ""_[a-z]{1,2}$"", """")"),"Soto")</f>
        <v>Soto</v>
      </c>
      <c r="BD2405" s="287" t="s">
        <v>1270</v>
      </c>
    </row>
    <row r="2406">
      <c r="A2406" s="44">
        <v>2406.0</v>
      </c>
      <c r="B2406" s="129" t="s">
        <v>114</v>
      </c>
      <c r="C2406" s="62" t="s">
        <v>115</v>
      </c>
      <c r="D2406" s="62" t="s">
        <v>2630</v>
      </c>
      <c r="F2406" s="68" t="s">
        <v>14493</v>
      </c>
      <c r="G2406" s="159" t="s">
        <v>14425</v>
      </c>
      <c r="H2406" s="159" t="s">
        <v>14426</v>
      </c>
      <c r="I2406" s="1287" t="s">
        <v>14427</v>
      </c>
      <c r="J2406" s="153">
        <v>45807.0</v>
      </c>
      <c r="K2406" s="68"/>
      <c r="L2406" s="129" t="s">
        <v>14494</v>
      </c>
      <c r="M2406" s="159" t="s">
        <v>14486</v>
      </c>
      <c r="N2406" s="159" t="s">
        <v>14487</v>
      </c>
      <c r="O2406" s="129">
        <v>1.0</v>
      </c>
      <c r="P2406" s="382" t="s">
        <v>14488</v>
      </c>
      <c r="Q2406" s="52" t="str">
        <f t="array" ref="Q2406"> if(iserror(MATCH(V2406, 'File Links'!C:C, 0)), "N/A", HYPERLINK(INDEX('File Links'!B:B, MATCH(P2406, 'File Links'!C:C, 0))))</f>
        <v>https://drive.google.com/file/d/1gqSNC7SSmFXr_f_6y6GPvT5XVE36ywaR/view?usp=drivesdk</v>
      </c>
      <c r="R2406" s="159" t="s">
        <v>14432</v>
      </c>
      <c r="S2406" s="159" t="s">
        <v>14433</v>
      </c>
      <c r="T2406" s="68"/>
      <c r="U2406" s="129">
        <v>1.0</v>
      </c>
      <c r="V2406" s="382" t="s">
        <v>14434</v>
      </c>
      <c r="W2406" s="295" t="s">
        <v>209</v>
      </c>
      <c r="X2406" s="54" t="str">
        <f t="array" ref="X2406"> if(iserror(MATCH(V2406, 'File Links'!C:C, 0)), "N/A", HYPERLINK(INDEX('File Links'!B:B, MATCH(V2406, 'File Links'!C:C, 0))))</f>
        <v>https://drive.google.com/file/d/17mZvRs3ue7pXwqu8bmIDvgNdc95PGEcV/view?usp=drivesdk</v>
      </c>
      <c r="Y2406" s="159" t="s">
        <v>138</v>
      </c>
      <c r="Z2406" s="159" t="s">
        <v>1079</v>
      </c>
      <c r="AA2406" s="159" t="s">
        <v>14495</v>
      </c>
      <c r="AB2406" s="159" t="s">
        <v>14436</v>
      </c>
      <c r="AC2406" s="159" t="s">
        <v>14496</v>
      </c>
      <c r="AD2406" s="129" t="s">
        <v>14497</v>
      </c>
      <c r="AE2406" s="129" t="s">
        <v>132</v>
      </c>
      <c r="AF2406" s="156">
        <v>672.0</v>
      </c>
      <c r="AG2406" s="161">
        <v>0.16</v>
      </c>
      <c r="AH2406" s="159" t="s">
        <v>215</v>
      </c>
      <c r="AI2406" s="151" t="s">
        <v>14492</v>
      </c>
      <c r="AJ2406" s="336">
        <v>0.01</v>
      </c>
      <c r="AK2406" s="159" t="s">
        <v>135</v>
      </c>
      <c r="AL2406" s="481" t="s">
        <v>186</v>
      </c>
      <c r="AM2406" s="159" t="s">
        <v>137</v>
      </c>
      <c r="AN2406" s="159" t="s">
        <v>138</v>
      </c>
      <c r="AO2406" s="156">
        <v>1505.0</v>
      </c>
      <c r="AP2406" s="161">
        <v>0.24</v>
      </c>
      <c r="AQ2406" s="159" t="s">
        <v>215</v>
      </c>
      <c r="AR2406" s="159" t="s">
        <v>14440</v>
      </c>
      <c r="AS2406" s="1794" t="s">
        <v>138</v>
      </c>
      <c r="AT2406" s="1794" t="s">
        <v>138</v>
      </c>
      <c r="AU2406" s="68" t="s">
        <v>186</v>
      </c>
      <c r="AV2406" s="159" t="s">
        <v>137</v>
      </c>
      <c r="AW2406" s="435" t="s">
        <v>14441</v>
      </c>
      <c r="AX2406" s="159" t="s">
        <v>143</v>
      </c>
      <c r="AY2406" s="61" t="str">
        <f>IFERROR(__xludf.DUMMYFUNCTION("vlookup(BB2406,importrange(""https://docs.google.com/spreadsheets/d/1d2vevQ_7D_v35q4wCQ4RpQ_IPoTwEMB9Yp6ymwlPqew/edit?gid=984458430#gid=984458430"", ""'replication success'!A:K""), 11, FAlSE)"),"")</f>
        <v/>
      </c>
      <c r="AZ2406" s="61" t="str">
        <f>IFERROR(__xludf.DUMMYFUNCTION("vlookup(BB2406,importrange(""https://docs.google.com/spreadsheets/d/1d2vevQ_7D_v35q4wCQ4RpQ_IPoTwEMB9Yp6ymwlPqew/edit?gid=984458430#gid=984458430"", ""'replication success'!A:M""), 12, FAlSE)"),"")</f>
        <v/>
      </c>
      <c r="BA2406" s="61" t="str">
        <f>IFERROR(__xludf.DUMMYFUNCTION("vlookup(BB2406,importrange(""https://docs.google.com/spreadsheets/d/1d2vevQ_7D_v35q4wCQ4RpQ_IPoTwEMB9Yp6ymwlPqew/edit?gid=984458430#gid=984458430"", ""'replication success'!A:M""), 13, FAlSE)"),"abstract")</f>
        <v>abstract</v>
      </c>
      <c r="BB2406" s="61" t="str">
        <f>IFERROR(__xludf.DUMMYFUNCTION("REGEXREPLACE(G2406, ""_[a-z]{1,2}$"", """")"),"Soto")</f>
        <v>Soto</v>
      </c>
      <c r="BD2406" s="287" t="s">
        <v>1270</v>
      </c>
    </row>
    <row r="2407">
      <c r="A2407" s="44">
        <v>2407.0</v>
      </c>
      <c r="B2407" s="56" t="s">
        <v>152</v>
      </c>
      <c r="C2407" s="341" t="s">
        <v>115</v>
      </c>
      <c r="D2407" s="341" t="s">
        <v>2630</v>
      </c>
      <c r="E2407" s="342"/>
      <c r="F2407" s="46" t="s">
        <v>14498</v>
      </c>
      <c r="G2407" s="360" t="s">
        <v>14425</v>
      </c>
      <c r="H2407" s="360" t="s">
        <v>14426</v>
      </c>
      <c r="I2407" s="1692" t="s">
        <v>14427</v>
      </c>
      <c r="J2407" s="345">
        <v>45807.0</v>
      </c>
      <c r="K2407" s="46"/>
      <c r="L2407" s="56" t="s">
        <v>14499</v>
      </c>
      <c r="M2407" s="360" t="s">
        <v>14500</v>
      </c>
      <c r="N2407" s="360" t="s">
        <v>14501</v>
      </c>
      <c r="O2407" s="56">
        <v>1.0</v>
      </c>
      <c r="P2407" s="360" t="s">
        <v>14502</v>
      </c>
      <c r="Q2407" s="104" t="str">
        <f t="array" ref="Q2407"> if(iserror(MATCH(V2407, 'File Links'!C:C, 0)), "N/A", HYPERLINK(INDEX('File Links'!B:B, MATCH(P2407, 'File Links'!C:C, 0))))</f>
        <v>https://drive.google.com/file/d/1JU5kJv0kHYoKBDth2j7wQsjJ1BK_HiIh/view?usp=drivesdk</v>
      </c>
      <c r="R2407" s="360" t="s">
        <v>14432</v>
      </c>
      <c r="S2407" s="360" t="s">
        <v>14433</v>
      </c>
      <c r="T2407" s="46"/>
      <c r="U2407" s="56">
        <v>1.0</v>
      </c>
      <c r="V2407" s="360" t="s">
        <v>14434</v>
      </c>
      <c r="W2407" s="56" t="s">
        <v>209</v>
      </c>
      <c r="X2407" s="54" t="str">
        <f t="array" ref="X2407"> if(iserror(MATCH(V2407, 'File Links'!C:C, 0)), "N/A", HYPERLINK(INDEX('File Links'!B:B, MATCH(V2407, 'File Links'!C:C, 0))))</f>
        <v>https://drive.google.com/file/d/17mZvRs3ue7pXwqu8bmIDvgNdc95PGEcV/view?usp=drivesdk</v>
      </c>
      <c r="Y2407" s="360" t="s">
        <v>138</v>
      </c>
      <c r="Z2407" s="360" t="s">
        <v>1079</v>
      </c>
      <c r="AA2407" s="360" t="s">
        <v>14503</v>
      </c>
      <c r="AB2407" s="360" t="s">
        <v>14436</v>
      </c>
      <c r="AC2407" s="360" t="s">
        <v>14503</v>
      </c>
      <c r="AD2407" s="56" t="s">
        <v>138</v>
      </c>
      <c r="AE2407" s="56" t="s">
        <v>138</v>
      </c>
      <c r="AF2407" s="357">
        <v>194.0</v>
      </c>
      <c r="AG2407" s="2091" t="s">
        <v>14504</v>
      </c>
      <c r="AH2407" s="360" t="s">
        <v>215</v>
      </c>
      <c r="AI2407" s="343" t="s">
        <v>627</v>
      </c>
      <c r="AJ2407" s="347" t="s">
        <v>138</v>
      </c>
      <c r="AK2407" s="347" t="s">
        <v>138</v>
      </c>
      <c r="AL2407" s="360" t="s">
        <v>186</v>
      </c>
      <c r="AM2407" s="360" t="s">
        <v>138</v>
      </c>
      <c r="AN2407" s="360" t="s">
        <v>138</v>
      </c>
      <c r="AO2407" s="357">
        <v>1505.0</v>
      </c>
      <c r="AP2407" s="2092">
        <v>0.3</v>
      </c>
      <c r="AQ2407" s="360" t="s">
        <v>215</v>
      </c>
      <c r="AR2407" s="360" t="s">
        <v>14440</v>
      </c>
      <c r="AS2407" s="347" t="s">
        <v>138</v>
      </c>
      <c r="AT2407" s="347" t="s">
        <v>138</v>
      </c>
      <c r="AU2407" s="46" t="s">
        <v>186</v>
      </c>
      <c r="AV2407" s="360" t="s">
        <v>137</v>
      </c>
      <c r="AW2407" s="59" t="s">
        <v>14441</v>
      </c>
      <c r="AX2407" s="360" t="s">
        <v>143</v>
      </c>
      <c r="AY2407" s="61" t="str">
        <f>IFERROR(__xludf.DUMMYFUNCTION("vlookup(BB2407,importrange(""https://docs.google.com/spreadsheets/d/1d2vevQ_7D_v35q4wCQ4RpQ_IPoTwEMB9Yp6ymwlPqew/edit?gid=984458430#gid=984458430"", ""'replication success'!A:K""), 11, FAlSE)"),"")</f>
        <v/>
      </c>
      <c r="AZ2407" s="61" t="str">
        <f>IFERROR(__xludf.DUMMYFUNCTION("vlookup(BB2407,importrange(""https://docs.google.com/spreadsheets/d/1d2vevQ_7D_v35q4wCQ4RpQ_IPoTwEMB9Yp6ymwlPqew/edit?gid=984458430#gid=984458430"", ""'replication success'!A:M""), 12, FAlSE)"),"")</f>
        <v/>
      </c>
      <c r="BA2407" s="61" t="str">
        <f>IFERROR(__xludf.DUMMYFUNCTION("vlookup(BB2407,importrange(""https://docs.google.com/spreadsheets/d/1d2vevQ_7D_v35q4wCQ4RpQ_IPoTwEMB9Yp6ymwlPqew/edit?gid=984458430#gid=984458430"", ""'replication success'!A:M""), 13, FAlSE)"),"abstract")</f>
        <v>abstract</v>
      </c>
      <c r="BB2407" s="61" t="str">
        <f>IFERROR(__xludf.DUMMYFUNCTION("REGEXREPLACE(G2407, ""_[a-z]{1,2}$"", """")"),"Soto")</f>
        <v>Soto</v>
      </c>
      <c r="BC2407" s="342"/>
      <c r="BD2407" s="341" t="s">
        <v>1270</v>
      </c>
      <c r="BE2407" s="342"/>
      <c r="BF2407" s="342"/>
      <c r="BG2407" s="342"/>
      <c r="BH2407" s="342"/>
      <c r="BI2407" s="342"/>
      <c r="BJ2407" s="342"/>
      <c r="BK2407" s="342"/>
      <c r="BL2407" s="342"/>
      <c r="BM2407" s="342"/>
      <c r="BN2407" s="342"/>
      <c r="BO2407" s="342"/>
      <c r="BP2407" s="342"/>
      <c r="BQ2407" s="342"/>
      <c r="BR2407" s="342"/>
      <c r="BS2407" s="342"/>
      <c r="BT2407" s="342"/>
      <c r="BU2407" s="342"/>
      <c r="BV2407" s="342"/>
      <c r="BW2407" s="342"/>
      <c r="BX2407" s="342"/>
      <c r="BY2407" s="342"/>
      <c r="BZ2407" s="342"/>
      <c r="CA2407" s="342"/>
      <c r="CB2407" s="342"/>
      <c r="CC2407" s="342"/>
      <c r="CD2407" s="342"/>
      <c r="CE2407" s="342"/>
      <c r="CF2407" s="342"/>
      <c r="CG2407" s="342"/>
      <c r="CH2407" s="342"/>
      <c r="CI2407" s="342"/>
      <c r="CJ2407" s="342"/>
      <c r="CK2407" s="342"/>
      <c r="CL2407" s="342"/>
      <c r="CM2407" s="342"/>
      <c r="CN2407" s="342"/>
      <c r="CO2407" s="342"/>
      <c r="CP2407" s="342"/>
      <c r="CQ2407" s="342"/>
      <c r="CR2407" s="342"/>
      <c r="CS2407" s="342"/>
      <c r="CT2407" s="342"/>
      <c r="CU2407" s="342"/>
      <c r="CV2407" s="342"/>
      <c r="CW2407" s="342"/>
      <c r="CX2407" s="342"/>
      <c r="CY2407" s="342"/>
      <c r="CZ2407" s="342"/>
      <c r="DA2407" s="342"/>
      <c r="DB2407" s="342"/>
      <c r="DC2407" s="342"/>
      <c r="DD2407" s="342"/>
      <c r="DE2407" s="342"/>
      <c r="DF2407" s="342"/>
      <c r="DG2407" s="342"/>
      <c r="DH2407" s="342"/>
      <c r="DI2407" s="342"/>
      <c r="DJ2407" s="342"/>
      <c r="DK2407" s="342"/>
      <c r="DL2407" s="342"/>
    </row>
    <row r="2408">
      <c r="A2408" s="44">
        <v>2408.0</v>
      </c>
      <c r="B2408" s="56" t="s">
        <v>152</v>
      </c>
      <c r="C2408" s="341" t="s">
        <v>115</v>
      </c>
      <c r="D2408" s="341" t="s">
        <v>2630</v>
      </c>
      <c r="E2408" s="342"/>
      <c r="F2408" s="46" t="s">
        <v>14505</v>
      </c>
      <c r="G2408" s="360" t="s">
        <v>14425</v>
      </c>
      <c r="H2408" s="360" t="s">
        <v>14426</v>
      </c>
      <c r="I2408" s="1692" t="s">
        <v>14427</v>
      </c>
      <c r="J2408" s="345">
        <v>45807.0</v>
      </c>
      <c r="K2408" s="46"/>
      <c r="L2408" s="56" t="s">
        <v>14499</v>
      </c>
      <c r="M2408" s="360" t="s">
        <v>14500</v>
      </c>
      <c r="N2408" s="360" t="s">
        <v>14501</v>
      </c>
      <c r="O2408" s="56">
        <v>1.0</v>
      </c>
      <c r="P2408" s="360" t="s">
        <v>14502</v>
      </c>
      <c r="Q2408" s="104" t="str">
        <f t="array" ref="Q2408"> if(iserror(MATCH(V2408, 'File Links'!C:C, 0)), "N/A", HYPERLINK(INDEX('File Links'!B:B, MATCH(P2408, 'File Links'!C:C, 0))))</f>
        <v>https://drive.google.com/file/d/1JU5kJv0kHYoKBDth2j7wQsjJ1BK_HiIh/view?usp=drivesdk</v>
      </c>
      <c r="R2408" s="360" t="s">
        <v>14432</v>
      </c>
      <c r="S2408" s="360" t="s">
        <v>14433</v>
      </c>
      <c r="T2408" s="46"/>
      <c r="U2408" s="56">
        <v>1.0</v>
      </c>
      <c r="V2408" s="360" t="s">
        <v>14434</v>
      </c>
      <c r="W2408" s="56" t="s">
        <v>209</v>
      </c>
      <c r="X2408" s="54" t="str">
        <f t="array" ref="X2408"> if(iserror(MATCH(V2408, 'File Links'!C:C, 0)), "N/A", HYPERLINK(INDEX('File Links'!B:B, MATCH(V2408, 'File Links'!C:C, 0))))</f>
        <v>https://drive.google.com/file/d/17mZvRs3ue7pXwqu8bmIDvgNdc95PGEcV/view?usp=drivesdk</v>
      </c>
      <c r="Y2408" s="360" t="s">
        <v>138</v>
      </c>
      <c r="Z2408" s="360" t="s">
        <v>1079</v>
      </c>
      <c r="AA2408" s="360" t="s">
        <v>14506</v>
      </c>
      <c r="AB2408" s="360" t="s">
        <v>14436</v>
      </c>
      <c r="AC2408" s="360" t="s">
        <v>14506</v>
      </c>
      <c r="AD2408" s="56" t="s">
        <v>138</v>
      </c>
      <c r="AE2408" s="56" t="s">
        <v>138</v>
      </c>
      <c r="AF2408" s="357">
        <v>194.0</v>
      </c>
      <c r="AG2408" s="357">
        <v>-0.44</v>
      </c>
      <c r="AH2408" s="360" t="s">
        <v>215</v>
      </c>
      <c r="AI2408" s="343" t="s">
        <v>627</v>
      </c>
      <c r="AJ2408" s="347" t="s">
        <v>138</v>
      </c>
      <c r="AK2408" s="347" t="s">
        <v>138</v>
      </c>
      <c r="AL2408" s="360" t="s">
        <v>186</v>
      </c>
      <c r="AM2408" s="360" t="s">
        <v>138</v>
      </c>
      <c r="AN2408" s="360" t="s">
        <v>138</v>
      </c>
      <c r="AO2408" s="357">
        <v>1505.0</v>
      </c>
      <c r="AP2408" s="2092">
        <v>0.42</v>
      </c>
      <c r="AQ2408" s="360" t="s">
        <v>215</v>
      </c>
      <c r="AR2408" s="360" t="s">
        <v>14440</v>
      </c>
      <c r="AS2408" s="347" t="s">
        <v>138</v>
      </c>
      <c r="AT2408" s="347" t="s">
        <v>138</v>
      </c>
      <c r="AU2408" s="46" t="s">
        <v>186</v>
      </c>
      <c r="AV2408" s="360" t="s">
        <v>137</v>
      </c>
      <c r="AW2408" s="59" t="s">
        <v>14441</v>
      </c>
      <c r="AX2408" s="360" t="s">
        <v>143</v>
      </c>
      <c r="AY2408" s="61" t="str">
        <f>IFERROR(__xludf.DUMMYFUNCTION("vlookup(BB2408,importrange(""https://docs.google.com/spreadsheets/d/1d2vevQ_7D_v35q4wCQ4RpQ_IPoTwEMB9Yp6ymwlPqew/edit?gid=984458430#gid=984458430"", ""'replication success'!A:K""), 11, FAlSE)"),"")</f>
        <v/>
      </c>
      <c r="AZ2408" s="61" t="str">
        <f>IFERROR(__xludf.DUMMYFUNCTION("vlookup(BB2408,importrange(""https://docs.google.com/spreadsheets/d/1d2vevQ_7D_v35q4wCQ4RpQ_IPoTwEMB9Yp6ymwlPqew/edit?gid=984458430#gid=984458430"", ""'replication success'!A:M""), 12, FAlSE)"),"")</f>
        <v/>
      </c>
      <c r="BA2408" s="61" t="str">
        <f>IFERROR(__xludf.DUMMYFUNCTION("vlookup(BB2408,importrange(""https://docs.google.com/spreadsheets/d/1d2vevQ_7D_v35q4wCQ4RpQ_IPoTwEMB9Yp6ymwlPqew/edit?gid=984458430#gid=984458430"", ""'replication success'!A:M""), 13, FAlSE)"),"abstract")</f>
        <v>abstract</v>
      </c>
      <c r="BB2408" s="61" t="str">
        <f>IFERROR(__xludf.DUMMYFUNCTION("REGEXREPLACE(G2408, ""_[a-z]{1,2}$"", """")"),"Soto")</f>
        <v>Soto</v>
      </c>
      <c r="BC2408" s="342"/>
      <c r="BD2408" s="341" t="s">
        <v>1270</v>
      </c>
      <c r="BE2408" s="342"/>
      <c r="BF2408" s="342"/>
      <c r="BG2408" s="342"/>
      <c r="BH2408" s="342"/>
      <c r="BI2408" s="342"/>
      <c r="BJ2408" s="342"/>
      <c r="BK2408" s="342"/>
      <c r="BL2408" s="342"/>
      <c r="BM2408" s="342"/>
      <c r="BN2408" s="342"/>
      <c r="BO2408" s="342"/>
      <c r="BP2408" s="342"/>
      <c r="BQ2408" s="342"/>
      <c r="BR2408" s="342"/>
      <c r="BS2408" s="342"/>
      <c r="BT2408" s="342"/>
      <c r="BU2408" s="342"/>
      <c r="BV2408" s="342"/>
      <c r="BW2408" s="342"/>
      <c r="BX2408" s="342"/>
      <c r="BY2408" s="342"/>
      <c r="BZ2408" s="342"/>
      <c r="CA2408" s="342"/>
      <c r="CB2408" s="342"/>
      <c r="CC2408" s="342"/>
      <c r="CD2408" s="342"/>
      <c r="CE2408" s="342"/>
      <c r="CF2408" s="342"/>
      <c r="CG2408" s="342"/>
      <c r="CH2408" s="342"/>
      <c r="CI2408" s="342"/>
      <c r="CJ2408" s="342"/>
      <c r="CK2408" s="342"/>
      <c r="CL2408" s="342"/>
      <c r="CM2408" s="342"/>
      <c r="CN2408" s="342"/>
      <c r="CO2408" s="342"/>
      <c r="CP2408" s="342"/>
      <c r="CQ2408" s="342"/>
      <c r="CR2408" s="342"/>
      <c r="CS2408" s="342"/>
      <c r="CT2408" s="342"/>
      <c r="CU2408" s="342"/>
      <c r="CV2408" s="342"/>
      <c r="CW2408" s="342"/>
      <c r="CX2408" s="342"/>
      <c r="CY2408" s="342"/>
      <c r="CZ2408" s="342"/>
      <c r="DA2408" s="342"/>
      <c r="DB2408" s="342"/>
      <c r="DC2408" s="342"/>
      <c r="DD2408" s="342"/>
      <c r="DE2408" s="342"/>
      <c r="DF2408" s="342"/>
      <c r="DG2408" s="342"/>
      <c r="DH2408" s="342"/>
      <c r="DI2408" s="342"/>
      <c r="DJ2408" s="342"/>
      <c r="DK2408" s="342"/>
      <c r="DL2408" s="342"/>
    </row>
    <row r="2409">
      <c r="A2409" s="44">
        <v>2409.0</v>
      </c>
      <c r="B2409" s="56" t="s">
        <v>152</v>
      </c>
      <c r="C2409" s="341" t="s">
        <v>115</v>
      </c>
      <c r="D2409" s="341" t="s">
        <v>2630</v>
      </c>
      <c r="E2409" s="342"/>
      <c r="F2409" s="46" t="s">
        <v>14507</v>
      </c>
      <c r="G2409" s="360" t="s">
        <v>14425</v>
      </c>
      <c r="H2409" s="360" t="s">
        <v>14426</v>
      </c>
      <c r="I2409" s="1692" t="s">
        <v>14427</v>
      </c>
      <c r="J2409" s="345">
        <v>45807.0</v>
      </c>
      <c r="K2409" s="46"/>
      <c r="L2409" s="56" t="s">
        <v>14499</v>
      </c>
      <c r="M2409" s="360" t="s">
        <v>14500</v>
      </c>
      <c r="N2409" s="360" t="s">
        <v>14501</v>
      </c>
      <c r="O2409" s="56">
        <v>1.0</v>
      </c>
      <c r="P2409" s="360" t="s">
        <v>14502</v>
      </c>
      <c r="Q2409" s="104" t="str">
        <f t="array" ref="Q2409"> if(iserror(MATCH(V2409, 'File Links'!C:C, 0)), "N/A", HYPERLINK(INDEX('File Links'!B:B, MATCH(P2409, 'File Links'!C:C, 0))))</f>
        <v>https://drive.google.com/file/d/1JU5kJv0kHYoKBDth2j7wQsjJ1BK_HiIh/view?usp=drivesdk</v>
      </c>
      <c r="R2409" s="360" t="s">
        <v>14432</v>
      </c>
      <c r="S2409" s="360" t="s">
        <v>14433</v>
      </c>
      <c r="T2409" s="46"/>
      <c r="U2409" s="56">
        <v>1.0</v>
      </c>
      <c r="V2409" s="360" t="s">
        <v>14434</v>
      </c>
      <c r="W2409" s="56" t="s">
        <v>209</v>
      </c>
      <c r="X2409" s="54" t="str">
        <f t="array" ref="X2409"> if(iserror(MATCH(V2409, 'File Links'!C:C, 0)), "N/A", HYPERLINK(INDEX('File Links'!B:B, MATCH(V2409, 'File Links'!C:C, 0))))</f>
        <v>https://drive.google.com/file/d/17mZvRs3ue7pXwqu8bmIDvgNdc95PGEcV/view?usp=drivesdk</v>
      </c>
      <c r="Y2409" s="360" t="s">
        <v>138</v>
      </c>
      <c r="Z2409" s="360" t="s">
        <v>1079</v>
      </c>
      <c r="AA2409" s="360" t="s">
        <v>14508</v>
      </c>
      <c r="AB2409" s="360" t="s">
        <v>14436</v>
      </c>
      <c r="AC2409" s="360" t="s">
        <v>14508</v>
      </c>
      <c r="AD2409" s="56" t="s">
        <v>138</v>
      </c>
      <c r="AE2409" s="56" t="s">
        <v>138</v>
      </c>
      <c r="AF2409" s="357">
        <v>194.0</v>
      </c>
      <c r="AG2409" s="2091" t="s">
        <v>14509</v>
      </c>
      <c r="AH2409" s="360" t="s">
        <v>215</v>
      </c>
      <c r="AI2409" s="343" t="s">
        <v>627</v>
      </c>
      <c r="AJ2409" s="347" t="s">
        <v>138</v>
      </c>
      <c r="AK2409" s="347" t="s">
        <v>138</v>
      </c>
      <c r="AL2409" s="360" t="s">
        <v>186</v>
      </c>
      <c r="AM2409" s="360" t="s">
        <v>138</v>
      </c>
      <c r="AN2409" s="360" t="s">
        <v>138</v>
      </c>
      <c r="AO2409" s="357">
        <v>1505.0</v>
      </c>
      <c r="AP2409" s="2093">
        <v>0.3</v>
      </c>
      <c r="AQ2409" s="360" t="s">
        <v>215</v>
      </c>
      <c r="AR2409" s="360" t="s">
        <v>14440</v>
      </c>
      <c r="AS2409" s="347" t="s">
        <v>138</v>
      </c>
      <c r="AT2409" s="347" t="s">
        <v>138</v>
      </c>
      <c r="AU2409" s="46" t="s">
        <v>186</v>
      </c>
      <c r="AV2409" s="360" t="s">
        <v>137</v>
      </c>
      <c r="AW2409" s="59" t="s">
        <v>14441</v>
      </c>
      <c r="AX2409" s="360" t="s">
        <v>143</v>
      </c>
      <c r="AY2409" s="61" t="str">
        <f>IFERROR(__xludf.DUMMYFUNCTION("vlookup(BB2409,importrange(""https://docs.google.com/spreadsheets/d/1d2vevQ_7D_v35q4wCQ4RpQ_IPoTwEMB9Yp6ymwlPqew/edit?gid=984458430#gid=984458430"", ""'replication success'!A:K""), 11, FAlSE)"),"")</f>
        <v/>
      </c>
      <c r="AZ2409" s="61" t="str">
        <f>IFERROR(__xludf.DUMMYFUNCTION("vlookup(BB2409,importrange(""https://docs.google.com/spreadsheets/d/1d2vevQ_7D_v35q4wCQ4RpQ_IPoTwEMB9Yp6ymwlPqew/edit?gid=984458430#gid=984458430"", ""'replication success'!A:M""), 12, FAlSE)"),"")</f>
        <v/>
      </c>
      <c r="BA2409" s="61" t="str">
        <f>IFERROR(__xludf.DUMMYFUNCTION("vlookup(BB2409,importrange(""https://docs.google.com/spreadsheets/d/1d2vevQ_7D_v35q4wCQ4RpQ_IPoTwEMB9Yp6ymwlPqew/edit?gid=984458430#gid=984458430"", ""'replication success'!A:M""), 13, FAlSE)"),"abstract")</f>
        <v>abstract</v>
      </c>
      <c r="BB2409" s="61" t="str">
        <f>IFERROR(__xludf.DUMMYFUNCTION("REGEXREPLACE(G2409, ""_[a-z]{1,2}$"", """")"),"Soto")</f>
        <v>Soto</v>
      </c>
      <c r="BC2409" s="342"/>
      <c r="BD2409" s="341" t="s">
        <v>1270</v>
      </c>
      <c r="BE2409" s="342"/>
      <c r="BF2409" s="342"/>
      <c r="BG2409" s="342"/>
      <c r="BH2409" s="342"/>
      <c r="BI2409" s="342"/>
      <c r="BJ2409" s="342"/>
      <c r="BK2409" s="342"/>
      <c r="BL2409" s="342"/>
      <c r="BM2409" s="342"/>
      <c r="BN2409" s="342"/>
      <c r="BO2409" s="342"/>
      <c r="BP2409" s="342"/>
      <c r="BQ2409" s="342"/>
      <c r="BR2409" s="342"/>
      <c r="BS2409" s="342"/>
      <c r="BT2409" s="342"/>
      <c r="BU2409" s="342"/>
      <c r="BV2409" s="342"/>
      <c r="BW2409" s="342"/>
      <c r="BX2409" s="342"/>
      <c r="BY2409" s="342"/>
      <c r="BZ2409" s="342"/>
      <c r="CA2409" s="342"/>
      <c r="CB2409" s="342"/>
      <c r="CC2409" s="342"/>
      <c r="CD2409" s="342"/>
      <c r="CE2409" s="342"/>
      <c r="CF2409" s="342"/>
      <c r="CG2409" s="342"/>
      <c r="CH2409" s="342"/>
      <c r="CI2409" s="342"/>
      <c r="CJ2409" s="342"/>
      <c r="CK2409" s="342"/>
      <c r="CL2409" s="342"/>
      <c r="CM2409" s="342"/>
      <c r="CN2409" s="342"/>
      <c r="CO2409" s="342"/>
      <c r="CP2409" s="342"/>
      <c r="CQ2409" s="342"/>
      <c r="CR2409" s="342"/>
      <c r="CS2409" s="342"/>
      <c r="CT2409" s="342"/>
      <c r="CU2409" s="342"/>
      <c r="CV2409" s="342"/>
      <c r="CW2409" s="342"/>
      <c r="CX2409" s="342"/>
      <c r="CY2409" s="342"/>
      <c r="CZ2409" s="342"/>
      <c r="DA2409" s="342"/>
      <c r="DB2409" s="342"/>
      <c r="DC2409" s="342"/>
      <c r="DD2409" s="342"/>
      <c r="DE2409" s="342"/>
      <c r="DF2409" s="342"/>
      <c r="DG2409" s="342"/>
      <c r="DH2409" s="342"/>
      <c r="DI2409" s="342"/>
      <c r="DJ2409" s="342"/>
      <c r="DK2409" s="342"/>
      <c r="DL2409" s="342"/>
    </row>
    <row r="2410">
      <c r="A2410" s="44">
        <v>2410.0</v>
      </c>
      <c r="B2410" s="56" t="s">
        <v>152</v>
      </c>
      <c r="C2410" s="341" t="s">
        <v>115</v>
      </c>
      <c r="D2410" s="341" t="s">
        <v>2630</v>
      </c>
      <c r="E2410" s="342"/>
      <c r="F2410" s="46" t="s">
        <v>14510</v>
      </c>
      <c r="G2410" s="360" t="s">
        <v>14425</v>
      </c>
      <c r="H2410" s="360" t="s">
        <v>14426</v>
      </c>
      <c r="I2410" s="1692" t="s">
        <v>14427</v>
      </c>
      <c r="J2410" s="345">
        <v>45807.0</v>
      </c>
      <c r="K2410" s="46"/>
      <c r="L2410" s="56" t="s">
        <v>14499</v>
      </c>
      <c r="M2410" s="360" t="s">
        <v>14500</v>
      </c>
      <c r="N2410" s="360" t="s">
        <v>14501</v>
      </c>
      <c r="O2410" s="56">
        <v>1.0</v>
      </c>
      <c r="P2410" s="360" t="s">
        <v>14502</v>
      </c>
      <c r="Q2410" s="104" t="str">
        <f t="array" ref="Q2410"> if(iserror(MATCH(V2410, 'File Links'!C:C, 0)), "N/A", HYPERLINK(INDEX('File Links'!B:B, MATCH(P2410, 'File Links'!C:C, 0))))</f>
        <v>https://drive.google.com/file/d/1JU5kJv0kHYoKBDth2j7wQsjJ1BK_HiIh/view?usp=drivesdk</v>
      </c>
      <c r="R2410" s="360" t="s">
        <v>14432</v>
      </c>
      <c r="S2410" s="360" t="s">
        <v>14433</v>
      </c>
      <c r="T2410" s="46"/>
      <c r="U2410" s="56">
        <v>1.0</v>
      </c>
      <c r="V2410" s="360" t="s">
        <v>14434</v>
      </c>
      <c r="W2410" s="56" t="s">
        <v>209</v>
      </c>
      <c r="X2410" s="54" t="str">
        <f t="array" ref="X2410"> if(iserror(MATCH(V2410, 'File Links'!C:C, 0)), "N/A", HYPERLINK(INDEX('File Links'!B:B, MATCH(V2410, 'File Links'!C:C, 0))))</f>
        <v>https://drive.google.com/file/d/17mZvRs3ue7pXwqu8bmIDvgNdc95PGEcV/view?usp=drivesdk</v>
      </c>
      <c r="Y2410" s="360" t="s">
        <v>138</v>
      </c>
      <c r="Z2410" s="360" t="s">
        <v>1079</v>
      </c>
      <c r="AA2410" s="360" t="s">
        <v>14511</v>
      </c>
      <c r="AB2410" s="360" t="s">
        <v>14436</v>
      </c>
      <c r="AC2410" s="360" t="s">
        <v>14511</v>
      </c>
      <c r="AD2410" s="56" t="s">
        <v>138</v>
      </c>
      <c r="AE2410" s="56" t="s">
        <v>138</v>
      </c>
      <c r="AF2410" s="357">
        <v>194.0</v>
      </c>
      <c r="AG2410" s="2091" t="s">
        <v>14512</v>
      </c>
      <c r="AH2410" s="360" t="s">
        <v>215</v>
      </c>
      <c r="AI2410" s="343" t="s">
        <v>627</v>
      </c>
      <c r="AJ2410" s="347" t="s">
        <v>138</v>
      </c>
      <c r="AK2410" s="347" t="s">
        <v>138</v>
      </c>
      <c r="AL2410" s="360" t="s">
        <v>186</v>
      </c>
      <c r="AM2410" s="360" t="s">
        <v>138</v>
      </c>
      <c r="AN2410" s="360" t="s">
        <v>138</v>
      </c>
      <c r="AO2410" s="357">
        <v>1505.0</v>
      </c>
      <c r="AP2410" s="2093">
        <v>0.31</v>
      </c>
      <c r="AQ2410" s="360" t="s">
        <v>215</v>
      </c>
      <c r="AR2410" s="360" t="s">
        <v>14440</v>
      </c>
      <c r="AS2410" s="347" t="s">
        <v>138</v>
      </c>
      <c r="AT2410" s="347" t="s">
        <v>138</v>
      </c>
      <c r="AU2410" s="46" t="s">
        <v>186</v>
      </c>
      <c r="AV2410" s="360" t="s">
        <v>137</v>
      </c>
      <c r="AW2410" s="59" t="s">
        <v>14441</v>
      </c>
      <c r="AX2410" s="360" t="s">
        <v>143</v>
      </c>
      <c r="AY2410" s="61" t="str">
        <f>IFERROR(__xludf.DUMMYFUNCTION("vlookup(BB2410,importrange(""https://docs.google.com/spreadsheets/d/1d2vevQ_7D_v35q4wCQ4RpQ_IPoTwEMB9Yp6ymwlPqew/edit?gid=984458430#gid=984458430"", ""'replication success'!A:K""), 11, FAlSE)"),"")</f>
        <v/>
      </c>
      <c r="AZ2410" s="61" t="str">
        <f>IFERROR(__xludf.DUMMYFUNCTION("vlookup(BB2410,importrange(""https://docs.google.com/spreadsheets/d/1d2vevQ_7D_v35q4wCQ4RpQ_IPoTwEMB9Yp6ymwlPqew/edit?gid=984458430#gid=984458430"", ""'replication success'!A:M""), 12, FAlSE)"),"")</f>
        <v/>
      </c>
      <c r="BA2410" s="61" t="str">
        <f>IFERROR(__xludf.DUMMYFUNCTION("vlookup(BB2410,importrange(""https://docs.google.com/spreadsheets/d/1d2vevQ_7D_v35q4wCQ4RpQ_IPoTwEMB9Yp6ymwlPqew/edit?gid=984458430#gid=984458430"", ""'replication success'!A:M""), 13, FAlSE)"),"abstract")</f>
        <v>abstract</v>
      </c>
      <c r="BB2410" s="61" t="str">
        <f>IFERROR(__xludf.DUMMYFUNCTION("REGEXREPLACE(G2410, ""_[a-z]{1,2}$"", """")"),"Soto")</f>
        <v>Soto</v>
      </c>
      <c r="BC2410" s="342"/>
      <c r="BD2410" s="341" t="s">
        <v>1270</v>
      </c>
      <c r="BE2410" s="342"/>
      <c r="BF2410" s="342"/>
      <c r="BG2410" s="342"/>
      <c r="BH2410" s="342"/>
      <c r="BI2410" s="342"/>
      <c r="BJ2410" s="342"/>
      <c r="BK2410" s="342"/>
      <c r="BL2410" s="342"/>
      <c r="BM2410" s="342"/>
      <c r="BN2410" s="342"/>
      <c r="BO2410" s="342"/>
      <c r="BP2410" s="342"/>
      <c r="BQ2410" s="342"/>
      <c r="BR2410" s="342"/>
      <c r="BS2410" s="342"/>
      <c r="BT2410" s="342"/>
      <c r="BU2410" s="342"/>
      <c r="BV2410" s="342"/>
      <c r="BW2410" s="342"/>
      <c r="BX2410" s="342"/>
      <c r="BY2410" s="342"/>
      <c r="BZ2410" s="342"/>
      <c r="CA2410" s="342"/>
      <c r="CB2410" s="342"/>
      <c r="CC2410" s="342"/>
      <c r="CD2410" s="342"/>
      <c r="CE2410" s="342"/>
      <c r="CF2410" s="342"/>
      <c r="CG2410" s="342"/>
      <c r="CH2410" s="342"/>
      <c r="CI2410" s="342"/>
      <c r="CJ2410" s="342"/>
      <c r="CK2410" s="342"/>
      <c r="CL2410" s="342"/>
      <c r="CM2410" s="342"/>
      <c r="CN2410" s="342"/>
      <c r="CO2410" s="342"/>
      <c r="CP2410" s="342"/>
      <c r="CQ2410" s="342"/>
      <c r="CR2410" s="342"/>
      <c r="CS2410" s="342"/>
      <c r="CT2410" s="342"/>
      <c r="CU2410" s="342"/>
      <c r="CV2410" s="342"/>
      <c r="CW2410" s="342"/>
      <c r="CX2410" s="342"/>
      <c r="CY2410" s="342"/>
      <c r="CZ2410" s="342"/>
      <c r="DA2410" s="342"/>
      <c r="DB2410" s="342"/>
      <c r="DC2410" s="342"/>
      <c r="DD2410" s="342"/>
      <c r="DE2410" s="342"/>
      <c r="DF2410" s="342"/>
      <c r="DG2410" s="342"/>
      <c r="DH2410" s="342"/>
      <c r="DI2410" s="342"/>
      <c r="DJ2410" s="342"/>
      <c r="DK2410" s="342"/>
      <c r="DL2410" s="342"/>
    </row>
    <row r="2411">
      <c r="A2411" s="44">
        <v>2411.0</v>
      </c>
      <c r="B2411" s="129" t="s">
        <v>114</v>
      </c>
      <c r="C2411" s="62" t="s">
        <v>115</v>
      </c>
      <c r="D2411" s="62" t="s">
        <v>2630</v>
      </c>
      <c r="F2411" s="68" t="s">
        <v>14513</v>
      </c>
      <c r="G2411" s="159" t="s">
        <v>14425</v>
      </c>
      <c r="H2411" s="159" t="s">
        <v>14426</v>
      </c>
      <c r="I2411" s="1287" t="s">
        <v>14427</v>
      </c>
      <c r="J2411" s="153">
        <v>45807.0</v>
      </c>
      <c r="K2411" s="68"/>
      <c r="L2411" s="129" t="s">
        <v>14514</v>
      </c>
      <c r="M2411" s="159" t="s">
        <v>14515</v>
      </c>
      <c r="N2411" s="159" t="s">
        <v>14516</v>
      </c>
      <c r="O2411" s="156">
        <v>2.0</v>
      </c>
      <c r="P2411" s="382" t="s">
        <v>14517</v>
      </c>
      <c r="Q2411" s="52" t="str">
        <f t="array" ref="Q2411"> if(iserror(MATCH(V2411, 'File Links'!C:C, 0)), "N/A", HYPERLINK(INDEX('File Links'!B:B, MATCH(P2411, 'File Links'!C:C, 0))))</f>
        <v>https://drive.google.com/file/d/1KF3EmUMvFgpP_JffHNBHYjTtKalpvzRE/view?usp=drivesdk</v>
      </c>
      <c r="R2411" s="159" t="s">
        <v>14432</v>
      </c>
      <c r="S2411" s="159" t="s">
        <v>14433</v>
      </c>
      <c r="T2411" s="68"/>
      <c r="U2411" s="129">
        <v>1.0</v>
      </c>
      <c r="V2411" s="382" t="s">
        <v>14434</v>
      </c>
      <c r="W2411" s="295" t="s">
        <v>209</v>
      </c>
      <c r="X2411" s="54" t="str">
        <f t="array" ref="X2411"> if(iserror(MATCH(V2411, 'File Links'!C:C, 0)), "N/A", HYPERLINK(INDEX('File Links'!B:B, MATCH(V2411, 'File Links'!C:C, 0))))</f>
        <v>https://drive.google.com/file/d/17mZvRs3ue7pXwqu8bmIDvgNdc95PGEcV/view?usp=drivesdk</v>
      </c>
      <c r="Y2411" s="159" t="s">
        <v>138</v>
      </c>
      <c r="Z2411" s="159" t="s">
        <v>1079</v>
      </c>
      <c r="AA2411" s="159" t="s">
        <v>14518</v>
      </c>
      <c r="AB2411" s="159" t="s">
        <v>14436</v>
      </c>
      <c r="AC2411" s="159" t="s">
        <v>14519</v>
      </c>
      <c r="AD2411" s="151" t="s">
        <v>14520</v>
      </c>
      <c r="AE2411" s="161" t="s">
        <v>628</v>
      </c>
      <c r="AF2411" s="156">
        <v>1228.0</v>
      </c>
      <c r="AG2411" s="156">
        <v>0.32</v>
      </c>
      <c r="AH2411" s="159" t="s">
        <v>215</v>
      </c>
      <c r="AI2411" s="151" t="s">
        <v>14521</v>
      </c>
      <c r="AJ2411" s="336">
        <v>0.01</v>
      </c>
      <c r="AK2411" s="159" t="s">
        <v>135</v>
      </c>
      <c r="AL2411" s="481" t="s">
        <v>186</v>
      </c>
      <c r="AM2411" s="159" t="s">
        <v>137</v>
      </c>
      <c r="AN2411" s="159" t="s">
        <v>138</v>
      </c>
      <c r="AO2411" s="156">
        <v>1559.0</v>
      </c>
      <c r="AP2411" s="156">
        <v>0.37</v>
      </c>
      <c r="AQ2411" s="159" t="s">
        <v>215</v>
      </c>
      <c r="AR2411" s="159" t="s">
        <v>14440</v>
      </c>
      <c r="AS2411" s="2094">
        <v>6.33652557377656E-52</v>
      </c>
      <c r="AT2411" s="1793" t="s">
        <v>172</v>
      </c>
      <c r="AU2411" s="1792" t="s">
        <v>136</v>
      </c>
      <c r="AV2411" s="159" t="s">
        <v>137</v>
      </c>
      <c r="AW2411" s="435" t="s">
        <v>14441</v>
      </c>
      <c r="AX2411" s="159" t="s">
        <v>143</v>
      </c>
      <c r="AY2411" s="61" t="str">
        <f>IFERROR(__xludf.DUMMYFUNCTION("vlookup(BB2411,importrange(""https://docs.google.com/spreadsheets/d/1d2vevQ_7D_v35q4wCQ4RpQ_IPoTwEMB9Yp6ymwlPqew/edit?gid=984458430#gid=984458430"", ""'replication success'!A:K""), 11, FAlSE)"),"")</f>
        <v/>
      </c>
      <c r="AZ2411" s="61" t="str">
        <f>IFERROR(__xludf.DUMMYFUNCTION("vlookup(BB2411,importrange(""https://docs.google.com/spreadsheets/d/1d2vevQ_7D_v35q4wCQ4RpQ_IPoTwEMB9Yp6ymwlPqew/edit?gid=984458430#gid=984458430"", ""'replication success'!A:M""), 12, FAlSE)"),"")</f>
        <v/>
      </c>
      <c r="BA2411" s="61" t="str">
        <f>IFERROR(__xludf.DUMMYFUNCTION("vlookup(BB2411,importrange(""https://docs.google.com/spreadsheets/d/1d2vevQ_7D_v35q4wCQ4RpQ_IPoTwEMB9Yp6ymwlPqew/edit?gid=984458430#gid=984458430"", ""'replication success'!A:M""), 13, FAlSE)"),"abstract")</f>
        <v>abstract</v>
      </c>
      <c r="BB2411" s="61" t="str">
        <f>IFERROR(__xludf.DUMMYFUNCTION("REGEXREPLACE(G2411, ""_[a-z]{1,2}$"", """")"),"Soto")</f>
        <v>Soto</v>
      </c>
      <c r="BD2411" s="287" t="s">
        <v>1270</v>
      </c>
    </row>
    <row r="2412">
      <c r="A2412" s="44">
        <v>2412.0</v>
      </c>
      <c r="B2412" s="129" t="s">
        <v>114</v>
      </c>
      <c r="C2412" s="62" t="s">
        <v>115</v>
      </c>
      <c r="D2412" s="62" t="s">
        <v>2630</v>
      </c>
      <c r="F2412" s="68" t="s">
        <v>14522</v>
      </c>
      <c r="G2412" s="159" t="s">
        <v>14425</v>
      </c>
      <c r="H2412" s="159" t="s">
        <v>14426</v>
      </c>
      <c r="I2412" s="1287" t="s">
        <v>14427</v>
      </c>
      <c r="J2412" s="153">
        <v>45807.0</v>
      </c>
      <c r="K2412" s="68"/>
      <c r="L2412" s="129" t="s">
        <v>14523</v>
      </c>
      <c r="M2412" s="159" t="s">
        <v>14515</v>
      </c>
      <c r="N2412" s="159" t="s">
        <v>14516</v>
      </c>
      <c r="O2412" s="156">
        <v>2.0</v>
      </c>
      <c r="P2412" s="382" t="s">
        <v>14517</v>
      </c>
      <c r="Q2412" s="52" t="str">
        <f t="array" ref="Q2412"> if(iserror(MATCH(V2412, 'File Links'!C:C, 0)), "N/A", HYPERLINK(INDEX('File Links'!B:B, MATCH(P2412, 'File Links'!C:C, 0))))</f>
        <v>https://drive.google.com/file/d/1KF3EmUMvFgpP_JffHNBHYjTtKalpvzRE/view?usp=drivesdk</v>
      </c>
      <c r="R2412" s="159" t="s">
        <v>14432</v>
      </c>
      <c r="S2412" s="159" t="s">
        <v>14433</v>
      </c>
      <c r="T2412" s="68"/>
      <c r="U2412" s="129">
        <v>1.0</v>
      </c>
      <c r="V2412" s="382" t="s">
        <v>14434</v>
      </c>
      <c r="W2412" s="295" t="s">
        <v>209</v>
      </c>
      <c r="X2412" s="54" t="str">
        <f t="array" ref="X2412"> if(iserror(MATCH(V2412, 'File Links'!C:C, 0)), "N/A", HYPERLINK(INDEX('File Links'!B:B, MATCH(V2412, 'File Links'!C:C, 0))))</f>
        <v>https://drive.google.com/file/d/17mZvRs3ue7pXwqu8bmIDvgNdc95PGEcV/view?usp=drivesdk</v>
      </c>
      <c r="Y2412" s="159" t="s">
        <v>138</v>
      </c>
      <c r="Z2412" s="159" t="s">
        <v>1079</v>
      </c>
      <c r="AA2412" s="159" t="s">
        <v>14524</v>
      </c>
      <c r="AB2412" s="159" t="s">
        <v>14436</v>
      </c>
      <c r="AC2412" s="159" t="s">
        <v>14525</v>
      </c>
      <c r="AD2412" s="151" t="s">
        <v>14526</v>
      </c>
      <c r="AE2412" s="161" t="s">
        <v>628</v>
      </c>
      <c r="AF2412" s="156">
        <v>1228.0</v>
      </c>
      <c r="AG2412" s="156">
        <v>0.41</v>
      </c>
      <c r="AH2412" s="159" t="s">
        <v>215</v>
      </c>
      <c r="AI2412" s="151" t="s">
        <v>14521</v>
      </c>
      <c r="AJ2412" s="336">
        <v>0.01</v>
      </c>
      <c r="AK2412" s="159" t="s">
        <v>135</v>
      </c>
      <c r="AL2412" s="481" t="s">
        <v>186</v>
      </c>
      <c r="AM2412" s="159" t="s">
        <v>137</v>
      </c>
      <c r="AN2412" s="159" t="s">
        <v>138</v>
      </c>
      <c r="AO2412" s="156">
        <v>1559.0</v>
      </c>
      <c r="AP2412" s="156">
        <v>0.54</v>
      </c>
      <c r="AQ2412" s="159" t="s">
        <v>215</v>
      </c>
      <c r="AR2412" s="159" t="s">
        <v>14440</v>
      </c>
      <c r="AS2412" s="2094">
        <v>3.08233450393398E-105</v>
      </c>
      <c r="AT2412" s="1793" t="s">
        <v>172</v>
      </c>
      <c r="AU2412" s="1792" t="s">
        <v>136</v>
      </c>
      <c r="AV2412" s="159" t="s">
        <v>137</v>
      </c>
      <c r="AW2412" s="435" t="s">
        <v>14441</v>
      </c>
      <c r="AX2412" s="159" t="s">
        <v>143</v>
      </c>
      <c r="AY2412" s="61" t="str">
        <f>IFERROR(__xludf.DUMMYFUNCTION("vlookup(BB2412,importrange(""https://docs.google.com/spreadsheets/d/1d2vevQ_7D_v35q4wCQ4RpQ_IPoTwEMB9Yp6ymwlPqew/edit?gid=984458430#gid=984458430"", ""'replication success'!A:K""), 11, FAlSE)"),"")</f>
        <v/>
      </c>
      <c r="AZ2412" s="61" t="str">
        <f>IFERROR(__xludf.DUMMYFUNCTION("vlookup(BB2412,importrange(""https://docs.google.com/spreadsheets/d/1d2vevQ_7D_v35q4wCQ4RpQ_IPoTwEMB9Yp6ymwlPqew/edit?gid=984458430#gid=984458430"", ""'replication success'!A:M""), 12, FAlSE)"),"")</f>
        <v/>
      </c>
      <c r="BA2412" s="61" t="str">
        <f>IFERROR(__xludf.DUMMYFUNCTION("vlookup(BB2412,importrange(""https://docs.google.com/spreadsheets/d/1d2vevQ_7D_v35q4wCQ4RpQ_IPoTwEMB9Yp6ymwlPqew/edit?gid=984458430#gid=984458430"", ""'replication success'!A:M""), 13, FAlSE)"),"abstract")</f>
        <v>abstract</v>
      </c>
      <c r="BB2412" s="61" t="str">
        <f>IFERROR(__xludf.DUMMYFUNCTION("REGEXREPLACE(G2412, ""_[a-z]{1,2}$"", """")"),"Soto")</f>
        <v>Soto</v>
      </c>
      <c r="BD2412" s="287" t="s">
        <v>1270</v>
      </c>
    </row>
    <row r="2413">
      <c r="A2413" s="44">
        <v>2413.0</v>
      </c>
      <c r="B2413" s="212" t="s">
        <v>152</v>
      </c>
      <c r="C2413" s="2095" t="s">
        <v>115</v>
      </c>
      <c r="D2413" s="2095" t="s">
        <v>2630</v>
      </c>
      <c r="E2413" s="2096"/>
      <c r="F2413" s="2097" t="s">
        <v>14527</v>
      </c>
      <c r="G2413" s="2098" t="s">
        <v>14425</v>
      </c>
      <c r="H2413" s="2098" t="s">
        <v>14426</v>
      </c>
      <c r="I2413" s="2099" t="s">
        <v>14427</v>
      </c>
      <c r="J2413" s="153">
        <v>45807.0</v>
      </c>
      <c r="K2413" s="2097"/>
      <c r="L2413" s="212" t="s">
        <v>14528</v>
      </c>
      <c r="M2413" s="2098" t="s">
        <v>14529</v>
      </c>
      <c r="N2413" s="2098" t="s">
        <v>14530</v>
      </c>
      <c r="O2413" s="212">
        <v>1.0</v>
      </c>
      <c r="P2413" s="2098" t="s">
        <v>14531</v>
      </c>
      <c r="Q2413" s="2100" t="str">
        <f t="array" ref="Q2413"> if(iserror(MATCH(V2413, 'File Links'!C:C, 0)), "N/A", HYPERLINK(INDEX('File Links'!B:B, MATCH(P2413, 'File Links'!C:C, 0))))</f>
        <v>https://drive.google.com/file/d/1J_0Y3dKunmzcdm9LjbKZTpby7Qd4ipkA/view?usp=drivesdk</v>
      </c>
      <c r="R2413" s="2098" t="s">
        <v>14432</v>
      </c>
      <c r="S2413" s="2098" t="s">
        <v>14433</v>
      </c>
      <c r="T2413" s="2097"/>
      <c r="U2413" s="212">
        <v>1.0</v>
      </c>
      <c r="V2413" s="2098" t="s">
        <v>14434</v>
      </c>
      <c r="W2413" s="212" t="s">
        <v>209</v>
      </c>
      <c r="X2413" s="2101" t="str">
        <f t="array" ref="X2413"> if(iserror(MATCH(V2413, 'File Links'!C:C, 0)), "N/A", HYPERLINK(INDEX('File Links'!B:B, MATCH(V2413, 'File Links'!C:C, 0))))</f>
        <v>https://drive.google.com/file/d/17mZvRs3ue7pXwqu8bmIDvgNdc95PGEcV/view?usp=drivesdk</v>
      </c>
      <c r="Y2413" s="2098" t="s">
        <v>138</v>
      </c>
      <c r="Z2413" s="2098" t="s">
        <v>1079</v>
      </c>
      <c r="AA2413" s="2097" t="s">
        <v>14532</v>
      </c>
      <c r="AB2413" s="2098" t="s">
        <v>14436</v>
      </c>
      <c r="AC2413" s="2098" t="s">
        <v>14533</v>
      </c>
      <c r="AD2413" s="2098" t="s">
        <v>14534</v>
      </c>
      <c r="AE2413" s="2102" t="s">
        <v>217</v>
      </c>
      <c r="AF2413" s="2103">
        <v>140.0</v>
      </c>
      <c r="AG2413" s="2103">
        <v>0.58</v>
      </c>
      <c r="AH2413" s="2098" t="s">
        <v>215</v>
      </c>
      <c r="AI2413" s="1424" t="s">
        <v>14535</v>
      </c>
      <c r="AJ2413" s="2104">
        <v>0.01</v>
      </c>
      <c r="AK2413" s="2098" t="s">
        <v>135</v>
      </c>
      <c r="AL2413" s="2098" t="s">
        <v>186</v>
      </c>
      <c r="AM2413" s="2098" t="s">
        <v>137</v>
      </c>
      <c r="AN2413" s="2098" t="s">
        <v>138</v>
      </c>
      <c r="AO2413" s="2103">
        <v>1550.0</v>
      </c>
      <c r="AP2413" s="2102">
        <v>0.57</v>
      </c>
      <c r="AQ2413" s="2098" t="s">
        <v>215</v>
      </c>
      <c r="AR2413" s="2098" t="s">
        <v>14440</v>
      </c>
      <c r="AS2413" s="2105">
        <v>9.89133616410579E-76</v>
      </c>
      <c r="AT2413" s="1793" t="s">
        <v>172</v>
      </c>
      <c r="AU2413" s="2098" t="s">
        <v>136</v>
      </c>
      <c r="AV2413" s="2098" t="s">
        <v>137</v>
      </c>
      <c r="AW2413" s="2106" t="s">
        <v>14441</v>
      </c>
      <c r="AX2413" s="2098" t="s">
        <v>143</v>
      </c>
      <c r="AY2413" s="61" t="str">
        <f>IFERROR(__xludf.DUMMYFUNCTION("vlookup(BB2413,importrange(""https://docs.google.com/spreadsheets/d/1d2vevQ_7D_v35q4wCQ4RpQ_IPoTwEMB9Yp6ymwlPqew/edit?gid=984458430#gid=984458430"", ""'replication success'!A:K""), 11, FAlSE)"),"")</f>
        <v/>
      </c>
      <c r="AZ2413" s="61" t="str">
        <f>IFERROR(__xludf.DUMMYFUNCTION("vlookup(BB2413,importrange(""https://docs.google.com/spreadsheets/d/1d2vevQ_7D_v35q4wCQ4RpQ_IPoTwEMB9Yp6ymwlPqew/edit?gid=984458430#gid=984458430"", ""'replication success'!A:M""), 12, FAlSE)"),"")</f>
        <v/>
      </c>
      <c r="BA2413" s="61" t="str">
        <f>IFERROR(__xludf.DUMMYFUNCTION("vlookup(BB2413,importrange(""https://docs.google.com/spreadsheets/d/1d2vevQ_7D_v35q4wCQ4RpQ_IPoTwEMB9Yp6ymwlPqew/edit?gid=984458430#gid=984458430"", ""'replication success'!A:M""), 13, FAlSE)"),"abstract")</f>
        <v>abstract</v>
      </c>
      <c r="BB2413" s="61" t="str">
        <f>IFERROR(__xludf.DUMMYFUNCTION("REGEXREPLACE(G2413, ""_[a-z]{1,2}$"", """")"),"Soto")</f>
        <v>Soto</v>
      </c>
      <c r="BC2413" s="2096"/>
      <c r="BD2413" s="287" t="s">
        <v>1270</v>
      </c>
      <c r="BE2413" s="2096"/>
      <c r="BF2413" s="2096"/>
      <c r="BG2413" s="2096"/>
      <c r="BH2413" s="2096"/>
      <c r="BI2413" s="2096"/>
      <c r="BJ2413" s="2096"/>
      <c r="BK2413" s="2096"/>
      <c r="BL2413" s="2096"/>
      <c r="BM2413" s="2096"/>
      <c r="BN2413" s="2096"/>
      <c r="BO2413" s="2096"/>
      <c r="BP2413" s="2096"/>
      <c r="BQ2413" s="2096"/>
      <c r="BR2413" s="2096"/>
      <c r="BS2413" s="2096"/>
      <c r="BT2413" s="2096"/>
      <c r="BU2413" s="2096"/>
      <c r="BV2413" s="2096"/>
      <c r="BW2413" s="2096"/>
      <c r="BX2413" s="2096"/>
      <c r="BY2413" s="2096"/>
      <c r="BZ2413" s="2096"/>
      <c r="CA2413" s="2096"/>
      <c r="CB2413" s="2096"/>
      <c r="CC2413" s="2096"/>
      <c r="CD2413" s="2096"/>
      <c r="CE2413" s="2096"/>
      <c r="CF2413" s="2096"/>
      <c r="CG2413" s="2096"/>
      <c r="CH2413" s="2096"/>
      <c r="CI2413" s="2096"/>
      <c r="CJ2413" s="2096"/>
      <c r="CK2413" s="2096"/>
      <c r="CL2413" s="2096"/>
      <c r="CM2413" s="2096"/>
      <c r="CN2413" s="2096"/>
      <c r="CO2413" s="2096"/>
      <c r="CP2413" s="2096"/>
      <c r="CQ2413" s="2096"/>
      <c r="CR2413" s="2096"/>
      <c r="CS2413" s="2096"/>
      <c r="CT2413" s="2096"/>
      <c r="CU2413" s="2096"/>
      <c r="CV2413" s="2096"/>
      <c r="CW2413" s="2096"/>
      <c r="CX2413" s="2096"/>
      <c r="CY2413" s="2096"/>
      <c r="CZ2413" s="2096"/>
      <c r="DA2413" s="2096"/>
      <c r="DB2413" s="2096"/>
      <c r="DC2413" s="2096"/>
      <c r="DD2413" s="2096"/>
      <c r="DE2413" s="2096"/>
      <c r="DF2413" s="2096"/>
      <c r="DG2413" s="2096"/>
      <c r="DH2413" s="2096"/>
      <c r="DI2413" s="2096"/>
      <c r="DJ2413" s="2096"/>
      <c r="DK2413" s="2096"/>
      <c r="DL2413" s="2096"/>
    </row>
    <row r="2414">
      <c r="A2414" s="44">
        <v>2414.0</v>
      </c>
      <c r="B2414" s="129" t="s">
        <v>114</v>
      </c>
      <c r="C2414" s="62" t="s">
        <v>115</v>
      </c>
      <c r="D2414" s="62" t="s">
        <v>2630</v>
      </c>
      <c r="F2414" s="68" t="s">
        <v>14536</v>
      </c>
      <c r="G2414" s="159" t="s">
        <v>14425</v>
      </c>
      <c r="H2414" s="159" t="s">
        <v>14426</v>
      </c>
      <c r="I2414" s="1287" t="s">
        <v>14427</v>
      </c>
      <c r="J2414" s="153">
        <v>45807.0</v>
      </c>
      <c r="K2414" s="68"/>
      <c r="L2414" s="129" t="s">
        <v>14537</v>
      </c>
      <c r="M2414" s="159" t="s">
        <v>14538</v>
      </c>
      <c r="N2414" s="159" t="s">
        <v>14539</v>
      </c>
      <c r="O2414" s="129">
        <v>1.0</v>
      </c>
      <c r="P2414" s="382" t="s">
        <v>14540</v>
      </c>
      <c r="Q2414" s="52" t="str">
        <f t="array" ref="Q2414"> if(iserror(MATCH(V2414, 'File Links'!C:C, 0)), "N/A", HYPERLINK(INDEX('File Links'!B:B, MATCH(P2414, 'File Links'!C:C, 0))))</f>
        <v>https://drive.google.com/file/d/1MRe3AF5QHB9EAYy2OvHfuDzmNbF-vcva/view?usp=drivesdk</v>
      </c>
      <c r="R2414" s="159" t="s">
        <v>14432</v>
      </c>
      <c r="S2414" s="159" t="s">
        <v>14433</v>
      </c>
      <c r="T2414" s="68"/>
      <c r="U2414" s="129">
        <v>1.0</v>
      </c>
      <c r="V2414" s="382" t="s">
        <v>14434</v>
      </c>
      <c r="W2414" s="295" t="s">
        <v>209</v>
      </c>
      <c r="X2414" s="54" t="str">
        <f t="array" ref="X2414"> if(iserror(MATCH(V2414, 'File Links'!C:C, 0)), "N/A", HYPERLINK(INDEX('File Links'!B:B, MATCH(V2414, 'File Links'!C:C, 0))))</f>
        <v>https://drive.google.com/file/d/17mZvRs3ue7pXwqu8bmIDvgNdc95PGEcV/view?usp=drivesdk</v>
      </c>
      <c r="Y2414" s="159" t="s">
        <v>138</v>
      </c>
      <c r="Z2414" s="159" t="s">
        <v>1079</v>
      </c>
      <c r="AA2414" s="159" t="s">
        <v>14541</v>
      </c>
      <c r="AB2414" s="159" t="s">
        <v>14436</v>
      </c>
      <c r="AC2414" s="159" t="s">
        <v>14541</v>
      </c>
      <c r="AD2414" s="159" t="s">
        <v>14542</v>
      </c>
      <c r="AE2414" s="156">
        <v>13.0</v>
      </c>
      <c r="AF2414" s="156">
        <v>9131.0</v>
      </c>
      <c r="AG2414" s="156">
        <v>0.17</v>
      </c>
      <c r="AH2414" s="159" t="s">
        <v>215</v>
      </c>
      <c r="AI2414" s="151" t="s">
        <v>14543</v>
      </c>
      <c r="AJ2414" s="336">
        <v>0.01</v>
      </c>
      <c r="AK2414" s="159" t="s">
        <v>135</v>
      </c>
      <c r="AL2414" s="2098" t="s">
        <v>186</v>
      </c>
      <c r="AM2414" s="159" t="s">
        <v>137</v>
      </c>
      <c r="AN2414" s="159" t="s">
        <v>138</v>
      </c>
      <c r="AO2414" s="156">
        <v>1559.0</v>
      </c>
      <c r="AP2414" s="161">
        <v>0.39</v>
      </c>
      <c r="AQ2414" s="159" t="s">
        <v>215</v>
      </c>
      <c r="AR2414" s="159" t="s">
        <v>14440</v>
      </c>
      <c r="AS2414" s="347" t="s">
        <v>138</v>
      </c>
      <c r="AT2414" s="347" t="s">
        <v>138</v>
      </c>
      <c r="AU2414" s="46" t="s">
        <v>186</v>
      </c>
      <c r="AV2414" s="159" t="s">
        <v>137</v>
      </c>
      <c r="AW2414" s="435" t="s">
        <v>14441</v>
      </c>
      <c r="AX2414" s="159" t="s">
        <v>143</v>
      </c>
      <c r="AY2414" s="61" t="str">
        <f>IFERROR(__xludf.DUMMYFUNCTION("vlookup(BB2414,importrange(""https://docs.google.com/spreadsheets/d/1d2vevQ_7D_v35q4wCQ4RpQ_IPoTwEMB9Yp6ymwlPqew/edit?gid=984458430#gid=984458430"", ""'replication success'!A:K""), 11, FAlSE)"),"")</f>
        <v/>
      </c>
      <c r="AZ2414" s="61" t="str">
        <f>IFERROR(__xludf.DUMMYFUNCTION("vlookup(BB2414,importrange(""https://docs.google.com/spreadsheets/d/1d2vevQ_7D_v35q4wCQ4RpQ_IPoTwEMB9Yp6ymwlPqew/edit?gid=984458430#gid=984458430"", ""'replication success'!A:M""), 12, FAlSE)"),"")</f>
        <v/>
      </c>
      <c r="BA2414" s="61" t="str">
        <f>IFERROR(__xludf.DUMMYFUNCTION("vlookup(BB2414,importrange(""https://docs.google.com/spreadsheets/d/1d2vevQ_7D_v35q4wCQ4RpQ_IPoTwEMB9Yp6ymwlPqew/edit?gid=984458430#gid=984458430"", ""'replication success'!A:M""), 13, FAlSE)"),"abstract")</f>
        <v>abstract</v>
      </c>
      <c r="BB2414" s="61" t="str">
        <f>IFERROR(__xludf.DUMMYFUNCTION("REGEXREPLACE(G2414, ""_[a-z]{1,2}$"", """")"),"Soto")</f>
        <v>Soto</v>
      </c>
      <c r="BD2414" s="287" t="s">
        <v>1270</v>
      </c>
    </row>
    <row r="2415">
      <c r="A2415" s="44">
        <v>2415.0</v>
      </c>
      <c r="B2415" s="129" t="s">
        <v>114</v>
      </c>
      <c r="C2415" s="62" t="s">
        <v>115</v>
      </c>
      <c r="D2415" s="62" t="s">
        <v>2630</v>
      </c>
      <c r="F2415" s="68" t="s">
        <v>14544</v>
      </c>
      <c r="G2415" s="159" t="s">
        <v>14425</v>
      </c>
      <c r="H2415" s="159" t="s">
        <v>14426</v>
      </c>
      <c r="I2415" s="1287" t="s">
        <v>14427</v>
      </c>
      <c r="J2415" s="153">
        <v>45807.0</v>
      </c>
      <c r="K2415" s="68"/>
      <c r="L2415" s="129" t="s">
        <v>14537</v>
      </c>
      <c r="M2415" s="159" t="s">
        <v>14538</v>
      </c>
      <c r="N2415" s="159" t="s">
        <v>14539</v>
      </c>
      <c r="O2415" s="129">
        <v>1.0</v>
      </c>
      <c r="P2415" s="382" t="s">
        <v>14540</v>
      </c>
      <c r="Q2415" s="52" t="str">
        <f t="array" ref="Q2415"> if(iserror(MATCH(V2415, 'File Links'!C:C, 0)), "N/A", HYPERLINK(INDEX('File Links'!B:B, MATCH(P2415, 'File Links'!C:C, 0))))</f>
        <v>https://drive.google.com/file/d/1MRe3AF5QHB9EAYy2OvHfuDzmNbF-vcva/view?usp=drivesdk</v>
      </c>
      <c r="R2415" s="159" t="s">
        <v>14432</v>
      </c>
      <c r="S2415" s="159" t="s">
        <v>14433</v>
      </c>
      <c r="T2415" s="68"/>
      <c r="U2415" s="129">
        <v>1.0</v>
      </c>
      <c r="V2415" s="382" t="s">
        <v>14434</v>
      </c>
      <c r="W2415" s="295" t="s">
        <v>209</v>
      </c>
      <c r="X2415" s="54" t="str">
        <f t="array" ref="X2415"> if(iserror(MATCH(V2415, 'File Links'!C:C, 0)), "N/A", HYPERLINK(INDEX('File Links'!B:B, MATCH(V2415, 'File Links'!C:C, 0))))</f>
        <v>https://drive.google.com/file/d/17mZvRs3ue7pXwqu8bmIDvgNdc95PGEcV/view?usp=drivesdk</v>
      </c>
      <c r="Y2415" s="159" t="s">
        <v>138</v>
      </c>
      <c r="Z2415" s="159" t="s">
        <v>1079</v>
      </c>
      <c r="AA2415" s="159" t="s">
        <v>14545</v>
      </c>
      <c r="AB2415" s="159" t="s">
        <v>14436</v>
      </c>
      <c r="AC2415" s="159" t="s">
        <v>14545</v>
      </c>
      <c r="AD2415" s="159" t="s">
        <v>14542</v>
      </c>
      <c r="AE2415" s="156">
        <v>13.0</v>
      </c>
      <c r="AF2415" s="156">
        <v>7869.0</v>
      </c>
      <c r="AG2415" s="156">
        <v>-0.22</v>
      </c>
      <c r="AH2415" s="159" t="s">
        <v>215</v>
      </c>
      <c r="AI2415" s="151" t="s">
        <v>14543</v>
      </c>
      <c r="AJ2415" s="336">
        <v>0.01</v>
      </c>
      <c r="AK2415" s="159" t="s">
        <v>135</v>
      </c>
      <c r="AL2415" s="2098" t="s">
        <v>186</v>
      </c>
      <c r="AM2415" s="159" t="s">
        <v>137</v>
      </c>
      <c r="AN2415" s="159" t="s">
        <v>138</v>
      </c>
      <c r="AO2415" s="156">
        <v>1559.0</v>
      </c>
      <c r="AP2415" s="161">
        <v>-0.54</v>
      </c>
      <c r="AQ2415" s="159" t="s">
        <v>215</v>
      </c>
      <c r="AR2415" s="159" t="s">
        <v>14440</v>
      </c>
      <c r="AS2415" s="347" t="s">
        <v>138</v>
      </c>
      <c r="AT2415" s="347" t="s">
        <v>138</v>
      </c>
      <c r="AU2415" s="46" t="s">
        <v>186</v>
      </c>
      <c r="AV2415" s="159" t="s">
        <v>137</v>
      </c>
      <c r="AW2415" s="435" t="s">
        <v>14441</v>
      </c>
      <c r="AX2415" s="159" t="s">
        <v>143</v>
      </c>
      <c r="AY2415" s="61" t="str">
        <f>IFERROR(__xludf.DUMMYFUNCTION("vlookup(BB2415,importrange(""https://docs.google.com/spreadsheets/d/1d2vevQ_7D_v35q4wCQ4RpQ_IPoTwEMB9Yp6ymwlPqew/edit?gid=984458430#gid=984458430"", ""'replication success'!A:K""), 11, FAlSE)"),"")</f>
        <v/>
      </c>
      <c r="AZ2415" s="61" t="str">
        <f>IFERROR(__xludf.DUMMYFUNCTION("vlookup(BB2415,importrange(""https://docs.google.com/spreadsheets/d/1d2vevQ_7D_v35q4wCQ4RpQ_IPoTwEMB9Yp6ymwlPqew/edit?gid=984458430#gid=984458430"", ""'replication success'!A:M""), 12, FAlSE)"),"")</f>
        <v/>
      </c>
      <c r="BA2415" s="61" t="str">
        <f>IFERROR(__xludf.DUMMYFUNCTION("vlookup(BB2415,importrange(""https://docs.google.com/spreadsheets/d/1d2vevQ_7D_v35q4wCQ4RpQ_IPoTwEMB9Yp6ymwlPqew/edit?gid=984458430#gid=984458430"", ""'replication success'!A:M""), 13, FAlSE)"),"abstract")</f>
        <v>abstract</v>
      </c>
      <c r="BB2415" s="61" t="str">
        <f>IFERROR(__xludf.DUMMYFUNCTION("REGEXREPLACE(G2415, ""_[a-z]{1,2}$"", """")"),"Soto")</f>
        <v>Soto</v>
      </c>
      <c r="BD2415" s="287" t="s">
        <v>1270</v>
      </c>
    </row>
    <row r="2416">
      <c r="A2416" s="44">
        <v>2416.0</v>
      </c>
      <c r="B2416" s="695" t="s">
        <v>114</v>
      </c>
      <c r="C2416" s="227" t="s">
        <v>115</v>
      </c>
      <c r="D2416" s="227" t="s">
        <v>2630</v>
      </c>
      <c r="E2416" s="228"/>
      <c r="F2416" s="237" t="s">
        <v>14546</v>
      </c>
      <c r="G2416" s="235" t="s">
        <v>14425</v>
      </c>
      <c r="H2416" s="235" t="s">
        <v>14426</v>
      </c>
      <c r="I2416" s="1399" t="s">
        <v>14427</v>
      </c>
      <c r="J2416" s="153">
        <v>45807.0</v>
      </c>
      <c r="K2416" s="237"/>
      <c r="L2416" s="695" t="s">
        <v>14547</v>
      </c>
      <c r="M2416" s="235" t="s">
        <v>14548</v>
      </c>
      <c r="N2416" s="235" t="s">
        <v>14549</v>
      </c>
      <c r="O2416" s="237"/>
      <c r="P2416" s="235" t="s">
        <v>14550</v>
      </c>
      <c r="Q2416" s="1409" t="str">
        <f t="array" ref="Q2416"> if(iserror(MATCH(V2416, 'File Links'!C:C, 0)), "N/A", HYPERLINK(INDEX('File Links'!B:B, MATCH(P2416, 'File Links'!C:C, 0))))</f>
        <v>https://drive.google.com/file/d/15-Qaf3mc5XQEsuoEm8ghrVO5S8iGirFd/view?usp=drivesdk</v>
      </c>
      <c r="R2416" s="235" t="s">
        <v>14432</v>
      </c>
      <c r="S2416" s="235" t="s">
        <v>14433</v>
      </c>
      <c r="T2416" s="237"/>
      <c r="U2416" s="237"/>
      <c r="V2416" s="235" t="s">
        <v>14434</v>
      </c>
      <c r="W2416" s="695" t="s">
        <v>209</v>
      </c>
      <c r="X2416" s="1410" t="str">
        <f t="array" ref="X2416"> if(iserror(MATCH(V2416, 'File Links'!C:C, 0)), "N/A", HYPERLINK(INDEX('File Links'!B:B, MATCH(V2416, 'File Links'!C:C, 0))))</f>
        <v>https://drive.google.com/file/d/17mZvRs3ue7pXwqu8bmIDvgNdc95PGEcV/view?usp=drivesdk</v>
      </c>
      <c r="Y2416" s="234" t="s">
        <v>141</v>
      </c>
      <c r="Z2416" s="235" t="s">
        <v>1079</v>
      </c>
      <c r="AA2416" s="235" t="s">
        <v>14551</v>
      </c>
      <c r="AB2416" s="235" t="s">
        <v>14436</v>
      </c>
      <c r="AC2416" s="235" t="s">
        <v>14551</v>
      </c>
      <c r="AD2416" s="237"/>
      <c r="AE2416" s="237"/>
      <c r="AF2416" s="696">
        <v>1108.0</v>
      </c>
      <c r="AG2416" s="696">
        <v>-0.06</v>
      </c>
      <c r="AH2416" s="235" t="s">
        <v>215</v>
      </c>
      <c r="AI2416" s="235" t="s">
        <v>14552</v>
      </c>
      <c r="AJ2416" s="696">
        <v>0.05</v>
      </c>
      <c r="AK2416" s="235" t="s">
        <v>135</v>
      </c>
      <c r="AL2416" s="235" t="s">
        <v>136</v>
      </c>
      <c r="AM2416" s="235" t="s">
        <v>137</v>
      </c>
      <c r="AN2416" s="235" t="s">
        <v>138</v>
      </c>
      <c r="AO2416" s="696">
        <v>1235.0</v>
      </c>
      <c r="AP2416" s="696">
        <v>-0.04</v>
      </c>
      <c r="AQ2416" s="235" t="s">
        <v>215</v>
      </c>
      <c r="AR2416" s="235" t="s">
        <v>14440</v>
      </c>
      <c r="AS2416" s="696">
        <v>0.001</v>
      </c>
      <c r="AT2416" s="235" t="s">
        <v>135</v>
      </c>
      <c r="AU2416" s="235" t="s">
        <v>136</v>
      </c>
      <c r="AV2416" s="235" t="s">
        <v>137</v>
      </c>
      <c r="AW2416" s="2107" t="s">
        <v>14441</v>
      </c>
      <c r="AX2416" s="235" t="s">
        <v>143</v>
      </c>
      <c r="AY2416" s="61" t="str">
        <f>IFERROR(__xludf.DUMMYFUNCTION("vlookup(BB2416,importrange(""https://docs.google.com/spreadsheets/d/1d2vevQ_7D_v35q4wCQ4RpQ_IPoTwEMB9Yp6ymwlPqew/edit?gid=984458430#gid=984458430"", ""'replication success'!A:K""), 11, FAlSE)"),"")</f>
        <v/>
      </c>
      <c r="AZ2416" s="61" t="str">
        <f>IFERROR(__xludf.DUMMYFUNCTION("vlookup(BB2416,importrange(""https://docs.google.com/spreadsheets/d/1d2vevQ_7D_v35q4wCQ4RpQ_IPoTwEMB9Yp6ymwlPqew/edit?gid=984458430#gid=984458430"", ""'replication success'!A:M""), 12, FAlSE)"),"")</f>
        <v/>
      </c>
      <c r="BA2416" s="61" t="str">
        <f>IFERROR(__xludf.DUMMYFUNCTION("vlookup(BB2416,importrange(""https://docs.google.com/spreadsheets/d/1d2vevQ_7D_v35q4wCQ4RpQ_IPoTwEMB9Yp6ymwlPqew/edit?gid=984458430#gid=984458430"", ""'replication success'!A:M""), 13, FAlSE)"),"abstract")</f>
        <v>abstract</v>
      </c>
      <c r="BB2416" s="61" t="str">
        <f>IFERROR(__xludf.DUMMYFUNCTION("REGEXREPLACE(G2416, ""_[a-z]{1,2}$"", """")"),"Soto")</f>
        <v>Soto</v>
      </c>
      <c r="BC2416" s="228"/>
      <c r="BD2416" s="287" t="s">
        <v>1270</v>
      </c>
      <c r="BE2416" s="228"/>
      <c r="BF2416" s="228"/>
      <c r="BG2416" s="228"/>
      <c r="BH2416" s="228"/>
      <c r="BI2416" s="228"/>
      <c r="BJ2416" s="228"/>
      <c r="BK2416" s="228"/>
      <c r="BL2416" s="228"/>
      <c r="BM2416" s="228"/>
      <c r="BN2416" s="228"/>
      <c r="BO2416" s="228"/>
      <c r="BP2416" s="228"/>
      <c r="BQ2416" s="228"/>
      <c r="BR2416" s="228"/>
      <c r="BS2416" s="228"/>
      <c r="BT2416" s="228"/>
      <c r="BU2416" s="228"/>
      <c r="BV2416" s="228"/>
      <c r="BW2416" s="228"/>
      <c r="BX2416" s="228"/>
      <c r="BY2416" s="228"/>
      <c r="BZ2416" s="228"/>
      <c r="CA2416" s="228"/>
      <c r="CB2416" s="228"/>
      <c r="CC2416" s="228"/>
      <c r="CD2416" s="228"/>
      <c r="CE2416" s="228"/>
      <c r="CF2416" s="228"/>
      <c r="CG2416" s="228"/>
      <c r="CH2416" s="228"/>
      <c r="CI2416" s="228"/>
      <c r="CJ2416" s="228"/>
      <c r="CK2416" s="228"/>
      <c r="CL2416" s="228"/>
      <c r="CM2416" s="228"/>
      <c r="CN2416" s="228"/>
      <c r="CO2416" s="228"/>
      <c r="CP2416" s="228"/>
      <c r="CQ2416" s="228"/>
      <c r="CR2416" s="228"/>
      <c r="CS2416" s="228"/>
      <c r="CT2416" s="228"/>
      <c r="CU2416" s="228"/>
      <c r="CV2416" s="228"/>
      <c r="CW2416" s="228"/>
      <c r="CX2416" s="228"/>
      <c r="CY2416" s="228"/>
      <c r="CZ2416" s="228"/>
      <c r="DA2416" s="228"/>
      <c r="DB2416" s="228"/>
      <c r="DC2416" s="228"/>
      <c r="DD2416" s="228"/>
      <c r="DE2416" s="228"/>
      <c r="DF2416" s="228"/>
      <c r="DG2416" s="228"/>
      <c r="DH2416" s="228"/>
      <c r="DI2416" s="228"/>
      <c r="DJ2416" s="228"/>
      <c r="DK2416" s="228"/>
      <c r="DL2416" s="228"/>
    </row>
    <row r="2417">
      <c r="A2417" s="44">
        <v>2417.0</v>
      </c>
      <c r="B2417" s="129" t="s">
        <v>152</v>
      </c>
      <c r="C2417" s="62" t="s">
        <v>115</v>
      </c>
      <c r="D2417" s="62" t="s">
        <v>2630</v>
      </c>
      <c r="F2417" s="68" t="s">
        <v>14553</v>
      </c>
      <c r="G2417" s="159" t="s">
        <v>14425</v>
      </c>
      <c r="H2417" s="159" t="s">
        <v>14426</v>
      </c>
      <c r="I2417" s="1287" t="s">
        <v>14427</v>
      </c>
      <c r="J2417" s="153">
        <v>45807.0</v>
      </c>
      <c r="K2417" s="68"/>
      <c r="L2417" s="123" t="s">
        <v>14554</v>
      </c>
      <c r="M2417" s="159" t="s">
        <v>14555</v>
      </c>
      <c r="N2417" s="159" t="s">
        <v>14556</v>
      </c>
      <c r="O2417" s="129">
        <v>1.0</v>
      </c>
      <c r="P2417" s="382" t="s">
        <v>14557</v>
      </c>
      <c r="Q2417" s="52" t="str">
        <f t="array" ref="Q2417"> if(iserror(MATCH(V2417, 'File Links'!C:C, 0)), "N/A", HYPERLINK(INDEX('File Links'!B:B, MATCH(P2417, 'File Links'!C:C, 0))))</f>
        <v>https://drive.google.com/file/d/1LZncKWBlcPAXx3IU4UaMX86KjCorRHG5/view?usp=drivesdk</v>
      </c>
      <c r="R2417" s="159" t="s">
        <v>14432</v>
      </c>
      <c r="S2417" s="159" t="s">
        <v>14433</v>
      </c>
      <c r="T2417" s="68"/>
      <c r="U2417" s="129">
        <v>1.0</v>
      </c>
      <c r="V2417" s="382" t="s">
        <v>14434</v>
      </c>
      <c r="W2417" s="295" t="s">
        <v>209</v>
      </c>
      <c r="X2417" s="54" t="str">
        <f t="array" ref="X2417"> if(iserror(MATCH(V2417, 'File Links'!C:C, 0)), "N/A", HYPERLINK(INDEX('File Links'!B:B, MATCH(V2417, 'File Links'!C:C, 0))))</f>
        <v>https://drive.google.com/file/d/17mZvRs3ue7pXwqu8bmIDvgNdc95PGEcV/view?usp=drivesdk</v>
      </c>
      <c r="Y2417" s="159" t="s">
        <v>138</v>
      </c>
      <c r="Z2417" s="159" t="s">
        <v>1079</v>
      </c>
      <c r="AA2417" s="159" t="s">
        <v>14558</v>
      </c>
      <c r="AB2417" s="159" t="s">
        <v>14436</v>
      </c>
      <c r="AC2417" s="159" t="s">
        <v>14558</v>
      </c>
      <c r="AD2417" s="129" t="s">
        <v>14559</v>
      </c>
      <c r="AE2417" s="129" t="s">
        <v>217</v>
      </c>
      <c r="AF2417" s="156">
        <v>138.0</v>
      </c>
      <c r="AG2417" s="156">
        <v>0.19</v>
      </c>
      <c r="AH2417" s="159" t="s">
        <v>215</v>
      </c>
      <c r="AI2417" s="151" t="s">
        <v>14560</v>
      </c>
      <c r="AJ2417" s="156">
        <v>0.05</v>
      </c>
      <c r="AK2417" s="235" t="s">
        <v>135</v>
      </c>
      <c r="AL2417" s="2098" t="s">
        <v>186</v>
      </c>
      <c r="AM2417" s="159" t="s">
        <v>137</v>
      </c>
      <c r="AN2417" s="159" t="s">
        <v>138</v>
      </c>
      <c r="AO2417" s="156">
        <v>1505.0</v>
      </c>
      <c r="AP2417" s="156">
        <v>0.18</v>
      </c>
      <c r="AQ2417" s="159" t="s">
        <v>215</v>
      </c>
      <c r="AR2417" s="690" t="s">
        <v>14561</v>
      </c>
      <c r="AS2417" s="2108">
        <v>9.52825986633411E-10</v>
      </c>
      <c r="AT2417" s="1793" t="s">
        <v>172</v>
      </c>
      <c r="AU2417" s="1792" t="s">
        <v>136</v>
      </c>
      <c r="AV2417" s="159" t="s">
        <v>137</v>
      </c>
      <c r="AW2417" s="435" t="s">
        <v>14441</v>
      </c>
      <c r="AX2417" s="159" t="s">
        <v>143</v>
      </c>
      <c r="AY2417" s="61" t="str">
        <f>IFERROR(__xludf.DUMMYFUNCTION("vlookup(BB2417,importrange(""https://docs.google.com/spreadsheets/d/1d2vevQ_7D_v35q4wCQ4RpQ_IPoTwEMB9Yp6ymwlPqew/edit?gid=984458430#gid=984458430"", ""'replication success'!A:K""), 11, FAlSE)"),"")</f>
        <v/>
      </c>
      <c r="AZ2417" s="61" t="str">
        <f>IFERROR(__xludf.DUMMYFUNCTION("vlookup(BB2417,importrange(""https://docs.google.com/spreadsheets/d/1d2vevQ_7D_v35q4wCQ4RpQ_IPoTwEMB9Yp6ymwlPqew/edit?gid=984458430#gid=984458430"", ""'replication success'!A:M""), 12, FAlSE)"),"")</f>
        <v/>
      </c>
      <c r="BA2417" s="61" t="str">
        <f>IFERROR(__xludf.DUMMYFUNCTION("vlookup(BB2417,importrange(""https://docs.google.com/spreadsheets/d/1d2vevQ_7D_v35q4wCQ4RpQ_IPoTwEMB9Yp6ymwlPqew/edit?gid=984458430#gid=984458430"", ""'replication success'!A:M""), 13, FAlSE)"),"abstract")</f>
        <v>abstract</v>
      </c>
      <c r="BB2417" s="61" t="str">
        <f>IFERROR(__xludf.DUMMYFUNCTION("REGEXREPLACE(G2417, ""_[a-z]{1,2}$"", """")"),"Soto")</f>
        <v>Soto</v>
      </c>
      <c r="BD2417" s="287" t="s">
        <v>1270</v>
      </c>
    </row>
    <row r="2418">
      <c r="A2418" s="44">
        <v>2418.0</v>
      </c>
      <c r="B2418" s="631" t="s">
        <v>114</v>
      </c>
      <c r="C2418" s="397" t="s">
        <v>115</v>
      </c>
      <c r="D2418" s="397" t="s">
        <v>2630</v>
      </c>
      <c r="E2418" s="220"/>
      <c r="F2418" s="398" t="s">
        <v>14562</v>
      </c>
      <c r="G2418" s="407" t="s">
        <v>14425</v>
      </c>
      <c r="H2418" s="407" t="s">
        <v>14426</v>
      </c>
      <c r="I2418" s="2109" t="s">
        <v>14427</v>
      </c>
      <c r="J2418" s="2110">
        <v>45814.0</v>
      </c>
      <c r="K2418" s="398"/>
      <c r="L2418" s="631" t="s">
        <v>14563</v>
      </c>
      <c r="M2418" s="407" t="s">
        <v>14564</v>
      </c>
      <c r="N2418" s="407" t="s">
        <v>14565</v>
      </c>
      <c r="O2418" s="631">
        <v>1.0</v>
      </c>
      <c r="P2418" s="407" t="s">
        <v>14566</v>
      </c>
      <c r="Q2418" s="882" t="str">
        <f t="array" ref="Q2418"> if(iserror(MATCH(V2418, 'File Links'!C:C, 0)), "N/A", HYPERLINK(INDEX('File Links'!B:B, MATCH(P2418, 'File Links'!C:C, 0))))</f>
        <v>https://drive.google.com/file/d/1yjPQh3Y3JQTvZt9KASbvE7xGnpHw0Txm/view?usp=drivesdk</v>
      </c>
      <c r="R2418" s="407" t="s">
        <v>14432</v>
      </c>
      <c r="S2418" s="407" t="s">
        <v>14433</v>
      </c>
      <c r="T2418" s="398"/>
      <c r="U2418" s="631">
        <v>1.0</v>
      </c>
      <c r="V2418" s="407" t="s">
        <v>14434</v>
      </c>
      <c r="W2418" s="631" t="s">
        <v>209</v>
      </c>
      <c r="X2418" s="883" t="str">
        <f t="array" ref="X2418"> if(iserror(MATCH(V2418, 'File Links'!C:C, 0)), "N/A", HYPERLINK(INDEX('File Links'!B:B, MATCH(V2418, 'File Links'!C:C, 0))))</f>
        <v>https://drive.google.com/file/d/17mZvRs3ue7pXwqu8bmIDvgNdc95PGEcV/view?usp=drivesdk</v>
      </c>
      <c r="Y2418" s="407" t="s">
        <v>138</v>
      </c>
      <c r="Z2418" s="407" t="s">
        <v>1079</v>
      </c>
      <c r="AA2418" s="407" t="s">
        <v>14567</v>
      </c>
      <c r="AB2418" s="407" t="s">
        <v>14436</v>
      </c>
      <c r="AC2418" s="407" t="s">
        <v>14567</v>
      </c>
      <c r="AD2418" s="407" t="s">
        <v>14568</v>
      </c>
      <c r="AE2418" s="728">
        <v>6.0</v>
      </c>
      <c r="AF2418" s="728">
        <v>468.0</v>
      </c>
      <c r="AG2418" s="728">
        <v>-0.22</v>
      </c>
      <c r="AH2418" s="407" t="s">
        <v>215</v>
      </c>
      <c r="AI2418" s="640" t="s">
        <v>140</v>
      </c>
      <c r="AJ2418" s="770">
        <v>0.001</v>
      </c>
      <c r="AK2418" s="407" t="s">
        <v>135</v>
      </c>
      <c r="AL2418" s="2098" t="s">
        <v>186</v>
      </c>
      <c r="AM2418" s="407" t="s">
        <v>137</v>
      </c>
      <c r="AN2418" s="407" t="s">
        <v>138</v>
      </c>
      <c r="AO2418" s="728">
        <v>1505.0</v>
      </c>
      <c r="AP2418" s="728">
        <v>-0.06</v>
      </c>
      <c r="AQ2418" s="407" t="s">
        <v>215</v>
      </c>
      <c r="AR2418" s="640" t="s">
        <v>14569</v>
      </c>
      <c r="AS2418" s="2111">
        <v>0.0132070207386067</v>
      </c>
      <c r="AT2418" s="1793" t="s">
        <v>172</v>
      </c>
      <c r="AU2418" s="407" t="s">
        <v>136</v>
      </c>
      <c r="AV2418" s="407" t="s">
        <v>137</v>
      </c>
      <c r="AW2418" s="409" t="s">
        <v>14441</v>
      </c>
      <c r="AX2418" s="407" t="s">
        <v>143</v>
      </c>
      <c r="AY2418" s="61" t="str">
        <f>IFERROR(__xludf.DUMMYFUNCTION("vlookup(BB2418,importrange(""https://docs.google.com/spreadsheets/d/1d2vevQ_7D_v35q4wCQ4RpQ_IPoTwEMB9Yp6ymwlPqew/edit?gid=984458430#gid=984458430"", ""'replication success'!A:K""), 11, FAlSE)"),"")</f>
        <v/>
      </c>
      <c r="AZ2418" s="61" t="str">
        <f>IFERROR(__xludf.DUMMYFUNCTION("vlookup(BB2418,importrange(""https://docs.google.com/spreadsheets/d/1d2vevQ_7D_v35q4wCQ4RpQ_IPoTwEMB9Yp6ymwlPqew/edit?gid=984458430#gid=984458430"", ""'replication success'!A:M""), 12, FAlSE)"),"")</f>
        <v/>
      </c>
      <c r="BA2418" s="61" t="str">
        <f>IFERROR(__xludf.DUMMYFUNCTION("vlookup(BB2418,importrange(""https://docs.google.com/spreadsheets/d/1d2vevQ_7D_v35q4wCQ4RpQ_IPoTwEMB9Yp6ymwlPqew/edit?gid=984458430#gid=984458430"", ""'replication success'!A:M""), 13, FAlSE)"),"abstract")</f>
        <v>abstract</v>
      </c>
      <c r="BB2418" s="61" t="str">
        <f>IFERROR(__xludf.DUMMYFUNCTION("REGEXREPLACE(G2418, ""_[a-z]{1,2}$"", """")"),"Soto")</f>
        <v>Soto</v>
      </c>
      <c r="BC2418" s="220"/>
      <c r="BD2418" s="287" t="s">
        <v>1270</v>
      </c>
      <c r="BE2418" s="220"/>
      <c r="BF2418" s="220"/>
      <c r="BG2418" s="220"/>
      <c r="BH2418" s="220"/>
      <c r="BI2418" s="220"/>
      <c r="BJ2418" s="220"/>
      <c r="BK2418" s="220"/>
      <c r="BL2418" s="220"/>
      <c r="BM2418" s="220"/>
      <c r="BN2418" s="220"/>
      <c r="BO2418" s="220"/>
      <c r="BP2418" s="220"/>
      <c r="BQ2418" s="220"/>
      <c r="BR2418" s="220"/>
      <c r="BS2418" s="220"/>
      <c r="BT2418" s="220"/>
      <c r="BU2418" s="220"/>
      <c r="BV2418" s="220"/>
      <c r="BW2418" s="220"/>
      <c r="BX2418" s="220"/>
      <c r="BY2418" s="220"/>
      <c r="BZ2418" s="220"/>
      <c r="CA2418" s="220"/>
      <c r="CB2418" s="220"/>
      <c r="CC2418" s="220"/>
      <c r="CD2418" s="220"/>
      <c r="CE2418" s="220"/>
      <c r="CF2418" s="220"/>
      <c r="CG2418" s="220"/>
      <c r="CH2418" s="220"/>
      <c r="CI2418" s="220"/>
      <c r="CJ2418" s="220"/>
      <c r="CK2418" s="220"/>
      <c r="CL2418" s="220"/>
      <c r="CM2418" s="220"/>
      <c r="CN2418" s="220"/>
      <c r="CO2418" s="220"/>
      <c r="CP2418" s="220"/>
      <c r="CQ2418" s="220"/>
      <c r="CR2418" s="220"/>
      <c r="CS2418" s="220"/>
      <c r="CT2418" s="220"/>
      <c r="CU2418" s="220"/>
      <c r="CV2418" s="220"/>
      <c r="CW2418" s="220"/>
      <c r="CX2418" s="220"/>
      <c r="CY2418" s="220"/>
      <c r="CZ2418" s="220"/>
      <c r="DA2418" s="220"/>
      <c r="DB2418" s="220"/>
      <c r="DC2418" s="220"/>
      <c r="DD2418" s="220"/>
      <c r="DE2418" s="220"/>
      <c r="DF2418" s="220"/>
      <c r="DG2418" s="220"/>
      <c r="DH2418" s="220"/>
      <c r="DI2418" s="220"/>
      <c r="DJ2418" s="220"/>
      <c r="DK2418" s="220"/>
      <c r="DL2418" s="220"/>
    </row>
    <row r="2419">
      <c r="A2419" s="44">
        <v>2419.0</v>
      </c>
      <c r="B2419" s="129" t="s">
        <v>114</v>
      </c>
      <c r="C2419" s="62" t="s">
        <v>115</v>
      </c>
      <c r="D2419" s="62" t="s">
        <v>2630</v>
      </c>
      <c r="F2419" s="68" t="s">
        <v>14570</v>
      </c>
      <c r="G2419" s="159" t="s">
        <v>14425</v>
      </c>
      <c r="H2419" s="159" t="s">
        <v>14426</v>
      </c>
      <c r="I2419" s="1287" t="s">
        <v>14427</v>
      </c>
      <c r="J2419" s="2110">
        <v>45814.0</v>
      </c>
      <c r="K2419" s="68"/>
      <c r="L2419" s="129" t="s">
        <v>14563</v>
      </c>
      <c r="M2419" s="159" t="s">
        <v>14564</v>
      </c>
      <c r="N2419" s="159" t="s">
        <v>14565</v>
      </c>
      <c r="O2419" s="129">
        <v>1.0</v>
      </c>
      <c r="P2419" s="382" t="s">
        <v>14566</v>
      </c>
      <c r="Q2419" s="52" t="str">
        <f t="array" ref="Q2419"> if(iserror(MATCH(V2419, 'File Links'!C:C, 0)), "N/A", HYPERLINK(INDEX('File Links'!B:B, MATCH(P2419, 'File Links'!C:C, 0))))</f>
        <v>https://drive.google.com/file/d/1yjPQh3Y3JQTvZt9KASbvE7xGnpHw0Txm/view?usp=drivesdk</v>
      </c>
      <c r="R2419" s="159" t="s">
        <v>14432</v>
      </c>
      <c r="S2419" s="159" t="s">
        <v>14433</v>
      </c>
      <c r="T2419" s="68"/>
      <c r="U2419" s="129">
        <v>1.0</v>
      </c>
      <c r="V2419" s="382" t="s">
        <v>14434</v>
      </c>
      <c r="W2419" s="295" t="s">
        <v>209</v>
      </c>
      <c r="X2419" s="54" t="str">
        <f t="array" ref="X2419"> if(iserror(MATCH(V2419, 'File Links'!C:C, 0)), "N/A", HYPERLINK(INDEX('File Links'!B:B, MATCH(V2419, 'File Links'!C:C, 0))))</f>
        <v>https://drive.google.com/file/d/17mZvRs3ue7pXwqu8bmIDvgNdc95PGEcV/view?usp=drivesdk</v>
      </c>
      <c r="Y2419" s="159" t="s">
        <v>138</v>
      </c>
      <c r="Z2419" s="159" t="s">
        <v>1079</v>
      </c>
      <c r="AA2419" s="159" t="s">
        <v>14571</v>
      </c>
      <c r="AB2419" s="159" t="s">
        <v>14436</v>
      </c>
      <c r="AC2419" s="159" t="s">
        <v>14571</v>
      </c>
      <c r="AD2419" s="159" t="s">
        <v>14572</v>
      </c>
      <c r="AE2419" s="156">
        <v>6.0</v>
      </c>
      <c r="AF2419" s="156">
        <v>468.0</v>
      </c>
      <c r="AG2419" s="156">
        <v>0.15</v>
      </c>
      <c r="AH2419" s="159" t="s">
        <v>215</v>
      </c>
      <c r="AI2419" s="640" t="s">
        <v>140</v>
      </c>
      <c r="AJ2419" s="1292">
        <v>0.1</v>
      </c>
      <c r="AK2419" s="159" t="s">
        <v>135</v>
      </c>
      <c r="AL2419" s="2098" t="s">
        <v>186</v>
      </c>
      <c r="AM2419" s="159" t="s">
        <v>137</v>
      </c>
      <c r="AN2419" s="159" t="s">
        <v>138</v>
      </c>
      <c r="AO2419" s="156">
        <v>1505.0</v>
      </c>
      <c r="AP2419" s="156">
        <v>0.02</v>
      </c>
      <c r="AQ2419" s="159" t="s">
        <v>215</v>
      </c>
      <c r="AR2419" s="640" t="s">
        <v>14569</v>
      </c>
      <c r="AS2419" s="2111">
        <v>0.404568083514753</v>
      </c>
      <c r="AT2419" s="1793" t="s">
        <v>172</v>
      </c>
      <c r="AU2419" s="1792" t="s">
        <v>136</v>
      </c>
      <c r="AV2419" s="159" t="s">
        <v>137</v>
      </c>
      <c r="AW2419" s="435" t="s">
        <v>14441</v>
      </c>
      <c r="AX2419" s="159" t="s">
        <v>143</v>
      </c>
      <c r="AY2419" s="61" t="str">
        <f>IFERROR(__xludf.DUMMYFUNCTION("vlookup(BB2419,importrange(""https://docs.google.com/spreadsheets/d/1d2vevQ_7D_v35q4wCQ4RpQ_IPoTwEMB9Yp6ymwlPqew/edit?gid=984458430#gid=984458430"", ""'replication success'!A:K""), 11, FAlSE)"),"")</f>
        <v/>
      </c>
      <c r="AZ2419" s="61" t="str">
        <f>IFERROR(__xludf.DUMMYFUNCTION("vlookup(BB2419,importrange(""https://docs.google.com/spreadsheets/d/1d2vevQ_7D_v35q4wCQ4RpQ_IPoTwEMB9Yp6ymwlPqew/edit?gid=984458430#gid=984458430"", ""'replication success'!A:M""), 12, FAlSE)"),"")</f>
        <v/>
      </c>
      <c r="BA2419" s="61" t="str">
        <f>IFERROR(__xludf.DUMMYFUNCTION("vlookup(BB2419,importrange(""https://docs.google.com/spreadsheets/d/1d2vevQ_7D_v35q4wCQ4RpQ_IPoTwEMB9Yp6ymwlPqew/edit?gid=984458430#gid=984458430"", ""'replication success'!A:M""), 13, FAlSE)"),"abstract")</f>
        <v>abstract</v>
      </c>
      <c r="BB2419" s="61" t="str">
        <f>IFERROR(__xludf.DUMMYFUNCTION("REGEXREPLACE(G2419, ""_[a-z]{1,2}$"", """")"),"Soto")</f>
        <v>Soto</v>
      </c>
      <c r="BD2419" s="287" t="s">
        <v>1270</v>
      </c>
    </row>
    <row r="2420">
      <c r="A2420" s="44">
        <v>2420.0</v>
      </c>
      <c r="B2420" s="129" t="s">
        <v>114</v>
      </c>
      <c r="C2420" s="62" t="s">
        <v>115</v>
      </c>
      <c r="D2420" s="62" t="s">
        <v>2630</v>
      </c>
      <c r="F2420" s="68" t="s">
        <v>14573</v>
      </c>
      <c r="G2420" s="159" t="s">
        <v>14425</v>
      </c>
      <c r="H2420" s="159" t="s">
        <v>14426</v>
      </c>
      <c r="I2420" s="1287" t="s">
        <v>14427</v>
      </c>
      <c r="J2420" s="2110">
        <v>45814.0</v>
      </c>
      <c r="K2420" s="68"/>
      <c r="L2420" s="129" t="s">
        <v>14563</v>
      </c>
      <c r="M2420" s="159" t="s">
        <v>14564</v>
      </c>
      <c r="N2420" s="159" t="s">
        <v>14565</v>
      </c>
      <c r="O2420" s="129">
        <v>1.0</v>
      </c>
      <c r="P2420" s="382" t="s">
        <v>14566</v>
      </c>
      <c r="Q2420" s="52" t="str">
        <f t="array" ref="Q2420"> if(iserror(MATCH(V2420, 'File Links'!C:C, 0)), "N/A", HYPERLINK(INDEX('File Links'!B:B, MATCH(P2420, 'File Links'!C:C, 0))))</f>
        <v>https://drive.google.com/file/d/1yjPQh3Y3JQTvZt9KASbvE7xGnpHw0Txm/view?usp=drivesdk</v>
      </c>
      <c r="R2420" s="159" t="s">
        <v>14432</v>
      </c>
      <c r="S2420" s="159" t="s">
        <v>14433</v>
      </c>
      <c r="T2420" s="68"/>
      <c r="U2420" s="129">
        <v>1.0</v>
      </c>
      <c r="V2420" s="382" t="s">
        <v>14434</v>
      </c>
      <c r="W2420" s="295" t="s">
        <v>209</v>
      </c>
      <c r="X2420" s="54" t="str">
        <f t="array" ref="X2420"> if(iserror(MATCH(V2420, 'File Links'!C:C, 0)), "N/A", HYPERLINK(INDEX('File Links'!B:B, MATCH(V2420, 'File Links'!C:C, 0))))</f>
        <v>https://drive.google.com/file/d/17mZvRs3ue7pXwqu8bmIDvgNdc95PGEcV/view?usp=drivesdk</v>
      </c>
      <c r="Y2420" s="159" t="s">
        <v>138</v>
      </c>
      <c r="Z2420" s="159" t="s">
        <v>1079</v>
      </c>
      <c r="AA2420" s="159" t="s">
        <v>14574</v>
      </c>
      <c r="AB2420" s="159" t="s">
        <v>14436</v>
      </c>
      <c r="AC2420" s="159" t="s">
        <v>14574</v>
      </c>
      <c r="AD2420" s="151" t="s">
        <v>14575</v>
      </c>
      <c r="AE2420" s="156">
        <v>6.0</v>
      </c>
      <c r="AF2420" s="156">
        <v>468.0</v>
      </c>
      <c r="AG2420" s="156">
        <v>0.17</v>
      </c>
      <c r="AH2420" s="159" t="s">
        <v>215</v>
      </c>
      <c r="AI2420" s="640" t="s">
        <v>140</v>
      </c>
      <c r="AJ2420" s="156">
        <v>0.001</v>
      </c>
      <c r="AK2420" s="159" t="s">
        <v>135</v>
      </c>
      <c r="AL2420" s="2098" t="s">
        <v>186</v>
      </c>
      <c r="AM2420" s="159" t="s">
        <v>137</v>
      </c>
      <c r="AN2420" s="159" t="s">
        <v>138</v>
      </c>
      <c r="AO2420" s="156">
        <v>1505.0</v>
      </c>
      <c r="AP2420" s="156">
        <v>0.31</v>
      </c>
      <c r="AQ2420" s="159" t="s">
        <v>215</v>
      </c>
      <c r="AR2420" s="640" t="s">
        <v>14569</v>
      </c>
      <c r="AS2420" s="2111">
        <v>3.92302815609495E-34</v>
      </c>
      <c r="AT2420" s="1793" t="s">
        <v>172</v>
      </c>
      <c r="AU2420" s="1792" t="s">
        <v>136</v>
      </c>
      <c r="AV2420" s="159" t="s">
        <v>137</v>
      </c>
      <c r="AW2420" s="435" t="s">
        <v>14441</v>
      </c>
      <c r="AX2420" s="159" t="s">
        <v>143</v>
      </c>
      <c r="AY2420" s="61" t="str">
        <f>IFERROR(__xludf.DUMMYFUNCTION("vlookup(BB2420,importrange(""https://docs.google.com/spreadsheets/d/1d2vevQ_7D_v35q4wCQ4RpQ_IPoTwEMB9Yp6ymwlPqew/edit?gid=984458430#gid=984458430"", ""'replication success'!A:K""), 11, FAlSE)"),"")</f>
        <v/>
      </c>
      <c r="AZ2420" s="61" t="str">
        <f>IFERROR(__xludf.DUMMYFUNCTION("vlookup(BB2420,importrange(""https://docs.google.com/spreadsheets/d/1d2vevQ_7D_v35q4wCQ4RpQ_IPoTwEMB9Yp6ymwlPqew/edit?gid=984458430#gid=984458430"", ""'replication success'!A:M""), 12, FAlSE)"),"")</f>
        <v/>
      </c>
      <c r="BA2420" s="61" t="str">
        <f>IFERROR(__xludf.DUMMYFUNCTION("vlookup(BB2420,importrange(""https://docs.google.com/spreadsheets/d/1d2vevQ_7D_v35q4wCQ4RpQ_IPoTwEMB9Yp6ymwlPqew/edit?gid=984458430#gid=984458430"", ""'replication success'!A:M""), 13, FAlSE)"),"abstract")</f>
        <v>abstract</v>
      </c>
      <c r="BB2420" s="61" t="str">
        <f>IFERROR(__xludf.DUMMYFUNCTION("REGEXREPLACE(G2420, ""_[a-z]{1,2}$"", """")"),"Soto")</f>
        <v>Soto</v>
      </c>
      <c r="BD2420" s="287" t="s">
        <v>1270</v>
      </c>
    </row>
    <row r="2421">
      <c r="A2421" s="44">
        <v>2421.0</v>
      </c>
      <c r="B2421" s="129" t="s">
        <v>114</v>
      </c>
      <c r="C2421" s="62" t="s">
        <v>115</v>
      </c>
      <c r="D2421" s="62" t="s">
        <v>2630</v>
      </c>
      <c r="F2421" s="68" t="s">
        <v>14576</v>
      </c>
      <c r="G2421" s="159" t="s">
        <v>14425</v>
      </c>
      <c r="H2421" s="159" t="s">
        <v>14426</v>
      </c>
      <c r="I2421" s="1287" t="s">
        <v>14427</v>
      </c>
      <c r="J2421" s="2110">
        <v>45814.0</v>
      </c>
      <c r="K2421" s="68"/>
      <c r="L2421" s="129" t="s">
        <v>14577</v>
      </c>
      <c r="M2421" s="159" t="s">
        <v>14564</v>
      </c>
      <c r="N2421" s="159" t="s">
        <v>14565</v>
      </c>
      <c r="O2421" s="129">
        <v>1.0</v>
      </c>
      <c r="P2421" s="382" t="s">
        <v>14566</v>
      </c>
      <c r="Q2421" s="52" t="str">
        <f t="array" ref="Q2421"> if(iserror(MATCH(V2421, 'File Links'!C:C, 0)), "N/A", HYPERLINK(INDEX('File Links'!B:B, MATCH(P2421, 'File Links'!C:C, 0))))</f>
        <v>https://drive.google.com/file/d/1yjPQh3Y3JQTvZt9KASbvE7xGnpHw0Txm/view?usp=drivesdk</v>
      </c>
      <c r="R2421" s="159" t="s">
        <v>14432</v>
      </c>
      <c r="S2421" s="159" t="s">
        <v>14433</v>
      </c>
      <c r="T2421" s="68"/>
      <c r="U2421" s="129">
        <v>1.0</v>
      </c>
      <c r="V2421" s="382" t="s">
        <v>14434</v>
      </c>
      <c r="W2421" s="295" t="s">
        <v>209</v>
      </c>
      <c r="X2421" s="54" t="str">
        <f t="array" ref="X2421"> if(iserror(MATCH(V2421, 'File Links'!C:C, 0)), "N/A", HYPERLINK(INDEX('File Links'!B:B, MATCH(V2421, 'File Links'!C:C, 0))))</f>
        <v>https://drive.google.com/file/d/17mZvRs3ue7pXwqu8bmIDvgNdc95PGEcV/view?usp=drivesdk</v>
      </c>
      <c r="Y2421" s="159" t="s">
        <v>138</v>
      </c>
      <c r="Z2421" s="159" t="s">
        <v>1079</v>
      </c>
      <c r="AA2421" s="159" t="s">
        <v>14578</v>
      </c>
      <c r="AB2421" s="159" t="s">
        <v>14436</v>
      </c>
      <c r="AC2421" s="159" t="s">
        <v>14578</v>
      </c>
      <c r="AD2421" s="151" t="s">
        <v>14579</v>
      </c>
      <c r="AE2421" s="156">
        <v>6.0</v>
      </c>
      <c r="AF2421" s="156">
        <v>468.0</v>
      </c>
      <c r="AG2421" s="156">
        <v>-0.19</v>
      </c>
      <c r="AH2421" s="159" t="s">
        <v>215</v>
      </c>
      <c r="AI2421" s="640" t="s">
        <v>140</v>
      </c>
      <c r="AJ2421" s="156">
        <v>0.001</v>
      </c>
      <c r="AK2421" s="159" t="s">
        <v>135</v>
      </c>
      <c r="AL2421" s="2098" t="s">
        <v>186</v>
      </c>
      <c r="AM2421" s="159" t="s">
        <v>137</v>
      </c>
      <c r="AN2421" s="159" t="s">
        <v>138</v>
      </c>
      <c r="AO2421" s="156">
        <v>1505.0</v>
      </c>
      <c r="AP2421" s="156">
        <v>-0.13</v>
      </c>
      <c r="AQ2421" s="159" t="s">
        <v>215</v>
      </c>
      <c r="AR2421" s="640" t="s">
        <v>14569</v>
      </c>
      <c r="AS2421" s="2111">
        <v>1.00924446171511E-6</v>
      </c>
      <c r="AT2421" s="1793" t="s">
        <v>172</v>
      </c>
      <c r="AU2421" s="1792" t="s">
        <v>136</v>
      </c>
      <c r="AV2421" s="159" t="s">
        <v>137</v>
      </c>
      <c r="AW2421" s="435" t="s">
        <v>14441</v>
      </c>
      <c r="AX2421" s="159" t="s">
        <v>143</v>
      </c>
      <c r="AY2421" s="61" t="str">
        <f>IFERROR(__xludf.DUMMYFUNCTION("vlookup(BB2421,importrange(""https://docs.google.com/spreadsheets/d/1d2vevQ_7D_v35q4wCQ4RpQ_IPoTwEMB9Yp6ymwlPqew/edit?gid=984458430#gid=984458430"", ""'replication success'!A:K""), 11, FAlSE)"),"")</f>
        <v/>
      </c>
      <c r="AZ2421" s="61" t="str">
        <f>IFERROR(__xludf.DUMMYFUNCTION("vlookup(BB2421,importrange(""https://docs.google.com/spreadsheets/d/1d2vevQ_7D_v35q4wCQ4RpQ_IPoTwEMB9Yp6ymwlPqew/edit?gid=984458430#gid=984458430"", ""'replication success'!A:M""), 12, FAlSE)"),"")</f>
        <v/>
      </c>
      <c r="BA2421" s="61" t="str">
        <f>IFERROR(__xludf.DUMMYFUNCTION("vlookup(BB2421,importrange(""https://docs.google.com/spreadsheets/d/1d2vevQ_7D_v35q4wCQ4RpQ_IPoTwEMB9Yp6ymwlPqew/edit?gid=984458430#gid=984458430"", ""'replication success'!A:M""), 13, FAlSE)"),"abstract")</f>
        <v>abstract</v>
      </c>
      <c r="BB2421" s="61" t="str">
        <f>IFERROR(__xludf.DUMMYFUNCTION("REGEXREPLACE(G2421, ""_[a-z]{1,2}$"", """")"),"Soto")</f>
        <v>Soto</v>
      </c>
      <c r="BD2421" s="287" t="s">
        <v>1270</v>
      </c>
    </row>
    <row r="2422">
      <c r="A2422" s="44">
        <v>2422.0</v>
      </c>
      <c r="B2422" s="631" t="s">
        <v>114</v>
      </c>
      <c r="C2422" s="397" t="s">
        <v>115</v>
      </c>
      <c r="D2422" s="397" t="s">
        <v>2630</v>
      </c>
      <c r="E2422" s="220"/>
      <c r="F2422" s="398" t="s">
        <v>14580</v>
      </c>
      <c r="G2422" s="407" t="s">
        <v>14425</v>
      </c>
      <c r="H2422" s="407" t="s">
        <v>14426</v>
      </c>
      <c r="I2422" s="2109" t="s">
        <v>14427</v>
      </c>
      <c r="J2422" s="2110">
        <v>45814.0</v>
      </c>
      <c r="K2422" s="398"/>
      <c r="L2422" s="631" t="s">
        <v>14563</v>
      </c>
      <c r="M2422" s="407" t="s">
        <v>14564</v>
      </c>
      <c r="N2422" s="407" t="s">
        <v>14565</v>
      </c>
      <c r="O2422" s="631">
        <v>1.0</v>
      </c>
      <c r="P2422" s="407" t="s">
        <v>14566</v>
      </c>
      <c r="Q2422" s="882" t="str">
        <f t="array" ref="Q2422"> if(iserror(MATCH(V2422, 'File Links'!C:C, 0)), "N/A", HYPERLINK(INDEX('File Links'!B:B, MATCH(P2422, 'File Links'!C:C, 0))))</f>
        <v>https://drive.google.com/file/d/1yjPQh3Y3JQTvZt9KASbvE7xGnpHw0Txm/view?usp=drivesdk</v>
      </c>
      <c r="R2422" s="407" t="s">
        <v>14432</v>
      </c>
      <c r="S2422" s="407" t="s">
        <v>14433</v>
      </c>
      <c r="T2422" s="398"/>
      <c r="U2422" s="631">
        <v>1.0</v>
      </c>
      <c r="V2422" s="407" t="s">
        <v>14434</v>
      </c>
      <c r="W2422" s="631" t="s">
        <v>209</v>
      </c>
      <c r="X2422" s="883" t="str">
        <f t="array" ref="X2422"> if(iserror(MATCH(V2422, 'File Links'!C:C, 0)), "N/A", HYPERLINK(INDEX('File Links'!B:B, MATCH(V2422, 'File Links'!C:C, 0))))</f>
        <v>https://drive.google.com/file/d/17mZvRs3ue7pXwqu8bmIDvgNdc95PGEcV/view?usp=drivesdk</v>
      </c>
      <c r="Y2422" s="407" t="s">
        <v>138</v>
      </c>
      <c r="Z2422" s="407" t="s">
        <v>1079</v>
      </c>
      <c r="AA2422" s="407" t="s">
        <v>14581</v>
      </c>
      <c r="AB2422" s="407" t="s">
        <v>14436</v>
      </c>
      <c r="AC2422" s="407" t="s">
        <v>14581</v>
      </c>
      <c r="AD2422" s="640" t="s">
        <v>14582</v>
      </c>
      <c r="AE2422" s="728">
        <v>6.0</v>
      </c>
      <c r="AF2422" s="728">
        <v>468.0</v>
      </c>
      <c r="AG2422" s="2112">
        <v>0.2</v>
      </c>
      <c r="AH2422" s="407" t="s">
        <v>215</v>
      </c>
      <c r="AI2422" s="640" t="s">
        <v>140</v>
      </c>
      <c r="AJ2422" s="728">
        <v>0.001</v>
      </c>
      <c r="AK2422" s="407" t="s">
        <v>135</v>
      </c>
      <c r="AL2422" s="2098" t="s">
        <v>186</v>
      </c>
      <c r="AM2422" s="407" t="s">
        <v>137</v>
      </c>
      <c r="AN2422" s="407" t="s">
        <v>138</v>
      </c>
      <c r="AO2422" s="728">
        <v>1505.0</v>
      </c>
      <c r="AP2422" s="728">
        <v>0.31</v>
      </c>
      <c r="AQ2422" s="407" t="s">
        <v>215</v>
      </c>
      <c r="AR2422" s="640" t="s">
        <v>14569</v>
      </c>
      <c r="AS2422" s="2111">
        <v>2.09847944447644E-20</v>
      </c>
      <c r="AT2422" s="1793" t="s">
        <v>172</v>
      </c>
      <c r="AU2422" s="407" t="s">
        <v>136</v>
      </c>
      <c r="AV2422" s="407" t="s">
        <v>137</v>
      </c>
      <c r="AW2422" s="409" t="s">
        <v>14441</v>
      </c>
      <c r="AX2422" s="407" t="s">
        <v>143</v>
      </c>
      <c r="AY2422" s="61" t="str">
        <f>IFERROR(__xludf.DUMMYFUNCTION("vlookup(BB2422,importrange(""https://docs.google.com/spreadsheets/d/1d2vevQ_7D_v35q4wCQ4RpQ_IPoTwEMB9Yp6ymwlPqew/edit?gid=984458430#gid=984458430"", ""'replication success'!A:K""), 11, FAlSE)"),"")</f>
        <v/>
      </c>
      <c r="AZ2422" s="61" t="str">
        <f>IFERROR(__xludf.DUMMYFUNCTION("vlookup(BB2422,importrange(""https://docs.google.com/spreadsheets/d/1d2vevQ_7D_v35q4wCQ4RpQ_IPoTwEMB9Yp6ymwlPqew/edit?gid=984458430#gid=984458430"", ""'replication success'!A:M""), 12, FAlSE)"),"")</f>
        <v/>
      </c>
      <c r="BA2422" s="61" t="str">
        <f>IFERROR(__xludf.DUMMYFUNCTION("vlookup(BB2422,importrange(""https://docs.google.com/spreadsheets/d/1d2vevQ_7D_v35q4wCQ4RpQ_IPoTwEMB9Yp6ymwlPqew/edit?gid=984458430#gid=984458430"", ""'replication success'!A:M""), 13, FAlSE)"),"abstract")</f>
        <v>abstract</v>
      </c>
      <c r="BB2422" s="61" t="str">
        <f>IFERROR(__xludf.DUMMYFUNCTION("REGEXREPLACE(G2422, ""_[a-z]{1,2}$"", """")"),"Soto")</f>
        <v>Soto</v>
      </c>
      <c r="BC2422" s="220"/>
      <c r="BD2422" s="287" t="s">
        <v>1270</v>
      </c>
      <c r="BE2422" s="220"/>
      <c r="BF2422" s="220"/>
      <c r="BG2422" s="220"/>
      <c r="BH2422" s="220"/>
      <c r="BI2422" s="220"/>
      <c r="BJ2422" s="220"/>
      <c r="BK2422" s="220"/>
      <c r="BL2422" s="220"/>
      <c r="BM2422" s="220"/>
      <c r="BN2422" s="220"/>
      <c r="BO2422" s="220"/>
      <c r="BP2422" s="220"/>
      <c r="BQ2422" s="220"/>
      <c r="BR2422" s="220"/>
      <c r="BS2422" s="220"/>
      <c r="BT2422" s="220"/>
      <c r="BU2422" s="220"/>
      <c r="BV2422" s="220"/>
      <c r="BW2422" s="220"/>
      <c r="BX2422" s="220"/>
      <c r="BY2422" s="220"/>
      <c r="BZ2422" s="220"/>
      <c r="CA2422" s="220"/>
      <c r="CB2422" s="220"/>
      <c r="CC2422" s="220"/>
      <c r="CD2422" s="220"/>
      <c r="CE2422" s="220"/>
      <c r="CF2422" s="220"/>
      <c r="CG2422" s="220"/>
      <c r="CH2422" s="220"/>
      <c r="CI2422" s="220"/>
      <c r="CJ2422" s="220"/>
      <c r="CK2422" s="220"/>
      <c r="CL2422" s="220"/>
      <c r="CM2422" s="220"/>
      <c r="CN2422" s="220"/>
      <c r="CO2422" s="220"/>
      <c r="CP2422" s="220"/>
      <c r="CQ2422" s="220"/>
      <c r="CR2422" s="220"/>
      <c r="CS2422" s="220"/>
      <c r="CT2422" s="220"/>
      <c r="CU2422" s="220"/>
      <c r="CV2422" s="220"/>
      <c r="CW2422" s="220"/>
      <c r="CX2422" s="220"/>
      <c r="CY2422" s="220"/>
      <c r="CZ2422" s="220"/>
      <c r="DA2422" s="220"/>
      <c r="DB2422" s="220"/>
      <c r="DC2422" s="220"/>
      <c r="DD2422" s="220"/>
      <c r="DE2422" s="220"/>
      <c r="DF2422" s="220"/>
      <c r="DG2422" s="220"/>
      <c r="DH2422" s="220"/>
      <c r="DI2422" s="220"/>
      <c r="DJ2422" s="220"/>
      <c r="DK2422" s="220"/>
      <c r="DL2422" s="220"/>
    </row>
    <row r="2423">
      <c r="A2423" s="44">
        <v>2423.0</v>
      </c>
      <c r="B2423" s="129" t="s">
        <v>114</v>
      </c>
      <c r="C2423" s="62" t="s">
        <v>115</v>
      </c>
      <c r="D2423" s="62" t="s">
        <v>2630</v>
      </c>
      <c r="F2423" s="159" t="s">
        <v>14583</v>
      </c>
      <c r="G2423" s="159" t="s">
        <v>14425</v>
      </c>
      <c r="H2423" s="159" t="s">
        <v>14426</v>
      </c>
      <c r="I2423" s="1287" t="s">
        <v>14427</v>
      </c>
      <c r="J2423" s="2110">
        <v>45814.0</v>
      </c>
      <c r="K2423" s="68"/>
      <c r="L2423" s="129" t="s">
        <v>14584</v>
      </c>
      <c r="M2423" s="159" t="s">
        <v>14585</v>
      </c>
      <c r="N2423" s="159" t="s">
        <v>14586</v>
      </c>
      <c r="O2423" s="129">
        <v>1.0</v>
      </c>
      <c r="P2423" s="382" t="s">
        <v>14587</v>
      </c>
      <c r="Q2423" s="52" t="str">
        <f t="array" ref="Q2423"> if(iserror(MATCH(V2423, 'File Links'!C:C, 0)), "N/A", HYPERLINK(INDEX('File Links'!B:B, MATCH(P2423, 'File Links'!C:C, 0))))</f>
        <v>https://drive.google.com/file/d/1Jok6c7VCZtMN99P6fMSmmpu_xIq7tlFM/view?usp=drivesdk</v>
      </c>
      <c r="R2423" s="159" t="s">
        <v>14432</v>
      </c>
      <c r="S2423" s="159" t="s">
        <v>14433</v>
      </c>
      <c r="T2423" s="68"/>
      <c r="U2423" s="129">
        <v>1.0</v>
      </c>
      <c r="V2423" s="382" t="s">
        <v>14434</v>
      </c>
      <c r="W2423" s="295" t="s">
        <v>209</v>
      </c>
      <c r="X2423" s="54" t="str">
        <f t="array" ref="X2423"> if(iserror(MATCH(V2423, 'File Links'!C:C, 0)), "N/A", HYPERLINK(INDEX('File Links'!B:B, MATCH(V2423, 'File Links'!C:C, 0))))</f>
        <v>https://drive.google.com/file/d/17mZvRs3ue7pXwqu8bmIDvgNdc95PGEcV/view?usp=drivesdk</v>
      </c>
      <c r="Y2423" s="159" t="s">
        <v>138</v>
      </c>
      <c r="Z2423" s="159" t="s">
        <v>1079</v>
      </c>
      <c r="AA2423" s="159" t="s">
        <v>14588</v>
      </c>
      <c r="AB2423" s="159" t="s">
        <v>14436</v>
      </c>
      <c r="AC2423" s="159" t="s">
        <v>14588</v>
      </c>
      <c r="AD2423" s="151" t="s">
        <v>14589</v>
      </c>
      <c r="AE2423" s="156">
        <v>11.0</v>
      </c>
      <c r="AF2423" s="156">
        <v>198.0</v>
      </c>
      <c r="AG2423" s="156">
        <v>0.29</v>
      </c>
      <c r="AH2423" s="159" t="s">
        <v>215</v>
      </c>
      <c r="AI2423" s="151" t="s">
        <v>307</v>
      </c>
      <c r="AJ2423" s="728">
        <v>0.001</v>
      </c>
      <c r="AK2423" s="159" t="s">
        <v>135</v>
      </c>
      <c r="AL2423" s="2098" t="s">
        <v>186</v>
      </c>
      <c r="AM2423" s="159" t="s">
        <v>137</v>
      </c>
      <c r="AN2423" s="159" t="s">
        <v>138</v>
      </c>
      <c r="AO2423" s="156">
        <v>1550.0</v>
      </c>
      <c r="AP2423" s="161">
        <v>0.25</v>
      </c>
      <c r="AQ2423" s="159" t="s">
        <v>215</v>
      </c>
      <c r="AR2423" s="159" t="s">
        <v>14440</v>
      </c>
      <c r="AS2423" s="347" t="s">
        <v>138</v>
      </c>
      <c r="AT2423" s="347" t="s">
        <v>138</v>
      </c>
      <c r="AU2423" s="46" t="s">
        <v>186</v>
      </c>
      <c r="AV2423" s="159" t="s">
        <v>137</v>
      </c>
      <c r="AW2423" s="435" t="s">
        <v>14441</v>
      </c>
      <c r="AX2423" s="159" t="s">
        <v>143</v>
      </c>
      <c r="AY2423" s="61" t="str">
        <f>IFERROR(__xludf.DUMMYFUNCTION("vlookup(BB2423,importrange(""https://docs.google.com/spreadsheets/d/1d2vevQ_7D_v35q4wCQ4RpQ_IPoTwEMB9Yp6ymwlPqew/edit?gid=984458430#gid=984458430"", ""'replication success'!A:K""), 11, FAlSE)"),"")</f>
        <v/>
      </c>
      <c r="AZ2423" s="61" t="str">
        <f>IFERROR(__xludf.DUMMYFUNCTION("vlookup(BB2423,importrange(""https://docs.google.com/spreadsheets/d/1d2vevQ_7D_v35q4wCQ4RpQ_IPoTwEMB9Yp6ymwlPqew/edit?gid=984458430#gid=984458430"", ""'replication success'!A:M""), 12, FAlSE)"),"")</f>
        <v/>
      </c>
      <c r="BA2423" s="61" t="str">
        <f>IFERROR(__xludf.DUMMYFUNCTION("vlookup(BB2423,importrange(""https://docs.google.com/spreadsheets/d/1d2vevQ_7D_v35q4wCQ4RpQ_IPoTwEMB9Yp6ymwlPqew/edit?gid=984458430#gid=984458430"", ""'replication success'!A:M""), 13, FAlSE)"),"abstract")</f>
        <v>abstract</v>
      </c>
      <c r="BB2423" s="61" t="str">
        <f>IFERROR(__xludf.DUMMYFUNCTION("REGEXREPLACE(G2423, ""_[a-z]{1,2}$"", """")"),"Soto")</f>
        <v>Soto</v>
      </c>
      <c r="BD2423" s="287" t="s">
        <v>1270</v>
      </c>
    </row>
    <row r="2424">
      <c r="A2424" s="44">
        <v>2424.0</v>
      </c>
      <c r="B2424" s="129" t="s">
        <v>114</v>
      </c>
      <c r="C2424" s="62" t="s">
        <v>115</v>
      </c>
      <c r="D2424" s="62" t="s">
        <v>2630</v>
      </c>
      <c r="F2424" s="159" t="s">
        <v>14590</v>
      </c>
      <c r="G2424" s="159" t="s">
        <v>14425</v>
      </c>
      <c r="H2424" s="159" t="s">
        <v>14426</v>
      </c>
      <c r="I2424" s="1287" t="s">
        <v>14427</v>
      </c>
      <c r="J2424" s="2110">
        <v>45814.0</v>
      </c>
      <c r="K2424" s="68"/>
      <c r="L2424" s="129" t="s">
        <v>14584</v>
      </c>
      <c r="M2424" s="159" t="s">
        <v>14585</v>
      </c>
      <c r="N2424" s="159" t="s">
        <v>14586</v>
      </c>
      <c r="O2424" s="129">
        <v>1.0</v>
      </c>
      <c r="P2424" s="382" t="s">
        <v>14587</v>
      </c>
      <c r="Q2424" s="52" t="str">
        <f t="array" ref="Q2424"> if(iserror(MATCH(V2424, 'File Links'!C:C, 0)), "N/A", HYPERLINK(INDEX('File Links'!B:B, MATCH(P2424, 'File Links'!C:C, 0))))</f>
        <v>https://drive.google.com/file/d/1Jok6c7VCZtMN99P6fMSmmpu_xIq7tlFM/view?usp=drivesdk</v>
      </c>
      <c r="R2424" s="159" t="s">
        <v>14432</v>
      </c>
      <c r="S2424" s="159" t="s">
        <v>14433</v>
      </c>
      <c r="T2424" s="68"/>
      <c r="U2424" s="129">
        <v>1.0</v>
      </c>
      <c r="V2424" s="382" t="s">
        <v>14434</v>
      </c>
      <c r="W2424" s="295" t="s">
        <v>209</v>
      </c>
      <c r="X2424" s="54" t="str">
        <f t="array" ref="X2424"> if(iserror(MATCH(V2424, 'File Links'!C:C, 0)), "N/A", HYPERLINK(INDEX('File Links'!B:B, MATCH(V2424, 'File Links'!C:C, 0))))</f>
        <v>https://drive.google.com/file/d/17mZvRs3ue7pXwqu8bmIDvgNdc95PGEcV/view?usp=drivesdk</v>
      </c>
      <c r="Y2424" s="159" t="s">
        <v>138</v>
      </c>
      <c r="Z2424" s="159" t="s">
        <v>1079</v>
      </c>
      <c r="AA2424" s="159" t="s">
        <v>14591</v>
      </c>
      <c r="AB2424" s="159" t="s">
        <v>14436</v>
      </c>
      <c r="AC2424" s="159" t="s">
        <v>14591</v>
      </c>
      <c r="AD2424" s="151" t="s">
        <v>14592</v>
      </c>
      <c r="AE2424" s="156">
        <v>10.0</v>
      </c>
      <c r="AF2424" s="156">
        <v>198.0</v>
      </c>
      <c r="AG2424" s="156">
        <v>-0.17</v>
      </c>
      <c r="AH2424" s="159" t="s">
        <v>215</v>
      </c>
      <c r="AI2424" s="151" t="s">
        <v>632</v>
      </c>
      <c r="AJ2424" s="728">
        <v>0.001</v>
      </c>
      <c r="AK2424" s="159" t="s">
        <v>135</v>
      </c>
      <c r="AL2424" s="2098" t="s">
        <v>186</v>
      </c>
      <c r="AM2424" s="159" t="s">
        <v>137</v>
      </c>
      <c r="AN2424" s="159" t="s">
        <v>138</v>
      </c>
      <c r="AO2424" s="156">
        <v>1550.0</v>
      </c>
      <c r="AP2424" s="161">
        <v>-0.35</v>
      </c>
      <c r="AQ2424" s="159" t="s">
        <v>215</v>
      </c>
      <c r="AR2424" s="159" t="s">
        <v>14440</v>
      </c>
      <c r="AS2424" s="347" t="s">
        <v>138</v>
      </c>
      <c r="AT2424" s="347" t="s">
        <v>138</v>
      </c>
      <c r="AU2424" s="46" t="s">
        <v>186</v>
      </c>
      <c r="AV2424" s="159" t="s">
        <v>137</v>
      </c>
      <c r="AW2424" s="435" t="s">
        <v>14441</v>
      </c>
      <c r="AX2424" s="159" t="s">
        <v>143</v>
      </c>
      <c r="AY2424" s="61" t="str">
        <f>IFERROR(__xludf.DUMMYFUNCTION("vlookup(BB2424,importrange(""https://docs.google.com/spreadsheets/d/1d2vevQ_7D_v35q4wCQ4RpQ_IPoTwEMB9Yp6ymwlPqew/edit?gid=984458430#gid=984458430"", ""'replication success'!A:K""), 11, FAlSE)"),"")</f>
        <v/>
      </c>
      <c r="AZ2424" s="61" t="str">
        <f>IFERROR(__xludf.DUMMYFUNCTION("vlookup(BB2424,importrange(""https://docs.google.com/spreadsheets/d/1d2vevQ_7D_v35q4wCQ4RpQ_IPoTwEMB9Yp6ymwlPqew/edit?gid=984458430#gid=984458430"", ""'replication success'!A:M""), 12, FAlSE)"),"")</f>
        <v/>
      </c>
      <c r="BA2424" s="61" t="str">
        <f>IFERROR(__xludf.DUMMYFUNCTION("vlookup(BB2424,importrange(""https://docs.google.com/spreadsheets/d/1d2vevQ_7D_v35q4wCQ4RpQ_IPoTwEMB9Yp6ymwlPqew/edit?gid=984458430#gid=984458430"", ""'replication success'!A:M""), 13, FAlSE)"),"abstract")</f>
        <v>abstract</v>
      </c>
      <c r="BB2424" s="61" t="str">
        <f>IFERROR(__xludf.DUMMYFUNCTION("REGEXREPLACE(G2424, ""_[a-z]{1,2}$"", """")"),"Soto")</f>
        <v>Soto</v>
      </c>
      <c r="BD2424" s="287" t="s">
        <v>1270</v>
      </c>
    </row>
    <row r="2425">
      <c r="A2425" s="44">
        <v>2425.0</v>
      </c>
      <c r="B2425" s="129" t="s">
        <v>114</v>
      </c>
      <c r="C2425" s="62" t="s">
        <v>115</v>
      </c>
      <c r="D2425" s="62" t="s">
        <v>2630</v>
      </c>
      <c r="F2425" s="159" t="s">
        <v>14593</v>
      </c>
      <c r="G2425" s="159" t="s">
        <v>14425</v>
      </c>
      <c r="H2425" s="159" t="s">
        <v>14426</v>
      </c>
      <c r="I2425" s="1287" t="s">
        <v>14427</v>
      </c>
      <c r="J2425" s="2110">
        <v>45814.0</v>
      </c>
      <c r="K2425" s="68"/>
      <c r="L2425" s="129" t="s">
        <v>14594</v>
      </c>
      <c r="M2425" s="159" t="s">
        <v>14595</v>
      </c>
      <c r="N2425" s="159" t="s">
        <v>14596</v>
      </c>
      <c r="O2425" s="129">
        <v>1.0</v>
      </c>
      <c r="P2425" s="382" t="s">
        <v>14597</v>
      </c>
      <c r="Q2425" s="52" t="str">
        <f t="array" ref="Q2425"> if(iserror(MATCH(V2425, 'File Links'!C:C, 0)), "N/A", HYPERLINK(INDEX('File Links'!B:B, MATCH(P2425, 'File Links'!C:C, 0))))</f>
        <v>https://drive.google.com/file/d/1-pDt7XIQ8gHle_zOW9q4-7M5_5yCo3db/view?usp=drivesdk</v>
      </c>
      <c r="R2425" s="159" t="s">
        <v>14432</v>
      </c>
      <c r="S2425" s="159" t="s">
        <v>14433</v>
      </c>
      <c r="T2425" s="68"/>
      <c r="U2425" s="129">
        <v>1.0</v>
      </c>
      <c r="V2425" s="382" t="s">
        <v>14434</v>
      </c>
      <c r="W2425" s="295" t="s">
        <v>209</v>
      </c>
      <c r="X2425" s="54" t="str">
        <f t="array" ref="X2425"> if(iserror(MATCH(V2425, 'File Links'!C:C, 0)), "N/A", HYPERLINK(INDEX('File Links'!B:B, MATCH(V2425, 'File Links'!C:C, 0))))</f>
        <v>https://drive.google.com/file/d/17mZvRs3ue7pXwqu8bmIDvgNdc95PGEcV/view?usp=drivesdk</v>
      </c>
      <c r="Y2425" s="159" t="s">
        <v>138</v>
      </c>
      <c r="Z2425" s="159" t="s">
        <v>1079</v>
      </c>
      <c r="AA2425" s="159" t="s">
        <v>14598</v>
      </c>
      <c r="AB2425" s="159" t="s">
        <v>14436</v>
      </c>
      <c r="AC2425" s="159" t="s">
        <v>14598</v>
      </c>
      <c r="AD2425" s="151" t="s">
        <v>14599</v>
      </c>
      <c r="AE2425" s="129">
        <v>9.0</v>
      </c>
      <c r="AF2425" s="156">
        <v>111.0</v>
      </c>
      <c r="AG2425" s="156">
        <v>0.22</v>
      </c>
      <c r="AH2425" s="159" t="s">
        <v>215</v>
      </c>
      <c r="AI2425" s="151" t="s">
        <v>14600</v>
      </c>
      <c r="AJ2425" s="501">
        <v>0.05</v>
      </c>
      <c r="AK2425" s="159" t="s">
        <v>135</v>
      </c>
      <c r="AL2425" s="2098" t="s">
        <v>186</v>
      </c>
      <c r="AM2425" s="159" t="s">
        <v>137</v>
      </c>
      <c r="AN2425" s="159" t="s">
        <v>138</v>
      </c>
      <c r="AO2425" s="156">
        <v>804.0</v>
      </c>
      <c r="AP2425" s="161">
        <v>-0.57</v>
      </c>
      <c r="AQ2425" s="159" t="s">
        <v>361</v>
      </c>
      <c r="AR2425" s="159" t="s">
        <v>14440</v>
      </c>
      <c r="AS2425" s="347" t="s">
        <v>138</v>
      </c>
      <c r="AT2425" s="347" t="s">
        <v>138</v>
      </c>
      <c r="AU2425" s="46" t="s">
        <v>186</v>
      </c>
      <c r="AV2425" s="159" t="s">
        <v>137</v>
      </c>
      <c r="AW2425" s="435" t="s">
        <v>14441</v>
      </c>
      <c r="AX2425" s="159" t="s">
        <v>143</v>
      </c>
      <c r="AY2425" s="61" t="str">
        <f>IFERROR(__xludf.DUMMYFUNCTION("vlookup(BB2425,importrange(""https://docs.google.com/spreadsheets/d/1d2vevQ_7D_v35q4wCQ4RpQ_IPoTwEMB9Yp6ymwlPqew/edit?gid=984458430#gid=984458430"", ""'replication success'!A:K""), 11, FAlSE)"),"")</f>
        <v/>
      </c>
      <c r="AZ2425" s="61" t="str">
        <f>IFERROR(__xludf.DUMMYFUNCTION("vlookup(BB2425,importrange(""https://docs.google.com/spreadsheets/d/1d2vevQ_7D_v35q4wCQ4RpQ_IPoTwEMB9Yp6ymwlPqew/edit?gid=984458430#gid=984458430"", ""'replication success'!A:M""), 12, FAlSE)"),"")</f>
        <v/>
      </c>
      <c r="BA2425" s="61" t="str">
        <f>IFERROR(__xludf.DUMMYFUNCTION("vlookup(BB2425,importrange(""https://docs.google.com/spreadsheets/d/1d2vevQ_7D_v35q4wCQ4RpQ_IPoTwEMB9Yp6ymwlPqew/edit?gid=984458430#gid=984458430"", ""'replication success'!A:M""), 13, FAlSE)"),"abstract")</f>
        <v>abstract</v>
      </c>
      <c r="BB2425" s="61" t="str">
        <f>IFERROR(__xludf.DUMMYFUNCTION("REGEXREPLACE(G2425, ""_[a-z]{1,2}$"", """")"),"Soto")</f>
        <v>Soto</v>
      </c>
      <c r="BD2425" s="287" t="s">
        <v>1270</v>
      </c>
    </row>
    <row r="2426">
      <c r="A2426" s="44">
        <v>2426.0</v>
      </c>
      <c r="B2426" s="129" t="s">
        <v>114</v>
      </c>
      <c r="C2426" s="62" t="s">
        <v>115</v>
      </c>
      <c r="D2426" s="62" t="s">
        <v>2630</v>
      </c>
      <c r="F2426" s="159" t="s">
        <v>14601</v>
      </c>
      <c r="G2426" s="159" t="s">
        <v>14425</v>
      </c>
      <c r="H2426" s="159" t="s">
        <v>14426</v>
      </c>
      <c r="I2426" s="1287" t="s">
        <v>14427</v>
      </c>
      <c r="J2426" s="2110">
        <v>45814.0</v>
      </c>
      <c r="K2426" s="68"/>
      <c r="L2426" s="129" t="s">
        <v>14594</v>
      </c>
      <c r="M2426" s="159" t="s">
        <v>14595</v>
      </c>
      <c r="N2426" s="159" t="s">
        <v>14596</v>
      </c>
      <c r="O2426" s="129">
        <v>1.0</v>
      </c>
      <c r="P2426" s="382" t="s">
        <v>14597</v>
      </c>
      <c r="Q2426" s="52" t="str">
        <f t="array" ref="Q2426"> if(iserror(MATCH(V2426, 'File Links'!C:C, 0)), "N/A", HYPERLINK(INDEX('File Links'!B:B, MATCH(P2426, 'File Links'!C:C, 0))))</f>
        <v>https://drive.google.com/file/d/1-pDt7XIQ8gHle_zOW9q4-7M5_5yCo3db/view?usp=drivesdk</v>
      </c>
      <c r="R2426" s="159" t="s">
        <v>14432</v>
      </c>
      <c r="S2426" s="159" t="s">
        <v>14433</v>
      </c>
      <c r="T2426" s="68"/>
      <c r="U2426" s="129">
        <v>1.0</v>
      </c>
      <c r="V2426" s="382" t="s">
        <v>14434</v>
      </c>
      <c r="W2426" s="295" t="s">
        <v>209</v>
      </c>
      <c r="X2426" s="54" t="str">
        <f t="array" ref="X2426"> if(iserror(MATCH(V2426, 'File Links'!C:C, 0)), "N/A", HYPERLINK(INDEX('File Links'!B:B, MATCH(V2426, 'File Links'!C:C, 0))))</f>
        <v>https://drive.google.com/file/d/17mZvRs3ue7pXwqu8bmIDvgNdc95PGEcV/view?usp=drivesdk</v>
      </c>
      <c r="Y2426" s="159" t="s">
        <v>138</v>
      </c>
      <c r="Z2426" s="159" t="s">
        <v>1079</v>
      </c>
      <c r="AA2426" s="159" t="s">
        <v>14602</v>
      </c>
      <c r="AB2426" s="159" t="s">
        <v>14436</v>
      </c>
      <c r="AC2426" s="159" t="s">
        <v>14602</v>
      </c>
      <c r="AD2426" s="151" t="s">
        <v>14603</v>
      </c>
      <c r="AE2426" s="129">
        <v>9.0</v>
      </c>
      <c r="AF2426" s="156">
        <v>111.0</v>
      </c>
      <c r="AG2426" s="156">
        <v>0.27</v>
      </c>
      <c r="AH2426" s="159" t="s">
        <v>215</v>
      </c>
      <c r="AI2426" s="151" t="s">
        <v>14600</v>
      </c>
      <c r="AJ2426" s="501">
        <v>0.05</v>
      </c>
      <c r="AK2426" s="159" t="s">
        <v>135</v>
      </c>
      <c r="AL2426" s="2098" t="s">
        <v>186</v>
      </c>
      <c r="AM2426" s="159" t="s">
        <v>137</v>
      </c>
      <c r="AN2426" s="159" t="s">
        <v>138</v>
      </c>
      <c r="AO2426" s="156">
        <v>804.0</v>
      </c>
      <c r="AP2426" s="161">
        <v>0.25</v>
      </c>
      <c r="AQ2426" s="159" t="s">
        <v>361</v>
      </c>
      <c r="AR2426" s="159" t="s">
        <v>14440</v>
      </c>
      <c r="AS2426" s="347" t="s">
        <v>138</v>
      </c>
      <c r="AT2426" s="347" t="s">
        <v>138</v>
      </c>
      <c r="AU2426" s="46" t="s">
        <v>186</v>
      </c>
      <c r="AV2426" s="159" t="s">
        <v>137</v>
      </c>
      <c r="AW2426" s="435" t="s">
        <v>14441</v>
      </c>
      <c r="AX2426" s="159" t="s">
        <v>143</v>
      </c>
      <c r="AY2426" s="61" t="str">
        <f>IFERROR(__xludf.DUMMYFUNCTION("vlookup(BB2426,importrange(""https://docs.google.com/spreadsheets/d/1d2vevQ_7D_v35q4wCQ4RpQ_IPoTwEMB9Yp6ymwlPqew/edit?gid=984458430#gid=984458430"", ""'replication success'!A:K""), 11, FAlSE)"),"")</f>
        <v/>
      </c>
      <c r="AZ2426" s="61" t="str">
        <f>IFERROR(__xludf.DUMMYFUNCTION("vlookup(BB2426,importrange(""https://docs.google.com/spreadsheets/d/1d2vevQ_7D_v35q4wCQ4RpQ_IPoTwEMB9Yp6ymwlPqew/edit?gid=984458430#gid=984458430"", ""'replication success'!A:M""), 12, FAlSE)"),"")</f>
        <v/>
      </c>
      <c r="BA2426" s="61" t="str">
        <f>IFERROR(__xludf.DUMMYFUNCTION("vlookup(BB2426,importrange(""https://docs.google.com/spreadsheets/d/1d2vevQ_7D_v35q4wCQ4RpQ_IPoTwEMB9Yp6ymwlPqew/edit?gid=984458430#gid=984458430"", ""'replication success'!A:M""), 13, FAlSE)"),"abstract")</f>
        <v>abstract</v>
      </c>
      <c r="BB2426" s="61" t="str">
        <f>IFERROR(__xludf.DUMMYFUNCTION("REGEXREPLACE(G2426, ""_[a-z]{1,2}$"", """")"),"Soto")</f>
        <v>Soto</v>
      </c>
      <c r="BD2426" s="287" t="s">
        <v>1270</v>
      </c>
    </row>
    <row r="2427">
      <c r="A2427" s="44">
        <v>2427.0</v>
      </c>
      <c r="B2427" s="129" t="s">
        <v>114</v>
      </c>
      <c r="C2427" s="62" t="s">
        <v>115</v>
      </c>
      <c r="D2427" s="62" t="s">
        <v>2630</v>
      </c>
      <c r="F2427" s="159" t="s">
        <v>14604</v>
      </c>
      <c r="G2427" s="159" t="s">
        <v>14425</v>
      </c>
      <c r="H2427" s="159" t="s">
        <v>14426</v>
      </c>
      <c r="I2427" s="1287" t="s">
        <v>14427</v>
      </c>
      <c r="J2427" s="2110">
        <v>45814.0</v>
      </c>
      <c r="K2427" s="68"/>
      <c r="L2427" s="129" t="s">
        <v>14563</v>
      </c>
      <c r="M2427" s="159" t="s">
        <v>14605</v>
      </c>
      <c r="N2427" s="159" t="s">
        <v>14606</v>
      </c>
      <c r="O2427" s="129">
        <v>1.0</v>
      </c>
      <c r="P2427" s="382" t="s">
        <v>14607</v>
      </c>
      <c r="Q2427" s="52" t="str">
        <f t="array" ref="Q2427"> if(iserror(MATCH(V2427, 'File Links'!C:C, 0)), "N/A", HYPERLINK(INDEX('File Links'!B:B, MATCH(P2427, 'File Links'!C:C, 0))))</f>
        <v>https://drive.google.com/file/d/1OQXfdOsmBPcEjb_PF9uWD_g_s1g9BKLK/view?usp=drivesdk</v>
      </c>
      <c r="R2427" s="159" t="s">
        <v>14432</v>
      </c>
      <c r="S2427" s="159" t="s">
        <v>14433</v>
      </c>
      <c r="T2427" s="68"/>
      <c r="U2427" s="129">
        <v>1.0</v>
      </c>
      <c r="V2427" s="382" t="s">
        <v>14434</v>
      </c>
      <c r="W2427" s="295" t="s">
        <v>209</v>
      </c>
      <c r="X2427" s="54" t="str">
        <f t="array" ref="X2427"> if(iserror(MATCH(V2427, 'File Links'!C:C, 0)), "N/A", HYPERLINK(INDEX('File Links'!B:B, MATCH(V2427, 'File Links'!C:C, 0))))</f>
        <v>https://drive.google.com/file/d/17mZvRs3ue7pXwqu8bmIDvgNdc95PGEcV/view?usp=drivesdk</v>
      </c>
      <c r="Y2427" s="159" t="s">
        <v>138</v>
      </c>
      <c r="Z2427" s="159" t="s">
        <v>1079</v>
      </c>
      <c r="AA2427" s="159" t="s">
        <v>14608</v>
      </c>
      <c r="AB2427" s="159" t="s">
        <v>14436</v>
      </c>
      <c r="AC2427" s="159" t="s">
        <v>14608</v>
      </c>
      <c r="AD2427" s="151" t="s">
        <v>14609</v>
      </c>
      <c r="AE2427" s="156">
        <v>4.0</v>
      </c>
      <c r="AF2427" s="156">
        <v>164.0</v>
      </c>
      <c r="AG2427" s="1292">
        <v>0.2</v>
      </c>
      <c r="AH2427" s="159" t="s">
        <v>361</v>
      </c>
      <c r="AI2427" s="151" t="s">
        <v>14610</v>
      </c>
      <c r="AJ2427" s="156">
        <v>0.05</v>
      </c>
      <c r="AK2427" s="159" t="s">
        <v>172</v>
      </c>
      <c r="AL2427" s="2098" t="s">
        <v>186</v>
      </c>
      <c r="AM2427" s="159" t="s">
        <v>137</v>
      </c>
      <c r="AN2427" s="159" t="s">
        <v>138</v>
      </c>
      <c r="AO2427" s="156">
        <v>181.0</v>
      </c>
      <c r="AP2427" s="336">
        <v>0.18</v>
      </c>
      <c r="AQ2427" s="159" t="s">
        <v>361</v>
      </c>
      <c r="AR2427" s="159" t="s">
        <v>14440</v>
      </c>
      <c r="AS2427" s="2113">
        <v>0.0217651902491802</v>
      </c>
      <c r="AT2427" s="1793" t="s">
        <v>172</v>
      </c>
      <c r="AU2427" s="1792" t="s">
        <v>136</v>
      </c>
      <c r="AV2427" s="159" t="s">
        <v>137</v>
      </c>
      <c r="AW2427" s="435" t="s">
        <v>14441</v>
      </c>
      <c r="AX2427" s="159" t="s">
        <v>143</v>
      </c>
      <c r="AY2427" s="61" t="str">
        <f>IFERROR(__xludf.DUMMYFUNCTION("vlookup(BB2427,importrange(""https://docs.google.com/spreadsheets/d/1d2vevQ_7D_v35q4wCQ4RpQ_IPoTwEMB9Yp6ymwlPqew/edit?gid=984458430#gid=984458430"", ""'replication success'!A:K""), 11, FAlSE)"),"")</f>
        <v/>
      </c>
      <c r="AZ2427" s="61" t="str">
        <f>IFERROR(__xludf.DUMMYFUNCTION("vlookup(BB2427,importrange(""https://docs.google.com/spreadsheets/d/1d2vevQ_7D_v35q4wCQ4RpQ_IPoTwEMB9Yp6ymwlPqew/edit?gid=984458430#gid=984458430"", ""'replication success'!A:M""), 12, FAlSE)"),"")</f>
        <v/>
      </c>
      <c r="BA2427" s="61" t="str">
        <f>IFERROR(__xludf.DUMMYFUNCTION("vlookup(BB2427,importrange(""https://docs.google.com/spreadsheets/d/1d2vevQ_7D_v35q4wCQ4RpQ_IPoTwEMB9Yp6ymwlPqew/edit?gid=984458430#gid=984458430"", ""'replication success'!A:M""), 13, FAlSE)"),"abstract")</f>
        <v>abstract</v>
      </c>
      <c r="BB2427" s="61" t="str">
        <f>IFERROR(__xludf.DUMMYFUNCTION("REGEXREPLACE(G2427, ""_[a-z]{1,2}$"", """")"),"Soto")</f>
        <v>Soto</v>
      </c>
      <c r="BD2427" s="287" t="s">
        <v>1270</v>
      </c>
    </row>
    <row r="2428">
      <c r="A2428" s="44">
        <v>2428.0</v>
      </c>
      <c r="B2428" s="129" t="s">
        <v>114</v>
      </c>
      <c r="C2428" s="62" t="s">
        <v>115</v>
      </c>
      <c r="D2428" s="62" t="s">
        <v>2630</v>
      </c>
      <c r="F2428" s="68" t="s">
        <v>14611</v>
      </c>
      <c r="G2428" s="159" t="s">
        <v>14425</v>
      </c>
      <c r="H2428" s="159" t="s">
        <v>14426</v>
      </c>
      <c r="I2428" s="1287" t="s">
        <v>14427</v>
      </c>
      <c r="J2428" s="2110">
        <v>45814.0</v>
      </c>
      <c r="K2428" s="68"/>
      <c r="L2428" s="129" t="s">
        <v>14612</v>
      </c>
      <c r="M2428" s="159" t="s">
        <v>14605</v>
      </c>
      <c r="N2428" s="159" t="s">
        <v>14606</v>
      </c>
      <c r="O2428" s="129">
        <v>1.0</v>
      </c>
      <c r="P2428" s="382" t="s">
        <v>14607</v>
      </c>
      <c r="Q2428" s="52" t="str">
        <f t="array" ref="Q2428"> if(iserror(MATCH(V2428, 'File Links'!C:C, 0)), "N/A", HYPERLINK(INDEX('File Links'!B:B, MATCH(P2428, 'File Links'!C:C, 0))))</f>
        <v>https://drive.google.com/file/d/1OQXfdOsmBPcEjb_PF9uWD_g_s1g9BKLK/view?usp=drivesdk</v>
      </c>
      <c r="R2428" s="159" t="s">
        <v>14432</v>
      </c>
      <c r="S2428" s="159" t="s">
        <v>14433</v>
      </c>
      <c r="T2428" s="68"/>
      <c r="U2428" s="129">
        <v>1.0</v>
      </c>
      <c r="V2428" s="382" t="s">
        <v>14434</v>
      </c>
      <c r="W2428" s="295" t="s">
        <v>209</v>
      </c>
      <c r="X2428" s="54" t="str">
        <f t="array" ref="X2428"> if(iserror(MATCH(V2428, 'File Links'!C:C, 0)), "N/A", HYPERLINK(INDEX('File Links'!B:B, MATCH(V2428, 'File Links'!C:C, 0))))</f>
        <v>https://drive.google.com/file/d/17mZvRs3ue7pXwqu8bmIDvgNdc95PGEcV/view?usp=drivesdk</v>
      </c>
      <c r="Y2428" s="159" t="s">
        <v>138</v>
      </c>
      <c r="Z2428" s="159" t="s">
        <v>1079</v>
      </c>
      <c r="AA2428" s="159" t="s">
        <v>14613</v>
      </c>
      <c r="AB2428" s="159" t="s">
        <v>14436</v>
      </c>
      <c r="AC2428" s="159" t="s">
        <v>14613</v>
      </c>
      <c r="AD2428" s="151" t="s">
        <v>14614</v>
      </c>
      <c r="AE2428" s="156">
        <v>4.0</v>
      </c>
      <c r="AF2428" s="156">
        <v>164.0</v>
      </c>
      <c r="AG2428" s="156">
        <v>0.35</v>
      </c>
      <c r="AH2428" s="159" t="s">
        <v>361</v>
      </c>
      <c r="AI2428" s="151" t="s">
        <v>14610</v>
      </c>
      <c r="AJ2428" s="336">
        <v>0.01</v>
      </c>
      <c r="AK2428" s="159" t="s">
        <v>172</v>
      </c>
      <c r="AL2428" s="2098" t="s">
        <v>186</v>
      </c>
      <c r="AM2428" s="159" t="s">
        <v>137</v>
      </c>
      <c r="AN2428" s="159" t="s">
        <v>138</v>
      </c>
      <c r="AO2428" s="156">
        <v>181.0</v>
      </c>
      <c r="AP2428" s="2114">
        <v>0.1</v>
      </c>
      <c r="AQ2428" s="159" t="s">
        <v>361</v>
      </c>
      <c r="AR2428" s="159" t="s">
        <v>14440</v>
      </c>
      <c r="AS2428" s="151">
        <v>0.201168908324766</v>
      </c>
      <c r="AT2428" s="1793" t="s">
        <v>172</v>
      </c>
      <c r="AU2428" s="1792" t="s">
        <v>136</v>
      </c>
      <c r="AV2428" s="159" t="s">
        <v>137</v>
      </c>
      <c r="AW2428" s="435" t="s">
        <v>14441</v>
      </c>
      <c r="AX2428" s="159" t="s">
        <v>143</v>
      </c>
      <c r="AY2428" s="61" t="str">
        <f>IFERROR(__xludf.DUMMYFUNCTION("vlookup(BB2428,importrange(""https://docs.google.com/spreadsheets/d/1d2vevQ_7D_v35q4wCQ4RpQ_IPoTwEMB9Yp6ymwlPqew/edit?gid=984458430#gid=984458430"", ""'replication success'!A:K""), 11, FAlSE)"),"")</f>
        <v/>
      </c>
      <c r="AZ2428" s="61" t="str">
        <f>IFERROR(__xludf.DUMMYFUNCTION("vlookup(BB2428,importrange(""https://docs.google.com/spreadsheets/d/1d2vevQ_7D_v35q4wCQ4RpQ_IPoTwEMB9Yp6ymwlPqew/edit?gid=984458430#gid=984458430"", ""'replication success'!A:M""), 12, FAlSE)"),"")</f>
        <v/>
      </c>
      <c r="BA2428" s="61" t="str">
        <f>IFERROR(__xludf.DUMMYFUNCTION("vlookup(BB2428,importrange(""https://docs.google.com/spreadsheets/d/1d2vevQ_7D_v35q4wCQ4RpQ_IPoTwEMB9Yp6ymwlPqew/edit?gid=984458430#gid=984458430"", ""'replication success'!A:M""), 13, FAlSE)"),"abstract")</f>
        <v>abstract</v>
      </c>
      <c r="BB2428" s="61" t="str">
        <f>IFERROR(__xludf.DUMMYFUNCTION("REGEXREPLACE(G2428, ""_[a-z]{1,2}$"", """")"),"Soto")</f>
        <v>Soto</v>
      </c>
      <c r="BD2428" s="287" t="s">
        <v>1270</v>
      </c>
    </row>
    <row r="2429">
      <c r="A2429" s="44">
        <v>2429.0</v>
      </c>
      <c r="B2429" s="129" t="s">
        <v>114</v>
      </c>
      <c r="C2429" s="62" t="s">
        <v>115</v>
      </c>
      <c r="D2429" s="62" t="s">
        <v>2630</v>
      </c>
      <c r="F2429" s="68" t="s">
        <v>14615</v>
      </c>
      <c r="G2429" s="159" t="s">
        <v>14425</v>
      </c>
      <c r="H2429" s="159" t="s">
        <v>14426</v>
      </c>
      <c r="I2429" s="1287" t="s">
        <v>14427</v>
      </c>
      <c r="J2429" s="2110">
        <v>45814.0</v>
      </c>
      <c r="K2429" s="68"/>
      <c r="L2429" s="129" t="s">
        <v>14612</v>
      </c>
      <c r="M2429" s="159" t="s">
        <v>14605</v>
      </c>
      <c r="N2429" s="159" t="s">
        <v>14606</v>
      </c>
      <c r="O2429" s="129">
        <v>1.0</v>
      </c>
      <c r="P2429" s="382" t="s">
        <v>14607</v>
      </c>
      <c r="Q2429" s="52" t="str">
        <f t="array" ref="Q2429"> if(iserror(MATCH(V2429, 'File Links'!C:C, 0)), "N/A", HYPERLINK(INDEX('File Links'!B:B, MATCH(P2429, 'File Links'!C:C, 0))))</f>
        <v>https://drive.google.com/file/d/1OQXfdOsmBPcEjb_PF9uWD_g_s1g9BKLK/view?usp=drivesdk</v>
      </c>
      <c r="R2429" s="159" t="s">
        <v>14432</v>
      </c>
      <c r="S2429" s="159" t="s">
        <v>14433</v>
      </c>
      <c r="T2429" s="68"/>
      <c r="U2429" s="129">
        <v>1.0</v>
      </c>
      <c r="V2429" s="382" t="s">
        <v>14434</v>
      </c>
      <c r="W2429" s="295" t="s">
        <v>209</v>
      </c>
      <c r="X2429" s="54" t="str">
        <f t="array" ref="X2429"> if(iserror(MATCH(V2429, 'File Links'!C:C, 0)), "N/A", HYPERLINK(INDEX('File Links'!B:B, MATCH(V2429, 'File Links'!C:C, 0))))</f>
        <v>https://drive.google.com/file/d/17mZvRs3ue7pXwqu8bmIDvgNdc95PGEcV/view?usp=drivesdk</v>
      </c>
      <c r="Y2429" s="159" t="s">
        <v>138</v>
      </c>
      <c r="Z2429" s="159" t="s">
        <v>1079</v>
      </c>
      <c r="AA2429" s="159" t="s">
        <v>14616</v>
      </c>
      <c r="AB2429" s="159" t="s">
        <v>14436</v>
      </c>
      <c r="AC2429" s="159" t="s">
        <v>14616</v>
      </c>
      <c r="AD2429" s="151" t="s">
        <v>14617</v>
      </c>
      <c r="AE2429" s="156">
        <v>4.0</v>
      </c>
      <c r="AF2429" s="156">
        <v>164.0</v>
      </c>
      <c r="AG2429" s="156">
        <v>0.28</v>
      </c>
      <c r="AH2429" s="159" t="s">
        <v>361</v>
      </c>
      <c r="AI2429" s="151" t="s">
        <v>14610</v>
      </c>
      <c r="AJ2429" s="336">
        <v>0.01</v>
      </c>
      <c r="AK2429" s="159" t="s">
        <v>172</v>
      </c>
      <c r="AL2429" s="2098" t="s">
        <v>186</v>
      </c>
      <c r="AM2429" s="159" t="s">
        <v>137</v>
      </c>
      <c r="AN2429" s="159" t="s">
        <v>138</v>
      </c>
      <c r="AO2429" s="156">
        <v>181.0</v>
      </c>
      <c r="AP2429" s="336">
        <v>0.12</v>
      </c>
      <c r="AQ2429" s="159" t="s">
        <v>361</v>
      </c>
      <c r="AR2429" s="159" t="s">
        <v>14440</v>
      </c>
      <c r="AS2429" s="151">
        <v>0.145383750270403</v>
      </c>
      <c r="AT2429" s="1793" t="s">
        <v>172</v>
      </c>
      <c r="AU2429" s="1792" t="s">
        <v>136</v>
      </c>
      <c r="AV2429" s="159" t="s">
        <v>137</v>
      </c>
      <c r="AW2429" s="435" t="s">
        <v>14441</v>
      </c>
      <c r="AX2429" s="159" t="s">
        <v>143</v>
      </c>
      <c r="AY2429" s="61" t="str">
        <f>IFERROR(__xludf.DUMMYFUNCTION("vlookup(BB2429,importrange(""https://docs.google.com/spreadsheets/d/1d2vevQ_7D_v35q4wCQ4RpQ_IPoTwEMB9Yp6ymwlPqew/edit?gid=984458430#gid=984458430"", ""'replication success'!A:K""), 11, FAlSE)"),"")</f>
        <v/>
      </c>
      <c r="AZ2429" s="61" t="str">
        <f>IFERROR(__xludf.DUMMYFUNCTION("vlookup(BB2429,importrange(""https://docs.google.com/spreadsheets/d/1d2vevQ_7D_v35q4wCQ4RpQ_IPoTwEMB9Yp6ymwlPqew/edit?gid=984458430#gid=984458430"", ""'replication success'!A:M""), 12, FAlSE)"),"")</f>
        <v/>
      </c>
      <c r="BA2429" s="61" t="str">
        <f>IFERROR(__xludf.DUMMYFUNCTION("vlookup(BB2429,importrange(""https://docs.google.com/spreadsheets/d/1d2vevQ_7D_v35q4wCQ4RpQ_IPoTwEMB9Yp6ymwlPqew/edit?gid=984458430#gid=984458430"", ""'replication success'!A:M""), 13, FAlSE)"),"abstract")</f>
        <v>abstract</v>
      </c>
      <c r="BB2429" s="61" t="str">
        <f>IFERROR(__xludf.DUMMYFUNCTION("REGEXREPLACE(G2429, ""_[a-z]{1,2}$"", """")"),"Soto")</f>
        <v>Soto</v>
      </c>
      <c r="BD2429" s="287" t="s">
        <v>1270</v>
      </c>
    </row>
    <row r="2430">
      <c r="A2430" s="44">
        <v>2430.0</v>
      </c>
      <c r="B2430" s="129" t="s">
        <v>114</v>
      </c>
      <c r="C2430" s="62" t="s">
        <v>115</v>
      </c>
      <c r="D2430" s="62" t="s">
        <v>2630</v>
      </c>
      <c r="F2430" s="68" t="s">
        <v>14618</v>
      </c>
      <c r="G2430" s="159" t="s">
        <v>14425</v>
      </c>
      <c r="H2430" s="159" t="s">
        <v>14426</v>
      </c>
      <c r="I2430" s="1287" t="s">
        <v>14427</v>
      </c>
      <c r="J2430" s="2110">
        <v>45814.0</v>
      </c>
      <c r="K2430" s="68"/>
      <c r="L2430" s="129" t="s">
        <v>14619</v>
      </c>
      <c r="M2430" s="159" t="s">
        <v>14620</v>
      </c>
      <c r="N2430" s="159" t="s">
        <v>14621</v>
      </c>
      <c r="O2430" s="129">
        <v>1.0</v>
      </c>
      <c r="P2430" s="382" t="s">
        <v>14622</v>
      </c>
      <c r="Q2430" s="52" t="str">
        <f t="array" ref="Q2430"> if(iserror(MATCH(V2430, 'File Links'!C:C, 0)), "N/A", HYPERLINK(INDEX('File Links'!B:B, MATCH(P2430, 'File Links'!C:C, 0))))</f>
        <v>https://drive.google.com/file/d/15-xZoziBIfRM1RNSkhWBwkJIkhndLjdq/view?usp=drivesdk</v>
      </c>
      <c r="R2430" s="159" t="s">
        <v>14432</v>
      </c>
      <c r="S2430" s="159" t="s">
        <v>14433</v>
      </c>
      <c r="T2430" s="68"/>
      <c r="U2430" s="129">
        <v>1.0</v>
      </c>
      <c r="V2430" s="382" t="s">
        <v>14434</v>
      </c>
      <c r="W2430" s="295" t="s">
        <v>209</v>
      </c>
      <c r="X2430" s="54" t="str">
        <f t="array" ref="X2430"> if(iserror(MATCH(V2430, 'File Links'!C:C, 0)), "N/A", HYPERLINK(INDEX('File Links'!B:B, MATCH(V2430, 'File Links'!C:C, 0))))</f>
        <v>https://drive.google.com/file/d/17mZvRs3ue7pXwqu8bmIDvgNdc95PGEcV/view?usp=drivesdk</v>
      </c>
      <c r="Y2430" s="151" t="s">
        <v>141</v>
      </c>
      <c r="Z2430" s="159" t="s">
        <v>1079</v>
      </c>
      <c r="AA2430" s="159" t="s">
        <v>14623</v>
      </c>
      <c r="AB2430" s="159" t="s">
        <v>14436</v>
      </c>
      <c r="AC2430" s="159" t="s">
        <v>14623</v>
      </c>
      <c r="AD2430" s="68"/>
      <c r="AE2430" s="68"/>
      <c r="AF2430" s="156">
        <v>980.0</v>
      </c>
      <c r="AG2430" s="156">
        <v>0.11</v>
      </c>
      <c r="AH2430" s="159" t="s">
        <v>361</v>
      </c>
      <c r="AI2430" s="159" t="s">
        <v>14624</v>
      </c>
      <c r="AJ2430" s="336">
        <v>0.01</v>
      </c>
      <c r="AK2430" s="159" t="s">
        <v>172</v>
      </c>
      <c r="AL2430" s="159" t="s">
        <v>136</v>
      </c>
      <c r="AM2430" s="159" t="s">
        <v>137</v>
      </c>
      <c r="AN2430" s="159" t="s">
        <v>138</v>
      </c>
      <c r="AO2430" s="156">
        <v>1466.0</v>
      </c>
      <c r="AP2430" s="156">
        <v>0.07</v>
      </c>
      <c r="AQ2430" s="159" t="s">
        <v>215</v>
      </c>
      <c r="AR2430" s="159" t="s">
        <v>14440</v>
      </c>
      <c r="AS2430" s="2089">
        <v>0.001</v>
      </c>
      <c r="AT2430" s="1792" t="s">
        <v>135</v>
      </c>
      <c r="AU2430" s="1792" t="s">
        <v>136</v>
      </c>
      <c r="AV2430" s="159" t="s">
        <v>137</v>
      </c>
      <c r="AW2430" s="435" t="s">
        <v>14441</v>
      </c>
      <c r="AX2430" s="159" t="s">
        <v>143</v>
      </c>
      <c r="AY2430" s="61" t="str">
        <f>IFERROR(__xludf.DUMMYFUNCTION("vlookup(BB2430,importrange(""https://docs.google.com/spreadsheets/d/1d2vevQ_7D_v35q4wCQ4RpQ_IPoTwEMB9Yp6ymwlPqew/edit?gid=984458430#gid=984458430"", ""'replication success'!A:K""), 11, FAlSE)"),"")</f>
        <v/>
      </c>
      <c r="AZ2430" s="61" t="str">
        <f>IFERROR(__xludf.DUMMYFUNCTION("vlookup(BB2430,importrange(""https://docs.google.com/spreadsheets/d/1d2vevQ_7D_v35q4wCQ4RpQ_IPoTwEMB9Yp6ymwlPqew/edit?gid=984458430#gid=984458430"", ""'replication success'!A:M""), 12, FAlSE)"),"")</f>
        <v/>
      </c>
      <c r="BA2430" s="61" t="str">
        <f>IFERROR(__xludf.DUMMYFUNCTION("vlookup(BB2430,importrange(""https://docs.google.com/spreadsheets/d/1d2vevQ_7D_v35q4wCQ4RpQ_IPoTwEMB9Yp6ymwlPqew/edit?gid=984458430#gid=984458430"", ""'replication success'!A:M""), 13, FAlSE)"),"abstract")</f>
        <v>abstract</v>
      </c>
      <c r="BB2430" s="61" t="str">
        <f>IFERROR(__xludf.DUMMYFUNCTION("REGEXREPLACE(G2430, ""_[a-z]{1,2}$"", """")"),"Soto")</f>
        <v>Soto</v>
      </c>
      <c r="BD2430" s="287" t="s">
        <v>1270</v>
      </c>
    </row>
    <row r="2431">
      <c r="A2431" s="44">
        <v>2431.0</v>
      </c>
      <c r="B2431" s="129" t="s">
        <v>114</v>
      </c>
      <c r="C2431" s="62" t="s">
        <v>115</v>
      </c>
      <c r="D2431" s="62" t="s">
        <v>2630</v>
      </c>
      <c r="F2431" s="68" t="s">
        <v>14625</v>
      </c>
      <c r="G2431" s="159" t="s">
        <v>14425</v>
      </c>
      <c r="H2431" s="159" t="s">
        <v>14426</v>
      </c>
      <c r="I2431" s="1287" t="s">
        <v>14427</v>
      </c>
      <c r="J2431" s="2110">
        <v>45814.0</v>
      </c>
      <c r="K2431" s="68"/>
      <c r="L2431" s="129" t="s">
        <v>14626</v>
      </c>
      <c r="M2431" s="159" t="s">
        <v>14620</v>
      </c>
      <c r="N2431" s="159" t="s">
        <v>14621</v>
      </c>
      <c r="O2431" s="129">
        <v>1.0</v>
      </c>
      <c r="P2431" s="382" t="s">
        <v>14622</v>
      </c>
      <c r="Q2431" s="52" t="str">
        <f t="array" ref="Q2431"> if(iserror(MATCH(V2431, 'File Links'!C:C, 0)), "N/A", HYPERLINK(INDEX('File Links'!B:B, MATCH(P2431, 'File Links'!C:C, 0))))</f>
        <v>https://drive.google.com/file/d/15-xZoziBIfRM1RNSkhWBwkJIkhndLjdq/view?usp=drivesdk</v>
      </c>
      <c r="R2431" s="159" t="s">
        <v>14432</v>
      </c>
      <c r="S2431" s="159" t="s">
        <v>14433</v>
      </c>
      <c r="T2431" s="68"/>
      <c r="U2431" s="129">
        <v>1.0</v>
      </c>
      <c r="V2431" s="382" t="s">
        <v>14434</v>
      </c>
      <c r="W2431" s="295" t="s">
        <v>209</v>
      </c>
      <c r="X2431" s="54" t="str">
        <f t="array" ref="X2431"> if(iserror(MATCH(V2431, 'File Links'!C:C, 0)), "N/A", HYPERLINK(INDEX('File Links'!B:B, MATCH(V2431, 'File Links'!C:C, 0))))</f>
        <v>https://drive.google.com/file/d/17mZvRs3ue7pXwqu8bmIDvgNdc95PGEcV/view?usp=drivesdk</v>
      </c>
      <c r="Y2431" s="159" t="s">
        <v>138</v>
      </c>
      <c r="Z2431" s="159" t="s">
        <v>1079</v>
      </c>
      <c r="AA2431" s="159" t="s">
        <v>14627</v>
      </c>
      <c r="AB2431" s="159" t="s">
        <v>14436</v>
      </c>
      <c r="AC2431" s="159" t="s">
        <v>14627</v>
      </c>
      <c r="AD2431" s="159" t="s">
        <v>14628</v>
      </c>
      <c r="AE2431" s="161" t="s">
        <v>632</v>
      </c>
      <c r="AF2431" s="156">
        <v>980.0</v>
      </c>
      <c r="AG2431" s="2115" t="s">
        <v>14629</v>
      </c>
      <c r="AH2431" s="159" t="s">
        <v>361</v>
      </c>
      <c r="AI2431" s="151" t="s">
        <v>14630</v>
      </c>
      <c r="AJ2431" s="336">
        <v>0.01</v>
      </c>
      <c r="AK2431" s="68" t="s">
        <v>135</v>
      </c>
      <c r="AL2431" s="2098" t="s">
        <v>186</v>
      </c>
      <c r="AM2431" s="159" t="s">
        <v>137</v>
      </c>
      <c r="AN2431" s="159" t="s">
        <v>138</v>
      </c>
      <c r="AO2431" s="156">
        <v>1489.0</v>
      </c>
      <c r="AP2431" s="161">
        <v>-0.19</v>
      </c>
      <c r="AQ2431" s="159" t="s">
        <v>361</v>
      </c>
      <c r="AR2431" s="159" t="s">
        <v>14440</v>
      </c>
      <c r="AS2431" s="347" t="s">
        <v>138</v>
      </c>
      <c r="AT2431" s="347" t="s">
        <v>138</v>
      </c>
      <c r="AU2431" s="347" t="s">
        <v>138</v>
      </c>
      <c r="AV2431" s="159" t="s">
        <v>137</v>
      </c>
      <c r="AW2431" s="435" t="s">
        <v>14441</v>
      </c>
      <c r="AX2431" s="159" t="s">
        <v>143</v>
      </c>
      <c r="AY2431" s="61" t="str">
        <f>IFERROR(__xludf.DUMMYFUNCTION("vlookup(BB2431,importrange(""https://docs.google.com/spreadsheets/d/1d2vevQ_7D_v35q4wCQ4RpQ_IPoTwEMB9Yp6ymwlPqew/edit?gid=984458430#gid=984458430"", ""'replication success'!A:K""), 11, FAlSE)"),"")</f>
        <v/>
      </c>
      <c r="AZ2431" s="61" t="str">
        <f>IFERROR(__xludf.DUMMYFUNCTION("vlookup(BB2431,importrange(""https://docs.google.com/spreadsheets/d/1d2vevQ_7D_v35q4wCQ4RpQ_IPoTwEMB9Yp6ymwlPqew/edit?gid=984458430#gid=984458430"", ""'replication success'!A:M""), 12, FAlSE)"),"")</f>
        <v/>
      </c>
      <c r="BA2431" s="61" t="str">
        <f>IFERROR(__xludf.DUMMYFUNCTION("vlookup(BB2431,importrange(""https://docs.google.com/spreadsheets/d/1d2vevQ_7D_v35q4wCQ4RpQ_IPoTwEMB9Yp6ymwlPqew/edit?gid=984458430#gid=984458430"", ""'replication success'!A:M""), 13, FAlSE)"),"abstract")</f>
        <v>abstract</v>
      </c>
      <c r="BB2431" s="61" t="str">
        <f>IFERROR(__xludf.DUMMYFUNCTION("REGEXREPLACE(G2431, ""_[a-z]{1,2}$"", """")"),"Soto")</f>
        <v>Soto</v>
      </c>
      <c r="BD2431" s="287" t="s">
        <v>1270</v>
      </c>
    </row>
    <row r="2432">
      <c r="A2432" s="44">
        <v>2432.0</v>
      </c>
      <c r="B2432" s="374" t="s">
        <v>114</v>
      </c>
      <c r="C2432" s="188" t="s">
        <v>115</v>
      </c>
      <c r="D2432" s="188" t="s">
        <v>221</v>
      </c>
      <c r="E2432" s="189"/>
      <c r="F2432" s="190" t="s">
        <v>14631</v>
      </c>
      <c r="G2432" s="198" t="s">
        <v>14425</v>
      </c>
      <c r="H2432" s="198" t="s">
        <v>222</v>
      </c>
      <c r="I2432" s="191">
        <v>45760.0</v>
      </c>
      <c r="J2432" s="2110">
        <v>45814.0</v>
      </c>
      <c r="K2432" s="198" t="s">
        <v>14632</v>
      </c>
      <c r="L2432" s="374" t="s">
        <v>14633</v>
      </c>
      <c r="M2432" s="198" t="s">
        <v>14634</v>
      </c>
      <c r="N2432" s="198" t="s">
        <v>14635</v>
      </c>
      <c r="O2432" s="374">
        <v>1.0</v>
      </c>
      <c r="P2432" s="198" t="s">
        <v>14636</v>
      </c>
      <c r="Q2432" s="1168" t="str">
        <f t="array" ref="Q2432"> if(iserror(MATCH(V2432, 'File Links'!C:C, 0)), "N/A", HYPERLINK(INDEX('File Links'!B:B, MATCH(P2432, 'File Links'!C:C, 0))))</f>
        <v>https://drive.google.com/file/d/1NUoPD3eW0MR4HJ1BQoG7-ngWy5-ADbSy/view?usp=drivesdk</v>
      </c>
      <c r="R2432" s="198" t="s">
        <v>14432</v>
      </c>
      <c r="S2432" s="198" t="s">
        <v>14433</v>
      </c>
      <c r="T2432" s="190"/>
      <c r="U2432" s="374">
        <v>1.0</v>
      </c>
      <c r="V2432" s="198" t="s">
        <v>14434</v>
      </c>
      <c r="W2432" s="374" t="s">
        <v>209</v>
      </c>
      <c r="X2432" s="1169" t="str">
        <f t="array" ref="X2432"> if(iserror(MATCH(V2432, 'File Links'!C:C, 0)), "N/A", HYPERLINK(INDEX('File Links'!B:B, MATCH(V2432, 'File Links'!C:C, 0))))</f>
        <v>https://drive.google.com/file/d/17mZvRs3ue7pXwqu8bmIDvgNdc95PGEcV/view?usp=drivesdk</v>
      </c>
      <c r="Y2432" s="198"/>
      <c r="Z2432" s="198" t="s">
        <v>1079</v>
      </c>
      <c r="AA2432" s="374" t="s">
        <v>14637</v>
      </c>
      <c r="AB2432" s="198" t="s">
        <v>14436</v>
      </c>
      <c r="AC2432" s="198" t="s">
        <v>14638</v>
      </c>
      <c r="AD2432" s="190" t="s">
        <v>14638</v>
      </c>
      <c r="AE2432" s="190" t="s">
        <v>14639</v>
      </c>
      <c r="AF2432" s="758">
        <v>418.0</v>
      </c>
      <c r="AG2432" s="565">
        <v>0.41</v>
      </c>
      <c r="AH2432" s="190" t="s">
        <v>215</v>
      </c>
      <c r="AI2432" s="190" t="s">
        <v>14639</v>
      </c>
      <c r="AJ2432" s="347" t="s">
        <v>138</v>
      </c>
      <c r="AK2432" s="347" t="s">
        <v>138</v>
      </c>
      <c r="AL2432" s="360" t="s">
        <v>186</v>
      </c>
      <c r="AM2432" s="190" t="s">
        <v>137</v>
      </c>
      <c r="AN2432" s="190"/>
      <c r="AO2432" s="758">
        <v>1549.0</v>
      </c>
      <c r="AP2432" s="750">
        <v>0.35</v>
      </c>
      <c r="AQ2432" s="190" t="s">
        <v>215</v>
      </c>
      <c r="AR2432" s="190" t="s">
        <v>850</v>
      </c>
      <c r="AS2432" s="2116">
        <v>1.45353153159928E-45</v>
      </c>
      <c r="AT2432" s="190" t="s">
        <v>135</v>
      </c>
      <c r="AU2432" s="190" t="s">
        <v>136</v>
      </c>
      <c r="AV2432" s="190" t="s">
        <v>137</v>
      </c>
      <c r="AW2432" s="877" t="s">
        <v>14441</v>
      </c>
      <c r="AX2432" s="190" t="s">
        <v>151</v>
      </c>
      <c r="AY2432" s="61" t="str">
        <f>IFERROR(__xludf.DUMMYFUNCTION("vlookup(BB2432,importrange(""https://docs.google.com/spreadsheets/d/1d2vevQ_7D_v35q4wCQ4RpQ_IPoTwEMB9Yp6ymwlPqew/edit?gid=984458430#gid=984458430"", ""'replication success'!A:K""), 11, FAlSE)"),"")</f>
        <v/>
      </c>
      <c r="AZ2432" s="61" t="str">
        <f>IFERROR(__xludf.DUMMYFUNCTION("vlookup(BB2432,importrange(""https://docs.google.com/spreadsheets/d/1d2vevQ_7D_v35q4wCQ4RpQ_IPoTwEMB9Yp6ymwlPqew/edit?gid=984458430#gid=984458430"", ""'replication success'!A:M""), 12, FAlSE)"),"")</f>
        <v/>
      </c>
      <c r="BA2432" s="61" t="str">
        <f>IFERROR(__xludf.DUMMYFUNCTION("vlookup(BB2432,importrange(""https://docs.google.com/spreadsheets/d/1d2vevQ_7D_v35q4wCQ4RpQ_IPoTwEMB9Yp6ymwlPqew/edit?gid=984458430#gid=984458430"", ""'replication success'!A:M""), 13, FAlSE)"),"abstract")</f>
        <v>abstract</v>
      </c>
      <c r="BB2432" s="61" t="str">
        <f>IFERROR(__xludf.DUMMYFUNCTION("REGEXREPLACE(G2432, ""_[a-z]{1,2}$"", """")"),"Soto")</f>
        <v>Soto</v>
      </c>
      <c r="BC2432" s="190"/>
      <c r="BD2432" s="287" t="s">
        <v>1270</v>
      </c>
      <c r="BE2432" s="189"/>
      <c r="BF2432" s="189"/>
      <c r="BG2432" s="189"/>
      <c r="BH2432" s="189"/>
      <c r="BI2432" s="189"/>
      <c r="BJ2432" s="189"/>
      <c r="BK2432" s="189"/>
      <c r="BL2432" s="189"/>
      <c r="BM2432" s="189"/>
      <c r="BN2432" s="189"/>
      <c r="BO2432" s="189"/>
      <c r="BP2432" s="189"/>
      <c r="BQ2432" s="189"/>
      <c r="BR2432" s="189"/>
      <c r="BS2432" s="189"/>
      <c r="BT2432" s="189"/>
      <c r="BU2432" s="189"/>
      <c r="BV2432" s="189"/>
      <c r="BW2432" s="189"/>
      <c r="BX2432" s="189"/>
      <c r="BY2432" s="189"/>
      <c r="BZ2432" s="189"/>
      <c r="CA2432" s="189"/>
      <c r="CB2432" s="189"/>
      <c r="CC2432" s="189"/>
      <c r="CD2432" s="189"/>
      <c r="CE2432" s="189"/>
      <c r="CF2432" s="189"/>
      <c r="CG2432" s="189"/>
      <c r="CH2432" s="189"/>
      <c r="CI2432" s="189"/>
      <c r="CJ2432" s="189"/>
      <c r="CK2432" s="189"/>
      <c r="CL2432" s="189"/>
      <c r="CM2432" s="189"/>
      <c r="CN2432" s="189"/>
      <c r="CO2432" s="189"/>
      <c r="CP2432" s="189"/>
      <c r="CQ2432" s="189"/>
      <c r="CR2432" s="189"/>
      <c r="CS2432" s="189"/>
      <c r="CT2432" s="189"/>
      <c r="CU2432" s="189"/>
      <c r="CV2432" s="189"/>
      <c r="CW2432" s="189"/>
      <c r="CX2432" s="189"/>
      <c r="CY2432" s="189"/>
      <c r="CZ2432" s="189"/>
      <c r="DA2432" s="189"/>
      <c r="DB2432" s="189"/>
      <c r="DC2432" s="189"/>
      <c r="DD2432" s="189"/>
      <c r="DE2432" s="189"/>
      <c r="DF2432" s="189"/>
      <c r="DG2432" s="189"/>
      <c r="DH2432" s="189"/>
      <c r="DI2432" s="189"/>
      <c r="DJ2432" s="189"/>
      <c r="DK2432" s="189"/>
      <c r="DL2432" s="189"/>
    </row>
    <row r="2433">
      <c r="A2433" s="44">
        <v>2433.0</v>
      </c>
      <c r="B2433" s="129" t="s">
        <v>114</v>
      </c>
      <c r="C2433" s="62" t="s">
        <v>115</v>
      </c>
      <c r="D2433" s="62" t="s">
        <v>221</v>
      </c>
      <c r="F2433" s="68" t="s">
        <v>14640</v>
      </c>
      <c r="G2433" s="159" t="s">
        <v>14425</v>
      </c>
      <c r="H2433" s="159" t="s">
        <v>222</v>
      </c>
      <c r="I2433" s="152">
        <v>45760.0</v>
      </c>
      <c r="J2433" s="2110">
        <v>45814.0</v>
      </c>
      <c r="K2433" s="159" t="s">
        <v>14632</v>
      </c>
      <c r="L2433" s="374" t="s">
        <v>14633</v>
      </c>
      <c r="M2433" s="159" t="s">
        <v>14634</v>
      </c>
      <c r="N2433" s="159" t="s">
        <v>14635</v>
      </c>
      <c r="O2433" s="129">
        <v>1.0</v>
      </c>
      <c r="P2433" s="382" t="s">
        <v>14636</v>
      </c>
      <c r="Q2433" s="52" t="str">
        <f t="array" ref="Q2433"> if(iserror(MATCH(V2433, 'File Links'!C:C, 0)), "N/A", HYPERLINK(INDEX('File Links'!B:B, MATCH(P2433, 'File Links'!C:C, 0))))</f>
        <v>https://drive.google.com/file/d/1NUoPD3eW0MR4HJ1BQoG7-ngWy5-ADbSy/view?usp=drivesdk</v>
      </c>
      <c r="R2433" s="159" t="s">
        <v>14432</v>
      </c>
      <c r="S2433" s="159" t="s">
        <v>14433</v>
      </c>
      <c r="T2433" s="68"/>
      <c r="U2433" s="129">
        <v>1.0</v>
      </c>
      <c r="V2433" s="382" t="s">
        <v>14434</v>
      </c>
      <c r="W2433" s="295" t="s">
        <v>209</v>
      </c>
      <c r="X2433" s="54" t="str">
        <f t="array" ref="X2433"> if(iserror(MATCH(V2433, 'File Links'!C:C, 0)), "N/A", HYPERLINK(INDEX('File Links'!B:B, MATCH(V2433, 'File Links'!C:C, 0))))</f>
        <v>https://drive.google.com/file/d/17mZvRs3ue7pXwqu8bmIDvgNdc95PGEcV/view?usp=drivesdk</v>
      </c>
      <c r="Y2433" s="159"/>
      <c r="Z2433" s="159" t="s">
        <v>1079</v>
      </c>
      <c r="AA2433" s="129" t="s">
        <v>14641</v>
      </c>
      <c r="AB2433" s="159" t="s">
        <v>14436</v>
      </c>
      <c r="AC2433" s="159" t="s">
        <v>14642</v>
      </c>
      <c r="AD2433" s="68" t="s">
        <v>14643</v>
      </c>
      <c r="AE2433" s="68" t="s">
        <v>14639</v>
      </c>
      <c r="AF2433" s="156">
        <v>418.0</v>
      </c>
      <c r="AG2433" s="336">
        <v>0.17</v>
      </c>
      <c r="AH2433" s="68" t="s">
        <v>215</v>
      </c>
      <c r="AI2433" s="68" t="s">
        <v>14639</v>
      </c>
      <c r="AJ2433" s="347" t="s">
        <v>138</v>
      </c>
      <c r="AK2433" s="347" t="s">
        <v>138</v>
      </c>
      <c r="AL2433" s="360" t="s">
        <v>186</v>
      </c>
      <c r="AM2433" s="68" t="s">
        <v>137</v>
      </c>
      <c r="AN2433" s="68"/>
      <c r="AO2433" s="156">
        <v>1284.0</v>
      </c>
      <c r="AP2433" s="336">
        <v>0.12</v>
      </c>
      <c r="AQ2433" s="68" t="s">
        <v>215</v>
      </c>
      <c r="AR2433" s="68" t="s">
        <v>850</v>
      </c>
      <c r="AS2433" s="2117">
        <v>7.98957439064175E-6</v>
      </c>
      <c r="AT2433" s="1793" t="s">
        <v>135</v>
      </c>
      <c r="AU2433" s="1793" t="s">
        <v>136</v>
      </c>
      <c r="AV2433" s="68" t="s">
        <v>137</v>
      </c>
      <c r="AW2433" s="435" t="s">
        <v>14441</v>
      </c>
      <c r="AX2433" s="190" t="s">
        <v>151</v>
      </c>
      <c r="AY2433" s="61" t="str">
        <f>IFERROR(__xludf.DUMMYFUNCTION("vlookup(BB2433,importrange(""https://docs.google.com/spreadsheets/d/1d2vevQ_7D_v35q4wCQ4RpQ_IPoTwEMB9Yp6ymwlPqew/edit?gid=984458430#gid=984458430"", ""'replication success'!A:K""), 11, FAlSE)"),"")</f>
        <v/>
      </c>
      <c r="AZ2433" s="61" t="str">
        <f>IFERROR(__xludf.DUMMYFUNCTION("vlookup(BB2433,importrange(""https://docs.google.com/spreadsheets/d/1d2vevQ_7D_v35q4wCQ4RpQ_IPoTwEMB9Yp6ymwlPqew/edit?gid=984458430#gid=984458430"", ""'replication success'!A:M""), 12, FAlSE)"),"")</f>
        <v/>
      </c>
      <c r="BA2433" s="61" t="str">
        <f>IFERROR(__xludf.DUMMYFUNCTION("vlookup(BB2433,importrange(""https://docs.google.com/spreadsheets/d/1d2vevQ_7D_v35q4wCQ4RpQ_IPoTwEMB9Yp6ymwlPqew/edit?gid=984458430#gid=984458430"", ""'replication success'!A:M""), 13, FAlSE)"),"abstract")</f>
        <v>abstract</v>
      </c>
      <c r="BB2433" s="61" t="str">
        <f>IFERROR(__xludf.DUMMYFUNCTION("REGEXREPLACE(G2433, ""_[a-z]{1,2}$"", """")"),"Soto")</f>
        <v>Soto</v>
      </c>
      <c r="BC2433" s="68"/>
      <c r="BD2433" s="287" t="s">
        <v>1270</v>
      </c>
    </row>
    <row r="2434">
      <c r="A2434" s="44">
        <v>2434.0</v>
      </c>
      <c r="B2434" s="129" t="s">
        <v>114</v>
      </c>
      <c r="C2434" s="62" t="s">
        <v>115</v>
      </c>
      <c r="D2434" s="62" t="s">
        <v>221</v>
      </c>
      <c r="F2434" s="68" t="s">
        <v>14644</v>
      </c>
      <c r="G2434" s="159" t="s">
        <v>14425</v>
      </c>
      <c r="H2434" s="159" t="s">
        <v>222</v>
      </c>
      <c r="I2434" s="152">
        <v>45760.0</v>
      </c>
      <c r="J2434" s="2110">
        <v>45814.0</v>
      </c>
      <c r="K2434" s="159" t="s">
        <v>14632</v>
      </c>
      <c r="L2434" s="374" t="s">
        <v>14633</v>
      </c>
      <c r="M2434" s="159" t="s">
        <v>14634</v>
      </c>
      <c r="N2434" s="159" t="s">
        <v>14635</v>
      </c>
      <c r="O2434" s="129">
        <v>1.0</v>
      </c>
      <c r="P2434" s="382" t="s">
        <v>14636</v>
      </c>
      <c r="Q2434" s="52" t="str">
        <f t="array" ref="Q2434"> if(iserror(MATCH(V2434, 'File Links'!C:C, 0)), "N/A", HYPERLINK(INDEX('File Links'!B:B, MATCH(P2434, 'File Links'!C:C, 0))))</f>
        <v>https://drive.google.com/file/d/1NUoPD3eW0MR4HJ1BQoG7-ngWy5-ADbSy/view?usp=drivesdk</v>
      </c>
      <c r="R2434" s="159" t="s">
        <v>14432</v>
      </c>
      <c r="S2434" s="159" t="s">
        <v>14433</v>
      </c>
      <c r="T2434" s="68"/>
      <c r="U2434" s="129">
        <v>1.0</v>
      </c>
      <c r="V2434" s="382" t="s">
        <v>14434</v>
      </c>
      <c r="W2434" s="295" t="s">
        <v>209</v>
      </c>
      <c r="X2434" s="54" t="str">
        <f t="array" ref="X2434"> if(iserror(MATCH(V2434, 'File Links'!C:C, 0)), "N/A", HYPERLINK(INDEX('File Links'!B:B, MATCH(V2434, 'File Links'!C:C, 0))))</f>
        <v>https://drive.google.com/file/d/17mZvRs3ue7pXwqu8bmIDvgNdc95PGEcV/view?usp=drivesdk</v>
      </c>
      <c r="Y2434" s="159"/>
      <c r="Z2434" s="159" t="s">
        <v>1079</v>
      </c>
      <c r="AA2434" s="129" t="s">
        <v>14645</v>
      </c>
      <c r="AB2434" s="159" t="s">
        <v>14436</v>
      </c>
      <c r="AC2434" s="159" t="s">
        <v>14646</v>
      </c>
      <c r="AD2434" s="68" t="s">
        <v>14647</v>
      </c>
      <c r="AE2434" s="68" t="s">
        <v>14639</v>
      </c>
      <c r="AF2434" s="156">
        <v>418.0</v>
      </c>
      <c r="AG2434" s="336">
        <v>0.24</v>
      </c>
      <c r="AH2434" s="68" t="s">
        <v>215</v>
      </c>
      <c r="AI2434" s="68" t="s">
        <v>14639</v>
      </c>
      <c r="AJ2434" s="347" t="s">
        <v>138</v>
      </c>
      <c r="AK2434" s="347" t="s">
        <v>138</v>
      </c>
      <c r="AL2434" s="360" t="s">
        <v>186</v>
      </c>
      <c r="AM2434" s="68" t="s">
        <v>137</v>
      </c>
      <c r="AN2434" s="68"/>
      <c r="AO2434" s="156">
        <v>1550.0</v>
      </c>
      <c r="AP2434" s="336">
        <v>0.33</v>
      </c>
      <c r="AQ2434" s="68" t="s">
        <v>215</v>
      </c>
      <c r="AR2434" s="68" t="s">
        <v>850</v>
      </c>
      <c r="AS2434" s="2117">
        <v>3.88557031789061E-40</v>
      </c>
      <c r="AT2434" s="1793" t="s">
        <v>135</v>
      </c>
      <c r="AU2434" s="1793" t="s">
        <v>136</v>
      </c>
      <c r="AV2434" s="68" t="s">
        <v>137</v>
      </c>
      <c r="AW2434" s="435" t="s">
        <v>14441</v>
      </c>
      <c r="AX2434" s="190" t="s">
        <v>151</v>
      </c>
      <c r="AY2434" s="61" t="str">
        <f>IFERROR(__xludf.DUMMYFUNCTION("vlookup(BB2434,importrange(""https://docs.google.com/spreadsheets/d/1d2vevQ_7D_v35q4wCQ4RpQ_IPoTwEMB9Yp6ymwlPqew/edit?gid=984458430#gid=984458430"", ""'replication success'!A:K""), 11, FAlSE)"),"")</f>
        <v/>
      </c>
      <c r="AZ2434" s="61" t="str">
        <f>IFERROR(__xludf.DUMMYFUNCTION("vlookup(BB2434,importrange(""https://docs.google.com/spreadsheets/d/1d2vevQ_7D_v35q4wCQ4RpQ_IPoTwEMB9Yp6ymwlPqew/edit?gid=984458430#gid=984458430"", ""'replication success'!A:M""), 12, FAlSE)"),"")</f>
        <v/>
      </c>
      <c r="BA2434" s="61" t="str">
        <f>IFERROR(__xludf.DUMMYFUNCTION("vlookup(BB2434,importrange(""https://docs.google.com/spreadsheets/d/1d2vevQ_7D_v35q4wCQ4RpQ_IPoTwEMB9Yp6ymwlPqew/edit?gid=984458430#gid=984458430"", ""'replication success'!A:M""), 13, FAlSE)"),"abstract")</f>
        <v>abstract</v>
      </c>
      <c r="BB2434" s="61" t="str">
        <f>IFERROR(__xludf.DUMMYFUNCTION("REGEXREPLACE(G2434, ""_[a-z]{1,2}$"", """")"),"Soto")</f>
        <v>Soto</v>
      </c>
      <c r="BC2434" s="68"/>
      <c r="BD2434" s="287" t="s">
        <v>1270</v>
      </c>
    </row>
    <row r="2435">
      <c r="A2435" s="44">
        <v>2435.0</v>
      </c>
      <c r="B2435" s="129" t="s">
        <v>152</v>
      </c>
      <c r="C2435" s="62" t="s">
        <v>115</v>
      </c>
      <c r="D2435" s="62" t="s">
        <v>221</v>
      </c>
      <c r="F2435" s="68" t="s">
        <v>14648</v>
      </c>
      <c r="G2435" s="159" t="s">
        <v>14425</v>
      </c>
      <c r="H2435" s="159" t="s">
        <v>222</v>
      </c>
      <c r="I2435" s="152">
        <v>45760.0</v>
      </c>
      <c r="J2435" s="2110">
        <v>45814.0</v>
      </c>
      <c r="K2435" s="159" t="s">
        <v>14649</v>
      </c>
      <c r="L2435" s="129" t="s">
        <v>14650</v>
      </c>
      <c r="M2435" s="159" t="s">
        <v>14651</v>
      </c>
      <c r="N2435" s="159" t="s">
        <v>14652</v>
      </c>
      <c r="O2435" s="129">
        <v>3.0</v>
      </c>
      <c r="P2435" s="382" t="s">
        <v>14653</v>
      </c>
      <c r="Q2435" s="52" t="str">
        <f t="array" ref="Q2435"> if(iserror(MATCH(V2435, 'File Links'!C:C, 0)), "N/A", HYPERLINK(INDEX('File Links'!B:B, MATCH(P2435, 'File Links'!C:C, 0))))</f>
        <v>https://drive.google.com/file/d/1_T47980LRcVvkPpcoUhfImG7kOlwUqEM/view?usp=drivesdk</v>
      </c>
      <c r="R2435" s="159" t="s">
        <v>14432</v>
      </c>
      <c r="S2435" s="159" t="s">
        <v>14433</v>
      </c>
      <c r="T2435" s="68"/>
      <c r="U2435" s="129">
        <v>1.0</v>
      </c>
      <c r="V2435" s="382" t="s">
        <v>14434</v>
      </c>
      <c r="W2435" s="295" t="s">
        <v>209</v>
      </c>
      <c r="X2435" s="54" t="str">
        <f t="array" ref="X2435"> if(iserror(MATCH(V2435, 'File Links'!C:C, 0)), "N/A", HYPERLINK(INDEX('File Links'!B:B, MATCH(V2435, 'File Links'!C:C, 0))))</f>
        <v>https://drive.google.com/file/d/17mZvRs3ue7pXwqu8bmIDvgNdc95PGEcV/view?usp=drivesdk</v>
      </c>
      <c r="Y2435" s="68"/>
      <c r="Z2435" s="159" t="s">
        <v>1079</v>
      </c>
      <c r="AA2435" s="129" t="s">
        <v>14654</v>
      </c>
      <c r="AB2435" s="159" t="s">
        <v>14436</v>
      </c>
      <c r="AC2435" s="159" t="s">
        <v>14655</v>
      </c>
      <c r="AD2435" s="151" t="s">
        <v>138</v>
      </c>
      <c r="AE2435" s="68" t="s">
        <v>1174</v>
      </c>
      <c r="AF2435" s="156">
        <v>37.0</v>
      </c>
      <c r="AG2435" s="336">
        <v>0.41</v>
      </c>
      <c r="AH2435" s="68" t="s">
        <v>361</v>
      </c>
      <c r="AI2435" s="68" t="s">
        <v>1174</v>
      </c>
      <c r="AJ2435" s="336">
        <v>0.01</v>
      </c>
      <c r="AK2435" s="68" t="s">
        <v>135</v>
      </c>
      <c r="AL2435" s="360" t="s">
        <v>186</v>
      </c>
      <c r="AM2435" s="68" t="s">
        <v>137</v>
      </c>
      <c r="AN2435" s="68" t="s">
        <v>138</v>
      </c>
      <c r="AO2435" s="156">
        <v>775.0</v>
      </c>
      <c r="AP2435" s="336">
        <v>0.39</v>
      </c>
      <c r="AQ2435" s="68" t="s">
        <v>215</v>
      </c>
      <c r="AR2435" s="68" t="s">
        <v>813</v>
      </c>
      <c r="AS2435" s="1791">
        <v>0.05</v>
      </c>
      <c r="AT2435" s="1793" t="s">
        <v>135</v>
      </c>
      <c r="AU2435" s="1793" t="s">
        <v>136</v>
      </c>
      <c r="AV2435" s="68" t="s">
        <v>137</v>
      </c>
      <c r="AW2435" s="435" t="s">
        <v>14441</v>
      </c>
      <c r="AX2435" s="68" t="s">
        <v>143</v>
      </c>
      <c r="AY2435" s="61" t="str">
        <f>IFERROR(__xludf.DUMMYFUNCTION("vlookup(BB2435,importrange(""https://docs.google.com/spreadsheets/d/1d2vevQ_7D_v35q4wCQ4RpQ_IPoTwEMB9Yp6ymwlPqew/edit?gid=984458430#gid=984458430"", ""'replication success'!A:K""), 11, FAlSE)"),"")</f>
        <v/>
      </c>
      <c r="AZ2435" s="61" t="str">
        <f>IFERROR(__xludf.DUMMYFUNCTION("vlookup(BB2435,importrange(""https://docs.google.com/spreadsheets/d/1d2vevQ_7D_v35q4wCQ4RpQ_IPoTwEMB9Yp6ymwlPqew/edit?gid=984458430#gid=984458430"", ""'replication success'!A:M""), 12, FAlSE)"),"")</f>
        <v/>
      </c>
      <c r="BA2435" s="61" t="str">
        <f>IFERROR(__xludf.DUMMYFUNCTION("vlookup(BB2435,importrange(""https://docs.google.com/spreadsheets/d/1d2vevQ_7D_v35q4wCQ4RpQ_IPoTwEMB9Yp6ymwlPqew/edit?gid=984458430#gid=984458430"", ""'replication success'!A:M""), 13, FAlSE)"),"abstract")</f>
        <v>abstract</v>
      </c>
      <c r="BB2435" s="61" t="str">
        <f>IFERROR(__xludf.DUMMYFUNCTION("REGEXREPLACE(G2435, ""_[a-z]{1,2}$"", """")"),"Soto")</f>
        <v>Soto</v>
      </c>
      <c r="BC2435" s="68"/>
      <c r="BD2435" s="287" t="s">
        <v>1270</v>
      </c>
    </row>
    <row r="2436">
      <c r="A2436" s="44">
        <v>2436.0</v>
      </c>
      <c r="B2436" s="129" t="s">
        <v>152</v>
      </c>
      <c r="C2436" s="62" t="s">
        <v>115</v>
      </c>
      <c r="D2436" s="62" t="s">
        <v>221</v>
      </c>
      <c r="F2436" s="68" t="s">
        <v>14656</v>
      </c>
      <c r="G2436" s="159" t="s">
        <v>14425</v>
      </c>
      <c r="H2436" s="159" t="s">
        <v>222</v>
      </c>
      <c r="I2436" s="152">
        <v>45760.0</v>
      </c>
      <c r="J2436" s="2110">
        <v>45814.0</v>
      </c>
      <c r="K2436" s="159" t="s">
        <v>14657</v>
      </c>
      <c r="L2436" s="129" t="s">
        <v>14658</v>
      </c>
      <c r="M2436" s="159" t="s">
        <v>14651</v>
      </c>
      <c r="N2436" s="159" t="s">
        <v>14652</v>
      </c>
      <c r="O2436" s="129">
        <v>3.0</v>
      </c>
      <c r="P2436" s="382" t="s">
        <v>14653</v>
      </c>
      <c r="Q2436" s="52" t="str">
        <f t="array" ref="Q2436"> if(iserror(MATCH(V2436, 'File Links'!C:C, 0)), "N/A", HYPERLINK(INDEX('File Links'!B:B, MATCH(P2436, 'File Links'!C:C, 0))))</f>
        <v>https://drive.google.com/file/d/1_T47980LRcVvkPpcoUhfImG7kOlwUqEM/view?usp=drivesdk</v>
      </c>
      <c r="R2436" s="159" t="s">
        <v>14432</v>
      </c>
      <c r="S2436" s="159" t="s">
        <v>14433</v>
      </c>
      <c r="T2436" s="68"/>
      <c r="U2436" s="129">
        <v>1.0</v>
      </c>
      <c r="V2436" s="382" t="s">
        <v>14434</v>
      </c>
      <c r="W2436" s="295" t="s">
        <v>209</v>
      </c>
      <c r="X2436" s="54" t="str">
        <f t="array" ref="X2436"> if(iserror(MATCH(V2436, 'File Links'!C:C, 0)), "N/A", HYPERLINK(INDEX('File Links'!B:B, MATCH(V2436, 'File Links'!C:C, 0))))</f>
        <v>https://drive.google.com/file/d/17mZvRs3ue7pXwqu8bmIDvgNdc95PGEcV/view?usp=drivesdk</v>
      </c>
      <c r="Y2436" s="68"/>
      <c r="Z2436" s="159" t="s">
        <v>1079</v>
      </c>
      <c r="AA2436" s="129" t="s">
        <v>14659</v>
      </c>
      <c r="AB2436" s="159" t="s">
        <v>14436</v>
      </c>
      <c r="AC2436" s="159" t="s">
        <v>14660</v>
      </c>
      <c r="AD2436" s="151" t="s">
        <v>138</v>
      </c>
      <c r="AE2436" s="68" t="s">
        <v>1174</v>
      </c>
      <c r="AF2436" s="156">
        <v>42.0</v>
      </c>
      <c r="AG2436" s="68" t="s">
        <v>14661</v>
      </c>
      <c r="AH2436" s="68" t="s">
        <v>361</v>
      </c>
      <c r="AI2436" s="68" t="s">
        <v>1174</v>
      </c>
      <c r="AJ2436" s="501" t="s">
        <v>138</v>
      </c>
      <c r="AK2436" s="347" t="s">
        <v>138</v>
      </c>
      <c r="AL2436" s="360" t="s">
        <v>186</v>
      </c>
      <c r="AM2436" s="68" t="s">
        <v>137</v>
      </c>
      <c r="AN2436" s="68" t="s">
        <v>138</v>
      </c>
      <c r="AO2436" s="156">
        <v>749.0</v>
      </c>
      <c r="AP2436" s="336" t="s">
        <v>14662</v>
      </c>
      <c r="AQ2436" s="68" t="s">
        <v>215</v>
      </c>
      <c r="AR2436" s="68" t="s">
        <v>813</v>
      </c>
      <c r="AS2436" s="2117">
        <v>6.46481472374853E-18</v>
      </c>
      <c r="AT2436" s="1793" t="s">
        <v>135</v>
      </c>
      <c r="AU2436" s="1793" t="s">
        <v>136</v>
      </c>
      <c r="AV2436" s="68" t="s">
        <v>137</v>
      </c>
      <c r="AW2436" s="435" t="s">
        <v>14441</v>
      </c>
      <c r="AX2436" s="68" t="s">
        <v>143</v>
      </c>
      <c r="AY2436" s="61" t="str">
        <f>IFERROR(__xludf.DUMMYFUNCTION("vlookup(BB2436,importrange(""https://docs.google.com/spreadsheets/d/1d2vevQ_7D_v35q4wCQ4RpQ_IPoTwEMB9Yp6ymwlPqew/edit?gid=984458430#gid=984458430"", ""'replication success'!A:K""), 11, FAlSE)"),"")</f>
        <v/>
      </c>
      <c r="AZ2436" s="61" t="str">
        <f>IFERROR(__xludf.DUMMYFUNCTION("vlookup(BB2436,importrange(""https://docs.google.com/spreadsheets/d/1d2vevQ_7D_v35q4wCQ4RpQ_IPoTwEMB9Yp6ymwlPqew/edit?gid=984458430#gid=984458430"", ""'replication success'!A:M""), 12, FAlSE)"),"")</f>
        <v/>
      </c>
      <c r="BA2436" s="61" t="str">
        <f>IFERROR(__xludf.DUMMYFUNCTION("vlookup(BB2436,importrange(""https://docs.google.com/spreadsheets/d/1d2vevQ_7D_v35q4wCQ4RpQ_IPoTwEMB9Yp6ymwlPqew/edit?gid=984458430#gid=984458430"", ""'replication success'!A:M""), 13, FAlSE)"),"abstract")</f>
        <v>abstract</v>
      </c>
      <c r="BB2436" s="61" t="str">
        <f>IFERROR(__xludf.DUMMYFUNCTION("REGEXREPLACE(G2436, ""_[a-z]{1,2}$"", """")"),"Soto")</f>
        <v>Soto</v>
      </c>
      <c r="BC2436" s="68"/>
      <c r="BD2436" s="287" t="s">
        <v>1270</v>
      </c>
    </row>
    <row r="2437">
      <c r="A2437" s="44">
        <v>2437.0</v>
      </c>
      <c r="B2437" s="129" t="s">
        <v>114</v>
      </c>
      <c r="C2437" s="62" t="s">
        <v>115</v>
      </c>
      <c r="D2437" s="62" t="s">
        <v>221</v>
      </c>
      <c r="F2437" s="68" t="s">
        <v>14663</v>
      </c>
      <c r="G2437" s="159" t="s">
        <v>14425</v>
      </c>
      <c r="H2437" s="159" t="s">
        <v>222</v>
      </c>
      <c r="I2437" s="152">
        <v>45760.0</v>
      </c>
      <c r="J2437" s="540">
        <v>45822.0</v>
      </c>
      <c r="K2437" s="159" t="s">
        <v>14664</v>
      </c>
      <c r="L2437" s="129" t="s">
        <v>14665</v>
      </c>
      <c r="M2437" s="159" t="s">
        <v>14666</v>
      </c>
      <c r="N2437" s="159" t="s">
        <v>14667</v>
      </c>
      <c r="O2437" s="129">
        <v>1.0</v>
      </c>
      <c r="P2437" s="382" t="s">
        <v>14668</v>
      </c>
      <c r="Q2437" s="52" t="str">
        <f t="array" ref="Q2437"> if(iserror(MATCH(V2437, 'File Links'!C:C, 0)), "N/A", HYPERLINK(INDEX('File Links'!B:B, MATCH(P2437, 'File Links'!C:C, 0))))</f>
        <v>https://drive.google.com/file/d/1VTr0wR67oXPqTspZFD2WLtwQCj0zXKrh/view?usp=drivesdk</v>
      </c>
      <c r="R2437" s="159" t="s">
        <v>14432</v>
      </c>
      <c r="S2437" s="159" t="s">
        <v>14433</v>
      </c>
      <c r="T2437" s="68"/>
      <c r="U2437" s="129">
        <v>1.0</v>
      </c>
      <c r="V2437" s="382" t="s">
        <v>14434</v>
      </c>
      <c r="W2437" s="295" t="s">
        <v>209</v>
      </c>
      <c r="X2437" s="54" t="str">
        <f t="array" ref="X2437"> if(iserror(MATCH(V2437, 'File Links'!C:C, 0)), "N/A", HYPERLINK(INDEX('File Links'!B:B, MATCH(V2437, 'File Links'!C:C, 0))))</f>
        <v>https://drive.google.com/file/d/17mZvRs3ue7pXwqu8bmIDvgNdc95PGEcV/view?usp=drivesdk</v>
      </c>
      <c r="Y2437" s="68"/>
      <c r="Z2437" s="159" t="s">
        <v>1079</v>
      </c>
      <c r="AA2437" s="129" t="s">
        <v>14669</v>
      </c>
      <c r="AB2437" s="159" t="s">
        <v>14436</v>
      </c>
      <c r="AC2437" s="159" t="s">
        <v>14670</v>
      </c>
      <c r="AD2437" s="129" t="s">
        <v>138</v>
      </c>
      <c r="AE2437" s="129" t="s">
        <v>138</v>
      </c>
      <c r="AF2437" s="156">
        <v>210.0</v>
      </c>
      <c r="AG2437" s="336">
        <v>0.28</v>
      </c>
      <c r="AH2437" s="68" t="s">
        <v>215</v>
      </c>
      <c r="AI2437" s="129" t="s">
        <v>627</v>
      </c>
      <c r="AJ2437" s="501" t="s">
        <v>138</v>
      </c>
      <c r="AK2437" s="347" t="s">
        <v>138</v>
      </c>
      <c r="AL2437" s="68" t="s">
        <v>136</v>
      </c>
      <c r="AM2437" s="68" t="s">
        <v>137</v>
      </c>
      <c r="AN2437" s="68" t="s">
        <v>138</v>
      </c>
      <c r="AO2437" s="156">
        <v>795.0</v>
      </c>
      <c r="AP2437" s="336">
        <v>0.18</v>
      </c>
      <c r="AQ2437" s="68" t="s">
        <v>215</v>
      </c>
      <c r="AR2437" s="129" t="s">
        <v>813</v>
      </c>
      <c r="AS2437" s="1787">
        <v>0.05</v>
      </c>
      <c r="AT2437" s="1793" t="s">
        <v>135</v>
      </c>
      <c r="AU2437" s="1793" t="s">
        <v>136</v>
      </c>
      <c r="AV2437" s="68" t="s">
        <v>137</v>
      </c>
      <c r="AW2437" s="435" t="s">
        <v>14441</v>
      </c>
      <c r="AX2437" s="190" t="s">
        <v>151</v>
      </c>
      <c r="AY2437" s="61" t="str">
        <f>IFERROR(__xludf.DUMMYFUNCTION("vlookup(BB2437,importrange(""https://docs.google.com/spreadsheets/d/1d2vevQ_7D_v35q4wCQ4RpQ_IPoTwEMB9Yp6ymwlPqew/edit?gid=984458430#gid=984458430"", ""'replication success'!A:K""), 11, FAlSE)"),"")</f>
        <v/>
      </c>
      <c r="AZ2437" s="61" t="str">
        <f>IFERROR(__xludf.DUMMYFUNCTION("vlookup(BB2437,importrange(""https://docs.google.com/spreadsheets/d/1d2vevQ_7D_v35q4wCQ4RpQ_IPoTwEMB9Yp6ymwlPqew/edit?gid=984458430#gid=984458430"", ""'replication success'!A:M""), 12, FAlSE)"),"")</f>
        <v/>
      </c>
      <c r="BA2437" s="61" t="str">
        <f>IFERROR(__xludf.DUMMYFUNCTION("vlookup(BB2437,importrange(""https://docs.google.com/spreadsheets/d/1d2vevQ_7D_v35q4wCQ4RpQ_IPoTwEMB9Yp6ymwlPqew/edit?gid=984458430#gid=984458430"", ""'replication success'!A:M""), 13, FAlSE)"),"abstract")</f>
        <v>abstract</v>
      </c>
      <c r="BB2437" s="61" t="str">
        <f>IFERROR(__xludf.DUMMYFUNCTION("REGEXREPLACE(G2437, ""_[a-z]{1,2}$"", """")"),"Soto")</f>
        <v>Soto</v>
      </c>
      <c r="BC2437" s="68"/>
      <c r="BD2437" s="287" t="s">
        <v>1270</v>
      </c>
    </row>
    <row r="2438">
      <c r="A2438" s="44">
        <v>2438.0</v>
      </c>
      <c r="B2438" s="129" t="s">
        <v>114</v>
      </c>
      <c r="C2438" s="62" t="s">
        <v>115</v>
      </c>
      <c r="D2438" s="62" t="s">
        <v>221</v>
      </c>
      <c r="F2438" s="68" t="s">
        <v>14671</v>
      </c>
      <c r="G2438" s="159" t="s">
        <v>14425</v>
      </c>
      <c r="H2438" s="159" t="s">
        <v>222</v>
      </c>
      <c r="I2438" s="152">
        <v>45760.0</v>
      </c>
      <c r="J2438" s="540">
        <v>45822.0</v>
      </c>
      <c r="K2438" s="159" t="s">
        <v>14672</v>
      </c>
      <c r="L2438" s="129" t="s">
        <v>14665</v>
      </c>
      <c r="M2438" s="159" t="s">
        <v>14666</v>
      </c>
      <c r="N2438" s="159" t="s">
        <v>14667</v>
      </c>
      <c r="O2438" s="129">
        <v>1.0</v>
      </c>
      <c r="P2438" s="382" t="s">
        <v>14668</v>
      </c>
      <c r="Q2438" s="52" t="str">
        <f t="array" ref="Q2438"> if(iserror(MATCH(V2438, 'File Links'!C:C, 0)), "N/A", HYPERLINK(INDEX('File Links'!B:B, MATCH(P2438, 'File Links'!C:C, 0))))</f>
        <v>https://drive.google.com/file/d/1VTr0wR67oXPqTspZFD2WLtwQCj0zXKrh/view?usp=drivesdk</v>
      </c>
      <c r="R2438" s="159" t="s">
        <v>14432</v>
      </c>
      <c r="S2438" s="159" t="s">
        <v>14433</v>
      </c>
      <c r="T2438" s="68"/>
      <c r="U2438" s="129">
        <v>1.0</v>
      </c>
      <c r="V2438" s="382" t="s">
        <v>14434</v>
      </c>
      <c r="W2438" s="295" t="s">
        <v>209</v>
      </c>
      <c r="X2438" s="54" t="str">
        <f t="array" ref="X2438"> if(iserror(MATCH(V2438, 'File Links'!C:C, 0)), "N/A", HYPERLINK(INDEX('File Links'!B:B, MATCH(V2438, 'File Links'!C:C, 0))))</f>
        <v>https://drive.google.com/file/d/17mZvRs3ue7pXwqu8bmIDvgNdc95PGEcV/view?usp=drivesdk</v>
      </c>
      <c r="Y2438" s="68"/>
      <c r="Z2438" s="159" t="s">
        <v>1079</v>
      </c>
      <c r="AA2438" s="129" t="s">
        <v>14673</v>
      </c>
      <c r="AB2438" s="159" t="s">
        <v>14436</v>
      </c>
      <c r="AC2438" s="159" t="s">
        <v>14674</v>
      </c>
      <c r="AD2438" s="129" t="s">
        <v>138</v>
      </c>
      <c r="AE2438" s="129" t="s">
        <v>138</v>
      </c>
      <c r="AF2438" s="156">
        <v>210.0</v>
      </c>
      <c r="AG2438" s="68" t="s">
        <v>14675</v>
      </c>
      <c r="AH2438" s="68" t="s">
        <v>215</v>
      </c>
      <c r="AI2438" s="129" t="s">
        <v>627</v>
      </c>
      <c r="AJ2438" s="501" t="s">
        <v>138</v>
      </c>
      <c r="AK2438" s="347" t="s">
        <v>138</v>
      </c>
      <c r="AL2438" s="68" t="s">
        <v>136</v>
      </c>
      <c r="AM2438" s="68" t="s">
        <v>137</v>
      </c>
      <c r="AN2438" s="68" t="s">
        <v>138</v>
      </c>
      <c r="AO2438" s="156">
        <v>795.0</v>
      </c>
      <c r="AP2438" s="68" t="s">
        <v>14676</v>
      </c>
      <c r="AQ2438" s="68" t="s">
        <v>215</v>
      </c>
      <c r="AR2438" s="129" t="s">
        <v>813</v>
      </c>
      <c r="AS2438" s="1787">
        <v>0.05</v>
      </c>
      <c r="AT2438" s="1793" t="s">
        <v>135</v>
      </c>
      <c r="AU2438" s="1793" t="s">
        <v>136</v>
      </c>
      <c r="AV2438" s="68" t="s">
        <v>137</v>
      </c>
      <c r="AW2438" s="435" t="s">
        <v>14441</v>
      </c>
      <c r="AX2438" s="190" t="s">
        <v>151</v>
      </c>
      <c r="AY2438" s="61" t="str">
        <f>IFERROR(__xludf.DUMMYFUNCTION("vlookup(BB2438,importrange(""https://docs.google.com/spreadsheets/d/1d2vevQ_7D_v35q4wCQ4RpQ_IPoTwEMB9Yp6ymwlPqew/edit?gid=984458430#gid=984458430"", ""'replication success'!A:K""), 11, FAlSE)"),"")</f>
        <v/>
      </c>
      <c r="AZ2438" s="61" t="str">
        <f>IFERROR(__xludf.DUMMYFUNCTION("vlookup(BB2438,importrange(""https://docs.google.com/spreadsheets/d/1d2vevQ_7D_v35q4wCQ4RpQ_IPoTwEMB9Yp6ymwlPqew/edit?gid=984458430#gid=984458430"", ""'replication success'!A:M""), 12, FAlSE)"),"")</f>
        <v/>
      </c>
      <c r="BA2438" s="61" t="str">
        <f>IFERROR(__xludf.DUMMYFUNCTION("vlookup(BB2438,importrange(""https://docs.google.com/spreadsheets/d/1d2vevQ_7D_v35q4wCQ4RpQ_IPoTwEMB9Yp6ymwlPqew/edit?gid=984458430#gid=984458430"", ""'replication success'!A:M""), 13, FAlSE)"),"abstract")</f>
        <v>abstract</v>
      </c>
      <c r="BB2438" s="61" t="str">
        <f>IFERROR(__xludf.DUMMYFUNCTION("REGEXREPLACE(G2438, ""_[a-z]{1,2}$"", """")"),"Soto")</f>
        <v>Soto</v>
      </c>
      <c r="BC2438" s="68"/>
      <c r="BD2438" s="287" t="s">
        <v>1270</v>
      </c>
    </row>
    <row r="2439">
      <c r="A2439" s="44">
        <v>2439.0</v>
      </c>
      <c r="B2439" s="129" t="s">
        <v>114</v>
      </c>
      <c r="C2439" s="62" t="s">
        <v>115</v>
      </c>
      <c r="D2439" s="62" t="s">
        <v>221</v>
      </c>
      <c r="F2439" s="46" t="s">
        <v>14677</v>
      </c>
      <c r="G2439" s="360" t="s">
        <v>14425</v>
      </c>
      <c r="H2439" s="360" t="s">
        <v>222</v>
      </c>
      <c r="I2439" s="344">
        <v>45761.0</v>
      </c>
      <c r="J2439" s="540">
        <v>45822.0</v>
      </c>
      <c r="K2439" s="159" t="s">
        <v>14678</v>
      </c>
      <c r="L2439" s="129" t="s">
        <v>14679</v>
      </c>
      <c r="M2439" s="159" t="s">
        <v>14680</v>
      </c>
      <c r="N2439" s="159" t="s">
        <v>14681</v>
      </c>
      <c r="O2439" s="129">
        <v>1.0</v>
      </c>
      <c r="P2439" s="382" t="s">
        <v>14682</v>
      </c>
      <c r="Q2439" s="52" t="s">
        <v>14683</v>
      </c>
      <c r="R2439" s="360" t="s">
        <v>14432</v>
      </c>
      <c r="S2439" s="360" t="s">
        <v>14433</v>
      </c>
      <c r="T2439" s="46"/>
      <c r="U2439" s="56">
        <v>1.0</v>
      </c>
      <c r="V2439" s="382" t="s">
        <v>14434</v>
      </c>
      <c r="W2439" s="295" t="s">
        <v>209</v>
      </c>
      <c r="X2439" s="54" t="str">
        <f t="array" ref="X2439"> if(iserror(MATCH(V2439, 'File Links'!C:C, 0)), "N/A", HYPERLINK(INDEX('File Links'!B:B, MATCH(V2439, 'File Links'!C:C, 0))))</f>
        <v>https://drive.google.com/file/d/17mZvRs3ue7pXwqu8bmIDvgNdc95PGEcV/view?usp=drivesdk</v>
      </c>
      <c r="Y2439" s="46"/>
      <c r="Z2439" s="360" t="s">
        <v>1079</v>
      </c>
      <c r="AA2439" s="129" t="s">
        <v>14684</v>
      </c>
      <c r="AB2439" s="159" t="s">
        <v>14436</v>
      </c>
      <c r="AC2439" s="159" t="s">
        <v>14685</v>
      </c>
      <c r="AD2439" s="129" t="s">
        <v>14686</v>
      </c>
      <c r="AE2439" s="501" t="s">
        <v>3892</v>
      </c>
      <c r="AF2439" s="357">
        <v>712.0</v>
      </c>
      <c r="AG2439" s="385">
        <v>0.32</v>
      </c>
      <c r="AH2439" s="46" t="s">
        <v>215</v>
      </c>
      <c r="AI2439" s="129" t="s">
        <v>14687</v>
      </c>
      <c r="AJ2439" s="347" t="s">
        <v>138</v>
      </c>
      <c r="AK2439" s="347" t="s">
        <v>138</v>
      </c>
      <c r="AL2439" s="68" t="s">
        <v>186</v>
      </c>
      <c r="AM2439" s="68" t="s">
        <v>137</v>
      </c>
      <c r="AN2439" s="46" t="s">
        <v>138</v>
      </c>
      <c r="AO2439" s="357">
        <v>1154.0</v>
      </c>
      <c r="AP2439" s="385">
        <v>0.01</v>
      </c>
      <c r="AQ2439" s="46" t="s">
        <v>215</v>
      </c>
      <c r="AR2439" s="46" t="s">
        <v>850</v>
      </c>
      <c r="AS2439" s="2118">
        <v>0.824762264458846</v>
      </c>
      <c r="AT2439" s="1793" t="s">
        <v>172</v>
      </c>
      <c r="AU2439" s="1793" t="s">
        <v>136</v>
      </c>
      <c r="AV2439" s="46" t="s">
        <v>137</v>
      </c>
      <c r="AW2439" s="59" t="s">
        <v>14441</v>
      </c>
      <c r="AX2439" s="46" t="s">
        <v>143</v>
      </c>
      <c r="AY2439" s="61" t="str">
        <f>IFERROR(__xludf.DUMMYFUNCTION("vlookup(BB2439,importrange(""https://docs.google.com/spreadsheets/d/1d2vevQ_7D_v35q4wCQ4RpQ_IPoTwEMB9Yp6ymwlPqew/edit?gid=984458430#gid=984458430"", ""'replication success'!A:K""), 11, FAlSE)"),"")</f>
        <v/>
      </c>
      <c r="AZ2439" s="61" t="str">
        <f>IFERROR(__xludf.DUMMYFUNCTION("vlookup(BB2439,importrange(""https://docs.google.com/spreadsheets/d/1d2vevQ_7D_v35q4wCQ4RpQ_IPoTwEMB9Yp6ymwlPqew/edit?gid=984458430#gid=984458430"", ""'replication success'!A:M""), 12, FAlSE)"),"")</f>
        <v/>
      </c>
      <c r="BA2439" s="61" t="str">
        <f>IFERROR(__xludf.DUMMYFUNCTION("vlookup(BB2439,importrange(""https://docs.google.com/spreadsheets/d/1d2vevQ_7D_v35q4wCQ4RpQ_IPoTwEMB9Yp6ymwlPqew/edit?gid=984458430#gid=984458430"", ""'replication success'!A:M""), 13, FAlSE)"),"abstract")</f>
        <v>abstract</v>
      </c>
      <c r="BB2439" s="61" t="str">
        <f>IFERROR(__xludf.DUMMYFUNCTION("REGEXREPLACE(G2439, ""_[a-z]{1,2}$"", """")"),"Soto")</f>
        <v>Soto</v>
      </c>
      <c r="BC2439" s="46"/>
      <c r="BD2439" s="287" t="s">
        <v>1270</v>
      </c>
    </row>
    <row r="2440">
      <c r="A2440" s="44">
        <v>2440.0</v>
      </c>
      <c r="B2440" s="129" t="s">
        <v>114</v>
      </c>
      <c r="C2440" s="62" t="s">
        <v>115</v>
      </c>
      <c r="D2440" s="62" t="s">
        <v>221</v>
      </c>
      <c r="F2440" s="46" t="s">
        <v>14688</v>
      </c>
      <c r="G2440" s="360" t="s">
        <v>14425</v>
      </c>
      <c r="H2440" s="360" t="s">
        <v>222</v>
      </c>
      <c r="I2440" s="344">
        <v>45761.0</v>
      </c>
      <c r="J2440" s="540">
        <v>45822.0</v>
      </c>
      <c r="K2440" s="159" t="s">
        <v>14689</v>
      </c>
      <c r="L2440" s="129" t="s">
        <v>14679</v>
      </c>
      <c r="M2440" s="159" t="s">
        <v>14680</v>
      </c>
      <c r="N2440" s="159" t="s">
        <v>14681</v>
      </c>
      <c r="O2440" s="129">
        <v>1.0</v>
      </c>
      <c r="P2440" s="382" t="s">
        <v>14682</v>
      </c>
      <c r="Q2440" s="108" t="s">
        <v>14690</v>
      </c>
      <c r="R2440" s="360" t="s">
        <v>14432</v>
      </c>
      <c r="S2440" s="360" t="s">
        <v>14433</v>
      </c>
      <c r="T2440" s="46"/>
      <c r="U2440" s="56">
        <v>1.0</v>
      </c>
      <c r="V2440" s="382" t="s">
        <v>14434</v>
      </c>
      <c r="W2440" s="295" t="s">
        <v>209</v>
      </c>
      <c r="X2440" s="54" t="str">
        <f t="array" ref="X2440"> if(iserror(MATCH(V2440, 'File Links'!C:C, 0)), "N/A", HYPERLINK(INDEX('File Links'!B:B, MATCH(V2440, 'File Links'!C:C, 0))))</f>
        <v>https://drive.google.com/file/d/17mZvRs3ue7pXwqu8bmIDvgNdc95PGEcV/view?usp=drivesdk</v>
      </c>
      <c r="Y2440" s="46"/>
      <c r="Z2440" s="360" t="s">
        <v>1079</v>
      </c>
      <c r="AA2440" s="129" t="s">
        <v>14691</v>
      </c>
      <c r="AB2440" s="159" t="s">
        <v>14436</v>
      </c>
      <c r="AC2440" s="159" t="s">
        <v>14692</v>
      </c>
      <c r="AD2440" s="129" t="s">
        <v>14693</v>
      </c>
      <c r="AE2440" s="501" t="s">
        <v>3892</v>
      </c>
      <c r="AF2440" s="357">
        <v>712.0</v>
      </c>
      <c r="AG2440" s="385">
        <v>0.25</v>
      </c>
      <c r="AH2440" s="46" t="s">
        <v>215</v>
      </c>
      <c r="AI2440" s="129" t="s">
        <v>14687</v>
      </c>
      <c r="AJ2440" s="347" t="s">
        <v>138</v>
      </c>
      <c r="AK2440" s="347" t="s">
        <v>138</v>
      </c>
      <c r="AL2440" s="68" t="s">
        <v>186</v>
      </c>
      <c r="AM2440" s="68" t="s">
        <v>137</v>
      </c>
      <c r="AN2440" s="46" t="s">
        <v>138</v>
      </c>
      <c r="AO2440" s="357">
        <v>1154.0</v>
      </c>
      <c r="AP2440" s="385">
        <v>0.09</v>
      </c>
      <c r="AQ2440" s="46" t="s">
        <v>215</v>
      </c>
      <c r="AR2440" s="46" t="s">
        <v>850</v>
      </c>
      <c r="AS2440" s="2118">
        <v>0.00269592163043994</v>
      </c>
      <c r="AT2440" s="1793" t="s">
        <v>172</v>
      </c>
      <c r="AU2440" s="1793" t="s">
        <v>136</v>
      </c>
      <c r="AV2440" s="46" t="s">
        <v>137</v>
      </c>
      <c r="AW2440" s="59" t="s">
        <v>14441</v>
      </c>
      <c r="AX2440" s="46" t="s">
        <v>143</v>
      </c>
      <c r="AY2440" s="61" t="str">
        <f>IFERROR(__xludf.DUMMYFUNCTION("vlookup(BB2440,importrange(""https://docs.google.com/spreadsheets/d/1d2vevQ_7D_v35q4wCQ4RpQ_IPoTwEMB9Yp6ymwlPqew/edit?gid=984458430#gid=984458430"", ""'replication success'!A:K""), 11, FAlSE)"),"")</f>
        <v/>
      </c>
      <c r="AZ2440" s="61" t="str">
        <f>IFERROR(__xludf.DUMMYFUNCTION("vlookup(BB2440,importrange(""https://docs.google.com/spreadsheets/d/1d2vevQ_7D_v35q4wCQ4RpQ_IPoTwEMB9Yp6ymwlPqew/edit?gid=984458430#gid=984458430"", ""'replication success'!A:M""), 12, FAlSE)"),"")</f>
        <v/>
      </c>
      <c r="BA2440" s="61" t="str">
        <f>IFERROR(__xludf.DUMMYFUNCTION("vlookup(BB2440,importrange(""https://docs.google.com/spreadsheets/d/1d2vevQ_7D_v35q4wCQ4RpQ_IPoTwEMB9Yp6ymwlPqew/edit?gid=984458430#gid=984458430"", ""'replication success'!A:M""), 13, FAlSE)"),"abstract")</f>
        <v>abstract</v>
      </c>
      <c r="BB2440" s="61" t="str">
        <f>IFERROR(__xludf.DUMMYFUNCTION("REGEXREPLACE(G2440, ""_[a-z]{1,2}$"", """")"),"Soto")</f>
        <v>Soto</v>
      </c>
      <c r="BC2440" s="46"/>
      <c r="BD2440" s="287" t="s">
        <v>1270</v>
      </c>
    </row>
    <row r="2441">
      <c r="A2441" s="2119">
        <v>2441.0</v>
      </c>
      <c r="B2441" s="1800" t="s">
        <v>114</v>
      </c>
      <c r="C2441" s="1631" t="s">
        <v>115</v>
      </c>
      <c r="D2441" s="1631" t="s">
        <v>221</v>
      </c>
      <c r="E2441" s="1123"/>
      <c r="F2441" s="1632" t="s">
        <v>14694</v>
      </c>
      <c r="G2441" s="1634" t="s">
        <v>14425</v>
      </c>
      <c r="H2441" s="1634" t="s">
        <v>222</v>
      </c>
      <c r="I2441" s="2120">
        <v>45761.0</v>
      </c>
      <c r="J2441" s="1802">
        <v>45842.0</v>
      </c>
      <c r="K2441" s="1634" t="s">
        <v>14695</v>
      </c>
      <c r="L2441" s="1800" t="s">
        <v>14696</v>
      </c>
      <c r="M2441" s="1634" t="s">
        <v>14697</v>
      </c>
      <c r="N2441" s="1634" t="s">
        <v>14698</v>
      </c>
      <c r="O2441" s="1800">
        <v>1.0</v>
      </c>
      <c r="P2441" s="1634" t="s">
        <v>14699</v>
      </c>
      <c r="Q2441" s="2121" t="str">
        <f t="array" ref="Q2441"> if(iserror(MATCH(V2441, 'File Links'!C:C, 0)), "N/A", HYPERLINK(INDEX('File Links'!B:B, MATCH(P2441, 'File Links'!C:C, 0))))</f>
        <v>https://drive.google.com/file/d/1L_UrUn7iF547GceUM9sV402LJMhvz5p-/view?usp=drivesdk</v>
      </c>
      <c r="R2441" s="1634" t="s">
        <v>14432</v>
      </c>
      <c r="S2441" s="1634" t="s">
        <v>14433</v>
      </c>
      <c r="T2441" s="1632"/>
      <c r="U2441" s="1800">
        <v>1.0</v>
      </c>
      <c r="V2441" s="1634" t="s">
        <v>14434</v>
      </c>
      <c r="W2441" s="1800" t="s">
        <v>209</v>
      </c>
      <c r="X2441" s="2122" t="str">
        <f t="array" ref="X2441"> if(iserror(MATCH(V2441, 'File Links'!C:C, 0)), "N/A", HYPERLINK(INDEX('File Links'!B:B, MATCH(V2441, 'File Links'!C:C, 0))))</f>
        <v>https://drive.google.com/file/d/17mZvRs3ue7pXwqu8bmIDvgNdc95PGEcV/view?usp=drivesdk</v>
      </c>
      <c r="Y2441" s="1632"/>
      <c r="Z2441" s="1634" t="s">
        <v>1079</v>
      </c>
      <c r="AA2441" s="1800" t="s">
        <v>14700</v>
      </c>
      <c r="AB2441" s="1634" t="s">
        <v>14436</v>
      </c>
      <c r="AC2441" s="1634" t="s">
        <v>14701</v>
      </c>
      <c r="AD2441" s="1800" t="s">
        <v>14702</v>
      </c>
      <c r="AE2441" s="1800" t="s">
        <v>3892</v>
      </c>
      <c r="AF2441" s="1803" t="s">
        <v>138</v>
      </c>
      <c r="AG2441" s="56">
        <v>0.21</v>
      </c>
      <c r="AH2441" s="1800" t="s">
        <v>138</v>
      </c>
      <c r="AI2441" s="1800" t="s">
        <v>14703</v>
      </c>
      <c r="AJ2441" s="1807" t="s">
        <v>138</v>
      </c>
      <c r="AK2441" s="1807" t="s">
        <v>138</v>
      </c>
      <c r="AL2441" s="1632" t="s">
        <v>186</v>
      </c>
      <c r="AM2441" s="1632" t="s">
        <v>137</v>
      </c>
      <c r="AN2441" s="1632" t="s">
        <v>138</v>
      </c>
      <c r="AO2441" s="1565">
        <v>1098.0</v>
      </c>
      <c r="AP2441" s="1803">
        <v>0.1</v>
      </c>
      <c r="AQ2441" s="1632" t="s">
        <v>215</v>
      </c>
      <c r="AR2441" s="1632" t="s">
        <v>850</v>
      </c>
      <c r="AS2441" s="1803">
        <v>0.00156198162048268</v>
      </c>
      <c r="AT2441" s="1632" t="s">
        <v>172</v>
      </c>
      <c r="AU2441" s="1632" t="s">
        <v>136</v>
      </c>
      <c r="AV2441" s="1632" t="s">
        <v>137</v>
      </c>
      <c r="AW2441" s="2123" t="s">
        <v>14441</v>
      </c>
      <c r="AX2441" s="1632" t="s">
        <v>151</v>
      </c>
      <c r="AY2441" s="61" t="str">
        <f>IFERROR(__xludf.DUMMYFUNCTION("vlookup(BB2441,importrange(""https://docs.google.com/spreadsheets/d/1d2vevQ_7D_v35q4wCQ4RpQ_IPoTwEMB9Yp6ymwlPqew/edit?gid=984458430#gid=984458430"", ""'replication success'!A:K""), 11, FAlSE)"),"")</f>
        <v/>
      </c>
      <c r="AZ2441" s="61" t="str">
        <f>IFERROR(__xludf.DUMMYFUNCTION("vlookup(BB2441,importrange(""https://docs.google.com/spreadsheets/d/1d2vevQ_7D_v35q4wCQ4RpQ_IPoTwEMB9Yp6ymwlPqew/edit?gid=984458430#gid=984458430"", ""'replication success'!A:M""), 12, FAlSE)"),"")</f>
        <v/>
      </c>
      <c r="BA2441" s="61" t="str">
        <f>IFERROR(__xludf.DUMMYFUNCTION("vlookup(BB2441,importrange(""https://docs.google.com/spreadsheets/d/1d2vevQ_7D_v35q4wCQ4RpQ_IPoTwEMB9Yp6ymwlPqew/edit?gid=984458430#gid=984458430"", ""'replication success'!A:M""), 13, FAlSE)"),"abstract")</f>
        <v>abstract</v>
      </c>
      <c r="BB2441" s="61" t="str">
        <f>IFERROR(__xludf.DUMMYFUNCTION("REGEXREPLACE(G2441, ""_[a-z]{1,2}$"", """")"),"Soto")</f>
        <v>Soto</v>
      </c>
      <c r="BC2441" s="1632"/>
      <c r="BD2441" s="1631" t="s">
        <v>1270</v>
      </c>
      <c r="BE2441" s="1123"/>
      <c r="BF2441" s="1123"/>
      <c r="BG2441" s="1123"/>
      <c r="BH2441" s="1123"/>
      <c r="BI2441" s="1123"/>
      <c r="BJ2441" s="1123"/>
      <c r="BK2441" s="1123"/>
      <c r="BL2441" s="1123"/>
      <c r="BM2441" s="1123"/>
      <c r="BN2441" s="1123"/>
      <c r="BO2441" s="1123"/>
      <c r="BP2441" s="1123"/>
      <c r="BQ2441" s="1123"/>
      <c r="BR2441" s="1123"/>
      <c r="BS2441" s="1123"/>
      <c r="BT2441" s="1123"/>
      <c r="BU2441" s="1123"/>
      <c r="BV2441" s="1123"/>
      <c r="BW2441" s="1123"/>
      <c r="BX2441" s="1123"/>
      <c r="BY2441" s="1123"/>
      <c r="BZ2441" s="1123"/>
      <c r="CA2441" s="1123"/>
      <c r="CB2441" s="1123"/>
      <c r="CC2441" s="1123"/>
      <c r="CD2441" s="1123"/>
      <c r="CE2441" s="1123"/>
      <c r="CF2441" s="1123"/>
      <c r="CG2441" s="1123"/>
      <c r="CH2441" s="1123"/>
      <c r="CI2441" s="1123"/>
      <c r="CJ2441" s="1123"/>
      <c r="CK2441" s="1123"/>
      <c r="CL2441" s="1123"/>
      <c r="CM2441" s="1123"/>
      <c r="CN2441" s="1123"/>
      <c r="CO2441" s="1123"/>
      <c r="CP2441" s="1123"/>
      <c r="CQ2441" s="1123"/>
      <c r="CR2441" s="1123"/>
      <c r="CS2441" s="1123"/>
      <c r="CT2441" s="1123"/>
      <c r="CU2441" s="1123"/>
      <c r="CV2441" s="1123"/>
      <c r="CW2441" s="1123"/>
      <c r="CX2441" s="1123"/>
      <c r="CY2441" s="1123"/>
      <c r="CZ2441" s="1123"/>
      <c r="DA2441" s="1123"/>
      <c r="DB2441" s="1123"/>
      <c r="DC2441" s="1123"/>
      <c r="DD2441" s="1123"/>
      <c r="DE2441" s="1123"/>
      <c r="DF2441" s="1123"/>
      <c r="DG2441" s="1123"/>
      <c r="DH2441" s="1123"/>
      <c r="DI2441" s="1123"/>
      <c r="DJ2441" s="1123"/>
      <c r="DK2441" s="1123"/>
      <c r="DL2441" s="1123"/>
    </row>
    <row r="2442">
      <c r="A2442" s="639">
        <v>2442.0</v>
      </c>
      <c r="B2442" s="631" t="s">
        <v>152</v>
      </c>
      <c r="C2442" s="397" t="s">
        <v>115</v>
      </c>
      <c r="D2442" s="397" t="s">
        <v>221</v>
      </c>
      <c r="E2442" s="220"/>
      <c r="F2442" s="398" t="s">
        <v>14704</v>
      </c>
      <c r="G2442" s="407" t="s">
        <v>14425</v>
      </c>
      <c r="H2442" s="407" t="s">
        <v>222</v>
      </c>
      <c r="I2442" s="400">
        <v>45762.0</v>
      </c>
      <c r="J2442" s="1802">
        <v>45842.0</v>
      </c>
      <c r="K2442" s="398" t="s">
        <v>14705</v>
      </c>
      <c r="L2442" s="631" t="s">
        <v>14706</v>
      </c>
      <c r="M2442" s="407" t="s">
        <v>14707</v>
      </c>
      <c r="N2442" s="407" t="s">
        <v>14708</v>
      </c>
      <c r="O2442" s="631">
        <v>1.0</v>
      </c>
      <c r="P2442" s="407" t="s">
        <v>14709</v>
      </c>
      <c r="Q2442" s="882" t="str">
        <f t="array" ref="Q2442"> if(iserror(MATCH(V2442, 'File Links'!C:C, 0)), "N/A", HYPERLINK(INDEX('File Links'!B:B, MATCH(P2442, 'File Links'!C:C, 0))))</f>
        <v>https://drive.google.com/file/d/1aykdUrdNDQMd7IVvqNy3V_z8BwKq0YuV/view?usp=drivesdk</v>
      </c>
      <c r="R2442" s="407" t="s">
        <v>14432</v>
      </c>
      <c r="S2442" s="407" t="s">
        <v>14433</v>
      </c>
      <c r="T2442" s="398"/>
      <c r="U2442" s="631">
        <v>1.0</v>
      </c>
      <c r="V2442" s="407" t="s">
        <v>14434</v>
      </c>
      <c r="W2442" s="631" t="s">
        <v>209</v>
      </c>
      <c r="X2442" s="883" t="str">
        <f t="array" ref="X2442"> if(iserror(MATCH(V2442, 'File Links'!C:C, 0)), "N/A", HYPERLINK(INDEX('File Links'!B:B, MATCH(V2442, 'File Links'!C:C, 0))))</f>
        <v>https://drive.google.com/file/d/17mZvRs3ue7pXwqu8bmIDvgNdc95PGEcV/view?usp=drivesdk</v>
      </c>
      <c r="Y2442" s="398"/>
      <c r="Z2442" s="407" t="s">
        <v>1079</v>
      </c>
      <c r="AA2442" s="68" t="s">
        <v>12028</v>
      </c>
      <c r="AB2442" s="407" t="s">
        <v>14436</v>
      </c>
      <c r="AC2442" s="407" t="s">
        <v>14710</v>
      </c>
      <c r="AD2442" s="398" t="s">
        <v>14711</v>
      </c>
      <c r="AE2442" s="398" t="s">
        <v>850</v>
      </c>
      <c r="AF2442" s="728">
        <v>725.0</v>
      </c>
      <c r="AG2442" s="770">
        <v>0.25</v>
      </c>
      <c r="AH2442" s="398" t="s">
        <v>215</v>
      </c>
      <c r="AI2442" s="398" t="s">
        <v>850</v>
      </c>
      <c r="AJ2442" s="770">
        <v>0.05</v>
      </c>
      <c r="AK2442" s="398" t="s">
        <v>135</v>
      </c>
      <c r="AL2442" s="398" t="s">
        <v>186</v>
      </c>
      <c r="AM2442" s="398" t="s">
        <v>137</v>
      </c>
      <c r="AN2442" s="398" t="s">
        <v>138</v>
      </c>
      <c r="AO2442" s="728">
        <v>1503.0</v>
      </c>
      <c r="AP2442" s="728">
        <v>-0.06</v>
      </c>
      <c r="AQ2442" s="407" t="s">
        <v>215</v>
      </c>
      <c r="AR2442" s="640" t="s">
        <v>14569</v>
      </c>
      <c r="AS2442" s="645">
        <v>0.05</v>
      </c>
      <c r="AT2442" s="398" t="s">
        <v>135</v>
      </c>
      <c r="AU2442" s="398" t="s">
        <v>136</v>
      </c>
      <c r="AV2442" s="398" t="s">
        <v>137</v>
      </c>
      <c r="AW2442" s="409" t="s">
        <v>14441</v>
      </c>
      <c r="AX2442" s="398" t="s">
        <v>143</v>
      </c>
      <c r="AY2442" s="61" t="str">
        <f>IFERROR(__xludf.DUMMYFUNCTION("vlookup(BB2442,importrange(""https://docs.google.com/spreadsheets/d/1d2vevQ_7D_v35q4wCQ4RpQ_IPoTwEMB9Yp6ymwlPqew/edit?gid=984458430#gid=984458430"", ""'replication success'!A:K""), 11, FAlSE)"),"")</f>
        <v/>
      </c>
      <c r="AZ2442" s="61" t="str">
        <f>IFERROR(__xludf.DUMMYFUNCTION("vlookup(BB2442,importrange(""https://docs.google.com/spreadsheets/d/1d2vevQ_7D_v35q4wCQ4RpQ_IPoTwEMB9Yp6ymwlPqew/edit?gid=984458430#gid=984458430"", ""'replication success'!A:M""), 12, FAlSE)"),"")</f>
        <v/>
      </c>
      <c r="BA2442" s="61" t="str">
        <f>IFERROR(__xludf.DUMMYFUNCTION("vlookup(BB2442,importrange(""https://docs.google.com/spreadsheets/d/1d2vevQ_7D_v35q4wCQ4RpQ_IPoTwEMB9Yp6ymwlPqew/edit?gid=984458430#gid=984458430"", ""'replication success'!A:M""), 13, FAlSE)"),"abstract")</f>
        <v>abstract</v>
      </c>
      <c r="BB2442" s="61" t="str">
        <f>IFERROR(__xludf.DUMMYFUNCTION("REGEXREPLACE(G2442, ""_[a-z]{1,2}$"", """")"),"Soto")</f>
        <v>Soto</v>
      </c>
      <c r="BC2442" s="398"/>
      <c r="BD2442" s="1631" t="s">
        <v>1270</v>
      </c>
      <c r="BE2442" s="220"/>
      <c r="BF2442" s="220"/>
      <c r="BG2442" s="220"/>
      <c r="BH2442" s="220"/>
      <c r="BI2442" s="220"/>
      <c r="BJ2442" s="220"/>
      <c r="BK2442" s="220"/>
      <c r="BL2442" s="220"/>
      <c r="BM2442" s="220"/>
      <c r="BN2442" s="220"/>
      <c r="BO2442" s="220"/>
      <c r="BP2442" s="220"/>
      <c r="BQ2442" s="220"/>
      <c r="BR2442" s="220"/>
      <c r="BS2442" s="220"/>
      <c r="BT2442" s="220"/>
      <c r="BU2442" s="220"/>
      <c r="BV2442" s="220"/>
      <c r="BW2442" s="220"/>
      <c r="BX2442" s="220"/>
      <c r="BY2442" s="220"/>
      <c r="BZ2442" s="220"/>
      <c r="CA2442" s="220"/>
      <c r="CB2442" s="220"/>
      <c r="CC2442" s="220"/>
      <c r="CD2442" s="220"/>
      <c r="CE2442" s="220"/>
      <c r="CF2442" s="220"/>
      <c r="CG2442" s="220"/>
      <c r="CH2442" s="220"/>
      <c r="CI2442" s="220"/>
      <c r="CJ2442" s="220"/>
      <c r="CK2442" s="220"/>
      <c r="CL2442" s="220"/>
      <c r="CM2442" s="220"/>
      <c r="CN2442" s="220"/>
      <c r="CO2442" s="220"/>
      <c r="CP2442" s="220"/>
      <c r="CQ2442" s="220"/>
      <c r="CR2442" s="220"/>
      <c r="CS2442" s="220"/>
      <c r="CT2442" s="220"/>
      <c r="CU2442" s="220"/>
      <c r="CV2442" s="220"/>
      <c r="CW2442" s="220"/>
      <c r="CX2442" s="220"/>
      <c r="CY2442" s="220"/>
      <c r="CZ2442" s="220"/>
      <c r="DA2442" s="220"/>
      <c r="DB2442" s="220"/>
      <c r="DC2442" s="220"/>
      <c r="DD2442" s="220"/>
      <c r="DE2442" s="220"/>
      <c r="DF2442" s="220"/>
      <c r="DG2442" s="220"/>
      <c r="DH2442" s="220"/>
      <c r="DI2442" s="220"/>
      <c r="DJ2442" s="220"/>
      <c r="DK2442" s="220"/>
      <c r="DL2442" s="220"/>
    </row>
    <row r="2443">
      <c r="A2443" s="44">
        <v>2443.0</v>
      </c>
      <c r="B2443" s="129" t="s">
        <v>152</v>
      </c>
      <c r="C2443" s="62" t="s">
        <v>115</v>
      </c>
      <c r="D2443" s="62" t="s">
        <v>221</v>
      </c>
      <c r="F2443" s="68" t="s">
        <v>14712</v>
      </c>
      <c r="G2443" s="159" t="s">
        <v>14425</v>
      </c>
      <c r="H2443" s="159" t="s">
        <v>222</v>
      </c>
      <c r="I2443" s="152">
        <v>45762.0</v>
      </c>
      <c r="J2443" s="1802">
        <v>45842.0</v>
      </c>
      <c r="K2443" s="68" t="s">
        <v>14713</v>
      </c>
      <c r="L2443" s="631" t="s">
        <v>14714</v>
      </c>
      <c r="M2443" s="159" t="s">
        <v>14707</v>
      </c>
      <c r="N2443" s="159" t="s">
        <v>14708</v>
      </c>
      <c r="O2443" s="129">
        <v>1.0</v>
      </c>
      <c r="P2443" s="382" t="s">
        <v>14709</v>
      </c>
      <c r="Q2443" s="52" t="str">
        <f t="array" ref="Q2443"> if(iserror(MATCH(V2443, 'File Links'!C:C, 0)), "N/A", HYPERLINK(INDEX('File Links'!B:B, MATCH(P2443, 'File Links'!C:C, 0))))</f>
        <v>https://drive.google.com/file/d/1aykdUrdNDQMd7IVvqNy3V_z8BwKq0YuV/view?usp=drivesdk</v>
      </c>
      <c r="R2443" s="159" t="s">
        <v>14432</v>
      </c>
      <c r="S2443" s="159" t="s">
        <v>14433</v>
      </c>
      <c r="T2443" s="68"/>
      <c r="U2443" s="129">
        <v>1.0</v>
      </c>
      <c r="V2443" s="382" t="s">
        <v>14434</v>
      </c>
      <c r="W2443" s="295" t="s">
        <v>209</v>
      </c>
      <c r="X2443" s="54" t="str">
        <f t="array" ref="X2443"> if(iserror(MATCH(V2443, 'File Links'!C:C, 0)), "N/A", HYPERLINK(INDEX('File Links'!B:B, MATCH(V2443, 'File Links'!C:C, 0))))</f>
        <v>https://drive.google.com/file/d/17mZvRs3ue7pXwqu8bmIDvgNdc95PGEcV/view?usp=drivesdk</v>
      </c>
      <c r="Y2443" s="68"/>
      <c r="Z2443" s="159" t="s">
        <v>1079</v>
      </c>
      <c r="AA2443" s="68" t="s">
        <v>12028</v>
      </c>
      <c r="AB2443" s="159" t="s">
        <v>14436</v>
      </c>
      <c r="AC2443" s="159" t="s">
        <v>14715</v>
      </c>
      <c r="AD2443" s="68" t="s">
        <v>14716</v>
      </c>
      <c r="AE2443" s="68" t="s">
        <v>850</v>
      </c>
      <c r="AF2443" s="156">
        <v>725.0</v>
      </c>
      <c r="AG2443" s="336">
        <v>0.3</v>
      </c>
      <c r="AH2443" s="68" t="s">
        <v>215</v>
      </c>
      <c r="AI2443" s="68" t="s">
        <v>850</v>
      </c>
      <c r="AJ2443" s="336">
        <v>0.05</v>
      </c>
      <c r="AK2443" s="68" t="s">
        <v>135</v>
      </c>
      <c r="AL2443" s="68" t="s">
        <v>186</v>
      </c>
      <c r="AM2443" s="68" t="s">
        <v>137</v>
      </c>
      <c r="AN2443" s="68" t="s">
        <v>138</v>
      </c>
      <c r="AO2443" s="156">
        <v>1503.0</v>
      </c>
      <c r="AP2443" s="156">
        <v>0.02</v>
      </c>
      <c r="AQ2443" s="159" t="s">
        <v>215</v>
      </c>
      <c r="AR2443" s="640" t="s">
        <v>14569</v>
      </c>
      <c r="AS2443" s="645">
        <v>0.05</v>
      </c>
      <c r="AT2443" s="1793" t="s">
        <v>135</v>
      </c>
      <c r="AU2443" s="1793" t="s">
        <v>136</v>
      </c>
      <c r="AV2443" s="68" t="s">
        <v>137</v>
      </c>
      <c r="AW2443" s="435" t="s">
        <v>14441</v>
      </c>
      <c r="AX2443" s="68" t="s">
        <v>143</v>
      </c>
      <c r="AY2443" s="61" t="str">
        <f>IFERROR(__xludf.DUMMYFUNCTION("vlookup(BB2443,importrange(""https://docs.google.com/spreadsheets/d/1d2vevQ_7D_v35q4wCQ4RpQ_IPoTwEMB9Yp6ymwlPqew/edit?gid=984458430#gid=984458430"", ""'replication success'!A:K""), 11, FAlSE)"),"")</f>
        <v/>
      </c>
      <c r="AZ2443" s="61" t="str">
        <f>IFERROR(__xludf.DUMMYFUNCTION("vlookup(BB2443,importrange(""https://docs.google.com/spreadsheets/d/1d2vevQ_7D_v35q4wCQ4RpQ_IPoTwEMB9Yp6ymwlPqew/edit?gid=984458430#gid=984458430"", ""'replication success'!A:M""), 12, FAlSE)"),"")</f>
        <v/>
      </c>
      <c r="BA2443" s="61" t="str">
        <f>IFERROR(__xludf.DUMMYFUNCTION("vlookup(BB2443,importrange(""https://docs.google.com/spreadsheets/d/1d2vevQ_7D_v35q4wCQ4RpQ_IPoTwEMB9Yp6ymwlPqew/edit?gid=984458430#gid=984458430"", ""'replication success'!A:M""), 13, FAlSE)"),"abstract")</f>
        <v>abstract</v>
      </c>
      <c r="BB2443" s="61" t="str">
        <f>IFERROR(__xludf.DUMMYFUNCTION("REGEXREPLACE(G2443, ""_[a-z]{1,2}$"", """")"),"Soto")</f>
        <v>Soto</v>
      </c>
      <c r="BC2443" s="68"/>
      <c r="BD2443" s="1631" t="s">
        <v>1270</v>
      </c>
    </row>
    <row r="2444">
      <c r="A2444" s="44">
        <v>2444.0</v>
      </c>
      <c r="B2444" s="129" t="s">
        <v>152</v>
      </c>
      <c r="C2444" s="62" t="s">
        <v>115</v>
      </c>
      <c r="D2444" s="62" t="s">
        <v>221</v>
      </c>
      <c r="F2444" s="68" t="s">
        <v>14717</v>
      </c>
      <c r="G2444" s="159" t="s">
        <v>14425</v>
      </c>
      <c r="H2444" s="159" t="s">
        <v>222</v>
      </c>
      <c r="I2444" s="152">
        <v>45762.0</v>
      </c>
      <c r="J2444" s="1802">
        <v>45842.0</v>
      </c>
      <c r="K2444" s="68" t="s">
        <v>14718</v>
      </c>
      <c r="L2444" s="631" t="s">
        <v>14714</v>
      </c>
      <c r="M2444" s="159" t="s">
        <v>14707</v>
      </c>
      <c r="N2444" s="159" t="s">
        <v>14708</v>
      </c>
      <c r="O2444" s="129">
        <v>1.0</v>
      </c>
      <c r="P2444" s="382" t="s">
        <v>14709</v>
      </c>
      <c r="Q2444" s="52" t="str">
        <f t="array" ref="Q2444"> if(iserror(MATCH(V2444, 'File Links'!C:C, 0)), "N/A", HYPERLINK(INDEX('File Links'!B:B, MATCH(P2444, 'File Links'!C:C, 0))))</f>
        <v>https://drive.google.com/file/d/1aykdUrdNDQMd7IVvqNy3V_z8BwKq0YuV/view?usp=drivesdk</v>
      </c>
      <c r="R2444" s="159" t="s">
        <v>14432</v>
      </c>
      <c r="S2444" s="159" t="s">
        <v>14433</v>
      </c>
      <c r="T2444" s="68"/>
      <c r="U2444" s="129">
        <v>1.0</v>
      </c>
      <c r="V2444" s="382" t="s">
        <v>14434</v>
      </c>
      <c r="W2444" s="295" t="s">
        <v>209</v>
      </c>
      <c r="X2444" s="54" t="str">
        <f t="array" ref="X2444"> if(iserror(MATCH(V2444, 'File Links'!C:C, 0)), "N/A", HYPERLINK(INDEX('File Links'!B:B, MATCH(V2444, 'File Links'!C:C, 0))))</f>
        <v>https://drive.google.com/file/d/17mZvRs3ue7pXwqu8bmIDvgNdc95PGEcV/view?usp=drivesdk</v>
      </c>
      <c r="Y2444" s="68"/>
      <c r="Z2444" s="159" t="s">
        <v>1079</v>
      </c>
      <c r="AA2444" s="68" t="s">
        <v>12028</v>
      </c>
      <c r="AB2444" s="159" t="s">
        <v>14436</v>
      </c>
      <c r="AC2444" s="159" t="s">
        <v>14719</v>
      </c>
      <c r="AD2444" s="68" t="s">
        <v>14720</v>
      </c>
      <c r="AE2444" s="68" t="s">
        <v>850</v>
      </c>
      <c r="AF2444" s="156">
        <v>725.0</v>
      </c>
      <c r="AG2444" s="336">
        <v>0.16</v>
      </c>
      <c r="AH2444" s="68" t="s">
        <v>215</v>
      </c>
      <c r="AI2444" s="68" t="s">
        <v>850</v>
      </c>
      <c r="AJ2444" s="336">
        <v>0.05</v>
      </c>
      <c r="AK2444" s="68" t="s">
        <v>135</v>
      </c>
      <c r="AL2444" s="68" t="s">
        <v>186</v>
      </c>
      <c r="AM2444" s="68" t="s">
        <v>137</v>
      </c>
      <c r="AN2444" s="68" t="s">
        <v>138</v>
      </c>
      <c r="AO2444" s="156">
        <v>1503.0</v>
      </c>
      <c r="AP2444" s="156">
        <v>0.31</v>
      </c>
      <c r="AQ2444" s="159" t="s">
        <v>215</v>
      </c>
      <c r="AR2444" s="640" t="s">
        <v>14569</v>
      </c>
      <c r="AS2444" s="645">
        <v>0.05</v>
      </c>
      <c r="AT2444" s="1793" t="s">
        <v>135</v>
      </c>
      <c r="AU2444" s="1793" t="s">
        <v>136</v>
      </c>
      <c r="AV2444" s="68" t="s">
        <v>137</v>
      </c>
      <c r="AW2444" s="435" t="s">
        <v>14441</v>
      </c>
      <c r="AX2444" s="68" t="s">
        <v>143</v>
      </c>
      <c r="AY2444" s="61" t="str">
        <f>IFERROR(__xludf.DUMMYFUNCTION("vlookup(BB2444,importrange(""https://docs.google.com/spreadsheets/d/1d2vevQ_7D_v35q4wCQ4RpQ_IPoTwEMB9Yp6ymwlPqew/edit?gid=984458430#gid=984458430"", ""'replication success'!A:K""), 11, FAlSE)"),"")</f>
        <v/>
      </c>
      <c r="AZ2444" s="61" t="str">
        <f>IFERROR(__xludf.DUMMYFUNCTION("vlookup(BB2444,importrange(""https://docs.google.com/spreadsheets/d/1d2vevQ_7D_v35q4wCQ4RpQ_IPoTwEMB9Yp6ymwlPqew/edit?gid=984458430#gid=984458430"", ""'replication success'!A:M""), 12, FAlSE)"),"")</f>
        <v/>
      </c>
      <c r="BA2444" s="61" t="str">
        <f>IFERROR(__xludf.DUMMYFUNCTION("vlookup(BB2444,importrange(""https://docs.google.com/spreadsheets/d/1d2vevQ_7D_v35q4wCQ4RpQ_IPoTwEMB9Yp6ymwlPqew/edit?gid=984458430#gid=984458430"", ""'replication success'!A:M""), 13, FAlSE)"),"abstract")</f>
        <v>abstract</v>
      </c>
      <c r="BB2444" s="61" t="str">
        <f>IFERROR(__xludf.DUMMYFUNCTION("REGEXREPLACE(G2444, ""_[a-z]{1,2}$"", """")"),"Soto")</f>
        <v>Soto</v>
      </c>
      <c r="BC2444" s="68"/>
      <c r="BD2444" s="1631" t="s">
        <v>1270</v>
      </c>
    </row>
    <row r="2445">
      <c r="A2445" s="44">
        <v>2445.0</v>
      </c>
      <c r="B2445" s="129" t="s">
        <v>152</v>
      </c>
      <c r="C2445" s="62" t="s">
        <v>115</v>
      </c>
      <c r="D2445" s="62" t="s">
        <v>221</v>
      </c>
      <c r="F2445" s="68" t="s">
        <v>14721</v>
      </c>
      <c r="G2445" s="159" t="s">
        <v>14425</v>
      </c>
      <c r="H2445" s="159" t="s">
        <v>222</v>
      </c>
      <c r="I2445" s="152">
        <v>45762.0</v>
      </c>
      <c r="J2445" s="1802">
        <v>45842.0</v>
      </c>
      <c r="K2445" s="68" t="s">
        <v>14722</v>
      </c>
      <c r="L2445" s="631" t="s">
        <v>14714</v>
      </c>
      <c r="M2445" s="159" t="s">
        <v>14707</v>
      </c>
      <c r="N2445" s="159" t="s">
        <v>14708</v>
      </c>
      <c r="O2445" s="129">
        <v>1.0</v>
      </c>
      <c r="P2445" s="382" t="s">
        <v>14709</v>
      </c>
      <c r="Q2445" s="52" t="str">
        <f t="array" ref="Q2445"> if(iserror(MATCH(V2445, 'File Links'!C:C, 0)), "N/A", HYPERLINK(INDEX('File Links'!B:B, MATCH(P2445, 'File Links'!C:C, 0))))</f>
        <v>https://drive.google.com/file/d/1aykdUrdNDQMd7IVvqNy3V_z8BwKq0YuV/view?usp=drivesdk</v>
      </c>
      <c r="R2445" s="159" t="s">
        <v>14432</v>
      </c>
      <c r="S2445" s="159" t="s">
        <v>14433</v>
      </c>
      <c r="T2445" s="68"/>
      <c r="U2445" s="129">
        <v>1.0</v>
      </c>
      <c r="V2445" s="382" t="s">
        <v>14434</v>
      </c>
      <c r="W2445" s="295" t="s">
        <v>209</v>
      </c>
      <c r="X2445" s="54" t="str">
        <f t="array" ref="X2445"> if(iserror(MATCH(V2445, 'File Links'!C:C, 0)), "N/A", HYPERLINK(INDEX('File Links'!B:B, MATCH(V2445, 'File Links'!C:C, 0))))</f>
        <v>https://drive.google.com/file/d/17mZvRs3ue7pXwqu8bmIDvgNdc95PGEcV/view?usp=drivesdk</v>
      </c>
      <c r="Y2445" s="68"/>
      <c r="Z2445" s="159" t="s">
        <v>1079</v>
      </c>
      <c r="AA2445" s="68" t="s">
        <v>12028</v>
      </c>
      <c r="AB2445" s="159" t="s">
        <v>14436</v>
      </c>
      <c r="AC2445" s="159" t="s">
        <v>14723</v>
      </c>
      <c r="AD2445" s="68" t="s">
        <v>14724</v>
      </c>
      <c r="AE2445" s="68" t="s">
        <v>850</v>
      </c>
      <c r="AF2445" s="156">
        <v>725.0</v>
      </c>
      <c r="AG2445" s="336">
        <v>0.11</v>
      </c>
      <c r="AH2445" s="68" t="s">
        <v>215</v>
      </c>
      <c r="AI2445" s="68" t="s">
        <v>850</v>
      </c>
      <c r="AJ2445" s="68" t="s">
        <v>138</v>
      </c>
      <c r="AK2445" s="68" t="s">
        <v>138</v>
      </c>
      <c r="AL2445" s="68" t="s">
        <v>186</v>
      </c>
      <c r="AM2445" s="68" t="s">
        <v>137</v>
      </c>
      <c r="AN2445" s="68" t="s">
        <v>138</v>
      </c>
      <c r="AO2445" s="156">
        <v>1503.0</v>
      </c>
      <c r="AP2445" s="156">
        <v>-0.13</v>
      </c>
      <c r="AQ2445" s="159" t="s">
        <v>215</v>
      </c>
      <c r="AR2445" s="640" t="s">
        <v>14569</v>
      </c>
      <c r="AS2445" s="645">
        <v>0.05</v>
      </c>
      <c r="AT2445" s="1793" t="s">
        <v>135</v>
      </c>
      <c r="AU2445" s="1793" t="s">
        <v>136</v>
      </c>
      <c r="AV2445" s="68" t="s">
        <v>137</v>
      </c>
      <c r="AW2445" s="435" t="s">
        <v>14441</v>
      </c>
      <c r="AX2445" s="68" t="s">
        <v>143</v>
      </c>
      <c r="AY2445" s="61" t="str">
        <f>IFERROR(__xludf.DUMMYFUNCTION("vlookup(BB2445,importrange(""https://docs.google.com/spreadsheets/d/1d2vevQ_7D_v35q4wCQ4RpQ_IPoTwEMB9Yp6ymwlPqew/edit?gid=984458430#gid=984458430"", ""'replication success'!A:K""), 11, FAlSE)"),"")</f>
        <v/>
      </c>
      <c r="AZ2445" s="61" t="str">
        <f>IFERROR(__xludf.DUMMYFUNCTION("vlookup(BB2445,importrange(""https://docs.google.com/spreadsheets/d/1d2vevQ_7D_v35q4wCQ4RpQ_IPoTwEMB9Yp6ymwlPqew/edit?gid=984458430#gid=984458430"", ""'replication success'!A:M""), 12, FAlSE)"),"")</f>
        <v/>
      </c>
      <c r="BA2445" s="61" t="str">
        <f>IFERROR(__xludf.DUMMYFUNCTION("vlookup(BB2445,importrange(""https://docs.google.com/spreadsheets/d/1d2vevQ_7D_v35q4wCQ4RpQ_IPoTwEMB9Yp6ymwlPqew/edit?gid=984458430#gid=984458430"", ""'replication success'!A:M""), 13, FAlSE)"),"abstract")</f>
        <v>abstract</v>
      </c>
      <c r="BB2445" s="61" t="str">
        <f>IFERROR(__xludf.DUMMYFUNCTION("REGEXREPLACE(G2445, ""_[a-z]{1,2}$"", """")"),"Soto")</f>
        <v>Soto</v>
      </c>
      <c r="BC2445" s="68"/>
      <c r="BD2445" s="1631" t="s">
        <v>1270</v>
      </c>
    </row>
    <row r="2446">
      <c r="A2446" s="639">
        <v>2446.0</v>
      </c>
      <c r="B2446" s="631" t="s">
        <v>152</v>
      </c>
      <c r="C2446" s="397" t="s">
        <v>115</v>
      </c>
      <c r="D2446" s="397" t="s">
        <v>221</v>
      </c>
      <c r="E2446" s="220"/>
      <c r="F2446" s="398" t="s">
        <v>14725</v>
      </c>
      <c r="G2446" s="407" t="s">
        <v>14425</v>
      </c>
      <c r="H2446" s="407" t="s">
        <v>222</v>
      </c>
      <c r="I2446" s="400">
        <v>45762.0</v>
      </c>
      <c r="J2446" s="1802">
        <v>45842.0</v>
      </c>
      <c r="K2446" s="398" t="s">
        <v>14726</v>
      </c>
      <c r="L2446" s="631" t="s">
        <v>14714</v>
      </c>
      <c r="M2446" s="407" t="s">
        <v>14707</v>
      </c>
      <c r="N2446" s="407" t="s">
        <v>14708</v>
      </c>
      <c r="O2446" s="631">
        <v>1.0</v>
      </c>
      <c r="P2446" s="407" t="s">
        <v>14709</v>
      </c>
      <c r="Q2446" s="882" t="str">
        <f t="array" ref="Q2446"> if(iserror(MATCH(V2446, 'File Links'!C:C, 0)), "N/A", HYPERLINK(INDEX('File Links'!B:B, MATCH(P2446, 'File Links'!C:C, 0))))</f>
        <v>https://drive.google.com/file/d/1aykdUrdNDQMd7IVvqNy3V_z8BwKq0YuV/view?usp=drivesdk</v>
      </c>
      <c r="R2446" s="407" t="s">
        <v>14432</v>
      </c>
      <c r="S2446" s="407" t="s">
        <v>14433</v>
      </c>
      <c r="T2446" s="398"/>
      <c r="U2446" s="631">
        <v>1.0</v>
      </c>
      <c r="V2446" s="407" t="s">
        <v>14434</v>
      </c>
      <c r="W2446" s="631" t="s">
        <v>209</v>
      </c>
      <c r="X2446" s="883" t="str">
        <f t="array" ref="X2446"> if(iserror(MATCH(V2446, 'File Links'!C:C, 0)), "N/A", HYPERLINK(INDEX('File Links'!B:B, MATCH(V2446, 'File Links'!C:C, 0))))</f>
        <v>https://drive.google.com/file/d/17mZvRs3ue7pXwqu8bmIDvgNdc95PGEcV/view?usp=drivesdk</v>
      </c>
      <c r="Y2446" s="398"/>
      <c r="Z2446" s="407" t="s">
        <v>1079</v>
      </c>
      <c r="AA2446" s="68" t="s">
        <v>12028</v>
      </c>
      <c r="AB2446" s="407" t="s">
        <v>14436</v>
      </c>
      <c r="AC2446" s="407" t="s">
        <v>14727</v>
      </c>
      <c r="AD2446" s="398" t="s">
        <v>14728</v>
      </c>
      <c r="AE2446" s="398" t="s">
        <v>850</v>
      </c>
      <c r="AF2446" s="728">
        <v>725.0</v>
      </c>
      <c r="AG2446" s="770">
        <v>0.16</v>
      </c>
      <c r="AH2446" s="398" t="s">
        <v>215</v>
      </c>
      <c r="AI2446" s="398" t="s">
        <v>850</v>
      </c>
      <c r="AJ2446" s="770">
        <v>0.05</v>
      </c>
      <c r="AK2446" s="398" t="s">
        <v>135</v>
      </c>
      <c r="AL2446" s="398" t="s">
        <v>186</v>
      </c>
      <c r="AM2446" s="398" t="s">
        <v>137</v>
      </c>
      <c r="AN2446" s="398" t="s">
        <v>138</v>
      </c>
      <c r="AO2446" s="728">
        <v>1503.0</v>
      </c>
      <c r="AP2446" s="728">
        <v>0.31</v>
      </c>
      <c r="AQ2446" s="407" t="s">
        <v>215</v>
      </c>
      <c r="AR2446" s="640" t="s">
        <v>14569</v>
      </c>
      <c r="AS2446" s="645">
        <v>0.05</v>
      </c>
      <c r="AT2446" s="398" t="s">
        <v>135</v>
      </c>
      <c r="AU2446" s="398" t="s">
        <v>136</v>
      </c>
      <c r="AV2446" s="398" t="s">
        <v>137</v>
      </c>
      <c r="AW2446" s="409" t="s">
        <v>14441</v>
      </c>
      <c r="AX2446" s="398" t="s">
        <v>143</v>
      </c>
      <c r="AY2446" s="61" t="str">
        <f>IFERROR(__xludf.DUMMYFUNCTION("vlookup(BB2446,importrange(""https://docs.google.com/spreadsheets/d/1d2vevQ_7D_v35q4wCQ4RpQ_IPoTwEMB9Yp6ymwlPqew/edit?gid=984458430#gid=984458430"", ""'replication success'!A:K""), 11, FAlSE)"),"")</f>
        <v/>
      </c>
      <c r="AZ2446" s="61" t="str">
        <f>IFERROR(__xludf.DUMMYFUNCTION("vlookup(BB2446,importrange(""https://docs.google.com/spreadsheets/d/1d2vevQ_7D_v35q4wCQ4RpQ_IPoTwEMB9Yp6ymwlPqew/edit?gid=984458430#gid=984458430"", ""'replication success'!A:M""), 12, FAlSE)"),"")</f>
        <v/>
      </c>
      <c r="BA2446" s="61" t="str">
        <f>IFERROR(__xludf.DUMMYFUNCTION("vlookup(BB2446,importrange(""https://docs.google.com/spreadsheets/d/1d2vevQ_7D_v35q4wCQ4RpQ_IPoTwEMB9Yp6ymwlPqew/edit?gid=984458430#gid=984458430"", ""'replication success'!A:M""), 13, FAlSE)"),"abstract")</f>
        <v>abstract</v>
      </c>
      <c r="BB2446" s="61" t="str">
        <f>IFERROR(__xludf.DUMMYFUNCTION("REGEXREPLACE(G2446, ""_[a-z]{1,2}$"", """")"),"Soto")</f>
        <v>Soto</v>
      </c>
      <c r="BC2446" s="398"/>
      <c r="BD2446" s="1631" t="s">
        <v>1270</v>
      </c>
      <c r="BE2446" s="220"/>
      <c r="BF2446" s="220"/>
      <c r="BG2446" s="220"/>
      <c r="BH2446" s="220"/>
      <c r="BI2446" s="220"/>
      <c r="BJ2446" s="220"/>
      <c r="BK2446" s="220"/>
      <c r="BL2446" s="220"/>
      <c r="BM2446" s="220"/>
      <c r="BN2446" s="220"/>
      <c r="BO2446" s="220"/>
      <c r="BP2446" s="220"/>
      <c r="BQ2446" s="220"/>
      <c r="BR2446" s="220"/>
      <c r="BS2446" s="220"/>
      <c r="BT2446" s="220"/>
      <c r="BU2446" s="220"/>
      <c r="BV2446" s="220"/>
      <c r="BW2446" s="220"/>
      <c r="BX2446" s="220"/>
      <c r="BY2446" s="220"/>
      <c r="BZ2446" s="220"/>
      <c r="CA2446" s="220"/>
      <c r="CB2446" s="220"/>
      <c r="CC2446" s="220"/>
      <c r="CD2446" s="220"/>
      <c r="CE2446" s="220"/>
      <c r="CF2446" s="220"/>
      <c r="CG2446" s="220"/>
      <c r="CH2446" s="220"/>
      <c r="CI2446" s="220"/>
      <c r="CJ2446" s="220"/>
      <c r="CK2446" s="220"/>
      <c r="CL2446" s="220"/>
      <c r="CM2446" s="220"/>
      <c r="CN2446" s="220"/>
      <c r="CO2446" s="220"/>
      <c r="CP2446" s="220"/>
      <c r="CQ2446" s="220"/>
      <c r="CR2446" s="220"/>
      <c r="CS2446" s="220"/>
      <c r="CT2446" s="220"/>
      <c r="CU2446" s="220"/>
      <c r="CV2446" s="220"/>
      <c r="CW2446" s="220"/>
      <c r="CX2446" s="220"/>
      <c r="CY2446" s="220"/>
      <c r="CZ2446" s="220"/>
      <c r="DA2446" s="220"/>
      <c r="DB2446" s="220"/>
      <c r="DC2446" s="220"/>
      <c r="DD2446" s="220"/>
      <c r="DE2446" s="220"/>
      <c r="DF2446" s="220"/>
      <c r="DG2446" s="220"/>
      <c r="DH2446" s="220"/>
      <c r="DI2446" s="220"/>
      <c r="DJ2446" s="220"/>
      <c r="DK2446" s="220"/>
      <c r="DL2446" s="220"/>
    </row>
    <row r="2447">
      <c r="A2447" s="813">
        <v>2447.0</v>
      </c>
      <c r="B2447" s="219" t="s">
        <v>114</v>
      </c>
      <c r="C2447" s="124" t="s">
        <v>115</v>
      </c>
      <c r="D2447" s="124" t="s">
        <v>221</v>
      </c>
      <c r="E2447" s="107"/>
      <c r="F2447" s="125" t="s">
        <v>14729</v>
      </c>
      <c r="G2447" s="140" t="s">
        <v>14425</v>
      </c>
      <c r="H2447" s="140" t="s">
        <v>222</v>
      </c>
      <c r="I2447" s="317">
        <v>45763.0</v>
      </c>
      <c r="J2447" s="128">
        <v>45842.0</v>
      </c>
      <c r="K2447" s="125" t="s">
        <v>14730</v>
      </c>
      <c r="L2447" s="219" t="s">
        <v>14731</v>
      </c>
      <c r="M2447" s="140" t="s">
        <v>14732</v>
      </c>
      <c r="N2447" s="140" t="s">
        <v>14733</v>
      </c>
      <c r="O2447" s="219">
        <v>1.0</v>
      </c>
      <c r="P2447" s="140" t="s">
        <v>14734</v>
      </c>
      <c r="Q2447" s="906" t="str">
        <f t="array" ref="Q2447"> if(iserror(MATCH(V2447, 'File Links'!C:C, 0)), "N/A", HYPERLINK(INDEX('File Links'!B:B, MATCH(P2447, 'File Links'!C:C, 0))))</f>
        <v>https://drive.google.com/file/d/1Ey8YE267IkJvJPhLMe73j6CWvGwENA3f/view?usp=drivesdk</v>
      </c>
      <c r="R2447" s="140" t="s">
        <v>14432</v>
      </c>
      <c r="S2447" s="140" t="s">
        <v>14433</v>
      </c>
      <c r="T2447" s="125"/>
      <c r="U2447" s="219">
        <v>1.0</v>
      </c>
      <c r="V2447" s="140" t="s">
        <v>14434</v>
      </c>
      <c r="W2447" s="219" t="s">
        <v>209</v>
      </c>
      <c r="X2447" s="908" t="str">
        <f t="array" ref="X2447"> if(iserror(MATCH(V2447, 'File Links'!C:C, 0)), "N/A", HYPERLINK(INDEX('File Links'!B:B, MATCH(V2447, 'File Links'!C:C, 0))))</f>
        <v>https://drive.google.com/file/d/17mZvRs3ue7pXwqu8bmIDvgNdc95PGEcV/view?usp=drivesdk</v>
      </c>
      <c r="Y2447" s="125"/>
      <c r="Z2447" s="140" t="s">
        <v>1079</v>
      </c>
      <c r="AA2447" s="68" t="s">
        <v>12028</v>
      </c>
      <c r="AB2447" s="140" t="s">
        <v>14436</v>
      </c>
      <c r="AC2447" s="140" t="s">
        <v>14735</v>
      </c>
      <c r="AD2447" s="219" t="s">
        <v>14736</v>
      </c>
      <c r="AE2447" s="219" t="s">
        <v>1257</v>
      </c>
      <c r="AF2447" s="782">
        <v>12023.0</v>
      </c>
      <c r="AG2447" s="1703">
        <v>0.18</v>
      </c>
      <c r="AH2447" s="125" t="s">
        <v>215</v>
      </c>
      <c r="AI2447" s="125" t="s">
        <v>2441</v>
      </c>
      <c r="AJ2447" s="125" t="s">
        <v>138</v>
      </c>
      <c r="AK2447" s="125" t="s">
        <v>138</v>
      </c>
      <c r="AL2447" s="125" t="s">
        <v>138</v>
      </c>
      <c r="AM2447" s="125" t="s">
        <v>141</v>
      </c>
      <c r="AN2447" s="125" t="s">
        <v>138</v>
      </c>
      <c r="AO2447" s="782">
        <v>747.0</v>
      </c>
      <c r="AP2447" s="1703">
        <v>0.13</v>
      </c>
      <c r="AQ2447" s="125" t="s">
        <v>215</v>
      </c>
      <c r="AR2447" s="125" t="s">
        <v>850</v>
      </c>
      <c r="AS2447" s="645">
        <v>0.05</v>
      </c>
      <c r="AT2447" s="125" t="s">
        <v>135</v>
      </c>
      <c r="AU2447" s="125" t="s">
        <v>136</v>
      </c>
      <c r="AV2447" s="125" t="s">
        <v>137</v>
      </c>
      <c r="AW2447" s="669" t="s">
        <v>14441</v>
      </c>
      <c r="AX2447" s="1632" t="s">
        <v>151</v>
      </c>
      <c r="AY2447" s="61" t="str">
        <f>IFERROR(__xludf.DUMMYFUNCTION("vlookup(BB2447,importrange(""https://docs.google.com/spreadsheets/d/1d2vevQ_7D_v35q4wCQ4RpQ_IPoTwEMB9Yp6ymwlPqew/edit?gid=984458430#gid=984458430"", ""'replication success'!A:K""), 11, FAlSE)"),"")</f>
        <v/>
      </c>
      <c r="AZ2447" s="61" t="str">
        <f>IFERROR(__xludf.DUMMYFUNCTION("vlookup(BB2447,importrange(""https://docs.google.com/spreadsheets/d/1d2vevQ_7D_v35q4wCQ4RpQ_IPoTwEMB9Yp6ymwlPqew/edit?gid=984458430#gid=984458430"", ""'replication success'!A:M""), 12, FAlSE)"),"")</f>
        <v/>
      </c>
      <c r="BA2447" s="61" t="str">
        <f>IFERROR(__xludf.DUMMYFUNCTION("vlookup(BB2447,importrange(""https://docs.google.com/spreadsheets/d/1d2vevQ_7D_v35q4wCQ4RpQ_IPoTwEMB9Yp6ymwlPqew/edit?gid=984458430#gid=984458430"", ""'replication success'!A:M""), 13, FAlSE)"),"abstract")</f>
        <v>abstract</v>
      </c>
      <c r="BB2447" s="61" t="str">
        <f>IFERROR(__xludf.DUMMYFUNCTION("REGEXREPLACE(G2447, ""_[a-z]{1,2}$"", """")"),"Soto")</f>
        <v>Soto</v>
      </c>
      <c r="BC2447" s="125"/>
      <c r="BD2447" s="1631" t="s">
        <v>1270</v>
      </c>
      <c r="BE2447" s="107"/>
      <c r="BF2447" s="107"/>
      <c r="BG2447" s="107"/>
      <c r="BH2447" s="107"/>
      <c r="BI2447" s="107"/>
      <c r="BJ2447" s="107"/>
      <c r="BK2447" s="107"/>
      <c r="BL2447" s="107"/>
      <c r="BM2447" s="107"/>
      <c r="BN2447" s="107"/>
      <c r="BO2447" s="107"/>
      <c r="BP2447" s="107"/>
      <c r="BQ2447" s="107"/>
      <c r="BR2447" s="107"/>
      <c r="BS2447" s="107"/>
      <c r="BT2447" s="107"/>
      <c r="BU2447" s="107"/>
      <c r="BV2447" s="107"/>
      <c r="BW2447" s="107"/>
      <c r="BX2447" s="107"/>
      <c r="BY2447" s="107"/>
      <c r="BZ2447" s="107"/>
      <c r="CA2447" s="107"/>
      <c r="CB2447" s="107"/>
      <c r="CC2447" s="107"/>
      <c r="CD2447" s="107"/>
      <c r="CE2447" s="107"/>
      <c r="CF2447" s="107"/>
      <c r="CG2447" s="107"/>
      <c r="CH2447" s="107"/>
      <c r="CI2447" s="107"/>
      <c r="CJ2447" s="107"/>
      <c r="CK2447" s="107"/>
      <c r="CL2447" s="107"/>
      <c r="CM2447" s="107"/>
      <c r="CN2447" s="107"/>
      <c r="CO2447" s="107"/>
      <c r="CP2447" s="107"/>
      <c r="CQ2447" s="107"/>
      <c r="CR2447" s="107"/>
      <c r="CS2447" s="107"/>
      <c r="CT2447" s="107"/>
      <c r="CU2447" s="107"/>
      <c r="CV2447" s="107"/>
      <c r="CW2447" s="107"/>
      <c r="CX2447" s="107"/>
      <c r="CY2447" s="107"/>
      <c r="CZ2447" s="107"/>
      <c r="DA2447" s="107"/>
      <c r="DB2447" s="107"/>
      <c r="DC2447" s="107"/>
      <c r="DD2447" s="107"/>
      <c r="DE2447" s="107"/>
      <c r="DF2447" s="107"/>
      <c r="DG2447" s="107"/>
      <c r="DH2447" s="107"/>
      <c r="DI2447" s="107"/>
      <c r="DJ2447" s="107"/>
      <c r="DK2447" s="107"/>
      <c r="DL2447" s="107"/>
    </row>
    <row r="2448">
      <c r="A2448" s="44">
        <v>2448.0</v>
      </c>
      <c r="B2448" s="129" t="s">
        <v>114</v>
      </c>
      <c r="C2448" s="62" t="s">
        <v>115</v>
      </c>
      <c r="D2448" s="62" t="s">
        <v>221</v>
      </c>
      <c r="F2448" s="68" t="s">
        <v>14737</v>
      </c>
      <c r="G2448" s="159" t="s">
        <v>14425</v>
      </c>
      <c r="H2448" s="159" t="s">
        <v>222</v>
      </c>
      <c r="I2448" s="152">
        <v>45763.0</v>
      </c>
      <c r="J2448" s="1802">
        <v>45842.0</v>
      </c>
      <c r="K2448" s="68" t="s">
        <v>14738</v>
      </c>
      <c r="L2448" s="219" t="s">
        <v>14731</v>
      </c>
      <c r="M2448" s="159" t="s">
        <v>14732</v>
      </c>
      <c r="N2448" s="159" t="s">
        <v>14733</v>
      </c>
      <c r="O2448" s="129">
        <v>1.0</v>
      </c>
      <c r="P2448" s="382" t="s">
        <v>14734</v>
      </c>
      <c r="Q2448" s="52" t="str">
        <f t="array" ref="Q2448"> if(iserror(MATCH(V2448, 'File Links'!C:C, 0)), "N/A", HYPERLINK(INDEX('File Links'!B:B, MATCH(P2448, 'File Links'!C:C, 0))))</f>
        <v>https://drive.google.com/file/d/1Ey8YE267IkJvJPhLMe73j6CWvGwENA3f/view?usp=drivesdk</v>
      </c>
      <c r="R2448" s="159" t="s">
        <v>14432</v>
      </c>
      <c r="S2448" s="159" t="s">
        <v>14433</v>
      </c>
      <c r="T2448" s="68"/>
      <c r="U2448" s="631">
        <v>1.0</v>
      </c>
      <c r="V2448" s="382" t="s">
        <v>14434</v>
      </c>
      <c r="W2448" s="295" t="s">
        <v>209</v>
      </c>
      <c r="X2448" s="54" t="str">
        <f t="array" ref="X2448"> if(iserror(MATCH(V2448, 'File Links'!C:C, 0)), "N/A", HYPERLINK(INDEX('File Links'!B:B, MATCH(V2448, 'File Links'!C:C, 0))))</f>
        <v>https://drive.google.com/file/d/17mZvRs3ue7pXwqu8bmIDvgNdc95PGEcV/view?usp=drivesdk</v>
      </c>
      <c r="Y2448" s="68"/>
      <c r="Z2448" s="159" t="s">
        <v>1079</v>
      </c>
      <c r="AA2448" s="68" t="s">
        <v>12028</v>
      </c>
      <c r="AB2448" s="159" t="s">
        <v>14436</v>
      </c>
      <c r="AC2448" s="159" t="s">
        <v>14739</v>
      </c>
      <c r="AD2448" s="219" t="s">
        <v>14736</v>
      </c>
      <c r="AE2448" s="219" t="s">
        <v>1257</v>
      </c>
      <c r="AF2448" s="156">
        <v>13500.0</v>
      </c>
      <c r="AG2448" s="336">
        <v>-0.23</v>
      </c>
      <c r="AH2448" s="68" t="s">
        <v>215</v>
      </c>
      <c r="AI2448" s="68" t="s">
        <v>2441</v>
      </c>
      <c r="AJ2448" s="68" t="s">
        <v>138</v>
      </c>
      <c r="AK2448" s="68" t="s">
        <v>138</v>
      </c>
      <c r="AL2448" s="68" t="s">
        <v>138</v>
      </c>
      <c r="AM2448" s="68" t="s">
        <v>141</v>
      </c>
      <c r="AN2448" s="68" t="s">
        <v>138</v>
      </c>
      <c r="AO2448" s="156">
        <v>747.0</v>
      </c>
      <c r="AP2448" s="336">
        <v>-0.28</v>
      </c>
      <c r="AQ2448" s="68" t="s">
        <v>215</v>
      </c>
      <c r="AR2448" s="68" t="s">
        <v>813</v>
      </c>
      <c r="AS2448" s="645">
        <v>0.05</v>
      </c>
      <c r="AT2448" s="1793" t="s">
        <v>135</v>
      </c>
      <c r="AU2448" s="1793" t="s">
        <v>136</v>
      </c>
      <c r="AV2448" s="68" t="s">
        <v>137</v>
      </c>
      <c r="AW2448" s="435" t="s">
        <v>14441</v>
      </c>
      <c r="AX2448" s="1632" t="s">
        <v>151</v>
      </c>
      <c r="AY2448" s="61" t="str">
        <f>IFERROR(__xludf.DUMMYFUNCTION("vlookup(BB2448,importrange(""https://docs.google.com/spreadsheets/d/1d2vevQ_7D_v35q4wCQ4RpQ_IPoTwEMB9Yp6ymwlPqew/edit?gid=984458430#gid=984458430"", ""'replication success'!A:K""), 11, FAlSE)"),"")</f>
        <v/>
      </c>
      <c r="AZ2448" s="61" t="str">
        <f>IFERROR(__xludf.DUMMYFUNCTION("vlookup(BB2448,importrange(""https://docs.google.com/spreadsheets/d/1d2vevQ_7D_v35q4wCQ4RpQ_IPoTwEMB9Yp6ymwlPqew/edit?gid=984458430#gid=984458430"", ""'replication success'!A:M""), 12, FAlSE)"),"")</f>
        <v/>
      </c>
      <c r="BA2448" s="61" t="str">
        <f>IFERROR(__xludf.DUMMYFUNCTION("vlookup(BB2448,importrange(""https://docs.google.com/spreadsheets/d/1d2vevQ_7D_v35q4wCQ4RpQ_IPoTwEMB9Yp6ymwlPqew/edit?gid=984458430#gid=984458430"", ""'replication success'!A:M""), 13, FAlSE)"),"abstract")</f>
        <v>abstract</v>
      </c>
      <c r="BB2448" s="61" t="str">
        <f>IFERROR(__xludf.DUMMYFUNCTION("REGEXREPLACE(G2448, ""_[a-z]{1,2}$"", """")"),"Soto")</f>
        <v>Soto</v>
      </c>
      <c r="BC2448" s="68"/>
      <c r="BD2448" s="1631" t="s">
        <v>1270</v>
      </c>
    </row>
    <row r="2449">
      <c r="A2449" s="44">
        <v>2449.0</v>
      </c>
      <c r="B2449" s="129" t="s">
        <v>114</v>
      </c>
      <c r="C2449" s="62" t="s">
        <v>115</v>
      </c>
      <c r="D2449" s="62" t="s">
        <v>221</v>
      </c>
      <c r="F2449" s="68" t="s">
        <v>14740</v>
      </c>
      <c r="G2449" s="159" t="s">
        <v>14425</v>
      </c>
      <c r="H2449" s="159" t="s">
        <v>222</v>
      </c>
      <c r="I2449" s="152">
        <v>45763.0</v>
      </c>
      <c r="J2449" s="1802">
        <v>45842.0</v>
      </c>
      <c r="K2449" s="68" t="s">
        <v>14741</v>
      </c>
      <c r="L2449" s="219" t="s">
        <v>14731</v>
      </c>
      <c r="M2449" s="159" t="s">
        <v>14732</v>
      </c>
      <c r="N2449" s="159" t="s">
        <v>14733</v>
      </c>
      <c r="O2449" s="129">
        <v>1.0</v>
      </c>
      <c r="P2449" s="382" t="s">
        <v>14734</v>
      </c>
      <c r="Q2449" s="52" t="str">
        <f t="array" ref="Q2449"> if(iserror(MATCH(V2449, 'File Links'!C:C, 0)), "N/A", HYPERLINK(INDEX('File Links'!B:B, MATCH(P2449, 'File Links'!C:C, 0))))</f>
        <v>https://drive.google.com/file/d/1Ey8YE267IkJvJPhLMe73j6CWvGwENA3f/view?usp=drivesdk</v>
      </c>
      <c r="R2449" s="159" t="s">
        <v>14432</v>
      </c>
      <c r="S2449" s="159" t="s">
        <v>14433</v>
      </c>
      <c r="T2449" s="68"/>
      <c r="U2449" s="631">
        <v>1.0</v>
      </c>
      <c r="V2449" s="382" t="s">
        <v>14434</v>
      </c>
      <c r="W2449" s="295" t="s">
        <v>209</v>
      </c>
      <c r="X2449" s="54" t="str">
        <f t="array" ref="X2449"> if(iserror(MATCH(V2449, 'File Links'!C:C, 0)), "N/A", HYPERLINK(INDEX('File Links'!B:B, MATCH(V2449, 'File Links'!C:C, 0))))</f>
        <v>https://drive.google.com/file/d/17mZvRs3ue7pXwqu8bmIDvgNdc95PGEcV/view?usp=drivesdk</v>
      </c>
      <c r="Y2449" s="68"/>
      <c r="Z2449" s="159" t="s">
        <v>1079</v>
      </c>
      <c r="AA2449" s="68" t="s">
        <v>12028</v>
      </c>
      <c r="AB2449" s="159" t="s">
        <v>14436</v>
      </c>
      <c r="AC2449" s="159" t="s">
        <v>14742</v>
      </c>
      <c r="AD2449" s="219" t="s">
        <v>14736</v>
      </c>
      <c r="AE2449" s="219" t="s">
        <v>1257</v>
      </c>
      <c r="AF2449" s="156">
        <v>492.0</v>
      </c>
      <c r="AG2449" s="336">
        <v>0.17</v>
      </c>
      <c r="AH2449" s="68" t="s">
        <v>215</v>
      </c>
      <c r="AI2449" s="68" t="s">
        <v>2441</v>
      </c>
      <c r="AJ2449" s="68" t="s">
        <v>138</v>
      </c>
      <c r="AK2449" s="68" t="s">
        <v>138</v>
      </c>
      <c r="AL2449" s="68" t="s">
        <v>138</v>
      </c>
      <c r="AM2449" s="68" t="s">
        <v>141</v>
      </c>
      <c r="AN2449" s="68" t="s">
        <v>138</v>
      </c>
      <c r="AO2449" s="156">
        <v>748.0</v>
      </c>
      <c r="AP2449" s="336">
        <v>0.1</v>
      </c>
      <c r="AQ2449" s="68" t="s">
        <v>215</v>
      </c>
      <c r="AR2449" s="68" t="s">
        <v>813</v>
      </c>
      <c r="AS2449" s="645">
        <v>0.05</v>
      </c>
      <c r="AT2449" s="1793" t="s">
        <v>135</v>
      </c>
      <c r="AU2449" s="1793" t="s">
        <v>136</v>
      </c>
      <c r="AV2449" s="68" t="s">
        <v>137</v>
      </c>
      <c r="AW2449" s="435" t="s">
        <v>14441</v>
      </c>
      <c r="AX2449" s="1632" t="s">
        <v>151</v>
      </c>
      <c r="AY2449" s="61" t="str">
        <f>IFERROR(__xludf.DUMMYFUNCTION("vlookup(BB2449,importrange(""https://docs.google.com/spreadsheets/d/1d2vevQ_7D_v35q4wCQ4RpQ_IPoTwEMB9Yp6ymwlPqew/edit?gid=984458430#gid=984458430"", ""'replication success'!A:K""), 11, FAlSE)"),"")</f>
        <v/>
      </c>
      <c r="AZ2449" s="61" t="str">
        <f>IFERROR(__xludf.DUMMYFUNCTION("vlookup(BB2449,importrange(""https://docs.google.com/spreadsheets/d/1d2vevQ_7D_v35q4wCQ4RpQ_IPoTwEMB9Yp6ymwlPqew/edit?gid=984458430#gid=984458430"", ""'replication success'!A:M""), 12, FAlSE)"),"")</f>
        <v/>
      </c>
      <c r="BA2449" s="61" t="str">
        <f>IFERROR(__xludf.DUMMYFUNCTION("vlookup(BB2449,importrange(""https://docs.google.com/spreadsheets/d/1d2vevQ_7D_v35q4wCQ4RpQ_IPoTwEMB9Yp6ymwlPqew/edit?gid=984458430#gid=984458430"", ""'replication success'!A:M""), 13, FAlSE)"),"abstract")</f>
        <v>abstract</v>
      </c>
      <c r="BB2449" s="61" t="str">
        <f>IFERROR(__xludf.DUMMYFUNCTION("REGEXREPLACE(G2449, ""_[a-z]{1,2}$"", """")"),"Soto")</f>
        <v>Soto</v>
      </c>
      <c r="BC2449" s="68"/>
      <c r="BD2449" s="1631" t="s">
        <v>1270</v>
      </c>
    </row>
    <row r="2450">
      <c r="A2450" s="813">
        <v>2450.0</v>
      </c>
      <c r="B2450" s="219" t="s">
        <v>114</v>
      </c>
      <c r="C2450" s="124" t="s">
        <v>115</v>
      </c>
      <c r="D2450" s="124" t="s">
        <v>221</v>
      </c>
      <c r="E2450" s="107"/>
      <c r="F2450" s="125" t="s">
        <v>14743</v>
      </c>
      <c r="G2450" s="140" t="s">
        <v>14425</v>
      </c>
      <c r="H2450" s="140" t="s">
        <v>222</v>
      </c>
      <c r="I2450" s="317">
        <v>45763.0</v>
      </c>
      <c r="J2450" s="128">
        <v>45842.0</v>
      </c>
      <c r="K2450" s="125" t="s">
        <v>14744</v>
      </c>
      <c r="L2450" s="219" t="s">
        <v>14731</v>
      </c>
      <c r="M2450" s="140" t="s">
        <v>14732</v>
      </c>
      <c r="N2450" s="140" t="s">
        <v>14733</v>
      </c>
      <c r="O2450" s="219">
        <v>1.0</v>
      </c>
      <c r="P2450" s="140" t="s">
        <v>14734</v>
      </c>
      <c r="Q2450" s="906" t="str">
        <f t="array" ref="Q2450"> if(iserror(MATCH(V2450, 'File Links'!C:C, 0)), "N/A", HYPERLINK(INDEX('File Links'!B:B, MATCH(P2450, 'File Links'!C:C, 0))))</f>
        <v>https://drive.google.com/file/d/1Ey8YE267IkJvJPhLMe73j6CWvGwENA3f/view?usp=drivesdk</v>
      </c>
      <c r="R2450" s="140" t="s">
        <v>14432</v>
      </c>
      <c r="S2450" s="140" t="s">
        <v>14433</v>
      </c>
      <c r="T2450" s="125"/>
      <c r="U2450" s="219">
        <v>1.0</v>
      </c>
      <c r="V2450" s="140" t="s">
        <v>14434</v>
      </c>
      <c r="W2450" s="219" t="s">
        <v>209</v>
      </c>
      <c r="X2450" s="908" t="str">
        <f t="array" ref="X2450"> if(iserror(MATCH(V2450, 'File Links'!C:C, 0)), "N/A", HYPERLINK(INDEX('File Links'!B:B, MATCH(V2450, 'File Links'!C:C, 0))))</f>
        <v>https://drive.google.com/file/d/17mZvRs3ue7pXwqu8bmIDvgNdc95PGEcV/view?usp=drivesdk</v>
      </c>
      <c r="Y2450" s="125"/>
      <c r="Z2450" s="140" t="s">
        <v>1079</v>
      </c>
      <c r="AA2450" s="68" t="s">
        <v>12028</v>
      </c>
      <c r="AB2450" s="140" t="s">
        <v>14436</v>
      </c>
      <c r="AC2450" s="140" t="s">
        <v>14745</v>
      </c>
      <c r="AD2450" s="219" t="s">
        <v>14736</v>
      </c>
      <c r="AE2450" s="219" t="s">
        <v>1257</v>
      </c>
      <c r="AF2450" s="782">
        <v>713.0</v>
      </c>
      <c r="AG2450" s="1705">
        <v>-0.19</v>
      </c>
      <c r="AH2450" s="125" t="s">
        <v>215</v>
      </c>
      <c r="AI2450" s="125" t="s">
        <v>2441</v>
      </c>
      <c r="AJ2450" s="125" t="s">
        <v>138</v>
      </c>
      <c r="AK2450" s="125" t="s">
        <v>138</v>
      </c>
      <c r="AL2450" s="125" t="s">
        <v>138</v>
      </c>
      <c r="AM2450" s="125" t="s">
        <v>141</v>
      </c>
      <c r="AN2450" s="125" t="s">
        <v>138</v>
      </c>
      <c r="AO2450" s="782">
        <v>748.0</v>
      </c>
      <c r="AP2450" s="1703">
        <v>-0.14</v>
      </c>
      <c r="AQ2450" s="125" t="s">
        <v>215</v>
      </c>
      <c r="AR2450" s="125" t="s">
        <v>813</v>
      </c>
      <c r="AS2450" s="645">
        <v>0.05</v>
      </c>
      <c r="AT2450" s="125" t="s">
        <v>135</v>
      </c>
      <c r="AU2450" s="125" t="s">
        <v>136</v>
      </c>
      <c r="AV2450" s="125" t="s">
        <v>137</v>
      </c>
      <c r="AW2450" s="669" t="s">
        <v>14441</v>
      </c>
      <c r="AX2450" s="1632" t="s">
        <v>151</v>
      </c>
      <c r="AY2450" s="61" t="str">
        <f>IFERROR(__xludf.DUMMYFUNCTION("vlookup(BB2450,importrange(""https://docs.google.com/spreadsheets/d/1d2vevQ_7D_v35q4wCQ4RpQ_IPoTwEMB9Yp6ymwlPqew/edit?gid=984458430#gid=984458430"", ""'replication success'!A:K""), 11, FAlSE)"),"")</f>
        <v/>
      </c>
      <c r="AZ2450" s="61" t="str">
        <f>IFERROR(__xludf.DUMMYFUNCTION("vlookup(BB2450,importrange(""https://docs.google.com/spreadsheets/d/1d2vevQ_7D_v35q4wCQ4RpQ_IPoTwEMB9Yp6ymwlPqew/edit?gid=984458430#gid=984458430"", ""'replication success'!A:M""), 12, FAlSE)"),"")</f>
        <v/>
      </c>
      <c r="BA2450" s="61" t="str">
        <f>IFERROR(__xludf.DUMMYFUNCTION("vlookup(BB2450,importrange(""https://docs.google.com/spreadsheets/d/1d2vevQ_7D_v35q4wCQ4RpQ_IPoTwEMB9Yp6ymwlPqew/edit?gid=984458430#gid=984458430"", ""'replication success'!A:M""), 13, FAlSE)"),"abstract")</f>
        <v>abstract</v>
      </c>
      <c r="BB2450" s="61" t="str">
        <f>IFERROR(__xludf.DUMMYFUNCTION("REGEXREPLACE(G2450, ""_[a-z]{1,2}$"", """")"),"Soto")</f>
        <v>Soto</v>
      </c>
      <c r="BC2450" s="125"/>
      <c r="BD2450" s="1631" t="s">
        <v>1270</v>
      </c>
      <c r="BE2450" s="107"/>
      <c r="BF2450" s="107"/>
      <c r="BG2450" s="107"/>
      <c r="BH2450" s="107"/>
      <c r="BI2450" s="107"/>
      <c r="BJ2450" s="107"/>
      <c r="BK2450" s="107"/>
      <c r="BL2450" s="107"/>
      <c r="BM2450" s="107"/>
      <c r="BN2450" s="107"/>
      <c r="BO2450" s="107"/>
      <c r="BP2450" s="107"/>
      <c r="BQ2450" s="107"/>
      <c r="BR2450" s="107"/>
      <c r="BS2450" s="107"/>
      <c r="BT2450" s="107"/>
      <c r="BU2450" s="107"/>
      <c r="BV2450" s="107"/>
      <c r="BW2450" s="107"/>
      <c r="BX2450" s="107"/>
      <c r="BY2450" s="107"/>
      <c r="BZ2450" s="107"/>
      <c r="CA2450" s="107"/>
      <c r="CB2450" s="107"/>
      <c r="CC2450" s="107"/>
      <c r="CD2450" s="107"/>
      <c r="CE2450" s="107"/>
      <c r="CF2450" s="107"/>
      <c r="CG2450" s="107"/>
      <c r="CH2450" s="107"/>
      <c r="CI2450" s="107"/>
      <c r="CJ2450" s="107"/>
      <c r="CK2450" s="107"/>
      <c r="CL2450" s="107"/>
      <c r="CM2450" s="107"/>
      <c r="CN2450" s="107"/>
      <c r="CO2450" s="107"/>
      <c r="CP2450" s="107"/>
      <c r="CQ2450" s="107"/>
      <c r="CR2450" s="107"/>
      <c r="CS2450" s="107"/>
      <c r="CT2450" s="107"/>
      <c r="CU2450" s="107"/>
      <c r="CV2450" s="107"/>
      <c r="CW2450" s="107"/>
      <c r="CX2450" s="107"/>
      <c r="CY2450" s="107"/>
      <c r="CZ2450" s="107"/>
      <c r="DA2450" s="107"/>
      <c r="DB2450" s="107"/>
      <c r="DC2450" s="107"/>
      <c r="DD2450" s="107"/>
      <c r="DE2450" s="107"/>
      <c r="DF2450" s="107"/>
      <c r="DG2450" s="107"/>
      <c r="DH2450" s="107"/>
      <c r="DI2450" s="107"/>
      <c r="DJ2450" s="107"/>
      <c r="DK2450" s="107"/>
      <c r="DL2450" s="107"/>
    </row>
    <row r="2451">
      <c r="A2451" s="354">
        <v>2451.0</v>
      </c>
      <c r="B2451" s="56" t="s">
        <v>114</v>
      </c>
      <c r="C2451" s="341" t="s">
        <v>115</v>
      </c>
      <c r="D2451" s="341" t="s">
        <v>221</v>
      </c>
      <c r="E2451" s="342"/>
      <c r="F2451" s="46" t="s">
        <v>14746</v>
      </c>
      <c r="G2451" s="360" t="s">
        <v>14425</v>
      </c>
      <c r="H2451" s="360" t="s">
        <v>222</v>
      </c>
      <c r="I2451" s="344">
        <v>45763.0</v>
      </c>
      <c r="J2451" s="2124">
        <v>45849.0</v>
      </c>
      <c r="K2451" s="46" t="s">
        <v>14747</v>
      </c>
      <c r="L2451" s="56" t="s">
        <v>14748</v>
      </c>
      <c r="M2451" s="360" t="s">
        <v>14749</v>
      </c>
      <c r="N2451" s="360" t="s">
        <v>14750</v>
      </c>
      <c r="O2451" s="56">
        <v>1.0</v>
      </c>
      <c r="P2451" s="360" t="s">
        <v>14751</v>
      </c>
      <c r="Q2451" s="104" t="str">
        <f t="array" ref="Q2451"> if(iserror(MATCH(V2451, 'File Links'!C:C, 0)), "N/A", HYPERLINK(INDEX('File Links'!B:B, MATCH(P2451, 'File Links'!C:C, 0))))</f>
        <v>https://drive.google.com/file/d/1JjrD9NOW8xliYqnpBZzkTwq4qgfO4wNJ/view?usp=drivesdk</v>
      </c>
      <c r="R2451" s="360" t="s">
        <v>14432</v>
      </c>
      <c r="S2451" s="360" t="s">
        <v>14433</v>
      </c>
      <c r="T2451" s="46"/>
      <c r="U2451" s="56">
        <v>1.0</v>
      </c>
      <c r="V2451" s="360" t="s">
        <v>14434</v>
      </c>
      <c r="W2451" s="56" t="s">
        <v>209</v>
      </c>
      <c r="X2451" s="54" t="str">
        <f t="array" ref="X2451"> if(iserror(MATCH(V2451, 'File Links'!C:C, 0)), "N/A", HYPERLINK(INDEX('File Links'!B:B, MATCH(V2451, 'File Links'!C:C, 0))))</f>
        <v>https://drive.google.com/file/d/17mZvRs3ue7pXwqu8bmIDvgNdc95PGEcV/view?usp=drivesdk</v>
      </c>
      <c r="Y2451" s="46"/>
      <c r="Z2451" s="360" t="s">
        <v>1079</v>
      </c>
      <c r="AA2451" s="68" t="s">
        <v>12028</v>
      </c>
      <c r="AB2451" s="360" t="s">
        <v>14436</v>
      </c>
      <c r="AC2451" s="360" t="s">
        <v>14752</v>
      </c>
      <c r="AD2451" s="56" t="s">
        <v>14753</v>
      </c>
      <c r="AE2451" s="55">
        <v>17.0</v>
      </c>
      <c r="AF2451" s="357">
        <v>194.0</v>
      </c>
      <c r="AG2451" s="385">
        <v>-0.11</v>
      </c>
      <c r="AH2451" s="46" t="s">
        <v>215</v>
      </c>
      <c r="AI2451" s="56" t="s">
        <v>305</v>
      </c>
      <c r="AJ2451" s="56">
        <v>0.05</v>
      </c>
      <c r="AK2451" s="360" t="s">
        <v>335</v>
      </c>
      <c r="AL2451" s="46" t="s">
        <v>138</v>
      </c>
      <c r="AM2451" s="46" t="s">
        <v>137</v>
      </c>
      <c r="AN2451" s="46" t="s">
        <v>138</v>
      </c>
      <c r="AO2451" s="357">
        <v>481.0</v>
      </c>
      <c r="AP2451" s="2125" t="s">
        <v>14754</v>
      </c>
      <c r="AQ2451" s="46" t="s">
        <v>361</v>
      </c>
      <c r="AR2451" s="46" t="s">
        <v>140</v>
      </c>
      <c r="AS2451" s="55">
        <v>0.00715988150459318</v>
      </c>
      <c r="AT2451" s="46" t="s">
        <v>172</v>
      </c>
      <c r="AU2451" s="46" t="s">
        <v>136</v>
      </c>
      <c r="AV2451" s="46" t="s">
        <v>137</v>
      </c>
      <c r="AW2451" s="59" t="s">
        <v>14441</v>
      </c>
      <c r="AX2451" s="46" t="s">
        <v>151</v>
      </c>
      <c r="AY2451" s="49" t="str">
        <f>IFERROR(__xludf.DUMMYFUNCTION("vlookup(BB2451,importrange(""https://docs.google.com/spreadsheets/d/1d2vevQ_7D_v35q4wCQ4RpQ_IPoTwEMB9Yp6ymwlPqew/edit?gid=984458430#gid=984458430"", ""'replication success'!A:K""), 11, FAlSE)"),"")</f>
        <v/>
      </c>
      <c r="AZ2451" s="49" t="str">
        <f>IFERROR(__xludf.DUMMYFUNCTION("vlookup(BB2451,importrange(""https://docs.google.com/spreadsheets/d/1d2vevQ_7D_v35q4wCQ4RpQ_IPoTwEMB9Yp6ymwlPqew/edit?gid=984458430#gid=984458430"", ""'replication success'!A:M""), 12, FAlSE)"),"")</f>
        <v/>
      </c>
      <c r="BA2451" s="49" t="str">
        <f>IFERROR(__xludf.DUMMYFUNCTION("vlookup(BB2451,importrange(""https://docs.google.com/spreadsheets/d/1d2vevQ_7D_v35q4wCQ4RpQ_IPoTwEMB9Yp6ymwlPqew/edit?gid=984458430#gid=984458430"", ""'replication success'!A:M""), 13, FAlSE)"),"abstract")</f>
        <v>abstract</v>
      </c>
      <c r="BB2451" s="49" t="str">
        <f>IFERROR(__xludf.DUMMYFUNCTION("REGEXREPLACE(G2451, ""_[a-z]{1,2}$"", """")"),"Soto")</f>
        <v>Soto</v>
      </c>
      <c r="BC2451" s="46"/>
      <c r="BD2451" s="341" t="s">
        <v>14755</v>
      </c>
      <c r="BE2451" s="342"/>
      <c r="BF2451" s="342"/>
      <c r="BG2451" s="342"/>
      <c r="BH2451" s="342"/>
      <c r="BI2451" s="342"/>
      <c r="BJ2451" s="342"/>
      <c r="BK2451" s="342"/>
      <c r="BL2451" s="342"/>
      <c r="BM2451" s="342"/>
      <c r="BN2451" s="342"/>
      <c r="BO2451" s="342"/>
      <c r="BP2451" s="342"/>
      <c r="BQ2451" s="342"/>
      <c r="BR2451" s="342"/>
      <c r="BS2451" s="342"/>
      <c r="BT2451" s="342"/>
      <c r="BU2451" s="342"/>
      <c r="BV2451" s="342"/>
      <c r="BW2451" s="342"/>
      <c r="BX2451" s="342"/>
      <c r="BY2451" s="342"/>
      <c r="BZ2451" s="342"/>
      <c r="CA2451" s="342"/>
      <c r="CB2451" s="342"/>
      <c r="CC2451" s="342"/>
      <c r="CD2451" s="342"/>
      <c r="CE2451" s="342"/>
      <c r="CF2451" s="342"/>
      <c r="CG2451" s="342"/>
      <c r="CH2451" s="342"/>
      <c r="CI2451" s="342"/>
      <c r="CJ2451" s="342"/>
      <c r="CK2451" s="342"/>
      <c r="CL2451" s="342"/>
      <c r="CM2451" s="342"/>
      <c r="CN2451" s="342"/>
      <c r="CO2451" s="342"/>
      <c r="CP2451" s="342"/>
      <c r="CQ2451" s="342"/>
      <c r="CR2451" s="342"/>
      <c r="CS2451" s="342"/>
      <c r="CT2451" s="342"/>
      <c r="CU2451" s="342"/>
      <c r="CV2451" s="342"/>
      <c r="CW2451" s="342"/>
      <c r="CX2451" s="342"/>
      <c r="CY2451" s="342"/>
      <c r="CZ2451" s="342"/>
      <c r="DA2451" s="342"/>
      <c r="DB2451" s="342"/>
      <c r="DC2451" s="342"/>
      <c r="DD2451" s="342"/>
      <c r="DE2451" s="342"/>
      <c r="DF2451" s="342"/>
      <c r="DG2451" s="342"/>
      <c r="DH2451" s="342"/>
      <c r="DI2451" s="342"/>
      <c r="DJ2451" s="342"/>
      <c r="DK2451" s="342"/>
      <c r="DL2451" s="342"/>
    </row>
    <row r="2452">
      <c r="A2452" s="44">
        <v>2452.0</v>
      </c>
      <c r="B2452" s="129" t="s">
        <v>114</v>
      </c>
      <c r="C2452" s="62" t="s">
        <v>115</v>
      </c>
      <c r="D2452" s="62" t="s">
        <v>221</v>
      </c>
      <c r="F2452" s="68" t="s">
        <v>14756</v>
      </c>
      <c r="G2452" s="159" t="s">
        <v>14425</v>
      </c>
      <c r="H2452" s="159" t="s">
        <v>222</v>
      </c>
      <c r="I2452" s="152">
        <v>45763.0</v>
      </c>
      <c r="J2452" s="2126">
        <v>45849.0</v>
      </c>
      <c r="K2452" s="68" t="s">
        <v>14757</v>
      </c>
      <c r="L2452" s="129" t="s">
        <v>14758</v>
      </c>
      <c r="M2452" s="159" t="s">
        <v>14749</v>
      </c>
      <c r="N2452" s="159" t="s">
        <v>14750</v>
      </c>
      <c r="O2452" s="129">
        <v>1.0</v>
      </c>
      <c r="P2452" s="382" t="s">
        <v>14751</v>
      </c>
      <c r="Q2452" s="52" t="str">
        <f t="array" ref="Q2452"> if(iserror(MATCH(V2452, 'File Links'!C:C, 0)), "N/A", HYPERLINK(INDEX('File Links'!B:B, MATCH(P2452, 'File Links'!C:C, 0))))</f>
        <v>https://drive.google.com/file/d/1JjrD9NOW8xliYqnpBZzkTwq4qgfO4wNJ/view?usp=drivesdk</v>
      </c>
      <c r="R2452" s="159" t="s">
        <v>14432</v>
      </c>
      <c r="S2452" s="159" t="s">
        <v>14433</v>
      </c>
      <c r="T2452" s="68"/>
      <c r="U2452" s="129">
        <v>1.0</v>
      </c>
      <c r="V2452" s="382" t="s">
        <v>14434</v>
      </c>
      <c r="W2452" s="295" t="s">
        <v>209</v>
      </c>
      <c r="X2452" s="54" t="str">
        <f t="array" ref="X2452"> if(iserror(MATCH(V2452, 'File Links'!C:C, 0)), "N/A", HYPERLINK(INDEX('File Links'!B:B, MATCH(V2452, 'File Links'!C:C, 0))))</f>
        <v>https://drive.google.com/file/d/17mZvRs3ue7pXwqu8bmIDvgNdc95PGEcV/view?usp=drivesdk</v>
      </c>
      <c r="Y2452" s="68"/>
      <c r="Z2452" s="159" t="s">
        <v>1079</v>
      </c>
      <c r="AA2452" s="68" t="s">
        <v>12028</v>
      </c>
      <c r="AB2452" s="159" t="s">
        <v>14436</v>
      </c>
      <c r="AC2452" s="159" t="s">
        <v>14759</v>
      </c>
      <c r="AD2452" s="129" t="s">
        <v>14760</v>
      </c>
      <c r="AE2452" s="336" t="s">
        <v>14761</v>
      </c>
      <c r="AF2452" s="156">
        <v>194.0</v>
      </c>
      <c r="AG2452" s="336">
        <v>0.5</v>
      </c>
      <c r="AH2452" s="68" t="s">
        <v>215</v>
      </c>
      <c r="AI2452" s="1210" t="s">
        <v>305</v>
      </c>
      <c r="AJ2452" s="336">
        <v>0.01</v>
      </c>
      <c r="AK2452" s="68" t="s">
        <v>135</v>
      </c>
      <c r="AL2452" s="125" t="s">
        <v>138</v>
      </c>
      <c r="AM2452" s="68" t="s">
        <v>137</v>
      </c>
      <c r="AN2452" s="68" t="s">
        <v>138</v>
      </c>
      <c r="AO2452" s="156">
        <v>481.0</v>
      </c>
      <c r="AP2452" s="336">
        <v>-0.07</v>
      </c>
      <c r="AQ2452" s="68" t="s">
        <v>215</v>
      </c>
      <c r="AR2452" s="68" t="s">
        <v>140</v>
      </c>
      <c r="AS2452" s="1781">
        <v>0.127942564698011</v>
      </c>
      <c r="AT2452" s="1793" t="s">
        <v>172</v>
      </c>
      <c r="AU2452" s="436" t="s">
        <v>136</v>
      </c>
      <c r="AV2452" s="68" t="s">
        <v>137</v>
      </c>
      <c r="AW2452" s="435" t="s">
        <v>14441</v>
      </c>
      <c r="AX2452" s="1632" t="s">
        <v>151</v>
      </c>
      <c r="AY2452" s="61" t="str">
        <f>IFERROR(__xludf.DUMMYFUNCTION("vlookup(BB2452,importrange(""https://docs.google.com/spreadsheets/d/1d2vevQ_7D_v35q4wCQ4RpQ_IPoTwEMB9Yp6ymwlPqew/edit?gid=984458430#gid=984458430"", ""'replication success'!A:K""), 11, FAlSE)"),"")</f>
        <v/>
      </c>
      <c r="AZ2452" s="61" t="str">
        <f>IFERROR(__xludf.DUMMYFUNCTION("vlookup(BB2452,importrange(""https://docs.google.com/spreadsheets/d/1d2vevQ_7D_v35q4wCQ4RpQ_IPoTwEMB9Yp6ymwlPqew/edit?gid=984458430#gid=984458430"", ""'replication success'!A:M""), 12, FAlSE)"),"")</f>
        <v/>
      </c>
      <c r="BA2452" s="61" t="str">
        <f>IFERROR(__xludf.DUMMYFUNCTION("vlookup(BB2452,importrange(""https://docs.google.com/spreadsheets/d/1d2vevQ_7D_v35q4wCQ4RpQ_IPoTwEMB9Yp6ymwlPqew/edit?gid=984458430#gid=984458430"", ""'replication success'!A:M""), 13, FAlSE)"),"abstract")</f>
        <v>abstract</v>
      </c>
      <c r="BB2452" s="61" t="str">
        <f>IFERROR(__xludf.DUMMYFUNCTION("REGEXREPLACE(G2452, ""_[a-z]{1,2}$"", """")"),"Soto")</f>
        <v>Soto</v>
      </c>
      <c r="BC2452" s="68"/>
      <c r="BD2452" s="62" t="s">
        <v>14755</v>
      </c>
    </row>
    <row r="2453">
      <c r="A2453" s="44">
        <v>2453.0</v>
      </c>
      <c r="B2453" s="129" t="s">
        <v>114</v>
      </c>
      <c r="C2453" s="62" t="s">
        <v>115</v>
      </c>
      <c r="D2453" s="62" t="s">
        <v>221</v>
      </c>
      <c r="F2453" s="68" t="s">
        <v>14762</v>
      </c>
      <c r="G2453" s="159" t="s">
        <v>14425</v>
      </c>
      <c r="H2453" s="159" t="s">
        <v>222</v>
      </c>
      <c r="I2453" s="152">
        <v>45763.0</v>
      </c>
      <c r="J2453" s="2126">
        <v>45849.0</v>
      </c>
      <c r="K2453" s="68" t="s">
        <v>14763</v>
      </c>
      <c r="L2453" s="1210" t="s">
        <v>14764</v>
      </c>
      <c r="M2453" s="159" t="s">
        <v>14749</v>
      </c>
      <c r="N2453" s="159" t="s">
        <v>14750</v>
      </c>
      <c r="O2453" s="129">
        <v>1.0</v>
      </c>
      <c r="P2453" s="382" t="s">
        <v>14751</v>
      </c>
      <c r="Q2453" s="52" t="str">
        <f t="array" ref="Q2453"> if(iserror(MATCH(V2453, 'File Links'!C:C, 0)), "N/A", HYPERLINK(INDEX('File Links'!B:B, MATCH(P2453, 'File Links'!C:C, 0))))</f>
        <v>https://drive.google.com/file/d/1JjrD9NOW8xliYqnpBZzkTwq4qgfO4wNJ/view?usp=drivesdk</v>
      </c>
      <c r="R2453" s="159" t="s">
        <v>14432</v>
      </c>
      <c r="S2453" s="159" t="s">
        <v>14433</v>
      </c>
      <c r="T2453" s="68"/>
      <c r="U2453" s="129">
        <v>1.0</v>
      </c>
      <c r="V2453" s="382" t="s">
        <v>14434</v>
      </c>
      <c r="W2453" s="295" t="s">
        <v>209</v>
      </c>
      <c r="X2453" s="54" t="str">
        <f t="array" ref="X2453"> if(iserror(MATCH(V2453, 'File Links'!C:C, 0)), "N/A", HYPERLINK(INDEX('File Links'!B:B, MATCH(V2453, 'File Links'!C:C, 0))))</f>
        <v>https://drive.google.com/file/d/17mZvRs3ue7pXwqu8bmIDvgNdc95PGEcV/view?usp=drivesdk</v>
      </c>
      <c r="Y2453" s="68"/>
      <c r="Z2453" s="159" t="s">
        <v>1079</v>
      </c>
      <c r="AA2453" s="68" t="s">
        <v>12028</v>
      </c>
      <c r="AB2453" s="159" t="s">
        <v>14436</v>
      </c>
      <c r="AC2453" s="159" t="s">
        <v>14765</v>
      </c>
      <c r="AD2453" s="129" t="s">
        <v>14766</v>
      </c>
      <c r="AE2453" s="336" t="s">
        <v>14761</v>
      </c>
      <c r="AF2453" s="156">
        <v>194.0</v>
      </c>
      <c r="AG2453" s="336">
        <v>-0.34</v>
      </c>
      <c r="AH2453" s="68" t="s">
        <v>215</v>
      </c>
      <c r="AI2453" s="1210" t="s">
        <v>305</v>
      </c>
      <c r="AJ2453" s="336">
        <v>0.01</v>
      </c>
      <c r="AK2453" s="68" t="s">
        <v>135</v>
      </c>
      <c r="AL2453" s="125" t="s">
        <v>138</v>
      </c>
      <c r="AM2453" s="68" t="s">
        <v>137</v>
      </c>
      <c r="AN2453" s="68" t="s">
        <v>138</v>
      </c>
      <c r="AO2453" s="156">
        <v>481.0</v>
      </c>
      <c r="AP2453" s="501">
        <v>-0.1</v>
      </c>
      <c r="AQ2453" s="68" t="s">
        <v>215</v>
      </c>
      <c r="AR2453" s="68" t="s">
        <v>140</v>
      </c>
      <c r="AS2453" s="1787">
        <v>0.0331040111960726</v>
      </c>
      <c r="AT2453" s="1793" t="s">
        <v>172</v>
      </c>
      <c r="AU2453" s="1793" t="s">
        <v>136</v>
      </c>
      <c r="AV2453" s="68" t="s">
        <v>137</v>
      </c>
      <c r="AW2453" s="435" t="s">
        <v>14441</v>
      </c>
      <c r="AX2453" s="1632" t="s">
        <v>151</v>
      </c>
      <c r="AY2453" s="61" t="str">
        <f>IFERROR(__xludf.DUMMYFUNCTION("vlookup(BB2453,importrange(""https://docs.google.com/spreadsheets/d/1d2vevQ_7D_v35q4wCQ4RpQ_IPoTwEMB9Yp6ymwlPqew/edit?gid=984458430#gid=984458430"", ""'replication success'!A:K""), 11, FAlSE)"),"")</f>
        <v/>
      </c>
      <c r="AZ2453" s="61" t="str">
        <f>IFERROR(__xludf.DUMMYFUNCTION("vlookup(BB2453,importrange(""https://docs.google.com/spreadsheets/d/1d2vevQ_7D_v35q4wCQ4RpQ_IPoTwEMB9Yp6ymwlPqew/edit?gid=984458430#gid=984458430"", ""'replication success'!A:M""), 12, FAlSE)"),"")</f>
        <v/>
      </c>
      <c r="BA2453" s="61" t="str">
        <f>IFERROR(__xludf.DUMMYFUNCTION("vlookup(BB2453,importrange(""https://docs.google.com/spreadsheets/d/1d2vevQ_7D_v35q4wCQ4RpQ_IPoTwEMB9Yp6ymwlPqew/edit?gid=984458430#gid=984458430"", ""'replication success'!A:M""), 13, FAlSE)"),"abstract")</f>
        <v>abstract</v>
      </c>
      <c r="BB2453" s="61" t="str">
        <f>IFERROR(__xludf.DUMMYFUNCTION("REGEXREPLACE(G2453, ""_[a-z]{1,2}$"", """")"),"Soto")</f>
        <v>Soto</v>
      </c>
      <c r="BC2453" s="68"/>
      <c r="BD2453" s="62" t="s">
        <v>14755</v>
      </c>
    </row>
    <row r="2454">
      <c r="A2454" s="44">
        <v>2454.0</v>
      </c>
      <c r="B2454" s="129" t="s">
        <v>114</v>
      </c>
      <c r="C2454" s="62" t="s">
        <v>115</v>
      </c>
      <c r="D2454" s="62" t="s">
        <v>221</v>
      </c>
      <c r="F2454" s="68" t="s">
        <v>14767</v>
      </c>
      <c r="G2454" s="159" t="s">
        <v>14425</v>
      </c>
      <c r="H2454" s="159" t="s">
        <v>222</v>
      </c>
      <c r="I2454" s="152">
        <v>45763.0</v>
      </c>
      <c r="J2454" s="2126">
        <v>45849.0</v>
      </c>
      <c r="K2454" s="68" t="s">
        <v>14768</v>
      </c>
      <c r="L2454" s="129" t="s">
        <v>14758</v>
      </c>
      <c r="M2454" s="159" t="s">
        <v>14749</v>
      </c>
      <c r="N2454" s="159" t="s">
        <v>14750</v>
      </c>
      <c r="O2454" s="129">
        <v>1.0</v>
      </c>
      <c r="P2454" s="382" t="s">
        <v>14751</v>
      </c>
      <c r="Q2454" s="52" t="str">
        <f t="array" ref="Q2454"> if(iserror(MATCH(V2454, 'File Links'!C:C, 0)), "N/A", HYPERLINK(INDEX('File Links'!B:B, MATCH(P2454, 'File Links'!C:C, 0))))</f>
        <v>https://drive.google.com/file/d/1JjrD9NOW8xliYqnpBZzkTwq4qgfO4wNJ/view?usp=drivesdk</v>
      </c>
      <c r="R2454" s="159" t="s">
        <v>14432</v>
      </c>
      <c r="S2454" s="159" t="s">
        <v>14433</v>
      </c>
      <c r="T2454" s="68"/>
      <c r="U2454" s="129">
        <v>1.0</v>
      </c>
      <c r="V2454" s="382" t="s">
        <v>14434</v>
      </c>
      <c r="W2454" s="295" t="s">
        <v>209</v>
      </c>
      <c r="X2454" s="54" t="str">
        <f t="array" ref="X2454"> if(iserror(MATCH(V2454, 'File Links'!C:C, 0)), "N/A", HYPERLINK(INDEX('File Links'!B:B, MATCH(V2454, 'File Links'!C:C, 0))))</f>
        <v>https://drive.google.com/file/d/17mZvRs3ue7pXwqu8bmIDvgNdc95PGEcV/view?usp=drivesdk</v>
      </c>
      <c r="Y2454" s="68"/>
      <c r="Z2454" s="159" t="s">
        <v>1079</v>
      </c>
      <c r="AA2454" s="68" t="s">
        <v>12028</v>
      </c>
      <c r="AB2454" s="159" t="s">
        <v>14436</v>
      </c>
      <c r="AC2454" s="159" t="s">
        <v>14769</v>
      </c>
      <c r="AD2454" s="129" t="s">
        <v>14770</v>
      </c>
      <c r="AE2454" s="336" t="s">
        <v>14761</v>
      </c>
      <c r="AF2454" s="156">
        <v>194.0</v>
      </c>
      <c r="AG2454" s="336">
        <v>0.2</v>
      </c>
      <c r="AH2454" s="68" t="s">
        <v>215</v>
      </c>
      <c r="AI2454" s="1210" t="s">
        <v>305</v>
      </c>
      <c r="AJ2454" s="336">
        <v>0.01</v>
      </c>
      <c r="AK2454" s="68" t="s">
        <v>135</v>
      </c>
      <c r="AL2454" s="125" t="s">
        <v>138</v>
      </c>
      <c r="AM2454" s="68" t="s">
        <v>137</v>
      </c>
      <c r="AN2454" s="68" t="s">
        <v>138</v>
      </c>
      <c r="AO2454" s="156">
        <v>512.0</v>
      </c>
      <c r="AP2454" s="501">
        <v>0.25</v>
      </c>
      <c r="AQ2454" s="68" t="s">
        <v>215</v>
      </c>
      <c r="AR2454" s="68" t="s">
        <v>140</v>
      </c>
      <c r="AS2454" s="1791">
        <v>0.05</v>
      </c>
      <c r="AT2454" s="1793" t="s">
        <v>135</v>
      </c>
      <c r="AU2454" s="1793" t="s">
        <v>136</v>
      </c>
      <c r="AV2454" s="68" t="s">
        <v>137</v>
      </c>
      <c r="AW2454" s="435" t="s">
        <v>14441</v>
      </c>
      <c r="AX2454" s="1632" t="s">
        <v>151</v>
      </c>
      <c r="AY2454" s="61" t="str">
        <f>IFERROR(__xludf.DUMMYFUNCTION("vlookup(BB2454,importrange(""https://docs.google.com/spreadsheets/d/1d2vevQ_7D_v35q4wCQ4RpQ_IPoTwEMB9Yp6ymwlPqew/edit?gid=984458430#gid=984458430"", ""'replication success'!A:K""), 11, FAlSE)"),"")</f>
        <v/>
      </c>
      <c r="AZ2454" s="61" t="str">
        <f>IFERROR(__xludf.DUMMYFUNCTION("vlookup(BB2454,importrange(""https://docs.google.com/spreadsheets/d/1d2vevQ_7D_v35q4wCQ4RpQ_IPoTwEMB9Yp6ymwlPqew/edit?gid=984458430#gid=984458430"", ""'replication success'!A:M""), 12, FAlSE)"),"")</f>
        <v/>
      </c>
      <c r="BA2454" s="61" t="str">
        <f>IFERROR(__xludf.DUMMYFUNCTION("vlookup(BB2454,importrange(""https://docs.google.com/spreadsheets/d/1d2vevQ_7D_v35q4wCQ4RpQ_IPoTwEMB9Yp6ymwlPqew/edit?gid=984458430#gid=984458430"", ""'replication success'!A:M""), 13, FAlSE)"),"abstract")</f>
        <v>abstract</v>
      </c>
      <c r="BB2454" s="61" t="str">
        <f>IFERROR(__xludf.DUMMYFUNCTION("REGEXREPLACE(G2454, ""_[a-z]{1,2}$"", """")"),"Soto")</f>
        <v>Soto</v>
      </c>
      <c r="BC2454" s="68"/>
      <c r="BD2454" s="62" t="s">
        <v>14755</v>
      </c>
    </row>
    <row r="2455">
      <c r="A2455" s="354">
        <v>2455.0</v>
      </c>
      <c r="B2455" s="56" t="s">
        <v>114</v>
      </c>
      <c r="C2455" s="341" t="s">
        <v>115</v>
      </c>
      <c r="D2455" s="341" t="s">
        <v>221</v>
      </c>
      <c r="E2455" s="342"/>
      <c r="F2455" s="46" t="s">
        <v>14771</v>
      </c>
      <c r="G2455" s="360" t="s">
        <v>14425</v>
      </c>
      <c r="H2455" s="360" t="s">
        <v>222</v>
      </c>
      <c r="I2455" s="344">
        <v>45763.0</v>
      </c>
      <c r="J2455" s="2124">
        <v>45849.0</v>
      </c>
      <c r="K2455" s="46" t="s">
        <v>14772</v>
      </c>
      <c r="L2455" s="56" t="s">
        <v>14764</v>
      </c>
      <c r="M2455" s="360" t="s">
        <v>14749</v>
      </c>
      <c r="N2455" s="360" t="s">
        <v>14750</v>
      </c>
      <c r="O2455" s="56">
        <v>1.0</v>
      </c>
      <c r="P2455" s="360" t="s">
        <v>14751</v>
      </c>
      <c r="Q2455" s="104" t="str">
        <f t="array" ref="Q2455"> if(iserror(MATCH(V2455, 'File Links'!C:C, 0)), "N/A", HYPERLINK(INDEX('File Links'!B:B, MATCH(P2455, 'File Links'!C:C, 0))))</f>
        <v>https://drive.google.com/file/d/1JjrD9NOW8xliYqnpBZzkTwq4qgfO4wNJ/view?usp=drivesdk</v>
      </c>
      <c r="R2455" s="360" t="s">
        <v>14432</v>
      </c>
      <c r="S2455" s="360" t="s">
        <v>14433</v>
      </c>
      <c r="T2455" s="46"/>
      <c r="U2455" s="56">
        <v>1.0</v>
      </c>
      <c r="V2455" s="360" t="s">
        <v>14434</v>
      </c>
      <c r="W2455" s="56" t="s">
        <v>209</v>
      </c>
      <c r="X2455" s="54" t="str">
        <f t="array" ref="X2455"> if(iserror(MATCH(V2455, 'File Links'!C:C, 0)), "N/A", HYPERLINK(INDEX('File Links'!B:B, MATCH(V2455, 'File Links'!C:C, 0))))</f>
        <v>https://drive.google.com/file/d/17mZvRs3ue7pXwqu8bmIDvgNdc95PGEcV/view?usp=drivesdk</v>
      </c>
      <c r="Y2455" s="46"/>
      <c r="Z2455" s="360" t="s">
        <v>1079</v>
      </c>
      <c r="AA2455" s="68" t="s">
        <v>12028</v>
      </c>
      <c r="AB2455" s="360" t="s">
        <v>14436</v>
      </c>
      <c r="AC2455" s="360" t="s">
        <v>14773</v>
      </c>
      <c r="AD2455" s="56" t="s">
        <v>14753</v>
      </c>
      <c r="AE2455" s="55">
        <v>17.0</v>
      </c>
      <c r="AF2455" s="357">
        <v>194.0</v>
      </c>
      <c r="AG2455" s="385">
        <v>-0.26</v>
      </c>
      <c r="AH2455" s="46" t="s">
        <v>215</v>
      </c>
      <c r="AI2455" s="56" t="s">
        <v>305</v>
      </c>
      <c r="AJ2455" s="385">
        <v>0.01</v>
      </c>
      <c r="AK2455" s="46" t="s">
        <v>135</v>
      </c>
      <c r="AL2455" s="46" t="s">
        <v>138</v>
      </c>
      <c r="AM2455" s="46" t="s">
        <v>137</v>
      </c>
      <c r="AN2455" s="46" t="s">
        <v>138</v>
      </c>
      <c r="AO2455" s="357">
        <v>512.0</v>
      </c>
      <c r="AP2455" s="2125" t="s">
        <v>14774</v>
      </c>
      <c r="AQ2455" s="46" t="s">
        <v>215</v>
      </c>
      <c r="AR2455" s="46" t="s">
        <v>140</v>
      </c>
      <c r="AS2455" s="385">
        <v>0.05</v>
      </c>
      <c r="AT2455" s="46" t="s">
        <v>135</v>
      </c>
      <c r="AU2455" s="46" t="s">
        <v>136</v>
      </c>
      <c r="AV2455" s="46" t="s">
        <v>137</v>
      </c>
      <c r="AW2455" s="59" t="s">
        <v>14441</v>
      </c>
      <c r="AX2455" s="46" t="s">
        <v>151</v>
      </c>
      <c r="AY2455" s="49" t="str">
        <f>IFERROR(__xludf.DUMMYFUNCTION("vlookup(BB2455,importrange(""https://docs.google.com/spreadsheets/d/1d2vevQ_7D_v35q4wCQ4RpQ_IPoTwEMB9Yp6ymwlPqew/edit?gid=984458430#gid=984458430"", ""'replication success'!A:K""), 11, FAlSE)"),"")</f>
        <v/>
      </c>
      <c r="AZ2455" s="49" t="str">
        <f>IFERROR(__xludf.DUMMYFUNCTION("vlookup(BB2455,importrange(""https://docs.google.com/spreadsheets/d/1d2vevQ_7D_v35q4wCQ4RpQ_IPoTwEMB9Yp6ymwlPqew/edit?gid=984458430#gid=984458430"", ""'replication success'!A:M""), 12, FAlSE)"),"")</f>
        <v/>
      </c>
      <c r="BA2455" s="49" t="str">
        <f>IFERROR(__xludf.DUMMYFUNCTION("vlookup(BB2455,importrange(""https://docs.google.com/spreadsheets/d/1d2vevQ_7D_v35q4wCQ4RpQ_IPoTwEMB9Yp6ymwlPqew/edit?gid=984458430#gid=984458430"", ""'replication success'!A:M""), 13, FAlSE)"),"abstract")</f>
        <v>abstract</v>
      </c>
      <c r="BB2455" s="49" t="str">
        <f>IFERROR(__xludf.DUMMYFUNCTION("REGEXREPLACE(G2455, ""_[a-z]{1,2}$"", """")"),"Soto")</f>
        <v>Soto</v>
      </c>
      <c r="BC2455" s="46"/>
      <c r="BD2455" s="341" t="s">
        <v>14755</v>
      </c>
      <c r="BE2455" s="342"/>
      <c r="BF2455" s="342"/>
      <c r="BG2455" s="342"/>
      <c r="BH2455" s="342"/>
      <c r="BI2455" s="342"/>
      <c r="BJ2455" s="342"/>
      <c r="BK2455" s="342"/>
      <c r="BL2455" s="342"/>
      <c r="BM2455" s="342"/>
      <c r="BN2455" s="342"/>
      <c r="BO2455" s="342"/>
      <c r="BP2455" s="342"/>
      <c r="BQ2455" s="342"/>
      <c r="BR2455" s="342"/>
      <c r="BS2455" s="342"/>
      <c r="BT2455" s="342"/>
      <c r="BU2455" s="342"/>
      <c r="BV2455" s="342"/>
      <c r="BW2455" s="342"/>
      <c r="BX2455" s="342"/>
      <c r="BY2455" s="342"/>
      <c r="BZ2455" s="342"/>
      <c r="CA2455" s="342"/>
      <c r="CB2455" s="342"/>
      <c r="CC2455" s="342"/>
      <c r="CD2455" s="342"/>
      <c r="CE2455" s="342"/>
      <c r="CF2455" s="342"/>
      <c r="CG2455" s="342"/>
      <c r="CH2455" s="342"/>
      <c r="CI2455" s="342"/>
      <c r="CJ2455" s="342"/>
      <c r="CK2455" s="342"/>
      <c r="CL2455" s="342"/>
      <c r="CM2455" s="342"/>
      <c r="CN2455" s="342"/>
      <c r="CO2455" s="342"/>
      <c r="CP2455" s="342"/>
      <c r="CQ2455" s="342"/>
      <c r="CR2455" s="342"/>
      <c r="CS2455" s="342"/>
      <c r="CT2455" s="342"/>
      <c r="CU2455" s="342"/>
      <c r="CV2455" s="342"/>
      <c r="CW2455" s="342"/>
      <c r="CX2455" s="342"/>
      <c r="CY2455" s="342"/>
      <c r="CZ2455" s="342"/>
      <c r="DA2455" s="342"/>
      <c r="DB2455" s="342"/>
      <c r="DC2455" s="342"/>
      <c r="DD2455" s="342"/>
      <c r="DE2455" s="342"/>
      <c r="DF2455" s="342"/>
      <c r="DG2455" s="342"/>
      <c r="DH2455" s="342"/>
      <c r="DI2455" s="342"/>
      <c r="DJ2455" s="342"/>
      <c r="DK2455" s="342"/>
      <c r="DL2455" s="342"/>
    </row>
    <row r="2456">
      <c r="A2456" s="2119">
        <v>2456.0</v>
      </c>
      <c r="B2456" s="1800" t="s">
        <v>114</v>
      </c>
      <c r="C2456" s="1631" t="s">
        <v>115</v>
      </c>
      <c r="D2456" s="1631" t="s">
        <v>221</v>
      </c>
      <c r="E2456" s="1123"/>
      <c r="F2456" s="1632" t="s">
        <v>14775</v>
      </c>
      <c r="G2456" s="1634" t="s">
        <v>14425</v>
      </c>
      <c r="H2456" s="1634" t="s">
        <v>222</v>
      </c>
      <c r="I2456" s="2120">
        <v>45763.0</v>
      </c>
      <c r="J2456" s="2127">
        <v>45849.0</v>
      </c>
      <c r="K2456" s="1632" t="s">
        <v>14776</v>
      </c>
      <c r="L2456" s="1800" t="s">
        <v>14777</v>
      </c>
      <c r="M2456" s="1634" t="s">
        <v>14778</v>
      </c>
      <c r="N2456" s="1634" t="s">
        <v>14779</v>
      </c>
      <c r="O2456" s="1800">
        <v>1.0</v>
      </c>
      <c r="P2456" s="1634" t="s">
        <v>14780</v>
      </c>
      <c r="Q2456" s="2121" t="str">
        <f t="array" ref="Q2456"> if(iserror(MATCH(V2456, 'File Links'!C:C, 0)), "N/A", HYPERLINK(INDEX('File Links'!B:B, MATCH(P2456, 'File Links'!C:C, 0))))</f>
        <v>https://drive.google.com/file/d/1xuFoPe4NoIX58JM0wx-8_dEId51aZij5/view?usp=drivesdk</v>
      </c>
      <c r="R2456" s="1634" t="s">
        <v>14432</v>
      </c>
      <c r="S2456" s="1634" t="s">
        <v>14433</v>
      </c>
      <c r="T2456" s="1632"/>
      <c r="U2456" s="1800">
        <v>1.0</v>
      </c>
      <c r="V2456" s="1634" t="s">
        <v>14434</v>
      </c>
      <c r="W2456" s="1800" t="s">
        <v>209</v>
      </c>
      <c r="X2456" s="2122" t="str">
        <f t="array" ref="X2456"> if(iserror(MATCH(V2456, 'File Links'!C:C, 0)), "N/A", HYPERLINK(INDEX('File Links'!B:B, MATCH(V2456, 'File Links'!C:C, 0))))</f>
        <v>https://drive.google.com/file/d/17mZvRs3ue7pXwqu8bmIDvgNdc95PGEcV/view?usp=drivesdk</v>
      </c>
      <c r="Y2456" s="1800" t="s">
        <v>14781</v>
      </c>
      <c r="Z2456" s="1634" t="s">
        <v>1079</v>
      </c>
      <c r="AA2456" s="1632" t="s">
        <v>12028</v>
      </c>
      <c r="AB2456" s="1634" t="s">
        <v>14436</v>
      </c>
      <c r="AC2456" s="1634" t="s">
        <v>14782</v>
      </c>
      <c r="AD2456" s="1632" t="s">
        <v>14783</v>
      </c>
      <c r="AE2456" s="1632" t="s">
        <v>132</v>
      </c>
      <c r="AF2456" s="1565">
        <v>859.0</v>
      </c>
      <c r="AG2456" s="1825">
        <v>0.19</v>
      </c>
      <c r="AH2456" s="1632" t="s">
        <v>215</v>
      </c>
      <c r="AI2456" s="1632" t="s">
        <v>132</v>
      </c>
      <c r="AJ2456" s="1632" t="s">
        <v>2382</v>
      </c>
      <c r="AK2456" s="1632" t="s">
        <v>172</v>
      </c>
      <c r="AL2456" s="1632" t="s">
        <v>136</v>
      </c>
      <c r="AM2456" s="1632" t="s">
        <v>137</v>
      </c>
      <c r="AN2456" s="1632" t="s">
        <v>138</v>
      </c>
      <c r="AO2456" s="1565">
        <v>838.0</v>
      </c>
      <c r="AP2456" s="1825">
        <v>-0.02</v>
      </c>
      <c r="AQ2456" s="1632" t="s">
        <v>215</v>
      </c>
      <c r="AR2456" s="1632" t="s">
        <v>140</v>
      </c>
      <c r="AS2456" s="1632" t="s">
        <v>2382</v>
      </c>
      <c r="AT2456" s="1632" t="s">
        <v>172</v>
      </c>
      <c r="AU2456" s="1632" t="s">
        <v>136</v>
      </c>
      <c r="AV2456" s="1632" t="s">
        <v>137</v>
      </c>
      <c r="AW2456" s="2123" t="s">
        <v>14441</v>
      </c>
      <c r="AX2456" s="1632" t="s">
        <v>143</v>
      </c>
      <c r="AY2456" s="2128" t="str">
        <f>IFERROR(__xludf.DUMMYFUNCTION("vlookup(BB2456,importrange(""https://docs.google.com/spreadsheets/d/1d2vevQ_7D_v35q4wCQ4RpQ_IPoTwEMB9Yp6ymwlPqew/edit?gid=984458430#gid=984458430"", ""'replication success'!A:K""), 11, FAlSE)"),"")</f>
        <v/>
      </c>
      <c r="AZ2456" s="2128" t="str">
        <f>IFERROR(__xludf.DUMMYFUNCTION("vlookup(BB2456,importrange(""https://docs.google.com/spreadsheets/d/1d2vevQ_7D_v35q4wCQ4RpQ_IPoTwEMB9Yp6ymwlPqew/edit?gid=984458430#gid=984458430"", ""'replication success'!A:M""), 12, FAlSE)"),"")</f>
        <v/>
      </c>
      <c r="BA2456" s="2128" t="str">
        <f>IFERROR(__xludf.DUMMYFUNCTION("vlookup(BB2456,importrange(""https://docs.google.com/spreadsheets/d/1d2vevQ_7D_v35q4wCQ4RpQ_IPoTwEMB9Yp6ymwlPqew/edit?gid=984458430#gid=984458430"", ""'replication success'!A:M""), 13, FAlSE)"),"abstract")</f>
        <v>abstract</v>
      </c>
      <c r="BB2456" s="2128" t="str">
        <f>IFERROR(__xludf.DUMMYFUNCTION("REGEXREPLACE(G2456, ""_[a-z]{1,2}$"", """")"),"Soto")</f>
        <v>Soto</v>
      </c>
      <c r="BC2456" s="1632"/>
      <c r="BD2456" s="1631" t="s">
        <v>1270</v>
      </c>
      <c r="BE2456" s="1123"/>
      <c r="BF2456" s="1123"/>
      <c r="BG2456" s="1123"/>
      <c r="BH2456" s="1123"/>
      <c r="BI2456" s="1123"/>
      <c r="BJ2456" s="1123"/>
      <c r="BK2456" s="1123"/>
      <c r="BL2456" s="1123"/>
      <c r="BM2456" s="1123"/>
      <c r="BN2456" s="1123"/>
      <c r="BO2456" s="1123"/>
      <c r="BP2456" s="1123"/>
      <c r="BQ2456" s="1123"/>
      <c r="BR2456" s="1123"/>
      <c r="BS2456" s="1123"/>
      <c r="BT2456" s="1123"/>
      <c r="BU2456" s="1123"/>
      <c r="BV2456" s="1123"/>
      <c r="BW2456" s="1123"/>
      <c r="BX2456" s="1123"/>
      <c r="BY2456" s="1123"/>
      <c r="BZ2456" s="1123"/>
      <c r="CA2456" s="1123"/>
      <c r="CB2456" s="1123"/>
      <c r="CC2456" s="1123"/>
      <c r="CD2456" s="1123"/>
      <c r="CE2456" s="1123"/>
      <c r="CF2456" s="1123"/>
      <c r="CG2456" s="1123"/>
      <c r="CH2456" s="1123"/>
      <c r="CI2456" s="1123"/>
      <c r="CJ2456" s="1123"/>
      <c r="CK2456" s="1123"/>
      <c r="CL2456" s="1123"/>
      <c r="CM2456" s="1123"/>
      <c r="CN2456" s="1123"/>
      <c r="CO2456" s="1123"/>
      <c r="CP2456" s="1123"/>
      <c r="CQ2456" s="1123"/>
      <c r="CR2456" s="1123"/>
      <c r="CS2456" s="1123"/>
      <c r="CT2456" s="1123"/>
      <c r="CU2456" s="1123"/>
      <c r="CV2456" s="1123"/>
      <c r="CW2456" s="1123"/>
      <c r="CX2456" s="1123"/>
      <c r="CY2456" s="1123"/>
      <c r="CZ2456" s="1123"/>
      <c r="DA2456" s="1123"/>
      <c r="DB2456" s="1123"/>
      <c r="DC2456" s="1123"/>
      <c r="DD2456" s="1123"/>
      <c r="DE2456" s="1123"/>
      <c r="DF2456" s="1123"/>
      <c r="DG2456" s="1123"/>
      <c r="DH2456" s="1123"/>
      <c r="DI2456" s="1123"/>
      <c r="DJ2456" s="1123"/>
      <c r="DK2456" s="1123"/>
      <c r="DL2456" s="1123"/>
    </row>
    <row r="2457">
      <c r="A2457" s="2119">
        <v>2457.0</v>
      </c>
      <c r="B2457" s="1800" t="s">
        <v>114</v>
      </c>
      <c r="C2457" s="1631" t="s">
        <v>115</v>
      </c>
      <c r="D2457" s="1631" t="s">
        <v>221</v>
      </c>
      <c r="E2457" s="1123"/>
      <c r="F2457" s="1632" t="s">
        <v>14784</v>
      </c>
      <c r="G2457" s="1634" t="s">
        <v>14425</v>
      </c>
      <c r="H2457" s="1634" t="s">
        <v>222</v>
      </c>
      <c r="I2457" s="2120">
        <v>45763.0</v>
      </c>
      <c r="J2457" s="2127">
        <v>45849.0</v>
      </c>
      <c r="K2457" s="1632" t="s">
        <v>14785</v>
      </c>
      <c r="L2457" s="1800" t="s">
        <v>14777</v>
      </c>
      <c r="M2457" s="1634" t="s">
        <v>14778</v>
      </c>
      <c r="N2457" s="1634" t="s">
        <v>14779</v>
      </c>
      <c r="O2457" s="1800">
        <v>1.0</v>
      </c>
      <c r="P2457" s="1634" t="s">
        <v>14780</v>
      </c>
      <c r="Q2457" s="2121" t="str">
        <f t="array" ref="Q2457"> if(iserror(MATCH(V2457, 'File Links'!C:C, 0)), "N/A", HYPERLINK(INDEX('File Links'!B:B, MATCH(P2457, 'File Links'!C:C, 0))))</f>
        <v>https://drive.google.com/file/d/1xuFoPe4NoIX58JM0wx-8_dEId51aZij5/view?usp=drivesdk</v>
      </c>
      <c r="R2457" s="1634" t="s">
        <v>14432</v>
      </c>
      <c r="S2457" s="1634" t="s">
        <v>14433</v>
      </c>
      <c r="T2457" s="1632"/>
      <c r="U2457" s="1800">
        <v>1.0</v>
      </c>
      <c r="V2457" s="1634" t="s">
        <v>14434</v>
      </c>
      <c r="W2457" s="1800" t="s">
        <v>209</v>
      </c>
      <c r="X2457" s="2122" t="str">
        <f t="array" ref="X2457"> if(iserror(MATCH(V2457, 'File Links'!C:C, 0)), "N/A", HYPERLINK(INDEX('File Links'!B:B, MATCH(V2457, 'File Links'!C:C, 0))))</f>
        <v>https://drive.google.com/file/d/17mZvRs3ue7pXwqu8bmIDvgNdc95PGEcV/view?usp=drivesdk</v>
      </c>
      <c r="Y2457" s="1800" t="s">
        <v>14786</v>
      </c>
      <c r="Z2457" s="1634" t="s">
        <v>1079</v>
      </c>
      <c r="AA2457" s="1632" t="s">
        <v>12028</v>
      </c>
      <c r="AB2457" s="1634" t="s">
        <v>14436</v>
      </c>
      <c r="AC2457" s="1634" t="s">
        <v>14787</v>
      </c>
      <c r="AD2457" s="1632" t="s">
        <v>14787</v>
      </c>
      <c r="AE2457" s="1632" t="s">
        <v>132</v>
      </c>
      <c r="AF2457" s="1565">
        <v>859.0</v>
      </c>
      <c r="AG2457" s="1825">
        <v>0.18</v>
      </c>
      <c r="AH2457" s="1632" t="s">
        <v>215</v>
      </c>
      <c r="AI2457" s="1632" t="s">
        <v>132</v>
      </c>
      <c r="AJ2457" s="1825">
        <v>0.05</v>
      </c>
      <c r="AK2457" s="1632" t="s">
        <v>135</v>
      </c>
      <c r="AL2457" s="1632" t="s">
        <v>136</v>
      </c>
      <c r="AM2457" s="1632" t="s">
        <v>137</v>
      </c>
      <c r="AN2457" s="1632" t="s">
        <v>138</v>
      </c>
      <c r="AO2457" s="1565">
        <v>944.0</v>
      </c>
      <c r="AP2457" s="1825">
        <v>0.17</v>
      </c>
      <c r="AQ2457" s="1632" t="s">
        <v>215</v>
      </c>
      <c r="AR2457" s="1632" t="s">
        <v>140</v>
      </c>
      <c r="AS2457" s="1825">
        <v>0.05</v>
      </c>
      <c r="AT2457" s="1632" t="s">
        <v>135</v>
      </c>
      <c r="AU2457" s="1632" t="s">
        <v>136</v>
      </c>
      <c r="AV2457" s="1632" t="s">
        <v>137</v>
      </c>
      <c r="AW2457" s="2123" t="s">
        <v>14441</v>
      </c>
      <c r="AX2457" s="1632" t="s">
        <v>143</v>
      </c>
      <c r="AY2457" s="2128" t="str">
        <f>IFERROR(__xludf.DUMMYFUNCTION("vlookup(BB2457,importrange(""https://docs.google.com/spreadsheets/d/1d2vevQ_7D_v35q4wCQ4RpQ_IPoTwEMB9Yp6ymwlPqew/edit?gid=984458430#gid=984458430"", ""'replication success'!A:K""), 11, FAlSE)"),"")</f>
        <v/>
      </c>
      <c r="AZ2457" s="2128" t="str">
        <f>IFERROR(__xludf.DUMMYFUNCTION("vlookup(BB2457,importrange(""https://docs.google.com/spreadsheets/d/1d2vevQ_7D_v35q4wCQ4RpQ_IPoTwEMB9Yp6ymwlPqew/edit?gid=984458430#gid=984458430"", ""'replication success'!A:M""), 12, FAlSE)"),"")</f>
        <v/>
      </c>
      <c r="BA2457" s="2128" t="str">
        <f>IFERROR(__xludf.DUMMYFUNCTION("vlookup(BB2457,importrange(""https://docs.google.com/spreadsheets/d/1d2vevQ_7D_v35q4wCQ4RpQ_IPoTwEMB9Yp6ymwlPqew/edit?gid=984458430#gid=984458430"", ""'replication success'!A:M""), 13, FAlSE)"),"abstract")</f>
        <v>abstract</v>
      </c>
      <c r="BB2457" s="2128" t="str">
        <f>IFERROR(__xludf.DUMMYFUNCTION("REGEXREPLACE(G2457, ""_[a-z]{1,2}$"", """")"),"Soto")</f>
        <v>Soto</v>
      </c>
      <c r="BC2457" s="1632"/>
      <c r="BD2457" s="1631" t="s">
        <v>1270</v>
      </c>
      <c r="BE2457" s="1123"/>
      <c r="BF2457" s="1123"/>
      <c r="BG2457" s="1123"/>
      <c r="BH2457" s="1123"/>
      <c r="BI2457" s="1123"/>
      <c r="BJ2457" s="1123"/>
      <c r="BK2457" s="1123"/>
      <c r="BL2457" s="1123"/>
      <c r="BM2457" s="1123"/>
      <c r="BN2457" s="1123"/>
      <c r="BO2457" s="1123"/>
      <c r="BP2457" s="1123"/>
      <c r="BQ2457" s="1123"/>
      <c r="BR2457" s="1123"/>
      <c r="BS2457" s="1123"/>
      <c r="BT2457" s="1123"/>
      <c r="BU2457" s="1123"/>
      <c r="BV2457" s="1123"/>
      <c r="BW2457" s="1123"/>
      <c r="BX2457" s="1123"/>
      <c r="BY2457" s="1123"/>
      <c r="BZ2457" s="1123"/>
      <c r="CA2457" s="1123"/>
      <c r="CB2457" s="1123"/>
      <c r="CC2457" s="1123"/>
      <c r="CD2457" s="1123"/>
      <c r="CE2457" s="1123"/>
      <c r="CF2457" s="1123"/>
      <c r="CG2457" s="1123"/>
      <c r="CH2457" s="1123"/>
      <c r="CI2457" s="1123"/>
      <c r="CJ2457" s="1123"/>
      <c r="CK2457" s="1123"/>
      <c r="CL2457" s="1123"/>
      <c r="CM2457" s="1123"/>
      <c r="CN2457" s="1123"/>
      <c r="CO2457" s="1123"/>
      <c r="CP2457" s="1123"/>
      <c r="CQ2457" s="1123"/>
      <c r="CR2457" s="1123"/>
      <c r="CS2457" s="1123"/>
      <c r="CT2457" s="1123"/>
      <c r="CU2457" s="1123"/>
      <c r="CV2457" s="1123"/>
      <c r="CW2457" s="1123"/>
      <c r="CX2457" s="1123"/>
      <c r="CY2457" s="1123"/>
      <c r="CZ2457" s="1123"/>
      <c r="DA2457" s="1123"/>
      <c r="DB2457" s="1123"/>
      <c r="DC2457" s="1123"/>
      <c r="DD2457" s="1123"/>
      <c r="DE2457" s="1123"/>
      <c r="DF2457" s="1123"/>
      <c r="DG2457" s="1123"/>
      <c r="DH2457" s="1123"/>
      <c r="DI2457" s="1123"/>
      <c r="DJ2457" s="1123"/>
      <c r="DK2457" s="1123"/>
      <c r="DL2457" s="1123"/>
    </row>
    <row r="2458">
      <c r="A2458" s="2119">
        <v>2458.0</v>
      </c>
      <c r="B2458" s="1800" t="s">
        <v>114</v>
      </c>
      <c r="C2458" s="1631" t="s">
        <v>115</v>
      </c>
      <c r="D2458" s="1631" t="s">
        <v>221</v>
      </c>
      <c r="E2458" s="1123"/>
      <c r="F2458" s="1632" t="s">
        <v>14788</v>
      </c>
      <c r="G2458" s="1634" t="s">
        <v>14425</v>
      </c>
      <c r="H2458" s="1634" t="s">
        <v>222</v>
      </c>
      <c r="I2458" s="2120">
        <v>45763.0</v>
      </c>
      <c r="J2458" s="2127">
        <v>45849.0</v>
      </c>
      <c r="K2458" s="1632" t="s">
        <v>14789</v>
      </c>
      <c r="L2458" s="1800" t="s">
        <v>14790</v>
      </c>
      <c r="M2458" s="1634" t="s">
        <v>14778</v>
      </c>
      <c r="N2458" s="1634" t="s">
        <v>14779</v>
      </c>
      <c r="O2458" s="1800">
        <v>1.0</v>
      </c>
      <c r="P2458" s="1634" t="s">
        <v>14780</v>
      </c>
      <c r="Q2458" s="2121" t="str">
        <f t="array" ref="Q2458"> if(iserror(MATCH(V2458, 'File Links'!C:C, 0)), "N/A", HYPERLINK(INDEX('File Links'!B:B, MATCH(P2458, 'File Links'!C:C, 0))))</f>
        <v>https://drive.google.com/file/d/1xuFoPe4NoIX58JM0wx-8_dEId51aZij5/view?usp=drivesdk</v>
      </c>
      <c r="R2458" s="1634" t="s">
        <v>14432</v>
      </c>
      <c r="S2458" s="1634" t="s">
        <v>14433</v>
      </c>
      <c r="T2458" s="1632"/>
      <c r="U2458" s="1800">
        <v>1.0</v>
      </c>
      <c r="V2458" s="1634" t="s">
        <v>14434</v>
      </c>
      <c r="W2458" s="1800" t="s">
        <v>209</v>
      </c>
      <c r="X2458" s="2122" t="str">
        <f t="array" ref="X2458"> if(iserror(MATCH(V2458, 'File Links'!C:C, 0)), "N/A", HYPERLINK(INDEX('File Links'!B:B, MATCH(V2458, 'File Links'!C:C, 0))))</f>
        <v>https://drive.google.com/file/d/17mZvRs3ue7pXwqu8bmIDvgNdc95PGEcV/view?usp=drivesdk</v>
      </c>
      <c r="Y2458" s="1632"/>
      <c r="Z2458" s="1634" t="s">
        <v>1079</v>
      </c>
      <c r="AA2458" s="1632" t="s">
        <v>12028</v>
      </c>
      <c r="AB2458" s="1634" t="s">
        <v>14436</v>
      </c>
      <c r="AC2458" s="1634" t="s">
        <v>14791</v>
      </c>
      <c r="AD2458" s="1800" t="s">
        <v>14792</v>
      </c>
      <c r="AE2458" s="1800" t="s">
        <v>140</v>
      </c>
      <c r="AF2458" s="1565">
        <v>859.0</v>
      </c>
      <c r="AG2458" s="2129" t="s">
        <v>14793</v>
      </c>
      <c r="AH2458" s="1632" t="s">
        <v>215</v>
      </c>
      <c r="AI2458" s="1800" t="s">
        <v>140</v>
      </c>
      <c r="AJ2458" s="1825">
        <v>0.01</v>
      </c>
      <c r="AK2458" s="1632" t="s">
        <v>135</v>
      </c>
      <c r="AL2458" s="1632" t="s">
        <v>138</v>
      </c>
      <c r="AM2458" s="1632" t="s">
        <v>137</v>
      </c>
      <c r="AN2458" s="1632" t="s">
        <v>138</v>
      </c>
      <c r="AO2458" s="1565">
        <v>944.0</v>
      </c>
      <c r="AP2458" s="1803">
        <v>-0.33</v>
      </c>
      <c r="AQ2458" s="1632" t="s">
        <v>215</v>
      </c>
      <c r="AR2458" s="1632" t="s">
        <v>140</v>
      </c>
      <c r="AS2458" s="2130">
        <v>4.92862810277852E-25</v>
      </c>
      <c r="AT2458" s="1632" t="s">
        <v>172</v>
      </c>
      <c r="AU2458" s="1632" t="s">
        <v>136</v>
      </c>
      <c r="AV2458" s="1632" t="s">
        <v>137</v>
      </c>
      <c r="AW2458" s="2123" t="s">
        <v>14441</v>
      </c>
      <c r="AX2458" s="1632" t="s">
        <v>143</v>
      </c>
      <c r="AY2458" s="2128" t="str">
        <f>IFERROR(__xludf.DUMMYFUNCTION("vlookup(BB2458,importrange(""https://docs.google.com/spreadsheets/d/1d2vevQ_7D_v35q4wCQ4RpQ_IPoTwEMB9Yp6ymwlPqew/edit?gid=984458430#gid=984458430"", ""'replication success'!A:K""), 11, FAlSE)"),"")</f>
        <v/>
      </c>
      <c r="AZ2458" s="2128" t="str">
        <f>IFERROR(__xludf.DUMMYFUNCTION("vlookup(BB2458,importrange(""https://docs.google.com/spreadsheets/d/1d2vevQ_7D_v35q4wCQ4RpQ_IPoTwEMB9Yp6ymwlPqew/edit?gid=984458430#gid=984458430"", ""'replication success'!A:M""), 12, FAlSE)"),"")</f>
        <v/>
      </c>
      <c r="BA2458" s="2128" t="str">
        <f>IFERROR(__xludf.DUMMYFUNCTION("vlookup(BB2458,importrange(""https://docs.google.com/spreadsheets/d/1d2vevQ_7D_v35q4wCQ4RpQ_IPoTwEMB9Yp6ymwlPqew/edit?gid=984458430#gid=984458430"", ""'replication success'!A:M""), 13, FAlSE)"),"abstract")</f>
        <v>abstract</v>
      </c>
      <c r="BB2458" s="2128" t="str">
        <f>IFERROR(__xludf.DUMMYFUNCTION("REGEXREPLACE(G2458, ""_[a-z]{1,2}$"", """")"),"Soto")</f>
        <v>Soto</v>
      </c>
      <c r="BC2458" s="1632"/>
      <c r="BD2458" s="1631" t="s">
        <v>1270</v>
      </c>
      <c r="BE2458" s="1123"/>
      <c r="BF2458" s="1123"/>
      <c r="BG2458" s="1123"/>
      <c r="BH2458" s="1123"/>
      <c r="BI2458" s="1123"/>
      <c r="BJ2458" s="1123"/>
      <c r="BK2458" s="1123"/>
      <c r="BL2458" s="1123"/>
      <c r="BM2458" s="1123"/>
      <c r="BN2458" s="1123"/>
      <c r="BO2458" s="1123"/>
      <c r="BP2458" s="1123"/>
      <c r="BQ2458" s="1123"/>
      <c r="BR2458" s="1123"/>
      <c r="BS2458" s="1123"/>
      <c r="BT2458" s="1123"/>
      <c r="BU2458" s="1123"/>
      <c r="BV2458" s="1123"/>
      <c r="BW2458" s="1123"/>
      <c r="BX2458" s="1123"/>
      <c r="BY2458" s="1123"/>
      <c r="BZ2458" s="1123"/>
      <c r="CA2458" s="1123"/>
      <c r="CB2458" s="1123"/>
      <c r="CC2458" s="1123"/>
      <c r="CD2458" s="1123"/>
      <c r="CE2458" s="1123"/>
      <c r="CF2458" s="1123"/>
      <c r="CG2458" s="1123"/>
      <c r="CH2458" s="1123"/>
      <c r="CI2458" s="1123"/>
      <c r="CJ2458" s="1123"/>
      <c r="CK2458" s="1123"/>
      <c r="CL2458" s="1123"/>
      <c r="CM2458" s="1123"/>
      <c r="CN2458" s="1123"/>
      <c r="CO2458" s="1123"/>
      <c r="CP2458" s="1123"/>
      <c r="CQ2458" s="1123"/>
      <c r="CR2458" s="1123"/>
      <c r="CS2458" s="1123"/>
      <c r="CT2458" s="1123"/>
      <c r="CU2458" s="1123"/>
      <c r="CV2458" s="1123"/>
      <c r="CW2458" s="1123"/>
      <c r="CX2458" s="1123"/>
      <c r="CY2458" s="1123"/>
      <c r="CZ2458" s="1123"/>
      <c r="DA2458" s="1123"/>
      <c r="DB2458" s="1123"/>
      <c r="DC2458" s="1123"/>
      <c r="DD2458" s="1123"/>
      <c r="DE2458" s="1123"/>
      <c r="DF2458" s="1123"/>
      <c r="DG2458" s="1123"/>
      <c r="DH2458" s="1123"/>
      <c r="DI2458" s="1123"/>
      <c r="DJ2458" s="1123"/>
      <c r="DK2458" s="1123"/>
      <c r="DL2458" s="1123"/>
    </row>
    <row r="2459">
      <c r="A2459" s="354">
        <v>2459.0</v>
      </c>
      <c r="B2459" s="56" t="s">
        <v>114</v>
      </c>
      <c r="C2459" s="341" t="s">
        <v>115</v>
      </c>
      <c r="D2459" s="341" t="s">
        <v>221</v>
      </c>
      <c r="E2459" s="342"/>
      <c r="F2459" s="46" t="s">
        <v>14794</v>
      </c>
      <c r="G2459" s="360" t="s">
        <v>14425</v>
      </c>
      <c r="H2459" s="360" t="s">
        <v>222</v>
      </c>
      <c r="I2459" s="344">
        <v>45764.0</v>
      </c>
      <c r="J2459" s="2124">
        <v>45849.0</v>
      </c>
      <c r="K2459" s="46"/>
      <c r="L2459" s="56" t="s">
        <v>14795</v>
      </c>
      <c r="M2459" s="360" t="s">
        <v>14796</v>
      </c>
      <c r="N2459" s="360" t="s">
        <v>14797</v>
      </c>
      <c r="O2459" s="56">
        <v>1.0</v>
      </c>
      <c r="P2459" s="360" t="s">
        <v>14798</v>
      </c>
      <c r="Q2459" s="104" t="str">
        <f t="array" ref="Q2459"> if(iserror(MATCH(V2459, 'File Links'!C:C, 0)), "N/A", HYPERLINK(INDEX('File Links'!B:B, MATCH(P2459, 'File Links'!C:C, 0))))</f>
        <v>https://drive.google.com/file/d/1Wzsg5t70C5nm9ICa1m7pvYuf0xZ022FB/view?usp=drivesdk</v>
      </c>
      <c r="R2459" s="360" t="s">
        <v>14432</v>
      </c>
      <c r="S2459" s="360" t="s">
        <v>14433</v>
      </c>
      <c r="T2459" s="46"/>
      <c r="U2459" s="56">
        <v>1.0</v>
      </c>
      <c r="V2459" s="360" t="s">
        <v>14434</v>
      </c>
      <c r="W2459" s="56" t="s">
        <v>209</v>
      </c>
      <c r="X2459" s="54" t="str">
        <f t="array" ref="X2459"> if(iserror(MATCH(V2459, 'File Links'!C:C, 0)), "N/A", HYPERLINK(INDEX('File Links'!B:B, MATCH(V2459, 'File Links'!C:C, 0))))</f>
        <v>https://drive.google.com/file/d/17mZvRs3ue7pXwqu8bmIDvgNdc95PGEcV/view?usp=drivesdk</v>
      </c>
      <c r="Y2459" s="46"/>
      <c r="Z2459" s="360" t="s">
        <v>1079</v>
      </c>
      <c r="AA2459" s="46" t="s">
        <v>12028</v>
      </c>
      <c r="AB2459" s="360" t="s">
        <v>14436</v>
      </c>
      <c r="AC2459" s="360" t="s">
        <v>14799</v>
      </c>
      <c r="AD2459" s="56" t="s">
        <v>138</v>
      </c>
      <c r="AE2459" s="56" t="s">
        <v>138</v>
      </c>
      <c r="AF2459" s="357">
        <v>424.0</v>
      </c>
      <c r="AG2459" s="341">
        <v>-0.35</v>
      </c>
      <c r="AH2459" s="1632" t="s">
        <v>215</v>
      </c>
      <c r="AI2459" s="56" t="s">
        <v>14800</v>
      </c>
      <c r="AJ2459" s="56" t="s">
        <v>138</v>
      </c>
      <c r="AK2459" s="46" t="s">
        <v>138</v>
      </c>
      <c r="AL2459" s="46" t="s">
        <v>138</v>
      </c>
      <c r="AM2459" s="46" t="s">
        <v>137</v>
      </c>
      <c r="AN2459" s="46" t="s">
        <v>138</v>
      </c>
      <c r="AO2459" s="357">
        <v>1549.0</v>
      </c>
      <c r="AP2459" s="55">
        <v>-0.32</v>
      </c>
      <c r="AQ2459" s="46" t="s">
        <v>215</v>
      </c>
      <c r="AR2459" s="56" t="s">
        <v>1042</v>
      </c>
      <c r="AS2459" s="385">
        <v>0.05</v>
      </c>
      <c r="AT2459" s="46" t="s">
        <v>135</v>
      </c>
      <c r="AU2459" s="46" t="s">
        <v>136</v>
      </c>
      <c r="AV2459" s="46" t="s">
        <v>137</v>
      </c>
      <c r="AW2459" s="59" t="s">
        <v>14441</v>
      </c>
      <c r="AX2459" s="46" t="s">
        <v>151</v>
      </c>
      <c r="AY2459" s="49" t="str">
        <f>IFERROR(__xludf.DUMMYFUNCTION("vlookup(BB2459,importrange(""https://docs.google.com/spreadsheets/d/1d2vevQ_7D_v35q4wCQ4RpQ_IPoTwEMB9Yp6ymwlPqew/edit?gid=984458430#gid=984458430"", ""'replication success'!A:K""), 11, FAlSE)"),"")</f>
        <v/>
      </c>
      <c r="AZ2459" s="49" t="str">
        <f>IFERROR(__xludf.DUMMYFUNCTION("vlookup(BB2459,importrange(""https://docs.google.com/spreadsheets/d/1d2vevQ_7D_v35q4wCQ4RpQ_IPoTwEMB9Yp6ymwlPqew/edit?gid=984458430#gid=984458430"", ""'replication success'!A:M""), 12, FAlSE)"),"")</f>
        <v/>
      </c>
      <c r="BA2459" s="49" t="str">
        <f>IFERROR(__xludf.DUMMYFUNCTION("vlookup(BB2459,importrange(""https://docs.google.com/spreadsheets/d/1d2vevQ_7D_v35q4wCQ4RpQ_IPoTwEMB9Yp6ymwlPqew/edit?gid=984458430#gid=984458430"", ""'replication success'!A:M""), 13, FAlSE)"),"abstract")</f>
        <v>abstract</v>
      </c>
      <c r="BB2459" s="49" t="str">
        <f>IFERROR(__xludf.DUMMYFUNCTION("REGEXREPLACE(G2459, ""_[a-z]{1,2}$"", """")"),"Soto")</f>
        <v>Soto</v>
      </c>
      <c r="BC2459" s="46"/>
      <c r="BD2459" s="341" t="s">
        <v>1270</v>
      </c>
      <c r="BE2459" s="342"/>
      <c r="BF2459" s="342"/>
      <c r="BG2459" s="342"/>
      <c r="BH2459" s="342"/>
      <c r="BI2459" s="342"/>
      <c r="BJ2459" s="342"/>
      <c r="BK2459" s="342"/>
      <c r="BL2459" s="342"/>
      <c r="BM2459" s="342"/>
      <c r="BN2459" s="342"/>
      <c r="BO2459" s="342"/>
      <c r="BP2459" s="342"/>
      <c r="BQ2459" s="342"/>
      <c r="BR2459" s="342"/>
      <c r="BS2459" s="342"/>
      <c r="BT2459" s="342"/>
      <c r="BU2459" s="342"/>
      <c r="BV2459" s="342"/>
      <c r="BW2459" s="342"/>
      <c r="BX2459" s="342"/>
      <c r="BY2459" s="342"/>
      <c r="BZ2459" s="342"/>
      <c r="CA2459" s="342"/>
      <c r="CB2459" s="342"/>
      <c r="CC2459" s="342"/>
      <c r="CD2459" s="342"/>
      <c r="CE2459" s="342"/>
      <c r="CF2459" s="342"/>
      <c r="CG2459" s="342"/>
      <c r="CH2459" s="342"/>
      <c r="CI2459" s="342"/>
      <c r="CJ2459" s="342"/>
      <c r="CK2459" s="342"/>
      <c r="CL2459" s="342"/>
      <c r="CM2459" s="342"/>
      <c r="CN2459" s="342"/>
      <c r="CO2459" s="342"/>
      <c r="CP2459" s="342"/>
      <c r="CQ2459" s="342"/>
      <c r="CR2459" s="342"/>
      <c r="CS2459" s="342"/>
      <c r="CT2459" s="342"/>
      <c r="CU2459" s="342"/>
      <c r="CV2459" s="342"/>
      <c r="CW2459" s="342"/>
      <c r="CX2459" s="342"/>
      <c r="CY2459" s="342"/>
      <c r="CZ2459" s="342"/>
      <c r="DA2459" s="342"/>
      <c r="DB2459" s="342"/>
      <c r="DC2459" s="342"/>
      <c r="DD2459" s="342"/>
      <c r="DE2459" s="342"/>
      <c r="DF2459" s="342"/>
      <c r="DG2459" s="342"/>
      <c r="DH2459" s="342"/>
      <c r="DI2459" s="342"/>
      <c r="DJ2459" s="342"/>
      <c r="DK2459" s="342"/>
      <c r="DL2459" s="342"/>
    </row>
    <row r="2460">
      <c r="A2460" s="354">
        <v>2460.0</v>
      </c>
      <c r="B2460" s="56" t="s">
        <v>114</v>
      </c>
      <c r="C2460" s="341" t="s">
        <v>115</v>
      </c>
      <c r="D2460" s="341" t="s">
        <v>221</v>
      </c>
      <c r="E2460" s="342"/>
      <c r="F2460" s="46" t="s">
        <v>14801</v>
      </c>
      <c r="G2460" s="360" t="s">
        <v>14425</v>
      </c>
      <c r="H2460" s="360" t="s">
        <v>222</v>
      </c>
      <c r="I2460" s="344">
        <v>45764.0</v>
      </c>
      <c r="J2460" s="2124">
        <v>45849.0</v>
      </c>
      <c r="K2460" s="46"/>
      <c r="L2460" s="56" t="s">
        <v>14802</v>
      </c>
      <c r="M2460" s="360" t="s">
        <v>14796</v>
      </c>
      <c r="N2460" s="360" t="s">
        <v>14797</v>
      </c>
      <c r="O2460" s="56">
        <v>1.0</v>
      </c>
      <c r="P2460" s="360" t="s">
        <v>14798</v>
      </c>
      <c r="Q2460" s="104" t="str">
        <f t="array" ref="Q2460"> if(iserror(MATCH(V2460, 'File Links'!C:C, 0)), "N/A", HYPERLINK(INDEX('File Links'!B:B, MATCH(P2460, 'File Links'!C:C, 0))))</f>
        <v>https://drive.google.com/file/d/1Wzsg5t70C5nm9ICa1m7pvYuf0xZ022FB/view?usp=drivesdk</v>
      </c>
      <c r="R2460" s="360" t="s">
        <v>14432</v>
      </c>
      <c r="S2460" s="360" t="s">
        <v>14433</v>
      </c>
      <c r="T2460" s="46"/>
      <c r="U2460" s="56">
        <v>1.0</v>
      </c>
      <c r="V2460" s="360" t="s">
        <v>14434</v>
      </c>
      <c r="W2460" s="56" t="s">
        <v>209</v>
      </c>
      <c r="X2460" s="54" t="str">
        <f t="array" ref="X2460"> if(iserror(MATCH(V2460, 'File Links'!C:C, 0)), "N/A", HYPERLINK(INDEX('File Links'!B:B, MATCH(V2460, 'File Links'!C:C, 0))))</f>
        <v>https://drive.google.com/file/d/17mZvRs3ue7pXwqu8bmIDvgNdc95PGEcV/view?usp=drivesdk</v>
      </c>
      <c r="Y2460" s="46"/>
      <c r="Z2460" s="360" t="s">
        <v>1079</v>
      </c>
      <c r="AA2460" s="46" t="s">
        <v>12028</v>
      </c>
      <c r="AB2460" s="360" t="s">
        <v>14436</v>
      </c>
      <c r="AC2460" s="360" t="s">
        <v>14803</v>
      </c>
      <c r="AD2460" s="56" t="s">
        <v>138</v>
      </c>
      <c r="AE2460" s="56" t="s">
        <v>138</v>
      </c>
      <c r="AF2460" s="357">
        <v>93.0</v>
      </c>
      <c r="AG2460" s="56">
        <v>0.24</v>
      </c>
      <c r="AH2460" s="1632" t="s">
        <v>215</v>
      </c>
      <c r="AI2460" s="56" t="s">
        <v>14800</v>
      </c>
      <c r="AJ2460" s="56" t="s">
        <v>138</v>
      </c>
      <c r="AK2460" s="46" t="s">
        <v>138</v>
      </c>
      <c r="AL2460" s="46" t="s">
        <v>138</v>
      </c>
      <c r="AM2460" s="46" t="s">
        <v>137</v>
      </c>
      <c r="AN2460" s="46" t="s">
        <v>138</v>
      </c>
      <c r="AO2460" s="357">
        <v>1559.0</v>
      </c>
      <c r="AP2460" s="55">
        <v>0.18</v>
      </c>
      <c r="AQ2460" s="46" t="s">
        <v>215</v>
      </c>
      <c r="AR2460" s="56" t="s">
        <v>1042</v>
      </c>
      <c r="AS2460" s="385">
        <v>0.05</v>
      </c>
      <c r="AT2460" s="46" t="s">
        <v>135</v>
      </c>
      <c r="AU2460" s="46" t="s">
        <v>136</v>
      </c>
      <c r="AV2460" s="46" t="s">
        <v>137</v>
      </c>
      <c r="AW2460" s="59" t="s">
        <v>14441</v>
      </c>
      <c r="AX2460" s="46" t="s">
        <v>151</v>
      </c>
      <c r="AY2460" s="49" t="str">
        <f>IFERROR(__xludf.DUMMYFUNCTION("vlookup(BB2460,importrange(""https://docs.google.com/spreadsheets/d/1d2vevQ_7D_v35q4wCQ4RpQ_IPoTwEMB9Yp6ymwlPqew/edit?gid=984458430#gid=984458430"", ""'replication success'!A:K""), 11, FAlSE)"),"")</f>
        <v/>
      </c>
      <c r="AZ2460" s="49" t="str">
        <f>IFERROR(__xludf.DUMMYFUNCTION("vlookup(BB2460,importrange(""https://docs.google.com/spreadsheets/d/1d2vevQ_7D_v35q4wCQ4RpQ_IPoTwEMB9Yp6ymwlPqew/edit?gid=984458430#gid=984458430"", ""'replication success'!A:M""), 12, FAlSE)"),"")</f>
        <v/>
      </c>
      <c r="BA2460" s="49" t="str">
        <f>IFERROR(__xludf.DUMMYFUNCTION("vlookup(BB2460,importrange(""https://docs.google.com/spreadsheets/d/1d2vevQ_7D_v35q4wCQ4RpQ_IPoTwEMB9Yp6ymwlPqew/edit?gid=984458430#gid=984458430"", ""'replication success'!A:M""), 13, FAlSE)"),"abstract")</f>
        <v>abstract</v>
      </c>
      <c r="BB2460" s="49" t="str">
        <f>IFERROR(__xludf.DUMMYFUNCTION("REGEXREPLACE(G2460, ""_[a-z]{1,2}$"", """")"),"Soto")</f>
        <v>Soto</v>
      </c>
      <c r="BC2460" s="46"/>
      <c r="BD2460" s="341" t="s">
        <v>1270</v>
      </c>
      <c r="BE2460" s="342"/>
      <c r="BF2460" s="342"/>
      <c r="BG2460" s="342"/>
      <c r="BH2460" s="342"/>
      <c r="BI2460" s="342"/>
      <c r="BJ2460" s="342"/>
      <c r="BK2460" s="342"/>
      <c r="BL2460" s="342"/>
      <c r="BM2460" s="342"/>
      <c r="BN2460" s="342"/>
      <c r="BO2460" s="342"/>
      <c r="BP2460" s="342"/>
      <c r="BQ2460" s="342"/>
      <c r="BR2460" s="342"/>
      <c r="BS2460" s="342"/>
      <c r="BT2460" s="342"/>
      <c r="BU2460" s="342"/>
      <c r="BV2460" s="342"/>
      <c r="BW2460" s="342"/>
      <c r="BX2460" s="342"/>
      <c r="BY2460" s="342"/>
      <c r="BZ2460" s="342"/>
      <c r="CA2460" s="342"/>
      <c r="CB2460" s="342"/>
      <c r="CC2460" s="342"/>
      <c r="CD2460" s="342"/>
      <c r="CE2460" s="342"/>
      <c r="CF2460" s="342"/>
      <c r="CG2460" s="342"/>
      <c r="CH2460" s="342"/>
      <c r="CI2460" s="342"/>
      <c r="CJ2460" s="342"/>
      <c r="CK2460" s="342"/>
      <c r="CL2460" s="342"/>
      <c r="CM2460" s="342"/>
      <c r="CN2460" s="342"/>
      <c r="CO2460" s="342"/>
      <c r="CP2460" s="342"/>
      <c r="CQ2460" s="342"/>
      <c r="CR2460" s="342"/>
      <c r="CS2460" s="342"/>
      <c r="CT2460" s="342"/>
      <c r="CU2460" s="342"/>
      <c r="CV2460" s="342"/>
      <c r="CW2460" s="342"/>
      <c r="CX2460" s="342"/>
      <c r="CY2460" s="342"/>
      <c r="CZ2460" s="342"/>
      <c r="DA2460" s="342"/>
      <c r="DB2460" s="342"/>
      <c r="DC2460" s="342"/>
      <c r="DD2460" s="342"/>
      <c r="DE2460" s="342"/>
      <c r="DF2460" s="342"/>
      <c r="DG2460" s="342"/>
      <c r="DH2460" s="342"/>
      <c r="DI2460" s="342"/>
      <c r="DJ2460" s="342"/>
      <c r="DK2460" s="342"/>
      <c r="DL2460" s="342"/>
    </row>
    <row r="2461">
      <c r="A2461" s="354">
        <v>2461.0</v>
      </c>
      <c r="B2461" s="56" t="s">
        <v>114</v>
      </c>
      <c r="C2461" s="341" t="s">
        <v>115</v>
      </c>
      <c r="D2461" s="341" t="s">
        <v>221</v>
      </c>
      <c r="E2461" s="342"/>
      <c r="F2461" s="46" t="s">
        <v>14804</v>
      </c>
      <c r="G2461" s="360" t="s">
        <v>14425</v>
      </c>
      <c r="H2461" s="360" t="s">
        <v>222</v>
      </c>
      <c r="I2461" s="344">
        <v>45764.0</v>
      </c>
      <c r="J2461" s="2124">
        <v>45849.0</v>
      </c>
      <c r="K2461" s="46"/>
      <c r="L2461" s="56" t="s">
        <v>14805</v>
      </c>
      <c r="M2461" s="360" t="s">
        <v>14796</v>
      </c>
      <c r="N2461" s="360" t="s">
        <v>14797</v>
      </c>
      <c r="O2461" s="56">
        <v>1.0</v>
      </c>
      <c r="P2461" s="360" t="s">
        <v>14798</v>
      </c>
      <c r="Q2461" s="104" t="str">
        <f t="array" ref="Q2461"> if(iserror(MATCH(V2461, 'File Links'!C:C, 0)), "N/A", HYPERLINK(INDEX('File Links'!B:B, MATCH(P2461, 'File Links'!C:C, 0))))</f>
        <v>https://drive.google.com/file/d/1Wzsg5t70C5nm9ICa1m7pvYuf0xZ022FB/view?usp=drivesdk</v>
      </c>
      <c r="R2461" s="360" t="s">
        <v>14432</v>
      </c>
      <c r="S2461" s="360" t="s">
        <v>14433</v>
      </c>
      <c r="T2461" s="46"/>
      <c r="U2461" s="56">
        <v>1.0</v>
      </c>
      <c r="V2461" s="360" t="s">
        <v>14434</v>
      </c>
      <c r="W2461" s="56" t="s">
        <v>209</v>
      </c>
      <c r="X2461" s="54" t="str">
        <f t="array" ref="X2461"> if(iserror(MATCH(V2461, 'File Links'!C:C, 0)), "N/A", HYPERLINK(INDEX('File Links'!B:B, MATCH(V2461, 'File Links'!C:C, 0))))</f>
        <v>https://drive.google.com/file/d/17mZvRs3ue7pXwqu8bmIDvgNdc95PGEcV/view?usp=drivesdk</v>
      </c>
      <c r="Y2461" s="46"/>
      <c r="Z2461" s="360" t="s">
        <v>1079</v>
      </c>
      <c r="AA2461" s="46" t="s">
        <v>12028</v>
      </c>
      <c r="AB2461" s="360" t="s">
        <v>14436</v>
      </c>
      <c r="AC2461" s="360" t="s">
        <v>14806</v>
      </c>
      <c r="AD2461" s="56" t="s">
        <v>138</v>
      </c>
      <c r="AE2461" s="56" t="s">
        <v>138</v>
      </c>
      <c r="AF2461" s="357">
        <v>1648.0</v>
      </c>
      <c r="AG2461" s="56">
        <v>-0.34</v>
      </c>
      <c r="AH2461" s="1632" t="s">
        <v>215</v>
      </c>
      <c r="AI2461" s="56" t="s">
        <v>14800</v>
      </c>
      <c r="AJ2461" s="56" t="s">
        <v>138</v>
      </c>
      <c r="AK2461" s="46" t="s">
        <v>138</v>
      </c>
      <c r="AL2461" s="46" t="s">
        <v>138</v>
      </c>
      <c r="AM2461" s="46" t="s">
        <v>137</v>
      </c>
      <c r="AN2461" s="46" t="s">
        <v>138</v>
      </c>
      <c r="AO2461" s="357">
        <v>1550.0</v>
      </c>
      <c r="AP2461" s="55">
        <v>-0.25</v>
      </c>
      <c r="AQ2461" s="46" t="s">
        <v>215</v>
      </c>
      <c r="AR2461" s="56" t="s">
        <v>1042</v>
      </c>
      <c r="AS2461" s="385">
        <v>0.05</v>
      </c>
      <c r="AT2461" s="46" t="s">
        <v>135</v>
      </c>
      <c r="AU2461" s="46" t="s">
        <v>136</v>
      </c>
      <c r="AV2461" s="46" t="s">
        <v>137</v>
      </c>
      <c r="AW2461" s="59" t="s">
        <v>14441</v>
      </c>
      <c r="AX2461" s="46" t="s">
        <v>151</v>
      </c>
      <c r="AY2461" s="49" t="str">
        <f>IFERROR(__xludf.DUMMYFUNCTION("vlookup(BB2461,importrange(""https://docs.google.com/spreadsheets/d/1d2vevQ_7D_v35q4wCQ4RpQ_IPoTwEMB9Yp6ymwlPqew/edit?gid=984458430#gid=984458430"", ""'replication success'!A:K""), 11, FAlSE)"),"")</f>
        <v/>
      </c>
      <c r="AZ2461" s="49" t="str">
        <f>IFERROR(__xludf.DUMMYFUNCTION("vlookup(BB2461,importrange(""https://docs.google.com/spreadsheets/d/1d2vevQ_7D_v35q4wCQ4RpQ_IPoTwEMB9Yp6ymwlPqew/edit?gid=984458430#gid=984458430"", ""'replication success'!A:M""), 12, FAlSE)"),"")</f>
        <v/>
      </c>
      <c r="BA2461" s="49" t="str">
        <f>IFERROR(__xludf.DUMMYFUNCTION("vlookup(BB2461,importrange(""https://docs.google.com/spreadsheets/d/1d2vevQ_7D_v35q4wCQ4RpQ_IPoTwEMB9Yp6ymwlPqew/edit?gid=984458430#gid=984458430"", ""'replication success'!A:M""), 13, FAlSE)"),"abstract")</f>
        <v>abstract</v>
      </c>
      <c r="BB2461" s="49" t="str">
        <f>IFERROR(__xludf.DUMMYFUNCTION("REGEXREPLACE(G2461, ""_[a-z]{1,2}$"", """")"),"Soto")</f>
        <v>Soto</v>
      </c>
      <c r="BC2461" s="46"/>
      <c r="BD2461" s="341" t="s">
        <v>1270</v>
      </c>
      <c r="BE2461" s="342"/>
      <c r="BF2461" s="342"/>
      <c r="BG2461" s="342"/>
      <c r="BH2461" s="342"/>
      <c r="BI2461" s="342"/>
      <c r="BJ2461" s="342"/>
      <c r="BK2461" s="342"/>
      <c r="BL2461" s="342"/>
      <c r="BM2461" s="342"/>
      <c r="BN2461" s="342"/>
      <c r="BO2461" s="342"/>
      <c r="BP2461" s="342"/>
      <c r="BQ2461" s="342"/>
      <c r="BR2461" s="342"/>
      <c r="BS2461" s="342"/>
      <c r="BT2461" s="342"/>
      <c r="BU2461" s="342"/>
      <c r="BV2461" s="342"/>
      <c r="BW2461" s="342"/>
      <c r="BX2461" s="342"/>
      <c r="BY2461" s="342"/>
      <c r="BZ2461" s="342"/>
      <c r="CA2461" s="342"/>
      <c r="CB2461" s="342"/>
      <c r="CC2461" s="342"/>
      <c r="CD2461" s="342"/>
      <c r="CE2461" s="342"/>
      <c r="CF2461" s="342"/>
      <c r="CG2461" s="342"/>
      <c r="CH2461" s="342"/>
      <c r="CI2461" s="342"/>
      <c r="CJ2461" s="342"/>
      <c r="CK2461" s="342"/>
      <c r="CL2461" s="342"/>
      <c r="CM2461" s="342"/>
      <c r="CN2461" s="342"/>
      <c r="CO2461" s="342"/>
      <c r="CP2461" s="342"/>
      <c r="CQ2461" s="342"/>
      <c r="CR2461" s="342"/>
      <c r="CS2461" s="342"/>
      <c r="CT2461" s="342"/>
      <c r="CU2461" s="342"/>
      <c r="CV2461" s="342"/>
      <c r="CW2461" s="342"/>
      <c r="CX2461" s="342"/>
      <c r="CY2461" s="342"/>
      <c r="CZ2461" s="342"/>
      <c r="DA2461" s="342"/>
      <c r="DB2461" s="342"/>
      <c r="DC2461" s="342"/>
      <c r="DD2461" s="342"/>
      <c r="DE2461" s="342"/>
      <c r="DF2461" s="342"/>
      <c r="DG2461" s="342"/>
      <c r="DH2461" s="342"/>
      <c r="DI2461" s="342"/>
      <c r="DJ2461" s="342"/>
      <c r="DK2461" s="342"/>
      <c r="DL2461" s="342"/>
    </row>
    <row r="2462">
      <c r="A2462" s="354">
        <v>2462.0</v>
      </c>
      <c r="B2462" s="56" t="s">
        <v>114</v>
      </c>
      <c r="C2462" s="341" t="s">
        <v>115</v>
      </c>
      <c r="D2462" s="341" t="s">
        <v>221</v>
      </c>
      <c r="E2462" s="342"/>
      <c r="F2462" s="46" t="s">
        <v>14807</v>
      </c>
      <c r="G2462" s="360" t="s">
        <v>14425</v>
      </c>
      <c r="H2462" s="360" t="s">
        <v>222</v>
      </c>
      <c r="I2462" s="344">
        <v>45764.0</v>
      </c>
      <c r="J2462" s="2124">
        <v>45849.0</v>
      </c>
      <c r="K2462" s="46" t="s">
        <v>14808</v>
      </c>
      <c r="L2462" s="56" t="s">
        <v>14809</v>
      </c>
      <c r="M2462" s="360" t="s">
        <v>14810</v>
      </c>
      <c r="N2462" s="360" t="s">
        <v>14811</v>
      </c>
      <c r="O2462" s="56">
        <v>1.0</v>
      </c>
      <c r="P2462" s="360" t="s">
        <v>14812</v>
      </c>
      <c r="Q2462" s="104" t="str">
        <f t="array" ref="Q2462"> if(iserror(MATCH(V2462, 'File Links'!C:C, 0)), "N/A", HYPERLINK(INDEX('File Links'!B:B, MATCH(P2462, 'File Links'!C:C, 0))))</f>
        <v>https://drive.google.com/file/d/1DqSsvMQMMGnVP3lP6Am1mBq90t1XZMxt/view?usp=drivesdk</v>
      </c>
      <c r="R2462" s="360" t="s">
        <v>14432</v>
      </c>
      <c r="S2462" s="360" t="s">
        <v>14433</v>
      </c>
      <c r="T2462" s="46"/>
      <c r="U2462" s="56">
        <v>1.0</v>
      </c>
      <c r="V2462" s="360" t="s">
        <v>14434</v>
      </c>
      <c r="W2462" s="56" t="s">
        <v>209</v>
      </c>
      <c r="X2462" s="54" t="str">
        <f t="array" ref="X2462"> if(iserror(MATCH(V2462, 'File Links'!C:C, 0)), "N/A", HYPERLINK(INDEX('File Links'!B:B, MATCH(V2462, 'File Links'!C:C, 0))))</f>
        <v>https://drive.google.com/file/d/17mZvRs3ue7pXwqu8bmIDvgNdc95PGEcV/view?usp=drivesdk</v>
      </c>
      <c r="Y2462" s="46"/>
      <c r="Z2462" s="360" t="s">
        <v>1079</v>
      </c>
      <c r="AA2462" s="46" t="s">
        <v>12028</v>
      </c>
      <c r="AB2462" s="360" t="s">
        <v>14436</v>
      </c>
      <c r="AC2462" s="360" t="s">
        <v>14813</v>
      </c>
      <c r="AD2462" s="46" t="s">
        <v>14814</v>
      </c>
      <c r="AE2462" s="385">
        <v>5.0</v>
      </c>
      <c r="AF2462" s="357">
        <v>796.0</v>
      </c>
      <c r="AG2462" s="385">
        <v>0.14</v>
      </c>
      <c r="AH2462" s="46" t="s">
        <v>215</v>
      </c>
      <c r="AI2462" s="56" t="s">
        <v>813</v>
      </c>
      <c r="AJ2462" s="385">
        <v>0.001</v>
      </c>
      <c r="AK2462" s="46" t="s">
        <v>135</v>
      </c>
      <c r="AL2462" s="46" t="s">
        <v>138</v>
      </c>
      <c r="AM2462" s="46" t="s">
        <v>137</v>
      </c>
      <c r="AN2462" s="46" t="s">
        <v>138</v>
      </c>
      <c r="AO2462" s="357">
        <v>1504.0</v>
      </c>
      <c r="AP2462" s="385">
        <v>0.2</v>
      </c>
      <c r="AQ2462" s="46" t="s">
        <v>215</v>
      </c>
      <c r="AR2462" s="46" t="s">
        <v>140</v>
      </c>
      <c r="AS2462" s="2131">
        <v>1.92053969799428E-14</v>
      </c>
      <c r="AT2462" s="46" t="s">
        <v>172</v>
      </c>
      <c r="AU2462" s="46" t="s">
        <v>136</v>
      </c>
      <c r="AV2462" s="46" t="s">
        <v>137</v>
      </c>
      <c r="AW2462" s="59" t="s">
        <v>14441</v>
      </c>
      <c r="AX2462" s="46" t="s">
        <v>143</v>
      </c>
      <c r="AY2462" s="49" t="str">
        <f>IFERROR(__xludf.DUMMYFUNCTION("vlookup(BB2462,importrange(""https://docs.google.com/spreadsheets/d/1d2vevQ_7D_v35q4wCQ4RpQ_IPoTwEMB9Yp6ymwlPqew/edit?gid=984458430#gid=984458430"", ""'replication success'!A:K""), 11, FAlSE)"),"")</f>
        <v/>
      </c>
      <c r="AZ2462" s="49" t="str">
        <f>IFERROR(__xludf.DUMMYFUNCTION("vlookup(BB2462,importrange(""https://docs.google.com/spreadsheets/d/1d2vevQ_7D_v35q4wCQ4RpQ_IPoTwEMB9Yp6ymwlPqew/edit?gid=984458430#gid=984458430"", ""'replication success'!A:M""), 12, FAlSE)"),"")</f>
        <v/>
      </c>
      <c r="BA2462" s="49" t="str">
        <f>IFERROR(__xludf.DUMMYFUNCTION("vlookup(BB2462,importrange(""https://docs.google.com/spreadsheets/d/1d2vevQ_7D_v35q4wCQ4RpQ_IPoTwEMB9Yp6ymwlPqew/edit?gid=984458430#gid=984458430"", ""'replication success'!A:M""), 13, FAlSE)"),"abstract")</f>
        <v>abstract</v>
      </c>
      <c r="BB2462" s="49" t="str">
        <f>IFERROR(__xludf.DUMMYFUNCTION("REGEXREPLACE(G2462, ""_[a-z]{1,2}$"", """")"),"Soto")</f>
        <v>Soto</v>
      </c>
      <c r="BC2462" s="46"/>
      <c r="BD2462" s="341" t="s">
        <v>1270</v>
      </c>
      <c r="BE2462" s="342"/>
      <c r="BF2462" s="342"/>
      <c r="BG2462" s="342"/>
      <c r="BH2462" s="342"/>
      <c r="BI2462" s="342"/>
      <c r="BJ2462" s="342"/>
      <c r="BK2462" s="342"/>
      <c r="BL2462" s="342"/>
      <c r="BM2462" s="342"/>
      <c r="BN2462" s="342"/>
      <c r="BO2462" s="342"/>
      <c r="BP2462" s="342"/>
      <c r="BQ2462" s="342"/>
      <c r="BR2462" s="342"/>
      <c r="BS2462" s="342"/>
      <c r="BT2462" s="342"/>
      <c r="BU2462" s="342"/>
      <c r="BV2462" s="342"/>
      <c r="BW2462" s="342"/>
      <c r="BX2462" s="342"/>
      <c r="BY2462" s="342"/>
      <c r="BZ2462" s="342"/>
      <c r="CA2462" s="342"/>
      <c r="CB2462" s="342"/>
      <c r="CC2462" s="342"/>
      <c r="CD2462" s="342"/>
      <c r="CE2462" s="342"/>
      <c r="CF2462" s="342"/>
      <c r="CG2462" s="342"/>
      <c r="CH2462" s="342"/>
      <c r="CI2462" s="342"/>
      <c r="CJ2462" s="342"/>
      <c r="CK2462" s="342"/>
      <c r="CL2462" s="342"/>
      <c r="CM2462" s="342"/>
      <c r="CN2462" s="342"/>
      <c r="CO2462" s="342"/>
      <c r="CP2462" s="342"/>
      <c r="CQ2462" s="342"/>
      <c r="CR2462" s="342"/>
      <c r="CS2462" s="342"/>
      <c r="CT2462" s="342"/>
      <c r="CU2462" s="342"/>
      <c r="CV2462" s="342"/>
      <c r="CW2462" s="342"/>
      <c r="CX2462" s="342"/>
      <c r="CY2462" s="342"/>
      <c r="CZ2462" s="342"/>
      <c r="DA2462" s="342"/>
      <c r="DB2462" s="342"/>
      <c r="DC2462" s="342"/>
      <c r="DD2462" s="342"/>
      <c r="DE2462" s="342"/>
      <c r="DF2462" s="342"/>
      <c r="DG2462" s="342"/>
      <c r="DH2462" s="342"/>
      <c r="DI2462" s="342"/>
      <c r="DJ2462" s="342"/>
      <c r="DK2462" s="342"/>
      <c r="DL2462" s="342"/>
    </row>
    <row r="2463">
      <c r="A2463" s="354">
        <v>2463.0</v>
      </c>
      <c r="B2463" s="56" t="s">
        <v>114</v>
      </c>
      <c r="C2463" s="341" t="s">
        <v>115</v>
      </c>
      <c r="D2463" s="341" t="s">
        <v>221</v>
      </c>
      <c r="E2463" s="342"/>
      <c r="F2463" s="46" t="s">
        <v>14815</v>
      </c>
      <c r="G2463" s="360" t="s">
        <v>14425</v>
      </c>
      <c r="H2463" s="360" t="s">
        <v>222</v>
      </c>
      <c r="I2463" s="344">
        <v>45764.0</v>
      </c>
      <c r="J2463" s="2124">
        <v>45849.0</v>
      </c>
      <c r="K2463" s="46" t="s">
        <v>14816</v>
      </c>
      <c r="L2463" s="56" t="s">
        <v>14809</v>
      </c>
      <c r="M2463" s="360" t="s">
        <v>14810</v>
      </c>
      <c r="N2463" s="360" t="s">
        <v>14811</v>
      </c>
      <c r="O2463" s="56">
        <v>1.0</v>
      </c>
      <c r="P2463" s="360" t="s">
        <v>14812</v>
      </c>
      <c r="Q2463" s="104" t="str">
        <f t="array" ref="Q2463"> if(iserror(MATCH(V2463, 'File Links'!C:C, 0)), "N/A", HYPERLINK(INDEX('File Links'!B:B, MATCH(P2463, 'File Links'!C:C, 0))))</f>
        <v>https://drive.google.com/file/d/1DqSsvMQMMGnVP3lP6Am1mBq90t1XZMxt/view?usp=drivesdk</v>
      </c>
      <c r="R2463" s="360" t="s">
        <v>14432</v>
      </c>
      <c r="S2463" s="360" t="s">
        <v>14433</v>
      </c>
      <c r="T2463" s="46"/>
      <c r="U2463" s="56">
        <v>1.0</v>
      </c>
      <c r="V2463" s="360" t="s">
        <v>14434</v>
      </c>
      <c r="W2463" s="56" t="s">
        <v>209</v>
      </c>
      <c r="X2463" s="54" t="str">
        <f t="array" ref="X2463"> if(iserror(MATCH(V2463, 'File Links'!C:C, 0)), "N/A", HYPERLINK(INDEX('File Links'!B:B, MATCH(V2463, 'File Links'!C:C, 0))))</f>
        <v>https://drive.google.com/file/d/17mZvRs3ue7pXwqu8bmIDvgNdc95PGEcV/view?usp=drivesdk</v>
      </c>
      <c r="Y2463" s="46"/>
      <c r="Z2463" s="360" t="s">
        <v>1079</v>
      </c>
      <c r="AA2463" s="46" t="s">
        <v>12028</v>
      </c>
      <c r="AB2463" s="360" t="s">
        <v>14436</v>
      </c>
      <c r="AC2463" s="360" t="s">
        <v>14817</v>
      </c>
      <c r="AD2463" s="46" t="s">
        <v>14814</v>
      </c>
      <c r="AE2463" s="385">
        <v>5.0</v>
      </c>
      <c r="AF2463" s="357">
        <v>796.0</v>
      </c>
      <c r="AG2463" s="385">
        <v>0.23</v>
      </c>
      <c r="AH2463" s="46" t="s">
        <v>215</v>
      </c>
      <c r="AI2463" s="56" t="s">
        <v>813</v>
      </c>
      <c r="AJ2463" s="385">
        <v>0.001</v>
      </c>
      <c r="AK2463" s="46" t="s">
        <v>135</v>
      </c>
      <c r="AL2463" s="46" t="s">
        <v>138</v>
      </c>
      <c r="AM2463" s="46" t="s">
        <v>137</v>
      </c>
      <c r="AN2463" s="46" t="s">
        <v>138</v>
      </c>
      <c r="AO2463" s="357">
        <v>1504.0</v>
      </c>
      <c r="AP2463" s="385">
        <v>0.17</v>
      </c>
      <c r="AQ2463" s="46" t="s">
        <v>215</v>
      </c>
      <c r="AR2463" s="46" t="s">
        <v>140</v>
      </c>
      <c r="AS2463" s="2131">
        <v>2.31531690371778E-11</v>
      </c>
      <c r="AT2463" s="46" t="s">
        <v>172</v>
      </c>
      <c r="AU2463" s="46" t="s">
        <v>136</v>
      </c>
      <c r="AV2463" s="46" t="s">
        <v>137</v>
      </c>
      <c r="AW2463" s="59" t="s">
        <v>14441</v>
      </c>
      <c r="AX2463" s="46" t="s">
        <v>143</v>
      </c>
      <c r="AY2463" s="49" t="str">
        <f>IFERROR(__xludf.DUMMYFUNCTION("vlookup(BB2463,importrange(""https://docs.google.com/spreadsheets/d/1d2vevQ_7D_v35q4wCQ4RpQ_IPoTwEMB9Yp6ymwlPqew/edit?gid=984458430#gid=984458430"", ""'replication success'!A:K""), 11, FAlSE)"),"")</f>
        <v/>
      </c>
      <c r="AZ2463" s="49" t="str">
        <f>IFERROR(__xludf.DUMMYFUNCTION("vlookup(BB2463,importrange(""https://docs.google.com/spreadsheets/d/1d2vevQ_7D_v35q4wCQ4RpQ_IPoTwEMB9Yp6ymwlPqew/edit?gid=984458430#gid=984458430"", ""'replication success'!A:M""), 12, FAlSE)"),"")</f>
        <v/>
      </c>
      <c r="BA2463" s="49" t="str">
        <f>IFERROR(__xludf.DUMMYFUNCTION("vlookup(BB2463,importrange(""https://docs.google.com/spreadsheets/d/1d2vevQ_7D_v35q4wCQ4RpQ_IPoTwEMB9Yp6ymwlPqew/edit?gid=984458430#gid=984458430"", ""'replication success'!A:M""), 13, FAlSE)"),"abstract")</f>
        <v>abstract</v>
      </c>
      <c r="BB2463" s="49" t="str">
        <f>IFERROR(__xludf.DUMMYFUNCTION("REGEXREPLACE(G2463, ""_[a-z]{1,2}$"", """")"),"Soto")</f>
        <v>Soto</v>
      </c>
      <c r="BC2463" s="46"/>
      <c r="BD2463" s="341" t="s">
        <v>1270</v>
      </c>
      <c r="BE2463" s="342"/>
      <c r="BF2463" s="342"/>
      <c r="BG2463" s="342"/>
      <c r="BH2463" s="342"/>
      <c r="BI2463" s="342"/>
      <c r="BJ2463" s="342"/>
      <c r="BK2463" s="342"/>
      <c r="BL2463" s="342"/>
      <c r="BM2463" s="342"/>
      <c r="BN2463" s="342"/>
      <c r="BO2463" s="342"/>
      <c r="BP2463" s="342"/>
      <c r="BQ2463" s="342"/>
      <c r="BR2463" s="342"/>
      <c r="BS2463" s="342"/>
      <c r="BT2463" s="342"/>
      <c r="BU2463" s="342"/>
      <c r="BV2463" s="342"/>
      <c r="BW2463" s="342"/>
      <c r="BX2463" s="342"/>
      <c r="BY2463" s="342"/>
      <c r="BZ2463" s="342"/>
      <c r="CA2463" s="342"/>
      <c r="CB2463" s="342"/>
      <c r="CC2463" s="342"/>
      <c r="CD2463" s="342"/>
      <c r="CE2463" s="342"/>
      <c r="CF2463" s="342"/>
      <c r="CG2463" s="342"/>
      <c r="CH2463" s="342"/>
      <c r="CI2463" s="342"/>
      <c r="CJ2463" s="342"/>
      <c r="CK2463" s="342"/>
      <c r="CL2463" s="342"/>
      <c r="CM2463" s="342"/>
      <c r="CN2463" s="342"/>
      <c r="CO2463" s="342"/>
      <c r="CP2463" s="342"/>
      <c r="CQ2463" s="342"/>
      <c r="CR2463" s="342"/>
      <c r="CS2463" s="342"/>
      <c r="CT2463" s="342"/>
      <c r="CU2463" s="342"/>
      <c r="CV2463" s="342"/>
      <c r="CW2463" s="342"/>
      <c r="CX2463" s="342"/>
      <c r="CY2463" s="342"/>
      <c r="CZ2463" s="342"/>
      <c r="DA2463" s="342"/>
      <c r="DB2463" s="342"/>
      <c r="DC2463" s="342"/>
      <c r="DD2463" s="342"/>
      <c r="DE2463" s="342"/>
      <c r="DF2463" s="342"/>
      <c r="DG2463" s="342"/>
      <c r="DH2463" s="342"/>
      <c r="DI2463" s="342"/>
      <c r="DJ2463" s="342"/>
      <c r="DK2463" s="342"/>
      <c r="DL2463" s="342"/>
    </row>
    <row r="2464">
      <c r="A2464" s="354">
        <v>2464.0</v>
      </c>
      <c r="B2464" s="56" t="s">
        <v>114</v>
      </c>
      <c r="C2464" s="341" t="s">
        <v>115</v>
      </c>
      <c r="D2464" s="341" t="s">
        <v>221</v>
      </c>
      <c r="E2464" s="342"/>
      <c r="F2464" s="46" t="s">
        <v>14818</v>
      </c>
      <c r="G2464" s="360" t="s">
        <v>14425</v>
      </c>
      <c r="H2464" s="360" t="s">
        <v>222</v>
      </c>
      <c r="I2464" s="344">
        <v>45765.0</v>
      </c>
      <c r="J2464" s="2124">
        <v>45849.0</v>
      </c>
      <c r="K2464" s="46" t="s">
        <v>14819</v>
      </c>
      <c r="L2464" s="56" t="s">
        <v>14820</v>
      </c>
      <c r="M2464" s="360" t="s">
        <v>14821</v>
      </c>
      <c r="N2464" s="360" t="s">
        <v>14822</v>
      </c>
      <c r="O2464" s="56">
        <v>1.0</v>
      </c>
      <c r="P2464" s="360" t="s">
        <v>14823</v>
      </c>
      <c r="Q2464" s="104" t="str">
        <f t="array" ref="Q2464"> if(iserror(MATCH(V2464, 'File Links'!C:C, 0)), "N/A", HYPERLINK(INDEX('File Links'!B:B, MATCH(P2464, 'File Links'!C:C, 0))))</f>
        <v>https://drive.google.com/file/d/1pZrmtVQlW4Pm144U62OnQaKTslWUIqbt/view?usp=drivesdk</v>
      </c>
      <c r="R2464" s="360" t="s">
        <v>14432</v>
      </c>
      <c r="S2464" s="360" t="s">
        <v>14433</v>
      </c>
      <c r="T2464" s="46"/>
      <c r="U2464" s="56">
        <v>1.0</v>
      </c>
      <c r="V2464" s="360" t="s">
        <v>14434</v>
      </c>
      <c r="W2464" s="56" t="s">
        <v>209</v>
      </c>
      <c r="X2464" s="54" t="str">
        <f t="array" ref="X2464"> if(iserror(MATCH(V2464, 'File Links'!C:C, 0)), "N/A", HYPERLINK(INDEX('File Links'!B:B, MATCH(V2464, 'File Links'!C:C, 0))))</f>
        <v>https://drive.google.com/file/d/17mZvRs3ue7pXwqu8bmIDvgNdc95PGEcV/view?usp=drivesdk</v>
      </c>
      <c r="Y2464" s="46"/>
      <c r="Z2464" s="360" t="s">
        <v>1079</v>
      </c>
      <c r="AA2464" s="46" t="s">
        <v>12028</v>
      </c>
      <c r="AB2464" s="360" t="s">
        <v>14436</v>
      </c>
      <c r="AC2464" s="360" t="s">
        <v>14824</v>
      </c>
      <c r="AD2464" s="46" t="s">
        <v>14825</v>
      </c>
      <c r="AE2464" s="385">
        <v>8.0</v>
      </c>
      <c r="AF2464" s="357">
        <v>169.0</v>
      </c>
      <c r="AG2464" s="385">
        <v>0.22</v>
      </c>
      <c r="AH2464" s="46" t="s">
        <v>215</v>
      </c>
      <c r="AI2464" s="56" t="s">
        <v>613</v>
      </c>
      <c r="AJ2464" s="385">
        <v>0.01</v>
      </c>
      <c r="AK2464" s="46" t="s">
        <v>135</v>
      </c>
      <c r="AL2464" s="46" t="s">
        <v>136</v>
      </c>
      <c r="AM2464" s="46" t="s">
        <v>137</v>
      </c>
      <c r="AN2464" s="46" t="s">
        <v>138</v>
      </c>
      <c r="AO2464" s="357">
        <v>747.0</v>
      </c>
      <c r="AP2464" s="55">
        <v>0.47</v>
      </c>
      <c r="AQ2464" s="46" t="s">
        <v>215</v>
      </c>
      <c r="AR2464" s="46" t="s">
        <v>140</v>
      </c>
      <c r="AS2464" s="385">
        <v>0.05</v>
      </c>
      <c r="AT2464" s="46" t="s">
        <v>135</v>
      </c>
      <c r="AU2464" s="46" t="s">
        <v>136</v>
      </c>
      <c r="AV2464" s="46" t="s">
        <v>137</v>
      </c>
      <c r="AW2464" s="59" t="s">
        <v>14441</v>
      </c>
      <c r="AX2464" s="46" t="s">
        <v>143</v>
      </c>
      <c r="AY2464" s="49" t="str">
        <f>IFERROR(__xludf.DUMMYFUNCTION("vlookup(BB2464,importrange(""https://docs.google.com/spreadsheets/d/1d2vevQ_7D_v35q4wCQ4RpQ_IPoTwEMB9Yp6ymwlPqew/edit?gid=984458430#gid=984458430"", ""'replication success'!A:K""), 11, FAlSE)"),"")</f>
        <v/>
      </c>
      <c r="AZ2464" s="49" t="str">
        <f>IFERROR(__xludf.DUMMYFUNCTION("vlookup(BB2464,importrange(""https://docs.google.com/spreadsheets/d/1d2vevQ_7D_v35q4wCQ4RpQ_IPoTwEMB9Yp6ymwlPqew/edit?gid=984458430#gid=984458430"", ""'replication success'!A:M""), 12, FAlSE)"),"")</f>
        <v/>
      </c>
      <c r="BA2464" s="49" t="str">
        <f>IFERROR(__xludf.DUMMYFUNCTION("vlookup(BB2464,importrange(""https://docs.google.com/spreadsheets/d/1d2vevQ_7D_v35q4wCQ4RpQ_IPoTwEMB9Yp6ymwlPqew/edit?gid=984458430#gid=984458430"", ""'replication success'!A:M""), 13, FAlSE)"),"abstract")</f>
        <v>abstract</v>
      </c>
      <c r="BB2464" s="49" t="str">
        <f>IFERROR(__xludf.DUMMYFUNCTION("REGEXREPLACE(G2464, ""_[a-z]{1,2}$"", """")"),"Soto")</f>
        <v>Soto</v>
      </c>
      <c r="BC2464" s="46"/>
      <c r="BD2464" s="341" t="s">
        <v>1270</v>
      </c>
      <c r="BE2464" s="342"/>
      <c r="BF2464" s="342"/>
      <c r="BG2464" s="342"/>
      <c r="BH2464" s="342"/>
      <c r="BI2464" s="342"/>
      <c r="BJ2464" s="342"/>
      <c r="BK2464" s="342"/>
      <c r="BL2464" s="342"/>
      <c r="BM2464" s="342"/>
      <c r="BN2464" s="342"/>
      <c r="BO2464" s="342"/>
      <c r="BP2464" s="342"/>
      <c r="BQ2464" s="342"/>
      <c r="BR2464" s="342"/>
      <c r="BS2464" s="342"/>
      <c r="BT2464" s="342"/>
      <c r="BU2464" s="342"/>
      <c r="BV2464" s="342"/>
      <c r="BW2464" s="342"/>
      <c r="BX2464" s="342"/>
      <c r="BY2464" s="342"/>
      <c r="BZ2464" s="342"/>
      <c r="CA2464" s="342"/>
      <c r="CB2464" s="342"/>
      <c r="CC2464" s="342"/>
      <c r="CD2464" s="342"/>
      <c r="CE2464" s="342"/>
      <c r="CF2464" s="342"/>
      <c r="CG2464" s="342"/>
      <c r="CH2464" s="342"/>
      <c r="CI2464" s="342"/>
      <c r="CJ2464" s="342"/>
      <c r="CK2464" s="342"/>
      <c r="CL2464" s="342"/>
      <c r="CM2464" s="342"/>
      <c r="CN2464" s="342"/>
      <c r="CO2464" s="342"/>
      <c r="CP2464" s="342"/>
      <c r="CQ2464" s="342"/>
      <c r="CR2464" s="342"/>
      <c r="CS2464" s="342"/>
      <c r="CT2464" s="342"/>
      <c r="CU2464" s="342"/>
      <c r="CV2464" s="342"/>
      <c r="CW2464" s="342"/>
      <c r="CX2464" s="342"/>
      <c r="CY2464" s="342"/>
      <c r="CZ2464" s="342"/>
      <c r="DA2464" s="342"/>
      <c r="DB2464" s="342"/>
      <c r="DC2464" s="342"/>
      <c r="DD2464" s="342"/>
      <c r="DE2464" s="342"/>
      <c r="DF2464" s="342"/>
      <c r="DG2464" s="342"/>
      <c r="DH2464" s="342"/>
      <c r="DI2464" s="342"/>
      <c r="DJ2464" s="342"/>
      <c r="DK2464" s="342"/>
      <c r="DL2464" s="342"/>
    </row>
    <row r="2465">
      <c r="A2465" s="354">
        <v>2465.0</v>
      </c>
      <c r="B2465" s="56" t="s">
        <v>114</v>
      </c>
      <c r="C2465" s="341" t="s">
        <v>115</v>
      </c>
      <c r="D2465" s="341" t="s">
        <v>221</v>
      </c>
      <c r="E2465" s="342"/>
      <c r="F2465" s="46" t="s">
        <v>14826</v>
      </c>
      <c r="G2465" s="360" t="s">
        <v>14425</v>
      </c>
      <c r="H2465" s="360" t="s">
        <v>222</v>
      </c>
      <c r="I2465" s="344">
        <v>45765.0</v>
      </c>
      <c r="J2465" s="2124">
        <v>45849.0</v>
      </c>
      <c r="K2465" s="46" t="s">
        <v>14827</v>
      </c>
      <c r="L2465" s="56" t="s">
        <v>14828</v>
      </c>
      <c r="M2465" s="360" t="s">
        <v>14821</v>
      </c>
      <c r="N2465" s="360" t="s">
        <v>14822</v>
      </c>
      <c r="O2465" s="56">
        <v>1.0</v>
      </c>
      <c r="P2465" s="360" t="s">
        <v>14823</v>
      </c>
      <c r="Q2465" s="104" t="str">
        <f t="array" ref="Q2465"> if(iserror(MATCH(V2465, 'File Links'!C:C, 0)), "N/A", HYPERLINK(INDEX('File Links'!B:B, MATCH(P2465, 'File Links'!C:C, 0))))</f>
        <v>https://drive.google.com/file/d/1pZrmtVQlW4Pm144U62OnQaKTslWUIqbt/view?usp=drivesdk</v>
      </c>
      <c r="R2465" s="360" t="s">
        <v>14432</v>
      </c>
      <c r="S2465" s="360" t="s">
        <v>14433</v>
      </c>
      <c r="T2465" s="46"/>
      <c r="U2465" s="56">
        <v>1.0</v>
      </c>
      <c r="V2465" s="360" t="s">
        <v>14434</v>
      </c>
      <c r="W2465" s="56" t="s">
        <v>209</v>
      </c>
      <c r="X2465" s="54" t="str">
        <f t="array" ref="X2465"> if(iserror(MATCH(V2465, 'File Links'!C:C, 0)), "N/A", HYPERLINK(INDEX('File Links'!B:B, MATCH(V2465, 'File Links'!C:C, 0))))</f>
        <v>https://drive.google.com/file/d/17mZvRs3ue7pXwqu8bmIDvgNdc95PGEcV/view?usp=drivesdk</v>
      </c>
      <c r="Y2465" s="46"/>
      <c r="Z2465" s="360" t="s">
        <v>1079</v>
      </c>
      <c r="AA2465" s="46" t="s">
        <v>12028</v>
      </c>
      <c r="AB2465" s="360" t="s">
        <v>14436</v>
      </c>
      <c r="AC2465" s="360" t="s">
        <v>14829</v>
      </c>
      <c r="AD2465" s="46" t="s">
        <v>14825</v>
      </c>
      <c r="AE2465" s="385">
        <v>8.0</v>
      </c>
      <c r="AF2465" s="357">
        <v>169.0</v>
      </c>
      <c r="AG2465" s="385">
        <v>0.2</v>
      </c>
      <c r="AH2465" s="46" t="s">
        <v>215</v>
      </c>
      <c r="AI2465" s="56" t="s">
        <v>613</v>
      </c>
      <c r="AJ2465" s="385">
        <v>0.01</v>
      </c>
      <c r="AK2465" s="46" t="s">
        <v>135</v>
      </c>
      <c r="AL2465" s="46" t="s">
        <v>136</v>
      </c>
      <c r="AM2465" s="46" t="s">
        <v>137</v>
      </c>
      <c r="AN2465" s="46" t="s">
        <v>138</v>
      </c>
      <c r="AO2465" s="357">
        <v>747.0</v>
      </c>
      <c r="AP2465" s="55">
        <v>0.28</v>
      </c>
      <c r="AQ2465" s="46" t="s">
        <v>215</v>
      </c>
      <c r="AR2465" s="46" t="s">
        <v>140</v>
      </c>
      <c r="AS2465" s="385">
        <v>0.05</v>
      </c>
      <c r="AT2465" s="46" t="s">
        <v>135</v>
      </c>
      <c r="AU2465" s="46" t="s">
        <v>136</v>
      </c>
      <c r="AV2465" s="46" t="s">
        <v>137</v>
      </c>
      <c r="AW2465" s="59" t="s">
        <v>14441</v>
      </c>
      <c r="AX2465" s="46" t="s">
        <v>143</v>
      </c>
      <c r="AY2465" s="49" t="str">
        <f>IFERROR(__xludf.DUMMYFUNCTION("vlookup(BB2465,importrange(""https://docs.google.com/spreadsheets/d/1d2vevQ_7D_v35q4wCQ4RpQ_IPoTwEMB9Yp6ymwlPqew/edit?gid=984458430#gid=984458430"", ""'replication success'!A:K""), 11, FAlSE)"),"")</f>
        <v/>
      </c>
      <c r="AZ2465" s="49" t="str">
        <f>IFERROR(__xludf.DUMMYFUNCTION("vlookup(BB2465,importrange(""https://docs.google.com/spreadsheets/d/1d2vevQ_7D_v35q4wCQ4RpQ_IPoTwEMB9Yp6ymwlPqew/edit?gid=984458430#gid=984458430"", ""'replication success'!A:M""), 12, FAlSE)"),"")</f>
        <v/>
      </c>
      <c r="BA2465" s="49" t="str">
        <f>IFERROR(__xludf.DUMMYFUNCTION("vlookup(BB2465,importrange(""https://docs.google.com/spreadsheets/d/1d2vevQ_7D_v35q4wCQ4RpQ_IPoTwEMB9Yp6ymwlPqew/edit?gid=984458430#gid=984458430"", ""'replication success'!A:M""), 13, FAlSE)"),"abstract")</f>
        <v>abstract</v>
      </c>
      <c r="BB2465" s="49" t="str">
        <f>IFERROR(__xludf.DUMMYFUNCTION("REGEXREPLACE(G2465, ""_[a-z]{1,2}$"", """")"),"Soto")</f>
        <v>Soto</v>
      </c>
      <c r="BC2465" s="46"/>
      <c r="BD2465" s="341" t="s">
        <v>1270</v>
      </c>
      <c r="BE2465" s="342"/>
      <c r="BF2465" s="342"/>
      <c r="BG2465" s="342"/>
      <c r="BH2465" s="342"/>
      <c r="BI2465" s="342"/>
      <c r="BJ2465" s="342"/>
      <c r="BK2465" s="342"/>
      <c r="BL2465" s="342"/>
      <c r="BM2465" s="342"/>
      <c r="BN2465" s="342"/>
      <c r="BO2465" s="342"/>
      <c r="BP2465" s="342"/>
      <c r="BQ2465" s="342"/>
      <c r="BR2465" s="342"/>
      <c r="BS2465" s="342"/>
      <c r="BT2465" s="342"/>
      <c r="BU2465" s="342"/>
      <c r="BV2465" s="342"/>
      <c r="BW2465" s="342"/>
      <c r="BX2465" s="342"/>
      <c r="BY2465" s="342"/>
      <c r="BZ2465" s="342"/>
      <c r="CA2465" s="342"/>
      <c r="CB2465" s="342"/>
      <c r="CC2465" s="342"/>
      <c r="CD2465" s="342"/>
      <c r="CE2465" s="342"/>
      <c r="CF2465" s="342"/>
      <c r="CG2465" s="342"/>
      <c r="CH2465" s="342"/>
      <c r="CI2465" s="342"/>
      <c r="CJ2465" s="342"/>
      <c r="CK2465" s="342"/>
      <c r="CL2465" s="342"/>
      <c r="CM2465" s="342"/>
      <c r="CN2465" s="342"/>
      <c r="CO2465" s="342"/>
      <c r="CP2465" s="342"/>
      <c r="CQ2465" s="342"/>
      <c r="CR2465" s="342"/>
      <c r="CS2465" s="342"/>
      <c r="CT2465" s="342"/>
      <c r="CU2465" s="342"/>
      <c r="CV2465" s="342"/>
      <c r="CW2465" s="342"/>
      <c r="CX2465" s="342"/>
      <c r="CY2465" s="342"/>
      <c r="CZ2465" s="342"/>
      <c r="DA2465" s="342"/>
      <c r="DB2465" s="342"/>
      <c r="DC2465" s="342"/>
      <c r="DD2465" s="342"/>
      <c r="DE2465" s="342"/>
      <c r="DF2465" s="342"/>
      <c r="DG2465" s="342"/>
      <c r="DH2465" s="342"/>
      <c r="DI2465" s="342"/>
      <c r="DJ2465" s="342"/>
      <c r="DK2465" s="342"/>
      <c r="DL2465" s="342"/>
    </row>
    <row r="2466" ht="18.0" customHeight="1">
      <c r="A2466" s="354">
        <v>2466.0</v>
      </c>
      <c r="B2466" s="56" t="s">
        <v>114</v>
      </c>
      <c r="C2466" s="341" t="s">
        <v>115</v>
      </c>
      <c r="D2466" s="341" t="s">
        <v>221</v>
      </c>
      <c r="E2466" s="342"/>
      <c r="F2466" s="46" t="s">
        <v>14830</v>
      </c>
      <c r="G2466" s="360" t="s">
        <v>14425</v>
      </c>
      <c r="H2466" s="360" t="s">
        <v>222</v>
      </c>
      <c r="I2466" s="344">
        <v>45765.0</v>
      </c>
      <c r="J2466" s="2124">
        <v>45849.0</v>
      </c>
      <c r="K2466" s="46" t="s">
        <v>14831</v>
      </c>
      <c r="L2466" s="56" t="s">
        <v>14832</v>
      </c>
      <c r="M2466" s="360" t="s">
        <v>14833</v>
      </c>
      <c r="N2466" s="360" t="s">
        <v>14834</v>
      </c>
      <c r="O2466" s="56">
        <v>1.0</v>
      </c>
      <c r="P2466" s="360" t="s">
        <v>14835</v>
      </c>
      <c r="Q2466" s="104" t="str">
        <f t="array" ref="Q2466"> if(iserror(MATCH(V2466, 'File Links'!C:C, 0)), "N/A", HYPERLINK(INDEX('File Links'!B:B, MATCH(P2466, 'File Links'!C:C, 0))))</f>
        <v>https://drive.google.com/file/d/1-T4sznIFSDMlo5E8C7pS0UQqY9mrcCsK/view?usp=drivesdk</v>
      </c>
      <c r="R2466" s="360" t="s">
        <v>14432</v>
      </c>
      <c r="S2466" s="360" t="s">
        <v>14433</v>
      </c>
      <c r="T2466" s="46"/>
      <c r="U2466" s="56">
        <v>1.0</v>
      </c>
      <c r="V2466" s="360" t="s">
        <v>14434</v>
      </c>
      <c r="W2466" s="56" t="s">
        <v>209</v>
      </c>
      <c r="X2466" s="54" t="str">
        <f t="array" ref="X2466"> if(iserror(MATCH(V2466, 'File Links'!C:C, 0)), "N/A", HYPERLINK(INDEX('File Links'!B:B, MATCH(V2466, 'File Links'!C:C, 0))))</f>
        <v>https://drive.google.com/file/d/17mZvRs3ue7pXwqu8bmIDvgNdc95PGEcV/view?usp=drivesdk</v>
      </c>
      <c r="Y2466" s="46"/>
      <c r="Z2466" s="360" t="s">
        <v>1079</v>
      </c>
      <c r="AA2466" s="46" t="s">
        <v>12028</v>
      </c>
      <c r="AB2466" s="360" t="s">
        <v>14436</v>
      </c>
      <c r="AC2466" s="360" t="s">
        <v>14836</v>
      </c>
      <c r="AD2466" s="46" t="s">
        <v>14837</v>
      </c>
      <c r="AE2466" s="385">
        <v>7.0</v>
      </c>
      <c r="AF2466" s="357">
        <v>187.0</v>
      </c>
      <c r="AG2466" s="385">
        <v>0.28</v>
      </c>
      <c r="AH2466" s="46" t="s">
        <v>215</v>
      </c>
      <c r="AI2466" s="46" t="s">
        <v>4979</v>
      </c>
      <c r="AJ2466" s="385">
        <v>0.001</v>
      </c>
      <c r="AK2466" s="46" t="s">
        <v>135</v>
      </c>
      <c r="AL2466" s="46" t="s">
        <v>186</v>
      </c>
      <c r="AM2466" s="46" t="s">
        <v>137</v>
      </c>
      <c r="AN2466" s="46" t="s">
        <v>138</v>
      </c>
      <c r="AO2466" s="357">
        <v>1550.0</v>
      </c>
      <c r="AP2466" s="55">
        <v>-0.29</v>
      </c>
      <c r="AQ2466" s="46" t="s">
        <v>215</v>
      </c>
      <c r="AR2466" s="46" t="s">
        <v>882</v>
      </c>
      <c r="AS2466" s="385">
        <v>0.05</v>
      </c>
      <c r="AT2466" s="46" t="s">
        <v>135</v>
      </c>
      <c r="AU2466" s="46" t="s">
        <v>136</v>
      </c>
      <c r="AV2466" s="46" t="s">
        <v>137</v>
      </c>
      <c r="AW2466" s="59" t="s">
        <v>14441</v>
      </c>
      <c r="AX2466" s="46" t="s">
        <v>143</v>
      </c>
      <c r="AY2466" s="49" t="str">
        <f>IFERROR(__xludf.DUMMYFUNCTION("vlookup(BB2466,importrange(""https://docs.google.com/spreadsheets/d/1d2vevQ_7D_v35q4wCQ4RpQ_IPoTwEMB9Yp6ymwlPqew/edit?gid=984458430#gid=984458430"", ""'replication success'!A:K""), 11, FAlSE)"),"")</f>
        <v/>
      </c>
      <c r="AZ2466" s="49" t="str">
        <f>IFERROR(__xludf.DUMMYFUNCTION("vlookup(BB2466,importrange(""https://docs.google.com/spreadsheets/d/1d2vevQ_7D_v35q4wCQ4RpQ_IPoTwEMB9Yp6ymwlPqew/edit?gid=984458430#gid=984458430"", ""'replication success'!A:M""), 12, FAlSE)"),"")</f>
        <v/>
      </c>
      <c r="BA2466" s="49" t="str">
        <f>IFERROR(__xludf.DUMMYFUNCTION("vlookup(BB2466,importrange(""https://docs.google.com/spreadsheets/d/1d2vevQ_7D_v35q4wCQ4RpQ_IPoTwEMB9Yp6ymwlPqew/edit?gid=984458430#gid=984458430"", ""'replication success'!A:M""), 13, FAlSE)"),"abstract")</f>
        <v>abstract</v>
      </c>
      <c r="BB2466" s="49" t="str">
        <f>IFERROR(__xludf.DUMMYFUNCTION("REGEXREPLACE(G2466, ""_[a-z]{1,2}$"", """")"),"Soto")</f>
        <v>Soto</v>
      </c>
      <c r="BC2466" s="46"/>
      <c r="BD2466" s="341" t="s">
        <v>1270</v>
      </c>
      <c r="BE2466" s="342"/>
      <c r="BF2466" s="342"/>
      <c r="BG2466" s="342"/>
      <c r="BH2466" s="342"/>
      <c r="BI2466" s="342"/>
      <c r="BJ2466" s="342"/>
      <c r="BK2466" s="342"/>
      <c r="BL2466" s="342"/>
      <c r="BM2466" s="342"/>
      <c r="BN2466" s="342"/>
      <c r="BO2466" s="342"/>
      <c r="BP2466" s="342"/>
      <c r="BQ2466" s="342"/>
      <c r="BR2466" s="342"/>
      <c r="BS2466" s="342"/>
      <c r="BT2466" s="342"/>
      <c r="BU2466" s="342"/>
      <c r="BV2466" s="342"/>
      <c r="BW2466" s="342"/>
      <c r="BX2466" s="342"/>
      <c r="BY2466" s="342"/>
      <c r="BZ2466" s="342"/>
      <c r="CA2466" s="342"/>
      <c r="CB2466" s="342"/>
      <c r="CC2466" s="342"/>
      <c r="CD2466" s="342"/>
      <c r="CE2466" s="342"/>
      <c r="CF2466" s="342"/>
      <c r="CG2466" s="342"/>
      <c r="CH2466" s="342"/>
      <c r="CI2466" s="342"/>
      <c r="CJ2466" s="342"/>
      <c r="CK2466" s="342"/>
      <c r="CL2466" s="342"/>
      <c r="CM2466" s="342"/>
      <c r="CN2466" s="342"/>
      <c r="CO2466" s="342"/>
      <c r="CP2466" s="342"/>
      <c r="CQ2466" s="342"/>
      <c r="CR2466" s="342"/>
      <c r="CS2466" s="342"/>
      <c r="CT2466" s="342"/>
      <c r="CU2466" s="342"/>
      <c r="CV2466" s="342"/>
      <c r="CW2466" s="342"/>
      <c r="CX2466" s="342"/>
      <c r="CY2466" s="342"/>
      <c r="CZ2466" s="342"/>
      <c r="DA2466" s="342"/>
      <c r="DB2466" s="342"/>
      <c r="DC2466" s="342"/>
      <c r="DD2466" s="342"/>
      <c r="DE2466" s="342"/>
      <c r="DF2466" s="342"/>
      <c r="DG2466" s="342"/>
      <c r="DH2466" s="342"/>
      <c r="DI2466" s="342"/>
      <c r="DJ2466" s="342"/>
      <c r="DK2466" s="342"/>
      <c r="DL2466" s="342"/>
    </row>
    <row r="2467">
      <c r="A2467" s="354">
        <v>2467.0</v>
      </c>
      <c r="B2467" s="56" t="s">
        <v>114</v>
      </c>
      <c r="C2467" s="341" t="s">
        <v>115</v>
      </c>
      <c r="D2467" s="341" t="s">
        <v>221</v>
      </c>
      <c r="E2467" s="342"/>
      <c r="F2467" s="46" t="s">
        <v>14838</v>
      </c>
      <c r="G2467" s="360" t="s">
        <v>14425</v>
      </c>
      <c r="H2467" s="360" t="s">
        <v>222</v>
      </c>
      <c r="I2467" s="344">
        <v>45765.0</v>
      </c>
      <c r="J2467" s="2124">
        <v>45849.0</v>
      </c>
      <c r="K2467" s="46" t="s">
        <v>14839</v>
      </c>
      <c r="L2467" s="56" t="s">
        <v>14832</v>
      </c>
      <c r="M2467" s="360" t="s">
        <v>14833</v>
      </c>
      <c r="N2467" s="360" t="s">
        <v>14834</v>
      </c>
      <c r="O2467" s="56">
        <v>1.0</v>
      </c>
      <c r="P2467" s="360" t="s">
        <v>14835</v>
      </c>
      <c r="Q2467" s="104" t="str">
        <f t="array" ref="Q2467"> if(iserror(MATCH(V2467, 'File Links'!C:C, 0)), "N/A", HYPERLINK(INDEX('File Links'!B:B, MATCH(P2467, 'File Links'!C:C, 0))))</f>
        <v>https://drive.google.com/file/d/1-T4sznIFSDMlo5E8C7pS0UQqY9mrcCsK/view?usp=drivesdk</v>
      </c>
      <c r="R2467" s="360" t="s">
        <v>14432</v>
      </c>
      <c r="S2467" s="360" t="s">
        <v>14433</v>
      </c>
      <c r="T2467" s="46"/>
      <c r="U2467" s="56">
        <v>1.0</v>
      </c>
      <c r="V2467" s="360" t="s">
        <v>14434</v>
      </c>
      <c r="W2467" s="56" t="s">
        <v>209</v>
      </c>
      <c r="X2467" s="54" t="str">
        <f t="array" ref="X2467"> if(iserror(MATCH(V2467, 'File Links'!C:C, 0)), "N/A", HYPERLINK(INDEX('File Links'!B:B, MATCH(V2467, 'File Links'!C:C, 0))))</f>
        <v>https://drive.google.com/file/d/17mZvRs3ue7pXwqu8bmIDvgNdc95PGEcV/view?usp=drivesdk</v>
      </c>
      <c r="Y2467" s="46"/>
      <c r="Z2467" s="360" t="s">
        <v>1079</v>
      </c>
      <c r="AA2467" s="46" t="s">
        <v>12028</v>
      </c>
      <c r="AB2467" s="360" t="s">
        <v>14436</v>
      </c>
      <c r="AC2467" s="360" t="s">
        <v>14840</v>
      </c>
      <c r="AD2467" s="46" t="s">
        <v>14837</v>
      </c>
      <c r="AE2467" s="385">
        <v>7.0</v>
      </c>
      <c r="AF2467" s="357">
        <v>187.0</v>
      </c>
      <c r="AG2467" s="385">
        <v>-0.28</v>
      </c>
      <c r="AH2467" s="46" t="s">
        <v>215</v>
      </c>
      <c r="AI2467" s="46" t="s">
        <v>4979</v>
      </c>
      <c r="AJ2467" s="385">
        <v>0.001</v>
      </c>
      <c r="AK2467" s="46" t="s">
        <v>135</v>
      </c>
      <c r="AL2467" s="46" t="s">
        <v>186</v>
      </c>
      <c r="AM2467" s="46" t="s">
        <v>137</v>
      </c>
      <c r="AN2467" s="46" t="s">
        <v>138</v>
      </c>
      <c r="AO2467" s="357">
        <v>1550.0</v>
      </c>
      <c r="AP2467" s="55">
        <v>0.07</v>
      </c>
      <c r="AQ2467" s="46" t="s">
        <v>215</v>
      </c>
      <c r="AR2467" s="46" t="s">
        <v>882</v>
      </c>
      <c r="AS2467" s="385">
        <v>0.05</v>
      </c>
      <c r="AT2467" s="46" t="s">
        <v>135</v>
      </c>
      <c r="AU2467" s="46" t="s">
        <v>136</v>
      </c>
      <c r="AV2467" s="46" t="s">
        <v>137</v>
      </c>
      <c r="AW2467" s="59" t="s">
        <v>14441</v>
      </c>
      <c r="AX2467" s="46" t="s">
        <v>143</v>
      </c>
      <c r="AY2467" s="49" t="str">
        <f>IFERROR(__xludf.DUMMYFUNCTION("vlookup(BB2467,importrange(""https://docs.google.com/spreadsheets/d/1d2vevQ_7D_v35q4wCQ4RpQ_IPoTwEMB9Yp6ymwlPqew/edit?gid=984458430#gid=984458430"", ""'replication success'!A:K""), 11, FAlSE)"),"")</f>
        <v/>
      </c>
      <c r="AZ2467" s="49" t="str">
        <f>IFERROR(__xludf.DUMMYFUNCTION("vlookup(BB2467,importrange(""https://docs.google.com/spreadsheets/d/1d2vevQ_7D_v35q4wCQ4RpQ_IPoTwEMB9Yp6ymwlPqew/edit?gid=984458430#gid=984458430"", ""'replication success'!A:M""), 12, FAlSE)"),"")</f>
        <v/>
      </c>
      <c r="BA2467" s="49" t="str">
        <f>IFERROR(__xludf.DUMMYFUNCTION("vlookup(BB2467,importrange(""https://docs.google.com/spreadsheets/d/1d2vevQ_7D_v35q4wCQ4RpQ_IPoTwEMB9Yp6ymwlPqew/edit?gid=984458430#gid=984458430"", ""'replication success'!A:M""), 13, FAlSE)"),"abstract")</f>
        <v>abstract</v>
      </c>
      <c r="BB2467" s="49" t="str">
        <f>IFERROR(__xludf.DUMMYFUNCTION("REGEXREPLACE(G2467, ""_[a-z]{1,2}$"", """")"),"Soto")</f>
        <v>Soto</v>
      </c>
      <c r="BC2467" s="46"/>
      <c r="BD2467" s="341" t="s">
        <v>1270</v>
      </c>
      <c r="BE2467" s="342"/>
      <c r="BF2467" s="342"/>
      <c r="BG2467" s="342"/>
      <c r="BH2467" s="342"/>
      <c r="BI2467" s="342"/>
      <c r="BJ2467" s="342"/>
      <c r="BK2467" s="342"/>
      <c r="BL2467" s="342"/>
      <c r="BM2467" s="342"/>
      <c r="BN2467" s="342"/>
      <c r="BO2467" s="342"/>
      <c r="BP2467" s="342"/>
      <c r="BQ2467" s="342"/>
      <c r="BR2467" s="342"/>
      <c r="BS2467" s="342"/>
      <c r="BT2467" s="342"/>
      <c r="BU2467" s="342"/>
      <c r="BV2467" s="342"/>
      <c r="BW2467" s="342"/>
      <c r="BX2467" s="342"/>
      <c r="BY2467" s="342"/>
      <c r="BZ2467" s="342"/>
      <c r="CA2467" s="342"/>
      <c r="CB2467" s="342"/>
      <c r="CC2467" s="342"/>
      <c r="CD2467" s="342"/>
      <c r="CE2467" s="342"/>
      <c r="CF2467" s="342"/>
      <c r="CG2467" s="342"/>
      <c r="CH2467" s="342"/>
      <c r="CI2467" s="342"/>
      <c r="CJ2467" s="342"/>
      <c r="CK2467" s="342"/>
      <c r="CL2467" s="342"/>
      <c r="CM2467" s="342"/>
      <c r="CN2467" s="342"/>
      <c r="CO2467" s="342"/>
      <c r="CP2467" s="342"/>
      <c r="CQ2467" s="342"/>
      <c r="CR2467" s="342"/>
      <c r="CS2467" s="342"/>
      <c r="CT2467" s="342"/>
      <c r="CU2467" s="342"/>
      <c r="CV2467" s="342"/>
      <c r="CW2467" s="342"/>
      <c r="CX2467" s="342"/>
      <c r="CY2467" s="342"/>
      <c r="CZ2467" s="342"/>
      <c r="DA2467" s="342"/>
      <c r="DB2467" s="342"/>
      <c r="DC2467" s="342"/>
      <c r="DD2467" s="342"/>
      <c r="DE2467" s="342"/>
      <c r="DF2467" s="342"/>
      <c r="DG2467" s="342"/>
      <c r="DH2467" s="342"/>
      <c r="DI2467" s="342"/>
      <c r="DJ2467" s="342"/>
      <c r="DK2467" s="342"/>
      <c r="DL2467" s="342"/>
    </row>
    <row r="2468">
      <c r="A2468" s="44">
        <v>2468.0</v>
      </c>
      <c r="B2468" s="1135" t="s">
        <v>114</v>
      </c>
      <c r="C2468" s="421" t="s">
        <v>115</v>
      </c>
      <c r="D2468" s="421" t="s">
        <v>221</v>
      </c>
      <c r="E2468" s="365"/>
      <c r="F2468" s="436" t="s">
        <v>14841</v>
      </c>
      <c r="G2468" s="1103" t="s">
        <v>14425</v>
      </c>
      <c r="H2468" s="1103" t="s">
        <v>222</v>
      </c>
      <c r="I2468" s="1136">
        <v>45765.0</v>
      </c>
      <c r="J2468" s="2126">
        <v>45849.0</v>
      </c>
      <c r="K2468" s="436" t="s">
        <v>14842</v>
      </c>
      <c r="L2468" s="1135" t="s">
        <v>14843</v>
      </c>
      <c r="M2468" s="1103" t="s">
        <v>14844</v>
      </c>
      <c r="N2468" s="436" t="s">
        <v>14845</v>
      </c>
      <c r="O2468" s="1135">
        <v>3.0</v>
      </c>
      <c r="P2468" s="1103" t="s">
        <v>14846</v>
      </c>
      <c r="Q2468" s="2132" t="str">
        <f t="array" ref="Q2468"> if(iserror(MATCH(V2468, 'File Links'!C:C, 0)), "N/A", HYPERLINK(INDEX('File Links'!B:B, MATCH(P2468, 'File Links'!C:C, 0))))</f>
        <v>https://drive.google.com/file/d/1dhF34wzocQXuQuO5C6a-2Ah86pPkgSjw/view?usp=drivesdk</v>
      </c>
      <c r="R2468" s="1103" t="s">
        <v>14432</v>
      </c>
      <c r="S2468" s="1103" t="s">
        <v>14433</v>
      </c>
      <c r="T2468" s="436"/>
      <c r="U2468" s="56">
        <v>1.0</v>
      </c>
      <c r="V2468" s="1103" t="s">
        <v>14434</v>
      </c>
      <c r="W2468" s="1135" t="s">
        <v>209</v>
      </c>
      <c r="X2468" s="2133" t="str">
        <f t="array" ref="X2468"> if(iserror(MATCH(V2468, 'File Links'!C:C, 0)), "N/A", HYPERLINK(INDEX('File Links'!B:B, MATCH(V2468, 'File Links'!C:C, 0))))</f>
        <v>https://drive.google.com/file/d/17mZvRs3ue7pXwqu8bmIDvgNdc95PGEcV/view?usp=drivesdk</v>
      </c>
      <c r="Y2468" s="436"/>
      <c r="Z2468" s="1103" t="s">
        <v>1079</v>
      </c>
      <c r="AA2468" s="46" t="s">
        <v>12028</v>
      </c>
      <c r="AB2468" s="1103" t="s">
        <v>14436</v>
      </c>
      <c r="AC2468" s="1103" t="s">
        <v>14847</v>
      </c>
      <c r="AD2468" s="1135" t="s">
        <v>14848</v>
      </c>
      <c r="AE2468" s="1135" t="s">
        <v>13165</v>
      </c>
      <c r="AF2468" s="1137">
        <v>197.0</v>
      </c>
      <c r="AG2468" s="1145">
        <v>-0.25</v>
      </c>
      <c r="AH2468" s="436" t="s">
        <v>215</v>
      </c>
      <c r="AI2468" s="436" t="s">
        <v>2022</v>
      </c>
      <c r="AJ2468" s="1145">
        <v>0.01</v>
      </c>
      <c r="AK2468" s="436" t="s">
        <v>135</v>
      </c>
      <c r="AL2468" s="46" t="s">
        <v>186</v>
      </c>
      <c r="AM2468" s="436" t="s">
        <v>137</v>
      </c>
      <c r="AN2468" s="436" t="s">
        <v>138</v>
      </c>
      <c r="AO2468" s="1137">
        <v>1550.0</v>
      </c>
      <c r="AP2468" s="1145">
        <v>-0.23</v>
      </c>
      <c r="AQ2468" s="436" t="s">
        <v>215</v>
      </c>
      <c r="AR2468" s="436" t="s">
        <v>140</v>
      </c>
      <c r="AS2468" s="2134">
        <v>1.17751552493748E-19</v>
      </c>
      <c r="AT2468" s="46" t="s">
        <v>172</v>
      </c>
      <c r="AU2468" s="436" t="s">
        <v>136</v>
      </c>
      <c r="AV2468" s="436" t="s">
        <v>137</v>
      </c>
      <c r="AW2468" s="2135" t="s">
        <v>14441</v>
      </c>
      <c r="AX2468" s="436" t="s">
        <v>143</v>
      </c>
      <c r="AY2468" s="426" t="str">
        <f>IFERROR(__xludf.DUMMYFUNCTION("vlookup(BB2468,importrange(""https://docs.google.com/spreadsheets/d/1d2vevQ_7D_v35q4wCQ4RpQ_IPoTwEMB9Yp6ymwlPqew/edit?gid=984458430#gid=984458430"", ""'replication success'!A:K""), 11, FAlSE)"),"")</f>
        <v/>
      </c>
      <c r="AZ2468" s="426" t="str">
        <f>IFERROR(__xludf.DUMMYFUNCTION("vlookup(BB2468,importrange(""https://docs.google.com/spreadsheets/d/1d2vevQ_7D_v35q4wCQ4RpQ_IPoTwEMB9Yp6ymwlPqew/edit?gid=984458430#gid=984458430"", ""'replication success'!A:M""), 12, FAlSE)"),"")</f>
        <v/>
      </c>
      <c r="BA2468" s="426" t="str">
        <f>IFERROR(__xludf.DUMMYFUNCTION("vlookup(BB2468,importrange(""https://docs.google.com/spreadsheets/d/1d2vevQ_7D_v35q4wCQ4RpQ_IPoTwEMB9Yp6ymwlPqew/edit?gid=984458430#gid=984458430"", ""'replication success'!A:M""), 13, FAlSE)"),"abstract")</f>
        <v>abstract</v>
      </c>
      <c r="BB2468" s="426" t="str">
        <f>IFERROR(__xludf.DUMMYFUNCTION("REGEXREPLACE(G2468, ""_[a-z]{1,2}$"", """")"),"Soto")</f>
        <v>Soto</v>
      </c>
      <c r="BC2468" s="436"/>
      <c r="BD2468" s="341" t="s">
        <v>1270</v>
      </c>
      <c r="BE2468" s="365"/>
      <c r="BF2468" s="365"/>
      <c r="BG2468" s="365"/>
      <c r="BH2468" s="365"/>
      <c r="BI2468" s="365"/>
      <c r="BJ2468" s="365"/>
      <c r="BK2468" s="365"/>
      <c r="BL2468" s="365"/>
      <c r="BM2468" s="365"/>
      <c r="BN2468" s="365"/>
      <c r="BO2468" s="365"/>
      <c r="BP2468" s="365"/>
      <c r="BQ2468" s="365"/>
      <c r="BR2468" s="365"/>
      <c r="BS2468" s="365"/>
      <c r="BT2468" s="365"/>
      <c r="BU2468" s="365"/>
      <c r="BV2468" s="365"/>
      <c r="BW2468" s="365"/>
      <c r="BX2468" s="365"/>
      <c r="BY2468" s="365"/>
      <c r="BZ2468" s="365"/>
      <c r="CA2468" s="365"/>
      <c r="CB2468" s="365"/>
      <c r="CC2468" s="365"/>
      <c r="CD2468" s="365"/>
      <c r="CE2468" s="365"/>
      <c r="CF2468" s="365"/>
      <c r="CG2468" s="365"/>
      <c r="CH2468" s="365"/>
      <c r="CI2468" s="365"/>
      <c r="CJ2468" s="365"/>
      <c r="CK2468" s="365"/>
      <c r="CL2468" s="365"/>
      <c r="CM2468" s="365"/>
      <c r="CN2468" s="365"/>
      <c r="CO2468" s="365"/>
      <c r="CP2468" s="365"/>
      <c r="CQ2468" s="365"/>
      <c r="CR2468" s="365"/>
      <c r="CS2468" s="365"/>
      <c r="CT2468" s="365"/>
      <c r="CU2468" s="365"/>
      <c r="CV2468" s="365"/>
      <c r="CW2468" s="365"/>
      <c r="CX2468" s="365"/>
      <c r="CY2468" s="365"/>
      <c r="CZ2468" s="365"/>
      <c r="DA2468" s="365"/>
      <c r="DB2468" s="365"/>
      <c r="DC2468" s="365"/>
      <c r="DD2468" s="365"/>
      <c r="DE2468" s="365"/>
      <c r="DF2468" s="365"/>
      <c r="DG2468" s="365"/>
      <c r="DH2468" s="365"/>
      <c r="DI2468" s="365"/>
      <c r="DJ2468" s="365"/>
      <c r="DK2468" s="365"/>
      <c r="DL2468" s="365"/>
    </row>
    <row r="2469">
      <c r="A2469" s="44">
        <v>2469.0</v>
      </c>
      <c r="B2469" s="1135" t="s">
        <v>114</v>
      </c>
      <c r="C2469" s="421" t="s">
        <v>115</v>
      </c>
      <c r="D2469" s="421" t="s">
        <v>221</v>
      </c>
      <c r="E2469" s="365"/>
      <c r="F2469" s="436" t="s">
        <v>14849</v>
      </c>
      <c r="G2469" s="1103" t="s">
        <v>14425</v>
      </c>
      <c r="H2469" s="1103" t="s">
        <v>222</v>
      </c>
      <c r="I2469" s="1136">
        <v>45765.0</v>
      </c>
      <c r="J2469" s="2126">
        <v>45849.0</v>
      </c>
      <c r="K2469" s="436" t="s">
        <v>14842</v>
      </c>
      <c r="L2469" s="1135" t="s">
        <v>14843</v>
      </c>
      <c r="M2469" s="1103" t="s">
        <v>14844</v>
      </c>
      <c r="N2469" s="436" t="s">
        <v>14845</v>
      </c>
      <c r="O2469" s="1135">
        <v>3.0</v>
      </c>
      <c r="P2469" s="1103" t="s">
        <v>14846</v>
      </c>
      <c r="Q2469" s="2132" t="str">
        <f t="array" ref="Q2469"> if(iserror(MATCH(V2469, 'File Links'!C:C, 0)), "N/A", HYPERLINK(INDEX('File Links'!B:B, MATCH(P2469, 'File Links'!C:C, 0))))</f>
        <v>https://drive.google.com/file/d/1dhF34wzocQXuQuO5C6a-2Ah86pPkgSjw/view?usp=drivesdk</v>
      </c>
      <c r="R2469" s="1103" t="s">
        <v>14432</v>
      </c>
      <c r="S2469" s="1103" t="s">
        <v>14433</v>
      </c>
      <c r="T2469" s="436"/>
      <c r="U2469" s="56">
        <v>1.0</v>
      </c>
      <c r="V2469" s="1103" t="s">
        <v>14434</v>
      </c>
      <c r="W2469" s="1135" t="s">
        <v>209</v>
      </c>
      <c r="X2469" s="2133" t="str">
        <f t="array" ref="X2469"> if(iserror(MATCH(V2469, 'File Links'!C:C, 0)), "N/A", HYPERLINK(INDEX('File Links'!B:B, MATCH(V2469, 'File Links'!C:C, 0))))</f>
        <v>https://drive.google.com/file/d/17mZvRs3ue7pXwqu8bmIDvgNdc95PGEcV/view?usp=drivesdk</v>
      </c>
      <c r="Y2469" s="436"/>
      <c r="Z2469" s="1103" t="s">
        <v>1079</v>
      </c>
      <c r="AA2469" s="46" t="s">
        <v>12028</v>
      </c>
      <c r="AB2469" s="1103" t="s">
        <v>14436</v>
      </c>
      <c r="AC2469" s="1103" t="s">
        <v>14850</v>
      </c>
      <c r="AD2469" s="1135" t="s">
        <v>14851</v>
      </c>
      <c r="AE2469" s="1135" t="s">
        <v>13165</v>
      </c>
      <c r="AF2469" s="1137">
        <v>197.0</v>
      </c>
      <c r="AG2469" s="1145">
        <v>-0.3</v>
      </c>
      <c r="AH2469" s="436" t="s">
        <v>215</v>
      </c>
      <c r="AI2469" s="436" t="s">
        <v>2022</v>
      </c>
      <c r="AJ2469" s="1145">
        <v>0.01</v>
      </c>
      <c r="AK2469" s="436" t="s">
        <v>135</v>
      </c>
      <c r="AL2469" s="46" t="s">
        <v>186</v>
      </c>
      <c r="AM2469" s="436" t="s">
        <v>137</v>
      </c>
      <c r="AN2469" s="436" t="s">
        <v>138</v>
      </c>
      <c r="AO2469" s="1137">
        <v>1550.0</v>
      </c>
      <c r="AP2469" s="1937">
        <v>-0.19</v>
      </c>
      <c r="AQ2469" s="436" t="s">
        <v>215</v>
      </c>
      <c r="AR2469" s="436" t="s">
        <v>140</v>
      </c>
      <c r="AS2469" s="1145">
        <v>0.05</v>
      </c>
      <c r="AT2469" s="436" t="s">
        <v>135</v>
      </c>
      <c r="AU2469" s="436" t="s">
        <v>136</v>
      </c>
      <c r="AV2469" s="436" t="s">
        <v>137</v>
      </c>
      <c r="AW2469" s="2135" t="s">
        <v>14441</v>
      </c>
      <c r="AX2469" s="436" t="s">
        <v>143</v>
      </c>
      <c r="AY2469" s="426" t="str">
        <f>IFERROR(__xludf.DUMMYFUNCTION("vlookup(BB2469,importrange(""https://docs.google.com/spreadsheets/d/1d2vevQ_7D_v35q4wCQ4RpQ_IPoTwEMB9Yp6ymwlPqew/edit?gid=984458430#gid=984458430"", ""'replication success'!A:K""), 11, FAlSE)"),"")</f>
        <v/>
      </c>
      <c r="AZ2469" s="426" t="str">
        <f>IFERROR(__xludf.DUMMYFUNCTION("vlookup(BB2469,importrange(""https://docs.google.com/spreadsheets/d/1d2vevQ_7D_v35q4wCQ4RpQ_IPoTwEMB9Yp6ymwlPqew/edit?gid=984458430#gid=984458430"", ""'replication success'!A:M""), 12, FAlSE)"),"")</f>
        <v/>
      </c>
      <c r="BA2469" s="426" t="str">
        <f>IFERROR(__xludf.DUMMYFUNCTION("vlookup(BB2469,importrange(""https://docs.google.com/spreadsheets/d/1d2vevQ_7D_v35q4wCQ4RpQ_IPoTwEMB9Yp6ymwlPqew/edit?gid=984458430#gid=984458430"", ""'replication success'!A:M""), 13, FAlSE)"),"abstract")</f>
        <v>abstract</v>
      </c>
      <c r="BB2469" s="426" t="str">
        <f>IFERROR(__xludf.DUMMYFUNCTION("REGEXREPLACE(G2469, ""_[a-z]{1,2}$"", """")"),"Soto")</f>
        <v>Soto</v>
      </c>
      <c r="BC2469" s="436"/>
      <c r="BD2469" s="341" t="s">
        <v>1270</v>
      </c>
      <c r="BE2469" s="365"/>
      <c r="BF2469" s="365"/>
      <c r="BG2469" s="365"/>
      <c r="BH2469" s="365"/>
      <c r="BI2469" s="365"/>
      <c r="BJ2469" s="365"/>
      <c r="BK2469" s="365"/>
      <c r="BL2469" s="365"/>
      <c r="BM2469" s="365"/>
      <c r="BN2469" s="365"/>
      <c r="BO2469" s="365"/>
      <c r="BP2469" s="365"/>
      <c r="BQ2469" s="365"/>
      <c r="BR2469" s="365"/>
      <c r="BS2469" s="365"/>
      <c r="BT2469" s="365"/>
      <c r="BU2469" s="365"/>
      <c r="BV2469" s="365"/>
      <c r="BW2469" s="365"/>
      <c r="BX2469" s="365"/>
      <c r="BY2469" s="365"/>
      <c r="BZ2469" s="365"/>
      <c r="CA2469" s="365"/>
      <c r="CB2469" s="365"/>
      <c r="CC2469" s="365"/>
      <c r="CD2469" s="365"/>
      <c r="CE2469" s="365"/>
      <c r="CF2469" s="365"/>
      <c r="CG2469" s="365"/>
      <c r="CH2469" s="365"/>
      <c r="CI2469" s="365"/>
      <c r="CJ2469" s="365"/>
      <c r="CK2469" s="365"/>
      <c r="CL2469" s="365"/>
      <c r="CM2469" s="365"/>
      <c r="CN2469" s="365"/>
      <c r="CO2469" s="365"/>
      <c r="CP2469" s="365"/>
      <c r="CQ2469" s="365"/>
      <c r="CR2469" s="365"/>
      <c r="CS2469" s="365"/>
      <c r="CT2469" s="365"/>
      <c r="CU2469" s="365"/>
      <c r="CV2469" s="365"/>
      <c r="CW2469" s="365"/>
      <c r="CX2469" s="365"/>
      <c r="CY2469" s="365"/>
      <c r="CZ2469" s="365"/>
      <c r="DA2469" s="365"/>
      <c r="DB2469" s="365"/>
      <c r="DC2469" s="365"/>
      <c r="DD2469" s="365"/>
      <c r="DE2469" s="365"/>
      <c r="DF2469" s="365"/>
      <c r="DG2469" s="365"/>
      <c r="DH2469" s="365"/>
      <c r="DI2469" s="365"/>
      <c r="DJ2469" s="365"/>
      <c r="DK2469" s="365"/>
      <c r="DL2469" s="365"/>
    </row>
    <row r="2470">
      <c r="A2470" s="44">
        <v>2470.0</v>
      </c>
      <c r="B2470" s="374" t="s">
        <v>152</v>
      </c>
      <c r="C2470" s="188" t="s">
        <v>115</v>
      </c>
      <c r="D2470" s="188" t="s">
        <v>1458</v>
      </c>
      <c r="E2470" s="189"/>
      <c r="F2470" s="190" t="s">
        <v>14631</v>
      </c>
      <c r="G2470" s="198" t="s">
        <v>14425</v>
      </c>
      <c r="H2470" s="198" t="s">
        <v>8501</v>
      </c>
      <c r="I2470" s="191">
        <v>45251.0</v>
      </c>
      <c r="J2470" s="2110">
        <v>45814.0</v>
      </c>
      <c r="K2470" s="190" t="s">
        <v>14852</v>
      </c>
      <c r="L2470" s="374" t="s">
        <v>14853</v>
      </c>
      <c r="M2470" s="198" t="s">
        <v>14634</v>
      </c>
      <c r="N2470" s="198" t="s">
        <v>14635</v>
      </c>
      <c r="O2470" s="750">
        <v>1.0</v>
      </c>
      <c r="P2470" s="198" t="s">
        <v>14636</v>
      </c>
      <c r="Q2470" s="1168" t="str">
        <f t="array" ref="Q2470"> if(iserror(MATCH(V2470, 'File Links'!C:C, 0)), "N/A", HYPERLINK(INDEX('File Links'!B:B, MATCH(P2470, 'File Links'!C:C, 0))))</f>
        <v>https://drive.google.com/file/d/1NUoPD3eW0MR4HJ1BQoG7-ngWy5-ADbSy/view?usp=drivesdk</v>
      </c>
      <c r="R2470" s="198" t="s">
        <v>14432</v>
      </c>
      <c r="S2470" s="159" t="s">
        <v>14433</v>
      </c>
      <c r="T2470" s="190" t="s">
        <v>138</v>
      </c>
      <c r="U2470" s="750">
        <v>1.0</v>
      </c>
      <c r="V2470" s="198" t="s">
        <v>14434</v>
      </c>
      <c r="W2470" s="374" t="s">
        <v>209</v>
      </c>
      <c r="X2470" s="1169" t="str">
        <f t="array" ref="X2470"> if(iserror(MATCH(V2470, 'File Links'!C:C, 0)), "N/A", HYPERLINK(INDEX('File Links'!B:B, MATCH(V2470, 'File Links'!C:C, 0))))</f>
        <v>https://drive.google.com/file/d/17mZvRs3ue7pXwqu8bmIDvgNdc95PGEcV/view?usp=drivesdk</v>
      </c>
      <c r="Y2470" s="190"/>
      <c r="Z2470" s="198" t="s">
        <v>1079</v>
      </c>
      <c r="AA2470" s="374" t="s">
        <v>14637</v>
      </c>
      <c r="AB2470" s="198" t="s">
        <v>14436</v>
      </c>
      <c r="AC2470" s="198" t="s">
        <v>14638</v>
      </c>
      <c r="AD2470" s="129" t="s">
        <v>14854</v>
      </c>
      <c r="AE2470" s="336">
        <v>7.0</v>
      </c>
      <c r="AF2470" s="758">
        <v>418.0</v>
      </c>
      <c r="AG2470" s="565">
        <v>0.41</v>
      </c>
      <c r="AH2470" s="68" t="s">
        <v>215</v>
      </c>
      <c r="AI2470" s="68" t="s">
        <v>4979</v>
      </c>
      <c r="AJ2470" s="347" t="s">
        <v>138</v>
      </c>
      <c r="AK2470" s="347" t="s">
        <v>138</v>
      </c>
      <c r="AL2470" s="68" t="s">
        <v>186</v>
      </c>
      <c r="AM2470" s="68" t="s">
        <v>137</v>
      </c>
      <c r="AN2470" s="190" t="s">
        <v>138</v>
      </c>
      <c r="AO2470" s="758">
        <v>1549.0</v>
      </c>
      <c r="AP2470" s="750">
        <v>0.35</v>
      </c>
      <c r="AQ2470" s="190" t="s">
        <v>215</v>
      </c>
      <c r="AR2470" s="190" t="s">
        <v>882</v>
      </c>
      <c r="AS2470" s="2116">
        <v>1.45353153159928E-45</v>
      </c>
      <c r="AT2470" s="1793" t="s">
        <v>172</v>
      </c>
      <c r="AU2470" s="190" t="s">
        <v>136</v>
      </c>
      <c r="AV2470" s="68" t="s">
        <v>137</v>
      </c>
      <c r="AW2470" s="877" t="s">
        <v>14855</v>
      </c>
      <c r="AX2470" s="190" t="s">
        <v>151</v>
      </c>
      <c r="AY2470" s="61" t="str">
        <f>IFERROR(__xludf.DUMMYFUNCTION("vlookup(BB2470,importrange(""https://docs.google.com/spreadsheets/d/1d2vevQ_7D_v35q4wCQ4RpQ_IPoTwEMB9Yp6ymwlPqew/edit?gid=984458430#gid=984458430"", ""'replication success'!A:K""), 11, FAlSE)"),"")</f>
        <v/>
      </c>
      <c r="AZ2470" s="61" t="str">
        <f>IFERROR(__xludf.DUMMYFUNCTION("vlookup(BB2470,importrange(""https://docs.google.com/spreadsheets/d/1d2vevQ_7D_v35q4wCQ4RpQ_IPoTwEMB9Yp6ymwlPqew/edit?gid=984458430#gid=984458430"", ""'replication success'!A:M""), 12, FAlSE)"),"")</f>
        <v/>
      </c>
      <c r="BA2470" s="61" t="str">
        <f>IFERROR(__xludf.DUMMYFUNCTION("vlookup(BB2470,importrange(""https://docs.google.com/spreadsheets/d/1d2vevQ_7D_v35q4wCQ4RpQ_IPoTwEMB9Yp6ymwlPqew/edit?gid=984458430#gid=984458430"", ""'replication success'!A:M""), 13, FAlSE)"),"abstract")</f>
        <v>abstract</v>
      </c>
      <c r="BB2470" s="61" t="str">
        <f>IFERROR(__xludf.DUMMYFUNCTION("REGEXREPLACE(G2470, ""_[a-z]{1,2}$"", """")"),"Soto")</f>
        <v>Soto</v>
      </c>
      <c r="BC2470" s="190"/>
      <c r="BD2470" s="188" t="s">
        <v>1270</v>
      </c>
      <c r="BE2470" s="189"/>
      <c r="BF2470" s="189"/>
      <c r="BG2470" s="189"/>
      <c r="BH2470" s="189"/>
      <c r="BI2470" s="189"/>
      <c r="BJ2470" s="189"/>
      <c r="BK2470" s="189"/>
      <c r="BL2470" s="189"/>
      <c r="BM2470" s="189"/>
      <c r="BN2470" s="189"/>
      <c r="BO2470" s="189"/>
      <c r="BP2470" s="189"/>
      <c r="BQ2470" s="189"/>
      <c r="BR2470" s="189"/>
      <c r="BS2470" s="189"/>
      <c r="BT2470" s="189"/>
      <c r="BU2470" s="189"/>
      <c r="BV2470" s="189"/>
      <c r="BW2470" s="189"/>
      <c r="BX2470" s="189"/>
      <c r="BY2470" s="189"/>
      <c r="BZ2470" s="189"/>
      <c r="CA2470" s="189"/>
      <c r="CB2470" s="189"/>
      <c r="CC2470" s="189"/>
      <c r="CD2470" s="189"/>
      <c r="CE2470" s="189"/>
      <c r="CF2470" s="189"/>
      <c r="CG2470" s="189"/>
      <c r="CH2470" s="189"/>
      <c r="CI2470" s="189"/>
      <c r="CJ2470" s="189"/>
      <c r="CK2470" s="189"/>
      <c r="CL2470" s="189"/>
      <c r="CM2470" s="189"/>
      <c r="CN2470" s="189"/>
      <c r="CO2470" s="189"/>
      <c r="CP2470" s="189"/>
      <c r="CQ2470" s="189"/>
      <c r="CR2470" s="189"/>
      <c r="CS2470" s="189"/>
      <c r="CT2470" s="189"/>
      <c r="CU2470" s="189"/>
      <c r="CV2470" s="189"/>
      <c r="CW2470" s="189"/>
      <c r="CX2470" s="189"/>
      <c r="CY2470" s="189"/>
      <c r="CZ2470" s="189"/>
      <c r="DA2470" s="189"/>
      <c r="DB2470" s="189"/>
      <c r="DC2470" s="189"/>
      <c r="DD2470" s="189"/>
      <c r="DE2470" s="189"/>
      <c r="DF2470" s="189"/>
      <c r="DG2470" s="189"/>
      <c r="DH2470" s="189"/>
      <c r="DI2470" s="189"/>
      <c r="DJ2470" s="189"/>
      <c r="DK2470" s="189"/>
      <c r="DL2470" s="189"/>
    </row>
    <row r="2471">
      <c r="A2471" s="44">
        <v>2471.0</v>
      </c>
      <c r="B2471" s="129" t="s">
        <v>152</v>
      </c>
      <c r="C2471" s="62" t="s">
        <v>115</v>
      </c>
      <c r="D2471" s="62" t="s">
        <v>1458</v>
      </c>
      <c r="F2471" s="68" t="s">
        <v>14640</v>
      </c>
      <c r="G2471" s="159" t="s">
        <v>14425</v>
      </c>
      <c r="H2471" s="159" t="s">
        <v>8501</v>
      </c>
      <c r="I2471" s="152">
        <v>45251.0</v>
      </c>
      <c r="J2471" s="2110">
        <v>45814.0</v>
      </c>
      <c r="K2471" s="68" t="s">
        <v>14856</v>
      </c>
      <c r="L2471" s="374" t="s">
        <v>14857</v>
      </c>
      <c r="M2471" s="159" t="s">
        <v>14634</v>
      </c>
      <c r="N2471" s="159" t="s">
        <v>14635</v>
      </c>
      <c r="O2471" s="336">
        <v>1.0</v>
      </c>
      <c r="P2471" s="382" t="s">
        <v>14636</v>
      </c>
      <c r="Q2471" s="52" t="str">
        <f t="array" ref="Q2471"> if(iserror(MATCH(V2471, 'File Links'!C:C, 0)), "N/A", HYPERLINK(INDEX('File Links'!B:B, MATCH(P2471, 'File Links'!C:C, 0))))</f>
        <v>https://drive.google.com/file/d/1NUoPD3eW0MR4HJ1BQoG7-ngWy5-ADbSy/view?usp=drivesdk</v>
      </c>
      <c r="R2471" s="159" t="s">
        <v>14432</v>
      </c>
      <c r="S2471" s="159" t="s">
        <v>14433</v>
      </c>
      <c r="T2471" s="68" t="s">
        <v>138</v>
      </c>
      <c r="U2471" s="336">
        <v>1.0</v>
      </c>
      <c r="V2471" s="382" t="s">
        <v>14434</v>
      </c>
      <c r="W2471" s="295" t="s">
        <v>209</v>
      </c>
      <c r="X2471" s="54" t="str">
        <f t="array" ref="X2471"> if(iserror(MATCH(V2471, 'File Links'!C:C, 0)), "N/A", HYPERLINK(INDEX('File Links'!B:B, MATCH(V2471, 'File Links'!C:C, 0))))</f>
        <v>https://drive.google.com/file/d/17mZvRs3ue7pXwqu8bmIDvgNdc95PGEcV/view?usp=drivesdk</v>
      </c>
      <c r="Y2471" s="68"/>
      <c r="Z2471" s="159" t="s">
        <v>1079</v>
      </c>
      <c r="AA2471" s="129" t="s">
        <v>14641</v>
      </c>
      <c r="AB2471" s="159" t="s">
        <v>14436</v>
      </c>
      <c r="AC2471" s="159" t="s">
        <v>14642</v>
      </c>
      <c r="AD2471" s="68" t="s">
        <v>14858</v>
      </c>
      <c r="AE2471" s="336">
        <v>7.0</v>
      </c>
      <c r="AF2471" s="156">
        <v>418.0</v>
      </c>
      <c r="AG2471" s="336">
        <v>0.17</v>
      </c>
      <c r="AH2471" s="68" t="s">
        <v>215</v>
      </c>
      <c r="AI2471" s="68" t="s">
        <v>4979</v>
      </c>
      <c r="AJ2471" s="347" t="s">
        <v>138</v>
      </c>
      <c r="AK2471" s="347" t="s">
        <v>138</v>
      </c>
      <c r="AL2471" s="68" t="s">
        <v>186</v>
      </c>
      <c r="AM2471" s="68" t="s">
        <v>137</v>
      </c>
      <c r="AN2471" s="68" t="s">
        <v>138</v>
      </c>
      <c r="AO2471" s="156">
        <v>1284.0</v>
      </c>
      <c r="AP2471" s="336">
        <v>0.12</v>
      </c>
      <c r="AQ2471" s="68" t="s">
        <v>215</v>
      </c>
      <c r="AR2471" s="68" t="s">
        <v>882</v>
      </c>
      <c r="AS2471" s="2117">
        <v>7.98957439064175E-6</v>
      </c>
      <c r="AT2471" s="1793" t="s">
        <v>172</v>
      </c>
      <c r="AU2471" s="1793" t="s">
        <v>136</v>
      </c>
      <c r="AV2471" s="68" t="s">
        <v>137</v>
      </c>
      <c r="AW2471" s="435" t="s">
        <v>14855</v>
      </c>
      <c r="AX2471" s="68" t="s">
        <v>151</v>
      </c>
      <c r="AY2471" s="61" t="str">
        <f>IFERROR(__xludf.DUMMYFUNCTION("vlookup(BB2471,importrange(""https://docs.google.com/spreadsheets/d/1d2vevQ_7D_v35q4wCQ4RpQ_IPoTwEMB9Yp6ymwlPqew/edit?gid=984458430#gid=984458430"", ""'replication success'!A:K""), 11, FAlSE)"),"")</f>
        <v/>
      </c>
      <c r="AZ2471" s="61" t="str">
        <f>IFERROR(__xludf.DUMMYFUNCTION("vlookup(BB2471,importrange(""https://docs.google.com/spreadsheets/d/1d2vevQ_7D_v35q4wCQ4RpQ_IPoTwEMB9Yp6ymwlPqew/edit?gid=984458430#gid=984458430"", ""'replication success'!A:M""), 12, FAlSE)"),"")</f>
        <v/>
      </c>
      <c r="BA2471" s="61" t="str">
        <f>IFERROR(__xludf.DUMMYFUNCTION("vlookup(BB2471,importrange(""https://docs.google.com/spreadsheets/d/1d2vevQ_7D_v35q4wCQ4RpQ_IPoTwEMB9Yp6ymwlPqew/edit?gid=984458430#gid=984458430"", ""'replication success'!A:M""), 13, FAlSE)"),"abstract")</f>
        <v>abstract</v>
      </c>
      <c r="BB2471" s="61" t="str">
        <f>IFERROR(__xludf.DUMMYFUNCTION("REGEXREPLACE(G2471, ""_[a-z]{1,2}$"", """")"),"Soto")</f>
        <v>Soto</v>
      </c>
      <c r="BC2471" s="68"/>
      <c r="BD2471" s="188" t="s">
        <v>1270</v>
      </c>
    </row>
    <row r="2472">
      <c r="A2472" s="44">
        <v>2472.0</v>
      </c>
      <c r="B2472" s="129" t="s">
        <v>152</v>
      </c>
      <c r="C2472" s="62" t="s">
        <v>115</v>
      </c>
      <c r="D2472" s="62" t="s">
        <v>1458</v>
      </c>
      <c r="F2472" s="68" t="s">
        <v>14644</v>
      </c>
      <c r="G2472" s="159" t="s">
        <v>14425</v>
      </c>
      <c r="H2472" s="159" t="s">
        <v>8501</v>
      </c>
      <c r="I2472" s="152">
        <v>45251.0</v>
      </c>
      <c r="J2472" s="2110">
        <v>45814.0</v>
      </c>
      <c r="K2472" s="68" t="s">
        <v>14859</v>
      </c>
      <c r="L2472" s="374" t="s">
        <v>14857</v>
      </c>
      <c r="M2472" s="159" t="s">
        <v>14634</v>
      </c>
      <c r="N2472" s="159" t="s">
        <v>14635</v>
      </c>
      <c r="O2472" s="336">
        <v>1.0</v>
      </c>
      <c r="P2472" s="382" t="s">
        <v>14636</v>
      </c>
      <c r="Q2472" s="52" t="str">
        <f t="array" ref="Q2472"> if(iserror(MATCH(V2472, 'File Links'!C:C, 0)), "N/A", HYPERLINK(INDEX('File Links'!B:B, MATCH(P2472, 'File Links'!C:C, 0))))</f>
        <v>https://drive.google.com/file/d/1NUoPD3eW0MR4HJ1BQoG7-ngWy5-ADbSy/view?usp=drivesdk</v>
      </c>
      <c r="R2472" s="159" t="s">
        <v>14432</v>
      </c>
      <c r="S2472" s="159" t="s">
        <v>14433</v>
      </c>
      <c r="T2472" s="68" t="s">
        <v>138</v>
      </c>
      <c r="U2472" s="336">
        <v>1.0</v>
      </c>
      <c r="V2472" s="382" t="s">
        <v>14434</v>
      </c>
      <c r="W2472" s="295" t="s">
        <v>209</v>
      </c>
      <c r="X2472" s="54" t="str">
        <f t="array" ref="X2472"> if(iserror(MATCH(V2472, 'File Links'!C:C, 0)), "N/A", HYPERLINK(INDEX('File Links'!B:B, MATCH(V2472, 'File Links'!C:C, 0))))</f>
        <v>https://drive.google.com/file/d/17mZvRs3ue7pXwqu8bmIDvgNdc95PGEcV/view?usp=drivesdk</v>
      </c>
      <c r="Y2472" s="68"/>
      <c r="Z2472" s="159" t="s">
        <v>1079</v>
      </c>
      <c r="AA2472" s="129" t="s">
        <v>14645</v>
      </c>
      <c r="AB2472" s="159" t="s">
        <v>14436</v>
      </c>
      <c r="AC2472" s="159" t="s">
        <v>14646</v>
      </c>
      <c r="AD2472" s="68" t="s">
        <v>14860</v>
      </c>
      <c r="AE2472" s="336">
        <v>7.0</v>
      </c>
      <c r="AF2472" s="156">
        <v>418.0</v>
      </c>
      <c r="AG2472" s="336">
        <v>0.24</v>
      </c>
      <c r="AH2472" s="68" t="s">
        <v>215</v>
      </c>
      <c r="AI2472" s="68" t="s">
        <v>4979</v>
      </c>
      <c r="AJ2472" s="347" t="s">
        <v>138</v>
      </c>
      <c r="AK2472" s="347" t="s">
        <v>138</v>
      </c>
      <c r="AL2472" s="68" t="s">
        <v>186</v>
      </c>
      <c r="AM2472" s="68" t="s">
        <v>137</v>
      </c>
      <c r="AN2472" s="68" t="s">
        <v>138</v>
      </c>
      <c r="AO2472" s="156">
        <v>1550.0</v>
      </c>
      <c r="AP2472" s="336">
        <v>0.33</v>
      </c>
      <c r="AQ2472" s="68" t="s">
        <v>215</v>
      </c>
      <c r="AR2472" s="68" t="s">
        <v>882</v>
      </c>
      <c r="AS2472" s="2117">
        <v>3.88557031789061E-40</v>
      </c>
      <c r="AT2472" s="1793" t="s">
        <v>172</v>
      </c>
      <c r="AU2472" s="1793" t="s">
        <v>136</v>
      </c>
      <c r="AV2472" s="68" t="s">
        <v>137</v>
      </c>
      <c r="AW2472" s="435" t="s">
        <v>14855</v>
      </c>
      <c r="AX2472" s="68" t="s">
        <v>151</v>
      </c>
      <c r="AY2472" s="61" t="str">
        <f>IFERROR(__xludf.DUMMYFUNCTION("vlookup(BB2472,importrange(""https://docs.google.com/spreadsheets/d/1d2vevQ_7D_v35q4wCQ4RpQ_IPoTwEMB9Yp6ymwlPqew/edit?gid=984458430#gid=984458430"", ""'replication success'!A:K""), 11, FAlSE)"),"")</f>
        <v/>
      </c>
      <c r="AZ2472" s="61" t="str">
        <f>IFERROR(__xludf.DUMMYFUNCTION("vlookup(BB2472,importrange(""https://docs.google.com/spreadsheets/d/1d2vevQ_7D_v35q4wCQ4RpQ_IPoTwEMB9Yp6ymwlPqew/edit?gid=984458430#gid=984458430"", ""'replication success'!A:M""), 12, FAlSE)"),"")</f>
        <v/>
      </c>
      <c r="BA2472" s="61" t="str">
        <f>IFERROR(__xludf.DUMMYFUNCTION("vlookup(BB2472,importrange(""https://docs.google.com/spreadsheets/d/1d2vevQ_7D_v35q4wCQ4RpQ_IPoTwEMB9Yp6ymwlPqew/edit?gid=984458430#gid=984458430"", ""'replication success'!A:M""), 13, FAlSE)"),"abstract")</f>
        <v>abstract</v>
      </c>
      <c r="BB2472" s="61" t="str">
        <f>IFERROR(__xludf.DUMMYFUNCTION("REGEXREPLACE(G2472, ""_[a-z]{1,2}$"", """")"),"Soto")</f>
        <v>Soto</v>
      </c>
      <c r="BC2472" s="68"/>
      <c r="BD2472" s="188" t="s">
        <v>1270</v>
      </c>
    </row>
    <row r="2473">
      <c r="A2473" s="44">
        <v>2473.0</v>
      </c>
      <c r="B2473" s="129" t="s">
        <v>114</v>
      </c>
      <c r="C2473" s="62" t="s">
        <v>115</v>
      </c>
      <c r="D2473" s="62" t="s">
        <v>1458</v>
      </c>
      <c r="F2473" s="68" t="s">
        <v>14648</v>
      </c>
      <c r="G2473" s="159" t="s">
        <v>14425</v>
      </c>
      <c r="H2473" s="159" t="s">
        <v>8501</v>
      </c>
      <c r="I2473" s="152">
        <v>45251.0</v>
      </c>
      <c r="J2473" s="2110">
        <v>45814.0</v>
      </c>
      <c r="K2473" s="68" t="s">
        <v>14861</v>
      </c>
      <c r="L2473" s="374" t="s">
        <v>14862</v>
      </c>
      <c r="M2473" s="159" t="s">
        <v>14651</v>
      </c>
      <c r="N2473" s="159" t="s">
        <v>14652</v>
      </c>
      <c r="O2473" s="501">
        <v>3.0</v>
      </c>
      <c r="P2473" s="382" t="s">
        <v>14653</v>
      </c>
      <c r="Q2473" s="52" t="str">
        <f t="array" ref="Q2473"> if(iserror(MATCH(V2473, 'File Links'!C:C, 0)), "N/A", HYPERLINK(INDEX('File Links'!B:B, MATCH(P2473, 'File Links'!C:C, 0))))</f>
        <v>https://drive.google.com/file/d/1_T47980LRcVvkPpcoUhfImG7kOlwUqEM/view?usp=drivesdk</v>
      </c>
      <c r="R2473" s="159" t="s">
        <v>14432</v>
      </c>
      <c r="S2473" s="159" t="s">
        <v>14433</v>
      </c>
      <c r="T2473" s="68" t="s">
        <v>138</v>
      </c>
      <c r="U2473" s="336">
        <v>1.0</v>
      </c>
      <c r="V2473" s="382" t="s">
        <v>14434</v>
      </c>
      <c r="W2473" s="295" t="s">
        <v>209</v>
      </c>
      <c r="X2473" s="54" t="str">
        <f t="array" ref="X2473"> if(iserror(MATCH(V2473, 'File Links'!C:C, 0)), "N/A", HYPERLINK(INDEX('File Links'!B:B, MATCH(V2473, 'File Links'!C:C, 0))))</f>
        <v>https://drive.google.com/file/d/17mZvRs3ue7pXwqu8bmIDvgNdc95PGEcV/view?usp=drivesdk</v>
      </c>
      <c r="Y2473" s="68"/>
      <c r="Z2473" s="159" t="s">
        <v>1079</v>
      </c>
      <c r="AA2473" s="129" t="s">
        <v>14654</v>
      </c>
      <c r="AB2473" s="159" t="s">
        <v>14436</v>
      </c>
      <c r="AC2473" s="159" t="s">
        <v>14655</v>
      </c>
      <c r="AD2473" s="151" t="s">
        <v>138</v>
      </c>
      <c r="AE2473" s="68" t="s">
        <v>1174</v>
      </c>
      <c r="AF2473" s="156">
        <v>37.0</v>
      </c>
      <c r="AG2473" s="336">
        <v>0.41</v>
      </c>
      <c r="AH2473" s="68" t="s">
        <v>361</v>
      </c>
      <c r="AI2473" s="68" t="s">
        <v>1174</v>
      </c>
      <c r="AJ2473" s="336">
        <v>0.01</v>
      </c>
      <c r="AK2473" s="68" t="s">
        <v>135</v>
      </c>
      <c r="AL2473" s="68" t="s">
        <v>186</v>
      </c>
      <c r="AM2473" s="68" t="s">
        <v>137</v>
      </c>
      <c r="AN2473" s="68" t="s">
        <v>138</v>
      </c>
      <c r="AO2473" s="156">
        <v>775.0</v>
      </c>
      <c r="AP2473" s="336">
        <v>0.39</v>
      </c>
      <c r="AQ2473" s="68" t="s">
        <v>215</v>
      </c>
      <c r="AR2473" s="68" t="s">
        <v>882</v>
      </c>
      <c r="AS2473" s="1791">
        <v>0.05</v>
      </c>
      <c r="AT2473" s="1793" t="s">
        <v>135</v>
      </c>
      <c r="AU2473" s="1793" t="s">
        <v>136</v>
      </c>
      <c r="AV2473" s="68" t="s">
        <v>137</v>
      </c>
      <c r="AW2473" s="435" t="s">
        <v>14855</v>
      </c>
      <c r="AX2473" s="68" t="s">
        <v>151</v>
      </c>
      <c r="AY2473" s="61" t="str">
        <f>IFERROR(__xludf.DUMMYFUNCTION("vlookup(BB2473,importrange(""https://docs.google.com/spreadsheets/d/1d2vevQ_7D_v35q4wCQ4RpQ_IPoTwEMB9Yp6ymwlPqew/edit?gid=984458430#gid=984458430"", ""'replication success'!A:K""), 11, FAlSE)"),"")</f>
        <v/>
      </c>
      <c r="AZ2473" s="61" t="str">
        <f>IFERROR(__xludf.DUMMYFUNCTION("vlookup(BB2473,importrange(""https://docs.google.com/spreadsheets/d/1d2vevQ_7D_v35q4wCQ4RpQ_IPoTwEMB9Yp6ymwlPqew/edit?gid=984458430#gid=984458430"", ""'replication success'!A:M""), 12, FAlSE)"),"")</f>
        <v/>
      </c>
      <c r="BA2473" s="61" t="str">
        <f>IFERROR(__xludf.DUMMYFUNCTION("vlookup(BB2473,importrange(""https://docs.google.com/spreadsheets/d/1d2vevQ_7D_v35q4wCQ4RpQ_IPoTwEMB9Yp6ymwlPqew/edit?gid=984458430#gid=984458430"", ""'replication success'!A:M""), 13, FAlSE)"),"abstract")</f>
        <v>abstract</v>
      </c>
      <c r="BB2473" s="61" t="str">
        <f>IFERROR(__xludf.DUMMYFUNCTION("REGEXREPLACE(G2473, ""_[a-z]{1,2}$"", """")"),"Soto")</f>
        <v>Soto</v>
      </c>
      <c r="BC2473" s="68"/>
      <c r="BD2473" s="188" t="s">
        <v>1270</v>
      </c>
    </row>
    <row r="2474">
      <c r="A2474" s="44">
        <v>2474.0</v>
      </c>
      <c r="B2474" s="129" t="s">
        <v>114</v>
      </c>
      <c r="C2474" s="62" t="s">
        <v>115</v>
      </c>
      <c r="D2474" s="62" t="s">
        <v>1458</v>
      </c>
      <c r="F2474" s="68" t="s">
        <v>14656</v>
      </c>
      <c r="G2474" s="159" t="s">
        <v>14425</v>
      </c>
      <c r="H2474" s="159" t="s">
        <v>8501</v>
      </c>
      <c r="I2474" s="152">
        <v>45251.0</v>
      </c>
      <c r="J2474" s="2110">
        <v>45814.0</v>
      </c>
      <c r="K2474" s="68" t="s">
        <v>14863</v>
      </c>
      <c r="L2474" s="374" t="s">
        <v>14864</v>
      </c>
      <c r="M2474" s="159" t="s">
        <v>14651</v>
      </c>
      <c r="N2474" s="159" t="s">
        <v>14652</v>
      </c>
      <c r="O2474" s="501">
        <v>3.0</v>
      </c>
      <c r="P2474" s="382" t="s">
        <v>14653</v>
      </c>
      <c r="Q2474" s="52" t="str">
        <f t="array" ref="Q2474"> if(iserror(MATCH(V2474, 'File Links'!C:C, 0)), "N/A", HYPERLINK(INDEX('File Links'!B:B, MATCH(P2474, 'File Links'!C:C, 0))))</f>
        <v>https://drive.google.com/file/d/1_T47980LRcVvkPpcoUhfImG7kOlwUqEM/view?usp=drivesdk</v>
      </c>
      <c r="R2474" s="159" t="s">
        <v>14432</v>
      </c>
      <c r="S2474" s="159" t="s">
        <v>14433</v>
      </c>
      <c r="T2474" s="68" t="s">
        <v>138</v>
      </c>
      <c r="U2474" s="336">
        <v>1.0</v>
      </c>
      <c r="V2474" s="382" t="s">
        <v>14434</v>
      </c>
      <c r="W2474" s="295" t="s">
        <v>209</v>
      </c>
      <c r="X2474" s="54" t="str">
        <f t="array" ref="X2474"> if(iserror(MATCH(V2474, 'File Links'!C:C, 0)), "N/A", HYPERLINK(INDEX('File Links'!B:B, MATCH(V2474, 'File Links'!C:C, 0))))</f>
        <v>https://drive.google.com/file/d/17mZvRs3ue7pXwqu8bmIDvgNdc95PGEcV/view?usp=drivesdk</v>
      </c>
      <c r="Y2474" s="68"/>
      <c r="Z2474" s="159" t="s">
        <v>1079</v>
      </c>
      <c r="AA2474" s="129" t="s">
        <v>14659</v>
      </c>
      <c r="AB2474" s="159" t="s">
        <v>14436</v>
      </c>
      <c r="AC2474" s="159" t="s">
        <v>14660</v>
      </c>
      <c r="AD2474" s="151" t="s">
        <v>138</v>
      </c>
      <c r="AE2474" s="68" t="s">
        <v>1174</v>
      </c>
      <c r="AF2474" s="156">
        <v>42.0</v>
      </c>
      <c r="AG2474" s="68" t="s">
        <v>14661</v>
      </c>
      <c r="AH2474" s="68" t="s">
        <v>361</v>
      </c>
      <c r="AI2474" s="68" t="s">
        <v>1174</v>
      </c>
      <c r="AJ2474" s="347" t="s">
        <v>138</v>
      </c>
      <c r="AK2474" s="347" t="s">
        <v>138</v>
      </c>
      <c r="AL2474" s="68" t="s">
        <v>186</v>
      </c>
      <c r="AM2474" s="68" t="s">
        <v>137</v>
      </c>
      <c r="AN2474" s="68" t="s">
        <v>138</v>
      </c>
      <c r="AO2474" s="156">
        <v>749.0</v>
      </c>
      <c r="AP2474" s="336">
        <v>-0.31</v>
      </c>
      <c r="AQ2474" s="68" t="s">
        <v>215</v>
      </c>
      <c r="AR2474" s="68" t="s">
        <v>882</v>
      </c>
      <c r="AS2474" s="2117">
        <v>6.46481472374853E-18</v>
      </c>
      <c r="AT2474" s="1793" t="s">
        <v>135</v>
      </c>
      <c r="AU2474" s="1793" t="s">
        <v>136</v>
      </c>
      <c r="AV2474" s="68" t="s">
        <v>137</v>
      </c>
      <c r="AW2474" s="435" t="s">
        <v>14855</v>
      </c>
      <c r="AX2474" s="68" t="s">
        <v>151</v>
      </c>
      <c r="AY2474" s="61" t="str">
        <f>IFERROR(__xludf.DUMMYFUNCTION("vlookup(BB2474,importrange(""https://docs.google.com/spreadsheets/d/1d2vevQ_7D_v35q4wCQ4RpQ_IPoTwEMB9Yp6ymwlPqew/edit?gid=984458430#gid=984458430"", ""'replication success'!A:K""), 11, FAlSE)"),"")</f>
        <v/>
      </c>
      <c r="AZ2474" s="61" t="str">
        <f>IFERROR(__xludf.DUMMYFUNCTION("vlookup(BB2474,importrange(""https://docs.google.com/spreadsheets/d/1d2vevQ_7D_v35q4wCQ4RpQ_IPoTwEMB9Yp6ymwlPqew/edit?gid=984458430#gid=984458430"", ""'replication success'!A:M""), 12, FAlSE)"),"")</f>
        <v/>
      </c>
      <c r="BA2474" s="61" t="str">
        <f>IFERROR(__xludf.DUMMYFUNCTION("vlookup(BB2474,importrange(""https://docs.google.com/spreadsheets/d/1d2vevQ_7D_v35q4wCQ4RpQ_IPoTwEMB9Yp6ymwlPqew/edit?gid=984458430#gid=984458430"", ""'replication success'!A:M""), 13, FAlSE)"),"abstract")</f>
        <v>abstract</v>
      </c>
      <c r="BB2474" s="61" t="str">
        <f>IFERROR(__xludf.DUMMYFUNCTION("REGEXREPLACE(G2474, ""_[a-z]{1,2}$"", """")"),"Soto")</f>
        <v>Soto</v>
      </c>
      <c r="BC2474" s="68"/>
      <c r="BD2474" s="188" t="s">
        <v>1270</v>
      </c>
    </row>
    <row r="2475">
      <c r="A2475" s="44">
        <v>2475.0</v>
      </c>
      <c r="B2475" s="129" t="s">
        <v>152</v>
      </c>
      <c r="C2475" s="62" t="s">
        <v>115</v>
      </c>
      <c r="D2475" s="62" t="s">
        <v>1458</v>
      </c>
      <c r="F2475" s="68" t="s">
        <v>14663</v>
      </c>
      <c r="G2475" s="159" t="s">
        <v>14425</v>
      </c>
      <c r="H2475" s="159" t="s">
        <v>8501</v>
      </c>
      <c r="I2475" s="152">
        <v>45251.0</v>
      </c>
      <c r="J2475" s="1376">
        <v>45822.0</v>
      </c>
      <c r="K2475" s="68" t="s">
        <v>14865</v>
      </c>
      <c r="L2475" s="129" t="s">
        <v>14866</v>
      </c>
      <c r="M2475" s="159" t="s">
        <v>14666</v>
      </c>
      <c r="N2475" s="159" t="s">
        <v>14667</v>
      </c>
      <c r="O2475" s="336">
        <v>1.0</v>
      </c>
      <c r="P2475" s="382" t="s">
        <v>14668</v>
      </c>
      <c r="Q2475" s="52" t="str">
        <f t="array" ref="Q2475"> if(iserror(MATCH(V2475, 'File Links'!C:C, 0)), "N/A", HYPERLINK(INDEX('File Links'!B:B, MATCH(P2475, 'File Links'!C:C, 0))))</f>
        <v>https://drive.google.com/file/d/1VTr0wR67oXPqTspZFD2WLtwQCj0zXKrh/view?usp=drivesdk</v>
      </c>
      <c r="R2475" s="159" t="s">
        <v>14432</v>
      </c>
      <c r="S2475" s="159" t="s">
        <v>14433</v>
      </c>
      <c r="T2475" s="68" t="s">
        <v>138</v>
      </c>
      <c r="U2475" s="336">
        <v>1.0</v>
      </c>
      <c r="V2475" s="382" t="s">
        <v>14434</v>
      </c>
      <c r="W2475" s="295" t="s">
        <v>209</v>
      </c>
      <c r="X2475" s="54" t="str">
        <f t="array" ref="X2475"> if(iserror(MATCH(V2475, 'File Links'!C:C, 0)), "N/A", HYPERLINK(INDEX('File Links'!B:B, MATCH(V2475, 'File Links'!C:C, 0))))</f>
        <v>https://drive.google.com/file/d/17mZvRs3ue7pXwqu8bmIDvgNdc95PGEcV/view?usp=drivesdk</v>
      </c>
      <c r="Y2475" s="68"/>
      <c r="Z2475" s="159" t="s">
        <v>1079</v>
      </c>
      <c r="AA2475" s="129" t="s">
        <v>14669</v>
      </c>
      <c r="AB2475" s="159" t="s">
        <v>14436</v>
      </c>
      <c r="AC2475" s="159" t="s">
        <v>14670</v>
      </c>
      <c r="AD2475" s="129" t="s">
        <v>138</v>
      </c>
      <c r="AE2475" s="129" t="s">
        <v>138</v>
      </c>
      <c r="AF2475" s="156">
        <v>210.0</v>
      </c>
      <c r="AG2475" s="129">
        <v>0.28</v>
      </c>
      <c r="AH2475" s="68" t="s">
        <v>215</v>
      </c>
      <c r="AI2475" s="129" t="s">
        <v>627</v>
      </c>
      <c r="AJ2475" s="129" t="s">
        <v>138</v>
      </c>
      <c r="AK2475" s="347" t="s">
        <v>138</v>
      </c>
      <c r="AL2475" s="68" t="s">
        <v>136</v>
      </c>
      <c r="AM2475" s="68" t="s">
        <v>137</v>
      </c>
      <c r="AN2475" s="68" t="s">
        <v>138</v>
      </c>
      <c r="AO2475" s="156">
        <v>795.0</v>
      </c>
      <c r="AP2475" s="501">
        <v>0.18</v>
      </c>
      <c r="AQ2475" s="68" t="s">
        <v>215</v>
      </c>
      <c r="AR2475" s="68" t="s">
        <v>882</v>
      </c>
      <c r="AS2475" s="1791">
        <v>0.05</v>
      </c>
      <c r="AT2475" s="1793" t="s">
        <v>135</v>
      </c>
      <c r="AU2475" s="1793" t="s">
        <v>136</v>
      </c>
      <c r="AV2475" s="68" t="s">
        <v>137</v>
      </c>
      <c r="AW2475" s="435" t="s">
        <v>14855</v>
      </c>
      <c r="AX2475" s="68" t="s">
        <v>151</v>
      </c>
      <c r="AY2475" s="61" t="str">
        <f>IFERROR(__xludf.DUMMYFUNCTION("vlookup(BB2475,importrange(""https://docs.google.com/spreadsheets/d/1d2vevQ_7D_v35q4wCQ4RpQ_IPoTwEMB9Yp6ymwlPqew/edit?gid=984458430#gid=984458430"", ""'replication success'!A:K""), 11, FAlSE)"),"")</f>
        <v/>
      </c>
      <c r="AZ2475" s="61" t="str">
        <f>IFERROR(__xludf.DUMMYFUNCTION("vlookup(BB2475,importrange(""https://docs.google.com/spreadsheets/d/1d2vevQ_7D_v35q4wCQ4RpQ_IPoTwEMB9Yp6ymwlPqew/edit?gid=984458430#gid=984458430"", ""'replication success'!A:M""), 12, FAlSE)"),"")</f>
        <v/>
      </c>
      <c r="BA2475" s="61" t="str">
        <f>IFERROR(__xludf.DUMMYFUNCTION("vlookup(BB2475,importrange(""https://docs.google.com/spreadsheets/d/1d2vevQ_7D_v35q4wCQ4RpQ_IPoTwEMB9Yp6ymwlPqew/edit?gid=984458430#gid=984458430"", ""'replication success'!A:M""), 13, FAlSE)"),"abstract")</f>
        <v>abstract</v>
      </c>
      <c r="BB2475" s="61" t="str">
        <f>IFERROR(__xludf.DUMMYFUNCTION("REGEXREPLACE(G2475, ""_[a-z]{1,2}$"", """")"),"Soto")</f>
        <v>Soto</v>
      </c>
      <c r="BD2475" s="188" t="s">
        <v>1270</v>
      </c>
    </row>
    <row r="2476">
      <c r="A2476" s="44">
        <v>2476.0</v>
      </c>
      <c r="B2476" s="129" t="s">
        <v>152</v>
      </c>
      <c r="C2476" s="62" t="s">
        <v>115</v>
      </c>
      <c r="D2476" s="62" t="s">
        <v>1458</v>
      </c>
      <c r="F2476" s="68" t="s">
        <v>14671</v>
      </c>
      <c r="G2476" s="159" t="s">
        <v>14425</v>
      </c>
      <c r="H2476" s="159" t="s">
        <v>8501</v>
      </c>
      <c r="I2476" s="152">
        <v>45251.0</v>
      </c>
      <c r="J2476" s="1376">
        <v>45822.0</v>
      </c>
      <c r="K2476" s="68" t="s">
        <v>14865</v>
      </c>
      <c r="L2476" s="129" t="s">
        <v>14867</v>
      </c>
      <c r="M2476" s="159" t="s">
        <v>14666</v>
      </c>
      <c r="N2476" s="159" t="s">
        <v>14667</v>
      </c>
      <c r="O2476" s="336">
        <v>1.0</v>
      </c>
      <c r="P2476" s="382" t="s">
        <v>14668</v>
      </c>
      <c r="Q2476" s="52" t="str">
        <f t="array" ref="Q2476"> if(iserror(MATCH(V2476, 'File Links'!C:C, 0)), "N/A", HYPERLINK(INDEX('File Links'!B:B, MATCH(P2476, 'File Links'!C:C, 0))))</f>
        <v>https://drive.google.com/file/d/1VTr0wR67oXPqTspZFD2WLtwQCj0zXKrh/view?usp=drivesdk</v>
      </c>
      <c r="R2476" s="159" t="s">
        <v>14432</v>
      </c>
      <c r="S2476" s="159" t="s">
        <v>14433</v>
      </c>
      <c r="T2476" s="68" t="s">
        <v>138</v>
      </c>
      <c r="U2476" s="336">
        <v>1.0</v>
      </c>
      <c r="V2476" s="382" t="s">
        <v>14434</v>
      </c>
      <c r="W2476" s="295" t="s">
        <v>209</v>
      </c>
      <c r="X2476" s="54" t="str">
        <f t="array" ref="X2476"> if(iserror(MATCH(V2476, 'File Links'!C:C, 0)), "N/A", HYPERLINK(INDEX('File Links'!B:B, MATCH(V2476, 'File Links'!C:C, 0))))</f>
        <v>https://drive.google.com/file/d/17mZvRs3ue7pXwqu8bmIDvgNdc95PGEcV/view?usp=drivesdk</v>
      </c>
      <c r="Y2476" s="68"/>
      <c r="Z2476" s="159" t="s">
        <v>1079</v>
      </c>
      <c r="AA2476" s="129" t="s">
        <v>14673</v>
      </c>
      <c r="AB2476" s="159" t="s">
        <v>14436</v>
      </c>
      <c r="AC2476" s="159" t="s">
        <v>14674</v>
      </c>
      <c r="AD2476" s="129" t="s">
        <v>138</v>
      </c>
      <c r="AE2476" s="129" t="s">
        <v>138</v>
      </c>
      <c r="AF2476" s="156">
        <v>210.0</v>
      </c>
      <c r="AG2476" s="129">
        <v>-0.32</v>
      </c>
      <c r="AH2476" s="68" t="s">
        <v>215</v>
      </c>
      <c r="AI2476" s="129" t="s">
        <v>627</v>
      </c>
      <c r="AJ2476" s="129" t="s">
        <v>138</v>
      </c>
      <c r="AK2476" s="347" t="s">
        <v>138</v>
      </c>
      <c r="AL2476" s="68" t="s">
        <v>136</v>
      </c>
      <c r="AM2476" s="68" t="s">
        <v>137</v>
      </c>
      <c r="AN2476" s="68" t="s">
        <v>138</v>
      </c>
      <c r="AO2476" s="156">
        <v>795.0</v>
      </c>
      <c r="AP2476" s="501">
        <v>-0.23</v>
      </c>
      <c r="AQ2476" s="68" t="s">
        <v>215</v>
      </c>
      <c r="AR2476" s="68" t="s">
        <v>882</v>
      </c>
      <c r="AS2476" s="1791">
        <v>0.05</v>
      </c>
      <c r="AT2476" s="1793" t="s">
        <v>135</v>
      </c>
      <c r="AU2476" s="1793" t="s">
        <v>136</v>
      </c>
      <c r="AV2476" s="68" t="s">
        <v>137</v>
      </c>
      <c r="AW2476" s="435" t="s">
        <v>14855</v>
      </c>
      <c r="AX2476" s="68" t="s">
        <v>151</v>
      </c>
      <c r="AY2476" s="61" t="str">
        <f>IFERROR(__xludf.DUMMYFUNCTION("vlookup(BB2476,importrange(""https://docs.google.com/spreadsheets/d/1d2vevQ_7D_v35q4wCQ4RpQ_IPoTwEMB9Yp6ymwlPqew/edit?gid=984458430#gid=984458430"", ""'replication success'!A:K""), 11, FAlSE)"),"")</f>
        <v/>
      </c>
      <c r="AZ2476" s="61" t="str">
        <f>IFERROR(__xludf.DUMMYFUNCTION("vlookup(BB2476,importrange(""https://docs.google.com/spreadsheets/d/1d2vevQ_7D_v35q4wCQ4RpQ_IPoTwEMB9Yp6ymwlPqew/edit?gid=984458430#gid=984458430"", ""'replication success'!A:M""), 12, FAlSE)"),"")</f>
        <v/>
      </c>
      <c r="BA2476" s="61" t="str">
        <f>IFERROR(__xludf.DUMMYFUNCTION("vlookup(BB2476,importrange(""https://docs.google.com/spreadsheets/d/1d2vevQ_7D_v35q4wCQ4RpQ_IPoTwEMB9Yp6ymwlPqew/edit?gid=984458430#gid=984458430"", ""'replication success'!A:M""), 13, FAlSE)"),"abstract")</f>
        <v>abstract</v>
      </c>
      <c r="BB2476" s="61" t="str">
        <f>IFERROR(__xludf.DUMMYFUNCTION("REGEXREPLACE(G2476, ""_[a-z]{1,2}$"", """")"),"Soto")</f>
        <v>Soto</v>
      </c>
      <c r="BD2476" s="188" t="s">
        <v>1270</v>
      </c>
    </row>
    <row r="2477">
      <c r="A2477" s="44">
        <v>2477.0</v>
      </c>
      <c r="B2477" s="129" t="s">
        <v>152</v>
      </c>
      <c r="C2477" s="62" t="s">
        <v>115</v>
      </c>
      <c r="D2477" s="62" t="s">
        <v>1458</v>
      </c>
      <c r="F2477" s="68" t="s">
        <v>14677</v>
      </c>
      <c r="G2477" s="159" t="s">
        <v>14425</v>
      </c>
      <c r="H2477" s="159" t="s">
        <v>8501</v>
      </c>
      <c r="I2477" s="152">
        <v>45251.0</v>
      </c>
      <c r="J2477" s="1376">
        <v>45822.0</v>
      </c>
      <c r="K2477" s="68" t="s">
        <v>14868</v>
      </c>
      <c r="L2477" s="129" t="s">
        <v>14869</v>
      </c>
      <c r="M2477" s="159" t="s">
        <v>14680</v>
      </c>
      <c r="N2477" s="159" t="s">
        <v>14681</v>
      </c>
      <c r="O2477" s="336">
        <v>1.0</v>
      </c>
      <c r="P2477" s="382" t="s">
        <v>14682</v>
      </c>
      <c r="Q2477" s="52" t="s">
        <v>14683</v>
      </c>
      <c r="R2477" s="159" t="s">
        <v>14432</v>
      </c>
      <c r="S2477" s="159" t="s">
        <v>14433</v>
      </c>
      <c r="T2477" s="68" t="s">
        <v>138</v>
      </c>
      <c r="U2477" s="336">
        <v>1.0</v>
      </c>
      <c r="V2477" s="382" t="s">
        <v>14434</v>
      </c>
      <c r="W2477" s="295" t="s">
        <v>209</v>
      </c>
      <c r="X2477" s="54" t="str">
        <f t="array" ref="X2477"> if(iserror(MATCH(V2477, 'File Links'!C:C, 0)), "N/A", HYPERLINK(INDEX('File Links'!B:B, MATCH(V2477, 'File Links'!C:C, 0))))</f>
        <v>https://drive.google.com/file/d/17mZvRs3ue7pXwqu8bmIDvgNdc95PGEcV/view?usp=drivesdk</v>
      </c>
      <c r="Y2477" s="68"/>
      <c r="Z2477" s="159" t="s">
        <v>1079</v>
      </c>
      <c r="AA2477" s="129" t="s">
        <v>14684</v>
      </c>
      <c r="AB2477" s="159" t="s">
        <v>14436</v>
      </c>
      <c r="AC2477" s="159" t="s">
        <v>14685</v>
      </c>
      <c r="AD2477" s="129" t="s">
        <v>14686</v>
      </c>
      <c r="AE2477" s="501" t="s">
        <v>3892</v>
      </c>
      <c r="AF2477" s="156">
        <v>712.0</v>
      </c>
      <c r="AG2477" s="501">
        <v>0.32</v>
      </c>
      <c r="AH2477" s="68" t="s">
        <v>215</v>
      </c>
      <c r="AI2477" s="129" t="s">
        <v>14687</v>
      </c>
      <c r="AJ2477" s="347" t="s">
        <v>138</v>
      </c>
      <c r="AK2477" s="347" t="s">
        <v>138</v>
      </c>
      <c r="AL2477" s="68" t="s">
        <v>186</v>
      </c>
      <c r="AM2477" s="68" t="s">
        <v>137</v>
      </c>
      <c r="AN2477" s="68" t="s">
        <v>138</v>
      </c>
      <c r="AO2477" s="156">
        <v>1154.0</v>
      </c>
      <c r="AP2477" s="336">
        <v>0.01</v>
      </c>
      <c r="AQ2477" s="68" t="s">
        <v>215</v>
      </c>
      <c r="AR2477" s="68" t="s">
        <v>882</v>
      </c>
      <c r="AS2477" s="2118">
        <v>0.824762264458846</v>
      </c>
      <c r="AT2477" s="1793" t="s">
        <v>172</v>
      </c>
      <c r="AU2477" s="1793" t="s">
        <v>138</v>
      </c>
      <c r="AV2477" s="68" t="s">
        <v>137</v>
      </c>
      <c r="AW2477" s="435" t="s">
        <v>14855</v>
      </c>
      <c r="AX2477" s="68" t="s">
        <v>151</v>
      </c>
      <c r="AY2477" s="61" t="str">
        <f>IFERROR(__xludf.DUMMYFUNCTION("vlookup(BB2477,importrange(""https://docs.google.com/spreadsheets/d/1d2vevQ_7D_v35q4wCQ4RpQ_IPoTwEMB9Yp6ymwlPqew/edit?gid=984458430#gid=984458430"", ""'replication success'!A:K""), 11, FAlSE)"),"")</f>
        <v/>
      </c>
      <c r="AZ2477" s="61" t="str">
        <f>IFERROR(__xludf.DUMMYFUNCTION("vlookup(BB2477,importrange(""https://docs.google.com/spreadsheets/d/1d2vevQ_7D_v35q4wCQ4RpQ_IPoTwEMB9Yp6ymwlPqew/edit?gid=984458430#gid=984458430"", ""'replication success'!A:M""), 12, FAlSE)"),"")</f>
        <v/>
      </c>
      <c r="BA2477" s="61" t="str">
        <f>IFERROR(__xludf.DUMMYFUNCTION("vlookup(BB2477,importrange(""https://docs.google.com/spreadsheets/d/1d2vevQ_7D_v35q4wCQ4RpQ_IPoTwEMB9Yp6ymwlPqew/edit?gid=984458430#gid=984458430"", ""'replication success'!A:M""), 13, FAlSE)"),"abstract")</f>
        <v>abstract</v>
      </c>
      <c r="BB2477" s="61" t="str">
        <f>IFERROR(__xludf.DUMMYFUNCTION("REGEXREPLACE(G2477, ""_[a-z]{1,2}$"", """")"),"Soto")</f>
        <v>Soto</v>
      </c>
      <c r="BD2477" s="188" t="s">
        <v>1270</v>
      </c>
    </row>
    <row r="2478">
      <c r="A2478" s="44">
        <v>2478.0</v>
      </c>
      <c r="B2478" s="129" t="s">
        <v>152</v>
      </c>
      <c r="C2478" s="62" t="s">
        <v>115</v>
      </c>
      <c r="D2478" s="62" t="s">
        <v>1458</v>
      </c>
      <c r="F2478" s="68" t="s">
        <v>14688</v>
      </c>
      <c r="G2478" s="159" t="s">
        <v>14425</v>
      </c>
      <c r="H2478" s="159" t="s">
        <v>8501</v>
      </c>
      <c r="I2478" s="152">
        <v>45251.0</v>
      </c>
      <c r="J2478" s="1376">
        <v>45822.0</v>
      </c>
      <c r="K2478" s="68" t="s">
        <v>14870</v>
      </c>
      <c r="L2478" s="129" t="s">
        <v>14869</v>
      </c>
      <c r="M2478" s="159" t="s">
        <v>14680</v>
      </c>
      <c r="N2478" s="159" t="s">
        <v>14681</v>
      </c>
      <c r="O2478" s="336">
        <v>1.0</v>
      </c>
      <c r="P2478" s="382" t="s">
        <v>14682</v>
      </c>
      <c r="Q2478" s="52" t="s">
        <v>14683</v>
      </c>
      <c r="R2478" s="159" t="s">
        <v>14432</v>
      </c>
      <c r="S2478" s="159" t="s">
        <v>14433</v>
      </c>
      <c r="T2478" s="68" t="s">
        <v>138</v>
      </c>
      <c r="U2478" s="336">
        <v>1.0</v>
      </c>
      <c r="V2478" s="382" t="s">
        <v>14434</v>
      </c>
      <c r="W2478" s="295" t="s">
        <v>209</v>
      </c>
      <c r="X2478" s="54" t="str">
        <f t="array" ref="X2478"> if(iserror(MATCH(V2478, 'File Links'!C:C, 0)), "N/A", HYPERLINK(INDEX('File Links'!B:B, MATCH(V2478, 'File Links'!C:C, 0))))</f>
        <v>https://drive.google.com/file/d/17mZvRs3ue7pXwqu8bmIDvgNdc95PGEcV/view?usp=drivesdk</v>
      </c>
      <c r="Y2478" s="68"/>
      <c r="Z2478" s="159" t="s">
        <v>1079</v>
      </c>
      <c r="AA2478" s="129" t="s">
        <v>14691</v>
      </c>
      <c r="AB2478" s="159" t="s">
        <v>14436</v>
      </c>
      <c r="AC2478" s="159" t="s">
        <v>14692</v>
      </c>
      <c r="AD2478" s="129" t="s">
        <v>14693</v>
      </c>
      <c r="AE2478" s="501" t="s">
        <v>3892</v>
      </c>
      <c r="AF2478" s="156">
        <v>712.0</v>
      </c>
      <c r="AG2478" s="501">
        <v>0.25</v>
      </c>
      <c r="AH2478" s="68" t="s">
        <v>215</v>
      </c>
      <c r="AI2478" s="129" t="s">
        <v>14687</v>
      </c>
      <c r="AJ2478" s="347" t="s">
        <v>138</v>
      </c>
      <c r="AK2478" s="347" t="s">
        <v>138</v>
      </c>
      <c r="AL2478" s="68" t="s">
        <v>186</v>
      </c>
      <c r="AM2478" s="68" t="s">
        <v>137</v>
      </c>
      <c r="AN2478" s="68" t="s">
        <v>138</v>
      </c>
      <c r="AO2478" s="156">
        <v>1154.0</v>
      </c>
      <c r="AP2478" s="336">
        <v>0.09</v>
      </c>
      <c r="AQ2478" s="68" t="s">
        <v>215</v>
      </c>
      <c r="AR2478" s="68" t="s">
        <v>882</v>
      </c>
      <c r="AS2478" s="2118">
        <v>0.00269592163043994</v>
      </c>
      <c r="AT2478" s="1793" t="s">
        <v>172</v>
      </c>
      <c r="AU2478" s="1793" t="s">
        <v>136</v>
      </c>
      <c r="AV2478" s="68" t="s">
        <v>137</v>
      </c>
      <c r="AW2478" s="435" t="s">
        <v>14855</v>
      </c>
      <c r="AX2478" s="68" t="s">
        <v>151</v>
      </c>
      <c r="AY2478" s="61" t="str">
        <f>IFERROR(__xludf.DUMMYFUNCTION("vlookup(BB2478,importrange(""https://docs.google.com/spreadsheets/d/1d2vevQ_7D_v35q4wCQ4RpQ_IPoTwEMB9Yp6ymwlPqew/edit?gid=984458430#gid=984458430"", ""'replication success'!A:K""), 11, FAlSE)"),"")</f>
        <v/>
      </c>
      <c r="AZ2478" s="61" t="str">
        <f>IFERROR(__xludf.DUMMYFUNCTION("vlookup(BB2478,importrange(""https://docs.google.com/spreadsheets/d/1d2vevQ_7D_v35q4wCQ4RpQ_IPoTwEMB9Yp6ymwlPqew/edit?gid=984458430#gid=984458430"", ""'replication success'!A:M""), 12, FAlSE)"),"")</f>
        <v/>
      </c>
      <c r="BA2478" s="61" t="str">
        <f>IFERROR(__xludf.DUMMYFUNCTION("vlookup(BB2478,importrange(""https://docs.google.com/spreadsheets/d/1d2vevQ_7D_v35q4wCQ4RpQ_IPoTwEMB9Yp6ymwlPqew/edit?gid=984458430#gid=984458430"", ""'replication success'!A:M""), 13, FAlSE)"),"abstract")</f>
        <v>abstract</v>
      </c>
      <c r="BB2478" s="61" t="str">
        <f>IFERROR(__xludf.DUMMYFUNCTION("REGEXREPLACE(G2478, ""_[a-z]{1,2}$"", """")"),"Soto")</f>
        <v>Soto</v>
      </c>
      <c r="BD2478" s="188" t="s">
        <v>1270</v>
      </c>
    </row>
    <row r="2479">
      <c r="A2479" s="354">
        <v>2479.0</v>
      </c>
      <c r="B2479" s="56" t="s">
        <v>152</v>
      </c>
      <c r="C2479" s="341" t="s">
        <v>115</v>
      </c>
      <c r="D2479" s="341" t="s">
        <v>1458</v>
      </c>
      <c r="E2479" s="342"/>
      <c r="F2479" s="46" t="s">
        <v>14694</v>
      </c>
      <c r="G2479" s="360" t="s">
        <v>14425</v>
      </c>
      <c r="H2479" s="360" t="s">
        <v>8501</v>
      </c>
      <c r="I2479" s="511">
        <v>45251.0</v>
      </c>
      <c r="J2479" s="2124">
        <v>45842.0</v>
      </c>
      <c r="K2479" s="46" t="s">
        <v>14871</v>
      </c>
      <c r="L2479" s="56" t="s">
        <v>14872</v>
      </c>
      <c r="M2479" s="360" t="s">
        <v>14697</v>
      </c>
      <c r="N2479" s="360" t="s">
        <v>14698</v>
      </c>
      <c r="O2479" s="385">
        <v>1.0</v>
      </c>
      <c r="P2479" s="360" t="s">
        <v>14699</v>
      </c>
      <c r="Q2479" s="104" t="str">
        <f t="array" ref="Q2479"> if(iserror(MATCH(V2479, 'File Links'!C:C, 0)), "N/A", HYPERLINK(INDEX('File Links'!B:B, MATCH(P2479, 'File Links'!C:C, 0))))</f>
        <v>https://drive.google.com/file/d/1L_UrUn7iF547GceUM9sV402LJMhvz5p-/view?usp=drivesdk</v>
      </c>
      <c r="R2479" s="360" t="s">
        <v>14432</v>
      </c>
      <c r="S2479" s="360" t="s">
        <v>14433</v>
      </c>
      <c r="T2479" s="46" t="s">
        <v>138</v>
      </c>
      <c r="U2479" s="385">
        <v>1.0</v>
      </c>
      <c r="V2479" s="360" t="s">
        <v>14434</v>
      </c>
      <c r="W2479" s="56" t="s">
        <v>209</v>
      </c>
      <c r="X2479" s="54" t="str">
        <f t="array" ref="X2479"> if(iserror(MATCH(V2479, 'File Links'!C:C, 0)), "N/A", HYPERLINK(INDEX('File Links'!B:B, MATCH(V2479, 'File Links'!C:C, 0))))</f>
        <v>https://drive.google.com/file/d/17mZvRs3ue7pXwqu8bmIDvgNdc95PGEcV/view?usp=drivesdk</v>
      </c>
      <c r="Y2479" s="46"/>
      <c r="Z2479" s="360" t="s">
        <v>1079</v>
      </c>
      <c r="AA2479" s="56" t="s">
        <v>14700</v>
      </c>
      <c r="AB2479" s="360" t="s">
        <v>14436</v>
      </c>
      <c r="AC2479" s="360" t="s">
        <v>14701</v>
      </c>
      <c r="AD2479" s="56" t="s">
        <v>14702</v>
      </c>
      <c r="AE2479" s="56" t="s">
        <v>3892</v>
      </c>
      <c r="AF2479" s="55" t="s">
        <v>138</v>
      </c>
      <c r="AG2479" s="56">
        <v>0.21</v>
      </c>
      <c r="AH2479" s="56" t="s">
        <v>138</v>
      </c>
      <c r="AI2479" s="56" t="s">
        <v>14703</v>
      </c>
      <c r="AJ2479" s="347" t="s">
        <v>138</v>
      </c>
      <c r="AK2479" s="347" t="s">
        <v>138</v>
      </c>
      <c r="AL2479" s="46" t="s">
        <v>186</v>
      </c>
      <c r="AM2479" s="46"/>
      <c r="AN2479" s="46" t="s">
        <v>138</v>
      </c>
      <c r="AO2479" s="357">
        <v>1098.0</v>
      </c>
      <c r="AP2479" s="385">
        <v>0.1</v>
      </c>
      <c r="AQ2479" s="46" t="s">
        <v>215</v>
      </c>
      <c r="AR2479" s="46" t="s">
        <v>882</v>
      </c>
      <c r="AS2479" s="55">
        <v>0.00156198162048268</v>
      </c>
      <c r="AT2479" s="46" t="s">
        <v>172</v>
      </c>
      <c r="AU2479" s="46" t="s">
        <v>136</v>
      </c>
      <c r="AV2479" s="46" t="s">
        <v>137</v>
      </c>
      <c r="AW2479" s="59" t="s">
        <v>14855</v>
      </c>
      <c r="AX2479" s="46" t="s">
        <v>151</v>
      </c>
      <c r="AY2479" s="61" t="str">
        <f>IFERROR(__xludf.DUMMYFUNCTION("vlookup(BB2479,importrange(""https://docs.google.com/spreadsheets/d/1d2vevQ_7D_v35q4wCQ4RpQ_IPoTwEMB9Yp6ymwlPqew/edit?gid=984458430#gid=984458430"", ""'replication success'!A:K""), 11, FAlSE)"),"")</f>
        <v/>
      </c>
      <c r="AZ2479" s="61" t="str">
        <f>IFERROR(__xludf.DUMMYFUNCTION("vlookup(BB2479,importrange(""https://docs.google.com/spreadsheets/d/1d2vevQ_7D_v35q4wCQ4RpQ_IPoTwEMB9Yp6ymwlPqew/edit?gid=984458430#gid=984458430"", ""'replication success'!A:M""), 12, FAlSE)"),"")</f>
        <v/>
      </c>
      <c r="BA2479" s="61" t="str">
        <f>IFERROR(__xludf.DUMMYFUNCTION("vlookup(BB2479,importrange(""https://docs.google.com/spreadsheets/d/1d2vevQ_7D_v35q4wCQ4RpQ_IPoTwEMB9Yp6ymwlPqew/edit?gid=984458430#gid=984458430"", ""'replication success'!A:M""), 13, FAlSE)"),"abstract")</f>
        <v>abstract</v>
      </c>
      <c r="BB2479" s="61" t="str">
        <f>IFERROR(__xludf.DUMMYFUNCTION("REGEXREPLACE(G2479, ""_[a-z]{1,2}$"", """")"),"Soto")</f>
        <v>Soto</v>
      </c>
      <c r="BC2479" s="342"/>
      <c r="BD2479" s="341" t="s">
        <v>1270</v>
      </c>
      <c r="BE2479" s="342"/>
      <c r="BF2479" s="342"/>
      <c r="BG2479" s="342"/>
      <c r="BH2479" s="342"/>
      <c r="BI2479" s="342"/>
      <c r="BJ2479" s="342"/>
      <c r="BK2479" s="342"/>
      <c r="BL2479" s="342"/>
      <c r="BM2479" s="342"/>
      <c r="BN2479" s="342"/>
      <c r="BO2479" s="342"/>
      <c r="BP2479" s="342"/>
      <c r="BQ2479" s="342"/>
      <c r="BR2479" s="342"/>
      <c r="BS2479" s="342"/>
      <c r="BT2479" s="342"/>
      <c r="BU2479" s="342"/>
      <c r="BV2479" s="342"/>
      <c r="BW2479" s="342"/>
      <c r="BX2479" s="342"/>
      <c r="BY2479" s="342"/>
      <c r="BZ2479" s="342"/>
      <c r="CA2479" s="342"/>
      <c r="CB2479" s="342"/>
      <c r="CC2479" s="342"/>
      <c r="CD2479" s="342"/>
      <c r="CE2479" s="342"/>
      <c r="CF2479" s="342"/>
      <c r="CG2479" s="342"/>
      <c r="CH2479" s="342"/>
      <c r="CI2479" s="342"/>
      <c r="CJ2479" s="342"/>
      <c r="CK2479" s="342"/>
      <c r="CL2479" s="342"/>
      <c r="CM2479" s="342"/>
      <c r="CN2479" s="342"/>
      <c r="CO2479" s="342"/>
      <c r="CP2479" s="342"/>
      <c r="CQ2479" s="342"/>
      <c r="CR2479" s="342"/>
      <c r="CS2479" s="342"/>
      <c r="CT2479" s="342"/>
      <c r="CU2479" s="342"/>
      <c r="CV2479" s="342"/>
      <c r="CW2479" s="342"/>
      <c r="CX2479" s="342"/>
      <c r="CY2479" s="342"/>
      <c r="CZ2479" s="342"/>
      <c r="DA2479" s="342"/>
      <c r="DB2479" s="342"/>
      <c r="DC2479" s="342"/>
      <c r="DD2479" s="342"/>
      <c r="DE2479" s="342"/>
      <c r="DF2479" s="342"/>
      <c r="DG2479" s="342"/>
      <c r="DH2479" s="342"/>
      <c r="DI2479" s="342"/>
      <c r="DJ2479" s="342"/>
      <c r="DK2479" s="342"/>
      <c r="DL2479" s="342"/>
    </row>
    <row r="2480">
      <c r="A2480" s="639">
        <v>2480.0</v>
      </c>
      <c r="B2480" s="631" t="s">
        <v>114</v>
      </c>
      <c r="C2480" s="397" t="s">
        <v>115</v>
      </c>
      <c r="D2480" s="397" t="s">
        <v>1458</v>
      </c>
      <c r="E2480" s="220"/>
      <c r="F2480" s="398" t="s">
        <v>14704</v>
      </c>
      <c r="G2480" s="407" t="s">
        <v>14425</v>
      </c>
      <c r="H2480" s="407" t="s">
        <v>8501</v>
      </c>
      <c r="I2480" s="727">
        <v>45251.0</v>
      </c>
      <c r="J2480" s="2136">
        <v>45842.0</v>
      </c>
      <c r="K2480" s="398" t="s">
        <v>14873</v>
      </c>
      <c r="L2480" s="631" t="s">
        <v>14874</v>
      </c>
      <c r="M2480" s="407" t="s">
        <v>14707</v>
      </c>
      <c r="N2480" s="407" t="s">
        <v>14708</v>
      </c>
      <c r="O2480" s="770">
        <v>1.0</v>
      </c>
      <c r="P2480" s="407" t="s">
        <v>14709</v>
      </c>
      <c r="Q2480" s="882" t="str">
        <f t="array" ref="Q2480"> if(iserror(MATCH(V2480, 'File Links'!C:C, 0)), "N/A", HYPERLINK(INDEX('File Links'!B:B, MATCH(P2480, 'File Links'!C:C, 0))))</f>
        <v>https://drive.google.com/file/d/1aykdUrdNDQMd7IVvqNy3V_z8BwKq0YuV/view?usp=drivesdk</v>
      </c>
      <c r="R2480" s="407" t="s">
        <v>14432</v>
      </c>
      <c r="S2480" s="407" t="s">
        <v>14433</v>
      </c>
      <c r="T2480" s="398" t="s">
        <v>138</v>
      </c>
      <c r="U2480" s="770">
        <v>1.0</v>
      </c>
      <c r="V2480" s="407" t="s">
        <v>14434</v>
      </c>
      <c r="W2480" s="631" t="s">
        <v>209</v>
      </c>
      <c r="X2480" s="883" t="str">
        <f t="array" ref="X2480"> if(iserror(MATCH(V2480, 'File Links'!C:C, 0)), "N/A", HYPERLINK(INDEX('File Links'!B:B, MATCH(V2480, 'File Links'!C:C, 0))))</f>
        <v>https://drive.google.com/file/d/17mZvRs3ue7pXwqu8bmIDvgNdc95PGEcV/view?usp=drivesdk</v>
      </c>
      <c r="Y2480" s="398"/>
      <c r="Z2480" s="407" t="s">
        <v>1079</v>
      </c>
      <c r="AA2480" s="398" t="s">
        <v>12028</v>
      </c>
      <c r="AB2480" s="407" t="s">
        <v>14436</v>
      </c>
      <c r="AC2480" s="407" t="s">
        <v>14710</v>
      </c>
      <c r="AD2480" s="398" t="s">
        <v>14875</v>
      </c>
      <c r="AE2480" s="2137">
        <v>45750.0</v>
      </c>
      <c r="AF2480" s="728">
        <v>479.0</v>
      </c>
      <c r="AG2480" s="770">
        <v>0.25</v>
      </c>
      <c r="AH2480" s="398" t="s">
        <v>215</v>
      </c>
      <c r="AI2480" s="398" t="s">
        <v>496</v>
      </c>
      <c r="AJ2480" s="770">
        <v>0.05</v>
      </c>
      <c r="AK2480" s="398" t="s">
        <v>135</v>
      </c>
      <c r="AL2480" s="398" t="s">
        <v>186</v>
      </c>
      <c r="AM2480" s="398" t="s">
        <v>137</v>
      </c>
      <c r="AN2480" s="398" t="s">
        <v>138</v>
      </c>
      <c r="AO2480" s="728">
        <v>1503.0</v>
      </c>
      <c r="AP2480" s="645">
        <v>0.16</v>
      </c>
      <c r="AQ2480" s="398" t="s">
        <v>215</v>
      </c>
      <c r="AR2480" s="398" t="s">
        <v>882</v>
      </c>
      <c r="AS2480" s="770">
        <v>0.05</v>
      </c>
      <c r="AT2480" s="398" t="s">
        <v>135</v>
      </c>
      <c r="AU2480" s="398" t="s">
        <v>136</v>
      </c>
      <c r="AV2480" s="46" t="s">
        <v>137</v>
      </c>
      <c r="AW2480" s="409" t="s">
        <v>14855</v>
      </c>
      <c r="AX2480" s="398" t="s">
        <v>151</v>
      </c>
      <c r="AY2480" s="61" t="str">
        <f>IFERROR(__xludf.DUMMYFUNCTION("vlookup(BB2480,importrange(""https://docs.google.com/spreadsheets/d/1d2vevQ_7D_v35q4wCQ4RpQ_IPoTwEMB9Yp6ymwlPqew/edit?gid=984458430#gid=984458430"", ""'replication success'!A:K""), 11, FAlSE)"),"")</f>
        <v/>
      </c>
      <c r="AZ2480" s="61" t="str">
        <f>IFERROR(__xludf.DUMMYFUNCTION("vlookup(BB2480,importrange(""https://docs.google.com/spreadsheets/d/1d2vevQ_7D_v35q4wCQ4RpQ_IPoTwEMB9Yp6ymwlPqew/edit?gid=984458430#gid=984458430"", ""'replication success'!A:M""), 12, FAlSE)"),"")</f>
        <v/>
      </c>
      <c r="BA2480" s="61" t="str">
        <f>IFERROR(__xludf.DUMMYFUNCTION("vlookup(BB2480,importrange(""https://docs.google.com/spreadsheets/d/1d2vevQ_7D_v35q4wCQ4RpQ_IPoTwEMB9Yp6ymwlPqew/edit?gid=984458430#gid=984458430"", ""'replication success'!A:M""), 13, FAlSE)"),"abstract")</f>
        <v>abstract</v>
      </c>
      <c r="BB2480" s="61" t="str">
        <f>IFERROR(__xludf.DUMMYFUNCTION("REGEXREPLACE(G2480, ""_[a-z]{1,2}$"", """")"),"Soto")</f>
        <v>Soto</v>
      </c>
      <c r="BC2480" s="220"/>
      <c r="BD2480" s="341" t="s">
        <v>1270</v>
      </c>
      <c r="BE2480" s="220"/>
      <c r="BF2480" s="220"/>
      <c r="BG2480" s="220"/>
      <c r="BH2480" s="220"/>
      <c r="BI2480" s="220"/>
      <c r="BJ2480" s="220"/>
      <c r="BK2480" s="220"/>
      <c r="BL2480" s="220"/>
      <c r="BM2480" s="220"/>
      <c r="BN2480" s="220"/>
      <c r="BO2480" s="220"/>
      <c r="BP2480" s="220"/>
      <c r="BQ2480" s="220"/>
      <c r="BR2480" s="220"/>
      <c r="BS2480" s="220"/>
      <c r="BT2480" s="220"/>
      <c r="BU2480" s="220"/>
      <c r="BV2480" s="220"/>
      <c r="BW2480" s="220"/>
      <c r="BX2480" s="220"/>
      <c r="BY2480" s="220"/>
      <c r="BZ2480" s="220"/>
      <c r="CA2480" s="220"/>
      <c r="CB2480" s="220"/>
      <c r="CC2480" s="220"/>
      <c r="CD2480" s="220"/>
      <c r="CE2480" s="220"/>
      <c r="CF2480" s="220"/>
      <c r="CG2480" s="220"/>
      <c r="CH2480" s="220"/>
      <c r="CI2480" s="220"/>
      <c r="CJ2480" s="220"/>
      <c r="CK2480" s="220"/>
      <c r="CL2480" s="220"/>
      <c r="CM2480" s="220"/>
      <c r="CN2480" s="220"/>
      <c r="CO2480" s="220"/>
      <c r="CP2480" s="220"/>
      <c r="CQ2480" s="220"/>
      <c r="CR2480" s="220"/>
      <c r="CS2480" s="220"/>
      <c r="CT2480" s="220"/>
      <c r="CU2480" s="220"/>
      <c r="CV2480" s="220"/>
      <c r="CW2480" s="220"/>
      <c r="CX2480" s="220"/>
      <c r="CY2480" s="220"/>
      <c r="CZ2480" s="220"/>
      <c r="DA2480" s="220"/>
      <c r="DB2480" s="220"/>
      <c r="DC2480" s="220"/>
      <c r="DD2480" s="220"/>
      <c r="DE2480" s="220"/>
      <c r="DF2480" s="220"/>
      <c r="DG2480" s="220"/>
      <c r="DH2480" s="220"/>
      <c r="DI2480" s="220"/>
      <c r="DJ2480" s="220"/>
      <c r="DK2480" s="220"/>
      <c r="DL2480" s="220"/>
    </row>
    <row r="2481">
      <c r="A2481" s="44">
        <v>2481.0</v>
      </c>
      <c r="B2481" s="129" t="s">
        <v>114</v>
      </c>
      <c r="C2481" s="62" t="s">
        <v>115</v>
      </c>
      <c r="D2481" s="62" t="s">
        <v>1458</v>
      </c>
      <c r="F2481" s="68" t="s">
        <v>14712</v>
      </c>
      <c r="G2481" s="159" t="s">
        <v>14425</v>
      </c>
      <c r="H2481" s="159" t="s">
        <v>8501</v>
      </c>
      <c r="I2481" s="434">
        <v>45251.0</v>
      </c>
      <c r="J2481" s="2136">
        <v>45842.0</v>
      </c>
      <c r="K2481" s="68" t="s">
        <v>14873</v>
      </c>
      <c r="L2481" s="631" t="s">
        <v>14874</v>
      </c>
      <c r="M2481" s="159" t="s">
        <v>14707</v>
      </c>
      <c r="N2481" s="159" t="s">
        <v>14708</v>
      </c>
      <c r="O2481" s="336">
        <v>1.0</v>
      </c>
      <c r="P2481" s="382" t="s">
        <v>14709</v>
      </c>
      <c r="Q2481" s="52" t="str">
        <f t="array" ref="Q2481"> if(iserror(MATCH(V2481, 'File Links'!C:C, 0)), "N/A", HYPERLINK(INDEX('File Links'!B:B, MATCH(P2481, 'File Links'!C:C, 0))))</f>
        <v>https://drive.google.com/file/d/1aykdUrdNDQMd7IVvqNy3V_z8BwKq0YuV/view?usp=drivesdk</v>
      </c>
      <c r="R2481" s="159" t="s">
        <v>14432</v>
      </c>
      <c r="S2481" s="159" t="s">
        <v>14433</v>
      </c>
      <c r="T2481" s="68" t="s">
        <v>138</v>
      </c>
      <c r="U2481" s="336">
        <v>1.0</v>
      </c>
      <c r="V2481" s="382" t="s">
        <v>14434</v>
      </c>
      <c r="W2481" s="295" t="s">
        <v>209</v>
      </c>
      <c r="X2481" s="54" t="str">
        <f t="array" ref="X2481"> if(iserror(MATCH(V2481, 'File Links'!C:C, 0)), "N/A", HYPERLINK(INDEX('File Links'!B:B, MATCH(V2481, 'File Links'!C:C, 0))))</f>
        <v>https://drive.google.com/file/d/17mZvRs3ue7pXwqu8bmIDvgNdc95PGEcV/view?usp=drivesdk</v>
      </c>
      <c r="Y2481" s="68"/>
      <c r="Z2481" s="159" t="s">
        <v>1079</v>
      </c>
      <c r="AA2481" s="68" t="s">
        <v>12028</v>
      </c>
      <c r="AB2481" s="159" t="s">
        <v>14436</v>
      </c>
      <c r="AC2481" s="159" t="s">
        <v>14715</v>
      </c>
      <c r="AD2481" s="68" t="s">
        <v>14876</v>
      </c>
      <c r="AE2481" s="2138">
        <v>45750.0</v>
      </c>
      <c r="AF2481" s="156">
        <v>479.0</v>
      </c>
      <c r="AG2481" s="501">
        <v>0.3</v>
      </c>
      <c r="AH2481" s="68" t="s">
        <v>215</v>
      </c>
      <c r="AI2481" s="68" t="s">
        <v>496</v>
      </c>
      <c r="AJ2481" s="336">
        <v>0.05</v>
      </c>
      <c r="AK2481" s="68" t="s">
        <v>135</v>
      </c>
      <c r="AL2481" s="68" t="s">
        <v>186</v>
      </c>
      <c r="AM2481" s="68" t="s">
        <v>137</v>
      </c>
      <c r="AN2481" s="68" t="s">
        <v>138</v>
      </c>
      <c r="AO2481" s="156">
        <v>1503.0</v>
      </c>
      <c r="AP2481" s="501">
        <v>0.43</v>
      </c>
      <c r="AQ2481" s="68" t="s">
        <v>215</v>
      </c>
      <c r="AR2481" s="68" t="s">
        <v>882</v>
      </c>
      <c r="AS2481" s="1791">
        <v>0.05</v>
      </c>
      <c r="AT2481" s="1793" t="s">
        <v>135</v>
      </c>
      <c r="AU2481" s="1793" t="s">
        <v>136</v>
      </c>
      <c r="AV2481" s="46" t="s">
        <v>137</v>
      </c>
      <c r="AW2481" s="435" t="s">
        <v>14855</v>
      </c>
      <c r="AX2481" s="68" t="s">
        <v>151</v>
      </c>
      <c r="AY2481" s="61" t="str">
        <f>IFERROR(__xludf.DUMMYFUNCTION("vlookup(BB2481,importrange(""https://docs.google.com/spreadsheets/d/1d2vevQ_7D_v35q4wCQ4RpQ_IPoTwEMB9Yp6ymwlPqew/edit?gid=984458430#gid=984458430"", ""'replication success'!A:K""), 11, FAlSE)"),"")</f>
        <v/>
      </c>
      <c r="AZ2481" s="61" t="str">
        <f>IFERROR(__xludf.DUMMYFUNCTION("vlookup(BB2481,importrange(""https://docs.google.com/spreadsheets/d/1d2vevQ_7D_v35q4wCQ4RpQ_IPoTwEMB9Yp6ymwlPqew/edit?gid=984458430#gid=984458430"", ""'replication success'!A:M""), 12, FAlSE)"),"")</f>
        <v/>
      </c>
      <c r="BA2481" s="61" t="str">
        <f>IFERROR(__xludf.DUMMYFUNCTION("vlookup(BB2481,importrange(""https://docs.google.com/spreadsheets/d/1d2vevQ_7D_v35q4wCQ4RpQ_IPoTwEMB9Yp6ymwlPqew/edit?gid=984458430#gid=984458430"", ""'replication success'!A:M""), 13, FAlSE)"),"abstract")</f>
        <v>abstract</v>
      </c>
      <c r="BB2481" s="61" t="str">
        <f>IFERROR(__xludf.DUMMYFUNCTION("REGEXREPLACE(G2481, ""_[a-z]{1,2}$"", """")"),"Soto")</f>
        <v>Soto</v>
      </c>
      <c r="BD2481" s="341" t="s">
        <v>1270</v>
      </c>
    </row>
    <row r="2482">
      <c r="A2482" s="44">
        <v>2482.0</v>
      </c>
      <c r="B2482" s="129" t="s">
        <v>114</v>
      </c>
      <c r="C2482" s="62" t="s">
        <v>115</v>
      </c>
      <c r="D2482" s="62" t="s">
        <v>1458</v>
      </c>
      <c r="F2482" s="68" t="s">
        <v>14717</v>
      </c>
      <c r="G2482" s="159" t="s">
        <v>14425</v>
      </c>
      <c r="H2482" s="159" t="s">
        <v>8501</v>
      </c>
      <c r="I2482" s="434">
        <v>45251.0</v>
      </c>
      <c r="J2482" s="2136">
        <v>45842.0</v>
      </c>
      <c r="K2482" s="68" t="s">
        <v>14873</v>
      </c>
      <c r="L2482" s="631" t="s">
        <v>14874</v>
      </c>
      <c r="M2482" s="159" t="s">
        <v>14707</v>
      </c>
      <c r="N2482" s="159" t="s">
        <v>14708</v>
      </c>
      <c r="O2482" s="336">
        <v>1.0</v>
      </c>
      <c r="P2482" s="382" t="s">
        <v>14709</v>
      </c>
      <c r="Q2482" s="52" t="str">
        <f t="array" ref="Q2482"> if(iserror(MATCH(V2482, 'File Links'!C:C, 0)), "N/A", HYPERLINK(INDEX('File Links'!B:B, MATCH(P2482, 'File Links'!C:C, 0))))</f>
        <v>https://drive.google.com/file/d/1aykdUrdNDQMd7IVvqNy3V_z8BwKq0YuV/view?usp=drivesdk</v>
      </c>
      <c r="R2482" s="159" t="s">
        <v>14432</v>
      </c>
      <c r="S2482" s="159" t="s">
        <v>14433</v>
      </c>
      <c r="T2482" s="68" t="s">
        <v>138</v>
      </c>
      <c r="U2482" s="336">
        <v>1.0</v>
      </c>
      <c r="V2482" s="382" t="s">
        <v>14434</v>
      </c>
      <c r="W2482" s="295" t="s">
        <v>209</v>
      </c>
      <c r="X2482" s="54" t="str">
        <f t="array" ref="X2482"> if(iserror(MATCH(V2482, 'File Links'!C:C, 0)), "N/A", HYPERLINK(INDEX('File Links'!B:B, MATCH(V2482, 'File Links'!C:C, 0))))</f>
        <v>https://drive.google.com/file/d/17mZvRs3ue7pXwqu8bmIDvgNdc95PGEcV/view?usp=drivesdk</v>
      </c>
      <c r="Y2482" s="68"/>
      <c r="Z2482" s="159" t="s">
        <v>1079</v>
      </c>
      <c r="AA2482" s="68" t="s">
        <v>12028</v>
      </c>
      <c r="AB2482" s="159" t="s">
        <v>14436</v>
      </c>
      <c r="AC2482" s="159" t="s">
        <v>14719</v>
      </c>
      <c r="AD2482" s="68" t="s">
        <v>14877</v>
      </c>
      <c r="AE2482" s="2138">
        <v>45750.0</v>
      </c>
      <c r="AF2482" s="156">
        <v>479.0</v>
      </c>
      <c r="AG2482" s="501">
        <v>0.16</v>
      </c>
      <c r="AH2482" s="68" t="s">
        <v>215</v>
      </c>
      <c r="AI2482" s="68" t="s">
        <v>496</v>
      </c>
      <c r="AJ2482" s="336">
        <v>0.05</v>
      </c>
      <c r="AK2482" s="68" t="s">
        <v>135</v>
      </c>
      <c r="AL2482" s="68" t="s">
        <v>186</v>
      </c>
      <c r="AM2482" s="68" t="s">
        <v>137</v>
      </c>
      <c r="AN2482" s="68" t="s">
        <v>138</v>
      </c>
      <c r="AO2482" s="156">
        <v>1503.0</v>
      </c>
      <c r="AP2482" s="501">
        <v>0.17</v>
      </c>
      <c r="AQ2482" s="68" t="s">
        <v>215</v>
      </c>
      <c r="AR2482" s="68" t="s">
        <v>882</v>
      </c>
      <c r="AS2482" s="1791">
        <v>0.05</v>
      </c>
      <c r="AT2482" s="1793" t="s">
        <v>135</v>
      </c>
      <c r="AU2482" s="1793" t="s">
        <v>136</v>
      </c>
      <c r="AV2482" s="46" t="s">
        <v>137</v>
      </c>
      <c r="AW2482" s="435" t="s">
        <v>14855</v>
      </c>
      <c r="AX2482" s="68" t="s">
        <v>151</v>
      </c>
      <c r="AY2482" s="61" t="str">
        <f>IFERROR(__xludf.DUMMYFUNCTION("vlookup(BB2482,importrange(""https://docs.google.com/spreadsheets/d/1d2vevQ_7D_v35q4wCQ4RpQ_IPoTwEMB9Yp6ymwlPqew/edit?gid=984458430#gid=984458430"", ""'replication success'!A:K""), 11, FAlSE)"),"")</f>
        <v/>
      </c>
      <c r="AZ2482" s="61" t="str">
        <f>IFERROR(__xludf.DUMMYFUNCTION("vlookup(BB2482,importrange(""https://docs.google.com/spreadsheets/d/1d2vevQ_7D_v35q4wCQ4RpQ_IPoTwEMB9Yp6ymwlPqew/edit?gid=984458430#gid=984458430"", ""'replication success'!A:M""), 12, FAlSE)"),"")</f>
        <v/>
      </c>
      <c r="BA2482" s="61" t="str">
        <f>IFERROR(__xludf.DUMMYFUNCTION("vlookup(BB2482,importrange(""https://docs.google.com/spreadsheets/d/1d2vevQ_7D_v35q4wCQ4RpQ_IPoTwEMB9Yp6ymwlPqew/edit?gid=984458430#gid=984458430"", ""'replication success'!A:M""), 13, FAlSE)"),"abstract")</f>
        <v>abstract</v>
      </c>
      <c r="BB2482" s="61" t="str">
        <f>IFERROR(__xludf.DUMMYFUNCTION("REGEXREPLACE(G2482, ""_[a-z]{1,2}$"", """")"),"Soto")</f>
        <v>Soto</v>
      </c>
      <c r="BD2482" s="341" t="s">
        <v>1270</v>
      </c>
    </row>
    <row r="2483">
      <c r="A2483" s="44">
        <v>2483.0</v>
      </c>
      <c r="B2483" s="129" t="s">
        <v>114</v>
      </c>
      <c r="C2483" s="62" t="s">
        <v>115</v>
      </c>
      <c r="D2483" s="62" t="s">
        <v>1458</v>
      </c>
      <c r="F2483" s="68" t="s">
        <v>14721</v>
      </c>
      <c r="G2483" s="159" t="s">
        <v>14425</v>
      </c>
      <c r="H2483" s="159" t="s">
        <v>8501</v>
      </c>
      <c r="I2483" s="434">
        <v>45251.0</v>
      </c>
      <c r="J2483" s="2136">
        <v>45842.0</v>
      </c>
      <c r="K2483" s="68" t="s">
        <v>14873</v>
      </c>
      <c r="L2483" s="631" t="s">
        <v>14874</v>
      </c>
      <c r="M2483" s="159" t="s">
        <v>14707</v>
      </c>
      <c r="N2483" s="159" t="s">
        <v>14708</v>
      </c>
      <c r="O2483" s="336">
        <v>1.0</v>
      </c>
      <c r="P2483" s="382" t="s">
        <v>14709</v>
      </c>
      <c r="Q2483" s="52" t="str">
        <f t="array" ref="Q2483"> if(iserror(MATCH(V2483, 'File Links'!C:C, 0)), "N/A", HYPERLINK(INDEX('File Links'!B:B, MATCH(P2483, 'File Links'!C:C, 0))))</f>
        <v>https://drive.google.com/file/d/1aykdUrdNDQMd7IVvqNy3V_z8BwKq0YuV/view?usp=drivesdk</v>
      </c>
      <c r="R2483" s="159" t="s">
        <v>14432</v>
      </c>
      <c r="S2483" s="159" t="s">
        <v>14433</v>
      </c>
      <c r="T2483" s="68" t="s">
        <v>138</v>
      </c>
      <c r="U2483" s="336">
        <v>1.0</v>
      </c>
      <c r="V2483" s="382" t="s">
        <v>14434</v>
      </c>
      <c r="W2483" s="295" t="s">
        <v>209</v>
      </c>
      <c r="X2483" s="54" t="str">
        <f t="array" ref="X2483"> if(iserror(MATCH(V2483, 'File Links'!C:C, 0)), "N/A", HYPERLINK(INDEX('File Links'!B:B, MATCH(V2483, 'File Links'!C:C, 0))))</f>
        <v>https://drive.google.com/file/d/17mZvRs3ue7pXwqu8bmIDvgNdc95PGEcV/view?usp=drivesdk</v>
      </c>
      <c r="Y2483" s="68"/>
      <c r="Z2483" s="159" t="s">
        <v>1079</v>
      </c>
      <c r="AA2483" s="68" t="s">
        <v>12028</v>
      </c>
      <c r="AB2483" s="159" t="s">
        <v>14436</v>
      </c>
      <c r="AC2483" s="159" t="s">
        <v>14723</v>
      </c>
      <c r="AD2483" s="68" t="s">
        <v>14878</v>
      </c>
      <c r="AE2483" s="336">
        <v>4.0</v>
      </c>
      <c r="AF2483" s="156">
        <v>479.0</v>
      </c>
      <c r="AG2483" s="501">
        <v>0.11</v>
      </c>
      <c r="AH2483" s="68" t="s">
        <v>215</v>
      </c>
      <c r="AI2483" s="68" t="s">
        <v>496</v>
      </c>
      <c r="AJ2483" s="68" t="s">
        <v>138</v>
      </c>
      <c r="AK2483" s="68" t="s">
        <v>138</v>
      </c>
      <c r="AL2483" s="68" t="s">
        <v>186</v>
      </c>
      <c r="AM2483" s="68" t="s">
        <v>137</v>
      </c>
      <c r="AN2483" s="68" t="s">
        <v>138</v>
      </c>
      <c r="AO2483" s="156">
        <v>1503.0</v>
      </c>
      <c r="AP2483" s="501">
        <v>0.09</v>
      </c>
      <c r="AQ2483" s="68" t="s">
        <v>215</v>
      </c>
      <c r="AR2483" s="68" t="s">
        <v>882</v>
      </c>
      <c r="AS2483" s="1791">
        <v>0.05</v>
      </c>
      <c r="AT2483" s="1793" t="s">
        <v>135</v>
      </c>
      <c r="AU2483" s="1793" t="s">
        <v>136</v>
      </c>
      <c r="AV2483" s="46" t="s">
        <v>137</v>
      </c>
      <c r="AW2483" s="435" t="s">
        <v>14855</v>
      </c>
      <c r="AX2483" s="68" t="s">
        <v>151</v>
      </c>
      <c r="AY2483" s="61" t="str">
        <f>IFERROR(__xludf.DUMMYFUNCTION("vlookup(BB2483,importrange(""https://docs.google.com/spreadsheets/d/1d2vevQ_7D_v35q4wCQ4RpQ_IPoTwEMB9Yp6ymwlPqew/edit?gid=984458430#gid=984458430"", ""'replication success'!A:K""), 11, FAlSE)"),"")</f>
        <v/>
      </c>
      <c r="AZ2483" s="61" t="str">
        <f>IFERROR(__xludf.DUMMYFUNCTION("vlookup(BB2483,importrange(""https://docs.google.com/spreadsheets/d/1d2vevQ_7D_v35q4wCQ4RpQ_IPoTwEMB9Yp6ymwlPqew/edit?gid=984458430#gid=984458430"", ""'replication success'!A:M""), 12, FAlSE)"),"")</f>
        <v/>
      </c>
      <c r="BA2483" s="61" t="str">
        <f>IFERROR(__xludf.DUMMYFUNCTION("vlookup(BB2483,importrange(""https://docs.google.com/spreadsheets/d/1d2vevQ_7D_v35q4wCQ4RpQ_IPoTwEMB9Yp6ymwlPqew/edit?gid=984458430#gid=984458430"", ""'replication success'!A:M""), 13, FAlSE)"),"abstract")</f>
        <v>abstract</v>
      </c>
      <c r="BB2483" s="61" t="str">
        <f>IFERROR(__xludf.DUMMYFUNCTION("REGEXREPLACE(G2483, ""_[a-z]{1,2}$"", """")"),"Soto")</f>
        <v>Soto</v>
      </c>
      <c r="BD2483" s="341" t="s">
        <v>1270</v>
      </c>
    </row>
    <row r="2484">
      <c r="A2484" s="639">
        <v>2484.0</v>
      </c>
      <c r="B2484" s="631" t="s">
        <v>114</v>
      </c>
      <c r="C2484" s="397" t="s">
        <v>115</v>
      </c>
      <c r="D2484" s="397" t="s">
        <v>1458</v>
      </c>
      <c r="E2484" s="220"/>
      <c r="F2484" s="398" t="s">
        <v>14725</v>
      </c>
      <c r="G2484" s="407" t="s">
        <v>14425</v>
      </c>
      <c r="H2484" s="407" t="s">
        <v>8501</v>
      </c>
      <c r="I2484" s="727">
        <v>45251.0</v>
      </c>
      <c r="J2484" s="2136">
        <v>45842.0</v>
      </c>
      <c r="K2484" s="398" t="s">
        <v>14873</v>
      </c>
      <c r="L2484" s="631" t="s">
        <v>14874</v>
      </c>
      <c r="M2484" s="407" t="s">
        <v>14707</v>
      </c>
      <c r="N2484" s="407" t="s">
        <v>14708</v>
      </c>
      <c r="O2484" s="770">
        <v>1.0</v>
      </c>
      <c r="P2484" s="407" t="s">
        <v>14709</v>
      </c>
      <c r="Q2484" s="882" t="str">
        <f t="array" ref="Q2484"> if(iserror(MATCH(V2484, 'File Links'!C:C, 0)), "N/A", HYPERLINK(INDEX('File Links'!B:B, MATCH(P2484, 'File Links'!C:C, 0))))</f>
        <v>https://drive.google.com/file/d/1aykdUrdNDQMd7IVvqNy3V_z8BwKq0YuV/view?usp=drivesdk</v>
      </c>
      <c r="R2484" s="407" t="s">
        <v>14432</v>
      </c>
      <c r="S2484" s="407" t="s">
        <v>14433</v>
      </c>
      <c r="T2484" s="398" t="s">
        <v>138</v>
      </c>
      <c r="U2484" s="770">
        <v>1.0</v>
      </c>
      <c r="V2484" s="407" t="s">
        <v>14434</v>
      </c>
      <c r="W2484" s="631" t="s">
        <v>209</v>
      </c>
      <c r="X2484" s="883" t="str">
        <f t="array" ref="X2484"> if(iserror(MATCH(V2484, 'File Links'!C:C, 0)), "N/A", HYPERLINK(INDEX('File Links'!B:B, MATCH(V2484, 'File Links'!C:C, 0))))</f>
        <v>https://drive.google.com/file/d/17mZvRs3ue7pXwqu8bmIDvgNdc95PGEcV/view?usp=drivesdk</v>
      </c>
      <c r="Y2484" s="398"/>
      <c r="Z2484" s="407" t="s">
        <v>1079</v>
      </c>
      <c r="AA2484" s="398" t="s">
        <v>12028</v>
      </c>
      <c r="AB2484" s="407" t="s">
        <v>14436</v>
      </c>
      <c r="AC2484" s="407" t="s">
        <v>14727</v>
      </c>
      <c r="AD2484" s="398" t="s">
        <v>14877</v>
      </c>
      <c r="AE2484" s="2137">
        <v>45750.0</v>
      </c>
      <c r="AF2484" s="728">
        <v>479.0</v>
      </c>
      <c r="AG2484" s="645">
        <v>0.16</v>
      </c>
      <c r="AH2484" s="398" t="s">
        <v>215</v>
      </c>
      <c r="AI2484" s="398" t="s">
        <v>496</v>
      </c>
      <c r="AJ2484" s="770">
        <v>0.05</v>
      </c>
      <c r="AK2484" s="398" t="s">
        <v>135</v>
      </c>
      <c r="AL2484" s="398" t="s">
        <v>186</v>
      </c>
      <c r="AM2484" s="398" t="s">
        <v>137</v>
      </c>
      <c r="AN2484" s="398" t="s">
        <v>138</v>
      </c>
      <c r="AO2484" s="728">
        <v>1503.0</v>
      </c>
      <c r="AP2484" s="645">
        <v>0.2</v>
      </c>
      <c r="AQ2484" s="398" t="s">
        <v>215</v>
      </c>
      <c r="AR2484" s="398" t="s">
        <v>882</v>
      </c>
      <c r="AS2484" s="770">
        <v>0.05</v>
      </c>
      <c r="AT2484" s="398" t="s">
        <v>135</v>
      </c>
      <c r="AU2484" s="398" t="s">
        <v>136</v>
      </c>
      <c r="AV2484" s="46" t="s">
        <v>137</v>
      </c>
      <c r="AW2484" s="409" t="s">
        <v>14855</v>
      </c>
      <c r="AX2484" s="398" t="s">
        <v>151</v>
      </c>
      <c r="AY2484" s="61" t="str">
        <f>IFERROR(__xludf.DUMMYFUNCTION("vlookup(BB2484,importrange(""https://docs.google.com/spreadsheets/d/1d2vevQ_7D_v35q4wCQ4RpQ_IPoTwEMB9Yp6ymwlPqew/edit?gid=984458430#gid=984458430"", ""'replication success'!A:K""), 11, FAlSE)"),"")</f>
        <v/>
      </c>
      <c r="AZ2484" s="61" t="str">
        <f>IFERROR(__xludf.DUMMYFUNCTION("vlookup(BB2484,importrange(""https://docs.google.com/spreadsheets/d/1d2vevQ_7D_v35q4wCQ4RpQ_IPoTwEMB9Yp6ymwlPqew/edit?gid=984458430#gid=984458430"", ""'replication success'!A:M""), 12, FAlSE)"),"")</f>
        <v/>
      </c>
      <c r="BA2484" s="61" t="str">
        <f>IFERROR(__xludf.DUMMYFUNCTION("vlookup(BB2484,importrange(""https://docs.google.com/spreadsheets/d/1d2vevQ_7D_v35q4wCQ4RpQ_IPoTwEMB9Yp6ymwlPqew/edit?gid=984458430#gid=984458430"", ""'replication success'!A:M""), 13, FAlSE)"),"abstract")</f>
        <v>abstract</v>
      </c>
      <c r="BB2484" s="61" t="str">
        <f>IFERROR(__xludf.DUMMYFUNCTION("REGEXREPLACE(G2484, ""_[a-z]{1,2}$"", """")"),"Soto")</f>
        <v>Soto</v>
      </c>
      <c r="BC2484" s="220"/>
      <c r="BD2484" s="341" t="s">
        <v>1270</v>
      </c>
      <c r="BE2484" s="220"/>
      <c r="BF2484" s="220"/>
      <c r="BG2484" s="220"/>
      <c r="BH2484" s="220"/>
      <c r="BI2484" s="220"/>
      <c r="BJ2484" s="220"/>
      <c r="BK2484" s="220"/>
      <c r="BL2484" s="220"/>
      <c r="BM2484" s="220"/>
      <c r="BN2484" s="220"/>
      <c r="BO2484" s="220"/>
      <c r="BP2484" s="220"/>
      <c r="BQ2484" s="220"/>
      <c r="BR2484" s="220"/>
      <c r="BS2484" s="220"/>
      <c r="BT2484" s="220"/>
      <c r="BU2484" s="220"/>
      <c r="BV2484" s="220"/>
      <c r="BW2484" s="220"/>
      <c r="BX2484" s="220"/>
      <c r="BY2484" s="220"/>
      <c r="BZ2484" s="220"/>
      <c r="CA2484" s="220"/>
      <c r="CB2484" s="220"/>
      <c r="CC2484" s="220"/>
      <c r="CD2484" s="220"/>
      <c r="CE2484" s="220"/>
      <c r="CF2484" s="220"/>
      <c r="CG2484" s="220"/>
      <c r="CH2484" s="220"/>
      <c r="CI2484" s="220"/>
      <c r="CJ2484" s="220"/>
      <c r="CK2484" s="220"/>
      <c r="CL2484" s="220"/>
      <c r="CM2484" s="220"/>
      <c r="CN2484" s="220"/>
      <c r="CO2484" s="220"/>
      <c r="CP2484" s="220"/>
      <c r="CQ2484" s="220"/>
      <c r="CR2484" s="220"/>
      <c r="CS2484" s="220"/>
      <c r="CT2484" s="220"/>
      <c r="CU2484" s="220"/>
      <c r="CV2484" s="220"/>
      <c r="CW2484" s="220"/>
      <c r="CX2484" s="220"/>
      <c r="CY2484" s="220"/>
      <c r="CZ2484" s="220"/>
      <c r="DA2484" s="220"/>
      <c r="DB2484" s="220"/>
      <c r="DC2484" s="220"/>
      <c r="DD2484" s="220"/>
      <c r="DE2484" s="220"/>
      <c r="DF2484" s="220"/>
      <c r="DG2484" s="220"/>
      <c r="DH2484" s="220"/>
      <c r="DI2484" s="220"/>
      <c r="DJ2484" s="220"/>
      <c r="DK2484" s="220"/>
      <c r="DL2484" s="220"/>
    </row>
    <row r="2485">
      <c r="A2485" s="354">
        <v>2485.0</v>
      </c>
      <c r="B2485" s="56" t="s">
        <v>152</v>
      </c>
      <c r="C2485" s="341" t="s">
        <v>115</v>
      </c>
      <c r="D2485" s="341" t="s">
        <v>1458</v>
      </c>
      <c r="E2485" s="342"/>
      <c r="F2485" s="46" t="s">
        <v>14729</v>
      </c>
      <c r="G2485" s="360" t="s">
        <v>14425</v>
      </c>
      <c r="H2485" s="360" t="s">
        <v>8501</v>
      </c>
      <c r="I2485" s="511">
        <v>45251.0</v>
      </c>
      <c r="J2485" s="2124">
        <v>45842.0</v>
      </c>
      <c r="K2485" s="46" t="s">
        <v>14879</v>
      </c>
      <c r="L2485" s="56" t="s">
        <v>14880</v>
      </c>
      <c r="M2485" s="360" t="s">
        <v>14732</v>
      </c>
      <c r="N2485" s="360" t="s">
        <v>14733</v>
      </c>
      <c r="O2485" s="385">
        <v>1.0</v>
      </c>
      <c r="P2485" s="360" t="s">
        <v>14734</v>
      </c>
      <c r="Q2485" s="104" t="str">
        <f t="array" ref="Q2485"> if(iserror(MATCH(V2485, 'File Links'!C:C, 0)), "N/A", HYPERLINK(INDEX('File Links'!B:B, MATCH(P2485, 'File Links'!C:C, 0))))</f>
        <v>https://drive.google.com/file/d/1Ey8YE267IkJvJPhLMe73j6CWvGwENA3f/view?usp=drivesdk</v>
      </c>
      <c r="R2485" s="360" t="s">
        <v>14432</v>
      </c>
      <c r="S2485" s="360" t="s">
        <v>14433</v>
      </c>
      <c r="T2485" s="46" t="s">
        <v>138</v>
      </c>
      <c r="U2485" s="385">
        <v>1.0</v>
      </c>
      <c r="V2485" s="360" t="s">
        <v>14434</v>
      </c>
      <c r="W2485" s="56" t="s">
        <v>209</v>
      </c>
      <c r="X2485" s="54" t="str">
        <f t="array" ref="X2485"> if(iserror(MATCH(V2485, 'File Links'!C:C, 0)), "N/A", HYPERLINK(INDEX('File Links'!B:B, MATCH(V2485, 'File Links'!C:C, 0))))</f>
        <v>https://drive.google.com/file/d/17mZvRs3ue7pXwqu8bmIDvgNdc95PGEcV/view?usp=drivesdk</v>
      </c>
      <c r="Y2485" s="46"/>
      <c r="Z2485" s="360" t="s">
        <v>1079</v>
      </c>
      <c r="AA2485" s="46" t="s">
        <v>12028</v>
      </c>
      <c r="AB2485" s="360" t="s">
        <v>14436</v>
      </c>
      <c r="AC2485" s="360" t="s">
        <v>14735</v>
      </c>
      <c r="AD2485" s="46" t="s">
        <v>14881</v>
      </c>
      <c r="AE2485" s="385">
        <v>20.0</v>
      </c>
      <c r="AF2485" s="357">
        <v>12023.0</v>
      </c>
      <c r="AG2485" s="385">
        <v>0.18</v>
      </c>
      <c r="AH2485" s="46" t="s">
        <v>215</v>
      </c>
      <c r="AI2485" s="46" t="s">
        <v>2441</v>
      </c>
      <c r="AJ2485" s="46" t="s">
        <v>138</v>
      </c>
      <c r="AK2485" s="46" t="s">
        <v>138</v>
      </c>
      <c r="AL2485" s="46" t="s">
        <v>138</v>
      </c>
      <c r="AM2485" s="46" t="s">
        <v>141</v>
      </c>
      <c r="AN2485" s="46" t="s">
        <v>138</v>
      </c>
      <c r="AO2485" s="357">
        <v>747.0</v>
      </c>
      <c r="AP2485" s="55">
        <v>0.21</v>
      </c>
      <c r="AQ2485" s="46" t="s">
        <v>215</v>
      </c>
      <c r="AR2485" s="46" t="s">
        <v>882</v>
      </c>
      <c r="AS2485" s="385">
        <v>0.05</v>
      </c>
      <c r="AT2485" s="46" t="s">
        <v>135</v>
      </c>
      <c r="AU2485" s="46" t="s">
        <v>136</v>
      </c>
      <c r="AV2485" s="46" t="s">
        <v>137</v>
      </c>
      <c r="AW2485" s="59" t="s">
        <v>14855</v>
      </c>
      <c r="AX2485" s="46" t="s">
        <v>151</v>
      </c>
      <c r="AY2485" s="49" t="str">
        <f>IFERROR(__xludf.DUMMYFUNCTION("vlookup(BB2485,importrange(""https://docs.google.com/spreadsheets/d/1d2vevQ_7D_v35q4wCQ4RpQ_IPoTwEMB9Yp6ymwlPqew/edit?gid=984458430#gid=984458430"", ""'replication success'!A:K""), 11, FAlSE)"),"")</f>
        <v/>
      </c>
      <c r="AZ2485" s="49" t="str">
        <f>IFERROR(__xludf.DUMMYFUNCTION("vlookup(BB2485,importrange(""https://docs.google.com/spreadsheets/d/1d2vevQ_7D_v35q4wCQ4RpQ_IPoTwEMB9Yp6ymwlPqew/edit?gid=984458430#gid=984458430"", ""'replication success'!A:M""), 12, FAlSE)"),"")</f>
        <v/>
      </c>
      <c r="BA2485" s="49" t="str">
        <f>IFERROR(__xludf.DUMMYFUNCTION("vlookup(BB2485,importrange(""https://docs.google.com/spreadsheets/d/1d2vevQ_7D_v35q4wCQ4RpQ_IPoTwEMB9Yp6ymwlPqew/edit?gid=984458430#gid=984458430"", ""'replication success'!A:M""), 13, FAlSE)"),"abstract")</f>
        <v>abstract</v>
      </c>
      <c r="BB2485" s="49" t="str">
        <f>IFERROR(__xludf.DUMMYFUNCTION("REGEXREPLACE(G2485, ""_[a-z]{1,2}$"", """")"),"Soto")</f>
        <v>Soto</v>
      </c>
      <c r="BC2485" s="342"/>
      <c r="BD2485" s="341" t="s">
        <v>1270</v>
      </c>
      <c r="BE2485" s="342"/>
      <c r="BF2485" s="342"/>
      <c r="BG2485" s="342"/>
      <c r="BH2485" s="342"/>
      <c r="BI2485" s="342"/>
      <c r="BJ2485" s="342"/>
      <c r="BK2485" s="342"/>
      <c r="BL2485" s="342"/>
      <c r="BM2485" s="342"/>
      <c r="BN2485" s="342"/>
      <c r="BO2485" s="342"/>
      <c r="BP2485" s="342"/>
      <c r="BQ2485" s="342"/>
      <c r="BR2485" s="342"/>
      <c r="BS2485" s="342"/>
      <c r="BT2485" s="342"/>
      <c r="BU2485" s="342"/>
      <c r="BV2485" s="342"/>
      <c r="BW2485" s="342"/>
      <c r="BX2485" s="342"/>
      <c r="BY2485" s="342"/>
      <c r="BZ2485" s="342"/>
      <c r="CA2485" s="342"/>
      <c r="CB2485" s="342"/>
      <c r="CC2485" s="342"/>
      <c r="CD2485" s="342"/>
      <c r="CE2485" s="342"/>
      <c r="CF2485" s="342"/>
      <c r="CG2485" s="342"/>
      <c r="CH2485" s="342"/>
      <c r="CI2485" s="342"/>
      <c r="CJ2485" s="342"/>
      <c r="CK2485" s="342"/>
      <c r="CL2485" s="342"/>
      <c r="CM2485" s="342"/>
      <c r="CN2485" s="342"/>
      <c r="CO2485" s="342"/>
      <c r="CP2485" s="342"/>
      <c r="CQ2485" s="342"/>
      <c r="CR2485" s="342"/>
      <c r="CS2485" s="342"/>
      <c r="CT2485" s="342"/>
      <c r="CU2485" s="342"/>
      <c r="CV2485" s="342"/>
      <c r="CW2485" s="342"/>
      <c r="CX2485" s="342"/>
      <c r="CY2485" s="342"/>
      <c r="CZ2485" s="342"/>
      <c r="DA2485" s="342"/>
      <c r="DB2485" s="342"/>
      <c r="DC2485" s="342"/>
      <c r="DD2485" s="342"/>
      <c r="DE2485" s="342"/>
      <c r="DF2485" s="342"/>
      <c r="DG2485" s="342"/>
      <c r="DH2485" s="342"/>
      <c r="DI2485" s="342"/>
      <c r="DJ2485" s="342"/>
      <c r="DK2485" s="342"/>
      <c r="DL2485" s="342"/>
    </row>
    <row r="2486">
      <c r="A2486" s="44">
        <v>2486.0</v>
      </c>
      <c r="B2486" s="129" t="s">
        <v>152</v>
      </c>
      <c r="C2486" s="62" t="s">
        <v>115</v>
      </c>
      <c r="D2486" s="62" t="s">
        <v>1458</v>
      </c>
      <c r="F2486" s="68" t="s">
        <v>14737</v>
      </c>
      <c r="G2486" s="159" t="s">
        <v>14425</v>
      </c>
      <c r="H2486" s="159" t="s">
        <v>8501</v>
      </c>
      <c r="I2486" s="434">
        <v>45251.0</v>
      </c>
      <c r="J2486" s="2136">
        <v>45842.0</v>
      </c>
      <c r="K2486" s="68" t="s">
        <v>14882</v>
      </c>
      <c r="L2486" s="129" t="s">
        <v>14880</v>
      </c>
      <c r="M2486" s="159" t="s">
        <v>14732</v>
      </c>
      <c r="N2486" s="159" t="s">
        <v>14733</v>
      </c>
      <c r="O2486" s="336">
        <v>1.0</v>
      </c>
      <c r="P2486" s="382" t="s">
        <v>14734</v>
      </c>
      <c r="Q2486" s="52" t="str">
        <f t="array" ref="Q2486"> if(iserror(MATCH(V2486, 'File Links'!C:C, 0)), "N/A", HYPERLINK(INDEX('File Links'!B:B, MATCH(P2486, 'File Links'!C:C, 0))))</f>
        <v>https://drive.google.com/file/d/1Ey8YE267IkJvJPhLMe73j6CWvGwENA3f/view?usp=drivesdk</v>
      </c>
      <c r="R2486" s="159" t="s">
        <v>14432</v>
      </c>
      <c r="S2486" s="159" t="s">
        <v>14433</v>
      </c>
      <c r="T2486" s="68" t="s">
        <v>138</v>
      </c>
      <c r="U2486" s="336">
        <v>1.0</v>
      </c>
      <c r="V2486" s="382" t="s">
        <v>14434</v>
      </c>
      <c r="W2486" s="295" t="s">
        <v>209</v>
      </c>
      <c r="X2486" s="54" t="str">
        <f t="array" ref="X2486"> if(iserror(MATCH(V2486, 'File Links'!C:C, 0)), "N/A", HYPERLINK(INDEX('File Links'!B:B, MATCH(V2486, 'File Links'!C:C, 0))))</f>
        <v>https://drive.google.com/file/d/17mZvRs3ue7pXwqu8bmIDvgNdc95PGEcV/view?usp=drivesdk</v>
      </c>
      <c r="Y2486" s="68"/>
      <c r="Z2486" s="159" t="s">
        <v>1079</v>
      </c>
      <c r="AA2486" s="68" t="s">
        <v>12028</v>
      </c>
      <c r="AB2486" s="159" t="s">
        <v>14436</v>
      </c>
      <c r="AC2486" s="159" t="s">
        <v>14739</v>
      </c>
      <c r="AD2486" s="68" t="s">
        <v>14881</v>
      </c>
      <c r="AE2486" s="336">
        <v>20.0</v>
      </c>
      <c r="AF2486" s="156">
        <v>13500.0</v>
      </c>
      <c r="AG2486" s="336">
        <v>-0.23</v>
      </c>
      <c r="AH2486" s="68" t="s">
        <v>215</v>
      </c>
      <c r="AI2486" s="68" t="s">
        <v>2441</v>
      </c>
      <c r="AJ2486" s="68" t="s">
        <v>138</v>
      </c>
      <c r="AK2486" s="68" t="s">
        <v>138</v>
      </c>
      <c r="AL2486" s="68" t="s">
        <v>138</v>
      </c>
      <c r="AM2486" s="68" t="s">
        <v>141</v>
      </c>
      <c r="AN2486" s="68" t="s">
        <v>138</v>
      </c>
      <c r="AO2486" s="156">
        <v>747.0</v>
      </c>
      <c r="AP2486" s="501">
        <v>-0.18</v>
      </c>
      <c r="AQ2486" s="68" t="s">
        <v>215</v>
      </c>
      <c r="AR2486" s="68" t="s">
        <v>882</v>
      </c>
      <c r="AS2486" s="1791">
        <v>0.05</v>
      </c>
      <c r="AT2486" s="1793" t="s">
        <v>135</v>
      </c>
      <c r="AU2486" s="1793" t="s">
        <v>136</v>
      </c>
      <c r="AV2486" s="46" t="s">
        <v>137</v>
      </c>
      <c r="AW2486" s="435" t="s">
        <v>14855</v>
      </c>
      <c r="AX2486" s="68" t="s">
        <v>151</v>
      </c>
      <c r="AY2486" s="61" t="str">
        <f>IFERROR(__xludf.DUMMYFUNCTION("vlookup(BB2486,importrange(""https://docs.google.com/spreadsheets/d/1d2vevQ_7D_v35q4wCQ4RpQ_IPoTwEMB9Yp6ymwlPqew/edit?gid=984458430#gid=984458430"", ""'replication success'!A:K""), 11, FAlSE)"),"")</f>
        <v/>
      </c>
      <c r="AZ2486" s="61" t="str">
        <f>IFERROR(__xludf.DUMMYFUNCTION("vlookup(BB2486,importrange(""https://docs.google.com/spreadsheets/d/1d2vevQ_7D_v35q4wCQ4RpQ_IPoTwEMB9Yp6ymwlPqew/edit?gid=984458430#gid=984458430"", ""'replication success'!A:M""), 12, FAlSE)"),"")</f>
        <v/>
      </c>
      <c r="BA2486" s="61" t="str">
        <f>IFERROR(__xludf.DUMMYFUNCTION("vlookup(BB2486,importrange(""https://docs.google.com/spreadsheets/d/1d2vevQ_7D_v35q4wCQ4RpQ_IPoTwEMB9Yp6ymwlPqew/edit?gid=984458430#gid=984458430"", ""'replication success'!A:M""), 13, FAlSE)"),"abstract")</f>
        <v>abstract</v>
      </c>
      <c r="BB2486" s="61" t="str">
        <f>IFERROR(__xludf.DUMMYFUNCTION("REGEXREPLACE(G2486, ""_[a-z]{1,2}$"", """")"),"Soto")</f>
        <v>Soto</v>
      </c>
      <c r="BD2486" s="341" t="s">
        <v>1270</v>
      </c>
    </row>
    <row r="2487">
      <c r="A2487" s="44">
        <v>2487.0</v>
      </c>
      <c r="B2487" s="129" t="s">
        <v>152</v>
      </c>
      <c r="C2487" s="62" t="s">
        <v>115</v>
      </c>
      <c r="D2487" s="62" t="s">
        <v>1458</v>
      </c>
      <c r="F2487" s="68" t="s">
        <v>14740</v>
      </c>
      <c r="G2487" s="159" t="s">
        <v>14425</v>
      </c>
      <c r="H2487" s="159" t="s">
        <v>8501</v>
      </c>
      <c r="I2487" s="434">
        <v>45251.0</v>
      </c>
      <c r="J2487" s="2136">
        <v>45842.0</v>
      </c>
      <c r="K2487" s="68" t="s">
        <v>14883</v>
      </c>
      <c r="L2487" s="129" t="s">
        <v>14884</v>
      </c>
      <c r="M2487" s="159" t="s">
        <v>14732</v>
      </c>
      <c r="N2487" s="159" t="s">
        <v>14733</v>
      </c>
      <c r="O2487" s="336">
        <v>1.0</v>
      </c>
      <c r="P2487" s="382" t="s">
        <v>14734</v>
      </c>
      <c r="Q2487" s="52" t="str">
        <f t="array" ref="Q2487"> if(iserror(MATCH(V2487, 'File Links'!C:C, 0)), "N/A", HYPERLINK(INDEX('File Links'!B:B, MATCH(P2487, 'File Links'!C:C, 0))))</f>
        <v>https://drive.google.com/file/d/1Ey8YE267IkJvJPhLMe73j6CWvGwENA3f/view?usp=drivesdk</v>
      </c>
      <c r="R2487" s="159" t="s">
        <v>14432</v>
      </c>
      <c r="S2487" s="159" t="s">
        <v>14433</v>
      </c>
      <c r="T2487" s="68" t="s">
        <v>138</v>
      </c>
      <c r="U2487" s="336">
        <v>1.0</v>
      </c>
      <c r="V2487" s="382" t="s">
        <v>14434</v>
      </c>
      <c r="W2487" s="295" t="s">
        <v>209</v>
      </c>
      <c r="X2487" s="54" t="str">
        <f t="array" ref="X2487"> if(iserror(MATCH(V2487, 'File Links'!C:C, 0)), "N/A", HYPERLINK(INDEX('File Links'!B:B, MATCH(V2487, 'File Links'!C:C, 0))))</f>
        <v>https://drive.google.com/file/d/17mZvRs3ue7pXwqu8bmIDvgNdc95PGEcV/view?usp=drivesdk</v>
      </c>
      <c r="Y2487" s="68"/>
      <c r="Z2487" s="159" t="s">
        <v>1079</v>
      </c>
      <c r="AA2487" s="68" t="s">
        <v>12028</v>
      </c>
      <c r="AB2487" s="159" t="s">
        <v>14436</v>
      </c>
      <c r="AC2487" s="159" t="s">
        <v>14742</v>
      </c>
      <c r="AD2487" s="68" t="s">
        <v>14881</v>
      </c>
      <c r="AE2487" s="336">
        <v>20.0</v>
      </c>
      <c r="AF2487" s="156">
        <v>492.0</v>
      </c>
      <c r="AG2487" s="336">
        <v>0.17</v>
      </c>
      <c r="AH2487" s="68" t="s">
        <v>215</v>
      </c>
      <c r="AI2487" s="68" t="s">
        <v>2441</v>
      </c>
      <c r="AJ2487" s="68" t="s">
        <v>138</v>
      </c>
      <c r="AK2487" s="68" t="s">
        <v>138</v>
      </c>
      <c r="AL2487" s="68" t="s">
        <v>138</v>
      </c>
      <c r="AM2487" s="68" t="s">
        <v>141</v>
      </c>
      <c r="AN2487" s="68" t="s">
        <v>138</v>
      </c>
      <c r="AO2487" s="156">
        <v>748.0</v>
      </c>
      <c r="AP2487" s="336">
        <v>0.32</v>
      </c>
      <c r="AQ2487" s="68" t="s">
        <v>215</v>
      </c>
      <c r="AR2487" s="68" t="s">
        <v>882</v>
      </c>
      <c r="AS2487" s="1791">
        <v>0.05</v>
      </c>
      <c r="AT2487" s="1793" t="s">
        <v>135</v>
      </c>
      <c r="AU2487" s="1793" t="s">
        <v>136</v>
      </c>
      <c r="AV2487" s="46" t="s">
        <v>137</v>
      </c>
      <c r="AW2487" s="435" t="s">
        <v>14855</v>
      </c>
      <c r="AX2487" s="68" t="s">
        <v>151</v>
      </c>
      <c r="AY2487" s="61" t="str">
        <f>IFERROR(__xludf.DUMMYFUNCTION("vlookup(BB2487,importrange(""https://docs.google.com/spreadsheets/d/1d2vevQ_7D_v35q4wCQ4RpQ_IPoTwEMB9Yp6ymwlPqew/edit?gid=984458430#gid=984458430"", ""'replication success'!A:K""), 11, FAlSE)"),"")</f>
        <v/>
      </c>
      <c r="AZ2487" s="61" t="str">
        <f>IFERROR(__xludf.DUMMYFUNCTION("vlookup(BB2487,importrange(""https://docs.google.com/spreadsheets/d/1d2vevQ_7D_v35q4wCQ4RpQ_IPoTwEMB9Yp6ymwlPqew/edit?gid=984458430#gid=984458430"", ""'replication success'!A:M""), 12, FAlSE)"),"")</f>
        <v/>
      </c>
      <c r="BA2487" s="61" t="str">
        <f>IFERROR(__xludf.DUMMYFUNCTION("vlookup(BB2487,importrange(""https://docs.google.com/spreadsheets/d/1d2vevQ_7D_v35q4wCQ4RpQ_IPoTwEMB9Yp6ymwlPqew/edit?gid=984458430#gid=984458430"", ""'replication success'!A:M""), 13, FAlSE)"),"abstract")</f>
        <v>abstract</v>
      </c>
      <c r="BB2487" s="61" t="str">
        <f>IFERROR(__xludf.DUMMYFUNCTION("REGEXREPLACE(G2487, ""_[a-z]{1,2}$"", """")"),"Soto")</f>
        <v>Soto</v>
      </c>
      <c r="BD2487" s="341" t="s">
        <v>1270</v>
      </c>
    </row>
    <row r="2488">
      <c r="A2488" s="2119">
        <v>2488.0</v>
      </c>
      <c r="B2488" s="1800" t="s">
        <v>152</v>
      </c>
      <c r="C2488" s="1631" t="s">
        <v>115</v>
      </c>
      <c r="D2488" s="1631" t="s">
        <v>1458</v>
      </c>
      <c r="E2488" s="1123"/>
      <c r="F2488" s="1632" t="s">
        <v>14743</v>
      </c>
      <c r="G2488" s="1634" t="s">
        <v>14425</v>
      </c>
      <c r="H2488" s="1634" t="s">
        <v>8501</v>
      </c>
      <c r="I2488" s="2139">
        <v>45251.0</v>
      </c>
      <c r="J2488" s="2127">
        <v>45842.0</v>
      </c>
      <c r="K2488" s="1632" t="s">
        <v>14885</v>
      </c>
      <c r="L2488" s="1800" t="s">
        <v>14886</v>
      </c>
      <c r="M2488" s="1634" t="s">
        <v>14732</v>
      </c>
      <c r="N2488" s="1634" t="s">
        <v>14733</v>
      </c>
      <c r="O2488" s="1825">
        <v>1.0</v>
      </c>
      <c r="P2488" s="1634" t="s">
        <v>14734</v>
      </c>
      <c r="Q2488" s="2121" t="str">
        <f t="array" ref="Q2488"> if(iserror(MATCH(V2488, 'File Links'!C:C, 0)), "N/A", HYPERLINK(INDEX('File Links'!B:B, MATCH(P2488, 'File Links'!C:C, 0))))</f>
        <v>https://drive.google.com/file/d/1Ey8YE267IkJvJPhLMe73j6CWvGwENA3f/view?usp=drivesdk</v>
      </c>
      <c r="R2488" s="1634" t="s">
        <v>14432</v>
      </c>
      <c r="S2488" s="1634" t="s">
        <v>14433</v>
      </c>
      <c r="T2488" s="1632" t="s">
        <v>138</v>
      </c>
      <c r="U2488" s="1825">
        <v>1.0</v>
      </c>
      <c r="V2488" s="1634" t="s">
        <v>14434</v>
      </c>
      <c r="W2488" s="1800" t="s">
        <v>209</v>
      </c>
      <c r="X2488" s="2122" t="str">
        <f t="array" ref="X2488"> if(iserror(MATCH(V2488, 'File Links'!C:C, 0)), "N/A", HYPERLINK(INDEX('File Links'!B:B, MATCH(V2488, 'File Links'!C:C, 0))))</f>
        <v>https://drive.google.com/file/d/17mZvRs3ue7pXwqu8bmIDvgNdc95PGEcV/view?usp=drivesdk</v>
      </c>
      <c r="Y2488" s="1632"/>
      <c r="Z2488" s="1634" t="s">
        <v>1079</v>
      </c>
      <c r="AA2488" s="1632" t="s">
        <v>12028</v>
      </c>
      <c r="AB2488" s="1634" t="s">
        <v>14436</v>
      </c>
      <c r="AC2488" s="1634" t="s">
        <v>14745</v>
      </c>
      <c r="AD2488" s="1632" t="s">
        <v>14881</v>
      </c>
      <c r="AE2488" s="1825">
        <v>20.0</v>
      </c>
      <c r="AF2488" s="1565">
        <v>713.0</v>
      </c>
      <c r="AG2488" s="1803">
        <v>-0.19</v>
      </c>
      <c r="AH2488" s="1632" t="s">
        <v>215</v>
      </c>
      <c r="AI2488" s="1632" t="s">
        <v>2441</v>
      </c>
      <c r="AJ2488" s="1632" t="s">
        <v>138</v>
      </c>
      <c r="AK2488" s="1632" t="s">
        <v>138</v>
      </c>
      <c r="AL2488" s="1632" t="s">
        <v>138</v>
      </c>
      <c r="AM2488" s="1632" t="s">
        <v>141</v>
      </c>
      <c r="AN2488" s="1632" t="s">
        <v>138</v>
      </c>
      <c r="AO2488" s="1565">
        <v>748.0</v>
      </c>
      <c r="AP2488" s="1825">
        <v>-0.26</v>
      </c>
      <c r="AQ2488" s="1632" t="s">
        <v>215</v>
      </c>
      <c r="AR2488" s="1632" t="s">
        <v>882</v>
      </c>
      <c r="AS2488" s="1825">
        <v>0.05</v>
      </c>
      <c r="AT2488" s="1632" t="s">
        <v>135</v>
      </c>
      <c r="AU2488" s="1632" t="s">
        <v>136</v>
      </c>
      <c r="AV2488" s="1632" t="s">
        <v>137</v>
      </c>
      <c r="AW2488" s="2123" t="s">
        <v>14855</v>
      </c>
      <c r="AX2488" s="1632" t="s">
        <v>151</v>
      </c>
      <c r="AY2488" s="2128" t="str">
        <f>IFERROR(__xludf.DUMMYFUNCTION("vlookup(BB2488,importrange(""https://docs.google.com/spreadsheets/d/1d2vevQ_7D_v35q4wCQ4RpQ_IPoTwEMB9Yp6ymwlPqew/edit?gid=984458430#gid=984458430"", ""'replication success'!A:K""), 11, FAlSE)"),"")</f>
        <v/>
      </c>
      <c r="AZ2488" s="2128" t="str">
        <f>IFERROR(__xludf.DUMMYFUNCTION("vlookup(BB2488,importrange(""https://docs.google.com/spreadsheets/d/1d2vevQ_7D_v35q4wCQ4RpQ_IPoTwEMB9Yp6ymwlPqew/edit?gid=984458430#gid=984458430"", ""'replication success'!A:M""), 12, FAlSE)"),"")</f>
        <v/>
      </c>
      <c r="BA2488" s="2128" t="str">
        <f>IFERROR(__xludf.DUMMYFUNCTION("vlookup(BB2488,importrange(""https://docs.google.com/spreadsheets/d/1d2vevQ_7D_v35q4wCQ4RpQ_IPoTwEMB9Yp6ymwlPqew/edit?gid=984458430#gid=984458430"", ""'replication success'!A:M""), 13, FAlSE)"),"abstract")</f>
        <v>abstract</v>
      </c>
      <c r="BB2488" s="2128" t="str">
        <f>IFERROR(__xludf.DUMMYFUNCTION("REGEXREPLACE(G2488, ""_[a-z]{1,2}$"", """")"),"Soto")</f>
        <v>Soto</v>
      </c>
      <c r="BC2488" s="1123"/>
      <c r="BD2488" s="1631" t="s">
        <v>1270</v>
      </c>
      <c r="BE2488" s="1123"/>
      <c r="BF2488" s="1123"/>
      <c r="BG2488" s="1123"/>
      <c r="BH2488" s="1123"/>
      <c r="BI2488" s="1123"/>
      <c r="BJ2488" s="1123"/>
      <c r="BK2488" s="1123"/>
      <c r="BL2488" s="1123"/>
      <c r="BM2488" s="1123"/>
      <c r="BN2488" s="1123"/>
      <c r="BO2488" s="1123"/>
      <c r="BP2488" s="1123"/>
      <c r="BQ2488" s="1123"/>
      <c r="BR2488" s="1123"/>
      <c r="BS2488" s="1123"/>
      <c r="BT2488" s="1123"/>
      <c r="BU2488" s="1123"/>
      <c r="BV2488" s="1123"/>
      <c r="BW2488" s="1123"/>
      <c r="BX2488" s="1123"/>
      <c r="BY2488" s="1123"/>
      <c r="BZ2488" s="1123"/>
      <c r="CA2488" s="1123"/>
      <c r="CB2488" s="1123"/>
      <c r="CC2488" s="1123"/>
      <c r="CD2488" s="1123"/>
      <c r="CE2488" s="1123"/>
      <c r="CF2488" s="1123"/>
      <c r="CG2488" s="1123"/>
      <c r="CH2488" s="1123"/>
      <c r="CI2488" s="1123"/>
      <c r="CJ2488" s="1123"/>
      <c r="CK2488" s="1123"/>
      <c r="CL2488" s="1123"/>
      <c r="CM2488" s="1123"/>
      <c r="CN2488" s="1123"/>
      <c r="CO2488" s="1123"/>
      <c r="CP2488" s="1123"/>
      <c r="CQ2488" s="1123"/>
      <c r="CR2488" s="1123"/>
      <c r="CS2488" s="1123"/>
      <c r="CT2488" s="1123"/>
      <c r="CU2488" s="1123"/>
      <c r="CV2488" s="1123"/>
      <c r="CW2488" s="1123"/>
      <c r="CX2488" s="1123"/>
      <c r="CY2488" s="1123"/>
      <c r="CZ2488" s="1123"/>
      <c r="DA2488" s="1123"/>
      <c r="DB2488" s="1123"/>
      <c r="DC2488" s="1123"/>
      <c r="DD2488" s="1123"/>
      <c r="DE2488" s="1123"/>
      <c r="DF2488" s="1123"/>
      <c r="DG2488" s="1123"/>
      <c r="DH2488" s="1123"/>
      <c r="DI2488" s="1123"/>
      <c r="DJ2488" s="1123"/>
      <c r="DK2488" s="1123"/>
      <c r="DL2488" s="1123"/>
    </row>
    <row r="2489">
      <c r="A2489" s="354">
        <v>2489.0</v>
      </c>
      <c r="B2489" s="56" t="s">
        <v>152</v>
      </c>
      <c r="C2489" s="341" t="s">
        <v>115</v>
      </c>
      <c r="D2489" s="341" t="s">
        <v>1458</v>
      </c>
      <c r="E2489" s="342"/>
      <c r="F2489" s="46" t="s">
        <v>14746</v>
      </c>
      <c r="G2489" s="360" t="s">
        <v>14425</v>
      </c>
      <c r="H2489" s="360" t="s">
        <v>8501</v>
      </c>
      <c r="I2489" s="511">
        <v>45252.0</v>
      </c>
      <c r="J2489" s="2124">
        <v>45849.0</v>
      </c>
      <c r="K2489" s="46" t="s">
        <v>14887</v>
      </c>
      <c r="L2489" s="56" t="s">
        <v>14888</v>
      </c>
      <c r="M2489" s="360" t="s">
        <v>14749</v>
      </c>
      <c r="N2489" s="360" t="s">
        <v>14750</v>
      </c>
      <c r="O2489" s="385">
        <v>1.0</v>
      </c>
      <c r="P2489" s="360" t="s">
        <v>14751</v>
      </c>
      <c r="Q2489" s="104" t="str">
        <f t="array" ref="Q2489"> if(iserror(MATCH(V2489, 'File Links'!C:C, 0)), "N/A", HYPERLINK(INDEX('File Links'!B:B, MATCH(P2489, 'File Links'!C:C, 0))))</f>
        <v>https://drive.google.com/file/d/1JjrD9NOW8xliYqnpBZzkTwq4qgfO4wNJ/view?usp=drivesdk</v>
      </c>
      <c r="R2489" s="360" t="s">
        <v>14432</v>
      </c>
      <c r="S2489" s="360" t="s">
        <v>14433</v>
      </c>
      <c r="T2489" s="46" t="s">
        <v>138</v>
      </c>
      <c r="U2489" s="385">
        <v>1.0</v>
      </c>
      <c r="V2489" s="360" t="s">
        <v>14434</v>
      </c>
      <c r="W2489" s="56" t="s">
        <v>209</v>
      </c>
      <c r="X2489" s="54" t="str">
        <f t="array" ref="X2489"> if(iserror(MATCH(V2489, 'File Links'!C:C, 0)), "N/A", HYPERLINK(INDEX('File Links'!B:B, MATCH(V2489, 'File Links'!C:C, 0))))</f>
        <v>https://drive.google.com/file/d/17mZvRs3ue7pXwqu8bmIDvgNdc95PGEcV/view?usp=drivesdk</v>
      </c>
      <c r="Y2489" s="46"/>
      <c r="Z2489" s="360" t="s">
        <v>1079</v>
      </c>
      <c r="AA2489" s="46" t="s">
        <v>12028</v>
      </c>
      <c r="AB2489" s="360" t="s">
        <v>14436</v>
      </c>
      <c r="AC2489" s="360" t="s">
        <v>14752</v>
      </c>
      <c r="AD2489" s="56" t="s">
        <v>14753</v>
      </c>
      <c r="AE2489" s="55">
        <v>17.0</v>
      </c>
      <c r="AF2489" s="357">
        <v>194.0</v>
      </c>
      <c r="AG2489" s="385">
        <v>-0.11</v>
      </c>
      <c r="AH2489" s="46" t="s">
        <v>215</v>
      </c>
      <c r="AI2489" s="46" t="s">
        <v>1819</v>
      </c>
      <c r="AJ2489" s="56">
        <v>0.05</v>
      </c>
      <c r="AK2489" s="360" t="s">
        <v>335</v>
      </c>
      <c r="AL2489" s="46" t="s">
        <v>138</v>
      </c>
      <c r="AM2489" s="46" t="s">
        <v>137</v>
      </c>
      <c r="AN2489" s="46" t="s">
        <v>138</v>
      </c>
      <c r="AO2489" s="357">
        <v>481.0</v>
      </c>
      <c r="AP2489" s="2125" t="s">
        <v>14754</v>
      </c>
      <c r="AQ2489" s="46" t="s">
        <v>361</v>
      </c>
      <c r="AR2489" s="56" t="s">
        <v>1042</v>
      </c>
      <c r="AS2489" s="55">
        <v>0.00715988150459318</v>
      </c>
      <c r="AT2489" s="46" t="s">
        <v>172</v>
      </c>
      <c r="AU2489" s="46" t="s">
        <v>136</v>
      </c>
      <c r="AV2489" s="46" t="s">
        <v>137</v>
      </c>
      <c r="AW2489" s="59" t="s">
        <v>14855</v>
      </c>
      <c r="AX2489" s="46" t="s">
        <v>151</v>
      </c>
      <c r="AY2489" s="49" t="str">
        <f>IFERROR(__xludf.DUMMYFUNCTION("vlookup(BB2489,importrange(""https://docs.google.com/spreadsheets/d/1d2vevQ_7D_v35q4wCQ4RpQ_IPoTwEMB9Yp6ymwlPqew/edit?gid=984458430#gid=984458430"", ""'replication success'!A:K""), 11, FAlSE)"),"")</f>
        <v/>
      </c>
      <c r="AZ2489" s="49" t="str">
        <f>IFERROR(__xludf.DUMMYFUNCTION("vlookup(BB2489,importrange(""https://docs.google.com/spreadsheets/d/1d2vevQ_7D_v35q4wCQ4RpQ_IPoTwEMB9Yp6ymwlPqew/edit?gid=984458430#gid=984458430"", ""'replication success'!A:M""), 12, FAlSE)"),"")</f>
        <v/>
      </c>
      <c r="BA2489" s="49" t="str">
        <f>IFERROR(__xludf.DUMMYFUNCTION("vlookup(BB2489,importrange(""https://docs.google.com/spreadsheets/d/1d2vevQ_7D_v35q4wCQ4RpQ_IPoTwEMB9Yp6ymwlPqew/edit?gid=984458430#gid=984458430"", ""'replication success'!A:M""), 13, FAlSE)"),"abstract")</f>
        <v>abstract</v>
      </c>
      <c r="BB2489" s="49" t="str">
        <f>IFERROR(__xludf.DUMMYFUNCTION("REGEXREPLACE(G2489, ""_[a-z]{1,2}$"", """")"),"Soto")</f>
        <v>Soto</v>
      </c>
      <c r="BC2489" s="342"/>
      <c r="BD2489" s="341" t="s">
        <v>1270</v>
      </c>
      <c r="BE2489" s="342"/>
      <c r="BF2489" s="342"/>
      <c r="BG2489" s="342"/>
      <c r="BH2489" s="342"/>
      <c r="BI2489" s="342"/>
      <c r="BJ2489" s="342"/>
      <c r="BK2489" s="342"/>
      <c r="BL2489" s="342"/>
      <c r="BM2489" s="342"/>
      <c r="BN2489" s="342"/>
      <c r="BO2489" s="342"/>
      <c r="BP2489" s="342"/>
      <c r="BQ2489" s="342"/>
      <c r="BR2489" s="342"/>
      <c r="BS2489" s="342"/>
      <c r="BT2489" s="342"/>
      <c r="BU2489" s="342"/>
      <c r="BV2489" s="342"/>
      <c r="BW2489" s="342"/>
      <c r="BX2489" s="342"/>
      <c r="BY2489" s="342"/>
      <c r="BZ2489" s="342"/>
      <c r="CA2489" s="342"/>
      <c r="CB2489" s="342"/>
      <c r="CC2489" s="342"/>
      <c r="CD2489" s="342"/>
      <c r="CE2489" s="342"/>
      <c r="CF2489" s="342"/>
      <c r="CG2489" s="342"/>
      <c r="CH2489" s="342"/>
      <c r="CI2489" s="342"/>
      <c r="CJ2489" s="342"/>
      <c r="CK2489" s="342"/>
      <c r="CL2489" s="342"/>
      <c r="CM2489" s="342"/>
      <c r="CN2489" s="342"/>
      <c r="CO2489" s="342"/>
      <c r="CP2489" s="342"/>
      <c r="CQ2489" s="342"/>
      <c r="CR2489" s="342"/>
      <c r="CS2489" s="342"/>
      <c r="CT2489" s="342"/>
      <c r="CU2489" s="342"/>
      <c r="CV2489" s="342"/>
      <c r="CW2489" s="342"/>
      <c r="CX2489" s="342"/>
      <c r="CY2489" s="342"/>
      <c r="CZ2489" s="342"/>
      <c r="DA2489" s="342"/>
      <c r="DB2489" s="342"/>
      <c r="DC2489" s="342"/>
      <c r="DD2489" s="342"/>
      <c r="DE2489" s="342"/>
      <c r="DF2489" s="342"/>
      <c r="DG2489" s="342"/>
      <c r="DH2489" s="342"/>
      <c r="DI2489" s="342"/>
      <c r="DJ2489" s="342"/>
      <c r="DK2489" s="342"/>
      <c r="DL2489" s="342"/>
    </row>
    <row r="2490">
      <c r="A2490" s="44">
        <v>2490.0</v>
      </c>
      <c r="B2490" s="129" t="s">
        <v>152</v>
      </c>
      <c r="C2490" s="62" t="s">
        <v>115</v>
      </c>
      <c r="D2490" s="62" t="s">
        <v>1458</v>
      </c>
      <c r="F2490" s="68" t="s">
        <v>14756</v>
      </c>
      <c r="G2490" s="159" t="s">
        <v>14425</v>
      </c>
      <c r="H2490" s="159" t="s">
        <v>8501</v>
      </c>
      <c r="I2490" s="434">
        <v>45252.0</v>
      </c>
      <c r="J2490" s="2126">
        <v>45849.0</v>
      </c>
      <c r="K2490" s="68" t="s">
        <v>138</v>
      </c>
      <c r="L2490" s="129" t="s">
        <v>14889</v>
      </c>
      <c r="M2490" s="159" t="s">
        <v>14749</v>
      </c>
      <c r="N2490" s="159" t="s">
        <v>14750</v>
      </c>
      <c r="O2490" s="336">
        <v>1.0</v>
      </c>
      <c r="P2490" s="382" t="s">
        <v>14751</v>
      </c>
      <c r="Q2490" s="52" t="str">
        <f t="array" ref="Q2490"> if(iserror(MATCH(V2490, 'File Links'!C:C, 0)), "N/A", HYPERLINK(INDEX('File Links'!B:B, MATCH(P2490, 'File Links'!C:C, 0))))</f>
        <v>https://drive.google.com/file/d/1JjrD9NOW8xliYqnpBZzkTwq4qgfO4wNJ/view?usp=drivesdk</v>
      </c>
      <c r="R2490" s="159" t="s">
        <v>14432</v>
      </c>
      <c r="S2490" s="159" t="s">
        <v>14433</v>
      </c>
      <c r="T2490" s="68" t="s">
        <v>138</v>
      </c>
      <c r="U2490" s="336">
        <v>1.0</v>
      </c>
      <c r="V2490" s="382" t="s">
        <v>14434</v>
      </c>
      <c r="W2490" s="295" t="s">
        <v>209</v>
      </c>
      <c r="X2490" s="54" t="str">
        <f t="array" ref="X2490"> if(iserror(MATCH(V2490, 'File Links'!C:C, 0)), "N/A", HYPERLINK(INDEX('File Links'!B:B, MATCH(V2490, 'File Links'!C:C, 0))))</f>
        <v>https://drive.google.com/file/d/17mZvRs3ue7pXwqu8bmIDvgNdc95PGEcV/view?usp=drivesdk</v>
      </c>
      <c r="Y2490" s="68"/>
      <c r="Z2490" s="159" t="s">
        <v>1079</v>
      </c>
      <c r="AA2490" s="68" t="s">
        <v>12028</v>
      </c>
      <c r="AB2490" s="159" t="s">
        <v>14436</v>
      </c>
      <c r="AC2490" s="159" t="s">
        <v>14759</v>
      </c>
      <c r="AD2490" s="129" t="s">
        <v>14760</v>
      </c>
      <c r="AE2490" s="336" t="s">
        <v>14761</v>
      </c>
      <c r="AF2490" s="156">
        <v>194.0</v>
      </c>
      <c r="AG2490" s="336">
        <v>0.5</v>
      </c>
      <c r="AH2490" s="68" t="s">
        <v>215</v>
      </c>
      <c r="AI2490" s="68" t="s">
        <v>1819</v>
      </c>
      <c r="AJ2490" s="336">
        <v>0.01</v>
      </c>
      <c r="AK2490" s="68" t="s">
        <v>135</v>
      </c>
      <c r="AL2490" s="68" t="s">
        <v>186</v>
      </c>
      <c r="AM2490" s="398" t="s">
        <v>137</v>
      </c>
      <c r="AN2490" s="68" t="s">
        <v>138</v>
      </c>
      <c r="AO2490" s="156">
        <v>481.0</v>
      </c>
      <c r="AP2490" s="336">
        <v>-0.7</v>
      </c>
      <c r="AQ2490" s="68" t="s">
        <v>215</v>
      </c>
      <c r="AR2490" s="1135" t="s">
        <v>1042</v>
      </c>
      <c r="AS2490" s="1781">
        <v>0.127942564698011</v>
      </c>
      <c r="AT2490" s="1793" t="s">
        <v>172</v>
      </c>
      <c r="AU2490" s="436" t="s">
        <v>136</v>
      </c>
      <c r="AV2490" s="1632" t="s">
        <v>137</v>
      </c>
      <c r="AW2490" s="435" t="s">
        <v>14855</v>
      </c>
      <c r="AX2490" s="68" t="s">
        <v>151</v>
      </c>
      <c r="AY2490" s="61" t="str">
        <f>IFERROR(__xludf.DUMMYFUNCTION("vlookup(BB2490,importrange(""https://docs.google.com/spreadsheets/d/1d2vevQ_7D_v35q4wCQ4RpQ_IPoTwEMB9Yp6ymwlPqew/edit?gid=984458430#gid=984458430"", ""'replication success'!A:K""), 11, FAlSE)"),"")</f>
        <v/>
      </c>
      <c r="AZ2490" s="61" t="str">
        <f>IFERROR(__xludf.DUMMYFUNCTION("vlookup(BB2490,importrange(""https://docs.google.com/spreadsheets/d/1d2vevQ_7D_v35q4wCQ4RpQ_IPoTwEMB9Yp6ymwlPqew/edit?gid=984458430#gid=984458430"", ""'replication success'!A:M""), 12, FAlSE)"),"")</f>
        <v/>
      </c>
      <c r="BA2490" s="61" t="str">
        <f>IFERROR(__xludf.DUMMYFUNCTION("vlookup(BB2490,importrange(""https://docs.google.com/spreadsheets/d/1d2vevQ_7D_v35q4wCQ4RpQ_IPoTwEMB9Yp6ymwlPqew/edit?gid=984458430#gid=984458430"", ""'replication success'!A:M""), 13, FAlSE)"),"abstract")</f>
        <v>abstract</v>
      </c>
      <c r="BB2490" s="61" t="str">
        <f>IFERROR(__xludf.DUMMYFUNCTION("REGEXREPLACE(G2490, ""_[a-z]{1,2}$"", """")"),"Soto")</f>
        <v>Soto</v>
      </c>
      <c r="BD2490" s="1631" t="s">
        <v>1270</v>
      </c>
    </row>
    <row r="2491">
      <c r="A2491" s="44">
        <v>2491.0</v>
      </c>
      <c r="B2491" s="129" t="s">
        <v>152</v>
      </c>
      <c r="C2491" s="62" t="s">
        <v>115</v>
      </c>
      <c r="D2491" s="62" t="s">
        <v>1458</v>
      </c>
      <c r="F2491" s="68" t="s">
        <v>14762</v>
      </c>
      <c r="G2491" s="159" t="s">
        <v>14425</v>
      </c>
      <c r="H2491" s="159" t="s">
        <v>8501</v>
      </c>
      <c r="I2491" s="434">
        <v>45252.0</v>
      </c>
      <c r="J2491" s="2126">
        <v>45849.0</v>
      </c>
      <c r="K2491" s="68" t="s">
        <v>138</v>
      </c>
      <c r="L2491" s="129" t="s">
        <v>14890</v>
      </c>
      <c r="M2491" s="159" t="s">
        <v>14749</v>
      </c>
      <c r="N2491" s="159" t="s">
        <v>14750</v>
      </c>
      <c r="O2491" s="336">
        <v>1.0</v>
      </c>
      <c r="P2491" s="382" t="s">
        <v>14751</v>
      </c>
      <c r="Q2491" s="52" t="str">
        <f t="array" ref="Q2491"> if(iserror(MATCH(V2491, 'File Links'!C:C, 0)), "N/A", HYPERLINK(INDEX('File Links'!B:B, MATCH(P2491, 'File Links'!C:C, 0))))</f>
        <v>https://drive.google.com/file/d/1JjrD9NOW8xliYqnpBZzkTwq4qgfO4wNJ/view?usp=drivesdk</v>
      </c>
      <c r="R2491" s="159" t="s">
        <v>14432</v>
      </c>
      <c r="S2491" s="159" t="s">
        <v>14433</v>
      </c>
      <c r="T2491" s="68" t="s">
        <v>138</v>
      </c>
      <c r="U2491" s="336">
        <v>1.0</v>
      </c>
      <c r="V2491" s="382" t="s">
        <v>14434</v>
      </c>
      <c r="W2491" s="295" t="s">
        <v>209</v>
      </c>
      <c r="X2491" s="54" t="str">
        <f t="array" ref="X2491"> if(iserror(MATCH(V2491, 'File Links'!C:C, 0)), "N/A", HYPERLINK(INDEX('File Links'!B:B, MATCH(V2491, 'File Links'!C:C, 0))))</f>
        <v>https://drive.google.com/file/d/17mZvRs3ue7pXwqu8bmIDvgNdc95PGEcV/view?usp=drivesdk</v>
      </c>
      <c r="Y2491" s="68"/>
      <c r="Z2491" s="159" t="s">
        <v>1079</v>
      </c>
      <c r="AA2491" s="68" t="s">
        <v>12028</v>
      </c>
      <c r="AB2491" s="159" t="s">
        <v>14436</v>
      </c>
      <c r="AC2491" s="159" t="s">
        <v>14765</v>
      </c>
      <c r="AD2491" s="129" t="s">
        <v>14766</v>
      </c>
      <c r="AE2491" s="336" t="s">
        <v>14761</v>
      </c>
      <c r="AF2491" s="156">
        <v>194.0</v>
      </c>
      <c r="AG2491" s="336">
        <v>-0.34</v>
      </c>
      <c r="AH2491" s="68" t="s">
        <v>215</v>
      </c>
      <c r="AI2491" s="68" t="s">
        <v>1819</v>
      </c>
      <c r="AJ2491" s="336">
        <v>0.01</v>
      </c>
      <c r="AK2491" s="68" t="s">
        <v>135</v>
      </c>
      <c r="AL2491" s="68" t="s">
        <v>186</v>
      </c>
      <c r="AM2491" s="398" t="s">
        <v>137</v>
      </c>
      <c r="AN2491" s="68" t="s">
        <v>138</v>
      </c>
      <c r="AO2491" s="156">
        <v>481.0</v>
      </c>
      <c r="AP2491" s="501">
        <v>-0.1</v>
      </c>
      <c r="AQ2491" s="68" t="s">
        <v>215</v>
      </c>
      <c r="AR2491" s="1135" t="s">
        <v>1042</v>
      </c>
      <c r="AS2491" s="1787">
        <v>0.0331040111960726</v>
      </c>
      <c r="AT2491" s="1793" t="s">
        <v>172</v>
      </c>
      <c r="AU2491" s="1793" t="s">
        <v>136</v>
      </c>
      <c r="AV2491" s="1632" t="s">
        <v>137</v>
      </c>
      <c r="AW2491" s="435" t="s">
        <v>14855</v>
      </c>
      <c r="AX2491" s="68" t="s">
        <v>151</v>
      </c>
      <c r="AY2491" s="61" t="str">
        <f>IFERROR(__xludf.DUMMYFUNCTION("vlookup(BB2491,importrange(""https://docs.google.com/spreadsheets/d/1d2vevQ_7D_v35q4wCQ4RpQ_IPoTwEMB9Yp6ymwlPqew/edit?gid=984458430#gid=984458430"", ""'replication success'!A:K""), 11, FAlSE)"),"")</f>
        <v/>
      </c>
      <c r="AZ2491" s="61" t="str">
        <f>IFERROR(__xludf.DUMMYFUNCTION("vlookup(BB2491,importrange(""https://docs.google.com/spreadsheets/d/1d2vevQ_7D_v35q4wCQ4RpQ_IPoTwEMB9Yp6ymwlPqew/edit?gid=984458430#gid=984458430"", ""'replication success'!A:M""), 12, FAlSE)"),"")</f>
        <v/>
      </c>
      <c r="BA2491" s="61" t="str">
        <f>IFERROR(__xludf.DUMMYFUNCTION("vlookup(BB2491,importrange(""https://docs.google.com/spreadsheets/d/1d2vevQ_7D_v35q4wCQ4RpQ_IPoTwEMB9Yp6ymwlPqew/edit?gid=984458430#gid=984458430"", ""'replication success'!A:M""), 13, FAlSE)"),"abstract")</f>
        <v>abstract</v>
      </c>
      <c r="BB2491" s="61" t="str">
        <f>IFERROR(__xludf.DUMMYFUNCTION("REGEXREPLACE(G2491, ""_[a-z]{1,2}$"", """")"),"Soto")</f>
        <v>Soto</v>
      </c>
      <c r="BD2491" s="1631" t="s">
        <v>1270</v>
      </c>
    </row>
    <row r="2492">
      <c r="A2492" s="44">
        <v>2492.0</v>
      </c>
      <c r="B2492" s="129" t="s">
        <v>152</v>
      </c>
      <c r="C2492" s="62" t="s">
        <v>115</v>
      </c>
      <c r="D2492" s="62" t="s">
        <v>1458</v>
      </c>
      <c r="F2492" s="68" t="s">
        <v>14767</v>
      </c>
      <c r="G2492" s="159" t="s">
        <v>14425</v>
      </c>
      <c r="H2492" s="159" t="s">
        <v>8501</v>
      </c>
      <c r="I2492" s="434">
        <v>45252.0</v>
      </c>
      <c r="J2492" s="2126">
        <v>45849.0</v>
      </c>
      <c r="K2492" s="68" t="s">
        <v>138</v>
      </c>
      <c r="L2492" s="129" t="s">
        <v>14891</v>
      </c>
      <c r="M2492" s="159" t="s">
        <v>14749</v>
      </c>
      <c r="N2492" s="159" t="s">
        <v>14750</v>
      </c>
      <c r="O2492" s="336">
        <v>1.0</v>
      </c>
      <c r="P2492" s="382" t="s">
        <v>14751</v>
      </c>
      <c r="Q2492" s="52" t="str">
        <f t="array" ref="Q2492"> if(iserror(MATCH(V2492, 'File Links'!C:C, 0)), "N/A", HYPERLINK(INDEX('File Links'!B:B, MATCH(P2492, 'File Links'!C:C, 0))))</f>
        <v>https://drive.google.com/file/d/1JjrD9NOW8xliYqnpBZzkTwq4qgfO4wNJ/view?usp=drivesdk</v>
      </c>
      <c r="R2492" s="159" t="s">
        <v>14432</v>
      </c>
      <c r="S2492" s="159" t="s">
        <v>14433</v>
      </c>
      <c r="T2492" s="68" t="s">
        <v>138</v>
      </c>
      <c r="U2492" s="336">
        <v>1.0</v>
      </c>
      <c r="V2492" s="382" t="s">
        <v>14434</v>
      </c>
      <c r="W2492" s="295" t="s">
        <v>209</v>
      </c>
      <c r="X2492" s="54" t="str">
        <f t="array" ref="X2492"> if(iserror(MATCH(V2492, 'File Links'!C:C, 0)), "N/A", HYPERLINK(INDEX('File Links'!B:B, MATCH(V2492, 'File Links'!C:C, 0))))</f>
        <v>https://drive.google.com/file/d/17mZvRs3ue7pXwqu8bmIDvgNdc95PGEcV/view?usp=drivesdk</v>
      </c>
      <c r="Y2492" s="68"/>
      <c r="Z2492" s="159" t="s">
        <v>1079</v>
      </c>
      <c r="AA2492" s="68" t="s">
        <v>12028</v>
      </c>
      <c r="AB2492" s="159" t="s">
        <v>14436</v>
      </c>
      <c r="AC2492" s="159" t="s">
        <v>14769</v>
      </c>
      <c r="AD2492" s="129" t="s">
        <v>14770</v>
      </c>
      <c r="AE2492" s="336" t="s">
        <v>14761</v>
      </c>
      <c r="AF2492" s="156">
        <v>194.0</v>
      </c>
      <c r="AG2492" s="336">
        <v>0.2</v>
      </c>
      <c r="AH2492" s="68" t="s">
        <v>215</v>
      </c>
      <c r="AI2492" s="68" t="s">
        <v>1819</v>
      </c>
      <c r="AJ2492" s="336">
        <v>0.01</v>
      </c>
      <c r="AK2492" s="68" t="s">
        <v>135</v>
      </c>
      <c r="AL2492" s="68" t="s">
        <v>186</v>
      </c>
      <c r="AM2492" s="398" t="s">
        <v>137</v>
      </c>
      <c r="AN2492" s="68" t="s">
        <v>138</v>
      </c>
      <c r="AO2492" s="156">
        <v>512.0</v>
      </c>
      <c r="AP2492" s="501">
        <v>0.25</v>
      </c>
      <c r="AQ2492" s="68" t="s">
        <v>215</v>
      </c>
      <c r="AR2492" s="1135" t="s">
        <v>1042</v>
      </c>
      <c r="AS2492" s="1791">
        <v>0.05</v>
      </c>
      <c r="AT2492" s="1793" t="s">
        <v>135</v>
      </c>
      <c r="AU2492" s="1793" t="s">
        <v>136</v>
      </c>
      <c r="AV2492" s="1632" t="s">
        <v>137</v>
      </c>
      <c r="AW2492" s="435" t="s">
        <v>14855</v>
      </c>
      <c r="AX2492" s="68" t="s">
        <v>151</v>
      </c>
      <c r="AY2492" s="61" t="str">
        <f>IFERROR(__xludf.DUMMYFUNCTION("vlookup(BB2492,importrange(""https://docs.google.com/spreadsheets/d/1d2vevQ_7D_v35q4wCQ4RpQ_IPoTwEMB9Yp6ymwlPqew/edit?gid=984458430#gid=984458430"", ""'replication success'!A:K""), 11, FAlSE)"),"")</f>
        <v/>
      </c>
      <c r="AZ2492" s="61" t="str">
        <f>IFERROR(__xludf.DUMMYFUNCTION("vlookup(BB2492,importrange(""https://docs.google.com/spreadsheets/d/1d2vevQ_7D_v35q4wCQ4RpQ_IPoTwEMB9Yp6ymwlPqew/edit?gid=984458430#gid=984458430"", ""'replication success'!A:M""), 12, FAlSE)"),"")</f>
        <v/>
      </c>
      <c r="BA2492" s="61" t="str">
        <f>IFERROR(__xludf.DUMMYFUNCTION("vlookup(BB2492,importrange(""https://docs.google.com/spreadsheets/d/1d2vevQ_7D_v35q4wCQ4RpQ_IPoTwEMB9Yp6ymwlPqew/edit?gid=984458430#gid=984458430"", ""'replication success'!A:M""), 13, FAlSE)"),"abstract")</f>
        <v>abstract</v>
      </c>
      <c r="BB2492" s="61" t="str">
        <f>IFERROR(__xludf.DUMMYFUNCTION("REGEXREPLACE(G2492, ""_[a-z]{1,2}$"", """")"),"Soto")</f>
        <v>Soto</v>
      </c>
      <c r="BD2492" s="1631" t="s">
        <v>1270</v>
      </c>
    </row>
    <row r="2493">
      <c r="A2493" s="354">
        <v>2493.0</v>
      </c>
      <c r="B2493" s="56" t="s">
        <v>152</v>
      </c>
      <c r="C2493" s="341" t="s">
        <v>115</v>
      </c>
      <c r="D2493" s="341" t="s">
        <v>1458</v>
      </c>
      <c r="E2493" s="342"/>
      <c r="F2493" s="46" t="s">
        <v>14771</v>
      </c>
      <c r="G2493" s="360" t="s">
        <v>14425</v>
      </c>
      <c r="H2493" s="360" t="s">
        <v>8501</v>
      </c>
      <c r="I2493" s="511">
        <v>45252.0</v>
      </c>
      <c r="J2493" s="2124">
        <v>45849.0</v>
      </c>
      <c r="K2493" s="46" t="s">
        <v>138</v>
      </c>
      <c r="L2493" s="56" t="s">
        <v>14891</v>
      </c>
      <c r="M2493" s="360" t="s">
        <v>14749</v>
      </c>
      <c r="N2493" s="360" t="s">
        <v>14750</v>
      </c>
      <c r="O2493" s="385">
        <v>1.0</v>
      </c>
      <c r="P2493" s="360" t="s">
        <v>14751</v>
      </c>
      <c r="Q2493" s="104" t="str">
        <f t="array" ref="Q2493"> if(iserror(MATCH(V2493, 'File Links'!C:C, 0)), "N/A", HYPERLINK(INDEX('File Links'!B:B, MATCH(P2493, 'File Links'!C:C, 0))))</f>
        <v>https://drive.google.com/file/d/1JjrD9NOW8xliYqnpBZzkTwq4qgfO4wNJ/view?usp=drivesdk</v>
      </c>
      <c r="R2493" s="360" t="s">
        <v>14432</v>
      </c>
      <c r="S2493" s="360" t="s">
        <v>14433</v>
      </c>
      <c r="T2493" s="46" t="s">
        <v>138</v>
      </c>
      <c r="U2493" s="385">
        <v>1.0</v>
      </c>
      <c r="V2493" s="360" t="s">
        <v>14434</v>
      </c>
      <c r="W2493" s="56" t="s">
        <v>209</v>
      </c>
      <c r="X2493" s="54" t="str">
        <f t="array" ref="X2493"> if(iserror(MATCH(V2493, 'File Links'!C:C, 0)), "N/A", HYPERLINK(INDEX('File Links'!B:B, MATCH(V2493, 'File Links'!C:C, 0))))</f>
        <v>https://drive.google.com/file/d/17mZvRs3ue7pXwqu8bmIDvgNdc95PGEcV/view?usp=drivesdk</v>
      </c>
      <c r="Y2493" s="46"/>
      <c r="Z2493" s="360" t="s">
        <v>1079</v>
      </c>
      <c r="AA2493" s="46" t="s">
        <v>12028</v>
      </c>
      <c r="AB2493" s="360" t="s">
        <v>14436</v>
      </c>
      <c r="AC2493" s="360" t="s">
        <v>14773</v>
      </c>
      <c r="AD2493" s="56" t="s">
        <v>14753</v>
      </c>
      <c r="AE2493" s="55">
        <v>17.0</v>
      </c>
      <c r="AF2493" s="357">
        <v>194.0</v>
      </c>
      <c r="AG2493" s="385">
        <v>-0.26</v>
      </c>
      <c r="AH2493" s="46" t="s">
        <v>215</v>
      </c>
      <c r="AI2493" s="46" t="s">
        <v>1819</v>
      </c>
      <c r="AJ2493" s="385">
        <v>0.01</v>
      </c>
      <c r="AK2493" s="46" t="s">
        <v>135</v>
      </c>
      <c r="AL2493" s="46" t="s">
        <v>186</v>
      </c>
      <c r="AM2493" s="46" t="s">
        <v>137</v>
      </c>
      <c r="AN2493" s="46" t="s">
        <v>138</v>
      </c>
      <c r="AO2493" s="357">
        <v>512.0</v>
      </c>
      <c r="AP2493" s="55">
        <v>-0.32</v>
      </c>
      <c r="AQ2493" s="46" t="s">
        <v>215</v>
      </c>
      <c r="AR2493" s="56" t="s">
        <v>1042</v>
      </c>
      <c r="AS2493" s="385">
        <v>0.05</v>
      </c>
      <c r="AT2493" s="46" t="s">
        <v>135</v>
      </c>
      <c r="AU2493" s="46" t="s">
        <v>136</v>
      </c>
      <c r="AV2493" s="46" t="s">
        <v>137</v>
      </c>
      <c r="AW2493" s="59" t="s">
        <v>14855</v>
      </c>
      <c r="AX2493" s="46" t="s">
        <v>151</v>
      </c>
      <c r="AY2493" s="49" t="str">
        <f>IFERROR(__xludf.DUMMYFUNCTION("vlookup(BB2493,importrange(""https://docs.google.com/spreadsheets/d/1d2vevQ_7D_v35q4wCQ4RpQ_IPoTwEMB9Yp6ymwlPqew/edit?gid=984458430#gid=984458430"", ""'replication success'!A:K""), 11, FAlSE)"),"")</f>
        <v/>
      </c>
      <c r="AZ2493" s="49" t="str">
        <f>IFERROR(__xludf.DUMMYFUNCTION("vlookup(BB2493,importrange(""https://docs.google.com/spreadsheets/d/1d2vevQ_7D_v35q4wCQ4RpQ_IPoTwEMB9Yp6ymwlPqew/edit?gid=984458430#gid=984458430"", ""'replication success'!A:M""), 12, FAlSE)"),"")</f>
        <v/>
      </c>
      <c r="BA2493" s="49" t="str">
        <f>IFERROR(__xludf.DUMMYFUNCTION("vlookup(BB2493,importrange(""https://docs.google.com/spreadsheets/d/1d2vevQ_7D_v35q4wCQ4RpQ_IPoTwEMB9Yp6ymwlPqew/edit?gid=984458430#gid=984458430"", ""'replication success'!A:M""), 13, FAlSE)"),"abstract")</f>
        <v>abstract</v>
      </c>
      <c r="BB2493" s="49" t="str">
        <f>IFERROR(__xludf.DUMMYFUNCTION("REGEXREPLACE(G2493, ""_[a-z]{1,2}$"", """")"),"Soto")</f>
        <v>Soto</v>
      </c>
      <c r="BC2493" s="342"/>
      <c r="BD2493" s="341" t="s">
        <v>1270</v>
      </c>
      <c r="BE2493" s="342"/>
      <c r="BF2493" s="342"/>
      <c r="BG2493" s="342"/>
      <c r="BH2493" s="342"/>
      <c r="BI2493" s="342"/>
      <c r="BJ2493" s="342"/>
      <c r="BK2493" s="342"/>
      <c r="BL2493" s="342"/>
      <c r="BM2493" s="342"/>
      <c r="BN2493" s="342"/>
      <c r="BO2493" s="342"/>
      <c r="BP2493" s="342"/>
      <c r="BQ2493" s="342"/>
      <c r="BR2493" s="342"/>
      <c r="BS2493" s="342"/>
      <c r="BT2493" s="342"/>
      <c r="BU2493" s="342"/>
      <c r="BV2493" s="342"/>
      <c r="BW2493" s="342"/>
      <c r="BX2493" s="342"/>
      <c r="BY2493" s="342"/>
      <c r="BZ2493" s="342"/>
      <c r="CA2493" s="342"/>
      <c r="CB2493" s="342"/>
      <c r="CC2493" s="342"/>
      <c r="CD2493" s="342"/>
      <c r="CE2493" s="342"/>
      <c r="CF2493" s="342"/>
      <c r="CG2493" s="342"/>
      <c r="CH2493" s="342"/>
      <c r="CI2493" s="342"/>
      <c r="CJ2493" s="342"/>
      <c r="CK2493" s="342"/>
      <c r="CL2493" s="342"/>
      <c r="CM2493" s="342"/>
      <c r="CN2493" s="342"/>
      <c r="CO2493" s="342"/>
      <c r="CP2493" s="342"/>
      <c r="CQ2493" s="342"/>
      <c r="CR2493" s="342"/>
      <c r="CS2493" s="342"/>
      <c r="CT2493" s="342"/>
      <c r="CU2493" s="342"/>
      <c r="CV2493" s="342"/>
      <c r="CW2493" s="342"/>
      <c r="CX2493" s="342"/>
      <c r="CY2493" s="342"/>
      <c r="CZ2493" s="342"/>
      <c r="DA2493" s="342"/>
      <c r="DB2493" s="342"/>
      <c r="DC2493" s="342"/>
      <c r="DD2493" s="342"/>
      <c r="DE2493" s="342"/>
      <c r="DF2493" s="342"/>
      <c r="DG2493" s="342"/>
      <c r="DH2493" s="342"/>
      <c r="DI2493" s="342"/>
      <c r="DJ2493" s="342"/>
      <c r="DK2493" s="342"/>
      <c r="DL2493" s="342"/>
    </row>
    <row r="2494">
      <c r="A2494" s="2119">
        <v>2494.0</v>
      </c>
      <c r="B2494" s="1800" t="s">
        <v>152</v>
      </c>
      <c r="C2494" s="1631" t="s">
        <v>115</v>
      </c>
      <c r="D2494" s="1631" t="s">
        <v>1458</v>
      </c>
      <c r="E2494" s="1123"/>
      <c r="F2494" s="1632" t="s">
        <v>14775</v>
      </c>
      <c r="G2494" s="1634" t="s">
        <v>14425</v>
      </c>
      <c r="H2494" s="1634" t="s">
        <v>8501</v>
      </c>
      <c r="I2494" s="2139">
        <v>45252.0</v>
      </c>
      <c r="J2494" s="2127">
        <v>45849.0</v>
      </c>
      <c r="K2494" s="1632" t="s">
        <v>14892</v>
      </c>
      <c r="L2494" s="1800" t="s">
        <v>14777</v>
      </c>
      <c r="M2494" s="1634" t="s">
        <v>14778</v>
      </c>
      <c r="N2494" s="1634" t="s">
        <v>14779</v>
      </c>
      <c r="O2494" s="1825">
        <v>1.0</v>
      </c>
      <c r="P2494" s="1634" t="s">
        <v>14780</v>
      </c>
      <c r="Q2494" s="2121" t="str">
        <f t="array" ref="Q2494"> if(iserror(MATCH(V2494, 'File Links'!C:C, 0)), "N/A", HYPERLINK(INDEX('File Links'!B:B, MATCH(P2494, 'File Links'!C:C, 0))))</f>
        <v>https://drive.google.com/file/d/1xuFoPe4NoIX58JM0wx-8_dEId51aZij5/view?usp=drivesdk</v>
      </c>
      <c r="R2494" s="1634" t="s">
        <v>14432</v>
      </c>
      <c r="S2494" s="1634" t="s">
        <v>14433</v>
      </c>
      <c r="T2494" s="1632" t="s">
        <v>138</v>
      </c>
      <c r="U2494" s="1825">
        <v>1.0</v>
      </c>
      <c r="V2494" s="1634" t="s">
        <v>14434</v>
      </c>
      <c r="W2494" s="1800" t="s">
        <v>209</v>
      </c>
      <c r="X2494" s="2122" t="str">
        <f t="array" ref="X2494"> if(iserror(MATCH(V2494, 'File Links'!C:C, 0)), "N/A", HYPERLINK(INDEX('File Links'!B:B, MATCH(V2494, 'File Links'!C:C, 0))))</f>
        <v>https://drive.google.com/file/d/17mZvRs3ue7pXwqu8bmIDvgNdc95PGEcV/view?usp=drivesdk</v>
      </c>
      <c r="Y2494" s="1800" t="s">
        <v>14781</v>
      </c>
      <c r="Z2494" s="1634" t="s">
        <v>1079</v>
      </c>
      <c r="AA2494" s="1632" t="s">
        <v>12028</v>
      </c>
      <c r="AB2494" s="1634" t="s">
        <v>14436</v>
      </c>
      <c r="AC2494" s="1634" t="s">
        <v>14782</v>
      </c>
      <c r="AD2494" s="1632" t="s">
        <v>14893</v>
      </c>
      <c r="AE2494" s="1825">
        <v>6.0</v>
      </c>
      <c r="AF2494" s="1565">
        <v>859.0</v>
      </c>
      <c r="AG2494" s="1825">
        <v>0.19</v>
      </c>
      <c r="AH2494" s="1632" t="s">
        <v>215</v>
      </c>
      <c r="AI2494" s="1632" t="s">
        <v>1042</v>
      </c>
      <c r="AJ2494" s="1825">
        <v>0.01</v>
      </c>
      <c r="AK2494" s="1632" t="s">
        <v>135</v>
      </c>
      <c r="AL2494" s="1632" t="s">
        <v>186</v>
      </c>
      <c r="AM2494" s="1632" t="s">
        <v>141</v>
      </c>
      <c r="AN2494" s="1632" t="s">
        <v>138</v>
      </c>
      <c r="AO2494" s="1565">
        <v>838.0</v>
      </c>
      <c r="AP2494" s="1825">
        <v>-0.02</v>
      </c>
      <c r="AQ2494" s="1632" t="s">
        <v>215</v>
      </c>
      <c r="AR2494" s="1632" t="s">
        <v>882</v>
      </c>
      <c r="AS2494" s="1632" t="s">
        <v>138</v>
      </c>
      <c r="AT2494" s="1632" t="s">
        <v>138</v>
      </c>
      <c r="AU2494" s="1632" t="s">
        <v>138</v>
      </c>
      <c r="AV2494" s="1632" t="s">
        <v>141</v>
      </c>
      <c r="AW2494" s="2123" t="s">
        <v>14855</v>
      </c>
      <c r="AX2494" s="1632" t="s">
        <v>151</v>
      </c>
      <c r="AY2494" s="2128" t="str">
        <f>IFERROR(__xludf.DUMMYFUNCTION("vlookup(BB2494,importrange(""https://docs.google.com/spreadsheets/d/1d2vevQ_7D_v35q4wCQ4RpQ_IPoTwEMB9Yp6ymwlPqew/edit?gid=984458430#gid=984458430"", ""'replication success'!A:K""), 11, FAlSE)"),"")</f>
        <v/>
      </c>
      <c r="AZ2494" s="2128" t="str">
        <f>IFERROR(__xludf.DUMMYFUNCTION("vlookup(BB2494,importrange(""https://docs.google.com/spreadsheets/d/1d2vevQ_7D_v35q4wCQ4RpQ_IPoTwEMB9Yp6ymwlPqew/edit?gid=984458430#gid=984458430"", ""'replication success'!A:M""), 12, FAlSE)"),"")</f>
        <v/>
      </c>
      <c r="BA2494" s="2128" t="str">
        <f>IFERROR(__xludf.DUMMYFUNCTION("vlookup(BB2494,importrange(""https://docs.google.com/spreadsheets/d/1d2vevQ_7D_v35q4wCQ4RpQ_IPoTwEMB9Yp6ymwlPqew/edit?gid=984458430#gid=984458430"", ""'replication success'!A:M""), 13, FAlSE)"),"abstract")</f>
        <v>abstract</v>
      </c>
      <c r="BB2494" s="2128" t="str">
        <f>IFERROR(__xludf.DUMMYFUNCTION("REGEXREPLACE(G2494, ""_[a-z]{1,2}$"", """")"),"Soto")</f>
        <v>Soto</v>
      </c>
      <c r="BC2494" s="1123"/>
      <c r="BD2494" s="1631" t="s">
        <v>1270</v>
      </c>
      <c r="BE2494" s="1123"/>
      <c r="BF2494" s="1123"/>
      <c r="BG2494" s="1123"/>
      <c r="BH2494" s="1123"/>
      <c r="BI2494" s="1123"/>
      <c r="BJ2494" s="1123"/>
      <c r="BK2494" s="1123"/>
      <c r="BL2494" s="1123"/>
      <c r="BM2494" s="1123"/>
      <c r="BN2494" s="1123"/>
      <c r="BO2494" s="1123"/>
      <c r="BP2494" s="1123"/>
      <c r="BQ2494" s="1123"/>
      <c r="BR2494" s="1123"/>
      <c r="BS2494" s="1123"/>
      <c r="BT2494" s="1123"/>
      <c r="BU2494" s="1123"/>
      <c r="BV2494" s="1123"/>
      <c r="BW2494" s="1123"/>
      <c r="BX2494" s="1123"/>
      <c r="BY2494" s="1123"/>
      <c r="BZ2494" s="1123"/>
      <c r="CA2494" s="1123"/>
      <c r="CB2494" s="1123"/>
      <c r="CC2494" s="1123"/>
      <c r="CD2494" s="1123"/>
      <c r="CE2494" s="1123"/>
      <c r="CF2494" s="1123"/>
      <c r="CG2494" s="1123"/>
      <c r="CH2494" s="1123"/>
      <c r="CI2494" s="1123"/>
      <c r="CJ2494" s="1123"/>
      <c r="CK2494" s="1123"/>
      <c r="CL2494" s="1123"/>
      <c r="CM2494" s="1123"/>
      <c r="CN2494" s="1123"/>
      <c r="CO2494" s="1123"/>
      <c r="CP2494" s="1123"/>
      <c r="CQ2494" s="1123"/>
      <c r="CR2494" s="1123"/>
      <c r="CS2494" s="1123"/>
      <c r="CT2494" s="1123"/>
      <c r="CU2494" s="1123"/>
      <c r="CV2494" s="1123"/>
      <c r="CW2494" s="1123"/>
      <c r="CX2494" s="1123"/>
      <c r="CY2494" s="1123"/>
      <c r="CZ2494" s="1123"/>
      <c r="DA2494" s="1123"/>
      <c r="DB2494" s="1123"/>
      <c r="DC2494" s="1123"/>
      <c r="DD2494" s="1123"/>
      <c r="DE2494" s="1123"/>
      <c r="DF2494" s="1123"/>
      <c r="DG2494" s="1123"/>
      <c r="DH2494" s="1123"/>
      <c r="DI2494" s="1123"/>
      <c r="DJ2494" s="1123"/>
      <c r="DK2494" s="1123"/>
      <c r="DL2494" s="1123"/>
    </row>
    <row r="2495">
      <c r="A2495" s="2119">
        <v>2495.0</v>
      </c>
      <c r="B2495" s="1800" t="s">
        <v>152</v>
      </c>
      <c r="C2495" s="1631" t="s">
        <v>115</v>
      </c>
      <c r="D2495" s="1631" t="s">
        <v>1458</v>
      </c>
      <c r="E2495" s="1123"/>
      <c r="F2495" s="1632" t="s">
        <v>14784</v>
      </c>
      <c r="G2495" s="1634" t="s">
        <v>14425</v>
      </c>
      <c r="H2495" s="1634" t="s">
        <v>8501</v>
      </c>
      <c r="I2495" s="2139">
        <v>45252.0</v>
      </c>
      <c r="J2495" s="2127">
        <v>45849.0</v>
      </c>
      <c r="K2495" s="1632" t="s">
        <v>14894</v>
      </c>
      <c r="L2495" s="1800" t="s">
        <v>14777</v>
      </c>
      <c r="M2495" s="1634" t="s">
        <v>14778</v>
      </c>
      <c r="N2495" s="1634" t="s">
        <v>14779</v>
      </c>
      <c r="O2495" s="1825">
        <v>1.0</v>
      </c>
      <c r="P2495" s="1634" t="s">
        <v>14780</v>
      </c>
      <c r="Q2495" s="2121" t="str">
        <f t="array" ref="Q2495"> if(iserror(MATCH(V2495, 'File Links'!C:C, 0)), "N/A", HYPERLINK(INDEX('File Links'!B:B, MATCH(P2495, 'File Links'!C:C, 0))))</f>
        <v>https://drive.google.com/file/d/1xuFoPe4NoIX58JM0wx-8_dEId51aZij5/view?usp=drivesdk</v>
      </c>
      <c r="R2495" s="1634" t="s">
        <v>14432</v>
      </c>
      <c r="S2495" s="1634" t="s">
        <v>14433</v>
      </c>
      <c r="T2495" s="1632" t="s">
        <v>138</v>
      </c>
      <c r="U2495" s="1825">
        <v>1.0</v>
      </c>
      <c r="V2495" s="1634" t="s">
        <v>14434</v>
      </c>
      <c r="W2495" s="1800" t="s">
        <v>209</v>
      </c>
      <c r="X2495" s="2122" t="str">
        <f t="array" ref="X2495"> if(iserror(MATCH(V2495, 'File Links'!C:C, 0)), "N/A", HYPERLINK(INDEX('File Links'!B:B, MATCH(V2495, 'File Links'!C:C, 0))))</f>
        <v>https://drive.google.com/file/d/17mZvRs3ue7pXwqu8bmIDvgNdc95PGEcV/view?usp=drivesdk</v>
      </c>
      <c r="Y2495" s="1800" t="s">
        <v>14786</v>
      </c>
      <c r="Z2495" s="1634" t="s">
        <v>1079</v>
      </c>
      <c r="AA2495" s="1632" t="s">
        <v>12028</v>
      </c>
      <c r="AB2495" s="1634" t="s">
        <v>14436</v>
      </c>
      <c r="AC2495" s="1634" t="s">
        <v>14787</v>
      </c>
      <c r="AD2495" s="1632" t="s">
        <v>14895</v>
      </c>
      <c r="AE2495" s="1825">
        <v>6.0</v>
      </c>
      <c r="AF2495" s="1565">
        <v>859.0</v>
      </c>
      <c r="AG2495" s="1825">
        <v>0.18</v>
      </c>
      <c r="AH2495" s="1632" t="s">
        <v>215</v>
      </c>
      <c r="AI2495" s="1632" t="s">
        <v>1042</v>
      </c>
      <c r="AJ2495" s="1825">
        <v>0.01</v>
      </c>
      <c r="AK2495" s="1632" t="s">
        <v>135</v>
      </c>
      <c r="AL2495" s="1632" t="s">
        <v>186</v>
      </c>
      <c r="AM2495" s="1632" t="s">
        <v>141</v>
      </c>
      <c r="AN2495" s="1632" t="s">
        <v>138</v>
      </c>
      <c r="AO2495" s="1565">
        <v>944.0</v>
      </c>
      <c r="AP2495" s="1825">
        <v>0.17</v>
      </c>
      <c r="AQ2495" s="1632" t="s">
        <v>215</v>
      </c>
      <c r="AR2495" s="1632" t="s">
        <v>882</v>
      </c>
      <c r="AS2495" s="1825">
        <v>0.05</v>
      </c>
      <c r="AT2495" s="1632" t="s">
        <v>135</v>
      </c>
      <c r="AU2495" s="1632" t="s">
        <v>136</v>
      </c>
      <c r="AV2495" s="1632" t="s">
        <v>141</v>
      </c>
      <c r="AW2495" s="2123" t="s">
        <v>14855</v>
      </c>
      <c r="AX2495" s="1632" t="s">
        <v>151</v>
      </c>
      <c r="AY2495" s="2128" t="str">
        <f>IFERROR(__xludf.DUMMYFUNCTION("vlookup(BB2495,importrange(""https://docs.google.com/spreadsheets/d/1d2vevQ_7D_v35q4wCQ4RpQ_IPoTwEMB9Yp6ymwlPqew/edit?gid=984458430#gid=984458430"", ""'replication success'!A:K""), 11, FAlSE)"),"")</f>
        <v/>
      </c>
      <c r="AZ2495" s="2128" t="str">
        <f>IFERROR(__xludf.DUMMYFUNCTION("vlookup(BB2495,importrange(""https://docs.google.com/spreadsheets/d/1d2vevQ_7D_v35q4wCQ4RpQ_IPoTwEMB9Yp6ymwlPqew/edit?gid=984458430#gid=984458430"", ""'replication success'!A:M""), 12, FAlSE)"),"")</f>
        <v/>
      </c>
      <c r="BA2495" s="2128" t="str">
        <f>IFERROR(__xludf.DUMMYFUNCTION("vlookup(BB2495,importrange(""https://docs.google.com/spreadsheets/d/1d2vevQ_7D_v35q4wCQ4RpQ_IPoTwEMB9Yp6ymwlPqew/edit?gid=984458430#gid=984458430"", ""'replication success'!A:M""), 13, FAlSE)"),"abstract")</f>
        <v>abstract</v>
      </c>
      <c r="BB2495" s="2128" t="str">
        <f>IFERROR(__xludf.DUMMYFUNCTION("REGEXREPLACE(G2495, ""_[a-z]{1,2}$"", """")"),"Soto")</f>
        <v>Soto</v>
      </c>
      <c r="BC2495" s="1123"/>
      <c r="BD2495" s="1631" t="s">
        <v>1270</v>
      </c>
      <c r="BE2495" s="1123"/>
      <c r="BF2495" s="1123"/>
      <c r="BG2495" s="1123"/>
      <c r="BH2495" s="1123"/>
      <c r="BI2495" s="1123"/>
      <c r="BJ2495" s="1123"/>
      <c r="BK2495" s="1123"/>
      <c r="BL2495" s="1123"/>
      <c r="BM2495" s="1123"/>
      <c r="BN2495" s="1123"/>
      <c r="BO2495" s="1123"/>
      <c r="BP2495" s="1123"/>
      <c r="BQ2495" s="1123"/>
      <c r="BR2495" s="1123"/>
      <c r="BS2495" s="1123"/>
      <c r="BT2495" s="1123"/>
      <c r="BU2495" s="1123"/>
      <c r="BV2495" s="1123"/>
      <c r="BW2495" s="1123"/>
      <c r="BX2495" s="1123"/>
      <c r="BY2495" s="1123"/>
      <c r="BZ2495" s="1123"/>
      <c r="CA2495" s="1123"/>
      <c r="CB2495" s="1123"/>
      <c r="CC2495" s="1123"/>
      <c r="CD2495" s="1123"/>
      <c r="CE2495" s="1123"/>
      <c r="CF2495" s="1123"/>
      <c r="CG2495" s="1123"/>
      <c r="CH2495" s="1123"/>
      <c r="CI2495" s="1123"/>
      <c r="CJ2495" s="1123"/>
      <c r="CK2495" s="1123"/>
      <c r="CL2495" s="1123"/>
      <c r="CM2495" s="1123"/>
      <c r="CN2495" s="1123"/>
      <c r="CO2495" s="1123"/>
      <c r="CP2495" s="1123"/>
      <c r="CQ2495" s="1123"/>
      <c r="CR2495" s="1123"/>
      <c r="CS2495" s="1123"/>
      <c r="CT2495" s="1123"/>
      <c r="CU2495" s="1123"/>
      <c r="CV2495" s="1123"/>
      <c r="CW2495" s="1123"/>
      <c r="CX2495" s="1123"/>
      <c r="CY2495" s="1123"/>
      <c r="CZ2495" s="1123"/>
      <c r="DA2495" s="1123"/>
      <c r="DB2495" s="1123"/>
      <c r="DC2495" s="1123"/>
      <c r="DD2495" s="1123"/>
      <c r="DE2495" s="1123"/>
      <c r="DF2495" s="1123"/>
      <c r="DG2495" s="1123"/>
      <c r="DH2495" s="1123"/>
      <c r="DI2495" s="1123"/>
      <c r="DJ2495" s="1123"/>
      <c r="DK2495" s="1123"/>
      <c r="DL2495" s="1123"/>
    </row>
    <row r="2496">
      <c r="A2496" s="2119">
        <v>2496.0</v>
      </c>
      <c r="B2496" s="1800" t="s">
        <v>152</v>
      </c>
      <c r="C2496" s="1631" t="s">
        <v>115</v>
      </c>
      <c r="D2496" s="1631" t="s">
        <v>1458</v>
      </c>
      <c r="E2496" s="1123"/>
      <c r="F2496" s="1632" t="s">
        <v>14788</v>
      </c>
      <c r="G2496" s="1634" t="s">
        <v>14425</v>
      </c>
      <c r="H2496" s="1634" t="s">
        <v>8501</v>
      </c>
      <c r="I2496" s="2139">
        <v>45252.0</v>
      </c>
      <c r="J2496" s="2127">
        <v>45849.0</v>
      </c>
      <c r="K2496" s="1632" t="s">
        <v>138</v>
      </c>
      <c r="L2496" s="1800" t="s">
        <v>14896</v>
      </c>
      <c r="M2496" s="1634" t="s">
        <v>14778</v>
      </c>
      <c r="N2496" s="1634" t="s">
        <v>14779</v>
      </c>
      <c r="O2496" s="1825">
        <v>1.0</v>
      </c>
      <c r="P2496" s="1634" t="s">
        <v>14780</v>
      </c>
      <c r="Q2496" s="2121" t="str">
        <f t="array" ref="Q2496"> if(iserror(MATCH(V2496, 'File Links'!C:C, 0)), "N/A", HYPERLINK(INDEX('File Links'!B:B, MATCH(P2496, 'File Links'!C:C, 0))))</f>
        <v>https://drive.google.com/file/d/1xuFoPe4NoIX58JM0wx-8_dEId51aZij5/view?usp=drivesdk</v>
      </c>
      <c r="R2496" s="1634" t="s">
        <v>14432</v>
      </c>
      <c r="S2496" s="1634" t="s">
        <v>14433</v>
      </c>
      <c r="T2496" s="1632" t="s">
        <v>138</v>
      </c>
      <c r="U2496" s="1825">
        <v>1.0</v>
      </c>
      <c r="V2496" s="1634" t="s">
        <v>14434</v>
      </c>
      <c r="W2496" s="1800" t="s">
        <v>209</v>
      </c>
      <c r="X2496" s="2122" t="str">
        <f t="array" ref="X2496"> if(iserror(MATCH(V2496, 'File Links'!C:C, 0)), "N/A", HYPERLINK(INDEX('File Links'!B:B, MATCH(V2496, 'File Links'!C:C, 0))))</f>
        <v>https://drive.google.com/file/d/17mZvRs3ue7pXwqu8bmIDvgNdc95PGEcV/view?usp=drivesdk</v>
      </c>
      <c r="Y2496" s="1632"/>
      <c r="Z2496" s="1634" t="s">
        <v>1079</v>
      </c>
      <c r="AA2496" s="1632" t="s">
        <v>12028</v>
      </c>
      <c r="AB2496" s="1634" t="s">
        <v>14436</v>
      </c>
      <c r="AC2496" s="1634" t="s">
        <v>14791</v>
      </c>
      <c r="AD2496" s="1800" t="s">
        <v>14792</v>
      </c>
      <c r="AE2496" s="1825">
        <v>6.0</v>
      </c>
      <c r="AF2496" s="1565">
        <v>859.0</v>
      </c>
      <c r="AG2496" s="1825">
        <v>-0.22</v>
      </c>
      <c r="AH2496" s="1632" t="s">
        <v>215</v>
      </c>
      <c r="AI2496" s="1632" t="s">
        <v>1042</v>
      </c>
      <c r="AJ2496" s="1825">
        <v>0.01</v>
      </c>
      <c r="AK2496" s="1632" t="s">
        <v>135</v>
      </c>
      <c r="AL2496" s="1632" t="s">
        <v>186</v>
      </c>
      <c r="AM2496" s="1632" t="s">
        <v>137</v>
      </c>
      <c r="AN2496" s="1632" t="s">
        <v>138</v>
      </c>
      <c r="AO2496" s="1565">
        <v>944.0</v>
      </c>
      <c r="AP2496" s="1825">
        <v>-0.33</v>
      </c>
      <c r="AQ2496" s="1632" t="s">
        <v>215</v>
      </c>
      <c r="AR2496" s="1800" t="s">
        <v>1042</v>
      </c>
      <c r="AS2496" s="2130">
        <v>4.92862810277852E-25</v>
      </c>
      <c r="AT2496" s="1632" t="s">
        <v>172</v>
      </c>
      <c r="AU2496" s="1632" t="s">
        <v>136</v>
      </c>
      <c r="AV2496" s="1632" t="s">
        <v>137</v>
      </c>
      <c r="AW2496" s="2123" t="s">
        <v>14441</v>
      </c>
      <c r="AX2496" s="1632" t="s">
        <v>143</v>
      </c>
      <c r="AY2496" s="2128" t="str">
        <f>IFERROR(__xludf.DUMMYFUNCTION("vlookup(BB2496,importrange(""https://docs.google.com/spreadsheets/d/1d2vevQ_7D_v35q4wCQ4RpQ_IPoTwEMB9Yp6ymwlPqew/edit?gid=984458430#gid=984458430"", ""'replication success'!A:K""), 11, FAlSE)"),"")</f>
        <v/>
      </c>
      <c r="AZ2496" s="2128" t="str">
        <f>IFERROR(__xludf.DUMMYFUNCTION("vlookup(BB2496,importrange(""https://docs.google.com/spreadsheets/d/1d2vevQ_7D_v35q4wCQ4RpQ_IPoTwEMB9Yp6ymwlPqew/edit?gid=984458430#gid=984458430"", ""'replication success'!A:M""), 12, FAlSE)"),"")</f>
        <v/>
      </c>
      <c r="BA2496" s="2128" t="str">
        <f>IFERROR(__xludf.DUMMYFUNCTION("vlookup(BB2496,importrange(""https://docs.google.com/spreadsheets/d/1d2vevQ_7D_v35q4wCQ4RpQ_IPoTwEMB9Yp6ymwlPqew/edit?gid=984458430#gid=984458430"", ""'replication success'!A:M""), 13, FAlSE)"),"abstract")</f>
        <v>abstract</v>
      </c>
      <c r="BB2496" s="2128" t="str">
        <f>IFERROR(__xludf.DUMMYFUNCTION("REGEXREPLACE(G2496, ""_[a-z]{1,2}$"", """")"),"Soto")</f>
        <v>Soto</v>
      </c>
      <c r="BC2496" s="1123"/>
      <c r="BD2496" s="1631" t="s">
        <v>1270</v>
      </c>
      <c r="BE2496" s="1123"/>
      <c r="BF2496" s="1123"/>
      <c r="BG2496" s="1123"/>
      <c r="BH2496" s="1123"/>
      <c r="BI2496" s="1123"/>
      <c r="BJ2496" s="1123"/>
      <c r="BK2496" s="1123"/>
      <c r="BL2496" s="1123"/>
      <c r="BM2496" s="1123"/>
      <c r="BN2496" s="1123"/>
      <c r="BO2496" s="1123"/>
      <c r="BP2496" s="1123"/>
      <c r="BQ2496" s="1123"/>
      <c r="BR2496" s="1123"/>
      <c r="BS2496" s="1123"/>
      <c r="BT2496" s="1123"/>
      <c r="BU2496" s="1123"/>
      <c r="BV2496" s="1123"/>
      <c r="BW2496" s="1123"/>
      <c r="BX2496" s="1123"/>
      <c r="BY2496" s="1123"/>
      <c r="BZ2496" s="1123"/>
      <c r="CA2496" s="1123"/>
      <c r="CB2496" s="1123"/>
      <c r="CC2496" s="1123"/>
      <c r="CD2496" s="1123"/>
      <c r="CE2496" s="1123"/>
      <c r="CF2496" s="1123"/>
      <c r="CG2496" s="1123"/>
      <c r="CH2496" s="1123"/>
      <c r="CI2496" s="1123"/>
      <c r="CJ2496" s="1123"/>
      <c r="CK2496" s="1123"/>
      <c r="CL2496" s="1123"/>
      <c r="CM2496" s="1123"/>
      <c r="CN2496" s="1123"/>
      <c r="CO2496" s="1123"/>
      <c r="CP2496" s="1123"/>
      <c r="CQ2496" s="1123"/>
      <c r="CR2496" s="1123"/>
      <c r="CS2496" s="1123"/>
      <c r="CT2496" s="1123"/>
      <c r="CU2496" s="1123"/>
      <c r="CV2496" s="1123"/>
      <c r="CW2496" s="1123"/>
      <c r="CX2496" s="1123"/>
      <c r="CY2496" s="1123"/>
      <c r="CZ2496" s="1123"/>
      <c r="DA2496" s="1123"/>
      <c r="DB2496" s="1123"/>
      <c r="DC2496" s="1123"/>
      <c r="DD2496" s="1123"/>
      <c r="DE2496" s="1123"/>
      <c r="DF2496" s="1123"/>
      <c r="DG2496" s="1123"/>
      <c r="DH2496" s="1123"/>
      <c r="DI2496" s="1123"/>
      <c r="DJ2496" s="1123"/>
      <c r="DK2496" s="1123"/>
      <c r="DL2496" s="1123"/>
    </row>
    <row r="2497">
      <c r="A2497" s="354">
        <v>2497.0</v>
      </c>
      <c r="B2497" s="56" t="s">
        <v>152</v>
      </c>
      <c r="C2497" s="341" t="s">
        <v>115</v>
      </c>
      <c r="D2497" s="341" t="s">
        <v>1458</v>
      </c>
      <c r="E2497" s="342"/>
      <c r="F2497" s="46" t="s">
        <v>14794</v>
      </c>
      <c r="G2497" s="360" t="s">
        <v>14425</v>
      </c>
      <c r="H2497" s="360" t="s">
        <v>8501</v>
      </c>
      <c r="I2497" s="511">
        <v>45252.0</v>
      </c>
      <c r="J2497" s="2124">
        <v>45849.0</v>
      </c>
      <c r="K2497" s="46" t="s">
        <v>14897</v>
      </c>
      <c r="L2497" s="56" t="s">
        <v>14898</v>
      </c>
      <c r="M2497" s="360" t="s">
        <v>14796</v>
      </c>
      <c r="N2497" s="360" t="s">
        <v>14797</v>
      </c>
      <c r="O2497" s="385">
        <v>1.0</v>
      </c>
      <c r="P2497" s="360" t="s">
        <v>14798</v>
      </c>
      <c r="Q2497" s="104" t="str">
        <f t="array" ref="Q2497"> if(iserror(MATCH(V2497, 'File Links'!C:C, 0)), "N/A", HYPERLINK(INDEX('File Links'!B:B, MATCH(P2497, 'File Links'!C:C, 0))))</f>
        <v>https://drive.google.com/file/d/1Wzsg5t70C5nm9ICa1m7pvYuf0xZ022FB/view?usp=drivesdk</v>
      </c>
      <c r="R2497" s="360" t="s">
        <v>14432</v>
      </c>
      <c r="S2497" s="360" t="s">
        <v>14433</v>
      </c>
      <c r="T2497" s="46" t="s">
        <v>138</v>
      </c>
      <c r="U2497" s="385">
        <v>1.0</v>
      </c>
      <c r="V2497" s="360" t="s">
        <v>14434</v>
      </c>
      <c r="W2497" s="56" t="s">
        <v>209</v>
      </c>
      <c r="X2497" s="54" t="str">
        <f t="array" ref="X2497"> if(iserror(MATCH(V2497, 'File Links'!C:C, 0)), "N/A", HYPERLINK(INDEX('File Links'!B:B, MATCH(V2497, 'File Links'!C:C, 0))))</f>
        <v>https://drive.google.com/file/d/17mZvRs3ue7pXwqu8bmIDvgNdc95PGEcV/view?usp=drivesdk</v>
      </c>
      <c r="Y2497" s="46"/>
      <c r="Z2497" s="360" t="s">
        <v>1079</v>
      </c>
      <c r="AA2497" s="46" t="s">
        <v>12028</v>
      </c>
      <c r="AB2497" s="360" t="s">
        <v>14436</v>
      </c>
      <c r="AC2497" s="360" t="s">
        <v>14799</v>
      </c>
      <c r="AD2497" s="56" t="s">
        <v>138</v>
      </c>
      <c r="AE2497" s="56" t="s">
        <v>138</v>
      </c>
      <c r="AF2497" s="357">
        <v>424.0</v>
      </c>
      <c r="AG2497" s="341">
        <v>-0.35</v>
      </c>
      <c r="AH2497" s="46"/>
      <c r="AI2497" s="56" t="s">
        <v>14800</v>
      </c>
      <c r="AJ2497" s="56" t="s">
        <v>138</v>
      </c>
      <c r="AK2497" s="46" t="s">
        <v>138</v>
      </c>
      <c r="AL2497" s="46" t="s">
        <v>138</v>
      </c>
      <c r="AM2497" s="46" t="s">
        <v>137</v>
      </c>
      <c r="AN2497" s="46"/>
      <c r="AO2497" s="357">
        <v>1549.0</v>
      </c>
      <c r="AP2497" s="55">
        <v>-0.32</v>
      </c>
      <c r="AQ2497" s="46" t="s">
        <v>215</v>
      </c>
      <c r="AR2497" s="56" t="s">
        <v>1042</v>
      </c>
      <c r="AS2497" s="385">
        <v>0.05</v>
      </c>
      <c r="AT2497" s="46" t="s">
        <v>135</v>
      </c>
      <c r="AU2497" s="46" t="s">
        <v>136</v>
      </c>
      <c r="AV2497" s="46" t="s">
        <v>137</v>
      </c>
      <c r="AW2497" s="59" t="s">
        <v>14855</v>
      </c>
      <c r="AX2497" s="46" t="s">
        <v>151</v>
      </c>
      <c r="AY2497" s="49" t="str">
        <f>IFERROR(__xludf.DUMMYFUNCTION("vlookup(BB2497,importrange(""https://docs.google.com/spreadsheets/d/1d2vevQ_7D_v35q4wCQ4RpQ_IPoTwEMB9Yp6ymwlPqew/edit?gid=984458430#gid=984458430"", ""'replication success'!A:K""), 11, FAlSE)"),"")</f>
        <v/>
      </c>
      <c r="AZ2497" s="49" t="str">
        <f>IFERROR(__xludf.DUMMYFUNCTION("vlookup(BB2497,importrange(""https://docs.google.com/spreadsheets/d/1d2vevQ_7D_v35q4wCQ4RpQ_IPoTwEMB9Yp6ymwlPqew/edit?gid=984458430#gid=984458430"", ""'replication success'!A:M""), 12, FAlSE)"),"")</f>
        <v/>
      </c>
      <c r="BA2497" s="49" t="str">
        <f>IFERROR(__xludf.DUMMYFUNCTION("vlookup(BB2497,importrange(""https://docs.google.com/spreadsheets/d/1d2vevQ_7D_v35q4wCQ4RpQ_IPoTwEMB9Yp6ymwlPqew/edit?gid=984458430#gid=984458430"", ""'replication success'!A:M""), 13, FAlSE)"),"abstract")</f>
        <v>abstract</v>
      </c>
      <c r="BB2497" s="49" t="str">
        <f>IFERROR(__xludf.DUMMYFUNCTION("REGEXREPLACE(G2497, ""_[a-z]{1,2}$"", """")"),"Soto")</f>
        <v>Soto</v>
      </c>
      <c r="BC2497" s="342"/>
      <c r="BD2497" s="341" t="s">
        <v>1270</v>
      </c>
      <c r="BE2497" s="342"/>
      <c r="BF2497" s="342"/>
      <c r="BG2497" s="342"/>
      <c r="BH2497" s="342"/>
      <c r="BI2497" s="342"/>
      <c r="BJ2497" s="342"/>
      <c r="BK2497" s="342"/>
      <c r="BL2497" s="342"/>
      <c r="BM2497" s="342"/>
      <c r="BN2497" s="342"/>
      <c r="BO2497" s="342"/>
      <c r="BP2497" s="342"/>
      <c r="BQ2497" s="342"/>
      <c r="BR2497" s="342"/>
      <c r="BS2497" s="342"/>
      <c r="BT2497" s="342"/>
      <c r="BU2497" s="342"/>
      <c r="BV2497" s="342"/>
      <c r="BW2497" s="342"/>
      <c r="BX2497" s="342"/>
      <c r="BY2497" s="342"/>
      <c r="BZ2497" s="342"/>
      <c r="CA2497" s="342"/>
      <c r="CB2497" s="342"/>
      <c r="CC2497" s="342"/>
      <c r="CD2497" s="342"/>
      <c r="CE2497" s="342"/>
      <c r="CF2497" s="342"/>
      <c r="CG2497" s="342"/>
      <c r="CH2497" s="342"/>
      <c r="CI2497" s="342"/>
      <c r="CJ2497" s="342"/>
      <c r="CK2497" s="342"/>
      <c r="CL2497" s="342"/>
      <c r="CM2497" s="342"/>
      <c r="CN2497" s="342"/>
      <c r="CO2497" s="342"/>
      <c r="CP2497" s="342"/>
      <c r="CQ2497" s="342"/>
      <c r="CR2497" s="342"/>
      <c r="CS2497" s="342"/>
      <c r="CT2497" s="342"/>
      <c r="CU2497" s="342"/>
      <c r="CV2497" s="342"/>
      <c r="CW2497" s="342"/>
      <c r="CX2497" s="342"/>
      <c r="CY2497" s="342"/>
      <c r="CZ2497" s="342"/>
      <c r="DA2497" s="342"/>
      <c r="DB2497" s="342"/>
      <c r="DC2497" s="342"/>
      <c r="DD2497" s="342"/>
      <c r="DE2497" s="342"/>
      <c r="DF2497" s="342"/>
      <c r="DG2497" s="342"/>
      <c r="DH2497" s="342"/>
      <c r="DI2497" s="342"/>
      <c r="DJ2497" s="342"/>
      <c r="DK2497" s="342"/>
      <c r="DL2497" s="342"/>
    </row>
    <row r="2498">
      <c r="A2498" s="354">
        <v>2498.0</v>
      </c>
      <c r="B2498" s="56" t="s">
        <v>152</v>
      </c>
      <c r="C2498" s="341" t="s">
        <v>115</v>
      </c>
      <c r="D2498" s="341" t="s">
        <v>1458</v>
      </c>
      <c r="E2498" s="342"/>
      <c r="F2498" s="46" t="s">
        <v>14801</v>
      </c>
      <c r="G2498" s="360" t="s">
        <v>14425</v>
      </c>
      <c r="H2498" s="360" t="s">
        <v>8501</v>
      </c>
      <c r="I2498" s="511">
        <v>45252.0</v>
      </c>
      <c r="J2498" s="2124">
        <v>45849.0</v>
      </c>
      <c r="K2498" s="46" t="s">
        <v>14897</v>
      </c>
      <c r="L2498" s="56" t="s">
        <v>14898</v>
      </c>
      <c r="M2498" s="360" t="s">
        <v>14796</v>
      </c>
      <c r="N2498" s="360" t="s">
        <v>14797</v>
      </c>
      <c r="O2498" s="385">
        <v>1.0</v>
      </c>
      <c r="P2498" s="360" t="s">
        <v>14798</v>
      </c>
      <c r="Q2498" s="104" t="str">
        <f t="array" ref="Q2498"> if(iserror(MATCH(V2498, 'File Links'!C:C, 0)), "N/A", HYPERLINK(INDEX('File Links'!B:B, MATCH(P2498, 'File Links'!C:C, 0))))</f>
        <v>https://drive.google.com/file/d/1Wzsg5t70C5nm9ICa1m7pvYuf0xZ022FB/view?usp=drivesdk</v>
      </c>
      <c r="R2498" s="360" t="s">
        <v>14432</v>
      </c>
      <c r="S2498" s="360" t="s">
        <v>14433</v>
      </c>
      <c r="T2498" s="46" t="s">
        <v>138</v>
      </c>
      <c r="U2498" s="385">
        <v>1.0</v>
      </c>
      <c r="V2498" s="360" t="s">
        <v>14434</v>
      </c>
      <c r="W2498" s="56" t="s">
        <v>209</v>
      </c>
      <c r="X2498" s="54" t="str">
        <f t="array" ref="X2498"> if(iserror(MATCH(V2498, 'File Links'!C:C, 0)), "N/A", HYPERLINK(INDEX('File Links'!B:B, MATCH(V2498, 'File Links'!C:C, 0))))</f>
        <v>https://drive.google.com/file/d/17mZvRs3ue7pXwqu8bmIDvgNdc95PGEcV/view?usp=drivesdk</v>
      </c>
      <c r="Y2498" s="46"/>
      <c r="Z2498" s="360" t="s">
        <v>1079</v>
      </c>
      <c r="AA2498" s="46" t="s">
        <v>12028</v>
      </c>
      <c r="AB2498" s="360" t="s">
        <v>14436</v>
      </c>
      <c r="AC2498" s="360" t="s">
        <v>14803</v>
      </c>
      <c r="AD2498" s="56" t="s">
        <v>138</v>
      </c>
      <c r="AE2498" s="56" t="s">
        <v>138</v>
      </c>
      <c r="AF2498" s="357">
        <v>93.0</v>
      </c>
      <c r="AG2498" s="56">
        <v>0.24</v>
      </c>
      <c r="AH2498" s="46"/>
      <c r="AI2498" s="56" t="s">
        <v>14800</v>
      </c>
      <c r="AJ2498" s="56" t="s">
        <v>138</v>
      </c>
      <c r="AK2498" s="46" t="s">
        <v>138</v>
      </c>
      <c r="AL2498" s="46" t="s">
        <v>138</v>
      </c>
      <c r="AM2498" s="46" t="s">
        <v>137</v>
      </c>
      <c r="AN2498" s="46"/>
      <c r="AO2498" s="357">
        <v>1559.0</v>
      </c>
      <c r="AP2498" s="55">
        <v>0.18</v>
      </c>
      <c r="AQ2498" s="46" t="s">
        <v>215</v>
      </c>
      <c r="AR2498" s="56" t="s">
        <v>1042</v>
      </c>
      <c r="AS2498" s="385">
        <v>0.05</v>
      </c>
      <c r="AT2498" s="46" t="s">
        <v>135</v>
      </c>
      <c r="AU2498" s="46" t="s">
        <v>136</v>
      </c>
      <c r="AV2498" s="46" t="s">
        <v>137</v>
      </c>
      <c r="AW2498" s="59" t="s">
        <v>14855</v>
      </c>
      <c r="AX2498" s="46" t="s">
        <v>151</v>
      </c>
      <c r="AY2498" s="49" t="str">
        <f>IFERROR(__xludf.DUMMYFUNCTION("vlookup(BB2498,importrange(""https://docs.google.com/spreadsheets/d/1d2vevQ_7D_v35q4wCQ4RpQ_IPoTwEMB9Yp6ymwlPqew/edit?gid=984458430#gid=984458430"", ""'replication success'!A:K""), 11, FAlSE)"),"")</f>
        <v/>
      </c>
      <c r="AZ2498" s="49" t="str">
        <f>IFERROR(__xludf.DUMMYFUNCTION("vlookup(BB2498,importrange(""https://docs.google.com/spreadsheets/d/1d2vevQ_7D_v35q4wCQ4RpQ_IPoTwEMB9Yp6ymwlPqew/edit?gid=984458430#gid=984458430"", ""'replication success'!A:M""), 12, FAlSE)"),"")</f>
        <v/>
      </c>
      <c r="BA2498" s="49" t="str">
        <f>IFERROR(__xludf.DUMMYFUNCTION("vlookup(BB2498,importrange(""https://docs.google.com/spreadsheets/d/1d2vevQ_7D_v35q4wCQ4RpQ_IPoTwEMB9Yp6ymwlPqew/edit?gid=984458430#gid=984458430"", ""'replication success'!A:M""), 13, FAlSE)"),"abstract")</f>
        <v>abstract</v>
      </c>
      <c r="BB2498" s="49" t="str">
        <f>IFERROR(__xludf.DUMMYFUNCTION("REGEXREPLACE(G2498, ""_[a-z]{1,2}$"", """")"),"Soto")</f>
        <v>Soto</v>
      </c>
      <c r="BC2498" s="342"/>
      <c r="BD2498" s="341" t="s">
        <v>1270</v>
      </c>
      <c r="BE2498" s="342"/>
      <c r="BF2498" s="342"/>
      <c r="BG2498" s="342"/>
      <c r="BH2498" s="342"/>
      <c r="BI2498" s="342"/>
      <c r="BJ2498" s="342"/>
      <c r="BK2498" s="342"/>
      <c r="BL2498" s="342"/>
      <c r="BM2498" s="342"/>
      <c r="BN2498" s="342"/>
      <c r="BO2498" s="342"/>
      <c r="BP2498" s="342"/>
      <c r="BQ2498" s="342"/>
      <c r="BR2498" s="342"/>
      <c r="BS2498" s="342"/>
      <c r="BT2498" s="342"/>
      <c r="BU2498" s="342"/>
      <c r="BV2498" s="342"/>
      <c r="BW2498" s="342"/>
      <c r="BX2498" s="342"/>
      <c r="BY2498" s="342"/>
      <c r="BZ2498" s="342"/>
      <c r="CA2498" s="342"/>
      <c r="CB2498" s="342"/>
      <c r="CC2498" s="342"/>
      <c r="CD2498" s="342"/>
      <c r="CE2498" s="342"/>
      <c r="CF2498" s="342"/>
      <c r="CG2498" s="342"/>
      <c r="CH2498" s="342"/>
      <c r="CI2498" s="342"/>
      <c r="CJ2498" s="342"/>
      <c r="CK2498" s="342"/>
      <c r="CL2498" s="342"/>
      <c r="CM2498" s="342"/>
      <c r="CN2498" s="342"/>
      <c r="CO2498" s="342"/>
      <c r="CP2498" s="342"/>
      <c r="CQ2498" s="342"/>
      <c r="CR2498" s="342"/>
      <c r="CS2498" s="342"/>
      <c r="CT2498" s="342"/>
      <c r="CU2498" s="342"/>
      <c r="CV2498" s="342"/>
      <c r="CW2498" s="342"/>
      <c r="CX2498" s="342"/>
      <c r="CY2498" s="342"/>
      <c r="CZ2498" s="342"/>
      <c r="DA2498" s="342"/>
      <c r="DB2498" s="342"/>
      <c r="DC2498" s="342"/>
      <c r="DD2498" s="342"/>
      <c r="DE2498" s="342"/>
      <c r="DF2498" s="342"/>
      <c r="DG2498" s="342"/>
      <c r="DH2498" s="342"/>
      <c r="DI2498" s="342"/>
      <c r="DJ2498" s="342"/>
      <c r="DK2498" s="342"/>
      <c r="DL2498" s="342"/>
    </row>
    <row r="2499">
      <c r="A2499" s="354">
        <v>2499.0</v>
      </c>
      <c r="B2499" s="56" t="s">
        <v>152</v>
      </c>
      <c r="C2499" s="341" t="s">
        <v>115</v>
      </c>
      <c r="D2499" s="341" t="s">
        <v>1458</v>
      </c>
      <c r="E2499" s="342"/>
      <c r="F2499" s="46" t="s">
        <v>14804</v>
      </c>
      <c r="G2499" s="360" t="s">
        <v>14425</v>
      </c>
      <c r="H2499" s="360" t="s">
        <v>8501</v>
      </c>
      <c r="I2499" s="511">
        <v>45252.0</v>
      </c>
      <c r="J2499" s="2124">
        <v>45849.0</v>
      </c>
      <c r="K2499" s="46" t="s">
        <v>14897</v>
      </c>
      <c r="L2499" s="56" t="s">
        <v>14899</v>
      </c>
      <c r="M2499" s="360" t="s">
        <v>14796</v>
      </c>
      <c r="N2499" s="360" t="s">
        <v>14797</v>
      </c>
      <c r="O2499" s="385">
        <v>1.0</v>
      </c>
      <c r="P2499" s="360" t="s">
        <v>14798</v>
      </c>
      <c r="Q2499" s="104" t="str">
        <f t="array" ref="Q2499"> if(iserror(MATCH(V2499, 'File Links'!C:C, 0)), "N/A", HYPERLINK(INDEX('File Links'!B:B, MATCH(P2499, 'File Links'!C:C, 0))))</f>
        <v>https://drive.google.com/file/d/1Wzsg5t70C5nm9ICa1m7pvYuf0xZ022FB/view?usp=drivesdk</v>
      </c>
      <c r="R2499" s="360" t="s">
        <v>14432</v>
      </c>
      <c r="S2499" s="360" t="s">
        <v>14433</v>
      </c>
      <c r="T2499" s="46" t="s">
        <v>138</v>
      </c>
      <c r="U2499" s="385">
        <v>1.0</v>
      </c>
      <c r="V2499" s="360" t="s">
        <v>14434</v>
      </c>
      <c r="W2499" s="56" t="s">
        <v>209</v>
      </c>
      <c r="X2499" s="54" t="str">
        <f t="array" ref="X2499"> if(iserror(MATCH(V2499, 'File Links'!C:C, 0)), "N/A", HYPERLINK(INDEX('File Links'!B:B, MATCH(V2499, 'File Links'!C:C, 0))))</f>
        <v>https://drive.google.com/file/d/17mZvRs3ue7pXwqu8bmIDvgNdc95PGEcV/view?usp=drivesdk</v>
      </c>
      <c r="Y2499" s="46"/>
      <c r="Z2499" s="360" t="s">
        <v>1079</v>
      </c>
      <c r="AA2499" s="46" t="s">
        <v>12028</v>
      </c>
      <c r="AB2499" s="360" t="s">
        <v>14436</v>
      </c>
      <c r="AC2499" s="360" t="s">
        <v>14806</v>
      </c>
      <c r="AD2499" s="56" t="s">
        <v>138</v>
      </c>
      <c r="AE2499" s="56" t="s">
        <v>138</v>
      </c>
      <c r="AF2499" s="357">
        <v>1648.0</v>
      </c>
      <c r="AG2499" s="56">
        <v>-0.34</v>
      </c>
      <c r="AH2499" s="46"/>
      <c r="AI2499" s="56" t="s">
        <v>14800</v>
      </c>
      <c r="AJ2499" s="56" t="s">
        <v>138</v>
      </c>
      <c r="AK2499" s="46" t="s">
        <v>138</v>
      </c>
      <c r="AL2499" s="46" t="s">
        <v>138</v>
      </c>
      <c r="AM2499" s="46" t="s">
        <v>137</v>
      </c>
      <c r="AN2499" s="46"/>
      <c r="AO2499" s="357">
        <v>1550.0</v>
      </c>
      <c r="AP2499" s="55">
        <v>-0.25</v>
      </c>
      <c r="AQ2499" s="46" t="s">
        <v>215</v>
      </c>
      <c r="AR2499" s="56" t="s">
        <v>1042</v>
      </c>
      <c r="AS2499" s="385">
        <v>0.05</v>
      </c>
      <c r="AT2499" s="46" t="s">
        <v>135</v>
      </c>
      <c r="AU2499" s="46" t="s">
        <v>136</v>
      </c>
      <c r="AV2499" s="46" t="s">
        <v>137</v>
      </c>
      <c r="AW2499" s="59" t="s">
        <v>14855</v>
      </c>
      <c r="AX2499" s="46" t="s">
        <v>151</v>
      </c>
      <c r="AY2499" s="49" t="str">
        <f>IFERROR(__xludf.DUMMYFUNCTION("vlookup(BB2499,importrange(""https://docs.google.com/spreadsheets/d/1d2vevQ_7D_v35q4wCQ4RpQ_IPoTwEMB9Yp6ymwlPqew/edit?gid=984458430#gid=984458430"", ""'replication success'!A:K""), 11, FAlSE)"),"")</f>
        <v/>
      </c>
      <c r="AZ2499" s="49" t="str">
        <f>IFERROR(__xludf.DUMMYFUNCTION("vlookup(BB2499,importrange(""https://docs.google.com/spreadsheets/d/1d2vevQ_7D_v35q4wCQ4RpQ_IPoTwEMB9Yp6ymwlPqew/edit?gid=984458430#gid=984458430"", ""'replication success'!A:M""), 12, FAlSE)"),"")</f>
        <v/>
      </c>
      <c r="BA2499" s="49" t="str">
        <f>IFERROR(__xludf.DUMMYFUNCTION("vlookup(BB2499,importrange(""https://docs.google.com/spreadsheets/d/1d2vevQ_7D_v35q4wCQ4RpQ_IPoTwEMB9Yp6ymwlPqew/edit?gid=984458430#gid=984458430"", ""'replication success'!A:M""), 13, FAlSE)"),"abstract")</f>
        <v>abstract</v>
      </c>
      <c r="BB2499" s="49" t="str">
        <f>IFERROR(__xludf.DUMMYFUNCTION("REGEXREPLACE(G2499, ""_[a-z]{1,2}$"", """")"),"Soto")</f>
        <v>Soto</v>
      </c>
      <c r="BC2499" s="342"/>
      <c r="BD2499" s="341" t="s">
        <v>1270</v>
      </c>
      <c r="BE2499" s="342"/>
      <c r="BF2499" s="342"/>
      <c r="BG2499" s="342"/>
      <c r="BH2499" s="342"/>
      <c r="BI2499" s="342"/>
      <c r="BJ2499" s="342"/>
      <c r="BK2499" s="342"/>
      <c r="BL2499" s="342"/>
      <c r="BM2499" s="342"/>
      <c r="BN2499" s="342"/>
      <c r="BO2499" s="342"/>
      <c r="BP2499" s="342"/>
      <c r="BQ2499" s="342"/>
      <c r="BR2499" s="342"/>
      <c r="BS2499" s="342"/>
      <c r="BT2499" s="342"/>
      <c r="BU2499" s="342"/>
      <c r="BV2499" s="342"/>
      <c r="BW2499" s="342"/>
      <c r="BX2499" s="342"/>
      <c r="BY2499" s="342"/>
      <c r="BZ2499" s="342"/>
      <c r="CA2499" s="342"/>
      <c r="CB2499" s="342"/>
      <c r="CC2499" s="342"/>
      <c r="CD2499" s="342"/>
      <c r="CE2499" s="342"/>
      <c r="CF2499" s="342"/>
      <c r="CG2499" s="342"/>
      <c r="CH2499" s="342"/>
      <c r="CI2499" s="342"/>
      <c r="CJ2499" s="342"/>
      <c r="CK2499" s="342"/>
      <c r="CL2499" s="342"/>
      <c r="CM2499" s="342"/>
      <c r="CN2499" s="342"/>
      <c r="CO2499" s="342"/>
      <c r="CP2499" s="342"/>
      <c r="CQ2499" s="342"/>
      <c r="CR2499" s="342"/>
      <c r="CS2499" s="342"/>
      <c r="CT2499" s="342"/>
      <c r="CU2499" s="342"/>
      <c r="CV2499" s="342"/>
      <c r="CW2499" s="342"/>
      <c r="CX2499" s="342"/>
      <c r="CY2499" s="342"/>
      <c r="CZ2499" s="342"/>
      <c r="DA2499" s="342"/>
      <c r="DB2499" s="342"/>
      <c r="DC2499" s="342"/>
      <c r="DD2499" s="342"/>
      <c r="DE2499" s="342"/>
      <c r="DF2499" s="342"/>
      <c r="DG2499" s="342"/>
      <c r="DH2499" s="342"/>
      <c r="DI2499" s="342"/>
      <c r="DJ2499" s="342"/>
      <c r="DK2499" s="342"/>
      <c r="DL2499" s="342"/>
    </row>
    <row r="2500">
      <c r="A2500" s="354">
        <v>2500.0</v>
      </c>
      <c r="B2500" s="56" t="s">
        <v>152</v>
      </c>
      <c r="C2500" s="341" t="s">
        <v>115</v>
      </c>
      <c r="D2500" s="341" t="s">
        <v>1458</v>
      </c>
      <c r="E2500" s="342"/>
      <c r="F2500" s="46" t="s">
        <v>14807</v>
      </c>
      <c r="G2500" s="360" t="s">
        <v>14425</v>
      </c>
      <c r="H2500" s="360" t="s">
        <v>8501</v>
      </c>
      <c r="I2500" s="511">
        <v>45252.0</v>
      </c>
      <c r="J2500" s="2124">
        <v>45849.0</v>
      </c>
      <c r="K2500" s="46" t="s">
        <v>14900</v>
      </c>
      <c r="L2500" s="56" t="s">
        <v>14901</v>
      </c>
      <c r="M2500" s="360" t="s">
        <v>14810</v>
      </c>
      <c r="N2500" s="360" t="s">
        <v>14811</v>
      </c>
      <c r="O2500" s="385">
        <v>1.0</v>
      </c>
      <c r="P2500" s="360" t="s">
        <v>14812</v>
      </c>
      <c r="Q2500" s="104" t="str">
        <f t="array" ref="Q2500"> if(iserror(MATCH(V2500, 'File Links'!C:C, 0)), "N/A", HYPERLINK(INDEX('File Links'!B:B, MATCH(P2500, 'File Links'!C:C, 0))))</f>
        <v>https://drive.google.com/file/d/1DqSsvMQMMGnVP3lP6Am1mBq90t1XZMxt/view?usp=drivesdk</v>
      </c>
      <c r="R2500" s="360" t="s">
        <v>14432</v>
      </c>
      <c r="S2500" s="360" t="s">
        <v>14433</v>
      </c>
      <c r="T2500" s="46" t="s">
        <v>138</v>
      </c>
      <c r="U2500" s="385">
        <v>1.0</v>
      </c>
      <c r="V2500" s="360" t="s">
        <v>14434</v>
      </c>
      <c r="W2500" s="56" t="s">
        <v>209</v>
      </c>
      <c r="X2500" s="54" t="str">
        <f t="array" ref="X2500"> if(iserror(MATCH(V2500, 'File Links'!C:C, 0)), "N/A", HYPERLINK(INDEX('File Links'!B:B, MATCH(V2500, 'File Links'!C:C, 0))))</f>
        <v>https://drive.google.com/file/d/17mZvRs3ue7pXwqu8bmIDvgNdc95PGEcV/view?usp=drivesdk</v>
      </c>
      <c r="Y2500" s="46"/>
      <c r="Z2500" s="360" t="s">
        <v>1079</v>
      </c>
      <c r="AA2500" s="46" t="s">
        <v>12028</v>
      </c>
      <c r="AB2500" s="360" t="s">
        <v>14436</v>
      </c>
      <c r="AC2500" s="360" t="s">
        <v>14813</v>
      </c>
      <c r="AD2500" s="46" t="s">
        <v>14814</v>
      </c>
      <c r="AE2500" s="385">
        <v>5.0</v>
      </c>
      <c r="AF2500" s="357">
        <v>796.0</v>
      </c>
      <c r="AG2500" s="385">
        <v>0.14</v>
      </c>
      <c r="AH2500" s="46" t="s">
        <v>215</v>
      </c>
      <c r="AI2500" s="46" t="s">
        <v>882</v>
      </c>
      <c r="AJ2500" s="385">
        <v>0.001</v>
      </c>
      <c r="AK2500" s="46" t="s">
        <v>135</v>
      </c>
      <c r="AL2500" s="46" t="s">
        <v>186</v>
      </c>
      <c r="AM2500" s="46" t="s">
        <v>137</v>
      </c>
      <c r="AN2500" s="46" t="s">
        <v>138</v>
      </c>
      <c r="AO2500" s="357">
        <v>1504.0</v>
      </c>
      <c r="AP2500" s="385">
        <v>0.2</v>
      </c>
      <c r="AQ2500" s="46" t="s">
        <v>215</v>
      </c>
      <c r="AR2500" s="56" t="s">
        <v>1042</v>
      </c>
      <c r="AS2500" s="2131">
        <v>1.92053969799428E-14</v>
      </c>
      <c r="AT2500" s="46" t="s">
        <v>172</v>
      </c>
      <c r="AU2500" s="46" t="s">
        <v>136</v>
      </c>
      <c r="AV2500" s="46" t="s">
        <v>137</v>
      </c>
      <c r="AW2500" s="59" t="s">
        <v>14855</v>
      </c>
      <c r="AX2500" s="46" t="s">
        <v>143</v>
      </c>
      <c r="AY2500" s="49" t="str">
        <f>IFERROR(__xludf.DUMMYFUNCTION("vlookup(BB2500,importrange(""https://docs.google.com/spreadsheets/d/1d2vevQ_7D_v35q4wCQ4RpQ_IPoTwEMB9Yp6ymwlPqew/edit?gid=984458430#gid=984458430"", ""'replication success'!A:K""), 11, FAlSE)"),"")</f>
        <v/>
      </c>
      <c r="AZ2500" s="49" t="str">
        <f>IFERROR(__xludf.DUMMYFUNCTION("vlookup(BB2500,importrange(""https://docs.google.com/spreadsheets/d/1d2vevQ_7D_v35q4wCQ4RpQ_IPoTwEMB9Yp6ymwlPqew/edit?gid=984458430#gid=984458430"", ""'replication success'!A:M""), 12, FAlSE)"),"")</f>
        <v/>
      </c>
      <c r="BA2500" s="49" t="str">
        <f>IFERROR(__xludf.DUMMYFUNCTION("vlookup(BB2500,importrange(""https://docs.google.com/spreadsheets/d/1d2vevQ_7D_v35q4wCQ4RpQ_IPoTwEMB9Yp6ymwlPqew/edit?gid=984458430#gid=984458430"", ""'replication success'!A:M""), 13, FAlSE)"),"abstract")</f>
        <v>abstract</v>
      </c>
      <c r="BB2500" s="49" t="str">
        <f>IFERROR(__xludf.DUMMYFUNCTION("REGEXREPLACE(G2500, ""_[a-z]{1,2}$"", """")"),"Soto")</f>
        <v>Soto</v>
      </c>
      <c r="BC2500" s="342"/>
      <c r="BD2500" s="341" t="s">
        <v>1270</v>
      </c>
      <c r="BE2500" s="342"/>
      <c r="BF2500" s="342"/>
      <c r="BG2500" s="342"/>
      <c r="BH2500" s="342"/>
      <c r="BI2500" s="342"/>
      <c r="BJ2500" s="342"/>
      <c r="BK2500" s="342"/>
      <c r="BL2500" s="342"/>
      <c r="BM2500" s="342"/>
      <c r="BN2500" s="342"/>
      <c r="BO2500" s="342"/>
      <c r="BP2500" s="342"/>
      <c r="BQ2500" s="342"/>
      <c r="BR2500" s="342"/>
      <c r="BS2500" s="342"/>
      <c r="BT2500" s="342"/>
      <c r="BU2500" s="342"/>
      <c r="BV2500" s="342"/>
      <c r="BW2500" s="342"/>
      <c r="BX2500" s="342"/>
      <c r="BY2500" s="342"/>
      <c r="BZ2500" s="342"/>
      <c r="CA2500" s="342"/>
      <c r="CB2500" s="342"/>
      <c r="CC2500" s="342"/>
      <c r="CD2500" s="342"/>
      <c r="CE2500" s="342"/>
      <c r="CF2500" s="342"/>
      <c r="CG2500" s="342"/>
      <c r="CH2500" s="342"/>
      <c r="CI2500" s="342"/>
      <c r="CJ2500" s="342"/>
      <c r="CK2500" s="342"/>
      <c r="CL2500" s="342"/>
      <c r="CM2500" s="342"/>
      <c r="CN2500" s="342"/>
      <c r="CO2500" s="342"/>
      <c r="CP2500" s="342"/>
      <c r="CQ2500" s="342"/>
      <c r="CR2500" s="342"/>
      <c r="CS2500" s="342"/>
      <c r="CT2500" s="342"/>
      <c r="CU2500" s="342"/>
      <c r="CV2500" s="342"/>
      <c r="CW2500" s="342"/>
      <c r="CX2500" s="342"/>
      <c r="CY2500" s="342"/>
      <c r="CZ2500" s="342"/>
      <c r="DA2500" s="342"/>
      <c r="DB2500" s="342"/>
      <c r="DC2500" s="342"/>
      <c r="DD2500" s="342"/>
      <c r="DE2500" s="342"/>
      <c r="DF2500" s="342"/>
      <c r="DG2500" s="342"/>
      <c r="DH2500" s="342"/>
      <c r="DI2500" s="342"/>
      <c r="DJ2500" s="342"/>
      <c r="DK2500" s="342"/>
      <c r="DL2500" s="342"/>
    </row>
    <row r="2501">
      <c r="A2501" s="354">
        <v>2501.0</v>
      </c>
      <c r="B2501" s="56" t="s">
        <v>152</v>
      </c>
      <c r="C2501" s="341" t="s">
        <v>115</v>
      </c>
      <c r="D2501" s="341" t="s">
        <v>1458</v>
      </c>
      <c r="E2501" s="342"/>
      <c r="F2501" s="46" t="s">
        <v>14815</v>
      </c>
      <c r="G2501" s="360" t="s">
        <v>14425</v>
      </c>
      <c r="H2501" s="360" t="s">
        <v>8501</v>
      </c>
      <c r="I2501" s="511">
        <v>45252.0</v>
      </c>
      <c r="J2501" s="2124">
        <v>45849.0</v>
      </c>
      <c r="K2501" s="46" t="s">
        <v>14900</v>
      </c>
      <c r="L2501" s="56" t="s">
        <v>14901</v>
      </c>
      <c r="M2501" s="360" t="s">
        <v>14810</v>
      </c>
      <c r="N2501" s="360" t="s">
        <v>14811</v>
      </c>
      <c r="O2501" s="385">
        <v>1.0</v>
      </c>
      <c r="P2501" s="360" t="s">
        <v>14812</v>
      </c>
      <c r="Q2501" s="104" t="str">
        <f t="array" ref="Q2501"> if(iserror(MATCH(V2501, 'File Links'!C:C, 0)), "N/A", HYPERLINK(INDEX('File Links'!B:B, MATCH(P2501, 'File Links'!C:C, 0))))</f>
        <v>https://drive.google.com/file/d/1DqSsvMQMMGnVP3lP6Am1mBq90t1XZMxt/view?usp=drivesdk</v>
      </c>
      <c r="R2501" s="360" t="s">
        <v>14432</v>
      </c>
      <c r="S2501" s="360" t="s">
        <v>14433</v>
      </c>
      <c r="T2501" s="46" t="s">
        <v>138</v>
      </c>
      <c r="U2501" s="385">
        <v>1.0</v>
      </c>
      <c r="V2501" s="360" t="s">
        <v>14434</v>
      </c>
      <c r="W2501" s="56" t="s">
        <v>209</v>
      </c>
      <c r="X2501" s="54" t="str">
        <f t="array" ref="X2501"> if(iserror(MATCH(V2501, 'File Links'!C:C, 0)), "N/A", HYPERLINK(INDEX('File Links'!B:B, MATCH(V2501, 'File Links'!C:C, 0))))</f>
        <v>https://drive.google.com/file/d/17mZvRs3ue7pXwqu8bmIDvgNdc95PGEcV/view?usp=drivesdk</v>
      </c>
      <c r="Y2501" s="46"/>
      <c r="Z2501" s="360" t="s">
        <v>1079</v>
      </c>
      <c r="AA2501" s="46" t="s">
        <v>12028</v>
      </c>
      <c r="AB2501" s="360" t="s">
        <v>14436</v>
      </c>
      <c r="AC2501" s="360" t="s">
        <v>14817</v>
      </c>
      <c r="AD2501" s="46" t="s">
        <v>14814</v>
      </c>
      <c r="AE2501" s="385">
        <v>5.0</v>
      </c>
      <c r="AF2501" s="357">
        <v>796.0</v>
      </c>
      <c r="AG2501" s="385">
        <v>0.23</v>
      </c>
      <c r="AH2501" s="46" t="s">
        <v>215</v>
      </c>
      <c r="AI2501" s="46" t="s">
        <v>882</v>
      </c>
      <c r="AJ2501" s="385">
        <v>0.001</v>
      </c>
      <c r="AK2501" s="46" t="s">
        <v>135</v>
      </c>
      <c r="AL2501" s="46" t="s">
        <v>186</v>
      </c>
      <c r="AM2501" s="46" t="s">
        <v>137</v>
      </c>
      <c r="AN2501" s="46" t="s">
        <v>138</v>
      </c>
      <c r="AO2501" s="357">
        <v>1504.0</v>
      </c>
      <c r="AP2501" s="385">
        <v>0.17</v>
      </c>
      <c r="AQ2501" s="46" t="s">
        <v>215</v>
      </c>
      <c r="AR2501" s="56" t="s">
        <v>1042</v>
      </c>
      <c r="AS2501" s="2131">
        <v>2.31531690371778E-11</v>
      </c>
      <c r="AT2501" s="46" t="s">
        <v>172</v>
      </c>
      <c r="AU2501" s="46" t="s">
        <v>136</v>
      </c>
      <c r="AV2501" s="46" t="s">
        <v>137</v>
      </c>
      <c r="AW2501" s="59" t="s">
        <v>14855</v>
      </c>
      <c r="AX2501" s="46" t="s">
        <v>143</v>
      </c>
      <c r="AY2501" s="49" t="str">
        <f>IFERROR(__xludf.DUMMYFUNCTION("vlookup(BB2501,importrange(""https://docs.google.com/spreadsheets/d/1d2vevQ_7D_v35q4wCQ4RpQ_IPoTwEMB9Yp6ymwlPqew/edit?gid=984458430#gid=984458430"", ""'replication success'!A:K""), 11, FAlSE)"),"")</f>
        <v/>
      </c>
      <c r="AZ2501" s="49" t="str">
        <f>IFERROR(__xludf.DUMMYFUNCTION("vlookup(BB2501,importrange(""https://docs.google.com/spreadsheets/d/1d2vevQ_7D_v35q4wCQ4RpQ_IPoTwEMB9Yp6ymwlPqew/edit?gid=984458430#gid=984458430"", ""'replication success'!A:M""), 12, FAlSE)"),"")</f>
        <v/>
      </c>
      <c r="BA2501" s="49" t="str">
        <f>IFERROR(__xludf.DUMMYFUNCTION("vlookup(BB2501,importrange(""https://docs.google.com/spreadsheets/d/1d2vevQ_7D_v35q4wCQ4RpQ_IPoTwEMB9Yp6ymwlPqew/edit?gid=984458430#gid=984458430"", ""'replication success'!A:M""), 13, FAlSE)"),"abstract")</f>
        <v>abstract</v>
      </c>
      <c r="BB2501" s="49" t="str">
        <f>IFERROR(__xludf.DUMMYFUNCTION("REGEXREPLACE(G2501, ""_[a-z]{1,2}$"", """")"),"Soto")</f>
        <v>Soto</v>
      </c>
      <c r="BC2501" s="342"/>
      <c r="BD2501" s="341" t="s">
        <v>1270</v>
      </c>
      <c r="BE2501" s="342"/>
      <c r="BF2501" s="342"/>
      <c r="BG2501" s="342"/>
      <c r="BH2501" s="342"/>
      <c r="BI2501" s="342"/>
      <c r="BJ2501" s="342"/>
      <c r="BK2501" s="342"/>
      <c r="BL2501" s="342"/>
      <c r="BM2501" s="342"/>
      <c r="BN2501" s="342"/>
      <c r="BO2501" s="342"/>
      <c r="BP2501" s="342"/>
      <c r="BQ2501" s="342"/>
      <c r="BR2501" s="342"/>
      <c r="BS2501" s="342"/>
      <c r="BT2501" s="342"/>
      <c r="BU2501" s="342"/>
      <c r="BV2501" s="342"/>
      <c r="BW2501" s="342"/>
      <c r="BX2501" s="342"/>
      <c r="BY2501" s="342"/>
      <c r="BZ2501" s="342"/>
      <c r="CA2501" s="342"/>
      <c r="CB2501" s="342"/>
      <c r="CC2501" s="342"/>
      <c r="CD2501" s="342"/>
      <c r="CE2501" s="342"/>
      <c r="CF2501" s="342"/>
      <c r="CG2501" s="342"/>
      <c r="CH2501" s="342"/>
      <c r="CI2501" s="342"/>
      <c r="CJ2501" s="342"/>
      <c r="CK2501" s="342"/>
      <c r="CL2501" s="342"/>
      <c r="CM2501" s="342"/>
      <c r="CN2501" s="342"/>
      <c r="CO2501" s="342"/>
      <c r="CP2501" s="342"/>
      <c r="CQ2501" s="342"/>
      <c r="CR2501" s="342"/>
      <c r="CS2501" s="342"/>
      <c r="CT2501" s="342"/>
      <c r="CU2501" s="342"/>
      <c r="CV2501" s="342"/>
      <c r="CW2501" s="342"/>
      <c r="CX2501" s="342"/>
      <c r="CY2501" s="342"/>
      <c r="CZ2501" s="342"/>
      <c r="DA2501" s="342"/>
      <c r="DB2501" s="342"/>
      <c r="DC2501" s="342"/>
      <c r="DD2501" s="342"/>
      <c r="DE2501" s="342"/>
      <c r="DF2501" s="342"/>
      <c r="DG2501" s="342"/>
      <c r="DH2501" s="342"/>
      <c r="DI2501" s="342"/>
      <c r="DJ2501" s="342"/>
      <c r="DK2501" s="342"/>
      <c r="DL2501" s="342"/>
    </row>
    <row r="2502">
      <c r="A2502" s="354">
        <v>2502.0</v>
      </c>
      <c r="B2502" s="56" t="s">
        <v>152</v>
      </c>
      <c r="C2502" s="341" t="s">
        <v>115</v>
      </c>
      <c r="D2502" s="341" t="s">
        <v>1458</v>
      </c>
      <c r="E2502" s="342"/>
      <c r="F2502" s="46" t="s">
        <v>14818</v>
      </c>
      <c r="G2502" s="360" t="s">
        <v>14425</v>
      </c>
      <c r="H2502" s="360" t="s">
        <v>8501</v>
      </c>
      <c r="I2502" s="511">
        <v>45252.0</v>
      </c>
      <c r="J2502" s="2124">
        <v>45849.0</v>
      </c>
      <c r="K2502" s="46" t="s">
        <v>14902</v>
      </c>
      <c r="L2502" s="56" t="s">
        <v>14903</v>
      </c>
      <c r="M2502" s="360" t="s">
        <v>14821</v>
      </c>
      <c r="N2502" s="360" t="s">
        <v>14822</v>
      </c>
      <c r="O2502" s="385">
        <v>1.0</v>
      </c>
      <c r="P2502" s="360" t="s">
        <v>14823</v>
      </c>
      <c r="Q2502" s="104" t="str">
        <f t="array" ref="Q2502"> if(iserror(MATCH(V2502, 'File Links'!C:C, 0)), "N/A", HYPERLINK(INDEX('File Links'!B:B, MATCH(P2502, 'File Links'!C:C, 0))))</f>
        <v>https://drive.google.com/file/d/1pZrmtVQlW4Pm144U62OnQaKTslWUIqbt/view?usp=drivesdk</v>
      </c>
      <c r="R2502" s="360" t="s">
        <v>14432</v>
      </c>
      <c r="S2502" s="360" t="s">
        <v>14433</v>
      </c>
      <c r="T2502" s="46" t="s">
        <v>138</v>
      </c>
      <c r="U2502" s="385">
        <v>1.0</v>
      </c>
      <c r="V2502" s="360" t="s">
        <v>14434</v>
      </c>
      <c r="W2502" s="56" t="s">
        <v>209</v>
      </c>
      <c r="X2502" s="54" t="str">
        <f t="array" ref="X2502"> if(iserror(MATCH(V2502, 'File Links'!C:C, 0)), "N/A", HYPERLINK(INDEX('File Links'!B:B, MATCH(V2502, 'File Links'!C:C, 0))))</f>
        <v>https://drive.google.com/file/d/17mZvRs3ue7pXwqu8bmIDvgNdc95PGEcV/view?usp=drivesdk</v>
      </c>
      <c r="Y2502" s="46"/>
      <c r="Z2502" s="360" t="s">
        <v>1079</v>
      </c>
      <c r="AA2502" s="46" t="s">
        <v>12028</v>
      </c>
      <c r="AB2502" s="360" t="s">
        <v>14436</v>
      </c>
      <c r="AC2502" s="360" t="s">
        <v>14824</v>
      </c>
      <c r="AD2502" s="46" t="s">
        <v>14825</v>
      </c>
      <c r="AE2502" s="385">
        <v>8.0</v>
      </c>
      <c r="AF2502" s="357">
        <v>169.0</v>
      </c>
      <c r="AG2502" s="385">
        <v>0.22</v>
      </c>
      <c r="AH2502" s="46" t="s">
        <v>215</v>
      </c>
      <c r="AI2502" s="46" t="s">
        <v>604</v>
      </c>
      <c r="AJ2502" s="385">
        <v>0.01</v>
      </c>
      <c r="AK2502" s="46" t="s">
        <v>135</v>
      </c>
      <c r="AL2502" s="46" t="s">
        <v>136</v>
      </c>
      <c r="AM2502" s="46" t="s">
        <v>137</v>
      </c>
      <c r="AN2502" s="46" t="s">
        <v>138</v>
      </c>
      <c r="AO2502" s="357">
        <v>747.0</v>
      </c>
      <c r="AP2502" s="55">
        <v>0.47</v>
      </c>
      <c r="AQ2502" s="46" t="s">
        <v>215</v>
      </c>
      <c r="AR2502" s="56" t="s">
        <v>1042</v>
      </c>
      <c r="AS2502" s="385">
        <v>0.05</v>
      </c>
      <c r="AT2502" s="46" t="s">
        <v>135</v>
      </c>
      <c r="AU2502" s="46" t="s">
        <v>136</v>
      </c>
      <c r="AV2502" s="46" t="s">
        <v>137</v>
      </c>
      <c r="AW2502" s="59" t="s">
        <v>14855</v>
      </c>
      <c r="AX2502" s="46" t="s">
        <v>143</v>
      </c>
      <c r="AY2502" s="49" t="str">
        <f>IFERROR(__xludf.DUMMYFUNCTION("vlookup(BB2502,importrange(""https://docs.google.com/spreadsheets/d/1d2vevQ_7D_v35q4wCQ4RpQ_IPoTwEMB9Yp6ymwlPqew/edit?gid=984458430#gid=984458430"", ""'replication success'!A:K""), 11, FAlSE)"),"")</f>
        <v/>
      </c>
      <c r="AZ2502" s="49" t="str">
        <f>IFERROR(__xludf.DUMMYFUNCTION("vlookup(BB2502,importrange(""https://docs.google.com/spreadsheets/d/1d2vevQ_7D_v35q4wCQ4RpQ_IPoTwEMB9Yp6ymwlPqew/edit?gid=984458430#gid=984458430"", ""'replication success'!A:M""), 12, FAlSE)"),"")</f>
        <v/>
      </c>
      <c r="BA2502" s="49" t="str">
        <f>IFERROR(__xludf.DUMMYFUNCTION("vlookup(BB2502,importrange(""https://docs.google.com/spreadsheets/d/1d2vevQ_7D_v35q4wCQ4RpQ_IPoTwEMB9Yp6ymwlPqew/edit?gid=984458430#gid=984458430"", ""'replication success'!A:M""), 13, FAlSE)"),"abstract")</f>
        <v>abstract</v>
      </c>
      <c r="BB2502" s="49" t="str">
        <f>IFERROR(__xludf.DUMMYFUNCTION("REGEXREPLACE(G2502, ""_[a-z]{1,2}$"", """")"),"Soto")</f>
        <v>Soto</v>
      </c>
      <c r="BC2502" s="342"/>
      <c r="BD2502" s="341" t="s">
        <v>1270</v>
      </c>
      <c r="BE2502" s="342"/>
      <c r="BF2502" s="342"/>
      <c r="BG2502" s="342"/>
      <c r="BH2502" s="342"/>
      <c r="BI2502" s="342"/>
      <c r="BJ2502" s="342"/>
      <c r="BK2502" s="342"/>
      <c r="BL2502" s="342"/>
      <c r="BM2502" s="342"/>
      <c r="BN2502" s="342"/>
      <c r="BO2502" s="342"/>
      <c r="BP2502" s="342"/>
      <c r="BQ2502" s="342"/>
      <c r="BR2502" s="342"/>
      <c r="BS2502" s="342"/>
      <c r="BT2502" s="342"/>
      <c r="BU2502" s="342"/>
      <c r="BV2502" s="342"/>
      <c r="BW2502" s="342"/>
      <c r="BX2502" s="342"/>
      <c r="BY2502" s="342"/>
      <c r="BZ2502" s="342"/>
      <c r="CA2502" s="342"/>
      <c r="CB2502" s="342"/>
      <c r="CC2502" s="342"/>
      <c r="CD2502" s="342"/>
      <c r="CE2502" s="342"/>
      <c r="CF2502" s="342"/>
      <c r="CG2502" s="342"/>
      <c r="CH2502" s="342"/>
      <c r="CI2502" s="342"/>
      <c r="CJ2502" s="342"/>
      <c r="CK2502" s="342"/>
      <c r="CL2502" s="342"/>
      <c r="CM2502" s="342"/>
      <c r="CN2502" s="342"/>
      <c r="CO2502" s="342"/>
      <c r="CP2502" s="342"/>
      <c r="CQ2502" s="342"/>
      <c r="CR2502" s="342"/>
      <c r="CS2502" s="342"/>
      <c r="CT2502" s="342"/>
      <c r="CU2502" s="342"/>
      <c r="CV2502" s="342"/>
      <c r="CW2502" s="342"/>
      <c r="CX2502" s="342"/>
      <c r="CY2502" s="342"/>
      <c r="CZ2502" s="342"/>
      <c r="DA2502" s="342"/>
      <c r="DB2502" s="342"/>
      <c r="DC2502" s="342"/>
      <c r="DD2502" s="342"/>
      <c r="DE2502" s="342"/>
      <c r="DF2502" s="342"/>
      <c r="DG2502" s="342"/>
      <c r="DH2502" s="342"/>
      <c r="DI2502" s="342"/>
      <c r="DJ2502" s="342"/>
      <c r="DK2502" s="342"/>
      <c r="DL2502" s="342"/>
    </row>
    <row r="2503">
      <c r="A2503" s="354">
        <v>2503.0</v>
      </c>
      <c r="B2503" s="56" t="s">
        <v>152</v>
      </c>
      <c r="C2503" s="341" t="s">
        <v>115</v>
      </c>
      <c r="D2503" s="341" t="s">
        <v>1458</v>
      </c>
      <c r="E2503" s="342"/>
      <c r="F2503" s="46" t="s">
        <v>14826</v>
      </c>
      <c r="G2503" s="360" t="s">
        <v>14425</v>
      </c>
      <c r="H2503" s="360" t="s">
        <v>8501</v>
      </c>
      <c r="I2503" s="511">
        <v>45252.0</v>
      </c>
      <c r="J2503" s="2124">
        <v>45849.0</v>
      </c>
      <c r="K2503" s="46" t="s">
        <v>14902</v>
      </c>
      <c r="L2503" s="56" t="s">
        <v>14903</v>
      </c>
      <c r="M2503" s="360" t="s">
        <v>14821</v>
      </c>
      <c r="N2503" s="360" t="s">
        <v>14822</v>
      </c>
      <c r="O2503" s="385">
        <v>1.0</v>
      </c>
      <c r="P2503" s="360" t="s">
        <v>14823</v>
      </c>
      <c r="Q2503" s="104" t="str">
        <f t="array" ref="Q2503"> if(iserror(MATCH(V2503, 'File Links'!C:C, 0)), "N/A", HYPERLINK(INDEX('File Links'!B:B, MATCH(P2503, 'File Links'!C:C, 0))))</f>
        <v>https://drive.google.com/file/d/1pZrmtVQlW4Pm144U62OnQaKTslWUIqbt/view?usp=drivesdk</v>
      </c>
      <c r="R2503" s="360" t="s">
        <v>14432</v>
      </c>
      <c r="S2503" s="360" t="s">
        <v>14433</v>
      </c>
      <c r="T2503" s="46" t="s">
        <v>138</v>
      </c>
      <c r="U2503" s="385">
        <v>1.0</v>
      </c>
      <c r="V2503" s="360" t="s">
        <v>14434</v>
      </c>
      <c r="W2503" s="56" t="s">
        <v>209</v>
      </c>
      <c r="X2503" s="54" t="str">
        <f t="array" ref="X2503"> if(iserror(MATCH(V2503, 'File Links'!C:C, 0)), "N/A", HYPERLINK(INDEX('File Links'!B:B, MATCH(V2503, 'File Links'!C:C, 0))))</f>
        <v>https://drive.google.com/file/d/17mZvRs3ue7pXwqu8bmIDvgNdc95PGEcV/view?usp=drivesdk</v>
      </c>
      <c r="Y2503" s="46"/>
      <c r="Z2503" s="360" t="s">
        <v>1079</v>
      </c>
      <c r="AA2503" s="46" t="s">
        <v>12028</v>
      </c>
      <c r="AB2503" s="360" t="s">
        <v>14436</v>
      </c>
      <c r="AC2503" s="360" t="s">
        <v>14829</v>
      </c>
      <c r="AD2503" s="46" t="s">
        <v>14825</v>
      </c>
      <c r="AE2503" s="385">
        <v>8.0</v>
      </c>
      <c r="AF2503" s="357">
        <v>169.0</v>
      </c>
      <c r="AG2503" s="385">
        <v>0.27</v>
      </c>
      <c r="AH2503" s="46" t="s">
        <v>215</v>
      </c>
      <c r="AI2503" s="46" t="s">
        <v>604</v>
      </c>
      <c r="AJ2503" s="385">
        <v>0.01</v>
      </c>
      <c r="AK2503" s="46" t="s">
        <v>135</v>
      </c>
      <c r="AL2503" s="46" t="s">
        <v>136</v>
      </c>
      <c r="AM2503" s="46" t="s">
        <v>137</v>
      </c>
      <c r="AN2503" s="46" t="s">
        <v>138</v>
      </c>
      <c r="AO2503" s="357">
        <v>747.0</v>
      </c>
      <c r="AP2503" s="55">
        <v>0.28</v>
      </c>
      <c r="AQ2503" s="46" t="s">
        <v>215</v>
      </c>
      <c r="AR2503" s="56" t="s">
        <v>1042</v>
      </c>
      <c r="AS2503" s="385">
        <v>0.05</v>
      </c>
      <c r="AT2503" s="46" t="s">
        <v>135</v>
      </c>
      <c r="AU2503" s="46" t="s">
        <v>136</v>
      </c>
      <c r="AV2503" s="46" t="s">
        <v>137</v>
      </c>
      <c r="AW2503" s="59" t="s">
        <v>14855</v>
      </c>
      <c r="AX2503" s="46" t="s">
        <v>143</v>
      </c>
      <c r="AY2503" s="49" t="str">
        <f>IFERROR(__xludf.DUMMYFUNCTION("vlookup(BB2503,importrange(""https://docs.google.com/spreadsheets/d/1d2vevQ_7D_v35q4wCQ4RpQ_IPoTwEMB9Yp6ymwlPqew/edit?gid=984458430#gid=984458430"", ""'replication success'!A:K""), 11, FAlSE)"),"")</f>
        <v/>
      </c>
      <c r="AZ2503" s="49" t="str">
        <f>IFERROR(__xludf.DUMMYFUNCTION("vlookup(BB2503,importrange(""https://docs.google.com/spreadsheets/d/1d2vevQ_7D_v35q4wCQ4RpQ_IPoTwEMB9Yp6ymwlPqew/edit?gid=984458430#gid=984458430"", ""'replication success'!A:M""), 12, FAlSE)"),"")</f>
        <v/>
      </c>
      <c r="BA2503" s="49" t="str">
        <f>IFERROR(__xludf.DUMMYFUNCTION("vlookup(BB2503,importrange(""https://docs.google.com/spreadsheets/d/1d2vevQ_7D_v35q4wCQ4RpQ_IPoTwEMB9Yp6ymwlPqew/edit?gid=984458430#gid=984458430"", ""'replication success'!A:M""), 13, FAlSE)"),"abstract")</f>
        <v>abstract</v>
      </c>
      <c r="BB2503" s="49" t="str">
        <f>IFERROR(__xludf.DUMMYFUNCTION("REGEXREPLACE(G2503, ""_[a-z]{1,2}$"", """")"),"Soto")</f>
        <v>Soto</v>
      </c>
      <c r="BC2503" s="342"/>
      <c r="BD2503" s="341" t="s">
        <v>1270</v>
      </c>
      <c r="BE2503" s="342"/>
      <c r="BF2503" s="342"/>
      <c r="BG2503" s="342"/>
      <c r="BH2503" s="342"/>
      <c r="BI2503" s="342"/>
      <c r="BJ2503" s="342"/>
      <c r="BK2503" s="342"/>
      <c r="BL2503" s="342"/>
      <c r="BM2503" s="342"/>
      <c r="BN2503" s="342"/>
      <c r="BO2503" s="342"/>
      <c r="BP2503" s="342"/>
      <c r="BQ2503" s="342"/>
      <c r="BR2503" s="342"/>
      <c r="BS2503" s="342"/>
      <c r="BT2503" s="342"/>
      <c r="BU2503" s="342"/>
      <c r="BV2503" s="342"/>
      <c r="BW2503" s="342"/>
      <c r="BX2503" s="342"/>
      <c r="BY2503" s="342"/>
      <c r="BZ2503" s="342"/>
      <c r="CA2503" s="342"/>
      <c r="CB2503" s="342"/>
      <c r="CC2503" s="342"/>
      <c r="CD2503" s="342"/>
      <c r="CE2503" s="342"/>
      <c r="CF2503" s="342"/>
      <c r="CG2503" s="342"/>
      <c r="CH2503" s="342"/>
      <c r="CI2503" s="342"/>
      <c r="CJ2503" s="342"/>
      <c r="CK2503" s="342"/>
      <c r="CL2503" s="342"/>
      <c r="CM2503" s="342"/>
      <c r="CN2503" s="342"/>
      <c r="CO2503" s="342"/>
      <c r="CP2503" s="342"/>
      <c r="CQ2503" s="342"/>
      <c r="CR2503" s="342"/>
      <c r="CS2503" s="342"/>
      <c r="CT2503" s="342"/>
      <c r="CU2503" s="342"/>
      <c r="CV2503" s="342"/>
      <c r="CW2503" s="342"/>
      <c r="CX2503" s="342"/>
      <c r="CY2503" s="342"/>
      <c r="CZ2503" s="342"/>
      <c r="DA2503" s="342"/>
      <c r="DB2503" s="342"/>
      <c r="DC2503" s="342"/>
      <c r="DD2503" s="342"/>
      <c r="DE2503" s="342"/>
      <c r="DF2503" s="342"/>
      <c r="DG2503" s="342"/>
      <c r="DH2503" s="342"/>
      <c r="DI2503" s="342"/>
      <c r="DJ2503" s="342"/>
      <c r="DK2503" s="342"/>
      <c r="DL2503" s="342"/>
    </row>
    <row r="2504">
      <c r="A2504" s="354">
        <v>2504.0</v>
      </c>
      <c r="B2504" s="56" t="s">
        <v>152</v>
      </c>
      <c r="C2504" s="341" t="s">
        <v>115</v>
      </c>
      <c r="D2504" s="341" t="s">
        <v>1458</v>
      </c>
      <c r="E2504" s="342"/>
      <c r="F2504" s="46" t="s">
        <v>14830</v>
      </c>
      <c r="G2504" s="360" t="s">
        <v>14425</v>
      </c>
      <c r="H2504" s="360" t="s">
        <v>8501</v>
      </c>
      <c r="I2504" s="511">
        <v>45252.0</v>
      </c>
      <c r="J2504" s="2124">
        <v>45849.0</v>
      </c>
      <c r="K2504" s="46" t="s">
        <v>14904</v>
      </c>
      <c r="L2504" s="56" t="s">
        <v>14905</v>
      </c>
      <c r="M2504" s="360" t="s">
        <v>14833</v>
      </c>
      <c r="N2504" s="360" t="s">
        <v>14834</v>
      </c>
      <c r="O2504" s="385">
        <v>1.0</v>
      </c>
      <c r="P2504" s="360" t="s">
        <v>14835</v>
      </c>
      <c r="Q2504" s="104" t="str">
        <f t="array" ref="Q2504"> if(iserror(MATCH(V2504, 'File Links'!C:C, 0)), "N/A", HYPERLINK(INDEX('File Links'!B:B, MATCH(P2504, 'File Links'!C:C, 0))))</f>
        <v>https://drive.google.com/file/d/1-T4sznIFSDMlo5E8C7pS0UQqY9mrcCsK/view?usp=drivesdk</v>
      </c>
      <c r="R2504" s="360" t="s">
        <v>14432</v>
      </c>
      <c r="S2504" s="360" t="s">
        <v>14433</v>
      </c>
      <c r="T2504" s="46" t="s">
        <v>138</v>
      </c>
      <c r="U2504" s="385">
        <v>1.0</v>
      </c>
      <c r="V2504" s="360" t="s">
        <v>14434</v>
      </c>
      <c r="W2504" s="56" t="s">
        <v>209</v>
      </c>
      <c r="X2504" s="54" t="str">
        <f t="array" ref="X2504"> if(iserror(MATCH(V2504, 'File Links'!C:C, 0)), "N/A", HYPERLINK(INDEX('File Links'!B:B, MATCH(V2504, 'File Links'!C:C, 0))))</f>
        <v>https://drive.google.com/file/d/17mZvRs3ue7pXwqu8bmIDvgNdc95PGEcV/view?usp=drivesdk</v>
      </c>
      <c r="Y2504" s="46"/>
      <c r="Z2504" s="360" t="s">
        <v>1079</v>
      </c>
      <c r="AA2504" s="46" t="s">
        <v>12028</v>
      </c>
      <c r="AB2504" s="360" t="s">
        <v>14436</v>
      </c>
      <c r="AC2504" s="360" t="s">
        <v>14836</v>
      </c>
      <c r="AD2504" s="46" t="s">
        <v>14837</v>
      </c>
      <c r="AE2504" s="385">
        <v>7.0</v>
      </c>
      <c r="AF2504" s="357">
        <v>187.0</v>
      </c>
      <c r="AG2504" s="385">
        <v>0.28</v>
      </c>
      <c r="AH2504" s="46" t="s">
        <v>215</v>
      </c>
      <c r="AI2504" s="46" t="s">
        <v>4979</v>
      </c>
      <c r="AJ2504" s="385">
        <v>0.001</v>
      </c>
      <c r="AK2504" s="46" t="s">
        <v>135</v>
      </c>
      <c r="AL2504" s="46" t="s">
        <v>186</v>
      </c>
      <c r="AM2504" s="46" t="s">
        <v>137</v>
      </c>
      <c r="AN2504" s="46" t="s">
        <v>138</v>
      </c>
      <c r="AO2504" s="357">
        <v>1550.0</v>
      </c>
      <c r="AP2504" s="55">
        <v>-0.29</v>
      </c>
      <c r="AQ2504" s="46" t="s">
        <v>215</v>
      </c>
      <c r="AR2504" s="56" t="s">
        <v>1042</v>
      </c>
      <c r="AS2504" s="385">
        <v>0.05</v>
      </c>
      <c r="AT2504" s="46" t="s">
        <v>135</v>
      </c>
      <c r="AU2504" s="46" t="s">
        <v>136</v>
      </c>
      <c r="AV2504" s="46" t="s">
        <v>137</v>
      </c>
      <c r="AW2504" s="59" t="s">
        <v>14855</v>
      </c>
      <c r="AX2504" s="46" t="s">
        <v>151</v>
      </c>
      <c r="AY2504" s="49" t="str">
        <f>IFERROR(__xludf.DUMMYFUNCTION("vlookup(BB2504,importrange(""https://docs.google.com/spreadsheets/d/1d2vevQ_7D_v35q4wCQ4RpQ_IPoTwEMB9Yp6ymwlPqew/edit?gid=984458430#gid=984458430"", ""'replication success'!A:K""), 11, FAlSE)"),"")</f>
        <v/>
      </c>
      <c r="AZ2504" s="49" t="str">
        <f>IFERROR(__xludf.DUMMYFUNCTION("vlookup(BB2504,importrange(""https://docs.google.com/spreadsheets/d/1d2vevQ_7D_v35q4wCQ4RpQ_IPoTwEMB9Yp6ymwlPqew/edit?gid=984458430#gid=984458430"", ""'replication success'!A:M""), 12, FAlSE)"),"")</f>
        <v/>
      </c>
      <c r="BA2504" s="49" t="str">
        <f>IFERROR(__xludf.DUMMYFUNCTION("vlookup(BB2504,importrange(""https://docs.google.com/spreadsheets/d/1d2vevQ_7D_v35q4wCQ4RpQ_IPoTwEMB9Yp6ymwlPqew/edit?gid=984458430#gid=984458430"", ""'replication success'!A:M""), 13, FAlSE)"),"abstract")</f>
        <v>abstract</v>
      </c>
      <c r="BB2504" s="49" t="str">
        <f>IFERROR(__xludf.DUMMYFUNCTION("REGEXREPLACE(G2504, ""_[a-z]{1,2}$"", """")"),"Soto")</f>
        <v>Soto</v>
      </c>
      <c r="BC2504" s="342"/>
      <c r="BD2504" s="341" t="s">
        <v>1270</v>
      </c>
      <c r="BE2504" s="342"/>
      <c r="BF2504" s="342"/>
      <c r="BG2504" s="342"/>
      <c r="BH2504" s="342"/>
      <c r="BI2504" s="342"/>
      <c r="BJ2504" s="342"/>
      <c r="BK2504" s="342"/>
      <c r="BL2504" s="342"/>
      <c r="BM2504" s="342"/>
      <c r="BN2504" s="342"/>
      <c r="BO2504" s="342"/>
      <c r="BP2504" s="342"/>
      <c r="BQ2504" s="342"/>
      <c r="BR2504" s="342"/>
      <c r="BS2504" s="342"/>
      <c r="BT2504" s="342"/>
      <c r="BU2504" s="342"/>
      <c r="BV2504" s="342"/>
      <c r="BW2504" s="342"/>
      <c r="BX2504" s="342"/>
      <c r="BY2504" s="342"/>
      <c r="BZ2504" s="342"/>
      <c r="CA2504" s="342"/>
      <c r="CB2504" s="342"/>
      <c r="CC2504" s="342"/>
      <c r="CD2504" s="342"/>
      <c r="CE2504" s="342"/>
      <c r="CF2504" s="342"/>
      <c r="CG2504" s="342"/>
      <c r="CH2504" s="342"/>
      <c r="CI2504" s="342"/>
      <c r="CJ2504" s="342"/>
      <c r="CK2504" s="342"/>
      <c r="CL2504" s="342"/>
      <c r="CM2504" s="342"/>
      <c r="CN2504" s="342"/>
      <c r="CO2504" s="342"/>
      <c r="CP2504" s="342"/>
      <c r="CQ2504" s="342"/>
      <c r="CR2504" s="342"/>
      <c r="CS2504" s="342"/>
      <c r="CT2504" s="342"/>
      <c r="CU2504" s="342"/>
      <c r="CV2504" s="342"/>
      <c r="CW2504" s="342"/>
      <c r="CX2504" s="342"/>
      <c r="CY2504" s="342"/>
      <c r="CZ2504" s="342"/>
      <c r="DA2504" s="342"/>
      <c r="DB2504" s="342"/>
      <c r="DC2504" s="342"/>
      <c r="DD2504" s="342"/>
      <c r="DE2504" s="342"/>
      <c r="DF2504" s="342"/>
      <c r="DG2504" s="342"/>
      <c r="DH2504" s="342"/>
      <c r="DI2504" s="342"/>
      <c r="DJ2504" s="342"/>
      <c r="DK2504" s="342"/>
      <c r="DL2504" s="342"/>
    </row>
    <row r="2505">
      <c r="A2505" s="354">
        <v>2505.0</v>
      </c>
      <c r="B2505" s="56" t="s">
        <v>152</v>
      </c>
      <c r="C2505" s="341" t="s">
        <v>115</v>
      </c>
      <c r="D2505" s="341" t="s">
        <v>1458</v>
      </c>
      <c r="E2505" s="342"/>
      <c r="F2505" s="46" t="s">
        <v>14838</v>
      </c>
      <c r="G2505" s="360" t="s">
        <v>14425</v>
      </c>
      <c r="H2505" s="360" t="s">
        <v>8501</v>
      </c>
      <c r="I2505" s="511">
        <v>45252.0</v>
      </c>
      <c r="J2505" s="2124">
        <v>45849.0</v>
      </c>
      <c r="K2505" s="46" t="s">
        <v>14906</v>
      </c>
      <c r="L2505" s="56" t="s">
        <v>14905</v>
      </c>
      <c r="M2505" s="360" t="s">
        <v>14833</v>
      </c>
      <c r="N2505" s="360" t="s">
        <v>14834</v>
      </c>
      <c r="O2505" s="385">
        <v>1.0</v>
      </c>
      <c r="P2505" s="360" t="s">
        <v>14835</v>
      </c>
      <c r="Q2505" s="104" t="str">
        <f t="array" ref="Q2505"> if(iserror(MATCH(V2505, 'File Links'!C:C, 0)), "N/A", HYPERLINK(INDEX('File Links'!B:B, MATCH(P2505, 'File Links'!C:C, 0))))</f>
        <v>https://drive.google.com/file/d/1-T4sznIFSDMlo5E8C7pS0UQqY9mrcCsK/view?usp=drivesdk</v>
      </c>
      <c r="R2505" s="360" t="s">
        <v>14432</v>
      </c>
      <c r="S2505" s="360" t="s">
        <v>14433</v>
      </c>
      <c r="T2505" s="46" t="s">
        <v>138</v>
      </c>
      <c r="U2505" s="385">
        <v>1.0</v>
      </c>
      <c r="V2505" s="360" t="s">
        <v>14434</v>
      </c>
      <c r="W2505" s="56" t="s">
        <v>209</v>
      </c>
      <c r="X2505" s="54" t="str">
        <f t="array" ref="X2505"> if(iserror(MATCH(V2505, 'File Links'!C:C, 0)), "N/A", HYPERLINK(INDEX('File Links'!B:B, MATCH(V2505, 'File Links'!C:C, 0))))</f>
        <v>https://drive.google.com/file/d/17mZvRs3ue7pXwqu8bmIDvgNdc95PGEcV/view?usp=drivesdk</v>
      </c>
      <c r="Y2505" s="46"/>
      <c r="Z2505" s="360" t="s">
        <v>1079</v>
      </c>
      <c r="AA2505" s="46" t="s">
        <v>12028</v>
      </c>
      <c r="AB2505" s="360" t="s">
        <v>14436</v>
      </c>
      <c r="AC2505" s="360" t="s">
        <v>14840</v>
      </c>
      <c r="AD2505" s="46" t="s">
        <v>14837</v>
      </c>
      <c r="AE2505" s="385">
        <v>7.0</v>
      </c>
      <c r="AF2505" s="357">
        <v>187.0</v>
      </c>
      <c r="AG2505" s="385">
        <v>-0.28</v>
      </c>
      <c r="AH2505" s="46" t="s">
        <v>215</v>
      </c>
      <c r="AI2505" s="46" t="s">
        <v>4979</v>
      </c>
      <c r="AJ2505" s="385">
        <v>0.001</v>
      </c>
      <c r="AK2505" s="46" t="s">
        <v>135</v>
      </c>
      <c r="AL2505" s="46" t="s">
        <v>186</v>
      </c>
      <c r="AM2505" s="46" t="s">
        <v>137</v>
      </c>
      <c r="AN2505" s="46" t="s">
        <v>138</v>
      </c>
      <c r="AO2505" s="357">
        <v>1550.0</v>
      </c>
      <c r="AP2505" s="55">
        <v>0.07</v>
      </c>
      <c r="AQ2505" s="46" t="s">
        <v>215</v>
      </c>
      <c r="AR2505" s="56" t="s">
        <v>1042</v>
      </c>
      <c r="AS2505" s="385">
        <v>0.05</v>
      </c>
      <c r="AT2505" s="46" t="s">
        <v>135</v>
      </c>
      <c r="AU2505" s="46" t="s">
        <v>136</v>
      </c>
      <c r="AV2505" s="46" t="s">
        <v>137</v>
      </c>
      <c r="AW2505" s="59" t="s">
        <v>14855</v>
      </c>
      <c r="AX2505" s="46" t="s">
        <v>151</v>
      </c>
      <c r="AY2505" s="49" t="str">
        <f>IFERROR(__xludf.DUMMYFUNCTION("vlookup(BB2505,importrange(""https://docs.google.com/spreadsheets/d/1d2vevQ_7D_v35q4wCQ4RpQ_IPoTwEMB9Yp6ymwlPqew/edit?gid=984458430#gid=984458430"", ""'replication success'!A:K""), 11, FAlSE)"),"")</f>
        <v/>
      </c>
      <c r="AZ2505" s="49" t="str">
        <f>IFERROR(__xludf.DUMMYFUNCTION("vlookup(BB2505,importrange(""https://docs.google.com/spreadsheets/d/1d2vevQ_7D_v35q4wCQ4RpQ_IPoTwEMB9Yp6ymwlPqew/edit?gid=984458430#gid=984458430"", ""'replication success'!A:M""), 12, FAlSE)"),"")</f>
        <v/>
      </c>
      <c r="BA2505" s="49" t="str">
        <f>IFERROR(__xludf.DUMMYFUNCTION("vlookup(BB2505,importrange(""https://docs.google.com/spreadsheets/d/1d2vevQ_7D_v35q4wCQ4RpQ_IPoTwEMB9Yp6ymwlPqew/edit?gid=984458430#gid=984458430"", ""'replication success'!A:M""), 13, FAlSE)"),"abstract")</f>
        <v>abstract</v>
      </c>
      <c r="BB2505" s="49" t="str">
        <f>IFERROR(__xludf.DUMMYFUNCTION("REGEXREPLACE(G2505, ""_[a-z]{1,2}$"", """")"),"Soto")</f>
        <v>Soto</v>
      </c>
      <c r="BC2505" s="342"/>
      <c r="BD2505" s="341" t="s">
        <v>1270</v>
      </c>
      <c r="BE2505" s="342"/>
      <c r="BF2505" s="342"/>
      <c r="BG2505" s="342"/>
      <c r="BH2505" s="342"/>
      <c r="BI2505" s="342"/>
      <c r="BJ2505" s="342"/>
      <c r="BK2505" s="342"/>
      <c r="BL2505" s="342"/>
      <c r="BM2505" s="342"/>
      <c r="BN2505" s="342"/>
      <c r="BO2505" s="342"/>
      <c r="BP2505" s="342"/>
      <c r="BQ2505" s="342"/>
      <c r="BR2505" s="342"/>
      <c r="BS2505" s="342"/>
      <c r="BT2505" s="342"/>
      <c r="BU2505" s="342"/>
      <c r="BV2505" s="342"/>
      <c r="BW2505" s="342"/>
      <c r="BX2505" s="342"/>
      <c r="BY2505" s="342"/>
      <c r="BZ2505" s="342"/>
      <c r="CA2505" s="342"/>
      <c r="CB2505" s="342"/>
      <c r="CC2505" s="342"/>
      <c r="CD2505" s="342"/>
      <c r="CE2505" s="342"/>
      <c r="CF2505" s="342"/>
      <c r="CG2505" s="342"/>
      <c r="CH2505" s="342"/>
      <c r="CI2505" s="342"/>
      <c r="CJ2505" s="342"/>
      <c r="CK2505" s="342"/>
      <c r="CL2505" s="342"/>
      <c r="CM2505" s="342"/>
      <c r="CN2505" s="342"/>
      <c r="CO2505" s="342"/>
      <c r="CP2505" s="342"/>
      <c r="CQ2505" s="342"/>
      <c r="CR2505" s="342"/>
      <c r="CS2505" s="342"/>
      <c r="CT2505" s="342"/>
      <c r="CU2505" s="342"/>
      <c r="CV2505" s="342"/>
      <c r="CW2505" s="342"/>
      <c r="CX2505" s="342"/>
      <c r="CY2505" s="342"/>
      <c r="CZ2505" s="342"/>
      <c r="DA2505" s="342"/>
      <c r="DB2505" s="342"/>
      <c r="DC2505" s="342"/>
      <c r="DD2505" s="342"/>
      <c r="DE2505" s="342"/>
      <c r="DF2505" s="342"/>
      <c r="DG2505" s="342"/>
      <c r="DH2505" s="342"/>
      <c r="DI2505" s="342"/>
      <c r="DJ2505" s="342"/>
      <c r="DK2505" s="342"/>
      <c r="DL2505" s="342"/>
    </row>
    <row r="2506">
      <c r="A2506" s="354">
        <v>2506.0</v>
      </c>
      <c r="B2506" s="56" t="s">
        <v>152</v>
      </c>
      <c r="C2506" s="341" t="s">
        <v>115</v>
      </c>
      <c r="D2506" s="341" t="s">
        <v>1458</v>
      </c>
      <c r="E2506" s="342"/>
      <c r="F2506" s="46" t="s">
        <v>14841</v>
      </c>
      <c r="G2506" s="360" t="s">
        <v>14425</v>
      </c>
      <c r="H2506" s="360" t="s">
        <v>8501</v>
      </c>
      <c r="I2506" s="511">
        <v>45252.0</v>
      </c>
      <c r="J2506" s="2140">
        <v>45766.0</v>
      </c>
      <c r="K2506" s="46" t="s">
        <v>14907</v>
      </c>
      <c r="L2506" s="56" t="s">
        <v>14908</v>
      </c>
      <c r="M2506" s="360" t="s">
        <v>14844</v>
      </c>
      <c r="N2506" s="46" t="s">
        <v>14845</v>
      </c>
      <c r="O2506" s="385">
        <v>3.0</v>
      </c>
      <c r="P2506" s="360" t="s">
        <v>14846</v>
      </c>
      <c r="Q2506" s="104" t="str">
        <f t="array" ref="Q2506"> if(iserror(MATCH(V2506, 'File Links'!C:C, 0)), "N/A", HYPERLINK(INDEX('File Links'!B:B, MATCH(P2506, 'File Links'!C:C, 0))))</f>
        <v>https://drive.google.com/file/d/1dhF34wzocQXuQuO5C6a-2Ah86pPkgSjw/view?usp=drivesdk</v>
      </c>
      <c r="R2506" s="360" t="s">
        <v>14432</v>
      </c>
      <c r="S2506" s="360" t="s">
        <v>14433</v>
      </c>
      <c r="T2506" s="46" t="s">
        <v>138</v>
      </c>
      <c r="U2506" s="385">
        <v>1.0</v>
      </c>
      <c r="V2506" s="360" t="s">
        <v>14434</v>
      </c>
      <c r="W2506" s="56" t="s">
        <v>209</v>
      </c>
      <c r="X2506" s="54" t="str">
        <f t="array" ref="X2506"> if(iserror(MATCH(V2506, 'File Links'!C:C, 0)), "N/A", HYPERLINK(INDEX('File Links'!B:B, MATCH(V2506, 'File Links'!C:C, 0))))</f>
        <v>https://drive.google.com/file/d/17mZvRs3ue7pXwqu8bmIDvgNdc95PGEcV/view?usp=drivesdk</v>
      </c>
      <c r="Y2506" s="46"/>
      <c r="Z2506" s="360" t="s">
        <v>1079</v>
      </c>
      <c r="AA2506" s="46" t="s">
        <v>12028</v>
      </c>
      <c r="AB2506" s="360" t="s">
        <v>14436</v>
      </c>
      <c r="AC2506" s="360" t="s">
        <v>14847</v>
      </c>
      <c r="AD2506" s="56" t="s">
        <v>14848</v>
      </c>
      <c r="AE2506" s="55" t="s">
        <v>13163</v>
      </c>
      <c r="AF2506" s="357">
        <v>197.0</v>
      </c>
      <c r="AG2506" s="385">
        <v>-0.25</v>
      </c>
      <c r="AH2506" s="46" t="s">
        <v>215</v>
      </c>
      <c r="AI2506" s="46" t="s">
        <v>2022</v>
      </c>
      <c r="AJ2506" s="385">
        <v>0.01</v>
      </c>
      <c r="AK2506" s="46" t="s">
        <v>135</v>
      </c>
      <c r="AL2506" s="46" t="s">
        <v>186</v>
      </c>
      <c r="AM2506" s="46" t="s">
        <v>137</v>
      </c>
      <c r="AN2506" s="46" t="s">
        <v>138</v>
      </c>
      <c r="AO2506" s="357">
        <v>1550.0</v>
      </c>
      <c r="AP2506" s="385">
        <v>-0.23</v>
      </c>
      <c r="AQ2506" s="46" t="s">
        <v>215</v>
      </c>
      <c r="AR2506" s="56" t="s">
        <v>1042</v>
      </c>
      <c r="AS2506" s="2131">
        <v>1.17751552493748E-19</v>
      </c>
      <c r="AT2506" s="46" t="s">
        <v>172</v>
      </c>
      <c r="AU2506" s="46" t="s">
        <v>136</v>
      </c>
      <c r="AV2506" s="46" t="s">
        <v>137</v>
      </c>
      <c r="AW2506" s="59" t="s">
        <v>14855</v>
      </c>
      <c r="AX2506" s="360" t="s">
        <v>143</v>
      </c>
      <c r="AY2506" s="49" t="str">
        <f>IFERROR(__xludf.DUMMYFUNCTION("vlookup(BB2506,importrange(""https://docs.google.com/spreadsheets/d/1d2vevQ_7D_v35q4wCQ4RpQ_IPoTwEMB9Yp6ymwlPqew/edit?gid=984458430#gid=984458430"", ""'replication success'!A:K""), 11, FAlSE)"),"")</f>
        <v/>
      </c>
      <c r="AZ2506" s="49" t="str">
        <f>IFERROR(__xludf.DUMMYFUNCTION("vlookup(BB2506,importrange(""https://docs.google.com/spreadsheets/d/1d2vevQ_7D_v35q4wCQ4RpQ_IPoTwEMB9Yp6ymwlPqew/edit?gid=984458430#gid=984458430"", ""'replication success'!A:M""), 12, FAlSE)"),"")</f>
        <v/>
      </c>
      <c r="BA2506" s="49" t="str">
        <f>IFERROR(__xludf.DUMMYFUNCTION("vlookup(BB2506,importrange(""https://docs.google.com/spreadsheets/d/1d2vevQ_7D_v35q4wCQ4RpQ_IPoTwEMB9Yp6ymwlPqew/edit?gid=984458430#gid=984458430"", ""'replication success'!A:M""), 13, FAlSE)"),"abstract")</f>
        <v>abstract</v>
      </c>
      <c r="BB2506" s="49" t="str">
        <f>IFERROR(__xludf.DUMMYFUNCTION("REGEXREPLACE(G2506, ""_[a-z]{1,2}$"", """")"),"Soto")</f>
        <v>Soto</v>
      </c>
      <c r="BC2506" s="342"/>
      <c r="BD2506" s="341" t="s">
        <v>1270</v>
      </c>
      <c r="BE2506" s="342"/>
      <c r="BF2506" s="342"/>
      <c r="BG2506" s="342"/>
      <c r="BH2506" s="342"/>
      <c r="BI2506" s="342"/>
      <c r="BJ2506" s="342"/>
      <c r="BK2506" s="342"/>
      <c r="BL2506" s="342"/>
      <c r="BM2506" s="342"/>
      <c r="BN2506" s="342"/>
      <c r="BO2506" s="342"/>
      <c r="BP2506" s="342"/>
      <c r="BQ2506" s="342"/>
      <c r="BR2506" s="342"/>
      <c r="BS2506" s="342"/>
      <c r="BT2506" s="342"/>
      <c r="BU2506" s="342"/>
      <c r="BV2506" s="342"/>
      <c r="BW2506" s="342"/>
      <c r="BX2506" s="342"/>
      <c r="BY2506" s="342"/>
      <c r="BZ2506" s="342"/>
      <c r="CA2506" s="342"/>
      <c r="CB2506" s="342"/>
      <c r="CC2506" s="342"/>
      <c r="CD2506" s="342"/>
      <c r="CE2506" s="342"/>
      <c r="CF2506" s="342"/>
      <c r="CG2506" s="342"/>
      <c r="CH2506" s="342"/>
      <c r="CI2506" s="342"/>
      <c r="CJ2506" s="342"/>
      <c r="CK2506" s="342"/>
      <c r="CL2506" s="342"/>
      <c r="CM2506" s="342"/>
      <c r="CN2506" s="342"/>
      <c r="CO2506" s="342"/>
      <c r="CP2506" s="342"/>
      <c r="CQ2506" s="342"/>
      <c r="CR2506" s="342"/>
      <c r="CS2506" s="342"/>
      <c r="CT2506" s="342"/>
      <c r="CU2506" s="342"/>
      <c r="CV2506" s="342"/>
      <c r="CW2506" s="342"/>
      <c r="CX2506" s="342"/>
      <c r="CY2506" s="342"/>
      <c r="CZ2506" s="342"/>
      <c r="DA2506" s="342"/>
      <c r="DB2506" s="342"/>
      <c r="DC2506" s="342"/>
      <c r="DD2506" s="342"/>
      <c r="DE2506" s="342"/>
      <c r="DF2506" s="342"/>
      <c r="DG2506" s="342"/>
      <c r="DH2506" s="342"/>
      <c r="DI2506" s="342"/>
      <c r="DJ2506" s="342"/>
      <c r="DK2506" s="342"/>
      <c r="DL2506" s="342"/>
    </row>
    <row r="2507">
      <c r="A2507" s="354">
        <v>2507.0</v>
      </c>
      <c r="B2507" s="56" t="s">
        <v>152</v>
      </c>
      <c r="C2507" s="341" t="s">
        <v>115</v>
      </c>
      <c r="D2507" s="341" t="s">
        <v>1458</v>
      </c>
      <c r="E2507" s="2141"/>
      <c r="F2507" s="46" t="s">
        <v>14849</v>
      </c>
      <c r="G2507" s="360" t="s">
        <v>14425</v>
      </c>
      <c r="H2507" s="360" t="s">
        <v>8501</v>
      </c>
      <c r="I2507" s="511">
        <v>45252.0</v>
      </c>
      <c r="J2507" s="2140">
        <v>45766.0</v>
      </c>
      <c r="K2507" s="46" t="s">
        <v>14907</v>
      </c>
      <c r="L2507" s="56" t="s">
        <v>14908</v>
      </c>
      <c r="M2507" s="360" t="s">
        <v>14844</v>
      </c>
      <c r="N2507" s="46" t="s">
        <v>14845</v>
      </c>
      <c r="O2507" s="385">
        <v>3.0</v>
      </c>
      <c r="P2507" s="360" t="s">
        <v>14846</v>
      </c>
      <c r="Q2507" s="104" t="str">
        <f t="array" ref="Q2507"> if(iserror(MATCH(V2507, 'File Links'!C:C, 0)), "N/A", HYPERLINK(INDEX('File Links'!B:B, MATCH(P2507, 'File Links'!C:C, 0))))</f>
        <v>https://drive.google.com/file/d/1dhF34wzocQXuQuO5C6a-2Ah86pPkgSjw/view?usp=drivesdk</v>
      </c>
      <c r="R2507" s="360" t="s">
        <v>14432</v>
      </c>
      <c r="S2507" s="360" t="s">
        <v>14433</v>
      </c>
      <c r="T2507" s="46" t="s">
        <v>138</v>
      </c>
      <c r="U2507" s="385">
        <v>1.0</v>
      </c>
      <c r="V2507" s="360" t="s">
        <v>14434</v>
      </c>
      <c r="W2507" s="56" t="s">
        <v>209</v>
      </c>
      <c r="X2507" s="54" t="str">
        <f t="array" ref="X2507"> if(iserror(MATCH(V2507, 'File Links'!C:C, 0)), "N/A", HYPERLINK(INDEX('File Links'!B:B, MATCH(V2507, 'File Links'!C:C, 0))))</f>
        <v>https://drive.google.com/file/d/17mZvRs3ue7pXwqu8bmIDvgNdc95PGEcV/view?usp=drivesdk</v>
      </c>
      <c r="Y2507" s="46"/>
      <c r="Z2507" s="360" t="s">
        <v>1079</v>
      </c>
      <c r="AA2507" s="46" t="s">
        <v>12028</v>
      </c>
      <c r="AB2507" s="360" t="s">
        <v>14436</v>
      </c>
      <c r="AC2507" s="360" t="s">
        <v>14850</v>
      </c>
      <c r="AD2507" s="56" t="s">
        <v>14851</v>
      </c>
      <c r="AE2507" s="55" t="s">
        <v>13163</v>
      </c>
      <c r="AF2507" s="357">
        <v>197.0</v>
      </c>
      <c r="AG2507" s="385">
        <v>-0.3</v>
      </c>
      <c r="AH2507" s="46" t="s">
        <v>215</v>
      </c>
      <c r="AI2507" s="46" t="s">
        <v>2022</v>
      </c>
      <c r="AJ2507" s="385">
        <v>0.01</v>
      </c>
      <c r="AK2507" s="46" t="s">
        <v>135</v>
      </c>
      <c r="AL2507" s="46" t="s">
        <v>186</v>
      </c>
      <c r="AM2507" s="46" t="s">
        <v>137</v>
      </c>
      <c r="AN2507" s="46" t="s">
        <v>138</v>
      </c>
      <c r="AO2507" s="357">
        <v>1550.0</v>
      </c>
      <c r="AP2507" s="55">
        <v>-0.19</v>
      </c>
      <c r="AQ2507" s="46" t="s">
        <v>215</v>
      </c>
      <c r="AR2507" s="56" t="s">
        <v>1042</v>
      </c>
      <c r="AS2507" s="385">
        <v>0.05</v>
      </c>
      <c r="AT2507" s="46" t="s">
        <v>135</v>
      </c>
      <c r="AU2507" s="46" t="s">
        <v>136</v>
      </c>
      <c r="AV2507" s="46" t="s">
        <v>137</v>
      </c>
      <c r="AW2507" s="59" t="s">
        <v>14855</v>
      </c>
      <c r="AX2507" s="360" t="s">
        <v>143</v>
      </c>
      <c r="AY2507" s="49" t="str">
        <f>IFERROR(__xludf.DUMMYFUNCTION("vlookup(BB2507,importrange(""https://docs.google.com/spreadsheets/d/1d2vevQ_7D_v35q4wCQ4RpQ_IPoTwEMB9Yp6ymwlPqew/edit?gid=984458430#gid=984458430"", ""'replication success'!A:K""), 11, FAlSE)"),"")</f>
        <v/>
      </c>
      <c r="AZ2507" s="49" t="str">
        <f>IFERROR(__xludf.DUMMYFUNCTION("vlookup(BB2507,importrange(""https://docs.google.com/spreadsheets/d/1d2vevQ_7D_v35q4wCQ4RpQ_IPoTwEMB9Yp6ymwlPqew/edit?gid=984458430#gid=984458430"", ""'replication success'!A:M""), 12, FAlSE)"),"")</f>
        <v/>
      </c>
      <c r="BA2507" s="49" t="str">
        <f>IFERROR(__xludf.DUMMYFUNCTION("vlookup(BB2507,importrange(""https://docs.google.com/spreadsheets/d/1d2vevQ_7D_v35q4wCQ4RpQ_IPoTwEMB9Yp6ymwlPqew/edit?gid=984458430#gid=984458430"", ""'replication success'!A:M""), 13, FAlSE)"),"abstract")</f>
        <v>abstract</v>
      </c>
      <c r="BB2507" s="49" t="str">
        <f>IFERROR(__xludf.DUMMYFUNCTION("REGEXREPLACE(G2507, ""_[a-z]{1,2}$"", """")"),"Soto")</f>
        <v>Soto</v>
      </c>
      <c r="BC2507" s="342"/>
      <c r="BD2507" s="341" t="s">
        <v>1270</v>
      </c>
      <c r="BE2507" s="342"/>
      <c r="BF2507" s="342"/>
      <c r="BG2507" s="342"/>
      <c r="BH2507" s="342"/>
      <c r="BI2507" s="342"/>
      <c r="BJ2507" s="342"/>
      <c r="BK2507" s="342"/>
      <c r="BL2507" s="342"/>
      <c r="BM2507" s="342"/>
      <c r="BN2507" s="342"/>
      <c r="BO2507" s="342"/>
      <c r="BP2507" s="342"/>
      <c r="BQ2507" s="342"/>
      <c r="BR2507" s="342"/>
      <c r="BS2507" s="342"/>
      <c r="BT2507" s="342"/>
      <c r="BU2507" s="342"/>
      <c r="BV2507" s="342"/>
      <c r="BW2507" s="342"/>
      <c r="BX2507" s="342"/>
      <c r="BY2507" s="342"/>
      <c r="BZ2507" s="342"/>
      <c r="CA2507" s="342"/>
      <c r="CB2507" s="342"/>
      <c r="CC2507" s="342"/>
      <c r="CD2507" s="342"/>
      <c r="CE2507" s="342"/>
      <c r="CF2507" s="342"/>
      <c r="CG2507" s="342"/>
      <c r="CH2507" s="342"/>
      <c r="CI2507" s="342"/>
      <c r="CJ2507" s="342"/>
      <c r="CK2507" s="342"/>
      <c r="CL2507" s="342"/>
      <c r="CM2507" s="342"/>
      <c r="CN2507" s="342"/>
      <c r="CO2507" s="342"/>
      <c r="CP2507" s="342"/>
      <c r="CQ2507" s="342"/>
      <c r="CR2507" s="342"/>
      <c r="CS2507" s="342"/>
      <c r="CT2507" s="342"/>
      <c r="CU2507" s="342"/>
      <c r="CV2507" s="342"/>
      <c r="CW2507" s="342"/>
      <c r="CX2507" s="342"/>
      <c r="CY2507" s="342"/>
      <c r="CZ2507" s="342"/>
      <c r="DA2507" s="342"/>
      <c r="DB2507" s="342"/>
      <c r="DC2507" s="342"/>
      <c r="DD2507" s="342"/>
      <c r="DE2507" s="342"/>
      <c r="DF2507" s="342"/>
      <c r="DG2507" s="342"/>
      <c r="DH2507" s="342"/>
      <c r="DI2507" s="342"/>
      <c r="DJ2507" s="342"/>
      <c r="DK2507" s="342"/>
      <c r="DL2507" s="342"/>
    </row>
    <row r="2508">
      <c r="A2508" s="354">
        <v>2508.0</v>
      </c>
      <c r="B2508" s="56" t="s">
        <v>114</v>
      </c>
      <c r="C2508" s="341" t="s">
        <v>115</v>
      </c>
      <c r="D2508" s="341" t="s">
        <v>176</v>
      </c>
      <c r="E2508" s="342"/>
      <c r="F2508" s="360" t="s">
        <v>14909</v>
      </c>
      <c r="G2508" s="360" t="s">
        <v>14910</v>
      </c>
      <c r="H2508" s="360" t="s">
        <v>7252</v>
      </c>
      <c r="I2508" s="344">
        <v>45767.0</v>
      </c>
      <c r="J2508" s="2124">
        <v>45849.0</v>
      </c>
      <c r="K2508" s="46"/>
      <c r="L2508" s="56" t="s">
        <v>14911</v>
      </c>
      <c r="M2508" s="360" t="s">
        <v>14912</v>
      </c>
      <c r="N2508" s="360" t="s">
        <v>14913</v>
      </c>
      <c r="O2508" s="360" t="s">
        <v>5535</v>
      </c>
      <c r="P2508" s="360" t="s">
        <v>14914</v>
      </c>
      <c r="Q2508" s="2142" t="str">
        <f t="array" ref="Q2508"> if(iserror(MATCH(V2508, 'File Links'!C:C, 0)), "N/A", HYPERLINK(INDEX('File Links'!B:B, MATCH(P2508, 'File Links'!C:C, 0))))</f>
        <v>N/A</v>
      </c>
      <c r="R2508" s="360" t="s">
        <v>14915</v>
      </c>
      <c r="S2508" s="360" t="s">
        <v>138</v>
      </c>
      <c r="T2508" s="509" t="s">
        <v>14916</v>
      </c>
      <c r="U2508" s="343">
        <v>1.0</v>
      </c>
      <c r="V2508" s="360" t="s">
        <v>8467</v>
      </c>
      <c r="W2508" s="56" t="s">
        <v>209</v>
      </c>
      <c r="X2508" s="49" t="str">
        <f t="array" ref="X2508"> if(iserror(MATCH(V2508, 'File Links'!C:C, 0)), "N/A", HYPERLINK(INDEX('File Links'!B:B, MATCH(V2508, 'File Links'!C:C, 0))))</f>
        <v>N/A</v>
      </c>
      <c r="Y2508" s="46"/>
      <c r="Z2508" s="360" t="s">
        <v>2079</v>
      </c>
      <c r="AA2508" s="360" t="s">
        <v>14917</v>
      </c>
      <c r="AB2508" s="360" t="s">
        <v>14918</v>
      </c>
      <c r="AC2508" s="360" t="s">
        <v>14919</v>
      </c>
      <c r="AD2508" s="343" t="s">
        <v>14920</v>
      </c>
      <c r="AE2508" s="360" t="s">
        <v>4979</v>
      </c>
      <c r="AF2508" s="357">
        <v>203.0</v>
      </c>
      <c r="AG2508" s="357">
        <v>0.029</v>
      </c>
      <c r="AH2508" s="343" t="s">
        <v>874</v>
      </c>
      <c r="AI2508" s="360" t="s">
        <v>132</v>
      </c>
      <c r="AJ2508" s="357">
        <v>0.016</v>
      </c>
      <c r="AK2508" s="360" t="s">
        <v>172</v>
      </c>
      <c r="AL2508" s="360" t="s">
        <v>186</v>
      </c>
      <c r="AM2508" s="360" t="s">
        <v>141</v>
      </c>
      <c r="AN2508" s="46"/>
      <c r="AO2508" s="357">
        <v>603.0</v>
      </c>
      <c r="AP2508" s="2143">
        <v>0.02</v>
      </c>
      <c r="AQ2508" s="360" t="s">
        <v>173</v>
      </c>
      <c r="AR2508" s="360" t="s">
        <v>14921</v>
      </c>
      <c r="AS2508" s="357">
        <v>0.802</v>
      </c>
      <c r="AT2508" s="360" t="s">
        <v>172</v>
      </c>
      <c r="AU2508" s="360" t="s">
        <v>186</v>
      </c>
      <c r="AV2508" s="360" t="s">
        <v>141</v>
      </c>
      <c r="AW2508" s="596" t="s">
        <v>14922</v>
      </c>
      <c r="AX2508" s="360" t="s">
        <v>143</v>
      </c>
      <c r="AY2508" s="49" t="str">
        <f>IFERROR(__xludf.DUMMYFUNCTION("vlookup(BB2508,importrange(""https://docs.google.com/spreadsheets/d/1d2vevQ_7D_v35q4wCQ4RpQ_IPoTwEMB9Yp6ymwlPqew/edit?gid=984458430#gid=984458430"", ""'replication success'!A:K""), 11, FAlSE)"),"#N/A")</f>
        <v>#N/A</v>
      </c>
      <c r="AZ2508" s="49" t="str">
        <f>IFERROR(__xludf.DUMMYFUNCTION("vlookup(BB2508,importrange(""https://docs.google.com/spreadsheets/d/1d2vevQ_7D_v35q4wCQ4RpQ_IPoTwEMB9Yp6ymwlPqew/edit?gid=984458430#gid=984458430"", ""'replication success'!A:M""), 12, FAlSE)"),"#N/A")</f>
        <v>#N/A</v>
      </c>
      <c r="BA2508" s="49" t="str">
        <f>IFERROR(__xludf.DUMMYFUNCTION("vlookup(BB2508,importrange(""https://docs.google.com/spreadsheets/d/1d2vevQ_7D_v35q4wCQ4RpQ_IPoTwEMB9Yp6ymwlPqew/edit?gid=984458430#gid=984458430"", ""'replication success'!A:M""), 13, FAlSE)"),"#N/A")</f>
        <v>#N/A</v>
      </c>
      <c r="BB2508" s="49" t="str">
        <f>IFERROR(__xludf.DUMMYFUNCTION("REGEXREPLACE(G2508, ""_[a-z]{1,2}$"", """")"),"datareplicada1")</f>
        <v>datareplicada1</v>
      </c>
      <c r="BC2508" s="342"/>
      <c r="BD2508" s="341" t="s">
        <v>1270</v>
      </c>
      <c r="BE2508" s="342"/>
      <c r="BF2508" s="342"/>
      <c r="BG2508" s="342"/>
      <c r="BH2508" s="342"/>
      <c r="BI2508" s="342"/>
      <c r="BJ2508" s="342"/>
      <c r="BK2508" s="342"/>
      <c r="BL2508" s="342"/>
      <c r="BM2508" s="342"/>
      <c r="BN2508" s="342"/>
      <c r="BO2508" s="342"/>
      <c r="BP2508" s="342"/>
      <c r="BQ2508" s="342"/>
      <c r="BR2508" s="342"/>
      <c r="BS2508" s="342"/>
      <c r="BT2508" s="342"/>
      <c r="BU2508" s="342"/>
      <c r="BV2508" s="342"/>
      <c r="BW2508" s="342"/>
      <c r="BX2508" s="342"/>
      <c r="BY2508" s="342"/>
      <c r="BZ2508" s="342"/>
      <c r="CA2508" s="342"/>
      <c r="CB2508" s="342"/>
      <c r="CC2508" s="342"/>
      <c r="CD2508" s="342"/>
      <c r="CE2508" s="342"/>
      <c r="CF2508" s="342"/>
      <c r="CG2508" s="342"/>
      <c r="CH2508" s="342"/>
      <c r="CI2508" s="342"/>
      <c r="CJ2508" s="342"/>
      <c r="CK2508" s="342"/>
      <c r="CL2508" s="342"/>
      <c r="CM2508" s="342"/>
      <c r="CN2508" s="342"/>
      <c r="CO2508" s="342"/>
      <c r="CP2508" s="342"/>
      <c r="CQ2508" s="342"/>
      <c r="CR2508" s="342"/>
      <c r="CS2508" s="342"/>
      <c r="CT2508" s="342"/>
      <c r="CU2508" s="342"/>
      <c r="CV2508" s="342"/>
      <c r="CW2508" s="342"/>
      <c r="CX2508" s="342"/>
      <c r="CY2508" s="342"/>
      <c r="CZ2508" s="342"/>
      <c r="DA2508" s="342"/>
      <c r="DB2508" s="342"/>
      <c r="DC2508" s="342"/>
      <c r="DD2508" s="342"/>
      <c r="DE2508" s="342"/>
      <c r="DF2508" s="342"/>
      <c r="DG2508" s="342"/>
      <c r="DH2508" s="342"/>
      <c r="DI2508" s="342"/>
      <c r="DJ2508" s="342"/>
      <c r="DK2508" s="342"/>
      <c r="DL2508" s="342"/>
    </row>
    <row r="2509">
      <c r="A2509" s="44">
        <v>2509.0</v>
      </c>
      <c r="B2509" s="1135" t="s">
        <v>114</v>
      </c>
      <c r="C2509" s="421" t="s">
        <v>115</v>
      </c>
      <c r="D2509" s="421" t="s">
        <v>176</v>
      </c>
      <c r="E2509" s="365"/>
      <c r="F2509" s="1103" t="s">
        <v>14923</v>
      </c>
      <c r="G2509" s="1103" t="s">
        <v>14924</v>
      </c>
      <c r="H2509" s="1103" t="s">
        <v>7252</v>
      </c>
      <c r="I2509" s="1136">
        <v>45767.0</v>
      </c>
      <c r="J2509" s="2124">
        <v>45849.0</v>
      </c>
      <c r="K2509" s="1103" t="s">
        <v>14925</v>
      </c>
      <c r="L2509" s="1135" t="s">
        <v>14926</v>
      </c>
      <c r="M2509" s="1103" t="s">
        <v>14927</v>
      </c>
      <c r="N2509" s="1103" t="s">
        <v>14928</v>
      </c>
      <c r="O2509" s="1137">
        <v>2.0</v>
      </c>
      <c r="P2509" s="1103" t="s">
        <v>14929</v>
      </c>
      <c r="Q2509" s="1157" t="str">
        <f t="array" ref="Q2509"> if(iserror(MATCH(V2509, 'File Links'!C:C, 0)), "N/A", HYPERLINK(INDEX('File Links'!B:B, MATCH(P2509, 'File Links'!C:C, 0))))</f>
        <v>N/A</v>
      </c>
      <c r="R2509" s="1103" t="s">
        <v>14930</v>
      </c>
      <c r="S2509" s="1103" t="s">
        <v>138</v>
      </c>
      <c r="T2509" s="2144" t="s">
        <v>14931</v>
      </c>
      <c r="U2509" s="1103" t="s">
        <v>8549</v>
      </c>
      <c r="V2509" s="1103" t="s">
        <v>8467</v>
      </c>
      <c r="W2509" s="1135" t="s">
        <v>209</v>
      </c>
      <c r="X2509" s="426" t="str">
        <f t="array" ref="X2509"> if(iserror(MATCH(V2509, 'File Links'!C:C, 0)), "N/A", HYPERLINK(INDEX('File Links'!B:B, MATCH(V2509, 'File Links'!C:C, 0))))</f>
        <v>N/A</v>
      </c>
      <c r="Y2509" s="436"/>
      <c r="Z2509" s="1103" t="s">
        <v>2079</v>
      </c>
      <c r="AA2509" s="1103" t="s">
        <v>14932</v>
      </c>
      <c r="AB2509" s="1103" t="s">
        <v>14933</v>
      </c>
      <c r="AC2509" s="1103" t="s">
        <v>14934</v>
      </c>
      <c r="AD2509" s="68" t="s">
        <v>14935</v>
      </c>
      <c r="AE2509" s="336">
        <v>9.0</v>
      </c>
      <c r="AF2509" s="336">
        <v>213.0</v>
      </c>
      <c r="AG2509" s="501" t="s">
        <v>14936</v>
      </c>
      <c r="AH2509" s="704" t="s">
        <v>134</v>
      </c>
      <c r="AI2509" s="1103" t="s">
        <v>624</v>
      </c>
      <c r="AJ2509" s="1137">
        <v>0.01</v>
      </c>
      <c r="AK2509" s="1103" t="s">
        <v>135</v>
      </c>
      <c r="AL2509" s="1103" t="s">
        <v>186</v>
      </c>
      <c r="AM2509" s="1103" t="s">
        <v>137</v>
      </c>
      <c r="AN2509" s="436"/>
      <c r="AO2509" s="1137">
        <v>761.0</v>
      </c>
      <c r="AP2509" s="2145">
        <v>0.32</v>
      </c>
      <c r="AQ2509" s="1103" t="s">
        <v>173</v>
      </c>
      <c r="AR2509" s="1103" t="s">
        <v>14921</v>
      </c>
      <c r="AS2509" s="68" t="s">
        <v>186</v>
      </c>
      <c r="AT2509" s="68" t="s">
        <v>186</v>
      </c>
      <c r="AU2509" s="68" t="s">
        <v>137</v>
      </c>
      <c r="AV2509" s="1103" t="s">
        <v>137</v>
      </c>
      <c r="AW2509" s="444" t="s">
        <v>14937</v>
      </c>
      <c r="AX2509" s="1103" t="s">
        <v>143</v>
      </c>
      <c r="AY2509" s="426" t="str">
        <f>IFERROR(__xludf.DUMMYFUNCTION("vlookup(BB2509,importrange(""https://docs.google.com/spreadsheets/d/1d2vevQ_7D_v35q4wCQ4RpQ_IPoTwEMB9Yp6ymwlPqew/edit?gid=984458430#gid=984458430"", ""'replication success'!A:K""), 11, FAlSE)"),"#N/A")</f>
        <v>#N/A</v>
      </c>
      <c r="AZ2509" s="426" t="str">
        <f>IFERROR(__xludf.DUMMYFUNCTION("vlookup(BB2509,importrange(""https://docs.google.com/spreadsheets/d/1d2vevQ_7D_v35q4wCQ4RpQ_IPoTwEMB9Yp6ymwlPqew/edit?gid=984458430#gid=984458430"", ""'replication success'!A:M""), 12, FAlSE)"),"#N/A")</f>
        <v>#N/A</v>
      </c>
      <c r="BA2509" s="426" t="str">
        <f>IFERROR(__xludf.DUMMYFUNCTION("vlookup(BB2509,importrange(""https://docs.google.com/spreadsheets/d/1d2vevQ_7D_v35q4wCQ4RpQ_IPoTwEMB9Yp6ymwlPqew/edit?gid=984458430#gid=984458430"", ""'replication success'!A:M""), 13, FAlSE)"),"#N/A")</f>
        <v>#N/A</v>
      </c>
      <c r="BB2509" s="426" t="str">
        <f>IFERROR(__xludf.DUMMYFUNCTION("REGEXREPLACE(G2509, ""_[a-z]{1,2}$"", """")"),"datareplicada9a")</f>
        <v>datareplicada9a</v>
      </c>
      <c r="BC2509" s="365"/>
      <c r="BD2509" s="341" t="s">
        <v>1270</v>
      </c>
      <c r="BE2509" s="365"/>
      <c r="BF2509" s="365"/>
      <c r="BG2509" s="365"/>
      <c r="BH2509" s="365"/>
      <c r="BI2509" s="365"/>
      <c r="BJ2509" s="365"/>
      <c r="BK2509" s="365"/>
      <c r="BL2509" s="365"/>
      <c r="BM2509" s="365"/>
      <c r="BN2509" s="365"/>
      <c r="BO2509" s="365"/>
      <c r="BP2509" s="365"/>
      <c r="BQ2509" s="365"/>
      <c r="BR2509" s="365"/>
      <c r="BS2509" s="365"/>
      <c r="BT2509" s="365"/>
      <c r="BU2509" s="365"/>
      <c r="BV2509" s="365"/>
      <c r="BW2509" s="365"/>
      <c r="BX2509" s="365"/>
      <c r="BY2509" s="365"/>
      <c r="BZ2509" s="365"/>
      <c r="CA2509" s="365"/>
      <c r="CB2509" s="365"/>
      <c r="CC2509" s="365"/>
      <c r="CD2509" s="365"/>
      <c r="CE2509" s="365"/>
      <c r="CF2509" s="365"/>
      <c r="CG2509" s="365"/>
      <c r="CH2509" s="365"/>
      <c r="CI2509" s="365"/>
      <c r="CJ2509" s="365"/>
      <c r="CK2509" s="365"/>
      <c r="CL2509" s="365"/>
      <c r="CM2509" s="365"/>
      <c r="CN2509" s="365"/>
      <c r="CO2509" s="365"/>
      <c r="CP2509" s="365"/>
      <c r="CQ2509" s="365"/>
      <c r="CR2509" s="365"/>
      <c r="CS2509" s="365"/>
      <c r="CT2509" s="365"/>
      <c r="CU2509" s="365"/>
      <c r="CV2509" s="365"/>
      <c r="CW2509" s="365"/>
      <c r="CX2509" s="365"/>
      <c r="CY2509" s="365"/>
      <c r="CZ2509" s="365"/>
      <c r="DA2509" s="365"/>
      <c r="DB2509" s="365"/>
      <c r="DC2509" s="365"/>
      <c r="DD2509" s="365"/>
      <c r="DE2509" s="365"/>
      <c r="DF2509" s="365"/>
      <c r="DG2509" s="365"/>
      <c r="DH2509" s="365"/>
      <c r="DI2509" s="365"/>
      <c r="DJ2509" s="365"/>
      <c r="DK2509" s="365"/>
      <c r="DL2509" s="365"/>
    </row>
    <row r="2510">
      <c r="A2510" s="44">
        <v>2510.0</v>
      </c>
      <c r="B2510" s="129" t="s">
        <v>114</v>
      </c>
      <c r="C2510" s="62" t="s">
        <v>115</v>
      </c>
      <c r="D2510" s="62" t="s">
        <v>176</v>
      </c>
      <c r="F2510" s="68" t="s">
        <v>14938</v>
      </c>
      <c r="G2510" s="159" t="s">
        <v>14939</v>
      </c>
      <c r="H2510" s="159" t="s">
        <v>7252</v>
      </c>
      <c r="I2510" s="152">
        <v>45767.0</v>
      </c>
      <c r="J2510" s="862"/>
      <c r="K2510" s="159" t="s">
        <v>14940</v>
      </c>
      <c r="L2510" s="1135" t="s">
        <v>14926</v>
      </c>
      <c r="M2510" s="159" t="s">
        <v>14927</v>
      </c>
      <c r="N2510" s="159" t="s">
        <v>14928</v>
      </c>
      <c r="O2510" s="156">
        <v>2.0</v>
      </c>
      <c r="P2510" s="382" t="s">
        <v>14929</v>
      </c>
      <c r="Q2510" s="108" t="str">
        <f t="array" ref="Q2510"> if(iserror(MATCH(V2510, 'File Links'!C:C, 0)), "N/A", HYPERLINK(INDEX('File Links'!B:B, MATCH(P2510, 'File Links'!C:C, 0))))</f>
        <v>N/A</v>
      </c>
      <c r="R2510" s="159" t="s">
        <v>14941</v>
      </c>
      <c r="S2510" s="159" t="s">
        <v>138</v>
      </c>
      <c r="T2510" s="680" t="s">
        <v>14931</v>
      </c>
      <c r="U2510" s="159" t="s">
        <v>8466</v>
      </c>
      <c r="V2510" s="382" t="s">
        <v>8467</v>
      </c>
      <c r="W2510" s="1080" t="s">
        <v>209</v>
      </c>
      <c r="X2510" s="49" t="str">
        <f t="array" ref="X2510"> if(iserror(MATCH(V2510, 'File Links'!C:C, 0)), "N/A", HYPERLINK(INDEX('File Links'!B:B, MATCH(V2510, 'File Links'!C:C, 0))))</f>
        <v>N/A</v>
      </c>
      <c r="Y2510" s="68"/>
      <c r="Z2510" s="159" t="s">
        <v>2079</v>
      </c>
      <c r="AA2510" s="159" t="s">
        <v>14932</v>
      </c>
      <c r="AB2510" s="159" t="s">
        <v>14933</v>
      </c>
      <c r="AC2510" s="159" t="s">
        <v>14934</v>
      </c>
      <c r="AD2510" s="436" t="s">
        <v>14935</v>
      </c>
      <c r="AE2510" s="1145">
        <v>9.0</v>
      </c>
      <c r="AF2510" s="1145">
        <v>213.0</v>
      </c>
      <c r="AG2510" s="1937" t="s">
        <v>14936</v>
      </c>
      <c r="AH2510" s="704" t="s">
        <v>134</v>
      </c>
      <c r="AI2510" s="159" t="s">
        <v>624</v>
      </c>
      <c r="AJ2510" s="156">
        <v>0.01</v>
      </c>
      <c r="AK2510" s="159" t="s">
        <v>135</v>
      </c>
      <c r="AL2510" s="159" t="s">
        <v>186</v>
      </c>
      <c r="AM2510" s="159" t="s">
        <v>137</v>
      </c>
      <c r="AN2510" s="68"/>
      <c r="AO2510" s="156">
        <v>769.0</v>
      </c>
      <c r="AP2510" s="1479">
        <v>0.49</v>
      </c>
      <c r="AQ2510" s="159" t="s">
        <v>173</v>
      </c>
      <c r="AR2510" s="159" t="s">
        <v>14921</v>
      </c>
      <c r="AS2510" s="68" t="s">
        <v>186</v>
      </c>
      <c r="AT2510" s="436" t="s">
        <v>186</v>
      </c>
      <c r="AU2510" s="436" t="s">
        <v>137</v>
      </c>
      <c r="AV2510" s="159" t="s">
        <v>137</v>
      </c>
      <c r="AW2510" s="310" t="s">
        <v>14937</v>
      </c>
      <c r="AX2510" s="159" t="s">
        <v>143</v>
      </c>
      <c r="AY2510" s="61" t="str">
        <f>IFERROR(__xludf.DUMMYFUNCTION("vlookup(BB2510,importrange(""https://docs.google.com/spreadsheets/d/1d2vevQ_7D_v35q4wCQ4RpQ_IPoTwEMB9Yp6ymwlPqew/edit?gid=984458430#gid=984458430"", ""'replication success'!A:K""), 11, FAlSE)"),"#N/A")</f>
        <v>#N/A</v>
      </c>
      <c r="AZ2510" s="61" t="str">
        <f>IFERROR(__xludf.DUMMYFUNCTION("vlookup(BB2510,importrange(""https://docs.google.com/spreadsheets/d/1d2vevQ_7D_v35q4wCQ4RpQ_IPoTwEMB9Yp6ymwlPqew/edit?gid=984458430#gid=984458430"", ""'replication success'!A:M""), 12, FAlSE)"),"#N/A")</f>
        <v>#N/A</v>
      </c>
      <c r="BA2510" s="61" t="str">
        <f>IFERROR(__xludf.DUMMYFUNCTION("vlookup(BB2510,importrange(""https://docs.google.com/spreadsheets/d/1d2vevQ_7D_v35q4wCQ4RpQ_IPoTwEMB9Yp6ymwlPqew/edit?gid=984458430#gid=984458430"", ""'replication success'!A:M""), 13, FAlSE)"),"#N/A")</f>
        <v>#N/A</v>
      </c>
      <c r="BB2510" s="61" t="str">
        <f>IFERROR(__xludf.DUMMYFUNCTION("REGEXREPLACE(G2510, ""_[a-z]{1,2}$"", """")"),"datareplicada9b")</f>
        <v>datareplicada9b</v>
      </c>
      <c r="BD2510" s="341" t="s">
        <v>1270</v>
      </c>
    </row>
    <row r="2511">
      <c r="A2511" s="44">
        <v>2511.0</v>
      </c>
      <c r="B2511" s="129" t="s">
        <v>152</v>
      </c>
      <c r="C2511" s="62" t="s">
        <v>115</v>
      </c>
      <c r="D2511" s="62" t="s">
        <v>176</v>
      </c>
      <c r="F2511" s="68" t="s">
        <v>14942</v>
      </c>
      <c r="G2511" s="159" t="s">
        <v>14943</v>
      </c>
      <c r="H2511" s="159" t="s">
        <v>7252</v>
      </c>
      <c r="I2511" s="152">
        <v>45767.0</v>
      </c>
      <c r="J2511" s="862"/>
      <c r="K2511" s="159" t="s">
        <v>14944</v>
      </c>
      <c r="L2511" s="129" t="s">
        <v>14945</v>
      </c>
      <c r="M2511" s="159" t="s">
        <v>14946</v>
      </c>
      <c r="N2511" s="159" t="s">
        <v>14947</v>
      </c>
      <c r="O2511" s="156">
        <v>1.0</v>
      </c>
      <c r="P2511" s="382" t="s">
        <v>14948</v>
      </c>
      <c r="Q2511" s="108" t="str">
        <f t="array" ref="Q2511"> if(iserror(MATCH(V2511, 'File Links'!C:C, 0)), "N/A", HYPERLINK(INDEX('File Links'!B:B, MATCH(P2511, 'File Links'!C:C, 0))))</f>
        <v>N/A</v>
      </c>
      <c r="R2511" s="159" t="s">
        <v>14949</v>
      </c>
      <c r="S2511" s="159" t="s">
        <v>138</v>
      </c>
      <c r="T2511" s="680" t="s">
        <v>14950</v>
      </c>
      <c r="U2511" s="159" t="s">
        <v>8549</v>
      </c>
      <c r="V2511" s="382" t="s">
        <v>8467</v>
      </c>
      <c r="W2511" s="1080" t="s">
        <v>209</v>
      </c>
      <c r="X2511" s="49" t="str">
        <f t="array" ref="X2511"> if(iserror(MATCH(V2511, 'File Links'!C:C, 0)), "N/A", HYPERLINK(INDEX('File Links'!B:B, MATCH(V2511, 'File Links'!C:C, 0))))</f>
        <v>N/A</v>
      </c>
      <c r="Y2511" s="68"/>
      <c r="Z2511" s="159" t="s">
        <v>2079</v>
      </c>
      <c r="AA2511" s="159" t="s">
        <v>14951</v>
      </c>
      <c r="AB2511" s="159" t="s">
        <v>14952</v>
      </c>
      <c r="AC2511" s="159" t="s">
        <v>14953</v>
      </c>
      <c r="AD2511" s="151" t="s">
        <v>14954</v>
      </c>
      <c r="AE2511" s="159" t="s">
        <v>1042</v>
      </c>
      <c r="AF2511" s="156">
        <v>145.0</v>
      </c>
      <c r="AG2511" s="156">
        <v>0.93</v>
      </c>
      <c r="AH2511" s="194" t="s">
        <v>360</v>
      </c>
      <c r="AI2511" s="159" t="s">
        <v>14955</v>
      </c>
      <c r="AJ2511" s="156">
        <v>0.029</v>
      </c>
      <c r="AK2511" s="159" t="s">
        <v>172</v>
      </c>
      <c r="AL2511" s="159" t="s">
        <v>186</v>
      </c>
      <c r="AM2511" s="159" t="s">
        <v>137</v>
      </c>
      <c r="AN2511" s="159" t="s">
        <v>14956</v>
      </c>
      <c r="AO2511" s="156">
        <v>1099.0</v>
      </c>
      <c r="AP2511" s="156">
        <v>0.31</v>
      </c>
      <c r="AQ2511" s="159" t="s">
        <v>360</v>
      </c>
      <c r="AR2511" s="159" t="s">
        <v>14921</v>
      </c>
      <c r="AS2511" s="2089">
        <v>0.091</v>
      </c>
      <c r="AT2511" s="1792" t="s">
        <v>172</v>
      </c>
      <c r="AU2511" s="1792" t="s">
        <v>186</v>
      </c>
      <c r="AV2511" s="159" t="s">
        <v>137</v>
      </c>
      <c r="AW2511" s="435" t="s">
        <v>14957</v>
      </c>
      <c r="AX2511" s="159" t="s">
        <v>143</v>
      </c>
      <c r="AY2511" s="61" t="str">
        <f>IFERROR(__xludf.DUMMYFUNCTION("vlookup(BB2511,importrange(""https://docs.google.com/spreadsheets/d/1d2vevQ_7D_v35q4wCQ4RpQ_IPoTwEMB9Yp6ymwlPqew/edit?gid=984458430#gid=984458430"", ""'replication success'!A:K""), 11, FAlSE)"),"#N/A")</f>
        <v>#N/A</v>
      </c>
      <c r="AZ2511" s="61" t="str">
        <f>IFERROR(__xludf.DUMMYFUNCTION("vlookup(BB2511,importrange(""https://docs.google.com/spreadsheets/d/1d2vevQ_7D_v35q4wCQ4RpQ_IPoTwEMB9Yp6ymwlPqew/edit?gid=984458430#gid=984458430"", ""'replication success'!A:M""), 12, FAlSE)"),"#N/A")</f>
        <v>#N/A</v>
      </c>
      <c r="BA2511" s="61" t="str">
        <f>IFERROR(__xludf.DUMMYFUNCTION("vlookup(BB2511,importrange(""https://docs.google.com/spreadsheets/d/1d2vevQ_7D_v35q4wCQ4RpQ_IPoTwEMB9Yp6ymwlPqew/edit?gid=984458430#gid=984458430"", ""'replication success'!A:M""), 13, FAlSE)"),"#N/A")</f>
        <v>#N/A</v>
      </c>
      <c r="BB2511" s="61" t="str">
        <f>IFERROR(__xludf.DUMMYFUNCTION("REGEXREPLACE(G2511, ""_[a-z]{1,2}$"", """")"),"datareplicada8a")</f>
        <v>datareplicada8a</v>
      </c>
      <c r="BD2511" s="341" t="s">
        <v>1270</v>
      </c>
    </row>
    <row r="2512">
      <c r="A2512" s="44">
        <v>2512.0</v>
      </c>
      <c r="B2512" s="295" t="s">
        <v>152</v>
      </c>
      <c r="C2512" s="287" t="s">
        <v>115</v>
      </c>
      <c r="D2512" s="287" t="s">
        <v>176</v>
      </c>
      <c r="E2512" s="308"/>
      <c r="F2512" s="305" t="s">
        <v>14958</v>
      </c>
      <c r="G2512" s="290" t="s">
        <v>14959</v>
      </c>
      <c r="H2512" s="290" t="s">
        <v>7252</v>
      </c>
      <c r="I2512" s="2146">
        <v>45767.0</v>
      </c>
      <c r="J2512" s="2147"/>
      <c r="K2512" s="290" t="s">
        <v>14944</v>
      </c>
      <c r="L2512" s="129" t="s">
        <v>14945</v>
      </c>
      <c r="M2512" s="290" t="s">
        <v>14946</v>
      </c>
      <c r="N2512" s="290" t="s">
        <v>14947</v>
      </c>
      <c r="O2512" s="1563">
        <v>1.0</v>
      </c>
      <c r="P2512" s="290" t="s">
        <v>14948</v>
      </c>
      <c r="Q2512" s="2148" t="str">
        <f t="array" ref="Q2512"> if(iserror(MATCH(V2512, 'File Links'!C:C, 0)), "N/A", HYPERLINK(INDEX('File Links'!B:B, MATCH(P2512, 'File Links'!C:C, 0))))</f>
        <v>N/A</v>
      </c>
      <c r="R2512" s="290" t="s">
        <v>14960</v>
      </c>
      <c r="S2512" s="290" t="s">
        <v>138</v>
      </c>
      <c r="T2512" s="2149" t="s">
        <v>14950</v>
      </c>
      <c r="U2512" s="290" t="s">
        <v>8466</v>
      </c>
      <c r="V2512" s="290" t="s">
        <v>8467</v>
      </c>
      <c r="W2512" s="1080" t="s">
        <v>209</v>
      </c>
      <c r="X2512" s="299" t="str">
        <f t="array" ref="X2512"> if(iserror(MATCH(V2512, 'File Links'!C:C, 0)), "N/A", HYPERLINK(INDEX('File Links'!B:B, MATCH(V2512, 'File Links'!C:C, 0))))</f>
        <v>N/A</v>
      </c>
      <c r="Y2512" s="305"/>
      <c r="Z2512" s="290" t="s">
        <v>2079</v>
      </c>
      <c r="AA2512" s="290" t="s">
        <v>14951</v>
      </c>
      <c r="AB2512" s="290" t="s">
        <v>14952</v>
      </c>
      <c r="AC2512" s="290" t="s">
        <v>14953</v>
      </c>
      <c r="AD2512" s="303" t="s">
        <v>14961</v>
      </c>
      <c r="AE2512" s="290" t="s">
        <v>1042</v>
      </c>
      <c r="AF2512" s="1563">
        <v>145.0</v>
      </c>
      <c r="AG2512" s="1563">
        <v>0.93</v>
      </c>
      <c r="AH2512" s="194" t="s">
        <v>360</v>
      </c>
      <c r="AI2512" s="290" t="s">
        <v>14955</v>
      </c>
      <c r="AJ2512" s="1563">
        <v>0.029</v>
      </c>
      <c r="AK2512" s="290" t="s">
        <v>172</v>
      </c>
      <c r="AL2512" s="290" t="s">
        <v>186</v>
      </c>
      <c r="AM2512" s="290" t="s">
        <v>137</v>
      </c>
      <c r="AN2512" s="290" t="s">
        <v>14962</v>
      </c>
      <c r="AO2512" s="1563">
        <v>1555.0</v>
      </c>
      <c r="AP2512" s="1563">
        <v>0.21</v>
      </c>
      <c r="AQ2512" s="159" t="s">
        <v>360</v>
      </c>
      <c r="AR2512" s="290" t="s">
        <v>14921</v>
      </c>
      <c r="AS2512" s="2089">
        <v>0.099</v>
      </c>
      <c r="AT2512" s="1792" t="s">
        <v>172</v>
      </c>
      <c r="AU2512" s="1792" t="s">
        <v>186</v>
      </c>
      <c r="AV2512" s="290" t="s">
        <v>137</v>
      </c>
      <c r="AW2512" s="306" t="s">
        <v>14957</v>
      </c>
      <c r="AX2512" s="290" t="s">
        <v>143</v>
      </c>
      <c r="AY2512" s="61" t="str">
        <f>IFERROR(__xludf.DUMMYFUNCTION("vlookup(BB2512,importrange(""https://docs.google.com/spreadsheets/d/1d2vevQ_7D_v35q4wCQ4RpQ_IPoTwEMB9Yp6ymwlPqew/edit?gid=984458430#gid=984458430"", ""'replication success'!A:K""), 11, FAlSE)"),"#N/A")</f>
        <v>#N/A</v>
      </c>
      <c r="AZ2512" s="61" t="str">
        <f>IFERROR(__xludf.DUMMYFUNCTION("vlookup(BB2512,importrange(""https://docs.google.com/spreadsheets/d/1d2vevQ_7D_v35q4wCQ4RpQ_IPoTwEMB9Yp6ymwlPqew/edit?gid=984458430#gid=984458430"", ""'replication success'!A:M""), 12, FAlSE)"),"#N/A")</f>
        <v>#N/A</v>
      </c>
      <c r="BA2512" s="61" t="str">
        <f>IFERROR(__xludf.DUMMYFUNCTION("vlookup(BB2512,importrange(""https://docs.google.com/spreadsheets/d/1d2vevQ_7D_v35q4wCQ4RpQ_IPoTwEMB9Yp6ymwlPqew/edit?gid=984458430#gid=984458430"", ""'replication success'!A:M""), 13, FAlSE)"),"#N/A")</f>
        <v>#N/A</v>
      </c>
      <c r="BB2512" s="61" t="str">
        <f>IFERROR(__xludf.DUMMYFUNCTION("REGEXREPLACE(G2512, ""_[a-z]{1,2}$"", """")"),"datareplicada8b")</f>
        <v>datareplicada8b</v>
      </c>
      <c r="BC2512" s="308"/>
      <c r="BD2512" s="341" t="s">
        <v>1270</v>
      </c>
      <c r="BE2512" s="308"/>
      <c r="BF2512" s="308"/>
      <c r="BG2512" s="308"/>
      <c r="BH2512" s="308"/>
      <c r="BI2512" s="308"/>
      <c r="BJ2512" s="308"/>
      <c r="BK2512" s="308"/>
      <c r="BL2512" s="308"/>
      <c r="BM2512" s="308"/>
      <c r="BN2512" s="308"/>
      <c r="BO2512" s="308"/>
      <c r="BP2512" s="308"/>
      <c r="BQ2512" s="308"/>
      <c r="BR2512" s="308"/>
      <c r="BS2512" s="308"/>
      <c r="BT2512" s="308"/>
      <c r="BU2512" s="308"/>
      <c r="BV2512" s="308"/>
      <c r="BW2512" s="308"/>
      <c r="BX2512" s="308"/>
      <c r="BY2512" s="308"/>
      <c r="BZ2512" s="308"/>
      <c r="CA2512" s="308"/>
      <c r="CB2512" s="308"/>
      <c r="CC2512" s="308"/>
      <c r="CD2512" s="308"/>
      <c r="CE2512" s="308"/>
      <c r="CF2512" s="308"/>
      <c r="CG2512" s="308"/>
      <c r="CH2512" s="308"/>
      <c r="CI2512" s="308"/>
      <c r="CJ2512" s="308"/>
      <c r="CK2512" s="308"/>
      <c r="CL2512" s="308"/>
      <c r="CM2512" s="308"/>
      <c r="CN2512" s="308"/>
      <c r="CO2512" s="308"/>
      <c r="CP2512" s="308"/>
      <c r="CQ2512" s="308"/>
      <c r="CR2512" s="308"/>
      <c r="CS2512" s="308"/>
      <c r="CT2512" s="308"/>
      <c r="CU2512" s="308"/>
      <c r="CV2512" s="308"/>
      <c r="CW2512" s="308"/>
      <c r="CX2512" s="308"/>
      <c r="CY2512" s="308"/>
      <c r="CZ2512" s="308"/>
      <c r="DA2512" s="308"/>
      <c r="DB2512" s="308"/>
      <c r="DC2512" s="308"/>
      <c r="DD2512" s="308"/>
      <c r="DE2512" s="308"/>
      <c r="DF2512" s="308"/>
      <c r="DG2512" s="308"/>
      <c r="DH2512" s="308"/>
      <c r="DI2512" s="308"/>
      <c r="DJ2512" s="308"/>
      <c r="DK2512" s="308"/>
      <c r="DL2512" s="308"/>
    </row>
    <row r="2513">
      <c r="A2513" s="44">
        <v>2513.0</v>
      </c>
      <c r="B2513" s="129" t="s">
        <v>523</v>
      </c>
      <c r="C2513" s="62" t="s">
        <v>115</v>
      </c>
      <c r="D2513" s="62" t="s">
        <v>176</v>
      </c>
      <c r="F2513" s="68" t="s">
        <v>14963</v>
      </c>
      <c r="G2513" s="159" t="s">
        <v>14964</v>
      </c>
      <c r="H2513" s="159" t="s">
        <v>7252</v>
      </c>
      <c r="I2513" s="152">
        <v>45767.0</v>
      </c>
      <c r="J2513" s="862"/>
      <c r="K2513" s="159" t="s">
        <v>14965</v>
      </c>
      <c r="L2513" s="159" t="s">
        <v>14966</v>
      </c>
      <c r="M2513" s="159" t="s">
        <v>14967</v>
      </c>
      <c r="N2513" s="159" t="s">
        <v>14968</v>
      </c>
      <c r="O2513" s="68"/>
      <c r="P2513" s="382" t="s">
        <v>14969</v>
      </c>
      <c r="Q2513" s="52" t="str">
        <f t="array" ref="Q2513"> if(iserror(MATCH(V2513, 'File Links'!C:C, 0)), "N/A", HYPERLINK(INDEX('File Links'!B:B, MATCH(P2513, 'File Links'!C:C, 0))))</f>
        <v>https://drive.google.com/file/d/12mfKmwr4qxdkiF-WSAj7I2jNt6iWVgg3/view?usp=drivesdk</v>
      </c>
      <c r="R2513" s="159" t="s">
        <v>14970</v>
      </c>
      <c r="S2513" s="159" t="s">
        <v>14971</v>
      </c>
      <c r="T2513" s="68"/>
      <c r="U2513" s="68"/>
      <c r="V2513" s="382" t="s">
        <v>14972</v>
      </c>
      <c r="W2513" s="1228"/>
      <c r="X2513" s="54" t="str">
        <f t="array" ref="X2513"> if(iserror(MATCH(V2513, 'File Links'!C:C, 0)), "N/A", HYPERLINK(INDEX('File Links'!B:B, MATCH(V2513, 'File Links'!C:C, 0))))</f>
        <v>https://drive.google.com/file/d/1eTjP2xjPMHt_psL0IRiVE0uqN0eKYr25/view?usp=drivesdk</v>
      </c>
      <c r="Y2513" s="68"/>
      <c r="Z2513" s="159" t="s">
        <v>2079</v>
      </c>
      <c r="AA2513" s="68"/>
      <c r="AB2513" s="68"/>
      <c r="AC2513" s="159" t="s">
        <v>14973</v>
      </c>
      <c r="AD2513" s="68"/>
      <c r="AE2513" s="68"/>
      <c r="AF2513" s="68"/>
      <c r="AG2513" s="68"/>
      <c r="AH2513" s="68"/>
      <c r="AI2513" s="68"/>
      <c r="AJ2513" s="68"/>
      <c r="AK2513" s="68"/>
      <c r="AL2513" s="68"/>
      <c r="AM2513" s="68"/>
      <c r="AN2513" s="68"/>
      <c r="AO2513" s="68"/>
      <c r="AP2513" s="68"/>
      <c r="AQ2513" s="68"/>
      <c r="AR2513" s="68"/>
      <c r="AS2513" s="68"/>
      <c r="AT2513" s="68"/>
      <c r="AU2513" s="68"/>
      <c r="AV2513" s="68"/>
      <c r="AW2513" s="68"/>
      <c r="AX2513" s="68"/>
      <c r="AY2513" s="61" t="str">
        <f>IFERROR(__xludf.DUMMYFUNCTION("vlookup(BB2513,importrange(""https://docs.google.com/spreadsheets/d/1d2vevQ_7D_v35q4wCQ4RpQ_IPoTwEMB9Yp6ymwlPqew/edit?gid=984458430#gid=984458430"", ""'replication success'!A:K""), 11, FAlSE)"),"#N/A")</f>
        <v>#N/A</v>
      </c>
      <c r="AZ2513" s="61" t="str">
        <f>IFERROR(__xludf.DUMMYFUNCTION("vlookup(BB2513,importrange(""https://docs.google.com/spreadsheets/d/1d2vevQ_7D_v35q4wCQ4RpQ_IPoTwEMB9Yp6ymwlPqew/edit?gid=984458430#gid=984458430"", ""'replication success'!A:M""), 12, FAlSE)"),"#N/A")</f>
        <v>#N/A</v>
      </c>
      <c r="BA2513" s="61" t="str">
        <f>IFERROR(__xludf.DUMMYFUNCTION("vlookup(BB2513,importrange(""https://docs.google.com/spreadsheets/d/1d2vevQ_7D_v35q4wCQ4RpQ_IPoTwEMB9Yp6ymwlPqew/edit?gid=984458430#gid=984458430"", ""'replication success'!A:M""), 13, FAlSE)"),"#N/A")</f>
        <v>#N/A</v>
      </c>
      <c r="BB2513" s="61" t="str">
        <f>IFERROR(__xludf.DUMMYFUNCTION("REGEXREPLACE(G2513, ""_[a-z]{1,2}$"", """")"),"Journal of Comments and Replications in Economics")</f>
        <v>Journal of Comments and Replications in Economics</v>
      </c>
    </row>
    <row r="2514">
      <c r="A2514" s="44">
        <v>2514.0</v>
      </c>
      <c r="B2514" s="129" t="s">
        <v>523</v>
      </c>
      <c r="C2514" s="62" t="s">
        <v>115</v>
      </c>
      <c r="D2514" s="62" t="s">
        <v>176</v>
      </c>
      <c r="F2514" s="68" t="s">
        <v>14974</v>
      </c>
      <c r="G2514" s="159" t="s">
        <v>14975</v>
      </c>
      <c r="H2514" s="159" t="s">
        <v>7252</v>
      </c>
      <c r="I2514" s="152">
        <v>45767.0</v>
      </c>
      <c r="J2514" s="862"/>
      <c r="K2514" s="159" t="s">
        <v>14976</v>
      </c>
      <c r="L2514" s="68"/>
      <c r="M2514" s="159" t="s">
        <v>14977</v>
      </c>
      <c r="N2514" s="159" t="s">
        <v>14978</v>
      </c>
      <c r="O2514" s="68"/>
      <c r="P2514" s="382" t="s">
        <v>14979</v>
      </c>
      <c r="Q2514" s="52" t="str">
        <f t="array" ref="Q2514"> if(iserror(MATCH(V2514, 'File Links'!C:C, 0)), "N/A", HYPERLINK(INDEX('File Links'!B:B, MATCH(P2514, 'File Links'!C:C, 0))))</f>
        <v>https://drive.google.com/file/d/1IPzqwdPEx_NXOVDavQ9NYYflBq4WLkLt/view?usp=drivesdk</v>
      </c>
      <c r="R2514" s="159" t="s">
        <v>14980</v>
      </c>
      <c r="S2514" s="159" t="s">
        <v>14981</v>
      </c>
      <c r="T2514" s="68"/>
      <c r="U2514" s="68"/>
      <c r="V2514" s="159" t="s">
        <v>14982</v>
      </c>
      <c r="W2514" s="1228"/>
      <c r="X2514" s="54" t="str">
        <f t="array" ref="X2514"> if(iserror(MATCH(V2514, 'File Links'!C:C, 0)), "N/A", HYPERLINK(INDEX('File Links'!B:B, MATCH(V2514, 'File Links'!C:C, 0))))</f>
        <v>https://drive.google.com/file/d/14aPtuimCBHuACTR6Ysm7rhuUdNnhNt3M/view?usp=drivesdk</v>
      </c>
      <c r="Y2514" s="68"/>
      <c r="Z2514" s="159" t="s">
        <v>14983</v>
      </c>
      <c r="AA2514" s="159" t="s">
        <v>14984</v>
      </c>
      <c r="AB2514" s="159" t="s">
        <v>14985</v>
      </c>
      <c r="AC2514" s="159" t="s">
        <v>14986</v>
      </c>
      <c r="AD2514" s="159" t="s">
        <v>14987</v>
      </c>
      <c r="AE2514" s="159" t="s">
        <v>496</v>
      </c>
      <c r="AF2514" s="156">
        <v>42.0</v>
      </c>
      <c r="AG2514" s="159" t="s">
        <v>14988</v>
      </c>
      <c r="AH2514" s="159" t="s">
        <v>134</v>
      </c>
      <c r="AI2514" s="159" t="s">
        <v>14989</v>
      </c>
      <c r="AJ2514" s="156">
        <v>0.005</v>
      </c>
      <c r="AK2514" s="159" t="s">
        <v>135</v>
      </c>
      <c r="AL2514" s="159" t="s">
        <v>186</v>
      </c>
      <c r="AM2514" s="159" t="s">
        <v>141</v>
      </c>
      <c r="AN2514" s="68"/>
      <c r="AO2514" s="156">
        <v>18.0</v>
      </c>
      <c r="AP2514" s="159" t="s">
        <v>14990</v>
      </c>
      <c r="AQ2514" s="159" t="s">
        <v>134</v>
      </c>
      <c r="AR2514" s="159" t="s">
        <v>14991</v>
      </c>
      <c r="AS2514" s="156">
        <v>0.018</v>
      </c>
      <c r="AT2514" s="159" t="s">
        <v>172</v>
      </c>
      <c r="AU2514" s="159" t="s">
        <v>136</v>
      </c>
      <c r="AV2514" s="159" t="s">
        <v>141</v>
      </c>
      <c r="AW2514" s="68"/>
      <c r="AX2514" s="159" t="s">
        <v>438</v>
      </c>
      <c r="AY2514" s="61" t="str">
        <f>IFERROR(__xludf.DUMMYFUNCTION("vlookup(BB2514,importrange(""https://docs.google.com/spreadsheets/d/1d2vevQ_7D_v35q4wCQ4RpQ_IPoTwEMB9Yp6ymwlPqew/edit?gid=984458430#gid=984458430"", ""'replication success'!A:K""), 11, FAlSE)"),"#N/A")</f>
        <v>#N/A</v>
      </c>
      <c r="AZ2514" s="61" t="str">
        <f>IFERROR(__xludf.DUMMYFUNCTION("vlookup(BB2514,importrange(""https://docs.google.com/spreadsheets/d/1d2vevQ_7D_v35q4wCQ4RpQ_IPoTwEMB9Yp6ymwlPqew/edit?gid=984458430#gid=984458430"", ""'replication success'!A:M""), 12, FAlSE)"),"#N/A")</f>
        <v>#N/A</v>
      </c>
      <c r="BA2514" s="61" t="str">
        <f>IFERROR(__xludf.DUMMYFUNCTION("vlookup(BB2514,importrange(""https://docs.google.com/spreadsheets/d/1d2vevQ_7D_v35q4wCQ4RpQ_IPoTwEMB9Yp6ymwlPqew/edit?gid=984458430#gid=984458430"", ""'replication success'!A:M""), 13, FAlSE)"),"#N/A")</f>
        <v>#N/A</v>
      </c>
      <c r="BB2514" s="61" t="str">
        <f>IFERROR(__xludf.DUMMYFUNCTION("REGEXREPLACE(G2514, ""_[a-z]{1,2}$"", """")"),"soscisubmission53")</f>
        <v>soscisubmission53</v>
      </c>
    </row>
    <row r="2515">
      <c r="A2515" s="110">
        <v>2515.0</v>
      </c>
      <c r="B2515" s="147" t="s">
        <v>152</v>
      </c>
      <c r="C2515" s="149" t="s">
        <v>115</v>
      </c>
      <c r="D2515" s="149" t="s">
        <v>176</v>
      </c>
      <c r="E2515" s="71"/>
      <c r="F2515" s="111" t="s">
        <v>14992</v>
      </c>
      <c r="G2515" s="122" t="s">
        <v>14993</v>
      </c>
      <c r="H2515" s="122" t="s">
        <v>7252</v>
      </c>
      <c r="I2515" s="417">
        <v>45767.0</v>
      </c>
      <c r="J2515" s="1888"/>
      <c r="K2515" s="122" t="s">
        <v>14994</v>
      </c>
      <c r="L2515" s="111"/>
      <c r="M2515" s="122" t="s">
        <v>14995</v>
      </c>
      <c r="N2515" s="122" t="s">
        <v>14996</v>
      </c>
      <c r="O2515" s="111"/>
      <c r="P2515" s="122" t="s">
        <v>14997</v>
      </c>
      <c r="Q2515" s="1161" t="str">
        <f t="array" ref="Q2515"> if(iserror(MATCH(V2515, 'File Links'!C:C, 0)), "N/A", HYPERLINK(INDEX('File Links'!B:B, MATCH(P2515, 'File Links'!C:C, 0))))</f>
        <v>https://drive.google.com/file/d/1UEfsbEURhIs10uMTifQAssGeEJtFUKKx/view?usp=drivesdk</v>
      </c>
      <c r="R2515" s="122" t="s">
        <v>14998</v>
      </c>
      <c r="S2515" s="122" t="s">
        <v>14999</v>
      </c>
      <c r="T2515" s="111"/>
      <c r="U2515" s="111"/>
      <c r="V2515" s="122" t="s">
        <v>15000</v>
      </c>
      <c r="W2515" s="111"/>
      <c r="X2515" s="1162" t="str">
        <f t="array" ref="X2515"> if(iserror(MATCH(V2515, 'File Links'!C:C, 0)), "N/A", HYPERLINK(INDEX('File Links'!B:B, MATCH(V2515, 'File Links'!C:C, 0))))</f>
        <v>https://drive.google.com/file/d/1xaH1AdTN7K_tpV_fPvFUmkfl3Wi38a_0/view?usp=drivesdk</v>
      </c>
      <c r="Y2515" s="111"/>
      <c r="Z2515" s="122" t="s">
        <v>15001</v>
      </c>
      <c r="AA2515" s="122" t="s">
        <v>15002</v>
      </c>
      <c r="AB2515" s="122" t="s">
        <v>15003</v>
      </c>
      <c r="AC2515" s="122" t="s">
        <v>15004</v>
      </c>
      <c r="AD2515" s="116" t="s">
        <v>15005</v>
      </c>
      <c r="AE2515" s="122" t="s">
        <v>15006</v>
      </c>
      <c r="AF2515" s="537">
        <v>383.0</v>
      </c>
      <c r="AG2515" s="537">
        <v>8.0</v>
      </c>
      <c r="AH2515" s="122" t="s">
        <v>722</v>
      </c>
      <c r="AI2515" s="122" t="s">
        <v>882</v>
      </c>
      <c r="AJ2515" s="537">
        <v>0.01</v>
      </c>
      <c r="AK2515" s="122" t="s">
        <v>138</v>
      </c>
      <c r="AL2515" s="122" t="s">
        <v>186</v>
      </c>
      <c r="AM2515" s="122" t="s">
        <v>137</v>
      </c>
      <c r="AN2515" s="111"/>
      <c r="AO2515" s="537">
        <v>3783.0</v>
      </c>
      <c r="AP2515" s="2150">
        <v>0.279</v>
      </c>
      <c r="AQ2515" s="122" t="s">
        <v>15007</v>
      </c>
      <c r="AR2515" s="116" t="s">
        <v>15008</v>
      </c>
      <c r="AS2515" s="122" t="s">
        <v>138</v>
      </c>
      <c r="AT2515" s="122" t="s">
        <v>138</v>
      </c>
      <c r="AU2515" s="122" t="s">
        <v>186</v>
      </c>
      <c r="AV2515" s="122" t="s">
        <v>137</v>
      </c>
      <c r="AW2515" s="147" t="s">
        <v>138</v>
      </c>
      <c r="AX2515" s="122" t="s">
        <v>143</v>
      </c>
      <c r="AY2515" s="114" t="str">
        <f>IFERROR(__xludf.DUMMYFUNCTION("vlookup(BB2515,importrange(""https://docs.google.com/spreadsheets/d/1d2vevQ_7D_v35q4wCQ4RpQ_IPoTwEMB9Yp6ymwlPqew/edit?gid=984458430#gid=984458430"", ""'replication success'!A:K""), 11, FAlSE)"),"#N/A")</f>
        <v>#N/A</v>
      </c>
      <c r="AZ2515" s="114" t="str">
        <f>IFERROR(__xludf.DUMMYFUNCTION("vlookup(BB2515,importrange(""https://docs.google.com/spreadsheets/d/1d2vevQ_7D_v35q4wCQ4RpQ_IPoTwEMB9Yp6ymwlPqew/edit?gid=984458430#gid=984458430"", ""'replication success'!A:M""), 12, FAlSE)"),"#N/A")</f>
        <v>#N/A</v>
      </c>
      <c r="BA2515" s="114" t="str">
        <f>IFERROR(__xludf.DUMMYFUNCTION("vlookup(BB2515,importrange(""https://docs.google.com/spreadsheets/d/1d2vevQ_7D_v35q4wCQ4RpQ_IPoTwEMB9Yp6ymwlPqew/edit?gid=984458430#gid=984458430"", ""'replication success'!A:M""), 13, FAlSE)"),"#N/A")</f>
        <v>#N/A</v>
      </c>
      <c r="BB2515" s="114" t="str">
        <f>IFERROR(__xludf.DUMMYFUNCTION("REGEXREPLACE(G2515, ""_[a-z]{1,2}$"", """")"),"soscisubmission93")</f>
        <v>soscisubmission93</v>
      </c>
      <c r="BC2515" s="71"/>
      <c r="BD2515" s="149" t="s">
        <v>144</v>
      </c>
    </row>
    <row r="2516">
      <c r="A2516" s="110">
        <v>2516.0</v>
      </c>
      <c r="B2516" s="147" t="s">
        <v>152</v>
      </c>
      <c r="C2516" s="149" t="s">
        <v>115</v>
      </c>
      <c r="D2516" s="149" t="s">
        <v>176</v>
      </c>
      <c r="E2516" s="71"/>
      <c r="F2516" s="111" t="s">
        <v>14992</v>
      </c>
      <c r="G2516" s="122" t="s">
        <v>15009</v>
      </c>
      <c r="H2516" s="122" t="s">
        <v>7252</v>
      </c>
      <c r="I2516" s="417">
        <v>45767.0</v>
      </c>
      <c r="J2516" s="1888"/>
      <c r="K2516" s="122" t="s">
        <v>15010</v>
      </c>
      <c r="L2516" s="111"/>
      <c r="M2516" s="122" t="s">
        <v>14995</v>
      </c>
      <c r="N2516" s="122" t="s">
        <v>14996</v>
      </c>
      <c r="O2516" s="111"/>
      <c r="P2516" s="122" t="s">
        <v>14997</v>
      </c>
      <c r="Q2516" s="1161" t="str">
        <f t="array" ref="Q2516"> if(iserror(MATCH(V2516, 'File Links'!C:C, 0)), "N/A", HYPERLINK(INDEX('File Links'!B:B, MATCH(P2516, 'File Links'!C:C, 0))))</f>
        <v>https://drive.google.com/file/d/1UEfsbEURhIs10uMTifQAssGeEJtFUKKx/view?usp=drivesdk</v>
      </c>
      <c r="R2516" s="122" t="s">
        <v>14998</v>
      </c>
      <c r="S2516" s="122" t="s">
        <v>14999</v>
      </c>
      <c r="T2516" s="111"/>
      <c r="U2516" s="111"/>
      <c r="V2516" s="122" t="s">
        <v>15000</v>
      </c>
      <c r="W2516" s="111"/>
      <c r="X2516" s="1162" t="str">
        <f t="array" ref="X2516"> if(iserror(MATCH(V2516, 'File Links'!C:C, 0)), "N/A", HYPERLINK(INDEX('File Links'!B:B, MATCH(V2516, 'File Links'!C:C, 0))))</f>
        <v>https://drive.google.com/file/d/1xaH1AdTN7K_tpV_fPvFUmkfl3Wi38a_0/view?usp=drivesdk</v>
      </c>
      <c r="Y2516" s="111"/>
      <c r="Z2516" s="122" t="s">
        <v>15001</v>
      </c>
      <c r="AA2516" s="122" t="s">
        <v>15002</v>
      </c>
      <c r="AB2516" s="122" t="s">
        <v>15003</v>
      </c>
      <c r="AC2516" s="122" t="s">
        <v>15011</v>
      </c>
      <c r="AD2516" s="116" t="s">
        <v>15005</v>
      </c>
      <c r="AE2516" s="122" t="s">
        <v>15006</v>
      </c>
      <c r="AF2516" s="537">
        <v>383.0</v>
      </c>
      <c r="AG2516" s="537">
        <v>8.0</v>
      </c>
      <c r="AH2516" s="122" t="s">
        <v>722</v>
      </c>
      <c r="AI2516" s="122" t="s">
        <v>882</v>
      </c>
      <c r="AJ2516" s="537">
        <v>0.01</v>
      </c>
      <c r="AK2516" s="122" t="s">
        <v>138</v>
      </c>
      <c r="AL2516" s="122" t="s">
        <v>186</v>
      </c>
      <c r="AM2516" s="122" t="s">
        <v>137</v>
      </c>
      <c r="AN2516" s="111"/>
      <c r="AO2516" s="537">
        <v>3826.0</v>
      </c>
      <c r="AP2516" s="2150">
        <v>0.23</v>
      </c>
      <c r="AQ2516" s="122" t="s">
        <v>15007</v>
      </c>
      <c r="AR2516" s="116" t="s">
        <v>15008</v>
      </c>
      <c r="AS2516" s="122" t="s">
        <v>138</v>
      </c>
      <c r="AT2516" s="122" t="s">
        <v>138</v>
      </c>
      <c r="AU2516" s="122" t="s">
        <v>186</v>
      </c>
      <c r="AV2516" s="122" t="s">
        <v>137</v>
      </c>
      <c r="AW2516" s="147" t="s">
        <v>138</v>
      </c>
      <c r="AX2516" s="122" t="s">
        <v>143</v>
      </c>
      <c r="AY2516" s="114" t="str">
        <f>IFERROR(__xludf.DUMMYFUNCTION("vlookup(BB2516,importrange(""https://docs.google.com/spreadsheets/d/1d2vevQ_7D_v35q4wCQ4RpQ_IPoTwEMB9Yp6ymwlPqew/edit?gid=984458430#gid=984458430"", ""'replication success'!A:K""), 11, FAlSE)"),"#N/A")</f>
        <v>#N/A</v>
      </c>
      <c r="AZ2516" s="114" t="str">
        <f>IFERROR(__xludf.DUMMYFUNCTION("vlookup(BB2516,importrange(""https://docs.google.com/spreadsheets/d/1d2vevQ_7D_v35q4wCQ4RpQ_IPoTwEMB9Yp6ymwlPqew/edit?gid=984458430#gid=984458430"", ""'replication success'!A:M""), 12, FAlSE)"),"#N/A")</f>
        <v>#N/A</v>
      </c>
      <c r="BA2516" s="114" t="str">
        <f>IFERROR(__xludf.DUMMYFUNCTION("vlookup(BB2516,importrange(""https://docs.google.com/spreadsheets/d/1d2vevQ_7D_v35q4wCQ4RpQ_IPoTwEMB9Yp6ymwlPqew/edit?gid=984458430#gid=984458430"", ""'replication success'!A:M""), 13, FAlSE)"),"#N/A")</f>
        <v>#N/A</v>
      </c>
      <c r="BB2516" s="114" t="str">
        <f>IFERROR(__xludf.DUMMYFUNCTION("REGEXREPLACE(G2516, ""_[a-z]{1,2}$"", """")"),"soscisubmission93")</f>
        <v>soscisubmission93</v>
      </c>
      <c r="BC2516" s="71"/>
      <c r="BD2516" s="149" t="s">
        <v>144</v>
      </c>
    </row>
    <row r="2517">
      <c r="A2517" s="110">
        <v>2517.0</v>
      </c>
      <c r="B2517" s="147" t="s">
        <v>152</v>
      </c>
      <c r="C2517" s="149" t="s">
        <v>115</v>
      </c>
      <c r="D2517" s="149" t="s">
        <v>176</v>
      </c>
      <c r="E2517" s="71"/>
      <c r="F2517" s="111" t="s">
        <v>14992</v>
      </c>
      <c r="G2517" s="122" t="s">
        <v>15012</v>
      </c>
      <c r="H2517" s="122" t="s">
        <v>7252</v>
      </c>
      <c r="I2517" s="417">
        <v>45767.0</v>
      </c>
      <c r="J2517" s="1888"/>
      <c r="K2517" s="122" t="s">
        <v>15010</v>
      </c>
      <c r="L2517" s="111"/>
      <c r="M2517" s="122" t="s">
        <v>14995</v>
      </c>
      <c r="N2517" s="122" t="s">
        <v>14996</v>
      </c>
      <c r="O2517" s="111"/>
      <c r="P2517" s="122" t="s">
        <v>14997</v>
      </c>
      <c r="Q2517" s="1161" t="str">
        <f t="array" ref="Q2517"> if(iserror(MATCH(V2517, 'File Links'!C:C, 0)), "N/A", HYPERLINK(INDEX('File Links'!B:B, MATCH(P2517, 'File Links'!C:C, 0))))</f>
        <v>https://drive.google.com/file/d/1UEfsbEURhIs10uMTifQAssGeEJtFUKKx/view?usp=drivesdk</v>
      </c>
      <c r="R2517" s="122" t="s">
        <v>14998</v>
      </c>
      <c r="S2517" s="122" t="s">
        <v>14999</v>
      </c>
      <c r="T2517" s="111"/>
      <c r="U2517" s="111"/>
      <c r="V2517" s="122" t="s">
        <v>15000</v>
      </c>
      <c r="W2517" s="111"/>
      <c r="X2517" s="1162" t="str">
        <f t="array" ref="X2517"> if(iserror(MATCH(V2517, 'File Links'!C:C, 0)), "N/A", HYPERLINK(INDEX('File Links'!B:B, MATCH(V2517, 'File Links'!C:C, 0))))</f>
        <v>https://drive.google.com/file/d/1xaH1AdTN7K_tpV_fPvFUmkfl3Wi38a_0/view?usp=drivesdk</v>
      </c>
      <c r="Y2517" s="111"/>
      <c r="Z2517" s="122" t="s">
        <v>15001</v>
      </c>
      <c r="AA2517" s="122" t="s">
        <v>15002</v>
      </c>
      <c r="AB2517" s="122" t="s">
        <v>15003</v>
      </c>
      <c r="AC2517" s="122" t="s">
        <v>15013</v>
      </c>
      <c r="AD2517" s="116" t="s">
        <v>15005</v>
      </c>
      <c r="AE2517" s="122" t="s">
        <v>15006</v>
      </c>
      <c r="AF2517" s="537">
        <v>383.0</v>
      </c>
      <c r="AG2517" s="537">
        <v>8.0</v>
      </c>
      <c r="AH2517" s="122" t="s">
        <v>722</v>
      </c>
      <c r="AI2517" s="122" t="s">
        <v>882</v>
      </c>
      <c r="AJ2517" s="537">
        <v>0.01</v>
      </c>
      <c r="AK2517" s="122" t="s">
        <v>138</v>
      </c>
      <c r="AL2517" s="122" t="s">
        <v>186</v>
      </c>
      <c r="AM2517" s="122" t="s">
        <v>137</v>
      </c>
      <c r="AN2517" s="111"/>
      <c r="AO2517" s="537">
        <v>2990.0</v>
      </c>
      <c r="AP2517" s="2150">
        <v>0.219</v>
      </c>
      <c r="AQ2517" s="122" t="s">
        <v>15007</v>
      </c>
      <c r="AR2517" s="116" t="s">
        <v>15008</v>
      </c>
      <c r="AS2517" s="122" t="s">
        <v>138</v>
      </c>
      <c r="AT2517" s="122" t="s">
        <v>138</v>
      </c>
      <c r="AU2517" s="122" t="s">
        <v>186</v>
      </c>
      <c r="AV2517" s="122" t="s">
        <v>137</v>
      </c>
      <c r="AW2517" s="147" t="s">
        <v>138</v>
      </c>
      <c r="AX2517" s="122" t="s">
        <v>143</v>
      </c>
      <c r="AY2517" s="114" t="str">
        <f>IFERROR(__xludf.DUMMYFUNCTION("vlookup(BB2517,importrange(""https://docs.google.com/spreadsheets/d/1d2vevQ_7D_v35q4wCQ4RpQ_IPoTwEMB9Yp6ymwlPqew/edit?gid=984458430#gid=984458430"", ""'replication success'!A:K""), 11, FAlSE)"),"#N/A")</f>
        <v>#N/A</v>
      </c>
      <c r="AZ2517" s="114" t="str">
        <f>IFERROR(__xludf.DUMMYFUNCTION("vlookup(BB2517,importrange(""https://docs.google.com/spreadsheets/d/1d2vevQ_7D_v35q4wCQ4RpQ_IPoTwEMB9Yp6ymwlPqew/edit?gid=984458430#gid=984458430"", ""'replication success'!A:M""), 12, FAlSE)"),"#N/A")</f>
        <v>#N/A</v>
      </c>
      <c r="BA2517" s="114" t="str">
        <f>IFERROR(__xludf.DUMMYFUNCTION("vlookup(BB2517,importrange(""https://docs.google.com/spreadsheets/d/1d2vevQ_7D_v35q4wCQ4RpQ_IPoTwEMB9Yp6ymwlPqew/edit?gid=984458430#gid=984458430"", ""'replication success'!A:M""), 13, FAlSE)"),"#N/A")</f>
        <v>#N/A</v>
      </c>
      <c r="BB2517" s="114" t="str">
        <f>IFERROR(__xludf.DUMMYFUNCTION("REGEXREPLACE(G2517, ""_[a-z]{1,2}$"", """")"),"soscisubmission93")</f>
        <v>soscisubmission93</v>
      </c>
      <c r="BC2517" s="71"/>
      <c r="BD2517" s="149" t="s">
        <v>144</v>
      </c>
    </row>
    <row r="2518">
      <c r="A2518" s="44">
        <v>2518.0</v>
      </c>
      <c r="B2518" s="129" t="s">
        <v>523</v>
      </c>
      <c r="C2518" s="62" t="s">
        <v>115</v>
      </c>
      <c r="D2518" s="62" t="s">
        <v>176</v>
      </c>
      <c r="F2518" s="68" t="s">
        <v>15014</v>
      </c>
      <c r="G2518" s="159" t="s">
        <v>15015</v>
      </c>
      <c r="H2518" s="159" t="s">
        <v>7252</v>
      </c>
      <c r="I2518" s="152">
        <v>45767.0</v>
      </c>
      <c r="J2518" s="862"/>
      <c r="K2518" s="68"/>
      <c r="L2518" s="68"/>
      <c r="M2518" s="159" t="s">
        <v>15016</v>
      </c>
      <c r="N2518" s="159" t="s">
        <v>15017</v>
      </c>
      <c r="O2518" s="159" t="s">
        <v>4426</v>
      </c>
      <c r="P2518" s="382" t="s">
        <v>15018</v>
      </c>
      <c r="Q2518" s="52" t="str">
        <f t="array" ref="Q2518"> if(iserror(MATCH(V2518, 'File Links'!C:C, 0)), "N/A", HYPERLINK(INDEX('File Links'!B:B, MATCH(P2518, 'File Links'!C:C, 0))))</f>
        <v>https://drive.google.com/file/d/1tdE0c4oVWthHVrM1fRU9Hx8d8vQz1-mn/view?usp=drivesdk</v>
      </c>
      <c r="R2518" s="159" t="s">
        <v>15019</v>
      </c>
      <c r="S2518" s="159" t="s">
        <v>15020</v>
      </c>
      <c r="T2518" s="68"/>
      <c r="U2518" s="159" t="s">
        <v>4426</v>
      </c>
      <c r="V2518" s="382" t="s">
        <v>15021</v>
      </c>
      <c r="W2518" s="1228"/>
      <c r="X2518" s="54" t="str">
        <f t="array" ref="X2518"> if(iserror(MATCH(V2518, 'File Links'!C:C, 0)), "N/A", HYPERLINK(INDEX('File Links'!B:B, MATCH(V2518, 'File Links'!C:C, 0))))</f>
        <v>https://drive.google.com/file/d/1M_QRPQwfBMR3RZaCJW-QHGxqNlm5L1OL/view?usp=drivesdk</v>
      </c>
      <c r="Y2518" s="68"/>
      <c r="Z2518" s="159" t="s">
        <v>148</v>
      </c>
      <c r="AA2518" s="159" t="s">
        <v>15022</v>
      </c>
      <c r="AB2518" s="159" t="s">
        <v>15023</v>
      </c>
      <c r="AC2518" s="704" t="s">
        <v>15024</v>
      </c>
      <c r="AD2518" s="159" t="s">
        <v>15025</v>
      </c>
      <c r="AE2518" s="159" t="s">
        <v>507</v>
      </c>
      <c r="AF2518" s="156">
        <v>14.0</v>
      </c>
      <c r="AG2518" s="156">
        <v>0.27</v>
      </c>
      <c r="AH2518" s="159" t="s">
        <v>139</v>
      </c>
      <c r="AI2518" s="159" t="s">
        <v>14989</v>
      </c>
      <c r="AJ2518" s="156">
        <v>0.018</v>
      </c>
      <c r="AK2518" s="159" t="s">
        <v>172</v>
      </c>
      <c r="AL2518" s="159" t="s">
        <v>186</v>
      </c>
      <c r="AM2518" s="159" t="s">
        <v>141</v>
      </c>
      <c r="AN2518" s="68"/>
      <c r="AO2518" s="1070">
        <v>50.0</v>
      </c>
      <c r="AP2518" s="156">
        <v>0.314</v>
      </c>
      <c r="AQ2518" s="159" t="s">
        <v>139</v>
      </c>
      <c r="AR2518" s="159" t="s">
        <v>496</v>
      </c>
      <c r="AS2518" s="156">
        <v>0.001</v>
      </c>
      <c r="AT2518" s="159" t="s">
        <v>135</v>
      </c>
      <c r="AU2518" s="159" t="s">
        <v>186</v>
      </c>
      <c r="AV2518" s="159" t="s">
        <v>141</v>
      </c>
      <c r="AW2518" s="435" t="s">
        <v>15026</v>
      </c>
      <c r="AX2518" s="159" t="s">
        <v>143</v>
      </c>
      <c r="AY2518" s="61" t="str">
        <f>IFERROR(__xludf.DUMMYFUNCTION("vlookup(BB2518,importrange(""https://docs.google.com/spreadsheets/d/1d2vevQ_7D_v35q4wCQ4RpQ_IPoTwEMB9Yp6ymwlPqew/edit?gid=984458430#gid=984458430"", ""'replication success'!A:K""), 11, FAlSE)"),"#N/A")</f>
        <v>#N/A</v>
      </c>
      <c r="AZ2518" s="61" t="str">
        <f>IFERROR(__xludf.DUMMYFUNCTION("vlookup(BB2518,importrange(""https://docs.google.com/spreadsheets/d/1d2vevQ_7D_v35q4wCQ4RpQ_IPoTwEMB9Yp6ymwlPqew/edit?gid=984458430#gid=984458430"", ""'replication success'!A:M""), 12, FAlSE)"),"#N/A")</f>
        <v>#N/A</v>
      </c>
      <c r="BA2518" s="61" t="str">
        <f>IFERROR(__xludf.DUMMYFUNCTION("vlookup(BB2518,importrange(""https://docs.google.com/spreadsheets/d/1d2vevQ_7D_v35q4wCQ4RpQ_IPoTwEMB9Yp6ymwlPqew/edit?gid=984458430#gid=984458430"", ""'replication success'!A:M""), 13, FAlSE)"),"#N/A")</f>
        <v>#N/A</v>
      </c>
      <c r="BB2518" s="61" t="str">
        <f>IFERROR(__xludf.DUMMYFUNCTION("REGEXREPLACE(G2518, ""_[a-z]{1,2}$"", """")"),"soscisubmission83")</f>
        <v>soscisubmission83</v>
      </c>
      <c r="BD2518" s="1063" t="s">
        <v>13231</v>
      </c>
    </row>
    <row r="2519">
      <c r="A2519" s="44">
        <v>2519.0</v>
      </c>
      <c r="B2519" s="129" t="s">
        <v>523</v>
      </c>
      <c r="C2519" s="62" t="s">
        <v>115</v>
      </c>
      <c r="D2519" s="62" t="s">
        <v>176</v>
      </c>
      <c r="F2519" s="68" t="s">
        <v>15027</v>
      </c>
      <c r="G2519" s="159" t="s">
        <v>15028</v>
      </c>
      <c r="H2519" s="159" t="s">
        <v>7252</v>
      </c>
      <c r="I2519" s="152">
        <v>45767.0</v>
      </c>
      <c r="J2519" s="862"/>
      <c r="K2519" s="68"/>
      <c r="L2519" s="68"/>
      <c r="M2519" s="159" t="s">
        <v>15016</v>
      </c>
      <c r="N2519" s="159" t="s">
        <v>15017</v>
      </c>
      <c r="O2519" s="159" t="s">
        <v>4732</v>
      </c>
      <c r="P2519" s="382" t="s">
        <v>15018</v>
      </c>
      <c r="Q2519" s="52" t="str">
        <f t="array" ref="Q2519"> if(iserror(MATCH(V2519, 'File Links'!C:C, 0)), "N/A", HYPERLINK(INDEX('File Links'!B:B, MATCH(P2519, 'File Links'!C:C, 0))))</f>
        <v>https://drive.google.com/file/d/1tdE0c4oVWthHVrM1fRU9Hx8d8vQz1-mn/view?usp=drivesdk</v>
      </c>
      <c r="R2519" s="159" t="s">
        <v>15019</v>
      </c>
      <c r="S2519" s="159" t="s">
        <v>15020</v>
      </c>
      <c r="T2519" s="68"/>
      <c r="U2519" s="159" t="s">
        <v>4732</v>
      </c>
      <c r="V2519" s="382" t="s">
        <v>15021</v>
      </c>
      <c r="W2519" s="1228"/>
      <c r="X2519" s="54" t="str">
        <f t="array" ref="X2519"> if(iserror(MATCH(V2519, 'File Links'!C:C, 0)), "N/A", HYPERLINK(INDEX('File Links'!B:B, MATCH(V2519, 'File Links'!C:C, 0))))</f>
        <v>https://drive.google.com/file/d/1M_QRPQwfBMR3RZaCJW-QHGxqNlm5L1OL/view?usp=drivesdk</v>
      </c>
      <c r="Y2519" s="68"/>
      <c r="Z2519" s="159" t="s">
        <v>148</v>
      </c>
      <c r="AA2519" s="159" t="s">
        <v>15029</v>
      </c>
      <c r="AB2519" s="159" t="s">
        <v>15023</v>
      </c>
      <c r="AC2519" s="704" t="s">
        <v>15030</v>
      </c>
      <c r="AD2519" s="159" t="s">
        <v>15031</v>
      </c>
      <c r="AE2519" s="159" t="s">
        <v>882</v>
      </c>
      <c r="AF2519" s="156">
        <v>30.0</v>
      </c>
      <c r="AG2519" s="156">
        <v>0.16</v>
      </c>
      <c r="AH2519" s="159" t="s">
        <v>139</v>
      </c>
      <c r="AI2519" s="159" t="s">
        <v>496</v>
      </c>
      <c r="AJ2519" s="156">
        <v>0.026</v>
      </c>
      <c r="AK2519" s="159" t="s">
        <v>172</v>
      </c>
      <c r="AL2519" s="159" t="s">
        <v>186</v>
      </c>
      <c r="AM2519" s="159" t="s">
        <v>141</v>
      </c>
      <c r="AN2519" s="68"/>
      <c r="AO2519" s="1070">
        <v>51.0</v>
      </c>
      <c r="AP2519" s="156">
        <v>0.015</v>
      </c>
      <c r="AQ2519" s="159" t="s">
        <v>139</v>
      </c>
      <c r="AR2519" s="159" t="s">
        <v>1042</v>
      </c>
      <c r="AS2519" s="156">
        <v>0.4</v>
      </c>
      <c r="AT2519" s="159" t="s">
        <v>172</v>
      </c>
      <c r="AU2519" s="159" t="s">
        <v>186</v>
      </c>
      <c r="AV2519" s="159" t="s">
        <v>141</v>
      </c>
      <c r="AW2519" s="435" t="s">
        <v>15026</v>
      </c>
      <c r="AX2519" s="159" t="s">
        <v>143</v>
      </c>
      <c r="AY2519" s="61" t="str">
        <f>IFERROR(__xludf.DUMMYFUNCTION("vlookup(BB2519,importrange(""https://docs.google.com/spreadsheets/d/1d2vevQ_7D_v35q4wCQ4RpQ_IPoTwEMB9Yp6ymwlPqew/edit?gid=984458430#gid=984458430"", ""'replication success'!A:K""), 11, FAlSE)"),"#N/A")</f>
        <v>#N/A</v>
      </c>
      <c r="AZ2519" s="61" t="str">
        <f>IFERROR(__xludf.DUMMYFUNCTION("vlookup(BB2519,importrange(""https://docs.google.com/spreadsheets/d/1d2vevQ_7D_v35q4wCQ4RpQ_IPoTwEMB9Yp6ymwlPqew/edit?gid=984458430#gid=984458430"", ""'replication success'!A:M""), 12, FAlSE)"),"#N/A")</f>
        <v>#N/A</v>
      </c>
      <c r="BA2519" s="61" t="str">
        <f>IFERROR(__xludf.DUMMYFUNCTION("vlookup(BB2519,importrange(""https://docs.google.com/spreadsheets/d/1d2vevQ_7D_v35q4wCQ4RpQ_IPoTwEMB9Yp6ymwlPqew/edit?gid=984458430#gid=984458430"", ""'replication success'!A:M""), 13, FAlSE)"),"#N/A")</f>
        <v>#N/A</v>
      </c>
      <c r="BB2519" s="61" t="str">
        <f>IFERROR(__xludf.DUMMYFUNCTION("REGEXREPLACE(G2519, ""_[a-z]{1,2}$"", """")"),"soscisubmission84")</f>
        <v>soscisubmission84</v>
      </c>
      <c r="BD2519" s="1063" t="s">
        <v>13231</v>
      </c>
    </row>
    <row r="2520">
      <c r="A2520" s="44">
        <v>2520.0</v>
      </c>
      <c r="B2520" s="129" t="s">
        <v>523</v>
      </c>
      <c r="C2520" s="62" t="s">
        <v>115</v>
      </c>
      <c r="D2520" s="62" t="s">
        <v>176</v>
      </c>
      <c r="F2520" s="68" t="s">
        <v>15032</v>
      </c>
      <c r="G2520" s="159" t="s">
        <v>15015</v>
      </c>
      <c r="H2520" s="159" t="s">
        <v>7252</v>
      </c>
      <c r="I2520" s="152">
        <v>45767.0</v>
      </c>
      <c r="J2520" s="862"/>
      <c r="K2520" s="68"/>
      <c r="L2520" s="68"/>
      <c r="M2520" s="159" t="s">
        <v>15016</v>
      </c>
      <c r="N2520" s="159" t="s">
        <v>15017</v>
      </c>
      <c r="O2520" s="159" t="s">
        <v>3805</v>
      </c>
      <c r="P2520" s="382" t="s">
        <v>15018</v>
      </c>
      <c r="Q2520" s="52" t="str">
        <f t="array" ref="Q2520"> if(iserror(MATCH(V2520, 'File Links'!C:C, 0)), "N/A", HYPERLINK(INDEX('File Links'!B:B, MATCH(P2520, 'File Links'!C:C, 0))))</f>
        <v>https://drive.google.com/file/d/1tdE0c4oVWthHVrM1fRU9Hx8d8vQz1-mn/view?usp=drivesdk</v>
      </c>
      <c r="R2520" s="159" t="s">
        <v>15019</v>
      </c>
      <c r="S2520" s="159" t="s">
        <v>15020</v>
      </c>
      <c r="T2520" s="68"/>
      <c r="U2520" s="159" t="s">
        <v>3805</v>
      </c>
      <c r="V2520" s="382" t="s">
        <v>15021</v>
      </c>
      <c r="W2520" s="1228"/>
      <c r="X2520" s="54" t="str">
        <f t="array" ref="X2520"> if(iserror(MATCH(V2520, 'File Links'!C:C, 0)), "N/A", HYPERLINK(INDEX('File Links'!B:B, MATCH(V2520, 'File Links'!C:C, 0))))</f>
        <v>https://drive.google.com/file/d/1M_QRPQwfBMR3RZaCJW-QHGxqNlm5L1OL/view?usp=drivesdk</v>
      </c>
      <c r="Y2520" s="68"/>
      <c r="Z2520" s="159" t="s">
        <v>148</v>
      </c>
      <c r="AA2520" s="159" t="s">
        <v>15029</v>
      </c>
      <c r="AB2520" s="159" t="s">
        <v>15023</v>
      </c>
      <c r="AC2520" s="704" t="s">
        <v>15033</v>
      </c>
      <c r="AD2520" s="159" t="s">
        <v>15034</v>
      </c>
      <c r="AE2520" s="159" t="s">
        <v>4979</v>
      </c>
      <c r="AF2520" s="156">
        <v>12.0</v>
      </c>
      <c r="AG2520" s="156">
        <v>0.35</v>
      </c>
      <c r="AH2520" s="159" t="s">
        <v>139</v>
      </c>
      <c r="AI2520" s="159" t="s">
        <v>1042</v>
      </c>
      <c r="AJ2520" s="156">
        <v>0.033</v>
      </c>
      <c r="AK2520" s="159" t="s">
        <v>172</v>
      </c>
      <c r="AL2520" s="159" t="s">
        <v>186</v>
      </c>
      <c r="AM2520" s="159" t="s">
        <v>141</v>
      </c>
      <c r="AN2520" s="68"/>
      <c r="AO2520" s="1070">
        <v>50.0</v>
      </c>
      <c r="AP2520" s="156">
        <v>0.118</v>
      </c>
      <c r="AQ2520" s="159" t="s">
        <v>139</v>
      </c>
      <c r="AR2520" s="159" t="s">
        <v>604</v>
      </c>
      <c r="AS2520" s="156">
        <v>0.14</v>
      </c>
      <c r="AT2520" s="159" t="s">
        <v>172</v>
      </c>
      <c r="AU2520" s="159" t="s">
        <v>186</v>
      </c>
      <c r="AV2520" s="159" t="s">
        <v>141</v>
      </c>
      <c r="AW2520" s="435" t="s">
        <v>15026</v>
      </c>
      <c r="AX2520" s="159" t="s">
        <v>143</v>
      </c>
      <c r="AY2520" s="61" t="str">
        <f>IFERROR(__xludf.DUMMYFUNCTION("vlookup(BB2520,importrange(""https://docs.google.com/spreadsheets/d/1d2vevQ_7D_v35q4wCQ4RpQ_IPoTwEMB9Yp6ymwlPqew/edit?gid=984458430#gid=984458430"", ""'replication success'!A:K""), 11, FAlSE)"),"#N/A")</f>
        <v>#N/A</v>
      </c>
      <c r="AZ2520" s="61" t="str">
        <f>IFERROR(__xludf.DUMMYFUNCTION("vlookup(BB2520,importrange(""https://docs.google.com/spreadsheets/d/1d2vevQ_7D_v35q4wCQ4RpQ_IPoTwEMB9Yp6ymwlPqew/edit?gid=984458430#gid=984458430"", ""'replication success'!A:M""), 12, FAlSE)"),"#N/A")</f>
        <v>#N/A</v>
      </c>
      <c r="BA2520" s="61" t="str">
        <f>IFERROR(__xludf.DUMMYFUNCTION("vlookup(BB2520,importrange(""https://docs.google.com/spreadsheets/d/1d2vevQ_7D_v35q4wCQ4RpQ_IPoTwEMB9Yp6ymwlPqew/edit?gid=984458430#gid=984458430"", ""'replication success'!A:M""), 13, FAlSE)"),"#N/A")</f>
        <v>#N/A</v>
      </c>
      <c r="BB2520" s="61" t="str">
        <f>IFERROR(__xludf.DUMMYFUNCTION("REGEXREPLACE(G2520, ""_[a-z]{1,2}$"", """")"),"soscisubmission83")</f>
        <v>soscisubmission83</v>
      </c>
      <c r="BD2520" s="1063" t="s">
        <v>13231</v>
      </c>
    </row>
    <row r="2521">
      <c r="A2521" s="44">
        <v>2521.0</v>
      </c>
      <c r="B2521" s="129" t="s">
        <v>523</v>
      </c>
      <c r="C2521" s="62" t="s">
        <v>115</v>
      </c>
      <c r="D2521" s="62" t="s">
        <v>176</v>
      </c>
      <c r="F2521" s="68" t="s">
        <v>15035</v>
      </c>
      <c r="G2521" s="159" t="s">
        <v>15036</v>
      </c>
      <c r="H2521" s="159" t="s">
        <v>7252</v>
      </c>
      <c r="I2521" s="152">
        <v>45767.0</v>
      </c>
      <c r="J2521" s="862"/>
      <c r="K2521" s="68"/>
      <c r="L2521" s="68"/>
      <c r="M2521" s="159" t="s">
        <v>15037</v>
      </c>
      <c r="N2521" s="159" t="s">
        <v>15017</v>
      </c>
      <c r="O2521" s="159" t="s">
        <v>4426</v>
      </c>
      <c r="P2521" s="382" t="s">
        <v>15018</v>
      </c>
      <c r="Q2521" s="52" t="str">
        <f t="array" ref="Q2521"> if(iserror(MATCH(V2521, 'File Links'!C:C, 0)), "N/A", HYPERLINK(INDEX('File Links'!B:B, MATCH(P2521, 'File Links'!C:C, 0))))</f>
        <v>https://drive.google.com/file/d/1tdE0c4oVWthHVrM1fRU9Hx8d8vQz1-mn/view?usp=drivesdk</v>
      </c>
      <c r="R2521" s="159" t="s">
        <v>15038</v>
      </c>
      <c r="S2521" s="159" t="s">
        <v>15039</v>
      </c>
      <c r="T2521" s="68"/>
      <c r="U2521" s="159" t="s">
        <v>4732</v>
      </c>
      <c r="V2521" s="382" t="s">
        <v>15040</v>
      </c>
      <c r="W2521" s="1228"/>
      <c r="X2521" s="54" t="str">
        <f t="array" ref="X2521"> if(iserror(MATCH(V2521, 'File Links'!C:C, 0)), "N/A", HYPERLINK(INDEX('File Links'!B:B, MATCH(V2521, 'File Links'!C:C, 0))))</f>
        <v>https://drive.google.com/file/d/16jKwdpMjv9iC7Mu_8eP1ZQM-NCwIIMLR/view?usp=drivesdk</v>
      </c>
      <c r="Y2521" s="68"/>
      <c r="Z2521" s="159" t="s">
        <v>148</v>
      </c>
      <c r="AA2521" s="159" t="s">
        <v>15041</v>
      </c>
      <c r="AB2521" s="159" t="s">
        <v>15023</v>
      </c>
      <c r="AC2521" s="704" t="s">
        <v>15042</v>
      </c>
      <c r="AD2521" s="159" t="s">
        <v>15025</v>
      </c>
      <c r="AE2521" s="159" t="s">
        <v>507</v>
      </c>
      <c r="AF2521" s="156">
        <v>14.0</v>
      </c>
      <c r="AG2521" s="156">
        <v>0.27</v>
      </c>
      <c r="AH2521" s="159" t="s">
        <v>139</v>
      </c>
      <c r="AI2521" s="159" t="s">
        <v>14989</v>
      </c>
      <c r="AJ2521" s="156">
        <v>0.018</v>
      </c>
      <c r="AK2521" s="159" t="s">
        <v>172</v>
      </c>
      <c r="AL2521" s="159" t="s">
        <v>186</v>
      </c>
      <c r="AM2521" s="159" t="s">
        <v>141</v>
      </c>
      <c r="AN2521" s="68"/>
      <c r="AO2521" s="1070">
        <v>38.0</v>
      </c>
      <c r="AP2521" s="156">
        <v>0.04</v>
      </c>
      <c r="AQ2521" s="159" t="s">
        <v>139</v>
      </c>
      <c r="AR2521" s="159" t="s">
        <v>15043</v>
      </c>
      <c r="AS2521" s="156">
        <v>0.194</v>
      </c>
      <c r="AT2521" s="159" t="s">
        <v>172</v>
      </c>
      <c r="AU2521" s="159" t="s">
        <v>186</v>
      </c>
      <c r="AV2521" s="159" t="s">
        <v>141</v>
      </c>
      <c r="AW2521" s="435" t="s">
        <v>15044</v>
      </c>
      <c r="AX2521" s="159" t="s">
        <v>143</v>
      </c>
      <c r="AY2521" s="61" t="str">
        <f>IFERROR(__xludf.DUMMYFUNCTION("vlookup(BB2521,importrange(""https://docs.google.com/spreadsheets/d/1d2vevQ_7D_v35q4wCQ4RpQ_IPoTwEMB9Yp6ymwlPqew/edit?gid=984458430#gid=984458430"", ""'replication success'!A:K""), 11, FAlSE)"),"#N/A")</f>
        <v>#N/A</v>
      </c>
      <c r="AZ2521" s="61" t="str">
        <f>IFERROR(__xludf.DUMMYFUNCTION("vlookup(BB2521,importrange(""https://docs.google.com/spreadsheets/d/1d2vevQ_7D_v35q4wCQ4RpQ_IPoTwEMB9Yp6ymwlPqew/edit?gid=984458430#gid=984458430"", ""'replication success'!A:M""), 12, FAlSE)"),"#N/A")</f>
        <v>#N/A</v>
      </c>
      <c r="BA2521" s="61" t="str">
        <f>IFERROR(__xludf.DUMMYFUNCTION("vlookup(BB2521,importrange(""https://docs.google.com/spreadsheets/d/1d2vevQ_7D_v35q4wCQ4RpQ_IPoTwEMB9Yp6ymwlPqew/edit?gid=984458430#gid=984458430"", ""'replication success'!A:M""), 13, FAlSE)"),"#N/A")</f>
        <v>#N/A</v>
      </c>
      <c r="BB2521" s="61" t="str">
        <f>IFERROR(__xludf.DUMMYFUNCTION("REGEXREPLACE(G2521, ""_[a-z]{1,2}$"", """")"),"soscisubmission89")</f>
        <v>soscisubmission89</v>
      </c>
      <c r="BD2521" s="1063" t="s">
        <v>13231</v>
      </c>
    </row>
    <row r="2522">
      <c r="A2522" s="689">
        <v>2522.0</v>
      </c>
      <c r="B2522" s="374" t="s">
        <v>152</v>
      </c>
      <c r="C2522" s="188" t="s">
        <v>115</v>
      </c>
      <c r="D2522" s="188" t="s">
        <v>176</v>
      </c>
      <c r="E2522" s="189"/>
      <c r="F2522" s="190" t="s">
        <v>15045</v>
      </c>
      <c r="G2522" s="198" t="s">
        <v>15046</v>
      </c>
      <c r="H2522" s="198" t="s">
        <v>7252</v>
      </c>
      <c r="I2522" s="191">
        <v>45767.0</v>
      </c>
      <c r="J2522" s="796"/>
      <c r="K2522" s="198" t="s">
        <v>15047</v>
      </c>
      <c r="L2522" s="190"/>
      <c r="M2522" s="575" t="s">
        <v>15048</v>
      </c>
      <c r="N2522" s="993" t="s">
        <v>15049</v>
      </c>
      <c r="O2522" s="198" t="s">
        <v>15050</v>
      </c>
      <c r="P2522" s="198" t="s">
        <v>15051</v>
      </c>
      <c r="Q2522" s="2151" t="s">
        <v>15052</v>
      </c>
      <c r="R2522" s="198" t="s">
        <v>15053</v>
      </c>
      <c r="S2522" s="198" t="s">
        <v>15054</v>
      </c>
      <c r="T2522" s="190"/>
      <c r="U2522" s="198" t="s">
        <v>3848</v>
      </c>
      <c r="V2522" s="198" t="s">
        <v>15055</v>
      </c>
      <c r="W2522" s="190"/>
      <c r="X2522" s="1169" t="str">
        <f t="array" ref="X2522"> if(iserror(MATCH(V2522, 'File Links'!C:C, 0)), "N/A", HYPERLINK(INDEX('File Links'!B:B, MATCH(V2522, 'File Links'!C:C, 0))))</f>
        <v>https://drive.google.com/file/d/1wcNLyGRa4gXByWTxj5jatSzrFvsBvEOa/view?usp=drivesdk</v>
      </c>
      <c r="Y2522" s="190"/>
      <c r="Z2522" s="198" t="s">
        <v>226</v>
      </c>
      <c r="AA2522" s="198" t="s">
        <v>15056</v>
      </c>
      <c r="AB2522" s="198" t="s">
        <v>15057</v>
      </c>
      <c r="AC2522" s="198" t="s">
        <v>15058</v>
      </c>
      <c r="AD2522" s="575" t="s">
        <v>15059</v>
      </c>
      <c r="AE2522" s="198" t="s">
        <v>4979</v>
      </c>
      <c r="AF2522" s="758">
        <v>44.0</v>
      </c>
      <c r="AG2522" s="758">
        <v>0.1</v>
      </c>
      <c r="AH2522" s="198" t="s">
        <v>874</v>
      </c>
      <c r="AI2522" s="198" t="s">
        <v>4979</v>
      </c>
      <c r="AJ2522" s="758">
        <v>0.045</v>
      </c>
      <c r="AK2522" s="198" t="s">
        <v>172</v>
      </c>
      <c r="AL2522" s="198" t="s">
        <v>186</v>
      </c>
      <c r="AM2522" s="198" t="s">
        <v>141</v>
      </c>
      <c r="AN2522" s="190"/>
      <c r="AO2522" s="758">
        <v>489.0</v>
      </c>
      <c r="AP2522" s="198" t="s">
        <v>15060</v>
      </c>
      <c r="AQ2522" s="198" t="s">
        <v>134</v>
      </c>
      <c r="AR2522" s="198" t="s">
        <v>15061</v>
      </c>
      <c r="AS2522" s="758">
        <v>0.016</v>
      </c>
      <c r="AT2522" s="198" t="s">
        <v>172</v>
      </c>
      <c r="AU2522" s="198" t="s">
        <v>186</v>
      </c>
      <c r="AV2522" s="198" t="s">
        <v>141</v>
      </c>
      <c r="AW2522" s="877" t="s">
        <v>15062</v>
      </c>
      <c r="AX2522" s="198" t="s">
        <v>143</v>
      </c>
      <c r="AY2522" s="193" t="str">
        <f>IFERROR(__xludf.DUMMYFUNCTION("vlookup(BB2522,importrange(""https://docs.google.com/spreadsheets/d/1d2vevQ_7D_v35q4wCQ4RpQ_IPoTwEMB9Yp6ymwlPqew/edit?gid=984458430#gid=984458430"", ""'replication success'!A:K""), 11, FAlSE)"),"#N/A")</f>
        <v>#N/A</v>
      </c>
      <c r="AZ2522" s="193" t="str">
        <f>IFERROR(__xludf.DUMMYFUNCTION("vlookup(BB2522,importrange(""https://docs.google.com/spreadsheets/d/1d2vevQ_7D_v35q4wCQ4RpQ_IPoTwEMB9Yp6ymwlPqew/edit?gid=984458430#gid=984458430"", ""'replication success'!A:M""), 12, FAlSE)"),"#N/A")</f>
        <v>#N/A</v>
      </c>
      <c r="BA2522" s="193" t="str">
        <f>IFERROR(__xludf.DUMMYFUNCTION("vlookup(BB2522,importrange(""https://docs.google.com/spreadsheets/d/1d2vevQ_7D_v35q4wCQ4RpQ_IPoTwEMB9Yp6ymwlPqew/edit?gid=984458430#gid=984458430"", ""'replication success'!A:M""), 13, FAlSE)"),"#N/A")</f>
        <v>#N/A</v>
      </c>
      <c r="BB2522" s="193" t="str">
        <f>IFERROR(__xludf.DUMMYFUNCTION("REGEXREPLACE(G2522, ""_[a-z]{1,2}$"", """")"),"soscisubmission54")</f>
        <v>soscisubmission54</v>
      </c>
      <c r="BC2522" s="189"/>
      <c r="BD2522" s="188" t="s">
        <v>144</v>
      </c>
    </row>
    <row r="2523">
      <c r="A2523" s="689">
        <v>2523.0</v>
      </c>
      <c r="B2523" s="374" t="s">
        <v>152</v>
      </c>
      <c r="C2523" s="188" t="s">
        <v>115</v>
      </c>
      <c r="D2523" s="188" t="s">
        <v>176</v>
      </c>
      <c r="E2523" s="189"/>
      <c r="F2523" s="190" t="s">
        <v>15063</v>
      </c>
      <c r="G2523" s="198" t="s">
        <v>15064</v>
      </c>
      <c r="H2523" s="198" t="s">
        <v>7252</v>
      </c>
      <c r="I2523" s="191">
        <v>45767.0</v>
      </c>
      <c r="J2523" s="796"/>
      <c r="K2523" s="190"/>
      <c r="L2523" s="374" t="s">
        <v>15065</v>
      </c>
      <c r="M2523" s="198" t="s">
        <v>15066</v>
      </c>
      <c r="N2523" s="993" t="s">
        <v>15067</v>
      </c>
      <c r="O2523" s="198" t="s">
        <v>4732</v>
      </c>
      <c r="P2523" s="198" t="s">
        <v>15068</v>
      </c>
      <c r="Q2523" s="1168" t="str">
        <f t="array" ref="Q2523"> if(iserror(MATCH(V2523, 'File Links'!C:C, 0)), "N/A", HYPERLINK(INDEX('File Links'!B:B, MATCH(P2523, 'File Links'!C:C, 0))))</f>
        <v>https://drive.google.com/file/d/1cnM2XgZQxYQfpwgE4BmFxY_VVTpXHKKM/view?usp=drivesdk</v>
      </c>
      <c r="R2523" s="198" t="s">
        <v>15069</v>
      </c>
      <c r="S2523" s="198" t="s">
        <v>15070</v>
      </c>
      <c r="T2523" s="190"/>
      <c r="U2523" s="198" t="s">
        <v>4732</v>
      </c>
      <c r="V2523" s="198" t="s">
        <v>15071</v>
      </c>
      <c r="W2523" s="190"/>
      <c r="X2523" s="1169" t="str">
        <f t="array" ref="X2523"> if(iserror(MATCH(V2523, 'File Links'!C:C, 0)), "N/A", HYPERLINK(INDEX('File Links'!B:B, MATCH(V2523, 'File Links'!C:C, 0))))</f>
        <v>https://drive.google.com/file/d/1p6gI2cN5UJ165JXGw5A-NDRQ1yEvL2O-/view?usp=drivesdk</v>
      </c>
      <c r="Y2523" s="190"/>
      <c r="Z2523" s="198" t="s">
        <v>15072</v>
      </c>
      <c r="AA2523" s="198" t="s">
        <v>15073</v>
      </c>
      <c r="AB2523" s="198" t="s">
        <v>15074</v>
      </c>
      <c r="AC2523" s="198" t="s">
        <v>15075</v>
      </c>
      <c r="AD2523" s="575" t="s">
        <v>15076</v>
      </c>
      <c r="AE2523" s="198" t="s">
        <v>2771</v>
      </c>
      <c r="AF2523" s="758">
        <v>16.0</v>
      </c>
      <c r="AG2523" s="575" t="s">
        <v>15077</v>
      </c>
      <c r="AH2523" s="198" t="s">
        <v>134</v>
      </c>
      <c r="AI2523" s="198" t="s">
        <v>2771</v>
      </c>
      <c r="AJ2523" s="758">
        <v>0.005</v>
      </c>
      <c r="AK2523" s="198" t="s">
        <v>135</v>
      </c>
      <c r="AL2523" s="198" t="s">
        <v>186</v>
      </c>
      <c r="AM2523" s="198" t="s">
        <v>141</v>
      </c>
      <c r="AN2523" s="190"/>
      <c r="AO2523" s="758">
        <v>96.0</v>
      </c>
      <c r="AP2523" s="575" t="s">
        <v>15078</v>
      </c>
      <c r="AQ2523" s="198" t="s">
        <v>134</v>
      </c>
      <c r="AR2523" s="575">
        <v>7.0</v>
      </c>
      <c r="AS2523" s="795">
        <v>0.896</v>
      </c>
      <c r="AT2523" s="198" t="s">
        <v>172</v>
      </c>
      <c r="AU2523" s="198" t="s">
        <v>186</v>
      </c>
      <c r="AV2523" s="198" t="s">
        <v>141</v>
      </c>
      <c r="AW2523" s="1126" t="s">
        <v>15079</v>
      </c>
      <c r="AX2523" s="198" t="s">
        <v>143</v>
      </c>
      <c r="AY2523" s="193" t="str">
        <f>IFERROR(__xludf.DUMMYFUNCTION("vlookup(BB2523,importrange(""https://docs.google.com/spreadsheets/d/1d2vevQ_7D_v35q4wCQ4RpQ_IPoTwEMB9Yp6ymwlPqew/edit?gid=984458430#gid=984458430"", ""'replication success'!A:K""), 11, FAlSE)"),"#N/A")</f>
        <v>#N/A</v>
      </c>
      <c r="AZ2523" s="193" t="str">
        <f>IFERROR(__xludf.DUMMYFUNCTION("vlookup(BB2523,importrange(""https://docs.google.com/spreadsheets/d/1d2vevQ_7D_v35q4wCQ4RpQ_IPoTwEMB9Yp6ymwlPqew/edit?gid=984458430#gid=984458430"", ""'replication success'!A:M""), 12, FAlSE)"),"#N/A")</f>
        <v>#N/A</v>
      </c>
      <c r="BA2523" s="193" t="str">
        <f>IFERROR(__xludf.DUMMYFUNCTION("vlookup(BB2523,importrange(""https://docs.google.com/spreadsheets/d/1d2vevQ_7D_v35q4wCQ4RpQ_IPoTwEMB9Yp6ymwlPqew/edit?gid=984458430#gid=984458430"", ""'replication success'!A:M""), 13, FAlSE)"),"#N/A")</f>
        <v>#N/A</v>
      </c>
      <c r="BB2523" s="193" t="str">
        <f>IFERROR(__xludf.DUMMYFUNCTION("REGEXREPLACE(G2523, ""_[a-z]{1,2}$"", """")"),"soscisubmission55")</f>
        <v>soscisubmission55</v>
      </c>
      <c r="BC2523" s="189"/>
      <c r="BD2523" s="188" t="s">
        <v>144</v>
      </c>
    </row>
    <row r="2524">
      <c r="A2524" s="689">
        <v>2524.0</v>
      </c>
      <c r="B2524" s="374" t="s">
        <v>152</v>
      </c>
      <c r="C2524" s="188" t="s">
        <v>115</v>
      </c>
      <c r="D2524" s="188" t="s">
        <v>176</v>
      </c>
      <c r="E2524" s="189"/>
      <c r="F2524" s="190" t="s">
        <v>15080</v>
      </c>
      <c r="G2524" s="198" t="s">
        <v>15081</v>
      </c>
      <c r="H2524" s="198" t="s">
        <v>7252</v>
      </c>
      <c r="I2524" s="191">
        <v>45767.0</v>
      </c>
      <c r="J2524" s="796"/>
      <c r="K2524" s="190"/>
      <c r="L2524" s="198" t="s">
        <v>15082</v>
      </c>
      <c r="M2524" s="575" t="s">
        <v>15083</v>
      </c>
      <c r="N2524" s="198" t="s">
        <v>15084</v>
      </c>
      <c r="O2524" s="190"/>
      <c r="P2524" s="198" t="s">
        <v>15085</v>
      </c>
      <c r="Q2524" s="1168" t="str">
        <f t="array" ref="Q2524"> if(iserror(MATCH(V2524, 'File Links'!C:C, 0)), "N/A", HYPERLINK(INDEX('File Links'!B:B, MATCH(P2524, 'File Links'!C:C, 0))))</f>
        <v>https://drive.google.com/file/d/1EwNygj4VffnCLPK-P7EFlmo0-tV2NKRN/view?usp=drivesdk</v>
      </c>
      <c r="R2524" s="198" t="s">
        <v>15086</v>
      </c>
      <c r="S2524" s="198" t="s">
        <v>15087</v>
      </c>
      <c r="T2524" s="190"/>
      <c r="U2524" s="190"/>
      <c r="V2524" s="198" t="s">
        <v>15088</v>
      </c>
      <c r="W2524" s="190"/>
      <c r="X2524" s="1169" t="str">
        <f t="array" ref="X2524"> if(iserror(MATCH(V2524, 'File Links'!C:C, 0)), "N/A", HYPERLINK(INDEX('File Links'!B:B, MATCH(V2524, 'File Links'!C:C, 0))))</f>
        <v>https://drive.google.com/file/d/1qIFGf5ktWSXh7rQfL1KhTAj0tN-Q92hY/view?usp=drivesdk</v>
      </c>
      <c r="Y2524" s="190"/>
      <c r="Z2524" s="198" t="s">
        <v>12737</v>
      </c>
      <c r="AA2524" s="198" t="s">
        <v>15089</v>
      </c>
      <c r="AB2524" s="198" t="s">
        <v>15090</v>
      </c>
      <c r="AC2524" s="198" t="s">
        <v>15091</v>
      </c>
      <c r="AD2524" s="575" t="s">
        <v>15092</v>
      </c>
      <c r="AE2524" s="198" t="s">
        <v>2771</v>
      </c>
      <c r="AF2524" s="795">
        <v>162.0</v>
      </c>
      <c r="AG2524" s="575" t="s">
        <v>15093</v>
      </c>
      <c r="AH2524" s="575" t="s">
        <v>134</v>
      </c>
      <c r="AI2524" s="198" t="s">
        <v>7251</v>
      </c>
      <c r="AJ2524" s="758">
        <v>0.017</v>
      </c>
      <c r="AK2524" s="198" t="s">
        <v>135</v>
      </c>
      <c r="AL2524" s="198" t="s">
        <v>186</v>
      </c>
      <c r="AM2524" s="198" t="s">
        <v>137</v>
      </c>
      <c r="AN2524" s="190"/>
      <c r="AO2524" s="758">
        <v>224.0</v>
      </c>
      <c r="AP2524" s="575" t="s">
        <v>15094</v>
      </c>
      <c r="AQ2524" s="198" t="s">
        <v>15095</v>
      </c>
      <c r="AR2524" s="198" t="s">
        <v>3561</v>
      </c>
      <c r="AS2524" s="758">
        <v>0.774</v>
      </c>
      <c r="AT2524" s="198" t="s">
        <v>172</v>
      </c>
      <c r="AU2524" s="198" t="s">
        <v>186</v>
      </c>
      <c r="AV2524" s="198" t="s">
        <v>137</v>
      </c>
      <c r="AW2524" s="989" t="s">
        <v>15096</v>
      </c>
      <c r="AX2524" s="198" t="s">
        <v>143</v>
      </c>
      <c r="AY2524" s="193" t="str">
        <f>IFERROR(__xludf.DUMMYFUNCTION("vlookup(BB2524,importrange(""https://docs.google.com/spreadsheets/d/1d2vevQ_7D_v35q4wCQ4RpQ_IPoTwEMB9Yp6ymwlPqew/edit?gid=984458430#gid=984458430"", ""'replication success'!A:K""), 11, FAlSE)"),"#N/A")</f>
        <v>#N/A</v>
      </c>
      <c r="AZ2524" s="193" t="str">
        <f>IFERROR(__xludf.DUMMYFUNCTION("vlookup(BB2524,importrange(""https://docs.google.com/spreadsheets/d/1d2vevQ_7D_v35q4wCQ4RpQ_IPoTwEMB9Yp6ymwlPqew/edit?gid=984458430#gid=984458430"", ""'replication success'!A:M""), 12, FAlSE)"),"#N/A")</f>
        <v>#N/A</v>
      </c>
      <c r="BA2524" s="193" t="str">
        <f>IFERROR(__xludf.DUMMYFUNCTION("vlookup(BB2524,importrange(""https://docs.google.com/spreadsheets/d/1d2vevQ_7D_v35q4wCQ4RpQ_IPoTwEMB9Yp6ymwlPqew/edit?gid=984458430#gid=984458430"", ""'replication success'!A:M""), 13, FAlSE)"),"#N/A")</f>
        <v>#N/A</v>
      </c>
      <c r="BB2524" s="193" t="str">
        <f>IFERROR(__xludf.DUMMYFUNCTION("REGEXREPLACE(G2524, ""_[a-z]{1,2}$"", """")"),"soscisubmission12a")</f>
        <v>soscisubmission12a</v>
      </c>
      <c r="BC2524" s="189"/>
      <c r="BD2524" s="188" t="s">
        <v>144</v>
      </c>
    </row>
    <row r="2525">
      <c r="A2525" s="689">
        <v>2525.0</v>
      </c>
      <c r="B2525" s="374" t="s">
        <v>152</v>
      </c>
      <c r="C2525" s="188" t="s">
        <v>115</v>
      </c>
      <c r="D2525" s="188" t="s">
        <v>176</v>
      </c>
      <c r="E2525" s="189"/>
      <c r="F2525" s="190" t="s">
        <v>15097</v>
      </c>
      <c r="G2525" s="198" t="s">
        <v>15098</v>
      </c>
      <c r="H2525" s="198" t="s">
        <v>7252</v>
      </c>
      <c r="I2525" s="191">
        <v>45767.0</v>
      </c>
      <c r="J2525" s="796"/>
      <c r="K2525" s="190"/>
      <c r="L2525" s="198" t="s">
        <v>15082</v>
      </c>
      <c r="M2525" s="575" t="s">
        <v>15083</v>
      </c>
      <c r="N2525" s="198" t="s">
        <v>15084</v>
      </c>
      <c r="O2525" s="190"/>
      <c r="P2525" s="198" t="s">
        <v>15085</v>
      </c>
      <c r="Q2525" s="1168" t="str">
        <f t="array" ref="Q2525"> if(iserror(MATCH(V2525, 'File Links'!C:C, 0)), "N/A", HYPERLINK(INDEX('File Links'!B:B, MATCH(P2525, 'File Links'!C:C, 0))))</f>
        <v>https://drive.google.com/file/d/1EwNygj4VffnCLPK-P7EFlmo0-tV2NKRN/view?usp=drivesdk</v>
      </c>
      <c r="R2525" s="198" t="s">
        <v>15086</v>
      </c>
      <c r="S2525" s="198" t="s">
        <v>15087</v>
      </c>
      <c r="T2525" s="190"/>
      <c r="U2525" s="190"/>
      <c r="V2525" s="198" t="s">
        <v>15088</v>
      </c>
      <c r="W2525" s="190"/>
      <c r="X2525" s="1169" t="str">
        <f t="array" ref="X2525"> if(iserror(MATCH(V2525, 'File Links'!C:C, 0)), "N/A", HYPERLINK(INDEX('File Links'!B:B, MATCH(V2525, 'File Links'!C:C, 0))))</f>
        <v>https://drive.google.com/file/d/1qIFGf5ktWSXh7rQfL1KhTAj0tN-Q92hY/view?usp=drivesdk</v>
      </c>
      <c r="Y2525" s="190"/>
      <c r="Z2525" s="198" t="s">
        <v>12737</v>
      </c>
      <c r="AA2525" s="198" t="s">
        <v>15089</v>
      </c>
      <c r="AB2525" s="198" t="s">
        <v>15090</v>
      </c>
      <c r="AC2525" s="198" t="s">
        <v>15099</v>
      </c>
      <c r="AD2525" s="575" t="s">
        <v>15092</v>
      </c>
      <c r="AE2525" s="198" t="s">
        <v>2771</v>
      </c>
      <c r="AF2525" s="795">
        <v>162.0</v>
      </c>
      <c r="AG2525" s="575" t="s">
        <v>15093</v>
      </c>
      <c r="AH2525" s="575" t="s">
        <v>134</v>
      </c>
      <c r="AI2525" s="198" t="s">
        <v>7251</v>
      </c>
      <c r="AJ2525" s="758">
        <v>0.017</v>
      </c>
      <c r="AK2525" s="198" t="s">
        <v>135</v>
      </c>
      <c r="AL2525" s="198" t="s">
        <v>186</v>
      </c>
      <c r="AM2525" s="198" t="s">
        <v>137</v>
      </c>
      <c r="AN2525" s="190"/>
      <c r="AO2525" s="758">
        <v>527.0</v>
      </c>
      <c r="AP2525" s="575" t="s">
        <v>15100</v>
      </c>
      <c r="AQ2525" s="198" t="s">
        <v>15095</v>
      </c>
      <c r="AR2525" s="198" t="s">
        <v>3561</v>
      </c>
      <c r="AS2525" s="758">
        <v>0.12</v>
      </c>
      <c r="AT2525" s="198" t="s">
        <v>172</v>
      </c>
      <c r="AU2525" s="198" t="s">
        <v>186</v>
      </c>
      <c r="AV2525" s="198" t="s">
        <v>137</v>
      </c>
      <c r="AW2525" s="989" t="s">
        <v>15096</v>
      </c>
      <c r="AX2525" s="198" t="s">
        <v>143</v>
      </c>
      <c r="AY2525" s="193" t="str">
        <f>IFERROR(__xludf.DUMMYFUNCTION("vlookup(BB2525,importrange(""https://docs.google.com/spreadsheets/d/1d2vevQ_7D_v35q4wCQ4RpQ_IPoTwEMB9Yp6ymwlPqew/edit?gid=984458430#gid=984458430"", ""'replication success'!A:K""), 11, FAlSE)"),"#N/A")</f>
        <v>#N/A</v>
      </c>
      <c r="AZ2525" s="193" t="str">
        <f>IFERROR(__xludf.DUMMYFUNCTION("vlookup(BB2525,importrange(""https://docs.google.com/spreadsheets/d/1d2vevQ_7D_v35q4wCQ4RpQ_IPoTwEMB9Yp6ymwlPqew/edit?gid=984458430#gid=984458430"", ""'replication success'!A:M""), 12, FAlSE)"),"#N/A")</f>
        <v>#N/A</v>
      </c>
      <c r="BA2525" s="193" t="str">
        <f>IFERROR(__xludf.DUMMYFUNCTION("vlookup(BB2525,importrange(""https://docs.google.com/spreadsheets/d/1d2vevQ_7D_v35q4wCQ4RpQ_IPoTwEMB9Yp6ymwlPqew/edit?gid=984458430#gid=984458430"", ""'replication success'!A:M""), 13, FAlSE)"),"#N/A")</f>
        <v>#N/A</v>
      </c>
      <c r="BB2525" s="193" t="str">
        <f>IFERROR(__xludf.DUMMYFUNCTION("REGEXREPLACE(G2525, ""_[a-z]{1,2}$"", """")"),"soscisubmission12b")</f>
        <v>soscisubmission12b</v>
      </c>
      <c r="BC2525" s="189"/>
      <c r="BD2525" s="188" t="s">
        <v>144</v>
      </c>
    </row>
    <row r="2526">
      <c r="A2526" s="44">
        <v>2526.0</v>
      </c>
      <c r="B2526" s="1781" t="s">
        <v>114</v>
      </c>
      <c r="C2526" s="1782" t="s">
        <v>115</v>
      </c>
      <c r="D2526" s="1782" t="s">
        <v>248</v>
      </c>
      <c r="E2526" s="1783"/>
      <c r="F2526" s="1793" t="s">
        <v>15101</v>
      </c>
      <c r="G2526" s="1792" t="s">
        <v>15102</v>
      </c>
      <c r="H2526" s="1792" t="s">
        <v>249</v>
      </c>
      <c r="I2526" s="2152">
        <v>45758.0</v>
      </c>
      <c r="J2526" s="1786">
        <v>45786.0</v>
      </c>
      <c r="K2526" s="1792" t="s">
        <v>15103</v>
      </c>
      <c r="L2526" s="2153" t="s">
        <v>15104</v>
      </c>
      <c r="M2526" s="1792" t="s">
        <v>15105</v>
      </c>
      <c r="N2526" s="1792" t="s">
        <v>15106</v>
      </c>
      <c r="O2526" s="2089">
        <v>4.0</v>
      </c>
      <c r="P2526" s="1792" t="s">
        <v>15107</v>
      </c>
      <c r="Q2526" s="52" t="str">
        <f t="array" ref="Q2526"> if(iserror(MATCH(V2526, 'File Links'!C:C, 0)), "N/A", HYPERLINK(INDEX('File Links'!B:B, MATCH(P2526, 'File Links'!C:C, 0))))</f>
        <v>https://drive.google.com/file/d/1qQJNn7ZvoufwBSS_pp5Ek1nTMCXq-Gfn/view?usp=drivesdk</v>
      </c>
      <c r="R2526" s="1792" t="s">
        <v>15108</v>
      </c>
      <c r="S2526" s="1792" t="s">
        <v>10182</v>
      </c>
      <c r="T2526" s="1793"/>
      <c r="U2526" s="1781">
        <v>17.0</v>
      </c>
      <c r="V2526" s="1792" t="s">
        <v>10183</v>
      </c>
      <c r="W2526" s="1781" t="s">
        <v>209</v>
      </c>
      <c r="X2526" s="54" t="str">
        <f t="array" ref="X2526"> if(iserror(MATCH(V2526, 'File Links'!C:C, 0)), "N/A", HYPERLINK(INDEX('File Links'!B:B, MATCH(V2526, 'File Links'!C:C, 0))))</f>
        <v>https://drive.google.com/file/d/1Irbmig3rfLDvz-G09jDAVwJvv1drYEqO/view?usp=drivesdk</v>
      </c>
      <c r="Y2526" s="1793"/>
      <c r="Z2526" s="1792" t="s">
        <v>2079</v>
      </c>
      <c r="AA2526" s="371" t="s">
        <v>15109</v>
      </c>
      <c r="AB2526" s="1784" t="s">
        <v>15110</v>
      </c>
      <c r="AC2526" s="1792" t="s">
        <v>15111</v>
      </c>
      <c r="AD2526" s="1792" t="s">
        <v>15112</v>
      </c>
      <c r="AE2526" s="1792" t="s">
        <v>15113</v>
      </c>
      <c r="AF2526" s="2089">
        <v>198.0</v>
      </c>
      <c r="AG2526" s="2089">
        <v>0.34</v>
      </c>
      <c r="AH2526" s="1792" t="s">
        <v>173</v>
      </c>
      <c r="AI2526" s="1792" t="s">
        <v>15114</v>
      </c>
      <c r="AJ2526" s="2089">
        <v>0.03</v>
      </c>
      <c r="AK2526" s="1792" t="s">
        <v>135</v>
      </c>
      <c r="AL2526" s="1792" t="s">
        <v>186</v>
      </c>
      <c r="AM2526" s="1792" t="s">
        <v>141</v>
      </c>
      <c r="AN2526" s="1792" t="s">
        <v>138</v>
      </c>
      <c r="AO2526" s="496">
        <v>573.0</v>
      </c>
      <c r="AP2526" s="1792" t="s">
        <v>15115</v>
      </c>
      <c r="AQ2526" s="1792" t="s">
        <v>134</v>
      </c>
      <c r="AR2526" s="1784" t="s">
        <v>15116</v>
      </c>
      <c r="AS2526" s="2089">
        <v>0.377</v>
      </c>
      <c r="AT2526" s="1792" t="s">
        <v>172</v>
      </c>
      <c r="AU2526" s="1792" t="s">
        <v>186</v>
      </c>
      <c r="AV2526" s="1792" t="s">
        <v>141</v>
      </c>
      <c r="AW2526" s="2154" t="s">
        <v>15117</v>
      </c>
      <c r="AX2526" s="1792" t="s">
        <v>143</v>
      </c>
      <c r="AY2526" s="61" t="str">
        <f>IFERROR(__xludf.DUMMYFUNCTION("vlookup(BB2526,importrange(""https://docs.google.com/spreadsheets/d/1d2vevQ_7D_v35q4wCQ4RpQ_IPoTwEMB9Yp6ymwlPqew/edit?gid=984458430#gid=984458430"", ""'replication success'!A:K""), 11, FAlSE)"),"failed")</f>
        <v>failed</v>
      </c>
      <c r="AZ2526" s="61" t="str">
        <f>IFERROR(__xludf.DUMMYFUNCTION("vlookup(BB2526,importrange(""https://docs.google.com/spreadsheets/d/1d2vevQ_7D_v35q4wCQ4RpQ_IPoTwEMB9Yp6ymwlPqew/edit?gid=984458430#gid=984458430"", ""'replication success'!A:M""), 12, FAlSE)"),"[Figure 1]")</f>
        <v>[Figure 1]</v>
      </c>
      <c r="BA2526" s="61" t="str">
        <f>IFERROR(__xludf.DUMMYFUNCTION("vlookup(BB2526,importrange(""https://docs.google.com/spreadsheets/d/1d2vevQ_7D_v35q4wCQ4RpQ_IPoTwEMB9Yp6ymwlPqew/edit?gid=984458430#gid=984458430"", ""'replication success'!A:M""), 13, FAlSE)"),"pg. 2")</f>
        <v>pg. 2</v>
      </c>
      <c r="BB2526" s="61" t="str">
        <f>IFERROR(__xludf.DUMMYFUNCTION("REGEXREPLACE(G2526, ""_[a-z]{1,2}$"", """")"),"OpenMKT17")</f>
        <v>OpenMKT17</v>
      </c>
      <c r="BD2526" s="1782" t="s">
        <v>1270</v>
      </c>
      <c r="BE2526" s="1783"/>
      <c r="BF2526" s="1783"/>
      <c r="BG2526" s="1783"/>
      <c r="BH2526" s="1783"/>
      <c r="BI2526" s="1783"/>
      <c r="BJ2526" s="1783"/>
      <c r="BK2526" s="1783"/>
      <c r="BL2526" s="1783"/>
      <c r="BM2526" s="1783"/>
      <c r="BN2526" s="1783"/>
      <c r="BO2526" s="1783"/>
      <c r="BP2526" s="1783"/>
      <c r="BQ2526" s="1783"/>
      <c r="BR2526" s="1783"/>
      <c r="BS2526" s="1783"/>
      <c r="BT2526" s="1783"/>
      <c r="BU2526" s="1783"/>
      <c r="BV2526" s="1783"/>
      <c r="BW2526" s="1783"/>
      <c r="BX2526" s="1783"/>
      <c r="BY2526" s="1783"/>
      <c r="BZ2526" s="1783"/>
      <c r="CA2526" s="1783"/>
      <c r="CB2526" s="1783"/>
      <c r="CC2526" s="1783"/>
      <c r="CD2526" s="1783"/>
      <c r="CE2526" s="1783"/>
      <c r="CF2526" s="1783"/>
      <c r="CG2526" s="1783"/>
      <c r="CH2526" s="1783"/>
      <c r="CI2526" s="1783"/>
      <c r="CJ2526" s="1783"/>
      <c r="CK2526" s="1783"/>
      <c r="CL2526" s="1783"/>
      <c r="CM2526" s="1783"/>
      <c r="CN2526" s="1783"/>
      <c r="CO2526" s="1783"/>
      <c r="CP2526" s="1783"/>
      <c r="CQ2526" s="1783"/>
      <c r="CR2526" s="1783"/>
      <c r="CS2526" s="1783"/>
      <c r="CT2526" s="1783"/>
      <c r="CU2526" s="1783"/>
      <c r="CV2526" s="1783"/>
      <c r="CW2526" s="1783"/>
      <c r="CX2526" s="1783"/>
      <c r="CY2526" s="1783"/>
      <c r="CZ2526" s="1783"/>
      <c r="DA2526" s="1783"/>
      <c r="DB2526" s="1783"/>
      <c r="DC2526" s="1783"/>
      <c r="DD2526" s="1783"/>
      <c r="DE2526" s="1783"/>
      <c r="DF2526" s="1783"/>
      <c r="DG2526" s="1783"/>
      <c r="DH2526" s="1783"/>
      <c r="DI2526" s="1783"/>
      <c r="DJ2526" s="1783"/>
      <c r="DK2526" s="1783"/>
      <c r="DL2526" s="1783"/>
    </row>
    <row r="2527">
      <c r="A2527" s="44">
        <v>2527.0</v>
      </c>
      <c r="B2527" s="129" t="s">
        <v>114</v>
      </c>
      <c r="C2527" s="62" t="s">
        <v>115</v>
      </c>
      <c r="D2527" s="62" t="s">
        <v>248</v>
      </c>
      <c r="F2527" s="68" t="s">
        <v>15101</v>
      </c>
      <c r="G2527" s="159" t="s">
        <v>15118</v>
      </c>
      <c r="H2527" s="159" t="s">
        <v>249</v>
      </c>
      <c r="I2527" s="152">
        <v>45758.0</v>
      </c>
      <c r="J2527" s="1786">
        <v>45786.0</v>
      </c>
      <c r="K2527" s="159" t="s">
        <v>15103</v>
      </c>
      <c r="L2527" s="2153" t="s">
        <v>15119</v>
      </c>
      <c r="M2527" s="159" t="s">
        <v>15105</v>
      </c>
      <c r="N2527" s="159" t="s">
        <v>15106</v>
      </c>
      <c r="O2527" s="156">
        <v>4.0</v>
      </c>
      <c r="P2527" s="382" t="s">
        <v>15107</v>
      </c>
      <c r="Q2527" s="52" t="str">
        <f t="array" ref="Q2527"> if(iserror(MATCH(V2527, 'File Links'!C:C, 0)), "N/A", HYPERLINK(INDEX('File Links'!B:B, MATCH(P2527, 'File Links'!C:C, 0))))</f>
        <v>https://drive.google.com/file/d/1qQJNn7ZvoufwBSS_pp5Ek1nTMCXq-Gfn/view?usp=drivesdk</v>
      </c>
      <c r="R2527" s="159" t="s">
        <v>15108</v>
      </c>
      <c r="S2527" s="159" t="s">
        <v>10182</v>
      </c>
      <c r="T2527" s="68"/>
      <c r="U2527" s="129">
        <v>17.0</v>
      </c>
      <c r="V2527" s="382" t="s">
        <v>10183</v>
      </c>
      <c r="W2527" s="1781" t="s">
        <v>209</v>
      </c>
      <c r="X2527" s="54" t="str">
        <f t="array" ref="X2527"> if(iserror(MATCH(V2527, 'File Links'!C:C, 0)), "N/A", HYPERLINK(INDEX('File Links'!B:B, MATCH(V2527, 'File Links'!C:C, 0))))</f>
        <v>https://drive.google.com/file/d/1Irbmig3rfLDvz-G09jDAVwJvv1drYEqO/view?usp=drivesdk</v>
      </c>
      <c r="Y2527" s="68"/>
      <c r="Z2527" s="159" t="s">
        <v>2079</v>
      </c>
      <c r="AA2527" s="371" t="s">
        <v>15109</v>
      </c>
      <c r="AB2527" s="159" t="s">
        <v>15120</v>
      </c>
      <c r="AC2527" s="159" t="s">
        <v>15111</v>
      </c>
      <c r="AD2527" s="159" t="s">
        <v>15121</v>
      </c>
      <c r="AE2527" s="159" t="s">
        <v>1174</v>
      </c>
      <c r="AF2527" s="156">
        <v>198.0</v>
      </c>
      <c r="AG2527" s="156">
        <v>-0.29</v>
      </c>
      <c r="AH2527" s="159" t="s">
        <v>987</v>
      </c>
      <c r="AI2527" s="159" t="s">
        <v>15122</v>
      </c>
      <c r="AJ2527" s="156">
        <v>0.02</v>
      </c>
      <c r="AK2527" s="159" t="s">
        <v>135</v>
      </c>
      <c r="AL2527" s="159" t="s">
        <v>186</v>
      </c>
      <c r="AM2527" s="159" t="s">
        <v>141</v>
      </c>
      <c r="AN2527" s="159" t="s">
        <v>138</v>
      </c>
      <c r="AO2527" s="496">
        <v>573.0</v>
      </c>
      <c r="AP2527" s="156">
        <v>0.08</v>
      </c>
      <c r="AQ2527" s="159" t="s">
        <v>987</v>
      </c>
      <c r="AR2527" s="380" t="s">
        <v>15123</v>
      </c>
      <c r="AS2527" s="156">
        <v>0.059</v>
      </c>
      <c r="AT2527" s="159" t="s">
        <v>172</v>
      </c>
      <c r="AU2527" s="159" t="s">
        <v>186</v>
      </c>
      <c r="AV2527" s="159" t="s">
        <v>141</v>
      </c>
      <c r="AW2527" s="435" t="s">
        <v>15117</v>
      </c>
      <c r="AX2527" s="159" t="s">
        <v>143</v>
      </c>
      <c r="AY2527" s="61" t="str">
        <f>IFERROR(__xludf.DUMMYFUNCTION("vlookup(BB2527,importrange(""https://docs.google.com/spreadsheets/d/1d2vevQ_7D_v35q4wCQ4RpQ_IPoTwEMB9Yp6ymwlPqew/edit?gid=984458430#gid=984458430"", ""'replication success'!A:K""), 11, FAlSE)"),"failed")</f>
        <v>failed</v>
      </c>
      <c r="AZ2527" s="61" t="str">
        <f>IFERROR(__xludf.DUMMYFUNCTION("vlookup(BB2527,importrange(""https://docs.google.com/spreadsheets/d/1d2vevQ_7D_v35q4wCQ4RpQ_IPoTwEMB9Yp6ymwlPqew/edit?gid=984458430#gid=984458430"", ""'replication success'!A:M""), 12, FAlSE)"),"[Figure 1]")</f>
        <v>[Figure 1]</v>
      </c>
      <c r="BA2527" s="61" t="str">
        <f>IFERROR(__xludf.DUMMYFUNCTION("vlookup(BB2527,importrange(""https://docs.google.com/spreadsheets/d/1d2vevQ_7D_v35q4wCQ4RpQ_IPoTwEMB9Yp6ymwlPqew/edit?gid=984458430#gid=984458430"", ""'replication success'!A:M""), 13, FAlSE)"),"pg. 2")</f>
        <v>pg. 2</v>
      </c>
      <c r="BB2527" s="61" t="str">
        <f>IFERROR(__xludf.DUMMYFUNCTION("REGEXREPLACE(G2527, ""_[a-z]{1,2}$"", """")"),"OpenMKT17")</f>
        <v>OpenMKT17</v>
      </c>
      <c r="BD2527" s="62" t="s">
        <v>1270</v>
      </c>
    </row>
    <row r="2528">
      <c r="A2528" s="44">
        <v>2528.0</v>
      </c>
      <c r="B2528" s="129" t="s">
        <v>114</v>
      </c>
      <c r="C2528" s="62" t="s">
        <v>115</v>
      </c>
      <c r="D2528" s="62" t="s">
        <v>248</v>
      </c>
      <c r="F2528" s="68" t="s">
        <v>15101</v>
      </c>
      <c r="G2528" s="159" t="s">
        <v>15124</v>
      </c>
      <c r="H2528" s="159" t="s">
        <v>249</v>
      </c>
      <c r="I2528" s="152">
        <v>45758.0</v>
      </c>
      <c r="J2528" s="1786">
        <v>45786.0</v>
      </c>
      <c r="K2528" s="159" t="s">
        <v>15103</v>
      </c>
      <c r="L2528" s="129" t="s">
        <v>15125</v>
      </c>
      <c r="M2528" s="159" t="s">
        <v>15105</v>
      </c>
      <c r="N2528" s="159" t="s">
        <v>15106</v>
      </c>
      <c r="O2528" s="156">
        <v>4.0</v>
      </c>
      <c r="P2528" s="382" t="s">
        <v>15107</v>
      </c>
      <c r="Q2528" s="52" t="str">
        <f t="array" ref="Q2528"> if(iserror(MATCH(V2528, 'File Links'!C:C, 0)), "N/A", HYPERLINK(INDEX('File Links'!B:B, MATCH(P2528, 'File Links'!C:C, 0))))</f>
        <v>https://drive.google.com/file/d/1qQJNn7ZvoufwBSS_pp5Ek1nTMCXq-Gfn/view?usp=drivesdk</v>
      </c>
      <c r="R2528" s="159" t="s">
        <v>15108</v>
      </c>
      <c r="S2528" s="159" t="s">
        <v>10182</v>
      </c>
      <c r="T2528" s="68"/>
      <c r="U2528" s="129">
        <v>17.0</v>
      </c>
      <c r="V2528" s="382" t="s">
        <v>10183</v>
      </c>
      <c r="W2528" s="1781" t="s">
        <v>209</v>
      </c>
      <c r="X2528" s="54" t="str">
        <f t="array" ref="X2528"> if(iserror(MATCH(V2528, 'File Links'!C:C, 0)), "N/A", HYPERLINK(INDEX('File Links'!B:B, MATCH(V2528, 'File Links'!C:C, 0))))</f>
        <v>https://drive.google.com/file/d/1Irbmig3rfLDvz-G09jDAVwJvv1drYEqO/view?usp=drivesdk</v>
      </c>
      <c r="Y2528" s="68"/>
      <c r="Z2528" s="159" t="s">
        <v>2079</v>
      </c>
      <c r="AA2528" s="371" t="s">
        <v>15109</v>
      </c>
      <c r="AB2528" s="159" t="s">
        <v>15120</v>
      </c>
      <c r="AC2528" s="159" t="s">
        <v>15111</v>
      </c>
      <c r="AD2528" s="159" t="s">
        <v>15126</v>
      </c>
      <c r="AE2528" s="159" t="s">
        <v>1174</v>
      </c>
      <c r="AF2528" s="156">
        <v>198.0</v>
      </c>
      <c r="AG2528" s="380" t="s">
        <v>15127</v>
      </c>
      <c r="AH2528" s="159" t="s">
        <v>134</v>
      </c>
      <c r="AI2528" s="151" t="s">
        <v>15128</v>
      </c>
      <c r="AJ2528" s="156">
        <v>0.001</v>
      </c>
      <c r="AK2528" s="159" t="s">
        <v>135</v>
      </c>
      <c r="AL2528" s="159" t="s">
        <v>186</v>
      </c>
      <c r="AM2528" s="159" t="s">
        <v>141</v>
      </c>
      <c r="AN2528" s="159" t="s">
        <v>138</v>
      </c>
      <c r="AO2528" s="496">
        <v>573.0</v>
      </c>
      <c r="AP2528" s="481" t="s">
        <v>15129</v>
      </c>
      <c r="AQ2528" s="481" t="s">
        <v>134</v>
      </c>
      <c r="AR2528" s="481" t="s">
        <v>2307</v>
      </c>
      <c r="AS2528" s="496">
        <v>0.312</v>
      </c>
      <c r="AT2528" s="481" t="s">
        <v>172</v>
      </c>
      <c r="AU2528" s="159" t="s">
        <v>186</v>
      </c>
      <c r="AV2528" s="159" t="s">
        <v>141</v>
      </c>
      <c r="AW2528" s="435" t="s">
        <v>15117</v>
      </c>
      <c r="AX2528" s="159" t="s">
        <v>143</v>
      </c>
      <c r="AY2528" s="61" t="str">
        <f>IFERROR(__xludf.DUMMYFUNCTION("vlookup(BB2528,importrange(""https://docs.google.com/spreadsheets/d/1d2vevQ_7D_v35q4wCQ4RpQ_IPoTwEMB9Yp6ymwlPqew/edit?gid=984458430#gid=984458430"", ""'replication success'!A:K""), 11, FAlSE)"),"failed")</f>
        <v>failed</v>
      </c>
      <c r="AZ2528" s="61" t="str">
        <f>IFERROR(__xludf.DUMMYFUNCTION("vlookup(BB2528,importrange(""https://docs.google.com/spreadsheets/d/1d2vevQ_7D_v35q4wCQ4RpQ_IPoTwEMB9Yp6ymwlPqew/edit?gid=984458430#gid=984458430"", ""'replication success'!A:M""), 12, FAlSE)"),"[Figure 1]")</f>
        <v>[Figure 1]</v>
      </c>
      <c r="BA2528" s="61" t="str">
        <f>IFERROR(__xludf.DUMMYFUNCTION("vlookup(BB2528,importrange(""https://docs.google.com/spreadsheets/d/1d2vevQ_7D_v35q4wCQ4RpQ_IPoTwEMB9Yp6ymwlPqew/edit?gid=984458430#gid=984458430"", ""'replication success'!A:M""), 13, FAlSE)"),"pg. 2")</f>
        <v>pg. 2</v>
      </c>
      <c r="BB2528" s="61" t="str">
        <f>IFERROR(__xludf.DUMMYFUNCTION("REGEXREPLACE(G2528, ""_[a-z]{1,2}$"", """")"),"OpenMKT17")</f>
        <v>OpenMKT17</v>
      </c>
      <c r="BD2528" s="62" t="s">
        <v>1270</v>
      </c>
    </row>
    <row r="2529">
      <c r="A2529" s="44">
        <v>2529.0</v>
      </c>
      <c r="B2529" s="129" t="s">
        <v>114</v>
      </c>
      <c r="C2529" s="62" t="s">
        <v>115</v>
      </c>
      <c r="D2529" s="62" t="s">
        <v>248</v>
      </c>
      <c r="F2529" s="68" t="s">
        <v>15101</v>
      </c>
      <c r="G2529" s="159" t="s">
        <v>15130</v>
      </c>
      <c r="H2529" s="159" t="s">
        <v>249</v>
      </c>
      <c r="I2529" s="152">
        <v>45758.0</v>
      </c>
      <c r="J2529" s="1786">
        <v>45786.0</v>
      </c>
      <c r="K2529" s="159" t="s">
        <v>15103</v>
      </c>
      <c r="L2529" s="129" t="s">
        <v>15104</v>
      </c>
      <c r="M2529" s="159" t="s">
        <v>15105</v>
      </c>
      <c r="N2529" s="159" t="s">
        <v>15106</v>
      </c>
      <c r="O2529" s="156">
        <v>4.0</v>
      </c>
      <c r="P2529" s="382" t="s">
        <v>15107</v>
      </c>
      <c r="Q2529" s="52" t="str">
        <f t="array" ref="Q2529"> if(iserror(MATCH(V2529, 'File Links'!C:C, 0)), "N/A", HYPERLINK(INDEX('File Links'!B:B, MATCH(P2529, 'File Links'!C:C, 0))))</f>
        <v>https://drive.google.com/file/d/1qQJNn7ZvoufwBSS_pp5Ek1nTMCXq-Gfn/view?usp=drivesdk</v>
      </c>
      <c r="R2529" s="159" t="s">
        <v>15108</v>
      </c>
      <c r="S2529" s="159" t="s">
        <v>10182</v>
      </c>
      <c r="T2529" s="68"/>
      <c r="U2529" s="129">
        <v>17.0</v>
      </c>
      <c r="V2529" s="382" t="s">
        <v>10183</v>
      </c>
      <c r="W2529" s="1781" t="s">
        <v>209</v>
      </c>
      <c r="X2529" s="54" t="str">
        <f t="array" ref="X2529"> if(iserror(MATCH(V2529, 'File Links'!C:C, 0)), "N/A", HYPERLINK(INDEX('File Links'!B:B, MATCH(V2529, 'File Links'!C:C, 0))))</f>
        <v>https://drive.google.com/file/d/1Irbmig3rfLDvz-G09jDAVwJvv1drYEqO/view?usp=drivesdk</v>
      </c>
      <c r="Y2529" s="68"/>
      <c r="Z2529" s="159" t="s">
        <v>2079</v>
      </c>
      <c r="AA2529" s="371" t="s">
        <v>15109</v>
      </c>
      <c r="AB2529" s="159" t="s">
        <v>15120</v>
      </c>
      <c r="AC2529" s="159" t="s">
        <v>15111</v>
      </c>
      <c r="AD2529" s="159" t="s">
        <v>15131</v>
      </c>
      <c r="AE2529" s="159" t="s">
        <v>1174</v>
      </c>
      <c r="AF2529" s="156">
        <v>198.0</v>
      </c>
      <c r="AG2529" s="151" t="s">
        <v>15132</v>
      </c>
      <c r="AH2529" s="159" t="s">
        <v>134</v>
      </c>
      <c r="AI2529" s="159" t="s">
        <v>15133</v>
      </c>
      <c r="AJ2529" s="156">
        <v>0.9</v>
      </c>
      <c r="AK2529" s="159" t="s">
        <v>335</v>
      </c>
      <c r="AL2529" s="159" t="s">
        <v>186</v>
      </c>
      <c r="AM2529" s="159" t="s">
        <v>141</v>
      </c>
      <c r="AN2529" s="159" t="s">
        <v>138</v>
      </c>
      <c r="AO2529" s="496">
        <v>573.0</v>
      </c>
      <c r="AP2529" s="156">
        <v>-0.19</v>
      </c>
      <c r="AQ2529" s="159" t="s">
        <v>987</v>
      </c>
      <c r="AR2529" s="151" t="s">
        <v>15134</v>
      </c>
      <c r="AS2529" s="156">
        <v>0.046</v>
      </c>
      <c r="AT2529" s="159" t="s">
        <v>172</v>
      </c>
      <c r="AU2529" s="159" t="s">
        <v>186</v>
      </c>
      <c r="AV2529" s="159" t="s">
        <v>141</v>
      </c>
      <c r="AW2529" s="435" t="s">
        <v>15117</v>
      </c>
      <c r="AX2529" s="159" t="s">
        <v>143</v>
      </c>
      <c r="AY2529" s="61" t="str">
        <f>IFERROR(__xludf.DUMMYFUNCTION("vlookup(BB2529,importrange(""https://docs.google.com/spreadsheets/d/1d2vevQ_7D_v35q4wCQ4RpQ_IPoTwEMB9Yp6ymwlPqew/edit?gid=984458430#gid=984458430"", ""'replication success'!A:K""), 11, FAlSE)"),"failed")</f>
        <v>failed</v>
      </c>
      <c r="AZ2529" s="61" t="str">
        <f>IFERROR(__xludf.DUMMYFUNCTION("vlookup(BB2529,importrange(""https://docs.google.com/spreadsheets/d/1d2vevQ_7D_v35q4wCQ4RpQ_IPoTwEMB9Yp6ymwlPqew/edit?gid=984458430#gid=984458430"", ""'replication success'!A:M""), 12, FAlSE)"),"[Figure 1]")</f>
        <v>[Figure 1]</v>
      </c>
      <c r="BA2529" s="61" t="str">
        <f>IFERROR(__xludf.DUMMYFUNCTION("vlookup(BB2529,importrange(""https://docs.google.com/spreadsheets/d/1d2vevQ_7D_v35q4wCQ4RpQ_IPoTwEMB9Yp6ymwlPqew/edit?gid=984458430#gid=984458430"", ""'replication success'!A:M""), 13, FAlSE)"),"pg. 2")</f>
        <v>pg. 2</v>
      </c>
      <c r="BB2529" s="61" t="str">
        <f>IFERROR(__xludf.DUMMYFUNCTION("REGEXREPLACE(G2529, ""_[a-z]{1,2}$"", """")"),"OpenMKT17")</f>
        <v>OpenMKT17</v>
      </c>
      <c r="BD2529" s="62" t="s">
        <v>1270</v>
      </c>
    </row>
    <row r="2530">
      <c r="A2530" s="44">
        <v>2530.0</v>
      </c>
      <c r="B2530" s="129" t="s">
        <v>114</v>
      </c>
      <c r="C2530" s="62" t="s">
        <v>115</v>
      </c>
      <c r="D2530" s="62" t="s">
        <v>248</v>
      </c>
      <c r="F2530" s="68" t="s">
        <v>15101</v>
      </c>
      <c r="G2530" s="159" t="s">
        <v>15135</v>
      </c>
      <c r="H2530" s="159" t="s">
        <v>249</v>
      </c>
      <c r="I2530" s="152">
        <v>45758.0</v>
      </c>
      <c r="J2530" s="1786">
        <v>45786.0</v>
      </c>
      <c r="K2530" s="159" t="s">
        <v>15136</v>
      </c>
      <c r="L2530" s="129" t="s">
        <v>15137</v>
      </c>
      <c r="M2530" s="159" t="s">
        <v>15105</v>
      </c>
      <c r="N2530" s="159" t="s">
        <v>15106</v>
      </c>
      <c r="O2530" s="156">
        <v>4.0</v>
      </c>
      <c r="P2530" s="382" t="s">
        <v>15107</v>
      </c>
      <c r="Q2530" s="52" t="str">
        <f t="array" ref="Q2530"> if(iserror(MATCH(V2530, 'File Links'!C:C, 0)), "N/A", HYPERLINK(INDEX('File Links'!B:B, MATCH(P2530, 'File Links'!C:C, 0))))</f>
        <v>https://drive.google.com/file/d/1qQJNn7ZvoufwBSS_pp5Ek1nTMCXq-Gfn/view?usp=drivesdk</v>
      </c>
      <c r="R2530" s="159" t="s">
        <v>15108</v>
      </c>
      <c r="S2530" s="159" t="s">
        <v>10182</v>
      </c>
      <c r="T2530" s="68"/>
      <c r="U2530" s="129">
        <v>17.0</v>
      </c>
      <c r="V2530" s="382" t="s">
        <v>10183</v>
      </c>
      <c r="W2530" s="1781" t="s">
        <v>209</v>
      </c>
      <c r="X2530" s="54" t="str">
        <f t="array" ref="X2530"> if(iserror(MATCH(V2530, 'File Links'!C:C, 0)), "N/A", HYPERLINK(INDEX('File Links'!B:B, MATCH(V2530, 'File Links'!C:C, 0))))</f>
        <v>https://drive.google.com/file/d/1Irbmig3rfLDvz-G09jDAVwJvv1drYEqO/view?usp=drivesdk</v>
      </c>
      <c r="Y2530" s="129" t="s">
        <v>141</v>
      </c>
      <c r="Z2530" s="159" t="s">
        <v>2079</v>
      </c>
      <c r="AA2530" s="371" t="s">
        <v>15109</v>
      </c>
      <c r="AB2530" s="159" t="s">
        <v>15120</v>
      </c>
      <c r="AC2530" s="159" t="s">
        <v>15111</v>
      </c>
      <c r="AD2530" s="159" t="s">
        <v>15112</v>
      </c>
      <c r="AE2530" s="159" t="s">
        <v>15113</v>
      </c>
      <c r="AF2530" s="156">
        <v>198.0</v>
      </c>
      <c r="AG2530" s="156">
        <v>0.34</v>
      </c>
      <c r="AH2530" s="159" t="s">
        <v>173</v>
      </c>
      <c r="AI2530" s="159" t="s">
        <v>15114</v>
      </c>
      <c r="AJ2530" s="156">
        <v>0.03</v>
      </c>
      <c r="AK2530" s="159" t="s">
        <v>135</v>
      </c>
      <c r="AL2530" s="159" t="s">
        <v>186</v>
      </c>
      <c r="AM2530" s="159" t="s">
        <v>141</v>
      </c>
      <c r="AN2530" s="159" t="s">
        <v>138</v>
      </c>
      <c r="AO2530" s="156">
        <v>504.0</v>
      </c>
      <c r="AP2530" s="159" t="s">
        <v>15138</v>
      </c>
      <c r="AQ2530" s="159" t="s">
        <v>134</v>
      </c>
      <c r="AR2530" s="159" t="s">
        <v>15139</v>
      </c>
      <c r="AS2530" s="156">
        <v>0.399</v>
      </c>
      <c r="AT2530" s="159" t="s">
        <v>172</v>
      </c>
      <c r="AU2530" s="159" t="s">
        <v>186</v>
      </c>
      <c r="AV2530" s="159" t="s">
        <v>141</v>
      </c>
      <c r="AW2530" s="435" t="s">
        <v>15117</v>
      </c>
      <c r="AX2530" s="159" t="s">
        <v>143</v>
      </c>
      <c r="AY2530" s="61" t="str">
        <f>IFERROR(__xludf.DUMMYFUNCTION("vlookup(BB2530,importrange(""https://docs.google.com/spreadsheets/d/1d2vevQ_7D_v35q4wCQ4RpQ_IPoTwEMB9Yp6ymwlPqew/edit?gid=984458430#gid=984458430"", ""'replication success'!A:K""), 11, FAlSE)"),"failed")</f>
        <v>failed</v>
      </c>
      <c r="AZ2530" s="61" t="str">
        <f>IFERROR(__xludf.DUMMYFUNCTION("vlookup(BB2530,importrange(""https://docs.google.com/spreadsheets/d/1d2vevQ_7D_v35q4wCQ4RpQ_IPoTwEMB9Yp6ymwlPqew/edit?gid=984458430#gid=984458430"", ""'replication success'!A:M""), 12, FAlSE)"),"[Figure 1]")</f>
        <v>[Figure 1]</v>
      </c>
      <c r="BA2530" s="61" t="str">
        <f>IFERROR(__xludf.DUMMYFUNCTION("vlookup(BB2530,importrange(""https://docs.google.com/spreadsheets/d/1d2vevQ_7D_v35q4wCQ4RpQ_IPoTwEMB9Yp6ymwlPqew/edit?gid=984458430#gid=984458430"", ""'replication success'!A:M""), 13, FAlSE)"),"pg. 2")</f>
        <v>pg. 2</v>
      </c>
      <c r="BB2530" s="61" t="str">
        <f>IFERROR(__xludf.DUMMYFUNCTION("REGEXREPLACE(G2530, ""_[a-z]{1,2}$"", """")"),"OpenMKT17")</f>
        <v>OpenMKT17</v>
      </c>
      <c r="BD2530" s="62" t="s">
        <v>1270</v>
      </c>
    </row>
    <row r="2531">
      <c r="A2531" s="44">
        <v>2531.0</v>
      </c>
      <c r="B2531" s="129" t="s">
        <v>114</v>
      </c>
      <c r="C2531" s="62" t="s">
        <v>115</v>
      </c>
      <c r="D2531" s="62" t="s">
        <v>248</v>
      </c>
      <c r="F2531" s="68" t="s">
        <v>15101</v>
      </c>
      <c r="G2531" s="159" t="s">
        <v>15140</v>
      </c>
      <c r="H2531" s="159" t="s">
        <v>249</v>
      </c>
      <c r="I2531" s="152">
        <v>45758.0</v>
      </c>
      <c r="J2531" s="1786">
        <v>45786.0</v>
      </c>
      <c r="K2531" s="159" t="s">
        <v>15136</v>
      </c>
      <c r="L2531" s="129" t="s">
        <v>15137</v>
      </c>
      <c r="M2531" s="159" t="s">
        <v>15105</v>
      </c>
      <c r="N2531" s="159" t="s">
        <v>15106</v>
      </c>
      <c r="O2531" s="156">
        <v>4.0</v>
      </c>
      <c r="P2531" s="382" t="s">
        <v>15107</v>
      </c>
      <c r="Q2531" s="52" t="str">
        <f t="array" ref="Q2531"> if(iserror(MATCH(V2531, 'File Links'!C:C, 0)), "N/A", HYPERLINK(INDEX('File Links'!B:B, MATCH(P2531, 'File Links'!C:C, 0))))</f>
        <v>https://drive.google.com/file/d/1qQJNn7ZvoufwBSS_pp5Ek1nTMCXq-Gfn/view?usp=drivesdk</v>
      </c>
      <c r="R2531" s="159" t="s">
        <v>15108</v>
      </c>
      <c r="S2531" s="159" t="s">
        <v>10182</v>
      </c>
      <c r="T2531" s="68"/>
      <c r="U2531" s="129">
        <v>17.0</v>
      </c>
      <c r="V2531" s="382" t="s">
        <v>10183</v>
      </c>
      <c r="W2531" s="1781" t="s">
        <v>209</v>
      </c>
      <c r="X2531" s="54" t="str">
        <f t="array" ref="X2531"> if(iserror(MATCH(V2531, 'File Links'!C:C, 0)), "N/A", HYPERLINK(INDEX('File Links'!B:B, MATCH(V2531, 'File Links'!C:C, 0))))</f>
        <v>https://drive.google.com/file/d/1Irbmig3rfLDvz-G09jDAVwJvv1drYEqO/view?usp=drivesdk</v>
      </c>
      <c r="Y2531" s="129" t="s">
        <v>141</v>
      </c>
      <c r="Z2531" s="159" t="s">
        <v>2079</v>
      </c>
      <c r="AA2531" s="371" t="s">
        <v>15109</v>
      </c>
      <c r="AB2531" s="159" t="s">
        <v>15120</v>
      </c>
      <c r="AC2531" s="159" t="s">
        <v>15111</v>
      </c>
      <c r="AD2531" s="159" t="s">
        <v>15121</v>
      </c>
      <c r="AE2531" s="159" t="s">
        <v>1174</v>
      </c>
      <c r="AF2531" s="156">
        <v>198.0</v>
      </c>
      <c r="AG2531" s="156">
        <v>-0.29</v>
      </c>
      <c r="AH2531" s="159" t="s">
        <v>987</v>
      </c>
      <c r="AI2531" s="159" t="s">
        <v>15122</v>
      </c>
      <c r="AJ2531" s="156">
        <v>0.02</v>
      </c>
      <c r="AK2531" s="159" t="s">
        <v>135</v>
      </c>
      <c r="AL2531" s="159" t="s">
        <v>186</v>
      </c>
      <c r="AM2531" s="159" t="s">
        <v>141</v>
      </c>
      <c r="AN2531" s="159" t="s">
        <v>138</v>
      </c>
      <c r="AO2531" s="156">
        <v>504.0</v>
      </c>
      <c r="AP2531" s="156">
        <v>0.1</v>
      </c>
      <c r="AQ2531" s="159" t="s">
        <v>987</v>
      </c>
      <c r="AR2531" s="159" t="s">
        <v>15141</v>
      </c>
      <c r="AS2531" s="156">
        <v>0.017</v>
      </c>
      <c r="AT2531" s="159" t="s">
        <v>172</v>
      </c>
      <c r="AU2531" s="159" t="s">
        <v>186</v>
      </c>
      <c r="AV2531" s="159" t="s">
        <v>141</v>
      </c>
      <c r="AW2531" s="435" t="s">
        <v>15117</v>
      </c>
      <c r="AX2531" s="159" t="s">
        <v>143</v>
      </c>
      <c r="AY2531" s="61" t="str">
        <f>IFERROR(__xludf.DUMMYFUNCTION("vlookup(BB2531,importrange(""https://docs.google.com/spreadsheets/d/1d2vevQ_7D_v35q4wCQ4RpQ_IPoTwEMB9Yp6ymwlPqew/edit?gid=984458430#gid=984458430"", ""'replication success'!A:K""), 11, FAlSE)"),"failed")</f>
        <v>failed</v>
      </c>
      <c r="AZ2531" s="61" t="str">
        <f>IFERROR(__xludf.DUMMYFUNCTION("vlookup(BB2531,importrange(""https://docs.google.com/spreadsheets/d/1d2vevQ_7D_v35q4wCQ4RpQ_IPoTwEMB9Yp6ymwlPqew/edit?gid=984458430#gid=984458430"", ""'replication success'!A:M""), 12, FAlSE)"),"[Figure 1]")</f>
        <v>[Figure 1]</v>
      </c>
      <c r="BA2531" s="61" t="str">
        <f>IFERROR(__xludf.DUMMYFUNCTION("vlookup(BB2531,importrange(""https://docs.google.com/spreadsheets/d/1d2vevQ_7D_v35q4wCQ4RpQ_IPoTwEMB9Yp6ymwlPqew/edit?gid=984458430#gid=984458430"", ""'replication success'!A:M""), 13, FAlSE)"),"pg. 2")</f>
        <v>pg. 2</v>
      </c>
      <c r="BB2531" s="61" t="str">
        <f>IFERROR(__xludf.DUMMYFUNCTION("REGEXREPLACE(G2531, ""_[a-z]{1,2}$"", """")"),"OpenMKT17")</f>
        <v>OpenMKT17</v>
      </c>
      <c r="BD2531" s="62" t="s">
        <v>1270</v>
      </c>
    </row>
    <row r="2532">
      <c r="A2532" s="44">
        <v>2532.0</v>
      </c>
      <c r="B2532" s="129" t="s">
        <v>114</v>
      </c>
      <c r="C2532" s="62" t="s">
        <v>115</v>
      </c>
      <c r="D2532" s="62" t="s">
        <v>248</v>
      </c>
      <c r="F2532" s="68" t="s">
        <v>15101</v>
      </c>
      <c r="G2532" s="159" t="s">
        <v>15142</v>
      </c>
      <c r="H2532" s="159" t="s">
        <v>249</v>
      </c>
      <c r="I2532" s="152">
        <v>45758.0</v>
      </c>
      <c r="J2532" s="1786">
        <v>45786.0</v>
      </c>
      <c r="K2532" s="159" t="s">
        <v>15136</v>
      </c>
      <c r="L2532" s="129" t="s">
        <v>15137</v>
      </c>
      <c r="M2532" s="159" t="s">
        <v>15105</v>
      </c>
      <c r="N2532" s="159" t="s">
        <v>15106</v>
      </c>
      <c r="O2532" s="156">
        <v>4.0</v>
      </c>
      <c r="P2532" s="382" t="s">
        <v>15107</v>
      </c>
      <c r="Q2532" s="52" t="str">
        <f t="array" ref="Q2532"> if(iserror(MATCH(V2532, 'File Links'!C:C, 0)), "N/A", HYPERLINK(INDEX('File Links'!B:B, MATCH(P2532, 'File Links'!C:C, 0))))</f>
        <v>https://drive.google.com/file/d/1qQJNn7ZvoufwBSS_pp5Ek1nTMCXq-Gfn/view?usp=drivesdk</v>
      </c>
      <c r="R2532" s="159" t="s">
        <v>15108</v>
      </c>
      <c r="S2532" s="159" t="s">
        <v>10182</v>
      </c>
      <c r="T2532" s="68"/>
      <c r="U2532" s="129">
        <v>17.0</v>
      </c>
      <c r="V2532" s="382" t="s">
        <v>10183</v>
      </c>
      <c r="W2532" s="1781" t="s">
        <v>209</v>
      </c>
      <c r="X2532" s="54" t="str">
        <f t="array" ref="X2532"> if(iserror(MATCH(V2532, 'File Links'!C:C, 0)), "N/A", HYPERLINK(INDEX('File Links'!B:B, MATCH(V2532, 'File Links'!C:C, 0))))</f>
        <v>https://drive.google.com/file/d/1Irbmig3rfLDvz-G09jDAVwJvv1drYEqO/view?usp=drivesdk</v>
      </c>
      <c r="Y2532" s="129" t="s">
        <v>141</v>
      </c>
      <c r="Z2532" s="159" t="s">
        <v>2079</v>
      </c>
      <c r="AA2532" s="371" t="s">
        <v>15109</v>
      </c>
      <c r="AB2532" s="159" t="s">
        <v>15120</v>
      </c>
      <c r="AC2532" s="159" t="s">
        <v>15111</v>
      </c>
      <c r="AD2532" s="159" t="s">
        <v>15126</v>
      </c>
      <c r="AE2532" s="159" t="s">
        <v>1174</v>
      </c>
      <c r="AF2532" s="156">
        <v>198.0</v>
      </c>
      <c r="AG2532" s="159" t="s">
        <v>15143</v>
      </c>
      <c r="AH2532" s="159" t="s">
        <v>134</v>
      </c>
      <c r="AI2532" s="159" t="s">
        <v>15144</v>
      </c>
      <c r="AJ2532" s="156">
        <v>0.001</v>
      </c>
      <c r="AK2532" s="159" t="s">
        <v>135</v>
      </c>
      <c r="AL2532" s="159" t="s">
        <v>186</v>
      </c>
      <c r="AM2532" s="159" t="s">
        <v>141</v>
      </c>
      <c r="AN2532" s="159" t="s">
        <v>138</v>
      </c>
      <c r="AO2532" s="156">
        <v>504.0</v>
      </c>
      <c r="AP2532" s="159" t="s">
        <v>15145</v>
      </c>
      <c r="AQ2532" s="159" t="s">
        <v>134</v>
      </c>
      <c r="AR2532" s="159" t="s">
        <v>15146</v>
      </c>
      <c r="AS2532" s="156">
        <v>0.001</v>
      </c>
      <c r="AT2532" s="159" t="s">
        <v>135</v>
      </c>
      <c r="AU2532" s="159" t="s">
        <v>186</v>
      </c>
      <c r="AV2532" s="159" t="s">
        <v>141</v>
      </c>
      <c r="AW2532" s="435" t="s">
        <v>15117</v>
      </c>
      <c r="AX2532" s="159" t="s">
        <v>143</v>
      </c>
      <c r="AY2532" s="61" t="str">
        <f>IFERROR(__xludf.DUMMYFUNCTION("vlookup(BB2532,importrange(""https://docs.google.com/spreadsheets/d/1d2vevQ_7D_v35q4wCQ4RpQ_IPoTwEMB9Yp6ymwlPqew/edit?gid=984458430#gid=984458430"", ""'replication success'!A:K""), 11, FAlSE)"),"failed")</f>
        <v>failed</v>
      </c>
      <c r="AZ2532" s="61" t="str">
        <f>IFERROR(__xludf.DUMMYFUNCTION("vlookup(BB2532,importrange(""https://docs.google.com/spreadsheets/d/1d2vevQ_7D_v35q4wCQ4RpQ_IPoTwEMB9Yp6ymwlPqew/edit?gid=984458430#gid=984458430"", ""'replication success'!A:M""), 12, FAlSE)"),"[Figure 1]")</f>
        <v>[Figure 1]</v>
      </c>
      <c r="BA2532" s="61" t="str">
        <f>IFERROR(__xludf.DUMMYFUNCTION("vlookup(BB2532,importrange(""https://docs.google.com/spreadsheets/d/1d2vevQ_7D_v35q4wCQ4RpQ_IPoTwEMB9Yp6ymwlPqew/edit?gid=984458430#gid=984458430"", ""'replication success'!A:M""), 13, FAlSE)"),"pg. 2")</f>
        <v>pg. 2</v>
      </c>
      <c r="BB2532" s="61" t="str">
        <f>IFERROR(__xludf.DUMMYFUNCTION("REGEXREPLACE(G2532, ""_[a-z]{1,2}$"", """")"),"OpenMKT17")</f>
        <v>OpenMKT17</v>
      </c>
      <c r="BD2532" s="62" t="s">
        <v>1270</v>
      </c>
    </row>
    <row r="2533">
      <c r="A2533" s="44">
        <v>2533.0</v>
      </c>
      <c r="B2533" s="1781" t="s">
        <v>114</v>
      </c>
      <c r="C2533" s="1782" t="s">
        <v>115</v>
      </c>
      <c r="D2533" s="1782" t="s">
        <v>248</v>
      </c>
      <c r="E2533" s="1783"/>
      <c r="F2533" s="1793" t="s">
        <v>15101</v>
      </c>
      <c r="G2533" s="1792" t="s">
        <v>15147</v>
      </c>
      <c r="H2533" s="1792" t="s">
        <v>249</v>
      </c>
      <c r="I2533" s="2152">
        <v>45758.0</v>
      </c>
      <c r="J2533" s="1786">
        <v>45786.0</v>
      </c>
      <c r="K2533" s="1792" t="s">
        <v>15136</v>
      </c>
      <c r="L2533" s="129" t="s">
        <v>15137</v>
      </c>
      <c r="M2533" s="1792" t="s">
        <v>15105</v>
      </c>
      <c r="N2533" s="1792" t="s">
        <v>15106</v>
      </c>
      <c r="O2533" s="2089">
        <v>4.0</v>
      </c>
      <c r="P2533" s="1792" t="s">
        <v>15107</v>
      </c>
      <c r="Q2533" s="52" t="str">
        <f t="array" ref="Q2533"> if(iserror(MATCH(V2533, 'File Links'!C:C, 0)), "N/A", HYPERLINK(INDEX('File Links'!B:B, MATCH(P2533, 'File Links'!C:C, 0))))</f>
        <v>https://drive.google.com/file/d/1qQJNn7ZvoufwBSS_pp5Ek1nTMCXq-Gfn/view?usp=drivesdk</v>
      </c>
      <c r="R2533" s="1792" t="s">
        <v>15108</v>
      </c>
      <c r="S2533" s="1792" t="s">
        <v>10182</v>
      </c>
      <c r="T2533" s="1793"/>
      <c r="U2533" s="1781">
        <v>17.0</v>
      </c>
      <c r="V2533" s="1792" t="s">
        <v>10183</v>
      </c>
      <c r="W2533" s="1781" t="s">
        <v>209</v>
      </c>
      <c r="X2533" s="54" t="str">
        <f t="array" ref="X2533"> if(iserror(MATCH(V2533, 'File Links'!C:C, 0)), "N/A", HYPERLINK(INDEX('File Links'!B:B, MATCH(V2533, 'File Links'!C:C, 0))))</f>
        <v>https://drive.google.com/file/d/1Irbmig3rfLDvz-G09jDAVwJvv1drYEqO/view?usp=drivesdk</v>
      </c>
      <c r="Y2533" s="1781" t="s">
        <v>141</v>
      </c>
      <c r="Z2533" s="1792" t="s">
        <v>2079</v>
      </c>
      <c r="AA2533" s="371" t="s">
        <v>15109</v>
      </c>
      <c r="AB2533" s="1792" t="s">
        <v>15120</v>
      </c>
      <c r="AC2533" s="1792" t="s">
        <v>15111</v>
      </c>
      <c r="AD2533" s="1792" t="s">
        <v>15131</v>
      </c>
      <c r="AE2533" s="1792" t="s">
        <v>1174</v>
      </c>
      <c r="AF2533" s="2089">
        <v>198.0</v>
      </c>
      <c r="AG2533" s="1792" t="s">
        <v>15148</v>
      </c>
      <c r="AH2533" s="1792" t="s">
        <v>134</v>
      </c>
      <c r="AI2533" s="1792" t="s">
        <v>15133</v>
      </c>
      <c r="AJ2533" s="2089">
        <v>0.9</v>
      </c>
      <c r="AK2533" s="1792" t="s">
        <v>335</v>
      </c>
      <c r="AL2533" s="1792" t="s">
        <v>186</v>
      </c>
      <c r="AM2533" s="1792" t="s">
        <v>141</v>
      </c>
      <c r="AN2533" s="1792" t="s">
        <v>138</v>
      </c>
      <c r="AO2533" s="2089">
        <v>504.0</v>
      </c>
      <c r="AP2533" s="2089">
        <v>-0.2</v>
      </c>
      <c r="AQ2533" s="1792" t="s">
        <v>987</v>
      </c>
      <c r="AR2533" s="1792" t="s">
        <v>15149</v>
      </c>
      <c r="AS2533" s="2089">
        <v>0.023</v>
      </c>
      <c r="AT2533" s="1792" t="s">
        <v>172</v>
      </c>
      <c r="AU2533" s="1792" t="s">
        <v>186</v>
      </c>
      <c r="AV2533" s="1792" t="s">
        <v>141</v>
      </c>
      <c r="AW2533" s="2154" t="s">
        <v>15117</v>
      </c>
      <c r="AX2533" s="1792" t="s">
        <v>143</v>
      </c>
      <c r="AY2533" s="61" t="str">
        <f>IFERROR(__xludf.DUMMYFUNCTION("vlookup(BB2533,importrange(""https://docs.google.com/spreadsheets/d/1d2vevQ_7D_v35q4wCQ4RpQ_IPoTwEMB9Yp6ymwlPqew/edit?gid=984458430#gid=984458430"", ""'replication success'!A:K""), 11, FAlSE)"),"failed")</f>
        <v>failed</v>
      </c>
      <c r="AZ2533" s="61" t="str">
        <f>IFERROR(__xludf.DUMMYFUNCTION("vlookup(BB2533,importrange(""https://docs.google.com/spreadsheets/d/1d2vevQ_7D_v35q4wCQ4RpQ_IPoTwEMB9Yp6ymwlPqew/edit?gid=984458430#gid=984458430"", ""'replication success'!A:M""), 12, FAlSE)"),"[Figure 1]")</f>
        <v>[Figure 1]</v>
      </c>
      <c r="BA2533" s="61" t="str">
        <f>IFERROR(__xludf.DUMMYFUNCTION("vlookup(BB2533,importrange(""https://docs.google.com/spreadsheets/d/1d2vevQ_7D_v35q4wCQ4RpQ_IPoTwEMB9Yp6ymwlPqew/edit?gid=984458430#gid=984458430"", ""'replication success'!A:M""), 13, FAlSE)"),"pg. 2")</f>
        <v>pg. 2</v>
      </c>
      <c r="BB2533" s="61" t="str">
        <f>IFERROR(__xludf.DUMMYFUNCTION("REGEXREPLACE(G2533, ""_[a-z]{1,2}$"", """")"),"OpenMKT17")</f>
        <v>OpenMKT17</v>
      </c>
      <c r="BD2533" s="62" t="s">
        <v>1270</v>
      </c>
      <c r="BE2533" s="1783"/>
      <c r="BF2533" s="1783"/>
      <c r="BG2533" s="1783"/>
      <c r="BH2533" s="1783"/>
      <c r="BI2533" s="1783"/>
      <c r="BJ2533" s="1783"/>
      <c r="BK2533" s="1783"/>
      <c r="BL2533" s="1783"/>
      <c r="BM2533" s="1783"/>
      <c r="BN2533" s="1783"/>
      <c r="BO2533" s="1783"/>
      <c r="BP2533" s="1783"/>
      <c r="BQ2533" s="1783"/>
      <c r="BR2533" s="1783"/>
      <c r="BS2533" s="1783"/>
      <c r="BT2533" s="1783"/>
      <c r="BU2533" s="1783"/>
      <c r="BV2533" s="1783"/>
      <c r="BW2533" s="1783"/>
      <c r="BX2533" s="1783"/>
      <c r="BY2533" s="1783"/>
      <c r="BZ2533" s="1783"/>
      <c r="CA2533" s="1783"/>
      <c r="CB2533" s="1783"/>
      <c r="CC2533" s="1783"/>
      <c r="CD2533" s="1783"/>
      <c r="CE2533" s="1783"/>
      <c r="CF2533" s="1783"/>
      <c r="CG2533" s="1783"/>
      <c r="CH2533" s="1783"/>
      <c r="CI2533" s="1783"/>
      <c r="CJ2533" s="1783"/>
      <c r="CK2533" s="1783"/>
      <c r="CL2533" s="1783"/>
      <c r="CM2533" s="1783"/>
      <c r="CN2533" s="1783"/>
      <c r="CO2533" s="1783"/>
      <c r="CP2533" s="1783"/>
      <c r="CQ2533" s="1783"/>
      <c r="CR2533" s="1783"/>
      <c r="CS2533" s="1783"/>
      <c r="CT2533" s="1783"/>
      <c r="CU2533" s="1783"/>
      <c r="CV2533" s="1783"/>
      <c r="CW2533" s="1783"/>
      <c r="CX2533" s="1783"/>
      <c r="CY2533" s="1783"/>
      <c r="CZ2533" s="1783"/>
      <c r="DA2533" s="1783"/>
      <c r="DB2533" s="1783"/>
      <c r="DC2533" s="1783"/>
      <c r="DD2533" s="1783"/>
      <c r="DE2533" s="1783"/>
      <c r="DF2533" s="1783"/>
      <c r="DG2533" s="1783"/>
      <c r="DH2533" s="1783"/>
      <c r="DI2533" s="1783"/>
      <c r="DJ2533" s="1783"/>
      <c r="DK2533" s="1783"/>
      <c r="DL2533" s="1783"/>
    </row>
    <row r="2534">
      <c r="A2534" s="44">
        <v>2534.0</v>
      </c>
      <c r="B2534" s="1062" t="s">
        <v>152</v>
      </c>
      <c r="C2534" s="1063" t="s">
        <v>115</v>
      </c>
      <c r="D2534" s="1063" t="s">
        <v>248</v>
      </c>
      <c r="E2534" s="1064"/>
      <c r="F2534" s="1065" t="s">
        <v>15150</v>
      </c>
      <c r="G2534" s="704" t="s">
        <v>15151</v>
      </c>
      <c r="H2534" s="704" t="s">
        <v>249</v>
      </c>
      <c r="I2534" s="1068">
        <v>45758.0</v>
      </c>
      <c r="J2534" s="1786">
        <v>45786.0</v>
      </c>
      <c r="K2534" s="1065"/>
      <c r="L2534" s="1062" t="s">
        <v>15152</v>
      </c>
      <c r="M2534" s="704" t="s">
        <v>15153</v>
      </c>
      <c r="N2534" s="704" t="s">
        <v>15154</v>
      </c>
      <c r="O2534" s="1070">
        <v>2.0</v>
      </c>
      <c r="P2534" s="704" t="s">
        <v>15155</v>
      </c>
      <c r="Q2534" s="52" t="str">
        <f t="array" ref="Q2534"> if(iserror(MATCH(V2534, 'File Links'!C:C, 0)), "N/A", HYPERLINK(INDEX('File Links'!B:B, MATCH(P2534, 'File Links'!C:C, 0))))</f>
        <v>https://drive.google.com/file/d/1H17uMt3lEFj60TgPCBKsbQYCGkxU4ctv/view?usp=drivesdk</v>
      </c>
      <c r="R2534" s="704" t="s">
        <v>15108</v>
      </c>
      <c r="S2534" s="704" t="s">
        <v>10182</v>
      </c>
      <c r="T2534" s="1065"/>
      <c r="U2534" s="1062">
        <v>31.0</v>
      </c>
      <c r="V2534" s="704" t="s">
        <v>10183</v>
      </c>
      <c r="W2534" s="1781" t="s">
        <v>209</v>
      </c>
      <c r="X2534" s="54" t="str">
        <f t="array" ref="X2534"> if(iserror(MATCH(V2534, 'File Links'!C:C, 0)), "N/A", HYPERLINK(INDEX('File Links'!B:B, MATCH(V2534, 'File Links'!C:C, 0))))</f>
        <v>https://drive.google.com/file/d/1Irbmig3rfLDvz-G09jDAVwJvv1drYEqO/view?usp=drivesdk</v>
      </c>
      <c r="Y2534" s="1065"/>
      <c r="Z2534" s="704" t="s">
        <v>2079</v>
      </c>
      <c r="AA2534" s="371" t="s">
        <v>15156</v>
      </c>
      <c r="AB2534" s="704" t="s">
        <v>15157</v>
      </c>
      <c r="AC2534" s="704" t="s">
        <v>15158</v>
      </c>
      <c r="AD2534" s="704" t="s">
        <v>15159</v>
      </c>
      <c r="AE2534" s="704" t="s">
        <v>1042</v>
      </c>
      <c r="AF2534" s="1070">
        <v>200.0</v>
      </c>
      <c r="AG2534" s="2155" t="s">
        <v>15160</v>
      </c>
      <c r="AH2534" s="704" t="s">
        <v>134</v>
      </c>
      <c r="AI2534" s="704" t="s">
        <v>15161</v>
      </c>
      <c r="AJ2534" s="1070">
        <v>0.05</v>
      </c>
      <c r="AK2534" s="704" t="s">
        <v>172</v>
      </c>
      <c r="AL2534" s="704" t="s">
        <v>186</v>
      </c>
      <c r="AM2534" s="704" t="s">
        <v>137</v>
      </c>
      <c r="AN2534" s="704" t="s">
        <v>138</v>
      </c>
      <c r="AO2534" s="1070">
        <v>595.0</v>
      </c>
      <c r="AP2534" s="1070">
        <v>0.003</v>
      </c>
      <c r="AQ2534" s="704" t="s">
        <v>173</v>
      </c>
      <c r="AR2534" s="2155" t="s">
        <v>15162</v>
      </c>
      <c r="AS2534" s="1070">
        <v>0.97</v>
      </c>
      <c r="AT2534" s="704" t="s">
        <v>172</v>
      </c>
      <c r="AU2534" s="704" t="s">
        <v>186</v>
      </c>
      <c r="AV2534" s="704" t="s">
        <v>137</v>
      </c>
      <c r="AW2534" s="2156" t="s">
        <v>15163</v>
      </c>
      <c r="AX2534" s="704" t="s">
        <v>143</v>
      </c>
      <c r="AY2534" s="61" t="str">
        <f>IFERROR(__xludf.DUMMYFUNCTION("vlookup(BB2534,importrange(""https://docs.google.com/spreadsheets/d/1d2vevQ_7D_v35q4wCQ4RpQ_IPoTwEMB9Yp6ymwlPqew/edit?gid=984458430#gid=984458430"", ""'replication success'!A:K""), 11, FAlSE)"),"mixed")</f>
        <v>mixed</v>
      </c>
      <c r="AZ2534" s="61" t="str">
        <f>IFERROR(__xludf.DUMMYFUNCTION("vlookup(BB2534,importrange(""https://docs.google.com/spreadsheets/d/1d2vevQ_7D_v35q4wCQ4RpQ_IPoTwEMB9Yp6ymwlPqew/edit?gid=984458430#gid=984458430"", ""'replication success'!A:M""), 12, FAlSE)"),"[Figure 1]")</f>
        <v>[Figure 1]</v>
      </c>
      <c r="BA2534" s="61" t="str">
        <f>IFERROR(__xludf.DUMMYFUNCTION("vlookup(BB2534,importrange(""https://docs.google.com/spreadsheets/d/1d2vevQ_7D_v35q4wCQ4RpQ_IPoTwEMB9Yp6ymwlPqew/edit?gid=984458430#gid=984458430"", ""'replication success'!A:M""), 13, FAlSE)"),"pg. 2")</f>
        <v>pg. 2</v>
      </c>
      <c r="BB2534" s="61" t="str">
        <f>IFERROR(__xludf.DUMMYFUNCTION("REGEXREPLACE(G2534, ""_[a-z]{1,2}$"", """")"),"OpenMKT18")</f>
        <v>OpenMKT18</v>
      </c>
      <c r="BD2534" s="62" t="s">
        <v>1270</v>
      </c>
      <c r="BE2534" s="1064"/>
      <c r="BF2534" s="1064"/>
      <c r="BG2534" s="1064"/>
      <c r="BH2534" s="1064"/>
      <c r="BI2534" s="1064"/>
      <c r="BJ2534" s="1064"/>
      <c r="BK2534" s="1064"/>
      <c r="BL2534" s="1064"/>
      <c r="BM2534" s="1064"/>
      <c r="BN2534" s="1064"/>
      <c r="BO2534" s="1064"/>
      <c r="BP2534" s="1064"/>
      <c r="BQ2534" s="1064"/>
      <c r="BR2534" s="1064"/>
      <c r="BS2534" s="1064"/>
      <c r="BT2534" s="1064"/>
      <c r="BU2534" s="1064"/>
      <c r="BV2534" s="1064"/>
      <c r="BW2534" s="1064"/>
      <c r="BX2534" s="1064"/>
      <c r="BY2534" s="1064"/>
      <c r="BZ2534" s="1064"/>
      <c r="CA2534" s="1064"/>
      <c r="CB2534" s="1064"/>
      <c r="CC2534" s="1064"/>
      <c r="CD2534" s="1064"/>
      <c r="CE2534" s="1064"/>
      <c r="CF2534" s="1064"/>
      <c r="CG2534" s="1064"/>
      <c r="CH2534" s="1064"/>
      <c r="CI2534" s="1064"/>
      <c r="CJ2534" s="1064"/>
      <c r="CK2534" s="1064"/>
      <c r="CL2534" s="1064"/>
      <c r="CM2534" s="1064"/>
      <c r="CN2534" s="1064"/>
      <c r="CO2534" s="1064"/>
      <c r="CP2534" s="1064"/>
      <c r="CQ2534" s="1064"/>
      <c r="CR2534" s="1064"/>
      <c r="CS2534" s="1064"/>
      <c r="CT2534" s="1064"/>
      <c r="CU2534" s="1064"/>
      <c r="CV2534" s="1064"/>
      <c r="CW2534" s="1064"/>
      <c r="CX2534" s="1064"/>
      <c r="CY2534" s="1064"/>
      <c r="CZ2534" s="1064"/>
      <c r="DA2534" s="1064"/>
      <c r="DB2534" s="1064"/>
      <c r="DC2534" s="1064"/>
      <c r="DD2534" s="1064"/>
      <c r="DE2534" s="1064"/>
      <c r="DF2534" s="1064"/>
      <c r="DG2534" s="1064"/>
      <c r="DH2534" s="1064"/>
      <c r="DI2534" s="1064"/>
      <c r="DJ2534" s="1064"/>
      <c r="DK2534" s="1064"/>
      <c r="DL2534" s="1064"/>
    </row>
    <row r="2535">
      <c r="A2535" s="44">
        <v>2535.0</v>
      </c>
      <c r="B2535" s="1062" t="s">
        <v>152</v>
      </c>
      <c r="C2535" s="1063" t="s">
        <v>115</v>
      </c>
      <c r="D2535" s="1063" t="s">
        <v>248</v>
      </c>
      <c r="E2535" s="1064"/>
      <c r="F2535" s="1065" t="s">
        <v>15150</v>
      </c>
      <c r="G2535" s="704" t="s">
        <v>15164</v>
      </c>
      <c r="H2535" s="704" t="s">
        <v>249</v>
      </c>
      <c r="I2535" s="1068">
        <v>45758.0</v>
      </c>
      <c r="J2535" s="1786">
        <v>45786.0</v>
      </c>
      <c r="K2535" s="1065"/>
      <c r="L2535" s="1062" t="s">
        <v>15152</v>
      </c>
      <c r="M2535" s="704" t="s">
        <v>15153</v>
      </c>
      <c r="N2535" s="704" t="s">
        <v>15154</v>
      </c>
      <c r="O2535" s="1070">
        <v>2.0</v>
      </c>
      <c r="P2535" s="704" t="s">
        <v>15155</v>
      </c>
      <c r="Q2535" s="52" t="str">
        <f t="array" ref="Q2535"> if(iserror(MATCH(V2535, 'File Links'!C:C, 0)), "N/A", HYPERLINK(INDEX('File Links'!B:B, MATCH(P2535, 'File Links'!C:C, 0))))</f>
        <v>https://drive.google.com/file/d/1H17uMt3lEFj60TgPCBKsbQYCGkxU4ctv/view?usp=drivesdk</v>
      </c>
      <c r="R2535" s="704" t="s">
        <v>15108</v>
      </c>
      <c r="S2535" s="704" t="s">
        <v>10182</v>
      </c>
      <c r="T2535" s="1065"/>
      <c r="U2535" s="1062">
        <v>31.0</v>
      </c>
      <c r="V2535" s="704" t="s">
        <v>10183</v>
      </c>
      <c r="W2535" s="1781" t="s">
        <v>209</v>
      </c>
      <c r="X2535" s="54" t="str">
        <f t="array" ref="X2535"> if(iserror(MATCH(V2535, 'File Links'!C:C, 0)), "N/A", HYPERLINK(INDEX('File Links'!B:B, MATCH(V2535, 'File Links'!C:C, 0))))</f>
        <v>https://drive.google.com/file/d/1Irbmig3rfLDvz-G09jDAVwJvv1drYEqO/view?usp=drivesdk</v>
      </c>
      <c r="Y2535" s="1065"/>
      <c r="Z2535" s="704" t="s">
        <v>2079</v>
      </c>
      <c r="AA2535" s="371" t="s">
        <v>15156</v>
      </c>
      <c r="AB2535" s="704" t="s">
        <v>15157</v>
      </c>
      <c r="AC2535" s="704" t="s">
        <v>15158</v>
      </c>
      <c r="AD2535" s="704" t="s">
        <v>15165</v>
      </c>
      <c r="AE2535" s="704" t="s">
        <v>1042</v>
      </c>
      <c r="AF2535" s="1070">
        <v>200.0</v>
      </c>
      <c r="AG2535" s="704" t="s">
        <v>15166</v>
      </c>
      <c r="AH2535" s="704" t="s">
        <v>134</v>
      </c>
      <c r="AI2535" s="704" t="s">
        <v>15167</v>
      </c>
      <c r="AJ2535" s="1070">
        <v>0.028</v>
      </c>
      <c r="AK2535" s="704" t="s">
        <v>172</v>
      </c>
      <c r="AL2535" s="704" t="s">
        <v>186</v>
      </c>
      <c r="AM2535" s="704" t="s">
        <v>137</v>
      </c>
      <c r="AN2535" s="704" t="s">
        <v>138</v>
      </c>
      <c r="AO2535" s="1070">
        <v>595.0</v>
      </c>
      <c r="AP2535" s="704" t="s">
        <v>15168</v>
      </c>
      <c r="AQ2535" s="704" t="s">
        <v>134</v>
      </c>
      <c r="AR2535" s="2155" t="s">
        <v>15169</v>
      </c>
      <c r="AS2535" s="1070">
        <v>0.3</v>
      </c>
      <c r="AT2535" s="704" t="s">
        <v>172</v>
      </c>
      <c r="AU2535" s="704" t="s">
        <v>186</v>
      </c>
      <c r="AV2535" s="704" t="s">
        <v>137</v>
      </c>
      <c r="AW2535" s="2156" t="s">
        <v>15163</v>
      </c>
      <c r="AX2535" s="704" t="s">
        <v>143</v>
      </c>
      <c r="AY2535" s="61" t="str">
        <f>IFERROR(__xludf.DUMMYFUNCTION("vlookup(BB2535,importrange(""https://docs.google.com/spreadsheets/d/1d2vevQ_7D_v35q4wCQ4RpQ_IPoTwEMB9Yp6ymwlPqew/edit?gid=984458430#gid=984458430"", ""'replication success'!A:K""), 11, FAlSE)"),"mixed")</f>
        <v>mixed</v>
      </c>
      <c r="AZ2535" s="61" t="str">
        <f>IFERROR(__xludf.DUMMYFUNCTION("vlookup(BB2535,importrange(""https://docs.google.com/spreadsheets/d/1d2vevQ_7D_v35q4wCQ4RpQ_IPoTwEMB9Yp6ymwlPqew/edit?gid=984458430#gid=984458430"", ""'replication success'!A:M""), 12, FAlSE)"),"[Figure 1]")</f>
        <v>[Figure 1]</v>
      </c>
      <c r="BA2535" s="61" t="str">
        <f>IFERROR(__xludf.DUMMYFUNCTION("vlookup(BB2535,importrange(""https://docs.google.com/spreadsheets/d/1d2vevQ_7D_v35q4wCQ4RpQ_IPoTwEMB9Yp6ymwlPqew/edit?gid=984458430#gid=984458430"", ""'replication success'!A:M""), 13, FAlSE)"),"pg. 2")</f>
        <v>pg. 2</v>
      </c>
      <c r="BB2535" s="61" t="str">
        <f>IFERROR(__xludf.DUMMYFUNCTION("REGEXREPLACE(G2535, ""_[a-z]{1,2}$"", """")"),"OpenMKT18")</f>
        <v>OpenMKT18</v>
      </c>
      <c r="BD2535" s="62" t="s">
        <v>1270</v>
      </c>
      <c r="BE2535" s="1064"/>
      <c r="BF2535" s="1064"/>
      <c r="BG2535" s="1064"/>
      <c r="BH2535" s="1064"/>
      <c r="BI2535" s="1064"/>
      <c r="BJ2535" s="1064"/>
      <c r="BK2535" s="1064"/>
      <c r="BL2535" s="1064"/>
      <c r="BM2535" s="1064"/>
      <c r="BN2535" s="1064"/>
      <c r="BO2535" s="1064"/>
      <c r="BP2535" s="1064"/>
      <c r="BQ2535" s="1064"/>
      <c r="BR2535" s="1064"/>
      <c r="BS2535" s="1064"/>
      <c r="BT2535" s="1064"/>
      <c r="BU2535" s="1064"/>
      <c r="BV2535" s="1064"/>
      <c r="BW2535" s="1064"/>
      <c r="BX2535" s="1064"/>
      <c r="BY2535" s="1064"/>
      <c r="BZ2535" s="1064"/>
      <c r="CA2535" s="1064"/>
      <c r="CB2535" s="1064"/>
      <c r="CC2535" s="1064"/>
      <c r="CD2535" s="1064"/>
      <c r="CE2535" s="1064"/>
      <c r="CF2535" s="1064"/>
      <c r="CG2535" s="1064"/>
      <c r="CH2535" s="1064"/>
      <c r="CI2535" s="1064"/>
      <c r="CJ2535" s="1064"/>
      <c r="CK2535" s="1064"/>
      <c r="CL2535" s="1064"/>
      <c r="CM2535" s="1064"/>
      <c r="CN2535" s="1064"/>
      <c r="CO2535" s="1064"/>
      <c r="CP2535" s="1064"/>
      <c r="CQ2535" s="1064"/>
      <c r="CR2535" s="1064"/>
      <c r="CS2535" s="1064"/>
      <c r="CT2535" s="1064"/>
      <c r="CU2535" s="1064"/>
      <c r="CV2535" s="1064"/>
      <c r="CW2535" s="1064"/>
      <c r="CX2535" s="1064"/>
      <c r="CY2535" s="1064"/>
      <c r="CZ2535" s="1064"/>
      <c r="DA2535" s="1064"/>
      <c r="DB2535" s="1064"/>
      <c r="DC2535" s="1064"/>
      <c r="DD2535" s="1064"/>
      <c r="DE2535" s="1064"/>
      <c r="DF2535" s="1064"/>
      <c r="DG2535" s="1064"/>
      <c r="DH2535" s="1064"/>
      <c r="DI2535" s="1064"/>
      <c r="DJ2535" s="1064"/>
      <c r="DK2535" s="1064"/>
      <c r="DL2535" s="1064"/>
    </row>
    <row r="2536">
      <c r="A2536" s="44">
        <v>2536.0</v>
      </c>
      <c r="B2536" s="1062" t="s">
        <v>152</v>
      </c>
      <c r="C2536" s="1063" t="s">
        <v>115</v>
      </c>
      <c r="D2536" s="1063" t="s">
        <v>248</v>
      </c>
      <c r="E2536" s="1064"/>
      <c r="F2536" s="1065" t="s">
        <v>15150</v>
      </c>
      <c r="G2536" s="704" t="s">
        <v>15170</v>
      </c>
      <c r="H2536" s="704" t="s">
        <v>249</v>
      </c>
      <c r="I2536" s="1068">
        <v>45758.0</v>
      </c>
      <c r="J2536" s="1786">
        <v>45786.0</v>
      </c>
      <c r="K2536" s="1065"/>
      <c r="L2536" s="1062" t="s">
        <v>15152</v>
      </c>
      <c r="M2536" s="704" t="s">
        <v>15153</v>
      </c>
      <c r="N2536" s="704" t="s">
        <v>15154</v>
      </c>
      <c r="O2536" s="1070">
        <v>2.0</v>
      </c>
      <c r="P2536" s="704" t="s">
        <v>15155</v>
      </c>
      <c r="Q2536" s="52" t="str">
        <f t="array" ref="Q2536"> if(iserror(MATCH(V2536, 'File Links'!C:C, 0)), "N/A", HYPERLINK(INDEX('File Links'!B:B, MATCH(P2536, 'File Links'!C:C, 0))))</f>
        <v>https://drive.google.com/file/d/1H17uMt3lEFj60TgPCBKsbQYCGkxU4ctv/view?usp=drivesdk</v>
      </c>
      <c r="R2536" s="704" t="s">
        <v>15108</v>
      </c>
      <c r="S2536" s="704" t="s">
        <v>10182</v>
      </c>
      <c r="T2536" s="1065"/>
      <c r="U2536" s="1062">
        <v>31.0</v>
      </c>
      <c r="V2536" s="704" t="s">
        <v>10183</v>
      </c>
      <c r="W2536" s="1781" t="s">
        <v>209</v>
      </c>
      <c r="X2536" s="54" t="str">
        <f t="array" ref="X2536"> if(iserror(MATCH(V2536, 'File Links'!C:C, 0)), "N/A", HYPERLINK(INDEX('File Links'!B:B, MATCH(V2536, 'File Links'!C:C, 0))))</f>
        <v>https://drive.google.com/file/d/1Irbmig3rfLDvz-G09jDAVwJvv1drYEqO/view?usp=drivesdk</v>
      </c>
      <c r="Y2536" s="1065"/>
      <c r="Z2536" s="704" t="s">
        <v>2079</v>
      </c>
      <c r="AA2536" s="371" t="s">
        <v>15156</v>
      </c>
      <c r="AB2536" s="704" t="s">
        <v>15157</v>
      </c>
      <c r="AC2536" s="704" t="s">
        <v>15158</v>
      </c>
      <c r="AD2536" s="704" t="s">
        <v>15171</v>
      </c>
      <c r="AE2536" s="704" t="s">
        <v>1042</v>
      </c>
      <c r="AF2536" s="1070">
        <v>200.0</v>
      </c>
      <c r="AG2536" s="704" t="s">
        <v>15172</v>
      </c>
      <c r="AH2536" s="704" t="s">
        <v>134</v>
      </c>
      <c r="AI2536" s="704" t="s">
        <v>15173</v>
      </c>
      <c r="AJ2536" s="1070">
        <v>0.149</v>
      </c>
      <c r="AK2536" s="704" t="s">
        <v>172</v>
      </c>
      <c r="AL2536" s="704" t="s">
        <v>186</v>
      </c>
      <c r="AM2536" s="704" t="s">
        <v>137</v>
      </c>
      <c r="AN2536" s="704" t="s">
        <v>138</v>
      </c>
      <c r="AO2536" s="1070">
        <v>595.0</v>
      </c>
      <c r="AP2536" s="704" t="s">
        <v>15174</v>
      </c>
      <c r="AQ2536" s="704" t="s">
        <v>134</v>
      </c>
      <c r="AR2536" s="2155" t="s">
        <v>15175</v>
      </c>
      <c r="AS2536" s="1070">
        <v>0.83</v>
      </c>
      <c r="AT2536" s="704" t="s">
        <v>172</v>
      </c>
      <c r="AU2536" s="704" t="s">
        <v>186</v>
      </c>
      <c r="AV2536" s="704" t="s">
        <v>137</v>
      </c>
      <c r="AW2536" s="2156" t="s">
        <v>15163</v>
      </c>
      <c r="AX2536" s="704" t="s">
        <v>143</v>
      </c>
      <c r="AY2536" s="61" t="str">
        <f>IFERROR(__xludf.DUMMYFUNCTION("vlookup(BB2536,importrange(""https://docs.google.com/spreadsheets/d/1d2vevQ_7D_v35q4wCQ4RpQ_IPoTwEMB9Yp6ymwlPqew/edit?gid=984458430#gid=984458430"", ""'replication success'!A:K""), 11, FAlSE)"),"mixed")</f>
        <v>mixed</v>
      </c>
      <c r="AZ2536" s="61" t="str">
        <f>IFERROR(__xludf.DUMMYFUNCTION("vlookup(BB2536,importrange(""https://docs.google.com/spreadsheets/d/1d2vevQ_7D_v35q4wCQ4RpQ_IPoTwEMB9Yp6ymwlPqew/edit?gid=984458430#gid=984458430"", ""'replication success'!A:M""), 12, FAlSE)"),"[Figure 1]")</f>
        <v>[Figure 1]</v>
      </c>
      <c r="BA2536" s="61" t="str">
        <f>IFERROR(__xludf.DUMMYFUNCTION("vlookup(BB2536,importrange(""https://docs.google.com/spreadsheets/d/1d2vevQ_7D_v35q4wCQ4RpQ_IPoTwEMB9Yp6ymwlPqew/edit?gid=984458430#gid=984458430"", ""'replication success'!A:M""), 13, FAlSE)"),"pg. 2")</f>
        <v>pg. 2</v>
      </c>
      <c r="BB2536" s="61" t="str">
        <f>IFERROR(__xludf.DUMMYFUNCTION("REGEXREPLACE(G2536, ""_[a-z]{1,2}$"", """")"),"OpenMKT18")</f>
        <v>OpenMKT18</v>
      </c>
      <c r="BD2536" s="62" t="s">
        <v>1270</v>
      </c>
      <c r="BE2536" s="1064"/>
      <c r="BF2536" s="1064"/>
      <c r="BG2536" s="1064"/>
      <c r="BH2536" s="1064"/>
      <c r="BI2536" s="1064"/>
      <c r="BJ2536" s="1064"/>
      <c r="BK2536" s="1064"/>
      <c r="BL2536" s="1064"/>
      <c r="BM2536" s="1064"/>
      <c r="BN2536" s="1064"/>
      <c r="BO2536" s="1064"/>
      <c r="BP2536" s="1064"/>
      <c r="BQ2536" s="1064"/>
      <c r="BR2536" s="1064"/>
      <c r="BS2536" s="1064"/>
      <c r="BT2536" s="1064"/>
      <c r="BU2536" s="1064"/>
      <c r="BV2536" s="1064"/>
      <c r="BW2536" s="1064"/>
      <c r="BX2536" s="1064"/>
      <c r="BY2536" s="1064"/>
      <c r="BZ2536" s="1064"/>
      <c r="CA2536" s="1064"/>
      <c r="CB2536" s="1064"/>
      <c r="CC2536" s="1064"/>
      <c r="CD2536" s="1064"/>
      <c r="CE2536" s="1064"/>
      <c r="CF2536" s="1064"/>
      <c r="CG2536" s="1064"/>
      <c r="CH2536" s="1064"/>
      <c r="CI2536" s="1064"/>
      <c r="CJ2536" s="1064"/>
      <c r="CK2536" s="1064"/>
      <c r="CL2536" s="1064"/>
      <c r="CM2536" s="1064"/>
      <c r="CN2536" s="1064"/>
      <c r="CO2536" s="1064"/>
      <c r="CP2536" s="1064"/>
      <c r="CQ2536" s="1064"/>
      <c r="CR2536" s="1064"/>
      <c r="CS2536" s="1064"/>
      <c r="CT2536" s="1064"/>
      <c r="CU2536" s="1064"/>
      <c r="CV2536" s="1064"/>
      <c r="CW2536" s="1064"/>
      <c r="CX2536" s="1064"/>
      <c r="CY2536" s="1064"/>
      <c r="CZ2536" s="1064"/>
      <c r="DA2536" s="1064"/>
      <c r="DB2536" s="1064"/>
      <c r="DC2536" s="1064"/>
      <c r="DD2536" s="1064"/>
      <c r="DE2536" s="1064"/>
      <c r="DF2536" s="1064"/>
      <c r="DG2536" s="1064"/>
      <c r="DH2536" s="1064"/>
      <c r="DI2536" s="1064"/>
      <c r="DJ2536" s="1064"/>
      <c r="DK2536" s="1064"/>
      <c r="DL2536" s="1064"/>
    </row>
    <row r="2537">
      <c r="A2537" s="44">
        <v>2537.0</v>
      </c>
      <c r="B2537" s="129" t="s">
        <v>152</v>
      </c>
      <c r="C2537" s="62" t="s">
        <v>115</v>
      </c>
      <c r="D2537" s="62" t="s">
        <v>248</v>
      </c>
      <c r="F2537" s="68" t="s">
        <v>15176</v>
      </c>
      <c r="G2537" s="159" t="s">
        <v>15177</v>
      </c>
      <c r="H2537" s="159" t="s">
        <v>249</v>
      </c>
      <c r="I2537" s="152">
        <v>45761.0</v>
      </c>
      <c r="J2537" s="540">
        <v>45793.0</v>
      </c>
      <c r="K2537" s="68"/>
      <c r="L2537" s="129" t="s">
        <v>15178</v>
      </c>
      <c r="M2537" s="159" t="s">
        <v>15179</v>
      </c>
      <c r="N2537" s="159" t="s">
        <v>15180</v>
      </c>
      <c r="O2537" s="156">
        <v>3.0</v>
      </c>
      <c r="P2537" s="382" t="s">
        <v>15181</v>
      </c>
      <c r="Q2537" s="52" t="str">
        <f t="array" ref="Q2537"> if(iserror(MATCH(V2537, 'File Links'!C:C, 0)), "N/A", HYPERLINK(INDEX('File Links'!B:B, MATCH(P2537, 'File Links'!C:C, 0))))</f>
        <v>https://drive.google.com/file/d/1pNYePg3eNKxHVFnrHDZ4sLAX_CCQrhwE/view?usp=drivesdk</v>
      </c>
      <c r="R2537" s="159" t="s">
        <v>15108</v>
      </c>
      <c r="S2537" s="159" t="s">
        <v>10182</v>
      </c>
      <c r="T2537" s="68"/>
      <c r="U2537" s="129">
        <v>5.0</v>
      </c>
      <c r="V2537" s="382" t="s">
        <v>10183</v>
      </c>
      <c r="W2537" s="1781" t="s">
        <v>209</v>
      </c>
      <c r="X2537" s="54" t="str">
        <f t="array" ref="X2537"> if(iserror(MATCH(V2537, 'File Links'!C:C, 0)), "N/A", HYPERLINK(INDEX('File Links'!B:B, MATCH(V2537, 'File Links'!C:C, 0))))</f>
        <v>https://drive.google.com/file/d/1Irbmig3rfLDvz-G09jDAVwJvv1drYEqO/view?usp=drivesdk</v>
      </c>
      <c r="Y2537" s="68"/>
      <c r="Z2537" s="159" t="s">
        <v>2079</v>
      </c>
      <c r="AA2537" s="2157" t="s">
        <v>15182</v>
      </c>
      <c r="AB2537" s="151" t="s">
        <v>15183</v>
      </c>
      <c r="AC2537" s="159" t="s">
        <v>15184</v>
      </c>
      <c r="AD2537" s="159" t="s">
        <v>15185</v>
      </c>
      <c r="AE2537" s="159" t="s">
        <v>15186</v>
      </c>
      <c r="AF2537" s="156">
        <v>199.0</v>
      </c>
      <c r="AG2537" s="156">
        <v>0.016</v>
      </c>
      <c r="AH2537" s="159" t="s">
        <v>874</v>
      </c>
      <c r="AI2537" s="159" t="s">
        <v>15187</v>
      </c>
      <c r="AJ2537" s="156">
        <v>0.08</v>
      </c>
      <c r="AK2537" s="159" t="s">
        <v>172</v>
      </c>
      <c r="AL2537" s="159" t="s">
        <v>186</v>
      </c>
      <c r="AM2537" s="159" t="s">
        <v>137</v>
      </c>
      <c r="AN2537" s="159" t="s">
        <v>138</v>
      </c>
      <c r="AO2537" s="156">
        <v>507.0</v>
      </c>
      <c r="AP2537" s="156">
        <v>0.019</v>
      </c>
      <c r="AQ2537" s="159" t="s">
        <v>874</v>
      </c>
      <c r="AR2537" s="151" t="s">
        <v>15188</v>
      </c>
      <c r="AS2537" s="156">
        <v>0.002</v>
      </c>
      <c r="AT2537" s="159" t="s">
        <v>172</v>
      </c>
      <c r="AU2537" s="159" t="s">
        <v>186</v>
      </c>
      <c r="AV2537" s="159" t="s">
        <v>137</v>
      </c>
      <c r="AW2537" s="435" t="s">
        <v>15189</v>
      </c>
      <c r="AX2537" s="159" t="s">
        <v>143</v>
      </c>
      <c r="AY2537" s="61" t="str">
        <f>IFERROR(__xludf.DUMMYFUNCTION("vlookup(BB2537,importrange(""https://docs.google.com/spreadsheets/d/1d2vevQ_7D_v35q4wCQ4RpQ_IPoTwEMB9Yp6ymwlPqew/edit?gid=984458430#gid=984458430"", ""'replication success'!A:K""), 11, FAlSE)"),"successful")</f>
        <v>successful</v>
      </c>
      <c r="AZ2537" s="61" t="str">
        <f>IFERROR(__xludf.DUMMYFUNCTION("vlookup(BB2537,importrange(""https://docs.google.com/spreadsheets/d/1d2vevQ_7D_v35q4wCQ4RpQ_IPoTwEMB9Yp6ymwlPqew/edit?gid=984458430#gid=984458430"", ""'replication success'!A:M""), 12, FAlSE)"),"[Figure 1]")</f>
        <v>[Figure 1]</v>
      </c>
      <c r="BA2537" s="61" t="str">
        <f>IFERROR(__xludf.DUMMYFUNCTION("vlookup(BB2537,importrange(""https://docs.google.com/spreadsheets/d/1d2vevQ_7D_v35q4wCQ4RpQ_IPoTwEMB9Yp6ymwlPqew/edit?gid=984458430#gid=984458430"", ""'replication success'!A:M""), 13, FAlSE)"),"pg. 2")</f>
        <v>pg. 2</v>
      </c>
      <c r="BB2537" s="61" t="str">
        <f>IFERROR(__xludf.DUMMYFUNCTION("REGEXREPLACE(G2537, ""_[a-z]{1,2}$"", """")"),"OpenMKT19")</f>
        <v>OpenMKT19</v>
      </c>
      <c r="BD2537" s="62" t="s">
        <v>1270</v>
      </c>
    </row>
    <row r="2538">
      <c r="A2538" s="44">
        <v>2538.0</v>
      </c>
      <c r="B2538" s="129" t="s">
        <v>114</v>
      </c>
      <c r="C2538" s="62" t="s">
        <v>115</v>
      </c>
      <c r="D2538" s="62" t="s">
        <v>248</v>
      </c>
      <c r="F2538" s="68" t="s">
        <v>15190</v>
      </c>
      <c r="G2538" s="159" t="s">
        <v>15191</v>
      </c>
      <c r="H2538" s="159" t="s">
        <v>249</v>
      </c>
      <c r="I2538" s="152">
        <v>45761.0</v>
      </c>
      <c r="J2538" s="540">
        <v>45793.0</v>
      </c>
      <c r="K2538" s="159" t="s">
        <v>15192</v>
      </c>
      <c r="L2538" s="129" t="s">
        <v>15193</v>
      </c>
      <c r="M2538" s="159" t="s">
        <v>15194</v>
      </c>
      <c r="N2538" s="159" t="s">
        <v>5516</v>
      </c>
      <c r="O2538" s="156">
        <v>3.0</v>
      </c>
      <c r="P2538" s="382" t="s">
        <v>15195</v>
      </c>
      <c r="Q2538" s="52" t="str">
        <f t="array" ref="Q2538"> if(iserror(MATCH(V2538, 'File Links'!C:C, 0)), "N/A", HYPERLINK(INDEX('File Links'!B:B, MATCH(P2538, 'File Links'!C:C, 0))))</f>
        <v>https://drive.google.com/file/d/1ufFlEetCWZtYqMqTTptc07s2XdkD4E4c/view?usp=drivesdk</v>
      </c>
      <c r="R2538" s="159" t="s">
        <v>15108</v>
      </c>
      <c r="S2538" s="159" t="s">
        <v>10182</v>
      </c>
      <c r="T2538" s="68"/>
      <c r="U2538" s="129">
        <v>4.0</v>
      </c>
      <c r="V2538" s="382" t="s">
        <v>10183</v>
      </c>
      <c r="W2538" s="1781" t="s">
        <v>209</v>
      </c>
      <c r="X2538" s="54" t="str">
        <f t="array" ref="X2538"> if(iserror(MATCH(V2538, 'File Links'!C:C, 0)), "N/A", HYPERLINK(INDEX('File Links'!B:B, MATCH(V2538, 'File Links'!C:C, 0))))</f>
        <v>https://drive.google.com/file/d/1Irbmig3rfLDvz-G09jDAVwJvv1drYEqO/view?usp=drivesdk</v>
      </c>
      <c r="Y2538" s="68"/>
      <c r="Z2538" s="159" t="s">
        <v>2079</v>
      </c>
      <c r="AA2538" s="380" t="s">
        <v>15196</v>
      </c>
      <c r="AB2538" s="159" t="s">
        <v>15197</v>
      </c>
      <c r="AC2538" s="159" t="s">
        <v>15198</v>
      </c>
      <c r="AD2538" s="159" t="s">
        <v>15199</v>
      </c>
      <c r="AE2538" s="159" t="s">
        <v>882</v>
      </c>
      <c r="AF2538" s="156">
        <v>231.0</v>
      </c>
      <c r="AG2538" s="156">
        <v>0.31</v>
      </c>
      <c r="AH2538" s="159" t="s">
        <v>173</v>
      </c>
      <c r="AI2538" s="159" t="s">
        <v>15200</v>
      </c>
      <c r="AJ2538" s="156">
        <v>0.01</v>
      </c>
      <c r="AK2538" s="159" t="s">
        <v>172</v>
      </c>
      <c r="AL2538" s="159" t="s">
        <v>186</v>
      </c>
      <c r="AM2538" s="159" t="s">
        <v>137</v>
      </c>
      <c r="AN2538" s="159" t="s">
        <v>138</v>
      </c>
      <c r="AO2538" s="156">
        <v>603.0</v>
      </c>
      <c r="AP2538" s="156">
        <v>0.43</v>
      </c>
      <c r="AQ2538" s="159" t="s">
        <v>173</v>
      </c>
      <c r="AR2538" s="159" t="s">
        <v>15201</v>
      </c>
      <c r="AS2538" s="156">
        <v>0.001</v>
      </c>
      <c r="AT2538" s="159" t="s">
        <v>135</v>
      </c>
      <c r="AU2538" s="159" t="s">
        <v>186</v>
      </c>
      <c r="AV2538" s="159" t="s">
        <v>137</v>
      </c>
      <c r="AW2538" s="435" t="s">
        <v>15202</v>
      </c>
      <c r="AX2538" s="159" t="s">
        <v>143</v>
      </c>
      <c r="AY2538" s="61" t="str">
        <f>IFERROR(__xludf.DUMMYFUNCTION("vlookup(BB2538,importrange(""https://docs.google.com/spreadsheets/d/1d2vevQ_7D_v35q4wCQ4RpQ_IPoTwEMB9Yp6ymwlPqew/edit?gid=984458430#gid=984458430"", ""'replication success'!A:K""), 11, FAlSE)"),"successful")</f>
        <v>successful</v>
      </c>
      <c r="AZ2538" s="61" t="str">
        <f>IFERROR(__xludf.DUMMYFUNCTION("vlookup(BB2538,importrange(""https://docs.google.com/spreadsheets/d/1d2vevQ_7D_v35q4wCQ4RpQ_IPoTwEMB9Yp6ymwlPqew/edit?gid=984458430#gid=984458430"", ""'replication success'!A:M""), 12, FAlSE)"),"[Figure 1]")</f>
        <v>[Figure 1]</v>
      </c>
      <c r="BA2538" s="61" t="str">
        <f>IFERROR(__xludf.DUMMYFUNCTION("vlookup(BB2538,importrange(""https://docs.google.com/spreadsheets/d/1d2vevQ_7D_v35q4wCQ4RpQ_IPoTwEMB9Yp6ymwlPqew/edit?gid=984458430#gid=984458430"", ""'replication success'!A:M""), 13, FAlSE)"),"pg. 2")</f>
        <v>pg. 2</v>
      </c>
      <c r="BB2538" s="61" t="str">
        <f>IFERROR(__xludf.DUMMYFUNCTION("REGEXREPLACE(G2538, ""_[a-z]{1,2}$"", """")"),"OpenMKT20")</f>
        <v>OpenMKT20</v>
      </c>
      <c r="BD2538" s="62" t="s">
        <v>1270</v>
      </c>
    </row>
    <row r="2539">
      <c r="A2539" s="44">
        <v>2539.0</v>
      </c>
      <c r="B2539" s="129" t="s">
        <v>114</v>
      </c>
      <c r="C2539" s="62" t="s">
        <v>115</v>
      </c>
      <c r="D2539" s="62" t="s">
        <v>248</v>
      </c>
      <c r="F2539" s="68" t="s">
        <v>15190</v>
      </c>
      <c r="G2539" s="159" t="s">
        <v>15203</v>
      </c>
      <c r="H2539" s="159" t="s">
        <v>249</v>
      </c>
      <c r="I2539" s="152">
        <v>45761.0</v>
      </c>
      <c r="J2539" s="540">
        <v>45793.0</v>
      </c>
      <c r="K2539" s="159" t="s">
        <v>15192</v>
      </c>
      <c r="L2539" s="129" t="s">
        <v>15204</v>
      </c>
      <c r="M2539" s="159" t="s">
        <v>15194</v>
      </c>
      <c r="N2539" s="159" t="s">
        <v>5516</v>
      </c>
      <c r="O2539" s="156">
        <v>3.0</v>
      </c>
      <c r="P2539" s="382" t="s">
        <v>15195</v>
      </c>
      <c r="Q2539" s="52" t="str">
        <f t="array" ref="Q2539"> if(iserror(MATCH(V2539, 'File Links'!C:C, 0)), "N/A", HYPERLINK(INDEX('File Links'!B:B, MATCH(P2539, 'File Links'!C:C, 0))))</f>
        <v>https://drive.google.com/file/d/1ufFlEetCWZtYqMqTTptc07s2XdkD4E4c/view?usp=drivesdk</v>
      </c>
      <c r="R2539" s="159" t="s">
        <v>15108</v>
      </c>
      <c r="S2539" s="159" t="s">
        <v>10182</v>
      </c>
      <c r="T2539" s="68"/>
      <c r="U2539" s="129">
        <v>4.0</v>
      </c>
      <c r="V2539" s="382" t="s">
        <v>10183</v>
      </c>
      <c r="W2539" s="1781" t="s">
        <v>209</v>
      </c>
      <c r="X2539" s="54" t="str">
        <f t="array" ref="X2539"> if(iserror(MATCH(V2539, 'File Links'!C:C, 0)), "N/A", HYPERLINK(INDEX('File Links'!B:B, MATCH(V2539, 'File Links'!C:C, 0))))</f>
        <v>https://drive.google.com/file/d/1Irbmig3rfLDvz-G09jDAVwJvv1drYEqO/view?usp=drivesdk</v>
      </c>
      <c r="Y2539" s="68"/>
      <c r="Z2539" s="159" t="s">
        <v>2079</v>
      </c>
      <c r="AA2539" s="68"/>
      <c r="AB2539" s="159" t="s">
        <v>15197</v>
      </c>
      <c r="AC2539" s="159" t="s">
        <v>15198</v>
      </c>
      <c r="AD2539" s="159" t="s">
        <v>15205</v>
      </c>
      <c r="AE2539" s="159" t="s">
        <v>882</v>
      </c>
      <c r="AF2539" s="156">
        <v>231.0</v>
      </c>
      <c r="AG2539" s="159" t="s">
        <v>138</v>
      </c>
      <c r="AH2539" s="167" t="s">
        <v>138</v>
      </c>
      <c r="AI2539" s="159" t="s">
        <v>882</v>
      </c>
      <c r="AJ2539" s="156">
        <v>0.03</v>
      </c>
      <c r="AK2539" s="159" t="s">
        <v>172</v>
      </c>
      <c r="AL2539" s="159" t="s">
        <v>186</v>
      </c>
      <c r="AM2539" s="159" t="s">
        <v>137</v>
      </c>
      <c r="AN2539" s="159" t="s">
        <v>138</v>
      </c>
      <c r="AO2539" s="156">
        <v>603.0</v>
      </c>
      <c r="AP2539" s="159" t="s">
        <v>138</v>
      </c>
      <c r="AQ2539" s="129" t="s">
        <v>138</v>
      </c>
      <c r="AR2539" s="159" t="s">
        <v>138</v>
      </c>
      <c r="AS2539" s="156">
        <v>0.08</v>
      </c>
      <c r="AT2539" s="159" t="s">
        <v>172</v>
      </c>
      <c r="AU2539" s="159" t="s">
        <v>186</v>
      </c>
      <c r="AV2539" s="159" t="s">
        <v>137</v>
      </c>
      <c r="AW2539" s="435" t="s">
        <v>15202</v>
      </c>
      <c r="AX2539" s="159" t="s">
        <v>143</v>
      </c>
      <c r="AY2539" s="61" t="str">
        <f>IFERROR(__xludf.DUMMYFUNCTION("vlookup(BB2539,importrange(""https://docs.google.com/spreadsheets/d/1d2vevQ_7D_v35q4wCQ4RpQ_IPoTwEMB9Yp6ymwlPqew/edit?gid=984458430#gid=984458430"", ""'replication success'!A:K""), 11, FAlSE)"),"successful")</f>
        <v>successful</v>
      </c>
      <c r="AZ2539" s="61" t="str">
        <f>IFERROR(__xludf.DUMMYFUNCTION("vlookup(BB2539,importrange(""https://docs.google.com/spreadsheets/d/1d2vevQ_7D_v35q4wCQ4RpQ_IPoTwEMB9Yp6ymwlPqew/edit?gid=984458430#gid=984458430"", ""'replication success'!A:M""), 12, FAlSE)"),"[Figure 1]")</f>
        <v>[Figure 1]</v>
      </c>
      <c r="BA2539" s="61" t="str">
        <f>IFERROR(__xludf.DUMMYFUNCTION("vlookup(BB2539,importrange(""https://docs.google.com/spreadsheets/d/1d2vevQ_7D_v35q4wCQ4RpQ_IPoTwEMB9Yp6ymwlPqew/edit?gid=984458430#gid=984458430"", ""'replication success'!A:M""), 13, FAlSE)"),"pg. 2")</f>
        <v>pg. 2</v>
      </c>
      <c r="BB2539" s="61" t="str">
        <f>IFERROR(__xludf.DUMMYFUNCTION("REGEXREPLACE(G2539, ""_[a-z]{1,2}$"", """")"),"OpenMKT20")</f>
        <v>OpenMKT20</v>
      </c>
      <c r="BD2539" s="62" t="s">
        <v>1270</v>
      </c>
    </row>
    <row r="2540">
      <c r="A2540" s="44">
        <v>2540.0</v>
      </c>
      <c r="B2540" s="129" t="s">
        <v>114</v>
      </c>
      <c r="C2540" s="62" t="s">
        <v>115</v>
      </c>
      <c r="D2540" s="62" t="s">
        <v>248</v>
      </c>
      <c r="F2540" s="68" t="s">
        <v>15190</v>
      </c>
      <c r="G2540" s="159" t="s">
        <v>15206</v>
      </c>
      <c r="H2540" s="159" t="s">
        <v>249</v>
      </c>
      <c r="I2540" s="152">
        <v>45761.0</v>
      </c>
      <c r="J2540" s="540">
        <v>45793.0</v>
      </c>
      <c r="K2540" s="159" t="s">
        <v>15207</v>
      </c>
      <c r="L2540" s="2158" t="s">
        <v>15208</v>
      </c>
      <c r="M2540" s="159" t="s">
        <v>15194</v>
      </c>
      <c r="N2540" s="159" t="s">
        <v>5516</v>
      </c>
      <c r="O2540" s="156">
        <v>3.0</v>
      </c>
      <c r="P2540" s="382" t="s">
        <v>15195</v>
      </c>
      <c r="Q2540" s="52" t="str">
        <f t="array" ref="Q2540"> if(iserror(MATCH(V2540, 'File Links'!C:C, 0)), "N/A", HYPERLINK(INDEX('File Links'!B:B, MATCH(P2540, 'File Links'!C:C, 0))))</f>
        <v>https://drive.google.com/file/d/1ufFlEetCWZtYqMqTTptc07s2XdkD4E4c/view?usp=drivesdk</v>
      </c>
      <c r="R2540" s="159" t="s">
        <v>15108</v>
      </c>
      <c r="S2540" s="159" t="s">
        <v>10182</v>
      </c>
      <c r="T2540" s="68"/>
      <c r="U2540" s="129">
        <v>4.0</v>
      </c>
      <c r="V2540" s="382" t="s">
        <v>10183</v>
      </c>
      <c r="W2540" s="1781" t="s">
        <v>209</v>
      </c>
      <c r="X2540" s="54" t="str">
        <f t="array" ref="X2540"> if(iserror(MATCH(V2540, 'File Links'!C:C, 0)), "N/A", HYPERLINK(INDEX('File Links'!B:B, MATCH(V2540, 'File Links'!C:C, 0))))</f>
        <v>https://drive.google.com/file/d/1Irbmig3rfLDvz-G09jDAVwJvv1drYEqO/view?usp=drivesdk</v>
      </c>
      <c r="Y2540" s="68"/>
      <c r="Z2540" s="159" t="s">
        <v>2079</v>
      </c>
      <c r="AA2540" s="68"/>
      <c r="AB2540" s="159" t="s">
        <v>15197</v>
      </c>
      <c r="AC2540" s="159" t="s">
        <v>15198</v>
      </c>
      <c r="AD2540" s="159" t="s">
        <v>15199</v>
      </c>
      <c r="AE2540" s="159" t="s">
        <v>882</v>
      </c>
      <c r="AF2540" s="156">
        <v>231.0</v>
      </c>
      <c r="AG2540" s="156">
        <v>0.31</v>
      </c>
      <c r="AH2540" s="159" t="s">
        <v>173</v>
      </c>
      <c r="AI2540" s="159" t="s">
        <v>15200</v>
      </c>
      <c r="AJ2540" s="156">
        <v>0.01</v>
      </c>
      <c r="AK2540" s="159" t="s">
        <v>172</v>
      </c>
      <c r="AL2540" s="159" t="s">
        <v>186</v>
      </c>
      <c r="AM2540" s="159" t="s">
        <v>137</v>
      </c>
      <c r="AN2540" s="159" t="s">
        <v>138</v>
      </c>
      <c r="AO2540" s="156">
        <v>648.0</v>
      </c>
      <c r="AP2540" s="156">
        <v>0.38</v>
      </c>
      <c r="AQ2540" s="159" t="s">
        <v>173</v>
      </c>
      <c r="AR2540" s="159" t="s">
        <v>15209</v>
      </c>
      <c r="AS2540" s="156">
        <v>0.001</v>
      </c>
      <c r="AT2540" s="159" t="s">
        <v>135</v>
      </c>
      <c r="AU2540" s="159" t="s">
        <v>186</v>
      </c>
      <c r="AV2540" s="159" t="s">
        <v>137</v>
      </c>
      <c r="AW2540" s="435" t="s">
        <v>15202</v>
      </c>
      <c r="AX2540" s="159" t="s">
        <v>143</v>
      </c>
      <c r="AY2540" s="61" t="str">
        <f>IFERROR(__xludf.DUMMYFUNCTION("vlookup(BB2540,importrange(""https://docs.google.com/spreadsheets/d/1d2vevQ_7D_v35q4wCQ4RpQ_IPoTwEMB9Yp6ymwlPqew/edit?gid=984458430#gid=984458430"", ""'replication success'!A:K""), 11, FAlSE)"),"successful")</f>
        <v>successful</v>
      </c>
      <c r="AZ2540" s="61" t="str">
        <f>IFERROR(__xludf.DUMMYFUNCTION("vlookup(BB2540,importrange(""https://docs.google.com/spreadsheets/d/1d2vevQ_7D_v35q4wCQ4RpQ_IPoTwEMB9Yp6ymwlPqew/edit?gid=984458430#gid=984458430"", ""'replication success'!A:M""), 12, FAlSE)"),"[Figure 1]")</f>
        <v>[Figure 1]</v>
      </c>
      <c r="BA2540" s="61" t="str">
        <f>IFERROR(__xludf.DUMMYFUNCTION("vlookup(BB2540,importrange(""https://docs.google.com/spreadsheets/d/1d2vevQ_7D_v35q4wCQ4RpQ_IPoTwEMB9Yp6ymwlPqew/edit?gid=984458430#gid=984458430"", ""'replication success'!A:M""), 13, FAlSE)"),"pg. 2")</f>
        <v>pg. 2</v>
      </c>
      <c r="BB2540" s="61" t="str">
        <f>IFERROR(__xludf.DUMMYFUNCTION("REGEXREPLACE(G2540, ""_[a-z]{1,2}$"", """")"),"OpenMKT20")</f>
        <v>OpenMKT20</v>
      </c>
      <c r="BD2540" s="62" t="s">
        <v>1270</v>
      </c>
    </row>
    <row r="2541">
      <c r="A2541" s="44">
        <v>2541.0</v>
      </c>
      <c r="B2541" s="129" t="s">
        <v>114</v>
      </c>
      <c r="C2541" s="62" t="s">
        <v>115</v>
      </c>
      <c r="D2541" s="62" t="s">
        <v>248</v>
      </c>
      <c r="F2541" s="68" t="s">
        <v>15190</v>
      </c>
      <c r="G2541" s="159" t="s">
        <v>15210</v>
      </c>
      <c r="H2541" s="159" t="s">
        <v>249</v>
      </c>
      <c r="I2541" s="152">
        <v>45761.0</v>
      </c>
      <c r="J2541" s="540">
        <v>45793.0</v>
      </c>
      <c r="K2541" s="159" t="s">
        <v>15207</v>
      </c>
      <c r="L2541" s="2158" t="s">
        <v>15208</v>
      </c>
      <c r="M2541" s="159" t="s">
        <v>15194</v>
      </c>
      <c r="N2541" s="159" t="s">
        <v>5516</v>
      </c>
      <c r="O2541" s="156">
        <v>3.0</v>
      </c>
      <c r="P2541" s="382" t="s">
        <v>15195</v>
      </c>
      <c r="Q2541" s="52" t="str">
        <f t="array" ref="Q2541"> if(iserror(MATCH(V2541, 'File Links'!C:C, 0)), "N/A", HYPERLINK(INDEX('File Links'!B:B, MATCH(P2541, 'File Links'!C:C, 0))))</f>
        <v>https://drive.google.com/file/d/1ufFlEetCWZtYqMqTTptc07s2XdkD4E4c/view?usp=drivesdk</v>
      </c>
      <c r="R2541" s="159" t="s">
        <v>15108</v>
      </c>
      <c r="S2541" s="159" t="s">
        <v>10182</v>
      </c>
      <c r="T2541" s="68"/>
      <c r="U2541" s="129">
        <v>4.0</v>
      </c>
      <c r="V2541" s="382" t="s">
        <v>10183</v>
      </c>
      <c r="W2541" s="1781" t="s">
        <v>209</v>
      </c>
      <c r="X2541" s="54" t="str">
        <f t="array" ref="X2541"> if(iserror(MATCH(V2541, 'File Links'!C:C, 0)), "N/A", HYPERLINK(INDEX('File Links'!B:B, MATCH(V2541, 'File Links'!C:C, 0))))</f>
        <v>https://drive.google.com/file/d/1Irbmig3rfLDvz-G09jDAVwJvv1drYEqO/view?usp=drivesdk</v>
      </c>
      <c r="Y2541" s="68"/>
      <c r="Z2541" s="159" t="s">
        <v>2079</v>
      </c>
      <c r="AA2541" s="68"/>
      <c r="AB2541" s="159" t="s">
        <v>15197</v>
      </c>
      <c r="AC2541" s="159" t="s">
        <v>15198</v>
      </c>
      <c r="AD2541" s="159" t="s">
        <v>15205</v>
      </c>
      <c r="AE2541" s="159" t="s">
        <v>882</v>
      </c>
      <c r="AF2541" s="156">
        <v>231.0</v>
      </c>
      <c r="AG2541" s="159" t="s">
        <v>138</v>
      </c>
      <c r="AH2541" s="167" t="s">
        <v>138</v>
      </c>
      <c r="AI2541" s="159" t="s">
        <v>882</v>
      </c>
      <c r="AJ2541" s="156">
        <v>0.03</v>
      </c>
      <c r="AK2541" s="159" t="s">
        <v>172</v>
      </c>
      <c r="AL2541" s="159" t="s">
        <v>186</v>
      </c>
      <c r="AM2541" s="159" t="s">
        <v>137</v>
      </c>
      <c r="AN2541" s="159" t="s">
        <v>138</v>
      </c>
      <c r="AO2541" s="156">
        <v>648.0</v>
      </c>
      <c r="AP2541" s="159" t="s">
        <v>138</v>
      </c>
      <c r="AQ2541" s="129" t="s">
        <v>138</v>
      </c>
      <c r="AR2541" s="159" t="s">
        <v>138</v>
      </c>
      <c r="AS2541" s="156">
        <v>0.14</v>
      </c>
      <c r="AT2541" s="159" t="s">
        <v>172</v>
      </c>
      <c r="AU2541" s="159" t="s">
        <v>186</v>
      </c>
      <c r="AV2541" s="159" t="s">
        <v>137</v>
      </c>
      <c r="AW2541" s="435" t="s">
        <v>15202</v>
      </c>
      <c r="AX2541" s="159" t="s">
        <v>143</v>
      </c>
      <c r="AY2541" s="61" t="str">
        <f>IFERROR(__xludf.DUMMYFUNCTION("vlookup(BB2541,importrange(""https://docs.google.com/spreadsheets/d/1d2vevQ_7D_v35q4wCQ4RpQ_IPoTwEMB9Yp6ymwlPqew/edit?gid=984458430#gid=984458430"", ""'replication success'!A:K""), 11, FAlSE)"),"successful")</f>
        <v>successful</v>
      </c>
      <c r="AZ2541" s="61" t="str">
        <f>IFERROR(__xludf.DUMMYFUNCTION("vlookup(BB2541,importrange(""https://docs.google.com/spreadsheets/d/1d2vevQ_7D_v35q4wCQ4RpQ_IPoTwEMB9Yp6ymwlPqew/edit?gid=984458430#gid=984458430"", ""'replication success'!A:M""), 12, FAlSE)"),"[Figure 1]")</f>
        <v>[Figure 1]</v>
      </c>
      <c r="BA2541" s="61" t="str">
        <f>IFERROR(__xludf.DUMMYFUNCTION("vlookup(BB2541,importrange(""https://docs.google.com/spreadsheets/d/1d2vevQ_7D_v35q4wCQ4RpQ_IPoTwEMB9Yp6ymwlPqew/edit?gid=984458430#gid=984458430"", ""'replication success'!A:M""), 13, FAlSE)"),"pg. 2")</f>
        <v>pg. 2</v>
      </c>
      <c r="BB2541" s="61" t="str">
        <f>IFERROR(__xludf.DUMMYFUNCTION("REGEXREPLACE(G2541, ""_[a-z]{1,2}$"", """")"),"OpenMKT20")</f>
        <v>OpenMKT20</v>
      </c>
      <c r="BD2541" s="62" t="s">
        <v>1270</v>
      </c>
    </row>
    <row r="2542">
      <c r="A2542" s="44">
        <v>2542.0</v>
      </c>
      <c r="B2542" s="474" t="s">
        <v>114</v>
      </c>
      <c r="C2542" s="467" t="s">
        <v>115</v>
      </c>
      <c r="D2542" s="467" t="s">
        <v>248</v>
      </c>
      <c r="E2542" s="468"/>
      <c r="F2542" s="482" t="s">
        <v>15211</v>
      </c>
      <c r="G2542" s="469" t="s">
        <v>15212</v>
      </c>
      <c r="H2542" s="469" t="s">
        <v>249</v>
      </c>
      <c r="I2542" s="471">
        <v>45761.0</v>
      </c>
      <c r="J2542" s="2159">
        <v>45800.0</v>
      </c>
      <c r="K2542" s="469" t="s">
        <v>15213</v>
      </c>
      <c r="L2542" s="474" t="s">
        <v>15214</v>
      </c>
      <c r="M2542" s="469" t="s">
        <v>15215</v>
      </c>
      <c r="N2542" s="469" t="s">
        <v>15216</v>
      </c>
      <c r="O2542" s="926">
        <v>2.0</v>
      </c>
      <c r="P2542" s="469" t="s">
        <v>15217</v>
      </c>
      <c r="Q2542" s="927" t="str">
        <f t="array" ref="Q2542"> if(iserror(MATCH(V2542, 'File Links'!C:C, 0)), "N/A", HYPERLINK(INDEX('File Links'!B:B, MATCH(P2542, 'File Links'!C:C, 0))))</f>
        <v>https://drive.google.com/file/d/1pONPJh9x5VCZuuA8xFZJ8EwpUqV7ZKOz/view?usp=drivesdk</v>
      </c>
      <c r="R2542" s="469" t="s">
        <v>15218</v>
      </c>
      <c r="S2542" s="469" t="s">
        <v>15219</v>
      </c>
      <c r="T2542" s="482"/>
      <c r="U2542" s="474">
        <v>1.0</v>
      </c>
      <c r="V2542" s="469" t="s">
        <v>15220</v>
      </c>
      <c r="W2542" s="474" t="s">
        <v>209</v>
      </c>
      <c r="X2542" s="928" t="str">
        <f t="array" ref="X2542"> if(iserror(MATCH(V2542, 'File Links'!C:C, 0)), "N/A", HYPERLINK(INDEX('File Links'!B:B, MATCH(V2542, 'File Links'!C:C, 0))))</f>
        <v>https://drive.google.com/file/d/1JqR213ecE6dYmcQzX1WidGxm2UimuKxl/view?usp=drivesdk</v>
      </c>
      <c r="Y2542" s="482"/>
      <c r="Z2542" s="469" t="s">
        <v>2079</v>
      </c>
      <c r="AA2542" s="474" t="s">
        <v>15221</v>
      </c>
      <c r="AB2542" s="474" t="s">
        <v>15222</v>
      </c>
      <c r="AC2542" s="469" t="s">
        <v>15223</v>
      </c>
      <c r="AD2542" s="469" t="s">
        <v>15224</v>
      </c>
      <c r="AE2542" s="469" t="s">
        <v>604</v>
      </c>
      <c r="AF2542" s="926">
        <v>275.0</v>
      </c>
      <c r="AG2542" s="926">
        <v>0.026</v>
      </c>
      <c r="AH2542" s="469" t="s">
        <v>874</v>
      </c>
      <c r="AI2542" s="469" t="s">
        <v>15225</v>
      </c>
      <c r="AJ2542" s="926">
        <v>0.03</v>
      </c>
      <c r="AK2542" s="469" t="s">
        <v>172</v>
      </c>
      <c r="AL2542" s="469" t="s">
        <v>186</v>
      </c>
      <c r="AM2542" s="469" t="s">
        <v>137</v>
      </c>
      <c r="AN2542" s="469" t="s">
        <v>138</v>
      </c>
      <c r="AO2542" s="926">
        <v>383.0</v>
      </c>
      <c r="AP2542" s="926">
        <v>0.001</v>
      </c>
      <c r="AQ2542" s="469" t="s">
        <v>139</v>
      </c>
      <c r="AR2542" s="469" t="s">
        <v>15226</v>
      </c>
      <c r="AS2542" s="926">
        <v>0.091</v>
      </c>
      <c r="AT2542" s="469" t="s">
        <v>172</v>
      </c>
      <c r="AU2542" s="469" t="s">
        <v>186</v>
      </c>
      <c r="AV2542" s="469" t="s">
        <v>137</v>
      </c>
      <c r="AW2542" s="2160" t="s">
        <v>15227</v>
      </c>
      <c r="AX2542" s="469" t="s">
        <v>143</v>
      </c>
      <c r="AY2542" s="61" t="str">
        <f>IFERROR(__xludf.DUMMYFUNCTION("vlookup(BB2542,importrange(""https://docs.google.com/spreadsheets/d/1d2vevQ_7D_v35q4wCQ4RpQ_IPoTwEMB9Yp6ymwlPqew/edit?gid=984458430#gid=984458430"", ""'replication success'!A:K""), 11, FAlSE)"),"failed")</f>
        <v>failed</v>
      </c>
      <c r="AZ2542" s="61" t="str">
        <f>IFERROR(__xludf.DUMMYFUNCTION("vlookup(BB2542,importrange(""https://docs.google.com/spreadsheets/d/1d2vevQ_7D_v35q4wCQ4RpQ_IPoTwEMB9Yp6ymwlPqew/edit?gid=984458430#gid=984458430"", ""'replication success'!A:M""), 12, FAlSE)"),"Using the same tasks and conditions as in Ward et al.'s (2017) second experiment, the present study found
that the “brain drain” effect did not replicate: there was no difference between smartphone location conditions
on performance on either the o-span"&amp;" task or the go/no-go task.")</f>
        <v>Using the same tasks and conditions as in Ward et al.'s (2017) second experiment, the present study found
that the “brain drain” effect did not replicate: there was no difference between smartphone location conditions
on performance on either the o-span task or the go/no-go task.</v>
      </c>
      <c r="BA2542" s="61" t="str">
        <f>IFERROR(__xludf.DUMMYFUNCTION("vlookup(BB2542,importrange(""https://docs.google.com/spreadsheets/d/1d2vevQ_7D_v35q4wCQ4RpQ_IPoTwEMB9Yp6ymwlPqew/edit?gid=984458430#gid=984458430"", ""'replication success'!A:M""), 13, FAlSE)"),"abstract")</f>
        <v>abstract</v>
      </c>
      <c r="BB2542" s="61" t="str">
        <f>IFERROR(__xludf.DUMMYFUNCTION("REGEXREPLACE(G2542, ""_[a-z]{1,2}$"", """")"),"OpenMKT21")</f>
        <v>OpenMKT21</v>
      </c>
      <c r="BC2542" s="468"/>
      <c r="BD2542" s="467" t="s">
        <v>1270</v>
      </c>
      <c r="BE2542" s="468"/>
      <c r="BF2542" s="468"/>
      <c r="BG2542" s="468"/>
      <c r="BH2542" s="468"/>
      <c r="BI2542" s="468"/>
      <c r="BJ2542" s="468"/>
      <c r="BK2542" s="468"/>
      <c r="BL2542" s="468"/>
      <c r="BM2542" s="468"/>
      <c r="BN2542" s="468"/>
      <c r="BO2542" s="468"/>
      <c r="BP2542" s="468"/>
      <c r="BQ2542" s="468"/>
      <c r="BR2542" s="468"/>
      <c r="BS2542" s="468"/>
      <c r="BT2542" s="468"/>
      <c r="BU2542" s="468"/>
      <c r="BV2542" s="468"/>
      <c r="BW2542" s="468"/>
      <c r="BX2542" s="468"/>
      <c r="BY2542" s="468"/>
      <c r="BZ2542" s="468"/>
      <c r="CA2542" s="468"/>
      <c r="CB2542" s="468"/>
      <c r="CC2542" s="468"/>
      <c r="CD2542" s="468"/>
      <c r="CE2542" s="468"/>
      <c r="CF2542" s="468"/>
      <c r="CG2542" s="468"/>
      <c r="CH2542" s="468"/>
      <c r="CI2542" s="468"/>
      <c r="CJ2542" s="468"/>
      <c r="CK2542" s="468"/>
      <c r="CL2542" s="468"/>
      <c r="CM2542" s="468"/>
      <c r="CN2542" s="468"/>
      <c r="CO2542" s="468"/>
      <c r="CP2542" s="468"/>
      <c r="CQ2542" s="468"/>
      <c r="CR2542" s="468"/>
      <c r="CS2542" s="468"/>
      <c r="CT2542" s="468"/>
      <c r="CU2542" s="468"/>
      <c r="CV2542" s="468"/>
      <c r="CW2542" s="468"/>
      <c r="CX2542" s="468"/>
      <c r="CY2542" s="468"/>
      <c r="CZ2542" s="468"/>
      <c r="DA2542" s="468"/>
      <c r="DB2542" s="468"/>
      <c r="DC2542" s="468"/>
      <c r="DD2542" s="468"/>
      <c r="DE2542" s="468"/>
      <c r="DF2542" s="468"/>
      <c r="DG2542" s="468"/>
      <c r="DH2542" s="468"/>
      <c r="DI2542" s="468"/>
      <c r="DJ2542" s="468"/>
      <c r="DK2542" s="468"/>
      <c r="DL2542" s="468"/>
    </row>
    <row r="2543">
      <c r="A2543" s="44">
        <v>2543.0</v>
      </c>
      <c r="B2543" s="129" t="s">
        <v>152</v>
      </c>
      <c r="C2543" s="62" t="s">
        <v>115</v>
      </c>
      <c r="D2543" s="62" t="s">
        <v>248</v>
      </c>
      <c r="F2543" s="68" t="s">
        <v>15211</v>
      </c>
      <c r="G2543" s="159" t="s">
        <v>15228</v>
      </c>
      <c r="H2543" s="159" t="s">
        <v>249</v>
      </c>
      <c r="I2543" s="152">
        <v>45761.0</v>
      </c>
      <c r="J2543" s="2159">
        <v>45800.0</v>
      </c>
      <c r="K2543" s="159" t="s">
        <v>15213</v>
      </c>
      <c r="L2543" s="129" t="s">
        <v>15214</v>
      </c>
      <c r="M2543" s="159" t="s">
        <v>15215</v>
      </c>
      <c r="N2543" s="159" t="s">
        <v>15216</v>
      </c>
      <c r="O2543" s="156">
        <v>2.0</v>
      </c>
      <c r="P2543" s="382" t="s">
        <v>15217</v>
      </c>
      <c r="Q2543" s="52" t="str">
        <f t="array" ref="Q2543"> if(iserror(MATCH(V2543, 'File Links'!C:C, 0)), "N/A", HYPERLINK(INDEX('File Links'!B:B, MATCH(P2543, 'File Links'!C:C, 0))))</f>
        <v>https://drive.google.com/file/d/1pONPJh9x5VCZuuA8xFZJ8EwpUqV7ZKOz/view?usp=drivesdk</v>
      </c>
      <c r="R2543" s="159" t="s">
        <v>15218</v>
      </c>
      <c r="S2543" s="159" t="s">
        <v>15219</v>
      </c>
      <c r="T2543" s="68"/>
      <c r="U2543" s="129">
        <v>1.0</v>
      </c>
      <c r="V2543" s="382" t="s">
        <v>15220</v>
      </c>
      <c r="W2543" s="1080" t="s">
        <v>209</v>
      </c>
      <c r="X2543" s="54" t="str">
        <f t="array" ref="X2543"> if(iserror(MATCH(V2543, 'File Links'!C:C, 0)), "N/A", HYPERLINK(INDEX('File Links'!B:B, MATCH(V2543, 'File Links'!C:C, 0))))</f>
        <v>https://drive.google.com/file/d/1JqR213ecE6dYmcQzX1WidGxm2UimuKxl/view?usp=drivesdk</v>
      </c>
      <c r="Y2543" s="68"/>
      <c r="Z2543" s="159" t="s">
        <v>2079</v>
      </c>
      <c r="AA2543" s="474" t="s">
        <v>15221</v>
      </c>
      <c r="AB2543" s="474" t="s">
        <v>15222</v>
      </c>
      <c r="AC2543" s="159" t="s">
        <v>15223</v>
      </c>
      <c r="AD2543" s="159" t="s">
        <v>15229</v>
      </c>
      <c r="AE2543" s="159" t="s">
        <v>604</v>
      </c>
      <c r="AF2543" s="156">
        <v>275.0</v>
      </c>
      <c r="AG2543" s="151" t="s">
        <v>15230</v>
      </c>
      <c r="AH2543" s="159" t="s">
        <v>134</v>
      </c>
      <c r="AI2543" s="159" t="s">
        <v>15231</v>
      </c>
      <c r="AJ2543" s="156">
        <v>0.83</v>
      </c>
      <c r="AK2543" s="159" t="s">
        <v>172</v>
      </c>
      <c r="AL2543" s="159" t="s">
        <v>186</v>
      </c>
      <c r="AM2543" s="159" t="s">
        <v>137</v>
      </c>
      <c r="AN2543" s="159" t="s">
        <v>138</v>
      </c>
      <c r="AO2543" s="156">
        <v>383.0</v>
      </c>
      <c r="AP2543" s="156">
        <v>0.001</v>
      </c>
      <c r="AQ2543" s="159" t="s">
        <v>139</v>
      </c>
      <c r="AR2543" s="159" t="s">
        <v>15232</v>
      </c>
      <c r="AS2543" s="156">
        <v>0.65</v>
      </c>
      <c r="AT2543" s="159" t="s">
        <v>172</v>
      </c>
      <c r="AU2543" s="159" t="s">
        <v>186</v>
      </c>
      <c r="AV2543" s="159" t="s">
        <v>137</v>
      </c>
      <c r="AW2543" s="435" t="s">
        <v>15227</v>
      </c>
      <c r="AX2543" s="159" t="s">
        <v>143</v>
      </c>
      <c r="AY2543" s="61" t="str">
        <f>IFERROR(__xludf.DUMMYFUNCTION("vlookup(BB2543,importrange(""https://docs.google.com/spreadsheets/d/1d2vevQ_7D_v35q4wCQ4RpQ_IPoTwEMB9Yp6ymwlPqew/edit?gid=984458430#gid=984458430"", ""'replication success'!A:K""), 11, FAlSE)"),"failed")</f>
        <v>failed</v>
      </c>
      <c r="AZ2543" s="61" t="str">
        <f>IFERROR(__xludf.DUMMYFUNCTION("vlookup(BB2543,importrange(""https://docs.google.com/spreadsheets/d/1d2vevQ_7D_v35q4wCQ4RpQ_IPoTwEMB9Yp6ymwlPqew/edit?gid=984458430#gid=984458430"", ""'replication success'!A:M""), 12, FAlSE)"),"Using the same tasks and conditions as in Ward et al.'s (2017) second experiment, the present study found
that the “brain drain” effect did not replicate: there was no difference between smartphone location conditions
on performance on either the o-span"&amp;" task or the go/no-go task.")</f>
        <v>Using the same tasks and conditions as in Ward et al.'s (2017) second experiment, the present study found
that the “brain drain” effect did not replicate: there was no difference between smartphone location conditions
on performance on either the o-span task or the go/no-go task.</v>
      </c>
      <c r="BA2543" s="61" t="str">
        <f>IFERROR(__xludf.DUMMYFUNCTION("vlookup(BB2543,importrange(""https://docs.google.com/spreadsheets/d/1d2vevQ_7D_v35q4wCQ4RpQ_IPoTwEMB9Yp6ymwlPqew/edit?gid=984458430#gid=984458430"", ""'replication success'!A:M""), 13, FAlSE)"),"abstract")</f>
        <v>abstract</v>
      </c>
      <c r="BB2543" s="61" t="str">
        <f>IFERROR(__xludf.DUMMYFUNCTION("REGEXREPLACE(G2543, ""_[a-z]{1,2}$"", """")"),"OpenMKT21")</f>
        <v>OpenMKT21</v>
      </c>
      <c r="BD2543" s="62" t="s">
        <v>1270</v>
      </c>
    </row>
    <row r="2544">
      <c r="A2544" s="44">
        <v>2544.0</v>
      </c>
      <c r="B2544" s="129" t="s">
        <v>152</v>
      </c>
      <c r="C2544" s="62" t="s">
        <v>115</v>
      </c>
      <c r="D2544" s="62" t="s">
        <v>248</v>
      </c>
      <c r="F2544" s="68" t="s">
        <v>15211</v>
      </c>
      <c r="G2544" s="159" t="s">
        <v>15233</v>
      </c>
      <c r="H2544" s="159" t="s">
        <v>249</v>
      </c>
      <c r="I2544" s="152">
        <v>45761.0</v>
      </c>
      <c r="J2544" s="2159">
        <v>45800.0</v>
      </c>
      <c r="K2544" s="159" t="s">
        <v>15213</v>
      </c>
      <c r="L2544" s="129" t="s">
        <v>15214</v>
      </c>
      <c r="M2544" s="159" t="s">
        <v>15215</v>
      </c>
      <c r="N2544" s="159" t="s">
        <v>15216</v>
      </c>
      <c r="O2544" s="156">
        <v>2.0</v>
      </c>
      <c r="P2544" s="382" t="s">
        <v>15217</v>
      </c>
      <c r="Q2544" s="52" t="str">
        <f t="array" ref="Q2544"> if(iserror(MATCH(V2544, 'File Links'!C:C, 0)), "N/A", HYPERLINK(INDEX('File Links'!B:B, MATCH(P2544, 'File Links'!C:C, 0))))</f>
        <v>https://drive.google.com/file/d/1pONPJh9x5VCZuuA8xFZJ8EwpUqV7ZKOz/view?usp=drivesdk</v>
      </c>
      <c r="R2544" s="159" t="s">
        <v>15218</v>
      </c>
      <c r="S2544" s="159" t="s">
        <v>15219</v>
      </c>
      <c r="T2544" s="68"/>
      <c r="U2544" s="129">
        <v>1.0</v>
      </c>
      <c r="V2544" s="382" t="s">
        <v>15220</v>
      </c>
      <c r="W2544" s="1080" t="s">
        <v>209</v>
      </c>
      <c r="X2544" s="54" t="str">
        <f t="array" ref="X2544"> if(iserror(MATCH(V2544, 'File Links'!C:C, 0)), "N/A", HYPERLINK(INDEX('File Links'!B:B, MATCH(V2544, 'File Links'!C:C, 0))))</f>
        <v>https://drive.google.com/file/d/1JqR213ecE6dYmcQzX1WidGxm2UimuKxl/view?usp=drivesdk</v>
      </c>
      <c r="Y2544" s="68"/>
      <c r="Z2544" s="159" t="s">
        <v>2079</v>
      </c>
      <c r="AA2544" s="474" t="s">
        <v>15221</v>
      </c>
      <c r="AB2544" s="474" t="s">
        <v>15222</v>
      </c>
      <c r="AC2544" s="159" t="s">
        <v>15223</v>
      </c>
      <c r="AD2544" s="159" t="s">
        <v>15234</v>
      </c>
      <c r="AE2544" s="159" t="s">
        <v>604</v>
      </c>
      <c r="AF2544" s="156">
        <v>275.0</v>
      </c>
      <c r="AG2544" s="159" t="s">
        <v>15235</v>
      </c>
      <c r="AH2544" s="159" t="s">
        <v>134</v>
      </c>
      <c r="AI2544" s="159" t="s">
        <v>15236</v>
      </c>
      <c r="AJ2544" s="156">
        <v>0.35</v>
      </c>
      <c r="AK2544" s="159" t="s">
        <v>172</v>
      </c>
      <c r="AL2544" s="159" t="s">
        <v>186</v>
      </c>
      <c r="AM2544" s="159" t="s">
        <v>137</v>
      </c>
      <c r="AN2544" s="159" t="s">
        <v>138</v>
      </c>
      <c r="AO2544" s="156">
        <v>383.0</v>
      </c>
      <c r="AP2544" s="156">
        <v>0.006</v>
      </c>
      <c r="AQ2544" s="159" t="s">
        <v>139</v>
      </c>
      <c r="AR2544" s="159" t="s">
        <v>15237</v>
      </c>
      <c r="AS2544" s="156">
        <v>0.31</v>
      </c>
      <c r="AT2544" s="159" t="s">
        <v>172</v>
      </c>
      <c r="AU2544" s="159" t="s">
        <v>186</v>
      </c>
      <c r="AV2544" s="159" t="s">
        <v>137</v>
      </c>
      <c r="AW2544" s="435" t="s">
        <v>15227</v>
      </c>
      <c r="AX2544" s="159" t="s">
        <v>143</v>
      </c>
      <c r="AY2544" s="61" t="str">
        <f>IFERROR(__xludf.DUMMYFUNCTION("vlookup(BB2544,importrange(""https://docs.google.com/spreadsheets/d/1d2vevQ_7D_v35q4wCQ4RpQ_IPoTwEMB9Yp6ymwlPqew/edit?gid=984458430#gid=984458430"", ""'replication success'!A:K""), 11, FAlSE)"),"failed")</f>
        <v>failed</v>
      </c>
      <c r="AZ2544" s="61" t="str">
        <f>IFERROR(__xludf.DUMMYFUNCTION("vlookup(BB2544,importrange(""https://docs.google.com/spreadsheets/d/1d2vevQ_7D_v35q4wCQ4RpQ_IPoTwEMB9Yp6ymwlPqew/edit?gid=984458430#gid=984458430"", ""'replication success'!A:M""), 12, FAlSE)"),"Using the same tasks and conditions as in Ward et al.'s (2017) second experiment, the present study found
that the “brain drain” effect did not replicate: there was no difference between smartphone location conditions
on performance on either the o-span"&amp;" task or the go/no-go task.")</f>
        <v>Using the same tasks and conditions as in Ward et al.'s (2017) second experiment, the present study found
that the “brain drain” effect did not replicate: there was no difference between smartphone location conditions
on performance on either the o-span task or the go/no-go task.</v>
      </c>
      <c r="BA2544" s="61" t="str">
        <f>IFERROR(__xludf.DUMMYFUNCTION("vlookup(BB2544,importrange(""https://docs.google.com/spreadsheets/d/1d2vevQ_7D_v35q4wCQ4RpQ_IPoTwEMB9Yp6ymwlPqew/edit?gid=984458430#gid=984458430"", ""'replication success'!A:M""), 13, FAlSE)"),"abstract")</f>
        <v>abstract</v>
      </c>
      <c r="BB2544" s="61" t="str">
        <f>IFERROR(__xludf.DUMMYFUNCTION("REGEXREPLACE(G2544, ""_[a-z]{1,2}$"", """")"),"OpenMKT21")</f>
        <v>OpenMKT21</v>
      </c>
      <c r="BD2544" s="62" t="s">
        <v>1270</v>
      </c>
    </row>
    <row r="2545">
      <c r="A2545" s="44">
        <v>2545.0</v>
      </c>
      <c r="B2545" s="1781" t="s">
        <v>152</v>
      </c>
      <c r="C2545" s="1782" t="s">
        <v>115</v>
      </c>
      <c r="D2545" s="1782" t="s">
        <v>145</v>
      </c>
      <c r="E2545" s="1783"/>
      <c r="F2545" s="1793" t="s">
        <v>10277</v>
      </c>
      <c r="G2545" s="1792" t="s">
        <v>10278</v>
      </c>
      <c r="H2545" s="1792" t="s">
        <v>10123</v>
      </c>
      <c r="I2545" s="2152">
        <v>45765.0</v>
      </c>
      <c r="J2545" s="540">
        <v>45793.0</v>
      </c>
      <c r="K2545" s="1793"/>
      <c r="L2545" s="1781" t="s">
        <v>15238</v>
      </c>
      <c r="M2545" s="1792" t="s">
        <v>10280</v>
      </c>
      <c r="N2545" s="1792" t="s">
        <v>10281</v>
      </c>
      <c r="O2545" s="2089">
        <v>4.0</v>
      </c>
      <c r="P2545" s="1792" t="s">
        <v>10282</v>
      </c>
      <c r="Q2545" s="52" t="str">
        <f t="array" ref="Q2545"> if(iserror(MATCH(V2545, 'File Links'!C:C, 0)), "N/A", HYPERLINK(INDEX('File Links'!B:B, MATCH(P2545, 'File Links'!C:C, 0))))</f>
        <v>https://drive.google.com/file/d/1KTndRLnspP4bSM08LU5xlAb5egjHN1hx/view?usp=drivesdk</v>
      </c>
      <c r="R2545" s="1792" t="s">
        <v>15108</v>
      </c>
      <c r="S2545" s="1792" t="s">
        <v>10182</v>
      </c>
      <c r="T2545" s="2161" t="s">
        <v>15239</v>
      </c>
      <c r="U2545" s="1781">
        <v>13.0</v>
      </c>
      <c r="V2545" s="1792" t="s">
        <v>10183</v>
      </c>
      <c r="W2545" s="1781" t="s">
        <v>209</v>
      </c>
      <c r="X2545" s="54" t="str">
        <f t="array" ref="X2545"> if(iserror(MATCH(V2545, 'File Links'!C:C, 0)), "N/A", HYPERLINK(INDEX('File Links'!B:B, MATCH(V2545, 'File Links'!C:C, 0))))</f>
        <v>https://drive.google.com/file/d/1Irbmig3rfLDvz-G09jDAVwJvv1drYEqO/view?usp=drivesdk</v>
      </c>
      <c r="Y2545" s="1793"/>
      <c r="Z2545" s="1792" t="s">
        <v>2079</v>
      </c>
      <c r="AA2545" s="1784" t="s">
        <v>10283</v>
      </c>
      <c r="AB2545" s="1792" t="s">
        <v>10284</v>
      </c>
      <c r="AC2545" s="1792" t="s">
        <v>15240</v>
      </c>
      <c r="AD2545" s="1792" t="s">
        <v>15241</v>
      </c>
      <c r="AE2545" s="2089">
        <v>10.0</v>
      </c>
      <c r="AF2545" s="2089">
        <v>179.0</v>
      </c>
      <c r="AG2545" s="2089">
        <v>1.08</v>
      </c>
      <c r="AH2545" s="1792" t="s">
        <v>173</v>
      </c>
      <c r="AI2545" s="1792" t="s">
        <v>632</v>
      </c>
      <c r="AJ2545" s="2089">
        <v>0.01</v>
      </c>
      <c r="AK2545" s="1792" t="s">
        <v>135</v>
      </c>
      <c r="AL2545" s="1792" t="s">
        <v>186</v>
      </c>
      <c r="AM2545" s="1792" t="s">
        <v>137</v>
      </c>
      <c r="AN2545" s="469" t="s">
        <v>138</v>
      </c>
      <c r="AO2545" s="2089">
        <v>467.0</v>
      </c>
      <c r="AP2545" s="2089">
        <v>0.179</v>
      </c>
      <c r="AQ2545" s="1792" t="s">
        <v>173</v>
      </c>
      <c r="AR2545" s="1792" t="s">
        <v>10294</v>
      </c>
      <c r="AS2545" s="2089">
        <v>0.001</v>
      </c>
      <c r="AT2545" s="1792" t="s">
        <v>135</v>
      </c>
      <c r="AU2545" s="1792" t="s">
        <v>186</v>
      </c>
      <c r="AV2545" s="1792" t="s">
        <v>137</v>
      </c>
      <c r="AW2545" s="1308" t="s">
        <v>10289</v>
      </c>
      <c r="AX2545" s="1792" t="s">
        <v>143</v>
      </c>
      <c r="AY2545" s="61" t="str">
        <f>IFERROR(__xludf.DUMMYFUNCTION("vlookup(BB2545,importrange(""https://docs.google.com/spreadsheets/d/1d2vevQ_7D_v35q4wCQ4RpQ_IPoTwEMB9Yp6ymwlPqew/edit?gid=984458430#gid=984458430"", ""'replication success'!A:K""), 11, FAlSE)"),"successful")</f>
        <v>successful</v>
      </c>
      <c r="AZ2545" s="61" t="str">
        <f>IFERROR(__xludf.DUMMYFUNCTION("vlookup(BB2545,importrange(""https://docs.google.com/spreadsheets/d/1d2vevQ_7D_v35q4wCQ4RpQ_IPoTwEMB9Yp6ymwlPqew/edit?gid=984458430#gid=984458430"", ""'replication success'!A:M""), 12, FAlSE)"),"[Figure 1]")</f>
        <v>[Figure 1]</v>
      </c>
      <c r="BA2545" s="61" t="str">
        <f>IFERROR(__xludf.DUMMYFUNCTION("vlookup(BB2545,importrange(""https://docs.google.com/spreadsheets/d/1d2vevQ_7D_v35q4wCQ4RpQ_IPoTwEMB9Yp6ymwlPqew/edit?gid=984458430#gid=984458430"", ""'replication success'!A:M""), 13, FAlSE)"),"pg. 2")</f>
        <v>pg. 2</v>
      </c>
      <c r="BB2545" s="61" t="str">
        <f>IFERROR(__xludf.DUMMYFUNCTION("REGEXREPLACE(G2545, ""_[a-z]{1,2}$"", """")"),"OpenMKT13")</f>
        <v>OpenMKT13</v>
      </c>
      <c r="BD2545" s="62" t="s">
        <v>1270</v>
      </c>
      <c r="BE2545" s="1783"/>
      <c r="BF2545" s="1783"/>
      <c r="BG2545" s="1783"/>
      <c r="BH2545" s="1783"/>
      <c r="BI2545" s="1783"/>
      <c r="BJ2545" s="1783"/>
      <c r="BK2545" s="1783"/>
      <c r="BL2545" s="1783"/>
      <c r="BM2545" s="1783"/>
      <c r="BN2545" s="1783"/>
      <c r="BO2545" s="1783"/>
      <c r="BP2545" s="1783"/>
      <c r="BQ2545" s="1783"/>
      <c r="BR2545" s="1783"/>
      <c r="BS2545" s="1783"/>
      <c r="BT2545" s="1783"/>
      <c r="BU2545" s="1783"/>
      <c r="BV2545" s="1783"/>
      <c r="BW2545" s="1783"/>
      <c r="BX2545" s="1783"/>
      <c r="BY2545" s="1783"/>
      <c r="BZ2545" s="1783"/>
      <c r="CA2545" s="1783"/>
      <c r="CB2545" s="1783"/>
      <c r="CC2545" s="1783"/>
      <c r="CD2545" s="1783"/>
      <c r="CE2545" s="1783"/>
      <c r="CF2545" s="1783"/>
      <c r="CG2545" s="1783"/>
      <c r="CH2545" s="1783"/>
      <c r="CI2545" s="1783"/>
      <c r="CJ2545" s="1783"/>
      <c r="CK2545" s="1783"/>
      <c r="CL2545" s="1783"/>
      <c r="CM2545" s="1783"/>
      <c r="CN2545" s="1783"/>
      <c r="CO2545" s="1783"/>
      <c r="CP2545" s="1783"/>
      <c r="CQ2545" s="1783"/>
      <c r="CR2545" s="1783"/>
      <c r="CS2545" s="1783"/>
      <c r="CT2545" s="1783"/>
      <c r="CU2545" s="1783"/>
      <c r="CV2545" s="1783"/>
      <c r="CW2545" s="1783"/>
      <c r="CX2545" s="1783"/>
      <c r="CY2545" s="1783"/>
      <c r="CZ2545" s="1783"/>
      <c r="DA2545" s="1783"/>
      <c r="DB2545" s="1783"/>
      <c r="DC2545" s="1783"/>
      <c r="DD2545" s="1783"/>
      <c r="DE2545" s="1783"/>
      <c r="DF2545" s="1783"/>
      <c r="DG2545" s="1783"/>
      <c r="DH2545" s="1783"/>
      <c r="DI2545" s="1783"/>
      <c r="DJ2545" s="1783"/>
      <c r="DK2545" s="1783"/>
      <c r="DL2545" s="1783"/>
    </row>
    <row r="2546">
      <c r="A2546" s="44">
        <v>2546.0</v>
      </c>
      <c r="B2546" s="129" t="s">
        <v>152</v>
      </c>
      <c r="C2546" s="62" t="s">
        <v>115</v>
      </c>
      <c r="D2546" s="62" t="s">
        <v>145</v>
      </c>
      <c r="F2546" s="68" t="s">
        <v>10277</v>
      </c>
      <c r="G2546" s="360" t="s">
        <v>10290</v>
      </c>
      <c r="H2546" s="360" t="s">
        <v>10123</v>
      </c>
      <c r="I2546" s="344">
        <v>45765.0</v>
      </c>
      <c r="J2546" s="540">
        <v>45793.0</v>
      </c>
      <c r="K2546" s="46"/>
      <c r="L2546" s="1781" t="s">
        <v>15238</v>
      </c>
      <c r="M2546" s="360" t="s">
        <v>10280</v>
      </c>
      <c r="N2546" s="360" t="s">
        <v>10281</v>
      </c>
      <c r="O2546" s="357">
        <v>4.0</v>
      </c>
      <c r="P2546" s="360" t="s">
        <v>10282</v>
      </c>
      <c r="Q2546" s="52" t="str">
        <f t="array" ref="Q2546"> if(iserror(MATCH(V2546, 'File Links'!C:C, 0)), "N/A", HYPERLINK(INDEX('File Links'!B:B, MATCH(P2546, 'File Links'!C:C, 0))))</f>
        <v>https://drive.google.com/file/d/1KTndRLnspP4bSM08LU5xlAb5egjHN1hx/view?usp=drivesdk</v>
      </c>
      <c r="R2546" s="360" t="s">
        <v>15108</v>
      </c>
      <c r="S2546" s="360" t="s">
        <v>10182</v>
      </c>
      <c r="T2546" s="509" t="s">
        <v>15239</v>
      </c>
      <c r="U2546" s="56">
        <v>13.0</v>
      </c>
      <c r="V2546" s="360" t="s">
        <v>10183</v>
      </c>
      <c r="W2546" s="1781" t="s">
        <v>209</v>
      </c>
      <c r="X2546" s="54" t="str">
        <f t="array" ref="X2546"> if(iserror(MATCH(V2546, 'File Links'!C:C, 0)), "N/A", HYPERLINK(INDEX('File Links'!B:B, MATCH(V2546, 'File Links'!C:C, 0))))</f>
        <v>https://drive.google.com/file/d/1Irbmig3rfLDvz-G09jDAVwJvv1drYEqO/view?usp=drivesdk</v>
      </c>
      <c r="Y2546" s="46"/>
      <c r="Z2546" s="360" t="s">
        <v>2079</v>
      </c>
      <c r="AA2546" s="1784" t="s">
        <v>10283</v>
      </c>
      <c r="AB2546" s="360" t="s">
        <v>10284</v>
      </c>
      <c r="AC2546" s="360" t="s">
        <v>15242</v>
      </c>
      <c r="AD2546" s="360" t="s">
        <v>15243</v>
      </c>
      <c r="AE2546" s="357">
        <v>10.0</v>
      </c>
      <c r="AF2546" s="357">
        <v>179.0</v>
      </c>
      <c r="AG2546" s="357">
        <v>0.34</v>
      </c>
      <c r="AH2546" s="360" t="s">
        <v>173</v>
      </c>
      <c r="AI2546" s="360" t="s">
        <v>632</v>
      </c>
      <c r="AJ2546" s="357">
        <v>0.01</v>
      </c>
      <c r="AK2546" s="360" t="s">
        <v>135</v>
      </c>
      <c r="AL2546" s="360" t="s">
        <v>186</v>
      </c>
      <c r="AM2546" s="360" t="s">
        <v>137</v>
      </c>
      <c r="AN2546" s="469" t="s">
        <v>138</v>
      </c>
      <c r="AO2546" s="357">
        <v>467.0</v>
      </c>
      <c r="AP2546" s="357">
        <v>0.028</v>
      </c>
      <c r="AQ2546" s="360" t="s">
        <v>173</v>
      </c>
      <c r="AR2546" s="360" t="s">
        <v>10294</v>
      </c>
      <c r="AS2546" s="357">
        <v>0.6</v>
      </c>
      <c r="AT2546" s="360" t="s">
        <v>172</v>
      </c>
      <c r="AU2546" s="360" t="s">
        <v>186</v>
      </c>
      <c r="AV2546" s="360" t="s">
        <v>137</v>
      </c>
      <c r="AW2546" s="1308" t="s">
        <v>10289</v>
      </c>
      <c r="AX2546" s="360" t="s">
        <v>143</v>
      </c>
      <c r="AY2546" s="61" t="str">
        <f>IFERROR(__xludf.DUMMYFUNCTION("vlookup(BB2546,importrange(""https://docs.google.com/spreadsheets/d/1d2vevQ_7D_v35q4wCQ4RpQ_IPoTwEMB9Yp6ymwlPqew/edit?gid=984458430#gid=984458430"", ""'replication success'!A:K""), 11, FAlSE)"),"successful")</f>
        <v>successful</v>
      </c>
      <c r="AZ2546" s="61" t="str">
        <f>IFERROR(__xludf.DUMMYFUNCTION("vlookup(BB2546,importrange(""https://docs.google.com/spreadsheets/d/1d2vevQ_7D_v35q4wCQ4RpQ_IPoTwEMB9Yp6ymwlPqew/edit?gid=984458430#gid=984458430"", ""'replication success'!A:M""), 12, FAlSE)"),"[Figure 1]")</f>
        <v>[Figure 1]</v>
      </c>
      <c r="BA2546" s="61" t="str">
        <f>IFERROR(__xludf.DUMMYFUNCTION("vlookup(BB2546,importrange(""https://docs.google.com/spreadsheets/d/1d2vevQ_7D_v35q4wCQ4RpQ_IPoTwEMB9Yp6ymwlPqew/edit?gid=984458430#gid=984458430"", ""'replication success'!A:M""), 13, FAlSE)"),"pg. 2")</f>
        <v>pg. 2</v>
      </c>
      <c r="BB2546" s="61" t="str">
        <f>IFERROR(__xludf.DUMMYFUNCTION("REGEXREPLACE(G2546, ""_[a-z]{1,2}$"", """")"),"OpenMKT13")</f>
        <v>OpenMKT13</v>
      </c>
      <c r="BD2546" s="62" t="s">
        <v>1270</v>
      </c>
    </row>
    <row r="2547">
      <c r="A2547" s="44">
        <v>2547.0</v>
      </c>
      <c r="B2547" s="129" t="s">
        <v>152</v>
      </c>
      <c r="C2547" s="62" t="s">
        <v>115</v>
      </c>
      <c r="D2547" s="62" t="s">
        <v>145</v>
      </c>
      <c r="F2547" s="68" t="s">
        <v>10277</v>
      </c>
      <c r="G2547" s="360" t="s">
        <v>10295</v>
      </c>
      <c r="H2547" s="360" t="s">
        <v>10123</v>
      </c>
      <c r="I2547" s="344">
        <v>45765.0</v>
      </c>
      <c r="J2547" s="540">
        <v>45793.0</v>
      </c>
      <c r="K2547" s="46"/>
      <c r="L2547" s="1781" t="s">
        <v>15238</v>
      </c>
      <c r="M2547" s="360" t="s">
        <v>10280</v>
      </c>
      <c r="N2547" s="360" t="s">
        <v>10281</v>
      </c>
      <c r="O2547" s="357">
        <v>4.0</v>
      </c>
      <c r="P2547" s="360" t="s">
        <v>10282</v>
      </c>
      <c r="Q2547" s="52" t="str">
        <f t="array" ref="Q2547"> if(iserror(MATCH(V2547, 'File Links'!C:C, 0)), "N/A", HYPERLINK(INDEX('File Links'!B:B, MATCH(P2547, 'File Links'!C:C, 0))))</f>
        <v>https://drive.google.com/file/d/1KTndRLnspP4bSM08LU5xlAb5egjHN1hx/view?usp=drivesdk</v>
      </c>
      <c r="R2547" s="360" t="s">
        <v>15108</v>
      </c>
      <c r="S2547" s="360" t="s">
        <v>10182</v>
      </c>
      <c r="T2547" s="509" t="s">
        <v>15239</v>
      </c>
      <c r="U2547" s="56">
        <v>13.0</v>
      </c>
      <c r="V2547" s="360" t="s">
        <v>10183</v>
      </c>
      <c r="W2547" s="1781" t="s">
        <v>209</v>
      </c>
      <c r="X2547" s="54" t="str">
        <f t="array" ref="X2547"> if(iserror(MATCH(V2547, 'File Links'!C:C, 0)), "N/A", HYPERLINK(INDEX('File Links'!B:B, MATCH(V2547, 'File Links'!C:C, 0))))</f>
        <v>https://drive.google.com/file/d/1Irbmig3rfLDvz-G09jDAVwJvv1drYEqO/view?usp=drivesdk</v>
      </c>
      <c r="Y2547" s="46"/>
      <c r="Z2547" s="360" t="s">
        <v>2079</v>
      </c>
      <c r="AA2547" s="1784" t="s">
        <v>10283</v>
      </c>
      <c r="AB2547" s="360" t="s">
        <v>10284</v>
      </c>
      <c r="AC2547" s="360" t="s">
        <v>15244</v>
      </c>
      <c r="AD2547" s="360" t="s">
        <v>15245</v>
      </c>
      <c r="AE2547" s="357">
        <v>10.0</v>
      </c>
      <c r="AF2547" s="357">
        <v>179.0</v>
      </c>
      <c r="AG2547" s="360" t="s">
        <v>10297</v>
      </c>
      <c r="AH2547" s="360" t="s">
        <v>134</v>
      </c>
      <c r="AI2547" s="360" t="s">
        <v>632</v>
      </c>
      <c r="AJ2547" s="357">
        <v>0.01</v>
      </c>
      <c r="AK2547" s="360" t="s">
        <v>135</v>
      </c>
      <c r="AL2547" s="360" t="s">
        <v>186</v>
      </c>
      <c r="AM2547" s="360" t="s">
        <v>137</v>
      </c>
      <c r="AN2547" s="469" t="s">
        <v>138</v>
      </c>
      <c r="AO2547" s="357">
        <v>467.0</v>
      </c>
      <c r="AP2547" s="360" t="s">
        <v>10299</v>
      </c>
      <c r="AQ2547" s="360" t="s">
        <v>134</v>
      </c>
      <c r="AR2547" s="360" t="s">
        <v>10294</v>
      </c>
      <c r="AS2547" s="357">
        <v>0.71</v>
      </c>
      <c r="AT2547" s="360" t="s">
        <v>172</v>
      </c>
      <c r="AU2547" s="360" t="s">
        <v>186</v>
      </c>
      <c r="AV2547" s="360" t="s">
        <v>137</v>
      </c>
      <c r="AW2547" s="1308" t="s">
        <v>10289</v>
      </c>
      <c r="AX2547" s="360" t="s">
        <v>143</v>
      </c>
      <c r="AY2547" s="61" t="str">
        <f>IFERROR(__xludf.DUMMYFUNCTION("vlookup(BB2547,importrange(""https://docs.google.com/spreadsheets/d/1d2vevQ_7D_v35q4wCQ4RpQ_IPoTwEMB9Yp6ymwlPqew/edit?gid=984458430#gid=984458430"", ""'replication success'!A:K""), 11, FAlSE)"),"successful")</f>
        <v>successful</v>
      </c>
      <c r="AZ2547" s="61" t="str">
        <f>IFERROR(__xludf.DUMMYFUNCTION("vlookup(BB2547,importrange(""https://docs.google.com/spreadsheets/d/1d2vevQ_7D_v35q4wCQ4RpQ_IPoTwEMB9Yp6ymwlPqew/edit?gid=984458430#gid=984458430"", ""'replication success'!A:M""), 12, FAlSE)"),"[Figure 1]")</f>
        <v>[Figure 1]</v>
      </c>
      <c r="BA2547" s="61" t="str">
        <f>IFERROR(__xludf.DUMMYFUNCTION("vlookup(BB2547,importrange(""https://docs.google.com/spreadsheets/d/1d2vevQ_7D_v35q4wCQ4RpQ_IPoTwEMB9Yp6ymwlPqew/edit?gid=984458430#gid=984458430"", ""'replication success'!A:M""), 13, FAlSE)"),"pg. 2")</f>
        <v>pg. 2</v>
      </c>
      <c r="BB2547" s="61" t="str">
        <f>IFERROR(__xludf.DUMMYFUNCTION("REGEXREPLACE(G2547, ""_[a-z]{1,2}$"", """")"),"OpenMKT13")</f>
        <v>OpenMKT13</v>
      </c>
      <c r="BD2547" s="62" t="s">
        <v>1270</v>
      </c>
    </row>
    <row r="2548">
      <c r="A2548" s="44">
        <v>2548.0</v>
      </c>
      <c r="B2548" s="295" t="s">
        <v>152</v>
      </c>
      <c r="C2548" s="287" t="s">
        <v>115</v>
      </c>
      <c r="D2548" s="287" t="s">
        <v>145</v>
      </c>
      <c r="E2548" s="308"/>
      <c r="F2548" s="305" t="s">
        <v>10175</v>
      </c>
      <c r="G2548" s="290" t="s">
        <v>10176</v>
      </c>
      <c r="H2548" s="290" t="s">
        <v>10123</v>
      </c>
      <c r="I2548" s="2146">
        <v>45767.0</v>
      </c>
      <c r="J2548" s="540">
        <v>45793.0</v>
      </c>
      <c r="K2548" s="305"/>
      <c r="L2548" s="295" t="s">
        <v>15246</v>
      </c>
      <c r="M2548" s="290" t="s">
        <v>10178</v>
      </c>
      <c r="N2548" s="290" t="s">
        <v>10179</v>
      </c>
      <c r="O2548" s="1563">
        <v>4.0</v>
      </c>
      <c r="P2548" s="290" t="s">
        <v>10180</v>
      </c>
      <c r="Q2548" s="52" t="str">
        <f t="array" ref="Q2548"> if(iserror(MATCH(V2548, 'File Links'!C:C, 0)), "N/A", HYPERLINK(INDEX('File Links'!B:B, MATCH(P2548, 'File Links'!C:C, 0))))</f>
        <v>https://drive.google.com/file/d/1dD_RkFuxQxk3hkxXbqultnhFhN1opB9Y/view?usp=drivesdk</v>
      </c>
      <c r="R2548" s="290" t="s">
        <v>15108</v>
      </c>
      <c r="S2548" s="290" t="s">
        <v>10182</v>
      </c>
      <c r="T2548" s="2149" t="s">
        <v>15239</v>
      </c>
      <c r="U2548" s="295">
        <v>11.0</v>
      </c>
      <c r="V2548" s="290" t="s">
        <v>10183</v>
      </c>
      <c r="W2548" s="295" t="s">
        <v>209</v>
      </c>
      <c r="X2548" s="54" t="str">
        <f t="array" ref="X2548"> if(iserror(MATCH(V2548, 'File Links'!C:C, 0)), "N/A", HYPERLINK(INDEX('File Links'!B:B, MATCH(V2548, 'File Links'!C:C, 0))))</f>
        <v>https://drive.google.com/file/d/1Irbmig3rfLDvz-G09jDAVwJvv1drYEqO/view?usp=drivesdk</v>
      </c>
      <c r="Y2548" s="305"/>
      <c r="Z2548" s="290" t="s">
        <v>2079</v>
      </c>
      <c r="AA2548" s="295" t="s">
        <v>10184</v>
      </c>
      <c r="AB2548" s="290" t="s">
        <v>15247</v>
      </c>
      <c r="AC2548" s="290" t="s">
        <v>15248</v>
      </c>
      <c r="AD2548" s="290" t="s">
        <v>15249</v>
      </c>
      <c r="AE2548" s="290" t="s">
        <v>15250</v>
      </c>
      <c r="AF2548" s="1563">
        <v>251.0</v>
      </c>
      <c r="AG2548" s="380">
        <v>0.029</v>
      </c>
      <c r="AH2548" s="380" t="s">
        <v>139</v>
      </c>
      <c r="AI2548" s="290" t="s">
        <v>305</v>
      </c>
      <c r="AJ2548" s="1563">
        <v>0.05</v>
      </c>
      <c r="AK2548" s="290" t="s">
        <v>135</v>
      </c>
      <c r="AL2548" s="290" t="s">
        <v>186</v>
      </c>
      <c r="AM2548" s="290" t="s">
        <v>137</v>
      </c>
      <c r="AN2548" s="469" t="s">
        <v>138</v>
      </c>
      <c r="AO2548" s="1563">
        <v>604.0</v>
      </c>
      <c r="AP2548" s="380">
        <v>0.014</v>
      </c>
      <c r="AQ2548" s="380" t="s">
        <v>874</v>
      </c>
      <c r="AR2548" s="290" t="s">
        <v>15251</v>
      </c>
      <c r="AS2548" s="1563">
        <v>0.014</v>
      </c>
      <c r="AT2548" s="290" t="s">
        <v>172</v>
      </c>
      <c r="AU2548" s="290" t="s">
        <v>186</v>
      </c>
      <c r="AV2548" s="290" t="s">
        <v>137</v>
      </c>
      <c r="AW2548" s="1308" t="s">
        <v>10190</v>
      </c>
      <c r="AX2548" s="290" t="s">
        <v>143</v>
      </c>
      <c r="AY2548" s="61" t="str">
        <f>IFERROR(__xludf.DUMMYFUNCTION("vlookup(BB2548,importrange(""https://docs.google.com/spreadsheets/d/1d2vevQ_7D_v35q4wCQ4RpQ_IPoTwEMB9Yp6ymwlPqew/edit?gid=984458430#gid=984458430"", ""'replication success'!A:K""), 11, FAlSE)"),"successful")</f>
        <v>successful</v>
      </c>
      <c r="AZ2548" s="61" t="str">
        <f>IFERROR(__xludf.DUMMYFUNCTION("vlookup(BB2548,importrange(""https://docs.google.com/spreadsheets/d/1d2vevQ_7D_v35q4wCQ4RpQ_IPoTwEMB9Yp6ymwlPqew/edit?gid=984458430#gid=984458430"", ""'replication success'!A:M""), 12, FAlSE)"),"[Figure 1]")</f>
        <v>[Figure 1]</v>
      </c>
      <c r="BA2548" s="61" t="str">
        <f>IFERROR(__xludf.DUMMYFUNCTION("vlookup(BB2548,importrange(""https://docs.google.com/spreadsheets/d/1d2vevQ_7D_v35q4wCQ4RpQ_IPoTwEMB9Yp6ymwlPqew/edit?gid=984458430#gid=984458430"", ""'replication success'!A:M""), 13, FAlSE)"),"pg. 2")</f>
        <v>pg. 2</v>
      </c>
      <c r="BB2548" s="61" t="str">
        <f>IFERROR(__xludf.DUMMYFUNCTION("REGEXREPLACE(G2548, ""_[a-z]{1,2}$"", """")"),"OpenMKT11")</f>
        <v>OpenMKT11</v>
      </c>
      <c r="BD2548" s="62" t="s">
        <v>1270</v>
      </c>
      <c r="BE2548" s="308"/>
      <c r="BF2548" s="308"/>
      <c r="BG2548" s="308"/>
      <c r="BH2548" s="308"/>
      <c r="BI2548" s="308"/>
      <c r="BJ2548" s="308"/>
      <c r="BK2548" s="308"/>
      <c r="BL2548" s="308"/>
      <c r="BM2548" s="308"/>
      <c r="BN2548" s="308"/>
      <c r="BO2548" s="308"/>
      <c r="BP2548" s="308"/>
      <c r="BQ2548" s="308"/>
      <c r="BR2548" s="308"/>
      <c r="BS2548" s="308"/>
      <c r="BT2548" s="308"/>
      <c r="BU2548" s="308"/>
      <c r="BV2548" s="308"/>
      <c r="BW2548" s="308"/>
      <c r="BX2548" s="308"/>
      <c r="BY2548" s="308"/>
      <c r="BZ2548" s="308"/>
      <c r="CA2548" s="308"/>
      <c r="CB2548" s="308"/>
      <c r="CC2548" s="308"/>
      <c r="CD2548" s="308"/>
      <c r="CE2548" s="308"/>
      <c r="CF2548" s="308"/>
      <c r="CG2548" s="308"/>
      <c r="CH2548" s="308"/>
      <c r="CI2548" s="308"/>
      <c r="CJ2548" s="308"/>
      <c r="CK2548" s="308"/>
      <c r="CL2548" s="308"/>
      <c r="CM2548" s="308"/>
      <c r="CN2548" s="308"/>
      <c r="CO2548" s="308"/>
      <c r="CP2548" s="308"/>
      <c r="CQ2548" s="308"/>
      <c r="CR2548" s="308"/>
      <c r="CS2548" s="308"/>
      <c r="CT2548" s="308"/>
      <c r="CU2548" s="308"/>
      <c r="CV2548" s="308"/>
      <c r="CW2548" s="308"/>
      <c r="CX2548" s="308"/>
      <c r="CY2548" s="308"/>
      <c r="CZ2548" s="308"/>
      <c r="DA2548" s="308"/>
      <c r="DB2548" s="308"/>
      <c r="DC2548" s="308"/>
      <c r="DD2548" s="308"/>
      <c r="DE2548" s="308"/>
      <c r="DF2548" s="308"/>
      <c r="DG2548" s="308"/>
      <c r="DH2548" s="308"/>
      <c r="DI2548" s="308"/>
      <c r="DJ2548" s="308"/>
      <c r="DK2548" s="308"/>
      <c r="DL2548" s="308"/>
    </row>
    <row r="2549">
      <c r="A2549" s="44">
        <v>2549.0</v>
      </c>
      <c r="B2549" s="129" t="s">
        <v>152</v>
      </c>
      <c r="C2549" s="62" t="s">
        <v>115</v>
      </c>
      <c r="D2549" s="62" t="s">
        <v>145</v>
      </c>
      <c r="F2549" s="68" t="s">
        <v>10175</v>
      </c>
      <c r="G2549" s="360" t="s">
        <v>10191</v>
      </c>
      <c r="H2549" s="360" t="s">
        <v>10123</v>
      </c>
      <c r="I2549" s="344">
        <v>45767.0</v>
      </c>
      <c r="J2549" s="540">
        <v>45793.0</v>
      </c>
      <c r="K2549" s="46"/>
      <c r="L2549" s="295" t="s">
        <v>15246</v>
      </c>
      <c r="M2549" s="360" t="s">
        <v>10178</v>
      </c>
      <c r="N2549" s="360" t="s">
        <v>10179</v>
      </c>
      <c r="O2549" s="357">
        <v>4.0</v>
      </c>
      <c r="P2549" s="360" t="s">
        <v>10180</v>
      </c>
      <c r="Q2549" s="52" t="str">
        <f t="array" ref="Q2549"> if(iserror(MATCH(V2549, 'File Links'!C:C, 0)), "N/A", HYPERLINK(INDEX('File Links'!B:B, MATCH(P2549, 'File Links'!C:C, 0))))</f>
        <v>https://drive.google.com/file/d/1dD_RkFuxQxk3hkxXbqultnhFhN1opB9Y/view?usp=drivesdk</v>
      </c>
      <c r="R2549" s="360" t="s">
        <v>15108</v>
      </c>
      <c r="S2549" s="360" t="s">
        <v>10182</v>
      </c>
      <c r="T2549" s="509" t="s">
        <v>15239</v>
      </c>
      <c r="U2549" s="295">
        <v>11.0</v>
      </c>
      <c r="V2549" s="360" t="s">
        <v>10183</v>
      </c>
      <c r="W2549" s="295" t="s">
        <v>209</v>
      </c>
      <c r="X2549" s="54" t="str">
        <f t="array" ref="X2549"> if(iserror(MATCH(V2549, 'File Links'!C:C, 0)), "N/A", HYPERLINK(INDEX('File Links'!B:B, MATCH(V2549, 'File Links'!C:C, 0))))</f>
        <v>https://drive.google.com/file/d/1Irbmig3rfLDvz-G09jDAVwJvv1drYEqO/view?usp=drivesdk</v>
      </c>
      <c r="Y2549" s="46"/>
      <c r="Z2549" s="360" t="s">
        <v>2079</v>
      </c>
      <c r="AA2549" s="295" t="s">
        <v>10184</v>
      </c>
      <c r="AB2549" s="360" t="s">
        <v>15247</v>
      </c>
      <c r="AC2549" s="360" t="s">
        <v>15252</v>
      </c>
      <c r="AD2549" s="360" t="s">
        <v>15253</v>
      </c>
      <c r="AE2549" s="360" t="s">
        <v>15250</v>
      </c>
      <c r="AF2549" s="357">
        <v>251.0</v>
      </c>
      <c r="AG2549" s="380">
        <v>0.031</v>
      </c>
      <c r="AH2549" s="380" t="s">
        <v>139</v>
      </c>
      <c r="AI2549" s="360" t="s">
        <v>305</v>
      </c>
      <c r="AJ2549" s="357">
        <v>0.05</v>
      </c>
      <c r="AK2549" s="360" t="s">
        <v>135</v>
      </c>
      <c r="AL2549" s="360" t="s">
        <v>186</v>
      </c>
      <c r="AM2549" s="360" t="s">
        <v>137</v>
      </c>
      <c r="AN2549" s="469" t="s">
        <v>138</v>
      </c>
      <c r="AO2549" s="357">
        <v>604.0</v>
      </c>
      <c r="AP2549" s="380">
        <v>0.003</v>
      </c>
      <c r="AQ2549" s="380" t="s">
        <v>874</v>
      </c>
      <c r="AR2549" s="360" t="s">
        <v>15251</v>
      </c>
      <c r="AS2549" s="357">
        <v>0.351</v>
      </c>
      <c r="AT2549" s="360" t="s">
        <v>172</v>
      </c>
      <c r="AU2549" s="360" t="s">
        <v>186</v>
      </c>
      <c r="AV2549" s="360" t="s">
        <v>137</v>
      </c>
      <c r="AW2549" s="1308" t="s">
        <v>10190</v>
      </c>
      <c r="AX2549" s="360" t="s">
        <v>143</v>
      </c>
      <c r="AY2549" s="61" t="str">
        <f>IFERROR(__xludf.DUMMYFUNCTION("vlookup(BB2549,importrange(""https://docs.google.com/spreadsheets/d/1d2vevQ_7D_v35q4wCQ4RpQ_IPoTwEMB9Yp6ymwlPqew/edit?gid=984458430#gid=984458430"", ""'replication success'!A:K""), 11, FAlSE)"),"successful")</f>
        <v>successful</v>
      </c>
      <c r="AZ2549" s="61" t="str">
        <f>IFERROR(__xludf.DUMMYFUNCTION("vlookup(BB2549,importrange(""https://docs.google.com/spreadsheets/d/1d2vevQ_7D_v35q4wCQ4RpQ_IPoTwEMB9Yp6ymwlPqew/edit?gid=984458430#gid=984458430"", ""'replication success'!A:M""), 12, FAlSE)"),"[Figure 1]")</f>
        <v>[Figure 1]</v>
      </c>
      <c r="BA2549" s="61" t="str">
        <f>IFERROR(__xludf.DUMMYFUNCTION("vlookup(BB2549,importrange(""https://docs.google.com/spreadsheets/d/1d2vevQ_7D_v35q4wCQ4RpQ_IPoTwEMB9Yp6ymwlPqew/edit?gid=984458430#gid=984458430"", ""'replication success'!A:M""), 13, FAlSE)"),"pg. 2")</f>
        <v>pg. 2</v>
      </c>
      <c r="BB2549" s="61" t="str">
        <f>IFERROR(__xludf.DUMMYFUNCTION("REGEXREPLACE(G2549, ""_[a-z]{1,2}$"", """")"),"OpenMKT11")</f>
        <v>OpenMKT11</v>
      </c>
      <c r="BD2549" s="62" t="s">
        <v>1270</v>
      </c>
    </row>
    <row r="2550">
      <c r="A2550" s="44">
        <v>2550.0</v>
      </c>
      <c r="B2550" s="129" t="s">
        <v>152</v>
      </c>
      <c r="C2550" s="62" t="s">
        <v>115</v>
      </c>
      <c r="D2550" s="62" t="s">
        <v>145</v>
      </c>
      <c r="F2550" s="68" t="s">
        <v>10175</v>
      </c>
      <c r="G2550" s="360" t="s">
        <v>10195</v>
      </c>
      <c r="H2550" s="360" t="s">
        <v>10123</v>
      </c>
      <c r="I2550" s="344">
        <v>45767.0</v>
      </c>
      <c r="J2550" s="540">
        <v>45793.0</v>
      </c>
      <c r="K2550" s="46"/>
      <c r="L2550" s="295" t="s">
        <v>15246</v>
      </c>
      <c r="M2550" s="360" t="s">
        <v>10178</v>
      </c>
      <c r="N2550" s="360" t="s">
        <v>10179</v>
      </c>
      <c r="O2550" s="357">
        <v>4.0</v>
      </c>
      <c r="P2550" s="360" t="s">
        <v>10180</v>
      </c>
      <c r="Q2550" s="52" t="str">
        <f t="array" ref="Q2550"> if(iserror(MATCH(V2550, 'File Links'!C:C, 0)), "N/A", HYPERLINK(INDEX('File Links'!B:B, MATCH(P2550, 'File Links'!C:C, 0))))</f>
        <v>https://drive.google.com/file/d/1dD_RkFuxQxk3hkxXbqultnhFhN1opB9Y/view?usp=drivesdk</v>
      </c>
      <c r="R2550" s="360" t="s">
        <v>15108</v>
      </c>
      <c r="S2550" s="360" t="s">
        <v>10182</v>
      </c>
      <c r="T2550" s="509" t="s">
        <v>15239</v>
      </c>
      <c r="U2550" s="295">
        <v>11.0</v>
      </c>
      <c r="V2550" s="360" t="s">
        <v>10183</v>
      </c>
      <c r="W2550" s="295" t="s">
        <v>209</v>
      </c>
      <c r="X2550" s="54" t="str">
        <f t="array" ref="X2550"> if(iserror(MATCH(V2550, 'File Links'!C:C, 0)), "N/A", HYPERLINK(INDEX('File Links'!B:B, MATCH(V2550, 'File Links'!C:C, 0))))</f>
        <v>https://drive.google.com/file/d/1Irbmig3rfLDvz-G09jDAVwJvv1drYEqO/view?usp=drivesdk</v>
      </c>
      <c r="Y2550" s="46"/>
      <c r="Z2550" s="360" t="s">
        <v>2079</v>
      </c>
      <c r="AA2550" s="295" t="s">
        <v>10184</v>
      </c>
      <c r="AB2550" s="360" t="s">
        <v>15247</v>
      </c>
      <c r="AC2550" s="360" t="s">
        <v>15254</v>
      </c>
      <c r="AD2550" s="360" t="s">
        <v>15255</v>
      </c>
      <c r="AE2550" s="360" t="s">
        <v>15250</v>
      </c>
      <c r="AF2550" s="357">
        <v>251.0</v>
      </c>
      <c r="AG2550" s="380">
        <v>0.006</v>
      </c>
      <c r="AH2550" s="380" t="s">
        <v>139</v>
      </c>
      <c r="AI2550" s="360" t="s">
        <v>305</v>
      </c>
      <c r="AJ2550" s="357">
        <v>0.15</v>
      </c>
      <c r="AK2550" s="360" t="s">
        <v>335</v>
      </c>
      <c r="AL2550" s="360" t="s">
        <v>186</v>
      </c>
      <c r="AM2550" s="360" t="s">
        <v>137</v>
      </c>
      <c r="AN2550" s="469" t="s">
        <v>138</v>
      </c>
      <c r="AO2550" s="357">
        <v>604.0</v>
      </c>
      <c r="AP2550" s="380">
        <v>0.002</v>
      </c>
      <c r="AQ2550" s="380" t="s">
        <v>874</v>
      </c>
      <c r="AR2550" s="360" t="s">
        <v>15256</v>
      </c>
      <c r="AS2550" s="357">
        <v>0.315</v>
      </c>
      <c r="AT2550" s="360" t="s">
        <v>172</v>
      </c>
      <c r="AU2550" s="360" t="s">
        <v>186</v>
      </c>
      <c r="AV2550" s="360" t="s">
        <v>137</v>
      </c>
      <c r="AW2550" s="1308" t="s">
        <v>10190</v>
      </c>
      <c r="AX2550" s="360" t="s">
        <v>143</v>
      </c>
      <c r="AY2550" s="61" t="str">
        <f>IFERROR(__xludf.DUMMYFUNCTION("vlookup(BB2550,importrange(""https://docs.google.com/spreadsheets/d/1d2vevQ_7D_v35q4wCQ4RpQ_IPoTwEMB9Yp6ymwlPqew/edit?gid=984458430#gid=984458430"", ""'replication success'!A:K""), 11, FAlSE)"),"successful")</f>
        <v>successful</v>
      </c>
      <c r="AZ2550" s="61" t="str">
        <f>IFERROR(__xludf.DUMMYFUNCTION("vlookup(BB2550,importrange(""https://docs.google.com/spreadsheets/d/1d2vevQ_7D_v35q4wCQ4RpQ_IPoTwEMB9Yp6ymwlPqew/edit?gid=984458430#gid=984458430"", ""'replication success'!A:M""), 12, FAlSE)"),"[Figure 1]")</f>
        <v>[Figure 1]</v>
      </c>
      <c r="BA2550" s="61" t="str">
        <f>IFERROR(__xludf.DUMMYFUNCTION("vlookup(BB2550,importrange(""https://docs.google.com/spreadsheets/d/1d2vevQ_7D_v35q4wCQ4RpQ_IPoTwEMB9Yp6ymwlPqew/edit?gid=984458430#gid=984458430"", ""'replication success'!A:M""), 13, FAlSE)"),"pg. 2")</f>
        <v>pg. 2</v>
      </c>
      <c r="BB2550" s="61" t="str">
        <f>IFERROR(__xludf.DUMMYFUNCTION("REGEXREPLACE(G2550, ""_[a-z]{1,2}$"", """")"),"OpenMKT11")</f>
        <v>OpenMKT11</v>
      </c>
      <c r="BD2550" s="62" t="s">
        <v>1270</v>
      </c>
    </row>
    <row r="2551">
      <c r="A2551" s="44">
        <v>2551.0</v>
      </c>
      <c r="B2551" s="129" t="s">
        <v>152</v>
      </c>
      <c r="C2551" s="62" t="s">
        <v>115</v>
      </c>
      <c r="D2551" s="62" t="s">
        <v>145</v>
      </c>
      <c r="F2551" s="68" t="s">
        <v>10175</v>
      </c>
      <c r="G2551" s="360" t="s">
        <v>10200</v>
      </c>
      <c r="H2551" s="360" t="s">
        <v>10123</v>
      </c>
      <c r="I2551" s="344">
        <v>45767.0</v>
      </c>
      <c r="J2551" s="540">
        <v>45793.0</v>
      </c>
      <c r="K2551" s="46"/>
      <c r="L2551" s="56" t="s">
        <v>15257</v>
      </c>
      <c r="M2551" s="360" t="s">
        <v>10178</v>
      </c>
      <c r="N2551" s="360" t="s">
        <v>10179</v>
      </c>
      <c r="O2551" s="357">
        <v>4.0</v>
      </c>
      <c r="P2551" s="360" t="s">
        <v>10180</v>
      </c>
      <c r="Q2551" s="52" t="str">
        <f t="array" ref="Q2551"> if(iserror(MATCH(V2551, 'File Links'!C:C, 0)), "N/A", HYPERLINK(INDEX('File Links'!B:B, MATCH(P2551, 'File Links'!C:C, 0))))</f>
        <v>https://drive.google.com/file/d/1dD_RkFuxQxk3hkxXbqultnhFhN1opB9Y/view?usp=drivesdk</v>
      </c>
      <c r="R2551" s="360" t="s">
        <v>15108</v>
      </c>
      <c r="S2551" s="360" t="s">
        <v>10182</v>
      </c>
      <c r="T2551" s="509" t="s">
        <v>15239</v>
      </c>
      <c r="U2551" s="295">
        <v>11.0</v>
      </c>
      <c r="V2551" s="360" t="s">
        <v>10183</v>
      </c>
      <c r="W2551" s="295" t="s">
        <v>209</v>
      </c>
      <c r="X2551" s="54" t="str">
        <f t="array" ref="X2551"> if(iserror(MATCH(V2551, 'File Links'!C:C, 0)), "N/A", HYPERLINK(INDEX('File Links'!B:B, MATCH(V2551, 'File Links'!C:C, 0))))</f>
        <v>https://drive.google.com/file/d/1Irbmig3rfLDvz-G09jDAVwJvv1drYEqO/view?usp=drivesdk</v>
      </c>
      <c r="Y2551" s="46"/>
      <c r="Z2551" s="360" t="s">
        <v>2079</v>
      </c>
      <c r="AA2551" s="295" t="s">
        <v>10184</v>
      </c>
      <c r="AB2551" s="360" t="s">
        <v>15247</v>
      </c>
      <c r="AC2551" s="360" t="s">
        <v>15258</v>
      </c>
      <c r="AD2551" s="360" t="s">
        <v>15259</v>
      </c>
      <c r="AE2551" s="357">
        <v>17.0</v>
      </c>
      <c r="AF2551" s="357">
        <v>251.0</v>
      </c>
      <c r="AG2551" s="2162" t="s">
        <v>15260</v>
      </c>
      <c r="AH2551" s="360" t="s">
        <v>173</v>
      </c>
      <c r="AI2551" s="360" t="s">
        <v>305</v>
      </c>
      <c r="AJ2551" s="357">
        <v>0.005</v>
      </c>
      <c r="AK2551" s="360" t="s">
        <v>135</v>
      </c>
      <c r="AL2551" s="360" t="s">
        <v>186</v>
      </c>
      <c r="AM2551" s="360" t="s">
        <v>137</v>
      </c>
      <c r="AN2551" s="469" t="s">
        <v>138</v>
      </c>
      <c r="AO2551" s="2102">
        <v>283.0</v>
      </c>
      <c r="AP2551" s="360" t="s">
        <v>15261</v>
      </c>
      <c r="AQ2551" s="360" t="s">
        <v>134</v>
      </c>
      <c r="AR2551" s="360" t="s">
        <v>15256</v>
      </c>
      <c r="AS2551" s="357">
        <v>0.029</v>
      </c>
      <c r="AT2551" s="360" t="s">
        <v>172</v>
      </c>
      <c r="AU2551" s="360" t="s">
        <v>186</v>
      </c>
      <c r="AV2551" s="360" t="s">
        <v>137</v>
      </c>
      <c r="AW2551" s="356" t="s">
        <v>10190</v>
      </c>
      <c r="AX2551" s="360" t="s">
        <v>143</v>
      </c>
      <c r="AY2551" s="61" t="str">
        <f>IFERROR(__xludf.DUMMYFUNCTION("vlookup(BB2551,importrange(""https://docs.google.com/spreadsheets/d/1d2vevQ_7D_v35q4wCQ4RpQ_IPoTwEMB9Yp6ymwlPqew/edit?gid=984458430#gid=984458430"", ""'replication success'!A:K""), 11, FAlSE)"),"successful")</f>
        <v>successful</v>
      </c>
      <c r="AZ2551" s="61" t="str">
        <f>IFERROR(__xludf.DUMMYFUNCTION("vlookup(BB2551,importrange(""https://docs.google.com/spreadsheets/d/1d2vevQ_7D_v35q4wCQ4RpQ_IPoTwEMB9Yp6ymwlPqew/edit?gid=984458430#gid=984458430"", ""'replication success'!A:M""), 12, FAlSE)"),"[Figure 1]")</f>
        <v>[Figure 1]</v>
      </c>
      <c r="BA2551" s="61" t="str">
        <f>IFERROR(__xludf.DUMMYFUNCTION("vlookup(BB2551,importrange(""https://docs.google.com/spreadsheets/d/1d2vevQ_7D_v35q4wCQ4RpQ_IPoTwEMB9Yp6ymwlPqew/edit?gid=984458430#gid=984458430"", ""'replication success'!A:M""), 13, FAlSE)"),"pg. 2")</f>
        <v>pg. 2</v>
      </c>
      <c r="BB2551" s="61" t="str">
        <f>IFERROR(__xludf.DUMMYFUNCTION("REGEXREPLACE(G2551, ""_[a-z]{1,2}$"", """")"),"OpenMKT11")</f>
        <v>OpenMKT11</v>
      </c>
      <c r="BD2551" s="62" t="s">
        <v>1270</v>
      </c>
    </row>
    <row r="2552">
      <c r="A2552" s="44">
        <v>2552.0</v>
      </c>
      <c r="B2552" s="129" t="s">
        <v>152</v>
      </c>
      <c r="C2552" s="62" t="s">
        <v>115</v>
      </c>
      <c r="D2552" s="62" t="s">
        <v>145</v>
      </c>
      <c r="F2552" s="68" t="s">
        <v>10175</v>
      </c>
      <c r="G2552" s="360" t="s">
        <v>10206</v>
      </c>
      <c r="H2552" s="360" t="s">
        <v>10123</v>
      </c>
      <c r="I2552" s="344">
        <v>45767.0</v>
      </c>
      <c r="J2552" s="540">
        <v>45793.0</v>
      </c>
      <c r="K2552" s="46"/>
      <c r="L2552" s="56" t="s">
        <v>15262</v>
      </c>
      <c r="M2552" s="360" t="s">
        <v>10178</v>
      </c>
      <c r="N2552" s="360" t="s">
        <v>10179</v>
      </c>
      <c r="O2552" s="357">
        <v>4.0</v>
      </c>
      <c r="P2552" s="360" t="s">
        <v>10180</v>
      </c>
      <c r="Q2552" s="52" t="str">
        <f t="array" ref="Q2552"> if(iserror(MATCH(V2552, 'File Links'!C:C, 0)), "N/A", HYPERLINK(INDEX('File Links'!B:B, MATCH(P2552, 'File Links'!C:C, 0))))</f>
        <v>https://drive.google.com/file/d/1dD_RkFuxQxk3hkxXbqultnhFhN1opB9Y/view?usp=drivesdk</v>
      </c>
      <c r="R2552" s="360" t="s">
        <v>15108</v>
      </c>
      <c r="S2552" s="360" t="s">
        <v>10182</v>
      </c>
      <c r="T2552" s="509" t="s">
        <v>15239</v>
      </c>
      <c r="U2552" s="295">
        <v>11.0</v>
      </c>
      <c r="V2552" s="360" t="s">
        <v>10183</v>
      </c>
      <c r="W2552" s="295" t="s">
        <v>209</v>
      </c>
      <c r="X2552" s="54" t="str">
        <f t="array" ref="X2552"> if(iserror(MATCH(V2552, 'File Links'!C:C, 0)), "N/A", HYPERLINK(INDEX('File Links'!B:B, MATCH(V2552, 'File Links'!C:C, 0))))</f>
        <v>https://drive.google.com/file/d/1Irbmig3rfLDvz-G09jDAVwJvv1drYEqO/view?usp=drivesdk</v>
      </c>
      <c r="Y2552" s="46"/>
      <c r="Z2552" s="360" t="s">
        <v>2079</v>
      </c>
      <c r="AA2552" s="295" t="s">
        <v>10184</v>
      </c>
      <c r="AB2552" s="360" t="s">
        <v>15247</v>
      </c>
      <c r="AC2552" s="360" t="s">
        <v>15263</v>
      </c>
      <c r="AD2552" s="360" t="s">
        <v>15264</v>
      </c>
      <c r="AE2552" s="357">
        <v>17.0</v>
      </c>
      <c r="AF2552" s="357">
        <v>251.0</v>
      </c>
      <c r="AG2552" s="357">
        <v>-0.42</v>
      </c>
      <c r="AH2552" s="360" t="s">
        <v>173</v>
      </c>
      <c r="AI2552" s="360" t="s">
        <v>305</v>
      </c>
      <c r="AJ2552" s="357">
        <v>0.05</v>
      </c>
      <c r="AK2552" s="360" t="s">
        <v>135</v>
      </c>
      <c r="AL2552" s="360" t="s">
        <v>186</v>
      </c>
      <c r="AM2552" s="360" t="s">
        <v>137</v>
      </c>
      <c r="AN2552" s="469" t="s">
        <v>138</v>
      </c>
      <c r="AO2552" s="2102">
        <v>283.0</v>
      </c>
      <c r="AP2552" s="360" t="s">
        <v>15265</v>
      </c>
      <c r="AQ2552" s="360" t="s">
        <v>134</v>
      </c>
      <c r="AR2552" s="360" t="s">
        <v>15256</v>
      </c>
      <c r="AS2552" s="357">
        <v>0.134</v>
      </c>
      <c r="AT2552" s="360" t="s">
        <v>172</v>
      </c>
      <c r="AU2552" s="360" t="s">
        <v>186</v>
      </c>
      <c r="AV2552" s="360" t="s">
        <v>137</v>
      </c>
      <c r="AW2552" s="1308" t="s">
        <v>10190</v>
      </c>
      <c r="AX2552" s="360" t="s">
        <v>143</v>
      </c>
      <c r="AY2552" s="61" t="str">
        <f>IFERROR(__xludf.DUMMYFUNCTION("vlookup(BB2552,importrange(""https://docs.google.com/spreadsheets/d/1d2vevQ_7D_v35q4wCQ4RpQ_IPoTwEMB9Yp6ymwlPqew/edit?gid=984458430#gid=984458430"", ""'replication success'!A:K""), 11, FAlSE)"),"successful")</f>
        <v>successful</v>
      </c>
      <c r="AZ2552" s="61" t="str">
        <f>IFERROR(__xludf.DUMMYFUNCTION("vlookup(BB2552,importrange(""https://docs.google.com/spreadsheets/d/1d2vevQ_7D_v35q4wCQ4RpQ_IPoTwEMB9Yp6ymwlPqew/edit?gid=984458430#gid=984458430"", ""'replication success'!A:M""), 12, FAlSE)"),"[Figure 1]")</f>
        <v>[Figure 1]</v>
      </c>
      <c r="BA2552" s="61" t="str">
        <f>IFERROR(__xludf.DUMMYFUNCTION("vlookup(BB2552,importrange(""https://docs.google.com/spreadsheets/d/1d2vevQ_7D_v35q4wCQ4RpQ_IPoTwEMB9Yp6ymwlPqew/edit?gid=984458430#gid=984458430"", ""'replication success'!A:M""), 13, FAlSE)"),"pg. 2")</f>
        <v>pg. 2</v>
      </c>
      <c r="BB2552" s="61" t="str">
        <f>IFERROR(__xludf.DUMMYFUNCTION("REGEXREPLACE(G2552, ""_[a-z]{1,2}$"", """")"),"OpenMKT11")</f>
        <v>OpenMKT11</v>
      </c>
      <c r="BD2552" s="62" t="s">
        <v>1270</v>
      </c>
    </row>
    <row r="2553">
      <c r="A2553" s="44">
        <v>2553.0</v>
      </c>
      <c r="B2553" s="129" t="s">
        <v>152</v>
      </c>
      <c r="C2553" s="62" t="s">
        <v>115</v>
      </c>
      <c r="D2553" s="62" t="s">
        <v>145</v>
      </c>
      <c r="F2553" s="68" t="s">
        <v>10175</v>
      </c>
      <c r="G2553" s="360" t="s">
        <v>10212</v>
      </c>
      <c r="H2553" s="360" t="s">
        <v>10123</v>
      </c>
      <c r="I2553" s="344">
        <v>45767.0</v>
      </c>
      <c r="J2553" s="540">
        <v>45793.0</v>
      </c>
      <c r="K2553" s="46"/>
      <c r="L2553" s="56" t="s">
        <v>15262</v>
      </c>
      <c r="M2553" s="360" t="s">
        <v>10178</v>
      </c>
      <c r="N2553" s="360" t="s">
        <v>10179</v>
      </c>
      <c r="O2553" s="357">
        <v>4.0</v>
      </c>
      <c r="P2553" s="360" t="s">
        <v>10180</v>
      </c>
      <c r="Q2553" s="52" t="str">
        <f t="array" ref="Q2553"> if(iserror(MATCH(V2553, 'File Links'!C:C, 0)), "N/A", HYPERLINK(INDEX('File Links'!B:B, MATCH(P2553, 'File Links'!C:C, 0))))</f>
        <v>https://drive.google.com/file/d/1dD_RkFuxQxk3hkxXbqultnhFhN1opB9Y/view?usp=drivesdk</v>
      </c>
      <c r="R2553" s="360" t="s">
        <v>15108</v>
      </c>
      <c r="S2553" s="360" t="s">
        <v>10182</v>
      </c>
      <c r="T2553" s="509" t="s">
        <v>15239</v>
      </c>
      <c r="U2553" s="295">
        <v>11.0</v>
      </c>
      <c r="V2553" s="360" t="s">
        <v>10183</v>
      </c>
      <c r="W2553" s="295" t="s">
        <v>209</v>
      </c>
      <c r="X2553" s="54" t="str">
        <f t="array" ref="X2553"> if(iserror(MATCH(V2553, 'File Links'!C:C, 0)), "N/A", HYPERLINK(INDEX('File Links'!B:B, MATCH(V2553, 'File Links'!C:C, 0))))</f>
        <v>https://drive.google.com/file/d/1Irbmig3rfLDvz-G09jDAVwJvv1drYEqO/view?usp=drivesdk</v>
      </c>
      <c r="Y2553" s="46"/>
      <c r="Z2553" s="360" t="s">
        <v>2079</v>
      </c>
      <c r="AA2553" s="295" t="s">
        <v>10184</v>
      </c>
      <c r="AB2553" s="360" t="s">
        <v>15247</v>
      </c>
      <c r="AC2553" s="360" t="s">
        <v>15266</v>
      </c>
      <c r="AD2553" s="360" t="s">
        <v>15267</v>
      </c>
      <c r="AE2553" s="357">
        <v>17.0</v>
      </c>
      <c r="AF2553" s="357">
        <v>251.0</v>
      </c>
      <c r="AG2553" s="357">
        <v>0.18</v>
      </c>
      <c r="AH2553" s="360" t="s">
        <v>173</v>
      </c>
      <c r="AI2553" s="360" t="s">
        <v>305</v>
      </c>
      <c r="AJ2553" s="357">
        <v>0.4</v>
      </c>
      <c r="AK2553" s="360" t="s">
        <v>335</v>
      </c>
      <c r="AL2553" s="360" t="s">
        <v>186</v>
      </c>
      <c r="AM2553" s="360" t="s">
        <v>137</v>
      </c>
      <c r="AN2553" s="469" t="s">
        <v>138</v>
      </c>
      <c r="AO2553" s="2102">
        <v>283.0</v>
      </c>
      <c r="AP2553" s="360" t="s">
        <v>15268</v>
      </c>
      <c r="AQ2553" s="360" t="s">
        <v>134</v>
      </c>
      <c r="AR2553" s="360" t="s">
        <v>15256</v>
      </c>
      <c r="AS2553" s="357">
        <v>1.0</v>
      </c>
      <c r="AT2553" s="360" t="s">
        <v>172</v>
      </c>
      <c r="AU2553" s="360" t="s">
        <v>186</v>
      </c>
      <c r="AV2553" s="360" t="s">
        <v>137</v>
      </c>
      <c r="AW2553" s="1308" t="s">
        <v>10190</v>
      </c>
      <c r="AX2553" s="360" t="s">
        <v>143</v>
      </c>
      <c r="AY2553" s="61" t="str">
        <f>IFERROR(__xludf.DUMMYFUNCTION("vlookup(BB2553,importrange(""https://docs.google.com/spreadsheets/d/1d2vevQ_7D_v35q4wCQ4RpQ_IPoTwEMB9Yp6ymwlPqew/edit?gid=984458430#gid=984458430"", ""'replication success'!A:K""), 11, FAlSE)"),"successful")</f>
        <v>successful</v>
      </c>
      <c r="AZ2553" s="61" t="str">
        <f>IFERROR(__xludf.DUMMYFUNCTION("vlookup(BB2553,importrange(""https://docs.google.com/spreadsheets/d/1d2vevQ_7D_v35q4wCQ4RpQ_IPoTwEMB9Yp6ymwlPqew/edit?gid=984458430#gid=984458430"", ""'replication success'!A:M""), 12, FAlSE)"),"[Figure 1]")</f>
        <v>[Figure 1]</v>
      </c>
      <c r="BA2553" s="61" t="str">
        <f>IFERROR(__xludf.DUMMYFUNCTION("vlookup(BB2553,importrange(""https://docs.google.com/spreadsheets/d/1d2vevQ_7D_v35q4wCQ4RpQ_IPoTwEMB9Yp6ymwlPqew/edit?gid=984458430#gid=984458430"", ""'replication success'!A:M""), 13, FAlSE)"),"pg. 2")</f>
        <v>pg. 2</v>
      </c>
      <c r="BB2553" s="61" t="str">
        <f>IFERROR(__xludf.DUMMYFUNCTION("REGEXREPLACE(G2553, ""_[a-z]{1,2}$"", """")"),"OpenMKT11")</f>
        <v>OpenMKT11</v>
      </c>
      <c r="BD2553" s="62" t="s">
        <v>1270</v>
      </c>
    </row>
    <row r="2554">
      <c r="A2554" s="44">
        <v>2554.0</v>
      </c>
      <c r="B2554" s="129" t="s">
        <v>152</v>
      </c>
      <c r="C2554" s="62" t="s">
        <v>115</v>
      </c>
      <c r="D2554" s="62" t="s">
        <v>145</v>
      </c>
      <c r="F2554" s="68" t="s">
        <v>10175</v>
      </c>
      <c r="G2554" s="360" t="s">
        <v>10218</v>
      </c>
      <c r="H2554" s="360" t="s">
        <v>10123</v>
      </c>
      <c r="I2554" s="344">
        <v>45767.0</v>
      </c>
      <c r="J2554" s="540">
        <v>45793.0</v>
      </c>
      <c r="K2554" s="46"/>
      <c r="L2554" s="56" t="s">
        <v>15262</v>
      </c>
      <c r="M2554" s="360" t="s">
        <v>10178</v>
      </c>
      <c r="N2554" s="360" t="s">
        <v>10179</v>
      </c>
      <c r="O2554" s="357">
        <v>4.0</v>
      </c>
      <c r="P2554" s="360" t="s">
        <v>10180</v>
      </c>
      <c r="Q2554" s="52" t="str">
        <f t="array" ref="Q2554"> if(iserror(MATCH(V2554, 'File Links'!C:C, 0)), "N/A", HYPERLINK(INDEX('File Links'!B:B, MATCH(P2554, 'File Links'!C:C, 0))))</f>
        <v>https://drive.google.com/file/d/1dD_RkFuxQxk3hkxXbqultnhFhN1opB9Y/view?usp=drivesdk</v>
      </c>
      <c r="R2554" s="360" t="s">
        <v>15108</v>
      </c>
      <c r="S2554" s="360" t="s">
        <v>10182</v>
      </c>
      <c r="T2554" s="509" t="s">
        <v>15239</v>
      </c>
      <c r="U2554" s="295">
        <v>11.0</v>
      </c>
      <c r="V2554" s="360" t="s">
        <v>10183</v>
      </c>
      <c r="W2554" s="295" t="s">
        <v>209</v>
      </c>
      <c r="X2554" s="54" t="str">
        <f t="array" ref="X2554"> if(iserror(MATCH(V2554, 'File Links'!C:C, 0)), "N/A", HYPERLINK(INDEX('File Links'!B:B, MATCH(V2554, 'File Links'!C:C, 0))))</f>
        <v>https://drive.google.com/file/d/1Irbmig3rfLDvz-G09jDAVwJvv1drYEqO/view?usp=drivesdk</v>
      </c>
      <c r="Y2554" s="46"/>
      <c r="Z2554" s="360" t="s">
        <v>2079</v>
      </c>
      <c r="AA2554" s="295" t="s">
        <v>10184</v>
      </c>
      <c r="AB2554" s="360" t="s">
        <v>15247</v>
      </c>
      <c r="AC2554" s="360" t="s">
        <v>15269</v>
      </c>
      <c r="AD2554" s="360" t="s">
        <v>15270</v>
      </c>
      <c r="AE2554" s="360" t="s">
        <v>15250</v>
      </c>
      <c r="AF2554" s="357">
        <v>251.0</v>
      </c>
      <c r="AG2554" s="357">
        <v>0.14</v>
      </c>
      <c r="AH2554" s="360" t="s">
        <v>173</v>
      </c>
      <c r="AI2554" s="360" t="s">
        <v>305</v>
      </c>
      <c r="AJ2554" s="357">
        <v>0.55</v>
      </c>
      <c r="AK2554" s="360" t="s">
        <v>335</v>
      </c>
      <c r="AL2554" s="360" t="s">
        <v>186</v>
      </c>
      <c r="AM2554" s="360" t="s">
        <v>137</v>
      </c>
      <c r="AN2554" s="469" t="s">
        <v>138</v>
      </c>
      <c r="AO2554" s="2102">
        <v>319.0</v>
      </c>
      <c r="AP2554" s="360" t="s">
        <v>15271</v>
      </c>
      <c r="AQ2554" s="360" t="s">
        <v>134</v>
      </c>
      <c r="AR2554" s="360" t="s">
        <v>15256</v>
      </c>
      <c r="AS2554" s="357">
        <v>0.387</v>
      </c>
      <c r="AT2554" s="360" t="s">
        <v>172</v>
      </c>
      <c r="AU2554" s="360" t="s">
        <v>186</v>
      </c>
      <c r="AV2554" s="360" t="s">
        <v>137</v>
      </c>
      <c r="AW2554" s="1308" t="s">
        <v>10190</v>
      </c>
      <c r="AX2554" s="360" t="s">
        <v>143</v>
      </c>
      <c r="AY2554" s="61" t="str">
        <f>IFERROR(__xludf.DUMMYFUNCTION("vlookup(BB2554,importrange(""https://docs.google.com/spreadsheets/d/1d2vevQ_7D_v35q4wCQ4RpQ_IPoTwEMB9Yp6ymwlPqew/edit?gid=984458430#gid=984458430"", ""'replication success'!A:K""), 11, FAlSE)"),"successful")</f>
        <v>successful</v>
      </c>
      <c r="AZ2554" s="61" t="str">
        <f>IFERROR(__xludf.DUMMYFUNCTION("vlookup(BB2554,importrange(""https://docs.google.com/spreadsheets/d/1d2vevQ_7D_v35q4wCQ4RpQ_IPoTwEMB9Yp6ymwlPqew/edit?gid=984458430#gid=984458430"", ""'replication success'!A:M""), 12, FAlSE)"),"[Figure 1]")</f>
        <v>[Figure 1]</v>
      </c>
      <c r="BA2554" s="61" t="str">
        <f>IFERROR(__xludf.DUMMYFUNCTION("vlookup(BB2554,importrange(""https://docs.google.com/spreadsheets/d/1d2vevQ_7D_v35q4wCQ4RpQ_IPoTwEMB9Yp6ymwlPqew/edit?gid=984458430#gid=984458430"", ""'replication success'!A:M""), 13, FAlSE)"),"pg. 2")</f>
        <v>pg. 2</v>
      </c>
      <c r="BB2554" s="61" t="str">
        <f>IFERROR(__xludf.DUMMYFUNCTION("REGEXREPLACE(G2554, ""_[a-z]{1,2}$"", """")"),"OpenMKT11")</f>
        <v>OpenMKT11</v>
      </c>
      <c r="BD2554" s="62" t="s">
        <v>1270</v>
      </c>
    </row>
    <row r="2555">
      <c r="A2555" s="44">
        <v>2555.0</v>
      </c>
      <c r="B2555" s="129" t="s">
        <v>152</v>
      </c>
      <c r="C2555" s="62" t="s">
        <v>115</v>
      </c>
      <c r="D2555" s="62" t="s">
        <v>145</v>
      </c>
      <c r="F2555" s="68" t="s">
        <v>10175</v>
      </c>
      <c r="G2555" s="360" t="s">
        <v>10222</v>
      </c>
      <c r="H2555" s="360" t="s">
        <v>10123</v>
      </c>
      <c r="I2555" s="344">
        <v>45767.0</v>
      </c>
      <c r="J2555" s="540">
        <v>45793.0</v>
      </c>
      <c r="K2555" s="46"/>
      <c r="L2555" s="56" t="s">
        <v>15272</v>
      </c>
      <c r="M2555" s="360" t="s">
        <v>10178</v>
      </c>
      <c r="N2555" s="360" t="s">
        <v>10179</v>
      </c>
      <c r="O2555" s="357">
        <v>4.0</v>
      </c>
      <c r="P2555" s="360" t="s">
        <v>10180</v>
      </c>
      <c r="Q2555" s="52" t="str">
        <f t="array" ref="Q2555"> if(iserror(MATCH(V2555, 'File Links'!C:C, 0)), "N/A", HYPERLINK(INDEX('File Links'!B:B, MATCH(P2555, 'File Links'!C:C, 0))))</f>
        <v>https://drive.google.com/file/d/1dD_RkFuxQxk3hkxXbqultnhFhN1opB9Y/view?usp=drivesdk</v>
      </c>
      <c r="R2555" s="360" t="s">
        <v>15108</v>
      </c>
      <c r="S2555" s="360" t="s">
        <v>10182</v>
      </c>
      <c r="T2555" s="509" t="s">
        <v>15239</v>
      </c>
      <c r="U2555" s="295">
        <v>11.0</v>
      </c>
      <c r="V2555" s="360" t="s">
        <v>10183</v>
      </c>
      <c r="W2555" s="295" t="s">
        <v>209</v>
      </c>
      <c r="X2555" s="54" t="str">
        <f t="array" ref="X2555"> if(iserror(MATCH(V2555, 'File Links'!C:C, 0)), "N/A", HYPERLINK(INDEX('File Links'!B:B, MATCH(V2555, 'File Links'!C:C, 0))))</f>
        <v>https://drive.google.com/file/d/1Irbmig3rfLDvz-G09jDAVwJvv1drYEqO/view?usp=drivesdk</v>
      </c>
      <c r="Y2555" s="46"/>
      <c r="Z2555" s="360" t="s">
        <v>2079</v>
      </c>
      <c r="AA2555" s="295" t="s">
        <v>10184</v>
      </c>
      <c r="AB2555" s="360" t="s">
        <v>15247</v>
      </c>
      <c r="AC2555" s="360" t="s">
        <v>15273</v>
      </c>
      <c r="AD2555" s="343" t="s">
        <v>15274</v>
      </c>
      <c r="AE2555" s="360" t="s">
        <v>15250</v>
      </c>
      <c r="AF2555" s="357">
        <v>251.0</v>
      </c>
      <c r="AG2555" s="385">
        <v>0.6</v>
      </c>
      <c r="AH2555" s="360" t="s">
        <v>173</v>
      </c>
      <c r="AI2555" s="360" t="s">
        <v>305</v>
      </c>
      <c r="AJ2555" s="385">
        <v>0.05</v>
      </c>
      <c r="AK2555" s="360" t="s">
        <v>2249</v>
      </c>
      <c r="AL2555" s="360" t="s">
        <v>186</v>
      </c>
      <c r="AM2555" s="360" t="s">
        <v>137</v>
      </c>
      <c r="AN2555" s="469" t="s">
        <v>138</v>
      </c>
      <c r="AO2555" s="2102">
        <v>319.0</v>
      </c>
      <c r="AP2555" s="360" t="s">
        <v>15275</v>
      </c>
      <c r="AQ2555" s="360" t="s">
        <v>134</v>
      </c>
      <c r="AR2555" s="360" t="s">
        <v>15256</v>
      </c>
      <c r="AS2555" s="357">
        <v>0.428</v>
      </c>
      <c r="AT2555" s="360" t="s">
        <v>172</v>
      </c>
      <c r="AU2555" s="360" t="s">
        <v>186</v>
      </c>
      <c r="AV2555" s="360" t="s">
        <v>137</v>
      </c>
      <c r="AW2555" s="1308" t="s">
        <v>10190</v>
      </c>
      <c r="AX2555" s="360" t="s">
        <v>143</v>
      </c>
      <c r="AY2555" s="61" t="str">
        <f>IFERROR(__xludf.DUMMYFUNCTION("vlookup(BB2555,importrange(""https://docs.google.com/spreadsheets/d/1d2vevQ_7D_v35q4wCQ4RpQ_IPoTwEMB9Yp6ymwlPqew/edit?gid=984458430#gid=984458430"", ""'replication success'!A:K""), 11, FAlSE)"),"successful")</f>
        <v>successful</v>
      </c>
      <c r="AZ2555" s="61" t="str">
        <f>IFERROR(__xludf.DUMMYFUNCTION("vlookup(BB2555,importrange(""https://docs.google.com/spreadsheets/d/1d2vevQ_7D_v35q4wCQ4RpQ_IPoTwEMB9Yp6ymwlPqew/edit?gid=984458430#gid=984458430"", ""'replication success'!A:M""), 12, FAlSE)"),"[Figure 1]")</f>
        <v>[Figure 1]</v>
      </c>
      <c r="BA2555" s="61" t="str">
        <f>IFERROR(__xludf.DUMMYFUNCTION("vlookup(BB2555,importrange(""https://docs.google.com/spreadsheets/d/1d2vevQ_7D_v35q4wCQ4RpQ_IPoTwEMB9Yp6ymwlPqew/edit?gid=984458430#gid=984458430"", ""'replication success'!A:M""), 13, FAlSE)"),"pg. 2")</f>
        <v>pg. 2</v>
      </c>
      <c r="BB2555" s="61" t="str">
        <f>IFERROR(__xludf.DUMMYFUNCTION("REGEXREPLACE(G2555, ""_[a-z]{1,2}$"", """")"),"OpenMKT11")</f>
        <v>OpenMKT11</v>
      </c>
      <c r="BD2555" s="62" t="s">
        <v>1270</v>
      </c>
    </row>
    <row r="2556">
      <c r="A2556" s="44">
        <v>2556.0</v>
      </c>
      <c r="B2556" s="129" t="s">
        <v>152</v>
      </c>
      <c r="C2556" s="62" t="s">
        <v>115</v>
      </c>
      <c r="D2556" s="62" t="s">
        <v>145</v>
      </c>
      <c r="F2556" s="68" t="s">
        <v>10175</v>
      </c>
      <c r="G2556" s="360" t="s">
        <v>10227</v>
      </c>
      <c r="H2556" s="360" t="s">
        <v>10123</v>
      </c>
      <c r="I2556" s="344">
        <v>45767.0</v>
      </c>
      <c r="J2556" s="540">
        <v>45793.0</v>
      </c>
      <c r="K2556" s="46"/>
      <c r="L2556" s="56" t="s">
        <v>15272</v>
      </c>
      <c r="M2556" s="360" t="s">
        <v>10178</v>
      </c>
      <c r="N2556" s="360" t="s">
        <v>10179</v>
      </c>
      <c r="O2556" s="357">
        <v>4.0</v>
      </c>
      <c r="P2556" s="360" t="s">
        <v>10180</v>
      </c>
      <c r="Q2556" s="52" t="str">
        <f t="array" ref="Q2556"> if(iserror(MATCH(V2556, 'File Links'!C:C, 0)), "N/A", HYPERLINK(INDEX('File Links'!B:B, MATCH(P2556, 'File Links'!C:C, 0))))</f>
        <v>https://drive.google.com/file/d/1dD_RkFuxQxk3hkxXbqultnhFhN1opB9Y/view?usp=drivesdk</v>
      </c>
      <c r="R2556" s="360" t="s">
        <v>15108</v>
      </c>
      <c r="S2556" s="360" t="s">
        <v>10182</v>
      </c>
      <c r="T2556" s="509" t="s">
        <v>15239</v>
      </c>
      <c r="U2556" s="295">
        <v>11.0</v>
      </c>
      <c r="V2556" s="360" t="s">
        <v>10183</v>
      </c>
      <c r="W2556" s="295" t="s">
        <v>209</v>
      </c>
      <c r="X2556" s="54" t="str">
        <f t="array" ref="X2556"> if(iserror(MATCH(V2556, 'File Links'!C:C, 0)), "N/A", HYPERLINK(INDEX('File Links'!B:B, MATCH(V2556, 'File Links'!C:C, 0))))</f>
        <v>https://drive.google.com/file/d/1Irbmig3rfLDvz-G09jDAVwJvv1drYEqO/view?usp=drivesdk</v>
      </c>
      <c r="Y2556" s="46"/>
      <c r="Z2556" s="360" t="s">
        <v>2079</v>
      </c>
      <c r="AA2556" s="295" t="s">
        <v>10184</v>
      </c>
      <c r="AB2556" s="360" t="s">
        <v>15247</v>
      </c>
      <c r="AC2556" s="360" t="s">
        <v>15276</v>
      </c>
      <c r="AD2556" s="343" t="s">
        <v>15277</v>
      </c>
      <c r="AE2556" s="360" t="s">
        <v>15250</v>
      </c>
      <c r="AF2556" s="357">
        <v>251.0</v>
      </c>
      <c r="AG2556" s="357">
        <v>0.43</v>
      </c>
      <c r="AH2556" s="360" t="s">
        <v>173</v>
      </c>
      <c r="AI2556" s="360" t="s">
        <v>305</v>
      </c>
      <c r="AJ2556" s="385">
        <v>0.05</v>
      </c>
      <c r="AK2556" s="360" t="s">
        <v>2249</v>
      </c>
      <c r="AL2556" s="360" t="s">
        <v>186</v>
      </c>
      <c r="AM2556" s="360" t="s">
        <v>137</v>
      </c>
      <c r="AN2556" s="469" t="s">
        <v>138</v>
      </c>
      <c r="AO2556" s="2102">
        <v>319.0</v>
      </c>
      <c r="AP2556" s="360" t="s">
        <v>15278</v>
      </c>
      <c r="AQ2556" s="360" t="s">
        <v>134</v>
      </c>
      <c r="AR2556" s="360" t="s">
        <v>15256</v>
      </c>
      <c r="AS2556" s="357">
        <v>1.0</v>
      </c>
      <c r="AT2556" s="360" t="s">
        <v>172</v>
      </c>
      <c r="AU2556" s="360" t="s">
        <v>186</v>
      </c>
      <c r="AV2556" s="360" t="s">
        <v>137</v>
      </c>
      <c r="AW2556" s="1308" t="s">
        <v>10190</v>
      </c>
      <c r="AX2556" s="360" t="s">
        <v>143</v>
      </c>
      <c r="AY2556" s="61" t="str">
        <f>IFERROR(__xludf.DUMMYFUNCTION("vlookup(BB2556,importrange(""https://docs.google.com/spreadsheets/d/1d2vevQ_7D_v35q4wCQ4RpQ_IPoTwEMB9Yp6ymwlPqew/edit?gid=984458430#gid=984458430"", ""'replication success'!A:K""), 11, FAlSE)"),"successful")</f>
        <v>successful</v>
      </c>
      <c r="AZ2556" s="61" t="str">
        <f>IFERROR(__xludf.DUMMYFUNCTION("vlookup(BB2556,importrange(""https://docs.google.com/spreadsheets/d/1d2vevQ_7D_v35q4wCQ4RpQ_IPoTwEMB9Yp6ymwlPqew/edit?gid=984458430#gid=984458430"", ""'replication success'!A:M""), 12, FAlSE)"),"[Figure 1]")</f>
        <v>[Figure 1]</v>
      </c>
      <c r="BA2556" s="61" t="str">
        <f>IFERROR(__xludf.DUMMYFUNCTION("vlookup(BB2556,importrange(""https://docs.google.com/spreadsheets/d/1d2vevQ_7D_v35q4wCQ4RpQ_IPoTwEMB9Yp6ymwlPqew/edit?gid=984458430#gid=984458430"", ""'replication success'!A:M""), 13, FAlSE)"),"pg. 2")</f>
        <v>pg. 2</v>
      </c>
      <c r="BB2556" s="61" t="str">
        <f>IFERROR(__xludf.DUMMYFUNCTION("REGEXREPLACE(G2556, ""_[a-z]{1,2}$"", """")"),"OpenMKT11")</f>
        <v>OpenMKT11</v>
      </c>
      <c r="BD2556" s="62" t="s">
        <v>1270</v>
      </c>
    </row>
    <row r="2557">
      <c r="A2557" s="44">
        <v>2557.0</v>
      </c>
      <c r="B2557" s="129" t="s">
        <v>152</v>
      </c>
      <c r="C2557" s="62" t="s">
        <v>115</v>
      </c>
      <c r="D2557" s="62" t="s">
        <v>145</v>
      </c>
      <c r="F2557" s="68" t="s">
        <v>10175</v>
      </c>
      <c r="G2557" s="360" t="s">
        <v>15279</v>
      </c>
      <c r="H2557" s="360" t="s">
        <v>10123</v>
      </c>
      <c r="I2557" s="344">
        <v>45767.0</v>
      </c>
      <c r="J2557" s="540">
        <v>45793.0</v>
      </c>
      <c r="K2557" s="46"/>
      <c r="L2557" s="56" t="s">
        <v>15262</v>
      </c>
      <c r="M2557" s="360" t="s">
        <v>10178</v>
      </c>
      <c r="N2557" s="360" t="s">
        <v>10179</v>
      </c>
      <c r="O2557" s="357">
        <v>4.0</v>
      </c>
      <c r="P2557" s="360" t="s">
        <v>10180</v>
      </c>
      <c r="Q2557" s="52" t="str">
        <f t="array" ref="Q2557"> if(iserror(MATCH(V2557, 'File Links'!C:C, 0)), "N/A", HYPERLINK(INDEX('File Links'!B:B, MATCH(P2557, 'File Links'!C:C, 0))))</f>
        <v>https://drive.google.com/file/d/1dD_RkFuxQxk3hkxXbqultnhFhN1opB9Y/view?usp=drivesdk</v>
      </c>
      <c r="R2557" s="360" t="s">
        <v>15108</v>
      </c>
      <c r="S2557" s="360" t="s">
        <v>10182</v>
      </c>
      <c r="T2557" s="509" t="s">
        <v>15239</v>
      </c>
      <c r="U2557" s="295">
        <v>11.0</v>
      </c>
      <c r="V2557" s="360" t="s">
        <v>10183</v>
      </c>
      <c r="W2557" s="295" t="s">
        <v>209</v>
      </c>
      <c r="X2557" s="54" t="str">
        <f t="array" ref="X2557"> if(iserror(MATCH(V2557, 'File Links'!C:C, 0)), "N/A", HYPERLINK(INDEX('File Links'!B:B, MATCH(V2557, 'File Links'!C:C, 0))))</f>
        <v>https://drive.google.com/file/d/1Irbmig3rfLDvz-G09jDAVwJvv1drYEqO/view?usp=drivesdk</v>
      </c>
      <c r="Y2557" s="46"/>
      <c r="Z2557" s="360" t="s">
        <v>2079</v>
      </c>
      <c r="AA2557" s="295" t="s">
        <v>10184</v>
      </c>
      <c r="AB2557" s="360" t="s">
        <v>15247</v>
      </c>
      <c r="AC2557" s="360" t="s">
        <v>15280</v>
      </c>
      <c r="AD2557" s="360" t="s">
        <v>15281</v>
      </c>
      <c r="AE2557" s="360" t="s">
        <v>15250</v>
      </c>
      <c r="AF2557" s="357">
        <v>251.0</v>
      </c>
      <c r="AG2557" s="357">
        <v>-0.25</v>
      </c>
      <c r="AH2557" s="360" t="s">
        <v>173</v>
      </c>
      <c r="AI2557" s="360" t="s">
        <v>305</v>
      </c>
      <c r="AJ2557" s="357">
        <v>0.25</v>
      </c>
      <c r="AK2557" s="360" t="s">
        <v>335</v>
      </c>
      <c r="AL2557" s="360" t="s">
        <v>186</v>
      </c>
      <c r="AM2557" s="360" t="s">
        <v>137</v>
      </c>
      <c r="AN2557" s="469" t="s">
        <v>138</v>
      </c>
      <c r="AO2557" s="2102">
        <v>203.0</v>
      </c>
      <c r="AP2557" s="360" t="s">
        <v>15282</v>
      </c>
      <c r="AQ2557" s="360" t="s">
        <v>134</v>
      </c>
      <c r="AR2557" s="360" t="s">
        <v>15256</v>
      </c>
      <c r="AS2557" s="357">
        <v>0.713</v>
      </c>
      <c r="AT2557" s="360" t="s">
        <v>172</v>
      </c>
      <c r="AU2557" s="360" t="s">
        <v>186</v>
      </c>
      <c r="AV2557" s="360" t="s">
        <v>137</v>
      </c>
      <c r="AW2557" s="1308" t="s">
        <v>10190</v>
      </c>
      <c r="AX2557" s="360" t="s">
        <v>143</v>
      </c>
      <c r="AY2557" s="61" t="str">
        <f>IFERROR(__xludf.DUMMYFUNCTION("vlookup(BB2557,importrange(""https://docs.google.com/spreadsheets/d/1d2vevQ_7D_v35q4wCQ4RpQ_IPoTwEMB9Yp6ymwlPqew/edit?gid=984458430#gid=984458430"", ""'replication success'!A:K""), 11, FAlSE)"),"successful")</f>
        <v>successful</v>
      </c>
      <c r="AZ2557" s="61" t="str">
        <f>IFERROR(__xludf.DUMMYFUNCTION("vlookup(BB2557,importrange(""https://docs.google.com/spreadsheets/d/1d2vevQ_7D_v35q4wCQ4RpQ_IPoTwEMB9Yp6ymwlPqew/edit?gid=984458430#gid=984458430"", ""'replication success'!A:M""), 12, FAlSE)"),"[Figure 1]")</f>
        <v>[Figure 1]</v>
      </c>
      <c r="BA2557" s="61" t="str">
        <f>IFERROR(__xludf.DUMMYFUNCTION("vlookup(BB2557,importrange(""https://docs.google.com/spreadsheets/d/1d2vevQ_7D_v35q4wCQ4RpQ_IPoTwEMB9Yp6ymwlPqew/edit?gid=984458430#gid=984458430"", ""'replication success'!A:M""), 13, FAlSE)"),"pg. 2")</f>
        <v>pg. 2</v>
      </c>
      <c r="BB2557" s="61" t="str">
        <f>IFERROR(__xludf.DUMMYFUNCTION("REGEXREPLACE(G2557, ""_[a-z]{1,2}$"", """")"),"OpenMKT11")</f>
        <v>OpenMKT11</v>
      </c>
      <c r="BD2557" s="62" t="s">
        <v>1270</v>
      </c>
    </row>
    <row r="2558">
      <c r="A2558" s="44">
        <v>2558.0</v>
      </c>
      <c r="B2558" s="129" t="s">
        <v>152</v>
      </c>
      <c r="C2558" s="62" t="s">
        <v>115</v>
      </c>
      <c r="D2558" s="62" t="s">
        <v>145</v>
      </c>
      <c r="F2558" s="68" t="s">
        <v>10175</v>
      </c>
      <c r="G2558" s="360" t="s">
        <v>15283</v>
      </c>
      <c r="H2558" s="360" t="s">
        <v>10123</v>
      </c>
      <c r="I2558" s="344">
        <v>45767.0</v>
      </c>
      <c r="J2558" s="540">
        <v>45793.0</v>
      </c>
      <c r="K2558" s="46"/>
      <c r="L2558" s="56" t="s">
        <v>15262</v>
      </c>
      <c r="M2558" s="360" t="s">
        <v>10178</v>
      </c>
      <c r="N2558" s="360" t="s">
        <v>10179</v>
      </c>
      <c r="O2558" s="357">
        <v>4.0</v>
      </c>
      <c r="P2558" s="360" t="s">
        <v>10180</v>
      </c>
      <c r="Q2558" s="52" t="str">
        <f t="array" ref="Q2558"> if(iserror(MATCH(V2558, 'File Links'!C:C, 0)), "N/A", HYPERLINK(INDEX('File Links'!B:B, MATCH(P2558, 'File Links'!C:C, 0))))</f>
        <v>https://drive.google.com/file/d/1dD_RkFuxQxk3hkxXbqultnhFhN1opB9Y/view?usp=drivesdk</v>
      </c>
      <c r="R2558" s="360" t="s">
        <v>15108</v>
      </c>
      <c r="S2558" s="360" t="s">
        <v>10182</v>
      </c>
      <c r="T2558" s="509" t="s">
        <v>15239</v>
      </c>
      <c r="U2558" s="295">
        <v>11.0</v>
      </c>
      <c r="V2558" s="360" t="s">
        <v>10183</v>
      </c>
      <c r="W2558" s="295" t="s">
        <v>209</v>
      </c>
      <c r="X2558" s="54" t="str">
        <f t="array" ref="X2558"> if(iserror(MATCH(V2558, 'File Links'!C:C, 0)), "N/A", HYPERLINK(INDEX('File Links'!B:B, MATCH(V2558, 'File Links'!C:C, 0))))</f>
        <v>https://drive.google.com/file/d/1Irbmig3rfLDvz-G09jDAVwJvv1drYEqO/view?usp=drivesdk</v>
      </c>
      <c r="Y2558" s="46"/>
      <c r="Z2558" s="360" t="s">
        <v>2079</v>
      </c>
      <c r="AA2558" s="295" t="s">
        <v>10184</v>
      </c>
      <c r="AB2558" s="360" t="s">
        <v>15247</v>
      </c>
      <c r="AC2558" s="360" t="s">
        <v>15284</v>
      </c>
      <c r="AD2558" s="360" t="s">
        <v>15285</v>
      </c>
      <c r="AE2558" s="360" t="s">
        <v>15250</v>
      </c>
      <c r="AF2558" s="357">
        <v>251.0</v>
      </c>
      <c r="AG2558" s="357">
        <v>-0.6</v>
      </c>
      <c r="AH2558" s="360" t="s">
        <v>173</v>
      </c>
      <c r="AI2558" s="360" t="s">
        <v>305</v>
      </c>
      <c r="AJ2558" s="357">
        <v>0.001</v>
      </c>
      <c r="AK2558" s="360" t="s">
        <v>135</v>
      </c>
      <c r="AL2558" s="360" t="s">
        <v>186</v>
      </c>
      <c r="AM2558" s="360" t="s">
        <v>137</v>
      </c>
      <c r="AN2558" s="469" t="s">
        <v>138</v>
      </c>
      <c r="AO2558" s="2102">
        <v>200.0</v>
      </c>
      <c r="AP2558" s="360" t="s">
        <v>15286</v>
      </c>
      <c r="AQ2558" s="360" t="s">
        <v>134</v>
      </c>
      <c r="AR2558" s="360" t="s">
        <v>15256</v>
      </c>
      <c r="AS2558" s="357">
        <v>0.097</v>
      </c>
      <c r="AT2558" s="360" t="s">
        <v>172</v>
      </c>
      <c r="AU2558" s="360" t="s">
        <v>186</v>
      </c>
      <c r="AV2558" s="360" t="s">
        <v>137</v>
      </c>
      <c r="AW2558" s="1308" t="s">
        <v>10190</v>
      </c>
      <c r="AX2558" s="360" t="s">
        <v>143</v>
      </c>
      <c r="AY2558" s="61" t="str">
        <f>IFERROR(__xludf.DUMMYFUNCTION("vlookup(BB2558,importrange(""https://docs.google.com/spreadsheets/d/1d2vevQ_7D_v35q4wCQ4RpQ_IPoTwEMB9Yp6ymwlPqew/edit?gid=984458430#gid=984458430"", ""'replication success'!A:K""), 11, FAlSE)"),"successful")</f>
        <v>successful</v>
      </c>
      <c r="AZ2558" s="61" t="str">
        <f>IFERROR(__xludf.DUMMYFUNCTION("vlookup(BB2558,importrange(""https://docs.google.com/spreadsheets/d/1d2vevQ_7D_v35q4wCQ4RpQ_IPoTwEMB9Yp6ymwlPqew/edit?gid=984458430#gid=984458430"", ""'replication success'!A:M""), 12, FAlSE)"),"[Figure 1]")</f>
        <v>[Figure 1]</v>
      </c>
      <c r="BA2558" s="61" t="str">
        <f>IFERROR(__xludf.DUMMYFUNCTION("vlookup(BB2558,importrange(""https://docs.google.com/spreadsheets/d/1d2vevQ_7D_v35q4wCQ4RpQ_IPoTwEMB9Yp6ymwlPqew/edit?gid=984458430#gid=984458430"", ""'replication success'!A:M""), 13, FAlSE)"),"pg. 2")</f>
        <v>pg. 2</v>
      </c>
      <c r="BB2558" s="61" t="str">
        <f>IFERROR(__xludf.DUMMYFUNCTION("REGEXREPLACE(G2558, ""_[a-z]{1,2}$"", """")"),"OpenMKT11")</f>
        <v>OpenMKT11</v>
      </c>
      <c r="BD2558" s="62" t="s">
        <v>1270</v>
      </c>
    </row>
    <row r="2559">
      <c r="A2559" s="44">
        <v>2559.0</v>
      </c>
      <c r="B2559" s="129" t="s">
        <v>152</v>
      </c>
      <c r="C2559" s="62" t="s">
        <v>115</v>
      </c>
      <c r="D2559" s="62" t="s">
        <v>145</v>
      </c>
      <c r="F2559" s="68" t="s">
        <v>10175</v>
      </c>
      <c r="G2559" s="360" t="s">
        <v>15287</v>
      </c>
      <c r="H2559" s="360" t="s">
        <v>10123</v>
      </c>
      <c r="I2559" s="344">
        <v>45767.0</v>
      </c>
      <c r="J2559" s="540">
        <v>45793.0</v>
      </c>
      <c r="K2559" s="46"/>
      <c r="L2559" s="56" t="s">
        <v>15262</v>
      </c>
      <c r="M2559" s="360" t="s">
        <v>10178</v>
      </c>
      <c r="N2559" s="360" t="s">
        <v>10179</v>
      </c>
      <c r="O2559" s="357">
        <v>4.0</v>
      </c>
      <c r="P2559" s="360" t="s">
        <v>10180</v>
      </c>
      <c r="Q2559" s="52" t="str">
        <f t="array" ref="Q2559"> if(iserror(MATCH(V2559, 'File Links'!C:C, 0)), "N/A", HYPERLINK(INDEX('File Links'!B:B, MATCH(P2559, 'File Links'!C:C, 0))))</f>
        <v>https://drive.google.com/file/d/1dD_RkFuxQxk3hkxXbqultnhFhN1opB9Y/view?usp=drivesdk</v>
      </c>
      <c r="R2559" s="360" t="s">
        <v>15108</v>
      </c>
      <c r="S2559" s="360" t="s">
        <v>10182</v>
      </c>
      <c r="T2559" s="509" t="s">
        <v>15239</v>
      </c>
      <c r="U2559" s="295">
        <v>11.0</v>
      </c>
      <c r="V2559" s="360" t="s">
        <v>10183</v>
      </c>
      <c r="W2559" s="295" t="s">
        <v>209</v>
      </c>
      <c r="X2559" s="54" t="str">
        <f t="array" ref="X2559"> if(iserror(MATCH(V2559, 'File Links'!C:C, 0)), "N/A", HYPERLINK(INDEX('File Links'!B:B, MATCH(V2559, 'File Links'!C:C, 0))))</f>
        <v>https://drive.google.com/file/d/1Irbmig3rfLDvz-G09jDAVwJvv1drYEqO/view?usp=drivesdk</v>
      </c>
      <c r="Y2559" s="46"/>
      <c r="Z2559" s="360" t="s">
        <v>2079</v>
      </c>
      <c r="AA2559" s="295" t="s">
        <v>10184</v>
      </c>
      <c r="AB2559" s="360" t="s">
        <v>15247</v>
      </c>
      <c r="AC2559" s="360" t="s">
        <v>15288</v>
      </c>
      <c r="AD2559" s="360" t="s">
        <v>15289</v>
      </c>
      <c r="AE2559" s="360" t="s">
        <v>15250</v>
      </c>
      <c r="AF2559" s="357">
        <v>251.0</v>
      </c>
      <c r="AG2559" s="360" t="s">
        <v>1535</v>
      </c>
      <c r="AH2559" s="360" t="s">
        <v>134</v>
      </c>
      <c r="AI2559" s="360" t="s">
        <v>305</v>
      </c>
      <c r="AJ2559" s="360" t="s">
        <v>2382</v>
      </c>
      <c r="AK2559" s="360" t="s">
        <v>1535</v>
      </c>
      <c r="AL2559" s="360" t="s">
        <v>186</v>
      </c>
      <c r="AM2559" s="360" t="s">
        <v>137</v>
      </c>
      <c r="AN2559" s="469" t="s">
        <v>138</v>
      </c>
      <c r="AO2559" s="2102">
        <v>201.0</v>
      </c>
      <c r="AP2559" s="360" t="s">
        <v>15290</v>
      </c>
      <c r="AQ2559" s="360" t="s">
        <v>134</v>
      </c>
      <c r="AR2559" s="360" t="s">
        <v>15256</v>
      </c>
      <c r="AS2559" s="357">
        <v>0.595</v>
      </c>
      <c r="AT2559" s="360" t="s">
        <v>172</v>
      </c>
      <c r="AU2559" s="360" t="s">
        <v>186</v>
      </c>
      <c r="AV2559" s="360" t="s">
        <v>137</v>
      </c>
      <c r="AW2559" s="1308" t="s">
        <v>10190</v>
      </c>
      <c r="AX2559" s="360" t="s">
        <v>143</v>
      </c>
      <c r="AY2559" s="61" t="str">
        <f>IFERROR(__xludf.DUMMYFUNCTION("vlookup(BB2559,importrange(""https://docs.google.com/spreadsheets/d/1d2vevQ_7D_v35q4wCQ4RpQ_IPoTwEMB9Yp6ymwlPqew/edit?gid=984458430#gid=984458430"", ""'replication success'!A:K""), 11, FAlSE)"),"successful")</f>
        <v>successful</v>
      </c>
      <c r="AZ2559" s="61" t="str">
        <f>IFERROR(__xludf.DUMMYFUNCTION("vlookup(BB2559,importrange(""https://docs.google.com/spreadsheets/d/1d2vevQ_7D_v35q4wCQ4RpQ_IPoTwEMB9Yp6ymwlPqew/edit?gid=984458430#gid=984458430"", ""'replication success'!A:M""), 12, FAlSE)"),"[Figure 1]")</f>
        <v>[Figure 1]</v>
      </c>
      <c r="BA2559" s="61" t="str">
        <f>IFERROR(__xludf.DUMMYFUNCTION("vlookup(BB2559,importrange(""https://docs.google.com/spreadsheets/d/1d2vevQ_7D_v35q4wCQ4RpQ_IPoTwEMB9Yp6ymwlPqew/edit?gid=984458430#gid=984458430"", ""'replication success'!A:M""), 13, FAlSE)"),"pg. 2")</f>
        <v>pg. 2</v>
      </c>
      <c r="BB2559" s="61" t="str">
        <f>IFERROR(__xludf.DUMMYFUNCTION("REGEXREPLACE(G2559, ""_[a-z]{1,2}$"", """")"),"OpenMKT11")</f>
        <v>OpenMKT11</v>
      </c>
      <c r="BD2559" s="62" t="s">
        <v>1270</v>
      </c>
    </row>
    <row r="2560">
      <c r="A2560" s="44">
        <v>2560.0</v>
      </c>
      <c r="B2560" s="129" t="s">
        <v>152</v>
      </c>
      <c r="C2560" s="62" t="s">
        <v>115</v>
      </c>
      <c r="D2560" s="62" t="s">
        <v>145</v>
      </c>
      <c r="F2560" s="68" t="s">
        <v>10175</v>
      </c>
      <c r="G2560" s="360" t="s">
        <v>15291</v>
      </c>
      <c r="H2560" s="360" t="s">
        <v>10123</v>
      </c>
      <c r="I2560" s="344">
        <v>45767.0</v>
      </c>
      <c r="J2560" s="540">
        <v>45793.0</v>
      </c>
      <c r="K2560" s="46"/>
      <c r="L2560" s="295" t="s">
        <v>15246</v>
      </c>
      <c r="M2560" s="360" t="s">
        <v>10178</v>
      </c>
      <c r="N2560" s="360" t="s">
        <v>10179</v>
      </c>
      <c r="O2560" s="357">
        <v>4.0</v>
      </c>
      <c r="P2560" s="360" t="s">
        <v>10180</v>
      </c>
      <c r="Q2560" s="52" t="str">
        <f t="array" ref="Q2560"> if(iserror(MATCH(V2560, 'File Links'!C:C, 0)), "N/A", HYPERLINK(INDEX('File Links'!B:B, MATCH(P2560, 'File Links'!C:C, 0))))</f>
        <v>https://drive.google.com/file/d/1dD_RkFuxQxk3hkxXbqultnhFhN1opB9Y/view?usp=drivesdk</v>
      </c>
      <c r="R2560" s="360" t="s">
        <v>15108</v>
      </c>
      <c r="S2560" s="360" t="s">
        <v>10182</v>
      </c>
      <c r="T2560" s="509" t="s">
        <v>15239</v>
      </c>
      <c r="U2560" s="295">
        <v>11.0</v>
      </c>
      <c r="V2560" s="360" t="s">
        <v>10183</v>
      </c>
      <c r="W2560" s="295" t="s">
        <v>209</v>
      </c>
      <c r="X2560" s="54" t="str">
        <f t="array" ref="X2560"> if(iserror(MATCH(V2560, 'File Links'!C:C, 0)), "N/A", HYPERLINK(INDEX('File Links'!B:B, MATCH(V2560, 'File Links'!C:C, 0))))</f>
        <v>https://drive.google.com/file/d/1Irbmig3rfLDvz-G09jDAVwJvv1drYEqO/view?usp=drivesdk</v>
      </c>
      <c r="Y2560" s="46"/>
      <c r="Z2560" s="360" t="s">
        <v>2079</v>
      </c>
      <c r="AA2560" s="295" t="s">
        <v>10184</v>
      </c>
      <c r="AB2560" s="360" t="s">
        <v>15247</v>
      </c>
      <c r="AC2560" s="360" t="s">
        <v>15292</v>
      </c>
      <c r="AD2560" s="360" t="s">
        <v>15293</v>
      </c>
      <c r="AE2560" s="360" t="s">
        <v>15250</v>
      </c>
      <c r="AF2560" s="357">
        <v>251.0</v>
      </c>
      <c r="AG2560" s="343">
        <v>0.025</v>
      </c>
      <c r="AH2560" s="380" t="s">
        <v>139</v>
      </c>
      <c r="AI2560" s="360" t="s">
        <v>305</v>
      </c>
      <c r="AJ2560" s="357">
        <v>0.01</v>
      </c>
      <c r="AK2560" s="360" t="s">
        <v>172</v>
      </c>
      <c r="AL2560" s="360" t="s">
        <v>186</v>
      </c>
      <c r="AM2560" s="360" t="s">
        <v>137</v>
      </c>
      <c r="AN2560" s="469" t="s">
        <v>138</v>
      </c>
      <c r="AO2560" s="357">
        <v>604.0</v>
      </c>
      <c r="AP2560" s="343">
        <v>0.003</v>
      </c>
      <c r="AQ2560" s="380" t="s">
        <v>139</v>
      </c>
      <c r="AR2560" s="360" t="s">
        <v>15256</v>
      </c>
      <c r="AS2560" s="357">
        <v>0.185</v>
      </c>
      <c r="AT2560" s="360" t="s">
        <v>172</v>
      </c>
      <c r="AU2560" s="360" t="s">
        <v>186</v>
      </c>
      <c r="AV2560" s="360" t="s">
        <v>137</v>
      </c>
      <c r="AW2560" s="1308" t="s">
        <v>10190</v>
      </c>
      <c r="AX2560" s="360" t="s">
        <v>143</v>
      </c>
      <c r="AY2560" s="61" t="str">
        <f>IFERROR(__xludf.DUMMYFUNCTION("vlookup(BB2560,importrange(""https://docs.google.com/spreadsheets/d/1d2vevQ_7D_v35q4wCQ4RpQ_IPoTwEMB9Yp6ymwlPqew/edit?gid=984458430#gid=984458430"", ""'replication success'!A:K""), 11, FAlSE)"),"successful")</f>
        <v>successful</v>
      </c>
      <c r="AZ2560" s="61" t="str">
        <f>IFERROR(__xludf.DUMMYFUNCTION("vlookup(BB2560,importrange(""https://docs.google.com/spreadsheets/d/1d2vevQ_7D_v35q4wCQ4RpQ_IPoTwEMB9Yp6ymwlPqew/edit?gid=984458430#gid=984458430"", ""'replication success'!A:M""), 12, FAlSE)"),"[Figure 1]")</f>
        <v>[Figure 1]</v>
      </c>
      <c r="BA2560" s="61" t="str">
        <f>IFERROR(__xludf.DUMMYFUNCTION("vlookup(BB2560,importrange(""https://docs.google.com/spreadsheets/d/1d2vevQ_7D_v35q4wCQ4RpQ_IPoTwEMB9Yp6ymwlPqew/edit?gid=984458430#gid=984458430"", ""'replication success'!A:M""), 13, FAlSE)"),"pg. 2")</f>
        <v>pg. 2</v>
      </c>
      <c r="BB2560" s="61" t="str">
        <f>IFERROR(__xludf.DUMMYFUNCTION("REGEXREPLACE(G2560, ""_[a-z]{1,2}$"", """")"),"OpenMKT11")</f>
        <v>OpenMKT11</v>
      </c>
      <c r="BD2560" s="62" t="s">
        <v>1270</v>
      </c>
    </row>
    <row r="2561">
      <c r="A2561" s="44">
        <v>2561.0</v>
      </c>
      <c r="B2561" s="129" t="s">
        <v>152</v>
      </c>
      <c r="C2561" s="62" t="s">
        <v>115</v>
      </c>
      <c r="D2561" s="62" t="s">
        <v>145</v>
      </c>
      <c r="F2561" s="68" t="s">
        <v>10175</v>
      </c>
      <c r="G2561" s="360" t="s">
        <v>15294</v>
      </c>
      <c r="H2561" s="360" t="s">
        <v>10123</v>
      </c>
      <c r="I2561" s="344">
        <v>45767.0</v>
      </c>
      <c r="J2561" s="540">
        <v>45793.0</v>
      </c>
      <c r="K2561" s="46"/>
      <c r="L2561" s="56" t="s">
        <v>15295</v>
      </c>
      <c r="M2561" s="360" t="s">
        <v>10178</v>
      </c>
      <c r="N2561" s="360" t="s">
        <v>10179</v>
      </c>
      <c r="O2561" s="357">
        <v>4.0</v>
      </c>
      <c r="P2561" s="360" t="s">
        <v>10180</v>
      </c>
      <c r="Q2561" s="52" t="str">
        <f t="array" ref="Q2561"> if(iserror(MATCH(V2561, 'File Links'!C:C, 0)), "N/A", HYPERLINK(INDEX('File Links'!B:B, MATCH(P2561, 'File Links'!C:C, 0))))</f>
        <v>https://drive.google.com/file/d/1dD_RkFuxQxk3hkxXbqultnhFhN1opB9Y/view?usp=drivesdk</v>
      </c>
      <c r="R2561" s="360" t="s">
        <v>15108</v>
      </c>
      <c r="S2561" s="360" t="s">
        <v>10182</v>
      </c>
      <c r="T2561" s="509" t="s">
        <v>15239</v>
      </c>
      <c r="U2561" s="295">
        <v>11.0</v>
      </c>
      <c r="V2561" s="360" t="s">
        <v>10183</v>
      </c>
      <c r="W2561" s="295" t="s">
        <v>209</v>
      </c>
      <c r="X2561" s="54" t="str">
        <f t="array" ref="X2561"> if(iserror(MATCH(V2561, 'File Links'!C:C, 0)), "N/A", HYPERLINK(INDEX('File Links'!B:B, MATCH(V2561, 'File Links'!C:C, 0))))</f>
        <v>https://drive.google.com/file/d/1Irbmig3rfLDvz-G09jDAVwJvv1drYEqO/view?usp=drivesdk</v>
      </c>
      <c r="Y2561" s="46"/>
      <c r="Z2561" s="360" t="s">
        <v>2079</v>
      </c>
      <c r="AA2561" s="295" t="s">
        <v>10184</v>
      </c>
      <c r="AB2561" s="360" t="s">
        <v>15247</v>
      </c>
      <c r="AC2561" s="360" t="s">
        <v>15296</v>
      </c>
      <c r="AD2561" s="360" t="s">
        <v>15297</v>
      </c>
      <c r="AE2561" s="360" t="s">
        <v>15250</v>
      </c>
      <c r="AF2561" s="357">
        <v>251.0</v>
      </c>
      <c r="AG2561" s="357">
        <v>-0.51</v>
      </c>
      <c r="AH2561" s="360" t="s">
        <v>173</v>
      </c>
      <c r="AI2561" s="360" t="s">
        <v>305</v>
      </c>
      <c r="AJ2561" s="357">
        <v>0.005</v>
      </c>
      <c r="AK2561" s="360" t="s">
        <v>172</v>
      </c>
      <c r="AL2561" s="360" t="s">
        <v>186</v>
      </c>
      <c r="AM2561" s="360" t="s">
        <v>137</v>
      </c>
      <c r="AN2561" s="469" t="s">
        <v>138</v>
      </c>
      <c r="AO2561" s="357">
        <v>604.0</v>
      </c>
      <c r="AP2561" s="360" t="s">
        <v>15298</v>
      </c>
      <c r="AQ2561" s="360" t="s">
        <v>134</v>
      </c>
      <c r="AR2561" s="360" t="s">
        <v>15256</v>
      </c>
      <c r="AS2561" s="357">
        <v>0.009</v>
      </c>
      <c r="AT2561" s="360" t="s">
        <v>172</v>
      </c>
      <c r="AU2561" s="360" t="s">
        <v>186</v>
      </c>
      <c r="AV2561" s="360" t="s">
        <v>137</v>
      </c>
      <c r="AW2561" s="1308" t="s">
        <v>10190</v>
      </c>
      <c r="AX2561" s="360" t="s">
        <v>143</v>
      </c>
      <c r="AY2561" s="61" t="str">
        <f>IFERROR(__xludf.DUMMYFUNCTION("vlookup(BB2561,importrange(""https://docs.google.com/spreadsheets/d/1d2vevQ_7D_v35q4wCQ4RpQ_IPoTwEMB9Yp6ymwlPqew/edit?gid=984458430#gid=984458430"", ""'replication success'!A:K""), 11, FAlSE)"),"successful")</f>
        <v>successful</v>
      </c>
      <c r="AZ2561" s="61" t="str">
        <f>IFERROR(__xludf.DUMMYFUNCTION("vlookup(BB2561,importrange(""https://docs.google.com/spreadsheets/d/1d2vevQ_7D_v35q4wCQ4RpQ_IPoTwEMB9Yp6ymwlPqew/edit?gid=984458430#gid=984458430"", ""'replication success'!A:M""), 12, FAlSE)"),"[Figure 1]")</f>
        <v>[Figure 1]</v>
      </c>
      <c r="BA2561" s="61" t="str">
        <f>IFERROR(__xludf.DUMMYFUNCTION("vlookup(BB2561,importrange(""https://docs.google.com/spreadsheets/d/1d2vevQ_7D_v35q4wCQ4RpQ_IPoTwEMB9Yp6ymwlPqew/edit?gid=984458430#gid=984458430"", ""'replication success'!A:M""), 13, FAlSE)"),"pg. 2")</f>
        <v>pg. 2</v>
      </c>
      <c r="BB2561" s="61" t="str">
        <f>IFERROR(__xludf.DUMMYFUNCTION("REGEXREPLACE(G2561, ""_[a-z]{1,2}$"", """")"),"OpenMKT11")</f>
        <v>OpenMKT11</v>
      </c>
      <c r="BD2561" s="62" t="s">
        <v>1270</v>
      </c>
    </row>
    <row r="2562">
      <c r="A2562" s="44">
        <v>2562.0</v>
      </c>
      <c r="B2562" s="129" t="s">
        <v>152</v>
      </c>
      <c r="C2562" s="62" t="s">
        <v>115</v>
      </c>
      <c r="D2562" s="62" t="s">
        <v>145</v>
      </c>
      <c r="F2562" s="68" t="s">
        <v>10175</v>
      </c>
      <c r="G2562" s="360" t="s">
        <v>15299</v>
      </c>
      <c r="H2562" s="360" t="s">
        <v>10123</v>
      </c>
      <c r="I2562" s="344">
        <v>45767.0</v>
      </c>
      <c r="J2562" s="540">
        <v>45793.0</v>
      </c>
      <c r="K2562" s="46"/>
      <c r="L2562" s="56" t="s">
        <v>15300</v>
      </c>
      <c r="M2562" s="360" t="s">
        <v>10178</v>
      </c>
      <c r="N2562" s="360" t="s">
        <v>10179</v>
      </c>
      <c r="O2562" s="357">
        <v>4.0</v>
      </c>
      <c r="P2562" s="360" t="s">
        <v>10180</v>
      </c>
      <c r="Q2562" s="52" t="str">
        <f t="array" ref="Q2562"> if(iserror(MATCH(V2562, 'File Links'!C:C, 0)), "N/A", HYPERLINK(INDEX('File Links'!B:B, MATCH(P2562, 'File Links'!C:C, 0))))</f>
        <v>https://drive.google.com/file/d/1dD_RkFuxQxk3hkxXbqultnhFhN1opB9Y/view?usp=drivesdk</v>
      </c>
      <c r="R2562" s="360" t="s">
        <v>15108</v>
      </c>
      <c r="S2562" s="360" t="s">
        <v>10182</v>
      </c>
      <c r="T2562" s="509" t="s">
        <v>15239</v>
      </c>
      <c r="U2562" s="295">
        <v>11.0</v>
      </c>
      <c r="V2562" s="360" t="s">
        <v>10183</v>
      </c>
      <c r="W2562" s="295" t="s">
        <v>209</v>
      </c>
      <c r="X2562" s="54" t="str">
        <f t="array" ref="X2562"> if(iserror(MATCH(V2562, 'File Links'!C:C, 0)), "N/A", HYPERLINK(INDEX('File Links'!B:B, MATCH(V2562, 'File Links'!C:C, 0))))</f>
        <v>https://drive.google.com/file/d/1Irbmig3rfLDvz-G09jDAVwJvv1drYEqO/view?usp=drivesdk</v>
      </c>
      <c r="Y2562" s="46"/>
      <c r="Z2562" s="360" t="s">
        <v>2079</v>
      </c>
      <c r="AA2562" s="295" t="s">
        <v>10184</v>
      </c>
      <c r="AB2562" s="360" t="s">
        <v>15247</v>
      </c>
      <c r="AC2562" s="360" t="s">
        <v>15301</v>
      </c>
      <c r="AD2562" s="360" t="s">
        <v>15302</v>
      </c>
      <c r="AE2562" s="360" t="s">
        <v>15250</v>
      </c>
      <c r="AF2562" s="357">
        <v>251.0</v>
      </c>
      <c r="AG2562" s="360" t="s">
        <v>1535</v>
      </c>
      <c r="AH2562" s="167" t="s">
        <v>138</v>
      </c>
      <c r="AI2562" s="360" t="s">
        <v>305</v>
      </c>
      <c r="AJ2562" s="357">
        <v>0.75</v>
      </c>
      <c r="AK2562" s="360" t="s">
        <v>335</v>
      </c>
      <c r="AL2562" s="360" t="s">
        <v>186</v>
      </c>
      <c r="AM2562" s="360" t="s">
        <v>137</v>
      </c>
      <c r="AN2562" s="469" t="s">
        <v>138</v>
      </c>
      <c r="AO2562" s="357">
        <v>604.0</v>
      </c>
      <c r="AP2562" s="343">
        <v>0.001</v>
      </c>
      <c r="AQ2562" s="380" t="s">
        <v>139</v>
      </c>
      <c r="AR2562" s="360" t="s">
        <v>15256</v>
      </c>
      <c r="AS2562" s="357">
        <v>0.946</v>
      </c>
      <c r="AT2562" s="360" t="s">
        <v>172</v>
      </c>
      <c r="AU2562" s="360" t="s">
        <v>186</v>
      </c>
      <c r="AV2562" s="360" t="s">
        <v>137</v>
      </c>
      <c r="AW2562" s="1308" t="s">
        <v>10190</v>
      </c>
      <c r="AX2562" s="360" t="s">
        <v>143</v>
      </c>
      <c r="AY2562" s="61" t="str">
        <f>IFERROR(__xludf.DUMMYFUNCTION("vlookup(BB2562,importrange(""https://docs.google.com/spreadsheets/d/1d2vevQ_7D_v35q4wCQ4RpQ_IPoTwEMB9Yp6ymwlPqew/edit?gid=984458430#gid=984458430"", ""'replication success'!A:K""), 11, FAlSE)"),"successful")</f>
        <v>successful</v>
      </c>
      <c r="AZ2562" s="61" t="str">
        <f>IFERROR(__xludf.DUMMYFUNCTION("vlookup(BB2562,importrange(""https://docs.google.com/spreadsheets/d/1d2vevQ_7D_v35q4wCQ4RpQ_IPoTwEMB9Yp6ymwlPqew/edit?gid=984458430#gid=984458430"", ""'replication success'!A:M""), 12, FAlSE)"),"[Figure 1]")</f>
        <v>[Figure 1]</v>
      </c>
      <c r="BA2562" s="61" t="str">
        <f>IFERROR(__xludf.DUMMYFUNCTION("vlookup(BB2562,importrange(""https://docs.google.com/spreadsheets/d/1d2vevQ_7D_v35q4wCQ4RpQ_IPoTwEMB9Yp6ymwlPqew/edit?gid=984458430#gid=984458430"", ""'replication success'!A:M""), 13, FAlSE)"),"pg. 2")</f>
        <v>pg. 2</v>
      </c>
      <c r="BB2562" s="61" t="str">
        <f>IFERROR(__xludf.DUMMYFUNCTION("REGEXREPLACE(G2562, ""_[a-z]{1,2}$"", """")"),"OpenMKT11")</f>
        <v>OpenMKT11</v>
      </c>
      <c r="BD2562" s="62" t="s">
        <v>1270</v>
      </c>
    </row>
    <row r="2563">
      <c r="A2563" s="44">
        <v>2563.0</v>
      </c>
      <c r="B2563" s="129" t="s">
        <v>152</v>
      </c>
      <c r="C2563" s="62" t="s">
        <v>115</v>
      </c>
      <c r="D2563" s="62" t="s">
        <v>145</v>
      </c>
      <c r="F2563" s="68" t="s">
        <v>10175</v>
      </c>
      <c r="G2563" s="360" t="s">
        <v>15303</v>
      </c>
      <c r="H2563" s="360" t="s">
        <v>10123</v>
      </c>
      <c r="I2563" s="344">
        <v>45767.0</v>
      </c>
      <c r="J2563" s="540">
        <v>45793.0</v>
      </c>
      <c r="K2563" s="46"/>
      <c r="L2563" s="56" t="s">
        <v>15295</v>
      </c>
      <c r="M2563" s="360" t="s">
        <v>10178</v>
      </c>
      <c r="N2563" s="360" t="s">
        <v>10179</v>
      </c>
      <c r="O2563" s="357">
        <v>4.0</v>
      </c>
      <c r="P2563" s="360" t="s">
        <v>10180</v>
      </c>
      <c r="Q2563" s="52" t="str">
        <f t="array" ref="Q2563"> if(iserror(MATCH(V2563, 'File Links'!C:C, 0)), "N/A", HYPERLINK(INDEX('File Links'!B:B, MATCH(P2563, 'File Links'!C:C, 0))))</f>
        <v>https://drive.google.com/file/d/1dD_RkFuxQxk3hkxXbqultnhFhN1opB9Y/view?usp=drivesdk</v>
      </c>
      <c r="R2563" s="360" t="s">
        <v>15108</v>
      </c>
      <c r="S2563" s="360" t="s">
        <v>10182</v>
      </c>
      <c r="T2563" s="509" t="s">
        <v>15239</v>
      </c>
      <c r="U2563" s="295">
        <v>11.0</v>
      </c>
      <c r="V2563" s="360" t="s">
        <v>10183</v>
      </c>
      <c r="W2563" s="295" t="s">
        <v>209</v>
      </c>
      <c r="X2563" s="54" t="str">
        <f t="array" ref="X2563"> if(iserror(MATCH(V2563, 'File Links'!C:C, 0)), "N/A", HYPERLINK(INDEX('File Links'!B:B, MATCH(V2563, 'File Links'!C:C, 0))))</f>
        <v>https://drive.google.com/file/d/1Irbmig3rfLDvz-G09jDAVwJvv1drYEqO/view?usp=drivesdk</v>
      </c>
      <c r="Y2563" s="46"/>
      <c r="Z2563" s="360" t="s">
        <v>2079</v>
      </c>
      <c r="AA2563" s="295" t="s">
        <v>10184</v>
      </c>
      <c r="AB2563" s="360" t="s">
        <v>15247</v>
      </c>
      <c r="AC2563" s="360" t="s">
        <v>15304</v>
      </c>
      <c r="AD2563" s="360" t="s">
        <v>15305</v>
      </c>
      <c r="AE2563" s="360" t="s">
        <v>15250</v>
      </c>
      <c r="AF2563" s="357">
        <v>251.0</v>
      </c>
      <c r="AG2563" s="357">
        <v>0.16</v>
      </c>
      <c r="AH2563" s="360" t="s">
        <v>173</v>
      </c>
      <c r="AI2563" s="360" t="s">
        <v>305</v>
      </c>
      <c r="AJ2563" s="357">
        <v>0.44</v>
      </c>
      <c r="AK2563" s="360" t="s">
        <v>335</v>
      </c>
      <c r="AL2563" s="360" t="s">
        <v>186</v>
      </c>
      <c r="AM2563" s="360" t="s">
        <v>137</v>
      </c>
      <c r="AN2563" s="469" t="s">
        <v>138</v>
      </c>
      <c r="AO2563" s="357">
        <v>604.0</v>
      </c>
      <c r="AP2563" s="360" t="s">
        <v>15306</v>
      </c>
      <c r="AQ2563" s="360" t="s">
        <v>134</v>
      </c>
      <c r="AR2563" s="360" t="s">
        <v>15256</v>
      </c>
      <c r="AS2563" s="357">
        <v>0.371</v>
      </c>
      <c r="AT2563" s="360" t="s">
        <v>172</v>
      </c>
      <c r="AU2563" s="360" t="s">
        <v>186</v>
      </c>
      <c r="AV2563" s="360" t="s">
        <v>137</v>
      </c>
      <c r="AW2563" s="1308" t="s">
        <v>10190</v>
      </c>
      <c r="AX2563" s="360" t="s">
        <v>143</v>
      </c>
      <c r="AY2563" s="61" t="str">
        <f>IFERROR(__xludf.DUMMYFUNCTION("vlookup(BB2563,importrange(""https://docs.google.com/spreadsheets/d/1d2vevQ_7D_v35q4wCQ4RpQ_IPoTwEMB9Yp6ymwlPqew/edit?gid=984458430#gid=984458430"", ""'replication success'!A:K""), 11, FAlSE)"),"successful")</f>
        <v>successful</v>
      </c>
      <c r="AZ2563" s="61" t="str">
        <f>IFERROR(__xludf.DUMMYFUNCTION("vlookup(BB2563,importrange(""https://docs.google.com/spreadsheets/d/1d2vevQ_7D_v35q4wCQ4RpQ_IPoTwEMB9Yp6ymwlPqew/edit?gid=984458430#gid=984458430"", ""'replication success'!A:M""), 12, FAlSE)"),"[Figure 1]")</f>
        <v>[Figure 1]</v>
      </c>
      <c r="BA2563" s="61" t="str">
        <f>IFERROR(__xludf.DUMMYFUNCTION("vlookup(BB2563,importrange(""https://docs.google.com/spreadsheets/d/1d2vevQ_7D_v35q4wCQ4RpQ_IPoTwEMB9Yp6ymwlPqew/edit?gid=984458430#gid=984458430"", ""'replication success'!A:M""), 13, FAlSE)"),"pg. 2")</f>
        <v>pg. 2</v>
      </c>
      <c r="BB2563" s="61" t="str">
        <f>IFERROR(__xludf.DUMMYFUNCTION("REGEXREPLACE(G2563, ""_[a-z]{1,2}$"", """")"),"OpenMKT11")</f>
        <v>OpenMKT11</v>
      </c>
      <c r="BD2563" s="62" t="s">
        <v>1270</v>
      </c>
    </row>
    <row r="2564">
      <c r="A2564" s="44">
        <v>2564.0</v>
      </c>
      <c r="B2564" s="1062" t="s">
        <v>152</v>
      </c>
      <c r="C2564" s="1063" t="s">
        <v>115</v>
      </c>
      <c r="D2564" s="1063" t="s">
        <v>145</v>
      </c>
      <c r="E2564" s="1064"/>
      <c r="F2564" s="1065" t="s">
        <v>10175</v>
      </c>
      <c r="G2564" s="704" t="s">
        <v>15307</v>
      </c>
      <c r="H2564" s="704" t="s">
        <v>10123</v>
      </c>
      <c r="I2564" s="1068">
        <v>45767.0</v>
      </c>
      <c r="J2564" s="2163">
        <v>45793.0</v>
      </c>
      <c r="K2564" s="1065"/>
      <c r="L2564" s="1062" t="s">
        <v>15300</v>
      </c>
      <c r="M2564" s="704" t="s">
        <v>10178</v>
      </c>
      <c r="N2564" s="704" t="s">
        <v>10179</v>
      </c>
      <c r="O2564" s="1070">
        <v>4.0</v>
      </c>
      <c r="P2564" s="704" t="s">
        <v>10180</v>
      </c>
      <c r="Q2564" s="52" t="str">
        <f t="array" ref="Q2564"> if(iserror(MATCH(V2564, 'File Links'!C:C, 0)), "N/A", HYPERLINK(INDEX('File Links'!B:B, MATCH(P2564, 'File Links'!C:C, 0))))</f>
        <v>https://drive.google.com/file/d/1dD_RkFuxQxk3hkxXbqultnhFhN1opB9Y/view?usp=drivesdk</v>
      </c>
      <c r="R2564" s="704" t="s">
        <v>15108</v>
      </c>
      <c r="S2564" s="704" t="s">
        <v>10182</v>
      </c>
      <c r="T2564" s="1072" t="s">
        <v>15239</v>
      </c>
      <c r="U2564" s="1062">
        <v>11.0</v>
      </c>
      <c r="V2564" s="704" t="s">
        <v>10183</v>
      </c>
      <c r="W2564" s="1062" t="s">
        <v>209</v>
      </c>
      <c r="X2564" s="54" t="str">
        <f t="array" ref="X2564"> if(iserror(MATCH(V2564, 'File Links'!C:C, 0)), "N/A", HYPERLINK(INDEX('File Links'!B:B, MATCH(V2564, 'File Links'!C:C, 0))))</f>
        <v>https://drive.google.com/file/d/1Irbmig3rfLDvz-G09jDAVwJvv1drYEqO/view?usp=drivesdk</v>
      </c>
      <c r="Y2564" s="1065"/>
      <c r="Z2564" s="704" t="s">
        <v>2079</v>
      </c>
      <c r="AA2564" s="1062" t="s">
        <v>10184</v>
      </c>
      <c r="AB2564" s="704" t="s">
        <v>15247</v>
      </c>
      <c r="AC2564" s="704" t="s">
        <v>15308</v>
      </c>
      <c r="AD2564" s="704" t="s">
        <v>15309</v>
      </c>
      <c r="AE2564" s="704" t="s">
        <v>15250</v>
      </c>
      <c r="AF2564" s="1070">
        <v>251.0</v>
      </c>
      <c r="AG2564" s="2155">
        <v>0.025</v>
      </c>
      <c r="AH2564" s="380" t="s">
        <v>139</v>
      </c>
      <c r="AI2564" s="704" t="s">
        <v>305</v>
      </c>
      <c r="AJ2564" s="1070">
        <v>0.01</v>
      </c>
      <c r="AK2564" s="704" t="s">
        <v>172</v>
      </c>
      <c r="AL2564" s="704" t="s">
        <v>186</v>
      </c>
      <c r="AM2564" s="704" t="s">
        <v>137</v>
      </c>
      <c r="AN2564" s="469" t="s">
        <v>138</v>
      </c>
      <c r="AO2564" s="1070">
        <v>604.0</v>
      </c>
      <c r="AP2564" s="704" t="s">
        <v>15310</v>
      </c>
      <c r="AQ2564" s="704" t="s">
        <v>134</v>
      </c>
      <c r="AR2564" s="704" t="s">
        <v>7593</v>
      </c>
      <c r="AS2564" s="1070">
        <v>0.615</v>
      </c>
      <c r="AT2564" s="704" t="s">
        <v>172</v>
      </c>
      <c r="AU2564" s="704" t="s">
        <v>186</v>
      </c>
      <c r="AV2564" s="704" t="s">
        <v>137</v>
      </c>
      <c r="AW2564" s="1308" t="s">
        <v>10190</v>
      </c>
      <c r="AX2564" s="704" t="s">
        <v>143</v>
      </c>
      <c r="AY2564" s="61" t="str">
        <f>IFERROR(__xludf.DUMMYFUNCTION("vlookup(BB2564,importrange(""https://docs.google.com/spreadsheets/d/1d2vevQ_7D_v35q4wCQ4RpQ_IPoTwEMB9Yp6ymwlPqew/edit?gid=984458430#gid=984458430"", ""'replication success'!A:K""), 11, FAlSE)"),"successful")</f>
        <v>successful</v>
      </c>
      <c r="AZ2564" s="61" t="str">
        <f>IFERROR(__xludf.DUMMYFUNCTION("vlookup(BB2564,importrange(""https://docs.google.com/spreadsheets/d/1d2vevQ_7D_v35q4wCQ4RpQ_IPoTwEMB9Yp6ymwlPqew/edit?gid=984458430#gid=984458430"", ""'replication success'!A:M""), 12, FAlSE)"),"[Figure 1]")</f>
        <v>[Figure 1]</v>
      </c>
      <c r="BA2564" s="61" t="str">
        <f>IFERROR(__xludf.DUMMYFUNCTION("vlookup(BB2564,importrange(""https://docs.google.com/spreadsheets/d/1d2vevQ_7D_v35q4wCQ4RpQ_IPoTwEMB9Yp6ymwlPqew/edit?gid=984458430#gid=984458430"", ""'replication success'!A:M""), 13, FAlSE)"),"pg. 2")</f>
        <v>pg. 2</v>
      </c>
      <c r="BB2564" s="61" t="str">
        <f>IFERROR(__xludf.DUMMYFUNCTION("REGEXREPLACE(G2564, ""_[a-z]{1,2}$"", """")"),"OpenMKT11")</f>
        <v>OpenMKT11</v>
      </c>
      <c r="BD2564" s="62" t="s">
        <v>1270</v>
      </c>
      <c r="BE2564" s="1064"/>
      <c r="BF2564" s="1064"/>
      <c r="BG2564" s="1064"/>
      <c r="BH2564" s="1064"/>
      <c r="BI2564" s="1064"/>
      <c r="BJ2564" s="1064"/>
      <c r="BK2564" s="1064"/>
      <c r="BL2564" s="1064"/>
      <c r="BM2564" s="1064"/>
      <c r="BN2564" s="1064"/>
      <c r="BO2564" s="1064"/>
      <c r="BP2564" s="1064"/>
      <c r="BQ2564" s="1064"/>
      <c r="BR2564" s="1064"/>
      <c r="BS2564" s="1064"/>
      <c r="BT2564" s="1064"/>
      <c r="BU2564" s="1064"/>
      <c r="BV2564" s="1064"/>
      <c r="BW2564" s="1064"/>
      <c r="BX2564" s="1064"/>
      <c r="BY2564" s="1064"/>
      <c r="BZ2564" s="1064"/>
      <c r="CA2564" s="1064"/>
      <c r="CB2564" s="1064"/>
      <c r="CC2564" s="1064"/>
      <c r="CD2564" s="1064"/>
      <c r="CE2564" s="1064"/>
      <c r="CF2564" s="1064"/>
      <c r="CG2564" s="1064"/>
      <c r="CH2564" s="1064"/>
      <c r="CI2564" s="1064"/>
      <c r="CJ2564" s="1064"/>
      <c r="CK2564" s="1064"/>
      <c r="CL2564" s="1064"/>
      <c r="CM2564" s="1064"/>
      <c r="CN2564" s="1064"/>
      <c r="CO2564" s="1064"/>
      <c r="CP2564" s="1064"/>
      <c r="CQ2564" s="1064"/>
      <c r="CR2564" s="1064"/>
      <c r="CS2564" s="1064"/>
      <c r="CT2564" s="1064"/>
      <c r="CU2564" s="1064"/>
      <c r="CV2564" s="1064"/>
      <c r="CW2564" s="1064"/>
      <c r="CX2564" s="1064"/>
      <c r="CY2564" s="1064"/>
      <c r="CZ2564" s="1064"/>
      <c r="DA2564" s="1064"/>
      <c r="DB2564" s="1064"/>
      <c r="DC2564" s="1064"/>
      <c r="DD2564" s="1064"/>
      <c r="DE2564" s="1064"/>
      <c r="DF2564" s="1064"/>
      <c r="DG2564" s="1064"/>
      <c r="DH2564" s="1064"/>
      <c r="DI2564" s="1064"/>
      <c r="DJ2564" s="1064"/>
      <c r="DK2564" s="1064"/>
      <c r="DL2564" s="1064"/>
    </row>
    <row r="2565">
      <c r="A2565" s="44">
        <v>2565.0</v>
      </c>
      <c r="B2565" s="129" t="s">
        <v>152</v>
      </c>
      <c r="C2565" s="62" t="s">
        <v>115</v>
      </c>
      <c r="D2565" s="62" t="s">
        <v>145</v>
      </c>
      <c r="F2565" s="68" t="s">
        <v>10175</v>
      </c>
      <c r="G2565" s="360" t="s">
        <v>15311</v>
      </c>
      <c r="H2565" s="360" t="s">
        <v>10123</v>
      </c>
      <c r="I2565" s="344">
        <v>45767.0</v>
      </c>
      <c r="J2565" s="540">
        <v>45793.0</v>
      </c>
      <c r="K2565" s="360" t="s">
        <v>15312</v>
      </c>
      <c r="L2565" s="56" t="s">
        <v>15300</v>
      </c>
      <c r="M2565" s="360" t="s">
        <v>10178</v>
      </c>
      <c r="N2565" s="360" t="s">
        <v>10179</v>
      </c>
      <c r="O2565" s="357">
        <v>4.0</v>
      </c>
      <c r="P2565" s="360" t="s">
        <v>10180</v>
      </c>
      <c r="Q2565" s="52" t="str">
        <f t="array" ref="Q2565"> if(iserror(MATCH(V2565, 'File Links'!C:C, 0)), "N/A", HYPERLINK(INDEX('File Links'!B:B, MATCH(P2565, 'File Links'!C:C, 0))))</f>
        <v>https://drive.google.com/file/d/1dD_RkFuxQxk3hkxXbqultnhFhN1opB9Y/view?usp=drivesdk</v>
      </c>
      <c r="R2565" s="360" t="s">
        <v>15108</v>
      </c>
      <c r="S2565" s="360" t="s">
        <v>10182</v>
      </c>
      <c r="T2565" s="509" t="s">
        <v>15239</v>
      </c>
      <c r="U2565" s="295">
        <v>11.0</v>
      </c>
      <c r="V2565" s="360" t="s">
        <v>10183</v>
      </c>
      <c r="W2565" s="295" t="s">
        <v>209</v>
      </c>
      <c r="X2565" s="54" t="str">
        <f t="array" ref="X2565"> if(iserror(MATCH(V2565, 'File Links'!C:C, 0)), "N/A", HYPERLINK(INDEX('File Links'!B:B, MATCH(V2565, 'File Links'!C:C, 0))))</f>
        <v>https://drive.google.com/file/d/1Irbmig3rfLDvz-G09jDAVwJvv1drYEqO/view?usp=drivesdk</v>
      </c>
      <c r="Y2565" s="46"/>
      <c r="Z2565" s="360" t="s">
        <v>2079</v>
      </c>
      <c r="AA2565" s="295" t="s">
        <v>10184</v>
      </c>
      <c r="AB2565" s="360" t="s">
        <v>15247</v>
      </c>
      <c r="AC2565" s="360" t="s">
        <v>15313</v>
      </c>
      <c r="AD2565" s="360" t="s">
        <v>15314</v>
      </c>
      <c r="AE2565" s="360" t="s">
        <v>15250</v>
      </c>
      <c r="AF2565" s="357">
        <v>251.0</v>
      </c>
      <c r="AG2565" s="343">
        <v>0.002</v>
      </c>
      <c r="AH2565" s="380" t="s">
        <v>139</v>
      </c>
      <c r="AI2565" s="360" t="s">
        <v>305</v>
      </c>
      <c r="AJ2565" s="357">
        <v>0.5</v>
      </c>
      <c r="AK2565" s="360" t="s">
        <v>335</v>
      </c>
      <c r="AL2565" s="360" t="s">
        <v>186</v>
      </c>
      <c r="AM2565" s="360" t="s">
        <v>137</v>
      </c>
      <c r="AN2565" s="469" t="s">
        <v>138</v>
      </c>
      <c r="AO2565" s="357">
        <v>604.0</v>
      </c>
      <c r="AP2565" s="360" t="s">
        <v>15310</v>
      </c>
      <c r="AQ2565" s="360" t="s">
        <v>134</v>
      </c>
      <c r="AR2565" s="360" t="s">
        <v>7593</v>
      </c>
      <c r="AS2565" s="357">
        <v>0.615</v>
      </c>
      <c r="AT2565" s="360" t="s">
        <v>172</v>
      </c>
      <c r="AU2565" s="360" t="s">
        <v>186</v>
      </c>
      <c r="AV2565" s="360" t="s">
        <v>137</v>
      </c>
      <c r="AW2565" s="1308" t="s">
        <v>10190</v>
      </c>
      <c r="AX2565" s="360" t="s">
        <v>143</v>
      </c>
      <c r="AY2565" s="61" t="str">
        <f>IFERROR(__xludf.DUMMYFUNCTION("vlookup(BB2565,importrange(""https://docs.google.com/spreadsheets/d/1d2vevQ_7D_v35q4wCQ4RpQ_IPoTwEMB9Yp6ymwlPqew/edit?gid=984458430#gid=984458430"", ""'replication success'!A:K""), 11, FAlSE)"),"successful")</f>
        <v>successful</v>
      </c>
      <c r="AZ2565" s="61" t="str">
        <f>IFERROR(__xludf.DUMMYFUNCTION("vlookup(BB2565,importrange(""https://docs.google.com/spreadsheets/d/1d2vevQ_7D_v35q4wCQ4RpQ_IPoTwEMB9Yp6ymwlPqew/edit?gid=984458430#gid=984458430"", ""'replication success'!A:M""), 12, FAlSE)"),"[Figure 1]")</f>
        <v>[Figure 1]</v>
      </c>
      <c r="BA2565" s="61" t="str">
        <f>IFERROR(__xludf.DUMMYFUNCTION("vlookup(BB2565,importrange(""https://docs.google.com/spreadsheets/d/1d2vevQ_7D_v35q4wCQ4RpQ_IPoTwEMB9Yp6ymwlPqew/edit?gid=984458430#gid=984458430"", ""'replication success'!A:M""), 13, FAlSE)"),"pg. 2")</f>
        <v>pg. 2</v>
      </c>
      <c r="BB2565" s="61" t="str">
        <f>IFERROR(__xludf.DUMMYFUNCTION("REGEXREPLACE(G2565, ""_[a-z]{1,2}$"", """")"),"OpenMKT11")</f>
        <v>OpenMKT11</v>
      </c>
      <c r="BD2565" s="62" t="s">
        <v>1270</v>
      </c>
    </row>
    <row r="2566">
      <c r="A2566" s="44">
        <v>2566.0</v>
      </c>
      <c r="B2566" s="129" t="s">
        <v>152</v>
      </c>
      <c r="C2566" s="62" t="s">
        <v>115</v>
      </c>
      <c r="D2566" s="62" t="s">
        <v>145</v>
      </c>
      <c r="F2566" s="68" t="s">
        <v>10175</v>
      </c>
      <c r="G2566" s="360" t="s">
        <v>15315</v>
      </c>
      <c r="H2566" s="360" t="s">
        <v>10123</v>
      </c>
      <c r="I2566" s="344">
        <v>45767.0</v>
      </c>
      <c r="J2566" s="540">
        <v>45793.0</v>
      </c>
      <c r="K2566" s="46"/>
      <c r="L2566" s="56" t="s">
        <v>15316</v>
      </c>
      <c r="M2566" s="360" t="s">
        <v>10178</v>
      </c>
      <c r="N2566" s="360" t="s">
        <v>10179</v>
      </c>
      <c r="O2566" s="357">
        <v>4.0</v>
      </c>
      <c r="P2566" s="360" t="s">
        <v>10180</v>
      </c>
      <c r="Q2566" s="52" t="str">
        <f t="array" ref="Q2566"> if(iserror(MATCH(V2566, 'File Links'!C:C, 0)), "N/A", HYPERLINK(INDEX('File Links'!B:B, MATCH(P2566, 'File Links'!C:C, 0))))</f>
        <v>https://drive.google.com/file/d/1dD_RkFuxQxk3hkxXbqultnhFhN1opB9Y/view?usp=drivesdk</v>
      </c>
      <c r="R2566" s="360" t="s">
        <v>15108</v>
      </c>
      <c r="S2566" s="360" t="s">
        <v>10182</v>
      </c>
      <c r="T2566" s="509" t="s">
        <v>15239</v>
      </c>
      <c r="U2566" s="295">
        <v>11.0</v>
      </c>
      <c r="V2566" s="360" t="s">
        <v>10183</v>
      </c>
      <c r="W2566" s="295" t="s">
        <v>209</v>
      </c>
      <c r="X2566" s="54" t="str">
        <f t="array" ref="X2566"> if(iserror(MATCH(V2566, 'File Links'!C:C, 0)), "N/A", HYPERLINK(INDEX('File Links'!B:B, MATCH(V2566, 'File Links'!C:C, 0))))</f>
        <v>https://drive.google.com/file/d/1Irbmig3rfLDvz-G09jDAVwJvv1drYEqO/view?usp=drivesdk</v>
      </c>
      <c r="Y2566" s="46"/>
      <c r="Z2566" s="360" t="s">
        <v>2079</v>
      </c>
      <c r="AA2566" s="295" t="s">
        <v>10184</v>
      </c>
      <c r="AB2566" s="360" t="s">
        <v>15247</v>
      </c>
      <c r="AC2566" s="360" t="s">
        <v>15317</v>
      </c>
      <c r="AD2566" s="360" t="s">
        <v>15318</v>
      </c>
      <c r="AE2566" s="360" t="s">
        <v>15250</v>
      </c>
      <c r="AF2566" s="357">
        <v>251.0</v>
      </c>
      <c r="AG2566" s="343">
        <v>0.086</v>
      </c>
      <c r="AH2566" s="380" t="s">
        <v>139</v>
      </c>
      <c r="AI2566" s="360" t="s">
        <v>305</v>
      </c>
      <c r="AJ2566" s="357">
        <v>1.0E-4</v>
      </c>
      <c r="AK2566" s="360" t="s">
        <v>135</v>
      </c>
      <c r="AL2566" s="360" t="s">
        <v>186</v>
      </c>
      <c r="AM2566" s="360" t="s">
        <v>137</v>
      </c>
      <c r="AN2566" s="469" t="s">
        <v>138</v>
      </c>
      <c r="AO2566" s="357">
        <v>604.0</v>
      </c>
      <c r="AP2566" s="360" t="s">
        <v>10216</v>
      </c>
      <c r="AQ2566" s="360" t="s">
        <v>134</v>
      </c>
      <c r="AR2566" s="360" t="s">
        <v>7593</v>
      </c>
      <c r="AS2566" s="357">
        <v>0.001</v>
      </c>
      <c r="AT2566" s="360" t="s">
        <v>135</v>
      </c>
      <c r="AU2566" s="360" t="s">
        <v>186</v>
      </c>
      <c r="AV2566" s="360" t="s">
        <v>137</v>
      </c>
      <c r="AW2566" s="1308" t="s">
        <v>10190</v>
      </c>
      <c r="AX2566" s="360" t="s">
        <v>143</v>
      </c>
      <c r="AY2566" s="61" t="str">
        <f>IFERROR(__xludf.DUMMYFUNCTION("vlookup(BB2566,importrange(""https://docs.google.com/spreadsheets/d/1d2vevQ_7D_v35q4wCQ4RpQ_IPoTwEMB9Yp6ymwlPqew/edit?gid=984458430#gid=984458430"", ""'replication success'!A:K""), 11, FAlSE)"),"successful")</f>
        <v>successful</v>
      </c>
      <c r="AZ2566" s="61" t="str">
        <f>IFERROR(__xludf.DUMMYFUNCTION("vlookup(BB2566,importrange(""https://docs.google.com/spreadsheets/d/1d2vevQ_7D_v35q4wCQ4RpQ_IPoTwEMB9Yp6ymwlPqew/edit?gid=984458430#gid=984458430"", ""'replication success'!A:M""), 12, FAlSE)"),"[Figure 1]")</f>
        <v>[Figure 1]</v>
      </c>
      <c r="BA2566" s="61" t="str">
        <f>IFERROR(__xludf.DUMMYFUNCTION("vlookup(BB2566,importrange(""https://docs.google.com/spreadsheets/d/1d2vevQ_7D_v35q4wCQ4RpQ_IPoTwEMB9Yp6ymwlPqew/edit?gid=984458430#gid=984458430"", ""'replication success'!A:M""), 13, FAlSE)"),"pg. 2")</f>
        <v>pg. 2</v>
      </c>
      <c r="BB2566" s="61" t="str">
        <f>IFERROR(__xludf.DUMMYFUNCTION("REGEXREPLACE(G2566, ""_[a-z]{1,2}$"", """")"),"OpenMKT11")</f>
        <v>OpenMKT11</v>
      </c>
      <c r="BD2566" s="62" t="s">
        <v>1270</v>
      </c>
    </row>
    <row r="2567">
      <c r="A2567" s="44">
        <v>2567.0</v>
      </c>
      <c r="B2567" s="129" t="s">
        <v>152</v>
      </c>
      <c r="C2567" s="62" t="s">
        <v>115</v>
      </c>
      <c r="D2567" s="62" t="s">
        <v>145</v>
      </c>
      <c r="F2567" s="68" t="s">
        <v>10175</v>
      </c>
      <c r="G2567" s="360" t="s">
        <v>15319</v>
      </c>
      <c r="H2567" s="360" t="s">
        <v>10123</v>
      </c>
      <c r="I2567" s="344">
        <v>45767.0</v>
      </c>
      <c r="J2567" s="540">
        <v>45793.0</v>
      </c>
      <c r="K2567" s="46"/>
      <c r="L2567" s="295" t="s">
        <v>15320</v>
      </c>
      <c r="M2567" s="360" t="s">
        <v>10178</v>
      </c>
      <c r="N2567" s="360" t="s">
        <v>10179</v>
      </c>
      <c r="O2567" s="357">
        <v>4.0</v>
      </c>
      <c r="P2567" s="360" t="s">
        <v>10180</v>
      </c>
      <c r="Q2567" s="52" t="str">
        <f t="array" ref="Q2567"> if(iserror(MATCH(V2567, 'File Links'!C:C, 0)), "N/A", HYPERLINK(INDEX('File Links'!B:B, MATCH(P2567, 'File Links'!C:C, 0))))</f>
        <v>https://drive.google.com/file/d/1dD_RkFuxQxk3hkxXbqultnhFhN1opB9Y/view?usp=drivesdk</v>
      </c>
      <c r="R2567" s="360" t="s">
        <v>15108</v>
      </c>
      <c r="S2567" s="360" t="s">
        <v>10182</v>
      </c>
      <c r="T2567" s="509" t="s">
        <v>15239</v>
      </c>
      <c r="U2567" s="295">
        <v>11.0</v>
      </c>
      <c r="V2567" s="360" t="s">
        <v>10183</v>
      </c>
      <c r="W2567" s="295" t="s">
        <v>209</v>
      </c>
      <c r="X2567" s="54" t="str">
        <f t="array" ref="X2567"> if(iserror(MATCH(V2567, 'File Links'!C:C, 0)), "N/A", HYPERLINK(INDEX('File Links'!B:B, MATCH(V2567, 'File Links'!C:C, 0))))</f>
        <v>https://drive.google.com/file/d/1Irbmig3rfLDvz-G09jDAVwJvv1drYEqO/view?usp=drivesdk</v>
      </c>
      <c r="Y2567" s="46"/>
      <c r="Z2567" s="360" t="s">
        <v>2079</v>
      </c>
      <c r="AA2567" s="295" t="s">
        <v>10184</v>
      </c>
      <c r="AB2567" s="360" t="s">
        <v>15247</v>
      </c>
      <c r="AC2567" s="360" t="s">
        <v>15321</v>
      </c>
      <c r="AD2567" s="360" t="s">
        <v>15322</v>
      </c>
      <c r="AE2567" s="360" t="s">
        <v>15250</v>
      </c>
      <c r="AF2567" s="357">
        <v>251.0</v>
      </c>
      <c r="AG2567" s="360" t="s">
        <v>15323</v>
      </c>
      <c r="AH2567" s="360" t="s">
        <v>134</v>
      </c>
      <c r="AI2567" s="360" t="s">
        <v>305</v>
      </c>
      <c r="AJ2567" s="343" t="s">
        <v>138</v>
      </c>
      <c r="AK2567" s="343" t="s">
        <v>138</v>
      </c>
      <c r="AL2567" s="360" t="s">
        <v>186</v>
      </c>
      <c r="AM2567" s="360" t="s">
        <v>137</v>
      </c>
      <c r="AN2567" s="469" t="s">
        <v>138</v>
      </c>
      <c r="AO2567" s="357">
        <v>604.0</v>
      </c>
      <c r="AP2567" s="360" t="s">
        <v>15324</v>
      </c>
      <c r="AQ2567" s="360" t="s">
        <v>134</v>
      </c>
      <c r="AR2567" s="360" t="s">
        <v>7593</v>
      </c>
      <c r="AS2567" s="343" t="s">
        <v>138</v>
      </c>
      <c r="AT2567" s="343" t="s">
        <v>138</v>
      </c>
      <c r="AU2567" s="360" t="s">
        <v>186</v>
      </c>
      <c r="AV2567" s="360" t="s">
        <v>137</v>
      </c>
      <c r="AW2567" s="1308" t="s">
        <v>10190</v>
      </c>
      <c r="AX2567" s="360" t="s">
        <v>143</v>
      </c>
      <c r="AY2567" s="61" t="str">
        <f>IFERROR(__xludf.DUMMYFUNCTION("vlookup(BB2567,importrange(""https://docs.google.com/spreadsheets/d/1d2vevQ_7D_v35q4wCQ4RpQ_IPoTwEMB9Yp6ymwlPqew/edit?gid=984458430#gid=984458430"", ""'replication success'!A:K""), 11, FAlSE)"),"successful")</f>
        <v>successful</v>
      </c>
      <c r="AZ2567" s="61" t="str">
        <f>IFERROR(__xludf.DUMMYFUNCTION("vlookup(BB2567,importrange(""https://docs.google.com/spreadsheets/d/1d2vevQ_7D_v35q4wCQ4RpQ_IPoTwEMB9Yp6ymwlPqew/edit?gid=984458430#gid=984458430"", ""'replication success'!A:M""), 12, FAlSE)"),"[Figure 1]")</f>
        <v>[Figure 1]</v>
      </c>
      <c r="BA2567" s="61" t="str">
        <f>IFERROR(__xludf.DUMMYFUNCTION("vlookup(BB2567,importrange(""https://docs.google.com/spreadsheets/d/1d2vevQ_7D_v35q4wCQ4RpQ_IPoTwEMB9Yp6ymwlPqew/edit?gid=984458430#gid=984458430"", ""'replication success'!A:M""), 13, FAlSE)"),"pg. 2")</f>
        <v>pg. 2</v>
      </c>
      <c r="BB2567" s="61" t="str">
        <f>IFERROR(__xludf.DUMMYFUNCTION("REGEXREPLACE(G2567, ""_[a-z]{1,2}$"", """")"),"OpenMKT11")</f>
        <v>OpenMKT11</v>
      </c>
      <c r="BD2567" s="62" t="s">
        <v>1270</v>
      </c>
    </row>
    <row r="2568">
      <c r="A2568" s="44">
        <v>2568.0</v>
      </c>
      <c r="B2568" s="129" t="s">
        <v>152</v>
      </c>
      <c r="C2568" s="62" t="s">
        <v>115</v>
      </c>
      <c r="D2568" s="62" t="s">
        <v>145</v>
      </c>
      <c r="F2568" s="68" t="s">
        <v>10175</v>
      </c>
      <c r="G2568" s="360" t="s">
        <v>15325</v>
      </c>
      <c r="H2568" s="360" t="s">
        <v>10123</v>
      </c>
      <c r="I2568" s="344">
        <v>45767.0</v>
      </c>
      <c r="J2568" s="540">
        <v>45793.0</v>
      </c>
      <c r="K2568" s="46"/>
      <c r="L2568" s="295" t="s">
        <v>15320</v>
      </c>
      <c r="M2568" s="360" t="s">
        <v>10178</v>
      </c>
      <c r="N2568" s="360" t="s">
        <v>10179</v>
      </c>
      <c r="O2568" s="357">
        <v>4.0</v>
      </c>
      <c r="P2568" s="360" t="s">
        <v>10180</v>
      </c>
      <c r="Q2568" s="52" t="str">
        <f t="array" ref="Q2568"> if(iserror(MATCH(V2568, 'File Links'!C:C, 0)), "N/A", HYPERLINK(INDEX('File Links'!B:B, MATCH(P2568, 'File Links'!C:C, 0))))</f>
        <v>https://drive.google.com/file/d/1dD_RkFuxQxk3hkxXbqultnhFhN1opB9Y/view?usp=drivesdk</v>
      </c>
      <c r="R2568" s="360" t="s">
        <v>15108</v>
      </c>
      <c r="S2568" s="360" t="s">
        <v>10182</v>
      </c>
      <c r="T2568" s="509" t="s">
        <v>15239</v>
      </c>
      <c r="U2568" s="295">
        <v>11.0</v>
      </c>
      <c r="V2568" s="360" t="s">
        <v>10183</v>
      </c>
      <c r="W2568" s="295" t="s">
        <v>209</v>
      </c>
      <c r="X2568" s="54" t="str">
        <f t="array" ref="X2568"> if(iserror(MATCH(V2568, 'File Links'!C:C, 0)), "N/A", HYPERLINK(INDEX('File Links'!B:B, MATCH(V2568, 'File Links'!C:C, 0))))</f>
        <v>https://drive.google.com/file/d/1Irbmig3rfLDvz-G09jDAVwJvv1drYEqO/view?usp=drivesdk</v>
      </c>
      <c r="Y2568" s="46"/>
      <c r="Z2568" s="360" t="s">
        <v>2079</v>
      </c>
      <c r="AA2568" s="295" t="s">
        <v>10184</v>
      </c>
      <c r="AB2568" s="360" t="s">
        <v>15247</v>
      </c>
      <c r="AC2568" s="360" t="s">
        <v>15326</v>
      </c>
      <c r="AD2568" s="360" t="s">
        <v>15327</v>
      </c>
      <c r="AE2568" s="360" t="s">
        <v>15250</v>
      </c>
      <c r="AF2568" s="357">
        <v>251.0</v>
      </c>
      <c r="AG2568" s="360" t="s">
        <v>15328</v>
      </c>
      <c r="AH2568" s="360" t="s">
        <v>134</v>
      </c>
      <c r="AI2568" s="360" t="s">
        <v>305</v>
      </c>
      <c r="AJ2568" s="343" t="s">
        <v>138</v>
      </c>
      <c r="AK2568" s="343" t="s">
        <v>138</v>
      </c>
      <c r="AL2568" s="360" t="s">
        <v>186</v>
      </c>
      <c r="AM2568" s="360" t="s">
        <v>137</v>
      </c>
      <c r="AN2568" s="469" t="s">
        <v>138</v>
      </c>
      <c r="AO2568" s="357">
        <v>604.0</v>
      </c>
      <c r="AP2568" s="360" t="s">
        <v>15329</v>
      </c>
      <c r="AQ2568" s="360" t="s">
        <v>134</v>
      </c>
      <c r="AR2568" s="360" t="s">
        <v>7593</v>
      </c>
      <c r="AS2568" s="343" t="s">
        <v>138</v>
      </c>
      <c r="AT2568" s="343" t="s">
        <v>138</v>
      </c>
      <c r="AU2568" s="360" t="s">
        <v>186</v>
      </c>
      <c r="AV2568" s="360" t="s">
        <v>137</v>
      </c>
      <c r="AW2568" s="1308" t="s">
        <v>10190</v>
      </c>
      <c r="AX2568" s="360" t="s">
        <v>143</v>
      </c>
      <c r="AY2568" s="61" t="str">
        <f>IFERROR(__xludf.DUMMYFUNCTION("vlookup(BB2568,importrange(""https://docs.google.com/spreadsheets/d/1d2vevQ_7D_v35q4wCQ4RpQ_IPoTwEMB9Yp6ymwlPqew/edit?gid=984458430#gid=984458430"", ""'replication success'!A:K""), 11, FAlSE)"),"successful")</f>
        <v>successful</v>
      </c>
      <c r="AZ2568" s="61" t="str">
        <f>IFERROR(__xludf.DUMMYFUNCTION("vlookup(BB2568,importrange(""https://docs.google.com/spreadsheets/d/1d2vevQ_7D_v35q4wCQ4RpQ_IPoTwEMB9Yp6ymwlPqew/edit?gid=984458430#gid=984458430"", ""'replication success'!A:M""), 12, FAlSE)"),"[Figure 1]")</f>
        <v>[Figure 1]</v>
      </c>
      <c r="BA2568" s="61" t="str">
        <f>IFERROR(__xludf.DUMMYFUNCTION("vlookup(BB2568,importrange(""https://docs.google.com/spreadsheets/d/1d2vevQ_7D_v35q4wCQ4RpQ_IPoTwEMB9Yp6ymwlPqew/edit?gid=984458430#gid=984458430"", ""'replication success'!A:M""), 13, FAlSE)"),"pg. 2")</f>
        <v>pg. 2</v>
      </c>
      <c r="BB2568" s="61" t="str">
        <f>IFERROR(__xludf.DUMMYFUNCTION("REGEXREPLACE(G2568, ""_[a-z]{1,2}$"", """")"),"OpenMKT11")</f>
        <v>OpenMKT11</v>
      </c>
      <c r="BD2568" s="62" t="s">
        <v>1270</v>
      </c>
    </row>
    <row r="2569">
      <c r="A2569" s="44">
        <v>2569.0</v>
      </c>
      <c r="B2569" s="1800" t="s">
        <v>152</v>
      </c>
      <c r="C2569" s="1631" t="s">
        <v>115</v>
      </c>
      <c r="D2569" s="1631" t="s">
        <v>145</v>
      </c>
      <c r="E2569" s="1123"/>
      <c r="F2569" s="1632" t="s">
        <v>10175</v>
      </c>
      <c r="G2569" s="1634" t="s">
        <v>15330</v>
      </c>
      <c r="H2569" s="1634" t="s">
        <v>10123</v>
      </c>
      <c r="I2569" s="2120">
        <v>45767.0</v>
      </c>
      <c r="J2569" s="1802">
        <v>45793.0</v>
      </c>
      <c r="K2569" s="1632"/>
      <c r="L2569" s="1800" t="s">
        <v>15331</v>
      </c>
      <c r="M2569" s="1634" t="s">
        <v>10178</v>
      </c>
      <c r="N2569" s="1634" t="s">
        <v>10179</v>
      </c>
      <c r="O2569" s="1565">
        <v>4.0</v>
      </c>
      <c r="P2569" s="1634" t="s">
        <v>10180</v>
      </c>
      <c r="Q2569" s="52" t="str">
        <f t="array" ref="Q2569"> if(iserror(MATCH(V2569, 'File Links'!C:C, 0)), "N/A", HYPERLINK(INDEX('File Links'!B:B, MATCH(P2569, 'File Links'!C:C, 0))))</f>
        <v>https://drive.google.com/file/d/1dD_RkFuxQxk3hkxXbqultnhFhN1opB9Y/view?usp=drivesdk</v>
      </c>
      <c r="R2569" s="1634" t="s">
        <v>15108</v>
      </c>
      <c r="S2569" s="1634" t="s">
        <v>10182</v>
      </c>
      <c r="T2569" s="1638" t="s">
        <v>15239</v>
      </c>
      <c r="U2569" s="1800">
        <v>11.0</v>
      </c>
      <c r="V2569" s="1634" t="s">
        <v>10183</v>
      </c>
      <c r="W2569" s="1800" t="s">
        <v>209</v>
      </c>
      <c r="X2569" s="54" t="str">
        <f t="array" ref="X2569"> if(iserror(MATCH(V2569, 'File Links'!C:C, 0)), "N/A", HYPERLINK(INDEX('File Links'!B:B, MATCH(V2569, 'File Links'!C:C, 0))))</f>
        <v>https://drive.google.com/file/d/1Irbmig3rfLDvz-G09jDAVwJvv1drYEqO/view?usp=drivesdk</v>
      </c>
      <c r="Y2569" s="1632"/>
      <c r="Z2569" s="1634" t="s">
        <v>2079</v>
      </c>
      <c r="AA2569" s="1800" t="s">
        <v>10184</v>
      </c>
      <c r="AB2569" s="1634" t="s">
        <v>15247</v>
      </c>
      <c r="AC2569" s="1634" t="s">
        <v>15332</v>
      </c>
      <c r="AD2569" s="1634" t="s">
        <v>15333</v>
      </c>
      <c r="AE2569" s="1565">
        <v>17.0</v>
      </c>
      <c r="AF2569" s="1565">
        <v>251.0</v>
      </c>
      <c r="AG2569" s="1634" t="s">
        <v>15334</v>
      </c>
      <c r="AH2569" s="1634" t="s">
        <v>134</v>
      </c>
      <c r="AI2569" s="1634" t="s">
        <v>305</v>
      </c>
      <c r="AJ2569" s="491" t="s">
        <v>138</v>
      </c>
      <c r="AK2569" s="343" t="s">
        <v>138</v>
      </c>
      <c r="AL2569" s="1634" t="s">
        <v>186</v>
      </c>
      <c r="AM2569" s="1634" t="s">
        <v>137</v>
      </c>
      <c r="AN2569" s="469" t="s">
        <v>138</v>
      </c>
      <c r="AO2569" s="1565">
        <v>604.0</v>
      </c>
      <c r="AP2569" s="1634" t="s">
        <v>15335</v>
      </c>
      <c r="AQ2569" s="1634" t="s">
        <v>134</v>
      </c>
      <c r="AR2569" s="1634" t="s">
        <v>7593</v>
      </c>
      <c r="AS2569" s="343" t="s">
        <v>138</v>
      </c>
      <c r="AT2569" s="343" t="s">
        <v>138</v>
      </c>
      <c r="AU2569" s="1634" t="s">
        <v>186</v>
      </c>
      <c r="AV2569" s="1634" t="s">
        <v>137</v>
      </c>
      <c r="AW2569" s="1808" t="s">
        <v>10190</v>
      </c>
      <c r="AX2569" s="1634" t="s">
        <v>143</v>
      </c>
      <c r="AY2569" s="61" t="str">
        <f>IFERROR(__xludf.DUMMYFUNCTION("vlookup(BB2569,importrange(""https://docs.google.com/spreadsheets/d/1d2vevQ_7D_v35q4wCQ4RpQ_IPoTwEMB9Yp6ymwlPqew/edit?gid=984458430#gid=984458430"", ""'replication success'!A:K""), 11, FAlSE)"),"successful")</f>
        <v>successful</v>
      </c>
      <c r="AZ2569" s="61" t="str">
        <f>IFERROR(__xludf.DUMMYFUNCTION("vlookup(BB2569,importrange(""https://docs.google.com/spreadsheets/d/1d2vevQ_7D_v35q4wCQ4RpQ_IPoTwEMB9Yp6ymwlPqew/edit?gid=984458430#gid=984458430"", ""'replication success'!A:M""), 12, FAlSE)"),"[Figure 1]")</f>
        <v>[Figure 1]</v>
      </c>
      <c r="BA2569" s="61" t="str">
        <f>IFERROR(__xludf.DUMMYFUNCTION("vlookup(BB2569,importrange(""https://docs.google.com/spreadsheets/d/1d2vevQ_7D_v35q4wCQ4RpQ_IPoTwEMB9Yp6ymwlPqew/edit?gid=984458430#gid=984458430"", ""'replication success'!A:M""), 13, FAlSE)"),"pg. 2")</f>
        <v>pg. 2</v>
      </c>
      <c r="BB2569" s="61" t="str">
        <f>IFERROR(__xludf.DUMMYFUNCTION("REGEXREPLACE(G2569, ""_[a-z]{1,2}$"", """")"),"OpenMKT11")</f>
        <v>OpenMKT11</v>
      </c>
      <c r="BD2569" s="1631" t="s">
        <v>1270</v>
      </c>
      <c r="BE2569" s="1123"/>
      <c r="BF2569" s="1123"/>
      <c r="BG2569" s="1123"/>
      <c r="BH2569" s="1123"/>
      <c r="BI2569" s="1123"/>
      <c r="BJ2569" s="1123"/>
      <c r="BK2569" s="1123"/>
      <c r="BL2569" s="1123"/>
      <c r="BM2569" s="1123"/>
      <c r="BN2569" s="1123"/>
      <c r="BO2569" s="1123"/>
      <c r="BP2569" s="1123"/>
      <c r="BQ2569" s="1123"/>
      <c r="BR2569" s="1123"/>
      <c r="BS2569" s="1123"/>
      <c r="BT2569" s="1123"/>
      <c r="BU2569" s="1123"/>
      <c r="BV2569" s="1123"/>
      <c r="BW2569" s="1123"/>
      <c r="BX2569" s="1123"/>
      <c r="BY2569" s="1123"/>
      <c r="BZ2569" s="1123"/>
      <c r="CA2569" s="1123"/>
      <c r="CB2569" s="1123"/>
      <c r="CC2569" s="1123"/>
      <c r="CD2569" s="1123"/>
      <c r="CE2569" s="1123"/>
      <c r="CF2569" s="1123"/>
      <c r="CG2569" s="1123"/>
      <c r="CH2569" s="1123"/>
      <c r="CI2569" s="1123"/>
      <c r="CJ2569" s="1123"/>
      <c r="CK2569" s="1123"/>
      <c r="CL2569" s="1123"/>
      <c r="CM2569" s="1123"/>
      <c r="CN2569" s="1123"/>
      <c r="CO2569" s="1123"/>
      <c r="CP2569" s="1123"/>
      <c r="CQ2569" s="1123"/>
      <c r="CR2569" s="1123"/>
      <c r="CS2569" s="1123"/>
      <c r="CT2569" s="1123"/>
      <c r="CU2569" s="1123"/>
      <c r="CV2569" s="1123"/>
      <c r="CW2569" s="1123"/>
      <c r="CX2569" s="1123"/>
      <c r="CY2569" s="1123"/>
      <c r="CZ2569" s="1123"/>
      <c r="DA2569" s="1123"/>
      <c r="DB2569" s="1123"/>
      <c r="DC2569" s="1123"/>
      <c r="DD2569" s="1123"/>
      <c r="DE2569" s="1123"/>
      <c r="DF2569" s="1123"/>
      <c r="DG2569" s="1123"/>
      <c r="DH2569" s="1123"/>
      <c r="DI2569" s="1123"/>
      <c r="DJ2569" s="1123"/>
      <c r="DK2569" s="1123"/>
      <c r="DL2569" s="1123"/>
    </row>
    <row r="2570">
      <c r="A2570" s="44">
        <v>2570.0</v>
      </c>
      <c r="B2570" s="295" t="s">
        <v>114</v>
      </c>
      <c r="C2570" s="287" t="s">
        <v>115</v>
      </c>
      <c r="D2570" s="287" t="s">
        <v>145</v>
      </c>
      <c r="E2570" s="308"/>
      <c r="F2570" s="305" t="s">
        <v>10231</v>
      </c>
      <c r="G2570" s="290" t="s">
        <v>10232</v>
      </c>
      <c r="H2570" s="290" t="s">
        <v>10123</v>
      </c>
      <c r="I2570" s="2146">
        <v>45765.0</v>
      </c>
      <c r="J2570" s="1802">
        <v>45793.0</v>
      </c>
      <c r="K2570" s="305"/>
      <c r="L2570" s="295" t="s">
        <v>15336</v>
      </c>
      <c r="M2570" s="290" t="s">
        <v>10235</v>
      </c>
      <c r="N2570" s="290" t="s">
        <v>10236</v>
      </c>
      <c r="O2570" s="1563">
        <v>5.0</v>
      </c>
      <c r="P2570" s="290" t="s">
        <v>10237</v>
      </c>
      <c r="Q2570" s="52" t="str">
        <f t="array" ref="Q2570"> if(iserror(MATCH(V2570, 'File Links'!C:C, 0)), "N/A", HYPERLINK(INDEX('File Links'!B:B, MATCH(P2570, 'File Links'!C:C, 0))))</f>
        <v>https://drive.google.com/file/d/1hs6XpHWMiyMPANJzK7B4OuBvEZ7slY88/view?usp=drivesdk</v>
      </c>
      <c r="R2570" s="290" t="s">
        <v>15108</v>
      </c>
      <c r="S2570" s="290" t="s">
        <v>10182</v>
      </c>
      <c r="T2570" s="2149" t="s">
        <v>15239</v>
      </c>
      <c r="U2570" s="371">
        <v>19.0</v>
      </c>
      <c r="V2570" s="290" t="s">
        <v>10183</v>
      </c>
      <c r="W2570" s="1800" t="s">
        <v>209</v>
      </c>
      <c r="X2570" s="54" t="str">
        <f t="array" ref="X2570"> if(iserror(MATCH(V2570, 'File Links'!C:C, 0)), "N/A", HYPERLINK(INDEX('File Links'!B:B, MATCH(V2570, 'File Links'!C:C, 0))))</f>
        <v>https://drive.google.com/file/d/1Irbmig3rfLDvz-G09jDAVwJvv1drYEqO/view?usp=drivesdk</v>
      </c>
      <c r="Y2570" s="305"/>
      <c r="Z2570" s="290" t="s">
        <v>2079</v>
      </c>
      <c r="AA2570" s="303" t="s">
        <v>10238</v>
      </c>
      <c r="AB2570" s="290" t="s">
        <v>10239</v>
      </c>
      <c r="AC2570" s="290" t="s">
        <v>15337</v>
      </c>
      <c r="AD2570" s="290" t="s">
        <v>15338</v>
      </c>
      <c r="AE2570" s="290" t="s">
        <v>10604</v>
      </c>
      <c r="AF2570" s="1563">
        <v>377.0</v>
      </c>
      <c r="AG2570" s="290" t="s">
        <v>10242</v>
      </c>
      <c r="AH2570" s="290" t="s">
        <v>134</v>
      </c>
      <c r="AI2570" s="290" t="s">
        <v>307</v>
      </c>
      <c r="AJ2570" s="1563">
        <v>0.001</v>
      </c>
      <c r="AK2570" s="290" t="s">
        <v>135</v>
      </c>
      <c r="AL2570" s="290" t="s">
        <v>186</v>
      </c>
      <c r="AM2570" s="290" t="s">
        <v>137</v>
      </c>
      <c r="AN2570" s="469" t="s">
        <v>138</v>
      </c>
      <c r="AO2570" s="1563">
        <v>688.0</v>
      </c>
      <c r="AP2570" s="290" t="s">
        <v>15339</v>
      </c>
      <c r="AQ2570" s="290" t="s">
        <v>134</v>
      </c>
      <c r="AR2570" s="290" t="s">
        <v>15340</v>
      </c>
      <c r="AS2570" s="1563">
        <v>0.001</v>
      </c>
      <c r="AT2570" s="290" t="s">
        <v>135</v>
      </c>
      <c r="AU2570" s="290" t="s">
        <v>186</v>
      </c>
      <c r="AV2570" s="290" t="s">
        <v>137</v>
      </c>
      <c r="AW2570" s="2164" t="s">
        <v>10246</v>
      </c>
      <c r="AX2570" s="290" t="s">
        <v>143</v>
      </c>
      <c r="AY2570" s="61" t="str">
        <f>IFERROR(__xludf.DUMMYFUNCTION("vlookup(BB2570,importrange(""https://docs.google.com/spreadsheets/d/1d2vevQ_7D_v35q4wCQ4RpQ_IPoTwEMB9Yp6ymwlPqew/edit?gid=984458430#gid=984458430"", ""'replication success'!A:K""), 11, FAlSE)"),"successful")</f>
        <v>successful</v>
      </c>
      <c r="AZ2570" s="61" t="str">
        <f>IFERROR(__xludf.DUMMYFUNCTION("vlookup(BB2570,importrange(""https://docs.google.com/spreadsheets/d/1d2vevQ_7D_v35q4wCQ4RpQ_IPoTwEMB9Yp6ymwlPqew/edit?gid=984458430#gid=984458430"", ""'replication success'!A:M""), 12, FAlSE)"),"[Figure 1]")</f>
        <v>[Figure 1]</v>
      </c>
      <c r="BA2570" s="61" t="str">
        <f>IFERROR(__xludf.DUMMYFUNCTION("vlookup(BB2570,importrange(""https://docs.google.com/spreadsheets/d/1d2vevQ_7D_v35q4wCQ4RpQ_IPoTwEMB9Yp6ymwlPqew/edit?gid=984458430#gid=984458430"", ""'replication success'!A:M""), 13, FAlSE)"),"pg. 2")</f>
        <v>pg. 2</v>
      </c>
      <c r="BB2570" s="61" t="str">
        <f>IFERROR(__xludf.DUMMYFUNCTION("REGEXREPLACE(G2570, ""_[a-z]{1,2}$"", """")"),"OpenMKT12")</f>
        <v>OpenMKT12</v>
      </c>
      <c r="BD2570" s="1631" t="s">
        <v>1270</v>
      </c>
      <c r="BE2570" s="308"/>
      <c r="BF2570" s="308"/>
      <c r="BG2570" s="308"/>
      <c r="BH2570" s="308"/>
      <c r="BI2570" s="308"/>
      <c r="BJ2570" s="308"/>
      <c r="BK2570" s="308"/>
      <c r="BL2570" s="308"/>
      <c r="BM2570" s="308"/>
      <c r="BN2570" s="308"/>
      <c r="BO2570" s="308"/>
      <c r="BP2570" s="308"/>
      <c r="BQ2570" s="308"/>
      <c r="BR2570" s="308"/>
      <c r="BS2570" s="308"/>
      <c r="BT2570" s="308"/>
      <c r="BU2570" s="308"/>
      <c r="BV2570" s="308"/>
      <c r="BW2570" s="308"/>
      <c r="BX2570" s="308"/>
      <c r="BY2570" s="308"/>
      <c r="BZ2570" s="308"/>
      <c r="CA2570" s="308"/>
      <c r="CB2570" s="308"/>
      <c r="CC2570" s="308"/>
      <c r="CD2570" s="308"/>
      <c r="CE2570" s="308"/>
      <c r="CF2570" s="308"/>
      <c r="CG2570" s="308"/>
      <c r="CH2570" s="308"/>
      <c r="CI2570" s="308"/>
      <c r="CJ2570" s="308"/>
      <c r="CK2570" s="308"/>
      <c r="CL2570" s="308"/>
      <c r="CM2570" s="308"/>
      <c r="CN2570" s="308"/>
      <c r="CO2570" s="308"/>
      <c r="CP2570" s="308"/>
      <c r="CQ2570" s="308"/>
      <c r="CR2570" s="308"/>
      <c r="CS2570" s="308"/>
      <c r="CT2570" s="308"/>
      <c r="CU2570" s="308"/>
      <c r="CV2570" s="308"/>
      <c r="CW2570" s="308"/>
      <c r="CX2570" s="308"/>
      <c r="CY2570" s="308"/>
      <c r="CZ2570" s="308"/>
      <c r="DA2570" s="308"/>
      <c r="DB2570" s="308"/>
      <c r="DC2570" s="308"/>
      <c r="DD2570" s="308"/>
      <c r="DE2570" s="308"/>
      <c r="DF2570" s="308"/>
      <c r="DG2570" s="308"/>
      <c r="DH2570" s="308"/>
      <c r="DI2570" s="308"/>
      <c r="DJ2570" s="308"/>
      <c r="DK2570" s="308"/>
      <c r="DL2570" s="308"/>
    </row>
    <row r="2571">
      <c r="A2571" s="44">
        <v>2571.0</v>
      </c>
      <c r="B2571" s="129" t="s">
        <v>114</v>
      </c>
      <c r="C2571" s="62" t="s">
        <v>115</v>
      </c>
      <c r="D2571" s="62" t="s">
        <v>145</v>
      </c>
      <c r="F2571" s="68" t="s">
        <v>10231</v>
      </c>
      <c r="G2571" s="360" t="s">
        <v>10247</v>
      </c>
      <c r="H2571" s="360" t="s">
        <v>10123</v>
      </c>
      <c r="I2571" s="344">
        <v>45765.0</v>
      </c>
      <c r="J2571" s="1802">
        <v>45793.0</v>
      </c>
      <c r="K2571" s="46"/>
      <c r="L2571" s="56" t="s">
        <v>15336</v>
      </c>
      <c r="M2571" s="360" t="s">
        <v>10235</v>
      </c>
      <c r="N2571" s="360" t="s">
        <v>10236</v>
      </c>
      <c r="O2571" s="357">
        <v>5.0</v>
      </c>
      <c r="P2571" s="360" t="s">
        <v>10237</v>
      </c>
      <c r="Q2571" s="52" t="str">
        <f t="array" ref="Q2571"> if(iserror(MATCH(V2571, 'File Links'!C:C, 0)), "N/A", HYPERLINK(INDEX('File Links'!B:B, MATCH(P2571, 'File Links'!C:C, 0))))</f>
        <v>https://drive.google.com/file/d/1hs6XpHWMiyMPANJzK7B4OuBvEZ7slY88/view?usp=drivesdk</v>
      </c>
      <c r="R2571" s="360" t="s">
        <v>15108</v>
      </c>
      <c r="S2571" s="360" t="s">
        <v>10182</v>
      </c>
      <c r="T2571" s="509" t="s">
        <v>15239</v>
      </c>
      <c r="U2571" s="371">
        <v>19.0</v>
      </c>
      <c r="V2571" s="360" t="s">
        <v>10183</v>
      </c>
      <c r="W2571" s="1800" t="s">
        <v>209</v>
      </c>
      <c r="X2571" s="54" t="str">
        <f t="array" ref="X2571"> if(iserror(MATCH(V2571, 'File Links'!C:C, 0)), "N/A", HYPERLINK(INDEX('File Links'!B:B, MATCH(V2571, 'File Links'!C:C, 0))))</f>
        <v>https://drive.google.com/file/d/1Irbmig3rfLDvz-G09jDAVwJvv1drYEqO/view?usp=drivesdk</v>
      </c>
      <c r="Y2571" s="46"/>
      <c r="Z2571" s="360" t="s">
        <v>2079</v>
      </c>
      <c r="AA2571" s="303" t="s">
        <v>10238</v>
      </c>
      <c r="AB2571" s="360" t="s">
        <v>10239</v>
      </c>
      <c r="AC2571" s="360" t="s">
        <v>15341</v>
      </c>
      <c r="AD2571" s="360" t="s">
        <v>15342</v>
      </c>
      <c r="AE2571" s="360" t="s">
        <v>10604</v>
      </c>
      <c r="AF2571" s="357">
        <v>377.0</v>
      </c>
      <c r="AG2571" s="360" t="s">
        <v>10249</v>
      </c>
      <c r="AH2571" s="360" t="s">
        <v>134</v>
      </c>
      <c r="AI2571" s="360" t="s">
        <v>307</v>
      </c>
      <c r="AJ2571" s="357">
        <v>0.011</v>
      </c>
      <c r="AK2571" s="360" t="s">
        <v>172</v>
      </c>
      <c r="AL2571" s="360" t="s">
        <v>186</v>
      </c>
      <c r="AM2571" s="360" t="s">
        <v>137</v>
      </c>
      <c r="AN2571" s="469" t="s">
        <v>138</v>
      </c>
      <c r="AO2571" s="357">
        <v>688.0</v>
      </c>
      <c r="AP2571" s="360" t="s">
        <v>15343</v>
      </c>
      <c r="AQ2571" s="360" t="s">
        <v>134</v>
      </c>
      <c r="AR2571" s="360" t="s">
        <v>15340</v>
      </c>
      <c r="AS2571" s="357">
        <v>0.001</v>
      </c>
      <c r="AT2571" s="360" t="s">
        <v>172</v>
      </c>
      <c r="AU2571" s="360" t="s">
        <v>186</v>
      </c>
      <c r="AV2571" s="360" t="s">
        <v>137</v>
      </c>
      <c r="AW2571" s="1645" t="s">
        <v>10246</v>
      </c>
      <c r="AX2571" s="360" t="s">
        <v>143</v>
      </c>
      <c r="AY2571" s="61" t="str">
        <f>IFERROR(__xludf.DUMMYFUNCTION("vlookup(BB2571,importrange(""https://docs.google.com/spreadsheets/d/1d2vevQ_7D_v35q4wCQ4RpQ_IPoTwEMB9Yp6ymwlPqew/edit?gid=984458430#gid=984458430"", ""'replication success'!A:K""), 11, FAlSE)"),"successful")</f>
        <v>successful</v>
      </c>
      <c r="AZ2571" s="61" t="str">
        <f>IFERROR(__xludf.DUMMYFUNCTION("vlookup(BB2571,importrange(""https://docs.google.com/spreadsheets/d/1d2vevQ_7D_v35q4wCQ4RpQ_IPoTwEMB9Yp6ymwlPqew/edit?gid=984458430#gid=984458430"", ""'replication success'!A:M""), 12, FAlSE)"),"[Figure 1]")</f>
        <v>[Figure 1]</v>
      </c>
      <c r="BA2571" s="61" t="str">
        <f>IFERROR(__xludf.DUMMYFUNCTION("vlookup(BB2571,importrange(""https://docs.google.com/spreadsheets/d/1d2vevQ_7D_v35q4wCQ4RpQ_IPoTwEMB9Yp6ymwlPqew/edit?gid=984458430#gid=984458430"", ""'replication success'!A:M""), 13, FAlSE)"),"pg. 2")</f>
        <v>pg. 2</v>
      </c>
      <c r="BB2571" s="61" t="str">
        <f>IFERROR(__xludf.DUMMYFUNCTION("REGEXREPLACE(G2571, ""_[a-z]{1,2}$"", """")"),"OpenMKT12")</f>
        <v>OpenMKT12</v>
      </c>
      <c r="BD2571" s="1631" t="s">
        <v>1270</v>
      </c>
    </row>
    <row r="2572">
      <c r="A2572" s="44">
        <v>2572.0</v>
      </c>
      <c r="B2572" s="129" t="s">
        <v>114</v>
      </c>
      <c r="C2572" s="62" t="s">
        <v>115</v>
      </c>
      <c r="D2572" s="62" t="s">
        <v>145</v>
      </c>
      <c r="F2572" s="68" t="s">
        <v>10231</v>
      </c>
      <c r="G2572" s="360" t="s">
        <v>10253</v>
      </c>
      <c r="H2572" s="360" t="s">
        <v>10123</v>
      </c>
      <c r="I2572" s="344">
        <v>45765.0</v>
      </c>
      <c r="J2572" s="1802">
        <v>45793.0</v>
      </c>
      <c r="K2572" s="46"/>
      <c r="L2572" s="56" t="s">
        <v>15344</v>
      </c>
      <c r="M2572" s="360" t="s">
        <v>10235</v>
      </c>
      <c r="N2572" s="360" t="s">
        <v>10236</v>
      </c>
      <c r="O2572" s="357">
        <v>5.0</v>
      </c>
      <c r="P2572" s="360" t="s">
        <v>10237</v>
      </c>
      <c r="Q2572" s="52" t="str">
        <f t="array" ref="Q2572"> if(iserror(MATCH(V2572, 'File Links'!C:C, 0)), "N/A", HYPERLINK(INDEX('File Links'!B:B, MATCH(P2572, 'File Links'!C:C, 0))))</f>
        <v>https://drive.google.com/file/d/1hs6XpHWMiyMPANJzK7B4OuBvEZ7slY88/view?usp=drivesdk</v>
      </c>
      <c r="R2572" s="360" t="s">
        <v>15108</v>
      </c>
      <c r="S2572" s="360" t="s">
        <v>10182</v>
      </c>
      <c r="T2572" s="509" t="s">
        <v>15239</v>
      </c>
      <c r="U2572" s="371">
        <v>19.0</v>
      </c>
      <c r="V2572" s="360" t="s">
        <v>10183</v>
      </c>
      <c r="W2572" s="1800" t="s">
        <v>209</v>
      </c>
      <c r="X2572" s="54" t="str">
        <f t="array" ref="X2572"> if(iserror(MATCH(V2572, 'File Links'!C:C, 0)), "N/A", HYPERLINK(INDEX('File Links'!B:B, MATCH(V2572, 'File Links'!C:C, 0))))</f>
        <v>https://drive.google.com/file/d/1Irbmig3rfLDvz-G09jDAVwJvv1drYEqO/view?usp=drivesdk</v>
      </c>
      <c r="Y2572" s="46"/>
      <c r="Z2572" s="360" t="s">
        <v>2079</v>
      </c>
      <c r="AA2572" s="303" t="s">
        <v>10238</v>
      </c>
      <c r="AB2572" s="360" t="s">
        <v>10239</v>
      </c>
      <c r="AC2572" s="360" t="s">
        <v>15345</v>
      </c>
      <c r="AD2572" s="360" t="s">
        <v>15346</v>
      </c>
      <c r="AE2572" s="360" t="s">
        <v>10604</v>
      </c>
      <c r="AF2572" s="357">
        <v>377.0</v>
      </c>
      <c r="AG2572" s="360" t="s">
        <v>10255</v>
      </c>
      <c r="AH2572" s="360" t="s">
        <v>134</v>
      </c>
      <c r="AI2572" s="360" t="s">
        <v>307</v>
      </c>
      <c r="AJ2572" s="357">
        <v>0.002</v>
      </c>
      <c r="AK2572" s="360" t="s">
        <v>172</v>
      </c>
      <c r="AL2572" s="360" t="s">
        <v>186</v>
      </c>
      <c r="AM2572" s="360" t="s">
        <v>141</v>
      </c>
      <c r="AN2572" s="469" t="s">
        <v>138</v>
      </c>
      <c r="AO2572" s="357">
        <v>688.0</v>
      </c>
      <c r="AP2572" s="343">
        <v>0.018</v>
      </c>
      <c r="AQ2572" s="343" t="s">
        <v>874</v>
      </c>
      <c r="AR2572" s="360" t="s">
        <v>15340</v>
      </c>
      <c r="AS2572" s="357">
        <v>4.0E-4</v>
      </c>
      <c r="AT2572" s="360" t="s">
        <v>172</v>
      </c>
      <c r="AU2572" s="360" t="s">
        <v>186</v>
      </c>
      <c r="AV2572" s="360" t="s">
        <v>141</v>
      </c>
      <c r="AW2572" s="1645" t="s">
        <v>10246</v>
      </c>
      <c r="AX2572" s="360" t="s">
        <v>143</v>
      </c>
      <c r="AY2572" s="61" t="str">
        <f>IFERROR(__xludf.DUMMYFUNCTION("vlookup(BB2572,importrange(""https://docs.google.com/spreadsheets/d/1d2vevQ_7D_v35q4wCQ4RpQ_IPoTwEMB9Yp6ymwlPqew/edit?gid=984458430#gid=984458430"", ""'replication success'!A:K""), 11, FAlSE)"),"successful")</f>
        <v>successful</v>
      </c>
      <c r="AZ2572" s="61" t="str">
        <f>IFERROR(__xludf.DUMMYFUNCTION("vlookup(BB2572,importrange(""https://docs.google.com/spreadsheets/d/1d2vevQ_7D_v35q4wCQ4RpQ_IPoTwEMB9Yp6ymwlPqew/edit?gid=984458430#gid=984458430"", ""'replication success'!A:M""), 12, FAlSE)"),"[Figure 1]")</f>
        <v>[Figure 1]</v>
      </c>
      <c r="BA2572" s="61" t="str">
        <f>IFERROR(__xludf.DUMMYFUNCTION("vlookup(BB2572,importrange(""https://docs.google.com/spreadsheets/d/1d2vevQ_7D_v35q4wCQ4RpQ_IPoTwEMB9Yp6ymwlPqew/edit?gid=984458430#gid=984458430"", ""'replication success'!A:M""), 13, FAlSE)"),"pg. 2")</f>
        <v>pg. 2</v>
      </c>
      <c r="BB2572" s="61" t="str">
        <f>IFERROR(__xludf.DUMMYFUNCTION("REGEXREPLACE(G2572, ""_[a-z]{1,2}$"", """")"),"OpenMKT12")</f>
        <v>OpenMKT12</v>
      </c>
      <c r="BD2572" s="1631" t="s">
        <v>1270</v>
      </c>
    </row>
    <row r="2573">
      <c r="A2573" s="44">
        <v>2573.0</v>
      </c>
      <c r="B2573" s="1800" t="s">
        <v>114</v>
      </c>
      <c r="C2573" s="1631" t="s">
        <v>115</v>
      </c>
      <c r="D2573" s="1631" t="s">
        <v>145</v>
      </c>
      <c r="E2573" s="1123"/>
      <c r="F2573" s="1632" t="s">
        <v>10231</v>
      </c>
      <c r="G2573" s="1634" t="s">
        <v>10258</v>
      </c>
      <c r="H2573" s="1634" t="s">
        <v>10123</v>
      </c>
      <c r="I2573" s="2120">
        <v>45765.0</v>
      </c>
      <c r="J2573" s="1802">
        <v>45793.0</v>
      </c>
      <c r="K2573" s="1632"/>
      <c r="L2573" s="1800" t="s">
        <v>15344</v>
      </c>
      <c r="M2573" s="1634" t="s">
        <v>10235</v>
      </c>
      <c r="N2573" s="1634" t="s">
        <v>10236</v>
      </c>
      <c r="O2573" s="1565">
        <v>5.0</v>
      </c>
      <c r="P2573" s="1634" t="s">
        <v>10237</v>
      </c>
      <c r="Q2573" s="52" t="str">
        <f t="array" ref="Q2573"> if(iserror(MATCH(V2573, 'File Links'!C:C, 0)), "N/A", HYPERLINK(INDEX('File Links'!B:B, MATCH(P2573, 'File Links'!C:C, 0))))</f>
        <v>https://drive.google.com/file/d/1hs6XpHWMiyMPANJzK7B4OuBvEZ7slY88/view?usp=drivesdk</v>
      </c>
      <c r="R2573" s="1634" t="s">
        <v>15108</v>
      </c>
      <c r="S2573" s="1634" t="s">
        <v>10182</v>
      </c>
      <c r="T2573" s="1638" t="s">
        <v>15239</v>
      </c>
      <c r="U2573" s="1800">
        <v>19.0</v>
      </c>
      <c r="V2573" s="1634" t="s">
        <v>10183</v>
      </c>
      <c r="W2573" s="1800" t="s">
        <v>209</v>
      </c>
      <c r="X2573" s="54" t="str">
        <f t="array" ref="X2573"> if(iserror(MATCH(V2573, 'File Links'!C:C, 0)), "N/A", HYPERLINK(INDEX('File Links'!B:B, MATCH(V2573, 'File Links'!C:C, 0))))</f>
        <v>https://drive.google.com/file/d/1Irbmig3rfLDvz-G09jDAVwJvv1drYEqO/view?usp=drivesdk</v>
      </c>
      <c r="Y2573" s="1632"/>
      <c r="Z2573" s="1634" t="s">
        <v>2079</v>
      </c>
      <c r="AA2573" s="491" t="s">
        <v>10238</v>
      </c>
      <c r="AB2573" s="1634" t="s">
        <v>10239</v>
      </c>
      <c r="AC2573" s="1634" t="s">
        <v>15347</v>
      </c>
      <c r="AD2573" s="1634" t="s">
        <v>15348</v>
      </c>
      <c r="AE2573" s="1634" t="s">
        <v>10604</v>
      </c>
      <c r="AF2573" s="1565">
        <v>377.0</v>
      </c>
      <c r="AG2573" s="1634" t="s">
        <v>15349</v>
      </c>
      <c r="AH2573" s="1634" t="s">
        <v>134</v>
      </c>
      <c r="AI2573" s="1634" t="s">
        <v>307</v>
      </c>
      <c r="AJ2573" s="1634" t="s">
        <v>2382</v>
      </c>
      <c r="AK2573" s="1634" t="s">
        <v>1535</v>
      </c>
      <c r="AL2573" s="1634" t="s">
        <v>186</v>
      </c>
      <c r="AM2573" s="1634" t="s">
        <v>141</v>
      </c>
      <c r="AN2573" s="469" t="s">
        <v>138</v>
      </c>
      <c r="AO2573" s="1565">
        <v>688.0</v>
      </c>
      <c r="AP2573" s="491">
        <v>0.008</v>
      </c>
      <c r="AQ2573" s="491" t="s">
        <v>874</v>
      </c>
      <c r="AR2573" s="1634" t="s">
        <v>15340</v>
      </c>
      <c r="AS2573" s="1565">
        <v>0.001</v>
      </c>
      <c r="AT2573" s="1634" t="s">
        <v>135</v>
      </c>
      <c r="AU2573" s="1634" t="s">
        <v>186</v>
      </c>
      <c r="AV2573" s="1634" t="s">
        <v>141</v>
      </c>
      <c r="AW2573" s="2165" t="s">
        <v>10246</v>
      </c>
      <c r="AX2573" s="1634" t="s">
        <v>143</v>
      </c>
      <c r="AY2573" s="61" t="str">
        <f>IFERROR(__xludf.DUMMYFUNCTION("vlookup(BB2573,importrange(""https://docs.google.com/spreadsheets/d/1d2vevQ_7D_v35q4wCQ4RpQ_IPoTwEMB9Yp6ymwlPqew/edit?gid=984458430#gid=984458430"", ""'replication success'!A:K""), 11, FAlSE)"),"successful")</f>
        <v>successful</v>
      </c>
      <c r="AZ2573" s="61" t="str">
        <f>IFERROR(__xludf.DUMMYFUNCTION("vlookup(BB2573,importrange(""https://docs.google.com/spreadsheets/d/1d2vevQ_7D_v35q4wCQ4RpQ_IPoTwEMB9Yp6ymwlPqew/edit?gid=984458430#gid=984458430"", ""'replication success'!A:M""), 12, FAlSE)"),"[Figure 1]")</f>
        <v>[Figure 1]</v>
      </c>
      <c r="BA2573" s="61" t="str">
        <f>IFERROR(__xludf.DUMMYFUNCTION("vlookup(BB2573,importrange(""https://docs.google.com/spreadsheets/d/1d2vevQ_7D_v35q4wCQ4RpQ_IPoTwEMB9Yp6ymwlPqew/edit?gid=984458430#gid=984458430"", ""'replication success'!A:M""), 13, FAlSE)"),"pg. 2")</f>
        <v>pg. 2</v>
      </c>
      <c r="BB2573" s="61" t="str">
        <f>IFERROR(__xludf.DUMMYFUNCTION("REGEXREPLACE(G2573, ""_[a-z]{1,2}$"", """")"),"OpenMKT12")</f>
        <v>OpenMKT12</v>
      </c>
      <c r="BD2573" s="1631" t="s">
        <v>1270</v>
      </c>
      <c r="BE2573" s="1123"/>
      <c r="BF2573" s="1123"/>
      <c r="BG2573" s="1123"/>
      <c r="BH2573" s="1123"/>
      <c r="BI2573" s="1123"/>
      <c r="BJ2573" s="1123"/>
      <c r="BK2573" s="1123"/>
      <c r="BL2573" s="1123"/>
      <c r="BM2573" s="1123"/>
      <c r="BN2573" s="1123"/>
      <c r="BO2573" s="1123"/>
      <c r="BP2573" s="1123"/>
      <c r="BQ2573" s="1123"/>
      <c r="BR2573" s="1123"/>
      <c r="BS2573" s="1123"/>
      <c r="BT2573" s="1123"/>
      <c r="BU2573" s="1123"/>
      <c r="BV2573" s="1123"/>
      <c r="BW2573" s="1123"/>
      <c r="BX2573" s="1123"/>
      <c r="BY2573" s="1123"/>
      <c r="BZ2573" s="1123"/>
      <c r="CA2573" s="1123"/>
      <c r="CB2573" s="1123"/>
      <c r="CC2573" s="1123"/>
      <c r="CD2573" s="1123"/>
      <c r="CE2573" s="1123"/>
      <c r="CF2573" s="1123"/>
      <c r="CG2573" s="1123"/>
      <c r="CH2573" s="1123"/>
      <c r="CI2573" s="1123"/>
      <c r="CJ2573" s="1123"/>
      <c r="CK2573" s="1123"/>
      <c r="CL2573" s="1123"/>
      <c r="CM2573" s="1123"/>
      <c r="CN2573" s="1123"/>
      <c r="CO2573" s="1123"/>
      <c r="CP2573" s="1123"/>
      <c r="CQ2573" s="1123"/>
      <c r="CR2573" s="1123"/>
      <c r="CS2573" s="1123"/>
      <c r="CT2573" s="1123"/>
      <c r="CU2573" s="1123"/>
      <c r="CV2573" s="1123"/>
      <c r="CW2573" s="1123"/>
      <c r="CX2573" s="1123"/>
      <c r="CY2573" s="1123"/>
      <c r="CZ2573" s="1123"/>
      <c r="DA2573" s="1123"/>
      <c r="DB2573" s="1123"/>
      <c r="DC2573" s="1123"/>
      <c r="DD2573" s="1123"/>
      <c r="DE2573" s="1123"/>
      <c r="DF2573" s="1123"/>
      <c r="DG2573" s="1123"/>
      <c r="DH2573" s="1123"/>
      <c r="DI2573" s="1123"/>
      <c r="DJ2573" s="1123"/>
      <c r="DK2573" s="1123"/>
      <c r="DL2573" s="1123"/>
    </row>
    <row r="2574">
      <c r="A2574" s="44">
        <v>2574.0</v>
      </c>
      <c r="B2574" s="295" t="s">
        <v>114</v>
      </c>
      <c r="C2574" s="287" t="s">
        <v>115</v>
      </c>
      <c r="D2574" s="287" t="s">
        <v>145</v>
      </c>
      <c r="E2574" s="308"/>
      <c r="F2574" s="305" t="s">
        <v>10301</v>
      </c>
      <c r="G2574" s="290" t="s">
        <v>10302</v>
      </c>
      <c r="H2574" s="290" t="s">
        <v>10123</v>
      </c>
      <c r="I2574" s="2146">
        <v>45767.0</v>
      </c>
      <c r="J2574" s="293">
        <v>45793.0</v>
      </c>
      <c r="K2574" s="305"/>
      <c r="L2574" s="295" t="s">
        <v>15350</v>
      </c>
      <c r="M2574" s="290" t="s">
        <v>10303</v>
      </c>
      <c r="N2574" s="290" t="s">
        <v>10304</v>
      </c>
      <c r="O2574" s="1563">
        <v>4.0</v>
      </c>
      <c r="P2574" s="290" t="s">
        <v>10305</v>
      </c>
      <c r="Q2574" s="52" t="str">
        <f t="array" ref="Q2574"> if(iserror(MATCH(V2574, 'File Links'!C:C, 0)), "N/A", HYPERLINK(INDEX('File Links'!B:B, MATCH(P2574, 'File Links'!C:C, 0))))</f>
        <v>https://drive.google.com/file/d/1MEpc9c6ksJJFPoeqztJd7l8g_1S5mA-8/view?usp=drivesdk</v>
      </c>
      <c r="R2574" s="290" t="s">
        <v>15108</v>
      </c>
      <c r="S2574" s="290" t="s">
        <v>10182</v>
      </c>
      <c r="T2574" s="2149" t="s">
        <v>15239</v>
      </c>
      <c r="U2574" s="295">
        <v>15.0</v>
      </c>
      <c r="V2574" s="290" t="s">
        <v>10183</v>
      </c>
      <c r="W2574" s="1800" t="s">
        <v>209</v>
      </c>
      <c r="X2574" s="54" t="str">
        <f t="array" ref="X2574"> if(iserror(MATCH(V2574, 'File Links'!C:C, 0)), "N/A", HYPERLINK(INDEX('File Links'!B:B, MATCH(V2574, 'File Links'!C:C, 0))))</f>
        <v>https://drive.google.com/file/d/1Irbmig3rfLDvz-G09jDAVwJvv1drYEqO/view?usp=drivesdk</v>
      </c>
      <c r="Y2574" s="305"/>
      <c r="Z2574" s="290" t="s">
        <v>2079</v>
      </c>
      <c r="AA2574" s="295" t="s">
        <v>10306</v>
      </c>
      <c r="AB2574" s="290" t="s">
        <v>10307</v>
      </c>
      <c r="AC2574" s="290" t="s">
        <v>15351</v>
      </c>
      <c r="AD2574" s="290" t="s">
        <v>15352</v>
      </c>
      <c r="AE2574" s="1563">
        <v>26.0</v>
      </c>
      <c r="AF2574" s="1563">
        <v>157.0</v>
      </c>
      <c r="AG2574" s="303">
        <v>0.03</v>
      </c>
      <c r="AH2574" s="303" t="s">
        <v>874</v>
      </c>
      <c r="AI2574" s="290" t="s">
        <v>2301</v>
      </c>
      <c r="AJ2574" s="1563">
        <v>0.04</v>
      </c>
      <c r="AK2574" s="290" t="s">
        <v>172</v>
      </c>
      <c r="AL2574" s="290" t="s">
        <v>186</v>
      </c>
      <c r="AM2574" s="290" t="s">
        <v>137</v>
      </c>
      <c r="AN2574" s="469" t="s">
        <v>138</v>
      </c>
      <c r="AO2574" s="1563">
        <v>414.0</v>
      </c>
      <c r="AP2574" s="303">
        <v>0.001</v>
      </c>
      <c r="AQ2574" s="303" t="s">
        <v>874</v>
      </c>
      <c r="AR2574" s="290" t="s">
        <v>1144</v>
      </c>
      <c r="AS2574" s="1563">
        <v>0.45</v>
      </c>
      <c r="AT2574" s="290" t="s">
        <v>172</v>
      </c>
      <c r="AU2574" s="290" t="s">
        <v>186</v>
      </c>
      <c r="AV2574" s="290" t="s">
        <v>137</v>
      </c>
      <c r="AW2574" s="1814" t="s">
        <v>10312</v>
      </c>
      <c r="AX2574" s="290" t="s">
        <v>143</v>
      </c>
      <c r="AY2574" s="61" t="str">
        <f>IFERROR(__xludf.DUMMYFUNCTION("vlookup(BB2574,importrange(""https://docs.google.com/spreadsheets/d/1d2vevQ_7D_v35q4wCQ4RpQ_IPoTwEMB9Yp6ymwlPqew/edit?gid=984458430#gid=984458430"", ""'replication success'!A:K""), 11, FAlSE)"),"successful")</f>
        <v>successful</v>
      </c>
      <c r="AZ2574" s="61" t="str">
        <f>IFERROR(__xludf.DUMMYFUNCTION("vlookup(BB2574,importrange(""https://docs.google.com/spreadsheets/d/1d2vevQ_7D_v35q4wCQ4RpQ_IPoTwEMB9Yp6ymwlPqew/edit?gid=984458430#gid=984458430"", ""'replication success'!A:M""), 12, FAlSE)"),"[Figure 1]")</f>
        <v>[Figure 1]</v>
      </c>
      <c r="BA2574" s="61" t="str">
        <f>IFERROR(__xludf.DUMMYFUNCTION("vlookup(BB2574,importrange(""https://docs.google.com/spreadsheets/d/1d2vevQ_7D_v35q4wCQ4RpQ_IPoTwEMB9Yp6ymwlPqew/edit?gid=984458430#gid=984458430"", ""'replication success'!A:M""), 13, FAlSE)"),"pg. 2")</f>
        <v>pg. 2</v>
      </c>
      <c r="BB2574" s="61" t="str">
        <f>IFERROR(__xludf.DUMMYFUNCTION("REGEXREPLACE(G2574, ""_[a-z]{1,2}$"", """")"),"OpenMKT14")</f>
        <v>OpenMKT14</v>
      </c>
      <c r="BD2574" s="1631" t="s">
        <v>1270</v>
      </c>
      <c r="BE2574" s="308"/>
      <c r="BF2574" s="308"/>
      <c r="BG2574" s="308"/>
      <c r="BH2574" s="308"/>
      <c r="BI2574" s="308"/>
      <c r="BJ2574" s="308"/>
      <c r="BK2574" s="308"/>
      <c r="BL2574" s="308"/>
      <c r="BM2574" s="308"/>
      <c r="BN2574" s="308"/>
      <c r="BO2574" s="308"/>
      <c r="BP2574" s="308"/>
      <c r="BQ2574" s="308"/>
      <c r="BR2574" s="308"/>
      <c r="BS2574" s="308"/>
      <c r="BT2574" s="308"/>
      <c r="BU2574" s="308"/>
      <c r="BV2574" s="308"/>
      <c r="BW2574" s="308"/>
      <c r="BX2574" s="308"/>
      <c r="BY2574" s="308"/>
      <c r="BZ2574" s="308"/>
      <c r="CA2574" s="308"/>
      <c r="CB2574" s="308"/>
      <c r="CC2574" s="308"/>
      <c r="CD2574" s="308"/>
      <c r="CE2574" s="308"/>
      <c r="CF2574" s="308"/>
      <c r="CG2574" s="308"/>
      <c r="CH2574" s="308"/>
      <c r="CI2574" s="308"/>
      <c r="CJ2574" s="308"/>
      <c r="CK2574" s="308"/>
      <c r="CL2574" s="308"/>
      <c r="CM2574" s="308"/>
      <c r="CN2574" s="308"/>
      <c r="CO2574" s="308"/>
      <c r="CP2574" s="308"/>
      <c r="CQ2574" s="308"/>
      <c r="CR2574" s="308"/>
      <c r="CS2574" s="308"/>
      <c r="CT2574" s="308"/>
      <c r="CU2574" s="308"/>
      <c r="CV2574" s="308"/>
      <c r="CW2574" s="308"/>
      <c r="CX2574" s="308"/>
      <c r="CY2574" s="308"/>
      <c r="CZ2574" s="308"/>
      <c r="DA2574" s="308"/>
      <c r="DB2574" s="308"/>
      <c r="DC2574" s="308"/>
      <c r="DD2574" s="308"/>
      <c r="DE2574" s="308"/>
      <c r="DF2574" s="308"/>
      <c r="DG2574" s="308"/>
      <c r="DH2574" s="308"/>
      <c r="DI2574" s="308"/>
      <c r="DJ2574" s="308"/>
      <c r="DK2574" s="308"/>
      <c r="DL2574" s="308"/>
    </row>
    <row r="2575">
      <c r="A2575" s="44">
        <v>2575.0</v>
      </c>
      <c r="B2575" s="129" t="s">
        <v>114</v>
      </c>
      <c r="C2575" s="62" t="s">
        <v>115</v>
      </c>
      <c r="D2575" s="62" t="s">
        <v>145</v>
      </c>
      <c r="F2575" s="68" t="s">
        <v>10301</v>
      </c>
      <c r="G2575" s="360" t="s">
        <v>10313</v>
      </c>
      <c r="H2575" s="360" t="s">
        <v>10123</v>
      </c>
      <c r="I2575" s="344">
        <v>45767.0</v>
      </c>
      <c r="J2575" s="1802">
        <v>45793.0</v>
      </c>
      <c r="K2575" s="46"/>
      <c r="L2575" s="295" t="s">
        <v>15295</v>
      </c>
      <c r="M2575" s="360" t="s">
        <v>10303</v>
      </c>
      <c r="N2575" s="360" t="s">
        <v>10304</v>
      </c>
      <c r="O2575" s="357">
        <v>4.0</v>
      </c>
      <c r="P2575" s="360" t="s">
        <v>10305</v>
      </c>
      <c r="Q2575" s="52" t="str">
        <f t="array" ref="Q2575"> if(iserror(MATCH(V2575, 'File Links'!C:C, 0)), "N/A", HYPERLINK(INDEX('File Links'!B:B, MATCH(P2575, 'File Links'!C:C, 0))))</f>
        <v>https://drive.google.com/file/d/1MEpc9c6ksJJFPoeqztJd7l8g_1S5mA-8/view?usp=drivesdk</v>
      </c>
      <c r="R2575" s="360" t="s">
        <v>15108</v>
      </c>
      <c r="S2575" s="360" t="s">
        <v>10182</v>
      </c>
      <c r="T2575" s="509" t="s">
        <v>15239</v>
      </c>
      <c r="U2575" s="56">
        <v>15.0</v>
      </c>
      <c r="V2575" s="360" t="s">
        <v>10183</v>
      </c>
      <c r="W2575" s="1800" t="s">
        <v>209</v>
      </c>
      <c r="X2575" s="54" t="str">
        <f t="array" ref="X2575"> if(iserror(MATCH(V2575, 'File Links'!C:C, 0)), "N/A", HYPERLINK(INDEX('File Links'!B:B, MATCH(V2575, 'File Links'!C:C, 0))))</f>
        <v>https://drive.google.com/file/d/1Irbmig3rfLDvz-G09jDAVwJvv1drYEqO/view?usp=drivesdk</v>
      </c>
      <c r="Y2575" s="46"/>
      <c r="Z2575" s="360" t="s">
        <v>2079</v>
      </c>
      <c r="AA2575" s="295" t="s">
        <v>10306</v>
      </c>
      <c r="AB2575" s="360" t="s">
        <v>10307</v>
      </c>
      <c r="AC2575" s="360" t="s">
        <v>15353</v>
      </c>
      <c r="AD2575" s="360" t="s">
        <v>15354</v>
      </c>
      <c r="AE2575" s="357">
        <v>27.0</v>
      </c>
      <c r="AF2575" s="357">
        <v>157.0</v>
      </c>
      <c r="AG2575" s="357">
        <v>-0.38</v>
      </c>
      <c r="AH2575" s="360" t="s">
        <v>987</v>
      </c>
      <c r="AI2575" s="360" t="s">
        <v>3484</v>
      </c>
      <c r="AJ2575" s="357">
        <v>0.005</v>
      </c>
      <c r="AK2575" s="360" t="s">
        <v>172</v>
      </c>
      <c r="AL2575" s="360" t="s">
        <v>186</v>
      </c>
      <c r="AM2575" s="360" t="s">
        <v>137</v>
      </c>
      <c r="AN2575" s="469" t="s">
        <v>138</v>
      </c>
      <c r="AO2575" s="357">
        <v>414.0</v>
      </c>
      <c r="AP2575" s="357">
        <v>0.43</v>
      </c>
      <c r="AQ2575" s="360" t="s">
        <v>987</v>
      </c>
      <c r="AR2575" s="360" t="s">
        <v>5754</v>
      </c>
      <c r="AS2575" s="357">
        <v>0.001</v>
      </c>
      <c r="AT2575" s="360" t="s">
        <v>135</v>
      </c>
      <c r="AU2575" s="360" t="s">
        <v>186</v>
      </c>
      <c r="AV2575" s="360" t="s">
        <v>137</v>
      </c>
      <c r="AW2575" s="1814" t="s">
        <v>10312</v>
      </c>
      <c r="AX2575" s="360" t="s">
        <v>143</v>
      </c>
      <c r="AY2575" s="61" t="str">
        <f>IFERROR(__xludf.DUMMYFUNCTION("vlookup(BB2575,importrange(""https://docs.google.com/spreadsheets/d/1d2vevQ_7D_v35q4wCQ4RpQ_IPoTwEMB9Yp6ymwlPqew/edit?gid=984458430#gid=984458430"", ""'replication success'!A:K""), 11, FAlSE)"),"successful")</f>
        <v>successful</v>
      </c>
      <c r="AZ2575" s="61" t="str">
        <f>IFERROR(__xludf.DUMMYFUNCTION("vlookup(BB2575,importrange(""https://docs.google.com/spreadsheets/d/1d2vevQ_7D_v35q4wCQ4RpQ_IPoTwEMB9Yp6ymwlPqew/edit?gid=984458430#gid=984458430"", ""'replication success'!A:M""), 12, FAlSE)"),"[Figure 1]")</f>
        <v>[Figure 1]</v>
      </c>
      <c r="BA2575" s="61" t="str">
        <f>IFERROR(__xludf.DUMMYFUNCTION("vlookup(BB2575,importrange(""https://docs.google.com/spreadsheets/d/1d2vevQ_7D_v35q4wCQ4RpQ_IPoTwEMB9Yp6ymwlPqew/edit?gid=984458430#gid=984458430"", ""'replication success'!A:M""), 13, FAlSE)"),"pg. 2")</f>
        <v>pg. 2</v>
      </c>
      <c r="BB2575" s="61" t="str">
        <f>IFERROR(__xludf.DUMMYFUNCTION("REGEXREPLACE(G2575, ""_[a-z]{1,2}$"", """")"),"OpenMKT14")</f>
        <v>OpenMKT14</v>
      </c>
      <c r="BD2575" s="1631" t="s">
        <v>1270</v>
      </c>
    </row>
    <row r="2576">
      <c r="A2576" s="44">
        <v>2576.0</v>
      </c>
      <c r="B2576" s="129" t="s">
        <v>114</v>
      </c>
      <c r="C2576" s="62" t="s">
        <v>115</v>
      </c>
      <c r="D2576" s="62" t="s">
        <v>145</v>
      </c>
      <c r="F2576" s="68" t="s">
        <v>10301</v>
      </c>
      <c r="G2576" s="360" t="s">
        <v>10317</v>
      </c>
      <c r="H2576" s="360" t="s">
        <v>10123</v>
      </c>
      <c r="I2576" s="344">
        <v>45767.0</v>
      </c>
      <c r="J2576" s="1802">
        <v>45793.0</v>
      </c>
      <c r="K2576" s="46"/>
      <c r="L2576" s="295" t="s">
        <v>15295</v>
      </c>
      <c r="M2576" s="360" t="s">
        <v>10303</v>
      </c>
      <c r="N2576" s="360" t="s">
        <v>10304</v>
      </c>
      <c r="O2576" s="357">
        <v>4.0</v>
      </c>
      <c r="P2576" s="360" t="s">
        <v>10305</v>
      </c>
      <c r="Q2576" s="52" t="str">
        <f t="array" ref="Q2576"> if(iserror(MATCH(V2576, 'File Links'!C:C, 0)), "N/A", HYPERLINK(INDEX('File Links'!B:B, MATCH(P2576, 'File Links'!C:C, 0))))</f>
        <v>https://drive.google.com/file/d/1MEpc9c6ksJJFPoeqztJd7l8g_1S5mA-8/view?usp=drivesdk</v>
      </c>
      <c r="R2576" s="360" t="s">
        <v>15108</v>
      </c>
      <c r="S2576" s="360" t="s">
        <v>10182</v>
      </c>
      <c r="T2576" s="509" t="s">
        <v>15239</v>
      </c>
      <c r="U2576" s="56">
        <v>15.0</v>
      </c>
      <c r="V2576" s="360" t="s">
        <v>10183</v>
      </c>
      <c r="W2576" s="1800" t="s">
        <v>209</v>
      </c>
      <c r="X2576" s="54" t="str">
        <f t="array" ref="X2576"> if(iserror(MATCH(V2576, 'File Links'!C:C, 0)), "N/A", HYPERLINK(INDEX('File Links'!B:B, MATCH(V2576, 'File Links'!C:C, 0))))</f>
        <v>https://drive.google.com/file/d/1Irbmig3rfLDvz-G09jDAVwJvv1drYEqO/view?usp=drivesdk</v>
      </c>
      <c r="Y2576" s="46"/>
      <c r="Z2576" s="360" t="s">
        <v>2079</v>
      </c>
      <c r="AA2576" s="295" t="s">
        <v>10306</v>
      </c>
      <c r="AB2576" s="360" t="s">
        <v>10307</v>
      </c>
      <c r="AC2576" s="360" t="s">
        <v>15355</v>
      </c>
      <c r="AD2576" s="360" t="s">
        <v>15356</v>
      </c>
      <c r="AE2576" s="357">
        <v>27.0</v>
      </c>
      <c r="AF2576" s="357">
        <v>157.0</v>
      </c>
      <c r="AG2576" s="357">
        <v>0.02</v>
      </c>
      <c r="AH2576" s="360" t="s">
        <v>987</v>
      </c>
      <c r="AI2576" s="360" t="s">
        <v>3484</v>
      </c>
      <c r="AJ2576" s="357">
        <v>0.001</v>
      </c>
      <c r="AK2576" s="360" t="s">
        <v>135</v>
      </c>
      <c r="AL2576" s="360" t="s">
        <v>186</v>
      </c>
      <c r="AM2576" s="360" t="s">
        <v>137</v>
      </c>
      <c r="AN2576" s="469" t="s">
        <v>138</v>
      </c>
      <c r="AO2576" s="357">
        <v>414.0</v>
      </c>
      <c r="AP2576" s="357">
        <v>0.001</v>
      </c>
      <c r="AQ2576" s="360" t="s">
        <v>987</v>
      </c>
      <c r="AR2576" s="360" t="s">
        <v>5754</v>
      </c>
      <c r="AS2576" s="357">
        <v>0.9</v>
      </c>
      <c r="AT2576" s="360" t="s">
        <v>172</v>
      </c>
      <c r="AU2576" s="360" t="s">
        <v>186</v>
      </c>
      <c r="AV2576" s="360" t="s">
        <v>137</v>
      </c>
      <c r="AW2576" s="1814" t="s">
        <v>10312</v>
      </c>
      <c r="AX2576" s="360" t="s">
        <v>143</v>
      </c>
      <c r="AY2576" s="61" t="str">
        <f>IFERROR(__xludf.DUMMYFUNCTION("vlookup(BB2576,importrange(""https://docs.google.com/spreadsheets/d/1d2vevQ_7D_v35q4wCQ4RpQ_IPoTwEMB9Yp6ymwlPqew/edit?gid=984458430#gid=984458430"", ""'replication success'!A:K""), 11, FAlSE)"),"successful")</f>
        <v>successful</v>
      </c>
      <c r="AZ2576" s="61" t="str">
        <f>IFERROR(__xludf.DUMMYFUNCTION("vlookup(BB2576,importrange(""https://docs.google.com/spreadsheets/d/1d2vevQ_7D_v35q4wCQ4RpQ_IPoTwEMB9Yp6ymwlPqew/edit?gid=984458430#gid=984458430"", ""'replication success'!A:M""), 12, FAlSE)"),"[Figure 1]")</f>
        <v>[Figure 1]</v>
      </c>
      <c r="BA2576" s="61" t="str">
        <f>IFERROR(__xludf.DUMMYFUNCTION("vlookup(BB2576,importrange(""https://docs.google.com/spreadsheets/d/1d2vevQ_7D_v35q4wCQ4RpQ_IPoTwEMB9Yp6ymwlPqew/edit?gid=984458430#gid=984458430"", ""'replication success'!A:M""), 13, FAlSE)"),"pg. 2")</f>
        <v>pg. 2</v>
      </c>
      <c r="BB2576" s="61" t="str">
        <f>IFERROR(__xludf.DUMMYFUNCTION("REGEXREPLACE(G2576, ""_[a-z]{1,2}$"", """")"),"OpenMKT14")</f>
        <v>OpenMKT14</v>
      </c>
      <c r="BD2576" s="1631" t="s">
        <v>1270</v>
      </c>
    </row>
    <row r="2577">
      <c r="A2577" s="44">
        <v>2577.0</v>
      </c>
      <c r="B2577" s="295" t="s">
        <v>114</v>
      </c>
      <c r="C2577" s="287" t="s">
        <v>115</v>
      </c>
      <c r="D2577" s="287" t="s">
        <v>145</v>
      </c>
      <c r="E2577" s="308"/>
      <c r="F2577" s="305" t="s">
        <v>10301</v>
      </c>
      <c r="G2577" s="290" t="s">
        <v>10322</v>
      </c>
      <c r="H2577" s="290" t="s">
        <v>10123</v>
      </c>
      <c r="I2577" s="2146">
        <v>45767.0</v>
      </c>
      <c r="J2577" s="293">
        <v>45793.0</v>
      </c>
      <c r="K2577" s="305"/>
      <c r="L2577" s="295" t="s">
        <v>15295</v>
      </c>
      <c r="M2577" s="290" t="s">
        <v>10303</v>
      </c>
      <c r="N2577" s="290" t="s">
        <v>10304</v>
      </c>
      <c r="O2577" s="1563">
        <v>4.0</v>
      </c>
      <c r="P2577" s="290" t="s">
        <v>10305</v>
      </c>
      <c r="Q2577" s="52" t="str">
        <f t="array" ref="Q2577"> if(iserror(MATCH(V2577, 'File Links'!C:C, 0)), "N/A", HYPERLINK(INDEX('File Links'!B:B, MATCH(P2577, 'File Links'!C:C, 0))))</f>
        <v>https://drive.google.com/file/d/1MEpc9c6ksJJFPoeqztJd7l8g_1S5mA-8/view?usp=drivesdk</v>
      </c>
      <c r="R2577" s="290" t="s">
        <v>15108</v>
      </c>
      <c r="S2577" s="290" t="s">
        <v>10182</v>
      </c>
      <c r="T2577" s="2149" t="s">
        <v>15239</v>
      </c>
      <c r="U2577" s="295">
        <v>15.0</v>
      </c>
      <c r="V2577" s="290" t="s">
        <v>10183</v>
      </c>
      <c r="W2577" s="1800" t="s">
        <v>209</v>
      </c>
      <c r="X2577" s="54" t="str">
        <f t="array" ref="X2577"> if(iserror(MATCH(V2577, 'File Links'!C:C, 0)), "N/A", HYPERLINK(INDEX('File Links'!B:B, MATCH(V2577, 'File Links'!C:C, 0))))</f>
        <v>https://drive.google.com/file/d/1Irbmig3rfLDvz-G09jDAVwJvv1drYEqO/view?usp=drivesdk</v>
      </c>
      <c r="Y2577" s="305"/>
      <c r="Z2577" s="290" t="s">
        <v>2079</v>
      </c>
      <c r="AA2577" s="295" t="s">
        <v>10306</v>
      </c>
      <c r="AB2577" s="290" t="s">
        <v>10307</v>
      </c>
      <c r="AC2577" s="290" t="s">
        <v>15357</v>
      </c>
      <c r="AD2577" s="290" t="s">
        <v>15358</v>
      </c>
      <c r="AE2577" s="290" t="s">
        <v>15359</v>
      </c>
      <c r="AF2577" s="1563">
        <v>157.0</v>
      </c>
      <c r="AG2577" s="1563">
        <v>0.01</v>
      </c>
      <c r="AH2577" s="290" t="s">
        <v>987</v>
      </c>
      <c r="AI2577" s="290" t="s">
        <v>3484</v>
      </c>
      <c r="AJ2577" s="1563">
        <v>0.04</v>
      </c>
      <c r="AK2577" s="290" t="s">
        <v>172</v>
      </c>
      <c r="AL2577" s="290" t="s">
        <v>186</v>
      </c>
      <c r="AM2577" s="290" t="s">
        <v>137</v>
      </c>
      <c r="AN2577" s="469" t="s">
        <v>138</v>
      </c>
      <c r="AO2577" s="1563">
        <v>414.0</v>
      </c>
      <c r="AP2577" s="1563">
        <v>0.01</v>
      </c>
      <c r="AQ2577" s="290" t="s">
        <v>987</v>
      </c>
      <c r="AR2577" s="290" t="s">
        <v>5754</v>
      </c>
      <c r="AS2577" s="1563">
        <v>0.88</v>
      </c>
      <c r="AT2577" s="290" t="s">
        <v>172</v>
      </c>
      <c r="AU2577" s="290" t="s">
        <v>186</v>
      </c>
      <c r="AV2577" s="290" t="s">
        <v>137</v>
      </c>
      <c r="AW2577" s="1814" t="s">
        <v>10312</v>
      </c>
      <c r="AX2577" s="290" t="s">
        <v>143</v>
      </c>
      <c r="AY2577" s="61" t="str">
        <f>IFERROR(__xludf.DUMMYFUNCTION("vlookup(BB2577,importrange(""https://docs.google.com/spreadsheets/d/1d2vevQ_7D_v35q4wCQ4RpQ_IPoTwEMB9Yp6ymwlPqew/edit?gid=984458430#gid=984458430"", ""'replication success'!A:K""), 11, FAlSE)"),"successful")</f>
        <v>successful</v>
      </c>
      <c r="AZ2577" s="61" t="str">
        <f>IFERROR(__xludf.DUMMYFUNCTION("vlookup(BB2577,importrange(""https://docs.google.com/spreadsheets/d/1d2vevQ_7D_v35q4wCQ4RpQ_IPoTwEMB9Yp6ymwlPqew/edit?gid=984458430#gid=984458430"", ""'replication success'!A:M""), 12, FAlSE)"),"[Figure 1]")</f>
        <v>[Figure 1]</v>
      </c>
      <c r="BA2577" s="61" t="str">
        <f>IFERROR(__xludf.DUMMYFUNCTION("vlookup(BB2577,importrange(""https://docs.google.com/spreadsheets/d/1d2vevQ_7D_v35q4wCQ4RpQ_IPoTwEMB9Yp6ymwlPqew/edit?gid=984458430#gid=984458430"", ""'replication success'!A:M""), 13, FAlSE)"),"pg. 2")</f>
        <v>pg. 2</v>
      </c>
      <c r="BB2577" s="61" t="str">
        <f>IFERROR(__xludf.DUMMYFUNCTION("REGEXREPLACE(G2577, ""_[a-z]{1,2}$"", """")"),"OpenMKT14")</f>
        <v>OpenMKT14</v>
      </c>
      <c r="BD2577" s="1631" t="s">
        <v>1270</v>
      </c>
      <c r="BE2577" s="308"/>
      <c r="BF2577" s="308"/>
      <c r="BG2577" s="308"/>
      <c r="BH2577" s="308"/>
      <c r="BI2577" s="308"/>
      <c r="BJ2577" s="308"/>
      <c r="BK2577" s="308"/>
      <c r="BL2577" s="308"/>
      <c r="BM2577" s="308"/>
      <c r="BN2577" s="308"/>
      <c r="BO2577" s="308"/>
      <c r="BP2577" s="308"/>
      <c r="BQ2577" s="308"/>
      <c r="BR2577" s="308"/>
      <c r="BS2577" s="308"/>
      <c r="BT2577" s="308"/>
      <c r="BU2577" s="308"/>
      <c r="BV2577" s="308"/>
      <c r="BW2577" s="308"/>
      <c r="BX2577" s="308"/>
      <c r="BY2577" s="308"/>
      <c r="BZ2577" s="308"/>
      <c r="CA2577" s="308"/>
      <c r="CB2577" s="308"/>
      <c r="CC2577" s="308"/>
      <c r="CD2577" s="308"/>
      <c r="CE2577" s="308"/>
      <c r="CF2577" s="308"/>
      <c r="CG2577" s="308"/>
      <c r="CH2577" s="308"/>
      <c r="CI2577" s="308"/>
      <c r="CJ2577" s="308"/>
      <c r="CK2577" s="308"/>
      <c r="CL2577" s="308"/>
      <c r="CM2577" s="308"/>
      <c r="CN2577" s="308"/>
      <c r="CO2577" s="308"/>
      <c r="CP2577" s="308"/>
      <c r="CQ2577" s="308"/>
      <c r="CR2577" s="308"/>
      <c r="CS2577" s="308"/>
      <c r="CT2577" s="308"/>
      <c r="CU2577" s="308"/>
      <c r="CV2577" s="308"/>
      <c r="CW2577" s="308"/>
      <c r="CX2577" s="308"/>
      <c r="CY2577" s="308"/>
      <c r="CZ2577" s="308"/>
      <c r="DA2577" s="308"/>
      <c r="DB2577" s="308"/>
      <c r="DC2577" s="308"/>
      <c r="DD2577" s="308"/>
      <c r="DE2577" s="308"/>
      <c r="DF2577" s="308"/>
      <c r="DG2577" s="308"/>
      <c r="DH2577" s="308"/>
      <c r="DI2577" s="308"/>
      <c r="DJ2577" s="308"/>
      <c r="DK2577" s="308"/>
      <c r="DL2577" s="308"/>
    </row>
    <row r="2578">
      <c r="A2578" s="44">
        <v>2578.0</v>
      </c>
      <c r="B2578" s="129" t="s">
        <v>152</v>
      </c>
      <c r="C2578" s="62" t="s">
        <v>115</v>
      </c>
      <c r="D2578" s="62" t="s">
        <v>145</v>
      </c>
      <c r="F2578" s="68" t="s">
        <v>10335</v>
      </c>
      <c r="G2578" s="360" t="s">
        <v>10336</v>
      </c>
      <c r="H2578" s="360" t="s">
        <v>10123</v>
      </c>
      <c r="I2578" s="344">
        <v>45765.0</v>
      </c>
      <c r="J2578" s="1587">
        <v>45800.0</v>
      </c>
      <c r="K2578" s="46"/>
      <c r="L2578" s="56" t="s">
        <v>15360</v>
      </c>
      <c r="M2578" s="360" t="s">
        <v>10339</v>
      </c>
      <c r="N2578" s="360" t="s">
        <v>10340</v>
      </c>
      <c r="O2578" s="357">
        <v>2.0</v>
      </c>
      <c r="P2578" s="360" t="s">
        <v>10341</v>
      </c>
      <c r="Q2578" s="52" t="str">
        <f t="array" ref="Q2578"> if(iserror(MATCH(V2578, 'File Links'!C:C, 0)), "N/A", HYPERLINK(INDEX('File Links'!B:B, MATCH(P2578, 'File Links'!C:C, 0))))</f>
        <v>https://drive.google.com/file/d/1k1zAeWl01m62ZgoBtOmSJCCoqfFGxddZ/view?usp=drivesdk</v>
      </c>
      <c r="R2578" s="360" t="s">
        <v>15108</v>
      </c>
      <c r="S2578" s="360" t="s">
        <v>10182</v>
      </c>
      <c r="T2578" s="509" t="s">
        <v>15239</v>
      </c>
      <c r="U2578" s="56">
        <v>13.0</v>
      </c>
      <c r="V2578" s="360" t="s">
        <v>10183</v>
      </c>
      <c r="W2578" s="56" t="s">
        <v>209</v>
      </c>
      <c r="X2578" s="54" t="str">
        <f t="array" ref="X2578"> if(iserror(MATCH(V2578, 'File Links'!C:C, 0)), "N/A", HYPERLINK(INDEX('File Links'!B:B, MATCH(V2578, 'File Links'!C:C, 0))))</f>
        <v>https://drive.google.com/file/d/1Irbmig3rfLDvz-G09jDAVwJvv1drYEqO/view?usp=drivesdk</v>
      </c>
      <c r="Y2578" s="46"/>
      <c r="Z2578" s="360" t="s">
        <v>2079</v>
      </c>
      <c r="AA2578" s="343" t="s">
        <v>15361</v>
      </c>
      <c r="AB2578" s="360" t="s">
        <v>10343</v>
      </c>
      <c r="AC2578" s="360" t="s">
        <v>15362</v>
      </c>
      <c r="AD2578" s="360" t="s">
        <v>15363</v>
      </c>
      <c r="AE2578" s="357">
        <v>6.0</v>
      </c>
      <c r="AF2578" s="357">
        <v>133.0</v>
      </c>
      <c r="AG2578" s="357">
        <v>0.59</v>
      </c>
      <c r="AH2578" s="360" t="s">
        <v>173</v>
      </c>
      <c r="AI2578" s="360" t="s">
        <v>140</v>
      </c>
      <c r="AJ2578" s="357">
        <v>0.005</v>
      </c>
      <c r="AK2578" s="360" t="s">
        <v>172</v>
      </c>
      <c r="AL2578" s="360" t="s">
        <v>186</v>
      </c>
      <c r="AM2578" s="360" t="s">
        <v>137</v>
      </c>
      <c r="AN2578" s="469" t="s">
        <v>138</v>
      </c>
      <c r="AO2578" s="357">
        <v>319.0</v>
      </c>
      <c r="AP2578" s="343" t="s">
        <v>15364</v>
      </c>
      <c r="AQ2578" s="360" t="s">
        <v>134</v>
      </c>
      <c r="AR2578" s="360" t="s">
        <v>6970</v>
      </c>
      <c r="AS2578" s="357">
        <v>0.329</v>
      </c>
      <c r="AT2578" s="360" t="s">
        <v>172</v>
      </c>
      <c r="AU2578" s="360" t="s">
        <v>186</v>
      </c>
      <c r="AV2578" s="360" t="s">
        <v>137</v>
      </c>
      <c r="AW2578" s="1645" t="s">
        <v>10349</v>
      </c>
      <c r="AX2578" s="360" t="s">
        <v>143</v>
      </c>
      <c r="AY2578" s="61" t="str">
        <f>IFERROR(__xludf.DUMMYFUNCTION("vlookup(BB2578,importrange(""https://docs.google.com/spreadsheets/d/1d2vevQ_7D_v35q4wCQ4RpQ_IPoTwEMB9Yp6ymwlPqew/edit?gid=984458430#gid=984458430"", ""'replication success'!A:K""), 11, FAlSE)"),"failed")</f>
        <v>failed</v>
      </c>
      <c r="AZ2578" s="61" t="str">
        <f>IFERROR(__xludf.DUMMYFUNCTION("vlookup(BB2578,importrange(""https://docs.google.com/spreadsheets/d/1d2vevQ_7D_v35q4wCQ4RpQ_IPoTwEMB9Yp6ymwlPqew/edit?gid=984458430#gid=984458430"", ""'replication success'!A:M""), 12, FAlSE)"),"[Figure 1]")</f>
        <v>[Figure 1]</v>
      </c>
      <c r="BA2578" s="61" t="str">
        <f>IFERROR(__xludf.DUMMYFUNCTION("vlookup(BB2578,importrange(""https://docs.google.com/spreadsheets/d/1d2vevQ_7D_v35q4wCQ4RpQ_IPoTwEMB9Yp6ymwlPqew/edit?gid=984458430#gid=984458430"", ""'replication success'!A:M""), 13, FAlSE)"),"pg. 2")</f>
        <v>pg. 2</v>
      </c>
      <c r="BB2578" s="61" t="str">
        <f>IFERROR(__xludf.DUMMYFUNCTION("REGEXREPLACE(G2578, ""_[a-z]{1,2}$"", """")"),"OpenMKT15")</f>
        <v>OpenMKT15</v>
      </c>
      <c r="BD2578" s="1631" t="s">
        <v>1270</v>
      </c>
    </row>
    <row r="2579">
      <c r="A2579" s="44">
        <v>2579.0</v>
      </c>
      <c r="B2579" s="129" t="s">
        <v>152</v>
      </c>
      <c r="C2579" s="62" t="s">
        <v>115</v>
      </c>
      <c r="D2579" s="62" t="s">
        <v>145</v>
      </c>
      <c r="F2579" s="68" t="s">
        <v>10335</v>
      </c>
      <c r="G2579" s="360" t="s">
        <v>10350</v>
      </c>
      <c r="H2579" s="360" t="s">
        <v>10123</v>
      </c>
      <c r="I2579" s="344">
        <v>45765.0</v>
      </c>
      <c r="J2579" s="1587">
        <v>45800.0</v>
      </c>
      <c r="K2579" s="46"/>
      <c r="L2579" s="56" t="s">
        <v>15360</v>
      </c>
      <c r="M2579" s="360" t="s">
        <v>10339</v>
      </c>
      <c r="N2579" s="360" t="s">
        <v>10340</v>
      </c>
      <c r="O2579" s="357">
        <v>2.0</v>
      </c>
      <c r="P2579" s="360" t="s">
        <v>10341</v>
      </c>
      <c r="Q2579" s="52" t="str">
        <f t="array" ref="Q2579"> if(iserror(MATCH(V2579, 'File Links'!C:C, 0)), "N/A", HYPERLINK(INDEX('File Links'!B:B, MATCH(P2579, 'File Links'!C:C, 0))))</f>
        <v>https://drive.google.com/file/d/1k1zAeWl01m62ZgoBtOmSJCCoqfFGxddZ/view?usp=drivesdk</v>
      </c>
      <c r="R2579" s="360" t="s">
        <v>15108</v>
      </c>
      <c r="S2579" s="360" t="s">
        <v>10182</v>
      </c>
      <c r="T2579" s="509" t="s">
        <v>15239</v>
      </c>
      <c r="U2579" s="56">
        <v>13.0</v>
      </c>
      <c r="V2579" s="360" t="s">
        <v>10183</v>
      </c>
      <c r="W2579" s="56" t="s">
        <v>209</v>
      </c>
      <c r="X2579" s="54" t="str">
        <f t="array" ref="X2579"> if(iserror(MATCH(V2579, 'File Links'!C:C, 0)), "N/A", HYPERLINK(INDEX('File Links'!B:B, MATCH(V2579, 'File Links'!C:C, 0))))</f>
        <v>https://drive.google.com/file/d/1Irbmig3rfLDvz-G09jDAVwJvv1drYEqO/view?usp=drivesdk</v>
      </c>
      <c r="Y2579" s="46"/>
      <c r="Z2579" s="360" t="s">
        <v>2079</v>
      </c>
      <c r="AA2579" s="343" t="s">
        <v>15361</v>
      </c>
      <c r="AB2579" s="360" t="s">
        <v>10343</v>
      </c>
      <c r="AC2579" s="360" t="s">
        <v>15365</v>
      </c>
      <c r="AD2579" s="360" t="s">
        <v>15366</v>
      </c>
      <c r="AE2579" s="357">
        <v>6.0</v>
      </c>
      <c r="AF2579" s="357">
        <v>133.0</v>
      </c>
      <c r="AG2579" s="343" t="s">
        <v>15367</v>
      </c>
      <c r="AH2579" s="360" t="s">
        <v>134</v>
      </c>
      <c r="AI2579" s="360" t="s">
        <v>140</v>
      </c>
      <c r="AJ2579" s="357">
        <v>0.005</v>
      </c>
      <c r="AK2579" s="360" t="s">
        <v>172</v>
      </c>
      <c r="AL2579" s="360" t="s">
        <v>186</v>
      </c>
      <c r="AM2579" s="360" t="s">
        <v>137</v>
      </c>
      <c r="AN2579" s="469" t="s">
        <v>138</v>
      </c>
      <c r="AO2579" s="357">
        <v>319.0</v>
      </c>
      <c r="AP2579" s="343" t="s">
        <v>15368</v>
      </c>
      <c r="AQ2579" s="360" t="s">
        <v>134</v>
      </c>
      <c r="AR2579" s="360" t="s">
        <v>6970</v>
      </c>
      <c r="AS2579" s="357">
        <v>0.802</v>
      </c>
      <c r="AT2579" s="360" t="s">
        <v>172</v>
      </c>
      <c r="AU2579" s="360" t="s">
        <v>186</v>
      </c>
      <c r="AV2579" s="360" t="s">
        <v>137</v>
      </c>
      <c r="AW2579" s="1645" t="s">
        <v>10349</v>
      </c>
      <c r="AX2579" s="360" t="s">
        <v>143</v>
      </c>
      <c r="AY2579" s="61" t="str">
        <f>IFERROR(__xludf.DUMMYFUNCTION("vlookup(BB2579,importrange(""https://docs.google.com/spreadsheets/d/1d2vevQ_7D_v35q4wCQ4RpQ_IPoTwEMB9Yp6ymwlPqew/edit?gid=984458430#gid=984458430"", ""'replication success'!A:K""), 11, FAlSE)"),"failed")</f>
        <v>failed</v>
      </c>
      <c r="AZ2579" s="61" t="str">
        <f>IFERROR(__xludf.DUMMYFUNCTION("vlookup(BB2579,importrange(""https://docs.google.com/spreadsheets/d/1d2vevQ_7D_v35q4wCQ4RpQ_IPoTwEMB9Yp6ymwlPqew/edit?gid=984458430#gid=984458430"", ""'replication success'!A:M""), 12, FAlSE)"),"[Figure 1]")</f>
        <v>[Figure 1]</v>
      </c>
      <c r="BA2579" s="61" t="str">
        <f>IFERROR(__xludf.DUMMYFUNCTION("vlookup(BB2579,importrange(""https://docs.google.com/spreadsheets/d/1d2vevQ_7D_v35q4wCQ4RpQ_IPoTwEMB9Yp6ymwlPqew/edit?gid=984458430#gid=984458430"", ""'replication success'!A:M""), 13, FAlSE)"),"pg. 2")</f>
        <v>pg. 2</v>
      </c>
      <c r="BB2579" s="61" t="str">
        <f>IFERROR(__xludf.DUMMYFUNCTION("REGEXREPLACE(G2579, ""_[a-z]{1,2}$"", """")"),"OpenMKT15")</f>
        <v>OpenMKT15</v>
      </c>
      <c r="BD2579" s="1631" t="s">
        <v>1270</v>
      </c>
    </row>
    <row r="2580">
      <c r="A2580" s="44">
        <v>2580.0</v>
      </c>
      <c r="B2580" s="129" t="s">
        <v>152</v>
      </c>
      <c r="C2580" s="62" t="s">
        <v>115</v>
      </c>
      <c r="D2580" s="62" t="s">
        <v>145</v>
      </c>
      <c r="F2580" s="68" t="s">
        <v>10335</v>
      </c>
      <c r="G2580" s="360" t="s">
        <v>10357</v>
      </c>
      <c r="H2580" s="360" t="s">
        <v>10123</v>
      </c>
      <c r="I2580" s="344">
        <v>45765.0</v>
      </c>
      <c r="J2580" s="1587">
        <v>45800.0</v>
      </c>
      <c r="K2580" s="46"/>
      <c r="L2580" s="56" t="s">
        <v>15360</v>
      </c>
      <c r="M2580" s="360" t="s">
        <v>10339</v>
      </c>
      <c r="N2580" s="360" t="s">
        <v>10340</v>
      </c>
      <c r="O2580" s="357">
        <v>2.0</v>
      </c>
      <c r="P2580" s="360" t="s">
        <v>10341</v>
      </c>
      <c r="Q2580" s="52" t="str">
        <f t="array" ref="Q2580"> if(iserror(MATCH(V2580, 'File Links'!C:C, 0)), "N/A", HYPERLINK(INDEX('File Links'!B:B, MATCH(P2580, 'File Links'!C:C, 0))))</f>
        <v>https://drive.google.com/file/d/1k1zAeWl01m62ZgoBtOmSJCCoqfFGxddZ/view?usp=drivesdk</v>
      </c>
      <c r="R2580" s="360" t="s">
        <v>15108</v>
      </c>
      <c r="S2580" s="360" t="s">
        <v>10182</v>
      </c>
      <c r="T2580" s="509" t="s">
        <v>15239</v>
      </c>
      <c r="U2580" s="56">
        <v>13.0</v>
      </c>
      <c r="V2580" s="360" t="s">
        <v>10183</v>
      </c>
      <c r="W2580" s="56" t="s">
        <v>209</v>
      </c>
      <c r="X2580" s="54" t="str">
        <f t="array" ref="X2580"> if(iserror(MATCH(V2580, 'File Links'!C:C, 0)), "N/A", HYPERLINK(INDEX('File Links'!B:B, MATCH(V2580, 'File Links'!C:C, 0))))</f>
        <v>https://drive.google.com/file/d/1Irbmig3rfLDvz-G09jDAVwJvv1drYEqO/view?usp=drivesdk</v>
      </c>
      <c r="Y2580" s="46"/>
      <c r="Z2580" s="360" t="s">
        <v>2079</v>
      </c>
      <c r="AA2580" s="343" t="s">
        <v>15361</v>
      </c>
      <c r="AB2580" s="360" t="s">
        <v>10343</v>
      </c>
      <c r="AC2580" s="360" t="s">
        <v>15369</v>
      </c>
      <c r="AD2580" s="360" t="s">
        <v>15370</v>
      </c>
      <c r="AE2580" s="357">
        <v>6.0</v>
      </c>
      <c r="AF2580" s="357">
        <v>133.0</v>
      </c>
      <c r="AG2580" s="343" t="s">
        <v>15371</v>
      </c>
      <c r="AH2580" s="360" t="s">
        <v>134</v>
      </c>
      <c r="AI2580" s="360" t="s">
        <v>140</v>
      </c>
      <c r="AJ2580" s="357">
        <v>0.017</v>
      </c>
      <c r="AK2580" s="360" t="s">
        <v>172</v>
      </c>
      <c r="AL2580" s="360" t="s">
        <v>186</v>
      </c>
      <c r="AM2580" s="360" t="s">
        <v>137</v>
      </c>
      <c r="AN2580" s="469" t="s">
        <v>138</v>
      </c>
      <c r="AO2580" s="357">
        <v>319.0</v>
      </c>
      <c r="AP2580" s="343" t="s">
        <v>15372</v>
      </c>
      <c r="AQ2580" s="360" t="s">
        <v>134</v>
      </c>
      <c r="AR2580" s="360" t="s">
        <v>6970</v>
      </c>
      <c r="AS2580" s="357">
        <v>0.174</v>
      </c>
      <c r="AT2580" s="360" t="s">
        <v>172</v>
      </c>
      <c r="AU2580" s="360" t="s">
        <v>186</v>
      </c>
      <c r="AV2580" s="360" t="s">
        <v>137</v>
      </c>
      <c r="AW2580" s="1645" t="s">
        <v>10349</v>
      </c>
      <c r="AX2580" s="360" t="s">
        <v>143</v>
      </c>
      <c r="AY2580" s="61" t="str">
        <f>IFERROR(__xludf.DUMMYFUNCTION("vlookup(BB2580,importrange(""https://docs.google.com/spreadsheets/d/1d2vevQ_7D_v35q4wCQ4RpQ_IPoTwEMB9Yp6ymwlPqew/edit?gid=984458430#gid=984458430"", ""'replication success'!A:K""), 11, FAlSE)"),"failed")</f>
        <v>failed</v>
      </c>
      <c r="AZ2580" s="61" t="str">
        <f>IFERROR(__xludf.DUMMYFUNCTION("vlookup(BB2580,importrange(""https://docs.google.com/spreadsheets/d/1d2vevQ_7D_v35q4wCQ4RpQ_IPoTwEMB9Yp6ymwlPqew/edit?gid=984458430#gid=984458430"", ""'replication success'!A:M""), 12, FAlSE)"),"[Figure 1]")</f>
        <v>[Figure 1]</v>
      </c>
      <c r="BA2580" s="61" t="str">
        <f>IFERROR(__xludf.DUMMYFUNCTION("vlookup(BB2580,importrange(""https://docs.google.com/spreadsheets/d/1d2vevQ_7D_v35q4wCQ4RpQ_IPoTwEMB9Yp6ymwlPqew/edit?gid=984458430#gid=984458430"", ""'replication success'!A:M""), 13, FAlSE)"),"pg. 2")</f>
        <v>pg. 2</v>
      </c>
      <c r="BB2580" s="61" t="str">
        <f>IFERROR(__xludf.DUMMYFUNCTION("REGEXREPLACE(G2580, ""_[a-z]{1,2}$"", """")"),"OpenMKT15")</f>
        <v>OpenMKT15</v>
      </c>
      <c r="BD2580" s="1631" t="s">
        <v>1270</v>
      </c>
    </row>
    <row r="2581">
      <c r="A2581" s="44">
        <v>2581.0</v>
      </c>
      <c r="B2581" s="129" t="s">
        <v>152</v>
      </c>
      <c r="C2581" s="62" t="s">
        <v>115</v>
      </c>
      <c r="D2581" s="62" t="s">
        <v>145</v>
      </c>
      <c r="F2581" s="68" t="s">
        <v>10335</v>
      </c>
      <c r="G2581" s="360" t="s">
        <v>10363</v>
      </c>
      <c r="H2581" s="360" t="s">
        <v>10123</v>
      </c>
      <c r="I2581" s="344">
        <v>45765.0</v>
      </c>
      <c r="J2581" s="1587">
        <v>45800.0</v>
      </c>
      <c r="K2581" s="46"/>
      <c r="L2581" s="56" t="s">
        <v>15360</v>
      </c>
      <c r="M2581" s="360" t="s">
        <v>10339</v>
      </c>
      <c r="N2581" s="360" t="s">
        <v>10340</v>
      </c>
      <c r="O2581" s="357">
        <v>2.0</v>
      </c>
      <c r="P2581" s="360" t="s">
        <v>10341</v>
      </c>
      <c r="Q2581" s="52" t="str">
        <f t="array" ref="Q2581"> if(iserror(MATCH(V2581, 'File Links'!C:C, 0)), "N/A", HYPERLINK(INDEX('File Links'!B:B, MATCH(P2581, 'File Links'!C:C, 0))))</f>
        <v>https://drive.google.com/file/d/1k1zAeWl01m62ZgoBtOmSJCCoqfFGxddZ/view?usp=drivesdk</v>
      </c>
      <c r="R2581" s="360" t="s">
        <v>15108</v>
      </c>
      <c r="S2581" s="360" t="s">
        <v>10182</v>
      </c>
      <c r="T2581" s="509" t="s">
        <v>15239</v>
      </c>
      <c r="U2581" s="56">
        <v>13.0</v>
      </c>
      <c r="V2581" s="360" t="s">
        <v>10183</v>
      </c>
      <c r="W2581" s="56" t="s">
        <v>209</v>
      </c>
      <c r="X2581" s="54" t="str">
        <f t="array" ref="X2581"> if(iserror(MATCH(V2581, 'File Links'!C:C, 0)), "N/A", HYPERLINK(INDEX('File Links'!B:B, MATCH(V2581, 'File Links'!C:C, 0))))</f>
        <v>https://drive.google.com/file/d/1Irbmig3rfLDvz-G09jDAVwJvv1drYEqO/view?usp=drivesdk</v>
      </c>
      <c r="Y2581" s="46"/>
      <c r="Z2581" s="360" t="s">
        <v>2079</v>
      </c>
      <c r="AA2581" s="343" t="s">
        <v>15361</v>
      </c>
      <c r="AB2581" s="360" t="s">
        <v>10343</v>
      </c>
      <c r="AC2581" s="360" t="s">
        <v>15373</v>
      </c>
      <c r="AD2581" s="360" t="s">
        <v>15374</v>
      </c>
      <c r="AE2581" s="357">
        <v>6.0</v>
      </c>
      <c r="AF2581" s="357">
        <v>133.0</v>
      </c>
      <c r="AG2581" s="343" t="s">
        <v>15375</v>
      </c>
      <c r="AH2581" s="360" t="s">
        <v>134</v>
      </c>
      <c r="AI2581" s="360" t="s">
        <v>140</v>
      </c>
      <c r="AJ2581" s="343">
        <v>0.05</v>
      </c>
      <c r="AK2581" s="360" t="s">
        <v>335</v>
      </c>
      <c r="AL2581" s="360" t="s">
        <v>186</v>
      </c>
      <c r="AM2581" s="360" t="s">
        <v>137</v>
      </c>
      <c r="AN2581" s="469" t="s">
        <v>138</v>
      </c>
      <c r="AO2581" s="357">
        <v>319.0</v>
      </c>
      <c r="AP2581" s="343" t="s">
        <v>15376</v>
      </c>
      <c r="AQ2581" s="360" t="s">
        <v>134</v>
      </c>
      <c r="AR2581" s="360" t="s">
        <v>6970</v>
      </c>
      <c r="AS2581" s="357">
        <v>0.278</v>
      </c>
      <c r="AT2581" s="360" t="s">
        <v>172</v>
      </c>
      <c r="AU2581" s="360" t="s">
        <v>186</v>
      </c>
      <c r="AV2581" s="360" t="s">
        <v>137</v>
      </c>
      <c r="AW2581" s="1645" t="s">
        <v>10349</v>
      </c>
      <c r="AX2581" s="360" t="s">
        <v>143</v>
      </c>
      <c r="AY2581" s="61" t="str">
        <f>IFERROR(__xludf.DUMMYFUNCTION("vlookup(BB2581,importrange(""https://docs.google.com/spreadsheets/d/1d2vevQ_7D_v35q4wCQ4RpQ_IPoTwEMB9Yp6ymwlPqew/edit?gid=984458430#gid=984458430"", ""'replication success'!A:K""), 11, FAlSE)"),"failed")</f>
        <v>failed</v>
      </c>
      <c r="AZ2581" s="61" t="str">
        <f>IFERROR(__xludf.DUMMYFUNCTION("vlookup(BB2581,importrange(""https://docs.google.com/spreadsheets/d/1d2vevQ_7D_v35q4wCQ4RpQ_IPoTwEMB9Yp6ymwlPqew/edit?gid=984458430#gid=984458430"", ""'replication success'!A:M""), 12, FAlSE)"),"[Figure 1]")</f>
        <v>[Figure 1]</v>
      </c>
      <c r="BA2581" s="61" t="str">
        <f>IFERROR(__xludf.DUMMYFUNCTION("vlookup(BB2581,importrange(""https://docs.google.com/spreadsheets/d/1d2vevQ_7D_v35q4wCQ4RpQ_IPoTwEMB9Yp6ymwlPqew/edit?gid=984458430#gid=984458430"", ""'replication success'!A:M""), 13, FAlSE)"),"pg. 2")</f>
        <v>pg. 2</v>
      </c>
      <c r="BB2581" s="61" t="str">
        <f>IFERROR(__xludf.DUMMYFUNCTION("REGEXREPLACE(G2581, ""_[a-z]{1,2}$"", """")"),"OpenMKT15")</f>
        <v>OpenMKT15</v>
      </c>
      <c r="BD2581" s="1631" t="s">
        <v>1270</v>
      </c>
    </row>
    <row r="2582">
      <c r="A2582" s="44">
        <v>2582.0</v>
      </c>
      <c r="B2582" s="295" t="s">
        <v>114</v>
      </c>
      <c r="C2582" s="287" t="s">
        <v>115</v>
      </c>
      <c r="D2582" s="287" t="s">
        <v>145</v>
      </c>
      <c r="E2582" s="308"/>
      <c r="F2582" s="305" t="s">
        <v>10384</v>
      </c>
      <c r="G2582" s="290" t="s">
        <v>10385</v>
      </c>
      <c r="H2582" s="290" t="s">
        <v>10123</v>
      </c>
      <c r="I2582" s="2146">
        <v>45767.0</v>
      </c>
      <c r="J2582" s="293">
        <v>45800.0</v>
      </c>
      <c r="K2582" s="305"/>
      <c r="L2582" s="295" t="s">
        <v>15377</v>
      </c>
      <c r="M2582" s="290" t="s">
        <v>10387</v>
      </c>
      <c r="N2582" s="290" t="s">
        <v>10388</v>
      </c>
      <c r="O2582" s="1563">
        <v>5.0</v>
      </c>
      <c r="P2582" s="290" t="s">
        <v>10389</v>
      </c>
      <c r="Q2582" s="1816" t="str">
        <f t="array" ref="Q2582"> if(iserror(MATCH(V2582, 'File Links'!C:C, 0)), "N/A", HYPERLINK(INDEX('File Links'!B:B, MATCH(P2582, 'File Links'!C:C, 0))))</f>
        <v>https://drive.google.com/file/d/1SAkzHUXu2em_LOpzZzUsNAbEmhFQYt6z/view?usp=drivesdk</v>
      </c>
      <c r="R2582" s="290" t="s">
        <v>15108</v>
      </c>
      <c r="S2582" s="290" t="s">
        <v>10182</v>
      </c>
      <c r="T2582" s="2149" t="s">
        <v>15239</v>
      </c>
      <c r="U2582" s="295">
        <v>9.0</v>
      </c>
      <c r="V2582" s="290" t="s">
        <v>10183</v>
      </c>
      <c r="W2582" s="56" t="s">
        <v>209</v>
      </c>
      <c r="X2582" s="1817" t="str">
        <f t="array" ref="X2582"> if(iserror(MATCH(V2582, 'File Links'!C:C, 0)), "N/A", HYPERLINK(INDEX('File Links'!B:B, MATCH(V2582, 'File Links'!C:C, 0))))</f>
        <v>https://drive.google.com/file/d/1Irbmig3rfLDvz-G09jDAVwJvv1drYEqO/view?usp=drivesdk</v>
      </c>
      <c r="Y2582" s="305"/>
      <c r="Z2582" s="290" t="s">
        <v>2079</v>
      </c>
      <c r="AA2582" s="2158" t="s">
        <v>10390</v>
      </c>
      <c r="AB2582" s="290" t="s">
        <v>15378</v>
      </c>
      <c r="AC2582" s="290" t="s">
        <v>15379</v>
      </c>
      <c r="AD2582" s="290" t="s">
        <v>15380</v>
      </c>
      <c r="AE2582" s="290" t="s">
        <v>15381</v>
      </c>
      <c r="AF2582" s="1563">
        <v>160.0</v>
      </c>
      <c r="AG2582" s="290" t="s">
        <v>15382</v>
      </c>
      <c r="AH2582" s="290" t="s">
        <v>134</v>
      </c>
      <c r="AI2582" s="290" t="s">
        <v>10394</v>
      </c>
      <c r="AJ2582" s="1563">
        <v>0.001</v>
      </c>
      <c r="AK2582" s="290" t="s">
        <v>135</v>
      </c>
      <c r="AL2582" s="290" t="s">
        <v>186</v>
      </c>
      <c r="AM2582" s="290" t="s">
        <v>137</v>
      </c>
      <c r="AN2582" s="469" t="s">
        <v>138</v>
      </c>
      <c r="AO2582" s="1563">
        <v>389.0</v>
      </c>
      <c r="AP2582" s="290" t="s">
        <v>15383</v>
      </c>
      <c r="AQ2582" s="290" t="s">
        <v>134</v>
      </c>
      <c r="AR2582" s="290" t="s">
        <v>15384</v>
      </c>
      <c r="AS2582" s="1563">
        <v>0.001</v>
      </c>
      <c r="AT2582" s="290" t="s">
        <v>135</v>
      </c>
      <c r="AU2582" s="290" t="s">
        <v>186</v>
      </c>
      <c r="AV2582" s="290" t="s">
        <v>137</v>
      </c>
      <c r="AW2582" s="2166" t="s">
        <v>10398</v>
      </c>
      <c r="AX2582" s="290" t="s">
        <v>143</v>
      </c>
      <c r="AY2582" s="61" t="str">
        <f>IFERROR(__xludf.DUMMYFUNCTION("vlookup(BB2582,importrange(""https://docs.google.com/spreadsheets/d/1d2vevQ_7D_v35q4wCQ4RpQ_IPoTwEMB9Yp6ymwlPqew/edit?gid=984458430#gid=984458430"", ""'replication success'!A:K""), 11, FAlSE)"),"failed")</f>
        <v>failed</v>
      </c>
      <c r="AZ2582" s="61" t="str">
        <f>IFERROR(__xludf.DUMMYFUNCTION("vlookup(BB2582,importrange(""https://docs.google.com/spreadsheets/d/1d2vevQ_7D_v35q4wCQ4RpQ_IPoTwEMB9Yp6ymwlPqew/edit?gid=984458430#gid=984458430"", ""'replication success'!A:M""), 12, FAlSE)"),"[Figure 1]")</f>
        <v>[Figure 1]</v>
      </c>
      <c r="BA2582" s="61" t="str">
        <f>IFERROR(__xludf.DUMMYFUNCTION("vlookup(BB2582,importrange(""https://docs.google.com/spreadsheets/d/1d2vevQ_7D_v35q4wCQ4RpQ_IPoTwEMB9Yp6ymwlPqew/edit?gid=984458430#gid=984458430"", ""'replication success'!A:M""), 13, FAlSE)"),"pg. 2")</f>
        <v>pg. 2</v>
      </c>
      <c r="BB2582" s="61" t="str">
        <f>IFERROR(__xludf.DUMMYFUNCTION("REGEXREPLACE(G2582, ""_[a-z]{1,2}$"", """")"),"OpenMKT16")</f>
        <v>OpenMKT16</v>
      </c>
      <c r="BC2582" s="308"/>
      <c r="BD2582" s="1631" t="s">
        <v>1270</v>
      </c>
      <c r="BE2582" s="308"/>
      <c r="BF2582" s="308"/>
      <c r="BG2582" s="308"/>
      <c r="BH2582" s="308"/>
      <c r="BI2582" s="308"/>
      <c r="BJ2582" s="308"/>
      <c r="BK2582" s="308"/>
      <c r="BL2582" s="308"/>
      <c r="BM2582" s="308"/>
      <c r="BN2582" s="308"/>
      <c r="BO2582" s="308"/>
      <c r="BP2582" s="308"/>
      <c r="BQ2582" s="308"/>
      <c r="BR2582" s="308"/>
      <c r="BS2582" s="308"/>
      <c r="BT2582" s="308"/>
      <c r="BU2582" s="308"/>
      <c r="BV2582" s="308"/>
      <c r="BW2582" s="308"/>
      <c r="BX2582" s="308"/>
      <c r="BY2582" s="308"/>
      <c r="BZ2582" s="308"/>
      <c r="CA2582" s="308"/>
      <c r="CB2582" s="308"/>
      <c r="CC2582" s="308"/>
      <c r="CD2582" s="308"/>
      <c r="CE2582" s="308"/>
      <c r="CF2582" s="308"/>
      <c r="CG2582" s="308"/>
      <c r="CH2582" s="308"/>
      <c r="CI2582" s="308"/>
      <c r="CJ2582" s="308"/>
      <c r="CK2582" s="308"/>
      <c r="CL2582" s="308"/>
      <c r="CM2582" s="308"/>
      <c r="CN2582" s="308"/>
      <c r="CO2582" s="308"/>
      <c r="CP2582" s="308"/>
      <c r="CQ2582" s="308"/>
      <c r="CR2582" s="308"/>
      <c r="CS2582" s="308"/>
      <c r="CT2582" s="308"/>
      <c r="CU2582" s="308"/>
      <c r="CV2582" s="308"/>
      <c r="CW2582" s="308"/>
      <c r="CX2582" s="308"/>
      <c r="CY2582" s="308"/>
      <c r="CZ2582" s="308"/>
      <c r="DA2582" s="308"/>
      <c r="DB2582" s="308"/>
      <c r="DC2582" s="308"/>
      <c r="DD2582" s="308"/>
      <c r="DE2582" s="308"/>
      <c r="DF2582" s="308"/>
      <c r="DG2582" s="308"/>
      <c r="DH2582" s="308"/>
      <c r="DI2582" s="308"/>
      <c r="DJ2582" s="308"/>
      <c r="DK2582" s="308"/>
      <c r="DL2582" s="308"/>
    </row>
    <row r="2583">
      <c r="A2583" s="44">
        <v>2583.0</v>
      </c>
      <c r="B2583" s="129" t="s">
        <v>114</v>
      </c>
      <c r="C2583" s="62" t="s">
        <v>115</v>
      </c>
      <c r="D2583" s="62" t="s">
        <v>145</v>
      </c>
      <c r="F2583" s="68" t="s">
        <v>10384</v>
      </c>
      <c r="G2583" s="360" t="s">
        <v>10399</v>
      </c>
      <c r="H2583" s="360" t="s">
        <v>10123</v>
      </c>
      <c r="I2583" s="344">
        <v>45767.0</v>
      </c>
      <c r="J2583" s="293">
        <v>45800.0</v>
      </c>
      <c r="K2583" s="46"/>
      <c r="L2583" s="295" t="s">
        <v>15377</v>
      </c>
      <c r="M2583" s="360" t="s">
        <v>10387</v>
      </c>
      <c r="N2583" s="360" t="s">
        <v>10388</v>
      </c>
      <c r="O2583" s="357">
        <v>5.0</v>
      </c>
      <c r="P2583" s="360" t="s">
        <v>10389</v>
      </c>
      <c r="Q2583" s="52" t="str">
        <f t="array" ref="Q2583"> if(iserror(MATCH(V2583, 'File Links'!C:C, 0)), "N/A", HYPERLINK(INDEX('File Links'!B:B, MATCH(P2583, 'File Links'!C:C, 0))))</f>
        <v>https://drive.google.com/file/d/1SAkzHUXu2em_LOpzZzUsNAbEmhFQYt6z/view?usp=drivesdk</v>
      </c>
      <c r="R2583" s="360" t="s">
        <v>15108</v>
      </c>
      <c r="S2583" s="360" t="s">
        <v>10182</v>
      </c>
      <c r="T2583" s="509" t="s">
        <v>15239</v>
      </c>
      <c r="U2583" s="295">
        <v>9.0</v>
      </c>
      <c r="V2583" s="360" t="s">
        <v>10183</v>
      </c>
      <c r="W2583" s="56" t="s">
        <v>209</v>
      </c>
      <c r="X2583" s="54" t="str">
        <f t="array" ref="X2583"> if(iserror(MATCH(V2583, 'File Links'!C:C, 0)), "N/A", HYPERLINK(INDEX('File Links'!B:B, MATCH(V2583, 'File Links'!C:C, 0))))</f>
        <v>https://drive.google.com/file/d/1Irbmig3rfLDvz-G09jDAVwJvv1drYEqO/view?usp=drivesdk</v>
      </c>
      <c r="Y2583" s="46"/>
      <c r="Z2583" s="360" t="s">
        <v>2079</v>
      </c>
      <c r="AA2583" s="2158" t="s">
        <v>10390</v>
      </c>
      <c r="AB2583" s="360" t="s">
        <v>15378</v>
      </c>
      <c r="AC2583" s="360" t="s">
        <v>15385</v>
      </c>
      <c r="AD2583" s="360" t="s">
        <v>15386</v>
      </c>
      <c r="AE2583" s="360" t="s">
        <v>15381</v>
      </c>
      <c r="AF2583" s="357">
        <v>160.0</v>
      </c>
      <c r="AG2583" s="360" t="s">
        <v>1535</v>
      </c>
      <c r="AH2583" s="167" t="s">
        <v>138</v>
      </c>
      <c r="AI2583" s="360" t="s">
        <v>10394</v>
      </c>
      <c r="AJ2583" s="357">
        <v>0.75</v>
      </c>
      <c r="AK2583" s="360" t="s">
        <v>335</v>
      </c>
      <c r="AL2583" s="360" t="s">
        <v>186</v>
      </c>
      <c r="AM2583" s="360" t="s">
        <v>137</v>
      </c>
      <c r="AN2583" s="469" t="s">
        <v>138</v>
      </c>
      <c r="AO2583" s="357">
        <v>389.0</v>
      </c>
      <c r="AP2583" s="360" t="s">
        <v>15387</v>
      </c>
      <c r="AQ2583" s="360" t="s">
        <v>134</v>
      </c>
      <c r="AR2583" s="360" t="s">
        <v>15384</v>
      </c>
      <c r="AS2583" s="357">
        <v>0.12</v>
      </c>
      <c r="AT2583" s="360" t="s">
        <v>172</v>
      </c>
      <c r="AU2583" s="360" t="s">
        <v>186</v>
      </c>
      <c r="AV2583" s="360" t="s">
        <v>137</v>
      </c>
      <c r="AW2583" s="2166" t="s">
        <v>10398</v>
      </c>
      <c r="AX2583" s="360" t="s">
        <v>143</v>
      </c>
      <c r="AY2583" s="61" t="str">
        <f>IFERROR(__xludf.DUMMYFUNCTION("vlookup(BB2583,importrange(""https://docs.google.com/spreadsheets/d/1d2vevQ_7D_v35q4wCQ4RpQ_IPoTwEMB9Yp6ymwlPqew/edit?gid=984458430#gid=984458430"", ""'replication success'!A:K""), 11, FAlSE)"),"failed")</f>
        <v>failed</v>
      </c>
      <c r="AZ2583" s="61" t="str">
        <f>IFERROR(__xludf.DUMMYFUNCTION("vlookup(BB2583,importrange(""https://docs.google.com/spreadsheets/d/1d2vevQ_7D_v35q4wCQ4RpQ_IPoTwEMB9Yp6ymwlPqew/edit?gid=984458430#gid=984458430"", ""'replication success'!A:M""), 12, FAlSE)"),"[Figure 1]")</f>
        <v>[Figure 1]</v>
      </c>
      <c r="BA2583" s="61" t="str">
        <f>IFERROR(__xludf.DUMMYFUNCTION("vlookup(BB2583,importrange(""https://docs.google.com/spreadsheets/d/1d2vevQ_7D_v35q4wCQ4RpQ_IPoTwEMB9Yp6ymwlPqew/edit?gid=984458430#gid=984458430"", ""'replication success'!A:M""), 13, FAlSE)"),"pg. 2")</f>
        <v>pg. 2</v>
      </c>
      <c r="BB2583" s="61" t="str">
        <f>IFERROR(__xludf.DUMMYFUNCTION("REGEXREPLACE(G2583, ""_[a-z]{1,2}$"", """")"),"OpenMKT16")</f>
        <v>OpenMKT16</v>
      </c>
      <c r="BD2583" s="1631" t="s">
        <v>1270</v>
      </c>
    </row>
    <row r="2584">
      <c r="A2584" s="44">
        <v>2584.0</v>
      </c>
      <c r="B2584" s="129" t="s">
        <v>114</v>
      </c>
      <c r="C2584" s="62" t="s">
        <v>115</v>
      </c>
      <c r="D2584" s="62" t="s">
        <v>145</v>
      </c>
      <c r="F2584" s="68" t="s">
        <v>10384</v>
      </c>
      <c r="G2584" s="360" t="s">
        <v>10403</v>
      </c>
      <c r="H2584" s="360" t="s">
        <v>10123</v>
      </c>
      <c r="I2584" s="344">
        <v>45767.0</v>
      </c>
      <c r="J2584" s="293">
        <v>45800.0</v>
      </c>
      <c r="K2584" s="46"/>
      <c r="L2584" s="295" t="s">
        <v>15377</v>
      </c>
      <c r="M2584" s="360" t="s">
        <v>10387</v>
      </c>
      <c r="N2584" s="360" t="s">
        <v>10388</v>
      </c>
      <c r="O2584" s="357">
        <v>5.0</v>
      </c>
      <c r="P2584" s="360" t="s">
        <v>10389</v>
      </c>
      <c r="Q2584" s="52" t="str">
        <f t="array" ref="Q2584"> if(iserror(MATCH(V2584, 'File Links'!C:C, 0)), "N/A", HYPERLINK(INDEX('File Links'!B:B, MATCH(P2584, 'File Links'!C:C, 0))))</f>
        <v>https://drive.google.com/file/d/1SAkzHUXu2em_LOpzZzUsNAbEmhFQYt6z/view?usp=drivesdk</v>
      </c>
      <c r="R2584" s="360" t="s">
        <v>15108</v>
      </c>
      <c r="S2584" s="360" t="s">
        <v>10182</v>
      </c>
      <c r="T2584" s="509" t="s">
        <v>15239</v>
      </c>
      <c r="U2584" s="295">
        <v>9.0</v>
      </c>
      <c r="V2584" s="360" t="s">
        <v>10183</v>
      </c>
      <c r="W2584" s="56" t="s">
        <v>209</v>
      </c>
      <c r="X2584" s="54" t="str">
        <f t="array" ref="X2584"> if(iserror(MATCH(V2584, 'File Links'!C:C, 0)), "N/A", HYPERLINK(INDEX('File Links'!B:B, MATCH(V2584, 'File Links'!C:C, 0))))</f>
        <v>https://drive.google.com/file/d/1Irbmig3rfLDvz-G09jDAVwJvv1drYEqO/view?usp=drivesdk</v>
      </c>
      <c r="Y2584" s="46"/>
      <c r="Z2584" s="360" t="s">
        <v>2079</v>
      </c>
      <c r="AA2584" s="2158" t="s">
        <v>10390</v>
      </c>
      <c r="AB2584" s="360" t="s">
        <v>15378</v>
      </c>
      <c r="AC2584" s="360" t="s">
        <v>15388</v>
      </c>
      <c r="AD2584" s="360" t="s">
        <v>15389</v>
      </c>
      <c r="AE2584" s="360" t="s">
        <v>15381</v>
      </c>
      <c r="AF2584" s="357">
        <v>160.0</v>
      </c>
      <c r="AG2584" s="360" t="s">
        <v>1535</v>
      </c>
      <c r="AH2584" s="167" t="s">
        <v>138</v>
      </c>
      <c r="AI2584" s="360" t="s">
        <v>10394</v>
      </c>
      <c r="AJ2584" s="357">
        <v>0.13</v>
      </c>
      <c r="AK2584" s="360" t="s">
        <v>335</v>
      </c>
      <c r="AL2584" s="360" t="s">
        <v>186</v>
      </c>
      <c r="AM2584" s="360" t="s">
        <v>137</v>
      </c>
      <c r="AN2584" s="469" t="s">
        <v>138</v>
      </c>
      <c r="AO2584" s="357">
        <v>389.0</v>
      </c>
      <c r="AP2584" s="360" t="s">
        <v>15390</v>
      </c>
      <c r="AQ2584" s="360" t="s">
        <v>134</v>
      </c>
      <c r="AR2584" s="360" t="s">
        <v>15384</v>
      </c>
      <c r="AS2584" s="357">
        <v>0.253</v>
      </c>
      <c r="AT2584" s="360" t="s">
        <v>172</v>
      </c>
      <c r="AU2584" s="360" t="s">
        <v>186</v>
      </c>
      <c r="AV2584" s="360" t="s">
        <v>137</v>
      </c>
      <c r="AW2584" s="2166" t="s">
        <v>10398</v>
      </c>
      <c r="AX2584" s="360" t="s">
        <v>143</v>
      </c>
      <c r="AY2584" s="61" t="str">
        <f>IFERROR(__xludf.DUMMYFUNCTION("vlookup(BB2584,importrange(""https://docs.google.com/spreadsheets/d/1d2vevQ_7D_v35q4wCQ4RpQ_IPoTwEMB9Yp6ymwlPqew/edit?gid=984458430#gid=984458430"", ""'replication success'!A:K""), 11, FAlSE)"),"failed")</f>
        <v>failed</v>
      </c>
      <c r="AZ2584" s="61" t="str">
        <f>IFERROR(__xludf.DUMMYFUNCTION("vlookup(BB2584,importrange(""https://docs.google.com/spreadsheets/d/1d2vevQ_7D_v35q4wCQ4RpQ_IPoTwEMB9Yp6ymwlPqew/edit?gid=984458430#gid=984458430"", ""'replication success'!A:M""), 12, FAlSE)"),"[Figure 1]")</f>
        <v>[Figure 1]</v>
      </c>
      <c r="BA2584" s="61" t="str">
        <f>IFERROR(__xludf.DUMMYFUNCTION("vlookup(BB2584,importrange(""https://docs.google.com/spreadsheets/d/1d2vevQ_7D_v35q4wCQ4RpQ_IPoTwEMB9Yp6ymwlPqew/edit?gid=984458430#gid=984458430"", ""'replication success'!A:M""), 13, FAlSE)"),"pg. 2")</f>
        <v>pg. 2</v>
      </c>
      <c r="BB2584" s="61" t="str">
        <f>IFERROR(__xludf.DUMMYFUNCTION("REGEXREPLACE(G2584, ""_[a-z]{1,2}$"", """")"),"OpenMKT16")</f>
        <v>OpenMKT16</v>
      </c>
      <c r="BD2584" s="1631" t="s">
        <v>1270</v>
      </c>
    </row>
    <row r="2585">
      <c r="A2585" s="44">
        <v>2585.0</v>
      </c>
      <c r="B2585" s="129" t="s">
        <v>114</v>
      </c>
      <c r="C2585" s="62" t="s">
        <v>115</v>
      </c>
      <c r="D2585" s="62" t="s">
        <v>145</v>
      </c>
      <c r="F2585" s="68" t="s">
        <v>10384</v>
      </c>
      <c r="G2585" s="360" t="s">
        <v>10407</v>
      </c>
      <c r="H2585" s="360" t="s">
        <v>10123</v>
      </c>
      <c r="I2585" s="344">
        <v>45767.0</v>
      </c>
      <c r="J2585" s="293">
        <v>45800.0</v>
      </c>
      <c r="K2585" s="46"/>
      <c r="L2585" s="295" t="s">
        <v>15377</v>
      </c>
      <c r="M2585" s="360" t="s">
        <v>10387</v>
      </c>
      <c r="N2585" s="360" t="s">
        <v>10388</v>
      </c>
      <c r="O2585" s="357">
        <v>5.0</v>
      </c>
      <c r="P2585" s="360" t="s">
        <v>10389</v>
      </c>
      <c r="Q2585" s="52" t="str">
        <f t="array" ref="Q2585"> if(iserror(MATCH(V2585, 'File Links'!C:C, 0)), "N/A", HYPERLINK(INDEX('File Links'!B:B, MATCH(P2585, 'File Links'!C:C, 0))))</f>
        <v>https://drive.google.com/file/d/1SAkzHUXu2em_LOpzZzUsNAbEmhFQYt6z/view?usp=drivesdk</v>
      </c>
      <c r="R2585" s="360" t="s">
        <v>15108</v>
      </c>
      <c r="S2585" s="360" t="s">
        <v>10182</v>
      </c>
      <c r="T2585" s="509" t="s">
        <v>15239</v>
      </c>
      <c r="U2585" s="295">
        <v>9.0</v>
      </c>
      <c r="V2585" s="360" t="s">
        <v>10183</v>
      </c>
      <c r="W2585" s="56" t="s">
        <v>209</v>
      </c>
      <c r="X2585" s="54" t="str">
        <f t="array" ref="X2585"> if(iserror(MATCH(V2585, 'File Links'!C:C, 0)), "N/A", HYPERLINK(INDEX('File Links'!B:B, MATCH(V2585, 'File Links'!C:C, 0))))</f>
        <v>https://drive.google.com/file/d/1Irbmig3rfLDvz-G09jDAVwJvv1drYEqO/view?usp=drivesdk</v>
      </c>
      <c r="Y2585" s="46"/>
      <c r="Z2585" s="360" t="s">
        <v>2079</v>
      </c>
      <c r="AA2585" s="2158" t="s">
        <v>10390</v>
      </c>
      <c r="AB2585" s="360" t="s">
        <v>15378</v>
      </c>
      <c r="AC2585" s="360" t="s">
        <v>15391</v>
      </c>
      <c r="AD2585" s="360" t="s">
        <v>15392</v>
      </c>
      <c r="AE2585" s="360" t="s">
        <v>15393</v>
      </c>
      <c r="AF2585" s="357">
        <v>160.0</v>
      </c>
      <c r="AG2585" s="360" t="s">
        <v>10411</v>
      </c>
      <c r="AH2585" s="360" t="s">
        <v>134</v>
      </c>
      <c r="AI2585" s="360" t="s">
        <v>2366</v>
      </c>
      <c r="AJ2585" s="357">
        <v>0.044</v>
      </c>
      <c r="AK2585" s="360" t="s">
        <v>172</v>
      </c>
      <c r="AL2585" s="360" t="s">
        <v>186</v>
      </c>
      <c r="AM2585" s="360" t="s">
        <v>137</v>
      </c>
      <c r="AN2585" s="469" t="s">
        <v>138</v>
      </c>
      <c r="AO2585" s="357">
        <v>389.0</v>
      </c>
      <c r="AP2585" s="360" t="s">
        <v>15394</v>
      </c>
      <c r="AQ2585" s="360" t="s">
        <v>134</v>
      </c>
      <c r="AR2585" s="360" t="s">
        <v>15384</v>
      </c>
      <c r="AS2585" s="357">
        <v>0.105</v>
      </c>
      <c r="AT2585" s="360" t="s">
        <v>172</v>
      </c>
      <c r="AU2585" s="360" t="s">
        <v>186</v>
      </c>
      <c r="AV2585" s="360" t="s">
        <v>137</v>
      </c>
      <c r="AW2585" s="2166" t="s">
        <v>10398</v>
      </c>
      <c r="AX2585" s="360" t="s">
        <v>143</v>
      </c>
      <c r="AY2585" s="61" t="str">
        <f>IFERROR(__xludf.DUMMYFUNCTION("vlookup(BB2585,importrange(""https://docs.google.com/spreadsheets/d/1d2vevQ_7D_v35q4wCQ4RpQ_IPoTwEMB9Yp6ymwlPqew/edit?gid=984458430#gid=984458430"", ""'replication success'!A:K""), 11, FAlSE)"),"failed")</f>
        <v>failed</v>
      </c>
      <c r="AZ2585" s="61" t="str">
        <f>IFERROR(__xludf.DUMMYFUNCTION("vlookup(BB2585,importrange(""https://docs.google.com/spreadsheets/d/1d2vevQ_7D_v35q4wCQ4RpQ_IPoTwEMB9Yp6ymwlPqew/edit?gid=984458430#gid=984458430"", ""'replication success'!A:M""), 12, FAlSE)"),"[Figure 1]")</f>
        <v>[Figure 1]</v>
      </c>
      <c r="BA2585" s="61" t="str">
        <f>IFERROR(__xludf.DUMMYFUNCTION("vlookup(BB2585,importrange(""https://docs.google.com/spreadsheets/d/1d2vevQ_7D_v35q4wCQ4RpQ_IPoTwEMB9Yp6ymwlPqew/edit?gid=984458430#gid=984458430"", ""'replication success'!A:M""), 13, FAlSE)"),"pg. 2")</f>
        <v>pg. 2</v>
      </c>
      <c r="BB2585" s="61" t="str">
        <f>IFERROR(__xludf.DUMMYFUNCTION("REGEXREPLACE(G2585, ""_[a-z]{1,2}$"", """")"),"OpenMKT16")</f>
        <v>OpenMKT16</v>
      </c>
      <c r="BD2585" s="1631" t="s">
        <v>1270</v>
      </c>
    </row>
    <row r="2586">
      <c r="A2586" s="44">
        <v>2586.0</v>
      </c>
      <c r="B2586" s="129" t="s">
        <v>114</v>
      </c>
      <c r="C2586" s="62" t="s">
        <v>115</v>
      </c>
      <c r="D2586" s="62" t="s">
        <v>145</v>
      </c>
      <c r="F2586" s="68" t="s">
        <v>10384</v>
      </c>
      <c r="G2586" s="360" t="s">
        <v>10414</v>
      </c>
      <c r="H2586" s="360" t="s">
        <v>10123</v>
      </c>
      <c r="I2586" s="344">
        <v>45767.0</v>
      </c>
      <c r="J2586" s="293">
        <v>45800.0</v>
      </c>
      <c r="K2586" s="46"/>
      <c r="L2586" s="295" t="s">
        <v>15377</v>
      </c>
      <c r="M2586" s="360" t="s">
        <v>10387</v>
      </c>
      <c r="N2586" s="360" t="s">
        <v>10388</v>
      </c>
      <c r="O2586" s="357">
        <v>5.0</v>
      </c>
      <c r="P2586" s="360" t="s">
        <v>10389</v>
      </c>
      <c r="Q2586" s="52" t="str">
        <f t="array" ref="Q2586"> if(iserror(MATCH(V2586, 'File Links'!C:C, 0)), "N/A", HYPERLINK(INDEX('File Links'!B:B, MATCH(P2586, 'File Links'!C:C, 0))))</f>
        <v>https://drive.google.com/file/d/1SAkzHUXu2em_LOpzZzUsNAbEmhFQYt6z/view?usp=drivesdk</v>
      </c>
      <c r="R2586" s="360" t="s">
        <v>15108</v>
      </c>
      <c r="S2586" s="360" t="s">
        <v>10182</v>
      </c>
      <c r="T2586" s="509" t="s">
        <v>15239</v>
      </c>
      <c r="U2586" s="295">
        <v>9.0</v>
      </c>
      <c r="V2586" s="360" t="s">
        <v>10183</v>
      </c>
      <c r="W2586" s="56" t="s">
        <v>209</v>
      </c>
      <c r="X2586" s="54" t="str">
        <f t="array" ref="X2586"> if(iserror(MATCH(V2586, 'File Links'!C:C, 0)), "N/A", HYPERLINK(INDEX('File Links'!B:B, MATCH(V2586, 'File Links'!C:C, 0))))</f>
        <v>https://drive.google.com/file/d/1Irbmig3rfLDvz-G09jDAVwJvv1drYEqO/view?usp=drivesdk</v>
      </c>
      <c r="Y2586" s="46"/>
      <c r="Z2586" s="360" t="s">
        <v>2079</v>
      </c>
      <c r="AA2586" s="2158" t="s">
        <v>10390</v>
      </c>
      <c r="AB2586" s="360" t="s">
        <v>15378</v>
      </c>
      <c r="AC2586" s="360" t="s">
        <v>15395</v>
      </c>
      <c r="AD2586" s="360" t="s">
        <v>15396</v>
      </c>
      <c r="AE2586" s="360" t="s">
        <v>15393</v>
      </c>
      <c r="AF2586" s="357">
        <v>160.0</v>
      </c>
      <c r="AG2586" s="360" t="s">
        <v>1535</v>
      </c>
      <c r="AH2586" s="167" t="s">
        <v>138</v>
      </c>
      <c r="AI2586" s="360" t="s">
        <v>2366</v>
      </c>
      <c r="AJ2586" s="357">
        <v>0.2</v>
      </c>
      <c r="AK2586" s="360" t="s">
        <v>172</v>
      </c>
      <c r="AL2586" s="360" t="s">
        <v>186</v>
      </c>
      <c r="AM2586" s="360" t="s">
        <v>137</v>
      </c>
      <c r="AN2586" s="469" t="s">
        <v>138</v>
      </c>
      <c r="AO2586" s="357">
        <v>389.0</v>
      </c>
      <c r="AP2586" s="360" t="s">
        <v>15397</v>
      </c>
      <c r="AQ2586" s="360" t="s">
        <v>134</v>
      </c>
      <c r="AR2586" s="360" t="s">
        <v>2372</v>
      </c>
      <c r="AS2586" s="357">
        <v>0.843</v>
      </c>
      <c r="AT2586" s="360" t="s">
        <v>172</v>
      </c>
      <c r="AU2586" s="360" t="s">
        <v>186</v>
      </c>
      <c r="AV2586" s="360" t="s">
        <v>137</v>
      </c>
      <c r="AW2586" s="2166" t="s">
        <v>10398</v>
      </c>
      <c r="AX2586" s="360" t="s">
        <v>143</v>
      </c>
      <c r="AY2586" s="61" t="str">
        <f>IFERROR(__xludf.DUMMYFUNCTION("vlookup(BB2586,importrange(""https://docs.google.com/spreadsheets/d/1d2vevQ_7D_v35q4wCQ4RpQ_IPoTwEMB9Yp6ymwlPqew/edit?gid=984458430#gid=984458430"", ""'replication success'!A:K""), 11, FAlSE)"),"failed")</f>
        <v>failed</v>
      </c>
      <c r="AZ2586" s="61" t="str">
        <f>IFERROR(__xludf.DUMMYFUNCTION("vlookup(BB2586,importrange(""https://docs.google.com/spreadsheets/d/1d2vevQ_7D_v35q4wCQ4RpQ_IPoTwEMB9Yp6ymwlPqew/edit?gid=984458430#gid=984458430"", ""'replication success'!A:M""), 12, FAlSE)"),"[Figure 1]")</f>
        <v>[Figure 1]</v>
      </c>
      <c r="BA2586" s="61" t="str">
        <f>IFERROR(__xludf.DUMMYFUNCTION("vlookup(BB2586,importrange(""https://docs.google.com/spreadsheets/d/1d2vevQ_7D_v35q4wCQ4RpQ_IPoTwEMB9Yp6ymwlPqew/edit?gid=984458430#gid=984458430"", ""'replication success'!A:M""), 13, FAlSE)"),"pg. 2")</f>
        <v>pg. 2</v>
      </c>
      <c r="BB2586" s="61" t="str">
        <f>IFERROR(__xludf.DUMMYFUNCTION("REGEXREPLACE(G2586, ""_[a-z]{1,2}$"", """")"),"OpenMKT16")</f>
        <v>OpenMKT16</v>
      </c>
      <c r="BD2586" s="1631" t="s">
        <v>1270</v>
      </c>
    </row>
    <row r="2587">
      <c r="A2587" s="44">
        <v>2587.0</v>
      </c>
      <c r="B2587" s="129" t="s">
        <v>114</v>
      </c>
      <c r="C2587" s="62" t="s">
        <v>115</v>
      </c>
      <c r="D2587" s="62" t="s">
        <v>145</v>
      </c>
      <c r="F2587" s="68" t="s">
        <v>10384</v>
      </c>
      <c r="G2587" s="360" t="s">
        <v>10419</v>
      </c>
      <c r="H2587" s="360" t="s">
        <v>10123</v>
      </c>
      <c r="I2587" s="344">
        <v>45767.0</v>
      </c>
      <c r="J2587" s="293">
        <v>45800.0</v>
      </c>
      <c r="K2587" s="46"/>
      <c r="L2587" s="295" t="s">
        <v>15377</v>
      </c>
      <c r="M2587" s="360" t="s">
        <v>10387</v>
      </c>
      <c r="N2587" s="360" t="s">
        <v>10388</v>
      </c>
      <c r="O2587" s="357">
        <v>5.0</v>
      </c>
      <c r="P2587" s="360" t="s">
        <v>10389</v>
      </c>
      <c r="Q2587" s="52" t="str">
        <f t="array" ref="Q2587"> if(iserror(MATCH(V2587, 'File Links'!C:C, 0)), "N/A", HYPERLINK(INDEX('File Links'!B:B, MATCH(P2587, 'File Links'!C:C, 0))))</f>
        <v>https://drive.google.com/file/d/1SAkzHUXu2em_LOpzZzUsNAbEmhFQYt6z/view?usp=drivesdk</v>
      </c>
      <c r="R2587" s="360" t="s">
        <v>15108</v>
      </c>
      <c r="S2587" s="360" t="s">
        <v>10182</v>
      </c>
      <c r="T2587" s="509" t="s">
        <v>15239</v>
      </c>
      <c r="U2587" s="295">
        <v>9.0</v>
      </c>
      <c r="V2587" s="360" t="s">
        <v>10183</v>
      </c>
      <c r="W2587" s="56" t="s">
        <v>209</v>
      </c>
      <c r="X2587" s="54" t="str">
        <f t="array" ref="X2587"> if(iserror(MATCH(V2587, 'File Links'!C:C, 0)), "N/A", HYPERLINK(INDEX('File Links'!B:B, MATCH(V2587, 'File Links'!C:C, 0))))</f>
        <v>https://drive.google.com/file/d/1Irbmig3rfLDvz-G09jDAVwJvv1drYEqO/view?usp=drivesdk</v>
      </c>
      <c r="Y2587" s="46"/>
      <c r="Z2587" s="360" t="s">
        <v>2079</v>
      </c>
      <c r="AA2587" s="2158" t="s">
        <v>10390</v>
      </c>
      <c r="AB2587" s="360" t="s">
        <v>15378</v>
      </c>
      <c r="AC2587" s="360" t="s">
        <v>15398</v>
      </c>
      <c r="AD2587" s="360" t="s">
        <v>15399</v>
      </c>
      <c r="AE2587" s="360" t="s">
        <v>15393</v>
      </c>
      <c r="AF2587" s="357">
        <v>160.0</v>
      </c>
      <c r="AG2587" s="360" t="s">
        <v>10421</v>
      </c>
      <c r="AH2587" s="360" t="s">
        <v>134</v>
      </c>
      <c r="AI2587" s="360" t="s">
        <v>2366</v>
      </c>
      <c r="AJ2587" s="357">
        <v>0.048</v>
      </c>
      <c r="AK2587" s="360" t="s">
        <v>172</v>
      </c>
      <c r="AL2587" s="360" t="s">
        <v>186</v>
      </c>
      <c r="AM2587" s="360" t="s">
        <v>137</v>
      </c>
      <c r="AN2587" s="469" t="s">
        <v>138</v>
      </c>
      <c r="AO2587" s="357">
        <v>389.0</v>
      </c>
      <c r="AP2587" s="360" t="s">
        <v>15400</v>
      </c>
      <c r="AQ2587" s="360" t="s">
        <v>134</v>
      </c>
      <c r="AR2587" s="360" t="s">
        <v>2372</v>
      </c>
      <c r="AS2587" s="357">
        <v>0.945</v>
      </c>
      <c r="AT2587" s="360" t="s">
        <v>172</v>
      </c>
      <c r="AU2587" s="360" t="s">
        <v>186</v>
      </c>
      <c r="AV2587" s="360" t="s">
        <v>137</v>
      </c>
      <c r="AW2587" s="2166" t="s">
        <v>10398</v>
      </c>
      <c r="AX2587" s="360" t="s">
        <v>143</v>
      </c>
      <c r="AY2587" s="61" t="str">
        <f>IFERROR(__xludf.DUMMYFUNCTION("vlookup(BB2587,importrange(""https://docs.google.com/spreadsheets/d/1d2vevQ_7D_v35q4wCQ4RpQ_IPoTwEMB9Yp6ymwlPqew/edit?gid=984458430#gid=984458430"", ""'replication success'!A:K""), 11, FAlSE)"),"failed")</f>
        <v>failed</v>
      </c>
      <c r="AZ2587" s="61" t="str">
        <f>IFERROR(__xludf.DUMMYFUNCTION("vlookup(BB2587,importrange(""https://docs.google.com/spreadsheets/d/1d2vevQ_7D_v35q4wCQ4RpQ_IPoTwEMB9Yp6ymwlPqew/edit?gid=984458430#gid=984458430"", ""'replication success'!A:M""), 12, FAlSE)"),"[Figure 1]")</f>
        <v>[Figure 1]</v>
      </c>
      <c r="BA2587" s="61" t="str">
        <f>IFERROR(__xludf.DUMMYFUNCTION("vlookup(BB2587,importrange(""https://docs.google.com/spreadsheets/d/1d2vevQ_7D_v35q4wCQ4RpQ_IPoTwEMB9Yp6ymwlPqew/edit?gid=984458430#gid=984458430"", ""'replication success'!A:M""), 13, FAlSE)"),"pg. 2")</f>
        <v>pg. 2</v>
      </c>
      <c r="BB2587" s="61" t="str">
        <f>IFERROR(__xludf.DUMMYFUNCTION("REGEXREPLACE(G2587, ""_[a-z]{1,2}$"", """")"),"OpenMKT16")</f>
        <v>OpenMKT16</v>
      </c>
      <c r="BD2587" s="1631" t="s">
        <v>1270</v>
      </c>
    </row>
    <row r="2588">
      <c r="A2588" s="44">
        <v>2588.0</v>
      </c>
      <c r="B2588" s="295" t="s">
        <v>152</v>
      </c>
      <c r="C2588" s="287" t="s">
        <v>115</v>
      </c>
      <c r="D2588" s="287" t="s">
        <v>145</v>
      </c>
      <c r="E2588" s="308"/>
      <c r="F2588" s="305" t="s">
        <v>10384</v>
      </c>
      <c r="G2588" s="290" t="s">
        <v>10425</v>
      </c>
      <c r="H2588" s="290" t="s">
        <v>10123</v>
      </c>
      <c r="I2588" s="2146">
        <v>45767.0</v>
      </c>
      <c r="J2588" s="293">
        <v>45800.0</v>
      </c>
      <c r="K2588" s="305"/>
      <c r="L2588" s="295" t="s">
        <v>15401</v>
      </c>
      <c r="M2588" s="290" t="s">
        <v>10387</v>
      </c>
      <c r="N2588" s="290" t="s">
        <v>10388</v>
      </c>
      <c r="O2588" s="1563">
        <v>5.0</v>
      </c>
      <c r="P2588" s="290" t="s">
        <v>10389</v>
      </c>
      <c r="Q2588" s="1816" t="str">
        <f t="array" ref="Q2588"> if(iserror(MATCH(V2588, 'File Links'!C:C, 0)), "N/A", HYPERLINK(INDEX('File Links'!B:B, MATCH(P2588, 'File Links'!C:C, 0))))</f>
        <v>https://drive.google.com/file/d/1SAkzHUXu2em_LOpzZzUsNAbEmhFQYt6z/view?usp=drivesdk</v>
      </c>
      <c r="R2588" s="290" t="s">
        <v>15108</v>
      </c>
      <c r="S2588" s="290" t="s">
        <v>10182</v>
      </c>
      <c r="T2588" s="2149" t="s">
        <v>15239</v>
      </c>
      <c r="U2588" s="295">
        <v>9.0</v>
      </c>
      <c r="V2588" s="290" t="s">
        <v>10183</v>
      </c>
      <c r="W2588" s="295" t="s">
        <v>209</v>
      </c>
      <c r="X2588" s="1817" t="str">
        <f t="array" ref="X2588"> if(iserror(MATCH(V2588, 'File Links'!C:C, 0)), "N/A", HYPERLINK(INDEX('File Links'!B:B, MATCH(V2588, 'File Links'!C:C, 0))))</f>
        <v>https://drive.google.com/file/d/1Irbmig3rfLDvz-G09jDAVwJvv1drYEqO/view?usp=drivesdk</v>
      </c>
      <c r="Y2588" s="305"/>
      <c r="Z2588" s="290" t="s">
        <v>2079</v>
      </c>
      <c r="AA2588" s="2167" t="s">
        <v>10390</v>
      </c>
      <c r="AB2588" s="290" t="s">
        <v>15378</v>
      </c>
      <c r="AC2588" s="290" t="s">
        <v>15402</v>
      </c>
      <c r="AD2588" s="290" t="s">
        <v>15403</v>
      </c>
      <c r="AE2588" s="290" t="s">
        <v>15393</v>
      </c>
      <c r="AF2588" s="1563">
        <v>160.0</v>
      </c>
      <c r="AG2588" s="290" t="s">
        <v>10428</v>
      </c>
      <c r="AH2588" s="290" t="s">
        <v>134</v>
      </c>
      <c r="AI2588" s="290" t="s">
        <v>2366</v>
      </c>
      <c r="AJ2588" s="1563">
        <v>0.32</v>
      </c>
      <c r="AK2588" s="290" t="s">
        <v>172</v>
      </c>
      <c r="AL2588" s="290" t="s">
        <v>186</v>
      </c>
      <c r="AM2588" s="290" t="s">
        <v>137</v>
      </c>
      <c r="AN2588" s="469" t="s">
        <v>138</v>
      </c>
      <c r="AO2588" s="1563">
        <v>389.0</v>
      </c>
      <c r="AP2588" s="1563">
        <v>0.03</v>
      </c>
      <c r="AQ2588" s="290" t="s">
        <v>173</v>
      </c>
      <c r="AR2588" s="290" t="s">
        <v>2372</v>
      </c>
      <c r="AS2588" s="1563">
        <v>0.862</v>
      </c>
      <c r="AT2588" s="290" t="s">
        <v>172</v>
      </c>
      <c r="AU2588" s="290" t="s">
        <v>186</v>
      </c>
      <c r="AV2588" s="290" t="s">
        <v>137</v>
      </c>
      <c r="AW2588" s="2166" t="s">
        <v>10398</v>
      </c>
      <c r="AX2588" s="290" t="s">
        <v>143</v>
      </c>
      <c r="AY2588" s="61" t="str">
        <f>IFERROR(__xludf.DUMMYFUNCTION("vlookup(BB2588,importrange(""https://docs.google.com/spreadsheets/d/1d2vevQ_7D_v35q4wCQ4RpQ_IPoTwEMB9Yp6ymwlPqew/edit?gid=984458430#gid=984458430"", ""'replication success'!A:K""), 11, FAlSE)"),"failed")</f>
        <v>failed</v>
      </c>
      <c r="AZ2588" s="61" t="str">
        <f>IFERROR(__xludf.DUMMYFUNCTION("vlookup(BB2588,importrange(""https://docs.google.com/spreadsheets/d/1d2vevQ_7D_v35q4wCQ4RpQ_IPoTwEMB9Yp6ymwlPqew/edit?gid=984458430#gid=984458430"", ""'replication success'!A:M""), 12, FAlSE)"),"[Figure 1]")</f>
        <v>[Figure 1]</v>
      </c>
      <c r="BA2588" s="61" t="str">
        <f>IFERROR(__xludf.DUMMYFUNCTION("vlookup(BB2588,importrange(""https://docs.google.com/spreadsheets/d/1d2vevQ_7D_v35q4wCQ4RpQ_IPoTwEMB9Yp6ymwlPqew/edit?gid=984458430#gid=984458430"", ""'replication success'!A:M""), 13, FAlSE)"),"pg. 2")</f>
        <v>pg. 2</v>
      </c>
      <c r="BB2588" s="61" t="str">
        <f>IFERROR(__xludf.DUMMYFUNCTION("REGEXREPLACE(G2588, ""_[a-z]{1,2}$"", """")"),"OpenMKT16")</f>
        <v>OpenMKT16</v>
      </c>
      <c r="BC2588" s="308"/>
      <c r="BD2588" s="287" t="s">
        <v>1270</v>
      </c>
      <c r="BE2588" s="308"/>
      <c r="BF2588" s="308"/>
      <c r="BG2588" s="308"/>
      <c r="BH2588" s="308"/>
      <c r="BI2588" s="308"/>
      <c r="BJ2588" s="308"/>
      <c r="BK2588" s="308"/>
      <c r="BL2588" s="308"/>
      <c r="BM2588" s="308"/>
      <c r="BN2588" s="308"/>
      <c r="BO2588" s="308"/>
      <c r="BP2588" s="308"/>
      <c r="BQ2588" s="308"/>
      <c r="BR2588" s="308"/>
      <c r="BS2588" s="308"/>
      <c r="BT2588" s="308"/>
      <c r="BU2588" s="308"/>
      <c r="BV2588" s="308"/>
      <c r="BW2588" s="308"/>
      <c r="BX2588" s="308"/>
      <c r="BY2588" s="308"/>
      <c r="BZ2588" s="308"/>
      <c r="CA2588" s="308"/>
      <c r="CB2588" s="308"/>
      <c r="CC2588" s="308"/>
      <c r="CD2588" s="308"/>
      <c r="CE2588" s="308"/>
      <c r="CF2588" s="308"/>
      <c r="CG2588" s="308"/>
      <c r="CH2588" s="308"/>
      <c r="CI2588" s="308"/>
      <c r="CJ2588" s="308"/>
      <c r="CK2588" s="308"/>
      <c r="CL2588" s="308"/>
      <c r="CM2588" s="308"/>
      <c r="CN2588" s="308"/>
      <c r="CO2588" s="308"/>
      <c r="CP2588" s="308"/>
      <c r="CQ2588" s="308"/>
      <c r="CR2588" s="308"/>
      <c r="CS2588" s="308"/>
      <c r="CT2588" s="308"/>
      <c r="CU2588" s="308"/>
      <c r="CV2588" s="308"/>
      <c r="CW2588" s="308"/>
      <c r="CX2588" s="308"/>
      <c r="CY2588" s="308"/>
      <c r="CZ2588" s="308"/>
      <c r="DA2588" s="308"/>
      <c r="DB2588" s="308"/>
      <c r="DC2588" s="308"/>
      <c r="DD2588" s="308"/>
      <c r="DE2588" s="308"/>
      <c r="DF2588" s="308"/>
      <c r="DG2588" s="308"/>
      <c r="DH2588" s="308"/>
      <c r="DI2588" s="308"/>
      <c r="DJ2588" s="308"/>
      <c r="DK2588" s="308"/>
      <c r="DL2588" s="308"/>
    </row>
    <row r="2589">
      <c r="A2589" s="44">
        <v>2589.0</v>
      </c>
      <c r="B2589" s="129" t="s">
        <v>152</v>
      </c>
      <c r="C2589" s="62" t="s">
        <v>115</v>
      </c>
      <c r="D2589" s="62" t="s">
        <v>145</v>
      </c>
      <c r="F2589" s="68" t="s">
        <v>10384</v>
      </c>
      <c r="G2589" s="360" t="s">
        <v>15404</v>
      </c>
      <c r="H2589" s="360" t="s">
        <v>10123</v>
      </c>
      <c r="I2589" s="344">
        <v>45767.0</v>
      </c>
      <c r="J2589" s="293">
        <v>45800.0</v>
      </c>
      <c r="K2589" s="46"/>
      <c r="L2589" s="295" t="s">
        <v>15401</v>
      </c>
      <c r="M2589" s="360" t="s">
        <v>10387</v>
      </c>
      <c r="N2589" s="360" t="s">
        <v>10388</v>
      </c>
      <c r="O2589" s="357">
        <v>5.0</v>
      </c>
      <c r="P2589" s="360" t="s">
        <v>10389</v>
      </c>
      <c r="Q2589" s="52" t="str">
        <f t="array" ref="Q2589"> if(iserror(MATCH(V2589, 'File Links'!C:C, 0)), "N/A", HYPERLINK(INDEX('File Links'!B:B, MATCH(P2589, 'File Links'!C:C, 0))))</f>
        <v>https://drive.google.com/file/d/1SAkzHUXu2em_LOpzZzUsNAbEmhFQYt6z/view?usp=drivesdk</v>
      </c>
      <c r="R2589" s="360" t="s">
        <v>15108</v>
      </c>
      <c r="S2589" s="360" t="s">
        <v>10182</v>
      </c>
      <c r="T2589" s="509" t="s">
        <v>15239</v>
      </c>
      <c r="U2589" s="295">
        <v>9.0</v>
      </c>
      <c r="V2589" s="360" t="s">
        <v>10183</v>
      </c>
      <c r="W2589" s="56" t="s">
        <v>209</v>
      </c>
      <c r="X2589" s="54" t="str">
        <f t="array" ref="X2589"> if(iserror(MATCH(V2589, 'File Links'!C:C, 0)), "N/A", HYPERLINK(INDEX('File Links'!B:B, MATCH(V2589, 'File Links'!C:C, 0))))</f>
        <v>https://drive.google.com/file/d/1Irbmig3rfLDvz-G09jDAVwJvv1drYEqO/view?usp=drivesdk</v>
      </c>
      <c r="Y2589" s="46"/>
      <c r="Z2589" s="360" t="s">
        <v>2079</v>
      </c>
      <c r="AA2589" s="2158" t="s">
        <v>10390</v>
      </c>
      <c r="AB2589" s="360" t="s">
        <v>15378</v>
      </c>
      <c r="AC2589" s="360" t="s">
        <v>15405</v>
      </c>
      <c r="AD2589" s="360" t="s">
        <v>15406</v>
      </c>
      <c r="AE2589" s="360" t="s">
        <v>15393</v>
      </c>
      <c r="AF2589" s="357">
        <v>160.0</v>
      </c>
      <c r="AG2589" s="343" t="s">
        <v>15407</v>
      </c>
      <c r="AH2589" s="360" t="s">
        <v>134</v>
      </c>
      <c r="AI2589" s="360" t="s">
        <v>2366</v>
      </c>
      <c r="AJ2589" s="357">
        <v>0.499</v>
      </c>
      <c r="AK2589" s="360" t="s">
        <v>172</v>
      </c>
      <c r="AL2589" s="360" t="s">
        <v>186</v>
      </c>
      <c r="AM2589" s="360" t="s">
        <v>137</v>
      </c>
      <c r="AN2589" s="469" t="s">
        <v>138</v>
      </c>
      <c r="AO2589" s="357">
        <v>389.0</v>
      </c>
      <c r="AP2589" s="357">
        <v>0.01</v>
      </c>
      <c r="AQ2589" s="360" t="s">
        <v>173</v>
      </c>
      <c r="AR2589" s="360" t="s">
        <v>2372</v>
      </c>
      <c r="AS2589" s="357">
        <v>0.933</v>
      </c>
      <c r="AT2589" s="360" t="s">
        <v>172</v>
      </c>
      <c r="AU2589" s="360" t="s">
        <v>186</v>
      </c>
      <c r="AV2589" s="360" t="s">
        <v>137</v>
      </c>
      <c r="AW2589" s="2166" t="s">
        <v>10398</v>
      </c>
      <c r="AX2589" s="360" t="s">
        <v>143</v>
      </c>
      <c r="AY2589" s="61" t="str">
        <f>IFERROR(__xludf.DUMMYFUNCTION("vlookup(BB2589,importrange(""https://docs.google.com/spreadsheets/d/1d2vevQ_7D_v35q4wCQ4RpQ_IPoTwEMB9Yp6ymwlPqew/edit?gid=984458430#gid=984458430"", ""'replication success'!A:K""), 11, FAlSE)"),"failed")</f>
        <v>failed</v>
      </c>
      <c r="AZ2589" s="61" t="str">
        <f>IFERROR(__xludf.DUMMYFUNCTION("vlookup(BB2589,importrange(""https://docs.google.com/spreadsheets/d/1d2vevQ_7D_v35q4wCQ4RpQ_IPoTwEMB9Yp6ymwlPqew/edit?gid=984458430#gid=984458430"", ""'replication success'!A:M""), 12, FAlSE)"),"[Figure 1]")</f>
        <v>[Figure 1]</v>
      </c>
      <c r="BA2589" s="61" t="str">
        <f>IFERROR(__xludf.DUMMYFUNCTION("vlookup(BB2589,importrange(""https://docs.google.com/spreadsheets/d/1d2vevQ_7D_v35q4wCQ4RpQ_IPoTwEMB9Yp6ymwlPqew/edit?gid=984458430#gid=984458430"", ""'replication success'!A:M""), 13, FAlSE)"),"pg. 2")</f>
        <v>pg. 2</v>
      </c>
      <c r="BB2589" s="61" t="str">
        <f>IFERROR(__xludf.DUMMYFUNCTION("REGEXREPLACE(G2589, ""_[a-z]{1,2}$"", """")"),"OpenMKT16")</f>
        <v>OpenMKT16</v>
      </c>
      <c r="BD2589" s="1631" t="s">
        <v>1270</v>
      </c>
    </row>
    <row r="2590">
      <c r="A2590" s="44">
        <v>2590.0</v>
      </c>
      <c r="B2590" s="129" t="s">
        <v>152</v>
      </c>
      <c r="C2590" s="62" t="s">
        <v>115</v>
      </c>
      <c r="D2590" s="62" t="s">
        <v>145</v>
      </c>
      <c r="F2590" s="68" t="s">
        <v>10384</v>
      </c>
      <c r="G2590" s="360" t="s">
        <v>15408</v>
      </c>
      <c r="H2590" s="360" t="s">
        <v>10123</v>
      </c>
      <c r="I2590" s="344">
        <v>45767.0</v>
      </c>
      <c r="J2590" s="293">
        <v>45800.0</v>
      </c>
      <c r="K2590" s="46"/>
      <c r="L2590" s="295" t="s">
        <v>15401</v>
      </c>
      <c r="M2590" s="360" t="s">
        <v>10387</v>
      </c>
      <c r="N2590" s="360" t="s">
        <v>10388</v>
      </c>
      <c r="O2590" s="357">
        <v>5.0</v>
      </c>
      <c r="P2590" s="360" t="s">
        <v>10389</v>
      </c>
      <c r="Q2590" s="52" t="str">
        <f t="array" ref="Q2590"> if(iserror(MATCH(V2590, 'File Links'!C:C, 0)), "N/A", HYPERLINK(INDEX('File Links'!B:B, MATCH(P2590, 'File Links'!C:C, 0))))</f>
        <v>https://drive.google.com/file/d/1SAkzHUXu2em_LOpzZzUsNAbEmhFQYt6z/view?usp=drivesdk</v>
      </c>
      <c r="R2590" s="360" t="s">
        <v>15108</v>
      </c>
      <c r="S2590" s="360" t="s">
        <v>10182</v>
      </c>
      <c r="T2590" s="509" t="s">
        <v>15239</v>
      </c>
      <c r="U2590" s="295">
        <v>9.0</v>
      </c>
      <c r="V2590" s="360" t="s">
        <v>10183</v>
      </c>
      <c r="W2590" s="56" t="s">
        <v>209</v>
      </c>
      <c r="X2590" s="54" t="str">
        <f t="array" ref="X2590"> if(iserror(MATCH(V2590, 'File Links'!C:C, 0)), "N/A", HYPERLINK(INDEX('File Links'!B:B, MATCH(V2590, 'File Links'!C:C, 0))))</f>
        <v>https://drive.google.com/file/d/1Irbmig3rfLDvz-G09jDAVwJvv1drYEqO/view?usp=drivesdk</v>
      </c>
      <c r="Y2590" s="46"/>
      <c r="Z2590" s="360" t="s">
        <v>2079</v>
      </c>
      <c r="AA2590" s="2158" t="s">
        <v>10390</v>
      </c>
      <c r="AB2590" s="360" t="s">
        <v>15378</v>
      </c>
      <c r="AC2590" s="360" t="s">
        <v>15409</v>
      </c>
      <c r="AD2590" s="360" t="s">
        <v>15410</v>
      </c>
      <c r="AE2590" s="360" t="s">
        <v>15393</v>
      </c>
      <c r="AF2590" s="357">
        <v>160.0</v>
      </c>
      <c r="AG2590" s="360" t="s">
        <v>15411</v>
      </c>
      <c r="AH2590" s="360" t="s">
        <v>134</v>
      </c>
      <c r="AI2590" s="360" t="s">
        <v>2366</v>
      </c>
      <c r="AJ2590" s="357">
        <v>0.005</v>
      </c>
      <c r="AK2590" s="360" t="s">
        <v>172</v>
      </c>
      <c r="AL2590" s="360" t="s">
        <v>186</v>
      </c>
      <c r="AM2590" s="360" t="s">
        <v>137</v>
      </c>
      <c r="AN2590" s="469" t="s">
        <v>138</v>
      </c>
      <c r="AO2590" s="357">
        <v>389.0</v>
      </c>
      <c r="AP2590" s="357">
        <v>-0.17</v>
      </c>
      <c r="AQ2590" s="360" t="s">
        <v>173</v>
      </c>
      <c r="AR2590" s="360" t="s">
        <v>2372</v>
      </c>
      <c r="AS2590" s="357">
        <v>0.242</v>
      </c>
      <c r="AT2590" s="360" t="s">
        <v>172</v>
      </c>
      <c r="AU2590" s="360" t="s">
        <v>186</v>
      </c>
      <c r="AV2590" s="360" t="s">
        <v>137</v>
      </c>
      <c r="AW2590" s="2166" t="s">
        <v>10398</v>
      </c>
      <c r="AX2590" s="360" t="s">
        <v>143</v>
      </c>
      <c r="AY2590" s="61" t="str">
        <f>IFERROR(__xludf.DUMMYFUNCTION("vlookup(BB2590,importrange(""https://docs.google.com/spreadsheets/d/1d2vevQ_7D_v35q4wCQ4RpQ_IPoTwEMB9Yp6ymwlPqew/edit?gid=984458430#gid=984458430"", ""'replication success'!A:K""), 11, FAlSE)"),"failed")</f>
        <v>failed</v>
      </c>
      <c r="AZ2590" s="61" t="str">
        <f>IFERROR(__xludf.DUMMYFUNCTION("vlookup(BB2590,importrange(""https://docs.google.com/spreadsheets/d/1d2vevQ_7D_v35q4wCQ4RpQ_IPoTwEMB9Yp6ymwlPqew/edit?gid=984458430#gid=984458430"", ""'replication success'!A:M""), 12, FAlSE)"),"[Figure 1]")</f>
        <v>[Figure 1]</v>
      </c>
      <c r="BA2590" s="61" t="str">
        <f>IFERROR(__xludf.DUMMYFUNCTION("vlookup(BB2590,importrange(""https://docs.google.com/spreadsheets/d/1d2vevQ_7D_v35q4wCQ4RpQ_IPoTwEMB9Yp6ymwlPqew/edit?gid=984458430#gid=984458430"", ""'replication success'!A:M""), 13, FAlSE)"),"pg. 2")</f>
        <v>pg. 2</v>
      </c>
      <c r="BB2590" s="61" t="str">
        <f>IFERROR(__xludf.DUMMYFUNCTION("REGEXREPLACE(G2590, ""_[a-z]{1,2}$"", """")"),"OpenMKT16")</f>
        <v>OpenMKT16</v>
      </c>
      <c r="BD2590" s="1631" t="s">
        <v>1270</v>
      </c>
    </row>
    <row r="2591">
      <c r="A2591" s="44">
        <v>2591.0</v>
      </c>
      <c r="B2591" s="129" t="s">
        <v>152</v>
      </c>
      <c r="C2591" s="62" t="s">
        <v>115</v>
      </c>
      <c r="D2591" s="62" t="s">
        <v>145</v>
      </c>
      <c r="F2591" s="68" t="s">
        <v>10384</v>
      </c>
      <c r="G2591" s="360" t="s">
        <v>15412</v>
      </c>
      <c r="H2591" s="360" t="s">
        <v>10123</v>
      </c>
      <c r="I2591" s="344">
        <v>45767.0</v>
      </c>
      <c r="J2591" s="293">
        <v>45800.0</v>
      </c>
      <c r="K2591" s="46"/>
      <c r="L2591" s="295" t="s">
        <v>15401</v>
      </c>
      <c r="M2591" s="360" t="s">
        <v>10387</v>
      </c>
      <c r="N2591" s="360" t="s">
        <v>10388</v>
      </c>
      <c r="O2591" s="357">
        <v>5.0</v>
      </c>
      <c r="P2591" s="360" t="s">
        <v>10389</v>
      </c>
      <c r="Q2591" s="52" t="str">
        <f t="array" ref="Q2591"> if(iserror(MATCH(V2591, 'File Links'!C:C, 0)), "N/A", HYPERLINK(INDEX('File Links'!B:B, MATCH(P2591, 'File Links'!C:C, 0))))</f>
        <v>https://drive.google.com/file/d/1SAkzHUXu2em_LOpzZzUsNAbEmhFQYt6z/view?usp=drivesdk</v>
      </c>
      <c r="R2591" s="360" t="s">
        <v>15108</v>
      </c>
      <c r="S2591" s="360" t="s">
        <v>10182</v>
      </c>
      <c r="T2591" s="509" t="s">
        <v>15239</v>
      </c>
      <c r="U2591" s="295">
        <v>9.0</v>
      </c>
      <c r="V2591" s="360" t="s">
        <v>10183</v>
      </c>
      <c r="W2591" s="56" t="s">
        <v>209</v>
      </c>
      <c r="X2591" s="54" t="str">
        <f t="array" ref="X2591"> if(iserror(MATCH(V2591, 'File Links'!C:C, 0)), "N/A", HYPERLINK(INDEX('File Links'!B:B, MATCH(V2591, 'File Links'!C:C, 0))))</f>
        <v>https://drive.google.com/file/d/1Irbmig3rfLDvz-G09jDAVwJvv1drYEqO/view?usp=drivesdk</v>
      </c>
      <c r="Y2591" s="46"/>
      <c r="Z2591" s="360" t="s">
        <v>2079</v>
      </c>
      <c r="AA2591" s="2158" t="s">
        <v>10390</v>
      </c>
      <c r="AB2591" s="360" t="s">
        <v>15378</v>
      </c>
      <c r="AC2591" s="360" t="s">
        <v>15413</v>
      </c>
      <c r="AD2591" s="360" t="s">
        <v>15414</v>
      </c>
      <c r="AE2591" s="360" t="s">
        <v>15393</v>
      </c>
      <c r="AF2591" s="357">
        <v>160.0</v>
      </c>
      <c r="AG2591" s="360" t="s">
        <v>10428</v>
      </c>
      <c r="AH2591" s="360" t="s">
        <v>134</v>
      </c>
      <c r="AI2591" s="360" t="s">
        <v>2366</v>
      </c>
      <c r="AJ2591" s="357">
        <v>0.037</v>
      </c>
      <c r="AK2591" s="360" t="s">
        <v>172</v>
      </c>
      <c r="AL2591" s="360" t="s">
        <v>186</v>
      </c>
      <c r="AM2591" s="360" t="s">
        <v>137</v>
      </c>
      <c r="AN2591" s="469" t="s">
        <v>138</v>
      </c>
      <c r="AO2591" s="357">
        <v>389.0</v>
      </c>
      <c r="AP2591" s="357">
        <v>-0.026</v>
      </c>
      <c r="AQ2591" s="360" t="s">
        <v>173</v>
      </c>
      <c r="AR2591" s="360" t="s">
        <v>2372</v>
      </c>
      <c r="AS2591" s="357">
        <v>0.862</v>
      </c>
      <c r="AT2591" s="360" t="s">
        <v>172</v>
      </c>
      <c r="AU2591" s="360" t="s">
        <v>186</v>
      </c>
      <c r="AV2591" s="360" t="s">
        <v>137</v>
      </c>
      <c r="AW2591" s="2166" t="s">
        <v>10398</v>
      </c>
      <c r="AX2591" s="360" t="s">
        <v>143</v>
      </c>
      <c r="AY2591" s="61" t="str">
        <f>IFERROR(__xludf.DUMMYFUNCTION("vlookup(BB2591,importrange(""https://docs.google.com/spreadsheets/d/1d2vevQ_7D_v35q4wCQ4RpQ_IPoTwEMB9Yp6ymwlPqew/edit?gid=984458430#gid=984458430"", ""'replication success'!A:K""), 11, FAlSE)"),"failed")</f>
        <v>failed</v>
      </c>
      <c r="AZ2591" s="61" t="str">
        <f>IFERROR(__xludf.DUMMYFUNCTION("vlookup(BB2591,importrange(""https://docs.google.com/spreadsheets/d/1d2vevQ_7D_v35q4wCQ4RpQ_IPoTwEMB9Yp6ymwlPqew/edit?gid=984458430#gid=984458430"", ""'replication success'!A:M""), 12, FAlSE)"),"[Figure 1]")</f>
        <v>[Figure 1]</v>
      </c>
      <c r="BA2591" s="61" t="str">
        <f>IFERROR(__xludf.DUMMYFUNCTION("vlookup(BB2591,importrange(""https://docs.google.com/spreadsheets/d/1d2vevQ_7D_v35q4wCQ4RpQ_IPoTwEMB9Yp6ymwlPqew/edit?gid=984458430#gid=984458430"", ""'replication success'!A:M""), 13, FAlSE)"),"pg. 2")</f>
        <v>pg. 2</v>
      </c>
      <c r="BB2591" s="61" t="str">
        <f>IFERROR(__xludf.DUMMYFUNCTION("REGEXREPLACE(G2591, ""_[a-z]{1,2}$"", """")"),"OpenMKT16")</f>
        <v>OpenMKT16</v>
      </c>
      <c r="BD2591" s="1631" t="s">
        <v>1270</v>
      </c>
    </row>
    <row r="2592">
      <c r="A2592" s="44">
        <v>2592.0</v>
      </c>
      <c r="B2592" s="129" t="s">
        <v>152</v>
      </c>
      <c r="C2592" s="62" t="s">
        <v>115</v>
      </c>
      <c r="D2592" s="62" t="s">
        <v>145</v>
      </c>
      <c r="F2592" s="68" t="s">
        <v>10384</v>
      </c>
      <c r="G2592" s="360" t="s">
        <v>15415</v>
      </c>
      <c r="H2592" s="360" t="s">
        <v>10123</v>
      </c>
      <c r="I2592" s="344">
        <v>45767.0</v>
      </c>
      <c r="J2592" s="293">
        <v>45800.0</v>
      </c>
      <c r="K2592" s="46"/>
      <c r="L2592" s="295" t="s">
        <v>15401</v>
      </c>
      <c r="M2592" s="360" t="s">
        <v>10387</v>
      </c>
      <c r="N2592" s="360" t="s">
        <v>10388</v>
      </c>
      <c r="O2592" s="357">
        <v>5.0</v>
      </c>
      <c r="P2592" s="360" t="s">
        <v>10389</v>
      </c>
      <c r="Q2592" s="52" t="str">
        <f t="array" ref="Q2592"> if(iserror(MATCH(V2592, 'File Links'!C:C, 0)), "N/A", HYPERLINK(INDEX('File Links'!B:B, MATCH(P2592, 'File Links'!C:C, 0))))</f>
        <v>https://drive.google.com/file/d/1SAkzHUXu2em_LOpzZzUsNAbEmhFQYt6z/view?usp=drivesdk</v>
      </c>
      <c r="R2592" s="360" t="s">
        <v>15108</v>
      </c>
      <c r="S2592" s="360" t="s">
        <v>10182</v>
      </c>
      <c r="T2592" s="509" t="s">
        <v>15239</v>
      </c>
      <c r="U2592" s="295">
        <v>9.0</v>
      </c>
      <c r="V2592" s="360" t="s">
        <v>10183</v>
      </c>
      <c r="W2592" s="56" t="s">
        <v>209</v>
      </c>
      <c r="X2592" s="54" t="str">
        <f t="array" ref="X2592"> if(iserror(MATCH(V2592, 'File Links'!C:C, 0)), "N/A", HYPERLINK(INDEX('File Links'!B:B, MATCH(V2592, 'File Links'!C:C, 0))))</f>
        <v>https://drive.google.com/file/d/1Irbmig3rfLDvz-G09jDAVwJvv1drYEqO/view?usp=drivesdk</v>
      </c>
      <c r="Y2592" s="46"/>
      <c r="Z2592" s="360" t="s">
        <v>2079</v>
      </c>
      <c r="AA2592" s="2158" t="s">
        <v>10390</v>
      </c>
      <c r="AB2592" s="360" t="s">
        <v>15378</v>
      </c>
      <c r="AC2592" s="360" t="s">
        <v>15416</v>
      </c>
      <c r="AD2592" s="360" t="s">
        <v>15417</v>
      </c>
      <c r="AE2592" s="360" t="s">
        <v>15393</v>
      </c>
      <c r="AF2592" s="357">
        <v>160.0</v>
      </c>
      <c r="AG2592" s="360" t="s">
        <v>15418</v>
      </c>
      <c r="AH2592" s="360" t="s">
        <v>134</v>
      </c>
      <c r="AI2592" s="360" t="s">
        <v>2366</v>
      </c>
      <c r="AJ2592" s="357">
        <v>0.032</v>
      </c>
      <c r="AK2592" s="360" t="s">
        <v>172</v>
      </c>
      <c r="AL2592" s="360" t="s">
        <v>186</v>
      </c>
      <c r="AM2592" s="360" t="s">
        <v>137</v>
      </c>
      <c r="AN2592" s="469" t="s">
        <v>138</v>
      </c>
      <c r="AO2592" s="357">
        <v>389.0</v>
      </c>
      <c r="AP2592" s="357">
        <v>-0.19</v>
      </c>
      <c r="AQ2592" s="360" t="s">
        <v>173</v>
      </c>
      <c r="AR2592" s="360" t="s">
        <v>2372</v>
      </c>
      <c r="AS2592" s="357">
        <v>0.199</v>
      </c>
      <c r="AT2592" s="360" t="s">
        <v>172</v>
      </c>
      <c r="AU2592" s="360" t="s">
        <v>186</v>
      </c>
      <c r="AV2592" s="360" t="s">
        <v>137</v>
      </c>
      <c r="AW2592" s="2166" t="s">
        <v>10398</v>
      </c>
      <c r="AX2592" s="360" t="s">
        <v>143</v>
      </c>
      <c r="AY2592" s="61" t="str">
        <f>IFERROR(__xludf.DUMMYFUNCTION("vlookup(BB2592,importrange(""https://docs.google.com/spreadsheets/d/1d2vevQ_7D_v35q4wCQ4RpQ_IPoTwEMB9Yp6ymwlPqew/edit?gid=984458430#gid=984458430"", ""'replication success'!A:K""), 11, FAlSE)"),"failed")</f>
        <v>failed</v>
      </c>
      <c r="AZ2592" s="61" t="str">
        <f>IFERROR(__xludf.DUMMYFUNCTION("vlookup(BB2592,importrange(""https://docs.google.com/spreadsheets/d/1d2vevQ_7D_v35q4wCQ4RpQ_IPoTwEMB9Yp6ymwlPqew/edit?gid=984458430#gid=984458430"", ""'replication success'!A:M""), 12, FAlSE)"),"[Figure 1]")</f>
        <v>[Figure 1]</v>
      </c>
      <c r="BA2592" s="61" t="str">
        <f>IFERROR(__xludf.DUMMYFUNCTION("vlookup(BB2592,importrange(""https://docs.google.com/spreadsheets/d/1d2vevQ_7D_v35q4wCQ4RpQ_IPoTwEMB9Yp6ymwlPqew/edit?gid=984458430#gid=984458430"", ""'replication success'!A:M""), 13, FAlSE)"),"pg. 2")</f>
        <v>pg. 2</v>
      </c>
      <c r="BB2592" s="61" t="str">
        <f>IFERROR(__xludf.DUMMYFUNCTION("REGEXREPLACE(G2592, ""_[a-z]{1,2}$"", """")"),"OpenMKT16")</f>
        <v>OpenMKT16</v>
      </c>
      <c r="BD2592" s="1631" t="s">
        <v>1270</v>
      </c>
    </row>
    <row r="2593">
      <c r="A2593" s="44">
        <v>2593.0</v>
      </c>
      <c r="B2593" s="295" t="s">
        <v>152</v>
      </c>
      <c r="C2593" s="287" t="s">
        <v>115</v>
      </c>
      <c r="D2593" s="287" t="s">
        <v>145</v>
      </c>
      <c r="E2593" s="308"/>
      <c r="F2593" s="305" t="s">
        <v>10384</v>
      </c>
      <c r="G2593" s="290" t="s">
        <v>15419</v>
      </c>
      <c r="H2593" s="290" t="s">
        <v>10123</v>
      </c>
      <c r="I2593" s="2146">
        <v>45767.0</v>
      </c>
      <c r="J2593" s="293">
        <v>45800.0</v>
      </c>
      <c r="K2593" s="305"/>
      <c r="L2593" s="295" t="s">
        <v>15401</v>
      </c>
      <c r="M2593" s="290" t="s">
        <v>10387</v>
      </c>
      <c r="N2593" s="290" t="s">
        <v>10388</v>
      </c>
      <c r="O2593" s="1563">
        <v>5.0</v>
      </c>
      <c r="P2593" s="290" t="s">
        <v>10389</v>
      </c>
      <c r="Q2593" s="1816" t="str">
        <f t="array" ref="Q2593"> if(iserror(MATCH(V2593, 'File Links'!C:C, 0)), "N/A", HYPERLINK(INDEX('File Links'!B:B, MATCH(P2593, 'File Links'!C:C, 0))))</f>
        <v>https://drive.google.com/file/d/1SAkzHUXu2em_LOpzZzUsNAbEmhFQYt6z/view?usp=drivesdk</v>
      </c>
      <c r="R2593" s="290" t="s">
        <v>15108</v>
      </c>
      <c r="S2593" s="290" t="s">
        <v>10182</v>
      </c>
      <c r="T2593" s="2149" t="s">
        <v>15239</v>
      </c>
      <c r="U2593" s="295">
        <v>9.0</v>
      </c>
      <c r="V2593" s="290" t="s">
        <v>10183</v>
      </c>
      <c r="W2593" s="295" t="s">
        <v>209</v>
      </c>
      <c r="X2593" s="1817" t="str">
        <f t="array" ref="X2593"> if(iserror(MATCH(V2593, 'File Links'!C:C, 0)), "N/A", HYPERLINK(INDEX('File Links'!B:B, MATCH(V2593, 'File Links'!C:C, 0))))</f>
        <v>https://drive.google.com/file/d/1Irbmig3rfLDvz-G09jDAVwJvv1drYEqO/view?usp=drivesdk</v>
      </c>
      <c r="Y2593" s="305"/>
      <c r="Z2593" s="290" t="s">
        <v>2079</v>
      </c>
      <c r="AA2593" s="2167" t="s">
        <v>10390</v>
      </c>
      <c r="AB2593" s="290" t="s">
        <v>15378</v>
      </c>
      <c r="AC2593" s="290" t="s">
        <v>15420</v>
      </c>
      <c r="AD2593" s="290" t="s">
        <v>15421</v>
      </c>
      <c r="AE2593" s="290" t="s">
        <v>15393</v>
      </c>
      <c r="AF2593" s="1563">
        <v>160.0</v>
      </c>
      <c r="AG2593" s="290" t="s">
        <v>15422</v>
      </c>
      <c r="AH2593" s="290" t="s">
        <v>134</v>
      </c>
      <c r="AI2593" s="290" t="s">
        <v>2366</v>
      </c>
      <c r="AJ2593" s="1563">
        <v>0.004</v>
      </c>
      <c r="AK2593" s="290" t="s">
        <v>172</v>
      </c>
      <c r="AL2593" s="290" t="s">
        <v>186</v>
      </c>
      <c r="AM2593" s="290" t="s">
        <v>137</v>
      </c>
      <c r="AN2593" s="469" t="s">
        <v>138</v>
      </c>
      <c r="AO2593" s="1563">
        <v>389.0</v>
      </c>
      <c r="AP2593" s="290" t="s">
        <v>15423</v>
      </c>
      <c r="AQ2593" s="290" t="s">
        <v>134</v>
      </c>
      <c r="AR2593" s="290" t="s">
        <v>2372</v>
      </c>
      <c r="AS2593" s="1563">
        <v>0.283</v>
      </c>
      <c r="AT2593" s="290" t="s">
        <v>172</v>
      </c>
      <c r="AU2593" s="290" t="s">
        <v>186</v>
      </c>
      <c r="AV2593" s="290" t="s">
        <v>137</v>
      </c>
      <c r="AW2593" s="2168" t="s">
        <v>10398</v>
      </c>
      <c r="AX2593" s="290" t="s">
        <v>143</v>
      </c>
      <c r="AY2593" s="61" t="str">
        <f>IFERROR(__xludf.DUMMYFUNCTION("vlookup(BB2593,importrange(""https://docs.google.com/spreadsheets/d/1d2vevQ_7D_v35q4wCQ4RpQ_IPoTwEMB9Yp6ymwlPqew/edit?gid=984458430#gid=984458430"", ""'replication success'!A:K""), 11, FAlSE)"),"failed")</f>
        <v>failed</v>
      </c>
      <c r="AZ2593" s="61" t="str">
        <f>IFERROR(__xludf.DUMMYFUNCTION("vlookup(BB2593,importrange(""https://docs.google.com/spreadsheets/d/1d2vevQ_7D_v35q4wCQ4RpQ_IPoTwEMB9Yp6ymwlPqew/edit?gid=984458430#gid=984458430"", ""'replication success'!A:M""), 12, FAlSE)"),"[Figure 1]")</f>
        <v>[Figure 1]</v>
      </c>
      <c r="BA2593" s="61" t="str">
        <f>IFERROR(__xludf.DUMMYFUNCTION("vlookup(BB2593,importrange(""https://docs.google.com/spreadsheets/d/1d2vevQ_7D_v35q4wCQ4RpQ_IPoTwEMB9Yp6ymwlPqew/edit?gid=984458430#gid=984458430"", ""'replication success'!A:M""), 13, FAlSE)"),"pg. 2")</f>
        <v>pg. 2</v>
      </c>
      <c r="BB2593" s="61" t="str">
        <f>IFERROR(__xludf.DUMMYFUNCTION("REGEXREPLACE(G2593, ""_[a-z]{1,2}$"", """")"),"OpenMKT16")</f>
        <v>OpenMKT16</v>
      </c>
      <c r="BC2593" s="308"/>
      <c r="BD2593" s="287" t="s">
        <v>1270</v>
      </c>
      <c r="BE2593" s="308"/>
      <c r="BF2593" s="308"/>
      <c r="BG2593" s="308"/>
      <c r="BH2593" s="308"/>
      <c r="BI2593" s="308"/>
      <c r="BJ2593" s="308"/>
      <c r="BK2593" s="308"/>
      <c r="BL2593" s="308"/>
      <c r="BM2593" s="308"/>
      <c r="BN2593" s="308"/>
      <c r="BO2593" s="308"/>
      <c r="BP2593" s="308"/>
      <c r="BQ2593" s="308"/>
      <c r="BR2593" s="308"/>
      <c r="BS2593" s="308"/>
      <c r="BT2593" s="308"/>
      <c r="BU2593" s="308"/>
      <c r="BV2593" s="308"/>
      <c r="BW2593" s="308"/>
      <c r="BX2593" s="308"/>
      <c r="BY2593" s="308"/>
      <c r="BZ2593" s="308"/>
      <c r="CA2593" s="308"/>
      <c r="CB2593" s="308"/>
      <c r="CC2593" s="308"/>
      <c r="CD2593" s="308"/>
      <c r="CE2593" s="308"/>
      <c r="CF2593" s="308"/>
      <c r="CG2593" s="308"/>
      <c r="CH2593" s="308"/>
      <c r="CI2593" s="308"/>
      <c r="CJ2593" s="308"/>
      <c r="CK2593" s="308"/>
      <c r="CL2593" s="308"/>
      <c r="CM2593" s="308"/>
      <c r="CN2593" s="308"/>
      <c r="CO2593" s="308"/>
      <c r="CP2593" s="308"/>
      <c r="CQ2593" s="308"/>
      <c r="CR2593" s="308"/>
      <c r="CS2593" s="308"/>
      <c r="CT2593" s="308"/>
      <c r="CU2593" s="308"/>
      <c r="CV2593" s="308"/>
      <c r="CW2593" s="308"/>
      <c r="CX2593" s="308"/>
      <c r="CY2593" s="308"/>
      <c r="CZ2593" s="308"/>
      <c r="DA2593" s="308"/>
      <c r="DB2593" s="308"/>
      <c r="DC2593" s="308"/>
      <c r="DD2593" s="308"/>
      <c r="DE2593" s="308"/>
      <c r="DF2593" s="308"/>
      <c r="DG2593" s="308"/>
      <c r="DH2593" s="308"/>
      <c r="DI2593" s="308"/>
      <c r="DJ2593" s="308"/>
      <c r="DK2593" s="308"/>
      <c r="DL2593" s="308"/>
    </row>
    <row r="2594">
      <c r="A2594" s="44">
        <v>2594.0</v>
      </c>
      <c r="B2594" s="129" t="s">
        <v>114</v>
      </c>
      <c r="C2594" s="62" t="s">
        <v>115</v>
      </c>
      <c r="D2594" s="62" t="s">
        <v>145</v>
      </c>
      <c r="F2594" s="68" t="s">
        <v>10384</v>
      </c>
      <c r="G2594" s="360" t="s">
        <v>15424</v>
      </c>
      <c r="H2594" s="360" t="s">
        <v>10123</v>
      </c>
      <c r="I2594" s="344">
        <v>45767.0</v>
      </c>
      <c r="J2594" s="293">
        <v>45800.0</v>
      </c>
      <c r="K2594" s="360" t="s">
        <v>15425</v>
      </c>
      <c r="L2594" s="56" t="s">
        <v>15426</v>
      </c>
      <c r="M2594" s="360" t="s">
        <v>10387</v>
      </c>
      <c r="N2594" s="360" t="s">
        <v>10388</v>
      </c>
      <c r="O2594" s="357">
        <v>5.0</v>
      </c>
      <c r="P2594" s="360" t="s">
        <v>10389</v>
      </c>
      <c r="Q2594" s="52" t="str">
        <f t="array" ref="Q2594"> if(iserror(MATCH(V2594, 'File Links'!C:C, 0)), "N/A", HYPERLINK(INDEX('File Links'!B:B, MATCH(P2594, 'File Links'!C:C, 0))))</f>
        <v>https://drive.google.com/file/d/1SAkzHUXu2em_LOpzZzUsNAbEmhFQYt6z/view?usp=drivesdk</v>
      </c>
      <c r="R2594" s="360" t="s">
        <v>15108</v>
      </c>
      <c r="S2594" s="360" t="s">
        <v>10182</v>
      </c>
      <c r="T2594" s="509" t="s">
        <v>15239</v>
      </c>
      <c r="U2594" s="295">
        <v>9.0</v>
      </c>
      <c r="V2594" s="360" t="s">
        <v>10183</v>
      </c>
      <c r="W2594" s="56" t="s">
        <v>209</v>
      </c>
      <c r="X2594" s="54" t="str">
        <f t="array" ref="X2594"> if(iserror(MATCH(V2594, 'File Links'!C:C, 0)), "N/A", HYPERLINK(INDEX('File Links'!B:B, MATCH(V2594, 'File Links'!C:C, 0))))</f>
        <v>https://drive.google.com/file/d/1Irbmig3rfLDvz-G09jDAVwJvv1drYEqO/view?usp=drivesdk</v>
      </c>
      <c r="Y2594" s="46"/>
      <c r="Z2594" s="360" t="s">
        <v>2079</v>
      </c>
      <c r="AA2594" s="2158" t="s">
        <v>10390</v>
      </c>
      <c r="AB2594" s="360" t="s">
        <v>15378</v>
      </c>
      <c r="AC2594" s="360" t="s">
        <v>15427</v>
      </c>
      <c r="AD2594" s="360" t="s">
        <v>15428</v>
      </c>
      <c r="AE2594" s="360" t="s">
        <v>15393</v>
      </c>
      <c r="AF2594" s="357">
        <v>194.0</v>
      </c>
      <c r="AG2594" s="360" t="s">
        <v>15429</v>
      </c>
      <c r="AH2594" s="360" t="s">
        <v>134</v>
      </c>
      <c r="AI2594" s="360" t="s">
        <v>2366</v>
      </c>
      <c r="AJ2594" s="357">
        <v>0.052</v>
      </c>
      <c r="AK2594" s="360" t="s">
        <v>172</v>
      </c>
      <c r="AL2594" s="360" t="s">
        <v>186</v>
      </c>
      <c r="AM2594" s="360" t="s">
        <v>137</v>
      </c>
      <c r="AN2594" s="469" t="s">
        <v>138</v>
      </c>
      <c r="AO2594" s="357">
        <v>389.0</v>
      </c>
      <c r="AP2594" s="360" t="s">
        <v>15430</v>
      </c>
      <c r="AQ2594" s="360" t="s">
        <v>134</v>
      </c>
      <c r="AR2594" s="360" t="s">
        <v>2372</v>
      </c>
      <c r="AS2594" s="357">
        <v>0.41</v>
      </c>
      <c r="AT2594" s="360" t="s">
        <v>172</v>
      </c>
      <c r="AU2594" s="360" t="s">
        <v>186</v>
      </c>
      <c r="AV2594" s="360" t="s">
        <v>137</v>
      </c>
      <c r="AW2594" s="2166" t="s">
        <v>10398</v>
      </c>
      <c r="AX2594" s="360" t="s">
        <v>143</v>
      </c>
      <c r="AY2594" s="61" t="str">
        <f>IFERROR(__xludf.DUMMYFUNCTION("vlookup(BB2594,importrange(""https://docs.google.com/spreadsheets/d/1d2vevQ_7D_v35q4wCQ4RpQ_IPoTwEMB9Yp6ymwlPqew/edit?gid=984458430#gid=984458430"", ""'replication success'!A:K""), 11, FAlSE)"),"failed")</f>
        <v>failed</v>
      </c>
      <c r="AZ2594" s="61" t="str">
        <f>IFERROR(__xludf.DUMMYFUNCTION("vlookup(BB2594,importrange(""https://docs.google.com/spreadsheets/d/1d2vevQ_7D_v35q4wCQ4RpQ_IPoTwEMB9Yp6ymwlPqew/edit?gid=984458430#gid=984458430"", ""'replication success'!A:M""), 12, FAlSE)"),"[Figure 1]")</f>
        <v>[Figure 1]</v>
      </c>
      <c r="BA2594" s="61" t="str">
        <f>IFERROR(__xludf.DUMMYFUNCTION("vlookup(BB2594,importrange(""https://docs.google.com/spreadsheets/d/1d2vevQ_7D_v35q4wCQ4RpQ_IPoTwEMB9Yp6ymwlPqew/edit?gid=984458430#gid=984458430"", ""'replication success'!A:M""), 13, FAlSE)"),"pg. 2")</f>
        <v>pg. 2</v>
      </c>
      <c r="BB2594" s="61" t="str">
        <f>IFERROR(__xludf.DUMMYFUNCTION("REGEXREPLACE(G2594, ""_[a-z]{1,2}$"", """")"),"OpenMKT16")</f>
        <v>OpenMKT16</v>
      </c>
      <c r="BD2594" s="1631" t="s">
        <v>1270</v>
      </c>
    </row>
    <row r="2595">
      <c r="A2595" s="44">
        <v>2595.0</v>
      </c>
      <c r="B2595" s="1781" t="s">
        <v>152</v>
      </c>
      <c r="C2595" s="1782" t="s">
        <v>115</v>
      </c>
      <c r="D2595" s="1782" t="s">
        <v>145</v>
      </c>
      <c r="E2595" s="1783"/>
      <c r="F2595" s="1793" t="s">
        <v>15101</v>
      </c>
      <c r="G2595" s="1792" t="s">
        <v>15102</v>
      </c>
      <c r="H2595" s="1792" t="s">
        <v>10123</v>
      </c>
      <c r="I2595" s="2152">
        <v>45767.0</v>
      </c>
      <c r="J2595" s="1786">
        <v>45786.0</v>
      </c>
      <c r="K2595" s="1793"/>
      <c r="L2595" s="2153" t="s">
        <v>15431</v>
      </c>
      <c r="M2595" s="1792" t="s">
        <v>15105</v>
      </c>
      <c r="N2595" s="1792" t="s">
        <v>15106</v>
      </c>
      <c r="O2595" s="2089">
        <v>4.0</v>
      </c>
      <c r="P2595" s="1792" t="s">
        <v>15107</v>
      </c>
      <c r="Q2595" s="52" t="str">
        <f t="array" ref="Q2595"> if(iserror(MATCH(V2595, 'File Links'!C:C, 0)), "N/A", HYPERLINK(INDEX('File Links'!B:B, MATCH(P2595, 'File Links'!C:C, 0))))</f>
        <v>https://drive.google.com/file/d/1qQJNn7ZvoufwBSS_pp5Ek1nTMCXq-Gfn/view?usp=drivesdk</v>
      </c>
      <c r="R2595" s="1792" t="s">
        <v>15108</v>
      </c>
      <c r="S2595" s="1792" t="s">
        <v>10182</v>
      </c>
      <c r="T2595" s="2161" t="s">
        <v>15239</v>
      </c>
      <c r="U2595" s="371">
        <v>17.0</v>
      </c>
      <c r="V2595" s="1792" t="s">
        <v>10183</v>
      </c>
      <c r="W2595" s="56" t="s">
        <v>209</v>
      </c>
      <c r="X2595" s="54" t="str">
        <f t="array" ref="X2595"> if(iserror(MATCH(V2595, 'File Links'!C:C, 0)), "N/A", HYPERLINK(INDEX('File Links'!B:B, MATCH(V2595, 'File Links'!C:C, 0))))</f>
        <v>https://drive.google.com/file/d/1Irbmig3rfLDvz-G09jDAVwJvv1drYEqO/view?usp=drivesdk</v>
      </c>
      <c r="Y2595" s="1793"/>
      <c r="Z2595" s="1792" t="s">
        <v>2079</v>
      </c>
      <c r="AA2595" s="1784" t="s">
        <v>15109</v>
      </c>
      <c r="AB2595" s="1792" t="s">
        <v>15120</v>
      </c>
      <c r="AC2595" s="1792" t="s">
        <v>15432</v>
      </c>
      <c r="AD2595" s="1792" t="s">
        <v>15433</v>
      </c>
      <c r="AE2595" s="1792" t="s">
        <v>15434</v>
      </c>
      <c r="AF2595" s="2089">
        <v>198.0</v>
      </c>
      <c r="AG2595" s="2089">
        <v>0.34</v>
      </c>
      <c r="AH2595" s="1792" t="s">
        <v>173</v>
      </c>
      <c r="AI2595" s="1792" t="s">
        <v>307</v>
      </c>
      <c r="AJ2595" s="2089">
        <v>0.03</v>
      </c>
      <c r="AK2595" s="1792" t="s">
        <v>135</v>
      </c>
      <c r="AL2595" s="1792" t="s">
        <v>186</v>
      </c>
      <c r="AM2595" s="1792" t="s">
        <v>141</v>
      </c>
      <c r="AN2595" s="469" t="s">
        <v>138</v>
      </c>
      <c r="AO2595" s="2089">
        <v>573.0</v>
      </c>
      <c r="AP2595" s="1792" t="s">
        <v>15115</v>
      </c>
      <c r="AQ2595" s="1792" t="s">
        <v>134</v>
      </c>
      <c r="AR2595" s="380" t="s">
        <v>15435</v>
      </c>
      <c r="AS2595" s="2089">
        <v>0.377</v>
      </c>
      <c r="AT2595" s="1792" t="s">
        <v>172</v>
      </c>
      <c r="AU2595" s="1792" t="s">
        <v>186</v>
      </c>
      <c r="AV2595" s="1792" t="s">
        <v>141</v>
      </c>
      <c r="AW2595" s="2169" t="s">
        <v>15117</v>
      </c>
      <c r="AX2595" s="1792" t="s">
        <v>143</v>
      </c>
      <c r="AY2595" s="61" t="str">
        <f>IFERROR(__xludf.DUMMYFUNCTION("vlookup(BB2595,importrange(""https://docs.google.com/spreadsheets/d/1d2vevQ_7D_v35q4wCQ4RpQ_IPoTwEMB9Yp6ymwlPqew/edit?gid=984458430#gid=984458430"", ""'replication success'!A:K""), 11, FAlSE)"),"failed")</f>
        <v>failed</v>
      </c>
      <c r="AZ2595" s="61" t="str">
        <f>IFERROR(__xludf.DUMMYFUNCTION("vlookup(BB2595,importrange(""https://docs.google.com/spreadsheets/d/1d2vevQ_7D_v35q4wCQ4RpQ_IPoTwEMB9Yp6ymwlPqew/edit?gid=984458430#gid=984458430"", ""'replication success'!A:M""), 12, FAlSE)"),"[Figure 1]")</f>
        <v>[Figure 1]</v>
      </c>
      <c r="BA2595" s="61" t="str">
        <f>IFERROR(__xludf.DUMMYFUNCTION("vlookup(BB2595,importrange(""https://docs.google.com/spreadsheets/d/1d2vevQ_7D_v35q4wCQ4RpQ_IPoTwEMB9Yp6ymwlPqew/edit?gid=984458430#gid=984458430"", ""'replication success'!A:M""), 13, FAlSE)"),"pg. 2")</f>
        <v>pg. 2</v>
      </c>
      <c r="BB2595" s="61" t="str">
        <f>IFERROR(__xludf.DUMMYFUNCTION("REGEXREPLACE(G2595, ""_[a-z]{1,2}$"", """")"),"OpenMKT17")</f>
        <v>OpenMKT17</v>
      </c>
      <c r="BD2595" s="1782" t="s">
        <v>814</v>
      </c>
      <c r="BE2595" s="1783"/>
      <c r="BF2595" s="1783"/>
      <c r="BG2595" s="1783"/>
      <c r="BH2595" s="1783"/>
      <c r="BI2595" s="1783"/>
      <c r="BJ2595" s="1783"/>
      <c r="BK2595" s="1783"/>
      <c r="BL2595" s="1783"/>
      <c r="BM2595" s="1783"/>
      <c r="BN2595" s="1783"/>
      <c r="BO2595" s="1783"/>
      <c r="BP2595" s="1783"/>
      <c r="BQ2595" s="1783"/>
      <c r="BR2595" s="1783"/>
      <c r="BS2595" s="1783"/>
      <c r="BT2595" s="1783"/>
      <c r="BU2595" s="1783"/>
      <c r="BV2595" s="1783"/>
      <c r="BW2595" s="1783"/>
      <c r="BX2595" s="1783"/>
      <c r="BY2595" s="1783"/>
      <c r="BZ2595" s="1783"/>
      <c r="CA2595" s="1783"/>
      <c r="CB2595" s="1783"/>
      <c r="CC2595" s="1783"/>
      <c r="CD2595" s="1783"/>
      <c r="CE2595" s="1783"/>
      <c r="CF2595" s="1783"/>
      <c r="CG2595" s="1783"/>
      <c r="CH2595" s="1783"/>
      <c r="CI2595" s="1783"/>
      <c r="CJ2595" s="1783"/>
      <c r="CK2595" s="1783"/>
      <c r="CL2595" s="1783"/>
      <c r="CM2595" s="1783"/>
      <c r="CN2595" s="1783"/>
      <c r="CO2595" s="1783"/>
      <c r="CP2595" s="1783"/>
      <c r="CQ2595" s="1783"/>
      <c r="CR2595" s="1783"/>
      <c r="CS2595" s="1783"/>
      <c r="CT2595" s="1783"/>
      <c r="CU2595" s="1783"/>
      <c r="CV2595" s="1783"/>
      <c r="CW2595" s="1783"/>
      <c r="CX2595" s="1783"/>
      <c r="CY2595" s="1783"/>
      <c r="CZ2595" s="1783"/>
      <c r="DA2595" s="1783"/>
      <c r="DB2595" s="1783"/>
      <c r="DC2595" s="1783"/>
      <c r="DD2595" s="1783"/>
      <c r="DE2595" s="1783"/>
      <c r="DF2595" s="1783"/>
      <c r="DG2595" s="1783"/>
      <c r="DH2595" s="1783"/>
      <c r="DI2595" s="1783"/>
      <c r="DJ2595" s="1783"/>
      <c r="DK2595" s="1783"/>
      <c r="DL2595" s="1783"/>
    </row>
    <row r="2596">
      <c r="A2596" s="44">
        <v>2596.0</v>
      </c>
      <c r="B2596" s="129" t="s">
        <v>152</v>
      </c>
      <c r="C2596" s="62" t="s">
        <v>115</v>
      </c>
      <c r="D2596" s="62" t="s">
        <v>145</v>
      </c>
      <c r="F2596" s="68" t="s">
        <v>15101</v>
      </c>
      <c r="G2596" s="360" t="s">
        <v>15118</v>
      </c>
      <c r="H2596" s="360" t="s">
        <v>10123</v>
      </c>
      <c r="I2596" s="344">
        <v>45767.0</v>
      </c>
      <c r="J2596" s="1786">
        <v>45786.0</v>
      </c>
      <c r="K2596" s="46"/>
      <c r="L2596" s="2153" t="s">
        <v>15436</v>
      </c>
      <c r="M2596" s="360" t="s">
        <v>15105</v>
      </c>
      <c r="N2596" s="360" t="s">
        <v>15106</v>
      </c>
      <c r="O2596" s="357">
        <v>4.0</v>
      </c>
      <c r="P2596" s="360" t="s">
        <v>15107</v>
      </c>
      <c r="Q2596" s="52" t="str">
        <f t="array" ref="Q2596"> if(iserror(MATCH(V2596, 'File Links'!C:C, 0)), "N/A", HYPERLINK(INDEX('File Links'!B:B, MATCH(P2596, 'File Links'!C:C, 0))))</f>
        <v>https://drive.google.com/file/d/1qQJNn7ZvoufwBSS_pp5Ek1nTMCXq-Gfn/view?usp=drivesdk</v>
      </c>
      <c r="R2596" s="360" t="s">
        <v>15108</v>
      </c>
      <c r="S2596" s="360" t="s">
        <v>10182</v>
      </c>
      <c r="T2596" s="509" t="s">
        <v>15239</v>
      </c>
      <c r="U2596" s="371">
        <v>17.0</v>
      </c>
      <c r="V2596" s="360" t="s">
        <v>10183</v>
      </c>
      <c r="W2596" s="56" t="s">
        <v>209</v>
      </c>
      <c r="X2596" s="54" t="str">
        <f t="array" ref="X2596"> if(iserror(MATCH(V2596, 'File Links'!C:C, 0)), "N/A", HYPERLINK(INDEX('File Links'!B:B, MATCH(V2596, 'File Links'!C:C, 0))))</f>
        <v>https://drive.google.com/file/d/1Irbmig3rfLDvz-G09jDAVwJvv1drYEqO/view?usp=drivesdk</v>
      </c>
      <c r="Y2596" s="46"/>
      <c r="Z2596" s="360" t="s">
        <v>2079</v>
      </c>
      <c r="AA2596" s="343" t="s">
        <v>15109</v>
      </c>
      <c r="AB2596" s="360" t="s">
        <v>15120</v>
      </c>
      <c r="AC2596" s="360" t="s">
        <v>15437</v>
      </c>
      <c r="AD2596" s="360" t="s">
        <v>15438</v>
      </c>
      <c r="AE2596" s="357">
        <v>11.0</v>
      </c>
      <c r="AF2596" s="357">
        <v>198.0</v>
      </c>
      <c r="AG2596" s="360" t="s">
        <v>15439</v>
      </c>
      <c r="AH2596" s="360" t="s">
        <v>134</v>
      </c>
      <c r="AI2596" s="360" t="s">
        <v>307</v>
      </c>
      <c r="AJ2596" s="357">
        <v>0.02</v>
      </c>
      <c r="AK2596" s="360" t="s">
        <v>135</v>
      </c>
      <c r="AL2596" s="360" t="s">
        <v>186</v>
      </c>
      <c r="AM2596" s="360" t="s">
        <v>141</v>
      </c>
      <c r="AN2596" s="469" t="s">
        <v>138</v>
      </c>
      <c r="AO2596" s="357">
        <v>573.0</v>
      </c>
      <c r="AP2596" s="360" t="s">
        <v>15440</v>
      </c>
      <c r="AQ2596" s="360" t="s">
        <v>134</v>
      </c>
      <c r="AR2596" s="360" t="s">
        <v>2307</v>
      </c>
      <c r="AS2596" s="357">
        <v>0.059</v>
      </c>
      <c r="AT2596" s="360" t="s">
        <v>172</v>
      </c>
      <c r="AU2596" s="360" t="s">
        <v>186</v>
      </c>
      <c r="AV2596" s="360" t="s">
        <v>141</v>
      </c>
      <c r="AW2596" s="1645" t="s">
        <v>15117</v>
      </c>
      <c r="AX2596" s="360" t="s">
        <v>143</v>
      </c>
      <c r="AY2596" s="61" t="str">
        <f>IFERROR(__xludf.DUMMYFUNCTION("vlookup(BB2596,importrange(""https://docs.google.com/spreadsheets/d/1d2vevQ_7D_v35q4wCQ4RpQ_IPoTwEMB9Yp6ymwlPqew/edit?gid=984458430#gid=984458430"", ""'replication success'!A:K""), 11, FAlSE)"),"failed")</f>
        <v>failed</v>
      </c>
      <c r="AZ2596" s="61" t="str">
        <f>IFERROR(__xludf.DUMMYFUNCTION("vlookup(BB2596,importrange(""https://docs.google.com/spreadsheets/d/1d2vevQ_7D_v35q4wCQ4RpQ_IPoTwEMB9Yp6ymwlPqew/edit?gid=984458430#gid=984458430"", ""'replication success'!A:M""), 12, FAlSE)"),"[Figure 1]")</f>
        <v>[Figure 1]</v>
      </c>
      <c r="BA2596" s="61" t="str">
        <f>IFERROR(__xludf.DUMMYFUNCTION("vlookup(BB2596,importrange(""https://docs.google.com/spreadsheets/d/1d2vevQ_7D_v35q4wCQ4RpQ_IPoTwEMB9Yp6ymwlPqew/edit?gid=984458430#gid=984458430"", ""'replication success'!A:M""), 13, FAlSE)"),"pg. 2")</f>
        <v>pg. 2</v>
      </c>
      <c r="BB2596" s="61" t="str">
        <f>IFERROR(__xludf.DUMMYFUNCTION("REGEXREPLACE(G2596, ""_[a-z]{1,2}$"", """")"),"OpenMKT17")</f>
        <v>OpenMKT17</v>
      </c>
      <c r="BD2596" s="1782" t="s">
        <v>814</v>
      </c>
    </row>
    <row r="2597">
      <c r="A2597" s="44">
        <v>2597.0</v>
      </c>
      <c r="B2597" s="129" t="s">
        <v>152</v>
      </c>
      <c r="C2597" s="62" t="s">
        <v>115</v>
      </c>
      <c r="D2597" s="62" t="s">
        <v>145</v>
      </c>
      <c r="F2597" s="46" t="s">
        <v>15101</v>
      </c>
      <c r="G2597" s="360" t="s">
        <v>15124</v>
      </c>
      <c r="H2597" s="360" t="s">
        <v>10123</v>
      </c>
      <c r="I2597" s="344">
        <v>45767.0</v>
      </c>
      <c r="J2597" s="1786">
        <v>45786.0</v>
      </c>
      <c r="K2597" s="46"/>
      <c r="L2597" s="56" t="s">
        <v>15441</v>
      </c>
      <c r="M2597" s="360" t="s">
        <v>15105</v>
      </c>
      <c r="N2597" s="360" t="s">
        <v>15106</v>
      </c>
      <c r="O2597" s="357">
        <v>4.0</v>
      </c>
      <c r="P2597" s="360" t="s">
        <v>15107</v>
      </c>
      <c r="Q2597" s="52" t="str">
        <f t="array" ref="Q2597"> if(iserror(MATCH(V2597, 'File Links'!C:C, 0)), "N/A", HYPERLINK(INDEX('File Links'!B:B, MATCH(P2597, 'File Links'!C:C, 0))))</f>
        <v>https://drive.google.com/file/d/1qQJNn7ZvoufwBSS_pp5Ek1nTMCXq-Gfn/view?usp=drivesdk</v>
      </c>
      <c r="R2597" s="360" t="s">
        <v>15108</v>
      </c>
      <c r="S2597" s="360" t="s">
        <v>10182</v>
      </c>
      <c r="T2597" s="509" t="s">
        <v>15239</v>
      </c>
      <c r="U2597" s="371">
        <v>17.0</v>
      </c>
      <c r="V2597" s="360" t="s">
        <v>10183</v>
      </c>
      <c r="W2597" s="56" t="s">
        <v>209</v>
      </c>
      <c r="X2597" s="54" t="str">
        <f t="array" ref="X2597"> if(iserror(MATCH(V2597, 'File Links'!C:C, 0)), "N/A", HYPERLINK(INDEX('File Links'!B:B, MATCH(V2597, 'File Links'!C:C, 0))))</f>
        <v>https://drive.google.com/file/d/1Irbmig3rfLDvz-G09jDAVwJvv1drYEqO/view?usp=drivesdk</v>
      </c>
      <c r="Y2597" s="46"/>
      <c r="Z2597" s="360" t="s">
        <v>2079</v>
      </c>
      <c r="AA2597" s="343" t="s">
        <v>15109</v>
      </c>
      <c r="AB2597" s="360" t="s">
        <v>15120</v>
      </c>
      <c r="AC2597" s="360" t="s">
        <v>15442</v>
      </c>
      <c r="AD2597" s="360" t="s">
        <v>15443</v>
      </c>
      <c r="AE2597" s="357">
        <v>11.0</v>
      </c>
      <c r="AF2597" s="357">
        <v>198.0</v>
      </c>
      <c r="AG2597" s="380" t="s">
        <v>15444</v>
      </c>
      <c r="AH2597" s="360" t="s">
        <v>134</v>
      </c>
      <c r="AI2597" s="360" t="s">
        <v>307</v>
      </c>
      <c r="AJ2597" s="357">
        <v>0.001</v>
      </c>
      <c r="AK2597" s="360" t="s">
        <v>135</v>
      </c>
      <c r="AL2597" s="360" t="s">
        <v>186</v>
      </c>
      <c r="AM2597" s="360" t="s">
        <v>141</v>
      </c>
      <c r="AN2597" s="469" t="s">
        <v>138</v>
      </c>
      <c r="AO2597" s="357">
        <v>573.0</v>
      </c>
      <c r="AP2597" s="360" t="s">
        <v>15129</v>
      </c>
      <c r="AQ2597" s="360" t="s">
        <v>134</v>
      </c>
      <c r="AR2597" s="360" t="s">
        <v>2307</v>
      </c>
      <c r="AS2597" s="357">
        <v>0.312</v>
      </c>
      <c r="AT2597" s="360" t="s">
        <v>172</v>
      </c>
      <c r="AU2597" s="360" t="s">
        <v>186</v>
      </c>
      <c r="AV2597" s="360" t="s">
        <v>141</v>
      </c>
      <c r="AW2597" s="1645" t="s">
        <v>15117</v>
      </c>
      <c r="AX2597" s="360" t="s">
        <v>143</v>
      </c>
      <c r="AY2597" s="61" t="str">
        <f>IFERROR(__xludf.DUMMYFUNCTION("vlookup(BB2597,importrange(""https://docs.google.com/spreadsheets/d/1d2vevQ_7D_v35q4wCQ4RpQ_IPoTwEMB9Yp6ymwlPqew/edit?gid=984458430#gid=984458430"", ""'replication success'!A:K""), 11, FAlSE)"),"failed")</f>
        <v>failed</v>
      </c>
      <c r="AZ2597" s="61" t="str">
        <f>IFERROR(__xludf.DUMMYFUNCTION("vlookup(BB2597,importrange(""https://docs.google.com/spreadsheets/d/1d2vevQ_7D_v35q4wCQ4RpQ_IPoTwEMB9Yp6ymwlPqew/edit?gid=984458430#gid=984458430"", ""'replication success'!A:M""), 12, FAlSE)"),"[Figure 1]")</f>
        <v>[Figure 1]</v>
      </c>
      <c r="BA2597" s="61" t="str">
        <f>IFERROR(__xludf.DUMMYFUNCTION("vlookup(BB2597,importrange(""https://docs.google.com/spreadsheets/d/1d2vevQ_7D_v35q4wCQ4RpQ_IPoTwEMB9Yp6ymwlPqew/edit?gid=984458430#gid=984458430"", ""'replication success'!A:M""), 13, FAlSE)"),"pg. 2")</f>
        <v>pg. 2</v>
      </c>
      <c r="BB2597" s="61" t="str">
        <f>IFERROR(__xludf.DUMMYFUNCTION("REGEXREPLACE(G2597, ""_[a-z]{1,2}$"", """")"),"OpenMKT17")</f>
        <v>OpenMKT17</v>
      </c>
      <c r="BD2597" s="1782" t="s">
        <v>814</v>
      </c>
    </row>
    <row r="2598">
      <c r="A2598" s="44">
        <v>2598.0</v>
      </c>
      <c r="B2598" s="1781" t="s">
        <v>152</v>
      </c>
      <c r="C2598" s="1782" t="s">
        <v>115</v>
      </c>
      <c r="D2598" s="1782" t="s">
        <v>145</v>
      </c>
      <c r="E2598" s="1783"/>
      <c r="F2598" s="1793" t="s">
        <v>15101</v>
      </c>
      <c r="G2598" s="1792" t="s">
        <v>15130</v>
      </c>
      <c r="H2598" s="1792" t="s">
        <v>10123</v>
      </c>
      <c r="I2598" s="2152">
        <v>45767.0</v>
      </c>
      <c r="J2598" s="1786">
        <v>45786.0</v>
      </c>
      <c r="K2598" s="1793"/>
      <c r="L2598" s="2153" t="s">
        <v>15436</v>
      </c>
      <c r="M2598" s="1792" t="s">
        <v>15105</v>
      </c>
      <c r="N2598" s="1792" t="s">
        <v>15106</v>
      </c>
      <c r="O2598" s="2089">
        <v>4.0</v>
      </c>
      <c r="P2598" s="1792" t="s">
        <v>15107</v>
      </c>
      <c r="Q2598" s="52" t="str">
        <f t="array" ref="Q2598"> if(iserror(MATCH(V2598, 'File Links'!C:C, 0)), "N/A", HYPERLINK(INDEX('File Links'!B:B, MATCH(P2598, 'File Links'!C:C, 0))))</f>
        <v>https://drive.google.com/file/d/1qQJNn7ZvoufwBSS_pp5Ek1nTMCXq-Gfn/view?usp=drivesdk</v>
      </c>
      <c r="R2598" s="1792" t="s">
        <v>15108</v>
      </c>
      <c r="S2598" s="1792" t="s">
        <v>10182</v>
      </c>
      <c r="T2598" s="2161" t="s">
        <v>15239</v>
      </c>
      <c r="U2598" s="371">
        <v>17.0</v>
      </c>
      <c r="V2598" s="1792" t="s">
        <v>10183</v>
      </c>
      <c r="W2598" s="56" t="s">
        <v>209</v>
      </c>
      <c r="X2598" s="54" t="str">
        <f t="array" ref="X2598"> if(iserror(MATCH(V2598, 'File Links'!C:C, 0)), "N/A", HYPERLINK(INDEX('File Links'!B:B, MATCH(V2598, 'File Links'!C:C, 0))))</f>
        <v>https://drive.google.com/file/d/1Irbmig3rfLDvz-G09jDAVwJvv1drYEqO/view?usp=drivesdk</v>
      </c>
      <c r="Y2598" s="1793"/>
      <c r="Z2598" s="1792" t="s">
        <v>2079</v>
      </c>
      <c r="AA2598" s="1784" t="s">
        <v>15109</v>
      </c>
      <c r="AB2598" s="1792" t="s">
        <v>15120</v>
      </c>
      <c r="AC2598" s="1792" t="s">
        <v>15445</v>
      </c>
      <c r="AD2598" s="1792" t="s">
        <v>15446</v>
      </c>
      <c r="AE2598" s="2089">
        <v>11.0</v>
      </c>
      <c r="AF2598" s="2089">
        <v>198.0</v>
      </c>
      <c r="AG2598" s="1784" t="s">
        <v>15132</v>
      </c>
      <c r="AH2598" s="1792" t="s">
        <v>134</v>
      </c>
      <c r="AI2598" s="1792" t="s">
        <v>307</v>
      </c>
      <c r="AJ2598" s="2089">
        <v>0.9</v>
      </c>
      <c r="AK2598" s="1792" t="s">
        <v>335</v>
      </c>
      <c r="AL2598" s="1792" t="s">
        <v>186</v>
      </c>
      <c r="AM2598" s="1792" t="s">
        <v>141</v>
      </c>
      <c r="AN2598" s="469" t="s">
        <v>138</v>
      </c>
      <c r="AO2598" s="2089">
        <v>573.0</v>
      </c>
      <c r="AP2598" s="1792" t="s">
        <v>15447</v>
      </c>
      <c r="AQ2598" s="1792" t="s">
        <v>134</v>
      </c>
      <c r="AR2598" s="1792" t="s">
        <v>2307</v>
      </c>
      <c r="AS2598" s="2089">
        <v>0.046</v>
      </c>
      <c r="AT2598" s="1792" t="s">
        <v>172</v>
      </c>
      <c r="AU2598" s="1792" t="s">
        <v>186</v>
      </c>
      <c r="AV2598" s="1792" t="s">
        <v>141</v>
      </c>
      <c r="AW2598" s="2169" t="s">
        <v>15117</v>
      </c>
      <c r="AX2598" s="1792" t="s">
        <v>143</v>
      </c>
      <c r="AY2598" s="61" t="str">
        <f>IFERROR(__xludf.DUMMYFUNCTION("vlookup(BB2598,importrange(""https://docs.google.com/spreadsheets/d/1d2vevQ_7D_v35q4wCQ4RpQ_IPoTwEMB9Yp6ymwlPqew/edit?gid=984458430#gid=984458430"", ""'replication success'!A:K""), 11, FAlSE)"),"failed")</f>
        <v>failed</v>
      </c>
      <c r="AZ2598" s="61" t="str">
        <f>IFERROR(__xludf.DUMMYFUNCTION("vlookup(BB2598,importrange(""https://docs.google.com/spreadsheets/d/1d2vevQ_7D_v35q4wCQ4RpQ_IPoTwEMB9Yp6ymwlPqew/edit?gid=984458430#gid=984458430"", ""'replication success'!A:M""), 12, FAlSE)"),"[Figure 1]")</f>
        <v>[Figure 1]</v>
      </c>
      <c r="BA2598" s="61" t="str">
        <f>IFERROR(__xludf.DUMMYFUNCTION("vlookup(BB2598,importrange(""https://docs.google.com/spreadsheets/d/1d2vevQ_7D_v35q4wCQ4RpQ_IPoTwEMB9Yp6ymwlPqew/edit?gid=984458430#gid=984458430"", ""'replication success'!A:M""), 13, FAlSE)"),"pg. 2")</f>
        <v>pg. 2</v>
      </c>
      <c r="BB2598" s="61" t="str">
        <f>IFERROR(__xludf.DUMMYFUNCTION("REGEXREPLACE(G2598, ""_[a-z]{1,2}$"", """")"),"OpenMKT17")</f>
        <v>OpenMKT17</v>
      </c>
      <c r="BD2598" s="1782" t="s">
        <v>814</v>
      </c>
      <c r="BE2598" s="1783"/>
      <c r="BF2598" s="1783"/>
      <c r="BG2598" s="1783"/>
      <c r="BH2598" s="1783"/>
      <c r="BI2598" s="1783"/>
      <c r="BJ2598" s="1783"/>
      <c r="BK2598" s="1783"/>
      <c r="BL2598" s="1783"/>
      <c r="BM2598" s="1783"/>
      <c r="BN2598" s="1783"/>
      <c r="BO2598" s="1783"/>
      <c r="BP2598" s="1783"/>
      <c r="BQ2598" s="1783"/>
      <c r="BR2598" s="1783"/>
      <c r="BS2598" s="1783"/>
      <c r="BT2598" s="1783"/>
      <c r="BU2598" s="1783"/>
      <c r="BV2598" s="1783"/>
      <c r="BW2598" s="1783"/>
      <c r="BX2598" s="1783"/>
      <c r="BY2598" s="1783"/>
      <c r="BZ2598" s="1783"/>
      <c r="CA2598" s="1783"/>
      <c r="CB2598" s="1783"/>
      <c r="CC2598" s="1783"/>
      <c r="CD2598" s="1783"/>
      <c r="CE2598" s="1783"/>
      <c r="CF2598" s="1783"/>
      <c r="CG2598" s="1783"/>
      <c r="CH2598" s="1783"/>
      <c r="CI2598" s="1783"/>
      <c r="CJ2598" s="1783"/>
      <c r="CK2598" s="1783"/>
      <c r="CL2598" s="1783"/>
      <c r="CM2598" s="1783"/>
      <c r="CN2598" s="1783"/>
      <c r="CO2598" s="1783"/>
      <c r="CP2598" s="1783"/>
      <c r="CQ2598" s="1783"/>
      <c r="CR2598" s="1783"/>
      <c r="CS2598" s="1783"/>
      <c r="CT2598" s="1783"/>
      <c r="CU2598" s="1783"/>
      <c r="CV2598" s="1783"/>
      <c r="CW2598" s="1783"/>
      <c r="CX2598" s="1783"/>
      <c r="CY2598" s="1783"/>
      <c r="CZ2598" s="1783"/>
      <c r="DA2598" s="1783"/>
      <c r="DB2598" s="1783"/>
      <c r="DC2598" s="1783"/>
      <c r="DD2598" s="1783"/>
      <c r="DE2598" s="1783"/>
      <c r="DF2598" s="1783"/>
      <c r="DG2598" s="1783"/>
      <c r="DH2598" s="1783"/>
      <c r="DI2598" s="1783"/>
      <c r="DJ2598" s="1783"/>
      <c r="DK2598" s="1783"/>
      <c r="DL2598" s="1783"/>
    </row>
    <row r="2599">
      <c r="A2599" s="44">
        <v>2599.0</v>
      </c>
      <c r="B2599" s="1062" t="s">
        <v>114</v>
      </c>
      <c r="C2599" s="1063" t="s">
        <v>115</v>
      </c>
      <c r="D2599" s="1063" t="s">
        <v>145</v>
      </c>
      <c r="E2599" s="1064"/>
      <c r="F2599" s="1065" t="s">
        <v>15150</v>
      </c>
      <c r="G2599" s="704" t="s">
        <v>15151</v>
      </c>
      <c r="H2599" s="704" t="s">
        <v>10123</v>
      </c>
      <c r="I2599" s="1068">
        <v>45767.0</v>
      </c>
      <c r="J2599" s="1786">
        <v>45786.0</v>
      </c>
      <c r="K2599" s="1065"/>
      <c r="L2599" s="2153" t="s">
        <v>15436</v>
      </c>
      <c r="M2599" s="704" t="s">
        <v>15153</v>
      </c>
      <c r="N2599" s="704" t="s">
        <v>15154</v>
      </c>
      <c r="O2599" s="1070">
        <v>2.0</v>
      </c>
      <c r="P2599" s="704" t="s">
        <v>15155</v>
      </c>
      <c r="Q2599" s="52" t="str">
        <f t="array" ref="Q2599"> if(iserror(MATCH(V2599, 'File Links'!C:C, 0)), "N/A", HYPERLINK(INDEX('File Links'!B:B, MATCH(P2599, 'File Links'!C:C, 0))))</f>
        <v>https://drive.google.com/file/d/1H17uMt3lEFj60TgPCBKsbQYCGkxU4ctv/view?usp=drivesdk</v>
      </c>
      <c r="R2599" s="704" t="s">
        <v>15108</v>
      </c>
      <c r="S2599" s="704" t="s">
        <v>10182</v>
      </c>
      <c r="T2599" s="1072" t="s">
        <v>15239</v>
      </c>
      <c r="U2599" s="371">
        <v>31.0</v>
      </c>
      <c r="V2599" s="704" t="s">
        <v>10183</v>
      </c>
      <c r="W2599" s="56" t="s">
        <v>209</v>
      </c>
      <c r="X2599" s="54" t="str">
        <f t="array" ref="X2599"> if(iserror(MATCH(V2599, 'File Links'!C:C, 0)), "N/A", HYPERLINK(INDEX('File Links'!B:B, MATCH(V2599, 'File Links'!C:C, 0))))</f>
        <v>https://drive.google.com/file/d/1Irbmig3rfLDvz-G09jDAVwJvv1drYEqO/view?usp=drivesdk</v>
      </c>
      <c r="Y2599" s="1065"/>
      <c r="Z2599" s="704" t="s">
        <v>2079</v>
      </c>
      <c r="AA2599" s="1784" t="s">
        <v>15156</v>
      </c>
      <c r="AB2599" s="704" t="s">
        <v>15157</v>
      </c>
      <c r="AC2599" s="704" t="s">
        <v>15448</v>
      </c>
      <c r="AD2599" s="704" t="s">
        <v>15449</v>
      </c>
      <c r="AE2599" s="1070">
        <v>6.0</v>
      </c>
      <c r="AF2599" s="1070">
        <v>200.0</v>
      </c>
      <c r="AG2599" s="704" t="s">
        <v>15160</v>
      </c>
      <c r="AH2599" s="704" t="s">
        <v>134</v>
      </c>
      <c r="AI2599" s="704" t="s">
        <v>140</v>
      </c>
      <c r="AJ2599" s="1070">
        <v>0.05</v>
      </c>
      <c r="AK2599" s="704" t="s">
        <v>172</v>
      </c>
      <c r="AL2599" s="704" t="s">
        <v>186</v>
      </c>
      <c r="AM2599" s="704" t="s">
        <v>137</v>
      </c>
      <c r="AN2599" s="469" t="s">
        <v>138</v>
      </c>
      <c r="AO2599" s="1070">
        <v>595.0</v>
      </c>
      <c r="AP2599" s="1070">
        <v>0.003</v>
      </c>
      <c r="AQ2599" s="704" t="s">
        <v>173</v>
      </c>
      <c r="AR2599" s="704" t="s">
        <v>648</v>
      </c>
      <c r="AS2599" s="1070">
        <v>0.097</v>
      </c>
      <c r="AT2599" s="704" t="s">
        <v>172</v>
      </c>
      <c r="AU2599" s="704" t="s">
        <v>186</v>
      </c>
      <c r="AV2599" s="704" t="s">
        <v>137</v>
      </c>
      <c r="AW2599" s="2170" t="s">
        <v>15450</v>
      </c>
      <c r="AX2599" s="704" t="s">
        <v>143</v>
      </c>
      <c r="AY2599" s="61" t="str">
        <f>IFERROR(__xludf.DUMMYFUNCTION("vlookup(BB2599,importrange(""https://docs.google.com/spreadsheets/d/1d2vevQ_7D_v35q4wCQ4RpQ_IPoTwEMB9Yp6ymwlPqew/edit?gid=984458430#gid=984458430"", ""'replication success'!A:K""), 11, FAlSE)"),"mixed")</f>
        <v>mixed</v>
      </c>
      <c r="AZ2599" s="61" t="str">
        <f>IFERROR(__xludf.DUMMYFUNCTION("vlookup(BB2599,importrange(""https://docs.google.com/spreadsheets/d/1d2vevQ_7D_v35q4wCQ4RpQ_IPoTwEMB9Yp6ymwlPqew/edit?gid=984458430#gid=984458430"", ""'replication success'!A:M""), 12, FAlSE)"),"[Figure 1]")</f>
        <v>[Figure 1]</v>
      </c>
      <c r="BA2599" s="61" t="str">
        <f>IFERROR(__xludf.DUMMYFUNCTION("vlookup(BB2599,importrange(""https://docs.google.com/spreadsheets/d/1d2vevQ_7D_v35q4wCQ4RpQ_IPoTwEMB9Yp6ymwlPqew/edit?gid=984458430#gid=984458430"", ""'replication success'!A:M""), 13, FAlSE)"),"pg. 2")</f>
        <v>pg. 2</v>
      </c>
      <c r="BB2599" s="61" t="str">
        <f>IFERROR(__xludf.DUMMYFUNCTION("REGEXREPLACE(G2599, ""_[a-z]{1,2}$"", """")"),"OpenMKT18")</f>
        <v>OpenMKT18</v>
      </c>
      <c r="BD2599" s="1063" t="s">
        <v>1270</v>
      </c>
      <c r="BE2599" s="1064"/>
      <c r="BF2599" s="1064"/>
      <c r="BG2599" s="1064"/>
      <c r="BH2599" s="1064"/>
      <c r="BI2599" s="1064"/>
      <c r="BJ2599" s="1064"/>
      <c r="BK2599" s="1064"/>
      <c r="BL2599" s="1064"/>
      <c r="BM2599" s="1064"/>
      <c r="BN2599" s="1064"/>
      <c r="BO2599" s="1064"/>
      <c r="BP2599" s="1064"/>
      <c r="BQ2599" s="1064"/>
      <c r="BR2599" s="1064"/>
      <c r="BS2599" s="1064"/>
      <c r="BT2599" s="1064"/>
      <c r="BU2599" s="1064"/>
      <c r="BV2599" s="1064"/>
      <c r="BW2599" s="1064"/>
      <c r="BX2599" s="1064"/>
      <c r="BY2599" s="1064"/>
      <c r="BZ2599" s="1064"/>
      <c r="CA2599" s="1064"/>
      <c r="CB2599" s="1064"/>
      <c r="CC2599" s="1064"/>
      <c r="CD2599" s="1064"/>
      <c r="CE2599" s="1064"/>
      <c r="CF2599" s="1064"/>
      <c r="CG2599" s="1064"/>
      <c r="CH2599" s="1064"/>
      <c r="CI2599" s="1064"/>
      <c r="CJ2599" s="1064"/>
      <c r="CK2599" s="1064"/>
      <c r="CL2599" s="1064"/>
      <c r="CM2599" s="1064"/>
      <c r="CN2599" s="1064"/>
      <c r="CO2599" s="1064"/>
      <c r="CP2599" s="1064"/>
      <c r="CQ2599" s="1064"/>
      <c r="CR2599" s="1064"/>
      <c r="CS2599" s="1064"/>
      <c r="CT2599" s="1064"/>
      <c r="CU2599" s="1064"/>
      <c r="CV2599" s="1064"/>
      <c r="CW2599" s="1064"/>
      <c r="CX2599" s="1064"/>
      <c r="CY2599" s="1064"/>
      <c r="CZ2599" s="1064"/>
      <c r="DA2599" s="1064"/>
      <c r="DB2599" s="1064"/>
      <c r="DC2599" s="1064"/>
      <c r="DD2599" s="1064"/>
      <c r="DE2599" s="1064"/>
      <c r="DF2599" s="1064"/>
      <c r="DG2599" s="1064"/>
      <c r="DH2599" s="1064"/>
      <c r="DI2599" s="1064"/>
      <c r="DJ2599" s="1064"/>
      <c r="DK2599" s="1064"/>
      <c r="DL2599" s="1064"/>
    </row>
    <row r="2600">
      <c r="A2600" s="44">
        <v>2600.0</v>
      </c>
      <c r="B2600" s="1062" t="s">
        <v>114</v>
      </c>
      <c r="C2600" s="1063" t="s">
        <v>115</v>
      </c>
      <c r="D2600" s="1063" t="s">
        <v>145</v>
      </c>
      <c r="E2600" s="1064"/>
      <c r="F2600" s="1065" t="s">
        <v>15150</v>
      </c>
      <c r="G2600" s="704" t="s">
        <v>15164</v>
      </c>
      <c r="H2600" s="704" t="s">
        <v>10123</v>
      </c>
      <c r="I2600" s="1068">
        <v>45767.0</v>
      </c>
      <c r="J2600" s="1786">
        <v>45786.0</v>
      </c>
      <c r="K2600" s="1065"/>
      <c r="L2600" s="2153" t="s">
        <v>15436</v>
      </c>
      <c r="M2600" s="704" t="s">
        <v>15153</v>
      </c>
      <c r="N2600" s="704" t="s">
        <v>15154</v>
      </c>
      <c r="O2600" s="1070">
        <v>2.0</v>
      </c>
      <c r="P2600" s="704" t="s">
        <v>15155</v>
      </c>
      <c r="Q2600" s="52" t="str">
        <f t="array" ref="Q2600"> if(iserror(MATCH(V2600, 'File Links'!C:C, 0)), "N/A", HYPERLINK(INDEX('File Links'!B:B, MATCH(P2600, 'File Links'!C:C, 0))))</f>
        <v>https://drive.google.com/file/d/1H17uMt3lEFj60TgPCBKsbQYCGkxU4ctv/view?usp=drivesdk</v>
      </c>
      <c r="R2600" s="704" t="s">
        <v>15108</v>
      </c>
      <c r="S2600" s="704" t="s">
        <v>10182</v>
      </c>
      <c r="T2600" s="1072" t="s">
        <v>15239</v>
      </c>
      <c r="U2600" s="1062">
        <v>31.0</v>
      </c>
      <c r="V2600" s="704" t="s">
        <v>10183</v>
      </c>
      <c r="W2600" s="56" t="s">
        <v>209</v>
      </c>
      <c r="X2600" s="54" t="str">
        <f t="array" ref="X2600"> if(iserror(MATCH(V2600, 'File Links'!C:C, 0)), "N/A", HYPERLINK(INDEX('File Links'!B:B, MATCH(V2600, 'File Links'!C:C, 0))))</f>
        <v>https://drive.google.com/file/d/1Irbmig3rfLDvz-G09jDAVwJvv1drYEqO/view?usp=drivesdk</v>
      </c>
      <c r="Y2600" s="1065"/>
      <c r="Z2600" s="704" t="s">
        <v>2079</v>
      </c>
      <c r="AA2600" s="1784" t="s">
        <v>15156</v>
      </c>
      <c r="AB2600" s="704" t="s">
        <v>15157</v>
      </c>
      <c r="AC2600" s="704" t="s">
        <v>15451</v>
      </c>
      <c r="AD2600" s="704" t="s">
        <v>15452</v>
      </c>
      <c r="AE2600" s="1070">
        <v>6.0</v>
      </c>
      <c r="AF2600" s="1070">
        <v>200.0</v>
      </c>
      <c r="AG2600" s="704" t="s">
        <v>15166</v>
      </c>
      <c r="AH2600" s="704" t="s">
        <v>134</v>
      </c>
      <c r="AI2600" s="704" t="s">
        <v>140</v>
      </c>
      <c r="AJ2600" s="1070">
        <v>0.028</v>
      </c>
      <c r="AK2600" s="704" t="s">
        <v>172</v>
      </c>
      <c r="AL2600" s="704" t="s">
        <v>186</v>
      </c>
      <c r="AM2600" s="704" t="s">
        <v>137</v>
      </c>
      <c r="AN2600" s="469" t="s">
        <v>138</v>
      </c>
      <c r="AO2600" s="1070">
        <v>595.0</v>
      </c>
      <c r="AP2600" s="704" t="s">
        <v>15453</v>
      </c>
      <c r="AQ2600" s="704" t="s">
        <v>134</v>
      </c>
      <c r="AR2600" s="704" t="s">
        <v>648</v>
      </c>
      <c r="AS2600" s="1070">
        <v>0.3</v>
      </c>
      <c r="AT2600" s="704" t="s">
        <v>172</v>
      </c>
      <c r="AU2600" s="704" t="s">
        <v>186</v>
      </c>
      <c r="AV2600" s="704" t="s">
        <v>137</v>
      </c>
      <c r="AW2600" s="2170" t="s">
        <v>15450</v>
      </c>
      <c r="AX2600" s="704" t="s">
        <v>143</v>
      </c>
      <c r="AY2600" s="61" t="str">
        <f>IFERROR(__xludf.DUMMYFUNCTION("vlookup(BB2600,importrange(""https://docs.google.com/spreadsheets/d/1d2vevQ_7D_v35q4wCQ4RpQ_IPoTwEMB9Yp6ymwlPqew/edit?gid=984458430#gid=984458430"", ""'replication success'!A:K""), 11, FAlSE)"),"mixed")</f>
        <v>mixed</v>
      </c>
      <c r="AZ2600" s="61" t="str">
        <f>IFERROR(__xludf.DUMMYFUNCTION("vlookup(BB2600,importrange(""https://docs.google.com/spreadsheets/d/1d2vevQ_7D_v35q4wCQ4RpQ_IPoTwEMB9Yp6ymwlPqew/edit?gid=984458430#gid=984458430"", ""'replication success'!A:M""), 12, FAlSE)"),"[Figure 1]")</f>
        <v>[Figure 1]</v>
      </c>
      <c r="BA2600" s="61" t="str">
        <f>IFERROR(__xludf.DUMMYFUNCTION("vlookup(BB2600,importrange(""https://docs.google.com/spreadsheets/d/1d2vevQ_7D_v35q4wCQ4RpQ_IPoTwEMB9Yp6ymwlPqew/edit?gid=984458430#gid=984458430"", ""'replication success'!A:M""), 13, FAlSE)"),"pg. 2")</f>
        <v>pg. 2</v>
      </c>
      <c r="BB2600" s="61" t="str">
        <f>IFERROR(__xludf.DUMMYFUNCTION("REGEXREPLACE(G2600, ""_[a-z]{1,2}$"", """")"),"OpenMKT18")</f>
        <v>OpenMKT18</v>
      </c>
      <c r="BD2600" s="1063" t="s">
        <v>1270</v>
      </c>
      <c r="BE2600" s="1064"/>
      <c r="BF2600" s="1064"/>
      <c r="BG2600" s="1064"/>
      <c r="BH2600" s="1064"/>
      <c r="BI2600" s="1064"/>
      <c r="BJ2600" s="1064"/>
      <c r="BK2600" s="1064"/>
      <c r="BL2600" s="1064"/>
      <c r="BM2600" s="1064"/>
      <c r="BN2600" s="1064"/>
      <c r="BO2600" s="1064"/>
      <c r="BP2600" s="1064"/>
      <c r="BQ2600" s="1064"/>
      <c r="BR2600" s="1064"/>
      <c r="BS2600" s="1064"/>
      <c r="BT2600" s="1064"/>
      <c r="BU2600" s="1064"/>
      <c r="BV2600" s="1064"/>
      <c r="BW2600" s="1064"/>
      <c r="BX2600" s="1064"/>
      <c r="BY2600" s="1064"/>
      <c r="BZ2600" s="1064"/>
      <c r="CA2600" s="1064"/>
      <c r="CB2600" s="1064"/>
      <c r="CC2600" s="1064"/>
      <c r="CD2600" s="1064"/>
      <c r="CE2600" s="1064"/>
      <c r="CF2600" s="1064"/>
      <c r="CG2600" s="1064"/>
      <c r="CH2600" s="1064"/>
      <c r="CI2600" s="1064"/>
      <c r="CJ2600" s="1064"/>
      <c r="CK2600" s="1064"/>
      <c r="CL2600" s="1064"/>
      <c r="CM2600" s="1064"/>
      <c r="CN2600" s="1064"/>
      <c r="CO2600" s="1064"/>
      <c r="CP2600" s="1064"/>
      <c r="CQ2600" s="1064"/>
      <c r="CR2600" s="1064"/>
      <c r="CS2600" s="1064"/>
      <c r="CT2600" s="1064"/>
      <c r="CU2600" s="1064"/>
      <c r="CV2600" s="1064"/>
      <c r="CW2600" s="1064"/>
      <c r="CX2600" s="1064"/>
      <c r="CY2600" s="1064"/>
      <c r="CZ2600" s="1064"/>
      <c r="DA2600" s="1064"/>
      <c r="DB2600" s="1064"/>
      <c r="DC2600" s="1064"/>
      <c r="DD2600" s="1064"/>
      <c r="DE2600" s="1064"/>
      <c r="DF2600" s="1064"/>
      <c r="DG2600" s="1064"/>
      <c r="DH2600" s="1064"/>
      <c r="DI2600" s="1064"/>
      <c r="DJ2600" s="1064"/>
      <c r="DK2600" s="1064"/>
      <c r="DL2600" s="1064"/>
    </row>
    <row r="2601">
      <c r="A2601" s="44">
        <v>2601.0</v>
      </c>
      <c r="B2601" s="1062" t="s">
        <v>114</v>
      </c>
      <c r="C2601" s="1063" t="s">
        <v>115</v>
      </c>
      <c r="D2601" s="1063" t="s">
        <v>145</v>
      </c>
      <c r="E2601" s="1064"/>
      <c r="F2601" s="1065" t="s">
        <v>15150</v>
      </c>
      <c r="G2601" s="704" t="s">
        <v>15170</v>
      </c>
      <c r="H2601" s="704" t="s">
        <v>10123</v>
      </c>
      <c r="I2601" s="1068">
        <v>45767.0</v>
      </c>
      <c r="J2601" s="1786">
        <v>45786.0</v>
      </c>
      <c r="K2601" s="1065"/>
      <c r="L2601" s="2153" t="s">
        <v>15436</v>
      </c>
      <c r="M2601" s="704" t="s">
        <v>15153</v>
      </c>
      <c r="N2601" s="704" t="s">
        <v>15154</v>
      </c>
      <c r="O2601" s="1070">
        <v>2.0</v>
      </c>
      <c r="P2601" s="704" t="s">
        <v>15155</v>
      </c>
      <c r="Q2601" s="52" t="str">
        <f t="array" ref="Q2601"> if(iserror(MATCH(V2601, 'File Links'!C:C, 0)), "N/A", HYPERLINK(INDEX('File Links'!B:B, MATCH(P2601, 'File Links'!C:C, 0))))</f>
        <v>https://drive.google.com/file/d/1H17uMt3lEFj60TgPCBKsbQYCGkxU4ctv/view?usp=drivesdk</v>
      </c>
      <c r="R2601" s="704" t="s">
        <v>15108</v>
      </c>
      <c r="S2601" s="704" t="s">
        <v>10182</v>
      </c>
      <c r="T2601" s="1072" t="s">
        <v>15239</v>
      </c>
      <c r="U2601" s="1062">
        <v>31.0</v>
      </c>
      <c r="V2601" s="704" t="s">
        <v>10183</v>
      </c>
      <c r="W2601" s="56" t="s">
        <v>209</v>
      </c>
      <c r="X2601" s="54" t="str">
        <f t="array" ref="X2601"> if(iserror(MATCH(V2601, 'File Links'!C:C, 0)), "N/A", HYPERLINK(INDEX('File Links'!B:B, MATCH(V2601, 'File Links'!C:C, 0))))</f>
        <v>https://drive.google.com/file/d/1Irbmig3rfLDvz-G09jDAVwJvv1drYEqO/view?usp=drivesdk</v>
      </c>
      <c r="Y2601" s="1065"/>
      <c r="Z2601" s="704" t="s">
        <v>2079</v>
      </c>
      <c r="AA2601" s="1784" t="s">
        <v>15156</v>
      </c>
      <c r="AB2601" s="704" t="s">
        <v>15157</v>
      </c>
      <c r="AC2601" s="704" t="s">
        <v>15454</v>
      </c>
      <c r="AD2601" s="704" t="s">
        <v>15455</v>
      </c>
      <c r="AE2601" s="1070">
        <v>6.0</v>
      </c>
      <c r="AF2601" s="1070">
        <v>200.0</v>
      </c>
      <c r="AG2601" s="704" t="s">
        <v>15172</v>
      </c>
      <c r="AH2601" s="704" t="s">
        <v>134</v>
      </c>
      <c r="AI2601" s="704" t="s">
        <v>140</v>
      </c>
      <c r="AJ2601" s="1070">
        <v>0.149</v>
      </c>
      <c r="AK2601" s="704" t="s">
        <v>172</v>
      </c>
      <c r="AL2601" s="704" t="s">
        <v>186</v>
      </c>
      <c r="AM2601" s="704" t="s">
        <v>137</v>
      </c>
      <c r="AN2601" s="469" t="s">
        <v>138</v>
      </c>
      <c r="AO2601" s="1070">
        <v>595.0</v>
      </c>
      <c r="AP2601" s="704" t="s">
        <v>15456</v>
      </c>
      <c r="AQ2601" s="704" t="s">
        <v>134</v>
      </c>
      <c r="AR2601" s="704" t="s">
        <v>648</v>
      </c>
      <c r="AS2601" s="1070">
        <v>0.83</v>
      </c>
      <c r="AT2601" s="704" t="s">
        <v>172</v>
      </c>
      <c r="AU2601" s="704" t="s">
        <v>186</v>
      </c>
      <c r="AV2601" s="704" t="s">
        <v>137</v>
      </c>
      <c r="AW2601" s="2170" t="s">
        <v>15450</v>
      </c>
      <c r="AX2601" s="704" t="s">
        <v>143</v>
      </c>
      <c r="AY2601" s="61" t="str">
        <f>IFERROR(__xludf.DUMMYFUNCTION("vlookup(BB2601,importrange(""https://docs.google.com/spreadsheets/d/1d2vevQ_7D_v35q4wCQ4RpQ_IPoTwEMB9Yp6ymwlPqew/edit?gid=984458430#gid=984458430"", ""'replication success'!A:K""), 11, FAlSE)"),"mixed")</f>
        <v>mixed</v>
      </c>
      <c r="AZ2601" s="61" t="str">
        <f>IFERROR(__xludf.DUMMYFUNCTION("vlookup(BB2601,importrange(""https://docs.google.com/spreadsheets/d/1d2vevQ_7D_v35q4wCQ4RpQ_IPoTwEMB9Yp6ymwlPqew/edit?gid=984458430#gid=984458430"", ""'replication success'!A:M""), 12, FAlSE)"),"[Figure 1]")</f>
        <v>[Figure 1]</v>
      </c>
      <c r="BA2601" s="61" t="str">
        <f>IFERROR(__xludf.DUMMYFUNCTION("vlookup(BB2601,importrange(""https://docs.google.com/spreadsheets/d/1d2vevQ_7D_v35q4wCQ4RpQ_IPoTwEMB9Yp6ymwlPqew/edit?gid=984458430#gid=984458430"", ""'replication success'!A:M""), 13, FAlSE)"),"pg. 2")</f>
        <v>pg. 2</v>
      </c>
      <c r="BB2601" s="61" t="str">
        <f>IFERROR(__xludf.DUMMYFUNCTION("REGEXREPLACE(G2601, ""_[a-z]{1,2}$"", """")"),"OpenMKT18")</f>
        <v>OpenMKT18</v>
      </c>
      <c r="BD2601" s="1063" t="s">
        <v>1270</v>
      </c>
      <c r="BE2601" s="1064"/>
      <c r="BF2601" s="1064"/>
      <c r="BG2601" s="1064"/>
      <c r="BH2601" s="1064"/>
      <c r="BI2601" s="1064"/>
      <c r="BJ2601" s="1064"/>
      <c r="BK2601" s="1064"/>
      <c r="BL2601" s="1064"/>
      <c r="BM2601" s="1064"/>
      <c r="BN2601" s="1064"/>
      <c r="BO2601" s="1064"/>
      <c r="BP2601" s="1064"/>
      <c r="BQ2601" s="1064"/>
      <c r="BR2601" s="1064"/>
      <c r="BS2601" s="1064"/>
      <c r="BT2601" s="1064"/>
      <c r="BU2601" s="1064"/>
      <c r="BV2601" s="1064"/>
      <c r="BW2601" s="1064"/>
      <c r="BX2601" s="1064"/>
      <c r="BY2601" s="1064"/>
      <c r="BZ2601" s="1064"/>
      <c r="CA2601" s="1064"/>
      <c r="CB2601" s="1064"/>
      <c r="CC2601" s="1064"/>
      <c r="CD2601" s="1064"/>
      <c r="CE2601" s="1064"/>
      <c r="CF2601" s="1064"/>
      <c r="CG2601" s="1064"/>
      <c r="CH2601" s="1064"/>
      <c r="CI2601" s="1064"/>
      <c r="CJ2601" s="1064"/>
      <c r="CK2601" s="1064"/>
      <c r="CL2601" s="1064"/>
      <c r="CM2601" s="1064"/>
      <c r="CN2601" s="1064"/>
      <c r="CO2601" s="1064"/>
      <c r="CP2601" s="1064"/>
      <c r="CQ2601" s="1064"/>
      <c r="CR2601" s="1064"/>
      <c r="CS2601" s="1064"/>
      <c r="CT2601" s="1064"/>
      <c r="CU2601" s="1064"/>
      <c r="CV2601" s="1064"/>
      <c r="CW2601" s="1064"/>
      <c r="CX2601" s="1064"/>
      <c r="CY2601" s="1064"/>
      <c r="CZ2601" s="1064"/>
      <c r="DA2601" s="1064"/>
      <c r="DB2601" s="1064"/>
      <c r="DC2601" s="1064"/>
      <c r="DD2601" s="1064"/>
      <c r="DE2601" s="1064"/>
      <c r="DF2601" s="1064"/>
      <c r="DG2601" s="1064"/>
      <c r="DH2601" s="1064"/>
      <c r="DI2601" s="1064"/>
      <c r="DJ2601" s="1064"/>
      <c r="DK2601" s="1064"/>
      <c r="DL2601" s="1064"/>
    </row>
    <row r="2602">
      <c r="A2602" s="44">
        <v>2602.0</v>
      </c>
      <c r="B2602" s="129" t="s">
        <v>114</v>
      </c>
      <c r="C2602" s="62" t="s">
        <v>115</v>
      </c>
      <c r="D2602" s="62" t="s">
        <v>145</v>
      </c>
      <c r="F2602" s="46" t="s">
        <v>15176</v>
      </c>
      <c r="G2602" s="360" t="s">
        <v>15177</v>
      </c>
      <c r="H2602" s="360" t="s">
        <v>10123</v>
      </c>
      <c r="I2602" s="344">
        <v>45767.0</v>
      </c>
      <c r="J2602" s="1587">
        <v>45793.0</v>
      </c>
      <c r="K2602" s="46"/>
      <c r="L2602" s="56" t="s">
        <v>15457</v>
      </c>
      <c r="M2602" s="360" t="s">
        <v>15179</v>
      </c>
      <c r="N2602" s="360" t="s">
        <v>15180</v>
      </c>
      <c r="O2602" s="357">
        <v>3.0</v>
      </c>
      <c r="P2602" s="360" t="s">
        <v>15181</v>
      </c>
      <c r="Q2602" s="52" t="str">
        <f t="array" ref="Q2602"> if(iserror(MATCH(V2602, 'File Links'!C:C, 0)), "N/A", HYPERLINK(INDEX('File Links'!B:B, MATCH(P2602, 'File Links'!C:C, 0))))</f>
        <v>https://drive.google.com/file/d/1pNYePg3eNKxHVFnrHDZ4sLAX_CCQrhwE/view?usp=drivesdk</v>
      </c>
      <c r="R2602" s="360" t="s">
        <v>15108</v>
      </c>
      <c r="S2602" s="360" t="s">
        <v>10182</v>
      </c>
      <c r="T2602" s="509" t="s">
        <v>15239</v>
      </c>
      <c r="U2602" s="56">
        <v>5.0</v>
      </c>
      <c r="V2602" s="360" t="s">
        <v>10183</v>
      </c>
      <c r="W2602" s="56"/>
      <c r="X2602" s="54" t="str">
        <f t="array" ref="X2602"> if(iserror(MATCH(V2602, 'File Links'!C:C, 0)), "N/A", HYPERLINK(INDEX('File Links'!B:B, MATCH(V2602, 'File Links'!C:C, 0))))</f>
        <v>https://drive.google.com/file/d/1Irbmig3rfLDvz-G09jDAVwJvv1drYEqO/view?usp=drivesdk</v>
      </c>
      <c r="Y2602" s="46"/>
      <c r="Z2602" s="360" t="s">
        <v>2079</v>
      </c>
      <c r="AA2602" s="360" t="s">
        <v>15182</v>
      </c>
      <c r="AB2602" s="360" t="s">
        <v>15458</v>
      </c>
      <c r="AC2602" s="360" t="s">
        <v>15459</v>
      </c>
      <c r="AD2602" s="360" t="s">
        <v>15460</v>
      </c>
      <c r="AE2602" s="360" t="s">
        <v>6196</v>
      </c>
      <c r="AF2602" s="357">
        <v>199.0</v>
      </c>
      <c r="AG2602" s="360" t="s">
        <v>15461</v>
      </c>
      <c r="AH2602" s="360" t="s">
        <v>134</v>
      </c>
      <c r="AI2602" s="360" t="s">
        <v>628</v>
      </c>
      <c r="AJ2602" s="357">
        <v>0.08</v>
      </c>
      <c r="AK2602" s="360" t="s">
        <v>172</v>
      </c>
      <c r="AL2602" s="360" t="s">
        <v>186</v>
      </c>
      <c r="AM2602" s="360" t="s">
        <v>137</v>
      </c>
      <c r="AN2602" s="469" t="s">
        <v>138</v>
      </c>
      <c r="AO2602" s="357">
        <v>507.0</v>
      </c>
      <c r="AP2602" s="360" t="s">
        <v>15462</v>
      </c>
      <c r="AQ2602" s="360" t="s">
        <v>134</v>
      </c>
      <c r="AR2602" s="360" t="s">
        <v>7389</v>
      </c>
      <c r="AS2602" s="357">
        <v>0.002</v>
      </c>
      <c r="AT2602" s="360" t="s">
        <v>172</v>
      </c>
      <c r="AU2602" s="360" t="s">
        <v>186</v>
      </c>
      <c r="AV2602" s="360" t="s">
        <v>137</v>
      </c>
      <c r="AW2602" s="1645" t="s">
        <v>15189</v>
      </c>
      <c r="AX2602" s="360" t="s">
        <v>143</v>
      </c>
      <c r="AY2602" s="61" t="str">
        <f>IFERROR(__xludf.DUMMYFUNCTION("vlookup(BB2602,importrange(""https://docs.google.com/spreadsheets/d/1d2vevQ_7D_v35q4wCQ4RpQ_IPoTwEMB9Yp6ymwlPqew/edit?gid=984458430#gid=984458430"", ""'replication success'!A:K""), 11, FAlSE)"),"successful")</f>
        <v>successful</v>
      </c>
      <c r="AZ2602" s="61" t="str">
        <f>IFERROR(__xludf.DUMMYFUNCTION("vlookup(BB2602,importrange(""https://docs.google.com/spreadsheets/d/1d2vevQ_7D_v35q4wCQ4RpQ_IPoTwEMB9Yp6ymwlPqew/edit?gid=984458430#gid=984458430"", ""'replication success'!A:M""), 12, FAlSE)"),"[Figure 1]")</f>
        <v>[Figure 1]</v>
      </c>
      <c r="BA2602" s="61" t="str">
        <f>IFERROR(__xludf.DUMMYFUNCTION("vlookup(BB2602,importrange(""https://docs.google.com/spreadsheets/d/1d2vevQ_7D_v35q4wCQ4RpQ_IPoTwEMB9Yp6ymwlPqew/edit?gid=984458430#gid=984458430"", ""'replication success'!A:M""), 13, FAlSE)"),"pg. 2")</f>
        <v>pg. 2</v>
      </c>
      <c r="BB2602" s="61" t="str">
        <f>IFERROR(__xludf.DUMMYFUNCTION("REGEXREPLACE(G2602, ""_[a-z]{1,2}$"", """")"),"OpenMKT19")</f>
        <v>OpenMKT19</v>
      </c>
      <c r="BD2602" s="62" t="s">
        <v>1270</v>
      </c>
    </row>
    <row r="2603">
      <c r="A2603" s="44">
        <v>2603.0</v>
      </c>
      <c r="B2603" s="129" t="s">
        <v>152</v>
      </c>
      <c r="C2603" s="62" t="s">
        <v>115</v>
      </c>
      <c r="D2603" s="62" t="s">
        <v>145</v>
      </c>
      <c r="F2603" s="46" t="s">
        <v>15190</v>
      </c>
      <c r="G2603" s="360" t="s">
        <v>15191</v>
      </c>
      <c r="H2603" s="360" t="s">
        <v>10123</v>
      </c>
      <c r="I2603" s="344">
        <v>45767.0</v>
      </c>
      <c r="J2603" s="1587">
        <v>45793.0</v>
      </c>
      <c r="K2603" s="46"/>
      <c r="L2603" s="56" t="s">
        <v>15463</v>
      </c>
      <c r="M2603" s="360" t="s">
        <v>15194</v>
      </c>
      <c r="N2603" s="360" t="s">
        <v>5516</v>
      </c>
      <c r="O2603" s="357">
        <v>3.0</v>
      </c>
      <c r="P2603" s="360" t="s">
        <v>15195</v>
      </c>
      <c r="Q2603" s="52" t="str">
        <f t="array" ref="Q2603"> if(iserror(MATCH(V2603, 'File Links'!C:C, 0)), "N/A", HYPERLINK(INDEX('File Links'!B:B, MATCH(P2603, 'File Links'!C:C, 0))))</f>
        <v>https://drive.google.com/file/d/1ufFlEetCWZtYqMqTTptc07s2XdkD4E4c/view?usp=drivesdk</v>
      </c>
      <c r="R2603" s="360" t="s">
        <v>15108</v>
      </c>
      <c r="S2603" s="360" t="s">
        <v>10182</v>
      </c>
      <c r="T2603" s="509" t="s">
        <v>15239</v>
      </c>
      <c r="U2603" s="56">
        <v>4.0</v>
      </c>
      <c r="V2603" s="360" t="s">
        <v>10183</v>
      </c>
      <c r="W2603" s="46"/>
      <c r="X2603" s="54" t="str">
        <f t="array" ref="X2603"> if(iserror(MATCH(V2603, 'File Links'!C:C, 0)), "N/A", HYPERLINK(INDEX('File Links'!B:B, MATCH(V2603, 'File Links'!C:C, 0))))</f>
        <v>https://drive.google.com/file/d/1Irbmig3rfLDvz-G09jDAVwJvv1drYEqO/view?usp=drivesdk</v>
      </c>
      <c r="Y2603" s="46"/>
      <c r="Z2603" s="360" t="s">
        <v>2079</v>
      </c>
      <c r="AA2603" s="380" t="s">
        <v>15196</v>
      </c>
      <c r="AB2603" s="360" t="s">
        <v>15464</v>
      </c>
      <c r="AC2603" s="360" t="s">
        <v>15198</v>
      </c>
      <c r="AD2603" s="360" t="s">
        <v>15465</v>
      </c>
      <c r="AE2603" s="357">
        <v>5.0</v>
      </c>
      <c r="AF2603" s="357">
        <v>231.0</v>
      </c>
      <c r="AG2603" s="357">
        <v>0.31</v>
      </c>
      <c r="AH2603" s="360" t="s">
        <v>173</v>
      </c>
      <c r="AI2603" s="360" t="s">
        <v>813</v>
      </c>
      <c r="AJ2603" s="357">
        <v>0.01</v>
      </c>
      <c r="AK2603" s="360" t="s">
        <v>172</v>
      </c>
      <c r="AL2603" s="360" t="s">
        <v>186</v>
      </c>
      <c r="AM2603" s="360" t="s">
        <v>137</v>
      </c>
      <c r="AN2603" s="469" t="s">
        <v>138</v>
      </c>
      <c r="AO2603" s="357">
        <v>603.0</v>
      </c>
      <c r="AP2603" s="357">
        <v>0.43</v>
      </c>
      <c r="AQ2603" s="360" t="s">
        <v>173</v>
      </c>
      <c r="AR2603" s="360" t="s">
        <v>15466</v>
      </c>
      <c r="AS2603" s="357">
        <v>0.001</v>
      </c>
      <c r="AT2603" s="360" t="s">
        <v>135</v>
      </c>
      <c r="AU2603" s="360" t="s">
        <v>186</v>
      </c>
      <c r="AV2603" s="360" t="s">
        <v>137</v>
      </c>
      <c r="AW2603" s="1645" t="s">
        <v>15202</v>
      </c>
      <c r="AX2603" s="360" t="s">
        <v>143</v>
      </c>
      <c r="AY2603" s="61" t="str">
        <f>IFERROR(__xludf.DUMMYFUNCTION("vlookup(BB2603,importrange(""https://docs.google.com/spreadsheets/d/1d2vevQ_7D_v35q4wCQ4RpQ_IPoTwEMB9Yp6ymwlPqew/edit?gid=984458430#gid=984458430"", ""'replication success'!A:K""), 11, FAlSE)"),"successful")</f>
        <v>successful</v>
      </c>
      <c r="AZ2603" s="61" t="str">
        <f>IFERROR(__xludf.DUMMYFUNCTION("vlookup(BB2603,importrange(""https://docs.google.com/spreadsheets/d/1d2vevQ_7D_v35q4wCQ4RpQ_IPoTwEMB9Yp6ymwlPqew/edit?gid=984458430#gid=984458430"", ""'replication success'!A:M""), 12, FAlSE)"),"[Figure 1]")</f>
        <v>[Figure 1]</v>
      </c>
      <c r="BA2603" s="61" t="str">
        <f>IFERROR(__xludf.DUMMYFUNCTION("vlookup(BB2603,importrange(""https://docs.google.com/spreadsheets/d/1d2vevQ_7D_v35q4wCQ4RpQ_IPoTwEMB9Yp6ymwlPqew/edit?gid=984458430#gid=984458430"", ""'replication success'!A:M""), 13, FAlSE)"),"pg. 2")</f>
        <v>pg. 2</v>
      </c>
      <c r="BB2603" s="61" t="str">
        <f>IFERROR(__xludf.DUMMYFUNCTION("REGEXREPLACE(G2603, ""_[a-z]{1,2}$"", """")"),"OpenMKT20")</f>
        <v>OpenMKT20</v>
      </c>
      <c r="BD2603" s="62" t="s">
        <v>1270</v>
      </c>
    </row>
    <row r="2604">
      <c r="A2604" s="44">
        <v>2604.0</v>
      </c>
      <c r="B2604" s="129" t="s">
        <v>152</v>
      </c>
      <c r="C2604" s="62" t="s">
        <v>115</v>
      </c>
      <c r="D2604" s="62" t="s">
        <v>145</v>
      </c>
      <c r="F2604" s="46" t="s">
        <v>15211</v>
      </c>
      <c r="G2604" s="360" t="s">
        <v>15212</v>
      </c>
      <c r="H2604" s="360" t="s">
        <v>10123</v>
      </c>
      <c r="I2604" s="344">
        <v>45761.0</v>
      </c>
      <c r="J2604" s="1587">
        <v>45800.0</v>
      </c>
      <c r="K2604" s="46"/>
      <c r="L2604" s="56" t="s">
        <v>15467</v>
      </c>
      <c r="M2604" s="360" t="s">
        <v>15215</v>
      </c>
      <c r="N2604" s="360" t="s">
        <v>15216</v>
      </c>
      <c r="O2604" s="357">
        <v>2.0</v>
      </c>
      <c r="P2604" s="360" t="s">
        <v>15217</v>
      </c>
      <c r="Q2604" s="52" t="str">
        <f t="array" ref="Q2604"> if(iserror(MATCH(V2604, 'File Links'!C:C, 0)), "N/A", HYPERLINK(INDEX('File Links'!B:B, MATCH(P2604, 'File Links'!C:C, 0))))</f>
        <v>https://drive.google.com/file/d/1pONPJh9x5VCZuuA8xFZJ8EwpUqV7ZKOz/view?usp=drivesdk</v>
      </c>
      <c r="R2604" s="360" t="s">
        <v>15218</v>
      </c>
      <c r="S2604" s="360" t="s">
        <v>15219</v>
      </c>
      <c r="T2604" s="46"/>
      <c r="U2604" s="56">
        <v>1.0</v>
      </c>
      <c r="V2604" s="360" t="s">
        <v>15220</v>
      </c>
      <c r="W2604" s="56" t="s">
        <v>209</v>
      </c>
      <c r="X2604" s="54" t="str">
        <f t="array" ref="X2604"> if(iserror(MATCH(V2604, 'File Links'!C:C, 0)), "N/A", HYPERLINK(INDEX('File Links'!B:B, MATCH(V2604, 'File Links'!C:C, 0))))</f>
        <v>https://drive.google.com/file/d/1JqR213ecE6dYmcQzX1WidGxm2UimuKxl/view?usp=drivesdk</v>
      </c>
      <c r="Y2604" s="46"/>
      <c r="Z2604" s="360" t="s">
        <v>2079</v>
      </c>
      <c r="AA2604" s="360" t="s">
        <v>15468</v>
      </c>
      <c r="AB2604" s="360" t="s">
        <v>15469</v>
      </c>
      <c r="AC2604" s="360" t="s">
        <v>15223</v>
      </c>
      <c r="AD2604" s="360" t="s">
        <v>15470</v>
      </c>
      <c r="AE2604" s="360" t="s">
        <v>15471</v>
      </c>
      <c r="AF2604" s="357">
        <v>275.0</v>
      </c>
      <c r="AG2604" s="357">
        <v>0.026</v>
      </c>
      <c r="AH2604" s="360" t="s">
        <v>139</v>
      </c>
      <c r="AI2604" s="360" t="s">
        <v>613</v>
      </c>
      <c r="AJ2604" s="357">
        <v>0.03</v>
      </c>
      <c r="AK2604" s="360" t="s">
        <v>172</v>
      </c>
      <c r="AL2604" s="360" t="s">
        <v>186</v>
      </c>
      <c r="AM2604" s="360" t="s">
        <v>137</v>
      </c>
      <c r="AN2604" s="469" t="s">
        <v>138</v>
      </c>
      <c r="AO2604" s="357">
        <v>383.0</v>
      </c>
      <c r="AP2604" s="357">
        <v>0.001</v>
      </c>
      <c r="AQ2604" s="360" t="s">
        <v>139</v>
      </c>
      <c r="AR2604" s="360" t="s">
        <v>140</v>
      </c>
      <c r="AS2604" s="357">
        <v>0.91</v>
      </c>
      <c r="AT2604" s="360" t="s">
        <v>172</v>
      </c>
      <c r="AU2604" s="360" t="s">
        <v>186</v>
      </c>
      <c r="AV2604" s="360" t="s">
        <v>137</v>
      </c>
      <c r="AW2604" s="59" t="s">
        <v>15472</v>
      </c>
      <c r="AX2604" s="360" t="s">
        <v>143</v>
      </c>
      <c r="AY2604" s="61" t="str">
        <f>IFERROR(__xludf.DUMMYFUNCTION("vlookup(BB2604,importrange(""https://docs.google.com/spreadsheets/d/1d2vevQ_7D_v35q4wCQ4RpQ_IPoTwEMB9Yp6ymwlPqew/edit?gid=984458430#gid=984458430"", ""'replication success'!A:K""), 11, FAlSE)"),"failed")</f>
        <v>failed</v>
      </c>
      <c r="AZ2604" s="61" t="str">
        <f>IFERROR(__xludf.DUMMYFUNCTION("vlookup(BB2604,importrange(""https://docs.google.com/spreadsheets/d/1d2vevQ_7D_v35q4wCQ4RpQ_IPoTwEMB9Yp6ymwlPqew/edit?gid=984458430#gid=984458430"", ""'replication success'!A:M""), 12, FAlSE)"),"Using the same tasks and conditions as in Ward et al.'s (2017) second experiment, the present study found
that the “brain drain” effect did not replicate: there was no difference between smartphone location conditions
on performance on either the o-span"&amp;" task or the go/no-go task.")</f>
        <v>Using the same tasks and conditions as in Ward et al.'s (2017) second experiment, the present study found
that the “brain drain” effect did not replicate: there was no difference between smartphone location conditions
on performance on either the o-span task or the go/no-go task.</v>
      </c>
      <c r="BA2604" s="61" t="str">
        <f>IFERROR(__xludf.DUMMYFUNCTION("vlookup(BB2604,importrange(""https://docs.google.com/spreadsheets/d/1d2vevQ_7D_v35q4wCQ4RpQ_IPoTwEMB9Yp6ymwlPqew/edit?gid=984458430#gid=984458430"", ""'replication success'!A:M""), 13, FAlSE)"),"abstract")</f>
        <v>abstract</v>
      </c>
      <c r="BB2604" s="61" t="str">
        <f>IFERROR(__xludf.DUMMYFUNCTION("REGEXREPLACE(G2604, ""_[a-z]{1,2}$"", """")"),"OpenMKT21")</f>
        <v>OpenMKT21</v>
      </c>
      <c r="BD2604" s="62" t="s">
        <v>1270</v>
      </c>
    </row>
    <row r="2605">
      <c r="A2605" s="44">
        <v>2605.0</v>
      </c>
      <c r="B2605" s="129" t="s">
        <v>523</v>
      </c>
      <c r="C2605" s="62" t="s">
        <v>115</v>
      </c>
      <c r="D2605" s="62" t="s">
        <v>15473</v>
      </c>
      <c r="F2605" s="68" t="s">
        <v>15014</v>
      </c>
      <c r="G2605" s="159" t="s">
        <v>15474</v>
      </c>
      <c r="H2605" s="159" t="s">
        <v>15475</v>
      </c>
      <c r="I2605" s="152">
        <v>45767.0</v>
      </c>
      <c r="J2605" s="152">
        <v>45788.0</v>
      </c>
      <c r="K2605" s="68"/>
      <c r="L2605" s="68"/>
      <c r="M2605" s="159" t="s">
        <v>15476</v>
      </c>
      <c r="N2605" s="159" t="s">
        <v>15477</v>
      </c>
      <c r="O2605" s="159" t="s">
        <v>4426</v>
      </c>
      <c r="P2605" s="159" t="s">
        <v>15018</v>
      </c>
      <c r="Q2605" s="2171" t="str">
        <f> hyperlink(vlookup(lower(N2605),'File Links'!E:F, 2, FALSE), "LINK")</f>
        <v>LINK</v>
      </c>
      <c r="R2605" s="159" t="s">
        <v>15019</v>
      </c>
      <c r="S2605" s="159" t="s">
        <v>15020</v>
      </c>
      <c r="T2605" s="68"/>
      <c r="U2605" s="159" t="s">
        <v>4426</v>
      </c>
      <c r="V2605" s="159" t="s">
        <v>15021</v>
      </c>
      <c r="W2605" s="68"/>
      <c r="X2605" s="2172" t="str">
        <f> hyperlink(vlookup(lower(S2605),'File Links'!E:F, 2, FALSE), "LINK")</f>
        <v>LINK</v>
      </c>
      <c r="Y2605" s="68"/>
      <c r="Z2605" s="159" t="s">
        <v>148</v>
      </c>
      <c r="AA2605" s="159" t="s">
        <v>15478</v>
      </c>
      <c r="AB2605" s="159" t="s">
        <v>15023</v>
      </c>
      <c r="AC2605" s="159" t="s">
        <v>15479</v>
      </c>
      <c r="AD2605" s="159" t="s">
        <v>15480</v>
      </c>
      <c r="AE2605" s="156">
        <v>3.0</v>
      </c>
      <c r="AF2605" s="156">
        <v>14.0</v>
      </c>
      <c r="AG2605" s="156">
        <v>0.27</v>
      </c>
      <c r="AH2605" s="159" t="s">
        <v>874</v>
      </c>
      <c r="AI2605" s="159" t="s">
        <v>507</v>
      </c>
      <c r="AJ2605" s="156">
        <v>0.018</v>
      </c>
      <c r="AK2605" s="159" t="s">
        <v>172</v>
      </c>
      <c r="AL2605" s="159" t="s">
        <v>186</v>
      </c>
      <c r="AM2605" s="159" t="s">
        <v>137</v>
      </c>
      <c r="AN2605" s="68"/>
      <c r="AO2605" s="156">
        <v>50.0</v>
      </c>
      <c r="AP2605" s="156">
        <v>0.002</v>
      </c>
      <c r="AQ2605" s="159" t="s">
        <v>874</v>
      </c>
      <c r="AR2605" s="159" t="s">
        <v>882</v>
      </c>
      <c r="AS2605" s="156">
        <v>0.922</v>
      </c>
      <c r="AT2605" s="159" t="s">
        <v>172</v>
      </c>
      <c r="AU2605" s="159" t="s">
        <v>186</v>
      </c>
      <c r="AV2605" s="159" t="s">
        <v>137</v>
      </c>
      <c r="AW2605" s="435" t="s">
        <v>15026</v>
      </c>
      <c r="AX2605" s="159" t="s">
        <v>143</v>
      </c>
      <c r="AY2605" s="61" t="str">
        <f>IFERROR(__xludf.DUMMYFUNCTION("vlookup(BB2605,importrange(""https://docs.google.com/spreadsheets/d/1d2vevQ_7D_v35q4wCQ4RpQ_IPoTwEMB9Yp6ymwlPqew/edit?gid=984458430#gid=984458430"", ""'replication success'!A:K""), 11, FAlSE)"),"#N/A")</f>
        <v>#N/A</v>
      </c>
      <c r="AZ2605" s="61" t="str">
        <f>IFERROR(__xludf.DUMMYFUNCTION("vlookup(BB2605,importrange(""https://docs.google.com/spreadsheets/d/1d2vevQ_7D_v35q4wCQ4RpQ_IPoTwEMB9Yp6ymwlPqew/edit?gid=984458430#gid=984458430"", ""'replication success'!A:M""), 12, FAlSE)"),"#N/A")</f>
        <v>#N/A</v>
      </c>
      <c r="BA2605" s="61" t="str">
        <f>IFERROR(__xludf.DUMMYFUNCTION("vlookup(BB2605,importrange(""https://docs.google.com/spreadsheets/d/1d2vevQ_7D_v35q4wCQ4RpQ_IPoTwEMB9Yp6ymwlPqew/edit?gid=984458430#gid=984458430"", ""'replication success'!A:M""), 13, FAlSE)"),"#N/A")</f>
        <v>#N/A</v>
      </c>
      <c r="BB2605" s="61" t="str">
        <f>IFERROR(__xludf.DUMMYFUNCTION("REGEXREPLACE(G2605, ""_[a-z]{1,2}$"", """")"),"soscisubmission83")</f>
        <v>soscisubmission83</v>
      </c>
      <c r="BD2605" s="1063" t="s">
        <v>13231</v>
      </c>
    </row>
    <row r="2606">
      <c r="A2606" s="44">
        <v>2606.0</v>
      </c>
      <c r="B2606" s="129" t="s">
        <v>523</v>
      </c>
      <c r="C2606" s="62" t="s">
        <v>115</v>
      </c>
      <c r="D2606" s="62" t="s">
        <v>15473</v>
      </c>
      <c r="F2606" s="68" t="s">
        <v>15027</v>
      </c>
      <c r="G2606" s="159" t="s">
        <v>15481</v>
      </c>
      <c r="H2606" s="159" t="s">
        <v>15475</v>
      </c>
      <c r="I2606" s="152">
        <v>45767.0</v>
      </c>
      <c r="J2606" s="152">
        <v>45788.0</v>
      </c>
      <c r="K2606" s="68"/>
      <c r="L2606" s="68"/>
      <c r="M2606" s="159" t="s">
        <v>15016</v>
      </c>
      <c r="N2606" s="159" t="s">
        <v>15017</v>
      </c>
      <c r="O2606" s="159" t="s">
        <v>4732</v>
      </c>
      <c r="P2606" s="159" t="s">
        <v>15018</v>
      </c>
      <c r="Q2606" s="2173" t="str">
        <f> hyperlink(vlookup(lower(N2606),'File Links'!E:F, 2, FALSE), "LINK")</f>
        <v>LINK</v>
      </c>
      <c r="R2606" s="159" t="s">
        <v>15019</v>
      </c>
      <c r="S2606" s="159" t="s">
        <v>15020</v>
      </c>
      <c r="T2606" s="68"/>
      <c r="U2606" s="159" t="s">
        <v>4732</v>
      </c>
      <c r="V2606" s="159" t="s">
        <v>15021</v>
      </c>
      <c r="W2606" s="68"/>
      <c r="X2606" s="2172" t="str">
        <f> hyperlink(vlookup(lower(S2606),'File Links'!E:F, 2, FALSE), "LINK")</f>
        <v>LINK</v>
      </c>
      <c r="Y2606" s="68"/>
      <c r="Z2606" s="159" t="s">
        <v>148</v>
      </c>
      <c r="AA2606" s="159" t="s">
        <v>15478</v>
      </c>
      <c r="AB2606" s="159" t="s">
        <v>15023</v>
      </c>
      <c r="AC2606" s="159" t="s">
        <v>15482</v>
      </c>
      <c r="AD2606" s="159" t="s">
        <v>15483</v>
      </c>
      <c r="AE2606" s="156">
        <v>5.0</v>
      </c>
      <c r="AF2606" s="156">
        <v>30.0</v>
      </c>
      <c r="AG2606" s="156">
        <v>0.16</v>
      </c>
      <c r="AH2606" s="159" t="s">
        <v>874</v>
      </c>
      <c r="AI2606" s="159" t="s">
        <v>882</v>
      </c>
      <c r="AJ2606" s="156">
        <v>0.026</v>
      </c>
      <c r="AK2606" s="159" t="s">
        <v>172</v>
      </c>
      <c r="AL2606" s="159" t="s">
        <v>186</v>
      </c>
      <c r="AM2606" s="159" t="s">
        <v>137</v>
      </c>
      <c r="AN2606" s="68"/>
      <c r="AO2606" s="156">
        <v>50.0</v>
      </c>
      <c r="AP2606" s="156">
        <v>0.001</v>
      </c>
      <c r="AQ2606" s="159" t="s">
        <v>874</v>
      </c>
      <c r="AR2606" s="159" t="s">
        <v>4979</v>
      </c>
      <c r="AS2606" s="156">
        <v>0.95</v>
      </c>
      <c r="AT2606" s="159" t="s">
        <v>172</v>
      </c>
      <c r="AU2606" s="159" t="s">
        <v>186</v>
      </c>
      <c r="AV2606" s="159" t="s">
        <v>137</v>
      </c>
      <c r="AW2606" s="435" t="s">
        <v>15026</v>
      </c>
      <c r="AX2606" s="159" t="s">
        <v>143</v>
      </c>
      <c r="AY2606" s="61" t="str">
        <f>IFERROR(__xludf.DUMMYFUNCTION("vlookup(BB2606,importrange(""https://docs.google.com/spreadsheets/d/1d2vevQ_7D_v35q4wCQ4RpQ_IPoTwEMB9Yp6ymwlPqew/edit?gid=984458430#gid=984458430"", ""'replication success'!A:K""), 11, FAlSE)"),"#N/A")</f>
        <v>#N/A</v>
      </c>
      <c r="AZ2606" s="61" t="str">
        <f>IFERROR(__xludf.DUMMYFUNCTION("vlookup(BB2606,importrange(""https://docs.google.com/spreadsheets/d/1d2vevQ_7D_v35q4wCQ4RpQ_IPoTwEMB9Yp6ymwlPqew/edit?gid=984458430#gid=984458430"", ""'replication success'!A:M""), 12, FAlSE)"),"#N/A")</f>
        <v>#N/A</v>
      </c>
      <c r="BA2606" s="61" t="str">
        <f>IFERROR(__xludf.DUMMYFUNCTION("vlookup(BB2606,importrange(""https://docs.google.com/spreadsheets/d/1d2vevQ_7D_v35q4wCQ4RpQ_IPoTwEMB9Yp6ymwlPqew/edit?gid=984458430#gid=984458430"", ""'replication success'!A:M""), 13, FAlSE)"),"#N/A")</f>
        <v>#N/A</v>
      </c>
      <c r="BB2606" s="61" t="str">
        <f>IFERROR(__xludf.DUMMYFUNCTION("REGEXREPLACE(G2606, ""_[a-z]{1,2}$"", """")"),"soscisubmission84")</f>
        <v>soscisubmission84</v>
      </c>
      <c r="BD2606" s="1063" t="s">
        <v>13231</v>
      </c>
    </row>
    <row r="2607">
      <c r="A2607" s="44">
        <v>2607.0</v>
      </c>
      <c r="B2607" s="129" t="s">
        <v>523</v>
      </c>
      <c r="C2607" s="62" t="s">
        <v>115</v>
      </c>
      <c r="D2607" s="62" t="s">
        <v>15473</v>
      </c>
      <c r="F2607" s="68" t="s">
        <v>15032</v>
      </c>
      <c r="G2607" s="159" t="s">
        <v>15484</v>
      </c>
      <c r="H2607" s="159" t="s">
        <v>15475</v>
      </c>
      <c r="I2607" s="152">
        <v>45767.0</v>
      </c>
      <c r="J2607" s="152">
        <v>45788.0</v>
      </c>
      <c r="K2607" s="68"/>
      <c r="L2607" s="68"/>
      <c r="M2607" s="159" t="s">
        <v>15016</v>
      </c>
      <c r="N2607" s="159" t="s">
        <v>15017</v>
      </c>
      <c r="O2607" s="159" t="s">
        <v>3805</v>
      </c>
      <c r="P2607" s="159" t="s">
        <v>15018</v>
      </c>
      <c r="Q2607" s="2173" t="str">
        <f> hyperlink(vlookup(lower(N2607),'File Links'!E:F, 2, FALSE), "LINK")</f>
        <v>LINK</v>
      </c>
      <c r="R2607" s="159" t="s">
        <v>15019</v>
      </c>
      <c r="S2607" s="159" t="s">
        <v>15020</v>
      </c>
      <c r="T2607" s="68"/>
      <c r="U2607" s="159" t="s">
        <v>3805</v>
      </c>
      <c r="V2607" s="159" t="s">
        <v>15021</v>
      </c>
      <c r="W2607" s="68"/>
      <c r="X2607" s="2172" t="str">
        <f> hyperlink(vlookup(lower(S2607),'File Links'!E:F, 2, FALSE), "LINK")</f>
        <v>LINK</v>
      </c>
      <c r="Y2607" s="68"/>
      <c r="Z2607" s="159" t="s">
        <v>148</v>
      </c>
      <c r="AA2607" s="159" t="s">
        <v>15478</v>
      </c>
      <c r="AB2607" s="159" t="s">
        <v>15023</v>
      </c>
      <c r="AC2607" s="159" t="s">
        <v>15485</v>
      </c>
      <c r="AD2607" s="159" t="s">
        <v>15486</v>
      </c>
      <c r="AE2607" s="156">
        <v>7.0</v>
      </c>
      <c r="AF2607" s="156">
        <v>12.0</v>
      </c>
      <c r="AG2607" s="156">
        <v>0.35</v>
      </c>
      <c r="AH2607" s="159" t="s">
        <v>874</v>
      </c>
      <c r="AI2607" s="159" t="s">
        <v>4979</v>
      </c>
      <c r="AJ2607" s="156">
        <v>0.033</v>
      </c>
      <c r="AK2607" s="159" t="s">
        <v>172</v>
      </c>
      <c r="AL2607" s="159" t="s">
        <v>186</v>
      </c>
      <c r="AM2607" s="159" t="s">
        <v>137</v>
      </c>
      <c r="AN2607" s="68"/>
      <c r="AO2607" s="156">
        <v>50.0</v>
      </c>
      <c r="AP2607" s="156">
        <v>0.001</v>
      </c>
      <c r="AQ2607" s="159" t="s">
        <v>874</v>
      </c>
      <c r="AR2607" s="159" t="s">
        <v>624</v>
      </c>
      <c r="AS2607" s="156">
        <v>0.861</v>
      </c>
      <c r="AT2607" s="159" t="s">
        <v>172</v>
      </c>
      <c r="AU2607" s="159" t="s">
        <v>186</v>
      </c>
      <c r="AV2607" s="159" t="s">
        <v>137</v>
      </c>
      <c r="AW2607" s="435" t="s">
        <v>15026</v>
      </c>
      <c r="AX2607" s="159" t="s">
        <v>143</v>
      </c>
      <c r="AY2607" s="61" t="str">
        <f>IFERROR(__xludf.DUMMYFUNCTION("vlookup(BB2607,importrange(""https://docs.google.com/spreadsheets/d/1d2vevQ_7D_v35q4wCQ4RpQ_IPoTwEMB9Yp6ymwlPqew/edit?gid=984458430#gid=984458430"", ""'replication success'!A:K""), 11, FAlSE)"),"#N/A")</f>
        <v>#N/A</v>
      </c>
      <c r="AZ2607" s="61" t="str">
        <f>IFERROR(__xludf.DUMMYFUNCTION("vlookup(BB2607,importrange(""https://docs.google.com/spreadsheets/d/1d2vevQ_7D_v35q4wCQ4RpQ_IPoTwEMB9Yp6ymwlPqew/edit?gid=984458430#gid=984458430"", ""'replication success'!A:M""), 12, FAlSE)"),"#N/A")</f>
        <v>#N/A</v>
      </c>
      <c r="BA2607" s="61" t="str">
        <f>IFERROR(__xludf.DUMMYFUNCTION("vlookup(BB2607,importrange(""https://docs.google.com/spreadsheets/d/1d2vevQ_7D_v35q4wCQ4RpQ_IPoTwEMB9Yp6ymwlPqew/edit?gid=984458430#gid=984458430"", ""'replication success'!A:M""), 13, FAlSE)"),"#N/A")</f>
        <v>#N/A</v>
      </c>
      <c r="BB2607" s="61" t="str">
        <f>IFERROR(__xludf.DUMMYFUNCTION("REGEXREPLACE(G2607, ""_[a-z]{1,2}$"", """")"),"soscisubmission83")</f>
        <v>soscisubmission83</v>
      </c>
      <c r="BD2607" s="1063" t="s">
        <v>13231</v>
      </c>
    </row>
    <row r="2608">
      <c r="A2608" s="44">
        <v>2608.0</v>
      </c>
      <c r="B2608" s="129" t="s">
        <v>114</v>
      </c>
      <c r="C2608" s="62" t="s">
        <v>115</v>
      </c>
      <c r="D2608" s="62" t="s">
        <v>15473</v>
      </c>
      <c r="F2608" s="68" t="s">
        <v>15045</v>
      </c>
      <c r="G2608" s="159" t="s">
        <v>15046</v>
      </c>
      <c r="H2608" s="159" t="s">
        <v>15475</v>
      </c>
      <c r="I2608" s="152">
        <v>45767.0</v>
      </c>
      <c r="J2608" s="152">
        <v>45786.0</v>
      </c>
      <c r="K2608" s="68"/>
      <c r="L2608" s="68"/>
      <c r="M2608" s="159" t="s">
        <v>15487</v>
      </c>
      <c r="N2608" s="680" t="s">
        <v>15049</v>
      </c>
      <c r="O2608" s="159" t="s">
        <v>15050</v>
      </c>
      <c r="P2608" s="159" t="s">
        <v>15051</v>
      </c>
      <c r="Q2608" s="2173" t="str">
        <f> hyperlink(vlookup(lower(N2608),'File Links'!E:F, 2, FALSE), "LINK")</f>
        <v>LINK</v>
      </c>
      <c r="R2608" s="159" t="s">
        <v>15053</v>
      </c>
      <c r="S2608" s="159" t="s">
        <v>15054</v>
      </c>
      <c r="T2608" s="68"/>
      <c r="U2608" s="159" t="s">
        <v>3848</v>
      </c>
      <c r="V2608" s="159" t="s">
        <v>15055</v>
      </c>
      <c r="W2608" s="68"/>
      <c r="X2608" s="2172" t="str">
        <f> hyperlink(vlookup(lower(S2608),'File Links'!E:F, 2, FALSE), "LINK")</f>
        <v>LINK</v>
      </c>
      <c r="Y2608" s="68"/>
      <c r="Z2608" s="159" t="s">
        <v>2940</v>
      </c>
      <c r="AA2608" s="159" t="s">
        <v>15488</v>
      </c>
      <c r="AB2608" s="159" t="s">
        <v>15057</v>
      </c>
      <c r="AC2608" s="159" t="s">
        <v>15489</v>
      </c>
      <c r="AD2608" s="159" t="s">
        <v>15490</v>
      </c>
      <c r="AE2608" s="156">
        <v>6.0</v>
      </c>
      <c r="AF2608" s="156">
        <v>42.0</v>
      </c>
      <c r="AG2608" s="156">
        <v>0.1</v>
      </c>
      <c r="AH2608" s="159" t="s">
        <v>874</v>
      </c>
      <c r="AI2608" s="159" t="s">
        <v>4979</v>
      </c>
      <c r="AJ2608" s="156">
        <v>0.045</v>
      </c>
      <c r="AK2608" s="159" t="s">
        <v>172</v>
      </c>
      <c r="AL2608" s="159" t="s">
        <v>186</v>
      </c>
      <c r="AM2608" s="159" t="s">
        <v>137</v>
      </c>
      <c r="AN2608" s="68"/>
      <c r="AO2608" s="156">
        <v>489.0</v>
      </c>
      <c r="AP2608" s="156">
        <v>0.12</v>
      </c>
      <c r="AQ2608" s="159" t="s">
        <v>874</v>
      </c>
      <c r="AR2608" s="159" t="s">
        <v>1042</v>
      </c>
      <c r="AS2608" s="156">
        <v>0.016</v>
      </c>
      <c r="AT2608" s="159" t="s">
        <v>172</v>
      </c>
      <c r="AU2608" s="159" t="s">
        <v>186</v>
      </c>
      <c r="AV2608" s="159" t="s">
        <v>137</v>
      </c>
      <c r="AW2608" s="435" t="s">
        <v>15491</v>
      </c>
      <c r="AX2608" s="159" t="s">
        <v>143</v>
      </c>
      <c r="AY2608" s="61" t="str">
        <f>IFERROR(__xludf.DUMMYFUNCTION("vlookup(BB2608,importrange(""https://docs.google.com/spreadsheets/d/1d2vevQ_7D_v35q4wCQ4RpQ_IPoTwEMB9Yp6ymwlPqew/edit?gid=984458430#gid=984458430"", ""'replication success'!A:K""), 11, FAlSE)"),"#N/A")</f>
        <v>#N/A</v>
      </c>
      <c r="AZ2608" s="61" t="str">
        <f>IFERROR(__xludf.DUMMYFUNCTION("vlookup(BB2608,importrange(""https://docs.google.com/spreadsheets/d/1d2vevQ_7D_v35q4wCQ4RpQ_IPoTwEMB9Yp6ymwlPqew/edit?gid=984458430#gid=984458430"", ""'replication success'!A:M""), 12, FAlSE)"),"#N/A")</f>
        <v>#N/A</v>
      </c>
      <c r="BA2608" s="61" t="str">
        <f>IFERROR(__xludf.DUMMYFUNCTION("vlookup(BB2608,importrange(""https://docs.google.com/spreadsheets/d/1d2vevQ_7D_v35q4wCQ4RpQ_IPoTwEMB9Yp6ymwlPqew/edit?gid=984458430#gid=984458430"", ""'replication success'!A:M""), 13, FAlSE)"),"#N/A")</f>
        <v>#N/A</v>
      </c>
      <c r="BB2608" s="61" t="str">
        <f>IFERROR(__xludf.DUMMYFUNCTION("REGEXREPLACE(G2608, ""_[a-z]{1,2}$"", """")"),"soscisubmission54")</f>
        <v>soscisubmission54</v>
      </c>
      <c r="BD2608" s="62" t="s">
        <v>144</v>
      </c>
    </row>
    <row r="2609">
      <c r="A2609" s="44">
        <v>2609.0</v>
      </c>
      <c r="B2609" s="129" t="s">
        <v>114</v>
      </c>
      <c r="C2609" s="62" t="s">
        <v>115</v>
      </c>
      <c r="D2609" s="62" t="s">
        <v>15473</v>
      </c>
      <c r="F2609" s="68" t="s">
        <v>15063</v>
      </c>
      <c r="G2609" s="159" t="s">
        <v>15064</v>
      </c>
      <c r="H2609" s="159" t="s">
        <v>15475</v>
      </c>
      <c r="I2609" s="152">
        <v>45767.0</v>
      </c>
      <c r="J2609" s="152">
        <v>45788.0</v>
      </c>
      <c r="K2609" s="68"/>
      <c r="L2609" s="68"/>
      <c r="M2609" s="159" t="s">
        <v>15066</v>
      </c>
      <c r="N2609" s="680" t="s">
        <v>15067</v>
      </c>
      <c r="O2609" s="159" t="s">
        <v>4732</v>
      </c>
      <c r="P2609" s="159" t="s">
        <v>15068</v>
      </c>
      <c r="Q2609" s="2173" t="str">
        <f> hyperlink(vlookup(lower(N2609),'File Links'!E:F, 2, FALSE), "LINK")</f>
        <v>LINK</v>
      </c>
      <c r="R2609" s="159" t="s">
        <v>15069</v>
      </c>
      <c r="S2609" s="159" t="s">
        <v>15070</v>
      </c>
      <c r="T2609" s="68"/>
      <c r="U2609" s="159" t="s">
        <v>4732</v>
      </c>
      <c r="V2609" s="159" t="s">
        <v>15071</v>
      </c>
      <c r="W2609" s="68"/>
      <c r="X2609" s="2172" t="str">
        <f> hyperlink(vlookup(lower(S2609),'File Links'!E:F, 2, FALSE), "LINK")</f>
        <v>LINK</v>
      </c>
      <c r="Y2609" s="68"/>
      <c r="Z2609" s="159" t="s">
        <v>241</v>
      </c>
      <c r="AA2609" s="159" t="s">
        <v>15492</v>
      </c>
      <c r="AB2609" s="159" t="s">
        <v>15493</v>
      </c>
      <c r="AC2609" s="159" t="s">
        <v>15494</v>
      </c>
      <c r="AD2609" s="159" t="s">
        <v>15495</v>
      </c>
      <c r="AE2609" s="1545">
        <v>45718.0</v>
      </c>
      <c r="AF2609" s="156">
        <v>16.0</v>
      </c>
      <c r="AG2609" s="156">
        <v>25.6</v>
      </c>
      <c r="AH2609" s="159" t="s">
        <v>134</v>
      </c>
      <c r="AI2609" s="159" t="s">
        <v>2771</v>
      </c>
      <c r="AJ2609" s="156">
        <v>0.005</v>
      </c>
      <c r="AK2609" s="159" t="s">
        <v>135</v>
      </c>
      <c r="AL2609" s="159" t="s">
        <v>186</v>
      </c>
      <c r="AM2609" s="159" t="s">
        <v>137</v>
      </c>
      <c r="AN2609" s="68"/>
      <c r="AO2609" s="156">
        <v>96.0</v>
      </c>
      <c r="AP2609" s="156">
        <v>0.148</v>
      </c>
      <c r="AQ2609" s="159" t="s">
        <v>134</v>
      </c>
      <c r="AR2609" s="159" t="s">
        <v>624</v>
      </c>
      <c r="AS2609" s="156">
        <v>0.702</v>
      </c>
      <c r="AT2609" s="159" t="s">
        <v>172</v>
      </c>
      <c r="AU2609" s="159" t="s">
        <v>186</v>
      </c>
      <c r="AV2609" s="159" t="s">
        <v>137</v>
      </c>
      <c r="AW2609" s="435" t="s">
        <v>15496</v>
      </c>
      <c r="AX2609" s="159" t="s">
        <v>143</v>
      </c>
      <c r="AY2609" s="61" t="str">
        <f>IFERROR(__xludf.DUMMYFUNCTION("vlookup(BB2609,importrange(""https://docs.google.com/spreadsheets/d/1d2vevQ_7D_v35q4wCQ4RpQ_IPoTwEMB9Yp6ymwlPqew/edit?gid=984458430#gid=984458430"", ""'replication success'!A:K""), 11, FAlSE)"),"#N/A")</f>
        <v>#N/A</v>
      </c>
      <c r="AZ2609" s="61" t="str">
        <f>IFERROR(__xludf.DUMMYFUNCTION("vlookup(BB2609,importrange(""https://docs.google.com/spreadsheets/d/1d2vevQ_7D_v35q4wCQ4RpQ_IPoTwEMB9Yp6ymwlPqew/edit?gid=984458430#gid=984458430"", ""'replication success'!A:M""), 12, FAlSE)"),"#N/A")</f>
        <v>#N/A</v>
      </c>
      <c r="BA2609" s="61" t="str">
        <f>IFERROR(__xludf.DUMMYFUNCTION("vlookup(BB2609,importrange(""https://docs.google.com/spreadsheets/d/1d2vevQ_7D_v35q4wCQ4RpQ_IPoTwEMB9Yp6ymwlPqew/edit?gid=984458430#gid=984458430"", ""'replication success'!A:M""), 13, FAlSE)"),"#N/A")</f>
        <v>#N/A</v>
      </c>
      <c r="BB2609" s="61" t="str">
        <f>IFERROR(__xludf.DUMMYFUNCTION("REGEXREPLACE(G2609, ""_[a-z]{1,2}$"", """")"),"soscisubmission55")</f>
        <v>soscisubmission55</v>
      </c>
      <c r="BD2609" s="62" t="s">
        <v>144</v>
      </c>
    </row>
    <row r="2610">
      <c r="A2610" s="44">
        <v>2610.0</v>
      </c>
      <c r="B2610" s="129" t="s">
        <v>285</v>
      </c>
      <c r="C2610" s="62" t="s">
        <v>115</v>
      </c>
      <c r="D2610" s="62" t="s">
        <v>15473</v>
      </c>
      <c r="F2610" s="68" t="s">
        <v>15080</v>
      </c>
      <c r="G2610" s="159" t="s">
        <v>15081</v>
      </c>
      <c r="H2610" s="159" t="s">
        <v>15475</v>
      </c>
      <c r="I2610" s="152">
        <v>45767.0</v>
      </c>
      <c r="J2610" s="152">
        <v>45788.0</v>
      </c>
      <c r="K2610" s="68"/>
      <c r="L2610" s="68"/>
      <c r="M2610" s="159" t="s">
        <v>15497</v>
      </c>
      <c r="N2610" s="159" t="s">
        <v>15084</v>
      </c>
      <c r="O2610" s="156">
        <v>1.0</v>
      </c>
      <c r="P2610" s="159" t="s">
        <v>15085</v>
      </c>
      <c r="Q2610" s="2173" t="str">
        <f> hyperlink(vlookup(lower(N2610),'File Links'!E:F, 2, FALSE), "LINK")</f>
        <v>LINK</v>
      </c>
      <c r="R2610" s="159" t="s">
        <v>15086</v>
      </c>
      <c r="S2610" s="159" t="s">
        <v>15087</v>
      </c>
      <c r="T2610" s="68"/>
      <c r="U2610" s="159" t="s">
        <v>15498</v>
      </c>
      <c r="V2610" s="159" t="s">
        <v>15088</v>
      </c>
      <c r="W2610" s="68"/>
      <c r="X2610" s="2172" t="str">
        <f> hyperlink(vlookup(lower(S2610),'File Links'!E:F, 2, FALSE), "LINK")</f>
        <v>LINK</v>
      </c>
      <c r="Y2610" s="68"/>
      <c r="Z2610" s="159" t="s">
        <v>12737</v>
      </c>
      <c r="AA2610" s="159" t="s">
        <v>15499</v>
      </c>
      <c r="AB2610" s="159" t="s">
        <v>15500</v>
      </c>
      <c r="AC2610" s="159" t="s">
        <v>15501</v>
      </c>
      <c r="AD2610" s="151" t="s">
        <v>15502</v>
      </c>
      <c r="AE2610" s="156">
        <v>3.0</v>
      </c>
      <c r="AF2610" s="156">
        <v>196.0</v>
      </c>
      <c r="AG2610" s="156">
        <v>0.5</v>
      </c>
      <c r="AH2610" s="159" t="s">
        <v>15503</v>
      </c>
      <c r="AI2610" s="159" t="s">
        <v>507</v>
      </c>
      <c r="AJ2610" s="156">
        <v>0.006</v>
      </c>
      <c r="AK2610" s="159" t="s">
        <v>172</v>
      </c>
      <c r="AL2610" s="159" t="s">
        <v>186</v>
      </c>
      <c r="AM2610" s="159" t="s">
        <v>137</v>
      </c>
      <c r="AN2610" s="68"/>
      <c r="AO2610" s="156">
        <v>224.0</v>
      </c>
      <c r="AP2610" s="156">
        <v>1.12</v>
      </c>
      <c r="AQ2610" s="159" t="s">
        <v>15503</v>
      </c>
      <c r="AR2610" s="159" t="s">
        <v>496</v>
      </c>
      <c r="AS2610" s="156">
        <v>0.57</v>
      </c>
      <c r="AT2610" s="159" t="s">
        <v>172</v>
      </c>
      <c r="AU2610" s="159" t="s">
        <v>186</v>
      </c>
      <c r="AV2610" s="159" t="s">
        <v>137</v>
      </c>
      <c r="AW2610" s="435" t="s">
        <v>15096</v>
      </c>
      <c r="AX2610" s="159" t="s">
        <v>143</v>
      </c>
      <c r="AY2610" s="61" t="str">
        <f>IFERROR(__xludf.DUMMYFUNCTION("vlookup(BB2610,importrange(""https://docs.google.com/spreadsheets/d/1d2vevQ_7D_v35q4wCQ4RpQ_IPoTwEMB9Yp6ymwlPqew/edit?gid=984458430#gid=984458430"", ""'replication success'!A:K""), 11, FAlSE)"),"#N/A")</f>
        <v>#N/A</v>
      </c>
      <c r="AZ2610" s="61" t="str">
        <f>IFERROR(__xludf.DUMMYFUNCTION("vlookup(BB2610,importrange(""https://docs.google.com/spreadsheets/d/1d2vevQ_7D_v35q4wCQ4RpQ_IPoTwEMB9Yp6ymwlPqew/edit?gid=984458430#gid=984458430"", ""'replication success'!A:M""), 12, FAlSE)"),"#N/A")</f>
        <v>#N/A</v>
      </c>
      <c r="BA2610" s="61" t="str">
        <f>IFERROR(__xludf.DUMMYFUNCTION("vlookup(BB2610,importrange(""https://docs.google.com/spreadsheets/d/1d2vevQ_7D_v35q4wCQ4RpQ_IPoTwEMB9Yp6ymwlPqew/edit?gid=984458430#gid=984458430"", ""'replication success'!A:M""), 13, FAlSE)"),"#N/A")</f>
        <v>#N/A</v>
      </c>
      <c r="BB2610" s="61" t="str">
        <f>IFERROR(__xludf.DUMMYFUNCTION("REGEXREPLACE(G2610, ""_[a-z]{1,2}$"", """")"),"soscisubmission12a")</f>
        <v>soscisubmission12a</v>
      </c>
    </row>
    <row r="2611">
      <c r="A2611" s="44">
        <v>2611.0</v>
      </c>
      <c r="B2611" s="129" t="s">
        <v>285</v>
      </c>
      <c r="C2611" s="62" t="s">
        <v>115</v>
      </c>
      <c r="D2611" s="62" t="s">
        <v>15473</v>
      </c>
      <c r="F2611" s="68" t="s">
        <v>15504</v>
      </c>
      <c r="G2611" s="159" t="s">
        <v>15098</v>
      </c>
      <c r="H2611" s="159" t="s">
        <v>15475</v>
      </c>
      <c r="I2611" s="152">
        <v>45767.0</v>
      </c>
      <c r="J2611" s="152">
        <v>45788.0</v>
      </c>
      <c r="K2611" s="68"/>
      <c r="L2611" s="68"/>
      <c r="M2611" s="159" t="s">
        <v>15497</v>
      </c>
      <c r="N2611" s="159" t="s">
        <v>15084</v>
      </c>
      <c r="O2611" s="156">
        <v>1.0</v>
      </c>
      <c r="P2611" s="159" t="s">
        <v>15085</v>
      </c>
      <c r="Q2611" s="2173" t="str">
        <f> hyperlink(vlookup(lower(N2611),'File Links'!E:F, 2, FALSE), "LINK")</f>
        <v>LINK</v>
      </c>
      <c r="R2611" s="159" t="s">
        <v>15086</v>
      </c>
      <c r="S2611" s="159" t="s">
        <v>15087</v>
      </c>
      <c r="T2611" s="68"/>
      <c r="U2611" s="159" t="s">
        <v>15505</v>
      </c>
      <c r="V2611" s="159" t="s">
        <v>15088</v>
      </c>
      <c r="W2611" s="68"/>
      <c r="X2611" s="2172" t="str">
        <f> hyperlink(vlookup(lower(S2611),'File Links'!E:F, 2, FALSE), "LINK")</f>
        <v>LINK</v>
      </c>
      <c r="Y2611" s="68"/>
      <c r="Z2611" s="159" t="s">
        <v>12737</v>
      </c>
      <c r="AA2611" s="159" t="s">
        <v>15499</v>
      </c>
      <c r="AB2611" s="159" t="s">
        <v>15500</v>
      </c>
      <c r="AC2611" s="159" t="s">
        <v>15501</v>
      </c>
      <c r="AD2611" s="151" t="s">
        <v>15502</v>
      </c>
      <c r="AE2611" s="156">
        <v>3.0</v>
      </c>
      <c r="AF2611" s="156">
        <v>196.0</v>
      </c>
      <c r="AG2611" s="156">
        <v>0.5</v>
      </c>
      <c r="AH2611" s="159" t="s">
        <v>15503</v>
      </c>
      <c r="AI2611" s="159" t="s">
        <v>507</v>
      </c>
      <c r="AJ2611" s="156">
        <v>0.006</v>
      </c>
      <c r="AK2611" s="159" t="s">
        <v>172</v>
      </c>
      <c r="AL2611" s="159" t="s">
        <v>186</v>
      </c>
      <c r="AM2611" s="159" t="s">
        <v>137</v>
      </c>
      <c r="AN2611" s="68"/>
      <c r="AO2611" s="156">
        <v>224.0</v>
      </c>
      <c r="AP2611" s="156">
        <v>0.82</v>
      </c>
      <c r="AQ2611" s="159" t="s">
        <v>15503</v>
      </c>
      <c r="AR2611" s="159" t="s">
        <v>496</v>
      </c>
      <c r="AS2611" s="156">
        <v>0.185</v>
      </c>
      <c r="AT2611" s="159" t="s">
        <v>172</v>
      </c>
      <c r="AU2611" s="159" t="s">
        <v>186</v>
      </c>
      <c r="AV2611" s="159" t="s">
        <v>137</v>
      </c>
      <c r="AW2611" s="435" t="s">
        <v>15096</v>
      </c>
      <c r="AX2611" s="159" t="s">
        <v>143</v>
      </c>
      <c r="AY2611" s="61" t="str">
        <f>IFERROR(__xludf.DUMMYFUNCTION("vlookup(BB2611,importrange(""https://docs.google.com/spreadsheets/d/1d2vevQ_7D_v35q4wCQ4RpQ_IPoTwEMB9Yp6ymwlPqew/edit?gid=984458430#gid=984458430"", ""'replication success'!A:K""), 11, FAlSE)"),"#N/A")</f>
        <v>#N/A</v>
      </c>
      <c r="AZ2611" s="61" t="str">
        <f>IFERROR(__xludf.DUMMYFUNCTION("vlookup(BB2611,importrange(""https://docs.google.com/spreadsheets/d/1d2vevQ_7D_v35q4wCQ4RpQ_IPoTwEMB9Yp6ymwlPqew/edit?gid=984458430#gid=984458430"", ""'replication success'!A:M""), 12, FAlSE)"),"#N/A")</f>
        <v>#N/A</v>
      </c>
      <c r="BA2611" s="61" t="str">
        <f>IFERROR(__xludf.DUMMYFUNCTION("vlookup(BB2611,importrange(""https://docs.google.com/spreadsheets/d/1d2vevQ_7D_v35q4wCQ4RpQ_IPoTwEMB9Yp6ymwlPqew/edit?gid=984458430#gid=984458430"", ""'replication success'!A:M""), 13, FAlSE)"),"#N/A")</f>
        <v>#N/A</v>
      </c>
      <c r="BB2611" s="61" t="str">
        <f>IFERROR(__xludf.DUMMYFUNCTION("REGEXREPLACE(G2611, ""_[a-z]{1,2}$"", """")"),"soscisubmission12b")</f>
        <v>soscisubmission12b</v>
      </c>
    </row>
    <row r="2612">
      <c r="A2612" s="44">
        <v>2612.0</v>
      </c>
      <c r="B2612" s="129" t="s">
        <v>523</v>
      </c>
      <c r="C2612" s="62" t="s">
        <v>115</v>
      </c>
      <c r="D2612" s="62" t="s">
        <v>15473</v>
      </c>
      <c r="F2612" s="68" t="s">
        <v>15506</v>
      </c>
      <c r="G2612" s="159" t="s">
        <v>15507</v>
      </c>
      <c r="H2612" s="159" t="s">
        <v>15475</v>
      </c>
      <c r="I2612" s="434">
        <v>45288.0</v>
      </c>
      <c r="J2612" s="529">
        <v>45789.0</v>
      </c>
      <c r="K2612" s="68"/>
      <c r="L2612" s="68"/>
      <c r="M2612" s="159" t="s">
        <v>15508</v>
      </c>
      <c r="N2612" s="159" t="s">
        <v>15509</v>
      </c>
      <c r="O2612" s="336">
        <v>1.0</v>
      </c>
      <c r="P2612" s="159" t="s">
        <v>15510</v>
      </c>
      <c r="Q2612" s="2174" t="str">
        <f> hyperlink(vlookup(lower(N2612),'File Links'!E:F, 2, FALSE), "LINK")</f>
        <v>LINK</v>
      </c>
      <c r="R2612" s="159" t="s">
        <v>15511</v>
      </c>
      <c r="S2612" s="159" t="s">
        <v>15512</v>
      </c>
      <c r="T2612" s="68"/>
      <c r="U2612" s="336">
        <v>1.0</v>
      </c>
      <c r="V2612" s="159" t="s">
        <v>15513</v>
      </c>
      <c r="W2612" s="68"/>
      <c r="X2612" s="2172" t="str">
        <f> hyperlink(vlookup(lower(S2612),'File Links'!E:F, 2, FALSE), "LINK")</f>
        <v>LINK</v>
      </c>
      <c r="Y2612" s="68"/>
      <c r="Z2612" s="159" t="s">
        <v>15514</v>
      </c>
      <c r="AA2612" s="159" t="s">
        <v>15515</v>
      </c>
      <c r="AB2612" s="68" t="s">
        <v>15516</v>
      </c>
      <c r="AC2612" s="68" t="s">
        <v>15517</v>
      </c>
      <c r="AD2612" s="68" t="s">
        <v>15518</v>
      </c>
      <c r="AE2612" s="336">
        <v>3.0</v>
      </c>
      <c r="AF2612" s="336">
        <v>54.0</v>
      </c>
      <c r="AG2612" s="336">
        <v>8.99</v>
      </c>
      <c r="AH2612" s="68" t="s">
        <v>134</v>
      </c>
      <c r="AI2612" s="68" t="s">
        <v>496</v>
      </c>
      <c r="AJ2612" s="336">
        <v>0.01</v>
      </c>
      <c r="AK2612" s="68" t="s">
        <v>135</v>
      </c>
      <c r="AL2612" s="68" t="s">
        <v>186</v>
      </c>
      <c r="AM2612" s="68" t="s">
        <v>137</v>
      </c>
      <c r="AN2612" s="68"/>
      <c r="AO2612" s="336">
        <v>464.0</v>
      </c>
      <c r="AP2612" s="563">
        <v>23.64</v>
      </c>
      <c r="AQ2612" s="68" t="s">
        <v>134</v>
      </c>
      <c r="AR2612" s="68" t="s">
        <v>496</v>
      </c>
      <c r="AS2612" s="336">
        <v>0.001</v>
      </c>
      <c r="AT2612" s="68" t="s">
        <v>2249</v>
      </c>
      <c r="AU2612" s="68" t="s">
        <v>186</v>
      </c>
      <c r="AV2612" s="68" t="s">
        <v>137</v>
      </c>
      <c r="AW2612" s="435" t="s">
        <v>15519</v>
      </c>
      <c r="AX2612" s="68" t="s">
        <v>143</v>
      </c>
      <c r="AY2612" s="61" t="str">
        <f>IFERROR(__xludf.DUMMYFUNCTION("vlookup(BB2612,importrange(""https://docs.google.com/spreadsheets/d/1d2vevQ_7D_v35q4wCQ4RpQ_IPoTwEMB9Yp6ymwlPqew/edit?gid=984458430#gid=984458430"", ""'replication success'!A:K""), 11, FAlSE)"),"#N/A")</f>
        <v>#N/A</v>
      </c>
      <c r="AZ2612" s="61" t="str">
        <f>IFERROR(__xludf.DUMMYFUNCTION("vlookup(BB2612,importrange(""https://docs.google.com/spreadsheets/d/1d2vevQ_7D_v35q4wCQ4RpQ_IPoTwEMB9Yp6ymwlPqew/edit?gid=984458430#gid=984458430"", ""'replication success'!A:M""), 12, FAlSE)"),"#N/A")</f>
        <v>#N/A</v>
      </c>
      <c r="BA2612" s="61" t="str">
        <f>IFERROR(__xludf.DUMMYFUNCTION("vlookup(BB2612,importrange(""https://docs.google.com/spreadsheets/d/1d2vevQ_7D_v35q4wCQ4RpQ_IPoTwEMB9Yp6ymwlPqew/edit?gid=984458430#gid=984458430"", ""'replication success'!A:M""), 13, FAlSE)"),"#N/A")</f>
        <v>#N/A</v>
      </c>
      <c r="BB2612" s="61" t="str">
        <f>IFERROR(__xludf.DUMMYFUNCTION("REGEXREPLACE(G2612, ""_[a-z]{1,2}$"", """")"),"soscisubmission72")</f>
        <v>soscisubmission72</v>
      </c>
      <c r="BD2612" s="1063" t="s">
        <v>13231</v>
      </c>
    </row>
    <row r="2613">
      <c r="A2613" s="44">
        <v>2613.0</v>
      </c>
      <c r="B2613" s="129" t="s">
        <v>152</v>
      </c>
      <c r="C2613" s="62" t="s">
        <v>115</v>
      </c>
      <c r="D2613" s="62" t="s">
        <v>15473</v>
      </c>
      <c r="F2613" s="68" t="s">
        <v>14938</v>
      </c>
      <c r="G2613" s="159" t="s">
        <v>14939</v>
      </c>
      <c r="H2613" s="159" t="s">
        <v>15475</v>
      </c>
      <c r="I2613" s="152">
        <v>45767.0</v>
      </c>
      <c r="J2613" s="153">
        <v>45849.0</v>
      </c>
      <c r="K2613" s="68" t="s">
        <v>15520</v>
      </c>
      <c r="L2613" s="129" t="s">
        <v>15521</v>
      </c>
      <c r="M2613" s="159" t="s">
        <v>14927</v>
      </c>
      <c r="N2613" s="159" t="s">
        <v>14928</v>
      </c>
      <c r="O2613" s="156">
        <v>2.0</v>
      </c>
      <c r="P2613" s="159" t="s">
        <v>14929</v>
      </c>
      <c r="Q2613" s="2174" t="str">
        <f> hyperlink(vlookup(lower(N2613),'File Links'!E:F, 2, FALSE), "LINK")</f>
        <v>LINK</v>
      </c>
      <c r="R2613" s="159" t="s">
        <v>14941</v>
      </c>
      <c r="S2613" s="159" t="s">
        <v>138</v>
      </c>
      <c r="T2613" s="310" t="s">
        <v>14931</v>
      </c>
      <c r="U2613" s="159" t="s">
        <v>8466</v>
      </c>
      <c r="V2613" s="159" t="s">
        <v>8467</v>
      </c>
      <c r="W2613" s="129" t="s">
        <v>209</v>
      </c>
      <c r="X2613" s="2175" t="str">
        <f> hyperlink(vlookup(lower(S2613),'File Links'!E:F, 2, FALSE), "LINK")</f>
        <v>LINK</v>
      </c>
      <c r="Y2613" s="68"/>
      <c r="Z2613" s="159" t="s">
        <v>2079</v>
      </c>
      <c r="AA2613" s="68" t="s">
        <v>15522</v>
      </c>
      <c r="AB2613" s="68" t="s">
        <v>15523</v>
      </c>
      <c r="AC2613" s="68" t="s">
        <v>15524</v>
      </c>
      <c r="AD2613" s="68" t="s">
        <v>14935</v>
      </c>
      <c r="AE2613" s="336">
        <v>9.0</v>
      </c>
      <c r="AF2613" s="336">
        <v>213.0</v>
      </c>
      <c r="AG2613" s="501" t="s">
        <v>14936</v>
      </c>
      <c r="AH2613" s="68" t="s">
        <v>134</v>
      </c>
      <c r="AI2613" s="68" t="s">
        <v>624</v>
      </c>
      <c r="AJ2613" s="336">
        <v>0.01</v>
      </c>
      <c r="AK2613" s="68" t="s">
        <v>135</v>
      </c>
      <c r="AL2613" s="68" t="s">
        <v>186</v>
      </c>
      <c r="AM2613" s="68" t="s">
        <v>137</v>
      </c>
      <c r="AN2613" s="68"/>
      <c r="AO2613" s="336">
        <v>769.0</v>
      </c>
      <c r="AP2613" s="563">
        <v>0.49</v>
      </c>
      <c r="AQ2613" s="68" t="s">
        <v>173</v>
      </c>
      <c r="AR2613" s="68" t="s">
        <v>7251</v>
      </c>
      <c r="AS2613" s="129" t="s">
        <v>138</v>
      </c>
      <c r="AT2613" s="68" t="s">
        <v>186</v>
      </c>
      <c r="AU2613" s="68" t="s">
        <v>186</v>
      </c>
      <c r="AV2613" s="68" t="s">
        <v>137</v>
      </c>
      <c r="AW2613" s="435" t="s">
        <v>14937</v>
      </c>
      <c r="AX2613" s="68" t="s">
        <v>143</v>
      </c>
      <c r="AY2613" s="61" t="str">
        <f>IFERROR(__xludf.DUMMYFUNCTION("vlookup(BB2613,importrange(""https://docs.google.com/spreadsheets/d/1d2vevQ_7D_v35q4wCQ4RpQ_IPoTwEMB9Yp6ymwlPqew/edit?gid=984458430#gid=984458430"", ""'replication success'!A:K""), 11, FAlSE)"),"#N/A")</f>
        <v>#N/A</v>
      </c>
      <c r="AZ2613" s="61" t="str">
        <f>IFERROR(__xludf.DUMMYFUNCTION("vlookup(BB2613,importrange(""https://docs.google.com/spreadsheets/d/1d2vevQ_7D_v35q4wCQ4RpQ_IPoTwEMB9Yp6ymwlPqew/edit?gid=984458430#gid=984458430"", ""'replication success'!A:M""), 12, FAlSE)"),"#N/A")</f>
        <v>#N/A</v>
      </c>
      <c r="BA2613" s="61" t="str">
        <f>IFERROR(__xludf.DUMMYFUNCTION("vlookup(BB2613,importrange(""https://docs.google.com/spreadsheets/d/1d2vevQ_7D_v35q4wCQ4RpQ_IPoTwEMB9Yp6ymwlPqew/edit?gid=984458430#gid=984458430"", ""'replication success'!A:M""), 13, FAlSE)"),"#N/A")</f>
        <v>#N/A</v>
      </c>
      <c r="BB2613" s="61" t="str">
        <f>IFERROR(__xludf.DUMMYFUNCTION("REGEXREPLACE(G2613, ""_[a-z]{1,2}$"", """")"),"datareplicada9b")</f>
        <v>datareplicada9b</v>
      </c>
      <c r="BD2613" s="62" t="s">
        <v>1270</v>
      </c>
    </row>
    <row r="2614">
      <c r="A2614" s="44">
        <v>2614.0</v>
      </c>
      <c r="B2614" s="1135" t="s">
        <v>152</v>
      </c>
      <c r="C2614" s="421" t="s">
        <v>115</v>
      </c>
      <c r="D2614" s="421" t="s">
        <v>15473</v>
      </c>
      <c r="E2614" s="365"/>
      <c r="F2614" s="1103" t="s">
        <v>14923</v>
      </c>
      <c r="G2614" s="1103" t="s">
        <v>14924</v>
      </c>
      <c r="H2614" s="1103" t="s">
        <v>15475</v>
      </c>
      <c r="I2614" s="1136">
        <v>45767.0</v>
      </c>
      <c r="J2614" s="153">
        <v>45849.0</v>
      </c>
      <c r="K2614" s="436" t="s">
        <v>15520</v>
      </c>
      <c r="L2614" s="129" t="s">
        <v>15521</v>
      </c>
      <c r="M2614" s="1103" t="s">
        <v>14927</v>
      </c>
      <c r="N2614" s="1103" t="s">
        <v>14928</v>
      </c>
      <c r="O2614" s="1137">
        <v>2.0</v>
      </c>
      <c r="P2614" s="1103" t="s">
        <v>14929</v>
      </c>
      <c r="Q2614" s="2176" t="str">
        <f> hyperlink(vlookup(lower(N2614),'File Links'!E:F, 2, FALSE), "LINK")</f>
        <v>LINK</v>
      </c>
      <c r="R2614" s="1103" t="s">
        <v>14930</v>
      </c>
      <c r="S2614" s="1103" t="s">
        <v>138</v>
      </c>
      <c r="T2614" s="444" t="s">
        <v>14931</v>
      </c>
      <c r="U2614" s="1103" t="s">
        <v>8549</v>
      </c>
      <c r="V2614" s="1103" t="s">
        <v>8467</v>
      </c>
      <c r="W2614" s="1135" t="s">
        <v>209</v>
      </c>
      <c r="X2614" s="2177" t="str">
        <f> hyperlink(vlookup(lower(S2614),'File Links'!E:F, 2, FALSE), "LINK")</f>
        <v>LINK</v>
      </c>
      <c r="Y2614" s="436"/>
      <c r="Z2614" s="1103" t="s">
        <v>2079</v>
      </c>
      <c r="AA2614" s="436" t="s">
        <v>15522</v>
      </c>
      <c r="AB2614" s="436" t="s">
        <v>15523</v>
      </c>
      <c r="AC2614" s="436" t="s">
        <v>15525</v>
      </c>
      <c r="AD2614" s="436" t="s">
        <v>14935</v>
      </c>
      <c r="AE2614" s="1145">
        <v>9.0</v>
      </c>
      <c r="AF2614" s="1145">
        <v>213.0</v>
      </c>
      <c r="AG2614" s="1937" t="s">
        <v>14936</v>
      </c>
      <c r="AH2614" s="436" t="s">
        <v>134</v>
      </c>
      <c r="AI2614" s="436" t="s">
        <v>624</v>
      </c>
      <c r="AJ2614" s="1145">
        <v>0.01</v>
      </c>
      <c r="AK2614" s="436" t="s">
        <v>135</v>
      </c>
      <c r="AL2614" s="436" t="s">
        <v>186</v>
      </c>
      <c r="AM2614" s="436" t="s">
        <v>137</v>
      </c>
      <c r="AN2614" s="436"/>
      <c r="AO2614" s="1145">
        <v>761.0</v>
      </c>
      <c r="AP2614" s="2178">
        <v>0.32</v>
      </c>
      <c r="AQ2614" s="436" t="s">
        <v>173</v>
      </c>
      <c r="AR2614" s="436" t="s">
        <v>7251</v>
      </c>
      <c r="AS2614" s="1135" t="s">
        <v>138</v>
      </c>
      <c r="AT2614" s="68" t="s">
        <v>186</v>
      </c>
      <c r="AU2614" s="436" t="s">
        <v>186</v>
      </c>
      <c r="AV2614" s="436" t="s">
        <v>137</v>
      </c>
      <c r="AW2614" s="2135" t="s">
        <v>14937</v>
      </c>
      <c r="AX2614" s="436" t="s">
        <v>143</v>
      </c>
      <c r="AY2614" s="426" t="str">
        <f>IFERROR(__xludf.DUMMYFUNCTION("vlookup(BB2614,importrange(""https://docs.google.com/spreadsheets/d/1d2vevQ_7D_v35q4wCQ4RpQ_IPoTwEMB9Yp6ymwlPqew/edit?gid=984458430#gid=984458430"", ""'replication success'!A:K""), 11, FAlSE)"),"#N/A")</f>
        <v>#N/A</v>
      </c>
      <c r="AZ2614" s="426" t="str">
        <f>IFERROR(__xludf.DUMMYFUNCTION("vlookup(BB2614,importrange(""https://docs.google.com/spreadsheets/d/1d2vevQ_7D_v35q4wCQ4RpQ_IPoTwEMB9Yp6ymwlPqew/edit?gid=984458430#gid=984458430"", ""'replication success'!A:M""), 12, FAlSE)"),"#N/A")</f>
        <v>#N/A</v>
      </c>
      <c r="BA2614" s="426" t="str">
        <f>IFERROR(__xludf.DUMMYFUNCTION("vlookup(BB2614,importrange(""https://docs.google.com/spreadsheets/d/1d2vevQ_7D_v35q4wCQ4RpQ_IPoTwEMB9Yp6ymwlPqew/edit?gid=984458430#gid=984458430"", ""'replication success'!A:M""), 13, FAlSE)"),"#N/A")</f>
        <v>#N/A</v>
      </c>
      <c r="BB2614" s="426" t="str">
        <f>IFERROR(__xludf.DUMMYFUNCTION("REGEXREPLACE(G2614, ""_[a-z]{1,2}$"", """")"),"datareplicada9a")</f>
        <v>datareplicada9a</v>
      </c>
      <c r="BC2614" s="365"/>
      <c r="BD2614" s="421" t="s">
        <v>1270</v>
      </c>
      <c r="BE2614" s="365"/>
      <c r="BF2614" s="365"/>
      <c r="BG2614" s="365"/>
      <c r="BH2614" s="365"/>
      <c r="BI2614" s="365"/>
      <c r="BJ2614" s="365"/>
      <c r="BK2614" s="365"/>
      <c r="BL2614" s="365"/>
      <c r="BM2614" s="365"/>
      <c r="BN2614" s="365"/>
      <c r="BO2614" s="365"/>
      <c r="BP2614" s="365"/>
      <c r="BQ2614" s="365"/>
      <c r="BR2614" s="365"/>
      <c r="BS2614" s="365"/>
      <c r="BT2614" s="365"/>
      <c r="BU2614" s="365"/>
      <c r="BV2614" s="365"/>
      <c r="BW2614" s="365"/>
      <c r="BX2614" s="365"/>
      <c r="BY2614" s="365"/>
      <c r="BZ2614" s="365"/>
      <c r="CA2614" s="365"/>
      <c r="CB2614" s="365"/>
      <c r="CC2614" s="365"/>
      <c r="CD2614" s="365"/>
      <c r="CE2614" s="365"/>
      <c r="CF2614" s="365"/>
      <c r="CG2614" s="365"/>
      <c r="CH2614" s="365"/>
      <c r="CI2614" s="365"/>
      <c r="CJ2614" s="365"/>
      <c r="CK2614" s="365"/>
      <c r="CL2614" s="365"/>
      <c r="CM2614" s="365"/>
      <c r="CN2614" s="365"/>
      <c r="CO2614" s="365"/>
      <c r="CP2614" s="365"/>
      <c r="CQ2614" s="365"/>
      <c r="CR2614" s="365"/>
      <c r="CS2614" s="365"/>
      <c r="CT2614" s="365"/>
      <c r="CU2614" s="365"/>
      <c r="CV2614" s="365"/>
      <c r="CW2614" s="365"/>
      <c r="CX2614" s="365"/>
      <c r="CY2614" s="365"/>
      <c r="CZ2614" s="365"/>
      <c r="DA2614" s="365"/>
      <c r="DB2614" s="365"/>
      <c r="DC2614" s="365"/>
      <c r="DD2614" s="365"/>
      <c r="DE2614" s="365"/>
      <c r="DF2614" s="365"/>
      <c r="DG2614" s="365"/>
      <c r="DH2614" s="365"/>
      <c r="DI2614" s="365"/>
      <c r="DJ2614" s="365"/>
      <c r="DK2614" s="365"/>
      <c r="DL2614" s="365"/>
    </row>
    <row r="2615">
      <c r="A2615" s="44">
        <v>2615.0</v>
      </c>
      <c r="B2615" s="45" t="s">
        <v>590</v>
      </c>
      <c r="C2615" s="45" t="s">
        <v>115</v>
      </c>
      <c r="D2615" s="421" t="s">
        <v>145</v>
      </c>
      <c r="F2615" s="46" t="s">
        <v>7335</v>
      </c>
      <c r="G2615" s="47" t="s">
        <v>7336</v>
      </c>
      <c r="H2615" s="383" t="s">
        <v>15526</v>
      </c>
      <c r="I2615" s="47" t="s">
        <v>119</v>
      </c>
      <c r="J2615" s="48">
        <v>45641.0</v>
      </c>
      <c r="K2615" s="49" t="s">
        <v>15527</v>
      </c>
      <c r="L2615" s="47" t="s">
        <v>7339</v>
      </c>
      <c r="M2615" s="47" t="s">
        <v>7340</v>
      </c>
      <c r="N2615" s="47" t="s">
        <v>7341</v>
      </c>
      <c r="O2615" s="508">
        <v>7.0</v>
      </c>
      <c r="P2615" s="51" t="s">
        <v>7342</v>
      </c>
      <c r="Q2615" s="52" t="str">
        <f t="array" ref="Q2615"> if(iserror(MATCH(V2615, 'File Links'!C:C, 0)), "N/A", HYPERLINK(INDEX('File Links'!B:B, MATCH(P2615, 'File Links'!C:C, 0))))</f>
        <v>https://drive.google.com/file/d/1gBF1OSh84_PEaQuwMpzqMOVewrJw3LKJ/view?usp=drivesdk</v>
      </c>
      <c r="R2615" s="47" t="s">
        <v>7343</v>
      </c>
      <c r="S2615" s="47" t="s">
        <v>7344</v>
      </c>
      <c r="T2615" s="49"/>
      <c r="U2615" s="105"/>
      <c r="V2615" s="198" t="str">
        <f> hyperlink(vlookup(lower(S2615),#REF!, 2, FALSE), SUBSTITUTE(lower(S2615), "/", "--") &amp;  ".pdf")</f>
        <v>10.1016--j.jesp.2012.10.014.pdf</v>
      </c>
      <c r="W2615" s="49"/>
      <c r="X2615" s="54" t="str">
        <f t="array" ref="X2615"> if(iserror(MATCH(V2615, 'File Links'!C:C, 0)), "N/A", HYPERLINK(INDEX('File Links'!B:B, MATCH(V2615, 'File Links'!C:C, 0))))</f>
        <v>https://drive.google.com/file/d/1_rFVHDaWBDKF-ni6stLki1Wt7mspwAb2/view?usp=drivesdk</v>
      </c>
      <c r="Y2615" s="49"/>
      <c r="Z2615" s="49" t="s">
        <v>226</v>
      </c>
      <c r="AA2615" s="49"/>
      <c r="AB2615" s="49" t="s">
        <v>7345</v>
      </c>
      <c r="AC2615" s="49"/>
      <c r="AD2615" s="49"/>
      <c r="AE2615" s="49"/>
      <c r="AF2615" s="49"/>
      <c r="AG2615" s="49"/>
      <c r="AH2615" s="105"/>
      <c r="AI2615" s="49"/>
      <c r="AJ2615" s="49"/>
      <c r="AK2615" s="46"/>
      <c r="AL2615" s="49"/>
      <c r="AM2615" s="49"/>
      <c r="AN2615" s="49"/>
      <c r="AO2615" s="49"/>
      <c r="AP2615" s="49"/>
      <c r="AQ2615" s="49"/>
      <c r="AR2615" s="49"/>
      <c r="AS2615" s="49"/>
      <c r="AT2615" s="46"/>
      <c r="AU2615" s="46"/>
      <c r="AV2615" s="46"/>
      <c r="AW2615" s="46"/>
      <c r="AX2615" s="46"/>
      <c r="AY2615" s="61" t="str">
        <f>IFERROR(__xludf.DUMMYFUNCTION("vlookup(BB2615,importrange(""https://docs.google.com/spreadsheets/d/1d2vevQ_7D_v35q4wCQ4RpQ_IPoTwEMB9Yp6ymwlPqew/edit?gid=984458430#gid=984458430"", ""'replication success'!A:K""), 11, FAlSE)"),"#N/A")</f>
        <v>#N/A</v>
      </c>
      <c r="AZ2615" s="61" t="str">
        <f>IFERROR(__xludf.DUMMYFUNCTION("vlookup(BB2615,importrange(""https://docs.google.com/spreadsheets/d/1d2vevQ_7D_v35q4wCQ4RpQ_IPoTwEMB9Yp6ymwlPqew/edit?gid=984458430#gid=984458430"", ""'replication success'!A:M""), 12, FAlSE)"),"#N/A")</f>
        <v>#N/A</v>
      </c>
      <c r="BA2615" s="61" t="str">
        <f>IFERROR(__xludf.DUMMYFUNCTION("vlookup(BB2615,importrange(""https://docs.google.com/spreadsheets/d/1d2vevQ_7D_v35q4wCQ4RpQ_IPoTwEMB9Yp6ymwlPqew/edit?gid=984458430#gid=984458430"", ""'replication success'!A:M""), 13, FAlSE)"),"#N/A")</f>
        <v>#N/A</v>
      </c>
      <c r="BB2615" s="61" t="str">
        <f>IFERROR(__xludf.DUMMYFUNCTION("REGEXREPLACE(G2615, ""_[a-z]{1,2}$"", """")"),"curatescience13")</f>
        <v>curatescience13</v>
      </c>
      <c r="BC2615" s="57"/>
    </row>
    <row r="2616">
      <c r="A2616" s="44">
        <v>2616.0</v>
      </c>
      <c r="B2616" s="205" t="s">
        <v>152</v>
      </c>
      <c r="C2616" s="199" t="s">
        <v>115</v>
      </c>
      <c r="D2616" s="199" t="s">
        <v>248</v>
      </c>
      <c r="E2616" s="200"/>
      <c r="F2616" s="205" t="s">
        <v>15528</v>
      </c>
      <c r="G2616" s="206" t="s">
        <v>15529</v>
      </c>
      <c r="I2616" s="2179">
        <v>45331.0</v>
      </c>
      <c r="J2616" s="2180">
        <v>45828.0</v>
      </c>
      <c r="K2616" s="204"/>
      <c r="L2616" s="206" t="s">
        <v>15530</v>
      </c>
      <c r="M2616" s="206" t="s">
        <v>15531</v>
      </c>
      <c r="N2616" s="206" t="s">
        <v>15532</v>
      </c>
      <c r="O2616" s="205">
        <v>1.0</v>
      </c>
      <c r="P2616" s="206" t="s">
        <v>15533</v>
      </c>
      <c r="Q2616" s="2181" t="s">
        <v>7284</v>
      </c>
      <c r="R2616" s="206" t="s">
        <v>15534</v>
      </c>
      <c r="S2616" s="206" t="s">
        <v>15535</v>
      </c>
      <c r="T2616" s="204"/>
      <c r="U2616" s="205">
        <v>1.0</v>
      </c>
      <c r="V2616" s="206" t="s">
        <v>15536</v>
      </c>
      <c r="W2616" s="205" t="s">
        <v>15536</v>
      </c>
      <c r="X2616" s="2181" t="s">
        <v>7284</v>
      </c>
      <c r="Y2616" s="201"/>
      <c r="Z2616" s="206" t="s">
        <v>947</v>
      </c>
      <c r="AA2616" s="206" t="s">
        <v>15537</v>
      </c>
      <c r="AB2616" s="206" t="s">
        <v>7291</v>
      </c>
      <c r="AC2616" s="206" t="s">
        <v>4092</v>
      </c>
      <c r="AD2616" s="205" t="s">
        <v>15538</v>
      </c>
      <c r="AE2616" s="205" t="s">
        <v>507</v>
      </c>
      <c r="AF2616" s="207">
        <v>614.0</v>
      </c>
      <c r="AG2616" s="207" t="s">
        <v>15539</v>
      </c>
      <c r="AH2616" s="206" t="s">
        <v>134</v>
      </c>
      <c r="AI2616" s="206" t="s">
        <v>507</v>
      </c>
      <c r="AJ2616" s="2182">
        <v>0.001</v>
      </c>
      <c r="AK2616" s="206" t="s">
        <v>135</v>
      </c>
      <c r="AL2616" s="206" t="s">
        <v>186</v>
      </c>
      <c r="AM2616" s="206" t="s">
        <v>137</v>
      </c>
      <c r="AN2616" s="206" t="s">
        <v>138</v>
      </c>
      <c r="AO2616" s="207">
        <v>2203.0</v>
      </c>
      <c r="AP2616" s="207">
        <v>-1.25</v>
      </c>
      <c r="AQ2616" s="206" t="s">
        <v>173</v>
      </c>
      <c r="AR2616" s="206" t="s">
        <v>15540</v>
      </c>
      <c r="AS2616" s="207">
        <v>0.001</v>
      </c>
      <c r="AT2616" s="206" t="s">
        <v>135</v>
      </c>
      <c r="AU2616" s="206" t="s">
        <v>186</v>
      </c>
      <c r="AV2616" s="206" t="s">
        <v>137</v>
      </c>
      <c r="AW2616" s="2183" t="s">
        <v>15541</v>
      </c>
      <c r="AX2616" s="206" t="s">
        <v>143</v>
      </c>
      <c r="AY2616" s="61" t="str">
        <f>IFERROR(__xludf.DUMMYFUNCTION("vlookup(BB2616,importrange(""https://docs.google.com/spreadsheets/d/1d2vevQ_7D_v35q4wCQ4RpQ_IPoTwEMB9Yp6ymwlPqew/edit?gid=984458430#gid=984458430"", ""'replication success'!A:K""), 11, FAlSE)"),"mixed")</f>
        <v>mixed</v>
      </c>
      <c r="AZ2616" s="61" t="str">
        <f>IFERROR(__xludf.DUMMYFUNCTION("vlookup(BB2616,importrange(""https://docs.google.com/spreadsheets/d/1d2vevQ_7D_v35q4wCQ4RpQ_IPoTwEMB9Yp6ymwlPqew/edit?gid=984458430#gid=984458430"",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16" s="61" t="str">
        <f>IFERROR(__xludf.DUMMYFUNCTION("vlookup(BB2616,importrange(""https://docs.google.com/spreadsheets/d/1d2vevQ_7D_v35q4wCQ4RpQ_IPoTwEMB9Yp6ymwlPqew/edit?gid=984458430#gid=984458430"", ""'replication success'!A:M""), 13, FAlSE)"),"abstract")</f>
        <v>abstract</v>
      </c>
      <c r="BB2616" s="61" t="str">
        <f>IFERROR(__xludf.DUMMYFUNCTION("REGEXREPLACE(G2616, ""_[a-z]{1,2}$"", """")"),"CORE_9")</f>
        <v>CORE_9</v>
      </c>
      <c r="BC2616" s="200"/>
      <c r="BD2616" s="199" t="s">
        <v>814</v>
      </c>
      <c r="BE2616" s="200"/>
      <c r="BF2616" s="200"/>
      <c r="BG2616" s="200"/>
      <c r="BH2616" s="200"/>
      <c r="BI2616" s="200"/>
      <c r="BJ2616" s="200"/>
      <c r="BK2616" s="200"/>
      <c r="BL2616" s="200"/>
      <c r="BM2616" s="200"/>
      <c r="BN2616" s="200"/>
      <c r="BO2616" s="200"/>
      <c r="BP2616" s="200"/>
      <c r="BQ2616" s="200"/>
      <c r="BR2616" s="200"/>
      <c r="BS2616" s="200"/>
      <c r="BT2616" s="200"/>
      <c r="BU2616" s="200"/>
      <c r="BV2616" s="200"/>
      <c r="BW2616" s="200"/>
      <c r="BX2616" s="200"/>
      <c r="BY2616" s="200"/>
      <c r="BZ2616" s="200"/>
      <c r="CA2616" s="200"/>
      <c r="CB2616" s="200"/>
      <c r="CC2616" s="200"/>
      <c r="CD2616" s="200"/>
      <c r="CE2616" s="200"/>
      <c r="CF2616" s="200"/>
      <c r="CG2616" s="200"/>
      <c r="CH2616" s="200"/>
      <c r="CI2616" s="200"/>
      <c r="CJ2616" s="200"/>
      <c r="CK2616" s="200"/>
      <c r="CL2616" s="200"/>
      <c r="CM2616" s="200"/>
      <c r="CN2616" s="200"/>
      <c r="CO2616" s="200"/>
      <c r="CP2616" s="200"/>
      <c r="CQ2616" s="200"/>
      <c r="CR2616" s="200"/>
      <c r="CS2616" s="200"/>
      <c r="CT2616" s="200"/>
      <c r="CU2616" s="200"/>
      <c r="CV2616" s="200"/>
      <c r="CW2616" s="200"/>
      <c r="CX2616" s="200"/>
      <c r="CY2616" s="200"/>
      <c r="CZ2616" s="200"/>
      <c r="DA2616" s="200"/>
      <c r="DB2616" s="200"/>
      <c r="DC2616" s="200"/>
      <c r="DD2616" s="200"/>
      <c r="DE2616" s="200"/>
      <c r="DF2616" s="200"/>
      <c r="DG2616" s="200"/>
      <c r="DH2616" s="200"/>
      <c r="DI2616" s="200"/>
      <c r="DJ2616" s="200"/>
      <c r="DK2616" s="200"/>
      <c r="DL2616" s="200"/>
    </row>
    <row r="2617">
      <c r="A2617" s="44">
        <v>2617.0</v>
      </c>
      <c r="B2617" s="129" t="s">
        <v>523</v>
      </c>
      <c r="C2617" s="62" t="s">
        <v>115</v>
      </c>
      <c r="D2617" s="62" t="s">
        <v>248</v>
      </c>
      <c r="F2617" s="129" t="s">
        <v>15528</v>
      </c>
      <c r="G2617" s="151" t="s">
        <v>15542</v>
      </c>
      <c r="H2617" s="159"/>
      <c r="I2617" s="1542">
        <v>45331.0</v>
      </c>
      <c r="J2617" s="152"/>
      <c r="K2617" s="68"/>
      <c r="L2617" s="68"/>
      <c r="M2617" s="151" t="s">
        <v>15531</v>
      </c>
      <c r="N2617" s="151" t="s">
        <v>15532</v>
      </c>
      <c r="O2617" s="68"/>
      <c r="P2617" s="309" t="s">
        <v>15533</v>
      </c>
      <c r="Q2617" s="2184" t="s">
        <v>7284</v>
      </c>
      <c r="R2617" s="151" t="s">
        <v>15534</v>
      </c>
      <c r="S2617" s="151" t="s">
        <v>15535</v>
      </c>
      <c r="T2617" s="68"/>
      <c r="U2617" s="68"/>
      <c r="V2617" s="309" t="s">
        <v>15536</v>
      </c>
      <c r="W2617" s="1080" t="s">
        <v>15536</v>
      </c>
      <c r="X2617" s="2185" t="s">
        <v>7284</v>
      </c>
      <c r="Y2617" s="159"/>
      <c r="Z2617" s="151" t="s">
        <v>947</v>
      </c>
      <c r="AA2617" s="151" t="s">
        <v>15537</v>
      </c>
      <c r="AB2617" s="151" t="s">
        <v>7291</v>
      </c>
      <c r="AC2617" s="151" t="s">
        <v>5535</v>
      </c>
      <c r="AD2617" s="129" t="s">
        <v>15543</v>
      </c>
      <c r="AE2617" s="129" t="s">
        <v>507</v>
      </c>
      <c r="AF2617" s="161">
        <v>640.0</v>
      </c>
      <c r="AG2617" s="161" t="s">
        <v>15544</v>
      </c>
      <c r="AH2617" s="151" t="s">
        <v>134</v>
      </c>
      <c r="AI2617" s="151" t="s">
        <v>507</v>
      </c>
      <c r="AJ2617" s="501">
        <v>0.081</v>
      </c>
      <c r="AK2617" s="151" t="s">
        <v>172</v>
      </c>
      <c r="AL2617" s="151" t="s">
        <v>186</v>
      </c>
      <c r="AM2617" s="151" t="s">
        <v>137</v>
      </c>
      <c r="AN2617" s="151" t="s">
        <v>138</v>
      </c>
      <c r="AO2617" s="161">
        <v>2203.0</v>
      </c>
      <c r="AP2617" s="161">
        <v>-0.43</v>
      </c>
      <c r="AQ2617" s="151" t="s">
        <v>173</v>
      </c>
      <c r="AR2617" s="151" t="s">
        <v>15540</v>
      </c>
      <c r="AS2617" s="161">
        <v>0.001</v>
      </c>
      <c r="AT2617" s="151" t="s">
        <v>135</v>
      </c>
      <c r="AU2617" s="151" t="s">
        <v>186</v>
      </c>
      <c r="AV2617" s="151" t="s">
        <v>137</v>
      </c>
      <c r="AW2617" s="1308" t="s">
        <v>15541</v>
      </c>
      <c r="AX2617" s="151" t="s">
        <v>143</v>
      </c>
      <c r="AY2617" s="61" t="str">
        <f>IFERROR(__xludf.DUMMYFUNCTION("vlookup(BB2617,importrange(""https://docs.google.com/spreadsheets/d/1d2vevQ_7D_v35q4wCQ4RpQ_IPoTwEMB9Yp6ymwlPqew/edit?gid=984458430#gid=984458430"", ""'replication success'!A:K""), 11, FAlSE)"),"mixed")</f>
        <v>mixed</v>
      </c>
      <c r="AZ2617" s="61" t="str">
        <f>IFERROR(__xludf.DUMMYFUNCTION("vlookup(BB2617,importrange(""https://docs.google.com/spreadsheets/d/1d2vevQ_7D_v35q4wCQ4RpQ_IPoTwEMB9Yp6ymwlPqew/edit?gid=984458430#gid=984458430"",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17" s="61" t="str">
        <f>IFERROR(__xludf.DUMMYFUNCTION("vlookup(BB2617,importrange(""https://docs.google.com/spreadsheets/d/1d2vevQ_7D_v35q4wCQ4RpQ_IPoTwEMB9Yp6ymwlPqew/edit?gid=984458430#gid=984458430"", ""'replication success'!A:M""), 13, FAlSE)"),"abstract")</f>
        <v>abstract</v>
      </c>
      <c r="BB2617" s="61" t="str">
        <f>IFERROR(__xludf.DUMMYFUNCTION("REGEXREPLACE(G2617, ""_[a-z]{1,2}$"", """")"),"CORE_9")</f>
        <v>CORE_9</v>
      </c>
      <c r="BD2617" s="62" t="s">
        <v>7302</v>
      </c>
    </row>
    <row r="2618">
      <c r="A2618" s="44">
        <v>2618.0</v>
      </c>
      <c r="B2618" s="129" t="s">
        <v>523</v>
      </c>
      <c r="C2618" s="62" t="s">
        <v>115</v>
      </c>
      <c r="D2618" s="62" t="s">
        <v>248</v>
      </c>
      <c r="F2618" s="129" t="s">
        <v>15528</v>
      </c>
      <c r="G2618" s="151" t="s">
        <v>15545</v>
      </c>
      <c r="H2618" s="159"/>
      <c r="I2618" s="1542">
        <v>45331.0</v>
      </c>
      <c r="J2618" s="152"/>
      <c r="K2618" s="68"/>
      <c r="L2618" s="68"/>
      <c r="M2618" s="151" t="s">
        <v>15531</v>
      </c>
      <c r="N2618" s="151" t="s">
        <v>15532</v>
      </c>
      <c r="O2618" s="68"/>
      <c r="P2618" s="309" t="s">
        <v>15533</v>
      </c>
      <c r="Q2618" s="2184" t="s">
        <v>7284</v>
      </c>
      <c r="R2618" s="151" t="s">
        <v>15534</v>
      </c>
      <c r="S2618" s="151" t="s">
        <v>15535</v>
      </c>
      <c r="T2618" s="68"/>
      <c r="U2618" s="68"/>
      <c r="V2618" s="309" t="s">
        <v>15536</v>
      </c>
      <c r="W2618" s="1080" t="s">
        <v>15536</v>
      </c>
      <c r="X2618" s="2185" t="s">
        <v>7284</v>
      </c>
      <c r="Y2618" s="159"/>
      <c r="Z2618" s="151" t="s">
        <v>947</v>
      </c>
      <c r="AA2618" s="151" t="s">
        <v>15537</v>
      </c>
      <c r="AB2618" s="151" t="s">
        <v>7291</v>
      </c>
      <c r="AC2618" s="151" t="s">
        <v>1554</v>
      </c>
      <c r="AD2618" s="129" t="s">
        <v>15546</v>
      </c>
      <c r="AE2618" s="129" t="s">
        <v>507</v>
      </c>
      <c r="AF2618" s="161">
        <v>640.0</v>
      </c>
      <c r="AG2618" s="161" t="s">
        <v>15547</v>
      </c>
      <c r="AH2618" s="151" t="s">
        <v>134</v>
      </c>
      <c r="AI2618" s="151" t="s">
        <v>507</v>
      </c>
      <c r="AJ2618" s="501">
        <v>0.001</v>
      </c>
      <c r="AK2618" s="151" t="s">
        <v>135</v>
      </c>
      <c r="AL2618" s="151" t="s">
        <v>186</v>
      </c>
      <c r="AM2618" s="151" t="s">
        <v>137</v>
      </c>
      <c r="AN2618" s="151" t="s">
        <v>138</v>
      </c>
      <c r="AO2618" s="161">
        <v>2203.0</v>
      </c>
      <c r="AP2618" s="161">
        <v>0.9</v>
      </c>
      <c r="AQ2618" s="151" t="s">
        <v>173</v>
      </c>
      <c r="AR2618" s="151" t="s">
        <v>15540</v>
      </c>
      <c r="AS2618" s="161">
        <v>0.001</v>
      </c>
      <c r="AT2618" s="151" t="s">
        <v>135</v>
      </c>
      <c r="AU2618" s="151" t="s">
        <v>186</v>
      </c>
      <c r="AV2618" s="151" t="s">
        <v>137</v>
      </c>
      <c r="AW2618" s="1308" t="s">
        <v>15541</v>
      </c>
      <c r="AX2618" s="151" t="s">
        <v>143</v>
      </c>
      <c r="AY2618" s="61" t="str">
        <f>IFERROR(__xludf.DUMMYFUNCTION("vlookup(BB2618,importrange(""https://docs.google.com/spreadsheets/d/1d2vevQ_7D_v35q4wCQ4RpQ_IPoTwEMB9Yp6ymwlPqew/edit?gid=984458430#gid=984458430"", ""'replication success'!A:K""), 11, FAlSE)"),"mixed")</f>
        <v>mixed</v>
      </c>
      <c r="AZ2618" s="61" t="str">
        <f>IFERROR(__xludf.DUMMYFUNCTION("vlookup(BB2618,importrange(""https://docs.google.com/spreadsheets/d/1d2vevQ_7D_v35q4wCQ4RpQ_IPoTwEMB9Yp6ymwlPqew/edit?gid=984458430#gid=984458430"",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18" s="61" t="str">
        <f>IFERROR(__xludf.DUMMYFUNCTION("vlookup(BB2618,importrange(""https://docs.google.com/spreadsheets/d/1d2vevQ_7D_v35q4wCQ4RpQ_IPoTwEMB9Yp6ymwlPqew/edit?gid=984458430#gid=984458430"", ""'replication success'!A:M""), 13, FAlSE)"),"abstract")</f>
        <v>abstract</v>
      </c>
      <c r="BB2618" s="61" t="str">
        <f>IFERROR(__xludf.DUMMYFUNCTION("REGEXREPLACE(G2618, ""_[a-z]{1,2}$"", """")"),"CORE_9")</f>
        <v>CORE_9</v>
      </c>
      <c r="BD2618" s="62" t="s">
        <v>7302</v>
      </c>
    </row>
    <row r="2619">
      <c r="A2619" s="44">
        <v>2619.0</v>
      </c>
      <c r="B2619" s="129" t="s">
        <v>523</v>
      </c>
      <c r="C2619" s="62" t="s">
        <v>115</v>
      </c>
      <c r="D2619" s="62" t="s">
        <v>248</v>
      </c>
      <c r="F2619" s="129" t="s">
        <v>15528</v>
      </c>
      <c r="G2619" s="151" t="s">
        <v>15548</v>
      </c>
      <c r="H2619" s="159"/>
      <c r="I2619" s="1542">
        <v>45331.0</v>
      </c>
      <c r="J2619" s="152"/>
      <c r="K2619" s="68"/>
      <c r="L2619" s="68"/>
      <c r="M2619" s="151" t="s">
        <v>15531</v>
      </c>
      <c r="N2619" s="151" t="s">
        <v>15532</v>
      </c>
      <c r="O2619" s="68"/>
      <c r="P2619" s="309" t="s">
        <v>15533</v>
      </c>
      <c r="Q2619" s="2184" t="s">
        <v>7284</v>
      </c>
      <c r="R2619" s="151" t="s">
        <v>15534</v>
      </c>
      <c r="S2619" s="151" t="s">
        <v>15535</v>
      </c>
      <c r="T2619" s="68"/>
      <c r="U2619" s="68"/>
      <c r="V2619" s="309" t="s">
        <v>15536</v>
      </c>
      <c r="W2619" s="1080" t="s">
        <v>15536</v>
      </c>
      <c r="X2619" s="2185" t="s">
        <v>7284</v>
      </c>
      <c r="Y2619" s="159"/>
      <c r="Z2619" s="151" t="s">
        <v>947</v>
      </c>
      <c r="AA2619" s="151" t="s">
        <v>15537</v>
      </c>
      <c r="AB2619" s="151" t="s">
        <v>7291</v>
      </c>
      <c r="AC2619" s="151" t="s">
        <v>15549</v>
      </c>
      <c r="AD2619" s="129" t="s">
        <v>15550</v>
      </c>
      <c r="AE2619" s="129" t="s">
        <v>507</v>
      </c>
      <c r="AF2619" s="161">
        <v>640.0</v>
      </c>
      <c r="AG2619" s="161" t="s">
        <v>15551</v>
      </c>
      <c r="AH2619" s="151" t="s">
        <v>134</v>
      </c>
      <c r="AI2619" s="151" t="s">
        <v>507</v>
      </c>
      <c r="AJ2619" s="501">
        <v>0.001</v>
      </c>
      <c r="AK2619" s="151" t="s">
        <v>135</v>
      </c>
      <c r="AL2619" s="151" t="s">
        <v>186</v>
      </c>
      <c r="AM2619" s="151" t="s">
        <v>137</v>
      </c>
      <c r="AN2619" s="151" t="s">
        <v>138</v>
      </c>
      <c r="AO2619" s="161">
        <v>2203.0</v>
      </c>
      <c r="AP2619" s="161">
        <v>-0.37</v>
      </c>
      <c r="AQ2619" s="151" t="s">
        <v>173</v>
      </c>
      <c r="AR2619" s="151" t="s">
        <v>15540</v>
      </c>
      <c r="AS2619" s="161">
        <v>0.001</v>
      </c>
      <c r="AT2619" s="151" t="s">
        <v>135</v>
      </c>
      <c r="AU2619" s="151" t="s">
        <v>186</v>
      </c>
      <c r="AV2619" s="151" t="s">
        <v>137</v>
      </c>
      <c r="AW2619" s="1308" t="s">
        <v>15541</v>
      </c>
      <c r="AX2619" s="151" t="s">
        <v>143</v>
      </c>
      <c r="AY2619" s="61" t="str">
        <f>IFERROR(__xludf.DUMMYFUNCTION("vlookup(BB2619,importrange(""https://docs.google.com/spreadsheets/d/1d2vevQ_7D_v35q4wCQ4RpQ_IPoTwEMB9Yp6ymwlPqew/edit?gid=984458430#gid=984458430"", ""'replication success'!A:K""), 11, FAlSE)"),"mixed")</f>
        <v>mixed</v>
      </c>
      <c r="AZ2619" s="61" t="str">
        <f>IFERROR(__xludf.DUMMYFUNCTION("vlookup(BB2619,importrange(""https://docs.google.com/spreadsheets/d/1d2vevQ_7D_v35q4wCQ4RpQ_IPoTwEMB9Yp6ymwlPqew/edit?gid=984458430#gid=984458430"",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19" s="61" t="str">
        <f>IFERROR(__xludf.DUMMYFUNCTION("vlookup(BB2619,importrange(""https://docs.google.com/spreadsheets/d/1d2vevQ_7D_v35q4wCQ4RpQ_IPoTwEMB9Yp6ymwlPqew/edit?gid=984458430#gid=984458430"", ""'replication success'!A:M""), 13, FAlSE)"),"abstract")</f>
        <v>abstract</v>
      </c>
      <c r="BB2619" s="61" t="str">
        <f>IFERROR(__xludf.DUMMYFUNCTION("REGEXREPLACE(G2619, ""_[a-z]{1,2}$"", """")"),"CORE_9")</f>
        <v>CORE_9</v>
      </c>
      <c r="BD2619" s="62" t="s">
        <v>7302</v>
      </c>
    </row>
    <row r="2620">
      <c r="A2620" s="44">
        <v>2620.0</v>
      </c>
      <c r="B2620" s="129" t="s">
        <v>523</v>
      </c>
      <c r="C2620" s="62" t="s">
        <v>115</v>
      </c>
      <c r="D2620" s="62" t="s">
        <v>248</v>
      </c>
      <c r="F2620" s="129" t="s">
        <v>15528</v>
      </c>
      <c r="G2620" s="151" t="s">
        <v>15552</v>
      </c>
      <c r="H2620" s="159"/>
      <c r="I2620" s="1542">
        <v>45331.0</v>
      </c>
      <c r="J2620" s="152"/>
      <c r="K2620" s="68"/>
      <c r="L2620" s="68"/>
      <c r="M2620" s="151" t="s">
        <v>15531</v>
      </c>
      <c r="N2620" s="151" t="s">
        <v>15532</v>
      </c>
      <c r="O2620" s="68"/>
      <c r="P2620" s="309" t="s">
        <v>15533</v>
      </c>
      <c r="Q2620" s="2184" t="s">
        <v>7284</v>
      </c>
      <c r="R2620" s="151" t="s">
        <v>15534</v>
      </c>
      <c r="S2620" s="151" t="s">
        <v>15535</v>
      </c>
      <c r="T2620" s="68"/>
      <c r="U2620" s="68"/>
      <c r="V2620" s="309" t="s">
        <v>15536</v>
      </c>
      <c r="W2620" s="1080" t="s">
        <v>15536</v>
      </c>
      <c r="X2620" s="2185" t="s">
        <v>7284</v>
      </c>
      <c r="Y2620" s="159"/>
      <c r="Z2620" s="151" t="s">
        <v>947</v>
      </c>
      <c r="AA2620" s="151" t="s">
        <v>15537</v>
      </c>
      <c r="AB2620" s="151" t="s">
        <v>7291</v>
      </c>
      <c r="AC2620" s="151" t="s">
        <v>4092</v>
      </c>
      <c r="AD2620" s="129" t="s">
        <v>15553</v>
      </c>
      <c r="AE2620" s="129" t="s">
        <v>507</v>
      </c>
      <c r="AF2620" s="161">
        <v>640.0</v>
      </c>
      <c r="AG2620" s="161" t="s">
        <v>15539</v>
      </c>
      <c r="AH2620" s="151" t="s">
        <v>134</v>
      </c>
      <c r="AI2620" s="151" t="s">
        <v>507</v>
      </c>
      <c r="AJ2620" s="501">
        <v>0.001</v>
      </c>
      <c r="AK2620" s="151" t="s">
        <v>135</v>
      </c>
      <c r="AL2620" s="151" t="s">
        <v>186</v>
      </c>
      <c r="AM2620" s="151" t="s">
        <v>137</v>
      </c>
      <c r="AN2620" s="151" t="s">
        <v>138</v>
      </c>
      <c r="AO2620" s="161">
        <v>999.0</v>
      </c>
      <c r="AP2620" s="161">
        <v>-1.3</v>
      </c>
      <c r="AQ2620" s="151" t="s">
        <v>173</v>
      </c>
      <c r="AR2620" s="151" t="s">
        <v>15540</v>
      </c>
      <c r="AS2620" s="161">
        <v>0.001</v>
      </c>
      <c r="AT2620" s="151" t="s">
        <v>135</v>
      </c>
      <c r="AU2620" s="151" t="s">
        <v>186</v>
      </c>
      <c r="AV2620" s="151" t="s">
        <v>137</v>
      </c>
      <c r="AW2620" s="1308" t="s">
        <v>15554</v>
      </c>
      <c r="AX2620" s="151" t="s">
        <v>143</v>
      </c>
      <c r="AY2620" s="61" t="str">
        <f>IFERROR(__xludf.DUMMYFUNCTION("vlookup(BB2620,importrange(""https://docs.google.com/spreadsheets/d/1d2vevQ_7D_v35q4wCQ4RpQ_IPoTwEMB9Yp6ymwlPqew/edit?gid=984458430#gid=984458430"", ""'replication success'!A:K""), 11, FAlSE)"),"mixed")</f>
        <v>mixed</v>
      </c>
      <c r="AZ2620" s="61" t="str">
        <f>IFERROR(__xludf.DUMMYFUNCTION("vlookup(BB2620,importrange(""https://docs.google.com/spreadsheets/d/1d2vevQ_7D_v35q4wCQ4RpQ_IPoTwEMB9Yp6ymwlPqew/edit?gid=984458430#gid=984458430"",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20" s="61" t="str">
        <f>IFERROR(__xludf.DUMMYFUNCTION("vlookup(BB2620,importrange(""https://docs.google.com/spreadsheets/d/1d2vevQ_7D_v35q4wCQ4RpQ_IPoTwEMB9Yp6ymwlPqew/edit?gid=984458430#gid=984458430"", ""'replication success'!A:M""), 13, FAlSE)"),"abstract")</f>
        <v>abstract</v>
      </c>
      <c r="BB2620" s="61" t="str">
        <f>IFERROR(__xludf.DUMMYFUNCTION("REGEXREPLACE(G2620, ""_[a-z]{1,2}$"", """")"),"CORE_9")</f>
        <v>CORE_9</v>
      </c>
      <c r="BD2620" s="62" t="s">
        <v>7302</v>
      </c>
    </row>
    <row r="2621">
      <c r="A2621" s="44">
        <v>2621.0</v>
      </c>
      <c r="B2621" s="129" t="s">
        <v>523</v>
      </c>
      <c r="C2621" s="62" t="s">
        <v>115</v>
      </c>
      <c r="D2621" s="62" t="s">
        <v>248</v>
      </c>
      <c r="F2621" s="129" t="s">
        <v>15528</v>
      </c>
      <c r="G2621" s="151" t="s">
        <v>15555</v>
      </c>
      <c r="H2621" s="159"/>
      <c r="I2621" s="1542">
        <v>45331.0</v>
      </c>
      <c r="J2621" s="152"/>
      <c r="K2621" s="68"/>
      <c r="L2621" s="68"/>
      <c r="M2621" s="151" t="s">
        <v>15531</v>
      </c>
      <c r="N2621" s="151" t="s">
        <v>15532</v>
      </c>
      <c r="O2621" s="68"/>
      <c r="P2621" s="309" t="s">
        <v>15533</v>
      </c>
      <c r="Q2621" s="2184" t="s">
        <v>7284</v>
      </c>
      <c r="R2621" s="151" t="s">
        <v>15534</v>
      </c>
      <c r="S2621" s="151" t="s">
        <v>15535</v>
      </c>
      <c r="T2621" s="68"/>
      <c r="U2621" s="68"/>
      <c r="V2621" s="309" t="s">
        <v>15536</v>
      </c>
      <c r="W2621" s="1080" t="s">
        <v>15536</v>
      </c>
      <c r="X2621" s="2185" t="s">
        <v>7284</v>
      </c>
      <c r="Y2621" s="159"/>
      <c r="Z2621" s="151" t="s">
        <v>947</v>
      </c>
      <c r="AA2621" s="151" t="s">
        <v>15537</v>
      </c>
      <c r="AB2621" s="151" t="s">
        <v>7291</v>
      </c>
      <c r="AC2621" s="151" t="s">
        <v>5535</v>
      </c>
      <c r="AD2621" s="129" t="s">
        <v>15543</v>
      </c>
      <c r="AE2621" s="129" t="s">
        <v>507</v>
      </c>
      <c r="AF2621" s="161">
        <v>640.0</v>
      </c>
      <c r="AG2621" s="161" t="s">
        <v>15544</v>
      </c>
      <c r="AH2621" s="151" t="s">
        <v>134</v>
      </c>
      <c r="AI2621" s="151" t="s">
        <v>507</v>
      </c>
      <c r="AJ2621" s="501">
        <v>0.081</v>
      </c>
      <c r="AK2621" s="151" t="s">
        <v>172</v>
      </c>
      <c r="AL2621" s="151" t="s">
        <v>186</v>
      </c>
      <c r="AM2621" s="151" t="s">
        <v>137</v>
      </c>
      <c r="AN2621" s="151" t="s">
        <v>138</v>
      </c>
      <c r="AO2621" s="161">
        <v>999.0</v>
      </c>
      <c r="AP2621" s="161">
        <v>-0.87</v>
      </c>
      <c r="AQ2621" s="151" t="s">
        <v>173</v>
      </c>
      <c r="AR2621" s="151" t="s">
        <v>15540</v>
      </c>
      <c r="AS2621" s="161">
        <v>0.001</v>
      </c>
      <c r="AT2621" s="151" t="s">
        <v>135</v>
      </c>
      <c r="AU2621" s="151" t="s">
        <v>186</v>
      </c>
      <c r="AV2621" s="151" t="s">
        <v>137</v>
      </c>
      <c r="AW2621" s="1308" t="s">
        <v>15554</v>
      </c>
      <c r="AX2621" s="151" t="s">
        <v>143</v>
      </c>
      <c r="AY2621" s="61" t="str">
        <f>IFERROR(__xludf.DUMMYFUNCTION("vlookup(BB2621,importrange(""https://docs.google.com/spreadsheets/d/1d2vevQ_7D_v35q4wCQ4RpQ_IPoTwEMB9Yp6ymwlPqew/edit?gid=984458430#gid=984458430"", ""'replication success'!A:K""), 11, FAlSE)"),"mixed")</f>
        <v>mixed</v>
      </c>
      <c r="AZ2621" s="61" t="str">
        <f>IFERROR(__xludf.DUMMYFUNCTION("vlookup(BB2621,importrange(""https://docs.google.com/spreadsheets/d/1d2vevQ_7D_v35q4wCQ4RpQ_IPoTwEMB9Yp6ymwlPqew/edit?gid=984458430#gid=984458430"",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21" s="61" t="str">
        <f>IFERROR(__xludf.DUMMYFUNCTION("vlookup(BB2621,importrange(""https://docs.google.com/spreadsheets/d/1d2vevQ_7D_v35q4wCQ4RpQ_IPoTwEMB9Yp6ymwlPqew/edit?gid=984458430#gid=984458430"", ""'replication success'!A:M""), 13, FAlSE)"),"abstract")</f>
        <v>abstract</v>
      </c>
      <c r="BB2621" s="61" t="str">
        <f>IFERROR(__xludf.DUMMYFUNCTION("REGEXREPLACE(G2621, ""_[a-z]{1,2}$"", """")"),"CORE_9")</f>
        <v>CORE_9</v>
      </c>
      <c r="BD2621" s="62" t="s">
        <v>7302</v>
      </c>
    </row>
    <row r="2622">
      <c r="A2622" s="44">
        <v>2622.0</v>
      </c>
      <c r="B2622" s="129" t="s">
        <v>523</v>
      </c>
      <c r="C2622" s="62" t="s">
        <v>115</v>
      </c>
      <c r="D2622" s="62" t="s">
        <v>248</v>
      </c>
      <c r="F2622" s="129" t="s">
        <v>15528</v>
      </c>
      <c r="G2622" s="151" t="s">
        <v>15556</v>
      </c>
      <c r="H2622" s="159"/>
      <c r="I2622" s="1542">
        <v>45331.0</v>
      </c>
      <c r="J2622" s="152"/>
      <c r="K2622" s="68"/>
      <c r="L2622" s="68"/>
      <c r="M2622" s="151" t="s">
        <v>15531</v>
      </c>
      <c r="N2622" s="151" t="s">
        <v>15532</v>
      </c>
      <c r="O2622" s="68"/>
      <c r="P2622" s="309" t="s">
        <v>15533</v>
      </c>
      <c r="Q2622" s="2184" t="s">
        <v>7284</v>
      </c>
      <c r="R2622" s="151" t="s">
        <v>15534</v>
      </c>
      <c r="S2622" s="151" t="s">
        <v>15535</v>
      </c>
      <c r="T2622" s="68"/>
      <c r="U2622" s="68"/>
      <c r="V2622" s="309" t="s">
        <v>15536</v>
      </c>
      <c r="W2622" s="1080" t="s">
        <v>15536</v>
      </c>
      <c r="X2622" s="2185" t="s">
        <v>7284</v>
      </c>
      <c r="Y2622" s="159"/>
      <c r="Z2622" s="151" t="s">
        <v>947</v>
      </c>
      <c r="AA2622" s="151" t="s">
        <v>15537</v>
      </c>
      <c r="AB2622" s="151" t="s">
        <v>7291</v>
      </c>
      <c r="AC2622" s="151" t="s">
        <v>1554</v>
      </c>
      <c r="AD2622" s="129" t="s">
        <v>15546</v>
      </c>
      <c r="AE2622" s="129" t="s">
        <v>507</v>
      </c>
      <c r="AF2622" s="161">
        <v>640.0</v>
      </c>
      <c r="AG2622" s="161" t="s">
        <v>15547</v>
      </c>
      <c r="AH2622" s="151" t="s">
        <v>134</v>
      </c>
      <c r="AI2622" s="151" t="s">
        <v>507</v>
      </c>
      <c r="AJ2622" s="501">
        <v>0.001</v>
      </c>
      <c r="AK2622" s="151" t="s">
        <v>135</v>
      </c>
      <c r="AL2622" s="151" t="s">
        <v>186</v>
      </c>
      <c r="AM2622" s="151" t="s">
        <v>137</v>
      </c>
      <c r="AN2622" s="151" t="s">
        <v>138</v>
      </c>
      <c r="AO2622" s="161">
        <v>999.0</v>
      </c>
      <c r="AP2622" s="161">
        <v>-0.11</v>
      </c>
      <c r="AQ2622" s="151" t="s">
        <v>173</v>
      </c>
      <c r="AR2622" s="151" t="s">
        <v>15540</v>
      </c>
      <c r="AS2622" s="161">
        <v>0.001</v>
      </c>
      <c r="AT2622" s="151" t="s">
        <v>135</v>
      </c>
      <c r="AU2622" s="151" t="s">
        <v>186</v>
      </c>
      <c r="AV2622" s="151" t="s">
        <v>137</v>
      </c>
      <c r="AW2622" s="1308" t="s">
        <v>15554</v>
      </c>
      <c r="AX2622" s="151" t="s">
        <v>143</v>
      </c>
      <c r="AY2622" s="61" t="str">
        <f>IFERROR(__xludf.DUMMYFUNCTION("vlookup(BB2622,importrange(""https://docs.google.com/spreadsheets/d/1d2vevQ_7D_v35q4wCQ4RpQ_IPoTwEMB9Yp6ymwlPqew/edit?gid=984458430#gid=984458430"", ""'replication success'!A:K""), 11, FAlSE)"),"mixed")</f>
        <v>mixed</v>
      </c>
      <c r="AZ2622" s="61" t="str">
        <f>IFERROR(__xludf.DUMMYFUNCTION("vlookup(BB2622,importrange(""https://docs.google.com/spreadsheets/d/1d2vevQ_7D_v35q4wCQ4RpQ_IPoTwEMB9Yp6ymwlPqew/edit?gid=984458430#gid=984458430"",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22" s="61" t="str">
        <f>IFERROR(__xludf.DUMMYFUNCTION("vlookup(BB2622,importrange(""https://docs.google.com/spreadsheets/d/1d2vevQ_7D_v35q4wCQ4RpQ_IPoTwEMB9Yp6ymwlPqew/edit?gid=984458430#gid=984458430"", ""'replication success'!A:M""), 13, FAlSE)"),"abstract")</f>
        <v>abstract</v>
      </c>
      <c r="BB2622" s="61" t="str">
        <f>IFERROR(__xludf.DUMMYFUNCTION("REGEXREPLACE(G2622, ""_[a-z]{1,2}$"", """")"),"CORE_9")</f>
        <v>CORE_9</v>
      </c>
      <c r="BD2622" s="62" t="s">
        <v>7302</v>
      </c>
    </row>
    <row r="2623">
      <c r="A2623" s="44">
        <v>2623.0</v>
      </c>
      <c r="B2623" s="129" t="s">
        <v>523</v>
      </c>
      <c r="C2623" s="62" t="s">
        <v>115</v>
      </c>
      <c r="D2623" s="62" t="s">
        <v>248</v>
      </c>
      <c r="F2623" s="129" t="s">
        <v>15528</v>
      </c>
      <c r="G2623" s="151" t="s">
        <v>15557</v>
      </c>
      <c r="H2623" s="159"/>
      <c r="I2623" s="1542">
        <v>45331.0</v>
      </c>
      <c r="J2623" s="152"/>
      <c r="K2623" s="68"/>
      <c r="L2623" s="68"/>
      <c r="M2623" s="151" t="s">
        <v>15531</v>
      </c>
      <c r="N2623" s="151" t="s">
        <v>15532</v>
      </c>
      <c r="O2623" s="68"/>
      <c r="P2623" s="309" t="s">
        <v>15533</v>
      </c>
      <c r="Q2623" s="2184" t="s">
        <v>7284</v>
      </c>
      <c r="R2623" s="151" t="s">
        <v>15534</v>
      </c>
      <c r="S2623" s="151" t="s">
        <v>15535</v>
      </c>
      <c r="T2623" s="68"/>
      <c r="U2623" s="68"/>
      <c r="V2623" s="309" t="s">
        <v>15536</v>
      </c>
      <c r="W2623" s="1080" t="s">
        <v>15536</v>
      </c>
      <c r="X2623" s="2185" t="s">
        <v>7284</v>
      </c>
      <c r="Y2623" s="159"/>
      <c r="Z2623" s="151" t="s">
        <v>947</v>
      </c>
      <c r="AA2623" s="151" t="s">
        <v>15537</v>
      </c>
      <c r="AB2623" s="151" t="s">
        <v>7291</v>
      </c>
      <c r="AC2623" s="151" t="s">
        <v>15549</v>
      </c>
      <c r="AD2623" s="129" t="s">
        <v>15550</v>
      </c>
      <c r="AE2623" s="129" t="s">
        <v>507</v>
      </c>
      <c r="AF2623" s="161">
        <v>640.0</v>
      </c>
      <c r="AG2623" s="161" t="s">
        <v>15551</v>
      </c>
      <c r="AH2623" s="151" t="s">
        <v>134</v>
      </c>
      <c r="AI2623" s="151" t="s">
        <v>507</v>
      </c>
      <c r="AJ2623" s="501">
        <v>0.001</v>
      </c>
      <c r="AK2623" s="151" t="s">
        <v>135</v>
      </c>
      <c r="AL2623" s="151" t="s">
        <v>186</v>
      </c>
      <c r="AM2623" s="151" t="s">
        <v>137</v>
      </c>
      <c r="AN2623" s="151" t="s">
        <v>138</v>
      </c>
      <c r="AO2623" s="161">
        <v>999.0</v>
      </c>
      <c r="AP2623" s="161">
        <v>-0.8</v>
      </c>
      <c r="AQ2623" s="151" t="s">
        <v>173</v>
      </c>
      <c r="AR2623" s="151" t="s">
        <v>15540</v>
      </c>
      <c r="AS2623" s="161">
        <v>0.001</v>
      </c>
      <c r="AT2623" s="151" t="s">
        <v>135</v>
      </c>
      <c r="AU2623" s="151" t="s">
        <v>186</v>
      </c>
      <c r="AV2623" s="151" t="s">
        <v>137</v>
      </c>
      <c r="AW2623" s="1308" t="s">
        <v>15554</v>
      </c>
      <c r="AX2623" s="151" t="s">
        <v>143</v>
      </c>
      <c r="AY2623" s="61" t="str">
        <f>IFERROR(__xludf.DUMMYFUNCTION("vlookup(BB2623,importrange(""https://docs.google.com/spreadsheets/d/1d2vevQ_7D_v35q4wCQ4RpQ_IPoTwEMB9Yp6ymwlPqew/edit?gid=984458430#gid=984458430"", ""'replication success'!A:K""), 11, FAlSE)"),"mixed")</f>
        <v>mixed</v>
      </c>
      <c r="AZ2623" s="61" t="str">
        <f>IFERROR(__xludf.DUMMYFUNCTION("vlookup(BB2623,importrange(""https://docs.google.com/spreadsheets/d/1d2vevQ_7D_v35q4wCQ4RpQ_IPoTwEMB9Yp6ymwlPqew/edit?gid=984458430#gid=984458430"",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2623" s="61" t="str">
        <f>IFERROR(__xludf.DUMMYFUNCTION("vlookup(BB2623,importrange(""https://docs.google.com/spreadsheets/d/1d2vevQ_7D_v35q4wCQ4RpQ_IPoTwEMB9Yp6ymwlPqew/edit?gid=984458430#gid=984458430"", ""'replication success'!A:M""), 13, FAlSE)"),"abstract")</f>
        <v>abstract</v>
      </c>
      <c r="BB2623" s="61" t="str">
        <f>IFERROR(__xludf.DUMMYFUNCTION("REGEXREPLACE(G2623, ""_[a-z]{1,2}$"", """")"),"CORE_9")</f>
        <v>CORE_9</v>
      </c>
      <c r="BD2623" s="62" t="s">
        <v>7302</v>
      </c>
    </row>
    <row r="2624">
      <c r="A2624" s="44">
        <v>2624.0</v>
      </c>
      <c r="B2624" s="129" t="s">
        <v>152</v>
      </c>
      <c r="C2624" s="62" t="s">
        <v>115</v>
      </c>
      <c r="D2624" s="62" t="s">
        <v>248</v>
      </c>
      <c r="F2624" s="129" t="s">
        <v>15558</v>
      </c>
      <c r="G2624" s="151" t="s">
        <v>15559</v>
      </c>
      <c r="H2624" s="159"/>
      <c r="I2624" s="1542">
        <v>45331.0</v>
      </c>
      <c r="J2624" s="152"/>
      <c r="K2624" s="68"/>
      <c r="L2624" s="206" t="s">
        <v>15560</v>
      </c>
      <c r="M2624" s="151" t="s">
        <v>15561</v>
      </c>
      <c r="N2624" s="151" t="s">
        <v>15562</v>
      </c>
      <c r="O2624" s="129">
        <v>1.0</v>
      </c>
      <c r="P2624" s="309" t="s">
        <v>15563</v>
      </c>
      <c r="Q2624" s="2184" t="s">
        <v>7284</v>
      </c>
      <c r="R2624" s="151" t="s">
        <v>15564</v>
      </c>
      <c r="S2624" s="151" t="s">
        <v>15565</v>
      </c>
      <c r="T2624" s="441" t="s">
        <v>15566</v>
      </c>
      <c r="U2624" s="129">
        <v>1.0</v>
      </c>
      <c r="V2624" s="309" t="s">
        <v>15567</v>
      </c>
      <c r="W2624" s="1228"/>
      <c r="X2624" s="2185" t="s">
        <v>7284</v>
      </c>
      <c r="Y2624" s="159"/>
      <c r="Z2624" s="151" t="s">
        <v>947</v>
      </c>
      <c r="AA2624" s="151" t="s">
        <v>15568</v>
      </c>
      <c r="AB2624" s="151" t="s">
        <v>7291</v>
      </c>
      <c r="AC2624" s="151" t="s">
        <v>15569</v>
      </c>
      <c r="AD2624" s="129" t="s">
        <v>15570</v>
      </c>
      <c r="AE2624" s="129" t="s">
        <v>15571</v>
      </c>
      <c r="AF2624" s="161">
        <v>161.0</v>
      </c>
      <c r="AG2624" s="161" t="s">
        <v>138</v>
      </c>
      <c r="AH2624" s="151" t="s">
        <v>138</v>
      </c>
      <c r="AI2624" s="151" t="s">
        <v>2771</v>
      </c>
      <c r="AJ2624" s="501">
        <v>0.02</v>
      </c>
      <c r="AK2624" s="151" t="s">
        <v>135</v>
      </c>
      <c r="AL2624" s="151" t="s">
        <v>186</v>
      </c>
      <c r="AM2624" s="151" t="s">
        <v>137</v>
      </c>
      <c r="AN2624" s="151" t="s">
        <v>138</v>
      </c>
      <c r="AO2624" s="161">
        <v>970.0</v>
      </c>
      <c r="AP2624" s="161">
        <v>1.38</v>
      </c>
      <c r="AQ2624" s="151" t="s">
        <v>722</v>
      </c>
      <c r="AR2624" s="151" t="s">
        <v>15572</v>
      </c>
      <c r="AS2624" s="161">
        <v>0.021</v>
      </c>
      <c r="AT2624" s="151" t="s">
        <v>172</v>
      </c>
      <c r="AU2624" s="151" t="s">
        <v>186</v>
      </c>
      <c r="AV2624" s="151" t="s">
        <v>137</v>
      </c>
      <c r="AW2624" s="1308" t="s">
        <v>15573</v>
      </c>
      <c r="AX2624" s="151" t="s">
        <v>143</v>
      </c>
      <c r="AY2624" s="61" t="str">
        <f>IFERROR(__xludf.DUMMYFUNCTION("vlookup(BB2624,importrange(""https://docs.google.com/spreadsheets/d/1d2vevQ_7D_v35q4wCQ4RpQ_IPoTwEMB9Yp6ymwlPqew/edit?gid=984458430#gid=984458430"", ""'replication success'!A:K""), 11, FAlSE)"),"successful")</f>
        <v>successful</v>
      </c>
      <c r="AZ2624" s="61" t="str">
        <f>IFERROR(__xludf.DUMMYFUNCTION("vlookup(BB2624,importrange(""https://docs.google.com/spreadsheets/d/1d2vevQ_7D_v35q4wCQ4RpQ_IPoTwEMB9Yp6ymwlPqew/edit?gid=984458430#gid=984458430"", ""'replication success'!A:M""), 12, FAlSE)")," We successfully replicated Johnson
 and Goldstein (2003).")</f>
        <v> We successfully replicated Johnson
 and Goldstein (2003).</v>
      </c>
      <c r="BA2624" s="61" t="str">
        <f>IFERROR(__xludf.DUMMYFUNCTION("vlookup(BB2624,importrange(""https://docs.google.com/spreadsheets/d/1d2vevQ_7D_v35q4wCQ4RpQ_IPoTwEMB9Yp6ymwlPqew/edit?gid=984458430#gid=984458430"", ""'replication success'!A:M""), 13, FAlSE)"),"abstract")</f>
        <v>abstract</v>
      </c>
      <c r="BB2624" s="61" t="str">
        <f>IFERROR(__xludf.DUMMYFUNCTION("REGEXREPLACE(G2624, ""_[a-z]{1,2}$"", """")"),"CORE_17")</f>
        <v>CORE_17</v>
      </c>
      <c r="BD2624" s="227" t="s">
        <v>1270</v>
      </c>
    </row>
    <row r="2625">
      <c r="A2625" s="44">
        <v>2625.0</v>
      </c>
      <c r="B2625" s="695" t="s">
        <v>114</v>
      </c>
      <c r="C2625" s="227" t="s">
        <v>115</v>
      </c>
      <c r="D2625" s="227" t="s">
        <v>248</v>
      </c>
      <c r="E2625" s="228"/>
      <c r="F2625" s="695" t="s">
        <v>15574</v>
      </c>
      <c r="G2625" s="234" t="s">
        <v>15575</v>
      </c>
      <c r="H2625" s="235"/>
      <c r="I2625" s="2186">
        <v>45331.0</v>
      </c>
      <c r="J2625" s="698" t="s">
        <v>7279</v>
      </c>
      <c r="K2625" s="695"/>
      <c r="L2625" s="62" t="s">
        <v>15576</v>
      </c>
      <c r="M2625" s="234" t="s">
        <v>15577</v>
      </c>
      <c r="N2625" s="234" t="s">
        <v>15578</v>
      </c>
      <c r="O2625" s="695">
        <v>2.0</v>
      </c>
      <c r="P2625" s="234" t="s">
        <v>15579</v>
      </c>
      <c r="Q2625" s="2187" t="s">
        <v>7284</v>
      </c>
      <c r="R2625" s="234" t="s">
        <v>15564</v>
      </c>
      <c r="S2625" s="234" t="s">
        <v>15565</v>
      </c>
      <c r="T2625" s="2188" t="s">
        <v>15566</v>
      </c>
      <c r="U2625" s="695">
        <v>2.0</v>
      </c>
      <c r="V2625" s="234" t="s">
        <v>15567</v>
      </c>
      <c r="W2625" s="695" t="s">
        <v>1122</v>
      </c>
      <c r="X2625" s="2187" t="s">
        <v>7284</v>
      </c>
      <c r="Y2625" s="235"/>
      <c r="Z2625" s="234" t="s">
        <v>947</v>
      </c>
      <c r="AA2625" s="234" t="s">
        <v>15568</v>
      </c>
      <c r="AB2625" s="234" t="s">
        <v>7291</v>
      </c>
      <c r="AC2625" s="234" t="s">
        <v>15580</v>
      </c>
      <c r="AD2625" s="695" t="s">
        <v>15581</v>
      </c>
      <c r="AE2625" s="695" t="s">
        <v>604</v>
      </c>
      <c r="AF2625" s="698">
        <v>235.0</v>
      </c>
      <c r="AG2625" s="698" t="s">
        <v>15582</v>
      </c>
      <c r="AH2625" s="234" t="s">
        <v>134</v>
      </c>
      <c r="AI2625" s="234" t="s">
        <v>604</v>
      </c>
      <c r="AJ2625" s="1954">
        <v>0.001</v>
      </c>
      <c r="AK2625" s="234" t="s">
        <v>135</v>
      </c>
      <c r="AL2625" s="234" t="s">
        <v>186</v>
      </c>
      <c r="AM2625" s="234" t="s">
        <v>137</v>
      </c>
      <c r="AN2625" s="234" t="s">
        <v>138</v>
      </c>
      <c r="AO2625" s="698">
        <v>1920.0</v>
      </c>
      <c r="AP2625" s="698">
        <v>0.75</v>
      </c>
      <c r="AQ2625" s="234" t="s">
        <v>722</v>
      </c>
      <c r="AR2625" s="234" t="s">
        <v>15583</v>
      </c>
      <c r="AS2625" s="698">
        <v>0.095</v>
      </c>
      <c r="AT2625" s="234" t="s">
        <v>172</v>
      </c>
      <c r="AU2625" s="234" t="s">
        <v>186</v>
      </c>
      <c r="AV2625" s="234" t="s">
        <v>137</v>
      </c>
      <c r="AW2625" s="1957" t="s">
        <v>15573</v>
      </c>
      <c r="AX2625" s="234" t="s">
        <v>143</v>
      </c>
      <c r="AY2625" s="61" t="str">
        <f>IFERROR(__xludf.DUMMYFUNCTION("vlookup(BB2625,importrange(""https://docs.google.com/spreadsheets/d/1d2vevQ_7D_v35q4wCQ4RpQ_IPoTwEMB9Yp6ymwlPqew/edit?gid=984458430#gid=984458430"", ""'replication success'!A:K""), 11, FAlSE)"),"failed")</f>
        <v>failed</v>
      </c>
      <c r="AZ2625" s="61" t="str">
        <f>IFERROR(__xludf.DUMMYFUNCTION("vlookup(BB2625,importrange(""https://docs.google.com/spreadsheets/d/1d2vevQ_7D_v35q4wCQ4RpQ_IPoTwEMB9Yp6ymwlPqew/edit?gid=984458430#gid=984458430"", ""'replication success'!A:M""), 12, FAlSE)"),"We, however, failed to replicate the findings of Johnson et al. (2002)’s study; we did not find evidence for a default effect.")</f>
        <v>We, however, failed to replicate the findings of Johnson et al. (2002)’s study; we did not find evidence for a default effect.</v>
      </c>
      <c r="BA2625" s="61" t="str">
        <f>IFERROR(__xludf.DUMMYFUNCTION("vlookup(BB2625,importrange(""https://docs.google.com/spreadsheets/d/1d2vevQ_7D_v35q4wCQ4RpQ_IPoTwEMB9Yp6ymwlPqew/edit?gid=984458430#gid=984458430"", ""'replication success'!A:M""), 13, FAlSE)"),"abstract")</f>
        <v>abstract</v>
      </c>
      <c r="BB2625" s="61" t="str">
        <f>IFERROR(__xludf.DUMMYFUNCTION("REGEXREPLACE(G2625, ""_[a-z]{1,2}$"", """")"),"CORE_19")</f>
        <v>CORE_19</v>
      </c>
      <c r="BC2625" s="228"/>
      <c r="BD2625" s="227" t="s">
        <v>1270</v>
      </c>
      <c r="BE2625" s="228"/>
      <c r="BF2625" s="228"/>
      <c r="BG2625" s="228"/>
      <c r="BH2625" s="228"/>
      <c r="BI2625" s="228"/>
      <c r="BJ2625" s="228"/>
      <c r="BK2625" s="228"/>
      <c r="BL2625" s="228"/>
      <c r="BM2625" s="228"/>
      <c r="BN2625" s="228"/>
      <c r="BO2625" s="228"/>
      <c r="BP2625" s="228"/>
      <c r="BQ2625" s="228"/>
      <c r="BR2625" s="228"/>
      <c r="BS2625" s="228"/>
      <c r="BT2625" s="228"/>
      <c r="BU2625" s="228"/>
      <c r="BV2625" s="228"/>
      <c r="BW2625" s="228"/>
      <c r="BX2625" s="228"/>
      <c r="BY2625" s="228"/>
      <c r="BZ2625" s="228"/>
      <c r="CA2625" s="228"/>
      <c r="CB2625" s="228"/>
      <c r="CC2625" s="228"/>
      <c r="CD2625" s="228"/>
      <c r="CE2625" s="228"/>
      <c r="CF2625" s="228"/>
      <c r="CG2625" s="228"/>
      <c r="CH2625" s="228"/>
      <c r="CI2625" s="228"/>
      <c r="CJ2625" s="228"/>
      <c r="CK2625" s="228"/>
      <c r="CL2625" s="228"/>
      <c r="CM2625" s="228"/>
      <c r="CN2625" s="228"/>
      <c r="CO2625" s="228"/>
      <c r="CP2625" s="228"/>
      <c r="CQ2625" s="228"/>
      <c r="CR2625" s="228"/>
      <c r="CS2625" s="228"/>
      <c r="CT2625" s="228"/>
      <c r="CU2625" s="228"/>
      <c r="CV2625" s="228"/>
      <c r="CW2625" s="228"/>
      <c r="CX2625" s="228"/>
      <c r="CY2625" s="228"/>
      <c r="CZ2625" s="228"/>
      <c r="DA2625" s="228"/>
      <c r="DB2625" s="228"/>
      <c r="DC2625" s="228"/>
      <c r="DD2625" s="228"/>
      <c r="DE2625" s="228"/>
      <c r="DF2625" s="228"/>
      <c r="DG2625" s="228"/>
      <c r="DH2625" s="228"/>
      <c r="DI2625" s="228"/>
      <c r="DJ2625" s="228"/>
      <c r="DK2625" s="228"/>
      <c r="DL2625" s="228"/>
    </row>
    <row r="2626">
      <c r="A2626" s="44">
        <v>2626.0</v>
      </c>
      <c r="B2626" s="129" t="s">
        <v>114</v>
      </c>
      <c r="C2626" s="62" t="s">
        <v>115</v>
      </c>
      <c r="D2626" s="62" t="s">
        <v>248</v>
      </c>
      <c r="F2626" s="129" t="s">
        <v>15584</v>
      </c>
      <c r="G2626" s="151" t="s">
        <v>15585</v>
      </c>
      <c r="H2626" s="159"/>
      <c r="I2626" s="1542">
        <v>45331.0</v>
      </c>
      <c r="J2626" s="153">
        <v>45828.0</v>
      </c>
      <c r="K2626" s="68"/>
      <c r="L2626" s="129" t="s">
        <v>15586</v>
      </c>
      <c r="M2626" s="151" t="s">
        <v>15587</v>
      </c>
      <c r="N2626" s="151" t="s">
        <v>15588</v>
      </c>
      <c r="O2626" s="129">
        <v>1.0</v>
      </c>
      <c r="P2626" s="309" t="s">
        <v>15589</v>
      </c>
      <c r="Q2626" s="2184" t="s">
        <v>7284</v>
      </c>
      <c r="R2626" s="151" t="s">
        <v>15590</v>
      </c>
      <c r="S2626" s="151" t="s">
        <v>15591</v>
      </c>
      <c r="T2626" s="68"/>
      <c r="U2626" s="129" t="s">
        <v>4092</v>
      </c>
      <c r="V2626" s="309" t="s">
        <v>15592</v>
      </c>
      <c r="W2626" s="1080" t="s">
        <v>209</v>
      </c>
      <c r="X2626" s="2185" t="s">
        <v>7284</v>
      </c>
      <c r="Y2626" s="159"/>
      <c r="Z2626" s="151" t="s">
        <v>947</v>
      </c>
      <c r="AA2626" s="151" t="s">
        <v>15593</v>
      </c>
      <c r="AB2626" s="151" t="s">
        <v>7291</v>
      </c>
      <c r="AC2626" s="151" t="s">
        <v>15594</v>
      </c>
      <c r="AD2626" s="129" t="s">
        <v>15595</v>
      </c>
      <c r="AE2626" s="129" t="s">
        <v>2771</v>
      </c>
      <c r="AF2626" s="161">
        <v>60.0</v>
      </c>
      <c r="AG2626" s="161" t="s">
        <v>15596</v>
      </c>
      <c r="AH2626" s="151" t="s">
        <v>134</v>
      </c>
      <c r="AI2626" s="151" t="s">
        <v>2771</v>
      </c>
      <c r="AJ2626" s="501">
        <v>0.001</v>
      </c>
      <c r="AK2626" s="151" t="s">
        <v>135</v>
      </c>
      <c r="AL2626" s="151" t="s">
        <v>186</v>
      </c>
      <c r="AM2626" s="151" t="s">
        <v>137</v>
      </c>
      <c r="AN2626" s="151" t="s">
        <v>138</v>
      </c>
      <c r="AO2626" s="161">
        <v>555.0</v>
      </c>
      <c r="AP2626" s="161" t="s">
        <v>15597</v>
      </c>
      <c r="AQ2626" s="151" t="s">
        <v>134</v>
      </c>
      <c r="AR2626" s="151" t="s">
        <v>15598</v>
      </c>
      <c r="AS2626" s="161">
        <v>0.001</v>
      </c>
      <c r="AT2626" s="151" t="s">
        <v>135</v>
      </c>
      <c r="AU2626" s="151" t="s">
        <v>186</v>
      </c>
      <c r="AV2626" s="151" t="s">
        <v>137</v>
      </c>
      <c r="AW2626" s="1308" t="s">
        <v>15599</v>
      </c>
      <c r="AX2626" s="151" t="s">
        <v>143</v>
      </c>
      <c r="AY2626" s="61" t="str">
        <f>IFERROR(__xludf.DUMMYFUNCTION("vlookup(BB2626,importrange(""https://docs.google.com/spreadsheets/d/1d2vevQ_7D_v35q4wCQ4RpQ_IPoTwEMB9Yp6ymwlPqew/edit?gid=984458430#gid=984458430"", ""'replication success'!A:K""), 11, FAlSE)"),"mixed")</f>
        <v>mixed</v>
      </c>
      <c r="AZ2626" s="61" t="str">
        <f>IFERROR(__xludf.DUMMYFUNCTION("vlookup(BB2626,importrange(""https://docs.google.com/spreadsheets/d/1d2vevQ_7D_v35q4wCQ4RpQ_IPoTwEMB9Yp6ymwlPqew/edit?gid=984458430#gid=984458430"",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2626" s="61" t="str">
        <f>IFERROR(__xludf.DUMMYFUNCTION("vlookup(BB2626,importrange(""https://docs.google.com/spreadsheets/d/1d2vevQ_7D_v35q4wCQ4RpQ_IPoTwEMB9Yp6ymwlPqew/edit?gid=984458430#gid=984458430"", ""'replication success'!A:M""), 13, FAlSE)"),"abstract")</f>
        <v>abstract</v>
      </c>
      <c r="BB2626" s="61" t="str">
        <f>IFERROR(__xludf.DUMMYFUNCTION("REGEXREPLACE(G2626, ""_[a-z]{1,2}$"", """")"),"CORE_27")</f>
        <v>CORE_27</v>
      </c>
      <c r="BD2626" s="227" t="s">
        <v>1270</v>
      </c>
    </row>
    <row r="2627">
      <c r="A2627" s="44">
        <v>2627.0</v>
      </c>
      <c r="B2627" s="129" t="s">
        <v>114</v>
      </c>
      <c r="C2627" s="62" t="s">
        <v>115</v>
      </c>
      <c r="D2627" s="62" t="s">
        <v>248</v>
      </c>
      <c r="F2627" s="129" t="s">
        <v>15584</v>
      </c>
      <c r="G2627" s="151" t="s">
        <v>15600</v>
      </c>
      <c r="H2627" s="159"/>
      <c r="I2627" s="1542">
        <v>45331.0</v>
      </c>
      <c r="J2627" s="153">
        <v>45828.0</v>
      </c>
      <c r="K2627" s="68"/>
      <c r="L2627" s="129" t="s">
        <v>15601</v>
      </c>
      <c r="M2627" s="151" t="s">
        <v>15587</v>
      </c>
      <c r="N2627" s="151" t="s">
        <v>15588</v>
      </c>
      <c r="O2627" s="129">
        <v>3.0</v>
      </c>
      <c r="P2627" s="309" t="s">
        <v>15589</v>
      </c>
      <c r="Q2627" s="2184" t="s">
        <v>7284</v>
      </c>
      <c r="R2627" s="151" t="s">
        <v>15590</v>
      </c>
      <c r="S2627" s="151" t="s">
        <v>15591</v>
      </c>
      <c r="T2627" s="68"/>
      <c r="U2627" s="129">
        <v>3.0</v>
      </c>
      <c r="V2627" s="309" t="s">
        <v>15592</v>
      </c>
      <c r="W2627" s="1080" t="s">
        <v>209</v>
      </c>
      <c r="X2627" s="2185" t="s">
        <v>7284</v>
      </c>
      <c r="Y2627" s="159"/>
      <c r="Z2627" s="151" t="s">
        <v>947</v>
      </c>
      <c r="AA2627" s="151" t="s">
        <v>15593</v>
      </c>
      <c r="AB2627" s="151" t="s">
        <v>7291</v>
      </c>
      <c r="AC2627" s="151" t="s">
        <v>15594</v>
      </c>
      <c r="AD2627" s="129" t="s">
        <v>15602</v>
      </c>
      <c r="AE2627" s="129" t="s">
        <v>496</v>
      </c>
      <c r="AF2627" s="161">
        <v>80.0</v>
      </c>
      <c r="AG2627" s="161" t="s">
        <v>15603</v>
      </c>
      <c r="AH2627" s="151" t="s">
        <v>134</v>
      </c>
      <c r="AI2627" s="151" t="s">
        <v>496</v>
      </c>
      <c r="AJ2627" s="501">
        <v>1.0E-4</v>
      </c>
      <c r="AK2627" s="151" t="s">
        <v>135</v>
      </c>
      <c r="AL2627" s="151" t="s">
        <v>186</v>
      </c>
      <c r="AM2627" s="151" t="s">
        <v>137</v>
      </c>
      <c r="AN2627" s="151" t="s">
        <v>138</v>
      </c>
      <c r="AO2627" s="161">
        <v>493.0</v>
      </c>
      <c r="AP2627" s="161" t="s">
        <v>15604</v>
      </c>
      <c r="AQ2627" s="151" t="s">
        <v>134</v>
      </c>
      <c r="AR2627" s="151" t="s">
        <v>624</v>
      </c>
      <c r="AS2627" s="161">
        <v>0.001</v>
      </c>
      <c r="AT2627" s="151" t="s">
        <v>135</v>
      </c>
      <c r="AU2627" s="151" t="s">
        <v>186</v>
      </c>
      <c r="AV2627" s="151" t="s">
        <v>137</v>
      </c>
      <c r="AW2627" s="1308" t="s">
        <v>15599</v>
      </c>
      <c r="AX2627" s="151" t="s">
        <v>143</v>
      </c>
      <c r="AY2627" s="61" t="str">
        <f>IFERROR(__xludf.DUMMYFUNCTION("vlookup(BB2627,importrange(""https://docs.google.com/spreadsheets/d/1d2vevQ_7D_v35q4wCQ4RpQ_IPoTwEMB9Yp6ymwlPqew/edit?gid=984458430#gid=984458430"", ""'replication success'!A:K""), 11, FAlSE)"),"mixed")</f>
        <v>mixed</v>
      </c>
      <c r="AZ2627" s="61" t="str">
        <f>IFERROR(__xludf.DUMMYFUNCTION("vlookup(BB2627,importrange(""https://docs.google.com/spreadsheets/d/1d2vevQ_7D_v35q4wCQ4RpQ_IPoTwEMB9Yp6ymwlPqew/edit?gid=984458430#gid=984458430"",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2627" s="61" t="str">
        <f>IFERROR(__xludf.DUMMYFUNCTION("vlookup(BB2627,importrange(""https://docs.google.com/spreadsheets/d/1d2vevQ_7D_v35q4wCQ4RpQ_IPoTwEMB9Yp6ymwlPqew/edit?gid=984458430#gid=984458430"", ""'replication success'!A:M""), 13, FAlSE)"),"abstract")</f>
        <v>abstract</v>
      </c>
      <c r="BB2627" s="61" t="str">
        <f>IFERROR(__xludf.DUMMYFUNCTION("REGEXREPLACE(G2627, ""_[a-z]{1,2}$"", """")"),"CORE_27")</f>
        <v>CORE_27</v>
      </c>
      <c r="BD2627" s="227" t="s">
        <v>1270</v>
      </c>
    </row>
    <row r="2628">
      <c r="A2628" s="44">
        <v>2628.0</v>
      </c>
      <c r="B2628" s="129" t="s">
        <v>152</v>
      </c>
      <c r="C2628" s="62" t="s">
        <v>115</v>
      </c>
      <c r="D2628" s="62" t="s">
        <v>248</v>
      </c>
      <c r="F2628" s="129" t="s">
        <v>15584</v>
      </c>
      <c r="G2628" s="151" t="s">
        <v>15605</v>
      </c>
      <c r="H2628" s="159"/>
      <c r="I2628" s="1542">
        <v>45331.0</v>
      </c>
      <c r="J2628" s="153">
        <v>45828.0</v>
      </c>
      <c r="K2628" s="68"/>
      <c r="L2628" s="129" t="s">
        <v>15606</v>
      </c>
      <c r="M2628" s="151" t="s">
        <v>15587</v>
      </c>
      <c r="N2628" s="151" t="s">
        <v>15588</v>
      </c>
      <c r="O2628" s="129">
        <v>4.0</v>
      </c>
      <c r="P2628" s="309" t="s">
        <v>15589</v>
      </c>
      <c r="Q2628" s="2184" t="s">
        <v>7284</v>
      </c>
      <c r="R2628" s="151" t="s">
        <v>15590</v>
      </c>
      <c r="S2628" s="151" t="s">
        <v>15591</v>
      </c>
      <c r="T2628" s="68"/>
      <c r="U2628" s="129">
        <v>4.0</v>
      </c>
      <c r="V2628" s="309" t="s">
        <v>15592</v>
      </c>
      <c r="W2628" s="1080" t="s">
        <v>209</v>
      </c>
      <c r="X2628" s="2185" t="s">
        <v>7284</v>
      </c>
      <c r="Y2628" s="159"/>
      <c r="Z2628" s="151" t="s">
        <v>947</v>
      </c>
      <c r="AA2628" s="151" t="s">
        <v>15593</v>
      </c>
      <c r="AB2628" s="151" t="s">
        <v>7291</v>
      </c>
      <c r="AC2628" s="151" t="s">
        <v>15594</v>
      </c>
      <c r="AD2628" s="129" t="s">
        <v>15607</v>
      </c>
      <c r="AE2628" s="129" t="s">
        <v>496</v>
      </c>
      <c r="AF2628" s="161">
        <v>80.0</v>
      </c>
      <c r="AG2628" s="161" t="s">
        <v>15608</v>
      </c>
      <c r="AH2628" s="151" t="s">
        <v>134</v>
      </c>
      <c r="AI2628" s="151" t="s">
        <v>496</v>
      </c>
      <c r="AJ2628" s="501">
        <v>0.02</v>
      </c>
      <c r="AK2628" s="151" t="s">
        <v>135</v>
      </c>
      <c r="AL2628" s="151" t="s">
        <v>186</v>
      </c>
      <c r="AM2628" s="151" t="s">
        <v>137</v>
      </c>
      <c r="AN2628" s="151" t="s">
        <v>138</v>
      </c>
      <c r="AO2628" s="161">
        <v>248.0</v>
      </c>
      <c r="AP2628" s="161" t="s">
        <v>15609</v>
      </c>
      <c r="AQ2628" s="151" t="s">
        <v>134</v>
      </c>
      <c r="AR2628" s="151" t="s">
        <v>15610</v>
      </c>
      <c r="AS2628" s="161">
        <v>0.1</v>
      </c>
      <c r="AT2628" s="151" t="s">
        <v>172</v>
      </c>
      <c r="AU2628" s="151" t="s">
        <v>186</v>
      </c>
      <c r="AV2628" s="151" t="s">
        <v>137</v>
      </c>
      <c r="AW2628" s="1308" t="s">
        <v>15599</v>
      </c>
      <c r="AX2628" s="151" t="s">
        <v>143</v>
      </c>
      <c r="AY2628" s="61" t="str">
        <f>IFERROR(__xludf.DUMMYFUNCTION("vlookup(BB2628,importrange(""https://docs.google.com/spreadsheets/d/1d2vevQ_7D_v35q4wCQ4RpQ_IPoTwEMB9Yp6ymwlPqew/edit?gid=984458430#gid=984458430"", ""'replication success'!A:K""), 11, FAlSE)"),"mixed")</f>
        <v>mixed</v>
      </c>
      <c r="AZ2628" s="61" t="str">
        <f>IFERROR(__xludf.DUMMYFUNCTION("vlookup(BB2628,importrange(""https://docs.google.com/spreadsheets/d/1d2vevQ_7D_v35q4wCQ4RpQ_IPoTwEMB9Yp6ymwlPqew/edit?gid=984458430#gid=984458430"",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2628" s="61" t="str">
        <f>IFERROR(__xludf.DUMMYFUNCTION("vlookup(BB2628,importrange(""https://docs.google.com/spreadsheets/d/1d2vevQ_7D_v35q4wCQ4RpQ_IPoTwEMB9Yp6ymwlPqew/edit?gid=984458430#gid=984458430"", ""'replication success'!A:M""), 13, FAlSE)"),"abstract")</f>
        <v>abstract</v>
      </c>
      <c r="BB2628" s="61" t="str">
        <f>IFERROR(__xludf.DUMMYFUNCTION("REGEXREPLACE(G2628, ""_[a-z]{1,2}$"", """")"),"CORE_27")</f>
        <v>CORE_27</v>
      </c>
      <c r="BD2628" s="62" t="s">
        <v>1270</v>
      </c>
    </row>
    <row r="2629">
      <c r="A2629" s="44">
        <v>2629.0</v>
      </c>
      <c r="B2629" s="129" t="s">
        <v>114</v>
      </c>
      <c r="C2629" s="62" t="s">
        <v>115</v>
      </c>
      <c r="D2629" s="62" t="s">
        <v>248</v>
      </c>
      <c r="F2629" s="129" t="s">
        <v>15584</v>
      </c>
      <c r="G2629" s="151" t="s">
        <v>15611</v>
      </c>
      <c r="H2629" s="159"/>
      <c r="I2629" s="1542">
        <v>45331.0</v>
      </c>
      <c r="J2629" s="153">
        <v>45828.0</v>
      </c>
      <c r="K2629" s="68"/>
      <c r="L2629" s="129" t="s">
        <v>15612</v>
      </c>
      <c r="M2629" s="151" t="s">
        <v>15587</v>
      </c>
      <c r="N2629" s="151" t="s">
        <v>15588</v>
      </c>
      <c r="O2629" s="129">
        <v>5.0</v>
      </c>
      <c r="P2629" s="309" t="s">
        <v>15589</v>
      </c>
      <c r="Q2629" s="2184" t="s">
        <v>7284</v>
      </c>
      <c r="R2629" s="151" t="s">
        <v>15590</v>
      </c>
      <c r="S2629" s="151" t="s">
        <v>15591</v>
      </c>
      <c r="T2629" s="68"/>
      <c r="U2629" s="129">
        <v>5.0</v>
      </c>
      <c r="V2629" s="309" t="s">
        <v>15592</v>
      </c>
      <c r="W2629" s="1080" t="s">
        <v>209</v>
      </c>
      <c r="X2629" s="2185" t="s">
        <v>7284</v>
      </c>
      <c r="Y2629" s="159"/>
      <c r="Z2629" s="151" t="s">
        <v>947</v>
      </c>
      <c r="AA2629" s="151" t="s">
        <v>15593</v>
      </c>
      <c r="AB2629" s="151" t="s">
        <v>7291</v>
      </c>
      <c r="AC2629" s="151" t="s">
        <v>15594</v>
      </c>
      <c r="AD2629" s="129" t="s">
        <v>15613</v>
      </c>
      <c r="AE2629" s="129" t="s">
        <v>882</v>
      </c>
      <c r="AF2629" s="161">
        <v>32.0</v>
      </c>
      <c r="AG2629" s="161" t="s">
        <v>15614</v>
      </c>
      <c r="AH2629" s="151" t="s">
        <v>134</v>
      </c>
      <c r="AI2629" s="151" t="s">
        <v>882</v>
      </c>
      <c r="AJ2629" s="501">
        <v>0.01</v>
      </c>
      <c r="AK2629" s="151" t="s">
        <v>135</v>
      </c>
      <c r="AL2629" s="151" t="s">
        <v>186</v>
      </c>
      <c r="AM2629" s="151" t="s">
        <v>137</v>
      </c>
      <c r="AN2629" s="151" t="s">
        <v>138</v>
      </c>
      <c r="AO2629" s="336">
        <v>265.0</v>
      </c>
      <c r="AP2629" s="68" t="s">
        <v>15615</v>
      </c>
      <c r="AQ2629" s="68" t="s">
        <v>134</v>
      </c>
      <c r="AR2629" s="68" t="s">
        <v>1042</v>
      </c>
      <c r="AS2629" s="336">
        <v>0.951</v>
      </c>
      <c r="AT2629" s="68" t="s">
        <v>172</v>
      </c>
      <c r="AU2629" s="151" t="s">
        <v>186</v>
      </c>
      <c r="AV2629" s="151" t="s">
        <v>137</v>
      </c>
      <c r="AW2629" s="1308" t="s">
        <v>15599</v>
      </c>
      <c r="AX2629" s="151" t="s">
        <v>143</v>
      </c>
      <c r="AY2629" s="61" t="str">
        <f>IFERROR(__xludf.DUMMYFUNCTION("vlookup(BB2629,importrange(""https://docs.google.com/spreadsheets/d/1d2vevQ_7D_v35q4wCQ4RpQ_IPoTwEMB9Yp6ymwlPqew/edit?gid=984458430#gid=984458430"", ""'replication success'!A:K""), 11, FAlSE)"),"mixed")</f>
        <v>mixed</v>
      </c>
      <c r="AZ2629" s="61" t="str">
        <f>IFERROR(__xludf.DUMMYFUNCTION("vlookup(BB2629,importrange(""https://docs.google.com/spreadsheets/d/1d2vevQ_7D_v35q4wCQ4RpQ_IPoTwEMB9Yp6ymwlPqew/edit?gid=984458430#gid=984458430"",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2629" s="61" t="str">
        <f>IFERROR(__xludf.DUMMYFUNCTION("vlookup(BB2629,importrange(""https://docs.google.com/spreadsheets/d/1d2vevQ_7D_v35q4wCQ4RpQ_IPoTwEMB9Yp6ymwlPqew/edit?gid=984458430#gid=984458430"", ""'replication success'!A:M""), 13, FAlSE)"),"abstract")</f>
        <v>abstract</v>
      </c>
      <c r="BB2629" s="61" t="str">
        <f>IFERROR(__xludf.DUMMYFUNCTION("REGEXREPLACE(G2629, ""_[a-z]{1,2}$"", """")"),"CORE_27")</f>
        <v>CORE_27</v>
      </c>
      <c r="BD2629" s="62" t="s">
        <v>1270</v>
      </c>
    </row>
    <row r="2630">
      <c r="A2630" s="44">
        <v>2630.0</v>
      </c>
      <c r="B2630" s="129" t="s">
        <v>523</v>
      </c>
      <c r="C2630" s="62" t="s">
        <v>115</v>
      </c>
      <c r="D2630" s="62" t="s">
        <v>248</v>
      </c>
      <c r="F2630" s="129" t="s">
        <v>15616</v>
      </c>
      <c r="G2630" s="151" t="s">
        <v>15617</v>
      </c>
      <c r="H2630" s="159"/>
      <c r="I2630" s="1542">
        <v>45331.0</v>
      </c>
      <c r="J2630" s="152"/>
      <c r="K2630" s="68"/>
      <c r="L2630" s="68"/>
      <c r="M2630" s="151" t="s">
        <v>15618</v>
      </c>
      <c r="N2630" s="151" t="s">
        <v>15619</v>
      </c>
      <c r="O2630" s="68"/>
      <c r="P2630" s="309" t="s">
        <v>15620</v>
      </c>
      <c r="Q2630" s="2184" t="s">
        <v>7284</v>
      </c>
      <c r="R2630" s="151" t="s">
        <v>15621</v>
      </c>
      <c r="S2630" s="151" t="s">
        <v>15622</v>
      </c>
      <c r="T2630" s="68"/>
      <c r="U2630" s="68"/>
      <c r="V2630" s="309" t="s">
        <v>15623</v>
      </c>
      <c r="W2630" s="1228"/>
      <c r="X2630" s="2185" t="s">
        <v>7284</v>
      </c>
      <c r="Y2630" s="159"/>
      <c r="Z2630" s="151" t="s">
        <v>947</v>
      </c>
      <c r="AA2630" s="151" t="s">
        <v>15624</v>
      </c>
      <c r="AB2630" s="151" t="s">
        <v>7291</v>
      </c>
      <c r="AC2630" s="151" t="s">
        <v>15625</v>
      </c>
      <c r="AD2630" s="129" t="s">
        <v>15626</v>
      </c>
      <c r="AE2630" s="129" t="s">
        <v>496</v>
      </c>
      <c r="AF2630" s="161">
        <v>80.0</v>
      </c>
      <c r="AG2630" s="161" t="s">
        <v>15627</v>
      </c>
      <c r="AH2630" s="151" t="s">
        <v>134</v>
      </c>
      <c r="AI2630" s="151" t="s">
        <v>496</v>
      </c>
      <c r="AJ2630" s="501">
        <v>1.0E-4</v>
      </c>
      <c r="AK2630" s="151" t="s">
        <v>135</v>
      </c>
      <c r="AL2630" s="151" t="s">
        <v>186</v>
      </c>
      <c r="AM2630" s="151" t="s">
        <v>137</v>
      </c>
      <c r="AN2630" s="151" t="s">
        <v>138</v>
      </c>
      <c r="AO2630" s="161">
        <v>329.0</v>
      </c>
      <c r="AP2630" s="161" t="s">
        <v>15628</v>
      </c>
      <c r="AQ2630" s="151" t="s">
        <v>134</v>
      </c>
      <c r="AR2630" s="151" t="s">
        <v>15629</v>
      </c>
      <c r="AS2630" s="161" t="s">
        <v>138</v>
      </c>
      <c r="AT2630" s="151" t="s">
        <v>172</v>
      </c>
      <c r="AU2630" s="151" t="s">
        <v>186</v>
      </c>
      <c r="AV2630" s="151" t="s">
        <v>137</v>
      </c>
      <c r="AW2630" s="1308" t="s">
        <v>15630</v>
      </c>
      <c r="AX2630" s="151" t="s">
        <v>143</v>
      </c>
      <c r="AY2630" s="61" t="str">
        <f>IFERROR(__xludf.DUMMYFUNCTION("vlookup(BB2630,importrange(""https://docs.google.com/spreadsheets/d/1d2vevQ_7D_v35q4wCQ4RpQ_IPoTwEMB9Yp6ymwlPqew/edit?gid=984458430#gid=984458430"", ""'replication success'!A:K""), 11, FAlSE)"),"successful")</f>
        <v>successful</v>
      </c>
      <c r="AZ2630" s="61" t="str">
        <f>IFERROR(__xludf.DUMMYFUNCTION("vlookup(BB2630,importrange(""https://docs.google.com/spreadsheets/d/1d2vevQ_7D_v35q4wCQ4RpQ_IPoTwEMB9Yp6ymwlPqew/edit?gid=984458430#gid=984458430"", ""'replication success'!A:M""), 12, FAlSE)"),"Thirty-five years later, the
 better-than-average effect appears to remain robust. ")</f>
        <v>Thirty-five years later, the
 better-than-average effect appears to remain robust. </v>
      </c>
      <c r="BA2630" s="61" t="str">
        <f>IFERROR(__xludf.DUMMYFUNCTION("vlookup(BB2630,importrange(""https://docs.google.com/spreadsheets/d/1d2vevQ_7D_v35q4wCQ4RpQ_IPoTwEMB9Yp6ymwlPqew/edit?gid=984458430#gid=984458430"", ""'replication success'!A:M""), 13, FAlSE)"),"abstract")</f>
        <v>abstract</v>
      </c>
      <c r="BB2630" s="61" t="str">
        <f>IFERROR(__xludf.DUMMYFUNCTION("REGEXREPLACE(G2630, ""_[a-z]{1,2}$"", """")"),"CORE_37")</f>
        <v>CORE_37</v>
      </c>
      <c r="BD2630" s="62" t="s">
        <v>7302</v>
      </c>
    </row>
    <row r="2631">
      <c r="A2631" s="44">
        <v>2631.0</v>
      </c>
      <c r="B2631" s="129" t="s">
        <v>523</v>
      </c>
      <c r="C2631" s="62" t="s">
        <v>115</v>
      </c>
      <c r="D2631" s="62" t="s">
        <v>248</v>
      </c>
      <c r="F2631" s="129" t="s">
        <v>15616</v>
      </c>
      <c r="G2631" s="151" t="s">
        <v>15631</v>
      </c>
      <c r="H2631" s="159"/>
      <c r="I2631" s="1542">
        <v>45331.0</v>
      </c>
      <c r="J2631" s="152"/>
      <c r="K2631" s="68"/>
      <c r="L2631" s="68"/>
      <c r="M2631" s="151" t="s">
        <v>15618</v>
      </c>
      <c r="N2631" s="151" t="s">
        <v>15619</v>
      </c>
      <c r="O2631" s="68"/>
      <c r="P2631" s="309" t="s">
        <v>15620</v>
      </c>
      <c r="Q2631" s="2184" t="s">
        <v>7284</v>
      </c>
      <c r="R2631" s="151" t="s">
        <v>15621</v>
      </c>
      <c r="S2631" s="151" t="s">
        <v>15622</v>
      </c>
      <c r="T2631" s="68"/>
      <c r="U2631" s="68"/>
      <c r="V2631" s="309" t="s">
        <v>15623</v>
      </c>
      <c r="W2631" s="1228"/>
      <c r="X2631" s="2185" t="s">
        <v>7284</v>
      </c>
      <c r="Y2631" s="159"/>
      <c r="Z2631" s="151" t="s">
        <v>947</v>
      </c>
      <c r="AA2631" s="151" t="s">
        <v>15624</v>
      </c>
      <c r="AB2631" s="151" t="s">
        <v>7291</v>
      </c>
      <c r="AC2631" s="151" t="s">
        <v>15625</v>
      </c>
      <c r="AD2631" s="129" t="s">
        <v>15632</v>
      </c>
      <c r="AE2631" s="129" t="s">
        <v>496</v>
      </c>
      <c r="AF2631" s="161">
        <v>84.0</v>
      </c>
      <c r="AG2631" s="161" t="s">
        <v>15633</v>
      </c>
      <c r="AH2631" s="151" t="s">
        <v>134</v>
      </c>
      <c r="AI2631" s="151" t="s">
        <v>496</v>
      </c>
      <c r="AJ2631" s="501">
        <v>0.02</v>
      </c>
      <c r="AK2631" s="151" t="s">
        <v>172</v>
      </c>
      <c r="AL2631" s="151" t="s">
        <v>186</v>
      </c>
      <c r="AM2631" s="151" t="s">
        <v>137</v>
      </c>
      <c r="AN2631" s="151" t="s">
        <v>138</v>
      </c>
      <c r="AO2631" s="161">
        <v>341.0</v>
      </c>
      <c r="AP2631" s="161" t="s">
        <v>15634</v>
      </c>
      <c r="AQ2631" s="151" t="s">
        <v>134</v>
      </c>
      <c r="AR2631" s="151" t="s">
        <v>15635</v>
      </c>
      <c r="AS2631" s="161" t="s">
        <v>138</v>
      </c>
      <c r="AT2631" s="151" t="s">
        <v>172</v>
      </c>
      <c r="AU2631" s="151" t="s">
        <v>186</v>
      </c>
      <c r="AV2631" s="151" t="s">
        <v>137</v>
      </c>
      <c r="AW2631" s="1308" t="s">
        <v>15630</v>
      </c>
      <c r="AX2631" s="151" t="s">
        <v>143</v>
      </c>
      <c r="AY2631" s="61" t="str">
        <f>IFERROR(__xludf.DUMMYFUNCTION("vlookup(BB2631,importrange(""https://docs.google.com/spreadsheets/d/1d2vevQ_7D_v35q4wCQ4RpQ_IPoTwEMB9Yp6ymwlPqew/edit?gid=984458430#gid=984458430"", ""'replication success'!A:K""), 11, FAlSE)"),"successful")</f>
        <v>successful</v>
      </c>
      <c r="AZ2631" s="61" t="str">
        <f>IFERROR(__xludf.DUMMYFUNCTION("vlookup(BB2631,importrange(""https://docs.google.com/spreadsheets/d/1d2vevQ_7D_v35q4wCQ4RpQ_IPoTwEMB9Yp6ymwlPqew/edit?gid=984458430#gid=984458430"", ""'replication success'!A:M""), 12, FAlSE)"),"Thirty-five years later, the
 better-than-average effect appears to remain robust. ")</f>
        <v>Thirty-five years later, the
 better-than-average effect appears to remain robust. </v>
      </c>
      <c r="BA2631" s="61" t="str">
        <f>IFERROR(__xludf.DUMMYFUNCTION("vlookup(BB2631,importrange(""https://docs.google.com/spreadsheets/d/1d2vevQ_7D_v35q4wCQ4RpQ_IPoTwEMB9Yp6ymwlPqew/edit?gid=984458430#gid=984458430"", ""'replication success'!A:M""), 13, FAlSE)"),"abstract")</f>
        <v>abstract</v>
      </c>
      <c r="BB2631" s="61" t="str">
        <f>IFERROR(__xludf.DUMMYFUNCTION("REGEXREPLACE(G2631, ""_[a-z]{1,2}$"", """")"),"CORE_37")</f>
        <v>CORE_37</v>
      </c>
      <c r="BD2631" s="62" t="s">
        <v>7302</v>
      </c>
    </row>
    <row r="2632">
      <c r="A2632" s="44">
        <v>2632.0</v>
      </c>
      <c r="B2632" s="295" t="s">
        <v>114</v>
      </c>
      <c r="C2632" s="287" t="s">
        <v>115</v>
      </c>
      <c r="D2632" s="287" t="s">
        <v>248</v>
      </c>
      <c r="E2632" s="308"/>
      <c r="F2632" s="295" t="s">
        <v>15616</v>
      </c>
      <c r="G2632" s="303" t="s">
        <v>15636</v>
      </c>
      <c r="H2632" s="290"/>
      <c r="I2632" s="2189">
        <v>45331.0</v>
      </c>
      <c r="J2632" s="153">
        <v>45828.0</v>
      </c>
      <c r="K2632" s="305"/>
      <c r="L2632" s="295" t="s">
        <v>15637</v>
      </c>
      <c r="M2632" s="303" t="s">
        <v>15618</v>
      </c>
      <c r="N2632" s="303" t="s">
        <v>15619</v>
      </c>
      <c r="O2632" s="295">
        <v>1.0</v>
      </c>
      <c r="P2632" s="303" t="s">
        <v>15620</v>
      </c>
      <c r="Q2632" s="2190" t="s">
        <v>7284</v>
      </c>
      <c r="R2632" s="303" t="s">
        <v>15621</v>
      </c>
      <c r="S2632" s="303" t="s">
        <v>15622</v>
      </c>
      <c r="T2632" s="305"/>
      <c r="U2632" s="295">
        <v>1.0</v>
      </c>
      <c r="V2632" s="303" t="s">
        <v>15623</v>
      </c>
      <c r="W2632" s="695" t="s">
        <v>1122</v>
      </c>
      <c r="X2632" s="2190" t="s">
        <v>7284</v>
      </c>
      <c r="Y2632" s="290"/>
      <c r="Z2632" s="303" t="s">
        <v>947</v>
      </c>
      <c r="AA2632" s="303" t="s">
        <v>15624</v>
      </c>
      <c r="AB2632" s="303" t="s">
        <v>7291</v>
      </c>
      <c r="AC2632" s="303" t="s">
        <v>15625</v>
      </c>
      <c r="AD2632" s="295" t="s">
        <v>15638</v>
      </c>
      <c r="AE2632" s="295" t="s">
        <v>496</v>
      </c>
      <c r="AF2632" s="1813">
        <v>88.0</v>
      </c>
      <c r="AG2632" s="1813" t="s">
        <v>15639</v>
      </c>
      <c r="AH2632" s="303" t="s">
        <v>134</v>
      </c>
      <c r="AI2632" s="303" t="s">
        <v>496</v>
      </c>
      <c r="AJ2632" s="1799">
        <v>1.0E-4</v>
      </c>
      <c r="AK2632" s="303" t="s">
        <v>135</v>
      </c>
      <c r="AL2632" s="303" t="s">
        <v>186</v>
      </c>
      <c r="AM2632" s="303" t="s">
        <v>137</v>
      </c>
      <c r="AN2632" s="303" t="s">
        <v>138</v>
      </c>
      <c r="AO2632" s="1813">
        <v>670.0</v>
      </c>
      <c r="AP2632" s="1813" t="s">
        <v>15640</v>
      </c>
      <c r="AQ2632" s="303" t="s">
        <v>134</v>
      </c>
      <c r="AR2632" s="303" t="s">
        <v>15641</v>
      </c>
      <c r="AS2632" s="1813" t="s">
        <v>138</v>
      </c>
      <c r="AT2632" s="1813" t="s">
        <v>138</v>
      </c>
      <c r="AU2632" s="303" t="s">
        <v>186</v>
      </c>
      <c r="AV2632" s="303" t="s">
        <v>137</v>
      </c>
      <c r="AW2632" s="1814" t="s">
        <v>15630</v>
      </c>
      <c r="AX2632" s="303" t="s">
        <v>143</v>
      </c>
      <c r="AY2632" s="61" t="str">
        <f>IFERROR(__xludf.DUMMYFUNCTION("vlookup(BB2632,importrange(""https://docs.google.com/spreadsheets/d/1d2vevQ_7D_v35q4wCQ4RpQ_IPoTwEMB9Yp6ymwlPqew/edit?gid=984458430#gid=984458430"", ""'replication success'!A:K""), 11, FAlSE)"),"successful")</f>
        <v>successful</v>
      </c>
      <c r="AZ2632" s="61" t="str">
        <f>IFERROR(__xludf.DUMMYFUNCTION("vlookup(BB2632,importrange(""https://docs.google.com/spreadsheets/d/1d2vevQ_7D_v35q4wCQ4RpQ_IPoTwEMB9Yp6ymwlPqew/edit?gid=984458430#gid=984458430"", ""'replication success'!A:M""), 12, FAlSE)"),"Thirty-five years later, the
 better-than-average effect appears to remain robust. ")</f>
        <v>Thirty-five years later, the
 better-than-average effect appears to remain robust. </v>
      </c>
      <c r="BA2632" s="61" t="str">
        <f>IFERROR(__xludf.DUMMYFUNCTION("vlookup(BB2632,importrange(""https://docs.google.com/spreadsheets/d/1d2vevQ_7D_v35q4wCQ4RpQ_IPoTwEMB9Yp6ymwlPqew/edit?gid=984458430#gid=984458430"", ""'replication success'!A:M""), 13, FAlSE)"),"abstract")</f>
        <v>abstract</v>
      </c>
      <c r="BB2632" s="61" t="str">
        <f>IFERROR(__xludf.DUMMYFUNCTION("REGEXREPLACE(G2632, ""_[a-z]{1,2}$"", """")"),"CORE_37")</f>
        <v>CORE_37</v>
      </c>
      <c r="BC2632" s="308"/>
      <c r="BD2632" s="287" t="s">
        <v>814</v>
      </c>
      <c r="BE2632" s="308"/>
      <c r="BF2632" s="308"/>
      <c r="BG2632" s="308"/>
      <c r="BH2632" s="308"/>
      <c r="BI2632" s="308"/>
      <c r="BJ2632" s="308"/>
      <c r="BK2632" s="308"/>
      <c r="BL2632" s="308"/>
      <c r="BM2632" s="308"/>
      <c r="BN2632" s="308"/>
      <c r="BO2632" s="308"/>
      <c r="BP2632" s="308"/>
      <c r="BQ2632" s="308"/>
      <c r="BR2632" s="308"/>
      <c r="BS2632" s="308"/>
      <c r="BT2632" s="308"/>
      <c r="BU2632" s="308"/>
      <c r="BV2632" s="308"/>
      <c r="BW2632" s="308"/>
      <c r="BX2632" s="308"/>
      <c r="BY2632" s="308"/>
      <c r="BZ2632" s="308"/>
      <c r="CA2632" s="308"/>
      <c r="CB2632" s="308"/>
      <c r="CC2632" s="308"/>
      <c r="CD2632" s="308"/>
      <c r="CE2632" s="308"/>
      <c r="CF2632" s="308"/>
      <c r="CG2632" s="308"/>
      <c r="CH2632" s="308"/>
      <c r="CI2632" s="308"/>
      <c r="CJ2632" s="308"/>
      <c r="CK2632" s="308"/>
      <c r="CL2632" s="308"/>
      <c r="CM2632" s="308"/>
      <c r="CN2632" s="308"/>
      <c r="CO2632" s="308"/>
      <c r="CP2632" s="308"/>
      <c r="CQ2632" s="308"/>
      <c r="CR2632" s="308"/>
      <c r="CS2632" s="308"/>
      <c r="CT2632" s="308"/>
      <c r="CU2632" s="308"/>
      <c r="CV2632" s="308"/>
      <c r="CW2632" s="308"/>
      <c r="CX2632" s="308"/>
      <c r="CY2632" s="308"/>
      <c r="CZ2632" s="308"/>
      <c r="DA2632" s="308"/>
      <c r="DB2632" s="308"/>
      <c r="DC2632" s="308"/>
      <c r="DD2632" s="308"/>
      <c r="DE2632" s="308"/>
      <c r="DF2632" s="308"/>
      <c r="DG2632" s="308"/>
      <c r="DH2632" s="308"/>
      <c r="DI2632" s="308"/>
      <c r="DJ2632" s="308"/>
      <c r="DK2632" s="308"/>
      <c r="DL2632" s="308"/>
    </row>
    <row r="2633">
      <c r="A2633" s="44">
        <v>2633.0</v>
      </c>
      <c r="B2633" s="129" t="s">
        <v>285</v>
      </c>
      <c r="C2633" s="62" t="s">
        <v>115</v>
      </c>
      <c r="D2633" s="62" t="s">
        <v>15642</v>
      </c>
      <c r="F2633" s="159" t="s">
        <v>15643</v>
      </c>
      <c r="G2633" s="159" t="s">
        <v>15644</v>
      </c>
      <c r="H2633" s="159" t="s">
        <v>15645</v>
      </c>
      <c r="I2633" s="434">
        <v>45223.0</v>
      </c>
      <c r="J2633" s="434">
        <v>45785.0</v>
      </c>
      <c r="K2633" s="159" t="s">
        <v>15646</v>
      </c>
      <c r="L2633" s="68"/>
      <c r="M2633" s="159" t="s">
        <v>15647</v>
      </c>
      <c r="N2633" s="159" t="s">
        <v>15648</v>
      </c>
      <c r="O2633" s="156">
        <v>2.0</v>
      </c>
      <c r="P2633" s="382" t="s">
        <v>15649</v>
      </c>
      <c r="Q2633" s="2191" t="str">
        <f> hyperlink(vlookup(lower(N2633),'File Links'!E:F, 2, FALSE), "LINK")</f>
        <v>LINK</v>
      </c>
      <c r="R2633" s="159" t="s">
        <v>15650</v>
      </c>
      <c r="S2633" s="159" t="s">
        <v>138</v>
      </c>
      <c r="T2633" s="680" t="s">
        <v>15651</v>
      </c>
      <c r="U2633" s="68"/>
      <c r="V2633" s="382" t="s">
        <v>8467</v>
      </c>
      <c r="W2633" s="1231" t="s">
        <v>5398</v>
      </c>
      <c r="X2633" s="2192" t="str">
        <f> hyperlink(vlookup(lower(S2633),'File Links'!E:F, 2, FALSE), "LINK")</f>
        <v>LINK</v>
      </c>
      <c r="Y2633" s="68"/>
      <c r="Z2633" s="159" t="s">
        <v>2079</v>
      </c>
      <c r="AA2633" s="159" t="s">
        <v>15652</v>
      </c>
      <c r="AB2633" s="159" t="s">
        <v>15653</v>
      </c>
      <c r="AC2633" s="159" t="s">
        <v>15654</v>
      </c>
      <c r="AD2633" s="159" t="s">
        <v>15655</v>
      </c>
      <c r="AE2633" s="156">
        <v>28.0</v>
      </c>
      <c r="AF2633" s="156">
        <v>101.0</v>
      </c>
      <c r="AG2633" s="156">
        <v>0.05</v>
      </c>
      <c r="AH2633" s="159" t="s">
        <v>139</v>
      </c>
      <c r="AI2633" s="159" t="s">
        <v>10319</v>
      </c>
      <c r="AJ2633" s="156">
        <v>0.027</v>
      </c>
      <c r="AK2633" s="159" t="s">
        <v>172</v>
      </c>
      <c r="AL2633" s="159" t="s">
        <v>186</v>
      </c>
      <c r="AM2633" s="159" t="s">
        <v>137</v>
      </c>
      <c r="AN2633" s="68"/>
      <c r="AO2633" s="156">
        <v>562.0</v>
      </c>
      <c r="AP2633" s="1479">
        <v>0.1</v>
      </c>
      <c r="AQ2633" s="159" t="s">
        <v>173</v>
      </c>
      <c r="AR2633" s="68"/>
      <c r="AS2633" s="156">
        <v>0.288</v>
      </c>
      <c r="AT2633" s="159" t="s">
        <v>172</v>
      </c>
      <c r="AU2633" s="159" t="s">
        <v>186</v>
      </c>
      <c r="AV2633" s="159" t="s">
        <v>137</v>
      </c>
      <c r="AW2633" s="680" t="s">
        <v>15656</v>
      </c>
      <c r="AX2633" s="159" t="s">
        <v>143</v>
      </c>
      <c r="AY2633" s="61" t="str">
        <f>IFERROR(__xludf.DUMMYFUNCTION("vlookup(BB2633,importrange(""https://docs.google.com/spreadsheets/d/1d2vevQ_7D_v35q4wCQ4RpQ_IPoTwEMB9Yp6ymwlPqew/edit?gid=984458430#gid=984458430"", ""'replication success'!A:K""), 11, FAlSE)"),"#N/A")</f>
        <v>#N/A</v>
      </c>
      <c r="AZ2633" s="61" t="str">
        <f>IFERROR(__xludf.DUMMYFUNCTION("vlookup(BB2633,importrange(""https://docs.google.com/spreadsheets/d/1d2vevQ_7D_v35q4wCQ4RpQ_IPoTwEMB9Yp6ymwlPqew/edit?gid=984458430#gid=984458430"", ""'replication success'!A:M""), 12, FAlSE)"),"#N/A")</f>
        <v>#N/A</v>
      </c>
      <c r="BA2633" s="61" t="str">
        <f>IFERROR(__xludf.DUMMYFUNCTION("vlookup(BB2633,importrange(""https://docs.google.com/spreadsheets/d/1d2vevQ_7D_v35q4wCQ4RpQ_IPoTwEMB9Yp6ymwlPqew/edit?gid=984458430#gid=984458430"", ""'replication success'!A:M""), 13, FAlSE)"),"#N/A")</f>
        <v>#N/A</v>
      </c>
      <c r="BB2633" s="61" t="str">
        <f>IFERROR(__xludf.DUMMYFUNCTION("REGEXREPLACE(G2633, ""_[a-z]{1,2}$"", """")"),"datareplicada5a")</f>
        <v>datareplicada5a</v>
      </c>
    </row>
    <row r="2634">
      <c r="A2634" s="44">
        <v>2634.0</v>
      </c>
      <c r="B2634" s="129" t="s">
        <v>285</v>
      </c>
      <c r="C2634" s="62" t="s">
        <v>115</v>
      </c>
      <c r="D2634" s="62" t="s">
        <v>15642</v>
      </c>
      <c r="F2634" s="2193" t="s">
        <v>15657</v>
      </c>
      <c r="G2634" s="2194" t="s">
        <v>15658</v>
      </c>
      <c r="H2634" s="2194" t="s">
        <v>15659</v>
      </c>
      <c r="I2634" s="2195">
        <v>45337.0</v>
      </c>
      <c r="J2634" s="434">
        <v>45785.0</v>
      </c>
      <c r="K2634" s="2193" t="s">
        <v>15660</v>
      </c>
      <c r="L2634" s="2196" t="s">
        <v>15661</v>
      </c>
      <c r="M2634" s="2194" t="s">
        <v>15662</v>
      </c>
      <c r="N2634" s="2194" t="s">
        <v>13193</v>
      </c>
      <c r="O2634" s="1691"/>
      <c r="P2634" s="2197" t="s">
        <v>13194</v>
      </c>
      <c r="Q2634" s="2198" t="str">
        <f> hyperlink(vlookup(lower(N2634),'File Links'!E:F, 2, FALSE), "LINK")</f>
        <v>LINK</v>
      </c>
      <c r="R2634" s="2194" t="s">
        <v>15663</v>
      </c>
      <c r="S2634" s="2194" t="s">
        <v>15664</v>
      </c>
      <c r="T2634" s="2193"/>
      <c r="U2634" s="2193"/>
      <c r="V2634" s="2197" t="s">
        <v>15665</v>
      </c>
      <c r="W2634" s="2199"/>
      <c r="X2634" s="2200" t="str">
        <f> hyperlink(vlookup(lower(S2634),'File Links'!E:F, 2, FALSE), "LINK")</f>
        <v>LINK</v>
      </c>
      <c r="Y2634" s="2193"/>
      <c r="Z2634" s="2194" t="s">
        <v>148</v>
      </c>
      <c r="AA2634" s="159" t="s">
        <v>15666</v>
      </c>
      <c r="AB2634" s="159" t="s">
        <v>15667</v>
      </c>
      <c r="AC2634" s="159" t="s">
        <v>15668</v>
      </c>
      <c r="AD2634" s="159" t="s">
        <v>15669</v>
      </c>
      <c r="AE2634" s="336">
        <v>20.0</v>
      </c>
      <c r="AF2634" s="156">
        <v>20.0</v>
      </c>
      <c r="AG2634" s="336">
        <v>0.982</v>
      </c>
      <c r="AH2634" s="68" t="s">
        <v>134</v>
      </c>
      <c r="AI2634" s="68" t="s">
        <v>496</v>
      </c>
      <c r="AJ2634" s="336">
        <v>0.003</v>
      </c>
      <c r="AK2634" s="68" t="s">
        <v>172</v>
      </c>
      <c r="AL2634" s="68" t="s">
        <v>136</v>
      </c>
      <c r="AM2634" s="68" t="s">
        <v>141</v>
      </c>
      <c r="AN2634" s="2193"/>
      <c r="AO2634" s="2201">
        <v>52.0</v>
      </c>
      <c r="AP2634" s="2202">
        <v>0.833</v>
      </c>
      <c r="AQ2634" s="2193" t="s">
        <v>173</v>
      </c>
      <c r="AR2634" s="2193"/>
      <c r="AS2634" s="2203">
        <v>0.01</v>
      </c>
      <c r="AT2634" s="2193" t="s">
        <v>172</v>
      </c>
      <c r="AU2634" s="2193" t="s">
        <v>186</v>
      </c>
      <c r="AV2634" s="2193" t="s">
        <v>137</v>
      </c>
      <c r="AW2634" s="2193" t="s">
        <v>15670</v>
      </c>
      <c r="AX2634" s="2193" t="s">
        <v>143</v>
      </c>
      <c r="AY2634" s="61" t="str">
        <f>IFERROR(__xludf.DUMMYFUNCTION("vlookup(BB2634,importrange(""https://docs.google.com/spreadsheets/d/1d2vevQ_7D_v35q4wCQ4RpQ_IPoTwEMB9Yp6ymwlPqew/edit?gid=984458430#gid=984458430"", ""'replication success'!A:K""), 11, FAlSE)"),"#N/A")</f>
        <v>#N/A</v>
      </c>
      <c r="AZ2634" s="61" t="str">
        <f>IFERROR(__xludf.DUMMYFUNCTION("vlookup(BB2634,importrange(""https://docs.google.com/spreadsheets/d/1d2vevQ_7D_v35q4wCQ4RpQ_IPoTwEMB9Yp6ymwlPqew/edit?gid=984458430#gid=984458430"", ""'replication success'!A:M""), 12, FAlSE)"),"#N/A")</f>
        <v>#N/A</v>
      </c>
      <c r="BA2634" s="61" t="str">
        <f>IFERROR(__xludf.DUMMYFUNCTION("vlookup(BB2634,importrange(""https://docs.google.com/spreadsheets/d/1d2vevQ_7D_v35q4wCQ4RpQ_IPoTwEMB9Yp6ymwlPqew/edit?gid=984458430#gid=984458430"", ""'replication success'!A:M""), 13, FAlSE)"),"#N/A")</f>
        <v>#N/A</v>
      </c>
      <c r="BB2634" s="61" t="str">
        <f>IFERROR(__xludf.DUMMYFUNCTION("REGEXREPLACE(G2634, ""_[a-z]{1,2}$"", """")"),"soscisubmission91")</f>
        <v>soscisubmission91</v>
      </c>
    </row>
    <row r="2635">
      <c r="A2635" s="44">
        <v>2635.0</v>
      </c>
      <c r="B2635" s="129" t="s">
        <v>285</v>
      </c>
      <c r="C2635" s="62" t="s">
        <v>115</v>
      </c>
      <c r="D2635" s="62" t="s">
        <v>15642</v>
      </c>
      <c r="F2635" s="2193" t="s">
        <v>15657</v>
      </c>
      <c r="G2635" s="2194" t="s">
        <v>15671</v>
      </c>
      <c r="H2635" s="2194" t="s">
        <v>15659</v>
      </c>
      <c r="I2635" s="2195">
        <v>45337.0</v>
      </c>
      <c r="J2635" s="434">
        <v>45785.0</v>
      </c>
      <c r="K2635" s="2193" t="s">
        <v>15672</v>
      </c>
      <c r="L2635" s="2196" t="s">
        <v>15661</v>
      </c>
      <c r="M2635" s="2194" t="s">
        <v>15662</v>
      </c>
      <c r="N2635" s="2194" t="s">
        <v>13193</v>
      </c>
      <c r="O2635" s="1691"/>
      <c r="P2635" s="2197" t="s">
        <v>13194</v>
      </c>
      <c r="Q2635" s="2198" t="str">
        <f> hyperlink(vlookup(lower(N2635),'File Links'!E:F, 2, FALSE), "LINK")</f>
        <v>LINK</v>
      </c>
      <c r="R2635" s="2194" t="s">
        <v>15663</v>
      </c>
      <c r="S2635" s="2194" t="s">
        <v>15664</v>
      </c>
      <c r="T2635" s="2193"/>
      <c r="U2635" s="2193"/>
      <c r="V2635" s="2197" t="s">
        <v>15665</v>
      </c>
      <c r="W2635" s="2199"/>
      <c r="X2635" s="2200" t="str">
        <f> hyperlink(vlookup(lower(S2635),'File Links'!E:F, 2, FALSE), "LINK")</f>
        <v>LINK</v>
      </c>
      <c r="Y2635" s="2193"/>
      <c r="Z2635" s="2194" t="s">
        <v>148</v>
      </c>
      <c r="AA2635" s="159" t="s">
        <v>15673</v>
      </c>
      <c r="AB2635" s="159" t="s">
        <v>15667</v>
      </c>
      <c r="AC2635" s="159" t="s">
        <v>15674</v>
      </c>
      <c r="AD2635" s="159" t="s">
        <v>15675</v>
      </c>
      <c r="AE2635" s="336">
        <v>20.0</v>
      </c>
      <c r="AF2635" s="156">
        <v>10.0</v>
      </c>
      <c r="AG2635" s="336">
        <v>0.22</v>
      </c>
      <c r="AH2635" s="68" t="s">
        <v>874</v>
      </c>
      <c r="AI2635" s="68" t="s">
        <v>496</v>
      </c>
      <c r="AJ2635" s="336">
        <v>0.035</v>
      </c>
      <c r="AK2635" s="68" t="s">
        <v>172</v>
      </c>
      <c r="AL2635" s="68" t="s">
        <v>186</v>
      </c>
      <c r="AM2635" s="68" t="s">
        <v>137</v>
      </c>
      <c r="AN2635" s="2193"/>
      <c r="AO2635" s="2201">
        <v>24.0</v>
      </c>
      <c r="AP2635" s="2202">
        <v>2.119</v>
      </c>
      <c r="AQ2635" s="2193" t="s">
        <v>173</v>
      </c>
      <c r="AR2635" s="2193"/>
      <c r="AS2635" s="2203">
        <v>0.001</v>
      </c>
      <c r="AT2635" s="2193" t="s">
        <v>172</v>
      </c>
      <c r="AU2635" s="2193" t="s">
        <v>186</v>
      </c>
      <c r="AV2635" s="2193" t="s">
        <v>137</v>
      </c>
      <c r="AW2635" s="2193" t="s">
        <v>15670</v>
      </c>
      <c r="AX2635" s="2193" t="s">
        <v>143</v>
      </c>
      <c r="AY2635" s="61" t="str">
        <f>IFERROR(__xludf.DUMMYFUNCTION("vlookup(BB2635,importrange(""https://docs.google.com/spreadsheets/d/1d2vevQ_7D_v35q4wCQ4RpQ_IPoTwEMB9Yp6ymwlPqew/edit?gid=984458430#gid=984458430"", ""'replication success'!A:K""), 11, FAlSE)"),"#N/A")</f>
        <v>#N/A</v>
      </c>
      <c r="AZ2635" s="61" t="str">
        <f>IFERROR(__xludf.DUMMYFUNCTION("vlookup(BB2635,importrange(""https://docs.google.com/spreadsheets/d/1d2vevQ_7D_v35q4wCQ4RpQ_IPoTwEMB9Yp6ymwlPqew/edit?gid=984458430#gid=984458430"", ""'replication success'!A:M""), 12, FAlSE)"),"#N/A")</f>
        <v>#N/A</v>
      </c>
      <c r="BA2635" s="61" t="str">
        <f>IFERROR(__xludf.DUMMYFUNCTION("vlookup(BB2635,importrange(""https://docs.google.com/spreadsheets/d/1d2vevQ_7D_v35q4wCQ4RpQ_IPoTwEMB9Yp6ymwlPqew/edit?gid=984458430#gid=984458430"", ""'replication success'!A:M""), 13, FAlSE)"),"#N/A")</f>
        <v>#N/A</v>
      </c>
      <c r="BB2635" s="61" t="str">
        <f>IFERROR(__xludf.DUMMYFUNCTION("REGEXREPLACE(G2635, ""_[a-z]{1,2}$"", """")"),"soscisubmission91")</f>
        <v>soscisubmission91</v>
      </c>
    </row>
    <row r="2636">
      <c r="A2636" s="44">
        <v>2636.0</v>
      </c>
      <c r="B2636" s="129" t="s">
        <v>285</v>
      </c>
      <c r="C2636" s="62" t="s">
        <v>115</v>
      </c>
      <c r="D2636" s="62" t="s">
        <v>15642</v>
      </c>
      <c r="F2636" s="2193" t="s">
        <v>15657</v>
      </c>
      <c r="G2636" s="2194" t="s">
        <v>15676</v>
      </c>
      <c r="H2636" s="2194" t="s">
        <v>15659</v>
      </c>
      <c r="I2636" s="2195">
        <v>45337.0</v>
      </c>
      <c r="J2636" s="434">
        <v>45785.0</v>
      </c>
      <c r="K2636" s="2193" t="s">
        <v>15672</v>
      </c>
      <c r="L2636" s="2196" t="s">
        <v>15661</v>
      </c>
      <c r="M2636" s="2194" t="s">
        <v>15662</v>
      </c>
      <c r="N2636" s="2194" t="s">
        <v>13193</v>
      </c>
      <c r="O2636" s="1691"/>
      <c r="P2636" s="2197" t="s">
        <v>13194</v>
      </c>
      <c r="Q2636" s="2198" t="str">
        <f> hyperlink(vlookup(lower(N2636),'File Links'!E:F, 2, FALSE), "LINK")</f>
        <v>LINK</v>
      </c>
      <c r="R2636" s="2194" t="s">
        <v>15663</v>
      </c>
      <c r="S2636" s="2194" t="s">
        <v>15664</v>
      </c>
      <c r="T2636" s="2193"/>
      <c r="U2636" s="2193"/>
      <c r="V2636" s="2197" t="s">
        <v>15665</v>
      </c>
      <c r="W2636" s="2199"/>
      <c r="X2636" s="2200" t="str">
        <f> hyperlink(vlookup(lower(S2636),'File Links'!E:F, 2, FALSE), "LINK")</f>
        <v>LINK</v>
      </c>
      <c r="Y2636" s="2193"/>
      <c r="Z2636" s="2194" t="s">
        <v>148</v>
      </c>
      <c r="AA2636" s="159" t="s">
        <v>15677</v>
      </c>
      <c r="AB2636" s="159" t="s">
        <v>15667</v>
      </c>
      <c r="AC2636" s="159" t="s">
        <v>15678</v>
      </c>
      <c r="AD2636" s="159" t="s">
        <v>15679</v>
      </c>
      <c r="AE2636" s="336">
        <v>20.0</v>
      </c>
      <c r="AF2636" s="156">
        <v>10.0</v>
      </c>
      <c r="AG2636" s="68" t="s">
        <v>15670</v>
      </c>
      <c r="AH2636" s="68"/>
      <c r="AI2636" s="68" t="s">
        <v>496</v>
      </c>
      <c r="AJ2636" s="336">
        <v>0.5</v>
      </c>
      <c r="AK2636" s="68" t="s">
        <v>2207</v>
      </c>
      <c r="AL2636" s="68" t="s">
        <v>218</v>
      </c>
      <c r="AM2636" s="68" t="s">
        <v>141</v>
      </c>
      <c r="AN2636" s="2193"/>
      <c r="AO2636" s="2201">
        <v>19.0</v>
      </c>
      <c r="AP2636" s="2204" t="s">
        <v>15680</v>
      </c>
      <c r="AQ2636" s="2193" t="s">
        <v>173</v>
      </c>
      <c r="AR2636" s="2193"/>
      <c r="AS2636" s="2203">
        <v>0.821</v>
      </c>
      <c r="AT2636" s="2193" t="s">
        <v>172</v>
      </c>
      <c r="AU2636" s="2193" t="s">
        <v>186</v>
      </c>
      <c r="AV2636" s="2193" t="s">
        <v>137</v>
      </c>
      <c r="AW2636" s="2193" t="s">
        <v>15670</v>
      </c>
      <c r="AX2636" s="2193" t="s">
        <v>143</v>
      </c>
      <c r="AY2636" s="61" t="str">
        <f>IFERROR(__xludf.DUMMYFUNCTION("vlookup(BB2636,importrange(""https://docs.google.com/spreadsheets/d/1d2vevQ_7D_v35q4wCQ4RpQ_IPoTwEMB9Yp6ymwlPqew/edit?gid=984458430#gid=984458430"", ""'replication success'!A:K""), 11, FAlSE)"),"#N/A")</f>
        <v>#N/A</v>
      </c>
      <c r="AZ2636" s="61" t="str">
        <f>IFERROR(__xludf.DUMMYFUNCTION("vlookup(BB2636,importrange(""https://docs.google.com/spreadsheets/d/1d2vevQ_7D_v35q4wCQ4RpQ_IPoTwEMB9Yp6ymwlPqew/edit?gid=984458430#gid=984458430"", ""'replication success'!A:M""), 12, FAlSE)"),"#N/A")</f>
        <v>#N/A</v>
      </c>
      <c r="BA2636" s="61" t="str">
        <f>IFERROR(__xludf.DUMMYFUNCTION("vlookup(BB2636,importrange(""https://docs.google.com/spreadsheets/d/1d2vevQ_7D_v35q4wCQ4RpQ_IPoTwEMB9Yp6ymwlPqew/edit?gid=984458430#gid=984458430"", ""'replication success'!A:M""), 13, FAlSE)"),"#N/A")</f>
        <v>#N/A</v>
      </c>
      <c r="BB2636" s="61" t="str">
        <f>IFERROR(__xludf.DUMMYFUNCTION("REGEXREPLACE(G2636, ""_[a-z]{1,2}$"", """")"),"soscisubmission91")</f>
        <v>soscisubmission91</v>
      </c>
    </row>
    <row r="2637">
      <c r="A2637" s="44">
        <v>2637.0</v>
      </c>
      <c r="B2637" s="129" t="s">
        <v>285</v>
      </c>
      <c r="C2637" s="62" t="s">
        <v>115</v>
      </c>
      <c r="D2637" s="62" t="s">
        <v>15642</v>
      </c>
      <c r="F2637" s="46" t="s">
        <v>15681</v>
      </c>
      <c r="G2637" s="360" t="s">
        <v>15682</v>
      </c>
      <c r="H2637" s="360" t="s">
        <v>15645</v>
      </c>
      <c r="I2637" s="344" t="s">
        <v>8542</v>
      </c>
      <c r="J2637" s="434">
        <v>45785.0</v>
      </c>
      <c r="K2637" s="360" t="s">
        <v>15683</v>
      </c>
      <c r="L2637" s="46"/>
      <c r="M2637" s="360" t="s">
        <v>15684</v>
      </c>
      <c r="N2637" s="360" t="s">
        <v>15685</v>
      </c>
      <c r="O2637" s="360" t="s">
        <v>3079</v>
      </c>
      <c r="P2637" s="360" t="s">
        <v>15686</v>
      </c>
      <c r="Q2637" s="2205" t="str">
        <f> hyperlink(vlookup(lower(N2637),'File Links'!E:F, 2, FALSE), "LINK")</f>
        <v>LINK</v>
      </c>
      <c r="R2637" s="360" t="s">
        <v>15687</v>
      </c>
      <c r="S2637" s="360" t="s">
        <v>138</v>
      </c>
      <c r="T2637" s="509" t="s">
        <v>15688</v>
      </c>
      <c r="U2637" s="46"/>
      <c r="V2637" s="360" t="s">
        <v>8467</v>
      </c>
      <c r="W2637" s="360" t="s">
        <v>15689</v>
      </c>
      <c r="X2637" s="2206" t="str">
        <f> hyperlink(vlookup(lower(S2637),'File Links'!E:F, 2, FALSE), "LINK")</f>
        <v>LINK</v>
      </c>
      <c r="Y2637" s="46"/>
      <c r="Z2637" s="360" t="s">
        <v>2079</v>
      </c>
      <c r="AA2637" s="360" t="s">
        <v>15690</v>
      </c>
      <c r="AB2637" s="360" t="s">
        <v>15691</v>
      </c>
      <c r="AC2637" s="360" t="s">
        <v>15692</v>
      </c>
      <c r="AD2637" s="360" t="s">
        <v>15693</v>
      </c>
      <c r="AE2637" s="357">
        <v>18.0</v>
      </c>
      <c r="AF2637" s="357">
        <v>74.0</v>
      </c>
      <c r="AG2637" s="357">
        <v>0.05</v>
      </c>
      <c r="AH2637" s="360" t="s">
        <v>874</v>
      </c>
      <c r="AI2637" s="360" t="s">
        <v>15694</v>
      </c>
      <c r="AJ2637" s="357">
        <v>0.006</v>
      </c>
      <c r="AK2637" s="360" t="s">
        <v>335</v>
      </c>
      <c r="AL2637" s="360" t="s">
        <v>218</v>
      </c>
      <c r="AM2637" s="360" t="s">
        <v>141</v>
      </c>
      <c r="AN2637" s="46"/>
      <c r="AO2637" s="357">
        <v>382.0</v>
      </c>
      <c r="AP2637" s="2143">
        <v>0.08</v>
      </c>
      <c r="AQ2637" s="360" t="s">
        <v>173</v>
      </c>
      <c r="AR2637" s="46"/>
      <c r="AS2637" s="357">
        <v>0.002</v>
      </c>
      <c r="AT2637" s="360" t="s">
        <v>172</v>
      </c>
      <c r="AU2637" s="360" t="s">
        <v>186</v>
      </c>
      <c r="AV2637" s="360" t="s">
        <v>137</v>
      </c>
      <c r="AW2637" s="596" t="s">
        <v>15695</v>
      </c>
      <c r="AX2637" s="360" t="s">
        <v>143</v>
      </c>
      <c r="AY2637" s="61" t="str">
        <f>IFERROR(__xludf.DUMMYFUNCTION("vlookup(BB2637,importrange(""https://docs.google.com/spreadsheets/d/1d2vevQ_7D_v35q4wCQ4RpQ_IPoTwEMB9Yp6ymwlPqew/edit?gid=984458430#gid=984458430"", ""'replication success'!A:K""), 11, FAlSE)"),"#N/A")</f>
        <v>#N/A</v>
      </c>
      <c r="AZ2637" s="61" t="str">
        <f>IFERROR(__xludf.DUMMYFUNCTION("vlookup(BB2637,importrange(""https://docs.google.com/spreadsheets/d/1d2vevQ_7D_v35q4wCQ4RpQ_IPoTwEMB9Yp6ymwlPqew/edit?gid=984458430#gid=984458430"", ""'replication success'!A:M""), 12, FAlSE)"),"#N/A")</f>
        <v>#N/A</v>
      </c>
      <c r="BA2637" s="61" t="str">
        <f>IFERROR(__xludf.DUMMYFUNCTION("vlookup(BB2637,importrange(""https://docs.google.com/spreadsheets/d/1d2vevQ_7D_v35q4wCQ4RpQ_IPoTwEMB9Yp6ymwlPqew/edit?gid=984458430#gid=984458430"", ""'replication success'!A:M""), 13, FAlSE)"),"#N/A")</f>
        <v>#N/A</v>
      </c>
      <c r="BB2637" s="61" t="str">
        <f>IFERROR(__xludf.DUMMYFUNCTION("REGEXREPLACE(G2637, ""_[a-z]{1,2}$"", """")"),"datareplicada6")</f>
        <v>datareplicada6</v>
      </c>
    </row>
    <row r="2638">
      <c r="A2638" s="44">
        <v>2638.0</v>
      </c>
      <c r="B2638" s="129" t="s">
        <v>523</v>
      </c>
      <c r="C2638" s="62" t="s">
        <v>115</v>
      </c>
      <c r="D2638" s="62" t="s">
        <v>15642</v>
      </c>
      <c r="F2638" s="46" t="s">
        <v>15506</v>
      </c>
      <c r="G2638" s="360" t="s">
        <v>15507</v>
      </c>
      <c r="H2638" s="360" t="s">
        <v>15696</v>
      </c>
      <c r="I2638" s="511">
        <v>45288.0</v>
      </c>
      <c r="J2638" s="434">
        <v>45785.0</v>
      </c>
      <c r="K2638" s="46" t="s">
        <v>15697</v>
      </c>
      <c r="L2638" s="46"/>
      <c r="M2638" s="360" t="s">
        <v>15508</v>
      </c>
      <c r="N2638" s="360" t="s">
        <v>15509</v>
      </c>
      <c r="O2638" s="46"/>
      <c r="P2638" s="360" t="s">
        <v>15510</v>
      </c>
      <c r="Q2638" s="2207" t="str">
        <f> hyperlink(vlookup(lower(N2638),'File Links'!E:F, 2, FALSE), "LINK")</f>
        <v>LINK</v>
      </c>
      <c r="R2638" s="360" t="s">
        <v>15511</v>
      </c>
      <c r="S2638" s="360" t="s">
        <v>15512</v>
      </c>
      <c r="T2638" s="46"/>
      <c r="U2638" s="46"/>
      <c r="V2638" s="360" t="s">
        <v>15513</v>
      </c>
      <c r="W2638" s="46"/>
      <c r="X2638" s="2208" t="str">
        <f> hyperlink(vlookup(lower(S2638),'File Links'!E:F, 2, FALSE), "LINK")</f>
        <v>LINK</v>
      </c>
      <c r="Y2638" s="46"/>
      <c r="Z2638" s="360" t="s">
        <v>1600</v>
      </c>
      <c r="AA2638" s="360" t="s">
        <v>15698</v>
      </c>
      <c r="AB2638" s="46" t="s">
        <v>15699</v>
      </c>
      <c r="AC2638" s="46" t="s">
        <v>15700</v>
      </c>
      <c r="AD2638" s="360" t="s">
        <v>15701</v>
      </c>
      <c r="AE2638" s="385">
        <v>6.0</v>
      </c>
      <c r="AF2638" s="385">
        <v>54.0</v>
      </c>
      <c r="AG2638" s="385">
        <v>0.082</v>
      </c>
      <c r="AH2638" s="46" t="s">
        <v>139</v>
      </c>
      <c r="AI2638" s="46" t="s">
        <v>1042</v>
      </c>
      <c r="AJ2638" s="385">
        <v>0.01</v>
      </c>
      <c r="AK2638" s="46" t="s">
        <v>172</v>
      </c>
      <c r="AL2638" s="46" t="s">
        <v>186</v>
      </c>
      <c r="AM2638" s="46" t="s">
        <v>137</v>
      </c>
      <c r="AN2638" s="46"/>
      <c r="AO2638" s="385">
        <v>116.0</v>
      </c>
      <c r="AP2638" s="385">
        <v>0.45</v>
      </c>
      <c r="AQ2638" s="46" t="s">
        <v>173</v>
      </c>
      <c r="AR2638" s="46"/>
      <c r="AS2638" s="385">
        <v>0.001</v>
      </c>
      <c r="AT2638" s="46" t="s">
        <v>172</v>
      </c>
      <c r="AU2638" s="46" t="s">
        <v>186</v>
      </c>
      <c r="AV2638" s="46" t="s">
        <v>137</v>
      </c>
      <c r="AW2638" s="59" t="s">
        <v>15702</v>
      </c>
      <c r="AX2638" s="46" t="s">
        <v>143</v>
      </c>
      <c r="AY2638" s="61" t="str">
        <f>IFERROR(__xludf.DUMMYFUNCTION("vlookup(BB2638,importrange(""https://docs.google.com/spreadsheets/d/1d2vevQ_7D_v35q4wCQ4RpQ_IPoTwEMB9Yp6ymwlPqew/edit?gid=984458430#gid=984458430"", ""'replication success'!A:K""), 11, FAlSE)"),"#N/A")</f>
        <v>#N/A</v>
      </c>
      <c r="AZ2638" s="61" t="str">
        <f>IFERROR(__xludf.DUMMYFUNCTION("vlookup(BB2638,importrange(""https://docs.google.com/spreadsheets/d/1d2vevQ_7D_v35q4wCQ4RpQ_IPoTwEMB9Yp6ymwlPqew/edit?gid=984458430#gid=984458430"", ""'replication success'!A:M""), 12, FAlSE)"),"#N/A")</f>
        <v>#N/A</v>
      </c>
      <c r="BA2638" s="61" t="str">
        <f>IFERROR(__xludf.DUMMYFUNCTION("vlookup(BB2638,importrange(""https://docs.google.com/spreadsheets/d/1d2vevQ_7D_v35q4wCQ4RpQ_IPoTwEMB9Yp6ymwlPqew/edit?gid=984458430#gid=984458430"", ""'replication success'!A:M""), 13, FAlSE)"),"#N/A")</f>
        <v>#N/A</v>
      </c>
      <c r="BB2638" s="61" t="str">
        <f>IFERROR(__xludf.DUMMYFUNCTION("REGEXREPLACE(G2638, ""_[a-z]{1,2}$"", """")"),"soscisubmission72")</f>
        <v>soscisubmission72</v>
      </c>
      <c r="BD2638" s="1063" t="s">
        <v>13231</v>
      </c>
    </row>
    <row r="2639">
      <c r="A2639" s="44">
        <v>2639.0</v>
      </c>
      <c r="B2639" s="129" t="s">
        <v>523</v>
      </c>
      <c r="C2639" s="62" t="s">
        <v>115</v>
      </c>
      <c r="D2639" s="62" t="s">
        <v>15642</v>
      </c>
      <c r="F2639" s="46" t="s">
        <v>15506</v>
      </c>
      <c r="G2639" s="360" t="s">
        <v>15703</v>
      </c>
      <c r="H2639" s="360" t="s">
        <v>15696</v>
      </c>
      <c r="I2639" s="511">
        <v>45288.0</v>
      </c>
      <c r="J2639" s="434">
        <v>45785.0</v>
      </c>
      <c r="K2639" s="46" t="s">
        <v>15697</v>
      </c>
      <c r="L2639" s="46"/>
      <c r="M2639" s="360" t="s">
        <v>15508</v>
      </c>
      <c r="N2639" s="360" t="s">
        <v>15509</v>
      </c>
      <c r="O2639" s="46"/>
      <c r="P2639" s="360" t="s">
        <v>15510</v>
      </c>
      <c r="Q2639" s="2207" t="str">
        <f> hyperlink(vlookup(lower(N2639),'File Links'!E:F, 2, FALSE), "LINK")</f>
        <v>LINK</v>
      </c>
      <c r="R2639" s="360" t="s">
        <v>15511</v>
      </c>
      <c r="S2639" s="360" t="s">
        <v>15512</v>
      </c>
      <c r="T2639" s="46"/>
      <c r="U2639" s="46"/>
      <c r="V2639" s="360" t="s">
        <v>15513</v>
      </c>
      <c r="W2639" s="2199"/>
      <c r="X2639" s="2208" t="str">
        <f> hyperlink(vlookup(lower(S2639),'File Links'!E:F, 2, FALSE), "LINK")</f>
        <v>LINK</v>
      </c>
      <c r="Y2639" s="46"/>
      <c r="Z2639" s="360" t="s">
        <v>1600</v>
      </c>
      <c r="AA2639" s="360" t="s">
        <v>15704</v>
      </c>
      <c r="AB2639" s="46" t="s">
        <v>15699</v>
      </c>
      <c r="AC2639" s="46" t="s">
        <v>15705</v>
      </c>
      <c r="AD2639" s="46" t="s">
        <v>15706</v>
      </c>
      <c r="AE2639" s="385">
        <v>4.0</v>
      </c>
      <c r="AF2639" s="385">
        <v>54.0</v>
      </c>
      <c r="AG2639" s="385">
        <v>0.03</v>
      </c>
      <c r="AH2639" s="46" t="s">
        <v>134</v>
      </c>
      <c r="AI2639" s="46" t="s">
        <v>496</v>
      </c>
      <c r="AJ2639" s="385">
        <v>0.9</v>
      </c>
      <c r="AK2639" s="46" t="s">
        <v>172</v>
      </c>
      <c r="AL2639" s="46" t="s">
        <v>136</v>
      </c>
      <c r="AM2639" s="46" t="s">
        <v>141</v>
      </c>
      <c r="AN2639" s="46"/>
      <c r="AO2639" s="385">
        <v>116.0</v>
      </c>
      <c r="AP2639" s="385">
        <v>0.31</v>
      </c>
      <c r="AQ2639" s="46" t="s">
        <v>173</v>
      </c>
      <c r="AR2639" s="46"/>
      <c r="AS2639" s="385">
        <v>0.001</v>
      </c>
      <c r="AT2639" s="46" t="s">
        <v>172</v>
      </c>
      <c r="AU2639" s="46" t="s">
        <v>186</v>
      </c>
      <c r="AV2639" s="46" t="s">
        <v>137</v>
      </c>
      <c r="AW2639" s="59" t="s">
        <v>15702</v>
      </c>
      <c r="AX2639" s="46" t="s">
        <v>143</v>
      </c>
      <c r="AY2639" s="61" t="str">
        <f>IFERROR(__xludf.DUMMYFUNCTION("vlookup(BB2639,importrange(""https://docs.google.com/spreadsheets/d/1d2vevQ_7D_v35q4wCQ4RpQ_IPoTwEMB9Yp6ymwlPqew/edit?gid=984458430#gid=984458430"", ""'replication success'!A:K""), 11, FAlSE)"),"#N/A")</f>
        <v>#N/A</v>
      </c>
      <c r="AZ2639" s="61" t="str">
        <f>IFERROR(__xludf.DUMMYFUNCTION("vlookup(BB2639,importrange(""https://docs.google.com/spreadsheets/d/1d2vevQ_7D_v35q4wCQ4RpQ_IPoTwEMB9Yp6ymwlPqew/edit?gid=984458430#gid=984458430"", ""'replication success'!A:M""), 12, FAlSE)"),"#N/A")</f>
        <v>#N/A</v>
      </c>
      <c r="BA2639" s="61" t="str">
        <f>IFERROR(__xludf.DUMMYFUNCTION("vlookup(BB2639,importrange(""https://docs.google.com/spreadsheets/d/1d2vevQ_7D_v35q4wCQ4RpQ_IPoTwEMB9Yp6ymwlPqew/edit?gid=984458430#gid=984458430"", ""'replication success'!A:M""), 13, FAlSE)"),"#N/A")</f>
        <v>#N/A</v>
      </c>
      <c r="BB2639" s="61" t="str">
        <f>IFERROR(__xludf.DUMMYFUNCTION("REGEXREPLACE(G2639, ""_[a-z]{1,2}$"", """")"),"soscisubmission72")</f>
        <v>soscisubmission72</v>
      </c>
      <c r="BD2639" s="1063" t="s">
        <v>13231</v>
      </c>
    </row>
    <row r="2640">
      <c r="A2640" s="44">
        <v>2640.0</v>
      </c>
      <c r="B2640" s="129" t="s">
        <v>523</v>
      </c>
      <c r="C2640" s="62" t="s">
        <v>115</v>
      </c>
      <c r="D2640" s="62" t="s">
        <v>15642</v>
      </c>
      <c r="F2640" s="46" t="s">
        <v>15506</v>
      </c>
      <c r="G2640" s="360" t="s">
        <v>15707</v>
      </c>
      <c r="H2640" s="360" t="s">
        <v>15696</v>
      </c>
      <c r="I2640" s="511">
        <v>45288.0</v>
      </c>
      <c r="J2640" s="434">
        <v>45785.0</v>
      </c>
      <c r="K2640" s="46" t="s">
        <v>15697</v>
      </c>
      <c r="L2640" s="46"/>
      <c r="M2640" s="360" t="s">
        <v>15508</v>
      </c>
      <c r="N2640" s="360" t="s">
        <v>15509</v>
      </c>
      <c r="O2640" s="46"/>
      <c r="P2640" s="360" t="s">
        <v>15510</v>
      </c>
      <c r="Q2640" s="2207" t="str">
        <f> hyperlink(vlookup(lower(N2640),'File Links'!E:F, 2, FALSE), "LINK")</f>
        <v>LINK</v>
      </c>
      <c r="R2640" s="360" t="s">
        <v>15511</v>
      </c>
      <c r="S2640" s="360" t="s">
        <v>15512</v>
      </c>
      <c r="T2640" s="46"/>
      <c r="U2640" s="46"/>
      <c r="V2640" s="360" t="s">
        <v>15513</v>
      </c>
      <c r="W2640" s="2199"/>
      <c r="X2640" s="2208" t="str">
        <f> hyperlink(vlookup(lower(S2640),'File Links'!E:F, 2, FALSE), "LINK")</f>
        <v>LINK</v>
      </c>
      <c r="Y2640" s="46"/>
      <c r="Z2640" s="360" t="s">
        <v>1600</v>
      </c>
      <c r="AA2640" s="360" t="s">
        <v>15708</v>
      </c>
      <c r="AB2640" s="46" t="s">
        <v>15699</v>
      </c>
      <c r="AC2640" s="46" t="s">
        <v>15709</v>
      </c>
      <c r="AD2640" s="46" t="s">
        <v>15710</v>
      </c>
      <c r="AE2640" s="385">
        <v>4.0</v>
      </c>
      <c r="AF2640" s="385">
        <v>54.0</v>
      </c>
      <c r="AG2640" s="385">
        <v>0.0</v>
      </c>
      <c r="AH2640" s="46" t="s">
        <v>134</v>
      </c>
      <c r="AI2640" s="46" t="s">
        <v>882</v>
      </c>
      <c r="AJ2640" s="385">
        <v>0.98</v>
      </c>
      <c r="AK2640" s="46" t="s">
        <v>172</v>
      </c>
      <c r="AL2640" s="46" t="s">
        <v>186</v>
      </c>
      <c r="AM2640" s="46" t="s">
        <v>137</v>
      </c>
      <c r="AN2640" s="46"/>
      <c r="AO2640" s="385">
        <v>116.0</v>
      </c>
      <c r="AP2640" s="385">
        <v>1.14</v>
      </c>
      <c r="AQ2640" s="46" t="s">
        <v>134</v>
      </c>
      <c r="AR2640" s="46"/>
      <c r="AS2640" s="385">
        <v>0.004</v>
      </c>
      <c r="AT2640" s="46" t="s">
        <v>172</v>
      </c>
      <c r="AU2640" s="46" t="s">
        <v>186</v>
      </c>
      <c r="AV2640" s="46" t="s">
        <v>137</v>
      </c>
      <c r="AW2640" s="59" t="s">
        <v>15702</v>
      </c>
      <c r="AX2640" s="46" t="s">
        <v>143</v>
      </c>
      <c r="AY2640" s="61" t="str">
        <f>IFERROR(__xludf.DUMMYFUNCTION("vlookup(BB2640,importrange(""https://docs.google.com/spreadsheets/d/1d2vevQ_7D_v35q4wCQ4RpQ_IPoTwEMB9Yp6ymwlPqew/edit?gid=984458430#gid=984458430"", ""'replication success'!A:K""), 11, FAlSE)"),"#N/A")</f>
        <v>#N/A</v>
      </c>
      <c r="AZ2640" s="61" t="str">
        <f>IFERROR(__xludf.DUMMYFUNCTION("vlookup(BB2640,importrange(""https://docs.google.com/spreadsheets/d/1d2vevQ_7D_v35q4wCQ4RpQ_IPoTwEMB9Yp6ymwlPqew/edit?gid=984458430#gid=984458430"", ""'replication success'!A:M""), 12, FAlSE)"),"#N/A")</f>
        <v>#N/A</v>
      </c>
      <c r="BA2640" s="61" t="str">
        <f>IFERROR(__xludf.DUMMYFUNCTION("vlookup(BB2640,importrange(""https://docs.google.com/spreadsheets/d/1d2vevQ_7D_v35q4wCQ4RpQ_IPoTwEMB9Yp6ymwlPqew/edit?gid=984458430#gid=984458430"", ""'replication success'!A:M""), 13, FAlSE)"),"#N/A")</f>
        <v>#N/A</v>
      </c>
      <c r="BB2640" s="61" t="str">
        <f>IFERROR(__xludf.DUMMYFUNCTION("REGEXREPLACE(G2640, ""_[a-z]{1,2}$"", """")"),"soscisubmission72")</f>
        <v>soscisubmission72</v>
      </c>
      <c r="BD2640" s="1063" t="s">
        <v>13231</v>
      </c>
    </row>
    <row r="2641">
      <c r="A2641" s="44">
        <v>2641.0</v>
      </c>
      <c r="B2641" s="129" t="s">
        <v>523</v>
      </c>
      <c r="C2641" s="62" t="s">
        <v>115</v>
      </c>
      <c r="D2641" s="62" t="s">
        <v>15642</v>
      </c>
      <c r="F2641" s="46" t="s">
        <v>15506</v>
      </c>
      <c r="G2641" s="360" t="s">
        <v>15711</v>
      </c>
      <c r="H2641" s="360" t="s">
        <v>15696</v>
      </c>
      <c r="I2641" s="511">
        <v>45288.0</v>
      </c>
      <c r="J2641" s="434">
        <v>45785.0</v>
      </c>
      <c r="K2641" s="46"/>
      <c r="L2641" s="46"/>
      <c r="M2641" s="360" t="s">
        <v>15508</v>
      </c>
      <c r="N2641" s="360" t="s">
        <v>15509</v>
      </c>
      <c r="O2641" s="46"/>
      <c r="P2641" s="360" t="s">
        <v>15510</v>
      </c>
      <c r="Q2641" s="2207" t="str">
        <f> hyperlink(vlookup(lower(N2641),'File Links'!E:F, 2, FALSE), "LINK")</f>
        <v>LINK</v>
      </c>
      <c r="R2641" s="360" t="s">
        <v>15511</v>
      </c>
      <c r="S2641" s="360" t="s">
        <v>15512</v>
      </c>
      <c r="T2641" s="46"/>
      <c r="U2641" s="46"/>
      <c r="V2641" s="360" t="s">
        <v>15513</v>
      </c>
      <c r="W2641" s="2199"/>
      <c r="X2641" s="2208" t="str">
        <f> hyperlink(vlookup(lower(S2641),'File Links'!E:F, 2, FALSE), "LINK")</f>
        <v>LINK</v>
      </c>
      <c r="Y2641" s="46"/>
      <c r="Z2641" s="360" t="s">
        <v>1600</v>
      </c>
      <c r="AA2641" s="360" t="s">
        <v>15712</v>
      </c>
      <c r="AB2641" s="46" t="s">
        <v>15699</v>
      </c>
      <c r="AC2641" s="46" t="s">
        <v>15713</v>
      </c>
      <c r="AD2641" s="46" t="s">
        <v>15714</v>
      </c>
      <c r="AE2641" s="385">
        <v>4.0</v>
      </c>
      <c r="AF2641" s="385">
        <v>54.0</v>
      </c>
      <c r="AG2641" s="385">
        <v>0.03</v>
      </c>
      <c r="AH2641" s="46" t="s">
        <v>134</v>
      </c>
      <c r="AI2641" s="46" t="s">
        <v>1042</v>
      </c>
      <c r="AJ2641" s="385">
        <v>0.86</v>
      </c>
      <c r="AK2641" s="46" t="s">
        <v>172</v>
      </c>
      <c r="AL2641" s="46" t="s">
        <v>186</v>
      </c>
      <c r="AM2641" s="46" t="s">
        <v>137</v>
      </c>
      <c r="AN2641" s="46"/>
      <c r="AO2641" s="46" t="s">
        <v>15670</v>
      </c>
      <c r="AP2641" s="46" t="s">
        <v>15670</v>
      </c>
      <c r="AQ2641" s="46"/>
      <c r="AR2641" s="46"/>
      <c r="AS2641" s="46" t="s">
        <v>15670</v>
      </c>
      <c r="AT2641" s="46"/>
      <c r="AU2641" s="46"/>
      <c r="AV2641" s="46"/>
      <c r="AW2641" s="46" t="s">
        <v>15670</v>
      </c>
      <c r="AX2641" s="46"/>
      <c r="AY2641" s="61" t="str">
        <f>IFERROR(__xludf.DUMMYFUNCTION("vlookup(BB2641,importrange(""https://docs.google.com/spreadsheets/d/1d2vevQ_7D_v35q4wCQ4RpQ_IPoTwEMB9Yp6ymwlPqew/edit?gid=984458430#gid=984458430"", ""'replication success'!A:K""), 11, FAlSE)"),"#N/A")</f>
        <v>#N/A</v>
      </c>
      <c r="AZ2641" s="61" t="str">
        <f>IFERROR(__xludf.DUMMYFUNCTION("vlookup(BB2641,importrange(""https://docs.google.com/spreadsheets/d/1d2vevQ_7D_v35q4wCQ4RpQ_IPoTwEMB9Yp6ymwlPqew/edit?gid=984458430#gid=984458430"", ""'replication success'!A:M""), 12, FAlSE)"),"#N/A")</f>
        <v>#N/A</v>
      </c>
      <c r="BA2641" s="61" t="str">
        <f>IFERROR(__xludf.DUMMYFUNCTION("vlookup(BB2641,importrange(""https://docs.google.com/spreadsheets/d/1d2vevQ_7D_v35q4wCQ4RpQ_IPoTwEMB9Yp6ymwlPqew/edit?gid=984458430#gid=984458430"", ""'replication success'!A:M""), 13, FAlSE)"),"#N/A")</f>
        <v>#N/A</v>
      </c>
      <c r="BB2641" s="61" t="str">
        <f>IFERROR(__xludf.DUMMYFUNCTION("REGEXREPLACE(G2641, ""_[a-z]{1,2}$"", """")"),"soscisubmission72")</f>
        <v>soscisubmission72</v>
      </c>
      <c r="BD2641" s="1063" t="s">
        <v>13231</v>
      </c>
    </row>
    <row r="2642">
      <c r="A2642" s="44">
        <v>2642.0</v>
      </c>
      <c r="B2642" s="129" t="s">
        <v>523</v>
      </c>
      <c r="C2642" s="62" t="s">
        <v>115</v>
      </c>
      <c r="D2642" s="62" t="s">
        <v>15642</v>
      </c>
      <c r="F2642" s="46" t="s">
        <v>15506</v>
      </c>
      <c r="G2642" s="360" t="s">
        <v>15715</v>
      </c>
      <c r="H2642" s="360" t="s">
        <v>15696</v>
      </c>
      <c r="I2642" s="511">
        <v>45288.0</v>
      </c>
      <c r="J2642" s="434">
        <v>45785.0</v>
      </c>
      <c r="K2642" s="46" t="s">
        <v>15697</v>
      </c>
      <c r="L2642" s="46"/>
      <c r="M2642" s="360" t="s">
        <v>15508</v>
      </c>
      <c r="N2642" s="360" t="s">
        <v>15509</v>
      </c>
      <c r="O2642" s="46"/>
      <c r="P2642" s="360" t="s">
        <v>15510</v>
      </c>
      <c r="Q2642" s="2207" t="str">
        <f> hyperlink(vlookup(lower(N2642),'File Links'!E:F, 2, FALSE), "LINK")</f>
        <v>LINK</v>
      </c>
      <c r="R2642" s="360" t="s">
        <v>15511</v>
      </c>
      <c r="S2642" s="360" t="s">
        <v>15512</v>
      </c>
      <c r="T2642" s="46"/>
      <c r="U2642" s="46"/>
      <c r="V2642" s="360" t="s">
        <v>15513</v>
      </c>
      <c r="W2642" s="2199"/>
      <c r="X2642" s="2208" t="str">
        <f> hyperlink(vlookup(lower(S2642),'File Links'!E:F, 2, FALSE), "LINK")</f>
        <v>LINK</v>
      </c>
      <c r="Y2642" s="46"/>
      <c r="Z2642" s="360" t="s">
        <v>1600</v>
      </c>
      <c r="AA2642" s="360" t="s">
        <v>15716</v>
      </c>
      <c r="AB2642" s="46" t="s">
        <v>15699</v>
      </c>
      <c r="AC2642" s="46" t="s">
        <v>15717</v>
      </c>
      <c r="AD2642" s="46" t="s">
        <v>15718</v>
      </c>
      <c r="AE2642" s="385">
        <v>4.0</v>
      </c>
      <c r="AF2642" s="385">
        <v>54.0</v>
      </c>
      <c r="AG2642" s="385">
        <v>1.03</v>
      </c>
      <c r="AH2642" s="46" t="s">
        <v>134</v>
      </c>
      <c r="AI2642" s="46" t="s">
        <v>882</v>
      </c>
      <c r="AJ2642" s="385">
        <v>0.31</v>
      </c>
      <c r="AK2642" s="46" t="s">
        <v>172</v>
      </c>
      <c r="AL2642" s="46" t="s">
        <v>186</v>
      </c>
      <c r="AM2642" s="46" t="s">
        <v>137</v>
      </c>
      <c r="AN2642" s="46"/>
      <c r="AO2642" s="385">
        <v>116.0</v>
      </c>
      <c r="AP2642" s="385">
        <v>0.34</v>
      </c>
      <c r="AQ2642" s="46" t="s">
        <v>173</v>
      </c>
      <c r="AR2642" s="46"/>
      <c r="AS2642" s="385">
        <v>0.001</v>
      </c>
      <c r="AT2642" s="46" t="s">
        <v>172</v>
      </c>
      <c r="AU2642" s="46" t="s">
        <v>186</v>
      </c>
      <c r="AV2642" s="46" t="s">
        <v>137</v>
      </c>
      <c r="AW2642" s="59" t="s">
        <v>15702</v>
      </c>
      <c r="AX2642" s="46" t="s">
        <v>143</v>
      </c>
      <c r="AY2642" s="61" t="str">
        <f>IFERROR(__xludf.DUMMYFUNCTION("vlookup(BB2642,importrange(""https://docs.google.com/spreadsheets/d/1d2vevQ_7D_v35q4wCQ4RpQ_IPoTwEMB9Yp6ymwlPqew/edit?gid=984458430#gid=984458430"", ""'replication success'!A:K""), 11, FAlSE)"),"#N/A")</f>
        <v>#N/A</v>
      </c>
      <c r="AZ2642" s="61" t="str">
        <f>IFERROR(__xludf.DUMMYFUNCTION("vlookup(BB2642,importrange(""https://docs.google.com/spreadsheets/d/1d2vevQ_7D_v35q4wCQ4RpQ_IPoTwEMB9Yp6ymwlPqew/edit?gid=984458430#gid=984458430"", ""'replication success'!A:M""), 12, FAlSE)"),"#N/A")</f>
        <v>#N/A</v>
      </c>
      <c r="BA2642" s="61" t="str">
        <f>IFERROR(__xludf.DUMMYFUNCTION("vlookup(BB2642,importrange(""https://docs.google.com/spreadsheets/d/1d2vevQ_7D_v35q4wCQ4RpQ_IPoTwEMB9Yp6ymwlPqew/edit?gid=984458430#gid=984458430"", ""'replication success'!A:M""), 13, FAlSE)"),"#N/A")</f>
        <v>#N/A</v>
      </c>
      <c r="BB2642" s="61" t="str">
        <f>IFERROR(__xludf.DUMMYFUNCTION("REGEXREPLACE(G2642, ""_[a-z]{1,2}$"", """")"),"soscisubmission72")</f>
        <v>soscisubmission72</v>
      </c>
      <c r="BD2642" s="1063" t="s">
        <v>13231</v>
      </c>
    </row>
    <row r="2643">
      <c r="A2643" s="44">
        <v>2643.0</v>
      </c>
      <c r="B2643" s="129" t="s">
        <v>523</v>
      </c>
      <c r="C2643" s="62" t="s">
        <v>115</v>
      </c>
      <c r="D2643" s="62" t="s">
        <v>15642</v>
      </c>
      <c r="F2643" s="46" t="s">
        <v>15719</v>
      </c>
      <c r="G2643" s="360" t="s">
        <v>15720</v>
      </c>
      <c r="H2643" s="360" t="s">
        <v>15721</v>
      </c>
      <c r="I2643" s="344">
        <v>45296.0</v>
      </c>
      <c r="J2643" s="2140">
        <v>45786.0</v>
      </c>
      <c r="K2643" s="46" t="s">
        <v>15722</v>
      </c>
      <c r="L2643" s="46"/>
      <c r="M2643" s="360" t="s">
        <v>15723</v>
      </c>
      <c r="N2643" s="360" t="s">
        <v>15724</v>
      </c>
      <c r="O2643" s="46"/>
      <c r="P2643" s="360" t="s">
        <v>15725</v>
      </c>
      <c r="Q2643" s="2207" t="str">
        <f> hyperlink(vlookup(lower(N2643),'File Links'!E:F, 2, FALSE), "LINK")</f>
        <v>LINK</v>
      </c>
      <c r="R2643" s="360" t="s">
        <v>15726</v>
      </c>
      <c r="S2643" s="360" t="s">
        <v>15727</v>
      </c>
      <c r="T2643" s="46"/>
      <c r="U2643" s="46"/>
      <c r="V2643" s="360" t="s">
        <v>15728</v>
      </c>
      <c r="W2643" s="2199"/>
      <c r="X2643" s="2208" t="str">
        <f> hyperlink(vlookup(lower(S2643),'File Links'!E:F, 2, FALSE), "LINK")</f>
        <v>LINK</v>
      </c>
      <c r="Y2643" s="46"/>
      <c r="Z2643" s="360" t="s">
        <v>226</v>
      </c>
      <c r="AA2643" s="360" t="s">
        <v>15729</v>
      </c>
      <c r="AB2643" s="68" t="s">
        <v>15670</v>
      </c>
      <c r="AC2643" s="46" t="s">
        <v>15730</v>
      </c>
      <c r="AD2643" s="46" t="s">
        <v>15731</v>
      </c>
      <c r="AE2643" s="385">
        <v>4.0</v>
      </c>
      <c r="AF2643" s="385">
        <v>393.0</v>
      </c>
      <c r="AG2643" s="385">
        <v>0.386</v>
      </c>
      <c r="AH2643" s="46" t="s">
        <v>173</v>
      </c>
      <c r="AI2643" s="46" t="s">
        <v>496</v>
      </c>
      <c r="AJ2643" s="385">
        <v>0.001</v>
      </c>
      <c r="AK2643" s="46" t="s">
        <v>172</v>
      </c>
      <c r="AL2643" s="46" t="s">
        <v>136</v>
      </c>
      <c r="AM2643" s="46" t="s">
        <v>141</v>
      </c>
      <c r="AN2643" s="46"/>
      <c r="AO2643" s="385">
        <v>246.0</v>
      </c>
      <c r="AP2643" s="385">
        <v>0.47</v>
      </c>
      <c r="AQ2643" s="46" t="s">
        <v>173</v>
      </c>
      <c r="AR2643" s="46"/>
      <c r="AS2643" s="385">
        <v>0.001</v>
      </c>
      <c r="AT2643" s="46" t="s">
        <v>172</v>
      </c>
      <c r="AU2643" s="46" t="s">
        <v>218</v>
      </c>
      <c r="AV2643" s="46" t="s">
        <v>141</v>
      </c>
      <c r="AW2643" s="59" t="s">
        <v>15732</v>
      </c>
      <c r="AX2643" s="46" t="s">
        <v>143</v>
      </c>
      <c r="AY2643" s="61" t="str">
        <f>IFERROR(__xludf.DUMMYFUNCTION("vlookup(BB2643,importrange(""https://docs.google.com/spreadsheets/d/1d2vevQ_7D_v35q4wCQ4RpQ_IPoTwEMB9Yp6ymwlPqew/edit?gid=984458430#gid=984458430"", ""'replication success'!A:K""), 11, FAlSE)"),"#N/A")</f>
        <v>#N/A</v>
      </c>
      <c r="AZ2643" s="61" t="str">
        <f>IFERROR(__xludf.DUMMYFUNCTION("vlookup(BB2643,importrange(""https://docs.google.com/spreadsheets/d/1d2vevQ_7D_v35q4wCQ4RpQ_IPoTwEMB9Yp6ymwlPqew/edit?gid=984458430#gid=984458430"", ""'replication success'!A:M""), 12, FAlSE)"),"#N/A")</f>
        <v>#N/A</v>
      </c>
      <c r="BA2643" s="61" t="str">
        <f>IFERROR(__xludf.DUMMYFUNCTION("vlookup(BB2643,importrange(""https://docs.google.com/spreadsheets/d/1d2vevQ_7D_v35q4wCQ4RpQ_IPoTwEMB9Yp6ymwlPqew/edit?gid=984458430#gid=984458430"", ""'replication success'!A:M""), 13, FAlSE)"),"#N/A")</f>
        <v>#N/A</v>
      </c>
      <c r="BB2643" s="61" t="str">
        <f>IFERROR(__xludf.DUMMYFUNCTION("REGEXREPLACE(G2643, ""_[a-z]{1,2}$"", """")"),"soscisubmission78")</f>
        <v>soscisubmission78</v>
      </c>
      <c r="BD2643" s="1063" t="s">
        <v>13231</v>
      </c>
    </row>
    <row r="2644">
      <c r="A2644" s="44">
        <v>2644.0</v>
      </c>
      <c r="B2644" s="129" t="s">
        <v>523</v>
      </c>
      <c r="C2644" s="62" t="s">
        <v>115</v>
      </c>
      <c r="D2644" s="62" t="s">
        <v>15642</v>
      </c>
      <c r="F2644" s="46" t="s">
        <v>15719</v>
      </c>
      <c r="G2644" s="360" t="s">
        <v>15733</v>
      </c>
      <c r="H2644" s="360" t="s">
        <v>15734</v>
      </c>
      <c r="I2644" s="344">
        <v>45296.0</v>
      </c>
      <c r="J2644" s="2140">
        <v>45786.0</v>
      </c>
      <c r="K2644" s="46"/>
      <c r="L2644" s="46"/>
      <c r="M2644" s="360" t="s">
        <v>15723</v>
      </c>
      <c r="N2644" s="360" t="s">
        <v>15724</v>
      </c>
      <c r="O2644" s="46"/>
      <c r="P2644" s="360" t="s">
        <v>15725</v>
      </c>
      <c r="Q2644" s="2207" t="str">
        <f> hyperlink(vlookup(lower(N2644),'File Links'!E:F, 2, FALSE), "LINK")</f>
        <v>LINK</v>
      </c>
      <c r="R2644" s="360" t="s">
        <v>15726</v>
      </c>
      <c r="S2644" s="360" t="s">
        <v>15727</v>
      </c>
      <c r="T2644" s="46"/>
      <c r="U2644" s="46"/>
      <c r="V2644" s="360" t="s">
        <v>15728</v>
      </c>
      <c r="W2644" s="2199"/>
      <c r="X2644" s="2208" t="str">
        <f> hyperlink(vlookup(lower(S2644),'File Links'!E:F, 2, FALSE), "LINK")</f>
        <v>LINK</v>
      </c>
      <c r="Y2644" s="46"/>
      <c r="Z2644" s="360" t="s">
        <v>226</v>
      </c>
      <c r="AA2644" s="360" t="s">
        <v>15735</v>
      </c>
      <c r="AB2644" s="68" t="s">
        <v>15670</v>
      </c>
      <c r="AC2644" s="46" t="s">
        <v>15736</v>
      </c>
      <c r="AD2644" s="46" t="s">
        <v>15737</v>
      </c>
      <c r="AE2644" s="385">
        <v>4.0</v>
      </c>
      <c r="AF2644" s="385">
        <v>85.0</v>
      </c>
      <c r="AG2644" s="385">
        <v>0.659</v>
      </c>
      <c r="AH2644" s="46" t="s">
        <v>173</v>
      </c>
      <c r="AI2644" s="46" t="s">
        <v>496</v>
      </c>
      <c r="AJ2644" s="385">
        <v>0.007</v>
      </c>
      <c r="AK2644" s="46" t="s">
        <v>172</v>
      </c>
      <c r="AL2644" s="46" t="s">
        <v>136</v>
      </c>
      <c r="AM2644" s="46" t="s">
        <v>141</v>
      </c>
      <c r="AN2644" s="46"/>
      <c r="AO2644" s="385">
        <v>24.0</v>
      </c>
      <c r="AP2644" s="385">
        <v>0.96</v>
      </c>
      <c r="AQ2644" s="46" t="s">
        <v>173</v>
      </c>
      <c r="AR2644" s="46"/>
      <c r="AS2644" s="385">
        <v>0.001</v>
      </c>
      <c r="AT2644" s="46" t="s">
        <v>172</v>
      </c>
      <c r="AU2644" s="46" t="s">
        <v>218</v>
      </c>
      <c r="AV2644" s="46" t="s">
        <v>141</v>
      </c>
      <c r="AW2644" s="59" t="s">
        <v>15732</v>
      </c>
      <c r="AX2644" s="46" t="s">
        <v>143</v>
      </c>
      <c r="AY2644" s="61" t="str">
        <f>IFERROR(__xludf.DUMMYFUNCTION("vlookup(BB2644,importrange(""https://docs.google.com/spreadsheets/d/1d2vevQ_7D_v35q4wCQ4RpQ_IPoTwEMB9Yp6ymwlPqew/edit?gid=984458430#gid=984458430"", ""'replication success'!A:K""), 11, FAlSE)"),"#N/A")</f>
        <v>#N/A</v>
      </c>
      <c r="AZ2644" s="61" t="str">
        <f>IFERROR(__xludf.DUMMYFUNCTION("vlookup(BB2644,importrange(""https://docs.google.com/spreadsheets/d/1d2vevQ_7D_v35q4wCQ4RpQ_IPoTwEMB9Yp6ymwlPqew/edit?gid=984458430#gid=984458430"", ""'replication success'!A:M""), 12, FAlSE)"),"#N/A")</f>
        <v>#N/A</v>
      </c>
      <c r="BA2644" s="61" t="str">
        <f>IFERROR(__xludf.DUMMYFUNCTION("vlookup(BB2644,importrange(""https://docs.google.com/spreadsheets/d/1d2vevQ_7D_v35q4wCQ4RpQ_IPoTwEMB9Yp6ymwlPqew/edit?gid=984458430#gid=984458430"", ""'replication success'!A:M""), 13, FAlSE)"),"#N/A")</f>
        <v>#N/A</v>
      </c>
      <c r="BB2644" s="61" t="str">
        <f>IFERROR(__xludf.DUMMYFUNCTION("REGEXREPLACE(G2644, ""_[a-z]{1,2}$"", """")"),"soscisubmission78")</f>
        <v>soscisubmission78</v>
      </c>
      <c r="BD2644" s="1063" t="s">
        <v>13231</v>
      </c>
    </row>
    <row r="2645">
      <c r="A2645" s="44">
        <v>2645.0</v>
      </c>
      <c r="B2645" s="129" t="s">
        <v>523</v>
      </c>
      <c r="C2645" s="62" t="s">
        <v>115</v>
      </c>
      <c r="D2645" s="62" t="s">
        <v>15642</v>
      </c>
      <c r="F2645" s="46" t="s">
        <v>15719</v>
      </c>
      <c r="G2645" s="360" t="s">
        <v>15738</v>
      </c>
      <c r="H2645" s="360" t="s">
        <v>15734</v>
      </c>
      <c r="I2645" s="344">
        <v>45296.0</v>
      </c>
      <c r="J2645" s="2140">
        <v>45786.0</v>
      </c>
      <c r="K2645" s="46"/>
      <c r="L2645" s="46"/>
      <c r="M2645" s="360" t="s">
        <v>15723</v>
      </c>
      <c r="N2645" s="360" t="s">
        <v>15724</v>
      </c>
      <c r="O2645" s="46"/>
      <c r="P2645" s="360" t="s">
        <v>15725</v>
      </c>
      <c r="Q2645" s="2207" t="str">
        <f> hyperlink(vlookup(lower(N2645),'File Links'!E:F, 2, FALSE), "LINK")</f>
        <v>LINK</v>
      </c>
      <c r="R2645" s="360" t="s">
        <v>15726</v>
      </c>
      <c r="S2645" s="360" t="s">
        <v>15727</v>
      </c>
      <c r="T2645" s="46"/>
      <c r="U2645" s="46"/>
      <c r="V2645" s="360" t="s">
        <v>15728</v>
      </c>
      <c r="W2645" s="46"/>
      <c r="X2645" s="2208" t="str">
        <f> hyperlink(vlookup(lower(S2645),'File Links'!E:F, 2, FALSE), "LINK")</f>
        <v>LINK</v>
      </c>
      <c r="Y2645" s="46"/>
      <c r="Z2645" s="360" t="s">
        <v>226</v>
      </c>
      <c r="AA2645" s="360" t="s">
        <v>15739</v>
      </c>
      <c r="AB2645" s="68" t="s">
        <v>15670</v>
      </c>
      <c r="AC2645" s="46" t="s">
        <v>15740</v>
      </c>
      <c r="AD2645" s="46" t="s">
        <v>15741</v>
      </c>
      <c r="AE2645" s="385">
        <v>4.0</v>
      </c>
      <c r="AF2645" s="385">
        <v>393.0</v>
      </c>
      <c r="AG2645" s="385">
        <v>0.237</v>
      </c>
      <c r="AH2645" s="46" t="s">
        <v>215</v>
      </c>
      <c r="AI2645" s="46" t="s">
        <v>496</v>
      </c>
      <c r="AJ2645" s="385">
        <v>0.001</v>
      </c>
      <c r="AK2645" s="46" t="s">
        <v>172</v>
      </c>
      <c r="AL2645" s="46" t="s">
        <v>136</v>
      </c>
      <c r="AM2645" s="46" t="s">
        <v>141</v>
      </c>
      <c r="AN2645" s="46"/>
      <c r="AO2645" s="385">
        <v>244.0</v>
      </c>
      <c r="AP2645" s="385">
        <v>0.22</v>
      </c>
      <c r="AQ2645" s="46" t="s">
        <v>215</v>
      </c>
      <c r="AR2645" s="46"/>
      <c r="AS2645" s="385">
        <v>0.001</v>
      </c>
      <c r="AT2645" s="46" t="s">
        <v>172</v>
      </c>
      <c r="AU2645" s="46" t="s">
        <v>218</v>
      </c>
      <c r="AV2645" s="46" t="s">
        <v>141</v>
      </c>
      <c r="AW2645" s="59" t="s">
        <v>15732</v>
      </c>
      <c r="AX2645" s="46" t="s">
        <v>143</v>
      </c>
      <c r="AY2645" s="61" t="str">
        <f>IFERROR(__xludf.DUMMYFUNCTION("vlookup(BB2645,importrange(""https://docs.google.com/spreadsheets/d/1d2vevQ_7D_v35q4wCQ4RpQ_IPoTwEMB9Yp6ymwlPqew/edit?gid=984458430#gid=984458430"", ""'replication success'!A:K""), 11, FAlSE)"),"#N/A")</f>
        <v>#N/A</v>
      </c>
      <c r="AZ2645" s="61" t="str">
        <f>IFERROR(__xludf.DUMMYFUNCTION("vlookup(BB2645,importrange(""https://docs.google.com/spreadsheets/d/1d2vevQ_7D_v35q4wCQ4RpQ_IPoTwEMB9Yp6ymwlPqew/edit?gid=984458430#gid=984458430"", ""'replication success'!A:M""), 12, FAlSE)"),"#N/A")</f>
        <v>#N/A</v>
      </c>
      <c r="BA2645" s="61" t="str">
        <f>IFERROR(__xludf.DUMMYFUNCTION("vlookup(BB2645,importrange(""https://docs.google.com/spreadsheets/d/1d2vevQ_7D_v35q4wCQ4RpQ_IPoTwEMB9Yp6ymwlPqew/edit?gid=984458430#gid=984458430"", ""'replication success'!A:M""), 13, FAlSE)"),"#N/A")</f>
        <v>#N/A</v>
      </c>
      <c r="BB2645" s="61" t="str">
        <f>IFERROR(__xludf.DUMMYFUNCTION("REGEXREPLACE(G2645, ""_[a-z]{1,2}$"", """")"),"soscisubmission78")</f>
        <v>soscisubmission78</v>
      </c>
      <c r="BD2645" s="1063" t="s">
        <v>13231</v>
      </c>
    </row>
    <row r="2646">
      <c r="A2646" s="44">
        <v>2646.0</v>
      </c>
      <c r="B2646" s="129" t="s">
        <v>285</v>
      </c>
      <c r="C2646" s="62" t="s">
        <v>115</v>
      </c>
      <c r="D2646" s="62" t="s">
        <v>15642</v>
      </c>
      <c r="F2646" s="46" t="s">
        <v>15742</v>
      </c>
      <c r="G2646" s="360" t="s">
        <v>15743</v>
      </c>
      <c r="H2646" s="360" t="s">
        <v>15744</v>
      </c>
      <c r="I2646" s="344" t="s">
        <v>119</v>
      </c>
      <c r="J2646" s="2140">
        <v>45786.0</v>
      </c>
      <c r="K2646" s="46"/>
      <c r="L2646" s="46"/>
      <c r="M2646" s="360" t="s">
        <v>4492</v>
      </c>
      <c r="N2646" s="360" t="s">
        <v>4493</v>
      </c>
      <c r="O2646" s="385">
        <v>1.0</v>
      </c>
      <c r="P2646" s="360" t="s">
        <v>7242</v>
      </c>
      <c r="Q2646" s="2207" t="str">
        <f> hyperlink(vlookup(lower(N2646),'File Links'!E:F, 2, FALSE), "LINK")</f>
        <v>LINK</v>
      </c>
      <c r="R2646" s="360" t="s">
        <v>15745</v>
      </c>
      <c r="S2646" s="360" t="s">
        <v>15746</v>
      </c>
      <c r="T2646" s="596" t="s">
        <v>15747</v>
      </c>
      <c r="U2646" s="46"/>
      <c r="V2646" s="360" t="s">
        <v>15748</v>
      </c>
      <c r="W2646" s="46" t="s">
        <v>577</v>
      </c>
      <c r="X2646" s="2206" t="str">
        <f> hyperlink(vlookup(lower(S2646),'File Links'!E:F, 2, FALSE), "LINK")</f>
        <v>LINK</v>
      </c>
      <c r="Y2646" s="46"/>
      <c r="Z2646" s="46" t="s">
        <v>148</v>
      </c>
      <c r="AA2646" s="360" t="s">
        <v>15749</v>
      </c>
      <c r="AB2646" s="46" t="s">
        <v>15750</v>
      </c>
      <c r="AC2646" s="46" t="s">
        <v>15751</v>
      </c>
      <c r="AD2646" s="46" t="s">
        <v>15752</v>
      </c>
      <c r="AE2646" s="385">
        <v>3.0</v>
      </c>
      <c r="AF2646" s="385">
        <v>20.0</v>
      </c>
      <c r="AG2646" s="385">
        <v>0.09</v>
      </c>
      <c r="AH2646" s="46" t="s">
        <v>874</v>
      </c>
      <c r="AI2646" s="46" t="s">
        <v>507</v>
      </c>
      <c r="AJ2646" s="385">
        <v>0.9</v>
      </c>
      <c r="AK2646" s="46" t="s">
        <v>172</v>
      </c>
      <c r="AL2646" s="46" t="s">
        <v>186</v>
      </c>
      <c r="AM2646" s="46" t="s">
        <v>137</v>
      </c>
      <c r="AN2646" s="46"/>
      <c r="AO2646" s="385">
        <v>104.0</v>
      </c>
      <c r="AP2646" s="385">
        <v>0.01</v>
      </c>
      <c r="AQ2646" s="46" t="s">
        <v>173</v>
      </c>
      <c r="AR2646" s="46"/>
      <c r="AS2646" s="385">
        <v>0.95</v>
      </c>
      <c r="AT2646" s="46" t="s">
        <v>172</v>
      </c>
      <c r="AU2646" s="46" t="s">
        <v>136</v>
      </c>
      <c r="AV2646" s="46" t="s">
        <v>141</v>
      </c>
      <c r="AW2646" s="59" t="s">
        <v>15747</v>
      </c>
      <c r="AX2646" s="46" t="s">
        <v>143</v>
      </c>
      <c r="AY2646" s="61" t="str">
        <f>IFERROR(__xludf.DUMMYFUNCTION("vlookup(BB2646,importrange(""https://docs.google.com/spreadsheets/d/1d2vevQ_7D_v35q4wCQ4RpQ_IPoTwEMB9Yp6ymwlPqew/edit?gid=984458430#gid=984458430"", ""'replication success'!A:K""), 11, FAlSE)"),"#N/A")</f>
        <v>#N/A</v>
      </c>
      <c r="AZ2646" s="61" t="str">
        <f>IFERROR(__xludf.DUMMYFUNCTION("vlookup(BB2646,importrange(""https://docs.google.com/spreadsheets/d/1d2vevQ_7D_v35q4wCQ4RpQ_IPoTwEMB9Yp6ymwlPqew/edit?gid=984458430#gid=984458430"", ""'replication success'!A:M""), 12, FAlSE)"),"#N/A")</f>
        <v>#N/A</v>
      </c>
      <c r="BA2646" s="61" t="str">
        <f>IFERROR(__xludf.DUMMYFUNCTION("vlookup(BB2646,importrange(""https://docs.google.com/spreadsheets/d/1d2vevQ_7D_v35q4wCQ4RpQ_IPoTwEMB9Yp6ymwlPqew/edit?gid=984458430#gid=984458430"", ""'replication success'!A:M""), 13, FAlSE)"),"#N/A")</f>
        <v>#N/A</v>
      </c>
      <c r="BB2646" s="61" t="str">
        <f>IFERROR(__xludf.DUMMYFUNCTION("REGEXREPLACE(G2646, ""_[a-z]{1,2}$"", """")"),"gea2s")</f>
        <v>gea2s</v>
      </c>
    </row>
    <row r="2647">
      <c r="A2647" s="44">
        <v>2647.0</v>
      </c>
      <c r="B2647" s="129" t="s">
        <v>285</v>
      </c>
      <c r="C2647" s="62" t="s">
        <v>115</v>
      </c>
      <c r="D2647" s="62" t="s">
        <v>15642</v>
      </c>
      <c r="F2647" s="46" t="s">
        <v>15742</v>
      </c>
      <c r="G2647" s="360" t="s">
        <v>15753</v>
      </c>
      <c r="H2647" s="360" t="s">
        <v>15744</v>
      </c>
      <c r="I2647" s="344" t="s">
        <v>119</v>
      </c>
      <c r="J2647" s="2140">
        <v>45786.0</v>
      </c>
      <c r="K2647" s="46"/>
      <c r="L2647" s="46"/>
      <c r="M2647" s="360" t="s">
        <v>4492</v>
      </c>
      <c r="N2647" s="360" t="s">
        <v>4493</v>
      </c>
      <c r="O2647" s="385">
        <v>1.0</v>
      </c>
      <c r="P2647" s="360" t="s">
        <v>7242</v>
      </c>
      <c r="Q2647" s="2207" t="str">
        <f> hyperlink(vlookup(lower(N2647),'File Links'!E:F, 2, FALSE), "LINK")</f>
        <v>LINK</v>
      </c>
      <c r="R2647" s="360" t="s">
        <v>15745</v>
      </c>
      <c r="S2647" s="360" t="s">
        <v>15746</v>
      </c>
      <c r="T2647" s="596" t="s">
        <v>15747</v>
      </c>
      <c r="U2647" s="46"/>
      <c r="V2647" s="360" t="s">
        <v>15748</v>
      </c>
      <c r="W2647" s="46" t="s">
        <v>577</v>
      </c>
      <c r="X2647" s="2206" t="str">
        <f> hyperlink(vlookup(lower(S2647),'File Links'!E:F, 2, FALSE), "LINK")</f>
        <v>LINK</v>
      </c>
      <c r="Y2647" s="46"/>
      <c r="Z2647" s="46" t="s">
        <v>148</v>
      </c>
      <c r="AA2647" s="360" t="s">
        <v>15754</v>
      </c>
      <c r="AB2647" s="46" t="s">
        <v>15750</v>
      </c>
      <c r="AC2647" s="46" t="s">
        <v>15755</v>
      </c>
      <c r="AD2647" s="46" t="s">
        <v>15756</v>
      </c>
      <c r="AE2647" s="385">
        <v>3.0</v>
      </c>
      <c r="AF2647" s="385">
        <v>20.0</v>
      </c>
      <c r="AG2647" s="385">
        <v>0.13</v>
      </c>
      <c r="AH2647" s="46" t="s">
        <v>874</v>
      </c>
      <c r="AI2647" s="46" t="s">
        <v>507</v>
      </c>
      <c r="AJ2647" s="385">
        <v>0.95</v>
      </c>
      <c r="AK2647" s="46" t="s">
        <v>172</v>
      </c>
      <c r="AL2647" s="46" t="s">
        <v>186</v>
      </c>
      <c r="AM2647" s="46" t="s">
        <v>137</v>
      </c>
      <c r="AN2647" s="46"/>
      <c r="AO2647" s="385">
        <v>104.0</v>
      </c>
      <c r="AP2647" s="385">
        <v>0.05</v>
      </c>
      <c r="AQ2647" s="46" t="s">
        <v>173</v>
      </c>
      <c r="AR2647" s="46"/>
      <c r="AS2647" s="385">
        <v>0.72</v>
      </c>
      <c r="AT2647" s="46" t="s">
        <v>172</v>
      </c>
      <c r="AU2647" s="46" t="s">
        <v>136</v>
      </c>
      <c r="AV2647" s="46" t="s">
        <v>141</v>
      </c>
      <c r="AW2647" s="59" t="s">
        <v>15747</v>
      </c>
      <c r="AX2647" s="46" t="s">
        <v>143</v>
      </c>
      <c r="AY2647" s="61" t="str">
        <f>IFERROR(__xludf.DUMMYFUNCTION("vlookup(BB2647,importrange(""https://docs.google.com/spreadsheets/d/1d2vevQ_7D_v35q4wCQ4RpQ_IPoTwEMB9Yp6ymwlPqew/edit?gid=984458430#gid=984458430"", ""'replication success'!A:K""), 11, FAlSE)"),"#N/A")</f>
        <v>#N/A</v>
      </c>
      <c r="AZ2647" s="61" t="str">
        <f>IFERROR(__xludf.DUMMYFUNCTION("vlookup(BB2647,importrange(""https://docs.google.com/spreadsheets/d/1d2vevQ_7D_v35q4wCQ4RpQ_IPoTwEMB9Yp6ymwlPqew/edit?gid=984458430#gid=984458430"", ""'replication success'!A:M""), 12, FAlSE)"),"#N/A")</f>
        <v>#N/A</v>
      </c>
      <c r="BA2647" s="61" t="str">
        <f>IFERROR(__xludf.DUMMYFUNCTION("vlookup(BB2647,importrange(""https://docs.google.com/spreadsheets/d/1d2vevQ_7D_v35q4wCQ4RpQ_IPoTwEMB9Yp6ymwlPqew/edit?gid=984458430#gid=984458430"", ""'replication success'!A:M""), 13, FAlSE)"),"#N/A")</f>
        <v>#N/A</v>
      </c>
      <c r="BB2647" s="61" t="str">
        <f>IFERROR(__xludf.DUMMYFUNCTION("REGEXREPLACE(G2647, ""_[a-z]{1,2}$"", """")"),"gea2s")</f>
        <v>gea2s</v>
      </c>
    </row>
    <row r="2648">
      <c r="A2648" s="44">
        <v>2648.0</v>
      </c>
      <c r="B2648" s="129" t="s">
        <v>523</v>
      </c>
      <c r="C2648" s="62" t="s">
        <v>115</v>
      </c>
      <c r="D2648" s="62" t="s">
        <v>15642</v>
      </c>
      <c r="F2648" s="46" t="s">
        <v>15757</v>
      </c>
      <c r="G2648" s="360" t="s">
        <v>15758</v>
      </c>
      <c r="H2648" s="360" t="s">
        <v>15759</v>
      </c>
      <c r="I2648" s="511">
        <v>45284.0</v>
      </c>
      <c r="J2648" s="2140">
        <v>45786.0</v>
      </c>
      <c r="K2648" s="46"/>
      <c r="L2648" s="46"/>
      <c r="M2648" s="360" t="s">
        <v>15760</v>
      </c>
      <c r="N2648" s="360" t="s">
        <v>15761</v>
      </c>
      <c r="O2648" s="46"/>
      <c r="P2648" s="360" t="s">
        <v>15762</v>
      </c>
      <c r="Q2648" s="2205" t="str">
        <f> hyperlink(vlookup(lower(N2648),'File Links'!E:F, 2, FALSE), "LINK")</f>
        <v>LINK</v>
      </c>
      <c r="R2648" s="360" t="s">
        <v>15763</v>
      </c>
      <c r="S2648" s="360" t="s">
        <v>15764</v>
      </c>
      <c r="T2648" s="46"/>
      <c r="U2648" s="46"/>
      <c r="V2648" s="360" t="s">
        <v>15765</v>
      </c>
      <c r="W2648" s="46"/>
      <c r="X2648" s="2209" t="str">
        <f> hyperlink(vlookup(lower(S2648),'File Links'!E:F, 2, FALSE), "LINK")</f>
        <v>LINK</v>
      </c>
      <c r="Y2648" s="46"/>
      <c r="Z2648" s="360" t="s">
        <v>295</v>
      </c>
      <c r="AA2648" s="360" t="s">
        <v>15766</v>
      </c>
      <c r="AB2648" s="360" t="s">
        <v>15767</v>
      </c>
      <c r="AC2648" s="360" t="s">
        <v>15768</v>
      </c>
      <c r="AD2648" s="360" t="s">
        <v>15769</v>
      </c>
      <c r="AE2648" s="357">
        <v>12.0</v>
      </c>
      <c r="AF2648" s="357">
        <v>80.0</v>
      </c>
      <c r="AG2648" s="357">
        <v>0.96</v>
      </c>
      <c r="AH2648" s="360" t="s">
        <v>173</v>
      </c>
      <c r="AI2648" s="360" t="s">
        <v>3721</v>
      </c>
      <c r="AJ2648" s="357">
        <v>0.0</v>
      </c>
      <c r="AK2648" s="360" t="s">
        <v>172</v>
      </c>
      <c r="AL2648" s="360" t="s">
        <v>136</v>
      </c>
      <c r="AM2648" s="360" t="s">
        <v>141</v>
      </c>
      <c r="AN2648" s="46"/>
      <c r="AO2648" s="357">
        <v>65.0</v>
      </c>
      <c r="AP2648" s="357">
        <v>1.7</v>
      </c>
      <c r="AQ2648" s="360" t="s">
        <v>173</v>
      </c>
      <c r="AR2648" s="46"/>
      <c r="AS2648" s="357">
        <v>0.001</v>
      </c>
      <c r="AT2648" s="360" t="s">
        <v>172</v>
      </c>
      <c r="AU2648" s="360" t="s">
        <v>136</v>
      </c>
      <c r="AV2648" s="360" t="s">
        <v>141</v>
      </c>
      <c r="AW2648" s="46" t="s">
        <v>15670</v>
      </c>
      <c r="AX2648" s="360" t="s">
        <v>143</v>
      </c>
      <c r="AY2648" s="61" t="str">
        <f>IFERROR(__xludf.DUMMYFUNCTION("vlookup(BB2648,importrange(""https://docs.google.com/spreadsheets/d/1d2vevQ_7D_v35q4wCQ4RpQ_IPoTwEMB9Yp6ymwlPqew/edit?gid=984458430#gid=984458430"", ""'replication success'!A:K""), 11, FAlSE)"),"#N/A")</f>
        <v>#N/A</v>
      </c>
      <c r="AZ2648" s="61" t="str">
        <f>IFERROR(__xludf.DUMMYFUNCTION("vlookup(BB2648,importrange(""https://docs.google.com/spreadsheets/d/1d2vevQ_7D_v35q4wCQ4RpQ_IPoTwEMB9Yp6ymwlPqew/edit?gid=984458430#gid=984458430"", ""'replication success'!A:M""), 12, FAlSE)"),"#N/A")</f>
        <v>#N/A</v>
      </c>
      <c r="BA2648" s="61" t="str">
        <f>IFERROR(__xludf.DUMMYFUNCTION("vlookup(BB2648,importrange(""https://docs.google.com/spreadsheets/d/1d2vevQ_7D_v35q4wCQ4RpQ_IPoTwEMB9Yp6ymwlPqew/edit?gid=984458430#gid=984458430"", ""'replication success'!A:M""), 13, FAlSE)"),"#N/A")</f>
        <v>#N/A</v>
      </c>
      <c r="BB2648" s="61" t="str">
        <f>IFERROR(__xludf.DUMMYFUNCTION("REGEXREPLACE(G2648, ""_[a-z]{1,2}$"", """")"),"soscisubmission71")</f>
        <v>soscisubmission71</v>
      </c>
    </row>
    <row r="2649">
      <c r="A2649" s="44">
        <v>2649.0</v>
      </c>
      <c r="B2649" s="129" t="s">
        <v>523</v>
      </c>
      <c r="C2649" s="62" t="s">
        <v>115</v>
      </c>
      <c r="D2649" s="62" t="s">
        <v>15642</v>
      </c>
      <c r="F2649" s="46" t="s">
        <v>15757</v>
      </c>
      <c r="G2649" s="360" t="s">
        <v>15770</v>
      </c>
      <c r="H2649" s="360" t="s">
        <v>15759</v>
      </c>
      <c r="I2649" s="511">
        <v>45284.0</v>
      </c>
      <c r="J2649" s="2140">
        <v>45786.0</v>
      </c>
      <c r="K2649" s="46"/>
      <c r="L2649" s="46"/>
      <c r="M2649" s="360" t="s">
        <v>15760</v>
      </c>
      <c r="N2649" s="360" t="s">
        <v>15761</v>
      </c>
      <c r="O2649" s="46"/>
      <c r="P2649" s="360" t="s">
        <v>15762</v>
      </c>
      <c r="Q2649" s="2207" t="str">
        <f> hyperlink(vlookup(lower(N2649),'File Links'!E:F, 2, FALSE), "LINK")</f>
        <v>LINK</v>
      </c>
      <c r="R2649" s="360" t="s">
        <v>15763</v>
      </c>
      <c r="S2649" s="360" t="s">
        <v>15764</v>
      </c>
      <c r="T2649" s="46"/>
      <c r="U2649" s="46"/>
      <c r="V2649" s="360" t="s">
        <v>15765</v>
      </c>
      <c r="W2649" s="46"/>
      <c r="X2649" s="2208" t="str">
        <f> hyperlink(vlookup(lower(S2649),'File Links'!E:F, 2, FALSE), "LINK")</f>
        <v>LINK</v>
      </c>
      <c r="Y2649" s="46"/>
      <c r="Z2649" s="360" t="s">
        <v>295</v>
      </c>
      <c r="AA2649" s="46" t="s">
        <v>15771</v>
      </c>
      <c r="AB2649" s="360" t="s">
        <v>15767</v>
      </c>
      <c r="AC2649" s="360" t="s">
        <v>15772</v>
      </c>
      <c r="AD2649" s="46" t="s">
        <v>15773</v>
      </c>
      <c r="AE2649" s="385">
        <v>13.0</v>
      </c>
      <c r="AF2649" s="357">
        <v>80.0</v>
      </c>
      <c r="AG2649" s="385">
        <v>0.204</v>
      </c>
      <c r="AH2649" s="46" t="s">
        <v>139</v>
      </c>
      <c r="AI2649" s="46" t="s">
        <v>9246</v>
      </c>
      <c r="AJ2649" s="385">
        <v>0.0</v>
      </c>
      <c r="AK2649" s="46" t="s">
        <v>172</v>
      </c>
      <c r="AL2649" s="46" t="s">
        <v>136</v>
      </c>
      <c r="AM2649" s="46" t="s">
        <v>141</v>
      </c>
      <c r="AN2649" s="46"/>
      <c r="AO2649" s="357">
        <v>65.0</v>
      </c>
      <c r="AP2649" s="385">
        <v>0.55</v>
      </c>
      <c r="AQ2649" s="46" t="s">
        <v>215</v>
      </c>
      <c r="AR2649" s="46"/>
      <c r="AS2649" s="385">
        <v>0.001</v>
      </c>
      <c r="AT2649" s="46" t="s">
        <v>172</v>
      </c>
      <c r="AU2649" s="46" t="s">
        <v>136</v>
      </c>
      <c r="AV2649" s="46" t="s">
        <v>141</v>
      </c>
      <c r="AW2649" s="46" t="s">
        <v>15670</v>
      </c>
      <c r="AX2649" s="46" t="s">
        <v>143</v>
      </c>
      <c r="AY2649" s="61" t="str">
        <f>IFERROR(__xludf.DUMMYFUNCTION("vlookup(BB2649,importrange(""https://docs.google.com/spreadsheets/d/1d2vevQ_7D_v35q4wCQ4RpQ_IPoTwEMB9Yp6ymwlPqew/edit?gid=984458430#gid=984458430"", ""'replication success'!A:K""), 11, FAlSE)"),"#N/A")</f>
        <v>#N/A</v>
      </c>
      <c r="AZ2649" s="61" t="str">
        <f>IFERROR(__xludf.DUMMYFUNCTION("vlookup(BB2649,importrange(""https://docs.google.com/spreadsheets/d/1d2vevQ_7D_v35q4wCQ4RpQ_IPoTwEMB9Yp6ymwlPqew/edit?gid=984458430#gid=984458430"", ""'replication success'!A:M""), 12, FAlSE)"),"#N/A")</f>
        <v>#N/A</v>
      </c>
      <c r="BA2649" s="61" t="str">
        <f>IFERROR(__xludf.DUMMYFUNCTION("vlookup(BB2649,importrange(""https://docs.google.com/spreadsheets/d/1d2vevQ_7D_v35q4wCQ4RpQ_IPoTwEMB9Yp6ymwlPqew/edit?gid=984458430#gid=984458430"", ""'replication success'!A:M""), 13, FAlSE)"),"#N/A")</f>
        <v>#N/A</v>
      </c>
      <c r="BB2649" s="61" t="str">
        <f>IFERROR(__xludf.DUMMYFUNCTION("REGEXREPLACE(G2649, ""_[a-z]{1,2}$"", """")"),"soscisubmission7")</f>
        <v>soscisubmission7</v>
      </c>
    </row>
    <row r="2650">
      <c r="A2650" s="44">
        <v>2650.0</v>
      </c>
      <c r="B2650" s="129" t="s">
        <v>523</v>
      </c>
      <c r="C2650" s="62" t="s">
        <v>115</v>
      </c>
      <c r="D2650" s="62" t="s">
        <v>15642</v>
      </c>
      <c r="F2650" s="46" t="s">
        <v>15757</v>
      </c>
      <c r="G2650" s="360" t="s">
        <v>15774</v>
      </c>
      <c r="H2650" s="360" t="s">
        <v>15759</v>
      </c>
      <c r="I2650" s="511">
        <v>45284.0</v>
      </c>
      <c r="J2650" s="2140">
        <v>45786.0</v>
      </c>
      <c r="K2650" s="46"/>
      <c r="L2650" s="46"/>
      <c r="M2650" s="360" t="s">
        <v>15760</v>
      </c>
      <c r="N2650" s="360" t="s">
        <v>15761</v>
      </c>
      <c r="O2650" s="46"/>
      <c r="P2650" s="360" t="s">
        <v>15762</v>
      </c>
      <c r="Q2650" s="2207" t="str">
        <f> hyperlink(vlookup(lower(N2650),'File Links'!E:F, 2, FALSE), "LINK")</f>
        <v>LINK</v>
      </c>
      <c r="R2650" s="360" t="s">
        <v>15763</v>
      </c>
      <c r="S2650" s="360" t="s">
        <v>15764</v>
      </c>
      <c r="T2650" s="46"/>
      <c r="U2650" s="46"/>
      <c r="V2650" s="360" t="s">
        <v>15765</v>
      </c>
      <c r="W2650" s="46"/>
      <c r="X2650" s="2208" t="str">
        <f> hyperlink(vlookup(lower(S2650),'File Links'!E:F, 2, FALSE), "LINK")</f>
        <v>LINK</v>
      </c>
      <c r="Y2650" s="46"/>
      <c r="Z2650" s="360" t="s">
        <v>295</v>
      </c>
      <c r="AA2650" s="46" t="s">
        <v>15775</v>
      </c>
      <c r="AB2650" s="360" t="s">
        <v>15767</v>
      </c>
      <c r="AC2650" s="360" t="s">
        <v>15776</v>
      </c>
      <c r="AD2650" s="46" t="s">
        <v>15777</v>
      </c>
      <c r="AE2650" s="385">
        <v>14.0</v>
      </c>
      <c r="AF2650" s="357">
        <v>80.0</v>
      </c>
      <c r="AG2650" s="385">
        <v>-0.86</v>
      </c>
      <c r="AH2650" s="46" t="s">
        <v>215</v>
      </c>
      <c r="AI2650" s="46" t="s">
        <v>9246</v>
      </c>
      <c r="AJ2650" s="385">
        <v>0.0</v>
      </c>
      <c r="AK2650" s="46" t="s">
        <v>172</v>
      </c>
      <c r="AL2650" s="46" t="s">
        <v>136</v>
      </c>
      <c r="AM2650" s="46" t="s">
        <v>141</v>
      </c>
      <c r="AN2650" s="46"/>
      <c r="AO2650" s="357">
        <v>65.0</v>
      </c>
      <c r="AP2650" s="385">
        <v>0.35</v>
      </c>
      <c r="AQ2650" s="46" t="s">
        <v>215</v>
      </c>
      <c r="AR2650" s="46"/>
      <c r="AS2650" s="385">
        <v>0.001</v>
      </c>
      <c r="AT2650" s="46" t="s">
        <v>172</v>
      </c>
      <c r="AU2650" s="46" t="s">
        <v>136</v>
      </c>
      <c r="AV2650" s="46" t="s">
        <v>141</v>
      </c>
      <c r="AW2650" s="46" t="s">
        <v>15670</v>
      </c>
      <c r="AX2650" s="46" t="s">
        <v>143</v>
      </c>
      <c r="AY2650" s="61" t="str">
        <f>IFERROR(__xludf.DUMMYFUNCTION("vlookup(BB2650,importrange(""https://docs.google.com/spreadsheets/d/1d2vevQ_7D_v35q4wCQ4RpQ_IPoTwEMB9Yp6ymwlPqew/edit?gid=984458430#gid=984458430"", ""'replication success'!A:K""), 11, FAlSE)"),"#N/A")</f>
        <v>#N/A</v>
      </c>
      <c r="AZ2650" s="61" t="str">
        <f>IFERROR(__xludf.DUMMYFUNCTION("vlookup(BB2650,importrange(""https://docs.google.com/spreadsheets/d/1d2vevQ_7D_v35q4wCQ4RpQ_IPoTwEMB9Yp6ymwlPqew/edit?gid=984458430#gid=984458430"", ""'replication success'!A:M""), 12, FAlSE)"),"#N/A")</f>
        <v>#N/A</v>
      </c>
      <c r="BA2650" s="61" t="str">
        <f>IFERROR(__xludf.DUMMYFUNCTION("vlookup(BB2650,importrange(""https://docs.google.com/spreadsheets/d/1d2vevQ_7D_v35q4wCQ4RpQ_IPoTwEMB9Yp6ymwlPqew/edit?gid=984458430#gid=984458430"", ""'replication success'!A:M""), 13, FAlSE)"),"#N/A")</f>
        <v>#N/A</v>
      </c>
      <c r="BB2650" s="61" t="str">
        <f>IFERROR(__xludf.DUMMYFUNCTION("REGEXREPLACE(G2650, ""_[a-z]{1,2}$"", """")"),"soscisubmission71")</f>
        <v>soscisubmission71</v>
      </c>
    </row>
    <row r="2651">
      <c r="A2651" s="44">
        <v>2651.0</v>
      </c>
      <c r="B2651" s="129" t="s">
        <v>523</v>
      </c>
      <c r="C2651" s="62" t="s">
        <v>115</v>
      </c>
      <c r="D2651" s="62" t="s">
        <v>15642</v>
      </c>
      <c r="F2651" s="46" t="s">
        <v>15778</v>
      </c>
      <c r="G2651" s="360" t="s">
        <v>15779</v>
      </c>
      <c r="H2651" s="360" t="s">
        <v>15659</v>
      </c>
      <c r="I2651" s="344">
        <v>45337.0</v>
      </c>
      <c r="J2651" s="2140">
        <v>45786.0</v>
      </c>
      <c r="K2651" s="46"/>
      <c r="L2651" s="46"/>
      <c r="M2651" s="360" t="s">
        <v>15662</v>
      </c>
      <c r="N2651" s="360" t="s">
        <v>13193</v>
      </c>
      <c r="O2651" s="46"/>
      <c r="P2651" s="360" t="s">
        <v>13194</v>
      </c>
      <c r="Q2651" s="2205" t="str">
        <f> hyperlink(vlookup(lower(N2651),'File Links'!E:F, 2, FALSE), "LINK")</f>
        <v>LINK</v>
      </c>
      <c r="R2651" s="360" t="s">
        <v>15780</v>
      </c>
      <c r="S2651" s="360" t="s">
        <v>15781</v>
      </c>
      <c r="T2651" s="46"/>
      <c r="U2651" s="46"/>
      <c r="V2651" s="360" t="s">
        <v>15782</v>
      </c>
      <c r="W2651" s="46"/>
      <c r="X2651" s="2209" t="str">
        <f> hyperlink(vlookup(lower(S2651),'File Links'!E:F, 2, FALSE), "LINK")</f>
        <v>LINK</v>
      </c>
      <c r="Y2651" s="46"/>
      <c r="Z2651" s="360" t="s">
        <v>148</v>
      </c>
      <c r="AA2651" s="360" t="s">
        <v>15783</v>
      </c>
      <c r="AB2651" s="360" t="s">
        <v>15670</v>
      </c>
      <c r="AC2651" s="360" t="s">
        <v>15784</v>
      </c>
      <c r="AD2651" s="360" t="s">
        <v>15785</v>
      </c>
      <c r="AE2651" s="357">
        <v>4.0</v>
      </c>
      <c r="AF2651" s="357">
        <v>20.0</v>
      </c>
      <c r="AG2651" s="357">
        <v>0.96</v>
      </c>
      <c r="AH2651" s="360" t="s">
        <v>874</v>
      </c>
      <c r="AI2651" s="360" t="s">
        <v>496</v>
      </c>
      <c r="AJ2651" s="357">
        <v>0.001</v>
      </c>
      <c r="AK2651" s="360" t="s">
        <v>172</v>
      </c>
      <c r="AL2651" s="360" t="s">
        <v>136</v>
      </c>
      <c r="AM2651" s="360" t="s">
        <v>141</v>
      </c>
      <c r="AN2651" s="46"/>
      <c r="AO2651" s="357">
        <v>26.0</v>
      </c>
      <c r="AP2651" s="357">
        <v>3.03</v>
      </c>
      <c r="AQ2651" s="360" t="s">
        <v>173</v>
      </c>
      <c r="AR2651" s="46"/>
      <c r="AS2651" s="357">
        <v>0.001</v>
      </c>
      <c r="AT2651" s="360" t="s">
        <v>172</v>
      </c>
      <c r="AU2651" s="360" t="s">
        <v>186</v>
      </c>
      <c r="AV2651" s="360" t="s">
        <v>137</v>
      </c>
      <c r="AW2651" s="59" t="s">
        <v>15786</v>
      </c>
      <c r="AX2651" s="360" t="s">
        <v>143</v>
      </c>
      <c r="AY2651" s="61" t="str">
        <f>IFERROR(__xludf.DUMMYFUNCTION("vlookup(BB2651,importrange(""https://docs.google.com/spreadsheets/d/1d2vevQ_7D_v35q4wCQ4RpQ_IPoTwEMB9Yp6ymwlPqew/edit?gid=984458430#gid=984458430"", ""'replication success'!A:K""), 11, FAlSE)"),"#N/A")</f>
        <v>#N/A</v>
      </c>
      <c r="AZ2651" s="61" t="str">
        <f>IFERROR(__xludf.DUMMYFUNCTION("vlookup(BB2651,importrange(""https://docs.google.com/spreadsheets/d/1d2vevQ_7D_v35q4wCQ4RpQ_IPoTwEMB9Yp6ymwlPqew/edit?gid=984458430#gid=984458430"", ""'replication success'!A:M""), 12, FAlSE)"),"#N/A")</f>
        <v>#N/A</v>
      </c>
      <c r="BA2651" s="61" t="str">
        <f>IFERROR(__xludf.DUMMYFUNCTION("vlookup(BB2651,importrange(""https://docs.google.com/spreadsheets/d/1d2vevQ_7D_v35q4wCQ4RpQ_IPoTwEMB9Yp6ymwlPqew/edit?gid=984458430#gid=984458430"", ""'replication success'!A:M""), 13, FAlSE)"),"#N/A")</f>
        <v>#N/A</v>
      </c>
      <c r="BB2651" s="61" t="str">
        <f>IFERROR(__xludf.DUMMYFUNCTION("REGEXREPLACE(G2651, ""_[a-z]{1,2}$"", """")"),"soscisubmission90a")</f>
        <v>soscisubmission90a</v>
      </c>
      <c r="BD2651" s="1063" t="s">
        <v>13231</v>
      </c>
    </row>
    <row r="2652">
      <c r="A2652" s="44">
        <v>2652.0</v>
      </c>
      <c r="B2652" s="129" t="s">
        <v>523</v>
      </c>
      <c r="C2652" s="62" t="s">
        <v>115</v>
      </c>
      <c r="D2652" s="62" t="s">
        <v>15642</v>
      </c>
      <c r="F2652" s="46" t="s">
        <v>15778</v>
      </c>
      <c r="G2652" s="360" t="s">
        <v>15787</v>
      </c>
      <c r="H2652" s="360" t="s">
        <v>15788</v>
      </c>
      <c r="I2652" s="344">
        <v>45337.0</v>
      </c>
      <c r="J2652" s="2140">
        <v>45786.0</v>
      </c>
      <c r="K2652" s="46"/>
      <c r="L2652" s="46"/>
      <c r="M2652" s="360" t="s">
        <v>15662</v>
      </c>
      <c r="N2652" s="360" t="s">
        <v>13193</v>
      </c>
      <c r="O2652" s="46"/>
      <c r="P2652" s="360" t="s">
        <v>13194</v>
      </c>
      <c r="Q2652" s="2205" t="str">
        <f> hyperlink(vlookup(lower(N2652),'File Links'!E:F, 2, FALSE), "LINK")</f>
        <v>LINK</v>
      </c>
      <c r="R2652" s="360" t="s">
        <v>15780</v>
      </c>
      <c r="S2652" s="360" t="s">
        <v>15781</v>
      </c>
      <c r="T2652" s="46"/>
      <c r="U2652" s="46"/>
      <c r="V2652" s="360" t="s">
        <v>15782</v>
      </c>
      <c r="W2652" s="46"/>
      <c r="X2652" s="2209" t="str">
        <f> hyperlink(vlookup(lower(S2652),'File Links'!E:F, 2, FALSE), "LINK")</f>
        <v>LINK</v>
      </c>
      <c r="Y2652" s="46"/>
      <c r="Z2652" s="360" t="s">
        <v>148</v>
      </c>
      <c r="AA2652" s="360" t="s">
        <v>15789</v>
      </c>
      <c r="AB2652" s="360" t="s">
        <v>15670</v>
      </c>
      <c r="AC2652" s="360" t="s">
        <v>15790</v>
      </c>
      <c r="AD2652" s="360" t="s">
        <v>15791</v>
      </c>
      <c r="AE2652" s="357">
        <v>10.0</v>
      </c>
      <c r="AF2652" s="357">
        <v>10.0</v>
      </c>
      <c r="AG2652" s="357">
        <v>0.62</v>
      </c>
      <c r="AH2652" s="360" t="s">
        <v>215</v>
      </c>
      <c r="AI2652" s="360" t="s">
        <v>496</v>
      </c>
      <c r="AJ2652" s="357">
        <v>0.001</v>
      </c>
      <c r="AK2652" s="360" t="s">
        <v>172</v>
      </c>
      <c r="AL2652" s="360" t="s">
        <v>218</v>
      </c>
      <c r="AM2652" s="360" t="s">
        <v>141</v>
      </c>
      <c r="AN2652" s="46"/>
      <c r="AO2652" s="357">
        <v>22.0</v>
      </c>
      <c r="AP2652" s="357">
        <v>-0.64</v>
      </c>
      <c r="AQ2652" s="360" t="s">
        <v>173</v>
      </c>
      <c r="AR2652" s="46"/>
      <c r="AS2652" s="357">
        <v>0.157</v>
      </c>
      <c r="AT2652" s="360" t="s">
        <v>172</v>
      </c>
      <c r="AU2652" s="360" t="s">
        <v>186</v>
      </c>
      <c r="AV2652" s="360" t="s">
        <v>137</v>
      </c>
      <c r="AW2652" s="59" t="s">
        <v>15786</v>
      </c>
      <c r="AX2652" s="360" t="s">
        <v>143</v>
      </c>
      <c r="AY2652" s="61" t="str">
        <f>IFERROR(__xludf.DUMMYFUNCTION("vlookup(BB2652,importrange(""https://docs.google.com/spreadsheets/d/1d2vevQ_7D_v35q4wCQ4RpQ_IPoTwEMB9Yp6ymwlPqew/edit?gid=984458430#gid=984458430"", ""'replication success'!A:K""), 11, FAlSE)"),"#N/A")</f>
        <v>#N/A</v>
      </c>
      <c r="AZ2652" s="61" t="str">
        <f>IFERROR(__xludf.DUMMYFUNCTION("vlookup(BB2652,importrange(""https://docs.google.com/spreadsheets/d/1d2vevQ_7D_v35q4wCQ4RpQ_IPoTwEMB9Yp6ymwlPqew/edit?gid=984458430#gid=984458430"", ""'replication success'!A:M""), 12, FAlSE)"),"#N/A")</f>
        <v>#N/A</v>
      </c>
      <c r="BA2652" s="61" t="str">
        <f>IFERROR(__xludf.DUMMYFUNCTION("vlookup(BB2652,importrange(""https://docs.google.com/spreadsheets/d/1d2vevQ_7D_v35q4wCQ4RpQ_IPoTwEMB9Yp6ymwlPqew/edit?gid=984458430#gid=984458430"", ""'replication success'!A:M""), 13, FAlSE)"),"#N/A")</f>
        <v>#N/A</v>
      </c>
      <c r="BB2652" s="61" t="str">
        <f>IFERROR(__xludf.DUMMYFUNCTION("REGEXREPLACE(G2652, ""_[a-z]{1,2}$"", """")"),"soscisubmission90a")</f>
        <v>soscisubmission90a</v>
      </c>
      <c r="BD2652" s="1063" t="s">
        <v>13231</v>
      </c>
    </row>
    <row r="2653">
      <c r="A2653" s="44">
        <v>2653.0</v>
      </c>
      <c r="B2653" s="129" t="s">
        <v>285</v>
      </c>
      <c r="C2653" s="62" t="s">
        <v>115</v>
      </c>
      <c r="D2653" s="62" t="s">
        <v>15642</v>
      </c>
      <c r="F2653" s="68" t="s">
        <v>15657</v>
      </c>
      <c r="G2653" s="159" t="s">
        <v>15658</v>
      </c>
      <c r="H2653" s="159" t="s">
        <v>15659</v>
      </c>
      <c r="I2653" s="152">
        <v>45337.0</v>
      </c>
      <c r="J2653" s="152">
        <v>45787.0</v>
      </c>
      <c r="K2653" s="68"/>
      <c r="L2653" s="68"/>
      <c r="M2653" s="159" t="s">
        <v>15662</v>
      </c>
      <c r="N2653" s="159" t="s">
        <v>13193</v>
      </c>
      <c r="O2653" s="156">
        <v>2.0</v>
      </c>
      <c r="P2653" s="382" t="s">
        <v>13194</v>
      </c>
      <c r="Q2653" s="2191" t="str">
        <f> hyperlink(vlookup(lower(N2653),'File Links'!E:F, 2, FALSE), "LINK")</f>
        <v>LINK</v>
      </c>
      <c r="R2653" s="159" t="s">
        <v>15663</v>
      </c>
      <c r="S2653" s="159" t="s">
        <v>15664</v>
      </c>
      <c r="T2653" s="68"/>
      <c r="U2653" s="68"/>
      <c r="V2653" s="382" t="s">
        <v>15665</v>
      </c>
      <c r="W2653" s="1228"/>
      <c r="X2653" s="1552" t="str">
        <f> hyperlink(vlookup(lower(S2653),'File Links'!E:F, 2, FALSE), "LINK")</f>
        <v>LINK</v>
      </c>
      <c r="Y2653" s="68"/>
      <c r="Z2653" s="159" t="s">
        <v>1600</v>
      </c>
      <c r="AA2653" s="159" t="s">
        <v>15792</v>
      </c>
      <c r="AB2653" s="159" t="s">
        <v>15793</v>
      </c>
      <c r="AC2653" s="159" t="s">
        <v>15794</v>
      </c>
      <c r="AD2653" s="159" t="s">
        <v>15795</v>
      </c>
      <c r="AE2653" s="156">
        <v>4.0</v>
      </c>
      <c r="AF2653" s="156">
        <v>10.0</v>
      </c>
      <c r="AG2653" s="156">
        <v>0.982</v>
      </c>
      <c r="AH2653" s="159" t="s">
        <v>134</v>
      </c>
      <c r="AI2653" s="159" t="s">
        <v>496</v>
      </c>
      <c r="AJ2653" s="156">
        <v>0.003</v>
      </c>
      <c r="AK2653" s="159" t="s">
        <v>172</v>
      </c>
      <c r="AL2653" s="159" t="s">
        <v>186</v>
      </c>
      <c r="AM2653" s="159" t="s">
        <v>137</v>
      </c>
      <c r="AN2653" s="68"/>
      <c r="AO2653" s="156">
        <v>24.0</v>
      </c>
      <c r="AP2653" s="156">
        <v>2.119</v>
      </c>
      <c r="AQ2653" s="159" t="s">
        <v>173</v>
      </c>
      <c r="AR2653" s="68"/>
      <c r="AS2653" s="156">
        <v>0.001</v>
      </c>
      <c r="AT2653" s="159" t="s">
        <v>172</v>
      </c>
      <c r="AU2653" s="159" t="s">
        <v>186</v>
      </c>
      <c r="AV2653" s="159" t="s">
        <v>137</v>
      </c>
      <c r="AW2653" s="68" t="s">
        <v>15670</v>
      </c>
      <c r="AX2653" s="159" t="s">
        <v>151</v>
      </c>
      <c r="AY2653" s="61" t="str">
        <f>IFERROR(__xludf.DUMMYFUNCTION("vlookup(BB2653,importrange(""https://docs.google.com/spreadsheets/d/1d2vevQ_7D_v35q4wCQ4RpQ_IPoTwEMB9Yp6ymwlPqew/edit?gid=984458430#gid=984458430"", ""'replication success'!A:K""), 11, FAlSE)"),"#N/A")</f>
        <v>#N/A</v>
      </c>
      <c r="AZ2653" s="61" t="str">
        <f>IFERROR(__xludf.DUMMYFUNCTION("vlookup(BB2653,importrange(""https://docs.google.com/spreadsheets/d/1d2vevQ_7D_v35q4wCQ4RpQ_IPoTwEMB9Yp6ymwlPqew/edit?gid=984458430#gid=984458430"", ""'replication success'!A:M""), 12, FAlSE)"),"#N/A")</f>
        <v>#N/A</v>
      </c>
      <c r="BA2653" s="61" t="str">
        <f>IFERROR(__xludf.DUMMYFUNCTION("vlookup(BB2653,importrange(""https://docs.google.com/spreadsheets/d/1d2vevQ_7D_v35q4wCQ4RpQ_IPoTwEMB9Yp6ymwlPqew/edit?gid=984458430#gid=984458430"", ""'replication success'!A:M""), 13, FAlSE)"),"#N/A")</f>
        <v>#N/A</v>
      </c>
      <c r="BB2653" s="61" t="str">
        <f>IFERROR(__xludf.DUMMYFUNCTION("REGEXREPLACE(G2653, ""_[a-z]{1,2}$"", """")"),"soscisubmission91")</f>
        <v>soscisubmission91</v>
      </c>
    </row>
    <row r="2654">
      <c r="A2654" s="44">
        <v>2654.0</v>
      </c>
      <c r="B2654" s="129" t="s">
        <v>285</v>
      </c>
      <c r="C2654" s="62" t="s">
        <v>115</v>
      </c>
      <c r="D2654" s="62" t="s">
        <v>15642</v>
      </c>
      <c r="F2654" s="68" t="s">
        <v>15657</v>
      </c>
      <c r="G2654" s="159" t="s">
        <v>15671</v>
      </c>
      <c r="H2654" s="159" t="s">
        <v>15659</v>
      </c>
      <c r="I2654" s="152">
        <v>45337.0</v>
      </c>
      <c r="J2654" s="152">
        <v>45787.0</v>
      </c>
      <c r="K2654" s="68"/>
      <c r="L2654" s="68"/>
      <c r="M2654" s="159" t="s">
        <v>15662</v>
      </c>
      <c r="N2654" s="159" t="s">
        <v>13193</v>
      </c>
      <c r="O2654" s="156">
        <v>2.0</v>
      </c>
      <c r="P2654" s="382" t="s">
        <v>13194</v>
      </c>
      <c r="Q2654" s="2191" t="str">
        <f> hyperlink(vlookup(lower(N2654),'File Links'!E:F, 2, FALSE), "LINK")</f>
        <v>LINK</v>
      </c>
      <c r="R2654" s="159" t="s">
        <v>15663</v>
      </c>
      <c r="S2654" s="159" t="s">
        <v>15664</v>
      </c>
      <c r="T2654" s="68"/>
      <c r="U2654" s="68"/>
      <c r="V2654" s="382" t="s">
        <v>15665</v>
      </c>
      <c r="W2654" s="1228"/>
      <c r="X2654" s="1552" t="str">
        <f> hyperlink(vlookup(lower(S2654),'File Links'!E:F, 2, FALSE), "LINK")</f>
        <v>LINK</v>
      </c>
      <c r="Y2654" s="68"/>
      <c r="Z2654" s="159" t="s">
        <v>1600</v>
      </c>
      <c r="AA2654" s="159" t="s">
        <v>15796</v>
      </c>
      <c r="AB2654" s="159" t="s">
        <v>15793</v>
      </c>
      <c r="AC2654" s="159" t="s">
        <v>15797</v>
      </c>
      <c r="AD2654" s="159" t="s">
        <v>15798</v>
      </c>
      <c r="AE2654" s="156">
        <v>4.0</v>
      </c>
      <c r="AF2654" s="156">
        <v>20.0</v>
      </c>
      <c r="AG2654" s="156">
        <v>0.22</v>
      </c>
      <c r="AH2654" s="159" t="s">
        <v>874</v>
      </c>
      <c r="AI2654" s="159" t="s">
        <v>496</v>
      </c>
      <c r="AJ2654" s="156">
        <v>0.035</v>
      </c>
      <c r="AK2654" s="159" t="s">
        <v>172</v>
      </c>
      <c r="AL2654" s="159" t="s">
        <v>186</v>
      </c>
      <c r="AM2654" s="159" t="s">
        <v>137</v>
      </c>
      <c r="AN2654" s="68"/>
      <c r="AO2654" s="156">
        <v>19.0</v>
      </c>
      <c r="AP2654" s="156">
        <v>-0.108</v>
      </c>
      <c r="AQ2654" s="159" t="s">
        <v>173</v>
      </c>
      <c r="AR2654" s="68"/>
      <c r="AS2654" s="156">
        <v>0.821</v>
      </c>
      <c r="AT2654" s="159" t="s">
        <v>172</v>
      </c>
      <c r="AU2654" s="159" t="s">
        <v>186</v>
      </c>
      <c r="AV2654" s="159" t="s">
        <v>137</v>
      </c>
      <c r="AW2654" s="68" t="s">
        <v>15670</v>
      </c>
      <c r="AX2654" s="159" t="s">
        <v>151</v>
      </c>
      <c r="AY2654" s="61" t="str">
        <f>IFERROR(__xludf.DUMMYFUNCTION("vlookup(BB2654,importrange(""https://docs.google.com/spreadsheets/d/1d2vevQ_7D_v35q4wCQ4RpQ_IPoTwEMB9Yp6ymwlPqew/edit?gid=984458430#gid=984458430"", ""'replication success'!A:K""), 11, FAlSE)"),"#N/A")</f>
        <v>#N/A</v>
      </c>
      <c r="AZ2654" s="61" t="str">
        <f>IFERROR(__xludf.DUMMYFUNCTION("vlookup(BB2654,importrange(""https://docs.google.com/spreadsheets/d/1d2vevQ_7D_v35q4wCQ4RpQ_IPoTwEMB9Yp6ymwlPqew/edit?gid=984458430#gid=984458430"", ""'replication success'!A:M""), 12, FAlSE)"),"#N/A")</f>
        <v>#N/A</v>
      </c>
      <c r="BA2654" s="61" t="str">
        <f>IFERROR(__xludf.DUMMYFUNCTION("vlookup(BB2654,importrange(""https://docs.google.com/spreadsheets/d/1d2vevQ_7D_v35q4wCQ4RpQ_IPoTwEMB9Yp6ymwlPqew/edit?gid=984458430#gid=984458430"", ""'replication success'!A:M""), 13, FAlSE)"),"#N/A")</f>
        <v>#N/A</v>
      </c>
      <c r="BB2654" s="61" t="str">
        <f>IFERROR(__xludf.DUMMYFUNCTION("REGEXREPLACE(G2654, ""_[a-z]{1,2}$"", """")"),"soscisubmission91")</f>
        <v>soscisubmission91</v>
      </c>
    </row>
    <row r="2655">
      <c r="A2655" s="44">
        <v>2655.0</v>
      </c>
      <c r="B2655" s="129" t="s">
        <v>285</v>
      </c>
      <c r="C2655" s="62" t="s">
        <v>115</v>
      </c>
      <c r="D2655" s="62" t="s">
        <v>15642</v>
      </c>
      <c r="F2655" s="68" t="s">
        <v>15657</v>
      </c>
      <c r="G2655" s="159" t="s">
        <v>15676</v>
      </c>
      <c r="H2655" s="159" t="s">
        <v>15659</v>
      </c>
      <c r="I2655" s="152">
        <v>45337.0</v>
      </c>
      <c r="J2655" s="152">
        <v>45787.0</v>
      </c>
      <c r="K2655" s="68"/>
      <c r="L2655" s="68"/>
      <c r="M2655" s="159" t="s">
        <v>15662</v>
      </c>
      <c r="N2655" s="159" t="s">
        <v>13193</v>
      </c>
      <c r="O2655" s="156">
        <v>2.0</v>
      </c>
      <c r="P2655" s="382" t="s">
        <v>13194</v>
      </c>
      <c r="Q2655" s="2191" t="str">
        <f> hyperlink(vlookup(lower(N2655),'File Links'!E:F, 2, FALSE), "LINK")</f>
        <v>LINK</v>
      </c>
      <c r="R2655" s="159" t="s">
        <v>15663</v>
      </c>
      <c r="S2655" s="159" t="s">
        <v>15664</v>
      </c>
      <c r="T2655" s="68"/>
      <c r="U2655" s="68"/>
      <c r="V2655" s="382" t="s">
        <v>15665</v>
      </c>
      <c r="W2655" s="1228"/>
      <c r="X2655" s="1552" t="str">
        <f> hyperlink(vlookup(lower(S2655),'File Links'!E:F, 2, FALSE), "LINK")</f>
        <v>LINK</v>
      </c>
      <c r="Y2655" s="68"/>
      <c r="Z2655" s="159" t="s">
        <v>1600</v>
      </c>
      <c r="AA2655" s="159" t="s">
        <v>15677</v>
      </c>
      <c r="AB2655" s="159" t="s">
        <v>15793</v>
      </c>
      <c r="AC2655" s="159" t="s">
        <v>15799</v>
      </c>
      <c r="AD2655" s="159" t="s">
        <v>15800</v>
      </c>
      <c r="AE2655" s="156">
        <v>4.0</v>
      </c>
      <c r="AF2655" s="156">
        <v>10.0</v>
      </c>
      <c r="AG2655" s="159" t="s">
        <v>15670</v>
      </c>
      <c r="AH2655" s="68"/>
      <c r="AI2655" s="68"/>
      <c r="AJ2655" s="156">
        <v>0.5</v>
      </c>
      <c r="AK2655" s="159" t="s">
        <v>172</v>
      </c>
      <c r="AL2655" s="159" t="s">
        <v>218</v>
      </c>
      <c r="AM2655" s="159" t="s">
        <v>141</v>
      </c>
      <c r="AN2655" s="68"/>
      <c r="AO2655" s="156">
        <v>43.0</v>
      </c>
      <c r="AP2655" s="156">
        <v>0.883</v>
      </c>
      <c r="AQ2655" s="159" t="s">
        <v>173</v>
      </c>
      <c r="AR2655" s="68"/>
      <c r="AS2655" s="156">
        <v>0.01</v>
      </c>
      <c r="AT2655" s="159" t="s">
        <v>172</v>
      </c>
      <c r="AU2655" s="159" t="s">
        <v>186</v>
      </c>
      <c r="AV2655" s="159" t="s">
        <v>137</v>
      </c>
      <c r="AW2655" s="68" t="s">
        <v>15670</v>
      </c>
      <c r="AX2655" s="159" t="s">
        <v>151</v>
      </c>
      <c r="AY2655" s="61" t="str">
        <f>IFERROR(__xludf.DUMMYFUNCTION("vlookup(BB2655,importrange(""https://docs.google.com/spreadsheets/d/1d2vevQ_7D_v35q4wCQ4RpQ_IPoTwEMB9Yp6ymwlPqew/edit?gid=984458430#gid=984458430"", ""'replication success'!A:K""), 11, FAlSE)"),"#N/A")</f>
        <v>#N/A</v>
      </c>
      <c r="AZ2655" s="61" t="str">
        <f>IFERROR(__xludf.DUMMYFUNCTION("vlookup(BB2655,importrange(""https://docs.google.com/spreadsheets/d/1d2vevQ_7D_v35q4wCQ4RpQ_IPoTwEMB9Yp6ymwlPqew/edit?gid=984458430#gid=984458430"", ""'replication success'!A:M""), 12, FAlSE)"),"#N/A")</f>
        <v>#N/A</v>
      </c>
      <c r="BA2655" s="61" t="str">
        <f>IFERROR(__xludf.DUMMYFUNCTION("vlookup(BB2655,importrange(""https://docs.google.com/spreadsheets/d/1d2vevQ_7D_v35q4wCQ4RpQ_IPoTwEMB9Yp6ymwlPqew/edit?gid=984458430#gid=984458430"", ""'replication success'!A:M""), 13, FAlSE)"),"#N/A")</f>
        <v>#N/A</v>
      </c>
      <c r="BB2655" s="61" t="str">
        <f>IFERROR(__xludf.DUMMYFUNCTION("REGEXREPLACE(G2655, ""_[a-z]{1,2}$"", """")"),"soscisubmission91")</f>
        <v>soscisubmission91</v>
      </c>
    </row>
    <row r="2656">
      <c r="A2656" s="44">
        <v>2656.0</v>
      </c>
      <c r="B2656" s="129" t="s">
        <v>285</v>
      </c>
      <c r="C2656" s="62" t="s">
        <v>115</v>
      </c>
      <c r="D2656" s="62" t="s">
        <v>15642</v>
      </c>
      <c r="F2656" s="46" t="s">
        <v>15801</v>
      </c>
      <c r="G2656" s="360" t="s">
        <v>15802</v>
      </c>
      <c r="H2656" s="360" t="s">
        <v>15803</v>
      </c>
      <c r="I2656" s="344" t="s">
        <v>15804</v>
      </c>
      <c r="J2656" s="152">
        <v>45787.0</v>
      </c>
      <c r="K2656" s="360" t="s">
        <v>15805</v>
      </c>
      <c r="L2656" s="360" t="s">
        <v>15806</v>
      </c>
      <c r="M2656" s="360" t="s">
        <v>15807</v>
      </c>
      <c r="N2656" s="360" t="s">
        <v>15808</v>
      </c>
      <c r="O2656" s="46"/>
      <c r="P2656" s="360" t="s">
        <v>15809</v>
      </c>
      <c r="Q2656" s="2205" t="str">
        <f> hyperlink(vlookup(lower(N2656),'File Links'!E:F, 2, FALSE), "LINK")</f>
        <v>LINK</v>
      </c>
      <c r="R2656" s="360" t="s">
        <v>15810</v>
      </c>
      <c r="S2656" s="360" t="s">
        <v>15811</v>
      </c>
      <c r="T2656" s="46"/>
      <c r="U2656" s="46"/>
      <c r="V2656" s="360" t="s">
        <v>15812</v>
      </c>
      <c r="W2656" s="46"/>
      <c r="X2656" s="2209" t="str">
        <f> hyperlink(vlookup(lower(S2656),'File Links'!E:F, 2, FALSE), "LINK")</f>
        <v>LINK</v>
      </c>
      <c r="Y2656" s="46"/>
      <c r="Z2656" s="360" t="s">
        <v>226</v>
      </c>
      <c r="AA2656" s="360" t="s">
        <v>15813</v>
      </c>
      <c r="AB2656" s="360" t="s">
        <v>15814</v>
      </c>
      <c r="AC2656" s="360" t="s">
        <v>15815</v>
      </c>
      <c r="AD2656" s="360" t="s">
        <v>15816</v>
      </c>
      <c r="AE2656" s="357">
        <v>4.0</v>
      </c>
      <c r="AF2656" s="357">
        <v>16.0</v>
      </c>
      <c r="AG2656" s="357">
        <v>0.19</v>
      </c>
      <c r="AH2656" s="360" t="s">
        <v>874</v>
      </c>
      <c r="AI2656" s="360" t="s">
        <v>496</v>
      </c>
      <c r="AJ2656" s="357">
        <v>0.09</v>
      </c>
      <c r="AK2656" s="360" t="s">
        <v>172</v>
      </c>
      <c r="AL2656" s="360" t="s">
        <v>186</v>
      </c>
      <c r="AM2656" s="360" t="s">
        <v>137</v>
      </c>
      <c r="AN2656" s="46"/>
      <c r="AO2656" s="357">
        <v>54.0</v>
      </c>
      <c r="AP2656" s="357">
        <v>0.08</v>
      </c>
      <c r="AQ2656" s="360" t="s">
        <v>139</v>
      </c>
      <c r="AR2656" s="46"/>
      <c r="AS2656" s="357">
        <v>0.132</v>
      </c>
      <c r="AT2656" s="360" t="s">
        <v>172</v>
      </c>
      <c r="AU2656" s="360" t="s">
        <v>186</v>
      </c>
      <c r="AV2656" s="360" t="s">
        <v>137</v>
      </c>
      <c r="AW2656" s="46" t="s">
        <v>15670</v>
      </c>
      <c r="AX2656" s="360" t="s">
        <v>143</v>
      </c>
      <c r="AY2656" s="61" t="str">
        <f>IFERROR(__xludf.DUMMYFUNCTION("vlookup(BB2656,importrange(""https://docs.google.com/spreadsheets/d/1d2vevQ_7D_v35q4wCQ4RpQ_IPoTwEMB9Yp6ymwlPqew/edit?gid=984458430#gid=984458430"", ""'replication success'!A:K""), 11, FAlSE)"),"#N/A")</f>
        <v>#N/A</v>
      </c>
      <c r="AZ2656" s="61" t="str">
        <f>IFERROR(__xludf.DUMMYFUNCTION("vlookup(BB2656,importrange(""https://docs.google.com/spreadsheets/d/1d2vevQ_7D_v35q4wCQ4RpQ_IPoTwEMB9Yp6ymwlPqew/edit?gid=984458430#gid=984458430"", ""'replication success'!A:M""), 12, FAlSE)"),"#N/A")</f>
        <v>#N/A</v>
      </c>
      <c r="BA2656" s="61" t="str">
        <f>IFERROR(__xludf.DUMMYFUNCTION("vlookup(BB2656,importrange(""https://docs.google.com/spreadsheets/d/1d2vevQ_7D_v35q4wCQ4RpQ_IPoTwEMB9Yp6ymwlPqew/edit?gid=984458430#gid=984458430"", ""'replication success'!A:M""), 13, FAlSE)"),"#N/A")</f>
        <v>#N/A</v>
      </c>
      <c r="BB2656" s="61" t="str">
        <f>IFERROR(__xludf.DUMMYFUNCTION("REGEXREPLACE(G2656, ""_[a-z]{1,2}$"", """")"),"Data (editable)_1")</f>
        <v>Data (editable)_1</v>
      </c>
    </row>
    <row r="2657">
      <c r="A2657" s="44">
        <v>2657.0</v>
      </c>
      <c r="B2657" s="129" t="s">
        <v>285</v>
      </c>
      <c r="C2657" s="62" t="s">
        <v>115</v>
      </c>
      <c r="D2657" s="62" t="s">
        <v>15642</v>
      </c>
      <c r="F2657" s="46" t="s">
        <v>15801</v>
      </c>
      <c r="G2657" s="360" t="s">
        <v>15817</v>
      </c>
      <c r="H2657" s="360" t="s">
        <v>15803</v>
      </c>
      <c r="I2657" s="344" t="s">
        <v>15804</v>
      </c>
      <c r="J2657" s="152">
        <v>45787.0</v>
      </c>
      <c r="K2657" s="360" t="s">
        <v>15805</v>
      </c>
      <c r="L2657" s="360" t="s">
        <v>15806</v>
      </c>
      <c r="M2657" s="360" t="s">
        <v>15807</v>
      </c>
      <c r="N2657" s="360" t="s">
        <v>15808</v>
      </c>
      <c r="O2657" s="46"/>
      <c r="P2657" s="360" t="s">
        <v>15809</v>
      </c>
      <c r="Q2657" s="2205" t="str">
        <f> hyperlink(vlookup(lower(N2657),'File Links'!E:F, 2, FALSE), "LINK")</f>
        <v>LINK</v>
      </c>
      <c r="R2657" s="360" t="s">
        <v>15810</v>
      </c>
      <c r="S2657" s="360" t="s">
        <v>15811</v>
      </c>
      <c r="T2657" s="46"/>
      <c r="U2657" s="46"/>
      <c r="V2657" s="360" t="s">
        <v>15812</v>
      </c>
      <c r="W2657" s="46"/>
      <c r="X2657" s="2209" t="str">
        <f> hyperlink(vlookup(lower(S2657),'File Links'!E:F, 2, FALSE), "LINK")</f>
        <v>LINK</v>
      </c>
      <c r="Y2657" s="46"/>
      <c r="Z2657" s="360" t="s">
        <v>226</v>
      </c>
      <c r="AA2657" s="360" t="s">
        <v>15818</v>
      </c>
      <c r="AB2657" s="360" t="s">
        <v>15814</v>
      </c>
      <c r="AC2657" s="360" t="s">
        <v>15819</v>
      </c>
      <c r="AD2657" s="360" t="s">
        <v>15820</v>
      </c>
      <c r="AE2657" s="357">
        <v>4.0</v>
      </c>
      <c r="AF2657" s="357">
        <v>16.0</v>
      </c>
      <c r="AG2657" s="357">
        <v>-0.36</v>
      </c>
      <c r="AH2657" s="360" t="s">
        <v>215</v>
      </c>
      <c r="AI2657" s="360" t="s">
        <v>496</v>
      </c>
      <c r="AJ2657" s="357">
        <v>0.013</v>
      </c>
      <c r="AK2657" s="360" t="s">
        <v>172</v>
      </c>
      <c r="AL2657" s="360" t="s">
        <v>186</v>
      </c>
      <c r="AM2657" s="360" t="s">
        <v>137</v>
      </c>
      <c r="AN2657" s="46"/>
      <c r="AO2657" s="357">
        <v>53.0</v>
      </c>
      <c r="AP2657" s="357">
        <v>0.15</v>
      </c>
      <c r="AQ2657" s="360" t="s">
        <v>139</v>
      </c>
      <c r="AR2657" s="46"/>
      <c r="AS2657" s="357">
        <v>0.02</v>
      </c>
      <c r="AT2657" s="360" t="s">
        <v>172</v>
      </c>
      <c r="AU2657" s="360" t="s">
        <v>186</v>
      </c>
      <c r="AV2657" s="360" t="s">
        <v>137</v>
      </c>
      <c r="AW2657" s="46" t="s">
        <v>15670</v>
      </c>
      <c r="AX2657" s="360" t="s">
        <v>143</v>
      </c>
      <c r="AY2657" s="61" t="str">
        <f>IFERROR(__xludf.DUMMYFUNCTION("vlookup(BB2657,importrange(""https://docs.google.com/spreadsheets/d/1d2vevQ_7D_v35q4wCQ4RpQ_IPoTwEMB9Yp6ymwlPqew/edit?gid=984458430#gid=984458430"", ""'replication success'!A:K""), 11, FAlSE)"),"#N/A")</f>
        <v>#N/A</v>
      </c>
      <c r="AZ2657" s="61" t="str">
        <f>IFERROR(__xludf.DUMMYFUNCTION("vlookup(BB2657,importrange(""https://docs.google.com/spreadsheets/d/1d2vevQ_7D_v35q4wCQ4RpQ_IPoTwEMB9Yp6ymwlPqew/edit?gid=984458430#gid=984458430"", ""'replication success'!A:M""), 12, FAlSE)"),"#N/A")</f>
        <v>#N/A</v>
      </c>
      <c r="BA2657" s="61" t="str">
        <f>IFERROR(__xludf.DUMMYFUNCTION("vlookup(BB2657,importrange(""https://docs.google.com/spreadsheets/d/1d2vevQ_7D_v35q4wCQ4RpQ_IPoTwEMB9Yp6ymwlPqew/edit?gid=984458430#gid=984458430"", ""'replication success'!A:M""), 13, FAlSE)"),"#N/A")</f>
        <v>#N/A</v>
      </c>
      <c r="BB2657" s="61" t="str">
        <f>IFERROR(__xludf.DUMMYFUNCTION("REGEXREPLACE(G2657, ""_[a-z]{1,2}$"", """")"),"Data (editable)_1")</f>
        <v>Data (editable)_1</v>
      </c>
    </row>
    <row r="2658">
      <c r="A2658" s="44">
        <v>2658.0</v>
      </c>
      <c r="B2658" s="129" t="s">
        <v>285</v>
      </c>
      <c r="C2658" s="62" t="s">
        <v>115</v>
      </c>
      <c r="D2658" s="62" t="s">
        <v>15642</v>
      </c>
      <c r="F2658" s="46" t="s">
        <v>15801</v>
      </c>
      <c r="G2658" s="360" t="s">
        <v>15821</v>
      </c>
      <c r="H2658" s="360" t="s">
        <v>15803</v>
      </c>
      <c r="I2658" s="344" t="s">
        <v>15804</v>
      </c>
      <c r="J2658" s="152">
        <v>45787.0</v>
      </c>
      <c r="K2658" s="360" t="s">
        <v>15805</v>
      </c>
      <c r="L2658" s="360" t="s">
        <v>15806</v>
      </c>
      <c r="M2658" s="360" t="s">
        <v>15807</v>
      </c>
      <c r="N2658" s="360" t="s">
        <v>15808</v>
      </c>
      <c r="O2658" s="46"/>
      <c r="P2658" s="360" t="s">
        <v>15809</v>
      </c>
      <c r="Q2658" s="2205" t="str">
        <f> hyperlink(vlookup(lower(N2658),'File Links'!E:F, 2, FALSE), "LINK")</f>
        <v>LINK</v>
      </c>
      <c r="R2658" s="360" t="s">
        <v>15810</v>
      </c>
      <c r="S2658" s="360" t="s">
        <v>15811</v>
      </c>
      <c r="T2658" s="46"/>
      <c r="U2658" s="46"/>
      <c r="V2658" s="360" t="s">
        <v>15812</v>
      </c>
      <c r="W2658" s="46"/>
      <c r="X2658" s="2209" t="str">
        <f> hyperlink(vlookup(lower(S2658),'File Links'!E:F, 2, FALSE), "LINK")</f>
        <v>LINK</v>
      </c>
      <c r="Y2658" s="46"/>
      <c r="Z2658" s="360" t="s">
        <v>226</v>
      </c>
      <c r="AA2658" s="360" t="s">
        <v>15822</v>
      </c>
      <c r="AB2658" s="360" t="s">
        <v>15814</v>
      </c>
      <c r="AC2658" s="360" t="s">
        <v>15823</v>
      </c>
      <c r="AD2658" s="360" t="s">
        <v>15824</v>
      </c>
      <c r="AE2658" s="357">
        <v>4.0</v>
      </c>
      <c r="AF2658" s="357">
        <v>16.0</v>
      </c>
      <c r="AG2658" s="357">
        <v>0.12</v>
      </c>
      <c r="AH2658" s="360" t="s">
        <v>874</v>
      </c>
      <c r="AI2658" s="360" t="s">
        <v>496</v>
      </c>
      <c r="AJ2658" s="357">
        <v>0.016</v>
      </c>
      <c r="AK2658" s="360" t="s">
        <v>172</v>
      </c>
      <c r="AL2658" s="360" t="s">
        <v>186</v>
      </c>
      <c r="AM2658" s="360" t="s">
        <v>137</v>
      </c>
      <c r="AN2658" s="46"/>
      <c r="AO2658" s="357">
        <v>53.0</v>
      </c>
      <c r="AP2658" s="357">
        <v>0.11</v>
      </c>
      <c r="AQ2658" s="360" t="s">
        <v>139</v>
      </c>
      <c r="AR2658" s="46"/>
      <c r="AS2658" s="357">
        <v>0.053</v>
      </c>
      <c r="AT2658" s="360" t="s">
        <v>172</v>
      </c>
      <c r="AU2658" s="360" t="s">
        <v>186</v>
      </c>
      <c r="AV2658" s="360" t="s">
        <v>137</v>
      </c>
      <c r="AW2658" s="46" t="s">
        <v>15670</v>
      </c>
      <c r="AX2658" s="360" t="s">
        <v>143</v>
      </c>
      <c r="AY2658" s="61" t="str">
        <f>IFERROR(__xludf.DUMMYFUNCTION("vlookup(BB2658,importrange(""https://docs.google.com/spreadsheets/d/1d2vevQ_7D_v35q4wCQ4RpQ_IPoTwEMB9Yp6ymwlPqew/edit?gid=984458430#gid=984458430"", ""'replication success'!A:K""), 11, FAlSE)"),"#N/A")</f>
        <v>#N/A</v>
      </c>
      <c r="AZ2658" s="61" t="str">
        <f>IFERROR(__xludf.DUMMYFUNCTION("vlookup(BB2658,importrange(""https://docs.google.com/spreadsheets/d/1d2vevQ_7D_v35q4wCQ4RpQ_IPoTwEMB9Yp6ymwlPqew/edit?gid=984458430#gid=984458430"", ""'replication success'!A:M""), 12, FAlSE)"),"#N/A")</f>
        <v>#N/A</v>
      </c>
      <c r="BA2658" s="61" t="str">
        <f>IFERROR(__xludf.DUMMYFUNCTION("vlookup(BB2658,importrange(""https://docs.google.com/spreadsheets/d/1d2vevQ_7D_v35q4wCQ4RpQ_IPoTwEMB9Yp6ymwlPqew/edit?gid=984458430#gid=984458430"", ""'replication success'!A:M""), 13, FAlSE)"),"#N/A")</f>
        <v>#N/A</v>
      </c>
      <c r="BB2658" s="61" t="str">
        <f>IFERROR(__xludf.DUMMYFUNCTION("REGEXREPLACE(G2658, ""_[a-z]{1,2}$"", """")"),"Data (editable)_1")</f>
        <v>Data (editable)_1</v>
      </c>
    </row>
    <row r="2659">
      <c r="A2659" s="44">
        <v>2659.0</v>
      </c>
      <c r="B2659" s="295" t="s">
        <v>152</v>
      </c>
      <c r="C2659" s="287" t="s">
        <v>115</v>
      </c>
      <c r="D2659" s="287" t="s">
        <v>286</v>
      </c>
      <c r="E2659" s="308"/>
      <c r="F2659" s="290" t="s">
        <v>14424</v>
      </c>
      <c r="G2659" s="290" t="s">
        <v>14425</v>
      </c>
      <c r="H2659" s="290" t="s">
        <v>8501</v>
      </c>
      <c r="I2659" s="292">
        <v>45244.0</v>
      </c>
      <c r="J2659" s="1809">
        <v>45807.0</v>
      </c>
      <c r="K2659" s="290" t="s">
        <v>15825</v>
      </c>
      <c r="L2659" s="295" t="s">
        <v>15826</v>
      </c>
      <c r="M2659" s="290" t="s">
        <v>14429</v>
      </c>
      <c r="N2659" s="159" t="s">
        <v>14430</v>
      </c>
      <c r="O2659" s="295">
        <v>2.0</v>
      </c>
      <c r="P2659" s="290" t="s">
        <v>14431</v>
      </c>
      <c r="Q2659" s="2210" t="str">
        <f> hyperlink(vlookup(lower(N2659),'File Links'!E:F, 2, FALSE), "LINK")</f>
        <v>LINK</v>
      </c>
      <c r="R2659" s="290" t="s">
        <v>14432</v>
      </c>
      <c r="S2659" s="290" t="s">
        <v>14433</v>
      </c>
      <c r="T2659" s="441" t="s">
        <v>15827</v>
      </c>
      <c r="U2659" s="295">
        <v>1.0</v>
      </c>
      <c r="V2659" s="290" t="s">
        <v>14434</v>
      </c>
      <c r="W2659" s="205" t="s">
        <v>209</v>
      </c>
      <c r="X2659" s="2211" t="str">
        <f> hyperlink(vlookup(lower(S2659),'File Links'!E:F, 2, FALSE), "LINK")</f>
        <v>LINK</v>
      </c>
      <c r="Y2659" s="290"/>
      <c r="Z2659" s="290" t="s">
        <v>1079</v>
      </c>
      <c r="AA2659" s="290" t="s">
        <v>15828</v>
      </c>
      <c r="AB2659" s="290" t="s">
        <v>14436</v>
      </c>
      <c r="AC2659" s="290" t="s">
        <v>15829</v>
      </c>
      <c r="AD2659" s="290" t="s">
        <v>14438</v>
      </c>
      <c r="AE2659" s="1563">
        <v>30.0</v>
      </c>
      <c r="AF2659" s="1563">
        <v>595.0</v>
      </c>
      <c r="AG2659" s="1563">
        <v>0.25</v>
      </c>
      <c r="AH2659" s="290" t="s">
        <v>215</v>
      </c>
      <c r="AI2659" s="1813" t="s">
        <v>2307</v>
      </c>
      <c r="AJ2659" s="1563">
        <v>0.001</v>
      </c>
      <c r="AK2659" s="290" t="s">
        <v>135</v>
      </c>
      <c r="AL2659" s="290" t="s">
        <v>186</v>
      </c>
      <c r="AM2659" s="290" t="s">
        <v>137</v>
      </c>
      <c r="AN2659" s="290" t="s">
        <v>138</v>
      </c>
      <c r="AO2659" s="1563">
        <v>1550.0</v>
      </c>
      <c r="AP2659" s="2086">
        <v>0.19</v>
      </c>
      <c r="AQ2659" s="159" t="s">
        <v>215</v>
      </c>
      <c r="AR2659" s="303" t="s">
        <v>14440</v>
      </c>
      <c r="AS2659" s="2212" t="s">
        <v>138</v>
      </c>
      <c r="AT2659" s="290" t="s">
        <v>138</v>
      </c>
      <c r="AU2659" s="290" t="s">
        <v>186</v>
      </c>
      <c r="AV2659" s="290" t="s">
        <v>137</v>
      </c>
      <c r="AW2659" s="2213" t="s">
        <v>15830</v>
      </c>
      <c r="AX2659" s="290" t="s">
        <v>143</v>
      </c>
      <c r="AY2659" s="61" t="str">
        <f>IFERROR(__xludf.DUMMYFUNCTION("vlookup(BB2659,importrange(""https://docs.google.com/spreadsheets/d/1d2vevQ_7D_v35q4wCQ4RpQ_IPoTwEMB9Yp6ymwlPqew/edit?gid=984458430#gid=984458430"", ""'replication success'!A:K""), 11, FAlSE)"),"")</f>
        <v/>
      </c>
      <c r="AZ2659" s="61" t="str">
        <f>IFERROR(__xludf.DUMMYFUNCTION("vlookup(BB2659,importrange(""https://docs.google.com/spreadsheets/d/1d2vevQ_7D_v35q4wCQ4RpQ_IPoTwEMB9Yp6ymwlPqew/edit?gid=984458430#gid=984458430"", ""'replication success'!A:M""), 12, FAlSE)"),"")</f>
        <v/>
      </c>
      <c r="BA2659" s="61" t="str">
        <f>IFERROR(__xludf.DUMMYFUNCTION("vlookup(BB2659,importrange(""https://docs.google.com/spreadsheets/d/1d2vevQ_7D_v35q4wCQ4RpQ_IPoTwEMB9Yp6ymwlPqew/edit?gid=984458430#gid=984458430"", ""'replication success'!A:M""), 13, FAlSE)"),"abstract")</f>
        <v>abstract</v>
      </c>
      <c r="BB2659" s="61" t="str">
        <f>IFERROR(__xludf.DUMMYFUNCTION("REGEXREPLACE(G2659, ""_[a-z]{1,2}$"", """")"),"Soto")</f>
        <v>Soto</v>
      </c>
      <c r="BC2659" s="308"/>
      <c r="BD2659" s="287" t="s">
        <v>1270</v>
      </c>
      <c r="BE2659" s="308"/>
      <c r="BF2659" s="308"/>
      <c r="BG2659" s="308"/>
      <c r="BH2659" s="308"/>
      <c r="BI2659" s="308"/>
      <c r="BJ2659" s="308"/>
      <c r="BK2659" s="308"/>
      <c r="BL2659" s="308"/>
      <c r="BM2659" s="308"/>
      <c r="BN2659" s="308"/>
      <c r="BO2659" s="308"/>
      <c r="BP2659" s="308"/>
      <c r="BQ2659" s="308"/>
      <c r="BR2659" s="308"/>
      <c r="BS2659" s="308"/>
      <c r="BT2659" s="308"/>
      <c r="BU2659" s="308"/>
      <c r="BV2659" s="308"/>
      <c r="BW2659" s="308"/>
      <c r="BX2659" s="308"/>
      <c r="BY2659" s="308"/>
      <c r="BZ2659" s="308"/>
      <c r="CA2659" s="308"/>
      <c r="CB2659" s="308"/>
      <c r="CC2659" s="308"/>
      <c r="CD2659" s="308"/>
      <c r="CE2659" s="308"/>
      <c r="CF2659" s="308"/>
      <c r="CG2659" s="308"/>
      <c r="CH2659" s="308"/>
      <c r="CI2659" s="308"/>
      <c r="CJ2659" s="308"/>
      <c r="CK2659" s="308"/>
      <c r="CL2659" s="308"/>
      <c r="CM2659" s="308"/>
      <c r="CN2659" s="308"/>
      <c r="CO2659" s="308"/>
      <c r="CP2659" s="308"/>
      <c r="CQ2659" s="308"/>
      <c r="CR2659" s="308"/>
      <c r="CS2659" s="308"/>
      <c r="CT2659" s="308"/>
      <c r="CU2659" s="308"/>
      <c r="CV2659" s="308"/>
      <c r="CW2659" s="308"/>
      <c r="CX2659" s="308"/>
      <c r="CY2659" s="308"/>
      <c r="CZ2659" s="308"/>
      <c r="DA2659" s="308"/>
      <c r="DB2659" s="308"/>
      <c r="DC2659" s="308"/>
      <c r="DD2659" s="308"/>
      <c r="DE2659" s="308"/>
      <c r="DF2659" s="308"/>
      <c r="DG2659" s="308"/>
      <c r="DH2659" s="308"/>
      <c r="DI2659" s="308"/>
      <c r="DJ2659" s="308"/>
      <c r="DK2659" s="308"/>
      <c r="DL2659" s="308"/>
    </row>
    <row r="2660">
      <c r="A2660" s="44">
        <v>2660.0</v>
      </c>
      <c r="B2660" s="129" t="s">
        <v>152</v>
      </c>
      <c r="C2660" s="62" t="s">
        <v>115</v>
      </c>
      <c r="D2660" s="62" t="s">
        <v>286</v>
      </c>
      <c r="F2660" s="159" t="s">
        <v>14442</v>
      </c>
      <c r="G2660" s="159" t="s">
        <v>14425</v>
      </c>
      <c r="H2660" s="159" t="s">
        <v>8501</v>
      </c>
      <c r="I2660" s="434">
        <v>45244.0</v>
      </c>
      <c r="J2660" s="153">
        <v>45807.0</v>
      </c>
      <c r="K2660" s="159" t="s">
        <v>15831</v>
      </c>
      <c r="L2660" s="295" t="s">
        <v>15826</v>
      </c>
      <c r="M2660" s="159" t="s">
        <v>14429</v>
      </c>
      <c r="N2660" s="159" t="s">
        <v>14430</v>
      </c>
      <c r="O2660" s="129">
        <v>2.0</v>
      </c>
      <c r="P2660" s="382" t="s">
        <v>14431</v>
      </c>
      <c r="Q2660" s="2191" t="str">
        <f> hyperlink(vlookup(lower(N2660),'File Links'!E:F, 2, FALSE), "LINK")</f>
        <v>LINK</v>
      </c>
      <c r="R2660" s="159" t="s">
        <v>14432</v>
      </c>
      <c r="S2660" s="159" t="s">
        <v>14433</v>
      </c>
      <c r="T2660" s="441" t="s">
        <v>15827</v>
      </c>
      <c r="U2660" s="129">
        <v>1.0</v>
      </c>
      <c r="V2660" s="382" t="s">
        <v>14434</v>
      </c>
      <c r="W2660" s="205" t="s">
        <v>209</v>
      </c>
      <c r="X2660" s="1552" t="str">
        <f> hyperlink(vlookup(lower(S2660),'File Links'!E:F, 2, FALSE), "LINK")</f>
        <v>LINK</v>
      </c>
      <c r="Y2660" s="159"/>
      <c r="Z2660" s="159" t="s">
        <v>1079</v>
      </c>
      <c r="AA2660" s="159" t="s">
        <v>15832</v>
      </c>
      <c r="AB2660" s="159" t="s">
        <v>14436</v>
      </c>
      <c r="AC2660" s="159" t="s">
        <v>15833</v>
      </c>
      <c r="AD2660" s="159" t="s">
        <v>14438</v>
      </c>
      <c r="AE2660" s="156">
        <v>30.0</v>
      </c>
      <c r="AF2660" s="156">
        <v>595.0</v>
      </c>
      <c r="AG2660" s="156">
        <v>0.21</v>
      </c>
      <c r="AH2660" s="159" t="s">
        <v>215</v>
      </c>
      <c r="AI2660" s="1813" t="s">
        <v>2307</v>
      </c>
      <c r="AJ2660" s="156">
        <v>0.001</v>
      </c>
      <c r="AK2660" s="159" t="s">
        <v>135</v>
      </c>
      <c r="AL2660" s="159" t="s">
        <v>186</v>
      </c>
      <c r="AM2660" s="159" t="s">
        <v>137</v>
      </c>
      <c r="AN2660" s="159" t="s">
        <v>138</v>
      </c>
      <c r="AO2660" s="156">
        <v>1550.0</v>
      </c>
      <c r="AP2660" s="1528">
        <v>0.15</v>
      </c>
      <c r="AQ2660" s="159" t="s">
        <v>215</v>
      </c>
      <c r="AR2660" s="151" t="s">
        <v>14440</v>
      </c>
      <c r="AS2660" s="159" t="s">
        <v>138</v>
      </c>
      <c r="AT2660" s="159" t="s">
        <v>138</v>
      </c>
      <c r="AU2660" s="159" t="s">
        <v>186</v>
      </c>
      <c r="AV2660" s="159" t="s">
        <v>137</v>
      </c>
      <c r="AW2660" s="310" t="s">
        <v>15830</v>
      </c>
      <c r="AX2660" s="159" t="s">
        <v>143</v>
      </c>
      <c r="AY2660" s="61" t="str">
        <f>IFERROR(__xludf.DUMMYFUNCTION("vlookup(BB2660,importrange(""https://docs.google.com/spreadsheets/d/1d2vevQ_7D_v35q4wCQ4RpQ_IPoTwEMB9Yp6ymwlPqew/edit?gid=984458430#gid=984458430"", ""'replication success'!A:K""), 11, FAlSE)"),"")</f>
        <v/>
      </c>
      <c r="AZ2660" s="61" t="str">
        <f>IFERROR(__xludf.DUMMYFUNCTION("vlookup(BB2660,importrange(""https://docs.google.com/spreadsheets/d/1d2vevQ_7D_v35q4wCQ4RpQ_IPoTwEMB9Yp6ymwlPqew/edit?gid=984458430#gid=984458430"", ""'replication success'!A:M""), 12, FAlSE)"),"")</f>
        <v/>
      </c>
      <c r="BA2660" s="61" t="str">
        <f>IFERROR(__xludf.DUMMYFUNCTION("vlookup(BB2660,importrange(""https://docs.google.com/spreadsheets/d/1d2vevQ_7D_v35q4wCQ4RpQ_IPoTwEMB9Yp6ymwlPqew/edit?gid=984458430#gid=984458430"", ""'replication success'!A:M""), 13, FAlSE)"),"abstract")</f>
        <v>abstract</v>
      </c>
      <c r="BB2660" s="61" t="str">
        <f>IFERROR(__xludf.DUMMYFUNCTION("REGEXREPLACE(G2660, ""_[a-z]{1,2}$"", """")"),"Soto")</f>
        <v>Soto</v>
      </c>
      <c r="BD2660" s="287" t="s">
        <v>1270</v>
      </c>
    </row>
    <row r="2661">
      <c r="A2661" s="44">
        <v>2661.0</v>
      </c>
      <c r="B2661" s="129" t="s">
        <v>152</v>
      </c>
      <c r="C2661" s="62" t="s">
        <v>115</v>
      </c>
      <c r="D2661" s="62" t="s">
        <v>286</v>
      </c>
      <c r="F2661" s="68" t="s">
        <v>14446</v>
      </c>
      <c r="G2661" s="159" t="s">
        <v>14425</v>
      </c>
      <c r="H2661" s="159" t="s">
        <v>8501</v>
      </c>
      <c r="I2661" s="434">
        <v>45244.0</v>
      </c>
      <c r="J2661" s="153">
        <v>45807.0</v>
      </c>
      <c r="K2661" s="159" t="s">
        <v>15834</v>
      </c>
      <c r="L2661" s="295" t="s">
        <v>15826</v>
      </c>
      <c r="M2661" s="159" t="s">
        <v>14429</v>
      </c>
      <c r="N2661" s="159" t="s">
        <v>14430</v>
      </c>
      <c r="O2661" s="129">
        <v>2.0</v>
      </c>
      <c r="P2661" s="382" t="s">
        <v>14431</v>
      </c>
      <c r="Q2661" s="2191" t="str">
        <f> hyperlink(vlookup(lower(N2661),'File Links'!E:F, 2, FALSE), "LINK")</f>
        <v>LINK</v>
      </c>
      <c r="R2661" s="159" t="s">
        <v>14432</v>
      </c>
      <c r="S2661" s="159" t="s">
        <v>14433</v>
      </c>
      <c r="T2661" s="441" t="s">
        <v>15827</v>
      </c>
      <c r="U2661" s="129">
        <v>1.0</v>
      </c>
      <c r="V2661" s="382" t="s">
        <v>14434</v>
      </c>
      <c r="W2661" s="205" t="s">
        <v>209</v>
      </c>
      <c r="X2661" s="1552" t="str">
        <f> hyperlink(vlookup(lower(S2661),'File Links'!E:F, 2, FALSE), "LINK")</f>
        <v>LINK</v>
      </c>
      <c r="Y2661" s="159"/>
      <c r="Z2661" s="159" t="s">
        <v>1079</v>
      </c>
      <c r="AA2661" s="159" t="s">
        <v>15835</v>
      </c>
      <c r="AB2661" s="159" t="s">
        <v>14436</v>
      </c>
      <c r="AC2661" s="159" t="s">
        <v>14449</v>
      </c>
      <c r="AD2661" s="151" t="s">
        <v>14450</v>
      </c>
      <c r="AE2661" s="156">
        <v>30.0</v>
      </c>
      <c r="AF2661" s="156">
        <v>595.0</v>
      </c>
      <c r="AG2661" s="156">
        <v>0.33</v>
      </c>
      <c r="AH2661" s="159" t="s">
        <v>215</v>
      </c>
      <c r="AI2661" s="1813" t="s">
        <v>2307</v>
      </c>
      <c r="AJ2661" s="156">
        <v>0.001</v>
      </c>
      <c r="AK2661" s="159" t="s">
        <v>135</v>
      </c>
      <c r="AL2661" s="159" t="s">
        <v>186</v>
      </c>
      <c r="AM2661" s="159" t="s">
        <v>137</v>
      </c>
      <c r="AN2661" s="159" t="s">
        <v>138</v>
      </c>
      <c r="AO2661" s="156">
        <v>1550.0</v>
      </c>
      <c r="AP2661" s="1527">
        <v>0.2</v>
      </c>
      <c r="AQ2661" s="159" t="s">
        <v>215</v>
      </c>
      <c r="AR2661" s="151" t="s">
        <v>14440</v>
      </c>
      <c r="AS2661" s="159" t="s">
        <v>138</v>
      </c>
      <c r="AT2661" s="159" t="s">
        <v>138</v>
      </c>
      <c r="AU2661" s="159" t="s">
        <v>186</v>
      </c>
      <c r="AV2661" s="159" t="s">
        <v>137</v>
      </c>
      <c r="AW2661" s="310" t="s">
        <v>15830</v>
      </c>
      <c r="AX2661" s="159" t="s">
        <v>143</v>
      </c>
      <c r="AY2661" s="61" t="str">
        <f>IFERROR(__xludf.DUMMYFUNCTION("vlookup(BB2661,importrange(""https://docs.google.com/spreadsheets/d/1d2vevQ_7D_v35q4wCQ4RpQ_IPoTwEMB9Yp6ymwlPqew/edit?gid=984458430#gid=984458430"", ""'replication success'!A:K""), 11, FAlSE)"),"")</f>
        <v/>
      </c>
      <c r="AZ2661" s="61" t="str">
        <f>IFERROR(__xludf.DUMMYFUNCTION("vlookup(BB2661,importrange(""https://docs.google.com/spreadsheets/d/1d2vevQ_7D_v35q4wCQ4RpQ_IPoTwEMB9Yp6ymwlPqew/edit?gid=984458430#gid=984458430"", ""'replication success'!A:M""), 12, FAlSE)"),"")</f>
        <v/>
      </c>
      <c r="BA2661" s="61" t="str">
        <f>IFERROR(__xludf.DUMMYFUNCTION("vlookup(BB2661,importrange(""https://docs.google.com/spreadsheets/d/1d2vevQ_7D_v35q4wCQ4RpQ_IPoTwEMB9Yp6ymwlPqew/edit?gid=984458430#gid=984458430"", ""'replication success'!A:M""), 13, FAlSE)"),"abstract")</f>
        <v>abstract</v>
      </c>
      <c r="BB2661" s="61" t="str">
        <f>IFERROR(__xludf.DUMMYFUNCTION("REGEXREPLACE(G2661, ""_[a-z]{1,2}$"", """")"),"Soto")</f>
        <v>Soto</v>
      </c>
      <c r="BD2661" s="287" t="s">
        <v>1270</v>
      </c>
    </row>
    <row r="2662">
      <c r="A2662" s="44">
        <v>2662.0</v>
      </c>
      <c r="B2662" s="129" t="s">
        <v>152</v>
      </c>
      <c r="C2662" s="62" t="s">
        <v>115</v>
      </c>
      <c r="D2662" s="62" t="s">
        <v>286</v>
      </c>
      <c r="F2662" s="68" t="s">
        <v>14451</v>
      </c>
      <c r="G2662" s="159" t="s">
        <v>14425</v>
      </c>
      <c r="H2662" s="159" t="s">
        <v>8501</v>
      </c>
      <c r="I2662" s="434">
        <v>45244.0</v>
      </c>
      <c r="J2662" s="153">
        <v>45807.0</v>
      </c>
      <c r="K2662" s="159" t="s">
        <v>15836</v>
      </c>
      <c r="L2662" s="295" t="s">
        <v>15826</v>
      </c>
      <c r="M2662" s="159" t="s">
        <v>14429</v>
      </c>
      <c r="N2662" s="159" t="s">
        <v>14430</v>
      </c>
      <c r="O2662" s="129">
        <v>2.0</v>
      </c>
      <c r="P2662" s="382" t="s">
        <v>14431</v>
      </c>
      <c r="Q2662" s="2191" t="str">
        <f> hyperlink(vlookup(lower(N2662),'File Links'!E:F, 2, FALSE), "LINK")</f>
        <v>LINK</v>
      </c>
      <c r="R2662" s="159" t="s">
        <v>14432</v>
      </c>
      <c r="S2662" s="159" t="s">
        <v>14433</v>
      </c>
      <c r="T2662" s="441" t="s">
        <v>15827</v>
      </c>
      <c r="U2662" s="129">
        <v>1.0</v>
      </c>
      <c r="V2662" s="382" t="s">
        <v>14434</v>
      </c>
      <c r="W2662" s="205" t="s">
        <v>209</v>
      </c>
      <c r="X2662" s="1552" t="str">
        <f> hyperlink(vlookup(lower(S2662),'File Links'!E:F, 2, FALSE), "LINK")</f>
        <v>LINK</v>
      </c>
      <c r="Y2662" s="159"/>
      <c r="Z2662" s="159" t="s">
        <v>1079</v>
      </c>
      <c r="AA2662" s="159" t="s">
        <v>15837</v>
      </c>
      <c r="AB2662" s="159" t="s">
        <v>14436</v>
      </c>
      <c r="AC2662" s="159" t="s">
        <v>14454</v>
      </c>
      <c r="AD2662" s="151" t="s">
        <v>14455</v>
      </c>
      <c r="AE2662" s="156">
        <v>33.0</v>
      </c>
      <c r="AF2662" s="156">
        <v>595.0</v>
      </c>
      <c r="AG2662" s="156">
        <v>0.32</v>
      </c>
      <c r="AH2662" s="159" t="s">
        <v>215</v>
      </c>
      <c r="AI2662" s="1813" t="s">
        <v>2307</v>
      </c>
      <c r="AJ2662" s="156">
        <v>0.001</v>
      </c>
      <c r="AK2662" s="159" t="s">
        <v>135</v>
      </c>
      <c r="AL2662" s="159" t="s">
        <v>186</v>
      </c>
      <c r="AM2662" s="159" t="s">
        <v>137</v>
      </c>
      <c r="AN2662" s="159" t="s">
        <v>138</v>
      </c>
      <c r="AO2662" s="156">
        <v>1550.0</v>
      </c>
      <c r="AP2662" s="151">
        <v>0.37</v>
      </c>
      <c r="AQ2662" s="159" t="s">
        <v>215</v>
      </c>
      <c r="AR2662" s="151" t="s">
        <v>14440</v>
      </c>
      <c r="AS2662" s="159" t="s">
        <v>138</v>
      </c>
      <c r="AT2662" s="159" t="s">
        <v>138</v>
      </c>
      <c r="AU2662" s="159" t="s">
        <v>186</v>
      </c>
      <c r="AV2662" s="159" t="s">
        <v>137</v>
      </c>
      <c r="AW2662" s="310" t="s">
        <v>15830</v>
      </c>
      <c r="AX2662" s="159" t="s">
        <v>143</v>
      </c>
      <c r="AY2662" s="61" t="str">
        <f>IFERROR(__xludf.DUMMYFUNCTION("vlookup(BB2662,importrange(""https://docs.google.com/spreadsheets/d/1d2vevQ_7D_v35q4wCQ4RpQ_IPoTwEMB9Yp6ymwlPqew/edit?gid=984458430#gid=984458430"", ""'replication success'!A:K""), 11, FAlSE)"),"")</f>
        <v/>
      </c>
      <c r="AZ2662" s="61" t="str">
        <f>IFERROR(__xludf.DUMMYFUNCTION("vlookup(BB2662,importrange(""https://docs.google.com/spreadsheets/d/1d2vevQ_7D_v35q4wCQ4RpQ_IPoTwEMB9Yp6ymwlPqew/edit?gid=984458430#gid=984458430"", ""'replication success'!A:M""), 12, FAlSE)"),"")</f>
        <v/>
      </c>
      <c r="BA2662" s="61" t="str">
        <f>IFERROR(__xludf.DUMMYFUNCTION("vlookup(BB2662,importrange(""https://docs.google.com/spreadsheets/d/1d2vevQ_7D_v35q4wCQ4RpQ_IPoTwEMB9Yp6ymwlPqew/edit?gid=984458430#gid=984458430"", ""'replication success'!A:M""), 13, FAlSE)"),"abstract")</f>
        <v>abstract</v>
      </c>
      <c r="BB2662" s="61" t="str">
        <f>IFERROR(__xludf.DUMMYFUNCTION("REGEXREPLACE(G2662, ""_[a-z]{1,2}$"", """")"),"Soto")</f>
        <v>Soto</v>
      </c>
      <c r="BD2662" s="287" t="s">
        <v>1270</v>
      </c>
    </row>
    <row r="2663">
      <c r="A2663" s="44">
        <v>2663.0</v>
      </c>
      <c r="B2663" s="295" t="s">
        <v>152</v>
      </c>
      <c r="C2663" s="287" t="s">
        <v>115</v>
      </c>
      <c r="D2663" s="287" t="s">
        <v>286</v>
      </c>
      <c r="E2663" s="308"/>
      <c r="F2663" s="305" t="s">
        <v>14456</v>
      </c>
      <c r="G2663" s="290" t="s">
        <v>14425</v>
      </c>
      <c r="H2663" s="290" t="s">
        <v>8501</v>
      </c>
      <c r="I2663" s="292">
        <v>45244.0</v>
      </c>
      <c r="J2663" s="1809">
        <v>45807.0</v>
      </c>
      <c r="K2663" s="290" t="s">
        <v>15836</v>
      </c>
      <c r="L2663" s="295" t="s">
        <v>15826</v>
      </c>
      <c r="M2663" s="290" t="s">
        <v>14429</v>
      </c>
      <c r="N2663" s="290" t="s">
        <v>14430</v>
      </c>
      <c r="O2663" s="295">
        <v>2.0</v>
      </c>
      <c r="P2663" s="290" t="s">
        <v>14431</v>
      </c>
      <c r="Q2663" s="2210" t="str">
        <f> hyperlink(vlookup(lower(N2663),'File Links'!E:F, 2, FALSE), "LINK")</f>
        <v>LINK</v>
      </c>
      <c r="R2663" s="290" t="s">
        <v>14432</v>
      </c>
      <c r="S2663" s="290" t="s">
        <v>14433</v>
      </c>
      <c r="T2663" s="441" t="s">
        <v>15827</v>
      </c>
      <c r="U2663" s="295">
        <v>1.0</v>
      </c>
      <c r="V2663" s="290" t="s">
        <v>14434</v>
      </c>
      <c r="W2663" s="205" t="s">
        <v>209</v>
      </c>
      <c r="X2663" s="2211" t="str">
        <f> hyperlink(vlookup(lower(S2663),'File Links'!E:F, 2, FALSE), "LINK")</f>
        <v>LINK</v>
      </c>
      <c r="Y2663" s="290"/>
      <c r="Z2663" s="290" t="s">
        <v>1079</v>
      </c>
      <c r="AA2663" s="290" t="s">
        <v>15838</v>
      </c>
      <c r="AB2663" s="290" t="s">
        <v>14436</v>
      </c>
      <c r="AC2663" s="290" t="s">
        <v>14458</v>
      </c>
      <c r="AD2663" s="303" t="s">
        <v>14459</v>
      </c>
      <c r="AE2663" s="1563">
        <v>33.0</v>
      </c>
      <c r="AF2663" s="1563">
        <v>595.0</v>
      </c>
      <c r="AG2663" s="1563">
        <v>-0.66</v>
      </c>
      <c r="AH2663" s="290" t="s">
        <v>215</v>
      </c>
      <c r="AI2663" s="1813" t="s">
        <v>2307</v>
      </c>
      <c r="AJ2663" s="1563">
        <v>0.001</v>
      </c>
      <c r="AK2663" s="290" t="s">
        <v>135</v>
      </c>
      <c r="AL2663" s="290" t="s">
        <v>186</v>
      </c>
      <c r="AM2663" s="290" t="s">
        <v>137</v>
      </c>
      <c r="AN2663" s="290" t="s">
        <v>138</v>
      </c>
      <c r="AO2663" s="1563">
        <v>1550.0</v>
      </c>
      <c r="AP2663" s="303">
        <v>-0.63</v>
      </c>
      <c r="AQ2663" s="159" t="s">
        <v>215</v>
      </c>
      <c r="AR2663" s="151" t="s">
        <v>14440</v>
      </c>
      <c r="AS2663" s="290" t="s">
        <v>138</v>
      </c>
      <c r="AT2663" s="290" t="s">
        <v>138</v>
      </c>
      <c r="AU2663" s="290" t="s">
        <v>186</v>
      </c>
      <c r="AV2663" s="290" t="s">
        <v>137</v>
      </c>
      <c r="AW2663" s="2213" t="s">
        <v>15830</v>
      </c>
      <c r="AX2663" s="290" t="s">
        <v>143</v>
      </c>
      <c r="AY2663" s="61" t="str">
        <f>IFERROR(__xludf.DUMMYFUNCTION("vlookup(BB2663,importrange(""https://docs.google.com/spreadsheets/d/1d2vevQ_7D_v35q4wCQ4RpQ_IPoTwEMB9Yp6ymwlPqew/edit?gid=984458430#gid=984458430"", ""'replication success'!A:K""), 11, FAlSE)"),"")</f>
        <v/>
      </c>
      <c r="AZ2663" s="61" t="str">
        <f>IFERROR(__xludf.DUMMYFUNCTION("vlookup(BB2663,importrange(""https://docs.google.com/spreadsheets/d/1d2vevQ_7D_v35q4wCQ4RpQ_IPoTwEMB9Yp6ymwlPqew/edit?gid=984458430#gid=984458430"", ""'replication success'!A:M""), 12, FAlSE)"),"")</f>
        <v/>
      </c>
      <c r="BA2663" s="61" t="str">
        <f>IFERROR(__xludf.DUMMYFUNCTION("vlookup(BB2663,importrange(""https://docs.google.com/spreadsheets/d/1d2vevQ_7D_v35q4wCQ4RpQ_IPoTwEMB9Yp6ymwlPqew/edit?gid=984458430#gid=984458430"", ""'replication success'!A:M""), 13, FAlSE)"),"abstract")</f>
        <v>abstract</v>
      </c>
      <c r="BB2663" s="61" t="str">
        <f>IFERROR(__xludf.DUMMYFUNCTION("REGEXREPLACE(G2663, ""_[a-z]{1,2}$"", """")"),"Soto")</f>
        <v>Soto</v>
      </c>
      <c r="BC2663" s="308"/>
      <c r="BD2663" s="287" t="s">
        <v>1270</v>
      </c>
      <c r="BE2663" s="308"/>
      <c r="BF2663" s="308"/>
      <c r="BG2663" s="308"/>
      <c r="BH2663" s="308"/>
      <c r="BI2663" s="308"/>
      <c r="BJ2663" s="308"/>
      <c r="BK2663" s="308"/>
      <c r="BL2663" s="308"/>
      <c r="BM2663" s="308"/>
      <c r="BN2663" s="308"/>
      <c r="BO2663" s="308"/>
      <c r="BP2663" s="308"/>
      <c r="BQ2663" s="308"/>
      <c r="BR2663" s="308"/>
      <c r="BS2663" s="308"/>
      <c r="BT2663" s="308"/>
      <c r="BU2663" s="308"/>
      <c r="BV2663" s="308"/>
      <c r="BW2663" s="308"/>
      <c r="BX2663" s="308"/>
      <c r="BY2663" s="308"/>
      <c r="BZ2663" s="308"/>
      <c r="CA2663" s="308"/>
      <c r="CB2663" s="308"/>
      <c r="CC2663" s="308"/>
      <c r="CD2663" s="308"/>
      <c r="CE2663" s="308"/>
      <c r="CF2663" s="308"/>
      <c r="CG2663" s="308"/>
      <c r="CH2663" s="308"/>
      <c r="CI2663" s="308"/>
      <c r="CJ2663" s="308"/>
      <c r="CK2663" s="308"/>
      <c r="CL2663" s="308"/>
      <c r="CM2663" s="308"/>
      <c r="CN2663" s="308"/>
      <c r="CO2663" s="308"/>
      <c r="CP2663" s="308"/>
      <c r="CQ2663" s="308"/>
      <c r="CR2663" s="308"/>
      <c r="CS2663" s="308"/>
      <c r="CT2663" s="308"/>
      <c r="CU2663" s="308"/>
      <c r="CV2663" s="308"/>
      <c r="CW2663" s="308"/>
      <c r="CX2663" s="308"/>
      <c r="CY2663" s="308"/>
      <c r="CZ2663" s="308"/>
      <c r="DA2663" s="308"/>
      <c r="DB2663" s="308"/>
      <c r="DC2663" s="308"/>
      <c r="DD2663" s="308"/>
      <c r="DE2663" s="308"/>
      <c r="DF2663" s="308"/>
      <c r="DG2663" s="308"/>
      <c r="DH2663" s="308"/>
      <c r="DI2663" s="308"/>
      <c r="DJ2663" s="308"/>
      <c r="DK2663" s="308"/>
      <c r="DL2663" s="308"/>
    </row>
    <row r="2664">
      <c r="A2664" s="44">
        <v>2664.0</v>
      </c>
      <c r="B2664" s="129" t="s">
        <v>114</v>
      </c>
      <c r="C2664" s="62" t="s">
        <v>115</v>
      </c>
      <c r="D2664" s="62" t="s">
        <v>286</v>
      </c>
      <c r="F2664" s="68" t="s">
        <v>14460</v>
      </c>
      <c r="G2664" s="159" t="s">
        <v>14425</v>
      </c>
      <c r="H2664" s="159" t="s">
        <v>8501</v>
      </c>
      <c r="I2664" s="434">
        <v>45244.0</v>
      </c>
      <c r="J2664" s="153">
        <v>45807.0</v>
      </c>
      <c r="K2664" s="159" t="s">
        <v>15839</v>
      </c>
      <c r="L2664" s="129" t="s">
        <v>15840</v>
      </c>
      <c r="M2664" s="159" t="s">
        <v>14462</v>
      </c>
      <c r="N2664" s="159" t="s">
        <v>14463</v>
      </c>
      <c r="O2664" s="129" t="s">
        <v>3580</v>
      </c>
      <c r="P2664" s="382" t="s">
        <v>14464</v>
      </c>
      <c r="Q2664" s="2191" t="str">
        <f> hyperlink(vlookup(lower(N2664),'File Links'!E:F, 2, FALSE), "LINK")</f>
        <v>LINK</v>
      </c>
      <c r="R2664" s="159" t="s">
        <v>14432</v>
      </c>
      <c r="S2664" s="159" t="s">
        <v>14433</v>
      </c>
      <c r="T2664" s="441" t="s">
        <v>15827</v>
      </c>
      <c r="U2664" s="129">
        <v>1.0</v>
      </c>
      <c r="V2664" s="382" t="s">
        <v>14434</v>
      </c>
      <c r="W2664" s="205" t="s">
        <v>209</v>
      </c>
      <c r="X2664" s="1552" t="str">
        <f> hyperlink(vlookup(lower(S2664),'File Links'!E:F, 2, FALSE), "LINK")</f>
        <v>LINK</v>
      </c>
      <c r="Y2664" s="159"/>
      <c r="Z2664" s="159" t="s">
        <v>1079</v>
      </c>
      <c r="AA2664" s="159" t="s">
        <v>15841</v>
      </c>
      <c r="AB2664" s="159" t="s">
        <v>14436</v>
      </c>
      <c r="AC2664" s="159" t="s">
        <v>14466</v>
      </c>
      <c r="AD2664" s="151" t="s">
        <v>14467</v>
      </c>
      <c r="AE2664" s="156">
        <v>7.0</v>
      </c>
      <c r="AF2664" s="156">
        <v>152.0</v>
      </c>
      <c r="AG2664" s="156">
        <v>0.2</v>
      </c>
      <c r="AH2664" s="290" t="s">
        <v>215</v>
      </c>
      <c r="AI2664" s="151" t="s">
        <v>15842</v>
      </c>
      <c r="AJ2664" s="156">
        <v>0.1</v>
      </c>
      <c r="AK2664" s="159" t="s">
        <v>135</v>
      </c>
      <c r="AL2664" s="159" t="s">
        <v>186</v>
      </c>
      <c r="AM2664" s="159" t="s">
        <v>137</v>
      </c>
      <c r="AN2664" s="159" t="s">
        <v>138</v>
      </c>
      <c r="AO2664" s="156">
        <v>1514.0</v>
      </c>
      <c r="AP2664" s="151">
        <v>0.39</v>
      </c>
      <c r="AQ2664" s="159" t="s">
        <v>215</v>
      </c>
      <c r="AR2664" s="151" t="s">
        <v>14440</v>
      </c>
      <c r="AS2664" s="2214">
        <v>1.33E-42</v>
      </c>
      <c r="AT2664" s="2215" t="s">
        <v>172</v>
      </c>
      <c r="AU2664" s="2216" t="s">
        <v>136</v>
      </c>
      <c r="AV2664" s="159" t="s">
        <v>137</v>
      </c>
      <c r="AW2664" s="310" t="s">
        <v>15830</v>
      </c>
      <c r="AX2664" s="159" t="s">
        <v>143</v>
      </c>
      <c r="AY2664" s="61" t="str">
        <f>IFERROR(__xludf.DUMMYFUNCTION("vlookup(BB2664,importrange(""https://docs.google.com/spreadsheets/d/1d2vevQ_7D_v35q4wCQ4RpQ_IPoTwEMB9Yp6ymwlPqew/edit?gid=984458430#gid=984458430"", ""'replication success'!A:K""), 11, FAlSE)"),"")</f>
        <v/>
      </c>
      <c r="AZ2664" s="61" t="str">
        <f>IFERROR(__xludf.DUMMYFUNCTION("vlookup(BB2664,importrange(""https://docs.google.com/spreadsheets/d/1d2vevQ_7D_v35q4wCQ4RpQ_IPoTwEMB9Yp6ymwlPqew/edit?gid=984458430#gid=984458430"", ""'replication success'!A:M""), 12, FAlSE)"),"")</f>
        <v/>
      </c>
      <c r="BA2664" s="61" t="str">
        <f>IFERROR(__xludf.DUMMYFUNCTION("vlookup(BB2664,importrange(""https://docs.google.com/spreadsheets/d/1d2vevQ_7D_v35q4wCQ4RpQ_IPoTwEMB9Yp6ymwlPqew/edit?gid=984458430#gid=984458430"", ""'replication success'!A:M""), 13, FAlSE)"),"abstract")</f>
        <v>abstract</v>
      </c>
      <c r="BB2664" s="61" t="str">
        <f>IFERROR(__xludf.DUMMYFUNCTION("REGEXREPLACE(G2664, ""_[a-z]{1,2}$"", """")"),"Soto")</f>
        <v>Soto</v>
      </c>
      <c r="BD2664" s="287" t="s">
        <v>1270</v>
      </c>
    </row>
    <row r="2665">
      <c r="A2665" s="44">
        <v>2665.0</v>
      </c>
      <c r="B2665" s="129" t="s">
        <v>114</v>
      </c>
      <c r="C2665" s="62" t="s">
        <v>115</v>
      </c>
      <c r="D2665" s="62" t="s">
        <v>286</v>
      </c>
      <c r="F2665" s="68" t="s">
        <v>14469</v>
      </c>
      <c r="G2665" s="159" t="s">
        <v>14425</v>
      </c>
      <c r="H2665" s="159" t="s">
        <v>8501</v>
      </c>
      <c r="I2665" s="434">
        <v>45244.0</v>
      </c>
      <c r="J2665" s="153">
        <v>45807.0</v>
      </c>
      <c r="K2665" s="159" t="s">
        <v>15843</v>
      </c>
      <c r="L2665" s="129" t="s">
        <v>15840</v>
      </c>
      <c r="M2665" s="159" t="s">
        <v>14462</v>
      </c>
      <c r="N2665" s="159" t="s">
        <v>14463</v>
      </c>
      <c r="O2665" s="129" t="s">
        <v>3580</v>
      </c>
      <c r="P2665" s="382" t="s">
        <v>14464</v>
      </c>
      <c r="Q2665" s="2191" t="str">
        <f> hyperlink(vlookup(lower(N2665),'File Links'!E:F, 2, FALSE), "LINK")</f>
        <v>LINK</v>
      </c>
      <c r="R2665" s="159" t="s">
        <v>14432</v>
      </c>
      <c r="S2665" s="159" t="s">
        <v>14433</v>
      </c>
      <c r="T2665" s="441" t="s">
        <v>15827</v>
      </c>
      <c r="U2665" s="129">
        <v>1.0</v>
      </c>
      <c r="V2665" s="159" t="s">
        <v>14434</v>
      </c>
      <c r="W2665" s="205" t="s">
        <v>209</v>
      </c>
      <c r="X2665" s="1552" t="str">
        <f> hyperlink(vlookup(lower(S2665),'File Links'!E:F, 2, FALSE), "LINK")</f>
        <v>LINK</v>
      </c>
      <c r="Y2665" s="159"/>
      <c r="Z2665" s="159" t="s">
        <v>1079</v>
      </c>
      <c r="AA2665" s="159" t="s">
        <v>15844</v>
      </c>
      <c r="AB2665" s="159" t="s">
        <v>14436</v>
      </c>
      <c r="AC2665" s="159" t="s">
        <v>14471</v>
      </c>
      <c r="AD2665" s="159" t="s">
        <v>14472</v>
      </c>
      <c r="AE2665" s="156">
        <v>7.0</v>
      </c>
      <c r="AF2665" s="156">
        <v>152.0</v>
      </c>
      <c r="AG2665" s="156">
        <v>0.43</v>
      </c>
      <c r="AH2665" s="290" t="s">
        <v>215</v>
      </c>
      <c r="AI2665" s="151" t="s">
        <v>15845</v>
      </c>
      <c r="AJ2665" s="156">
        <v>0.001</v>
      </c>
      <c r="AK2665" s="159" t="s">
        <v>135</v>
      </c>
      <c r="AL2665" s="159" t="s">
        <v>186</v>
      </c>
      <c r="AM2665" s="159" t="s">
        <v>137</v>
      </c>
      <c r="AN2665" s="159" t="s">
        <v>138</v>
      </c>
      <c r="AO2665" s="156">
        <v>1514.0</v>
      </c>
      <c r="AP2665" s="151">
        <v>0.35</v>
      </c>
      <c r="AQ2665" s="159" t="s">
        <v>215</v>
      </c>
      <c r="AR2665" s="151" t="s">
        <v>14440</v>
      </c>
      <c r="AS2665" s="2214">
        <v>3.2E-31</v>
      </c>
      <c r="AT2665" s="2215" t="s">
        <v>172</v>
      </c>
      <c r="AU2665" s="2216" t="s">
        <v>136</v>
      </c>
      <c r="AV2665" s="159" t="s">
        <v>137</v>
      </c>
      <c r="AW2665" s="310" t="s">
        <v>15830</v>
      </c>
      <c r="AX2665" s="159" t="s">
        <v>143</v>
      </c>
      <c r="AY2665" s="61" t="str">
        <f>IFERROR(__xludf.DUMMYFUNCTION("vlookup(BB2665,importrange(""https://docs.google.com/spreadsheets/d/1d2vevQ_7D_v35q4wCQ4RpQ_IPoTwEMB9Yp6ymwlPqew/edit?gid=984458430#gid=984458430"", ""'replication success'!A:K""), 11, FAlSE)"),"")</f>
        <v/>
      </c>
      <c r="AZ2665" s="61" t="str">
        <f>IFERROR(__xludf.DUMMYFUNCTION("vlookup(BB2665,importrange(""https://docs.google.com/spreadsheets/d/1d2vevQ_7D_v35q4wCQ4RpQ_IPoTwEMB9Yp6ymwlPqew/edit?gid=984458430#gid=984458430"", ""'replication success'!A:M""), 12, FAlSE)"),"")</f>
        <v/>
      </c>
      <c r="BA2665" s="61" t="str">
        <f>IFERROR(__xludf.DUMMYFUNCTION("vlookup(BB2665,importrange(""https://docs.google.com/spreadsheets/d/1d2vevQ_7D_v35q4wCQ4RpQ_IPoTwEMB9Yp6ymwlPqew/edit?gid=984458430#gid=984458430"", ""'replication success'!A:M""), 13, FAlSE)"),"abstract")</f>
        <v>abstract</v>
      </c>
      <c r="BB2665" s="61" t="str">
        <f>IFERROR(__xludf.DUMMYFUNCTION("REGEXREPLACE(G2665, ""_[a-z]{1,2}$"", """")"),"Soto")</f>
        <v>Soto</v>
      </c>
      <c r="BD2665" s="287" t="s">
        <v>1270</v>
      </c>
    </row>
    <row r="2666">
      <c r="A2666" s="44">
        <v>2666.0</v>
      </c>
      <c r="B2666" s="129" t="s">
        <v>152</v>
      </c>
      <c r="C2666" s="62" t="s">
        <v>115</v>
      </c>
      <c r="D2666" s="62" t="s">
        <v>286</v>
      </c>
      <c r="F2666" s="68" t="s">
        <v>14473</v>
      </c>
      <c r="G2666" s="159" t="s">
        <v>14425</v>
      </c>
      <c r="H2666" s="159" t="s">
        <v>8501</v>
      </c>
      <c r="I2666" s="434">
        <v>45246.0</v>
      </c>
      <c r="J2666" s="153">
        <v>45807.0</v>
      </c>
      <c r="K2666" s="159" t="s">
        <v>15846</v>
      </c>
      <c r="L2666" s="129" t="s">
        <v>15847</v>
      </c>
      <c r="M2666" s="159" t="s">
        <v>14475</v>
      </c>
      <c r="N2666" s="159" t="s">
        <v>14476</v>
      </c>
      <c r="O2666" s="156">
        <v>2.0</v>
      </c>
      <c r="P2666" s="382" t="s">
        <v>14477</v>
      </c>
      <c r="Q2666" s="2191" t="str">
        <f> hyperlink(vlookup(lower(N2666),'File Links'!E:F, 2, FALSE), "LINK")</f>
        <v>LINK</v>
      </c>
      <c r="R2666" s="159" t="s">
        <v>14432</v>
      </c>
      <c r="S2666" s="159" t="s">
        <v>14433</v>
      </c>
      <c r="T2666" s="441" t="s">
        <v>15827</v>
      </c>
      <c r="U2666" s="68"/>
      <c r="V2666" s="382" t="s">
        <v>14434</v>
      </c>
      <c r="W2666" s="1228"/>
      <c r="X2666" s="1552" t="str">
        <f> hyperlink(vlookup(lower(S2666),'File Links'!E:F, 2, FALSE), "LINK")</f>
        <v>LINK</v>
      </c>
      <c r="Y2666" s="129" t="s">
        <v>141</v>
      </c>
      <c r="Z2666" s="159" t="s">
        <v>1079</v>
      </c>
      <c r="AA2666" s="68"/>
      <c r="AB2666" s="159" t="s">
        <v>14436</v>
      </c>
      <c r="AC2666" s="159" t="s">
        <v>14479</v>
      </c>
      <c r="AD2666" s="159" t="s">
        <v>15848</v>
      </c>
      <c r="AE2666" s="68"/>
      <c r="AF2666" s="156">
        <v>169.0</v>
      </c>
      <c r="AG2666" s="159" t="s">
        <v>138</v>
      </c>
      <c r="AH2666" s="159" t="s">
        <v>138</v>
      </c>
      <c r="AI2666" s="159" t="s">
        <v>138</v>
      </c>
      <c r="AJ2666" s="159" t="s">
        <v>138</v>
      </c>
      <c r="AK2666" s="159" t="s">
        <v>138</v>
      </c>
      <c r="AL2666" s="159" t="s">
        <v>186</v>
      </c>
      <c r="AM2666" s="159" t="s">
        <v>137</v>
      </c>
      <c r="AN2666" s="159" t="s">
        <v>138</v>
      </c>
      <c r="AO2666" s="156">
        <v>1550.0</v>
      </c>
      <c r="AP2666" s="159" t="s">
        <v>15849</v>
      </c>
      <c r="AQ2666" s="159" t="s">
        <v>215</v>
      </c>
      <c r="AR2666" s="159" t="s">
        <v>15850</v>
      </c>
      <c r="AS2666" s="159" t="s">
        <v>138</v>
      </c>
      <c r="AT2666" s="159" t="s">
        <v>138</v>
      </c>
      <c r="AU2666" s="159" t="s">
        <v>186</v>
      </c>
      <c r="AV2666" s="159" t="s">
        <v>137</v>
      </c>
      <c r="AW2666" s="310" t="s">
        <v>15830</v>
      </c>
      <c r="AX2666" s="159" t="s">
        <v>143</v>
      </c>
      <c r="AY2666" s="61" t="str">
        <f>IFERROR(__xludf.DUMMYFUNCTION("vlookup(BB2666,importrange(""https://docs.google.com/spreadsheets/d/1d2vevQ_7D_v35q4wCQ4RpQ_IPoTwEMB9Yp6ymwlPqew/edit?gid=984458430#gid=984458430"", ""'replication success'!A:K""), 11, FAlSE)"),"")</f>
        <v/>
      </c>
      <c r="AZ2666" s="61" t="str">
        <f>IFERROR(__xludf.DUMMYFUNCTION("vlookup(BB2666,importrange(""https://docs.google.com/spreadsheets/d/1d2vevQ_7D_v35q4wCQ4RpQ_IPoTwEMB9Yp6ymwlPqew/edit?gid=984458430#gid=984458430"", ""'replication success'!A:M""), 12, FAlSE)"),"")</f>
        <v/>
      </c>
      <c r="BA2666" s="61" t="str">
        <f>IFERROR(__xludf.DUMMYFUNCTION("vlookup(BB2666,importrange(""https://docs.google.com/spreadsheets/d/1d2vevQ_7D_v35q4wCQ4RpQ_IPoTwEMB9Yp6ymwlPqew/edit?gid=984458430#gid=984458430"", ""'replication success'!A:M""), 13, FAlSE)"),"abstract")</f>
        <v>abstract</v>
      </c>
      <c r="BB2666" s="61" t="str">
        <f>IFERROR(__xludf.DUMMYFUNCTION("REGEXREPLACE(G2666, ""_[a-z]{1,2}$"", """")"),"Soto")</f>
        <v>Soto</v>
      </c>
      <c r="BD2666" s="287" t="s">
        <v>1270</v>
      </c>
    </row>
    <row r="2667">
      <c r="A2667" s="44">
        <v>2667.0</v>
      </c>
      <c r="B2667" s="129" t="s">
        <v>152</v>
      </c>
      <c r="C2667" s="62" t="s">
        <v>115</v>
      </c>
      <c r="D2667" s="62" t="s">
        <v>286</v>
      </c>
      <c r="F2667" s="68" t="s">
        <v>14481</v>
      </c>
      <c r="G2667" s="159" t="s">
        <v>14425</v>
      </c>
      <c r="H2667" s="159" t="s">
        <v>8501</v>
      </c>
      <c r="I2667" s="434">
        <v>45246.0</v>
      </c>
      <c r="J2667" s="153">
        <v>45807.0</v>
      </c>
      <c r="K2667" s="159" t="s">
        <v>15851</v>
      </c>
      <c r="L2667" s="129" t="s">
        <v>15847</v>
      </c>
      <c r="M2667" s="159" t="s">
        <v>14475</v>
      </c>
      <c r="N2667" s="159" t="s">
        <v>14476</v>
      </c>
      <c r="O2667" s="156">
        <v>2.0</v>
      </c>
      <c r="P2667" s="382" t="s">
        <v>14477</v>
      </c>
      <c r="Q2667" s="2191" t="str">
        <f> hyperlink(vlookup(lower(N2667),'File Links'!E:F, 2, FALSE), "LINK")</f>
        <v>LINK</v>
      </c>
      <c r="R2667" s="159" t="s">
        <v>14432</v>
      </c>
      <c r="S2667" s="159" t="s">
        <v>14433</v>
      </c>
      <c r="T2667" s="441" t="s">
        <v>15827</v>
      </c>
      <c r="U2667" s="68"/>
      <c r="V2667" s="382" t="s">
        <v>14434</v>
      </c>
      <c r="W2667" s="1228"/>
      <c r="X2667" s="1552" t="str">
        <f> hyperlink(vlookup(lower(S2667),'File Links'!E:F, 2, FALSE), "LINK")</f>
        <v>LINK</v>
      </c>
      <c r="Y2667" s="129" t="s">
        <v>141</v>
      </c>
      <c r="Z2667" s="159" t="s">
        <v>1079</v>
      </c>
      <c r="AA2667" s="68"/>
      <c r="AB2667" s="159" t="s">
        <v>14436</v>
      </c>
      <c r="AC2667" s="159" t="s">
        <v>14483</v>
      </c>
      <c r="AD2667" s="159" t="s">
        <v>15852</v>
      </c>
      <c r="AE2667" s="68"/>
      <c r="AF2667" s="156">
        <v>169.0</v>
      </c>
      <c r="AG2667" s="159" t="s">
        <v>138</v>
      </c>
      <c r="AH2667" s="159" t="s">
        <v>138</v>
      </c>
      <c r="AI2667" s="159" t="s">
        <v>138</v>
      </c>
      <c r="AJ2667" s="159" t="s">
        <v>138</v>
      </c>
      <c r="AK2667" s="159" t="s">
        <v>138</v>
      </c>
      <c r="AL2667" s="159" t="s">
        <v>186</v>
      </c>
      <c r="AM2667" s="159" t="s">
        <v>137</v>
      </c>
      <c r="AN2667" s="159" t="s">
        <v>138</v>
      </c>
      <c r="AO2667" s="156">
        <v>1550.0</v>
      </c>
      <c r="AP2667" s="159" t="s">
        <v>15853</v>
      </c>
      <c r="AQ2667" s="159" t="s">
        <v>215</v>
      </c>
      <c r="AR2667" s="159" t="s">
        <v>15850</v>
      </c>
      <c r="AS2667" s="159" t="s">
        <v>138</v>
      </c>
      <c r="AT2667" s="159" t="s">
        <v>138</v>
      </c>
      <c r="AU2667" s="159" t="s">
        <v>186</v>
      </c>
      <c r="AV2667" s="159" t="s">
        <v>137</v>
      </c>
      <c r="AW2667" s="310" t="s">
        <v>15830</v>
      </c>
      <c r="AX2667" s="159" t="s">
        <v>143</v>
      </c>
      <c r="AY2667" s="61" t="str">
        <f>IFERROR(__xludf.DUMMYFUNCTION("vlookup(BB2667,importrange(""https://docs.google.com/spreadsheets/d/1d2vevQ_7D_v35q4wCQ4RpQ_IPoTwEMB9Yp6ymwlPqew/edit?gid=984458430#gid=984458430"", ""'replication success'!A:K""), 11, FAlSE)"),"")</f>
        <v/>
      </c>
      <c r="AZ2667" s="61" t="str">
        <f>IFERROR(__xludf.DUMMYFUNCTION("vlookup(BB2667,importrange(""https://docs.google.com/spreadsheets/d/1d2vevQ_7D_v35q4wCQ4RpQ_IPoTwEMB9Yp6ymwlPqew/edit?gid=984458430#gid=984458430"", ""'replication success'!A:M""), 12, FAlSE)"),"")</f>
        <v/>
      </c>
      <c r="BA2667" s="61" t="str">
        <f>IFERROR(__xludf.DUMMYFUNCTION("vlookup(BB2667,importrange(""https://docs.google.com/spreadsheets/d/1d2vevQ_7D_v35q4wCQ4RpQ_IPoTwEMB9Yp6ymwlPqew/edit?gid=984458430#gid=984458430"", ""'replication success'!A:M""), 13, FAlSE)"),"abstract")</f>
        <v>abstract</v>
      </c>
      <c r="BB2667" s="61" t="str">
        <f>IFERROR(__xludf.DUMMYFUNCTION("REGEXREPLACE(G2667, ""_[a-z]{1,2}$"", """")"),"Soto")</f>
        <v>Soto</v>
      </c>
      <c r="BD2667" s="287" t="s">
        <v>1270</v>
      </c>
    </row>
    <row r="2668">
      <c r="A2668" s="44">
        <v>2668.0</v>
      </c>
      <c r="B2668" s="631" t="s">
        <v>152</v>
      </c>
      <c r="C2668" s="397" t="s">
        <v>115</v>
      </c>
      <c r="D2668" s="397" t="s">
        <v>286</v>
      </c>
      <c r="E2668" s="220"/>
      <c r="F2668" s="398" t="s">
        <v>14484</v>
      </c>
      <c r="G2668" s="407" t="s">
        <v>14425</v>
      </c>
      <c r="H2668" s="407" t="s">
        <v>8501</v>
      </c>
      <c r="I2668" s="727">
        <v>45246.0</v>
      </c>
      <c r="J2668" s="2110">
        <v>45807.0</v>
      </c>
      <c r="K2668" s="407" t="s">
        <v>15854</v>
      </c>
      <c r="L2668" s="631" t="s">
        <v>15855</v>
      </c>
      <c r="M2668" s="407" t="s">
        <v>14486</v>
      </c>
      <c r="N2668" s="407" t="s">
        <v>14487</v>
      </c>
      <c r="O2668" s="631">
        <v>1.0</v>
      </c>
      <c r="P2668" s="407" t="s">
        <v>14488</v>
      </c>
      <c r="Q2668" s="2217" t="str">
        <f> hyperlink(vlookup(lower(N2668),'File Links'!E:F, 2, FALSE), "LINK")</f>
        <v>LINK</v>
      </c>
      <c r="R2668" s="407" t="s">
        <v>14432</v>
      </c>
      <c r="S2668" s="407" t="s">
        <v>14433</v>
      </c>
      <c r="T2668" s="441" t="s">
        <v>15827</v>
      </c>
      <c r="U2668" s="631">
        <v>1.0</v>
      </c>
      <c r="V2668" s="407" t="s">
        <v>14434</v>
      </c>
      <c r="W2668" s="205" t="s">
        <v>209</v>
      </c>
      <c r="X2668" s="2218" t="str">
        <f> hyperlink(vlookup(lower(S2668),'File Links'!E:F, 2, FALSE), "LINK")</f>
        <v>LINK</v>
      </c>
      <c r="Y2668" s="407"/>
      <c r="Z2668" s="407" t="s">
        <v>1079</v>
      </c>
      <c r="AA2668" s="631" t="s">
        <v>15856</v>
      </c>
      <c r="AB2668" s="407" t="s">
        <v>14436</v>
      </c>
      <c r="AC2668" s="407" t="s">
        <v>14490</v>
      </c>
      <c r="AD2668" s="343" t="s">
        <v>15857</v>
      </c>
      <c r="AE2668" s="631">
        <v>7.0</v>
      </c>
      <c r="AF2668" s="728">
        <v>672.0</v>
      </c>
      <c r="AG2668" s="644">
        <v>0.19</v>
      </c>
      <c r="AH2668" s="290" t="s">
        <v>215</v>
      </c>
      <c r="AI2668" s="728">
        <v>7.0</v>
      </c>
      <c r="AJ2668" s="357">
        <v>0.01</v>
      </c>
      <c r="AK2668" s="407" t="s">
        <v>135</v>
      </c>
      <c r="AL2668" s="407" t="s">
        <v>186</v>
      </c>
      <c r="AM2668" s="407" t="s">
        <v>137</v>
      </c>
      <c r="AN2668" s="407" t="s">
        <v>138</v>
      </c>
      <c r="AO2668" s="728">
        <v>1505.0</v>
      </c>
      <c r="AP2668" s="640">
        <v>0.19</v>
      </c>
      <c r="AQ2668" s="407" t="s">
        <v>215</v>
      </c>
      <c r="AR2668" s="151" t="s">
        <v>14440</v>
      </c>
      <c r="AS2668" s="407" t="s">
        <v>138</v>
      </c>
      <c r="AT2668" s="407" t="s">
        <v>138</v>
      </c>
      <c r="AU2668" s="407" t="s">
        <v>186</v>
      </c>
      <c r="AV2668" s="407" t="s">
        <v>137</v>
      </c>
      <c r="AW2668" s="771" t="s">
        <v>15830</v>
      </c>
      <c r="AX2668" s="407" t="s">
        <v>143</v>
      </c>
      <c r="AY2668" s="61" t="str">
        <f>IFERROR(__xludf.DUMMYFUNCTION("vlookup(BB2668,importrange(""https://docs.google.com/spreadsheets/d/1d2vevQ_7D_v35q4wCQ4RpQ_IPoTwEMB9Yp6ymwlPqew/edit?gid=984458430#gid=984458430"", ""'replication success'!A:K""), 11, FAlSE)"),"")</f>
        <v/>
      </c>
      <c r="AZ2668" s="61" t="str">
        <f>IFERROR(__xludf.DUMMYFUNCTION("vlookup(BB2668,importrange(""https://docs.google.com/spreadsheets/d/1d2vevQ_7D_v35q4wCQ4RpQ_IPoTwEMB9Yp6ymwlPqew/edit?gid=984458430#gid=984458430"", ""'replication success'!A:M""), 12, FAlSE)"),"")</f>
        <v/>
      </c>
      <c r="BA2668" s="61" t="str">
        <f>IFERROR(__xludf.DUMMYFUNCTION("vlookup(BB2668,importrange(""https://docs.google.com/spreadsheets/d/1d2vevQ_7D_v35q4wCQ4RpQ_IPoTwEMB9Yp6ymwlPqew/edit?gid=984458430#gid=984458430"", ""'replication success'!A:M""), 13, FAlSE)"),"abstract")</f>
        <v>abstract</v>
      </c>
      <c r="BB2668" s="61" t="str">
        <f>IFERROR(__xludf.DUMMYFUNCTION("REGEXREPLACE(G2668, ""_[a-z]{1,2}$"", """")"),"Soto")</f>
        <v>Soto</v>
      </c>
      <c r="BC2668" s="220"/>
      <c r="BD2668" s="287" t="s">
        <v>1270</v>
      </c>
      <c r="BE2668" s="220"/>
      <c r="BF2668" s="220"/>
      <c r="BG2668" s="220"/>
      <c r="BH2668" s="220"/>
      <c r="BI2668" s="220"/>
      <c r="BJ2668" s="220"/>
      <c r="BK2668" s="220"/>
      <c r="BL2668" s="220"/>
      <c r="BM2668" s="220"/>
      <c r="BN2668" s="220"/>
      <c r="BO2668" s="220"/>
      <c r="BP2668" s="220"/>
      <c r="BQ2668" s="220"/>
      <c r="BR2668" s="220"/>
      <c r="BS2668" s="220"/>
      <c r="BT2668" s="220"/>
      <c r="BU2668" s="220"/>
      <c r="BV2668" s="220"/>
      <c r="BW2668" s="220"/>
      <c r="BX2668" s="220"/>
      <c r="BY2668" s="220"/>
      <c r="BZ2668" s="220"/>
      <c r="CA2668" s="220"/>
      <c r="CB2668" s="220"/>
      <c r="CC2668" s="220"/>
      <c r="CD2668" s="220"/>
      <c r="CE2668" s="220"/>
      <c r="CF2668" s="220"/>
      <c r="CG2668" s="220"/>
      <c r="CH2668" s="220"/>
      <c r="CI2668" s="220"/>
      <c r="CJ2668" s="220"/>
      <c r="CK2668" s="220"/>
      <c r="CL2668" s="220"/>
      <c r="CM2668" s="220"/>
      <c r="CN2668" s="220"/>
      <c r="CO2668" s="220"/>
      <c r="CP2668" s="220"/>
      <c r="CQ2668" s="220"/>
      <c r="CR2668" s="220"/>
      <c r="CS2668" s="220"/>
      <c r="CT2668" s="220"/>
      <c r="CU2668" s="220"/>
      <c r="CV2668" s="220"/>
      <c r="CW2668" s="220"/>
      <c r="CX2668" s="220"/>
      <c r="CY2668" s="220"/>
      <c r="CZ2668" s="220"/>
      <c r="DA2668" s="220"/>
      <c r="DB2668" s="220"/>
      <c r="DC2668" s="220"/>
      <c r="DD2668" s="220"/>
      <c r="DE2668" s="220"/>
      <c r="DF2668" s="220"/>
      <c r="DG2668" s="220"/>
      <c r="DH2668" s="220"/>
      <c r="DI2668" s="220"/>
      <c r="DJ2668" s="220"/>
      <c r="DK2668" s="220"/>
      <c r="DL2668" s="220"/>
    </row>
    <row r="2669">
      <c r="A2669" s="44">
        <v>2669.0</v>
      </c>
      <c r="B2669" s="129" t="s">
        <v>152</v>
      </c>
      <c r="C2669" s="62" t="s">
        <v>115</v>
      </c>
      <c r="D2669" s="62" t="s">
        <v>286</v>
      </c>
      <c r="F2669" s="46" t="s">
        <v>14493</v>
      </c>
      <c r="G2669" s="360" t="s">
        <v>14425</v>
      </c>
      <c r="H2669" s="360" t="s">
        <v>8501</v>
      </c>
      <c r="I2669" s="511">
        <v>45246.0</v>
      </c>
      <c r="J2669" s="153">
        <v>45807.0</v>
      </c>
      <c r="K2669" s="360" t="s">
        <v>15854</v>
      </c>
      <c r="L2669" s="56" t="s">
        <v>15858</v>
      </c>
      <c r="M2669" s="360" t="s">
        <v>14486</v>
      </c>
      <c r="N2669" s="360" t="s">
        <v>14487</v>
      </c>
      <c r="O2669" s="56">
        <v>1.0</v>
      </c>
      <c r="P2669" s="360" t="s">
        <v>14488</v>
      </c>
      <c r="Q2669" s="2205" t="str">
        <f> hyperlink(vlookup(lower(N2669),'File Links'!E:F, 2, FALSE), "LINK")</f>
        <v>LINK</v>
      </c>
      <c r="R2669" s="360" t="s">
        <v>14432</v>
      </c>
      <c r="S2669" s="360" t="s">
        <v>14433</v>
      </c>
      <c r="T2669" s="441" t="s">
        <v>15827</v>
      </c>
      <c r="U2669" s="56">
        <v>1.0</v>
      </c>
      <c r="V2669" s="360" t="s">
        <v>14434</v>
      </c>
      <c r="W2669" s="205" t="s">
        <v>209</v>
      </c>
      <c r="X2669" s="2209" t="str">
        <f> hyperlink(vlookup(lower(S2669),'File Links'!E:F, 2, FALSE), "LINK")</f>
        <v>LINK</v>
      </c>
      <c r="Y2669" s="360"/>
      <c r="Z2669" s="360" t="s">
        <v>1079</v>
      </c>
      <c r="AA2669" s="360" t="s">
        <v>15859</v>
      </c>
      <c r="AB2669" s="360" t="s">
        <v>14436</v>
      </c>
      <c r="AC2669" s="360" t="s">
        <v>14496</v>
      </c>
      <c r="AD2669" s="343" t="s">
        <v>15860</v>
      </c>
      <c r="AE2669" s="357">
        <v>7.0</v>
      </c>
      <c r="AF2669" s="357">
        <v>672.0</v>
      </c>
      <c r="AG2669" s="347">
        <v>-0.16</v>
      </c>
      <c r="AH2669" s="290" t="s">
        <v>215</v>
      </c>
      <c r="AI2669" s="357">
        <v>7.0</v>
      </c>
      <c r="AJ2669" s="357">
        <v>0.01</v>
      </c>
      <c r="AK2669" s="360" t="s">
        <v>135</v>
      </c>
      <c r="AL2669" s="360" t="s">
        <v>186</v>
      </c>
      <c r="AM2669" s="159" t="s">
        <v>137</v>
      </c>
      <c r="AN2669" s="159" t="s">
        <v>138</v>
      </c>
      <c r="AO2669" s="357">
        <v>1505.0</v>
      </c>
      <c r="AP2669" s="343">
        <v>-0.24</v>
      </c>
      <c r="AQ2669" s="407" t="s">
        <v>215</v>
      </c>
      <c r="AR2669" s="151" t="s">
        <v>14440</v>
      </c>
      <c r="AS2669" s="360" t="s">
        <v>138</v>
      </c>
      <c r="AT2669" s="159" t="s">
        <v>138</v>
      </c>
      <c r="AU2669" s="159" t="s">
        <v>186</v>
      </c>
      <c r="AV2669" s="159" t="s">
        <v>137</v>
      </c>
      <c r="AW2669" s="310" t="s">
        <v>15830</v>
      </c>
      <c r="AX2669" s="159" t="s">
        <v>143</v>
      </c>
      <c r="AY2669" s="61" t="str">
        <f>IFERROR(__xludf.DUMMYFUNCTION("vlookup(BB2669,importrange(""https://docs.google.com/spreadsheets/d/1d2vevQ_7D_v35q4wCQ4RpQ_IPoTwEMB9Yp6ymwlPqew/edit?gid=984458430#gid=984458430"", ""'replication success'!A:K""), 11, FAlSE)"),"")</f>
        <v/>
      </c>
      <c r="AZ2669" s="61" t="str">
        <f>IFERROR(__xludf.DUMMYFUNCTION("vlookup(BB2669,importrange(""https://docs.google.com/spreadsheets/d/1d2vevQ_7D_v35q4wCQ4RpQ_IPoTwEMB9Yp6ymwlPqew/edit?gid=984458430#gid=984458430"", ""'replication success'!A:M""), 12, FAlSE)"),"")</f>
        <v/>
      </c>
      <c r="BA2669" s="61" t="str">
        <f>IFERROR(__xludf.DUMMYFUNCTION("vlookup(BB2669,importrange(""https://docs.google.com/spreadsheets/d/1d2vevQ_7D_v35q4wCQ4RpQ_IPoTwEMB9Yp6ymwlPqew/edit?gid=984458430#gid=984458430"", ""'replication success'!A:M""), 13, FAlSE)"),"abstract")</f>
        <v>abstract</v>
      </c>
      <c r="BB2669" s="61" t="str">
        <f>IFERROR(__xludf.DUMMYFUNCTION("REGEXREPLACE(G2669, ""_[a-z]{1,2}$"", """")"),"Soto")</f>
        <v>Soto</v>
      </c>
      <c r="BD2669" s="287" t="s">
        <v>1270</v>
      </c>
    </row>
    <row r="2670">
      <c r="A2670" s="44">
        <v>2670.0</v>
      </c>
      <c r="B2670" s="205" t="s">
        <v>114</v>
      </c>
      <c r="C2670" s="199" t="s">
        <v>115</v>
      </c>
      <c r="D2670" s="199" t="s">
        <v>286</v>
      </c>
      <c r="E2670" s="200"/>
      <c r="F2670" s="204" t="s">
        <v>14498</v>
      </c>
      <c r="G2670" s="201" t="s">
        <v>14425</v>
      </c>
      <c r="H2670" s="201" t="s">
        <v>8501</v>
      </c>
      <c r="I2670" s="533">
        <v>45246.0</v>
      </c>
      <c r="J2670" s="2180">
        <v>45807.0</v>
      </c>
      <c r="K2670" s="201" t="s">
        <v>15861</v>
      </c>
      <c r="L2670" s="205" t="s">
        <v>15862</v>
      </c>
      <c r="M2670" s="201" t="s">
        <v>14500</v>
      </c>
      <c r="N2670" s="201" t="s">
        <v>14501</v>
      </c>
      <c r="O2670" s="205">
        <v>1.0</v>
      </c>
      <c r="P2670" s="201" t="s">
        <v>14502</v>
      </c>
      <c r="Q2670" s="2219" t="str">
        <f> hyperlink(vlookup(lower(N2670),'File Links'!E:F, 2, FALSE), "LINK")</f>
        <v>LINK</v>
      </c>
      <c r="R2670" s="201" t="s">
        <v>14432</v>
      </c>
      <c r="S2670" s="201" t="s">
        <v>14433</v>
      </c>
      <c r="T2670" s="441" t="s">
        <v>15827</v>
      </c>
      <c r="U2670" s="205">
        <v>1.0</v>
      </c>
      <c r="V2670" s="201" t="s">
        <v>14434</v>
      </c>
      <c r="W2670" s="205" t="s">
        <v>209</v>
      </c>
      <c r="X2670" s="2220" t="str">
        <f> hyperlink(vlookup(lower(S2670),'File Links'!E:F, 2, FALSE), "LINK")</f>
        <v>LINK</v>
      </c>
      <c r="Y2670" s="201"/>
      <c r="Z2670" s="201" t="s">
        <v>1079</v>
      </c>
      <c r="AA2670" s="201" t="s">
        <v>14503</v>
      </c>
      <c r="AB2670" s="201" t="s">
        <v>14436</v>
      </c>
      <c r="AC2670" s="201" t="s">
        <v>14503</v>
      </c>
      <c r="AD2670" s="205" t="s">
        <v>138</v>
      </c>
      <c r="AE2670" s="205" t="s">
        <v>138</v>
      </c>
      <c r="AF2670" s="208">
        <v>194.0</v>
      </c>
      <c r="AG2670" s="208" t="s">
        <v>14504</v>
      </c>
      <c r="AH2670" s="201" t="s">
        <v>215</v>
      </c>
      <c r="AI2670" s="206" t="s">
        <v>15863</v>
      </c>
      <c r="AJ2670" s="207" t="s">
        <v>138</v>
      </c>
      <c r="AK2670" s="207" t="s">
        <v>138</v>
      </c>
      <c r="AL2670" s="201" t="s">
        <v>186</v>
      </c>
      <c r="AM2670" s="207" t="s">
        <v>138</v>
      </c>
      <c r="AN2670" s="201" t="s">
        <v>138</v>
      </c>
      <c r="AO2670" s="208">
        <v>1505.0</v>
      </c>
      <c r="AP2670" s="206">
        <v>0.41</v>
      </c>
      <c r="AQ2670" s="201" t="s">
        <v>215</v>
      </c>
      <c r="AR2670" s="151" t="s">
        <v>14440</v>
      </c>
      <c r="AS2670" s="201" t="s">
        <v>138</v>
      </c>
      <c r="AT2670" s="201" t="s">
        <v>138</v>
      </c>
      <c r="AU2670" s="201" t="s">
        <v>186</v>
      </c>
      <c r="AV2670" s="201" t="s">
        <v>137</v>
      </c>
      <c r="AW2670" s="2221" t="s">
        <v>15830</v>
      </c>
      <c r="AX2670" s="201" t="s">
        <v>143</v>
      </c>
      <c r="AY2670" s="61" t="str">
        <f>IFERROR(__xludf.DUMMYFUNCTION("vlookup(BB2670,importrange(""https://docs.google.com/spreadsheets/d/1d2vevQ_7D_v35q4wCQ4RpQ_IPoTwEMB9Yp6ymwlPqew/edit?gid=984458430#gid=984458430"", ""'replication success'!A:K""), 11, FAlSE)"),"")</f>
        <v/>
      </c>
      <c r="AZ2670" s="61" t="str">
        <f>IFERROR(__xludf.DUMMYFUNCTION("vlookup(BB2670,importrange(""https://docs.google.com/spreadsheets/d/1d2vevQ_7D_v35q4wCQ4RpQ_IPoTwEMB9Yp6ymwlPqew/edit?gid=984458430#gid=984458430"", ""'replication success'!A:M""), 12, FAlSE)"),"")</f>
        <v/>
      </c>
      <c r="BA2670" s="61" t="str">
        <f>IFERROR(__xludf.DUMMYFUNCTION("vlookup(BB2670,importrange(""https://docs.google.com/spreadsheets/d/1d2vevQ_7D_v35q4wCQ4RpQ_IPoTwEMB9Yp6ymwlPqew/edit?gid=984458430#gid=984458430"", ""'replication success'!A:M""), 13, FAlSE)"),"abstract")</f>
        <v>abstract</v>
      </c>
      <c r="BB2670" s="61" t="str">
        <f>IFERROR(__xludf.DUMMYFUNCTION("REGEXREPLACE(G2670, ""_[a-z]{1,2}$"", """")"),"Soto")</f>
        <v>Soto</v>
      </c>
      <c r="BC2670" s="200"/>
      <c r="BD2670" s="287" t="s">
        <v>1270</v>
      </c>
      <c r="BE2670" s="200"/>
      <c r="BF2670" s="200"/>
      <c r="BG2670" s="200"/>
      <c r="BH2670" s="200"/>
      <c r="BI2670" s="200"/>
      <c r="BJ2670" s="200"/>
      <c r="BK2670" s="200"/>
      <c r="BL2670" s="200"/>
      <c r="BM2670" s="200"/>
      <c r="BN2670" s="200"/>
      <c r="BO2670" s="200"/>
      <c r="BP2670" s="200"/>
      <c r="BQ2670" s="200"/>
      <c r="BR2670" s="200"/>
      <c r="BS2670" s="200"/>
      <c r="BT2670" s="200"/>
      <c r="BU2670" s="200"/>
      <c r="BV2670" s="200"/>
      <c r="BW2670" s="200"/>
      <c r="BX2670" s="200"/>
      <c r="BY2670" s="200"/>
      <c r="BZ2670" s="200"/>
      <c r="CA2670" s="200"/>
      <c r="CB2670" s="200"/>
      <c r="CC2670" s="200"/>
      <c r="CD2670" s="200"/>
      <c r="CE2670" s="200"/>
      <c r="CF2670" s="200"/>
      <c r="CG2670" s="200"/>
      <c r="CH2670" s="200"/>
      <c r="CI2670" s="200"/>
      <c r="CJ2670" s="200"/>
      <c r="CK2670" s="200"/>
      <c r="CL2670" s="200"/>
      <c r="CM2670" s="200"/>
      <c r="CN2670" s="200"/>
      <c r="CO2670" s="200"/>
      <c r="CP2670" s="200"/>
      <c r="CQ2670" s="200"/>
      <c r="CR2670" s="200"/>
      <c r="CS2670" s="200"/>
      <c r="CT2670" s="200"/>
      <c r="CU2670" s="200"/>
      <c r="CV2670" s="200"/>
      <c r="CW2670" s="200"/>
      <c r="CX2670" s="200"/>
      <c r="CY2670" s="200"/>
      <c r="CZ2670" s="200"/>
      <c r="DA2670" s="200"/>
      <c r="DB2670" s="200"/>
      <c r="DC2670" s="200"/>
      <c r="DD2670" s="200"/>
      <c r="DE2670" s="200"/>
      <c r="DF2670" s="200"/>
      <c r="DG2670" s="200"/>
      <c r="DH2670" s="200"/>
      <c r="DI2670" s="200"/>
      <c r="DJ2670" s="200"/>
      <c r="DK2670" s="200"/>
      <c r="DL2670" s="200"/>
    </row>
    <row r="2671">
      <c r="A2671" s="44">
        <v>2671.0</v>
      </c>
      <c r="B2671" s="205" t="s">
        <v>114</v>
      </c>
      <c r="C2671" s="199" t="s">
        <v>115</v>
      </c>
      <c r="D2671" s="199" t="s">
        <v>286</v>
      </c>
      <c r="E2671" s="200"/>
      <c r="F2671" s="204" t="s">
        <v>14505</v>
      </c>
      <c r="G2671" s="201" t="s">
        <v>14425</v>
      </c>
      <c r="H2671" s="201" t="s">
        <v>8501</v>
      </c>
      <c r="I2671" s="533">
        <v>45246.0</v>
      </c>
      <c r="J2671" s="2180">
        <v>45807.0</v>
      </c>
      <c r="K2671" s="201" t="s">
        <v>15861</v>
      </c>
      <c r="L2671" s="205" t="s">
        <v>15862</v>
      </c>
      <c r="M2671" s="201" t="s">
        <v>14500</v>
      </c>
      <c r="N2671" s="201" t="s">
        <v>14501</v>
      </c>
      <c r="O2671" s="205">
        <v>1.0</v>
      </c>
      <c r="P2671" s="201" t="s">
        <v>14502</v>
      </c>
      <c r="Q2671" s="2219" t="str">
        <f> hyperlink(vlookup(lower(N2671),'File Links'!E:F, 2, FALSE), "LINK")</f>
        <v>LINK</v>
      </c>
      <c r="R2671" s="201" t="s">
        <v>14432</v>
      </c>
      <c r="S2671" s="201" t="s">
        <v>14433</v>
      </c>
      <c r="T2671" s="441" t="s">
        <v>15827</v>
      </c>
      <c r="U2671" s="205">
        <v>1.0</v>
      </c>
      <c r="V2671" s="201" t="s">
        <v>14434</v>
      </c>
      <c r="W2671" s="205" t="s">
        <v>209</v>
      </c>
      <c r="X2671" s="2220" t="str">
        <f> hyperlink(vlookup(lower(S2671),'File Links'!E:F, 2, FALSE), "LINK")</f>
        <v>LINK</v>
      </c>
      <c r="Y2671" s="201"/>
      <c r="Z2671" s="201" t="s">
        <v>1079</v>
      </c>
      <c r="AA2671" s="201" t="s">
        <v>14506</v>
      </c>
      <c r="AB2671" s="201" t="s">
        <v>14436</v>
      </c>
      <c r="AC2671" s="201" t="s">
        <v>14506</v>
      </c>
      <c r="AD2671" s="205" t="s">
        <v>138</v>
      </c>
      <c r="AE2671" s="205" t="s">
        <v>138</v>
      </c>
      <c r="AF2671" s="208">
        <v>194.0</v>
      </c>
      <c r="AG2671" s="208">
        <v>-0.44</v>
      </c>
      <c r="AH2671" s="201" t="s">
        <v>215</v>
      </c>
      <c r="AI2671" s="206" t="s">
        <v>15863</v>
      </c>
      <c r="AJ2671" s="207" t="s">
        <v>138</v>
      </c>
      <c r="AK2671" s="207" t="s">
        <v>138</v>
      </c>
      <c r="AL2671" s="201" t="s">
        <v>186</v>
      </c>
      <c r="AM2671" s="207" t="s">
        <v>138</v>
      </c>
      <c r="AN2671" s="201" t="s">
        <v>138</v>
      </c>
      <c r="AO2671" s="208">
        <v>1505.0</v>
      </c>
      <c r="AP2671" s="206">
        <v>0.58</v>
      </c>
      <c r="AQ2671" s="201" t="s">
        <v>215</v>
      </c>
      <c r="AR2671" s="151" t="s">
        <v>14440</v>
      </c>
      <c r="AS2671" s="201" t="s">
        <v>138</v>
      </c>
      <c r="AT2671" s="201" t="s">
        <v>138</v>
      </c>
      <c r="AU2671" s="201" t="s">
        <v>186</v>
      </c>
      <c r="AV2671" s="201" t="s">
        <v>137</v>
      </c>
      <c r="AW2671" s="2221" t="s">
        <v>15830</v>
      </c>
      <c r="AX2671" s="201" t="s">
        <v>143</v>
      </c>
      <c r="AY2671" s="61" t="str">
        <f>IFERROR(__xludf.DUMMYFUNCTION("vlookup(BB2671,importrange(""https://docs.google.com/spreadsheets/d/1d2vevQ_7D_v35q4wCQ4RpQ_IPoTwEMB9Yp6ymwlPqew/edit?gid=984458430#gid=984458430"", ""'replication success'!A:K""), 11, FAlSE)"),"")</f>
        <v/>
      </c>
      <c r="AZ2671" s="61" t="str">
        <f>IFERROR(__xludf.DUMMYFUNCTION("vlookup(BB2671,importrange(""https://docs.google.com/spreadsheets/d/1d2vevQ_7D_v35q4wCQ4RpQ_IPoTwEMB9Yp6ymwlPqew/edit?gid=984458430#gid=984458430"", ""'replication success'!A:M""), 12, FAlSE)"),"")</f>
        <v/>
      </c>
      <c r="BA2671" s="61" t="str">
        <f>IFERROR(__xludf.DUMMYFUNCTION("vlookup(BB2671,importrange(""https://docs.google.com/spreadsheets/d/1d2vevQ_7D_v35q4wCQ4RpQ_IPoTwEMB9Yp6ymwlPqew/edit?gid=984458430#gid=984458430"", ""'replication success'!A:M""), 13, FAlSE)"),"abstract")</f>
        <v>abstract</v>
      </c>
      <c r="BB2671" s="61" t="str">
        <f>IFERROR(__xludf.DUMMYFUNCTION("REGEXREPLACE(G2671, ""_[a-z]{1,2}$"", """")"),"Soto")</f>
        <v>Soto</v>
      </c>
      <c r="BC2671" s="200"/>
      <c r="BD2671" s="287" t="s">
        <v>1270</v>
      </c>
      <c r="BE2671" s="200"/>
      <c r="BF2671" s="200"/>
      <c r="BG2671" s="200"/>
      <c r="BH2671" s="200"/>
      <c r="BI2671" s="200"/>
      <c r="BJ2671" s="200"/>
      <c r="BK2671" s="200"/>
      <c r="BL2671" s="200"/>
      <c r="BM2671" s="200"/>
      <c r="BN2671" s="200"/>
      <c r="BO2671" s="200"/>
      <c r="BP2671" s="200"/>
      <c r="BQ2671" s="200"/>
      <c r="BR2671" s="200"/>
      <c r="BS2671" s="200"/>
      <c r="BT2671" s="200"/>
      <c r="BU2671" s="200"/>
      <c r="BV2671" s="200"/>
      <c r="BW2671" s="200"/>
      <c r="BX2671" s="200"/>
      <c r="BY2671" s="200"/>
      <c r="BZ2671" s="200"/>
      <c r="CA2671" s="200"/>
      <c r="CB2671" s="200"/>
      <c r="CC2671" s="200"/>
      <c r="CD2671" s="200"/>
      <c r="CE2671" s="200"/>
      <c r="CF2671" s="200"/>
      <c r="CG2671" s="200"/>
      <c r="CH2671" s="200"/>
      <c r="CI2671" s="200"/>
      <c r="CJ2671" s="200"/>
      <c r="CK2671" s="200"/>
      <c r="CL2671" s="200"/>
      <c r="CM2671" s="200"/>
      <c r="CN2671" s="200"/>
      <c r="CO2671" s="200"/>
      <c r="CP2671" s="200"/>
      <c r="CQ2671" s="200"/>
      <c r="CR2671" s="200"/>
      <c r="CS2671" s="200"/>
      <c r="CT2671" s="200"/>
      <c r="CU2671" s="200"/>
      <c r="CV2671" s="200"/>
      <c r="CW2671" s="200"/>
      <c r="CX2671" s="200"/>
      <c r="CY2671" s="200"/>
      <c r="CZ2671" s="200"/>
      <c r="DA2671" s="200"/>
      <c r="DB2671" s="200"/>
      <c r="DC2671" s="200"/>
      <c r="DD2671" s="200"/>
      <c r="DE2671" s="200"/>
      <c r="DF2671" s="200"/>
      <c r="DG2671" s="200"/>
      <c r="DH2671" s="200"/>
      <c r="DI2671" s="200"/>
      <c r="DJ2671" s="200"/>
      <c r="DK2671" s="200"/>
      <c r="DL2671" s="200"/>
    </row>
    <row r="2672">
      <c r="A2672" s="44">
        <v>2672.0</v>
      </c>
      <c r="B2672" s="205" t="s">
        <v>114</v>
      </c>
      <c r="C2672" s="199" t="s">
        <v>115</v>
      </c>
      <c r="D2672" s="199" t="s">
        <v>286</v>
      </c>
      <c r="E2672" s="200"/>
      <c r="F2672" s="204" t="s">
        <v>14507</v>
      </c>
      <c r="G2672" s="201" t="s">
        <v>14425</v>
      </c>
      <c r="H2672" s="201" t="s">
        <v>8501</v>
      </c>
      <c r="I2672" s="533">
        <v>45246.0</v>
      </c>
      <c r="J2672" s="2180">
        <v>45807.0</v>
      </c>
      <c r="K2672" s="201" t="s">
        <v>15861</v>
      </c>
      <c r="L2672" s="205" t="s">
        <v>15862</v>
      </c>
      <c r="M2672" s="201" t="s">
        <v>14500</v>
      </c>
      <c r="N2672" s="201" t="s">
        <v>14501</v>
      </c>
      <c r="O2672" s="205">
        <v>1.0</v>
      </c>
      <c r="P2672" s="201" t="s">
        <v>14502</v>
      </c>
      <c r="Q2672" s="2219" t="str">
        <f> hyperlink(vlookup(lower(N2672),'File Links'!E:F, 2, FALSE), "LINK")</f>
        <v>LINK</v>
      </c>
      <c r="R2672" s="201" t="s">
        <v>14432</v>
      </c>
      <c r="S2672" s="201" t="s">
        <v>14433</v>
      </c>
      <c r="T2672" s="441" t="s">
        <v>15827</v>
      </c>
      <c r="U2672" s="205">
        <v>1.0</v>
      </c>
      <c r="V2672" s="201" t="s">
        <v>14434</v>
      </c>
      <c r="W2672" s="205" t="s">
        <v>209</v>
      </c>
      <c r="X2672" s="2220" t="str">
        <f> hyperlink(vlookup(lower(S2672),'File Links'!E:F, 2, FALSE), "LINK")</f>
        <v>LINK</v>
      </c>
      <c r="Y2672" s="201"/>
      <c r="Z2672" s="201" t="s">
        <v>1079</v>
      </c>
      <c r="AA2672" s="201" t="s">
        <v>14508</v>
      </c>
      <c r="AB2672" s="201" t="s">
        <v>14436</v>
      </c>
      <c r="AC2672" s="201" t="s">
        <v>14508</v>
      </c>
      <c r="AD2672" s="205" t="s">
        <v>138</v>
      </c>
      <c r="AE2672" s="205" t="s">
        <v>138</v>
      </c>
      <c r="AF2672" s="208">
        <v>194.0</v>
      </c>
      <c r="AG2672" s="208" t="s">
        <v>14509</v>
      </c>
      <c r="AH2672" s="201" t="s">
        <v>215</v>
      </c>
      <c r="AI2672" s="206" t="s">
        <v>15863</v>
      </c>
      <c r="AJ2672" s="207" t="s">
        <v>138</v>
      </c>
      <c r="AK2672" s="207" t="s">
        <v>138</v>
      </c>
      <c r="AL2672" s="201" t="s">
        <v>186</v>
      </c>
      <c r="AM2672" s="207" t="s">
        <v>138</v>
      </c>
      <c r="AN2672" s="201" t="s">
        <v>138</v>
      </c>
      <c r="AO2672" s="208">
        <v>1505.0</v>
      </c>
      <c r="AP2672" s="206">
        <v>0.42</v>
      </c>
      <c r="AQ2672" s="201" t="s">
        <v>215</v>
      </c>
      <c r="AR2672" s="151" t="s">
        <v>14440</v>
      </c>
      <c r="AS2672" s="201" t="s">
        <v>138</v>
      </c>
      <c r="AT2672" s="201" t="s">
        <v>138</v>
      </c>
      <c r="AU2672" s="201" t="s">
        <v>186</v>
      </c>
      <c r="AV2672" s="201" t="s">
        <v>137</v>
      </c>
      <c r="AW2672" s="2221" t="s">
        <v>15830</v>
      </c>
      <c r="AX2672" s="201" t="s">
        <v>143</v>
      </c>
      <c r="AY2672" s="61" t="str">
        <f>IFERROR(__xludf.DUMMYFUNCTION("vlookup(BB2672,importrange(""https://docs.google.com/spreadsheets/d/1d2vevQ_7D_v35q4wCQ4RpQ_IPoTwEMB9Yp6ymwlPqew/edit?gid=984458430#gid=984458430"", ""'replication success'!A:K""), 11, FAlSE)"),"")</f>
        <v/>
      </c>
      <c r="AZ2672" s="61" t="str">
        <f>IFERROR(__xludf.DUMMYFUNCTION("vlookup(BB2672,importrange(""https://docs.google.com/spreadsheets/d/1d2vevQ_7D_v35q4wCQ4RpQ_IPoTwEMB9Yp6ymwlPqew/edit?gid=984458430#gid=984458430"", ""'replication success'!A:M""), 12, FAlSE)"),"")</f>
        <v/>
      </c>
      <c r="BA2672" s="61" t="str">
        <f>IFERROR(__xludf.DUMMYFUNCTION("vlookup(BB2672,importrange(""https://docs.google.com/spreadsheets/d/1d2vevQ_7D_v35q4wCQ4RpQ_IPoTwEMB9Yp6ymwlPqew/edit?gid=984458430#gid=984458430"", ""'replication success'!A:M""), 13, FAlSE)"),"abstract")</f>
        <v>abstract</v>
      </c>
      <c r="BB2672" s="61" t="str">
        <f>IFERROR(__xludf.DUMMYFUNCTION("REGEXREPLACE(G2672, ""_[a-z]{1,2}$"", """")"),"Soto")</f>
        <v>Soto</v>
      </c>
      <c r="BC2672" s="200"/>
      <c r="BD2672" s="287" t="s">
        <v>1270</v>
      </c>
      <c r="BE2672" s="200"/>
      <c r="BF2672" s="200"/>
      <c r="BG2672" s="200"/>
      <c r="BH2672" s="200"/>
      <c r="BI2672" s="200"/>
      <c r="BJ2672" s="200"/>
      <c r="BK2672" s="200"/>
      <c r="BL2672" s="200"/>
      <c r="BM2672" s="200"/>
      <c r="BN2672" s="200"/>
      <c r="BO2672" s="200"/>
      <c r="BP2672" s="200"/>
      <c r="BQ2672" s="200"/>
      <c r="BR2672" s="200"/>
      <c r="BS2672" s="200"/>
      <c r="BT2672" s="200"/>
      <c r="BU2672" s="200"/>
      <c r="BV2672" s="200"/>
      <c r="BW2672" s="200"/>
      <c r="BX2672" s="200"/>
      <c r="BY2672" s="200"/>
      <c r="BZ2672" s="200"/>
      <c r="CA2672" s="200"/>
      <c r="CB2672" s="200"/>
      <c r="CC2672" s="200"/>
      <c r="CD2672" s="200"/>
      <c r="CE2672" s="200"/>
      <c r="CF2672" s="200"/>
      <c r="CG2672" s="200"/>
      <c r="CH2672" s="200"/>
      <c r="CI2672" s="200"/>
      <c r="CJ2672" s="200"/>
      <c r="CK2672" s="200"/>
      <c r="CL2672" s="200"/>
      <c r="CM2672" s="200"/>
      <c r="CN2672" s="200"/>
      <c r="CO2672" s="200"/>
      <c r="CP2672" s="200"/>
      <c r="CQ2672" s="200"/>
      <c r="CR2672" s="200"/>
      <c r="CS2672" s="200"/>
      <c r="CT2672" s="200"/>
      <c r="CU2672" s="200"/>
      <c r="CV2672" s="200"/>
      <c r="CW2672" s="200"/>
      <c r="CX2672" s="200"/>
      <c r="CY2672" s="200"/>
      <c r="CZ2672" s="200"/>
      <c r="DA2672" s="200"/>
      <c r="DB2672" s="200"/>
      <c r="DC2672" s="200"/>
      <c r="DD2672" s="200"/>
      <c r="DE2672" s="200"/>
      <c r="DF2672" s="200"/>
      <c r="DG2672" s="200"/>
      <c r="DH2672" s="200"/>
      <c r="DI2672" s="200"/>
      <c r="DJ2672" s="200"/>
      <c r="DK2672" s="200"/>
      <c r="DL2672" s="200"/>
    </row>
    <row r="2673">
      <c r="A2673" s="44">
        <v>2673.0</v>
      </c>
      <c r="B2673" s="205" t="s">
        <v>114</v>
      </c>
      <c r="C2673" s="199" t="s">
        <v>115</v>
      </c>
      <c r="D2673" s="199" t="s">
        <v>286</v>
      </c>
      <c r="E2673" s="200"/>
      <c r="F2673" s="204" t="s">
        <v>14510</v>
      </c>
      <c r="G2673" s="201" t="s">
        <v>14425</v>
      </c>
      <c r="H2673" s="201" t="s">
        <v>8501</v>
      </c>
      <c r="I2673" s="533">
        <v>45246.0</v>
      </c>
      <c r="J2673" s="2180">
        <v>45807.0</v>
      </c>
      <c r="K2673" s="201" t="s">
        <v>15861</v>
      </c>
      <c r="L2673" s="205" t="s">
        <v>15862</v>
      </c>
      <c r="M2673" s="201" t="s">
        <v>14500</v>
      </c>
      <c r="N2673" s="201" t="s">
        <v>14501</v>
      </c>
      <c r="O2673" s="205">
        <v>1.0</v>
      </c>
      <c r="P2673" s="201" t="s">
        <v>14502</v>
      </c>
      <c r="Q2673" s="2219" t="str">
        <f> hyperlink(vlookup(lower(N2673),'File Links'!E:F, 2, FALSE), "LINK")</f>
        <v>LINK</v>
      </c>
      <c r="R2673" s="201" t="s">
        <v>14432</v>
      </c>
      <c r="S2673" s="201" t="s">
        <v>14433</v>
      </c>
      <c r="T2673" s="441" t="s">
        <v>15827</v>
      </c>
      <c r="U2673" s="205">
        <v>1.0</v>
      </c>
      <c r="V2673" s="201" t="s">
        <v>14434</v>
      </c>
      <c r="W2673" s="205" t="s">
        <v>209</v>
      </c>
      <c r="X2673" s="2220" t="str">
        <f> hyperlink(vlookup(lower(S2673),'File Links'!E:F, 2, FALSE), "LINK")</f>
        <v>LINK</v>
      </c>
      <c r="Y2673" s="201"/>
      <c r="Z2673" s="201" t="s">
        <v>1079</v>
      </c>
      <c r="AA2673" s="201" t="s">
        <v>14511</v>
      </c>
      <c r="AB2673" s="201" t="s">
        <v>14436</v>
      </c>
      <c r="AC2673" s="201" t="s">
        <v>14511</v>
      </c>
      <c r="AD2673" s="205" t="s">
        <v>138</v>
      </c>
      <c r="AE2673" s="205" t="s">
        <v>138</v>
      </c>
      <c r="AF2673" s="208">
        <v>194.0</v>
      </c>
      <c r="AG2673" s="208" t="s">
        <v>14512</v>
      </c>
      <c r="AH2673" s="201" t="s">
        <v>215</v>
      </c>
      <c r="AI2673" s="206" t="s">
        <v>15863</v>
      </c>
      <c r="AJ2673" s="207" t="s">
        <v>138</v>
      </c>
      <c r="AK2673" s="207" t="s">
        <v>138</v>
      </c>
      <c r="AL2673" s="201" t="s">
        <v>186</v>
      </c>
      <c r="AM2673" s="207" t="s">
        <v>138</v>
      </c>
      <c r="AN2673" s="201" t="s">
        <v>138</v>
      </c>
      <c r="AO2673" s="208">
        <v>1505.0</v>
      </c>
      <c r="AP2673" s="206">
        <v>0.41</v>
      </c>
      <c r="AQ2673" s="201" t="s">
        <v>215</v>
      </c>
      <c r="AR2673" s="151" t="s">
        <v>14440</v>
      </c>
      <c r="AS2673" s="201" t="s">
        <v>138</v>
      </c>
      <c r="AT2673" s="201" t="s">
        <v>138</v>
      </c>
      <c r="AU2673" s="201" t="s">
        <v>186</v>
      </c>
      <c r="AV2673" s="201" t="s">
        <v>137</v>
      </c>
      <c r="AW2673" s="2221" t="s">
        <v>15830</v>
      </c>
      <c r="AX2673" s="201" t="s">
        <v>143</v>
      </c>
      <c r="AY2673" s="61" t="str">
        <f>IFERROR(__xludf.DUMMYFUNCTION("vlookup(BB2673,importrange(""https://docs.google.com/spreadsheets/d/1d2vevQ_7D_v35q4wCQ4RpQ_IPoTwEMB9Yp6ymwlPqew/edit?gid=984458430#gid=984458430"", ""'replication success'!A:K""), 11, FAlSE)"),"")</f>
        <v/>
      </c>
      <c r="AZ2673" s="61" t="str">
        <f>IFERROR(__xludf.DUMMYFUNCTION("vlookup(BB2673,importrange(""https://docs.google.com/spreadsheets/d/1d2vevQ_7D_v35q4wCQ4RpQ_IPoTwEMB9Yp6ymwlPqew/edit?gid=984458430#gid=984458430"", ""'replication success'!A:M""), 12, FAlSE)"),"")</f>
        <v/>
      </c>
      <c r="BA2673" s="61" t="str">
        <f>IFERROR(__xludf.DUMMYFUNCTION("vlookup(BB2673,importrange(""https://docs.google.com/spreadsheets/d/1d2vevQ_7D_v35q4wCQ4RpQ_IPoTwEMB9Yp6ymwlPqew/edit?gid=984458430#gid=984458430"", ""'replication success'!A:M""), 13, FAlSE)"),"abstract")</f>
        <v>abstract</v>
      </c>
      <c r="BB2673" s="61" t="str">
        <f>IFERROR(__xludf.DUMMYFUNCTION("REGEXREPLACE(G2673, ""_[a-z]{1,2}$"", """")"),"Soto")</f>
        <v>Soto</v>
      </c>
      <c r="BC2673" s="200"/>
      <c r="BD2673" s="287" t="s">
        <v>1270</v>
      </c>
      <c r="BE2673" s="200"/>
      <c r="BF2673" s="200"/>
      <c r="BG2673" s="200"/>
      <c r="BH2673" s="200"/>
      <c r="BI2673" s="200"/>
      <c r="BJ2673" s="200"/>
      <c r="BK2673" s="200"/>
      <c r="BL2673" s="200"/>
      <c r="BM2673" s="200"/>
      <c r="BN2673" s="200"/>
      <c r="BO2673" s="200"/>
      <c r="BP2673" s="200"/>
      <c r="BQ2673" s="200"/>
      <c r="BR2673" s="200"/>
      <c r="BS2673" s="200"/>
      <c r="BT2673" s="200"/>
      <c r="BU2673" s="200"/>
      <c r="BV2673" s="200"/>
      <c r="BW2673" s="200"/>
      <c r="BX2673" s="200"/>
      <c r="BY2673" s="200"/>
      <c r="BZ2673" s="200"/>
      <c r="CA2673" s="200"/>
      <c r="CB2673" s="200"/>
      <c r="CC2673" s="200"/>
      <c r="CD2673" s="200"/>
      <c r="CE2673" s="200"/>
      <c r="CF2673" s="200"/>
      <c r="CG2673" s="200"/>
      <c r="CH2673" s="200"/>
      <c r="CI2673" s="200"/>
      <c r="CJ2673" s="200"/>
      <c r="CK2673" s="200"/>
      <c r="CL2673" s="200"/>
      <c r="CM2673" s="200"/>
      <c r="CN2673" s="200"/>
      <c r="CO2673" s="200"/>
      <c r="CP2673" s="200"/>
      <c r="CQ2673" s="200"/>
      <c r="CR2673" s="200"/>
      <c r="CS2673" s="200"/>
      <c r="CT2673" s="200"/>
      <c r="CU2673" s="200"/>
      <c r="CV2673" s="200"/>
      <c r="CW2673" s="200"/>
      <c r="CX2673" s="200"/>
      <c r="CY2673" s="200"/>
      <c r="CZ2673" s="200"/>
      <c r="DA2673" s="200"/>
      <c r="DB2673" s="200"/>
      <c r="DC2673" s="200"/>
      <c r="DD2673" s="200"/>
      <c r="DE2673" s="200"/>
      <c r="DF2673" s="200"/>
      <c r="DG2673" s="200"/>
      <c r="DH2673" s="200"/>
      <c r="DI2673" s="200"/>
      <c r="DJ2673" s="200"/>
      <c r="DK2673" s="200"/>
      <c r="DL2673" s="200"/>
    </row>
    <row r="2674">
      <c r="A2674" s="44">
        <v>2674.0</v>
      </c>
      <c r="B2674" s="129" t="s">
        <v>152</v>
      </c>
      <c r="C2674" s="62" t="s">
        <v>115</v>
      </c>
      <c r="D2674" s="62" t="s">
        <v>286</v>
      </c>
      <c r="F2674" s="68" t="s">
        <v>14513</v>
      </c>
      <c r="G2674" s="159" t="s">
        <v>14425</v>
      </c>
      <c r="H2674" s="159" t="s">
        <v>8501</v>
      </c>
      <c r="I2674" s="434">
        <v>45251.0</v>
      </c>
      <c r="J2674" s="2180">
        <v>45807.0</v>
      </c>
      <c r="K2674" s="159" t="s">
        <v>15864</v>
      </c>
      <c r="L2674" s="129" t="s">
        <v>15865</v>
      </c>
      <c r="M2674" s="159" t="s">
        <v>14515</v>
      </c>
      <c r="N2674" s="159" t="s">
        <v>14516</v>
      </c>
      <c r="O2674" s="156">
        <v>2.0</v>
      </c>
      <c r="P2674" s="382" t="s">
        <v>14517</v>
      </c>
      <c r="Q2674" s="52" t="str">
        <f t="array" ref="Q2674"> IF(ISERROR(MATCH(V2674, 'File Links'!C:C, 0)), "N/A", HYPERLINK(INDEX('File Links'!B:B, MATCH(P2674, 'File Links'!C:C, 0))))</f>
        <v>https://drive.google.com/file/d/1KF3EmUMvFgpP_JffHNBHYjTtKalpvzRE/view?usp=drivesdk</v>
      </c>
      <c r="R2674" s="159" t="s">
        <v>14432</v>
      </c>
      <c r="S2674" s="159" t="s">
        <v>14433</v>
      </c>
      <c r="T2674" s="441" t="s">
        <v>15827</v>
      </c>
      <c r="U2674" s="129">
        <v>1.0</v>
      </c>
      <c r="V2674" s="382" t="s">
        <v>14434</v>
      </c>
      <c r="W2674" s="205" t="s">
        <v>209</v>
      </c>
      <c r="X2674" s="1552" t="str">
        <f> hyperlink(vlookup(lower(S2674),'File Links'!E:F, 2, FALSE), "LINK")</f>
        <v>LINK</v>
      </c>
      <c r="Y2674" s="360"/>
      <c r="Z2674" s="159" t="s">
        <v>1079</v>
      </c>
      <c r="AA2674" s="159" t="s">
        <v>15866</v>
      </c>
      <c r="AB2674" s="159" t="s">
        <v>14436</v>
      </c>
      <c r="AC2674" s="159" t="s">
        <v>14519</v>
      </c>
      <c r="AD2674" s="151" t="s">
        <v>14520</v>
      </c>
      <c r="AE2674" s="161" t="s">
        <v>628</v>
      </c>
      <c r="AF2674" s="156">
        <v>1228.0</v>
      </c>
      <c r="AG2674" s="156">
        <v>0.32</v>
      </c>
      <c r="AH2674" s="159" t="s">
        <v>215</v>
      </c>
      <c r="AI2674" s="161" t="s">
        <v>628</v>
      </c>
      <c r="AJ2674" s="156">
        <v>0.01</v>
      </c>
      <c r="AK2674" s="159" t="s">
        <v>135</v>
      </c>
      <c r="AL2674" s="360" t="s">
        <v>186</v>
      </c>
      <c r="AM2674" s="159" t="s">
        <v>137</v>
      </c>
      <c r="AN2674" s="159" t="s">
        <v>138</v>
      </c>
      <c r="AO2674" s="156">
        <v>1559.0</v>
      </c>
      <c r="AP2674" s="151">
        <v>0.37</v>
      </c>
      <c r="AQ2674" s="201" t="s">
        <v>215</v>
      </c>
      <c r="AR2674" s="151" t="s">
        <v>14440</v>
      </c>
      <c r="AS2674" s="2094">
        <v>6.33652557377656E-52</v>
      </c>
      <c r="AT2674" s="1793" t="s">
        <v>172</v>
      </c>
      <c r="AU2674" s="2216" t="s">
        <v>136</v>
      </c>
      <c r="AV2674" s="159" t="s">
        <v>137</v>
      </c>
      <c r="AW2674" s="310" t="s">
        <v>15830</v>
      </c>
      <c r="AX2674" s="159" t="s">
        <v>143</v>
      </c>
      <c r="AY2674" s="61" t="str">
        <f>IFERROR(__xludf.DUMMYFUNCTION("vlookup(BB2674,importrange(""https://docs.google.com/spreadsheets/d/1d2vevQ_7D_v35q4wCQ4RpQ_IPoTwEMB9Yp6ymwlPqew/edit?gid=984458430#gid=984458430"", ""'replication success'!A:K""), 11, FAlSE)"),"")</f>
        <v/>
      </c>
      <c r="AZ2674" s="61" t="str">
        <f>IFERROR(__xludf.DUMMYFUNCTION("vlookup(BB2674,importrange(""https://docs.google.com/spreadsheets/d/1d2vevQ_7D_v35q4wCQ4RpQ_IPoTwEMB9Yp6ymwlPqew/edit?gid=984458430#gid=984458430"", ""'replication success'!A:M""), 12, FAlSE)"),"")</f>
        <v/>
      </c>
      <c r="BA2674" s="61" t="str">
        <f>IFERROR(__xludf.DUMMYFUNCTION("vlookup(BB2674,importrange(""https://docs.google.com/spreadsheets/d/1d2vevQ_7D_v35q4wCQ4RpQ_IPoTwEMB9Yp6ymwlPqew/edit?gid=984458430#gid=984458430"", ""'replication success'!A:M""), 13, FAlSE)"),"abstract")</f>
        <v>abstract</v>
      </c>
      <c r="BB2674" s="61" t="str">
        <f>IFERROR(__xludf.DUMMYFUNCTION("REGEXREPLACE(G2674, ""_[a-z]{1,2}$"", """")"),"Soto")</f>
        <v>Soto</v>
      </c>
      <c r="BD2674" s="287" t="s">
        <v>1270</v>
      </c>
    </row>
    <row r="2675">
      <c r="A2675" s="44">
        <v>2675.0</v>
      </c>
      <c r="B2675" s="129" t="s">
        <v>152</v>
      </c>
      <c r="C2675" s="62" t="s">
        <v>115</v>
      </c>
      <c r="D2675" s="62" t="s">
        <v>286</v>
      </c>
      <c r="F2675" s="68" t="s">
        <v>14522</v>
      </c>
      <c r="G2675" s="159" t="s">
        <v>14425</v>
      </c>
      <c r="H2675" s="159" t="s">
        <v>8501</v>
      </c>
      <c r="I2675" s="152">
        <v>45251.0</v>
      </c>
      <c r="J2675" s="2180">
        <v>45807.0</v>
      </c>
      <c r="K2675" s="159" t="s">
        <v>15867</v>
      </c>
      <c r="L2675" s="129" t="s">
        <v>15868</v>
      </c>
      <c r="M2675" s="159" t="s">
        <v>14515</v>
      </c>
      <c r="N2675" s="159" t="s">
        <v>14516</v>
      </c>
      <c r="O2675" s="156">
        <v>2.0</v>
      </c>
      <c r="P2675" s="382" t="s">
        <v>14517</v>
      </c>
      <c r="Q2675" s="52" t="str">
        <f t="array" ref="Q2675"> if(iserror(MATCH(V2675, 'File Links'!C:C, 0)), "N/A", HYPERLINK(INDEX('File Links'!B:B, MATCH(P2675, 'File Links'!C:C, 0))))</f>
        <v>https://drive.google.com/file/d/1KF3EmUMvFgpP_JffHNBHYjTtKalpvzRE/view?usp=drivesdk</v>
      </c>
      <c r="R2675" s="159" t="s">
        <v>14432</v>
      </c>
      <c r="S2675" s="159" t="s">
        <v>14433</v>
      </c>
      <c r="T2675" s="441" t="s">
        <v>15827</v>
      </c>
      <c r="U2675" s="129">
        <v>1.0</v>
      </c>
      <c r="V2675" s="382" t="s">
        <v>14434</v>
      </c>
      <c r="W2675" s="205" t="s">
        <v>209</v>
      </c>
      <c r="X2675" s="1552" t="str">
        <f> hyperlink(vlookup(lower(S2675),'File Links'!E:F, 2, FALSE), "LINK")</f>
        <v>LINK</v>
      </c>
      <c r="Y2675" s="360"/>
      <c r="Z2675" s="159" t="s">
        <v>1079</v>
      </c>
      <c r="AA2675" s="159" t="s">
        <v>15869</v>
      </c>
      <c r="AB2675" s="159" t="s">
        <v>14436</v>
      </c>
      <c r="AC2675" s="159" t="s">
        <v>14525</v>
      </c>
      <c r="AD2675" s="151" t="s">
        <v>14526</v>
      </c>
      <c r="AE2675" s="161" t="s">
        <v>628</v>
      </c>
      <c r="AF2675" s="156">
        <v>1228.0</v>
      </c>
      <c r="AG2675" s="156">
        <v>0.41</v>
      </c>
      <c r="AH2675" s="159" t="s">
        <v>215</v>
      </c>
      <c r="AI2675" s="161" t="s">
        <v>628</v>
      </c>
      <c r="AJ2675" s="156">
        <v>0.01</v>
      </c>
      <c r="AK2675" s="159" t="s">
        <v>135</v>
      </c>
      <c r="AL2675" s="360" t="s">
        <v>186</v>
      </c>
      <c r="AM2675" s="159" t="s">
        <v>137</v>
      </c>
      <c r="AN2675" s="159" t="s">
        <v>138</v>
      </c>
      <c r="AO2675" s="156">
        <v>1559.0</v>
      </c>
      <c r="AP2675" s="151">
        <v>0.54</v>
      </c>
      <c r="AQ2675" s="201" t="s">
        <v>215</v>
      </c>
      <c r="AR2675" s="151" t="s">
        <v>14440</v>
      </c>
      <c r="AS2675" s="2094">
        <v>3.08233450393398E-105</v>
      </c>
      <c r="AT2675" s="1793" t="s">
        <v>172</v>
      </c>
      <c r="AU2675" s="2216" t="s">
        <v>136</v>
      </c>
      <c r="AV2675" s="159" t="s">
        <v>137</v>
      </c>
      <c r="AW2675" s="310" t="s">
        <v>15830</v>
      </c>
      <c r="AX2675" s="159" t="s">
        <v>143</v>
      </c>
      <c r="AY2675" s="61" t="str">
        <f>IFERROR(__xludf.DUMMYFUNCTION("vlookup(BB2675,importrange(""https://docs.google.com/spreadsheets/d/1d2vevQ_7D_v35q4wCQ4RpQ_IPoTwEMB9Yp6ymwlPqew/edit?gid=984458430#gid=984458430"", ""'replication success'!A:K""), 11, FAlSE)"),"")</f>
        <v/>
      </c>
      <c r="AZ2675" s="61" t="str">
        <f>IFERROR(__xludf.DUMMYFUNCTION("vlookup(BB2675,importrange(""https://docs.google.com/spreadsheets/d/1d2vevQ_7D_v35q4wCQ4RpQ_IPoTwEMB9Yp6ymwlPqew/edit?gid=984458430#gid=984458430"", ""'replication success'!A:M""), 12, FAlSE)"),"")</f>
        <v/>
      </c>
      <c r="BA2675" s="61" t="str">
        <f>IFERROR(__xludf.DUMMYFUNCTION("vlookup(BB2675,importrange(""https://docs.google.com/spreadsheets/d/1d2vevQ_7D_v35q4wCQ4RpQ_IPoTwEMB9Yp6ymwlPqew/edit?gid=984458430#gid=984458430"", ""'replication success'!A:M""), 13, FAlSE)"),"abstract")</f>
        <v>abstract</v>
      </c>
      <c r="BB2675" s="61" t="str">
        <f>IFERROR(__xludf.DUMMYFUNCTION("REGEXREPLACE(G2675, ""_[a-z]{1,2}$"", """")"),"Soto")</f>
        <v>Soto</v>
      </c>
      <c r="BD2675" s="287" t="s">
        <v>1270</v>
      </c>
    </row>
    <row r="2676">
      <c r="A2676" s="44">
        <v>2676.0</v>
      </c>
      <c r="B2676" s="212" t="s">
        <v>114</v>
      </c>
      <c r="C2676" s="2095" t="s">
        <v>115</v>
      </c>
      <c r="D2676" s="2095" t="s">
        <v>286</v>
      </c>
      <c r="E2676" s="2096"/>
      <c r="F2676" s="2097" t="s">
        <v>14527</v>
      </c>
      <c r="G2676" s="2098" t="s">
        <v>14425</v>
      </c>
      <c r="H2676" s="2098" t="s">
        <v>8501</v>
      </c>
      <c r="I2676" s="2222">
        <v>45251.0</v>
      </c>
      <c r="J2676" s="2180">
        <v>45807.0</v>
      </c>
      <c r="K2676" s="2098" t="s">
        <v>15870</v>
      </c>
      <c r="L2676" s="212" t="s">
        <v>15871</v>
      </c>
      <c r="M2676" s="2098" t="s">
        <v>14529</v>
      </c>
      <c r="N2676" s="2098" t="s">
        <v>14530</v>
      </c>
      <c r="O2676" s="212">
        <v>1.0</v>
      </c>
      <c r="P2676" s="2098" t="s">
        <v>14531</v>
      </c>
      <c r="Q2676" s="2223" t="str">
        <f> hyperlink(vlookup(lower(N2676),'File Links'!E:F, 2, FALSE), "LINK")</f>
        <v>LINK</v>
      </c>
      <c r="R2676" s="2098" t="s">
        <v>14432</v>
      </c>
      <c r="S2676" s="2098" t="s">
        <v>14433</v>
      </c>
      <c r="T2676" s="441" t="s">
        <v>15827</v>
      </c>
      <c r="U2676" s="212">
        <v>1.0</v>
      </c>
      <c r="V2676" s="2098" t="s">
        <v>14434</v>
      </c>
      <c r="W2676" s="205" t="s">
        <v>209</v>
      </c>
      <c r="X2676" s="2224" t="str">
        <f> hyperlink(vlookup(lower(S2676),'File Links'!E:F, 2, FALSE), "LINK")</f>
        <v>LINK</v>
      </c>
      <c r="Y2676" s="2098"/>
      <c r="Z2676" s="2098" t="s">
        <v>1079</v>
      </c>
      <c r="AA2676" s="2098" t="s">
        <v>15872</v>
      </c>
      <c r="AB2676" s="2098" t="s">
        <v>14436</v>
      </c>
      <c r="AC2676" s="2098" t="s">
        <v>14533</v>
      </c>
      <c r="AD2676" s="2098" t="s">
        <v>14534</v>
      </c>
      <c r="AE2676" s="2102" t="s">
        <v>217</v>
      </c>
      <c r="AF2676" s="2103">
        <v>140.0</v>
      </c>
      <c r="AG2676" s="2103">
        <v>0.58</v>
      </c>
      <c r="AH2676" s="2098" t="s">
        <v>215</v>
      </c>
      <c r="AI2676" s="2102" t="s">
        <v>850</v>
      </c>
      <c r="AJ2676" s="2103">
        <v>0.01</v>
      </c>
      <c r="AK2676" s="2098" t="s">
        <v>135</v>
      </c>
      <c r="AL2676" s="2098" t="s">
        <v>186</v>
      </c>
      <c r="AM2676" s="2098" t="s">
        <v>137</v>
      </c>
      <c r="AN2676" s="2098" t="s">
        <v>138</v>
      </c>
      <c r="AO2676" s="2103">
        <v>1550.0</v>
      </c>
      <c r="AP2676" s="1424">
        <v>0.57</v>
      </c>
      <c r="AQ2676" s="201" t="s">
        <v>215</v>
      </c>
      <c r="AR2676" s="151" t="s">
        <v>14440</v>
      </c>
      <c r="AS2676" s="2105">
        <v>9.89133616410579E-76</v>
      </c>
      <c r="AT2676" s="1793" t="s">
        <v>172</v>
      </c>
      <c r="AU2676" s="2216" t="s">
        <v>136</v>
      </c>
      <c r="AV2676" s="2098" t="s">
        <v>137</v>
      </c>
      <c r="AW2676" s="2225" t="s">
        <v>15830</v>
      </c>
      <c r="AX2676" s="2098" t="s">
        <v>143</v>
      </c>
      <c r="AY2676" s="61" t="str">
        <f>IFERROR(__xludf.DUMMYFUNCTION("vlookup(BB2676,importrange(""https://docs.google.com/spreadsheets/d/1d2vevQ_7D_v35q4wCQ4RpQ_IPoTwEMB9Yp6ymwlPqew/edit?gid=984458430#gid=984458430"", ""'replication success'!A:K""), 11, FAlSE)"),"")</f>
        <v/>
      </c>
      <c r="AZ2676" s="61" t="str">
        <f>IFERROR(__xludf.DUMMYFUNCTION("vlookup(BB2676,importrange(""https://docs.google.com/spreadsheets/d/1d2vevQ_7D_v35q4wCQ4RpQ_IPoTwEMB9Yp6ymwlPqew/edit?gid=984458430#gid=984458430"", ""'replication success'!A:M""), 12, FAlSE)"),"")</f>
        <v/>
      </c>
      <c r="BA2676" s="61" t="str">
        <f>IFERROR(__xludf.DUMMYFUNCTION("vlookup(BB2676,importrange(""https://docs.google.com/spreadsheets/d/1d2vevQ_7D_v35q4wCQ4RpQ_IPoTwEMB9Yp6ymwlPqew/edit?gid=984458430#gid=984458430"", ""'replication success'!A:M""), 13, FAlSE)"),"abstract")</f>
        <v>abstract</v>
      </c>
      <c r="BB2676" s="61" t="str">
        <f>IFERROR(__xludf.DUMMYFUNCTION("REGEXREPLACE(G2676, ""_[a-z]{1,2}$"", """")"),"Soto")</f>
        <v>Soto</v>
      </c>
      <c r="BC2676" s="2096"/>
      <c r="BD2676" s="287" t="s">
        <v>1270</v>
      </c>
      <c r="BE2676" s="2096"/>
      <c r="BF2676" s="2096"/>
      <c r="BG2676" s="2096"/>
      <c r="BH2676" s="2096"/>
      <c r="BI2676" s="2096"/>
      <c r="BJ2676" s="2096"/>
      <c r="BK2676" s="2096"/>
      <c r="BL2676" s="2096"/>
      <c r="BM2676" s="2096"/>
      <c r="BN2676" s="2096"/>
      <c r="BO2676" s="2096"/>
      <c r="BP2676" s="2096"/>
      <c r="BQ2676" s="2096"/>
      <c r="BR2676" s="2096"/>
      <c r="BS2676" s="2096"/>
      <c r="BT2676" s="2096"/>
      <c r="BU2676" s="2096"/>
      <c r="BV2676" s="2096"/>
      <c r="BW2676" s="2096"/>
      <c r="BX2676" s="2096"/>
      <c r="BY2676" s="2096"/>
      <c r="BZ2676" s="2096"/>
      <c r="CA2676" s="2096"/>
      <c r="CB2676" s="2096"/>
      <c r="CC2676" s="2096"/>
      <c r="CD2676" s="2096"/>
      <c r="CE2676" s="2096"/>
      <c r="CF2676" s="2096"/>
      <c r="CG2676" s="2096"/>
      <c r="CH2676" s="2096"/>
      <c r="CI2676" s="2096"/>
      <c r="CJ2676" s="2096"/>
      <c r="CK2676" s="2096"/>
      <c r="CL2676" s="2096"/>
      <c r="CM2676" s="2096"/>
      <c r="CN2676" s="2096"/>
      <c r="CO2676" s="2096"/>
      <c r="CP2676" s="2096"/>
      <c r="CQ2676" s="2096"/>
      <c r="CR2676" s="2096"/>
      <c r="CS2676" s="2096"/>
      <c r="CT2676" s="2096"/>
      <c r="CU2676" s="2096"/>
      <c r="CV2676" s="2096"/>
      <c r="CW2676" s="2096"/>
      <c r="CX2676" s="2096"/>
      <c r="CY2676" s="2096"/>
      <c r="CZ2676" s="2096"/>
      <c r="DA2676" s="2096"/>
      <c r="DB2676" s="2096"/>
      <c r="DC2676" s="2096"/>
      <c r="DD2676" s="2096"/>
      <c r="DE2676" s="2096"/>
      <c r="DF2676" s="2096"/>
      <c r="DG2676" s="2096"/>
      <c r="DH2676" s="2096"/>
      <c r="DI2676" s="2096"/>
      <c r="DJ2676" s="2096"/>
      <c r="DK2676" s="2096"/>
      <c r="DL2676" s="2096"/>
    </row>
    <row r="2677">
      <c r="A2677" s="44">
        <v>2677.0</v>
      </c>
      <c r="B2677" s="129" t="s">
        <v>152</v>
      </c>
      <c r="C2677" s="62" t="s">
        <v>115</v>
      </c>
      <c r="D2677" s="62" t="s">
        <v>286</v>
      </c>
      <c r="F2677" s="68" t="s">
        <v>14536</v>
      </c>
      <c r="G2677" s="159" t="s">
        <v>14425</v>
      </c>
      <c r="H2677" s="159" t="s">
        <v>8501</v>
      </c>
      <c r="I2677" s="152">
        <v>45251.0</v>
      </c>
      <c r="J2677" s="2180">
        <v>45807.0</v>
      </c>
      <c r="K2677" s="159" t="s">
        <v>15873</v>
      </c>
      <c r="L2677" s="129" t="s">
        <v>15874</v>
      </c>
      <c r="M2677" s="159" t="s">
        <v>14538</v>
      </c>
      <c r="N2677" s="159" t="s">
        <v>14539</v>
      </c>
      <c r="O2677" s="129">
        <v>1.0</v>
      </c>
      <c r="P2677" s="382" t="s">
        <v>14540</v>
      </c>
      <c r="Q2677" s="2191" t="str">
        <f> hyperlink(vlookup(lower(N2677),'File Links'!E:F, 2, FALSE), "LINK")</f>
        <v>LINK</v>
      </c>
      <c r="R2677" s="159" t="s">
        <v>14432</v>
      </c>
      <c r="S2677" s="159" t="s">
        <v>14433</v>
      </c>
      <c r="T2677" s="441" t="s">
        <v>15827</v>
      </c>
      <c r="U2677" s="129">
        <v>1.0</v>
      </c>
      <c r="V2677" s="382" t="s">
        <v>14434</v>
      </c>
      <c r="W2677" s="205" t="s">
        <v>209</v>
      </c>
      <c r="X2677" s="1552" t="str">
        <f> hyperlink(vlookup(lower(S2677),'File Links'!E:F, 2, FALSE), "LINK")</f>
        <v>LINK</v>
      </c>
      <c r="Y2677" s="360"/>
      <c r="Z2677" s="159" t="s">
        <v>1079</v>
      </c>
      <c r="AA2677" s="159" t="s">
        <v>15875</v>
      </c>
      <c r="AB2677" s="159" t="s">
        <v>14436</v>
      </c>
      <c r="AC2677" s="159" t="s">
        <v>14541</v>
      </c>
      <c r="AD2677" s="159" t="s">
        <v>14542</v>
      </c>
      <c r="AE2677" s="161" t="s">
        <v>436</v>
      </c>
      <c r="AF2677" s="156">
        <v>9131.0</v>
      </c>
      <c r="AG2677" s="156">
        <v>0.17</v>
      </c>
      <c r="AH2677" s="2098" t="s">
        <v>215</v>
      </c>
      <c r="AI2677" s="151" t="s">
        <v>436</v>
      </c>
      <c r="AJ2677" s="161">
        <v>0.01</v>
      </c>
      <c r="AK2677" s="159" t="s">
        <v>135</v>
      </c>
      <c r="AL2677" s="360" t="s">
        <v>186</v>
      </c>
      <c r="AM2677" s="159" t="s">
        <v>137</v>
      </c>
      <c r="AN2677" s="159" t="s">
        <v>138</v>
      </c>
      <c r="AO2677" s="156">
        <v>1559.0</v>
      </c>
      <c r="AP2677" s="151">
        <v>0.39</v>
      </c>
      <c r="AQ2677" s="201" t="s">
        <v>215</v>
      </c>
      <c r="AR2677" s="151" t="s">
        <v>14440</v>
      </c>
      <c r="AS2677" s="159" t="s">
        <v>138</v>
      </c>
      <c r="AT2677" s="159" t="s">
        <v>138</v>
      </c>
      <c r="AU2677" s="159" t="s">
        <v>186</v>
      </c>
      <c r="AV2677" s="159" t="s">
        <v>137</v>
      </c>
      <c r="AW2677" s="310" t="s">
        <v>15830</v>
      </c>
      <c r="AX2677" s="159" t="s">
        <v>143</v>
      </c>
      <c r="AY2677" s="61" t="str">
        <f>IFERROR(__xludf.DUMMYFUNCTION("vlookup(BB2677,importrange(""https://docs.google.com/spreadsheets/d/1d2vevQ_7D_v35q4wCQ4RpQ_IPoTwEMB9Yp6ymwlPqew/edit?gid=984458430#gid=984458430"", ""'replication success'!A:K""), 11, FAlSE)"),"")</f>
        <v/>
      </c>
      <c r="AZ2677" s="61" t="str">
        <f>IFERROR(__xludf.DUMMYFUNCTION("vlookup(BB2677,importrange(""https://docs.google.com/spreadsheets/d/1d2vevQ_7D_v35q4wCQ4RpQ_IPoTwEMB9Yp6ymwlPqew/edit?gid=984458430#gid=984458430"", ""'replication success'!A:M""), 12, FAlSE)"),"")</f>
        <v/>
      </c>
      <c r="BA2677" s="61" t="str">
        <f>IFERROR(__xludf.DUMMYFUNCTION("vlookup(BB2677,importrange(""https://docs.google.com/spreadsheets/d/1d2vevQ_7D_v35q4wCQ4RpQ_IPoTwEMB9Yp6ymwlPqew/edit?gid=984458430#gid=984458430"", ""'replication success'!A:M""), 13, FAlSE)"),"abstract")</f>
        <v>abstract</v>
      </c>
      <c r="BB2677" s="61" t="str">
        <f>IFERROR(__xludf.DUMMYFUNCTION("REGEXREPLACE(G2677, ""_[a-z]{1,2}$"", """")"),"Soto")</f>
        <v>Soto</v>
      </c>
      <c r="BD2677" s="287" t="s">
        <v>1270</v>
      </c>
    </row>
    <row r="2678">
      <c r="A2678" s="44">
        <v>2678.0</v>
      </c>
      <c r="B2678" s="129" t="s">
        <v>152</v>
      </c>
      <c r="C2678" s="62" t="s">
        <v>115</v>
      </c>
      <c r="D2678" s="62" t="s">
        <v>286</v>
      </c>
      <c r="F2678" s="68" t="s">
        <v>14544</v>
      </c>
      <c r="G2678" s="159" t="s">
        <v>14425</v>
      </c>
      <c r="H2678" s="159" t="s">
        <v>8501</v>
      </c>
      <c r="I2678" s="152">
        <v>45251.0</v>
      </c>
      <c r="J2678" s="2180">
        <v>45807.0</v>
      </c>
      <c r="K2678" s="159" t="s">
        <v>15876</v>
      </c>
      <c r="L2678" s="129" t="s">
        <v>15874</v>
      </c>
      <c r="M2678" s="159" t="s">
        <v>14538</v>
      </c>
      <c r="N2678" s="159" t="s">
        <v>14539</v>
      </c>
      <c r="O2678" s="129">
        <v>1.0</v>
      </c>
      <c r="P2678" s="382" t="s">
        <v>14540</v>
      </c>
      <c r="Q2678" s="2191" t="str">
        <f> hyperlink(vlookup(lower(N2678),'File Links'!E:F, 2, FALSE), "LINK")</f>
        <v>LINK</v>
      </c>
      <c r="R2678" s="159" t="s">
        <v>14432</v>
      </c>
      <c r="S2678" s="159" t="s">
        <v>14433</v>
      </c>
      <c r="T2678" s="441" t="s">
        <v>15827</v>
      </c>
      <c r="U2678" s="129">
        <v>1.0</v>
      </c>
      <c r="V2678" s="382" t="s">
        <v>14434</v>
      </c>
      <c r="W2678" s="205" t="s">
        <v>209</v>
      </c>
      <c r="X2678" s="1552" t="str">
        <f> hyperlink(vlookup(lower(S2678),'File Links'!E:F, 2, FALSE), "LINK")</f>
        <v>LINK</v>
      </c>
      <c r="Y2678" s="360"/>
      <c r="Z2678" s="159" t="s">
        <v>1079</v>
      </c>
      <c r="AA2678" s="159" t="s">
        <v>15877</v>
      </c>
      <c r="AB2678" s="159" t="s">
        <v>14436</v>
      </c>
      <c r="AC2678" s="159" t="s">
        <v>14545</v>
      </c>
      <c r="AD2678" s="159" t="s">
        <v>14542</v>
      </c>
      <c r="AE2678" s="161" t="s">
        <v>436</v>
      </c>
      <c r="AF2678" s="156">
        <v>7869.0</v>
      </c>
      <c r="AG2678" s="156">
        <v>-0.22</v>
      </c>
      <c r="AH2678" s="2098" t="s">
        <v>215</v>
      </c>
      <c r="AI2678" s="151" t="s">
        <v>436</v>
      </c>
      <c r="AJ2678" s="161">
        <v>0.01</v>
      </c>
      <c r="AK2678" s="159" t="s">
        <v>135</v>
      </c>
      <c r="AL2678" s="360" t="s">
        <v>186</v>
      </c>
      <c r="AM2678" s="159" t="s">
        <v>137</v>
      </c>
      <c r="AN2678" s="159" t="s">
        <v>138</v>
      </c>
      <c r="AO2678" s="156">
        <v>1559.0</v>
      </c>
      <c r="AP2678" s="151">
        <v>-0.54</v>
      </c>
      <c r="AQ2678" s="201" t="s">
        <v>215</v>
      </c>
      <c r="AR2678" s="151" t="s">
        <v>14440</v>
      </c>
      <c r="AS2678" s="159" t="s">
        <v>138</v>
      </c>
      <c r="AT2678" s="159" t="s">
        <v>138</v>
      </c>
      <c r="AU2678" s="159" t="s">
        <v>186</v>
      </c>
      <c r="AV2678" s="159" t="s">
        <v>137</v>
      </c>
      <c r="AW2678" s="310" t="s">
        <v>15830</v>
      </c>
      <c r="AX2678" s="159" t="s">
        <v>143</v>
      </c>
      <c r="AY2678" s="61" t="str">
        <f>IFERROR(__xludf.DUMMYFUNCTION("vlookup(BB2678,importrange(""https://docs.google.com/spreadsheets/d/1d2vevQ_7D_v35q4wCQ4RpQ_IPoTwEMB9Yp6ymwlPqew/edit?gid=984458430#gid=984458430"", ""'replication success'!A:K""), 11, FAlSE)"),"")</f>
        <v/>
      </c>
      <c r="AZ2678" s="61" t="str">
        <f>IFERROR(__xludf.DUMMYFUNCTION("vlookup(BB2678,importrange(""https://docs.google.com/spreadsheets/d/1d2vevQ_7D_v35q4wCQ4RpQ_IPoTwEMB9Yp6ymwlPqew/edit?gid=984458430#gid=984458430"", ""'replication success'!A:M""), 12, FAlSE)"),"")</f>
        <v/>
      </c>
      <c r="BA2678" s="61" t="str">
        <f>IFERROR(__xludf.DUMMYFUNCTION("vlookup(BB2678,importrange(""https://docs.google.com/spreadsheets/d/1d2vevQ_7D_v35q4wCQ4RpQ_IPoTwEMB9Yp6ymwlPqew/edit?gid=984458430#gid=984458430"", ""'replication success'!A:M""), 13, FAlSE)"),"abstract")</f>
        <v>abstract</v>
      </c>
      <c r="BB2678" s="61" t="str">
        <f>IFERROR(__xludf.DUMMYFUNCTION("REGEXREPLACE(G2678, ""_[a-z]{1,2}$"", """")"),"Soto")</f>
        <v>Soto</v>
      </c>
      <c r="BD2678" s="287" t="s">
        <v>1270</v>
      </c>
    </row>
    <row r="2679">
      <c r="A2679" s="44">
        <v>2679.0</v>
      </c>
      <c r="B2679" s="219" t="s">
        <v>152</v>
      </c>
      <c r="C2679" s="124" t="s">
        <v>115</v>
      </c>
      <c r="D2679" s="124" t="s">
        <v>286</v>
      </c>
      <c r="E2679" s="107"/>
      <c r="F2679" s="125" t="s">
        <v>14546</v>
      </c>
      <c r="G2679" s="140" t="s">
        <v>14425</v>
      </c>
      <c r="H2679" s="140" t="s">
        <v>8501</v>
      </c>
      <c r="I2679" s="317">
        <v>45251.0</v>
      </c>
      <c r="J2679" s="221">
        <v>45807.0</v>
      </c>
      <c r="K2679" s="140" t="s">
        <v>15878</v>
      </c>
      <c r="L2679" s="695" t="s">
        <v>14547</v>
      </c>
      <c r="M2679" s="140" t="s">
        <v>14548</v>
      </c>
      <c r="N2679" s="140" t="s">
        <v>14549</v>
      </c>
      <c r="O2679" s="125"/>
      <c r="P2679" s="140" t="s">
        <v>14550</v>
      </c>
      <c r="Q2679" s="906" t="str">
        <f t="array" ref="Q2679"> if(iserror(MATCH(V2679, 'File Links'!C:C, 0)), "N/A", HYPERLINK(INDEX('File Links'!B:B, MATCH(P2679, 'File Links'!C:C, 0))))</f>
        <v>https://drive.google.com/file/d/15-Qaf3mc5XQEsuoEm8ghrVO5S8iGirFd/view?usp=drivesdk</v>
      </c>
      <c r="R2679" s="140" t="s">
        <v>14432</v>
      </c>
      <c r="S2679" s="140" t="s">
        <v>14433</v>
      </c>
      <c r="T2679" s="125"/>
      <c r="U2679" s="125"/>
      <c r="V2679" s="140" t="s">
        <v>14434</v>
      </c>
      <c r="W2679" s="125"/>
      <c r="X2679" s="2226" t="str">
        <f> hyperlink(vlookup(lower(S2679),'File Links'!E:F, 2, FALSE), "LINK")</f>
        <v>LINK</v>
      </c>
      <c r="Y2679" s="219" t="s">
        <v>141</v>
      </c>
      <c r="Z2679" s="140" t="s">
        <v>1079</v>
      </c>
      <c r="AA2679" s="125"/>
      <c r="AB2679" s="140" t="s">
        <v>14436</v>
      </c>
      <c r="AC2679" s="140" t="s">
        <v>14551</v>
      </c>
      <c r="AD2679" s="140" t="s">
        <v>14551</v>
      </c>
      <c r="AE2679" s="140" t="s">
        <v>138</v>
      </c>
      <c r="AF2679" s="782">
        <v>1108.0</v>
      </c>
      <c r="AG2679" s="140" t="s">
        <v>138</v>
      </c>
      <c r="AH2679" s="140" t="s">
        <v>138</v>
      </c>
      <c r="AI2679" s="140" t="s">
        <v>138</v>
      </c>
      <c r="AJ2679" s="140" t="s">
        <v>138</v>
      </c>
      <c r="AK2679" s="140" t="s">
        <v>138</v>
      </c>
      <c r="AL2679" s="140" t="s">
        <v>186</v>
      </c>
      <c r="AM2679" s="140" t="s">
        <v>137</v>
      </c>
      <c r="AN2679" s="140" t="s">
        <v>138</v>
      </c>
      <c r="AO2679" s="782">
        <v>1235.0</v>
      </c>
      <c r="AP2679" s="119">
        <v>-0.04</v>
      </c>
      <c r="AQ2679" s="140" t="s">
        <v>215</v>
      </c>
      <c r="AR2679" s="140" t="s">
        <v>15850</v>
      </c>
      <c r="AS2679" s="140" t="s">
        <v>138</v>
      </c>
      <c r="AT2679" s="140" t="s">
        <v>138</v>
      </c>
      <c r="AU2679" s="140" t="s">
        <v>186</v>
      </c>
      <c r="AV2679" s="140" t="s">
        <v>137</v>
      </c>
      <c r="AW2679" s="1704" t="s">
        <v>15830</v>
      </c>
      <c r="AX2679" s="140" t="s">
        <v>143</v>
      </c>
      <c r="AY2679" s="61" t="str">
        <f>IFERROR(__xludf.DUMMYFUNCTION("vlookup(BB2679,importrange(""https://docs.google.com/spreadsheets/d/1d2vevQ_7D_v35q4wCQ4RpQ_IPoTwEMB9Yp6ymwlPqew/edit?gid=984458430#gid=984458430"", ""'replication success'!A:K""), 11, FAlSE)"),"")</f>
        <v/>
      </c>
      <c r="AZ2679" s="61" t="str">
        <f>IFERROR(__xludf.DUMMYFUNCTION("vlookup(BB2679,importrange(""https://docs.google.com/spreadsheets/d/1d2vevQ_7D_v35q4wCQ4RpQ_IPoTwEMB9Yp6ymwlPqew/edit?gid=984458430#gid=984458430"", ""'replication success'!A:M""), 12, FAlSE)"),"")</f>
        <v/>
      </c>
      <c r="BA2679" s="61" t="str">
        <f>IFERROR(__xludf.DUMMYFUNCTION("vlookup(BB2679,importrange(""https://docs.google.com/spreadsheets/d/1d2vevQ_7D_v35q4wCQ4RpQ_IPoTwEMB9Yp6ymwlPqew/edit?gid=984458430#gid=984458430"", ""'replication success'!A:M""), 13, FAlSE)"),"abstract")</f>
        <v>abstract</v>
      </c>
      <c r="BB2679" s="61" t="str">
        <f>IFERROR(__xludf.DUMMYFUNCTION("REGEXREPLACE(G2679, ""_[a-z]{1,2}$"", """")"),"Soto")</f>
        <v>Soto</v>
      </c>
      <c r="BC2679" s="107"/>
      <c r="BD2679" s="124" t="s">
        <v>1270</v>
      </c>
      <c r="BE2679" s="107"/>
      <c r="BF2679" s="107"/>
      <c r="BG2679" s="107"/>
      <c r="BH2679" s="107"/>
      <c r="BI2679" s="107"/>
      <c r="BJ2679" s="107"/>
      <c r="BK2679" s="107"/>
      <c r="BL2679" s="107"/>
      <c r="BM2679" s="107"/>
      <c r="BN2679" s="107"/>
      <c r="BO2679" s="107"/>
      <c r="BP2679" s="107"/>
      <c r="BQ2679" s="107"/>
      <c r="BR2679" s="107"/>
      <c r="BS2679" s="107"/>
      <c r="BT2679" s="107"/>
      <c r="BU2679" s="107"/>
      <c r="BV2679" s="107"/>
      <c r="BW2679" s="107"/>
      <c r="BX2679" s="107"/>
      <c r="BY2679" s="107"/>
      <c r="BZ2679" s="107"/>
      <c r="CA2679" s="107"/>
      <c r="CB2679" s="107"/>
      <c r="CC2679" s="107"/>
      <c r="CD2679" s="107"/>
      <c r="CE2679" s="107"/>
      <c r="CF2679" s="107"/>
      <c r="CG2679" s="107"/>
      <c r="CH2679" s="107"/>
      <c r="CI2679" s="107"/>
      <c r="CJ2679" s="107"/>
      <c r="CK2679" s="107"/>
      <c r="CL2679" s="107"/>
      <c r="CM2679" s="107"/>
      <c r="CN2679" s="107"/>
      <c r="CO2679" s="107"/>
      <c r="CP2679" s="107"/>
      <c r="CQ2679" s="107"/>
      <c r="CR2679" s="107"/>
      <c r="CS2679" s="107"/>
      <c r="CT2679" s="107"/>
      <c r="CU2679" s="107"/>
      <c r="CV2679" s="107"/>
      <c r="CW2679" s="107"/>
      <c r="CX2679" s="107"/>
      <c r="CY2679" s="107"/>
      <c r="CZ2679" s="107"/>
      <c r="DA2679" s="107"/>
      <c r="DB2679" s="107"/>
      <c r="DC2679" s="107"/>
      <c r="DD2679" s="107"/>
      <c r="DE2679" s="107"/>
      <c r="DF2679" s="107"/>
      <c r="DG2679" s="107"/>
      <c r="DH2679" s="107"/>
      <c r="DI2679" s="107"/>
      <c r="DJ2679" s="107"/>
      <c r="DK2679" s="107"/>
      <c r="DL2679" s="107"/>
    </row>
    <row r="2680">
      <c r="A2680" s="44">
        <v>2680.0</v>
      </c>
      <c r="B2680" s="129" t="s">
        <v>114</v>
      </c>
      <c r="C2680" s="62" t="s">
        <v>115</v>
      </c>
      <c r="D2680" s="62" t="s">
        <v>286</v>
      </c>
      <c r="F2680" s="68" t="s">
        <v>14553</v>
      </c>
      <c r="G2680" s="159" t="s">
        <v>14425</v>
      </c>
      <c r="H2680" s="159" t="s">
        <v>8501</v>
      </c>
      <c r="I2680" s="152">
        <v>45251.0</v>
      </c>
      <c r="J2680" s="221">
        <v>45807.0</v>
      </c>
      <c r="K2680" s="159" t="s">
        <v>15879</v>
      </c>
      <c r="L2680" s="129" t="s">
        <v>15880</v>
      </c>
      <c r="M2680" s="159" t="s">
        <v>14555</v>
      </c>
      <c r="N2680" s="159" t="s">
        <v>14556</v>
      </c>
      <c r="O2680" s="129">
        <v>1.0</v>
      </c>
      <c r="P2680" s="382" t="s">
        <v>14557</v>
      </c>
      <c r="Q2680" s="2191" t="str">
        <f> hyperlink(vlookup(lower(N2680),'File Links'!E:F, 2, FALSE), "LINK")</f>
        <v>LINK</v>
      </c>
      <c r="R2680" s="159" t="s">
        <v>14432</v>
      </c>
      <c r="S2680" s="159" t="s">
        <v>14433</v>
      </c>
      <c r="T2680" s="947" t="s">
        <v>15827</v>
      </c>
      <c r="U2680" s="129">
        <v>1.0</v>
      </c>
      <c r="V2680" s="382" t="s">
        <v>14434</v>
      </c>
      <c r="W2680" s="205" t="s">
        <v>209</v>
      </c>
      <c r="X2680" s="1552" t="str">
        <f> hyperlink(vlookup(lower(S2680),'File Links'!E:F, 2, FALSE), "LINK")</f>
        <v>LINK</v>
      </c>
      <c r="Y2680" s="129"/>
      <c r="Z2680" s="159" t="s">
        <v>1079</v>
      </c>
      <c r="AA2680" s="159" t="s">
        <v>14558</v>
      </c>
      <c r="AB2680" s="159" t="s">
        <v>14436</v>
      </c>
      <c r="AC2680" s="159" t="s">
        <v>14558</v>
      </c>
      <c r="AD2680" s="129" t="s">
        <v>14559</v>
      </c>
      <c r="AE2680" s="129" t="s">
        <v>217</v>
      </c>
      <c r="AF2680" s="156">
        <v>138.0</v>
      </c>
      <c r="AG2680" s="151">
        <v>0.19</v>
      </c>
      <c r="AH2680" s="2098" t="s">
        <v>215</v>
      </c>
      <c r="AI2680" s="129" t="s">
        <v>217</v>
      </c>
      <c r="AJ2680" s="156">
        <v>0.05</v>
      </c>
      <c r="AK2680" s="235" t="s">
        <v>135</v>
      </c>
      <c r="AL2680" s="2098" t="s">
        <v>186</v>
      </c>
      <c r="AM2680" s="159" t="s">
        <v>137</v>
      </c>
      <c r="AN2680" s="159" t="s">
        <v>138</v>
      </c>
      <c r="AO2680" s="156">
        <v>1505.0</v>
      </c>
      <c r="AP2680" s="151">
        <v>0.18</v>
      </c>
      <c r="AQ2680" s="140" t="s">
        <v>215</v>
      </c>
      <c r="AR2680" s="151" t="s">
        <v>14440</v>
      </c>
      <c r="AS2680" s="2227">
        <v>9.52825986633411E-10</v>
      </c>
      <c r="AT2680" s="1793" t="s">
        <v>172</v>
      </c>
      <c r="AU2680" s="1792" t="s">
        <v>136</v>
      </c>
      <c r="AV2680" s="159" t="s">
        <v>137</v>
      </c>
      <c r="AW2680" s="310" t="s">
        <v>15830</v>
      </c>
      <c r="AX2680" s="159" t="s">
        <v>143</v>
      </c>
      <c r="AY2680" s="61" t="str">
        <f>IFERROR(__xludf.DUMMYFUNCTION("vlookup(BB2680,importrange(""https://docs.google.com/spreadsheets/d/1d2vevQ_7D_v35q4wCQ4RpQ_IPoTwEMB9Yp6ymwlPqew/edit?gid=984458430#gid=984458430"", ""'replication success'!A:K""), 11, FAlSE)"),"")</f>
        <v/>
      </c>
      <c r="AZ2680" s="61" t="str">
        <f>IFERROR(__xludf.DUMMYFUNCTION("vlookup(BB2680,importrange(""https://docs.google.com/spreadsheets/d/1d2vevQ_7D_v35q4wCQ4RpQ_IPoTwEMB9Yp6ymwlPqew/edit?gid=984458430#gid=984458430"", ""'replication success'!A:M""), 12, FAlSE)"),"")</f>
        <v/>
      </c>
      <c r="BA2680" s="61" t="str">
        <f>IFERROR(__xludf.DUMMYFUNCTION("vlookup(BB2680,importrange(""https://docs.google.com/spreadsheets/d/1d2vevQ_7D_v35q4wCQ4RpQ_IPoTwEMB9Yp6ymwlPqew/edit?gid=984458430#gid=984458430"", ""'replication success'!A:M""), 13, FAlSE)"),"abstract")</f>
        <v>abstract</v>
      </c>
      <c r="BB2680" s="61" t="str">
        <f>IFERROR(__xludf.DUMMYFUNCTION("REGEXREPLACE(G2680, ""_[a-z]{1,2}$"", """")"),"Soto")</f>
        <v>Soto</v>
      </c>
      <c r="BD2680" s="124" t="s">
        <v>1270</v>
      </c>
    </row>
    <row r="2681">
      <c r="A2681" s="44">
        <v>2681.0</v>
      </c>
      <c r="B2681" s="631" t="s">
        <v>152</v>
      </c>
      <c r="C2681" s="397" t="s">
        <v>115</v>
      </c>
      <c r="D2681" s="397" t="s">
        <v>286</v>
      </c>
      <c r="E2681" s="220"/>
      <c r="F2681" s="398" t="s">
        <v>14562</v>
      </c>
      <c r="G2681" s="407" t="s">
        <v>14425</v>
      </c>
      <c r="H2681" s="407" t="s">
        <v>8501</v>
      </c>
      <c r="I2681" s="400">
        <v>45251.0</v>
      </c>
      <c r="J2681" s="2110">
        <v>45814.0</v>
      </c>
      <c r="K2681" s="407" t="s">
        <v>15881</v>
      </c>
      <c r="L2681" s="631" t="s">
        <v>15882</v>
      </c>
      <c r="M2681" s="407" t="s">
        <v>14564</v>
      </c>
      <c r="N2681" s="407" t="s">
        <v>14565</v>
      </c>
      <c r="O2681" s="631">
        <v>1.0</v>
      </c>
      <c r="P2681" s="407" t="s">
        <v>14566</v>
      </c>
      <c r="Q2681" s="2217" t="str">
        <f> hyperlink(vlookup(lower(N2681),'File Links'!E:F, 2, FALSE), "LINK")</f>
        <v>LINK</v>
      </c>
      <c r="R2681" s="407" t="s">
        <v>14432</v>
      </c>
      <c r="S2681" s="407" t="s">
        <v>14433</v>
      </c>
      <c r="T2681" s="2228" t="s">
        <v>15827</v>
      </c>
      <c r="U2681" s="631">
        <v>1.0</v>
      </c>
      <c r="V2681" s="407" t="s">
        <v>14434</v>
      </c>
      <c r="W2681" s="631" t="s">
        <v>209</v>
      </c>
      <c r="X2681" s="2218" t="str">
        <f> hyperlink(vlookup(lower(S2681),'File Links'!E:F, 2, FALSE), "LINK")</f>
        <v>LINK</v>
      </c>
      <c r="Y2681" s="631"/>
      <c r="Z2681" s="407" t="s">
        <v>1079</v>
      </c>
      <c r="AA2681" s="407" t="s">
        <v>15883</v>
      </c>
      <c r="AB2681" s="407" t="s">
        <v>14436</v>
      </c>
      <c r="AC2681" s="407" t="s">
        <v>14567</v>
      </c>
      <c r="AD2681" s="407" t="s">
        <v>14568</v>
      </c>
      <c r="AE2681" s="728">
        <v>6.0</v>
      </c>
      <c r="AF2681" s="728">
        <v>468.0</v>
      </c>
      <c r="AG2681" s="728">
        <v>-0.22</v>
      </c>
      <c r="AH2681" s="159" t="s">
        <v>361</v>
      </c>
      <c r="AI2681" s="644" t="s">
        <v>140</v>
      </c>
      <c r="AJ2681" s="728">
        <v>0.001</v>
      </c>
      <c r="AK2681" s="407" t="s">
        <v>135</v>
      </c>
      <c r="AL2681" s="407" t="s">
        <v>186</v>
      </c>
      <c r="AM2681" s="407" t="s">
        <v>137</v>
      </c>
      <c r="AN2681" s="407" t="s">
        <v>138</v>
      </c>
      <c r="AO2681" s="728">
        <v>1505.0</v>
      </c>
      <c r="AP2681" s="640">
        <v>-0.06</v>
      </c>
      <c r="AQ2681" s="140" t="s">
        <v>215</v>
      </c>
      <c r="AR2681" s="151" t="s">
        <v>14440</v>
      </c>
      <c r="AS2681" s="2111">
        <v>0.0132070207386067</v>
      </c>
      <c r="AT2681" s="1793" t="s">
        <v>172</v>
      </c>
      <c r="AU2681" s="1792" t="s">
        <v>136</v>
      </c>
      <c r="AV2681" s="407" t="s">
        <v>137</v>
      </c>
      <c r="AW2681" s="771" t="s">
        <v>15830</v>
      </c>
      <c r="AX2681" s="407" t="s">
        <v>143</v>
      </c>
      <c r="AY2681" s="61" t="str">
        <f>IFERROR(__xludf.DUMMYFUNCTION("vlookup(BB2681,importrange(""https://docs.google.com/spreadsheets/d/1d2vevQ_7D_v35q4wCQ4RpQ_IPoTwEMB9Yp6ymwlPqew/edit?gid=984458430#gid=984458430"", ""'replication success'!A:K""), 11, FAlSE)"),"")</f>
        <v/>
      </c>
      <c r="AZ2681" s="61" t="str">
        <f>IFERROR(__xludf.DUMMYFUNCTION("vlookup(BB2681,importrange(""https://docs.google.com/spreadsheets/d/1d2vevQ_7D_v35q4wCQ4RpQ_IPoTwEMB9Yp6ymwlPqew/edit?gid=984458430#gid=984458430"", ""'replication success'!A:M""), 12, FAlSE)"),"")</f>
        <v/>
      </c>
      <c r="BA2681" s="61" t="str">
        <f>IFERROR(__xludf.DUMMYFUNCTION("vlookup(BB2681,importrange(""https://docs.google.com/spreadsheets/d/1d2vevQ_7D_v35q4wCQ4RpQ_IPoTwEMB9Yp6ymwlPqew/edit?gid=984458430#gid=984458430"", ""'replication success'!A:M""), 13, FAlSE)"),"abstract")</f>
        <v>abstract</v>
      </c>
      <c r="BB2681" s="61" t="str">
        <f>IFERROR(__xludf.DUMMYFUNCTION("REGEXREPLACE(G2681, ""_[a-z]{1,2}$"", """")"),"Soto")</f>
        <v>Soto</v>
      </c>
      <c r="BC2681" s="220"/>
      <c r="BD2681" s="124" t="s">
        <v>1270</v>
      </c>
      <c r="BE2681" s="220"/>
      <c r="BF2681" s="220"/>
      <c r="BG2681" s="220"/>
      <c r="BH2681" s="220"/>
      <c r="BI2681" s="220"/>
      <c r="BJ2681" s="220"/>
      <c r="BK2681" s="220"/>
      <c r="BL2681" s="220"/>
      <c r="BM2681" s="220"/>
      <c r="BN2681" s="220"/>
      <c r="BO2681" s="220"/>
      <c r="BP2681" s="220"/>
      <c r="BQ2681" s="220"/>
      <c r="BR2681" s="220"/>
      <c r="BS2681" s="220"/>
      <c r="BT2681" s="220"/>
      <c r="BU2681" s="220"/>
      <c r="BV2681" s="220"/>
      <c r="BW2681" s="220"/>
      <c r="BX2681" s="220"/>
      <c r="BY2681" s="220"/>
      <c r="BZ2681" s="220"/>
      <c r="CA2681" s="220"/>
      <c r="CB2681" s="220"/>
      <c r="CC2681" s="220"/>
      <c r="CD2681" s="220"/>
      <c r="CE2681" s="220"/>
      <c r="CF2681" s="220"/>
      <c r="CG2681" s="220"/>
      <c r="CH2681" s="220"/>
      <c r="CI2681" s="220"/>
      <c r="CJ2681" s="220"/>
      <c r="CK2681" s="220"/>
      <c r="CL2681" s="220"/>
      <c r="CM2681" s="220"/>
      <c r="CN2681" s="220"/>
      <c r="CO2681" s="220"/>
      <c r="CP2681" s="220"/>
      <c r="CQ2681" s="220"/>
      <c r="CR2681" s="220"/>
      <c r="CS2681" s="220"/>
      <c r="CT2681" s="220"/>
      <c r="CU2681" s="220"/>
      <c r="CV2681" s="220"/>
      <c r="CW2681" s="220"/>
      <c r="CX2681" s="220"/>
      <c r="CY2681" s="220"/>
      <c r="CZ2681" s="220"/>
      <c r="DA2681" s="220"/>
      <c r="DB2681" s="220"/>
      <c r="DC2681" s="220"/>
      <c r="DD2681" s="220"/>
      <c r="DE2681" s="220"/>
      <c r="DF2681" s="220"/>
      <c r="DG2681" s="220"/>
      <c r="DH2681" s="220"/>
      <c r="DI2681" s="220"/>
      <c r="DJ2681" s="220"/>
      <c r="DK2681" s="220"/>
      <c r="DL2681" s="220"/>
    </row>
    <row r="2682">
      <c r="A2682" s="44">
        <v>2682.0</v>
      </c>
      <c r="B2682" s="129" t="s">
        <v>152</v>
      </c>
      <c r="C2682" s="62" t="s">
        <v>115</v>
      </c>
      <c r="D2682" s="62" t="s">
        <v>286</v>
      </c>
      <c r="F2682" s="68" t="s">
        <v>14570</v>
      </c>
      <c r="G2682" s="159" t="s">
        <v>14425</v>
      </c>
      <c r="H2682" s="159" t="s">
        <v>8501</v>
      </c>
      <c r="I2682" s="152">
        <v>45251.0</v>
      </c>
      <c r="J2682" s="2110">
        <v>45814.0</v>
      </c>
      <c r="K2682" s="159" t="s">
        <v>15884</v>
      </c>
      <c r="L2682" s="129" t="s">
        <v>15885</v>
      </c>
      <c r="M2682" s="159" t="s">
        <v>14564</v>
      </c>
      <c r="N2682" s="159" t="s">
        <v>14565</v>
      </c>
      <c r="O2682" s="129">
        <v>1.0</v>
      </c>
      <c r="P2682" s="382" t="s">
        <v>14566</v>
      </c>
      <c r="Q2682" s="2191" t="str">
        <f> hyperlink(vlookup(lower(N2682),'File Links'!E:F, 2, FALSE), "LINK")</f>
        <v>LINK</v>
      </c>
      <c r="R2682" s="159" t="s">
        <v>14432</v>
      </c>
      <c r="S2682" s="159" t="s">
        <v>14433</v>
      </c>
      <c r="T2682" s="441" t="s">
        <v>15827</v>
      </c>
      <c r="U2682" s="129">
        <v>1.0</v>
      </c>
      <c r="V2682" s="382" t="s">
        <v>14434</v>
      </c>
      <c r="W2682" s="1080" t="s">
        <v>209</v>
      </c>
      <c r="X2682" s="1552" t="str">
        <f> hyperlink(vlookup(lower(S2682),'File Links'!E:F, 2, FALSE), "LINK")</f>
        <v>LINK</v>
      </c>
      <c r="Y2682" s="129"/>
      <c r="Z2682" s="159" t="s">
        <v>1079</v>
      </c>
      <c r="AA2682" s="159" t="s">
        <v>15886</v>
      </c>
      <c r="AB2682" s="159" t="s">
        <v>14436</v>
      </c>
      <c r="AC2682" s="159" t="s">
        <v>14571</v>
      </c>
      <c r="AD2682" s="159" t="s">
        <v>14572</v>
      </c>
      <c r="AE2682" s="156">
        <v>6.0</v>
      </c>
      <c r="AF2682" s="156">
        <v>468.0</v>
      </c>
      <c r="AG2682" s="156">
        <v>0.15</v>
      </c>
      <c r="AH2682" s="159" t="s">
        <v>361</v>
      </c>
      <c r="AI2682" s="644" t="s">
        <v>140</v>
      </c>
      <c r="AJ2682" s="156">
        <v>0.01</v>
      </c>
      <c r="AK2682" s="159" t="s">
        <v>135</v>
      </c>
      <c r="AL2682" s="159" t="s">
        <v>186</v>
      </c>
      <c r="AM2682" s="159" t="s">
        <v>137</v>
      </c>
      <c r="AN2682" s="159" t="s">
        <v>138</v>
      </c>
      <c r="AO2682" s="156">
        <v>1505.0</v>
      </c>
      <c r="AP2682" s="151">
        <v>0.02</v>
      </c>
      <c r="AQ2682" s="140" t="s">
        <v>215</v>
      </c>
      <c r="AR2682" s="151" t="s">
        <v>14440</v>
      </c>
      <c r="AS2682" s="2111">
        <v>0.404568083514753</v>
      </c>
      <c r="AT2682" s="1793" t="s">
        <v>172</v>
      </c>
      <c r="AU2682" s="1792" t="s">
        <v>136</v>
      </c>
      <c r="AV2682" s="159" t="s">
        <v>137</v>
      </c>
      <c r="AW2682" s="310" t="s">
        <v>15830</v>
      </c>
      <c r="AX2682" s="159" t="s">
        <v>143</v>
      </c>
      <c r="AY2682" s="61" t="str">
        <f>IFERROR(__xludf.DUMMYFUNCTION("vlookup(BB2682,importrange(""https://docs.google.com/spreadsheets/d/1d2vevQ_7D_v35q4wCQ4RpQ_IPoTwEMB9Yp6ymwlPqew/edit?gid=984458430#gid=984458430"", ""'replication success'!A:K""), 11, FAlSE)"),"")</f>
        <v/>
      </c>
      <c r="AZ2682" s="61" t="str">
        <f>IFERROR(__xludf.DUMMYFUNCTION("vlookup(BB2682,importrange(""https://docs.google.com/spreadsheets/d/1d2vevQ_7D_v35q4wCQ4RpQ_IPoTwEMB9Yp6ymwlPqew/edit?gid=984458430#gid=984458430"", ""'replication success'!A:M""), 12, FAlSE)"),"")</f>
        <v/>
      </c>
      <c r="BA2682" s="61" t="str">
        <f>IFERROR(__xludf.DUMMYFUNCTION("vlookup(BB2682,importrange(""https://docs.google.com/spreadsheets/d/1d2vevQ_7D_v35q4wCQ4RpQ_IPoTwEMB9Yp6ymwlPqew/edit?gid=984458430#gid=984458430"", ""'replication success'!A:M""), 13, FAlSE)"),"abstract")</f>
        <v>abstract</v>
      </c>
      <c r="BB2682" s="61" t="str">
        <f>IFERROR(__xludf.DUMMYFUNCTION("REGEXREPLACE(G2682, ""_[a-z]{1,2}$"", """")"),"Soto")</f>
        <v>Soto</v>
      </c>
      <c r="BD2682" s="124" t="s">
        <v>1270</v>
      </c>
    </row>
    <row r="2683">
      <c r="A2683" s="44">
        <v>2683.0</v>
      </c>
      <c r="B2683" s="129" t="s">
        <v>152</v>
      </c>
      <c r="C2683" s="62" t="s">
        <v>115</v>
      </c>
      <c r="D2683" s="62" t="s">
        <v>286</v>
      </c>
      <c r="F2683" s="68" t="s">
        <v>14573</v>
      </c>
      <c r="G2683" s="159" t="s">
        <v>14425</v>
      </c>
      <c r="H2683" s="159" t="s">
        <v>8501</v>
      </c>
      <c r="I2683" s="152">
        <v>45251.0</v>
      </c>
      <c r="J2683" s="2110">
        <v>45814.0</v>
      </c>
      <c r="K2683" s="159" t="s">
        <v>15887</v>
      </c>
      <c r="L2683" s="129" t="s">
        <v>15888</v>
      </c>
      <c r="M2683" s="159" t="s">
        <v>14564</v>
      </c>
      <c r="N2683" s="159" t="s">
        <v>14565</v>
      </c>
      <c r="O2683" s="129">
        <v>1.0</v>
      </c>
      <c r="P2683" s="382" t="s">
        <v>14566</v>
      </c>
      <c r="Q2683" s="2191" t="str">
        <f> hyperlink(vlookup(lower(N2683),'File Links'!E:F, 2, FALSE), "LINK")</f>
        <v>LINK</v>
      </c>
      <c r="R2683" s="159" t="s">
        <v>14432</v>
      </c>
      <c r="S2683" s="159" t="s">
        <v>14433</v>
      </c>
      <c r="T2683" s="441" t="s">
        <v>15827</v>
      </c>
      <c r="U2683" s="129">
        <v>1.0</v>
      </c>
      <c r="V2683" s="382" t="s">
        <v>14434</v>
      </c>
      <c r="W2683" s="1080" t="s">
        <v>209</v>
      </c>
      <c r="X2683" s="1552" t="str">
        <f> hyperlink(vlookup(lower(S2683),'File Links'!E:F, 2, FALSE), "LINK")</f>
        <v>LINK</v>
      </c>
      <c r="Y2683" s="129"/>
      <c r="Z2683" s="159" t="s">
        <v>1079</v>
      </c>
      <c r="AA2683" s="159" t="s">
        <v>15889</v>
      </c>
      <c r="AB2683" s="159" t="s">
        <v>14436</v>
      </c>
      <c r="AC2683" s="159" t="s">
        <v>14574</v>
      </c>
      <c r="AD2683" s="151" t="s">
        <v>14575</v>
      </c>
      <c r="AE2683" s="156">
        <v>6.0</v>
      </c>
      <c r="AF2683" s="156">
        <v>468.0</v>
      </c>
      <c r="AG2683" s="156">
        <v>0.17</v>
      </c>
      <c r="AH2683" s="159" t="s">
        <v>361</v>
      </c>
      <c r="AI2683" s="644" t="s">
        <v>140</v>
      </c>
      <c r="AJ2683" s="156">
        <v>0.001</v>
      </c>
      <c r="AK2683" s="159" t="s">
        <v>135</v>
      </c>
      <c r="AL2683" s="159" t="s">
        <v>186</v>
      </c>
      <c r="AM2683" s="159" t="s">
        <v>137</v>
      </c>
      <c r="AN2683" s="159" t="s">
        <v>138</v>
      </c>
      <c r="AO2683" s="156">
        <v>1505.0</v>
      </c>
      <c r="AP2683" s="151">
        <v>0.31</v>
      </c>
      <c r="AQ2683" s="140" t="s">
        <v>215</v>
      </c>
      <c r="AR2683" s="151" t="s">
        <v>14440</v>
      </c>
      <c r="AS2683" s="2111">
        <v>3.92302815609495E-34</v>
      </c>
      <c r="AT2683" s="1793" t="s">
        <v>172</v>
      </c>
      <c r="AU2683" s="1792" t="s">
        <v>136</v>
      </c>
      <c r="AV2683" s="159" t="s">
        <v>137</v>
      </c>
      <c r="AW2683" s="310" t="s">
        <v>15830</v>
      </c>
      <c r="AX2683" s="159" t="s">
        <v>143</v>
      </c>
      <c r="AY2683" s="61" t="str">
        <f>IFERROR(__xludf.DUMMYFUNCTION("vlookup(BB2683,importrange(""https://docs.google.com/spreadsheets/d/1d2vevQ_7D_v35q4wCQ4RpQ_IPoTwEMB9Yp6ymwlPqew/edit?gid=984458430#gid=984458430"", ""'replication success'!A:K""), 11, FAlSE)"),"")</f>
        <v/>
      </c>
      <c r="AZ2683" s="61" t="str">
        <f>IFERROR(__xludf.DUMMYFUNCTION("vlookup(BB2683,importrange(""https://docs.google.com/spreadsheets/d/1d2vevQ_7D_v35q4wCQ4RpQ_IPoTwEMB9Yp6ymwlPqew/edit?gid=984458430#gid=984458430"", ""'replication success'!A:M""), 12, FAlSE)"),"")</f>
        <v/>
      </c>
      <c r="BA2683" s="61" t="str">
        <f>IFERROR(__xludf.DUMMYFUNCTION("vlookup(BB2683,importrange(""https://docs.google.com/spreadsheets/d/1d2vevQ_7D_v35q4wCQ4RpQ_IPoTwEMB9Yp6ymwlPqew/edit?gid=984458430#gid=984458430"", ""'replication success'!A:M""), 13, FAlSE)"),"abstract")</f>
        <v>abstract</v>
      </c>
      <c r="BB2683" s="61" t="str">
        <f>IFERROR(__xludf.DUMMYFUNCTION("REGEXREPLACE(G2683, ""_[a-z]{1,2}$"", """")"),"Soto")</f>
        <v>Soto</v>
      </c>
      <c r="BD2683" s="124" t="s">
        <v>1270</v>
      </c>
    </row>
    <row r="2684">
      <c r="A2684" s="44">
        <v>2684.0</v>
      </c>
      <c r="B2684" s="129" t="s">
        <v>152</v>
      </c>
      <c r="C2684" s="62" t="s">
        <v>115</v>
      </c>
      <c r="D2684" s="62" t="s">
        <v>286</v>
      </c>
      <c r="F2684" s="68" t="s">
        <v>14576</v>
      </c>
      <c r="G2684" s="159" t="s">
        <v>14425</v>
      </c>
      <c r="H2684" s="159" t="s">
        <v>8501</v>
      </c>
      <c r="I2684" s="152">
        <v>45251.0</v>
      </c>
      <c r="J2684" s="2110">
        <v>45814.0</v>
      </c>
      <c r="K2684" s="159" t="s">
        <v>15890</v>
      </c>
      <c r="L2684" s="129" t="s">
        <v>15891</v>
      </c>
      <c r="M2684" s="159" t="s">
        <v>14564</v>
      </c>
      <c r="N2684" s="159" t="s">
        <v>14565</v>
      </c>
      <c r="O2684" s="129">
        <v>1.0</v>
      </c>
      <c r="P2684" s="382" t="s">
        <v>14566</v>
      </c>
      <c r="Q2684" s="2191" t="str">
        <f> hyperlink(vlookup(lower(N2684),'File Links'!E:F, 2, FALSE), "LINK")</f>
        <v>LINK</v>
      </c>
      <c r="R2684" s="159" t="s">
        <v>14432</v>
      </c>
      <c r="S2684" s="159" t="s">
        <v>14433</v>
      </c>
      <c r="T2684" s="441" t="s">
        <v>15827</v>
      </c>
      <c r="U2684" s="129">
        <v>1.0</v>
      </c>
      <c r="V2684" s="382" t="s">
        <v>14434</v>
      </c>
      <c r="W2684" s="1080" t="s">
        <v>209</v>
      </c>
      <c r="X2684" s="1552" t="str">
        <f> hyperlink(vlookup(lower(S2684),'File Links'!E:F, 2, FALSE), "LINK")</f>
        <v>LINK</v>
      </c>
      <c r="Y2684" s="129"/>
      <c r="Z2684" s="159" t="s">
        <v>1079</v>
      </c>
      <c r="AA2684" s="159" t="s">
        <v>15892</v>
      </c>
      <c r="AB2684" s="159" t="s">
        <v>14436</v>
      </c>
      <c r="AC2684" s="159" t="s">
        <v>14578</v>
      </c>
      <c r="AD2684" s="151" t="s">
        <v>14579</v>
      </c>
      <c r="AE2684" s="156">
        <v>6.0</v>
      </c>
      <c r="AF2684" s="156">
        <v>468.0</v>
      </c>
      <c r="AG2684" s="156">
        <v>-0.19</v>
      </c>
      <c r="AH2684" s="159" t="s">
        <v>361</v>
      </c>
      <c r="AI2684" s="644" t="s">
        <v>140</v>
      </c>
      <c r="AJ2684" s="156">
        <v>0.001</v>
      </c>
      <c r="AK2684" s="159" t="s">
        <v>135</v>
      </c>
      <c r="AL2684" s="159" t="s">
        <v>186</v>
      </c>
      <c r="AM2684" s="159" t="s">
        <v>137</v>
      </c>
      <c r="AN2684" s="159" t="s">
        <v>138</v>
      </c>
      <c r="AO2684" s="156">
        <v>1505.0</v>
      </c>
      <c r="AP2684" s="151">
        <v>-0.13</v>
      </c>
      <c r="AQ2684" s="140" t="s">
        <v>215</v>
      </c>
      <c r="AR2684" s="151" t="s">
        <v>14440</v>
      </c>
      <c r="AS2684" s="2111">
        <v>1.00924446171511E-6</v>
      </c>
      <c r="AT2684" s="1793" t="s">
        <v>172</v>
      </c>
      <c r="AU2684" s="1792" t="s">
        <v>136</v>
      </c>
      <c r="AV2684" s="159" t="s">
        <v>137</v>
      </c>
      <c r="AW2684" s="310" t="s">
        <v>15830</v>
      </c>
      <c r="AX2684" s="159" t="s">
        <v>143</v>
      </c>
      <c r="AY2684" s="61" t="str">
        <f>IFERROR(__xludf.DUMMYFUNCTION("vlookup(BB2684,importrange(""https://docs.google.com/spreadsheets/d/1d2vevQ_7D_v35q4wCQ4RpQ_IPoTwEMB9Yp6ymwlPqew/edit?gid=984458430#gid=984458430"", ""'replication success'!A:K""), 11, FAlSE)"),"")</f>
        <v/>
      </c>
      <c r="AZ2684" s="61" t="str">
        <f>IFERROR(__xludf.DUMMYFUNCTION("vlookup(BB2684,importrange(""https://docs.google.com/spreadsheets/d/1d2vevQ_7D_v35q4wCQ4RpQ_IPoTwEMB9Yp6ymwlPqew/edit?gid=984458430#gid=984458430"", ""'replication success'!A:M""), 12, FAlSE)"),"")</f>
        <v/>
      </c>
      <c r="BA2684" s="61" t="str">
        <f>IFERROR(__xludf.DUMMYFUNCTION("vlookup(BB2684,importrange(""https://docs.google.com/spreadsheets/d/1d2vevQ_7D_v35q4wCQ4RpQ_IPoTwEMB9Yp6ymwlPqew/edit?gid=984458430#gid=984458430"", ""'replication success'!A:M""), 13, FAlSE)"),"abstract")</f>
        <v>abstract</v>
      </c>
      <c r="BB2684" s="61" t="str">
        <f>IFERROR(__xludf.DUMMYFUNCTION("REGEXREPLACE(G2684, ""_[a-z]{1,2}$"", """")"),"Soto")</f>
        <v>Soto</v>
      </c>
      <c r="BD2684" s="124" t="s">
        <v>1270</v>
      </c>
    </row>
    <row r="2685">
      <c r="A2685" s="44">
        <v>2685.0</v>
      </c>
      <c r="B2685" s="631" t="s">
        <v>152</v>
      </c>
      <c r="C2685" s="397" t="s">
        <v>115</v>
      </c>
      <c r="D2685" s="397" t="s">
        <v>286</v>
      </c>
      <c r="E2685" s="220"/>
      <c r="F2685" s="398" t="s">
        <v>14580</v>
      </c>
      <c r="G2685" s="407" t="s">
        <v>14425</v>
      </c>
      <c r="H2685" s="407" t="s">
        <v>8501</v>
      </c>
      <c r="I2685" s="400">
        <v>45251.0</v>
      </c>
      <c r="J2685" s="2110">
        <v>45814.0</v>
      </c>
      <c r="K2685" s="407" t="s">
        <v>15893</v>
      </c>
      <c r="L2685" s="129" t="s">
        <v>15891</v>
      </c>
      <c r="M2685" s="407" t="s">
        <v>14564</v>
      </c>
      <c r="N2685" s="407" t="s">
        <v>14565</v>
      </c>
      <c r="O2685" s="631">
        <v>1.0</v>
      </c>
      <c r="P2685" s="407" t="s">
        <v>14566</v>
      </c>
      <c r="Q2685" s="2217" t="str">
        <f> hyperlink(vlookup(lower(N2685),'File Links'!E:F, 2, FALSE), "LINK")</f>
        <v>LINK</v>
      </c>
      <c r="R2685" s="407" t="s">
        <v>14432</v>
      </c>
      <c r="S2685" s="407" t="s">
        <v>14433</v>
      </c>
      <c r="T2685" s="2228" t="s">
        <v>15827</v>
      </c>
      <c r="U2685" s="631">
        <v>1.0</v>
      </c>
      <c r="V2685" s="407" t="s">
        <v>14434</v>
      </c>
      <c r="W2685" s="1080" t="s">
        <v>209</v>
      </c>
      <c r="X2685" s="2218" t="str">
        <f> hyperlink(vlookup(lower(S2685),'File Links'!E:F, 2, FALSE), "LINK")</f>
        <v>LINK</v>
      </c>
      <c r="Y2685" s="631"/>
      <c r="Z2685" s="407" t="s">
        <v>1079</v>
      </c>
      <c r="AA2685" s="407" t="s">
        <v>15894</v>
      </c>
      <c r="AB2685" s="407" t="s">
        <v>14436</v>
      </c>
      <c r="AC2685" s="407" t="s">
        <v>14581</v>
      </c>
      <c r="AD2685" s="640" t="s">
        <v>14582</v>
      </c>
      <c r="AE2685" s="728">
        <v>6.0</v>
      </c>
      <c r="AF2685" s="728">
        <v>468.0</v>
      </c>
      <c r="AG2685" s="728">
        <v>0.2</v>
      </c>
      <c r="AH2685" s="407" t="s">
        <v>361</v>
      </c>
      <c r="AI2685" s="644" t="s">
        <v>140</v>
      </c>
      <c r="AJ2685" s="728">
        <v>0.001</v>
      </c>
      <c r="AK2685" s="407" t="s">
        <v>135</v>
      </c>
      <c r="AL2685" s="407" t="s">
        <v>186</v>
      </c>
      <c r="AM2685" s="407" t="s">
        <v>137</v>
      </c>
      <c r="AN2685" s="407" t="s">
        <v>138</v>
      </c>
      <c r="AO2685" s="728">
        <v>1505.0</v>
      </c>
      <c r="AP2685" s="640">
        <v>0.31</v>
      </c>
      <c r="AQ2685" s="140" t="s">
        <v>215</v>
      </c>
      <c r="AR2685" s="151" t="s">
        <v>14440</v>
      </c>
      <c r="AS2685" s="2111">
        <v>2.09847944447644E-20</v>
      </c>
      <c r="AT2685" s="1793" t="s">
        <v>172</v>
      </c>
      <c r="AU2685" s="1792" t="s">
        <v>136</v>
      </c>
      <c r="AV2685" s="407" t="s">
        <v>137</v>
      </c>
      <c r="AW2685" s="771" t="s">
        <v>15830</v>
      </c>
      <c r="AX2685" s="407" t="s">
        <v>143</v>
      </c>
      <c r="AY2685" s="61" t="str">
        <f>IFERROR(__xludf.DUMMYFUNCTION("vlookup(BB2685,importrange(""https://docs.google.com/spreadsheets/d/1d2vevQ_7D_v35q4wCQ4RpQ_IPoTwEMB9Yp6ymwlPqew/edit?gid=984458430#gid=984458430"", ""'replication success'!A:K""), 11, FAlSE)"),"")</f>
        <v/>
      </c>
      <c r="AZ2685" s="61" t="str">
        <f>IFERROR(__xludf.DUMMYFUNCTION("vlookup(BB2685,importrange(""https://docs.google.com/spreadsheets/d/1d2vevQ_7D_v35q4wCQ4RpQ_IPoTwEMB9Yp6ymwlPqew/edit?gid=984458430#gid=984458430"", ""'replication success'!A:M""), 12, FAlSE)"),"")</f>
        <v/>
      </c>
      <c r="BA2685" s="61" t="str">
        <f>IFERROR(__xludf.DUMMYFUNCTION("vlookup(BB2685,importrange(""https://docs.google.com/spreadsheets/d/1d2vevQ_7D_v35q4wCQ4RpQ_IPoTwEMB9Yp6ymwlPqew/edit?gid=984458430#gid=984458430"", ""'replication success'!A:M""), 13, FAlSE)"),"abstract")</f>
        <v>abstract</v>
      </c>
      <c r="BB2685" s="61" t="str">
        <f>IFERROR(__xludf.DUMMYFUNCTION("REGEXREPLACE(G2685, ""_[a-z]{1,2}$"", """")"),"Soto")</f>
        <v>Soto</v>
      </c>
      <c r="BC2685" s="220"/>
      <c r="BD2685" s="124" t="s">
        <v>1270</v>
      </c>
      <c r="BE2685" s="220"/>
      <c r="BF2685" s="220"/>
      <c r="BG2685" s="220"/>
      <c r="BH2685" s="220"/>
      <c r="BI2685" s="220"/>
      <c r="BJ2685" s="220"/>
      <c r="BK2685" s="220"/>
      <c r="BL2685" s="220"/>
      <c r="BM2685" s="220"/>
      <c r="BN2685" s="220"/>
      <c r="BO2685" s="220"/>
      <c r="BP2685" s="220"/>
      <c r="BQ2685" s="220"/>
      <c r="BR2685" s="220"/>
      <c r="BS2685" s="220"/>
      <c r="BT2685" s="220"/>
      <c r="BU2685" s="220"/>
      <c r="BV2685" s="220"/>
      <c r="BW2685" s="220"/>
      <c r="BX2685" s="220"/>
      <c r="BY2685" s="220"/>
      <c r="BZ2685" s="220"/>
      <c r="CA2685" s="220"/>
      <c r="CB2685" s="220"/>
      <c r="CC2685" s="220"/>
      <c r="CD2685" s="220"/>
      <c r="CE2685" s="220"/>
      <c r="CF2685" s="220"/>
      <c r="CG2685" s="220"/>
      <c r="CH2685" s="220"/>
      <c r="CI2685" s="220"/>
      <c r="CJ2685" s="220"/>
      <c r="CK2685" s="220"/>
      <c r="CL2685" s="220"/>
      <c r="CM2685" s="220"/>
      <c r="CN2685" s="220"/>
      <c r="CO2685" s="220"/>
      <c r="CP2685" s="220"/>
      <c r="CQ2685" s="220"/>
      <c r="CR2685" s="220"/>
      <c r="CS2685" s="220"/>
      <c r="CT2685" s="220"/>
      <c r="CU2685" s="220"/>
      <c r="CV2685" s="220"/>
      <c r="CW2685" s="220"/>
      <c r="CX2685" s="220"/>
      <c r="CY2685" s="220"/>
      <c r="CZ2685" s="220"/>
      <c r="DA2685" s="220"/>
      <c r="DB2685" s="220"/>
      <c r="DC2685" s="220"/>
      <c r="DD2685" s="220"/>
      <c r="DE2685" s="220"/>
      <c r="DF2685" s="220"/>
      <c r="DG2685" s="220"/>
      <c r="DH2685" s="220"/>
      <c r="DI2685" s="220"/>
      <c r="DJ2685" s="220"/>
      <c r="DK2685" s="220"/>
      <c r="DL2685" s="220"/>
    </row>
    <row r="2686">
      <c r="A2686" s="44">
        <v>2686.0</v>
      </c>
      <c r="B2686" s="129" t="s">
        <v>152</v>
      </c>
      <c r="C2686" s="62" t="s">
        <v>115</v>
      </c>
      <c r="D2686" s="62" t="s">
        <v>286</v>
      </c>
      <c r="F2686" s="159" t="s">
        <v>14583</v>
      </c>
      <c r="G2686" s="159" t="s">
        <v>14425</v>
      </c>
      <c r="H2686" s="159" t="s">
        <v>8501</v>
      </c>
      <c r="I2686" s="152">
        <v>45251.0</v>
      </c>
      <c r="J2686" s="2110">
        <v>45814.0</v>
      </c>
      <c r="K2686" s="159" t="s">
        <v>15895</v>
      </c>
      <c r="L2686" s="129" t="s">
        <v>15896</v>
      </c>
      <c r="M2686" s="159" t="s">
        <v>14585</v>
      </c>
      <c r="N2686" s="159" t="s">
        <v>14586</v>
      </c>
      <c r="O2686" s="129">
        <v>1.0</v>
      </c>
      <c r="P2686" s="382" t="s">
        <v>14587</v>
      </c>
      <c r="Q2686" s="52" t="str">
        <f t="array" ref="Q2686"> if(iserror(MATCH(V2686, 'File Links'!C:C, 0)), "N/A", HYPERLINK(INDEX('File Links'!B:B, MATCH(P2686, 'File Links'!C:C, 0))))</f>
        <v>https://drive.google.com/file/d/1Jok6c7VCZtMN99P6fMSmmpu_xIq7tlFM/view?usp=drivesdk</v>
      </c>
      <c r="R2686" s="159" t="s">
        <v>14432</v>
      </c>
      <c r="S2686" s="159" t="s">
        <v>14433</v>
      </c>
      <c r="T2686" s="2228" t="s">
        <v>15827</v>
      </c>
      <c r="U2686" s="129">
        <v>1.0</v>
      </c>
      <c r="V2686" s="382" t="s">
        <v>14434</v>
      </c>
      <c r="W2686" s="1080" t="s">
        <v>209</v>
      </c>
      <c r="X2686" s="1552" t="str">
        <f> hyperlink(vlookup(lower(S2686),'File Links'!E:F, 2, FALSE), "LINK")</f>
        <v>LINK</v>
      </c>
      <c r="Y2686" s="129"/>
      <c r="Z2686" s="159" t="s">
        <v>1079</v>
      </c>
      <c r="AA2686" s="129" t="s">
        <v>15897</v>
      </c>
      <c r="AB2686" s="159" t="s">
        <v>14436</v>
      </c>
      <c r="AC2686" s="159" t="s">
        <v>14588</v>
      </c>
      <c r="AD2686" s="151" t="s">
        <v>14589</v>
      </c>
      <c r="AE2686" s="156">
        <v>11.0</v>
      </c>
      <c r="AF2686" s="156">
        <v>198.0</v>
      </c>
      <c r="AG2686" s="156">
        <v>0.3</v>
      </c>
      <c r="AH2686" s="159" t="s">
        <v>215</v>
      </c>
      <c r="AI2686" s="161" t="s">
        <v>307</v>
      </c>
      <c r="AJ2686" s="156">
        <v>0.001</v>
      </c>
      <c r="AK2686" s="159" t="s">
        <v>135</v>
      </c>
      <c r="AL2686" s="159" t="s">
        <v>186</v>
      </c>
      <c r="AM2686" s="159" t="s">
        <v>137</v>
      </c>
      <c r="AN2686" s="159" t="s">
        <v>138</v>
      </c>
      <c r="AO2686" s="156">
        <v>1550.0</v>
      </c>
      <c r="AP2686" s="151">
        <v>0.25</v>
      </c>
      <c r="AQ2686" s="140" t="s">
        <v>215</v>
      </c>
      <c r="AR2686" s="151" t="s">
        <v>14440</v>
      </c>
      <c r="AS2686" s="159" t="s">
        <v>138</v>
      </c>
      <c r="AT2686" s="159" t="s">
        <v>138</v>
      </c>
      <c r="AU2686" s="159" t="s">
        <v>186</v>
      </c>
      <c r="AV2686" s="159" t="s">
        <v>137</v>
      </c>
      <c r="AW2686" s="310" t="s">
        <v>15830</v>
      </c>
      <c r="AX2686" s="159" t="s">
        <v>143</v>
      </c>
      <c r="AY2686" s="61" t="str">
        <f>IFERROR(__xludf.DUMMYFUNCTION("vlookup(BB2686,importrange(""https://docs.google.com/spreadsheets/d/1d2vevQ_7D_v35q4wCQ4RpQ_IPoTwEMB9Yp6ymwlPqew/edit?gid=984458430#gid=984458430"", ""'replication success'!A:K""), 11, FAlSE)"),"")</f>
        <v/>
      </c>
      <c r="AZ2686" s="61" t="str">
        <f>IFERROR(__xludf.DUMMYFUNCTION("vlookup(BB2686,importrange(""https://docs.google.com/spreadsheets/d/1d2vevQ_7D_v35q4wCQ4RpQ_IPoTwEMB9Yp6ymwlPqew/edit?gid=984458430#gid=984458430"", ""'replication success'!A:M""), 12, FAlSE)"),"")</f>
        <v/>
      </c>
      <c r="BA2686" s="61" t="str">
        <f>IFERROR(__xludf.DUMMYFUNCTION("vlookup(BB2686,importrange(""https://docs.google.com/spreadsheets/d/1d2vevQ_7D_v35q4wCQ4RpQ_IPoTwEMB9Yp6ymwlPqew/edit?gid=984458430#gid=984458430"", ""'replication success'!A:M""), 13, FAlSE)"),"abstract")</f>
        <v>abstract</v>
      </c>
      <c r="BB2686" s="61" t="str">
        <f>IFERROR(__xludf.DUMMYFUNCTION("REGEXREPLACE(G2686, ""_[a-z]{1,2}$"", """")"),"Soto")</f>
        <v>Soto</v>
      </c>
      <c r="BD2686" s="124" t="s">
        <v>1270</v>
      </c>
    </row>
    <row r="2687">
      <c r="A2687" s="44">
        <v>2687.0</v>
      </c>
      <c r="B2687" s="129" t="s">
        <v>152</v>
      </c>
      <c r="C2687" s="62" t="s">
        <v>115</v>
      </c>
      <c r="D2687" s="62" t="s">
        <v>286</v>
      </c>
      <c r="F2687" s="159" t="s">
        <v>14590</v>
      </c>
      <c r="G2687" s="159" t="s">
        <v>14425</v>
      </c>
      <c r="H2687" s="159" t="s">
        <v>8501</v>
      </c>
      <c r="I2687" s="152">
        <v>45251.0</v>
      </c>
      <c r="J2687" s="2110">
        <v>45814.0</v>
      </c>
      <c r="K2687" s="159" t="s">
        <v>15898</v>
      </c>
      <c r="L2687" s="129" t="s">
        <v>15899</v>
      </c>
      <c r="M2687" s="159" t="s">
        <v>14585</v>
      </c>
      <c r="N2687" s="159" t="s">
        <v>14586</v>
      </c>
      <c r="O2687" s="129">
        <v>1.0</v>
      </c>
      <c r="P2687" s="382" t="s">
        <v>14587</v>
      </c>
      <c r="Q2687" s="52" t="str">
        <f t="array" ref="Q2687"> if(iserror(MATCH(V2687, 'File Links'!C:C, 0)), "N/A", HYPERLINK(INDEX('File Links'!B:B, MATCH(P2687, 'File Links'!C:C, 0))))</f>
        <v>https://drive.google.com/file/d/1Jok6c7VCZtMN99P6fMSmmpu_xIq7tlFM/view?usp=drivesdk</v>
      </c>
      <c r="R2687" s="159" t="s">
        <v>14432</v>
      </c>
      <c r="S2687" s="159" t="s">
        <v>14433</v>
      </c>
      <c r="T2687" s="2228" t="s">
        <v>15827</v>
      </c>
      <c r="U2687" s="129">
        <v>1.0</v>
      </c>
      <c r="V2687" s="382" t="s">
        <v>14434</v>
      </c>
      <c r="W2687" s="1080" t="s">
        <v>209</v>
      </c>
      <c r="X2687" s="1552" t="str">
        <f> hyperlink(vlookup(lower(S2687),'File Links'!E:F, 2, FALSE), "LINK")</f>
        <v>LINK</v>
      </c>
      <c r="Y2687" s="129"/>
      <c r="Z2687" s="159" t="s">
        <v>1079</v>
      </c>
      <c r="AA2687" s="129" t="s">
        <v>15900</v>
      </c>
      <c r="AB2687" s="159" t="s">
        <v>14436</v>
      </c>
      <c r="AC2687" s="159" t="s">
        <v>14591</v>
      </c>
      <c r="AD2687" s="151" t="s">
        <v>14592</v>
      </c>
      <c r="AE2687" s="156">
        <v>10.0</v>
      </c>
      <c r="AF2687" s="156">
        <v>198.0</v>
      </c>
      <c r="AG2687" s="156">
        <v>-0.5</v>
      </c>
      <c r="AH2687" s="159" t="s">
        <v>215</v>
      </c>
      <c r="AI2687" s="161" t="s">
        <v>632</v>
      </c>
      <c r="AJ2687" s="156">
        <v>0.001</v>
      </c>
      <c r="AK2687" s="159" t="s">
        <v>135</v>
      </c>
      <c r="AL2687" s="159" t="s">
        <v>186</v>
      </c>
      <c r="AM2687" s="159" t="s">
        <v>137</v>
      </c>
      <c r="AN2687" s="159" t="s">
        <v>138</v>
      </c>
      <c r="AO2687" s="156">
        <v>1550.0</v>
      </c>
      <c r="AP2687" s="151">
        <v>-0.35</v>
      </c>
      <c r="AQ2687" s="140" t="s">
        <v>215</v>
      </c>
      <c r="AR2687" s="151" t="s">
        <v>14440</v>
      </c>
      <c r="AS2687" s="159" t="s">
        <v>138</v>
      </c>
      <c r="AT2687" s="159" t="s">
        <v>138</v>
      </c>
      <c r="AU2687" s="159" t="s">
        <v>186</v>
      </c>
      <c r="AV2687" s="159" t="s">
        <v>137</v>
      </c>
      <c r="AW2687" s="310" t="s">
        <v>15830</v>
      </c>
      <c r="AX2687" s="159" t="s">
        <v>143</v>
      </c>
      <c r="AY2687" s="61" t="str">
        <f>IFERROR(__xludf.DUMMYFUNCTION("vlookup(BB2687,importrange(""https://docs.google.com/spreadsheets/d/1d2vevQ_7D_v35q4wCQ4RpQ_IPoTwEMB9Yp6ymwlPqew/edit?gid=984458430#gid=984458430"", ""'replication success'!A:K""), 11, FAlSE)"),"")</f>
        <v/>
      </c>
      <c r="AZ2687" s="61" t="str">
        <f>IFERROR(__xludf.DUMMYFUNCTION("vlookup(BB2687,importrange(""https://docs.google.com/spreadsheets/d/1d2vevQ_7D_v35q4wCQ4RpQ_IPoTwEMB9Yp6ymwlPqew/edit?gid=984458430#gid=984458430"", ""'replication success'!A:M""), 12, FAlSE)"),"")</f>
        <v/>
      </c>
      <c r="BA2687" s="61" t="str">
        <f>IFERROR(__xludf.DUMMYFUNCTION("vlookup(BB2687,importrange(""https://docs.google.com/spreadsheets/d/1d2vevQ_7D_v35q4wCQ4RpQ_IPoTwEMB9Yp6ymwlPqew/edit?gid=984458430#gid=984458430"", ""'replication success'!A:M""), 13, FAlSE)"),"abstract")</f>
        <v>abstract</v>
      </c>
      <c r="BB2687" s="61" t="str">
        <f>IFERROR(__xludf.DUMMYFUNCTION("REGEXREPLACE(G2687, ""_[a-z]{1,2}$"", """")"),"Soto")</f>
        <v>Soto</v>
      </c>
      <c r="BD2687" s="124" t="s">
        <v>1270</v>
      </c>
    </row>
    <row r="2688">
      <c r="A2688" s="44">
        <v>2688.0</v>
      </c>
      <c r="B2688" s="129" t="s">
        <v>152</v>
      </c>
      <c r="C2688" s="62" t="s">
        <v>115</v>
      </c>
      <c r="D2688" s="62" t="s">
        <v>286</v>
      </c>
      <c r="F2688" s="159" t="s">
        <v>14593</v>
      </c>
      <c r="G2688" s="159" t="s">
        <v>14425</v>
      </c>
      <c r="H2688" s="159" t="s">
        <v>8501</v>
      </c>
      <c r="I2688" s="152">
        <v>45251.0</v>
      </c>
      <c r="J2688" s="2110">
        <v>45814.0</v>
      </c>
      <c r="K2688" s="159" t="s">
        <v>15901</v>
      </c>
      <c r="L2688" s="129" t="s">
        <v>15902</v>
      </c>
      <c r="M2688" s="159" t="s">
        <v>14595</v>
      </c>
      <c r="N2688" s="159" t="s">
        <v>14596</v>
      </c>
      <c r="O2688" s="129">
        <v>1.0</v>
      </c>
      <c r="P2688" s="382" t="s">
        <v>14597</v>
      </c>
      <c r="Q2688" s="52" t="str">
        <f t="array" ref="Q2688"> if(iserror(MATCH(V2688, 'File Links'!C:C, 0)), "N/A", HYPERLINK(INDEX('File Links'!B:B, MATCH(P2688, 'File Links'!C:C, 0))))</f>
        <v>https://drive.google.com/file/d/1-pDt7XIQ8gHle_zOW9q4-7M5_5yCo3db/view?usp=drivesdk</v>
      </c>
      <c r="R2688" s="159" t="s">
        <v>14432</v>
      </c>
      <c r="S2688" s="159" t="s">
        <v>14433</v>
      </c>
      <c r="T2688" s="2228" t="s">
        <v>15827</v>
      </c>
      <c r="U2688" s="129">
        <v>1.0</v>
      </c>
      <c r="V2688" s="382" t="s">
        <v>14434</v>
      </c>
      <c r="W2688" s="1080" t="s">
        <v>209</v>
      </c>
      <c r="X2688" s="1552" t="str">
        <f> hyperlink(vlookup(lower(S2688),'File Links'!E:F, 2, FALSE), "LINK")</f>
        <v>LINK</v>
      </c>
      <c r="Y2688" s="129"/>
      <c r="Z2688" s="159" t="s">
        <v>1079</v>
      </c>
      <c r="AA2688" s="129" t="s">
        <v>15903</v>
      </c>
      <c r="AB2688" s="159" t="s">
        <v>14436</v>
      </c>
      <c r="AC2688" s="159" t="s">
        <v>14598</v>
      </c>
      <c r="AD2688" s="151" t="s">
        <v>14599</v>
      </c>
      <c r="AE2688" s="129">
        <v>9.0</v>
      </c>
      <c r="AF2688" s="156">
        <v>111.0</v>
      </c>
      <c r="AG2688" s="156">
        <v>0.22</v>
      </c>
      <c r="AH2688" s="159" t="s">
        <v>361</v>
      </c>
      <c r="AI2688" s="161" t="s">
        <v>628</v>
      </c>
      <c r="AJ2688" s="156">
        <v>0.05</v>
      </c>
      <c r="AK2688" s="159" t="s">
        <v>135</v>
      </c>
      <c r="AL2688" s="159" t="s">
        <v>186</v>
      </c>
      <c r="AM2688" s="159" t="s">
        <v>137</v>
      </c>
      <c r="AN2688" s="159" t="s">
        <v>138</v>
      </c>
      <c r="AO2688" s="156">
        <v>804.0</v>
      </c>
      <c r="AP2688" s="151">
        <v>-0.57</v>
      </c>
      <c r="AQ2688" s="159" t="s">
        <v>361</v>
      </c>
      <c r="AR2688" s="151" t="s">
        <v>14440</v>
      </c>
      <c r="AS2688" s="159" t="s">
        <v>138</v>
      </c>
      <c r="AT2688" s="159" t="s">
        <v>138</v>
      </c>
      <c r="AU2688" s="159" t="s">
        <v>186</v>
      </c>
      <c r="AV2688" s="159" t="s">
        <v>137</v>
      </c>
      <c r="AW2688" s="310" t="s">
        <v>15830</v>
      </c>
      <c r="AX2688" s="159" t="s">
        <v>143</v>
      </c>
      <c r="AY2688" s="61" t="str">
        <f>IFERROR(__xludf.DUMMYFUNCTION("vlookup(BB2688,importrange(""https://docs.google.com/spreadsheets/d/1d2vevQ_7D_v35q4wCQ4RpQ_IPoTwEMB9Yp6ymwlPqew/edit?gid=984458430#gid=984458430"", ""'replication success'!A:K""), 11, FAlSE)"),"")</f>
        <v/>
      </c>
      <c r="AZ2688" s="61" t="str">
        <f>IFERROR(__xludf.DUMMYFUNCTION("vlookup(BB2688,importrange(""https://docs.google.com/spreadsheets/d/1d2vevQ_7D_v35q4wCQ4RpQ_IPoTwEMB9Yp6ymwlPqew/edit?gid=984458430#gid=984458430"", ""'replication success'!A:M""), 12, FAlSE)"),"")</f>
        <v/>
      </c>
      <c r="BA2688" s="61" t="str">
        <f>IFERROR(__xludf.DUMMYFUNCTION("vlookup(BB2688,importrange(""https://docs.google.com/spreadsheets/d/1d2vevQ_7D_v35q4wCQ4RpQ_IPoTwEMB9Yp6ymwlPqew/edit?gid=984458430#gid=984458430"", ""'replication success'!A:M""), 13, FAlSE)"),"abstract")</f>
        <v>abstract</v>
      </c>
      <c r="BB2688" s="61" t="str">
        <f>IFERROR(__xludf.DUMMYFUNCTION("REGEXREPLACE(G2688, ""_[a-z]{1,2}$"", """")"),"Soto")</f>
        <v>Soto</v>
      </c>
      <c r="BD2688" s="124" t="s">
        <v>1270</v>
      </c>
    </row>
    <row r="2689">
      <c r="A2689" s="44">
        <v>2689.0</v>
      </c>
      <c r="B2689" s="129" t="s">
        <v>152</v>
      </c>
      <c r="C2689" s="62" t="s">
        <v>115</v>
      </c>
      <c r="D2689" s="62" t="s">
        <v>286</v>
      </c>
      <c r="F2689" s="159" t="s">
        <v>14601</v>
      </c>
      <c r="G2689" s="159" t="s">
        <v>14425</v>
      </c>
      <c r="H2689" s="159" t="s">
        <v>8501</v>
      </c>
      <c r="I2689" s="152">
        <v>45251.0</v>
      </c>
      <c r="J2689" s="2110">
        <v>45814.0</v>
      </c>
      <c r="K2689" s="159" t="s">
        <v>15901</v>
      </c>
      <c r="L2689" s="129" t="s">
        <v>15902</v>
      </c>
      <c r="M2689" s="159" t="s">
        <v>14595</v>
      </c>
      <c r="N2689" s="159" t="s">
        <v>14596</v>
      </c>
      <c r="O2689" s="129">
        <v>1.0</v>
      </c>
      <c r="P2689" s="382" t="s">
        <v>14597</v>
      </c>
      <c r="Q2689" s="52" t="str">
        <f t="array" ref="Q2689"> if(iserror(MATCH(V2689, 'File Links'!C:C, 0)), "N/A", HYPERLINK(INDEX('File Links'!B:B, MATCH(P2689, 'File Links'!C:C, 0))))</f>
        <v>https://drive.google.com/file/d/1-pDt7XIQ8gHle_zOW9q4-7M5_5yCo3db/view?usp=drivesdk</v>
      </c>
      <c r="R2689" s="159" t="s">
        <v>14432</v>
      </c>
      <c r="S2689" s="159" t="s">
        <v>14433</v>
      </c>
      <c r="T2689" s="2228" t="s">
        <v>15827</v>
      </c>
      <c r="U2689" s="129">
        <v>1.0</v>
      </c>
      <c r="V2689" s="382" t="s">
        <v>14434</v>
      </c>
      <c r="W2689" s="1080" t="s">
        <v>209</v>
      </c>
      <c r="X2689" s="1552" t="str">
        <f> hyperlink(vlookup(lower(S2689),'File Links'!E:F, 2, FALSE), "LINK")</f>
        <v>LINK</v>
      </c>
      <c r="Y2689" s="129"/>
      <c r="Z2689" s="159" t="s">
        <v>1079</v>
      </c>
      <c r="AA2689" s="129" t="s">
        <v>15904</v>
      </c>
      <c r="AB2689" s="159" t="s">
        <v>14436</v>
      </c>
      <c r="AC2689" s="159" t="s">
        <v>14602</v>
      </c>
      <c r="AD2689" s="151" t="s">
        <v>14603</v>
      </c>
      <c r="AE2689" s="129">
        <v>9.0</v>
      </c>
      <c r="AF2689" s="156">
        <v>111.0</v>
      </c>
      <c r="AG2689" s="156">
        <v>0.27</v>
      </c>
      <c r="AH2689" s="159" t="s">
        <v>361</v>
      </c>
      <c r="AI2689" s="161" t="s">
        <v>628</v>
      </c>
      <c r="AJ2689" s="156">
        <v>0.05</v>
      </c>
      <c r="AK2689" s="159" t="s">
        <v>135</v>
      </c>
      <c r="AL2689" s="159" t="s">
        <v>186</v>
      </c>
      <c r="AM2689" s="159" t="s">
        <v>137</v>
      </c>
      <c r="AN2689" s="159" t="s">
        <v>138</v>
      </c>
      <c r="AO2689" s="156">
        <v>804.0</v>
      </c>
      <c r="AP2689" s="151">
        <v>0.25</v>
      </c>
      <c r="AQ2689" s="159" t="s">
        <v>361</v>
      </c>
      <c r="AR2689" s="151" t="s">
        <v>14440</v>
      </c>
      <c r="AS2689" s="159" t="s">
        <v>138</v>
      </c>
      <c r="AT2689" s="159" t="s">
        <v>138</v>
      </c>
      <c r="AU2689" s="159" t="s">
        <v>186</v>
      </c>
      <c r="AV2689" s="159" t="s">
        <v>137</v>
      </c>
      <c r="AW2689" s="310" t="s">
        <v>15830</v>
      </c>
      <c r="AX2689" s="159" t="s">
        <v>143</v>
      </c>
      <c r="AY2689" s="61" t="str">
        <f>IFERROR(__xludf.DUMMYFUNCTION("vlookup(BB2689,importrange(""https://docs.google.com/spreadsheets/d/1d2vevQ_7D_v35q4wCQ4RpQ_IPoTwEMB9Yp6ymwlPqew/edit?gid=984458430#gid=984458430"", ""'replication success'!A:K""), 11, FAlSE)"),"")</f>
        <v/>
      </c>
      <c r="AZ2689" s="61" t="str">
        <f>IFERROR(__xludf.DUMMYFUNCTION("vlookup(BB2689,importrange(""https://docs.google.com/spreadsheets/d/1d2vevQ_7D_v35q4wCQ4RpQ_IPoTwEMB9Yp6ymwlPqew/edit?gid=984458430#gid=984458430"", ""'replication success'!A:M""), 12, FAlSE)"),"")</f>
        <v/>
      </c>
      <c r="BA2689" s="61" t="str">
        <f>IFERROR(__xludf.DUMMYFUNCTION("vlookup(BB2689,importrange(""https://docs.google.com/spreadsheets/d/1d2vevQ_7D_v35q4wCQ4RpQ_IPoTwEMB9Yp6ymwlPqew/edit?gid=984458430#gid=984458430"", ""'replication success'!A:M""), 13, FAlSE)"),"abstract")</f>
        <v>abstract</v>
      </c>
      <c r="BB2689" s="61" t="str">
        <f>IFERROR(__xludf.DUMMYFUNCTION("REGEXREPLACE(G2689, ""_[a-z]{1,2}$"", """")"),"Soto")</f>
        <v>Soto</v>
      </c>
      <c r="BD2689" s="124" t="s">
        <v>1270</v>
      </c>
    </row>
    <row r="2690">
      <c r="A2690" s="44">
        <v>2690.0</v>
      </c>
      <c r="B2690" s="129" t="s">
        <v>152</v>
      </c>
      <c r="C2690" s="62" t="s">
        <v>115</v>
      </c>
      <c r="D2690" s="62" t="s">
        <v>286</v>
      </c>
      <c r="F2690" s="159" t="s">
        <v>14604</v>
      </c>
      <c r="G2690" s="159" t="s">
        <v>14425</v>
      </c>
      <c r="H2690" s="159" t="s">
        <v>8501</v>
      </c>
      <c r="I2690" s="152">
        <v>45251.0</v>
      </c>
      <c r="J2690" s="2110">
        <v>45814.0</v>
      </c>
      <c r="K2690" s="159" t="s">
        <v>15905</v>
      </c>
      <c r="L2690" s="129" t="s">
        <v>15906</v>
      </c>
      <c r="M2690" s="159" t="s">
        <v>14605</v>
      </c>
      <c r="N2690" s="159" t="s">
        <v>14606</v>
      </c>
      <c r="O2690" s="129">
        <v>1.0</v>
      </c>
      <c r="P2690" s="382" t="s">
        <v>14607</v>
      </c>
      <c r="Q2690" s="52" t="str">
        <f t="array" ref="Q2690"> if(iserror(MATCH(V2690, 'File Links'!C:C, 0)), "N/A", HYPERLINK(INDEX('File Links'!B:B, MATCH(P2690, 'File Links'!C:C, 0))))</f>
        <v>https://drive.google.com/file/d/1OQXfdOsmBPcEjb_PF9uWD_g_s1g9BKLK/view?usp=drivesdk</v>
      </c>
      <c r="R2690" s="159" t="s">
        <v>14432</v>
      </c>
      <c r="S2690" s="159" t="s">
        <v>14433</v>
      </c>
      <c r="T2690" s="2228" t="s">
        <v>15827</v>
      </c>
      <c r="U2690" s="129">
        <v>1.0</v>
      </c>
      <c r="V2690" s="382" t="s">
        <v>14434</v>
      </c>
      <c r="W2690" s="1080" t="s">
        <v>209</v>
      </c>
      <c r="X2690" s="1552" t="str">
        <f> hyperlink(vlookup(lower(S2690),'File Links'!E:F, 2, FALSE), "LINK")</f>
        <v>LINK</v>
      </c>
      <c r="Y2690" s="129"/>
      <c r="Z2690" s="159" t="s">
        <v>1079</v>
      </c>
      <c r="AA2690" s="159" t="s">
        <v>15907</v>
      </c>
      <c r="AB2690" s="159" t="s">
        <v>14436</v>
      </c>
      <c r="AC2690" s="159" t="s">
        <v>14608</v>
      </c>
      <c r="AD2690" s="151" t="s">
        <v>14609</v>
      </c>
      <c r="AE2690" s="156">
        <v>4.0</v>
      </c>
      <c r="AF2690" s="156">
        <v>164.0</v>
      </c>
      <c r="AG2690" s="156">
        <v>0.2</v>
      </c>
      <c r="AH2690" s="159" t="s">
        <v>361</v>
      </c>
      <c r="AI2690" s="161" t="s">
        <v>850</v>
      </c>
      <c r="AJ2690" s="156">
        <v>0.05</v>
      </c>
      <c r="AK2690" s="159" t="s">
        <v>135</v>
      </c>
      <c r="AL2690" s="159" t="s">
        <v>186</v>
      </c>
      <c r="AM2690" s="159" t="s">
        <v>137</v>
      </c>
      <c r="AN2690" s="159" t="s">
        <v>138</v>
      </c>
      <c r="AO2690" s="156">
        <v>181.0</v>
      </c>
      <c r="AP2690" s="151">
        <v>0.18</v>
      </c>
      <c r="AQ2690" s="159" t="s">
        <v>361</v>
      </c>
      <c r="AR2690" s="151" t="s">
        <v>14440</v>
      </c>
      <c r="AS2690" s="2113">
        <v>0.0217651902491802</v>
      </c>
      <c r="AT2690" s="1793" t="s">
        <v>172</v>
      </c>
      <c r="AU2690" s="1792" t="s">
        <v>136</v>
      </c>
      <c r="AV2690" s="159" t="s">
        <v>137</v>
      </c>
      <c r="AW2690" s="310" t="s">
        <v>15830</v>
      </c>
      <c r="AX2690" s="159" t="s">
        <v>143</v>
      </c>
      <c r="AY2690" s="61" t="str">
        <f>IFERROR(__xludf.DUMMYFUNCTION("vlookup(BB2690,importrange(""https://docs.google.com/spreadsheets/d/1d2vevQ_7D_v35q4wCQ4RpQ_IPoTwEMB9Yp6ymwlPqew/edit?gid=984458430#gid=984458430"", ""'replication success'!A:K""), 11, FAlSE)"),"")</f>
        <v/>
      </c>
      <c r="AZ2690" s="61" t="str">
        <f>IFERROR(__xludf.DUMMYFUNCTION("vlookup(BB2690,importrange(""https://docs.google.com/spreadsheets/d/1d2vevQ_7D_v35q4wCQ4RpQ_IPoTwEMB9Yp6ymwlPqew/edit?gid=984458430#gid=984458430"", ""'replication success'!A:M""), 12, FAlSE)"),"")</f>
        <v/>
      </c>
      <c r="BA2690" s="61" t="str">
        <f>IFERROR(__xludf.DUMMYFUNCTION("vlookup(BB2690,importrange(""https://docs.google.com/spreadsheets/d/1d2vevQ_7D_v35q4wCQ4RpQ_IPoTwEMB9Yp6ymwlPqew/edit?gid=984458430#gid=984458430"", ""'replication success'!A:M""), 13, FAlSE)"),"abstract")</f>
        <v>abstract</v>
      </c>
      <c r="BB2690" s="61" t="str">
        <f>IFERROR(__xludf.DUMMYFUNCTION("REGEXREPLACE(G2690, ""_[a-z]{1,2}$"", """")"),"Soto")</f>
        <v>Soto</v>
      </c>
      <c r="BD2690" s="124" t="s">
        <v>1270</v>
      </c>
    </row>
    <row r="2691">
      <c r="A2691" s="44">
        <v>2691.0</v>
      </c>
      <c r="B2691" s="129" t="s">
        <v>152</v>
      </c>
      <c r="C2691" s="62" t="s">
        <v>115</v>
      </c>
      <c r="D2691" s="62" t="s">
        <v>286</v>
      </c>
      <c r="F2691" s="68" t="s">
        <v>14611</v>
      </c>
      <c r="G2691" s="159" t="s">
        <v>14425</v>
      </c>
      <c r="H2691" s="159" t="s">
        <v>8501</v>
      </c>
      <c r="I2691" s="152">
        <v>45251.0</v>
      </c>
      <c r="J2691" s="2110">
        <v>45814.0</v>
      </c>
      <c r="K2691" s="159" t="s">
        <v>15908</v>
      </c>
      <c r="L2691" s="129" t="s">
        <v>15906</v>
      </c>
      <c r="M2691" s="159" t="s">
        <v>14605</v>
      </c>
      <c r="N2691" s="159" t="s">
        <v>14606</v>
      </c>
      <c r="O2691" s="129">
        <v>1.0</v>
      </c>
      <c r="P2691" s="382" t="s">
        <v>14607</v>
      </c>
      <c r="Q2691" s="52" t="str">
        <f t="array" ref="Q2691"> if(iserror(MATCH(V2691, 'File Links'!C:C, 0)), "N/A", HYPERLINK(INDEX('File Links'!B:B, MATCH(P2691, 'File Links'!C:C, 0))))</f>
        <v>https://drive.google.com/file/d/1OQXfdOsmBPcEjb_PF9uWD_g_s1g9BKLK/view?usp=drivesdk</v>
      </c>
      <c r="R2691" s="159" t="s">
        <v>14432</v>
      </c>
      <c r="S2691" s="159" t="s">
        <v>14433</v>
      </c>
      <c r="T2691" s="2228" t="s">
        <v>15827</v>
      </c>
      <c r="U2691" s="129">
        <v>1.0</v>
      </c>
      <c r="V2691" s="382" t="s">
        <v>14434</v>
      </c>
      <c r="W2691" s="1080" t="s">
        <v>209</v>
      </c>
      <c r="X2691" s="1552" t="str">
        <f> hyperlink(vlookup(lower(S2691),'File Links'!E:F, 2, FALSE), "LINK")</f>
        <v>LINK</v>
      </c>
      <c r="Y2691" s="129"/>
      <c r="Z2691" s="159" t="s">
        <v>1079</v>
      </c>
      <c r="AA2691" s="159" t="s">
        <v>15909</v>
      </c>
      <c r="AB2691" s="159" t="s">
        <v>14436</v>
      </c>
      <c r="AC2691" s="159" t="s">
        <v>14613</v>
      </c>
      <c r="AD2691" s="151" t="s">
        <v>14614</v>
      </c>
      <c r="AE2691" s="156">
        <v>4.0</v>
      </c>
      <c r="AF2691" s="156">
        <v>164.0</v>
      </c>
      <c r="AG2691" s="156">
        <v>0.35</v>
      </c>
      <c r="AH2691" s="159" t="s">
        <v>361</v>
      </c>
      <c r="AI2691" s="161" t="s">
        <v>850</v>
      </c>
      <c r="AJ2691" s="156">
        <v>0.01</v>
      </c>
      <c r="AK2691" s="159" t="s">
        <v>135</v>
      </c>
      <c r="AL2691" s="159" t="s">
        <v>186</v>
      </c>
      <c r="AM2691" s="159" t="s">
        <v>137</v>
      </c>
      <c r="AN2691" s="159" t="s">
        <v>138</v>
      </c>
      <c r="AO2691" s="156">
        <v>181.0</v>
      </c>
      <c r="AP2691" s="151">
        <v>0.1</v>
      </c>
      <c r="AQ2691" s="159" t="s">
        <v>361</v>
      </c>
      <c r="AR2691" s="151" t="s">
        <v>14440</v>
      </c>
      <c r="AS2691" s="151">
        <v>0.201168908324766</v>
      </c>
      <c r="AT2691" s="1793" t="s">
        <v>172</v>
      </c>
      <c r="AU2691" s="1792" t="s">
        <v>136</v>
      </c>
      <c r="AV2691" s="159" t="s">
        <v>137</v>
      </c>
      <c r="AW2691" s="310" t="s">
        <v>15830</v>
      </c>
      <c r="AX2691" s="159" t="s">
        <v>143</v>
      </c>
      <c r="AY2691" s="61" t="str">
        <f>IFERROR(__xludf.DUMMYFUNCTION("vlookup(BB2691,importrange(""https://docs.google.com/spreadsheets/d/1d2vevQ_7D_v35q4wCQ4RpQ_IPoTwEMB9Yp6ymwlPqew/edit?gid=984458430#gid=984458430"", ""'replication success'!A:K""), 11, FAlSE)"),"")</f>
        <v/>
      </c>
      <c r="AZ2691" s="61" t="str">
        <f>IFERROR(__xludf.DUMMYFUNCTION("vlookup(BB2691,importrange(""https://docs.google.com/spreadsheets/d/1d2vevQ_7D_v35q4wCQ4RpQ_IPoTwEMB9Yp6ymwlPqew/edit?gid=984458430#gid=984458430"", ""'replication success'!A:M""), 12, FAlSE)"),"")</f>
        <v/>
      </c>
      <c r="BA2691" s="61" t="str">
        <f>IFERROR(__xludf.DUMMYFUNCTION("vlookup(BB2691,importrange(""https://docs.google.com/spreadsheets/d/1d2vevQ_7D_v35q4wCQ4RpQ_IPoTwEMB9Yp6ymwlPqew/edit?gid=984458430#gid=984458430"", ""'replication success'!A:M""), 13, FAlSE)"),"abstract")</f>
        <v>abstract</v>
      </c>
      <c r="BB2691" s="61" t="str">
        <f>IFERROR(__xludf.DUMMYFUNCTION("REGEXREPLACE(G2691, ""_[a-z]{1,2}$"", """")"),"Soto")</f>
        <v>Soto</v>
      </c>
      <c r="BD2691" s="124" t="s">
        <v>1270</v>
      </c>
    </row>
    <row r="2692">
      <c r="A2692" s="44">
        <v>2692.0</v>
      </c>
      <c r="B2692" s="129" t="s">
        <v>152</v>
      </c>
      <c r="C2692" s="62" t="s">
        <v>115</v>
      </c>
      <c r="D2692" s="62" t="s">
        <v>286</v>
      </c>
      <c r="F2692" s="68" t="s">
        <v>14615</v>
      </c>
      <c r="G2692" s="159" t="s">
        <v>14425</v>
      </c>
      <c r="H2692" s="159" t="s">
        <v>8501</v>
      </c>
      <c r="I2692" s="152">
        <v>45251.0</v>
      </c>
      <c r="J2692" s="2110">
        <v>45814.0</v>
      </c>
      <c r="K2692" s="159" t="s">
        <v>15910</v>
      </c>
      <c r="L2692" s="129" t="s">
        <v>15906</v>
      </c>
      <c r="M2692" s="159" t="s">
        <v>14605</v>
      </c>
      <c r="N2692" s="159" t="s">
        <v>14606</v>
      </c>
      <c r="O2692" s="129">
        <v>1.0</v>
      </c>
      <c r="P2692" s="382" t="s">
        <v>14607</v>
      </c>
      <c r="Q2692" s="52" t="str">
        <f t="array" ref="Q2692"> if(iserror(MATCH(V2692, 'File Links'!C:C, 0)), "N/A", HYPERLINK(INDEX('File Links'!B:B, MATCH(P2692, 'File Links'!C:C, 0))))</f>
        <v>https://drive.google.com/file/d/1OQXfdOsmBPcEjb_PF9uWD_g_s1g9BKLK/view?usp=drivesdk</v>
      </c>
      <c r="R2692" s="159" t="s">
        <v>14432</v>
      </c>
      <c r="S2692" s="159" t="s">
        <v>14433</v>
      </c>
      <c r="T2692" s="2228" t="s">
        <v>15827</v>
      </c>
      <c r="U2692" s="129">
        <v>1.0</v>
      </c>
      <c r="V2692" s="382" t="s">
        <v>14434</v>
      </c>
      <c r="W2692" s="1080" t="s">
        <v>209</v>
      </c>
      <c r="X2692" s="1552" t="str">
        <f> hyperlink(vlookup(lower(S2692),'File Links'!E:F, 2, FALSE), "LINK")</f>
        <v>LINK</v>
      </c>
      <c r="Y2692" s="129"/>
      <c r="Z2692" s="159" t="s">
        <v>1079</v>
      </c>
      <c r="AA2692" s="159" t="s">
        <v>15911</v>
      </c>
      <c r="AB2692" s="159" t="s">
        <v>14436</v>
      </c>
      <c r="AC2692" s="159" t="s">
        <v>14616</v>
      </c>
      <c r="AD2692" s="151" t="s">
        <v>14617</v>
      </c>
      <c r="AE2692" s="156">
        <v>4.0</v>
      </c>
      <c r="AF2692" s="156">
        <v>164.0</v>
      </c>
      <c r="AG2692" s="156">
        <v>0.28</v>
      </c>
      <c r="AH2692" s="159" t="s">
        <v>361</v>
      </c>
      <c r="AI2692" s="161" t="s">
        <v>850</v>
      </c>
      <c r="AJ2692" s="156">
        <v>0.01</v>
      </c>
      <c r="AK2692" s="159" t="s">
        <v>135</v>
      </c>
      <c r="AL2692" s="159" t="s">
        <v>186</v>
      </c>
      <c r="AM2692" s="159" t="s">
        <v>137</v>
      </c>
      <c r="AN2692" s="159" t="s">
        <v>138</v>
      </c>
      <c r="AO2692" s="156">
        <v>181.0</v>
      </c>
      <c r="AP2692" s="151">
        <v>0.12</v>
      </c>
      <c r="AQ2692" s="159" t="s">
        <v>361</v>
      </c>
      <c r="AR2692" s="151" t="s">
        <v>14440</v>
      </c>
      <c r="AS2692" s="151">
        <v>0.145383750270403</v>
      </c>
      <c r="AT2692" s="1793" t="s">
        <v>172</v>
      </c>
      <c r="AU2692" s="1792" t="s">
        <v>136</v>
      </c>
      <c r="AV2692" s="159" t="s">
        <v>137</v>
      </c>
      <c r="AW2692" s="310" t="s">
        <v>15830</v>
      </c>
      <c r="AX2692" s="159" t="s">
        <v>143</v>
      </c>
      <c r="AY2692" s="61" t="str">
        <f>IFERROR(__xludf.DUMMYFUNCTION("vlookup(BB2692,importrange(""https://docs.google.com/spreadsheets/d/1d2vevQ_7D_v35q4wCQ4RpQ_IPoTwEMB9Yp6ymwlPqew/edit?gid=984458430#gid=984458430"", ""'replication success'!A:K""), 11, FAlSE)"),"")</f>
        <v/>
      </c>
      <c r="AZ2692" s="61" t="str">
        <f>IFERROR(__xludf.DUMMYFUNCTION("vlookup(BB2692,importrange(""https://docs.google.com/spreadsheets/d/1d2vevQ_7D_v35q4wCQ4RpQ_IPoTwEMB9Yp6ymwlPqew/edit?gid=984458430#gid=984458430"", ""'replication success'!A:M""), 12, FAlSE)"),"")</f>
        <v/>
      </c>
      <c r="BA2692" s="61" t="str">
        <f>IFERROR(__xludf.DUMMYFUNCTION("vlookup(BB2692,importrange(""https://docs.google.com/spreadsheets/d/1d2vevQ_7D_v35q4wCQ4RpQ_IPoTwEMB9Yp6ymwlPqew/edit?gid=984458430#gid=984458430"", ""'replication success'!A:M""), 13, FAlSE)"),"abstract")</f>
        <v>abstract</v>
      </c>
      <c r="BB2692" s="61" t="str">
        <f>IFERROR(__xludf.DUMMYFUNCTION("REGEXREPLACE(G2692, ""_[a-z]{1,2}$"", """")"),"Soto")</f>
        <v>Soto</v>
      </c>
      <c r="BD2692" s="124" t="s">
        <v>1270</v>
      </c>
    </row>
    <row r="2693">
      <c r="A2693" s="44">
        <v>2693.0</v>
      </c>
      <c r="B2693" s="129" t="s">
        <v>152</v>
      </c>
      <c r="C2693" s="62" t="s">
        <v>115</v>
      </c>
      <c r="D2693" s="62" t="s">
        <v>286</v>
      </c>
      <c r="F2693" s="68" t="s">
        <v>14618</v>
      </c>
      <c r="G2693" s="159" t="s">
        <v>14425</v>
      </c>
      <c r="H2693" s="159" t="s">
        <v>8501</v>
      </c>
      <c r="I2693" s="152">
        <v>45251.0</v>
      </c>
      <c r="J2693" s="2110">
        <v>45814.0</v>
      </c>
      <c r="K2693" s="159" t="s">
        <v>15912</v>
      </c>
      <c r="L2693" s="129" t="s">
        <v>15913</v>
      </c>
      <c r="M2693" s="159" t="s">
        <v>14620</v>
      </c>
      <c r="N2693" s="159" t="s">
        <v>14621</v>
      </c>
      <c r="O2693" s="129"/>
      <c r="P2693" s="382" t="s">
        <v>14622</v>
      </c>
      <c r="Q2693" s="2191" t="str">
        <f> hyperlink(vlookup(lower(N2693),'File Links'!E:F, 2, FALSE), "LINK")</f>
        <v>LINK</v>
      </c>
      <c r="R2693" s="159" t="s">
        <v>14432</v>
      </c>
      <c r="S2693" s="159" t="s">
        <v>14433</v>
      </c>
      <c r="T2693" s="68"/>
      <c r="U2693" s="68"/>
      <c r="V2693" s="382" t="s">
        <v>14434</v>
      </c>
      <c r="W2693" s="1080" t="s">
        <v>209</v>
      </c>
      <c r="X2693" s="1552" t="str">
        <f> hyperlink(vlookup(lower(S2693),'File Links'!E:F, 2, FALSE), "LINK")</f>
        <v>LINK</v>
      </c>
      <c r="Y2693" s="129" t="s">
        <v>15914</v>
      </c>
      <c r="Z2693" s="159" t="s">
        <v>1079</v>
      </c>
      <c r="AA2693" s="68"/>
      <c r="AB2693" s="159" t="s">
        <v>14436</v>
      </c>
      <c r="AC2693" s="159" t="s">
        <v>14623</v>
      </c>
      <c r="AD2693" s="159" t="s">
        <v>14623</v>
      </c>
      <c r="AE2693" s="159" t="s">
        <v>138</v>
      </c>
      <c r="AF2693" s="156">
        <v>980.0</v>
      </c>
      <c r="AG2693" s="159" t="s">
        <v>138</v>
      </c>
      <c r="AH2693" s="159" t="s">
        <v>138</v>
      </c>
      <c r="AI2693" s="159" t="s">
        <v>138</v>
      </c>
      <c r="AJ2693" s="159" t="s">
        <v>138</v>
      </c>
      <c r="AK2693" s="159" t="s">
        <v>138</v>
      </c>
      <c r="AL2693" s="159" t="s">
        <v>186</v>
      </c>
      <c r="AM2693" s="159" t="s">
        <v>137</v>
      </c>
      <c r="AN2693" s="159" t="s">
        <v>138</v>
      </c>
      <c r="AO2693" s="156">
        <v>1466.0</v>
      </c>
      <c r="AP2693" s="159" t="s">
        <v>15915</v>
      </c>
      <c r="AQ2693" s="159" t="s">
        <v>361</v>
      </c>
      <c r="AR2693" s="159" t="s">
        <v>15850</v>
      </c>
      <c r="AS2693" s="159" t="s">
        <v>138</v>
      </c>
      <c r="AT2693" s="159" t="s">
        <v>138</v>
      </c>
      <c r="AU2693" s="159" t="s">
        <v>186</v>
      </c>
      <c r="AV2693" s="159" t="s">
        <v>137</v>
      </c>
      <c r="AW2693" s="310" t="s">
        <v>15830</v>
      </c>
      <c r="AX2693" s="159" t="s">
        <v>143</v>
      </c>
      <c r="AY2693" s="61" t="str">
        <f>IFERROR(__xludf.DUMMYFUNCTION("vlookup(BB2693,importrange(""https://docs.google.com/spreadsheets/d/1d2vevQ_7D_v35q4wCQ4RpQ_IPoTwEMB9Yp6ymwlPqew/edit?gid=984458430#gid=984458430"", ""'replication success'!A:K""), 11, FAlSE)"),"")</f>
        <v/>
      </c>
      <c r="AZ2693" s="61" t="str">
        <f>IFERROR(__xludf.DUMMYFUNCTION("vlookup(BB2693,importrange(""https://docs.google.com/spreadsheets/d/1d2vevQ_7D_v35q4wCQ4RpQ_IPoTwEMB9Yp6ymwlPqew/edit?gid=984458430#gid=984458430"", ""'replication success'!A:M""), 12, FAlSE)"),"")</f>
        <v/>
      </c>
      <c r="BA2693" s="61" t="str">
        <f>IFERROR(__xludf.DUMMYFUNCTION("vlookup(BB2693,importrange(""https://docs.google.com/spreadsheets/d/1d2vevQ_7D_v35q4wCQ4RpQ_IPoTwEMB9Yp6ymwlPqew/edit?gid=984458430#gid=984458430"", ""'replication success'!A:M""), 13, FAlSE)"),"abstract")</f>
        <v>abstract</v>
      </c>
      <c r="BB2693" s="61" t="str">
        <f>IFERROR(__xludf.DUMMYFUNCTION("REGEXREPLACE(G2693, ""_[a-z]{1,2}$"", """")"),"Soto")</f>
        <v>Soto</v>
      </c>
      <c r="BD2693" s="124" t="s">
        <v>1270</v>
      </c>
    </row>
    <row r="2694">
      <c r="A2694" s="44">
        <v>2694.0</v>
      </c>
      <c r="B2694" s="129" t="s">
        <v>152</v>
      </c>
      <c r="C2694" s="62" t="s">
        <v>115</v>
      </c>
      <c r="D2694" s="62" t="s">
        <v>286</v>
      </c>
      <c r="F2694" s="68" t="s">
        <v>14625</v>
      </c>
      <c r="G2694" s="159" t="s">
        <v>14425</v>
      </c>
      <c r="H2694" s="159" t="s">
        <v>8501</v>
      </c>
      <c r="I2694" s="152">
        <v>45251.0</v>
      </c>
      <c r="J2694" s="2110">
        <v>45814.0</v>
      </c>
      <c r="K2694" s="159" t="s">
        <v>15916</v>
      </c>
      <c r="L2694" s="129" t="s">
        <v>15917</v>
      </c>
      <c r="M2694" s="159" t="s">
        <v>14620</v>
      </c>
      <c r="N2694" s="159" t="s">
        <v>14621</v>
      </c>
      <c r="O2694" s="129">
        <v>1.0</v>
      </c>
      <c r="P2694" s="382" t="s">
        <v>14622</v>
      </c>
      <c r="Q2694" s="2191" t="str">
        <f> hyperlink(vlookup(lower(N2694),'File Links'!E:F, 2, FALSE), "LINK")</f>
        <v>LINK</v>
      </c>
      <c r="R2694" s="159" t="s">
        <v>14432</v>
      </c>
      <c r="S2694" s="159" t="s">
        <v>14433</v>
      </c>
      <c r="T2694" s="2228" t="s">
        <v>15827</v>
      </c>
      <c r="U2694" s="129">
        <v>1.0</v>
      </c>
      <c r="V2694" s="382" t="s">
        <v>14434</v>
      </c>
      <c r="W2694" s="1080" t="s">
        <v>209</v>
      </c>
      <c r="X2694" s="1552" t="str">
        <f> hyperlink(vlookup(lower(S2694),'File Links'!E:F, 2, FALSE), "LINK")</f>
        <v>LINK</v>
      </c>
      <c r="Y2694" s="129"/>
      <c r="Z2694" s="159" t="s">
        <v>1079</v>
      </c>
      <c r="AA2694" s="159" t="s">
        <v>15918</v>
      </c>
      <c r="AB2694" s="159" t="s">
        <v>14436</v>
      </c>
      <c r="AC2694" s="159" t="s">
        <v>14627</v>
      </c>
      <c r="AD2694" s="159" t="s">
        <v>14628</v>
      </c>
      <c r="AE2694" s="161" t="s">
        <v>632</v>
      </c>
      <c r="AF2694" s="156">
        <v>980.0</v>
      </c>
      <c r="AG2694" s="156">
        <v>-0.1</v>
      </c>
      <c r="AH2694" s="159" t="s">
        <v>360</v>
      </c>
      <c r="AI2694" s="161" t="s">
        <v>132</v>
      </c>
      <c r="AJ2694" s="156">
        <v>0.01</v>
      </c>
      <c r="AK2694" s="159" t="s">
        <v>135</v>
      </c>
      <c r="AL2694" s="159" t="s">
        <v>186</v>
      </c>
      <c r="AM2694" s="159" t="s">
        <v>137</v>
      </c>
      <c r="AN2694" s="159" t="s">
        <v>138</v>
      </c>
      <c r="AO2694" s="156">
        <v>1489.0</v>
      </c>
      <c r="AP2694" s="151">
        <v>-0.19</v>
      </c>
      <c r="AQ2694" s="159" t="s">
        <v>361</v>
      </c>
      <c r="AR2694" s="151" t="s">
        <v>14569</v>
      </c>
      <c r="AS2694" s="159" t="s">
        <v>138</v>
      </c>
      <c r="AT2694" s="159" t="s">
        <v>138</v>
      </c>
      <c r="AU2694" s="159" t="s">
        <v>186</v>
      </c>
      <c r="AV2694" s="159" t="s">
        <v>137</v>
      </c>
      <c r="AW2694" s="310" t="s">
        <v>15830</v>
      </c>
      <c r="AX2694" s="159" t="s">
        <v>143</v>
      </c>
      <c r="AY2694" s="61" t="str">
        <f>IFERROR(__xludf.DUMMYFUNCTION("vlookup(BB2694,importrange(""https://docs.google.com/spreadsheets/d/1d2vevQ_7D_v35q4wCQ4RpQ_IPoTwEMB9Yp6ymwlPqew/edit?gid=984458430#gid=984458430"", ""'replication success'!A:K""), 11, FAlSE)"),"")</f>
        <v/>
      </c>
      <c r="AZ2694" s="61" t="str">
        <f>IFERROR(__xludf.DUMMYFUNCTION("vlookup(BB2694,importrange(""https://docs.google.com/spreadsheets/d/1d2vevQ_7D_v35q4wCQ4RpQ_IPoTwEMB9Yp6ymwlPqew/edit?gid=984458430#gid=984458430"", ""'replication success'!A:M""), 12, FAlSE)"),"")</f>
        <v/>
      </c>
      <c r="BA2694" s="61" t="str">
        <f>IFERROR(__xludf.DUMMYFUNCTION("vlookup(BB2694,importrange(""https://docs.google.com/spreadsheets/d/1d2vevQ_7D_v35q4wCQ4RpQ_IPoTwEMB9Yp6ymwlPqew/edit?gid=984458430#gid=984458430"", ""'replication success'!A:M""), 13, FAlSE)"),"abstract")</f>
        <v>abstract</v>
      </c>
      <c r="BB2694" s="61" t="str">
        <f>IFERROR(__xludf.DUMMYFUNCTION("REGEXREPLACE(G2694, ""_[a-z]{1,2}$"", """")"),"Soto")</f>
        <v>Soto</v>
      </c>
      <c r="BD2694" s="124" t="s">
        <v>1270</v>
      </c>
    </row>
    <row r="2695" ht="25.5" customHeight="1">
      <c r="A2695" s="44">
        <v>3016.0</v>
      </c>
      <c r="B2695" s="1322" t="s">
        <v>114</v>
      </c>
      <c r="C2695" s="1588" t="s">
        <v>115</v>
      </c>
      <c r="D2695" s="1588" t="s">
        <v>153</v>
      </c>
      <c r="E2695" s="1572"/>
      <c r="F2695" s="1592" t="s">
        <v>15919</v>
      </c>
      <c r="G2695" s="1592" t="s">
        <v>15920</v>
      </c>
      <c r="H2695" s="1600" t="s">
        <v>15921</v>
      </c>
      <c r="I2695" s="2229">
        <v>45821.0</v>
      </c>
      <c r="J2695" s="2230">
        <v>45840.0</v>
      </c>
      <c r="K2695" s="1592" t="s">
        <v>15922</v>
      </c>
      <c r="L2695" s="1322" t="s">
        <v>15923</v>
      </c>
      <c r="M2695" s="1592" t="s">
        <v>15924</v>
      </c>
      <c r="N2695" s="1592" t="s">
        <v>15925</v>
      </c>
      <c r="O2695" s="1313"/>
      <c r="P2695" s="1592" t="s">
        <v>15926</v>
      </c>
      <c r="Q2695" s="2231" t="str">
        <f t="array" ref="Q2695"> if(iserror(MATCH(V2695, 'File Links'!C:C, 0)), "N/A", HYPERLINK(INDEX('File Links'!B:B, MATCH(P2695, 'File Links'!C:C, 0))))</f>
        <v>https://drive.google.com/file/d/1pIS8rz3Zhsg-K0XmlUgVtJjkBAX-gomL/view?usp=drivesdk</v>
      </c>
      <c r="R2695" s="2232" t="s">
        <v>15927</v>
      </c>
      <c r="S2695" s="1592" t="s">
        <v>15928</v>
      </c>
      <c r="T2695" s="1313"/>
      <c r="U2695" s="1313"/>
      <c r="V2695" s="1592" t="s">
        <v>15929</v>
      </c>
      <c r="W2695" s="1313"/>
      <c r="X2695" s="2233" t="str">
        <f t="array" ref="X2695"> if(iserror(MATCH(V2695, 'File Links'!C:C, 0)), "N/A", HYPERLINK(INDEX('File Links'!B:B, MATCH(V2695, 'File Links'!C:C, 0))))</f>
        <v>https://drive.google.com/file/d/18k1ykE5KGu6_zuNz9VCrn4DkEVOO1LJH/view?usp=drivesdk</v>
      </c>
      <c r="Y2695" s="1592" t="s">
        <v>15930</v>
      </c>
      <c r="Z2695" s="1592" t="s">
        <v>1809</v>
      </c>
      <c r="AA2695" s="1600" t="s">
        <v>241</v>
      </c>
      <c r="AB2695" s="1592" t="s">
        <v>15931</v>
      </c>
      <c r="AC2695" s="1313"/>
      <c r="AD2695" s="1313"/>
      <c r="AE2695" s="1313"/>
      <c r="AF2695" s="1313"/>
      <c r="AG2695" s="1313"/>
      <c r="AH2695" s="1313"/>
      <c r="AI2695" s="1313"/>
      <c r="AJ2695" s="1313"/>
      <c r="AK2695" s="1313"/>
      <c r="AL2695" s="1313"/>
      <c r="AM2695" s="1313"/>
      <c r="AN2695" s="1592" t="s">
        <v>138</v>
      </c>
      <c r="AO2695" s="1313"/>
      <c r="AP2695" s="2234"/>
      <c r="AQ2695" s="1313"/>
      <c r="AR2695" s="1313"/>
      <c r="AS2695" s="1313"/>
      <c r="AT2695" s="1313"/>
      <c r="AU2695" s="1313"/>
      <c r="AV2695" s="1313"/>
      <c r="AW2695" s="1592" t="s">
        <v>138</v>
      </c>
      <c r="AX2695" s="1313"/>
      <c r="AY2695" s="61" t="str">
        <f>IFERROR(__xludf.DUMMYFUNCTION("vlookup(BB2695,importrange(""https://docs.google.com/spreadsheets/d/1d2vevQ_7D_v35q4wCQ4RpQ_IPoTwEMB9Yp6ymwlPqew/edit?gid=984458430#gid=984458430"", ""'replication success'!A:K""), 11, FAlSE)"),"#N/A")</f>
        <v>#N/A</v>
      </c>
      <c r="AZ2695" s="61" t="str">
        <f>IFERROR(__xludf.DUMMYFUNCTION("vlookup(BB2695,importrange(""https://docs.google.com/spreadsheets/d/1d2vevQ_7D_v35q4wCQ4RpQ_IPoTwEMB9Yp6ymwlPqew/edit?gid=984458430#gid=984458430"", ""'replication success'!A:M""), 12, FAlSE)"),"#N/A")</f>
        <v>#N/A</v>
      </c>
      <c r="BA2695" s="61" t="str">
        <f>IFERROR(__xludf.DUMMYFUNCTION("vlookup(BB2695,importrange(""https://docs.google.com/spreadsheets/d/1d2vevQ_7D_v35q4wCQ4RpQ_IPoTwEMB9Yp6ymwlPqew/edit?gid=984458430#gid=984458430"", ""'replication success'!A:M""), 13, FAlSE)"),"#N/A")</f>
        <v>#N/A</v>
      </c>
      <c r="BB2695" s="61" t="str">
        <f>IFERROR(__xludf.DUMMYFUNCTION("REGEXREPLACE(G2695, ""_[a-z]{1,2}$"", """")"),"add_ai1")</f>
        <v>add_ai1</v>
      </c>
      <c r="BC2695" s="1572"/>
      <c r="BD2695" s="1588" t="s">
        <v>13264</v>
      </c>
      <c r="BE2695" s="342"/>
      <c r="BF2695" s="342"/>
      <c r="BG2695" s="342"/>
      <c r="BH2695" s="342"/>
      <c r="BI2695" s="342"/>
      <c r="BJ2695" s="342"/>
      <c r="BK2695" s="342"/>
      <c r="BL2695" s="342"/>
      <c r="BM2695" s="342"/>
      <c r="BN2695" s="342"/>
      <c r="BO2695" s="342"/>
      <c r="BP2695" s="342"/>
      <c r="BQ2695" s="342"/>
      <c r="BR2695" s="342"/>
      <c r="BS2695" s="342"/>
      <c r="BT2695" s="342"/>
      <c r="BU2695" s="342"/>
      <c r="BV2695" s="342"/>
      <c r="BW2695" s="342"/>
      <c r="BX2695" s="342"/>
      <c r="BY2695" s="342"/>
      <c r="BZ2695" s="342"/>
      <c r="CA2695" s="342"/>
      <c r="CB2695" s="342"/>
      <c r="CC2695" s="342"/>
      <c r="CD2695" s="342"/>
      <c r="CE2695" s="342"/>
      <c r="CF2695" s="342"/>
      <c r="CG2695" s="342"/>
      <c r="CH2695" s="342"/>
      <c r="CI2695" s="342"/>
      <c r="CJ2695" s="342"/>
      <c r="CK2695" s="342"/>
      <c r="CL2695" s="342"/>
      <c r="CM2695" s="342"/>
      <c r="CN2695" s="342"/>
      <c r="CO2695" s="342"/>
      <c r="CP2695" s="342"/>
      <c r="CQ2695" s="342"/>
      <c r="CR2695" s="342"/>
      <c r="CS2695" s="342"/>
      <c r="CT2695" s="342"/>
      <c r="CU2695" s="342"/>
      <c r="CV2695" s="342"/>
      <c r="CW2695" s="342"/>
      <c r="CX2695" s="342"/>
      <c r="CY2695" s="342"/>
      <c r="CZ2695" s="342"/>
      <c r="DA2695" s="342"/>
      <c r="DB2695" s="342"/>
      <c r="DC2695" s="342"/>
      <c r="DD2695" s="342"/>
      <c r="DE2695" s="342"/>
      <c r="DF2695" s="342"/>
      <c r="DG2695" s="342"/>
      <c r="DH2695" s="342"/>
      <c r="DI2695" s="342"/>
      <c r="DJ2695" s="342"/>
      <c r="DK2695" s="342"/>
      <c r="DL2695" s="342"/>
    </row>
    <row r="2696">
      <c r="A2696" s="44">
        <v>3161.0</v>
      </c>
      <c r="B2696" s="1322" t="s">
        <v>114</v>
      </c>
      <c r="C2696" s="1588" t="s">
        <v>115</v>
      </c>
      <c r="D2696" s="1588" t="s">
        <v>1458</v>
      </c>
      <c r="E2696" s="1572"/>
      <c r="F2696" s="1313" t="s">
        <v>15919</v>
      </c>
      <c r="G2696" s="1315" t="s">
        <v>15920</v>
      </c>
      <c r="H2696" s="2235" t="s">
        <v>1518</v>
      </c>
      <c r="I2696" s="2236"/>
      <c r="J2696" s="2230">
        <v>45840.0</v>
      </c>
      <c r="K2696" s="1315" t="s">
        <v>15932</v>
      </c>
      <c r="L2696" s="1322" t="s">
        <v>15923</v>
      </c>
      <c r="M2696" s="1315" t="s">
        <v>15924</v>
      </c>
      <c r="N2696" s="1315" t="s">
        <v>15925</v>
      </c>
      <c r="O2696" s="1318">
        <v>1.0</v>
      </c>
      <c r="P2696" s="1315" t="s">
        <v>15926</v>
      </c>
      <c r="Q2696" s="2231" t="str">
        <f t="array" ref="Q2696"> if(iserror(MATCH(V2696, 'File Links'!C:C, 0)), "N/A", HYPERLINK(INDEX('File Links'!B:B, MATCH(P2696, 'File Links'!C:C, 0))))</f>
        <v>https://drive.google.com/file/d/1pIS8rz3Zhsg-K0XmlUgVtJjkBAX-gomL/view?usp=drivesdk</v>
      </c>
      <c r="R2696" s="1315" t="s">
        <v>15933</v>
      </c>
      <c r="S2696" s="1315" t="s">
        <v>15928</v>
      </c>
      <c r="T2696" s="1315" t="s">
        <v>138</v>
      </c>
      <c r="U2696" s="1318">
        <v>1.0</v>
      </c>
      <c r="V2696" s="1315" t="s">
        <v>15929</v>
      </c>
      <c r="W2696" s="1313"/>
      <c r="X2696" s="2233" t="str">
        <f t="array" ref="X2696"> if(iserror(MATCH(V2696, 'File Links'!C:C, 0)), "N/A", HYPERLINK(INDEX('File Links'!B:B, MATCH(V2696, 'File Links'!C:C, 0))))</f>
        <v>https://drive.google.com/file/d/18k1ykE5KGu6_zuNz9VCrn4DkEVOO1LJH/view?usp=drivesdk</v>
      </c>
      <c r="Y2696" s="1315" t="s">
        <v>138</v>
      </c>
      <c r="Z2696" s="1315" t="s">
        <v>1809</v>
      </c>
      <c r="AA2696" s="1315" t="s">
        <v>15934</v>
      </c>
      <c r="AB2696" s="1315" t="s">
        <v>15935</v>
      </c>
      <c r="AC2696" s="1315" t="s">
        <v>15936</v>
      </c>
      <c r="AD2696" s="1313" t="s">
        <v>15937</v>
      </c>
      <c r="AE2696" s="1315" t="s">
        <v>3056</v>
      </c>
      <c r="AF2696" s="1318">
        <v>334.0</v>
      </c>
      <c r="AG2696" s="1318">
        <v>0.177</v>
      </c>
      <c r="AH2696" s="1315" t="s">
        <v>361</v>
      </c>
      <c r="AI2696" s="1315" t="s">
        <v>1173</v>
      </c>
      <c r="AJ2696" s="1318">
        <v>0.05</v>
      </c>
      <c r="AK2696" s="1315" t="s">
        <v>135</v>
      </c>
      <c r="AL2696" s="1315" t="s">
        <v>186</v>
      </c>
      <c r="AM2696" s="1315" t="s">
        <v>141</v>
      </c>
      <c r="AN2696" s="1315" t="s">
        <v>138</v>
      </c>
      <c r="AO2696" s="1318">
        <v>334.0</v>
      </c>
      <c r="AP2696" s="1318">
        <v>0.216</v>
      </c>
      <c r="AQ2696" s="1315" t="s">
        <v>361</v>
      </c>
      <c r="AR2696" s="1315" t="s">
        <v>882</v>
      </c>
      <c r="AS2696" s="1318">
        <v>0.01</v>
      </c>
      <c r="AT2696" s="1315" t="s">
        <v>135</v>
      </c>
      <c r="AU2696" s="1315" t="s">
        <v>186</v>
      </c>
      <c r="AV2696" s="1315" t="s">
        <v>141</v>
      </c>
      <c r="AW2696" s="1313" t="s">
        <v>138</v>
      </c>
      <c r="AX2696" s="1315" t="s">
        <v>143</v>
      </c>
      <c r="AY2696" s="61" t="str">
        <f>IFERROR(__xludf.DUMMYFUNCTION("vlookup(BB2696,importrange(""https://docs.google.com/spreadsheets/d/1d2vevQ_7D_v35q4wCQ4RpQ_IPoTwEMB9Yp6ymwlPqew/edit?gid=984458430#gid=984458430"", ""'replication success'!A:K""), 11, FAlSE)"),"#N/A")</f>
        <v>#N/A</v>
      </c>
      <c r="AZ2696" s="61" t="str">
        <f>IFERROR(__xludf.DUMMYFUNCTION("vlookup(BB2696,importrange(""https://docs.google.com/spreadsheets/d/1d2vevQ_7D_v35q4wCQ4RpQ_IPoTwEMB9Yp6ymwlPqew/edit?gid=984458430#gid=984458430"", ""'replication success'!A:M""), 12, FAlSE)"),"#N/A")</f>
        <v>#N/A</v>
      </c>
      <c r="BA2696" s="61" t="str">
        <f>IFERROR(__xludf.DUMMYFUNCTION("vlookup(BB2696,importrange(""https://docs.google.com/spreadsheets/d/1d2vevQ_7D_v35q4wCQ4RpQ_IPoTwEMB9Yp6ymwlPqew/edit?gid=984458430#gid=984458430"", ""'replication success'!A:M""), 13, FAlSE)"),"#N/A")</f>
        <v>#N/A</v>
      </c>
      <c r="BB2696" s="61" t="str">
        <f>IFERROR(__xludf.DUMMYFUNCTION("REGEXREPLACE(G2696, ""_[a-z]{1,2}$"", """")"),"add_ai1")</f>
        <v>add_ai1</v>
      </c>
      <c r="BC2696" s="1572"/>
      <c r="BD2696" s="1588" t="s">
        <v>13264</v>
      </c>
      <c r="BE2696" s="342"/>
      <c r="BF2696" s="342"/>
      <c r="BG2696" s="342"/>
      <c r="BH2696" s="342"/>
      <c r="BI2696" s="342"/>
      <c r="BJ2696" s="342"/>
      <c r="BK2696" s="342"/>
      <c r="BL2696" s="342"/>
      <c r="BM2696" s="342"/>
      <c r="BN2696" s="342"/>
      <c r="BO2696" s="342"/>
      <c r="BP2696" s="342"/>
      <c r="BQ2696" s="342"/>
      <c r="BR2696" s="342"/>
      <c r="BS2696" s="342"/>
      <c r="BT2696" s="342"/>
      <c r="BU2696" s="342"/>
      <c r="BV2696" s="342"/>
      <c r="BW2696" s="342"/>
      <c r="BX2696" s="342"/>
      <c r="BY2696" s="342"/>
      <c r="BZ2696" s="342"/>
      <c r="CA2696" s="342"/>
      <c r="CB2696" s="342"/>
      <c r="CC2696" s="342"/>
      <c r="CD2696" s="342"/>
      <c r="CE2696" s="342"/>
      <c r="CF2696" s="342"/>
      <c r="CG2696" s="342"/>
      <c r="CH2696" s="342"/>
      <c r="CI2696" s="342"/>
      <c r="CJ2696" s="342"/>
      <c r="CK2696" s="342"/>
      <c r="CL2696" s="342"/>
      <c r="CM2696" s="342"/>
      <c r="CN2696" s="342"/>
      <c r="CO2696" s="342"/>
      <c r="CP2696" s="342"/>
      <c r="CQ2696" s="342"/>
      <c r="CR2696" s="342"/>
      <c r="CS2696" s="342"/>
      <c r="CT2696" s="342"/>
      <c r="CU2696" s="342"/>
      <c r="CV2696" s="342"/>
      <c r="CW2696" s="342"/>
      <c r="CX2696" s="342"/>
      <c r="CY2696" s="342"/>
      <c r="CZ2696" s="342"/>
      <c r="DA2696" s="342"/>
      <c r="DB2696" s="342"/>
      <c r="DC2696" s="342"/>
      <c r="DD2696" s="342"/>
      <c r="DE2696" s="342"/>
      <c r="DF2696" s="342"/>
      <c r="DG2696" s="342"/>
      <c r="DH2696" s="342"/>
      <c r="DI2696" s="342"/>
      <c r="DJ2696" s="342"/>
      <c r="DK2696" s="342"/>
      <c r="DL2696" s="342"/>
    </row>
    <row r="2697">
      <c r="A2697" s="44">
        <v>3162.0</v>
      </c>
      <c r="B2697" s="1322" t="s">
        <v>114</v>
      </c>
      <c r="C2697" s="1588" t="s">
        <v>115</v>
      </c>
      <c r="D2697" s="1588" t="s">
        <v>1458</v>
      </c>
      <c r="E2697" s="1572"/>
      <c r="F2697" s="1313" t="s">
        <v>15919</v>
      </c>
      <c r="G2697" s="1315" t="s">
        <v>15938</v>
      </c>
      <c r="H2697" s="2235" t="s">
        <v>1518</v>
      </c>
      <c r="I2697" s="2236"/>
      <c r="J2697" s="2230">
        <v>45840.0</v>
      </c>
      <c r="K2697" s="1315" t="s">
        <v>15939</v>
      </c>
      <c r="L2697" s="1322" t="s">
        <v>15923</v>
      </c>
      <c r="M2697" s="1315" t="s">
        <v>15924</v>
      </c>
      <c r="N2697" s="1315" t="s">
        <v>15925</v>
      </c>
      <c r="O2697" s="1318">
        <v>1.0</v>
      </c>
      <c r="P2697" s="1315" t="s">
        <v>15926</v>
      </c>
      <c r="Q2697" s="2231" t="str">
        <f t="array" ref="Q2697"> if(iserror(MATCH(V2697, 'File Links'!C:C, 0)), "N/A", HYPERLINK(INDEX('File Links'!B:B, MATCH(P2697, 'File Links'!C:C, 0))))</f>
        <v>https://drive.google.com/file/d/1pIS8rz3Zhsg-K0XmlUgVtJjkBAX-gomL/view?usp=drivesdk</v>
      </c>
      <c r="R2697" s="1315" t="s">
        <v>15933</v>
      </c>
      <c r="S2697" s="1315" t="s">
        <v>15928</v>
      </c>
      <c r="T2697" s="1315" t="s">
        <v>138</v>
      </c>
      <c r="U2697" s="1318">
        <v>1.0</v>
      </c>
      <c r="V2697" s="1315" t="s">
        <v>15929</v>
      </c>
      <c r="W2697" s="1313"/>
      <c r="X2697" s="2233" t="str">
        <f t="array" ref="X2697"> if(iserror(MATCH(V2697, 'File Links'!C:C, 0)), "N/A", HYPERLINK(INDEX('File Links'!B:B, MATCH(V2697, 'File Links'!C:C, 0))))</f>
        <v>https://drive.google.com/file/d/18k1ykE5KGu6_zuNz9VCrn4DkEVOO1LJH/view?usp=drivesdk</v>
      </c>
      <c r="Y2697" s="1315" t="s">
        <v>138</v>
      </c>
      <c r="Z2697" s="1315" t="s">
        <v>1809</v>
      </c>
      <c r="AA2697" s="1315" t="s">
        <v>15934</v>
      </c>
      <c r="AB2697" s="1315" t="s">
        <v>15935</v>
      </c>
      <c r="AC2697" s="1315" t="s">
        <v>15940</v>
      </c>
      <c r="AD2697" s="1315" t="s">
        <v>15941</v>
      </c>
      <c r="AE2697" s="1318">
        <v>22.0</v>
      </c>
      <c r="AF2697" s="1318">
        <v>334.0</v>
      </c>
      <c r="AG2697" s="1318">
        <v>0.215</v>
      </c>
      <c r="AH2697" s="1315" t="s">
        <v>361</v>
      </c>
      <c r="AI2697" s="1315" t="s">
        <v>3607</v>
      </c>
      <c r="AJ2697" s="1318">
        <v>0.01</v>
      </c>
      <c r="AK2697" s="1315" t="s">
        <v>135</v>
      </c>
      <c r="AL2697" s="1315" t="s">
        <v>186</v>
      </c>
      <c r="AM2697" s="1315" t="s">
        <v>141</v>
      </c>
      <c r="AN2697" s="1315" t="s">
        <v>138</v>
      </c>
      <c r="AO2697" s="1318">
        <v>334.0</v>
      </c>
      <c r="AP2697" s="1318">
        <v>0.215</v>
      </c>
      <c r="AQ2697" s="1315" t="s">
        <v>361</v>
      </c>
      <c r="AR2697" s="1315" t="s">
        <v>882</v>
      </c>
      <c r="AS2697" s="1318">
        <v>0.01</v>
      </c>
      <c r="AT2697" s="1315" t="s">
        <v>135</v>
      </c>
      <c r="AU2697" s="1315" t="s">
        <v>186</v>
      </c>
      <c r="AV2697" s="1315" t="s">
        <v>141</v>
      </c>
      <c r="AW2697" s="1313" t="s">
        <v>138</v>
      </c>
      <c r="AX2697" s="1315" t="s">
        <v>143</v>
      </c>
      <c r="AY2697" s="61" t="str">
        <f>IFERROR(__xludf.DUMMYFUNCTION("vlookup(BB2697,importrange(""https://docs.google.com/spreadsheets/d/1d2vevQ_7D_v35q4wCQ4RpQ_IPoTwEMB9Yp6ymwlPqew/edit?gid=984458430#gid=984458430"", ""'replication success'!A:K""), 11, FAlSE)"),"#N/A")</f>
        <v>#N/A</v>
      </c>
      <c r="AZ2697" s="61" t="str">
        <f>IFERROR(__xludf.DUMMYFUNCTION("vlookup(BB2697,importrange(""https://docs.google.com/spreadsheets/d/1d2vevQ_7D_v35q4wCQ4RpQ_IPoTwEMB9Yp6ymwlPqew/edit?gid=984458430#gid=984458430"", ""'replication success'!A:M""), 12, FAlSE)"),"#N/A")</f>
        <v>#N/A</v>
      </c>
      <c r="BA2697" s="61" t="str">
        <f>IFERROR(__xludf.DUMMYFUNCTION("vlookup(BB2697,importrange(""https://docs.google.com/spreadsheets/d/1d2vevQ_7D_v35q4wCQ4RpQ_IPoTwEMB9Yp6ymwlPqew/edit?gid=984458430#gid=984458430"", ""'replication success'!A:M""), 13, FAlSE)"),"#N/A")</f>
        <v>#N/A</v>
      </c>
      <c r="BB2697" s="61" t="str">
        <f>IFERROR(__xludf.DUMMYFUNCTION("REGEXREPLACE(G2697, ""_[a-z]{1,2}$"", """")"),"add_ai1")</f>
        <v>add_ai1</v>
      </c>
      <c r="BC2697" s="1572"/>
      <c r="BD2697" s="1588" t="s">
        <v>13264</v>
      </c>
      <c r="BE2697" s="342"/>
      <c r="BF2697" s="342"/>
      <c r="BG2697" s="342"/>
      <c r="BH2697" s="342"/>
      <c r="BI2697" s="342"/>
      <c r="BJ2697" s="342"/>
      <c r="BK2697" s="342"/>
      <c r="BL2697" s="342"/>
      <c r="BM2697" s="342"/>
      <c r="BN2697" s="342"/>
      <c r="BO2697" s="342"/>
      <c r="BP2697" s="342"/>
      <c r="BQ2697" s="342"/>
      <c r="BR2697" s="342"/>
      <c r="BS2697" s="342"/>
      <c r="BT2697" s="342"/>
      <c r="BU2697" s="342"/>
      <c r="BV2697" s="342"/>
      <c r="BW2697" s="342"/>
      <c r="BX2697" s="342"/>
      <c r="BY2697" s="342"/>
      <c r="BZ2697" s="342"/>
      <c r="CA2697" s="342"/>
      <c r="CB2697" s="342"/>
      <c r="CC2697" s="342"/>
      <c r="CD2697" s="342"/>
      <c r="CE2697" s="342"/>
      <c r="CF2697" s="342"/>
      <c r="CG2697" s="342"/>
      <c r="CH2697" s="342"/>
      <c r="CI2697" s="342"/>
      <c r="CJ2697" s="342"/>
      <c r="CK2697" s="342"/>
      <c r="CL2697" s="342"/>
      <c r="CM2697" s="342"/>
      <c r="CN2697" s="342"/>
      <c r="CO2697" s="342"/>
      <c r="CP2697" s="342"/>
      <c r="CQ2697" s="342"/>
      <c r="CR2697" s="342"/>
      <c r="CS2697" s="342"/>
      <c r="CT2697" s="342"/>
      <c r="CU2697" s="342"/>
      <c r="CV2697" s="342"/>
      <c r="CW2697" s="342"/>
      <c r="CX2697" s="342"/>
      <c r="CY2697" s="342"/>
      <c r="CZ2697" s="342"/>
      <c r="DA2697" s="342"/>
      <c r="DB2697" s="342"/>
      <c r="DC2697" s="342"/>
      <c r="DD2697" s="342"/>
      <c r="DE2697" s="342"/>
      <c r="DF2697" s="342"/>
      <c r="DG2697" s="342"/>
      <c r="DH2697" s="342"/>
      <c r="DI2697" s="342"/>
      <c r="DJ2697" s="342"/>
      <c r="DK2697" s="342"/>
      <c r="DL2697" s="342"/>
    </row>
    <row r="2698">
      <c r="A2698" s="44">
        <v>3128.0</v>
      </c>
      <c r="B2698" s="1322" t="s">
        <v>114</v>
      </c>
      <c r="C2698" s="1588" t="s">
        <v>115</v>
      </c>
      <c r="D2698" s="1588" t="s">
        <v>153</v>
      </c>
      <c r="E2698" s="1572"/>
      <c r="F2698" s="2237" t="s">
        <v>15942</v>
      </c>
      <c r="G2698" s="1592" t="s">
        <v>15943</v>
      </c>
      <c r="H2698" s="1600" t="s">
        <v>15921</v>
      </c>
      <c r="I2698" s="2229">
        <v>45821.0</v>
      </c>
      <c r="J2698" s="2230">
        <v>45840.0</v>
      </c>
      <c r="K2698" s="1592" t="s">
        <v>15944</v>
      </c>
      <c r="L2698" s="1313"/>
      <c r="M2698" s="1592" t="s">
        <v>15945</v>
      </c>
      <c r="N2698" s="1592" t="s">
        <v>15946</v>
      </c>
      <c r="O2698" s="1313"/>
      <c r="P2698" s="1592" t="s">
        <v>15947</v>
      </c>
      <c r="Q2698" s="2231" t="str">
        <f t="array" ref="Q2698"> if(iserror(MATCH(V2698, 'File Links'!C:C, 0)), "N/A", HYPERLINK(INDEX('File Links'!B:B, MATCH(P2698, 'File Links'!C:C, 0))))</f>
        <v>https://drive.google.com/file/d/1EeW99WGRe7l9yyIocyrku0wXNCMoCNIE/view?usp=drivesdk</v>
      </c>
      <c r="R2698" s="1592" t="s">
        <v>15948</v>
      </c>
      <c r="S2698" s="1592" t="s">
        <v>15949</v>
      </c>
      <c r="T2698" s="1313"/>
      <c r="U2698" s="1313"/>
      <c r="V2698" s="1592" t="s">
        <v>15950</v>
      </c>
      <c r="W2698" s="1313"/>
      <c r="X2698" s="2233" t="str">
        <f t="array" ref="X2698"> if(iserror(MATCH(V2698, 'File Links'!C:C, 0)), "N/A", HYPERLINK(INDEX('File Links'!B:B, MATCH(V2698, 'File Links'!C:C, 0))))</f>
        <v>https://drive.google.com/file/d/1zQMuON3k0VJxo26pOuz9c7JIB74DnNZS/view?usp=drivesdk</v>
      </c>
      <c r="Y2698" s="1600" t="s">
        <v>15951</v>
      </c>
      <c r="Z2698" s="1592" t="s">
        <v>2795</v>
      </c>
      <c r="AA2698" s="1592" t="s">
        <v>15952</v>
      </c>
      <c r="AB2698" s="1592" t="s">
        <v>15953</v>
      </c>
      <c r="AC2698" s="1313"/>
      <c r="AD2698" s="1313"/>
      <c r="AE2698" s="1313"/>
      <c r="AF2698" s="1596">
        <v>106.0</v>
      </c>
      <c r="AG2698" s="1313"/>
      <c r="AH2698" s="1313"/>
      <c r="AI2698" s="1313"/>
      <c r="AJ2698" s="1313"/>
      <c r="AK2698" s="1313"/>
      <c r="AL2698" s="1313"/>
      <c r="AM2698" s="1313"/>
      <c r="AN2698" s="1592" t="s">
        <v>138</v>
      </c>
      <c r="AO2698" s="1596">
        <v>3764.0</v>
      </c>
      <c r="AP2698" s="1313"/>
      <c r="AQ2698" s="1313"/>
      <c r="AR2698" s="1313"/>
      <c r="AS2698" s="1313"/>
      <c r="AT2698" s="1313"/>
      <c r="AU2698" s="1313"/>
      <c r="AV2698" s="1313"/>
      <c r="AW2698" s="1592" t="s">
        <v>138</v>
      </c>
      <c r="AX2698" s="1313"/>
      <c r="AY2698" s="61" t="str">
        <f>IFERROR(__xludf.DUMMYFUNCTION("vlookup(BB2698,importrange(""https://docs.google.com/spreadsheets/d/1d2vevQ_7D_v35q4wCQ4RpQ_IPoTwEMB9Yp6ymwlPqew/edit?gid=984458430#gid=984458430"", ""'replication success'!A:K""), 11, FAlSE)"),"#N/A")</f>
        <v>#N/A</v>
      </c>
      <c r="AZ2698" s="61" t="str">
        <f>IFERROR(__xludf.DUMMYFUNCTION("vlookup(BB2698,importrange(""https://docs.google.com/spreadsheets/d/1d2vevQ_7D_v35q4wCQ4RpQ_IPoTwEMB9Yp6ymwlPqew/edit?gid=984458430#gid=984458430"", ""'replication success'!A:M""), 12, FAlSE)"),"#N/A")</f>
        <v>#N/A</v>
      </c>
      <c r="BA2698" s="61" t="str">
        <f>IFERROR(__xludf.DUMMYFUNCTION("vlookup(BB2698,importrange(""https://docs.google.com/spreadsheets/d/1d2vevQ_7D_v35q4wCQ4RpQ_IPoTwEMB9Yp6ymwlPqew/edit?gid=984458430#gid=984458430"", ""'replication success'!A:M""), 13, FAlSE)"),"#N/A")</f>
        <v>#N/A</v>
      </c>
      <c r="BB2698" s="61" t="str">
        <f>IFERROR(__xludf.DUMMYFUNCTION("REGEXREPLACE(G2698, ""_[a-z]{1,2}$"", """")"),"add_ai12")</f>
        <v>add_ai12</v>
      </c>
      <c r="BC2698" s="1572"/>
      <c r="BD2698" s="1588" t="s">
        <v>13264</v>
      </c>
      <c r="BE2698" s="342"/>
      <c r="BF2698" s="342"/>
      <c r="BG2698" s="342"/>
      <c r="BH2698" s="342"/>
      <c r="BI2698" s="342"/>
      <c r="BJ2698" s="342"/>
      <c r="BK2698" s="342"/>
      <c r="BL2698" s="342"/>
      <c r="BM2698" s="342"/>
      <c r="BN2698" s="342"/>
      <c r="BO2698" s="342"/>
      <c r="BP2698" s="342"/>
      <c r="BQ2698" s="342"/>
      <c r="BR2698" s="342"/>
      <c r="BS2698" s="342"/>
      <c r="BT2698" s="342"/>
      <c r="BU2698" s="342"/>
      <c r="BV2698" s="342"/>
      <c r="BW2698" s="342"/>
      <c r="BX2698" s="342"/>
      <c r="BY2698" s="342"/>
      <c r="BZ2698" s="342"/>
      <c r="CA2698" s="342"/>
      <c r="CB2698" s="342"/>
      <c r="CC2698" s="342"/>
      <c r="CD2698" s="342"/>
      <c r="CE2698" s="342"/>
      <c r="CF2698" s="342"/>
      <c r="CG2698" s="342"/>
      <c r="CH2698" s="342"/>
      <c r="CI2698" s="342"/>
      <c r="CJ2698" s="342"/>
      <c r="CK2698" s="342"/>
      <c r="CL2698" s="342"/>
      <c r="CM2698" s="342"/>
      <c r="CN2698" s="342"/>
      <c r="CO2698" s="342"/>
      <c r="CP2698" s="342"/>
      <c r="CQ2698" s="342"/>
      <c r="CR2698" s="342"/>
      <c r="CS2698" s="342"/>
      <c r="CT2698" s="342"/>
      <c r="CU2698" s="342"/>
      <c r="CV2698" s="342"/>
      <c r="CW2698" s="342"/>
      <c r="CX2698" s="342"/>
      <c r="CY2698" s="342"/>
      <c r="CZ2698" s="342"/>
      <c r="DA2698" s="342"/>
      <c r="DB2698" s="342"/>
      <c r="DC2698" s="342"/>
      <c r="DD2698" s="342"/>
      <c r="DE2698" s="342"/>
      <c r="DF2698" s="342"/>
      <c r="DG2698" s="342"/>
      <c r="DH2698" s="342"/>
      <c r="DI2698" s="342"/>
      <c r="DJ2698" s="342"/>
      <c r="DK2698" s="342"/>
      <c r="DL2698" s="342"/>
    </row>
    <row r="2699" ht="15.75" customHeight="1">
      <c r="A2699" s="44">
        <v>3106.0</v>
      </c>
      <c r="B2699" s="1322" t="s">
        <v>114</v>
      </c>
      <c r="C2699" s="1588" t="s">
        <v>115</v>
      </c>
      <c r="D2699" s="1588" t="s">
        <v>153</v>
      </c>
      <c r="E2699" s="1572"/>
      <c r="F2699" s="2237" t="s">
        <v>15954</v>
      </c>
      <c r="G2699" s="1592" t="s">
        <v>15955</v>
      </c>
      <c r="H2699" s="1600" t="s">
        <v>15921</v>
      </c>
      <c r="I2699" s="2229">
        <v>45821.0</v>
      </c>
      <c r="J2699" s="2230">
        <v>45840.0</v>
      </c>
      <c r="K2699" s="1592" t="s">
        <v>15956</v>
      </c>
      <c r="L2699" s="1313"/>
      <c r="M2699" s="1592" t="s">
        <v>15957</v>
      </c>
      <c r="N2699" s="1592" t="s">
        <v>15958</v>
      </c>
      <c r="O2699" s="1313"/>
      <c r="P2699" s="1592" t="s">
        <v>15959</v>
      </c>
      <c r="Q2699" s="2231" t="str">
        <f t="array" ref="Q2699"> if(iserror(MATCH(V2699, 'File Links'!C:C, 0)), "N/A", HYPERLINK(INDEX('File Links'!B:B, MATCH(P2699, 'File Links'!C:C, 0))))</f>
        <v>https://drive.google.com/file/d/1mopdcftXz_M_O--Fgwij9iA3MHwAEogr/view?usp=drivesdk</v>
      </c>
      <c r="R2699" s="1592" t="s">
        <v>15960</v>
      </c>
      <c r="S2699" s="1592" t="s">
        <v>15961</v>
      </c>
      <c r="T2699" s="1313"/>
      <c r="U2699" s="1313"/>
      <c r="V2699" s="1592" t="s">
        <v>15962</v>
      </c>
      <c r="W2699" s="1313"/>
      <c r="X2699" s="2233" t="str">
        <f t="array" ref="X2699"> if(iserror(MATCH(V2699, 'File Links'!C:C, 0)), "N/A", HYPERLINK(INDEX('File Links'!B:B, MATCH(V2699, 'File Links'!C:C, 0))))</f>
        <v>https://drive.google.com/file/d/1RdD1ka1AcuuAkIp42PaRdSSjjGkIdVnj/view?usp=drivesdk</v>
      </c>
      <c r="Y2699" s="1600" t="s">
        <v>15951</v>
      </c>
      <c r="Z2699" s="1592" t="s">
        <v>1600</v>
      </c>
      <c r="AA2699" s="1592" t="s">
        <v>15963</v>
      </c>
      <c r="AB2699" s="1313"/>
      <c r="AC2699" s="1313"/>
      <c r="AD2699" s="1313"/>
      <c r="AE2699" s="1313"/>
      <c r="AF2699" s="1596">
        <v>204.0</v>
      </c>
      <c r="AG2699" s="1313"/>
      <c r="AH2699" s="1313"/>
      <c r="AI2699" s="1313"/>
      <c r="AJ2699" s="1313"/>
      <c r="AK2699" s="1313"/>
      <c r="AL2699" s="1313"/>
      <c r="AM2699" s="1313"/>
      <c r="AN2699" s="1592" t="s">
        <v>138</v>
      </c>
      <c r="AO2699" s="1596">
        <v>361.0</v>
      </c>
      <c r="AP2699" s="1313"/>
      <c r="AQ2699" s="1313"/>
      <c r="AR2699" s="1313"/>
      <c r="AS2699" s="1313"/>
      <c r="AT2699" s="1313"/>
      <c r="AU2699" s="1313"/>
      <c r="AV2699" s="1313"/>
      <c r="AW2699" s="1592" t="s">
        <v>138</v>
      </c>
      <c r="AX2699" s="1592" t="s">
        <v>151</v>
      </c>
      <c r="AY2699" s="61" t="str">
        <f>IFERROR(__xludf.DUMMYFUNCTION("vlookup(BB2699,importrange(""https://docs.google.com/spreadsheets/d/1d2vevQ_7D_v35q4wCQ4RpQ_IPoTwEMB9Yp6ymwlPqew/edit?gid=984458430#gid=984458430"", ""'replication success'!A:K""), 11, FAlSE)"),"#N/A")</f>
        <v>#N/A</v>
      </c>
      <c r="AZ2699" s="61" t="str">
        <f>IFERROR(__xludf.DUMMYFUNCTION("vlookup(BB2699,importrange(""https://docs.google.com/spreadsheets/d/1d2vevQ_7D_v35q4wCQ4RpQ_IPoTwEMB9Yp6ymwlPqew/edit?gid=984458430#gid=984458430"", ""'replication success'!A:M""), 12, FAlSE)"),"#N/A")</f>
        <v>#N/A</v>
      </c>
      <c r="BA2699" s="61" t="str">
        <f>IFERROR(__xludf.DUMMYFUNCTION("vlookup(BB2699,importrange(""https://docs.google.com/spreadsheets/d/1d2vevQ_7D_v35q4wCQ4RpQ_IPoTwEMB9Yp6ymwlPqew/edit?gid=984458430#gid=984458430"", ""'replication success'!A:M""), 13, FAlSE)"),"#N/A")</f>
        <v>#N/A</v>
      </c>
      <c r="BB2699" s="61" t="str">
        <f>IFERROR(__xludf.DUMMYFUNCTION("REGEXREPLACE(G2699, ""_[a-z]{1,2}$"", """")"),"add_ai13")</f>
        <v>add_ai13</v>
      </c>
      <c r="BC2699" s="1572"/>
      <c r="BD2699" s="1588" t="s">
        <v>13264</v>
      </c>
      <c r="BE2699" s="342"/>
      <c r="BF2699" s="342"/>
      <c r="BG2699" s="342"/>
      <c r="BH2699" s="342"/>
      <c r="BI2699" s="342"/>
      <c r="BJ2699" s="342"/>
      <c r="BK2699" s="342"/>
      <c r="BL2699" s="342"/>
      <c r="BM2699" s="342"/>
      <c r="BN2699" s="342"/>
      <c r="BO2699" s="342"/>
      <c r="BP2699" s="342"/>
      <c r="BQ2699" s="342"/>
      <c r="BR2699" s="342"/>
      <c r="BS2699" s="342"/>
      <c r="BT2699" s="342"/>
      <c r="BU2699" s="342"/>
      <c r="BV2699" s="342"/>
      <c r="BW2699" s="342"/>
      <c r="BX2699" s="342"/>
      <c r="BY2699" s="342"/>
      <c r="BZ2699" s="342"/>
      <c r="CA2699" s="342"/>
      <c r="CB2699" s="342"/>
      <c r="CC2699" s="342"/>
      <c r="CD2699" s="342"/>
      <c r="CE2699" s="342"/>
      <c r="CF2699" s="342"/>
      <c r="CG2699" s="342"/>
      <c r="CH2699" s="342"/>
      <c r="CI2699" s="342"/>
      <c r="CJ2699" s="342"/>
      <c r="CK2699" s="342"/>
      <c r="CL2699" s="342"/>
      <c r="CM2699" s="342"/>
      <c r="CN2699" s="342"/>
      <c r="CO2699" s="342"/>
      <c r="CP2699" s="342"/>
      <c r="CQ2699" s="342"/>
      <c r="CR2699" s="342"/>
      <c r="CS2699" s="342"/>
      <c r="CT2699" s="342"/>
      <c r="CU2699" s="342"/>
      <c r="CV2699" s="342"/>
      <c r="CW2699" s="342"/>
      <c r="CX2699" s="342"/>
      <c r="CY2699" s="342"/>
      <c r="CZ2699" s="342"/>
      <c r="DA2699" s="342"/>
      <c r="DB2699" s="342"/>
      <c r="DC2699" s="342"/>
      <c r="DD2699" s="342"/>
      <c r="DE2699" s="342"/>
      <c r="DF2699" s="342"/>
      <c r="DG2699" s="342"/>
      <c r="DH2699" s="342"/>
      <c r="DI2699" s="342"/>
      <c r="DJ2699" s="342"/>
      <c r="DK2699" s="342"/>
      <c r="DL2699" s="342"/>
    </row>
    <row r="2700" ht="23.25" customHeight="1">
      <c r="A2700" s="44">
        <v>3149.0</v>
      </c>
      <c r="B2700" s="1322" t="s">
        <v>114</v>
      </c>
      <c r="C2700" s="1588" t="s">
        <v>115</v>
      </c>
      <c r="D2700" s="1588" t="s">
        <v>1458</v>
      </c>
      <c r="E2700" s="1572"/>
      <c r="F2700" s="1315" t="s">
        <v>15964</v>
      </c>
      <c r="G2700" s="1315" t="s">
        <v>15965</v>
      </c>
      <c r="H2700" s="2235" t="s">
        <v>1518</v>
      </c>
      <c r="I2700" s="2236"/>
      <c r="J2700" s="2238">
        <v>45844.0</v>
      </c>
      <c r="K2700" s="1315" t="s">
        <v>15966</v>
      </c>
      <c r="L2700" s="1313"/>
      <c r="M2700" s="1315" t="s">
        <v>15967</v>
      </c>
      <c r="N2700" s="1315" t="s">
        <v>15968</v>
      </c>
      <c r="O2700" s="1318">
        <v>1.0</v>
      </c>
      <c r="P2700" s="1315" t="s">
        <v>15969</v>
      </c>
      <c r="Q2700" s="2231" t="str">
        <f t="array" ref="Q2700"> if(iserror(MATCH(V2700, 'File Links'!C:C, 0)), "N/A", HYPERLINK(INDEX('File Links'!B:B, MATCH(P2700, 'File Links'!C:C, 0))))</f>
        <v>https://drive.google.com/file/d/17ZEzUuXHixyudMb6cJV15e7wnM4cCqCh/view?usp=drivesdk</v>
      </c>
      <c r="R2700" s="1315" t="s">
        <v>15970</v>
      </c>
      <c r="S2700" s="1315" t="s">
        <v>15971</v>
      </c>
      <c r="T2700" s="1315" t="s">
        <v>138</v>
      </c>
      <c r="U2700" s="1318">
        <v>1.0</v>
      </c>
      <c r="V2700" s="1315" t="s">
        <v>15972</v>
      </c>
      <c r="W2700" s="1313"/>
      <c r="X2700" s="2233" t="str">
        <f t="array" ref="X2700"> if(iserror(MATCH(V2700, 'File Links'!C:C, 0)), "N/A", HYPERLINK(INDEX('File Links'!B:B, MATCH(V2700, 'File Links'!C:C, 0))))</f>
        <v>https://drive.google.com/file/d/1lsnR2vyytLKoStGhel4Zy_F4FB1RdvbN/view?usp=drivesdk</v>
      </c>
      <c r="Y2700" s="1313"/>
      <c r="Z2700" s="1315" t="s">
        <v>503</v>
      </c>
      <c r="AA2700" s="1315" t="s">
        <v>15973</v>
      </c>
      <c r="AB2700" s="1315" t="s">
        <v>15974</v>
      </c>
      <c r="AC2700" s="1315" t="s">
        <v>15975</v>
      </c>
      <c r="AD2700" s="1315" t="s">
        <v>15976</v>
      </c>
      <c r="AE2700" s="1318">
        <v>6.0</v>
      </c>
      <c r="AF2700" s="1318">
        <v>32.0</v>
      </c>
      <c r="AG2700" s="1315" t="s">
        <v>15977</v>
      </c>
      <c r="AH2700" s="1315" t="s">
        <v>134</v>
      </c>
      <c r="AI2700" s="1315" t="s">
        <v>1042</v>
      </c>
      <c r="AJ2700" s="1318">
        <v>0.99</v>
      </c>
      <c r="AK2700" s="1315" t="s">
        <v>172</v>
      </c>
      <c r="AL2700" s="1315" t="s">
        <v>218</v>
      </c>
      <c r="AM2700" s="1315" t="s">
        <v>141</v>
      </c>
      <c r="AN2700" s="2239" t="s">
        <v>15978</v>
      </c>
      <c r="AO2700" s="2240">
        <v>41.0</v>
      </c>
      <c r="AP2700" s="2241" t="s">
        <v>15979</v>
      </c>
      <c r="AQ2700" s="1315" t="s">
        <v>134</v>
      </c>
      <c r="AR2700" s="1315" t="s">
        <v>1174</v>
      </c>
      <c r="AS2700" s="1318">
        <v>0.0852</v>
      </c>
      <c r="AT2700" s="1315" t="s">
        <v>172</v>
      </c>
      <c r="AU2700" s="1315" t="s">
        <v>218</v>
      </c>
      <c r="AV2700" s="1315" t="s">
        <v>141</v>
      </c>
      <c r="AW2700" s="2239" t="s">
        <v>15980</v>
      </c>
      <c r="AX2700" s="1355" t="s">
        <v>151</v>
      </c>
      <c r="AY2700" s="61" t="str">
        <f>IFERROR(__xludf.DUMMYFUNCTION("vlookup(BB2700,importrange(""https://docs.google.com/spreadsheets/d/1d2vevQ_7D_v35q4wCQ4RpQ_IPoTwEMB9Yp6ymwlPqew/edit?gid=984458430#gid=984458430"", ""'replication success'!A:K""), 11, FAlSE)"),"#N/A")</f>
        <v>#N/A</v>
      </c>
      <c r="AZ2700" s="61" t="str">
        <f>IFERROR(__xludf.DUMMYFUNCTION("vlookup(BB2700,importrange(""https://docs.google.com/spreadsheets/d/1d2vevQ_7D_v35q4wCQ4RpQ_IPoTwEMB9Yp6ymwlPqew/edit?gid=984458430#gid=984458430"", ""'replication success'!A:M""), 12, FAlSE)"),"#N/A")</f>
        <v>#N/A</v>
      </c>
      <c r="BA2700" s="61" t="str">
        <f>IFERROR(__xludf.DUMMYFUNCTION("vlookup(BB2700,importrange(""https://docs.google.com/spreadsheets/d/1d2vevQ_7D_v35q4wCQ4RpQ_IPoTwEMB9Yp6ymwlPqew/edit?gid=984458430#gid=984458430"", ""'replication success'!A:M""), 13, FAlSE)"),"#N/A")</f>
        <v>#N/A</v>
      </c>
      <c r="BB2700" s="61" t="str">
        <f>IFERROR(__xludf.DUMMYFUNCTION("REGEXREPLACE(G2700, ""_[a-z]{1,2}$"", """")"),"add_ai20")</f>
        <v>add_ai20</v>
      </c>
      <c r="BC2700" s="1572"/>
      <c r="BD2700" s="1588" t="s">
        <v>13264</v>
      </c>
      <c r="BE2700" s="342"/>
      <c r="BF2700" s="342"/>
      <c r="BG2700" s="342"/>
      <c r="BH2700" s="342"/>
      <c r="BI2700" s="342"/>
      <c r="BJ2700" s="342"/>
      <c r="BK2700" s="342"/>
      <c r="BL2700" s="342"/>
      <c r="BM2700" s="342"/>
      <c r="BN2700" s="342"/>
      <c r="BO2700" s="342"/>
      <c r="BP2700" s="342"/>
      <c r="BQ2700" s="342"/>
      <c r="BR2700" s="342"/>
      <c r="BS2700" s="342"/>
      <c r="BT2700" s="342"/>
      <c r="BU2700" s="342"/>
      <c r="BV2700" s="342"/>
      <c r="BW2700" s="342"/>
      <c r="BX2700" s="342"/>
      <c r="BY2700" s="342"/>
      <c r="BZ2700" s="342"/>
      <c r="CA2700" s="342"/>
      <c r="CB2700" s="342"/>
      <c r="CC2700" s="342"/>
      <c r="CD2700" s="342"/>
      <c r="CE2700" s="342"/>
      <c r="CF2700" s="342"/>
      <c r="CG2700" s="342"/>
      <c r="CH2700" s="342"/>
      <c r="CI2700" s="342"/>
      <c r="CJ2700" s="342"/>
      <c r="CK2700" s="342"/>
      <c r="CL2700" s="342"/>
      <c r="CM2700" s="342"/>
      <c r="CN2700" s="342"/>
      <c r="CO2700" s="342"/>
      <c r="CP2700" s="342"/>
      <c r="CQ2700" s="342"/>
      <c r="CR2700" s="342"/>
      <c r="CS2700" s="342"/>
      <c r="CT2700" s="342"/>
      <c r="CU2700" s="342"/>
      <c r="CV2700" s="342"/>
      <c r="CW2700" s="342"/>
      <c r="CX2700" s="342"/>
      <c r="CY2700" s="342"/>
      <c r="CZ2700" s="342"/>
      <c r="DA2700" s="342"/>
      <c r="DB2700" s="342"/>
      <c r="DC2700" s="342"/>
      <c r="DD2700" s="342"/>
      <c r="DE2700" s="342"/>
      <c r="DF2700" s="342"/>
      <c r="DG2700" s="342"/>
      <c r="DH2700" s="342"/>
      <c r="DI2700" s="342"/>
      <c r="DJ2700" s="342"/>
      <c r="DK2700" s="342"/>
      <c r="DL2700" s="342"/>
    </row>
    <row r="2701">
      <c r="A2701" s="44">
        <v>3152.0</v>
      </c>
      <c r="B2701" s="1322" t="s">
        <v>114</v>
      </c>
      <c r="C2701" s="1588" t="s">
        <v>115</v>
      </c>
      <c r="D2701" s="1588" t="s">
        <v>1458</v>
      </c>
      <c r="E2701" s="1572"/>
      <c r="F2701" s="1313" t="s">
        <v>15981</v>
      </c>
      <c r="G2701" s="1315" t="s">
        <v>15982</v>
      </c>
      <c r="H2701" s="2235" t="s">
        <v>1518</v>
      </c>
      <c r="I2701" s="2236"/>
      <c r="J2701" s="2238">
        <v>45844.0</v>
      </c>
      <c r="K2701" s="1315" t="s">
        <v>15983</v>
      </c>
      <c r="L2701" s="1313"/>
      <c r="M2701" s="1315" t="s">
        <v>15984</v>
      </c>
      <c r="N2701" s="1315" t="s">
        <v>15985</v>
      </c>
      <c r="O2701" s="1313"/>
      <c r="P2701" s="1315" t="s">
        <v>15986</v>
      </c>
      <c r="Q2701" s="2231" t="str">
        <f t="array" ref="Q2701"> if(iserror(MATCH(V2701, 'File Links'!C:C, 0)), "N/A", HYPERLINK(INDEX('File Links'!B:B, MATCH(P2701, 'File Links'!C:C, 0))))</f>
        <v>https://drive.google.com/file/d/11weNHLGnxj4KDY_B4C5ruXp3HlO5mWfo/view?usp=drivesdk</v>
      </c>
      <c r="R2701" s="1315" t="s">
        <v>15987</v>
      </c>
      <c r="S2701" s="1315" t="s">
        <v>15988</v>
      </c>
      <c r="T2701" s="1315" t="s">
        <v>138</v>
      </c>
      <c r="U2701" s="1313"/>
      <c r="V2701" s="1315" t="s">
        <v>15989</v>
      </c>
      <c r="W2701" s="1313"/>
      <c r="X2701" s="2233" t="str">
        <f t="array" ref="X2701"> if(iserror(MATCH(V2701, 'File Links'!C:C, 0)), "N/A", HYPERLINK(INDEX('File Links'!B:B, MATCH(V2701, 'File Links'!C:C, 0))))</f>
        <v>https://drive.google.com/file/d/1_iZrTUyZXaycbPsVfM-74FyaJ3MB4oLV/view?usp=drivesdk</v>
      </c>
      <c r="Y2701" s="1315" t="s">
        <v>15990</v>
      </c>
      <c r="Z2701" s="1313"/>
      <c r="AA2701" s="1313"/>
      <c r="AB2701" s="1313"/>
      <c r="AC2701" s="1313"/>
      <c r="AD2701" s="1313"/>
      <c r="AE2701" s="1313"/>
      <c r="AF2701" s="1313"/>
      <c r="AG2701" s="1313"/>
      <c r="AH2701" s="1313"/>
      <c r="AI2701" s="1313"/>
      <c r="AJ2701" s="1313"/>
      <c r="AK2701" s="1313"/>
      <c r="AL2701" s="1313"/>
      <c r="AM2701" s="1313"/>
      <c r="AN2701" s="1313"/>
      <c r="AO2701" s="1313"/>
      <c r="AP2701" s="2234"/>
      <c r="AQ2701" s="1313"/>
      <c r="AR2701" s="1313"/>
      <c r="AS2701" s="1313"/>
      <c r="AT2701" s="1313"/>
      <c r="AU2701" s="1313"/>
      <c r="AV2701" s="1313"/>
      <c r="AW2701" s="1313"/>
      <c r="AX2701" s="1313"/>
      <c r="AY2701" s="61" t="str">
        <f>IFERROR(__xludf.DUMMYFUNCTION("vlookup(BB2701,importrange(""https://docs.google.com/spreadsheets/d/1d2vevQ_7D_v35q4wCQ4RpQ_IPoTwEMB9Yp6ymwlPqew/edit?gid=984458430#gid=984458430"", ""'replication success'!A:K""), 11, FAlSE)"),"#N/A")</f>
        <v>#N/A</v>
      </c>
      <c r="AZ2701" s="61" t="str">
        <f>IFERROR(__xludf.DUMMYFUNCTION("vlookup(BB2701,importrange(""https://docs.google.com/spreadsheets/d/1d2vevQ_7D_v35q4wCQ4RpQ_IPoTwEMB9Yp6ymwlPqew/edit?gid=984458430#gid=984458430"", ""'replication success'!A:M""), 12, FAlSE)"),"#N/A")</f>
        <v>#N/A</v>
      </c>
      <c r="BA2701" s="61" t="str">
        <f>IFERROR(__xludf.DUMMYFUNCTION("vlookup(BB2701,importrange(""https://docs.google.com/spreadsheets/d/1d2vevQ_7D_v35q4wCQ4RpQ_IPoTwEMB9Yp6ymwlPqew/edit?gid=984458430#gid=984458430"", ""'replication success'!A:M""), 13, FAlSE)"),"#N/A")</f>
        <v>#N/A</v>
      </c>
      <c r="BB2701" s="61" t="str">
        <f>IFERROR(__xludf.DUMMYFUNCTION("REGEXREPLACE(G2701, ""_[a-z]{1,2}$"", """")"),"add_ai27")</f>
        <v>add_ai27</v>
      </c>
      <c r="BC2701" s="1572"/>
      <c r="BD2701" s="1588" t="s">
        <v>13264</v>
      </c>
      <c r="BE2701" s="342"/>
      <c r="BF2701" s="342"/>
      <c r="BG2701" s="342"/>
      <c r="BH2701" s="342"/>
      <c r="BI2701" s="342"/>
      <c r="BJ2701" s="342"/>
      <c r="BK2701" s="342"/>
      <c r="BL2701" s="342"/>
      <c r="BM2701" s="342"/>
      <c r="BN2701" s="342"/>
      <c r="BO2701" s="342"/>
      <c r="BP2701" s="342"/>
      <c r="BQ2701" s="342"/>
      <c r="BR2701" s="342"/>
      <c r="BS2701" s="342"/>
      <c r="BT2701" s="342"/>
      <c r="BU2701" s="342"/>
      <c r="BV2701" s="342"/>
      <c r="BW2701" s="342"/>
      <c r="BX2701" s="342"/>
      <c r="BY2701" s="342"/>
      <c r="BZ2701" s="342"/>
      <c r="CA2701" s="342"/>
      <c r="CB2701" s="342"/>
      <c r="CC2701" s="342"/>
      <c r="CD2701" s="342"/>
      <c r="CE2701" s="342"/>
      <c r="CF2701" s="342"/>
      <c r="CG2701" s="342"/>
      <c r="CH2701" s="342"/>
      <c r="CI2701" s="342"/>
      <c r="CJ2701" s="342"/>
      <c r="CK2701" s="342"/>
      <c r="CL2701" s="342"/>
      <c r="CM2701" s="342"/>
      <c r="CN2701" s="342"/>
      <c r="CO2701" s="342"/>
      <c r="CP2701" s="342"/>
      <c r="CQ2701" s="342"/>
      <c r="CR2701" s="342"/>
      <c r="CS2701" s="342"/>
      <c r="CT2701" s="342"/>
      <c r="CU2701" s="342"/>
      <c r="CV2701" s="342"/>
      <c r="CW2701" s="342"/>
      <c r="CX2701" s="342"/>
      <c r="CY2701" s="342"/>
      <c r="CZ2701" s="342"/>
      <c r="DA2701" s="342"/>
      <c r="DB2701" s="342"/>
      <c r="DC2701" s="342"/>
      <c r="DD2701" s="342"/>
      <c r="DE2701" s="342"/>
      <c r="DF2701" s="342"/>
      <c r="DG2701" s="342"/>
      <c r="DH2701" s="342"/>
      <c r="DI2701" s="342"/>
      <c r="DJ2701" s="342"/>
      <c r="DK2701" s="342"/>
      <c r="DL2701" s="342"/>
    </row>
    <row r="2702" ht="24.75" customHeight="1">
      <c r="A2702" s="44">
        <v>3185.0</v>
      </c>
      <c r="B2702" s="1322" t="s">
        <v>114</v>
      </c>
      <c r="C2702" s="1588" t="s">
        <v>115</v>
      </c>
      <c r="D2702" s="1588" t="s">
        <v>15991</v>
      </c>
      <c r="E2702" s="1572"/>
      <c r="F2702" s="1315" t="s">
        <v>15992</v>
      </c>
      <c r="G2702" s="1315" t="s">
        <v>15993</v>
      </c>
      <c r="H2702" s="2235" t="s">
        <v>15994</v>
      </c>
      <c r="I2702" s="2242">
        <v>45813.0</v>
      </c>
      <c r="J2702" s="2238">
        <v>45844.0</v>
      </c>
      <c r="K2702" s="1313"/>
      <c r="L2702" s="1313"/>
      <c r="M2702" s="2243" t="s">
        <v>15995</v>
      </c>
      <c r="N2702" s="2243" t="s">
        <v>15996</v>
      </c>
      <c r="O2702" s="1313"/>
      <c r="P2702" s="2243" t="s">
        <v>15997</v>
      </c>
      <c r="Q2702" s="2231" t="str">
        <f t="array" ref="Q2702"> if(iserror(MATCH(V2702, 'File Links'!C:C, 0)), "N/A", HYPERLINK(INDEX('File Links'!B:B, MATCH(P2702, 'File Links'!C:C, 0))))</f>
        <v>https://drive.google.com/file/d/1zTMlOFWNTfGXuxYg38c1Rclwf7vMtQVs/view?usp=drivesdk</v>
      </c>
      <c r="R2702" s="2244" t="s">
        <v>15998</v>
      </c>
      <c r="S2702" s="1355" t="s">
        <v>15999</v>
      </c>
      <c r="T2702" s="1313"/>
      <c r="U2702" s="1313"/>
      <c r="V2702" s="1315" t="s">
        <v>16000</v>
      </c>
      <c r="W2702" s="1313"/>
      <c r="X2702" s="2233" t="str">
        <f t="array" ref="X2702"> if(iserror(MATCH(V2702, 'File Links'!C:C, 0)), "N/A", HYPERLINK(INDEX('File Links'!B:B, MATCH(V2702, 'File Links'!C:C, 0))))</f>
        <v>https://drive.google.com/file/d/1zlIibgTl_xuo-gJvDI1iuFuL7MwgpJud/view?usp=drivesdk</v>
      </c>
      <c r="Y2702" s="1313"/>
      <c r="Z2702" s="1315" t="s">
        <v>1600</v>
      </c>
      <c r="AA2702" s="1313" t="s">
        <v>16001</v>
      </c>
      <c r="AB2702" s="1313" t="s">
        <v>16002</v>
      </c>
      <c r="AC2702" s="1313" t="s">
        <v>16003</v>
      </c>
      <c r="AD2702" s="1313" t="s">
        <v>16004</v>
      </c>
      <c r="AE2702" s="1313" t="s">
        <v>16005</v>
      </c>
      <c r="AF2702" s="1341">
        <v>3.0</v>
      </c>
      <c r="AG2702" s="1341">
        <v>0.125</v>
      </c>
      <c r="AH2702" s="1313" t="s">
        <v>722</v>
      </c>
      <c r="AI2702" s="2245" t="s">
        <v>16006</v>
      </c>
      <c r="AJ2702" s="1341">
        <v>0.01</v>
      </c>
      <c r="AK2702" s="1313" t="s">
        <v>135</v>
      </c>
      <c r="AL2702" s="1315" t="s">
        <v>186</v>
      </c>
      <c r="AM2702" s="1315" t="s">
        <v>137</v>
      </c>
      <c r="AN2702" s="1315" t="s">
        <v>138</v>
      </c>
      <c r="AO2702" s="1341">
        <v>3.0</v>
      </c>
      <c r="AP2702" s="1341">
        <v>0.363</v>
      </c>
      <c r="AQ2702" s="1313" t="s">
        <v>722</v>
      </c>
      <c r="AR2702" s="2245" t="s">
        <v>16007</v>
      </c>
      <c r="AS2702" s="1313" t="s">
        <v>138</v>
      </c>
      <c r="AT2702" s="1313"/>
      <c r="AU2702" s="1313" t="s">
        <v>186</v>
      </c>
      <c r="AV2702" s="1313" t="s">
        <v>137</v>
      </c>
      <c r="AW2702" s="1313" t="s">
        <v>138</v>
      </c>
      <c r="AX2702" s="1313" t="s">
        <v>143</v>
      </c>
      <c r="AY2702" s="61" t="str">
        <f>IFERROR(__xludf.DUMMYFUNCTION("vlookup(BB2702,importrange(""https://docs.google.com/spreadsheets/d/1d2vevQ_7D_v35q4wCQ4RpQ_IPoTwEMB9Yp6ymwlPqew/edit?gid=984458430#gid=984458430"", ""'replication success'!A:K""), 11, FAlSE)"),"#N/A")</f>
        <v>#N/A</v>
      </c>
      <c r="AZ2702" s="61" t="str">
        <f>IFERROR(__xludf.DUMMYFUNCTION("vlookup(BB2702,importrange(""https://docs.google.com/spreadsheets/d/1d2vevQ_7D_v35q4wCQ4RpQ_IPoTwEMB9Yp6ymwlPqew/edit?gid=984458430#gid=984458430"", ""'replication success'!A:M""), 12, FAlSE)"),"#N/A")</f>
        <v>#N/A</v>
      </c>
      <c r="BA2702" s="61" t="str">
        <f>IFERROR(__xludf.DUMMYFUNCTION("vlookup(BB2702,importrange(""https://docs.google.com/spreadsheets/d/1d2vevQ_7D_v35q4wCQ4RpQ_IPoTwEMB9Yp6ymwlPqew/edit?gid=984458430#gid=984458430"", ""'replication success'!A:M""), 13, FAlSE)"),"#N/A")</f>
        <v>#N/A</v>
      </c>
      <c r="BB2702" s="61" t="str">
        <f>IFERROR(__xludf.DUMMYFUNCTION("REGEXREPLACE(G2702, ""_[a-z]{1,2}$"", """")"),"add_ai3")</f>
        <v>add_ai3</v>
      </c>
      <c r="BC2702" s="1572"/>
      <c r="BD2702" s="1588" t="s">
        <v>13264</v>
      </c>
      <c r="BE2702" s="342"/>
      <c r="BF2702" s="342"/>
      <c r="BG2702" s="342"/>
      <c r="BH2702" s="342"/>
      <c r="BI2702" s="342"/>
      <c r="BJ2702" s="342"/>
      <c r="BK2702" s="342"/>
      <c r="BL2702" s="342"/>
      <c r="BM2702" s="342"/>
      <c r="BN2702" s="342"/>
      <c r="BO2702" s="342"/>
      <c r="BP2702" s="342"/>
      <c r="BQ2702" s="342"/>
      <c r="BR2702" s="342"/>
      <c r="BS2702" s="342"/>
      <c r="BT2702" s="342"/>
      <c r="BU2702" s="342"/>
      <c r="BV2702" s="342"/>
      <c r="BW2702" s="342"/>
      <c r="BX2702" s="342"/>
      <c r="BY2702" s="342"/>
      <c r="BZ2702" s="342"/>
      <c r="CA2702" s="342"/>
      <c r="CB2702" s="342"/>
      <c r="CC2702" s="342"/>
      <c r="CD2702" s="342"/>
      <c r="CE2702" s="342"/>
      <c r="CF2702" s="342"/>
      <c r="CG2702" s="342"/>
      <c r="CH2702" s="342"/>
      <c r="CI2702" s="342"/>
      <c r="CJ2702" s="342"/>
      <c r="CK2702" s="342"/>
      <c r="CL2702" s="342"/>
      <c r="CM2702" s="342"/>
      <c r="CN2702" s="342"/>
      <c r="CO2702" s="342"/>
      <c r="CP2702" s="342"/>
      <c r="CQ2702" s="342"/>
      <c r="CR2702" s="342"/>
      <c r="CS2702" s="342"/>
      <c r="CT2702" s="342"/>
      <c r="CU2702" s="342"/>
      <c r="CV2702" s="342"/>
      <c r="CW2702" s="342"/>
      <c r="CX2702" s="342"/>
      <c r="CY2702" s="342"/>
      <c r="CZ2702" s="342"/>
      <c r="DA2702" s="342"/>
      <c r="DB2702" s="342"/>
      <c r="DC2702" s="342"/>
      <c r="DD2702" s="342"/>
      <c r="DE2702" s="342"/>
      <c r="DF2702" s="342"/>
      <c r="DG2702" s="342"/>
      <c r="DH2702" s="342"/>
      <c r="DI2702" s="342"/>
      <c r="DJ2702" s="342"/>
      <c r="DK2702" s="342"/>
      <c r="DL2702" s="342"/>
    </row>
    <row r="2703" ht="26.25" customHeight="1">
      <c r="A2703" s="44">
        <v>3119.0</v>
      </c>
      <c r="B2703" s="129" t="s">
        <v>114</v>
      </c>
      <c r="C2703" s="62" t="s">
        <v>115</v>
      </c>
      <c r="D2703" s="62" t="s">
        <v>153</v>
      </c>
      <c r="F2703" s="2246" t="s">
        <v>15992</v>
      </c>
      <c r="G2703" s="2247" t="s">
        <v>16008</v>
      </c>
      <c r="H2703" s="2246" t="s">
        <v>15921</v>
      </c>
      <c r="I2703" s="2248">
        <v>45821.0</v>
      </c>
      <c r="J2703" s="862"/>
      <c r="K2703" s="2247" t="s">
        <v>16009</v>
      </c>
      <c r="L2703" s="68"/>
      <c r="M2703" s="2247" t="s">
        <v>15995</v>
      </c>
      <c r="N2703" s="2247" t="s">
        <v>15996</v>
      </c>
      <c r="O2703" s="68"/>
      <c r="P2703" s="2249" t="s">
        <v>15997</v>
      </c>
      <c r="Q2703" s="2250" t="str">
        <f t="array" ref="Q2703"> if(iserror(MATCH(V2703, 'File Links'!C:C, 0)), "N/A", HYPERLINK(INDEX('File Links'!B:B, MATCH(P2703, 'File Links'!C:C, 0))))</f>
        <v>https://drive.google.com/file/d/1zTMlOFWNTfGXuxYg38c1Rclwf7vMtQVs/view?usp=drivesdk</v>
      </c>
      <c r="R2703" s="2251" t="s">
        <v>16010</v>
      </c>
      <c r="S2703" s="2247" t="s">
        <v>15999</v>
      </c>
      <c r="T2703" s="68"/>
      <c r="U2703" s="68"/>
      <c r="V2703" s="2252" t="s">
        <v>16000</v>
      </c>
      <c r="W2703" s="1228"/>
      <c r="X2703" s="54" t="str">
        <f t="array" ref="X2703"> if(iserror(MATCH(V2703, 'File Links'!C:C, 0)), "N/A", HYPERLINK(INDEX('File Links'!B:B, MATCH(V2703, 'File Links'!C:C, 0))))</f>
        <v>https://drive.google.com/file/d/1zlIibgTl_xuo-gJvDI1iuFuL7MwgpJud/view?usp=drivesdk</v>
      </c>
      <c r="Y2703" s="2246" t="s">
        <v>16011</v>
      </c>
      <c r="Z2703" s="2247" t="s">
        <v>295</v>
      </c>
      <c r="AA2703" s="2247" t="s">
        <v>16001</v>
      </c>
      <c r="AB2703" s="2247" t="s">
        <v>16012</v>
      </c>
      <c r="AC2703" s="2247" t="s">
        <v>16013</v>
      </c>
      <c r="AD2703" s="2246" t="s">
        <v>16014</v>
      </c>
      <c r="AE2703" s="2253">
        <v>24.0</v>
      </c>
      <c r="AF2703" s="2253">
        <v>5.0</v>
      </c>
      <c r="AG2703" s="68"/>
      <c r="AH2703" s="68"/>
      <c r="AI2703" s="68"/>
      <c r="AJ2703" s="68"/>
      <c r="AK2703" s="68"/>
      <c r="AL2703" s="2247" t="s">
        <v>186</v>
      </c>
      <c r="AM2703" s="2247" t="s">
        <v>137</v>
      </c>
      <c r="AN2703" s="2247" t="s">
        <v>138</v>
      </c>
      <c r="AO2703" s="2253">
        <v>3.0</v>
      </c>
      <c r="AP2703" s="2254">
        <f>(0.57/(1-0.57))/(0.74/(1-0.74))</f>
        <v>0.4657448146</v>
      </c>
      <c r="AQ2703" s="2247" t="s">
        <v>722</v>
      </c>
      <c r="AR2703" s="2247" t="s">
        <v>132</v>
      </c>
      <c r="AS2703" s="68"/>
      <c r="AT2703" s="68"/>
      <c r="AU2703" s="2247" t="s">
        <v>186</v>
      </c>
      <c r="AV2703" s="2247" t="s">
        <v>137</v>
      </c>
      <c r="AW2703" s="2247" t="s">
        <v>138</v>
      </c>
      <c r="AX2703" s="2247" t="s">
        <v>143</v>
      </c>
      <c r="AY2703" s="61" t="str">
        <f>IFERROR(__xludf.DUMMYFUNCTION("vlookup(BB2703,importrange(""https://docs.google.com/spreadsheets/d/1d2vevQ_7D_v35q4wCQ4RpQ_IPoTwEMB9Yp6ymwlPqew/edit?gid=984458430#gid=984458430"", ""'replication success'!A:K""), 11, FAlSE)"),"#N/A")</f>
        <v>#N/A</v>
      </c>
      <c r="AZ2703" s="61" t="str">
        <f>IFERROR(__xludf.DUMMYFUNCTION("vlookup(BB2703,importrange(""https://docs.google.com/spreadsheets/d/1d2vevQ_7D_v35q4wCQ4RpQ_IPoTwEMB9Yp6ymwlPqew/edit?gid=984458430#gid=984458430"", ""'replication success'!A:M""), 12, FAlSE)"),"#N/A")</f>
        <v>#N/A</v>
      </c>
      <c r="BA2703" s="61" t="str">
        <f>IFERROR(__xludf.DUMMYFUNCTION("vlookup(BB2703,importrange(""https://docs.google.com/spreadsheets/d/1d2vevQ_7D_v35q4wCQ4RpQ_IPoTwEMB9Yp6ymwlPqew/edit?gid=984458430#gid=984458430"", ""'replication success'!A:M""), 13, FAlSE)"),"#N/A")</f>
        <v>#N/A</v>
      </c>
      <c r="BB2703" s="61" t="str">
        <f>IFERROR(__xludf.DUMMYFUNCTION("REGEXREPLACE(G2703, ""_[a-z]{1,2}$"", """")"),"add_ai3")</f>
        <v>add_ai3</v>
      </c>
      <c r="BD2703" s="199" t="s">
        <v>3763</v>
      </c>
      <c r="BE2703" s="342"/>
      <c r="BF2703" s="342"/>
      <c r="BG2703" s="342"/>
      <c r="BH2703" s="342"/>
      <c r="BI2703" s="342"/>
      <c r="BJ2703" s="342"/>
      <c r="BK2703" s="342"/>
      <c r="BL2703" s="342"/>
      <c r="BM2703" s="342"/>
      <c r="BN2703" s="342"/>
      <c r="BO2703" s="342"/>
      <c r="BP2703" s="342"/>
      <c r="BQ2703" s="342"/>
      <c r="BR2703" s="342"/>
      <c r="BS2703" s="342"/>
      <c r="BT2703" s="342"/>
      <c r="BU2703" s="342"/>
      <c r="BV2703" s="342"/>
      <c r="BW2703" s="342"/>
      <c r="BX2703" s="342"/>
      <c r="BY2703" s="342"/>
      <c r="BZ2703" s="342"/>
      <c r="CA2703" s="342"/>
      <c r="CB2703" s="342"/>
      <c r="CC2703" s="342"/>
      <c r="CD2703" s="342"/>
      <c r="CE2703" s="342"/>
      <c r="CF2703" s="342"/>
      <c r="CG2703" s="342"/>
      <c r="CH2703" s="342"/>
      <c r="CI2703" s="342"/>
      <c r="CJ2703" s="342"/>
      <c r="CK2703" s="342"/>
      <c r="CL2703" s="342"/>
      <c r="CM2703" s="342"/>
      <c r="CN2703" s="342"/>
      <c r="CO2703" s="342"/>
      <c r="CP2703" s="342"/>
      <c r="CQ2703" s="342"/>
      <c r="CR2703" s="342"/>
      <c r="CS2703" s="342"/>
      <c r="CT2703" s="342"/>
      <c r="CU2703" s="342"/>
      <c r="CV2703" s="342"/>
      <c r="CW2703" s="342"/>
      <c r="CX2703" s="342"/>
      <c r="CY2703" s="342"/>
      <c r="CZ2703" s="342"/>
      <c r="DA2703" s="342"/>
      <c r="DB2703" s="342"/>
      <c r="DC2703" s="342"/>
      <c r="DD2703" s="342"/>
      <c r="DE2703" s="342"/>
      <c r="DF2703" s="342"/>
      <c r="DG2703" s="342"/>
      <c r="DH2703" s="342"/>
      <c r="DI2703" s="342"/>
      <c r="DJ2703" s="342"/>
      <c r="DK2703" s="342"/>
      <c r="DL2703" s="342"/>
    </row>
    <row r="2704" ht="21.75" customHeight="1">
      <c r="A2704" s="44">
        <v>3120.0</v>
      </c>
      <c r="B2704" s="129" t="s">
        <v>114</v>
      </c>
      <c r="C2704" s="62" t="s">
        <v>115</v>
      </c>
      <c r="D2704" s="62" t="s">
        <v>153</v>
      </c>
      <c r="F2704" s="2246" t="s">
        <v>15992</v>
      </c>
      <c r="G2704" s="2247" t="s">
        <v>16015</v>
      </c>
      <c r="H2704" s="2246" t="s">
        <v>15921</v>
      </c>
      <c r="I2704" s="2248">
        <v>45821.0</v>
      </c>
      <c r="J2704" s="862"/>
      <c r="K2704" s="2247" t="s">
        <v>16009</v>
      </c>
      <c r="L2704" s="68"/>
      <c r="M2704" s="2247" t="s">
        <v>15995</v>
      </c>
      <c r="N2704" s="2247" t="s">
        <v>15996</v>
      </c>
      <c r="O2704" s="68"/>
      <c r="P2704" s="2249" t="s">
        <v>15997</v>
      </c>
      <c r="Q2704" s="2250" t="str">
        <f t="array" ref="Q2704"> if(iserror(MATCH(V2704, 'File Links'!C:C, 0)), "N/A", HYPERLINK(INDEX('File Links'!B:B, MATCH(P2704, 'File Links'!C:C, 0))))</f>
        <v>https://drive.google.com/file/d/1zTMlOFWNTfGXuxYg38c1Rclwf7vMtQVs/view?usp=drivesdk</v>
      </c>
      <c r="R2704" s="2251" t="s">
        <v>16010</v>
      </c>
      <c r="S2704" s="2247" t="s">
        <v>15999</v>
      </c>
      <c r="T2704" s="68"/>
      <c r="U2704" s="68"/>
      <c r="V2704" s="2252" t="s">
        <v>16000</v>
      </c>
      <c r="W2704" s="1228"/>
      <c r="X2704" s="54" t="str">
        <f t="array" ref="X2704"> if(iserror(MATCH(V2704, 'File Links'!C:C, 0)), "N/A", HYPERLINK(INDEX('File Links'!B:B, MATCH(V2704, 'File Links'!C:C, 0))))</f>
        <v>https://drive.google.com/file/d/1zlIibgTl_xuo-gJvDI1iuFuL7MwgpJud/view?usp=drivesdk</v>
      </c>
      <c r="Y2704" s="2246" t="s">
        <v>16011</v>
      </c>
      <c r="Z2704" s="2247" t="s">
        <v>295</v>
      </c>
      <c r="AA2704" s="2247" t="s">
        <v>16001</v>
      </c>
      <c r="AB2704" s="2247" t="s">
        <v>16012</v>
      </c>
      <c r="AC2704" s="2247" t="s">
        <v>16016</v>
      </c>
      <c r="AD2704" s="2246" t="s">
        <v>16014</v>
      </c>
      <c r="AE2704" s="2253">
        <v>24.0</v>
      </c>
      <c r="AF2704" s="2253">
        <v>5.0</v>
      </c>
      <c r="AG2704" s="68"/>
      <c r="AH2704" s="68"/>
      <c r="AI2704" s="68"/>
      <c r="AJ2704" s="68"/>
      <c r="AK2704" s="68"/>
      <c r="AL2704" s="2247" t="s">
        <v>186</v>
      </c>
      <c r="AM2704" s="2247" t="s">
        <v>137</v>
      </c>
      <c r="AN2704" s="2247" t="s">
        <v>138</v>
      </c>
      <c r="AO2704" s="2253">
        <v>3.0</v>
      </c>
      <c r="AP2704" s="2254">
        <f>(0.57/(1-0.57))/(0.785/(1-0.785))</f>
        <v>0.3630573248</v>
      </c>
      <c r="AQ2704" s="2247" t="s">
        <v>722</v>
      </c>
      <c r="AR2704" s="2247" t="s">
        <v>132</v>
      </c>
      <c r="AS2704" s="68"/>
      <c r="AT2704" s="68"/>
      <c r="AU2704" s="2247" t="s">
        <v>186</v>
      </c>
      <c r="AV2704" s="2247" t="s">
        <v>137</v>
      </c>
      <c r="AW2704" s="2247" t="s">
        <v>138</v>
      </c>
      <c r="AX2704" s="2247" t="s">
        <v>143</v>
      </c>
      <c r="AY2704" s="61" t="str">
        <f>IFERROR(__xludf.DUMMYFUNCTION("vlookup(BB2704,importrange(""https://docs.google.com/spreadsheets/d/1d2vevQ_7D_v35q4wCQ4RpQ_IPoTwEMB9Yp6ymwlPqew/edit?gid=984458430#gid=984458430"", ""'replication success'!A:K""), 11, FAlSE)"),"#N/A")</f>
        <v>#N/A</v>
      </c>
      <c r="AZ2704" s="61" t="str">
        <f>IFERROR(__xludf.DUMMYFUNCTION("vlookup(BB2704,importrange(""https://docs.google.com/spreadsheets/d/1d2vevQ_7D_v35q4wCQ4RpQ_IPoTwEMB9Yp6ymwlPqew/edit?gid=984458430#gid=984458430"", ""'replication success'!A:M""), 12, FAlSE)"),"#N/A")</f>
        <v>#N/A</v>
      </c>
      <c r="BA2704" s="61" t="str">
        <f>IFERROR(__xludf.DUMMYFUNCTION("vlookup(BB2704,importrange(""https://docs.google.com/spreadsheets/d/1d2vevQ_7D_v35q4wCQ4RpQ_IPoTwEMB9Yp6ymwlPqew/edit?gid=984458430#gid=984458430"", ""'replication success'!A:M""), 13, FAlSE)"),"#N/A")</f>
        <v>#N/A</v>
      </c>
      <c r="BB2704" s="61" t="str">
        <f>IFERROR(__xludf.DUMMYFUNCTION("REGEXREPLACE(G2704, ""_[a-z]{1,2}$"", """")"),"add_ai3")</f>
        <v>add_ai3</v>
      </c>
      <c r="BD2704" s="199" t="s">
        <v>3763</v>
      </c>
      <c r="BE2704" s="342"/>
      <c r="BF2704" s="342"/>
      <c r="BG2704" s="342"/>
      <c r="BH2704" s="342"/>
      <c r="BI2704" s="342"/>
      <c r="BJ2704" s="342"/>
      <c r="BK2704" s="342"/>
      <c r="BL2704" s="342"/>
      <c r="BM2704" s="342"/>
      <c r="BN2704" s="342"/>
      <c r="BO2704" s="342"/>
      <c r="BP2704" s="342"/>
      <c r="BQ2704" s="342"/>
      <c r="BR2704" s="342"/>
      <c r="BS2704" s="342"/>
      <c r="BT2704" s="342"/>
      <c r="BU2704" s="342"/>
      <c r="BV2704" s="342"/>
      <c r="BW2704" s="342"/>
      <c r="BX2704" s="342"/>
      <c r="BY2704" s="342"/>
      <c r="BZ2704" s="342"/>
      <c r="CA2704" s="342"/>
      <c r="CB2704" s="342"/>
      <c r="CC2704" s="342"/>
      <c r="CD2704" s="342"/>
      <c r="CE2704" s="342"/>
      <c r="CF2704" s="342"/>
      <c r="CG2704" s="342"/>
      <c r="CH2704" s="342"/>
      <c r="CI2704" s="342"/>
      <c r="CJ2704" s="342"/>
      <c r="CK2704" s="342"/>
      <c r="CL2704" s="342"/>
      <c r="CM2704" s="342"/>
      <c r="CN2704" s="342"/>
      <c r="CO2704" s="342"/>
      <c r="CP2704" s="342"/>
      <c r="CQ2704" s="342"/>
      <c r="CR2704" s="342"/>
      <c r="CS2704" s="342"/>
      <c r="CT2704" s="342"/>
      <c r="CU2704" s="342"/>
      <c r="CV2704" s="342"/>
      <c r="CW2704" s="342"/>
      <c r="CX2704" s="342"/>
      <c r="CY2704" s="342"/>
      <c r="CZ2704" s="342"/>
      <c r="DA2704" s="342"/>
      <c r="DB2704" s="342"/>
      <c r="DC2704" s="342"/>
      <c r="DD2704" s="342"/>
      <c r="DE2704" s="342"/>
      <c r="DF2704" s="342"/>
      <c r="DG2704" s="342"/>
      <c r="DH2704" s="342"/>
      <c r="DI2704" s="342"/>
      <c r="DJ2704" s="342"/>
      <c r="DK2704" s="342"/>
      <c r="DL2704" s="342"/>
    </row>
    <row r="2705" ht="19.5" customHeight="1">
      <c r="A2705" s="44">
        <v>3186.0</v>
      </c>
      <c r="B2705" s="1322" t="s">
        <v>114</v>
      </c>
      <c r="C2705" s="1588" t="s">
        <v>115</v>
      </c>
      <c r="D2705" s="1588" t="s">
        <v>15991</v>
      </c>
      <c r="E2705" s="1572"/>
      <c r="F2705" s="1315" t="s">
        <v>15992</v>
      </c>
      <c r="G2705" s="1315" t="s">
        <v>16015</v>
      </c>
      <c r="H2705" s="2235" t="s">
        <v>15994</v>
      </c>
      <c r="I2705" s="2242">
        <v>45813.0</v>
      </c>
      <c r="J2705" s="2230">
        <v>45844.0</v>
      </c>
      <c r="K2705" s="1313"/>
      <c r="L2705" s="1313"/>
      <c r="M2705" s="2243" t="s">
        <v>15995</v>
      </c>
      <c r="N2705" s="2243" t="s">
        <v>15996</v>
      </c>
      <c r="O2705" s="1313"/>
      <c r="P2705" s="2243" t="s">
        <v>15997</v>
      </c>
      <c r="Q2705" s="2231" t="str">
        <f t="array" ref="Q2705"> if(iserror(MATCH(V2705, 'File Links'!C:C, 0)), "N/A", HYPERLINK(INDEX('File Links'!B:B, MATCH(P2705, 'File Links'!C:C, 0))))</f>
        <v>https://drive.google.com/file/d/1zTMlOFWNTfGXuxYg38c1Rclwf7vMtQVs/view?usp=drivesdk</v>
      </c>
      <c r="R2705" s="2244" t="s">
        <v>16017</v>
      </c>
      <c r="S2705" s="1355" t="s">
        <v>15999</v>
      </c>
      <c r="T2705" s="1313"/>
      <c r="U2705" s="1313"/>
      <c r="V2705" s="1315" t="s">
        <v>16000</v>
      </c>
      <c r="W2705" s="1313"/>
      <c r="X2705" s="2233" t="str">
        <f t="array" ref="X2705"> if(iserror(MATCH(V2705, 'File Links'!C:C, 0)), "N/A", HYPERLINK(INDEX('File Links'!B:B, MATCH(V2705, 'File Links'!C:C, 0))))</f>
        <v>https://drive.google.com/file/d/1zlIibgTl_xuo-gJvDI1iuFuL7MwgpJud/view?usp=drivesdk</v>
      </c>
      <c r="Y2705" s="1313"/>
      <c r="Z2705" s="1315" t="s">
        <v>1600</v>
      </c>
      <c r="AA2705" s="1313" t="s">
        <v>16001</v>
      </c>
      <c r="AB2705" s="1313" t="s">
        <v>16002</v>
      </c>
      <c r="AC2705" s="1313" t="s">
        <v>16018</v>
      </c>
      <c r="AD2705" s="1313" t="s">
        <v>16004</v>
      </c>
      <c r="AE2705" s="1313" t="s">
        <v>16005</v>
      </c>
      <c r="AF2705" s="1341">
        <v>3.0</v>
      </c>
      <c r="AG2705" s="1341">
        <v>0.158</v>
      </c>
      <c r="AH2705" s="1313" t="s">
        <v>722</v>
      </c>
      <c r="AI2705" s="2245" t="s">
        <v>16019</v>
      </c>
      <c r="AJ2705" s="1341">
        <v>0.01</v>
      </c>
      <c r="AK2705" s="1313" t="s">
        <v>135</v>
      </c>
      <c r="AL2705" s="1315" t="s">
        <v>186</v>
      </c>
      <c r="AM2705" s="1315" t="s">
        <v>137</v>
      </c>
      <c r="AN2705" s="1315" t="s">
        <v>138</v>
      </c>
      <c r="AO2705" s="1341">
        <v>3.0</v>
      </c>
      <c r="AP2705" s="1341">
        <v>0.503</v>
      </c>
      <c r="AQ2705" s="1313" t="s">
        <v>722</v>
      </c>
      <c r="AR2705" s="2245" t="s">
        <v>16020</v>
      </c>
      <c r="AS2705" s="1313" t="s">
        <v>138</v>
      </c>
      <c r="AT2705" s="1313"/>
      <c r="AU2705" s="1313" t="s">
        <v>186</v>
      </c>
      <c r="AV2705" s="1313" t="s">
        <v>137</v>
      </c>
      <c r="AW2705" s="1313" t="s">
        <v>138</v>
      </c>
      <c r="AX2705" s="1313" t="s">
        <v>143</v>
      </c>
      <c r="AY2705" s="61" t="str">
        <f>IFERROR(__xludf.DUMMYFUNCTION("vlookup(BB2705,importrange(""https://docs.google.com/spreadsheets/d/1d2vevQ_7D_v35q4wCQ4RpQ_IPoTwEMB9Yp6ymwlPqew/edit?gid=984458430#gid=984458430"", ""'replication success'!A:K""), 11, FAlSE)"),"#N/A")</f>
        <v>#N/A</v>
      </c>
      <c r="AZ2705" s="61" t="str">
        <f>IFERROR(__xludf.DUMMYFUNCTION("vlookup(BB2705,importrange(""https://docs.google.com/spreadsheets/d/1d2vevQ_7D_v35q4wCQ4RpQ_IPoTwEMB9Yp6ymwlPqew/edit?gid=984458430#gid=984458430"", ""'replication success'!A:M""), 12, FAlSE)"),"#N/A")</f>
        <v>#N/A</v>
      </c>
      <c r="BA2705" s="61" t="str">
        <f>IFERROR(__xludf.DUMMYFUNCTION("vlookup(BB2705,importrange(""https://docs.google.com/spreadsheets/d/1d2vevQ_7D_v35q4wCQ4RpQ_IPoTwEMB9Yp6ymwlPqew/edit?gid=984458430#gid=984458430"", ""'replication success'!A:M""), 13, FAlSE)"),"#N/A")</f>
        <v>#N/A</v>
      </c>
      <c r="BB2705" s="61" t="str">
        <f>IFERROR(__xludf.DUMMYFUNCTION("REGEXREPLACE(G2705, ""_[a-z]{1,2}$"", """")"),"add_ai3")</f>
        <v>add_ai3</v>
      </c>
      <c r="BC2705" s="1572"/>
      <c r="BD2705" s="1588" t="s">
        <v>13264</v>
      </c>
      <c r="BE2705" s="342"/>
      <c r="BF2705" s="342"/>
      <c r="BG2705" s="342"/>
      <c r="BH2705" s="342"/>
      <c r="BI2705" s="342"/>
      <c r="BJ2705" s="342"/>
      <c r="BK2705" s="342"/>
      <c r="BL2705" s="342"/>
      <c r="BM2705" s="342"/>
      <c r="BN2705" s="342"/>
      <c r="BO2705" s="342"/>
      <c r="BP2705" s="342"/>
      <c r="BQ2705" s="342"/>
      <c r="BR2705" s="342"/>
      <c r="BS2705" s="342"/>
      <c r="BT2705" s="342"/>
      <c r="BU2705" s="342"/>
      <c r="BV2705" s="342"/>
      <c r="BW2705" s="342"/>
      <c r="BX2705" s="342"/>
      <c r="BY2705" s="342"/>
      <c r="BZ2705" s="342"/>
      <c r="CA2705" s="342"/>
      <c r="CB2705" s="342"/>
      <c r="CC2705" s="342"/>
      <c r="CD2705" s="342"/>
      <c r="CE2705" s="342"/>
      <c r="CF2705" s="342"/>
      <c r="CG2705" s="342"/>
      <c r="CH2705" s="342"/>
      <c r="CI2705" s="342"/>
      <c r="CJ2705" s="342"/>
      <c r="CK2705" s="342"/>
      <c r="CL2705" s="342"/>
      <c r="CM2705" s="342"/>
      <c r="CN2705" s="342"/>
      <c r="CO2705" s="342"/>
      <c r="CP2705" s="342"/>
      <c r="CQ2705" s="342"/>
      <c r="CR2705" s="342"/>
      <c r="CS2705" s="342"/>
      <c r="CT2705" s="342"/>
      <c r="CU2705" s="342"/>
      <c r="CV2705" s="342"/>
      <c r="CW2705" s="342"/>
      <c r="CX2705" s="342"/>
      <c r="CY2705" s="342"/>
      <c r="CZ2705" s="342"/>
      <c r="DA2705" s="342"/>
      <c r="DB2705" s="342"/>
      <c r="DC2705" s="342"/>
      <c r="DD2705" s="342"/>
      <c r="DE2705" s="342"/>
      <c r="DF2705" s="342"/>
      <c r="DG2705" s="342"/>
      <c r="DH2705" s="342"/>
      <c r="DI2705" s="342"/>
      <c r="DJ2705" s="342"/>
      <c r="DK2705" s="342"/>
      <c r="DL2705" s="342"/>
    </row>
    <row r="2706" ht="24.75" customHeight="1">
      <c r="A2706" s="44">
        <v>3121.0</v>
      </c>
      <c r="B2706" s="129" t="s">
        <v>114</v>
      </c>
      <c r="C2706" s="62" t="s">
        <v>115</v>
      </c>
      <c r="D2706" s="62" t="s">
        <v>153</v>
      </c>
      <c r="F2706" s="2246" t="s">
        <v>15992</v>
      </c>
      <c r="G2706" s="2247" t="s">
        <v>16021</v>
      </c>
      <c r="H2706" s="2246" t="s">
        <v>15921</v>
      </c>
      <c r="I2706" s="2248">
        <v>45821.0</v>
      </c>
      <c r="J2706" s="862"/>
      <c r="K2706" s="2247" t="s">
        <v>16009</v>
      </c>
      <c r="L2706" s="68"/>
      <c r="M2706" s="2247" t="s">
        <v>15995</v>
      </c>
      <c r="N2706" s="2247" t="s">
        <v>15996</v>
      </c>
      <c r="O2706" s="68"/>
      <c r="P2706" s="2249" t="s">
        <v>15997</v>
      </c>
      <c r="Q2706" s="2250" t="str">
        <f t="array" ref="Q2706"> if(iserror(MATCH(V2706, 'File Links'!C:C, 0)), "N/A", HYPERLINK(INDEX('File Links'!B:B, MATCH(P2706, 'File Links'!C:C, 0))))</f>
        <v>https://drive.google.com/file/d/1zTMlOFWNTfGXuxYg38c1Rclwf7vMtQVs/view?usp=drivesdk</v>
      </c>
      <c r="R2706" s="2251" t="s">
        <v>16010</v>
      </c>
      <c r="S2706" s="2247" t="s">
        <v>15999</v>
      </c>
      <c r="T2706" s="68"/>
      <c r="U2706" s="68"/>
      <c r="V2706" s="2252" t="s">
        <v>16000</v>
      </c>
      <c r="W2706" s="1228"/>
      <c r="X2706" s="54" t="str">
        <f t="array" ref="X2706"> if(iserror(MATCH(V2706, 'File Links'!C:C, 0)), "N/A", HYPERLINK(INDEX('File Links'!B:B, MATCH(V2706, 'File Links'!C:C, 0))))</f>
        <v>https://drive.google.com/file/d/1zlIibgTl_xuo-gJvDI1iuFuL7MwgpJud/view?usp=drivesdk</v>
      </c>
      <c r="Y2706" s="2246" t="s">
        <v>16011</v>
      </c>
      <c r="Z2706" s="2247" t="s">
        <v>295</v>
      </c>
      <c r="AA2706" s="2247" t="s">
        <v>16001</v>
      </c>
      <c r="AB2706" s="2247" t="s">
        <v>16012</v>
      </c>
      <c r="AC2706" s="2247" t="s">
        <v>16022</v>
      </c>
      <c r="AD2706" s="2246" t="s">
        <v>16014</v>
      </c>
      <c r="AE2706" s="2253">
        <v>24.0</v>
      </c>
      <c r="AF2706" s="2253">
        <v>5.0</v>
      </c>
      <c r="AG2706" s="68"/>
      <c r="AH2706" s="68"/>
      <c r="AI2706" s="68"/>
      <c r="AJ2706" s="68"/>
      <c r="AK2706" s="68"/>
      <c r="AL2706" s="2247" t="s">
        <v>186</v>
      </c>
      <c r="AM2706" s="2247" t="s">
        <v>137</v>
      </c>
      <c r="AN2706" s="2247" t="s">
        <v>138</v>
      </c>
      <c r="AO2706" s="2253">
        <v>3.0</v>
      </c>
      <c r="AP2706" s="2254">
        <f>(0.74/(1-0.74))/(0.785/(1-0.785))</f>
        <v>0.7795198432</v>
      </c>
      <c r="AQ2706" s="2247" t="s">
        <v>722</v>
      </c>
      <c r="AR2706" s="2247" t="s">
        <v>132</v>
      </c>
      <c r="AS2706" s="68"/>
      <c r="AT2706" s="68"/>
      <c r="AU2706" s="2247" t="s">
        <v>186</v>
      </c>
      <c r="AV2706" s="2247" t="s">
        <v>137</v>
      </c>
      <c r="AW2706" s="2247" t="s">
        <v>138</v>
      </c>
      <c r="AX2706" s="2247" t="s">
        <v>143</v>
      </c>
      <c r="AY2706" s="61" t="str">
        <f>IFERROR(__xludf.DUMMYFUNCTION("vlookup(BB2706,importrange(""https://docs.google.com/spreadsheets/d/1d2vevQ_7D_v35q4wCQ4RpQ_IPoTwEMB9Yp6ymwlPqew/edit?gid=984458430#gid=984458430"", ""'replication success'!A:K""), 11, FAlSE)"),"#N/A")</f>
        <v>#N/A</v>
      </c>
      <c r="AZ2706" s="61" t="str">
        <f>IFERROR(__xludf.DUMMYFUNCTION("vlookup(BB2706,importrange(""https://docs.google.com/spreadsheets/d/1d2vevQ_7D_v35q4wCQ4RpQ_IPoTwEMB9Yp6ymwlPqew/edit?gid=984458430#gid=984458430"", ""'replication success'!A:M""), 12, FAlSE)"),"#N/A")</f>
        <v>#N/A</v>
      </c>
      <c r="BA2706" s="61" t="str">
        <f>IFERROR(__xludf.DUMMYFUNCTION("vlookup(BB2706,importrange(""https://docs.google.com/spreadsheets/d/1d2vevQ_7D_v35q4wCQ4RpQ_IPoTwEMB9Yp6ymwlPqew/edit?gid=984458430#gid=984458430"", ""'replication success'!A:M""), 13, FAlSE)"),"#N/A")</f>
        <v>#N/A</v>
      </c>
      <c r="BB2706" s="61" t="str">
        <f>IFERROR(__xludf.DUMMYFUNCTION("REGEXREPLACE(G2706, ""_[a-z]{1,2}$"", """")"),"add_ai3")</f>
        <v>add_ai3</v>
      </c>
      <c r="BD2706" s="199" t="s">
        <v>3763</v>
      </c>
      <c r="BE2706" s="342"/>
      <c r="BF2706" s="342"/>
      <c r="BG2706" s="342"/>
      <c r="BH2706" s="342"/>
      <c r="BI2706" s="342"/>
      <c r="BJ2706" s="342"/>
      <c r="BK2706" s="342"/>
      <c r="BL2706" s="342"/>
      <c r="BM2706" s="342"/>
      <c r="BN2706" s="342"/>
      <c r="BO2706" s="342"/>
      <c r="BP2706" s="342"/>
      <c r="BQ2706" s="342"/>
      <c r="BR2706" s="342"/>
      <c r="BS2706" s="342"/>
      <c r="BT2706" s="342"/>
      <c r="BU2706" s="342"/>
      <c r="BV2706" s="342"/>
      <c r="BW2706" s="342"/>
      <c r="BX2706" s="342"/>
      <c r="BY2706" s="342"/>
      <c r="BZ2706" s="342"/>
      <c r="CA2706" s="342"/>
      <c r="CB2706" s="342"/>
      <c r="CC2706" s="342"/>
      <c r="CD2706" s="342"/>
      <c r="CE2706" s="342"/>
      <c r="CF2706" s="342"/>
      <c r="CG2706" s="342"/>
      <c r="CH2706" s="342"/>
      <c r="CI2706" s="342"/>
      <c r="CJ2706" s="342"/>
      <c r="CK2706" s="342"/>
      <c r="CL2706" s="342"/>
      <c r="CM2706" s="342"/>
      <c r="CN2706" s="342"/>
      <c r="CO2706" s="342"/>
      <c r="CP2706" s="342"/>
      <c r="CQ2706" s="342"/>
      <c r="CR2706" s="342"/>
      <c r="CS2706" s="342"/>
      <c r="CT2706" s="342"/>
      <c r="CU2706" s="342"/>
      <c r="CV2706" s="342"/>
      <c r="CW2706" s="342"/>
      <c r="CX2706" s="342"/>
      <c r="CY2706" s="342"/>
      <c r="CZ2706" s="342"/>
      <c r="DA2706" s="342"/>
      <c r="DB2706" s="342"/>
      <c r="DC2706" s="342"/>
      <c r="DD2706" s="342"/>
      <c r="DE2706" s="342"/>
      <c r="DF2706" s="342"/>
      <c r="DG2706" s="342"/>
      <c r="DH2706" s="342"/>
      <c r="DI2706" s="342"/>
      <c r="DJ2706" s="342"/>
      <c r="DK2706" s="342"/>
      <c r="DL2706" s="342"/>
    </row>
    <row r="2707" ht="33.75" customHeight="1">
      <c r="A2707" s="44">
        <v>3122.0</v>
      </c>
      <c r="B2707" s="129" t="s">
        <v>114</v>
      </c>
      <c r="C2707" s="62" t="s">
        <v>115</v>
      </c>
      <c r="D2707" s="62" t="s">
        <v>153</v>
      </c>
      <c r="F2707" s="2246" t="s">
        <v>15992</v>
      </c>
      <c r="G2707" s="2247" t="s">
        <v>16023</v>
      </c>
      <c r="H2707" s="2246" t="s">
        <v>15921</v>
      </c>
      <c r="I2707" s="2248">
        <v>45821.0</v>
      </c>
      <c r="J2707" s="862"/>
      <c r="K2707" s="2247" t="s">
        <v>16009</v>
      </c>
      <c r="L2707" s="68"/>
      <c r="M2707" s="2247" t="s">
        <v>15995</v>
      </c>
      <c r="N2707" s="2247" t="s">
        <v>15996</v>
      </c>
      <c r="O2707" s="68"/>
      <c r="P2707" s="2249" t="s">
        <v>15997</v>
      </c>
      <c r="Q2707" s="2250" t="str">
        <f t="array" ref="Q2707"> if(iserror(MATCH(V2707, 'File Links'!C:C, 0)), "N/A", HYPERLINK(INDEX('File Links'!B:B, MATCH(P2707, 'File Links'!C:C, 0))))</f>
        <v>https://drive.google.com/file/d/1zTMlOFWNTfGXuxYg38c1Rclwf7vMtQVs/view?usp=drivesdk</v>
      </c>
      <c r="R2707" s="2251" t="s">
        <v>16010</v>
      </c>
      <c r="S2707" s="2247" t="s">
        <v>15999</v>
      </c>
      <c r="T2707" s="68"/>
      <c r="U2707" s="68"/>
      <c r="V2707" s="2252" t="s">
        <v>16000</v>
      </c>
      <c r="W2707" s="1228"/>
      <c r="X2707" s="54" t="str">
        <f t="array" ref="X2707"> if(iserror(MATCH(V2707, 'File Links'!C:C, 0)), "N/A", HYPERLINK(INDEX('File Links'!B:B, MATCH(V2707, 'File Links'!C:C, 0))))</f>
        <v>https://drive.google.com/file/d/1zlIibgTl_xuo-gJvDI1iuFuL7MwgpJud/view?usp=drivesdk</v>
      </c>
      <c r="Y2707" s="2246" t="s">
        <v>16011</v>
      </c>
      <c r="Z2707" s="2247" t="s">
        <v>295</v>
      </c>
      <c r="AA2707" s="2247" t="s">
        <v>16001</v>
      </c>
      <c r="AB2707" s="2247" t="s">
        <v>16012</v>
      </c>
      <c r="AC2707" s="2247" t="s">
        <v>16024</v>
      </c>
      <c r="AD2707" s="2246" t="s">
        <v>16025</v>
      </c>
      <c r="AE2707" s="2253">
        <v>24.0</v>
      </c>
      <c r="AF2707" s="2253">
        <v>5.0</v>
      </c>
      <c r="AG2707" s="68"/>
      <c r="AH2707" s="68"/>
      <c r="AI2707" s="68"/>
      <c r="AJ2707" s="68"/>
      <c r="AK2707" s="68"/>
      <c r="AL2707" s="2247" t="s">
        <v>186</v>
      </c>
      <c r="AM2707" s="2247" t="s">
        <v>137</v>
      </c>
      <c r="AN2707" s="2247" t="s">
        <v>138</v>
      </c>
      <c r="AO2707" s="2253">
        <v>3.0</v>
      </c>
      <c r="AP2707" s="2254">
        <f>(0.43/(1-0.43))/(0.55/(1-0.55))</f>
        <v>0.6172248804</v>
      </c>
      <c r="AQ2707" s="2247" t="s">
        <v>722</v>
      </c>
      <c r="AR2707" s="2247" t="s">
        <v>132</v>
      </c>
      <c r="AS2707" s="68"/>
      <c r="AT2707" s="68"/>
      <c r="AU2707" s="2247" t="s">
        <v>186</v>
      </c>
      <c r="AV2707" s="2247" t="s">
        <v>137</v>
      </c>
      <c r="AW2707" s="2247" t="s">
        <v>138</v>
      </c>
      <c r="AX2707" s="2247" t="s">
        <v>143</v>
      </c>
      <c r="AY2707" s="61" t="str">
        <f>IFERROR(__xludf.DUMMYFUNCTION("vlookup(BB2707,importrange(""https://docs.google.com/spreadsheets/d/1d2vevQ_7D_v35q4wCQ4RpQ_IPoTwEMB9Yp6ymwlPqew/edit?gid=984458430#gid=984458430"", ""'replication success'!A:K""), 11, FAlSE)"),"#N/A")</f>
        <v>#N/A</v>
      </c>
      <c r="AZ2707" s="61" t="str">
        <f>IFERROR(__xludf.DUMMYFUNCTION("vlookup(BB2707,importrange(""https://docs.google.com/spreadsheets/d/1d2vevQ_7D_v35q4wCQ4RpQ_IPoTwEMB9Yp6ymwlPqew/edit?gid=984458430#gid=984458430"", ""'replication success'!A:M""), 12, FAlSE)"),"#N/A")</f>
        <v>#N/A</v>
      </c>
      <c r="BA2707" s="61" t="str">
        <f>IFERROR(__xludf.DUMMYFUNCTION("vlookup(BB2707,importrange(""https://docs.google.com/spreadsheets/d/1d2vevQ_7D_v35q4wCQ4RpQ_IPoTwEMB9Yp6ymwlPqew/edit?gid=984458430#gid=984458430"", ""'replication success'!A:M""), 13, FAlSE)"),"#N/A")</f>
        <v>#N/A</v>
      </c>
      <c r="BB2707" s="61" t="str">
        <f>IFERROR(__xludf.DUMMYFUNCTION("REGEXREPLACE(G2707, ""_[a-z]{1,2}$"", """")"),"add_ai3")</f>
        <v>add_ai3</v>
      </c>
      <c r="BD2707" s="199" t="s">
        <v>3763</v>
      </c>
      <c r="BE2707" s="342"/>
      <c r="BF2707" s="342"/>
      <c r="BG2707" s="342"/>
      <c r="BH2707" s="342"/>
      <c r="BI2707" s="342"/>
      <c r="BJ2707" s="342"/>
      <c r="BK2707" s="342"/>
      <c r="BL2707" s="342"/>
      <c r="BM2707" s="342"/>
      <c r="BN2707" s="342"/>
      <c r="BO2707" s="342"/>
      <c r="BP2707" s="342"/>
      <c r="BQ2707" s="342"/>
      <c r="BR2707" s="342"/>
      <c r="BS2707" s="342"/>
      <c r="BT2707" s="342"/>
      <c r="BU2707" s="342"/>
      <c r="BV2707" s="342"/>
      <c r="BW2707" s="342"/>
      <c r="BX2707" s="342"/>
      <c r="BY2707" s="342"/>
      <c r="BZ2707" s="342"/>
      <c r="CA2707" s="342"/>
      <c r="CB2707" s="342"/>
      <c r="CC2707" s="342"/>
      <c r="CD2707" s="342"/>
      <c r="CE2707" s="342"/>
      <c r="CF2707" s="342"/>
      <c r="CG2707" s="342"/>
      <c r="CH2707" s="342"/>
      <c r="CI2707" s="342"/>
      <c r="CJ2707" s="342"/>
      <c r="CK2707" s="342"/>
      <c r="CL2707" s="342"/>
      <c r="CM2707" s="342"/>
      <c r="CN2707" s="342"/>
      <c r="CO2707" s="342"/>
      <c r="CP2707" s="342"/>
      <c r="CQ2707" s="342"/>
      <c r="CR2707" s="342"/>
      <c r="CS2707" s="342"/>
      <c r="CT2707" s="342"/>
      <c r="CU2707" s="342"/>
      <c r="CV2707" s="342"/>
      <c r="CW2707" s="342"/>
      <c r="CX2707" s="342"/>
      <c r="CY2707" s="342"/>
      <c r="CZ2707" s="342"/>
      <c r="DA2707" s="342"/>
      <c r="DB2707" s="342"/>
      <c r="DC2707" s="342"/>
      <c r="DD2707" s="342"/>
      <c r="DE2707" s="342"/>
      <c r="DF2707" s="342"/>
      <c r="DG2707" s="342"/>
      <c r="DH2707" s="342"/>
      <c r="DI2707" s="342"/>
      <c r="DJ2707" s="342"/>
      <c r="DK2707" s="342"/>
      <c r="DL2707" s="342"/>
    </row>
    <row r="2708" ht="32.25" customHeight="1">
      <c r="A2708" s="44">
        <v>3123.0</v>
      </c>
      <c r="B2708" s="129" t="s">
        <v>114</v>
      </c>
      <c r="C2708" s="62" t="s">
        <v>115</v>
      </c>
      <c r="D2708" s="62" t="s">
        <v>153</v>
      </c>
      <c r="F2708" s="2246" t="s">
        <v>15992</v>
      </c>
      <c r="G2708" s="2247" t="s">
        <v>16026</v>
      </c>
      <c r="H2708" s="2246" t="s">
        <v>15921</v>
      </c>
      <c r="I2708" s="2248">
        <v>45821.0</v>
      </c>
      <c r="J2708" s="862"/>
      <c r="K2708" s="2247" t="s">
        <v>16009</v>
      </c>
      <c r="L2708" s="68"/>
      <c r="M2708" s="2247" t="s">
        <v>15995</v>
      </c>
      <c r="N2708" s="2247" t="s">
        <v>15996</v>
      </c>
      <c r="O2708" s="68"/>
      <c r="P2708" s="2249" t="s">
        <v>15997</v>
      </c>
      <c r="Q2708" s="2250" t="str">
        <f t="array" ref="Q2708"> if(iserror(MATCH(V2708, 'File Links'!C:C, 0)), "N/A", HYPERLINK(INDEX('File Links'!B:B, MATCH(P2708, 'File Links'!C:C, 0))))</f>
        <v>https://drive.google.com/file/d/1zTMlOFWNTfGXuxYg38c1Rclwf7vMtQVs/view?usp=drivesdk</v>
      </c>
      <c r="R2708" s="2251" t="s">
        <v>16010</v>
      </c>
      <c r="S2708" s="2247" t="s">
        <v>15999</v>
      </c>
      <c r="T2708" s="68"/>
      <c r="U2708" s="68"/>
      <c r="V2708" s="2252" t="s">
        <v>16000</v>
      </c>
      <c r="W2708" s="1228"/>
      <c r="X2708" s="54" t="str">
        <f t="array" ref="X2708"> if(iserror(MATCH(V2708, 'File Links'!C:C, 0)), "N/A", HYPERLINK(INDEX('File Links'!B:B, MATCH(V2708, 'File Links'!C:C, 0))))</f>
        <v>https://drive.google.com/file/d/1zlIibgTl_xuo-gJvDI1iuFuL7MwgpJud/view?usp=drivesdk</v>
      </c>
      <c r="Y2708" s="2246" t="s">
        <v>16011</v>
      </c>
      <c r="Z2708" s="2247" t="s">
        <v>295</v>
      </c>
      <c r="AA2708" s="2247" t="s">
        <v>16001</v>
      </c>
      <c r="AB2708" s="2247" t="s">
        <v>16012</v>
      </c>
      <c r="AC2708" s="2247" t="s">
        <v>16027</v>
      </c>
      <c r="AD2708" s="2246" t="s">
        <v>16025</v>
      </c>
      <c r="AE2708" s="2253">
        <v>24.0</v>
      </c>
      <c r="AF2708" s="2253">
        <v>5.0</v>
      </c>
      <c r="AG2708" s="68"/>
      <c r="AH2708" s="68"/>
      <c r="AI2708" s="68"/>
      <c r="AJ2708" s="68"/>
      <c r="AK2708" s="68"/>
      <c r="AL2708" s="2247" t="s">
        <v>186</v>
      </c>
      <c r="AM2708" s="2247" t="s">
        <v>137</v>
      </c>
      <c r="AN2708" s="2247" t="s">
        <v>138</v>
      </c>
      <c r="AO2708" s="2253">
        <v>3.0</v>
      </c>
      <c r="AP2708" s="2254">
        <f>(0.43/(1-0.43))/(0.6/(1-0.6))</f>
        <v>0.5029239766</v>
      </c>
      <c r="AQ2708" s="2247" t="s">
        <v>722</v>
      </c>
      <c r="AR2708" s="2247" t="s">
        <v>132</v>
      </c>
      <c r="AS2708" s="68"/>
      <c r="AT2708" s="68"/>
      <c r="AU2708" s="2247" t="s">
        <v>186</v>
      </c>
      <c r="AV2708" s="2247" t="s">
        <v>137</v>
      </c>
      <c r="AW2708" s="2247" t="s">
        <v>138</v>
      </c>
      <c r="AX2708" s="2247" t="s">
        <v>143</v>
      </c>
      <c r="AY2708" s="61" t="str">
        <f>IFERROR(__xludf.DUMMYFUNCTION("vlookup(BB2708,importrange(""https://docs.google.com/spreadsheets/d/1d2vevQ_7D_v35q4wCQ4RpQ_IPoTwEMB9Yp6ymwlPqew/edit?gid=984458430#gid=984458430"", ""'replication success'!A:K""), 11, FAlSE)"),"#N/A")</f>
        <v>#N/A</v>
      </c>
      <c r="AZ2708" s="61" t="str">
        <f>IFERROR(__xludf.DUMMYFUNCTION("vlookup(BB2708,importrange(""https://docs.google.com/spreadsheets/d/1d2vevQ_7D_v35q4wCQ4RpQ_IPoTwEMB9Yp6ymwlPqew/edit?gid=984458430#gid=984458430"", ""'replication success'!A:M""), 12, FAlSE)"),"#N/A")</f>
        <v>#N/A</v>
      </c>
      <c r="BA2708" s="61" t="str">
        <f>IFERROR(__xludf.DUMMYFUNCTION("vlookup(BB2708,importrange(""https://docs.google.com/spreadsheets/d/1d2vevQ_7D_v35q4wCQ4RpQ_IPoTwEMB9Yp6ymwlPqew/edit?gid=984458430#gid=984458430"", ""'replication success'!A:M""), 13, FAlSE)"),"#N/A")</f>
        <v>#N/A</v>
      </c>
      <c r="BB2708" s="61" t="str">
        <f>IFERROR(__xludf.DUMMYFUNCTION("REGEXREPLACE(G2708, ""_[a-z]{1,2}$"", """")"),"add_ai3")</f>
        <v>add_ai3</v>
      </c>
      <c r="BD2708" s="199" t="s">
        <v>3763</v>
      </c>
      <c r="BE2708" s="342"/>
      <c r="BF2708" s="342"/>
      <c r="BG2708" s="342"/>
      <c r="BH2708" s="342"/>
      <c r="BI2708" s="342"/>
      <c r="BJ2708" s="342"/>
      <c r="BK2708" s="342"/>
      <c r="BL2708" s="342"/>
      <c r="BM2708" s="342"/>
      <c r="BN2708" s="342"/>
      <c r="BO2708" s="342"/>
      <c r="BP2708" s="342"/>
      <c r="BQ2708" s="342"/>
      <c r="BR2708" s="342"/>
      <c r="BS2708" s="342"/>
      <c r="BT2708" s="342"/>
      <c r="BU2708" s="342"/>
      <c r="BV2708" s="342"/>
      <c r="BW2708" s="342"/>
      <c r="BX2708" s="342"/>
      <c r="BY2708" s="342"/>
      <c r="BZ2708" s="342"/>
      <c r="CA2708" s="342"/>
      <c r="CB2708" s="342"/>
      <c r="CC2708" s="342"/>
      <c r="CD2708" s="342"/>
      <c r="CE2708" s="342"/>
      <c r="CF2708" s="342"/>
      <c r="CG2708" s="342"/>
      <c r="CH2708" s="342"/>
      <c r="CI2708" s="342"/>
      <c r="CJ2708" s="342"/>
      <c r="CK2708" s="342"/>
      <c r="CL2708" s="342"/>
      <c r="CM2708" s="342"/>
      <c r="CN2708" s="342"/>
      <c r="CO2708" s="342"/>
      <c r="CP2708" s="342"/>
      <c r="CQ2708" s="342"/>
      <c r="CR2708" s="342"/>
      <c r="CS2708" s="342"/>
      <c r="CT2708" s="342"/>
      <c r="CU2708" s="342"/>
      <c r="CV2708" s="342"/>
      <c r="CW2708" s="342"/>
      <c r="CX2708" s="342"/>
      <c r="CY2708" s="342"/>
      <c r="CZ2708" s="342"/>
      <c r="DA2708" s="342"/>
      <c r="DB2708" s="342"/>
      <c r="DC2708" s="342"/>
      <c r="DD2708" s="342"/>
      <c r="DE2708" s="342"/>
      <c r="DF2708" s="342"/>
      <c r="DG2708" s="342"/>
      <c r="DH2708" s="342"/>
      <c r="DI2708" s="342"/>
      <c r="DJ2708" s="342"/>
      <c r="DK2708" s="342"/>
      <c r="DL2708" s="342"/>
    </row>
    <row r="2709" ht="28.5" customHeight="1">
      <c r="A2709" s="44">
        <v>3124.0</v>
      </c>
      <c r="B2709" s="1322" t="s">
        <v>114</v>
      </c>
      <c r="C2709" s="1588" t="s">
        <v>115</v>
      </c>
      <c r="D2709" s="1588" t="s">
        <v>153</v>
      </c>
      <c r="E2709" s="1572"/>
      <c r="F2709" s="2237" t="s">
        <v>15992</v>
      </c>
      <c r="G2709" s="2255" t="s">
        <v>16028</v>
      </c>
      <c r="H2709" s="2237" t="s">
        <v>15921</v>
      </c>
      <c r="I2709" s="2256">
        <v>45821.0</v>
      </c>
      <c r="J2709" s="2230">
        <v>45844.0</v>
      </c>
      <c r="K2709" s="2255" t="s">
        <v>16009</v>
      </c>
      <c r="L2709" s="1313"/>
      <c r="M2709" s="2255" t="s">
        <v>15995</v>
      </c>
      <c r="N2709" s="2255" t="s">
        <v>15996</v>
      </c>
      <c r="O2709" s="1313"/>
      <c r="P2709" s="2255" t="s">
        <v>15997</v>
      </c>
      <c r="Q2709" s="2231" t="str">
        <f t="array" ref="Q2709"> if(iserror(MATCH(V2709, 'File Links'!C:C, 0)), "N/A", HYPERLINK(INDEX('File Links'!B:B, MATCH(P2709, 'File Links'!C:C, 0))))</f>
        <v>https://drive.google.com/file/d/1zTMlOFWNTfGXuxYg38c1Rclwf7vMtQVs/view?usp=drivesdk</v>
      </c>
      <c r="R2709" s="2257" t="s">
        <v>16010</v>
      </c>
      <c r="S2709" s="2255" t="s">
        <v>15999</v>
      </c>
      <c r="T2709" s="1313"/>
      <c r="U2709" s="1313"/>
      <c r="V2709" s="2255" t="s">
        <v>16000</v>
      </c>
      <c r="W2709" s="1313"/>
      <c r="X2709" s="2233" t="str">
        <f t="array" ref="X2709"> if(iserror(MATCH(V2709, 'File Links'!C:C, 0)), "N/A", HYPERLINK(INDEX('File Links'!B:B, MATCH(V2709, 'File Links'!C:C, 0))))</f>
        <v>https://drive.google.com/file/d/1zlIibgTl_xuo-gJvDI1iuFuL7MwgpJud/view?usp=drivesdk</v>
      </c>
      <c r="Y2709" s="2237" t="s">
        <v>16011</v>
      </c>
      <c r="Z2709" s="2255" t="s">
        <v>295</v>
      </c>
      <c r="AA2709" s="2255" t="s">
        <v>16001</v>
      </c>
      <c r="AB2709" s="2255" t="s">
        <v>16012</v>
      </c>
      <c r="AC2709" s="2255" t="s">
        <v>16029</v>
      </c>
      <c r="AD2709" s="2237" t="s">
        <v>16025</v>
      </c>
      <c r="AE2709" s="2258">
        <v>24.0</v>
      </c>
      <c r="AF2709" s="2258">
        <v>5.0</v>
      </c>
      <c r="AG2709" s="1313"/>
      <c r="AH2709" s="1313"/>
      <c r="AI2709" s="1313"/>
      <c r="AJ2709" s="1313"/>
      <c r="AK2709" s="1313"/>
      <c r="AL2709" s="2255" t="s">
        <v>186</v>
      </c>
      <c r="AM2709" s="2255" t="s">
        <v>137</v>
      </c>
      <c r="AN2709" s="2255" t="s">
        <v>138</v>
      </c>
      <c r="AO2709" s="2258">
        <v>3.0</v>
      </c>
      <c r="AP2709" s="2259">
        <f>(0.55/(1-0.55))/(0.6/(1-0.6))</f>
        <v>0.8148148148</v>
      </c>
      <c r="AQ2709" s="2255" t="s">
        <v>722</v>
      </c>
      <c r="AR2709" s="2255" t="s">
        <v>132</v>
      </c>
      <c r="AS2709" s="1313"/>
      <c r="AT2709" s="1313"/>
      <c r="AU2709" s="2255" t="s">
        <v>186</v>
      </c>
      <c r="AV2709" s="2255" t="s">
        <v>137</v>
      </c>
      <c r="AW2709" s="2255" t="s">
        <v>138</v>
      </c>
      <c r="AX2709" s="2255" t="s">
        <v>143</v>
      </c>
      <c r="AY2709" s="61" t="str">
        <f>IFERROR(__xludf.DUMMYFUNCTION("vlookup(BB2709,importrange(""https://docs.google.com/spreadsheets/d/1d2vevQ_7D_v35q4wCQ4RpQ_IPoTwEMB9Yp6ymwlPqew/edit?gid=984458430#gid=984458430"", ""'replication success'!A:K""), 11, FAlSE)"),"#N/A")</f>
        <v>#N/A</v>
      </c>
      <c r="AZ2709" s="61" t="str">
        <f>IFERROR(__xludf.DUMMYFUNCTION("vlookup(BB2709,importrange(""https://docs.google.com/spreadsheets/d/1d2vevQ_7D_v35q4wCQ4RpQ_IPoTwEMB9Yp6ymwlPqew/edit?gid=984458430#gid=984458430"", ""'replication success'!A:M""), 12, FAlSE)"),"#N/A")</f>
        <v>#N/A</v>
      </c>
      <c r="BA2709" s="61" t="str">
        <f>IFERROR(__xludf.DUMMYFUNCTION("vlookup(BB2709,importrange(""https://docs.google.com/spreadsheets/d/1d2vevQ_7D_v35q4wCQ4RpQ_IPoTwEMB9Yp6ymwlPqew/edit?gid=984458430#gid=984458430"", ""'replication success'!A:M""), 13, FAlSE)"),"#N/A")</f>
        <v>#N/A</v>
      </c>
      <c r="BB2709" s="61" t="str">
        <f>IFERROR(__xludf.DUMMYFUNCTION("REGEXREPLACE(G2709, ""_[a-z]{1,2}$"", """")"),"add_ai3")</f>
        <v>add_ai3</v>
      </c>
      <c r="BC2709" s="1572"/>
      <c r="BD2709" s="1588" t="s">
        <v>13264</v>
      </c>
      <c r="BE2709" s="342"/>
      <c r="BF2709" s="342"/>
      <c r="BG2709" s="342"/>
      <c r="BH2709" s="342"/>
      <c r="BI2709" s="342"/>
      <c r="BJ2709" s="342"/>
      <c r="BK2709" s="342"/>
      <c r="BL2709" s="342"/>
      <c r="BM2709" s="342"/>
      <c r="BN2709" s="342"/>
      <c r="BO2709" s="342"/>
      <c r="BP2709" s="342"/>
      <c r="BQ2709" s="342"/>
      <c r="BR2709" s="342"/>
      <c r="BS2709" s="342"/>
      <c r="BT2709" s="342"/>
      <c r="BU2709" s="342"/>
      <c r="BV2709" s="342"/>
      <c r="BW2709" s="342"/>
      <c r="BX2709" s="342"/>
      <c r="BY2709" s="342"/>
      <c r="BZ2709" s="342"/>
      <c r="CA2709" s="342"/>
      <c r="CB2709" s="342"/>
      <c r="CC2709" s="342"/>
      <c r="CD2709" s="342"/>
      <c r="CE2709" s="342"/>
      <c r="CF2709" s="342"/>
      <c r="CG2709" s="342"/>
      <c r="CH2709" s="342"/>
      <c r="CI2709" s="342"/>
      <c r="CJ2709" s="342"/>
      <c r="CK2709" s="342"/>
      <c r="CL2709" s="342"/>
      <c r="CM2709" s="342"/>
      <c r="CN2709" s="342"/>
      <c r="CO2709" s="342"/>
      <c r="CP2709" s="342"/>
      <c r="CQ2709" s="342"/>
      <c r="CR2709" s="342"/>
      <c r="CS2709" s="342"/>
      <c r="CT2709" s="342"/>
      <c r="CU2709" s="342"/>
      <c r="CV2709" s="342"/>
      <c r="CW2709" s="342"/>
      <c r="CX2709" s="342"/>
      <c r="CY2709" s="342"/>
      <c r="CZ2709" s="342"/>
      <c r="DA2709" s="342"/>
      <c r="DB2709" s="342"/>
      <c r="DC2709" s="342"/>
      <c r="DD2709" s="342"/>
      <c r="DE2709" s="342"/>
      <c r="DF2709" s="342"/>
      <c r="DG2709" s="342"/>
      <c r="DH2709" s="342"/>
      <c r="DI2709" s="342"/>
      <c r="DJ2709" s="342"/>
      <c r="DK2709" s="342"/>
      <c r="DL2709" s="342"/>
    </row>
    <row r="2710" ht="20.25" customHeight="1">
      <c r="A2710" s="44">
        <v>3200.0</v>
      </c>
      <c r="B2710" s="1322" t="s">
        <v>114</v>
      </c>
      <c r="C2710" s="1588" t="s">
        <v>115</v>
      </c>
      <c r="D2710" s="1588" t="s">
        <v>15991</v>
      </c>
      <c r="E2710" s="1572"/>
      <c r="F2710" s="1315" t="s">
        <v>16030</v>
      </c>
      <c r="G2710" s="1315" t="s">
        <v>16031</v>
      </c>
      <c r="H2710" s="2235" t="s">
        <v>15994</v>
      </c>
      <c r="I2710" s="2242">
        <v>45811.0</v>
      </c>
      <c r="J2710" s="2230">
        <v>45845.0</v>
      </c>
      <c r="K2710" s="1313"/>
      <c r="L2710" s="1313"/>
      <c r="M2710" s="2243" t="s">
        <v>16032</v>
      </c>
      <c r="N2710" s="2243" t="s">
        <v>16033</v>
      </c>
      <c r="O2710" s="1313"/>
      <c r="P2710" s="2243" t="s">
        <v>16034</v>
      </c>
      <c r="Q2710" s="2231" t="str">
        <f t="array" ref="Q2710"> if(iserror(MATCH(V2710, 'File Links'!C:C, 0)), "N/A", HYPERLINK(INDEX('File Links'!B:B, MATCH(P2710, 'File Links'!C:C, 0))))</f>
        <v>https://drive.google.com/file/d/1zwo0Z9c95_nMMyR8_YF91_12LgVySkVG/view?usp=drivesdk</v>
      </c>
      <c r="R2710" s="2244" t="s">
        <v>16035</v>
      </c>
      <c r="S2710" s="2260" t="s">
        <v>16036</v>
      </c>
      <c r="T2710" s="1313"/>
      <c r="U2710" s="1318">
        <v>1.0</v>
      </c>
      <c r="V2710" s="1315" t="s">
        <v>16037</v>
      </c>
      <c r="W2710" s="1313"/>
      <c r="X2710" s="2233" t="str">
        <f t="array" ref="X2710"> if(iserror(MATCH(V2710, 'File Links'!C:C, 0)), "N/A", HYPERLINK(INDEX('File Links'!B:B, MATCH(V2710, 'File Links'!C:C, 0))))</f>
        <v>https://drive.google.com/file/d/1QuBW1YTzJmF7ZZ5KLsu8m14qTEgfOrf4/view?usp=drivesdk</v>
      </c>
      <c r="Y2710" s="1313"/>
      <c r="Z2710" s="1313" t="s">
        <v>838</v>
      </c>
      <c r="AA2710" s="1313" t="s">
        <v>16038</v>
      </c>
      <c r="AB2710" s="1313" t="s">
        <v>16039</v>
      </c>
      <c r="AC2710" s="1313" t="s">
        <v>16040</v>
      </c>
      <c r="AD2710" s="1313" t="s">
        <v>16041</v>
      </c>
      <c r="AE2710" s="1313" t="s">
        <v>507</v>
      </c>
      <c r="AF2710" s="1341">
        <v>41.0</v>
      </c>
      <c r="AG2710" s="1341">
        <v>0.707</v>
      </c>
      <c r="AH2710" s="1313" t="s">
        <v>173</v>
      </c>
      <c r="AI2710" s="2245" t="s">
        <v>16042</v>
      </c>
      <c r="AJ2710" s="1341">
        <v>0.04</v>
      </c>
      <c r="AK2710" s="1313" t="s">
        <v>172</v>
      </c>
      <c r="AL2710" s="1313" t="s">
        <v>186</v>
      </c>
      <c r="AM2710" s="1313" t="s">
        <v>137</v>
      </c>
      <c r="AN2710" s="1313" t="s">
        <v>138</v>
      </c>
      <c r="AO2710" s="1341">
        <v>148.0</v>
      </c>
      <c r="AP2710" s="1341">
        <v>0.002</v>
      </c>
      <c r="AQ2710" s="2261" t="s">
        <v>173</v>
      </c>
      <c r="AR2710" s="2245" t="s">
        <v>16043</v>
      </c>
      <c r="AS2710" s="1341">
        <v>0.99</v>
      </c>
      <c r="AT2710" s="1313" t="s">
        <v>172</v>
      </c>
      <c r="AU2710" s="1313" t="s">
        <v>186</v>
      </c>
      <c r="AV2710" s="1313" t="s">
        <v>137</v>
      </c>
      <c r="AW2710" s="1601" t="s">
        <v>16044</v>
      </c>
      <c r="AX2710" s="1339" t="s">
        <v>143</v>
      </c>
      <c r="AY2710" s="61" t="str">
        <f>IFERROR(__xludf.DUMMYFUNCTION("vlookup(BB2710,importrange(""https://docs.google.com/spreadsheets/d/1d2vevQ_7D_v35q4wCQ4RpQ_IPoTwEMB9Yp6ymwlPqew/edit?gid=984458430#gid=984458430"", ""'replication success'!A:K""), 11, FAlSE)"),"#N/A")</f>
        <v>#N/A</v>
      </c>
      <c r="AZ2710" s="61" t="str">
        <f>IFERROR(__xludf.DUMMYFUNCTION("vlookup(BB2710,importrange(""https://docs.google.com/spreadsheets/d/1d2vevQ_7D_v35q4wCQ4RpQ_IPoTwEMB9Yp6ymwlPqew/edit?gid=984458430#gid=984458430"", ""'replication success'!A:M""), 12, FAlSE)"),"#N/A")</f>
        <v>#N/A</v>
      </c>
      <c r="BA2710" s="61" t="str">
        <f>IFERROR(__xludf.DUMMYFUNCTION("vlookup(BB2710,importrange(""https://docs.google.com/spreadsheets/d/1d2vevQ_7D_v35q4wCQ4RpQ_IPoTwEMB9Yp6ymwlPqew/edit?gid=984458430#gid=984458430"", ""'replication success'!A:M""), 13, FAlSE)"),"#N/A")</f>
        <v>#N/A</v>
      </c>
      <c r="BB2710" s="61" t="str">
        <f>IFERROR(__xludf.DUMMYFUNCTION("REGEXREPLACE(G2710, ""_[a-z]{1,2}$"", """")"),"add_ai30")</f>
        <v>add_ai30</v>
      </c>
      <c r="BC2710" s="1572"/>
      <c r="BD2710" s="1588" t="s">
        <v>13264</v>
      </c>
      <c r="BE2710" s="342"/>
      <c r="BF2710" s="342"/>
      <c r="BG2710" s="342"/>
      <c r="BH2710" s="342"/>
      <c r="BI2710" s="342"/>
      <c r="BJ2710" s="342"/>
      <c r="BK2710" s="342"/>
      <c r="BL2710" s="342"/>
      <c r="BM2710" s="342"/>
      <c r="BN2710" s="342"/>
      <c r="BO2710" s="342"/>
      <c r="BP2710" s="342"/>
      <c r="BQ2710" s="342"/>
      <c r="BR2710" s="342"/>
      <c r="BS2710" s="342"/>
      <c r="BT2710" s="342"/>
      <c r="BU2710" s="342"/>
      <c r="BV2710" s="342"/>
      <c r="BW2710" s="342"/>
      <c r="BX2710" s="342"/>
      <c r="BY2710" s="342"/>
      <c r="BZ2710" s="342"/>
      <c r="CA2710" s="342"/>
      <c r="CB2710" s="342"/>
      <c r="CC2710" s="342"/>
      <c r="CD2710" s="342"/>
      <c r="CE2710" s="342"/>
      <c r="CF2710" s="342"/>
      <c r="CG2710" s="342"/>
      <c r="CH2710" s="342"/>
      <c r="CI2710" s="342"/>
      <c r="CJ2710" s="342"/>
      <c r="CK2710" s="342"/>
      <c r="CL2710" s="342"/>
      <c r="CM2710" s="342"/>
      <c r="CN2710" s="342"/>
      <c r="CO2710" s="342"/>
      <c r="CP2710" s="342"/>
      <c r="CQ2710" s="342"/>
      <c r="CR2710" s="342"/>
      <c r="CS2710" s="342"/>
      <c r="CT2710" s="342"/>
      <c r="CU2710" s="342"/>
      <c r="CV2710" s="342"/>
      <c r="CW2710" s="342"/>
      <c r="CX2710" s="342"/>
      <c r="CY2710" s="342"/>
      <c r="CZ2710" s="342"/>
      <c r="DA2710" s="342"/>
      <c r="DB2710" s="342"/>
      <c r="DC2710" s="342"/>
      <c r="DD2710" s="342"/>
      <c r="DE2710" s="342"/>
      <c r="DF2710" s="342"/>
      <c r="DG2710" s="342"/>
      <c r="DH2710" s="342"/>
      <c r="DI2710" s="342"/>
      <c r="DJ2710" s="342"/>
      <c r="DK2710" s="342"/>
      <c r="DL2710" s="342"/>
    </row>
    <row r="2711">
      <c r="A2711" s="44">
        <v>3131.0</v>
      </c>
      <c r="B2711" s="1322" t="s">
        <v>152</v>
      </c>
      <c r="C2711" s="1588" t="s">
        <v>115</v>
      </c>
      <c r="D2711" s="1588" t="s">
        <v>153</v>
      </c>
      <c r="E2711" s="1572"/>
      <c r="F2711" s="1600" t="s">
        <v>16030</v>
      </c>
      <c r="G2711" s="1592" t="s">
        <v>16045</v>
      </c>
      <c r="H2711" s="1600" t="s">
        <v>15921</v>
      </c>
      <c r="I2711" s="2229">
        <v>45821.0</v>
      </c>
      <c r="J2711" s="2230">
        <v>45845.0</v>
      </c>
      <c r="K2711" s="1313"/>
      <c r="L2711" s="1322" t="s">
        <v>16046</v>
      </c>
      <c r="M2711" s="1592" t="s">
        <v>16032</v>
      </c>
      <c r="N2711" s="1592" t="s">
        <v>16033</v>
      </c>
      <c r="O2711" s="1313"/>
      <c r="P2711" s="1592" t="s">
        <v>16034</v>
      </c>
      <c r="Q2711" s="2231" t="str">
        <f t="array" ref="Q2711"> if(iserror(MATCH(V2711, 'File Links'!C:C, 0)), "N/A", HYPERLINK(INDEX('File Links'!B:B, MATCH(P2711, 'File Links'!C:C, 0))))</f>
        <v>https://drive.google.com/file/d/1zwo0Z9c95_nMMyR8_YF91_12LgVySkVG/view?usp=drivesdk</v>
      </c>
      <c r="R2711" s="2232" t="s">
        <v>16047</v>
      </c>
      <c r="S2711" s="1592" t="s">
        <v>16036</v>
      </c>
      <c r="T2711" s="1313"/>
      <c r="U2711" s="1313"/>
      <c r="V2711" s="1592" t="s">
        <v>16037</v>
      </c>
      <c r="W2711" s="1313"/>
      <c r="X2711" s="2233" t="str">
        <f t="array" ref="X2711"> if(iserror(MATCH(V2711, 'File Links'!C:C, 0)), "N/A", HYPERLINK(INDEX('File Links'!B:B, MATCH(V2711, 'File Links'!C:C, 0))))</f>
        <v>https://drive.google.com/file/d/1QuBW1YTzJmF7ZZ5KLsu8m14qTEgfOrf4/view?usp=drivesdk</v>
      </c>
      <c r="Y2711" s="1313"/>
      <c r="Z2711" s="1592" t="s">
        <v>226</v>
      </c>
      <c r="AA2711" s="1592" t="s">
        <v>16048</v>
      </c>
      <c r="AB2711" s="1592" t="s">
        <v>16049</v>
      </c>
      <c r="AC2711" s="1592" t="s">
        <v>16050</v>
      </c>
      <c r="AD2711" s="2262" t="s">
        <v>16051</v>
      </c>
      <c r="AE2711" s="1596">
        <v>2.0</v>
      </c>
      <c r="AF2711" s="1596">
        <v>41.0</v>
      </c>
      <c r="AG2711" s="1596">
        <v>0.1</v>
      </c>
      <c r="AH2711" s="1592" t="s">
        <v>874</v>
      </c>
      <c r="AI2711" s="1592" t="s">
        <v>875</v>
      </c>
      <c r="AJ2711" s="1596">
        <v>0.04</v>
      </c>
      <c r="AK2711" s="1592" t="s">
        <v>172</v>
      </c>
      <c r="AL2711" s="1592" t="s">
        <v>186</v>
      </c>
      <c r="AM2711" s="1592" t="s">
        <v>137</v>
      </c>
      <c r="AN2711" s="1592" t="s">
        <v>138</v>
      </c>
      <c r="AO2711" s="1596">
        <v>148.0</v>
      </c>
      <c r="AP2711" s="1596">
        <v>0.002</v>
      </c>
      <c r="AQ2711" s="1592" t="s">
        <v>602</v>
      </c>
      <c r="AR2711" s="2255" t="s">
        <v>217</v>
      </c>
      <c r="AS2711" s="1596">
        <v>0.99</v>
      </c>
      <c r="AT2711" s="1592" t="s">
        <v>172</v>
      </c>
      <c r="AU2711" s="1592" t="s">
        <v>186</v>
      </c>
      <c r="AV2711" s="1592" t="s">
        <v>137</v>
      </c>
      <c r="AW2711" s="2263" t="s">
        <v>16044</v>
      </c>
      <c r="AX2711" s="1592" t="s">
        <v>143</v>
      </c>
      <c r="AY2711" s="61" t="str">
        <f>IFERROR(__xludf.DUMMYFUNCTION("vlookup(BB2711,importrange(""https://docs.google.com/spreadsheets/d/1d2vevQ_7D_v35q4wCQ4RpQ_IPoTwEMB9Yp6ymwlPqew/edit?gid=984458430#gid=984458430"", ""'replication success'!A:K""), 11, FAlSE)"),"#N/A")</f>
        <v>#N/A</v>
      </c>
      <c r="AZ2711" s="61" t="str">
        <f>IFERROR(__xludf.DUMMYFUNCTION("vlookup(BB2711,importrange(""https://docs.google.com/spreadsheets/d/1d2vevQ_7D_v35q4wCQ4RpQ_IPoTwEMB9Yp6ymwlPqew/edit?gid=984458430#gid=984458430"", ""'replication success'!A:M""), 12, FAlSE)"),"#N/A")</f>
        <v>#N/A</v>
      </c>
      <c r="BA2711" s="61" t="str">
        <f>IFERROR(__xludf.DUMMYFUNCTION("vlookup(BB2711,importrange(""https://docs.google.com/spreadsheets/d/1d2vevQ_7D_v35q4wCQ4RpQ_IPoTwEMB9Yp6ymwlPqew/edit?gid=984458430#gid=984458430"", ""'replication success'!A:M""), 13, FAlSE)"),"#N/A")</f>
        <v>#N/A</v>
      </c>
      <c r="BB2711" s="61" t="str">
        <f>IFERROR(__xludf.DUMMYFUNCTION("REGEXREPLACE(G2711, ""_[a-z]{1,2}$"", """")"),"add_ai30")</f>
        <v>add_ai30</v>
      </c>
      <c r="BC2711" s="1572"/>
      <c r="BD2711" s="1588" t="s">
        <v>13264</v>
      </c>
      <c r="BE2711" s="342"/>
      <c r="BF2711" s="342"/>
      <c r="BG2711" s="342"/>
      <c r="BH2711" s="342"/>
      <c r="BI2711" s="342"/>
      <c r="BJ2711" s="342"/>
      <c r="BK2711" s="342"/>
      <c r="BL2711" s="342"/>
      <c r="BM2711" s="342"/>
      <c r="BN2711" s="342"/>
      <c r="BO2711" s="342"/>
      <c r="BP2711" s="342"/>
      <c r="BQ2711" s="342"/>
      <c r="BR2711" s="342"/>
      <c r="BS2711" s="342"/>
      <c r="BT2711" s="342"/>
      <c r="BU2711" s="342"/>
      <c r="BV2711" s="342"/>
      <c r="BW2711" s="342"/>
      <c r="BX2711" s="342"/>
      <c r="BY2711" s="342"/>
      <c r="BZ2711" s="342"/>
      <c r="CA2711" s="342"/>
      <c r="CB2711" s="342"/>
      <c r="CC2711" s="342"/>
      <c r="CD2711" s="342"/>
      <c r="CE2711" s="342"/>
      <c r="CF2711" s="342"/>
      <c r="CG2711" s="342"/>
      <c r="CH2711" s="342"/>
      <c r="CI2711" s="342"/>
      <c r="CJ2711" s="342"/>
      <c r="CK2711" s="342"/>
      <c r="CL2711" s="342"/>
      <c r="CM2711" s="342"/>
      <c r="CN2711" s="342"/>
      <c r="CO2711" s="342"/>
      <c r="CP2711" s="342"/>
      <c r="CQ2711" s="342"/>
      <c r="CR2711" s="342"/>
      <c r="CS2711" s="342"/>
      <c r="CT2711" s="342"/>
      <c r="CU2711" s="342"/>
      <c r="CV2711" s="342"/>
      <c r="CW2711" s="342"/>
      <c r="CX2711" s="342"/>
      <c r="CY2711" s="342"/>
      <c r="CZ2711" s="342"/>
      <c r="DA2711" s="342"/>
      <c r="DB2711" s="342"/>
      <c r="DC2711" s="342"/>
      <c r="DD2711" s="342"/>
      <c r="DE2711" s="342"/>
      <c r="DF2711" s="342"/>
      <c r="DG2711" s="342"/>
      <c r="DH2711" s="342"/>
      <c r="DI2711" s="342"/>
      <c r="DJ2711" s="342"/>
      <c r="DK2711" s="342"/>
      <c r="DL2711" s="342"/>
    </row>
    <row r="2712">
      <c r="A2712" s="44">
        <v>3132.0</v>
      </c>
      <c r="B2712" s="1322" t="s">
        <v>152</v>
      </c>
      <c r="C2712" s="1588" t="s">
        <v>115</v>
      </c>
      <c r="D2712" s="1588" t="s">
        <v>153</v>
      </c>
      <c r="E2712" s="1572"/>
      <c r="F2712" s="1600" t="s">
        <v>16030</v>
      </c>
      <c r="G2712" s="1592" t="s">
        <v>16052</v>
      </c>
      <c r="H2712" s="1600" t="s">
        <v>15921</v>
      </c>
      <c r="I2712" s="2229">
        <v>45821.0</v>
      </c>
      <c r="J2712" s="2230">
        <v>45845.0</v>
      </c>
      <c r="K2712" s="1313"/>
      <c r="L2712" s="1313"/>
      <c r="M2712" s="1592" t="s">
        <v>16032</v>
      </c>
      <c r="N2712" s="1592" t="s">
        <v>16033</v>
      </c>
      <c r="O2712" s="1313"/>
      <c r="P2712" s="1592" t="s">
        <v>16034</v>
      </c>
      <c r="Q2712" s="2231" t="str">
        <f t="array" ref="Q2712"> if(iserror(MATCH(V2712, 'File Links'!C:C, 0)), "N/A", HYPERLINK(INDEX('File Links'!B:B, MATCH(P2712, 'File Links'!C:C, 0))))</f>
        <v>https://drive.google.com/file/d/1zwo0Z9c95_nMMyR8_YF91_12LgVySkVG/view?usp=drivesdk</v>
      </c>
      <c r="R2712" s="1592" t="s">
        <v>16053</v>
      </c>
      <c r="S2712" s="1592" t="s">
        <v>16036</v>
      </c>
      <c r="T2712" s="1313"/>
      <c r="U2712" s="1313"/>
      <c r="V2712" s="1592" t="s">
        <v>16037</v>
      </c>
      <c r="W2712" s="1313"/>
      <c r="X2712" s="2233" t="str">
        <f t="array" ref="X2712"> if(iserror(MATCH(V2712, 'File Links'!C:C, 0)), "N/A", HYPERLINK(INDEX('File Links'!B:B, MATCH(V2712, 'File Links'!C:C, 0))))</f>
        <v>https://drive.google.com/file/d/1QuBW1YTzJmF7ZZ5KLsu8m14qTEgfOrf4/view?usp=drivesdk</v>
      </c>
      <c r="Y2712" s="1313"/>
      <c r="Z2712" s="1592" t="s">
        <v>226</v>
      </c>
      <c r="AA2712" s="1592" t="s">
        <v>16048</v>
      </c>
      <c r="AB2712" s="1592" t="s">
        <v>16049</v>
      </c>
      <c r="AC2712" s="1600" t="s">
        <v>16054</v>
      </c>
      <c r="AD2712" s="1600" t="s">
        <v>16055</v>
      </c>
      <c r="AE2712" s="2264">
        <v>45718.0</v>
      </c>
      <c r="AF2712" s="2265">
        <v>41.0</v>
      </c>
      <c r="AG2712" s="1596">
        <v>0.1</v>
      </c>
      <c r="AH2712" s="1592" t="s">
        <v>874</v>
      </c>
      <c r="AI2712" s="1592" t="s">
        <v>217</v>
      </c>
      <c r="AJ2712" s="2265">
        <v>0.05</v>
      </c>
      <c r="AK2712" s="1592" t="s">
        <v>172</v>
      </c>
      <c r="AL2712" s="1592" t="s">
        <v>186</v>
      </c>
      <c r="AM2712" s="1592" t="s">
        <v>137</v>
      </c>
      <c r="AN2712" s="1592" t="s">
        <v>138</v>
      </c>
      <c r="AO2712" s="1596">
        <v>148.0</v>
      </c>
      <c r="AP2712" s="2265">
        <v>-0.07</v>
      </c>
      <c r="AQ2712" s="1592" t="s">
        <v>602</v>
      </c>
      <c r="AR2712" s="2255" t="s">
        <v>217</v>
      </c>
      <c r="AS2712" s="2265">
        <v>0.672</v>
      </c>
      <c r="AT2712" s="1592" t="s">
        <v>172</v>
      </c>
      <c r="AU2712" s="1592" t="s">
        <v>186</v>
      </c>
      <c r="AV2712" s="1592" t="s">
        <v>137</v>
      </c>
      <c r="AW2712" s="2263" t="s">
        <v>16044</v>
      </c>
      <c r="AX2712" s="1592" t="s">
        <v>143</v>
      </c>
      <c r="AY2712" s="61" t="str">
        <f>IFERROR(__xludf.DUMMYFUNCTION("vlookup(BB2712,importrange(""https://docs.google.com/spreadsheets/d/1d2vevQ_7D_v35q4wCQ4RpQ_IPoTwEMB9Yp6ymwlPqew/edit?gid=984458430#gid=984458430"", ""'replication success'!A:K""), 11, FAlSE)"),"#N/A")</f>
        <v>#N/A</v>
      </c>
      <c r="AZ2712" s="61" t="str">
        <f>IFERROR(__xludf.DUMMYFUNCTION("vlookup(BB2712,importrange(""https://docs.google.com/spreadsheets/d/1d2vevQ_7D_v35q4wCQ4RpQ_IPoTwEMB9Yp6ymwlPqew/edit?gid=984458430#gid=984458430"", ""'replication success'!A:M""), 12, FAlSE)"),"#N/A")</f>
        <v>#N/A</v>
      </c>
      <c r="BA2712" s="61" t="str">
        <f>IFERROR(__xludf.DUMMYFUNCTION("vlookup(BB2712,importrange(""https://docs.google.com/spreadsheets/d/1d2vevQ_7D_v35q4wCQ4RpQ_IPoTwEMB9Yp6ymwlPqew/edit?gid=984458430#gid=984458430"", ""'replication success'!A:M""), 13, FAlSE)"),"#N/A")</f>
        <v>#N/A</v>
      </c>
      <c r="BB2712" s="61" t="str">
        <f>IFERROR(__xludf.DUMMYFUNCTION("REGEXREPLACE(G2712, ""_[a-z]{1,2}$"", """")"),"add_ai30")</f>
        <v>add_ai30</v>
      </c>
      <c r="BC2712" s="1572"/>
      <c r="BD2712" s="1588" t="s">
        <v>13264</v>
      </c>
      <c r="BE2712" s="342"/>
      <c r="BF2712" s="342"/>
      <c r="BG2712" s="342"/>
      <c r="BH2712" s="342"/>
      <c r="BI2712" s="342"/>
      <c r="BJ2712" s="342"/>
      <c r="BK2712" s="342"/>
      <c r="BL2712" s="342"/>
      <c r="BM2712" s="342"/>
      <c r="BN2712" s="342"/>
      <c r="BO2712" s="342"/>
      <c r="BP2712" s="342"/>
      <c r="BQ2712" s="342"/>
      <c r="BR2712" s="342"/>
      <c r="BS2712" s="342"/>
      <c r="BT2712" s="342"/>
      <c r="BU2712" s="342"/>
      <c r="BV2712" s="342"/>
      <c r="BW2712" s="342"/>
      <c r="BX2712" s="342"/>
      <c r="BY2712" s="342"/>
      <c r="BZ2712" s="342"/>
      <c r="CA2712" s="342"/>
      <c r="CB2712" s="342"/>
      <c r="CC2712" s="342"/>
      <c r="CD2712" s="342"/>
      <c r="CE2712" s="342"/>
      <c r="CF2712" s="342"/>
      <c r="CG2712" s="342"/>
      <c r="CH2712" s="342"/>
      <c r="CI2712" s="342"/>
      <c r="CJ2712" s="342"/>
      <c r="CK2712" s="342"/>
      <c r="CL2712" s="342"/>
      <c r="CM2712" s="342"/>
      <c r="CN2712" s="342"/>
      <c r="CO2712" s="342"/>
      <c r="CP2712" s="342"/>
      <c r="CQ2712" s="342"/>
      <c r="CR2712" s="342"/>
      <c r="CS2712" s="342"/>
      <c r="CT2712" s="342"/>
      <c r="CU2712" s="342"/>
      <c r="CV2712" s="342"/>
      <c r="CW2712" s="342"/>
      <c r="CX2712" s="342"/>
      <c r="CY2712" s="342"/>
      <c r="CZ2712" s="342"/>
      <c r="DA2712" s="342"/>
      <c r="DB2712" s="342"/>
      <c r="DC2712" s="342"/>
      <c r="DD2712" s="342"/>
      <c r="DE2712" s="342"/>
      <c r="DF2712" s="342"/>
      <c r="DG2712" s="342"/>
      <c r="DH2712" s="342"/>
      <c r="DI2712" s="342"/>
      <c r="DJ2712" s="342"/>
      <c r="DK2712" s="342"/>
      <c r="DL2712" s="342"/>
    </row>
    <row r="2713">
      <c r="A2713" s="44">
        <v>3133.0</v>
      </c>
      <c r="B2713" s="1322" t="s">
        <v>152</v>
      </c>
      <c r="C2713" s="1588" t="s">
        <v>115</v>
      </c>
      <c r="D2713" s="1588" t="s">
        <v>153</v>
      </c>
      <c r="E2713" s="1572"/>
      <c r="F2713" s="1600" t="s">
        <v>16030</v>
      </c>
      <c r="G2713" s="1592" t="s">
        <v>16056</v>
      </c>
      <c r="H2713" s="1600" t="s">
        <v>15921</v>
      </c>
      <c r="I2713" s="2229">
        <v>45821.0</v>
      </c>
      <c r="J2713" s="2230">
        <v>45845.0</v>
      </c>
      <c r="K2713" s="1313"/>
      <c r="L2713" s="1313"/>
      <c r="M2713" s="1592" t="s">
        <v>16032</v>
      </c>
      <c r="N2713" s="1592" t="s">
        <v>16033</v>
      </c>
      <c r="O2713" s="1313"/>
      <c r="P2713" s="1592" t="s">
        <v>16034</v>
      </c>
      <c r="Q2713" s="2231" t="str">
        <f t="array" ref="Q2713"> if(iserror(MATCH(V2713, 'File Links'!C:C, 0)), "N/A", HYPERLINK(INDEX('File Links'!B:B, MATCH(P2713, 'File Links'!C:C, 0))))</f>
        <v>https://drive.google.com/file/d/1zwo0Z9c95_nMMyR8_YF91_12LgVySkVG/view?usp=drivesdk</v>
      </c>
      <c r="R2713" s="2232" t="s">
        <v>16057</v>
      </c>
      <c r="S2713" s="1592" t="s">
        <v>16036</v>
      </c>
      <c r="T2713" s="1313"/>
      <c r="U2713" s="1313"/>
      <c r="V2713" s="1592" t="s">
        <v>16037</v>
      </c>
      <c r="W2713" s="1313"/>
      <c r="X2713" s="2233" t="str">
        <f t="array" ref="X2713"> if(iserror(MATCH(V2713, 'File Links'!C:C, 0)), "N/A", HYPERLINK(INDEX('File Links'!B:B, MATCH(V2713, 'File Links'!C:C, 0))))</f>
        <v>https://drive.google.com/file/d/1QuBW1YTzJmF7ZZ5KLsu8m14qTEgfOrf4/view?usp=drivesdk</v>
      </c>
      <c r="Y2713" s="1313"/>
      <c r="Z2713" s="1592" t="s">
        <v>226</v>
      </c>
      <c r="AA2713" s="1592" t="s">
        <v>16048</v>
      </c>
      <c r="AB2713" s="1592" t="s">
        <v>16049</v>
      </c>
      <c r="AC2713" s="1600" t="s">
        <v>16058</v>
      </c>
      <c r="AD2713" s="1600" t="s">
        <v>16059</v>
      </c>
      <c r="AE2713" s="2264">
        <v>45718.0</v>
      </c>
      <c r="AF2713" s="2265">
        <v>41.0</v>
      </c>
      <c r="AG2713" s="1596">
        <v>0.1</v>
      </c>
      <c r="AH2713" s="1592" t="s">
        <v>874</v>
      </c>
      <c r="AI2713" s="1592" t="s">
        <v>217</v>
      </c>
      <c r="AJ2713" s="2265">
        <v>0.05</v>
      </c>
      <c r="AK2713" s="1592" t="s">
        <v>172</v>
      </c>
      <c r="AL2713" s="1592" t="s">
        <v>186</v>
      </c>
      <c r="AM2713" s="1592" t="s">
        <v>137</v>
      </c>
      <c r="AN2713" s="1592" t="s">
        <v>138</v>
      </c>
      <c r="AO2713" s="1596">
        <v>148.0</v>
      </c>
      <c r="AP2713" s="2265">
        <v>-0.03</v>
      </c>
      <c r="AQ2713" s="1592" t="s">
        <v>602</v>
      </c>
      <c r="AR2713" s="2255" t="s">
        <v>217</v>
      </c>
      <c r="AS2713" s="2265">
        <v>0.842</v>
      </c>
      <c r="AT2713" s="1592" t="s">
        <v>172</v>
      </c>
      <c r="AU2713" s="1592" t="s">
        <v>186</v>
      </c>
      <c r="AV2713" s="1592" t="s">
        <v>137</v>
      </c>
      <c r="AW2713" s="2263" t="s">
        <v>16044</v>
      </c>
      <c r="AX2713" s="1592" t="s">
        <v>143</v>
      </c>
      <c r="AY2713" s="61" t="str">
        <f>IFERROR(__xludf.DUMMYFUNCTION("vlookup(BB2713,importrange(""https://docs.google.com/spreadsheets/d/1d2vevQ_7D_v35q4wCQ4RpQ_IPoTwEMB9Yp6ymwlPqew/edit?gid=984458430#gid=984458430"", ""'replication success'!A:K""), 11, FAlSE)"),"#N/A")</f>
        <v>#N/A</v>
      </c>
      <c r="AZ2713" s="61" t="str">
        <f>IFERROR(__xludf.DUMMYFUNCTION("vlookup(BB2713,importrange(""https://docs.google.com/spreadsheets/d/1d2vevQ_7D_v35q4wCQ4RpQ_IPoTwEMB9Yp6ymwlPqew/edit?gid=984458430#gid=984458430"", ""'replication success'!A:M""), 12, FAlSE)"),"#N/A")</f>
        <v>#N/A</v>
      </c>
      <c r="BA2713" s="61" t="str">
        <f>IFERROR(__xludf.DUMMYFUNCTION("vlookup(BB2713,importrange(""https://docs.google.com/spreadsheets/d/1d2vevQ_7D_v35q4wCQ4RpQ_IPoTwEMB9Yp6ymwlPqew/edit?gid=984458430#gid=984458430"", ""'replication success'!A:M""), 13, FAlSE)"),"#N/A")</f>
        <v>#N/A</v>
      </c>
      <c r="BB2713" s="61" t="str">
        <f>IFERROR(__xludf.DUMMYFUNCTION("REGEXREPLACE(G2713, ""_[a-z]{1,2}$"", """")"),"add_ai30")</f>
        <v>add_ai30</v>
      </c>
      <c r="BC2713" s="1572"/>
      <c r="BD2713" s="1588" t="s">
        <v>13264</v>
      </c>
      <c r="BE2713" s="342"/>
      <c r="BF2713" s="342"/>
      <c r="BG2713" s="342"/>
      <c r="BH2713" s="342"/>
      <c r="BI2713" s="342"/>
      <c r="BJ2713" s="342"/>
      <c r="BK2713" s="342"/>
      <c r="BL2713" s="342"/>
      <c r="BM2713" s="342"/>
      <c r="BN2713" s="342"/>
      <c r="BO2713" s="342"/>
      <c r="BP2713" s="342"/>
      <c r="BQ2713" s="342"/>
      <c r="BR2713" s="342"/>
      <c r="BS2713" s="342"/>
      <c r="BT2713" s="342"/>
      <c r="BU2713" s="342"/>
      <c r="BV2713" s="342"/>
      <c r="BW2713" s="342"/>
      <c r="BX2713" s="342"/>
      <c r="BY2713" s="342"/>
      <c r="BZ2713" s="342"/>
      <c r="CA2713" s="342"/>
      <c r="CB2713" s="342"/>
      <c r="CC2713" s="342"/>
      <c r="CD2713" s="342"/>
      <c r="CE2713" s="342"/>
      <c r="CF2713" s="342"/>
      <c r="CG2713" s="342"/>
      <c r="CH2713" s="342"/>
      <c r="CI2713" s="342"/>
      <c r="CJ2713" s="342"/>
      <c r="CK2713" s="342"/>
      <c r="CL2713" s="342"/>
      <c r="CM2713" s="342"/>
      <c r="CN2713" s="342"/>
      <c r="CO2713" s="342"/>
      <c r="CP2713" s="342"/>
      <c r="CQ2713" s="342"/>
      <c r="CR2713" s="342"/>
      <c r="CS2713" s="342"/>
      <c r="CT2713" s="342"/>
      <c r="CU2713" s="342"/>
      <c r="CV2713" s="342"/>
      <c r="CW2713" s="342"/>
      <c r="CX2713" s="342"/>
      <c r="CY2713" s="342"/>
      <c r="CZ2713" s="342"/>
      <c r="DA2713" s="342"/>
      <c r="DB2713" s="342"/>
      <c r="DC2713" s="342"/>
      <c r="DD2713" s="342"/>
      <c r="DE2713" s="342"/>
      <c r="DF2713" s="342"/>
      <c r="DG2713" s="342"/>
      <c r="DH2713" s="342"/>
      <c r="DI2713" s="342"/>
      <c r="DJ2713" s="342"/>
      <c r="DK2713" s="342"/>
      <c r="DL2713" s="342"/>
    </row>
    <row r="2714">
      <c r="A2714" s="44">
        <v>3134.0</v>
      </c>
      <c r="B2714" s="1322" t="s">
        <v>152</v>
      </c>
      <c r="C2714" s="1588" t="s">
        <v>115</v>
      </c>
      <c r="D2714" s="1588" t="s">
        <v>153</v>
      </c>
      <c r="E2714" s="1572"/>
      <c r="F2714" s="1600" t="s">
        <v>16030</v>
      </c>
      <c r="G2714" s="1592" t="s">
        <v>16060</v>
      </c>
      <c r="H2714" s="1600" t="s">
        <v>15921</v>
      </c>
      <c r="I2714" s="2229">
        <v>45821.0</v>
      </c>
      <c r="J2714" s="2230">
        <v>45845.0</v>
      </c>
      <c r="K2714" s="1313"/>
      <c r="L2714" s="1313"/>
      <c r="M2714" s="1592" t="s">
        <v>16032</v>
      </c>
      <c r="N2714" s="1592" t="s">
        <v>16033</v>
      </c>
      <c r="O2714" s="1313"/>
      <c r="P2714" s="1592" t="s">
        <v>16034</v>
      </c>
      <c r="Q2714" s="2231" t="str">
        <f t="array" ref="Q2714"> if(iserror(MATCH(V2714, 'File Links'!C:C, 0)), "N/A", HYPERLINK(INDEX('File Links'!B:B, MATCH(P2714, 'File Links'!C:C, 0))))</f>
        <v>https://drive.google.com/file/d/1zwo0Z9c95_nMMyR8_YF91_12LgVySkVG/view?usp=drivesdk</v>
      </c>
      <c r="R2714" s="1592" t="s">
        <v>16053</v>
      </c>
      <c r="S2714" s="1592" t="s">
        <v>16036</v>
      </c>
      <c r="T2714" s="1313"/>
      <c r="U2714" s="1313"/>
      <c r="V2714" s="1592" t="s">
        <v>16037</v>
      </c>
      <c r="W2714" s="1313"/>
      <c r="X2714" s="2233" t="str">
        <f t="array" ref="X2714"> if(iserror(MATCH(V2714, 'File Links'!C:C, 0)), "N/A", HYPERLINK(INDEX('File Links'!B:B, MATCH(V2714, 'File Links'!C:C, 0))))</f>
        <v>https://drive.google.com/file/d/1QuBW1YTzJmF7ZZ5KLsu8m14qTEgfOrf4/view?usp=drivesdk</v>
      </c>
      <c r="Y2714" s="1313"/>
      <c r="Z2714" s="1592" t="s">
        <v>226</v>
      </c>
      <c r="AA2714" s="1592" t="s">
        <v>16048</v>
      </c>
      <c r="AB2714" s="1592" t="s">
        <v>16049</v>
      </c>
      <c r="AC2714" s="1600" t="s">
        <v>16061</v>
      </c>
      <c r="AD2714" s="1600" t="s">
        <v>16062</v>
      </c>
      <c r="AE2714" s="2264">
        <v>45718.0</v>
      </c>
      <c r="AF2714" s="2265">
        <v>41.0</v>
      </c>
      <c r="AG2714" s="2265">
        <v>0.06</v>
      </c>
      <c r="AH2714" s="1592" t="s">
        <v>874</v>
      </c>
      <c r="AI2714" s="1592" t="s">
        <v>217</v>
      </c>
      <c r="AJ2714" s="2265">
        <v>0.12</v>
      </c>
      <c r="AK2714" s="1592" t="s">
        <v>172</v>
      </c>
      <c r="AL2714" s="1592" t="s">
        <v>186</v>
      </c>
      <c r="AM2714" s="1592" t="s">
        <v>137</v>
      </c>
      <c r="AN2714" s="1592" t="s">
        <v>138</v>
      </c>
      <c r="AO2714" s="1596">
        <v>148.0</v>
      </c>
      <c r="AP2714" s="2265">
        <v>0.08</v>
      </c>
      <c r="AQ2714" s="1592" t="s">
        <v>602</v>
      </c>
      <c r="AR2714" s="2255" t="s">
        <v>217</v>
      </c>
      <c r="AS2714" s="2265">
        <v>0.646</v>
      </c>
      <c r="AT2714" s="1592" t="s">
        <v>172</v>
      </c>
      <c r="AU2714" s="1592" t="s">
        <v>186</v>
      </c>
      <c r="AV2714" s="1592" t="s">
        <v>137</v>
      </c>
      <c r="AW2714" s="1601" t="s">
        <v>16044</v>
      </c>
      <c r="AX2714" s="1592" t="s">
        <v>143</v>
      </c>
      <c r="AY2714" s="61" t="str">
        <f>IFERROR(__xludf.DUMMYFUNCTION("vlookup(BB2714,importrange(""https://docs.google.com/spreadsheets/d/1d2vevQ_7D_v35q4wCQ4RpQ_IPoTwEMB9Yp6ymwlPqew/edit?gid=984458430#gid=984458430"", ""'replication success'!A:K""), 11, FAlSE)"),"#N/A")</f>
        <v>#N/A</v>
      </c>
      <c r="AZ2714" s="61" t="str">
        <f>IFERROR(__xludf.DUMMYFUNCTION("vlookup(BB2714,importrange(""https://docs.google.com/spreadsheets/d/1d2vevQ_7D_v35q4wCQ4RpQ_IPoTwEMB9Yp6ymwlPqew/edit?gid=984458430#gid=984458430"", ""'replication success'!A:M""), 12, FAlSE)"),"#N/A")</f>
        <v>#N/A</v>
      </c>
      <c r="BA2714" s="61" t="str">
        <f>IFERROR(__xludf.DUMMYFUNCTION("vlookup(BB2714,importrange(""https://docs.google.com/spreadsheets/d/1d2vevQ_7D_v35q4wCQ4RpQ_IPoTwEMB9Yp6ymwlPqew/edit?gid=984458430#gid=984458430"", ""'replication success'!A:M""), 13, FAlSE)"),"#N/A")</f>
        <v>#N/A</v>
      </c>
      <c r="BB2714" s="61" t="str">
        <f>IFERROR(__xludf.DUMMYFUNCTION("REGEXREPLACE(G2714, ""_[a-z]{1,2}$"", """")"),"add_ai30")</f>
        <v>add_ai30</v>
      </c>
      <c r="BC2714" s="1572"/>
      <c r="BD2714" s="1588" t="s">
        <v>13264</v>
      </c>
      <c r="BE2714" s="342"/>
      <c r="BF2714" s="342"/>
      <c r="BG2714" s="342"/>
      <c r="BH2714" s="342"/>
      <c r="BI2714" s="342"/>
      <c r="BJ2714" s="342"/>
      <c r="BK2714" s="342"/>
      <c r="BL2714" s="342"/>
      <c r="BM2714" s="342"/>
      <c r="BN2714" s="342"/>
      <c r="BO2714" s="342"/>
      <c r="BP2714" s="342"/>
      <c r="BQ2714" s="342"/>
      <c r="BR2714" s="342"/>
      <c r="BS2714" s="342"/>
      <c r="BT2714" s="342"/>
      <c r="BU2714" s="342"/>
      <c r="BV2714" s="342"/>
      <c r="BW2714" s="342"/>
      <c r="BX2714" s="342"/>
      <c r="BY2714" s="342"/>
      <c r="BZ2714" s="342"/>
      <c r="CA2714" s="342"/>
      <c r="CB2714" s="342"/>
      <c r="CC2714" s="342"/>
      <c r="CD2714" s="342"/>
      <c r="CE2714" s="342"/>
      <c r="CF2714" s="342"/>
      <c r="CG2714" s="342"/>
      <c r="CH2714" s="342"/>
      <c r="CI2714" s="342"/>
      <c r="CJ2714" s="342"/>
      <c r="CK2714" s="342"/>
      <c r="CL2714" s="342"/>
      <c r="CM2714" s="342"/>
      <c r="CN2714" s="342"/>
      <c r="CO2714" s="342"/>
      <c r="CP2714" s="342"/>
      <c r="CQ2714" s="342"/>
      <c r="CR2714" s="342"/>
      <c r="CS2714" s="342"/>
      <c r="CT2714" s="342"/>
      <c r="CU2714" s="342"/>
      <c r="CV2714" s="342"/>
      <c r="CW2714" s="342"/>
      <c r="CX2714" s="342"/>
      <c r="CY2714" s="342"/>
      <c r="CZ2714" s="342"/>
      <c r="DA2714" s="342"/>
      <c r="DB2714" s="342"/>
      <c r="DC2714" s="342"/>
      <c r="DD2714" s="342"/>
      <c r="DE2714" s="342"/>
      <c r="DF2714" s="342"/>
      <c r="DG2714" s="342"/>
      <c r="DH2714" s="342"/>
      <c r="DI2714" s="342"/>
      <c r="DJ2714" s="342"/>
      <c r="DK2714" s="342"/>
      <c r="DL2714" s="342"/>
    </row>
    <row r="2715">
      <c r="A2715" s="44">
        <v>3135.0</v>
      </c>
      <c r="B2715" s="1322" t="s">
        <v>590</v>
      </c>
      <c r="C2715" s="1588" t="s">
        <v>115</v>
      </c>
      <c r="D2715" s="1588" t="s">
        <v>153</v>
      </c>
      <c r="E2715" s="1572"/>
      <c r="F2715" s="1600" t="s">
        <v>16030</v>
      </c>
      <c r="G2715" s="1592" t="s">
        <v>16063</v>
      </c>
      <c r="H2715" s="1600" t="s">
        <v>15921</v>
      </c>
      <c r="I2715" s="2229">
        <v>45821.0</v>
      </c>
      <c r="J2715" s="2230">
        <v>45845.0</v>
      </c>
      <c r="K2715" s="1313"/>
      <c r="L2715" s="1322" t="s">
        <v>16064</v>
      </c>
      <c r="M2715" s="1592" t="s">
        <v>16032</v>
      </c>
      <c r="N2715" s="1592" t="s">
        <v>16033</v>
      </c>
      <c r="O2715" s="1313"/>
      <c r="P2715" s="1592" t="s">
        <v>16034</v>
      </c>
      <c r="Q2715" s="2231" t="str">
        <f t="array" ref="Q2715"> if(iserror(MATCH(V2715, 'File Links'!C:C, 0)), "N/A", HYPERLINK(INDEX('File Links'!B:B, MATCH(P2715, 'File Links'!C:C, 0))))</f>
        <v>https://drive.google.com/file/d/1zwo0Z9c95_nMMyR8_YF91_12LgVySkVG/view?usp=drivesdk</v>
      </c>
      <c r="R2715" s="1592" t="s">
        <v>16053</v>
      </c>
      <c r="S2715" s="1592" t="s">
        <v>16036</v>
      </c>
      <c r="T2715" s="1313"/>
      <c r="U2715" s="1313"/>
      <c r="V2715" s="1592" t="s">
        <v>16037</v>
      </c>
      <c r="W2715" s="1313"/>
      <c r="X2715" s="2233" t="str">
        <f t="array" ref="X2715"> if(iserror(MATCH(V2715, 'File Links'!C:C, 0)), "N/A", HYPERLINK(INDEX('File Links'!B:B, MATCH(V2715, 'File Links'!C:C, 0))))</f>
        <v>https://drive.google.com/file/d/1QuBW1YTzJmF7ZZ5KLsu8m14qTEgfOrf4/view?usp=drivesdk</v>
      </c>
      <c r="Y2715" s="1313"/>
      <c r="Z2715" s="1592" t="s">
        <v>226</v>
      </c>
      <c r="AA2715" s="1592" t="s">
        <v>16048</v>
      </c>
      <c r="AB2715" s="1592" t="s">
        <v>16049</v>
      </c>
      <c r="AC2715" s="1592" t="s">
        <v>16065</v>
      </c>
      <c r="AD2715" s="2262" t="s">
        <v>16051</v>
      </c>
      <c r="AE2715" s="1596">
        <v>2.0</v>
      </c>
      <c r="AF2715" s="1596">
        <v>41.0</v>
      </c>
      <c r="AG2715" s="2259">
        <v>1.11</v>
      </c>
      <c r="AH2715" s="2255" t="s">
        <v>173</v>
      </c>
      <c r="AI2715" s="1592" t="s">
        <v>217</v>
      </c>
      <c r="AJ2715" s="2259">
        <v>0.01</v>
      </c>
      <c r="AK2715" s="1592" t="s">
        <v>135</v>
      </c>
      <c r="AL2715" s="1592" t="s">
        <v>186</v>
      </c>
      <c r="AM2715" s="1592" t="s">
        <v>137</v>
      </c>
      <c r="AN2715" s="1592" t="s">
        <v>138</v>
      </c>
      <c r="AO2715" s="1596">
        <v>148.0</v>
      </c>
      <c r="AP2715" s="2265" t="s">
        <v>16066</v>
      </c>
      <c r="AQ2715" s="1592" t="s">
        <v>134</v>
      </c>
      <c r="AR2715" s="2237" t="s">
        <v>850</v>
      </c>
      <c r="AS2715" s="2265">
        <v>0.868</v>
      </c>
      <c r="AT2715" s="1592" t="s">
        <v>172</v>
      </c>
      <c r="AU2715" s="1592" t="s">
        <v>186</v>
      </c>
      <c r="AV2715" s="1592" t="s">
        <v>137</v>
      </c>
      <c r="AW2715" s="1601" t="s">
        <v>16044</v>
      </c>
      <c r="AX2715" s="1592" t="s">
        <v>143</v>
      </c>
      <c r="AY2715" s="1321" t="str">
        <f>IFERROR(__xludf.DUMMYFUNCTION("vlookup(BB2715,importrange(""https://docs.google.com/spreadsheets/d/1d2vevQ_7D_v35q4wCQ4RpQ_IPoTwEMB9Yp6ymwlPqew/edit?gid=984458430#gid=984458430"", ""'replication success'!A:K""), 11, FAlSE)"),"#N/A")</f>
        <v>#N/A</v>
      </c>
      <c r="AZ2715" s="1321" t="str">
        <f>IFERROR(__xludf.DUMMYFUNCTION("vlookup(BB2715,importrange(""https://docs.google.com/spreadsheets/d/1d2vevQ_7D_v35q4wCQ4RpQ_IPoTwEMB9Yp6ymwlPqew/edit?gid=984458430#gid=984458430"", ""'replication success'!A:M""), 12, FAlSE)"),"#N/A")</f>
        <v>#N/A</v>
      </c>
      <c r="BA2715" s="1321" t="str">
        <f>IFERROR(__xludf.DUMMYFUNCTION("vlookup(BB2715,importrange(""https://docs.google.com/spreadsheets/d/1d2vevQ_7D_v35q4wCQ4RpQ_IPoTwEMB9Yp6ymwlPqew/edit?gid=984458430#gid=984458430"", ""'replication success'!A:M""), 13, FAlSE)"),"#N/A")</f>
        <v>#N/A</v>
      </c>
      <c r="BB2715" s="1321" t="str">
        <f>IFERROR(__xludf.DUMMYFUNCTION("REGEXREPLACE(G2715, ""_[a-z]{1,2}$"", """")"),"add_ai30")</f>
        <v>add_ai30</v>
      </c>
      <c r="BC2715" s="1572"/>
      <c r="BD2715" s="1588" t="s">
        <v>13264</v>
      </c>
      <c r="BE2715" s="342"/>
      <c r="BF2715" s="342"/>
      <c r="BG2715" s="342"/>
      <c r="BH2715" s="342"/>
      <c r="BI2715" s="342"/>
      <c r="BJ2715" s="342"/>
      <c r="BK2715" s="342"/>
      <c r="BL2715" s="342"/>
      <c r="BM2715" s="342"/>
      <c r="BN2715" s="342"/>
      <c r="BO2715" s="342"/>
      <c r="BP2715" s="342"/>
      <c r="BQ2715" s="342"/>
      <c r="BR2715" s="342"/>
      <c r="BS2715" s="342"/>
      <c r="BT2715" s="342"/>
      <c r="BU2715" s="342"/>
      <c r="BV2715" s="342"/>
      <c r="BW2715" s="342"/>
      <c r="BX2715" s="342"/>
      <c r="BY2715" s="342"/>
      <c r="BZ2715" s="342"/>
      <c r="CA2715" s="342"/>
      <c r="CB2715" s="342"/>
      <c r="CC2715" s="342"/>
      <c r="CD2715" s="342"/>
      <c r="CE2715" s="342"/>
      <c r="CF2715" s="342"/>
      <c r="CG2715" s="342"/>
      <c r="CH2715" s="342"/>
      <c r="CI2715" s="342"/>
      <c r="CJ2715" s="342"/>
      <c r="CK2715" s="342"/>
      <c r="CL2715" s="342"/>
      <c r="CM2715" s="342"/>
      <c r="CN2715" s="342"/>
      <c r="CO2715" s="342"/>
      <c r="CP2715" s="342"/>
      <c r="CQ2715" s="342"/>
      <c r="CR2715" s="342"/>
      <c r="CS2715" s="342"/>
      <c r="CT2715" s="342"/>
      <c r="CU2715" s="342"/>
      <c r="CV2715" s="342"/>
      <c r="CW2715" s="342"/>
      <c r="CX2715" s="342"/>
      <c r="CY2715" s="342"/>
      <c r="CZ2715" s="342"/>
      <c r="DA2715" s="342"/>
      <c r="DB2715" s="342"/>
      <c r="DC2715" s="342"/>
      <c r="DD2715" s="342"/>
      <c r="DE2715" s="342"/>
      <c r="DF2715" s="342"/>
      <c r="DG2715" s="342"/>
      <c r="DH2715" s="342"/>
      <c r="DI2715" s="342"/>
      <c r="DJ2715" s="342"/>
      <c r="DK2715" s="342"/>
      <c r="DL2715" s="342"/>
    </row>
    <row r="2716" ht="18.0" customHeight="1">
      <c r="A2716" s="44">
        <v>3163.0</v>
      </c>
      <c r="B2716" s="1322" t="s">
        <v>114</v>
      </c>
      <c r="C2716" s="1588" t="s">
        <v>115</v>
      </c>
      <c r="D2716" s="1588" t="s">
        <v>15991</v>
      </c>
      <c r="E2716" s="1572"/>
      <c r="F2716" s="1315" t="s">
        <v>16067</v>
      </c>
      <c r="G2716" s="1315" t="s">
        <v>16068</v>
      </c>
      <c r="H2716" s="2235" t="s">
        <v>15994</v>
      </c>
      <c r="I2716" s="2242">
        <v>45813.0</v>
      </c>
      <c r="J2716" s="2266">
        <v>45846.0</v>
      </c>
      <c r="K2716" s="1313"/>
      <c r="L2716" s="1313"/>
      <c r="M2716" s="2243" t="s">
        <v>16069</v>
      </c>
      <c r="N2716" s="2243" t="s">
        <v>16070</v>
      </c>
      <c r="O2716" s="1313"/>
      <c r="P2716" s="2243" t="s">
        <v>16071</v>
      </c>
      <c r="Q2716" s="2231" t="str">
        <f t="array" ref="Q2716"> if(iserror(MATCH(V2716, 'File Links'!C:C, 0)), "N/A", HYPERLINK(INDEX('File Links'!B:B, MATCH(P2716, 'File Links'!C:C, 0))))</f>
        <v>https://drive.google.com/file/d/1k662Z55nvL6fVuQppJtmXmZEAg6B8OlN/view?usp=drivesdk</v>
      </c>
      <c r="R2716" s="2243" t="s">
        <v>16072</v>
      </c>
      <c r="S2716" s="2260" t="s">
        <v>16073</v>
      </c>
      <c r="T2716" s="1313"/>
      <c r="U2716" s="1313"/>
      <c r="V2716" s="1315" t="s">
        <v>16074</v>
      </c>
      <c r="W2716" s="1313"/>
      <c r="X2716" s="2233" t="str">
        <f t="array" ref="X2716"> if(iserror(MATCH(V2716, 'File Links'!C:C, 0)), "N/A", HYPERLINK(INDEX('File Links'!B:B, MATCH(V2716, 'File Links'!C:C, 0))))</f>
        <v>https://drive.google.com/file/d/1JY6wiPwPcUGEqQWiVBUp46lcizQn8Xp6/view?usp=drivesdk</v>
      </c>
      <c r="Y2716" s="1313"/>
      <c r="Z2716" s="1315" t="s">
        <v>16075</v>
      </c>
      <c r="AA2716" s="1313" t="s">
        <v>16076</v>
      </c>
      <c r="AB2716" s="1313" t="s">
        <v>16077</v>
      </c>
      <c r="AC2716" s="1315" t="s">
        <v>16078</v>
      </c>
      <c r="AD2716" s="1315" t="s">
        <v>16079</v>
      </c>
      <c r="AE2716" s="1315" t="s">
        <v>1174</v>
      </c>
      <c r="AF2716" s="1318">
        <v>175.0</v>
      </c>
      <c r="AG2716" s="2267">
        <v>0.62</v>
      </c>
      <c r="AH2716" s="1315" t="s">
        <v>3332</v>
      </c>
      <c r="AI2716" s="1315" t="s">
        <v>3721</v>
      </c>
      <c r="AJ2716" s="1315" t="s">
        <v>138</v>
      </c>
      <c r="AK2716" s="1315" t="s">
        <v>172</v>
      </c>
      <c r="AL2716" s="1315" t="s">
        <v>186</v>
      </c>
      <c r="AM2716" s="1315" t="s">
        <v>137</v>
      </c>
      <c r="AN2716" s="1315" t="s">
        <v>138</v>
      </c>
      <c r="AO2716" s="1318">
        <v>65.0</v>
      </c>
      <c r="AP2716" s="1341">
        <v>0.559</v>
      </c>
      <c r="AQ2716" s="1315" t="s">
        <v>173</v>
      </c>
      <c r="AR2716" s="1315" t="s">
        <v>2022</v>
      </c>
      <c r="AS2716" s="1315" t="s">
        <v>138</v>
      </c>
      <c r="AT2716" s="1313" t="s">
        <v>172</v>
      </c>
      <c r="AU2716" s="1313" t="s">
        <v>186</v>
      </c>
      <c r="AV2716" s="1313" t="s">
        <v>137</v>
      </c>
      <c r="AW2716" s="1313" t="s">
        <v>138</v>
      </c>
      <c r="AX2716" s="1313" t="s">
        <v>143</v>
      </c>
      <c r="AY2716" s="1321" t="str">
        <f>IFERROR(__xludf.DUMMYFUNCTION("vlookup(BB2716,importrange(""https://docs.google.com/spreadsheets/d/1d2vevQ_7D_v35q4wCQ4RpQ_IPoTwEMB9Yp6ymwlPqew/edit?gid=984458430#gid=984458430"", ""'replication success'!A:K""), 11, FAlSE)"),"#N/A")</f>
        <v>#N/A</v>
      </c>
      <c r="AZ2716" s="1321" t="str">
        <f>IFERROR(__xludf.DUMMYFUNCTION("vlookup(BB2716,importrange(""https://docs.google.com/spreadsheets/d/1d2vevQ_7D_v35q4wCQ4RpQ_IPoTwEMB9Yp6ymwlPqew/edit?gid=984458430#gid=984458430"", ""'replication success'!A:M""), 12, FAlSE)"),"#N/A")</f>
        <v>#N/A</v>
      </c>
      <c r="BA2716" s="1321" t="str">
        <f>IFERROR(__xludf.DUMMYFUNCTION("vlookup(BB2716,importrange(""https://docs.google.com/spreadsheets/d/1d2vevQ_7D_v35q4wCQ4RpQ_IPoTwEMB9Yp6ymwlPqew/edit?gid=984458430#gid=984458430"", ""'replication success'!A:M""), 13, FAlSE)"),"#N/A")</f>
        <v>#N/A</v>
      </c>
      <c r="BB2716" s="1321" t="str">
        <f>IFERROR(__xludf.DUMMYFUNCTION("REGEXREPLACE(G2716, ""_[a-z]{1,2}$"", """")"),"add_ai33")</f>
        <v>add_ai33</v>
      </c>
      <c r="BC2716" s="1572"/>
      <c r="BD2716" s="1588" t="s">
        <v>13264</v>
      </c>
      <c r="BE2716" s="342"/>
      <c r="BF2716" s="342"/>
      <c r="BG2716" s="342"/>
      <c r="BH2716" s="342"/>
      <c r="BI2716" s="342"/>
      <c r="BJ2716" s="342"/>
      <c r="BK2716" s="342"/>
      <c r="BL2716" s="342"/>
      <c r="BM2716" s="342"/>
      <c r="BN2716" s="342"/>
      <c r="BO2716" s="342"/>
      <c r="BP2716" s="342"/>
      <c r="BQ2716" s="342"/>
      <c r="BR2716" s="342"/>
      <c r="BS2716" s="342"/>
      <c r="BT2716" s="342"/>
      <c r="BU2716" s="342"/>
      <c r="BV2716" s="342"/>
      <c r="BW2716" s="342"/>
      <c r="BX2716" s="342"/>
      <c r="BY2716" s="342"/>
      <c r="BZ2716" s="342"/>
      <c r="CA2716" s="342"/>
      <c r="CB2716" s="342"/>
      <c r="CC2716" s="342"/>
      <c r="CD2716" s="342"/>
      <c r="CE2716" s="342"/>
      <c r="CF2716" s="342"/>
      <c r="CG2716" s="342"/>
      <c r="CH2716" s="342"/>
      <c r="CI2716" s="342"/>
      <c r="CJ2716" s="342"/>
      <c r="CK2716" s="342"/>
      <c r="CL2716" s="342"/>
      <c r="CM2716" s="342"/>
      <c r="CN2716" s="342"/>
      <c r="CO2716" s="342"/>
      <c r="CP2716" s="342"/>
      <c r="CQ2716" s="342"/>
      <c r="CR2716" s="342"/>
      <c r="CS2716" s="342"/>
      <c r="CT2716" s="342"/>
      <c r="CU2716" s="342"/>
      <c r="CV2716" s="342"/>
      <c r="CW2716" s="342"/>
      <c r="CX2716" s="342"/>
      <c r="CY2716" s="342"/>
      <c r="CZ2716" s="342"/>
      <c r="DA2716" s="342"/>
      <c r="DB2716" s="342"/>
      <c r="DC2716" s="342"/>
      <c r="DD2716" s="342"/>
      <c r="DE2716" s="342"/>
      <c r="DF2716" s="342"/>
      <c r="DG2716" s="342"/>
      <c r="DH2716" s="342"/>
      <c r="DI2716" s="342"/>
      <c r="DJ2716" s="342"/>
      <c r="DK2716" s="342"/>
      <c r="DL2716" s="342"/>
    </row>
    <row r="2717" ht="18.0" customHeight="1">
      <c r="A2717" s="44">
        <v>3164.0</v>
      </c>
      <c r="B2717" s="1322" t="s">
        <v>114</v>
      </c>
      <c r="C2717" s="1588" t="s">
        <v>115</v>
      </c>
      <c r="D2717" s="1588" t="s">
        <v>15991</v>
      </c>
      <c r="E2717" s="1572"/>
      <c r="F2717" s="1315" t="s">
        <v>16067</v>
      </c>
      <c r="G2717" s="1315" t="s">
        <v>16080</v>
      </c>
      <c r="H2717" s="2235" t="s">
        <v>15994</v>
      </c>
      <c r="I2717" s="2242">
        <v>45813.0</v>
      </c>
      <c r="J2717" s="2266">
        <v>45846.0</v>
      </c>
      <c r="K2717" s="1313"/>
      <c r="L2717" s="1313"/>
      <c r="M2717" s="2243" t="s">
        <v>16069</v>
      </c>
      <c r="N2717" s="2243" t="s">
        <v>16070</v>
      </c>
      <c r="O2717" s="1313"/>
      <c r="P2717" s="2243" t="s">
        <v>16071</v>
      </c>
      <c r="Q2717" s="2231" t="str">
        <f t="array" ref="Q2717"> if(iserror(MATCH(V2717, 'File Links'!C:C, 0)), "N/A", HYPERLINK(INDEX('File Links'!B:B, MATCH(P2717, 'File Links'!C:C, 0))))</f>
        <v>https://drive.google.com/file/d/1k662Z55nvL6fVuQppJtmXmZEAg6B8OlN/view?usp=drivesdk</v>
      </c>
      <c r="R2717" s="2243" t="s">
        <v>16072</v>
      </c>
      <c r="S2717" s="2260" t="s">
        <v>16073</v>
      </c>
      <c r="T2717" s="1313"/>
      <c r="U2717" s="1313"/>
      <c r="V2717" s="1315" t="s">
        <v>16074</v>
      </c>
      <c r="W2717" s="1313"/>
      <c r="X2717" s="2233" t="str">
        <f t="array" ref="X2717"> if(iserror(MATCH(V2717, 'File Links'!C:C, 0)), "N/A", HYPERLINK(INDEX('File Links'!B:B, MATCH(V2717, 'File Links'!C:C, 0))))</f>
        <v>https://drive.google.com/file/d/1JY6wiPwPcUGEqQWiVBUp46lcizQn8Xp6/view?usp=drivesdk</v>
      </c>
      <c r="Y2717" s="1313"/>
      <c r="Z2717" s="1315" t="s">
        <v>16075</v>
      </c>
      <c r="AA2717" s="1313" t="s">
        <v>16076</v>
      </c>
      <c r="AB2717" s="1313" t="s">
        <v>16077</v>
      </c>
      <c r="AC2717" s="1315" t="s">
        <v>16081</v>
      </c>
      <c r="AD2717" s="1315" t="s">
        <v>16079</v>
      </c>
      <c r="AE2717" s="1315" t="s">
        <v>1174</v>
      </c>
      <c r="AF2717" s="1318">
        <v>175.0</v>
      </c>
      <c r="AG2717" s="2267">
        <v>0.75</v>
      </c>
      <c r="AH2717" s="1315" t="s">
        <v>3332</v>
      </c>
      <c r="AI2717" s="1315" t="s">
        <v>3721</v>
      </c>
      <c r="AJ2717" s="1315" t="s">
        <v>138</v>
      </c>
      <c r="AK2717" s="1315" t="s">
        <v>172</v>
      </c>
      <c r="AL2717" s="1315" t="s">
        <v>186</v>
      </c>
      <c r="AM2717" s="1315" t="s">
        <v>137</v>
      </c>
      <c r="AN2717" s="1315" t="s">
        <v>138</v>
      </c>
      <c r="AO2717" s="1318">
        <v>65.0</v>
      </c>
      <c r="AP2717" s="1341">
        <v>0.5706</v>
      </c>
      <c r="AQ2717" s="1315" t="s">
        <v>173</v>
      </c>
      <c r="AR2717" s="1315" t="s">
        <v>2022</v>
      </c>
      <c r="AS2717" s="1315" t="s">
        <v>138</v>
      </c>
      <c r="AT2717" s="1313" t="s">
        <v>172</v>
      </c>
      <c r="AU2717" s="1313" t="s">
        <v>186</v>
      </c>
      <c r="AV2717" s="1313" t="s">
        <v>137</v>
      </c>
      <c r="AW2717" s="1313" t="s">
        <v>138</v>
      </c>
      <c r="AX2717" s="1313" t="s">
        <v>143</v>
      </c>
      <c r="AY2717" s="1321" t="str">
        <f>IFERROR(__xludf.DUMMYFUNCTION("vlookup(BB2717,importrange(""https://docs.google.com/spreadsheets/d/1d2vevQ_7D_v35q4wCQ4RpQ_IPoTwEMB9Yp6ymwlPqew/edit?gid=984458430#gid=984458430"", ""'replication success'!A:K""), 11, FAlSE)"),"#N/A")</f>
        <v>#N/A</v>
      </c>
      <c r="AZ2717" s="1321" t="str">
        <f>IFERROR(__xludf.DUMMYFUNCTION("vlookup(BB2717,importrange(""https://docs.google.com/spreadsheets/d/1d2vevQ_7D_v35q4wCQ4RpQ_IPoTwEMB9Yp6ymwlPqew/edit?gid=984458430#gid=984458430"", ""'replication success'!A:M""), 12, FAlSE)"),"#N/A")</f>
        <v>#N/A</v>
      </c>
      <c r="BA2717" s="1321" t="str">
        <f>IFERROR(__xludf.DUMMYFUNCTION("vlookup(BB2717,importrange(""https://docs.google.com/spreadsheets/d/1d2vevQ_7D_v35q4wCQ4RpQ_IPoTwEMB9Yp6ymwlPqew/edit?gid=984458430#gid=984458430"", ""'replication success'!A:M""), 13, FAlSE)"),"#N/A")</f>
        <v>#N/A</v>
      </c>
      <c r="BB2717" s="1321" t="str">
        <f>IFERROR(__xludf.DUMMYFUNCTION("REGEXREPLACE(G2717, ""_[a-z]{1,2}$"", """")"),"add_ai33")</f>
        <v>add_ai33</v>
      </c>
      <c r="BC2717" s="1572"/>
      <c r="BD2717" s="1588" t="s">
        <v>13264</v>
      </c>
      <c r="BE2717" s="342"/>
      <c r="BF2717" s="342"/>
      <c r="BG2717" s="342"/>
      <c r="BH2717" s="342"/>
      <c r="BI2717" s="342"/>
      <c r="BJ2717" s="342"/>
      <c r="BK2717" s="342"/>
      <c r="BL2717" s="342"/>
      <c r="BM2717" s="342"/>
      <c r="BN2717" s="342"/>
      <c r="BO2717" s="342"/>
      <c r="BP2717" s="342"/>
      <c r="BQ2717" s="342"/>
      <c r="BR2717" s="342"/>
      <c r="BS2717" s="342"/>
      <c r="BT2717" s="342"/>
      <c r="BU2717" s="342"/>
      <c r="BV2717" s="342"/>
      <c r="BW2717" s="342"/>
      <c r="BX2717" s="342"/>
      <c r="BY2717" s="342"/>
      <c r="BZ2717" s="342"/>
      <c r="CA2717" s="342"/>
      <c r="CB2717" s="342"/>
      <c r="CC2717" s="342"/>
      <c r="CD2717" s="342"/>
      <c r="CE2717" s="342"/>
      <c r="CF2717" s="342"/>
      <c r="CG2717" s="342"/>
      <c r="CH2717" s="342"/>
      <c r="CI2717" s="342"/>
      <c r="CJ2717" s="342"/>
      <c r="CK2717" s="342"/>
      <c r="CL2717" s="342"/>
      <c r="CM2717" s="342"/>
      <c r="CN2717" s="342"/>
      <c r="CO2717" s="342"/>
      <c r="CP2717" s="342"/>
      <c r="CQ2717" s="342"/>
      <c r="CR2717" s="342"/>
      <c r="CS2717" s="342"/>
      <c r="CT2717" s="342"/>
      <c r="CU2717" s="342"/>
      <c r="CV2717" s="342"/>
      <c r="CW2717" s="342"/>
      <c r="CX2717" s="342"/>
      <c r="CY2717" s="342"/>
      <c r="CZ2717" s="342"/>
      <c r="DA2717" s="342"/>
      <c r="DB2717" s="342"/>
      <c r="DC2717" s="342"/>
      <c r="DD2717" s="342"/>
      <c r="DE2717" s="342"/>
      <c r="DF2717" s="342"/>
      <c r="DG2717" s="342"/>
      <c r="DH2717" s="342"/>
      <c r="DI2717" s="342"/>
      <c r="DJ2717" s="342"/>
      <c r="DK2717" s="342"/>
      <c r="DL2717" s="342"/>
    </row>
    <row r="2718" ht="24.75" customHeight="1">
      <c r="A2718" s="44">
        <v>3165.0</v>
      </c>
      <c r="B2718" s="1322" t="s">
        <v>114</v>
      </c>
      <c r="C2718" s="1588" t="s">
        <v>115</v>
      </c>
      <c r="D2718" s="1588" t="s">
        <v>15991</v>
      </c>
      <c r="E2718" s="1572"/>
      <c r="F2718" s="1315" t="s">
        <v>16067</v>
      </c>
      <c r="G2718" s="1315" t="s">
        <v>16082</v>
      </c>
      <c r="H2718" s="2235" t="s">
        <v>15994</v>
      </c>
      <c r="I2718" s="2242">
        <v>45813.0</v>
      </c>
      <c r="J2718" s="2266">
        <v>45846.0</v>
      </c>
      <c r="K2718" s="1313"/>
      <c r="L2718" s="1313"/>
      <c r="M2718" s="2243" t="s">
        <v>16069</v>
      </c>
      <c r="N2718" s="2243" t="s">
        <v>16070</v>
      </c>
      <c r="O2718" s="1313"/>
      <c r="P2718" s="2243" t="s">
        <v>16071</v>
      </c>
      <c r="Q2718" s="2231" t="str">
        <f t="array" ref="Q2718"> if(iserror(MATCH(V2718, 'File Links'!C:C, 0)), "N/A", HYPERLINK(INDEX('File Links'!B:B, MATCH(P2718, 'File Links'!C:C, 0))))</f>
        <v>https://drive.google.com/file/d/1k662Z55nvL6fVuQppJtmXmZEAg6B8OlN/view?usp=drivesdk</v>
      </c>
      <c r="R2718" s="2243" t="s">
        <v>16072</v>
      </c>
      <c r="S2718" s="2260" t="s">
        <v>16073</v>
      </c>
      <c r="T2718" s="1313"/>
      <c r="U2718" s="1313"/>
      <c r="V2718" s="1315" t="s">
        <v>16074</v>
      </c>
      <c r="W2718" s="1313"/>
      <c r="X2718" s="2233" t="str">
        <f t="array" ref="X2718"> if(iserror(MATCH(V2718, 'File Links'!C:C, 0)), "N/A", HYPERLINK(INDEX('File Links'!B:B, MATCH(V2718, 'File Links'!C:C, 0))))</f>
        <v>https://drive.google.com/file/d/1JY6wiPwPcUGEqQWiVBUp46lcizQn8Xp6/view?usp=drivesdk</v>
      </c>
      <c r="Y2718" s="1313"/>
      <c r="Z2718" s="1315" t="s">
        <v>16075</v>
      </c>
      <c r="AA2718" s="1313" t="s">
        <v>16076</v>
      </c>
      <c r="AB2718" s="1313" t="s">
        <v>16077</v>
      </c>
      <c r="AC2718" s="1315" t="s">
        <v>16083</v>
      </c>
      <c r="AD2718" s="1315" t="s">
        <v>16079</v>
      </c>
      <c r="AE2718" s="1315" t="s">
        <v>1174</v>
      </c>
      <c r="AF2718" s="1318">
        <v>175.0</v>
      </c>
      <c r="AG2718" s="2267">
        <v>0.6</v>
      </c>
      <c r="AH2718" s="1315" t="s">
        <v>3332</v>
      </c>
      <c r="AI2718" s="1315" t="s">
        <v>3721</v>
      </c>
      <c r="AJ2718" s="1315" t="s">
        <v>138</v>
      </c>
      <c r="AK2718" s="1315" t="s">
        <v>172</v>
      </c>
      <c r="AL2718" s="1315" t="s">
        <v>186</v>
      </c>
      <c r="AM2718" s="1315" t="s">
        <v>137</v>
      </c>
      <c r="AN2718" s="1315" t="s">
        <v>138</v>
      </c>
      <c r="AO2718" s="1318">
        <v>65.0</v>
      </c>
      <c r="AP2718" s="1341">
        <v>0.2489</v>
      </c>
      <c r="AQ2718" s="1315" t="s">
        <v>173</v>
      </c>
      <c r="AR2718" s="1315" t="s">
        <v>2022</v>
      </c>
      <c r="AS2718" s="1315" t="s">
        <v>138</v>
      </c>
      <c r="AT2718" s="1313" t="s">
        <v>172</v>
      </c>
      <c r="AU2718" s="1313" t="s">
        <v>186</v>
      </c>
      <c r="AV2718" s="1313" t="s">
        <v>137</v>
      </c>
      <c r="AW2718" s="1313" t="s">
        <v>138</v>
      </c>
      <c r="AX2718" s="1313" t="s">
        <v>143</v>
      </c>
      <c r="AY2718" s="1321" t="str">
        <f>IFERROR(__xludf.DUMMYFUNCTION("vlookup(BB2718,importrange(""https://docs.google.com/spreadsheets/d/1d2vevQ_7D_v35q4wCQ4RpQ_IPoTwEMB9Yp6ymwlPqew/edit?gid=984458430#gid=984458430"", ""'replication success'!A:K""), 11, FAlSE)"),"#N/A")</f>
        <v>#N/A</v>
      </c>
      <c r="AZ2718" s="1321" t="str">
        <f>IFERROR(__xludf.DUMMYFUNCTION("vlookup(BB2718,importrange(""https://docs.google.com/spreadsheets/d/1d2vevQ_7D_v35q4wCQ4RpQ_IPoTwEMB9Yp6ymwlPqew/edit?gid=984458430#gid=984458430"", ""'replication success'!A:M""), 12, FAlSE)"),"#N/A")</f>
        <v>#N/A</v>
      </c>
      <c r="BA2718" s="1321" t="str">
        <f>IFERROR(__xludf.DUMMYFUNCTION("vlookup(BB2718,importrange(""https://docs.google.com/spreadsheets/d/1d2vevQ_7D_v35q4wCQ4RpQ_IPoTwEMB9Yp6ymwlPqew/edit?gid=984458430#gid=984458430"", ""'replication success'!A:M""), 13, FAlSE)"),"#N/A")</f>
        <v>#N/A</v>
      </c>
      <c r="BB2718" s="1321" t="str">
        <f>IFERROR(__xludf.DUMMYFUNCTION("REGEXREPLACE(G2718, ""_[a-z]{1,2}$"", """")"),"add_ai33")</f>
        <v>add_ai33</v>
      </c>
      <c r="BC2718" s="1572"/>
      <c r="BD2718" s="1588" t="s">
        <v>13264</v>
      </c>
      <c r="BE2718" s="342"/>
      <c r="BF2718" s="342"/>
      <c r="BG2718" s="342"/>
      <c r="BH2718" s="342"/>
      <c r="BI2718" s="342"/>
      <c r="BJ2718" s="342"/>
      <c r="BK2718" s="342"/>
      <c r="BL2718" s="342"/>
      <c r="BM2718" s="342"/>
      <c r="BN2718" s="342"/>
      <c r="BO2718" s="342"/>
      <c r="BP2718" s="342"/>
      <c r="BQ2718" s="342"/>
      <c r="BR2718" s="342"/>
      <c r="BS2718" s="342"/>
      <c r="BT2718" s="342"/>
      <c r="BU2718" s="342"/>
      <c r="BV2718" s="342"/>
      <c r="BW2718" s="342"/>
      <c r="BX2718" s="342"/>
      <c r="BY2718" s="342"/>
      <c r="BZ2718" s="342"/>
      <c r="CA2718" s="342"/>
      <c r="CB2718" s="342"/>
      <c r="CC2718" s="342"/>
      <c r="CD2718" s="342"/>
      <c r="CE2718" s="342"/>
      <c r="CF2718" s="342"/>
      <c r="CG2718" s="342"/>
      <c r="CH2718" s="342"/>
      <c r="CI2718" s="342"/>
      <c r="CJ2718" s="342"/>
      <c r="CK2718" s="342"/>
      <c r="CL2718" s="342"/>
      <c r="CM2718" s="342"/>
      <c r="CN2718" s="342"/>
      <c r="CO2718" s="342"/>
      <c r="CP2718" s="342"/>
      <c r="CQ2718" s="342"/>
      <c r="CR2718" s="342"/>
      <c r="CS2718" s="342"/>
      <c r="CT2718" s="342"/>
      <c r="CU2718" s="342"/>
      <c r="CV2718" s="342"/>
      <c r="CW2718" s="342"/>
      <c r="CX2718" s="342"/>
      <c r="CY2718" s="342"/>
      <c r="CZ2718" s="342"/>
      <c r="DA2718" s="342"/>
      <c r="DB2718" s="342"/>
      <c r="DC2718" s="342"/>
      <c r="DD2718" s="342"/>
      <c r="DE2718" s="342"/>
      <c r="DF2718" s="342"/>
      <c r="DG2718" s="342"/>
      <c r="DH2718" s="342"/>
      <c r="DI2718" s="342"/>
      <c r="DJ2718" s="342"/>
      <c r="DK2718" s="342"/>
      <c r="DL2718" s="342"/>
    </row>
    <row r="2719" ht="23.25" customHeight="1">
      <c r="A2719" s="44">
        <v>3166.0</v>
      </c>
      <c r="B2719" s="1322" t="s">
        <v>114</v>
      </c>
      <c r="C2719" s="1588" t="s">
        <v>115</v>
      </c>
      <c r="D2719" s="1588" t="s">
        <v>15991</v>
      </c>
      <c r="E2719" s="1572"/>
      <c r="F2719" s="1315" t="s">
        <v>16067</v>
      </c>
      <c r="G2719" s="1315" t="s">
        <v>16084</v>
      </c>
      <c r="H2719" s="2235" t="s">
        <v>15994</v>
      </c>
      <c r="I2719" s="2242">
        <v>45813.0</v>
      </c>
      <c r="J2719" s="2266">
        <v>45846.0</v>
      </c>
      <c r="K2719" s="1313"/>
      <c r="L2719" s="1313"/>
      <c r="M2719" s="2243" t="s">
        <v>16069</v>
      </c>
      <c r="N2719" s="2243" t="s">
        <v>16070</v>
      </c>
      <c r="O2719" s="1313"/>
      <c r="P2719" s="2243" t="s">
        <v>16071</v>
      </c>
      <c r="Q2719" s="2231" t="str">
        <f t="array" ref="Q2719"> if(iserror(MATCH(V2719, 'File Links'!C:C, 0)), "N/A", HYPERLINK(INDEX('File Links'!B:B, MATCH(P2719, 'File Links'!C:C, 0))))</f>
        <v>https://drive.google.com/file/d/1k662Z55nvL6fVuQppJtmXmZEAg6B8OlN/view?usp=drivesdk</v>
      </c>
      <c r="R2719" s="2243" t="s">
        <v>16072</v>
      </c>
      <c r="S2719" s="2260" t="s">
        <v>16073</v>
      </c>
      <c r="T2719" s="1313"/>
      <c r="U2719" s="1313"/>
      <c r="V2719" s="1315" t="s">
        <v>16074</v>
      </c>
      <c r="W2719" s="1313"/>
      <c r="X2719" s="2233" t="str">
        <f t="array" ref="X2719"> if(iserror(MATCH(V2719, 'File Links'!C:C, 0)), "N/A", HYPERLINK(INDEX('File Links'!B:B, MATCH(V2719, 'File Links'!C:C, 0))))</f>
        <v>https://drive.google.com/file/d/1JY6wiPwPcUGEqQWiVBUp46lcizQn8Xp6/view?usp=drivesdk</v>
      </c>
      <c r="Y2719" s="1313"/>
      <c r="Z2719" s="1315" t="s">
        <v>16075</v>
      </c>
      <c r="AA2719" s="1313" t="s">
        <v>16076</v>
      </c>
      <c r="AB2719" s="1313" t="s">
        <v>16077</v>
      </c>
      <c r="AC2719" s="1315" t="s">
        <v>16085</v>
      </c>
      <c r="AD2719" s="1315" t="s">
        <v>16079</v>
      </c>
      <c r="AE2719" s="1315" t="s">
        <v>1174</v>
      </c>
      <c r="AF2719" s="1318">
        <v>175.0</v>
      </c>
      <c r="AG2719" s="2267">
        <v>0.83</v>
      </c>
      <c r="AH2719" s="1315" t="s">
        <v>3332</v>
      </c>
      <c r="AI2719" s="1315" t="s">
        <v>3721</v>
      </c>
      <c r="AJ2719" s="1315" t="s">
        <v>138</v>
      </c>
      <c r="AK2719" s="1315" t="s">
        <v>172</v>
      </c>
      <c r="AL2719" s="1315" t="s">
        <v>186</v>
      </c>
      <c r="AM2719" s="1315" t="s">
        <v>137</v>
      </c>
      <c r="AN2719" s="1315" t="s">
        <v>138</v>
      </c>
      <c r="AO2719" s="1318">
        <v>65.0</v>
      </c>
      <c r="AP2719" s="1341">
        <v>0.81</v>
      </c>
      <c r="AQ2719" s="1315" t="s">
        <v>173</v>
      </c>
      <c r="AR2719" s="1315" t="s">
        <v>2022</v>
      </c>
      <c r="AS2719" s="1315" t="s">
        <v>138</v>
      </c>
      <c r="AT2719" s="1313" t="s">
        <v>172</v>
      </c>
      <c r="AU2719" s="1313" t="s">
        <v>186</v>
      </c>
      <c r="AV2719" s="1313" t="s">
        <v>137</v>
      </c>
      <c r="AW2719" s="1313" t="s">
        <v>138</v>
      </c>
      <c r="AX2719" s="1313" t="s">
        <v>143</v>
      </c>
      <c r="AY2719" s="1321" t="str">
        <f>IFERROR(__xludf.DUMMYFUNCTION("vlookup(BB2719,importrange(""https://docs.google.com/spreadsheets/d/1d2vevQ_7D_v35q4wCQ4RpQ_IPoTwEMB9Yp6ymwlPqew/edit?gid=984458430#gid=984458430"", ""'replication success'!A:K""), 11, FAlSE)"),"#N/A")</f>
        <v>#N/A</v>
      </c>
      <c r="AZ2719" s="1321" t="str">
        <f>IFERROR(__xludf.DUMMYFUNCTION("vlookup(BB2719,importrange(""https://docs.google.com/spreadsheets/d/1d2vevQ_7D_v35q4wCQ4RpQ_IPoTwEMB9Yp6ymwlPqew/edit?gid=984458430#gid=984458430"", ""'replication success'!A:M""), 12, FAlSE)"),"#N/A")</f>
        <v>#N/A</v>
      </c>
      <c r="BA2719" s="1321" t="str">
        <f>IFERROR(__xludf.DUMMYFUNCTION("vlookup(BB2719,importrange(""https://docs.google.com/spreadsheets/d/1d2vevQ_7D_v35q4wCQ4RpQ_IPoTwEMB9Yp6ymwlPqew/edit?gid=984458430#gid=984458430"", ""'replication success'!A:M""), 13, FAlSE)"),"#N/A")</f>
        <v>#N/A</v>
      </c>
      <c r="BB2719" s="1321" t="str">
        <f>IFERROR(__xludf.DUMMYFUNCTION("REGEXREPLACE(G2719, ""_[a-z]{1,2}$"", """")"),"add_ai33")</f>
        <v>add_ai33</v>
      </c>
      <c r="BC2719" s="1572"/>
      <c r="BD2719" s="1588" t="s">
        <v>13264</v>
      </c>
      <c r="BE2719" s="342"/>
      <c r="BF2719" s="342"/>
      <c r="BG2719" s="342"/>
      <c r="BH2719" s="342"/>
      <c r="BI2719" s="342"/>
      <c r="BJ2719" s="342"/>
      <c r="BK2719" s="342"/>
      <c r="BL2719" s="342"/>
      <c r="BM2719" s="342"/>
      <c r="BN2719" s="342"/>
      <c r="BO2719" s="342"/>
      <c r="BP2719" s="342"/>
      <c r="BQ2719" s="342"/>
      <c r="BR2719" s="342"/>
      <c r="BS2719" s="342"/>
      <c r="BT2719" s="342"/>
      <c r="BU2719" s="342"/>
      <c r="BV2719" s="342"/>
      <c r="BW2719" s="342"/>
      <c r="BX2719" s="342"/>
      <c r="BY2719" s="342"/>
      <c r="BZ2719" s="342"/>
      <c r="CA2719" s="342"/>
      <c r="CB2719" s="342"/>
      <c r="CC2719" s="342"/>
      <c r="CD2719" s="342"/>
      <c r="CE2719" s="342"/>
      <c r="CF2719" s="342"/>
      <c r="CG2719" s="342"/>
      <c r="CH2719" s="342"/>
      <c r="CI2719" s="342"/>
      <c r="CJ2719" s="342"/>
      <c r="CK2719" s="342"/>
      <c r="CL2719" s="342"/>
      <c r="CM2719" s="342"/>
      <c r="CN2719" s="342"/>
      <c r="CO2719" s="342"/>
      <c r="CP2719" s="342"/>
      <c r="CQ2719" s="342"/>
      <c r="CR2719" s="342"/>
      <c r="CS2719" s="342"/>
      <c r="CT2719" s="342"/>
      <c r="CU2719" s="342"/>
      <c r="CV2719" s="342"/>
      <c r="CW2719" s="342"/>
      <c r="CX2719" s="342"/>
      <c r="CY2719" s="342"/>
      <c r="CZ2719" s="342"/>
      <c r="DA2719" s="342"/>
      <c r="DB2719" s="342"/>
      <c r="DC2719" s="342"/>
      <c r="DD2719" s="342"/>
      <c r="DE2719" s="342"/>
      <c r="DF2719" s="342"/>
      <c r="DG2719" s="342"/>
      <c r="DH2719" s="342"/>
      <c r="DI2719" s="342"/>
      <c r="DJ2719" s="342"/>
      <c r="DK2719" s="342"/>
      <c r="DL2719" s="342"/>
    </row>
    <row r="2720" ht="24.0" customHeight="1">
      <c r="A2720" s="44">
        <v>3017.0</v>
      </c>
      <c r="B2720" s="1322" t="s">
        <v>114</v>
      </c>
      <c r="C2720" s="1588" t="s">
        <v>115</v>
      </c>
      <c r="D2720" s="1588" t="s">
        <v>153</v>
      </c>
      <c r="E2720" s="1572"/>
      <c r="F2720" s="2237" t="s">
        <v>16067</v>
      </c>
      <c r="G2720" s="2255" t="s">
        <v>16086</v>
      </c>
      <c r="H2720" s="2237" t="s">
        <v>15921</v>
      </c>
      <c r="I2720" s="2256">
        <v>45821.0</v>
      </c>
      <c r="J2720" s="2266">
        <v>45846.0</v>
      </c>
      <c r="K2720" s="2255" t="s">
        <v>16087</v>
      </c>
      <c r="L2720" s="1313"/>
      <c r="M2720" s="2255" t="s">
        <v>16069</v>
      </c>
      <c r="N2720" s="2255" t="s">
        <v>16070</v>
      </c>
      <c r="O2720" s="1313"/>
      <c r="P2720" s="2255" t="s">
        <v>16071</v>
      </c>
      <c r="Q2720" s="2231" t="str">
        <f t="array" ref="Q2720"> if(iserror(MATCH(V2720, 'File Links'!C:C, 0)), "N/A", HYPERLINK(INDEX('File Links'!B:B, MATCH(P2720, 'File Links'!C:C, 0))))</f>
        <v>https://drive.google.com/file/d/1k662Z55nvL6fVuQppJtmXmZEAg6B8OlN/view?usp=drivesdk</v>
      </c>
      <c r="R2720" s="2255" t="s">
        <v>16072</v>
      </c>
      <c r="S2720" s="2255" t="s">
        <v>16073</v>
      </c>
      <c r="T2720" s="1313"/>
      <c r="U2720" s="1313"/>
      <c r="V2720" s="2255" t="s">
        <v>16074</v>
      </c>
      <c r="W2720" s="1313"/>
      <c r="X2720" s="2233" t="str">
        <f t="array" ref="X2720"> if(iserror(MATCH(V2720, 'File Links'!C:C, 0)), "N/A", HYPERLINK(INDEX('File Links'!B:B, MATCH(V2720, 'File Links'!C:C, 0))))</f>
        <v>https://drive.google.com/file/d/1JY6wiPwPcUGEqQWiVBUp46lcizQn8Xp6/view?usp=drivesdk</v>
      </c>
      <c r="Y2720" s="2237" t="s">
        <v>16088</v>
      </c>
      <c r="Z2720" s="2255" t="s">
        <v>226</v>
      </c>
      <c r="AA2720" s="2255" t="s">
        <v>16089</v>
      </c>
      <c r="AB2720" s="2255" t="s">
        <v>16090</v>
      </c>
      <c r="AC2720" s="2255" t="s">
        <v>16091</v>
      </c>
      <c r="AD2720" s="2255" t="s">
        <v>16092</v>
      </c>
      <c r="AE2720" s="2259">
        <v>11.0</v>
      </c>
      <c r="AF2720" s="2258">
        <v>175.0</v>
      </c>
      <c r="AG2720" s="2258">
        <v>0.62</v>
      </c>
      <c r="AH2720" s="2255" t="s">
        <v>16093</v>
      </c>
      <c r="AI2720" s="2255" t="s">
        <v>612</v>
      </c>
      <c r="AJ2720" s="2255" t="s">
        <v>138</v>
      </c>
      <c r="AK2720" s="1313"/>
      <c r="AL2720" s="2255" t="s">
        <v>186</v>
      </c>
      <c r="AM2720" s="2255" t="s">
        <v>137</v>
      </c>
      <c r="AN2720" s="2255" t="s">
        <v>138</v>
      </c>
      <c r="AO2720" s="2258">
        <v>65.0</v>
      </c>
      <c r="AP2720" s="2259">
        <v>0.559</v>
      </c>
      <c r="AQ2720" s="2255" t="s">
        <v>16093</v>
      </c>
      <c r="AR2720" s="2255" t="s">
        <v>436</v>
      </c>
      <c r="AS2720" s="2255" t="s">
        <v>138</v>
      </c>
      <c r="AT2720" s="1313"/>
      <c r="AU2720" s="2255" t="s">
        <v>186</v>
      </c>
      <c r="AV2720" s="2255" t="s">
        <v>137</v>
      </c>
      <c r="AW2720" s="2255" t="s">
        <v>138</v>
      </c>
      <c r="AX2720" s="2255" t="s">
        <v>438</v>
      </c>
      <c r="AY2720" s="1321" t="str">
        <f>IFERROR(__xludf.DUMMYFUNCTION("vlookup(BB2720,importrange(""https://docs.google.com/spreadsheets/d/1d2vevQ_7D_v35q4wCQ4RpQ_IPoTwEMB9Yp6ymwlPqew/edit?gid=984458430#gid=984458430"", ""'replication success'!A:K""), 11, FAlSE)"),"#N/A")</f>
        <v>#N/A</v>
      </c>
      <c r="AZ2720" s="1321" t="str">
        <f>IFERROR(__xludf.DUMMYFUNCTION("vlookup(BB2720,importrange(""https://docs.google.com/spreadsheets/d/1d2vevQ_7D_v35q4wCQ4RpQ_IPoTwEMB9Yp6ymwlPqew/edit?gid=984458430#gid=984458430"", ""'replication success'!A:M""), 12, FAlSE)"),"#N/A")</f>
        <v>#N/A</v>
      </c>
      <c r="BA2720" s="1321" t="str">
        <f>IFERROR(__xludf.DUMMYFUNCTION("vlookup(BB2720,importrange(""https://docs.google.com/spreadsheets/d/1d2vevQ_7D_v35q4wCQ4RpQ_IPoTwEMB9Yp6ymwlPqew/edit?gid=984458430#gid=984458430"", ""'replication success'!A:M""), 13, FAlSE)"),"#N/A")</f>
        <v>#N/A</v>
      </c>
      <c r="BB2720" s="1321" t="str">
        <f>IFERROR(__xludf.DUMMYFUNCTION("REGEXREPLACE(G2720, ""_[a-z]{1,2}$"", """")"),"add_ai33")</f>
        <v>add_ai33</v>
      </c>
      <c r="BC2720" s="1572"/>
      <c r="BD2720" s="1588" t="s">
        <v>13264</v>
      </c>
      <c r="BE2720" s="342"/>
      <c r="BF2720" s="342"/>
      <c r="BG2720" s="342"/>
      <c r="BH2720" s="342"/>
      <c r="BI2720" s="342"/>
      <c r="BJ2720" s="342"/>
      <c r="BK2720" s="342"/>
      <c r="BL2720" s="342"/>
      <c r="BM2720" s="342"/>
      <c r="BN2720" s="342"/>
      <c r="BO2720" s="342"/>
      <c r="BP2720" s="342"/>
      <c r="BQ2720" s="342"/>
      <c r="BR2720" s="342"/>
      <c r="BS2720" s="342"/>
      <c r="BT2720" s="342"/>
      <c r="BU2720" s="342"/>
      <c r="BV2720" s="342"/>
      <c r="BW2720" s="342"/>
      <c r="BX2720" s="342"/>
      <c r="BY2720" s="342"/>
      <c r="BZ2720" s="342"/>
      <c r="CA2720" s="342"/>
      <c r="CB2720" s="342"/>
      <c r="CC2720" s="342"/>
      <c r="CD2720" s="342"/>
      <c r="CE2720" s="342"/>
      <c r="CF2720" s="342"/>
      <c r="CG2720" s="342"/>
      <c r="CH2720" s="342"/>
      <c r="CI2720" s="342"/>
      <c r="CJ2720" s="342"/>
      <c r="CK2720" s="342"/>
      <c r="CL2720" s="342"/>
      <c r="CM2720" s="342"/>
      <c r="CN2720" s="342"/>
      <c r="CO2720" s="342"/>
      <c r="CP2720" s="342"/>
      <c r="CQ2720" s="342"/>
      <c r="CR2720" s="342"/>
      <c r="CS2720" s="342"/>
      <c r="CT2720" s="342"/>
      <c r="CU2720" s="342"/>
      <c r="CV2720" s="342"/>
      <c r="CW2720" s="342"/>
      <c r="CX2720" s="342"/>
      <c r="CY2720" s="342"/>
      <c r="CZ2720" s="342"/>
      <c r="DA2720" s="342"/>
      <c r="DB2720" s="342"/>
      <c r="DC2720" s="342"/>
      <c r="DD2720" s="342"/>
      <c r="DE2720" s="342"/>
      <c r="DF2720" s="342"/>
      <c r="DG2720" s="342"/>
      <c r="DH2720" s="342"/>
      <c r="DI2720" s="342"/>
      <c r="DJ2720" s="342"/>
      <c r="DK2720" s="342"/>
      <c r="DL2720" s="342"/>
    </row>
    <row r="2721" ht="27.0" customHeight="1">
      <c r="A2721" s="44">
        <v>3018.0</v>
      </c>
      <c r="B2721" s="1322" t="s">
        <v>114</v>
      </c>
      <c r="C2721" s="1588" t="s">
        <v>115</v>
      </c>
      <c r="D2721" s="1588" t="s">
        <v>153</v>
      </c>
      <c r="E2721" s="1572"/>
      <c r="F2721" s="2237" t="s">
        <v>16067</v>
      </c>
      <c r="G2721" s="2255" t="s">
        <v>16094</v>
      </c>
      <c r="H2721" s="2237" t="s">
        <v>15921</v>
      </c>
      <c r="I2721" s="2256">
        <v>45821.0</v>
      </c>
      <c r="J2721" s="2266">
        <v>45846.0</v>
      </c>
      <c r="K2721" s="2255" t="s">
        <v>16087</v>
      </c>
      <c r="L2721" s="1313"/>
      <c r="M2721" s="2255" t="s">
        <v>16069</v>
      </c>
      <c r="N2721" s="2255" t="s">
        <v>16070</v>
      </c>
      <c r="O2721" s="1313"/>
      <c r="P2721" s="2255" t="s">
        <v>16071</v>
      </c>
      <c r="Q2721" s="2231" t="str">
        <f t="array" ref="Q2721"> if(iserror(MATCH(V2721, 'File Links'!C:C, 0)), "N/A", HYPERLINK(INDEX('File Links'!B:B, MATCH(P2721, 'File Links'!C:C, 0))))</f>
        <v>https://drive.google.com/file/d/1k662Z55nvL6fVuQppJtmXmZEAg6B8OlN/view?usp=drivesdk</v>
      </c>
      <c r="R2721" s="2255" t="s">
        <v>16072</v>
      </c>
      <c r="S2721" s="2255" t="s">
        <v>16073</v>
      </c>
      <c r="T2721" s="1313"/>
      <c r="U2721" s="1313"/>
      <c r="V2721" s="2255" t="s">
        <v>16074</v>
      </c>
      <c r="W2721" s="1313"/>
      <c r="X2721" s="2233" t="str">
        <f t="array" ref="X2721"> if(iserror(MATCH(V2721, 'File Links'!C:C, 0)), "N/A", HYPERLINK(INDEX('File Links'!B:B, MATCH(V2721, 'File Links'!C:C, 0))))</f>
        <v>https://drive.google.com/file/d/1JY6wiPwPcUGEqQWiVBUp46lcizQn8Xp6/view?usp=drivesdk</v>
      </c>
      <c r="Y2721" s="2237" t="s">
        <v>16088</v>
      </c>
      <c r="Z2721" s="2255" t="s">
        <v>226</v>
      </c>
      <c r="AA2721" s="2255" t="s">
        <v>16089</v>
      </c>
      <c r="AB2721" s="2255" t="s">
        <v>16090</v>
      </c>
      <c r="AC2721" s="2255" t="s">
        <v>16095</v>
      </c>
      <c r="AD2721" s="2255" t="s">
        <v>16092</v>
      </c>
      <c r="AE2721" s="2259">
        <v>11.0</v>
      </c>
      <c r="AF2721" s="2258">
        <v>175.0</v>
      </c>
      <c r="AG2721" s="2258">
        <v>0.75</v>
      </c>
      <c r="AH2721" s="2255" t="s">
        <v>16093</v>
      </c>
      <c r="AI2721" s="2255" t="s">
        <v>612</v>
      </c>
      <c r="AJ2721" s="2255" t="s">
        <v>138</v>
      </c>
      <c r="AK2721" s="1313"/>
      <c r="AL2721" s="2255" t="s">
        <v>186</v>
      </c>
      <c r="AM2721" s="2255" t="s">
        <v>137</v>
      </c>
      <c r="AN2721" s="2255" t="s">
        <v>138</v>
      </c>
      <c r="AO2721" s="2258">
        <v>65.0</v>
      </c>
      <c r="AP2721" s="2259">
        <v>0.5706</v>
      </c>
      <c r="AQ2721" s="2255" t="s">
        <v>16093</v>
      </c>
      <c r="AR2721" s="2255" t="s">
        <v>436</v>
      </c>
      <c r="AS2721" s="2255" t="s">
        <v>138</v>
      </c>
      <c r="AT2721" s="1313"/>
      <c r="AU2721" s="2255" t="s">
        <v>186</v>
      </c>
      <c r="AV2721" s="2255" t="s">
        <v>137</v>
      </c>
      <c r="AW2721" s="2255" t="s">
        <v>138</v>
      </c>
      <c r="AX2721" s="2255" t="s">
        <v>438</v>
      </c>
      <c r="AY2721" s="1321" t="str">
        <f>IFERROR(__xludf.DUMMYFUNCTION("vlookup(BB2721,importrange(""https://docs.google.com/spreadsheets/d/1d2vevQ_7D_v35q4wCQ4RpQ_IPoTwEMB9Yp6ymwlPqew/edit?gid=984458430#gid=984458430"", ""'replication success'!A:K""), 11, FAlSE)"),"#N/A")</f>
        <v>#N/A</v>
      </c>
      <c r="AZ2721" s="1321" t="str">
        <f>IFERROR(__xludf.DUMMYFUNCTION("vlookup(BB2721,importrange(""https://docs.google.com/spreadsheets/d/1d2vevQ_7D_v35q4wCQ4RpQ_IPoTwEMB9Yp6ymwlPqew/edit?gid=984458430#gid=984458430"", ""'replication success'!A:M""), 12, FAlSE)"),"#N/A")</f>
        <v>#N/A</v>
      </c>
      <c r="BA2721" s="1321" t="str">
        <f>IFERROR(__xludf.DUMMYFUNCTION("vlookup(BB2721,importrange(""https://docs.google.com/spreadsheets/d/1d2vevQ_7D_v35q4wCQ4RpQ_IPoTwEMB9Yp6ymwlPqew/edit?gid=984458430#gid=984458430"", ""'replication success'!A:M""), 13, FAlSE)"),"#N/A")</f>
        <v>#N/A</v>
      </c>
      <c r="BB2721" s="1321" t="str">
        <f>IFERROR(__xludf.DUMMYFUNCTION("REGEXREPLACE(G2721, ""_[a-z]{1,2}$"", """")"),"add_ai33")</f>
        <v>add_ai33</v>
      </c>
      <c r="BC2721" s="1572"/>
      <c r="BD2721" s="1588" t="s">
        <v>13264</v>
      </c>
      <c r="BE2721" s="342"/>
      <c r="BF2721" s="342"/>
      <c r="BG2721" s="342"/>
      <c r="BH2721" s="342"/>
      <c r="BI2721" s="342"/>
      <c r="BJ2721" s="342"/>
      <c r="BK2721" s="342"/>
      <c r="BL2721" s="342"/>
      <c r="BM2721" s="342"/>
      <c r="BN2721" s="342"/>
      <c r="BO2721" s="342"/>
      <c r="BP2721" s="342"/>
      <c r="BQ2721" s="342"/>
      <c r="BR2721" s="342"/>
      <c r="BS2721" s="342"/>
      <c r="BT2721" s="342"/>
      <c r="BU2721" s="342"/>
      <c r="BV2721" s="342"/>
      <c r="BW2721" s="342"/>
      <c r="BX2721" s="342"/>
      <c r="BY2721" s="342"/>
      <c r="BZ2721" s="342"/>
      <c r="CA2721" s="342"/>
      <c r="CB2721" s="342"/>
      <c r="CC2721" s="342"/>
      <c r="CD2721" s="342"/>
      <c r="CE2721" s="342"/>
      <c r="CF2721" s="342"/>
      <c r="CG2721" s="342"/>
      <c r="CH2721" s="342"/>
      <c r="CI2721" s="342"/>
      <c r="CJ2721" s="342"/>
      <c r="CK2721" s="342"/>
      <c r="CL2721" s="342"/>
      <c r="CM2721" s="342"/>
      <c r="CN2721" s="342"/>
      <c r="CO2721" s="342"/>
      <c r="CP2721" s="342"/>
      <c r="CQ2721" s="342"/>
      <c r="CR2721" s="342"/>
      <c r="CS2721" s="342"/>
      <c r="CT2721" s="342"/>
      <c r="CU2721" s="342"/>
      <c r="CV2721" s="342"/>
      <c r="CW2721" s="342"/>
      <c r="CX2721" s="342"/>
      <c r="CY2721" s="342"/>
      <c r="CZ2721" s="342"/>
      <c r="DA2721" s="342"/>
      <c r="DB2721" s="342"/>
      <c r="DC2721" s="342"/>
      <c r="DD2721" s="342"/>
      <c r="DE2721" s="342"/>
      <c r="DF2721" s="342"/>
      <c r="DG2721" s="342"/>
      <c r="DH2721" s="342"/>
      <c r="DI2721" s="342"/>
      <c r="DJ2721" s="342"/>
      <c r="DK2721" s="342"/>
      <c r="DL2721" s="342"/>
    </row>
    <row r="2722" ht="24.0" customHeight="1">
      <c r="A2722" s="44">
        <v>3019.0</v>
      </c>
      <c r="B2722" s="1322" t="s">
        <v>114</v>
      </c>
      <c r="C2722" s="1588" t="s">
        <v>115</v>
      </c>
      <c r="D2722" s="1588" t="s">
        <v>153</v>
      </c>
      <c r="E2722" s="1572"/>
      <c r="F2722" s="2237" t="s">
        <v>16067</v>
      </c>
      <c r="G2722" s="2255" t="s">
        <v>16096</v>
      </c>
      <c r="H2722" s="2237" t="s">
        <v>15921</v>
      </c>
      <c r="I2722" s="2256">
        <v>45821.0</v>
      </c>
      <c r="J2722" s="2266">
        <v>45846.0</v>
      </c>
      <c r="K2722" s="2255" t="s">
        <v>16087</v>
      </c>
      <c r="L2722" s="1313"/>
      <c r="M2722" s="2255" t="s">
        <v>16069</v>
      </c>
      <c r="N2722" s="2255" t="s">
        <v>16070</v>
      </c>
      <c r="O2722" s="1313"/>
      <c r="P2722" s="2255" t="s">
        <v>16071</v>
      </c>
      <c r="Q2722" s="2231" t="str">
        <f t="array" ref="Q2722"> if(iserror(MATCH(V2722, 'File Links'!C:C, 0)), "N/A", HYPERLINK(INDEX('File Links'!B:B, MATCH(P2722, 'File Links'!C:C, 0))))</f>
        <v>https://drive.google.com/file/d/1k662Z55nvL6fVuQppJtmXmZEAg6B8OlN/view?usp=drivesdk</v>
      </c>
      <c r="R2722" s="2255" t="s">
        <v>16072</v>
      </c>
      <c r="S2722" s="2255" t="s">
        <v>16073</v>
      </c>
      <c r="T2722" s="1313"/>
      <c r="U2722" s="1313"/>
      <c r="V2722" s="2255" t="s">
        <v>16074</v>
      </c>
      <c r="W2722" s="1313"/>
      <c r="X2722" s="2233" t="str">
        <f t="array" ref="X2722"> if(iserror(MATCH(V2722, 'File Links'!C:C, 0)), "N/A", HYPERLINK(INDEX('File Links'!B:B, MATCH(V2722, 'File Links'!C:C, 0))))</f>
        <v>https://drive.google.com/file/d/1JY6wiPwPcUGEqQWiVBUp46lcizQn8Xp6/view?usp=drivesdk</v>
      </c>
      <c r="Y2722" s="2237" t="s">
        <v>16088</v>
      </c>
      <c r="Z2722" s="2255" t="s">
        <v>226</v>
      </c>
      <c r="AA2722" s="2255" t="s">
        <v>16089</v>
      </c>
      <c r="AB2722" s="2255" t="s">
        <v>16090</v>
      </c>
      <c r="AC2722" s="2255" t="s">
        <v>16097</v>
      </c>
      <c r="AD2722" s="2255" t="s">
        <v>16092</v>
      </c>
      <c r="AE2722" s="2259">
        <v>11.0</v>
      </c>
      <c r="AF2722" s="2258">
        <v>175.0</v>
      </c>
      <c r="AG2722" s="2258">
        <v>0.6</v>
      </c>
      <c r="AH2722" s="2255" t="s">
        <v>16093</v>
      </c>
      <c r="AI2722" s="2255" t="s">
        <v>612</v>
      </c>
      <c r="AJ2722" s="2255" t="s">
        <v>138</v>
      </c>
      <c r="AK2722" s="1313"/>
      <c r="AL2722" s="2255" t="s">
        <v>186</v>
      </c>
      <c r="AM2722" s="2255" t="s">
        <v>137</v>
      </c>
      <c r="AN2722" s="2255" t="s">
        <v>138</v>
      </c>
      <c r="AO2722" s="2258">
        <v>65.0</v>
      </c>
      <c r="AP2722" s="2259">
        <v>0.2489</v>
      </c>
      <c r="AQ2722" s="2255" t="s">
        <v>16093</v>
      </c>
      <c r="AR2722" s="2255" t="s">
        <v>436</v>
      </c>
      <c r="AS2722" s="2255" t="s">
        <v>138</v>
      </c>
      <c r="AT2722" s="1313"/>
      <c r="AU2722" s="2255" t="s">
        <v>186</v>
      </c>
      <c r="AV2722" s="2255" t="s">
        <v>137</v>
      </c>
      <c r="AW2722" s="2255" t="s">
        <v>138</v>
      </c>
      <c r="AX2722" s="2255" t="s">
        <v>438</v>
      </c>
      <c r="AY2722" s="1321" t="str">
        <f>IFERROR(__xludf.DUMMYFUNCTION("vlookup(BB2722,importrange(""https://docs.google.com/spreadsheets/d/1d2vevQ_7D_v35q4wCQ4RpQ_IPoTwEMB9Yp6ymwlPqew/edit?gid=984458430#gid=984458430"", ""'replication success'!A:K""), 11, FAlSE)"),"#N/A")</f>
        <v>#N/A</v>
      </c>
      <c r="AZ2722" s="1321" t="str">
        <f>IFERROR(__xludf.DUMMYFUNCTION("vlookup(BB2722,importrange(""https://docs.google.com/spreadsheets/d/1d2vevQ_7D_v35q4wCQ4RpQ_IPoTwEMB9Yp6ymwlPqew/edit?gid=984458430#gid=984458430"", ""'replication success'!A:M""), 12, FAlSE)"),"#N/A")</f>
        <v>#N/A</v>
      </c>
      <c r="BA2722" s="1321" t="str">
        <f>IFERROR(__xludf.DUMMYFUNCTION("vlookup(BB2722,importrange(""https://docs.google.com/spreadsheets/d/1d2vevQ_7D_v35q4wCQ4RpQ_IPoTwEMB9Yp6ymwlPqew/edit?gid=984458430#gid=984458430"", ""'replication success'!A:M""), 13, FAlSE)"),"#N/A")</f>
        <v>#N/A</v>
      </c>
      <c r="BB2722" s="1321" t="str">
        <f>IFERROR(__xludf.DUMMYFUNCTION("REGEXREPLACE(G2722, ""_[a-z]{1,2}$"", """")"),"add_ai33")</f>
        <v>add_ai33</v>
      </c>
      <c r="BC2722" s="1572"/>
      <c r="BD2722" s="1588" t="s">
        <v>13264</v>
      </c>
      <c r="BE2722" s="342"/>
      <c r="BF2722" s="342"/>
      <c r="BG2722" s="342"/>
      <c r="BH2722" s="342"/>
      <c r="BI2722" s="342"/>
      <c r="BJ2722" s="342"/>
      <c r="BK2722" s="342"/>
      <c r="BL2722" s="342"/>
      <c r="BM2722" s="342"/>
      <c r="BN2722" s="342"/>
      <c r="BO2722" s="342"/>
      <c r="BP2722" s="342"/>
      <c r="BQ2722" s="342"/>
      <c r="BR2722" s="342"/>
      <c r="BS2722" s="342"/>
      <c r="BT2722" s="342"/>
      <c r="BU2722" s="342"/>
      <c r="BV2722" s="342"/>
      <c r="BW2722" s="342"/>
      <c r="BX2722" s="342"/>
      <c r="BY2722" s="342"/>
      <c r="BZ2722" s="342"/>
      <c r="CA2722" s="342"/>
      <c r="CB2722" s="342"/>
      <c r="CC2722" s="342"/>
      <c r="CD2722" s="342"/>
      <c r="CE2722" s="342"/>
      <c r="CF2722" s="342"/>
      <c r="CG2722" s="342"/>
      <c r="CH2722" s="342"/>
      <c r="CI2722" s="342"/>
      <c r="CJ2722" s="342"/>
      <c r="CK2722" s="342"/>
      <c r="CL2722" s="342"/>
      <c r="CM2722" s="342"/>
      <c r="CN2722" s="342"/>
      <c r="CO2722" s="342"/>
      <c r="CP2722" s="342"/>
      <c r="CQ2722" s="342"/>
      <c r="CR2722" s="342"/>
      <c r="CS2722" s="342"/>
      <c r="CT2722" s="342"/>
      <c r="CU2722" s="342"/>
      <c r="CV2722" s="342"/>
      <c r="CW2722" s="342"/>
      <c r="CX2722" s="342"/>
      <c r="CY2722" s="342"/>
      <c r="CZ2722" s="342"/>
      <c r="DA2722" s="342"/>
      <c r="DB2722" s="342"/>
      <c r="DC2722" s="342"/>
      <c r="DD2722" s="342"/>
      <c r="DE2722" s="342"/>
      <c r="DF2722" s="342"/>
      <c r="DG2722" s="342"/>
      <c r="DH2722" s="342"/>
      <c r="DI2722" s="342"/>
      <c r="DJ2722" s="342"/>
      <c r="DK2722" s="342"/>
      <c r="DL2722" s="342"/>
    </row>
    <row r="2723" ht="27.75" customHeight="1">
      <c r="A2723" s="44">
        <v>3020.0</v>
      </c>
      <c r="B2723" s="1322" t="s">
        <v>114</v>
      </c>
      <c r="C2723" s="1588" t="s">
        <v>115</v>
      </c>
      <c r="D2723" s="1588" t="s">
        <v>153</v>
      </c>
      <c r="E2723" s="1572"/>
      <c r="F2723" s="2237" t="s">
        <v>16067</v>
      </c>
      <c r="G2723" s="2255" t="s">
        <v>16098</v>
      </c>
      <c r="H2723" s="2237" t="s">
        <v>15921</v>
      </c>
      <c r="I2723" s="2256">
        <v>45821.0</v>
      </c>
      <c r="J2723" s="2266">
        <v>45846.0</v>
      </c>
      <c r="K2723" s="2255" t="s">
        <v>16087</v>
      </c>
      <c r="L2723" s="1313"/>
      <c r="M2723" s="2255" t="s">
        <v>16069</v>
      </c>
      <c r="N2723" s="2255" t="s">
        <v>16070</v>
      </c>
      <c r="O2723" s="1313"/>
      <c r="P2723" s="2255" t="s">
        <v>16071</v>
      </c>
      <c r="Q2723" s="2231" t="str">
        <f t="array" ref="Q2723"> if(iserror(MATCH(V2723, 'File Links'!C:C, 0)), "N/A", HYPERLINK(INDEX('File Links'!B:B, MATCH(P2723, 'File Links'!C:C, 0))))</f>
        <v>https://drive.google.com/file/d/1k662Z55nvL6fVuQppJtmXmZEAg6B8OlN/view?usp=drivesdk</v>
      </c>
      <c r="R2723" s="2255" t="s">
        <v>16072</v>
      </c>
      <c r="S2723" s="2255" t="s">
        <v>16073</v>
      </c>
      <c r="T2723" s="1313"/>
      <c r="U2723" s="1313"/>
      <c r="V2723" s="2255" t="s">
        <v>16074</v>
      </c>
      <c r="W2723" s="1313"/>
      <c r="X2723" s="2233" t="str">
        <f t="array" ref="X2723"> if(iserror(MATCH(V2723, 'File Links'!C:C, 0)), "N/A", HYPERLINK(INDEX('File Links'!B:B, MATCH(V2723, 'File Links'!C:C, 0))))</f>
        <v>https://drive.google.com/file/d/1JY6wiPwPcUGEqQWiVBUp46lcizQn8Xp6/view?usp=drivesdk</v>
      </c>
      <c r="Y2723" s="2237" t="s">
        <v>16088</v>
      </c>
      <c r="Z2723" s="2255" t="s">
        <v>226</v>
      </c>
      <c r="AA2723" s="2255" t="s">
        <v>16089</v>
      </c>
      <c r="AB2723" s="2255" t="s">
        <v>16090</v>
      </c>
      <c r="AC2723" s="2255" t="s">
        <v>16099</v>
      </c>
      <c r="AD2723" s="2255" t="s">
        <v>16092</v>
      </c>
      <c r="AE2723" s="2259">
        <v>11.0</v>
      </c>
      <c r="AF2723" s="2258">
        <v>175.0</v>
      </c>
      <c r="AG2723" s="2258">
        <v>0.83</v>
      </c>
      <c r="AH2723" s="2255" t="s">
        <v>16093</v>
      </c>
      <c r="AI2723" s="2255" t="s">
        <v>612</v>
      </c>
      <c r="AJ2723" s="2255" t="s">
        <v>138</v>
      </c>
      <c r="AK2723" s="1313"/>
      <c r="AL2723" s="2255" t="s">
        <v>186</v>
      </c>
      <c r="AM2723" s="2255" t="s">
        <v>137</v>
      </c>
      <c r="AN2723" s="2255" t="s">
        <v>138</v>
      </c>
      <c r="AO2723" s="2258">
        <v>65.0</v>
      </c>
      <c r="AP2723" s="2259">
        <v>0.81</v>
      </c>
      <c r="AQ2723" s="2255" t="s">
        <v>16093</v>
      </c>
      <c r="AR2723" s="2255" t="s">
        <v>436</v>
      </c>
      <c r="AS2723" s="2255" t="s">
        <v>138</v>
      </c>
      <c r="AT2723" s="1313"/>
      <c r="AU2723" s="2255" t="s">
        <v>186</v>
      </c>
      <c r="AV2723" s="2255" t="s">
        <v>137</v>
      </c>
      <c r="AW2723" s="2255" t="s">
        <v>138</v>
      </c>
      <c r="AX2723" s="2255" t="s">
        <v>438</v>
      </c>
      <c r="AY2723" s="1321" t="str">
        <f>IFERROR(__xludf.DUMMYFUNCTION("vlookup(BB2723,importrange(""https://docs.google.com/spreadsheets/d/1d2vevQ_7D_v35q4wCQ4RpQ_IPoTwEMB9Yp6ymwlPqew/edit?gid=984458430#gid=984458430"", ""'replication success'!A:K""), 11, FAlSE)"),"#N/A")</f>
        <v>#N/A</v>
      </c>
      <c r="AZ2723" s="1321" t="str">
        <f>IFERROR(__xludf.DUMMYFUNCTION("vlookup(BB2723,importrange(""https://docs.google.com/spreadsheets/d/1d2vevQ_7D_v35q4wCQ4RpQ_IPoTwEMB9Yp6ymwlPqew/edit?gid=984458430#gid=984458430"", ""'replication success'!A:M""), 12, FAlSE)"),"#N/A")</f>
        <v>#N/A</v>
      </c>
      <c r="BA2723" s="1321" t="str">
        <f>IFERROR(__xludf.DUMMYFUNCTION("vlookup(BB2723,importrange(""https://docs.google.com/spreadsheets/d/1d2vevQ_7D_v35q4wCQ4RpQ_IPoTwEMB9Yp6ymwlPqew/edit?gid=984458430#gid=984458430"", ""'replication success'!A:M""), 13, FAlSE)"),"#N/A")</f>
        <v>#N/A</v>
      </c>
      <c r="BB2723" s="1321" t="str">
        <f>IFERROR(__xludf.DUMMYFUNCTION("REGEXREPLACE(G2723, ""_[a-z]{1,2}$"", """")"),"add_ai33")</f>
        <v>add_ai33</v>
      </c>
      <c r="BC2723" s="1572"/>
      <c r="BD2723" s="1588" t="s">
        <v>13264</v>
      </c>
      <c r="BE2723" s="342"/>
      <c r="BF2723" s="342"/>
      <c r="BG2723" s="342"/>
      <c r="BH2723" s="342"/>
      <c r="BI2723" s="342"/>
      <c r="BJ2723" s="342"/>
      <c r="BK2723" s="342"/>
      <c r="BL2723" s="342"/>
      <c r="BM2723" s="342"/>
      <c r="BN2723" s="342"/>
      <c r="BO2723" s="342"/>
      <c r="BP2723" s="342"/>
      <c r="BQ2723" s="342"/>
      <c r="BR2723" s="342"/>
      <c r="BS2723" s="342"/>
      <c r="BT2723" s="342"/>
      <c r="BU2723" s="342"/>
      <c r="BV2723" s="342"/>
      <c r="BW2723" s="342"/>
      <c r="BX2723" s="342"/>
      <c r="BY2723" s="342"/>
      <c r="BZ2723" s="342"/>
      <c r="CA2723" s="342"/>
      <c r="CB2723" s="342"/>
      <c r="CC2723" s="342"/>
      <c r="CD2723" s="342"/>
      <c r="CE2723" s="342"/>
      <c r="CF2723" s="342"/>
      <c r="CG2723" s="342"/>
      <c r="CH2723" s="342"/>
      <c r="CI2723" s="342"/>
      <c r="CJ2723" s="342"/>
      <c r="CK2723" s="342"/>
      <c r="CL2723" s="342"/>
      <c r="CM2723" s="342"/>
      <c r="CN2723" s="342"/>
      <c r="CO2723" s="342"/>
      <c r="CP2723" s="342"/>
      <c r="CQ2723" s="342"/>
      <c r="CR2723" s="342"/>
      <c r="CS2723" s="342"/>
      <c r="CT2723" s="342"/>
      <c r="CU2723" s="342"/>
      <c r="CV2723" s="342"/>
      <c r="CW2723" s="342"/>
      <c r="CX2723" s="342"/>
      <c r="CY2723" s="342"/>
      <c r="CZ2723" s="342"/>
      <c r="DA2723" s="342"/>
      <c r="DB2723" s="342"/>
      <c r="DC2723" s="342"/>
      <c r="DD2723" s="342"/>
      <c r="DE2723" s="342"/>
      <c r="DF2723" s="342"/>
      <c r="DG2723" s="342"/>
      <c r="DH2723" s="342"/>
      <c r="DI2723" s="342"/>
      <c r="DJ2723" s="342"/>
      <c r="DK2723" s="342"/>
      <c r="DL2723" s="342"/>
    </row>
    <row r="2724" ht="26.25" customHeight="1">
      <c r="A2724" s="44">
        <v>3187.0</v>
      </c>
      <c r="B2724" s="2268" t="s">
        <v>523</v>
      </c>
      <c r="C2724" s="2269" t="s">
        <v>115</v>
      </c>
      <c r="D2724" s="2269" t="s">
        <v>15991</v>
      </c>
      <c r="E2724" s="2270"/>
      <c r="F2724" s="2271" t="s">
        <v>16100</v>
      </c>
      <c r="G2724" s="2271" t="s">
        <v>16101</v>
      </c>
      <c r="H2724" s="2272" t="s">
        <v>15994</v>
      </c>
      <c r="I2724" s="2273">
        <v>45813.0</v>
      </c>
      <c r="J2724" s="2274"/>
      <c r="K2724" s="2274"/>
      <c r="L2724" s="2274"/>
      <c r="M2724" s="2275" t="s">
        <v>16102</v>
      </c>
      <c r="N2724" s="2275" t="s">
        <v>16103</v>
      </c>
      <c r="O2724" s="2274"/>
      <c r="P2724" s="2275" t="s">
        <v>16104</v>
      </c>
      <c r="Q2724" s="2276" t="str">
        <f t="array" ref="Q2724"> if(iserror(MATCH(V2724, 'File Links'!C:C, 0)), "N/A", HYPERLINK(INDEX('File Links'!B:B, MATCH(P2724, 'File Links'!C:C, 0))))</f>
        <v>https://drive.google.com/file/d/1UAZP-7EFUjtBAC0eRgBKAvSYCJnbPMpz/view?usp=drivesdk</v>
      </c>
      <c r="R2724" s="2275" t="s">
        <v>16105</v>
      </c>
      <c r="S2724" s="2277" t="s">
        <v>16106</v>
      </c>
      <c r="T2724" s="2274"/>
      <c r="U2724" s="2274"/>
      <c r="V2724" s="2271" t="s">
        <v>16107</v>
      </c>
      <c r="W2724" s="2274"/>
      <c r="X2724" s="2278" t="str">
        <f t="array" ref="X2724"> if(iserror(MATCH(V2724, 'File Links'!C:C, 0)), "N/A", HYPERLINK(INDEX('File Links'!B:B, MATCH(V2724, 'File Links'!C:C, 0))))</f>
        <v>https://drive.google.com/file/d/16uoJ6bzNUexR0mdpdovXBeytBzvN_136/view?usp=drivesdk</v>
      </c>
      <c r="Y2724" s="2274"/>
      <c r="Z2724" s="2271" t="s">
        <v>226</v>
      </c>
      <c r="AA2724" s="2274" t="s">
        <v>16108</v>
      </c>
      <c r="AB2724" s="2274"/>
      <c r="AC2724" s="2274" t="s">
        <v>16109</v>
      </c>
      <c r="AD2724" s="2274" t="s">
        <v>16110</v>
      </c>
      <c r="AE2724" s="2274" t="s">
        <v>882</v>
      </c>
      <c r="AF2724" s="2279">
        <v>124.0</v>
      </c>
      <c r="AG2724" s="2279">
        <v>0.883</v>
      </c>
      <c r="AH2724" s="2274" t="s">
        <v>173</v>
      </c>
      <c r="AI2724" s="2274" t="s">
        <v>496</v>
      </c>
      <c r="AJ2724" s="2279">
        <v>0.05</v>
      </c>
      <c r="AK2724" s="2274" t="s">
        <v>135</v>
      </c>
      <c r="AL2724" s="2271" t="s">
        <v>186</v>
      </c>
      <c r="AM2724" s="2271" t="s">
        <v>137</v>
      </c>
      <c r="AN2724" s="2271" t="s">
        <v>138</v>
      </c>
      <c r="AO2724" s="2279">
        <v>66.0</v>
      </c>
      <c r="AP2724" s="2279">
        <v>2.843</v>
      </c>
      <c r="AQ2724" s="2274" t="s">
        <v>173</v>
      </c>
      <c r="AR2724" s="2280" t="s">
        <v>16111</v>
      </c>
      <c r="AS2724" s="2279">
        <v>0.05</v>
      </c>
      <c r="AT2724" s="2274" t="s">
        <v>135</v>
      </c>
      <c r="AU2724" s="2274" t="s">
        <v>186</v>
      </c>
      <c r="AV2724" s="2274" t="s">
        <v>137</v>
      </c>
      <c r="AW2724" s="2274" t="s">
        <v>138</v>
      </c>
      <c r="AX2724" s="2274" t="s">
        <v>143</v>
      </c>
      <c r="AY2724" s="2281" t="str">
        <f>IFERROR(__xludf.DUMMYFUNCTION("vlookup(BB2724,importrange(""https://docs.google.com/spreadsheets/d/1d2vevQ_7D_v35q4wCQ4RpQ_IPoTwEMB9Yp6ymwlPqew/edit?gid=984458430#gid=984458430"", ""'replication success'!A:K""), 11, FAlSE)"),"#N/A")</f>
        <v>#N/A</v>
      </c>
      <c r="AZ2724" s="2281" t="str">
        <f>IFERROR(__xludf.DUMMYFUNCTION("vlookup(BB2724,importrange(""https://docs.google.com/spreadsheets/d/1d2vevQ_7D_v35q4wCQ4RpQ_IPoTwEMB9Yp6ymwlPqew/edit?gid=984458430#gid=984458430"", ""'replication success'!A:M""), 12, FAlSE)"),"#N/A")</f>
        <v>#N/A</v>
      </c>
      <c r="BA2724" s="2281" t="str">
        <f>IFERROR(__xludf.DUMMYFUNCTION("vlookup(BB2724,importrange(""https://docs.google.com/spreadsheets/d/1d2vevQ_7D_v35q4wCQ4RpQ_IPoTwEMB9Yp6ymwlPqew/edit?gid=984458430#gid=984458430"", ""'replication success'!A:M""), 13, FAlSE)"),"#N/A")</f>
        <v>#N/A</v>
      </c>
      <c r="BB2724" s="2281" t="str">
        <f>IFERROR(__xludf.DUMMYFUNCTION("REGEXREPLACE(G2724, ""_[a-z]{1,2}$"", """")"),"add_ai36")</f>
        <v>add_ai36</v>
      </c>
      <c r="BC2724" s="2270"/>
      <c r="BD2724" s="2269" t="s">
        <v>16112</v>
      </c>
      <c r="BE2724" s="342"/>
      <c r="BF2724" s="342"/>
      <c r="BG2724" s="342"/>
      <c r="BH2724" s="342"/>
      <c r="BI2724" s="342"/>
      <c r="BJ2724" s="342"/>
      <c r="BK2724" s="342"/>
      <c r="BL2724" s="342"/>
      <c r="BM2724" s="342"/>
      <c r="BN2724" s="342"/>
      <c r="BO2724" s="342"/>
      <c r="BP2724" s="342"/>
      <c r="BQ2724" s="342"/>
      <c r="BR2724" s="342"/>
      <c r="BS2724" s="342"/>
      <c r="BT2724" s="342"/>
      <c r="BU2724" s="342"/>
      <c r="BV2724" s="342"/>
      <c r="BW2724" s="342"/>
      <c r="BX2724" s="342"/>
      <c r="BY2724" s="342"/>
      <c r="BZ2724" s="342"/>
      <c r="CA2724" s="342"/>
      <c r="CB2724" s="342"/>
      <c r="CC2724" s="342"/>
      <c r="CD2724" s="342"/>
      <c r="CE2724" s="342"/>
      <c r="CF2724" s="342"/>
      <c r="CG2724" s="342"/>
      <c r="CH2724" s="342"/>
      <c r="CI2724" s="342"/>
      <c r="CJ2724" s="342"/>
      <c r="CK2724" s="342"/>
      <c r="CL2724" s="342"/>
      <c r="CM2724" s="342"/>
      <c r="CN2724" s="342"/>
      <c r="CO2724" s="342"/>
      <c r="CP2724" s="342"/>
      <c r="CQ2724" s="342"/>
      <c r="CR2724" s="342"/>
      <c r="CS2724" s="342"/>
      <c r="CT2724" s="342"/>
      <c r="CU2724" s="342"/>
      <c r="CV2724" s="342"/>
      <c r="CW2724" s="342"/>
      <c r="CX2724" s="342"/>
      <c r="CY2724" s="342"/>
      <c r="CZ2724" s="342"/>
      <c r="DA2724" s="342"/>
      <c r="DB2724" s="342"/>
      <c r="DC2724" s="342"/>
      <c r="DD2724" s="342"/>
      <c r="DE2724" s="342"/>
      <c r="DF2724" s="342"/>
      <c r="DG2724" s="342"/>
      <c r="DH2724" s="342"/>
      <c r="DI2724" s="342"/>
      <c r="DJ2724" s="342"/>
      <c r="DK2724" s="342"/>
      <c r="DL2724" s="342"/>
    </row>
    <row r="2725">
      <c r="A2725" s="44">
        <v>3125.0</v>
      </c>
      <c r="B2725" s="2268" t="s">
        <v>523</v>
      </c>
      <c r="C2725" s="2269" t="s">
        <v>115</v>
      </c>
      <c r="D2725" s="2269" t="s">
        <v>153</v>
      </c>
      <c r="E2725" s="2270"/>
      <c r="F2725" s="2282" t="s">
        <v>16100</v>
      </c>
      <c r="G2725" s="2283" t="s">
        <v>16113</v>
      </c>
      <c r="H2725" s="2282" t="s">
        <v>15921</v>
      </c>
      <c r="I2725" s="2284">
        <v>45821.0</v>
      </c>
      <c r="J2725" s="2285"/>
      <c r="K2725" s="2283" t="s">
        <v>16114</v>
      </c>
      <c r="L2725" s="2274"/>
      <c r="M2725" s="2283" t="s">
        <v>16102</v>
      </c>
      <c r="N2725" s="2283" t="s">
        <v>16103</v>
      </c>
      <c r="O2725" s="2274"/>
      <c r="P2725" s="2283" t="s">
        <v>16104</v>
      </c>
      <c r="Q2725" s="2276" t="str">
        <f t="array" ref="Q2725"> if(iserror(MATCH(V2725, 'File Links'!C:C, 0)), "N/A", HYPERLINK(INDEX('File Links'!B:B, MATCH(P2725, 'File Links'!C:C, 0))))</f>
        <v>https://drive.google.com/file/d/1UAZP-7EFUjtBAC0eRgBKAvSYCJnbPMpz/view?usp=drivesdk</v>
      </c>
      <c r="R2725" s="2283" t="s">
        <v>16105</v>
      </c>
      <c r="S2725" s="2283" t="s">
        <v>16106</v>
      </c>
      <c r="T2725" s="2274"/>
      <c r="U2725" s="2274"/>
      <c r="V2725" s="2283" t="s">
        <v>16107</v>
      </c>
      <c r="W2725" s="2274"/>
      <c r="X2725" s="2278" t="str">
        <f t="array" ref="X2725"> if(iserror(MATCH(V2725, 'File Links'!C:C, 0)), "N/A", HYPERLINK(INDEX('File Links'!B:B, MATCH(V2725, 'File Links'!C:C, 0))))</f>
        <v>https://drive.google.com/file/d/16uoJ6bzNUexR0mdpdovXBeytBzvN_136/view?usp=drivesdk</v>
      </c>
      <c r="Y2725" s="2274"/>
      <c r="Z2725" s="2283" t="s">
        <v>226</v>
      </c>
      <c r="AA2725" s="2283" t="s">
        <v>16115</v>
      </c>
      <c r="AB2725" s="2283" t="s">
        <v>16116</v>
      </c>
      <c r="AC2725" s="2283" t="s">
        <v>16117</v>
      </c>
      <c r="AD2725" s="2283" t="s">
        <v>16118</v>
      </c>
      <c r="AE2725" s="2286">
        <v>4.0</v>
      </c>
      <c r="AF2725" s="2286">
        <v>300.0</v>
      </c>
      <c r="AG2725" s="2286">
        <v>0.883</v>
      </c>
      <c r="AH2725" s="2283" t="s">
        <v>215</v>
      </c>
      <c r="AI2725" s="2283" t="s">
        <v>850</v>
      </c>
      <c r="AJ2725" s="2286">
        <v>0.01</v>
      </c>
      <c r="AK2725" s="2283" t="s">
        <v>135</v>
      </c>
      <c r="AL2725" s="2283" t="s">
        <v>186</v>
      </c>
      <c r="AM2725" s="2283" t="s">
        <v>137</v>
      </c>
      <c r="AN2725" s="2283" t="s">
        <v>138</v>
      </c>
      <c r="AO2725" s="2286">
        <v>66.0</v>
      </c>
      <c r="AP2725" s="2286">
        <f>(11.7-16.28)/SQRT(((37-1)*4.34^2+(29-1)*2.82^2)/(37+29-2))</f>
        <v>-1.220825575</v>
      </c>
      <c r="AQ2725" s="2283" t="s">
        <v>173</v>
      </c>
      <c r="AR2725" s="2283" t="s">
        <v>875</v>
      </c>
      <c r="AS2725" s="2286">
        <v>0.01</v>
      </c>
      <c r="AT2725" s="2283" t="s">
        <v>135</v>
      </c>
      <c r="AU2725" s="2283" t="s">
        <v>186</v>
      </c>
      <c r="AV2725" s="2283" t="s">
        <v>137</v>
      </c>
      <c r="AW2725" s="2283" t="s">
        <v>138</v>
      </c>
      <c r="AX2725" s="2283" t="s">
        <v>151</v>
      </c>
      <c r="AY2725" s="2281" t="str">
        <f>IFERROR(__xludf.DUMMYFUNCTION("vlookup(BB2725,importrange(""https://docs.google.com/spreadsheets/d/1d2vevQ_7D_v35q4wCQ4RpQ_IPoTwEMB9Yp6ymwlPqew/edit?gid=984458430#gid=984458430"", ""'replication success'!A:K""), 11, FAlSE)"),"#N/A")</f>
        <v>#N/A</v>
      </c>
      <c r="AZ2725" s="2281" t="str">
        <f>IFERROR(__xludf.DUMMYFUNCTION("vlookup(BB2725,importrange(""https://docs.google.com/spreadsheets/d/1d2vevQ_7D_v35q4wCQ4RpQ_IPoTwEMB9Yp6ymwlPqew/edit?gid=984458430#gid=984458430"", ""'replication success'!A:M""), 12, FAlSE)"),"#N/A")</f>
        <v>#N/A</v>
      </c>
      <c r="BA2725" s="2281" t="str">
        <f>IFERROR(__xludf.DUMMYFUNCTION("vlookup(BB2725,importrange(""https://docs.google.com/spreadsheets/d/1d2vevQ_7D_v35q4wCQ4RpQ_IPoTwEMB9Yp6ymwlPqew/edit?gid=984458430#gid=984458430"", ""'replication success'!A:M""), 13, FAlSE)"),"#N/A")</f>
        <v>#N/A</v>
      </c>
      <c r="BB2725" s="2281" t="str">
        <f>IFERROR(__xludf.DUMMYFUNCTION("REGEXREPLACE(G2725, ""_[a-z]{1,2}$"", """")"),"add_ai36")</f>
        <v>add_ai36</v>
      </c>
      <c r="BC2725" s="2270"/>
      <c r="BD2725" s="2269" t="s">
        <v>16112</v>
      </c>
      <c r="BE2725" s="342"/>
      <c r="BF2725" s="342"/>
      <c r="BG2725" s="342"/>
      <c r="BH2725" s="342"/>
      <c r="BI2725" s="342"/>
      <c r="BJ2725" s="342"/>
      <c r="BK2725" s="342"/>
      <c r="BL2725" s="342"/>
      <c r="BM2725" s="342"/>
      <c r="BN2725" s="342"/>
      <c r="BO2725" s="342"/>
      <c r="BP2725" s="342"/>
      <c r="BQ2725" s="342"/>
      <c r="BR2725" s="342"/>
      <c r="BS2725" s="342"/>
      <c r="BT2725" s="342"/>
      <c r="BU2725" s="342"/>
      <c r="BV2725" s="342"/>
      <c r="BW2725" s="342"/>
      <c r="BX2725" s="342"/>
      <c r="BY2725" s="342"/>
      <c r="BZ2725" s="342"/>
      <c r="CA2725" s="342"/>
      <c r="CB2725" s="342"/>
      <c r="CC2725" s="342"/>
      <c r="CD2725" s="342"/>
      <c r="CE2725" s="342"/>
      <c r="CF2725" s="342"/>
      <c r="CG2725" s="342"/>
      <c r="CH2725" s="342"/>
      <c r="CI2725" s="342"/>
      <c r="CJ2725" s="342"/>
      <c r="CK2725" s="342"/>
      <c r="CL2725" s="342"/>
      <c r="CM2725" s="342"/>
      <c r="CN2725" s="342"/>
      <c r="CO2725" s="342"/>
      <c r="CP2725" s="342"/>
      <c r="CQ2725" s="342"/>
      <c r="CR2725" s="342"/>
      <c r="CS2725" s="342"/>
      <c r="CT2725" s="342"/>
      <c r="CU2725" s="342"/>
      <c r="CV2725" s="342"/>
      <c r="CW2725" s="342"/>
      <c r="CX2725" s="342"/>
      <c r="CY2725" s="342"/>
      <c r="CZ2725" s="342"/>
      <c r="DA2725" s="342"/>
      <c r="DB2725" s="342"/>
      <c r="DC2725" s="342"/>
      <c r="DD2725" s="342"/>
      <c r="DE2725" s="342"/>
      <c r="DF2725" s="342"/>
      <c r="DG2725" s="342"/>
      <c r="DH2725" s="342"/>
      <c r="DI2725" s="342"/>
      <c r="DJ2725" s="342"/>
      <c r="DK2725" s="342"/>
      <c r="DL2725" s="342"/>
    </row>
    <row r="2726">
      <c r="A2726" s="44">
        <v>3126.0</v>
      </c>
      <c r="B2726" s="2268" t="s">
        <v>523</v>
      </c>
      <c r="C2726" s="2269" t="s">
        <v>115</v>
      </c>
      <c r="D2726" s="2269" t="s">
        <v>153</v>
      </c>
      <c r="E2726" s="2270"/>
      <c r="F2726" s="2282" t="s">
        <v>16100</v>
      </c>
      <c r="G2726" s="2283" t="s">
        <v>16119</v>
      </c>
      <c r="H2726" s="2282" t="s">
        <v>15921</v>
      </c>
      <c r="I2726" s="2284">
        <v>45821.0</v>
      </c>
      <c r="J2726" s="2285"/>
      <c r="K2726" s="2283" t="s">
        <v>16114</v>
      </c>
      <c r="L2726" s="2274"/>
      <c r="M2726" s="2283" t="s">
        <v>16102</v>
      </c>
      <c r="N2726" s="2283" t="s">
        <v>16103</v>
      </c>
      <c r="O2726" s="2274"/>
      <c r="P2726" s="2283" t="s">
        <v>16104</v>
      </c>
      <c r="Q2726" s="2276" t="str">
        <f t="array" ref="Q2726"> if(iserror(MATCH(V2726, 'File Links'!C:C, 0)), "N/A", HYPERLINK(INDEX('File Links'!B:B, MATCH(P2726, 'File Links'!C:C, 0))))</f>
        <v>https://drive.google.com/file/d/1UAZP-7EFUjtBAC0eRgBKAvSYCJnbPMpz/view?usp=drivesdk</v>
      </c>
      <c r="R2726" s="2283" t="s">
        <v>16105</v>
      </c>
      <c r="S2726" s="2283" t="s">
        <v>16106</v>
      </c>
      <c r="T2726" s="2274"/>
      <c r="U2726" s="2274"/>
      <c r="V2726" s="2283" t="s">
        <v>16107</v>
      </c>
      <c r="W2726" s="2274"/>
      <c r="X2726" s="2278" t="str">
        <f t="array" ref="X2726"> if(iserror(MATCH(V2726, 'File Links'!C:C, 0)), "N/A", HYPERLINK(INDEX('File Links'!B:B, MATCH(V2726, 'File Links'!C:C, 0))))</f>
        <v>https://drive.google.com/file/d/16uoJ6bzNUexR0mdpdovXBeytBzvN_136/view?usp=drivesdk</v>
      </c>
      <c r="Y2726" s="2274"/>
      <c r="Z2726" s="2283" t="s">
        <v>226</v>
      </c>
      <c r="AA2726" s="2283" t="s">
        <v>16115</v>
      </c>
      <c r="AB2726" s="2283" t="s">
        <v>16116</v>
      </c>
      <c r="AC2726" s="2283" t="s">
        <v>16117</v>
      </c>
      <c r="AD2726" s="2283" t="s">
        <v>16118</v>
      </c>
      <c r="AE2726" s="2286">
        <v>4.0</v>
      </c>
      <c r="AF2726" s="2286">
        <v>300.0</v>
      </c>
      <c r="AG2726" s="2286">
        <v>0.883</v>
      </c>
      <c r="AH2726" s="2283" t="s">
        <v>215</v>
      </c>
      <c r="AI2726" s="2283" t="s">
        <v>850</v>
      </c>
      <c r="AJ2726" s="2286">
        <v>0.01</v>
      </c>
      <c r="AK2726" s="2283" t="s">
        <v>135</v>
      </c>
      <c r="AL2726" s="2283" t="s">
        <v>186</v>
      </c>
      <c r="AM2726" s="2283" t="s">
        <v>137</v>
      </c>
      <c r="AN2726" s="2283" t="s">
        <v>138</v>
      </c>
      <c r="AO2726" s="2286">
        <v>66.0</v>
      </c>
      <c r="AP2726" s="2287">
        <v>0.63</v>
      </c>
      <c r="AQ2726" s="2283" t="s">
        <v>215</v>
      </c>
      <c r="AR2726" s="2282" t="s">
        <v>217</v>
      </c>
      <c r="AS2726" s="2287">
        <v>0.01</v>
      </c>
      <c r="AT2726" s="2283" t="s">
        <v>135</v>
      </c>
      <c r="AU2726" s="2283" t="s">
        <v>186</v>
      </c>
      <c r="AV2726" s="2283" t="s">
        <v>137</v>
      </c>
      <c r="AW2726" s="2283" t="s">
        <v>138</v>
      </c>
      <c r="AX2726" s="2283" t="s">
        <v>151</v>
      </c>
      <c r="AY2726" s="2281" t="str">
        <f>IFERROR(__xludf.DUMMYFUNCTION("vlookup(BB2726,importrange(""https://docs.google.com/spreadsheets/d/1d2vevQ_7D_v35q4wCQ4RpQ_IPoTwEMB9Yp6ymwlPqew/edit?gid=984458430#gid=984458430"", ""'replication success'!A:K""), 11, FAlSE)"),"#N/A")</f>
        <v>#N/A</v>
      </c>
      <c r="AZ2726" s="2281" t="str">
        <f>IFERROR(__xludf.DUMMYFUNCTION("vlookup(BB2726,importrange(""https://docs.google.com/spreadsheets/d/1d2vevQ_7D_v35q4wCQ4RpQ_IPoTwEMB9Yp6ymwlPqew/edit?gid=984458430#gid=984458430"", ""'replication success'!A:M""), 12, FAlSE)"),"#N/A")</f>
        <v>#N/A</v>
      </c>
      <c r="BA2726" s="2281" t="str">
        <f>IFERROR(__xludf.DUMMYFUNCTION("vlookup(BB2726,importrange(""https://docs.google.com/spreadsheets/d/1d2vevQ_7D_v35q4wCQ4RpQ_IPoTwEMB9Yp6ymwlPqew/edit?gid=984458430#gid=984458430"", ""'replication success'!A:M""), 13, FAlSE)"),"#N/A")</f>
        <v>#N/A</v>
      </c>
      <c r="BB2726" s="2281" t="str">
        <f>IFERROR(__xludf.DUMMYFUNCTION("REGEXREPLACE(G2726, ""_[a-z]{1,2}$"", """")"),"add_ai36")</f>
        <v>add_ai36</v>
      </c>
      <c r="BC2726" s="2270"/>
      <c r="BD2726" s="2269" t="s">
        <v>16112</v>
      </c>
      <c r="BE2726" s="342"/>
      <c r="BF2726" s="46"/>
      <c r="BG2726" s="46"/>
      <c r="BH2726" s="46"/>
      <c r="BI2726" s="46"/>
      <c r="BJ2726" s="46"/>
      <c r="BK2726" s="46"/>
      <c r="BL2726" s="46"/>
      <c r="BM2726" s="46"/>
      <c r="BN2726" s="46"/>
      <c r="BO2726" s="46"/>
      <c r="BP2726" s="46"/>
      <c r="BQ2726" s="46"/>
      <c r="BR2726" s="46"/>
      <c r="BS2726" s="46"/>
      <c r="BT2726" s="46"/>
      <c r="BU2726" s="46"/>
      <c r="BV2726" s="46"/>
      <c r="BW2726" s="46"/>
      <c r="BX2726" s="46"/>
      <c r="BY2726" s="46"/>
      <c r="BZ2726" s="46"/>
      <c r="CA2726" s="46"/>
      <c r="CB2726" s="46"/>
      <c r="CC2726" s="46"/>
      <c r="CD2726" s="46"/>
      <c r="CE2726" s="46"/>
      <c r="CF2726" s="46"/>
      <c r="CG2726" s="46"/>
      <c r="CH2726" s="46"/>
      <c r="CI2726" s="46"/>
      <c r="CJ2726" s="46"/>
      <c r="CK2726" s="46"/>
      <c r="CL2726" s="46"/>
      <c r="CM2726" s="46"/>
      <c r="CN2726" s="46"/>
      <c r="CO2726" s="46"/>
      <c r="CP2726" s="46"/>
      <c r="CQ2726" s="46"/>
      <c r="CR2726" s="46"/>
      <c r="CS2726" s="46"/>
      <c r="CT2726" s="46"/>
      <c r="CU2726" s="46"/>
      <c r="CV2726" s="46"/>
      <c r="CW2726" s="46"/>
      <c r="CX2726" s="46"/>
      <c r="CY2726" s="46"/>
      <c r="CZ2726" s="46"/>
      <c r="DA2726" s="46"/>
      <c r="DB2726" s="46"/>
      <c r="DC2726" s="46"/>
      <c r="DD2726" s="46"/>
      <c r="DE2726" s="46"/>
      <c r="DF2726" s="46"/>
      <c r="DG2726" s="46"/>
      <c r="DH2726" s="46"/>
      <c r="DI2726" s="342"/>
      <c r="DJ2726" s="342"/>
      <c r="DK2726" s="342"/>
      <c r="DL2726" s="342"/>
    </row>
    <row r="2727">
      <c r="A2727" s="44">
        <v>3150.0</v>
      </c>
      <c r="B2727" s="2288" t="s">
        <v>523</v>
      </c>
      <c r="C2727" s="1440" t="s">
        <v>115</v>
      </c>
      <c r="D2727" s="1440" t="s">
        <v>1458</v>
      </c>
      <c r="E2727" s="812"/>
      <c r="F2727" s="1648" t="s">
        <v>16120</v>
      </c>
      <c r="G2727" s="1648" t="s">
        <v>16121</v>
      </c>
      <c r="H2727" s="2289" t="s">
        <v>1518</v>
      </c>
      <c r="I2727" s="2290">
        <v>45822.0</v>
      </c>
      <c r="J2727" s="2291"/>
      <c r="K2727" s="1648" t="s">
        <v>16122</v>
      </c>
      <c r="L2727" s="1444"/>
      <c r="M2727" s="1648" t="s">
        <v>16123</v>
      </c>
      <c r="N2727" s="1648" t="s">
        <v>16124</v>
      </c>
      <c r="O2727" s="1652">
        <v>1.0</v>
      </c>
      <c r="P2727" s="1653" t="s">
        <v>16125</v>
      </c>
      <c r="Q2727" s="2292" t="str">
        <f t="array" ref="Q2727"> if(iserror(MATCH(V2727, 'File Links'!C:C, 0)), "N/A", HYPERLINK(INDEX('File Links'!B:B, MATCH(P2727, 'File Links'!C:C, 0))))</f>
        <v>https://drive.google.com/file/d/1Dqew43Y8v38P1r4gR5u_w-Qmg53Bl1k5/view?usp=drivesdk</v>
      </c>
      <c r="R2727" s="1648" t="s">
        <v>16126</v>
      </c>
      <c r="S2727" s="1648" t="s">
        <v>16127</v>
      </c>
      <c r="T2727" s="1648" t="s">
        <v>138</v>
      </c>
      <c r="U2727" s="1652">
        <v>1.0</v>
      </c>
      <c r="V2727" s="1648" t="s">
        <v>16128</v>
      </c>
      <c r="W2727" s="1444"/>
      <c r="X2727" s="2293" t="str">
        <f t="array" ref="X2727"> if(iserror(MATCH(V2727, 'File Links'!C:C, 0)), "N/A", HYPERLINK(INDEX('File Links'!B:B, MATCH(V2727, 'File Links'!C:C, 0))))</f>
        <v>https://drive.google.com/file/d/1E7eIQbprHd2AUw9X5A-g5L9xxHpTZ0P1/view?usp=drivesdk</v>
      </c>
      <c r="Y2727" s="1648" t="s">
        <v>138</v>
      </c>
      <c r="Z2727" s="1648" t="s">
        <v>1600</v>
      </c>
      <c r="AA2727" s="1648" t="s">
        <v>16129</v>
      </c>
      <c r="AB2727" s="1648" t="s">
        <v>16130</v>
      </c>
      <c r="AC2727" s="1648" t="s">
        <v>16131</v>
      </c>
      <c r="AD2727" s="1648" t="s">
        <v>16132</v>
      </c>
      <c r="AE2727" s="1648" t="s">
        <v>16133</v>
      </c>
      <c r="AF2727" s="1652">
        <v>16.0</v>
      </c>
      <c r="AG2727" s="1648" t="s">
        <v>138</v>
      </c>
      <c r="AH2727" s="1648" t="s">
        <v>138</v>
      </c>
      <c r="AI2727" s="1648" t="s">
        <v>138</v>
      </c>
      <c r="AJ2727" s="1648" t="s">
        <v>138</v>
      </c>
      <c r="AK2727" s="1648" t="s">
        <v>138</v>
      </c>
      <c r="AL2727" s="1648" t="s">
        <v>138</v>
      </c>
      <c r="AM2727" s="1648" t="s">
        <v>138</v>
      </c>
      <c r="AN2727" s="1648" t="s">
        <v>138</v>
      </c>
      <c r="AO2727" s="1652">
        <v>82.0</v>
      </c>
      <c r="AP2727" s="2294" t="s">
        <v>138</v>
      </c>
      <c r="AQ2727" s="2294" t="s">
        <v>138</v>
      </c>
      <c r="AR2727" s="2294" t="s">
        <v>138</v>
      </c>
      <c r="AS2727" s="1652">
        <v>0.001</v>
      </c>
      <c r="AT2727" s="1648" t="s">
        <v>135</v>
      </c>
      <c r="AU2727" s="1648" t="s">
        <v>218</v>
      </c>
      <c r="AV2727" s="1648" t="s">
        <v>1905</v>
      </c>
      <c r="AW2727" s="1648" t="s">
        <v>138</v>
      </c>
      <c r="AX2727" s="1648" t="s">
        <v>143</v>
      </c>
      <c r="AY2727" s="61" t="str">
        <f>IFERROR(__xludf.DUMMYFUNCTION("vlookup(BB2727,importrange(""https://docs.google.com/spreadsheets/d/1d2vevQ_7D_v35q4wCQ4RpQ_IPoTwEMB9Yp6ymwlPqew/edit?gid=984458430#gid=984458430"", ""'replication success'!A:K""), 11, FAlSE)"),"#N/A")</f>
        <v>#N/A</v>
      </c>
      <c r="AZ2727" s="61" t="str">
        <f>IFERROR(__xludf.DUMMYFUNCTION("vlookup(BB2727,importrange(""https://docs.google.com/spreadsheets/d/1d2vevQ_7D_v35q4wCQ4RpQ_IPoTwEMB9Yp6ymwlPqew/edit?gid=984458430#gid=984458430"", ""'replication success'!A:M""), 12, FAlSE)"),"#N/A")</f>
        <v>#N/A</v>
      </c>
      <c r="BA2727" s="61" t="str">
        <f>IFERROR(__xludf.DUMMYFUNCTION("vlookup(BB2727,importrange(""https://docs.google.com/spreadsheets/d/1d2vevQ_7D_v35q4wCQ4RpQ_IPoTwEMB9Yp6ymwlPqew/edit?gid=984458430#gid=984458430"", ""'replication success'!A:M""), 13, FAlSE)"),"#N/A")</f>
        <v>#N/A</v>
      </c>
      <c r="BB2727" s="61" t="str">
        <f>IFERROR(__xludf.DUMMYFUNCTION("REGEXREPLACE(G2727, ""_[a-z]{1,2}$"", """")"),"add_ai37")</f>
        <v>add_ai37</v>
      </c>
      <c r="BC2727" s="812"/>
      <c r="BD2727" s="1440" t="s">
        <v>16112</v>
      </c>
      <c r="BE2727" s="342"/>
      <c r="BF2727" s="342"/>
      <c r="BG2727" s="46"/>
      <c r="BH2727" s="46"/>
      <c r="BI2727" s="46"/>
      <c r="BJ2727" s="46"/>
      <c r="BK2727" s="46"/>
      <c r="BL2727" s="46"/>
      <c r="BM2727" s="46"/>
      <c r="BN2727" s="46"/>
      <c r="BO2727" s="46"/>
      <c r="BP2727" s="46"/>
      <c r="BQ2727" s="46"/>
      <c r="BR2727" s="46"/>
      <c r="BS2727" s="46"/>
      <c r="BT2727" s="46"/>
      <c r="BU2727" s="46"/>
      <c r="BV2727" s="46"/>
      <c r="BW2727" s="46"/>
      <c r="BX2727" s="46"/>
      <c r="BY2727" s="46"/>
      <c r="BZ2727" s="46"/>
      <c r="CA2727" s="46"/>
      <c r="CB2727" s="46"/>
      <c r="CC2727" s="46"/>
      <c r="CD2727" s="46"/>
      <c r="CE2727" s="46"/>
      <c r="CF2727" s="46"/>
      <c r="CG2727" s="46"/>
      <c r="CH2727" s="46"/>
      <c r="CI2727" s="46"/>
      <c r="CJ2727" s="46"/>
      <c r="CK2727" s="46"/>
      <c r="CL2727" s="46"/>
      <c r="CM2727" s="46"/>
      <c r="CN2727" s="46"/>
      <c r="CO2727" s="46"/>
      <c r="CP2727" s="46"/>
      <c r="CQ2727" s="46"/>
      <c r="CR2727" s="46"/>
      <c r="CS2727" s="46"/>
      <c r="CT2727" s="46"/>
      <c r="CU2727" s="46"/>
      <c r="CV2727" s="46"/>
      <c r="CW2727" s="46"/>
      <c r="CX2727" s="46"/>
      <c r="CY2727" s="46"/>
      <c r="CZ2727" s="46"/>
      <c r="DA2727" s="46"/>
      <c r="DB2727" s="46"/>
      <c r="DC2727" s="46"/>
      <c r="DD2727" s="46"/>
      <c r="DE2727" s="46"/>
      <c r="DF2727" s="46"/>
      <c r="DG2727" s="46"/>
      <c r="DH2727" s="46"/>
      <c r="DI2727" s="342"/>
      <c r="DJ2727" s="342"/>
      <c r="DK2727" s="342"/>
      <c r="DL2727" s="342"/>
    </row>
    <row r="2728">
      <c r="A2728" s="44">
        <v>3151.0</v>
      </c>
      <c r="B2728" s="2288" t="s">
        <v>523</v>
      </c>
      <c r="C2728" s="1440" t="s">
        <v>115</v>
      </c>
      <c r="D2728" s="1440" t="s">
        <v>1458</v>
      </c>
      <c r="E2728" s="812"/>
      <c r="F2728" s="1648" t="s">
        <v>16120</v>
      </c>
      <c r="G2728" s="1648" t="s">
        <v>16134</v>
      </c>
      <c r="H2728" s="2289" t="s">
        <v>1518</v>
      </c>
      <c r="I2728" s="2290">
        <v>45822.0</v>
      </c>
      <c r="J2728" s="2291"/>
      <c r="K2728" s="1648" t="s">
        <v>16135</v>
      </c>
      <c r="L2728" s="1444"/>
      <c r="M2728" s="1648" t="s">
        <v>16123</v>
      </c>
      <c r="N2728" s="1648" t="s">
        <v>16124</v>
      </c>
      <c r="O2728" s="1652">
        <v>1.0</v>
      </c>
      <c r="P2728" s="1648" t="s">
        <v>16125</v>
      </c>
      <c r="Q2728" s="2292" t="str">
        <f t="array" ref="Q2728"> if(iserror(MATCH(V2728, 'File Links'!C:C, 0)), "N/A", HYPERLINK(INDEX('File Links'!B:B, MATCH(P2728, 'File Links'!C:C, 0))))</f>
        <v>https://drive.google.com/file/d/1Dqew43Y8v38P1r4gR5u_w-Qmg53Bl1k5/view?usp=drivesdk</v>
      </c>
      <c r="R2728" s="1648" t="s">
        <v>16126</v>
      </c>
      <c r="S2728" s="1648" t="s">
        <v>16127</v>
      </c>
      <c r="T2728" s="1648" t="s">
        <v>138</v>
      </c>
      <c r="U2728" s="1652">
        <v>2.0</v>
      </c>
      <c r="V2728" s="1648" t="s">
        <v>16128</v>
      </c>
      <c r="W2728" s="1444"/>
      <c r="X2728" s="2293" t="str">
        <f t="array" ref="X2728"> if(iserror(MATCH(V2728, 'File Links'!C:C, 0)), "N/A", HYPERLINK(INDEX('File Links'!B:B, MATCH(V2728, 'File Links'!C:C, 0))))</f>
        <v>https://drive.google.com/file/d/1E7eIQbprHd2AUw9X5A-g5L9xxHpTZ0P1/view?usp=drivesdk</v>
      </c>
      <c r="Y2728" s="1648" t="s">
        <v>138</v>
      </c>
      <c r="Z2728" s="1648" t="s">
        <v>1600</v>
      </c>
      <c r="AA2728" s="1648" t="s">
        <v>16129</v>
      </c>
      <c r="AB2728" s="1648" t="s">
        <v>16130</v>
      </c>
      <c r="AC2728" s="1648" t="s">
        <v>16131</v>
      </c>
      <c r="AD2728" s="1648" t="s">
        <v>16132</v>
      </c>
      <c r="AE2728" s="1648" t="s">
        <v>16133</v>
      </c>
      <c r="AF2728" s="1652">
        <v>16.0</v>
      </c>
      <c r="AG2728" s="1648" t="s">
        <v>138</v>
      </c>
      <c r="AH2728" s="1648" t="s">
        <v>138</v>
      </c>
      <c r="AI2728" s="1648" t="s">
        <v>138</v>
      </c>
      <c r="AJ2728" s="1648" t="s">
        <v>138</v>
      </c>
      <c r="AK2728" s="1648" t="s">
        <v>138</v>
      </c>
      <c r="AL2728" s="1648" t="s">
        <v>138</v>
      </c>
      <c r="AM2728" s="1648" t="s">
        <v>138</v>
      </c>
      <c r="AN2728" s="1648" t="s">
        <v>138</v>
      </c>
      <c r="AO2728" s="1652">
        <v>133.0</v>
      </c>
      <c r="AP2728" s="2294" t="s">
        <v>138</v>
      </c>
      <c r="AQ2728" s="2294" t="s">
        <v>138</v>
      </c>
      <c r="AR2728" s="2294" t="s">
        <v>138</v>
      </c>
      <c r="AS2728" s="1652">
        <v>0.5469</v>
      </c>
      <c r="AT2728" s="1648" t="s">
        <v>172</v>
      </c>
      <c r="AU2728" s="1648" t="s">
        <v>218</v>
      </c>
      <c r="AV2728" s="1648" t="s">
        <v>1905</v>
      </c>
      <c r="AW2728" s="1648" t="s">
        <v>138</v>
      </c>
      <c r="AX2728" s="1648" t="s">
        <v>143</v>
      </c>
      <c r="AY2728" s="61" t="str">
        <f>IFERROR(__xludf.DUMMYFUNCTION("vlookup(BB2728,importrange(""https://docs.google.com/spreadsheets/d/1d2vevQ_7D_v35q4wCQ4RpQ_IPoTwEMB9Yp6ymwlPqew/edit?gid=984458430#gid=984458430"", ""'replication success'!A:K""), 11, FAlSE)"),"#N/A")</f>
        <v>#N/A</v>
      </c>
      <c r="AZ2728" s="61" t="str">
        <f>IFERROR(__xludf.DUMMYFUNCTION("vlookup(BB2728,importrange(""https://docs.google.com/spreadsheets/d/1d2vevQ_7D_v35q4wCQ4RpQ_IPoTwEMB9Yp6ymwlPqew/edit?gid=984458430#gid=984458430"", ""'replication success'!A:M""), 12, FAlSE)"),"#N/A")</f>
        <v>#N/A</v>
      </c>
      <c r="BA2728" s="61" t="str">
        <f>IFERROR(__xludf.DUMMYFUNCTION("vlookup(BB2728,importrange(""https://docs.google.com/spreadsheets/d/1d2vevQ_7D_v35q4wCQ4RpQ_IPoTwEMB9Yp6ymwlPqew/edit?gid=984458430#gid=984458430"", ""'replication success'!A:M""), 13, FAlSE)"),"#N/A")</f>
        <v>#N/A</v>
      </c>
      <c r="BB2728" s="61" t="str">
        <f>IFERROR(__xludf.DUMMYFUNCTION("REGEXREPLACE(G2728, ""_[a-z]{1,2}$"", """")"),"add_ai37")</f>
        <v>add_ai37</v>
      </c>
      <c r="BC2728" s="812"/>
      <c r="BD2728" s="1440" t="s">
        <v>16112</v>
      </c>
      <c r="BE2728" s="342"/>
      <c r="BF2728" s="342"/>
      <c r="BG2728" s="46"/>
      <c r="BH2728" s="46"/>
      <c r="BI2728" s="46"/>
      <c r="BJ2728" s="46"/>
      <c r="BK2728" s="46"/>
      <c r="BL2728" s="46"/>
      <c r="BM2728" s="46"/>
      <c r="BN2728" s="46"/>
      <c r="BO2728" s="46"/>
      <c r="BP2728" s="46"/>
      <c r="BQ2728" s="46"/>
      <c r="BR2728" s="46"/>
      <c r="BS2728" s="46"/>
      <c r="BT2728" s="46"/>
      <c r="BU2728" s="46"/>
      <c r="BV2728" s="46"/>
      <c r="BW2728" s="46"/>
      <c r="BX2728" s="46"/>
      <c r="BY2728" s="46"/>
      <c r="BZ2728" s="46"/>
      <c r="CA2728" s="46"/>
      <c r="CB2728" s="46"/>
      <c r="CC2728" s="46"/>
      <c r="CD2728" s="46"/>
      <c r="CE2728" s="46"/>
      <c r="CF2728" s="46"/>
      <c r="CG2728" s="46"/>
      <c r="CH2728" s="46"/>
      <c r="CI2728" s="46"/>
      <c r="CJ2728" s="46"/>
      <c r="CK2728" s="46"/>
      <c r="CL2728" s="46"/>
      <c r="CM2728" s="46"/>
      <c r="CN2728" s="46"/>
      <c r="CO2728" s="46"/>
      <c r="CP2728" s="46"/>
      <c r="CQ2728" s="46"/>
      <c r="CR2728" s="46"/>
      <c r="CS2728" s="46"/>
      <c r="CT2728" s="46"/>
      <c r="CU2728" s="46"/>
      <c r="CV2728" s="46"/>
      <c r="CW2728" s="46"/>
      <c r="CX2728" s="46"/>
      <c r="CY2728" s="46"/>
      <c r="CZ2728" s="46"/>
      <c r="DA2728" s="46"/>
      <c r="DB2728" s="46"/>
      <c r="DC2728" s="46"/>
      <c r="DD2728" s="46"/>
      <c r="DE2728" s="46"/>
      <c r="DF2728" s="46"/>
      <c r="DG2728" s="46"/>
      <c r="DH2728" s="46"/>
      <c r="DI2728" s="342"/>
      <c r="DJ2728" s="342"/>
      <c r="DK2728" s="342"/>
      <c r="DL2728" s="342"/>
    </row>
    <row r="2729" ht="24.75" customHeight="1">
      <c r="A2729" s="44">
        <v>3188.0</v>
      </c>
      <c r="B2729" s="2268" t="s">
        <v>523</v>
      </c>
      <c r="C2729" s="2269" t="s">
        <v>115</v>
      </c>
      <c r="D2729" s="2269" t="s">
        <v>15991</v>
      </c>
      <c r="E2729" s="2270"/>
      <c r="F2729" s="2271" t="s">
        <v>16136</v>
      </c>
      <c r="G2729" s="2271" t="s">
        <v>16134</v>
      </c>
      <c r="H2729" s="2272" t="s">
        <v>15994</v>
      </c>
      <c r="I2729" s="2273">
        <v>45813.0</v>
      </c>
      <c r="J2729" s="2274"/>
      <c r="K2729" s="2274"/>
      <c r="L2729" s="2274"/>
      <c r="M2729" s="2275" t="s">
        <v>16102</v>
      </c>
      <c r="N2729" s="2275" t="s">
        <v>16103</v>
      </c>
      <c r="O2729" s="2274"/>
      <c r="P2729" s="2275" t="s">
        <v>16104</v>
      </c>
      <c r="Q2729" s="2276" t="str">
        <f t="array" ref="Q2729"> if(iserror(MATCH(V2729, 'File Links'!C:C, 0)), "N/A", HYPERLINK(INDEX('File Links'!B:B, MATCH(P2729, 'File Links'!C:C, 0))))</f>
        <v>https://drive.google.com/file/d/1UAZP-7EFUjtBAC0eRgBKAvSYCJnbPMpz/view?usp=drivesdk</v>
      </c>
      <c r="R2729" s="2275" t="s">
        <v>16137</v>
      </c>
      <c r="S2729" s="2277" t="s">
        <v>16138</v>
      </c>
      <c r="T2729" s="2274"/>
      <c r="U2729" s="2274"/>
      <c r="V2729" s="2271" t="s">
        <v>16107</v>
      </c>
      <c r="W2729" s="2274"/>
      <c r="X2729" s="2278" t="str">
        <f t="array" ref="X2729"> if(iserror(MATCH(V2729, 'File Links'!C:C, 0)), "N/A", HYPERLINK(INDEX('File Links'!B:B, MATCH(V2729, 'File Links'!C:C, 0))))</f>
        <v>https://drive.google.com/file/d/16uoJ6bzNUexR0mdpdovXBeytBzvN_136/view?usp=drivesdk</v>
      </c>
      <c r="Y2729" s="2274"/>
      <c r="Z2729" s="2271" t="s">
        <v>226</v>
      </c>
      <c r="AA2729" s="2274" t="s">
        <v>16108</v>
      </c>
      <c r="AB2729" s="2274"/>
      <c r="AC2729" s="2274" t="s">
        <v>16139</v>
      </c>
      <c r="AD2729" s="2274" t="s">
        <v>16110</v>
      </c>
      <c r="AE2729" s="2274" t="s">
        <v>882</v>
      </c>
      <c r="AF2729" s="2279">
        <v>124.0</v>
      </c>
      <c r="AG2729" s="2279">
        <v>0.676</v>
      </c>
      <c r="AH2729" s="2274" t="s">
        <v>173</v>
      </c>
      <c r="AI2729" s="2274" t="s">
        <v>496</v>
      </c>
      <c r="AJ2729" s="2279">
        <v>0.05</v>
      </c>
      <c r="AK2729" s="2274" t="s">
        <v>135</v>
      </c>
      <c r="AL2729" s="2271" t="s">
        <v>186</v>
      </c>
      <c r="AM2729" s="2271" t="s">
        <v>137</v>
      </c>
      <c r="AN2729" s="2271" t="s">
        <v>138</v>
      </c>
      <c r="AO2729" s="2279">
        <v>66.0</v>
      </c>
      <c r="AP2729" s="2279">
        <v>0.072</v>
      </c>
      <c r="AQ2729" s="2274" t="s">
        <v>173</v>
      </c>
      <c r="AR2729" s="2280" t="s">
        <v>16140</v>
      </c>
      <c r="AS2729" s="2279">
        <v>0.05</v>
      </c>
      <c r="AT2729" s="2274" t="s">
        <v>135</v>
      </c>
      <c r="AU2729" s="2274" t="s">
        <v>186</v>
      </c>
      <c r="AV2729" s="2274" t="s">
        <v>137</v>
      </c>
      <c r="AW2729" s="2274" t="s">
        <v>138</v>
      </c>
      <c r="AX2729" s="2274" t="s">
        <v>143</v>
      </c>
      <c r="AY2729" s="2281" t="str">
        <f>IFERROR(__xludf.DUMMYFUNCTION("vlookup(BB2729,importrange(""https://docs.google.com/spreadsheets/d/1d2vevQ_7D_v35q4wCQ4RpQ_IPoTwEMB9Yp6ymwlPqew/edit?gid=984458430#gid=984458430"", ""'replication success'!A:K""), 11, FAlSE)"),"#N/A")</f>
        <v>#N/A</v>
      </c>
      <c r="AZ2729" s="2281" t="str">
        <f>IFERROR(__xludf.DUMMYFUNCTION("vlookup(BB2729,importrange(""https://docs.google.com/spreadsheets/d/1d2vevQ_7D_v35q4wCQ4RpQ_IPoTwEMB9Yp6ymwlPqew/edit?gid=984458430#gid=984458430"", ""'replication success'!A:M""), 12, FAlSE)"),"#N/A")</f>
        <v>#N/A</v>
      </c>
      <c r="BA2729" s="2281" t="str">
        <f>IFERROR(__xludf.DUMMYFUNCTION("vlookup(BB2729,importrange(""https://docs.google.com/spreadsheets/d/1d2vevQ_7D_v35q4wCQ4RpQ_IPoTwEMB9Yp6ymwlPqew/edit?gid=984458430#gid=984458430"", ""'replication success'!A:M""), 13, FAlSE)"),"#N/A")</f>
        <v>#N/A</v>
      </c>
      <c r="BB2729" s="2281" t="str">
        <f>IFERROR(__xludf.DUMMYFUNCTION("REGEXREPLACE(G2729, ""_[a-z]{1,2}$"", """")"),"add_ai37")</f>
        <v>add_ai37</v>
      </c>
      <c r="BC2729" s="2270"/>
      <c r="BD2729" s="2269" t="s">
        <v>16112</v>
      </c>
      <c r="BE2729" s="342"/>
      <c r="BF2729" s="46"/>
      <c r="BG2729" s="46"/>
      <c r="BH2729" s="46"/>
      <c r="BI2729" s="46"/>
      <c r="BJ2729" s="46"/>
      <c r="BK2729" s="46"/>
      <c r="BL2729" s="46"/>
      <c r="BM2729" s="46"/>
      <c r="BN2729" s="46"/>
      <c r="BO2729" s="46"/>
      <c r="BP2729" s="46"/>
      <c r="BQ2729" s="46"/>
      <c r="BR2729" s="46"/>
      <c r="BS2729" s="46"/>
      <c r="BT2729" s="46"/>
      <c r="BU2729" s="46"/>
      <c r="BV2729" s="46"/>
      <c r="BW2729" s="46"/>
      <c r="BX2729" s="46"/>
      <c r="BY2729" s="46"/>
      <c r="BZ2729" s="46"/>
      <c r="CA2729" s="46"/>
      <c r="CB2729" s="46"/>
      <c r="CC2729" s="46"/>
      <c r="CD2729" s="46"/>
      <c r="CE2729" s="46"/>
      <c r="CF2729" s="46"/>
      <c r="CG2729" s="46"/>
      <c r="CH2729" s="46"/>
      <c r="CI2729" s="46"/>
      <c r="CJ2729" s="46"/>
      <c r="CK2729" s="46"/>
      <c r="CL2729" s="46"/>
      <c r="CM2729" s="46"/>
      <c r="CN2729" s="46"/>
      <c r="CO2729" s="46"/>
      <c r="CP2729" s="46"/>
      <c r="CQ2729" s="46"/>
      <c r="CR2729" s="46"/>
      <c r="CS2729" s="46"/>
      <c r="CT2729" s="46"/>
      <c r="CU2729" s="46"/>
      <c r="CV2729" s="46"/>
      <c r="CW2729" s="46"/>
      <c r="CX2729" s="46"/>
      <c r="CY2729" s="46"/>
      <c r="CZ2729" s="46"/>
      <c r="DA2729" s="46"/>
      <c r="DB2729" s="46"/>
      <c r="DC2729" s="46"/>
      <c r="DD2729" s="46"/>
      <c r="DE2729" s="46"/>
      <c r="DF2729" s="46"/>
      <c r="DG2729" s="46"/>
      <c r="DH2729" s="46"/>
      <c r="DI2729" s="342"/>
      <c r="DJ2729" s="342"/>
      <c r="DK2729" s="342"/>
      <c r="DL2729" s="342"/>
    </row>
    <row r="2730">
      <c r="A2730" s="44">
        <v>3157.0</v>
      </c>
      <c r="B2730" s="1486" t="s">
        <v>523</v>
      </c>
      <c r="C2730" s="910" t="s">
        <v>115</v>
      </c>
      <c r="D2730" s="910" t="s">
        <v>1458</v>
      </c>
      <c r="E2730" s="911"/>
      <c r="F2730" s="915" t="s">
        <v>16141</v>
      </c>
      <c r="G2730" s="912" t="s">
        <v>16142</v>
      </c>
      <c r="H2730" s="1487" t="s">
        <v>1518</v>
      </c>
      <c r="I2730" s="2295">
        <v>45823.0</v>
      </c>
      <c r="J2730" s="914"/>
      <c r="K2730" s="912" t="s">
        <v>16143</v>
      </c>
      <c r="L2730" s="915"/>
      <c r="M2730" s="912" t="s">
        <v>16144</v>
      </c>
      <c r="N2730" s="912" t="s">
        <v>16145</v>
      </c>
      <c r="O2730" s="918">
        <v>1.0</v>
      </c>
      <c r="P2730" s="912" t="s">
        <v>16146</v>
      </c>
      <c r="Q2730" s="2296" t="str">
        <f t="array" ref="Q2730"> if(iserror(MATCH(V2730, 'File Links'!C:C, 0)), "N/A", HYPERLINK(INDEX('File Links'!B:B, MATCH(P2730, 'File Links'!C:C, 0))))</f>
        <v>N/A</v>
      </c>
      <c r="R2730" s="912" t="s">
        <v>16147</v>
      </c>
      <c r="S2730" s="912" t="s">
        <v>16148</v>
      </c>
      <c r="T2730" s="912" t="s">
        <v>138</v>
      </c>
      <c r="U2730" s="918">
        <v>1.0</v>
      </c>
      <c r="V2730" s="912" t="s">
        <v>16149</v>
      </c>
      <c r="W2730" s="915"/>
      <c r="X2730" s="2297" t="str">
        <f t="array" ref="X2730"> if(iserror(MATCH(V2730, 'File Links'!C:C, 0)), "N/A", HYPERLINK(INDEX('File Links'!B:B, MATCH(V2730, 'File Links'!C:C, 0))))</f>
        <v>N/A</v>
      </c>
      <c r="Y2730" s="912" t="s">
        <v>138</v>
      </c>
      <c r="Z2730" s="912" t="s">
        <v>226</v>
      </c>
      <c r="AA2730" s="912" t="s">
        <v>16150</v>
      </c>
      <c r="AB2730" s="912" t="s">
        <v>16151</v>
      </c>
      <c r="AC2730" s="912" t="s">
        <v>16152</v>
      </c>
      <c r="AD2730" s="912" t="s">
        <v>16153</v>
      </c>
      <c r="AE2730" s="912" t="s">
        <v>10604</v>
      </c>
      <c r="AF2730" s="918">
        <v>6769.0</v>
      </c>
      <c r="AG2730" s="918">
        <v>-0.318</v>
      </c>
      <c r="AH2730" s="912" t="s">
        <v>361</v>
      </c>
      <c r="AI2730" s="912" t="s">
        <v>3721</v>
      </c>
      <c r="AJ2730" s="918">
        <v>0.05</v>
      </c>
      <c r="AK2730" s="912" t="s">
        <v>135</v>
      </c>
      <c r="AL2730" s="912" t="s">
        <v>186</v>
      </c>
      <c r="AM2730" s="912" t="s">
        <v>141</v>
      </c>
      <c r="AN2730" s="912" t="s">
        <v>138</v>
      </c>
      <c r="AO2730" s="918">
        <v>5005.0</v>
      </c>
      <c r="AP2730" s="918">
        <v>-0.36</v>
      </c>
      <c r="AQ2730" s="912" t="s">
        <v>361</v>
      </c>
      <c r="AR2730" s="912" t="s">
        <v>16154</v>
      </c>
      <c r="AS2730" s="918">
        <v>0.05</v>
      </c>
      <c r="AT2730" s="912" t="s">
        <v>335</v>
      </c>
      <c r="AU2730" s="912" t="s">
        <v>186</v>
      </c>
      <c r="AV2730" s="912" t="s">
        <v>141</v>
      </c>
      <c r="AW2730" s="2298" t="s">
        <v>16155</v>
      </c>
      <c r="AX2730" s="921" t="s">
        <v>143</v>
      </c>
      <c r="AY2730" s="61" t="str">
        <f>IFERROR(__xludf.DUMMYFUNCTION("vlookup(BB2730,importrange(""https://docs.google.com/spreadsheets/d/1d2vevQ_7D_v35q4wCQ4RpQ_IPoTwEMB9Yp6ymwlPqew/edit?gid=984458430#gid=984458430"", ""'replication success'!A:K""), 11, FAlSE)"),"#N/A")</f>
        <v>#N/A</v>
      </c>
      <c r="AZ2730" s="61" t="str">
        <f>IFERROR(__xludf.DUMMYFUNCTION("vlookup(BB2730,importrange(""https://docs.google.com/spreadsheets/d/1d2vevQ_7D_v35q4wCQ4RpQ_IPoTwEMB9Yp6ymwlPqew/edit?gid=984458430#gid=984458430"", ""'replication success'!A:M""), 12, FAlSE)"),"#N/A")</f>
        <v>#N/A</v>
      </c>
      <c r="BA2730" s="61" t="str">
        <f>IFERROR(__xludf.DUMMYFUNCTION("vlookup(BB2730,importrange(""https://docs.google.com/spreadsheets/d/1d2vevQ_7D_v35q4wCQ4RpQ_IPoTwEMB9Yp6ymwlPqew/edit?gid=984458430#gid=984458430"", ""'replication success'!A:M""), 13, FAlSE)"),"#N/A")</f>
        <v>#N/A</v>
      </c>
      <c r="BB2730" s="61" t="str">
        <f>IFERROR(__xludf.DUMMYFUNCTION("REGEXREPLACE(G2730, ""_[a-z]{1,2}$"", """")"),"add_ai4")</f>
        <v>add_ai4</v>
      </c>
      <c r="BC2730" s="911"/>
      <c r="BD2730" s="910" t="s">
        <v>16112</v>
      </c>
      <c r="BE2730" s="342"/>
      <c r="BF2730" s="46"/>
      <c r="BG2730" s="46"/>
      <c r="BH2730" s="46"/>
      <c r="BI2730" s="46"/>
      <c r="BJ2730" s="46"/>
      <c r="BK2730" s="46"/>
      <c r="BL2730" s="46"/>
      <c r="BM2730" s="46"/>
      <c r="BN2730" s="46"/>
      <c r="BO2730" s="46"/>
      <c r="BP2730" s="46"/>
      <c r="BQ2730" s="46"/>
      <c r="BR2730" s="46"/>
      <c r="BS2730" s="46"/>
      <c r="BT2730" s="46"/>
      <c r="BU2730" s="46"/>
      <c r="BV2730" s="46"/>
      <c r="BW2730" s="46"/>
      <c r="BX2730" s="46"/>
      <c r="BY2730" s="46"/>
      <c r="BZ2730" s="46"/>
      <c r="CA2730" s="46"/>
      <c r="CB2730" s="46"/>
      <c r="CC2730" s="46"/>
      <c r="CD2730" s="46"/>
      <c r="CE2730" s="46"/>
      <c r="CF2730" s="46"/>
      <c r="CG2730" s="46"/>
      <c r="CH2730" s="46"/>
      <c r="CI2730" s="46"/>
      <c r="CJ2730" s="46"/>
      <c r="CK2730" s="46"/>
      <c r="CL2730" s="46"/>
      <c r="CM2730" s="46"/>
      <c r="CN2730" s="46"/>
      <c r="CO2730" s="46"/>
      <c r="CP2730" s="46"/>
      <c r="CQ2730" s="46"/>
      <c r="CR2730" s="46"/>
      <c r="CS2730" s="46"/>
      <c r="CT2730" s="46"/>
      <c r="CU2730" s="46"/>
      <c r="CV2730" s="46"/>
      <c r="CW2730" s="46"/>
      <c r="CX2730" s="46"/>
      <c r="CY2730" s="46"/>
      <c r="CZ2730" s="46"/>
      <c r="DA2730" s="46"/>
      <c r="DB2730" s="46"/>
      <c r="DC2730" s="46"/>
      <c r="DD2730" s="46"/>
      <c r="DE2730" s="46"/>
      <c r="DF2730" s="46"/>
      <c r="DG2730" s="46"/>
      <c r="DH2730" s="46"/>
      <c r="DI2730" s="342"/>
      <c r="DJ2730" s="342"/>
      <c r="DK2730" s="342"/>
      <c r="DL2730" s="342"/>
    </row>
    <row r="2731">
      <c r="A2731" s="44">
        <v>3158.0</v>
      </c>
      <c r="B2731" s="1486" t="s">
        <v>523</v>
      </c>
      <c r="C2731" s="910" t="s">
        <v>115</v>
      </c>
      <c r="D2731" s="910" t="s">
        <v>1458</v>
      </c>
      <c r="E2731" s="911"/>
      <c r="F2731" s="915" t="s">
        <v>16141</v>
      </c>
      <c r="G2731" s="912" t="s">
        <v>16156</v>
      </c>
      <c r="H2731" s="1487" t="s">
        <v>1518</v>
      </c>
      <c r="I2731" s="2295">
        <v>45823.0</v>
      </c>
      <c r="J2731" s="914"/>
      <c r="K2731" s="912" t="s">
        <v>16157</v>
      </c>
      <c r="L2731" s="915"/>
      <c r="M2731" s="912" t="s">
        <v>16144</v>
      </c>
      <c r="N2731" s="912" t="s">
        <v>16145</v>
      </c>
      <c r="O2731" s="918">
        <v>1.0</v>
      </c>
      <c r="P2731" s="912" t="s">
        <v>16146</v>
      </c>
      <c r="Q2731" s="2296" t="str">
        <f t="array" ref="Q2731"> if(iserror(MATCH(V2731, 'File Links'!C:C, 0)), "N/A", HYPERLINK(INDEX('File Links'!B:B, MATCH(P2731, 'File Links'!C:C, 0))))</f>
        <v>N/A</v>
      </c>
      <c r="R2731" s="912" t="s">
        <v>16147</v>
      </c>
      <c r="S2731" s="912" t="s">
        <v>16148</v>
      </c>
      <c r="T2731" s="912" t="s">
        <v>138</v>
      </c>
      <c r="U2731" s="918">
        <v>1.0</v>
      </c>
      <c r="V2731" s="912" t="s">
        <v>16149</v>
      </c>
      <c r="W2731" s="915"/>
      <c r="X2731" s="2297" t="str">
        <f t="array" ref="X2731"> if(iserror(MATCH(V2731, 'File Links'!C:C, 0)), "N/A", HYPERLINK(INDEX('File Links'!B:B, MATCH(V2731, 'File Links'!C:C, 0))))</f>
        <v>N/A</v>
      </c>
      <c r="Y2731" s="912" t="s">
        <v>138</v>
      </c>
      <c r="Z2731" s="912" t="s">
        <v>226</v>
      </c>
      <c r="AA2731" s="912" t="s">
        <v>16150</v>
      </c>
      <c r="AB2731" s="912" t="s">
        <v>16151</v>
      </c>
      <c r="AC2731" s="912" t="s">
        <v>16158</v>
      </c>
      <c r="AD2731" s="912" t="s">
        <v>16159</v>
      </c>
      <c r="AE2731" s="912" t="s">
        <v>16160</v>
      </c>
      <c r="AF2731" s="918">
        <v>6769.0</v>
      </c>
      <c r="AG2731" s="918">
        <v>0.021</v>
      </c>
      <c r="AH2731" s="912" t="s">
        <v>361</v>
      </c>
      <c r="AI2731" s="912" t="s">
        <v>3721</v>
      </c>
      <c r="AJ2731" s="918">
        <v>0.05</v>
      </c>
      <c r="AK2731" s="912" t="s">
        <v>335</v>
      </c>
      <c r="AL2731" s="912" t="s">
        <v>186</v>
      </c>
      <c r="AM2731" s="912" t="s">
        <v>141</v>
      </c>
      <c r="AN2731" s="912" t="s">
        <v>138</v>
      </c>
      <c r="AO2731" s="918">
        <v>5005.0</v>
      </c>
      <c r="AP2731" s="918">
        <v>-0.52</v>
      </c>
      <c r="AQ2731" s="912" t="s">
        <v>361</v>
      </c>
      <c r="AR2731" s="912" t="s">
        <v>16154</v>
      </c>
      <c r="AS2731" s="918">
        <v>0.05</v>
      </c>
      <c r="AT2731" s="912" t="s">
        <v>135</v>
      </c>
      <c r="AU2731" s="912" t="s">
        <v>186</v>
      </c>
      <c r="AV2731" s="912" t="s">
        <v>141</v>
      </c>
      <c r="AW2731" s="2298" t="s">
        <v>16155</v>
      </c>
      <c r="AX2731" s="921" t="s">
        <v>143</v>
      </c>
      <c r="AY2731" s="61" t="str">
        <f>IFERROR(__xludf.DUMMYFUNCTION("vlookup(BB2731,importrange(""https://docs.google.com/spreadsheets/d/1d2vevQ_7D_v35q4wCQ4RpQ_IPoTwEMB9Yp6ymwlPqew/edit?gid=984458430#gid=984458430"", ""'replication success'!A:K""), 11, FAlSE)"),"#N/A")</f>
        <v>#N/A</v>
      </c>
      <c r="AZ2731" s="61" t="str">
        <f>IFERROR(__xludf.DUMMYFUNCTION("vlookup(BB2731,importrange(""https://docs.google.com/spreadsheets/d/1d2vevQ_7D_v35q4wCQ4RpQ_IPoTwEMB9Yp6ymwlPqew/edit?gid=984458430#gid=984458430"", ""'replication success'!A:M""), 12, FAlSE)"),"#N/A")</f>
        <v>#N/A</v>
      </c>
      <c r="BA2731" s="61" t="str">
        <f>IFERROR(__xludf.DUMMYFUNCTION("vlookup(BB2731,importrange(""https://docs.google.com/spreadsheets/d/1d2vevQ_7D_v35q4wCQ4RpQ_IPoTwEMB9Yp6ymwlPqew/edit?gid=984458430#gid=984458430"", ""'replication success'!A:M""), 13, FAlSE)"),"#N/A")</f>
        <v>#N/A</v>
      </c>
      <c r="BB2731" s="61" t="str">
        <f>IFERROR(__xludf.DUMMYFUNCTION("REGEXREPLACE(G2731, ""_[a-z]{1,2}$"", """")"),"add_ai4")</f>
        <v>add_ai4</v>
      </c>
      <c r="BC2731" s="911"/>
      <c r="BD2731" s="910" t="s">
        <v>16112</v>
      </c>
      <c r="BE2731" s="342"/>
      <c r="BF2731" s="46"/>
      <c r="BG2731" s="46"/>
      <c r="BH2731" s="46"/>
      <c r="BI2731" s="46"/>
      <c r="BJ2731" s="46"/>
      <c r="BK2731" s="46"/>
      <c r="BL2731" s="46"/>
      <c r="BM2731" s="46"/>
      <c r="BN2731" s="46"/>
      <c r="BO2731" s="46"/>
      <c r="BP2731" s="46"/>
      <c r="BQ2731" s="46"/>
      <c r="BR2731" s="46"/>
      <c r="BS2731" s="46"/>
      <c r="BT2731" s="46"/>
      <c r="BU2731" s="46"/>
      <c r="BV2731" s="46"/>
      <c r="BW2731" s="46"/>
      <c r="BX2731" s="46"/>
      <c r="BY2731" s="46"/>
      <c r="BZ2731" s="46"/>
      <c r="CA2731" s="46"/>
      <c r="CB2731" s="46"/>
      <c r="CC2731" s="46"/>
      <c r="CD2731" s="46"/>
      <c r="CE2731" s="46"/>
      <c r="CF2731" s="46"/>
      <c r="CG2731" s="46"/>
      <c r="CH2731" s="46"/>
      <c r="CI2731" s="46"/>
      <c r="CJ2731" s="46"/>
      <c r="CK2731" s="46"/>
      <c r="CL2731" s="46"/>
      <c r="CM2731" s="46"/>
      <c r="CN2731" s="46"/>
      <c r="CO2731" s="46"/>
      <c r="CP2731" s="46"/>
      <c r="CQ2731" s="46"/>
      <c r="CR2731" s="46"/>
      <c r="CS2731" s="46"/>
      <c r="CT2731" s="46"/>
      <c r="CU2731" s="46"/>
      <c r="CV2731" s="46"/>
      <c r="CW2731" s="46"/>
      <c r="CX2731" s="46"/>
      <c r="CY2731" s="46"/>
      <c r="CZ2731" s="46"/>
      <c r="DA2731" s="46"/>
      <c r="DB2731" s="46"/>
      <c r="DC2731" s="46"/>
      <c r="DD2731" s="46"/>
      <c r="DE2731" s="46"/>
      <c r="DF2731" s="46"/>
      <c r="DG2731" s="46"/>
      <c r="DH2731" s="46"/>
      <c r="DI2731" s="342"/>
      <c r="DJ2731" s="342"/>
      <c r="DK2731" s="342"/>
      <c r="DL2731" s="342"/>
    </row>
    <row r="2732">
      <c r="A2732" s="44">
        <v>3155.0</v>
      </c>
      <c r="B2732" s="1062" t="s">
        <v>523</v>
      </c>
      <c r="C2732" s="1063" t="s">
        <v>115</v>
      </c>
      <c r="D2732" s="1063" t="s">
        <v>1458</v>
      </c>
      <c r="E2732" s="1064"/>
      <c r="F2732" s="1065" t="s">
        <v>16161</v>
      </c>
      <c r="G2732" s="704" t="s">
        <v>16162</v>
      </c>
      <c r="H2732" s="2299" t="s">
        <v>1518</v>
      </c>
      <c r="I2732" s="2300">
        <v>45822.0</v>
      </c>
      <c r="J2732" s="1068"/>
      <c r="K2732" s="1072" t="s">
        <v>16163</v>
      </c>
      <c r="L2732" s="1065"/>
      <c r="M2732" s="704" t="s">
        <v>16164</v>
      </c>
      <c r="N2732" s="704" t="s">
        <v>16165</v>
      </c>
      <c r="O2732" s="1070">
        <v>1.0</v>
      </c>
      <c r="P2732" s="704" t="s">
        <v>16166</v>
      </c>
      <c r="Q2732" s="2301" t="str">
        <f t="array" ref="Q2732"> if(iserror(MATCH(V2732, 'File Links'!C:C, 0)), "N/A", HYPERLINK(INDEX('File Links'!B:B, MATCH(P2732, 'File Links'!C:C, 0))))</f>
        <v>https://drive.google.com/file/d/1LJBcuUB-1LSu2INXB7EcSdI9cC8lr-qR/view?usp=drivesdk</v>
      </c>
      <c r="R2732" s="704" t="s">
        <v>16167</v>
      </c>
      <c r="S2732" s="704" t="s">
        <v>16168</v>
      </c>
      <c r="T2732" s="704" t="s">
        <v>138</v>
      </c>
      <c r="U2732" s="1070">
        <v>1.0</v>
      </c>
      <c r="V2732" s="704" t="s">
        <v>16169</v>
      </c>
      <c r="W2732" s="1065"/>
      <c r="X2732" s="2302" t="str">
        <f t="array" ref="X2732"> if(iserror(MATCH(V2732, 'File Links'!C:C, 0)), "N/A", HYPERLINK(INDEX('File Links'!B:B, MATCH(V2732, 'File Links'!C:C, 0))))</f>
        <v>https://drive.google.com/file/d/1eOwIQbIkrHsQvdXq-eYfL5pNKC_uHX0V/view?usp=drivesdk</v>
      </c>
      <c r="Y2732" s="704" t="s">
        <v>138</v>
      </c>
      <c r="Z2732" s="704" t="s">
        <v>226</v>
      </c>
      <c r="AA2732" s="704" t="s">
        <v>16170</v>
      </c>
      <c r="AB2732" s="704" t="s">
        <v>16171</v>
      </c>
      <c r="AC2732" s="704" t="s">
        <v>16172</v>
      </c>
      <c r="AD2732" s="704" t="s">
        <v>16173</v>
      </c>
      <c r="AE2732" s="1070">
        <v>6.0</v>
      </c>
      <c r="AF2732" s="1070">
        <v>60.0</v>
      </c>
      <c r="AG2732" s="1070">
        <v>0.16</v>
      </c>
      <c r="AH2732" s="704" t="s">
        <v>173</v>
      </c>
      <c r="AI2732" s="704" t="s">
        <v>1042</v>
      </c>
      <c r="AJ2732" s="1070">
        <v>0.046</v>
      </c>
      <c r="AK2732" s="704" t="s">
        <v>172</v>
      </c>
      <c r="AL2732" s="704" t="s">
        <v>218</v>
      </c>
      <c r="AM2732" s="704" t="s">
        <v>137</v>
      </c>
      <c r="AN2732" s="704" t="s">
        <v>138</v>
      </c>
      <c r="AO2732" s="1070">
        <v>598.0</v>
      </c>
      <c r="AP2732" s="704" t="s">
        <v>138</v>
      </c>
      <c r="AQ2732" s="704" t="s">
        <v>138</v>
      </c>
      <c r="AR2732" s="704" t="s">
        <v>16174</v>
      </c>
      <c r="AS2732" s="1070">
        <v>0.013</v>
      </c>
      <c r="AT2732" s="704" t="s">
        <v>172</v>
      </c>
      <c r="AU2732" s="704" t="s">
        <v>218</v>
      </c>
      <c r="AV2732" s="704" t="s">
        <v>137</v>
      </c>
      <c r="AW2732" s="1065" t="s">
        <v>138</v>
      </c>
      <c r="AX2732" s="704" t="s">
        <v>151</v>
      </c>
      <c r="AY2732" s="2303" t="str">
        <f>IFERROR(__xludf.DUMMYFUNCTION("vlookup(BB2732,importrange(""https://docs.google.com/spreadsheets/d/1d2vevQ_7D_v35q4wCQ4RpQ_IPoTwEMB9Yp6ymwlPqew/edit?gid=984458430#gid=984458430"", ""'replication success'!A:K""), 11, FAlSE)"),"#N/A")</f>
        <v>#N/A</v>
      </c>
      <c r="AZ2732" s="2303" t="str">
        <f>IFERROR(__xludf.DUMMYFUNCTION("vlookup(BB2732,importrange(""https://docs.google.com/spreadsheets/d/1d2vevQ_7D_v35q4wCQ4RpQ_IPoTwEMB9Yp6ymwlPqew/edit?gid=984458430#gid=984458430"", ""'replication success'!A:M""), 12, FAlSE)"),"#N/A")</f>
        <v>#N/A</v>
      </c>
      <c r="BA2732" s="2303" t="str">
        <f>IFERROR(__xludf.DUMMYFUNCTION("vlookup(BB2732,importrange(""https://docs.google.com/spreadsheets/d/1d2vevQ_7D_v35q4wCQ4RpQ_IPoTwEMB9Yp6ymwlPqew/edit?gid=984458430#gid=984458430"", ""'replication success'!A:M""), 13, FAlSE)"),"#N/A")</f>
        <v>#N/A</v>
      </c>
      <c r="BB2732" s="2303" t="str">
        <f>IFERROR(__xludf.DUMMYFUNCTION("REGEXREPLACE(G2732, ""_[a-z]{1,2}$"", """")"),"add_ai41")</f>
        <v>add_ai41</v>
      </c>
      <c r="BC2732" s="1064"/>
      <c r="BD2732" s="1063" t="s">
        <v>16112</v>
      </c>
      <c r="BE2732" s="342"/>
      <c r="BF2732" s="46"/>
      <c r="BG2732" s="46"/>
      <c r="BH2732" s="46"/>
      <c r="BI2732" s="46"/>
      <c r="BJ2732" s="46"/>
      <c r="BK2732" s="46"/>
      <c r="BL2732" s="46"/>
      <c r="BM2732" s="46"/>
      <c r="BN2732" s="46"/>
      <c r="BO2732" s="46"/>
      <c r="BP2732" s="46"/>
      <c r="BQ2732" s="46"/>
      <c r="BR2732" s="46"/>
      <c r="BS2732" s="46"/>
      <c r="BT2732" s="46"/>
      <c r="BU2732" s="46"/>
      <c r="BV2732" s="46"/>
      <c r="BW2732" s="46"/>
      <c r="BX2732" s="46"/>
      <c r="BY2732" s="46"/>
      <c r="BZ2732" s="46"/>
      <c r="CA2732" s="46"/>
      <c r="CB2732" s="46"/>
      <c r="CC2732" s="46"/>
      <c r="CD2732" s="46"/>
      <c r="CE2732" s="46"/>
      <c r="CF2732" s="46"/>
      <c r="CG2732" s="46"/>
      <c r="CH2732" s="46"/>
      <c r="CI2732" s="46"/>
      <c r="CJ2732" s="46"/>
      <c r="CK2732" s="46"/>
      <c r="CL2732" s="46"/>
      <c r="CM2732" s="46"/>
      <c r="CN2732" s="46"/>
      <c r="CO2732" s="46"/>
      <c r="CP2732" s="46"/>
      <c r="CQ2732" s="46"/>
      <c r="CR2732" s="46"/>
      <c r="CS2732" s="46"/>
      <c r="CT2732" s="46"/>
      <c r="CU2732" s="46"/>
      <c r="CV2732" s="46"/>
      <c r="CW2732" s="46"/>
      <c r="CX2732" s="46"/>
      <c r="CY2732" s="46"/>
      <c r="CZ2732" s="46"/>
      <c r="DA2732" s="46"/>
      <c r="DB2732" s="46"/>
      <c r="DC2732" s="46"/>
      <c r="DD2732" s="46"/>
      <c r="DE2732" s="46"/>
      <c r="DF2732" s="46"/>
      <c r="DG2732" s="46"/>
      <c r="DH2732" s="46"/>
      <c r="DI2732" s="342"/>
      <c r="DJ2732" s="342"/>
      <c r="DK2732" s="342"/>
      <c r="DL2732" s="342"/>
    </row>
    <row r="2733" ht="24.75" customHeight="1">
      <c r="A2733" s="44">
        <v>3127.0</v>
      </c>
      <c r="B2733" s="1322" t="s">
        <v>114</v>
      </c>
      <c r="C2733" s="1588" t="s">
        <v>115</v>
      </c>
      <c r="D2733" s="1588" t="s">
        <v>153</v>
      </c>
      <c r="E2733" s="1572"/>
      <c r="F2733" s="2237" t="s">
        <v>16175</v>
      </c>
      <c r="G2733" s="1592" t="s">
        <v>16176</v>
      </c>
      <c r="H2733" s="1600" t="s">
        <v>15921</v>
      </c>
      <c r="I2733" s="2229">
        <v>45821.0</v>
      </c>
      <c r="J2733" s="2230">
        <v>45846.0</v>
      </c>
      <c r="K2733" s="1592" t="s">
        <v>16177</v>
      </c>
      <c r="L2733" s="1313"/>
      <c r="M2733" s="1592" t="s">
        <v>16178</v>
      </c>
      <c r="N2733" s="1592" t="s">
        <v>16179</v>
      </c>
      <c r="O2733" s="1313"/>
      <c r="P2733" s="1592" t="s">
        <v>16180</v>
      </c>
      <c r="Q2733" s="2231" t="str">
        <f t="array" ref="Q2733"> if(iserror(MATCH(V2733, 'File Links'!C:C, 0)), "N/A", HYPERLINK(INDEX('File Links'!B:B, MATCH(P2733, 'File Links'!C:C, 0))))</f>
        <v>https://drive.google.com/file/d/1D5KouvqlIJwsDCgn3ccM349xsg2h_lLc/view?usp=drivesdk</v>
      </c>
      <c r="R2733" s="1592" t="s">
        <v>16181</v>
      </c>
      <c r="S2733" s="1592" t="s">
        <v>16182</v>
      </c>
      <c r="T2733" s="1313"/>
      <c r="U2733" s="1313"/>
      <c r="V2733" s="1592" t="s">
        <v>16183</v>
      </c>
      <c r="W2733" s="1313"/>
      <c r="X2733" s="2233" t="str">
        <f t="array" ref="X2733"> if(iserror(MATCH(V2733, 'File Links'!C:C, 0)), "N/A", HYPERLINK(INDEX('File Links'!B:B, MATCH(V2733, 'File Links'!C:C, 0))))</f>
        <v>https://drive.google.com/file/d/1Ocpr95kOyFZwuINmIl1HrSazLpP5IR0A/view?usp=drivesdk</v>
      </c>
      <c r="Y2733" s="1600" t="s">
        <v>15951</v>
      </c>
      <c r="Z2733" s="1592" t="s">
        <v>226</v>
      </c>
      <c r="AA2733" s="1592" t="s">
        <v>16184</v>
      </c>
      <c r="AB2733" s="1592" t="s">
        <v>16185</v>
      </c>
      <c r="AC2733" s="1313"/>
      <c r="AD2733" s="1313"/>
      <c r="AE2733" s="1313"/>
      <c r="AF2733" s="1596">
        <v>234.0</v>
      </c>
      <c r="AG2733" s="1313"/>
      <c r="AH2733" s="1313"/>
      <c r="AI2733" s="1313"/>
      <c r="AJ2733" s="1313"/>
      <c r="AK2733" s="1313"/>
      <c r="AL2733" s="1313"/>
      <c r="AM2733" s="1313"/>
      <c r="AN2733" s="1313"/>
      <c r="AO2733" s="1596">
        <v>46.0</v>
      </c>
      <c r="AP2733" s="1313"/>
      <c r="AQ2733" s="1313"/>
      <c r="AR2733" s="1313"/>
      <c r="AS2733" s="1313"/>
      <c r="AT2733" s="1313"/>
      <c r="AU2733" s="1313"/>
      <c r="AV2733" s="1313"/>
      <c r="AW2733" s="1313"/>
      <c r="AX2733" s="1592" t="s">
        <v>143</v>
      </c>
      <c r="AY2733" s="61" t="str">
        <f>IFERROR(__xludf.DUMMYFUNCTION("vlookup(BB2733,importrange(""https://docs.google.com/spreadsheets/d/1d2vevQ_7D_v35q4wCQ4RpQ_IPoTwEMB9Yp6ymwlPqew/edit?gid=984458430#gid=984458430"", ""'replication success'!A:K""), 11, FAlSE)"),"#N/A")</f>
        <v>#N/A</v>
      </c>
      <c r="AZ2733" s="61" t="str">
        <f>IFERROR(__xludf.DUMMYFUNCTION("vlookup(BB2733,importrange(""https://docs.google.com/spreadsheets/d/1d2vevQ_7D_v35q4wCQ4RpQ_IPoTwEMB9Yp6ymwlPqew/edit?gid=984458430#gid=984458430"", ""'replication success'!A:M""), 12, FAlSE)"),"#N/A")</f>
        <v>#N/A</v>
      </c>
      <c r="BA2733" s="61" t="str">
        <f>IFERROR(__xludf.DUMMYFUNCTION("vlookup(BB2733,importrange(""https://docs.google.com/spreadsheets/d/1d2vevQ_7D_v35q4wCQ4RpQ_IPoTwEMB9Yp6ymwlPqew/edit?gid=984458430#gid=984458430"", ""'replication success'!A:M""), 13, FAlSE)"),"#N/A")</f>
        <v>#N/A</v>
      </c>
      <c r="BB2733" s="61" t="str">
        <f>IFERROR(__xludf.DUMMYFUNCTION("REGEXREPLACE(G2733, ""_[a-z]{1,2}$"", """")"),"add_ai46")</f>
        <v>add_ai46</v>
      </c>
      <c r="BC2733" s="1572"/>
      <c r="BD2733" s="1588" t="s">
        <v>13264</v>
      </c>
      <c r="BE2733" s="342"/>
      <c r="BF2733" s="46"/>
      <c r="BG2733" s="46"/>
      <c r="BH2733" s="46"/>
      <c r="BI2733" s="46"/>
      <c r="BJ2733" s="46"/>
      <c r="BK2733" s="46"/>
      <c r="BL2733" s="46"/>
      <c r="BM2733" s="46"/>
      <c r="BN2733" s="46"/>
      <c r="BO2733" s="46"/>
      <c r="BP2733" s="46"/>
      <c r="BQ2733" s="46"/>
      <c r="BR2733" s="46"/>
      <c r="BS2733" s="46"/>
      <c r="BT2733" s="46"/>
      <c r="BU2733" s="46"/>
      <c r="BV2733" s="46"/>
      <c r="BW2733" s="46"/>
      <c r="BX2733" s="46"/>
      <c r="BY2733" s="46"/>
      <c r="BZ2733" s="46"/>
      <c r="CA2733" s="46"/>
      <c r="CB2733" s="46"/>
      <c r="CC2733" s="46"/>
      <c r="CD2733" s="46"/>
      <c r="CE2733" s="46"/>
      <c r="CF2733" s="46"/>
      <c r="CG2733" s="46"/>
      <c r="CH2733" s="46"/>
      <c r="CI2733" s="46"/>
      <c r="CJ2733" s="46"/>
      <c r="CK2733" s="46"/>
      <c r="CL2733" s="46"/>
      <c r="CM2733" s="46"/>
      <c r="CN2733" s="46"/>
      <c r="CO2733" s="46"/>
      <c r="CP2733" s="46"/>
      <c r="CQ2733" s="46"/>
      <c r="CR2733" s="46"/>
      <c r="CS2733" s="46"/>
      <c r="CT2733" s="46"/>
      <c r="CU2733" s="46"/>
      <c r="CV2733" s="46"/>
      <c r="CW2733" s="46"/>
      <c r="CX2733" s="46"/>
      <c r="CY2733" s="46"/>
      <c r="CZ2733" s="46"/>
      <c r="DA2733" s="46"/>
      <c r="DB2733" s="46"/>
      <c r="DC2733" s="46"/>
      <c r="DD2733" s="46"/>
      <c r="DE2733" s="46"/>
      <c r="DF2733" s="46"/>
      <c r="DG2733" s="46"/>
      <c r="DH2733" s="46"/>
      <c r="DI2733" s="342"/>
      <c r="DJ2733" s="342"/>
      <c r="DK2733" s="342"/>
      <c r="DL2733" s="342"/>
    </row>
    <row r="2734" ht="23.25" customHeight="1">
      <c r="A2734" s="44">
        <v>3189.0</v>
      </c>
      <c r="B2734" s="1322" t="s">
        <v>114</v>
      </c>
      <c r="C2734" s="1588" t="s">
        <v>115</v>
      </c>
      <c r="D2734" s="1588" t="s">
        <v>15991</v>
      </c>
      <c r="E2734" s="1572"/>
      <c r="F2734" s="1315" t="s">
        <v>16175</v>
      </c>
      <c r="G2734" s="1315" t="s">
        <v>16176</v>
      </c>
      <c r="H2734" s="2235" t="s">
        <v>15994</v>
      </c>
      <c r="I2734" s="2242">
        <v>45814.0</v>
      </c>
      <c r="J2734" s="2230">
        <v>45846.0</v>
      </c>
      <c r="K2734" s="1315" t="s">
        <v>16186</v>
      </c>
      <c r="L2734" s="1313"/>
      <c r="M2734" s="2243" t="s">
        <v>16178</v>
      </c>
      <c r="N2734" s="2243" t="s">
        <v>16179</v>
      </c>
      <c r="O2734" s="1313"/>
      <c r="P2734" s="2243" t="s">
        <v>16180</v>
      </c>
      <c r="Q2734" s="2231" t="str">
        <f t="array" ref="Q2734"> if(iserror(MATCH(V2734, 'File Links'!C:C, 0)), "N/A", HYPERLINK(INDEX('File Links'!B:B, MATCH(P2734, 'File Links'!C:C, 0))))</f>
        <v>https://drive.google.com/file/d/1D5KouvqlIJwsDCgn3ccM349xsg2h_lLc/view?usp=drivesdk</v>
      </c>
      <c r="R2734" s="2243" t="s">
        <v>16181</v>
      </c>
      <c r="S2734" s="2260" t="s">
        <v>16182</v>
      </c>
      <c r="T2734" s="1313"/>
      <c r="U2734" s="1313"/>
      <c r="V2734" s="1315" t="s">
        <v>16183</v>
      </c>
      <c r="W2734" s="1313"/>
      <c r="X2734" s="2233" t="str">
        <f t="array" ref="X2734"> if(iserror(MATCH(V2734, 'File Links'!C:C, 0)), "N/A", HYPERLINK(INDEX('File Links'!B:B, MATCH(V2734, 'File Links'!C:C, 0))))</f>
        <v>https://drive.google.com/file/d/1Ocpr95kOyFZwuINmIl1HrSazLpP5IR0A/view?usp=drivesdk</v>
      </c>
      <c r="Y2734" s="1313"/>
      <c r="Z2734" s="1313"/>
      <c r="AA2734" s="1313"/>
      <c r="AB2734" s="1313"/>
      <c r="AC2734" s="1313"/>
      <c r="AD2734" s="1313"/>
      <c r="AE2734" s="1313"/>
      <c r="AF2734" s="1313"/>
      <c r="AG2734" s="1313"/>
      <c r="AH2734" s="1313"/>
      <c r="AI2734" s="1313"/>
      <c r="AJ2734" s="1313"/>
      <c r="AK2734" s="1313"/>
      <c r="AL2734" s="1313"/>
      <c r="AM2734" s="1313"/>
      <c r="AN2734" s="1313"/>
      <c r="AO2734" s="1313"/>
      <c r="AP2734" s="1313"/>
      <c r="AQ2734" s="1313"/>
      <c r="AR2734" s="1313"/>
      <c r="AS2734" s="1313"/>
      <c r="AT2734" s="1313"/>
      <c r="AU2734" s="1313"/>
      <c r="AV2734" s="1313"/>
      <c r="AW2734" s="1313"/>
      <c r="AX2734" s="1313"/>
      <c r="AY2734" s="61" t="str">
        <f>IFERROR(__xludf.DUMMYFUNCTION("vlookup(BB2734,importrange(""https://docs.google.com/spreadsheets/d/1d2vevQ_7D_v35q4wCQ4RpQ_IPoTwEMB9Yp6ymwlPqew/edit?gid=984458430#gid=984458430"", ""'replication success'!A:K""), 11, FAlSE)"),"#N/A")</f>
        <v>#N/A</v>
      </c>
      <c r="AZ2734" s="61" t="str">
        <f>IFERROR(__xludf.DUMMYFUNCTION("vlookup(BB2734,importrange(""https://docs.google.com/spreadsheets/d/1d2vevQ_7D_v35q4wCQ4RpQ_IPoTwEMB9Yp6ymwlPqew/edit?gid=984458430#gid=984458430"", ""'replication success'!A:M""), 12, FAlSE)"),"#N/A")</f>
        <v>#N/A</v>
      </c>
      <c r="BA2734" s="61" t="str">
        <f>IFERROR(__xludf.DUMMYFUNCTION("vlookup(BB2734,importrange(""https://docs.google.com/spreadsheets/d/1d2vevQ_7D_v35q4wCQ4RpQ_IPoTwEMB9Yp6ymwlPqew/edit?gid=984458430#gid=984458430"", ""'replication success'!A:M""), 13, FAlSE)"),"#N/A")</f>
        <v>#N/A</v>
      </c>
      <c r="BB2734" s="61" t="str">
        <f>IFERROR(__xludf.DUMMYFUNCTION("REGEXREPLACE(G2734, ""_[a-z]{1,2}$"", """")"),"add_ai46")</f>
        <v>add_ai46</v>
      </c>
      <c r="BC2734" s="1572"/>
      <c r="BD2734" s="1588" t="s">
        <v>13264</v>
      </c>
      <c r="BE2734" s="342"/>
      <c r="BF2734" s="46"/>
      <c r="BG2734" s="46"/>
      <c r="BH2734" s="46"/>
      <c r="BI2734" s="46"/>
      <c r="BJ2734" s="46"/>
      <c r="BK2734" s="46"/>
      <c r="BL2734" s="46"/>
      <c r="BM2734" s="46"/>
      <c r="BN2734" s="46"/>
      <c r="BO2734" s="46"/>
      <c r="BP2734" s="46"/>
      <c r="BQ2734" s="46"/>
      <c r="BR2734" s="46"/>
      <c r="BS2734" s="46"/>
      <c r="BT2734" s="46"/>
      <c r="BU2734" s="46"/>
      <c r="BV2734" s="46"/>
      <c r="BW2734" s="46"/>
      <c r="BX2734" s="46"/>
      <c r="BY2734" s="46"/>
      <c r="BZ2734" s="46"/>
      <c r="CA2734" s="46"/>
      <c r="CB2734" s="46"/>
      <c r="CC2734" s="46"/>
      <c r="CD2734" s="46"/>
      <c r="CE2734" s="46"/>
      <c r="CF2734" s="46"/>
      <c r="CG2734" s="46"/>
      <c r="CH2734" s="46"/>
      <c r="CI2734" s="46"/>
      <c r="CJ2734" s="46"/>
      <c r="CK2734" s="46"/>
      <c r="CL2734" s="46"/>
      <c r="CM2734" s="46"/>
      <c r="CN2734" s="46"/>
      <c r="CO2734" s="46"/>
      <c r="CP2734" s="46"/>
      <c r="CQ2734" s="46"/>
      <c r="CR2734" s="46"/>
      <c r="CS2734" s="46"/>
      <c r="CT2734" s="46"/>
      <c r="CU2734" s="46"/>
      <c r="CV2734" s="46"/>
      <c r="CW2734" s="46"/>
      <c r="CX2734" s="46"/>
      <c r="CY2734" s="46"/>
      <c r="CZ2734" s="46"/>
      <c r="DA2734" s="46"/>
      <c r="DB2734" s="46"/>
      <c r="DC2734" s="46"/>
      <c r="DD2734" s="46"/>
      <c r="DE2734" s="46"/>
      <c r="DF2734" s="46"/>
      <c r="DG2734" s="46"/>
      <c r="DH2734" s="46"/>
      <c r="DI2734" s="342"/>
      <c r="DJ2734" s="342"/>
      <c r="DK2734" s="342"/>
      <c r="DL2734" s="342"/>
    </row>
    <row r="2735">
      <c r="A2735" s="44">
        <v>3136.0</v>
      </c>
      <c r="B2735" s="2008" t="s">
        <v>523</v>
      </c>
      <c r="C2735" s="2009" t="s">
        <v>115</v>
      </c>
      <c r="D2735" s="2009" t="s">
        <v>153</v>
      </c>
      <c r="E2735" s="2010"/>
      <c r="F2735" s="2304" t="s">
        <v>16187</v>
      </c>
      <c r="G2735" s="2305" t="s">
        <v>16188</v>
      </c>
      <c r="H2735" s="2304" t="s">
        <v>15921</v>
      </c>
      <c r="I2735" s="2306">
        <v>45821.0</v>
      </c>
      <c r="J2735" s="2307"/>
      <c r="K2735" s="2305" t="s">
        <v>16189</v>
      </c>
      <c r="L2735" s="2013"/>
      <c r="M2735" s="2305" t="s">
        <v>16190</v>
      </c>
      <c r="N2735" s="2305" t="s">
        <v>16191</v>
      </c>
      <c r="O2735" s="2013"/>
      <c r="P2735" s="2305" t="s">
        <v>16192</v>
      </c>
      <c r="Q2735" s="2308" t="str">
        <f t="array" ref="Q2735"> if(iserror(MATCH(V2735, 'File Links'!C:C, 0)), "N/A", HYPERLINK(INDEX('File Links'!B:B, MATCH(P2735, 'File Links'!C:C, 0))))</f>
        <v>https://drive.google.com/file/d/1xzLvdgc-M6xgRxS1XPmZCMV1KJ6e91RS/view?usp=drivesdk</v>
      </c>
      <c r="R2735" s="2305" t="s">
        <v>16193</v>
      </c>
      <c r="S2735" s="2305" t="s">
        <v>16194</v>
      </c>
      <c r="T2735" s="2013"/>
      <c r="U2735" s="2013"/>
      <c r="V2735" s="2305" t="s">
        <v>16195</v>
      </c>
      <c r="W2735" s="2013"/>
      <c r="X2735" s="2020" t="str">
        <f t="array" ref="X2735"> if(iserror(MATCH(V2735, 'File Links'!C:C, 0)), "N/A", HYPERLINK(INDEX('File Links'!B:B, MATCH(V2735, 'File Links'!C:C, 0))))</f>
        <v>https://drive.google.com/file/d/1P2HkNQwXMDHx-bxDaQ0QetAgbUaJlYq7/view?usp=drivesdk</v>
      </c>
      <c r="Y2735" s="2013"/>
      <c r="Z2735" s="2305" t="s">
        <v>295</v>
      </c>
      <c r="AA2735" s="2305" t="s">
        <v>4052</v>
      </c>
      <c r="AB2735" s="2305" t="s">
        <v>16196</v>
      </c>
      <c r="AC2735" s="2305" t="s">
        <v>16197</v>
      </c>
      <c r="AD2735" s="2305" t="s">
        <v>16198</v>
      </c>
      <c r="AE2735" s="2309">
        <v>14.0</v>
      </c>
      <c r="AF2735" s="2309">
        <v>94.0</v>
      </c>
      <c r="AG2735" s="2310">
        <f>1.88*10^(11)</f>
        <v>188000000000</v>
      </c>
      <c r="AH2735" s="2305" t="s">
        <v>722</v>
      </c>
      <c r="AI2735" s="2305" t="s">
        <v>2229</v>
      </c>
      <c r="AJ2735" s="2310">
        <v>0.001</v>
      </c>
      <c r="AK2735" s="2305" t="s">
        <v>135</v>
      </c>
      <c r="AL2735" s="2305" t="s">
        <v>186</v>
      </c>
      <c r="AM2735" s="2305" t="s">
        <v>137</v>
      </c>
      <c r="AN2735" s="2305" t="s">
        <v>138</v>
      </c>
      <c r="AO2735" s="2309">
        <f>29+186+192+204</f>
        <v>611</v>
      </c>
      <c r="AP2735" s="2309">
        <v>0.88</v>
      </c>
      <c r="AQ2735" s="2305" t="s">
        <v>215</v>
      </c>
      <c r="AR2735" s="2305" t="s">
        <v>1257</v>
      </c>
      <c r="AS2735" s="2309">
        <f>IFERROR(__xludf.DUMMYFUNCTION("2.2*10^-16"),2.2000000000000002E-16)</f>
        <v>0</v>
      </c>
      <c r="AT2735" s="2305" t="s">
        <v>135</v>
      </c>
      <c r="AU2735" s="2305" t="s">
        <v>186</v>
      </c>
      <c r="AV2735" s="2305" t="s">
        <v>137</v>
      </c>
      <c r="AW2735" s="2305" t="s">
        <v>138</v>
      </c>
      <c r="AX2735" s="2305" t="s">
        <v>151</v>
      </c>
      <c r="AY2735" s="61" t="str">
        <f>IFERROR(__xludf.DUMMYFUNCTION("vlookup(BB2735,importrange(""https://docs.google.com/spreadsheets/d/1d2vevQ_7D_v35q4wCQ4RpQ_IPoTwEMB9Yp6ymwlPqew/edit?gid=984458430#gid=984458430"", ""'replication success'!A:K""), 11, FAlSE)"),"#N/A")</f>
        <v>#N/A</v>
      </c>
      <c r="AZ2735" s="61" t="str">
        <f>IFERROR(__xludf.DUMMYFUNCTION("vlookup(BB2735,importrange(""https://docs.google.com/spreadsheets/d/1d2vevQ_7D_v35q4wCQ4RpQ_IPoTwEMB9Yp6ymwlPqew/edit?gid=984458430#gid=984458430"", ""'replication success'!A:M""), 12, FAlSE)"),"#N/A")</f>
        <v>#N/A</v>
      </c>
      <c r="BA2735" s="61" t="str">
        <f>IFERROR(__xludf.DUMMYFUNCTION("vlookup(BB2735,importrange(""https://docs.google.com/spreadsheets/d/1d2vevQ_7D_v35q4wCQ4RpQ_IPoTwEMB9Yp6ymwlPqew/edit?gid=984458430#gid=984458430"", ""'replication success'!A:M""), 13, FAlSE)"),"#N/A")</f>
        <v>#N/A</v>
      </c>
      <c r="BB2735" s="61" t="str">
        <f>IFERROR(__xludf.DUMMYFUNCTION("REGEXREPLACE(G2735, ""_[a-z]{1,2}$"", """")"),"add_ai47")</f>
        <v>add_ai47</v>
      </c>
      <c r="BC2735" s="2010"/>
      <c r="BD2735" s="2009" t="s">
        <v>16112</v>
      </c>
      <c r="BE2735" s="342"/>
      <c r="BF2735" s="342"/>
      <c r="BG2735" s="46"/>
      <c r="BH2735" s="46"/>
      <c r="BI2735" s="46"/>
      <c r="BJ2735" s="46"/>
      <c r="BK2735" s="46"/>
      <c r="BL2735" s="46"/>
      <c r="BM2735" s="46"/>
      <c r="BN2735" s="46"/>
      <c r="BO2735" s="46"/>
      <c r="BP2735" s="46"/>
      <c r="BQ2735" s="46"/>
      <c r="BR2735" s="46"/>
      <c r="BS2735" s="46"/>
      <c r="BT2735" s="46"/>
      <c r="BU2735" s="46"/>
      <c r="BV2735" s="46"/>
      <c r="BW2735" s="46"/>
      <c r="BX2735" s="46"/>
      <c r="BY2735" s="46"/>
      <c r="BZ2735" s="46"/>
      <c r="CA2735" s="46"/>
      <c r="CB2735" s="46"/>
      <c r="CC2735" s="46"/>
      <c r="CD2735" s="46"/>
      <c r="CE2735" s="46"/>
      <c r="CF2735" s="46"/>
      <c r="CG2735" s="46"/>
      <c r="CH2735" s="46"/>
      <c r="CI2735" s="46"/>
      <c r="CJ2735" s="46"/>
      <c r="CK2735" s="46"/>
      <c r="CL2735" s="46"/>
      <c r="CM2735" s="46"/>
      <c r="CN2735" s="46"/>
      <c r="CO2735" s="46"/>
      <c r="CP2735" s="46"/>
      <c r="CQ2735" s="46"/>
      <c r="CR2735" s="46"/>
      <c r="CS2735" s="46"/>
      <c r="CT2735" s="46"/>
      <c r="CU2735" s="46"/>
      <c r="CV2735" s="46"/>
      <c r="CW2735" s="46"/>
      <c r="CX2735" s="46"/>
      <c r="CY2735" s="46"/>
      <c r="CZ2735" s="46"/>
      <c r="DA2735" s="46"/>
      <c r="DB2735" s="46"/>
      <c r="DC2735" s="46"/>
      <c r="DD2735" s="46"/>
      <c r="DE2735" s="46"/>
      <c r="DF2735" s="46"/>
      <c r="DG2735" s="46"/>
      <c r="DH2735" s="46"/>
      <c r="DI2735" s="342"/>
      <c r="DJ2735" s="342"/>
      <c r="DK2735" s="342"/>
      <c r="DL2735" s="342"/>
    </row>
    <row r="2736" ht="17.25" customHeight="1">
      <c r="A2736" s="44">
        <v>3201.0</v>
      </c>
      <c r="B2736" s="2008" t="s">
        <v>523</v>
      </c>
      <c r="C2736" s="2009" t="s">
        <v>115</v>
      </c>
      <c r="D2736" s="2009" t="s">
        <v>15991</v>
      </c>
      <c r="E2736" s="2010"/>
      <c r="F2736" s="2014" t="s">
        <v>16187</v>
      </c>
      <c r="G2736" s="2014" t="s">
        <v>16188</v>
      </c>
      <c r="H2736" s="2311" t="s">
        <v>15994</v>
      </c>
      <c r="I2736" s="2312">
        <v>45811.0</v>
      </c>
      <c r="J2736" s="2013"/>
      <c r="K2736" s="2013"/>
      <c r="L2736" s="2013"/>
      <c r="M2736" s="2313" t="s">
        <v>16190</v>
      </c>
      <c r="N2736" s="2313" t="s">
        <v>16191</v>
      </c>
      <c r="O2736" s="2013"/>
      <c r="P2736" s="2313" t="s">
        <v>16192</v>
      </c>
      <c r="Q2736" s="2308" t="str">
        <f t="array" ref="Q2736"> if(iserror(MATCH(V2736, 'File Links'!C:C, 0)), "N/A", HYPERLINK(INDEX('File Links'!B:B, MATCH(P2736, 'File Links'!C:C, 0))))</f>
        <v>https://drive.google.com/file/d/1xzLvdgc-M6xgRxS1XPmZCMV1KJ6e91RS/view?usp=drivesdk</v>
      </c>
      <c r="R2736" s="2314" t="s">
        <v>16199</v>
      </c>
      <c r="S2736" s="2315" t="s">
        <v>16194</v>
      </c>
      <c r="T2736" s="2013"/>
      <c r="U2736" s="2013"/>
      <c r="V2736" s="2014" t="s">
        <v>16195</v>
      </c>
      <c r="W2736" s="2013"/>
      <c r="X2736" s="2020" t="str">
        <f t="array" ref="X2736"> if(iserror(MATCH(V2736, 'File Links'!C:C, 0)), "N/A", HYPERLINK(INDEX('File Links'!B:B, MATCH(V2736, 'File Links'!C:C, 0))))</f>
        <v>https://drive.google.com/file/d/1P2HkNQwXMDHx-bxDaQ0QetAgbUaJlYq7/view?usp=drivesdk</v>
      </c>
      <c r="Y2736" s="2013"/>
      <c r="Z2736" s="2013" t="s">
        <v>295</v>
      </c>
      <c r="AA2736" s="2013" t="s">
        <v>16200</v>
      </c>
      <c r="AB2736" s="2013" t="s">
        <v>16201</v>
      </c>
      <c r="AC2736" s="2013" t="s">
        <v>16202</v>
      </c>
      <c r="AD2736" s="2013" t="s">
        <v>16203</v>
      </c>
      <c r="AE2736" s="2013" t="s">
        <v>3721</v>
      </c>
      <c r="AF2736" s="2019">
        <v>3343.0</v>
      </c>
      <c r="AG2736" s="2019">
        <v>0.479</v>
      </c>
      <c r="AH2736" s="2013" t="s">
        <v>722</v>
      </c>
      <c r="AI2736" s="2316" t="s">
        <v>16204</v>
      </c>
      <c r="AJ2736" s="2019">
        <v>0.05</v>
      </c>
      <c r="AK2736" s="2013" t="s">
        <v>135</v>
      </c>
      <c r="AL2736" s="2013" t="s">
        <v>186</v>
      </c>
      <c r="AM2736" s="2013" t="s">
        <v>137</v>
      </c>
      <c r="AN2736" s="2013" t="s">
        <v>138</v>
      </c>
      <c r="AO2736" s="2019">
        <v>300.0</v>
      </c>
      <c r="AP2736" s="2019">
        <v>0.88</v>
      </c>
      <c r="AQ2736" s="2013" t="s">
        <v>215</v>
      </c>
      <c r="AR2736" s="2013" t="s">
        <v>2441</v>
      </c>
      <c r="AS2736" s="2019">
        <v>0.05</v>
      </c>
      <c r="AT2736" s="2013" t="s">
        <v>135</v>
      </c>
      <c r="AU2736" s="2013" t="s">
        <v>186</v>
      </c>
      <c r="AV2736" s="2013" t="s">
        <v>137</v>
      </c>
      <c r="AW2736" s="2013" t="s">
        <v>138</v>
      </c>
      <c r="AX2736" s="2013" t="s">
        <v>151</v>
      </c>
      <c r="AY2736" s="61" t="str">
        <f>IFERROR(__xludf.DUMMYFUNCTION("vlookup(BB2736,importrange(""https://docs.google.com/spreadsheets/d/1d2vevQ_7D_v35q4wCQ4RpQ_IPoTwEMB9Yp6ymwlPqew/edit?gid=984458430#gid=984458430"", ""'replication success'!A:K""), 11, FAlSE)"),"#N/A")</f>
        <v>#N/A</v>
      </c>
      <c r="AZ2736" s="61" t="str">
        <f>IFERROR(__xludf.DUMMYFUNCTION("vlookup(BB2736,importrange(""https://docs.google.com/spreadsheets/d/1d2vevQ_7D_v35q4wCQ4RpQ_IPoTwEMB9Yp6ymwlPqew/edit?gid=984458430#gid=984458430"", ""'replication success'!A:M""), 12, FAlSE)"),"#N/A")</f>
        <v>#N/A</v>
      </c>
      <c r="BA2736" s="61" t="str">
        <f>IFERROR(__xludf.DUMMYFUNCTION("vlookup(BB2736,importrange(""https://docs.google.com/spreadsheets/d/1d2vevQ_7D_v35q4wCQ4RpQ_IPoTwEMB9Yp6ymwlPqew/edit?gid=984458430#gid=984458430"", ""'replication success'!A:M""), 13, FAlSE)"),"#N/A")</f>
        <v>#N/A</v>
      </c>
      <c r="BB2736" s="61" t="str">
        <f>IFERROR(__xludf.DUMMYFUNCTION("REGEXREPLACE(G2736, ""_[a-z]{1,2}$"", """")"),"add_ai47")</f>
        <v>add_ai47</v>
      </c>
      <c r="BC2736" s="2010"/>
      <c r="BD2736" s="2009" t="s">
        <v>16112</v>
      </c>
      <c r="BE2736" s="342"/>
      <c r="BF2736" s="342"/>
      <c r="BG2736" s="46"/>
      <c r="BH2736" s="46"/>
      <c r="BI2736" s="46"/>
      <c r="BJ2736" s="46"/>
      <c r="BK2736" s="46"/>
      <c r="BL2736" s="46"/>
      <c r="BM2736" s="46"/>
      <c r="BN2736" s="46"/>
      <c r="BO2736" s="46"/>
      <c r="BP2736" s="46"/>
      <c r="BQ2736" s="46"/>
      <c r="BR2736" s="46"/>
      <c r="BS2736" s="46"/>
      <c r="BT2736" s="46"/>
      <c r="BU2736" s="46"/>
      <c r="BV2736" s="46"/>
      <c r="BW2736" s="46"/>
      <c r="BX2736" s="46"/>
      <c r="BY2736" s="46"/>
      <c r="BZ2736" s="46"/>
      <c r="CA2736" s="46"/>
      <c r="CB2736" s="46"/>
      <c r="CC2736" s="46"/>
      <c r="CD2736" s="46"/>
      <c r="CE2736" s="46"/>
      <c r="CF2736" s="46"/>
      <c r="CG2736" s="46"/>
      <c r="CH2736" s="46"/>
      <c r="CI2736" s="46"/>
      <c r="CJ2736" s="46"/>
      <c r="CK2736" s="46"/>
      <c r="CL2736" s="46"/>
      <c r="CM2736" s="46"/>
      <c r="CN2736" s="46"/>
      <c r="CO2736" s="46"/>
      <c r="CP2736" s="46"/>
      <c r="CQ2736" s="46"/>
      <c r="CR2736" s="46"/>
      <c r="CS2736" s="46"/>
      <c r="CT2736" s="46"/>
      <c r="CU2736" s="46"/>
      <c r="CV2736" s="46"/>
      <c r="CW2736" s="46"/>
      <c r="CX2736" s="46"/>
      <c r="CY2736" s="46"/>
      <c r="CZ2736" s="46"/>
      <c r="DA2736" s="46"/>
      <c r="DB2736" s="46"/>
      <c r="DC2736" s="46"/>
      <c r="DD2736" s="46"/>
      <c r="DE2736" s="46"/>
      <c r="DF2736" s="46"/>
      <c r="DG2736" s="46"/>
      <c r="DH2736" s="46"/>
      <c r="DI2736" s="342"/>
      <c r="DJ2736" s="342"/>
      <c r="DK2736" s="342"/>
      <c r="DL2736" s="342"/>
    </row>
    <row r="2737">
      <c r="A2737" s="44">
        <v>3137.0</v>
      </c>
      <c r="B2737" s="2008" t="s">
        <v>523</v>
      </c>
      <c r="C2737" s="2009" t="s">
        <v>115</v>
      </c>
      <c r="D2737" s="2009" t="s">
        <v>153</v>
      </c>
      <c r="E2737" s="2010"/>
      <c r="F2737" s="2304" t="s">
        <v>16187</v>
      </c>
      <c r="G2737" s="2305" t="s">
        <v>16205</v>
      </c>
      <c r="H2737" s="2304" t="s">
        <v>15921</v>
      </c>
      <c r="I2737" s="2306">
        <v>45821.0</v>
      </c>
      <c r="J2737" s="2307"/>
      <c r="K2737" s="2305" t="s">
        <v>16189</v>
      </c>
      <c r="L2737" s="2013"/>
      <c r="M2737" s="2305" t="s">
        <v>16190</v>
      </c>
      <c r="N2737" s="2305" t="s">
        <v>16191</v>
      </c>
      <c r="O2737" s="2013"/>
      <c r="P2737" s="2305" t="s">
        <v>16192</v>
      </c>
      <c r="Q2737" s="2308" t="str">
        <f t="array" ref="Q2737"> if(iserror(MATCH(V2737, 'File Links'!C:C, 0)), "N/A", HYPERLINK(INDEX('File Links'!B:B, MATCH(P2737, 'File Links'!C:C, 0))))</f>
        <v>https://drive.google.com/file/d/1xzLvdgc-M6xgRxS1XPmZCMV1KJ6e91RS/view?usp=drivesdk</v>
      </c>
      <c r="R2737" s="2305" t="s">
        <v>16193</v>
      </c>
      <c r="S2737" s="2305" t="s">
        <v>16194</v>
      </c>
      <c r="T2737" s="2013"/>
      <c r="U2737" s="2013"/>
      <c r="V2737" s="2305" t="s">
        <v>16195</v>
      </c>
      <c r="W2737" s="2013"/>
      <c r="X2737" s="2020" t="str">
        <f t="array" ref="X2737"> if(iserror(MATCH(V2737, 'File Links'!C:C, 0)), "N/A", HYPERLINK(INDEX('File Links'!B:B, MATCH(V2737, 'File Links'!C:C, 0))))</f>
        <v>https://drive.google.com/file/d/1P2HkNQwXMDHx-bxDaQ0QetAgbUaJlYq7/view?usp=drivesdk</v>
      </c>
      <c r="Y2737" s="2013"/>
      <c r="Z2737" s="2305" t="s">
        <v>295</v>
      </c>
      <c r="AA2737" s="2305" t="s">
        <v>4052</v>
      </c>
      <c r="AB2737" s="2305" t="s">
        <v>16196</v>
      </c>
      <c r="AC2737" s="2305" t="s">
        <v>16206</v>
      </c>
      <c r="AD2737" s="2305" t="s">
        <v>16198</v>
      </c>
      <c r="AE2737" s="2309">
        <v>14.0</v>
      </c>
      <c r="AF2737" s="2309">
        <v>94.0</v>
      </c>
      <c r="AG2737" s="2310">
        <f>1.88*10^(11)</f>
        <v>188000000000</v>
      </c>
      <c r="AH2737" s="2305" t="s">
        <v>722</v>
      </c>
      <c r="AI2737" s="2305" t="s">
        <v>2229</v>
      </c>
      <c r="AJ2737" s="2310">
        <v>0.001</v>
      </c>
      <c r="AK2737" s="2305" t="s">
        <v>135</v>
      </c>
      <c r="AL2737" s="2305" t="s">
        <v>186</v>
      </c>
      <c r="AM2737" s="2305" t="s">
        <v>137</v>
      </c>
      <c r="AN2737" s="2305" t="s">
        <v>138</v>
      </c>
      <c r="AO2737" s="2309">
        <f>29+186+192+204</f>
        <v>611</v>
      </c>
      <c r="AP2737" s="2310">
        <v>0.83</v>
      </c>
      <c r="AQ2737" s="2305" t="s">
        <v>215</v>
      </c>
      <c r="AR2737" s="2305" t="s">
        <v>1257</v>
      </c>
      <c r="AS2737" s="2309">
        <f>IFERROR(__xludf.DUMMYFUNCTION("2.2*10^-16"),2.2000000000000002E-16)</f>
        <v>0</v>
      </c>
      <c r="AT2737" s="2305" t="s">
        <v>135</v>
      </c>
      <c r="AU2737" s="2305" t="s">
        <v>186</v>
      </c>
      <c r="AV2737" s="2305" t="s">
        <v>137</v>
      </c>
      <c r="AW2737" s="2305" t="s">
        <v>138</v>
      </c>
      <c r="AX2737" s="2305" t="s">
        <v>151</v>
      </c>
      <c r="AY2737" s="61" t="str">
        <f>IFERROR(__xludf.DUMMYFUNCTION("vlookup(BB2737,importrange(""https://docs.google.com/spreadsheets/d/1d2vevQ_7D_v35q4wCQ4RpQ_IPoTwEMB9Yp6ymwlPqew/edit?gid=984458430#gid=984458430"", ""'replication success'!A:K""), 11, FAlSE)"),"#N/A")</f>
        <v>#N/A</v>
      </c>
      <c r="AZ2737" s="61" t="str">
        <f>IFERROR(__xludf.DUMMYFUNCTION("vlookup(BB2737,importrange(""https://docs.google.com/spreadsheets/d/1d2vevQ_7D_v35q4wCQ4RpQ_IPoTwEMB9Yp6ymwlPqew/edit?gid=984458430#gid=984458430"", ""'replication success'!A:M""), 12, FAlSE)"),"#N/A")</f>
        <v>#N/A</v>
      </c>
      <c r="BA2737" s="61" t="str">
        <f>IFERROR(__xludf.DUMMYFUNCTION("vlookup(BB2737,importrange(""https://docs.google.com/spreadsheets/d/1d2vevQ_7D_v35q4wCQ4RpQ_IPoTwEMB9Yp6ymwlPqew/edit?gid=984458430#gid=984458430"", ""'replication success'!A:M""), 13, FAlSE)"),"#N/A")</f>
        <v>#N/A</v>
      </c>
      <c r="BB2737" s="61" t="str">
        <f>IFERROR(__xludf.DUMMYFUNCTION("REGEXREPLACE(G2737, ""_[a-z]{1,2}$"", """")"),"add_ai47")</f>
        <v>add_ai47</v>
      </c>
      <c r="BC2737" s="2010"/>
      <c r="BD2737" s="2009" t="s">
        <v>16112</v>
      </c>
      <c r="BE2737" s="342"/>
      <c r="BF2737" s="342"/>
      <c r="BG2737" s="342"/>
      <c r="BH2737" s="342"/>
      <c r="BI2737" s="342"/>
      <c r="BJ2737" s="342"/>
      <c r="BK2737" s="342"/>
      <c r="BL2737" s="342"/>
      <c r="BM2737" s="342"/>
      <c r="BN2737" s="342"/>
      <c r="BO2737" s="342"/>
      <c r="BP2737" s="342"/>
      <c r="BQ2737" s="342"/>
      <c r="BR2737" s="342"/>
      <c r="BS2737" s="342"/>
      <c r="BT2737" s="342"/>
      <c r="BU2737" s="342"/>
      <c r="BV2737" s="342"/>
      <c r="BW2737" s="342"/>
      <c r="BX2737" s="342"/>
      <c r="BY2737" s="342"/>
      <c r="BZ2737" s="342"/>
      <c r="CA2737" s="342"/>
      <c r="CB2737" s="342"/>
      <c r="CC2737" s="342"/>
      <c r="CD2737" s="342"/>
      <c r="CE2737" s="342"/>
      <c r="CF2737" s="342"/>
      <c r="CG2737" s="342"/>
      <c r="CH2737" s="342"/>
      <c r="CI2737" s="342"/>
      <c r="CJ2737" s="342"/>
      <c r="CK2737" s="342"/>
      <c r="CL2737" s="342"/>
      <c r="CM2737" s="342"/>
      <c r="CN2737" s="342"/>
      <c r="CO2737" s="342"/>
      <c r="CP2737" s="342"/>
      <c r="CQ2737" s="342"/>
      <c r="CR2737" s="342"/>
      <c r="CS2737" s="342"/>
      <c r="CT2737" s="342"/>
      <c r="CU2737" s="342"/>
      <c r="CV2737" s="342"/>
      <c r="CW2737" s="342"/>
      <c r="CX2737" s="342"/>
      <c r="CY2737" s="342"/>
      <c r="CZ2737" s="342"/>
      <c r="DA2737" s="342"/>
      <c r="DB2737" s="342"/>
      <c r="DC2737" s="342"/>
      <c r="DD2737" s="342"/>
      <c r="DE2737" s="342"/>
      <c r="DF2737" s="342"/>
      <c r="DG2737" s="342"/>
      <c r="DH2737" s="342"/>
      <c r="DI2737" s="342"/>
      <c r="DJ2737" s="342"/>
      <c r="DK2737" s="342"/>
      <c r="DL2737" s="342"/>
    </row>
    <row r="2738" ht="22.5" customHeight="1">
      <c r="A2738" s="44">
        <v>3202.0</v>
      </c>
      <c r="B2738" s="2008" t="s">
        <v>523</v>
      </c>
      <c r="C2738" s="2009" t="s">
        <v>115</v>
      </c>
      <c r="D2738" s="2009" t="s">
        <v>15991</v>
      </c>
      <c r="E2738" s="2010"/>
      <c r="F2738" s="2014" t="s">
        <v>16187</v>
      </c>
      <c r="G2738" s="2014" t="s">
        <v>16205</v>
      </c>
      <c r="H2738" s="2311" t="s">
        <v>15994</v>
      </c>
      <c r="I2738" s="2312">
        <v>45811.0</v>
      </c>
      <c r="J2738" s="2013"/>
      <c r="K2738" s="2013"/>
      <c r="L2738" s="2013"/>
      <c r="M2738" s="2313" t="s">
        <v>16190</v>
      </c>
      <c r="N2738" s="2313" t="s">
        <v>16191</v>
      </c>
      <c r="O2738" s="2013"/>
      <c r="P2738" s="2313" t="s">
        <v>16192</v>
      </c>
      <c r="Q2738" s="2308" t="str">
        <f t="array" ref="Q2738"> if(iserror(MATCH(V2738, 'File Links'!C:C, 0)), "N/A", HYPERLINK(INDEX('File Links'!B:B, MATCH(P2738, 'File Links'!C:C, 0))))</f>
        <v>https://drive.google.com/file/d/1xzLvdgc-M6xgRxS1XPmZCMV1KJ6e91RS/view?usp=drivesdk</v>
      </c>
      <c r="R2738" s="2314" t="s">
        <v>16207</v>
      </c>
      <c r="S2738" s="2315" t="s">
        <v>16194</v>
      </c>
      <c r="T2738" s="2013"/>
      <c r="U2738" s="2013"/>
      <c r="V2738" s="2014" t="s">
        <v>16195</v>
      </c>
      <c r="W2738" s="2013"/>
      <c r="X2738" s="2020" t="str">
        <f t="array" ref="X2738"> if(iserror(MATCH(V2738, 'File Links'!C:C, 0)), "N/A", HYPERLINK(INDEX('File Links'!B:B, MATCH(V2738, 'File Links'!C:C, 0))))</f>
        <v>https://drive.google.com/file/d/1P2HkNQwXMDHx-bxDaQ0QetAgbUaJlYq7/view?usp=drivesdk</v>
      </c>
      <c r="Y2738" s="2013"/>
      <c r="Z2738" s="2013" t="s">
        <v>295</v>
      </c>
      <c r="AA2738" s="2013" t="s">
        <v>16200</v>
      </c>
      <c r="AB2738" s="2013" t="s">
        <v>16201</v>
      </c>
      <c r="AC2738" s="2013" t="s">
        <v>16202</v>
      </c>
      <c r="AD2738" s="2013" t="s">
        <v>16203</v>
      </c>
      <c r="AE2738" s="2013" t="s">
        <v>3721</v>
      </c>
      <c r="AF2738" s="2019">
        <v>3343.0</v>
      </c>
      <c r="AG2738" s="2019">
        <v>0.479</v>
      </c>
      <c r="AH2738" s="2013" t="s">
        <v>722</v>
      </c>
      <c r="AI2738" s="2316" t="s">
        <v>16204</v>
      </c>
      <c r="AJ2738" s="2019">
        <v>0.05</v>
      </c>
      <c r="AK2738" s="2013" t="s">
        <v>135</v>
      </c>
      <c r="AL2738" s="2013" t="s">
        <v>186</v>
      </c>
      <c r="AM2738" s="2013" t="s">
        <v>137</v>
      </c>
      <c r="AN2738" s="2013" t="s">
        <v>138</v>
      </c>
      <c r="AO2738" s="2019">
        <v>129.0</v>
      </c>
      <c r="AP2738" s="2019">
        <v>0.83</v>
      </c>
      <c r="AQ2738" s="2013" t="s">
        <v>215</v>
      </c>
      <c r="AR2738" s="2013" t="s">
        <v>2441</v>
      </c>
      <c r="AS2738" s="2019">
        <v>0.05</v>
      </c>
      <c r="AT2738" s="2013" t="s">
        <v>135</v>
      </c>
      <c r="AU2738" s="2013" t="s">
        <v>186</v>
      </c>
      <c r="AV2738" s="2013" t="s">
        <v>137</v>
      </c>
      <c r="AW2738" s="2013" t="s">
        <v>138</v>
      </c>
      <c r="AX2738" s="2013" t="s">
        <v>151</v>
      </c>
      <c r="AY2738" s="61" t="str">
        <f>IFERROR(__xludf.DUMMYFUNCTION("vlookup(BB2738,importrange(""https://docs.google.com/spreadsheets/d/1d2vevQ_7D_v35q4wCQ4RpQ_IPoTwEMB9Yp6ymwlPqew/edit?gid=984458430#gid=984458430"", ""'replication success'!A:K""), 11, FAlSE)"),"#N/A")</f>
        <v>#N/A</v>
      </c>
      <c r="AZ2738" s="61" t="str">
        <f>IFERROR(__xludf.DUMMYFUNCTION("vlookup(BB2738,importrange(""https://docs.google.com/spreadsheets/d/1d2vevQ_7D_v35q4wCQ4RpQ_IPoTwEMB9Yp6ymwlPqew/edit?gid=984458430#gid=984458430"", ""'replication success'!A:M""), 12, FAlSE)"),"#N/A")</f>
        <v>#N/A</v>
      </c>
      <c r="BA2738" s="61" t="str">
        <f>IFERROR(__xludf.DUMMYFUNCTION("vlookup(BB2738,importrange(""https://docs.google.com/spreadsheets/d/1d2vevQ_7D_v35q4wCQ4RpQ_IPoTwEMB9Yp6ymwlPqew/edit?gid=984458430#gid=984458430"", ""'replication success'!A:M""), 13, FAlSE)"),"#N/A")</f>
        <v>#N/A</v>
      </c>
      <c r="BB2738" s="61" t="str">
        <f>IFERROR(__xludf.DUMMYFUNCTION("REGEXREPLACE(G2738, ""_[a-z]{1,2}$"", """")"),"add_ai47")</f>
        <v>add_ai47</v>
      </c>
      <c r="BC2738" s="2010"/>
      <c r="BD2738" s="2009" t="s">
        <v>16112</v>
      </c>
      <c r="BE2738" s="342"/>
      <c r="BF2738" s="342"/>
      <c r="BG2738" s="342"/>
      <c r="BH2738" s="342"/>
      <c r="BI2738" s="342"/>
      <c r="BJ2738" s="342"/>
      <c r="BK2738" s="342"/>
      <c r="BL2738" s="342"/>
      <c r="BM2738" s="342"/>
      <c r="BN2738" s="342"/>
      <c r="BO2738" s="342"/>
      <c r="BP2738" s="342"/>
      <c r="BQ2738" s="342"/>
      <c r="BR2738" s="342"/>
      <c r="BS2738" s="342"/>
      <c r="BT2738" s="342"/>
      <c r="BU2738" s="342"/>
      <c r="BV2738" s="342"/>
      <c r="BW2738" s="342"/>
      <c r="BX2738" s="342"/>
      <c r="BY2738" s="342"/>
      <c r="BZ2738" s="342"/>
      <c r="CA2738" s="342"/>
      <c r="CB2738" s="342"/>
      <c r="CC2738" s="342"/>
      <c r="CD2738" s="342"/>
      <c r="CE2738" s="342"/>
      <c r="CF2738" s="342"/>
      <c r="CG2738" s="342"/>
      <c r="CH2738" s="342"/>
      <c r="CI2738" s="342"/>
      <c r="CJ2738" s="342"/>
      <c r="CK2738" s="342"/>
      <c r="CL2738" s="342"/>
      <c r="CM2738" s="342"/>
      <c r="CN2738" s="342"/>
      <c r="CO2738" s="342"/>
      <c r="CP2738" s="342"/>
      <c r="CQ2738" s="342"/>
      <c r="CR2738" s="342"/>
      <c r="CS2738" s="342"/>
      <c r="CT2738" s="342"/>
      <c r="CU2738" s="342"/>
      <c r="CV2738" s="342"/>
      <c r="CW2738" s="342"/>
      <c r="CX2738" s="342"/>
      <c r="CY2738" s="342"/>
      <c r="CZ2738" s="342"/>
      <c r="DA2738" s="342"/>
      <c r="DB2738" s="342"/>
      <c r="DC2738" s="342"/>
      <c r="DD2738" s="342"/>
      <c r="DE2738" s="342"/>
      <c r="DF2738" s="342"/>
      <c r="DG2738" s="342"/>
      <c r="DH2738" s="342"/>
      <c r="DI2738" s="342"/>
      <c r="DJ2738" s="342"/>
      <c r="DK2738" s="342"/>
      <c r="DL2738" s="342"/>
    </row>
    <row r="2739">
      <c r="A2739" s="44">
        <v>3159.0</v>
      </c>
      <c r="B2739" s="1322" t="s">
        <v>114</v>
      </c>
      <c r="C2739" s="1588" t="s">
        <v>115</v>
      </c>
      <c r="D2739" s="1588" t="s">
        <v>1458</v>
      </c>
      <c r="E2739" s="1572"/>
      <c r="F2739" s="1313" t="s">
        <v>16208</v>
      </c>
      <c r="G2739" s="1315" t="s">
        <v>16209</v>
      </c>
      <c r="H2739" s="2235" t="s">
        <v>1518</v>
      </c>
      <c r="I2739" s="2236"/>
      <c r="J2739" s="2238">
        <v>45846.0</v>
      </c>
      <c r="K2739" s="1315" t="s">
        <v>16210</v>
      </c>
      <c r="L2739" s="1313"/>
      <c r="M2739" s="1315" t="s">
        <v>16211</v>
      </c>
      <c r="N2739" s="1315" t="s">
        <v>16212</v>
      </c>
      <c r="O2739" s="1318">
        <v>1.0</v>
      </c>
      <c r="P2739" s="1315" t="s">
        <v>16213</v>
      </c>
      <c r="Q2739" s="2231" t="str">
        <f t="array" ref="Q2739"> if(iserror(MATCH(V2739, 'File Links'!C:C, 0)), "N/A", HYPERLINK(INDEX('File Links'!B:B, MATCH(P2739, 'File Links'!C:C, 0))))</f>
        <v>https://drive.google.com/file/d/1AMpF3dCTaGRtKAW4uDl20NZ94oGS-IrJ/view?usp=drivesdk</v>
      </c>
      <c r="R2739" s="1315" t="s">
        <v>16214</v>
      </c>
      <c r="S2739" s="1315" t="s">
        <v>16215</v>
      </c>
      <c r="T2739" s="1315" t="s">
        <v>138</v>
      </c>
      <c r="U2739" s="1318">
        <v>1.0</v>
      </c>
      <c r="V2739" s="1315" t="s">
        <v>16216</v>
      </c>
      <c r="W2739" s="1313"/>
      <c r="X2739" s="2233" t="str">
        <f t="array" ref="X2739"> if(iserror(MATCH(V2739, 'File Links'!C:C, 0)), "N/A", HYPERLINK(INDEX('File Links'!B:B, MATCH(V2739, 'File Links'!C:C, 0))))</f>
        <v>https://drive.google.com/file/d/1vaP6T4GI5EG6QfiY7faW4sxmJhrkKcVJ/view?usp=drivesdk</v>
      </c>
      <c r="Y2739" s="1315" t="s">
        <v>138</v>
      </c>
      <c r="Z2739" s="1315" t="s">
        <v>16217</v>
      </c>
      <c r="AA2739" s="1315" t="s">
        <v>16218</v>
      </c>
      <c r="AB2739" s="1315" t="s">
        <v>16219</v>
      </c>
      <c r="AC2739" s="1315" t="s">
        <v>16220</v>
      </c>
      <c r="AD2739" s="1315" t="s">
        <v>138</v>
      </c>
      <c r="AE2739" s="1315" t="s">
        <v>138</v>
      </c>
      <c r="AF2739" s="1318">
        <v>27745.0</v>
      </c>
      <c r="AG2739" s="1315" t="s">
        <v>138</v>
      </c>
      <c r="AH2739" s="1315" t="s">
        <v>138</v>
      </c>
      <c r="AI2739" s="1315" t="s">
        <v>138</v>
      </c>
      <c r="AJ2739" s="1315" t="s">
        <v>138</v>
      </c>
      <c r="AK2739" s="1315" t="s">
        <v>138</v>
      </c>
      <c r="AL2739" s="1315" t="s">
        <v>138</v>
      </c>
      <c r="AM2739" s="1315" t="s">
        <v>138</v>
      </c>
      <c r="AN2739" s="1315" t="s">
        <v>138</v>
      </c>
      <c r="AO2739" s="1318">
        <v>23649.0</v>
      </c>
      <c r="AP2739" s="1315" t="s">
        <v>138</v>
      </c>
      <c r="AQ2739" s="1315" t="s">
        <v>138</v>
      </c>
      <c r="AR2739" s="1315" t="s">
        <v>138</v>
      </c>
      <c r="AS2739" s="1315" t="s">
        <v>138</v>
      </c>
      <c r="AT2739" s="1315" t="s">
        <v>138</v>
      </c>
      <c r="AU2739" s="1315" t="s">
        <v>138</v>
      </c>
      <c r="AV2739" s="1315" t="s">
        <v>138</v>
      </c>
      <c r="AW2739" s="1313" t="s">
        <v>138</v>
      </c>
      <c r="AX2739" s="1315" t="s">
        <v>151</v>
      </c>
      <c r="AY2739" s="1321" t="str">
        <f>IFERROR(__xludf.DUMMYFUNCTION("vlookup(BB2739,importrange(""https://docs.google.com/spreadsheets/d/1d2vevQ_7D_v35q4wCQ4RpQ_IPoTwEMB9Yp6ymwlPqew/edit?gid=984458430#gid=984458430"", ""'replication success'!A:K""), 11, FAlSE)"),"#N/A")</f>
        <v>#N/A</v>
      </c>
      <c r="AZ2739" s="1321" t="str">
        <f>IFERROR(__xludf.DUMMYFUNCTION("vlookup(BB2739,importrange(""https://docs.google.com/spreadsheets/d/1d2vevQ_7D_v35q4wCQ4RpQ_IPoTwEMB9Yp6ymwlPqew/edit?gid=984458430#gid=984458430"", ""'replication success'!A:M""), 12, FAlSE)"),"#N/A")</f>
        <v>#N/A</v>
      </c>
      <c r="BA2739" s="1321" t="str">
        <f>IFERROR(__xludf.DUMMYFUNCTION("vlookup(BB2739,importrange(""https://docs.google.com/spreadsheets/d/1d2vevQ_7D_v35q4wCQ4RpQ_IPoTwEMB9Yp6ymwlPqew/edit?gid=984458430#gid=984458430"", ""'replication success'!A:M""), 13, FAlSE)"),"#N/A")</f>
        <v>#N/A</v>
      </c>
      <c r="BB2739" s="1321" t="str">
        <f>IFERROR(__xludf.DUMMYFUNCTION("REGEXREPLACE(G2739, ""_[a-z]{1,2}$"", """")"),"add_ai48")</f>
        <v>add_ai48</v>
      </c>
      <c r="BC2739" s="1572"/>
      <c r="BD2739" s="1588" t="s">
        <v>13264</v>
      </c>
      <c r="BE2739" s="342"/>
      <c r="BF2739" s="342"/>
      <c r="BG2739" s="342"/>
      <c r="BH2739" s="342"/>
      <c r="BI2739" s="342"/>
      <c r="BJ2739" s="342"/>
      <c r="BK2739" s="342"/>
      <c r="BL2739" s="342"/>
      <c r="BM2739" s="342"/>
      <c r="BN2739" s="342"/>
      <c r="BO2739" s="342"/>
      <c r="BP2739" s="342"/>
      <c r="BQ2739" s="342"/>
      <c r="BR2739" s="342"/>
      <c r="BS2739" s="342"/>
      <c r="BT2739" s="342"/>
      <c r="BU2739" s="342"/>
      <c r="BV2739" s="342"/>
      <c r="BW2739" s="342"/>
      <c r="BX2739" s="342"/>
      <c r="BY2739" s="342"/>
      <c r="BZ2739" s="342"/>
      <c r="CA2739" s="342"/>
      <c r="CB2739" s="342"/>
      <c r="CC2739" s="342"/>
      <c r="CD2739" s="342"/>
      <c r="CE2739" s="342"/>
      <c r="CF2739" s="342"/>
      <c r="CG2739" s="342"/>
      <c r="CH2739" s="342"/>
      <c r="CI2739" s="342"/>
      <c r="CJ2739" s="342"/>
      <c r="CK2739" s="342"/>
      <c r="CL2739" s="342"/>
      <c r="CM2739" s="342"/>
      <c r="CN2739" s="342"/>
      <c r="CO2739" s="342"/>
      <c r="CP2739" s="342"/>
      <c r="CQ2739" s="342"/>
      <c r="CR2739" s="342"/>
      <c r="CS2739" s="342"/>
      <c r="CT2739" s="342"/>
      <c r="CU2739" s="342"/>
      <c r="CV2739" s="342"/>
      <c r="CW2739" s="342"/>
      <c r="CX2739" s="342"/>
      <c r="CY2739" s="342"/>
      <c r="CZ2739" s="342"/>
      <c r="DA2739" s="342"/>
      <c r="DB2739" s="342"/>
      <c r="DC2739" s="342"/>
      <c r="DD2739" s="342"/>
      <c r="DE2739" s="342"/>
      <c r="DF2739" s="342"/>
      <c r="DG2739" s="342"/>
      <c r="DH2739" s="342"/>
      <c r="DI2739" s="342"/>
      <c r="DJ2739" s="342"/>
      <c r="DK2739" s="342"/>
      <c r="DL2739" s="342"/>
    </row>
    <row r="2740" ht="21.75" customHeight="1">
      <c r="A2740" s="44">
        <v>3167.0</v>
      </c>
      <c r="B2740" s="1322" t="s">
        <v>114</v>
      </c>
      <c r="C2740" s="1588" t="s">
        <v>115</v>
      </c>
      <c r="D2740" s="1588" t="s">
        <v>15991</v>
      </c>
      <c r="E2740" s="1572"/>
      <c r="F2740" s="1315" t="s">
        <v>16221</v>
      </c>
      <c r="G2740" s="1315" t="s">
        <v>16222</v>
      </c>
      <c r="H2740" s="2235" t="s">
        <v>15994</v>
      </c>
      <c r="I2740" s="2242">
        <v>45809.0</v>
      </c>
      <c r="J2740" s="2266">
        <v>45849.0</v>
      </c>
      <c r="K2740" s="1313"/>
      <c r="L2740" s="1313"/>
      <c r="M2740" s="2243" t="s">
        <v>16223</v>
      </c>
      <c r="N2740" s="2243" t="s">
        <v>12775</v>
      </c>
      <c r="O2740" s="1318">
        <v>3.0</v>
      </c>
      <c r="P2740" s="2243" t="s">
        <v>12776</v>
      </c>
      <c r="Q2740" s="2231" t="str">
        <f t="array" ref="Q2740"> if(iserror(MATCH(V2740, 'File Links'!C:C, 0)), "N/A", HYPERLINK(INDEX('File Links'!B:B, MATCH(P2740, 'File Links'!C:C, 0))))</f>
        <v>https://drive.google.com/file/d/1LFgNyzLqTELlP9tfS2pwZ6Egg431WCHQ/view?usp=drivesdk</v>
      </c>
      <c r="R2740" s="2243" t="s">
        <v>16224</v>
      </c>
      <c r="S2740" s="2260" t="s">
        <v>16225</v>
      </c>
      <c r="T2740" s="1313"/>
      <c r="U2740" s="1313"/>
      <c r="V2740" s="1315" t="s">
        <v>16226</v>
      </c>
      <c r="W2740" s="1313"/>
      <c r="X2740" s="2233" t="str">
        <f t="array" ref="X2740"> if(iserror(MATCH(V2740, 'File Links'!C:C, 0)), "N/A", HYPERLINK(INDEX('File Links'!B:B, MATCH(V2740, 'File Links'!C:C, 0))))</f>
        <v>https://drive.google.com/file/d/1ew0OSVU876rPzVsDvpN47BF_OOdkLKHm/view?usp=drivesdk</v>
      </c>
      <c r="Y2740" s="1313"/>
      <c r="Z2740" s="1315" t="s">
        <v>226</v>
      </c>
      <c r="AA2740" s="1313" t="s">
        <v>16227</v>
      </c>
      <c r="AB2740" s="1313" t="s">
        <v>16228</v>
      </c>
      <c r="AC2740" s="1315" t="s">
        <v>16229</v>
      </c>
      <c r="AD2740" s="1315" t="s">
        <v>16230</v>
      </c>
      <c r="AE2740" s="1315" t="s">
        <v>16231</v>
      </c>
      <c r="AF2740" s="1318">
        <v>24.0</v>
      </c>
      <c r="AG2740" s="1318">
        <v>1.0</v>
      </c>
      <c r="AH2740" s="1315" t="s">
        <v>722</v>
      </c>
      <c r="AI2740" s="2317" t="s">
        <v>16232</v>
      </c>
      <c r="AJ2740" s="1318">
        <v>0.05</v>
      </c>
      <c r="AK2740" s="1315" t="s">
        <v>335</v>
      </c>
      <c r="AL2740" s="1315" t="s">
        <v>136</v>
      </c>
      <c r="AM2740" s="1315" t="s">
        <v>137</v>
      </c>
      <c r="AN2740" s="1315" t="s">
        <v>138</v>
      </c>
      <c r="AO2740" s="1318">
        <v>391.0</v>
      </c>
      <c r="AP2740" s="1318">
        <v>1.452</v>
      </c>
      <c r="AQ2740" s="1315" t="s">
        <v>722</v>
      </c>
      <c r="AR2740" s="2245" t="s">
        <v>16233</v>
      </c>
      <c r="AS2740" s="1318">
        <v>0.146</v>
      </c>
      <c r="AT2740" s="1313" t="s">
        <v>172</v>
      </c>
      <c r="AU2740" s="1313" t="s">
        <v>186</v>
      </c>
      <c r="AV2740" s="1313" t="s">
        <v>137</v>
      </c>
      <c r="AW2740" s="2318" t="s">
        <v>12786</v>
      </c>
      <c r="AX2740" s="1339" t="s">
        <v>143</v>
      </c>
      <c r="AY2740" s="1321" t="str">
        <f>IFERROR(__xludf.DUMMYFUNCTION("vlookup(BB2740,importrange(""https://docs.google.com/spreadsheets/d/1d2vevQ_7D_v35q4wCQ4RpQ_IPoTwEMB9Yp6ymwlPqew/edit?gid=984458430#gid=984458430"", ""'replication success'!A:K""), 11, FAlSE)"),"#N/A")</f>
        <v>#N/A</v>
      </c>
      <c r="AZ2740" s="1321" t="str">
        <f>IFERROR(__xludf.DUMMYFUNCTION("vlookup(BB2740,importrange(""https://docs.google.com/spreadsheets/d/1d2vevQ_7D_v35q4wCQ4RpQ_IPoTwEMB9Yp6ymwlPqew/edit?gid=984458430#gid=984458430"", ""'replication success'!A:M""), 12, FAlSE)"),"#N/A")</f>
        <v>#N/A</v>
      </c>
      <c r="BA2740" s="1321" t="str">
        <f>IFERROR(__xludf.DUMMYFUNCTION("vlookup(BB2740,importrange(""https://docs.google.com/spreadsheets/d/1d2vevQ_7D_v35q4wCQ4RpQ_IPoTwEMB9Yp6ymwlPqew/edit?gid=984458430#gid=984458430"", ""'replication success'!A:M""), 13, FAlSE)"),"#N/A")</f>
        <v>#N/A</v>
      </c>
      <c r="BB2740" s="1321" t="str">
        <f>IFERROR(__xludf.DUMMYFUNCTION("REGEXREPLACE(G2740, ""_[a-z]{1,2}$"", """")"),"add_ai5")</f>
        <v>add_ai5</v>
      </c>
      <c r="BC2740" s="1572"/>
      <c r="BD2740" s="1588" t="s">
        <v>13264</v>
      </c>
      <c r="BE2740" s="342"/>
      <c r="BF2740" s="342"/>
      <c r="BG2740" s="342"/>
      <c r="BH2740" s="342"/>
      <c r="BI2740" s="342"/>
      <c r="BJ2740" s="342"/>
      <c r="BK2740" s="342"/>
      <c r="BL2740" s="342"/>
      <c r="BM2740" s="342"/>
      <c r="BN2740" s="342"/>
      <c r="BO2740" s="342"/>
      <c r="BP2740" s="342"/>
      <c r="BQ2740" s="342"/>
      <c r="BR2740" s="342"/>
      <c r="BS2740" s="342"/>
      <c r="BT2740" s="342"/>
      <c r="BU2740" s="342"/>
      <c r="BV2740" s="342"/>
      <c r="BW2740" s="342"/>
      <c r="BX2740" s="342"/>
      <c r="BY2740" s="342"/>
      <c r="BZ2740" s="342"/>
      <c r="CA2740" s="342"/>
      <c r="CB2740" s="342"/>
      <c r="CC2740" s="342"/>
      <c r="CD2740" s="342"/>
      <c r="CE2740" s="342"/>
      <c r="CF2740" s="342"/>
      <c r="CG2740" s="342"/>
      <c r="CH2740" s="342"/>
      <c r="CI2740" s="342"/>
      <c r="CJ2740" s="342"/>
      <c r="CK2740" s="342"/>
      <c r="CL2740" s="342"/>
      <c r="CM2740" s="342"/>
      <c r="CN2740" s="342"/>
      <c r="CO2740" s="342"/>
      <c r="CP2740" s="342"/>
      <c r="CQ2740" s="342"/>
      <c r="CR2740" s="342"/>
      <c r="CS2740" s="342"/>
      <c r="CT2740" s="342"/>
      <c r="CU2740" s="342"/>
      <c r="CV2740" s="342"/>
      <c r="CW2740" s="342"/>
      <c r="CX2740" s="342"/>
      <c r="CY2740" s="342"/>
      <c r="CZ2740" s="342"/>
      <c r="DA2740" s="342"/>
      <c r="DB2740" s="342"/>
      <c r="DC2740" s="342"/>
      <c r="DD2740" s="342"/>
      <c r="DE2740" s="342"/>
      <c r="DF2740" s="342"/>
      <c r="DG2740" s="342"/>
      <c r="DH2740" s="342"/>
      <c r="DI2740" s="342"/>
      <c r="DJ2740" s="342"/>
      <c r="DK2740" s="342"/>
      <c r="DL2740" s="342"/>
    </row>
    <row r="2741" ht="19.5" customHeight="1">
      <c r="A2741" s="44">
        <v>3168.0</v>
      </c>
      <c r="B2741" s="1322" t="s">
        <v>114</v>
      </c>
      <c r="C2741" s="1588" t="s">
        <v>115</v>
      </c>
      <c r="D2741" s="1588" t="s">
        <v>15991</v>
      </c>
      <c r="E2741" s="1572"/>
      <c r="F2741" s="1315" t="s">
        <v>16221</v>
      </c>
      <c r="G2741" s="1315" t="s">
        <v>16234</v>
      </c>
      <c r="H2741" s="2235" t="s">
        <v>15994</v>
      </c>
      <c r="I2741" s="2242">
        <v>45809.0</v>
      </c>
      <c r="J2741" s="2266">
        <v>45849.0</v>
      </c>
      <c r="K2741" s="1313"/>
      <c r="L2741" s="1313"/>
      <c r="M2741" s="2243" t="s">
        <v>16223</v>
      </c>
      <c r="N2741" s="2243" t="s">
        <v>12775</v>
      </c>
      <c r="O2741" s="1318">
        <v>3.0</v>
      </c>
      <c r="P2741" s="2243" t="s">
        <v>12776</v>
      </c>
      <c r="Q2741" s="2231" t="str">
        <f t="array" ref="Q2741"> if(iserror(MATCH(V2741, 'File Links'!C:C, 0)), "N/A", HYPERLINK(INDEX('File Links'!B:B, MATCH(P2741, 'File Links'!C:C, 0))))</f>
        <v>https://drive.google.com/file/d/1LFgNyzLqTELlP9tfS2pwZ6Egg431WCHQ/view?usp=drivesdk</v>
      </c>
      <c r="R2741" s="2243" t="s">
        <v>16224</v>
      </c>
      <c r="S2741" s="2260" t="s">
        <v>16225</v>
      </c>
      <c r="T2741" s="1313"/>
      <c r="U2741" s="1313"/>
      <c r="V2741" s="1315" t="s">
        <v>16226</v>
      </c>
      <c r="W2741" s="1313"/>
      <c r="X2741" s="2233" t="str">
        <f t="array" ref="X2741"> if(iserror(MATCH(V2741, 'File Links'!C:C, 0)), "N/A", HYPERLINK(INDEX('File Links'!B:B, MATCH(V2741, 'File Links'!C:C, 0))))</f>
        <v>https://drive.google.com/file/d/1ew0OSVU876rPzVsDvpN47BF_OOdkLKHm/view?usp=drivesdk</v>
      </c>
      <c r="Y2741" s="1313"/>
      <c r="Z2741" s="1315" t="s">
        <v>226</v>
      </c>
      <c r="AA2741" s="1313" t="s">
        <v>16227</v>
      </c>
      <c r="AB2741" s="1313" t="s">
        <v>16228</v>
      </c>
      <c r="AC2741" s="1315" t="s">
        <v>16235</v>
      </c>
      <c r="AD2741" s="1315" t="s">
        <v>16236</v>
      </c>
      <c r="AE2741" s="1315" t="s">
        <v>16231</v>
      </c>
      <c r="AF2741" s="1318">
        <v>24.0</v>
      </c>
      <c r="AG2741" s="1318">
        <v>0.59</v>
      </c>
      <c r="AH2741" s="1315" t="s">
        <v>722</v>
      </c>
      <c r="AI2741" s="2317" t="s">
        <v>16237</v>
      </c>
      <c r="AJ2741" s="1318">
        <v>0.091</v>
      </c>
      <c r="AK2741" s="1315" t="s">
        <v>172</v>
      </c>
      <c r="AL2741" s="1315" t="s">
        <v>136</v>
      </c>
      <c r="AM2741" s="1315" t="s">
        <v>137</v>
      </c>
      <c r="AN2741" s="1315" t="s">
        <v>138</v>
      </c>
      <c r="AO2741" s="1318">
        <v>391.0</v>
      </c>
      <c r="AP2741" s="1318">
        <v>0.48</v>
      </c>
      <c r="AQ2741" s="1315" t="s">
        <v>722</v>
      </c>
      <c r="AR2741" s="2245" t="s">
        <v>16238</v>
      </c>
      <c r="AS2741" s="1318">
        <v>0.001</v>
      </c>
      <c r="AT2741" s="1313" t="s">
        <v>172</v>
      </c>
      <c r="AU2741" s="1313" t="s">
        <v>186</v>
      </c>
      <c r="AV2741" s="1313" t="s">
        <v>137</v>
      </c>
      <c r="AW2741" s="2318" t="s">
        <v>12786</v>
      </c>
      <c r="AX2741" s="1339" t="s">
        <v>143</v>
      </c>
      <c r="AY2741" s="1321" t="str">
        <f>IFERROR(__xludf.DUMMYFUNCTION("vlookup(BB2741,importrange(""https://docs.google.com/spreadsheets/d/1d2vevQ_7D_v35q4wCQ4RpQ_IPoTwEMB9Yp6ymwlPqew/edit?gid=984458430#gid=984458430"", ""'replication success'!A:K""), 11, FAlSE)"),"#N/A")</f>
        <v>#N/A</v>
      </c>
      <c r="AZ2741" s="1321" t="str">
        <f>IFERROR(__xludf.DUMMYFUNCTION("vlookup(BB2741,importrange(""https://docs.google.com/spreadsheets/d/1d2vevQ_7D_v35q4wCQ4RpQ_IPoTwEMB9Yp6ymwlPqew/edit?gid=984458430#gid=984458430"", ""'replication success'!A:M""), 12, FAlSE)"),"#N/A")</f>
        <v>#N/A</v>
      </c>
      <c r="BA2741" s="1321" t="str">
        <f>IFERROR(__xludf.DUMMYFUNCTION("vlookup(BB2741,importrange(""https://docs.google.com/spreadsheets/d/1d2vevQ_7D_v35q4wCQ4RpQ_IPoTwEMB9Yp6ymwlPqew/edit?gid=984458430#gid=984458430"", ""'replication success'!A:M""), 13, FAlSE)"),"#N/A")</f>
        <v>#N/A</v>
      </c>
      <c r="BB2741" s="1321" t="str">
        <f>IFERROR(__xludf.DUMMYFUNCTION("REGEXREPLACE(G2741, ""_[a-z]{1,2}$"", """")"),"add_ai5")</f>
        <v>add_ai5</v>
      </c>
      <c r="BC2741" s="1572"/>
      <c r="BD2741" s="1588" t="s">
        <v>13264</v>
      </c>
      <c r="BE2741" s="342"/>
      <c r="BF2741" s="342"/>
      <c r="BG2741" s="342"/>
      <c r="BH2741" s="342"/>
      <c r="BI2741" s="342"/>
      <c r="BJ2741" s="342"/>
      <c r="BK2741" s="342"/>
      <c r="BL2741" s="342"/>
      <c r="BM2741" s="342"/>
      <c r="BN2741" s="342"/>
      <c r="BO2741" s="342"/>
      <c r="BP2741" s="342"/>
      <c r="BQ2741" s="342"/>
      <c r="BR2741" s="342"/>
      <c r="BS2741" s="342"/>
      <c r="BT2741" s="342"/>
      <c r="BU2741" s="342"/>
      <c r="BV2741" s="342"/>
      <c r="BW2741" s="342"/>
      <c r="BX2741" s="342"/>
      <c r="BY2741" s="342"/>
      <c r="BZ2741" s="342"/>
      <c r="CA2741" s="342"/>
      <c r="CB2741" s="342"/>
      <c r="CC2741" s="342"/>
      <c r="CD2741" s="342"/>
      <c r="CE2741" s="342"/>
      <c r="CF2741" s="342"/>
      <c r="CG2741" s="342"/>
      <c r="CH2741" s="342"/>
      <c r="CI2741" s="342"/>
      <c r="CJ2741" s="342"/>
      <c r="CK2741" s="342"/>
      <c r="CL2741" s="342"/>
      <c r="CM2741" s="342"/>
      <c r="CN2741" s="342"/>
      <c r="CO2741" s="342"/>
      <c r="CP2741" s="342"/>
      <c r="CQ2741" s="342"/>
      <c r="CR2741" s="342"/>
      <c r="CS2741" s="342"/>
      <c r="CT2741" s="342"/>
      <c r="CU2741" s="342"/>
      <c r="CV2741" s="342"/>
      <c r="CW2741" s="342"/>
      <c r="CX2741" s="342"/>
      <c r="CY2741" s="342"/>
      <c r="CZ2741" s="342"/>
      <c r="DA2741" s="342"/>
      <c r="DB2741" s="342"/>
      <c r="DC2741" s="342"/>
      <c r="DD2741" s="342"/>
      <c r="DE2741" s="342"/>
      <c r="DF2741" s="342"/>
      <c r="DG2741" s="342"/>
      <c r="DH2741" s="342"/>
      <c r="DI2741" s="342"/>
      <c r="DJ2741" s="342"/>
      <c r="DK2741" s="342"/>
      <c r="DL2741" s="342"/>
    </row>
    <row r="2742">
      <c r="A2742" s="44">
        <v>3022.0</v>
      </c>
      <c r="B2742" s="474" t="s">
        <v>523</v>
      </c>
      <c r="C2742" s="467" t="s">
        <v>115</v>
      </c>
      <c r="D2742" s="467" t="s">
        <v>153</v>
      </c>
      <c r="E2742" s="468"/>
      <c r="F2742" s="2319" t="s">
        <v>16221</v>
      </c>
      <c r="G2742" s="2320" t="s">
        <v>16239</v>
      </c>
      <c r="H2742" s="2319" t="s">
        <v>15921</v>
      </c>
      <c r="I2742" s="2321">
        <v>45821.0</v>
      </c>
      <c r="J2742" s="2322"/>
      <c r="K2742" s="2320" t="s">
        <v>16240</v>
      </c>
      <c r="L2742" s="482"/>
      <c r="M2742" s="2320" t="s">
        <v>16223</v>
      </c>
      <c r="N2742" s="2320" t="s">
        <v>12775</v>
      </c>
      <c r="O2742" s="482"/>
      <c r="P2742" s="2320" t="s">
        <v>12776</v>
      </c>
      <c r="Q2742" s="2323" t="str">
        <f t="array" ref="Q2742"> if(iserror(MATCH(V2742, 'File Links'!C:C, 0)), "N/A", HYPERLINK(INDEX('File Links'!B:B, MATCH(P2742, 'File Links'!C:C, 0))))</f>
        <v>https://drive.google.com/file/d/1LFgNyzLqTELlP9tfS2pwZ6Egg431WCHQ/view?usp=drivesdk</v>
      </c>
      <c r="R2742" s="2320" t="s">
        <v>16224</v>
      </c>
      <c r="S2742" s="2320" t="s">
        <v>16225</v>
      </c>
      <c r="T2742" s="482"/>
      <c r="U2742" s="482"/>
      <c r="V2742" s="2320" t="s">
        <v>16226</v>
      </c>
      <c r="W2742" s="482"/>
      <c r="X2742" s="928" t="str">
        <f t="array" ref="X2742"> if(iserror(MATCH(V2742, 'File Links'!C:C, 0)), "N/A", HYPERLINK(INDEX('File Links'!B:B, MATCH(V2742, 'File Links'!C:C, 0))))</f>
        <v>https://drive.google.com/file/d/1ew0OSVU876rPzVsDvpN47BF_OOdkLKHm/view?usp=drivesdk</v>
      </c>
      <c r="Y2742" s="482"/>
      <c r="Z2742" s="2320" t="s">
        <v>226</v>
      </c>
      <c r="AA2742" s="2320" t="s">
        <v>16241</v>
      </c>
      <c r="AB2742" s="2320" t="s">
        <v>16242</v>
      </c>
      <c r="AC2742" s="2320" t="s">
        <v>16243</v>
      </c>
      <c r="AD2742" s="2320" t="s">
        <v>16244</v>
      </c>
      <c r="AE2742" s="2324">
        <v>7.0</v>
      </c>
      <c r="AF2742" s="2324">
        <v>72.0</v>
      </c>
      <c r="AG2742" s="2324" t="s">
        <v>16245</v>
      </c>
      <c r="AH2742" s="2320" t="s">
        <v>134</v>
      </c>
      <c r="AI2742" s="2320" t="s">
        <v>132</v>
      </c>
      <c r="AJ2742" s="2325">
        <v>0.091</v>
      </c>
      <c r="AK2742" s="2320" t="s">
        <v>172</v>
      </c>
      <c r="AL2742" s="2320" t="s">
        <v>136</v>
      </c>
      <c r="AM2742" s="2320" t="s">
        <v>137</v>
      </c>
      <c r="AN2742" s="2320" t="s">
        <v>138</v>
      </c>
      <c r="AO2742" s="2324">
        <v>391.0</v>
      </c>
      <c r="AP2742" s="2325" t="s">
        <v>16246</v>
      </c>
      <c r="AQ2742" s="2320" t="s">
        <v>134</v>
      </c>
      <c r="AR2742" s="2320" t="s">
        <v>627</v>
      </c>
      <c r="AS2742" s="2325">
        <v>0.001</v>
      </c>
      <c r="AT2742" s="2320" t="s">
        <v>172</v>
      </c>
      <c r="AU2742" s="2320" t="s">
        <v>186</v>
      </c>
      <c r="AV2742" s="2320" t="s">
        <v>137</v>
      </c>
      <c r="AW2742" s="2326" t="s">
        <v>12786</v>
      </c>
      <c r="AX2742" s="2320" t="s">
        <v>143</v>
      </c>
      <c r="AY2742" s="61" t="str">
        <f>IFERROR(__xludf.DUMMYFUNCTION("vlookup(BB2742,importrange(""https://docs.google.com/spreadsheets/d/1d2vevQ_7D_v35q4wCQ4RpQ_IPoTwEMB9Yp6ymwlPqew/edit?gid=984458430#gid=984458430"", ""'replication success'!A:K""), 11, FAlSE)"),"#N/A")</f>
        <v>#N/A</v>
      </c>
      <c r="AZ2742" s="61" t="str">
        <f>IFERROR(__xludf.DUMMYFUNCTION("vlookup(BB2742,importrange(""https://docs.google.com/spreadsheets/d/1d2vevQ_7D_v35q4wCQ4RpQ_IPoTwEMB9Yp6ymwlPqew/edit?gid=984458430#gid=984458430"", ""'replication success'!A:M""), 12, FAlSE)"),"#N/A")</f>
        <v>#N/A</v>
      </c>
      <c r="BA2742" s="61" t="str">
        <f>IFERROR(__xludf.DUMMYFUNCTION("vlookup(BB2742,importrange(""https://docs.google.com/spreadsheets/d/1d2vevQ_7D_v35q4wCQ4RpQ_IPoTwEMB9Yp6ymwlPqew/edit?gid=984458430#gid=984458430"", ""'replication success'!A:M""), 13, FAlSE)"),"#N/A")</f>
        <v>#N/A</v>
      </c>
      <c r="BB2742" s="61" t="str">
        <f>IFERROR(__xludf.DUMMYFUNCTION("REGEXREPLACE(G2742, ""_[a-z]{1,2}$"", """")"),"add_ai5_combined")</f>
        <v>add_ai5_combined</v>
      </c>
      <c r="BC2742" s="468"/>
      <c r="BD2742" s="467" t="s">
        <v>16112</v>
      </c>
      <c r="BE2742" s="342"/>
      <c r="BF2742" s="342"/>
      <c r="BG2742" s="342"/>
      <c r="BH2742" s="342"/>
      <c r="BI2742" s="342"/>
      <c r="BJ2742" s="342"/>
      <c r="BK2742" s="342"/>
      <c r="BL2742" s="342"/>
      <c r="BM2742" s="342"/>
      <c r="BN2742" s="342"/>
      <c r="BO2742" s="342"/>
      <c r="BP2742" s="342"/>
      <c r="BQ2742" s="342"/>
      <c r="BR2742" s="342"/>
      <c r="BS2742" s="342"/>
      <c r="BT2742" s="342"/>
      <c r="BU2742" s="342"/>
      <c r="BV2742" s="342"/>
      <c r="BW2742" s="342"/>
      <c r="BX2742" s="342"/>
      <c r="BY2742" s="342"/>
      <c r="BZ2742" s="342"/>
      <c r="CA2742" s="342"/>
      <c r="CB2742" s="342"/>
      <c r="CC2742" s="342"/>
      <c r="CD2742" s="342"/>
      <c r="CE2742" s="342"/>
      <c r="CF2742" s="342"/>
      <c r="CG2742" s="342"/>
      <c r="CH2742" s="342"/>
      <c r="CI2742" s="342"/>
      <c r="CJ2742" s="342"/>
      <c r="CK2742" s="342"/>
      <c r="CL2742" s="342"/>
      <c r="CM2742" s="342"/>
      <c r="CN2742" s="342"/>
      <c r="CO2742" s="342"/>
      <c r="CP2742" s="342"/>
      <c r="CQ2742" s="342"/>
      <c r="CR2742" s="342"/>
      <c r="CS2742" s="342"/>
      <c r="CT2742" s="342"/>
      <c r="CU2742" s="342"/>
      <c r="CV2742" s="342"/>
      <c r="CW2742" s="342"/>
      <c r="CX2742" s="342"/>
      <c r="CY2742" s="342"/>
      <c r="CZ2742" s="342"/>
      <c r="DA2742" s="342"/>
      <c r="DB2742" s="342"/>
      <c r="DC2742" s="342"/>
      <c r="DD2742" s="342"/>
      <c r="DE2742" s="342"/>
      <c r="DF2742" s="342"/>
      <c r="DG2742" s="342"/>
      <c r="DH2742" s="342"/>
      <c r="DI2742" s="342"/>
      <c r="DJ2742" s="342"/>
      <c r="DK2742" s="342"/>
      <c r="DL2742" s="342"/>
    </row>
    <row r="2743" ht="22.5" customHeight="1">
      <c r="A2743" s="44">
        <v>3026.0</v>
      </c>
      <c r="B2743" s="474" t="s">
        <v>523</v>
      </c>
      <c r="C2743" s="467" t="s">
        <v>115</v>
      </c>
      <c r="D2743" s="467" t="s">
        <v>153</v>
      </c>
      <c r="E2743" s="468"/>
      <c r="F2743" s="2319" t="s">
        <v>16221</v>
      </c>
      <c r="G2743" s="2320" t="s">
        <v>16247</v>
      </c>
      <c r="H2743" s="2319" t="s">
        <v>15921</v>
      </c>
      <c r="I2743" s="2321">
        <v>45821.0</v>
      </c>
      <c r="J2743" s="2322"/>
      <c r="K2743" s="2320" t="s">
        <v>16248</v>
      </c>
      <c r="L2743" s="482"/>
      <c r="M2743" s="2320" t="s">
        <v>16223</v>
      </c>
      <c r="N2743" s="2320" t="s">
        <v>12775</v>
      </c>
      <c r="O2743" s="482"/>
      <c r="P2743" s="2320" t="s">
        <v>12776</v>
      </c>
      <c r="Q2743" s="2323" t="str">
        <f t="array" ref="Q2743"> if(iserror(MATCH(V2743, 'File Links'!C:C, 0)), "N/A", HYPERLINK(INDEX('File Links'!B:B, MATCH(P2743, 'File Links'!C:C, 0))))</f>
        <v>https://drive.google.com/file/d/1LFgNyzLqTELlP9tfS2pwZ6Egg431WCHQ/view?usp=drivesdk</v>
      </c>
      <c r="R2743" s="2320" t="s">
        <v>16224</v>
      </c>
      <c r="S2743" s="2320" t="s">
        <v>16225</v>
      </c>
      <c r="T2743" s="482"/>
      <c r="U2743" s="482"/>
      <c r="V2743" s="2320" t="s">
        <v>16226</v>
      </c>
      <c r="W2743" s="482"/>
      <c r="X2743" s="928" t="str">
        <f t="array" ref="X2743"> if(iserror(MATCH(V2743, 'File Links'!C:C, 0)), "N/A", HYPERLINK(INDEX('File Links'!B:B, MATCH(V2743, 'File Links'!C:C, 0))))</f>
        <v>https://drive.google.com/file/d/1ew0OSVU876rPzVsDvpN47BF_OOdkLKHm/view?usp=drivesdk</v>
      </c>
      <c r="Y2743" s="482"/>
      <c r="Z2743" s="2320" t="s">
        <v>226</v>
      </c>
      <c r="AA2743" s="2320" t="s">
        <v>16241</v>
      </c>
      <c r="AB2743" s="2320" t="s">
        <v>16242</v>
      </c>
      <c r="AC2743" s="2320" t="s">
        <v>16249</v>
      </c>
      <c r="AD2743" s="2320" t="s">
        <v>16250</v>
      </c>
      <c r="AE2743" s="2324">
        <v>7.0</v>
      </c>
      <c r="AF2743" s="2324">
        <v>72.0</v>
      </c>
      <c r="AG2743" s="2324" t="s">
        <v>16245</v>
      </c>
      <c r="AH2743" s="2320" t="s">
        <v>134</v>
      </c>
      <c r="AI2743" s="2320" t="s">
        <v>132</v>
      </c>
      <c r="AJ2743" s="2325">
        <v>0.091</v>
      </c>
      <c r="AK2743" s="482"/>
      <c r="AL2743" s="2320" t="s">
        <v>136</v>
      </c>
      <c r="AM2743" s="2320" t="s">
        <v>137</v>
      </c>
      <c r="AN2743" s="2320" t="s">
        <v>138</v>
      </c>
      <c r="AO2743" s="2325">
        <f>391-43</f>
        <v>348</v>
      </c>
      <c r="AP2743" s="2325" t="s">
        <v>16251</v>
      </c>
      <c r="AQ2743" s="2320" t="s">
        <v>134</v>
      </c>
      <c r="AR2743" s="2319" t="s">
        <v>182</v>
      </c>
      <c r="AS2743" s="2325">
        <v>0.001</v>
      </c>
      <c r="AT2743" s="2320" t="s">
        <v>135</v>
      </c>
      <c r="AU2743" s="2320" t="s">
        <v>186</v>
      </c>
      <c r="AV2743" s="2320" t="s">
        <v>137</v>
      </c>
      <c r="AW2743" s="2326" t="s">
        <v>12786</v>
      </c>
      <c r="AX2743" s="2320" t="s">
        <v>143</v>
      </c>
      <c r="AY2743" s="61" t="str">
        <f>IFERROR(__xludf.DUMMYFUNCTION("vlookup(BB2743,importrange(""https://docs.google.com/spreadsheets/d/1d2vevQ_7D_v35q4wCQ4RpQ_IPoTwEMB9Yp6ymwlPqew/edit?gid=984458430#gid=984458430"", ""'replication success'!A:K""), 11, FAlSE)"),"#N/A")</f>
        <v>#N/A</v>
      </c>
      <c r="AZ2743" s="61" t="str">
        <f>IFERROR(__xludf.DUMMYFUNCTION("vlookup(BB2743,importrange(""https://docs.google.com/spreadsheets/d/1d2vevQ_7D_v35q4wCQ4RpQ_IPoTwEMB9Yp6ymwlPqew/edit?gid=984458430#gid=984458430"", ""'replication success'!A:M""), 12, FAlSE)"),"#N/A")</f>
        <v>#N/A</v>
      </c>
      <c r="BA2743" s="61" t="str">
        <f>IFERROR(__xludf.DUMMYFUNCTION("vlookup(BB2743,importrange(""https://docs.google.com/spreadsheets/d/1d2vevQ_7D_v35q4wCQ4RpQ_IPoTwEMB9Yp6ymwlPqew/edit?gid=984458430#gid=984458430"", ""'replication success'!A:M""), 13, FAlSE)"),"#N/A")</f>
        <v>#N/A</v>
      </c>
      <c r="BB2743" s="61" t="str">
        <f>IFERROR(__xludf.DUMMYFUNCTION("REGEXREPLACE(G2743, ""_[a-z]{1,2}$"", """")"),"add_ai5_combined_excludedparticipants")</f>
        <v>add_ai5_combined_excludedparticipants</v>
      </c>
      <c r="BC2743" s="468"/>
      <c r="BD2743" s="467" t="s">
        <v>16112</v>
      </c>
      <c r="BE2743" s="342"/>
      <c r="BF2743" s="342"/>
      <c r="BG2743" s="342"/>
      <c r="BH2743" s="342"/>
      <c r="BI2743" s="342"/>
      <c r="BJ2743" s="342"/>
      <c r="BK2743" s="342"/>
      <c r="BL2743" s="342"/>
      <c r="BM2743" s="342"/>
      <c r="BN2743" s="342"/>
      <c r="BO2743" s="342"/>
      <c r="BP2743" s="342"/>
      <c r="BQ2743" s="342"/>
      <c r="BR2743" s="342"/>
      <c r="BS2743" s="342"/>
      <c r="BT2743" s="342"/>
      <c r="BU2743" s="342"/>
      <c r="BV2743" s="342"/>
      <c r="BW2743" s="342"/>
      <c r="BX2743" s="342"/>
      <c r="BY2743" s="342"/>
      <c r="BZ2743" s="342"/>
      <c r="CA2743" s="342"/>
      <c r="CB2743" s="342"/>
      <c r="CC2743" s="342"/>
      <c r="CD2743" s="342"/>
      <c r="CE2743" s="342"/>
      <c r="CF2743" s="342"/>
      <c r="CG2743" s="342"/>
      <c r="CH2743" s="342"/>
      <c r="CI2743" s="342"/>
      <c r="CJ2743" s="342"/>
      <c r="CK2743" s="342"/>
      <c r="CL2743" s="342"/>
      <c r="CM2743" s="342"/>
      <c r="CN2743" s="342"/>
      <c r="CO2743" s="342"/>
      <c r="CP2743" s="342"/>
      <c r="CQ2743" s="342"/>
      <c r="CR2743" s="342"/>
      <c r="CS2743" s="342"/>
      <c r="CT2743" s="342"/>
      <c r="CU2743" s="342"/>
      <c r="CV2743" s="342"/>
      <c r="CW2743" s="342"/>
      <c r="CX2743" s="342"/>
      <c r="CY2743" s="342"/>
      <c r="CZ2743" s="342"/>
      <c r="DA2743" s="342"/>
      <c r="DB2743" s="342"/>
      <c r="DC2743" s="342"/>
      <c r="DD2743" s="342"/>
      <c r="DE2743" s="342"/>
      <c r="DF2743" s="342"/>
      <c r="DG2743" s="342"/>
      <c r="DH2743" s="342"/>
      <c r="DI2743" s="342"/>
      <c r="DJ2743" s="342"/>
      <c r="DK2743" s="342"/>
      <c r="DL2743" s="342"/>
    </row>
    <row r="2744">
      <c r="A2744" s="44">
        <v>3021.0</v>
      </c>
      <c r="B2744" s="474" t="s">
        <v>523</v>
      </c>
      <c r="C2744" s="467" t="s">
        <v>115</v>
      </c>
      <c r="D2744" s="467" t="s">
        <v>153</v>
      </c>
      <c r="E2744" s="468"/>
      <c r="F2744" s="2319" t="s">
        <v>16221</v>
      </c>
      <c r="G2744" s="2320" t="s">
        <v>16252</v>
      </c>
      <c r="H2744" s="2319" t="s">
        <v>15921</v>
      </c>
      <c r="I2744" s="2321">
        <v>45821.0</v>
      </c>
      <c r="J2744" s="2322"/>
      <c r="K2744" s="2320" t="s">
        <v>16240</v>
      </c>
      <c r="L2744" s="482"/>
      <c r="M2744" s="2320" t="s">
        <v>16223</v>
      </c>
      <c r="N2744" s="2320" t="s">
        <v>12775</v>
      </c>
      <c r="O2744" s="482"/>
      <c r="P2744" s="2320" t="s">
        <v>12776</v>
      </c>
      <c r="Q2744" s="2323" t="str">
        <f t="array" ref="Q2744"> if(iserror(MATCH(V2744, 'File Links'!C:C, 0)), "N/A", HYPERLINK(INDEX('File Links'!B:B, MATCH(P2744, 'File Links'!C:C, 0))))</f>
        <v>https://drive.google.com/file/d/1LFgNyzLqTELlP9tfS2pwZ6Egg431WCHQ/view?usp=drivesdk</v>
      </c>
      <c r="R2744" s="2320" t="s">
        <v>16224</v>
      </c>
      <c r="S2744" s="2320" t="s">
        <v>16225</v>
      </c>
      <c r="T2744" s="482"/>
      <c r="U2744" s="482"/>
      <c r="V2744" s="2320" t="s">
        <v>16226</v>
      </c>
      <c r="W2744" s="482"/>
      <c r="X2744" s="928" t="str">
        <f t="array" ref="X2744"> if(iserror(MATCH(V2744, 'File Links'!C:C, 0)), "N/A", HYPERLINK(INDEX('File Links'!B:B, MATCH(V2744, 'File Links'!C:C, 0))))</f>
        <v>https://drive.google.com/file/d/1ew0OSVU876rPzVsDvpN47BF_OOdkLKHm/view?usp=drivesdk</v>
      </c>
      <c r="Y2744" s="482"/>
      <c r="Z2744" s="2320" t="s">
        <v>226</v>
      </c>
      <c r="AA2744" s="2320" t="s">
        <v>16241</v>
      </c>
      <c r="AB2744" s="2320" t="s">
        <v>16242</v>
      </c>
      <c r="AC2744" s="2320" t="s">
        <v>16253</v>
      </c>
      <c r="AD2744" s="2320" t="s">
        <v>16250</v>
      </c>
      <c r="AE2744" s="2324">
        <v>7.0</v>
      </c>
      <c r="AF2744" s="2324">
        <v>72.0</v>
      </c>
      <c r="AG2744" s="2324">
        <v>0.0</v>
      </c>
      <c r="AH2744" s="2320" t="s">
        <v>134</v>
      </c>
      <c r="AI2744" s="2320" t="s">
        <v>132</v>
      </c>
      <c r="AJ2744" s="929" t="s">
        <v>138</v>
      </c>
      <c r="AK2744" s="929" t="s">
        <v>138</v>
      </c>
      <c r="AL2744" s="2320" t="s">
        <v>136</v>
      </c>
      <c r="AM2744" s="2320" t="s">
        <v>137</v>
      </c>
      <c r="AN2744" s="2320" t="s">
        <v>138</v>
      </c>
      <c r="AO2744" s="2324">
        <v>391.0</v>
      </c>
      <c r="AP2744" s="2324" t="s">
        <v>16254</v>
      </c>
      <c r="AQ2744" s="2320" t="s">
        <v>134</v>
      </c>
      <c r="AR2744" s="2320" t="s">
        <v>627</v>
      </c>
      <c r="AS2744" s="2324">
        <v>0.1</v>
      </c>
      <c r="AT2744" s="2320" t="s">
        <v>172</v>
      </c>
      <c r="AU2744" s="2320" t="s">
        <v>186</v>
      </c>
      <c r="AV2744" s="2320" t="s">
        <v>137</v>
      </c>
      <c r="AW2744" s="2326" t="s">
        <v>12786</v>
      </c>
      <c r="AX2744" s="2320" t="s">
        <v>143</v>
      </c>
      <c r="AY2744" s="61" t="str">
        <f>IFERROR(__xludf.DUMMYFUNCTION("vlookup(BB2744,importrange(""https://docs.google.com/spreadsheets/d/1d2vevQ_7D_v35q4wCQ4RpQ_IPoTwEMB9Yp6ymwlPqew/edit?gid=984458430#gid=984458430"", ""'replication success'!A:K""), 11, FAlSE)"),"#N/A")</f>
        <v>#N/A</v>
      </c>
      <c r="AZ2744" s="61" t="str">
        <f>IFERROR(__xludf.DUMMYFUNCTION("vlookup(BB2744,importrange(""https://docs.google.com/spreadsheets/d/1d2vevQ_7D_v35q4wCQ4RpQ_IPoTwEMB9Yp6ymwlPqew/edit?gid=984458430#gid=984458430"", ""'replication success'!A:M""), 12, FAlSE)"),"#N/A")</f>
        <v>#N/A</v>
      </c>
      <c r="BA2744" s="61" t="str">
        <f>IFERROR(__xludf.DUMMYFUNCTION("vlookup(BB2744,importrange(""https://docs.google.com/spreadsheets/d/1d2vevQ_7D_v35q4wCQ4RpQ_IPoTwEMB9Yp6ymwlPqew/edit?gid=984458430#gid=984458430"", ""'replication success'!A:M""), 13, FAlSE)"),"#N/A")</f>
        <v>#N/A</v>
      </c>
      <c r="BB2744" s="61" t="str">
        <f>IFERROR(__xludf.DUMMYFUNCTION("REGEXREPLACE(G2744, ""_[a-z]{1,2}$"", """")"),"add_ai5_controls")</f>
        <v>add_ai5_controls</v>
      </c>
      <c r="BC2744" s="468"/>
      <c r="BD2744" s="467" t="s">
        <v>16112</v>
      </c>
      <c r="BE2744" s="342"/>
      <c r="BF2744" s="342"/>
      <c r="BG2744" s="342"/>
      <c r="BH2744" s="342"/>
      <c r="BI2744" s="342"/>
      <c r="BJ2744" s="342"/>
      <c r="BK2744" s="342"/>
      <c r="BL2744" s="342"/>
      <c r="BM2744" s="342"/>
      <c r="BN2744" s="342"/>
      <c r="BO2744" s="342"/>
      <c r="BP2744" s="342"/>
      <c r="BQ2744" s="342"/>
      <c r="BR2744" s="342"/>
      <c r="BS2744" s="342"/>
      <c r="BT2744" s="342"/>
      <c r="BU2744" s="342"/>
      <c r="BV2744" s="342"/>
      <c r="BW2744" s="342"/>
      <c r="BX2744" s="342"/>
      <c r="BY2744" s="342"/>
      <c r="BZ2744" s="342"/>
      <c r="CA2744" s="342"/>
      <c r="CB2744" s="342"/>
      <c r="CC2744" s="342"/>
      <c r="CD2744" s="342"/>
      <c r="CE2744" s="342"/>
      <c r="CF2744" s="342"/>
      <c r="CG2744" s="342"/>
      <c r="CH2744" s="342"/>
      <c r="CI2744" s="342"/>
      <c r="CJ2744" s="342"/>
      <c r="CK2744" s="342"/>
      <c r="CL2744" s="342"/>
      <c r="CM2744" s="342"/>
      <c r="CN2744" s="342"/>
      <c r="CO2744" s="342"/>
      <c r="CP2744" s="342"/>
      <c r="CQ2744" s="342"/>
      <c r="CR2744" s="342"/>
      <c r="CS2744" s="342"/>
      <c r="CT2744" s="342"/>
      <c r="CU2744" s="342"/>
      <c r="CV2744" s="342"/>
      <c r="CW2744" s="342"/>
      <c r="CX2744" s="342"/>
      <c r="CY2744" s="342"/>
      <c r="CZ2744" s="342"/>
      <c r="DA2744" s="342"/>
      <c r="DB2744" s="342"/>
      <c r="DC2744" s="342"/>
      <c r="DD2744" s="342"/>
      <c r="DE2744" s="342"/>
      <c r="DF2744" s="342"/>
      <c r="DG2744" s="342"/>
      <c r="DH2744" s="342"/>
      <c r="DI2744" s="342"/>
      <c r="DJ2744" s="342"/>
      <c r="DK2744" s="342"/>
      <c r="DL2744" s="342"/>
    </row>
    <row r="2745" ht="24.0" customHeight="1">
      <c r="A2745" s="44">
        <v>3025.0</v>
      </c>
      <c r="B2745" s="474" t="s">
        <v>523</v>
      </c>
      <c r="C2745" s="467" t="s">
        <v>115</v>
      </c>
      <c r="D2745" s="467" t="s">
        <v>153</v>
      </c>
      <c r="E2745" s="468"/>
      <c r="F2745" s="2319" t="s">
        <v>16221</v>
      </c>
      <c r="G2745" s="2320" t="s">
        <v>16255</v>
      </c>
      <c r="H2745" s="2319" t="s">
        <v>15921</v>
      </c>
      <c r="I2745" s="2321">
        <v>45821.0</v>
      </c>
      <c r="J2745" s="2322"/>
      <c r="K2745" s="2320" t="s">
        <v>16248</v>
      </c>
      <c r="L2745" s="482"/>
      <c r="M2745" s="2320" t="s">
        <v>16223</v>
      </c>
      <c r="N2745" s="2320" t="s">
        <v>12775</v>
      </c>
      <c r="O2745" s="482"/>
      <c r="P2745" s="2320" t="s">
        <v>12776</v>
      </c>
      <c r="Q2745" s="2323" t="str">
        <f t="array" ref="Q2745"> if(iserror(MATCH(V2745, 'File Links'!C:C, 0)), "N/A", HYPERLINK(INDEX('File Links'!B:B, MATCH(P2745, 'File Links'!C:C, 0))))</f>
        <v>https://drive.google.com/file/d/1LFgNyzLqTELlP9tfS2pwZ6Egg431WCHQ/view?usp=drivesdk</v>
      </c>
      <c r="R2745" s="2320" t="s">
        <v>16224</v>
      </c>
      <c r="S2745" s="2320" t="s">
        <v>16225</v>
      </c>
      <c r="T2745" s="482"/>
      <c r="U2745" s="482"/>
      <c r="V2745" s="2320" t="s">
        <v>16226</v>
      </c>
      <c r="W2745" s="482"/>
      <c r="X2745" s="928" t="str">
        <f t="array" ref="X2745"> if(iserror(MATCH(V2745, 'File Links'!C:C, 0)), "N/A", HYPERLINK(INDEX('File Links'!B:B, MATCH(V2745, 'File Links'!C:C, 0))))</f>
        <v>https://drive.google.com/file/d/1ew0OSVU876rPzVsDvpN47BF_OOdkLKHm/view?usp=drivesdk</v>
      </c>
      <c r="Y2745" s="482"/>
      <c r="Z2745" s="2320" t="s">
        <v>226</v>
      </c>
      <c r="AA2745" s="2320" t="s">
        <v>16241</v>
      </c>
      <c r="AB2745" s="2320" t="s">
        <v>16242</v>
      </c>
      <c r="AC2745" s="2320" t="s">
        <v>16256</v>
      </c>
      <c r="AD2745" s="2320" t="s">
        <v>16250</v>
      </c>
      <c r="AE2745" s="2324">
        <v>7.0</v>
      </c>
      <c r="AF2745" s="2324">
        <v>72.0</v>
      </c>
      <c r="AG2745" s="2324">
        <v>0.0</v>
      </c>
      <c r="AH2745" s="2320" t="s">
        <v>134</v>
      </c>
      <c r="AI2745" s="2320" t="s">
        <v>132</v>
      </c>
      <c r="AJ2745" s="929" t="s">
        <v>138</v>
      </c>
      <c r="AK2745" s="929" t="s">
        <v>138</v>
      </c>
      <c r="AL2745" s="2320" t="s">
        <v>136</v>
      </c>
      <c r="AM2745" s="2320" t="s">
        <v>137</v>
      </c>
      <c r="AN2745" s="2320" t="s">
        <v>138</v>
      </c>
      <c r="AO2745" s="2325">
        <f>391-43</f>
        <v>348</v>
      </c>
      <c r="AP2745" s="2325" t="s">
        <v>16257</v>
      </c>
      <c r="AQ2745" s="2320" t="s">
        <v>134</v>
      </c>
      <c r="AR2745" s="2319" t="s">
        <v>182</v>
      </c>
      <c r="AS2745" s="2325">
        <v>0.001</v>
      </c>
      <c r="AT2745" s="2320" t="s">
        <v>135</v>
      </c>
      <c r="AU2745" s="2320" t="s">
        <v>186</v>
      </c>
      <c r="AV2745" s="2320" t="s">
        <v>137</v>
      </c>
      <c r="AW2745" s="2326" t="s">
        <v>12786</v>
      </c>
      <c r="AX2745" s="2320" t="s">
        <v>143</v>
      </c>
      <c r="AY2745" s="61" t="str">
        <f>IFERROR(__xludf.DUMMYFUNCTION("vlookup(BB2745,importrange(""https://docs.google.com/spreadsheets/d/1d2vevQ_7D_v35q4wCQ4RpQ_IPoTwEMB9Yp6ymwlPqew/edit?gid=984458430#gid=984458430"", ""'replication success'!A:K""), 11, FAlSE)"),"#N/A")</f>
        <v>#N/A</v>
      </c>
      <c r="AZ2745" s="61" t="str">
        <f>IFERROR(__xludf.DUMMYFUNCTION("vlookup(BB2745,importrange(""https://docs.google.com/spreadsheets/d/1d2vevQ_7D_v35q4wCQ4RpQ_IPoTwEMB9Yp6ymwlPqew/edit?gid=984458430#gid=984458430"", ""'replication success'!A:M""), 12, FAlSE)"),"#N/A")</f>
        <v>#N/A</v>
      </c>
      <c r="BA2745" s="61" t="str">
        <f>IFERROR(__xludf.DUMMYFUNCTION("vlookup(BB2745,importrange(""https://docs.google.com/spreadsheets/d/1d2vevQ_7D_v35q4wCQ4RpQ_IPoTwEMB9Yp6ymwlPqew/edit?gid=984458430#gid=984458430"", ""'replication success'!A:M""), 13, FAlSE)"),"#N/A")</f>
        <v>#N/A</v>
      </c>
      <c r="BB2745" s="61" t="str">
        <f>IFERROR(__xludf.DUMMYFUNCTION("REGEXREPLACE(G2745, ""_[a-z]{1,2}$"", """")"),"add_ai5_controls_excludedparticipants")</f>
        <v>add_ai5_controls_excludedparticipants</v>
      </c>
      <c r="BC2745" s="468"/>
      <c r="BD2745" s="467" t="s">
        <v>16112</v>
      </c>
      <c r="BE2745" s="342"/>
      <c r="BF2745" s="342"/>
      <c r="BG2745" s="342"/>
      <c r="BH2745" s="342"/>
      <c r="BI2745" s="342"/>
      <c r="BJ2745" s="342"/>
      <c r="BK2745" s="342"/>
      <c r="BL2745" s="342"/>
      <c r="BM2745" s="342"/>
      <c r="BN2745" s="342"/>
      <c r="BO2745" s="342"/>
      <c r="BP2745" s="342"/>
      <c r="BQ2745" s="342"/>
      <c r="BR2745" s="342"/>
      <c r="BS2745" s="342"/>
      <c r="BT2745" s="342"/>
      <c r="BU2745" s="342"/>
      <c r="BV2745" s="342"/>
      <c r="BW2745" s="342"/>
      <c r="BX2745" s="342"/>
      <c r="BY2745" s="342"/>
      <c r="BZ2745" s="342"/>
      <c r="CA2745" s="342"/>
      <c r="CB2745" s="342"/>
      <c r="CC2745" s="342"/>
      <c r="CD2745" s="342"/>
      <c r="CE2745" s="342"/>
      <c r="CF2745" s="342"/>
      <c r="CG2745" s="342"/>
      <c r="CH2745" s="342"/>
      <c r="CI2745" s="342"/>
      <c r="CJ2745" s="342"/>
      <c r="CK2745" s="342"/>
      <c r="CL2745" s="342"/>
      <c r="CM2745" s="342"/>
      <c r="CN2745" s="342"/>
      <c r="CO2745" s="342"/>
      <c r="CP2745" s="342"/>
      <c r="CQ2745" s="342"/>
      <c r="CR2745" s="342"/>
      <c r="CS2745" s="342"/>
      <c r="CT2745" s="342"/>
      <c r="CU2745" s="342"/>
      <c r="CV2745" s="342"/>
      <c r="CW2745" s="342"/>
      <c r="CX2745" s="342"/>
      <c r="CY2745" s="342"/>
      <c r="CZ2745" s="342"/>
      <c r="DA2745" s="342"/>
      <c r="DB2745" s="342"/>
      <c r="DC2745" s="342"/>
      <c r="DD2745" s="342"/>
      <c r="DE2745" s="342"/>
      <c r="DF2745" s="342"/>
      <c r="DG2745" s="342"/>
      <c r="DH2745" s="342"/>
      <c r="DI2745" s="342"/>
      <c r="DJ2745" s="342"/>
      <c r="DK2745" s="342"/>
      <c r="DL2745" s="342"/>
    </row>
    <row r="2746">
      <c r="A2746" s="44">
        <v>3023.0</v>
      </c>
      <c r="B2746" s="474" t="s">
        <v>523</v>
      </c>
      <c r="C2746" s="467" t="s">
        <v>115</v>
      </c>
      <c r="D2746" s="467" t="s">
        <v>153</v>
      </c>
      <c r="E2746" s="468"/>
      <c r="F2746" s="2319" t="s">
        <v>16221</v>
      </c>
      <c r="G2746" s="2320" t="s">
        <v>16258</v>
      </c>
      <c r="H2746" s="2319" t="s">
        <v>15921</v>
      </c>
      <c r="I2746" s="2321">
        <v>45821.0</v>
      </c>
      <c r="J2746" s="2322"/>
      <c r="K2746" s="2320" t="s">
        <v>16240</v>
      </c>
      <c r="L2746" s="482"/>
      <c r="M2746" s="2320" t="s">
        <v>16223</v>
      </c>
      <c r="N2746" s="2320" t="s">
        <v>12775</v>
      </c>
      <c r="O2746" s="482"/>
      <c r="P2746" s="2320" t="s">
        <v>12776</v>
      </c>
      <c r="Q2746" s="2323" t="str">
        <f t="array" ref="Q2746"> if(iserror(MATCH(V2746, 'File Links'!C:C, 0)), "N/A", HYPERLINK(INDEX('File Links'!B:B, MATCH(P2746, 'File Links'!C:C, 0))))</f>
        <v>https://drive.google.com/file/d/1LFgNyzLqTELlP9tfS2pwZ6Egg431WCHQ/view?usp=drivesdk</v>
      </c>
      <c r="R2746" s="2320" t="s">
        <v>16224</v>
      </c>
      <c r="S2746" s="2320" t="s">
        <v>16225</v>
      </c>
      <c r="T2746" s="482"/>
      <c r="U2746" s="482"/>
      <c r="V2746" s="2320" t="s">
        <v>16226</v>
      </c>
      <c r="W2746" s="482"/>
      <c r="X2746" s="928" t="str">
        <f t="array" ref="X2746"> if(iserror(MATCH(V2746, 'File Links'!C:C, 0)), "N/A", HYPERLINK(INDEX('File Links'!B:B, MATCH(V2746, 'File Links'!C:C, 0))))</f>
        <v>https://drive.google.com/file/d/1ew0OSVU876rPzVsDvpN47BF_OOdkLKHm/view?usp=drivesdk</v>
      </c>
      <c r="Y2746" s="482"/>
      <c r="Z2746" s="2320" t="s">
        <v>226</v>
      </c>
      <c r="AA2746" s="2320" t="s">
        <v>16241</v>
      </c>
      <c r="AB2746" s="2320" t="s">
        <v>16242</v>
      </c>
      <c r="AC2746" s="2320" t="s">
        <v>16259</v>
      </c>
      <c r="AD2746" s="2320" t="s">
        <v>16260</v>
      </c>
      <c r="AE2746" s="2324">
        <v>7.0</v>
      </c>
      <c r="AF2746" s="2324">
        <v>72.0</v>
      </c>
      <c r="AG2746" s="2324">
        <f t="shared" ref="AG2746:AG2749" si="136">(0.541/(1-0.541))/(0.333/(1-0.333))</f>
        <v>2.360837962</v>
      </c>
      <c r="AH2746" s="2320" t="s">
        <v>722</v>
      </c>
      <c r="AI2746" s="2320" t="s">
        <v>132</v>
      </c>
      <c r="AJ2746" s="929" t="s">
        <v>138</v>
      </c>
      <c r="AK2746" s="929" t="s">
        <v>138</v>
      </c>
      <c r="AL2746" s="2320" t="s">
        <v>136</v>
      </c>
      <c r="AM2746" s="2320" t="s">
        <v>137</v>
      </c>
      <c r="AN2746" s="2320" t="s">
        <v>138</v>
      </c>
      <c r="AO2746" s="2324">
        <v>391.0</v>
      </c>
      <c r="AP2746" s="2325" t="s">
        <v>16261</v>
      </c>
      <c r="AQ2746" s="2320" t="s">
        <v>134</v>
      </c>
      <c r="AR2746" s="2320" t="s">
        <v>627</v>
      </c>
      <c r="AS2746" s="2325">
        <v>0.034</v>
      </c>
      <c r="AT2746" s="2320" t="s">
        <v>172</v>
      </c>
      <c r="AU2746" s="2320" t="s">
        <v>186</v>
      </c>
      <c r="AV2746" s="2320" t="s">
        <v>137</v>
      </c>
      <c r="AW2746" s="2326" t="s">
        <v>12786</v>
      </c>
      <c r="AX2746" s="2320" t="s">
        <v>143</v>
      </c>
      <c r="AY2746" s="61" t="str">
        <f>IFERROR(__xludf.DUMMYFUNCTION("vlookup(BB2746,importrange(""https://docs.google.com/spreadsheets/d/1d2vevQ_7D_v35q4wCQ4RpQ_IPoTwEMB9Yp6ymwlPqew/edit?gid=984458430#gid=984458430"", ""'replication success'!A:K""), 11, FAlSE)"),"#N/A")</f>
        <v>#N/A</v>
      </c>
      <c r="AZ2746" s="61" t="str">
        <f>IFERROR(__xludf.DUMMYFUNCTION("vlookup(BB2746,importrange(""https://docs.google.com/spreadsheets/d/1d2vevQ_7D_v35q4wCQ4RpQ_IPoTwEMB9Yp6ymwlPqew/edit?gid=984458430#gid=984458430"", ""'replication success'!A:M""), 12, FAlSE)"),"#N/A")</f>
        <v>#N/A</v>
      </c>
      <c r="BA2746" s="61" t="str">
        <f>IFERROR(__xludf.DUMMYFUNCTION("vlookup(BB2746,importrange(""https://docs.google.com/spreadsheets/d/1d2vevQ_7D_v35q4wCQ4RpQ_IPoTwEMB9Yp6ymwlPqew/edit?gid=984458430#gid=984458430"", ""'replication success'!A:M""), 13, FAlSE)"),"#N/A")</f>
        <v>#N/A</v>
      </c>
      <c r="BB2746" s="61" t="str">
        <f>IFERROR(__xludf.DUMMYFUNCTION("REGEXREPLACE(G2746, ""_[a-z]{1,2}$"", """")"),"add_ai5_equivalent")</f>
        <v>add_ai5_equivalent</v>
      </c>
      <c r="BC2746" s="468"/>
      <c r="BD2746" s="467" t="s">
        <v>16112</v>
      </c>
      <c r="BE2746" s="342"/>
      <c r="BF2746" s="342"/>
      <c r="BG2746" s="342"/>
      <c r="BH2746" s="342"/>
      <c r="BI2746" s="342"/>
      <c r="BJ2746" s="342"/>
      <c r="BK2746" s="342"/>
      <c r="BL2746" s="342"/>
      <c r="BM2746" s="342"/>
      <c r="BN2746" s="342"/>
      <c r="BO2746" s="342"/>
      <c r="BP2746" s="342"/>
      <c r="BQ2746" s="342"/>
      <c r="BR2746" s="342"/>
      <c r="BS2746" s="342"/>
      <c r="BT2746" s="342"/>
      <c r="BU2746" s="342"/>
      <c r="BV2746" s="342"/>
      <c r="BW2746" s="342"/>
      <c r="BX2746" s="342"/>
      <c r="BY2746" s="342"/>
      <c r="BZ2746" s="342"/>
      <c r="CA2746" s="342"/>
      <c r="CB2746" s="342"/>
      <c r="CC2746" s="342"/>
      <c r="CD2746" s="342"/>
      <c r="CE2746" s="342"/>
      <c r="CF2746" s="342"/>
      <c r="CG2746" s="342"/>
      <c r="CH2746" s="342"/>
      <c r="CI2746" s="342"/>
      <c r="CJ2746" s="342"/>
      <c r="CK2746" s="342"/>
      <c r="CL2746" s="342"/>
      <c r="CM2746" s="342"/>
      <c r="CN2746" s="342"/>
      <c r="CO2746" s="342"/>
      <c r="CP2746" s="342"/>
      <c r="CQ2746" s="342"/>
      <c r="CR2746" s="342"/>
      <c r="CS2746" s="342"/>
      <c r="CT2746" s="342"/>
      <c r="CU2746" s="342"/>
      <c r="CV2746" s="342"/>
      <c r="CW2746" s="342"/>
      <c r="CX2746" s="342"/>
      <c r="CY2746" s="342"/>
      <c r="CZ2746" s="342"/>
      <c r="DA2746" s="342"/>
      <c r="DB2746" s="342"/>
      <c r="DC2746" s="342"/>
      <c r="DD2746" s="342"/>
      <c r="DE2746" s="342"/>
      <c r="DF2746" s="342"/>
      <c r="DG2746" s="342"/>
      <c r="DH2746" s="342"/>
      <c r="DI2746" s="342"/>
      <c r="DJ2746" s="342"/>
      <c r="DK2746" s="342"/>
      <c r="DL2746" s="342"/>
    </row>
    <row r="2747" ht="21.0" customHeight="1">
      <c r="A2747" s="44">
        <v>3027.0</v>
      </c>
      <c r="B2747" s="474" t="s">
        <v>523</v>
      </c>
      <c r="C2747" s="467" t="s">
        <v>115</v>
      </c>
      <c r="D2747" s="467" t="s">
        <v>153</v>
      </c>
      <c r="E2747" s="468"/>
      <c r="F2747" s="2319" t="s">
        <v>16221</v>
      </c>
      <c r="G2747" s="2320" t="s">
        <v>16262</v>
      </c>
      <c r="H2747" s="2319" t="s">
        <v>15921</v>
      </c>
      <c r="I2747" s="2321">
        <v>45821.0</v>
      </c>
      <c r="J2747" s="2322"/>
      <c r="K2747" s="2320" t="s">
        <v>16248</v>
      </c>
      <c r="L2747" s="482"/>
      <c r="M2747" s="2320" t="s">
        <v>16223</v>
      </c>
      <c r="N2747" s="2320" t="s">
        <v>12775</v>
      </c>
      <c r="O2747" s="482"/>
      <c r="P2747" s="2320" t="s">
        <v>12776</v>
      </c>
      <c r="Q2747" s="2323" t="str">
        <f t="array" ref="Q2747"> if(iserror(MATCH(V2747, 'File Links'!C:C, 0)), "N/A", HYPERLINK(INDEX('File Links'!B:B, MATCH(P2747, 'File Links'!C:C, 0))))</f>
        <v>https://drive.google.com/file/d/1LFgNyzLqTELlP9tfS2pwZ6Egg431WCHQ/view?usp=drivesdk</v>
      </c>
      <c r="R2747" s="2320" t="s">
        <v>16224</v>
      </c>
      <c r="S2747" s="2320" t="s">
        <v>16225</v>
      </c>
      <c r="T2747" s="482"/>
      <c r="U2747" s="482"/>
      <c r="V2747" s="2320" t="s">
        <v>16226</v>
      </c>
      <c r="W2747" s="482"/>
      <c r="X2747" s="928" t="str">
        <f t="array" ref="X2747"> if(iserror(MATCH(V2747, 'File Links'!C:C, 0)), "N/A", HYPERLINK(INDEX('File Links'!B:B, MATCH(V2747, 'File Links'!C:C, 0))))</f>
        <v>https://drive.google.com/file/d/1ew0OSVU876rPzVsDvpN47BF_OOdkLKHm/view?usp=drivesdk</v>
      </c>
      <c r="Y2747" s="482"/>
      <c r="Z2747" s="2320" t="s">
        <v>226</v>
      </c>
      <c r="AA2747" s="2320" t="s">
        <v>16241</v>
      </c>
      <c r="AB2747" s="2320" t="s">
        <v>16242</v>
      </c>
      <c r="AC2747" s="2320" t="s">
        <v>16263</v>
      </c>
      <c r="AD2747" s="2320" t="s">
        <v>16250</v>
      </c>
      <c r="AE2747" s="2324">
        <v>7.0</v>
      </c>
      <c r="AF2747" s="2324">
        <v>72.0</v>
      </c>
      <c r="AG2747" s="2324">
        <f t="shared" si="136"/>
        <v>2.360837962</v>
      </c>
      <c r="AH2747" s="2320" t="s">
        <v>134</v>
      </c>
      <c r="AI2747" s="2320" t="s">
        <v>132</v>
      </c>
      <c r="AJ2747" s="929" t="s">
        <v>138</v>
      </c>
      <c r="AK2747" s="929" t="s">
        <v>138</v>
      </c>
      <c r="AL2747" s="2320" t="s">
        <v>136</v>
      </c>
      <c r="AM2747" s="2320" t="s">
        <v>137</v>
      </c>
      <c r="AN2747" s="2320" t="s">
        <v>138</v>
      </c>
      <c r="AO2747" s="2325">
        <f>391-43</f>
        <v>348</v>
      </c>
      <c r="AP2747" s="2325" t="s">
        <v>16261</v>
      </c>
      <c r="AQ2747" s="2320" t="s">
        <v>134</v>
      </c>
      <c r="AR2747" s="2319" t="s">
        <v>182</v>
      </c>
      <c r="AS2747" s="2325">
        <v>0.034</v>
      </c>
      <c r="AT2747" s="2320" t="s">
        <v>172</v>
      </c>
      <c r="AU2747" s="2320" t="s">
        <v>186</v>
      </c>
      <c r="AV2747" s="2320" t="s">
        <v>137</v>
      </c>
      <c r="AW2747" s="2326" t="s">
        <v>12786</v>
      </c>
      <c r="AX2747" s="2320" t="s">
        <v>143</v>
      </c>
      <c r="AY2747" s="61" t="str">
        <f>IFERROR(__xludf.DUMMYFUNCTION("vlookup(BB2747,importrange(""https://docs.google.com/spreadsheets/d/1d2vevQ_7D_v35q4wCQ4RpQ_IPoTwEMB9Yp6ymwlPqew/edit?gid=984458430#gid=984458430"", ""'replication success'!A:K""), 11, FAlSE)"),"#N/A")</f>
        <v>#N/A</v>
      </c>
      <c r="AZ2747" s="61" t="str">
        <f>IFERROR(__xludf.DUMMYFUNCTION("vlookup(BB2747,importrange(""https://docs.google.com/spreadsheets/d/1d2vevQ_7D_v35q4wCQ4RpQ_IPoTwEMB9Yp6ymwlPqew/edit?gid=984458430#gid=984458430"", ""'replication success'!A:M""), 12, FAlSE)"),"#N/A")</f>
        <v>#N/A</v>
      </c>
      <c r="BA2747" s="61" t="str">
        <f>IFERROR(__xludf.DUMMYFUNCTION("vlookup(BB2747,importrange(""https://docs.google.com/spreadsheets/d/1d2vevQ_7D_v35q4wCQ4RpQ_IPoTwEMB9Yp6ymwlPqew/edit?gid=984458430#gid=984458430"", ""'replication success'!A:M""), 13, FAlSE)"),"#N/A")</f>
        <v>#N/A</v>
      </c>
      <c r="BB2747" s="61" t="str">
        <f>IFERROR(__xludf.DUMMYFUNCTION("REGEXREPLACE(G2747, ""_[a-z]{1,2}$"", """")"),"add_ai5_equivalent_excludedparticipants")</f>
        <v>add_ai5_equivalent_excludedparticipants</v>
      </c>
      <c r="BC2747" s="467"/>
      <c r="BD2747" s="467" t="s">
        <v>16112</v>
      </c>
      <c r="BE2747" s="342"/>
      <c r="BF2747" s="342"/>
      <c r="BG2747" s="342"/>
      <c r="BH2747" s="342"/>
      <c r="BI2747" s="342"/>
      <c r="BJ2747" s="342"/>
      <c r="BK2747" s="342"/>
      <c r="BL2747" s="342"/>
      <c r="BM2747" s="342"/>
      <c r="BN2747" s="342"/>
      <c r="BO2747" s="342"/>
      <c r="BP2747" s="342"/>
      <c r="BQ2747" s="342"/>
      <c r="BR2747" s="342"/>
      <c r="BS2747" s="342"/>
      <c r="BT2747" s="342"/>
      <c r="BU2747" s="342"/>
      <c r="BV2747" s="342"/>
      <c r="BW2747" s="342"/>
      <c r="BX2747" s="342"/>
      <c r="BY2747" s="342"/>
      <c r="BZ2747" s="342"/>
      <c r="CA2747" s="342"/>
      <c r="CB2747" s="342"/>
      <c r="CC2747" s="342"/>
      <c r="CD2747" s="342"/>
      <c r="CE2747" s="342"/>
      <c r="CF2747" s="342"/>
      <c r="CG2747" s="342"/>
      <c r="CH2747" s="342"/>
      <c r="CI2747" s="342"/>
      <c r="CJ2747" s="342"/>
      <c r="CK2747" s="342"/>
      <c r="CL2747" s="342"/>
      <c r="CM2747" s="342"/>
      <c r="CN2747" s="342"/>
      <c r="CO2747" s="342"/>
      <c r="CP2747" s="342"/>
      <c r="CQ2747" s="342"/>
      <c r="CR2747" s="342"/>
      <c r="CS2747" s="342"/>
      <c r="CT2747" s="342"/>
      <c r="CU2747" s="342"/>
      <c r="CV2747" s="342"/>
      <c r="CW2747" s="342"/>
      <c r="CX2747" s="342"/>
      <c r="CY2747" s="342"/>
      <c r="CZ2747" s="342"/>
      <c r="DA2747" s="342"/>
      <c r="DB2747" s="342"/>
      <c r="DC2747" s="342"/>
      <c r="DD2747" s="342"/>
      <c r="DE2747" s="342"/>
      <c r="DF2747" s="342"/>
      <c r="DG2747" s="342"/>
      <c r="DH2747" s="342"/>
      <c r="DI2747" s="342"/>
      <c r="DJ2747" s="342"/>
      <c r="DK2747" s="342"/>
      <c r="DL2747" s="342"/>
    </row>
    <row r="2748">
      <c r="A2748" s="44">
        <v>3024.0</v>
      </c>
      <c r="B2748" s="474" t="s">
        <v>523</v>
      </c>
      <c r="C2748" s="467" t="s">
        <v>115</v>
      </c>
      <c r="D2748" s="467" t="s">
        <v>153</v>
      </c>
      <c r="E2748" s="468"/>
      <c r="F2748" s="2319" t="s">
        <v>16221</v>
      </c>
      <c r="G2748" s="2320" t="s">
        <v>16264</v>
      </c>
      <c r="H2748" s="2319" t="s">
        <v>15921</v>
      </c>
      <c r="I2748" s="2321">
        <v>45821.0</v>
      </c>
      <c r="J2748" s="2322"/>
      <c r="K2748" s="2320" t="s">
        <v>16240</v>
      </c>
      <c r="L2748" s="482"/>
      <c r="M2748" s="2320" t="s">
        <v>16223</v>
      </c>
      <c r="N2748" s="2320" t="s">
        <v>12775</v>
      </c>
      <c r="O2748" s="482"/>
      <c r="P2748" s="2320" t="s">
        <v>12776</v>
      </c>
      <c r="Q2748" s="2323" t="str">
        <f t="array" ref="Q2748"> if(iserror(MATCH(V2748, 'File Links'!C:C, 0)), "N/A", HYPERLINK(INDEX('File Links'!B:B, MATCH(P2748, 'File Links'!C:C, 0))))</f>
        <v>https://drive.google.com/file/d/1LFgNyzLqTELlP9tfS2pwZ6Egg431WCHQ/view?usp=drivesdk</v>
      </c>
      <c r="R2748" s="2320" t="s">
        <v>16224</v>
      </c>
      <c r="S2748" s="2320" t="s">
        <v>16225</v>
      </c>
      <c r="T2748" s="482"/>
      <c r="U2748" s="482"/>
      <c r="V2748" s="2320" t="s">
        <v>16226</v>
      </c>
      <c r="W2748" s="482"/>
      <c r="X2748" s="928" t="str">
        <f t="array" ref="X2748"> if(iserror(MATCH(V2748, 'File Links'!C:C, 0)), "N/A", HYPERLINK(INDEX('File Links'!B:B, MATCH(V2748, 'File Links'!C:C, 0))))</f>
        <v>https://drive.google.com/file/d/1ew0OSVU876rPzVsDvpN47BF_OOdkLKHm/view?usp=drivesdk</v>
      </c>
      <c r="Y2748" s="482"/>
      <c r="Z2748" s="2320" t="s">
        <v>226</v>
      </c>
      <c r="AA2748" s="2320" t="s">
        <v>16241</v>
      </c>
      <c r="AB2748" s="2320" t="s">
        <v>16242</v>
      </c>
      <c r="AC2748" s="2320" t="s">
        <v>16265</v>
      </c>
      <c r="AD2748" s="2320" t="s">
        <v>16260</v>
      </c>
      <c r="AE2748" s="2324">
        <v>7.0</v>
      </c>
      <c r="AF2748" s="2324">
        <v>72.0</v>
      </c>
      <c r="AG2748" s="2324">
        <f t="shared" si="136"/>
        <v>2.360837962</v>
      </c>
      <c r="AH2748" s="2320" t="s">
        <v>722</v>
      </c>
      <c r="AI2748" s="2320" t="s">
        <v>132</v>
      </c>
      <c r="AJ2748" s="929" t="s">
        <v>138</v>
      </c>
      <c r="AK2748" s="929" t="s">
        <v>138</v>
      </c>
      <c r="AL2748" s="2320" t="s">
        <v>136</v>
      </c>
      <c r="AM2748" s="2320" t="s">
        <v>137</v>
      </c>
      <c r="AN2748" s="2320" t="s">
        <v>138</v>
      </c>
      <c r="AO2748" s="2324">
        <v>391.0</v>
      </c>
      <c r="AP2748" s="2325" t="s">
        <v>16266</v>
      </c>
      <c r="AQ2748" s="2320" t="s">
        <v>134</v>
      </c>
      <c r="AR2748" s="2320" t="s">
        <v>627</v>
      </c>
      <c r="AS2748" s="2325">
        <v>0.001</v>
      </c>
      <c r="AT2748" s="2320" t="s">
        <v>135</v>
      </c>
      <c r="AU2748" s="2320" t="s">
        <v>186</v>
      </c>
      <c r="AV2748" s="2320" t="s">
        <v>137</v>
      </c>
      <c r="AW2748" s="2326" t="s">
        <v>12786</v>
      </c>
      <c r="AX2748" s="2320" t="s">
        <v>143</v>
      </c>
      <c r="AY2748" s="61" t="str">
        <f>IFERROR(__xludf.DUMMYFUNCTION("vlookup(BB2748,importrange(""https://docs.google.com/spreadsheets/d/1d2vevQ_7D_v35q4wCQ4RpQ_IPoTwEMB9Yp6ymwlPqew/edit?gid=984458430#gid=984458430"", ""'replication success'!A:K""), 11, FAlSE)"),"#N/A")</f>
        <v>#N/A</v>
      </c>
      <c r="AZ2748" s="61" t="str">
        <f>IFERROR(__xludf.DUMMYFUNCTION("vlookup(BB2748,importrange(""https://docs.google.com/spreadsheets/d/1d2vevQ_7D_v35q4wCQ4RpQ_IPoTwEMB9Yp6ymwlPqew/edit?gid=984458430#gid=984458430"", ""'replication success'!A:M""), 12, FAlSE)"),"#N/A")</f>
        <v>#N/A</v>
      </c>
      <c r="BA2748" s="61" t="str">
        <f>IFERROR(__xludf.DUMMYFUNCTION("vlookup(BB2748,importrange(""https://docs.google.com/spreadsheets/d/1d2vevQ_7D_v35q4wCQ4RpQ_IPoTwEMB9Yp6ymwlPqew/edit?gid=984458430#gid=984458430"", ""'replication success'!A:M""), 13, FAlSE)"),"#N/A")</f>
        <v>#N/A</v>
      </c>
      <c r="BB2748" s="61" t="str">
        <f>IFERROR(__xludf.DUMMYFUNCTION("REGEXREPLACE(G2748, ""_[a-z]{1,2}$"", """")"),"add_ai5_smallerrequest")</f>
        <v>add_ai5_smallerrequest</v>
      </c>
      <c r="BC2748" s="468"/>
      <c r="BD2748" s="467" t="s">
        <v>16112</v>
      </c>
      <c r="BE2748" s="342"/>
      <c r="BF2748" s="342"/>
      <c r="BG2748" s="342"/>
      <c r="BH2748" s="342"/>
      <c r="BI2748" s="342"/>
      <c r="BJ2748" s="342"/>
      <c r="BK2748" s="342"/>
      <c r="BL2748" s="342"/>
      <c r="BM2748" s="342"/>
      <c r="BN2748" s="342"/>
      <c r="BO2748" s="342"/>
      <c r="BP2748" s="342"/>
      <c r="BQ2748" s="342"/>
      <c r="BR2748" s="342"/>
      <c r="BS2748" s="342"/>
      <c r="BT2748" s="342"/>
      <c r="BU2748" s="342"/>
      <c r="BV2748" s="342"/>
      <c r="BW2748" s="342"/>
      <c r="BX2748" s="342"/>
      <c r="BY2748" s="342"/>
      <c r="BZ2748" s="342"/>
      <c r="CA2748" s="342"/>
      <c r="CB2748" s="342"/>
      <c r="CC2748" s="342"/>
      <c r="CD2748" s="342"/>
      <c r="CE2748" s="342"/>
      <c r="CF2748" s="342"/>
      <c r="CG2748" s="342"/>
      <c r="CH2748" s="342"/>
      <c r="CI2748" s="342"/>
      <c r="CJ2748" s="342"/>
      <c r="CK2748" s="342"/>
      <c r="CL2748" s="342"/>
      <c r="CM2748" s="342"/>
      <c r="CN2748" s="342"/>
      <c r="CO2748" s="342"/>
      <c r="CP2748" s="342"/>
      <c r="CQ2748" s="342"/>
      <c r="CR2748" s="342"/>
      <c r="CS2748" s="342"/>
      <c r="CT2748" s="342"/>
      <c r="CU2748" s="342"/>
      <c r="CV2748" s="342"/>
      <c r="CW2748" s="342"/>
      <c r="CX2748" s="342"/>
      <c r="CY2748" s="342"/>
      <c r="CZ2748" s="342"/>
      <c r="DA2748" s="342"/>
      <c r="DB2748" s="342"/>
      <c r="DC2748" s="342"/>
      <c r="DD2748" s="342"/>
      <c r="DE2748" s="342"/>
      <c r="DF2748" s="342"/>
      <c r="DG2748" s="342"/>
      <c r="DH2748" s="342"/>
      <c r="DI2748" s="342"/>
      <c r="DJ2748" s="342"/>
      <c r="DK2748" s="342"/>
      <c r="DL2748" s="342"/>
    </row>
    <row r="2749" ht="19.5" customHeight="1">
      <c r="A2749" s="44">
        <v>3028.0</v>
      </c>
      <c r="B2749" s="474" t="s">
        <v>523</v>
      </c>
      <c r="C2749" s="467" t="s">
        <v>115</v>
      </c>
      <c r="D2749" s="467" t="s">
        <v>153</v>
      </c>
      <c r="E2749" s="468"/>
      <c r="F2749" s="2319" t="s">
        <v>16221</v>
      </c>
      <c r="G2749" s="2320" t="s">
        <v>16267</v>
      </c>
      <c r="H2749" s="2319" t="s">
        <v>15921</v>
      </c>
      <c r="I2749" s="2321">
        <v>45821.0</v>
      </c>
      <c r="J2749" s="2322"/>
      <c r="K2749" s="2320" t="s">
        <v>16248</v>
      </c>
      <c r="L2749" s="482"/>
      <c r="M2749" s="2320" t="s">
        <v>16223</v>
      </c>
      <c r="N2749" s="2320" t="s">
        <v>12775</v>
      </c>
      <c r="O2749" s="482"/>
      <c r="P2749" s="2320" t="s">
        <v>12776</v>
      </c>
      <c r="Q2749" s="2323" t="str">
        <f t="array" ref="Q2749"> if(iserror(MATCH(V2749, 'File Links'!C:C, 0)), "N/A", HYPERLINK(INDEX('File Links'!B:B, MATCH(P2749, 'File Links'!C:C, 0))))</f>
        <v>https://drive.google.com/file/d/1LFgNyzLqTELlP9tfS2pwZ6Egg431WCHQ/view?usp=drivesdk</v>
      </c>
      <c r="R2749" s="2320" t="s">
        <v>16224</v>
      </c>
      <c r="S2749" s="2320" t="s">
        <v>16225</v>
      </c>
      <c r="T2749" s="482"/>
      <c r="U2749" s="482"/>
      <c r="V2749" s="2320" t="s">
        <v>16226</v>
      </c>
      <c r="W2749" s="482"/>
      <c r="X2749" s="928" t="str">
        <f t="array" ref="X2749"> if(iserror(MATCH(V2749, 'File Links'!C:C, 0)), "N/A", HYPERLINK(INDEX('File Links'!B:B, MATCH(V2749, 'File Links'!C:C, 0))))</f>
        <v>https://drive.google.com/file/d/1ew0OSVU876rPzVsDvpN47BF_OOdkLKHm/view?usp=drivesdk</v>
      </c>
      <c r="Y2749" s="482"/>
      <c r="Z2749" s="2320" t="s">
        <v>226</v>
      </c>
      <c r="AA2749" s="2320" t="s">
        <v>16241</v>
      </c>
      <c r="AB2749" s="2320" t="s">
        <v>16242</v>
      </c>
      <c r="AC2749" s="2320" t="s">
        <v>16268</v>
      </c>
      <c r="AD2749" s="2320" t="s">
        <v>16250</v>
      </c>
      <c r="AE2749" s="2324">
        <v>7.0</v>
      </c>
      <c r="AF2749" s="2324">
        <v>72.0</v>
      </c>
      <c r="AG2749" s="2324">
        <f t="shared" si="136"/>
        <v>2.360837962</v>
      </c>
      <c r="AH2749" s="2320" t="s">
        <v>134</v>
      </c>
      <c r="AI2749" s="2320" t="s">
        <v>132</v>
      </c>
      <c r="AJ2749" s="929" t="s">
        <v>138</v>
      </c>
      <c r="AK2749" s="929" t="s">
        <v>138</v>
      </c>
      <c r="AL2749" s="2320" t="s">
        <v>136</v>
      </c>
      <c r="AM2749" s="2320" t="s">
        <v>137</v>
      </c>
      <c r="AN2749" s="2320" t="s">
        <v>138</v>
      </c>
      <c r="AO2749" s="2325">
        <f>391-43</f>
        <v>348</v>
      </c>
      <c r="AP2749" s="2325" t="s">
        <v>16269</v>
      </c>
      <c r="AQ2749" s="2320" t="s">
        <v>134</v>
      </c>
      <c r="AR2749" s="2319" t="s">
        <v>182</v>
      </c>
      <c r="AS2749" s="2325">
        <v>0.001</v>
      </c>
      <c r="AT2749" s="2320" t="s">
        <v>135</v>
      </c>
      <c r="AU2749" s="2320" t="s">
        <v>186</v>
      </c>
      <c r="AV2749" s="2320" t="s">
        <v>137</v>
      </c>
      <c r="AW2749" s="2326" t="s">
        <v>12786</v>
      </c>
      <c r="AX2749" s="2320" t="s">
        <v>143</v>
      </c>
      <c r="AY2749" s="61" t="str">
        <f>IFERROR(__xludf.DUMMYFUNCTION("vlookup(BB2749,importrange(""https://docs.google.com/spreadsheets/d/1d2vevQ_7D_v35q4wCQ4RpQ_IPoTwEMB9Yp6ymwlPqew/edit?gid=984458430#gid=984458430"", ""'replication success'!A:K""), 11, FAlSE)"),"#N/A")</f>
        <v>#N/A</v>
      </c>
      <c r="AZ2749" s="61" t="str">
        <f>IFERROR(__xludf.DUMMYFUNCTION("vlookup(BB2749,importrange(""https://docs.google.com/spreadsheets/d/1d2vevQ_7D_v35q4wCQ4RpQ_IPoTwEMB9Yp6ymwlPqew/edit?gid=984458430#gid=984458430"", ""'replication success'!A:M""), 12, FAlSE)"),"#N/A")</f>
        <v>#N/A</v>
      </c>
      <c r="BA2749" s="61" t="str">
        <f>IFERROR(__xludf.DUMMYFUNCTION("vlookup(BB2749,importrange(""https://docs.google.com/spreadsheets/d/1d2vevQ_7D_v35q4wCQ4RpQ_IPoTwEMB9Yp6ymwlPqew/edit?gid=984458430#gid=984458430"", ""'replication success'!A:M""), 13, FAlSE)"),"#N/A")</f>
        <v>#N/A</v>
      </c>
      <c r="BB2749" s="61" t="str">
        <f>IFERROR(__xludf.DUMMYFUNCTION("REGEXREPLACE(G2749, ""_[a-z]{1,2}$"", """")"),"add_ai5_smallerrequest_excludedparticipants")</f>
        <v>add_ai5_smallerrequest_excludedparticipants</v>
      </c>
      <c r="BC2749" s="468"/>
      <c r="BD2749" s="467" t="s">
        <v>16112</v>
      </c>
      <c r="BE2749" s="342"/>
      <c r="BF2749" s="342"/>
      <c r="BG2749" s="342"/>
      <c r="BH2749" s="342"/>
      <c r="BI2749" s="342"/>
      <c r="BJ2749" s="342"/>
      <c r="BK2749" s="342"/>
      <c r="BL2749" s="342"/>
      <c r="BM2749" s="342"/>
      <c r="BN2749" s="342"/>
      <c r="BO2749" s="342"/>
      <c r="BP2749" s="342"/>
      <c r="BQ2749" s="342"/>
      <c r="BR2749" s="342"/>
      <c r="BS2749" s="342"/>
      <c r="BT2749" s="342"/>
      <c r="BU2749" s="342"/>
      <c r="BV2749" s="342"/>
      <c r="BW2749" s="342"/>
      <c r="BX2749" s="342"/>
      <c r="BY2749" s="342"/>
      <c r="BZ2749" s="342"/>
      <c r="CA2749" s="342"/>
      <c r="CB2749" s="342"/>
      <c r="CC2749" s="342"/>
      <c r="CD2749" s="342"/>
      <c r="CE2749" s="342"/>
      <c r="CF2749" s="342"/>
      <c r="CG2749" s="342"/>
      <c r="CH2749" s="342"/>
      <c r="CI2749" s="342"/>
      <c r="CJ2749" s="342"/>
      <c r="CK2749" s="342"/>
      <c r="CL2749" s="342"/>
      <c r="CM2749" s="342"/>
      <c r="CN2749" s="342"/>
      <c r="CO2749" s="342"/>
      <c r="CP2749" s="342"/>
      <c r="CQ2749" s="342"/>
      <c r="CR2749" s="342"/>
      <c r="CS2749" s="342"/>
      <c r="CT2749" s="342"/>
      <c r="CU2749" s="342"/>
      <c r="CV2749" s="342"/>
      <c r="CW2749" s="342"/>
      <c r="CX2749" s="342"/>
      <c r="CY2749" s="342"/>
      <c r="CZ2749" s="342"/>
      <c r="DA2749" s="342"/>
      <c r="DB2749" s="342"/>
      <c r="DC2749" s="342"/>
      <c r="DD2749" s="342"/>
      <c r="DE2749" s="342"/>
      <c r="DF2749" s="342"/>
      <c r="DG2749" s="342"/>
      <c r="DH2749" s="342"/>
      <c r="DI2749" s="342"/>
      <c r="DJ2749" s="342"/>
      <c r="DK2749" s="342"/>
      <c r="DL2749" s="342"/>
    </row>
    <row r="2750" ht="25.5" customHeight="1">
      <c r="A2750" s="44">
        <v>3170.0</v>
      </c>
      <c r="B2750" s="1322" t="s">
        <v>114</v>
      </c>
      <c r="C2750" s="1588" t="s">
        <v>115</v>
      </c>
      <c r="D2750" s="1588" t="s">
        <v>15991</v>
      </c>
      <c r="E2750" s="1572"/>
      <c r="F2750" s="1315" t="s">
        <v>16270</v>
      </c>
      <c r="G2750" s="1315" t="s">
        <v>16271</v>
      </c>
      <c r="H2750" s="2235" t="s">
        <v>15994</v>
      </c>
      <c r="I2750" s="2242">
        <v>45809.0</v>
      </c>
      <c r="J2750" s="2230">
        <v>45841.0</v>
      </c>
      <c r="K2750" s="1313"/>
      <c r="L2750" s="1322"/>
      <c r="M2750" s="2243" t="s">
        <v>16272</v>
      </c>
      <c r="N2750" s="2243" t="s">
        <v>16273</v>
      </c>
      <c r="O2750" s="1313"/>
      <c r="P2750" s="1592" t="s">
        <v>16274</v>
      </c>
      <c r="Q2750" s="2327" t="s">
        <v>16275</v>
      </c>
      <c r="R2750" s="2244" t="s">
        <v>16276</v>
      </c>
      <c r="S2750" s="2260" t="s">
        <v>16277</v>
      </c>
      <c r="T2750" s="1313"/>
      <c r="U2750" s="1313"/>
      <c r="V2750" s="1315" t="s">
        <v>16278</v>
      </c>
      <c r="W2750" s="1313"/>
      <c r="X2750" s="2328" t="s">
        <v>16279</v>
      </c>
      <c r="Y2750" s="1313"/>
      <c r="Z2750" s="1315" t="s">
        <v>226</v>
      </c>
      <c r="AA2750" s="1313" t="s">
        <v>16280</v>
      </c>
      <c r="AB2750" s="1313" t="s">
        <v>16281</v>
      </c>
      <c r="AC2750" s="1313" t="s">
        <v>16282</v>
      </c>
      <c r="AD2750" s="1313" t="s">
        <v>16283</v>
      </c>
      <c r="AE2750" s="1313" t="s">
        <v>630</v>
      </c>
      <c r="AF2750" s="1341">
        <v>33.0</v>
      </c>
      <c r="AG2750" s="1341">
        <v>0.76</v>
      </c>
      <c r="AH2750" s="1313" t="s">
        <v>215</v>
      </c>
      <c r="AI2750" s="1313" t="s">
        <v>630</v>
      </c>
      <c r="AJ2750" s="1341">
        <v>0.001</v>
      </c>
      <c r="AK2750" s="1313" t="s">
        <v>135</v>
      </c>
      <c r="AL2750" s="1315" t="s">
        <v>186</v>
      </c>
      <c r="AM2750" s="1315" t="s">
        <v>137</v>
      </c>
      <c r="AN2750" s="1315" t="s">
        <v>138</v>
      </c>
      <c r="AO2750" s="2329">
        <v>3073.0</v>
      </c>
      <c r="AP2750" s="1313" t="s">
        <v>16284</v>
      </c>
      <c r="AQ2750" s="1313" t="s">
        <v>134</v>
      </c>
      <c r="AR2750" s="1313" t="s">
        <v>496</v>
      </c>
      <c r="AS2750" s="1341">
        <v>0.001</v>
      </c>
      <c r="AT2750" s="1313" t="s">
        <v>135</v>
      </c>
      <c r="AU2750" s="1313" t="s">
        <v>186</v>
      </c>
      <c r="AV2750" s="1313" t="s">
        <v>137</v>
      </c>
      <c r="AW2750" s="1313" t="s">
        <v>138</v>
      </c>
      <c r="AX2750" s="1313" t="s">
        <v>143</v>
      </c>
      <c r="AY2750" s="61" t="str">
        <f>IFERROR(__xludf.DUMMYFUNCTION("vlookup(BB2750,importrange(""https://docs.google.com/spreadsheets/d/1d2vevQ_7D_v35q4wCQ4RpQ_IPoTwEMB9Yp6ymwlPqew/edit?gid=984458430#gid=984458430"", ""'replication success'!A:K""), 11, FAlSE)"),"#N/A")</f>
        <v>#N/A</v>
      </c>
      <c r="AZ2750" s="61" t="str">
        <f>IFERROR(__xludf.DUMMYFUNCTION("vlookup(BB2750,importrange(""https://docs.google.com/spreadsheets/d/1d2vevQ_7D_v35q4wCQ4RpQ_IPoTwEMB9Yp6ymwlPqew/edit?gid=984458430#gid=984458430"", ""'replication success'!A:M""), 12, FAlSE)"),"#N/A")</f>
        <v>#N/A</v>
      </c>
      <c r="BA2750" s="61" t="str">
        <f>IFERROR(__xludf.DUMMYFUNCTION("vlookup(BB2750,importrange(""https://docs.google.com/spreadsheets/d/1d2vevQ_7D_v35q4wCQ4RpQ_IPoTwEMB9Yp6ymwlPqew/edit?gid=984458430#gid=984458430"", ""'replication success'!A:M""), 13, FAlSE)"),"#N/A")</f>
        <v>#N/A</v>
      </c>
      <c r="BB2750" s="61" t="str">
        <f>IFERROR(__xludf.DUMMYFUNCTION("REGEXREPLACE(G2750, ""_[a-z]{1,2}$"", """")"),"add_ai57")</f>
        <v>add_ai57</v>
      </c>
      <c r="BC2750" s="1588" t="s">
        <v>16285</v>
      </c>
      <c r="BD2750" s="1588" t="s">
        <v>13264</v>
      </c>
      <c r="BE2750" s="342"/>
      <c r="BF2750" s="342"/>
      <c r="BG2750" s="342"/>
      <c r="BH2750" s="342"/>
      <c r="BI2750" s="342"/>
      <c r="BJ2750" s="342"/>
      <c r="BK2750" s="342"/>
      <c r="BL2750" s="342"/>
      <c r="BM2750" s="342"/>
      <c r="BN2750" s="342"/>
      <c r="BO2750" s="342"/>
      <c r="BP2750" s="342"/>
      <c r="BQ2750" s="342"/>
      <c r="BR2750" s="342"/>
      <c r="BS2750" s="342"/>
      <c r="BT2750" s="342"/>
      <c r="BU2750" s="342"/>
      <c r="BV2750" s="342"/>
      <c r="BW2750" s="342"/>
      <c r="BX2750" s="342"/>
      <c r="BY2750" s="342"/>
      <c r="BZ2750" s="342"/>
      <c r="CA2750" s="342"/>
      <c r="CB2750" s="342"/>
      <c r="CC2750" s="342"/>
      <c r="CD2750" s="342"/>
      <c r="CE2750" s="342"/>
      <c r="CF2750" s="342"/>
      <c r="CG2750" s="342"/>
      <c r="CH2750" s="342"/>
      <c r="CI2750" s="342"/>
      <c r="CJ2750" s="342"/>
      <c r="CK2750" s="342"/>
      <c r="CL2750" s="342"/>
      <c r="CM2750" s="342"/>
      <c r="CN2750" s="342"/>
      <c r="CO2750" s="342"/>
      <c r="CP2750" s="342"/>
      <c r="CQ2750" s="342"/>
      <c r="CR2750" s="342"/>
      <c r="CS2750" s="342"/>
      <c r="CT2750" s="342"/>
      <c r="CU2750" s="342"/>
      <c r="CV2750" s="342"/>
      <c r="CW2750" s="342"/>
      <c r="CX2750" s="342"/>
      <c r="CY2750" s="342"/>
      <c r="CZ2750" s="342"/>
      <c r="DA2750" s="342"/>
      <c r="DB2750" s="342"/>
      <c r="DC2750" s="342"/>
      <c r="DD2750" s="342"/>
      <c r="DE2750" s="342"/>
      <c r="DF2750" s="342"/>
      <c r="DG2750" s="342"/>
      <c r="DH2750" s="342"/>
      <c r="DI2750" s="342"/>
      <c r="DJ2750" s="342"/>
      <c r="DK2750" s="342"/>
      <c r="DL2750" s="342"/>
    </row>
    <row r="2751" ht="27.75" customHeight="1">
      <c r="A2751" s="44">
        <v>3107.0</v>
      </c>
      <c r="B2751" s="1322" t="s">
        <v>152</v>
      </c>
      <c r="C2751" s="1588" t="s">
        <v>115</v>
      </c>
      <c r="D2751" s="1588" t="s">
        <v>153</v>
      </c>
      <c r="E2751" s="1572"/>
      <c r="F2751" s="1600" t="s">
        <v>16270</v>
      </c>
      <c r="G2751" s="1592" t="s">
        <v>16286</v>
      </c>
      <c r="H2751" s="1600" t="s">
        <v>15921</v>
      </c>
      <c r="I2751" s="2229">
        <v>45821.0</v>
      </c>
      <c r="J2751" s="2230">
        <v>45841.0</v>
      </c>
      <c r="K2751" s="1592" t="s">
        <v>16287</v>
      </c>
      <c r="L2751" s="2330" t="s">
        <v>16288</v>
      </c>
      <c r="M2751" s="1592" t="s">
        <v>16272</v>
      </c>
      <c r="N2751" s="1592" t="s">
        <v>16273</v>
      </c>
      <c r="O2751" s="1313"/>
      <c r="P2751" s="1592" t="s">
        <v>16274</v>
      </c>
      <c r="Q2751" s="2331" t="s">
        <v>16275</v>
      </c>
      <c r="R2751" s="1592" t="s">
        <v>16289</v>
      </c>
      <c r="S2751" s="1592" t="s">
        <v>16277</v>
      </c>
      <c r="T2751" s="1313"/>
      <c r="U2751" s="1313"/>
      <c r="V2751" s="1592" t="s">
        <v>16278</v>
      </c>
      <c r="W2751" s="1313"/>
      <c r="X2751" s="2328" t="s">
        <v>16279</v>
      </c>
      <c r="Y2751" s="1313"/>
      <c r="Z2751" s="1592" t="s">
        <v>2940</v>
      </c>
      <c r="AA2751" s="1592" t="s">
        <v>16290</v>
      </c>
      <c r="AB2751" s="1592" t="s">
        <v>16291</v>
      </c>
      <c r="AC2751" s="1600" t="s">
        <v>16292</v>
      </c>
      <c r="AD2751" s="1600" t="s">
        <v>16293</v>
      </c>
      <c r="AE2751" s="2265">
        <v>11.0</v>
      </c>
      <c r="AF2751" s="2265">
        <v>33.0</v>
      </c>
      <c r="AG2751" s="2265">
        <v>-0.43</v>
      </c>
      <c r="AH2751" s="1592" t="s">
        <v>215</v>
      </c>
      <c r="AI2751" s="2262" t="s">
        <v>16294</v>
      </c>
      <c r="AJ2751" s="2265">
        <v>0.05</v>
      </c>
      <c r="AK2751" s="1592" t="s">
        <v>135</v>
      </c>
      <c r="AL2751" s="1592" t="s">
        <v>186</v>
      </c>
      <c r="AM2751" s="1592" t="s">
        <v>137</v>
      </c>
      <c r="AN2751" s="1592" t="s">
        <v>138</v>
      </c>
      <c r="AO2751" s="2265">
        <v>2986.0</v>
      </c>
      <c r="AP2751" s="2332" t="s">
        <v>16295</v>
      </c>
      <c r="AQ2751" s="2333" t="s">
        <v>134</v>
      </c>
      <c r="AR2751" s="2262" t="s">
        <v>16296</v>
      </c>
      <c r="AS2751" s="2334">
        <v>0.06</v>
      </c>
      <c r="AT2751" s="1592" t="s">
        <v>172</v>
      </c>
      <c r="AU2751" s="1592" t="s">
        <v>186</v>
      </c>
      <c r="AV2751" s="1592" t="s">
        <v>137</v>
      </c>
      <c r="AW2751" s="1592" t="s">
        <v>138</v>
      </c>
      <c r="AX2751" s="1592" t="s">
        <v>143</v>
      </c>
      <c r="AY2751" s="61" t="str">
        <f>IFERROR(__xludf.DUMMYFUNCTION("vlookup(BB2751,importrange(""https://docs.google.com/spreadsheets/d/1d2vevQ_7D_v35q4wCQ4RpQ_IPoTwEMB9Yp6ymwlPqew/edit?gid=984458430#gid=984458430"", ""'replication success'!A:K""), 11, FAlSE)"),"#N/A")</f>
        <v>#N/A</v>
      </c>
      <c r="AZ2751" s="61" t="str">
        <f>IFERROR(__xludf.DUMMYFUNCTION("vlookup(BB2751,importrange(""https://docs.google.com/spreadsheets/d/1d2vevQ_7D_v35q4wCQ4RpQ_IPoTwEMB9Yp6ymwlPqew/edit?gid=984458430#gid=984458430"", ""'replication success'!A:M""), 12, FAlSE)"),"#N/A")</f>
        <v>#N/A</v>
      </c>
      <c r="BA2751" s="61" t="str">
        <f>IFERROR(__xludf.DUMMYFUNCTION("vlookup(BB2751,importrange(""https://docs.google.com/spreadsheets/d/1d2vevQ_7D_v35q4wCQ4RpQ_IPoTwEMB9Yp6ymwlPqew/edit?gid=984458430#gid=984458430"", ""'replication success'!A:M""), 13, FAlSE)"),"#N/A")</f>
        <v>#N/A</v>
      </c>
      <c r="BB2751" s="61" t="str">
        <f>IFERROR(__xludf.DUMMYFUNCTION("REGEXREPLACE(G2751, ""_[a-z]{1,2}$"", """")"),"add_ai57")</f>
        <v>add_ai57</v>
      </c>
      <c r="BC2751" s="1588"/>
      <c r="BD2751" s="1588" t="s">
        <v>13264</v>
      </c>
      <c r="BE2751" s="342"/>
      <c r="BF2751" s="342"/>
      <c r="BG2751" s="342"/>
      <c r="BH2751" s="342"/>
      <c r="BI2751" s="342"/>
      <c r="BJ2751" s="342"/>
      <c r="BK2751" s="342"/>
      <c r="BL2751" s="342"/>
      <c r="BM2751" s="342"/>
      <c r="BN2751" s="342"/>
      <c r="BO2751" s="342"/>
      <c r="BP2751" s="342"/>
      <c r="BQ2751" s="342"/>
      <c r="BR2751" s="342"/>
      <c r="BS2751" s="342"/>
      <c r="BT2751" s="342"/>
      <c r="BU2751" s="342"/>
      <c r="BV2751" s="342"/>
      <c r="BW2751" s="342"/>
      <c r="BX2751" s="342"/>
      <c r="BY2751" s="342"/>
      <c r="BZ2751" s="342"/>
      <c r="CA2751" s="342"/>
      <c r="CB2751" s="342"/>
      <c r="CC2751" s="342"/>
      <c r="CD2751" s="342"/>
      <c r="CE2751" s="342"/>
      <c r="CF2751" s="342"/>
      <c r="CG2751" s="342"/>
      <c r="CH2751" s="342"/>
      <c r="CI2751" s="342"/>
      <c r="CJ2751" s="342"/>
      <c r="CK2751" s="342"/>
      <c r="CL2751" s="342"/>
      <c r="CM2751" s="342"/>
      <c r="CN2751" s="342"/>
      <c r="CO2751" s="342"/>
      <c r="CP2751" s="342"/>
      <c r="CQ2751" s="342"/>
      <c r="CR2751" s="342"/>
      <c r="CS2751" s="342"/>
      <c r="CT2751" s="342"/>
      <c r="CU2751" s="342"/>
      <c r="CV2751" s="342"/>
      <c r="CW2751" s="342"/>
      <c r="CX2751" s="342"/>
      <c r="CY2751" s="342"/>
      <c r="CZ2751" s="342"/>
      <c r="DA2751" s="342"/>
      <c r="DB2751" s="342"/>
      <c r="DC2751" s="342"/>
      <c r="DD2751" s="342"/>
      <c r="DE2751" s="342"/>
      <c r="DF2751" s="342"/>
      <c r="DG2751" s="342"/>
      <c r="DH2751" s="342"/>
      <c r="DI2751" s="342"/>
      <c r="DJ2751" s="342"/>
      <c r="DK2751" s="342"/>
      <c r="DL2751" s="342"/>
    </row>
    <row r="2752" ht="21.0" customHeight="1">
      <c r="A2752" s="44">
        <v>3108.0</v>
      </c>
      <c r="B2752" s="1322" t="s">
        <v>152</v>
      </c>
      <c r="C2752" s="1588" t="s">
        <v>115</v>
      </c>
      <c r="D2752" s="1588" t="s">
        <v>153</v>
      </c>
      <c r="E2752" s="1572"/>
      <c r="F2752" s="1600" t="s">
        <v>16270</v>
      </c>
      <c r="G2752" s="1592" t="s">
        <v>16297</v>
      </c>
      <c r="H2752" s="1600" t="s">
        <v>15921</v>
      </c>
      <c r="I2752" s="2229">
        <v>45821.0</v>
      </c>
      <c r="J2752" s="2230">
        <v>45841.0</v>
      </c>
      <c r="K2752" s="1592" t="s">
        <v>16287</v>
      </c>
      <c r="L2752" s="1322" t="s">
        <v>16298</v>
      </c>
      <c r="M2752" s="1592" t="s">
        <v>16272</v>
      </c>
      <c r="N2752" s="1592" t="s">
        <v>16273</v>
      </c>
      <c r="O2752" s="1313"/>
      <c r="P2752" s="1592" t="s">
        <v>16274</v>
      </c>
      <c r="Q2752" s="2331" t="s">
        <v>16275</v>
      </c>
      <c r="R2752" s="1592" t="s">
        <v>16289</v>
      </c>
      <c r="S2752" s="1592" t="s">
        <v>16277</v>
      </c>
      <c r="T2752" s="1313"/>
      <c r="U2752" s="1313"/>
      <c r="V2752" s="1592" t="s">
        <v>16278</v>
      </c>
      <c r="W2752" s="1313"/>
      <c r="X2752" s="2328" t="s">
        <v>16279</v>
      </c>
      <c r="Y2752" s="1313"/>
      <c r="Z2752" s="1592" t="s">
        <v>2940</v>
      </c>
      <c r="AA2752" s="1592" t="s">
        <v>16290</v>
      </c>
      <c r="AB2752" s="1592" t="s">
        <v>16291</v>
      </c>
      <c r="AC2752" s="2262" t="s">
        <v>16299</v>
      </c>
      <c r="AD2752" s="1600" t="s">
        <v>16293</v>
      </c>
      <c r="AE2752" s="2265">
        <v>11.0</v>
      </c>
      <c r="AF2752" s="2265">
        <v>33.0</v>
      </c>
      <c r="AG2752" s="2265">
        <v>-0.62</v>
      </c>
      <c r="AH2752" s="1592" t="s">
        <v>215</v>
      </c>
      <c r="AI2752" s="2262" t="s">
        <v>16300</v>
      </c>
      <c r="AJ2752" s="2265">
        <v>0.001</v>
      </c>
      <c r="AK2752" s="1592" t="s">
        <v>135</v>
      </c>
      <c r="AL2752" s="1592" t="s">
        <v>186</v>
      </c>
      <c r="AM2752" s="1592" t="s">
        <v>137</v>
      </c>
      <c r="AN2752" s="1592" t="s">
        <v>138</v>
      </c>
      <c r="AO2752" s="2265">
        <v>2986.0</v>
      </c>
      <c r="AP2752" s="2334" t="s">
        <v>16301</v>
      </c>
      <c r="AQ2752" s="2333" t="s">
        <v>134</v>
      </c>
      <c r="AR2752" s="2262" t="s">
        <v>16302</v>
      </c>
      <c r="AS2752" s="2334">
        <v>0.73</v>
      </c>
      <c r="AT2752" s="1592" t="s">
        <v>172</v>
      </c>
      <c r="AU2752" s="1592" t="s">
        <v>186</v>
      </c>
      <c r="AV2752" s="1592" t="s">
        <v>137</v>
      </c>
      <c r="AW2752" s="1592" t="s">
        <v>138</v>
      </c>
      <c r="AX2752" s="1592" t="s">
        <v>143</v>
      </c>
      <c r="AY2752" s="61" t="str">
        <f>IFERROR(__xludf.DUMMYFUNCTION("vlookup(BB2752,importrange(""https://docs.google.com/spreadsheets/d/1d2vevQ_7D_v35q4wCQ4RpQ_IPoTwEMB9Yp6ymwlPqew/edit?gid=984458430#gid=984458430"", ""'replication success'!A:K""), 11, FAlSE)"),"#N/A")</f>
        <v>#N/A</v>
      </c>
      <c r="AZ2752" s="61" t="str">
        <f>IFERROR(__xludf.DUMMYFUNCTION("vlookup(BB2752,importrange(""https://docs.google.com/spreadsheets/d/1d2vevQ_7D_v35q4wCQ4RpQ_IPoTwEMB9Yp6ymwlPqew/edit?gid=984458430#gid=984458430"", ""'replication success'!A:M""), 12, FAlSE)"),"#N/A")</f>
        <v>#N/A</v>
      </c>
      <c r="BA2752" s="61" t="str">
        <f>IFERROR(__xludf.DUMMYFUNCTION("vlookup(BB2752,importrange(""https://docs.google.com/spreadsheets/d/1d2vevQ_7D_v35q4wCQ4RpQ_IPoTwEMB9Yp6ymwlPqew/edit?gid=984458430#gid=984458430"", ""'replication success'!A:M""), 13, FAlSE)"),"#N/A")</f>
        <v>#N/A</v>
      </c>
      <c r="BB2752" s="61" t="str">
        <f>IFERROR(__xludf.DUMMYFUNCTION("REGEXREPLACE(G2752, ""_[a-z]{1,2}$"", """")"),"add_ai57")</f>
        <v>add_ai57</v>
      </c>
      <c r="BC2752" s="1572"/>
      <c r="BD2752" s="1588" t="s">
        <v>13264</v>
      </c>
      <c r="BE2752" s="342"/>
      <c r="BF2752" s="342"/>
      <c r="BG2752" s="342"/>
      <c r="BH2752" s="342"/>
      <c r="BI2752" s="342"/>
      <c r="BJ2752" s="342"/>
      <c r="BK2752" s="342"/>
      <c r="BL2752" s="342"/>
      <c r="BM2752" s="342"/>
      <c r="BN2752" s="342"/>
      <c r="BO2752" s="342"/>
      <c r="BP2752" s="342"/>
      <c r="BQ2752" s="342"/>
      <c r="BR2752" s="342"/>
      <c r="BS2752" s="342"/>
      <c r="BT2752" s="342"/>
      <c r="BU2752" s="342"/>
      <c r="BV2752" s="342"/>
      <c r="BW2752" s="342"/>
      <c r="BX2752" s="342"/>
      <c r="BY2752" s="342"/>
      <c r="BZ2752" s="342"/>
      <c r="CA2752" s="342"/>
      <c r="CB2752" s="342"/>
      <c r="CC2752" s="342"/>
      <c r="CD2752" s="342"/>
      <c r="CE2752" s="342"/>
      <c r="CF2752" s="342"/>
      <c r="CG2752" s="342"/>
      <c r="CH2752" s="342"/>
      <c r="CI2752" s="342"/>
      <c r="CJ2752" s="342"/>
      <c r="CK2752" s="342"/>
      <c r="CL2752" s="342"/>
      <c r="CM2752" s="342"/>
      <c r="CN2752" s="342"/>
      <c r="CO2752" s="342"/>
      <c r="CP2752" s="342"/>
      <c r="CQ2752" s="342"/>
      <c r="CR2752" s="342"/>
      <c r="CS2752" s="342"/>
      <c r="CT2752" s="342"/>
      <c r="CU2752" s="342"/>
      <c r="CV2752" s="342"/>
      <c r="CW2752" s="342"/>
      <c r="CX2752" s="342"/>
      <c r="CY2752" s="342"/>
      <c r="CZ2752" s="342"/>
      <c r="DA2752" s="342"/>
      <c r="DB2752" s="342"/>
      <c r="DC2752" s="342"/>
      <c r="DD2752" s="342"/>
      <c r="DE2752" s="342"/>
      <c r="DF2752" s="342"/>
      <c r="DG2752" s="342"/>
      <c r="DH2752" s="342"/>
      <c r="DI2752" s="342"/>
      <c r="DJ2752" s="342"/>
      <c r="DK2752" s="342"/>
      <c r="DL2752" s="342"/>
    </row>
    <row r="2753" ht="27.0" customHeight="1">
      <c r="A2753" s="44">
        <v>3171.0</v>
      </c>
      <c r="B2753" s="1322" t="s">
        <v>114</v>
      </c>
      <c r="C2753" s="1588" t="s">
        <v>115</v>
      </c>
      <c r="D2753" s="1588" t="s">
        <v>15991</v>
      </c>
      <c r="E2753" s="1572"/>
      <c r="F2753" s="1315" t="s">
        <v>16270</v>
      </c>
      <c r="G2753" s="1315" t="s">
        <v>16297</v>
      </c>
      <c r="H2753" s="2235" t="s">
        <v>15994</v>
      </c>
      <c r="I2753" s="2242">
        <v>45809.0</v>
      </c>
      <c r="J2753" s="2230">
        <v>45841.0</v>
      </c>
      <c r="K2753" s="1313"/>
      <c r="L2753" s="1322"/>
      <c r="M2753" s="2243" t="s">
        <v>16272</v>
      </c>
      <c r="N2753" s="2243" t="s">
        <v>16273</v>
      </c>
      <c r="O2753" s="1313"/>
      <c r="P2753" s="2243" t="s">
        <v>16274</v>
      </c>
      <c r="Q2753" s="2331" t="s">
        <v>16275</v>
      </c>
      <c r="R2753" s="2243" t="s">
        <v>16289</v>
      </c>
      <c r="S2753" s="2260" t="s">
        <v>16277</v>
      </c>
      <c r="T2753" s="1313"/>
      <c r="U2753" s="1313"/>
      <c r="V2753" s="1315" t="s">
        <v>16278</v>
      </c>
      <c r="W2753" s="1313"/>
      <c r="X2753" s="2328" t="s">
        <v>16279</v>
      </c>
      <c r="Y2753" s="1313"/>
      <c r="Z2753" s="1315" t="s">
        <v>226</v>
      </c>
      <c r="AA2753" s="1313" t="s">
        <v>16280</v>
      </c>
      <c r="AB2753" s="1313" t="s">
        <v>16281</v>
      </c>
      <c r="AC2753" s="1313" t="s">
        <v>16303</v>
      </c>
      <c r="AD2753" s="1313" t="s">
        <v>16304</v>
      </c>
      <c r="AE2753" s="1313" t="s">
        <v>630</v>
      </c>
      <c r="AF2753" s="1341">
        <v>33.0</v>
      </c>
      <c r="AG2753" s="1341">
        <v>0.68</v>
      </c>
      <c r="AH2753" s="1313" t="s">
        <v>215</v>
      </c>
      <c r="AI2753" s="1313" t="s">
        <v>630</v>
      </c>
      <c r="AJ2753" s="1341">
        <v>0.001</v>
      </c>
      <c r="AK2753" s="1313" t="s">
        <v>135</v>
      </c>
      <c r="AL2753" s="1315" t="s">
        <v>186</v>
      </c>
      <c r="AM2753" s="1315" t="s">
        <v>137</v>
      </c>
      <c r="AN2753" s="1315" t="s">
        <v>138</v>
      </c>
      <c r="AO2753" s="2329">
        <v>3073.0</v>
      </c>
      <c r="AP2753" s="1313" t="s">
        <v>16305</v>
      </c>
      <c r="AQ2753" s="1313" t="s">
        <v>134</v>
      </c>
      <c r="AR2753" s="1313" t="s">
        <v>496</v>
      </c>
      <c r="AS2753" s="1341">
        <v>0.003</v>
      </c>
      <c r="AT2753" s="1313" t="s">
        <v>172</v>
      </c>
      <c r="AU2753" s="1313" t="s">
        <v>186</v>
      </c>
      <c r="AV2753" s="1313" t="s">
        <v>137</v>
      </c>
      <c r="AW2753" s="1313" t="s">
        <v>138</v>
      </c>
      <c r="AX2753" s="1313" t="s">
        <v>143</v>
      </c>
      <c r="AY2753" s="61" t="str">
        <f>IFERROR(__xludf.DUMMYFUNCTION("vlookup(BB2753,importrange(""https://docs.google.com/spreadsheets/d/1d2vevQ_7D_v35q4wCQ4RpQ_IPoTwEMB9Yp6ymwlPqew/edit?gid=984458430#gid=984458430"", ""'replication success'!A:K""), 11, FAlSE)"),"#N/A")</f>
        <v>#N/A</v>
      </c>
      <c r="AZ2753" s="61" t="str">
        <f>IFERROR(__xludf.DUMMYFUNCTION("vlookup(BB2753,importrange(""https://docs.google.com/spreadsheets/d/1d2vevQ_7D_v35q4wCQ4RpQ_IPoTwEMB9Yp6ymwlPqew/edit?gid=984458430#gid=984458430"", ""'replication success'!A:M""), 12, FAlSE)"),"#N/A")</f>
        <v>#N/A</v>
      </c>
      <c r="BA2753" s="61" t="str">
        <f>IFERROR(__xludf.DUMMYFUNCTION("vlookup(BB2753,importrange(""https://docs.google.com/spreadsheets/d/1d2vevQ_7D_v35q4wCQ4RpQ_IPoTwEMB9Yp6ymwlPqew/edit?gid=984458430#gid=984458430"", ""'replication success'!A:M""), 13, FAlSE)"),"#N/A")</f>
        <v>#N/A</v>
      </c>
      <c r="BB2753" s="61" t="str">
        <f>IFERROR(__xludf.DUMMYFUNCTION("REGEXREPLACE(G2753, ""_[a-z]{1,2}$"", """")"),"add_ai57")</f>
        <v>add_ai57</v>
      </c>
      <c r="BC2753" s="1572"/>
      <c r="BD2753" s="1588" t="s">
        <v>13264</v>
      </c>
      <c r="BE2753" s="342"/>
      <c r="BF2753" s="342"/>
      <c r="BG2753" s="342"/>
      <c r="BH2753" s="342"/>
      <c r="BI2753" s="342"/>
      <c r="BJ2753" s="342"/>
      <c r="BK2753" s="342"/>
      <c r="BL2753" s="342"/>
      <c r="BM2753" s="342"/>
      <c r="BN2753" s="342"/>
      <c r="BO2753" s="342"/>
      <c r="BP2753" s="342"/>
      <c r="BQ2753" s="342"/>
      <c r="BR2753" s="342"/>
      <c r="BS2753" s="342"/>
      <c r="BT2753" s="342"/>
      <c r="BU2753" s="342"/>
      <c r="BV2753" s="342"/>
      <c r="BW2753" s="342"/>
      <c r="BX2753" s="342"/>
      <c r="BY2753" s="342"/>
      <c r="BZ2753" s="342"/>
      <c r="CA2753" s="342"/>
      <c r="CB2753" s="342"/>
      <c r="CC2753" s="342"/>
      <c r="CD2753" s="342"/>
      <c r="CE2753" s="342"/>
      <c r="CF2753" s="342"/>
      <c r="CG2753" s="342"/>
      <c r="CH2753" s="342"/>
      <c r="CI2753" s="342"/>
      <c r="CJ2753" s="342"/>
      <c r="CK2753" s="342"/>
      <c r="CL2753" s="342"/>
      <c r="CM2753" s="342"/>
      <c r="CN2753" s="342"/>
      <c r="CO2753" s="342"/>
      <c r="CP2753" s="342"/>
      <c r="CQ2753" s="342"/>
      <c r="CR2753" s="342"/>
      <c r="CS2753" s="342"/>
      <c r="CT2753" s="342"/>
      <c r="CU2753" s="342"/>
      <c r="CV2753" s="342"/>
      <c r="CW2753" s="342"/>
      <c r="CX2753" s="342"/>
      <c r="CY2753" s="342"/>
      <c r="CZ2753" s="342"/>
      <c r="DA2753" s="342"/>
      <c r="DB2753" s="342"/>
      <c r="DC2753" s="342"/>
      <c r="DD2753" s="342"/>
      <c r="DE2753" s="342"/>
      <c r="DF2753" s="342"/>
      <c r="DG2753" s="342"/>
      <c r="DH2753" s="342"/>
      <c r="DI2753" s="342"/>
      <c r="DJ2753" s="342"/>
      <c r="DK2753" s="342"/>
      <c r="DL2753" s="342"/>
    </row>
    <row r="2754" ht="27.75" customHeight="1">
      <c r="A2754" s="44">
        <v>3109.0</v>
      </c>
      <c r="B2754" s="1322" t="s">
        <v>152</v>
      </c>
      <c r="C2754" s="1588" t="s">
        <v>115</v>
      </c>
      <c r="D2754" s="1588" t="s">
        <v>153</v>
      </c>
      <c r="E2754" s="1572"/>
      <c r="F2754" s="1600" t="s">
        <v>16270</v>
      </c>
      <c r="G2754" s="1592" t="s">
        <v>16306</v>
      </c>
      <c r="H2754" s="1600" t="s">
        <v>15921</v>
      </c>
      <c r="I2754" s="2229">
        <v>45821.0</v>
      </c>
      <c r="J2754" s="2230">
        <v>45841.0</v>
      </c>
      <c r="K2754" s="1592" t="s">
        <v>16287</v>
      </c>
      <c r="L2754" s="2330" t="s">
        <v>16307</v>
      </c>
      <c r="M2754" s="1592" t="s">
        <v>16272</v>
      </c>
      <c r="N2754" s="1592" t="s">
        <v>16273</v>
      </c>
      <c r="O2754" s="1313"/>
      <c r="P2754" s="1592" t="s">
        <v>16274</v>
      </c>
      <c r="Q2754" s="2331" t="s">
        <v>16275</v>
      </c>
      <c r="R2754" s="1592" t="s">
        <v>16289</v>
      </c>
      <c r="S2754" s="1592" t="s">
        <v>16277</v>
      </c>
      <c r="T2754" s="1313"/>
      <c r="U2754" s="1313"/>
      <c r="V2754" s="1592" t="s">
        <v>16278</v>
      </c>
      <c r="W2754" s="1313"/>
      <c r="X2754" s="2328" t="s">
        <v>16279</v>
      </c>
      <c r="Y2754" s="1313"/>
      <c r="Z2754" s="1592" t="s">
        <v>2940</v>
      </c>
      <c r="AA2754" s="1592" t="s">
        <v>16290</v>
      </c>
      <c r="AB2754" s="1592" t="s">
        <v>16291</v>
      </c>
      <c r="AC2754" s="2262" t="s">
        <v>16308</v>
      </c>
      <c r="AD2754" s="1600" t="s">
        <v>16293</v>
      </c>
      <c r="AE2754" s="2265">
        <v>11.0</v>
      </c>
      <c r="AF2754" s="2265">
        <v>33.0</v>
      </c>
      <c r="AG2754" s="2265">
        <v>0.13</v>
      </c>
      <c r="AH2754" s="1592" t="s">
        <v>215</v>
      </c>
      <c r="AI2754" s="2262" t="s">
        <v>16309</v>
      </c>
      <c r="AJ2754" s="2265">
        <v>0.1</v>
      </c>
      <c r="AK2754" s="1592" t="s">
        <v>335</v>
      </c>
      <c r="AL2754" s="1592" t="s">
        <v>186</v>
      </c>
      <c r="AM2754" s="1592" t="s">
        <v>137</v>
      </c>
      <c r="AN2754" s="1592" t="s">
        <v>138</v>
      </c>
      <c r="AO2754" s="2265">
        <v>2986.0</v>
      </c>
      <c r="AP2754" s="2334" t="s">
        <v>16310</v>
      </c>
      <c r="AQ2754" s="2333" t="s">
        <v>134</v>
      </c>
      <c r="AR2754" s="2262" t="s">
        <v>16311</v>
      </c>
      <c r="AS2754" s="2334">
        <v>0.06</v>
      </c>
      <c r="AT2754" s="1592" t="s">
        <v>172</v>
      </c>
      <c r="AU2754" s="1592" t="s">
        <v>186</v>
      </c>
      <c r="AV2754" s="1592" t="s">
        <v>137</v>
      </c>
      <c r="AW2754" s="1592" t="s">
        <v>138</v>
      </c>
      <c r="AX2754" s="1592" t="s">
        <v>143</v>
      </c>
      <c r="AY2754" s="61" t="str">
        <f>IFERROR(__xludf.DUMMYFUNCTION("vlookup(BB2754,importrange(""https://docs.google.com/spreadsheets/d/1d2vevQ_7D_v35q4wCQ4RpQ_IPoTwEMB9Yp6ymwlPqew/edit?gid=984458430#gid=984458430"", ""'replication success'!A:K""), 11, FAlSE)"),"#N/A")</f>
        <v>#N/A</v>
      </c>
      <c r="AZ2754" s="61" t="str">
        <f>IFERROR(__xludf.DUMMYFUNCTION("vlookup(BB2754,importrange(""https://docs.google.com/spreadsheets/d/1d2vevQ_7D_v35q4wCQ4RpQ_IPoTwEMB9Yp6ymwlPqew/edit?gid=984458430#gid=984458430"", ""'replication success'!A:M""), 12, FAlSE)"),"#N/A")</f>
        <v>#N/A</v>
      </c>
      <c r="BA2754" s="61" t="str">
        <f>IFERROR(__xludf.DUMMYFUNCTION("vlookup(BB2754,importrange(""https://docs.google.com/spreadsheets/d/1d2vevQ_7D_v35q4wCQ4RpQ_IPoTwEMB9Yp6ymwlPqew/edit?gid=984458430#gid=984458430"", ""'replication success'!A:M""), 13, FAlSE)"),"#N/A")</f>
        <v>#N/A</v>
      </c>
      <c r="BB2754" s="61" t="str">
        <f>IFERROR(__xludf.DUMMYFUNCTION("REGEXREPLACE(G2754, ""_[a-z]{1,2}$"", """")"),"add_ai57")</f>
        <v>add_ai57</v>
      </c>
      <c r="BC2754" s="1572"/>
      <c r="BD2754" s="1588" t="s">
        <v>13264</v>
      </c>
      <c r="BE2754" s="342"/>
      <c r="BF2754" s="342"/>
      <c r="BG2754" s="342"/>
      <c r="BH2754" s="342"/>
      <c r="BI2754" s="342"/>
      <c r="BJ2754" s="342"/>
      <c r="BK2754" s="342"/>
      <c r="BL2754" s="342"/>
      <c r="BM2754" s="342"/>
      <c r="BN2754" s="342"/>
      <c r="BO2754" s="342"/>
      <c r="BP2754" s="342"/>
      <c r="BQ2754" s="342"/>
      <c r="BR2754" s="342"/>
      <c r="BS2754" s="342"/>
      <c r="BT2754" s="342"/>
      <c r="BU2754" s="342"/>
      <c r="BV2754" s="342"/>
      <c r="BW2754" s="342"/>
      <c r="BX2754" s="342"/>
      <c r="BY2754" s="342"/>
      <c r="BZ2754" s="342"/>
      <c r="CA2754" s="342"/>
      <c r="CB2754" s="342"/>
      <c r="CC2754" s="342"/>
      <c r="CD2754" s="342"/>
      <c r="CE2754" s="342"/>
      <c r="CF2754" s="342"/>
      <c r="CG2754" s="342"/>
      <c r="CH2754" s="342"/>
      <c r="CI2754" s="342"/>
      <c r="CJ2754" s="342"/>
      <c r="CK2754" s="342"/>
      <c r="CL2754" s="342"/>
      <c r="CM2754" s="342"/>
      <c r="CN2754" s="342"/>
      <c r="CO2754" s="342"/>
      <c r="CP2754" s="342"/>
      <c r="CQ2754" s="342"/>
      <c r="CR2754" s="342"/>
      <c r="CS2754" s="342"/>
      <c r="CT2754" s="342"/>
      <c r="CU2754" s="342"/>
      <c r="CV2754" s="342"/>
      <c r="CW2754" s="342"/>
      <c r="CX2754" s="342"/>
      <c r="CY2754" s="342"/>
      <c r="CZ2754" s="342"/>
      <c r="DA2754" s="342"/>
      <c r="DB2754" s="342"/>
      <c r="DC2754" s="342"/>
      <c r="DD2754" s="342"/>
      <c r="DE2754" s="342"/>
      <c r="DF2754" s="342"/>
      <c r="DG2754" s="342"/>
      <c r="DH2754" s="342"/>
      <c r="DI2754" s="342"/>
      <c r="DJ2754" s="342"/>
      <c r="DK2754" s="342"/>
      <c r="DL2754" s="342"/>
    </row>
    <row r="2755" ht="29.25" customHeight="1">
      <c r="A2755" s="44">
        <v>3172.0</v>
      </c>
      <c r="B2755" s="1322" t="s">
        <v>114</v>
      </c>
      <c r="C2755" s="1588" t="s">
        <v>115</v>
      </c>
      <c r="D2755" s="1588" t="s">
        <v>15991</v>
      </c>
      <c r="E2755" s="1572"/>
      <c r="F2755" s="1315" t="s">
        <v>16270</v>
      </c>
      <c r="G2755" s="1315" t="s">
        <v>16306</v>
      </c>
      <c r="H2755" s="2235" t="s">
        <v>15994</v>
      </c>
      <c r="I2755" s="2242">
        <v>45809.0</v>
      </c>
      <c r="J2755" s="2230">
        <v>45841.0</v>
      </c>
      <c r="K2755" s="1313"/>
      <c r="L2755" s="1322"/>
      <c r="M2755" s="2243" t="s">
        <v>16272</v>
      </c>
      <c r="N2755" s="2243" t="s">
        <v>16273</v>
      </c>
      <c r="O2755" s="1313"/>
      <c r="P2755" s="2243" t="s">
        <v>16274</v>
      </c>
      <c r="Q2755" s="2331" t="s">
        <v>16275</v>
      </c>
      <c r="R2755" s="2243" t="s">
        <v>16289</v>
      </c>
      <c r="S2755" s="2260" t="s">
        <v>16277</v>
      </c>
      <c r="T2755" s="1313"/>
      <c r="U2755" s="1313"/>
      <c r="V2755" s="1315" t="s">
        <v>16278</v>
      </c>
      <c r="W2755" s="1313"/>
      <c r="X2755" s="2328" t="s">
        <v>16279</v>
      </c>
      <c r="Y2755" s="1313"/>
      <c r="Z2755" s="1315" t="s">
        <v>226</v>
      </c>
      <c r="AA2755" s="1313" t="s">
        <v>16280</v>
      </c>
      <c r="AB2755" s="1313" t="s">
        <v>16281</v>
      </c>
      <c r="AC2755" s="1313" t="s">
        <v>16312</v>
      </c>
      <c r="AD2755" s="1313" t="s">
        <v>16313</v>
      </c>
      <c r="AE2755" s="1313" t="s">
        <v>630</v>
      </c>
      <c r="AF2755" s="1341">
        <v>33.0</v>
      </c>
      <c r="AG2755" s="1341">
        <v>0.34</v>
      </c>
      <c r="AH2755" s="1313" t="s">
        <v>215</v>
      </c>
      <c r="AI2755" s="1313" t="s">
        <v>630</v>
      </c>
      <c r="AJ2755" s="1341">
        <v>0.05</v>
      </c>
      <c r="AK2755" s="1313" t="s">
        <v>135</v>
      </c>
      <c r="AL2755" s="1315" t="s">
        <v>186</v>
      </c>
      <c r="AM2755" s="1315" t="s">
        <v>137</v>
      </c>
      <c r="AN2755" s="1315" t="s">
        <v>138</v>
      </c>
      <c r="AO2755" s="2329">
        <v>3073.0</v>
      </c>
      <c r="AP2755" s="1313" t="s">
        <v>16314</v>
      </c>
      <c r="AQ2755" s="1313" t="s">
        <v>134</v>
      </c>
      <c r="AR2755" s="1313" t="s">
        <v>496</v>
      </c>
      <c r="AS2755" s="1341">
        <v>0.1</v>
      </c>
      <c r="AT2755" s="1313" t="s">
        <v>335</v>
      </c>
      <c r="AU2755" s="1313" t="s">
        <v>186</v>
      </c>
      <c r="AV2755" s="1313" t="s">
        <v>137</v>
      </c>
      <c r="AW2755" s="1313" t="s">
        <v>138</v>
      </c>
      <c r="AX2755" s="1313" t="s">
        <v>143</v>
      </c>
      <c r="AY2755" s="61" t="str">
        <f>IFERROR(__xludf.DUMMYFUNCTION("vlookup(BB2755,importrange(""https://docs.google.com/spreadsheets/d/1d2vevQ_7D_v35q4wCQ4RpQ_IPoTwEMB9Yp6ymwlPqew/edit?gid=984458430#gid=984458430"", ""'replication success'!A:K""), 11, FAlSE)"),"#N/A")</f>
        <v>#N/A</v>
      </c>
      <c r="AZ2755" s="61" t="str">
        <f>IFERROR(__xludf.DUMMYFUNCTION("vlookup(BB2755,importrange(""https://docs.google.com/spreadsheets/d/1d2vevQ_7D_v35q4wCQ4RpQ_IPoTwEMB9Yp6ymwlPqew/edit?gid=984458430#gid=984458430"", ""'replication success'!A:M""), 12, FAlSE)"),"#N/A")</f>
        <v>#N/A</v>
      </c>
      <c r="BA2755" s="61" t="str">
        <f>IFERROR(__xludf.DUMMYFUNCTION("vlookup(BB2755,importrange(""https://docs.google.com/spreadsheets/d/1d2vevQ_7D_v35q4wCQ4RpQ_IPoTwEMB9Yp6ymwlPqew/edit?gid=984458430#gid=984458430"", ""'replication success'!A:M""), 13, FAlSE)"),"#N/A")</f>
        <v>#N/A</v>
      </c>
      <c r="BB2755" s="61" t="str">
        <f>IFERROR(__xludf.DUMMYFUNCTION("REGEXREPLACE(G2755, ""_[a-z]{1,2}$"", """")"),"add_ai57")</f>
        <v>add_ai57</v>
      </c>
      <c r="BC2755" s="1572"/>
      <c r="BD2755" s="1588" t="s">
        <v>13264</v>
      </c>
      <c r="BE2755" s="342"/>
      <c r="BF2755" s="342"/>
      <c r="BG2755" s="342"/>
      <c r="BH2755" s="342"/>
      <c r="BI2755" s="342"/>
      <c r="BJ2755" s="342"/>
      <c r="BK2755" s="342"/>
      <c r="BL2755" s="342"/>
      <c r="BM2755" s="342"/>
      <c r="BN2755" s="342"/>
      <c r="BO2755" s="342"/>
      <c r="BP2755" s="342"/>
      <c r="BQ2755" s="342"/>
      <c r="BR2755" s="342"/>
      <c r="BS2755" s="342"/>
      <c r="BT2755" s="342"/>
      <c r="BU2755" s="342"/>
      <c r="BV2755" s="342"/>
      <c r="BW2755" s="342"/>
      <c r="BX2755" s="342"/>
      <c r="BY2755" s="342"/>
      <c r="BZ2755" s="342"/>
      <c r="CA2755" s="342"/>
      <c r="CB2755" s="342"/>
      <c r="CC2755" s="342"/>
      <c r="CD2755" s="342"/>
      <c r="CE2755" s="342"/>
      <c r="CF2755" s="342"/>
      <c r="CG2755" s="342"/>
      <c r="CH2755" s="342"/>
      <c r="CI2755" s="342"/>
      <c r="CJ2755" s="342"/>
      <c r="CK2755" s="342"/>
      <c r="CL2755" s="342"/>
      <c r="CM2755" s="342"/>
      <c r="CN2755" s="342"/>
      <c r="CO2755" s="342"/>
      <c r="CP2755" s="342"/>
      <c r="CQ2755" s="342"/>
      <c r="CR2755" s="342"/>
      <c r="CS2755" s="342"/>
      <c r="CT2755" s="342"/>
      <c r="CU2755" s="342"/>
      <c r="CV2755" s="342"/>
      <c r="CW2755" s="342"/>
      <c r="CX2755" s="342"/>
      <c r="CY2755" s="342"/>
      <c r="CZ2755" s="342"/>
      <c r="DA2755" s="342"/>
      <c r="DB2755" s="342"/>
      <c r="DC2755" s="342"/>
      <c r="DD2755" s="342"/>
      <c r="DE2755" s="342"/>
      <c r="DF2755" s="342"/>
      <c r="DG2755" s="342"/>
      <c r="DH2755" s="342"/>
      <c r="DI2755" s="342"/>
      <c r="DJ2755" s="342"/>
      <c r="DK2755" s="342"/>
      <c r="DL2755" s="342"/>
    </row>
    <row r="2756" ht="26.25" customHeight="1">
      <c r="A2756" s="44">
        <v>3110.0</v>
      </c>
      <c r="B2756" s="1322" t="s">
        <v>152</v>
      </c>
      <c r="C2756" s="1588" t="s">
        <v>115</v>
      </c>
      <c r="D2756" s="1588" t="s">
        <v>153</v>
      </c>
      <c r="E2756" s="1572"/>
      <c r="F2756" s="1600" t="s">
        <v>16270</v>
      </c>
      <c r="G2756" s="1592" t="s">
        <v>16315</v>
      </c>
      <c r="H2756" s="1600" t="s">
        <v>15921</v>
      </c>
      <c r="I2756" s="2229">
        <v>45821.0</v>
      </c>
      <c r="J2756" s="2230">
        <v>45841.0</v>
      </c>
      <c r="K2756" s="1592" t="s">
        <v>16287</v>
      </c>
      <c r="L2756" s="1322" t="s">
        <v>16316</v>
      </c>
      <c r="M2756" s="1592" t="s">
        <v>16272</v>
      </c>
      <c r="N2756" s="1592" t="s">
        <v>16273</v>
      </c>
      <c r="O2756" s="1313"/>
      <c r="P2756" s="1592" t="s">
        <v>16274</v>
      </c>
      <c r="Q2756" s="2331" t="s">
        <v>16275</v>
      </c>
      <c r="R2756" s="1592" t="s">
        <v>16289</v>
      </c>
      <c r="S2756" s="1592" t="s">
        <v>16277</v>
      </c>
      <c r="T2756" s="1313"/>
      <c r="U2756" s="1313"/>
      <c r="V2756" s="1592" t="s">
        <v>16278</v>
      </c>
      <c r="W2756" s="1313"/>
      <c r="X2756" s="2328" t="s">
        <v>16279</v>
      </c>
      <c r="Y2756" s="1313"/>
      <c r="Z2756" s="1592" t="s">
        <v>2940</v>
      </c>
      <c r="AA2756" s="1592" t="s">
        <v>16290</v>
      </c>
      <c r="AB2756" s="1592" t="s">
        <v>16291</v>
      </c>
      <c r="AC2756" s="1600" t="s">
        <v>16317</v>
      </c>
      <c r="AD2756" s="1600" t="s">
        <v>16293</v>
      </c>
      <c r="AE2756" s="2265">
        <v>11.0</v>
      </c>
      <c r="AF2756" s="2265">
        <v>34.0</v>
      </c>
      <c r="AG2756" s="2265">
        <v>-0.33</v>
      </c>
      <c r="AH2756" s="1592" t="s">
        <v>215</v>
      </c>
      <c r="AI2756" s="2262" t="s">
        <v>16318</v>
      </c>
      <c r="AJ2756" s="2265">
        <v>0.1</v>
      </c>
      <c r="AK2756" s="1592" t="s">
        <v>135</v>
      </c>
      <c r="AL2756" s="1592" t="s">
        <v>186</v>
      </c>
      <c r="AM2756" s="1592" t="s">
        <v>137</v>
      </c>
      <c r="AN2756" s="1592" t="s">
        <v>138</v>
      </c>
      <c r="AO2756" s="2265">
        <v>2986.0</v>
      </c>
      <c r="AP2756" s="2265" t="s">
        <v>16319</v>
      </c>
      <c r="AQ2756" s="2333" t="s">
        <v>134</v>
      </c>
      <c r="AR2756" s="2262" t="s">
        <v>16320</v>
      </c>
      <c r="AS2756" s="2265">
        <v>0.58</v>
      </c>
      <c r="AT2756" s="1592" t="s">
        <v>172</v>
      </c>
      <c r="AU2756" s="1592" t="s">
        <v>186</v>
      </c>
      <c r="AV2756" s="1592" t="s">
        <v>137</v>
      </c>
      <c r="AW2756" s="1592" t="s">
        <v>138</v>
      </c>
      <c r="AX2756" s="1592" t="s">
        <v>143</v>
      </c>
      <c r="AY2756" s="61" t="str">
        <f>IFERROR(__xludf.DUMMYFUNCTION("vlookup(BB2756,importrange(""https://docs.google.com/spreadsheets/d/1d2vevQ_7D_v35q4wCQ4RpQ_IPoTwEMB9Yp6ymwlPqew/edit?gid=984458430#gid=984458430"", ""'replication success'!A:K""), 11, FAlSE)"),"#N/A")</f>
        <v>#N/A</v>
      </c>
      <c r="AZ2756" s="61" t="str">
        <f>IFERROR(__xludf.DUMMYFUNCTION("vlookup(BB2756,importrange(""https://docs.google.com/spreadsheets/d/1d2vevQ_7D_v35q4wCQ4RpQ_IPoTwEMB9Yp6ymwlPqew/edit?gid=984458430#gid=984458430"", ""'replication success'!A:M""), 12, FAlSE)"),"#N/A")</f>
        <v>#N/A</v>
      </c>
      <c r="BA2756" s="61" t="str">
        <f>IFERROR(__xludf.DUMMYFUNCTION("vlookup(BB2756,importrange(""https://docs.google.com/spreadsheets/d/1d2vevQ_7D_v35q4wCQ4RpQ_IPoTwEMB9Yp6ymwlPqew/edit?gid=984458430#gid=984458430"", ""'replication success'!A:M""), 13, FAlSE)"),"#N/A")</f>
        <v>#N/A</v>
      </c>
      <c r="BB2756" s="61" t="str">
        <f>IFERROR(__xludf.DUMMYFUNCTION("REGEXREPLACE(G2756, ""_[a-z]{1,2}$"", """")"),"add_ai57")</f>
        <v>add_ai57</v>
      </c>
      <c r="BC2756" s="1572"/>
      <c r="BD2756" s="1588" t="s">
        <v>13264</v>
      </c>
      <c r="BE2756" s="342"/>
      <c r="BF2756" s="342"/>
      <c r="BG2756" s="342"/>
      <c r="BH2756" s="342"/>
      <c r="BI2756" s="342"/>
      <c r="BJ2756" s="342"/>
      <c r="BK2756" s="342"/>
      <c r="BL2756" s="342"/>
      <c r="BM2756" s="342"/>
      <c r="BN2756" s="342"/>
      <c r="BO2756" s="342"/>
      <c r="BP2756" s="342"/>
      <c r="BQ2756" s="342"/>
      <c r="BR2756" s="342"/>
      <c r="BS2756" s="342"/>
      <c r="BT2756" s="342"/>
      <c r="BU2756" s="342"/>
      <c r="BV2756" s="342"/>
      <c r="BW2756" s="342"/>
      <c r="BX2756" s="342"/>
      <c r="BY2756" s="342"/>
      <c r="BZ2756" s="342"/>
      <c r="CA2756" s="342"/>
      <c r="CB2756" s="342"/>
      <c r="CC2756" s="342"/>
      <c r="CD2756" s="342"/>
      <c r="CE2756" s="342"/>
      <c r="CF2756" s="342"/>
      <c r="CG2756" s="342"/>
      <c r="CH2756" s="342"/>
      <c r="CI2756" s="342"/>
      <c r="CJ2756" s="342"/>
      <c r="CK2756" s="342"/>
      <c r="CL2756" s="342"/>
      <c r="CM2756" s="342"/>
      <c r="CN2756" s="342"/>
      <c r="CO2756" s="342"/>
      <c r="CP2756" s="342"/>
      <c r="CQ2756" s="342"/>
      <c r="CR2756" s="342"/>
      <c r="CS2756" s="342"/>
      <c r="CT2756" s="342"/>
      <c r="CU2756" s="342"/>
      <c r="CV2756" s="342"/>
      <c r="CW2756" s="342"/>
      <c r="CX2756" s="342"/>
      <c r="CY2756" s="342"/>
      <c r="CZ2756" s="342"/>
      <c r="DA2756" s="342"/>
      <c r="DB2756" s="342"/>
      <c r="DC2756" s="342"/>
      <c r="DD2756" s="342"/>
      <c r="DE2756" s="342"/>
      <c r="DF2756" s="342"/>
      <c r="DG2756" s="342"/>
      <c r="DH2756" s="342"/>
      <c r="DI2756" s="342"/>
      <c r="DJ2756" s="342"/>
      <c r="DK2756" s="342"/>
      <c r="DL2756" s="342"/>
    </row>
    <row r="2757" ht="20.25" customHeight="1">
      <c r="A2757" s="44">
        <v>3173.0</v>
      </c>
      <c r="B2757" s="1322" t="s">
        <v>114</v>
      </c>
      <c r="C2757" s="1588" t="s">
        <v>115</v>
      </c>
      <c r="D2757" s="1588" t="s">
        <v>15991</v>
      </c>
      <c r="E2757" s="1572"/>
      <c r="F2757" s="1315" t="s">
        <v>16270</v>
      </c>
      <c r="G2757" s="1315" t="s">
        <v>16315</v>
      </c>
      <c r="H2757" s="2235" t="s">
        <v>15994</v>
      </c>
      <c r="I2757" s="2242">
        <v>45809.0</v>
      </c>
      <c r="J2757" s="2230">
        <v>45841.0</v>
      </c>
      <c r="K2757" s="1313"/>
      <c r="L2757" s="1322" t="s">
        <v>16316</v>
      </c>
      <c r="M2757" s="2243" t="s">
        <v>16272</v>
      </c>
      <c r="N2757" s="2243" t="s">
        <v>16273</v>
      </c>
      <c r="O2757" s="1313"/>
      <c r="P2757" s="2243" t="s">
        <v>16274</v>
      </c>
      <c r="Q2757" s="2331" t="s">
        <v>16275</v>
      </c>
      <c r="R2757" s="2243" t="s">
        <v>16289</v>
      </c>
      <c r="S2757" s="2260" t="s">
        <v>16277</v>
      </c>
      <c r="T2757" s="1313"/>
      <c r="U2757" s="1313"/>
      <c r="V2757" s="1315" t="s">
        <v>16278</v>
      </c>
      <c r="W2757" s="1313"/>
      <c r="X2757" s="2328" t="s">
        <v>16279</v>
      </c>
      <c r="Y2757" s="1313"/>
      <c r="Z2757" s="1315" t="s">
        <v>226</v>
      </c>
      <c r="AA2757" s="1313" t="s">
        <v>16280</v>
      </c>
      <c r="AB2757" s="1313" t="s">
        <v>16281</v>
      </c>
      <c r="AC2757" s="1313" t="s">
        <v>16321</v>
      </c>
      <c r="AD2757" s="1313" t="s">
        <v>16322</v>
      </c>
      <c r="AE2757" s="1313" t="s">
        <v>1174</v>
      </c>
      <c r="AF2757" s="1341">
        <v>35.0</v>
      </c>
      <c r="AG2757" s="1313" t="s">
        <v>16323</v>
      </c>
      <c r="AH2757" s="1313"/>
      <c r="AI2757" s="1313" t="s">
        <v>1174</v>
      </c>
      <c r="AJ2757" s="1313" t="s">
        <v>138</v>
      </c>
      <c r="AK2757" s="1313" t="s">
        <v>172</v>
      </c>
      <c r="AL2757" s="1315" t="s">
        <v>186</v>
      </c>
      <c r="AM2757" s="1315" t="s">
        <v>137</v>
      </c>
      <c r="AN2757" s="1315" t="s">
        <v>138</v>
      </c>
      <c r="AO2757" s="2329">
        <v>3073.0</v>
      </c>
      <c r="AP2757" s="1313" t="s">
        <v>16324</v>
      </c>
      <c r="AQ2757" s="1313" t="s">
        <v>134</v>
      </c>
      <c r="AR2757" s="1313" t="s">
        <v>496</v>
      </c>
      <c r="AS2757" s="1341">
        <v>0.1</v>
      </c>
      <c r="AT2757" s="1313" t="s">
        <v>335</v>
      </c>
      <c r="AU2757" s="1313" t="s">
        <v>186</v>
      </c>
      <c r="AV2757" s="1313" t="s">
        <v>137</v>
      </c>
      <c r="AW2757" s="1313" t="s">
        <v>138</v>
      </c>
      <c r="AX2757" s="1313" t="s">
        <v>143</v>
      </c>
      <c r="AY2757" s="61" t="str">
        <f>IFERROR(__xludf.DUMMYFUNCTION("vlookup(BB2757,importrange(""https://docs.google.com/spreadsheets/d/1d2vevQ_7D_v35q4wCQ4RpQ_IPoTwEMB9Yp6ymwlPqew/edit?gid=984458430#gid=984458430"", ""'replication success'!A:K""), 11, FAlSE)"),"#N/A")</f>
        <v>#N/A</v>
      </c>
      <c r="AZ2757" s="61" t="str">
        <f>IFERROR(__xludf.DUMMYFUNCTION("vlookup(BB2757,importrange(""https://docs.google.com/spreadsheets/d/1d2vevQ_7D_v35q4wCQ4RpQ_IPoTwEMB9Yp6ymwlPqew/edit?gid=984458430#gid=984458430"", ""'replication success'!A:M""), 12, FAlSE)"),"#N/A")</f>
        <v>#N/A</v>
      </c>
      <c r="BA2757" s="61" t="str">
        <f>IFERROR(__xludf.DUMMYFUNCTION("vlookup(BB2757,importrange(""https://docs.google.com/spreadsheets/d/1d2vevQ_7D_v35q4wCQ4RpQ_IPoTwEMB9Yp6ymwlPqew/edit?gid=984458430#gid=984458430"", ""'replication success'!A:M""), 13, FAlSE)"),"#N/A")</f>
        <v>#N/A</v>
      </c>
      <c r="BB2757" s="61" t="str">
        <f>IFERROR(__xludf.DUMMYFUNCTION("REGEXREPLACE(G2757, ""_[a-z]{1,2}$"", """")"),"add_ai57")</f>
        <v>add_ai57</v>
      </c>
      <c r="BC2757" s="1572"/>
      <c r="BD2757" s="1588" t="s">
        <v>13264</v>
      </c>
      <c r="BE2757" s="342"/>
      <c r="BF2757" s="342"/>
      <c r="BG2757" s="342"/>
      <c r="BH2757" s="342"/>
      <c r="BI2757" s="342"/>
      <c r="BJ2757" s="342"/>
      <c r="BK2757" s="342"/>
      <c r="BL2757" s="342"/>
      <c r="BM2757" s="342"/>
      <c r="BN2757" s="342"/>
      <c r="BO2757" s="342"/>
      <c r="BP2757" s="342"/>
      <c r="BQ2757" s="342"/>
      <c r="BR2757" s="342"/>
      <c r="BS2757" s="342"/>
      <c r="BT2757" s="342"/>
      <c r="BU2757" s="342"/>
      <c r="BV2757" s="342"/>
      <c r="BW2757" s="342"/>
      <c r="BX2757" s="342"/>
      <c r="BY2757" s="342"/>
      <c r="BZ2757" s="342"/>
      <c r="CA2757" s="342"/>
      <c r="CB2757" s="342"/>
      <c r="CC2757" s="342"/>
      <c r="CD2757" s="342"/>
      <c r="CE2757" s="342"/>
      <c r="CF2757" s="342"/>
      <c r="CG2757" s="342"/>
      <c r="CH2757" s="342"/>
      <c r="CI2757" s="342"/>
      <c r="CJ2757" s="342"/>
      <c r="CK2757" s="342"/>
      <c r="CL2757" s="342"/>
      <c r="CM2757" s="342"/>
      <c r="CN2757" s="342"/>
      <c r="CO2757" s="342"/>
      <c r="CP2757" s="342"/>
      <c r="CQ2757" s="342"/>
      <c r="CR2757" s="342"/>
      <c r="CS2757" s="342"/>
      <c r="CT2757" s="342"/>
      <c r="CU2757" s="342"/>
      <c r="CV2757" s="342"/>
      <c r="CW2757" s="342"/>
      <c r="CX2757" s="342"/>
      <c r="CY2757" s="342"/>
      <c r="CZ2757" s="342"/>
      <c r="DA2757" s="342"/>
      <c r="DB2757" s="342"/>
      <c r="DC2757" s="342"/>
      <c r="DD2757" s="342"/>
      <c r="DE2757" s="342"/>
      <c r="DF2757" s="342"/>
      <c r="DG2757" s="342"/>
      <c r="DH2757" s="342"/>
      <c r="DI2757" s="342"/>
      <c r="DJ2757" s="342"/>
      <c r="DK2757" s="342"/>
      <c r="DL2757" s="342"/>
    </row>
    <row r="2758" ht="24.0" customHeight="1">
      <c r="A2758" s="44">
        <v>3111.0</v>
      </c>
      <c r="B2758" s="1322" t="s">
        <v>152</v>
      </c>
      <c r="C2758" s="1588" t="s">
        <v>115</v>
      </c>
      <c r="D2758" s="1588" t="s">
        <v>153</v>
      </c>
      <c r="E2758" s="1572"/>
      <c r="F2758" s="1600" t="s">
        <v>16270</v>
      </c>
      <c r="G2758" s="1592" t="s">
        <v>16325</v>
      </c>
      <c r="H2758" s="1600" t="s">
        <v>15921</v>
      </c>
      <c r="I2758" s="2229">
        <v>45821.0</v>
      </c>
      <c r="J2758" s="2230">
        <v>45841.0</v>
      </c>
      <c r="K2758" s="1592" t="s">
        <v>16287</v>
      </c>
      <c r="L2758" s="1322" t="s">
        <v>16316</v>
      </c>
      <c r="M2758" s="1592" t="s">
        <v>16272</v>
      </c>
      <c r="N2758" s="1592" t="s">
        <v>16273</v>
      </c>
      <c r="O2758" s="1313"/>
      <c r="P2758" s="1592" t="s">
        <v>16274</v>
      </c>
      <c r="Q2758" s="2331" t="s">
        <v>16275</v>
      </c>
      <c r="R2758" s="1592" t="s">
        <v>16289</v>
      </c>
      <c r="S2758" s="1592" t="s">
        <v>16277</v>
      </c>
      <c r="T2758" s="1313"/>
      <c r="U2758" s="1313"/>
      <c r="V2758" s="1592" t="s">
        <v>16278</v>
      </c>
      <c r="W2758" s="1313"/>
      <c r="X2758" s="2328" t="s">
        <v>16279</v>
      </c>
      <c r="Y2758" s="1313"/>
      <c r="Z2758" s="1592" t="s">
        <v>2940</v>
      </c>
      <c r="AA2758" s="1592" t="s">
        <v>16290</v>
      </c>
      <c r="AB2758" s="1592" t="s">
        <v>16291</v>
      </c>
      <c r="AC2758" s="2262" t="s">
        <v>16326</v>
      </c>
      <c r="AD2758" s="1600" t="s">
        <v>16293</v>
      </c>
      <c r="AE2758" s="2265">
        <v>11.0</v>
      </c>
      <c r="AF2758" s="2265">
        <v>34.0</v>
      </c>
      <c r="AG2758" s="2265">
        <v>-0.54</v>
      </c>
      <c r="AH2758" s="1592" t="s">
        <v>215</v>
      </c>
      <c r="AI2758" s="2262" t="s">
        <v>16327</v>
      </c>
      <c r="AJ2758" s="2265">
        <v>0.01</v>
      </c>
      <c r="AK2758" s="1592" t="s">
        <v>135</v>
      </c>
      <c r="AL2758" s="1592" t="s">
        <v>186</v>
      </c>
      <c r="AM2758" s="1592" t="s">
        <v>137</v>
      </c>
      <c r="AN2758" s="1592" t="s">
        <v>138</v>
      </c>
      <c r="AO2758" s="2265">
        <v>2986.0</v>
      </c>
      <c r="AP2758" s="2265" t="s">
        <v>16328</v>
      </c>
      <c r="AQ2758" s="2333" t="s">
        <v>134</v>
      </c>
      <c r="AR2758" s="2262" t="s">
        <v>16329</v>
      </c>
      <c r="AS2758" s="2265">
        <v>0.5</v>
      </c>
      <c r="AT2758" s="1592" t="s">
        <v>172</v>
      </c>
      <c r="AU2758" s="1592" t="s">
        <v>186</v>
      </c>
      <c r="AV2758" s="1592" t="s">
        <v>137</v>
      </c>
      <c r="AW2758" s="1592" t="s">
        <v>138</v>
      </c>
      <c r="AX2758" s="1592" t="s">
        <v>143</v>
      </c>
      <c r="AY2758" s="61" t="str">
        <f>IFERROR(__xludf.DUMMYFUNCTION("vlookup(BB2758,importrange(""https://docs.google.com/spreadsheets/d/1d2vevQ_7D_v35q4wCQ4RpQ_IPoTwEMB9Yp6ymwlPqew/edit?gid=984458430#gid=984458430"", ""'replication success'!A:K""), 11, FAlSE)"),"#N/A")</f>
        <v>#N/A</v>
      </c>
      <c r="AZ2758" s="61" t="str">
        <f>IFERROR(__xludf.DUMMYFUNCTION("vlookup(BB2758,importrange(""https://docs.google.com/spreadsheets/d/1d2vevQ_7D_v35q4wCQ4RpQ_IPoTwEMB9Yp6ymwlPqew/edit?gid=984458430#gid=984458430"", ""'replication success'!A:M""), 12, FAlSE)"),"#N/A")</f>
        <v>#N/A</v>
      </c>
      <c r="BA2758" s="61" t="str">
        <f>IFERROR(__xludf.DUMMYFUNCTION("vlookup(BB2758,importrange(""https://docs.google.com/spreadsheets/d/1d2vevQ_7D_v35q4wCQ4RpQ_IPoTwEMB9Yp6ymwlPqew/edit?gid=984458430#gid=984458430"", ""'replication success'!A:M""), 13, FAlSE)"),"#N/A")</f>
        <v>#N/A</v>
      </c>
      <c r="BB2758" s="61" t="str">
        <f>IFERROR(__xludf.DUMMYFUNCTION("REGEXREPLACE(G2758, ""_[a-z]{1,2}$"", """")"),"add_ai57")</f>
        <v>add_ai57</v>
      </c>
      <c r="BC2758" s="1572"/>
      <c r="BD2758" s="1588" t="s">
        <v>13264</v>
      </c>
      <c r="BE2758" s="342"/>
      <c r="BF2758" s="342"/>
      <c r="BG2758" s="342"/>
      <c r="BH2758" s="342"/>
      <c r="BI2758" s="342"/>
      <c r="BJ2758" s="342"/>
      <c r="BK2758" s="342"/>
      <c r="BL2758" s="342"/>
      <c r="BM2758" s="342"/>
      <c r="BN2758" s="342"/>
      <c r="BO2758" s="342"/>
      <c r="BP2758" s="342"/>
      <c r="BQ2758" s="342"/>
      <c r="BR2758" s="342"/>
      <c r="BS2758" s="342"/>
      <c r="BT2758" s="342"/>
      <c r="BU2758" s="342"/>
      <c r="BV2758" s="342"/>
      <c r="BW2758" s="342"/>
      <c r="BX2758" s="342"/>
      <c r="BY2758" s="342"/>
      <c r="BZ2758" s="342"/>
      <c r="CA2758" s="342"/>
      <c r="CB2758" s="342"/>
      <c r="CC2758" s="342"/>
      <c r="CD2758" s="342"/>
      <c r="CE2758" s="342"/>
      <c r="CF2758" s="342"/>
      <c r="CG2758" s="342"/>
      <c r="CH2758" s="342"/>
      <c r="CI2758" s="342"/>
      <c r="CJ2758" s="342"/>
      <c r="CK2758" s="342"/>
      <c r="CL2758" s="342"/>
      <c r="CM2758" s="342"/>
      <c r="CN2758" s="342"/>
      <c r="CO2758" s="342"/>
      <c r="CP2758" s="342"/>
      <c r="CQ2758" s="342"/>
      <c r="CR2758" s="342"/>
      <c r="CS2758" s="342"/>
      <c r="CT2758" s="342"/>
      <c r="CU2758" s="342"/>
      <c r="CV2758" s="342"/>
      <c r="CW2758" s="342"/>
      <c r="CX2758" s="342"/>
      <c r="CY2758" s="342"/>
      <c r="CZ2758" s="342"/>
      <c r="DA2758" s="342"/>
      <c r="DB2758" s="342"/>
      <c r="DC2758" s="342"/>
      <c r="DD2758" s="342"/>
      <c r="DE2758" s="342"/>
      <c r="DF2758" s="342"/>
      <c r="DG2758" s="342"/>
      <c r="DH2758" s="342"/>
      <c r="DI2758" s="342"/>
      <c r="DJ2758" s="342"/>
      <c r="DK2758" s="342"/>
      <c r="DL2758" s="342"/>
    </row>
    <row r="2759" ht="22.5" customHeight="1">
      <c r="A2759" s="44">
        <v>3174.0</v>
      </c>
      <c r="B2759" s="1322" t="s">
        <v>114</v>
      </c>
      <c r="C2759" s="1588" t="s">
        <v>115</v>
      </c>
      <c r="D2759" s="1588" t="s">
        <v>15991</v>
      </c>
      <c r="E2759" s="1572"/>
      <c r="F2759" s="1315" t="s">
        <v>16270</v>
      </c>
      <c r="G2759" s="1315" t="s">
        <v>16325</v>
      </c>
      <c r="H2759" s="2235" t="s">
        <v>15994</v>
      </c>
      <c r="I2759" s="2242">
        <v>45809.0</v>
      </c>
      <c r="J2759" s="2230">
        <v>45841.0</v>
      </c>
      <c r="K2759" s="1313"/>
      <c r="L2759" s="1322" t="s">
        <v>16316</v>
      </c>
      <c r="M2759" s="2243" t="s">
        <v>16272</v>
      </c>
      <c r="N2759" s="2243" t="s">
        <v>16273</v>
      </c>
      <c r="O2759" s="1313"/>
      <c r="P2759" s="2243" t="s">
        <v>16274</v>
      </c>
      <c r="Q2759" s="2331" t="s">
        <v>16275</v>
      </c>
      <c r="R2759" s="2243" t="s">
        <v>16289</v>
      </c>
      <c r="S2759" s="2260" t="s">
        <v>16277</v>
      </c>
      <c r="T2759" s="1313"/>
      <c r="U2759" s="1313"/>
      <c r="V2759" s="1315" t="s">
        <v>16278</v>
      </c>
      <c r="W2759" s="1313"/>
      <c r="X2759" s="2328" t="s">
        <v>16279</v>
      </c>
      <c r="Y2759" s="1313"/>
      <c r="Z2759" s="1315" t="s">
        <v>226</v>
      </c>
      <c r="AA2759" s="1313" t="s">
        <v>16280</v>
      </c>
      <c r="AB2759" s="1313" t="s">
        <v>16281</v>
      </c>
      <c r="AC2759" s="1313" t="s">
        <v>16330</v>
      </c>
      <c r="AD2759" s="1313" t="s">
        <v>16331</v>
      </c>
      <c r="AE2759" s="1313" t="s">
        <v>1174</v>
      </c>
      <c r="AF2759" s="1341">
        <v>33.0</v>
      </c>
      <c r="AG2759" s="1313" t="s">
        <v>16332</v>
      </c>
      <c r="AH2759" s="1313"/>
      <c r="AI2759" s="1313" t="s">
        <v>1174</v>
      </c>
      <c r="AJ2759" s="1313" t="s">
        <v>138</v>
      </c>
      <c r="AK2759" s="1313" t="s">
        <v>172</v>
      </c>
      <c r="AL2759" s="1315" t="s">
        <v>186</v>
      </c>
      <c r="AM2759" s="1315" t="s">
        <v>137</v>
      </c>
      <c r="AN2759" s="1315" t="s">
        <v>138</v>
      </c>
      <c r="AO2759" s="2329">
        <v>3073.0</v>
      </c>
      <c r="AP2759" s="1313" t="s">
        <v>16333</v>
      </c>
      <c r="AQ2759" s="1313" t="s">
        <v>134</v>
      </c>
      <c r="AR2759" s="1313" t="s">
        <v>496</v>
      </c>
      <c r="AS2759" s="1341">
        <v>0.1</v>
      </c>
      <c r="AT2759" s="1313" t="s">
        <v>335</v>
      </c>
      <c r="AU2759" s="1313" t="s">
        <v>186</v>
      </c>
      <c r="AV2759" s="1313" t="s">
        <v>137</v>
      </c>
      <c r="AW2759" s="1313" t="s">
        <v>138</v>
      </c>
      <c r="AX2759" s="1313" t="s">
        <v>143</v>
      </c>
      <c r="AY2759" s="61" t="str">
        <f>IFERROR(__xludf.DUMMYFUNCTION("vlookup(BB2759,importrange(""https://docs.google.com/spreadsheets/d/1d2vevQ_7D_v35q4wCQ4RpQ_IPoTwEMB9Yp6ymwlPqew/edit?gid=984458430#gid=984458430"", ""'replication success'!A:K""), 11, FAlSE)"),"#N/A")</f>
        <v>#N/A</v>
      </c>
      <c r="AZ2759" s="61" t="str">
        <f>IFERROR(__xludf.DUMMYFUNCTION("vlookup(BB2759,importrange(""https://docs.google.com/spreadsheets/d/1d2vevQ_7D_v35q4wCQ4RpQ_IPoTwEMB9Yp6ymwlPqew/edit?gid=984458430#gid=984458430"", ""'replication success'!A:M""), 12, FAlSE)"),"#N/A")</f>
        <v>#N/A</v>
      </c>
      <c r="BA2759" s="61" t="str">
        <f>IFERROR(__xludf.DUMMYFUNCTION("vlookup(BB2759,importrange(""https://docs.google.com/spreadsheets/d/1d2vevQ_7D_v35q4wCQ4RpQ_IPoTwEMB9Yp6ymwlPqew/edit?gid=984458430#gid=984458430"", ""'replication success'!A:M""), 13, FAlSE)"),"#N/A")</f>
        <v>#N/A</v>
      </c>
      <c r="BB2759" s="61" t="str">
        <f>IFERROR(__xludf.DUMMYFUNCTION("REGEXREPLACE(G2759, ""_[a-z]{1,2}$"", """")"),"add_ai57")</f>
        <v>add_ai57</v>
      </c>
      <c r="BC2759" s="1572"/>
      <c r="BD2759" s="1588" t="s">
        <v>13264</v>
      </c>
      <c r="BE2759" s="342"/>
      <c r="BF2759" s="342"/>
      <c r="BG2759" s="342"/>
      <c r="BH2759" s="342"/>
      <c r="BI2759" s="342"/>
      <c r="BJ2759" s="342"/>
      <c r="BK2759" s="342"/>
      <c r="BL2759" s="342"/>
      <c r="BM2759" s="342"/>
      <c r="BN2759" s="342"/>
      <c r="BO2759" s="342"/>
      <c r="BP2759" s="342"/>
      <c r="BQ2759" s="342"/>
      <c r="BR2759" s="342"/>
      <c r="BS2759" s="342"/>
      <c r="BT2759" s="342"/>
      <c r="BU2759" s="342"/>
      <c r="BV2759" s="342"/>
      <c r="BW2759" s="342"/>
      <c r="BX2759" s="342"/>
      <c r="BY2759" s="342"/>
      <c r="BZ2759" s="342"/>
      <c r="CA2759" s="342"/>
      <c r="CB2759" s="342"/>
      <c r="CC2759" s="342"/>
      <c r="CD2759" s="342"/>
      <c r="CE2759" s="342"/>
      <c r="CF2759" s="342"/>
      <c r="CG2759" s="342"/>
      <c r="CH2759" s="342"/>
      <c r="CI2759" s="342"/>
      <c r="CJ2759" s="342"/>
      <c r="CK2759" s="342"/>
      <c r="CL2759" s="342"/>
      <c r="CM2759" s="342"/>
      <c r="CN2759" s="342"/>
      <c r="CO2759" s="342"/>
      <c r="CP2759" s="342"/>
      <c r="CQ2759" s="342"/>
      <c r="CR2759" s="342"/>
      <c r="CS2759" s="342"/>
      <c r="CT2759" s="342"/>
      <c r="CU2759" s="342"/>
      <c r="CV2759" s="342"/>
      <c r="CW2759" s="342"/>
      <c r="CX2759" s="342"/>
      <c r="CY2759" s="342"/>
      <c r="CZ2759" s="342"/>
      <c r="DA2759" s="342"/>
      <c r="DB2759" s="342"/>
      <c r="DC2759" s="342"/>
      <c r="DD2759" s="342"/>
      <c r="DE2759" s="342"/>
      <c r="DF2759" s="342"/>
      <c r="DG2759" s="342"/>
      <c r="DH2759" s="342"/>
      <c r="DI2759" s="342"/>
      <c r="DJ2759" s="342"/>
      <c r="DK2759" s="342"/>
      <c r="DL2759" s="342"/>
    </row>
    <row r="2760" ht="23.25" customHeight="1">
      <c r="A2760" s="44">
        <v>3112.0</v>
      </c>
      <c r="B2760" s="1322" t="s">
        <v>152</v>
      </c>
      <c r="C2760" s="1588" t="s">
        <v>115</v>
      </c>
      <c r="D2760" s="1588" t="s">
        <v>153</v>
      </c>
      <c r="E2760" s="1572"/>
      <c r="F2760" s="1600" t="s">
        <v>16270</v>
      </c>
      <c r="G2760" s="1592" t="s">
        <v>16334</v>
      </c>
      <c r="H2760" s="1600" t="s">
        <v>15921</v>
      </c>
      <c r="I2760" s="2229">
        <v>45821.0</v>
      </c>
      <c r="J2760" s="2230">
        <v>45841.0</v>
      </c>
      <c r="K2760" s="1592" t="s">
        <v>16287</v>
      </c>
      <c r="L2760" s="1322" t="s">
        <v>16316</v>
      </c>
      <c r="M2760" s="1592" t="s">
        <v>16272</v>
      </c>
      <c r="N2760" s="1592" t="s">
        <v>16273</v>
      </c>
      <c r="O2760" s="1313"/>
      <c r="P2760" s="1592" t="s">
        <v>16274</v>
      </c>
      <c r="Q2760" s="2331" t="s">
        <v>16275</v>
      </c>
      <c r="R2760" s="1592" t="s">
        <v>16289</v>
      </c>
      <c r="S2760" s="1592" t="s">
        <v>16277</v>
      </c>
      <c r="T2760" s="1313"/>
      <c r="U2760" s="1313"/>
      <c r="V2760" s="1592" t="s">
        <v>16278</v>
      </c>
      <c r="W2760" s="1313"/>
      <c r="X2760" s="2328" t="s">
        <v>16279</v>
      </c>
      <c r="Y2760" s="1313"/>
      <c r="Z2760" s="1592" t="s">
        <v>2940</v>
      </c>
      <c r="AA2760" s="1592" t="s">
        <v>16290</v>
      </c>
      <c r="AB2760" s="1592" t="s">
        <v>16291</v>
      </c>
      <c r="AC2760" s="2262" t="s">
        <v>16335</v>
      </c>
      <c r="AD2760" s="1600" t="s">
        <v>16293</v>
      </c>
      <c r="AE2760" s="2265">
        <v>11.0</v>
      </c>
      <c r="AF2760" s="2265">
        <v>34.0</v>
      </c>
      <c r="AG2760" s="2265">
        <v>-0.12</v>
      </c>
      <c r="AH2760" s="1592" t="s">
        <v>215</v>
      </c>
      <c r="AI2760" s="2262" t="s">
        <v>16336</v>
      </c>
      <c r="AJ2760" s="2265">
        <v>0.1</v>
      </c>
      <c r="AK2760" s="1592" t="s">
        <v>335</v>
      </c>
      <c r="AL2760" s="1592" t="s">
        <v>186</v>
      </c>
      <c r="AM2760" s="1592" t="s">
        <v>137</v>
      </c>
      <c r="AN2760" s="1592" t="s">
        <v>138</v>
      </c>
      <c r="AO2760" s="2265">
        <v>2986.0</v>
      </c>
      <c r="AP2760" s="2335" t="s">
        <v>16337</v>
      </c>
      <c r="AQ2760" s="2333" t="s">
        <v>134</v>
      </c>
      <c r="AR2760" s="2262" t="s">
        <v>16338</v>
      </c>
      <c r="AS2760" s="2335">
        <v>0.55</v>
      </c>
      <c r="AT2760" s="1592" t="s">
        <v>172</v>
      </c>
      <c r="AU2760" s="1592" t="s">
        <v>186</v>
      </c>
      <c r="AV2760" s="1592" t="s">
        <v>137</v>
      </c>
      <c r="AW2760" s="1592" t="s">
        <v>138</v>
      </c>
      <c r="AX2760" s="1592" t="s">
        <v>143</v>
      </c>
      <c r="AY2760" s="61" t="str">
        <f>IFERROR(__xludf.DUMMYFUNCTION("vlookup(BB2760,importrange(""https://docs.google.com/spreadsheets/d/1d2vevQ_7D_v35q4wCQ4RpQ_IPoTwEMB9Yp6ymwlPqew/edit?gid=984458430#gid=984458430"", ""'replication success'!A:K""), 11, FAlSE)"),"#N/A")</f>
        <v>#N/A</v>
      </c>
      <c r="AZ2760" s="61" t="str">
        <f>IFERROR(__xludf.DUMMYFUNCTION("vlookup(BB2760,importrange(""https://docs.google.com/spreadsheets/d/1d2vevQ_7D_v35q4wCQ4RpQ_IPoTwEMB9Yp6ymwlPqew/edit?gid=984458430#gid=984458430"", ""'replication success'!A:M""), 12, FAlSE)"),"#N/A")</f>
        <v>#N/A</v>
      </c>
      <c r="BA2760" s="61" t="str">
        <f>IFERROR(__xludf.DUMMYFUNCTION("vlookup(BB2760,importrange(""https://docs.google.com/spreadsheets/d/1d2vevQ_7D_v35q4wCQ4RpQ_IPoTwEMB9Yp6ymwlPqew/edit?gid=984458430#gid=984458430"", ""'replication success'!A:M""), 13, FAlSE)"),"#N/A")</f>
        <v>#N/A</v>
      </c>
      <c r="BB2760" s="61" t="str">
        <f>IFERROR(__xludf.DUMMYFUNCTION("REGEXREPLACE(G2760, ""_[a-z]{1,2}$"", """")"),"add_ai57")</f>
        <v>add_ai57</v>
      </c>
      <c r="BC2760" s="1572"/>
      <c r="BD2760" s="1588" t="s">
        <v>13264</v>
      </c>
      <c r="BE2760" s="342"/>
      <c r="BF2760" s="342"/>
      <c r="BG2760" s="342"/>
      <c r="BH2760" s="342"/>
      <c r="BI2760" s="342"/>
      <c r="BJ2760" s="342"/>
      <c r="BK2760" s="342"/>
      <c r="BL2760" s="342"/>
      <c r="BM2760" s="342"/>
      <c r="BN2760" s="342"/>
      <c r="BO2760" s="342"/>
      <c r="BP2760" s="342"/>
      <c r="BQ2760" s="342"/>
      <c r="BR2760" s="342"/>
      <c r="BS2760" s="342"/>
      <c r="BT2760" s="342"/>
      <c r="BU2760" s="342"/>
      <c r="BV2760" s="342"/>
      <c r="BW2760" s="342"/>
      <c r="BX2760" s="342"/>
      <c r="BY2760" s="342"/>
      <c r="BZ2760" s="342"/>
      <c r="CA2760" s="342"/>
      <c r="CB2760" s="342"/>
      <c r="CC2760" s="342"/>
      <c r="CD2760" s="342"/>
      <c r="CE2760" s="342"/>
      <c r="CF2760" s="342"/>
      <c r="CG2760" s="342"/>
      <c r="CH2760" s="342"/>
      <c r="CI2760" s="342"/>
      <c r="CJ2760" s="342"/>
      <c r="CK2760" s="342"/>
      <c r="CL2760" s="342"/>
      <c r="CM2760" s="342"/>
      <c r="CN2760" s="342"/>
      <c r="CO2760" s="342"/>
      <c r="CP2760" s="342"/>
      <c r="CQ2760" s="342"/>
      <c r="CR2760" s="342"/>
      <c r="CS2760" s="342"/>
      <c r="CT2760" s="342"/>
      <c r="CU2760" s="342"/>
      <c r="CV2760" s="342"/>
      <c r="CW2760" s="342"/>
      <c r="CX2760" s="342"/>
      <c r="CY2760" s="342"/>
      <c r="CZ2760" s="342"/>
      <c r="DA2760" s="342"/>
      <c r="DB2760" s="342"/>
      <c r="DC2760" s="342"/>
      <c r="DD2760" s="342"/>
      <c r="DE2760" s="342"/>
      <c r="DF2760" s="342"/>
      <c r="DG2760" s="342"/>
      <c r="DH2760" s="342"/>
      <c r="DI2760" s="342"/>
      <c r="DJ2760" s="342"/>
      <c r="DK2760" s="342"/>
      <c r="DL2760" s="342"/>
    </row>
    <row r="2761" ht="18.75" customHeight="1">
      <c r="A2761" s="44">
        <v>3175.0</v>
      </c>
      <c r="B2761" s="1322" t="s">
        <v>114</v>
      </c>
      <c r="C2761" s="1588" t="s">
        <v>115</v>
      </c>
      <c r="D2761" s="1588" t="s">
        <v>15991</v>
      </c>
      <c r="E2761" s="1572"/>
      <c r="F2761" s="1315" t="s">
        <v>16270</v>
      </c>
      <c r="G2761" s="1315" t="s">
        <v>16334</v>
      </c>
      <c r="H2761" s="2235" t="s">
        <v>15994</v>
      </c>
      <c r="I2761" s="2242">
        <v>45809.0</v>
      </c>
      <c r="J2761" s="2230">
        <v>45841.0</v>
      </c>
      <c r="K2761" s="1313"/>
      <c r="L2761" s="1322" t="s">
        <v>16316</v>
      </c>
      <c r="M2761" s="2243" t="s">
        <v>16272</v>
      </c>
      <c r="N2761" s="2243" t="s">
        <v>16273</v>
      </c>
      <c r="O2761" s="1313"/>
      <c r="P2761" s="2243" t="s">
        <v>16274</v>
      </c>
      <c r="Q2761" s="2331" t="s">
        <v>16275</v>
      </c>
      <c r="R2761" s="2243" t="s">
        <v>16289</v>
      </c>
      <c r="S2761" s="2260" t="s">
        <v>16277</v>
      </c>
      <c r="T2761" s="1313"/>
      <c r="U2761" s="1313"/>
      <c r="V2761" s="1315" t="s">
        <v>16278</v>
      </c>
      <c r="W2761" s="1313"/>
      <c r="X2761" s="2328" t="s">
        <v>16279</v>
      </c>
      <c r="Y2761" s="1313"/>
      <c r="Z2761" s="1315" t="s">
        <v>226</v>
      </c>
      <c r="AA2761" s="1313" t="s">
        <v>16280</v>
      </c>
      <c r="AB2761" s="1313" t="s">
        <v>16281</v>
      </c>
      <c r="AC2761" s="1313" t="s">
        <v>16339</v>
      </c>
      <c r="AD2761" s="1313"/>
      <c r="AE2761" s="1313" t="s">
        <v>1174</v>
      </c>
      <c r="AF2761" s="1341">
        <v>36.0</v>
      </c>
      <c r="AG2761" s="2336" t="s">
        <v>16340</v>
      </c>
      <c r="AH2761" s="1313"/>
      <c r="AI2761" s="1313" t="s">
        <v>1174</v>
      </c>
      <c r="AJ2761" s="1313" t="s">
        <v>138</v>
      </c>
      <c r="AK2761" s="1313" t="s">
        <v>172</v>
      </c>
      <c r="AL2761" s="1315" t="s">
        <v>186</v>
      </c>
      <c r="AM2761" s="1315" t="s">
        <v>137</v>
      </c>
      <c r="AN2761" s="1315" t="s">
        <v>138</v>
      </c>
      <c r="AO2761" s="2329">
        <v>3073.0</v>
      </c>
      <c r="AP2761" s="1313" t="s">
        <v>16341</v>
      </c>
      <c r="AQ2761" s="1313" t="s">
        <v>134</v>
      </c>
      <c r="AR2761" s="1313" t="s">
        <v>496</v>
      </c>
      <c r="AS2761" s="1341">
        <v>0.1</v>
      </c>
      <c r="AT2761" s="1313" t="s">
        <v>335</v>
      </c>
      <c r="AU2761" s="1313" t="s">
        <v>186</v>
      </c>
      <c r="AV2761" s="1313" t="s">
        <v>137</v>
      </c>
      <c r="AW2761" s="1313" t="s">
        <v>138</v>
      </c>
      <c r="AX2761" s="1313" t="s">
        <v>143</v>
      </c>
      <c r="AY2761" s="61" t="str">
        <f>IFERROR(__xludf.DUMMYFUNCTION("vlookup(BB2761,importrange(""https://docs.google.com/spreadsheets/d/1d2vevQ_7D_v35q4wCQ4RpQ_IPoTwEMB9Yp6ymwlPqew/edit?gid=984458430#gid=984458430"", ""'replication success'!A:K""), 11, FAlSE)"),"#N/A")</f>
        <v>#N/A</v>
      </c>
      <c r="AZ2761" s="61" t="str">
        <f>IFERROR(__xludf.DUMMYFUNCTION("vlookup(BB2761,importrange(""https://docs.google.com/spreadsheets/d/1d2vevQ_7D_v35q4wCQ4RpQ_IPoTwEMB9Yp6ymwlPqew/edit?gid=984458430#gid=984458430"", ""'replication success'!A:M""), 12, FAlSE)"),"#N/A")</f>
        <v>#N/A</v>
      </c>
      <c r="BA2761" s="61" t="str">
        <f>IFERROR(__xludf.DUMMYFUNCTION("vlookup(BB2761,importrange(""https://docs.google.com/spreadsheets/d/1d2vevQ_7D_v35q4wCQ4RpQ_IPoTwEMB9Yp6ymwlPqew/edit?gid=984458430#gid=984458430"", ""'replication success'!A:M""), 13, FAlSE)"),"#N/A")</f>
        <v>#N/A</v>
      </c>
      <c r="BB2761" s="61" t="str">
        <f>IFERROR(__xludf.DUMMYFUNCTION("REGEXREPLACE(G2761, ""_[a-z]{1,2}$"", """")"),"add_ai57")</f>
        <v>add_ai57</v>
      </c>
      <c r="BC2761" s="1572"/>
      <c r="BD2761" s="1588" t="s">
        <v>13264</v>
      </c>
      <c r="BE2761" s="342"/>
      <c r="BF2761" s="342"/>
      <c r="BG2761" s="342"/>
      <c r="BH2761" s="342"/>
      <c r="BI2761" s="342"/>
      <c r="BJ2761" s="342"/>
      <c r="BK2761" s="342"/>
      <c r="BL2761" s="342"/>
      <c r="BM2761" s="342"/>
      <c r="BN2761" s="342"/>
      <c r="BO2761" s="342"/>
      <c r="BP2761" s="342"/>
      <c r="BQ2761" s="342"/>
      <c r="BR2761" s="342"/>
      <c r="BS2761" s="342"/>
      <c r="BT2761" s="342"/>
      <c r="BU2761" s="342"/>
      <c r="BV2761" s="342"/>
      <c r="BW2761" s="342"/>
      <c r="BX2761" s="342"/>
      <c r="BY2761" s="342"/>
      <c r="BZ2761" s="342"/>
      <c r="CA2761" s="342"/>
      <c r="CB2761" s="342"/>
      <c r="CC2761" s="342"/>
      <c r="CD2761" s="342"/>
      <c r="CE2761" s="342"/>
      <c r="CF2761" s="342"/>
      <c r="CG2761" s="342"/>
      <c r="CH2761" s="342"/>
      <c r="CI2761" s="342"/>
      <c r="CJ2761" s="342"/>
      <c r="CK2761" s="342"/>
      <c r="CL2761" s="342"/>
      <c r="CM2761" s="342"/>
      <c r="CN2761" s="342"/>
      <c r="CO2761" s="342"/>
      <c r="CP2761" s="342"/>
      <c r="CQ2761" s="342"/>
      <c r="CR2761" s="342"/>
      <c r="CS2761" s="342"/>
      <c r="CT2761" s="342"/>
      <c r="CU2761" s="342"/>
      <c r="CV2761" s="342"/>
      <c r="CW2761" s="342"/>
      <c r="CX2761" s="342"/>
      <c r="CY2761" s="342"/>
      <c r="CZ2761" s="342"/>
      <c r="DA2761" s="342"/>
      <c r="DB2761" s="342"/>
      <c r="DC2761" s="342"/>
      <c r="DD2761" s="342"/>
      <c r="DE2761" s="342"/>
      <c r="DF2761" s="342"/>
      <c r="DG2761" s="342"/>
      <c r="DH2761" s="342"/>
      <c r="DI2761" s="342"/>
      <c r="DJ2761" s="342"/>
      <c r="DK2761" s="342"/>
      <c r="DL2761" s="342"/>
    </row>
    <row r="2762" ht="27.0" customHeight="1">
      <c r="A2762" s="44">
        <v>3113.0</v>
      </c>
      <c r="B2762" s="1322" t="s">
        <v>152</v>
      </c>
      <c r="C2762" s="1588" t="s">
        <v>115</v>
      </c>
      <c r="D2762" s="1588" t="s">
        <v>153</v>
      </c>
      <c r="E2762" s="1572"/>
      <c r="F2762" s="1600" t="s">
        <v>16270</v>
      </c>
      <c r="G2762" s="1592" t="s">
        <v>16342</v>
      </c>
      <c r="H2762" s="1600" t="s">
        <v>15921</v>
      </c>
      <c r="I2762" s="2229">
        <v>45821.0</v>
      </c>
      <c r="J2762" s="2230">
        <v>45841.0</v>
      </c>
      <c r="K2762" s="1592" t="s">
        <v>16287</v>
      </c>
      <c r="L2762" s="1322" t="s">
        <v>16316</v>
      </c>
      <c r="M2762" s="1592" t="s">
        <v>16272</v>
      </c>
      <c r="N2762" s="1592" t="s">
        <v>16273</v>
      </c>
      <c r="O2762" s="1313"/>
      <c r="P2762" s="1592" t="s">
        <v>16274</v>
      </c>
      <c r="Q2762" s="2331" t="s">
        <v>16275</v>
      </c>
      <c r="R2762" s="1592" t="s">
        <v>16289</v>
      </c>
      <c r="S2762" s="1592" t="s">
        <v>16277</v>
      </c>
      <c r="T2762" s="1313"/>
      <c r="U2762" s="1313"/>
      <c r="V2762" s="1592" t="s">
        <v>16278</v>
      </c>
      <c r="W2762" s="1313"/>
      <c r="X2762" s="2328" t="s">
        <v>16279</v>
      </c>
      <c r="Y2762" s="1313"/>
      <c r="Z2762" s="1592" t="s">
        <v>2940</v>
      </c>
      <c r="AA2762" s="1592" t="s">
        <v>16290</v>
      </c>
      <c r="AB2762" s="1592" t="s">
        <v>16291</v>
      </c>
      <c r="AC2762" s="1600" t="s">
        <v>16343</v>
      </c>
      <c r="AD2762" s="1600" t="s">
        <v>16293</v>
      </c>
      <c r="AE2762" s="2265">
        <v>11.0</v>
      </c>
      <c r="AF2762" s="2265">
        <v>35.0</v>
      </c>
      <c r="AG2762" s="2265">
        <v>-0.29</v>
      </c>
      <c r="AH2762" s="1592" t="s">
        <v>215</v>
      </c>
      <c r="AI2762" s="2262" t="s">
        <v>16344</v>
      </c>
      <c r="AJ2762" s="2265">
        <v>0.1</v>
      </c>
      <c r="AK2762" s="1592" t="s">
        <v>135</v>
      </c>
      <c r="AL2762" s="1592" t="s">
        <v>186</v>
      </c>
      <c r="AM2762" s="1592" t="s">
        <v>137</v>
      </c>
      <c r="AN2762" s="1592" t="s">
        <v>138</v>
      </c>
      <c r="AO2762" s="2265">
        <v>2524.0</v>
      </c>
      <c r="AP2762" s="2265" t="s">
        <v>16345</v>
      </c>
      <c r="AQ2762" s="2333" t="s">
        <v>134</v>
      </c>
      <c r="AR2762" s="2262" t="s">
        <v>16346</v>
      </c>
      <c r="AS2762" s="2265">
        <v>0.19</v>
      </c>
      <c r="AT2762" s="1592" t="s">
        <v>172</v>
      </c>
      <c r="AU2762" s="1592" t="s">
        <v>186</v>
      </c>
      <c r="AV2762" s="1592" t="s">
        <v>137</v>
      </c>
      <c r="AW2762" s="1592" t="s">
        <v>138</v>
      </c>
      <c r="AX2762" s="1592" t="s">
        <v>143</v>
      </c>
      <c r="AY2762" s="61" t="str">
        <f>IFERROR(__xludf.DUMMYFUNCTION("vlookup(BB2762,importrange(""https://docs.google.com/spreadsheets/d/1d2vevQ_7D_v35q4wCQ4RpQ_IPoTwEMB9Yp6ymwlPqew/edit?gid=984458430#gid=984458430"", ""'replication success'!A:K""), 11, FAlSE)"),"#N/A")</f>
        <v>#N/A</v>
      </c>
      <c r="AZ2762" s="61" t="str">
        <f>IFERROR(__xludf.DUMMYFUNCTION("vlookup(BB2762,importrange(""https://docs.google.com/spreadsheets/d/1d2vevQ_7D_v35q4wCQ4RpQ_IPoTwEMB9Yp6ymwlPqew/edit?gid=984458430#gid=984458430"", ""'replication success'!A:M""), 12, FAlSE)"),"#N/A")</f>
        <v>#N/A</v>
      </c>
      <c r="BA2762" s="61" t="str">
        <f>IFERROR(__xludf.DUMMYFUNCTION("vlookup(BB2762,importrange(""https://docs.google.com/spreadsheets/d/1d2vevQ_7D_v35q4wCQ4RpQ_IPoTwEMB9Yp6ymwlPqew/edit?gid=984458430#gid=984458430"", ""'replication success'!A:M""), 13, FAlSE)"),"#N/A")</f>
        <v>#N/A</v>
      </c>
      <c r="BB2762" s="61" t="str">
        <f>IFERROR(__xludf.DUMMYFUNCTION("REGEXREPLACE(G2762, ""_[a-z]{1,2}$"", """")"),"add_ai57")</f>
        <v>add_ai57</v>
      </c>
      <c r="BC2762" s="1572"/>
      <c r="BD2762" s="1588" t="s">
        <v>13264</v>
      </c>
      <c r="BE2762" s="342"/>
      <c r="BF2762" s="342"/>
      <c r="BG2762" s="342"/>
      <c r="BH2762" s="342"/>
      <c r="BI2762" s="342"/>
      <c r="BJ2762" s="342"/>
      <c r="BK2762" s="342"/>
      <c r="BL2762" s="342"/>
      <c r="BM2762" s="342"/>
      <c r="BN2762" s="342"/>
      <c r="BO2762" s="342"/>
      <c r="BP2762" s="342"/>
      <c r="BQ2762" s="342"/>
      <c r="BR2762" s="342"/>
      <c r="BS2762" s="342"/>
      <c r="BT2762" s="342"/>
      <c r="BU2762" s="342"/>
      <c r="BV2762" s="342"/>
      <c r="BW2762" s="342"/>
      <c r="BX2762" s="342"/>
      <c r="BY2762" s="342"/>
      <c r="BZ2762" s="342"/>
      <c r="CA2762" s="342"/>
      <c r="CB2762" s="342"/>
      <c r="CC2762" s="342"/>
      <c r="CD2762" s="342"/>
      <c r="CE2762" s="342"/>
      <c r="CF2762" s="342"/>
      <c r="CG2762" s="342"/>
      <c r="CH2762" s="342"/>
      <c r="CI2762" s="342"/>
      <c r="CJ2762" s="342"/>
      <c r="CK2762" s="342"/>
      <c r="CL2762" s="342"/>
      <c r="CM2762" s="342"/>
      <c r="CN2762" s="342"/>
      <c r="CO2762" s="342"/>
      <c r="CP2762" s="342"/>
      <c r="CQ2762" s="342"/>
      <c r="CR2762" s="342"/>
      <c r="CS2762" s="342"/>
      <c r="CT2762" s="342"/>
      <c r="CU2762" s="342"/>
      <c r="CV2762" s="342"/>
      <c r="CW2762" s="342"/>
      <c r="CX2762" s="342"/>
      <c r="CY2762" s="342"/>
      <c r="CZ2762" s="342"/>
      <c r="DA2762" s="342"/>
      <c r="DB2762" s="342"/>
      <c r="DC2762" s="342"/>
      <c r="DD2762" s="342"/>
      <c r="DE2762" s="342"/>
      <c r="DF2762" s="342"/>
      <c r="DG2762" s="342"/>
      <c r="DH2762" s="342"/>
      <c r="DI2762" s="342"/>
      <c r="DJ2762" s="342"/>
      <c r="DK2762" s="342"/>
      <c r="DL2762" s="342"/>
    </row>
    <row r="2763" ht="19.5" customHeight="1">
      <c r="A2763" s="44">
        <v>3176.0</v>
      </c>
      <c r="B2763" s="1322" t="s">
        <v>114</v>
      </c>
      <c r="C2763" s="1588" t="s">
        <v>115</v>
      </c>
      <c r="D2763" s="1588" t="s">
        <v>15991</v>
      </c>
      <c r="E2763" s="1572"/>
      <c r="F2763" s="1315" t="s">
        <v>16270</v>
      </c>
      <c r="G2763" s="1315" t="s">
        <v>16342</v>
      </c>
      <c r="H2763" s="2235" t="s">
        <v>15994</v>
      </c>
      <c r="I2763" s="2242">
        <v>45809.0</v>
      </c>
      <c r="J2763" s="2230">
        <v>45841.0</v>
      </c>
      <c r="K2763" s="1313"/>
      <c r="L2763" s="1322" t="s">
        <v>16316</v>
      </c>
      <c r="M2763" s="2243" t="s">
        <v>16272</v>
      </c>
      <c r="N2763" s="2243" t="s">
        <v>16273</v>
      </c>
      <c r="O2763" s="1313"/>
      <c r="P2763" s="2243" t="s">
        <v>16274</v>
      </c>
      <c r="Q2763" s="2331" t="s">
        <v>16275</v>
      </c>
      <c r="R2763" s="2243" t="s">
        <v>16289</v>
      </c>
      <c r="S2763" s="2260" t="s">
        <v>16277</v>
      </c>
      <c r="T2763" s="1313"/>
      <c r="U2763" s="1313"/>
      <c r="V2763" s="1315" t="s">
        <v>16278</v>
      </c>
      <c r="W2763" s="1313"/>
      <c r="X2763" s="2328" t="s">
        <v>16279</v>
      </c>
      <c r="Y2763" s="1313"/>
      <c r="Z2763" s="1315" t="s">
        <v>226</v>
      </c>
      <c r="AA2763" s="1313" t="s">
        <v>16280</v>
      </c>
      <c r="AB2763" s="1313" t="s">
        <v>16281</v>
      </c>
      <c r="AC2763" s="1313" t="s">
        <v>16347</v>
      </c>
      <c r="AD2763" s="1313" t="s">
        <v>16348</v>
      </c>
      <c r="AE2763" s="1313" t="s">
        <v>1174</v>
      </c>
      <c r="AF2763" s="1341">
        <v>34.0</v>
      </c>
      <c r="AG2763" s="1313" t="s">
        <v>16349</v>
      </c>
      <c r="AH2763" s="1313"/>
      <c r="AI2763" s="1313" t="s">
        <v>1174</v>
      </c>
      <c r="AJ2763" s="1313" t="s">
        <v>138</v>
      </c>
      <c r="AK2763" s="1313" t="s">
        <v>172</v>
      </c>
      <c r="AL2763" s="1315" t="s">
        <v>186</v>
      </c>
      <c r="AM2763" s="1315" t="s">
        <v>137</v>
      </c>
      <c r="AN2763" s="1315" t="s">
        <v>138</v>
      </c>
      <c r="AO2763" s="2329">
        <v>3073.0</v>
      </c>
      <c r="AP2763" s="1313" t="s">
        <v>16350</v>
      </c>
      <c r="AQ2763" s="1313" t="s">
        <v>134</v>
      </c>
      <c r="AR2763" s="1313" t="s">
        <v>496</v>
      </c>
      <c r="AS2763" s="1341">
        <v>0.1</v>
      </c>
      <c r="AT2763" s="1313" t="s">
        <v>335</v>
      </c>
      <c r="AU2763" s="1313" t="s">
        <v>186</v>
      </c>
      <c r="AV2763" s="1313" t="s">
        <v>137</v>
      </c>
      <c r="AW2763" s="1313" t="s">
        <v>138</v>
      </c>
      <c r="AX2763" s="1313" t="s">
        <v>143</v>
      </c>
      <c r="AY2763" s="61" t="str">
        <f>IFERROR(__xludf.DUMMYFUNCTION("vlookup(BB2763,importrange(""https://docs.google.com/spreadsheets/d/1d2vevQ_7D_v35q4wCQ4RpQ_IPoTwEMB9Yp6ymwlPqew/edit?gid=984458430#gid=984458430"", ""'replication success'!A:K""), 11, FAlSE)"),"#N/A")</f>
        <v>#N/A</v>
      </c>
      <c r="AZ2763" s="61" t="str">
        <f>IFERROR(__xludf.DUMMYFUNCTION("vlookup(BB2763,importrange(""https://docs.google.com/spreadsheets/d/1d2vevQ_7D_v35q4wCQ4RpQ_IPoTwEMB9Yp6ymwlPqew/edit?gid=984458430#gid=984458430"", ""'replication success'!A:M""), 12, FAlSE)"),"#N/A")</f>
        <v>#N/A</v>
      </c>
      <c r="BA2763" s="61" t="str">
        <f>IFERROR(__xludf.DUMMYFUNCTION("vlookup(BB2763,importrange(""https://docs.google.com/spreadsheets/d/1d2vevQ_7D_v35q4wCQ4RpQ_IPoTwEMB9Yp6ymwlPqew/edit?gid=984458430#gid=984458430"", ""'replication success'!A:M""), 13, FAlSE)"),"#N/A")</f>
        <v>#N/A</v>
      </c>
      <c r="BB2763" s="61" t="str">
        <f>IFERROR(__xludf.DUMMYFUNCTION("REGEXREPLACE(G2763, ""_[a-z]{1,2}$"", """")"),"add_ai57")</f>
        <v>add_ai57</v>
      </c>
      <c r="BC2763" s="1572"/>
      <c r="BD2763" s="1588" t="s">
        <v>13264</v>
      </c>
      <c r="BE2763" s="342"/>
      <c r="BF2763" s="342"/>
      <c r="BG2763" s="342"/>
      <c r="BH2763" s="342"/>
      <c r="BI2763" s="342"/>
      <c r="BJ2763" s="342"/>
      <c r="BK2763" s="342"/>
      <c r="BL2763" s="342"/>
      <c r="BM2763" s="342"/>
      <c r="BN2763" s="342"/>
      <c r="BO2763" s="342"/>
      <c r="BP2763" s="342"/>
      <c r="BQ2763" s="342"/>
      <c r="BR2763" s="342"/>
      <c r="BS2763" s="342"/>
      <c r="BT2763" s="342"/>
      <c r="BU2763" s="342"/>
      <c r="BV2763" s="342"/>
      <c r="BW2763" s="342"/>
      <c r="BX2763" s="342"/>
      <c r="BY2763" s="342"/>
      <c r="BZ2763" s="342"/>
      <c r="CA2763" s="342"/>
      <c r="CB2763" s="342"/>
      <c r="CC2763" s="342"/>
      <c r="CD2763" s="342"/>
      <c r="CE2763" s="342"/>
      <c r="CF2763" s="342"/>
      <c r="CG2763" s="342"/>
      <c r="CH2763" s="342"/>
      <c r="CI2763" s="342"/>
      <c r="CJ2763" s="342"/>
      <c r="CK2763" s="342"/>
      <c r="CL2763" s="342"/>
      <c r="CM2763" s="342"/>
      <c r="CN2763" s="342"/>
      <c r="CO2763" s="342"/>
      <c r="CP2763" s="342"/>
      <c r="CQ2763" s="342"/>
      <c r="CR2763" s="342"/>
      <c r="CS2763" s="342"/>
      <c r="CT2763" s="342"/>
      <c r="CU2763" s="342"/>
      <c r="CV2763" s="342"/>
      <c r="CW2763" s="342"/>
      <c r="CX2763" s="342"/>
      <c r="CY2763" s="342"/>
      <c r="CZ2763" s="342"/>
      <c r="DA2763" s="342"/>
      <c r="DB2763" s="342"/>
      <c r="DC2763" s="342"/>
      <c r="DD2763" s="342"/>
      <c r="DE2763" s="342"/>
      <c r="DF2763" s="342"/>
      <c r="DG2763" s="342"/>
      <c r="DH2763" s="342"/>
      <c r="DI2763" s="342"/>
      <c r="DJ2763" s="342"/>
      <c r="DK2763" s="342"/>
      <c r="DL2763" s="342"/>
    </row>
    <row r="2764" ht="27.75" customHeight="1">
      <c r="A2764" s="44">
        <v>3114.0</v>
      </c>
      <c r="B2764" s="1322" t="s">
        <v>152</v>
      </c>
      <c r="C2764" s="1588" t="s">
        <v>115</v>
      </c>
      <c r="D2764" s="1588" t="s">
        <v>153</v>
      </c>
      <c r="E2764" s="1572"/>
      <c r="F2764" s="1600" t="s">
        <v>16270</v>
      </c>
      <c r="G2764" s="1592" t="s">
        <v>16351</v>
      </c>
      <c r="H2764" s="1600" t="s">
        <v>15921</v>
      </c>
      <c r="I2764" s="2229">
        <v>45821.0</v>
      </c>
      <c r="J2764" s="2230">
        <v>45841.0</v>
      </c>
      <c r="K2764" s="1592" t="s">
        <v>16287</v>
      </c>
      <c r="L2764" s="1322" t="s">
        <v>16316</v>
      </c>
      <c r="M2764" s="1592" t="s">
        <v>16272</v>
      </c>
      <c r="N2764" s="1592" t="s">
        <v>16273</v>
      </c>
      <c r="O2764" s="1313"/>
      <c r="P2764" s="1592" t="s">
        <v>16274</v>
      </c>
      <c r="Q2764" s="2331" t="s">
        <v>16275</v>
      </c>
      <c r="R2764" s="1592" t="s">
        <v>16289</v>
      </c>
      <c r="S2764" s="1592" t="s">
        <v>16277</v>
      </c>
      <c r="T2764" s="1313"/>
      <c r="U2764" s="1313"/>
      <c r="V2764" s="1592" t="s">
        <v>16278</v>
      </c>
      <c r="W2764" s="1313"/>
      <c r="X2764" s="2328" t="s">
        <v>16279</v>
      </c>
      <c r="Y2764" s="1313"/>
      <c r="Z2764" s="1592" t="s">
        <v>2940</v>
      </c>
      <c r="AA2764" s="1592" t="s">
        <v>16290</v>
      </c>
      <c r="AB2764" s="1592" t="s">
        <v>16291</v>
      </c>
      <c r="AC2764" s="2262" t="s">
        <v>16352</v>
      </c>
      <c r="AD2764" s="1600" t="s">
        <v>16293</v>
      </c>
      <c r="AE2764" s="2265">
        <v>11.0</v>
      </c>
      <c r="AF2764" s="2265">
        <v>35.0</v>
      </c>
      <c r="AG2764" s="2265">
        <v>-0.61</v>
      </c>
      <c r="AH2764" s="1592" t="s">
        <v>215</v>
      </c>
      <c r="AI2764" s="2262" t="s">
        <v>16353</v>
      </c>
      <c r="AJ2764" s="2265">
        <v>0.001</v>
      </c>
      <c r="AK2764" s="1592" t="s">
        <v>135</v>
      </c>
      <c r="AL2764" s="1592" t="s">
        <v>186</v>
      </c>
      <c r="AM2764" s="1592" t="s">
        <v>137</v>
      </c>
      <c r="AN2764" s="1592" t="s">
        <v>138</v>
      </c>
      <c r="AO2764" s="2265">
        <v>2524.0</v>
      </c>
      <c r="AP2764" s="2265" t="s">
        <v>16354</v>
      </c>
      <c r="AQ2764" s="2333" t="s">
        <v>134</v>
      </c>
      <c r="AR2764" s="2262" t="s">
        <v>16355</v>
      </c>
      <c r="AS2764" s="2265">
        <v>0.09</v>
      </c>
      <c r="AT2764" s="1592" t="s">
        <v>172</v>
      </c>
      <c r="AU2764" s="1592" t="s">
        <v>186</v>
      </c>
      <c r="AV2764" s="1592" t="s">
        <v>137</v>
      </c>
      <c r="AW2764" s="1592" t="s">
        <v>138</v>
      </c>
      <c r="AX2764" s="1592" t="s">
        <v>143</v>
      </c>
      <c r="AY2764" s="61" t="str">
        <f>IFERROR(__xludf.DUMMYFUNCTION("vlookup(BB2764,importrange(""https://docs.google.com/spreadsheets/d/1d2vevQ_7D_v35q4wCQ4RpQ_IPoTwEMB9Yp6ymwlPqew/edit?gid=984458430#gid=984458430"", ""'replication success'!A:K""), 11, FAlSE)"),"#N/A")</f>
        <v>#N/A</v>
      </c>
      <c r="AZ2764" s="61" t="str">
        <f>IFERROR(__xludf.DUMMYFUNCTION("vlookup(BB2764,importrange(""https://docs.google.com/spreadsheets/d/1d2vevQ_7D_v35q4wCQ4RpQ_IPoTwEMB9Yp6ymwlPqew/edit?gid=984458430#gid=984458430"", ""'replication success'!A:M""), 12, FAlSE)"),"#N/A")</f>
        <v>#N/A</v>
      </c>
      <c r="BA2764" s="61" t="str">
        <f>IFERROR(__xludf.DUMMYFUNCTION("vlookup(BB2764,importrange(""https://docs.google.com/spreadsheets/d/1d2vevQ_7D_v35q4wCQ4RpQ_IPoTwEMB9Yp6ymwlPqew/edit?gid=984458430#gid=984458430"", ""'replication success'!A:M""), 13, FAlSE)"),"#N/A")</f>
        <v>#N/A</v>
      </c>
      <c r="BB2764" s="61" t="str">
        <f>IFERROR(__xludf.DUMMYFUNCTION("REGEXREPLACE(G2764, ""_[a-z]{1,2}$"", """")"),"add_ai57")</f>
        <v>add_ai57</v>
      </c>
      <c r="BC2764" s="1572"/>
      <c r="BD2764" s="1588" t="s">
        <v>13264</v>
      </c>
      <c r="BE2764" s="342"/>
      <c r="BF2764" s="342"/>
      <c r="BG2764" s="342"/>
      <c r="BH2764" s="342"/>
      <c r="BI2764" s="342"/>
      <c r="BJ2764" s="342"/>
      <c r="BK2764" s="342"/>
      <c r="BL2764" s="342"/>
      <c r="BM2764" s="342"/>
      <c r="BN2764" s="342"/>
      <c r="BO2764" s="342"/>
      <c r="BP2764" s="342"/>
      <c r="BQ2764" s="342"/>
      <c r="BR2764" s="342"/>
      <c r="BS2764" s="342"/>
      <c r="BT2764" s="342"/>
      <c r="BU2764" s="342"/>
      <c r="BV2764" s="342"/>
      <c r="BW2764" s="342"/>
      <c r="BX2764" s="342"/>
      <c r="BY2764" s="342"/>
      <c r="BZ2764" s="342"/>
      <c r="CA2764" s="342"/>
      <c r="CB2764" s="342"/>
      <c r="CC2764" s="342"/>
      <c r="CD2764" s="342"/>
      <c r="CE2764" s="342"/>
      <c r="CF2764" s="342"/>
      <c r="CG2764" s="342"/>
      <c r="CH2764" s="342"/>
      <c r="CI2764" s="342"/>
      <c r="CJ2764" s="342"/>
      <c r="CK2764" s="342"/>
      <c r="CL2764" s="342"/>
      <c r="CM2764" s="342"/>
      <c r="CN2764" s="342"/>
      <c r="CO2764" s="342"/>
      <c r="CP2764" s="342"/>
      <c r="CQ2764" s="342"/>
      <c r="CR2764" s="342"/>
      <c r="CS2764" s="342"/>
      <c r="CT2764" s="342"/>
      <c r="CU2764" s="342"/>
      <c r="CV2764" s="342"/>
      <c r="CW2764" s="342"/>
      <c r="CX2764" s="342"/>
      <c r="CY2764" s="342"/>
      <c r="CZ2764" s="342"/>
      <c r="DA2764" s="342"/>
      <c r="DB2764" s="342"/>
      <c r="DC2764" s="342"/>
      <c r="DD2764" s="342"/>
      <c r="DE2764" s="342"/>
      <c r="DF2764" s="342"/>
      <c r="DG2764" s="342"/>
      <c r="DH2764" s="342"/>
      <c r="DI2764" s="342"/>
      <c r="DJ2764" s="342"/>
      <c r="DK2764" s="342"/>
      <c r="DL2764" s="342"/>
    </row>
    <row r="2765" ht="25.5" customHeight="1">
      <c r="A2765" s="44">
        <v>3177.0</v>
      </c>
      <c r="B2765" s="1322" t="s">
        <v>114</v>
      </c>
      <c r="C2765" s="1588" t="s">
        <v>115</v>
      </c>
      <c r="D2765" s="1588" t="s">
        <v>15991</v>
      </c>
      <c r="E2765" s="1572"/>
      <c r="F2765" s="1315" t="s">
        <v>16270</v>
      </c>
      <c r="G2765" s="1315" t="s">
        <v>16351</v>
      </c>
      <c r="H2765" s="2235" t="s">
        <v>15994</v>
      </c>
      <c r="I2765" s="2242">
        <v>45809.0</v>
      </c>
      <c r="J2765" s="2230">
        <v>45841.0</v>
      </c>
      <c r="K2765" s="1313"/>
      <c r="L2765" s="1322" t="s">
        <v>16316</v>
      </c>
      <c r="M2765" s="2243" t="s">
        <v>16272</v>
      </c>
      <c r="N2765" s="2243" t="s">
        <v>16273</v>
      </c>
      <c r="O2765" s="1313"/>
      <c r="P2765" s="2243" t="s">
        <v>16274</v>
      </c>
      <c r="Q2765" s="2331" t="s">
        <v>16275</v>
      </c>
      <c r="R2765" s="2243" t="s">
        <v>16289</v>
      </c>
      <c r="S2765" s="2260" t="s">
        <v>16277</v>
      </c>
      <c r="T2765" s="1313"/>
      <c r="U2765" s="1313"/>
      <c r="V2765" s="1315" t="s">
        <v>16278</v>
      </c>
      <c r="W2765" s="1313"/>
      <c r="X2765" s="2328" t="s">
        <v>16279</v>
      </c>
      <c r="Y2765" s="1313"/>
      <c r="Z2765" s="1315" t="s">
        <v>226</v>
      </c>
      <c r="AA2765" s="1313" t="s">
        <v>16280</v>
      </c>
      <c r="AB2765" s="1313" t="s">
        <v>16281</v>
      </c>
      <c r="AC2765" s="1313" t="s">
        <v>16356</v>
      </c>
      <c r="AD2765" s="1313" t="s">
        <v>16357</v>
      </c>
      <c r="AE2765" s="1313" t="s">
        <v>1174</v>
      </c>
      <c r="AF2765" s="1341">
        <v>35.0</v>
      </c>
      <c r="AG2765" s="1313" t="s">
        <v>16358</v>
      </c>
      <c r="AH2765" s="1313"/>
      <c r="AI2765" s="1313" t="s">
        <v>1174</v>
      </c>
      <c r="AJ2765" s="1341">
        <v>0.1</v>
      </c>
      <c r="AK2765" s="1313" t="s">
        <v>135</v>
      </c>
      <c r="AL2765" s="1315" t="s">
        <v>186</v>
      </c>
      <c r="AM2765" s="1315" t="s">
        <v>137</v>
      </c>
      <c r="AN2765" s="1315" t="s">
        <v>138</v>
      </c>
      <c r="AO2765" s="2329">
        <v>3073.0</v>
      </c>
      <c r="AP2765" s="1313" t="s">
        <v>16359</v>
      </c>
      <c r="AQ2765" s="1313" t="s">
        <v>134</v>
      </c>
      <c r="AR2765" s="1313" t="s">
        <v>496</v>
      </c>
      <c r="AS2765" s="1341">
        <v>0.1</v>
      </c>
      <c r="AT2765" s="1313" t="s">
        <v>335</v>
      </c>
      <c r="AU2765" s="1313" t="s">
        <v>186</v>
      </c>
      <c r="AV2765" s="1313" t="s">
        <v>137</v>
      </c>
      <c r="AW2765" s="1313" t="s">
        <v>138</v>
      </c>
      <c r="AX2765" s="1313" t="s">
        <v>143</v>
      </c>
      <c r="AY2765" s="61" t="str">
        <f>IFERROR(__xludf.DUMMYFUNCTION("vlookup(BB2765,importrange(""https://docs.google.com/spreadsheets/d/1d2vevQ_7D_v35q4wCQ4RpQ_IPoTwEMB9Yp6ymwlPqew/edit?gid=984458430#gid=984458430"", ""'replication success'!A:K""), 11, FAlSE)"),"#N/A")</f>
        <v>#N/A</v>
      </c>
      <c r="AZ2765" s="61" t="str">
        <f>IFERROR(__xludf.DUMMYFUNCTION("vlookup(BB2765,importrange(""https://docs.google.com/spreadsheets/d/1d2vevQ_7D_v35q4wCQ4RpQ_IPoTwEMB9Yp6ymwlPqew/edit?gid=984458430#gid=984458430"", ""'replication success'!A:M""), 12, FAlSE)"),"#N/A")</f>
        <v>#N/A</v>
      </c>
      <c r="BA2765" s="61" t="str">
        <f>IFERROR(__xludf.DUMMYFUNCTION("vlookup(BB2765,importrange(""https://docs.google.com/spreadsheets/d/1d2vevQ_7D_v35q4wCQ4RpQ_IPoTwEMB9Yp6ymwlPqew/edit?gid=984458430#gid=984458430"", ""'replication success'!A:M""), 13, FAlSE)"),"#N/A")</f>
        <v>#N/A</v>
      </c>
      <c r="BB2765" s="61" t="str">
        <f>IFERROR(__xludf.DUMMYFUNCTION("REGEXREPLACE(G2765, ""_[a-z]{1,2}$"", """")"),"add_ai57")</f>
        <v>add_ai57</v>
      </c>
      <c r="BC2765" s="1572"/>
      <c r="BD2765" s="1588" t="s">
        <v>13264</v>
      </c>
      <c r="BE2765" s="342"/>
      <c r="BF2765" s="342"/>
      <c r="BG2765" s="342"/>
      <c r="BH2765" s="342"/>
      <c r="BI2765" s="342"/>
      <c r="BJ2765" s="342"/>
      <c r="BK2765" s="342"/>
      <c r="BL2765" s="342"/>
      <c r="BM2765" s="342"/>
      <c r="BN2765" s="342"/>
      <c r="BO2765" s="342"/>
      <c r="BP2765" s="342"/>
      <c r="BQ2765" s="342"/>
      <c r="BR2765" s="342"/>
      <c r="BS2765" s="342"/>
      <c r="BT2765" s="342"/>
      <c r="BU2765" s="342"/>
      <c r="BV2765" s="342"/>
      <c r="BW2765" s="342"/>
      <c r="BX2765" s="342"/>
      <c r="BY2765" s="342"/>
      <c r="BZ2765" s="342"/>
      <c r="CA2765" s="342"/>
      <c r="CB2765" s="342"/>
      <c r="CC2765" s="342"/>
      <c r="CD2765" s="342"/>
      <c r="CE2765" s="342"/>
      <c r="CF2765" s="342"/>
      <c r="CG2765" s="342"/>
      <c r="CH2765" s="342"/>
      <c r="CI2765" s="342"/>
      <c r="CJ2765" s="342"/>
      <c r="CK2765" s="342"/>
      <c r="CL2765" s="342"/>
      <c r="CM2765" s="342"/>
      <c r="CN2765" s="342"/>
      <c r="CO2765" s="342"/>
      <c r="CP2765" s="342"/>
      <c r="CQ2765" s="342"/>
      <c r="CR2765" s="342"/>
      <c r="CS2765" s="342"/>
      <c r="CT2765" s="342"/>
      <c r="CU2765" s="342"/>
      <c r="CV2765" s="342"/>
      <c r="CW2765" s="342"/>
      <c r="CX2765" s="342"/>
      <c r="CY2765" s="342"/>
      <c r="CZ2765" s="342"/>
      <c r="DA2765" s="342"/>
      <c r="DB2765" s="342"/>
      <c r="DC2765" s="342"/>
      <c r="DD2765" s="342"/>
      <c r="DE2765" s="342"/>
      <c r="DF2765" s="342"/>
      <c r="DG2765" s="342"/>
      <c r="DH2765" s="342"/>
      <c r="DI2765" s="342"/>
      <c r="DJ2765" s="342"/>
      <c r="DK2765" s="342"/>
      <c r="DL2765" s="342"/>
    </row>
    <row r="2766" ht="22.5" customHeight="1">
      <c r="A2766" s="44">
        <v>3115.0</v>
      </c>
      <c r="B2766" s="1322" t="s">
        <v>152</v>
      </c>
      <c r="C2766" s="1588" t="s">
        <v>115</v>
      </c>
      <c r="D2766" s="1588" t="s">
        <v>153</v>
      </c>
      <c r="E2766" s="1572"/>
      <c r="F2766" s="1600" t="s">
        <v>16270</v>
      </c>
      <c r="G2766" s="1592" t="s">
        <v>16360</v>
      </c>
      <c r="H2766" s="1600" t="s">
        <v>15921</v>
      </c>
      <c r="I2766" s="2229">
        <v>45821.0</v>
      </c>
      <c r="J2766" s="2230">
        <v>45841.0</v>
      </c>
      <c r="K2766" s="1592" t="s">
        <v>16287</v>
      </c>
      <c r="L2766" s="1322" t="s">
        <v>16316</v>
      </c>
      <c r="M2766" s="1592" t="s">
        <v>16272</v>
      </c>
      <c r="N2766" s="1592" t="s">
        <v>16273</v>
      </c>
      <c r="O2766" s="1313"/>
      <c r="P2766" s="1592" t="s">
        <v>16274</v>
      </c>
      <c r="Q2766" s="2331" t="s">
        <v>16275</v>
      </c>
      <c r="R2766" s="1592" t="s">
        <v>16289</v>
      </c>
      <c r="S2766" s="1592" t="s">
        <v>16277</v>
      </c>
      <c r="T2766" s="1313"/>
      <c r="U2766" s="1313"/>
      <c r="V2766" s="1592" t="s">
        <v>16278</v>
      </c>
      <c r="W2766" s="1313"/>
      <c r="X2766" s="2328" t="s">
        <v>16279</v>
      </c>
      <c r="Y2766" s="1313"/>
      <c r="Z2766" s="1592" t="s">
        <v>2940</v>
      </c>
      <c r="AA2766" s="1592" t="s">
        <v>16290</v>
      </c>
      <c r="AB2766" s="1592" t="s">
        <v>16291</v>
      </c>
      <c r="AC2766" s="1600" t="s">
        <v>16361</v>
      </c>
      <c r="AD2766" s="1600" t="s">
        <v>16293</v>
      </c>
      <c r="AE2766" s="2265">
        <v>11.0</v>
      </c>
      <c r="AF2766" s="2265">
        <v>35.0</v>
      </c>
      <c r="AG2766" s="2265">
        <v>0.2</v>
      </c>
      <c r="AH2766" s="1592" t="s">
        <v>215</v>
      </c>
      <c r="AI2766" s="2262" t="s">
        <v>16362</v>
      </c>
      <c r="AJ2766" s="2265">
        <v>0.1</v>
      </c>
      <c r="AK2766" s="1592" t="s">
        <v>335</v>
      </c>
      <c r="AL2766" s="1592" t="s">
        <v>186</v>
      </c>
      <c r="AM2766" s="1592" t="s">
        <v>137</v>
      </c>
      <c r="AN2766" s="1592" t="s">
        <v>138</v>
      </c>
      <c r="AO2766" s="2265">
        <v>2524.0</v>
      </c>
      <c r="AP2766" s="2265" t="s">
        <v>16363</v>
      </c>
      <c r="AQ2766" s="2333" t="s">
        <v>134</v>
      </c>
      <c r="AR2766" s="2262" t="s">
        <v>16364</v>
      </c>
      <c r="AS2766" s="2265">
        <v>0.1</v>
      </c>
      <c r="AT2766" s="1592" t="s">
        <v>172</v>
      </c>
      <c r="AU2766" s="1592" t="s">
        <v>186</v>
      </c>
      <c r="AV2766" s="1592" t="s">
        <v>137</v>
      </c>
      <c r="AW2766" s="1592" t="s">
        <v>138</v>
      </c>
      <c r="AX2766" s="1592" t="s">
        <v>143</v>
      </c>
      <c r="AY2766" s="61" t="str">
        <f>IFERROR(__xludf.DUMMYFUNCTION("vlookup(BB2766,importrange(""https://docs.google.com/spreadsheets/d/1d2vevQ_7D_v35q4wCQ4RpQ_IPoTwEMB9Yp6ymwlPqew/edit?gid=984458430#gid=984458430"", ""'replication success'!A:K""), 11, FAlSE)"),"#N/A")</f>
        <v>#N/A</v>
      </c>
      <c r="AZ2766" s="61" t="str">
        <f>IFERROR(__xludf.DUMMYFUNCTION("vlookup(BB2766,importrange(""https://docs.google.com/spreadsheets/d/1d2vevQ_7D_v35q4wCQ4RpQ_IPoTwEMB9Yp6ymwlPqew/edit?gid=984458430#gid=984458430"", ""'replication success'!A:M""), 12, FAlSE)"),"#N/A")</f>
        <v>#N/A</v>
      </c>
      <c r="BA2766" s="61" t="str">
        <f>IFERROR(__xludf.DUMMYFUNCTION("vlookup(BB2766,importrange(""https://docs.google.com/spreadsheets/d/1d2vevQ_7D_v35q4wCQ4RpQ_IPoTwEMB9Yp6ymwlPqew/edit?gid=984458430#gid=984458430"", ""'replication success'!A:M""), 13, FAlSE)"),"#N/A")</f>
        <v>#N/A</v>
      </c>
      <c r="BB2766" s="61" t="str">
        <f>IFERROR(__xludf.DUMMYFUNCTION("REGEXREPLACE(G2766, ""_[a-z]{1,2}$"", """")"),"add_ai57")</f>
        <v>add_ai57</v>
      </c>
      <c r="BC2766" s="1572"/>
      <c r="BD2766" s="1588" t="s">
        <v>13264</v>
      </c>
      <c r="BE2766" s="342"/>
      <c r="BF2766" s="342"/>
      <c r="BG2766" s="342"/>
      <c r="BH2766" s="342"/>
      <c r="BI2766" s="342"/>
      <c r="BJ2766" s="342"/>
      <c r="BK2766" s="342"/>
      <c r="BL2766" s="342"/>
      <c r="BM2766" s="342"/>
      <c r="BN2766" s="342"/>
      <c r="BO2766" s="342"/>
      <c r="BP2766" s="342"/>
      <c r="BQ2766" s="342"/>
      <c r="BR2766" s="342"/>
      <c r="BS2766" s="342"/>
      <c r="BT2766" s="342"/>
      <c r="BU2766" s="342"/>
      <c r="BV2766" s="342"/>
      <c r="BW2766" s="342"/>
      <c r="BX2766" s="342"/>
      <c r="BY2766" s="342"/>
      <c r="BZ2766" s="342"/>
      <c r="CA2766" s="342"/>
      <c r="CB2766" s="342"/>
      <c r="CC2766" s="342"/>
      <c r="CD2766" s="342"/>
      <c r="CE2766" s="342"/>
      <c r="CF2766" s="342"/>
      <c r="CG2766" s="342"/>
      <c r="CH2766" s="342"/>
      <c r="CI2766" s="342"/>
      <c r="CJ2766" s="342"/>
      <c r="CK2766" s="342"/>
      <c r="CL2766" s="342"/>
      <c r="CM2766" s="342"/>
      <c r="CN2766" s="342"/>
      <c r="CO2766" s="342"/>
      <c r="CP2766" s="342"/>
      <c r="CQ2766" s="342"/>
      <c r="CR2766" s="342"/>
      <c r="CS2766" s="342"/>
      <c r="CT2766" s="342"/>
      <c r="CU2766" s="342"/>
      <c r="CV2766" s="342"/>
      <c r="CW2766" s="342"/>
      <c r="CX2766" s="342"/>
      <c r="CY2766" s="342"/>
      <c r="CZ2766" s="342"/>
      <c r="DA2766" s="342"/>
      <c r="DB2766" s="342"/>
      <c r="DC2766" s="342"/>
      <c r="DD2766" s="342"/>
      <c r="DE2766" s="342"/>
      <c r="DF2766" s="342"/>
      <c r="DG2766" s="342"/>
      <c r="DH2766" s="342"/>
      <c r="DI2766" s="342"/>
      <c r="DJ2766" s="342"/>
      <c r="DK2766" s="342"/>
      <c r="DL2766" s="342"/>
    </row>
    <row r="2767" ht="23.25" customHeight="1">
      <c r="A2767" s="44">
        <v>3178.0</v>
      </c>
      <c r="B2767" s="1322" t="s">
        <v>114</v>
      </c>
      <c r="C2767" s="1588" t="s">
        <v>115</v>
      </c>
      <c r="D2767" s="1588" t="s">
        <v>15991</v>
      </c>
      <c r="E2767" s="1572"/>
      <c r="F2767" s="1315" t="s">
        <v>16270</v>
      </c>
      <c r="G2767" s="1315" t="s">
        <v>16360</v>
      </c>
      <c r="H2767" s="2235" t="s">
        <v>15994</v>
      </c>
      <c r="I2767" s="2242">
        <v>45809.0</v>
      </c>
      <c r="J2767" s="2230">
        <v>45841.0</v>
      </c>
      <c r="K2767" s="1313"/>
      <c r="L2767" s="1322" t="s">
        <v>16316</v>
      </c>
      <c r="M2767" s="2243" t="s">
        <v>16272</v>
      </c>
      <c r="N2767" s="2243" t="s">
        <v>16273</v>
      </c>
      <c r="O2767" s="1313"/>
      <c r="P2767" s="2243" t="s">
        <v>16274</v>
      </c>
      <c r="Q2767" s="2331" t="s">
        <v>16275</v>
      </c>
      <c r="R2767" s="2243" t="s">
        <v>16289</v>
      </c>
      <c r="S2767" s="2260" t="s">
        <v>16277</v>
      </c>
      <c r="T2767" s="1313"/>
      <c r="U2767" s="1313"/>
      <c r="V2767" s="1315" t="s">
        <v>16278</v>
      </c>
      <c r="W2767" s="1313"/>
      <c r="X2767" s="2328" t="s">
        <v>16279</v>
      </c>
      <c r="Y2767" s="1313"/>
      <c r="Z2767" s="1315" t="s">
        <v>226</v>
      </c>
      <c r="AA2767" s="1313" t="s">
        <v>16280</v>
      </c>
      <c r="AB2767" s="1313" t="s">
        <v>16281</v>
      </c>
      <c r="AC2767" s="1313" t="s">
        <v>16365</v>
      </c>
      <c r="AD2767" s="1313" t="s">
        <v>16366</v>
      </c>
      <c r="AE2767" s="1313" t="s">
        <v>1174</v>
      </c>
      <c r="AF2767" s="1341">
        <v>33.0</v>
      </c>
      <c r="AG2767" s="1313" t="s">
        <v>16367</v>
      </c>
      <c r="AH2767" s="1313"/>
      <c r="AI2767" s="1313" t="s">
        <v>1174</v>
      </c>
      <c r="AJ2767" s="1341">
        <v>0.05</v>
      </c>
      <c r="AK2767" s="1313" t="s">
        <v>135</v>
      </c>
      <c r="AL2767" s="1315" t="s">
        <v>186</v>
      </c>
      <c r="AM2767" s="1315" t="s">
        <v>137</v>
      </c>
      <c r="AN2767" s="1315" t="s">
        <v>138</v>
      </c>
      <c r="AO2767" s="2329">
        <v>3073.0</v>
      </c>
      <c r="AP2767" s="1313" t="s">
        <v>16368</v>
      </c>
      <c r="AQ2767" s="1313" t="s">
        <v>134</v>
      </c>
      <c r="AR2767" s="1313" t="s">
        <v>496</v>
      </c>
      <c r="AS2767" s="1341">
        <v>0.06</v>
      </c>
      <c r="AT2767" s="1313" t="s">
        <v>172</v>
      </c>
      <c r="AU2767" s="1313" t="s">
        <v>186</v>
      </c>
      <c r="AV2767" s="1313" t="s">
        <v>137</v>
      </c>
      <c r="AW2767" s="1313" t="s">
        <v>138</v>
      </c>
      <c r="AX2767" s="1313" t="s">
        <v>143</v>
      </c>
      <c r="AY2767" s="61" t="str">
        <f>IFERROR(__xludf.DUMMYFUNCTION("vlookup(BB2767,importrange(""https://docs.google.com/spreadsheets/d/1d2vevQ_7D_v35q4wCQ4RpQ_IPoTwEMB9Yp6ymwlPqew/edit?gid=984458430#gid=984458430"", ""'replication success'!A:K""), 11, FAlSE)"),"#N/A")</f>
        <v>#N/A</v>
      </c>
      <c r="AZ2767" s="61" t="str">
        <f>IFERROR(__xludf.DUMMYFUNCTION("vlookup(BB2767,importrange(""https://docs.google.com/spreadsheets/d/1d2vevQ_7D_v35q4wCQ4RpQ_IPoTwEMB9Yp6ymwlPqew/edit?gid=984458430#gid=984458430"", ""'replication success'!A:M""), 12, FAlSE)"),"#N/A")</f>
        <v>#N/A</v>
      </c>
      <c r="BA2767" s="61" t="str">
        <f>IFERROR(__xludf.DUMMYFUNCTION("vlookup(BB2767,importrange(""https://docs.google.com/spreadsheets/d/1d2vevQ_7D_v35q4wCQ4RpQ_IPoTwEMB9Yp6ymwlPqew/edit?gid=984458430#gid=984458430"", ""'replication success'!A:M""), 13, FAlSE)"),"#N/A")</f>
        <v>#N/A</v>
      </c>
      <c r="BB2767" s="61" t="str">
        <f>IFERROR(__xludf.DUMMYFUNCTION("REGEXREPLACE(G2767, ""_[a-z]{1,2}$"", """")"),"add_ai57")</f>
        <v>add_ai57</v>
      </c>
      <c r="BC2767" s="1572"/>
      <c r="BD2767" s="1588" t="s">
        <v>13264</v>
      </c>
      <c r="BE2767" s="342"/>
      <c r="BF2767" s="342"/>
      <c r="BG2767" s="342"/>
      <c r="BH2767" s="342"/>
      <c r="BI2767" s="342"/>
      <c r="BJ2767" s="342"/>
      <c r="BK2767" s="342"/>
      <c r="BL2767" s="342"/>
      <c r="BM2767" s="342"/>
      <c r="BN2767" s="342"/>
      <c r="BO2767" s="342"/>
      <c r="BP2767" s="342"/>
      <c r="BQ2767" s="342"/>
      <c r="BR2767" s="342"/>
      <c r="BS2767" s="342"/>
      <c r="BT2767" s="342"/>
      <c r="BU2767" s="342"/>
      <c r="BV2767" s="342"/>
      <c r="BW2767" s="342"/>
      <c r="BX2767" s="342"/>
      <c r="BY2767" s="342"/>
      <c r="BZ2767" s="342"/>
      <c r="CA2767" s="342"/>
      <c r="CB2767" s="342"/>
      <c r="CC2767" s="342"/>
      <c r="CD2767" s="342"/>
      <c r="CE2767" s="342"/>
      <c r="CF2767" s="342"/>
      <c r="CG2767" s="342"/>
      <c r="CH2767" s="342"/>
      <c r="CI2767" s="342"/>
      <c r="CJ2767" s="342"/>
      <c r="CK2767" s="342"/>
      <c r="CL2767" s="342"/>
      <c r="CM2767" s="342"/>
      <c r="CN2767" s="342"/>
      <c r="CO2767" s="342"/>
      <c r="CP2767" s="342"/>
      <c r="CQ2767" s="342"/>
      <c r="CR2767" s="342"/>
      <c r="CS2767" s="342"/>
      <c r="CT2767" s="342"/>
      <c r="CU2767" s="342"/>
      <c r="CV2767" s="342"/>
      <c r="CW2767" s="342"/>
      <c r="CX2767" s="342"/>
      <c r="CY2767" s="342"/>
      <c r="CZ2767" s="342"/>
      <c r="DA2767" s="342"/>
      <c r="DB2767" s="342"/>
      <c r="DC2767" s="342"/>
      <c r="DD2767" s="342"/>
      <c r="DE2767" s="342"/>
      <c r="DF2767" s="342"/>
      <c r="DG2767" s="342"/>
      <c r="DH2767" s="342"/>
      <c r="DI2767" s="342"/>
      <c r="DJ2767" s="342"/>
      <c r="DK2767" s="342"/>
      <c r="DL2767" s="342"/>
    </row>
    <row r="2768" ht="22.5" customHeight="1">
      <c r="A2768" s="44">
        <v>3116.0</v>
      </c>
      <c r="B2768" s="1322" t="s">
        <v>152</v>
      </c>
      <c r="C2768" s="1588" t="s">
        <v>115</v>
      </c>
      <c r="D2768" s="1588" t="s">
        <v>153</v>
      </c>
      <c r="E2768" s="1572"/>
      <c r="F2768" s="1600" t="s">
        <v>16270</v>
      </c>
      <c r="G2768" s="1592" t="s">
        <v>16369</v>
      </c>
      <c r="H2768" s="1600" t="s">
        <v>15921</v>
      </c>
      <c r="I2768" s="2229">
        <v>45821.0</v>
      </c>
      <c r="J2768" s="2230">
        <v>45841.0</v>
      </c>
      <c r="K2768" s="1592" t="s">
        <v>16287</v>
      </c>
      <c r="L2768" s="1322" t="s">
        <v>16316</v>
      </c>
      <c r="M2768" s="1592" t="s">
        <v>16272</v>
      </c>
      <c r="N2768" s="1592" t="s">
        <v>16273</v>
      </c>
      <c r="O2768" s="1313"/>
      <c r="P2768" s="1592" t="s">
        <v>16274</v>
      </c>
      <c r="Q2768" s="2331" t="s">
        <v>16275</v>
      </c>
      <c r="R2768" s="1592" t="s">
        <v>16289</v>
      </c>
      <c r="S2768" s="1592" t="s">
        <v>16277</v>
      </c>
      <c r="T2768" s="1313"/>
      <c r="U2768" s="1313"/>
      <c r="V2768" s="1592" t="s">
        <v>16278</v>
      </c>
      <c r="W2768" s="1313"/>
      <c r="X2768" s="2328" t="s">
        <v>16279</v>
      </c>
      <c r="Y2768" s="1313"/>
      <c r="Z2768" s="1592" t="s">
        <v>2940</v>
      </c>
      <c r="AA2768" s="1592" t="s">
        <v>16290</v>
      </c>
      <c r="AB2768" s="1592" t="s">
        <v>16291</v>
      </c>
      <c r="AC2768" s="1600" t="s">
        <v>16370</v>
      </c>
      <c r="AD2768" s="1600" t="s">
        <v>16293</v>
      </c>
      <c r="AE2768" s="2265">
        <v>11.0</v>
      </c>
      <c r="AF2768" s="2265">
        <v>36.0</v>
      </c>
      <c r="AG2768" s="2265">
        <v>-0.23</v>
      </c>
      <c r="AH2768" s="1592" t="s">
        <v>215</v>
      </c>
      <c r="AI2768" s="2262" t="s">
        <v>16371</v>
      </c>
      <c r="AJ2768" s="1324">
        <v>0.1</v>
      </c>
      <c r="AK2768" s="2337" t="s">
        <v>335</v>
      </c>
      <c r="AL2768" s="1592" t="s">
        <v>186</v>
      </c>
      <c r="AM2768" s="1592" t="s">
        <v>137</v>
      </c>
      <c r="AN2768" s="1592" t="s">
        <v>138</v>
      </c>
      <c r="AO2768" s="2265">
        <v>2524.0</v>
      </c>
      <c r="AP2768" s="2265" t="s">
        <v>16372</v>
      </c>
      <c r="AQ2768" s="2333" t="s">
        <v>134</v>
      </c>
      <c r="AR2768" s="2262" t="s">
        <v>16373</v>
      </c>
      <c r="AS2768" s="2265">
        <v>0.76</v>
      </c>
      <c r="AT2768" s="1592" t="s">
        <v>172</v>
      </c>
      <c r="AU2768" s="1592" t="s">
        <v>186</v>
      </c>
      <c r="AV2768" s="1592" t="s">
        <v>137</v>
      </c>
      <c r="AW2768" s="1592" t="s">
        <v>138</v>
      </c>
      <c r="AX2768" s="1592" t="s">
        <v>143</v>
      </c>
      <c r="AY2768" s="61" t="str">
        <f>IFERROR(__xludf.DUMMYFUNCTION("vlookup(BB2768,importrange(""https://docs.google.com/spreadsheets/d/1d2vevQ_7D_v35q4wCQ4RpQ_IPoTwEMB9Yp6ymwlPqew/edit?gid=984458430#gid=984458430"", ""'replication success'!A:K""), 11, FAlSE)"),"#N/A")</f>
        <v>#N/A</v>
      </c>
      <c r="AZ2768" s="61" t="str">
        <f>IFERROR(__xludf.DUMMYFUNCTION("vlookup(BB2768,importrange(""https://docs.google.com/spreadsheets/d/1d2vevQ_7D_v35q4wCQ4RpQ_IPoTwEMB9Yp6ymwlPqew/edit?gid=984458430#gid=984458430"", ""'replication success'!A:M""), 12, FAlSE)"),"#N/A")</f>
        <v>#N/A</v>
      </c>
      <c r="BA2768" s="61" t="str">
        <f>IFERROR(__xludf.DUMMYFUNCTION("vlookup(BB2768,importrange(""https://docs.google.com/spreadsheets/d/1d2vevQ_7D_v35q4wCQ4RpQ_IPoTwEMB9Yp6ymwlPqew/edit?gid=984458430#gid=984458430"", ""'replication success'!A:M""), 13, FAlSE)"),"#N/A")</f>
        <v>#N/A</v>
      </c>
      <c r="BB2768" s="61" t="str">
        <f>IFERROR(__xludf.DUMMYFUNCTION("REGEXREPLACE(G2768, ""_[a-z]{1,2}$"", """")"),"add_ai57")</f>
        <v>add_ai57</v>
      </c>
      <c r="BC2768" s="1572"/>
      <c r="BD2768" s="1588" t="s">
        <v>13264</v>
      </c>
      <c r="BE2768" s="342"/>
      <c r="BF2768" s="342"/>
      <c r="BG2768" s="342"/>
      <c r="BH2768" s="342"/>
      <c r="BI2768" s="342"/>
      <c r="BJ2768" s="342"/>
      <c r="BK2768" s="342"/>
      <c r="BL2768" s="342"/>
      <c r="BM2768" s="342"/>
      <c r="BN2768" s="342"/>
      <c r="BO2768" s="342"/>
      <c r="BP2768" s="342"/>
      <c r="BQ2768" s="342"/>
      <c r="BR2768" s="342"/>
      <c r="BS2768" s="342"/>
      <c r="BT2768" s="342"/>
      <c r="BU2768" s="342"/>
      <c r="BV2768" s="342"/>
      <c r="BW2768" s="342"/>
      <c r="BX2768" s="342"/>
      <c r="BY2768" s="342"/>
      <c r="BZ2768" s="342"/>
      <c r="CA2768" s="342"/>
      <c r="CB2768" s="342"/>
      <c r="CC2768" s="342"/>
      <c r="CD2768" s="342"/>
      <c r="CE2768" s="342"/>
      <c r="CF2768" s="342"/>
      <c r="CG2768" s="342"/>
      <c r="CH2768" s="342"/>
      <c r="CI2768" s="342"/>
      <c r="CJ2768" s="342"/>
      <c r="CK2768" s="342"/>
      <c r="CL2768" s="342"/>
      <c r="CM2768" s="342"/>
      <c r="CN2768" s="342"/>
      <c r="CO2768" s="342"/>
      <c r="CP2768" s="342"/>
      <c r="CQ2768" s="342"/>
      <c r="CR2768" s="342"/>
      <c r="CS2768" s="342"/>
      <c r="CT2768" s="342"/>
      <c r="CU2768" s="342"/>
      <c r="CV2768" s="342"/>
      <c r="CW2768" s="342"/>
      <c r="CX2768" s="342"/>
      <c r="CY2768" s="342"/>
      <c r="CZ2768" s="342"/>
      <c r="DA2768" s="342"/>
      <c r="DB2768" s="342"/>
      <c r="DC2768" s="342"/>
      <c r="DD2768" s="342"/>
      <c r="DE2768" s="342"/>
      <c r="DF2768" s="342"/>
      <c r="DG2768" s="342"/>
      <c r="DH2768" s="342"/>
      <c r="DI2768" s="342"/>
      <c r="DJ2768" s="342"/>
      <c r="DK2768" s="342"/>
      <c r="DL2768" s="342"/>
    </row>
    <row r="2769" ht="24.0" customHeight="1">
      <c r="A2769" s="44">
        <v>3179.0</v>
      </c>
      <c r="B2769" s="1322" t="s">
        <v>114</v>
      </c>
      <c r="C2769" s="1588" t="s">
        <v>115</v>
      </c>
      <c r="D2769" s="1588" t="s">
        <v>15991</v>
      </c>
      <c r="E2769" s="1572"/>
      <c r="F2769" s="1315" t="s">
        <v>16270</v>
      </c>
      <c r="G2769" s="1315" t="s">
        <v>16369</v>
      </c>
      <c r="H2769" s="2235" t="s">
        <v>15994</v>
      </c>
      <c r="I2769" s="2242">
        <v>45809.0</v>
      </c>
      <c r="J2769" s="2230">
        <v>45841.0</v>
      </c>
      <c r="K2769" s="1313"/>
      <c r="L2769" s="1322" t="s">
        <v>16316</v>
      </c>
      <c r="M2769" s="2243" t="s">
        <v>16272</v>
      </c>
      <c r="N2769" s="2243" t="s">
        <v>16273</v>
      </c>
      <c r="O2769" s="1313"/>
      <c r="P2769" s="2243" t="s">
        <v>16274</v>
      </c>
      <c r="Q2769" s="2331" t="s">
        <v>16275</v>
      </c>
      <c r="R2769" s="2243" t="s">
        <v>16289</v>
      </c>
      <c r="S2769" s="2260" t="s">
        <v>16277</v>
      </c>
      <c r="T2769" s="1313"/>
      <c r="U2769" s="1313"/>
      <c r="V2769" s="1315" t="s">
        <v>16278</v>
      </c>
      <c r="W2769" s="1313"/>
      <c r="X2769" s="2328" t="s">
        <v>16279</v>
      </c>
      <c r="Y2769" s="1313"/>
      <c r="Z2769" s="1315" t="s">
        <v>226</v>
      </c>
      <c r="AA2769" s="1313" t="s">
        <v>16280</v>
      </c>
      <c r="AB2769" s="1313" t="s">
        <v>16281</v>
      </c>
      <c r="AC2769" s="1313" t="s">
        <v>16374</v>
      </c>
      <c r="AD2769" s="1313"/>
      <c r="AE2769" s="1313" t="s">
        <v>1174</v>
      </c>
      <c r="AF2769" s="1341">
        <v>36.0</v>
      </c>
      <c r="AG2769" s="1313" t="s">
        <v>16375</v>
      </c>
      <c r="AH2769" s="1313"/>
      <c r="AI2769" s="1313" t="s">
        <v>1174</v>
      </c>
      <c r="AJ2769" s="1313" t="s">
        <v>138</v>
      </c>
      <c r="AK2769" s="1313" t="s">
        <v>172</v>
      </c>
      <c r="AL2769" s="1315" t="s">
        <v>186</v>
      </c>
      <c r="AM2769" s="1315" t="s">
        <v>137</v>
      </c>
      <c r="AN2769" s="1315" t="s">
        <v>138</v>
      </c>
      <c r="AO2769" s="2329">
        <v>3073.0</v>
      </c>
      <c r="AP2769" s="1313" t="s">
        <v>16376</v>
      </c>
      <c r="AQ2769" s="1313" t="s">
        <v>134</v>
      </c>
      <c r="AR2769" s="1313" t="s">
        <v>496</v>
      </c>
      <c r="AS2769" s="1341">
        <v>0.1</v>
      </c>
      <c r="AT2769" s="1313" t="s">
        <v>335</v>
      </c>
      <c r="AU2769" s="1313" t="s">
        <v>186</v>
      </c>
      <c r="AV2769" s="1313" t="s">
        <v>137</v>
      </c>
      <c r="AW2769" s="1313" t="s">
        <v>138</v>
      </c>
      <c r="AX2769" s="1313" t="s">
        <v>143</v>
      </c>
      <c r="AY2769" s="61" t="str">
        <f>IFERROR(__xludf.DUMMYFUNCTION("vlookup(BB2769,importrange(""https://docs.google.com/spreadsheets/d/1d2vevQ_7D_v35q4wCQ4RpQ_IPoTwEMB9Yp6ymwlPqew/edit?gid=984458430#gid=984458430"", ""'replication success'!A:K""), 11, FAlSE)"),"#N/A")</f>
        <v>#N/A</v>
      </c>
      <c r="AZ2769" s="61" t="str">
        <f>IFERROR(__xludf.DUMMYFUNCTION("vlookup(BB2769,importrange(""https://docs.google.com/spreadsheets/d/1d2vevQ_7D_v35q4wCQ4RpQ_IPoTwEMB9Yp6ymwlPqew/edit?gid=984458430#gid=984458430"", ""'replication success'!A:M""), 12, FAlSE)"),"#N/A")</f>
        <v>#N/A</v>
      </c>
      <c r="BA2769" s="61" t="str">
        <f>IFERROR(__xludf.DUMMYFUNCTION("vlookup(BB2769,importrange(""https://docs.google.com/spreadsheets/d/1d2vevQ_7D_v35q4wCQ4RpQ_IPoTwEMB9Yp6ymwlPqew/edit?gid=984458430#gid=984458430"", ""'replication success'!A:M""), 13, FAlSE)"),"#N/A")</f>
        <v>#N/A</v>
      </c>
      <c r="BB2769" s="61" t="str">
        <f>IFERROR(__xludf.DUMMYFUNCTION("REGEXREPLACE(G2769, ""_[a-z]{1,2}$"", """")"),"add_ai57")</f>
        <v>add_ai57</v>
      </c>
      <c r="BC2769" s="1572"/>
      <c r="BD2769" s="1588" t="s">
        <v>13264</v>
      </c>
      <c r="BE2769" s="342"/>
      <c r="BF2769" s="342"/>
      <c r="BG2769" s="342"/>
      <c r="BH2769" s="342"/>
      <c r="BI2769" s="342"/>
      <c r="BJ2769" s="342"/>
      <c r="BK2769" s="342"/>
      <c r="BL2769" s="342"/>
      <c r="BM2769" s="342"/>
      <c r="BN2769" s="342"/>
      <c r="BO2769" s="342"/>
      <c r="BP2769" s="342"/>
      <c r="BQ2769" s="342"/>
      <c r="BR2769" s="342"/>
      <c r="BS2769" s="342"/>
      <c r="BT2769" s="342"/>
      <c r="BU2769" s="342"/>
      <c r="BV2769" s="342"/>
      <c r="BW2769" s="342"/>
      <c r="BX2769" s="342"/>
      <c r="BY2769" s="342"/>
      <c r="BZ2769" s="342"/>
      <c r="CA2769" s="342"/>
      <c r="CB2769" s="342"/>
      <c r="CC2769" s="342"/>
      <c r="CD2769" s="342"/>
      <c r="CE2769" s="342"/>
      <c r="CF2769" s="342"/>
      <c r="CG2769" s="342"/>
      <c r="CH2769" s="342"/>
      <c r="CI2769" s="342"/>
      <c r="CJ2769" s="342"/>
      <c r="CK2769" s="342"/>
      <c r="CL2769" s="342"/>
      <c r="CM2769" s="342"/>
      <c r="CN2769" s="342"/>
      <c r="CO2769" s="342"/>
      <c r="CP2769" s="342"/>
      <c r="CQ2769" s="342"/>
      <c r="CR2769" s="342"/>
      <c r="CS2769" s="342"/>
      <c r="CT2769" s="342"/>
      <c r="CU2769" s="342"/>
      <c r="CV2769" s="342"/>
      <c r="CW2769" s="342"/>
      <c r="CX2769" s="342"/>
      <c r="CY2769" s="342"/>
      <c r="CZ2769" s="342"/>
      <c r="DA2769" s="342"/>
      <c r="DB2769" s="342"/>
      <c r="DC2769" s="342"/>
      <c r="DD2769" s="342"/>
      <c r="DE2769" s="342"/>
      <c r="DF2769" s="342"/>
      <c r="DG2769" s="342"/>
      <c r="DH2769" s="342"/>
      <c r="DI2769" s="342"/>
      <c r="DJ2769" s="342"/>
      <c r="DK2769" s="342"/>
      <c r="DL2769" s="342"/>
    </row>
    <row r="2770" ht="25.5" customHeight="1">
      <c r="A2770" s="44">
        <v>3117.0</v>
      </c>
      <c r="B2770" s="1322" t="s">
        <v>152</v>
      </c>
      <c r="C2770" s="1588" t="s">
        <v>115</v>
      </c>
      <c r="D2770" s="1588" t="s">
        <v>153</v>
      </c>
      <c r="E2770" s="1572"/>
      <c r="F2770" s="1600" t="s">
        <v>16270</v>
      </c>
      <c r="G2770" s="1592" t="s">
        <v>16377</v>
      </c>
      <c r="H2770" s="1600" t="s">
        <v>15921</v>
      </c>
      <c r="I2770" s="2229">
        <v>45821.0</v>
      </c>
      <c r="J2770" s="2230">
        <v>45841.0</v>
      </c>
      <c r="K2770" s="1592" t="s">
        <v>16287</v>
      </c>
      <c r="L2770" s="1322" t="s">
        <v>16316</v>
      </c>
      <c r="M2770" s="1592" t="s">
        <v>16272</v>
      </c>
      <c r="N2770" s="1592" t="s">
        <v>16273</v>
      </c>
      <c r="O2770" s="1313"/>
      <c r="P2770" s="1592" t="s">
        <v>16274</v>
      </c>
      <c r="Q2770" s="2331" t="s">
        <v>16275</v>
      </c>
      <c r="R2770" s="1592" t="s">
        <v>16289</v>
      </c>
      <c r="S2770" s="1592" t="s">
        <v>16277</v>
      </c>
      <c r="T2770" s="1313"/>
      <c r="U2770" s="1313"/>
      <c r="V2770" s="1592" t="s">
        <v>16278</v>
      </c>
      <c r="W2770" s="1313"/>
      <c r="X2770" s="2328" t="s">
        <v>16279</v>
      </c>
      <c r="Y2770" s="1313"/>
      <c r="Z2770" s="1592" t="s">
        <v>2940</v>
      </c>
      <c r="AA2770" s="1592" t="s">
        <v>16290</v>
      </c>
      <c r="AB2770" s="1592" t="s">
        <v>16291</v>
      </c>
      <c r="AC2770" s="1600" t="s">
        <v>16378</v>
      </c>
      <c r="AD2770" s="1600" t="s">
        <v>16293</v>
      </c>
      <c r="AE2770" s="2265">
        <v>11.0</v>
      </c>
      <c r="AF2770" s="2265">
        <v>36.0</v>
      </c>
      <c r="AG2770" s="2265">
        <v>-0.54</v>
      </c>
      <c r="AH2770" s="1592" t="s">
        <v>215</v>
      </c>
      <c r="AI2770" s="2262" t="s">
        <v>16379</v>
      </c>
      <c r="AJ2770" s="2265">
        <v>0.01</v>
      </c>
      <c r="AK2770" s="1592" t="s">
        <v>135</v>
      </c>
      <c r="AL2770" s="1592" t="s">
        <v>186</v>
      </c>
      <c r="AM2770" s="1592" t="s">
        <v>137</v>
      </c>
      <c r="AN2770" s="1592" t="s">
        <v>138</v>
      </c>
      <c r="AO2770" s="2265">
        <v>2524.0</v>
      </c>
      <c r="AP2770" s="2265" t="s">
        <v>16380</v>
      </c>
      <c r="AQ2770" s="2333" t="s">
        <v>134</v>
      </c>
      <c r="AR2770" s="2262" t="s">
        <v>16381</v>
      </c>
      <c r="AS2770" s="2265">
        <v>0.73</v>
      </c>
      <c r="AT2770" s="1592" t="s">
        <v>172</v>
      </c>
      <c r="AU2770" s="1592" t="s">
        <v>186</v>
      </c>
      <c r="AV2770" s="1592" t="s">
        <v>137</v>
      </c>
      <c r="AW2770" s="1592" t="s">
        <v>138</v>
      </c>
      <c r="AX2770" s="1592" t="s">
        <v>143</v>
      </c>
      <c r="AY2770" s="61" t="str">
        <f>IFERROR(__xludf.DUMMYFUNCTION("vlookup(BB2770,importrange(""https://docs.google.com/spreadsheets/d/1d2vevQ_7D_v35q4wCQ4RpQ_IPoTwEMB9Yp6ymwlPqew/edit?gid=984458430#gid=984458430"", ""'replication success'!A:K""), 11, FAlSE)"),"#N/A")</f>
        <v>#N/A</v>
      </c>
      <c r="AZ2770" s="61" t="str">
        <f>IFERROR(__xludf.DUMMYFUNCTION("vlookup(BB2770,importrange(""https://docs.google.com/spreadsheets/d/1d2vevQ_7D_v35q4wCQ4RpQ_IPoTwEMB9Yp6ymwlPqew/edit?gid=984458430#gid=984458430"", ""'replication success'!A:M""), 12, FAlSE)"),"#N/A")</f>
        <v>#N/A</v>
      </c>
      <c r="BA2770" s="61" t="str">
        <f>IFERROR(__xludf.DUMMYFUNCTION("vlookup(BB2770,importrange(""https://docs.google.com/spreadsheets/d/1d2vevQ_7D_v35q4wCQ4RpQ_IPoTwEMB9Yp6ymwlPqew/edit?gid=984458430#gid=984458430"", ""'replication success'!A:M""), 13, FAlSE)"),"#N/A")</f>
        <v>#N/A</v>
      </c>
      <c r="BB2770" s="61" t="str">
        <f>IFERROR(__xludf.DUMMYFUNCTION("REGEXREPLACE(G2770, ""_[a-z]{1,2}$"", """")"),"add_ai57")</f>
        <v>add_ai57</v>
      </c>
      <c r="BC2770" s="1572"/>
      <c r="BD2770" s="1588" t="s">
        <v>13264</v>
      </c>
      <c r="BE2770" s="342"/>
      <c r="BF2770" s="342"/>
      <c r="BG2770" s="342"/>
      <c r="BH2770" s="342"/>
      <c r="BI2770" s="342"/>
      <c r="BJ2770" s="342"/>
      <c r="BK2770" s="342"/>
      <c r="BL2770" s="342"/>
      <c r="BM2770" s="342"/>
      <c r="BN2770" s="342"/>
      <c r="BO2770" s="342"/>
      <c r="BP2770" s="342"/>
      <c r="BQ2770" s="342"/>
      <c r="BR2770" s="342"/>
      <c r="BS2770" s="342"/>
      <c r="BT2770" s="342"/>
      <c r="BU2770" s="342"/>
      <c r="BV2770" s="342"/>
      <c r="BW2770" s="342"/>
      <c r="BX2770" s="342"/>
      <c r="BY2770" s="342"/>
      <c r="BZ2770" s="342"/>
      <c r="CA2770" s="342"/>
      <c r="CB2770" s="342"/>
      <c r="CC2770" s="342"/>
      <c r="CD2770" s="342"/>
      <c r="CE2770" s="342"/>
      <c r="CF2770" s="342"/>
      <c r="CG2770" s="342"/>
      <c r="CH2770" s="342"/>
      <c r="CI2770" s="342"/>
      <c r="CJ2770" s="342"/>
      <c r="CK2770" s="342"/>
      <c r="CL2770" s="342"/>
      <c r="CM2770" s="342"/>
      <c r="CN2770" s="342"/>
      <c r="CO2770" s="342"/>
      <c r="CP2770" s="342"/>
      <c r="CQ2770" s="342"/>
      <c r="CR2770" s="342"/>
      <c r="CS2770" s="342"/>
      <c r="CT2770" s="342"/>
      <c r="CU2770" s="342"/>
      <c r="CV2770" s="342"/>
      <c r="CW2770" s="342"/>
      <c r="CX2770" s="342"/>
      <c r="CY2770" s="342"/>
      <c r="CZ2770" s="342"/>
      <c r="DA2770" s="342"/>
      <c r="DB2770" s="342"/>
      <c r="DC2770" s="342"/>
      <c r="DD2770" s="342"/>
      <c r="DE2770" s="342"/>
      <c r="DF2770" s="342"/>
      <c r="DG2770" s="342"/>
      <c r="DH2770" s="342"/>
      <c r="DI2770" s="342"/>
      <c r="DJ2770" s="342"/>
      <c r="DK2770" s="342"/>
      <c r="DL2770" s="342"/>
    </row>
    <row r="2771" ht="21.75" customHeight="1">
      <c r="A2771" s="44">
        <v>3180.0</v>
      </c>
      <c r="B2771" s="1322" t="s">
        <v>114</v>
      </c>
      <c r="C2771" s="1588" t="s">
        <v>115</v>
      </c>
      <c r="D2771" s="1588" t="s">
        <v>15991</v>
      </c>
      <c r="E2771" s="1572"/>
      <c r="F2771" s="1315" t="s">
        <v>16270</v>
      </c>
      <c r="G2771" s="1315" t="s">
        <v>16377</v>
      </c>
      <c r="H2771" s="2235" t="s">
        <v>15994</v>
      </c>
      <c r="I2771" s="2242">
        <v>45809.0</v>
      </c>
      <c r="J2771" s="2230">
        <v>45841.0</v>
      </c>
      <c r="K2771" s="1313"/>
      <c r="L2771" s="1322" t="s">
        <v>16316</v>
      </c>
      <c r="M2771" s="2243" t="s">
        <v>16272</v>
      </c>
      <c r="N2771" s="2243" t="s">
        <v>16273</v>
      </c>
      <c r="O2771" s="1313"/>
      <c r="P2771" s="2243" t="s">
        <v>16274</v>
      </c>
      <c r="Q2771" s="2331" t="s">
        <v>16275</v>
      </c>
      <c r="R2771" s="2243" t="s">
        <v>16289</v>
      </c>
      <c r="S2771" s="2260" t="s">
        <v>16277</v>
      </c>
      <c r="T2771" s="1313"/>
      <c r="U2771" s="1313"/>
      <c r="V2771" s="1315" t="s">
        <v>16278</v>
      </c>
      <c r="W2771" s="1313"/>
      <c r="X2771" s="2328" t="s">
        <v>16279</v>
      </c>
      <c r="Y2771" s="1313"/>
      <c r="Z2771" s="1315" t="s">
        <v>226</v>
      </c>
      <c r="AA2771" s="1313" t="s">
        <v>16280</v>
      </c>
      <c r="AB2771" s="1313" t="s">
        <v>16281</v>
      </c>
      <c r="AC2771" s="1313" t="s">
        <v>16382</v>
      </c>
      <c r="AD2771" s="1313" t="s">
        <v>16383</v>
      </c>
      <c r="AE2771" s="1313" t="s">
        <v>1174</v>
      </c>
      <c r="AF2771" s="1341">
        <v>34.0</v>
      </c>
      <c r="AG2771" s="1313" t="s">
        <v>16384</v>
      </c>
      <c r="AH2771" s="1313"/>
      <c r="AI2771" s="1313" t="s">
        <v>1174</v>
      </c>
      <c r="AJ2771" s="1341">
        <v>0.1</v>
      </c>
      <c r="AK2771" s="1313" t="s">
        <v>135</v>
      </c>
      <c r="AL2771" s="1315" t="s">
        <v>186</v>
      </c>
      <c r="AM2771" s="1315" t="s">
        <v>137</v>
      </c>
      <c r="AN2771" s="1315" t="s">
        <v>138</v>
      </c>
      <c r="AO2771" s="2329">
        <v>3073.0</v>
      </c>
      <c r="AP2771" s="1313" t="s">
        <v>16385</v>
      </c>
      <c r="AQ2771" s="1313" t="s">
        <v>134</v>
      </c>
      <c r="AR2771" s="1313" t="s">
        <v>496</v>
      </c>
      <c r="AS2771" s="1341">
        <v>0.1</v>
      </c>
      <c r="AT2771" s="1313" t="s">
        <v>335</v>
      </c>
      <c r="AU2771" s="1313" t="s">
        <v>186</v>
      </c>
      <c r="AV2771" s="1313" t="s">
        <v>137</v>
      </c>
      <c r="AW2771" s="1313" t="s">
        <v>138</v>
      </c>
      <c r="AX2771" s="1313" t="s">
        <v>143</v>
      </c>
      <c r="AY2771" s="61" t="str">
        <f>IFERROR(__xludf.DUMMYFUNCTION("vlookup(BB2771,importrange(""https://docs.google.com/spreadsheets/d/1d2vevQ_7D_v35q4wCQ4RpQ_IPoTwEMB9Yp6ymwlPqew/edit?gid=984458430#gid=984458430"", ""'replication success'!A:K""), 11, FAlSE)"),"#N/A")</f>
        <v>#N/A</v>
      </c>
      <c r="AZ2771" s="61" t="str">
        <f>IFERROR(__xludf.DUMMYFUNCTION("vlookup(BB2771,importrange(""https://docs.google.com/spreadsheets/d/1d2vevQ_7D_v35q4wCQ4RpQ_IPoTwEMB9Yp6ymwlPqew/edit?gid=984458430#gid=984458430"", ""'replication success'!A:M""), 12, FAlSE)"),"#N/A")</f>
        <v>#N/A</v>
      </c>
      <c r="BA2771" s="61" t="str">
        <f>IFERROR(__xludf.DUMMYFUNCTION("vlookup(BB2771,importrange(""https://docs.google.com/spreadsheets/d/1d2vevQ_7D_v35q4wCQ4RpQ_IPoTwEMB9Yp6ymwlPqew/edit?gid=984458430#gid=984458430"", ""'replication success'!A:M""), 13, FAlSE)"),"#N/A")</f>
        <v>#N/A</v>
      </c>
      <c r="BB2771" s="61" t="str">
        <f>IFERROR(__xludf.DUMMYFUNCTION("REGEXREPLACE(G2771, ""_[a-z]{1,2}$"", """")"),"add_ai57")</f>
        <v>add_ai57</v>
      </c>
      <c r="BC2771" s="1572"/>
      <c r="BD2771" s="1588" t="s">
        <v>13264</v>
      </c>
      <c r="BE2771" s="342"/>
      <c r="BF2771" s="342"/>
      <c r="BG2771" s="342"/>
      <c r="BH2771" s="342"/>
      <c r="BI2771" s="342"/>
      <c r="BJ2771" s="342"/>
      <c r="BK2771" s="342"/>
      <c r="BL2771" s="342"/>
      <c r="BM2771" s="342"/>
      <c r="BN2771" s="342"/>
      <c r="BO2771" s="342"/>
      <c r="BP2771" s="342"/>
      <c r="BQ2771" s="342"/>
      <c r="BR2771" s="342"/>
      <c r="BS2771" s="342"/>
      <c r="BT2771" s="342"/>
      <c r="BU2771" s="342"/>
      <c r="BV2771" s="342"/>
      <c r="BW2771" s="342"/>
      <c r="BX2771" s="342"/>
      <c r="BY2771" s="342"/>
      <c r="BZ2771" s="342"/>
      <c r="CA2771" s="342"/>
      <c r="CB2771" s="342"/>
      <c r="CC2771" s="342"/>
      <c r="CD2771" s="342"/>
      <c r="CE2771" s="342"/>
      <c r="CF2771" s="342"/>
      <c r="CG2771" s="342"/>
      <c r="CH2771" s="342"/>
      <c r="CI2771" s="342"/>
      <c r="CJ2771" s="342"/>
      <c r="CK2771" s="342"/>
      <c r="CL2771" s="342"/>
      <c r="CM2771" s="342"/>
      <c r="CN2771" s="342"/>
      <c r="CO2771" s="342"/>
      <c r="CP2771" s="342"/>
      <c r="CQ2771" s="342"/>
      <c r="CR2771" s="342"/>
      <c r="CS2771" s="342"/>
      <c r="CT2771" s="342"/>
      <c r="CU2771" s="342"/>
      <c r="CV2771" s="342"/>
      <c r="CW2771" s="342"/>
      <c r="CX2771" s="342"/>
      <c r="CY2771" s="342"/>
      <c r="CZ2771" s="342"/>
      <c r="DA2771" s="342"/>
      <c r="DB2771" s="342"/>
      <c r="DC2771" s="342"/>
      <c r="DD2771" s="342"/>
      <c r="DE2771" s="342"/>
      <c r="DF2771" s="342"/>
      <c r="DG2771" s="342"/>
      <c r="DH2771" s="342"/>
      <c r="DI2771" s="342"/>
      <c r="DJ2771" s="342"/>
      <c r="DK2771" s="342"/>
      <c r="DL2771" s="342"/>
    </row>
    <row r="2772" ht="19.5" customHeight="1">
      <c r="A2772" s="44">
        <v>3118.0</v>
      </c>
      <c r="B2772" s="1322" t="s">
        <v>152</v>
      </c>
      <c r="C2772" s="1588" t="s">
        <v>115</v>
      </c>
      <c r="D2772" s="1588" t="s">
        <v>153</v>
      </c>
      <c r="E2772" s="1572"/>
      <c r="F2772" s="1600" t="s">
        <v>16270</v>
      </c>
      <c r="G2772" s="1592" t="s">
        <v>16386</v>
      </c>
      <c r="H2772" s="1600" t="s">
        <v>15921</v>
      </c>
      <c r="I2772" s="2229">
        <v>45821.0</v>
      </c>
      <c r="J2772" s="2230">
        <v>45841.0</v>
      </c>
      <c r="K2772" s="1592" t="s">
        <v>16287</v>
      </c>
      <c r="L2772" s="1322" t="s">
        <v>16316</v>
      </c>
      <c r="M2772" s="1592" t="s">
        <v>16272</v>
      </c>
      <c r="N2772" s="1592" t="s">
        <v>16273</v>
      </c>
      <c r="O2772" s="1313"/>
      <c r="P2772" s="1592" t="s">
        <v>16274</v>
      </c>
      <c r="Q2772" s="2331" t="s">
        <v>16275</v>
      </c>
      <c r="R2772" s="1592" t="s">
        <v>16289</v>
      </c>
      <c r="S2772" s="1592" t="s">
        <v>16277</v>
      </c>
      <c r="T2772" s="1313"/>
      <c r="U2772" s="1313"/>
      <c r="V2772" s="1592" t="s">
        <v>16278</v>
      </c>
      <c r="W2772" s="1313"/>
      <c r="X2772" s="2328" t="s">
        <v>16279</v>
      </c>
      <c r="Y2772" s="1313"/>
      <c r="Z2772" s="1592" t="s">
        <v>2940</v>
      </c>
      <c r="AA2772" s="1592" t="s">
        <v>16290</v>
      </c>
      <c r="AB2772" s="1592" t="s">
        <v>16291</v>
      </c>
      <c r="AC2772" s="1600" t="s">
        <v>16387</v>
      </c>
      <c r="AD2772" s="1600" t="s">
        <v>16293</v>
      </c>
      <c r="AE2772" s="2265">
        <v>11.0</v>
      </c>
      <c r="AF2772" s="2265">
        <v>36.0</v>
      </c>
      <c r="AG2772" s="2265">
        <v>0.18</v>
      </c>
      <c r="AH2772" s="1592" t="s">
        <v>215</v>
      </c>
      <c r="AI2772" s="2262" t="s">
        <v>16388</v>
      </c>
      <c r="AJ2772" s="1324">
        <v>0.1</v>
      </c>
      <c r="AK2772" s="2337" t="s">
        <v>335</v>
      </c>
      <c r="AL2772" s="1592" t="s">
        <v>186</v>
      </c>
      <c r="AM2772" s="1592" t="s">
        <v>137</v>
      </c>
      <c r="AN2772" s="1592" t="s">
        <v>138</v>
      </c>
      <c r="AO2772" s="2265">
        <v>2524.0</v>
      </c>
      <c r="AP2772" s="2335" t="s">
        <v>16389</v>
      </c>
      <c r="AQ2772" s="2333" t="s">
        <v>134</v>
      </c>
      <c r="AR2772" s="2262" t="s">
        <v>16390</v>
      </c>
      <c r="AS2772" s="2335">
        <v>0.41</v>
      </c>
      <c r="AT2772" s="1592" t="s">
        <v>172</v>
      </c>
      <c r="AU2772" s="1592" t="s">
        <v>186</v>
      </c>
      <c r="AV2772" s="1592" t="s">
        <v>137</v>
      </c>
      <c r="AW2772" s="1592" t="s">
        <v>138</v>
      </c>
      <c r="AX2772" s="1592" t="s">
        <v>143</v>
      </c>
      <c r="AY2772" s="61" t="str">
        <f>IFERROR(__xludf.DUMMYFUNCTION("vlookup(BB2772,importrange(""https://docs.google.com/spreadsheets/d/1d2vevQ_7D_v35q4wCQ4RpQ_IPoTwEMB9Yp6ymwlPqew/edit?gid=984458430#gid=984458430"", ""'replication success'!A:K""), 11, FAlSE)"),"#N/A")</f>
        <v>#N/A</v>
      </c>
      <c r="AZ2772" s="61" t="str">
        <f>IFERROR(__xludf.DUMMYFUNCTION("vlookup(BB2772,importrange(""https://docs.google.com/spreadsheets/d/1d2vevQ_7D_v35q4wCQ4RpQ_IPoTwEMB9Yp6ymwlPqew/edit?gid=984458430#gid=984458430"", ""'replication success'!A:M""), 12, FAlSE)"),"#N/A")</f>
        <v>#N/A</v>
      </c>
      <c r="BA2772" s="61" t="str">
        <f>IFERROR(__xludf.DUMMYFUNCTION("vlookup(BB2772,importrange(""https://docs.google.com/spreadsheets/d/1d2vevQ_7D_v35q4wCQ4RpQ_IPoTwEMB9Yp6ymwlPqew/edit?gid=984458430#gid=984458430"", ""'replication success'!A:M""), 13, FAlSE)"),"#N/A")</f>
        <v>#N/A</v>
      </c>
      <c r="BB2772" s="61" t="str">
        <f>IFERROR(__xludf.DUMMYFUNCTION("REGEXREPLACE(G2772, ""_[a-z]{1,2}$"", """")"),"add_ai57")</f>
        <v>add_ai57</v>
      </c>
      <c r="BC2772" s="1572"/>
      <c r="BD2772" s="1588" t="s">
        <v>13264</v>
      </c>
      <c r="BE2772" s="342"/>
      <c r="BF2772" s="342"/>
      <c r="BG2772" s="342"/>
      <c r="BH2772" s="342"/>
      <c r="BI2772" s="342"/>
      <c r="BJ2772" s="342"/>
      <c r="BK2772" s="342"/>
      <c r="BL2772" s="342"/>
      <c r="BM2772" s="342"/>
      <c r="BN2772" s="342"/>
      <c r="BO2772" s="342"/>
      <c r="BP2772" s="342"/>
      <c r="BQ2772" s="342"/>
      <c r="BR2772" s="342"/>
      <c r="BS2772" s="342"/>
      <c r="BT2772" s="342"/>
      <c r="BU2772" s="342"/>
      <c r="BV2772" s="342"/>
      <c r="BW2772" s="342"/>
      <c r="BX2772" s="342"/>
      <c r="BY2772" s="342"/>
      <c r="BZ2772" s="342"/>
      <c r="CA2772" s="342"/>
      <c r="CB2772" s="342"/>
      <c r="CC2772" s="342"/>
      <c r="CD2772" s="342"/>
      <c r="CE2772" s="342"/>
      <c r="CF2772" s="342"/>
      <c r="CG2772" s="342"/>
      <c r="CH2772" s="342"/>
      <c r="CI2772" s="342"/>
      <c r="CJ2772" s="342"/>
      <c r="CK2772" s="342"/>
      <c r="CL2772" s="342"/>
      <c r="CM2772" s="342"/>
      <c r="CN2772" s="342"/>
      <c r="CO2772" s="342"/>
      <c r="CP2772" s="342"/>
      <c r="CQ2772" s="342"/>
      <c r="CR2772" s="342"/>
      <c r="CS2772" s="342"/>
      <c r="CT2772" s="342"/>
      <c r="CU2772" s="342"/>
      <c r="CV2772" s="342"/>
      <c r="CW2772" s="342"/>
      <c r="CX2772" s="342"/>
      <c r="CY2772" s="342"/>
      <c r="CZ2772" s="342"/>
      <c r="DA2772" s="342"/>
      <c r="DB2772" s="342"/>
      <c r="DC2772" s="342"/>
      <c r="DD2772" s="342"/>
      <c r="DE2772" s="342"/>
      <c r="DF2772" s="342"/>
      <c r="DG2772" s="342"/>
      <c r="DH2772" s="342"/>
      <c r="DI2772" s="342"/>
      <c r="DJ2772" s="342"/>
      <c r="DK2772" s="342"/>
      <c r="DL2772" s="342"/>
    </row>
    <row r="2773" ht="21.0" customHeight="1">
      <c r="A2773" s="44">
        <v>3181.0</v>
      </c>
      <c r="B2773" s="1322" t="s">
        <v>114</v>
      </c>
      <c r="C2773" s="1588" t="s">
        <v>115</v>
      </c>
      <c r="D2773" s="1588" t="s">
        <v>15991</v>
      </c>
      <c r="E2773" s="1572"/>
      <c r="F2773" s="1315" t="s">
        <v>16270</v>
      </c>
      <c r="G2773" s="1315" t="s">
        <v>16386</v>
      </c>
      <c r="H2773" s="2235" t="s">
        <v>15994</v>
      </c>
      <c r="I2773" s="2242">
        <v>45809.0</v>
      </c>
      <c r="J2773" s="2230">
        <v>45841.0</v>
      </c>
      <c r="K2773" s="1313"/>
      <c r="L2773" s="1322" t="s">
        <v>16316</v>
      </c>
      <c r="M2773" s="2243" t="s">
        <v>16272</v>
      </c>
      <c r="N2773" s="2243" t="s">
        <v>16273</v>
      </c>
      <c r="O2773" s="1313"/>
      <c r="P2773" s="2243" t="s">
        <v>16274</v>
      </c>
      <c r="Q2773" s="2331" t="s">
        <v>16275</v>
      </c>
      <c r="R2773" s="2243" t="s">
        <v>16289</v>
      </c>
      <c r="S2773" s="2260" t="s">
        <v>16277</v>
      </c>
      <c r="T2773" s="1313"/>
      <c r="U2773" s="1313"/>
      <c r="V2773" s="1315" t="s">
        <v>16278</v>
      </c>
      <c r="W2773" s="1313"/>
      <c r="X2773" s="2328" t="s">
        <v>16279</v>
      </c>
      <c r="Y2773" s="1313"/>
      <c r="Z2773" s="1315" t="s">
        <v>226</v>
      </c>
      <c r="AA2773" s="1313" t="s">
        <v>16280</v>
      </c>
      <c r="AB2773" s="1313" t="s">
        <v>16281</v>
      </c>
      <c r="AC2773" s="1313" t="s">
        <v>16391</v>
      </c>
      <c r="AD2773" s="1313" t="s">
        <v>16392</v>
      </c>
      <c r="AE2773" s="1313" t="s">
        <v>1174</v>
      </c>
      <c r="AF2773" s="1341">
        <v>35.0</v>
      </c>
      <c r="AG2773" s="1313" t="s">
        <v>16393</v>
      </c>
      <c r="AH2773" s="1313"/>
      <c r="AI2773" s="1313" t="s">
        <v>1174</v>
      </c>
      <c r="AJ2773" s="1341">
        <v>0.001</v>
      </c>
      <c r="AK2773" s="1313" t="s">
        <v>135</v>
      </c>
      <c r="AL2773" s="1315" t="s">
        <v>186</v>
      </c>
      <c r="AM2773" s="1315" t="s">
        <v>137</v>
      </c>
      <c r="AN2773" s="1315" t="s">
        <v>138</v>
      </c>
      <c r="AO2773" s="2329">
        <v>3073.0</v>
      </c>
      <c r="AP2773" s="1313" t="s">
        <v>16394</v>
      </c>
      <c r="AQ2773" s="1313" t="s">
        <v>134</v>
      </c>
      <c r="AR2773" s="1313" t="s">
        <v>496</v>
      </c>
      <c r="AS2773" s="1341">
        <v>0.09</v>
      </c>
      <c r="AT2773" s="1313" t="s">
        <v>172</v>
      </c>
      <c r="AU2773" s="1313" t="s">
        <v>186</v>
      </c>
      <c r="AV2773" s="1313" t="s">
        <v>137</v>
      </c>
      <c r="AW2773" s="1313" t="s">
        <v>138</v>
      </c>
      <c r="AX2773" s="1313" t="s">
        <v>143</v>
      </c>
      <c r="AY2773" s="61" t="str">
        <f>IFERROR(__xludf.DUMMYFUNCTION("vlookup(BB2773,importrange(""https://docs.google.com/spreadsheets/d/1d2vevQ_7D_v35q4wCQ4RpQ_IPoTwEMB9Yp6ymwlPqew/edit?gid=984458430#gid=984458430"", ""'replication success'!A:K""), 11, FAlSE)"),"#N/A")</f>
        <v>#N/A</v>
      </c>
      <c r="AZ2773" s="61" t="str">
        <f>IFERROR(__xludf.DUMMYFUNCTION("vlookup(BB2773,importrange(""https://docs.google.com/spreadsheets/d/1d2vevQ_7D_v35q4wCQ4RpQ_IPoTwEMB9Yp6ymwlPqew/edit?gid=984458430#gid=984458430"", ""'replication success'!A:M""), 12, FAlSE)"),"#N/A")</f>
        <v>#N/A</v>
      </c>
      <c r="BA2773" s="61" t="str">
        <f>IFERROR(__xludf.DUMMYFUNCTION("vlookup(BB2773,importrange(""https://docs.google.com/spreadsheets/d/1d2vevQ_7D_v35q4wCQ4RpQ_IPoTwEMB9Yp6ymwlPqew/edit?gid=984458430#gid=984458430"", ""'replication success'!A:M""), 13, FAlSE)"),"#N/A")</f>
        <v>#N/A</v>
      </c>
      <c r="BB2773" s="61" t="str">
        <f>IFERROR(__xludf.DUMMYFUNCTION("REGEXREPLACE(G2773, ""_[a-z]{1,2}$"", """")"),"add_ai57")</f>
        <v>add_ai57</v>
      </c>
      <c r="BC2773" s="1572"/>
      <c r="BD2773" s="1588" t="s">
        <v>13264</v>
      </c>
      <c r="BE2773" s="342"/>
      <c r="BF2773" s="342"/>
      <c r="BG2773" s="342"/>
      <c r="BH2773" s="342"/>
      <c r="BI2773" s="342"/>
      <c r="BJ2773" s="342"/>
      <c r="BK2773" s="342"/>
      <c r="BL2773" s="342"/>
      <c r="BM2773" s="342"/>
      <c r="BN2773" s="342"/>
      <c r="BO2773" s="342"/>
      <c r="BP2773" s="342"/>
      <c r="BQ2773" s="342"/>
      <c r="BR2773" s="342"/>
      <c r="BS2773" s="342"/>
      <c r="BT2773" s="342"/>
      <c r="BU2773" s="342"/>
      <c r="BV2773" s="342"/>
      <c r="BW2773" s="342"/>
      <c r="BX2773" s="342"/>
      <c r="BY2773" s="342"/>
      <c r="BZ2773" s="342"/>
      <c r="CA2773" s="342"/>
      <c r="CB2773" s="342"/>
      <c r="CC2773" s="342"/>
      <c r="CD2773" s="342"/>
      <c r="CE2773" s="342"/>
      <c r="CF2773" s="342"/>
      <c r="CG2773" s="342"/>
      <c r="CH2773" s="342"/>
      <c r="CI2773" s="342"/>
      <c r="CJ2773" s="342"/>
      <c r="CK2773" s="342"/>
      <c r="CL2773" s="342"/>
      <c r="CM2773" s="342"/>
      <c r="CN2773" s="342"/>
      <c r="CO2773" s="342"/>
      <c r="CP2773" s="342"/>
      <c r="CQ2773" s="342"/>
      <c r="CR2773" s="342"/>
      <c r="CS2773" s="342"/>
      <c r="CT2773" s="342"/>
      <c r="CU2773" s="342"/>
      <c r="CV2773" s="342"/>
      <c r="CW2773" s="342"/>
      <c r="CX2773" s="342"/>
      <c r="CY2773" s="342"/>
      <c r="CZ2773" s="342"/>
      <c r="DA2773" s="342"/>
      <c r="DB2773" s="342"/>
      <c r="DC2773" s="342"/>
      <c r="DD2773" s="342"/>
      <c r="DE2773" s="342"/>
      <c r="DF2773" s="342"/>
      <c r="DG2773" s="342"/>
      <c r="DH2773" s="342"/>
      <c r="DI2773" s="342"/>
      <c r="DJ2773" s="342"/>
      <c r="DK2773" s="342"/>
      <c r="DL2773" s="342"/>
    </row>
    <row r="2774" ht="23.25" customHeight="1">
      <c r="A2774" s="44">
        <v>3182.0</v>
      </c>
      <c r="B2774" s="1322" t="s">
        <v>114</v>
      </c>
      <c r="C2774" s="1588" t="s">
        <v>115</v>
      </c>
      <c r="D2774" s="1588" t="s">
        <v>15991</v>
      </c>
      <c r="E2774" s="1572"/>
      <c r="F2774" s="1315" t="s">
        <v>16270</v>
      </c>
      <c r="G2774" s="1315" t="s">
        <v>16395</v>
      </c>
      <c r="H2774" s="2235" t="s">
        <v>15994</v>
      </c>
      <c r="I2774" s="2242">
        <v>45809.0</v>
      </c>
      <c r="J2774" s="2230">
        <v>45841.0</v>
      </c>
      <c r="K2774" s="1313"/>
      <c r="L2774" s="1322" t="s">
        <v>16316</v>
      </c>
      <c r="M2774" s="2243" t="s">
        <v>16272</v>
      </c>
      <c r="N2774" s="2243" t="s">
        <v>16273</v>
      </c>
      <c r="O2774" s="1313"/>
      <c r="P2774" s="2243" t="s">
        <v>16274</v>
      </c>
      <c r="Q2774" s="2331" t="s">
        <v>16275</v>
      </c>
      <c r="R2774" s="2243" t="s">
        <v>16289</v>
      </c>
      <c r="S2774" s="2260" t="s">
        <v>16277</v>
      </c>
      <c r="T2774" s="1313"/>
      <c r="U2774" s="1313"/>
      <c r="V2774" s="1315" t="s">
        <v>16278</v>
      </c>
      <c r="W2774" s="1313"/>
      <c r="X2774" s="2328" t="s">
        <v>16279</v>
      </c>
      <c r="Y2774" s="1313"/>
      <c r="Z2774" s="1315" t="s">
        <v>226</v>
      </c>
      <c r="AA2774" s="1313" t="s">
        <v>16280</v>
      </c>
      <c r="AB2774" s="1313" t="s">
        <v>16281</v>
      </c>
      <c r="AC2774" s="1313" t="s">
        <v>16396</v>
      </c>
      <c r="AD2774" s="1313" t="s">
        <v>16392</v>
      </c>
      <c r="AE2774" s="1313" t="s">
        <v>1174</v>
      </c>
      <c r="AF2774" s="1341">
        <v>33.0</v>
      </c>
      <c r="AG2774" s="1313" t="s">
        <v>16397</v>
      </c>
      <c r="AH2774" s="1313"/>
      <c r="AI2774" s="1313" t="s">
        <v>1174</v>
      </c>
      <c r="AJ2774" s="1341">
        <v>0.001</v>
      </c>
      <c r="AK2774" s="1313" t="s">
        <v>135</v>
      </c>
      <c r="AL2774" s="1315" t="s">
        <v>186</v>
      </c>
      <c r="AM2774" s="1315" t="s">
        <v>137</v>
      </c>
      <c r="AN2774" s="1315" t="s">
        <v>138</v>
      </c>
      <c r="AO2774" s="2329">
        <v>3073.0</v>
      </c>
      <c r="AP2774" s="1313" t="s">
        <v>16398</v>
      </c>
      <c r="AQ2774" s="1313" t="s">
        <v>134</v>
      </c>
      <c r="AR2774" s="1313" t="s">
        <v>496</v>
      </c>
      <c r="AS2774" s="1341">
        <v>0.1</v>
      </c>
      <c r="AT2774" s="1313" t="s">
        <v>335</v>
      </c>
      <c r="AU2774" s="1313" t="s">
        <v>186</v>
      </c>
      <c r="AV2774" s="1313" t="s">
        <v>137</v>
      </c>
      <c r="AW2774" s="1313" t="s">
        <v>138</v>
      </c>
      <c r="AX2774" s="1313" t="s">
        <v>143</v>
      </c>
      <c r="AY2774" s="61" t="str">
        <f>IFERROR(__xludf.DUMMYFUNCTION("vlookup(BB2774,importrange(""https://docs.google.com/spreadsheets/d/1d2vevQ_7D_v35q4wCQ4RpQ_IPoTwEMB9Yp6ymwlPqew/edit?gid=984458430#gid=984458430"", ""'replication success'!A:K""), 11, FAlSE)"),"#N/A")</f>
        <v>#N/A</v>
      </c>
      <c r="AZ2774" s="61" t="str">
        <f>IFERROR(__xludf.DUMMYFUNCTION("vlookup(BB2774,importrange(""https://docs.google.com/spreadsheets/d/1d2vevQ_7D_v35q4wCQ4RpQ_IPoTwEMB9Yp6ymwlPqew/edit?gid=984458430#gid=984458430"", ""'replication success'!A:M""), 12, FAlSE)"),"#N/A")</f>
        <v>#N/A</v>
      </c>
      <c r="BA2774" s="61" t="str">
        <f>IFERROR(__xludf.DUMMYFUNCTION("vlookup(BB2774,importrange(""https://docs.google.com/spreadsheets/d/1d2vevQ_7D_v35q4wCQ4RpQ_IPoTwEMB9Yp6ymwlPqew/edit?gid=984458430#gid=984458430"", ""'replication success'!A:M""), 13, FAlSE)"),"#N/A")</f>
        <v>#N/A</v>
      </c>
      <c r="BB2774" s="61" t="str">
        <f>IFERROR(__xludf.DUMMYFUNCTION("REGEXREPLACE(G2774, ""_[a-z]{1,2}$"", """")"),"add_ai57")</f>
        <v>add_ai57</v>
      </c>
      <c r="BC2774" s="1572"/>
      <c r="BD2774" s="1588" t="s">
        <v>13264</v>
      </c>
      <c r="BE2774" s="342"/>
      <c r="BF2774" s="342"/>
      <c r="BG2774" s="342"/>
      <c r="BH2774" s="342"/>
      <c r="BI2774" s="342"/>
      <c r="BJ2774" s="342"/>
      <c r="BK2774" s="342"/>
      <c r="BL2774" s="342"/>
      <c r="BM2774" s="342"/>
      <c r="BN2774" s="342"/>
      <c r="BO2774" s="342"/>
      <c r="BP2774" s="342"/>
      <c r="BQ2774" s="342"/>
      <c r="BR2774" s="342"/>
      <c r="BS2774" s="342"/>
      <c r="BT2774" s="342"/>
      <c r="BU2774" s="342"/>
      <c r="BV2774" s="342"/>
      <c r="BW2774" s="342"/>
      <c r="BX2774" s="342"/>
      <c r="BY2774" s="342"/>
      <c r="BZ2774" s="342"/>
      <c r="CA2774" s="342"/>
      <c r="CB2774" s="342"/>
      <c r="CC2774" s="342"/>
      <c r="CD2774" s="342"/>
      <c r="CE2774" s="342"/>
      <c r="CF2774" s="342"/>
      <c r="CG2774" s="342"/>
      <c r="CH2774" s="342"/>
      <c r="CI2774" s="342"/>
      <c r="CJ2774" s="342"/>
      <c r="CK2774" s="342"/>
      <c r="CL2774" s="342"/>
      <c r="CM2774" s="342"/>
      <c r="CN2774" s="342"/>
      <c r="CO2774" s="342"/>
      <c r="CP2774" s="342"/>
      <c r="CQ2774" s="342"/>
      <c r="CR2774" s="342"/>
      <c r="CS2774" s="342"/>
      <c r="CT2774" s="342"/>
      <c r="CU2774" s="342"/>
      <c r="CV2774" s="342"/>
      <c r="CW2774" s="342"/>
      <c r="CX2774" s="342"/>
      <c r="CY2774" s="342"/>
      <c r="CZ2774" s="342"/>
      <c r="DA2774" s="342"/>
      <c r="DB2774" s="342"/>
      <c r="DC2774" s="342"/>
      <c r="DD2774" s="342"/>
      <c r="DE2774" s="342"/>
      <c r="DF2774" s="342"/>
      <c r="DG2774" s="342"/>
      <c r="DH2774" s="342"/>
      <c r="DI2774" s="342"/>
      <c r="DJ2774" s="342"/>
      <c r="DK2774" s="342"/>
      <c r="DL2774" s="342"/>
    </row>
    <row r="2775" ht="23.25" customHeight="1">
      <c r="A2775" s="44">
        <v>3183.0</v>
      </c>
      <c r="B2775" s="1322" t="s">
        <v>114</v>
      </c>
      <c r="C2775" s="1588" t="s">
        <v>115</v>
      </c>
      <c r="D2775" s="1588" t="s">
        <v>15991</v>
      </c>
      <c r="E2775" s="1572"/>
      <c r="F2775" s="1315" t="s">
        <v>16270</v>
      </c>
      <c r="G2775" s="1315" t="s">
        <v>16399</v>
      </c>
      <c r="H2775" s="2235" t="s">
        <v>15994</v>
      </c>
      <c r="I2775" s="2242">
        <v>45809.0</v>
      </c>
      <c r="J2775" s="2230">
        <v>45841.0</v>
      </c>
      <c r="K2775" s="1313"/>
      <c r="L2775" s="1322" t="s">
        <v>16316</v>
      </c>
      <c r="M2775" s="2243" t="s">
        <v>16272</v>
      </c>
      <c r="N2775" s="2243" t="s">
        <v>16273</v>
      </c>
      <c r="O2775" s="1313"/>
      <c r="P2775" s="2243" t="s">
        <v>16274</v>
      </c>
      <c r="Q2775" s="2331" t="s">
        <v>16275</v>
      </c>
      <c r="R2775" s="2243" t="s">
        <v>16289</v>
      </c>
      <c r="S2775" s="2260" t="s">
        <v>16277</v>
      </c>
      <c r="T2775" s="1313"/>
      <c r="U2775" s="1313"/>
      <c r="V2775" s="1315" t="s">
        <v>16278</v>
      </c>
      <c r="W2775" s="1313"/>
      <c r="X2775" s="2328" t="s">
        <v>16279</v>
      </c>
      <c r="Y2775" s="1313"/>
      <c r="Z2775" s="1315" t="s">
        <v>226</v>
      </c>
      <c r="AA2775" s="1313" t="s">
        <v>16280</v>
      </c>
      <c r="AB2775" s="1313" t="s">
        <v>16281</v>
      </c>
      <c r="AC2775" s="1313" t="s">
        <v>16400</v>
      </c>
      <c r="AD2775" s="1313" t="s">
        <v>16401</v>
      </c>
      <c r="AE2775" s="1313" t="s">
        <v>1174</v>
      </c>
      <c r="AF2775" s="1341">
        <v>36.0</v>
      </c>
      <c r="AG2775" s="1313" t="s">
        <v>16402</v>
      </c>
      <c r="AH2775" s="1313"/>
      <c r="AI2775" s="1313" t="s">
        <v>1174</v>
      </c>
      <c r="AJ2775" s="1341">
        <v>0.05</v>
      </c>
      <c r="AK2775" s="1313" t="s">
        <v>135</v>
      </c>
      <c r="AL2775" s="1315" t="s">
        <v>186</v>
      </c>
      <c r="AM2775" s="1315" t="s">
        <v>137</v>
      </c>
      <c r="AN2775" s="1315" t="s">
        <v>138</v>
      </c>
      <c r="AO2775" s="2329">
        <v>3073.0</v>
      </c>
      <c r="AP2775" s="1313" t="s">
        <v>16403</v>
      </c>
      <c r="AQ2775" s="1313" t="s">
        <v>134</v>
      </c>
      <c r="AR2775" s="1313" t="s">
        <v>496</v>
      </c>
      <c r="AS2775" s="1341">
        <v>0.1</v>
      </c>
      <c r="AT2775" s="1313" t="s">
        <v>335</v>
      </c>
      <c r="AU2775" s="1313" t="s">
        <v>186</v>
      </c>
      <c r="AV2775" s="1313" t="s">
        <v>137</v>
      </c>
      <c r="AW2775" s="1313" t="s">
        <v>138</v>
      </c>
      <c r="AX2775" s="1313" t="s">
        <v>143</v>
      </c>
      <c r="AY2775" s="61" t="str">
        <f>IFERROR(__xludf.DUMMYFUNCTION("vlookup(BB2775,importrange(""https://docs.google.com/spreadsheets/d/1d2vevQ_7D_v35q4wCQ4RpQ_IPoTwEMB9Yp6ymwlPqew/edit?gid=984458430#gid=984458430"", ""'replication success'!A:K""), 11, FAlSE)"),"#N/A")</f>
        <v>#N/A</v>
      </c>
      <c r="AZ2775" s="61" t="str">
        <f>IFERROR(__xludf.DUMMYFUNCTION("vlookup(BB2775,importrange(""https://docs.google.com/spreadsheets/d/1d2vevQ_7D_v35q4wCQ4RpQ_IPoTwEMB9Yp6ymwlPqew/edit?gid=984458430#gid=984458430"", ""'replication success'!A:M""), 12, FAlSE)"),"#N/A")</f>
        <v>#N/A</v>
      </c>
      <c r="BA2775" s="61" t="str">
        <f>IFERROR(__xludf.DUMMYFUNCTION("vlookup(BB2775,importrange(""https://docs.google.com/spreadsheets/d/1d2vevQ_7D_v35q4wCQ4RpQ_IPoTwEMB9Yp6ymwlPqew/edit?gid=984458430#gid=984458430"", ""'replication success'!A:M""), 13, FAlSE)"),"#N/A")</f>
        <v>#N/A</v>
      </c>
      <c r="BB2775" s="61" t="str">
        <f>IFERROR(__xludf.DUMMYFUNCTION("REGEXREPLACE(G2775, ""_[a-z]{1,2}$"", """")"),"add_ai57")</f>
        <v>add_ai57</v>
      </c>
      <c r="BC2775" s="1572"/>
      <c r="BD2775" s="1588" t="s">
        <v>13264</v>
      </c>
      <c r="BE2775" s="342"/>
      <c r="BF2775" s="342"/>
      <c r="BG2775" s="342"/>
      <c r="BH2775" s="342"/>
      <c r="BI2775" s="342"/>
      <c r="BJ2775" s="342"/>
      <c r="BK2775" s="342"/>
      <c r="BL2775" s="342"/>
      <c r="BM2775" s="342"/>
      <c r="BN2775" s="342"/>
      <c r="BO2775" s="342"/>
      <c r="BP2775" s="342"/>
      <c r="BQ2775" s="342"/>
      <c r="BR2775" s="342"/>
      <c r="BS2775" s="342"/>
      <c r="BT2775" s="342"/>
      <c r="BU2775" s="342"/>
      <c r="BV2775" s="342"/>
      <c r="BW2775" s="342"/>
      <c r="BX2775" s="342"/>
      <c r="BY2775" s="342"/>
      <c r="BZ2775" s="342"/>
      <c r="CA2775" s="342"/>
      <c r="CB2775" s="342"/>
      <c r="CC2775" s="342"/>
      <c r="CD2775" s="342"/>
      <c r="CE2775" s="342"/>
      <c r="CF2775" s="342"/>
      <c r="CG2775" s="342"/>
      <c r="CH2775" s="342"/>
      <c r="CI2775" s="342"/>
      <c r="CJ2775" s="342"/>
      <c r="CK2775" s="342"/>
      <c r="CL2775" s="342"/>
      <c r="CM2775" s="342"/>
      <c r="CN2775" s="342"/>
      <c r="CO2775" s="342"/>
      <c r="CP2775" s="342"/>
      <c r="CQ2775" s="342"/>
      <c r="CR2775" s="342"/>
      <c r="CS2775" s="342"/>
      <c r="CT2775" s="342"/>
      <c r="CU2775" s="342"/>
      <c r="CV2775" s="342"/>
      <c r="CW2775" s="342"/>
      <c r="CX2775" s="342"/>
      <c r="CY2775" s="342"/>
      <c r="CZ2775" s="342"/>
      <c r="DA2775" s="342"/>
      <c r="DB2775" s="342"/>
      <c r="DC2775" s="342"/>
      <c r="DD2775" s="342"/>
      <c r="DE2775" s="342"/>
      <c r="DF2775" s="342"/>
      <c r="DG2775" s="342"/>
      <c r="DH2775" s="342"/>
      <c r="DI2775" s="342"/>
      <c r="DJ2775" s="342"/>
      <c r="DK2775" s="342"/>
      <c r="DL2775" s="342"/>
    </row>
    <row r="2776" ht="22.5" customHeight="1">
      <c r="A2776" s="44">
        <v>3184.0</v>
      </c>
      <c r="B2776" s="1322" t="s">
        <v>114</v>
      </c>
      <c r="C2776" s="1588" t="s">
        <v>115</v>
      </c>
      <c r="D2776" s="1588" t="s">
        <v>15991</v>
      </c>
      <c r="E2776" s="1572"/>
      <c r="F2776" s="1315" t="s">
        <v>16270</v>
      </c>
      <c r="G2776" s="1315" t="s">
        <v>16404</v>
      </c>
      <c r="H2776" s="2235" t="s">
        <v>15994</v>
      </c>
      <c r="I2776" s="2242">
        <v>45809.0</v>
      </c>
      <c r="J2776" s="2230">
        <v>45841.0</v>
      </c>
      <c r="K2776" s="1313"/>
      <c r="L2776" s="1322" t="s">
        <v>16316</v>
      </c>
      <c r="M2776" s="2243" t="s">
        <v>16272</v>
      </c>
      <c r="N2776" s="2243" t="s">
        <v>16273</v>
      </c>
      <c r="O2776" s="1313"/>
      <c r="P2776" s="2243" t="s">
        <v>16274</v>
      </c>
      <c r="Q2776" s="2331" t="s">
        <v>16275</v>
      </c>
      <c r="R2776" s="2243" t="s">
        <v>16289</v>
      </c>
      <c r="S2776" s="2260" t="s">
        <v>16277</v>
      </c>
      <c r="T2776" s="1313"/>
      <c r="U2776" s="1313"/>
      <c r="V2776" s="1315" t="s">
        <v>16278</v>
      </c>
      <c r="W2776" s="1313"/>
      <c r="X2776" s="2328" t="s">
        <v>16279</v>
      </c>
      <c r="Y2776" s="1313"/>
      <c r="Z2776" s="1315" t="s">
        <v>226</v>
      </c>
      <c r="AA2776" s="1313" t="s">
        <v>16280</v>
      </c>
      <c r="AB2776" s="1313" t="s">
        <v>16281</v>
      </c>
      <c r="AC2776" s="1313" t="s">
        <v>16405</v>
      </c>
      <c r="AD2776" s="1313" t="s">
        <v>16401</v>
      </c>
      <c r="AE2776" s="1313" t="s">
        <v>1174</v>
      </c>
      <c r="AF2776" s="1341">
        <v>34.0</v>
      </c>
      <c r="AG2776" s="1313" t="s">
        <v>16402</v>
      </c>
      <c r="AH2776" s="1313"/>
      <c r="AI2776" s="1313" t="s">
        <v>1174</v>
      </c>
      <c r="AJ2776" s="1341">
        <v>0.05</v>
      </c>
      <c r="AK2776" s="1313" t="s">
        <v>135</v>
      </c>
      <c r="AL2776" s="1315" t="s">
        <v>186</v>
      </c>
      <c r="AM2776" s="1315" t="s">
        <v>137</v>
      </c>
      <c r="AN2776" s="1315" t="s">
        <v>138</v>
      </c>
      <c r="AO2776" s="2329">
        <v>3073.0</v>
      </c>
      <c r="AP2776" s="1313" t="s">
        <v>16406</v>
      </c>
      <c r="AQ2776" s="1313" t="s">
        <v>134</v>
      </c>
      <c r="AR2776" s="1313" t="s">
        <v>496</v>
      </c>
      <c r="AS2776" s="1341">
        <v>0.1</v>
      </c>
      <c r="AT2776" s="1313" t="s">
        <v>335</v>
      </c>
      <c r="AU2776" s="1313" t="s">
        <v>186</v>
      </c>
      <c r="AV2776" s="1313" t="s">
        <v>137</v>
      </c>
      <c r="AW2776" s="1313" t="s">
        <v>138</v>
      </c>
      <c r="AX2776" s="1313" t="s">
        <v>143</v>
      </c>
      <c r="AY2776" s="1321" t="str">
        <f>IFERROR(__xludf.DUMMYFUNCTION("vlookup(BB2776,importrange(""https://docs.google.com/spreadsheets/d/1d2vevQ_7D_v35q4wCQ4RpQ_IPoTwEMB9Yp6ymwlPqew/edit?gid=984458430#gid=984458430"", ""'replication success'!A:K""), 11, FAlSE)"),"#N/A")</f>
        <v>#N/A</v>
      </c>
      <c r="AZ2776" s="1321" t="str">
        <f>IFERROR(__xludf.DUMMYFUNCTION("vlookup(BB2776,importrange(""https://docs.google.com/spreadsheets/d/1d2vevQ_7D_v35q4wCQ4RpQ_IPoTwEMB9Yp6ymwlPqew/edit?gid=984458430#gid=984458430"", ""'replication success'!A:M""), 12, FAlSE)"),"#N/A")</f>
        <v>#N/A</v>
      </c>
      <c r="BA2776" s="1321" t="str">
        <f>IFERROR(__xludf.DUMMYFUNCTION("vlookup(BB2776,importrange(""https://docs.google.com/spreadsheets/d/1d2vevQ_7D_v35q4wCQ4RpQ_IPoTwEMB9Yp6ymwlPqew/edit?gid=984458430#gid=984458430"", ""'replication success'!A:M""), 13, FAlSE)"),"#N/A")</f>
        <v>#N/A</v>
      </c>
      <c r="BB2776" s="1321" t="str">
        <f>IFERROR(__xludf.DUMMYFUNCTION("REGEXREPLACE(G2776, ""_[a-z]{1,2}$"", """")"),"add_ai57")</f>
        <v>add_ai57</v>
      </c>
      <c r="BC2776" s="1572"/>
      <c r="BD2776" s="1588" t="s">
        <v>13264</v>
      </c>
      <c r="BE2776" s="342"/>
      <c r="BF2776" s="342"/>
      <c r="BG2776" s="342"/>
      <c r="BH2776" s="342"/>
      <c r="BI2776" s="342"/>
      <c r="BJ2776" s="342"/>
      <c r="BK2776" s="342"/>
      <c r="BL2776" s="342"/>
      <c r="BM2776" s="342"/>
      <c r="BN2776" s="342"/>
      <c r="BO2776" s="342"/>
      <c r="BP2776" s="342"/>
      <c r="BQ2776" s="342"/>
      <c r="BR2776" s="342"/>
      <c r="BS2776" s="342"/>
      <c r="BT2776" s="342"/>
      <c r="BU2776" s="342"/>
      <c r="BV2776" s="342"/>
      <c r="BW2776" s="342"/>
      <c r="BX2776" s="342"/>
      <c r="BY2776" s="342"/>
      <c r="BZ2776" s="342"/>
      <c r="CA2776" s="342"/>
      <c r="CB2776" s="342"/>
      <c r="CC2776" s="342"/>
      <c r="CD2776" s="342"/>
      <c r="CE2776" s="342"/>
      <c r="CF2776" s="342"/>
      <c r="CG2776" s="342"/>
      <c r="CH2776" s="342"/>
      <c r="CI2776" s="342"/>
      <c r="CJ2776" s="342"/>
      <c r="CK2776" s="342"/>
      <c r="CL2776" s="342"/>
      <c r="CM2776" s="342"/>
      <c r="CN2776" s="342"/>
      <c r="CO2776" s="342"/>
      <c r="CP2776" s="342"/>
      <c r="CQ2776" s="342"/>
      <c r="CR2776" s="342"/>
      <c r="CS2776" s="342"/>
      <c r="CT2776" s="342"/>
      <c r="CU2776" s="342"/>
      <c r="CV2776" s="342"/>
      <c r="CW2776" s="342"/>
      <c r="CX2776" s="342"/>
      <c r="CY2776" s="342"/>
      <c r="CZ2776" s="342"/>
      <c r="DA2776" s="342"/>
      <c r="DB2776" s="342"/>
      <c r="DC2776" s="342"/>
      <c r="DD2776" s="342"/>
      <c r="DE2776" s="342"/>
      <c r="DF2776" s="342"/>
      <c r="DG2776" s="342"/>
      <c r="DH2776" s="342"/>
      <c r="DI2776" s="342"/>
      <c r="DJ2776" s="342"/>
      <c r="DK2776" s="342"/>
      <c r="DL2776" s="342"/>
    </row>
    <row r="2777" ht="26.25" customHeight="1">
      <c r="A2777" s="44">
        <v>3190.0</v>
      </c>
      <c r="B2777" s="1322" t="s">
        <v>114</v>
      </c>
      <c r="C2777" s="1588" t="s">
        <v>115</v>
      </c>
      <c r="D2777" s="1588" t="s">
        <v>15991</v>
      </c>
      <c r="E2777" s="1572"/>
      <c r="F2777" s="1315" t="s">
        <v>16407</v>
      </c>
      <c r="G2777" s="1315" t="s">
        <v>16408</v>
      </c>
      <c r="H2777" s="2235" t="s">
        <v>15994</v>
      </c>
      <c r="I2777" s="2242">
        <v>45812.0</v>
      </c>
      <c r="J2777" s="2266">
        <v>45849.0</v>
      </c>
      <c r="K2777" s="1313"/>
      <c r="L2777" s="1313"/>
      <c r="M2777" s="2243" t="s">
        <v>16409</v>
      </c>
      <c r="N2777" s="2243" t="s">
        <v>16410</v>
      </c>
      <c r="O2777" s="1313"/>
      <c r="P2777" s="2243" t="s">
        <v>16411</v>
      </c>
      <c r="Q2777" s="2338" t="str">
        <f> hyperlink(vlookup(lower(N2777),'File Links'!F:G, 2, FALSE), "LINK")</f>
        <v>LINK</v>
      </c>
      <c r="R2777" s="2339" t="s">
        <v>16412</v>
      </c>
      <c r="S2777" s="1355" t="s">
        <v>16413</v>
      </c>
      <c r="T2777" s="1313"/>
      <c r="U2777" s="1313"/>
      <c r="V2777" s="1315" t="s">
        <v>16414</v>
      </c>
      <c r="W2777" s="1313"/>
      <c r="X2777" s="1321" t="str">
        <f t="array" ref="X2777"> if(iserror(MATCH(V2777, 'File Links'!C:C, 0)), "N/A", HYPERLINK(INDEX('File Links'!B:B, MATCH(V2777, 'File Links'!C:C, 0))))</f>
        <v>N/A</v>
      </c>
      <c r="Y2777" s="1313"/>
      <c r="Z2777" s="1313" t="s">
        <v>226</v>
      </c>
      <c r="AA2777" s="1313" t="s">
        <v>16415</v>
      </c>
      <c r="AB2777" s="1313" t="s">
        <v>16416</v>
      </c>
      <c r="AC2777" s="1313" t="s">
        <v>16417</v>
      </c>
      <c r="AD2777" s="1313" t="s">
        <v>16418</v>
      </c>
      <c r="AE2777" s="1313" t="s">
        <v>1042</v>
      </c>
      <c r="AF2777" s="1341">
        <v>39.0</v>
      </c>
      <c r="AG2777" s="1341">
        <v>1.11</v>
      </c>
      <c r="AH2777" s="1313" t="s">
        <v>173</v>
      </c>
      <c r="AI2777" s="1313" t="s">
        <v>1042</v>
      </c>
      <c r="AJ2777" s="1341">
        <v>0.01</v>
      </c>
      <c r="AK2777" s="1313" t="s">
        <v>135</v>
      </c>
      <c r="AL2777" s="1313" t="s">
        <v>186</v>
      </c>
      <c r="AM2777" s="1313" t="s">
        <v>137</v>
      </c>
      <c r="AN2777" s="1313" t="s">
        <v>138</v>
      </c>
      <c r="AO2777" s="1341">
        <v>31.0</v>
      </c>
      <c r="AP2777" s="1341">
        <v>1.73</v>
      </c>
      <c r="AQ2777" s="1313" t="s">
        <v>602</v>
      </c>
      <c r="AR2777" s="1313" t="s">
        <v>2441</v>
      </c>
      <c r="AS2777" s="1341">
        <v>0.05</v>
      </c>
      <c r="AT2777" s="1313" t="s">
        <v>135</v>
      </c>
      <c r="AU2777" s="1313" t="s">
        <v>186</v>
      </c>
      <c r="AV2777" s="1313" t="s">
        <v>137</v>
      </c>
      <c r="AW2777" s="1313" t="s">
        <v>138</v>
      </c>
      <c r="AX2777" s="1313" t="s">
        <v>143</v>
      </c>
      <c r="AY2777" s="1321" t="str">
        <f>IFERROR(__xludf.DUMMYFUNCTION("vlookup(BB2777,importrange(""https://docs.google.com/spreadsheets/d/1d2vevQ_7D_v35q4wCQ4RpQ_IPoTwEMB9Yp6ymwlPqew/edit?gid=984458430#gid=984458430"", ""'replication success'!A:K""), 11, FAlSE)"),"#N/A")</f>
        <v>#N/A</v>
      </c>
      <c r="AZ2777" s="1321" t="str">
        <f>IFERROR(__xludf.DUMMYFUNCTION("vlookup(BB2777,importrange(""https://docs.google.com/spreadsheets/d/1d2vevQ_7D_v35q4wCQ4RpQ_IPoTwEMB9Yp6ymwlPqew/edit?gid=984458430#gid=984458430"", ""'replication success'!A:M""), 12, FAlSE)"),"#N/A")</f>
        <v>#N/A</v>
      </c>
      <c r="BA2777" s="1321" t="str">
        <f>IFERROR(__xludf.DUMMYFUNCTION("vlookup(BB2777,importrange(""https://docs.google.com/spreadsheets/d/1d2vevQ_7D_v35q4wCQ4RpQ_IPoTwEMB9Yp6ymwlPqew/edit?gid=984458430#gid=984458430"", ""'replication success'!A:M""), 13, FAlSE)"),"#N/A")</f>
        <v>#N/A</v>
      </c>
      <c r="BB2777" s="1321" t="str">
        <f>IFERROR(__xludf.DUMMYFUNCTION("REGEXREPLACE(G2777, ""_[a-z]{1,2}$"", """")"),"add_ai6")</f>
        <v>add_ai6</v>
      </c>
      <c r="BC2777" s="1588" t="s">
        <v>16419</v>
      </c>
      <c r="BD2777" s="1588" t="s">
        <v>13264</v>
      </c>
      <c r="BE2777" s="342"/>
      <c r="BF2777" s="342"/>
      <c r="BG2777" s="342"/>
      <c r="BH2777" s="342"/>
      <c r="BI2777" s="342"/>
      <c r="BJ2777" s="342"/>
      <c r="BK2777" s="342"/>
      <c r="BL2777" s="342"/>
      <c r="BM2777" s="342"/>
      <c r="BN2777" s="342"/>
      <c r="BO2777" s="342"/>
      <c r="BP2777" s="342"/>
      <c r="BQ2777" s="342"/>
      <c r="BR2777" s="342"/>
      <c r="BS2777" s="342"/>
      <c r="BT2777" s="342"/>
      <c r="BU2777" s="342"/>
      <c r="BV2777" s="342"/>
      <c r="BW2777" s="342"/>
      <c r="BX2777" s="342"/>
      <c r="BY2777" s="342"/>
      <c r="BZ2777" s="342"/>
      <c r="CA2777" s="342"/>
      <c r="CB2777" s="342"/>
      <c r="CC2777" s="342"/>
      <c r="CD2777" s="342"/>
      <c r="CE2777" s="342"/>
      <c r="CF2777" s="342"/>
      <c r="CG2777" s="342"/>
      <c r="CH2777" s="342"/>
      <c r="CI2777" s="342"/>
      <c r="CJ2777" s="342"/>
      <c r="CK2777" s="342"/>
      <c r="CL2777" s="342"/>
      <c r="CM2777" s="342"/>
      <c r="CN2777" s="342"/>
      <c r="CO2777" s="342"/>
      <c r="CP2777" s="342"/>
      <c r="CQ2777" s="342"/>
      <c r="CR2777" s="342"/>
      <c r="CS2777" s="342"/>
      <c r="CT2777" s="342"/>
      <c r="CU2777" s="342"/>
      <c r="CV2777" s="342"/>
      <c r="CW2777" s="342"/>
      <c r="CX2777" s="342"/>
      <c r="CY2777" s="342"/>
      <c r="CZ2777" s="342"/>
      <c r="DA2777" s="342"/>
      <c r="DB2777" s="342"/>
      <c r="DC2777" s="342"/>
      <c r="DD2777" s="342"/>
      <c r="DE2777" s="342"/>
      <c r="DF2777" s="342"/>
      <c r="DG2777" s="342"/>
      <c r="DH2777" s="342"/>
      <c r="DI2777" s="342"/>
      <c r="DJ2777" s="342"/>
      <c r="DK2777" s="342"/>
      <c r="DL2777" s="342"/>
    </row>
    <row r="2778">
      <c r="A2778" s="44">
        <v>3129.0</v>
      </c>
      <c r="B2778" s="1322" t="s">
        <v>152</v>
      </c>
      <c r="C2778" s="1588" t="s">
        <v>115</v>
      </c>
      <c r="D2778" s="1588" t="s">
        <v>153</v>
      </c>
      <c r="E2778" s="1572"/>
      <c r="F2778" s="1600" t="s">
        <v>16407</v>
      </c>
      <c r="G2778" s="1592" t="s">
        <v>16420</v>
      </c>
      <c r="H2778" s="1600" t="s">
        <v>15921</v>
      </c>
      <c r="I2778" s="2229">
        <v>45821.0</v>
      </c>
      <c r="J2778" s="2230">
        <v>45849.0</v>
      </c>
      <c r="K2778" s="1592" t="s">
        <v>16421</v>
      </c>
      <c r="L2778" s="1313"/>
      <c r="M2778" s="1592" t="s">
        <v>16409</v>
      </c>
      <c r="N2778" s="1592" t="s">
        <v>16410</v>
      </c>
      <c r="O2778" s="1313"/>
      <c r="P2778" s="1592" t="s">
        <v>16411</v>
      </c>
      <c r="Q2778" s="2340" t="str">
        <f> hyperlink(vlookup(lower(N2778),'File Links'!E:F, 2, FALSE), "LINK")</f>
        <v>LINK</v>
      </c>
      <c r="R2778" s="2232" t="s">
        <v>16422</v>
      </c>
      <c r="S2778" s="1592" t="s">
        <v>16413</v>
      </c>
      <c r="T2778" s="1313"/>
      <c r="U2778" s="1313"/>
      <c r="V2778" s="1592" t="s">
        <v>16414</v>
      </c>
      <c r="W2778" s="1313"/>
      <c r="X2778" s="1321" t="str">
        <f t="array" ref="X2778"> if(iserror(MATCH(V2778, 'File Links'!C:C, 0)), "N/A", HYPERLINK(INDEX('File Links'!B:B, MATCH(V2778, 'File Links'!C:C, 0))))</f>
        <v>N/A</v>
      </c>
      <c r="Y2778" s="1313"/>
      <c r="Z2778" s="1592" t="s">
        <v>148</v>
      </c>
      <c r="AA2778" s="1600" t="s">
        <v>16423</v>
      </c>
      <c r="AB2778" s="1592" t="s">
        <v>16424</v>
      </c>
      <c r="AC2778" s="1592" t="s">
        <v>16425</v>
      </c>
      <c r="AD2778" s="1600" t="s">
        <v>16426</v>
      </c>
      <c r="AE2778" s="1596">
        <v>5.0</v>
      </c>
      <c r="AF2778" s="1596">
        <v>40.0</v>
      </c>
      <c r="AG2778" s="1596" t="s">
        <v>16427</v>
      </c>
      <c r="AH2778" s="1592" t="s">
        <v>134</v>
      </c>
      <c r="AI2778" s="1592" t="s">
        <v>813</v>
      </c>
      <c r="AJ2778" s="1596">
        <v>0.32</v>
      </c>
      <c r="AK2778" s="1592" t="s">
        <v>172</v>
      </c>
      <c r="AL2778" s="1592" t="s">
        <v>186</v>
      </c>
      <c r="AM2778" s="1592" t="s">
        <v>137</v>
      </c>
      <c r="AN2778" s="1592" t="s">
        <v>138</v>
      </c>
      <c r="AO2778" s="2265">
        <v>486.0</v>
      </c>
      <c r="AP2778" s="1596">
        <v>0.02</v>
      </c>
      <c r="AQ2778" s="1592" t="s">
        <v>874</v>
      </c>
      <c r="AR2778" s="1600" t="s">
        <v>3255</v>
      </c>
      <c r="AS2778" s="1596">
        <v>0.365</v>
      </c>
      <c r="AT2778" s="1592" t="s">
        <v>172</v>
      </c>
      <c r="AU2778" s="1592" t="s">
        <v>186</v>
      </c>
      <c r="AV2778" s="1592" t="s">
        <v>141</v>
      </c>
      <c r="AW2778" s="2263" t="s">
        <v>16428</v>
      </c>
      <c r="AX2778" s="1592" t="s">
        <v>143</v>
      </c>
      <c r="AY2778" s="1321" t="str">
        <f>IFERROR(__xludf.DUMMYFUNCTION("vlookup(BB2778,importrange(""https://docs.google.com/spreadsheets/d/1d2vevQ_7D_v35q4wCQ4RpQ_IPoTwEMB9Yp6ymwlPqew/edit?gid=984458430#gid=984458430"", ""'replication success'!A:K""), 11, FAlSE)"),"#N/A")</f>
        <v>#N/A</v>
      </c>
      <c r="AZ2778" s="1321" t="str">
        <f>IFERROR(__xludf.DUMMYFUNCTION("vlookup(BB2778,importrange(""https://docs.google.com/spreadsheets/d/1d2vevQ_7D_v35q4wCQ4RpQ_IPoTwEMB9Yp6ymwlPqew/edit?gid=984458430#gid=984458430"", ""'replication success'!A:M""), 12, FAlSE)"),"#N/A")</f>
        <v>#N/A</v>
      </c>
      <c r="BA2778" s="1321" t="str">
        <f>IFERROR(__xludf.DUMMYFUNCTION("vlookup(BB2778,importrange(""https://docs.google.com/spreadsheets/d/1d2vevQ_7D_v35q4wCQ4RpQ_IPoTwEMB9Yp6ymwlPqew/edit?gid=984458430#gid=984458430"", ""'replication success'!A:M""), 13, FAlSE)"),"#N/A")</f>
        <v>#N/A</v>
      </c>
      <c r="BB2778" s="1321" t="str">
        <f>IFERROR(__xludf.DUMMYFUNCTION("REGEXREPLACE(G2778, ""_[a-z]{1,2}$"", """")"),"add_ai6")</f>
        <v>add_ai6</v>
      </c>
      <c r="BC2778" s="1572"/>
      <c r="BD2778" s="1588" t="s">
        <v>13264</v>
      </c>
      <c r="BE2778" s="342"/>
      <c r="BF2778" s="342"/>
      <c r="BG2778" s="342"/>
      <c r="BH2778" s="342"/>
      <c r="BI2778" s="342"/>
      <c r="BJ2778" s="342"/>
      <c r="BK2778" s="342"/>
      <c r="BL2778" s="342"/>
      <c r="BM2778" s="342"/>
      <c r="BN2778" s="342"/>
      <c r="BO2778" s="342"/>
      <c r="BP2778" s="342"/>
      <c r="BQ2778" s="342"/>
      <c r="BR2778" s="342"/>
      <c r="BS2778" s="342"/>
      <c r="BT2778" s="342"/>
      <c r="BU2778" s="342"/>
      <c r="BV2778" s="342"/>
      <c r="BW2778" s="342"/>
      <c r="BX2778" s="342"/>
      <c r="BY2778" s="342"/>
      <c r="BZ2778" s="342"/>
      <c r="CA2778" s="342"/>
      <c r="CB2778" s="342"/>
      <c r="CC2778" s="342"/>
      <c r="CD2778" s="342"/>
      <c r="CE2778" s="342"/>
      <c r="CF2778" s="342"/>
      <c r="CG2778" s="342"/>
      <c r="CH2778" s="342"/>
      <c r="CI2778" s="342"/>
      <c r="CJ2778" s="342"/>
      <c r="CK2778" s="342"/>
      <c r="CL2778" s="342"/>
      <c r="CM2778" s="342"/>
      <c r="CN2778" s="342"/>
      <c r="CO2778" s="342"/>
      <c r="CP2778" s="342"/>
      <c r="CQ2778" s="342"/>
      <c r="CR2778" s="342"/>
      <c r="CS2778" s="342"/>
      <c r="CT2778" s="342"/>
      <c r="CU2778" s="342"/>
      <c r="CV2778" s="342"/>
      <c r="CW2778" s="342"/>
      <c r="CX2778" s="342"/>
      <c r="CY2778" s="342"/>
      <c r="CZ2778" s="342"/>
      <c r="DA2778" s="342"/>
      <c r="DB2778" s="342"/>
      <c r="DC2778" s="342"/>
      <c r="DD2778" s="342"/>
      <c r="DE2778" s="342"/>
      <c r="DF2778" s="342"/>
      <c r="DG2778" s="342"/>
      <c r="DH2778" s="342"/>
      <c r="DI2778" s="342"/>
      <c r="DJ2778" s="342"/>
      <c r="DK2778" s="342"/>
      <c r="DL2778" s="342"/>
    </row>
    <row r="2779">
      <c r="A2779" s="44">
        <v>3130.0</v>
      </c>
      <c r="B2779" s="1322" t="s">
        <v>152</v>
      </c>
      <c r="C2779" s="1588" t="s">
        <v>115</v>
      </c>
      <c r="D2779" s="1588" t="s">
        <v>153</v>
      </c>
      <c r="E2779" s="1572"/>
      <c r="F2779" s="1600" t="s">
        <v>16407</v>
      </c>
      <c r="G2779" s="1592" t="s">
        <v>16429</v>
      </c>
      <c r="H2779" s="1600" t="s">
        <v>15921</v>
      </c>
      <c r="I2779" s="2229">
        <v>45821.0</v>
      </c>
      <c r="J2779" s="2266">
        <v>45849.0</v>
      </c>
      <c r="K2779" s="1592" t="s">
        <v>16421</v>
      </c>
      <c r="L2779" s="1313"/>
      <c r="M2779" s="1592" t="s">
        <v>16409</v>
      </c>
      <c r="N2779" s="1592" t="s">
        <v>16410</v>
      </c>
      <c r="O2779" s="1313"/>
      <c r="P2779" s="1592" t="s">
        <v>16411</v>
      </c>
      <c r="Q2779" s="2340" t="str">
        <f> hyperlink(vlookup(lower(N2779),'File Links'!E:F, 2, FALSE), "LINK")</f>
        <v>LINK</v>
      </c>
      <c r="R2779" s="1592" t="s">
        <v>16430</v>
      </c>
      <c r="S2779" s="1592" t="s">
        <v>16413</v>
      </c>
      <c r="T2779" s="1313"/>
      <c r="U2779" s="1313"/>
      <c r="V2779" s="1592" t="s">
        <v>16414</v>
      </c>
      <c r="W2779" s="1313"/>
      <c r="X2779" s="1321" t="str">
        <f t="array" ref="X2779"> if(iserror(MATCH(V2779, 'File Links'!C:C, 0)), "N/A", HYPERLINK(INDEX('File Links'!B:B, MATCH(V2779, 'File Links'!C:C, 0))))</f>
        <v>N/A</v>
      </c>
      <c r="Y2779" s="1313"/>
      <c r="Z2779" s="1592" t="s">
        <v>148</v>
      </c>
      <c r="AA2779" s="1600" t="s">
        <v>16423</v>
      </c>
      <c r="AB2779" s="1592" t="s">
        <v>16424</v>
      </c>
      <c r="AC2779" s="1600" t="s">
        <v>16431</v>
      </c>
      <c r="AD2779" s="1600" t="s">
        <v>16432</v>
      </c>
      <c r="AE2779" s="2265">
        <v>6.0</v>
      </c>
      <c r="AF2779" s="1596">
        <v>40.0</v>
      </c>
      <c r="AG2779" s="2265">
        <v>1.11</v>
      </c>
      <c r="AH2779" s="1592" t="s">
        <v>173</v>
      </c>
      <c r="AI2779" s="1600" t="s">
        <v>140</v>
      </c>
      <c r="AJ2779" s="2265">
        <v>0.01</v>
      </c>
      <c r="AK2779" s="1592" t="s">
        <v>135</v>
      </c>
      <c r="AL2779" s="1592" t="s">
        <v>186</v>
      </c>
      <c r="AM2779" s="1592" t="s">
        <v>137</v>
      </c>
      <c r="AN2779" s="1592" t="s">
        <v>138</v>
      </c>
      <c r="AO2779" s="2265">
        <v>486.0</v>
      </c>
      <c r="AP2779" s="2265">
        <v>0.63</v>
      </c>
      <c r="AQ2779" s="1592" t="s">
        <v>874</v>
      </c>
      <c r="AR2779" s="1600" t="s">
        <v>3255</v>
      </c>
      <c r="AS2779" s="2265">
        <v>0.001</v>
      </c>
      <c r="AT2779" s="1592" t="s">
        <v>135</v>
      </c>
      <c r="AU2779" s="1592" t="s">
        <v>186</v>
      </c>
      <c r="AV2779" s="1592" t="s">
        <v>141</v>
      </c>
      <c r="AW2779" s="1601" t="s">
        <v>16428</v>
      </c>
      <c r="AX2779" s="1592" t="s">
        <v>143</v>
      </c>
      <c r="AY2779" s="1321" t="str">
        <f>IFERROR(__xludf.DUMMYFUNCTION("vlookup(BB2779,importrange(""https://docs.google.com/spreadsheets/d/1d2vevQ_7D_v35q4wCQ4RpQ_IPoTwEMB9Yp6ymwlPqew/edit?gid=984458430#gid=984458430"", ""'replication success'!A:K""), 11, FAlSE)"),"#N/A")</f>
        <v>#N/A</v>
      </c>
      <c r="AZ2779" s="1321" t="str">
        <f>IFERROR(__xludf.DUMMYFUNCTION("vlookup(BB2779,importrange(""https://docs.google.com/spreadsheets/d/1d2vevQ_7D_v35q4wCQ4RpQ_IPoTwEMB9Yp6ymwlPqew/edit?gid=984458430#gid=984458430"", ""'replication success'!A:M""), 12, FAlSE)"),"#N/A")</f>
        <v>#N/A</v>
      </c>
      <c r="BA2779" s="1321" t="str">
        <f>IFERROR(__xludf.DUMMYFUNCTION("vlookup(BB2779,importrange(""https://docs.google.com/spreadsheets/d/1d2vevQ_7D_v35q4wCQ4RpQ_IPoTwEMB9Yp6ymwlPqew/edit?gid=984458430#gid=984458430"", ""'replication success'!A:M""), 13, FAlSE)"),"#N/A")</f>
        <v>#N/A</v>
      </c>
      <c r="BB2779" s="1321" t="str">
        <f>IFERROR(__xludf.DUMMYFUNCTION("REGEXREPLACE(G2779, ""_[a-z]{1,2}$"", """")"),"add_ai6")</f>
        <v>add_ai6</v>
      </c>
      <c r="BC2779" s="1572"/>
      <c r="BD2779" s="1588" t="s">
        <v>13264</v>
      </c>
      <c r="BE2779" s="342"/>
      <c r="BF2779" s="342"/>
      <c r="BG2779" s="342"/>
      <c r="BH2779" s="342"/>
      <c r="BI2779" s="342"/>
      <c r="BJ2779" s="342"/>
      <c r="BK2779" s="342"/>
      <c r="BL2779" s="342"/>
      <c r="BM2779" s="342"/>
      <c r="BN2779" s="342"/>
      <c r="BO2779" s="342"/>
      <c r="BP2779" s="342"/>
      <c r="BQ2779" s="342"/>
      <c r="BR2779" s="342"/>
      <c r="BS2779" s="342"/>
      <c r="BT2779" s="342"/>
      <c r="BU2779" s="342"/>
      <c r="BV2779" s="342"/>
      <c r="BW2779" s="342"/>
      <c r="BX2779" s="342"/>
      <c r="BY2779" s="342"/>
      <c r="BZ2779" s="342"/>
      <c r="CA2779" s="342"/>
      <c r="CB2779" s="342"/>
      <c r="CC2779" s="342"/>
      <c r="CD2779" s="342"/>
      <c r="CE2779" s="342"/>
      <c r="CF2779" s="342"/>
      <c r="CG2779" s="342"/>
      <c r="CH2779" s="342"/>
      <c r="CI2779" s="342"/>
      <c r="CJ2779" s="342"/>
      <c r="CK2779" s="342"/>
      <c r="CL2779" s="342"/>
      <c r="CM2779" s="342"/>
      <c r="CN2779" s="342"/>
      <c r="CO2779" s="342"/>
      <c r="CP2779" s="342"/>
      <c r="CQ2779" s="342"/>
      <c r="CR2779" s="342"/>
      <c r="CS2779" s="342"/>
      <c r="CT2779" s="342"/>
      <c r="CU2779" s="342"/>
      <c r="CV2779" s="342"/>
      <c r="CW2779" s="342"/>
      <c r="CX2779" s="342"/>
      <c r="CY2779" s="342"/>
      <c r="CZ2779" s="342"/>
      <c r="DA2779" s="342"/>
      <c r="DB2779" s="342"/>
      <c r="DC2779" s="342"/>
      <c r="DD2779" s="342"/>
      <c r="DE2779" s="342"/>
      <c r="DF2779" s="342"/>
      <c r="DG2779" s="342"/>
      <c r="DH2779" s="342"/>
      <c r="DI2779" s="342"/>
      <c r="DJ2779" s="342"/>
      <c r="DK2779" s="342"/>
      <c r="DL2779" s="342"/>
    </row>
    <row r="2780" ht="26.25" customHeight="1">
      <c r="A2780" s="44">
        <v>3191.0</v>
      </c>
      <c r="B2780" s="1322" t="s">
        <v>114</v>
      </c>
      <c r="C2780" s="1588" t="s">
        <v>115</v>
      </c>
      <c r="D2780" s="1588" t="s">
        <v>15991</v>
      </c>
      <c r="E2780" s="1572"/>
      <c r="F2780" s="1315" t="s">
        <v>16407</v>
      </c>
      <c r="G2780" s="1315" t="s">
        <v>16429</v>
      </c>
      <c r="H2780" s="2235" t="s">
        <v>15994</v>
      </c>
      <c r="I2780" s="2242">
        <v>45812.0</v>
      </c>
      <c r="J2780" s="2230">
        <v>45849.0</v>
      </c>
      <c r="K2780" s="1313"/>
      <c r="L2780" s="1313"/>
      <c r="M2780" s="2243" t="s">
        <v>16409</v>
      </c>
      <c r="N2780" s="2243" t="s">
        <v>16410</v>
      </c>
      <c r="O2780" s="1313"/>
      <c r="P2780" s="2243" t="s">
        <v>16411</v>
      </c>
      <c r="Q2780" s="2338" t="str">
        <f> hyperlink(vlookup(lower(N2780),'File Links'!F:G, 2, FALSE), "LINK")</f>
        <v>LINK</v>
      </c>
      <c r="R2780" s="2339" t="s">
        <v>16433</v>
      </c>
      <c r="S2780" s="1355" t="s">
        <v>16413</v>
      </c>
      <c r="T2780" s="1313"/>
      <c r="U2780" s="1313"/>
      <c r="V2780" s="1315" t="s">
        <v>16414</v>
      </c>
      <c r="W2780" s="1313"/>
      <c r="X2780" s="1321" t="str">
        <f t="array" ref="X2780"> if(iserror(MATCH(V2780, 'File Links'!C:C, 0)), "N/A", HYPERLINK(INDEX('File Links'!B:B, MATCH(V2780, 'File Links'!C:C, 0))))</f>
        <v>N/A</v>
      </c>
      <c r="Y2780" s="1313"/>
      <c r="Z2780" s="1313" t="s">
        <v>226</v>
      </c>
      <c r="AA2780" s="1313" t="s">
        <v>16415</v>
      </c>
      <c r="AB2780" s="1313" t="s">
        <v>16416</v>
      </c>
      <c r="AC2780" s="1313" t="s">
        <v>16434</v>
      </c>
      <c r="AD2780" s="1313" t="s">
        <v>16418</v>
      </c>
      <c r="AE2780" s="1313" t="s">
        <v>1042</v>
      </c>
      <c r="AF2780" s="1341">
        <v>39.0</v>
      </c>
      <c r="AG2780" s="1341">
        <v>1.11</v>
      </c>
      <c r="AH2780" s="1313" t="s">
        <v>173</v>
      </c>
      <c r="AI2780" s="1313" t="s">
        <v>1042</v>
      </c>
      <c r="AJ2780" s="1341">
        <v>0.01</v>
      </c>
      <c r="AK2780" s="1313" t="s">
        <v>135</v>
      </c>
      <c r="AL2780" s="1313" t="s">
        <v>186</v>
      </c>
      <c r="AM2780" s="1313" t="s">
        <v>137</v>
      </c>
      <c r="AN2780" s="1313" t="s">
        <v>138</v>
      </c>
      <c r="AO2780" s="1341">
        <v>41.0</v>
      </c>
      <c r="AP2780" s="1341">
        <v>1.15</v>
      </c>
      <c r="AQ2780" s="1313" t="s">
        <v>602</v>
      </c>
      <c r="AR2780" s="1313" t="s">
        <v>2441</v>
      </c>
      <c r="AS2780" s="1341">
        <v>0.05</v>
      </c>
      <c r="AT2780" s="1313" t="s">
        <v>135</v>
      </c>
      <c r="AU2780" s="1313" t="s">
        <v>186</v>
      </c>
      <c r="AV2780" s="1313" t="s">
        <v>137</v>
      </c>
      <c r="AW2780" s="1313" t="s">
        <v>138</v>
      </c>
      <c r="AX2780" s="1313" t="s">
        <v>143</v>
      </c>
      <c r="AY2780" s="1321" t="str">
        <f>IFERROR(__xludf.DUMMYFUNCTION("vlookup(BB2780,importrange(""https://docs.google.com/spreadsheets/d/1d2vevQ_7D_v35q4wCQ4RpQ_IPoTwEMB9Yp6ymwlPqew/edit?gid=984458430#gid=984458430"", ""'replication success'!A:K""), 11, FAlSE)"),"#N/A")</f>
        <v>#N/A</v>
      </c>
      <c r="AZ2780" s="1321" t="str">
        <f>IFERROR(__xludf.DUMMYFUNCTION("vlookup(BB2780,importrange(""https://docs.google.com/spreadsheets/d/1d2vevQ_7D_v35q4wCQ4RpQ_IPoTwEMB9Yp6ymwlPqew/edit?gid=984458430#gid=984458430"", ""'replication success'!A:M""), 12, FAlSE)"),"#N/A")</f>
        <v>#N/A</v>
      </c>
      <c r="BA2780" s="1321" t="str">
        <f>IFERROR(__xludf.DUMMYFUNCTION("vlookup(BB2780,importrange(""https://docs.google.com/spreadsheets/d/1d2vevQ_7D_v35q4wCQ4RpQ_IPoTwEMB9Yp6ymwlPqew/edit?gid=984458430#gid=984458430"", ""'replication success'!A:M""), 13, FAlSE)"),"#N/A")</f>
        <v>#N/A</v>
      </c>
      <c r="BB2780" s="1321" t="str">
        <f>IFERROR(__xludf.DUMMYFUNCTION("REGEXREPLACE(G2780, ""_[a-z]{1,2}$"", """")"),"add_ai6")</f>
        <v>add_ai6</v>
      </c>
      <c r="BC2780" s="1572"/>
      <c r="BD2780" s="1588" t="s">
        <v>13264</v>
      </c>
      <c r="BE2780" s="342"/>
      <c r="BF2780" s="342"/>
      <c r="BG2780" s="342"/>
      <c r="BH2780" s="342"/>
      <c r="BI2780" s="342"/>
      <c r="BJ2780" s="342"/>
      <c r="BK2780" s="342"/>
      <c r="BL2780" s="342"/>
      <c r="BM2780" s="342"/>
      <c r="BN2780" s="342"/>
      <c r="BO2780" s="342"/>
      <c r="BP2780" s="342"/>
      <c r="BQ2780" s="342"/>
      <c r="BR2780" s="342"/>
      <c r="BS2780" s="342"/>
      <c r="BT2780" s="342"/>
      <c r="BU2780" s="342"/>
      <c r="BV2780" s="342"/>
      <c r="BW2780" s="342"/>
      <c r="BX2780" s="342"/>
      <c r="BY2780" s="342"/>
      <c r="BZ2780" s="342"/>
      <c r="CA2780" s="342"/>
      <c r="CB2780" s="342"/>
      <c r="CC2780" s="342"/>
      <c r="CD2780" s="342"/>
      <c r="CE2780" s="342"/>
      <c r="CF2780" s="342"/>
      <c r="CG2780" s="342"/>
      <c r="CH2780" s="342"/>
      <c r="CI2780" s="342"/>
      <c r="CJ2780" s="342"/>
      <c r="CK2780" s="342"/>
      <c r="CL2780" s="342"/>
      <c r="CM2780" s="342"/>
      <c r="CN2780" s="342"/>
      <c r="CO2780" s="342"/>
      <c r="CP2780" s="342"/>
      <c r="CQ2780" s="342"/>
      <c r="CR2780" s="342"/>
      <c r="CS2780" s="342"/>
      <c r="CT2780" s="342"/>
      <c r="CU2780" s="342"/>
      <c r="CV2780" s="342"/>
      <c r="CW2780" s="342"/>
      <c r="CX2780" s="342"/>
      <c r="CY2780" s="342"/>
      <c r="CZ2780" s="342"/>
      <c r="DA2780" s="342"/>
      <c r="DB2780" s="342"/>
      <c r="DC2780" s="342"/>
      <c r="DD2780" s="342"/>
      <c r="DE2780" s="342"/>
      <c r="DF2780" s="342"/>
      <c r="DG2780" s="342"/>
      <c r="DH2780" s="342"/>
      <c r="DI2780" s="342"/>
      <c r="DJ2780" s="342"/>
      <c r="DK2780" s="342"/>
      <c r="DL2780" s="342"/>
    </row>
    <row r="2781" ht="23.25" customHeight="1">
      <c r="A2781" s="44">
        <v>3192.0</v>
      </c>
      <c r="B2781" s="1322" t="s">
        <v>114</v>
      </c>
      <c r="C2781" s="1588" t="s">
        <v>115</v>
      </c>
      <c r="D2781" s="1588" t="s">
        <v>15991</v>
      </c>
      <c r="E2781" s="1572"/>
      <c r="F2781" s="1315" t="s">
        <v>16407</v>
      </c>
      <c r="G2781" s="1315" t="s">
        <v>16435</v>
      </c>
      <c r="H2781" s="2235" t="s">
        <v>15994</v>
      </c>
      <c r="I2781" s="2242">
        <v>45812.0</v>
      </c>
      <c r="J2781" s="2266">
        <v>45849.0</v>
      </c>
      <c r="K2781" s="1313"/>
      <c r="L2781" s="1313"/>
      <c r="M2781" s="2243" t="s">
        <v>16409</v>
      </c>
      <c r="N2781" s="2243" t="s">
        <v>16410</v>
      </c>
      <c r="O2781" s="1313"/>
      <c r="P2781" s="2243" t="s">
        <v>16411</v>
      </c>
      <c r="Q2781" s="2338" t="str">
        <f> hyperlink(vlookup(lower(N2781),'File Links'!F:G, 2, FALSE), "LINK")</f>
        <v>LINK</v>
      </c>
      <c r="R2781" s="2339" t="s">
        <v>16436</v>
      </c>
      <c r="S2781" s="1355" t="s">
        <v>16413</v>
      </c>
      <c r="T2781" s="1313"/>
      <c r="U2781" s="1313"/>
      <c r="V2781" s="1315" t="s">
        <v>16414</v>
      </c>
      <c r="W2781" s="1313"/>
      <c r="X2781" s="1321" t="str">
        <f t="array" ref="X2781"> if(iserror(MATCH(V2781, 'File Links'!C:C, 0)), "N/A", HYPERLINK(INDEX('File Links'!B:B, MATCH(V2781, 'File Links'!C:C, 0))))</f>
        <v>N/A</v>
      </c>
      <c r="Y2781" s="1313"/>
      <c r="Z2781" s="1313" t="s">
        <v>226</v>
      </c>
      <c r="AA2781" s="1313" t="s">
        <v>16415</v>
      </c>
      <c r="AB2781" s="1313" t="s">
        <v>16416</v>
      </c>
      <c r="AC2781" s="1313" t="s">
        <v>16437</v>
      </c>
      <c r="AD2781" s="1313" t="s">
        <v>16418</v>
      </c>
      <c r="AE2781" s="1313" t="s">
        <v>1042</v>
      </c>
      <c r="AF2781" s="1341">
        <v>39.0</v>
      </c>
      <c r="AG2781" s="1341">
        <v>1.11</v>
      </c>
      <c r="AH2781" s="1313" t="s">
        <v>173</v>
      </c>
      <c r="AI2781" s="1313" t="s">
        <v>1042</v>
      </c>
      <c r="AJ2781" s="1341">
        <v>0.01</v>
      </c>
      <c r="AK2781" s="1313" t="s">
        <v>135</v>
      </c>
      <c r="AL2781" s="1313" t="s">
        <v>186</v>
      </c>
      <c r="AM2781" s="1313" t="s">
        <v>137</v>
      </c>
      <c r="AN2781" s="1313" t="s">
        <v>138</v>
      </c>
      <c r="AO2781" s="1341">
        <v>35.0</v>
      </c>
      <c r="AP2781" s="1341">
        <v>1.01</v>
      </c>
      <c r="AQ2781" s="1313" t="s">
        <v>602</v>
      </c>
      <c r="AR2781" s="1313" t="s">
        <v>2441</v>
      </c>
      <c r="AS2781" s="1341">
        <v>0.05</v>
      </c>
      <c r="AT2781" s="1313" t="s">
        <v>135</v>
      </c>
      <c r="AU2781" s="1313" t="s">
        <v>186</v>
      </c>
      <c r="AV2781" s="1313" t="s">
        <v>137</v>
      </c>
      <c r="AW2781" s="1313" t="s">
        <v>138</v>
      </c>
      <c r="AX2781" s="1313" t="s">
        <v>143</v>
      </c>
      <c r="AY2781" s="1321" t="str">
        <f>IFERROR(__xludf.DUMMYFUNCTION("vlookup(BB2781,importrange(""https://docs.google.com/spreadsheets/d/1d2vevQ_7D_v35q4wCQ4RpQ_IPoTwEMB9Yp6ymwlPqew/edit?gid=984458430#gid=984458430"", ""'replication success'!A:K""), 11, FAlSE)"),"#N/A")</f>
        <v>#N/A</v>
      </c>
      <c r="AZ2781" s="1321" t="str">
        <f>IFERROR(__xludf.DUMMYFUNCTION("vlookup(BB2781,importrange(""https://docs.google.com/spreadsheets/d/1d2vevQ_7D_v35q4wCQ4RpQ_IPoTwEMB9Yp6ymwlPqew/edit?gid=984458430#gid=984458430"", ""'replication success'!A:M""), 12, FAlSE)"),"#N/A")</f>
        <v>#N/A</v>
      </c>
      <c r="BA2781" s="1321" t="str">
        <f>IFERROR(__xludf.DUMMYFUNCTION("vlookup(BB2781,importrange(""https://docs.google.com/spreadsheets/d/1d2vevQ_7D_v35q4wCQ4RpQ_IPoTwEMB9Yp6ymwlPqew/edit?gid=984458430#gid=984458430"", ""'replication success'!A:M""), 13, FAlSE)"),"#N/A")</f>
        <v>#N/A</v>
      </c>
      <c r="BB2781" s="1321" t="str">
        <f>IFERROR(__xludf.DUMMYFUNCTION("REGEXREPLACE(G2781, ""_[a-z]{1,2}$"", """")"),"add_ai6")</f>
        <v>add_ai6</v>
      </c>
      <c r="BC2781" s="1572"/>
      <c r="BD2781" s="1588" t="s">
        <v>13264</v>
      </c>
      <c r="BE2781" s="342"/>
      <c r="BF2781" s="342"/>
      <c r="BG2781" s="342"/>
      <c r="BH2781" s="342"/>
      <c r="BI2781" s="342"/>
      <c r="BJ2781" s="342"/>
      <c r="BK2781" s="342"/>
      <c r="BL2781" s="342"/>
      <c r="BM2781" s="342"/>
      <c r="BN2781" s="342"/>
      <c r="BO2781" s="342"/>
      <c r="BP2781" s="342"/>
      <c r="BQ2781" s="342"/>
      <c r="BR2781" s="342"/>
      <c r="BS2781" s="342"/>
      <c r="BT2781" s="342"/>
      <c r="BU2781" s="342"/>
      <c r="BV2781" s="342"/>
      <c r="BW2781" s="342"/>
      <c r="BX2781" s="342"/>
      <c r="BY2781" s="342"/>
      <c r="BZ2781" s="342"/>
      <c r="CA2781" s="342"/>
      <c r="CB2781" s="342"/>
      <c r="CC2781" s="342"/>
      <c r="CD2781" s="342"/>
      <c r="CE2781" s="342"/>
      <c r="CF2781" s="342"/>
      <c r="CG2781" s="342"/>
      <c r="CH2781" s="342"/>
      <c r="CI2781" s="342"/>
      <c r="CJ2781" s="342"/>
      <c r="CK2781" s="342"/>
      <c r="CL2781" s="342"/>
      <c r="CM2781" s="342"/>
      <c r="CN2781" s="342"/>
      <c r="CO2781" s="342"/>
      <c r="CP2781" s="342"/>
      <c r="CQ2781" s="342"/>
      <c r="CR2781" s="342"/>
      <c r="CS2781" s="342"/>
      <c r="CT2781" s="342"/>
      <c r="CU2781" s="342"/>
      <c r="CV2781" s="342"/>
      <c r="CW2781" s="342"/>
      <c r="CX2781" s="342"/>
      <c r="CY2781" s="342"/>
      <c r="CZ2781" s="342"/>
      <c r="DA2781" s="342"/>
      <c r="DB2781" s="342"/>
      <c r="DC2781" s="342"/>
      <c r="DD2781" s="342"/>
      <c r="DE2781" s="342"/>
      <c r="DF2781" s="342"/>
      <c r="DG2781" s="342"/>
      <c r="DH2781" s="342"/>
      <c r="DI2781" s="342"/>
      <c r="DJ2781" s="342"/>
      <c r="DK2781" s="342"/>
      <c r="DL2781" s="342"/>
    </row>
    <row r="2782" ht="24.75" customHeight="1">
      <c r="A2782" s="44">
        <v>3193.0</v>
      </c>
      <c r="B2782" s="1322" t="s">
        <v>114</v>
      </c>
      <c r="C2782" s="1588" t="s">
        <v>115</v>
      </c>
      <c r="D2782" s="1588" t="s">
        <v>15991</v>
      </c>
      <c r="E2782" s="1572"/>
      <c r="F2782" s="1315" t="s">
        <v>16407</v>
      </c>
      <c r="G2782" s="1315" t="s">
        <v>16438</v>
      </c>
      <c r="H2782" s="2235" t="s">
        <v>15994</v>
      </c>
      <c r="I2782" s="2242">
        <v>45812.0</v>
      </c>
      <c r="J2782" s="2230">
        <v>45849.0</v>
      </c>
      <c r="K2782" s="1313"/>
      <c r="L2782" s="1313"/>
      <c r="M2782" s="2243" t="s">
        <v>16409</v>
      </c>
      <c r="N2782" s="2243" t="s">
        <v>16410</v>
      </c>
      <c r="O2782" s="1313"/>
      <c r="P2782" s="2243" t="s">
        <v>16411</v>
      </c>
      <c r="Q2782" s="2338" t="str">
        <f> hyperlink(vlookup(lower(N2782),'File Links'!F:G, 2, FALSE), "LINK")</f>
        <v>LINK</v>
      </c>
      <c r="R2782" s="2339" t="s">
        <v>16439</v>
      </c>
      <c r="S2782" s="1355" t="s">
        <v>16413</v>
      </c>
      <c r="T2782" s="1313"/>
      <c r="U2782" s="1313"/>
      <c r="V2782" s="1315" t="s">
        <v>16414</v>
      </c>
      <c r="W2782" s="1313"/>
      <c r="X2782" s="1321" t="str">
        <f t="array" ref="X2782"> if(iserror(MATCH(V2782, 'File Links'!C:C, 0)), "N/A", HYPERLINK(INDEX('File Links'!B:B, MATCH(V2782, 'File Links'!C:C, 0))))</f>
        <v>N/A</v>
      </c>
      <c r="Y2782" s="1313"/>
      <c r="Z2782" s="1313" t="s">
        <v>226</v>
      </c>
      <c r="AA2782" s="1313" t="s">
        <v>16415</v>
      </c>
      <c r="AB2782" s="1313" t="s">
        <v>16416</v>
      </c>
      <c r="AC2782" s="1313" t="s">
        <v>16440</v>
      </c>
      <c r="AD2782" s="1313" t="s">
        <v>16418</v>
      </c>
      <c r="AE2782" s="1313" t="s">
        <v>1042</v>
      </c>
      <c r="AF2782" s="1341">
        <v>39.0</v>
      </c>
      <c r="AG2782" s="1341">
        <v>1.11</v>
      </c>
      <c r="AH2782" s="1313" t="s">
        <v>173</v>
      </c>
      <c r="AI2782" s="1313" t="s">
        <v>1042</v>
      </c>
      <c r="AJ2782" s="1341">
        <v>0.01</v>
      </c>
      <c r="AK2782" s="1313" t="s">
        <v>135</v>
      </c>
      <c r="AL2782" s="1313" t="s">
        <v>186</v>
      </c>
      <c r="AM2782" s="1313" t="s">
        <v>137</v>
      </c>
      <c r="AN2782" s="1313" t="s">
        <v>138</v>
      </c>
      <c r="AO2782" s="1341">
        <v>34.0</v>
      </c>
      <c r="AP2782" s="1341">
        <v>1.22</v>
      </c>
      <c r="AQ2782" s="1313" t="s">
        <v>602</v>
      </c>
      <c r="AR2782" s="1313" t="s">
        <v>2441</v>
      </c>
      <c r="AS2782" s="1341">
        <v>0.05</v>
      </c>
      <c r="AT2782" s="1313" t="s">
        <v>135</v>
      </c>
      <c r="AU2782" s="1313" t="s">
        <v>186</v>
      </c>
      <c r="AV2782" s="1313" t="s">
        <v>137</v>
      </c>
      <c r="AW2782" s="1313" t="s">
        <v>138</v>
      </c>
      <c r="AX2782" s="1313" t="s">
        <v>143</v>
      </c>
      <c r="AY2782" s="1321" t="str">
        <f>IFERROR(__xludf.DUMMYFUNCTION("vlookup(BB2782,importrange(""https://docs.google.com/spreadsheets/d/1d2vevQ_7D_v35q4wCQ4RpQ_IPoTwEMB9Yp6ymwlPqew/edit?gid=984458430#gid=984458430"", ""'replication success'!A:K""), 11, FAlSE)"),"#N/A")</f>
        <v>#N/A</v>
      </c>
      <c r="AZ2782" s="1321" t="str">
        <f>IFERROR(__xludf.DUMMYFUNCTION("vlookup(BB2782,importrange(""https://docs.google.com/spreadsheets/d/1d2vevQ_7D_v35q4wCQ4RpQ_IPoTwEMB9Yp6ymwlPqew/edit?gid=984458430#gid=984458430"", ""'replication success'!A:M""), 12, FAlSE)"),"#N/A")</f>
        <v>#N/A</v>
      </c>
      <c r="BA2782" s="1321" t="str">
        <f>IFERROR(__xludf.DUMMYFUNCTION("vlookup(BB2782,importrange(""https://docs.google.com/spreadsheets/d/1d2vevQ_7D_v35q4wCQ4RpQ_IPoTwEMB9Yp6ymwlPqew/edit?gid=984458430#gid=984458430"", ""'replication success'!A:M""), 13, FAlSE)"),"#N/A")</f>
        <v>#N/A</v>
      </c>
      <c r="BB2782" s="1321" t="str">
        <f>IFERROR(__xludf.DUMMYFUNCTION("REGEXREPLACE(G2782, ""_[a-z]{1,2}$"", """")"),"add_ai6")</f>
        <v>add_ai6</v>
      </c>
      <c r="BC2782" s="1572"/>
      <c r="BD2782" s="1588" t="s">
        <v>13264</v>
      </c>
      <c r="BE2782" s="342"/>
      <c r="BF2782" s="342"/>
      <c r="BG2782" s="342"/>
      <c r="BH2782" s="342"/>
      <c r="BI2782" s="342"/>
      <c r="BJ2782" s="342"/>
      <c r="BK2782" s="342"/>
      <c r="BL2782" s="342"/>
      <c r="BM2782" s="342"/>
      <c r="BN2782" s="342"/>
      <c r="BO2782" s="342"/>
      <c r="BP2782" s="342"/>
      <c r="BQ2782" s="342"/>
      <c r="BR2782" s="342"/>
      <c r="BS2782" s="342"/>
      <c r="BT2782" s="342"/>
      <c r="BU2782" s="342"/>
      <c r="BV2782" s="342"/>
      <c r="BW2782" s="342"/>
      <c r="BX2782" s="342"/>
      <c r="BY2782" s="342"/>
      <c r="BZ2782" s="342"/>
      <c r="CA2782" s="342"/>
      <c r="CB2782" s="342"/>
      <c r="CC2782" s="342"/>
      <c r="CD2782" s="342"/>
      <c r="CE2782" s="342"/>
      <c r="CF2782" s="342"/>
      <c r="CG2782" s="342"/>
      <c r="CH2782" s="342"/>
      <c r="CI2782" s="342"/>
      <c r="CJ2782" s="342"/>
      <c r="CK2782" s="342"/>
      <c r="CL2782" s="342"/>
      <c r="CM2782" s="342"/>
      <c r="CN2782" s="342"/>
      <c r="CO2782" s="342"/>
      <c r="CP2782" s="342"/>
      <c r="CQ2782" s="342"/>
      <c r="CR2782" s="342"/>
      <c r="CS2782" s="342"/>
      <c r="CT2782" s="342"/>
      <c r="CU2782" s="342"/>
      <c r="CV2782" s="342"/>
      <c r="CW2782" s="342"/>
      <c r="CX2782" s="342"/>
      <c r="CY2782" s="342"/>
      <c r="CZ2782" s="342"/>
      <c r="DA2782" s="342"/>
      <c r="DB2782" s="342"/>
      <c r="DC2782" s="342"/>
      <c r="DD2782" s="342"/>
      <c r="DE2782" s="342"/>
      <c r="DF2782" s="342"/>
      <c r="DG2782" s="342"/>
      <c r="DH2782" s="342"/>
      <c r="DI2782" s="342"/>
      <c r="DJ2782" s="342"/>
      <c r="DK2782" s="342"/>
      <c r="DL2782" s="342"/>
    </row>
    <row r="2783" ht="25.5" customHeight="1">
      <c r="A2783" s="44">
        <v>3194.0</v>
      </c>
      <c r="B2783" s="1322" t="s">
        <v>114</v>
      </c>
      <c r="C2783" s="1588" t="s">
        <v>115</v>
      </c>
      <c r="D2783" s="1588" t="s">
        <v>15991</v>
      </c>
      <c r="E2783" s="1572"/>
      <c r="F2783" s="1315" t="s">
        <v>16407</v>
      </c>
      <c r="G2783" s="1315" t="s">
        <v>16441</v>
      </c>
      <c r="H2783" s="2235" t="s">
        <v>15994</v>
      </c>
      <c r="I2783" s="2242">
        <v>45812.0</v>
      </c>
      <c r="J2783" s="2266">
        <v>45849.0</v>
      </c>
      <c r="K2783" s="1313"/>
      <c r="L2783" s="1313"/>
      <c r="M2783" s="2243" t="s">
        <v>16409</v>
      </c>
      <c r="N2783" s="2243" t="s">
        <v>16410</v>
      </c>
      <c r="O2783" s="1313"/>
      <c r="P2783" s="2243" t="s">
        <v>16411</v>
      </c>
      <c r="Q2783" s="2338" t="str">
        <f> hyperlink(vlookup(lower(N2783),'File Links'!F:G, 2, FALSE), "LINK")</f>
        <v>LINK</v>
      </c>
      <c r="R2783" s="2339" t="s">
        <v>16442</v>
      </c>
      <c r="S2783" s="1355" t="s">
        <v>16413</v>
      </c>
      <c r="T2783" s="1313"/>
      <c r="U2783" s="1313"/>
      <c r="V2783" s="1315" t="s">
        <v>16414</v>
      </c>
      <c r="W2783" s="1313"/>
      <c r="X2783" s="1321" t="str">
        <f t="array" ref="X2783"> if(iserror(MATCH(V2783, 'File Links'!C:C, 0)), "N/A", HYPERLINK(INDEX('File Links'!B:B, MATCH(V2783, 'File Links'!C:C, 0))))</f>
        <v>N/A</v>
      </c>
      <c r="Y2783" s="1313"/>
      <c r="Z2783" s="1313" t="s">
        <v>226</v>
      </c>
      <c r="AA2783" s="1313" t="s">
        <v>16415</v>
      </c>
      <c r="AB2783" s="1313" t="s">
        <v>16416</v>
      </c>
      <c r="AC2783" s="1313" t="s">
        <v>16443</v>
      </c>
      <c r="AD2783" s="1313" t="s">
        <v>16418</v>
      </c>
      <c r="AE2783" s="1313" t="s">
        <v>1042</v>
      </c>
      <c r="AF2783" s="1341">
        <v>39.0</v>
      </c>
      <c r="AG2783" s="1341">
        <v>1.11</v>
      </c>
      <c r="AH2783" s="1313" t="s">
        <v>173</v>
      </c>
      <c r="AI2783" s="1313" t="s">
        <v>1042</v>
      </c>
      <c r="AJ2783" s="1341">
        <v>0.01</v>
      </c>
      <c r="AK2783" s="1313" t="s">
        <v>135</v>
      </c>
      <c r="AL2783" s="1313" t="s">
        <v>186</v>
      </c>
      <c r="AM2783" s="1313" t="s">
        <v>137</v>
      </c>
      <c r="AN2783" s="1313" t="s">
        <v>138</v>
      </c>
      <c r="AO2783" s="1341">
        <v>35.0</v>
      </c>
      <c r="AP2783" s="1341">
        <v>2.97</v>
      </c>
      <c r="AQ2783" s="1313" t="s">
        <v>602</v>
      </c>
      <c r="AR2783" s="1313" t="s">
        <v>2441</v>
      </c>
      <c r="AS2783" s="1341">
        <v>0.05</v>
      </c>
      <c r="AT2783" s="1313" t="s">
        <v>135</v>
      </c>
      <c r="AU2783" s="1313" t="s">
        <v>186</v>
      </c>
      <c r="AV2783" s="1313" t="s">
        <v>137</v>
      </c>
      <c r="AW2783" s="1313" t="s">
        <v>138</v>
      </c>
      <c r="AX2783" s="1313" t="s">
        <v>143</v>
      </c>
      <c r="AY2783" s="1321" t="str">
        <f>IFERROR(__xludf.DUMMYFUNCTION("vlookup(BB2783,importrange(""https://docs.google.com/spreadsheets/d/1d2vevQ_7D_v35q4wCQ4RpQ_IPoTwEMB9Yp6ymwlPqew/edit?gid=984458430#gid=984458430"", ""'replication success'!A:K""), 11, FAlSE)"),"#N/A")</f>
        <v>#N/A</v>
      </c>
      <c r="AZ2783" s="1321" t="str">
        <f>IFERROR(__xludf.DUMMYFUNCTION("vlookup(BB2783,importrange(""https://docs.google.com/spreadsheets/d/1d2vevQ_7D_v35q4wCQ4RpQ_IPoTwEMB9Yp6ymwlPqew/edit?gid=984458430#gid=984458430"", ""'replication success'!A:M""), 12, FAlSE)"),"#N/A")</f>
        <v>#N/A</v>
      </c>
      <c r="BA2783" s="1321" t="str">
        <f>IFERROR(__xludf.DUMMYFUNCTION("vlookup(BB2783,importrange(""https://docs.google.com/spreadsheets/d/1d2vevQ_7D_v35q4wCQ4RpQ_IPoTwEMB9Yp6ymwlPqew/edit?gid=984458430#gid=984458430"", ""'replication success'!A:M""), 13, FAlSE)"),"#N/A")</f>
        <v>#N/A</v>
      </c>
      <c r="BB2783" s="1321" t="str">
        <f>IFERROR(__xludf.DUMMYFUNCTION("REGEXREPLACE(G2783, ""_[a-z]{1,2}$"", """")"),"add_ai6")</f>
        <v>add_ai6</v>
      </c>
      <c r="BC2783" s="1572"/>
      <c r="BD2783" s="1588" t="s">
        <v>13264</v>
      </c>
      <c r="BE2783" s="342"/>
      <c r="BF2783" s="342"/>
      <c r="BG2783" s="342"/>
      <c r="BH2783" s="342"/>
      <c r="BI2783" s="342"/>
      <c r="BJ2783" s="342"/>
      <c r="BK2783" s="342"/>
      <c r="BL2783" s="342"/>
      <c r="BM2783" s="342"/>
      <c r="BN2783" s="342"/>
      <c r="BO2783" s="342"/>
      <c r="BP2783" s="342"/>
      <c r="BQ2783" s="342"/>
      <c r="BR2783" s="342"/>
      <c r="BS2783" s="342"/>
      <c r="BT2783" s="342"/>
      <c r="BU2783" s="342"/>
      <c r="BV2783" s="342"/>
      <c r="BW2783" s="342"/>
      <c r="BX2783" s="342"/>
      <c r="BY2783" s="342"/>
      <c r="BZ2783" s="342"/>
      <c r="CA2783" s="342"/>
      <c r="CB2783" s="342"/>
      <c r="CC2783" s="342"/>
      <c r="CD2783" s="342"/>
      <c r="CE2783" s="342"/>
      <c r="CF2783" s="342"/>
      <c r="CG2783" s="342"/>
      <c r="CH2783" s="342"/>
      <c r="CI2783" s="342"/>
      <c r="CJ2783" s="342"/>
      <c r="CK2783" s="342"/>
      <c r="CL2783" s="342"/>
      <c r="CM2783" s="342"/>
      <c r="CN2783" s="342"/>
      <c r="CO2783" s="342"/>
      <c r="CP2783" s="342"/>
      <c r="CQ2783" s="342"/>
      <c r="CR2783" s="342"/>
      <c r="CS2783" s="342"/>
      <c r="CT2783" s="342"/>
      <c r="CU2783" s="342"/>
      <c r="CV2783" s="342"/>
      <c r="CW2783" s="342"/>
      <c r="CX2783" s="342"/>
      <c r="CY2783" s="342"/>
      <c r="CZ2783" s="342"/>
      <c r="DA2783" s="342"/>
      <c r="DB2783" s="342"/>
      <c r="DC2783" s="342"/>
      <c r="DD2783" s="342"/>
      <c r="DE2783" s="342"/>
      <c r="DF2783" s="342"/>
      <c r="DG2783" s="342"/>
      <c r="DH2783" s="342"/>
      <c r="DI2783" s="342"/>
      <c r="DJ2783" s="342"/>
      <c r="DK2783" s="342"/>
      <c r="DL2783" s="342"/>
    </row>
    <row r="2784" ht="26.25" customHeight="1">
      <c r="A2784" s="44">
        <v>3195.0</v>
      </c>
      <c r="B2784" s="1322" t="s">
        <v>114</v>
      </c>
      <c r="C2784" s="1588" t="s">
        <v>115</v>
      </c>
      <c r="D2784" s="1588" t="s">
        <v>15991</v>
      </c>
      <c r="E2784" s="1572"/>
      <c r="F2784" s="1315" t="s">
        <v>16407</v>
      </c>
      <c r="G2784" s="1315" t="s">
        <v>16444</v>
      </c>
      <c r="H2784" s="2235" t="s">
        <v>15994</v>
      </c>
      <c r="I2784" s="2242">
        <v>45812.0</v>
      </c>
      <c r="J2784" s="2230">
        <v>45849.0</v>
      </c>
      <c r="K2784" s="1313"/>
      <c r="L2784" s="1313"/>
      <c r="M2784" s="2243" t="s">
        <v>16409</v>
      </c>
      <c r="N2784" s="2243" t="s">
        <v>16410</v>
      </c>
      <c r="O2784" s="1313"/>
      <c r="P2784" s="2243" t="s">
        <v>16411</v>
      </c>
      <c r="Q2784" s="2338" t="str">
        <f> hyperlink(vlookup(lower(N2784),'File Links'!F:G, 2, FALSE), "LINK")</f>
        <v>LINK</v>
      </c>
      <c r="R2784" s="2339" t="s">
        <v>16445</v>
      </c>
      <c r="S2784" s="1355" t="s">
        <v>16413</v>
      </c>
      <c r="T2784" s="1313"/>
      <c r="U2784" s="1313"/>
      <c r="V2784" s="1315" t="s">
        <v>16414</v>
      </c>
      <c r="W2784" s="1313"/>
      <c r="X2784" s="1321" t="str">
        <f t="array" ref="X2784"> if(iserror(MATCH(V2784, 'File Links'!C:C, 0)), "N/A", HYPERLINK(INDEX('File Links'!B:B, MATCH(V2784, 'File Links'!C:C, 0))))</f>
        <v>N/A</v>
      </c>
      <c r="Y2784" s="1313"/>
      <c r="Z2784" s="1313" t="s">
        <v>226</v>
      </c>
      <c r="AA2784" s="1313" t="s">
        <v>16415</v>
      </c>
      <c r="AB2784" s="1313" t="s">
        <v>16416</v>
      </c>
      <c r="AC2784" s="1313" t="s">
        <v>16446</v>
      </c>
      <c r="AD2784" s="1313" t="s">
        <v>16418</v>
      </c>
      <c r="AE2784" s="1313" t="s">
        <v>1042</v>
      </c>
      <c r="AF2784" s="1341">
        <v>39.0</v>
      </c>
      <c r="AG2784" s="1341">
        <v>1.11</v>
      </c>
      <c r="AH2784" s="1313" t="s">
        <v>173</v>
      </c>
      <c r="AI2784" s="1313" t="s">
        <v>1042</v>
      </c>
      <c r="AJ2784" s="1341">
        <v>0.01</v>
      </c>
      <c r="AK2784" s="1313" t="s">
        <v>135</v>
      </c>
      <c r="AL2784" s="1313" t="s">
        <v>186</v>
      </c>
      <c r="AM2784" s="1313" t="s">
        <v>137</v>
      </c>
      <c r="AN2784" s="1313" t="s">
        <v>138</v>
      </c>
      <c r="AO2784" s="1341">
        <v>51.0</v>
      </c>
      <c r="AP2784" s="1341">
        <v>1.8</v>
      </c>
      <c r="AQ2784" s="1313" t="s">
        <v>602</v>
      </c>
      <c r="AR2784" s="1313" t="s">
        <v>2441</v>
      </c>
      <c r="AS2784" s="1341">
        <v>0.05</v>
      </c>
      <c r="AT2784" s="1313" t="s">
        <v>135</v>
      </c>
      <c r="AU2784" s="1313" t="s">
        <v>186</v>
      </c>
      <c r="AV2784" s="1313" t="s">
        <v>137</v>
      </c>
      <c r="AW2784" s="1313" t="s">
        <v>138</v>
      </c>
      <c r="AX2784" s="1313" t="s">
        <v>143</v>
      </c>
      <c r="AY2784" s="1321" t="str">
        <f>IFERROR(__xludf.DUMMYFUNCTION("vlookup(BB2784,importrange(""https://docs.google.com/spreadsheets/d/1d2vevQ_7D_v35q4wCQ4RpQ_IPoTwEMB9Yp6ymwlPqew/edit?gid=984458430#gid=984458430"", ""'replication success'!A:K""), 11, FAlSE)"),"#N/A")</f>
        <v>#N/A</v>
      </c>
      <c r="AZ2784" s="1321" t="str">
        <f>IFERROR(__xludf.DUMMYFUNCTION("vlookup(BB2784,importrange(""https://docs.google.com/spreadsheets/d/1d2vevQ_7D_v35q4wCQ4RpQ_IPoTwEMB9Yp6ymwlPqew/edit?gid=984458430#gid=984458430"", ""'replication success'!A:M""), 12, FAlSE)"),"#N/A")</f>
        <v>#N/A</v>
      </c>
      <c r="BA2784" s="1321" t="str">
        <f>IFERROR(__xludf.DUMMYFUNCTION("vlookup(BB2784,importrange(""https://docs.google.com/spreadsheets/d/1d2vevQ_7D_v35q4wCQ4RpQ_IPoTwEMB9Yp6ymwlPqew/edit?gid=984458430#gid=984458430"", ""'replication success'!A:M""), 13, FAlSE)"),"#N/A")</f>
        <v>#N/A</v>
      </c>
      <c r="BB2784" s="1321" t="str">
        <f>IFERROR(__xludf.DUMMYFUNCTION("REGEXREPLACE(G2784, ""_[a-z]{1,2}$"", """")"),"add_ai6")</f>
        <v>add_ai6</v>
      </c>
      <c r="BC2784" s="1572"/>
      <c r="BD2784" s="1588" t="s">
        <v>13264</v>
      </c>
      <c r="BE2784" s="342"/>
      <c r="BF2784" s="342"/>
      <c r="BG2784" s="342"/>
      <c r="BH2784" s="342"/>
      <c r="BI2784" s="342"/>
      <c r="BJ2784" s="342"/>
      <c r="BK2784" s="342"/>
      <c r="BL2784" s="342"/>
      <c r="BM2784" s="342"/>
      <c r="BN2784" s="342"/>
      <c r="BO2784" s="342"/>
      <c r="BP2784" s="342"/>
      <c r="BQ2784" s="342"/>
      <c r="BR2784" s="342"/>
      <c r="BS2784" s="342"/>
      <c r="BT2784" s="342"/>
      <c r="BU2784" s="342"/>
      <c r="BV2784" s="342"/>
      <c r="BW2784" s="342"/>
      <c r="BX2784" s="342"/>
      <c r="BY2784" s="342"/>
      <c r="BZ2784" s="342"/>
      <c r="CA2784" s="342"/>
      <c r="CB2784" s="342"/>
      <c r="CC2784" s="342"/>
      <c r="CD2784" s="342"/>
      <c r="CE2784" s="342"/>
      <c r="CF2784" s="342"/>
      <c r="CG2784" s="342"/>
      <c r="CH2784" s="342"/>
      <c r="CI2784" s="342"/>
      <c r="CJ2784" s="342"/>
      <c r="CK2784" s="342"/>
      <c r="CL2784" s="342"/>
      <c r="CM2784" s="342"/>
      <c r="CN2784" s="342"/>
      <c r="CO2784" s="342"/>
      <c r="CP2784" s="342"/>
      <c r="CQ2784" s="342"/>
      <c r="CR2784" s="342"/>
      <c r="CS2784" s="342"/>
      <c r="CT2784" s="342"/>
      <c r="CU2784" s="342"/>
      <c r="CV2784" s="342"/>
      <c r="CW2784" s="342"/>
      <c r="CX2784" s="342"/>
      <c r="CY2784" s="342"/>
      <c r="CZ2784" s="342"/>
      <c r="DA2784" s="342"/>
      <c r="DB2784" s="342"/>
      <c r="DC2784" s="342"/>
      <c r="DD2784" s="342"/>
      <c r="DE2784" s="342"/>
      <c r="DF2784" s="342"/>
      <c r="DG2784" s="342"/>
      <c r="DH2784" s="342"/>
      <c r="DI2784" s="342"/>
      <c r="DJ2784" s="342"/>
      <c r="DK2784" s="342"/>
      <c r="DL2784" s="342"/>
    </row>
    <row r="2785" ht="20.25" customHeight="1">
      <c r="A2785" s="44">
        <v>3196.0</v>
      </c>
      <c r="B2785" s="1322" t="s">
        <v>114</v>
      </c>
      <c r="C2785" s="1588" t="s">
        <v>115</v>
      </c>
      <c r="D2785" s="1588" t="s">
        <v>15991</v>
      </c>
      <c r="E2785" s="1572"/>
      <c r="F2785" s="1315" t="s">
        <v>16407</v>
      </c>
      <c r="G2785" s="1315" t="s">
        <v>16447</v>
      </c>
      <c r="H2785" s="2235" t="s">
        <v>15994</v>
      </c>
      <c r="I2785" s="2242">
        <v>45812.0</v>
      </c>
      <c r="J2785" s="2266">
        <v>45849.0</v>
      </c>
      <c r="K2785" s="1313"/>
      <c r="L2785" s="1313"/>
      <c r="M2785" s="2243" t="s">
        <v>16409</v>
      </c>
      <c r="N2785" s="2243" t="s">
        <v>16410</v>
      </c>
      <c r="O2785" s="1313"/>
      <c r="P2785" s="2243" t="s">
        <v>16411</v>
      </c>
      <c r="Q2785" s="2338" t="str">
        <f> hyperlink(vlookup(lower(N2785),'File Links'!F:G, 2, FALSE), "LINK")</f>
        <v>LINK</v>
      </c>
      <c r="R2785" s="2339" t="s">
        <v>16448</v>
      </c>
      <c r="S2785" s="1355" t="s">
        <v>16413</v>
      </c>
      <c r="T2785" s="1313"/>
      <c r="U2785" s="1313"/>
      <c r="V2785" s="1315" t="s">
        <v>16414</v>
      </c>
      <c r="W2785" s="1313"/>
      <c r="X2785" s="1321" t="str">
        <f t="array" ref="X2785"> if(iserror(MATCH(V2785, 'File Links'!C:C, 0)), "N/A", HYPERLINK(INDEX('File Links'!B:B, MATCH(V2785, 'File Links'!C:C, 0))))</f>
        <v>N/A</v>
      </c>
      <c r="Y2785" s="1313"/>
      <c r="Z2785" s="1313" t="s">
        <v>226</v>
      </c>
      <c r="AA2785" s="1313" t="s">
        <v>16415</v>
      </c>
      <c r="AB2785" s="1313" t="s">
        <v>16416</v>
      </c>
      <c r="AC2785" s="1313" t="s">
        <v>16449</v>
      </c>
      <c r="AD2785" s="1313" t="s">
        <v>16418</v>
      </c>
      <c r="AE2785" s="1313" t="s">
        <v>1042</v>
      </c>
      <c r="AF2785" s="1341">
        <v>39.0</v>
      </c>
      <c r="AG2785" s="1341">
        <v>1.11</v>
      </c>
      <c r="AH2785" s="1313" t="s">
        <v>173</v>
      </c>
      <c r="AI2785" s="1313" t="s">
        <v>1042</v>
      </c>
      <c r="AJ2785" s="1341">
        <v>0.01</v>
      </c>
      <c r="AK2785" s="1313" t="s">
        <v>135</v>
      </c>
      <c r="AL2785" s="1313" t="s">
        <v>186</v>
      </c>
      <c r="AM2785" s="1313" t="s">
        <v>137</v>
      </c>
      <c r="AN2785" s="1313" t="s">
        <v>138</v>
      </c>
      <c r="AO2785" s="1341">
        <v>55.0</v>
      </c>
      <c r="AP2785" s="1341">
        <v>1.92</v>
      </c>
      <c r="AQ2785" s="1313" t="s">
        <v>602</v>
      </c>
      <c r="AR2785" s="1313" t="s">
        <v>2441</v>
      </c>
      <c r="AS2785" s="1341">
        <v>0.05</v>
      </c>
      <c r="AT2785" s="1313" t="s">
        <v>135</v>
      </c>
      <c r="AU2785" s="1313" t="s">
        <v>186</v>
      </c>
      <c r="AV2785" s="1313" t="s">
        <v>137</v>
      </c>
      <c r="AW2785" s="1313" t="s">
        <v>138</v>
      </c>
      <c r="AX2785" s="1313" t="s">
        <v>143</v>
      </c>
      <c r="AY2785" s="1321" t="str">
        <f>IFERROR(__xludf.DUMMYFUNCTION("vlookup(BB2785,importrange(""https://docs.google.com/spreadsheets/d/1d2vevQ_7D_v35q4wCQ4RpQ_IPoTwEMB9Yp6ymwlPqew/edit?gid=984458430#gid=984458430"", ""'replication success'!A:K""), 11, FAlSE)"),"#N/A")</f>
        <v>#N/A</v>
      </c>
      <c r="AZ2785" s="1321" t="str">
        <f>IFERROR(__xludf.DUMMYFUNCTION("vlookup(BB2785,importrange(""https://docs.google.com/spreadsheets/d/1d2vevQ_7D_v35q4wCQ4RpQ_IPoTwEMB9Yp6ymwlPqew/edit?gid=984458430#gid=984458430"", ""'replication success'!A:M""), 12, FAlSE)"),"#N/A")</f>
        <v>#N/A</v>
      </c>
      <c r="BA2785" s="1321" t="str">
        <f>IFERROR(__xludf.DUMMYFUNCTION("vlookup(BB2785,importrange(""https://docs.google.com/spreadsheets/d/1d2vevQ_7D_v35q4wCQ4RpQ_IPoTwEMB9Yp6ymwlPqew/edit?gid=984458430#gid=984458430"", ""'replication success'!A:M""), 13, FAlSE)"),"#N/A")</f>
        <v>#N/A</v>
      </c>
      <c r="BB2785" s="1321" t="str">
        <f>IFERROR(__xludf.DUMMYFUNCTION("REGEXREPLACE(G2785, ""_[a-z]{1,2}$"", """")"),"add_ai6")</f>
        <v>add_ai6</v>
      </c>
      <c r="BC2785" s="1572"/>
      <c r="BD2785" s="1588" t="s">
        <v>13264</v>
      </c>
      <c r="BE2785" s="342"/>
      <c r="BF2785" s="342"/>
      <c r="BG2785" s="342"/>
      <c r="BH2785" s="342"/>
      <c r="BI2785" s="342"/>
      <c r="BJ2785" s="342"/>
      <c r="BK2785" s="342"/>
      <c r="BL2785" s="342"/>
      <c r="BM2785" s="342"/>
      <c r="BN2785" s="342"/>
      <c r="BO2785" s="342"/>
      <c r="BP2785" s="342"/>
      <c r="BQ2785" s="342"/>
      <c r="BR2785" s="342"/>
      <c r="BS2785" s="342"/>
      <c r="BT2785" s="342"/>
      <c r="BU2785" s="342"/>
      <c r="BV2785" s="342"/>
      <c r="BW2785" s="342"/>
      <c r="BX2785" s="342"/>
      <c r="BY2785" s="342"/>
      <c r="BZ2785" s="342"/>
      <c r="CA2785" s="342"/>
      <c r="CB2785" s="342"/>
      <c r="CC2785" s="342"/>
      <c r="CD2785" s="342"/>
      <c r="CE2785" s="342"/>
      <c r="CF2785" s="342"/>
      <c r="CG2785" s="342"/>
      <c r="CH2785" s="342"/>
      <c r="CI2785" s="342"/>
      <c r="CJ2785" s="342"/>
      <c r="CK2785" s="342"/>
      <c r="CL2785" s="342"/>
      <c r="CM2785" s="342"/>
      <c r="CN2785" s="342"/>
      <c r="CO2785" s="342"/>
      <c r="CP2785" s="342"/>
      <c r="CQ2785" s="342"/>
      <c r="CR2785" s="342"/>
      <c r="CS2785" s="342"/>
      <c r="CT2785" s="342"/>
      <c r="CU2785" s="342"/>
      <c r="CV2785" s="342"/>
      <c r="CW2785" s="342"/>
      <c r="CX2785" s="342"/>
      <c r="CY2785" s="342"/>
      <c r="CZ2785" s="342"/>
      <c r="DA2785" s="342"/>
      <c r="DB2785" s="342"/>
      <c r="DC2785" s="342"/>
      <c r="DD2785" s="342"/>
      <c r="DE2785" s="342"/>
      <c r="DF2785" s="342"/>
      <c r="DG2785" s="342"/>
      <c r="DH2785" s="342"/>
      <c r="DI2785" s="342"/>
      <c r="DJ2785" s="342"/>
      <c r="DK2785" s="342"/>
      <c r="DL2785" s="342"/>
    </row>
    <row r="2786" ht="23.25" customHeight="1">
      <c r="A2786" s="44">
        <v>3197.0</v>
      </c>
      <c r="B2786" s="1322" t="s">
        <v>114</v>
      </c>
      <c r="C2786" s="1588" t="s">
        <v>115</v>
      </c>
      <c r="D2786" s="1588" t="s">
        <v>15991</v>
      </c>
      <c r="E2786" s="1572"/>
      <c r="F2786" s="1315" t="s">
        <v>16407</v>
      </c>
      <c r="G2786" s="1315" t="s">
        <v>16450</v>
      </c>
      <c r="H2786" s="2235" t="s">
        <v>15994</v>
      </c>
      <c r="I2786" s="2242">
        <v>45812.0</v>
      </c>
      <c r="J2786" s="2230">
        <v>45849.0</v>
      </c>
      <c r="K2786" s="1313"/>
      <c r="L2786" s="1313"/>
      <c r="M2786" s="2243" t="s">
        <v>16409</v>
      </c>
      <c r="N2786" s="2243" t="s">
        <v>16410</v>
      </c>
      <c r="O2786" s="1313"/>
      <c r="P2786" s="2243" t="s">
        <v>16411</v>
      </c>
      <c r="Q2786" s="2338" t="str">
        <f> hyperlink(vlookup(lower(N2786),'File Links'!F:G, 2, FALSE), "LINK")</f>
        <v>LINK</v>
      </c>
      <c r="R2786" s="2339" t="s">
        <v>16451</v>
      </c>
      <c r="S2786" s="1355" t="s">
        <v>16413</v>
      </c>
      <c r="T2786" s="1313"/>
      <c r="U2786" s="1313"/>
      <c r="V2786" s="1315" t="s">
        <v>16414</v>
      </c>
      <c r="W2786" s="1313"/>
      <c r="X2786" s="1321" t="str">
        <f t="array" ref="X2786"> if(iserror(MATCH(V2786, 'File Links'!C:C, 0)), "N/A", HYPERLINK(INDEX('File Links'!B:B, MATCH(V2786, 'File Links'!C:C, 0))))</f>
        <v>N/A</v>
      </c>
      <c r="Y2786" s="1313"/>
      <c r="Z2786" s="1313" t="s">
        <v>226</v>
      </c>
      <c r="AA2786" s="1313" t="s">
        <v>16415</v>
      </c>
      <c r="AB2786" s="1313" t="s">
        <v>16416</v>
      </c>
      <c r="AC2786" s="1313" t="s">
        <v>16452</v>
      </c>
      <c r="AD2786" s="1313" t="s">
        <v>16418</v>
      </c>
      <c r="AE2786" s="1313" t="s">
        <v>1042</v>
      </c>
      <c r="AF2786" s="1341">
        <v>39.0</v>
      </c>
      <c r="AG2786" s="1341">
        <v>1.11</v>
      </c>
      <c r="AH2786" s="1313" t="s">
        <v>173</v>
      </c>
      <c r="AI2786" s="1313" t="s">
        <v>1042</v>
      </c>
      <c r="AJ2786" s="1341">
        <v>0.01</v>
      </c>
      <c r="AK2786" s="1313" t="s">
        <v>135</v>
      </c>
      <c r="AL2786" s="1313" t="s">
        <v>186</v>
      </c>
      <c r="AM2786" s="1313" t="s">
        <v>137</v>
      </c>
      <c r="AN2786" s="1313" t="s">
        <v>138</v>
      </c>
      <c r="AO2786" s="1341">
        <v>35.0</v>
      </c>
      <c r="AP2786" s="1341">
        <v>1.92</v>
      </c>
      <c r="AQ2786" s="1313" t="s">
        <v>602</v>
      </c>
      <c r="AR2786" s="1313" t="s">
        <v>2441</v>
      </c>
      <c r="AS2786" s="1341">
        <v>0.05</v>
      </c>
      <c r="AT2786" s="1313" t="s">
        <v>135</v>
      </c>
      <c r="AU2786" s="1313" t="s">
        <v>186</v>
      </c>
      <c r="AV2786" s="1313" t="s">
        <v>137</v>
      </c>
      <c r="AW2786" s="1313" t="s">
        <v>138</v>
      </c>
      <c r="AX2786" s="1313" t="s">
        <v>143</v>
      </c>
      <c r="AY2786" s="1321" t="str">
        <f>IFERROR(__xludf.DUMMYFUNCTION("vlookup(BB2786,importrange(""https://docs.google.com/spreadsheets/d/1d2vevQ_7D_v35q4wCQ4RpQ_IPoTwEMB9Yp6ymwlPqew/edit?gid=984458430#gid=984458430"", ""'replication success'!A:K""), 11, FAlSE)"),"#N/A")</f>
        <v>#N/A</v>
      </c>
      <c r="AZ2786" s="1321" t="str">
        <f>IFERROR(__xludf.DUMMYFUNCTION("vlookup(BB2786,importrange(""https://docs.google.com/spreadsheets/d/1d2vevQ_7D_v35q4wCQ4RpQ_IPoTwEMB9Yp6ymwlPqew/edit?gid=984458430#gid=984458430"", ""'replication success'!A:M""), 12, FAlSE)"),"#N/A")</f>
        <v>#N/A</v>
      </c>
      <c r="BA2786" s="1321" t="str">
        <f>IFERROR(__xludf.DUMMYFUNCTION("vlookup(BB2786,importrange(""https://docs.google.com/spreadsheets/d/1d2vevQ_7D_v35q4wCQ4RpQ_IPoTwEMB9Yp6ymwlPqew/edit?gid=984458430#gid=984458430"", ""'replication success'!A:M""), 13, FAlSE)"),"#N/A")</f>
        <v>#N/A</v>
      </c>
      <c r="BB2786" s="1321" t="str">
        <f>IFERROR(__xludf.DUMMYFUNCTION("REGEXREPLACE(G2786, ""_[a-z]{1,2}$"", """")"),"add_ai6")</f>
        <v>add_ai6</v>
      </c>
      <c r="BC2786" s="1572"/>
      <c r="BD2786" s="1588" t="s">
        <v>13264</v>
      </c>
      <c r="BE2786" s="342"/>
      <c r="BF2786" s="342"/>
      <c r="BG2786" s="342"/>
      <c r="BH2786" s="342"/>
      <c r="BI2786" s="342"/>
      <c r="BJ2786" s="342"/>
      <c r="BK2786" s="342"/>
      <c r="BL2786" s="342"/>
      <c r="BM2786" s="342"/>
      <c r="BN2786" s="342"/>
      <c r="BO2786" s="342"/>
      <c r="BP2786" s="342"/>
      <c r="BQ2786" s="342"/>
      <c r="BR2786" s="342"/>
      <c r="BS2786" s="342"/>
      <c r="BT2786" s="342"/>
      <c r="BU2786" s="342"/>
      <c r="BV2786" s="342"/>
      <c r="BW2786" s="342"/>
      <c r="BX2786" s="342"/>
      <c r="BY2786" s="342"/>
      <c r="BZ2786" s="342"/>
      <c r="CA2786" s="342"/>
      <c r="CB2786" s="342"/>
      <c r="CC2786" s="342"/>
      <c r="CD2786" s="342"/>
      <c r="CE2786" s="342"/>
      <c r="CF2786" s="342"/>
      <c r="CG2786" s="342"/>
      <c r="CH2786" s="342"/>
      <c r="CI2786" s="342"/>
      <c r="CJ2786" s="342"/>
      <c r="CK2786" s="342"/>
      <c r="CL2786" s="342"/>
      <c r="CM2786" s="342"/>
      <c r="CN2786" s="342"/>
      <c r="CO2786" s="342"/>
      <c r="CP2786" s="342"/>
      <c r="CQ2786" s="342"/>
      <c r="CR2786" s="342"/>
      <c r="CS2786" s="342"/>
      <c r="CT2786" s="342"/>
      <c r="CU2786" s="342"/>
      <c r="CV2786" s="342"/>
      <c r="CW2786" s="342"/>
      <c r="CX2786" s="342"/>
      <c r="CY2786" s="342"/>
      <c r="CZ2786" s="342"/>
      <c r="DA2786" s="342"/>
      <c r="DB2786" s="342"/>
      <c r="DC2786" s="342"/>
      <c r="DD2786" s="342"/>
      <c r="DE2786" s="342"/>
      <c r="DF2786" s="342"/>
      <c r="DG2786" s="342"/>
      <c r="DH2786" s="342"/>
      <c r="DI2786" s="342"/>
      <c r="DJ2786" s="342"/>
      <c r="DK2786" s="342"/>
      <c r="DL2786" s="342"/>
    </row>
    <row r="2787" ht="21.0" customHeight="1">
      <c r="A2787" s="44">
        <v>3198.0</v>
      </c>
      <c r="B2787" s="1322" t="s">
        <v>114</v>
      </c>
      <c r="C2787" s="1588" t="s">
        <v>115</v>
      </c>
      <c r="D2787" s="1588" t="s">
        <v>15991</v>
      </c>
      <c r="E2787" s="1572"/>
      <c r="F2787" s="1315" t="s">
        <v>16407</v>
      </c>
      <c r="G2787" s="1315" t="s">
        <v>16453</v>
      </c>
      <c r="H2787" s="2235" t="s">
        <v>15994</v>
      </c>
      <c r="I2787" s="2242">
        <v>45812.0</v>
      </c>
      <c r="J2787" s="2266">
        <v>45849.0</v>
      </c>
      <c r="K2787" s="1313"/>
      <c r="L2787" s="1313"/>
      <c r="M2787" s="2243" t="s">
        <v>16409</v>
      </c>
      <c r="N2787" s="2243" t="s">
        <v>16410</v>
      </c>
      <c r="O2787" s="1313"/>
      <c r="P2787" s="2243" t="s">
        <v>16411</v>
      </c>
      <c r="Q2787" s="2338" t="str">
        <f> hyperlink(vlookup(lower(N2787),'File Links'!F:G, 2, FALSE), "LINK")</f>
        <v>LINK</v>
      </c>
      <c r="R2787" s="2339" t="s">
        <v>16454</v>
      </c>
      <c r="S2787" s="1355" t="s">
        <v>16413</v>
      </c>
      <c r="T2787" s="1313"/>
      <c r="U2787" s="1313"/>
      <c r="V2787" s="1315" t="s">
        <v>16414</v>
      </c>
      <c r="W2787" s="1313"/>
      <c r="X2787" s="1321" t="str">
        <f t="array" ref="X2787"> if(iserror(MATCH(V2787, 'File Links'!C:C, 0)), "N/A", HYPERLINK(INDEX('File Links'!B:B, MATCH(V2787, 'File Links'!C:C, 0))))</f>
        <v>N/A</v>
      </c>
      <c r="Y2787" s="1313"/>
      <c r="Z2787" s="1313" t="s">
        <v>226</v>
      </c>
      <c r="AA2787" s="1313" t="s">
        <v>16415</v>
      </c>
      <c r="AB2787" s="1313" t="s">
        <v>16416</v>
      </c>
      <c r="AC2787" s="1313" t="s">
        <v>16455</v>
      </c>
      <c r="AD2787" s="1313" t="s">
        <v>16418</v>
      </c>
      <c r="AE2787" s="1313" t="s">
        <v>1042</v>
      </c>
      <c r="AF2787" s="1341">
        <v>39.0</v>
      </c>
      <c r="AG2787" s="1341">
        <v>1.11</v>
      </c>
      <c r="AH2787" s="1313" t="s">
        <v>173</v>
      </c>
      <c r="AI2787" s="1313" t="s">
        <v>1042</v>
      </c>
      <c r="AJ2787" s="1341">
        <v>0.01</v>
      </c>
      <c r="AK2787" s="1313" t="s">
        <v>135</v>
      </c>
      <c r="AL2787" s="1313" t="s">
        <v>186</v>
      </c>
      <c r="AM2787" s="1313" t="s">
        <v>137</v>
      </c>
      <c r="AN2787" s="1313" t="s">
        <v>138</v>
      </c>
      <c r="AO2787" s="1341">
        <v>49.0</v>
      </c>
      <c r="AP2787" s="1341">
        <v>2.28</v>
      </c>
      <c r="AQ2787" s="1313" t="s">
        <v>602</v>
      </c>
      <c r="AR2787" s="1313" t="s">
        <v>2441</v>
      </c>
      <c r="AS2787" s="1341">
        <v>0.05</v>
      </c>
      <c r="AT2787" s="1313" t="s">
        <v>135</v>
      </c>
      <c r="AU2787" s="1313" t="s">
        <v>186</v>
      </c>
      <c r="AV2787" s="1313" t="s">
        <v>137</v>
      </c>
      <c r="AW2787" s="1313" t="s">
        <v>138</v>
      </c>
      <c r="AX2787" s="1313" t="s">
        <v>143</v>
      </c>
      <c r="AY2787" s="1321" t="str">
        <f>IFERROR(__xludf.DUMMYFUNCTION("vlookup(BB2787,importrange(""https://docs.google.com/spreadsheets/d/1d2vevQ_7D_v35q4wCQ4RpQ_IPoTwEMB9Yp6ymwlPqew/edit?gid=984458430#gid=984458430"", ""'replication success'!A:K""), 11, FAlSE)"),"#N/A")</f>
        <v>#N/A</v>
      </c>
      <c r="AZ2787" s="1321" t="str">
        <f>IFERROR(__xludf.DUMMYFUNCTION("vlookup(BB2787,importrange(""https://docs.google.com/spreadsheets/d/1d2vevQ_7D_v35q4wCQ4RpQ_IPoTwEMB9Yp6ymwlPqew/edit?gid=984458430#gid=984458430"", ""'replication success'!A:M""), 12, FAlSE)"),"#N/A")</f>
        <v>#N/A</v>
      </c>
      <c r="BA2787" s="1321" t="str">
        <f>IFERROR(__xludf.DUMMYFUNCTION("vlookup(BB2787,importrange(""https://docs.google.com/spreadsheets/d/1d2vevQ_7D_v35q4wCQ4RpQ_IPoTwEMB9Yp6ymwlPqew/edit?gid=984458430#gid=984458430"", ""'replication success'!A:M""), 13, FAlSE)"),"#N/A")</f>
        <v>#N/A</v>
      </c>
      <c r="BB2787" s="1321" t="str">
        <f>IFERROR(__xludf.DUMMYFUNCTION("REGEXREPLACE(G2787, ""_[a-z]{1,2}$"", """")"),"add_ai6")</f>
        <v>add_ai6</v>
      </c>
      <c r="BC2787" s="1572"/>
      <c r="BD2787" s="1588" t="s">
        <v>13264</v>
      </c>
      <c r="BE2787" s="342"/>
      <c r="BF2787" s="342"/>
      <c r="BG2787" s="342"/>
      <c r="BH2787" s="342"/>
      <c r="BI2787" s="342"/>
      <c r="BJ2787" s="342"/>
      <c r="BK2787" s="342"/>
      <c r="BL2787" s="342"/>
      <c r="BM2787" s="342"/>
      <c r="BN2787" s="342"/>
      <c r="BO2787" s="342"/>
      <c r="BP2787" s="342"/>
      <c r="BQ2787" s="342"/>
      <c r="BR2787" s="342"/>
      <c r="BS2787" s="342"/>
      <c r="BT2787" s="342"/>
      <c r="BU2787" s="342"/>
      <c r="BV2787" s="342"/>
      <c r="BW2787" s="342"/>
      <c r="BX2787" s="342"/>
      <c r="BY2787" s="342"/>
      <c r="BZ2787" s="342"/>
      <c r="CA2787" s="342"/>
      <c r="CB2787" s="342"/>
      <c r="CC2787" s="342"/>
      <c r="CD2787" s="342"/>
      <c r="CE2787" s="342"/>
      <c r="CF2787" s="342"/>
      <c r="CG2787" s="342"/>
      <c r="CH2787" s="342"/>
      <c r="CI2787" s="342"/>
      <c r="CJ2787" s="342"/>
      <c r="CK2787" s="342"/>
      <c r="CL2787" s="342"/>
      <c r="CM2787" s="342"/>
      <c r="CN2787" s="342"/>
      <c r="CO2787" s="342"/>
      <c r="CP2787" s="342"/>
      <c r="CQ2787" s="342"/>
      <c r="CR2787" s="342"/>
      <c r="CS2787" s="342"/>
      <c r="CT2787" s="342"/>
      <c r="CU2787" s="342"/>
      <c r="CV2787" s="342"/>
      <c r="CW2787" s="342"/>
      <c r="CX2787" s="342"/>
      <c r="CY2787" s="342"/>
      <c r="CZ2787" s="342"/>
      <c r="DA2787" s="342"/>
      <c r="DB2787" s="342"/>
      <c r="DC2787" s="342"/>
      <c r="DD2787" s="342"/>
      <c r="DE2787" s="342"/>
      <c r="DF2787" s="342"/>
      <c r="DG2787" s="342"/>
      <c r="DH2787" s="342"/>
      <c r="DI2787" s="342"/>
      <c r="DJ2787" s="342"/>
      <c r="DK2787" s="342"/>
      <c r="DL2787" s="342"/>
    </row>
    <row r="2788" ht="20.25" customHeight="1">
      <c r="A2788" s="44">
        <v>3199.0</v>
      </c>
      <c r="B2788" s="1322" t="s">
        <v>114</v>
      </c>
      <c r="C2788" s="1588" t="s">
        <v>115</v>
      </c>
      <c r="D2788" s="1588" t="s">
        <v>15991</v>
      </c>
      <c r="E2788" s="1572"/>
      <c r="F2788" s="1315" t="s">
        <v>16407</v>
      </c>
      <c r="G2788" s="1315" t="s">
        <v>16456</v>
      </c>
      <c r="H2788" s="2235" t="s">
        <v>15994</v>
      </c>
      <c r="I2788" s="2242">
        <v>45812.0</v>
      </c>
      <c r="J2788" s="2230">
        <v>45849.0</v>
      </c>
      <c r="K2788" s="1313"/>
      <c r="L2788" s="1313"/>
      <c r="M2788" s="2243" t="s">
        <v>16409</v>
      </c>
      <c r="N2788" s="2243" t="s">
        <v>16410</v>
      </c>
      <c r="O2788" s="1313"/>
      <c r="P2788" s="2243" t="s">
        <v>16411</v>
      </c>
      <c r="Q2788" s="2338" t="str">
        <f> hyperlink(vlookup(lower(N2788),'File Links'!F:G, 2, FALSE), "LINK")</f>
        <v>LINK</v>
      </c>
      <c r="R2788" s="2339" t="s">
        <v>16457</v>
      </c>
      <c r="S2788" s="1355" t="s">
        <v>16413</v>
      </c>
      <c r="T2788" s="1313"/>
      <c r="U2788" s="1313"/>
      <c r="V2788" s="1315" t="s">
        <v>16414</v>
      </c>
      <c r="W2788" s="1313"/>
      <c r="X2788" s="1321" t="str">
        <f t="array" ref="X2788"> if(iserror(MATCH(V2788, 'File Links'!C:C, 0)), "N/A", HYPERLINK(INDEX('File Links'!B:B, MATCH(V2788, 'File Links'!C:C, 0))))</f>
        <v>N/A</v>
      </c>
      <c r="Y2788" s="1313"/>
      <c r="Z2788" s="1313" t="s">
        <v>226</v>
      </c>
      <c r="AA2788" s="1313" t="s">
        <v>16415</v>
      </c>
      <c r="AB2788" s="1313" t="s">
        <v>16416</v>
      </c>
      <c r="AC2788" s="1313" t="s">
        <v>16458</v>
      </c>
      <c r="AD2788" s="1313" t="s">
        <v>16418</v>
      </c>
      <c r="AE2788" s="1313" t="s">
        <v>1042</v>
      </c>
      <c r="AF2788" s="1341">
        <v>39.0</v>
      </c>
      <c r="AG2788" s="1341">
        <v>1.11</v>
      </c>
      <c r="AH2788" s="1313" t="s">
        <v>173</v>
      </c>
      <c r="AI2788" s="1313" t="s">
        <v>1042</v>
      </c>
      <c r="AJ2788" s="1341">
        <v>0.01</v>
      </c>
      <c r="AK2788" s="1313" t="s">
        <v>135</v>
      </c>
      <c r="AL2788" s="1313" t="s">
        <v>186</v>
      </c>
      <c r="AM2788" s="1313" t="s">
        <v>137</v>
      </c>
      <c r="AN2788" s="1313" t="s">
        <v>138</v>
      </c>
      <c r="AO2788" s="1341">
        <v>49.0</v>
      </c>
      <c r="AP2788" s="1341">
        <v>1.75</v>
      </c>
      <c r="AQ2788" s="1313" t="s">
        <v>602</v>
      </c>
      <c r="AR2788" s="1313" t="s">
        <v>2441</v>
      </c>
      <c r="AS2788" s="1341">
        <v>0.05</v>
      </c>
      <c r="AT2788" s="1313" t="s">
        <v>135</v>
      </c>
      <c r="AU2788" s="1313" t="s">
        <v>186</v>
      </c>
      <c r="AV2788" s="1313" t="s">
        <v>137</v>
      </c>
      <c r="AW2788" s="1313" t="s">
        <v>138</v>
      </c>
      <c r="AX2788" s="1313" t="s">
        <v>143</v>
      </c>
      <c r="AY2788" s="1321" t="str">
        <f>IFERROR(__xludf.DUMMYFUNCTION("vlookup(BB2788,importrange(""https://docs.google.com/spreadsheets/d/1d2vevQ_7D_v35q4wCQ4RpQ_IPoTwEMB9Yp6ymwlPqew/edit?gid=984458430#gid=984458430"", ""'replication success'!A:K""), 11, FAlSE)"),"#N/A")</f>
        <v>#N/A</v>
      </c>
      <c r="AZ2788" s="1321" t="str">
        <f>IFERROR(__xludf.DUMMYFUNCTION("vlookup(BB2788,importrange(""https://docs.google.com/spreadsheets/d/1d2vevQ_7D_v35q4wCQ4RpQ_IPoTwEMB9Yp6ymwlPqew/edit?gid=984458430#gid=984458430"", ""'replication success'!A:M""), 12, FAlSE)"),"#N/A")</f>
        <v>#N/A</v>
      </c>
      <c r="BA2788" s="1321" t="str">
        <f>IFERROR(__xludf.DUMMYFUNCTION("vlookup(BB2788,importrange(""https://docs.google.com/spreadsheets/d/1d2vevQ_7D_v35q4wCQ4RpQ_IPoTwEMB9Yp6ymwlPqew/edit?gid=984458430#gid=984458430"", ""'replication success'!A:M""), 13, FAlSE)"),"#N/A")</f>
        <v>#N/A</v>
      </c>
      <c r="BB2788" s="1321" t="str">
        <f>IFERROR(__xludf.DUMMYFUNCTION("REGEXREPLACE(G2788, ""_[a-z]{1,2}$"", """")"),"add_ai6")</f>
        <v>add_ai6</v>
      </c>
      <c r="BC2788" s="1572"/>
      <c r="BD2788" s="1588" t="s">
        <v>13264</v>
      </c>
      <c r="BE2788" s="342"/>
      <c r="BF2788" s="342"/>
      <c r="BG2788" s="342"/>
      <c r="BH2788" s="342"/>
      <c r="BI2788" s="342"/>
      <c r="BJ2788" s="342"/>
      <c r="BK2788" s="342"/>
      <c r="BL2788" s="342"/>
      <c r="BM2788" s="342"/>
      <c r="BN2788" s="342"/>
      <c r="BO2788" s="342"/>
      <c r="BP2788" s="342"/>
      <c r="BQ2788" s="342"/>
      <c r="BR2788" s="342"/>
      <c r="BS2788" s="342"/>
      <c r="BT2788" s="342"/>
      <c r="BU2788" s="342"/>
      <c r="BV2788" s="342"/>
      <c r="BW2788" s="342"/>
      <c r="BX2788" s="342"/>
      <c r="BY2788" s="342"/>
      <c r="BZ2788" s="342"/>
      <c r="CA2788" s="342"/>
      <c r="CB2788" s="342"/>
      <c r="CC2788" s="342"/>
      <c r="CD2788" s="342"/>
      <c r="CE2788" s="342"/>
      <c r="CF2788" s="342"/>
      <c r="CG2788" s="342"/>
      <c r="CH2788" s="342"/>
      <c r="CI2788" s="342"/>
      <c r="CJ2788" s="342"/>
      <c r="CK2788" s="342"/>
      <c r="CL2788" s="342"/>
      <c r="CM2788" s="342"/>
      <c r="CN2788" s="342"/>
      <c r="CO2788" s="342"/>
      <c r="CP2788" s="342"/>
      <c r="CQ2788" s="342"/>
      <c r="CR2788" s="342"/>
      <c r="CS2788" s="342"/>
      <c r="CT2788" s="342"/>
      <c r="CU2788" s="342"/>
      <c r="CV2788" s="342"/>
      <c r="CW2788" s="342"/>
      <c r="CX2788" s="342"/>
      <c r="CY2788" s="342"/>
      <c r="CZ2788" s="342"/>
      <c r="DA2788" s="342"/>
      <c r="DB2788" s="342"/>
      <c r="DC2788" s="342"/>
      <c r="DD2788" s="342"/>
      <c r="DE2788" s="342"/>
      <c r="DF2788" s="342"/>
      <c r="DG2788" s="342"/>
      <c r="DH2788" s="342"/>
      <c r="DI2788" s="342"/>
      <c r="DJ2788" s="342"/>
      <c r="DK2788" s="342"/>
      <c r="DL2788" s="342"/>
    </row>
    <row r="2789" ht="21.75" customHeight="1">
      <c r="A2789" s="44">
        <v>3169.0</v>
      </c>
      <c r="B2789" s="1322" t="s">
        <v>114</v>
      </c>
      <c r="C2789" s="1588" t="s">
        <v>115</v>
      </c>
      <c r="D2789" s="1588" t="s">
        <v>15991</v>
      </c>
      <c r="E2789" s="1572"/>
      <c r="F2789" s="1315" t="s">
        <v>16459</v>
      </c>
      <c r="G2789" s="1315" t="s">
        <v>16460</v>
      </c>
      <c r="H2789" s="2235" t="s">
        <v>15994</v>
      </c>
      <c r="I2789" s="2242">
        <v>45812.0</v>
      </c>
      <c r="J2789" s="2230">
        <v>45846.0</v>
      </c>
      <c r="K2789" s="1315" t="s">
        <v>16461</v>
      </c>
      <c r="L2789" s="1313"/>
      <c r="M2789" s="2243" t="s">
        <v>16462</v>
      </c>
      <c r="N2789" s="2243" t="s">
        <v>16463</v>
      </c>
      <c r="O2789" s="1313"/>
      <c r="P2789" s="2243" t="s">
        <v>16464</v>
      </c>
      <c r="Q2789" s="2331" t="s">
        <v>16465</v>
      </c>
      <c r="R2789" s="2339" t="s">
        <v>16466</v>
      </c>
      <c r="S2789" s="1355" t="s">
        <v>16467</v>
      </c>
      <c r="T2789" s="1313"/>
      <c r="U2789" s="1313"/>
      <c r="V2789" s="1315" t="s">
        <v>16468</v>
      </c>
      <c r="W2789" s="1313"/>
      <c r="X2789" s="2233" t="str">
        <f t="array" ref="X2789"> if(iserror(MATCH(V2789, 'File Links'!C:C, 0)), "N/A", HYPERLINK(INDEX('File Links'!B:B, MATCH(V2789, 'File Links'!C:C, 0))))</f>
        <v>https://drive.google.com/file/d/16V6fX6zed8MKZ53zcmG18UMG8cS5fmS4/view?usp=drivesdk</v>
      </c>
      <c r="Y2789" s="1313"/>
      <c r="Z2789" s="1315" t="s">
        <v>1679</v>
      </c>
      <c r="AA2789" s="1313" t="s">
        <v>16469</v>
      </c>
      <c r="AB2789" s="1313" t="s">
        <v>16470</v>
      </c>
      <c r="AC2789" s="1313" t="s">
        <v>16471</v>
      </c>
      <c r="AD2789" s="1313" t="s">
        <v>16472</v>
      </c>
      <c r="AE2789" s="1313" t="s">
        <v>4979</v>
      </c>
      <c r="AF2789" s="1313"/>
      <c r="AG2789" s="1313"/>
      <c r="AH2789" s="1313"/>
      <c r="AI2789" s="1313"/>
      <c r="AJ2789" s="1313"/>
      <c r="AK2789" s="1313"/>
      <c r="AL2789" s="1313"/>
      <c r="AM2789" s="1313"/>
      <c r="AN2789" s="1313"/>
      <c r="AO2789" s="1313"/>
      <c r="AP2789" s="1313"/>
      <c r="AQ2789" s="1313"/>
      <c r="AR2789" s="1313"/>
      <c r="AS2789" s="1313"/>
      <c r="AT2789" s="1313"/>
      <c r="AU2789" s="1313"/>
      <c r="AV2789" s="1313"/>
      <c r="AW2789" s="1313"/>
      <c r="AX2789" s="1313"/>
      <c r="AY2789" s="61" t="str">
        <f>IFERROR(__xludf.DUMMYFUNCTION("vlookup(BB2789,importrange(""https://docs.google.com/spreadsheets/d/1d2vevQ_7D_v35q4wCQ4RpQ_IPoTwEMB9Yp6ymwlPqew/edit?gid=984458430#gid=984458430"", ""'replication success'!A:K""), 11, FAlSE)"),"#N/A")</f>
        <v>#N/A</v>
      </c>
      <c r="AZ2789" s="61" t="str">
        <f>IFERROR(__xludf.DUMMYFUNCTION("vlookup(BB2789,importrange(""https://docs.google.com/spreadsheets/d/1d2vevQ_7D_v35q4wCQ4RpQ_IPoTwEMB9Yp6ymwlPqew/edit?gid=984458430#gid=984458430"", ""'replication success'!A:M""), 12, FAlSE)"),"#N/A")</f>
        <v>#N/A</v>
      </c>
      <c r="BA2789" s="61" t="str">
        <f>IFERROR(__xludf.DUMMYFUNCTION("vlookup(BB2789,importrange(""https://docs.google.com/spreadsheets/d/1d2vevQ_7D_v35q4wCQ4RpQ_IPoTwEMB9Yp6ymwlPqew/edit?gid=984458430#gid=984458430"", ""'replication success'!A:M""), 13, FAlSE)"),"#N/A")</f>
        <v>#N/A</v>
      </c>
      <c r="BB2789" s="61" t="str">
        <f>IFERROR(__xludf.DUMMYFUNCTION("REGEXREPLACE(G2789, ""_[a-z]{1,2}$"", """")"),"add_ai60")</f>
        <v>add_ai60</v>
      </c>
      <c r="BC2789" s="1572"/>
      <c r="BD2789" s="1588" t="s">
        <v>13264</v>
      </c>
      <c r="BE2789" s="342"/>
      <c r="BF2789" s="342"/>
      <c r="BG2789" s="342"/>
      <c r="BH2789" s="342"/>
      <c r="BI2789" s="342"/>
      <c r="BJ2789" s="342"/>
      <c r="BK2789" s="342"/>
      <c r="BL2789" s="342"/>
      <c r="BM2789" s="342"/>
      <c r="BN2789" s="342"/>
      <c r="BO2789" s="342"/>
      <c r="BP2789" s="342"/>
      <c r="BQ2789" s="342"/>
      <c r="BR2789" s="342"/>
      <c r="BS2789" s="342"/>
      <c r="BT2789" s="342"/>
      <c r="BU2789" s="342"/>
      <c r="BV2789" s="342"/>
      <c r="BW2789" s="342"/>
      <c r="BX2789" s="342"/>
      <c r="BY2789" s="342"/>
      <c r="BZ2789" s="342"/>
      <c r="CA2789" s="342"/>
      <c r="CB2789" s="342"/>
      <c r="CC2789" s="342"/>
      <c r="CD2789" s="342"/>
      <c r="CE2789" s="342"/>
      <c r="CF2789" s="342"/>
      <c r="CG2789" s="342"/>
      <c r="CH2789" s="342"/>
      <c r="CI2789" s="342"/>
      <c r="CJ2789" s="342"/>
      <c r="CK2789" s="342"/>
      <c r="CL2789" s="342"/>
      <c r="CM2789" s="342"/>
      <c r="CN2789" s="342"/>
      <c r="CO2789" s="342"/>
      <c r="CP2789" s="342"/>
      <c r="CQ2789" s="342"/>
      <c r="CR2789" s="342"/>
      <c r="CS2789" s="342"/>
      <c r="CT2789" s="342"/>
      <c r="CU2789" s="342"/>
      <c r="CV2789" s="342"/>
      <c r="CW2789" s="342"/>
      <c r="CX2789" s="342"/>
      <c r="CY2789" s="342"/>
      <c r="CZ2789" s="342"/>
      <c r="DA2789" s="342"/>
      <c r="DB2789" s="342"/>
      <c r="DC2789" s="342"/>
      <c r="DD2789" s="342"/>
      <c r="DE2789" s="342"/>
      <c r="DF2789" s="342"/>
      <c r="DG2789" s="342"/>
      <c r="DH2789" s="342"/>
      <c r="DI2789" s="342"/>
      <c r="DJ2789" s="342"/>
      <c r="DK2789" s="342"/>
      <c r="DL2789" s="342"/>
    </row>
    <row r="2790">
      <c r="A2790" s="44">
        <v>3029.0</v>
      </c>
      <c r="B2790" s="1322" t="s">
        <v>152</v>
      </c>
      <c r="C2790" s="1588" t="s">
        <v>115</v>
      </c>
      <c r="D2790" s="1588" t="s">
        <v>153</v>
      </c>
      <c r="E2790" s="1572"/>
      <c r="F2790" s="1600" t="s">
        <v>16459</v>
      </c>
      <c r="G2790" s="1592" t="s">
        <v>16473</v>
      </c>
      <c r="H2790" s="1600" t="s">
        <v>15921</v>
      </c>
      <c r="I2790" s="2229">
        <v>45821.0</v>
      </c>
      <c r="J2790" s="2230">
        <v>45846.0</v>
      </c>
      <c r="K2790" s="1592" t="s">
        <v>16474</v>
      </c>
      <c r="L2790" s="1313"/>
      <c r="M2790" s="1592" t="s">
        <v>16462</v>
      </c>
      <c r="N2790" s="1592" t="s">
        <v>16463</v>
      </c>
      <c r="O2790" s="1313"/>
      <c r="P2790" s="1592" t="s">
        <v>16464</v>
      </c>
      <c r="Q2790" s="2331" t="s">
        <v>16465</v>
      </c>
      <c r="R2790" s="2232" t="s">
        <v>16475</v>
      </c>
      <c r="S2790" s="1592" t="s">
        <v>16467</v>
      </c>
      <c r="T2790" s="1313"/>
      <c r="U2790" s="1313"/>
      <c r="V2790" s="1592" t="s">
        <v>16468</v>
      </c>
      <c r="W2790" s="1313"/>
      <c r="X2790" s="2233" t="str">
        <f t="array" ref="X2790"> if(iserror(MATCH(V2790, 'File Links'!C:C, 0)), "N/A", HYPERLINK(INDEX('File Links'!B:B, MATCH(V2790, 'File Links'!C:C, 0))))</f>
        <v>https://drive.google.com/file/d/16V6fX6zed8MKZ53zcmG18UMG8cS5fmS4/view?usp=drivesdk</v>
      </c>
      <c r="Y2790" s="1313"/>
      <c r="Z2790" s="1592" t="s">
        <v>1679</v>
      </c>
      <c r="AA2790" s="1600" t="s">
        <v>16476</v>
      </c>
      <c r="AB2790" s="1592" t="s">
        <v>16477</v>
      </c>
      <c r="AC2790" s="1600" t="s">
        <v>16478</v>
      </c>
      <c r="AD2790" s="1600" t="s">
        <v>16479</v>
      </c>
      <c r="AE2790" s="2265">
        <v>6.0</v>
      </c>
      <c r="AF2790" s="1596">
        <v>485.0</v>
      </c>
      <c r="AG2790" s="1596">
        <v>0.363</v>
      </c>
      <c r="AH2790" s="1592" t="s">
        <v>361</v>
      </c>
      <c r="AI2790" s="2341" t="s">
        <v>16480</v>
      </c>
      <c r="AJ2790" s="1596">
        <v>1.0E-4</v>
      </c>
      <c r="AK2790" s="1592" t="s">
        <v>135</v>
      </c>
      <c r="AL2790" s="1592" t="s">
        <v>186</v>
      </c>
      <c r="AM2790" s="1592" t="s">
        <v>137</v>
      </c>
      <c r="AN2790" s="1324" t="s">
        <v>138</v>
      </c>
      <c r="AO2790" s="1596">
        <v>285.0</v>
      </c>
      <c r="AP2790" s="2265">
        <v>0.101</v>
      </c>
      <c r="AQ2790" s="1592" t="s">
        <v>361</v>
      </c>
      <c r="AR2790" s="2262" t="s">
        <v>16481</v>
      </c>
      <c r="AS2790" s="2265">
        <v>0.05</v>
      </c>
      <c r="AT2790" s="1592" t="s">
        <v>335</v>
      </c>
      <c r="AU2790" s="1592" t="s">
        <v>186</v>
      </c>
      <c r="AV2790" s="1592" t="s">
        <v>137</v>
      </c>
      <c r="AW2790" s="1592" t="s">
        <v>138</v>
      </c>
      <c r="AX2790" s="1592" t="s">
        <v>143</v>
      </c>
      <c r="AY2790" s="61" t="str">
        <f>IFERROR(__xludf.DUMMYFUNCTION("vlookup(BB2790,importrange(""https://docs.google.com/spreadsheets/d/1d2vevQ_7D_v35q4wCQ4RpQ_IPoTwEMB9Yp6ymwlPqew/edit?gid=984458430#gid=984458430"", ""'replication success'!A:K""), 11, FAlSE)"),"#N/A")</f>
        <v>#N/A</v>
      </c>
      <c r="AZ2790" s="61" t="str">
        <f>IFERROR(__xludf.DUMMYFUNCTION("vlookup(BB2790,importrange(""https://docs.google.com/spreadsheets/d/1d2vevQ_7D_v35q4wCQ4RpQ_IPoTwEMB9Yp6ymwlPqew/edit?gid=984458430#gid=984458430"", ""'replication success'!A:M""), 12, FAlSE)"),"#N/A")</f>
        <v>#N/A</v>
      </c>
      <c r="BA2790" s="61" t="str">
        <f>IFERROR(__xludf.DUMMYFUNCTION("vlookup(BB2790,importrange(""https://docs.google.com/spreadsheets/d/1d2vevQ_7D_v35q4wCQ4RpQ_IPoTwEMB9Yp6ymwlPqew/edit?gid=984458430#gid=984458430"", ""'replication success'!A:M""), 13, FAlSE)"),"#N/A")</f>
        <v>#N/A</v>
      </c>
      <c r="BB2790" s="61" t="str">
        <f>IFERROR(__xludf.DUMMYFUNCTION("REGEXREPLACE(G2790, ""_[a-z]{1,2}$"", """")"),"add_ai60")</f>
        <v>add_ai60</v>
      </c>
      <c r="BC2790" s="1572"/>
      <c r="BD2790" s="1588" t="s">
        <v>13264</v>
      </c>
      <c r="BE2790" s="342"/>
      <c r="BF2790" s="342"/>
      <c r="BG2790" s="342"/>
      <c r="BH2790" s="342"/>
      <c r="BI2790" s="342"/>
      <c r="BJ2790" s="342"/>
      <c r="BK2790" s="342"/>
      <c r="BL2790" s="342"/>
      <c r="BM2790" s="342"/>
      <c r="BN2790" s="342"/>
      <c r="BO2790" s="342"/>
      <c r="BP2790" s="342"/>
      <c r="BQ2790" s="342"/>
      <c r="BR2790" s="342"/>
      <c r="BS2790" s="342"/>
      <c r="BT2790" s="342"/>
      <c r="BU2790" s="342"/>
      <c r="BV2790" s="342"/>
      <c r="BW2790" s="342"/>
      <c r="BX2790" s="342"/>
      <c r="BY2790" s="342"/>
      <c r="BZ2790" s="342"/>
      <c r="CA2790" s="342"/>
      <c r="CB2790" s="342"/>
      <c r="CC2790" s="342"/>
      <c r="CD2790" s="342"/>
      <c r="CE2790" s="342"/>
      <c r="CF2790" s="342"/>
      <c r="CG2790" s="342"/>
      <c r="CH2790" s="342"/>
      <c r="CI2790" s="342"/>
      <c r="CJ2790" s="342"/>
      <c r="CK2790" s="342"/>
      <c r="CL2790" s="342"/>
      <c r="CM2790" s="342"/>
      <c r="CN2790" s="342"/>
      <c r="CO2790" s="342"/>
      <c r="CP2790" s="342"/>
      <c r="CQ2790" s="342"/>
      <c r="CR2790" s="342"/>
      <c r="CS2790" s="342"/>
      <c r="CT2790" s="342"/>
      <c r="CU2790" s="342"/>
      <c r="CV2790" s="342"/>
      <c r="CW2790" s="342"/>
      <c r="CX2790" s="342"/>
      <c r="CY2790" s="342"/>
      <c r="CZ2790" s="342"/>
      <c r="DA2790" s="342"/>
      <c r="DB2790" s="342"/>
      <c r="DC2790" s="342"/>
      <c r="DD2790" s="342"/>
      <c r="DE2790" s="342"/>
      <c r="DF2790" s="342"/>
      <c r="DG2790" s="342"/>
      <c r="DH2790" s="342"/>
      <c r="DI2790" s="342"/>
      <c r="DJ2790" s="342"/>
      <c r="DK2790" s="342"/>
      <c r="DL2790" s="342"/>
    </row>
    <row r="2791">
      <c r="A2791" s="44">
        <v>3055.0</v>
      </c>
      <c r="B2791" s="1322" t="s">
        <v>152</v>
      </c>
      <c r="C2791" s="1588" t="s">
        <v>115</v>
      </c>
      <c r="D2791" s="1588" t="s">
        <v>153</v>
      </c>
      <c r="E2791" s="1572"/>
      <c r="F2791" s="1600" t="s">
        <v>16459</v>
      </c>
      <c r="G2791" s="1592" t="s">
        <v>16482</v>
      </c>
      <c r="H2791" s="1600" t="s">
        <v>15921</v>
      </c>
      <c r="I2791" s="2229">
        <v>45821.0</v>
      </c>
      <c r="J2791" s="2230">
        <v>45846.0</v>
      </c>
      <c r="K2791" s="1592" t="s">
        <v>16483</v>
      </c>
      <c r="L2791" s="1313"/>
      <c r="M2791" s="1592" t="s">
        <v>16462</v>
      </c>
      <c r="N2791" s="1592" t="s">
        <v>16463</v>
      </c>
      <c r="O2791" s="1313"/>
      <c r="P2791" s="1592" t="s">
        <v>16464</v>
      </c>
      <c r="Q2791" s="2331" t="s">
        <v>16465</v>
      </c>
      <c r="R2791" s="2232" t="s">
        <v>16484</v>
      </c>
      <c r="S2791" s="1592" t="s">
        <v>16467</v>
      </c>
      <c r="T2791" s="1313"/>
      <c r="U2791" s="1313"/>
      <c r="V2791" s="1592" t="s">
        <v>16468</v>
      </c>
      <c r="W2791" s="1313"/>
      <c r="X2791" s="2233" t="str">
        <f t="array" ref="X2791"> if(iserror(MATCH(V2791, 'File Links'!C:C, 0)), "N/A", HYPERLINK(INDEX('File Links'!B:B, MATCH(V2791, 'File Links'!C:C, 0))))</f>
        <v>https://drive.google.com/file/d/16V6fX6zed8MKZ53zcmG18UMG8cS5fmS4/view?usp=drivesdk</v>
      </c>
      <c r="Y2791" s="1313"/>
      <c r="Z2791" s="1592" t="s">
        <v>1679</v>
      </c>
      <c r="AA2791" s="1600" t="s">
        <v>16476</v>
      </c>
      <c r="AB2791" s="1592" t="s">
        <v>16477</v>
      </c>
      <c r="AC2791" s="2262" t="s">
        <v>16485</v>
      </c>
      <c r="AD2791" s="1592" t="s">
        <v>16486</v>
      </c>
      <c r="AE2791" s="2265">
        <v>7.0</v>
      </c>
      <c r="AF2791" s="2342">
        <f>485*0.44</f>
        <v>213.4</v>
      </c>
      <c r="AG2791" s="2265">
        <v>0.172</v>
      </c>
      <c r="AH2791" s="1592" t="s">
        <v>361</v>
      </c>
      <c r="AI2791" s="2341" t="s">
        <v>16487</v>
      </c>
      <c r="AJ2791" s="2265">
        <v>0.0679</v>
      </c>
      <c r="AK2791" s="1592" t="s">
        <v>172</v>
      </c>
      <c r="AL2791" s="1592" t="s">
        <v>186</v>
      </c>
      <c r="AM2791" s="1592" t="s">
        <v>137</v>
      </c>
      <c r="AN2791" s="1592" t="s">
        <v>138</v>
      </c>
      <c r="AO2791" s="1596">
        <v>285.0</v>
      </c>
      <c r="AP2791" s="1596">
        <v>0.135</v>
      </c>
      <c r="AQ2791" s="1592" t="s">
        <v>361</v>
      </c>
      <c r="AR2791" s="2262" t="s">
        <v>16488</v>
      </c>
      <c r="AS2791" s="1596">
        <v>0.05</v>
      </c>
      <c r="AT2791" s="1592" t="s">
        <v>135</v>
      </c>
      <c r="AU2791" s="1592" t="s">
        <v>186</v>
      </c>
      <c r="AV2791" s="1592" t="s">
        <v>137</v>
      </c>
      <c r="AW2791" s="1592" t="s">
        <v>138</v>
      </c>
      <c r="AX2791" s="1592" t="s">
        <v>143</v>
      </c>
      <c r="AY2791" s="61" t="str">
        <f>IFERROR(__xludf.DUMMYFUNCTION("vlookup(BB2791,importrange(""https://docs.google.com/spreadsheets/d/1d2vevQ_7D_v35q4wCQ4RpQ_IPoTwEMB9Yp6ymwlPqew/edit?gid=984458430#gid=984458430"", ""'replication success'!A:K""), 11, FAlSE)"),"#N/A")</f>
        <v>#N/A</v>
      </c>
      <c r="AZ2791" s="61" t="str">
        <f>IFERROR(__xludf.DUMMYFUNCTION("vlookup(BB2791,importrange(""https://docs.google.com/spreadsheets/d/1d2vevQ_7D_v35q4wCQ4RpQ_IPoTwEMB9Yp6ymwlPqew/edit?gid=984458430#gid=984458430"", ""'replication success'!A:M""), 12, FAlSE)"),"#N/A")</f>
        <v>#N/A</v>
      </c>
      <c r="BA2791" s="61" t="str">
        <f>IFERROR(__xludf.DUMMYFUNCTION("vlookup(BB2791,importrange(""https://docs.google.com/spreadsheets/d/1d2vevQ_7D_v35q4wCQ4RpQ_IPoTwEMB9Yp6ymwlPqew/edit?gid=984458430#gid=984458430"", ""'replication success'!A:M""), 13, FAlSE)"),"#N/A")</f>
        <v>#N/A</v>
      </c>
      <c r="BB2791" s="61" t="str">
        <f>IFERROR(__xludf.DUMMYFUNCTION("REGEXREPLACE(G2791, ""_[a-z]{1,2}$"", """")"),"add_ai60_a2")</f>
        <v>add_ai60_a2</v>
      </c>
      <c r="BC2791" s="1572"/>
      <c r="BD2791" s="1588" t="s">
        <v>13264</v>
      </c>
      <c r="BE2791" s="342"/>
      <c r="BF2791" s="342"/>
      <c r="BG2791" s="342"/>
      <c r="BH2791" s="342"/>
      <c r="BI2791" s="342"/>
      <c r="BJ2791" s="342"/>
      <c r="BK2791" s="342"/>
      <c r="BL2791" s="342"/>
      <c r="BM2791" s="342"/>
      <c r="BN2791" s="342"/>
      <c r="BO2791" s="342"/>
      <c r="BP2791" s="342"/>
      <c r="BQ2791" s="342"/>
      <c r="BR2791" s="342"/>
      <c r="BS2791" s="342"/>
      <c r="BT2791" s="342"/>
      <c r="BU2791" s="342"/>
      <c r="BV2791" s="342"/>
      <c r="BW2791" s="342"/>
      <c r="BX2791" s="342"/>
      <c r="BY2791" s="342"/>
      <c r="BZ2791" s="342"/>
      <c r="CA2791" s="342"/>
      <c r="CB2791" s="342"/>
      <c r="CC2791" s="342"/>
      <c r="CD2791" s="342"/>
      <c r="CE2791" s="342"/>
      <c r="CF2791" s="342"/>
      <c r="CG2791" s="342"/>
      <c r="CH2791" s="342"/>
      <c r="CI2791" s="342"/>
      <c r="CJ2791" s="342"/>
      <c r="CK2791" s="342"/>
      <c r="CL2791" s="342"/>
      <c r="CM2791" s="342"/>
      <c r="CN2791" s="342"/>
      <c r="CO2791" s="342"/>
      <c r="CP2791" s="342"/>
      <c r="CQ2791" s="342"/>
      <c r="CR2791" s="342"/>
      <c r="CS2791" s="342"/>
      <c r="CT2791" s="342"/>
      <c r="CU2791" s="342"/>
      <c r="CV2791" s="342"/>
      <c r="CW2791" s="342"/>
      <c r="CX2791" s="342"/>
      <c r="CY2791" s="342"/>
      <c r="CZ2791" s="342"/>
      <c r="DA2791" s="342"/>
      <c r="DB2791" s="342"/>
      <c r="DC2791" s="342"/>
      <c r="DD2791" s="342"/>
      <c r="DE2791" s="342"/>
      <c r="DF2791" s="342"/>
      <c r="DG2791" s="342"/>
      <c r="DH2791" s="342"/>
      <c r="DI2791" s="342"/>
      <c r="DJ2791" s="342"/>
      <c r="DK2791" s="342"/>
      <c r="DL2791" s="342"/>
    </row>
    <row r="2792">
      <c r="A2792" s="44">
        <v>3081.0</v>
      </c>
      <c r="B2792" s="1322" t="s">
        <v>152</v>
      </c>
      <c r="C2792" s="1588" t="s">
        <v>115</v>
      </c>
      <c r="D2792" s="1588" t="s">
        <v>153</v>
      </c>
      <c r="E2792" s="1572"/>
      <c r="F2792" s="1600" t="s">
        <v>16459</v>
      </c>
      <c r="G2792" s="1592" t="s">
        <v>16489</v>
      </c>
      <c r="H2792" s="1600" t="s">
        <v>15921</v>
      </c>
      <c r="I2792" s="2229">
        <v>45821.0</v>
      </c>
      <c r="J2792" s="2230">
        <v>45846.0</v>
      </c>
      <c r="K2792" s="1592" t="s">
        <v>16483</v>
      </c>
      <c r="L2792" s="1313"/>
      <c r="M2792" s="1592" t="s">
        <v>16462</v>
      </c>
      <c r="N2792" s="1592" t="s">
        <v>16463</v>
      </c>
      <c r="O2792" s="1313"/>
      <c r="P2792" s="1592" t="s">
        <v>16464</v>
      </c>
      <c r="Q2792" s="2331" t="s">
        <v>16465</v>
      </c>
      <c r="R2792" s="2232" t="s">
        <v>16490</v>
      </c>
      <c r="S2792" s="1592" t="s">
        <v>16467</v>
      </c>
      <c r="T2792" s="1313"/>
      <c r="U2792" s="1313"/>
      <c r="V2792" s="1592" t="s">
        <v>16468</v>
      </c>
      <c r="W2792" s="1313"/>
      <c r="X2792" s="2233" t="str">
        <f t="array" ref="X2792"> if(iserror(MATCH(V2792, 'File Links'!C:C, 0)), "N/A", HYPERLINK(INDEX('File Links'!B:B, MATCH(V2792, 'File Links'!C:C, 0))))</f>
        <v>https://drive.google.com/file/d/16V6fX6zed8MKZ53zcmG18UMG8cS5fmS4/view?usp=drivesdk</v>
      </c>
      <c r="Y2792" s="1313"/>
      <c r="Z2792" s="1592" t="s">
        <v>1679</v>
      </c>
      <c r="AA2792" s="1600" t="s">
        <v>16476</v>
      </c>
      <c r="AB2792" s="1592" t="s">
        <v>16477</v>
      </c>
      <c r="AC2792" s="2262" t="s">
        <v>16491</v>
      </c>
      <c r="AD2792" s="1592" t="s">
        <v>16486</v>
      </c>
      <c r="AE2792" s="2265">
        <v>7.0</v>
      </c>
      <c r="AF2792" s="2342">
        <f>485*0.26</f>
        <v>126.1</v>
      </c>
      <c r="AG2792" s="2265">
        <v>0.094</v>
      </c>
      <c r="AH2792" s="1592" t="s">
        <v>16492</v>
      </c>
      <c r="AI2792" s="2341" t="s">
        <v>16493</v>
      </c>
      <c r="AJ2792" s="1324" t="s">
        <v>138</v>
      </c>
      <c r="AK2792" s="1324" t="s">
        <v>138</v>
      </c>
      <c r="AL2792" s="1592" t="s">
        <v>186</v>
      </c>
      <c r="AM2792" s="1592" t="s">
        <v>137</v>
      </c>
      <c r="AN2792" s="1592" t="s">
        <v>138</v>
      </c>
      <c r="AO2792" s="1596">
        <v>285.0</v>
      </c>
      <c r="AP2792" s="2265">
        <v>0.057</v>
      </c>
      <c r="AQ2792" s="1592" t="s">
        <v>16492</v>
      </c>
      <c r="AR2792" s="2262" t="s">
        <v>16494</v>
      </c>
      <c r="AS2792" s="1592" t="s">
        <v>138</v>
      </c>
      <c r="AT2792" s="2343" t="s">
        <v>138</v>
      </c>
      <c r="AU2792" s="1592" t="s">
        <v>186</v>
      </c>
      <c r="AV2792" s="1592" t="s">
        <v>137</v>
      </c>
      <c r="AW2792" s="1592" t="s">
        <v>138</v>
      </c>
      <c r="AX2792" s="1592" t="s">
        <v>143</v>
      </c>
      <c r="AY2792" s="61" t="str">
        <f>IFERROR(__xludf.DUMMYFUNCTION("vlookup(BB2792,importrange(""https://docs.google.com/spreadsheets/d/1d2vevQ_7D_v35q4wCQ4RpQ_IPoTwEMB9Yp6ymwlPqew/edit?gid=984458430#gid=984458430"", ""'replication success'!A:K""), 11, FAlSE)"),"#N/A")</f>
        <v>#N/A</v>
      </c>
      <c r="AZ2792" s="61" t="str">
        <f>IFERROR(__xludf.DUMMYFUNCTION("vlookup(BB2792,importrange(""https://docs.google.com/spreadsheets/d/1d2vevQ_7D_v35q4wCQ4RpQ_IPoTwEMB9Yp6ymwlPqew/edit?gid=984458430#gid=984458430"", ""'replication success'!A:M""), 12, FAlSE)"),"#N/A")</f>
        <v>#N/A</v>
      </c>
      <c r="BA2792" s="61" t="str">
        <f>IFERROR(__xludf.DUMMYFUNCTION("vlookup(BB2792,importrange(""https://docs.google.com/spreadsheets/d/1d2vevQ_7D_v35q4wCQ4RpQ_IPoTwEMB9Yp6ymwlPqew/edit?gid=984458430#gid=984458430"", ""'replication success'!A:M""), 13, FAlSE)"),"#N/A")</f>
        <v>#N/A</v>
      </c>
      <c r="BB2792" s="61" t="str">
        <f>IFERROR(__xludf.DUMMYFUNCTION("REGEXREPLACE(G2792, ""_[a-z]{1,2}$"", """")"),"add_ai60_a3")</f>
        <v>add_ai60_a3</v>
      </c>
      <c r="BC2792" s="1572"/>
      <c r="BD2792" s="1588" t="s">
        <v>13264</v>
      </c>
      <c r="BE2792" s="2344"/>
      <c r="BF2792" s="2344"/>
      <c r="BG2792" s="2344"/>
      <c r="BH2792" s="2344"/>
      <c r="BI2792" s="2344"/>
      <c r="BJ2792" s="2344"/>
      <c r="BK2792" s="2344"/>
      <c r="BL2792" s="2344"/>
      <c r="BM2792" s="2344"/>
      <c r="BN2792" s="2344"/>
      <c r="BO2792" s="2344"/>
      <c r="BP2792" s="2344"/>
      <c r="BQ2792" s="2344"/>
      <c r="BR2792" s="2344"/>
      <c r="BS2792" s="2344"/>
      <c r="BT2792" s="2344"/>
      <c r="BU2792" s="2344"/>
      <c r="BV2792" s="2344"/>
      <c r="BW2792" s="2344"/>
      <c r="BX2792" s="2344"/>
      <c r="BY2792" s="2344"/>
      <c r="BZ2792" s="2344"/>
      <c r="CA2792" s="2344"/>
      <c r="CB2792" s="2344"/>
      <c r="CC2792" s="2344"/>
      <c r="CD2792" s="2344"/>
      <c r="CE2792" s="2344"/>
      <c r="CF2792" s="2344"/>
      <c r="CG2792" s="2344"/>
      <c r="CH2792" s="2344"/>
      <c r="CI2792" s="2344"/>
      <c r="CJ2792" s="2344"/>
      <c r="CK2792" s="2344"/>
      <c r="CL2792" s="2344"/>
      <c r="CM2792" s="2344"/>
      <c r="CN2792" s="2344"/>
      <c r="CO2792" s="2344"/>
      <c r="CP2792" s="2344"/>
      <c r="CQ2792" s="2344"/>
      <c r="CR2792" s="2344"/>
      <c r="CS2792" s="2344"/>
      <c r="CT2792" s="2344"/>
      <c r="CU2792" s="2344"/>
      <c r="CV2792" s="2344"/>
      <c r="CW2792" s="2344"/>
      <c r="CX2792" s="2344"/>
      <c r="CY2792" s="2344"/>
      <c r="CZ2792" s="2344"/>
      <c r="DA2792" s="2344"/>
      <c r="DB2792" s="2344"/>
      <c r="DC2792" s="2344"/>
      <c r="DD2792" s="2344"/>
      <c r="DE2792" s="2344"/>
      <c r="DF2792" s="2344"/>
      <c r="DG2792" s="2344"/>
      <c r="DH2792" s="2344"/>
      <c r="DI2792" s="2344"/>
      <c r="DJ2792" s="2344"/>
      <c r="DK2792" s="2344"/>
      <c r="DL2792" s="2344"/>
    </row>
    <row r="2793">
      <c r="A2793" s="44">
        <v>3030.0</v>
      </c>
      <c r="B2793" s="1322" t="s">
        <v>152</v>
      </c>
      <c r="C2793" s="1588" t="s">
        <v>115</v>
      </c>
      <c r="D2793" s="1588" t="s">
        <v>153</v>
      </c>
      <c r="E2793" s="1572"/>
      <c r="F2793" s="1600" t="s">
        <v>16459</v>
      </c>
      <c r="G2793" s="1592" t="s">
        <v>16495</v>
      </c>
      <c r="H2793" s="1600" t="s">
        <v>15921</v>
      </c>
      <c r="I2793" s="2229">
        <v>45821.0</v>
      </c>
      <c r="J2793" s="2230">
        <v>45846.0</v>
      </c>
      <c r="K2793" s="1592" t="s">
        <v>16474</v>
      </c>
      <c r="L2793" s="1313"/>
      <c r="M2793" s="1592" t="s">
        <v>16462</v>
      </c>
      <c r="N2793" s="1592" t="s">
        <v>16463</v>
      </c>
      <c r="O2793" s="1313"/>
      <c r="P2793" s="1592" t="s">
        <v>16464</v>
      </c>
      <c r="Q2793" s="2331" t="s">
        <v>16465</v>
      </c>
      <c r="R2793" s="1592" t="s">
        <v>16496</v>
      </c>
      <c r="S2793" s="1592" t="s">
        <v>16467</v>
      </c>
      <c r="T2793" s="1313"/>
      <c r="U2793" s="1313"/>
      <c r="V2793" s="1592" t="s">
        <v>16468</v>
      </c>
      <c r="W2793" s="1313"/>
      <c r="X2793" s="2233" t="str">
        <f t="array" ref="X2793"> if(iserror(MATCH(V2793, 'File Links'!C:C, 0)), "N/A", HYPERLINK(INDEX('File Links'!B:B, MATCH(V2793, 'File Links'!C:C, 0))))</f>
        <v>https://drive.google.com/file/d/16V6fX6zed8MKZ53zcmG18UMG8cS5fmS4/view?usp=drivesdk</v>
      </c>
      <c r="Y2793" s="1313"/>
      <c r="Z2793" s="1592" t="s">
        <v>1679</v>
      </c>
      <c r="AA2793" s="1600" t="s">
        <v>16476</v>
      </c>
      <c r="AB2793" s="1592" t="s">
        <v>16477</v>
      </c>
      <c r="AC2793" s="1600" t="s">
        <v>16497</v>
      </c>
      <c r="AD2793" s="1600" t="s">
        <v>16479</v>
      </c>
      <c r="AE2793" s="2265">
        <v>6.0</v>
      </c>
      <c r="AF2793" s="1596">
        <v>485.0</v>
      </c>
      <c r="AG2793" s="1596">
        <v>0.409</v>
      </c>
      <c r="AH2793" s="1592" t="s">
        <v>361</v>
      </c>
      <c r="AI2793" s="2341" t="s">
        <v>16498</v>
      </c>
      <c r="AJ2793" s="1596">
        <v>1.0E-4</v>
      </c>
      <c r="AK2793" s="1592" t="s">
        <v>135</v>
      </c>
      <c r="AL2793" s="1592" t="s">
        <v>186</v>
      </c>
      <c r="AM2793" s="1592" t="s">
        <v>137</v>
      </c>
      <c r="AN2793" s="1324" t="s">
        <v>138</v>
      </c>
      <c r="AO2793" s="1596">
        <v>285.0</v>
      </c>
      <c r="AP2793" s="2265">
        <v>0.174</v>
      </c>
      <c r="AQ2793" s="1592" t="s">
        <v>361</v>
      </c>
      <c r="AR2793" s="2262" t="s">
        <v>16499</v>
      </c>
      <c r="AS2793" s="2265">
        <v>0.01</v>
      </c>
      <c r="AT2793" s="1592" t="s">
        <v>135</v>
      </c>
      <c r="AU2793" s="1592" t="s">
        <v>186</v>
      </c>
      <c r="AV2793" s="1592" t="s">
        <v>137</v>
      </c>
      <c r="AW2793" s="1592" t="s">
        <v>138</v>
      </c>
      <c r="AX2793" s="1592" t="s">
        <v>143</v>
      </c>
      <c r="AY2793" s="61" t="str">
        <f>IFERROR(__xludf.DUMMYFUNCTION("vlookup(BB2793,importrange(""https://docs.google.com/spreadsheets/d/1d2vevQ_7D_v35q4wCQ4RpQ_IPoTwEMB9Yp6ymwlPqew/edit?gid=984458430#gid=984458430"", ""'replication success'!A:K""), 11, FAlSE)"),"#N/A")</f>
        <v>#N/A</v>
      </c>
      <c r="AZ2793" s="61" t="str">
        <f>IFERROR(__xludf.DUMMYFUNCTION("vlookup(BB2793,importrange(""https://docs.google.com/spreadsheets/d/1d2vevQ_7D_v35q4wCQ4RpQ_IPoTwEMB9Yp6ymwlPqew/edit?gid=984458430#gid=984458430"", ""'replication success'!A:M""), 12, FAlSE)"),"#N/A")</f>
        <v>#N/A</v>
      </c>
      <c r="BA2793" s="61" t="str">
        <f>IFERROR(__xludf.DUMMYFUNCTION("vlookup(BB2793,importrange(""https://docs.google.com/spreadsheets/d/1d2vevQ_7D_v35q4wCQ4RpQ_IPoTwEMB9Yp6ymwlPqew/edit?gid=984458430#gid=984458430"", ""'replication success'!A:M""), 13, FAlSE)"),"#N/A")</f>
        <v>#N/A</v>
      </c>
      <c r="BB2793" s="61" t="str">
        <f>IFERROR(__xludf.DUMMYFUNCTION("REGEXREPLACE(G2793, ""_[a-z]{1,2}$"", """")"),"add_ai60")</f>
        <v>add_ai60</v>
      </c>
      <c r="BC2793" s="1572"/>
      <c r="BD2793" s="1588" t="s">
        <v>13264</v>
      </c>
      <c r="BE2793" s="2344"/>
      <c r="BF2793" s="2344"/>
      <c r="BG2793" s="2344"/>
      <c r="BH2793" s="2344"/>
      <c r="BI2793" s="2344"/>
      <c r="BJ2793" s="2344"/>
      <c r="BK2793" s="2344"/>
      <c r="BL2793" s="2344"/>
      <c r="BM2793" s="2344"/>
      <c r="BN2793" s="2344"/>
      <c r="BO2793" s="2344"/>
      <c r="BP2793" s="2344"/>
      <c r="BQ2793" s="2344"/>
      <c r="BR2793" s="2344"/>
      <c r="BS2793" s="2344"/>
      <c r="BT2793" s="2344"/>
      <c r="BU2793" s="2344"/>
      <c r="BV2793" s="2344"/>
      <c r="BW2793" s="2344"/>
      <c r="BX2793" s="2344"/>
      <c r="BY2793" s="2344"/>
      <c r="BZ2793" s="2344"/>
      <c r="CA2793" s="2344"/>
      <c r="CB2793" s="2344"/>
      <c r="CC2793" s="2344"/>
      <c r="CD2793" s="2344"/>
      <c r="CE2793" s="2344"/>
      <c r="CF2793" s="2344"/>
      <c r="CG2793" s="2344"/>
      <c r="CH2793" s="2344"/>
      <c r="CI2793" s="2344"/>
      <c r="CJ2793" s="2344"/>
      <c r="CK2793" s="2344"/>
      <c r="CL2793" s="2344"/>
      <c r="CM2793" s="2344"/>
      <c r="CN2793" s="2344"/>
      <c r="CO2793" s="2344"/>
      <c r="CP2793" s="2344"/>
      <c r="CQ2793" s="2344"/>
      <c r="CR2793" s="2344"/>
      <c r="CS2793" s="2344"/>
      <c r="CT2793" s="2344"/>
      <c r="CU2793" s="2344"/>
      <c r="CV2793" s="2344"/>
      <c r="CW2793" s="2344"/>
      <c r="CX2793" s="2344"/>
      <c r="CY2793" s="2344"/>
      <c r="CZ2793" s="2344"/>
      <c r="DA2793" s="2344"/>
      <c r="DB2793" s="2344"/>
      <c r="DC2793" s="2344"/>
      <c r="DD2793" s="2344"/>
      <c r="DE2793" s="2344"/>
      <c r="DF2793" s="2344"/>
      <c r="DG2793" s="2344"/>
      <c r="DH2793" s="2344"/>
      <c r="DI2793" s="2344"/>
      <c r="DJ2793" s="2344"/>
      <c r="DK2793" s="2344"/>
      <c r="DL2793" s="2344"/>
    </row>
    <row r="2794">
      <c r="A2794" s="44">
        <v>3056.0</v>
      </c>
      <c r="B2794" s="1322" t="s">
        <v>152</v>
      </c>
      <c r="C2794" s="1588" t="s">
        <v>115</v>
      </c>
      <c r="D2794" s="1588" t="s">
        <v>153</v>
      </c>
      <c r="E2794" s="1572"/>
      <c r="F2794" s="1600" t="s">
        <v>16459</v>
      </c>
      <c r="G2794" s="1592" t="s">
        <v>16500</v>
      </c>
      <c r="H2794" s="1600" t="s">
        <v>15921</v>
      </c>
      <c r="I2794" s="2229">
        <v>45821.0</v>
      </c>
      <c r="J2794" s="2230">
        <v>45846.0</v>
      </c>
      <c r="K2794" s="1592" t="s">
        <v>16483</v>
      </c>
      <c r="L2794" s="1313"/>
      <c r="M2794" s="1592" t="s">
        <v>16462</v>
      </c>
      <c r="N2794" s="1592" t="s">
        <v>16463</v>
      </c>
      <c r="O2794" s="1313"/>
      <c r="P2794" s="1592" t="s">
        <v>16464</v>
      </c>
      <c r="Q2794" s="2331" t="s">
        <v>16465</v>
      </c>
      <c r="R2794" s="1592" t="s">
        <v>16496</v>
      </c>
      <c r="S2794" s="1592" t="s">
        <v>16467</v>
      </c>
      <c r="T2794" s="1313"/>
      <c r="U2794" s="1313"/>
      <c r="V2794" s="1592" t="s">
        <v>16468</v>
      </c>
      <c r="W2794" s="1313"/>
      <c r="X2794" s="2233" t="str">
        <f t="array" ref="X2794"> if(iserror(MATCH(V2794, 'File Links'!C:C, 0)), "N/A", HYPERLINK(INDEX('File Links'!B:B, MATCH(V2794, 'File Links'!C:C, 0))))</f>
        <v>https://drive.google.com/file/d/16V6fX6zed8MKZ53zcmG18UMG8cS5fmS4/view?usp=drivesdk</v>
      </c>
      <c r="Y2794" s="1313"/>
      <c r="Z2794" s="1592" t="s">
        <v>1679</v>
      </c>
      <c r="AA2794" s="1600" t="s">
        <v>16476</v>
      </c>
      <c r="AB2794" s="1592" t="s">
        <v>16477</v>
      </c>
      <c r="AC2794" s="1600" t="s">
        <v>16501</v>
      </c>
      <c r="AD2794" s="1592" t="s">
        <v>16486</v>
      </c>
      <c r="AE2794" s="2265">
        <v>7.0</v>
      </c>
      <c r="AF2794" s="2342">
        <f>485*0.44</f>
        <v>213.4</v>
      </c>
      <c r="AG2794" s="2265">
        <v>0.177</v>
      </c>
      <c r="AH2794" s="1592" t="s">
        <v>361</v>
      </c>
      <c r="AI2794" s="2341" t="s">
        <v>16502</v>
      </c>
      <c r="AJ2794" s="1596">
        <v>0.0623</v>
      </c>
      <c r="AK2794" s="2337" t="s">
        <v>172</v>
      </c>
      <c r="AL2794" s="1592" t="s">
        <v>186</v>
      </c>
      <c r="AM2794" s="1592" t="s">
        <v>137</v>
      </c>
      <c r="AN2794" s="1592" t="s">
        <v>138</v>
      </c>
      <c r="AO2794" s="1596">
        <v>285.0</v>
      </c>
      <c r="AP2794" s="1596">
        <v>0.236</v>
      </c>
      <c r="AQ2794" s="1592" t="s">
        <v>361</v>
      </c>
      <c r="AR2794" s="2262" t="s">
        <v>16503</v>
      </c>
      <c r="AS2794" s="1596">
        <v>0.001</v>
      </c>
      <c r="AT2794" s="1592" t="s">
        <v>135</v>
      </c>
      <c r="AU2794" s="1592" t="s">
        <v>186</v>
      </c>
      <c r="AV2794" s="1592" t="s">
        <v>137</v>
      </c>
      <c r="AW2794" s="1592" t="s">
        <v>138</v>
      </c>
      <c r="AX2794" s="1592" t="s">
        <v>143</v>
      </c>
      <c r="AY2794" s="61" t="str">
        <f>IFERROR(__xludf.DUMMYFUNCTION("vlookup(BB2794,importrange(""https://docs.google.com/spreadsheets/d/1d2vevQ_7D_v35q4wCQ4RpQ_IPoTwEMB9Yp6ymwlPqew/edit?gid=984458430#gid=984458430"", ""'replication success'!A:K""), 11, FAlSE)"),"#N/A")</f>
        <v>#N/A</v>
      </c>
      <c r="AZ2794" s="61" t="str">
        <f>IFERROR(__xludf.DUMMYFUNCTION("vlookup(BB2794,importrange(""https://docs.google.com/spreadsheets/d/1d2vevQ_7D_v35q4wCQ4RpQ_IPoTwEMB9Yp6ymwlPqew/edit?gid=984458430#gid=984458430"", ""'replication success'!A:M""), 12, FAlSE)"),"#N/A")</f>
        <v>#N/A</v>
      </c>
      <c r="BA2794" s="61" t="str">
        <f>IFERROR(__xludf.DUMMYFUNCTION("vlookup(BB2794,importrange(""https://docs.google.com/spreadsheets/d/1d2vevQ_7D_v35q4wCQ4RpQ_IPoTwEMB9Yp6ymwlPqew/edit?gid=984458430#gid=984458430"", ""'replication success'!A:M""), 13, FAlSE)"),"#N/A")</f>
        <v>#N/A</v>
      </c>
      <c r="BB2794" s="61" t="str">
        <f>IFERROR(__xludf.DUMMYFUNCTION("REGEXREPLACE(G2794, ""_[a-z]{1,2}$"", """")"),"add_ai60_b2")</f>
        <v>add_ai60_b2</v>
      </c>
      <c r="BC2794" s="1572"/>
      <c r="BD2794" s="1588" t="s">
        <v>13264</v>
      </c>
      <c r="BE2794" s="2344"/>
      <c r="BF2794" s="2344"/>
      <c r="BG2794" s="2344"/>
      <c r="BH2794" s="2344"/>
      <c r="BI2794" s="2344"/>
      <c r="BJ2794" s="2344"/>
      <c r="BK2794" s="2344"/>
      <c r="BL2794" s="2344"/>
      <c r="BM2794" s="2344"/>
      <c r="BN2794" s="2344"/>
      <c r="BO2794" s="2344"/>
      <c r="BP2794" s="2344"/>
      <c r="BQ2794" s="2344"/>
      <c r="BR2794" s="2344"/>
      <c r="BS2794" s="2344"/>
      <c r="BT2794" s="2344"/>
      <c r="BU2794" s="2344"/>
      <c r="BV2794" s="2344"/>
      <c r="BW2794" s="2344"/>
      <c r="BX2794" s="2344"/>
      <c r="BY2794" s="2344"/>
      <c r="BZ2794" s="2344"/>
      <c r="CA2794" s="2344"/>
      <c r="CB2794" s="2344"/>
      <c r="CC2794" s="2344"/>
      <c r="CD2794" s="2344"/>
      <c r="CE2794" s="2344"/>
      <c r="CF2794" s="2344"/>
      <c r="CG2794" s="2344"/>
      <c r="CH2794" s="2344"/>
      <c r="CI2794" s="2344"/>
      <c r="CJ2794" s="2344"/>
      <c r="CK2794" s="2344"/>
      <c r="CL2794" s="2344"/>
      <c r="CM2794" s="2344"/>
      <c r="CN2794" s="2344"/>
      <c r="CO2794" s="2344"/>
      <c r="CP2794" s="2344"/>
      <c r="CQ2794" s="2344"/>
      <c r="CR2794" s="2344"/>
      <c r="CS2794" s="2344"/>
      <c r="CT2794" s="2344"/>
      <c r="CU2794" s="2344"/>
      <c r="CV2794" s="2344"/>
      <c r="CW2794" s="2344"/>
      <c r="CX2794" s="2344"/>
      <c r="CY2794" s="2344"/>
      <c r="CZ2794" s="2344"/>
      <c r="DA2794" s="2344"/>
      <c r="DB2794" s="2344"/>
      <c r="DC2794" s="2344"/>
      <c r="DD2794" s="2344"/>
      <c r="DE2794" s="2344"/>
      <c r="DF2794" s="2344"/>
      <c r="DG2794" s="2344"/>
      <c r="DH2794" s="2344"/>
      <c r="DI2794" s="2344"/>
      <c r="DJ2794" s="2344"/>
      <c r="DK2794" s="2344"/>
      <c r="DL2794" s="2344"/>
    </row>
    <row r="2795">
      <c r="A2795" s="44">
        <v>3082.0</v>
      </c>
      <c r="B2795" s="1322" t="s">
        <v>152</v>
      </c>
      <c r="C2795" s="1588" t="s">
        <v>115</v>
      </c>
      <c r="D2795" s="1588" t="s">
        <v>153</v>
      </c>
      <c r="E2795" s="1572"/>
      <c r="F2795" s="1600" t="s">
        <v>16459</v>
      </c>
      <c r="G2795" s="1592" t="s">
        <v>16504</v>
      </c>
      <c r="H2795" s="1600" t="s">
        <v>15921</v>
      </c>
      <c r="I2795" s="2229">
        <v>45821.0</v>
      </c>
      <c r="J2795" s="2230">
        <v>45846.0</v>
      </c>
      <c r="K2795" s="1592" t="s">
        <v>16483</v>
      </c>
      <c r="L2795" s="1313"/>
      <c r="M2795" s="1592" t="s">
        <v>16462</v>
      </c>
      <c r="N2795" s="1592" t="s">
        <v>16463</v>
      </c>
      <c r="O2795" s="1313"/>
      <c r="P2795" s="1592" t="s">
        <v>16464</v>
      </c>
      <c r="Q2795" s="2331" t="s">
        <v>16465</v>
      </c>
      <c r="R2795" s="1592" t="s">
        <v>16496</v>
      </c>
      <c r="S2795" s="1592" t="s">
        <v>16467</v>
      </c>
      <c r="T2795" s="1313"/>
      <c r="U2795" s="1313"/>
      <c r="V2795" s="1592" t="s">
        <v>16468</v>
      </c>
      <c r="W2795" s="1313"/>
      <c r="X2795" s="2233" t="str">
        <f t="array" ref="X2795"> if(iserror(MATCH(V2795, 'File Links'!C:C, 0)), "N/A", HYPERLINK(INDEX('File Links'!B:B, MATCH(V2795, 'File Links'!C:C, 0))))</f>
        <v>https://drive.google.com/file/d/16V6fX6zed8MKZ53zcmG18UMG8cS5fmS4/view?usp=drivesdk</v>
      </c>
      <c r="Y2795" s="1313"/>
      <c r="Z2795" s="1592" t="s">
        <v>1679</v>
      </c>
      <c r="AA2795" s="1600" t="s">
        <v>16476</v>
      </c>
      <c r="AB2795" s="1592" t="s">
        <v>16477</v>
      </c>
      <c r="AC2795" s="2262" t="s">
        <v>16505</v>
      </c>
      <c r="AD2795" s="1592" t="s">
        <v>16486</v>
      </c>
      <c r="AE2795" s="2265">
        <v>7.0</v>
      </c>
      <c r="AF2795" s="2342">
        <f>485*0.26</f>
        <v>126.1</v>
      </c>
      <c r="AG2795" s="2265">
        <v>0.187</v>
      </c>
      <c r="AH2795" s="1592" t="s">
        <v>16492</v>
      </c>
      <c r="AI2795" s="2341" t="s">
        <v>16506</v>
      </c>
      <c r="AJ2795" s="1324" t="s">
        <v>138</v>
      </c>
      <c r="AK2795" s="1324" t="s">
        <v>138</v>
      </c>
      <c r="AL2795" s="1592" t="s">
        <v>186</v>
      </c>
      <c r="AM2795" s="1592" t="s">
        <v>137</v>
      </c>
      <c r="AN2795" s="1592" t="s">
        <v>138</v>
      </c>
      <c r="AO2795" s="1596">
        <v>285.0</v>
      </c>
      <c r="AP2795" s="2265">
        <v>0.037</v>
      </c>
      <c r="AQ2795" s="1592" t="s">
        <v>16492</v>
      </c>
      <c r="AR2795" s="2262" t="s">
        <v>16507</v>
      </c>
      <c r="AS2795" s="2343" t="s">
        <v>138</v>
      </c>
      <c r="AT2795" s="2343" t="s">
        <v>138</v>
      </c>
      <c r="AU2795" s="1592" t="s">
        <v>186</v>
      </c>
      <c r="AV2795" s="1592" t="s">
        <v>137</v>
      </c>
      <c r="AW2795" s="1592" t="s">
        <v>138</v>
      </c>
      <c r="AX2795" s="1592" t="s">
        <v>143</v>
      </c>
      <c r="AY2795" s="61" t="str">
        <f>IFERROR(__xludf.DUMMYFUNCTION("vlookup(BB2795,importrange(""https://docs.google.com/spreadsheets/d/1d2vevQ_7D_v35q4wCQ4RpQ_IPoTwEMB9Yp6ymwlPqew/edit?gid=984458430#gid=984458430"", ""'replication success'!A:K""), 11, FAlSE)"),"#N/A")</f>
        <v>#N/A</v>
      </c>
      <c r="AZ2795" s="61" t="str">
        <f>IFERROR(__xludf.DUMMYFUNCTION("vlookup(BB2795,importrange(""https://docs.google.com/spreadsheets/d/1d2vevQ_7D_v35q4wCQ4RpQ_IPoTwEMB9Yp6ymwlPqew/edit?gid=984458430#gid=984458430"", ""'replication success'!A:M""), 12, FAlSE)"),"#N/A")</f>
        <v>#N/A</v>
      </c>
      <c r="BA2795" s="61" t="str">
        <f>IFERROR(__xludf.DUMMYFUNCTION("vlookup(BB2795,importrange(""https://docs.google.com/spreadsheets/d/1d2vevQ_7D_v35q4wCQ4RpQ_IPoTwEMB9Yp6ymwlPqew/edit?gid=984458430#gid=984458430"", ""'replication success'!A:M""), 13, FAlSE)"),"#N/A")</f>
        <v>#N/A</v>
      </c>
      <c r="BB2795" s="61" t="str">
        <f>IFERROR(__xludf.DUMMYFUNCTION("REGEXREPLACE(G2795, ""_[a-z]{1,2}$"", """")"),"add_ai60_b3")</f>
        <v>add_ai60_b3</v>
      </c>
      <c r="BC2795" s="1572"/>
      <c r="BD2795" s="1588" t="s">
        <v>13264</v>
      </c>
      <c r="BE2795" s="2344"/>
      <c r="BF2795" s="2344"/>
      <c r="BG2795" s="2344"/>
      <c r="BH2795" s="2344"/>
      <c r="BI2795" s="2344"/>
      <c r="BJ2795" s="2344"/>
      <c r="BK2795" s="2344"/>
      <c r="BL2795" s="2344"/>
      <c r="BM2795" s="2344"/>
      <c r="BN2795" s="2344"/>
      <c r="BO2795" s="2344"/>
      <c r="BP2795" s="2344"/>
      <c r="BQ2795" s="2344"/>
      <c r="BR2795" s="2344"/>
      <c r="BS2795" s="2344"/>
      <c r="BT2795" s="2344"/>
      <c r="BU2795" s="2344"/>
      <c r="BV2795" s="2344"/>
      <c r="BW2795" s="2344"/>
      <c r="BX2795" s="2344"/>
      <c r="BY2795" s="2344"/>
      <c r="BZ2795" s="2344"/>
      <c r="CA2795" s="2344"/>
      <c r="CB2795" s="2344"/>
      <c r="CC2795" s="2344"/>
      <c r="CD2795" s="2344"/>
      <c r="CE2795" s="2344"/>
      <c r="CF2795" s="2344"/>
      <c r="CG2795" s="2344"/>
      <c r="CH2795" s="2344"/>
      <c r="CI2795" s="2344"/>
      <c r="CJ2795" s="2344"/>
      <c r="CK2795" s="2344"/>
      <c r="CL2795" s="2344"/>
      <c r="CM2795" s="2344"/>
      <c r="CN2795" s="2344"/>
      <c r="CO2795" s="2344"/>
      <c r="CP2795" s="2344"/>
      <c r="CQ2795" s="2344"/>
      <c r="CR2795" s="2344"/>
      <c r="CS2795" s="2344"/>
      <c r="CT2795" s="2344"/>
      <c r="CU2795" s="2344"/>
      <c r="CV2795" s="2344"/>
      <c r="CW2795" s="2344"/>
      <c r="CX2795" s="2344"/>
      <c r="CY2795" s="2344"/>
      <c r="CZ2795" s="2344"/>
      <c r="DA2795" s="2344"/>
      <c r="DB2795" s="2344"/>
      <c r="DC2795" s="2344"/>
      <c r="DD2795" s="2344"/>
      <c r="DE2795" s="2344"/>
      <c r="DF2795" s="2344"/>
      <c r="DG2795" s="2344"/>
      <c r="DH2795" s="2344"/>
      <c r="DI2795" s="2344"/>
      <c r="DJ2795" s="2344"/>
      <c r="DK2795" s="2344"/>
      <c r="DL2795" s="2344"/>
    </row>
    <row r="2796">
      <c r="A2796" s="44">
        <v>3031.0</v>
      </c>
      <c r="B2796" s="1322" t="s">
        <v>152</v>
      </c>
      <c r="C2796" s="1588" t="s">
        <v>115</v>
      </c>
      <c r="D2796" s="1588" t="s">
        <v>153</v>
      </c>
      <c r="E2796" s="1572"/>
      <c r="F2796" s="1600" t="s">
        <v>16459</v>
      </c>
      <c r="G2796" s="1592" t="s">
        <v>16508</v>
      </c>
      <c r="H2796" s="1600" t="s">
        <v>15921</v>
      </c>
      <c r="I2796" s="2229">
        <v>45821.0</v>
      </c>
      <c r="J2796" s="2230">
        <v>45847.0</v>
      </c>
      <c r="K2796" s="1592" t="s">
        <v>16474</v>
      </c>
      <c r="L2796" s="1313"/>
      <c r="M2796" s="1592" t="s">
        <v>16462</v>
      </c>
      <c r="N2796" s="1592" t="s">
        <v>16463</v>
      </c>
      <c r="O2796" s="1313"/>
      <c r="P2796" s="1592" t="s">
        <v>16464</v>
      </c>
      <c r="Q2796" s="2331" t="s">
        <v>16465</v>
      </c>
      <c r="R2796" s="1592" t="s">
        <v>16496</v>
      </c>
      <c r="S2796" s="1592" t="s">
        <v>16467</v>
      </c>
      <c r="T2796" s="1313"/>
      <c r="U2796" s="1313"/>
      <c r="V2796" s="1592" t="s">
        <v>16468</v>
      </c>
      <c r="W2796" s="1313"/>
      <c r="X2796" s="2233" t="str">
        <f t="array" ref="X2796"> if(iserror(MATCH(V2796, 'File Links'!C:C, 0)), "N/A", HYPERLINK(INDEX('File Links'!B:B, MATCH(V2796, 'File Links'!C:C, 0))))</f>
        <v>https://drive.google.com/file/d/16V6fX6zed8MKZ53zcmG18UMG8cS5fmS4/view?usp=drivesdk</v>
      </c>
      <c r="Y2796" s="1313"/>
      <c r="Z2796" s="1592" t="s">
        <v>1679</v>
      </c>
      <c r="AA2796" s="1600" t="s">
        <v>16476</v>
      </c>
      <c r="AB2796" s="1592" t="s">
        <v>16477</v>
      </c>
      <c r="AC2796" s="1600" t="s">
        <v>16509</v>
      </c>
      <c r="AD2796" s="1600" t="s">
        <v>16479</v>
      </c>
      <c r="AE2796" s="2265">
        <v>6.0</v>
      </c>
      <c r="AF2796" s="1596">
        <v>485.0</v>
      </c>
      <c r="AG2796" s="1596">
        <v>0.241</v>
      </c>
      <c r="AH2796" s="1592" t="s">
        <v>361</v>
      </c>
      <c r="AI2796" s="2341" t="s">
        <v>16510</v>
      </c>
      <c r="AJ2796" s="1596">
        <v>9.0E-4</v>
      </c>
      <c r="AK2796" s="1592" t="s">
        <v>172</v>
      </c>
      <c r="AL2796" s="1592" t="s">
        <v>186</v>
      </c>
      <c r="AM2796" s="1592" t="s">
        <v>137</v>
      </c>
      <c r="AN2796" s="1324" t="s">
        <v>138</v>
      </c>
      <c r="AO2796" s="1596">
        <v>285.0</v>
      </c>
      <c r="AP2796" s="2265">
        <v>0.174</v>
      </c>
      <c r="AQ2796" s="1592" t="s">
        <v>361</v>
      </c>
      <c r="AR2796" s="2262" t="s">
        <v>16511</v>
      </c>
      <c r="AS2796" s="2265">
        <v>0.01</v>
      </c>
      <c r="AT2796" s="1592" t="s">
        <v>135</v>
      </c>
      <c r="AU2796" s="1592" t="s">
        <v>186</v>
      </c>
      <c r="AV2796" s="1592" t="s">
        <v>137</v>
      </c>
      <c r="AW2796" s="1592" t="s">
        <v>138</v>
      </c>
      <c r="AX2796" s="1592" t="s">
        <v>143</v>
      </c>
      <c r="AY2796" s="61" t="str">
        <f>IFERROR(__xludf.DUMMYFUNCTION("vlookup(BB2796,importrange(""https://docs.google.com/spreadsheets/d/1d2vevQ_7D_v35q4wCQ4RpQ_IPoTwEMB9Yp6ymwlPqew/edit?gid=984458430#gid=984458430"", ""'replication success'!A:K""), 11, FAlSE)"),"#N/A")</f>
        <v>#N/A</v>
      </c>
      <c r="AZ2796" s="61" t="str">
        <f>IFERROR(__xludf.DUMMYFUNCTION("vlookup(BB2796,importrange(""https://docs.google.com/spreadsheets/d/1d2vevQ_7D_v35q4wCQ4RpQ_IPoTwEMB9Yp6ymwlPqew/edit?gid=984458430#gid=984458430"", ""'replication success'!A:M""), 12, FAlSE)"),"#N/A")</f>
        <v>#N/A</v>
      </c>
      <c r="BA2796" s="61" t="str">
        <f>IFERROR(__xludf.DUMMYFUNCTION("vlookup(BB2796,importrange(""https://docs.google.com/spreadsheets/d/1d2vevQ_7D_v35q4wCQ4RpQ_IPoTwEMB9Yp6ymwlPqew/edit?gid=984458430#gid=984458430"", ""'replication success'!A:M""), 13, FAlSE)"),"#N/A")</f>
        <v>#N/A</v>
      </c>
      <c r="BB2796" s="61" t="str">
        <f>IFERROR(__xludf.DUMMYFUNCTION("REGEXREPLACE(G2796, ""_[a-z]{1,2}$"", """")"),"add_ai60")</f>
        <v>add_ai60</v>
      </c>
      <c r="BC2796" s="1572"/>
      <c r="BD2796" s="1588" t="s">
        <v>13264</v>
      </c>
      <c r="BE2796" s="2344"/>
      <c r="BF2796" s="2344"/>
      <c r="BG2796" s="2344"/>
      <c r="BH2796" s="2344"/>
      <c r="BI2796" s="2344"/>
      <c r="BJ2796" s="2344"/>
      <c r="BK2796" s="2344"/>
      <c r="BL2796" s="2344"/>
      <c r="BM2796" s="2344"/>
      <c r="BN2796" s="2344"/>
      <c r="BO2796" s="2344"/>
      <c r="BP2796" s="2344"/>
      <c r="BQ2796" s="2344"/>
      <c r="BR2796" s="2344"/>
      <c r="BS2796" s="2344"/>
      <c r="BT2796" s="2344"/>
      <c r="BU2796" s="2344"/>
      <c r="BV2796" s="2344"/>
      <c r="BW2796" s="2344"/>
      <c r="BX2796" s="2344"/>
      <c r="BY2796" s="2344"/>
      <c r="BZ2796" s="2344"/>
      <c r="CA2796" s="2344"/>
      <c r="CB2796" s="2344"/>
      <c r="CC2796" s="2344"/>
      <c r="CD2796" s="2344"/>
      <c r="CE2796" s="2344"/>
      <c r="CF2796" s="2344"/>
      <c r="CG2796" s="2344"/>
      <c r="CH2796" s="2344"/>
      <c r="CI2796" s="2344"/>
      <c r="CJ2796" s="2344"/>
      <c r="CK2796" s="2344"/>
      <c r="CL2796" s="2344"/>
      <c r="CM2796" s="2344"/>
      <c r="CN2796" s="2344"/>
      <c r="CO2796" s="2344"/>
      <c r="CP2796" s="2344"/>
      <c r="CQ2796" s="2344"/>
      <c r="CR2796" s="2344"/>
      <c r="CS2796" s="2344"/>
      <c r="CT2796" s="2344"/>
      <c r="CU2796" s="2344"/>
      <c r="CV2796" s="2344"/>
      <c r="CW2796" s="2344"/>
      <c r="CX2796" s="2344"/>
      <c r="CY2796" s="2344"/>
      <c r="CZ2796" s="2344"/>
      <c r="DA2796" s="2344"/>
      <c r="DB2796" s="2344"/>
      <c r="DC2796" s="2344"/>
      <c r="DD2796" s="2344"/>
      <c r="DE2796" s="2344"/>
      <c r="DF2796" s="2344"/>
      <c r="DG2796" s="2344"/>
      <c r="DH2796" s="2344"/>
      <c r="DI2796" s="2344"/>
      <c r="DJ2796" s="2344"/>
      <c r="DK2796" s="2344"/>
      <c r="DL2796" s="2344"/>
    </row>
    <row r="2797">
      <c r="A2797" s="44">
        <v>3057.0</v>
      </c>
      <c r="B2797" s="1322" t="s">
        <v>152</v>
      </c>
      <c r="C2797" s="1588" t="s">
        <v>115</v>
      </c>
      <c r="D2797" s="1588" t="s">
        <v>153</v>
      </c>
      <c r="E2797" s="1572"/>
      <c r="F2797" s="1600" t="s">
        <v>16459</v>
      </c>
      <c r="G2797" s="1592" t="s">
        <v>16512</v>
      </c>
      <c r="H2797" s="1600" t="s">
        <v>15921</v>
      </c>
      <c r="I2797" s="2229">
        <v>45821.0</v>
      </c>
      <c r="J2797" s="2230">
        <v>45847.0</v>
      </c>
      <c r="K2797" s="1592" t="s">
        <v>16483</v>
      </c>
      <c r="L2797" s="1313"/>
      <c r="M2797" s="1592" t="s">
        <v>16462</v>
      </c>
      <c r="N2797" s="1592" t="s">
        <v>16463</v>
      </c>
      <c r="O2797" s="1313"/>
      <c r="P2797" s="1592" t="s">
        <v>16464</v>
      </c>
      <c r="Q2797" s="2331" t="s">
        <v>16465</v>
      </c>
      <c r="R2797" s="1592" t="s">
        <v>16496</v>
      </c>
      <c r="S2797" s="1592" t="s">
        <v>16467</v>
      </c>
      <c r="T2797" s="1313"/>
      <c r="U2797" s="1313"/>
      <c r="V2797" s="1592" t="s">
        <v>16468</v>
      </c>
      <c r="W2797" s="1313"/>
      <c r="X2797" s="2233" t="str">
        <f t="array" ref="X2797"> if(iserror(MATCH(V2797, 'File Links'!C:C, 0)), "N/A", HYPERLINK(INDEX('File Links'!B:B, MATCH(V2797, 'File Links'!C:C, 0))))</f>
        <v>https://drive.google.com/file/d/16V6fX6zed8MKZ53zcmG18UMG8cS5fmS4/view?usp=drivesdk</v>
      </c>
      <c r="Y2797" s="1313"/>
      <c r="Z2797" s="1592" t="s">
        <v>1679</v>
      </c>
      <c r="AA2797" s="1600" t="s">
        <v>16476</v>
      </c>
      <c r="AB2797" s="1592" t="s">
        <v>16477</v>
      </c>
      <c r="AC2797" s="1600" t="s">
        <v>16513</v>
      </c>
      <c r="AD2797" s="1592" t="s">
        <v>16486</v>
      </c>
      <c r="AE2797" s="2265">
        <v>7.0</v>
      </c>
      <c r="AF2797" s="2342">
        <f>485*0.44</f>
        <v>213.4</v>
      </c>
      <c r="AG2797" s="1596">
        <v>0.192</v>
      </c>
      <c r="AH2797" s="1592" t="s">
        <v>361</v>
      </c>
      <c r="AI2797" s="2341" t="s">
        <v>16514</v>
      </c>
      <c r="AJ2797" s="2265">
        <v>0.038</v>
      </c>
      <c r="AK2797" s="1592" t="s">
        <v>172</v>
      </c>
      <c r="AL2797" s="1592" t="s">
        <v>186</v>
      </c>
      <c r="AM2797" s="1592" t="s">
        <v>137</v>
      </c>
      <c r="AN2797" s="1592" t="s">
        <v>138</v>
      </c>
      <c r="AO2797" s="1596">
        <v>285.0</v>
      </c>
      <c r="AP2797" s="2265">
        <v>0.106</v>
      </c>
      <c r="AQ2797" s="1592" t="s">
        <v>361</v>
      </c>
      <c r="AR2797" s="2262" t="s">
        <v>16515</v>
      </c>
      <c r="AS2797" s="1596">
        <v>0.05</v>
      </c>
      <c r="AT2797" s="1592" t="s">
        <v>335</v>
      </c>
      <c r="AU2797" s="1592" t="s">
        <v>186</v>
      </c>
      <c r="AV2797" s="1592" t="s">
        <v>137</v>
      </c>
      <c r="AW2797" s="1592" t="s">
        <v>138</v>
      </c>
      <c r="AX2797" s="1592" t="s">
        <v>143</v>
      </c>
      <c r="AY2797" s="61" t="str">
        <f>IFERROR(__xludf.DUMMYFUNCTION("vlookup(BB2797,importrange(""https://docs.google.com/spreadsheets/d/1d2vevQ_7D_v35q4wCQ4RpQ_IPoTwEMB9Yp6ymwlPqew/edit?gid=984458430#gid=984458430"", ""'replication success'!A:K""), 11, FAlSE)"),"#N/A")</f>
        <v>#N/A</v>
      </c>
      <c r="AZ2797" s="61" t="str">
        <f>IFERROR(__xludf.DUMMYFUNCTION("vlookup(BB2797,importrange(""https://docs.google.com/spreadsheets/d/1d2vevQ_7D_v35q4wCQ4RpQ_IPoTwEMB9Yp6ymwlPqew/edit?gid=984458430#gid=984458430"", ""'replication success'!A:M""), 12, FAlSE)"),"#N/A")</f>
        <v>#N/A</v>
      </c>
      <c r="BA2797" s="61" t="str">
        <f>IFERROR(__xludf.DUMMYFUNCTION("vlookup(BB2797,importrange(""https://docs.google.com/spreadsheets/d/1d2vevQ_7D_v35q4wCQ4RpQ_IPoTwEMB9Yp6ymwlPqew/edit?gid=984458430#gid=984458430"", ""'replication success'!A:M""), 13, FAlSE)"),"#N/A")</f>
        <v>#N/A</v>
      </c>
      <c r="BB2797" s="61" t="str">
        <f>IFERROR(__xludf.DUMMYFUNCTION("REGEXREPLACE(G2797, ""_[a-z]{1,2}$"", """")"),"add_ai60_c2")</f>
        <v>add_ai60_c2</v>
      </c>
      <c r="BC2797" s="1572"/>
      <c r="BD2797" s="1588" t="s">
        <v>13264</v>
      </c>
      <c r="BE2797" s="2344"/>
      <c r="BF2797" s="2344"/>
      <c r="BG2797" s="2344"/>
      <c r="BH2797" s="2344"/>
      <c r="BI2797" s="2344"/>
      <c r="BJ2797" s="2344"/>
      <c r="BK2797" s="2344"/>
      <c r="BL2797" s="2344"/>
      <c r="BM2797" s="2344"/>
      <c r="BN2797" s="2344"/>
      <c r="BO2797" s="2344"/>
      <c r="BP2797" s="2344"/>
      <c r="BQ2797" s="2344"/>
      <c r="BR2797" s="2344"/>
      <c r="BS2797" s="2344"/>
      <c r="BT2797" s="2344"/>
      <c r="BU2797" s="2344"/>
      <c r="BV2797" s="2344"/>
      <c r="BW2797" s="2344"/>
      <c r="BX2797" s="2344"/>
      <c r="BY2797" s="2344"/>
      <c r="BZ2797" s="2344"/>
      <c r="CA2797" s="2344"/>
      <c r="CB2797" s="2344"/>
      <c r="CC2797" s="2344"/>
      <c r="CD2797" s="2344"/>
      <c r="CE2797" s="2344"/>
      <c r="CF2797" s="2344"/>
      <c r="CG2797" s="2344"/>
      <c r="CH2797" s="2344"/>
      <c r="CI2797" s="2344"/>
      <c r="CJ2797" s="2344"/>
      <c r="CK2797" s="2344"/>
      <c r="CL2797" s="2344"/>
      <c r="CM2797" s="2344"/>
      <c r="CN2797" s="2344"/>
      <c r="CO2797" s="2344"/>
      <c r="CP2797" s="2344"/>
      <c r="CQ2797" s="2344"/>
      <c r="CR2797" s="2344"/>
      <c r="CS2797" s="2344"/>
      <c r="CT2797" s="2344"/>
      <c r="CU2797" s="2344"/>
      <c r="CV2797" s="2344"/>
      <c r="CW2797" s="2344"/>
      <c r="CX2797" s="2344"/>
      <c r="CY2797" s="2344"/>
      <c r="CZ2797" s="2344"/>
      <c r="DA2797" s="2344"/>
      <c r="DB2797" s="2344"/>
      <c r="DC2797" s="2344"/>
      <c r="DD2797" s="2344"/>
      <c r="DE2797" s="2344"/>
      <c r="DF2797" s="2344"/>
      <c r="DG2797" s="2344"/>
      <c r="DH2797" s="2344"/>
      <c r="DI2797" s="2344"/>
      <c r="DJ2797" s="2344"/>
      <c r="DK2797" s="2344"/>
      <c r="DL2797" s="2344"/>
    </row>
    <row r="2798">
      <c r="A2798" s="44">
        <v>3083.0</v>
      </c>
      <c r="B2798" s="1322" t="s">
        <v>152</v>
      </c>
      <c r="C2798" s="1588" t="s">
        <v>115</v>
      </c>
      <c r="D2798" s="1588" t="s">
        <v>153</v>
      </c>
      <c r="E2798" s="1572"/>
      <c r="F2798" s="1600" t="s">
        <v>16459</v>
      </c>
      <c r="G2798" s="1592" t="s">
        <v>16516</v>
      </c>
      <c r="H2798" s="1600" t="s">
        <v>15921</v>
      </c>
      <c r="I2798" s="2229">
        <v>45821.0</v>
      </c>
      <c r="J2798" s="2230">
        <v>45847.0</v>
      </c>
      <c r="K2798" s="1592" t="s">
        <v>16483</v>
      </c>
      <c r="L2798" s="1313"/>
      <c r="M2798" s="1592" t="s">
        <v>16462</v>
      </c>
      <c r="N2798" s="1592" t="s">
        <v>16463</v>
      </c>
      <c r="O2798" s="1313"/>
      <c r="P2798" s="1592" t="s">
        <v>16464</v>
      </c>
      <c r="Q2798" s="2331" t="s">
        <v>16465</v>
      </c>
      <c r="R2798" s="1592" t="s">
        <v>16496</v>
      </c>
      <c r="S2798" s="1592" t="s">
        <v>16467</v>
      </c>
      <c r="T2798" s="1313"/>
      <c r="U2798" s="1313"/>
      <c r="V2798" s="1592" t="s">
        <v>16468</v>
      </c>
      <c r="W2798" s="1313"/>
      <c r="X2798" s="2233" t="str">
        <f t="array" ref="X2798"> if(iserror(MATCH(V2798, 'File Links'!C:C, 0)), "N/A", HYPERLINK(INDEX('File Links'!B:B, MATCH(V2798, 'File Links'!C:C, 0))))</f>
        <v>https://drive.google.com/file/d/16V6fX6zed8MKZ53zcmG18UMG8cS5fmS4/view?usp=drivesdk</v>
      </c>
      <c r="Y2798" s="1313"/>
      <c r="Z2798" s="1592" t="s">
        <v>1679</v>
      </c>
      <c r="AA2798" s="1600" t="s">
        <v>16476</v>
      </c>
      <c r="AB2798" s="1592" t="s">
        <v>16477</v>
      </c>
      <c r="AC2798" s="2262" t="s">
        <v>16517</v>
      </c>
      <c r="AD2798" s="1592" t="s">
        <v>16486</v>
      </c>
      <c r="AE2798" s="2265">
        <v>7.0</v>
      </c>
      <c r="AF2798" s="2342">
        <f>485*0.26</f>
        <v>126.1</v>
      </c>
      <c r="AG2798" s="2265">
        <v>0.123</v>
      </c>
      <c r="AH2798" s="1592" t="s">
        <v>16492</v>
      </c>
      <c r="AI2798" s="2341" t="s">
        <v>16518</v>
      </c>
      <c r="AJ2798" s="1324" t="s">
        <v>138</v>
      </c>
      <c r="AK2798" s="1324" t="s">
        <v>138</v>
      </c>
      <c r="AL2798" s="1592" t="s">
        <v>186</v>
      </c>
      <c r="AM2798" s="1592" t="s">
        <v>137</v>
      </c>
      <c r="AN2798" s="1592" t="s">
        <v>138</v>
      </c>
      <c r="AO2798" s="1596">
        <v>285.0</v>
      </c>
      <c r="AP2798" s="2265">
        <v>0.071</v>
      </c>
      <c r="AQ2798" s="1592" t="s">
        <v>16492</v>
      </c>
      <c r="AR2798" s="2262" t="s">
        <v>16519</v>
      </c>
      <c r="AS2798" s="2345" t="s">
        <v>138</v>
      </c>
      <c r="AT2798" s="2337" t="s">
        <v>138</v>
      </c>
      <c r="AU2798" s="1592" t="s">
        <v>186</v>
      </c>
      <c r="AV2798" s="1592" t="s">
        <v>137</v>
      </c>
      <c r="AW2798" s="1592" t="s">
        <v>138</v>
      </c>
      <c r="AX2798" s="1592" t="s">
        <v>143</v>
      </c>
      <c r="AY2798" s="61" t="str">
        <f>IFERROR(__xludf.DUMMYFUNCTION("vlookup(BB2798,importrange(""https://docs.google.com/spreadsheets/d/1d2vevQ_7D_v35q4wCQ4RpQ_IPoTwEMB9Yp6ymwlPqew/edit?gid=984458430#gid=984458430"", ""'replication success'!A:K""), 11, FAlSE)"),"#N/A")</f>
        <v>#N/A</v>
      </c>
      <c r="AZ2798" s="61" t="str">
        <f>IFERROR(__xludf.DUMMYFUNCTION("vlookup(BB2798,importrange(""https://docs.google.com/spreadsheets/d/1d2vevQ_7D_v35q4wCQ4RpQ_IPoTwEMB9Yp6ymwlPqew/edit?gid=984458430#gid=984458430"", ""'replication success'!A:M""), 12, FAlSE)"),"#N/A")</f>
        <v>#N/A</v>
      </c>
      <c r="BA2798" s="61" t="str">
        <f>IFERROR(__xludf.DUMMYFUNCTION("vlookup(BB2798,importrange(""https://docs.google.com/spreadsheets/d/1d2vevQ_7D_v35q4wCQ4RpQ_IPoTwEMB9Yp6ymwlPqew/edit?gid=984458430#gid=984458430"", ""'replication success'!A:M""), 13, FAlSE)"),"#N/A")</f>
        <v>#N/A</v>
      </c>
      <c r="BB2798" s="61" t="str">
        <f>IFERROR(__xludf.DUMMYFUNCTION("REGEXREPLACE(G2798, ""_[a-z]{1,2}$"", """")"),"add_ai60_c3")</f>
        <v>add_ai60_c3</v>
      </c>
      <c r="BC2798" s="1572"/>
      <c r="BD2798" s="1588" t="s">
        <v>13264</v>
      </c>
      <c r="BE2798" s="2344"/>
      <c r="BF2798" s="2344"/>
      <c r="BG2798" s="2344"/>
      <c r="BH2798" s="2344"/>
      <c r="BI2798" s="2344"/>
      <c r="BJ2798" s="2344"/>
      <c r="BK2798" s="2344"/>
      <c r="BL2798" s="2344"/>
      <c r="BM2798" s="2344"/>
      <c r="BN2798" s="2344"/>
      <c r="BO2798" s="2344"/>
      <c r="BP2798" s="2344"/>
      <c r="BQ2798" s="2344"/>
      <c r="BR2798" s="2344"/>
      <c r="BS2798" s="2344"/>
      <c r="BT2798" s="2344"/>
      <c r="BU2798" s="2344"/>
      <c r="BV2798" s="2344"/>
      <c r="BW2798" s="2344"/>
      <c r="BX2798" s="2344"/>
      <c r="BY2798" s="2344"/>
      <c r="BZ2798" s="2344"/>
      <c r="CA2798" s="2344"/>
      <c r="CB2798" s="2344"/>
      <c r="CC2798" s="2344"/>
      <c r="CD2798" s="2344"/>
      <c r="CE2798" s="2344"/>
      <c r="CF2798" s="2344"/>
      <c r="CG2798" s="2344"/>
      <c r="CH2798" s="2344"/>
      <c r="CI2798" s="2344"/>
      <c r="CJ2798" s="2344"/>
      <c r="CK2798" s="2344"/>
      <c r="CL2798" s="2344"/>
      <c r="CM2798" s="2344"/>
      <c r="CN2798" s="2344"/>
      <c r="CO2798" s="2344"/>
      <c r="CP2798" s="2344"/>
      <c r="CQ2798" s="2344"/>
      <c r="CR2798" s="2344"/>
      <c r="CS2798" s="2344"/>
      <c r="CT2798" s="2344"/>
      <c r="CU2798" s="2344"/>
      <c r="CV2798" s="2344"/>
      <c r="CW2798" s="2344"/>
      <c r="CX2798" s="2344"/>
      <c r="CY2798" s="2344"/>
      <c r="CZ2798" s="2344"/>
      <c r="DA2798" s="2344"/>
      <c r="DB2798" s="2344"/>
      <c r="DC2798" s="2344"/>
      <c r="DD2798" s="2344"/>
      <c r="DE2798" s="2344"/>
      <c r="DF2798" s="2344"/>
      <c r="DG2798" s="2344"/>
      <c r="DH2798" s="2344"/>
      <c r="DI2798" s="2344"/>
      <c r="DJ2798" s="2344"/>
      <c r="DK2798" s="2344"/>
      <c r="DL2798" s="2344"/>
    </row>
    <row r="2799">
      <c r="A2799" s="44">
        <v>3032.0</v>
      </c>
      <c r="B2799" s="1322" t="s">
        <v>152</v>
      </c>
      <c r="C2799" s="1588" t="s">
        <v>115</v>
      </c>
      <c r="D2799" s="1588" t="s">
        <v>153</v>
      </c>
      <c r="E2799" s="1572"/>
      <c r="F2799" s="1600" t="s">
        <v>16459</v>
      </c>
      <c r="G2799" s="1592" t="s">
        <v>16520</v>
      </c>
      <c r="H2799" s="1600" t="s">
        <v>15921</v>
      </c>
      <c r="I2799" s="2229">
        <v>45821.0</v>
      </c>
      <c r="J2799" s="2230">
        <v>45847.0</v>
      </c>
      <c r="K2799" s="1592" t="s">
        <v>16474</v>
      </c>
      <c r="L2799" s="1313"/>
      <c r="M2799" s="1592" t="s">
        <v>16462</v>
      </c>
      <c r="N2799" s="1592" t="s">
        <v>16463</v>
      </c>
      <c r="O2799" s="1313"/>
      <c r="P2799" s="1592" t="s">
        <v>16464</v>
      </c>
      <c r="Q2799" s="2331" t="s">
        <v>16465</v>
      </c>
      <c r="R2799" s="1592" t="s">
        <v>16496</v>
      </c>
      <c r="S2799" s="1592" t="s">
        <v>16467</v>
      </c>
      <c r="T2799" s="1313"/>
      <c r="U2799" s="1313"/>
      <c r="V2799" s="1592" t="s">
        <v>16468</v>
      </c>
      <c r="W2799" s="1313"/>
      <c r="X2799" s="2233" t="str">
        <f t="array" ref="X2799"> if(iserror(MATCH(V2799, 'File Links'!C:C, 0)), "N/A", HYPERLINK(INDEX('File Links'!B:B, MATCH(V2799, 'File Links'!C:C, 0))))</f>
        <v>https://drive.google.com/file/d/16V6fX6zed8MKZ53zcmG18UMG8cS5fmS4/view?usp=drivesdk</v>
      </c>
      <c r="Y2799" s="1313"/>
      <c r="Z2799" s="1592" t="s">
        <v>1679</v>
      </c>
      <c r="AA2799" s="1600" t="s">
        <v>16476</v>
      </c>
      <c r="AB2799" s="1592" t="s">
        <v>16477</v>
      </c>
      <c r="AC2799" s="2262" t="s">
        <v>16521</v>
      </c>
      <c r="AD2799" s="1600" t="s">
        <v>16479</v>
      </c>
      <c r="AE2799" s="2265">
        <v>6.0</v>
      </c>
      <c r="AF2799" s="1596">
        <v>485.0</v>
      </c>
      <c r="AG2799" s="2265">
        <v>0.089</v>
      </c>
      <c r="AH2799" s="1592" t="s">
        <v>361</v>
      </c>
      <c r="AI2799" s="2341" t="s">
        <v>16522</v>
      </c>
      <c r="AJ2799" s="2265">
        <v>0.0997</v>
      </c>
      <c r="AK2799" s="1592" t="s">
        <v>172</v>
      </c>
      <c r="AL2799" s="1592" t="s">
        <v>186</v>
      </c>
      <c r="AM2799" s="1592" t="s">
        <v>137</v>
      </c>
      <c r="AN2799" s="1324" t="s">
        <v>138</v>
      </c>
      <c r="AO2799" s="1596">
        <v>285.0</v>
      </c>
      <c r="AP2799" s="1596">
        <v>0.151</v>
      </c>
      <c r="AQ2799" s="1592" t="s">
        <v>361</v>
      </c>
      <c r="AR2799" s="2262" t="s">
        <v>16523</v>
      </c>
      <c r="AS2799" s="2265">
        <v>0.05</v>
      </c>
      <c r="AT2799" s="1592" t="s">
        <v>135</v>
      </c>
      <c r="AU2799" s="1592" t="s">
        <v>186</v>
      </c>
      <c r="AV2799" s="1592" t="s">
        <v>137</v>
      </c>
      <c r="AW2799" s="1592" t="s">
        <v>138</v>
      </c>
      <c r="AX2799" s="1592" t="s">
        <v>143</v>
      </c>
      <c r="AY2799" s="61" t="str">
        <f>IFERROR(__xludf.DUMMYFUNCTION("vlookup(BB2799,importrange(""https://docs.google.com/spreadsheets/d/1d2vevQ_7D_v35q4wCQ4RpQ_IPoTwEMB9Yp6ymwlPqew/edit?gid=984458430#gid=984458430"", ""'replication success'!A:K""), 11, FAlSE)"),"#N/A")</f>
        <v>#N/A</v>
      </c>
      <c r="AZ2799" s="61" t="str">
        <f>IFERROR(__xludf.DUMMYFUNCTION("vlookup(BB2799,importrange(""https://docs.google.com/spreadsheets/d/1d2vevQ_7D_v35q4wCQ4RpQ_IPoTwEMB9Yp6ymwlPqew/edit?gid=984458430#gid=984458430"", ""'replication success'!A:M""), 12, FAlSE)"),"#N/A")</f>
        <v>#N/A</v>
      </c>
      <c r="BA2799" s="61" t="str">
        <f>IFERROR(__xludf.DUMMYFUNCTION("vlookup(BB2799,importrange(""https://docs.google.com/spreadsheets/d/1d2vevQ_7D_v35q4wCQ4RpQ_IPoTwEMB9Yp6ymwlPqew/edit?gid=984458430#gid=984458430"", ""'replication success'!A:M""), 13, FAlSE)"),"#N/A")</f>
        <v>#N/A</v>
      </c>
      <c r="BB2799" s="61" t="str">
        <f>IFERROR(__xludf.DUMMYFUNCTION("REGEXREPLACE(G2799, ""_[a-z]{1,2}$"", """")"),"add_ai60")</f>
        <v>add_ai60</v>
      </c>
      <c r="BC2799" s="1572"/>
      <c r="BD2799" s="1588" t="s">
        <v>13264</v>
      </c>
      <c r="BE2799" s="2344"/>
      <c r="BF2799" s="2344"/>
      <c r="BG2799" s="2344"/>
      <c r="BH2799" s="2344"/>
      <c r="BI2799" s="2344"/>
      <c r="BJ2799" s="2344"/>
      <c r="BK2799" s="2344"/>
      <c r="BL2799" s="2344"/>
      <c r="BM2799" s="2344"/>
      <c r="BN2799" s="2344"/>
      <c r="BO2799" s="2344"/>
      <c r="BP2799" s="2344"/>
      <c r="BQ2799" s="2344"/>
      <c r="BR2799" s="2344"/>
      <c r="BS2799" s="2344"/>
      <c r="BT2799" s="2344"/>
      <c r="BU2799" s="2344"/>
      <c r="BV2799" s="2344"/>
      <c r="BW2799" s="2344"/>
      <c r="BX2799" s="2344"/>
      <c r="BY2799" s="2344"/>
      <c r="BZ2799" s="2344"/>
      <c r="CA2799" s="2344"/>
      <c r="CB2799" s="2344"/>
      <c r="CC2799" s="2344"/>
      <c r="CD2799" s="2344"/>
      <c r="CE2799" s="2344"/>
      <c r="CF2799" s="2344"/>
      <c r="CG2799" s="2344"/>
      <c r="CH2799" s="2344"/>
      <c r="CI2799" s="2344"/>
      <c r="CJ2799" s="2344"/>
      <c r="CK2799" s="2344"/>
      <c r="CL2799" s="2344"/>
      <c r="CM2799" s="2344"/>
      <c r="CN2799" s="2344"/>
      <c r="CO2799" s="2344"/>
      <c r="CP2799" s="2344"/>
      <c r="CQ2799" s="2344"/>
      <c r="CR2799" s="2344"/>
      <c r="CS2799" s="2344"/>
      <c r="CT2799" s="2344"/>
      <c r="CU2799" s="2344"/>
      <c r="CV2799" s="2344"/>
      <c r="CW2799" s="2344"/>
      <c r="CX2799" s="2344"/>
      <c r="CY2799" s="2344"/>
      <c r="CZ2799" s="2344"/>
      <c r="DA2799" s="2344"/>
      <c r="DB2799" s="2344"/>
      <c r="DC2799" s="2344"/>
      <c r="DD2799" s="2344"/>
      <c r="DE2799" s="2344"/>
      <c r="DF2799" s="2344"/>
      <c r="DG2799" s="2344"/>
      <c r="DH2799" s="2344"/>
      <c r="DI2799" s="2344"/>
      <c r="DJ2799" s="2344"/>
      <c r="DK2799" s="2344"/>
      <c r="DL2799" s="2344"/>
    </row>
    <row r="2800">
      <c r="A2800" s="44">
        <v>3058.0</v>
      </c>
      <c r="B2800" s="1322" t="s">
        <v>152</v>
      </c>
      <c r="C2800" s="1588" t="s">
        <v>115</v>
      </c>
      <c r="D2800" s="1588" t="s">
        <v>153</v>
      </c>
      <c r="E2800" s="1572"/>
      <c r="F2800" s="1600" t="s">
        <v>16459</v>
      </c>
      <c r="G2800" s="1592" t="s">
        <v>16524</v>
      </c>
      <c r="H2800" s="1600" t="s">
        <v>15921</v>
      </c>
      <c r="I2800" s="2229">
        <v>45821.0</v>
      </c>
      <c r="J2800" s="2230">
        <v>45847.0</v>
      </c>
      <c r="K2800" s="1592" t="s">
        <v>16483</v>
      </c>
      <c r="L2800" s="1313"/>
      <c r="M2800" s="1592" t="s">
        <v>16462</v>
      </c>
      <c r="N2800" s="1592" t="s">
        <v>16463</v>
      </c>
      <c r="O2800" s="1313"/>
      <c r="P2800" s="1592" t="s">
        <v>16464</v>
      </c>
      <c r="Q2800" s="2331" t="s">
        <v>16465</v>
      </c>
      <c r="R2800" s="1592" t="s">
        <v>16496</v>
      </c>
      <c r="S2800" s="1592" t="s">
        <v>16467</v>
      </c>
      <c r="T2800" s="1313"/>
      <c r="U2800" s="1313"/>
      <c r="V2800" s="1592" t="s">
        <v>16468</v>
      </c>
      <c r="W2800" s="1313"/>
      <c r="X2800" s="2233" t="str">
        <f t="array" ref="X2800"> if(iserror(MATCH(V2800, 'File Links'!C:C, 0)), "N/A", HYPERLINK(INDEX('File Links'!B:B, MATCH(V2800, 'File Links'!C:C, 0))))</f>
        <v>https://drive.google.com/file/d/16V6fX6zed8MKZ53zcmG18UMG8cS5fmS4/view?usp=drivesdk</v>
      </c>
      <c r="Y2800" s="1313"/>
      <c r="Z2800" s="1592" t="s">
        <v>1679</v>
      </c>
      <c r="AA2800" s="1600" t="s">
        <v>16476</v>
      </c>
      <c r="AB2800" s="1592" t="s">
        <v>16477</v>
      </c>
      <c r="AC2800" s="1600" t="s">
        <v>16525</v>
      </c>
      <c r="AD2800" s="1592" t="s">
        <v>16486</v>
      </c>
      <c r="AE2800" s="2265">
        <v>7.0</v>
      </c>
      <c r="AF2800" s="2342">
        <f>485*0.44</f>
        <v>213.4</v>
      </c>
      <c r="AG2800" s="1596">
        <v>0.327</v>
      </c>
      <c r="AH2800" s="1592" t="s">
        <v>361</v>
      </c>
      <c r="AI2800" s="2341" t="s">
        <v>16526</v>
      </c>
      <c r="AJ2800" s="2265">
        <v>2.0E-4</v>
      </c>
      <c r="AK2800" s="1592" t="s">
        <v>172</v>
      </c>
      <c r="AL2800" s="1592" t="s">
        <v>186</v>
      </c>
      <c r="AM2800" s="1592" t="s">
        <v>137</v>
      </c>
      <c r="AN2800" s="1592" t="s">
        <v>138</v>
      </c>
      <c r="AO2800" s="1596">
        <v>285.0</v>
      </c>
      <c r="AP2800" s="2265">
        <v>0.106</v>
      </c>
      <c r="AQ2800" s="1592" t="s">
        <v>361</v>
      </c>
      <c r="AR2800" s="2262" t="s">
        <v>16527</v>
      </c>
      <c r="AS2800" s="1596">
        <v>0.05</v>
      </c>
      <c r="AT2800" s="1592" t="s">
        <v>335</v>
      </c>
      <c r="AU2800" s="1592" t="s">
        <v>186</v>
      </c>
      <c r="AV2800" s="1592" t="s">
        <v>137</v>
      </c>
      <c r="AW2800" s="1592" t="s">
        <v>138</v>
      </c>
      <c r="AX2800" s="1592" t="s">
        <v>143</v>
      </c>
      <c r="AY2800" s="61" t="str">
        <f>IFERROR(__xludf.DUMMYFUNCTION("vlookup(BB2800,importrange(""https://docs.google.com/spreadsheets/d/1d2vevQ_7D_v35q4wCQ4RpQ_IPoTwEMB9Yp6ymwlPqew/edit?gid=984458430#gid=984458430"", ""'replication success'!A:K""), 11, FAlSE)"),"#N/A")</f>
        <v>#N/A</v>
      </c>
      <c r="AZ2800" s="61" t="str">
        <f>IFERROR(__xludf.DUMMYFUNCTION("vlookup(BB2800,importrange(""https://docs.google.com/spreadsheets/d/1d2vevQ_7D_v35q4wCQ4RpQ_IPoTwEMB9Yp6ymwlPqew/edit?gid=984458430#gid=984458430"", ""'replication success'!A:M""), 12, FAlSE)"),"#N/A")</f>
        <v>#N/A</v>
      </c>
      <c r="BA2800" s="61" t="str">
        <f>IFERROR(__xludf.DUMMYFUNCTION("vlookup(BB2800,importrange(""https://docs.google.com/spreadsheets/d/1d2vevQ_7D_v35q4wCQ4RpQ_IPoTwEMB9Yp6ymwlPqew/edit?gid=984458430#gid=984458430"", ""'replication success'!A:M""), 13, FAlSE)"),"#N/A")</f>
        <v>#N/A</v>
      </c>
      <c r="BB2800" s="61" t="str">
        <f>IFERROR(__xludf.DUMMYFUNCTION("REGEXREPLACE(G2800, ""_[a-z]{1,2}$"", """")"),"add_ai60_d2")</f>
        <v>add_ai60_d2</v>
      </c>
      <c r="BC2800" s="1572"/>
      <c r="BD2800" s="1588" t="s">
        <v>13264</v>
      </c>
      <c r="BE2800" s="342"/>
      <c r="BF2800" s="342"/>
      <c r="BG2800" s="342"/>
      <c r="BH2800" s="342"/>
      <c r="BI2800" s="342"/>
      <c r="BJ2800" s="342"/>
      <c r="BK2800" s="342"/>
      <c r="BL2800" s="342"/>
      <c r="BM2800" s="342"/>
      <c r="BN2800" s="342"/>
      <c r="BO2800" s="342"/>
      <c r="BP2800" s="342"/>
      <c r="BQ2800" s="342"/>
      <c r="BR2800" s="342"/>
      <c r="BS2800" s="342"/>
      <c r="BT2800" s="342"/>
      <c r="BU2800" s="342"/>
      <c r="BV2800" s="342"/>
      <c r="BW2800" s="342"/>
      <c r="BX2800" s="342"/>
      <c r="BY2800" s="342"/>
      <c r="BZ2800" s="342"/>
      <c r="CA2800" s="342"/>
      <c r="CB2800" s="342"/>
      <c r="CC2800" s="342"/>
      <c r="CD2800" s="342"/>
      <c r="CE2800" s="342"/>
      <c r="CF2800" s="342"/>
      <c r="CG2800" s="342"/>
      <c r="CH2800" s="342"/>
      <c r="CI2800" s="342"/>
      <c r="CJ2800" s="342"/>
      <c r="CK2800" s="342"/>
      <c r="CL2800" s="342"/>
      <c r="CM2800" s="342"/>
      <c r="CN2800" s="342"/>
      <c r="CO2800" s="342"/>
      <c r="CP2800" s="342"/>
      <c r="CQ2800" s="342"/>
      <c r="CR2800" s="342"/>
      <c r="CS2800" s="342"/>
      <c r="CT2800" s="342"/>
      <c r="CU2800" s="342"/>
      <c r="CV2800" s="342"/>
      <c r="CW2800" s="342"/>
      <c r="CX2800" s="342"/>
      <c r="CY2800" s="342"/>
      <c r="CZ2800" s="342"/>
      <c r="DA2800" s="342"/>
      <c r="DB2800" s="342"/>
      <c r="DC2800" s="342"/>
      <c r="DD2800" s="342"/>
      <c r="DE2800" s="342"/>
      <c r="DF2800" s="342"/>
      <c r="DG2800" s="342"/>
      <c r="DH2800" s="342"/>
      <c r="DI2800" s="342"/>
      <c r="DJ2800" s="342"/>
      <c r="DK2800" s="342"/>
      <c r="DL2800" s="342"/>
    </row>
    <row r="2801">
      <c r="A2801" s="44">
        <v>3084.0</v>
      </c>
      <c r="B2801" s="1322" t="s">
        <v>152</v>
      </c>
      <c r="C2801" s="1588" t="s">
        <v>115</v>
      </c>
      <c r="D2801" s="1588" t="s">
        <v>153</v>
      </c>
      <c r="E2801" s="1572"/>
      <c r="F2801" s="1600" t="s">
        <v>16459</v>
      </c>
      <c r="G2801" s="1592" t="s">
        <v>16528</v>
      </c>
      <c r="H2801" s="1600" t="s">
        <v>15921</v>
      </c>
      <c r="I2801" s="2229">
        <v>45821.0</v>
      </c>
      <c r="J2801" s="2230">
        <v>45847.0</v>
      </c>
      <c r="K2801" s="1592" t="s">
        <v>16483</v>
      </c>
      <c r="L2801" s="1313"/>
      <c r="M2801" s="1592" t="s">
        <v>16462</v>
      </c>
      <c r="N2801" s="1592" t="s">
        <v>16463</v>
      </c>
      <c r="O2801" s="1313"/>
      <c r="P2801" s="1592" t="s">
        <v>16464</v>
      </c>
      <c r="Q2801" s="2331" t="s">
        <v>16465</v>
      </c>
      <c r="R2801" s="1592" t="s">
        <v>16496</v>
      </c>
      <c r="S2801" s="1592" t="s">
        <v>16467</v>
      </c>
      <c r="T2801" s="1313"/>
      <c r="U2801" s="1313"/>
      <c r="V2801" s="1592" t="s">
        <v>16468</v>
      </c>
      <c r="W2801" s="1313"/>
      <c r="X2801" s="2233" t="str">
        <f t="array" ref="X2801"> if(iserror(MATCH(V2801, 'File Links'!C:C, 0)), "N/A", HYPERLINK(INDEX('File Links'!B:B, MATCH(V2801, 'File Links'!C:C, 0))))</f>
        <v>https://drive.google.com/file/d/16V6fX6zed8MKZ53zcmG18UMG8cS5fmS4/view?usp=drivesdk</v>
      </c>
      <c r="Y2801" s="1313"/>
      <c r="Z2801" s="1592" t="s">
        <v>1679</v>
      </c>
      <c r="AA2801" s="1600" t="s">
        <v>16476</v>
      </c>
      <c r="AB2801" s="1592" t="s">
        <v>16477</v>
      </c>
      <c r="AC2801" s="1600" t="s">
        <v>16529</v>
      </c>
      <c r="AD2801" s="1592" t="s">
        <v>16486</v>
      </c>
      <c r="AE2801" s="2265">
        <v>7.0</v>
      </c>
      <c r="AF2801" s="2342">
        <f>485*0.14</f>
        <v>67.9</v>
      </c>
      <c r="AG2801" s="1596">
        <v>0.361</v>
      </c>
      <c r="AH2801" s="1592" t="s">
        <v>361</v>
      </c>
      <c r="AI2801" s="2341" t="s">
        <v>16530</v>
      </c>
      <c r="AJ2801" s="1596">
        <v>0.0403</v>
      </c>
      <c r="AK2801" s="1592" t="s">
        <v>172</v>
      </c>
      <c r="AL2801" s="1592" t="s">
        <v>186</v>
      </c>
      <c r="AM2801" s="1592" t="s">
        <v>137</v>
      </c>
      <c r="AN2801" s="1592" t="s">
        <v>138</v>
      </c>
      <c r="AO2801" s="1596">
        <v>285.0</v>
      </c>
      <c r="AP2801" s="2265">
        <v>0.174</v>
      </c>
      <c r="AQ2801" s="1592" t="s">
        <v>361</v>
      </c>
      <c r="AR2801" s="2262" t="s">
        <v>16531</v>
      </c>
      <c r="AS2801" s="2265">
        <v>0.01</v>
      </c>
      <c r="AT2801" s="1592" t="s">
        <v>135</v>
      </c>
      <c r="AU2801" s="1592" t="s">
        <v>186</v>
      </c>
      <c r="AV2801" s="1592" t="s">
        <v>137</v>
      </c>
      <c r="AW2801" s="1592" t="s">
        <v>138</v>
      </c>
      <c r="AX2801" s="1592" t="s">
        <v>143</v>
      </c>
      <c r="AY2801" s="61" t="str">
        <f>IFERROR(__xludf.DUMMYFUNCTION("vlookup(BB2801,importrange(""https://docs.google.com/spreadsheets/d/1d2vevQ_7D_v35q4wCQ4RpQ_IPoTwEMB9Yp6ymwlPqew/edit?gid=984458430#gid=984458430"", ""'replication success'!A:K""), 11, FAlSE)"),"#N/A")</f>
        <v>#N/A</v>
      </c>
      <c r="AZ2801" s="61" t="str">
        <f>IFERROR(__xludf.DUMMYFUNCTION("vlookup(BB2801,importrange(""https://docs.google.com/spreadsheets/d/1d2vevQ_7D_v35q4wCQ4RpQ_IPoTwEMB9Yp6ymwlPqew/edit?gid=984458430#gid=984458430"", ""'replication success'!A:M""), 12, FAlSE)"),"#N/A")</f>
        <v>#N/A</v>
      </c>
      <c r="BA2801" s="61" t="str">
        <f>IFERROR(__xludf.DUMMYFUNCTION("vlookup(BB2801,importrange(""https://docs.google.com/spreadsheets/d/1d2vevQ_7D_v35q4wCQ4RpQ_IPoTwEMB9Yp6ymwlPqew/edit?gid=984458430#gid=984458430"", ""'replication success'!A:M""), 13, FAlSE)"),"#N/A")</f>
        <v>#N/A</v>
      </c>
      <c r="BB2801" s="61" t="str">
        <f>IFERROR(__xludf.DUMMYFUNCTION("REGEXREPLACE(G2801, ""_[a-z]{1,2}$"", """")"),"add_ai60_d3")</f>
        <v>add_ai60_d3</v>
      </c>
      <c r="BC2801" s="1572"/>
      <c r="BD2801" s="1588" t="s">
        <v>13264</v>
      </c>
      <c r="BE2801" s="342"/>
      <c r="BF2801" s="342"/>
      <c r="BG2801" s="342"/>
      <c r="BH2801" s="342"/>
      <c r="BI2801" s="342"/>
      <c r="BJ2801" s="342"/>
      <c r="BK2801" s="342"/>
      <c r="BL2801" s="342"/>
      <c r="BM2801" s="342"/>
      <c r="BN2801" s="342"/>
      <c r="BO2801" s="342"/>
      <c r="BP2801" s="342"/>
      <c r="BQ2801" s="342"/>
      <c r="BR2801" s="342"/>
      <c r="BS2801" s="342"/>
      <c r="BT2801" s="342"/>
      <c r="BU2801" s="342"/>
      <c r="BV2801" s="342"/>
      <c r="BW2801" s="342"/>
      <c r="BX2801" s="342"/>
      <c r="BY2801" s="342"/>
      <c r="BZ2801" s="342"/>
      <c r="CA2801" s="342"/>
      <c r="CB2801" s="342"/>
      <c r="CC2801" s="342"/>
      <c r="CD2801" s="342"/>
      <c r="CE2801" s="342"/>
      <c r="CF2801" s="342"/>
      <c r="CG2801" s="342"/>
      <c r="CH2801" s="342"/>
      <c r="CI2801" s="342"/>
      <c r="CJ2801" s="342"/>
      <c r="CK2801" s="342"/>
      <c r="CL2801" s="342"/>
      <c r="CM2801" s="342"/>
      <c r="CN2801" s="342"/>
      <c r="CO2801" s="342"/>
      <c r="CP2801" s="342"/>
      <c r="CQ2801" s="342"/>
      <c r="CR2801" s="342"/>
      <c r="CS2801" s="342"/>
      <c r="CT2801" s="342"/>
      <c r="CU2801" s="342"/>
      <c r="CV2801" s="342"/>
      <c r="CW2801" s="342"/>
      <c r="CX2801" s="342"/>
      <c r="CY2801" s="342"/>
      <c r="CZ2801" s="342"/>
      <c r="DA2801" s="342"/>
      <c r="DB2801" s="342"/>
      <c r="DC2801" s="342"/>
      <c r="DD2801" s="342"/>
      <c r="DE2801" s="342"/>
      <c r="DF2801" s="342"/>
      <c r="DG2801" s="342"/>
      <c r="DH2801" s="342"/>
      <c r="DI2801" s="342"/>
      <c r="DJ2801" s="342"/>
      <c r="DK2801" s="342"/>
      <c r="DL2801" s="342"/>
    </row>
    <row r="2802">
      <c r="A2802" s="44">
        <v>3033.0</v>
      </c>
      <c r="B2802" s="1322" t="s">
        <v>152</v>
      </c>
      <c r="C2802" s="1588" t="s">
        <v>115</v>
      </c>
      <c r="D2802" s="1588" t="s">
        <v>153</v>
      </c>
      <c r="E2802" s="1572"/>
      <c r="F2802" s="1600" t="s">
        <v>16459</v>
      </c>
      <c r="G2802" s="1592" t="s">
        <v>16532</v>
      </c>
      <c r="H2802" s="1600" t="s">
        <v>15921</v>
      </c>
      <c r="I2802" s="2229">
        <v>45821.0</v>
      </c>
      <c r="J2802" s="2230">
        <v>45847.0</v>
      </c>
      <c r="K2802" s="1592" t="s">
        <v>16474</v>
      </c>
      <c r="L2802" s="1313"/>
      <c r="M2802" s="1592" t="s">
        <v>16462</v>
      </c>
      <c r="N2802" s="1592" t="s">
        <v>16463</v>
      </c>
      <c r="O2802" s="1313"/>
      <c r="P2802" s="1592" t="s">
        <v>16464</v>
      </c>
      <c r="Q2802" s="2331" t="s">
        <v>16465</v>
      </c>
      <c r="R2802" s="1592" t="s">
        <v>16496</v>
      </c>
      <c r="S2802" s="1592" t="s">
        <v>16467</v>
      </c>
      <c r="T2802" s="1313"/>
      <c r="U2802" s="1313"/>
      <c r="V2802" s="1592" t="s">
        <v>16468</v>
      </c>
      <c r="W2802" s="1313"/>
      <c r="X2802" s="2233" t="str">
        <f t="array" ref="X2802"> if(iserror(MATCH(V2802, 'File Links'!C:C, 0)), "N/A", HYPERLINK(INDEX('File Links'!B:B, MATCH(V2802, 'File Links'!C:C, 0))))</f>
        <v>https://drive.google.com/file/d/16V6fX6zed8MKZ53zcmG18UMG8cS5fmS4/view?usp=drivesdk</v>
      </c>
      <c r="Y2802" s="1313"/>
      <c r="Z2802" s="1592" t="s">
        <v>1679</v>
      </c>
      <c r="AA2802" s="1600" t="s">
        <v>16476</v>
      </c>
      <c r="AB2802" s="1592" t="s">
        <v>16477</v>
      </c>
      <c r="AC2802" s="2262" t="s">
        <v>16533</v>
      </c>
      <c r="AD2802" s="1600" t="s">
        <v>16479</v>
      </c>
      <c r="AE2802" s="2265">
        <v>6.0</v>
      </c>
      <c r="AF2802" s="1596">
        <v>485.0</v>
      </c>
      <c r="AG2802" s="2265">
        <v>0.205</v>
      </c>
      <c r="AH2802" s="1592" t="s">
        <v>361</v>
      </c>
      <c r="AI2802" s="2341" t="s">
        <v>16534</v>
      </c>
      <c r="AJ2802" s="2265">
        <v>2.0E-4</v>
      </c>
      <c r="AK2802" s="1592" t="s">
        <v>172</v>
      </c>
      <c r="AL2802" s="1592" t="s">
        <v>186</v>
      </c>
      <c r="AM2802" s="1592" t="s">
        <v>137</v>
      </c>
      <c r="AN2802" s="1324" t="s">
        <v>138</v>
      </c>
      <c r="AO2802" s="1596">
        <v>285.0</v>
      </c>
      <c r="AP2802" s="1596">
        <v>0.151</v>
      </c>
      <c r="AQ2802" s="1592" t="s">
        <v>361</v>
      </c>
      <c r="AR2802" s="2262" t="s">
        <v>16535</v>
      </c>
      <c r="AS2802" s="2265">
        <v>0.05</v>
      </c>
      <c r="AT2802" s="1592" t="s">
        <v>135</v>
      </c>
      <c r="AU2802" s="1592" t="s">
        <v>186</v>
      </c>
      <c r="AV2802" s="1592" t="s">
        <v>137</v>
      </c>
      <c r="AW2802" s="1592" t="s">
        <v>138</v>
      </c>
      <c r="AX2802" s="1592" t="s">
        <v>143</v>
      </c>
      <c r="AY2802" s="61" t="str">
        <f>IFERROR(__xludf.DUMMYFUNCTION("vlookup(BB2802,importrange(""https://docs.google.com/spreadsheets/d/1d2vevQ_7D_v35q4wCQ4RpQ_IPoTwEMB9Yp6ymwlPqew/edit?gid=984458430#gid=984458430"", ""'replication success'!A:K""), 11, FAlSE)"),"#N/A")</f>
        <v>#N/A</v>
      </c>
      <c r="AZ2802" s="61" t="str">
        <f>IFERROR(__xludf.DUMMYFUNCTION("vlookup(BB2802,importrange(""https://docs.google.com/spreadsheets/d/1d2vevQ_7D_v35q4wCQ4RpQ_IPoTwEMB9Yp6ymwlPqew/edit?gid=984458430#gid=984458430"", ""'replication success'!A:M""), 12, FAlSE)"),"#N/A")</f>
        <v>#N/A</v>
      </c>
      <c r="BA2802" s="61" t="str">
        <f>IFERROR(__xludf.DUMMYFUNCTION("vlookup(BB2802,importrange(""https://docs.google.com/spreadsheets/d/1d2vevQ_7D_v35q4wCQ4RpQ_IPoTwEMB9Yp6ymwlPqew/edit?gid=984458430#gid=984458430"", ""'replication success'!A:M""), 13, FAlSE)"),"#N/A")</f>
        <v>#N/A</v>
      </c>
      <c r="BB2802" s="61" t="str">
        <f>IFERROR(__xludf.DUMMYFUNCTION("REGEXREPLACE(G2802, ""_[a-z]{1,2}$"", """")"),"add_ai60")</f>
        <v>add_ai60</v>
      </c>
      <c r="BC2802" s="1572"/>
      <c r="BD2802" s="1588" t="s">
        <v>13264</v>
      </c>
      <c r="BE2802" s="342"/>
      <c r="BF2802" s="342"/>
      <c r="BG2802" s="342"/>
      <c r="BH2802" s="342"/>
      <c r="BI2802" s="342"/>
      <c r="BJ2802" s="342"/>
      <c r="BK2802" s="342"/>
      <c r="BL2802" s="342"/>
      <c r="BM2802" s="342"/>
      <c r="BN2802" s="342"/>
      <c r="BO2802" s="342"/>
      <c r="BP2802" s="342"/>
      <c r="BQ2802" s="342"/>
      <c r="BR2802" s="342"/>
      <c r="BS2802" s="342"/>
      <c r="BT2802" s="342"/>
      <c r="BU2802" s="342"/>
      <c r="BV2802" s="342"/>
      <c r="BW2802" s="342"/>
      <c r="BX2802" s="342"/>
      <c r="BY2802" s="342"/>
      <c r="BZ2802" s="342"/>
      <c r="CA2802" s="342"/>
      <c r="CB2802" s="342"/>
      <c r="CC2802" s="342"/>
      <c r="CD2802" s="342"/>
      <c r="CE2802" s="342"/>
      <c r="CF2802" s="342"/>
      <c r="CG2802" s="342"/>
      <c r="CH2802" s="342"/>
      <c r="CI2802" s="342"/>
      <c r="CJ2802" s="342"/>
      <c r="CK2802" s="342"/>
      <c r="CL2802" s="342"/>
      <c r="CM2802" s="342"/>
      <c r="CN2802" s="342"/>
      <c r="CO2802" s="342"/>
      <c r="CP2802" s="342"/>
      <c r="CQ2802" s="342"/>
      <c r="CR2802" s="342"/>
      <c r="CS2802" s="342"/>
      <c r="CT2802" s="342"/>
      <c r="CU2802" s="342"/>
      <c r="CV2802" s="342"/>
      <c r="CW2802" s="342"/>
      <c r="CX2802" s="342"/>
      <c r="CY2802" s="342"/>
      <c r="CZ2802" s="342"/>
      <c r="DA2802" s="342"/>
      <c r="DB2802" s="342"/>
      <c r="DC2802" s="342"/>
      <c r="DD2802" s="342"/>
      <c r="DE2802" s="342"/>
      <c r="DF2802" s="342"/>
      <c r="DG2802" s="342"/>
      <c r="DH2802" s="342"/>
      <c r="DI2802" s="342"/>
      <c r="DJ2802" s="342"/>
      <c r="DK2802" s="342"/>
      <c r="DL2802" s="342"/>
    </row>
    <row r="2803">
      <c r="A2803" s="44">
        <v>3059.0</v>
      </c>
      <c r="B2803" s="1322" t="s">
        <v>152</v>
      </c>
      <c r="C2803" s="1588" t="s">
        <v>115</v>
      </c>
      <c r="D2803" s="1588" t="s">
        <v>153</v>
      </c>
      <c r="E2803" s="1572"/>
      <c r="F2803" s="1600" t="s">
        <v>16459</v>
      </c>
      <c r="G2803" s="1592" t="s">
        <v>16536</v>
      </c>
      <c r="H2803" s="1600" t="s">
        <v>15921</v>
      </c>
      <c r="I2803" s="2229">
        <v>45821.0</v>
      </c>
      <c r="J2803" s="2230">
        <v>45847.0</v>
      </c>
      <c r="K2803" s="1592" t="s">
        <v>16483</v>
      </c>
      <c r="L2803" s="1313"/>
      <c r="M2803" s="1592" t="s">
        <v>16462</v>
      </c>
      <c r="N2803" s="1592" t="s">
        <v>16463</v>
      </c>
      <c r="O2803" s="1313"/>
      <c r="P2803" s="1592" t="s">
        <v>16464</v>
      </c>
      <c r="Q2803" s="2331" t="s">
        <v>16465</v>
      </c>
      <c r="R2803" s="1592" t="s">
        <v>16496</v>
      </c>
      <c r="S2803" s="1592" t="s">
        <v>16467</v>
      </c>
      <c r="T2803" s="1313"/>
      <c r="U2803" s="1313"/>
      <c r="V2803" s="1592" t="s">
        <v>16468</v>
      </c>
      <c r="W2803" s="1313"/>
      <c r="X2803" s="2233" t="str">
        <f t="array" ref="X2803"> if(iserror(MATCH(V2803, 'File Links'!C:C, 0)), "N/A", HYPERLINK(INDEX('File Links'!B:B, MATCH(V2803, 'File Links'!C:C, 0))))</f>
        <v>https://drive.google.com/file/d/16V6fX6zed8MKZ53zcmG18UMG8cS5fmS4/view?usp=drivesdk</v>
      </c>
      <c r="Y2803" s="1313"/>
      <c r="Z2803" s="1592" t="s">
        <v>1679</v>
      </c>
      <c r="AA2803" s="1600" t="s">
        <v>16476</v>
      </c>
      <c r="AB2803" s="1592" t="s">
        <v>16477</v>
      </c>
      <c r="AC2803" s="1600" t="s">
        <v>16537</v>
      </c>
      <c r="AD2803" s="1592" t="s">
        <v>16486</v>
      </c>
      <c r="AE2803" s="2265">
        <v>7.0</v>
      </c>
      <c r="AF2803" s="2342">
        <f>485*0.44</f>
        <v>213.4</v>
      </c>
      <c r="AG2803" s="2265">
        <v>0.217</v>
      </c>
      <c r="AH2803" s="1592" t="s">
        <v>361</v>
      </c>
      <c r="AI2803" s="2341" t="s">
        <v>16538</v>
      </c>
      <c r="AJ2803" s="2265">
        <v>0.0244</v>
      </c>
      <c r="AK2803" s="1592" t="s">
        <v>172</v>
      </c>
      <c r="AL2803" s="1592" t="s">
        <v>186</v>
      </c>
      <c r="AM2803" s="1592" t="s">
        <v>137</v>
      </c>
      <c r="AN2803" s="1592" t="s">
        <v>138</v>
      </c>
      <c r="AO2803" s="1596">
        <v>285.0</v>
      </c>
      <c r="AP2803" s="2265">
        <v>0.106</v>
      </c>
      <c r="AQ2803" s="1592" t="s">
        <v>361</v>
      </c>
      <c r="AR2803" s="2262" t="s">
        <v>16539</v>
      </c>
      <c r="AS2803" s="1596">
        <v>0.05</v>
      </c>
      <c r="AT2803" s="1592" t="s">
        <v>335</v>
      </c>
      <c r="AU2803" s="1592" t="s">
        <v>186</v>
      </c>
      <c r="AV2803" s="1592" t="s">
        <v>137</v>
      </c>
      <c r="AW2803" s="1592" t="s">
        <v>138</v>
      </c>
      <c r="AX2803" s="1592" t="s">
        <v>143</v>
      </c>
      <c r="AY2803" s="61" t="str">
        <f>IFERROR(__xludf.DUMMYFUNCTION("vlookup(BB2803,importrange(""https://docs.google.com/spreadsheets/d/1d2vevQ_7D_v35q4wCQ4RpQ_IPoTwEMB9Yp6ymwlPqew/edit?gid=984458430#gid=984458430"", ""'replication success'!A:K""), 11, FAlSE)"),"#N/A")</f>
        <v>#N/A</v>
      </c>
      <c r="AZ2803" s="61" t="str">
        <f>IFERROR(__xludf.DUMMYFUNCTION("vlookup(BB2803,importrange(""https://docs.google.com/spreadsheets/d/1d2vevQ_7D_v35q4wCQ4RpQ_IPoTwEMB9Yp6ymwlPqew/edit?gid=984458430#gid=984458430"", ""'replication success'!A:M""), 12, FAlSE)"),"#N/A")</f>
        <v>#N/A</v>
      </c>
      <c r="BA2803" s="61" t="str">
        <f>IFERROR(__xludf.DUMMYFUNCTION("vlookup(BB2803,importrange(""https://docs.google.com/spreadsheets/d/1d2vevQ_7D_v35q4wCQ4RpQ_IPoTwEMB9Yp6ymwlPqew/edit?gid=984458430#gid=984458430"", ""'replication success'!A:M""), 13, FAlSE)"),"#N/A")</f>
        <v>#N/A</v>
      </c>
      <c r="BB2803" s="61" t="str">
        <f>IFERROR(__xludf.DUMMYFUNCTION("REGEXREPLACE(G2803, ""_[a-z]{1,2}$"", """")"),"add_ai60_e2")</f>
        <v>add_ai60_e2</v>
      </c>
      <c r="BC2803" s="1572"/>
      <c r="BD2803" s="1588" t="s">
        <v>13264</v>
      </c>
      <c r="BE2803" s="342"/>
      <c r="BF2803" s="342"/>
      <c r="BG2803" s="342"/>
      <c r="BH2803" s="342"/>
      <c r="BI2803" s="342"/>
      <c r="BJ2803" s="342"/>
      <c r="BK2803" s="342"/>
      <c r="BL2803" s="342"/>
      <c r="BM2803" s="342"/>
      <c r="BN2803" s="342"/>
      <c r="BO2803" s="342"/>
      <c r="BP2803" s="342"/>
      <c r="BQ2803" s="342"/>
      <c r="BR2803" s="342"/>
      <c r="BS2803" s="342"/>
      <c r="BT2803" s="342"/>
      <c r="BU2803" s="342"/>
      <c r="BV2803" s="342"/>
      <c r="BW2803" s="342"/>
      <c r="BX2803" s="342"/>
      <c r="BY2803" s="342"/>
      <c r="BZ2803" s="342"/>
      <c r="CA2803" s="342"/>
      <c r="CB2803" s="342"/>
      <c r="CC2803" s="342"/>
      <c r="CD2803" s="342"/>
      <c r="CE2803" s="342"/>
      <c r="CF2803" s="342"/>
      <c r="CG2803" s="342"/>
      <c r="CH2803" s="342"/>
      <c r="CI2803" s="342"/>
      <c r="CJ2803" s="342"/>
      <c r="CK2803" s="342"/>
      <c r="CL2803" s="342"/>
      <c r="CM2803" s="342"/>
      <c r="CN2803" s="342"/>
      <c r="CO2803" s="342"/>
      <c r="CP2803" s="342"/>
      <c r="CQ2803" s="342"/>
      <c r="CR2803" s="342"/>
      <c r="CS2803" s="342"/>
      <c r="CT2803" s="342"/>
      <c r="CU2803" s="342"/>
      <c r="CV2803" s="342"/>
      <c r="CW2803" s="342"/>
      <c r="CX2803" s="342"/>
      <c r="CY2803" s="342"/>
      <c r="CZ2803" s="342"/>
      <c r="DA2803" s="342"/>
      <c r="DB2803" s="342"/>
      <c r="DC2803" s="342"/>
      <c r="DD2803" s="342"/>
      <c r="DE2803" s="342"/>
      <c r="DF2803" s="342"/>
      <c r="DG2803" s="342"/>
      <c r="DH2803" s="342"/>
      <c r="DI2803" s="342"/>
      <c r="DJ2803" s="342"/>
      <c r="DK2803" s="342"/>
      <c r="DL2803" s="342"/>
    </row>
    <row r="2804">
      <c r="A2804" s="44">
        <v>3085.0</v>
      </c>
      <c r="B2804" s="1322" t="s">
        <v>152</v>
      </c>
      <c r="C2804" s="1588" t="s">
        <v>115</v>
      </c>
      <c r="D2804" s="1588" t="s">
        <v>153</v>
      </c>
      <c r="E2804" s="1572"/>
      <c r="F2804" s="1600" t="s">
        <v>16459</v>
      </c>
      <c r="G2804" s="1592" t="s">
        <v>16540</v>
      </c>
      <c r="H2804" s="1600" t="s">
        <v>15921</v>
      </c>
      <c r="I2804" s="2229">
        <v>45821.0</v>
      </c>
      <c r="J2804" s="2230">
        <v>45847.0</v>
      </c>
      <c r="K2804" s="1592" t="s">
        <v>16483</v>
      </c>
      <c r="L2804" s="1313"/>
      <c r="M2804" s="1592" t="s">
        <v>16462</v>
      </c>
      <c r="N2804" s="1592" t="s">
        <v>16463</v>
      </c>
      <c r="O2804" s="1313"/>
      <c r="P2804" s="1592" t="s">
        <v>16464</v>
      </c>
      <c r="Q2804" s="2331" t="s">
        <v>16465</v>
      </c>
      <c r="R2804" s="1592" t="s">
        <v>16496</v>
      </c>
      <c r="S2804" s="1592" t="s">
        <v>16467</v>
      </c>
      <c r="T2804" s="1313"/>
      <c r="U2804" s="1313"/>
      <c r="V2804" s="1592" t="s">
        <v>16468</v>
      </c>
      <c r="W2804" s="1313"/>
      <c r="X2804" s="2233" t="str">
        <f t="array" ref="X2804"> if(iserror(MATCH(V2804, 'File Links'!C:C, 0)), "N/A", HYPERLINK(INDEX('File Links'!B:B, MATCH(V2804, 'File Links'!C:C, 0))))</f>
        <v>https://drive.google.com/file/d/16V6fX6zed8MKZ53zcmG18UMG8cS5fmS4/view?usp=drivesdk</v>
      </c>
      <c r="Y2804" s="1313"/>
      <c r="Z2804" s="1592" t="s">
        <v>1679</v>
      </c>
      <c r="AA2804" s="1600" t="s">
        <v>16476</v>
      </c>
      <c r="AB2804" s="1592" t="s">
        <v>16477</v>
      </c>
      <c r="AC2804" s="1600" t="s">
        <v>16541</v>
      </c>
      <c r="AD2804" s="1592" t="s">
        <v>16486</v>
      </c>
      <c r="AE2804" s="2265">
        <v>7.0</v>
      </c>
      <c r="AF2804" s="2342">
        <f>485*0.14</f>
        <v>67.9</v>
      </c>
      <c r="AG2804" s="2265">
        <v>0.329</v>
      </c>
      <c r="AH2804" s="1592" t="s">
        <v>361</v>
      </c>
      <c r="AI2804" s="2341" t="s">
        <v>16542</v>
      </c>
      <c r="AJ2804" s="2265">
        <v>0.0727</v>
      </c>
      <c r="AK2804" s="1592" t="s">
        <v>172</v>
      </c>
      <c r="AL2804" s="1592" t="s">
        <v>186</v>
      </c>
      <c r="AM2804" s="1592" t="s">
        <v>137</v>
      </c>
      <c r="AN2804" s="1592" t="s">
        <v>138</v>
      </c>
      <c r="AO2804" s="1596">
        <v>285.0</v>
      </c>
      <c r="AP2804" s="2265">
        <v>0.174</v>
      </c>
      <c r="AQ2804" s="1592" t="s">
        <v>361</v>
      </c>
      <c r="AR2804" s="2262" t="s">
        <v>16543</v>
      </c>
      <c r="AS2804" s="2265">
        <v>0.01</v>
      </c>
      <c r="AT2804" s="1592" t="s">
        <v>135</v>
      </c>
      <c r="AU2804" s="1592" t="s">
        <v>186</v>
      </c>
      <c r="AV2804" s="1592" t="s">
        <v>137</v>
      </c>
      <c r="AW2804" s="1592" t="s">
        <v>138</v>
      </c>
      <c r="AX2804" s="1592" t="s">
        <v>143</v>
      </c>
      <c r="AY2804" s="61" t="str">
        <f>IFERROR(__xludf.DUMMYFUNCTION("vlookup(BB2804,importrange(""https://docs.google.com/spreadsheets/d/1d2vevQ_7D_v35q4wCQ4RpQ_IPoTwEMB9Yp6ymwlPqew/edit?gid=984458430#gid=984458430"", ""'replication success'!A:K""), 11, FAlSE)"),"#N/A")</f>
        <v>#N/A</v>
      </c>
      <c r="AZ2804" s="61" t="str">
        <f>IFERROR(__xludf.DUMMYFUNCTION("vlookup(BB2804,importrange(""https://docs.google.com/spreadsheets/d/1d2vevQ_7D_v35q4wCQ4RpQ_IPoTwEMB9Yp6ymwlPqew/edit?gid=984458430#gid=984458430"", ""'replication success'!A:M""), 12, FAlSE)"),"#N/A")</f>
        <v>#N/A</v>
      </c>
      <c r="BA2804" s="61" t="str">
        <f>IFERROR(__xludf.DUMMYFUNCTION("vlookup(BB2804,importrange(""https://docs.google.com/spreadsheets/d/1d2vevQ_7D_v35q4wCQ4RpQ_IPoTwEMB9Yp6ymwlPqew/edit?gid=984458430#gid=984458430"", ""'replication success'!A:M""), 13, FAlSE)"),"#N/A")</f>
        <v>#N/A</v>
      </c>
      <c r="BB2804" s="61" t="str">
        <f>IFERROR(__xludf.DUMMYFUNCTION("REGEXREPLACE(G2804, ""_[a-z]{1,2}$"", """")"),"add_ai60_e3")</f>
        <v>add_ai60_e3</v>
      </c>
      <c r="BC2804" s="1572"/>
      <c r="BD2804" s="1588" t="s">
        <v>13264</v>
      </c>
      <c r="BE2804" s="342"/>
      <c r="BF2804" s="342"/>
      <c r="BG2804" s="342"/>
      <c r="BH2804" s="342"/>
      <c r="BI2804" s="342"/>
      <c r="BJ2804" s="342"/>
      <c r="BK2804" s="342"/>
      <c r="BL2804" s="342"/>
      <c r="BM2804" s="342"/>
      <c r="BN2804" s="342"/>
      <c r="BO2804" s="342"/>
      <c r="BP2804" s="342"/>
      <c r="BQ2804" s="342"/>
      <c r="BR2804" s="342"/>
      <c r="BS2804" s="342"/>
      <c r="BT2804" s="342"/>
      <c r="BU2804" s="342"/>
      <c r="BV2804" s="342"/>
      <c r="BW2804" s="342"/>
      <c r="BX2804" s="342"/>
      <c r="BY2804" s="342"/>
      <c r="BZ2804" s="342"/>
      <c r="CA2804" s="342"/>
      <c r="CB2804" s="342"/>
      <c r="CC2804" s="342"/>
      <c r="CD2804" s="342"/>
      <c r="CE2804" s="342"/>
      <c r="CF2804" s="342"/>
      <c r="CG2804" s="342"/>
      <c r="CH2804" s="342"/>
      <c r="CI2804" s="342"/>
      <c r="CJ2804" s="342"/>
      <c r="CK2804" s="342"/>
      <c r="CL2804" s="342"/>
      <c r="CM2804" s="342"/>
      <c r="CN2804" s="342"/>
      <c r="CO2804" s="342"/>
      <c r="CP2804" s="342"/>
      <c r="CQ2804" s="342"/>
      <c r="CR2804" s="342"/>
      <c r="CS2804" s="342"/>
      <c r="CT2804" s="342"/>
      <c r="CU2804" s="342"/>
      <c r="CV2804" s="342"/>
      <c r="CW2804" s="342"/>
      <c r="CX2804" s="342"/>
      <c r="CY2804" s="342"/>
      <c r="CZ2804" s="342"/>
      <c r="DA2804" s="342"/>
      <c r="DB2804" s="342"/>
      <c r="DC2804" s="342"/>
      <c r="DD2804" s="342"/>
      <c r="DE2804" s="342"/>
      <c r="DF2804" s="342"/>
      <c r="DG2804" s="342"/>
      <c r="DH2804" s="342"/>
      <c r="DI2804" s="342"/>
      <c r="DJ2804" s="342"/>
      <c r="DK2804" s="342"/>
      <c r="DL2804" s="342"/>
    </row>
    <row r="2805">
      <c r="A2805" s="44">
        <v>3034.0</v>
      </c>
      <c r="B2805" s="1322" t="s">
        <v>152</v>
      </c>
      <c r="C2805" s="1588" t="s">
        <v>115</v>
      </c>
      <c r="D2805" s="1588" t="s">
        <v>153</v>
      </c>
      <c r="E2805" s="1572"/>
      <c r="F2805" s="1600" t="s">
        <v>16459</v>
      </c>
      <c r="G2805" s="1592" t="s">
        <v>16544</v>
      </c>
      <c r="H2805" s="1600" t="s">
        <v>15921</v>
      </c>
      <c r="I2805" s="2229">
        <v>45821.0</v>
      </c>
      <c r="J2805" s="2230">
        <v>45847.0</v>
      </c>
      <c r="K2805" s="1592" t="s">
        <v>16474</v>
      </c>
      <c r="L2805" s="1313"/>
      <c r="M2805" s="1592" t="s">
        <v>16462</v>
      </c>
      <c r="N2805" s="1592" t="s">
        <v>16463</v>
      </c>
      <c r="O2805" s="1313"/>
      <c r="P2805" s="1592" t="s">
        <v>16464</v>
      </c>
      <c r="Q2805" s="2331" t="s">
        <v>16465</v>
      </c>
      <c r="R2805" s="1592" t="s">
        <v>16496</v>
      </c>
      <c r="S2805" s="1592" t="s">
        <v>16467</v>
      </c>
      <c r="T2805" s="1313"/>
      <c r="U2805" s="1313"/>
      <c r="V2805" s="1592" t="s">
        <v>16468</v>
      </c>
      <c r="W2805" s="1313"/>
      <c r="X2805" s="2233" t="str">
        <f t="array" ref="X2805"> if(iserror(MATCH(V2805, 'File Links'!C:C, 0)), "N/A", HYPERLINK(INDEX('File Links'!B:B, MATCH(V2805, 'File Links'!C:C, 0))))</f>
        <v>https://drive.google.com/file/d/16V6fX6zed8MKZ53zcmG18UMG8cS5fmS4/view?usp=drivesdk</v>
      </c>
      <c r="Y2805" s="1313"/>
      <c r="Z2805" s="1592" t="s">
        <v>1679</v>
      </c>
      <c r="AA2805" s="1600" t="s">
        <v>16476</v>
      </c>
      <c r="AB2805" s="1592" t="s">
        <v>16477</v>
      </c>
      <c r="AC2805" s="1600" t="s">
        <v>16545</v>
      </c>
      <c r="AD2805" s="1600" t="s">
        <v>16479</v>
      </c>
      <c r="AE2805" s="2265">
        <v>6.0</v>
      </c>
      <c r="AF2805" s="1596">
        <v>485.0</v>
      </c>
      <c r="AG2805" s="2265">
        <v>0.21</v>
      </c>
      <c r="AH2805" s="1592" t="s">
        <v>361</v>
      </c>
      <c r="AI2805" s="2341" t="s">
        <v>16546</v>
      </c>
      <c r="AJ2805" s="1596">
        <v>0.0015</v>
      </c>
      <c r="AK2805" s="1592" t="s">
        <v>172</v>
      </c>
      <c r="AL2805" s="1592" t="s">
        <v>186</v>
      </c>
      <c r="AM2805" s="1592" t="s">
        <v>137</v>
      </c>
      <c r="AN2805" s="1324" t="s">
        <v>138</v>
      </c>
      <c r="AO2805" s="1596">
        <v>285.0</v>
      </c>
      <c r="AP2805" s="2265">
        <v>0.283</v>
      </c>
      <c r="AQ2805" s="1592" t="s">
        <v>361</v>
      </c>
      <c r="AR2805" s="2262" t="s">
        <v>16547</v>
      </c>
      <c r="AS2805" s="2265">
        <v>0.001</v>
      </c>
      <c r="AT2805" s="1592" t="s">
        <v>135</v>
      </c>
      <c r="AU2805" s="1592" t="s">
        <v>186</v>
      </c>
      <c r="AV2805" s="1592" t="s">
        <v>137</v>
      </c>
      <c r="AW2805" s="1592" t="s">
        <v>138</v>
      </c>
      <c r="AX2805" s="1592" t="s">
        <v>143</v>
      </c>
      <c r="AY2805" s="61" t="str">
        <f>IFERROR(__xludf.DUMMYFUNCTION("vlookup(BB2805,importrange(""https://docs.google.com/spreadsheets/d/1d2vevQ_7D_v35q4wCQ4RpQ_IPoTwEMB9Yp6ymwlPqew/edit?gid=984458430#gid=984458430"", ""'replication success'!A:K""), 11, FAlSE)"),"#N/A")</f>
        <v>#N/A</v>
      </c>
      <c r="AZ2805" s="61" t="str">
        <f>IFERROR(__xludf.DUMMYFUNCTION("vlookup(BB2805,importrange(""https://docs.google.com/spreadsheets/d/1d2vevQ_7D_v35q4wCQ4RpQ_IPoTwEMB9Yp6ymwlPqew/edit?gid=984458430#gid=984458430"", ""'replication success'!A:M""), 12, FAlSE)"),"#N/A")</f>
        <v>#N/A</v>
      </c>
      <c r="BA2805" s="61" t="str">
        <f>IFERROR(__xludf.DUMMYFUNCTION("vlookup(BB2805,importrange(""https://docs.google.com/spreadsheets/d/1d2vevQ_7D_v35q4wCQ4RpQ_IPoTwEMB9Yp6ymwlPqew/edit?gid=984458430#gid=984458430"", ""'replication success'!A:M""), 13, FAlSE)"),"#N/A")</f>
        <v>#N/A</v>
      </c>
      <c r="BB2805" s="61" t="str">
        <f>IFERROR(__xludf.DUMMYFUNCTION("REGEXREPLACE(G2805, ""_[a-z]{1,2}$"", """")"),"add_ai60")</f>
        <v>add_ai60</v>
      </c>
      <c r="BC2805" s="1572"/>
      <c r="BD2805" s="1588" t="s">
        <v>13264</v>
      </c>
      <c r="BE2805" s="342"/>
      <c r="BF2805" s="342"/>
      <c r="BG2805" s="342"/>
      <c r="BH2805" s="342"/>
      <c r="BI2805" s="342"/>
      <c r="BJ2805" s="342"/>
      <c r="BK2805" s="342"/>
      <c r="BL2805" s="342"/>
      <c r="BM2805" s="342"/>
      <c r="BN2805" s="342"/>
      <c r="BO2805" s="342"/>
      <c r="BP2805" s="342"/>
      <c r="BQ2805" s="342"/>
      <c r="BR2805" s="342"/>
      <c r="BS2805" s="342"/>
      <c r="BT2805" s="342"/>
      <c r="BU2805" s="342"/>
      <c r="BV2805" s="342"/>
      <c r="BW2805" s="342"/>
      <c r="BX2805" s="342"/>
      <c r="BY2805" s="342"/>
      <c r="BZ2805" s="342"/>
      <c r="CA2805" s="342"/>
      <c r="CB2805" s="342"/>
      <c r="CC2805" s="342"/>
      <c r="CD2805" s="342"/>
      <c r="CE2805" s="342"/>
      <c r="CF2805" s="342"/>
      <c r="CG2805" s="342"/>
      <c r="CH2805" s="342"/>
      <c r="CI2805" s="342"/>
      <c r="CJ2805" s="342"/>
      <c r="CK2805" s="342"/>
      <c r="CL2805" s="342"/>
      <c r="CM2805" s="342"/>
      <c r="CN2805" s="342"/>
      <c r="CO2805" s="342"/>
      <c r="CP2805" s="342"/>
      <c r="CQ2805" s="342"/>
      <c r="CR2805" s="342"/>
      <c r="CS2805" s="342"/>
      <c r="CT2805" s="342"/>
      <c r="CU2805" s="342"/>
      <c r="CV2805" s="342"/>
      <c r="CW2805" s="342"/>
      <c r="CX2805" s="342"/>
      <c r="CY2805" s="342"/>
      <c r="CZ2805" s="342"/>
      <c r="DA2805" s="342"/>
      <c r="DB2805" s="342"/>
      <c r="DC2805" s="342"/>
      <c r="DD2805" s="342"/>
      <c r="DE2805" s="342"/>
      <c r="DF2805" s="342"/>
      <c r="DG2805" s="342"/>
      <c r="DH2805" s="342"/>
      <c r="DI2805" s="342"/>
      <c r="DJ2805" s="342"/>
      <c r="DK2805" s="342"/>
      <c r="DL2805" s="342"/>
    </row>
    <row r="2806">
      <c r="A2806" s="44">
        <v>3060.0</v>
      </c>
      <c r="B2806" s="1322" t="s">
        <v>152</v>
      </c>
      <c r="C2806" s="1588" t="s">
        <v>115</v>
      </c>
      <c r="D2806" s="1588" t="s">
        <v>153</v>
      </c>
      <c r="E2806" s="1572"/>
      <c r="F2806" s="1600" t="s">
        <v>16459</v>
      </c>
      <c r="G2806" s="1592" t="s">
        <v>16548</v>
      </c>
      <c r="H2806" s="1600" t="s">
        <v>15921</v>
      </c>
      <c r="I2806" s="2229">
        <v>45821.0</v>
      </c>
      <c r="J2806" s="2230">
        <v>45847.0</v>
      </c>
      <c r="K2806" s="1592" t="s">
        <v>16483</v>
      </c>
      <c r="L2806" s="1313"/>
      <c r="M2806" s="1592" t="s">
        <v>16462</v>
      </c>
      <c r="N2806" s="1592" t="s">
        <v>16463</v>
      </c>
      <c r="O2806" s="1313"/>
      <c r="P2806" s="1592" t="s">
        <v>16464</v>
      </c>
      <c r="Q2806" s="2331" t="s">
        <v>16465</v>
      </c>
      <c r="R2806" s="1592" t="s">
        <v>16496</v>
      </c>
      <c r="S2806" s="1592" t="s">
        <v>16467</v>
      </c>
      <c r="T2806" s="1313"/>
      <c r="U2806" s="1313"/>
      <c r="V2806" s="1592" t="s">
        <v>16468</v>
      </c>
      <c r="W2806" s="1313"/>
      <c r="X2806" s="2233" t="str">
        <f t="array" ref="X2806"> if(iserror(MATCH(V2806, 'File Links'!C:C, 0)), "N/A", HYPERLINK(INDEX('File Links'!B:B, MATCH(V2806, 'File Links'!C:C, 0))))</f>
        <v>https://drive.google.com/file/d/16V6fX6zed8MKZ53zcmG18UMG8cS5fmS4/view?usp=drivesdk</v>
      </c>
      <c r="Y2806" s="1313"/>
      <c r="Z2806" s="1592" t="s">
        <v>1679</v>
      </c>
      <c r="AA2806" s="1600" t="s">
        <v>16476</v>
      </c>
      <c r="AB2806" s="1592" t="s">
        <v>16477</v>
      </c>
      <c r="AC2806" s="1600" t="s">
        <v>16549</v>
      </c>
      <c r="AD2806" s="1592" t="s">
        <v>16486</v>
      </c>
      <c r="AE2806" s="2265">
        <v>7.0</v>
      </c>
      <c r="AF2806" s="2342">
        <f>485*0.44</f>
        <v>213.4</v>
      </c>
      <c r="AG2806" s="2265">
        <v>0.225</v>
      </c>
      <c r="AH2806" s="1592" t="s">
        <v>361</v>
      </c>
      <c r="AI2806" s="2341" t="s">
        <v>16550</v>
      </c>
      <c r="AJ2806" s="2265">
        <v>0.0368</v>
      </c>
      <c r="AK2806" s="1592" t="s">
        <v>172</v>
      </c>
      <c r="AL2806" s="1592" t="s">
        <v>186</v>
      </c>
      <c r="AM2806" s="1592" t="s">
        <v>137</v>
      </c>
      <c r="AN2806" s="1592" t="s">
        <v>138</v>
      </c>
      <c r="AO2806" s="1596">
        <v>285.0</v>
      </c>
      <c r="AP2806" s="2265">
        <v>0.106</v>
      </c>
      <c r="AQ2806" s="1592" t="s">
        <v>361</v>
      </c>
      <c r="AR2806" s="2262" t="s">
        <v>16551</v>
      </c>
      <c r="AS2806" s="1596">
        <v>0.05</v>
      </c>
      <c r="AT2806" s="1592" t="s">
        <v>335</v>
      </c>
      <c r="AU2806" s="1592" t="s">
        <v>186</v>
      </c>
      <c r="AV2806" s="1592" t="s">
        <v>137</v>
      </c>
      <c r="AW2806" s="1592" t="s">
        <v>138</v>
      </c>
      <c r="AX2806" s="1592" t="s">
        <v>143</v>
      </c>
      <c r="AY2806" s="61" t="str">
        <f>IFERROR(__xludf.DUMMYFUNCTION("vlookup(BB2806,importrange(""https://docs.google.com/spreadsheets/d/1d2vevQ_7D_v35q4wCQ4RpQ_IPoTwEMB9Yp6ymwlPqew/edit?gid=984458430#gid=984458430"", ""'replication success'!A:K""), 11, FAlSE)"),"#N/A")</f>
        <v>#N/A</v>
      </c>
      <c r="AZ2806" s="61" t="str">
        <f>IFERROR(__xludf.DUMMYFUNCTION("vlookup(BB2806,importrange(""https://docs.google.com/spreadsheets/d/1d2vevQ_7D_v35q4wCQ4RpQ_IPoTwEMB9Yp6ymwlPqew/edit?gid=984458430#gid=984458430"", ""'replication success'!A:M""), 12, FAlSE)"),"#N/A")</f>
        <v>#N/A</v>
      </c>
      <c r="BA2806" s="61" t="str">
        <f>IFERROR(__xludf.DUMMYFUNCTION("vlookup(BB2806,importrange(""https://docs.google.com/spreadsheets/d/1d2vevQ_7D_v35q4wCQ4RpQ_IPoTwEMB9Yp6ymwlPqew/edit?gid=984458430#gid=984458430"", ""'replication success'!A:M""), 13, FAlSE)"),"#N/A")</f>
        <v>#N/A</v>
      </c>
      <c r="BB2806" s="61" t="str">
        <f>IFERROR(__xludf.DUMMYFUNCTION("REGEXREPLACE(G2806, ""_[a-z]{1,2}$"", """")"),"add_ai60_f2")</f>
        <v>add_ai60_f2</v>
      </c>
      <c r="BC2806" s="1572"/>
      <c r="BD2806" s="1588" t="s">
        <v>13264</v>
      </c>
      <c r="BE2806" s="342"/>
      <c r="BF2806" s="342"/>
      <c r="BG2806" s="342"/>
      <c r="BH2806" s="342"/>
      <c r="BI2806" s="342"/>
      <c r="BJ2806" s="342"/>
      <c r="BK2806" s="342"/>
      <c r="BL2806" s="342"/>
      <c r="BM2806" s="342"/>
      <c r="BN2806" s="342"/>
      <c r="BO2806" s="342"/>
      <c r="BP2806" s="342"/>
      <c r="BQ2806" s="342"/>
      <c r="BR2806" s="342"/>
      <c r="BS2806" s="342"/>
      <c r="BT2806" s="342"/>
      <c r="BU2806" s="342"/>
      <c r="BV2806" s="342"/>
      <c r="BW2806" s="342"/>
      <c r="BX2806" s="342"/>
      <c r="BY2806" s="342"/>
      <c r="BZ2806" s="342"/>
      <c r="CA2806" s="342"/>
      <c r="CB2806" s="342"/>
      <c r="CC2806" s="342"/>
      <c r="CD2806" s="342"/>
      <c r="CE2806" s="342"/>
      <c r="CF2806" s="342"/>
      <c r="CG2806" s="342"/>
      <c r="CH2806" s="342"/>
      <c r="CI2806" s="342"/>
      <c r="CJ2806" s="342"/>
      <c r="CK2806" s="342"/>
      <c r="CL2806" s="342"/>
      <c r="CM2806" s="342"/>
      <c r="CN2806" s="342"/>
      <c r="CO2806" s="342"/>
      <c r="CP2806" s="342"/>
      <c r="CQ2806" s="342"/>
      <c r="CR2806" s="342"/>
      <c r="CS2806" s="342"/>
      <c r="CT2806" s="342"/>
      <c r="CU2806" s="342"/>
      <c r="CV2806" s="342"/>
      <c r="CW2806" s="342"/>
      <c r="CX2806" s="342"/>
      <c r="CY2806" s="342"/>
      <c r="CZ2806" s="342"/>
      <c r="DA2806" s="342"/>
      <c r="DB2806" s="342"/>
      <c r="DC2806" s="342"/>
      <c r="DD2806" s="342"/>
      <c r="DE2806" s="342"/>
      <c r="DF2806" s="342"/>
      <c r="DG2806" s="342"/>
      <c r="DH2806" s="342"/>
      <c r="DI2806" s="342"/>
      <c r="DJ2806" s="342"/>
      <c r="DK2806" s="342"/>
      <c r="DL2806" s="342"/>
    </row>
    <row r="2807">
      <c r="A2807" s="44">
        <v>3086.0</v>
      </c>
      <c r="B2807" s="1322" t="s">
        <v>152</v>
      </c>
      <c r="C2807" s="1588" t="s">
        <v>115</v>
      </c>
      <c r="D2807" s="1588" t="s">
        <v>153</v>
      </c>
      <c r="E2807" s="1572"/>
      <c r="F2807" s="1600" t="s">
        <v>16459</v>
      </c>
      <c r="G2807" s="1592" t="s">
        <v>16552</v>
      </c>
      <c r="H2807" s="1600" t="s">
        <v>15921</v>
      </c>
      <c r="I2807" s="2229">
        <v>45821.0</v>
      </c>
      <c r="J2807" s="2230">
        <v>45847.0</v>
      </c>
      <c r="K2807" s="1592" t="s">
        <v>16483</v>
      </c>
      <c r="L2807" s="1313"/>
      <c r="M2807" s="1592" t="s">
        <v>16462</v>
      </c>
      <c r="N2807" s="1592" t="s">
        <v>16463</v>
      </c>
      <c r="O2807" s="1313"/>
      <c r="P2807" s="1592" t="s">
        <v>16464</v>
      </c>
      <c r="Q2807" s="2331" t="s">
        <v>16465</v>
      </c>
      <c r="R2807" s="1592" t="s">
        <v>16496</v>
      </c>
      <c r="S2807" s="1592" t="s">
        <v>16467</v>
      </c>
      <c r="T2807" s="1313"/>
      <c r="U2807" s="1313"/>
      <c r="V2807" s="1592" t="s">
        <v>16468</v>
      </c>
      <c r="W2807" s="1313"/>
      <c r="X2807" s="2233" t="str">
        <f t="array" ref="X2807"> if(iserror(MATCH(V2807, 'File Links'!C:C, 0)), "N/A", HYPERLINK(INDEX('File Links'!B:B, MATCH(V2807, 'File Links'!C:C, 0))))</f>
        <v>https://drive.google.com/file/d/16V6fX6zed8MKZ53zcmG18UMG8cS5fmS4/view?usp=drivesdk</v>
      </c>
      <c r="Y2807" s="1313"/>
      <c r="Z2807" s="1592" t="s">
        <v>1679</v>
      </c>
      <c r="AA2807" s="1600" t="s">
        <v>16476</v>
      </c>
      <c r="AB2807" s="1592" t="s">
        <v>16477</v>
      </c>
      <c r="AC2807" s="2262" t="s">
        <v>16553</v>
      </c>
      <c r="AD2807" s="1592" t="s">
        <v>16486</v>
      </c>
      <c r="AE2807" s="2265">
        <v>7.0</v>
      </c>
      <c r="AF2807" s="2342">
        <f>485*0.14</f>
        <v>67.9</v>
      </c>
      <c r="AG2807" s="2265">
        <v>0.318</v>
      </c>
      <c r="AH2807" s="1592" t="s">
        <v>361</v>
      </c>
      <c r="AI2807" s="2341" t="s">
        <v>16554</v>
      </c>
      <c r="AJ2807" s="2265">
        <v>0.0029</v>
      </c>
      <c r="AK2807" s="1592" t="s">
        <v>172</v>
      </c>
      <c r="AL2807" s="1592" t="s">
        <v>186</v>
      </c>
      <c r="AM2807" s="1592" t="s">
        <v>137</v>
      </c>
      <c r="AN2807" s="1592" t="s">
        <v>138</v>
      </c>
      <c r="AO2807" s="1596">
        <v>285.0</v>
      </c>
      <c r="AP2807" s="1596">
        <v>0.151</v>
      </c>
      <c r="AQ2807" s="1592" t="s">
        <v>361</v>
      </c>
      <c r="AR2807" s="2262" t="s">
        <v>16555</v>
      </c>
      <c r="AS2807" s="2265">
        <v>0.05</v>
      </c>
      <c r="AT2807" s="1592" t="s">
        <v>135</v>
      </c>
      <c r="AU2807" s="1592" t="s">
        <v>186</v>
      </c>
      <c r="AV2807" s="1592" t="s">
        <v>137</v>
      </c>
      <c r="AW2807" s="1592" t="s">
        <v>138</v>
      </c>
      <c r="AX2807" s="1592" t="s">
        <v>143</v>
      </c>
      <c r="AY2807" s="61" t="str">
        <f>IFERROR(__xludf.DUMMYFUNCTION("vlookup(BB2807,importrange(""https://docs.google.com/spreadsheets/d/1d2vevQ_7D_v35q4wCQ4RpQ_IPoTwEMB9Yp6ymwlPqew/edit?gid=984458430#gid=984458430"", ""'replication success'!A:K""), 11, FAlSE)"),"#N/A")</f>
        <v>#N/A</v>
      </c>
      <c r="AZ2807" s="61" t="str">
        <f>IFERROR(__xludf.DUMMYFUNCTION("vlookup(BB2807,importrange(""https://docs.google.com/spreadsheets/d/1d2vevQ_7D_v35q4wCQ4RpQ_IPoTwEMB9Yp6ymwlPqew/edit?gid=984458430#gid=984458430"", ""'replication success'!A:M""), 12, FAlSE)"),"#N/A")</f>
        <v>#N/A</v>
      </c>
      <c r="BA2807" s="61" t="str">
        <f>IFERROR(__xludf.DUMMYFUNCTION("vlookup(BB2807,importrange(""https://docs.google.com/spreadsheets/d/1d2vevQ_7D_v35q4wCQ4RpQ_IPoTwEMB9Yp6ymwlPqew/edit?gid=984458430#gid=984458430"", ""'replication success'!A:M""), 13, FAlSE)"),"#N/A")</f>
        <v>#N/A</v>
      </c>
      <c r="BB2807" s="61" t="str">
        <f>IFERROR(__xludf.DUMMYFUNCTION("REGEXREPLACE(G2807, ""_[a-z]{1,2}$"", """")"),"add_ai60_f3")</f>
        <v>add_ai60_f3</v>
      </c>
      <c r="BC2807" s="1572"/>
      <c r="BD2807" s="1588" t="s">
        <v>13264</v>
      </c>
      <c r="BE2807" s="342"/>
      <c r="BF2807" s="342"/>
      <c r="BG2807" s="342"/>
      <c r="BH2807" s="342"/>
      <c r="BI2807" s="342"/>
      <c r="BJ2807" s="342"/>
      <c r="BK2807" s="342"/>
      <c r="BL2807" s="342"/>
      <c r="BM2807" s="342"/>
      <c r="BN2807" s="342"/>
      <c r="BO2807" s="342"/>
      <c r="BP2807" s="342"/>
      <c r="BQ2807" s="342"/>
      <c r="BR2807" s="342"/>
      <c r="BS2807" s="342"/>
      <c r="BT2807" s="342"/>
      <c r="BU2807" s="342"/>
      <c r="BV2807" s="342"/>
      <c r="BW2807" s="342"/>
      <c r="BX2807" s="342"/>
      <c r="BY2807" s="342"/>
      <c r="BZ2807" s="342"/>
      <c r="CA2807" s="342"/>
      <c r="CB2807" s="342"/>
      <c r="CC2807" s="342"/>
      <c r="CD2807" s="342"/>
      <c r="CE2807" s="342"/>
      <c r="CF2807" s="342"/>
      <c r="CG2807" s="342"/>
      <c r="CH2807" s="342"/>
      <c r="CI2807" s="342"/>
      <c r="CJ2807" s="342"/>
      <c r="CK2807" s="342"/>
      <c r="CL2807" s="342"/>
      <c r="CM2807" s="342"/>
      <c r="CN2807" s="342"/>
      <c r="CO2807" s="342"/>
      <c r="CP2807" s="342"/>
      <c r="CQ2807" s="342"/>
      <c r="CR2807" s="342"/>
      <c r="CS2807" s="342"/>
      <c r="CT2807" s="342"/>
      <c r="CU2807" s="342"/>
      <c r="CV2807" s="342"/>
      <c r="CW2807" s="342"/>
      <c r="CX2807" s="342"/>
      <c r="CY2807" s="342"/>
      <c r="CZ2807" s="342"/>
      <c r="DA2807" s="342"/>
      <c r="DB2807" s="342"/>
      <c r="DC2807" s="342"/>
      <c r="DD2807" s="342"/>
      <c r="DE2807" s="342"/>
      <c r="DF2807" s="342"/>
      <c r="DG2807" s="342"/>
      <c r="DH2807" s="342"/>
      <c r="DI2807" s="342"/>
      <c r="DJ2807" s="342"/>
      <c r="DK2807" s="342"/>
      <c r="DL2807" s="342"/>
    </row>
    <row r="2808">
      <c r="A2808" s="44">
        <v>3035.0</v>
      </c>
      <c r="B2808" s="1322" t="s">
        <v>152</v>
      </c>
      <c r="C2808" s="1588" t="s">
        <v>115</v>
      </c>
      <c r="D2808" s="1588" t="s">
        <v>153</v>
      </c>
      <c r="E2808" s="1572"/>
      <c r="F2808" s="1600" t="s">
        <v>16459</v>
      </c>
      <c r="G2808" s="1592" t="s">
        <v>16556</v>
      </c>
      <c r="H2808" s="1600" t="s">
        <v>15921</v>
      </c>
      <c r="I2808" s="2229">
        <v>45821.0</v>
      </c>
      <c r="J2808" s="2230">
        <v>45847.0</v>
      </c>
      <c r="K2808" s="1592" t="s">
        <v>16474</v>
      </c>
      <c r="L2808" s="1313"/>
      <c r="M2808" s="1592" t="s">
        <v>16462</v>
      </c>
      <c r="N2808" s="1592" t="s">
        <v>16463</v>
      </c>
      <c r="O2808" s="1313"/>
      <c r="P2808" s="1592" t="s">
        <v>16464</v>
      </c>
      <c r="Q2808" s="2331" t="s">
        <v>16465</v>
      </c>
      <c r="R2808" s="1592" t="s">
        <v>16496</v>
      </c>
      <c r="S2808" s="1592" t="s">
        <v>16467</v>
      </c>
      <c r="T2808" s="1313"/>
      <c r="U2808" s="1313"/>
      <c r="V2808" s="1592" t="s">
        <v>16468</v>
      </c>
      <c r="W2808" s="1313"/>
      <c r="X2808" s="2233" t="str">
        <f t="array" ref="X2808"> if(iserror(MATCH(V2808, 'File Links'!C:C, 0)), "N/A", HYPERLINK(INDEX('File Links'!B:B, MATCH(V2808, 'File Links'!C:C, 0))))</f>
        <v>https://drive.google.com/file/d/16V6fX6zed8MKZ53zcmG18UMG8cS5fmS4/view?usp=drivesdk</v>
      </c>
      <c r="Y2808" s="1313"/>
      <c r="Z2808" s="1592" t="s">
        <v>1679</v>
      </c>
      <c r="AA2808" s="1600" t="s">
        <v>16476</v>
      </c>
      <c r="AB2808" s="1592" t="s">
        <v>16477</v>
      </c>
      <c r="AC2808" s="2262" t="s">
        <v>16557</v>
      </c>
      <c r="AD2808" s="1600" t="s">
        <v>16479</v>
      </c>
      <c r="AE2808" s="2265">
        <v>6.0</v>
      </c>
      <c r="AF2808" s="1596">
        <v>485.0</v>
      </c>
      <c r="AG2808" s="2265">
        <v>0.126</v>
      </c>
      <c r="AH2808" s="1592" t="s">
        <v>361</v>
      </c>
      <c r="AI2808" s="2341" t="s">
        <v>16558</v>
      </c>
      <c r="AJ2808" s="2265">
        <v>0.0214</v>
      </c>
      <c r="AK2808" s="1592" t="s">
        <v>172</v>
      </c>
      <c r="AL2808" s="1592" t="s">
        <v>186</v>
      </c>
      <c r="AM2808" s="1592" t="s">
        <v>137</v>
      </c>
      <c r="AN2808" s="1324" t="s">
        <v>138</v>
      </c>
      <c r="AO2808" s="1596">
        <v>285.0</v>
      </c>
      <c r="AP2808" s="1596">
        <v>0.135</v>
      </c>
      <c r="AQ2808" s="1592" t="s">
        <v>361</v>
      </c>
      <c r="AR2808" s="2262" t="s">
        <v>16559</v>
      </c>
      <c r="AS2808" s="1596">
        <v>0.05</v>
      </c>
      <c r="AT2808" s="1592" t="s">
        <v>135</v>
      </c>
      <c r="AU2808" s="1592" t="s">
        <v>186</v>
      </c>
      <c r="AV2808" s="1592" t="s">
        <v>137</v>
      </c>
      <c r="AW2808" s="1592" t="s">
        <v>138</v>
      </c>
      <c r="AX2808" s="1592" t="s">
        <v>143</v>
      </c>
      <c r="AY2808" s="61" t="str">
        <f>IFERROR(__xludf.DUMMYFUNCTION("vlookup(BB2808,importrange(""https://docs.google.com/spreadsheets/d/1d2vevQ_7D_v35q4wCQ4RpQ_IPoTwEMB9Yp6ymwlPqew/edit?gid=984458430#gid=984458430"", ""'replication success'!A:K""), 11, FAlSE)"),"#N/A")</f>
        <v>#N/A</v>
      </c>
      <c r="AZ2808" s="61" t="str">
        <f>IFERROR(__xludf.DUMMYFUNCTION("vlookup(BB2808,importrange(""https://docs.google.com/spreadsheets/d/1d2vevQ_7D_v35q4wCQ4RpQ_IPoTwEMB9Yp6ymwlPqew/edit?gid=984458430#gid=984458430"", ""'replication success'!A:M""), 12, FAlSE)"),"#N/A")</f>
        <v>#N/A</v>
      </c>
      <c r="BA2808" s="61" t="str">
        <f>IFERROR(__xludf.DUMMYFUNCTION("vlookup(BB2808,importrange(""https://docs.google.com/spreadsheets/d/1d2vevQ_7D_v35q4wCQ4RpQ_IPoTwEMB9Yp6ymwlPqew/edit?gid=984458430#gid=984458430"", ""'replication success'!A:M""), 13, FAlSE)"),"#N/A")</f>
        <v>#N/A</v>
      </c>
      <c r="BB2808" s="61" t="str">
        <f>IFERROR(__xludf.DUMMYFUNCTION("REGEXREPLACE(G2808, ""_[a-z]{1,2}$"", """")"),"add_ai60")</f>
        <v>add_ai60</v>
      </c>
      <c r="BC2808" s="1572"/>
      <c r="BD2808" s="1588" t="s">
        <v>13264</v>
      </c>
      <c r="BE2808" s="342"/>
      <c r="BF2808" s="342"/>
      <c r="BG2808" s="342"/>
      <c r="BH2808" s="342"/>
      <c r="BI2808" s="342"/>
      <c r="BJ2808" s="342"/>
      <c r="BK2808" s="342"/>
      <c r="BL2808" s="342"/>
      <c r="BM2808" s="342"/>
      <c r="BN2808" s="342"/>
      <c r="BO2808" s="342"/>
      <c r="BP2808" s="342"/>
      <c r="BQ2808" s="342"/>
      <c r="BR2808" s="342"/>
      <c r="BS2808" s="342"/>
      <c r="BT2808" s="342"/>
      <c r="BU2808" s="342"/>
      <c r="BV2808" s="342"/>
      <c r="BW2808" s="342"/>
      <c r="BX2808" s="342"/>
      <c r="BY2808" s="342"/>
      <c r="BZ2808" s="342"/>
      <c r="CA2808" s="342"/>
      <c r="CB2808" s="342"/>
      <c r="CC2808" s="342"/>
      <c r="CD2808" s="342"/>
      <c r="CE2808" s="342"/>
      <c r="CF2808" s="342"/>
      <c r="CG2808" s="342"/>
      <c r="CH2808" s="342"/>
      <c r="CI2808" s="342"/>
      <c r="CJ2808" s="342"/>
      <c r="CK2808" s="342"/>
      <c r="CL2808" s="342"/>
      <c r="CM2808" s="342"/>
      <c r="CN2808" s="342"/>
      <c r="CO2808" s="342"/>
      <c r="CP2808" s="342"/>
      <c r="CQ2808" s="342"/>
      <c r="CR2808" s="342"/>
      <c r="CS2808" s="342"/>
      <c r="CT2808" s="342"/>
      <c r="CU2808" s="342"/>
      <c r="CV2808" s="342"/>
      <c r="CW2808" s="342"/>
      <c r="CX2808" s="342"/>
      <c r="CY2808" s="342"/>
      <c r="CZ2808" s="342"/>
      <c r="DA2808" s="342"/>
      <c r="DB2808" s="342"/>
      <c r="DC2808" s="342"/>
      <c r="DD2808" s="342"/>
      <c r="DE2808" s="342"/>
      <c r="DF2808" s="342"/>
      <c r="DG2808" s="342"/>
      <c r="DH2808" s="342"/>
      <c r="DI2808" s="342"/>
      <c r="DJ2808" s="342"/>
      <c r="DK2808" s="342"/>
      <c r="DL2808" s="342"/>
    </row>
    <row r="2809">
      <c r="A2809" s="44">
        <v>3061.0</v>
      </c>
      <c r="B2809" s="1322" t="s">
        <v>152</v>
      </c>
      <c r="C2809" s="1588" t="s">
        <v>115</v>
      </c>
      <c r="D2809" s="1588" t="s">
        <v>153</v>
      </c>
      <c r="E2809" s="1572"/>
      <c r="F2809" s="1600" t="s">
        <v>16459</v>
      </c>
      <c r="G2809" s="1592" t="s">
        <v>16560</v>
      </c>
      <c r="H2809" s="1600" t="s">
        <v>15921</v>
      </c>
      <c r="I2809" s="2229">
        <v>45821.0</v>
      </c>
      <c r="J2809" s="2230">
        <v>45847.0</v>
      </c>
      <c r="K2809" s="1592" t="s">
        <v>16483</v>
      </c>
      <c r="L2809" s="1313"/>
      <c r="M2809" s="1592" t="s">
        <v>16462</v>
      </c>
      <c r="N2809" s="1592" t="s">
        <v>16463</v>
      </c>
      <c r="O2809" s="1313"/>
      <c r="P2809" s="1592" t="s">
        <v>16464</v>
      </c>
      <c r="Q2809" s="2331" t="s">
        <v>16465</v>
      </c>
      <c r="R2809" s="1592" t="s">
        <v>16496</v>
      </c>
      <c r="S2809" s="1592" t="s">
        <v>16467</v>
      </c>
      <c r="T2809" s="1313"/>
      <c r="U2809" s="1313"/>
      <c r="V2809" s="1592" t="s">
        <v>16468</v>
      </c>
      <c r="W2809" s="1313"/>
      <c r="X2809" s="2233" t="str">
        <f t="array" ref="X2809"> if(iserror(MATCH(V2809, 'File Links'!C:C, 0)), "N/A", HYPERLINK(INDEX('File Links'!B:B, MATCH(V2809, 'File Links'!C:C, 0))))</f>
        <v>https://drive.google.com/file/d/16V6fX6zed8MKZ53zcmG18UMG8cS5fmS4/view?usp=drivesdk</v>
      </c>
      <c r="Y2809" s="1313"/>
      <c r="Z2809" s="1592" t="s">
        <v>1679</v>
      </c>
      <c r="AA2809" s="1600" t="s">
        <v>16476</v>
      </c>
      <c r="AB2809" s="1592" t="s">
        <v>16477</v>
      </c>
      <c r="AC2809" s="1600" t="s">
        <v>16561</v>
      </c>
      <c r="AD2809" s="1592" t="s">
        <v>16486</v>
      </c>
      <c r="AE2809" s="2265">
        <v>7.0</v>
      </c>
      <c r="AF2809" s="2342">
        <f>485*0.44</f>
        <v>213.4</v>
      </c>
      <c r="AG2809" s="2265">
        <v>0.249</v>
      </c>
      <c r="AH2809" s="1592" t="s">
        <v>361</v>
      </c>
      <c r="AI2809" s="2341" t="s">
        <v>16562</v>
      </c>
      <c r="AJ2809" s="2265">
        <v>0.0139</v>
      </c>
      <c r="AK2809" s="1592" t="s">
        <v>172</v>
      </c>
      <c r="AL2809" s="1592" t="s">
        <v>186</v>
      </c>
      <c r="AM2809" s="1592" t="s">
        <v>137</v>
      </c>
      <c r="AN2809" s="1592" t="s">
        <v>138</v>
      </c>
      <c r="AO2809" s="1596">
        <v>285.0</v>
      </c>
      <c r="AP2809" s="1596">
        <v>0.267</v>
      </c>
      <c r="AQ2809" s="1592" t="s">
        <v>361</v>
      </c>
      <c r="AR2809" s="2262" t="s">
        <v>16563</v>
      </c>
      <c r="AS2809" s="1596">
        <v>0.001</v>
      </c>
      <c r="AT2809" s="1592" t="s">
        <v>135</v>
      </c>
      <c r="AU2809" s="1592" t="s">
        <v>186</v>
      </c>
      <c r="AV2809" s="1592" t="s">
        <v>137</v>
      </c>
      <c r="AW2809" s="1592" t="s">
        <v>138</v>
      </c>
      <c r="AX2809" s="1592" t="s">
        <v>143</v>
      </c>
      <c r="AY2809" s="61" t="str">
        <f>IFERROR(__xludf.DUMMYFUNCTION("vlookup(BB2809,importrange(""https://docs.google.com/spreadsheets/d/1d2vevQ_7D_v35q4wCQ4RpQ_IPoTwEMB9Yp6ymwlPqew/edit?gid=984458430#gid=984458430"", ""'replication success'!A:K""), 11, FAlSE)"),"#N/A")</f>
        <v>#N/A</v>
      </c>
      <c r="AZ2809" s="61" t="str">
        <f>IFERROR(__xludf.DUMMYFUNCTION("vlookup(BB2809,importrange(""https://docs.google.com/spreadsheets/d/1d2vevQ_7D_v35q4wCQ4RpQ_IPoTwEMB9Yp6ymwlPqew/edit?gid=984458430#gid=984458430"", ""'replication success'!A:M""), 12, FAlSE)"),"#N/A")</f>
        <v>#N/A</v>
      </c>
      <c r="BA2809" s="61" t="str">
        <f>IFERROR(__xludf.DUMMYFUNCTION("vlookup(BB2809,importrange(""https://docs.google.com/spreadsheets/d/1d2vevQ_7D_v35q4wCQ4RpQ_IPoTwEMB9Yp6ymwlPqew/edit?gid=984458430#gid=984458430"", ""'replication success'!A:M""), 13, FAlSE)"),"#N/A")</f>
        <v>#N/A</v>
      </c>
      <c r="BB2809" s="61" t="str">
        <f>IFERROR(__xludf.DUMMYFUNCTION("REGEXREPLACE(G2809, ""_[a-z]{1,2}$"", """")"),"add_ai60_g2")</f>
        <v>add_ai60_g2</v>
      </c>
      <c r="BC2809" s="1572"/>
      <c r="BD2809" s="1588" t="s">
        <v>13264</v>
      </c>
      <c r="BE2809" s="342"/>
      <c r="BF2809" s="342"/>
      <c r="BG2809" s="342"/>
      <c r="BH2809" s="342"/>
      <c r="BI2809" s="342"/>
      <c r="BJ2809" s="342"/>
      <c r="BK2809" s="342"/>
      <c r="BL2809" s="342"/>
      <c r="BM2809" s="342"/>
      <c r="BN2809" s="342"/>
      <c r="BO2809" s="342"/>
      <c r="BP2809" s="342"/>
      <c r="BQ2809" s="342"/>
      <c r="BR2809" s="342"/>
      <c r="BS2809" s="342"/>
      <c r="BT2809" s="342"/>
      <c r="BU2809" s="342"/>
      <c r="BV2809" s="342"/>
      <c r="BW2809" s="342"/>
      <c r="BX2809" s="342"/>
      <c r="BY2809" s="342"/>
      <c r="BZ2809" s="342"/>
      <c r="CA2809" s="342"/>
      <c r="CB2809" s="342"/>
      <c r="CC2809" s="342"/>
      <c r="CD2809" s="342"/>
      <c r="CE2809" s="342"/>
      <c r="CF2809" s="342"/>
      <c r="CG2809" s="342"/>
      <c r="CH2809" s="342"/>
      <c r="CI2809" s="342"/>
      <c r="CJ2809" s="342"/>
      <c r="CK2809" s="342"/>
      <c r="CL2809" s="342"/>
      <c r="CM2809" s="342"/>
      <c r="CN2809" s="342"/>
      <c r="CO2809" s="342"/>
      <c r="CP2809" s="342"/>
      <c r="CQ2809" s="342"/>
      <c r="CR2809" s="342"/>
      <c r="CS2809" s="342"/>
      <c r="CT2809" s="342"/>
      <c r="CU2809" s="342"/>
      <c r="CV2809" s="342"/>
      <c r="CW2809" s="342"/>
      <c r="CX2809" s="342"/>
      <c r="CY2809" s="342"/>
      <c r="CZ2809" s="342"/>
      <c r="DA2809" s="342"/>
      <c r="DB2809" s="342"/>
      <c r="DC2809" s="342"/>
      <c r="DD2809" s="342"/>
      <c r="DE2809" s="342"/>
      <c r="DF2809" s="342"/>
      <c r="DG2809" s="342"/>
      <c r="DH2809" s="342"/>
      <c r="DI2809" s="342"/>
      <c r="DJ2809" s="342"/>
      <c r="DK2809" s="342"/>
      <c r="DL2809" s="342"/>
    </row>
    <row r="2810">
      <c r="A2810" s="44">
        <v>3087.0</v>
      </c>
      <c r="B2810" s="1322" t="s">
        <v>152</v>
      </c>
      <c r="C2810" s="1588" t="s">
        <v>115</v>
      </c>
      <c r="D2810" s="1588" t="s">
        <v>153</v>
      </c>
      <c r="E2810" s="1572"/>
      <c r="F2810" s="1600" t="s">
        <v>16459</v>
      </c>
      <c r="G2810" s="1592" t="s">
        <v>16564</v>
      </c>
      <c r="H2810" s="1600" t="s">
        <v>15921</v>
      </c>
      <c r="I2810" s="2229">
        <v>45821.0</v>
      </c>
      <c r="J2810" s="2230">
        <v>45847.0</v>
      </c>
      <c r="K2810" s="1592" t="s">
        <v>16483</v>
      </c>
      <c r="L2810" s="1313"/>
      <c r="M2810" s="1592" t="s">
        <v>16462</v>
      </c>
      <c r="N2810" s="1592" t="s">
        <v>16463</v>
      </c>
      <c r="O2810" s="1313"/>
      <c r="P2810" s="1592" t="s">
        <v>16464</v>
      </c>
      <c r="Q2810" s="2331" t="s">
        <v>16465</v>
      </c>
      <c r="R2810" s="1592" t="s">
        <v>16496</v>
      </c>
      <c r="S2810" s="1592" t="s">
        <v>16467</v>
      </c>
      <c r="T2810" s="1313"/>
      <c r="U2810" s="1313"/>
      <c r="V2810" s="1592" t="s">
        <v>16468</v>
      </c>
      <c r="W2810" s="1313"/>
      <c r="X2810" s="2233" t="str">
        <f t="array" ref="X2810"> if(iserror(MATCH(V2810, 'File Links'!C:C, 0)), "N/A", HYPERLINK(INDEX('File Links'!B:B, MATCH(V2810, 'File Links'!C:C, 0))))</f>
        <v>https://drive.google.com/file/d/16V6fX6zed8MKZ53zcmG18UMG8cS5fmS4/view?usp=drivesdk</v>
      </c>
      <c r="Y2810" s="1313"/>
      <c r="Z2810" s="1592" t="s">
        <v>1679</v>
      </c>
      <c r="AA2810" s="1600" t="s">
        <v>16476</v>
      </c>
      <c r="AB2810" s="1592" t="s">
        <v>16477</v>
      </c>
      <c r="AC2810" s="2262" t="s">
        <v>16565</v>
      </c>
      <c r="AD2810" s="1592" t="s">
        <v>16486</v>
      </c>
      <c r="AE2810" s="2265">
        <v>7.0</v>
      </c>
      <c r="AF2810" s="2342">
        <f>485*0.14</f>
        <v>67.9</v>
      </c>
      <c r="AG2810" s="2265">
        <v>0.384</v>
      </c>
      <c r="AH2810" s="1592" t="s">
        <v>361</v>
      </c>
      <c r="AI2810" s="2341" t="s">
        <v>16566</v>
      </c>
      <c r="AJ2810" s="2265">
        <v>0.001</v>
      </c>
      <c r="AK2810" s="1592" t="s">
        <v>172</v>
      </c>
      <c r="AL2810" s="1592" t="s">
        <v>186</v>
      </c>
      <c r="AM2810" s="1592" t="s">
        <v>137</v>
      </c>
      <c r="AN2810" s="1592" t="s">
        <v>138</v>
      </c>
      <c r="AO2810" s="1596">
        <v>285.0</v>
      </c>
      <c r="AP2810" s="1596">
        <v>0.151</v>
      </c>
      <c r="AQ2810" s="1592" t="s">
        <v>361</v>
      </c>
      <c r="AR2810" s="2262" t="s">
        <v>16567</v>
      </c>
      <c r="AS2810" s="2265">
        <v>0.05</v>
      </c>
      <c r="AT2810" s="1592" t="s">
        <v>135</v>
      </c>
      <c r="AU2810" s="1592" t="s">
        <v>186</v>
      </c>
      <c r="AV2810" s="1592" t="s">
        <v>137</v>
      </c>
      <c r="AW2810" s="1592" t="s">
        <v>138</v>
      </c>
      <c r="AX2810" s="1592" t="s">
        <v>143</v>
      </c>
      <c r="AY2810" s="61" t="str">
        <f>IFERROR(__xludf.DUMMYFUNCTION("vlookup(BB2810,importrange(""https://docs.google.com/spreadsheets/d/1d2vevQ_7D_v35q4wCQ4RpQ_IPoTwEMB9Yp6ymwlPqew/edit?gid=984458430#gid=984458430"", ""'replication success'!A:K""), 11, FAlSE)"),"#N/A")</f>
        <v>#N/A</v>
      </c>
      <c r="AZ2810" s="61" t="str">
        <f>IFERROR(__xludf.DUMMYFUNCTION("vlookup(BB2810,importrange(""https://docs.google.com/spreadsheets/d/1d2vevQ_7D_v35q4wCQ4RpQ_IPoTwEMB9Yp6ymwlPqew/edit?gid=984458430#gid=984458430"", ""'replication success'!A:M""), 12, FAlSE)"),"#N/A")</f>
        <v>#N/A</v>
      </c>
      <c r="BA2810" s="61" t="str">
        <f>IFERROR(__xludf.DUMMYFUNCTION("vlookup(BB2810,importrange(""https://docs.google.com/spreadsheets/d/1d2vevQ_7D_v35q4wCQ4RpQ_IPoTwEMB9Yp6ymwlPqew/edit?gid=984458430#gid=984458430"", ""'replication success'!A:M""), 13, FAlSE)"),"#N/A")</f>
        <v>#N/A</v>
      </c>
      <c r="BB2810" s="61" t="str">
        <f>IFERROR(__xludf.DUMMYFUNCTION("REGEXREPLACE(G2810, ""_[a-z]{1,2}$"", """")"),"add_ai60_g3")</f>
        <v>add_ai60_g3</v>
      </c>
      <c r="BC2810" s="1572"/>
      <c r="BD2810" s="1588" t="s">
        <v>13264</v>
      </c>
      <c r="BE2810" s="342"/>
      <c r="BF2810" s="342"/>
      <c r="BG2810" s="342"/>
      <c r="BH2810" s="342"/>
      <c r="BI2810" s="342"/>
      <c r="BJ2810" s="342"/>
      <c r="BK2810" s="342"/>
      <c r="BL2810" s="342"/>
      <c r="BM2810" s="342"/>
      <c r="BN2810" s="342"/>
      <c r="BO2810" s="342"/>
      <c r="BP2810" s="342"/>
      <c r="BQ2810" s="342"/>
      <c r="BR2810" s="342"/>
      <c r="BS2810" s="342"/>
      <c r="BT2810" s="342"/>
      <c r="BU2810" s="342"/>
      <c r="BV2810" s="342"/>
      <c r="BW2810" s="342"/>
      <c r="BX2810" s="342"/>
      <c r="BY2810" s="342"/>
      <c r="BZ2810" s="342"/>
      <c r="CA2810" s="342"/>
      <c r="CB2810" s="342"/>
      <c r="CC2810" s="342"/>
      <c r="CD2810" s="342"/>
      <c r="CE2810" s="342"/>
      <c r="CF2810" s="342"/>
      <c r="CG2810" s="342"/>
      <c r="CH2810" s="342"/>
      <c r="CI2810" s="342"/>
      <c r="CJ2810" s="342"/>
      <c r="CK2810" s="342"/>
      <c r="CL2810" s="342"/>
      <c r="CM2810" s="342"/>
      <c r="CN2810" s="342"/>
      <c r="CO2810" s="342"/>
      <c r="CP2810" s="342"/>
      <c r="CQ2810" s="342"/>
      <c r="CR2810" s="342"/>
      <c r="CS2810" s="342"/>
      <c r="CT2810" s="342"/>
      <c r="CU2810" s="342"/>
      <c r="CV2810" s="342"/>
      <c r="CW2810" s="342"/>
      <c r="CX2810" s="342"/>
      <c r="CY2810" s="342"/>
      <c r="CZ2810" s="342"/>
      <c r="DA2810" s="342"/>
      <c r="DB2810" s="342"/>
      <c r="DC2810" s="342"/>
      <c r="DD2810" s="342"/>
      <c r="DE2810" s="342"/>
      <c r="DF2810" s="342"/>
      <c r="DG2810" s="342"/>
      <c r="DH2810" s="342"/>
      <c r="DI2810" s="342"/>
      <c r="DJ2810" s="342"/>
      <c r="DK2810" s="342"/>
      <c r="DL2810" s="342"/>
    </row>
    <row r="2811">
      <c r="A2811" s="44">
        <v>3036.0</v>
      </c>
      <c r="B2811" s="1322" t="s">
        <v>152</v>
      </c>
      <c r="C2811" s="1588" t="s">
        <v>115</v>
      </c>
      <c r="D2811" s="1588" t="s">
        <v>153</v>
      </c>
      <c r="E2811" s="1572"/>
      <c r="F2811" s="1600" t="s">
        <v>16459</v>
      </c>
      <c r="G2811" s="1592" t="s">
        <v>16568</v>
      </c>
      <c r="H2811" s="1600" t="s">
        <v>15921</v>
      </c>
      <c r="I2811" s="2229">
        <v>45821.0</v>
      </c>
      <c r="J2811" s="2230">
        <v>45847.0</v>
      </c>
      <c r="K2811" s="1592" t="s">
        <v>16474</v>
      </c>
      <c r="L2811" s="1313"/>
      <c r="M2811" s="1592" t="s">
        <v>16462</v>
      </c>
      <c r="N2811" s="1592" t="s">
        <v>16463</v>
      </c>
      <c r="O2811" s="1313"/>
      <c r="P2811" s="1592" t="s">
        <v>16464</v>
      </c>
      <c r="Q2811" s="2331" t="s">
        <v>16465</v>
      </c>
      <c r="R2811" s="1592" t="s">
        <v>16496</v>
      </c>
      <c r="S2811" s="1592" t="s">
        <v>16467</v>
      </c>
      <c r="T2811" s="1313"/>
      <c r="U2811" s="1313"/>
      <c r="V2811" s="1592" t="s">
        <v>16468</v>
      </c>
      <c r="W2811" s="1313"/>
      <c r="X2811" s="2233" t="str">
        <f t="array" ref="X2811"> if(iserror(MATCH(V2811, 'File Links'!C:C, 0)), "N/A", HYPERLINK(INDEX('File Links'!B:B, MATCH(V2811, 'File Links'!C:C, 0))))</f>
        <v>https://drive.google.com/file/d/16V6fX6zed8MKZ53zcmG18UMG8cS5fmS4/view?usp=drivesdk</v>
      </c>
      <c r="Y2811" s="1313"/>
      <c r="Z2811" s="1592" t="s">
        <v>1679</v>
      </c>
      <c r="AA2811" s="1600" t="s">
        <v>16476</v>
      </c>
      <c r="AB2811" s="1592" t="s">
        <v>16477</v>
      </c>
      <c r="AC2811" s="1600" t="s">
        <v>16569</v>
      </c>
      <c r="AD2811" s="1600" t="s">
        <v>16479</v>
      </c>
      <c r="AE2811" s="2265">
        <v>6.0</v>
      </c>
      <c r="AF2811" s="1596">
        <v>485.0</v>
      </c>
      <c r="AG2811" s="2265">
        <v>0.201</v>
      </c>
      <c r="AH2811" s="1592" t="s">
        <v>361</v>
      </c>
      <c r="AI2811" s="2341" t="s">
        <v>16570</v>
      </c>
      <c r="AJ2811" s="1324">
        <v>0.0041</v>
      </c>
      <c r="AK2811" s="2337" t="s">
        <v>172</v>
      </c>
      <c r="AL2811" s="1592" t="s">
        <v>186</v>
      </c>
      <c r="AM2811" s="1592" t="s">
        <v>137</v>
      </c>
      <c r="AN2811" s="1324" t="s">
        <v>138</v>
      </c>
      <c r="AO2811" s="1596">
        <v>285.0</v>
      </c>
      <c r="AP2811" s="1596">
        <v>0.236</v>
      </c>
      <c r="AQ2811" s="1592" t="s">
        <v>361</v>
      </c>
      <c r="AR2811" s="2262" t="s">
        <v>16571</v>
      </c>
      <c r="AS2811" s="1596">
        <v>0.001</v>
      </c>
      <c r="AT2811" s="1592" t="s">
        <v>135</v>
      </c>
      <c r="AU2811" s="1592" t="s">
        <v>186</v>
      </c>
      <c r="AV2811" s="1592" t="s">
        <v>137</v>
      </c>
      <c r="AW2811" s="1592" t="s">
        <v>138</v>
      </c>
      <c r="AX2811" s="1592" t="s">
        <v>143</v>
      </c>
      <c r="AY2811" s="61" t="str">
        <f>IFERROR(__xludf.DUMMYFUNCTION("vlookup(BB2811,importrange(""https://docs.google.com/spreadsheets/d/1d2vevQ_7D_v35q4wCQ4RpQ_IPoTwEMB9Yp6ymwlPqew/edit?gid=984458430#gid=984458430"", ""'replication success'!A:K""), 11, FAlSE)"),"#N/A")</f>
        <v>#N/A</v>
      </c>
      <c r="AZ2811" s="61" t="str">
        <f>IFERROR(__xludf.DUMMYFUNCTION("vlookup(BB2811,importrange(""https://docs.google.com/spreadsheets/d/1d2vevQ_7D_v35q4wCQ4RpQ_IPoTwEMB9Yp6ymwlPqew/edit?gid=984458430#gid=984458430"", ""'replication success'!A:M""), 12, FAlSE)"),"#N/A")</f>
        <v>#N/A</v>
      </c>
      <c r="BA2811" s="61" t="str">
        <f>IFERROR(__xludf.DUMMYFUNCTION("vlookup(BB2811,importrange(""https://docs.google.com/spreadsheets/d/1d2vevQ_7D_v35q4wCQ4RpQ_IPoTwEMB9Yp6ymwlPqew/edit?gid=984458430#gid=984458430"", ""'replication success'!A:M""), 13, FAlSE)"),"#N/A")</f>
        <v>#N/A</v>
      </c>
      <c r="BB2811" s="61" t="str">
        <f>IFERROR(__xludf.DUMMYFUNCTION("REGEXREPLACE(G2811, ""_[a-z]{1,2}$"", """")"),"add_ai60")</f>
        <v>add_ai60</v>
      </c>
      <c r="BC2811" s="1572"/>
      <c r="BD2811" s="1588" t="s">
        <v>13264</v>
      </c>
      <c r="BE2811" s="342"/>
      <c r="BF2811" s="342"/>
      <c r="BG2811" s="342"/>
      <c r="BH2811" s="342"/>
      <c r="BI2811" s="342"/>
      <c r="BJ2811" s="342"/>
      <c r="BK2811" s="342"/>
      <c r="BL2811" s="342"/>
      <c r="BM2811" s="342"/>
      <c r="BN2811" s="342"/>
      <c r="BO2811" s="342"/>
      <c r="BP2811" s="342"/>
      <c r="BQ2811" s="342"/>
      <c r="BR2811" s="342"/>
      <c r="BS2811" s="342"/>
      <c r="BT2811" s="342"/>
      <c r="BU2811" s="342"/>
      <c r="BV2811" s="342"/>
      <c r="BW2811" s="342"/>
      <c r="BX2811" s="342"/>
      <c r="BY2811" s="342"/>
      <c r="BZ2811" s="342"/>
      <c r="CA2811" s="342"/>
      <c r="CB2811" s="342"/>
      <c r="CC2811" s="342"/>
      <c r="CD2811" s="342"/>
      <c r="CE2811" s="342"/>
      <c r="CF2811" s="342"/>
      <c r="CG2811" s="342"/>
      <c r="CH2811" s="342"/>
      <c r="CI2811" s="342"/>
      <c r="CJ2811" s="342"/>
      <c r="CK2811" s="342"/>
      <c r="CL2811" s="342"/>
      <c r="CM2811" s="342"/>
      <c r="CN2811" s="342"/>
      <c r="CO2811" s="342"/>
      <c r="CP2811" s="342"/>
      <c r="CQ2811" s="342"/>
      <c r="CR2811" s="342"/>
      <c r="CS2811" s="342"/>
      <c r="CT2811" s="342"/>
      <c r="CU2811" s="342"/>
      <c r="CV2811" s="342"/>
      <c r="CW2811" s="342"/>
      <c r="CX2811" s="342"/>
      <c r="CY2811" s="342"/>
      <c r="CZ2811" s="342"/>
      <c r="DA2811" s="342"/>
      <c r="DB2811" s="342"/>
      <c r="DC2811" s="342"/>
      <c r="DD2811" s="342"/>
      <c r="DE2811" s="342"/>
      <c r="DF2811" s="342"/>
      <c r="DG2811" s="342"/>
      <c r="DH2811" s="342"/>
      <c r="DI2811" s="342"/>
      <c r="DJ2811" s="342"/>
      <c r="DK2811" s="342"/>
      <c r="DL2811" s="342"/>
    </row>
    <row r="2812">
      <c r="A2812" s="44">
        <v>3062.0</v>
      </c>
      <c r="B2812" s="1322" t="s">
        <v>152</v>
      </c>
      <c r="C2812" s="1588" t="s">
        <v>115</v>
      </c>
      <c r="D2812" s="1588" t="s">
        <v>153</v>
      </c>
      <c r="E2812" s="1572"/>
      <c r="F2812" s="1600" t="s">
        <v>16459</v>
      </c>
      <c r="G2812" s="1592" t="s">
        <v>16572</v>
      </c>
      <c r="H2812" s="1600" t="s">
        <v>15921</v>
      </c>
      <c r="I2812" s="2229">
        <v>45821.0</v>
      </c>
      <c r="J2812" s="2230">
        <v>45847.0</v>
      </c>
      <c r="K2812" s="1592" t="s">
        <v>16483</v>
      </c>
      <c r="L2812" s="1313"/>
      <c r="M2812" s="1592" t="s">
        <v>16462</v>
      </c>
      <c r="N2812" s="1592" t="s">
        <v>16463</v>
      </c>
      <c r="O2812" s="1313"/>
      <c r="P2812" s="1592" t="s">
        <v>16464</v>
      </c>
      <c r="Q2812" s="2331" t="s">
        <v>16465</v>
      </c>
      <c r="R2812" s="1592" t="s">
        <v>16496</v>
      </c>
      <c r="S2812" s="1592" t="s">
        <v>16467</v>
      </c>
      <c r="T2812" s="1313"/>
      <c r="U2812" s="1313"/>
      <c r="V2812" s="1592" t="s">
        <v>16468</v>
      </c>
      <c r="W2812" s="1313"/>
      <c r="X2812" s="2233" t="str">
        <f t="array" ref="X2812"> if(iserror(MATCH(V2812, 'File Links'!C:C, 0)), "N/A", HYPERLINK(INDEX('File Links'!B:B, MATCH(V2812, 'File Links'!C:C, 0))))</f>
        <v>https://drive.google.com/file/d/16V6fX6zed8MKZ53zcmG18UMG8cS5fmS4/view?usp=drivesdk</v>
      </c>
      <c r="Y2812" s="1313"/>
      <c r="Z2812" s="1592" t="s">
        <v>1679</v>
      </c>
      <c r="AA2812" s="1600" t="s">
        <v>16476</v>
      </c>
      <c r="AB2812" s="1592" t="s">
        <v>16477</v>
      </c>
      <c r="AC2812" s="2262" t="s">
        <v>16573</v>
      </c>
      <c r="AD2812" s="1592" t="s">
        <v>16486</v>
      </c>
      <c r="AE2812" s="2265">
        <v>7.0</v>
      </c>
      <c r="AF2812" s="2342">
        <f>485*0.44</f>
        <v>213.4</v>
      </c>
      <c r="AG2812" s="2265">
        <v>0.271</v>
      </c>
      <c r="AH2812" s="1592" t="s">
        <v>16492</v>
      </c>
      <c r="AI2812" s="2341" t="s">
        <v>16574</v>
      </c>
      <c r="AJ2812" s="1324" t="s">
        <v>138</v>
      </c>
      <c r="AK2812" s="1324" t="s">
        <v>138</v>
      </c>
      <c r="AL2812" s="1592" t="s">
        <v>186</v>
      </c>
      <c r="AM2812" s="1592" t="s">
        <v>137</v>
      </c>
      <c r="AN2812" s="1592" t="s">
        <v>138</v>
      </c>
      <c r="AO2812" s="1596">
        <v>285.0</v>
      </c>
      <c r="AP2812" s="2265">
        <v>0.02</v>
      </c>
      <c r="AQ2812" s="1592" t="s">
        <v>16492</v>
      </c>
      <c r="AR2812" s="2262" t="s">
        <v>16575</v>
      </c>
      <c r="AS2812" s="1592" t="s">
        <v>138</v>
      </c>
      <c r="AT2812" s="2343" t="s">
        <v>138</v>
      </c>
      <c r="AU2812" s="1592" t="s">
        <v>186</v>
      </c>
      <c r="AV2812" s="1592" t="s">
        <v>137</v>
      </c>
      <c r="AW2812" s="1592" t="s">
        <v>138</v>
      </c>
      <c r="AX2812" s="1592" t="s">
        <v>143</v>
      </c>
      <c r="AY2812" s="61" t="str">
        <f>IFERROR(__xludf.DUMMYFUNCTION("vlookup(BB2812,importrange(""https://docs.google.com/spreadsheets/d/1d2vevQ_7D_v35q4wCQ4RpQ_IPoTwEMB9Yp6ymwlPqew/edit?gid=984458430#gid=984458430"", ""'replication success'!A:K""), 11, FAlSE)"),"#N/A")</f>
        <v>#N/A</v>
      </c>
      <c r="AZ2812" s="61" t="str">
        <f>IFERROR(__xludf.DUMMYFUNCTION("vlookup(BB2812,importrange(""https://docs.google.com/spreadsheets/d/1d2vevQ_7D_v35q4wCQ4RpQ_IPoTwEMB9Yp6ymwlPqew/edit?gid=984458430#gid=984458430"", ""'replication success'!A:M""), 12, FAlSE)"),"#N/A")</f>
        <v>#N/A</v>
      </c>
      <c r="BA2812" s="61" t="str">
        <f>IFERROR(__xludf.DUMMYFUNCTION("vlookup(BB2812,importrange(""https://docs.google.com/spreadsheets/d/1d2vevQ_7D_v35q4wCQ4RpQ_IPoTwEMB9Yp6ymwlPqew/edit?gid=984458430#gid=984458430"", ""'replication success'!A:M""), 13, FAlSE)"),"#N/A")</f>
        <v>#N/A</v>
      </c>
      <c r="BB2812" s="61" t="str">
        <f>IFERROR(__xludf.DUMMYFUNCTION("REGEXREPLACE(G2812, ""_[a-z]{1,2}$"", """")"),"add_ai60_h2")</f>
        <v>add_ai60_h2</v>
      </c>
      <c r="BC2812" s="1572"/>
      <c r="BD2812" s="1588" t="s">
        <v>13264</v>
      </c>
      <c r="BE2812" s="342"/>
      <c r="BF2812" s="342"/>
      <c r="BG2812" s="342"/>
      <c r="BH2812" s="342"/>
      <c r="BI2812" s="342"/>
      <c r="BJ2812" s="342"/>
      <c r="BK2812" s="342"/>
      <c r="BL2812" s="342"/>
      <c r="BM2812" s="342"/>
      <c r="BN2812" s="342"/>
      <c r="BO2812" s="342"/>
      <c r="BP2812" s="342"/>
      <c r="BQ2812" s="342"/>
      <c r="BR2812" s="342"/>
      <c r="BS2812" s="342"/>
      <c r="BT2812" s="342"/>
      <c r="BU2812" s="342"/>
      <c r="BV2812" s="342"/>
      <c r="BW2812" s="342"/>
      <c r="BX2812" s="342"/>
      <c r="BY2812" s="342"/>
      <c r="BZ2812" s="342"/>
      <c r="CA2812" s="342"/>
      <c r="CB2812" s="342"/>
      <c r="CC2812" s="342"/>
      <c r="CD2812" s="342"/>
      <c r="CE2812" s="342"/>
      <c r="CF2812" s="342"/>
      <c r="CG2812" s="342"/>
      <c r="CH2812" s="342"/>
      <c r="CI2812" s="342"/>
      <c r="CJ2812" s="342"/>
      <c r="CK2812" s="342"/>
      <c r="CL2812" s="342"/>
      <c r="CM2812" s="342"/>
      <c r="CN2812" s="342"/>
      <c r="CO2812" s="342"/>
      <c r="CP2812" s="342"/>
      <c r="CQ2812" s="342"/>
      <c r="CR2812" s="342"/>
      <c r="CS2812" s="342"/>
      <c r="CT2812" s="342"/>
      <c r="CU2812" s="342"/>
      <c r="CV2812" s="342"/>
      <c r="CW2812" s="342"/>
      <c r="CX2812" s="342"/>
      <c r="CY2812" s="342"/>
      <c r="CZ2812" s="342"/>
      <c r="DA2812" s="342"/>
      <c r="DB2812" s="342"/>
      <c r="DC2812" s="342"/>
      <c r="DD2812" s="342"/>
      <c r="DE2812" s="342"/>
      <c r="DF2812" s="342"/>
      <c r="DG2812" s="342"/>
      <c r="DH2812" s="342"/>
      <c r="DI2812" s="342"/>
      <c r="DJ2812" s="342"/>
      <c r="DK2812" s="342"/>
      <c r="DL2812" s="342"/>
    </row>
    <row r="2813">
      <c r="A2813" s="44">
        <v>3088.0</v>
      </c>
      <c r="B2813" s="1322" t="s">
        <v>152</v>
      </c>
      <c r="C2813" s="1588" t="s">
        <v>115</v>
      </c>
      <c r="D2813" s="1588" t="s">
        <v>153</v>
      </c>
      <c r="E2813" s="1572"/>
      <c r="F2813" s="1600" t="s">
        <v>16459</v>
      </c>
      <c r="G2813" s="1592" t="s">
        <v>16576</v>
      </c>
      <c r="H2813" s="1600" t="s">
        <v>15921</v>
      </c>
      <c r="I2813" s="2229">
        <v>45821.0</v>
      </c>
      <c r="J2813" s="2230">
        <v>45847.0</v>
      </c>
      <c r="K2813" s="1592" t="s">
        <v>16483</v>
      </c>
      <c r="L2813" s="1313"/>
      <c r="M2813" s="1592" t="s">
        <v>16462</v>
      </c>
      <c r="N2813" s="1592" t="s">
        <v>16463</v>
      </c>
      <c r="O2813" s="1313"/>
      <c r="P2813" s="1592" t="s">
        <v>16464</v>
      </c>
      <c r="Q2813" s="2331" t="s">
        <v>16465</v>
      </c>
      <c r="R2813" s="1592" t="s">
        <v>16496</v>
      </c>
      <c r="S2813" s="1592" t="s">
        <v>16467</v>
      </c>
      <c r="T2813" s="1313"/>
      <c r="U2813" s="1313"/>
      <c r="V2813" s="1592" t="s">
        <v>16468</v>
      </c>
      <c r="W2813" s="1313"/>
      <c r="X2813" s="2233" t="str">
        <f t="array" ref="X2813"> if(iserror(MATCH(V2813, 'File Links'!C:C, 0)), "N/A", HYPERLINK(INDEX('File Links'!B:B, MATCH(V2813, 'File Links'!C:C, 0))))</f>
        <v>https://drive.google.com/file/d/16V6fX6zed8MKZ53zcmG18UMG8cS5fmS4/view?usp=drivesdk</v>
      </c>
      <c r="Y2813" s="1313"/>
      <c r="Z2813" s="1592" t="s">
        <v>1679</v>
      </c>
      <c r="AA2813" s="1600" t="s">
        <v>16476</v>
      </c>
      <c r="AB2813" s="1592" t="s">
        <v>16477</v>
      </c>
      <c r="AC2813" s="1600" t="s">
        <v>16577</v>
      </c>
      <c r="AD2813" s="1592" t="s">
        <v>16486</v>
      </c>
      <c r="AE2813" s="2265">
        <v>7.0</v>
      </c>
      <c r="AF2813" s="2342">
        <f>485*0.14</f>
        <v>67.9</v>
      </c>
      <c r="AG2813" s="2265">
        <v>-0.195</v>
      </c>
      <c r="AH2813" s="1592" t="s">
        <v>361</v>
      </c>
      <c r="AI2813" s="2341" t="s">
        <v>16578</v>
      </c>
      <c r="AJ2813" s="2265">
        <v>0.0902</v>
      </c>
      <c r="AK2813" s="1592" t="s">
        <v>172</v>
      </c>
      <c r="AL2813" s="1592" t="s">
        <v>186</v>
      </c>
      <c r="AM2813" s="1592" t="s">
        <v>137</v>
      </c>
      <c r="AN2813" s="1592" t="s">
        <v>138</v>
      </c>
      <c r="AO2813" s="1596">
        <v>285.0</v>
      </c>
      <c r="AP2813" s="2265">
        <v>0.106</v>
      </c>
      <c r="AQ2813" s="1592" t="s">
        <v>361</v>
      </c>
      <c r="AR2813" s="2262" t="s">
        <v>16579</v>
      </c>
      <c r="AS2813" s="1596">
        <v>0.05</v>
      </c>
      <c r="AT2813" s="1592" t="s">
        <v>335</v>
      </c>
      <c r="AU2813" s="1592" t="s">
        <v>186</v>
      </c>
      <c r="AV2813" s="1592" t="s">
        <v>137</v>
      </c>
      <c r="AW2813" s="1592" t="s">
        <v>138</v>
      </c>
      <c r="AX2813" s="1592" t="s">
        <v>143</v>
      </c>
      <c r="AY2813" s="61" t="str">
        <f>IFERROR(__xludf.DUMMYFUNCTION("vlookup(BB2813,importrange(""https://docs.google.com/spreadsheets/d/1d2vevQ_7D_v35q4wCQ4RpQ_IPoTwEMB9Yp6ymwlPqew/edit?gid=984458430#gid=984458430"", ""'replication success'!A:K""), 11, FAlSE)"),"#N/A")</f>
        <v>#N/A</v>
      </c>
      <c r="AZ2813" s="61" t="str">
        <f>IFERROR(__xludf.DUMMYFUNCTION("vlookup(BB2813,importrange(""https://docs.google.com/spreadsheets/d/1d2vevQ_7D_v35q4wCQ4RpQ_IPoTwEMB9Yp6ymwlPqew/edit?gid=984458430#gid=984458430"", ""'replication success'!A:M""), 12, FAlSE)"),"#N/A")</f>
        <v>#N/A</v>
      </c>
      <c r="BA2813" s="61" t="str">
        <f>IFERROR(__xludf.DUMMYFUNCTION("vlookup(BB2813,importrange(""https://docs.google.com/spreadsheets/d/1d2vevQ_7D_v35q4wCQ4RpQ_IPoTwEMB9Yp6ymwlPqew/edit?gid=984458430#gid=984458430"", ""'replication success'!A:M""), 13, FAlSE)"),"#N/A")</f>
        <v>#N/A</v>
      </c>
      <c r="BB2813" s="61" t="str">
        <f>IFERROR(__xludf.DUMMYFUNCTION("REGEXREPLACE(G2813, ""_[a-z]{1,2}$"", """")"),"add_ai60_h3")</f>
        <v>add_ai60_h3</v>
      </c>
      <c r="BC2813" s="1572"/>
      <c r="BD2813" s="1588" t="s">
        <v>13264</v>
      </c>
      <c r="BE2813" s="342"/>
      <c r="BF2813" s="342"/>
      <c r="BG2813" s="342"/>
      <c r="BH2813" s="342"/>
      <c r="BI2813" s="342"/>
      <c r="BJ2813" s="342"/>
      <c r="BK2813" s="342"/>
      <c r="BL2813" s="342"/>
      <c r="BM2813" s="342"/>
      <c r="BN2813" s="342"/>
      <c r="BO2813" s="342"/>
      <c r="BP2813" s="342"/>
      <c r="BQ2813" s="342"/>
      <c r="BR2813" s="342"/>
      <c r="BS2813" s="342"/>
      <c r="BT2813" s="342"/>
      <c r="BU2813" s="342"/>
      <c r="BV2813" s="342"/>
      <c r="BW2813" s="342"/>
      <c r="BX2813" s="342"/>
      <c r="BY2813" s="342"/>
      <c r="BZ2813" s="342"/>
      <c r="CA2813" s="342"/>
      <c r="CB2813" s="342"/>
      <c r="CC2813" s="342"/>
      <c r="CD2813" s="342"/>
      <c r="CE2813" s="342"/>
      <c r="CF2813" s="342"/>
      <c r="CG2813" s="342"/>
      <c r="CH2813" s="342"/>
      <c r="CI2813" s="342"/>
      <c r="CJ2813" s="342"/>
      <c r="CK2813" s="342"/>
      <c r="CL2813" s="342"/>
      <c r="CM2813" s="342"/>
      <c r="CN2813" s="342"/>
      <c r="CO2813" s="342"/>
      <c r="CP2813" s="342"/>
      <c r="CQ2813" s="342"/>
      <c r="CR2813" s="342"/>
      <c r="CS2813" s="342"/>
      <c r="CT2813" s="342"/>
      <c r="CU2813" s="342"/>
      <c r="CV2813" s="342"/>
      <c r="CW2813" s="342"/>
      <c r="CX2813" s="342"/>
      <c r="CY2813" s="342"/>
      <c r="CZ2813" s="342"/>
      <c r="DA2813" s="342"/>
      <c r="DB2813" s="342"/>
      <c r="DC2813" s="342"/>
      <c r="DD2813" s="342"/>
      <c r="DE2813" s="342"/>
      <c r="DF2813" s="342"/>
      <c r="DG2813" s="342"/>
      <c r="DH2813" s="342"/>
      <c r="DI2813" s="342"/>
      <c r="DJ2813" s="342"/>
      <c r="DK2813" s="342"/>
      <c r="DL2813" s="342"/>
    </row>
    <row r="2814">
      <c r="A2814" s="44">
        <v>3037.0</v>
      </c>
      <c r="B2814" s="1322" t="s">
        <v>152</v>
      </c>
      <c r="C2814" s="1588" t="s">
        <v>115</v>
      </c>
      <c r="D2814" s="1588" t="s">
        <v>153</v>
      </c>
      <c r="E2814" s="1572"/>
      <c r="F2814" s="1600" t="s">
        <v>16459</v>
      </c>
      <c r="G2814" s="1592" t="s">
        <v>16580</v>
      </c>
      <c r="H2814" s="1600" t="s">
        <v>15921</v>
      </c>
      <c r="I2814" s="2229">
        <v>45821.0</v>
      </c>
      <c r="J2814" s="2230">
        <v>45847.0</v>
      </c>
      <c r="K2814" s="1592" t="s">
        <v>16474</v>
      </c>
      <c r="L2814" s="1313"/>
      <c r="M2814" s="1592" t="s">
        <v>16462</v>
      </c>
      <c r="N2814" s="1592" t="s">
        <v>16463</v>
      </c>
      <c r="O2814" s="1313"/>
      <c r="P2814" s="1592" t="s">
        <v>16464</v>
      </c>
      <c r="Q2814" s="2331" t="s">
        <v>16465</v>
      </c>
      <c r="R2814" s="1592" t="s">
        <v>16496</v>
      </c>
      <c r="S2814" s="1592" t="s">
        <v>16467</v>
      </c>
      <c r="T2814" s="1313"/>
      <c r="U2814" s="1313"/>
      <c r="V2814" s="1592" t="s">
        <v>16468</v>
      </c>
      <c r="W2814" s="1313"/>
      <c r="X2814" s="2233" t="str">
        <f t="array" ref="X2814"> if(iserror(MATCH(V2814, 'File Links'!C:C, 0)), "N/A", HYPERLINK(INDEX('File Links'!B:B, MATCH(V2814, 'File Links'!C:C, 0))))</f>
        <v>https://drive.google.com/file/d/16V6fX6zed8MKZ53zcmG18UMG8cS5fmS4/view?usp=drivesdk</v>
      </c>
      <c r="Y2814" s="1313"/>
      <c r="Z2814" s="1592" t="s">
        <v>1679</v>
      </c>
      <c r="AA2814" s="1600" t="s">
        <v>16476</v>
      </c>
      <c r="AB2814" s="1592" t="s">
        <v>16477</v>
      </c>
      <c r="AC2814" s="1600" t="s">
        <v>16581</v>
      </c>
      <c r="AD2814" s="1600" t="s">
        <v>16479</v>
      </c>
      <c r="AE2814" s="2265">
        <v>6.0</v>
      </c>
      <c r="AF2814" s="1596">
        <v>485.0</v>
      </c>
      <c r="AG2814" s="1596">
        <v>0.115</v>
      </c>
      <c r="AH2814" s="1592" t="s">
        <v>361</v>
      </c>
      <c r="AI2814" s="2341" t="s">
        <v>16582</v>
      </c>
      <c r="AJ2814" s="2265">
        <v>0.0263</v>
      </c>
      <c r="AK2814" s="1592" t="s">
        <v>172</v>
      </c>
      <c r="AL2814" s="1592" t="s">
        <v>186</v>
      </c>
      <c r="AM2814" s="1592" t="s">
        <v>137</v>
      </c>
      <c r="AN2814" s="1324" t="s">
        <v>138</v>
      </c>
      <c r="AO2814" s="1596">
        <v>285.0</v>
      </c>
      <c r="AP2814" s="2265">
        <v>0.106</v>
      </c>
      <c r="AQ2814" s="1592" t="s">
        <v>361</v>
      </c>
      <c r="AR2814" s="2262" t="s">
        <v>16583</v>
      </c>
      <c r="AS2814" s="1596">
        <v>0.05</v>
      </c>
      <c r="AT2814" s="1592" t="s">
        <v>335</v>
      </c>
      <c r="AU2814" s="1592" t="s">
        <v>186</v>
      </c>
      <c r="AV2814" s="1592" t="s">
        <v>137</v>
      </c>
      <c r="AW2814" s="1592" t="s">
        <v>138</v>
      </c>
      <c r="AX2814" s="1592" t="s">
        <v>143</v>
      </c>
      <c r="AY2814" s="61" t="str">
        <f>IFERROR(__xludf.DUMMYFUNCTION("vlookup(BB2814,importrange(""https://docs.google.com/spreadsheets/d/1d2vevQ_7D_v35q4wCQ4RpQ_IPoTwEMB9Yp6ymwlPqew/edit?gid=984458430#gid=984458430"", ""'replication success'!A:K""), 11, FAlSE)"),"#N/A")</f>
        <v>#N/A</v>
      </c>
      <c r="AZ2814" s="61" t="str">
        <f>IFERROR(__xludf.DUMMYFUNCTION("vlookup(BB2814,importrange(""https://docs.google.com/spreadsheets/d/1d2vevQ_7D_v35q4wCQ4RpQ_IPoTwEMB9Yp6ymwlPqew/edit?gid=984458430#gid=984458430"", ""'replication success'!A:M""), 12, FAlSE)"),"#N/A")</f>
        <v>#N/A</v>
      </c>
      <c r="BA2814" s="61" t="str">
        <f>IFERROR(__xludf.DUMMYFUNCTION("vlookup(BB2814,importrange(""https://docs.google.com/spreadsheets/d/1d2vevQ_7D_v35q4wCQ4RpQ_IPoTwEMB9Yp6ymwlPqew/edit?gid=984458430#gid=984458430"", ""'replication success'!A:M""), 13, FAlSE)"),"#N/A")</f>
        <v>#N/A</v>
      </c>
      <c r="BB2814" s="61" t="str">
        <f>IFERROR(__xludf.DUMMYFUNCTION("REGEXREPLACE(G2814, ""_[a-z]{1,2}$"", """")"),"add_ai60")</f>
        <v>add_ai60</v>
      </c>
      <c r="BC2814" s="1572"/>
      <c r="BD2814" s="1588" t="s">
        <v>13264</v>
      </c>
      <c r="BE2814" s="342"/>
      <c r="BF2814" s="342"/>
      <c r="BG2814" s="342"/>
      <c r="BH2814" s="342"/>
      <c r="BI2814" s="342"/>
      <c r="BJ2814" s="342"/>
      <c r="BK2814" s="342"/>
      <c r="BL2814" s="342"/>
      <c r="BM2814" s="342"/>
      <c r="BN2814" s="342"/>
      <c r="BO2814" s="342"/>
      <c r="BP2814" s="342"/>
      <c r="BQ2814" s="342"/>
      <c r="BR2814" s="342"/>
      <c r="BS2814" s="342"/>
      <c r="BT2814" s="342"/>
      <c r="BU2814" s="342"/>
      <c r="BV2814" s="342"/>
      <c r="BW2814" s="342"/>
      <c r="BX2814" s="342"/>
      <c r="BY2814" s="342"/>
      <c r="BZ2814" s="342"/>
      <c r="CA2814" s="342"/>
      <c r="CB2814" s="342"/>
      <c r="CC2814" s="342"/>
      <c r="CD2814" s="342"/>
      <c r="CE2814" s="342"/>
      <c r="CF2814" s="342"/>
      <c r="CG2814" s="342"/>
      <c r="CH2814" s="342"/>
      <c r="CI2814" s="342"/>
      <c r="CJ2814" s="342"/>
      <c r="CK2814" s="342"/>
      <c r="CL2814" s="342"/>
      <c r="CM2814" s="342"/>
      <c r="CN2814" s="342"/>
      <c r="CO2814" s="342"/>
      <c r="CP2814" s="342"/>
      <c r="CQ2814" s="342"/>
      <c r="CR2814" s="342"/>
      <c r="CS2814" s="342"/>
      <c r="CT2814" s="342"/>
      <c r="CU2814" s="342"/>
      <c r="CV2814" s="342"/>
      <c r="CW2814" s="342"/>
      <c r="CX2814" s="342"/>
      <c r="CY2814" s="342"/>
      <c r="CZ2814" s="342"/>
      <c r="DA2814" s="342"/>
      <c r="DB2814" s="342"/>
      <c r="DC2814" s="342"/>
      <c r="DD2814" s="342"/>
      <c r="DE2814" s="342"/>
      <c r="DF2814" s="342"/>
      <c r="DG2814" s="342"/>
      <c r="DH2814" s="342"/>
      <c r="DI2814" s="342"/>
      <c r="DJ2814" s="342"/>
      <c r="DK2814" s="342"/>
      <c r="DL2814" s="342"/>
    </row>
    <row r="2815">
      <c r="A2815" s="44">
        <v>3063.0</v>
      </c>
      <c r="B2815" s="1322" t="s">
        <v>152</v>
      </c>
      <c r="C2815" s="1588" t="s">
        <v>115</v>
      </c>
      <c r="D2815" s="1588" t="s">
        <v>153</v>
      </c>
      <c r="E2815" s="1572"/>
      <c r="F2815" s="1600" t="s">
        <v>16459</v>
      </c>
      <c r="G2815" s="1592" t="s">
        <v>16584</v>
      </c>
      <c r="H2815" s="1600" t="s">
        <v>15921</v>
      </c>
      <c r="I2815" s="2229">
        <v>45821.0</v>
      </c>
      <c r="J2815" s="2230">
        <v>45847.0</v>
      </c>
      <c r="K2815" s="1592" t="s">
        <v>16483</v>
      </c>
      <c r="L2815" s="1313"/>
      <c r="M2815" s="1592" t="s">
        <v>16462</v>
      </c>
      <c r="N2815" s="1592" t="s">
        <v>16463</v>
      </c>
      <c r="O2815" s="1313"/>
      <c r="P2815" s="1592" t="s">
        <v>16464</v>
      </c>
      <c r="Q2815" s="2331" t="s">
        <v>16465</v>
      </c>
      <c r="R2815" s="1592" t="s">
        <v>16496</v>
      </c>
      <c r="S2815" s="1592" t="s">
        <v>16467</v>
      </c>
      <c r="T2815" s="1313"/>
      <c r="U2815" s="1313"/>
      <c r="V2815" s="1592" t="s">
        <v>16468</v>
      </c>
      <c r="W2815" s="1313"/>
      <c r="X2815" s="2233" t="str">
        <f t="array" ref="X2815"> if(iserror(MATCH(V2815, 'File Links'!C:C, 0)), "N/A", HYPERLINK(INDEX('File Links'!B:B, MATCH(V2815, 'File Links'!C:C, 0))))</f>
        <v>https://drive.google.com/file/d/16V6fX6zed8MKZ53zcmG18UMG8cS5fmS4/view?usp=drivesdk</v>
      </c>
      <c r="Y2815" s="1313"/>
      <c r="Z2815" s="1592" t="s">
        <v>1679</v>
      </c>
      <c r="AA2815" s="1600" t="s">
        <v>16476</v>
      </c>
      <c r="AB2815" s="1592" t="s">
        <v>16477</v>
      </c>
      <c r="AC2815" s="2262" t="s">
        <v>16585</v>
      </c>
      <c r="AD2815" s="1592" t="s">
        <v>16486</v>
      </c>
      <c r="AE2815" s="2265">
        <v>7.0</v>
      </c>
      <c r="AF2815" s="2342">
        <f>485*0.44</f>
        <v>213.4</v>
      </c>
      <c r="AG2815" s="2265">
        <v>0.295</v>
      </c>
      <c r="AH2815" s="1592" t="s">
        <v>16492</v>
      </c>
      <c r="AI2815" s="2341" t="s">
        <v>16586</v>
      </c>
      <c r="AJ2815" s="1324" t="s">
        <v>138</v>
      </c>
      <c r="AK2815" s="1324" t="s">
        <v>138</v>
      </c>
      <c r="AL2815" s="1592" t="s">
        <v>186</v>
      </c>
      <c r="AM2815" s="1592" t="s">
        <v>137</v>
      </c>
      <c r="AN2815" s="1592" t="s">
        <v>138</v>
      </c>
      <c r="AO2815" s="1596">
        <v>285.0</v>
      </c>
      <c r="AP2815" s="2265">
        <v>0.034</v>
      </c>
      <c r="AQ2815" s="1592" t="s">
        <v>16492</v>
      </c>
      <c r="AR2815" s="2262" t="s">
        <v>16587</v>
      </c>
      <c r="AS2815" s="1592" t="s">
        <v>138</v>
      </c>
      <c r="AT2815" s="2343" t="s">
        <v>138</v>
      </c>
      <c r="AU2815" s="1592" t="s">
        <v>186</v>
      </c>
      <c r="AV2815" s="1592" t="s">
        <v>137</v>
      </c>
      <c r="AW2815" s="1592" t="s">
        <v>138</v>
      </c>
      <c r="AX2815" s="1592" t="s">
        <v>143</v>
      </c>
      <c r="AY2815" s="61" t="str">
        <f>IFERROR(__xludf.DUMMYFUNCTION("vlookup(BB2815,importrange(""https://docs.google.com/spreadsheets/d/1d2vevQ_7D_v35q4wCQ4RpQ_IPoTwEMB9Yp6ymwlPqew/edit?gid=984458430#gid=984458430"", ""'replication success'!A:K""), 11, FAlSE)"),"#N/A")</f>
        <v>#N/A</v>
      </c>
      <c r="AZ2815" s="61" t="str">
        <f>IFERROR(__xludf.DUMMYFUNCTION("vlookup(BB2815,importrange(""https://docs.google.com/spreadsheets/d/1d2vevQ_7D_v35q4wCQ4RpQ_IPoTwEMB9Yp6ymwlPqew/edit?gid=984458430#gid=984458430"", ""'replication success'!A:M""), 12, FAlSE)"),"#N/A")</f>
        <v>#N/A</v>
      </c>
      <c r="BA2815" s="61" t="str">
        <f>IFERROR(__xludf.DUMMYFUNCTION("vlookup(BB2815,importrange(""https://docs.google.com/spreadsheets/d/1d2vevQ_7D_v35q4wCQ4RpQ_IPoTwEMB9Yp6ymwlPqew/edit?gid=984458430#gid=984458430"", ""'replication success'!A:M""), 13, FAlSE)"),"#N/A")</f>
        <v>#N/A</v>
      </c>
      <c r="BB2815" s="61" t="str">
        <f>IFERROR(__xludf.DUMMYFUNCTION("REGEXREPLACE(G2815, ""_[a-z]{1,2}$"", """")"),"add_ai60_i2")</f>
        <v>add_ai60_i2</v>
      </c>
      <c r="BC2815" s="1572"/>
      <c r="BD2815" s="1588" t="s">
        <v>13264</v>
      </c>
      <c r="BE2815" s="342"/>
      <c r="BF2815" s="342"/>
      <c r="BG2815" s="342"/>
      <c r="BH2815" s="342"/>
      <c r="BI2815" s="342"/>
      <c r="BJ2815" s="342"/>
      <c r="BK2815" s="342"/>
      <c r="BL2815" s="342"/>
      <c r="BM2815" s="342"/>
      <c r="BN2815" s="342"/>
      <c r="BO2815" s="342"/>
      <c r="BP2815" s="342"/>
      <c r="BQ2815" s="342"/>
      <c r="BR2815" s="342"/>
      <c r="BS2815" s="342"/>
      <c r="BT2815" s="342"/>
      <c r="BU2815" s="342"/>
      <c r="BV2815" s="342"/>
      <c r="BW2815" s="342"/>
      <c r="BX2815" s="342"/>
      <c r="BY2815" s="342"/>
      <c r="BZ2815" s="342"/>
      <c r="CA2815" s="342"/>
      <c r="CB2815" s="342"/>
      <c r="CC2815" s="342"/>
      <c r="CD2815" s="342"/>
      <c r="CE2815" s="342"/>
      <c r="CF2815" s="342"/>
      <c r="CG2815" s="342"/>
      <c r="CH2815" s="342"/>
      <c r="CI2815" s="342"/>
      <c r="CJ2815" s="342"/>
      <c r="CK2815" s="342"/>
      <c r="CL2815" s="342"/>
      <c r="CM2815" s="342"/>
      <c r="CN2815" s="342"/>
      <c r="CO2815" s="342"/>
      <c r="CP2815" s="342"/>
      <c r="CQ2815" s="342"/>
      <c r="CR2815" s="342"/>
      <c r="CS2815" s="342"/>
      <c r="CT2815" s="342"/>
      <c r="CU2815" s="342"/>
      <c r="CV2815" s="342"/>
      <c r="CW2815" s="342"/>
      <c r="CX2815" s="342"/>
      <c r="CY2815" s="342"/>
      <c r="CZ2815" s="342"/>
      <c r="DA2815" s="342"/>
      <c r="DB2815" s="342"/>
      <c r="DC2815" s="342"/>
      <c r="DD2815" s="342"/>
      <c r="DE2815" s="342"/>
      <c r="DF2815" s="342"/>
      <c r="DG2815" s="342"/>
      <c r="DH2815" s="342"/>
      <c r="DI2815" s="342"/>
      <c r="DJ2815" s="342"/>
      <c r="DK2815" s="342"/>
      <c r="DL2815" s="342"/>
    </row>
    <row r="2816">
      <c r="A2816" s="44">
        <v>3089.0</v>
      </c>
      <c r="B2816" s="1322" t="s">
        <v>152</v>
      </c>
      <c r="C2816" s="1588" t="s">
        <v>115</v>
      </c>
      <c r="D2816" s="1588" t="s">
        <v>153</v>
      </c>
      <c r="E2816" s="1572"/>
      <c r="F2816" s="1600" t="s">
        <v>16459</v>
      </c>
      <c r="G2816" s="1592" t="s">
        <v>16588</v>
      </c>
      <c r="H2816" s="1600" t="s">
        <v>15921</v>
      </c>
      <c r="I2816" s="2229">
        <v>45821.0</v>
      </c>
      <c r="J2816" s="2230">
        <v>45847.0</v>
      </c>
      <c r="K2816" s="1592" t="s">
        <v>16483</v>
      </c>
      <c r="L2816" s="1313"/>
      <c r="M2816" s="1592" t="s">
        <v>16462</v>
      </c>
      <c r="N2816" s="1592" t="s">
        <v>16463</v>
      </c>
      <c r="O2816" s="1313"/>
      <c r="P2816" s="1592" t="s">
        <v>16464</v>
      </c>
      <c r="Q2816" s="2331" t="s">
        <v>16465</v>
      </c>
      <c r="R2816" s="1592" t="s">
        <v>16496</v>
      </c>
      <c r="S2816" s="1592" t="s">
        <v>16467</v>
      </c>
      <c r="T2816" s="1313"/>
      <c r="U2816" s="1313"/>
      <c r="V2816" s="1592" t="s">
        <v>16468</v>
      </c>
      <c r="W2816" s="1313"/>
      <c r="X2816" s="2233" t="str">
        <f t="array" ref="X2816"> if(iserror(MATCH(V2816, 'File Links'!C:C, 0)), "N/A", HYPERLINK(INDEX('File Links'!B:B, MATCH(V2816, 'File Links'!C:C, 0))))</f>
        <v>https://drive.google.com/file/d/16V6fX6zed8MKZ53zcmG18UMG8cS5fmS4/view?usp=drivesdk</v>
      </c>
      <c r="Y2816" s="1313"/>
      <c r="Z2816" s="1592" t="s">
        <v>1679</v>
      </c>
      <c r="AA2816" s="1600" t="s">
        <v>16476</v>
      </c>
      <c r="AB2816" s="1592" t="s">
        <v>16477</v>
      </c>
      <c r="AC2816" s="1600" t="s">
        <v>16589</v>
      </c>
      <c r="AD2816" s="1592" t="s">
        <v>16486</v>
      </c>
      <c r="AE2816" s="2265">
        <v>7.0</v>
      </c>
      <c r="AF2816" s="2342">
        <f>485*0.14</f>
        <v>67.9</v>
      </c>
      <c r="AG2816" s="2265">
        <v>0.351</v>
      </c>
      <c r="AH2816" s="1592" t="s">
        <v>361</v>
      </c>
      <c r="AI2816" s="2341" t="s">
        <v>16590</v>
      </c>
      <c r="AJ2816" s="2265">
        <v>0.0361</v>
      </c>
      <c r="AK2816" s="1592" t="s">
        <v>172</v>
      </c>
      <c r="AL2816" s="1592" t="s">
        <v>186</v>
      </c>
      <c r="AM2816" s="1592" t="s">
        <v>137</v>
      </c>
      <c r="AN2816" s="1592" t="s">
        <v>138</v>
      </c>
      <c r="AO2816" s="1596">
        <v>285.0</v>
      </c>
      <c r="AP2816" s="1596">
        <v>0.267</v>
      </c>
      <c r="AQ2816" s="1592" t="s">
        <v>361</v>
      </c>
      <c r="AR2816" s="2262" t="s">
        <v>16591</v>
      </c>
      <c r="AS2816" s="1596">
        <v>0.001</v>
      </c>
      <c r="AT2816" s="1592" t="s">
        <v>135</v>
      </c>
      <c r="AU2816" s="1592" t="s">
        <v>186</v>
      </c>
      <c r="AV2816" s="1592" t="s">
        <v>137</v>
      </c>
      <c r="AW2816" s="1592" t="s">
        <v>138</v>
      </c>
      <c r="AX2816" s="1592" t="s">
        <v>143</v>
      </c>
      <c r="AY2816" s="61" t="str">
        <f>IFERROR(__xludf.DUMMYFUNCTION("vlookup(BB2816,importrange(""https://docs.google.com/spreadsheets/d/1d2vevQ_7D_v35q4wCQ4RpQ_IPoTwEMB9Yp6ymwlPqew/edit?gid=984458430#gid=984458430"", ""'replication success'!A:K""), 11, FAlSE)"),"#N/A")</f>
        <v>#N/A</v>
      </c>
      <c r="AZ2816" s="61" t="str">
        <f>IFERROR(__xludf.DUMMYFUNCTION("vlookup(BB2816,importrange(""https://docs.google.com/spreadsheets/d/1d2vevQ_7D_v35q4wCQ4RpQ_IPoTwEMB9Yp6ymwlPqew/edit?gid=984458430#gid=984458430"", ""'replication success'!A:M""), 12, FAlSE)"),"#N/A")</f>
        <v>#N/A</v>
      </c>
      <c r="BA2816" s="61" t="str">
        <f>IFERROR(__xludf.DUMMYFUNCTION("vlookup(BB2816,importrange(""https://docs.google.com/spreadsheets/d/1d2vevQ_7D_v35q4wCQ4RpQ_IPoTwEMB9Yp6ymwlPqew/edit?gid=984458430#gid=984458430"", ""'replication success'!A:M""), 13, FAlSE)"),"#N/A")</f>
        <v>#N/A</v>
      </c>
      <c r="BB2816" s="61" t="str">
        <f>IFERROR(__xludf.DUMMYFUNCTION("REGEXREPLACE(G2816, ""_[a-z]{1,2}$"", """")"),"add_ai60_i3")</f>
        <v>add_ai60_i3</v>
      </c>
      <c r="BC2816" s="1572"/>
      <c r="BD2816" s="1588" t="s">
        <v>13264</v>
      </c>
      <c r="BE2816" s="342"/>
      <c r="BF2816" s="342"/>
      <c r="BG2816" s="342"/>
      <c r="BH2816" s="342"/>
      <c r="BI2816" s="342"/>
      <c r="BJ2816" s="342"/>
      <c r="BK2816" s="342"/>
      <c r="BL2816" s="342"/>
      <c r="BM2816" s="342"/>
      <c r="BN2816" s="342"/>
      <c r="BO2816" s="342"/>
      <c r="BP2816" s="342"/>
      <c r="BQ2816" s="342"/>
      <c r="BR2816" s="342"/>
      <c r="BS2816" s="342"/>
      <c r="BT2816" s="342"/>
      <c r="BU2816" s="342"/>
      <c r="BV2816" s="342"/>
      <c r="BW2816" s="342"/>
      <c r="BX2816" s="342"/>
      <c r="BY2816" s="342"/>
      <c r="BZ2816" s="342"/>
      <c r="CA2816" s="342"/>
      <c r="CB2816" s="342"/>
      <c r="CC2816" s="342"/>
      <c r="CD2816" s="342"/>
      <c r="CE2816" s="342"/>
      <c r="CF2816" s="342"/>
      <c r="CG2816" s="342"/>
      <c r="CH2816" s="342"/>
      <c r="CI2816" s="342"/>
      <c r="CJ2816" s="342"/>
      <c r="CK2816" s="342"/>
      <c r="CL2816" s="342"/>
      <c r="CM2816" s="342"/>
      <c r="CN2816" s="342"/>
      <c r="CO2816" s="342"/>
      <c r="CP2816" s="342"/>
      <c r="CQ2816" s="342"/>
      <c r="CR2816" s="342"/>
      <c r="CS2816" s="342"/>
      <c r="CT2816" s="342"/>
      <c r="CU2816" s="342"/>
      <c r="CV2816" s="342"/>
      <c r="CW2816" s="342"/>
      <c r="CX2816" s="342"/>
      <c r="CY2816" s="342"/>
      <c r="CZ2816" s="342"/>
      <c r="DA2816" s="342"/>
      <c r="DB2816" s="342"/>
      <c r="DC2816" s="342"/>
      <c r="DD2816" s="342"/>
      <c r="DE2816" s="342"/>
      <c r="DF2816" s="342"/>
      <c r="DG2816" s="342"/>
      <c r="DH2816" s="342"/>
      <c r="DI2816" s="342"/>
      <c r="DJ2816" s="342"/>
      <c r="DK2816" s="342"/>
      <c r="DL2816" s="342"/>
    </row>
    <row r="2817">
      <c r="A2817" s="44">
        <v>3038.0</v>
      </c>
      <c r="B2817" s="1322" t="s">
        <v>152</v>
      </c>
      <c r="C2817" s="1588" t="s">
        <v>115</v>
      </c>
      <c r="D2817" s="1588" t="s">
        <v>153</v>
      </c>
      <c r="E2817" s="1572"/>
      <c r="F2817" s="1600" t="s">
        <v>16459</v>
      </c>
      <c r="G2817" s="1592" t="s">
        <v>16592</v>
      </c>
      <c r="H2817" s="1600" t="s">
        <v>15921</v>
      </c>
      <c r="I2817" s="2229">
        <v>45821.0</v>
      </c>
      <c r="J2817" s="2230">
        <v>45847.0</v>
      </c>
      <c r="K2817" s="1592" t="s">
        <v>16474</v>
      </c>
      <c r="L2817" s="1313"/>
      <c r="M2817" s="1592" t="s">
        <v>16462</v>
      </c>
      <c r="N2817" s="1592" t="s">
        <v>16463</v>
      </c>
      <c r="O2817" s="1313"/>
      <c r="P2817" s="1592" t="s">
        <v>16464</v>
      </c>
      <c r="Q2817" s="2331" t="s">
        <v>16465</v>
      </c>
      <c r="R2817" s="1592" t="s">
        <v>16496</v>
      </c>
      <c r="S2817" s="1592" t="s">
        <v>16467</v>
      </c>
      <c r="T2817" s="1313"/>
      <c r="U2817" s="1313"/>
      <c r="V2817" s="1592" t="s">
        <v>16468</v>
      </c>
      <c r="W2817" s="1313"/>
      <c r="X2817" s="2233" t="str">
        <f t="array" ref="X2817"> if(iserror(MATCH(V2817, 'File Links'!C:C, 0)), "N/A", HYPERLINK(INDEX('File Links'!B:B, MATCH(V2817, 'File Links'!C:C, 0))))</f>
        <v>https://drive.google.com/file/d/16V6fX6zed8MKZ53zcmG18UMG8cS5fmS4/view?usp=drivesdk</v>
      </c>
      <c r="Y2817" s="1313"/>
      <c r="Z2817" s="1592" t="s">
        <v>1679</v>
      </c>
      <c r="AA2817" s="1600" t="s">
        <v>16476</v>
      </c>
      <c r="AB2817" s="1592" t="s">
        <v>16477</v>
      </c>
      <c r="AC2817" s="1600" t="s">
        <v>16593</v>
      </c>
      <c r="AD2817" s="1600" t="s">
        <v>16479</v>
      </c>
      <c r="AE2817" s="2265">
        <v>6.0</v>
      </c>
      <c r="AF2817" s="1596">
        <v>485.0</v>
      </c>
      <c r="AG2817" s="1596">
        <v>0.242</v>
      </c>
      <c r="AH2817" s="1592" t="s">
        <v>361</v>
      </c>
      <c r="AI2817" s="2341" t="s">
        <v>16594</v>
      </c>
      <c r="AJ2817" s="2265">
        <v>1.0E-4</v>
      </c>
      <c r="AK2817" s="1592" t="s">
        <v>135</v>
      </c>
      <c r="AL2817" s="1592" t="s">
        <v>186</v>
      </c>
      <c r="AM2817" s="1592" t="s">
        <v>137</v>
      </c>
      <c r="AN2817" s="1324" t="s">
        <v>138</v>
      </c>
      <c r="AO2817" s="1596">
        <v>285.0</v>
      </c>
      <c r="AP2817" s="2265">
        <v>0.106</v>
      </c>
      <c r="AQ2817" s="1592" t="s">
        <v>361</v>
      </c>
      <c r="AR2817" s="2262" t="s">
        <v>16595</v>
      </c>
      <c r="AS2817" s="1596">
        <v>0.05</v>
      </c>
      <c r="AT2817" s="1592" t="s">
        <v>335</v>
      </c>
      <c r="AU2817" s="1592" t="s">
        <v>186</v>
      </c>
      <c r="AV2817" s="1592" t="s">
        <v>137</v>
      </c>
      <c r="AW2817" s="1592" t="s">
        <v>138</v>
      </c>
      <c r="AX2817" s="1592" t="s">
        <v>143</v>
      </c>
      <c r="AY2817" s="61" t="str">
        <f>IFERROR(__xludf.DUMMYFUNCTION("vlookup(BB2817,importrange(""https://docs.google.com/spreadsheets/d/1d2vevQ_7D_v35q4wCQ4RpQ_IPoTwEMB9Yp6ymwlPqew/edit?gid=984458430#gid=984458430"", ""'replication success'!A:K""), 11, FAlSE)"),"#N/A")</f>
        <v>#N/A</v>
      </c>
      <c r="AZ2817" s="61" t="str">
        <f>IFERROR(__xludf.DUMMYFUNCTION("vlookup(BB2817,importrange(""https://docs.google.com/spreadsheets/d/1d2vevQ_7D_v35q4wCQ4RpQ_IPoTwEMB9Yp6ymwlPqew/edit?gid=984458430#gid=984458430"", ""'replication success'!A:M""), 12, FAlSE)"),"#N/A")</f>
        <v>#N/A</v>
      </c>
      <c r="BA2817" s="61" t="str">
        <f>IFERROR(__xludf.DUMMYFUNCTION("vlookup(BB2817,importrange(""https://docs.google.com/spreadsheets/d/1d2vevQ_7D_v35q4wCQ4RpQ_IPoTwEMB9Yp6ymwlPqew/edit?gid=984458430#gid=984458430"", ""'replication success'!A:M""), 13, FAlSE)"),"#N/A")</f>
        <v>#N/A</v>
      </c>
      <c r="BB2817" s="61" t="str">
        <f>IFERROR(__xludf.DUMMYFUNCTION("REGEXREPLACE(G2817, ""_[a-z]{1,2}$"", """")"),"add_ai60")</f>
        <v>add_ai60</v>
      </c>
      <c r="BC2817" s="1572"/>
      <c r="BD2817" s="1588" t="s">
        <v>13264</v>
      </c>
      <c r="BE2817" s="342"/>
      <c r="BF2817" s="342"/>
      <c r="BG2817" s="342"/>
      <c r="BH2817" s="342"/>
      <c r="BI2817" s="342"/>
      <c r="BJ2817" s="342"/>
      <c r="BK2817" s="342"/>
      <c r="BL2817" s="342"/>
      <c r="BM2817" s="342"/>
      <c r="BN2817" s="342"/>
      <c r="BO2817" s="342"/>
      <c r="BP2817" s="342"/>
      <c r="BQ2817" s="342"/>
      <c r="BR2817" s="342"/>
      <c r="BS2817" s="342"/>
      <c r="BT2817" s="342"/>
      <c r="BU2817" s="342"/>
      <c r="BV2817" s="342"/>
      <c r="BW2817" s="342"/>
      <c r="BX2817" s="342"/>
      <c r="BY2817" s="342"/>
      <c r="BZ2817" s="342"/>
      <c r="CA2817" s="342"/>
      <c r="CB2817" s="342"/>
      <c r="CC2817" s="342"/>
      <c r="CD2817" s="342"/>
      <c r="CE2817" s="342"/>
      <c r="CF2817" s="342"/>
      <c r="CG2817" s="342"/>
      <c r="CH2817" s="342"/>
      <c r="CI2817" s="342"/>
      <c r="CJ2817" s="342"/>
      <c r="CK2817" s="342"/>
      <c r="CL2817" s="342"/>
      <c r="CM2817" s="342"/>
      <c r="CN2817" s="342"/>
      <c r="CO2817" s="342"/>
      <c r="CP2817" s="342"/>
      <c r="CQ2817" s="342"/>
      <c r="CR2817" s="342"/>
      <c r="CS2817" s="342"/>
      <c r="CT2817" s="342"/>
      <c r="CU2817" s="342"/>
      <c r="CV2817" s="342"/>
      <c r="CW2817" s="342"/>
      <c r="CX2817" s="342"/>
      <c r="CY2817" s="342"/>
      <c r="CZ2817" s="342"/>
      <c r="DA2817" s="342"/>
      <c r="DB2817" s="342"/>
      <c r="DC2817" s="342"/>
      <c r="DD2817" s="342"/>
      <c r="DE2817" s="342"/>
      <c r="DF2817" s="342"/>
      <c r="DG2817" s="342"/>
      <c r="DH2817" s="342"/>
      <c r="DI2817" s="342"/>
      <c r="DJ2817" s="342"/>
      <c r="DK2817" s="342"/>
      <c r="DL2817" s="342"/>
    </row>
    <row r="2818">
      <c r="A2818" s="44">
        <v>3064.0</v>
      </c>
      <c r="B2818" s="1322" t="s">
        <v>152</v>
      </c>
      <c r="C2818" s="1588" t="s">
        <v>115</v>
      </c>
      <c r="D2818" s="1588" t="s">
        <v>153</v>
      </c>
      <c r="E2818" s="1572"/>
      <c r="F2818" s="1600" t="s">
        <v>16459</v>
      </c>
      <c r="G2818" s="1592" t="s">
        <v>16596</v>
      </c>
      <c r="H2818" s="1600" t="s">
        <v>15921</v>
      </c>
      <c r="I2818" s="2229">
        <v>45821.0</v>
      </c>
      <c r="J2818" s="2230">
        <v>45847.0</v>
      </c>
      <c r="K2818" s="1592" t="s">
        <v>16483</v>
      </c>
      <c r="L2818" s="1313"/>
      <c r="M2818" s="1592" t="s">
        <v>16462</v>
      </c>
      <c r="N2818" s="1592" t="s">
        <v>16463</v>
      </c>
      <c r="O2818" s="1313"/>
      <c r="P2818" s="1592" t="s">
        <v>16464</v>
      </c>
      <c r="Q2818" s="2331" t="s">
        <v>16465</v>
      </c>
      <c r="R2818" s="1592" t="s">
        <v>16496</v>
      </c>
      <c r="S2818" s="1592" t="s">
        <v>16467</v>
      </c>
      <c r="T2818" s="1313"/>
      <c r="U2818" s="1313"/>
      <c r="V2818" s="1592" t="s">
        <v>16468</v>
      </c>
      <c r="W2818" s="1313"/>
      <c r="X2818" s="2233" t="str">
        <f t="array" ref="X2818"> if(iserror(MATCH(V2818, 'File Links'!C:C, 0)), "N/A", HYPERLINK(INDEX('File Links'!B:B, MATCH(V2818, 'File Links'!C:C, 0))))</f>
        <v>https://drive.google.com/file/d/16V6fX6zed8MKZ53zcmG18UMG8cS5fmS4/view?usp=drivesdk</v>
      </c>
      <c r="Y2818" s="1313"/>
      <c r="Z2818" s="1592" t="s">
        <v>1679</v>
      </c>
      <c r="AA2818" s="1600" t="s">
        <v>16476</v>
      </c>
      <c r="AB2818" s="1592" t="s">
        <v>16477</v>
      </c>
      <c r="AC2818" s="2262" t="s">
        <v>16597</v>
      </c>
      <c r="AD2818" s="1592" t="s">
        <v>16486</v>
      </c>
      <c r="AE2818" s="2265">
        <v>7.0</v>
      </c>
      <c r="AF2818" s="2342">
        <f>485*0.44</f>
        <v>213.4</v>
      </c>
      <c r="AG2818" s="2265">
        <v>0.248</v>
      </c>
      <c r="AH2818" s="1592" t="s">
        <v>16492</v>
      </c>
      <c r="AI2818" s="2341" t="s">
        <v>16598</v>
      </c>
      <c r="AJ2818" s="1324" t="s">
        <v>138</v>
      </c>
      <c r="AK2818" s="1324" t="s">
        <v>138</v>
      </c>
      <c r="AL2818" s="1592" t="s">
        <v>186</v>
      </c>
      <c r="AM2818" s="1592" t="s">
        <v>137</v>
      </c>
      <c r="AN2818" s="1592" t="s">
        <v>138</v>
      </c>
      <c r="AO2818" s="1596">
        <v>285.0</v>
      </c>
      <c r="AP2818" s="2265">
        <v>0.048</v>
      </c>
      <c r="AQ2818" s="1592" t="s">
        <v>16492</v>
      </c>
      <c r="AR2818" s="2262" t="s">
        <v>16599</v>
      </c>
      <c r="AS2818" s="1592" t="s">
        <v>138</v>
      </c>
      <c r="AT2818" s="2343" t="s">
        <v>138</v>
      </c>
      <c r="AU2818" s="1592" t="s">
        <v>186</v>
      </c>
      <c r="AV2818" s="1592" t="s">
        <v>137</v>
      </c>
      <c r="AW2818" s="1592" t="s">
        <v>138</v>
      </c>
      <c r="AX2818" s="1592" t="s">
        <v>143</v>
      </c>
      <c r="AY2818" s="61" t="str">
        <f>IFERROR(__xludf.DUMMYFUNCTION("vlookup(BB2818,importrange(""https://docs.google.com/spreadsheets/d/1d2vevQ_7D_v35q4wCQ4RpQ_IPoTwEMB9Yp6ymwlPqew/edit?gid=984458430#gid=984458430"", ""'replication success'!A:K""), 11, FAlSE)"),"#N/A")</f>
        <v>#N/A</v>
      </c>
      <c r="AZ2818" s="61" t="str">
        <f>IFERROR(__xludf.DUMMYFUNCTION("vlookup(BB2818,importrange(""https://docs.google.com/spreadsheets/d/1d2vevQ_7D_v35q4wCQ4RpQ_IPoTwEMB9Yp6ymwlPqew/edit?gid=984458430#gid=984458430"", ""'replication success'!A:M""), 12, FAlSE)"),"#N/A")</f>
        <v>#N/A</v>
      </c>
      <c r="BA2818" s="61" t="str">
        <f>IFERROR(__xludf.DUMMYFUNCTION("vlookup(BB2818,importrange(""https://docs.google.com/spreadsheets/d/1d2vevQ_7D_v35q4wCQ4RpQ_IPoTwEMB9Yp6ymwlPqew/edit?gid=984458430#gid=984458430"", ""'replication success'!A:M""), 13, FAlSE)"),"#N/A")</f>
        <v>#N/A</v>
      </c>
      <c r="BB2818" s="61" t="str">
        <f>IFERROR(__xludf.DUMMYFUNCTION("REGEXREPLACE(G2818, ""_[a-z]{1,2}$"", """")"),"add_ai60_j2")</f>
        <v>add_ai60_j2</v>
      </c>
      <c r="BC2818" s="1572"/>
      <c r="BD2818" s="1588" t="s">
        <v>13264</v>
      </c>
      <c r="BE2818" s="342"/>
      <c r="BF2818" s="342"/>
      <c r="BG2818" s="342"/>
      <c r="BH2818" s="342"/>
      <c r="BI2818" s="342"/>
      <c r="BJ2818" s="342"/>
      <c r="BK2818" s="342"/>
      <c r="BL2818" s="342"/>
      <c r="BM2818" s="342"/>
      <c r="BN2818" s="342"/>
      <c r="BO2818" s="342"/>
      <c r="BP2818" s="342"/>
      <c r="BQ2818" s="342"/>
      <c r="BR2818" s="342"/>
      <c r="BS2818" s="342"/>
      <c r="BT2818" s="342"/>
      <c r="BU2818" s="342"/>
      <c r="BV2818" s="342"/>
      <c r="BW2818" s="342"/>
      <c r="BX2818" s="342"/>
      <c r="BY2818" s="342"/>
      <c r="BZ2818" s="342"/>
      <c r="CA2818" s="342"/>
      <c r="CB2818" s="342"/>
      <c r="CC2818" s="342"/>
      <c r="CD2818" s="342"/>
      <c r="CE2818" s="342"/>
      <c r="CF2818" s="342"/>
      <c r="CG2818" s="342"/>
      <c r="CH2818" s="342"/>
      <c r="CI2818" s="342"/>
      <c r="CJ2818" s="342"/>
      <c r="CK2818" s="342"/>
      <c r="CL2818" s="342"/>
      <c r="CM2818" s="342"/>
      <c r="CN2818" s="342"/>
      <c r="CO2818" s="342"/>
      <c r="CP2818" s="342"/>
      <c r="CQ2818" s="342"/>
      <c r="CR2818" s="342"/>
      <c r="CS2818" s="342"/>
      <c r="CT2818" s="342"/>
      <c r="CU2818" s="342"/>
      <c r="CV2818" s="342"/>
      <c r="CW2818" s="342"/>
      <c r="CX2818" s="342"/>
      <c r="CY2818" s="342"/>
      <c r="CZ2818" s="342"/>
      <c r="DA2818" s="342"/>
      <c r="DB2818" s="342"/>
      <c r="DC2818" s="342"/>
      <c r="DD2818" s="342"/>
      <c r="DE2818" s="342"/>
      <c r="DF2818" s="342"/>
      <c r="DG2818" s="342"/>
      <c r="DH2818" s="342"/>
      <c r="DI2818" s="342"/>
      <c r="DJ2818" s="342"/>
      <c r="DK2818" s="342"/>
      <c r="DL2818" s="342"/>
    </row>
    <row r="2819">
      <c r="A2819" s="44">
        <v>3090.0</v>
      </c>
      <c r="B2819" s="1322" t="s">
        <v>152</v>
      </c>
      <c r="C2819" s="1588" t="s">
        <v>115</v>
      </c>
      <c r="D2819" s="1588" t="s">
        <v>153</v>
      </c>
      <c r="E2819" s="1572"/>
      <c r="F2819" s="1600" t="s">
        <v>16459</v>
      </c>
      <c r="G2819" s="1592" t="s">
        <v>16600</v>
      </c>
      <c r="H2819" s="1600" t="s">
        <v>15921</v>
      </c>
      <c r="I2819" s="2229">
        <v>45821.0</v>
      </c>
      <c r="J2819" s="2230">
        <v>45847.0</v>
      </c>
      <c r="K2819" s="1592" t="s">
        <v>16483</v>
      </c>
      <c r="L2819" s="1313"/>
      <c r="M2819" s="1592" t="s">
        <v>16462</v>
      </c>
      <c r="N2819" s="1592" t="s">
        <v>16463</v>
      </c>
      <c r="O2819" s="1313"/>
      <c r="P2819" s="1592" t="s">
        <v>16464</v>
      </c>
      <c r="Q2819" s="2331" t="s">
        <v>16465</v>
      </c>
      <c r="R2819" s="1592" t="s">
        <v>16496</v>
      </c>
      <c r="S2819" s="1592" t="s">
        <v>16467</v>
      </c>
      <c r="T2819" s="1313"/>
      <c r="U2819" s="1313"/>
      <c r="V2819" s="1592" t="s">
        <v>16468</v>
      </c>
      <c r="W2819" s="1313"/>
      <c r="X2819" s="2233" t="str">
        <f t="array" ref="X2819"> if(iserror(MATCH(V2819, 'File Links'!C:C, 0)), "N/A", HYPERLINK(INDEX('File Links'!B:B, MATCH(V2819, 'File Links'!C:C, 0))))</f>
        <v>https://drive.google.com/file/d/16V6fX6zed8MKZ53zcmG18UMG8cS5fmS4/view?usp=drivesdk</v>
      </c>
      <c r="Y2819" s="1313"/>
      <c r="Z2819" s="1592" t="s">
        <v>1679</v>
      </c>
      <c r="AA2819" s="1600" t="s">
        <v>16476</v>
      </c>
      <c r="AB2819" s="1592" t="s">
        <v>16477</v>
      </c>
      <c r="AC2819" s="2262" t="s">
        <v>16601</v>
      </c>
      <c r="AD2819" s="1592" t="s">
        <v>16486</v>
      </c>
      <c r="AE2819" s="2265">
        <v>7.0</v>
      </c>
      <c r="AF2819" s="2342">
        <f>485*0.14</f>
        <v>67.9</v>
      </c>
      <c r="AG2819" s="2265">
        <v>0.239</v>
      </c>
      <c r="AH2819" s="1592" t="s">
        <v>16492</v>
      </c>
      <c r="AI2819" s="2341" t="s">
        <v>16602</v>
      </c>
      <c r="AJ2819" s="1324" t="s">
        <v>138</v>
      </c>
      <c r="AK2819" s="1324" t="s">
        <v>138</v>
      </c>
      <c r="AL2819" s="1592" t="s">
        <v>186</v>
      </c>
      <c r="AM2819" s="1592" t="s">
        <v>137</v>
      </c>
      <c r="AN2819" s="1592" t="s">
        <v>138</v>
      </c>
      <c r="AO2819" s="1596">
        <v>285.0</v>
      </c>
      <c r="AP2819" s="2265">
        <v>0.034</v>
      </c>
      <c r="AQ2819" s="1592" t="s">
        <v>16492</v>
      </c>
      <c r="AR2819" s="2262" t="s">
        <v>16603</v>
      </c>
      <c r="AS2819" s="1592" t="s">
        <v>138</v>
      </c>
      <c r="AT2819" s="2343" t="s">
        <v>138</v>
      </c>
      <c r="AU2819" s="1592" t="s">
        <v>186</v>
      </c>
      <c r="AV2819" s="1592" t="s">
        <v>137</v>
      </c>
      <c r="AW2819" s="1592" t="s">
        <v>138</v>
      </c>
      <c r="AX2819" s="1592" t="s">
        <v>143</v>
      </c>
      <c r="AY2819" s="61" t="str">
        <f>IFERROR(__xludf.DUMMYFUNCTION("vlookup(BB2819,importrange(""https://docs.google.com/spreadsheets/d/1d2vevQ_7D_v35q4wCQ4RpQ_IPoTwEMB9Yp6ymwlPqew/edit?gid=984458430#gid=984458430"", ""'replication success'!A:K""), 11, FAlSE)"),"#N/A")</f>
        <v>#N/A</v>
      </c>
      <c r="AZ2819" s="61" t="str">
        <f>IFERROR(__xludf.DUMMYFUNCTION("vlookup(BB2819,importrange(""https://docs.google.com/spreadsheets/d/1d2vevQ_7D_v35q4wCQ4RpQ_IPoTwEMB9Yp6ymwlPqew/edit?gid=984458430#gid=984458430"", ""'replication success'!A:M""), 12, FAlSE)"),"#N/A")</f>
        <v>#N/A</v>
      </c>
      <c r="BA2819" s="61" t="str">
        <f>IFERROR(__xludf.DUMMYFUNCTION("vlookup(BB2819,importrange(""https://docs.google.com/spreadsheets/d/1d2vevQ_7D_v35q4wCQ4RpQ_IPoTwEMB9Yp6ymwlPqew/edit?gid=984458430#gid=984458430"", ""'replication success'!A:M""), 13, FAlSE)"),"#N/A")</f>
        <v>#N/A</v>
      </c>
      <c r="BB2819" s="61" t="str">
        <f>IFERROR(__xludf.DUMMYFUNCTION("REGEXREPLACE(G2819, ""_[a-z]{1,2}$"", """")"),"add_ai60_j3")</f>
        <v>add_ai60_j3</v>
      </c>
      <c r="BC2819" s="1572"/>
      <c r="BD2819" s="1588" t="s">
        <v>13264</v>
      </c>
      <c r="BE2819" s="342"/>
      <c r="BF2819" s="342"/>
      <c r="BG2819" s="342"/>
      <c r="BH2819" s="342"/>
      <c r="BI2819" s="342"/>
      <c r="BJ2819" s="342"/>
      <c r="BK2819" s="342"/>
      <c r="BL2819" s="342"/>
      <c r="BM2819" s="342"/>
      <c r="BN2819" s="342"/>
      <c r="BO2819" s="342"/>
      <c r="BP2819" s="342"/>
      <c r="BQ2819" s="342"/>
      <c r="BR2819" s="342"/>
      <c r="BS2819" s="342"/>
      <c r="BT2819" s="342"/>
      <c r="BU2819" s="342"/>
      <c r="BV2819" s="342"/>
      <c r="BW2819" s="342"/>
      <c r="BX2819" s="342"/>
      <c r="BY2819" s="342"/>
      <c r="BZ2819" s="342"/>
      <c r="CA2819" s="342"/>
      <c r="CB2819" s="342"/>
      <c r="CC2819" s="342"/>
      <c r="CD2819" s="342"/>
      <c r="CE2819" s="342"/>
      <c r="CF2819" s="342"/>
      <c r="CG2819" s="342"/>
      <c r="CH2819" s="342"/>
      <c r="CI2819" s="342"/>
      <c r="CJ2819" s="342"/>
      <c r="CK2819" s="342"/>
      <c r="CL2819" s="342"/>
      <c r="CM2819" s="342"/>
      <c r="CN2819" s="342"/>
      <c r="CO2819" s="342"/>
      <c r="CP2819" s="342"/>
      <c r="CQ2819" s="342"/>
      <c r="CR2819" s="342"/>
      <c r="CS2819" s="342"/>
      <c r="CT2819" s="342"/>
      <c r="CU2819" s="342"/>
      <c r="CV2819" s="342"/>
      <c r="CW2819" s="342"/>
      <c r="CX2819" s="342"/>
      <c r="CY2819" s="342"/>
      <c r="CZ2819" s="342"/>
      <c r="DA2819" s="342"/>
      <c r="DB2819" s="342"/>
      <c r="DC2819" s="342"/>
      <c r="DD2819" s="342"/>
      <c r="DE2819" s="342"/>
      <c r="DF2819" s="342"/>
      <c r="DG2819" s="342"/>
      <c r="DH2819" s="342"/>
      <c r="DI2819" s="342"/>
      <c r="DJ2819" s="342"/>
      <c r="DK2819" s="342"/>
      <c r="DL2819" s="342"/>
    </row>
    <row r="2820">
      <c r="A2820" s="44">
        <v>3039.0</v>
      </c>
      <c r="B2820" s="1322" t="s">
        <v>152</v>
      </c>
      <c r="C2820" s="1588" t="s">
        <v>115</v>
      </c>
      <c r="D2820" s="1588" t="s">
        <v>153</v>
      </c>
      <c r="E2820" s="1572"/>
      <c r="F2820" s="1600" t="s">
        <v>16459</v>
      </c>
      <c r="G2820" s="1592" t="s">
        <v>16604</v>
      </c>
      <c r="H2820" s="1600" t="s">
        <v>15921</v>
      </c>
      <c r="I2820" s="2229">
        <v>45821.0</v>
      </c>
      <c r="J2820" s="2230">
        <v>45847.0</v>
      </c>
      <c r="K2820" s="1592" t="s">
        <v>16474</v>
      </c>
      <c r="L2820" s="1313"/>
      <c r="M2820" s="1592" t="s">
        <v>16462</v>
      </c>
      <c r="N2820" s="1592" t="s">
        <v>16463</v>
      </c>
      <c r="O2820" s="1313"/>
      <c r="P2820" s="1592" t="s">
        <v>16464</v>
      </c>
      <c r="Q2820" s="2331" t="s">
        <v>16465</v>
      </c>
      <c r="R2820" s="1592" t="s">
        <v>16496</v>
      </c>
      <c r="S2820" s="1592" t="s">
        <v>16467</v>
      </c>
      <c r="T2820" s="1313"/>
      <c r="U2820" s="1313"/>
      <c r="V2820" s="1592" t="s">
        <v>16468</v>
      </c>
      <c r="W2820" s="1313"/>
      <c r="X2820" s="2233" t="str">
        <f t="array" ref="X2820"> if(iserror(MATCH(V2820, 'File Links'!C:C, 0)), "N/A", HYPERLINK(INDEX('File Links'!B:B, MATCH(V2820, 'File Links'!C:C, 0))))</f>
        <v>https://drive.google.com/file/d/16V6fX6zed8MKZ53zcmG18UMG8cS5fmS4/view?usp=drivesdk</v>
      </c>
      <c r="Y2820" s="1313"/>
      <c r="Z2820" s="1592" t="s">
        <v>1679</v>
      </c>
      <c r="AA2820" s="1600" t="s">
        <v>16476</v>
      </c>
      <c r="AB2820" s="1592" t="s">
        <v>16477</v>
      </c>
      <c r="AC2820" s="1600" t="s">
        <v>16605</v>
      </c>
      <c r="AD2820" s="1600" t="s">
        <v>16479</v>
      </c>
      <c r="AE2820" s="2265">
        <v>6.0</v>
      </c>
      <c r="AF2820" s="1596">
        <v>485.0</v>
      </c>
      <c r="AG2820" s="2265">
        <v>0.14</v>
      </c>
      <c r="AH2820" s="1592" t="s">
        <v>361</v>
      </c>
      <c r="AI2820" s="2341" t="s">
        <v>16606</v>
      </c>
      <c r="AJ2820" s="2265">
        <v>0.0082</v>
      </c>
      <c r="AK2820" s="1592" t="s">
        <v>172</v>
      </c>
      <c r="AL2820" s="1592" t="s">
        <v>186</v>
      </c>
      <c r="AM2820" s="1592" t="s">
        <v>137</v>
      </c>
      <c r="AN2820" s="1324" t="s">
        <v>138</v>
      </c>
      <c r="AO2820" s="1596">
        <v>285.0</v>
      </c>
      <c r="AP2820" s="2265">
        <v>0.106</v>
      </c>
      <c r="AQ2820" s="1592" t="s">
        <v>361</v>
      </c>
      <c r="AR2820" s="2262" t="s">
        <v>16607</v>
      </c>
      <c r="AS2820" s="1596">
        <v>0.05</v>
      </c>
      <c r="AT2820" s="1592" t="s">
        <v>335</v>
      </c>
      <c r="AU2820" s="1592" t="s">
        <v>186</v>
      </c>
      <c r="AV2820" s="1592" t="s">
        <v>137</v>
      </c>
      <c r="AW2820" s="1592" t="s">
        <v>138</v>
      </c>
      <c r="AX2820" s="1592" t="s">
        <v>143</v>
      </c>
      <c r="AY2820" s="61" t="str">
        <f>IFERROR(__xludf.DUMMYFUNCTION("vlookup(BB2820,importrange(""https://docs.google.com/spreadsheets/d/1d2vevQ_7D_v35q4wCQ4RpQ_IPoTwEMB9Yp6ymwlPqew/edit?gid=984458430#gid=984458430"", ""'replication success'!A:K""), 11, FAlSE)"),"#N/A")</f>
        <v>#N/A</v>
      </c>
      <c r="AZ2820" s="61" t="str">
        <f>IFERROR(__xludf.DUMMYFUNCTION("vlookup(BB2820,importrange(""https://docs.google.com/spreadsheets/d/1d2vevQ_7D_v35q4wCQ4RpQ_IPoTwEMB9Yp6ymwlPqew/edit?gid=984458430#gid=984458430"", ""'replication success'!A:M""), 12, FAlSE)"),"#N/A")</f>
        <v>#N/A</v>
      </c>
      <c r="BA2820" s="61" t="str">
        <f>IFERROR(__xludf.DUMMYFUNCTION("vlookup(BB2820,importrange(""https://docs.google.com/spreadsheets/d/1d2vevQ_7D_v35q4wCQ4RpQ_IPoTwEMB9Yp6ymwlPqew/edit?gid=984458430#gid=984458430"", ""'replication success'!A:M""), 13, FAlSE)"),"#N/A")</f>
        <v>#N/A</v>
      </c>
      <c r="BB2820" s="61" t="str">
        <f>IFERROR(__xludf.DUMMYFUNCTION("REGEXREPLACE(G2820, ""_[a-z]{1,2}$"", """")"),"add_ai60")</f>
        <v>add_ai60</v>
      </c>
      <c r="BC2820" s="1572"/>
      <c r="BD2820" s="1588" t="s">
        <v>13264</v>
      </c>
      <c r="BE2820" s="342"/>
      <c r="BF2820" s="342"/>
      <c r="BG2820" s="342"/>
      <c r="BH2820" s="342"/>
      <c r="BI2820" s="342"/>
      <c r="BJ2820" s="342"/>
      <c r="BK2820" s="342"/>
      <c r="BL2820" s="342"/>
      <c r="BM2820" s="342"/>
      <c r="BN2820" s="342"/>
      <c r="BO2820" s="342"/>
      <c r="BP2820" s="342"/>
      <c r="BQ2820" s="342"/>
      <c r="BR2820" s="342"/>
      <c r="BS2820" s="342"/>
      <c r="BT2820" s="342"/>
      <c r="BU2820" s="342"/>
      <c r="BV2820" s="342"/>
      <c r="BW2820" s="342"/>
      <c r="BX2820" s="342"/>
      <c r="BY2820" s="342"/>
      <c r="BZ2820" s="342"/>
      <c r="CA2820" s="342"/>
      <c r="CB2820" s="342"/>
      <c r="CC2820" s="342"/>
      <c r="CD2820" s="342"/>
      <c r="CE2820" s="342"/>
      <c r="CF2820" s="342"/>
      <c r="CG2820" s="342"/>
      <c r="CH2820" s="342"/>
      <c r="CI2820" s="342"/>
      <c r="CJ2820" s="342"/>
      <c r="CK2820" s="342"/>
      <c r="CL2820" s="342"/>
      <c r="CM2820" s="342"/>
      <c r="CN2820" s="342"/>
      <c r="CO2820" s="342"/>
      <c r="CP2820" s="342"/>
      <c r="CQ2820" s="342"/>
      <c r="CR2820" s="342"/>
      <c r="CS2820" s="342"/>
      <c r="CT2820" s="342"/>
      <c r="CU2820" s="342"/>
      <c r="CV2820" s="342"/>
      <c r="CW2820" s="342"/>
      <c r="CX2820" s="342"/>
      <c r="CY2820" s="342"/>
      <c r="CZ2820" s="342"/>
      <c r="DA2820" s="342"/>
      <c r="DB2820" s="342"/>
      <c r="DC2820" s="342"/>
      <c r="DD2820" s="342"/>
      <c r="DE2820" s="342"/>
      <c r="DF2820" s="342"/>
      <c r="DG2820" s="342"/>
      <c r="DH2820" s="342"/>
      <c r="DI2820" s="342"/>
      <c r="DJ2820" s="342"/>
      <c r="DK2820" s="342"/>
      <c r="DL2820" s="342"/>
    </row>
    <row r="2821">
      <c r="A2821" s="44">
        <v>3065.0</v>
      </c>
      <c r="B2821" s="1322" t="s">
        <v>152</v>
      </c>
      <c r="C2821" s="1588" t="s">
        <v>115</v>
      </c>
      <c r="D2821" s="1588" t="s">
        <v>153</v>
      </c>
      <c r="E2821" s="1572"/>
      <c r="F2821" s="1600" t="s">
        <v>16459</v>
      </c>
      <c r="G2821" s="1592" t="s">
        <v>16608</v>
      </c>
      <c r="H2821" s="1600" t="s">
        <v>15921</v>
      </c>
      <c r="I2821" s="2229">
        <v>45821.0</v>
      </c>
      <c r="J2821" s="2230">
        <v>45847.0</v>
      </c>
      <c r="K2821" s="1592" t="s">
        <v>16483</v>
      </c>
      <c r="L2821" s="1313"/>
      <c r="M2821" s="1592" t="s">
        <v>16462</v>
      </c>
      <c r="N2821" s="1592" t="s">
        <v>16463</v>
      </c>
      <c r="O2821" s="1313"/>
      <c r="P2821" s="1592" t="s">
        <v>16464</v>
      </c>
      <c r="Q2821" s="2331" t="s">
        <v>16465</v>
      </c>
      <c r="R2821" s="1592" t="s">
        <v>16496</v>
      </c>
      <c r="S2821" s="1592" t="s">
        <v>16467</v>
      </c>
      <c r="T2821" s="1313"/>
      <c r="U2821" s="1313"/>
      <c r="V2821" s="1592" t="s">
        <v>16468</v>
      </c>
      <c r="W2821" s="1313"/>
      <c r="X2821" s="2233" t="str">
        <f t="array" ref="X2821"> if(iserror(MATCH(V2821, 'File Links'!C:C, 0)), "N/A", HYPERLINK(INDEX('File Links'!B:B, MATCH(V2821, 'File Links'!C:C, 0))))</f>
        <v>https://drive.google.com/file/d/16V6fX6zed8MKZ53zcmG18UMG8cS5fmS4/view?usp=drivesdk</v>
      </c>
      <c r="Y2821" s="1313"/>
      <c r="Z2821" s="1592" t="s">
        <v>1679</v>
      </c>
      <c r="AA2821" s="1600" t="s">
        <v>16476</v>
      </c>
      <c r="AB2821" s="1592" t="s">
        <v>16477</v>
      </c>
      <c r="AC2821" s="2262" t="s">
        <v>16609</v>
      </c>
      <c r="AD2821" s="1592" t="s">
        <v>16486</v>
      </c>
      <c r="AE2821" s="2265">
        <v>7.0</v>
      </c>
      <c r="AF2821" s="2342">
        <f>485*0.44</f>
        <v>213.4</v>
      </c>
      <c r="AG2821" s="2265">
        <v>0.188</v>
      </c>
      <c r="AH2821" s="1592" t="s">
        <v>16492</v>
      </c>
      <c r="AI2821" s="2341" t="s">
        <v>16610</v>
      </c>
      <c r="AJ2821" s="1324" t="s">
        <v>138</v>
      </c>
      <c r="AK2821" s="1324" t="s">
        <v>138</v>
      </c>
      <c r="AL2821" s="1592" t="s">
        <v>186</v>
      </c>
      <c r="AM2821" s="1592" t="s">
        <v>137</v>
      </c>
      <c r="AN2821" s="1592" t="s">
        <v>138</v>
      </c>
      <c r="AO2821" s="1596">
        <v>285.0</v>
      </c>
      <c r="AP2821" s="1596">
        <v>0.081</v>
      </c>
      <c r="AQ2821" s="1592" t="s">
        <v>16492</v>
      </c>
      <c r="AR2821" s="2262" t="s">
        <v>16611</v>
      </c>
      <c r="AS2821" s="1592" t="s">
        <v>138</v>
      </c>
      <c r="AT2821" s="2337" t="s">
        <v>138</v>
      </c>
      <c r="AU2821" s="1592" t="s">
        <v>186</v>
      </c>
      <c r="AV2821" s="1592" t="s">
        <v>137</v>
      </c>
      <c r="AW2821" s="1592" t="s">
        <v>138</v>
      </c>
      <c r="AX2821" s="1592" t="s">
        <v>143</v>
      </c>
      <c r="AY2821" s="61" t="str">
        <f>IFERROR(__xludf.DUMMYFUNCTION("vlookup(BB2821,importrange(""https://docs.google.com/spreadsheets/d/1d2vevQ_7D_v35q4wCQ4RpQ_IPoTwEMB9Yp6ymwlPqew/edit?gid=984458430#gid=984458430"", ""'replication success'!A:K""), 11, FAlSE)"),"#N/A")</f>
        <v>#N/A</v>
      </c>
      <c r="AZ2821" s="61" t="str">
        <f>IFERROR(__xludf.DUMMYFUNCTION("vlookup(BB2821,importrange(""https://docs.google.com/spreadsheets/d/1d2vevQ_7D_v35q4wCQ4RpQ_IPoTwEMB9Yp6ymwlPqew/edit?gid=984458430#gid=984458430"", ""'replication success'!A:M""), 12, FAlSE)"),"#N/A")</f>
        <v>#N/A</v>
      </c>
      <c r="BA2821" s="61" t="str">
        <f>IFERROR(__xludf.DUMMYFUNCTION("vlookup(BB2821,importrange(""https://docs.google.com/spreadsheets/d/1d2vevQ_7D_v35q4wCQ4RpQ_IPoTwEMB9Yp6ymwlPqew/edit?gid=984458430#gid=984458430"", ""'replication success'!A:M""), 13, FAlSE)"),"#N/A")</f>
        <v>#N/A</v>
      </c>
      <c r="BB2821" s="61" t="str">
        <f>IFERROR(__xludf.DUMMYFUNCTION("REGEXREPLACE(G2821, ""_[a-z]{1,2}$"", """")"),"add_ai60_k2")</f>
        <v>add_ai60_k2</v>
      </c>
      <c r="BC2821" s="1572"/>
      <c r="BD2821" s="1588" t="s">
        <v>13264</v>
      </c>
      <c r="BE2821" s="342"/>
      <c r="BF2821" s="342"/>
      <c r="BG2821" s="342"/>
      <c r="BH2821" s="342"/>
      <c r="BI2821" s="342"/>
      <c r="BJ2821" s="342"/>
      <c r="BK2821" s="342"/>
      <c r="BL2821" s="342"/>
      <c r="BM2821" s="342"/>
      <c r="BN2821" s="342"/>
      <c r="BO2821" s="342"/>
      <c r="BP2821" s="342"/>
      <c r="BQ2821" s="342"/>
      <c r="BR2821" s="342"/>
      <c r="BS2821" s="342"/>
      <c r="BT2821" s="342"/>
      <c r="BU2821" s="342"/>
      <c r="BV2821" s="342"/>
      <c r="BW2821" s="342"/>
      <c r="BX2821" s="342"/>
      <c r="BY2821" s="342"/>
      <c r="BZ2821" s="342"/>
      <c r="CA2821" s="342"/>
      <c r="CB2821" s="342"/>
      <c r="CC2821" s="342"/>
      <c r="CD2821" s="342"/>
      <c r="CE2821" s="342"/>
      <c r="CF2821" s="342"/>
      <c r="CG2821" s="342"/>
      <c r="CH2821" s="342"/>
      <c r="CI2821" s="342"/>
      <c r="CJ2821" s="342"/>
      <c r="CK2821" s="342"/>
      <c r="CL2821" s="342"/>
      <c r="CM2821" s="342"/>
      <c r="CN2821" s="342"/>
      <c r="CO2821" s="342"/>
      <c r="CP2821" s="342"/>
      <c r="CQ2821" s="342"/>
      <c r="CR2821" s="342"/>
      <c r="CS2821" s="342"/>
      <c r="CT2821" s="342"/>
      <c r="CU2821" s="342"/>
      <c r="CV2821" s="342"/>
      <c r="CW2821" s="342"/>
      <c r="CX2821" s="342"/>
      <c r="CY2821" s="342"/>
      <c r="CZ2821" s="342"/>
      <c r="DA2821" s="342"/>
      <c r="DB2821" s="342"/>
      <c r="DC2821" s="342"/>
      <c r="DD2821" s="342"/>
      <c r="DE2821" s="342"/>
      <c r="DF2821" s="342"/>
      <c r="DG2821" s="342"/>
      <c r="DH2821" s="342"/>
      <c r="DI2821" s="342"/>
      <c r="DJ2821" s="342"/>
      <c r="DK2821" s="342"/>
      <c r="DL2821" s="342"/>
    </row>
    <row r="2822">
      <c r="A2822" s="44">
        <v>3091.0</v>
      </c>
      <c r="B2822" s="1322" t="s">
        <v>152</v>
      </c>
      <c r="C2822" s="1588" t="s">
        <v>115</v>
      </c>
      <c r="D2822" s="1588" t="s">
        <v>153</v>
      </c>
      <c r="E2822" s="1572"/>
      <c r="F2822" s="1600" t="s">
        <v>16459</v>
      </c>
      <c r="G2822" s="1592" t="s">
        <v>16612</v>
      </c>
      <c r="H2822" s="1600" t="s">
        <v>15921</v>
      </c>
      <c r="I2822" s="2229">
        <v>45821.0</v>
      </c>
      <c r="J2822" s="2230">
        <v>45847.0</v>
      </c>
      <c r="K2822" s="1592" t="s">
        <v>16483</v>
      </c>
      <c r="L2822" s="1313"/>
      <c r="M2822" s="1592" t="s">
        <v>16462</v>
      </c>
      <c r="N2822" s="1592" t="s">
        <v>16463</v>
      </c>
      <c r="O2822" s="1313"/>
      <c r="P2822" s="1592" t="s">
        <v>16464</v>
      </c>
      <c r="Q2822" s="2331" t="s">
        <v>16465</v>
      </c>
      <c r="R2822" s="1592" t="s">
        <v>16496</v>
      </c>
      <c r="S2822" s="1592" t="s">
        <v>16467</v>
      </c>
      <c r="T2822" s="1313"/>
      <c r="U2822" s="1313"/>
      <c r="V2822" s="1592" t="s">
        <v>16468</v>
      </c>
      <c r="W2822" s="1313"/>
      <c r="X2822" s="2233" t="str">
        <f t="array" ref="X2822"> if(iserror(MATCH(V2822, 'File Links'!C:C, 0)), "N/A", HYPERLINK(INDEX('File Links'!B:B, MATCH(V2822, 'File Links'!C:C, 0))))</f>
        <v>https://drive.google.com/file/d/16V6fX6zed8MKZ53zcmG18UMG8cS5fmS4/view?usp=drivesdk</v>
      </c>
      <c r="Y2822" s="1313"/>
      <c r="Z2822" s="1592" t="s">
        <v>1679</v>
      </c>
      <c r="AA2822" s="1600" t="s">
        <v>16476</v>
      </c>
      <c r="AB2822" s="1592" t="s">
        <v>16477</v>
      </c>
      <c r="AC2822" s="2262" t="s">
        <v>16613</v>
      </c>
      <c r="AD2822" s="1592" t="s">
        <v>16486</v>
      </c>
      <c r="AE2822" s="2265">
        <v>7.0</v>
      </c>
      <c r="AF2822" s="2342">
        <f>485*0.14</f>
        <v>67.9</v>
      </c>
      <c r="AG2822" s="2265">
        <v>0.345</v>
      </c>
      <c r="AH2822" s="1592" t="s">
        <v>16492</v>
      </c>
      <c r="AI2822" s="2341" t="s">
        <v>16614</v>
      </c>
      <c r="AJ2822" s="1324" t="s">
        <v>138</v>
      </c>
      <c r="AK2822" s="1324" t="s">
        <v>138</v>
      </c>
      <c r="AL2822" s="1592" t="s">
        <v>186</v>
      </c>
      <c r="AM2822" s="1592" t="s">
        <v>137</v>
      </c>
      <c r="AN2822" s="1592" t="s">
        <v>138</v>
      </c>
      <c r="AO2822" s="1596">
        <v>285.0</v>
      </c>
      <c r="AP2822" s="2265">
        <v>0.048</v>
      </c>
      <c r="AQ2822" s="1592" t="s">
        <v>16492</v>
      </c>
      <c r="AR2822" s="2262" t="s">
        <v>16615</v>
      </c>
      <c r="AS2822" s="1592" t="s">
        <v>138</v>
      </c>
      <c r="AT2822" s="2343" t="s">
        <v>138</v>
      </c>
      <c r="AU2822" s="1592" t="s">
        <v>186</v>
      </c>
      <c r="AV2822" s="1592" t="s">
        <v>137</v>
      </c>
      <c r="AW2822" s="1592" t="s">
        <v>138</v>
      </c>
      <c r="AX2822" s="1592" t="s">
        <v>143</v>
      </c>
      <c r="AY2822" s="61" t="str">
        <f>IFERROR(__xludf.DUMMYFUNCTION("vlookup(BB2822,importrange(""https://docs.google.com/spreadsheets/d/1d2vevQ_7D_v35q4wCQ4RpQ_IPoTwEMB9Yp6ymwlPqew/edit?gid=984458430#gid=984458430"", ""'replication success'!A:K""), 11, FAlSE)"),"#N/A")</f>
        <v>#N/A</v>
      </c>
      <c r="AZ2822" s="61" t="str">
        <f>IFERROR(__xludf.DUMMYFUNCTION("vlookup(BB2822,importrange(""https://docs.google.com/spreadsheets/d/1d2vevQ_7D_v35q4wCQ4RpQ_IPoTwEMB9Yp6ymwlPqew/edit?gid=984458430#gid=984458430"", ""'replication success'!A:M""), 12, FAlSE)"),"#N/A")</f>
        <v>#N/A</v>
      </c>
      <c r="BA2822" s="61" t="str">
        <f>IFERROR(__xludf.DUMMYFUNCTION("vlookup(BB2822,importrange(""https://docs.google.com/spreadsheets/d/1d2vevQ_7D_v35q4wCQ4RpQ_IPoTwEMB9Yp6ymwlPqew/edit?gid=984458430#gid=984458430"", ""'replication success'!A:M""), 13, FAlSE)"),"#N/A")</f>
        <v>#N/A</v>
      </c>
      <c r="BB2822" s="61" t="str">
        <f>IFERROR(__xludf.DUMMYFUNCTION("REGEXREPLACE(G2822, ""_[a-z]{1,2}$"", """")"),"add_ai60_k3")</f>
        <v>add_ai60_k3</v>
      </c>
      <c r="BC2822" s="1572"/>
      <c r="BD2822" s="1588" t="s">
        <v>13264</v>
      </c>
      <c r="BE2822" s="342"/>
      <c r="BF2822" s="342"/>
      <c r="BG2822" s="342"/>
      <c r="BH2822" s="342"/>
      <c r="BI2822" s="342"/>
      <c r="BJ2822" s="342"/>
      <c r="BK2822" s="342"/>
      <c r="BL2822" s="342"/>
      <c r="BM2822" s="342"/>
      <c r="BN2822" s="342"/>
      <c r="BO2822" s="342"/>
      <c r="BP2822" s="342"/>
      <c r="BQ2822" s="342"/>
      <c r="BR2822" s="342"/>
      <c r="BS2822" s="342"/>
      <c r="BT2822" s="342"/>
      <c r="BU2822" s="342"/>
      <c r="BV2822" s="342"/>
      <c r="BW2822" s="342"/>
      <c r="BX2822" s="342"/>
      <c r="BY2822" s="342"/>
      <c r="BZ2822" s="342"/>
      <c r="CA2822" s="342"/>
      <c r="CB2822" s="342"/>
      <c r="CC2822" s="342"/>
      <c r="CD2822" s="342"/>
      <c r="CE2822" s="342"/>
      <c r="CF2822" s="342"/>
      <c r="CG2822" s="342"/>
      <c r="CH2822" s="342"/>
      <c r="CI2822" s="342"/>
      <c r="CJ2822" s="342"/>
      <c r="CK2822" s="342"/>
      <c r="CL2822" s="342"/>
      <c r="CM2822" s="342"/>
      <c r="CN2822" s="342"/>
      <c r="CO2822" s="342"/>
      <c r="CP2822" s="342"/>
      <c r="CQ2822" s="342"/>
      <c r="CR2822" s="342"/>
      <c r="CS2822" s="342"/>
      <c r="CT2822" s="342"/>
      <c r="CU2822" s="342"/>
      <c r="CV2822" s="342"/>
      <c r="CW2822" s="342"/>
      <c r="CX2822" s="342"/>
      <c r="CY2822" s="342"/>
      <c r="CZ2822" s="342"/>
      <c r="DA2822" s="342"/>
      <c r="DB2822" s="342"/>
      <c r="DC2822" s="342"/>
      <c r="DD2822" s="342"/>
      <c r="DE2822" s="342"/>
      <c r="DF2822" s="342"/>
      <c r="DG2822" s="342"/>
      <c r="DH2822" s="342"/>
      <c r="DI2822" s="342"/>
      <c r="DJ2822" s="342"/>
      <c r="DK2822" s="342"/>
      <c r="DL2822" s="342"/>
    </row>
    <row r="2823">
      <c r="A2823" s="44">
        <v>3040.0</v>
      </c>
      <c r="B2823" s="1322" t="s">
        <v>152</v>
      </c>
      <c r="C2823" s="1588" t="s">
        <v>115</v>
      </c>
      <c r="D2823" s="1588" t="s">
        <v>153</v>
      </c>
      <c r="E2823" s="1572"/>
      <c r="F2823" s="1600" t="s">
        <v>16459</v>
      </c>
      <c r="G2823" s="1592" t="s">
        <v>16616</v>
      </c>
      <c r="H2823" s="1600" t="s">
        <v>15921</v>
      </c>
      <c r="I2823" s="2229">
        <v>45821.0</v>
      </c>
      <c r="J2823" s="2230">
        <v>45847.0</v>
      </c>
      <c r="K2823" s="1592" t="s">
        <v>16474</v>
      </c>
      <c r="L2823" s="1313"/>
      <c r="M2823" s="1592" t="s">
        <v>16462</v>
      </c>
      <c r="N2823" s="1592" t="s">
        <v>16463</v>
      </c>
      <c r="O2823" s="1313"/>
      <c r="P2823" s="1592" t="s">
        <v>16464</v>
      </c>
      <c r="Q2823" s="2331" t="s">
        <v>16465</v>
      </c>
      <c r="R2823" s="1592" t="s">
        <v>16496</v>
      </c>
      <c r="S2823" s="1592" t="s">
        <v>16467</v>
      </c>
      <c r="T2823" s="1313"/>
      <c r="U2823" s="1313"/>
      <c r="V2823" s="1592" t="s">
        <v>16468</v>
      </c>
      <c r="W2823" s="1313"/>
      <c r="X2823" s="2233" t="str">
        <f t="array" ref="X2823"> if(iserror(MATCH(V2823, 'File Links'!C:C, 0)), "N/A", HYPERLINK(INDEX('File Links'!B:B, MATCH(V2823, 'File Links'!C:C, 0))))</f>
        <v>https://drive.google.com/file/d/16V6fX6zed8MKZ53zcmG18UMG8cS5fmS4/view?usp=drivesdk</v>
      </c>
      <c r="Y2823" s="1313"/>
      <c r="Z2823" s="1592" t="s">
        <v>1679</v>
      </c>
      <c r="AA2823" s="1600" t="s">
        <v>16476</v>
      </c>
      <c r="AB2823" s="1592" t="s">
        <v>16477</v>
      </c>
      <c r="AC2823" s="1600" t="s">
        <v>16617</v>
      </c>
      <c r="AD2823" s="1600" t="s">
        <v>16479</v>
      </c>
      <c r="AE2823" s="2265">
        <v>6.0</v>
      </c>
      <c r="AF2823" s="1596">
        <v>485.0</v>
      </c>
      <c r="AG2823" s="2265">
        <v>0.124</v>
      </c>
      <c r="AH2823" s="1592" t="s">
        <v>361</v>
      </c>
      <c r="AI2823" s="2341" t="s">
        <v>16618</v>
      </c>
      <c r="AJ2823" s="2265">
        <v>0.0258</v>
      </c>
      <c r="AK2823" s="1592" t="s">
        <v>172</v>
      </c>
      <c r="AL2823" s="1592" t="s">
        <v>186</v>
      </c>
      <c r="AM2823" s="1592" t="s">
        <v>137</v>
      </c>
      <c r="AN2823" s="1324" t="s">
        <v>138</v>
      </c>
      <c r="AO2823" s="1596">
        <v>285.0</v>
      </c>
      <c r="AP2823" s="2265">
        <v>0.106</v>
      </c>
      <c r="AQ2823" s="1592" t="s">
        <v>361</v>
      </c>
      <c r="AR2823" s="2262" t="s">
        <v>16619</v>
      </c>
      <c r="AS2823" s="1596">
        <v>0.05</v>
      </c>
      <c r="AT2823" s="1592" t="s">
        <v>335</v>
      </c>
      <c r="AU2823" s="1592" t="s">
        <v>186</v>
      </c>
      <c r="AV2823" s="1592" t="s">
        <v>137</v>
      </c>
      <c r="AW2823" s="1592" t="s">
        <v>138</v>
      </c>
      <c r="AX2823" s="1592" t="s">
        <v>143</v>
      </c>
      <c r="AY2823" s="1321" t="str">
        <f>IFERROR(__xludf.DUMMYFUNCTION("vlookup(BB2823,importrange(""https://docs.google.com/spreadsheets/d/1d2vevQ_7D_v35q4wCQ4RpQ_IPoTwEMB9Yp6ymwlPqew/edit?gid=984458430#gid=984458430"", ""'replication success'!A:K""), 11, FAlSE)"),"#N/A")</f>
        <v>#N/A</v>
      </c>
      <c r="AZ2823" s="1321" t="str">
        <f>IFERROR(__xludf.DUMMYFUNCTION("vlookup(BB2823,importrange(""https://docs.google.com/spreadsheets/d/1d2vevQ_7D_v35q4wCQ4RpQ_IPoTwEMB9Yp6ymwlPqew/edit?gid=984458430#gid=984458430"", ""'replication success'!A:M""), 12, FAlSE)"),"#N/A")</f>
        <v>#N/A</v>
      </c>
      <c r="BA2823" s="1321" t="str">
        <f>IFERROR(__xludf.DUMMYFUNCTION("vlookup(BB2823,importrange(""https://docs.google.com/spreadsheets/d/1d2vevQ_7D_v35q4wCQ4RpQ_IPoTwEMB9Yp6ymwlPqew/edit?gid=984458430#gid=984458430"", ""'replication success'!A:M""), 13, FAlSE)"),"#N/A")</f>
        <v>#N/A</v>
      </c>
      <c r="BB2823" s="1321" t="str">
        <f>IFERROR(__xludf.DUMMYFUNCTION("REGEXREPLACE(G2823, ""_[a-z]{1,2}$"", """")"),"add_ai60")</f>
        <v>add_ai60</v>
      </c>
      <c r="BC2823" s="1572"/>
      <c r="BD2823" s="1588" t="s">
        <v>13264</v>
      </c>
      <c r="BE2823" s="342"/>
      <c r="BF2823" s="342"/>
      <c r="BG2823" s="342"/>
      <c r="BH2823" s="342"/>
      <c r="BI2823" s="342"/>
      <c r="BJ2823" s="342"/>
      <c r="BK2823" s="342"/>
      <c r="BL2823" s="342"/>
      <c r="BM2823" s="342"/>
      <c r="BN2823" s="342"/>
      <c r="BO2823" s="342"/>
      <c r="BP2823" s="342"/>
      <c r="BQ2823" s="342"/>
      <c r="BR2823" s="342"/>
      <c r="BS2823" s="342"/>
      <c r="BT2823" s="342"/>
      <c r="BU2823" s="342"/>
      <c r="BV2823" s="342"/>
      <c r="BW2823" s="342"/>
      <c r="BX2823" s="342"/>
      <c r="BY2823" s="342"/>
      <c r="BZ2823" s="342"/>
      <c r="CA2823" s="342"/>
      <c r="CB2823" s="342"/>
      <c r="CC2823" s="342"/>
      <c r="CD2823" s="342"/>
      <c r="CE2823" s="342"/>
      <c r="CF2823" s="342"/>
      <c r="CG2823" s="342"/>
      <c r="CH2823" s="342"/>
      <c r="CI2823" s="342"/>
      <c r="CJ2823" s="342"/>
      <c r="CK2823" s="342"/>
      <c r="CL2823" s="342"/>
      <c r="CM2823" s="342"/>
      <c r="CN2823" s="342"/>
      <c r="CO2823" s="342"/>
      <c r="CP2823" s="342"/>
      <c r="CQ2823" s="342"/>
      <c r="CR2823" s="342"/>
      <c r="CS2823" s="342"/>
      <c r="CT2823" s="342"/>
      <c r="CU2823" s="342"/>
      <c r="CV2823" s="342"/>
      <c r="CW2823" s="342"/>
      <c r="CX2823" s="342"/>
      <c r="CY2823" s="342"/>
      <c r="CZ2823" s="342"/>
      <c r="DA2823" s="342"/>
      <c r="DB2823" s="342"/>
      <c r="DC2823" s="342"/>
      <c r="DD2823" s="342"/>
      <c r="DE2823" s="342"/>
      <c r="DF2823" s="342"/>
      <c r="DG2823" s="342"/>
      <c r="DH2823" s="342"/>
      <c r="DI2823" s="342"/>
      <c r="DJ2823" s="342"/>
      <c r="DK2823" s="342"/>
      <c r="DL2823" s="342"/>
    </row>
    <row r="2824">
      <c r="A2824" s="44">
        <v>3066.0</v>
      </c>
      <c r="B2824" s="1322" t="s">
        <v>152</v>
      </c>
      <c r="C2824" s="1588" t="s">
        <v>115</v>
      </c>
      <c r="D2824" s="1588" t="s">
        <v>153</v>
      </c>
      <c r="E2824" s="1572"/>
      <c r="F2824" s="1600" t="s">
        <v>16459</v>
      </c>
      <c r="G2824" s="1592" t="s">
        <v>16620</v>
      </c>
      <c r="H2824" s="1600" t="s">
        <v>15921</v>
      </c>
      <c r="I2824" s="2229">
        <v>45821.0</v>
      </c>
      <c r="J2824" s="2230">
        <v>45847.0</v>
      </c>
      <c r="K2824" s="1592" t="s">
        <v>16483</v>
      </c>
      <c r="L2824" s="1313"/>
      <c r="M2824" s="1592" t="s">
        <v>16462</v>
      </c>
      <c r="N2824" s="1592" t="s">
        <v>16463</v>
      </c>
      <c r="O2824" s="1313"/>
      <c r="P2824" s="1592" t="s">
        <v>16464</v>
      </c>
      <c r="Q2824" s="2331" t="s">
        <v>16465</v>
      </c>
      <c r="R2824" s="1592" t="s">
        <v>16496</v>
      </c>
      <c r="S2824" s="1592" t="s">
        <v>16467</v>
      </c>
      <c r="T2824" s="1313"/>
      <c r="U2824" s="1313"/>
      <c r="V2824" s="1592" t="s">
        <v>16468</v>
      </c>
      <c r="W2824" s="1313"/>
      <c r="X2824" s="2233" t="str">
        <f t="array" ref="X2824"> if(iserror(MATCH(V2824, 'File Links'!C:C, 0)), "N/A", HYPERLINK(INDEX('File Links'!B:B, MATCH(V2824, 'File Links'!C:C, 0))))</f>
        <v>https://drive.google.com/file/d/16V6fX6zed8MKZ53zcmG18UMG8cS5fmS4/view?usp=drivesdk</v>
      </c>
      <c r="Y2824" s="1313"/>
      <c r="Z2824" s="1592" t="s">
        <v>1679</v>
      </c>
      <c r="AA2824" s="1600" t="s">
        <v>16476</v>
      </c>
      <c r="AB2824" s="1592" t="s">
        <v>16477</v>
      </c>
      <c r="AC2824" s="2262" t="s">
        <v>16621</v>
      </c>
      <c r="AD2824" s="1592" t="s">
        <v>16486</v>
      </c>
      <c r="AE2824" s="2265">
        <v>7.0</v>
      </c>
      <c r="AF2824" s="2342">
        <f>485*0.44</f>
        <v>213.4</v>
      </c>
      <c r="AG2824" s="2265">
        <v>0.271</v>
      </c>
      <c r="AH2824" s="1592" t="s">
        <v>16492</v>
      </c>
      <c r="AI2824" s="2341" t="s">
        <v>16622</v>
      </c>
      <c r="AJ2824" s="1324" t="s">
        <v>138</v>
      </c>
      <c r="AK2824" s="1324" t="s">
        <v>138</v>
      </c>
      <c r="AL2824" s="1592" t="s">
        <v>186</v>
      </c>
      <c r="AM2824" s="1592" t="s">
        <v>137</v>
      </c>
      <c r="AN2824" s="1592" t="s">
        <v>138</v>
      </c>
      <c r="AO2824" s="1596">
        <v>285.0</v>
      </c>
      <c r="AP2824" s="2265">
        <v>0.027</v>
      </c>
      <c r="AQ2824" s="1592" t="s">
        <v>16492</v>
      </c>
      <c r="AR2824" s="2262" t="s">
        <v>16623</v>
      </c>
      <c r="AS2824" s="1592" t="s">
        <v>138</v>
      </c>
      <c r="AT2824" s="2337" t="s">
        <v>138</v>
      </c>
      <c r="AU2824" s="1592" t="s">
        <v>186</v>
      </c>
      <c r="AV2824" s="1592" t="s">
        <v>137</v>
      </c>
      <c r="AW2824" s="1592" t="s">
        <v>138</v>
      </c>
      <c r="AX2824" s="1592" t="s">
        <v>143</v>
      </c>
      <c r="AY2824" s="1321" t="str">
        <f>IFERROR(__xludf.DUMMYFUNCTION("vlookup(BB2824,importrange(""https://docs.google.com/spreadsheets/d/1d2vevQ_7D_v35q4wCQ4RpQ_IPoTwEMB9Yp6ymwlPqew/edit?gid=984458430#gid=984458430"", ""'replication success'!A:K""), 11, FAlSE)"),"#N/A")</f>
        <v>#N/A</v>
      </c>
      <c r="AZ2824" s="1321" t="str">
        <f>IFERROR(__xludf.DUMMYFUNCTION("vlookup(BB2824,importrange(""https://docs.google.com/spreadsheets/d/1d2vevQ_7D_v35q4wCQ4RpQ_IPoTwEMB9Yp6ymwlPqew/edit?gid=984458430#gid=984458430"", ""'replication success'!A:M""), 12, FAlSE)"),"#N/A")</f>
        <v>#N/A</v>
      </c>
      <c r="BA2824" s="1321" t="str">
        <f>IFERROR(__xludf.DUMMYFUNCTION("vlookup(BB2824,importrange(""https://docs.google.com/spreadsheets/d/1d2vevQ_7D_v35q4wCQ4RpQ_IPoTwEMB9Yp6ymwlPqew/edit?gid=984458430#gid=984458430"", ""'replication success'!A:M""), 13, FAlSE)"),"#N/A")</f>
        <v>#N/A</v>
      </c>
      <c r="BB2824" s="1321" t="str">
        <f>IFERROR(__xludf.DUMMYFUNCTION("REGEXREPLACE(G2824, ""_[a-z]{1,2}$"", """")"),"add_ai60_l2")</f>
        <v>add_ai60_l2</v>
      </c>
      <c r="BC2824" s="1572"/>
      <c r="BD2824" s="1588" t="s">
        <v>13264</v>
      </c>
      <c r="BE2824" s="342"/>
      <c r="BF2824" s="342"/>
      <c r="BG2824" s="342"/>
      <c r="BH2824" s="342"/>
      <c r="BI2824" s="342"/>
      <c r="BJ2824" s="342"/>
      <c r="BK2824" s="342"/>
      <c r="BL2824" s="342"/>
      <c r="BM2824" s="342"/>
      <c r="BN2824" s="342"/>
      <c r="BO2824" s="342"/>
      <c r="BP2824" s="342"/>
      <c r="BQ2824" s="342"/>
      <c r="BR2824" s="342"/>
      <c r="BS2824" s="342"/>
      <c r="BT2824" s="342"/>
      <c r="BU2824" s="342"/>
      <c r="BV2824" s="342"/>
      <c r="BW2824" s="342"/>
      <c r="BX2824" s="342"/>
      <c r="BY2824" s="342"/>
      <c r="BZ2824" s="342"/>
      <c r="CA2824" s="342"/>
      <c r="CB2824" s="342"/>
      <c r="CC2824" s="342"/>
      <c r="CD2824" s="342"/>
      <c r="CE2824" s="342"/>
      <c r="CF2824" s="342"/>
      <c r="CG2824" s="342"/>
      <c r="CH2824" s="342"/>
      <c r="CI2824" s="342"/>
      <c r="CJ2824" s="342"/>
      <c r="CK2824" s="342"/>
      <c r="CL2824" s="342"/>
      <c r="CM2824" s="342"/>
      <c r="CN2824" s="342"/>
      <c r="CO2824" s="342"/>
      <c r="CP2824" s="342"/>
      <c r="CQ2824" s="342"/>
      <c r="CR2824" s="342"/>
      <c r="CS2824" s="342"/>
      <c r="CT2824" s="342"/>
      <c r="CU2824" s="342"/>
      <c r="CV2824" s="342"/>
      <c r="CW2824" s="342"/>
      <c r="CX2824" s="342"/>
      <c r="CY2824" s="342"/>
      <c r="CZ2824" s="342"/>
      <c r="DA2824" s="342"/>
      <c r="DB2824" s="342"/>
      <c r="DC2824" s="342"/>
      <c r="DD2824" s="342"/>
      <c r="DE2824" s="342"/>
      <c r="DF2824" s="342"/>
      <c r="DG2824" s="342"/>
      <c r="DH2824" s="342"/>
      <c r="DI2824" s="342"/>
      <c r="DJ2824" s="342"/>
      <c r="DK2824" s="342"/>
      <c r="DL2824" s="342"/>
    </row>
    <row r="2825">
      <c r="A2825" s="44">
        <v>3092.0</v>
      </c>
      <c r="B2825" s="1322" t="s">
        <v>152</v>
      </c>
      <c r="C2825" s="1588" t="s">
        <v>115</v>
      </c>
      <c r="D2825" s="1588" t="s">
        <v>153</v>
      </c>
      <c r="E2825" s="1572"/>
      <c r="F2825" s="1600" t="s">
        <v>16459</v>
      </c>
      <c r="G2825" s="1592" t="s">
        <v>16624</v>
      </c>
      <c r="H2825" s="1600" t="s">
        <v>15921</v>
      </c>
      <c r="I2825" s="2229">
        <v>45821.0</v>
      </c>
      <c r="J2825" s="2230">
        <v>45847.0</v>
      </c>
      <c r="K2825" s="1592" t="s">
        <v>16483</v>
      </c>
      <c r="L2825" s="1313"/>
      <c r="M2825" s="1592" t="s">
        <v>16462</v>
      </c>
      <c r="N2825" s="1592" t="s">
        <v>16463</v>
      </c>
      <c r="O2825" s="1313"/>
      <c r="P2825" s="1592" t="s">
        <v>16464</v>
      </c>
      <c r="Q2825" s="2331" t="s">
        <v>16465</v>
      </c>
      <c r="R2825" s="1592" t="s">
        <v>16496</v>
      </c>
      <c r="S2825" s="1592" t="s">
        <v>16467</v>
      </c>
      <c r="T2825" s="1313"/>
      <c r="U2825" s="1313"/>
      <c r="V2825" s="1592" t="s">
        <v>16468</v>
      </c>
      <c r="W2825" s="1313"/>
      <c r="X2825" s="2233" t="str">
        <f t="array" ref="X2825"> if(iserror(MATCH(V2825, 'File Links'!C:C, 0)), "N/A", HYPERLINK(INDEX('File Links'!B:B, MATCH(V2825, 'File Links'!C:C, 0))))</f>
        <v>https://drive.google.com/file/d/16V6fX6zed8MKZ53zcmG18UMG8cS5fmS4/view?usp=drivesdk</v>
      </c>
      <c r="Y2825" s="1313"/>
      <c r="Z2825" s="1592" t="s">
        <v>1679</v>
      </c>
      <c r="AA2825" s="1600" t="s">
        <v>16476</v>
      </c>
      <c r="AB2825" s="1592" t="s">
        <v>16477</v>
      </c>
      <c r="AC2825" s="2262" t="s">
        <v>16625</v>
      </c>
      <c r="AD2825" s="1592" t="s">
        <v>16486</v>
      </c>
      <c r="AE2825" s="2265">
        <v>7.0</v>
      </c>
      <c r="AF2825" s="2342">
        <f>485*0.14</f>
        <v>67.9</v>
      </c>
      <c r="AG2825" s="2265">
        <v>0.227</v>
      </c>
      <c r="AH2825" s="1592" t="s">
        <v>16492</v>
      </c>
      <c r="AI2825" s="2341" t="s">
        <v>16626</v>
      </c>
      <c r="AJ2825" s="1324" t="s">
        <v>138</v>
      </c>
      <c r="AK2825" s="1324" t="s">
        <v>138</v>
      </c>
      <c r="AL2825" s="1592" t="s">
        <v>186</v>
      </c>
      <c r="AM2825" s="1592" t="s">
        <v>137</v>
      </c>
      <c r="AN2825" s="1592" t="s">
        <v>138</v>
      </c>
      <c r="AO2825" s="1596">
        <v>285.0</v>
      </c>
      <c r="AP2825" s="1596">
        <v>0.081</v>
      </c>
      <c r="AQ2825" s="1592" t="s">
        <v>16492</v>
      </c>
      <c r="AR2825" s="2262" t="s">
        <v>16627</v>
      </c>
      <c r="AS2825" s="1592" t="s">
        <v>138</v>
      </c>
      <c r="AT2825" s="2337" t="s">
        <v>138</v>
      </c>
      <c r="AU2825" s="1592" t="s">
        <v>186</v>
      </c>
      <c r="AV2825" s="1592" t="s">
        <v>137</v>
      </c>
      <c r="AW2825" s="1592" t="s">
        <v>138</v>
      </c>
      <c r="AX2825" s="1592" t="s">
        <v>143</v>
      </c>
      <c r="AY2825" s="1321" t="str">
        <f>IFERROR(__xludf.DUMMYFUNCTION("vlookup(BB2825,importrange(""https://docs.google.com/spreadsheets/d/1d2vevQ_7D_v35q4wCQ4RpQ_IPoTwEMB9Yp6ymwlPqew/edit?gid=984458430#gid=984458430"", ""'replication success'!A:K""), 11, FAlSE)"),"#N/A")</f>
        <v>#N/A</v>
      </c>
      <c r="AZ2825" s="1321" t="str">
        <f>IFERROR(__xludf.DUMMYFUNCTION("vlookup(BB2825,importrange(""https://docs.google.com/spreadsheets/d/1d2vevQ_7D_v35q4wCQ4RpQ_IPoTwEMB9Yp6ymwlPqew/edit?gid=984458430#gid=984458430"", ""'replication success'!A:M""), 12, FAlSE)"),"#N/A")</f>
        <v>#N/A</v>
      </c>
      <c r="BA2825" s="1321" t="str">
        <f>IFERROR(__xludf.DUMMYFUNCTION("vlookup(BB2825,importrange(""https://docs.google.com/spreadsheets/d/1d2vevQ_7D_v35q4wCQ4RpQ_IPoTwEMB9Yp6ymwlPqew/edit?gid=984458430#gid=984458430"", ""'replication success'!A:M""), 13, FAlSE)"),"#N/A")</f>
        <v>#N/A</v>
      </c>
      <c r="BB2825" s="1321" t="str">
        <f>IFERROR(__xludf.DUMMYFUNCTION("REGEXREPLACE(G2825, ""_[a-z]{1,2}$"", """")"),"add_ai60_l3")</f>
        <v>add_ai60_l3</v>
      </c>
      <c r="BC2825" s="1572"/>
      <c r="BD2825" s="1588" t="s">
        <v>13264</v>
      </c>
      <c r="BE2825" s="342"/>
      <c r="BF2825" s="342"/>
      <c r="BG2825" s="342"/>
      <c r="BH2825" s="342"/>
      <c r="BI2825" s="342"/>
      <c r="BJ2825" s="342"/>
      <c r="BK2825" s="342"/>
      <c r="BL2825" s="342"/>
      <c r="BM2825" s="342"/>
      <c r="BN2825" s="342"/>
      <c r="BO2825" s="342"/>
      <c r="BP2825" s="342"/>
      <c r="BQ2825" s="342"/>
      <c r="BR2825" s="342"/>
      <c r="BS2825" s="342"/>
      <c r="BT2825" s="342"/>
      <c r="BU2825" s="342"/>
      <c r="BV2825" s="342"/>
      <c r="BW2825" s="342"/>
      <c r="BX2825" s="342"/>
      <c r="BY2825" s="342"/>
      <c r="BZ2825" s="342"/>
      <c r="CA2825" s="342"/>
      <c r="CB2825" s="342"/>
      <c r="CC2825" s="342"/>
      <c r="CD2825" s="342"/>
      <c r="CE2825" s="342"/>
      <c r="CF2825" s="342"/>
      <c r="CG2825" s="342"/>
      <c r="CH2825" s="342"/>
      <c r="CI2825" s="342"/>
      <c r="CJ2825" s="342"/>
      <c r="CK2825" s="342"/>
      <c r="CL2825" s="342"/>
      <c r="CM2825" s="342"/>
      <c r="CN2825" s="342"/>
      <c r="CO2825" s="342"/>
      <c r="CP2825" s="342"/>
      <c r="CQ2825" s="342"/>
      <c r="CR2825" s="342"/>
      <c r="CS2825" s="342"/>
      <c r="CT2825" s="342"/>
      <c r="CU2825" s="342"/>
      <c r="CV2825" s="342"/>
      <c r="CW2825" s="342"/>
      <c r="CX2825" s="342"/>
      <c r="CY2825" s="342"/>
      <c r="CZ2825" s="342"/>
      <c r="DA2825" s="342"/>
      <c r="DB2825" s="342"/>
      <c r="DC2825" s="342"/>
      <c r="DD2825" s="342"/>
      <c r="DE2825" s="342"/>
      <c r="DF2825" s="342"/>
      <c r="DG2825" s="342"/>
      <c r="DH2825" s="342"/>
      <c r="DI2825" s="342"/>
      <c r="DJ2825" s="342"/>
      <c r="DK2825" s="342"/>
      <c r="DL2825" s="342"/>
    </row>
    <row r="2826">
      <c r="A2826" s="44">
        <v>3041.0</v>
      </c>
      <c r="B2826" s="1322" t="s">
        <v>152</v>
      </c>
      <c r="C2826" s="1588" t="s">
        <v>115</v>
      </c>
      <c r="D2826" s="1588" t="s">
        <v>153</v>
      </c>
      <c r="E2826" s="1572"/>
      <c r="F2826" s="1600" t="s">
        <v>16459</v>
      </c>
      <c r="G2826" s="1592" t="s">
        <v>16628</v>
      </c>
      <c r="H2826" s="1600" t="s">
        <v>15921</v>
      </c>
      <c r="I2826" s="2229">
        <v>45821.0</v>
      </c>
      <c r="J2826" s="2230">
        <v>45847.0</v>
      </c>
      <c r="K2826" s="1592" t="s">
        <v>16474</v>
      </c>
      <c r="L2826" s="1313"/>
      <c r="M2826" s="1592" t="s">
        <v>16462</v>
      </c>
      <c r="N2826" s="1592" t="s">
        <v>16463</v>
      </c>
      <c r="O2826" s="1313"/>
      <c r="P2826" s="1592" t="s">
        <v>16464</v>
      </c>
      <c r="Q2826" s="2331" t="s">
        <v>16465</v>
      </c>
      <c r="R2826" s="1592" t="s">
        <v>16496</v>
      </c>
      <c r="S2826" s="1592" t="s">
        <v>16467</v>
      </c>
      <c r="T2826" s="1313"/>
      <c r="U2826" s="1313"/>
      <c r="V2826" s="1592" t="s">
        <v>16468</v>
      </c>
      <c r="W2826" s="1313"/>
      <c r="X2826" s="2233" t="str">
        <f t="array" ref="X2826"> if(iserror(MATCH(V2826, 'File Links'!C:C, 0)), "N/A", HYPERLINK(INDEX('File Links'!B:B, MATCH(V2826, 'File Links'!C:C, 0))))</f>
        <v>https://drive.google.com/file/d/16V6fX6zed8MKZ53zcmG18UMG8cS5fmS4/view?usp=drivesdk</v>
      </c>
      <c r="Y2826" s="1313"/>
      <c r="Z2826" s="1592" t="s">
        <v>1679</v>
      </c>
      <c r="AA2826" s="1600" t="s">
        <v>16476</v>
      </c>
      <c r="AB2826" s="1592" t="s">
        <v>16477</v>
      </c>
      <c r="AC2826" s="1600" t="s">
        <v>16629</v>
      </c>
      <c r="AD2826" s="1600" t="s">
        <v>16479</v>
      </c>
      <c r="AE2826" s="2265">
        <v>6.0</v>
      </c>
      <c r="AF2826" s="1596">
        <v>485.0</v>
      </c>
      <c r="AG2826" s="2265">
        <v>0.107</v>
      </c>
      <c r="AH2826" s="1592" t="s">
        <v>361</v>
      </c>
      <c r="AI2826" s="2341" t="s">
        <v>16630</v>
      </c>
      <c r="AJ2826" s="2265">
        <v>0.0975</v>
      </c>
      <c r="AK2826" s="1592" t="s">
        <v>172</v>
      </c>
      <c r="AL2826" s="1592" t="s">
        <v>186</v>
      </c>
      <c r="AM2826" s="1592" t="s">
        <v>137</v>
      </c>
      <c r="AN2826" s="1324" t="s">
        <v>138</v>
      </c>
      <c r="AO2826" s="1596">
        <v>285.0</v>
      </c>
      <c r="AP2826" s="1596">
        <v>0.267</v>
      </c>
      <c r="AQ2826" s="1592" t="s">
        <v>361</v>
      </c>
      <c r="AR2826" s="2262" t="s">
        <v>16631</v>
      </c>
      <c r="AS2826" s="1596">
        <v>0.001</v>
      </c>
      <c r="AT2826" s="1592" t="s">
        <v>135</v>
      </c>
      <c r="AU2826" s="1592" t="s">
        <v>186</v>
      </c>
      <c r="AV2826" s="1592" t="s">
        <v>137</v>
      </c>
      <c r="AW2826" s="1592" t="s">
        <v>138</v>
      </c>
      <c r="AX2826" s="1592" t="s">
        <v>143</v>
      </c>
      <c r="AY2826" s="1321" t="str">
        <f>IFERROR(__xludf.DUMMYFUNCTION("vlookup(BB2826,importrange(""https://docs.google.com/spreadsheets/d/1d2vevQ_7D_v35q4wCQ4RpQ_IPoTwEMB9Yp6ymwlPqew/edit?gid=984458430#gid=984458430"", ""'replication success'!A:K""), 11, FAlSE)"),"#N/A")</f>
        <v>#N/A</v>
      </c>
      <c r="AZ2826" s="1321" t="str">
        <f>IFERROR(__xludf.DUMMYFUNCTION("vlookup(BB2826,importrange(""https://docs.google.com/spreadsheets/d/1d2vevQ_7D_v35q4wCQ4RpQ_IPoTwEMB9Yp6ymwlPqew/edit?gid=984458430#gid=984458430"", ""'replication success'!A:M""), 12, FAlSE)"),"#N/A")</f>
        <v>#N/A</v>
      </c>
      <c r="BA2826" s="1321" t="str">
        <f>IFERROR(__xludf.DUMMYFUNCTION("vlookup(BB2826,importrange(""https://docs.google.com/spreadsheets/d/1d2vevQ_7D_v35q4wCQ4RpQ_IPoTwEMB9Yp6ymwlPqew/edit?gid=984458430#gid=984458430"", ""'replication success'!A:M""), 13, FAlSE)"),"#N/A")</f>
        <v>#N/A</v>
      </c>
      <c r="BB2826" s="1321" t="str">
        <f>IFERROR(__xludf.DUMMYFUNCTION("REGEXREPLACE(G2826, ""_[a-z]{1,2}$"", """")"),"add_ai60")</f>
        <v>add_ai60</v>
      </c>
      <c r="BC2826" s="1572"/>
      <c r="BD2826" s="1588" t="s">
        <v>13264</v>
      </c>
      <c r="BE2826" s="342"/>
      <c r="BF2826" s="342"/>
      <c r="BG2826" s="342"/>
      <c r="BH2826" s="342"/>
      <c r="BI2826" s="342"/>
      <c r="BJ2826" s="342"/>
      <c r="BK2826" s="342"/>
      <c r="BL2826" s="342"/>
      <c r="BM2826" s="342"/>
      <c r="BN2826" s="342"/>
      <c r="BO2826" s="342"/>
      <c r="BP2826" s="342"/>
      <c r="BQ2826" s="342"/>
      <c r="BR2826" s="342"/>
      <c r="BS2826" s="342"/>
      <c r="BT2826" s="342"/>
      <c r="BU2826" s="342"/>
      <c r="BV2826" s="342"/>
      <c r="BW2826" s="342"/>
      <c r="BX2826" s="342"/>
      <c r="BY2826" s="342"/>
      <c r="BZ2826" s="342"/>
      <c r="CA2826" s="342"/>
      <c r="CB2826" s="342"/>
      <c r="CC2826" s="342"/>
      <c r="CD2826" s="342"/>
      <c r="CE2826" s="342"/>
      <c r="CF2826" s="342"/>
      <c r="CG2826" s="342"/>
      <c r="CH2826" s="342"/>
      <c r="CI2826" s="342"/>
      <c r="CJ2826" s="342"/>
      <c r="CK2826" s="342"/>
      <c r="CL2826" s="342"/>
      <c r="CM2826" s="342"/>
      <c r="CN2826" s="342"/>
      <c r="CO2826" s="342"/>
      <c r="CP2826" s="342"/>
      <c r="CQ2826" s="342"/>
      <c r="CR2826" s="342"/>
      <c r="CS2826" s="342"/>
      <c r="CT2826" s="342"/>
      <c r="CU2826" s="342"/>
      <c r="CV2826" s="342"/>
      <c r="CW2826" s="342"/>
      <c r="CX2826" s="342"/>
      <c r="CY2826" s="342"/>
      <c r="CZ2826" s="342"/>
      <c r="DA2826" s="342"/>
      <c r="DB2826" s="342"/>
      <c r="DC2826" s="342"/>
      <c r="DD2826" s="342"/>
      <c r="DE2826" s="342"/>
      <c r="DF2826" s="342"/>
      <c r="DG2826" s="342"/>
      <c r="DH2826" s="342"/>
      <c r="DI2826" s="342"/>
      <c r="DJ2826" s="342"/>
      <c r="DK2826" s="342"/>
      <c r="DL2826" s="342"/>
    </row>
    <row r="2827">
      <c r="A2827" s="44">
        <v>3067.0</v>
      </c>
      <c r="B2827" s="1322" t="s">
        <v>152</v>
      </c>
      <c r="C2827" s="1588" t="s">
        <v>115</v>
      </c>
      <c r="D2827" s="1588" t="s">
        <v>153</v>
      </c>
      <c r="E2827" s="1572"/>
      <c r="F2827" s="1600" t="s">
        <v>16459</v>
      </c>
      <c r="G2827" s="1592" t="s">
        <v>16632</v>
      </c>
      <c r="H2827" s="1600" t="s">
        <v>15921</v>
      </c>
      <c r="I2827" s="2229">
        <v>45821.0</v>
      </c>
      <c r="J2827" s="2230">
        <v>45847.0</v>
      </c>
      <c r="K2827" s="1592" t="s">
        <v>16483</v>
      </c>
      <c r="L2827" s="1313"/>
      <c r="M2827" s="1592" t="s">
        <v>16462</v>
      </c>
      <c r="N2827" s="1592" t="s">
        <v>16463</v>
      </c>
      <c r="O2827" s="1313"/>
      <c r="P2827" s="1592" t="s">
        <v>16464</v>
      </c>
      <c r="Q2827" s="2331" t="s">
        <v>16465</v>
      </c>
      <c r="R2827" s="1592" t="s">
        <v>16496</v>
      </c>
      <c r="S2827" s="1592" t="s">
        <v>16467</v>
      </c>
      <c r="T2827" s="1313"/>
      <c r="U2827" s="1313"/>
      <c r="V2827" s="1592" t="s">
        <v>16468</v>
      </c>
      <c r="W2827" s="1313"/>
      <c r="X2827" s="2233" t="str">
        <f t="array" ref="X2827"> if(iserror(MATCH(V2827, 'File Links'!C:C, 0)), "N/A", HYPERLINK(INDEX('File Links'!B:B, MATCH(V2827, 'File Links'!C:C, 0))))</f>
        <v>https://drive.google.com/file/d/16V6fX6zed8MKZ53zcmG18UMG8cS5fmS4/view?usp=drivesdk</v>
      </c>
      <c r="Y2827" s="1313"/>
      <c r="Z2827" s="1592" t="s">
        <v>1679</v>
      </c>
      <c r="AA2827" s="1600" t="s">
        <v>16476</v>
      </c>
      <c r="AB2827" s="1592" t="s">
        <v>16477</v>
      </c>
      <c r="AC2827" s="2262" t="s">
        <v>16633</v>
      </c>
      <c r="AD2827" s="1592" t="s">
        <v>16486</v>
      </c>
      <c r="AE2827" s="2265">
        <v>7.0</v>
      </c>
      <c r="AF2827" s="2342">
        <f>485*0.44</f>
        <v>213.4</v>
      </c>
      <c r="AG2827" s="2265">
        <v>0.295</v>
      </c>
      <c r="AH2827" s="1592" t="s">
        <v>16492</v>
      </c>
      <c r="AI2827" s="2341" t="s">
        <v>16634</v>
      </c>
      <c r="AJ2827" s="1324" t="s">
        <v>138</v>
      </c>
      <c r="AK2827" s="1324" t="s">
        <v>138</v>
      </c>
      <c r="AL2827" s="1592" t="s">
        <v>186</v>
      </c>
      <c r="AM2827" s="1592" t="s">
        <v>137</v>
      </c>
      <c r="AN2827" s="1592" t="s">
        <v>138</v>
      </c>
      <c r="AO2827" s="1596">
        <v>285.0</v>
      </c>
      <c r="AP2827" s="2265">
        <v>0.057</v>
      </c>
      <c r="AQ2827" s="1592" t="s">
        <v>16492</v>
      </c>
      <c r="AR2827" s="2262" t="s">
        <v>16635</v>
      </c>
      <c r="AS2827" s="1592" t="s">
        <v>138</v>
      </c>
      <c r="AT2827" s="2343" t="s">
        <v>138</v>
      </c>
      <c r="AU2827" s="1592" t="s">
        <v>186</v>
      </c>
      <c r="AV2827" s="1592" t="s">
        <v>137</v>
      </c>
      <c r="AW2827" s="1592" t="s">
        <v>138</v>
      </c>
      <c r="AX2827" s="1592" t="s">
        <v>143</v>
      </c>
      <c r="AY2827" s="1321" t="str">
        <f>IFERROR(__xludf.DUMMYFUNCTION("vlookup(BB2827,importrange(""https://docs.google.com/spreadsheets/d/1d2vevQ_7D_v35q4wCQ4RpQ_IPoTwEMB9Yp6ymwlPqew/edit?gid=984458430#gid=984458430"", ""'replication success'!A:K""), 11, FAlSE)"),"#N/A")</f>
        <v>#N/A</v>
      </c>
      <c r="AZ2827" s="1321" t="str">
        <f>IFERROR(__xludf.DUMMYFUNCTION("vlookup(BB2827,importrange(""https://docs.google.com/spreadsheets/d/1d2vevQ_7D_v35q4wCQ4RpQ_IPoTwEMB9Yp6ymwlPqew/edit?gid=984458430#gid=984458430"", ""'replication success'!A:M""), 12, FAlSE)"),"#N/A")</f>
        <v>#N/A</v>
      </c>
      <c r="BA2827" s="1321" t="str">
        <f>IFERROR(__xludf.DUMMYFUNCTION("vlookup(BB2827,importrange(""https://docs.google.com/spreadsheets/d/1d2vevQ_7D_v35q4wCQ4RpQ_IPoTwEMB9Yp6ymwlPqew/edit?gid=984458430#gid=984458430"", ""'replication success'!A:M""), 13, FAlSE)"),"#N/A")</f>
        <v>#N/A</v>
      </c>
      <c r="BB2827" s="1321" t="str">
        <f>IFERROR(__xludf.DUMMYFUNCTION("REGEXREPLACE(G2827, ""_[a-z]{1,2}$"", """")"),"add_ai60_m2")</f>
        <v>add_ai60_m2</v>
      </c>
      <c r="BC2827" s="1572"/>
      <c r="BD2827" s="1588" t="s">
        <v>13264</v>
      </c>
      <c r="BE2827" s="342"/>
      <c r="BF2827" s="342"/>
      <c r="BG2827" s="342"/>
      <c r="BH2827" s="342"/>
      <c r="BI2827" s="342"/>
      <c r="BJ2827" s="342"/>
      <c r="BK2827" s="342"/>
      <c r="BL2827" s="342"/>
      <c r="BM2827" s="342"/>
      <c r="BN2827" s="342"/>
      <c r="BO2827" s="342"/>
      <c r="BP2827" s="342"/>
      <c r="BQ2827" s="342"/>
      <c r="BR2827" s="342"/>
      <c r="BS2827" s="342"/>
      <c r="BT2827" s="342"/>
      <c r="BU2827" s="342"/>
      <c r="BV2827" s="342"/>
      <c r="BW2827" s="342"/>
      <c r="BX2827" s="342"/>
      <c r="BY2827" s="342"/>
      <c r="BZ2827" s="342"/>
      <c r="CA2827" s="342"/>
      <c r="CB2827" s="342"/>
      <c r="CC2827" s="342"/>
      <c r="CD2827" s="342"/>
      <c r="CE2827" s="342"/>
      <c r="CF2827" s="342"/>
      <c r="CG2827" s="342"/>
      <c r="CH2827" s="342"/>
      <c r="CI2827" s="342"/>
      <c r="CJ2827" s="342"/>
      <c r="CK2827" s="342"/>
      <c r="CL2827" s="342"/>
      <c r="CM2827" s="342"/>
      <c r="CN2827" s="342"/>
      <c r="CO2827" s="342"/>
      <c r="CP2827" s="342"/>
      <c r="CQ2827" s="342"/>
      <c r="CR2827" s="342"/>
      <c r="CS2827" s="342"/>
      <c r="CT2827" s="342"/>
      <c r="CU2827" s="342"/>
      <c r="CV2827" s="342"/>
      <c r="CW2827" s="342"/>
      <c r="CX2827" s="342"/>
      <c r="CY2827" s="342"/>
      <c r="CZ2827" s="342"/>
      <c r="DA2827" s="342"/>
      <c r="DB2827" s="342"/>
      <c r="DC2827" s="342"/>
      <c r="DD2827" s="342"/>
      <c r="DE2827" s="342"/>
      <c r="DF2827" s="342"/>
      <c r="DG2827" s="342"/>
      <c r="DH2827" s="342"/>
      <c r="DI2827" s="342"/>
      <c r="DJ2827" s="342"/>
      <c r="DK2827" s="342"/>
      <c r="DL2827" s="342"/>
    </row>
    <row r="2828">
      <c r="A2828" s="44">
        <v>3093.0</v>
      </c>
      <c r="B2828" s="1322" t="s">
        <v>152</v>
      </c>
      <c r="C2828" s="1588" t="s">
        <v>115</v>
      </c>
      <c r="D2828" s="1588" t="s">
        <v>153</v>
      </c>
      <c r="E2828" s="1572"/>
      <c r="F2828" s="1600" t="s">
        <v>16459</v>
      </c>
      <c r="G2828" s="1592" t="s">
        <v>16636</v>
      </c>
      <c r="H2828" s="1600" t="s">
        <v>15921</v>
      </c>
      <c r="I2828" s="2229">
        <v>45821.0</v>
      </c>
      <c r="J2828" s="2230">
        <v>45847.0</v>
      </c>
      <c r="K2828" s="1592" t="s">
        <v>16483</v>
      </c>
      <c r="L2828" s="1313"/>
      <c r="M2828" s="1592" t="s">
        <v>16462</v>
      </c>
      <c r="N2828" s="1592" t="s">
        <v>16463</v>
      </c>
      <c r="O2828" s="1313"/>
      <c r="P2828" s="1592" t="s">
        <v>16464</v>
      </c>
      <c r="Q2828" s="2331" t="s">
        <v>16465</v>
      </c>
      <c r="R2828" s="1592" t="s">
        <v>16496</v>
      </c>
      <c r="S2828" s="1592" t="s">
        <v>16467</v>
      </c>
      <c r="T2828" s="1313"/>
      <c r="U2828" s="1313"/>
      <c r="V2828" s="1592" t="s">
        <v>16468</v>
      </c>
      <c r="W2828" s="1313"/>
      <c r="X2828" s="2233" t="str">
        <f t="array" ref="X2828"> if(iserror(MATCH(V2828, 'File Links'!C:C, 0)), "N/A", HYPERLINK(INDEX('File Links'!B:B, MATCH(V2828, 'File Links'!C:C, 0))))</f>
        <v>https://drive.google.com/file/d/16V6fX6zed8MKZ53zcmG18UMG8cS5fmS4/view?usp=drivesdk</v>
      </c>
      <c r="Y2828" s="1313"/>
      <c r="Z2828" s="1592" t="s">
        <v>1679</v>
      </c>
      <c r="AA2828" s="1600" t="s">
        <v>16476</v>
      </c>
      <c r="AB2828" s="1592" t="s">
        <v>16477</v>
      </c>
      <c r="AC2828" s="2262" t="s">
        <v>16637</v>
      </c>
      <c r="AD2828" s="1592" t="s">
        <v>16486</v>
      </c>
      <c r="AE2828" s="2265">
        <v>7.0</v>
      </c>
      <c r="AF2828" s="2342">
        <f>485*0.14</f>
        <v>67.9</v>
      </c>
      <c r="AG2828" s="2265">
        <v>0.239</v>
      </c>
      <c r="AH2828" s="1592" t="s">
        <v>16492</v>
      </c>
      <c r="AI2828" s="2341" t="s">
        <v>16638</v>
      </c>
      <c r="AJ2828" s="1324" t="s">
        <v>138</v>
      </c>
      <c r="AK2828" s="1324" t="s">
        <v>138</v>
      </c>
      <c r="AL2828" s="1592" t="s">
        <v>186</v>
      </c>
      <c r="AM2828" s="1592" t="s">
        <v>137</v>
      </c>
      <c r="AN2828" s="1592" t="s">
        <v>138</v>
      </c>
      <c r="AO2828" s="1596">
        <v>285.0</v>
      </c>
      <c r="AP2828" s="2265">
        <v>0.057</v>
      </c>
      <c r="AQ2828" s="1592" t="s">
        <v>16492</v>
      </c>
      <c r="AR2828" s="2262" t="s">
        <v>16639</v>
      </c>
      <c r="AS2828" s="1592" t="s">
        <v>138</v>
      </c>
      <c r="AT2828" s="2343" t="s">
        <v>138</v>
      </c>
      <c r="AU2828" s="1592" t="s">
        <v>186</v>
      </c>
      <c r="AV2828" s="1592" t="s">
        <v>137</v>
      </c>
      <c r="AW2828" s="1592" t="s">
        <v>138</v>
      </c>
      <c r="AX2828" s="1592" t="s">
        <v>143</v>
      </c>
      <c r="AY2828" s="1321" t="str">
        <f>IFERROR(__xludf.DUMMYFUNCTION("vlookup(BB2828,importrange(""https://docs.google.com/spreadsheets/d/1d2vevQ_7D_v35q4wCQ4RpQ_IPoTwEMB9Yp6ymwlPqew/edit?gid=984458430#gid=984458430"", ""'replication success'!A:K""), 11, FAlSE)"),"#N/A")</f>
        <v>#N/A</v>
      </c>
      <c r="AZ2828" s="1321" t="str">
        <f>IFERROR(__xludf.DUMMYFUNCTION("vlookup(BB2828,importrange(""https://docs.google.com/spreadsheets/d/1d2vevQ_7D_v35q4wCQ4RpQ_IPoTwEMB9Yp6ymwlPqew/edit?gid=984458430#gid=984458430"", ""'replication success'!A:M""), 12, FAlSE)"),"#N/A")</f>
        <v>#N/A</v>
      </c>
      <c r="BA2828" s="1321" t="str">
        <f>IFERROR(__xludf.DUMMYFUNCTION("vlookup(BB2828,importrange(""https://docs.google.com/spreadsheets/d/1d2vevQ_7D_v35q4wCQ4RpQ_IPoTwEMB9Yp6ymwlPqew/edit?gid=984458430#gid=984458430"", ""'replication success'!A:M""), 13, FAlSE)"),"#N/A")</f>
        <v>#N/A</v>
      </c>
      <c r="BB2828" s="1321" t="str">
        <f>IFERROR(__xludf.DUMMYFUNCTION("REGEXREPLACE(G2828, ""_[a-z]{1,2}$"", """")"),"add_ai60_m3")</f>
        <v>add_ai60_m3</v>
      </c>
      <c r="BC2828" s="1572"/>
      <c r="BD2828" s="1588" t="s">
        <v>13264</v>
      </c>
      <c r="BE2828" s="342"/>
      <c r="BF2828" s="342"/>
      <c r="BG2828" s="342"/>
      <c r="BH2828" s="342"/>
      <c r="BI2828" s="342"/>
      <c r="BJ2828" s="342"/>
      <c r="BK2828" s="342"/>
      <c r="BL2828" s="342"/>
      <c r="BM2828" s="342"/>
      <c r="BN2828" s="342"/>
      <c r="BO2828" s="342"/>
      <c r="BP2828" s="342"/>
      <c r="BQ2828" s="342"/>
      <c r="BR2828" s="342"/>
      <c r="BS2828" s="342"/>
      <c r="BT2828" s="342"/>
      <c r="BU2828" s="342"/>
      <c r="BV2828" s="342"/>
      <c r="BW2828" s="342"/>
      <c r="BX2828" s="342"/>
      <c r="BY2828" s="342"/>
      <c r="BZ2828" s="342"/>
      <c r="CA2828" s="342"/>
      <c r="CB2828" s="342"/>
      <c r="CC2828" s="342"/>
      <c r="CD2828" s="342"/>
      <c r="CE2828" s="342"/>
      <c r="CF2828" s="342"/>
      <c r="CG2828" s="342"/>
      <c r="CH2828" s="342"/>
      <c r="CI2828" s="342"/>
      <c r="CJ2828" s="342"/>
      <c r="CK2828" s="342"/>
      <c r="CL2828" s="342"/>
      <c r="CM2828" s="342"/>
      <c r="CN2828" s="342"/>
      <c r="CO2828" s="342"/>
      <c r="CP2828" s="342"/>
      <c r="CQ2828" s="342"/>
      <c r="CR2828" s="342"/>
      <c r="CS2828" s="342"/>
      <c r="CT2828" s="342"/>
      <c r="CU2828" s="342"/>
      <c r="CV2828" s="342"/>
      <c r="CW2828" s="342"/>
      <c r="CX2828" s="342"/>
      <c r="CY2828" s="342"/>
      <c r="CZ2828" s="342"/>
      <c r="DA2828" s="342"/>
      <c r="DB2828" s="342"/>
      <c r="DC2828" s="342"/>
      <c r="DD2828" s="342"/>
      <c r="DE2828" s="342"/>
      <c r="DF2828" s="342"/>
      <c r="DG2828" s="342"/>
      <c r="DH2828" s="342"/>
      <c r="DI2828" s="342"/>
      <c r="DJ2828" s="342"/>
      <c r="DK2828" s="342"/>
      <c r="DL2828" s="342"/>
    </row>
    <row r="2829">
      <c r="A2829" s="44">
        <v>3042.0</v>
      </c>
      <c r="B2829" s="1322" t="s">
        <v>152</v>
      </c>
      <c r="C2829" s="1588" t="s">
        <v>115</v>
      </c>
      <c r="D2829" s="1588" t="s">
        <v>153</v>
      </c>
      <c r="E2829" s="1572"/>
      <c r="F2829" s="1600" t="s">
        <v>16459</v>
      </c>
      <c r="G2829" s="1592" t="s">
        <v>16640</v>
      </c>
      <c r="H2829" s="1600" t="s">
        <v>15921</v>
      </c>
      <c r="I2829" s="2229">
        <v>45821.0</v>
      </c>
      <c r="J2829" s="2230">
        <v>45847.0</v>
      </c>
      <c r="K2829" s="1592" t="s">
        <v>16474</v>
      </c>
      <c r="L2829" s="1313"/>
      <c r="M2829" s="1592" t="s">
        <v>16462</v>
      </c>
      <c r="N2829" s="1592" t="s">
        <v>16463</v>
      </c>
      <c r="O2829" s="1313"/>
      <c r="P2829" s="1592" t="s">
        <v>16464</v>
      </c>
      <c r="Q2829" s="2331" t="s">
        <v>16465</v>
      </c>
      <c r="R2829" s="1592" t="s">
        <v>16496</v>
      </c>
      <c r="S2829" s="1592" t="s">
        <v>16467</v>
      </c>
      <c r="T2829" s="1313"/>
      <c r="U2829" s="1313"/>
      <c r="V2829" s="1592" t="s">
        <v>16468</v>
      </c>
      <c r="W2829" s="1313"/>
      <c r="X2829" s="2233" t="str">
        <f t="array" ref="X2829"> if(iserror(MATCH(V2829, 'File Links'!C:C, 0)), "N/A", HYPERLINK(INDEX('File Links'!B:B, MATCH(V2829, 'File Links'!C:C, 0))))</f>
        <v>https://drive.google.com/file/d/16V6fX6zed8MKZ53zcmG18UMG8cS5fmS4/view?usp=drivesdk</v>
      </c>
      <c r="Y2829" s="1313"/>
      <c r="Z2829" s="1592" t="s">
        <v>1679</v>
      </c>
      <c r="AA2829" s="1600" t="s">
        <v>16476</v>
      </c>
      <c r="AB2829" s="1592" t="s">
        <v>16477</v>
      </c>
      <c r="AC2829" s="1600" t="s">
        <v>16641</v>
      </c>
      <c r="AD2829" s="1600" t="s">
        <v>16479</v>
      </c>
      <c r="AE2829" s="2265">
        <v>6.0</v>
      </c>
      <c r="AF2829" s="1596">
        <v>485.0</v>
      </c>
      <c r="AG2829" s="2265">
        <v>0.19</v>
      </c>
      <c r="AH2829" s="1592" t="s">
        <v>361</v>
      </c>
      <c r="AI2829" s="2341" t="s">
        <v>16642</v>
      </c>
      <c r="AJ2829" s="2265">
        <v>0.0032</v>
      </c>
      <c r="AK2829" s="1592" t="s">
        <v>172</v>
      </c>
      <c r="AL2829" s="1592" t="s">
        <v>186</v>
      </c>
      <c r="AM2829" s="1592" t="s">
        <v>137</v>
      </c>
      <c r="AN2829" s="1324" t="s">
        <v>138</v>
      </c>
      <c r="AO2829" s="1596">
        <v>285.0</v>
      </c>
      <c r="AP2829" s="1596">
        <v>0.267</v>
      </c>
      <c r="AQ2829" s="1592" t="s">
        <v>361</v>
      </c>
      <c r="AR2829" s="2262" t="s">
        <v>16643</v>
      </c>
      <c r="AS2829" s="1596">
        <v>0.001</v>
      </c>
      <c r="AT2829" s="1592" t="s">
        <v>135</v>
      </c>
      <c r="AU2829" s="1592" t="s">
        <v>186</v>
      </c>
      <c r="AV2829" s="1592" t="s">
        <v>137</v>
      </c>
      <c r="AW2829" s="1592" t="s">
        <v>138</v>
      </c>
      <c r="AX2829" s="1592" t="s">
        <v>143</v>
      </c>
      <c r="AY2829" s="1321" t="str">
        <f>IFERROR(__xludf.DUMMYFUNCTION("vlookup(BB2829,importrange(""https://docs.google.com/spreadsheets/d/1d2vevQ_7D_v35q4wCQ4RpQ_IPoTwEMB9Yp6ymwlPqew/edit?gid=984458430#gid=984458430"", ""'replication success'!A:K""), 11, FAlSE)"),"#N/A")</f>
        <v>#N/A</v>
      </c>
      <c r="AZ2829" s="1321" t="str">
        <f>IFERROR(__xludf.DUMMYFUNCTION("vlookup(BB2829,importrange(""https://docs.google.com/spreadsheets/d/1d2vevQ_7D_v35q4wCQ4RpQ_IPoTwEMB9Yp6ymwlPqew/edit?gid=984458430#gid=984458430"", ""'replication success'!A:M""), 12, FAlSE)"),"#N/A")</f>
        <v>#N/A</v>
      </c>
      <c r="BA2829" s="1321" t="str">
        <f>IFERROR(__xludf.DUMMYFUNCTION("vlookup(BB2829,importrange(""https://docs.google.com/spreadsheets/d/1d2vevQ_7D_v35q4wCQ4RpQ_IPoTwEMB9Yp6ymwlPqew/edit?gid=984458430#gid=984458430"", ""'replication success'!A:M""), 13, FAlSE)"),"#N/A")</f>
        <v>#N/A</v>
      </c>
      <c r="BB2829" s="1321" t="str">
        <f>IFERROR(__xludf.DUMMYFUNCTION("REGEXREPLACE(G2829, ""_[a-z]{1,2}$"", """")"),"add_ai60")</f>
        <v>add_ai60</v>
      </c>
      <c r="BC2829" s="1572"/>
      <c r="BD2829" s="1588" t="s">
        <v>13264</v>
      </c>
      <c r="BE2829" s="342"/>
      <c r="BF2829" s="342"/>
      <c r="BG2829" s="342"/>
      <c r="BH2829" s="342"/>
      <c r="BI2829" s="342"/>
      <c r="BJ2829" s="342"/>
      <c r="BK2829" s="342"/>
      <c r="BL2829" s="342"/>
      <c r="BM2829" s="342"/>
      <c r="BN2829" s="342"/>
      <c r="BO2829" s="342"/>
      <c r="BP2829" s="342"/>
      <c r="BQ2829" s="342"/>
      <c r="BR2829" s="342"/>
      <c r="BS2829" s="342"/>
      <c r="BT2829" s="342"/>
      <c r="BU2829" s="342"/>
      <c r="BV2829" s="342"/>
      <c r="BW2829" s="342"/>
      <c r="BX2829" s="342"/>
      <c r="BY2829" s="342"/>
      <c r="BZ2829" s="342"/>
      <c r="CA2829" s="342"/>
      <c r="CB2829" s="342"/>
      <c r="CC2829" s="342"/>
      <c r="CD2829" s="342"/>
      <c r="CE2829" s="342"/>
      <c r="CF2829" s="342"/>
      <c r="CG2829" s="342"/>
      <c r="CH2829" s="342"/>
      <c r="CI2829" s="342"/>
      <c r="CJ2829" s="342"/>
      <c r="CK2829" s="342"/>
      <c r="CL2829" s="342"/>
      <c r="CM2829" s="342"/>
      <c r="CN2829" s="342"/>
      <c r="CO2829" s="342"/>
      <c r="CP2829" s="342"/>
      <c r="CQ2829" s="342"/>
      <c r="CR2829" s="342"/>
      <c r="CS2829" s="342"/>
      <c r="CT2829" s="342"/>
      <c r="CU2829" s="342"/>
      <c r="CV2829" s="342"/>
      <c r="CW2829" s="342"/>
      <c r="CX2829" s="342"/>
      <c r="CY2829" s="342"/>
      <c r="CZ2829" s="342"/>
      <c r="DA2829" s="342"/>
      <c r="DB2829" s="342"/>
      <c r="DC2829" s="342"/>
      <c r="DD2829" s="342"/>
      <c r="DE2829" s="342"/>
      <c r="DF2829" s="342"/>
      <c r="DG2829" s="342"/>
      <c r="DH2829" s="342"/>
      <c r="DI2829" s="342"/>
      <c r="DJ2829" s="342"/>
      <c r="DK2829" s="342"/>
      <c r="DL2829" s="342"/>
    </row>
    <row r="2830">
      <c r="A2830" s="44">
        <v>3068.0</v>
      </c>
      <c r="B2830" s="2346" t="s">
        <v>152</v>
      </c>
      <c r="C2830" s="2347" t="s">
        <v>115</v>
      </c>
      <c r="D2830" s="2347" t="s">
        <v>153</v>
      </c>
      <c r="E2830" s="2348"/>
      <c r="F2830" s="2349" t="s">
        <v>16459</v>
      </c>
      <c r="G2830" s="2345" t="s">
        <v>16644</v>
      </c>
      <c r="H2830" s="2349" t="s">
        <v>15921</v>
      </c>
      <c r="I2830" s="2350">
        <v>45821.0</v>
      </c>
      <c r="J2830" s="2351">
        <v>45847.0</v>
      </c>
      <c r="K2830" s="2345" t="s">
        <v>16483</v>
      </c>
      <c r="L2830" s="2352"/>
      <c r="M2830" s="2345" t="s">
        <v>16462</v>
      </c>
      <c r="N2830" s="2345" t="s">
        <v>16463</v>
      </c>
      <c r="O2830" s="2352"/>
      <c r="P2830" s="2345" t="s">
        <v>16464</v>
      </c>
      <c r="Q2830" s="2353" t="s">
        <v>16465</v>
      </c>
      <c r="R2830" s="2345" t="s">
        <v>16496</v>
      </c>
      <c r="S2830" s="2345" t="s">
        <v>16467</v>
      </c>
      <c r="T2830" s="2352"/>
      <c r="U2830" s="2352"/>
      <c r="V2830" s="2345" t="s">
        <v>16468</v>
      </c>
      <c r="W2830" s="2352"/>
      <c r="X2830" s="2354" t="str">
        <f t="array" ref="X2830"> if(iserror(MATCH(V2830, 'File Links'!C:C, 0)), "N/A", HYPERLINK(INDEX('File Links'!B:B, MATCH(V2830, 'File Links'!C:C, 0))))</f>
        <v>https://drive.google.com/file/d/16V6fX6zed8MKZ53zcmG18UMG8cS5fmS4/view?usp=drivesdk</v>
      </c>
      <c r="Y2830" s="2352"/>
      <c r="Z2830" s="2345" t="s">
        <v>1679</v>
      </c>
      <c r="AA2830" s="2349" t="s">
        <v>16476</v>
      </c>
      <c r="AB2830" s="2345" t="s">
        <v>16477</v>
      </c>
      <c r="AC2830" s="2355" t="s">
        <v>16645</v>
      </c>
      <c r="AD2830" s="2345" t="s">
        <v>16486</v>
      </c>
      <c r="AE2830" s="2334">
        <v>7.0</v>
      </c>
      <c r="AF2830" s="2356">
        <f>485*0.44</f>
        <v>213.4</v>
      </c>
      <c r="AG2830" s="2334">
        <v>0.248</v>
      </c>
      <c r="AH2830" s="2345" t="s">
        <v>16492</v>
      </c>
      <c r="AI2830" s="2357" t="s">
        <v>16646</v>
      </c>
      <c r="AJ2830" s="2346" t="s">
        <v>138</v>
      </c>
      <c r="AK2830" s="2346" t="s">
        <v>138</v>
      </c>
      <c r="AL2830" s="2345" t="s">
        <v>186</v>
      </c>
      <c r="AM2830" s="2345" t="s">
        <v>137</v>
      </c>
      <c r="AN2830" s="2345" t="s">
        <v>138</v>
      </c>
      <c r="AO2830" s="2332">
        <v>285.0</v>
      </c>
      <c r="AP2830" s="2334">
        <v>0.037</v>
      </c>
      <c r="AQ2830" s="2345" t="s">
        <v>16492</v>
      </c>
      <c r="AR2830" s="2355" t="s">
        <v>16647</v>
      </c>
      <c r="AS2830" s="2345" t="s">
        <v>138</v>
      </c>
      <c r="AT2830" s="2345" t="s">
        <v>138</v>
      </c>
      <c r="AU2830" s="2345" t="s">
        <v>186</v>
      </c>
      <c r="AV2830" s="2345" t="s">
        <v>137</v>
      </c>
      <c r="AW2830" s="2345" t="s">
        <v>138</v>
      </c>
      <c r="AX2830" s="2345" t="s">
        <v>143</v>
      </c>
      <c r="AY2830" s="2358" t="str">
        <f>IFERROR(__xludf.DUMMYFUNCTION("vlookup(BB2830,importrange(""https://docs.google.com/spreadsheets/d/1d2vevQ_7D_v35q4wCQ4RpQ_IPoTwEMB9Yp6ymwlPqew/edit?gid=984458430#gid=984458430"", ""'replication success'!A:K""), 11, FAlSE)"),"#N/A")</f>
        <v>#N/A</v>
      </c>
      <c r="AZ2830" s="2358" t="str">
        <f>IFERROR(__xludf.DUMMYFUNCTION("vlookup(BB2830,importrange(""https://docs.google.com/spreadsheets/d/1d2vevQ_7D_v35q4wCQ4RpQ_IPoTwEMB9Yp6ymwlPqew/edit?gid=984458430#gid=984458430"", ""'replication success'!A:M""), 12, FAlSE)"),"#N/A")</f>
        <v>#N/A</v>
      </c>
      <c r="BA2830" s="2358" t="str">
        <f>IFERROR(__xludf.DUMMYFUNCTION("vlookup(BB2830,importrange(""https://docs.google.com/spreadsheets/d/1d2vevQ_7D_v35q4wCQ4RpQ_IPoTwEMB9Yp6ymwlPqew/edit?gid=984458430#gid=984458430"", ""'replication success'!A:M""), 13, FAlSE)"),"#N/A")</f>
        <v>#N/A</v>
      </c>
      <c r="BB2830" s="2358" t="str">
        <f>IFERROR(__xludf.DUMMYFUNCTION("REGEXREPLACE(G2830, ""_[a-z]{1,2}$"", """")"),"add_ai60_n2")</f>
        <v>add_ai60_n2</v>
      </c>
      <c r="BC2830" s="2348"/>
      <c r="BD2830" s="2347" t="s">
        <v>13264</v>
      </c>
      <c r="BE2830" s="1988"/>
      <c r="BF2830" s="1988"/>
      <c r="BG2830" s="1988"/>
      <c r="BH2830" s="1988"/>
      <c r="BI2830" s="1988"/>
      <c r="BJ2830" s="1988"/>
      <c r="BK2830" s="1988"/>
      <c r="BL2830" s="1988"/>
      <c r="BM2830" s="1988"/>
      <c r="BN2830" s="1988"/>
      <c r="BO2830" s="1988"/>
      <c r="BP2830" s="1988"/>
      <c r="BQ2830" s="1988"/>
      <c r="BR2830" s="1988"/>
      <c r="BS2830" s="1988"/>
      <c r="BT2830" s="1988"/>
      <c r="BU2830" s="1988"/>
      <c r="BV2830" s="1988"/>
      <c r="BW2830" s="1988"/>
      <c r="BX2830" s="1988"/>
      <c r="BY2830" s="1988"/>
      <c r="BZ2830" s="1988"/>
      <c r="CA2830" s="1988"/>
      <c r="CB2830" s="1988"/>
      <c r="CC2830" s="1988"/>
      <c r="CD2830" s="1988"/>
      <c r="CE2830" s="1988"/>
      <c r="CF2830" s="1988"/>
      <c r="CG2830" s="1988"/>
      <c r="CH2830" s="1988"/>
      <c r="CI2830" s="1988"/>
      <c r="CJ2830" s="1988"/>
      <c r="CK2830" s="1988"/>
      <c r="CL2830" s="1988"/>
      <c r="CM2830" s="1988"/>
      <c r="CN2830" s="1988"/>
      <c r="CO2830" s="1988"/>
      <c r="CP2830" s="1988"/>
      <c r="CQ2830" s="1988"/>
      <c r="CR2830" s="1988"/>
      <c r="CS2830" s="1988"/>
      <c r="CT2830" s="1988"/>
      <c r="CU2830" s="1988"/>
      <c r="CV2830" s="1988"/>
      <c r="CW2830" s="1988"/>
      <c r="CX2830" s="1988"/>
      <c r="CY2830" s="1988"/>
      <c r="CZ2830" s="1988"/>
      <c r="DA2830" s="1988"/>
      <c r="DB2830" s="1988"/>
      <c r="DC2830" s="1988"/>
      <c r="DD2830" s="1988"/>
      <c r="DE2830" s="1988"/>
      <c r="DF2830" s="1988"/>
      <c r="DG2830" s="1988"/>
      <c r="DH2830" s="1988"/>
      <c r="DI2830" s="1988"/>
      <c r="DJ2830" s="1988"/>
      <c r="DK2830" s="1988"/>
      <c r="DL2830" s="1988"/>
    </row>
    <row r="2831">
      <c r="A2831" s="44">
        <v>3094.0</v>
      </c>
      <c r="B2831" s="1322" t="s">
        <v>152</v>
      </c>
      <c r="C2831" s="1588" t="s">
        <v>115</v>
      </c>
      <c r="D2831" s="1588" t="s">
        <v>153</v>
      </c>
      <c r="E2831" s="1572"/>
      <c r="F2831" s="1600" t="s">
        <v>16459</v>
      </c>
      <c r="G2831" s="1592" t="s">
        <v>16648</v>
      </c>
      <c r="H2831" s="1600" t="s">
        <v>15921</v>
      </c>
      <c r="I2831" s="2229">
        <v>45821.0</v>
      </c>
      <c r="J2831" s="2230">
        <v>45847.0</v>
      </c>
      <c r="K2831" s="1592" t="s">
        <v>16483</v>
      </c>
      <c r="L2831" s="1313"/>
      <c r="M2831" s="1592" t="s">
        <v>16462</v>
      </c>
      <c r="N2831" s="1592" t="s">
        <v>16463</v>
      </c>
      <c r="O2831" s="1313"/>
      <c r="P2831" s="1592" t="s">
        <v>16464</v>
      </c>
      <c r="Q2831" s="2331" t="s">
        <v>16465</v>
      </c>
      <c r="R2831" s="1592" t="s">
        <v>16496</v>
      </c>
      <c r="S2831" s="1592" t="s">
        <v>16467</v>
      </c>
      <c r="T2831" s="1313"/>
      <c r="U2831" s="1313"/>
      <c r="V2831" s="1592" t="s">
        <v>16468</v>
      </c>
      <c r="W2831" s="1313"/>
      <c r="X2831" s="2233" t="str">
        <f t="array" ref="X2831"> if(iserror(MATCH(V2831, 'File Links'!C:C, 0)), "N/A", HYPERLINK(INDEX('File Links'!B:B, MATCH(V2831, 'File Links'!C:C, 0))))</f>
        <v>https://drive.google.com/file/d/16V6fX6zed8MKZ53zcmG18UMG8cS5fmS4/view?usp=drivesdk</v>
      </c>
      <c r="Y2831" s="1313"/>
      <c r="Z2831" s="1592" t="s">
        <v>1679</v>
      </c>
      <c r="AA2831" s="1600" t="s">
        <v>16476</v>
      </c>
      <c r="AB2831" s="1592" t="s">
        <v>16477</v>
      </c>
      <c r="AC2831" s="2262" t="s">
        <v>16649</v>
      </c>
      <c r="AD2831" s="1592" t="s">
        <v>16486</v>
      </c>
      <c r="AE2831" s="2265">
        <v>7.0</v>
      </c>
      <c r="AF2831" s="2342">
        <f>485*0.14</f>
        <v>67.9</v>
      </c>
      <c r="AG2831" s="2265">
        <v>0.345</v>
      </c>
      <c r="AH2831" s="1592" t="s">
        <v>16492</v>
      </c>
      <c r="AI2831" s="2341" t="s">
        <v>16650</v>
      </c>
      <c r="AJ2831" s="1324" t="s">
        <v>138</v>
      </c>
      <c r="AK2831" s="1324" t="s">
        <v>138</v>
      </c>
      <c r="AL2831" s="1592" t="s">
        <v>186</v>
      </c>
      <c r="AM2831" s="1592" t="s">
        <v>137</v>
      </c>
      <c r="AN2831" s="1592" t="s">
        <v>138</v>
      </c>
      <c r="AO2831" s="1596">
        <v>285.0</v>
      </c>
      <c r="AP2831" s="2265">
        <v>0.037</v>
      </c>
      <c r="AQ2831" s="1592" t="s">
        <v>16492</v>
      </c>
      <c r="AR2831" s="2262" t="s">
        <v>16651</v>
      </c>
      <c r="AS2831" s="1592" t="s">
        <v>138</v>
      </c>
      <c r="AT2831" s="2337" t="s">
        <v>138</v>
      </c>
      <c r="AU2831" s="1592" t="s">
        <v>186</v>
      </c>
      <c r="AV2831" s="1592" t="s">
        <v>137</v>
      </c>
      <c r="AW2831" s="1592" t="s">
        <v>138</v>
      </c>
      <c r="AX2831" s="1592" t="s">
        <v>143</v>
      </c>
      <c r="AY2831" s="1321" t="str">
        <f>IFERROR(__xludf.DUMMYFUNCTION("vlookup(BB2831,importrange(""https://docs.google.com/spreadsheets/d/1d2vevQ_7D_v35q4wCQ4RpQ_IPoTwEMB9Yp6ymwlPqew/edit?gid=984458430#gid=984458430"", ""'replication success'!A:K""), 11, FAlSE)"),"#N/A")</f>
        <v>#N/A</v>
      </c>
      <c r="AZ2831" s="1321" t="str">
        <f>IFERROR(__xludf.DUMMYFUNCTION("vlookup(BB2831,importrange(""https://docs.google.com/spreadsheets/d/1d2vevQ_7D_v35q4wCQ4RpQ_IPoTwEMB9Yp6ymwlPqew/edit?gid=984458430#gid=984458430"", ""'replication success'!A:M""), 12, FAlSE)"),"#N/A")</f>
        <v>#N/A</v>
      </c>
      <c r="BA2831" s="1321" t="str">
        <f>IFERROR(__xludf.DUMMYFUNCTION("vlookup(BB2831,importrange(""https://docs.google.com/spreadsheets/d/1d2vevQ_7D_v35q4wCQ4RpQ_IPoTwEMB9Yp6ymwlPqew/edit?gid=984458430#gid=984458430"", ""'replication success'!A:M""), 13, FAlSE)"),"#N/A")</f>
        <v>#N/A</v>
      </c>
      <c r="BB2831" s="1321" t="str">
        <f>IFERROR(__xludf.DUMMYFUNCTION("REGEXREPLACE(G2831, ""_[a-z]{1,2}$"", """")"),"add_ai60_n3")</f>
        <v>add_ai60_n3</v>
      </c>
      <c r="BC2831" s="1572"/>
      <c r="BD2831" s="1588" t="s">
        <v>13264</v>
      </c>
      <c r="BE2831" s="342"/>
      <c r="BF2831" s="342"/>
      <c r="BG2831" s="342"/>
      <c r="BH2831" s="342"/>
      <c r="BI2831" s="342"/>
      <c r="BJ2831" s="342"/>
      <c r="BK2831" s="342"/>
      <c r="BL2831" s="342"/>
      <c r="BM2831" s="342"/>
      <c r="BN2831" s="342"/>
      <c r="BO2831" s="342"/>
      <c r="BP2831" s="342"/>
      <c r="BQ2831" s="342"/>
      <c r="BR2831" s="342"/>
      <c r="BS2831" s="342"/>
      <c r="BT2831" s="342"/>
      <c r="BU2831" s="342"/>
      <c r="BV2831" s="342"/>
      <c r="BW2831" s="342"/>
      <c r="BX2831" s="342"/>
      <c r="BY2831" s="342"/>
      <c r="BZ2831" s="342"/>
      <c r="CA2831" s="342"/>
      <c r="CB2831" s="342"/>
      <c r="CC2831" s="342"/>
      <c r="CD2831" s="342"/>
      <c r="CE2831" s="342"/>
      <c r="CF2831" s="342"/>
      <c r="CG2831" s="342"/>
      <c r="CH2831" s="342"/>
      <c r="CI2831" s="342"/>
      <c r="CJ2831" s="342"/>
      <c r="CK2831" s="342"/>
      <c r="CL2831" s="342"/>
      <c r="CM2831" s="342"/>
      <c r="CN2831" s="342"/>
      <c r="CO2831" s="342"/>
      <c r="CP2831" s="342"/>
      <c r="CQ2831" s="342"/>
      <c r="CR2831" s="342"/>
      <c r="CS2831" s="342"/>
      <c r="CT2831" s="342"/>
      <c r="CU2831" s="342"/>
      <c r="CV2831" s="342"/>
      <c r="CW2831" s="342"/>
      <c r="CX2831" s="342"/>
      <c r="CY2831" s="342"/>
      <c r="CZ2831" s="342"/>
      <c r="DA2831" s="342"/>
      <c r="DB2831" s="342"/>
      <c r="DC2831" s="342"/>
      <c r="DD2831" s="342"/>
      <c r="DE2831" s="342"/>
      <c r="DF2831" s="342"/>
      <c r="DG2831" s="342"/>
      <c r="DH2831" s="342"/>
      <c r="DI2831" s="342"/>
      <c r="DJ2831" s="342"/>
      <c r="DK2831" s="342"/>
      <c r="DL2831" s="342"/>
    </row>
    <row r="2832">
      <c r="A2832" s="44">
        <v>3043.0</v>
      </c>
      <c r="B2832" s="1322" t="s">
        <v>152</v>
      </c>
      <c r="C2832" s="1588" t="s">
        <v>115</v>
      </c>
      <c r="D2832" s="1588" t="s">
        <v>153</v>
      </c>
      <c r="E2832" s="1572"/>
      <c r="F2832" s="1600" t="s">
        <v>16459</v>
      </c>
      <c r="G2832" s="1592" t="s">
        <v>16652</v>
      </c>
      <c r="H2832" s="1600" t="s">
        <v>15921</v>
      </c>
      <c r="I2832" s="2229">
        <v>45821.0</v>
      </c>
      <c r="J2832" s="2230">
        <v>45847.0</v>
      </c>
      <c r="K2832" s="1592" t="s">
        <v>16474</v>
      </c>
      <c r="L2832" s="1313"/>
      <c r="M2832" s="1592" t="s">
        <v>16462</v>
      </c>
      <c r="N2832" s="1592" t="s">
        <v>16463</v>
      </c>
      <c r="O2832" s="1313"/>
      <c r="P2832" s="1592" t="s">
        <v>16464</v>
      </c>
      <c r="Q2832" s="2331" t="s">
        <v>16465</v>
      </c>
      <c r="R2832" s="1592" t="s">
        <v>16496</v>
      </c>
      <c r="S2832" s="1592" t="s">
        <v>16467</v>
      </c>
      <c r="T2832" s="1313"/>
      <c r="U2832" s="1313"/>
      <c r="V2832" s="1592" t="s">
        <v>16468</v>
      </c>
      <c r="W2832" s="1313"/>
      <c r="X2832" s="2233" t="str">
        <f t="array" ref="X2832"> if(iserror(MATCH(V2832, 'File Links'!C:C, 0)), "N/A", HYPERLINK(INDEX('File Links'!B:B, MATCH(V2832, 'File Links'!C:C, 0))))</f>
        <v>https://drive.google.com/file/d/16V6fX6zed8MKZ53zcmG18UMG8cS5fmS4/view?usp=drivesdk</v>
      </c>
      <c r="Y2832" s="1313"/>
      <c r="Z2832" s="1592" t="s">
        <v>1679</v>
      </c>
      <c r="AA2832" s="1600" t="s">
        <v>16476</v>
      </c>
      <c r="AB2832" s="1592" t="s">
        <v>16477</v>
      </c>
      <c r="AC2832" s="2262" t="s">
        <v>16653</v>
      </c>
      <c r="AD2832" s="1600" t="s">
        <v>16654</v>
      </c>
      <c r="AE2832" s="2265">
        <v>7.0</v>
      </c>
      <c r="AF2832" s="1596">
        <v>485.0</v>
      </c>
      <c r="AG2832" s="2265">
        <v>0.192</v>
      </c>
      <c r="AH2832" s="1592" t="s">
        <v>16492</v>
      </c>
      <c r="AI2832" s="2341" t="s">
        <v>16655</v>
      </c>
      <c r="AJ2832" s="1324" t="s">
        <v>138</v>
      </c>
      <c r="AK2832" s="1324" t="s">
        <v>138</v>
      </c>
      <c r="AL2832" s="1592" t="s">
        <v>186</v>
      </c>
      <c r="AM2832" s="1592" t="s">
        <v>137</v>
      </c>
      <c r="AN2832" s="1324" t="s">
        <v>138</v>
      </c>
      <c r="AO2832" s="1596">
        <v>285.0</v>
      </c>
      <c r="AP2832" s="2265">
        <v>0.02</v>
      </c>
      <c r="AQ2832" s="1592" t="s">
        <v>16492</v>
      </c>
      <c r="AR2832" s="2262" t="s">
        <v>16656</v>
      </c>
      <c r="AS2832" s="1592" t="s">
        <v>138</v>
      </c>
      <c r="AT2832" s="2337" t="s">
        <v>138</v>
      </c>
      <c r="AU2832" s="1592" t="s">
        <v>186</v>
      </c>
      <c r="AV2832" s="1592" t="s">
        <v>137</v>
      </c>
      <c r="AW2832" s="1592" t="s">
        <v>138</v>
      </c>
      <c r="AX2832" s="1592" t="s">
        <v>143</v>
      </c>
      <c r="AY2832" s="1321" t="str">
        <f>IFERROR(__xludf.DUMMYFUNCTION("vlookup(BB2832,importrange(""https://docs.google.com/spreadsheets/d/1d2vevQ_7D_v35q4wCQ4RpQ_IPoTwEMB9Yp6ymwlPqew/edit?gid=984458430#gid=984458430"", ""'replication success'!A:K""), 11, FAlSE)"),"#N/A")</f>
        <v>#N/A</v>
      </c>
      <c r="AZ2832" s="1321" t="str">
        <f>IFERROR(__xludf.DUMMYFUNCTION("vlookup(BB2832,importrange(""https://docs.google.com/spreadsheets/d/1d2vevQ_7D_v35q4wCQ4RpQ_IPoTwEMB9Yp6ymwlPqew/edit?gid=984458430#gid=984458430"", ""'replication success'!A:M""), 12, FAlSE)"),"#N/A")</f>
        <v>#N/A</v>
      </c>
      <c r="BA2832" s="1321" t="str">
        <f>IFERROR(__xludf.DUMMYFUNCTION("vlookup(BB2832,importrange(""https://docs.google.com/spreadsheets/d/1d2vevQ_7D_v35q4wCQ4RpQ_IPoTwEMB9Yp6ymwlPqew/edit?gid=984458430#gid=984458430"", ""'replication success'!A:M""), 13, FAlSE)"),"#N/A")</f>
        <v>#N/A</v>
      </c>
      <c r="BB2832" s="1321" t="str">
        <f>IFERROR(__xludf.DUMMYFUNCTION("REGEXREPLACE(G2832, ""_[a-z]{1,2}$"", """")"),"add_ai60")</f>
        <v>add_ai60</v>
      </c>
      <c r="BC2832" s="1572"/>
      <c r="BD2832" s="1588" t="s">
        <v>13264</v>
      </c>
      <c r="BE2832" s="342"/>
      <c r="BF2832" s="342"/>
      <c r="BG2832" s="342"/>
      <c r="BH2832" s="342"/>
      <c r="BI2832" s="342"/>
      <c r="BJ2832" s="342"/>
      <c r="BK2832" s="342"/>
      <c r="BL2832" s="342"/>
      <c r="BM2832" s="342"/>
      <c r="BN2832" s="342"/>
      <c r="BO2832" s="342"/>
      <c r="BP2832" s="342"/>
      <c r="BQ2832" s="342"/>
      <c r="BR2832" s="342"/>
      <c r="BS2832" s="342"/>
      <c r="BT2832" s="342"/>
      <c r="BU2832" s="342"/>
      <c r="BV2832" s="342"/>
      <c r="BW2832" s="342"/>
      <c r="BX2832" s="342"/>
      <c r="BY2832" s="342"/>
      <c r="BZ2832" s="342"/>
      <c r="CA2832" s="342"/>
      <c r="CB2832" s="342"/>
      <c r="CC2832" s="342"/>
      <c r="CD2832" s="342"/>
      <c r="CE2832" s="342"/>
      <c r="CF2832" s="342"/>
      <c r="CG2832" s="342"/>
      <c r="CH2832" s="342"/>
      <c r="CI2832" s="342"/>
      <c r="CJ2832" s="342"/>
      <c r="CK2832" s="342"/>
      <c r="CL2832" s="342"/>
      <c r="CM2832" s="342"/>
      <c r="CN2832" s="342"/>
      <c r="CO2832" s="342"/>
      <c r="CP2832" s="342"/>
      <c r="CQ2832" s="342"/>
      <c r="CR2832" s="342"/>
      <c r="CS2832" s="342"/>
      <c r="CT2832" s="342"/>
      <c r="CU2832" s="342"/>
      <c r="CV2832" s="342"/>
      <c r="CW2832" s="342"/>
      <c r="CX2832" s="342"/>
      <c r="CY2832" s="342"/>
      <c r="CZ2832" s="342"/>
      <c r="DA2832" s="342"/>
      <c r="DB2832" s="342"/>
      <c r="DC2832" s="342"/>
      <c r="DD2832" s="342"/>
      <c r="DE2832" s="342"/>
      <c r="DF2832" s="342"/>
      <c r="DG2832" s="342"/>
      <c r="DH2832" s="342"/>
      <c r="DI2832" s="342"/>
      <c r="DJ2832" s="342"/>
      <c r="DK2832" s="342"/>
      <c r="DL2832" s="342"/>
    </row>
    <row r="2833">
      <c r="A2833" s="44">
        <v>3069.0</v>
      </c>
      <c r="B2833" s="1322" t="s">
        <v>152</v>
      </c>
      <c r="C2833" s="1588" t="s">
        <v>115</v>
      </c>
      <c r="D2833" s="1588" t="s">
        <v>153</v>
      </c>
      <c r="E2833" s="1572"/>
      <c r="F2833" s="1600" t="s">
        <v>16459</v>
      </c>
      <c r="G2833" s="1592" t="s">
        <v>16657</v>
      </c>
      <c r="H2833" s="1600" t="s">
        <v>15921</v>
      </c>
      <c r="I2833" s="2229">
        <v>45821.0</v>
      </c>
      <c r="J2833" s="2230">
        <v>45847.0</v>
      </c>
      <c r="K2833" s="1592" t="s">
        <v>16483</v>
      </c>
      <c r="L2833" s="1313"/>
      <c r="M2833" s="1592" t="s">
        <v>16462</v>
      </c>
      <c r="N2833" s="1592" t="s">
        <v>16463</v>
      </c>
      <c r="O2833" s="1313"/>
      <c r="P2833" s="1592" t="s">
        <v>16464</v>
      </c>
      <c r="Q2833" s="2331" t="s">
        <v>16465</v>
      </c>
      <c r="R2833" s="1592" t="s">
        <v>16496</v>
      </c>
      <c r="S2833" s="1592" t="s">
        <v>16467</v>
      </c>
      <c r="T2833" s="1313"/>
      <c r="U2833" s="1313"/>
      <c r="V2833" s="1592" t="s">
        <v>16468</v>
      </c>
      <c r="W2833" s="1313"/>
      <c r="X2833" s="2233" t="str">
        <f t="array" ref="X2833"> if(iserror(MATCH(V2833, 'File Links'!C:C, 0)), "N/A", HYPERLINK(INDEX('File Links'!B:B, MATCH(V2833, 'File Links'!C:C, 0))))</f>
        <v>https://drive.google.com/file/d/16V6fX6zed8MKZ53zcmG18UMG8cS5fmS4/view?usp=drivesdk</v>
      </c>
      <c r="Y2833" s="1313"/>
      <c r="Z2833" s="1592" t="s">
        <v>1679</v>
      </c>
      <c r="AA2833" s="1600" t="s">
        <v>16476</v>
      </c>
      <c r="AB2833" s="1592" t="s">
        <v>16477</v>
      </c>
      <c r="AC2833" s="2262" t="s">
        <v>16658</v>
      </c>
      <c r="AD2833" s="1592" t="s">
        <v>16486</v>
      </c>
      <c r="AE2833" s="2265">
        <v>7.0</v>
      </c>
      <c r="AF2833" s="2342">
        <f>485*0.44</f>
        <v>213.4</v>
      </c>
      <c r="AG2833" s="2265">
        <v>0.188</v>
      </c>
      <c r="AH2833" s="1592" t="s">
        <v>16492</v>
      </c>
      <c r="AI2833" s="2341" t="s">
        <v>16659</v>
      </c>
      <c r="AJ2833" s="1324" t="s">
        <v>138</v>
      </c>
      <c r="AK2833" s="1324" t="s">
        <v>138</v>
      </c>
      <c r="AL2833" s="1592" t="s">
        <v>186</v>
      </c>
      <c r="AM2833" s="1592" t="s">
        <v>137</v>
      </c>
      <c r="AN2833" s="1592" t="s">
        <v>138</v>
      </c>
      <c r="AO2833" s="1596">
        <v>285.0</v>
      </c>
      <c r="AP2833" s="2265">
        <v>0.071</v>
      </c>
      <c r="AQ2833" s="1592" t="s">
        <v>16492</v>
      </c>
      <c r="AR2833" s="2262" t="s">
        <v>16660</v>
      </c>
      <c r="AS2833" s="1592" t="s">
        <v>138</v>
      </c>
      <c r="AT2833" s="2337" t="s">
        <v>138</v>
      </c>
      <c r="AU2833" s="1592" t="s">
        <v>186</v>
      </c>
      <c r="AV2833" s="1592" t="s">
        <v>137</v>
      </c>
      <c r="AW2833" s="1592" t="s">
        <v>138</v>
      </c>
      <c r="AX2833" s="1592" t="s">
        <v>143</v>
      </c>
      <c r="AY2833" s="1321" t="str">
        <f>IFERROR(__xludf.DUMMYFUNCTION("vlookup(BB2833,importrange(""https://docs.google.com/spreadsheets/d/1d2vevQ_7D_v35q4wCQ4RpQ_IPoTwEMB9Yp6ymwlPqew/edit?gid=984458430#gid=984458430"", ""'replication success'!A:K""), 11, FAlSE)"),"#N/A")</f>
        <v>#N/A</v>
      </c>
      <c r="AZ2833" s="1321" t="str">
        <f>IFERROR(__xludf.DUMMYFUNCTION("vlookup(BB2833,importrange(""https://docs.google.com/spreadsheets/d/1d2vevQ_7D_v35q4wCQ4RpQ_IPoTwEMB9Yp6ymwlPqew/edit?gid=984458430#gid=984458430"", ""'replication success'!A:M""), 12, FAlSE)"),"#N/A")</f>
        <v>#N/A</v>
      </c>
      <c r="BA2833" s="1321" t="str">
        <f>IFERROR(__xludf.DUMMYFUNCTION("vlookup(BB2833,importrange(""https://docs.google.com/spreadsheets/d/1d2vevQ_7D_v35q4wCQ4RpQ_IPoTwEMB9Yp6ymwlPqew/edit?gid=984458430#gid=984458430"", ""'replication success'!A:M""), 13, FAlSE)"),"#N/A")</f>
        <v>#N/A</v>
      </c>
      <c r="BB2833" s="1321" t="str">
        <f>IFERROR(__xludf.DUMMYFUNCTION("REGEXREPLACE(G2833, ""_[a-z]{1,2}$"", """")"),"add_ai60_o2")</f>
        <v>add_ai60_o2</v>
      </c>
      <c r="BC2833" s="1572"/>
      <c r="BD2833" s="1588" t="s">
        <v>13264</v>
      </c>
      <c r="BE2833" s="342"/>
      <c r="BF2833" s="342"/>
      <c r="BG2833" s="342"/>
      <c r="BH2833" s="342"/>
      <c r="BI2833" s="342"/>
      <c r="BJ2833" s="342"/>
      <c r="BK2833" s="342"/>
      <c r="BL2833" s="342"/>
      <c r="BM2833" s="342"/>
      <c r="BN2833" s="342"/>
      <c r="BO2833" s="342"/>
      <c r="BP2833" s="342"/>
      <c r="BQ2833" s="342"/>
      <c r="BR2833" s="342"/>
      <c r="BS2833" s="342"/>
      <c r="BT2833" s="342"/>
      <c r="BU2833" s="342"/>
      <c r="BV2833" s="342"/>
      <c r="BW2833" s="342"/>
      <c r="BX2833" s="342"/>
      <c r="BY2833" s="342"/>
      <c r="BZ2833" s="342"/>
      <c r="CA2833" s="342"/>
      <c r="CB2833" s="342"/>
      <c r="CC2833" s="342"/>
      <c r="CD2833" s="342"/>
      <c r="CE2833" s="342"/>
      <c r="CF2833" s="342"/>
      <c r="CG2833" s="342"/>
      <c r="CH2833" s="342"/>
      <c r="CI2833" s="342"/>
      <c r="CJ2833" s="342"/>
      <c r="CK2833" s="342"/>
      <c r="CL2833" s="342"/>
      <c r="CM2833" s="342"/>
      <c r="CN2833" s="342"/>
      <c r="CO2833" s="342"/>
      <c r="CP2833" s="342"/>
      <c r="CQ2833" s="342"/>
      <c r="CR2833" s="342"/>
      <c r="CS2833" s="342"/>
      <c r="CT2833" s="342"/>
      <c r="CU2833" s="342"/>
      <c r="CV2833" s="342"/>
      <c r="CW2833" s="342"/>
      <c r="CX2833" s="342"/>
      <c r="CY2833" s="342"/>
      <c r="CZ2833" s="342"/>
      <c r="DA2833" s="342"/>
      <c r="DB2833" s="342"/>
      <c r="DC2833" s="342"/>
      <c r="DD2833" s="342"/>
      <c r="DE2833" s="342"/>
      <c r="DF2833" s="342"/>
      <c r="DG2833" s="342"/>
      <c r="DH2833" s="342"/>
      <c r="DI2833" s="342"/>
      <c r="DJ2833" s="342"/>
      <c r="DK2833" s="342"/>
      <c r="DL2833" s="342"/>
    </row>
    <row r="2834">
      <c r="A2834" s="44">
        <v>3095.0</v>
      </c>
      <c r="B2834" s="1322" t="s">
        <v>152</v>
      </c>
      <c r="C2834" s="1588" t="s">
        <v>115</v>
      </c>
      <c r="D2834" s="1588" t="s">
        <v>153</v>
      </c>
      <c r="E2834" s="1572"/>
      <c r="F2834" s="1600" t="s">
        <v>16459</v>
      </c>
      <c r="G2834" s="1592" t="s">
        <v>16661</v>
      </c>
      <c r="H2834" s="1600" t="s">
        <v>15921</v>
      </c>
      <c r="I2834" s="2229">
        <v>45821.0</v>
      </c>
      <c r="J2834" s="2230">
        <v>45847.0</v>
      </c>
      <c r="K2834" s="1592" t="s">
        <v>16483</v>
      </c>
      <c r="L2834" s="1313"/>
      <c r="M2834" s="1592" t="s">
        <v>16462</v>
      </c>
      <c r="N2834" s="1592" t="s">
        <v>16463</v>
      </c>
      <c r="O2834" s="1313"/>
      <c r="P2834" s="1592" t="s">
        <v>16464</v>
      </c>
      <c r="Q2834" s="2331" t="s">
        <v>16465</v>
      </c>
      <c r="R2834" s="1592" t="s">
        <v>16496</v>
      </c>
      <c r="S2834" s="1592" t="s">
        <v>16467</v>
      </c>
      <c r="T2834" s="1313"/>
      <c r="U2834" s="1313"/>
      <c r="V2834" s="1592" t="s">
        <v>16468</v>
      </c>
      <c r="W2834" s="1313"/>
      <c r="X2834" s="2233" t="str">
        <f t="array" ref="X2834"> if(iserror(MATCH(V2834, 'File Links'!C:C, 0)), "N/A", HYPERLINK(INDEX('File Links'!B:B, MATCH(V2834, 'File Links'!C:C, 0))))</f>
        <v>https://drive.google.com/file/d/16V6fX6zed8MKZ53zcmG18UMG8cS5fmS4/view?usp=drivesdk</v>
      </c>
      <c r="Y2834" s="1313"/>
      <c r="Z2834" s="1592" t="s">
        <v>1679</v>
      </c>
      <c r="AA2834" s="1600" t="s">
        <v>16476</v>
      </c>
      <c r="AB2834" s="1592" t="s">
        <v>16477</v>
      </c>
      <c r="AC2834" s="2262" t="s">
        <v>16662</v>
      </c>
      <c r="AD2834" s="1592" t="s">
        <v>16486</v>
      </c>
      <c r="AE2834" s="2265">
        <v>7.0</v>
      </c>
      <c r="AF2834" s="2342">
        <f>485*0.14</f>
        <v>67.9</v>
      </c>
      <c r="AG2834" s="2265">
        <v>0.227</v>
      </c>
      <c r="AH2834" s="1592" t="s">
        <v>16492</v>
      </c>
      <c r="AI2834" s="2341" t="s">
        <v>16663</v>
      </c>
      <c r="AJ2834" s="1324" t="s">
        <v>138</v>
      </c>
      <c r="AK2834" s="1324" t="s">
        <v>138</v>
      </c>
      <c r="AL2834" s="1592" t="s">
        <v>186</v>
      </c>
      <c r="AM2834" s="1592" t="s">
        <v>137</v>
      </c>
      <c r="AN2834" s="1592" t="s">
        <v>138</v>
      </c>
      <c r="AO2834" s="1596">
        <v>285.0</v>
      </c>
      <c r="AP2834" s="2265">
        <v>0.071</v>
      </c>
      <c r="AQ2834" s="1592" t="s">
        <v>16492</v>
      </c>
      <c r="AR2834" s="2262" t="s">
        <v>16664</v>
      </c>
      <c r="AS2834" s="1592" t="s">
        <v>138</v>
      </c>
      <c r="AT2834" s="2337" t="s">
        <v>138</v>
      </c>
      <c r="AU2834" s="1592" t="s">
        <v>186</v>
      </c>
      <c r="AV2834" s="1592" t="s">
        <v>137</v>
      </c>
      <c r="AW2834" s="1592" t="s">
        <v>138</v>
      </c>
      <c r="AX2834" s="1592" t="s">
        <v>143</v>
      </c>
      <c r="AY2834" s="1321" t="str">
        <f>IFERROR(__xludf.DUMMYFUNCTION("vlookup(BB2834,importrange(""https://docs.google.com/spreadsheets/d/1d2vevQ_7D_v35q4wCQ4RpQ_IPoTwEMB9Yp6ymwlPqew/edit?gid=984458430#gid=984458430"", ""'replication success'!A:K""), 11, FAlSE)"),"#N/A")</f>
        <v>#N/A</v>
      </c>
      <c r="AZ2834" s="1321" t="str">
        <f>IFERROR(__xludf.DUMMYFUNCTION("vlookup(BB2834,importrange(""https://docs.google.com/spreadsheets/d/1d2vevQ_7D_v35q4wCQ4RpQ_IPoTwEMB9Yp6ymwlPqew/edit?gid=984458430#gid=984458430"", ""'replication success'!A:M""), 12, FAlSE)"),"#N/A")</f>
        <v>#N/A</v>
      </c>
      <c r="BA2834" s="1321" t="str">
        <f>IFERROR(__xludf.DUMMYFUNCTION("vlookup(BB2834,importrange(""https://docs.google.com/spreadsheets/d/1d2vevQ_7D_v35q4wCQ4RpQ_IPoTwEMB9Yp6ymwlPqew/edit?gid=984458430#gid=984458430"", ""'replication success'!A:M""), 13, FAlSE)"),"#N/A")</f>
        <v>#N/A</v>
      </c>
      <c r="BB2834" s="1321" t="str">
        <f>IFERROR(__xludf.DUMMYFUNCTION("REGEXREPLACE(G2834, ""_[a-z]{1,2}$"", """")"),"add_ai60_o3")</f>
        <v>add_ai60_o3</v>
      </c>
      <c r="BC2834" s="1572"/>
      <c r="BD2834" s="1588" t="s">
        <v>13264</v>
      </c>
      <c r="BE2834" s="342"/>
      <c r="BF2834" s="342"/>
      <c r="BG2834" s="342"/>
      <c r="BH2834" s="342"/>
      <c r="BI2834" s="342"/>
      <c r="BJ2834" s="342"/>
      <c r="BK2834" s="342"/>
      <c r="BL2834" s="342"/>
      <c r="BM2834" s="342"/>
      <c r="BN2834" s="342"/>
      <c r="BO2834" s="342"/>
      <c r="BP2834" s="342"/>
      <c r="BQ2834" s="342"/>
      <c r="BR2834" s="342"/>
      <c r="BS2834" s="342"/>
      <c r="BT2834" s="342"/>
      <c r="BU2834" s="342"/>
      <c r="BV2834" s="342"/>
      <c r="BW2834" s="342"/>
      <c r="BX2834" s="342"/>
      <c r="BY2834" s="342"/>
      <c r="BZ2834" s="342"/>
      <c r="CA2834" s="342"/>
      <c r="CB2834" s="342"/>
      <c r="CC2834" s="342"/>
      <c r="CD2834" s="342"/>
      <c r="CE2834" s="342"/>
      <c r="CF2834" s="342"/>
      <c r="CG2834" s="342"/>
      <c r="CH2834" s="342"/>
      <c r="CI2834" s="342"/>
      <c r="CJ2834" s="342"/>
      <c r="CK2834" s="342"/>
      <c r="CL2834" s="342"/>
      <c r="CM2834" s="342"/>
      <c r="CN2834" s="342"/>
      <c r="CO2834" s="342"/>
      <c r="CP2834" s="342"/>
      <c r="CQ2834" s="342"/>
      <c r="CR2834" s="342"/>
      <c r="CS2834" s="342"/>
      <c r="CT2834" s="342"/>
      <c r="CU2834" s="342"/>
      <c r="CV2834" s="342"/>
      <c r="CW2834" s="342"/>
      <c r="CX2834" s="342"/>
      <c r="CY2834" s="342"/>
      <c r="CZ2834" s="342"/>
      <c r="DA2834" s="342"/>
      <c r="DB2834" s="342"/>
      <c r="DC2834" s="342"/>
      <c r="DD2834" s="342"/>
      <c r="DE2834" s="342"/>
      <c r="DF2834" s="342"/>
      <c r="DG2834" s="342"/>
      <c r="DH2834" s="342"/>
      <c r="DI2834" s="342"/>
      <c r="DJ2834" s="342"/>
      <c r="DK2834" s="342"/>
      <c r="DL2834" s="342"/>
    </row>
    <row r="2835">
      <c r="A2835" s="44">
        <v>3044.0</v>
      </c>
      <c r="B2835" s="1322" t="s">
        <v>152</v>
      </c>
      <c r="C2835" s="1588" t="s">
        <v>115</v>
      </c>
      <c r="D2835" s="1588" t="s">
        <v>153</v>
      </c>
      <c r="E2835" s="1572"/>
      <c r="F2835" s="1600" t="s">
        <v>16459</v>
      </c>
      <c r="G2835" s="1592" t="s">
        <v>16665</v>
      </c>
      <c r="H2835" s="1600" t="s">
        <v>15921</v>
      </c>
      <c r="I2835" s="2229">
        <v>45821.0</v>
      </c>
      <c r="J2835" s="2230">
        <v>45847.0</v>
      </c>
      <c r="K2835" s="1592" t="s">
        <v>16474</v>
      </c>
      <c r="L2835" s="1313"/>
      <c r="M2835" s="1592" t="s">
        <v>16462</v>
      </c>
      <c r="N2835" s="1592" t="s">
        <v>16463</v>
      </c>
      <c r="O2835" s="1313"/>
      <c r="P2835" s="1592" t="s">
        <v>16464</v>
      </c>
      <c r="Q2835" s="2331" t="s">
        <v>16465</v>
      </c>
      <c r="R2835" s="1592" t="s">
        <v>16496</v>
      </c>
      <c r="S2835" s="1592" t="s">
        <v>16467</v>
      </c>
      <c r="T2835" s="1313"/>
      <c r="U2835" s="1313"/>
      <c r="V2835" s="1592" t="s">
        <v>16468</v>
      </c>
      <c r="W2835" s="1313"/>
      <c r="X2835" s="2233" t="str">
        <f t="array" ref="X2835"> if(iserror(MATCH(V2835, 'File Links'!C:C, 0)), "N/A", HYPERLINK(INDEX('File Links'!B:B, MATCH(V2835, 'File Links'!C:C, 0))))</f>
        <v>https://drive.google.com/file/d/16V6fX6zed8MKZ53zcmG18UMG8cS5fmS4/view?usp=drivesdk</v>
      </c>
      <c r="Y2835" s="1313"/>
      <c r="Z2835" s="1592" t="s">
        <v>1679</v>
      </c>
      <c r="AA2835" s="1600" t="s">
        <v>16476</v>
      </c>
      <c r="AB2835" s="1592" t="s">
        <v>16477</v>
      </c>
      <c r="AC2835" s="2262" t="s">
        <v>16666</v>
      </c>
      <c r="AD2835" s="1600" t="s">
        <v>16654</v>
      </c>
      <c r="AE2835" s="2265">
        <v>7.0</v>
      </c>
      <c r="AF2835" s="1596">
        <v>485.0</v>
      </c>
      <c r="AG2835" s="2265">
        <v>0.176</v>
      </c>
      <c r="AH2835" s="1592" t="s">
        <v>16492</v>
      </c>
      <c r="AI2835" s="2341" t="s">
        <v>16667</v>
      </c>
      <c r="AJ2835" s="1324" t="s">
        <v>138</v>
      </c>
      <c r="AK2835" s="1324" t="s">
        <v>138</v>
      </c>
      <c r="AL2835" s="1592" t="s">
        <v>186</v>
      </c>
      <c r="AM2835" s="1592" t="s">
        <v>137</v>
      </c>
      <c r="AN2835" s="1324" t="s">
        <v>138</v>
      </c>
      <c r="AO2835" s="1596">
        <v>285.0</v>
      </c>
      <c r="AP2835" s="2265">
        <v>0.034</v>
      </c>
      <c r="AQ2835" s="1592" t="s">
        <v>16492</v>
      </c>
      <c r="AR2835" s="2262" t="s">
        <v>16668</v>
      </c>
      <c r="AS2835" s="1592" t="s">
        <v>138</v>
      </c>
      <c r="AT2835" s="2337" t="s">
        <v>138</v>
      </c>
      <c r="AU2835" s="1592" t="s">
        <v>186</v>
      </c>
      <c r="AV2835" s="1592" t="s">
        <v>137</v>
      </c>
      <c r="AW2835" s="1592" t="s">
        <v>138</v>
      </c>
      <c r="AX2835" s="1592" t="s">
        <v>143</v>
      </c>
      <c r="AY2835" s="1321" t="str">
        <f>IFERROR(__xludf.DUMMYFUNCTION("vlookup(BB2835,importrange(""https://docs.google.com/spreadsheets/d/1d2vevQ_7D_v35q4wCQ4RpQ_IPoTwEMB9Yp6ymwlPqew/edit?gid=984458430#gid=984458430"", ""'replication success'!A:K""), 11, FAlSE)"),"#N/A")</f>
        <v>#N/A</v>
      </c>
      <c r="AZ2835" s="1321" t="str">
        <f>IFERROR(__xludf.DUMMYFUNCTION("vlookup(BB2835,importrange(""https://docs.google.com/spreadsheets/d/1d2vevQ_7D_v35q4wCQ4RpQ_IPoTwEMB9Yp6ymwlPqew/edit?gid=984458430#gid=984458430"", ""'replication success'!A:M""), 12, FAlSE)"),"#N/A")</f>
        <v>#N/A</v>
      </c>
      <c r="BA2835" s="1321" t="str">
        <f>IFERROR(__xludf.DUMMYFUNCTION("vlookup(BB2835,importrange(""https://docs.google.com/spreadsheets/d/1d2vevQ_7D_v35q4wCQ4RpQ_IPoTwEMB9Yp6ymwlPqew/edit?gid=984458430#gid=984458430"", ""'replication success'!A:M""), 13, FAlSE)"),"#N/A")</f>
        <v>#N/A</v>
      </c>
      <c r="BB2835" s="1321" t="str">
        <f>IFERROR(__xludf.DUMMYFUNCTION("REGEXREPLACE(G2835, ""_[a-z]{1,2}$"", """")"),"add_ai60")</f>
        <v>add_ai60</v>
      </c>
      <c r="BC2835" s="1572"/>
      <c r="BD2835" s="1588" t="s">
        <v>13264</v>
      </c>
      <c r="BE2835" s="342"/>
      <c r="BF2835" s="342"/>
      <c r="BG2835" s="342"/>
      <c r="BH2835" s="342"/>
      <c r="BI2835" s="342"/>
      <c r="BJ2835" s="342"/>
      <c r="BK2835" s="342"/>
      <c r="BL2835" s="342"/>
      <c r="BM2835" s="342"/>
      <c r="BN2835" s="342"/>
      <c r="BO2835" s="342"/>
      <c r="BP2835" s="342"/>
      <c r="BQ2835" s="342"/>
      <c r="BR2835" s="342"/>
      <c r="BS2835" s="342"/>
      <c r="BT2835" s="342"/>
      <c r="BU2835" s="342"/>
      <c r="BV2835" s="342"/>
      <c r="BW2835" s="342"/>
      <c r="BX2835" s="342"/>
      <c r="BY2835" s="342"/>
      <c r="BZ2835" s="342"/>
      <c r="CA2835" s="342"/>
      <c r="CB2835" s="342"/>
      <c r="CC2835" s="342"/>
      <c r="CD2835" s="342"/>
      <c r="CE2835" s="342"/>
      <c r="CF2835" s="342"/>
      <c r="CG2835" s="342"/>
      <c r="CH2835" s="342"/>
      <c r="CI2835" s="342"/>
      <c r="CJ2835" s="342"/>
      <c r="CK2835" s="342"/>
      <c r="CL2835" s="342"/>
      <c r="CM2835" s="342"/>
      <c r="CN2835" s="342"/>
      <c r="CO2835" s="342"/>
      <c r="CP2835" s="342"/>
      <c r="CQ2835" s="342"/>
      <c r="CR2835" s="342"/>
      <c r="CS2835" s="342"/>
      <c r="CT2835" s="342"/>
      <c r="CU2835" s="342"/>
      <c r="CV2835" s="342"/>
      <c r="CW2835" s="342"/>
      <c r="CX2835" s="342"/>
      <c r="CY2835" s="342"/>
      <c r="CZ2835" s="342"/>
      <c r="DA2835" s="342"/>
      <c r="DB2835" s="342"/>
      <c r="DC2835" s="342"/>
      <c r="DD2835" s="342"/>
      <c r="DE2835" s="342"/>
      <c r="DF2835" s="342"/>
      <c r="DG2835" s="342"/>
      <c r="DH2835" s="342"/>
      <c r="DI2835" s="342"/>
      <c r="DJ2835" s="342"/>
      <c r="DK2835" s="342"/>
      <c r="DL2835" s="342"/>
    </row>
    <row r="2836">
      <c r="A2836" s="44">
        <v>3070.0</v>
      </c>
      <c r="B2836" s="1322" t="s">
        <v>152</v>
      </c>
      <c r="C2836" s="1588" t="s">
        <v>115</v>
      </c>
      <c r="D2836" s="1588" t="s">
        <v>153</v>
      </c>
      <c r="E2836" s="1572"/>
      <c r="F2836" s="1600" t="s">
        <v>16459</v>
      </c>
      <c r="G2836" s="1592" t="s">
        <v>16669</v>
      </c>
      <c r="H2836" s="1600" t="s">
        <v>15921</v>
      </c>
      <c r="I2836" s="2229">
        <v>45821.0</v>
      </c>
      <c r="J2836" s="2230">
        <v>45847.0</v>
      </c>
      <c r="K2836" s="1592" t="s">
        <v>16483</v>
      </c>
      <c r="L2836" s="1313"/>
      <c r="M2836" s="1592" t="s">
        <v>16462</v>
      </c>
      <c r="N2836" s="1592" t="s">
        <v>16463</v>
      </c>
      <c r="O2836" s="1313"/>
      <c r="P2836" s="1592" t="s">
        <v>16464</v>
      </c>
      <c r="Q2836" s="2331" t="s">
        <v>16465</v>
      </c>
      <c r="R2836" s="1592" t="s">
        <v>16496</v>
      </c>
      <c r="S2836" s="1592" t="s">
        <v>16467</v>
      </c>
      <c r="T2836" s="1313"/>
      <c r="U2836" s="1313"/>
      <c r="V2836" s="1592" t="s">
        <v>16468</v>
      </c>
      <c r="W2836" s="1313"/>
      <c r="X2836" s="2233" t="str">
        <f t="array" ref="X2836"> if(iserror(MATCH(V2836, 'File Links'!C:C, 0)), "N/A", HYPERLINK(INDEX('File Links'!B:B, MATCH(V2836, 'File Links'!C:C, 0))))</f>
        <v>https://drive.google.com/file/d/16V6fX6zed8MKZ53zcmG18UMG8cS5fmS4/view?usp=drivesdk</v>
      </c>
      <c r="Y2836" s="1313"/>
      <c r="Z2836" s="1592" t="s">
        <v>1679</v>
      </c>
      <c r="AA2836" s="1600" t="s">
        <v>16476</v>
      </c>
      <c r="AB2836" s="1592" t="s">
        <v>16477</v>
      </c>
      <c r="AC2836" s="1600" t="s">
        <v>16670</v>
      </c>
      <c r="AD2836" s="1592" t="s">
        <v>16486</v>
      </c>
      <c r="AE2836" s="2265">
        <v>7.0</v>
      </c>
      <c r="AF2836" s="2342">
        <f>485*0.26</f>
        <v>126.1</v>
      </c>
      <c r="AG2836" s="1596">
        <v>0.342</v>
      </c>
      <c r="AH2836" s="1592" t="s">
        <v>361</v>
      </c>
      <c r="AI2836" s="2341" t="s">
        <v>16671</v>
      </c>
      <c r="AJ2836" s="1596">
        <v>8.0E-4</v>
      </c>
      <c r="AK2836" s="1592" t="s">
        <v>172</v>
      </c>
      <c r="AL2836" s="1592" t="s">
        <v>186</v>
      </c>
      <c r="AM2836" s="1592" t="s">
        <v>137</v>
      </c>
      <c r="AN2836" s="1592" t="s">
        <v>138</v>
      </c>
      <c r="AO2836" s="1596">
        <v>285.0</v>
      </c>
      <c r="AP2836" s="2265">
        <v>0.101</v>
      </c>
      <c r="AQ2836" s="1592" t="s">
        <v>361</v>
      </c>
      <c r="AR2836" s="2262" t="s">
        <v>16672</v>
      </c>
      <c r="AS2836" s="2265">
        <v>0.05</v>
      </c>
      <c r="AT2836" s="1592" t="s">
        <v>335</v>
      </c>
      <c r="AU2836" s="1592" t="s">
        <v>186</v>
      </c>
      <c r="AV2836" s="1592" t="s">
        <v>137</v>
      </c>
      <c r="AW2836" s="1592" t="s">
        <v>138</v>
      </c>
      <c r="AX2836" s="1592" t="s">
        <v>143</v>
      </c>
      <c r="AY2836" s="1321" t="str">
        <f>IFERROR(__xludf.DUMMYFUNCTION("vlookup(BB2836,importrange(""https://docs.google.com/spreadsheets/d/1d2vevQ_7D_v35q4wCQ4RpQ_IPoTwEMB9Yp6ymwlPqew/edit?gid=984458430#gid=984458430"", ""'replication success'!A:K""), 11, FAlSE)"),"#N/A")</f>
        <v>#N/A</v>
      </c>
      <c r="AZ2836" s="1321" t="str">
        <f>IFERROR(__xludf.DUMMYFUNCTION("vlookup(BB2836,importrange(""https://docs.google.com/spreadsheets/d/1d2vevQ_7D_v35q4wCQ4RpQ_IPoTwEMB9Yp6ymwlPqew/edit?gid=984458430#gid=984458430"", ""'replication success'!A:M""), 12, FAlSE)"),"#N/A")</f>
        <v>#N/A</v>
      </c>
      <c r="BA2836" s="1321" t="str">
        <f>IFERROR(__xludf.DUMMYFUNCTION("vlookup(BB2836,importrange(""https://docs.google.com/spreadsheets/d/1d2vevQ_7D_v35q4wCQ4RpQ_IPoTwEMB9Yp6ymwlPqew/edit?gid=984458430#gid=984458430"", ""'replication success'!A:M""), 13, FAlSE)"),"#N/A")</f>
        <v>#N/A</v>
      </c>
      <c r="BB2836" s="1321" t="str">
        <f>IFERROR(__xludf.DUMMYFUNCTION("REGEXREPLACE(G2836, ""_[a-z]{1,2}$"", """")"),"add_ai60_p2")</f>
        <v>add_ai60_p2</v>
      </c>
      <c r="BC2836" s="1572"/>
      <c r="BD2836" s="1588" t="s">
        <v>13264</v>
      </c>
      <c r="BE2836" s="342"/>
      <c r="BF2836" s="342"/>
      <c r="BG2836" s="342"/>
      <c r="BH2836" s="342"/>
      <c r="BI2836" s="342"/>
      <c r="BJ2836" s="342"/>
      <c r="BK2836" s="342"/>
      <c r="BL2836" s="342"/>
      <c r="BM2836" s="342"/>
      <c r="BN2836" s="342"/>
      <c r="BO2836" s="342"/>
      <c r="BP2836" s="342"/>
      <c r="BQ2836" s="342"/>
      <c r="BR2836" s="342"/>
      <c r="BS2836" s="342"/>
      <c r="BT2836" s="342"/>
      <c r="BU2836" s="342"/>
      <c r="BV2836" s="342"/>
      <c r="BW2836" s="342"/>
      <c r="BX2836" s="342"/>
      <c r="BY2836" s="342"/>
      <c r="BZ2836" s="342"/>
      <c r="CA2836" s="342"/>
      <c r="CB2836" s="342"/>
      <c r="CC2836" s="342"/>
      <c r="CD2836" s="342"/>
      <c r="CE2836" s="342"/>
      <c r="CF2836" s="342"/>
      <c r="CG2836" s="342"/>
      <c r="CH2836" s="342"/>
      <c r="CI2836" s="342"/>
      <c r="CJ2836" s="342"/>
      <c r="CK2836" s="342"/>
      <c r="CL2836" s="342"/>
      <c r="CM2836" s="342"/>
      <c r="CN2836" s="342"/>
      <c r="CO2836" s="342"/>
      <c r="CP2836" s="342"/>
      <c r="CQ2836" s="342"/>
      <c r="CR2836" s="342"/>
      <c r="CS2836" s="342"/>
      <c r="CT2836" s="342"/>
      <c r="CU2836" s="342"/>
      <c r="CV2836" s="342"/>
      <c r="CW2836" s="342"/>
      <c r="CX2836" s="342"/>
      <c r="CY2836" s="342"/>
      <c r="CZ2836" s="342"/>
      <c r="DA2836" s="342"/>
      <c r="DB2836" s="342"/>
      <c r="DC2836" s="342"/>
      <c r="DD2836" s="342"/>
      <c r="DE2836" s="342"/>
      <c r="DF2836" s="342"/>
      <c r="DG2836" s="342"/>
      <c r="DH2836" s="342"/>
      <c r="DI2836" s="342"/>
      <c r="DJ2836" s="342"/>
      <c r="DK2836" s="342"/>
      <c r="DL2836" s="342"/>
    </row>
    <row r="2837">
      <c r="A2837" s="44">
        <v>3096.0</v>
      </c>
      <c r="B2837" s="1322" t="s">
        <v>152</v>
      </c>
      <c r="C2837" s="1588" t="s">
        <v>115</v>
      </c>
      <c r="D2837" s="1588" t="s">
        <v>153</v>
      </c>
      <c r="E2837" s="1572"/>
      <c r="F2837" s="1600" t="s">
        <v>16459</v>
      </c>
      <c r="G2837" s="1592" t="s">
        <v>16673</v>
      </c>
      <c r="H2837" s="1600" t="s">
        <v>15921</v>
      </c>
      <c r="I2837" s="2229">
        <v>45821.0</v>
      </c>
      <c r="J2837" s="2230">
        <v>45847.0</v>
      </c>
      <c r="K2837" s="1592" t="s">
        <v>16483</v>
      </c>
      <c r="L2837" s="1313"/>
      <c r="M2837" s="1592" t="s">
        <v>16462</v>
      </c>
      <c r="N2837" s="1592" t="s">
        <v>16463</v>
      </c>
      <c r="O2837" s="1313"/>
      <c r="P2837" s="1592" t="s">
        <v>16464</v>
      </c>
      <c r="Q2837" s="2331" t="s">
        <v>16465</v>
      </c>
      <c r="R2837" s="1592" t="s">
        <v>16496</v>
      </c>
      <c r="S2837" s="1592" t="s">
        <v>16467</v>
      </c>
      <c r="T2837" s="1313"/>
      <c r="U2837" s="1313"/>
      <c r="V2837" s="1592" t="s">
        <v>16468</v>
      </c>
      <c r="W2837" s="1313"/>
      <c r="X2837" s="2233" t="str">
        <f t="array" ref="X2837"> if(iserror(MATCH(V2837, 'File Links'!C:C, 0)), "N/A", HYPERLINK(INDEX('File Links'!B:B, MATCH(V2837, 'File Links'!C:C, 0))))</f>
        <v>https://drive.google.com/file/d/16V6fX6zed8MKZ53zcmG18UMG8cS5fmS4/view?usp=drivesdk</v>
      </c>
      <c r="Y2837" s="1313"/>
      <c r="Z2837" s="1592" t="s">
        <v>1679</v>
      </c>
      <c r="AA2837" s="1600" t="s">
        <v>16476</v>
      </c>
      <c r="AB2837" s="1592" t="s">
        <v>16477</v>
      </c>
      <c r="AC2837" s="1600" t="s">
        <v>16674</v>
      </c>
      <c r="AD2837" s="1592" t="s">
        <v>16486</v>
      </c>
      <c r="AE2837" s="2265">
        <v>7.0</v>
      </c>
      <c r="AF2837" s="2342">
        <f>485*0.13</f>
        <v>63.05</v>
      </c>
      <c r="AG2837" s="1596">
        <v>0.606</v>
      </c>
      <c r="AH2837" s="1592" t="s">
        <v>361</v>
      </c>
      <c r="AI2837" s="2341" t="s">
        <v>16675</v>
      </c>
      <c r="AJ2837" s="1596">
        <v>0.0019</v>
      </c>
      <c r="AK2837" s="1592" t="s">
        <v>172</v>
      </c>
      <c r="AL2837" s="1592" t="s">
        <v>186</v>
      </c>
      <c r="AM2837" s="1592" t="s">
        <v>137</v>
      </c>
      <c r="AN2837" s="1592" t="s">
        <v>138</v>
      </c>
      <c r="AO2837" s="1596">
        <v>285.0</v>
      </c>
      <c r="AP2837" s="2265">
        <v>0.101</v>
      </c>
      <c r="AQ2837" s="1592" t="s">
        <v>361</v>
      </c>
      <c r="AR2837" s="2262" t="s">
        <v>16676</v>
      </c>
      <c r="AS2837" s="2265">
        <v>0.05</v>
      </c>
      <c r="AT2837" s="1592" t="s">
        <v>335</v>
      </c>
      <c r="AU2837" s="1592" t="s">
        <v>186</v>
      </c>
      <c r="AV2837" s="1592" t="s">
        <v>137</v>
      </c>
      <c r="AW2837" s="1592" t="s">
        <v>138</v>
      </c>
      <c r="AX2837" s="1592" t="s">
        <v>143</v>
      </c>
      <c r="AY2837" s="1321" t="str">
        <f>IFERROR(__xludf.DUMMYFUNCTION("vlookup(BB2837,importrange(""https://docs.google.com/spreadsheets/d/1d2vevQ_7D_v35q4wCQ4RpQ_IPoTwEMB9Yp6ymwlPqew/edit?gid=984458430#gid=984458430"", ""'replication success'!A:K""), 11, FAlSE)"),"#N/A")</f>
        <v>#N/A</v>
      </c>
      <c r="AZ2837" s="1321" t="str">
        <f>IFERROR(__xludf.DUMMYFUNCTION("vlookup(BB2837,importrange(""https://docs.google.com/spreadsheets/d/1d2vevQ_7D_v35q4wCQ4RpQ_IPoTwEMB9Yp6ymwlPqew/edit?gid=984458430#gid=984458430"", ""'replication success'!A:M""), 12, FAlSE)"),"#N/A")</f>
        <v>#N/A</v>
      </c>
      <c r="BA2837" s="1321" t="str">
        <f>IFERROR(__xludf.DUMMYFUNCTION("vlookup(BB2837,importrange(""https://docs.google.com/spreadsheets/d/1d2vevQ_7D_v35q4wCQ4RpQ_IPoTwEMB9Yp6ymwlPqew/edit?gid=984458430#gid=984458430"", ""'replication success'!A:M""), 13, FAlSE)"),"#N/A")</f>
        <v>#N/A</v>
      </c>
      <c r="BB2837" s="1321" t="str">
        <f>IFERROR(__xludf.DUMMYFUNCTION("REGEXREPLACE(G2837, ""_[a-z]{1,2}$"", """")"),"add_ai60_p3")</f>
        <v>add_ai60_p3</v>
      </c>
      <c r="BC2837" s="1572"/>
      <c r="BD2837" s="1588" t="s">
        <v>13264</v>
      </c>
      <c r="BE2837" s="342"/>
      <c r="BF2837" s="342"/>
      <c r="BG2837" s="342"/>
      <c r="BH2837" s="342"/>
      <c r="BI2837" s="342"/>
      <c r="BJ2837" s="342"/>
      <c r="BK2837" s="342"/>
      <c r="BL2837" s="342"/>
      <c r="BM2837" s="342"/>
      <c r="BN2837" s="342"/>
      <c r="BO2837" s="342"/>
      <c r="BP2837" s="342"/>
      <c r="BQ2837" s="342"/>
      <c r="BR2837" s="342"/>
      <c r="BS2837" s="342"/>
      <c r="BT2837" s="342"/>
      <c r="BU2837" s="342"/>
      <c r="BV2837" s="342"/>
      <c r="BW2837" s="342"/>
      <c r="BX2837" s="342"/>
      <c r="BY2837" s="342"/>
      <c r="BZ2837" s="342"/>
      <c r="CA2837" s="342"/>
      <c r="CB2837" s="342"/>
      <c r="CC2837" s="342"/>
      <c r="CD2837" s="342"/>
      <c r="CE2837" s="342"/>
      <c r="CF2837" s="342"/>
      <c r="CG2837" s="342"/>
      <c r="CH2837" s="342"/>
      <c r="CI2837" s="342"/>
      <c r="CJ2837" s="342"/>
      <c r="CK2837" s="342"/>
      <c r="CL2837" s="342"/>
      <c r="CM2837" s="342"/>
      <c r="CN2837" s="342"/>
      <c r="CO2837" s="342"/>
      <c r="CP2837" s="342"/>
      <c r="CQ2837" s="342"/>
      <c r="CR2837" s="342"/>
      <c r="CS2837" s="342"/>
      <c r="CT2837" s="342"/>
      <c r="CU2837" s="342"/>
      <c r="CV2837" s="342"/>
      <c r="CW2837" s="342"/>
      <c r="CX2837" s="342"/>
      <c r="CY2837" s="342"/>
      <c r="CZ2837" s="342"/>
      <c r="DA2837" s="342"/>
      <c r="DB2837" s="342"/>
      <c r="DC2837" s="342"/>
      <c r="DD2837" s="342"/>
      <c r="DE2837" s="342"/>
      <c r="DF2837" s="342"/>
      <c r="DG2837" s="342"/>
      <c r="DH2837" s="342"/>
      <c r="DI2837" s="342"/>
      <c r="DJ2837" s="342"/>
      <c r="DK2837" s="342"/>
      <c r="DL2837" s="342"/>
    </row>
    <row r="2838">
      <c r="A2838" s="44">
        <v>3045.0</v>
      </c>
      <c r="B2838" s="1322" t="s">
        <v>152</v>
      </c>
      <c r="C2838" s="1588" t="s">
        <v>115</v>
      </c>
      <c r="D2838" s="1588" t="s">
        <v>153</v>
      </c>
      <c r="E2838" s="1572"/>
      <c r="F2838" s="1600" t="s">
        <v>16459</v>
      </c>
      <c r="G2838" s="1592" t="s">
        <v>16677</v>
      </c>
      <c r="H2838" s="1600" t="s">
        <v>15921</v>
      </c>
      <c r="I2838" s="2229">
        <v>45821.0</v>
      </c>
      <c r="J2838" s="2230">
        <v>45847.0</v>
      </c>
      <c r="K2838" s="1592" t="s">
        <v>16474</v>
      </c>
      <c r="L2838" s="1313"/>
      <c r="M2838" s="1592" t="s">
        <v>16462</v>
      </c>
      <c r="N2838" s="1592" t="s">
        <v>16463</v>
      </c>
      <c r="O2838" s="1313"/>
      <c r="P2838" s="1592" t="s">
        <v>16464</v>
      </c>
      <c r="Q2838" s="2331" t="s">
        <v>16465</v>
      </c>
      <c r="R2838" s="1592" t="s">
        <v>16496</v>
      </c>
      <c r="S2838" s="1592" t="s">
        <v>16467</v>
      </c>
      <c r="T2838" s="1313"/>
      <c r="U2838" s="1313"/>
      <c r="V2838" s="1592" t="s">
        <v>16468</v>
      </c>
      <c r="W2838" s="1313"/>
      <c r="X2838" s="2233" t="str">
        <f t="array" ref="X2838"> if(iserror(MATCH(V2838, 'File Links'!C:C, 0)), "N/A", HYPERLINK(INDEX('File Links'!B:B, MATCH(V2838, 'File Links'!C:C, 0))))</f>
        <v>https://drive.google.com/file/d/16V6fX6zed8MKZ53zcmG18UMG8cS5fmS4/view?usp=drivesdk</v>
      </c>
      <c r="Y2838" s="1313"/>
      <c r="Z2838" s="1592" t="s">
        <v>1679</v>
      </c>
      <c r="AA2838" s="1600" t="s">
        <v>16476</v>
      </c>
      <c r="AB2838" s="1592" t="s">
        <v>16477</v>
      </c>
      <c r="AC2838" s="2262" t="s">
        <v>16678</v>
      </c>
      <c r="AD2838" s="1600" t="s">
        <v>16654</v>
      </c>
      <c r="AE2838" s="2265">
        <v>7.0</v>
      </c>
      <c r="AF2838" s="1596">
        <v>485.0</v>
      </c>
      <c r="AG2838" s="2265">
        <v>0.194</v>
      </c>
      <c r="AH2838" s="1592" t="s">
        <v>16492</v>
      </c>
      <c r="AI2838" s="2341" t="s">
        <v>16679</v>
      </c>
      <c r="AJ2838" s="1324" t="s">
        <v>138</v>
      </c>
      <c r="AK2838" s="1324" t="s">
        <v>138</v>
      </c>
      <c r="AL2838" s="1592" t="s">
        <v>186</v>
      </c>
      <c r="AM2838" s="1592" t="s">
        <v>137</v>
      </c>
      <c r="AN2838" s="1324" t="s">
        <v>138</v>
      </c>
      <c r="AO2838" s="1596">
        <v>285.0</v>
      </c>
      <c r="AP2838" s="2265">
        <v>0.048</v>
      </c>
      <c r="AQ2838" s="1592" t="s">
        <v>16492</v>
      </c>
      <c r="AR2838" s="2262" t="s">
        <v>16680</v>
      </c>
      <c r="AS2838" s="1592" t="s">
        <v>138</v>
      </c>
      <c r="AT2838" s="2337" t="s">
        <v>138</v>
      </c>
      <c r="AU2838" s="1592" t="s">
        <v>186</v>
      </c>
      <c r="AV2838" s="1592" t="s">
        <v>137</v>
      </c>
      <c r="AW2838" s="1592" t="s">
        <v>138</v>
      </c>
      <c r="AX2838" s="1592" t="s">
        <v>143</v>
      </c>
      <c r="AY2838" s="1321" t="str">
        <f>IFERROR(__xludf.DUMMYFUNCTION("vlookup(BB2838,importrange(""https://docs.google.com/spreadsheets/d/1d2vevQ_7D_v35q4wCQ4RpQ_IPoTwEMB9Yp6ymwlPqew/edit?gid=984458430#gid=984458430"", ""'replication success'!A:K""), 11, FAlSE)"),"#N/A")</f>
        <v>#N/A</v>
      </c>
      <c r="AZ2838" s="1321" t="str">
        <f>IFERROR(__xludf.DUMMYFUNCTION("vlookup(BB2838,importrange(""https://docs.google.com/spreadsheets/d/1d2vevQ_7D_v35q4wCQ4RpQ_IPoTwEMB9Yp6ymwlPqew/edit?gid=984458430#gid=984458430"", ""'replication success'!A:M""), 12, FAlSE)"),"#N/A")</f>
        <v>#N/A</v>
      </c>
      <c r="BA2838" s="1321" t="str">
        <f>IFERROR(__xludf.DUMMYFUNCTION("vlookup(BB2838,importrange(""https://docs.google.com/spreadsheets/d/1d2vevQ_7D_v35q4wCQ4RpQ_IPoTwEMB9Yp6ymwlPqew/edit?gid=984458430#gid=984458430"", ""'replication success'!A:M""), 13, FAlSE)"),"#N/A")</f>
        <v>#N/A</v>
      </c>
      <c r="BB2838" s="1321" t="str">
        <f>IFERROR(__xludf.DUMMYFUNCTION("REGEXREPLACE(G2838, ""_[a-z]{1,2}$"", """")"),"add_ai60")</f>
        <v>add_ai60</v>
      </c>
      <c r="BC2838" s="1572"/>
      <c r="BD2838" s="1588" t="s">
        <v>13264</v>
      </c>
      <c r="BE2838" s="342"/>
      <c r="BF2838" s="342"/>
      <c r="BG2838" s="342"/>
      <c r="BH2838" s="342"/>
      <c r="BI2838" s="342"/>
      <c r="BJ2838" s="342"/>
      <c r="BK2838" s="342"/>
      <c r="BL2838" s="342"/>
      <c r="BM2838" s="342"/>
      <c r="BN2838" s="342"/>
      <c r="BO2838" s="342"/>
      <c r="BP2838" s="342"/>
      <c r="BQ2838" s="342"/>
      <c r="BR2838" s="342"/>
      <c r="BS2838" s="342"/>
      <c r="BT2838" s="342"/>
      <c r="BU2838" s="342"/>
      <c r="BV2838" s="342"/>
      <c r="BW2838" s="342"/>
      <c r="BX2838" s="342"/>
      <c r="BY2838" s="342"/>
      <c r="BZ2838" s="342"/>
      <c r="CA2838" s="342"/>
      <c r="CB2838" s="342"/>
      <c r="CC2838" s="342"/>
      <c r="CD2838" s="342"/>
      <c r="CE2838" s="342"/>
      <c r="CF2838" s="342"/>
      <c r="CG2838" s="342"/>
      <c r="CH2838" s="342"/>
      <c r="CI2838" s="342"/>
      <c r="CJ2838" s="342"/>
      <c r="CK2838" s="342"/>
      <c r="CL2838" s="342"/>
      <c r="CM2838" s="342"/>
      <c r="CN2838" s="342"/>
      <c r="CO2838" s="342"/>
      <c r="CP2838" s="342"/>
      <c r="CQ2838" s="342"/>
      <c r="CR2838" s="342"/>
      <c r="CS2838" s="342"/>
      <c r="CT2838" s="342"/>
      <c r="CU2838" s="342"/>
      <c r="CV2838" s="342"/>
      <c r="CW2838" s="342"/>
      <c r="CX2838" s="342"/>
      <c r="CY2838" s="342"/>
      <c r="CZ2838" s="342"/>
      <c r="DA2838" s="342"/>
      <c r="DB2838" s="342"/>
      <c r="DC2838" s="342"/>
      <c r="DD2838" s="342"/>
      <c r="DE2838" s="342"/>
      <c r="DF2838" s="342"/>
      <c r="DG2838" s="342"/>
      <c r="DH2838" s="342"/>
      <c r="DI2838" s="342"/>
      <c r="DJ2838" s="342"/>
      <c r="DK2838" s="342"/>
      <c r="DL2838" s="342"/>
    </row>
    <row r="2839">
      <c r="A2839" s="44">
        <v>3071.0</v>
      </c>
      <c r="B2839" s="1322" t="s">
        <v>152</v>
      </c>
      <c r="C2839" s="1588" t="s">
        <v>115</v>
      </c>
      <c r="D2839" s="1588" t="s">
        <v>153</v>
      </c>
      <c r="E2839" s="1572"/>
      <c r="F2839" s="1600" t="s">
        <v>16459</v>
      </c>
      <c r="G2839" s="1592" t="s">
        <v>16681</v>
      </c>
      <c r="H2839" s="1600" t="s">
        <v>15921</v>
      </c>
      <c r="I2839" s="2229">
        <v>45821.0</v>
      </c>
      <c r="J2839" s="2230">
        <v>45847.0</v>
      </c>
      <c r="K2839" s="1592" t="s">
        <v>16483</v>
      </c>
      <c r="L2839" s="1313"/>
      <c r="M2839" s="1592" t="s">
        <v>16462</v>
      </c>
      <c r="N2839" s="1592" t="s">
        <v>16463</v>
      </c>
      <c r="O2839" s="1313"/>
      <c r="P2839" s="1592" t="s">
        <v>16464</v>
      </c>
      <c r="Q2839" s="2331" t="s">
        <v>16465</v>
      </c>
      <c r="R2839" s="1592" t="s">
        <v>16496</v>
      </c>
      <c r="S2839" s="1592" t="s">
        <v>16467</v>
      </c>
      <c r="T2839" s="1313"/>
      <c r="U2839" s="1313"/>
      <c r="V2839" s="1592" t="s">
        <v>16468</v>
      </c>
      <c r="W2839" s="1313"/>
      <c r="X2839" s="2233" t="str">
        <f t="array" ref="X2839"> if(iserror(MATCH(V2839, 'File Links'!C:C, 0)), "N/A", HYPERLINK(INDEX('File Links'!B:B, MATCH(V2839, 'File Links'!C:C, 0))))</f>
        <v>https://drive.google.com/file/d/16V6fX6zed8MKZ53zcmG18UMG8cS5fmS4/view?usp=drivesdk</v>
      </c>
      <c r="Y2839" s="1313"/>
      <c r="Z2839" s="1592" t="s">
        <v>1679</v>
      </c>
      <c r="AA2839" s="1600" t="s">
        <v>16476</v>
      </c>
      <c r="AB2839" s="1592" t="s">
        <v>16477</v>
      </c>
      <c r="AC2839" s="1600" t="s">
        <v>16682</v>
      </c>
      <c r="AD2839" s="1592" t="s">
        <v>16486</v>
      </c>
      <c r="AE2839" s="2265">
        <v>7.0</v>
      </c>
      <c r="AF2839" s="2342">
        <f>485*0.26</f>
        <v>126.1</v>
      </c>
      <c r="AG2839" s="1596">
        <v>0.336</v>
      </c>
      <c r="AH2839" s="1592" t="s">
        <v>361</v>
      </c>
      <c r="AI2839" s="2341" t="s">
        <v>16683</v>
      </c>
      <c r="AJ2839" s="1596">
        <v>0.022</v>
      </c>
      <c r="AK2839" s="1592" t="s">
        <v>172</v>
      </c>
      <c r="AL2839" s="1592" t="s">
        <v>186</v>
      </c>
      <c r="AM2839" s="1592" t="s">
        <v>137</v>
      </c>
      <c r="AN2839" s="1592" t="s">
        <v>138</v>
      </c>
      <c r="AO2839" s="1596">
        <v>285.0</v>
      </c>
      <c r="AP2839" s="2265">
        <v>0.174</v>
      </c>
      <c r="AQ2839" s="1592" t="s">
        <v>361</v>
      </c>
      <c r="AR2839" s="2262" t="s">
        <v>16684</v>
      </c>
      <c r="AS2839" s="2265">
        <v>0.01</v>
      </c>
      <c r="AT2839" s="1592" t="s">
        <v>135</v>
      </c>
      <c r="AU2839" s="1592" t="s">
        <v>186</v>
      </c>
      <c r="AV2839" s="1592" t="s">
        <v>137</v>
      </c>
      <c r="AW2839" s="1592" t="s">
        <v>138</v>
      </c>
      <c r="AX2839" s="1592" t="s">
        <v>143</v>
      </c>
      <c r="AY2839" s="1321" t="str">
        <f>IFERROR(__xludf.DUMMYFUNCTION("vlookup(BB2839,importrange(""https://docs.google.com/spreadsheets/d/1d2vevQ_7D_v35q4wCQ4RpQ_IPoTwEMB9Yp6ymwlPqew/edit?gid=984458430#gid=984458430"", ""'replication success'!A:K""), 11, FAlSE)"),"#N/A")</f>
        <v>#N/A</v>
      </c>
      <c r="AZ2839" s="1321" t="str">
        <f>IFERROR(__xludf.DUMMYFUNCTION("vlookup(BB2839,importrange(""https://docs.google.com/spreadsheets/d/1d2vevQ_7D_v35q4wCQ4RpQ_IPoTwEMB9Yp6ymwlPqew/edit?gid=984458430#gid=984458430"", ""'replication success'!A:M""), 12, FAlSE)"),"#N/A")</f>
        <v>#N/A</v>
      </c>
      <c r="BA2839" s="1321" t="str">
        <f>IFERROR(__xludf.DUMMYFUNCTION("vlookup(BB2839,importrange(""https://docs.google.com/spreadsheets/d/1d2vevQ_7D_v35q4wCQ4RpQ_IPoTwEMB9Yp6ymwlPqew/edit?gid=984458430#gid=984458430"", ""'replication success'!A:M""), 13, FAlSE)"),"#N/A")</f>
        <v>#N/A</v>
      </c>
      <c r="BB2839" s="1321" t="str">
        <f>IFERROR(__xludf.DUMMYFUNCTION("REGEXREPLACE(G2839, ""_[a-z]{1,2}$"", """")"),"add_ai60_q2")</f>
        <v>add_ai60_q2</v>
      </c>
      <c r="BC2839" s="1572"/>
      <c r="BD2839" s="1588" t="s">
        <v>13264</v>
      </c>
      <c r="BE2839" s="342"/>
      <c r="BF2839" s="342"/>
      <c r="BG2839" s="342"/>
      <c r="BH2839" s="342"/>
      <c r="BI2839" s="342"/>
      <c r="BJ2839" s="342"/>
      <c r="BK2839" s="342"/>
      <c r="BL2839" s="342"/>
      <c r="BM2839" s="342"/>
      <c r="BN2839" s="342"/>
      <c r="BO2839" s="342"/>
      <c r="BP2839" s="342"/>
      <c r="BQ2839" s="342"/>
      <c r="BR2839" s="342"/>
      <c r="BS2839" s="342"/>
      <c r="BT2839" s="342"/>
      <c r="BU2839" s="342"/>
      <c r="BV2839" s="342"/>
      <c r="BW2839" s="342"/>
      <c r="BX2839" s="342"/>
      <c r="BY2839" s="342"/>
      <c r="BZ2839" s="342"/>
      <c r="CA2839" s="342"/>
      <c r="CB2839" s="342"/>
      <c r="CC2839" s="342"/>
      <c r="CD2839" s="342"/>
      <c r="CE2839" s="342"/>
      <c r="CF2839" s="342"/>
      <c r="CG2839" s="342"/>
      <c r="CH2839" s="342"/>
      <c r="CI2839" s="342"/>
      <c r="CJ2839" s="342"/>
      <c r="CK2839" s="342"/>
      <c r="CL2839" s="342"/>
      <c r="CM2839" s="342"/>
      <c r="CN2839" s="342"/>
      <c r="CO2839" s="342"/>
      <c r="CP2839" s="342"/>
      <c r="CQ2839" s="342"/>
      <c r="CR2839" s="342"/>
      <c r="CS2839" s="342"/>
      <c r="CT2839" s="342"/>
      <c r="CU2839" s="342"/>
      <c r="CV2839" s="342"/>
      <c r="CW2839" s="342"/>
      <c r="CX2839" s="342"/>
      <c r="CY2839" s="342"/>
      <c r="CZ2839" s="342"/>
      <c r="DA2839" s="342"/>
      <c r="DB2839" s="342"/>
      <c r="DC2839" s="342"/>
      <c r="DD2839" s="342"/>
      <c r="DE2839" s="342"/>
      <c r="DF2839" s="342"/>
      <c r="DG2839" s="342"/>
      <c r="DH2839" s="342"/>
      <c r="DI2839" s="342"/>
      <c r="DJ2839" s="342"/>
      <c r="DK2839" s="342"/>
      <c r="DL2839" s="342"/>
    </row>
    <row r="2840">
      <c r="A2840" s="44">
        <v>3097.0</v>
      </c>
      <c r="B2840" s="1322" t="s">
        <v>152</v>
      </c>
      <c r="C2840" s="1588" t="s">
        <v>115</v>
      </c>
      <c r="D2840" s="1588" t="s">
        <v>153</v>
      </c>
      <c r="E2840" s="1572"/>
      <c r="F2840" s="1600" t="s">
        <v>16459</v>
      </c>
      <c r="G2840" s="1592" t="s">
        <v>16685</v>
      </c>
      <c r="H2840" s="1600" t="s">
        <v>15921</v>
      </c>
      <c r="I2840" s="2229">
        <v>45821.0</v>
      </c>
      <c r="J2840" s="2230">
        <v>45847.0</v>
      </c>
      <c r="K2840" s="1592" t="s">
        <v>16483</v>
      </c>
      <c r="L2840" s="1313"/>
      <c r="M2840" s="1592" t="s">
        <v>16462</v>
      </c>
      <c r="N2840" s="1592" t="s">
        <v>16463</v>
      </c>
      <c r="O2840" s="1313"/>
      <c r="P2840" s="1592" t="s">
        <v>16464</v>
      </c>
      <c r="Q2840" s="2331" t="s">
        <v>16465</v>
      </c>
      <c r="R2840" s="1592" t="s">
        <v>16496</v>
      </c>
      <c r="S2840" s="1592" t="s">
        <v>16467</v>
      </c>
      <c r="T2840" s="1313"/>
      <c r="U2840" s="1313"/>
      <c r="V2840" s="1592" t="s">
        <v>16468</v>
      </c>
      <c r="W2840" s="1313"/>
      <c r="X2840" s="2233" t="str">
        <f t="array" ref="X2840"> if(iserror(MATCH(V2840, 'File Links'!C:C, 0)), "N/A", HYPERLINK(INDEX('File Links'!B:B, MATCH(V2840, 'File Links'!C:C, 0))))</f>
        <v>https://drive.google.com/file/d/16V6fX6zed8MKZ53zcmG18UMG8cS5fmS4/view?usp=drivesdk</v>
      </c>
      <c r="Y2840" s="1313"/>
      <c r="Z2840" s="1592" t="s">
        <v>1679</v>
      </c>
      <c r="AA2840" s="1600" t="s">
        <v>16476</v>
      </c>
      <c r="AB2840" s="1592" t="s">
        <v>16477</v>
      </c>
      <c r="AC2840" s="1600" t="s">
        <v>16686</v>
      </c>
      <c r="AD2840" s="1592" t="s">
        <v>16486</v>
      </c>
      <c r="AE2840" s="2265">
        <v>7.0</v>
      </c>
      <c r="AF2840" s="2342">
        <f>485*0.13</f>
        <v>63.05</v>
      </c>
      <c r="AG2840" s="1596">
        <v>0.702</v>
      </c>
      <c r="AH2840" s="1592" t="s">
        <v>361</v>
      </c>
      <c r="AI2840" s="2341" t="s">
        <v>16687</v>
      </c>
      <c r="AJ2840" s="1596">
        <v>0.0248</v>
      </c>
      <c r="AK2840" s="1592" t="s">
        <v>172</v>
      </c>
      <c r="AL2840" s="1592" t="s">
        <v>186</v>
      </c>
      <c r="AM2840" s="1592" t="s">
        <v>137</v>
      </c>
      <c r="AN2840" s="1592" t="s">
        <v>138</v>
      </c>
      <c r="AO2840" s="1596">
        <v>285.0</v>
      </c>
      <c r="AP2840" s="2265">
        <v>0.174</v>
      </c>
      <c r="AQ2840" s="1592" t="s">
        <v>361</v>
      </c>
      <c r="AR2840" s="2262" t="s">
        <v>16688</v>
      </c>
      <c r="AS2840" s="2265">
        <v>0.01</v>
      </c>
      <c r="AT2840" s="1592" t="s">
        <v>135</v>
      </c>
      <c r="AU2840" s="1592" t="s">
        <v>186</v>
      </c>
      <c r="AV2840" s="1592" t="s">
        <v>137</v>
      </c>
      <c r="AW2840" s="1592" t="s">
        <v>138</v>
      </c>
      <c r="AX2840" s="1592" t="s">
        <v>143</v>
      </c>
      <c r="AY2840" s="1321" t="str">
        <f>IFERROR(__xludf.DUMMYFUNCTION("vlookup(BB2840,importrange(""https://docs.google.com/spreadsheets/d/1d2vevQ_7D_v35q4wCQ4RpQ_IPoTwEMB9Yp6ymwlPqew/edit?gid=984458430#gid=984458430"", ""'replication success'!A:K""), 11, FAlSE)"),"#N/A")</f>
        <v>#N/A</v>
      </c>
      <c r="AZ2840" s="1321" t="str">
        <f>IFERROR(__xludf.DUMMYFUNCTION("vlookup(BB2840,importrange(""https://docs.google.com/spreadsheets/d/1d2vevQ_7D_v35q4wCQ4RpQ_IPoTwEMB9Yp6ymwlPqew/edit?gid=984458430#gid=984458430"", ""'replication success'!A:M""), 12, FAlSE)"),"#N/A")</f>
        <v>#N/A</v>
      </c>
      <c r="BA2840" s="1321" t="str">
        <f>IFERROR(__xludf.DUMMYFUNCTION("vlookup(BB2840,importrange(""https://docs.google.com/spreadsheets/d/1d2vevQ_7D_v35q4wCQ4RpQ_IPoTwEMB9Yp6ymwlPqew/edit?gid=984458430#gid=984458430"", ""'replication success'!A:M""), 13, FAlSE)"),"#N/A")</f>
        <v>#N/A</v>
      </c>
      <c r="BB2840" s="1321" t="str">
        <f>IFERROR(__xludf.DUMMYFUNCTION("REGEXREPLACE(G2840, ""_[a-z]{1,2}$"", """")"),"add_ai60_q3")</f>
        <v>add_ai60_q3</v>
      </c>
      <c r="BC2840" s="1572"/>
      <c r="BD2840" s="1588" t="s">
        <v>13264</v>
      </c>
      <c r="BE2840" s="342"/>
      <c r="BF2840" s="342"/>
      <c r="BG2840" s="342"/>
      <c r="BH2840" s="342"/>
      <c r="BI2840" s="342"/>
      <c r="BJ2840" s="342"/>
      <c r="BK2840" s="342"/>
      <c r="BL2840" s="342"/>
      <c r="BM2840" s="342"/>
      <c r="BN2840" s="342"/>
      <c r="BO2840" s="342"/>
      <c r="BP2840" s="342"/>
      <c r="BQ2840" s="342"/>
      <c r="BR2840" s="342"/>
      <c r="BS2840" s="342"/>
      <c r="BT2840" s="342"/>
      <c r="BU2840" s="342"/>
      <c r="BV2840" s="342"/>
      <c r="BW2840" s="342"/>
      <c r="BX2840" s="342"/>
      <c r="BY2840" s="342"/>
      <c r="BZ2840" s="342"/>
      <c r="CA2840" s="342"/>
      <c r="CB2840" s="342"/>
      <c r="CC2840" s="342"/>
      <c r="CD2840" s="342"/>
      <c r="CE2840" s="342"/>
      <c r="CF2840" s="342"/>
      <c r="CG2840" s="342"/>
      <c r="CH2840" s="342"/>
      <c r="CI2840" s="342"/>
      <c r="CJ2840" s="342"/>
      <c r="CK2840" s="342"/>
      <c r="CL2840" s="342"/>
      <c r="CM2840" s="342"/>
      <c r="CN2840" s="342"/>
      <c r="CO2840" s="342"/>
      <c r="CP2840" s="342"/>
      <c r="CQ2840" s="342"/>
      <c r="CR2840" s="342"/>
      <c r="CS2840" s="342"/>
      <c r="CT2840" s="342"/>
      <c r="CU2840" s="342"/>
      <c r="CV2840" s="342"/>
      <c r="CW2840" s="342"/>
      <c r="CX2840" s="342"/>
      <c r="CY2840" s="342"/>
      <c r="CZ2840" s="342"/>
      <c r="DA2840" s="342"/>
      <c r="DB2840" s="342"/>
      <c r="DC2840" s="342"/>
      <c r="DD2840" s="342"/>
      <c r="DE2840" s="342"/>
      <c r="DF2840" s="342"/>
      <c r="DG2840" s="342"/>
      <c r="DH2840" s="342"/>
      <c r="DI2840" s="342"/>
      <c r="DJ2840" s="342"/>
      <c r="DK2840" s="342"/>
      <c r="DL2840" s="342"/>
    </row>
    <row r="2841">
      <c r="A2841" s="44">
        <v>3046.0</v>
      </c>
      <c r="B2841" s="1322" t="s">
        <v>152</v>
      </c>
      <c r="C2841" s="1588" t="s">
        <v>115</v>
      </c>
      <c r="D2841" s="1588" t="s">
        <v>153</v>
      </c>
      <c r="E2841" s="1572"/>
      <c r="F2841" s="1600" t="s">
        <v>16459</v>
      </c>
      <c r="G2841" s="1592" t="s">
        <v>16689</v>
      </c>
      <c r="H2841" s="1600" t="s">
        <v>15921</v>
      </c>
      <c r="I2841" s="2229">
        <v>45821.0</v>
      </c>
      <c r="J2841" s="2230">
        <v>45847.0</v>
      </c>
      <c r="K2841" s="1592" t="s">
        <v>16474</v>
      </c>
      <c r="L2841" s="1313"/>
      <c r="M2841" s="1592" t="s">
        <v>16462</v>
      </c>
      <c r="N2841" s="1592" t="s">
        <v>16463</v>
      </c>
      <c r="O2841" s="1313"/>
      <c r="P2841" s="1592" t="s">
        <v>16464</v>
      </c>
      <c r="Q2841" s="2331" t="s">
        <v>16465</v>
      </c>
      <c r="R2841" s="1592" t="s">
        <v>16496</v>
      </c>
      <c r="S2841" s="1592" t="s">
        <v>16467</v>
      </c>
      <c r="T2841" s="1313"/>
      <c r="U2841" s="1313"/>
      <c r="V2841" s="1592" t="s">
        <v>16468</v>
      </c>
      <c r="W2841" s="1313"/>
      <c r="X2841" s="2233" t="str">
        <f t="array" ref="X2841"> if(iserror(MATCH(V2841, 'File Links'!C:C, 0)), "N/A", HYPERLINK(INDEX('File Links'!B:B, MATCH(V2841, 'File Links'!C:C, 0))))</f>
        <v>https://drive.google.com/file/d/16V6fX6zed8MKZ53zcmG18UMG8cS5fmS4/view?usp=drivesdk</v>
      </c>
      <c r="Y2841" s="1313"/>
      <c r="Z2841" s="1592" t="s">
        <v>1679</v>
      </c>
      <c r="AA2841" s="1600" t="s">
        <v>16476</v>
      </c>
      <c r="AB2841" s="1592" t="s">
        <v>16477</v>
      </c>
      <c r="AC2841" s="2262" t="s">
        <v>16690</v>
      </c>
      <c r="AD2841" s="1600" t="s">
        <v>16654</v>
      </c>
      <c r="AE2841" s="2265">
        <v>7.0</v>
      </c>
      <c r="AF2841" s="1596">
        <v>485.0</v>
      </c>
      <c r="AG2841" s="2265">
        <v>0.113</v>
      </c>
      <c r="AH2841" s="1592" t="s">
        <v>16492</v>
      </c>
      <c r="AI2841" s="2341" t="s">
        <v>16691</v>
      </c>
      <c r="AJ2841" s="1324" t="s">
        <v>138</v>
      </c>
      <c r="AK2841" s="1324" t="s">
        <v>138</v>
      </c>
      <c r="AL2841" s="1592" t="s">
        <v>186</v>
      </c>
      <c r="AM2841" s="1592" t="s">
        <v>137</v>
      </c>
      <c r="AN2841" s="1324" t="s">
        <v>138</v>
      </c>
      <c r="AO2841" s="1596">
        <v>285.0</v>
      </c>
      <c r="AP2841" s="1596">
        <v>0.081</v>
      </c>
      <c r="AQ2841" s="1592" t="s">
        <v>16492</v>
      </c>
      <c r="AR2841" s="2262" t="s">
        <v>16692</v>
      </c>
      <c r="AS2841" s="1592" t="s">
        <v>138</v>
      </c>
      <c r="AT2841" s="2337" t="s">
        <v>138</v>
      </c>
      <c r="AU2841" s="1592" t="s">
        <v>186</v>
      </c>
      <c r="AV2841" s="1592" t="s">
        <v>137</v>
      </c>
      <c r="AW2841" s="1592" t="s">
        <v>138</v>
      </c>
      <c r="AX2841" s="1592" t="s">
        <v>143</v>
      </c>
      <c r="AY2841" s="1321" t="str">
        <f>IFERROR(__xludf.DUMMYFUNCTION("vlookup(BB2841,importrange(""https://docs.google.com/spreadsheets/d/1d2vevQ_7D_v35q4wCQ4RpQ_IPoTwEMB9Yp6ymwlPqew/edit?gid=984458430#gid=984458430"", ""'replication success'!A:K""), 11, FAlSE)"),"#N/A")</f>
        <v>#N/A</v>
      </c>
      <c r="AZ2841" s="1321" t="str">
        <f>IFERROR(__xludf.DUMMYFUNCTION("vlookup(BB2841,importrange(""https://docs.google.com/spreadsheets/d/1d2vevQ_7D_v35q4wCQ4RpQ_IPoTwEMB9Yp6ymwlPqew/edit?gid=984458430#gid=984458430"", ""'replication success'!A:M""), 12, FAlSE)"),"#N/A")</f>
        <v>#N/A</v>
      </c>
      <c r="BA2841" s="1321" t="str">
        <f>IFERROR(__xludf.DUMMYFUNCTION("vlookup(BB2841,importrange(""https://docs.google.com/spreadsheets/d/1d2vevQ_7D_v35q4wCQ4RpQ_IPoTwEMB9Yp6ymwlPqew/edit?gid=984458430#gid=984458430"", ""'replication success'!A:M""), 13, FAlSE)"),"#N/A")</f>
        <v>#N/A</v>
      </c>
      <c r="BB2841" s="1321" t="str">
        <f>IFERROR(__xludf.DUMMYFUNCTION("REGEXREPLACE(G2841, ""_[a-z]{1,2}$"", """")"),"add_ai60")</f>
        <v>add_ai60</v>
      </c>
      <c r="BC2841" s="1572"/>
      <c r="BD2841" s="1588" t="s">
        <v>13264</v>
      </c>
      <c r="BE2841" s="342"/>
      <c r="BF2841" s="342"/>
      <c r="BG2841" s="342"/>
      <c r="BH2841" s="342"/>
      <c r="BI2841" s="342"/>
      <c r="BJ2841" s="342"/>
      <c r="BK2841" s="342"/>
      <c r="BL2841" s="342"/>
      <c r="BM2841" s="342"/>
      <c r="BN2841" s="342"/>
      <c r="BO2841" s="342"/>
      <c r="BP2841" s="342"/>
      <c r="BQ2841" s="342"/>
      <c r="BR2841" s="342"/>
      <c r="BS2841" s="342"/>
      <c r="BT2841" s="342"/>
      <c r="BU2841" s="342"/>
      <c r="BV2841" s="342"/>
      <c r="BW2841" s="342"/>
      <c r="BX2841" s="342"/>
      <c r="BY2841" s="342"/>
      <c r="BZ2841" s="342"/>
      <c r="CA2841" s="342"/>
      <c r="CB2841" s="342"/>
      <c r="CC2841" s="342"/>
      <c r="CD2841" s="342"/>
      <c r="CE2841" s="342"/>
      <c r="CF2841" s="342"/>
      <c r="CG2841" s="342"/>
      <c r="CH2841" s="342"/>
      <c r="CI2841" s="342"/>
      <c r="CJ2841" s="342"/>
      <c r="CK2841" s="342"/>
      <c r="CL2841" s="342"/>
      <c r="CM2841" s="342"/>
      <c r="CN2841" s="342"/>
      <c r="CO2841" s="342"/>
      <c r="CP2841" s="342"/>
      <c r="CQ2841" s="342"/>
      <c r="CR2841" s="342"/>
      <c r="CS2841" s="342"/>
      <c r="CT2841" s="342"/>
      <c r="CU2841" s="342"/>
      <c r="CV2841" s="342"/>
      <c r="CW2841" s="342"/>
      <c r="CX2841" s="342"/>
      <c r="CY2841" s="342"/>
      <c r="CZ2841" s="342"/>
      <c r="DA2841" s="342"/>
      <c r="DB2841" s="342"/>
      <c r="DC2841" s="342"/>
      <c r="DD2841" s="342"/>
      <c r="DE2841" s="342"/>
      <c r="DF2841" s="342"/>
      <c r="DG2841" s="342"/>
      <c r="DH2841" s="342"/>
      <c r="DI2841" s="342"/>
      <c r="DJ2841" s="342"/>
      <c r="DK2841" s="342"/>
      <c r="DL2841" s="342"/>
    </row>
    <row r="2842">
      <c r="A2842" s="44">
        <v>3072.0</v>
      </c>
      <c r="B2842" s="1322" t="s">
        <v>152</v>
      </c>
      <c r="C2842" s="1588" t="s">
        <v>115</v>
      </c>
      <c r="D2842" s="1588" t="s">
        <v>153</v>
      </c>
      <c r="E2842" s="1572"/>
      <c r="F2842" s="1600" t="s">
        <v>16459</v>
      </c>
      <c r="G2842" s="1592" t="s">
        <v>16693</v>
      </c>
      <c r="H2842" s="1600" t="s">
        <v>15921</v>
      </c>
      <c r="I2842" s="2229">
        <v>45821.0</v>
      </c>
      <c r="J2842" s="2230">
        <v>45847.0</v>
      </c>
      <c r="K2842" s="1592" t="s">
        <v>16483</v>
      </c>
      <c r="L2842" s="1313"/>
      <c r="M2842" s="1592" t="s">
        <v>16462</v>
      </c>
      <c r="N2842" s="1592" t="s">
        <v>16463</v>
      </c>
      <c r="O2842" s="1313"/>
      <c r="P2842" s="1592" t="s">
        <v>16464</v>
      </c>
      <c r="Q2842" s="2331" t="s">
        <v>16465</v>
      </c>
      <c r="R2842" s="1592" t="s">
        <v>16496</v>
      </c>
      <c r="S2842" s="1592" t="s">
        <v>16467</v>
      </c>
      <c r="T2842" s="1313"/>
      <c r="U2842" s="1313"/>
      <c r="V2842" s="1592" t="s">
        <v>16468</v>
      </c>
      <c r="W2842" s="1313"/>
      <c r="X2842" s="2233" t="str">
        <f t="array" ref="X2842"> if(iserror(MATCH(V2842, 'File Links'!C:C, 0)), "N/A", HYPERLINK(INDEX('File Links'!B:B, MATCH(V2842, 'File Links'!C:C, 0))))</f>
        <v>https://drive.google.com/file/d/16V6fX6zed8MKZ53zcmG18UMG8cS5fmS4/view?usp=drivesdk</v>
      </c>
      <c r="Y2842" s="1313"/>
      <c r="Z2842" s="1592" t="s">
        <v>1679</v>
      </c>
      <c r="AA2842" s="1600" t="s">
        <v>16476</v>
      </c>
      <c r="AB2842" s="1592" t="s">
        <v>16477</v>
      </c>
      <c r="AC2842" s="2262" t="s">
        <v>16694</v>
      </c>
      <c r="AD2842" s="1592" t="s">
        <v>16486</v>
      </c>
      <c r="AE2842" s="2265">
        <v>7.0</v>
      </c>
      <c r="AF2842" s="2342">
        <f>485*0.26</f>
        <v>126.1</v>
      </c>
      <c r="AG2842" s="2265">
        <v>0.257</v>
      </c>
      <c r="AH2842" s="1592" t="s">
        <v>361</v>
      </c>
      <c r="AI2842" s="2341" t="s">
        <v>16695</v>
      </c>
      <c r="AJ2842" s="2265">
        <v>0.0064</v>
      </c>
      <c r="AK2842" s="1592" t="s">
        <v>172</v>
      </c>
      <c r="AL2842" s="1592" t="s">
        <v>186</v>
      </c>
      <c r="AM2842" s="1592" t="s">
        <v>137</v>
      </c>
      <c r="AN2842" s="1592" t="s">
        <v>138</v>
      </c>
      <c r="AO2842" s="1596">
        <v>285.0</v>
      </c>
      <c r="AP2842" s="1596">
        <v>0.151</v>
      </c>
      <c r="AQ2842" s="1592" t="s">
        <v>361</v>
      </c>
      <c r="AR2842" s="2262" t="s">
        <v>16696</v>
      </c>
      <c r="AS2842" s="2265">
        <v>0.05</v>
      </c>
      <c r="AT2842" s="1592" t="s">
        <v>135</v>
      </c>
      <c r="AU2842" s="1592" t="s">
        <v>186</v>
      </c>
      <c r="AV2842" s="1592" t="s">
        <v>137</v>
      </c>
      <c r="AW2842" s="1592" t="s">
        <v>138</v>
      </c>
      <c r="AX2842" s="1592" t="s">
        <v>143</v>
      </c>
      <c r="AY2842" s="1321" t="str">
        <f>IFERROR(__xludf.DUMMYFUNCTION("vlookup(BB2842,importrange(""https://docs.google.com/spreadsheets/d/1d2vevQ_7D_v35q4wCQ4RpQ_IPoTwEMB9Yp6ymwlPqew/edit?gid=984458430#gid=984458430"", ""'replication success'!A:K""), 11, FAlSE)"),"#N/A")</f>
        <v>#N/A</v>
      </c>
      <c r="AZ2842" s="1321" t="str">
        <f>IFERROR(__xludf.DUMMYFUNCTION("vlookup(BB2842,importrange(""https://docs.google.com/spreadsheets/d/1d2vevQ_7D_v35q4wCQ4RpQ_IPoTwEMB9Yp6ymwlPqew/edit?gid=984458430#gid=984458430"", ""'replication success'!A:M""), 12, FAlSE)"),"#N/A")</f>
        <v>#N/A</v>
      </c>
      <c r="BA2842" s="1321" t="str">
        <f>IFERROR(__xludf.DUMMYFUNCTION("vlookup(BB2842,importrange(""https://docs.google.com/spreadsheets/d/1d2vevQ_7D_v35q4wCQ4RpQ_IPoTwEMB9Yp6ymwlPqew/edit?gid=984458430#gid=984458430"", ""'replication success'!A:M""), 13, FAlSE)"),"#N/A")</f>
        <v>#N/A</v>
      </c>
      <c r="BB2842" s="1321" t="str">
        <f>IFERROR(__xludf.DUMMYFUNCTION("REGEXREPLACE(G2842, ""_[a-z]{1,2}$"", """")"),"add_ai60_r2")</f>
        <v>add_ai60_r2</v>
      </c>
      <c r="BC2842" s="1572"/>
      <c r="BD2842" s="1588" t="s">
        <v>13264</v>
      </c>
      <c r="BE2842" s="342"/>
      <c r="BF2842" s="342"/>
      <c r="BG2842" s="342"/>
      <c r="BH2842" s="342"/>
      <c r="BI2842" s="342"/>
      <c r="BJ2842" s="342"/>
      <c r="BK2842" s="342"/>
      <c r="BL2842" s="342"/>
      <c r="BM2842" s="342"/>
      <c r="BN2842" s="342"/>
      <c r="BO2842" s="342"/>
      <c r="BP2842" s="342"/>
      <c r="BQ2842" s="342"/>
      <c r="BR2842" s="342"/>
      <c r="BS2842" s="342"/>
      <c r="BT2842" s="342"/>
      <c r="BU2842" s="342"/>
      <c r="BV2842" s="342"/>
      <c r="BW2842" s="342"/>
      <c r="BX2842" s="342"/>
      <c r="BY2842" s="342"/>
      <c r="BZ2842" s="342"/>
      <c r="CA2842" s="342"/>
      <c r="CB2842" s="342"/>
      <c r="CC2842" s="342"/>
      <c r="CD2842" s="342"/>
      <c r="CE2842" s="342"/>
      <c r="CF2842" s="342"/>
      <c r="CG2842" s="342"/>
      <c r="CH2842" s="342"/>
      <c r="CI2842" s="342"/>
      <c r="CJ2842" s="342"/>
      <c r="CK2842" s="342"/>
      <c r="CL2842" s="342"/>
      <c r="CM2842" s="342"/>
      <c r="CN2842" s="342"/>
      <c r="CO2842" s="342"/>
      <c r="CP2842" s="342"/>
      <c r="CQ2842" s="342"/>
      <c r="CR2842" s="342"/>
      <c r="CS2842" s="342"/>
      <c r="CT2842" s="342"/>
      <c r="CU2842" s="342"/>
      <c r="CV2842" s="342"/>
      <c r="CW2842" s="342"/>
      <c r="CX2842" s="342"/>
      <c r="CY2842" s="342"/>
      <c r="CZ2842" s="342"/>
      <c r="DA2842" s="342"/>
      <c r="DB2842" s="342"/>
      <c r="DC2842" s="342"/>
      <c r="DD2842" s="342"/>
      <c r="DE2842" s="342"/>
      <c r="DF2842" s="342"/>
      <c r="DG2842" s="342"/>
      <c r="DH2842" s="342"/>
      <c r="DI2842" s="342"/>
      <c r="DJ2842" s="342"/>
      <c r="DK2842" s="342"/>
      <c r="DL2842" s="342"/>
    </row>
    <row r="2843">
      <c r="A2843" s="44">
        <v>3098.0</v>
      </c>
      <c r="B2843" s="1322" t="s">
        <v>152</v>
      </c>
      <c r="C2843" s="1588" t="s">
        <v>115</v>
      </c>
      <c r="D2843" s="1588" t="s">
        <v>153</v>
      </c>
      <c r="E2843" s="1572"/>
      <c r="F2843" s="1600" t="s">
        <v>16459</v>
      </c>
      <c r="G2843" s="1592" t="s">
        <v>16697</v>
      </c>
      <c r="H2843" s="1600" t="s">
        <v>15921</v>
      </c>
      <c r="I2843" s="2229">
        <v>45821.0</v>
      </c>
      <c r="J2843" s="2230">
        <v>45847.0</v>
      </c>
      <c r="K2843" s="1592" t="s">
        <v>16483</v>
      </c>
      <c r="L2843" s="1313"/>
      <c r="M2843" s="1592" t="s">
        <v>16462</v>
      </c>
      <c r="N2843" s="1592" t="s">
        <v>16463</v>
      </c>
      <c r="O2843" s="1313"/>
      <c r="P2843" s="1592" t="s">
        <v>16464</v>
      </c>
      <c r="Q2843" s="2331" t="s">
        <v>16465</v>
      </c>
      <c r="R2843" s="1592" t="s">
        <v>16496</v>
      </c>
      <c r="S2843" s="1592" t="s">
        <v>16467</v>
      </c>
      <c r="T2843" s="1313"/>
      <c r="U2843" s="1313"/>
      <c r="V2843" s="1592" t="s">
        <v>16468</v>
      </c>
      <c r="W2843" s="1313"/>
      <c r="X2843" s="2233" t="str">
        <f t="array" ref="X2843"> if(iserror(MATCH(V2843, 'File Links'!C:C, 0)), "N/A", HYPERLINK(INDEX('File Links'!B:B, MATCH(V2843, 'File Links'!C:C, 0))))</f>
        <v>https://drive.google.com/file/d/16V6fX6zed8MKZ53zcmG18UMG8cS5fmS4/view?usp=drivesdk</v>
      </c>
      <c r="Y2843" s="1313"/>
      <c r="Z2843" s="1592" t="s">
        <v>1679</v>
      </c>
      <c r="AA2843" s="1600" t="s">
        <v>16476</v>
      </c>
      <c r="AB2843" s="1592" t="s">
        <v>16477</v>
      </c>
      <c r="AC2843" s="1600" t="s">
        <v>16698</v>
      </c>
      <c r="AD2843" s="1592" t="s">
        <v>16486</v>
      </c>
      <c r="AE2843" s="2265">
        <v>7.0</v>
      </c>
      <c r="AF2843" s="2342">
        <f>485*0.13</f>
        <v>63.05</v>
      </c>
      <c r="AG2843" s="2265">
        <v>0.395</v>
      </c>
      <c r="AH2843" s="1592" t="s">
        <v>361</v>
      </c>
      <c r="AI2843" s="2341" t="s">
        <v>16699</v>
      </c>
      <c r="AJ2843" s="2265">
        <v>0.0218</v>
      </c>
      <c r="AK2843" s="1592" t="s">
        <v>172</v>
      </c>
      <c r="AL2843" s="1592" t="s">
        <v>186</v>
      </c>
      <c r="AM2843" s="1592" t="s">
        <v>137</v>
      </c>
      <c r="AN2843" s="1592" t="s">
        <v>138</v>
      </c>
      <c r="AO2843" s="1596">
        <v>285.0</v>
      </c>
      <c r="AP2843" s="2265">
        <v>0.106</v>
      </c>
      <c r="AQ2843" s="1592" t="s">
        <v>361</v>
      </c>
      <c r="AR2843" s="2262" t="s">
        <v>16700</v>
      </c>
      <c r="AS2843" s="1596">
        <v>0.05</v>
      </c>
      <c r="AT2843" s="1592" t="s">
        <v>335</v>
      </c>
      <c r="AU2843" s="1592" t="s">
        <v>186</v>
      </c>
      <c r="AV2843" s="1592" t="s">
        <v>137</v>
      </c>
      <c r="AW2843" s="1592" t="s">
        <v>138</v>
      </c>
      <c r="AX2843" s="1592" t="s">
        <v>143</v>
      </c>
      <c r="AY2843" s="1321" t="str">
        <f>IFERROR(__xludf.DUMMYFUNCTION("vlookup(BB2843,importrange(""https://docs.google.com/spreadsheets/d/1d2vevQ_7D_v35q4wCQ4RpQ_IPoTwEMB9Yp6ymwlPqew/edit?gid=984458430#gid=984458430"", ""'replication success'!A:K""), 11, FAlSE)"),"#N/A")</f>
        <v>#N/A</v>
      </c>
      <c r="AZ2843" s="1321" t="str">
        <f>IFERROR(__xludf.DUMMYFUNCTION("vlookup(BB2843,importrange(""https://docs.google.com/spreadsheets/d/1d2vevQ_7D_v35q4wCQ4RpQ_IPoTwEMB9Yp6ymwlPqew/edit?gid=984458430#gid=984458430"", ""'replication success'!A:M""), 12, FAlSE)"),"#N/A")</f>
        <v>#N/A</v>
      </c>
      <c r="BA2843" s="1321" t="str">
        <f>IFERROR(__xludf.DUMMYFUNCTION("vlookup(BB2843,importrange(""https://docs.google.com/spreadsheets/d/1d2vevQ_7D_v35q4wCQ4RpQ_IPoTwEMB9Yp6ymwlPqew/edit?gid=984458430#gid=984458430"", ""'replication success'!A:M""), 13, FAlSE)"),"#N/A")</f>
        <v>#N/A</v>
      </c>
      <c r="BB2843" s="1321" t="str">
        <f>IFERROR(__xludf.DUMMYFUNCTION("REGEXREPLACE(G2843, ""_[a-z]{1,2}$"", """")"),"add_ai60_r3")</f>
        <v>add_ai60_r3</v>
      </c>
      <c r="BC2843" s="1572"/>
      <c r="BD2843" s="1588" t="s">
        <v>13264</v>
      </c>
      <c r="BE2843" s="342"/>
      <c r="BF2843" s="342"/>
      <c r="BG2843" s="342"/>
      <c r="BH2843" s="342"/>
      <c r="BI2843" s="342"/>
      <c r="BJ2843" s="342"/>
      <c r="BK2843" s="342"/>
      <c r="BL2843" s="342"/>
      <c r="BM2843" s="342"/>
      <c r="BN2843" s="342"/>
      <c r="BO2843" s="342"/>
      <c r="BP2843" s="342"/>
      <c r="BQ2843" s="342"/>
      <c r="BR2843" s="342"/>
      <c r="BS2843" s="342"/>
      <c r="BT2843" s="342"/>
      <c r="BU2843" s="342"/>
      <c r="BV2843" s="342"/>
      <c r="BW2843" s="342"/>
      <c r="BX2843" s="342"/>
      <c r="BY2843" s="342"/>
      <c r="BZ2843" s="342"/>
      <c r="CA2843" s="342"/>
      <c r="CB2843" s="342"/>
      <c r="CC2843" s="342"/>
      <c r="CD2843" s="342"/>
      <c r="CE2843" s="342"/>
      <c r="CF2843" s="342"/>
      <c r="CG2843" s="342"/>
      <c r="CH2843" s="342"/>
      <c r="CI2843" s="342"/>
      <c r="CJ2843" s="342"/>
      <c r="CK2843" s="342"/>
      <c r="CL2843" s="342"/>
      <c r="CM2843" s="342"/>
      <c r="CN2843" s="342"/>
      <c r="CO2843" s="342"/>
      <c r="CP2843" s="342"/>
      <c r="CQ2843" s="342"/>
      <c r="CR2843" s="342"/>
      <c r="CS2843" s="342"/>
      <c r="CT2843" s="342"/>
      <c r="CU2843" s="342"/>
      <c r="CV2843" s="342"/>
      <c r="CW2843" s="342"/>
      <c r="CX2843" s="342"/>
      <c r="CY2843" s="342"/>
      <c r="CZ2843" s="342"/>
      <c r="DA2843" s="342"/>
      <c r="DB2843" s="342"/>
      <c r="DC2843" s="342"/>
      <c r="DD2843" s="342"/>
      <c r="DE2843" s="342"/>
      <c r="DF2843" s="342"/>
      <c r="DG2843" s="342"/>
      <c r="DH2843" s="342"/>
      <c r="DI2843" s="342"/>
      <c r="DJ2843" s="342"/>
      <c r="DK2843" s="342"/>
      <c r="DL2843" s="342"/>
    </row>
    <row r="2844">
      <c r="A2844" s="44">
        <v>3047.0</v>
      </c>
      <c r="B2844" s="1322" t="s">
        <v>152</v>
      </c>
      <c r="C2844" s="1588" t="s">
        <v>115</v>
      </c>
      <c r="D2844" s="1588" t="s">
        <v>153</v>
      </c>
      <c r="E2844" s="1572"/>
      <c r="F2844" s="1600" t="s">
        <v>16459</v>
      </c>
      <c r="G2844" s="1592" t="s">
        <v>16701</v>
      </c>
      <c r="H2844" s="1600" t="s">
        <v>15921</v>
      </c>
      <c r="I2844" s="2229">
        <v>45821.0</v>
      </c>
      <c r="J2844" s="2230">
        <v>45847.0</v>
      </c>
      <c r="K2844" s="1592" t="s">
        <v>16474</v>
      </c>
      <c r="L2844" s="1313"/>
      <c r="M2844" s="1592" t="s">
        <v>16462</v>
      </c>
      <c r="N2844" s="1592" t="s">
        <v>16463</v>
      </c>
      <c r="O2844" s="1313"/>
      <c r="P2844" s="1592" t="s">
        <v>16464</v>
      </c>
      <c r="Q2844" s="2331" t="s">
        <v>16465</v>
      </c>
      <c r="R2844" s="1592" t="s">
        <v>16496</v>
      </c>
      <c r="S2844" s="1592" t="s">
        <v>16467</v>
      </c>
      <c r="T2844" s="1313"/>
      <c r="U2844" s="1313"/>
      <c r="V2844" s="1592" t="s">
        <v>16468</v>
      </c>
      <c r="W2844" s="1313"/>
      <c r="X2844" s="2233" t="str">
        <f t="array" ref="X2844"> if(iserror(MATCH(V2844, 'File Links'!C:C, 0)), "N/A", HYPERLINK(INDEX('File Links'!B:B, MATCH(V2844, 'File Links'!C:C, 0))))</f>
        <v>https://drive.google.com/file/d/16V6fX6zed8MKZ53zcmG18UMG8cS5fmS4/view?usp=drivesdk</v>
      </c>
      <c r="Y2844" s="1313"/>
      <c r="Z2844" s="1592" t="s">
        <v>1679</v>
      </c>
      <c r="AA2844" s="1600" t="s">
        <v>16476</v>
      </c>
      <c r="AB2844" s="1592" t="s">
        <v>16477</v>
      </c>
      <c r="AC2844" s="2262" t="s">
        <v>16702</v>
      </c>
      <c r="AD2844" s="1600" t="s">
        <v>16654</v>
      </c>
      <c r="AE2844" s="2265">
        <v>7.0</v>
      </c>
      <c r="AF2844" s="1596">
        <v>485.0</v>
      </c>
      <c r="AG2844" s="2265">
        <v>0.192</v>
      </c>
      <c r="AH2844" s="1592" t="s">
        <v>16492</v>
      </c>
      <c r="AI2844" s="2341" t="s">
        <v>16703</v>
      </c>
      <c r="AJ2844" s="1324" t="s">
        <v>138</v>
      </c>
      <c r="AK2844" s="1324" t="s">
        <v>138</v>
      </c>
      <c r="AL2844" s="1592" t="s">
        <v>186</v>
      </c>
      <c r="AM2844" s="1592" t="s">
        <v>137</v>
      </c>
      <c r="AN2844" s="1324" t="s">
        <v>138</v>
      </c>
      <c r="AO2844" s="1596">
        <v>285.0</v>
      </c>
      <c r="AP2844" s="2265">
        <v>0.027</v>
      </c>
      <c r="AQ2844" s="1592" t="s">
        <v>16492</v>
      </c>
      <c r="AR2844" s="2262" t="s">
        <v>16704</v>
      </c>
      <c r="AS2844" s="1592" t="s">
        <v>138</v>
      </c>
      <c r="AT2844" s="2337" t="s">
        <v>138</v>
      </c>
      <c r="AU2844" s="1592" t="s">
        <v>186</v>
      </c>
      <c r="AV2844" s="1592" t="s">
        <v>137</v>
      </c>
      <c r="AW2844" s="1592" t="s">
        <v>138</v>
      </c>
      <c r="AX2844" s="1592" t="s">
        <v>143</v>
      </c>
      <c r="AY2844" s="1321" t="str">
        <f>IFERROR(__xludf.DUMMYFUNCTION("vlookup(BB2844,importrange(""https://docs.google.com/spreadsheets/d/1d2vevQ_7D_v35q4wCQ4RpQ_IPoTwEMB9Yp6ymwlPqew/edit?gid=984458430#gid=984458430"", ""'replication success'!A:K""), 11, FAlSE)"),"#N/A")</f>
        <v>#N/A</v>
      </c>
      <c r="AZ2844" s="1321" t="str">
        <f>IFERROR(__xludf.DUMMYFUNCTION("vlookup(BB2844,importrange(""https://docs.google.com/spreadsheets/d/1d2vevQ_7D_v35q4wCQ4RpQ_IPoTwEMB9Yp6ymwlPqew/edit?gid=984458430#gid=984458430"", ""'replication success'!A:M""), 12, FAlSE)"),"#N/A")</f>
        <v>#N/A</v>
      </c>
      <c r="BA2844" s="1321" t="str">
        <f>IFERROR(__xludf.DUMMYFUNCTION("vlookup(BB2844,importrange(""https://docs.google.com/spreadsheets/d/1d2vevQ_7D_v35q4wCQ4RpQ_IPoTwEMB9Yp6ymwlPqew/edit?gid=984458430#gid=984458430"", ""'replication success'!A:M""), 13, FAlSE)"),"#N/A")</f>
        <v>#N/A</v>
      </c>
      <c r="BB2844" s="1321" t="str">
        <f>IFERROR(__xludf.DUMMYFUNCTION("REGEXREPLACE(G2844, ""_[a-z]{1,2}$"", """")"),"add_ai60")</f>
        <v>add_ai60</v>
      </c>
      <c r="BC2844" s="1572"/>
      <c r="BD2844" s="1588" t="s">
        <v>13264</v>
      </c>
      <c r="BE2844" s="342"/>
      <c r="BF2844" s="342"/>
      <c r="BG2844" s="342"/>
      <c r="BH2844" s="342"/>
      <c r="BI2844" s="342"/>
      <c r="BJ2844" s="342"/>
      <c r="BK2844" s="342"/>
      <c r="BL2844" s="342"/>
      <c r="BM2844" s="342"/>
      <c r="BN2844" s="342"/>
      <c r="BO2844" s="342"/>
      <c r="BP2844" s="342"/>
      <c r="BQ2844" s="342"/>
      <c r="BR2844" s="342"/>
      <c r="BS2844" s="342"/>
      <c r="BT2844" s="342"/>
      <c r="BU2844" s="342"/>
      <c r="BV2844" s="342"/>
      <c r="BW2844" s="342"/>
      <c r="BX2844" s="342"/>
      <c r="BY2844" s="342"/>
      <c r="BZ2844" s="342"/>
      <c r="CA2844" s="342"/>
      <c r="CB2844" s="342"/>
      <c r="CC2844" s="342"/>
      <c r="CD2844" s="342"/>
      <c r="CE2844" s="342"/>
      <c r="CF2844" s="342"/>
      <c r="CG2844" s="342"/>
      <c r="CH2844" s="342"/>
      <c r="CI2844" s="342"/>
      <c r="CJ2844" s="342"/>
      <c r="CK2844" s="342"/>
      <c r="CL2844" s="342"/>
      <c r="CM2844" s="342"/>
      <c r="CN2844" s="342"/>
      <c r="CO2844" s="342"/>
      <c r="CP2844" s="342"/>
      <c r="CQ2844" s="342"/>
      <c r="CR2844" s="342"/>
      <c r="CS2844" s="342"/>
      <c r="CT2844" s="342"/>
      <c r="CU2844" s="342"/>
      <c r="CV2844" s="342"/>
      <c r="CW2844" s="342"/>
      <c r="CX2844" s="342"/>
      <c r="CY2844" s="342"/>
      <c r="CZ2844" s="342"/>
      <c r="DA2844" s="342"/>
      <c r="DB2844" s="342"/>
      <c r="DC2844" s="342"/>
      <c r="DD2844" s="342"/>
      <c r="DE2844" s="342"/>
      <c r="DF2844" s="342"/>
      <c r="DG2844" s="342"/>
      <c r="DH2844" s="342"/>
      <c r="DI2844" s="342"/>
      <c r="DJ2844" s="342"/>
      <c r="DK2844" s="342"/>
      <c r="DL2844" s="342"/>
    </row>
    <row r="2845">
      <c r="A2845" s="44">
        <v>3073.0</v>
      </c>
      <c r="B2845" s="1322" t="s">
        <v>152</v>
      </c>
      <c r="C2845" s="1588" t="s">
        <v>115</v>
      </c>
      <c r="D2845" s="1588" t="s">
        <v>153</v>
      </c>
      <c r="E2845" s="1572"/>
      <c r="F2845" s="1600" t="s">
        <v>16459</v>
      </c>
      <c r="G2845" s="1592" t="s">
        <v>16705</v>
      </c>
      <c r="H2845" s="1600" t="s">
        <v>15921</v>
      </c>
      <c r="I2845" s="2229">
        <v>45821.0</v>
      </c>
      <c r="J2845" s="2230">
        <v>45847.0</v>
      </c>
      <c r="K2845" s="1592" t="s">
        <v>16483</v>
      </c>
      <c r="L2845" s="1313"/>
      <c r="M2845" s="1592" t="s">
        <v>16462</v>
      </c>
      <c r="N2845" s="1592" t="s">
        <v>16463</v>
      </c>
      <c r="O2845" s="1313"/>
      <c r="P2845" s="1592" t="s">
        <v>16464</v>
      </c>
      <c r="Q2845" s="2331" t="s">
        <v>16465</v>
      </c>
      <c r="R2845" s="1592" t="s">
        <v>16496</v>
      </c>
      <c r="S2845" s="1592" t="s">
        <v>16467</v>
      </c>
      <c r="T2845" s="1313"/>
      <c r="U2845" s="1313"/>
      <c r="V2845" s="1592" t="s">
        <v>16468</v>
      </c>
      <c r="W2845" s="1313"/>
      <c r="X2845" s="2233" t="str">
        <f t="array" ref="X2845"> if(iserror(MATCH(V2845, 'File Links'!C:C, 0)), "N/A", HYPERLINK(INDEX('File Links'!B:B, MATCH(V2845, 'File Links'!C:C, 0))))</f>
        <v>https://drive.google.com/file/d/16V6fX6zed8MKZ53zcmG18UMG8cS5fmS4/view?usp=drivesdk</v>
      </c>
      <c r="Y2845" s="1313"/>
      <c r="Z2845" s="1592" t="s">
        <v>1679</v>
      </c>
      <c r="AA2845" s="1600" t="s">
        <v>16476</v>
      </c>
      <c r="AB2845" s="1592" t="s">
        <v>16477</v>
      </c>
      <c r="AC2845" s="1600" t="s">
        <v>16706</v>
      </c>
      <c r="AD2845" s="1592" t="s">
        <v>16486</v>
      </c>
      <c r="AE2845" s="2265">
        <v>7.0</v>
      </c>
      <c r="AF2845" s="2342">
        <f>485*0.26</f>
        <v>126.1</v>
      </c>
      <c r="AG2845" s="2265">
        <v>0.255</v>
      </c>
      <c r="AH2845" s="1592" t="s">
        <v>361</v>
      </c>
      <c r="AI2845" s="2341" t="s">
        <v>16707</v>
      </c>
      <c r="AJ2845" s="1596">
        <v>0.0346</v>
      </c>
      <c r="AK2845" s="1592" t="s">
        <v>172</v>
      </c>
      <c r="AL2845" s="1592" t="s">
        <v>186</v>
      </c>
      <c r="AM2845" s="1592" t="s">
        <v>137</v>
      </c>
      <c r="AN2845" s="1592" t="s">
        <v>138</v>
      </c>
      <c r="AO2845" s="1596">
        <v>285.0</v>
      </c>
      <c r="AP2845" s="2265">
        <v>0.283</v>
      </c>
      <c r="AQ2845" s="1592" t="s">
        <v>361</v>
      </c>
      <c r="AR2845" s="2262" t="s">
        <v>16708</v>
      </c>
      <c r="AS2845" s="2265">
        <v>0.001</v>
      </c>
      <c r="AT2845" s="1592" t="s">
        <v>135</v>
      </c>
      <c r="AU2845" s="1592" t="s">
        <v>186</v>
      </c>
      <c r="AV2845" s="1592" t="s">
        <v>137</v>
      </c>
      <c r="AW2845" s="1592" t="s">
        <v>138</v>
      </c>
      <c r="AX2845" s="1592" t="s">
        <v>143</v>
      </c>
      <c r="AY2845" s="1321" t="str">
        <f>IFERROR(__xludf.DUMMYFUNCTION("vlookup(BB2845,importrange(""https://docs.google.com/spreadsheets/d/1d2vevQ_7D_v35q4wCQ4RpQ_IPoTwEMB9Yp6ymwlPqew/edit?gid=984458430#gid=984458430"", ""'replication success'!A:K""), 11, FAlSE)"),"#N/A")</f>
        <v>#N/A</v>
      </c>
      <c r="AZ2845" s="1321" t="str">
        <f>IFERROR(__xludf.DUMMYFUNCTION("vlookup(BB2845,importrange(""https://docs.google.com/spreadsheets/d/1d2vevQ_7D_v35q4wCQ4RpQ_IPoTwEMB9Yp6ymwlPqew/edit?gid=984458430#gid=984458430"", ""'replication success'!A:M""), 12, FAlSE)"),"#N/A")</f>
        <v>#N/A</v>
      </c>
      <c r="BA2845" s="1321" t="str">
        <f>IFERROR(__xludf.DUMMYFUNCTION("vlookup(BB2845,importrange(""https://docs.google.com/spreadsheets/d/1d2vevQ_7D_v35q4wCQ4RpQ_IPoTwEMB9Yp6ymwlPqew/edit?gid=984458430#gid=984458430"", ""'replication success'!A:M""), 13, FAlSE)"),"#N/A")</f>
        <v>#N/A</v>
      </c>
      <c r="BB2845" s="1321" t="str">
        <f>IFERROR(__xludf.DUMMYFUNCTION("REGEXREPLACE(G2845, ""_[a-z]{1,2}$"", """")"),"add_ai60_s2")</f>
        <v>add_ai60_s2</v>
      </c>
      <c r="BC2845" s="1572"/>
      <c r="BD2845" s="1588" t="s">
        <v>13264</v>
      </c>
      <c r="BE2845" s="342"/>
      <c r="BF2845" s="342"/>
      <c r="BG2845" s="342"/>
      <c r="BH2845" s="342"/>
      <c r="BI2845" s="342"/>
      <c r="BJ2845" s="342"/>
      <c r="BK2845" s="342"/>
      <c r="BL2845" s="342"/>
      <c r="BM2845" s="342"/>
      <c r="BN2845" s="342"/>
      <c r="BO2845" s="342"/>
      <c r="BP2845" s="342"/>
      <c r="BQ2845" s="342"/>
      <c r="BR2845" s="342"/>
      <c r="BS2845" s="342"/>
      <c r="BT2845" s="342"/>
      <c r="BU2845" s="342"/>
      <c r="BV2845" s="342"/>
      <c r="BW2845" s="342"/>
      <c r="BX2845" s="342"/>
      <c r="BY2845" s="342"/>
      <c r="BZ2845" s="342"/>
      <c r="CA2845" s="342"/>
      <c r="CB2845" s="342"/>
      <c r="CC2845" s="342"/>
      <c r="CD2845" s="342"/>
      <c r="CE2845" s="342"/>
      <c r="CF2845" s="342"/>
      <c r="CG2845" s="342"/>
      <c r="CH2845" s="342"/>
      <c r="CI2845" s="342"/>
      <c r="CJ2845" s="342"/>
      <c r="CK2845" s="342"/>
      <c r="CL2845" s="342"/>
      <c r="CM2845" s="342"/>
      <c r="CN2845" s="342"/>
      <c r="CO2845" s="342"/>
      <c r="CP2845" s="342"/>
      <c r="CQ2845" s="342"/>
      <c r="CR2845" s="342"/>
      <c r="CS2845" s="342"/>
      <c r="CT2845" s="342"/>
      <c r="CU2845" s="342"/>
      <c r="CV2845" s="342"/>
      <c r="CW2845" s="342"/>
      <c r="CX2845" s="342"/>
      <c r="CY2845" s="342"/>
      <c r="CZ2845" s="342"/>
      <c r="DA2845" s="342"/>
      <c r="DB2845" s="342"/>
      <c r="DC2845" s="342"/>
      <c r="DD2845" s="342"/>
      <c r="DE2845" s="342"/>
      <c r="DF2845" s="342"/>
      <c r="DG2845" s="342"/>
      <c r="DH2845" s="342"/>
      <c r="DI2845" s="342"/>
      <c r="DJ2845" s="342"/>
      <c r="DK2845" s="342"/>
      <c r="DL2845" s="342"/>
    </row>
    <row r="2846">
      <c r="A2846" s="44">
        <v>3099.0</v>
      </c>
      <c r="B2846" s="1322" t="s">
        <v>152</v>
      </c>
      <c r="C2846" s="1588" t="s">
        <v>115</v>
      </c>
      <c r="D2846" s="1588" t="s">
        <v>153</v>
      </c>
      <c r="E2846" s="1572"/>
      <c r="F2846" s="1600" t="s">
        <v>16459</v>
      </c>
      <c r="G2846" s="1592" t="s">
        <v>16709</v>
      </c>
      <c r="H2846" s="1600" t="s">
        <v>15921</v>
      </c>
      <c r="I2846" s="2229">
        <v>45821.0</v>
      </c>
      <c r="J2846" s="2230">
        <v>45847.0</v>
      </c>
      <c r="K2846" s="1592" t="s">
        <v>16483</v>
      </c>
      <c r="L2846" s="1313"/>
      <c r="M2846" s="1592" t="s">
        <v>16462</v>
      </c>
      <c r="N2846" s="1592" t="s">
        <v>16463</v>
      </c>
      <c r="O2846" s="1313"/>
      <c r="P2846" s="1592" t="s">
        <v>16464</v>
      </c>
      <c r="Q2846" s="2331" t="s">
        <v>16465</v>
      </c>
      <c r="R2846" s="1592" t="s">
        <v>16496</v>
      </c>
      <c r="S2846" s="1592" t="s">
        <v>16467</v>
      </c>
      <c r="T2846" s="1313"/>
      <c r="U2846" s="1313"/>
      <c r="V2846" s="1592" t="s">
        <v>16468</v>
      </c>
      <c r="W2846" s="1313"/>
      <c r="X2846" s="2233" t="str">
        <f t="array" ref="X2846"> if(iserror(MATCH(V2846, 'File Links'!C:C, 0)), "N/A", HYPERLINK(INDEX('File Links'!B:B, MATCH(V2846, 'File Links'!C:C, 0))))</f>
        <v>https://drive.google.com/file/d/16V6fX6zed8MKZ53zcmG18UMG8cS5fmS4/view?usp=drivesdk</v>
      </c>
      <c r="Y2846" s="1313"/>
      <c r="Z2846" s="1592" t="s">
        <v>1679</v>
      </c>
      <c r="AA2846" s="1600" t="s">
        <v>16476</v>
      </c>
      <c r="AB2846" s="1592" t="s">
        <v>16477</v>
      </c>
      <c r="AC2846" s="1600" t="s">
        <v>16710</v>
      </c>
      <c r="AD2846" s="1592" t="s">
        <v>16486</v>
      </c>
      <c r="AE2846" s="2265">
        <v>7.0</v>
      </c>
      <c r="AF2846" s="2342">
        <f>485*0.13</f>
        <v>63.05</v>
      </c>
      <c r="AG2846" s="2265">
        <v>0.351</v>
      </c>
      <c r="AH2846" s="1592" t="s">
        <v>361</v>
      </c>
      <c r="AI2846" s="2341" t="s">
        <v>16711</v>
      </c>
      <c r="AJ2846" s="2265">
        <v>0.0768</v>
      </c>
      <c r="AK2846" s="1592" t="s">
        <v>172</v>
      </c>
      <c r="AL2846" s="1592" t="s">
        <v>186</v>
      </c>
      <c r="AM2846" s="1592" t="s">
        <v>137</v>
      </c>
      <c r="AN2846" s="1592" t="s">
        <v>138</v>
      </c>
      <c r="AO2846" s="1596">
        <v>285.0</v>
      </c>
      <c r="AP2846" s="2265">
        <v>0.106</v>
      </c>
      <c r="AQ2846" s="1592" t="s">
        <v>361</v>
      </c>
      <c r="AR2846" s="2262" t="s">
        <v>16712</v>
      </c>
      <c r="AS2846" s="1596">
        <v>0.05</v>
      </c>
      <c r="AT2846" s="1592" t="s">
        <v>335</v>
      </c>
      <c r="AU2846" s="1592" t="s">
        <v>186</v>
      </c>
      <c r="AV2846" s="1592" t="s">
        <v>137</v>
      </c>
      <c r="AW2846" s="1592" t="s">
        <v>138</v>
      </c>
      <c r="AX2846" s="1592" t="s">
        <v>143</v>
      </c>
      <c r="AY2846" s="1321" t="str">
        <f>IFERROR(__xludf.DUMMYFUNCTION("vlookup(BB2846,importrange(""https://docs.google.com/spreadsheets/d/1d2vevQ_7D_v35q4wCQ4RpQ_IPoTwEMB9Yp6ymwlPqew/edit?gid=984458430#gid=984458430"", ""'replication success'!A:K""), 11, FAlSE)"),"#N/A")</f>
        <v>#N/A</v>
      </c>
      <c r="AZ2846" s="1321" t="str">
        <f>IFERROR(__xludf.DUMMYFUNCTION("vlookup(BB2846,importrange(""https://docs.google.com/spreadsheets/d/1d2vevQ_7D_v35q4wCQ4RpQ_IPoTwEMB9Yp6ymwlPqew/edit?gid=984458430#gid=984458430"", ""'replication success'!A:M""), 12, FAlSE)"),"#N/A")</f>
        <v>#N/A</v>
      </c>
      <c r="BA2846" s="1321" t="str">
        <f>IFERROR(__xludf.DUMMYFUNCTION("vlookup(BB2846,importrange(""https://docs.google.com/spreadsheets/d/1d2vevQ_7D_v35q4wCQ4RpQ_IPoTwEMB9Yp6ymwlPqew/edit?gid=984458430#gid=984458430"", ""'replication success'!A:M""), 13, FAlSE)"),"#N/A")</f>
        <v>#N/A</v>
      </c>
      <c r="BB2846" s="1321" t="str">
        <f>IFERROR(__xludf.DUMMYFUNCTION("REGEXREPLACE(G2846, ""_[a-z]{1,2}$"", """")"),"add_ai60_s3")</f>
        <v>add_ai60_s3</v>
      </c>
      <c r="BC2846" s="1572"/>
      <c r="BD2846" s="1588" t="s">
        <v>13264</v>
      </c>
      <c r="BE2846" s="342"/>
      <c r="BF2846" s="342"/>
      <c r="BG2846" s="342"/>
      <c r="BH2846" s="342"/>
      <c r="BI2846" s="342"/>
      <c r="BJ2846" s="342"/>
      <c r="BK2846" s="342"/>
      <c r="BL2846" s="342"/>
      <c r="BM2846" s="342"/>
      <c r="BN2846" s="342"/>
      <c r="BO2846" s="342"/>
      <c r="BP2846" s="342"/>
      <c r="BQ2846" s="342"/>
      <c r="BR2846" s="342"/>
      <c r="BS2846" s="342"/>
      <c r="BT2846" s="342"/>
      <c r="BU2846" s="342"/>
      <c r="BV2846" s="342"/>
      <c r="BW2846" s="342"/>
      <c r="BX2846" s="342"/>
      <c r="BY2846" s="342"/>
      <c r="BZ2846" s="342"/>
      <c r="CA2846" s="342"/>
      <c r="CB2846" s="342"/>
      <c r="CC2846" s="342"/>
      <c r="CD2846" s="342"/>
      <c r="CE2846" s="342"/>
      <c r="CF2846" s="342"/>
      <c r="CG2846" s="342"/>
      <c r="CH2846" s="342"/>
      <c r="CI2846" s="342"/>
      <c r="CJ2846" s="342"/>
      <c r="CK2846" s="342"/>
      <c r="CL2846" s="342"/>
      <c r="CM2846" s="342"/>
      <c r="CN2846" s="342"/>
      <c r="CO2846" s="342"/>
      <c r="CP2846" s="342"/>
      <c r="CQ2846" s="342"/>
      <c r="CR2846" s="342"/>
      <c r="CS2846" s="342"/>
      <c r="CT2846" s="342"/>
      <c r="CU2846" s="342"/>
      <c r="CV2846" s="342"/>
      <c r="CW2846" s="342"/>
      <c r="CX2846" s="342"/>
      <c r="CY2846" s="342"/>
      <c r="CZ2846" s="342"/>
      <c r="DA2846" s="342"/>
      <c r="DB2846" s="342"/>
      <c r="DC2846" s="342"/>
      <c r="DD2846" s="342"/>
      <c r="DE2846" s="342"/>
      <c r="DF2846" s="342"/>
      <c r="DG2846" s="342"/>
      <c r="DH2846" s="342"/>
      <c r="DI2846" s="342"/>
      <c r="DJ2846" s="342"/>
      <c r="DK2846" s="342"/>
      <c r="DL2846" s="342"/>
    </row>
    <row r="2847">
      <c r="A2847" s="44">
        <v>3048.0</v>
      </c>
      <c r="B2847" s="1322" t="s">
        <v>152</v>
      </c>
      <c r="C2847" s="1588" t="s">
        <v>115</v>
      </c>
      <c r="D2847" s="1588" t="s">
        <v>153</v>
      </c>
      <c r="E2847" s="1572"/>
      <c r="F2847" s="1600" t="s">
        <v>16459</v>
      </c>
      <c r="G2847" s="1592" t="s">
        <v>16713</v>
      </c>
      <c r="H2847" s="1600" t="s">
        <v>15921</v>
      </c>
      <c r="I2847" s="2229">
        <v>45821.0</v>
      </c>
      <c r="J2847" s="2230">
        <v>45847.0</v>
      </c>
      <c r="K2847" s="1592" t="s">
        <v>16474</v>
      </c>
      <c r="L2847" s="1313"/>
      <c r="M2847" s="1592" t="s">
        <v>16462</v>
      </c>
      <c r="N2847" s="1592" t="s">
        <v>16463</v>
      </c>
      <c r="O2847" s="1313"/>
      <c r="P2847" s="1592" t="s">
        <v>16464</v>
      </c>
      <c r="Q2847" s="2327" t="s">
        <v>16465</v>
      </c>
      <c r="R2847" s="1592" t="s">
        <v>16496</v>
      </c>
      <c r="S2847" s="1592" t="s">
        <v>16467</v>
      </c>
      <c r="T2847" s="1313"/>
      <c r="U2847" s="1313"/>
      <c r="V2847" s="1592" t="s">
        <v>16468</v>
      </c>
      <c r="W2847" s="1313"/>
      <c r="X2847" s="2233" t="str">
        <f t="array" ref="X2847"> if(iserror(MATCH(V2847, 'File Links'!C:C, 0)), "N/A", HYPERLINK(INDEX('File Links'!B:B, MATCH(V2847, 'File Links'!C:C, 0))))</f>
        <v>https://drive.google.com/file/d/16V6fX6zed8MKZ53zcmG18UMG8cS5fmS4/view?usp=drivesdk</v>
      </c>
      <c r="Y2847" s="1313"/>
      <c r="Z2847" s="1592" t="s">
        <v>1679</v>
      </c>
      <c r="AA2847" s="1600" t="s">
        <v>16476</v>
      </c>
      <c r="AB2847" s="1592" t="s">
        <v>16477</v>
      </c>
      <c r="AC2847" s="2262" t="s">
        <v>16714</v>
      </c>
      <c r="AD2847" s="1600" t="s">
        <v>16654</v>
      </c>
      <c r="AE2847" s="2265">
        <v>7.0</v>
      </c>
      <c r="AF2847" s="1596">
        <v>485.0</v>
      </c>
      <c r="AG2847" s="2265">
        <v>0.176</v>
      </c>
      <c r="AH2847" s="1592" t="s">
        <v>16492</v>
      </c>
      <c r="AI2847" s="2341" t="s">
        <v>16715</v>
      </c>
      <c r="AJ2847" s="1324" t="s">
        <v>138</v>
      </c>
      <c r="AK2847" s="1324" t="s">
        <v>138</v>
      </c>
      <c r="AL2847" s="1592" t="s">
        <v>186</v>
      </c>
      <c r="AM2847" s="1592" t="s">
        <v>137</v>
      </c>
      <c r="AN2847" s="1324" t="s">
        <v>138</v>
      </c>
      <c r="AO2847" s="1596">
        <v>285.0</v>
      </c>
      <c r="AP2847" s="2265">
        <v>0.057</v>
      </c>
      <c r="AQ2847" s="1592" t="s">
        <v>16492</v>
      </c>
      <c r="AR2847" s="2262" t="s">
        <v>16716</v>
      </c>
      <c r="AS2847" s="1592" t="s">
        <v>138</v>
      </c>
      <c r="AT2847" s="2337" t="s">
        <v>138</v>
      </c>
      <c r="AU2847" s="1592" t="s">
        <v>186</v>
      </c>
      <c r="AV2847" s="1592" t="s">
        <v>137</v>
      </c>
      <c r="AW2847" s="1592" t="s">
        <v>138</v>
      </c>
      <c r="AX2847" s="1592" t="s">
        <v>143</v>
      </c>
      <c r="AY2847" s="1321" t="str">
        <f>IFERROR(__xludf.DUMMYFUNCTION("vlookup(BB2847,importrange(""https://docs.google.com/spreadsheets/d/1d2vevQ_7D_v35q4wCQ4RpQ_IPoTwEMB9Yp6ymwlPqew/edit?gid=984458430#gid=984458430"", ""'replication success'!A:K""), 11, FAlSE)"),"#N/A")</f>
        <v>#N/A</v>
      </c>
      <c r="AZ2847" s="1321" t="str">
        <f>IFERROR(__xludf.DUMMYFUNCTION("vlookup(BB2847,importrange(""https://docs.google.com/spreadsheets/d/1d2vevQ_7D_v35q4wCQ4RpQ_IPoTwEMB9Yp6ymwlPqew/edit?gid=984458430#gid=984458430"", ""'replication success'!A:M""), 12, FAlSE)"),"#N/A")</f>
        <v>#N/A</v>
      </c>
      <c r="BA2847" s="1321" t="str">
        <f>IFERROR(__xludf.DUMMYFUNCTION("vlookup(BB2847,importrange(""https://docs.google.com/spreadsheets/d/1d2vevQ_7D_v35q4wCQ4RpQ_IPoTwEMB9Yp6ymwlPqew/edit?gid=984458430#gid=984458430"", ""'replication success'!A:M""), 13, FAlSE)"),"#N/A")</f>
        <v>#N/A</v>
      </c>
      <c r="BB2847" s="1321" t="str">
        <f>IFERROR(__xludf.DUMMYFUNCTION("REGEXREPLACE(G2847, ""_[a-z]{1,2}$"", """")"),"add_ai60")</f>
        <v>add_ai60</v>
      </c>
      <c r="BC2847" s="1572"/>
      <c r="BD2847" s="1588" t="s">
        <v>13264</v>
      </c>
      <c r="BE2847" s="342"/>
      <c r="BF2847" s="342"/>
      <c r="BG2847" s="342"/>
      <c r="BH2847" s="342"/>
      <c r="BI2847" s="342"/>
      <c r="BJ2847" s="342"/>
      <c r="BK2847" s="342"/>
      <c r="BL2847" s="342"/>
      <c r="BM2847" s="342"/>
      <c r="BN2847" s="342"/>
      <c r="BO2847" s="342"/>
      <c r="BP2847" s="342"/>
      <c r="BQ2847" s="342"/>
      <c r="BR2847" s="342"/>
      <c r="BS2847" s="342"/>
      <c r="BT2847" s="342"/>
      <c r="BU2847" s="342"/>
      <c r="BV2847" s="342"/>
      <c r="BW2847" s="342"/>
      <c r="BX2847" s="342"/>
      <c r="BY2847" s="342"/>
      <c r="BZ2847" s="342"/>
      <c r="CA2847" s="342"/>
      <c r="CB2847" s="342"/>
      <c r="CC2847" s="342"/>
      <c r="CD2847" s="342"/>
      <c r="CE2847" s="342"/>
      <c r="CF2847" s="342"/>
      <c r="CG2847" s="342"/>
      <c r="CH2847" s="342"/>
      <c r="CI2847" s="342"/>
      <c r="CJ2847" s="342"/>
      <c r="CK2847" s="342"/>
      <c r="CL2847" s="342"/>
      <c r="CM2847" s="342"/>
      <c r="CN2847" s="342"/>
      <c r="CO2847" s="342"/>
      <c r="CP2847" s="342"/>
      <c r="CQ2847" s="342"/>
      <c r="CR2847" s="342"/>
      <c r="CS2847" s="342"/>
      <c r="CT2847" s="342"/>
      <c r="CU2847" s="342"/>
      <c r="CV2847" s="342"/>
      <c r="CW2847" s="342"/>
      <c r="CX2847" s="342"/>
      <c r="CY2847" s="342"/>
      <c r="CZ2847" s="342"/>
      <c r="DA2847" s="342"/>
      <c r="DB2847" s="342"/>
      <c r="DC2847" s="342"/>
      <c r="DD2847" s="342"/>
      <c r="DE2847" s="342"/>
      <c r="DF2847" s="342"/>
      <c r="DG2847" s="342"/>
      <c r="DH2847" s="342"/>
      <c r="DI2847" s="342"/>
      <c r="DJ2847" s="342"/>
      <c r="DK2847" s="342"/>
      <c r="DL2847" s="342"/>
    </row>
    <row r="2848">
      <c r="A2848" s="44">
        <v>3074.0</v>
      </c>
      <c r="B2848" s="1322" t="s">
        <v>114</v>
      </c>
      <c r="C2848" s="1588" t="s">
        <v>115</v>
      </c>
      <c r="D2848" s="1588" t="s">
        <v>153</v>
      </c>
      <c r="E2848" s="1572"/>
      <c r="F2848" s="1600" t="s">
        <v>16459</v>
      </c>
      <c r="G2848" s="1592" t="s">
        <v>16717</v>
      </c>
      <c r="H2848" s="1600" t="s">
        <v>15921</v>
      </c>
      <c r="I2848" s="2229">
        <v>45821.0</v>
      </c>
      <c r="J2848" s="2230">
        <v>45847.0</v>
      </c>
      <c r="K2848" s="1592" t="s">
        <v>16483</v>
      </c>
      <c r="L2848" s="1322" t="s">
        <v>16718</v>
      </c>
      <c r="M2848" s="1592" t="s">
        <v>16462</v>
      </c>
      <c r="N2848" s="1592" t="s">
        <v>16463</v>
      </c>
      <c r="O2848" s="1313"/>
      <c r="P2848" s="1592" t="s">
        <v>16464</v>
      </c>
      <c r="Q2848" s="2331" t="s">
        <v>16465</v>
      </c>
      <c r="R2848" s="1592" t="s">
        <v>16496</v>
      </c>
      <c r="S2848" s="1592" t="s">
        <v>16467</v>
      </c>
      <c r="T2848" s="1313"/>
      <c r="U2848" s="1313"/>
      <c r="V2848" s="1592" t="s">
        <v>16468</v>
      </c>
      <c r="W2848" s="1313"/>
      <c r="X2848" s="2233" t="str">
        <f t="array" ref="X2848"> if(iserror(MATCH(V2848, 'File Links'!C:C, 0)), "N/A", HYPERLINK(INDEX('File Links'!B:B, MATCH(V2848, 'File Links'!C:C, 0))))</f>
        <v>https://drive.google.com/file/d/16V6fX6zed8MKZ53zcmG18UMG8cS5fmS4/view?usp=drivesdk</v>
      </c>
      <c r="Y2848" s="1313"/>
      <c r="Z2848" s="1592" t="s">
        <v>1679</v>
      </c>
      <c r="AA2848" s="1600" t="s">
        <v>16476</v>
      </c>
      <c r="AB2848" s="1592" t="s">
        <v>16477</v>
      </c>
      <c r="AC2848" s="1600" t="s">
        <v>16719</v>
      </c>
      <c r="AD2848" s="1592" t="s">
        <v>16486</v>
      </c>
      <c r="AE2848" s="2265">
        <v>7.0</v>
      </c>
      <c r="AF2848" s="2342">
        <f>485*0.26</f>
        <v>126.1</v>
      </c>
      <c r="AG2848" s="2259">
        <v>0.221</v>
      </c>
      <c r="AH2848" s="1592" t="s">
        <v>361</v>
      </c>
      <c r="AI2848" s="2341" t="s">
        <v>16720</v>
      </c>
      <c r="AJ2848" s="2258">
        <v>0.0106</v>
      </c>
      <c r="AK2848" s="1313"/>
      <c r="AL2848" s="1592" t="s">
        <v>186</v>
      </c>
      <c r="AM2848" s="1592" t="s">
        <v>137</v>
      </c>
      <c r="AN2848" s="1592" t="s">
        <v>138</v>
      </c>
      <c r="AO2848" s="1596">
        <v>285.0</v>
      </c>
      <c r="AP2848" s="1596">
        <v>0.236</v>
      </c>
      <c r="AQ2848" s="1592" t="s">
        <v>361</v>
      </c>
      <c r="AR2848" s="2262" t="s">
        <v>16721</v>
      </c>
      <c r="AS2848" s="1596">
        <v>0.001</v>
      </c>
      <c r="AT2848" s="1592" t="s">
        <v>135</v>
      </c>
      <c r="AU2848" s="1592" t="s">
        <v>186</v>
      </c>
      <c r="AV2848" s="1592" t="s">
        <v>137</v>
      </c>
      <c r="AW2848" s="1592" t="s">
        <v>138</v>
      </c>
      <c r="AX2848" s="1592" t="s">
        <v>143</v>
      </c>
      <c r="AY2848" s="1321" t="str">
        <f>IFERROR(__xludf.DUMMYFUNCTION("vlookup(BB2848,importrange(""https://docs.google.com/spreadsheets/d/1d2vevQ_7D_v35q4wCQ4RpQ_IPoTwEMB9Yp6ymwlPqew/edit?gid=984458430#gid=984458430"", ""'replication success'!A:K""), 11, FAlSE)"),"#N/A")</f>
        <v>#N/A</v>
      </c>
      <c r="AZ2848" s="1321" t="str">
        <f>IFERROR(__xludf.DUMMYFUNCTION("vlookup(BB2848,importrange(""https://docs.google.com/spreadsheets/d/1d2vevQ_7D_v35q4wCQ4RpQ_IPoTwEMB9Yp6ymwlPqew/edit?gid=984458430#gid=984458430"", ""'replication success'!A:M""), 12, FAlSE)"),"#N/A")</f>
        <v>#N/A</v>
      </c>
      <c r="BA2848" s="1321" t="str">
        <f>IFERROR(__xludf.DUMMYFUNCTION("vlookup(BB2848,importrange(""https://docs.google.com/spreadsheets/d/1d2vevQ_7D_v35q4wCQ4RpQ_IPoTwEMB9Yp6ymwlPqew/edit?gid=984458430#gid=984458430"", ""'replication success'!A:M""), 13, FAlSE)"),"#N/A")</f>
        <v>#N/A</v>
      </c>
      <c r="BB2848" s="1321" t="str">
        <f>IFERROR(__xludf.DUMMYFUNCTION("REGEXREPLACE(G2848, ""_[a-z]{1,2}$"", """")"),"add_ai60_t2")</f>
        <v>add_ai60_t2</v>
      </c>
      <c r="BC2848" s="1572"/>
      <c r="BD2848" s="1588" t="s">
        <v>13264</v>
      </c>
      <c r="BE2848" s="342"/>
      <c r="BF2848" s="342"/>
      <c r="BG2848" s="342"/>
      <c r="BH2848" s="342"/>
      <c r="BI2848" s="342"/>
      <c r="BJ2848" s="342"/>
      <c r="BK2848" s="342"/>
      <c r="BL2848" s="342"/>
      <c r="BM2848" s="342"/>
      <c r="BN2848" s="342"/>
      <c r="BO2848" s="342"/>
      <c r="BP2848" s="342"/>
      <c r="BQ2848" s="342"/>
      <c r="BR2848" s="342"/>
      <c r="BS2848" s="342"/>
      <c r="BT2848" s="342"/>
      <c r="BU2848" s="342"/>
      <c r="BV2848" s="342"/>
      <c r="BW2848" s="342"/>
      <c r="BX2848" s="342"/>
      <c r="BY2848" s="342"/>
      <c r="BZ2848" s="342"/>
      <c r="CA2848" s="342"/>
      <c r="CB2848" s="342"/>
      <c r="CC2848" s="342"/>
      <c r="CD2848" s="342"/>
      <c r="CE2848" s="342"/>
      <c r="CF2848" s="342"/>
      <c r="CG2848" s="342"/>
      <c r="CH2848" s="342"/>
      <c r="CI2848" s="342"/>
      <c r="CJ2848" s="342"/>
      <c r="CK2848" s="342"/>
      <c r="CL2848" s="342"/>
      <c r="CM2848" s="342"/>
      <c r="CN2848" s="342"/>
      <c r="CO2848" s="342"/>
      <c r="CP2848" s="342"/>
      <c r="CQ2848" s="342"/>
      <c r="CR2848" s="342"/>
      <c r="CS2848" s="342"/>
      <c r="CT2848" s="342"/>
      <c r="CU2848" s="342"/>
      <c r="CV2848" s="342"/>
      <c r="CW2848" s="342"/>
      <c r="CX2848" s="342"/>
      <c r="CY2848" s="342"/>
      <c r="CZ2848" s="342"/>
      <c r="DA2848" s="342"/>
      <c r="DB2848" s="342"/>
      <c r="DC2848" s="342"/>
      <c r="DD2848" s="342"/>
      <c r="DE2848" s="342"/>
      <c r="DF2848" s="342"/>
      <c r="DG2848" s="342"/>
      <c r="DH2848" s="342"/>
      <c r="DI2848" s="342"/>
      <c r="DJ2848" s="342"/>
      <c r="DK2848" s="342"/>
      <c r="DL2848" s="342"/>
    </row>
    <row r="2849">
      <c r="A2849" s="44">
        <v>3100.0</v>
      </c>
      <c r="B2849" s="1322" t="s">
        <v>152</v>
      </c>
      <c r="C2849" s="1588" t="s">
        <v>115</v>
      </c>
      <c r="D2849" s="1588" t="s">
        <v>153</v>
      </c>
      <c r="E2849" s="1572"/>
      <c r="F2849" s="1600" t="s">
        <v>16459</v>
      </c>
      <c r="G2849" s="1592" t="s">
        <v>16722</v>
      </c>
      <c r="H2849" s="1600" t="s">
        <v>15921</v>
      </c>
      <c r="I2849" s="2229">
        <v>45821.0</v>
      </c>
      <c r="J2849" s="2230">
        <v>45847.0</v>
      </c>
      <c r="K2849" s="1592" t="s">
        <v>16483</v>
      </c>
      <c r="L2849" s="1313"/>
      <c r="M2849" s="1592" t="s">
        <v>16462</v>
      </c>
      <c r="N2849" s="1592" t="s">
        <v>16463</v>
      </c>
      <c r="O2849" s="1313"/>
      <c r="P2849" s="1592" t="s">
        <v>16464</v>
      </c>
      <c r="Q2849" s="2331" t="s">
        <v>16465</v>
      </c>
      <c r="R2849" s="1592" t="s">
        <v>16496</v>
      </c>
      <c r="S2849" s="1592" t="s">
        <v>16467</v>
      </c>
      <c r="T2849" s="1313"/>
      <c r="U2849" s="1313"/>
      <c r="V2849" s="1592" t="s">
        <v>16468</v>
      </c>
      <c r="W2849" s="1313"/>
      <c r="X2849" s="2233" t="str">
        <f t="array" ref="X2849"> if(iserror(MATCH(V2849, 'File Links'!C:C, 0)), "N/A", HYPERLINK(INDEX('File Links'!B:B, MATCH(V2849, 'File Links'!C:C, 0))))</f>
        <v>https://drive.google.com/file/d/16V6fX6zed8MKZ53zcmG18UMG8cS5fmS4/view?usp=drivesdk</v>
      </c>
      <c r="Y2849" s="1313"/>
      <c r="Z2849" s="1592" t="s">
        <v>1679</v>
      </c>
      <c r="AA2849" s="1600" t="s">
        <v>16476</v>
      </c>
      <c r="AB2849" s="1592" t="s">
        <v>16477</v>
      </c>
      <c r="AC2849" s="2262" t="s">
        <v>16723</v>
      </c>
      <c r="AD2849" s="1592" t="s">
        <v>16486</v>
      </c>
      <c r="AE2849" s="2265">
        <v>7.0</v>
      </c>
      <c r="AF2849" s="2342">
        <f>485*0.13</f>
        <v>63.05</v>
      </c>
      <c r="AG2849" s="2265">
        <v>0.413</v>
      </c>
      <c r="AH2849" s="1592" t="s">
        <v>16492</v>
      </c>
      <c r="AI2849" s="2341" t="s">
        <v>16724</v>
      </c>
      <c r="AJ2849" s="1324" t="s">
        <v>138</v>
      </c>
      <c r="AK2849" s="1324" t="s">
        <v>138</v>
      </c>
      <c r="AL2849" s="1592" t="s">
        <v>186</v>
      </c>
      <c r="AM2849" s="1592" t="s">
        <v>137</v>
      </c>
      <c r="AN2849" s="1592" t="s">
        <v>138</v>
      </c>
      <c r="AO2849" s="1596">
        <v>285.0</v>
      </c>
      <c r="AP2849" s="2265">
        <v>0.02</v>
      </c>
      <c r="AQ2849" s="1592" t="s">
        <v>16492</v>
      </c>
      <c r="AR2849" s="2262" t="s">
        <v>16725</v>
      </c>
      <c r="AS2849" s="1592" t="s">
        <v>138</v>
      </c>
      <c r="AT2849" s="2337" t="s">
        <v>138</v>
      </c>
      <c r="AU2849" s="1592" t="s">
        <v>186</v>
      </c>
      <c r="AV2849" s="1592" t="s">
        <v>137</v>
      </c>
      <c r="AW2849" s="1592" t="s">
        <v>138</v>
      </c>
      <c r="AX2849" s="1592" t="s">
        <v>143</v>
      </c>
      <c r="AY2849" s="1321" t="str">
        <f>IFERROR(__xludf.DUMMYFUNCTION("vlookup(BB2849,importrange(""https://docs.google.com/spreadsheets/d/1d2vevQ_7D_v35q4wCQ4RpQ_IPoTwEMB9Yp6ymwlPqew/edit?gid=984458430#gid=984458430"", ""'replication success'!A:K""), 11, FAlSE)"),"#N/A")</f>
        <v>#N/A</v>
      </c>
      <c r="AZ2849" s="1321" t="str">
        <f>IFERROR(__xludf.DUMMYFUNCTION("vlookup(BB2849,importrange(""https://docs.google.com/spreadsheets/d/1d2vevQ_7D_v35q4wCQ4RpQ_IPoTwEMB9Yp6ymwlPqew/edit?gid=984458430#gid=984458430"", ""'replication success'!A:M""), 12, FAlSE)"),"#N/A")</f>
        <v>#N/A</v>
      </c>
      <c r="BA2849" s="1321" t="str">
        <f>IFERROR(__xludf.DUMMYFUNCTION("vlookup(BB2849,importrange(""https://docs.google.com/spreadsheets/d/1d2vevQ_7D_v35q4wCQ4RpQ_IPoTwEMB9Yp6ymwlPqew/edit?gid=984458430#gid=984458430"", ""'replication success'!A:M""), 13, FAlSE)"),"#N/A")</f>
        <v>#N/A</v>
      </c>
      <c r="BB2849" s="1321" t="str">
        <f>IFERROR(__xludf.DUMMYFUNCTION("REGEXREPLACE(G2849, ""_[a-z]{1,2}$"", """")"),"add_ai60_t3")</f>
        <v>add_ai60_t3</v>
      </c>
      <c r="BC2849" s="1572"/>
      <c r="BD2849" s="1588" t="s">
        <v>13264</v>
      </c>
      <c r="BE2849" s="342"/>
      <c r="BF2849" s="342"/>
      <c r="BG2849" s="342"/>
      <c r="BH2849" s="342"/>
      <c r="BI2849" s="342"/>
      <c r="BJ2849" s="342"/>
      <c r="BK2849" s="342"/>
      <c r="BL2849" s="342"/>
      <c r="BM2849" s="342"/>
      <c r="BN2849" s="342"/>
      <c r="BO2849" s="342"/>
      <c r="BP2849" s="342"/>
      <c r="BQ2849" s="342"/>
      <c r="BR2849" s="342"/>
      <c r="BS2849" s="342"/>
      <c r="BT2849" s="342"/>
      <c r="BU2849" s="342"/>
      <c r="BV2849" s="342"/>
      <c r="BW2849" s="342"/>
      <c r="BX2849" s="342"/>
      <c r="BY2849" s="342"/>
      <c r="BZ2849" s="342"/>
      <c r="CA2849" s="342"/>
      <c r="CB2849" s="342"/>
      <c r="CC2849" s="342"/>
      <c r="CD2849" s="342"/>
      <c r="CE2849" s="342"/>
      <c r="CF2849" s="342"/>
      <c r="CG2849" s="342"/>
      <c r="CH2849" s="342"/>
      <c r="CI2849" s="342"/>
      <c r="CJ2849" s="342"/>
      <c r="CK2849" s="342"/>
      <c r="CL2849" s="342"/>
      <c r="CM2849" s="342"/>
      <c r="CN2849" s="342"/>
      <c r="CO2849" s="342"/>
      <c r="CP2849" s="342"/>
      <c r="CQ2849" s="342"/>
      <c r="CR2849" s="342"/>
      <c r="CS2849" s="342"/>
      <c r="CT2849" s="342"/>
      <c r="CU2849" s="342"/>
      <c r="CV2849" s="342"/>
      <c r="CW2849" s="342"/>
      <c r="CX2849" s="342"/>
      <c r="CY2849" s="342"/>
      <c r="CZ2849" s="342"/>
      <c r="DA2849" s="342"/>
      <c r="DB2849" s="342"/>
      <c r="DC2849" s="342"/>
      <c r="DD2849" s="342"/>
      <c r="DE2849" s="342"/>
      <c r="DF2849" s="342"/>
      <c r="DG2849" s="342"/>
      <c r="DH2849" s="342"/>
      <c r="DI2849" s="342"/>
      <c r="DJ2849" s="342"/>
      <c r="DK2849" s="342"/>
      <c r="DL2849" s="342"/>
    </row>
    <row r="2850">
      <c r="A2850" s="44">
        <v>3049.0</v>
      </c>
      <c r="B2850" s="1322" t="s">
        <v>152</v>
      </c>
      <c r="C2850" s="1588" t="s">
        <v>115</v>
      </c>
      <c r="D2850" s="1588" t="s">
        <v>153</v>
      </c>
      <c r="E2850" s="1572"/>
      <c r="F2850" s="1600" t="s">
        <v>16459</v>
      </c>
      <c r="G2850" s="1592" t="s">
        <v>16726</v>
      </c>
      <c r="H2850" s="1600" t="s">
        <v>15921</v>
      </c>
      <c r="I2850" s="2229">
        <v>45821.0</v>
      </c>
      <c r="J2850" s="2230">
        <v>45847.0</v>
      </c>
      <c r="K2850" s="1592" t="s">
        <v>16474</v>
      </c>
      <c r="L2850" s="1313"/>
      <c r="M2850" s="1592" t="s">
        <v>16462</v>
      </c>
      <c r="N2850" s="1592" t="s">
        <v>16463</v>
      </c>
      <c r="O2850" s="1313"/>
      <c r="P2850" s="1592" t="s">
        <v>16464</v>
      </c>
      <c r="Q2850" s="2331" t="s">
        <v>16465</v>
      </c>
      <c r="R2850" s="1592" t="s">
        <v>16496</v>
      </c>
      <c r="S2850" s="1592" t="s">
        <v>16467</v>
      </c>
      <c r="T2850" s="1313"/>
      <c r="U2850" s="1313"/>
      <c r="V2850" s="1592" t="s">
        <v>16468</v>
      </c>
      <c r="W2850" s="1313"/>
      <c r="X2850" s="2233" t="str">
        <f t="array" ref="X2850"> if(iserror(MATCH(V2850, 'File Links'!C:C, 0)), "N/A", HYPERLINK(INDEX('File Links'!B:B, MATCH(V2850, 'File Links'!C:C, 0))))</f>
        <v>https://drive.google.com/file/d/16V6fX6zed8MKZ53zcmG18UMG8cS5fmS4/view?usp=drivesdk</v>
      </c>
      <c r="Y2850" s="1313"/>
      <c r="Z2850" s="1592" t="s">
        <v>1679</v>
      </c>
      <c r="AA2850" s="1600" t="s">
        <v>16476</v>
      </c>
      <c r="AB2850" s="1592" t="s">
        <v>16477</v>
      </c>
      <c r="AC2850" s="2262" t="s">
        <v>16727</v>
      </c>
      <c r="AD2850" s="1600" t="s">
        <v>16654</v>
      </c>
      <c r="AE2850" s="2265">
        <v>7.0</v>
      </c>
      <c r="AF2850" s="1596">
        <v>485.0</v>
      </c>
      <c r="AG2850" s="2265">
        <v>0.194</v>
      </c>
      <c r="AH2850" s="1592" t="s">
        <v>16492</v>
      </c>
      <c r="AI2850" s="2341" t="s">
        <v>16728</v>
      </c>
      <c r="AJ2850" s="1324" t="s">
        <v>138</v>
      </c>
      <c r="AK2850" s="1324" t="s">
        <v>138</v>
      </c>
      <c r="AL2850" s="1592" t="s">
        <v>186</v>
      </c>
      <c r="AM2850" s="1592" t="s">
        <v>137</v>
      </c>
      <c r="AN2850" s="1324" t="s">
        <v>138</v>
      </c>
      <c r="AO2850" s="1596">
        <v>285.0</v>
      </c>
      <c r="AP2850" s="2265">
        <v>0.037</v>
      </c>
      <c r="AQ2850" s="1592" t="s">
        <v>16492</v>
      </c>
      <c r="AR2850" s="2262" t="s">
        <v>16729</v>
      </c>
      <c r="AS2850" s="1592" t="s">
        <v>138</v>
      </c>
      <c r="AT2850" s="2337" t="s">
        <v>138</v>
      </c>
      <c r="AU2850" s="1592" t="s">
        <v>186</v>
      </c>
      <c r="AV2850" s="1592" t="s">
        <v>137</v>
      </c>
      <c r="AW2850" s="1592" t="s">
        <v>138</v>
      </c>
      <c r="AX2850" s="1592" t="s">
        <v>143</v>
      </c>
      <c r="AY2850" s="1321" t="str">
        <f>IFERROR(__xludf.DUMMYFUNCTION("vlookup(BB2850,importrange(""https://docs.google.com/spreadsheets/d/1d2vevQ_7D_v35q4wCQ4RpQ_IPoTwEMB9Yp6ymwlPqew/edit?gid=984458430#gid=984458430"", ""'replication success'!A:K""), 11, FAlSE)"),"#N/A")</f>
        <v>#N/A</v>
      </c>
      <c r="AZ2850" s="1321" t="str">
        <f>IFERROR(__xludf.DUMMYFUNCTION("vlookup(BB2850,importrange(""https://docs.google.com/spreadsheets/d/1d2vevQ_7D_v35q4wCQ4RpQ_IPoTwEMB9Yp6ymwlPqew/edit?gid=984458430#gid=984458430"", ""'replication success'!A:M""), 12, FAlSE)"),"#N/A")</f>
        <v>#N/A</v>
      </c>
      <c r="BA2850" s="1321" t="str">
        <f>IFERROR(__xludf.DUMMYFUNCTION("vlookup(BB2850,importrange(""https://docs.google.com/spreadsheets/d/1d2vevQ_7D_v35q4wCQ4RpQ_IPoTwEMB9Yp6ymwlPqew/edit?gid=984458430#gid=984458430"", ""'replication success'!A:M""), 13, FAlSE)"),"#N/A")</f>
        <v>#N/A</v>
      </c>
      <c r="BB2850" s="1321" t="str">
        <f>IFERROR(__xludf.DUMMYFUNCTION("REGEXREPLACE(G2850, ""_[a-z]{1,2}$"", """")"),"add_ai60")</f>
        <v>add_ai60</v>
      </c>
      <c r="BC2850" s="1572"/>
      <c r="BD2850" s="1588" t="s">
        <v>13264</v>
      </c>
      <c r="BE2850" s="342"/>
      <c r="BF2850" s="342"/>
      <c r="BG2850" s="342"/>
      <c r="BH2850" s="342"/>
      <c r="BI2850" s="342"/>
      <c r="BJ2850" s="342"/>
      <c r="BK2850" s="342"/>
      <c r="BL2850" s="342"/>
      <c r="BM2850" s="342"/>
      <c r="BN2850" s="342"/>
      <c r="BO2850" s="342"/>
      <c r="BP2850" s="342"/>
      <c r="BQ2850" s="342"/>
      <c r="BR2850" s="342"/>
      <c r="BS2850" s="342"/>
      <c r="BT2850" s="342"/>
      <c r="BU2850" s="342"/>
      <c r="BV2850" s="342"/>
      <c r="BW2850" s="342"/>
      <c r="BX2850" s="342"/>
      <c r="BY2850" s="342"/>
      <c r="BZ2850" s="342"/>
      <c r="CA2850" s="342"/>
      <c r="CB2850" s="342"/>
      <c r="CC2850" s="342"/>
      <c r="CD2850" s="342"/>
      <c r="CE2850" s="342"/>
      <c r="CF2850" s="342"/>
      <c r="CG2850" s="342"/>
      <c r="CH2850" s="342"/>
      <c r="CI2850" s="342"/>
      <c r="CJ2850" s="342"/>
      <c r="CK2850" s="342"/>
      <c r="CL2850" s="342"/>
      <c r="CM2850" s="342"/>
      <c r="CN2850" s="342"/>
      <c r="CO2850" s="342"/>
      <c r="CP2850" s="342"/>
      <c r="CQ2850" s="342"/>
      <c r="CR2850" s="342"/>
      <c r="CS2850" s="342"/>
      <c r="CT2850" s="342"/>
      <c r="CU2850" s="342"/>
      <c r="CV2850" s="342"/>
      <c r="CW2850" s="342"/>
      <c r="CX2850" s="342"/>
      <c r="CY2850" s="342"/>
      <c r="CZ2850" s="342"/>
      <c r="DA2850" s="342"/>
      <c r="DB2850" s="342"/>
      <c r="DC2850" s="342"/>
      <c r="DD2850" s="342"/>
      <c r="DE2850" s="342"/>
      <c r="DF2850" s="342"/>
      <c r="DG2850" s="342"/>
      <c r="DH2850" s="342"/>
      <c r="DI2850" s="342"/>
      <c r="DJ2850" s="342"/>
      <c r="DK2850" s="342"/>
      <c r="DL2850" s="342"/>
    </row>
    <row r="2851">
      <c r="A2851" s="44">
        <v>3075.0</v>
      </c>
      <c r="B2851" s="1322" t="s">
        <v>152</v>
      </c>
      <c r="C2851" s="1588" t="s">
        <v>115</v>
      </c>
      <c r="D2851" s="1588" t="s">
        <v>153</v>
      </c>
      <c r="E2851" s="1572"/>
      <c r="F2851" s="1600" t="s">
        <v>16459</v>
      </c>
      <c r="G2851" s="1592" t="s">
        <v>16730</v>
      </c>
      <c r="H2851" s="1600" t="s">
        <v>15921</v>
      </c>
      <c r="I2851" s="2229">
        <v>45821.0</v>
      </c>
      <c r="J2851" s="2230">
        <v>45847.0</v>
      </c>
      <c r="K2851" s="1592" t="s">
        <v>16483</v>
      </c>
      <c r="L2851" s="1313"/>
      <c r="M2851" s="1592" t="s">
        <v>16462</v>
      </c>
      <c r="N2851" s="1592" t="s">
        <v>16463</v>
      </c>
      <c r="O2851" s="1313"/>
      <c r="P2851" s="1592" t="s">
        <v>16464</v>
      </c>
      <c r="Q2851" s="2331" t="s">
        <v>16465</v>
      </c>
      <c r="R2851" s="1592" t="s">
        <v>16496</v>
      </c>
      <c r="S2851" s="1592" t="s">
        <v>16467</v>
      </c>
      <c r="T2851" s="1313"/>
      <c r="U2851" s="1313"/>
      <c r="V2851" s="1592" t="s">
        <v>16468</v>
      </c>
      <c r="W2851" s="1313"/>
      <c r="X2851" s="2233" t="str">
        <f t="array" ref="X2851"> if(iserror(MATCH(V2851, 'File Links'!C:C, 0)), "N/A", HYPERLINK(INDEX('File Links'!B:B, MATCH(V2851, 'File Links'!C:C, 0))))</f>
        <v>https://drive.google.com/file/d/16V6fX6zed8MKZ53zcmG18UMG8cS5fmS4/view?usp=drivesdk</v>
      </c>
      <c r="Y2851" s="1313"/>
      <c r="Z2851" s="1592" t="s">
        <v>1679</v>
      </c>
      <c r="AA2851" s="1600" t="s">
        <v>16476</v>
      </c>
      <c r="AB2851" s="1592" t="s">
        <v>16477</v>
      </c>
      <c r="AC2851" s="1600" t="s">
        <v>16731</v>
      </c>
      <c r="AD2851" s="1592" t="s">
        <v>16486</v>
      </c>
      <c r="AE2851" s="2265">
        <v>7.0</v>
      </c>
      <c r="AF2851" s="2342">
        <f>485*0.26</f>
        <v>126.1</v>
      </c>
      <c r="AG2851" s="1596">
        <v>0.232</v>
      </c>
      <c r="AH2851" s="1592" t="s">
        <v>361</v>
      </c>
      <c r="AI2851" s="2341" t="s">
        <v>16732</v>
      </c>
      <c r="AJ2851" s="2265">
        <v>0.0259</v>
      </c>
      <c r="AK2851" s="1592" t="s">
        <v>172</v>
      </c>
      <c r="AL2851" s="1592" t="s">
        <v>186</v>
      </c>
      <c r="AM2851" s="1592" t="s">
        <v>137</v>
      </c>
      <c r="AN2851" s="1592" t="s">
        <v>138</v>
      </c>
      <c r="AO2851" s="1596">
        <v>285.0</v>
      </c>
      <c r="AP2851" s="2265">
        <v>0.106</v>
      </c>
      <c r="AQ2851" s="1592" t="s">
        <v>361</v>
      </c>
      <c r="AR2851" s="2262" t="s">
        <v>16733</v>
      </c>
      <c r="AS2851" s="1596">
        <v>0.05</v>
      </c>
      <c r="AT2851" s="1592" t="s">
        <v>335</v>
      </c>
      <c r="AU2851" s="1592" t="s">
        <v>186</v>
      </c>
      <c r="AV2851" s="1592" t="s">
        <v>137</v>
      </c>
      <c r="AW2851" s="1592" t="s">
        <v>138</v>
      </c>
      <c r="AX2851" s="1592" t="s">
        <v>143</v>
      </c>
      <c r="AY2851" s="1321" t="str">
        <f>IFERROR(__xludf.DUMMYFUNCTION("vlookup(BB2851,importrange(""https://docs.google.com/spreadsheets/d/1d2vevQ_7D_v35q4wCQ4RpQ_IPoTwEMB9Yp6ymwlPqew/edit?gid=984458430#gid=984458430"", ""'replication success'!A:K""), 11, FAlSE)"),"#N/A")</f>
        <v>#N/A</v>
      </c>
      <c r="AZ2851" s="1321" t="str">
        <f>IFERROR(__xludf.DUMMYFUNCTION("vlookup(BB2851,importrange(""https://docs.google.com/spreadsheets/d/1d2vevQ_7D_v35q4wCQ4RpQ_IPoTwEMB9Yp6ymwlPqew/edit?gid=984458430#gid=984458430"", ""'replication success'!A:M""), 12, FAlSE)"),"#N/A")</f>
        <v>#N/A</v>
      </c>
      <c r="BA2851" s="1321" t="str">
        <f>IFERROR(__xludf.DUMMYFUNCTION("vlookup(BB2851,importrange(""https://docs.google.com/spreadsheets/d/1d2vevQ_7D_v35q4wCQ4RpQ_IPoTwEMB9Yp6ymwlPqew/edit?gid=984458430#gid=984458430"", ""'replication success'!A:M""), 13, FAlSE)"),"#N/A")</f>
        <v>#N/A</v>
      </c>
      <c r="BB2851" s="1321" t="str">
        <f>IFERROR(__xludf.DUMMYFUNCTION("REGEXREPLACE(G2851, ""_[a-z]{1,2}$"", """")"),"add_ai60_u2")</f>
        <v>add_ai60_u2</v>
      </c>
      <c r="BC2851" s="1572"/>
      <c r="BD2851" s="1588" t="s">
        <v>13264</v>
      </c>
      <c r="BE2851" s="342"/>
      <c r="BF2851" s="342"/>
      <c r="BG2851" s="342"/>
      <c r="BH2851" s="342"/>
      <c r="BI2851" s="342"/>
      <c r="BJ2851" s="342"/>
      <c r="BK2851" s="342"/>
      <c r="BL2851" s="342"/>
      <c r="BM2851" s="342"/>
      <c r="BN2851" s="342"/>
      <c r="BO2851" s="342"/>
      <c r="BP2851" s="342"/>
      <c r="BQ2851" s="342"/>
      <c r="BR2851" s="342"/>
      <c r="BS2851" s="342"/>
      <c r="BT2851" s="342"/>
      <c r="BU2851" s="342"/>
      <c r="BV2851" s="342"/>
      <c r="BW2851" s="342"/>
      <c r="BX2851" s="342"/>
      <c r="BY2851" s="342"/>
      <c r="BZ2851" s="342"/>
      <c r="CA2851" s="342"/>
      <c r="CB2851" s="342"/>
      <c r="CC2851" s="342"/>
      <c r="CD2851" s="342"/>
      <c r="CE2851" s="342"/>
      <c r="CF2851" s="342"/>
      <c r="CG2851" s="342"/>
      <c r="CH2851" s="342"/>
      <c r="CI2851" s="342"/>
      <c r="CJ2851" s="342"/>
      <c r="CK2851" s="342"/>
      <c r="CL2851" s="342"/>
      <c r="CM2851" s="342"/>
      <c r="CN2851" s="342"/>
      <c r="CO2851" s="342"/>
      <c r="CP2851" s="342"/>
      <c r="CQ2851" s="342"/>
      <c r="CR2851" s="342"/>
      <c r="CS2851" s="342"/>
      <c r="CT2851" s="342"/>
      <c r="CU2851" s="342"/>
      <c r="CV2851" s="342"/>
      <c r="CW2851" s="342"/>
      <c r="CX2851" s="342"/>
      <c r="CY2851" s="342"/>
      <c r="CZ2851" s="342"/>
      <c r="DA2851" s="342"/>
      <c r="DB2851" s="342"/>
      <c r="DC2851" s="342"/>
      <c r="DD2851" s="342"/>
      <c r="DE2851" s="342"/>
      <c r="DF2851" s="342"/>
      <c r="DG2851" s="342"/>
      <c r="DH2851" s="342"/>
      <c r="DI2851" s="342"/>
      <c r="DJ2851" s="342"/>
      <c r="DK2851" s="342"/>
      <c r="DL2851" s="342"/>
    </row>
    <row r="2852">
      <c r="A2852" s="44">
        <v>3101.0</v>
      </c>
      <c r="B2852" s="1322" t="s">
        <v>152</v>
      </c>
      <c r="C2852" s="1588" t="s">
        <v>115</v>
      </c>
      <c r="D2852" s="1588" t="s">
        <v>153</v>
      </c>
      <c r="E2852" s="1572"/>
      <c r="F2852" s="1600" t="s">
        <v>16459</v>
      </c>
      <c r="G2852" s="1592" t="s">
        <v>16734</v>
      </c>
      <c r="H2852" s="1600" t="s">
        <v>15921</v>
      </c>
      <c r="I2852" s="2229">
        <v>45821.0</v>
      </c>
      <c r="J2852" s="2230">
        <v>45847.0</v>
      </c>
      <c r="K2852" s="1592" t="s">
        <v>16483</v>
      </c>
      <c r="L2852" s="1313"/>
      <c r="M2852" s="1592" t="s">
        <v>16462</v>
      </c>
      <c r="N2852" s="1592" t="s">
        <v>16463</v>
      </c>
      <c r="O2852" s="1313"/>
      <c r="P2852" s="1592" t="s">
        <v>16464</v>
      </c>
      <c r="Q2852" s="2331" t="s">
        <v>16465</v>
      </c>
      <c r="R2852" s="1592" t="s">
        <v>16496</v>
      </c>
      <c r="S2852" s="1592" t="s">
        <v>16467</v>
      </c>
      <c r="T2852" s="1313"/>
      <c r="U2852" s="1313"/>
      <c r="V2852" s="1592" t="s">
        <v>16468</v>
      </c>
      <c r="W2852" s="1313"/>
      <c r="X2852" s="2233" t="str">
        <f t="array" ref="X2852"> if(iserror(MATCH(V2852, 'File Links'!C:C, 0)), "N/A", HYPERLINK(INDEX('File Links'!B:B, MATCH(V2852, 'File Links'!C:C, 0))))</f>
        <v>https://drive.google.com/file/d/16V6fX6zed8MKZ53zcmG18UMG8cS5fmS4/view?usp=drivesdk</v>
      </c>
      <c r="Y2852" s="1313"/>
      <c r="Z2852" s="1592" t="s">
        <v>1679</v>
      </c>
      <c r="AA2852" s="1600" t="s">
        <v>16476</v>
      </c>
      <c r="AB2852" s="1592" t="s">
        <v>16477</v>
      </c>
      <c r="AC2852" s="2262" t="s">
        <v>16735</v>
      </c>
      <c r="AD2852" s="1592" t="s">
        <v>16486</v>
      </c>
      <c r="AE2852" s="2265">
        <v>7.0</v>
      </c>
      <c r="AF2852" s="2342">
        <f>485*0.13</f>
        <v>63.05</v>
      </c>
      <c r="AG2852" s="2265">
        <v>0.347</v>
      </c>
      <c r="AH2852" s="1592" t="s">
        <v>16492</v>
      </c>
      <c r="AI2852" s="2341" t="s">
        <v>16736</v>
      </c>
      <c r="AJ2852" s="1324" t="s">
        <v>138</v>
      </c>
      <c r="AK2852" s="1324" t="s">
        <v>138</v>
      </c>
      <c r="AL2852" s="1592" t="s">
        <v>186</v>
      </c>
      <c r="AM2852" s="1592" t="s">
        <v>137</v>
      </c>
      <c r="AN2852" s="1592" t="s">
        <v>138</v>
      </c>
      <c r="AO2852" s="1596">
        <v>285.0</v>
      </c>
      <c r="AP2852" s="2265">
        <v>0.034</v>
      </c>
      <c r="AQ2852" s="1592" t="s">
        <v>16492</v>
      </c>
      <c r="AR2852" s="2262" t="s">
        <v>16737</v>
      </c>
      <c r="AS2852" s="1592" t="s">
        <v>138</v>
      </c>
      <c r="AT2852" s="2337" t="s">
        <v>138</v>
      </c>
      <c r="AU2852" s="1592" t="s">
        <v>186</v>
      </c>
      <c r="AV2852" s="1592" t="s">
        <v>137</v>
      </c>
      <c r="AW2852" s="1592" t="s">
        <v>138</v>
      </c>
      <c r="AX2852" s="1592" t="s">
        <v>143</v>
      </c>
      <c r="AY2852" s="1321" t="str">
        <f>IFERROR(__xludf.DUMMYFUNCTION("vlookup(BB2852,importrange(""https://docs.google.com/spreadsheets/d/1d2vevQ_7D_v35q4wCQ4RpQ_IPoTwEMB9Yp6ymwlPqew/edit?gid=984458430#gid=984458430"", ""'replication success'!A:K""), 11, FAlSE)"),"#N/A")</f>
        <v>#N/A</v>
      </c>
      <c r="AZ2852" s="1321" t="str">
        <f>IFERROR(__xludf.DUMMYFUNCTION("vlookup(BB2852,importrange(""https://docs.google.com/spreadsheets/d/1d2vevQ_7D_v35q4wCQ4RpQ_IPoTwEMB9Yp6ymwlPqew/edit?gid=984458430#gid=984458430"", ""'replication success'!A:M""), 12, FAlSE)"),"#N/A")</f>
        <v>#N/A</v>
      </c>
      <c r="BA2852" s="1321" t="str">
        <f>IFERROR(__xludf.DUMMYFUNCTION("vlookup(BB2852,importrange(""https://docs.google.com/spreadsheets/d/1d2vevQ_7D_v35q4wCQ4RpQ_IPoTwEMB9Yp6ymwlPqew/edit?gid=984458430#gid=984458430"", ""'replication success'!A:M""), 13, FAlSE)"),"#N/A")</f>
        <v>#N/A</v>
      </c>
      <c r="BB2852" s="1321" t="str">
        <f>IFERROR(__xludf.DUMMYFUNCTION("REGEXREPLACE(G2852, ""_[a-z]{1,2}$"", """")"),"add_ai60_u3")</f>
        <v>add_ai60_u3</v>
      </c>
      <c r="BC2852" s="1572"/>
      <c r="BD2852" s="1588" t="s">
        <v>13264</v>
      </c>
      <c r="BE2852" s="342"/>
      <c r="BF2852" s="342"/>
      <c r="BG2852" s="342"/>
      <c r="BH2852" s="342"/>
      <c r="BI2852" s="342"/>
      <c r="BJ2852" s="342"/>
      <c r="BK2852" s="342"/>
      <c r="BL2852" s="342"/>
      <c r="BM2852" s="342"/>
      <c r="BN2852" s="342"/>
      <c r="BO2852" s="342"/>
      <c r="BP2852" s="342"/>
      <c r="BQ2852" s="342"/>
      <c r="BR2852" s="342"/>
      <c r="BS2852" s="342"/>
      <c r="BT2852" s="342"/>
      <c r="BU2852" s="342"/>
      <c r="BV2852" s="342"/>
      <c r="BW2852" s="342"/>
      <c r="BX2852" s="342"/>
      <c r="BY2852" s="342"/>
      <c r="BZ2852" s="342"/>
      <c r="CA2852" s="342"/>
      <c r="CB2852" s="342"/>
      <c r="CC2852" s="342"/>
      <c r="CD2852" s="342"/>
      <c r="CE2852" s="342"/>
      <c r="CF2852" s="342"/>
      <c r="CG2852" s="342"/>
      <c r="CH2852" s="342"/>
      <c r="CI2852" s="342"/>
      <c r="CJ2852" s="342"/>
      <c r="CK2852" s="342"/>
      <c r="CL2852" s="342"/>
      <c r="CM2852" s="342"/>
      <c r="CN2852" s="342"/>
      <c r="CO2852" s="342"/>
      <c r="CP2852" s="342"/>
      <c r="CQ2852" s="342"/>
      <c r="CR2852" s="342"/>
      <c r="CS2852" s="342"/>
      <c r="CT2852" s="342"/>
      <c r="CU2852" s="342"/>
      <c r="CV2852" s="342"/>
      <c r="CW2852" s="342"/>
      <c r="CX2852" s="342"/>
      <c r="CY2852" s="342"/>
      <c r="CZ2852" s="342"/>
      <c r="DA2852" s="342"/>
      <c r="DB2852" s="342"/>
      <c r="DC2852" s="342"/>
      <c r="DD2852" s="342"/>
      <c r="DE2852" s="342"/>
      <c r="DF2852" s="342"/>
      <c r="DG2852" s="342"/>
      <c r="DH2852" s="342"/>
      <c r="DI2852" s="342"/>
      <c r="DJ2852" s="342"/>
      <c r="DK2852" s="342"/>
      <c r="DL2852" s="342"/>
    </row>
    <row r="2853">
      <c r="A2853" s="44">
        <v>3050.0</v>
      </c>
      <c r="B2853" s="1322" t="s">
        <v>152</v>
      </c>
      <c r="C2853" s="1588" t="s">
        <v>115</v>
      </c>
      <c r="D2853" s="1588" t="s">
        <v>153</v>
      </c>
      <c r="E2853" s="1572"/>
      <c r="F2853" s="1600" t="s">
        <v>16459</v>
      </c>
      <c r="G2853" s="1592" t="s">
        <v>16738</v>
      </c>
      <c r="H2853" s="1600" t="s">
        <v>15921</v>
      </c>
      <c r="I2853" s="2229">
        <v>45821.0</v>
      </c>
      <c r="J2853" s="2230">
        <v>45847.0</v>
      </c>
      <c r="K2853" s="1592" t="s">
        <v>16474</v>
      </c>
      <c r="L2853" s="1313"/>
      <c r="M2853" s="1592" t="s">
        <v>16462</v>
      </c>
      <c r="N2853" s="1592" t="s">
        <v>16463</v>
      </c>
      <c r="O2853" s="1313"/>
      <c r="P2853" s="1592" t="s">
        <v>16464</v>
      </c>
      <c r="Q2853" s="2331" t="s">
        <v>16465</v>
      </c>
      <c r="R2853" s="1592" t="s">
        <v>16496</v>
      </c>
      <c r="S2853" s="1592" t="s">
        <v>16467</v>
      </c>
      <c r="T2853" s="1313"/>
      <c r="U2853" s="1313"/>
      <c r="V2853" s="1592" t="s">
        <v>16468</v>
      </c>
      <c r="W2853" s="1313"/>
      <c r="X2853" s="2233" t="str">
        <f t="array" ref="X2853"> if(iserror(MATCH(V2853, 'File Links'!C:C, 0)), "N/A", HYPERLINK(INDEX('File Links'!B:B, MATCH(V2853, 'File Links'!C:C, 0))))</f>
        <v>https://drive.google.com/file/d/16V6fX6zed8MKZ53zcmG18UMG8cS5fmS4/view?usp=drivesdk</v>
      </c>
      <c r="Y2853" s="1313"/>
      <c r="Z2853" s="1592" t="s">
        <v>1679</v>
      </c>
      <c r="AA2853" s="1600" t="s">
        <v>16476</v>
      </c>
      <c r="AB2853" s="1592" t="s">
        <v>16477</v>
      </c>
      <c r="AC2853" s="2262" t="s">
        <v>16739</v>
      </c>
      <c r="AD2853" s="1600" t="s">
        <v>16654</v>
      </c>
      <c r="AE2853" s="2265">
        <v>7.0</v>
      </c>
      <c r="AF2853" s="1596">
        <v>485.0</v>
      </c>
      <c r="AG2853" s="2265">
        <v>0.113</v>
      </c>
      <c r="AH2853" s="1592" t="s">
        <v>16492</v>
      </c>
      <c r="AI2853" s="2341" t="s">
        <v>16740</v>
      </c>
      <c r="AJ2853" s="1324" t="s">
        <v>138</v>
      </c>
      <c r="AK2853" s="1324" t="s">
        <v>138</v>
      </c>
      <c r="AL2853" s="1592" t="s">
        <v>186</v>
      </c>
      <c r="AM2853" s="1592" t="s">
        <v>137</v>
      </c>
      <c r="AN2853" s="1324" t="s">
        <v>138</v>
      </c>
      <c r="AO2853" s="1596">
        <v>285.0</v>
      </c>
      <c r="AP2853" s="2265">
        <v>0.071</v>
      </c>
      <c r="AQ2853" s="1592" t="s">
        <v>16492</v>
      </c>
      <c r="AR2853" s="2262" t="s">
        <v>16741</v>
      </c>
      <c r="AS2853" s="1592" t="s">
        <v>138</v>
      </c>
      <c r="AT2853" s="2337" t="s">
        <v>138</v>
      </c>
      <c r="AU2853" s="1592" t="s">
        <v>186</v>
      </c>
      <c r="AV2853" s="1592" t="s">
        <v>137</v>
      </c>
      <c r="AW2853" s="1592" t="s">
        <v>138</v>
      </c>
      <c r="AX2853" s="1592" t="s">
        <v>143</v>
      </c>
      <c r="AY2853" s="1321" t="str">
        <f>IFERROR(__xludf.DUMMYFUNCTION("vlookup(BB2853,importrange(""https://docs.google.com/spreadsheets/d/1d2vevQ_7D_v35q4wCQ4RpQ_IPoTwEMB9Yp6ymwlPqew/edit?gid=984458430#gid=984458430"", ""'replication success'!A:K""), 11, FAlSE)"),"#N/A")</f>
        <v>#N/A</v>
      </c>
      <c r="AZ2853" s="1321" t="str">
        <f>IFERROR(__xludf.DUMMYFUNCTION("vlookup(BB2853,importrange(""https://docs.google.com/spreadsheets/d/1d2vevQ_7D_v35q4wCQ4RpQ_IPoTwEMB9Yp6ymwlPqew/edit?gid=984458430#gid=984458430"", ""'replication success'!A:M""), 12, FAlSE)"),"#N/A")</f>
        <v>#N/A</v>
      </c>
      <c r="BA2853" s="1321" t="str">
        <f>IFERROR(__xludf.DUMMYFUNCTION("vlookup(BB2853,importrange(""https://docs.google.com/spreadsheets/d/1d2vevQ_7D_v35q4wCQ4RpQ_IPoTwEMB9Yp6ymwlPqew/edit?gid=984458430#gid=984458430"", ""'replication success'!A:M""), 13, FAlSE)"),"#N/A")</f>
        <v>#N/A</v>
      </c>
      <c r="BB2853" s="1321" t="str">
        <f>IFERROR(__xludf.DUMMYFUNCTION("REGEXREPLACE(G2853, ""_[a-z]{1,2}$"", """")"),"add_ai60")</f>
        <v>add_ai60</v>
      </c>
      <c r="BC2853" s="1572"/>
      <c r="BD2853" s="1588" t="s">
        <v>13264</v>
      </c>
      <c r="BE2853" s="342"/>
      <c r="BF2853" s="342"/>
      <c r="BG2853" s="342"/>
      <c r="BH2853" s="342"/>
      <c r="BI2853" s="342"/>
      <c r="BJ2853" s="342"/>
      <c r="BK2853" s="342"/>
      <c r="BL2853" s="342"/>
      <c r="BM2853" s="342"/>
      <c r="BN2853" s="342"/>
      <c r="BO2853" s="342"/>
      <c r="BP2853" s="342"/>
      <c r="BQ2853" s="342"/>
      <c r="BR2853" s="342"/>
      <c r="BS2853" s="342"/>
      <c r="BT2853" s="342"/>
      <c r="BU2853" s="342"/>
      <c r="BV2853" s="342"/>
      <c r="BW2853" s="342"/>
      <c r="BX2853" s="342"/>
      <c r="BY2853" s="342"/>
      <c r="BZ2853" s="342"/>
      <c r="CA2853" s="342"/>
      <c r="CB2853" s="342"/>
      <c r="CC2853" s="342"/>
      <c r="CD2853" s="342"/>
      <c r="CE2853" s="342"/>
      <c r="CF2853" s="342"/>
      <c r="CG2853" s="342"/>
      <c r="CH2853" s="342"/>
      <c r="CI2853" s="342"/>
      <c r="CJ2853" s="342"/>
      <c r="CK2853" s="342"/>
      <c r="CL2853" s="342"/>
      <c r="CM2853" s="342"/>
      <c r="CN2853" s="342"/>
      <c r="CO2853" s="342"/>
      <c r="CP2853" s="342"/>
      <c r="CQ2853" s="342"/>
      <c r="CR2853" s="342"/>
      <c r="CS2853" s="342"/>
      <c r="CT2853" s="342"/>
      <c r="CU2853" s="342"/>
      <c r="CV2853" s="342"/>
      <c r="CW2853" s="342"/>
      <c r="CX2853" s="342"/>
      <c r="CY2853" s="342"/>
      <c r="CZ2853" s="342"/>
      <c r="DA2853" s="342"/>
      <c r="DB2853" s="342"/>
      <c r="DC2853" s="342"/>
      <c r="DD2853" s="342"/>
      <c r="DE2853" s="342"/>
      <c r="DF2853" s="342"/>
      <c r="DG2853" s="342"/>
      <c r="DH2853" s="342"/>
      <c r="DI2853" s="342"/>
      <c r="DJ2853" s="342"/>
      <c r="DK2853" s="342"/>
      <c r="DL2853" s="342"/>
    </row>
    <row r="2854">
      <c r="A2854" s="44">
        <v>3076.0</v>
      </c>
      <c r="B2854" s="1322" t="s">
        <v>152</v>
      </c>
      <c r="C2854" s="1588" t="s">
        <v>115</v>
      </c>
      <c r="D2854" s="1588" t="s">
        <v>153</v>
      </c>
      <c r="E2854" s="1572"/>
      <c r="F2854" s="1600" t="s">
        <v>16459</v>
      </c>
      <c r="G2854" s="1592" t="s">
        <v>16742</v>
      </c>
      <c r="H2854" s="1600" t="s">
        <v>15921</v>
      </c>
      <c r="I2854" s="2229">
        <v>45821.0</v>
      </c>
      <c r="J2854" s="2230">
        <v>45847.0</v>
      </c>
      <c r="K2854" s="1592" t="s">
        <v>16483</v>
      </c>
      <c r="L2854" s="1313"/>
      <c r="M2854" s="1592" t="s">
        <v>16462</v>
      </c>
      <c r="N2854" s="1592" t="s">
        <v>16463</v>
      </c>
      <c r="O2854" s="1313"/>
      <c r="P2854" s="1592" t="s">
        <v>16464</v>
      </c>
      <c r="Q2854" s="2331" t="s">
        <v>16465</v>
      </c>
      <c r="R2854" s="1592" t="s">
        <v>16496</v>
      </c>
      <c r="S2854" s="1592" t="s">
        <v>16467</v>
      </c>
      <c r="T2854" s="1313"/>
      <c r="U2854" s="1313"/>
      <c r="V2854" s="1592" t="s">
        <v>16468</v>
      </c>
      <c r="W2854" s="1313"/>
      <c r="X2854" s="2233" t="str">
        <f t="array" ref="X2854"> if(iserror(MATCH(V2854, 'File Links'!C:C, 0)), "N/A", HYPERLINK(INDEX('File Links'!B:B, MATCH(V2854, 'File Links'!C:C, 0))))</f>
        <v>https://drive.google.com/file/d/16V6fX6zed8MKZ53zcmG18UMG8cS5fmS4/view?usp=drivesdk</v>
      </c>
      <c r="Y2854" s="1313"/>
      <c r="Z2854" s="1592" t="s">
        <v>1679</v>
      </c>
      <c r="AA2854" s="1600" t="s">
        <v>16476</v>
      </c>
      <c r="AB2854" s="1592" t="s">
        <v>16477</v>
      </c>
      <c r="AC2854" s="2262" t="s">
        <v>16743</v>
      </c>
      <c r="AD2854" s="1592" t="s">
        <v>16486</v>
      </c>
      <c r="AE2854" s="2265">
        <v>7.0</v>
      </c>
      <c r="AF2854" s="2342">
        <f>485*0.26</f>
        <v>126.1</v>
      </c>
      <c r="AG2854" s="2265">
        <v>0.196</v>
      </c>
      <c r="AH2854" s="1592" t="s">
        <v>16492</v>
      </c>
      <c r="AI2854" s="2341" t="s">
        <v>16744</v>
      </c>
      <c r="AJ2854" s="1324" t="s">
        <v>138</v>
      </c>
      <c r="AK2854" s="1324" t="s">
        <v>138</v>
      </c>
      <c r="AL2854" s="1592" t="s">
        <v>186</v>
      </c>
      <c r="AM2854" s="1592" t="s">
        <v>137</v>
      </c>
      <c r="AN2854" s="1592" t="s">
        <v>138</v>
      </c>
      <c r="AO2854" s="1596">
        <v>285.0</v>
      </c>
      <c r="AP2854" s="2265">
        <v>0.02</v>
      </c>
      <c r="AQ2854" s="1592" t="s">
        <v>16492</v>
      </c>
      <c r="AR2854" s="2262" t="s">
        <v>16745</v>
      </c>
      <c r="AS2854" s="1592" t="s">
        <v>138</v>
      </c>
      <c r="AT2854" s="2337" t="s">
        <v>138</v>
      </c>
      <c r="AU2854" s="1592" t="s">
        <v>186</v>
      </c>
      <c r="AV2854" s="1592" t="s">
        <v>137</v>
      </c>
      <c r="AW2854" s="1592" t="s">
        <v>138</v>
      </c>
      <c r="AX2854" s="1592" t="s">
        <v>143</v>
      </c>
      <c r="AY2854" s="1321" t="str">
        <f>IFERROR(__xludf.DUMMYFUNCTION("vlookup(BB2854,importrange(""https://docs.google.com/spreadsheets/d/1d2vevQ_7D_v35q4wCQ4RpQ_IPoTwEMB9Yp6ymwlPqew/edit?gid=984458430#gid=984458430"", ""'replication success'!A:K""), 11, FAlSE)"),"#N/A")</f>
        <v>#N/A</v>
      </c>
      <c r="AZ2854" s="1321" t="str">
        <f>IFERROR(__xludf.DUMMYFUNCTION("vlookup(BB2854,importrange(""https://docs.google.com/spreadsheets/d/1d2vevQ_7D_v35q4wCQ4RpQ_IPoTwEMB9Yp6ymwlPqew/edit?gid=984458430#gid=984458430"", ""'replication success'!A:M""), 12, FAlSE)"),"#N/A")</f>
        <v>#N/A</v>
      </c>
      <c r="BA2854" s="1321" t="str">
        <f>IFERROR(__xludf.DUMMYFUNCTION("vlookup(BB2854,importrange(""https://docs.google.com/spreadsheets/d/1d2vevQ_7D_v35q4wCQ4RpQ_IPoTwEMB9Yp6ymwlPqew/edit?gid=984458430#gid=984458430"", ""'replication success'!A:M""), 13, FAlSE)"),"#N/A")</f>
        <v>#N/A</v>
      </c>
      <c r="BB2854" s="1321" t="str">
        <f>IFERROR(__xludf.DUMMYFUNCTION("REGEXREPLACE(G2854, ""_[a-z]{1,2}$"", """")"),"add_ai60_v2")</f>
        <v>add_ai60_v2</v>
      </c>
      <c r="BC2854" s="1572"/>
      <c r="BD2854" s="1588" t="s">
        <v>13264</v>
      </c>
      <c r="BE2854" s="342"/>
      <c r="BF2854" s="342"/>
      <c r="BG2854" s="342"/>
      <c r="BH2854" s="342"/>
      <c r="BI2854" s="342"/>
      <c r="BJ2854" s="342"/>
      <c r="BK2854" s="342"/>
      <c r="BL2854" s="342"/>
      <c r="BM2854" s="342"/>
      <c r="BN2854" s="342"/>
      <c r="BO2854" s="342"/>
      <c r="BP2854" s="342"/>
      <c r="BQ2854" s="342"/>
      <c r="BR2854" s="342"/>
      <c r="BS2854" s="342"/>
      <c r="BT2854" s="342"/>
      <c r="BU2854" s="342"/>
      <c r="BV2854" s="342"/>
      <c r="BW2854" s="342"/>
      <c r="BX2854" s="342"/>
      <c r="BY2854" s="342"/>
      <c r="BZ2854" s="342"/>
      <c r="CA2854" s="342"/>
      <c r="CB2854" s="342"/>
      <c r="CC2854" s="342"/>
      <c r="CD2854" s="342"/>
      <c r="CE2854" s="342"/>
      <c r="CF2854" s="342"/>
      <c r="CG2854" s="342"/>
      <c r="CH2854" s="342"/>
      <c r="CI2854" s="342"/>
      <c r="CJ2854" s="342"/>
      <c r="CK2854" s="342"/>
      <c r="CL2854" s="342"/>
      <c r="CM2854" s="342"/>
      <c r="CN2854" s="342"/>
      <c r="CO2854" s="342"/>
      <c r="CP2854" s="342"/>
      <c r="CQ2854" s="342"/>
      <c r="CR2854" s="342"/>
      <c r="CS2854" s="342"/>
      <c r="CT2854" s="342"/>
      <c r="CU2854" s="342"/>
      <c r="CV2854" s="342"/>
      <c r="CW2854" s="342"/>
      <c r="CX2854" s="342"/>
      <c r="CY2854" s="342"/>
      <c r="CZ2854" s="342"/>
      <c r="DA2854" s="342"/>
      <c r="DB2854" s="342"/>
      <c r="DC2854" s="342"/>
      <c r="DD2854" s="342"/>
      <c r="DE2854" s="342"/>
      <c r="DF2854" s="342"/>
      <c r="DG2854" s="342"/>
      <c r="DH2854" s="342"/>
      <c r="DI2854" s="342"/>
      <c r="DJ2854" s="342"/>
      <c r="DK2854" s="342"/>
      <c r="DL2854" s="342"/>
    </row>
    <row r="2855">
      <c r="A2855" s="44">
        <v>3102.0</v>
      </c>
      <c r="B2855" s="1322" t="s">
        <v>152</v>
      </c>
      <c r="C2855" s="1588" t="s">
        <v>115</v>
      </c>
      <c r="D2855" s="1588" t="s">
        <v>153</v>
      </c>
      <c r="E2855" s="1572"/>
      <c r="F2855" s="1600" t="s">
        <v>16459</v>
      </c>
      <c r="G2855" s="1592" t="s">
        <v>16746</v>
      </c>
      <c r="H2855" s="1600" t="s">
        <v>15921</v>
      </c>
      <c r="I2855" s="2229">
        <v>45821.0</v>
      </c>
      <c r="J2855" s="2230">
        <v>45847.0</v>
      </c>
      <c r="K2855" s="1592" t="s">
        <v>16483</v>
      </c>
      <c r="L2855" s="1313"/>
      <c r="M2855" s="1592" t="s">
        <v>16462</v>
      </c>
      <c r="N2855" s="1592" t="s">
        <v>16463</v>
      </c>
      <c r="O2855" s="1313"/>
      <c r="P2855" s="1592" t="s">
        <v>16464</v>
      </c>
      <c r="Q2855" s="2331" t="s">
        <v>16465</v>
      </c>
      <c r="R2855" s="1592" t="s">
        <v>16496</v>
      </c>
      <c r="S2855" s="1592" t="s">
        <v>16467</v>
      </c>
      <c r="T2855" s="1313"/>
      <c r="U2855" s="1313"/>
      <c r="V2855" s="1592" t="s">
        <v>16468</v>
      </c>
      <c r="W2855" s="1313"/>
      <c r="X2855" s="2233" t="str">
        <f t="array" ref="X2855"> if(iserror(MATCH(V2855, 'File Links'!C:C, 0)), "N/A", HYPERLINK(INDEX('File Links'!B:B, MATCH(V2855, 'File Links'!C:C, 0))))</f>
        <v>https://drive.google.com/file/d/16V6fX6zed8MKZ53zcmG18UMG8cS5fmS4/view?usp=drivesdk</v>
      </c>
      <c r="Y2855" s="1313"/>
      <c r="Z2855" s="1592" t="s">
        <v>1679</v>
      </c>
      <c r="AA2855" s="1600" t="s">
        <v>16476</v>
      </c>
      <c r="AB2855" s="1592" t="s">
        <v>16477</v>
      </c>
      <c r="AC2855" s="2262" t="s">
        <v>16747</v>
      </c>
      <c r="AD2855" s="1592" t="s">
        <v>16486</v>
      </c>
      <c r="AE2855" s="2265">
        <v>7.0</v>
      </c>
      <c r="AF2855" s="2342">
        <f>485*0.13</f>
        <v>63.05</v>
      </c>
      <c r="AG2855" s="2265">
        <v>0.082</v>
      </c>
      <c r="AH2855" s="1592" t="s">
        <v>16492</v>
      </c>
      <c r="AI2855" s="2341" t="s">
        <v>16748</v>
      </c>
      <c r="AJ2855" s="1324" t="s">
        <v>138</v>
      </c>
      <c r="AK2855" s="1324" t="s">
        <v>138</v>
      </c>
      <c r="AL2855" s="1592" t="s">
        <v>186</v>
      </c>
      <c r="AM2855" s="1592" t="s">
        <v>137</v>
      </c>
      <c r="AN2855" s="1592" t="s">
        <v>138</v>
      </c>
      <c r="AO2855" s="1596">
        <v>285.0</v>
      </c>
      <c r="AP2855" s="2265">
        <v>0.048</v>
      </c>
      <c r="AQ2855" s="1592" t="s">
        <v>16492</v>
      </c>
      <c r="AR2855" s="2262" t="s">
        <v>16749</v>
      </c>
      <c r="AS2855" s="1592" t="s">
        <v>138</v>
      </c>
      <c r="AT2855" s="2337" t="s">
        <v>138</v>
      </c>
      <c r="AU2855" s="1592" t="s">
        <v>186</v>
      </c>
      <c r="AV2855" s="1592" t="s">
        <v>137</v>
      </c>
      <c r="AW2855" s="1592" t="s">
        <v>138</v>
      </c>
      <c r="AX2855" s="1592" t="s">
        <v>143</v>
      </c>
      <c r="AY2855" s="1321" t="str">
        <f>IFERROR(__xludf.DUMMYFUNCTION("vlookup(BB2855,importrange(""https://docs.google.com/spreadsheets/d/1d2vevQ_7D_v35q4wCQ4RpQ_IPoTwEMB9Yp6ymwlPqew/edit?gid=984458430#gid=984458430"", ""'replication success'!A:K""), 11, FAlSE)"),"#N/A")</f>
        <v>#N/A</v>
      </c>
      <c r="AZ2855" s="1321" t="str">
        <f>IFERROR(__xludf.DUMMYFUNCTION("vlookup(BB2855,importrange(""https://docs.google.com/spreadsheets/d/1d2vevQ_7D_v35q4wCQ4RpQ_IPoTwEMB9Yp6ymwlPqew/edit?gid=984458430#gid=984458430"", ""'replication success'!A:M""), 12, FAlSE)"),"#N/A")</f>
        <v>#N/A</v>
      </c>
      <c r="BA2855" s="1321" t="str">
        <f>IFERROR(__xludf.DUMMYFUNCTION("vlookup(BB2855,importrange(""https://docs.google.com/spreadsheets/d/1d2vevQ_7D_v35q4wCQ4RpQ_IPoTwEMB9Yp6ymwlPqew/edit?gid=984458430#gid=984458430"", ""'replication success'!A:M""), 13, FAlSE)"),"#N/A")</f>
        <v>#N/A</v>
      </c>
      <c r="BB2855" s="1321" t="str">
        <f>IFERROR(__xludf.DUMMYFUNCTION("REGEXREPLACE(G2855, ""_[a-z]{1,2}$"", """")"),"add_ai60_v3")</f>
        <v>add_ai60_v3</v>
      </c>
      <c r="BC2855" s="1572"/>
      <c r="BD2855" s="1588" t="s">
        <v>13264</v>
      </c>
      <c r="BE2855" s="342"/>
      <c r="BF2855" s="342"/>
      <c r="BG2855" s="342"/>
      <c r="BH2855" s="342"/>
      <c r="BI2855" s="342"/>
      <c r="BJ2855" s="342"/>
      <c r="BK2855" s="342"/>
      <c r="BL2855" s="342"/>
      <c r="BM2855" s="342"/>
      <c r="BN2855" s="342"/>
      <c r="BO2855" s="342"/>
      <c r="BP2855" s="342"/>
      <c r="BQ2855" s="342"/>
      <c r="BR2855" s="342"/>
      <c r="BS2855" s="342"/>
      <c r="BT2855" s="342"/>
      <c r="BU2855" s="342"/>
      <c r="BV2855" s="342"/>
      <c r="BW2855" s="342"/>
      <c r="BX2855" s="342"/>
      <c r="BY2855" s="342"/>
      <c r="BZ2855" s="342"/>
      <c r="CA2855" s="342"/>
      <c r="CB2855" s="342"/>
      <c r="CC2855" s="342"/>
      <c r="CD2855" s="342"/>
      <c r="CE2855" s="342"/>
      <c r="CF2855" s="342"/>
      <c r="CG2855" s="342"/>
      <c r="CH2855" s="342"/>
      <c r="CI2855" s="342"/>
      <c r="CJ2855" s="342"/>
      <c r="CK2855" s="342"/>
      <c r="CL2855" s="342"/>
      <c r="CM2855" s="342"/>
      <c r="CN2855" s="342"/>
      <c r="CO2855" s="342"/>
      <c r="CP2855" s="342"/>
      <c r="CQ2855" s="342"/>
      <c r="CR2855" s="342"/>
      <c r="CS2855" s="342"/>
      <c r="CT2855" s="342"/>
      <c r="CU2855" s="342"/>
      <c r="CV2855" s="342"/>
      <c r="CW2855" s="342"/>
      <c r="CX2855" s="342"/>
      <c r="CY2855" s="342"/>
      <c r="CZ2855" s="342"/>
      <c r="DA2855" s="342"/>
      <c r="DB2855" s="342"/>
      <c r="DC2855" s="342"/>
      <c r="DD2855" s="342"/>
      <c r="DE2855" s="342"/>
      <c r="DF2855" s="342"/>
      <c r="DG2855" s="342"/>
      <c r="DH2855" s="342"/>
      <c r="DI2855" s="342"/>
      <c r="DJ2855" s="342"/>
      <c r="DK2855" s="342"/>
      <c r="DL2855" s="342"/>
    </row>
    <row r="2856">
      <c r="A2856" s="44">
        <v>3051.0</v>
      </c>
      <c r="B2856" s="1322" t="s">
        <v>152</v>
      </c>
      <c r="C2856" s="1588" t="s">
        <v>115</v>
      </c>
      <c r="D2856" s="1588" t="s">
        <v>153</v>
      </c>
      <c r="E2856" s="1572"/>
      <c r="F2856" s="1600" t="s">
        <v>16459</v>
      </c>
      <c r="G2856" s="1592" t="s">
        <v>16750</v>
      </c>
      <c r="H2856" s="1600" t="s">
        <v>15921</v>
      </c>
      <c r="I2856" s="2229">
        <v>45821.0</v>
      </c>
      <c r="J2856" s="2230">
        <v>45847.0</v>
      </c>
      <c r="K2856" s="1592" t="s">
        <v>16483</v>
      </c>
      <c r="L2856" s="1313"/>
      <c r="M2856" s="1592" t="s">
        <v>16462</v>
      </c>
      <c r="N2856" s="1592" t="s">
        <v>16463</v>
      </c>
      <c r="O2856" s="1313"/>
      <c r="P2856" s="1592" t="s">
        <v>16464</v>
      </c>
      <c r="Q2856" s="2331" t="s">
        <v>16465</v>
      </c>
      <c r="R2856" s="1592" t="s">
        <v>16496</v>
      </c>
      <c r="S2856" s="1592" t="s">
        <v>16467</v>
      </c>
      <c r="T2856" s="1313"/>
      <c r="U2856" s="1313"/>
      <c r="V2856" s="1592" t="s">
        <v>16468</v>
      </c>
      <c r="W2856" s="1313"/>
      <c r="X2856" s="2233" t="str">
        <f t="array" ref="X2856"> if(iserror(MATCH(V2856, 'File Links'!C:C, 0)), "N/A", HYPERLINK(INDEX('File Links'!B:B, MATCH(V2856, 'File Links'!C:C, 0))))</f>
        <v>https://drive.google.com/file/d/16V6fX6zed8MKZ53zcmG18UMG8cS5fmS4/view?usp=drivesdk</v>
      </c>
      <c r="Y2856" s="1313"/>
      <c r="Z2856" s="1592" t="s">
        <v>1679</v>
      </c>
      <c r="AA2856" s="1600" t="s">
        <v>16476</v>
      </c>
      <c r="AB2856" s="1592" t="s">
        <v>16477</v>
      </c>
      <c r="AC2856" s="1600" t="s">
        <v>16751</v>
      </c>
      <c r="AD2856" s="1592" t="s">
        <v>16486</v>
      </c>
      <c r="AE2856" s="2265">
        <v>7.0</v>
      </c>
      <c r="AF2856" s="2342">
        <f>485*0.44</f>
        <v>213.4</v>
      </c>
      <c r="AG2856" s="1596">
        <v>0.401</v>
      </c>
      <c r="AH2856" s="1592" t="s">
        <v>361</v>
      </c>
      <c r="AI2856" s="2341" t="s">
        <v>16752</v>
      </c>
      <c r="AJ2856" s="1596">
        <v>1.0E-4</v>
      </c>
      <c r="AK2856" s="1592" t="s">
        <v>135</v>
      </c>
      <c r="AL2856" s="1592" t="s">
        <v>186</v>
      </c>
      <c r="AM2856" s="1592" t="s">
        <v>137</v>
      </c>
      <c r="AN2856" s="1592" t="s">
        <v>138</v>
      </c>
      <c r="AO2856" s="1596">
        <v>285.0</v>
      </c>
      <c r="AP2856" s="2265">
        <v>0.101</v>
      </c>
      <c r="AQ2856" s="1592" t="s">
        <v>361</v>
      </c>
      <c r="AR2856" s="2262" t="s">
        <v>16753</v>
      </c>
      <c r="AS2856" s="2265">
        <v>0.05</v>
      </c>
      <c r="AT2856" s="1592" t="s">
        <v>335</v>
      </c>
      <c r="AU2856" s="1592" t="s">
        <v>186</v>
      </c>
      <c r="AV2856" s="1592" t="s">
        <v>137</v>
      </c>
      <c r="AW2856" s="1592" t="s">
        <v>138</v>
      </c>
      <c r="AX2856" s="1592" t="s">
        <v>143</v>
      </c>
      <c r="AY2856" s="1321" t="str">
        <f>IFERROR(__xludf.DUMMYFUNCTION("vlookup(BB2856,importrange(""https://docs.google.com/spreadsheets/d/1d2vevQ_7D_v35q4wCQ4RpQ_IPoTwEMB9Yp6ymwlPqew/edit?gid=984458430#gid=984458430"", ""'replication success'!A:K""), 11, FAlSE)"),"#N/A")</f>
        <v>#N/A</v>
      </c>
      <c r="AZ2856" s="1321" t="str">
        <f>IFERROR(__xludf.DUMMYFUNCTION("vlookup(BB2856,importrange(""https://docs.google.com/spreadsheets/d/1d2vevQ_7D_v35q4wCQ4RpQ_IPoTwEMB9Yp6ymwlPqew/edit?gid=984458430#gid=984458430"", ""'replication success'!A:M""), 12, FAlSE)"),"#N/A")</f>
        <v>#N/A</v>
      </c>
      <c r="BA2856" s="1321" t="str">
        <f>IFERROR(__xludf.DUMMYFUNCTION("vlookup(BB2856,importrange(""https://docs.google.com/spreadsheets/d/1d2vevQ_7D_v35q4wCQ4RpQ_IPoTwEMB9Yp6ymwlPqew/edit?gid=984458430#gid=984458430"", ""'replication success'!A:M""), 13, FAlSE)"),"#N/A")</f>
        <v>#N/A</v>
      </c>
      <c r="BB2856" s="1321" t="str">
        <f>IFERROR(__xludf.DUMMYFUNCTION("REGEXREPLACE(G2856, ""_[a-z]{1,2}$"", """")"),"add_ai60")</f>
        <v>add_ai60</v>
      </c>
      <c r="BC2856" s="1572"/>
      <c r="BD2856" s="1588" t="s">
        <v>13264</v>
      </c>
      <c r="BE2856" s="342"/>
      <c r="BF2856" s="342"/>
      <c r="BG2856" s="342"/>
      <c r="BH2856" s="342"/>
      <c r="BI2856" s="342"/>
      <c r="BJ2856" s="342"/>
      <c r="BK2856" s="342"/>
      <c r="BL2856" s="342"/>
      <c r="BM2856" s="342"/>
      <c r="BN2856" s="342"/>
      <c r="BO2856" s="342"/>
      <c r="BP2856" s="342"/>
      <c r="BQ2856" s="342"/>
      <c r="BR2856" s="342"/>
      <c r="BS2856" s="342"/>
      <c r="BT2856" s="342"/>
      <c r="BU2856" s="342"/>
      <c r="BV2856" s="342"/>
      <c r="BW2856" s="342"/>
      <c r="BX2856" s="342"/>
      <c r="BY2856" s="342"/>
      <c r="BZ2856" s="342"/>
      <c r="CA2856" s="342"/>
      <c r="CB2856" s="342"/>
      <c r="CC2856" s="342"/>
      <c r="CD2856" s="342"/>
      <c r="CE2856" s="342"/>
      <c r="CF2856" s="342"/>
      <c r="CG2856" s="342"/>
      <c r="CH2856" s="342"/>
      <c r="CI2856" s="342"/>
      <c r="CJ2856" s="342"/>
      <c r="CK2856" s="342"/>
      <c r="CL2856" s="342"/>
      <c r="CM2856" s="342"/>
      <c r="CN2856" s="342"/>
      <c r="CO2856" s="342"/>
      <c r="CP2856" s="342"/>
      <c r="CQ2856" s="342"/>
      <c r="CR2856" s="342"/>
      <c r="CS2856" s="342"/>
      <c r="CT2856" s="342"/>
      <c r="CU2856" s="342"/>
      <c r="CV2856" s="342"/>
      <c r="CW2856" s="342"/>
      <c r="CX2856" s="342"/>
      <c r="CY2856" s="342"/>
      <c r="CZ2856" s="342"/>
      <c r="DA2856" s="342"/>
      <c r="DB2856" s="342"/>
      <c r="DC2856" s="342"/>
      <c r="DD2856" s="342"/>
      <c r="DE2856" s="342"/>
      <c r="DF2856" s="342"/>
      <c r="DG2856" s="342"/>
      <c r="DH2856" s="342"/>
      <c r="DI2856" s="342"/>
      <c r="DJ2856" s="342"/>
      <c r="DK2856" s="342"/>
      <c r="DL2856" s="342"/>
    </row>
    <row r="2857">
      <c r="A2857" s="44">
        <v>3077.0</v>
      </c>
      <c r="B2857" s="1322" t="s">
        <v>152</v>
      </c>
      <c r="C2857" s="1588" t="s">
        <v>115</v>
      </c>
      <c r="D2857" s="1588" t="s">
        <v>153</v>
      </c>
      <c r="E2857" s="1572"/>
      <c r="F2857" s="1600" t="s">
        <v>16459</v>
      </c>
      <c r="G2857" s="1592" t="s">
        <v>16754</v>
      </c>
      <c r="H2857" s="1600" t="s">
        <v>15921</v>
      </c>
      <c r="I2857" s="2229">
        <v>45821.0</v>
      </c>
      <c r="J2857" s="2230">
        <v>45847.0</v>
      </c>
      <c r="K2857" s="1592" t="s">
        <v>16483</v>
      </c>
      <c r="L2857" s="1313"/>
      <c r="M2857" s="1592" t="s">
        <v>16462</v>
      </c>
      <c r="N2857" s="1592" t="s">
        <v>16463</v>
      </c>
      <c r="O2857" s="1313"/>
      <c r="P2857" s="1592" t="s">
        <v>16464</v>
      </c>
      <c r="Q2857" s="2331" t="s">
        <v>16465</v>
      </c>
      <c r="R2857" s="1592" t="s">
        <v>16496</v>
      </c>
      <c r="S2857" s="1592" t="s">
        <v>16467</v>
      </c>
      <c r="T2857" s="1313"/>
      <c r="U2857" s="1313"/>
      <c r="V2857" s="1592" t="s">
        <v>16468</v>
      </c>
      <c r="W2857" s="1313"/>
      <c r="X2857" s="2233" t="str">
        <f t="array" ref="X2857"> if(iserror(MATCH(V2857, 'File Links'!C:C, 0)), "N/A", HYPERLINK(INDEX('File Links'!B:B, MATCH(V2857, 'File Links'!C:C, 0))))</f>
        <v>https://drive.google.com/file/d/16V6fX6zed8MKZ53zcmG18UMG8cS5fmS4/view?usp=drivesdk</v>
      </c>
      <c r="Y2857" s="1313"/>
      <c r="Z2857" s="1592" t="s">
        <v>1679</v>
      </c>
      <c r="AA2857" s="1600" t="s">
        <v>16476</v>
      </c>
      <c r="AB2857" s="1592" t="s">
        <v>16477</v>
      </c>
      <c r="AC2857" s="2262" t="s">
        <v>16755</v>
      </c>
      <c r="AD2857" s="1592" t="s">
        <v>16486</v>
      </c>
      <c r="AE2857" s="2265">
        <v>7.0</v>
      </c>
      <c r="AF2857" s="2342">
        <f>485*0.26</f>
        <v>126.1</v>
      </c>
      <c r="AG2857" s="2265">
        <v>0.094</v>
      </c>
      <c r="AH2857" s="1592" t="s">
        <v>16492</v>
      </c>
      <c r="AI2857" s="2341" t="s">
        <v>16756</v>
      </c>
      <c r="AJ2857" s="1324" t="s">
        <v>138</v>
      </c>
      <c r="AK2857" s="1324" t="s">
        <v>138</v>
      </c>
      <c r="AL2857" s="1592" t="s">
        <v>186</v>
      </c>
      <c r="AM2857" s="1592" t="s">
        <v>137</v>
      </c>
      <c r="AN2857" s="1592" t="s">
        <v>138</v>
      </c>
      <c r="AO2857" s="1596">
        <v>285.0</v>
      </c>
      <c r="AP2857" s="2265">
        <v>0.034</v>
      </c>
      <c r="AQ2857" s="1592" t="s">
        <v>16492</v>
      </c>
      <c r="AR2857" s="2262" t="s">
        <v>16757</v>
      </c>
      <c r="AS2857" s="1592" t="s">
        <v>138</v>
      </c>
      <c r="AT2857" s="2337" t="s">
        <v>138</v>
      </c>
      <c r="AU2857" s="1592" t="s">
        <v>186</v>
      </c>
      <c r="AV2857" s="1592" t="s">
        <v>137</v>
      </c>
      <c r="AW2857" s="1592" t="s">
        <v>138</v>
      </c>
      <c r="AX2857" s="1592" t="s">
        <v>143</v>
      </c>
      <c r="AY2857" s="1321" t="str">
        <f>IFERROR(__xludf.DUMMYFUNCTION("vlookup(BB2857,importrange(""https://docs.google.com/spreadsheets/d/1d2vevQ_7D_v35q4wCQ4RpQ_IPoTwEMB9Yp6ymwlPqew/edit?gid=984458430#gid=984458430"", ""'replication success'!A:K""), 11, FAlSE)"),"#N/A")</f>
        <v>#N/A</v>
      </c>
      <c r="AZ2857" s="1321" t="str">
        <f>IFERROR(__xludf.DUMMYFUNCTION("vlookup(BB2857,importrange(""https://docs.google.com/spreadsheets/d/1d2vevQ_7D_v35q4wCQ4RpQ_IPoTwEMB9Yp6ymwlPqew/edit?gid=984458430#gid=984458430"", ""'replication success'!A:M""), 12, FAlSE)"),"#N/A")</f>
        <v>#N/A</v>
      </c>
      <c r="BA2857" s="1321" t="str">
        <f>IFERROR(__xludf.DUMMYFUNCTION("vlookup(BB2857,importrange(""https://docs.google.com/spreadsheets/d/1d2vevQ_7D_v35q4wCQ4RpQ_IPoTwEMB9Yp6ymwlPqew/edit?gid=984458430#gid=984458430"", ""'replication success'!A:M""), 13, FAlSE)"),"#N/A")</f>
        <v>#N/A</v>
      </c>
      <c r="BB2857" s="1321" t="str">
        <f>IFERROR(__xludf.DUMMYFUNCTION("REGEXREPLACE(G2857, ""_[a-z]{1,2}$"", """")"),"add_ai60_w2")</f>
        <v>add_ai60_w2</v>
      </c>
      <c r="BC2857" s="1572"/>
      <c r="BD2857" s="1588" t="s">
        <v>13264</v>
      </c>
      <c r="BE2857" s="342"/>
      <c r="BF2857" s="342"/>
      <c r="BG2857" s="342"/>
      <c r="BH2857" s="342"/>
      <c r="BI2857" s="342"/>
      <c r="BJ2857" s="342"/>
      <c r="BK2857" s="342"/>
      <c r="BL2857" s="342"/>
      <c r="BM2857" s="342"/>
      <c r="BN2857" s="342"/>
      <c r="BO2857" s="342"/>
      <c r="BP2857" s="342"/>
      <c r="BQ2857" s="342"/>
      <c r="BR2857" s="342"/>
      <c r="BS2857" s="342"/>
      <c r="BT2857" s="342"/>
      <c r="BU2857" s="342"/>
      <c r="BV2857" s="342"/>
      <c r="BW2857" s="342"/>
      <c r="BX2857" s="342"/>
      <c r="BY2857" s="342"/>
      <c r="BZ2857" s="342"/>
      <c r="CA2857" s="342"/>
      <c r="CB2857" s="342"/>
      <c r="CC2857" s="342"/>
      <c r="CD2857" s="342"/>
      <c r="CE2857" s="342"/>
      <c r="CF2857" s="342"/>
      <c r="CG2857" s="342"/>
      <c r="CH2857" s="342"/>
      <c r="CI2857" s="342"/>
      <c r="CJ2857" s="342"/>
      <c r="CK2857" s="342"/>
      <c r="CL2857" s="342"/>
      <c r="CM2857" s="342"/>
      <c r="CN2857" s="342"/>
      <c r="CO2857" s="342"/>
      <c r="CP2857" s="342"/>
      <c r="CQ2857" s="342"/>
      <c r="CR2857" s="342"/>
      <c r="CS2857" s="342"/>
      <c r="CT2857" s="342"/>
      <c r="CU2857" s="342"/>
      <c r="CV2857" s="342"/>
      <c r="CW2857" s="342"/>
      <c r="CX2857" s="342"/>
      <c r="CY2857" s="342"/>
      <c r="CZ2857" s="342"/>
      <c r="DA2857" s="342"/>
      <c r="DB2857" s="342"/>
      <c r="DC2857" s="342"/>
      <c r="DD2857" s="342"/>
      <c r="DE2857" s="342"/>
      <c r="DF2857" s="342"/>
      <c r="DG2857" s="342"/>
      <c r="DH2857" s="342"/>
      <c r="DI2857" s="342"/>
      <c r="DJ2857" s="342"/>
      <c r="DK2857" s="342"/>
      <c r="DL2857" s="342"/>
    </row>
    <row r="2858">
      <c r="A2858" s="44">
        <v>3103.0</v>
      </c>
      <c r="B2858" s="1322" t="s">
        <v>152</v>
      </c>
      <c r="C2858" s="1588" t="s">
        <v>115</v>
      </c>
      <c r="D2858" s="1588" t="s">
        <v>153</v>
      </c>
      <c r="E2858" s="1572"/>
      <c r="F2858" s="1600" t="s">
        <v>16459</v>
      </c>
      <c r="G2858" s="1592" t="s">
        <v>16758</v>
      </c>
      <c r="H2858" s="1600" t="s">
        <v>15921</v>
      </c>
      <c r="I2858" s="2229">
        <v>45821.0</v>
      </c>
      <c r="J2858" s="2230">
        <v>45847.0</v>
      </c>
      <c r="K2858" s="1592" t="s">
        <v>16483</v>
      </c>
      <c r="L2858" s="1313"/>
      <c r="M2858" s="1592" t="s">
        <v>16462</v>
      </c>
      <c r="N2858" s="1592" t="s">
        <v>16463</v>
      </c>
      <c r="O2858" s="1313"/>
      <c r="P2858" s="1592" t="s">
        <v>16464</v>
      </c>
      <c r="Q2858" s="2331" t="s">
        <v>16465</v>
      </c>
      <c r="R2858" s="1592" t="s">
        <v>16496</v>
      </c>
      <c r="S2858" s="1592" t="s">
        <v>16467</v>
      </c>
      <c r="T2858" s="1313"/>
      <c r="U2858" s="1313"/>
      <c r="V2858" s="1592" t="s">
        <v>16468</v>
      </c>
      <c r="W2858" s="1313"/>
      <c r="X2858" s="2233" t="str">
        <f t="array" ref="X2858"> if(iserror(MATCH(V2858, 'File Links'!C:C, 0)), "N/A", HYPERLINK(INDEX('File Links'!B:B, MATCH(V2858, 'File Links'!C:C, 0))))</f>
        <v>https://drive.google.com/file/d/16V6fX6zed8MKZ53zcmG18UMG8cS5fmS4/view?usp=drivesdk</v>
      </c>
      <c r="Y2858" s="1313"/>
      <c r="Z2858" s="1592" t="s">
        <v>1679</v>
      </c>
      <c r="AA2858" s="1600" t="s">
        <v>16476</v>
      </c>
      <c r="AB2858" s="1592" t="s">
        <v>16477</v>
      </c>
      <c r="AC2858" s="2262" t="s">
        <v>16759</v>
      </c>
      <c r="AD2858" s="1592" t="s">
        <v>16486</v>
      </c>
      <c r="AE2858" s="2265">
        <v>7.0</v>
      </c>
      <c r="AF2858" s="2342">
        <f>485*0.13</f>
        <v>63.05</v>
      </c>
      <c r="AG2858" s="2265">
        <v>0.413</v>
      </c>
      <c r="AH2858" s="1592" t="s">
        <v>16492</v>
      </c>
      <c r="AI2858" s="2341" t="s">
        <v>16760</v>
      </c>
      <c r="AJ2858" s="1324" t="s">
        <v>138</v>
      </c>
      <c r="AK2858" s="1324" t="s">
        <v>138</v>
      </c>
      <c r="AL2858" s="1592" t="s">
        <v>186</v>
      </c>
      <c r="AM2858" s="1592" t="s">
        <v>137</v>
      </c>
      <c r="AN2858" s="1592" t="s">
        <v>138</v>
      </c>
      <c r="AO2858" s="1596">
        <v>285.0</v>
      </c>
      <c r="AP2858" s="2265">
        <v>0.027</v>
      </c>
      <c r="AQ2858" s="1592" t="s">
        <v>16492</v>
      </c>
      <c r="AR2858" s="2262" t="s">
        <v>16761</v>
      </c>
      <c r="AS2858" s="1592" t="s">
        <v>138</v>
      </c>
      <c r="AT2858" s="2337" t="s">
        <v>138</v>
      </c>
      <c r="AU2858" s="1592" t="s">
        <v>186</v>
      </c>
      <c r="AV2858" s="1592" t="s">
        <v>137</v>
      </c>
      <c r="AW2858" s="1592" t="s">
        <v>138</v>
      </c>
      <c r="AX2858" s="1592" t="s">
        <v>143</v>
      </c>
      <c r="AY2858" s="1321" t="str">
        <f>IFERROR(__xludf.DUMMYFUNCTION("vlookup(BB2858,importrange(""https://docs.google.com/spreadsheets/d/1d2vevQ_7D_v35q4wCQ4RpQ_IPoTwEMB9Yp6ymwlPqew/edit?gid=984458430#gid=984458430"", ""'replication success'!A:K""), 11, FAlSE)"),"#N/A")</f>
        <v>#N/A</v>
      </c>
      <c r="AZ2858" s="1321" t="str">
        <f>IFERROR(__xludf.DUMMYFUNCTION("vlookup(BB2858,importrange(""https://docs.google.com/spreadsheets/d/1d2vevQ_7D_v35q4wCQ4RpQ_IPoTwEMB9Yp6ymwlPqew/edit?gid=984458430#gid=984458430"", ""'replication success'!A:M""), 12, FAlSE)"),"#N/A")</f>
        <v>#N/A</v>
      </c>
      <c r="BA2858" s="1321" t="str">
        <f>IFERROR(__xludf.DUMMYFUNCTION("vlookup(BB2858,importrange(""https://docs.google.com/spreadsheets/d/1d2vevQ_7D_v35q4wCQ4RpQ_IPoTwEMB9Yp6ymwlPqew/edit?gid=984458430#gid=984458430"", ""'replication success'!A:M""), 13, FAlSE)"),"#N/A")</f>
        <v>#N/A</v>
      </c>
      <c r="BB2858" s="1321" t="str">
        <f>IFERROR(__xludf.DUMMYFUNCTION("REGEXREPLACE(G2858, ""_[a-z]{1,2}$"", """")"),"add_ai60_w3")</f>
        <v>add_ai60_w3</v>
      </c>
      <c r="BC2858" s="1572"/>
      <c r="BD2858" s="1588" t="s">
        <v>13264</v>
      </c>
      <c r="BE2858" s="342"/>
      <c r="BF2858" s="342"/>
      <c r="BG2858" s="342"/>
      <c r="BH2858" s="342"/>
      <c r="BI2858" s="342"/>
      <c r="BJ2858" s="342"/>
      <c r="BK2858" s="342"/>
      <c r="BL2858" s="342"/>
      <c r="BM2858" s="342"/>
      <c r="BN2858" s="342"/>
      <c r="BO2858" s="342"/>
      <c r="BP2858" s="342"/>
      <c r="BQ2858" s="342"/>
      <c r="BR2858" s="342"/>
      <c r="BS2858" s="342"/>
      <c r="BT2858" s="342"/>
      <c r="BU2858" s="342"/>
      <c r="BV2858" s="342"/>
      <c r="BW2858" s="342"/>
      <c r="BX2858" s="342"/>
      <c r="BY2858" s="342"/>
      <c r="BZ2858" s="342"/>
      <c r="CA2858" s="342"/>
      <c r="CB2858" s="342"/>
      <c r="CC2858" s="342"/>
      <c r="CD2858" s="342"/>
      <c r="CE2858" s="342"/>
      <c r="CF2858" s="342"/>
      <c r="CG2858" s="342"/>
      <c r="CH2858" s="342"/>
      <c r="CI2858" s="342"/>
      <c r="CJ2858" s="342"/>
      <c r="CK2858" s="342"/>
      <c r="CL2858" s="342"/>
      <c r="CM2858" s="342"/>
      <c r="CN2858" s="342"/>
      <c r="CO2858" s="342"/>
      <c r="CP2858" s="342"/>
      <c r="CQ2858" s="342"/>
      <c r="CR2858" s="342"/>
      <c r="CS2858" s="342"/>
      <c r="CT2858" s="342"/>
      <c r="CU2858" s="342"/>
      <c r="CV2858" s="342"/>
      <c r="CW2858" s="342"/>
      <c r="CX2858" s="342"/>
      <c r="CY2858" s="342"/>
      <c r="CZ2858" s="342"/>
      <c r="DA2858" s="342"/>
      <c r="DB2858" s="342"/>
      <c r="DC2858" s="342"/>
      <c r="DD2858" s="342"/>
      <c r="DE2858" s="342"/>
      <c r="DF2858" s="342"/>
      <c r="DG2858" s="342"/>
      <c r="DH2858" s="342"/>
      <c r="DI2858" s="342"/>
      <c r="DJ2858" s="342"/>
      <c r="DK2858" s="342"/>
      <c r="DL2858" s="342"/>
    </row>
    <row r="2859">
      <c r="A2859" s="44">
        <v>3052.0</v>
      </c>
      <c r="B2859" s="1322" t="s">
        <v>152</v>
      </c>
      <c r="C2859" s="1588" t="s">
        <v>115</v>
      </c>
      <c r="D2859" s="1588" t="s">
        <v>153</v>
      </c>
      <c r="E2859" s="1572"/>
      <c r="F2859" s="1600" t="s">
        <v>16459</v>
      </c>
      <c r="G2859" s="1592" t="s">
        <v>16762</v>
      </c>
      <c r="H2859" s="1600" t="s">
        <v>15921</v>
      </c>
      <c r="I2859" s="2229">
        <v>45821.0</v>
      </c>
      <c r="J2859" s="2230">
        <v>45847.0</v>
      </c>
      <c r="K2859" s="1592" t="s">
        <v>16483</v>
      </c>
      <c r="L2859" s="1313"/>
      <c r="M2859" s="1592" t="s">
        <v>16462</v>
      </c>
      <c r="N2859" s="1592" t="s">
        <v>16463</v>
      </c>
      <c r="O2859" s="1313"/>
      <c r="P2859" s="1592" t="s">
        <v>16464</v>
      </c>
      <c r="Q2859" s="2331" t="s">
        <v>16465</v>
      </c>
      <c r="R2859" s="1592" t="s">
        <v>16496</v>
      </c>
      <c r="S2859" s="1592" t="s">
        <v>16467</v>
      </c>
      <c r="T2859" s="1313"/>
      <c r="U2859" s="1313"/>
      <c r="V2859" s="1592" t="s">
        <v>16468</v>
      </c>
      <c r="W2859" s="1313"/>
      <c r="X2859" s="2233" t="str">
        <f t="array" ref="X2859"> if(iserror(MATCH(V2859, 'File Links'!C:C, 0)), "N/A", HYPERLINK(INDEX('File Links'!B:B, MATCH(V2859, 'File Links'!C:C, 0))))</f>
        <v>https://drive.google.com/file/d/16V6fX6zed8MKZ53zcmG18UMG8cS5fmS4/view?usp=drivesdk</v>
      </c>
      <c r="Y2859" s="1313"/>
      <c r="Z2859" s="1592" t="s">
        <v>1679</v>
      </c>
      <c r="AA2859" s="1600" t="s">
        <v>16476</v>
      </c>
      <c r="AB2859" s="1592" t="s">
        <v>16477</v>
      </c>
      <c r="AC2859" s="1600" t="s">
        <v>16763</v>
      </c>
      <c r="AD2859" s="1592" t="s">
        <v>16486</v>
      </c>
      <c r="AE2859" s="2265">
        <v>7.0</v>
      </c>
      <c r="AF2859" s="2342">
        <f>485*0.44</f>
        <v>213.4</v>
      </c>
      <c r="AG2859" s="1596">
        <v>0.446</v>
      </c>
      <c r="AH2859" s="1592" t="s">
        <v>361</v>
      </c>
      <c r="AI2859" s="2341" t="s">
        <v>16764</v>
      </c>
      <c r="AJ2859" s="1596">
        <v>1.0E-4</v>
      </c>
      <c r="AK2859" s="1592" t="s">
        <v>135</v>
      </c>
      <c r="AL2859" s="1592" t="s">
        <v>186</v>
      </c>
      <c r="AM2859" s="1592" t="s">
        <v>137</v>
      </c>
      <c r="AN2859" s="1592" t="s">
        <v>138</v>
      </c>
      <c r="AO2859" s="1596">
        <v>285.0</v>
      </c>
      <c r="AP2859" s="2265">
        <v>0.174</v>
      </c>
      <c r="AQ2859" s="1592" t="s">
        <v>361</v>
      </c>
      <c r="AR2859" s="2262" t="s">
        <v>16765</v>
      </c>
      <c r="AS2859" s="2265">
        <v>0.01</v>
      </c>
      <c r="AT2859" s="1592" t="s">
        <v>135</v>
      </c>
      <c r="AU2859" s="1592" t="s">
        <v>186</v>
      </c>
      <c r="AV2859" s="1592" t="s">
        <v>137</v>
      </c>
      <c r="AW2859" s="1592" t="s">
        <v>138</v>
      </c>
      <c r="AX2859" s="1592" t="s">
        <v>143</v>
      </c>
      <c r="AY2859" s="1321" t="str">
        <f>IFERROR(__xludf.DUMMYFUNCTION("vlookup(BB2859,importrange(""https://docs.google.com/spreadsheets/d/1d2vevQ_7D_v35q4wCQ4RpQ_IPoTwEMB9Yp6ymwlPqew/edit?gid=984458430#gid=984458430"", ""'replication success'!A:K""), 11, FAlSE)"),"#N/A")</f>
        <v>#N/A</v>
      </c>
      <c r="AZ2859" s="1321" t="str">
        <f>IFERROR(__xludf.DUMMYFUNCTION("vlookup(BB2859,importrange(""https://docs.google.com/spreadsheets/d/1d2vevQ_7D_v35q4wCQ4RpQ_IPoTwEMB9Yp6ymwlPqew/edit?gid=984458430#gid=984458430"", ""'replication success'!A:M""), 12, FAlSE)"),"#N/A")</f>
        <v>#N/A</v>
      </c>
      <c r="BA2859" s="1321" t="str">
        <f>IFERROR(__xludf.DUMMYFUNCTION("vlookup(BB2859,importrange(""https://docs.google.com/spreadsheets/d/1d2vevQ_7D_v35q4wCQ4RpQ_IPoTwEMB9Yp6ymwlPqew/edit?gid=984458430#gid=984458430"", ""'replication success'!A:M""), 13, FAlSE)"),"#N/A")</f>
        <v>#N/A</v>
      </c>
      <c r="BB2859" s="1321" t="str">
        <f>IFERROR(__xludf.DUMMYFUNCTION("REGEXREPLACE(G2859, ""_[a-z]{1,2}$"", """")"),"add_ai60")</f>
        <v>add_ai60</v>
      </c>
      <c r="BC2859" s="1572"/>
      <c r="BD2859" s="1588" t="s">
        <v>13264</v>
      </c>
      <c r="BE2859" s="342"/>
      <c r="BF2859" s="342"/>
      <c r="BG2859" s="342"/>
      <c r="BH2859" s="342"/>
      <c r="BI2859" s="342"/>
      <c r="BJ2859" s="342"/>
      <c r="BK2859" s="342"/>
      <c r="BL2859" s="342"/>
      <c r="BM2859" s="342"/>
      <c r="BN2859" s="342"/>
      <c r="BO2859" s="342"/>
      <c r="BP2859" s="342"/>
      <c r="BQ2859" s="342"/>
      <c r="BR2859" s="342"/>
      <c r="BS2859" s="342"/>
      <c r="BT2859" s="342"/>
      <c r="BU2859" s="342"/>
      <c r="BV2859" s="342"/>
      <c r="BW2859" s="342"/>
      <c r="BX2859" s="342"/>
      <c r="BY2859" s="342"/>
      <c r="BZ2859" s="342"/>
      <c r="CA2859" s="342"/>
      <c r="CB2859" s="342"/>
      <c r="CC2859" s="342"/>
      <c r="CD2859" s="342"/>
      <c r="CE2859" s="342"/>
      <c r="CF2859" s="342"/>
      <c r="CG2859" s="342"/>
      <c r="CH2859" s="342"/>
      <c r="CI2859" s="342"/>
      <c r="CJ2859" s="342"/>
      <c r="CK2859" s="342"/>
      <c r="CL2859" s="342"/>
      <c r="CM2859" s="342"/>
      <c r="CN2859" s="342"/>
      <c r="CO2859" s="342"/>
      <c r="CP2859" s="342"/>
      <c r="CQ2859" s="342"/>
      <c r="CR2859" s="342"/>
      <c r="CS2859" s="342"/>
      <c r="CT2859" s="342"/>
      <c r="CU2859" s="342"/>
      <c r="CV2859" s="342"/>
      <c r="CW2859" s="342"/>
      <c r="CX2859" s="342"/>
      <c r="CY2859" s="342"/>
      <c r="CZ2859" s="342"/>
      <c r="DA2859" s="342"/>
      <c r="DB2859" s="342"/>
      <c r="DC2859" s="342"/>
      <c r="DD2859" s="342"/>
      <c r="DE2859" s="342"/>
      <c r="DF2859" s="342"/>
      <c r="DG2859" s="342"/>
      <c r="DH2859" s="342"/>
      <c r="DI2859" s="342"/>
      <c r="DJ2859" s="342"/>
      <c r="DK2859" s="342"/>
      <c r="DL2859" s="342"/>
    </row>
    <row r="2860">
      <c r="A2860" s="44">
        <v>3078.0</v>
      </c>
      <c r="B2860" s="1322" t="s">
        <v>152</v>
      </c>
      <c r="C2860" s="1588" t="s">
        <v>115</v>
      </c>
      <c r="D2860" s="1588" t="s">
        <v>153</v>
      </c>
      <c r="E2860" s="1572"/>
      <c r="F2860" s="1600" t="s">
        <v>16459</v>
      </c>
      <c r="G2860" s="1592" t="s">
        <v>16766</v>
      </c>
      <c r="H2860" s="1600" t="s">
        <v>15921</v>
      </c>
      <c r="I2860" s="2229">
        <v>45821.0</v>
      </c>
      <c r="J2860" s="2230">
        <v>45847.0</v>
      </c>
      <c r="K2860" s="1592" t="s">
        <v>16483</v>
      </c>
      <c r="L2860" s="1313"/>
      <c r="M2860" s="1592" t="s">
        <v>16462</v>
      </c>
      <c r="N2860" s="1592" t="s">
        <v>16463</v>
      </c>
      <c r="O2860" s="1313"/>
      <c r="P2860" s="1592" t="s">
        <v>16464</v>
      </c>
      <c r="Q2860" s="2331" t="s">
        <v>16465</v>
      </c>
      <c r="R2860" s="1592" t="s">
        <v>16496</v>
      </c>
      <c r="S2860" s="1592" t="s">
        <v>16467</v>
      </c>
      <c r="T2860" s="1313"/>
      <c r="U2860" s="1313"/>
      <c r="V2860" s="1592" t="s">
        <v>16468</v>
      </c>
      <c r="W2860" s="1313"/>
      <c r="X2860" s="2233" t="str">
        <f t="array" ref="X2860"> if(iserror(MATCH(V2860, 'File Links'!C:C, 0)), "N/A", HYPERLINK(INDEX('File Links'!B:B, MATCH(V2860, 'File Links'!C:C, 0))))</f>
        <v>https://drive.google.com/file/d/16V6fX6zed8MKZ53zcmG18UMG8cS5fmS4/view?usp=drivesdk</v>
      </c>
      <c r="Y2860" s="1313"/>
      <c r="Z2860" s="1592" t="s">
        <v>1679</v>
      </c>
      <c r="AA2860" s="1600" t="s">
        <v>16476</v>
      </c>
      <c r="AB2860" s="1592" t="s">
        <v>16477</v>
      </c>
      <c r="AC2860" s="2262" t="s">
        <v>16767</v>
      </c>
      <c r="AD2860" s="1592" t="s">
        <v>16486</v>
      </c>
      <c r="AE2860" s="2265">
        <v>7.0</v>
      </c>
      <c r="AF2860" s="2342">
        <f>485*0.26</f>
        <v>126.1</v>
      </c>
      <c r="AG2860" s="2265">
        <v>0.187</v>
      </c>
      <c r="AH2860" s="1592" t="s">
        <v>16492</v>
      </c>
      <c r="AI2860" s="2341" t="s">
        <v>16768</v>
      </c>
      <c r="AJ2860" s="1324" t="s">
        <v>138</v>
      </c>
      <c r="AK2860" s="1324" t="s">
        <v>138</v>
      </c>
      <c r="AL2860" s="1592" t="s">
        <v>186</v>
      </c>
      <c r="AM2860" s="1592" t="s">
        <v>137</v>
      </c>
      <c r="AN2860" s="1592" t="s">
        <v>138</v>
      </c>
      <c r="AO2860" s="1596">
        <v>285.0</v>
      </c>
      <c r="AP2860" s="2265">
        <v>0.048</v>
      </c>
      <c r="AQ2860" s="1592" t="s">
        <v>16492</v>
      </c>
      <c r="AR2860" s="2262" t="s">
        <v>16769</v>
      </c>
      <c r="AS2860" s="1592" t="s">
        <v>138</v>
      </c>
      <c r="AT2860" s="2337" t="s">
        <v>138</v>
      </c>
      <c r="AU2860" s="1592" t="s">
        <v>186</v>
      </c>
      <c r="AV2860" s="1592" t="s">
        <v>137</v>
      </c>
      <c r="AW2860" s="1592" t="s">
        <v>138</v>
      </c>
      <c r="AX2860" s="1592" t="s">
        <v>143</v>
      </c>
      <c r="AY2860" s="1321" t="str">
        <f>IFERROR(__xludf.DUMMYFUNCTION("vlookup(BB2860,importrange(""https://docs.google.com/spreadsheets/d/1d2vevQ_7D_v35q4wCQ4RpQ_IPoTwEMB9Yp6ymwlPqew/edit?gid=984458430#gid=984458430"", ""'replication success'!A:K""), 11, FAlSE)"),"#N/A")</f>
        <v>#N/A</v>
      </c>
      <c r="AZ2860" s="1321" t="str">
        <f>IFERROR(__xludf.DUMMYFUNCTION("vlookup(BB2860,importrange(""https://docs.google.com/spreadsheets/d/1d2vevQ_7D_v35q4wCQ4RpQ_IPoTwEMB9Yp6ymwlPqew/edit?gid=984458430#gid=984458430"", ""'replication success'!A:M""), 12, FAlSE)"),"#N/A")</f>
        <v>#N/A</v>
      </c>
      <c r="BA2860" s="1321" t="str">
        <f>IFERROR(__xludf.DUMMYFUNCTION("vlookup(BB2860,importrange(""https://docs.google.com/spreadsheets/d/1d2vevQ_7D_v35q4wCQ4RpQ_IPoTwEMB9Yp6ymwlPqew/edit?gid=984458430#gid=984458430"", ""'replication success'!A:M""), 13, FAlSE)"),"#N/A")</f>
        <v>#N/A</v>
      </c>
      <c r="BB2860" s="1321" t="str">
        <f>IFERROR(__xludf.DUMMYFUNCTION("REGEXREPLACE(G2860, ""_[a-z]{1,2}$"", """")"),"add_ai60_x2")</f>
        <v>add_ai60_x2</v>
      </c>
      <c r="BC2860" s="1572"/>
      <c r="BD2860" s="1588" t="s">
        <v>13264</v>
      </c>
      <c r="BE2860" s="342"/>
      <c r="BF2860" s="342"/>
      <c r="BG2860" s="342"/>
      <c r="BH2860" s="342"/>
      <c r="BI2860" s="342"/>
      <c r="BJ2860" s="342"/>
      <c r="BK2860" s="342"/>
      <c r="BL2860" s="342"/>
      <c r="BM2860" s="342"/>
      <c r="BN2860" s="342"/>
      <c r="BO2860" s="342"/>
      <c r="BP2860" s="342"/>
      <c r="BQ2860" s="342"/>
      <c r="BR2860" s="342"/>
      <c r="BS2860" s="342"/>
      <c r="BT2860" s="342"/>
      <c r="BU2860" s="342"/>
      <c r="BV2860" s="342"/>
      <c r="BW2860" s="342"/>
      <c r="BX2860" s="342"/>
      <c r="BY2860" s="342"/>
      <c r="BZ2860" s="342"/>
      <c r="CA2860" s="342"/>
      <c r="CB2860" s="342"/>
      <c r="CC2860" s="342"/>
      <c r="CD2860" s="342"/>
      <c r="CE2860" s="342"/>
      <c r="CF2860" s="342"/>
      <c r="CG2860" s="342"/>
      <c r="CH2860" s="342"/>
      <c r="CI2860" s="342"/>
      <c r="CJ2860" s="342"/>
      <c r="CK2860" s="342"/>
      <c r="CL2860" s="342"/>
      <c r="CM2860" s="342"/>
      <c r="CN2860" s="342"/>
      <c r="CO2860" s="342"/>
      <c r="CP2860" s="342"/>
      <c r="CQ2860" s="342"/>
      <c r="CR2860" s="342"/>
      <c r="CS2860" s="342"/>
      <c r="CT2860" s="342"/>
      <c r="CU2860" s="342"/>
      <c r="CV2860" s="342"/>
      <c r="CW2860" s="342"/>
      <c r="CX2860" s="342"/>
      <c r="CY2860" s="342"/>
      <c r="CZ2860" s="342"/>
      <c r="DA2860" s="342"/>
      <c r="DB2860" s="342"/>
      <c r="DC2860" s="342"/>
      <c r="DD2860" s="342"/>
      <c r="DE2860" s="342"/>
      <c r="DF2860" s="342"/>
      <c r="DG2860" s="342"/>
      <c r="DH2860" s="342"/>
      <c r="DI2860" s="342"/>
      <c r="DJ2860" s="342"/>
      <c r="DK2860" s="342"/>
      <c r="DL2860" s="342"/>
    </row>
    <row r="2861">
      <c r="A2861" s="44">
        <v>3104.0</v>
      </c>
      <c r="B2861" s="1322" t="s">
        <v>152</v>
      </c>
      <c r="C2861" s="1588" t="s">
        <v>115</v>
      </c>
      <c r="D2861" s="1588" t="s">
        <v>153</v>
      </c>
      <c r="E2861" s="1572"/>
      <c r="F2861" s="1600" t="s">
        <v>16459</v>
      </c>
      <c r="G2861" s="1592" t="s">
        <v>16770</v>
      </c>
      <c r="H2861" s="1600" t="s">
        <v>15921</v>
      </c>
      <c r="I2861" s="2229">
        <v>45821.0</v>
      </c>
      <c r="J2861" s="2230">
        <v>45847.0</v>
      </c>
      <c r="K2861" s="1592" t="s">
        <v>16483</v>
      </c>
      <c r="L2861" s="1313"/>
      <c r="M2861" s="1592" t="s">
        <v>16462</v>
      </c>
      <c r="N2861" s="1592" t="s">
        <v>16463</v>
      </c>
      <c r="O2861" s="1313"/>
      <c r="P2861" s="1592" t="s">
        <v>16464</v>
      </c>
      <c r="Q2861" s="2331" t="s">
        <v>16465</v>
      </c>
      <c r="R2861" s="1592" t="s">
        <v>16496</v>
      </c>
      <c r="S2861" s="1592" t="s">
        <v>16467</v>
      </c>
      <c r="T2861" s="1313"/>
      <c r="U2861" s="1313"/>
      <c r="V2861" s="1592" t="s">
        <v>16468</v>
      </c>
      <c r="W2861" s="1313"/>
      <c r="X2861" s="2233" t="str">
        <f t="array" ref="X2861"> if(iserror(MATCH(V2861, 'File Links'!C:C, 0)), "N/A", HYPERLINK(INDEX('File Links'!B:B, MATCH(V2861, 'File Links'!C:C, 0))))</f>
        <v>https://drive.google.com/file/d/16V6fX6zed8MKZ53zcmG18UMG8cS5fmS4/view?usp=drivesdk</v>
      </c>
      <c r="Y2861" s="1313"/>
      <c r="Z2861" s="1592" t="s">
        <v>1679</v>
      </c>
      <c r="AA2861" s="1600" t="s">
        <v>16476</v>
      </c>
      <c r="AB2861" s="1592" t="s">
        <v>16477</v>
      </c>
      <c r="AC2861" s="2262" t="s">
        <v>16771</v>
      </c>
      <c r="AD2861" s="1592" t="s">
        <v>16486</v>
      </c>
      <c r="AE2861" s="2265">
        <v>7.0</v>
      </c>
      <c r="AF2861" s="2342">
        <f>485*0.13</f>
        <v>63.05</v>
      </c>
      <c r="AG2861" s="2265">
        <v>0.347</v>
      </c>
      <c r="AH2861" s="1592" t="s">
        <v>16492</v>
      </c>
      <c r="AI2861" s="2341" t="s">
        <v>16772</v>
      </c>
      <c r="AJ2861" s="1324" t="s">
        <v>138</v>
      </c>
      <c r="AK2861" s="1324" t="s">
        <v>138</v>
      </c>
      <c r="AL2861" s="1592" t="s">
        <v>186</v>
      </c>
      <c r="AM2861" s="1592" t="s">
        <v>137</v>
      </c>
      <c r="AN2861" s="1592" t="s">
        <v>138</v>
      </c>
      <c r="AO2861" s="1596">
        <v>285.0</v>
      </c>
      <c r="AP2861" s="2265">
        <v>0.057</v>
      </c>
      <c r="AQ2861" s="1592" t="s">
        <v>16492</v>
      </c>
      <c r="AR2861" s="2262" t="s">
        <v>16773</v>
      </c>
      <c r="AS2861" s="1592" t="s">
        <v>138</v>
      </c>
      <c r="AT2861" s="2337" t="s">
        <v>138</v>
      </c>
      <c r="AU2861" s="1592" t="s">
        <v>186</v>
      </c>
      <c r="AV2861" s="1592" t="s">
        <v>137</v>
      </c>
      <c r="AW2861" s="1592" t="s">
        <v>138</v>
      </c>
      <c r="AX2861" s="1592" t="s">
        <v>143</v>
      </c>
      <c r="AY2861" s="1321" t="str">
        <f>IFERROR(__xludf.DUMMYFUNCTION("vlookup(BB2861,importrange(""https://docs.google.com/spreadsheets/d/1d2vevQ_7D_v35q4wCQ4RpQ_IPoTwEMB9Yp6ymwlPqew/edit?gid=984458430#gid=984458430"", ""'replication success'!A:K""), 11, FAlSE)"),"#N/A")</f>
        <v>#N/A</v>
      </c>
      <c r="AZ2861" s="1321" t="str">
        <f>IFERROR(__xludf.DUMMYFUNCTION("vlookup(BB2861,importrange(""https://docs.google.com/spreadsheets/d/1d2vevQ_7D_v35q4wCQ4RpQ_IPoTwEMB9Yp6ymwlPqew/edit?gid=984458430#gid=984458430"", ""'replication success'!A:M""), 12, FAlSE)"),"#N/A")</f>
        <v>#N/A</v>
      </c>
      <c r="BA2861" s="1321" t="str">
        <f>IFERROR(__xludf.DUMMYFUNCTION("vlookup(BB2861,importrange(""https://docs.google.com/spreadsheets/d/1d2vevQ_7D_v35q4wCQ4RpQ_IPoTwEMB9Yp6ymwlPqew/edit?gid=984458430#gid=984458430"", ""'replication success'!A:M""), 13, FAlSE)"),"#N/A")</f>
        <v>#N/A</v>
      </c>
      <c r="BB2861" s="1321" t="str">
        <f>IFERROR(__xludf.DUMMYFUNCTION("REGEXREPLACE(G2861, ""_[a-z]{1,2}$"", """")"),"add_ai60_x3")</f>
        <v>add_ai60_x3</v>
      </c>
      <c r="BC2861" s="1572"/>
      <c r="BD2861" s="1588" t="s">
        <v>13264</v>
      </c>
      <c r="BE2861" s="342"/>
      <c r="BF2861" s="342"/>
      <c r="BG2861" s="342"/>
      <c r="BH2861" s="342"/>
      <c r="BI2861" s="342"/>
      <c r="BJ2861" s="342"/>
      <c r="BK2861" s="342"/>
      <c r="BL2861" s="342"/>
      <c r="BM2861" s="342"/>
      <c r="BN2861" s="342"/>
      <c r="BO2861" s="342"/>
      <c r="BP2861" s="342"/>
      <c r="BQ2861" s="342"/>
      <c r="BR2861" s="342"/>
      <c r="BS2861" s="342"/>
      <c r="BT2861" s="342"/>
      <c r="BU2861" s="342"/>
      <c r="BV2861" s="342"/>
      <c r="BW2861" s="342"/>
      <c r="BX2861" s="342"/>
      <c r="BY2861" s="342"/>
      <c r="BZ2861" s="342"/>
      <c r="CA2861" s="342"/>
      <c r="CB2861" s="342"/>
      <c r="CC2861" s="342"/>
      <c r="CD2861" s="342"/>
      <c r="CE2861" s="342"/>
      <c r="CF2861" s="342"/>
      <c r="CG2861" s="342"/>
      <c r="CH2861" s="342"/>
      <c r="CI2861" s="342"/>
      <c r="CJ2861" s="342"/>
      <c r="CK2861" s="342"/>
      <c r="CL2861" s="342"/>
      <c r="CM2861" s="342"/>
      <c r="CN2861" s="342"/>
      <c r="CO2861" s="342"/>
      <c r="CP2861" s="342"/>
      <c r="CQ2861" s="342"/>
      <c r="CR2861" s="342"/>
      <c r="CS2861" s="342"/>
      <c r="CT2861" s="342"/>
      <c r="CU2861" s="342"/>
      <c r="CV2861" s="342"/>
      <c r="CW2861" s="342"/>
      <c r="CX2861" s="342"/>
      <c r="CY2861" s="342"/>
      <c r="CZ2861" s="342"/>
      <c r="DA2861" s="342"/>
      <c r="DB2861" s="342"/>
      <c r="DC2861" s="342"/>
      <c r="DD2861" s="342"/>
      <c r="DE2861" s="342"/>
      <c r="DF2861" s="342"/>
      <c r="DG2861" s="342"/>
      <c r="DH2861" s="342"/>
      <c r="DI2861" s="342"/>
      <c r="DJ2861" s="342"/>
      <c r="DK2861" s="342"/>
      <c r="DL2861" s="342"/>
    </row>
    <row r="2862">
      <c r="A2862" s="44">
        <v>3053.0</v>
      </c>
      <c r="B2862" s="1322" t="s">
        <v>152</v>
      </c>
      <c r="C2862" s="1588" t="s">
        <v>115</v>
      </c>
      <c r="D2862" s="1588" t="s">
        <v>153</v>
      </c>
      <c r="E2862" s="1572"/>
      <c r="F2862" s="1600" t="s">
        <v>16459</v>
      </c>
      <c r="G2862" s="1592" t="s">
        <v>16774</v>
      </c>
      <c r="H2862" s="1600" t="s">
        <v>15921</v>
      </c>
      <c r="I2862" s="2229">
        <v>45821.0</v>
      </c>
      <c r="J2862" s="2230">
        <v>45847.0</v>
      </c>
      <c r="K2862" s="1592" t="s">
        <v>16483</v>
      </c>
      <c r="L2862" s="1313"/>
      <c r="M2862" s="1592" t="s">
        <v>16462</v>
      </c>
      <c r="N2862" s="1592" t="s">
        <v>16463</v>
      </c>
      <c r="O2862" s="1313"/>
      <c r="P2862" s="1592" t="s">
        <v>16464</v>
      </c>
      <c r="Q2862" s="2331" t="s">
        <v>16465</v>
      </c>
      <c r="R2862" s="1592" t="s">
        <v>16496</v>
      </c>
      <c r="S2862" s="1592" t="s">
        <v>16467</v>
      </c>
      <c r="T2862" s="1313"/>
      <c r="U2862" s="1313"/>
      <c r="V2862" s="1592" t="s">
        <v>16468</v>
      </c>
      <c r="W2862" s="1313"/>
      <c r="X2862" s="2233" t="str">
        <f t="array" ref="X2862"> if(iserror(MATCH(V2862, 'File Links'!C:C, 0)), "N/A", HYPERLINK(INDEX('File Links'!B:B, MATCH(V2862, 'File Links'!C:C, 0))))</f>
        <v>https://drive.google.com/file/d/16V6fX6zed8MKZ53zcmG18UMG8cS5fmS4/view?usp=drivesdk</v>
      </c>
      <c r="Y2862" s="1313"/>
      <c r="Z2862" s="1592" t="s">
        <v>1679</v>
      </c>
      <c r="AA2862" s="1600" t="s">
        <v>16476</v>
      </c>
      <c r="AB2862" s="1592" t="s">
        <v>16477</v>
      </c>
      <c r="AC2862" s="1600" t="s">
        <v>16775</v>
      </c>
      <c r="AD2862" s="1592" t="s">
        <v>16486</v>
      </c>
      <c r="AE2862" s="2265">
        <v>7.0</v>
      </c>
      <c r="AF2862" s="2342">
        <f>485*0.44</f>
        <v>213.4</v>
      </c>
      <c r="AG2862" s="1596">
        <v>0.346</v>
      </c>
      <c r="AH2862" s="1592" t="s">
        <v>361</v>
      </c>
      <c r="AI2862" s="2341" t="s">
        <v>16776</v>
      </c>
      <c r="AJ2862" s="1596">
        <v>0.0023</v>
      </c>
      <c r="AK2862" s="1592" t="s">
        <v>172</v>
      </c>
      <c r="AL2862" s="1592" t="s">
        <v>186</v>
      </c>
      <c r="AM2862" s="1592" t="s">
        <v>137</v>
      </c>
      <c r="AN2862" s="1592" t="s">
        <v>138</v>
      </c>
      <c r="AO2862" s="1596">
        <v>285.0</v>
      </c>
      <c r="AP2862" s="2265">
        <v>0.174</v>
      </c>
      <c r="AQ2862" s="1592" t="s">
        <v>361</v>
      </c>
      <c r="AR2862" s="2262" t="s">
        <v>16777</v>
      </c>
      <c r="AS2862" s="2265">
        <v>0.01</v>
      </c>
      <c r="AT2862" s="1592" t="s">
        <v>135</v>
      </c>
      <c r="AU2862" s="1592" t="s">
        <v>186</v>
      </c>
      <c r="AV2862" s="1592" t="s">
        <v>137</v>
      </c>
      <c r="AW2862" s="1592" t="s">
        <v>138</v>
      </c>
      <c r="AX2862" s="1592" t="s">
        <v>143</v>
      </c>
      <c r="AY2862" s="1321" t="str">
        <f>IFERROR(__xludf.DUMMYFUNCTION("vlookup(BB2862,importrange(""https://docs.google.com/spreadsheets/d/1d2vevQ_7D_v35q4wCQ4RpQ_IPoTwEMB9Yp6ymwlPqew/edit?gid=984458430#gid=984458430"", ""'replication success'!A:K""), 11, FAlSE)"),"#N/A")</f>
        <v>#N/A</v>
      </c>
      <c r="AZ2862" s="1321" t="str">
        <f>IFERROR(__xludf.DUMMYFUNCTION("vlookup(BB2862,importrange(""https://docs.google.com/spreadsheets/d/1d2vevQ_7D_v35q4wCQ4RpQ_IPoTwEMB9Yp6ymwlPqew/edit?gid=984458430#gid=984458430"", ""'replication success'!A:M""), 12, FAlSE)"),"#N/A")</f>
        <v>#N/A</v>
      </c>
      <c r="BA2862" s="1321" t="str">
        <f>IFERROR(__xludf.DUMMYFUNCTION("vlookup(BB2862,importrange(""https://docs.google.com/spreadsheets/d/1d2vevQ_7D_v35q4wCQ4RpQ_IPoTwEMB9Yp6ymwlPqew/edit?gid=984458430#gid=984458430"", ""'replication success'!A:M""), 13, FAlSE)"),"#N/A")</f>
        <v>#N/A</v>
      </c>
      <c r="BB2862" s="1321" t="str">
        <f>IFERROR(__xludf.DUMMYFUNCTION("REGEXREPLACE(G2862, ""_[a-z]{1,2}$"", """")"),"add_ai60")</f>
        <v>add_ai60</v>
      </c>
      <c r="BC2862" s="1572"/>
      <c r="BD2862" s="1588" t="s">
        <v>13264</v>
      </c>
      <c r="BE2862" s="342"/>
      <c r="BF2862" s="342"/>
      <c r="BG2862" s="342"/>
      <c r="BH2862" s="342"/>
      <c r="BI2862" s="342"/>
      <c r="BJ2862" s="342"/>
      <c r="BK2862" s="342"/>
      <c r="BL2862" s="342"/>
      <c r="BM2862" s="342"/>
      <c r="BN2862" s="342"/>
      <c r="BO2862" s="342"/>
      <c r="BP2862" s="342"/>
      <c r="BQ2862" s="342"/>
      <c r="BR2862" s="342"/>
      <c r="BS2862" s="342"/>
      <c r="BT2862" s="342"/>
      <c r="BU2862" s="342"/>
      <c r="BV2862" s="342"/>
      <c r="BW2862" s="342"/>
      <c r="BX2862" s="342"/>
      <c r="BY2862" s="342"/>
      <c r="BZ2862" s="342"/>
      <c r="CA2862" s="342"/>
      <c r="CB2862" s="342"/>
      <c r="CC2862" s="342"/>
      <c r="CD2862" s="342"/>
      <c r="CE2862" s="342"/>
      <c r="CF2862" s="342"/>
      <c r="CG2862" s="342"/>
      <c r="CH2862" s="342"/>
      <c r="CI2862" s="342"/>
      <c r="CJ2862" s="342"/>
      <c r="CK2862" s="342"/>
      <c r="CL2862" s="342"/>
      <c r="CM2862" s="342"/>
      <c r="CN2862" s="342"/>
      <c r="CO2862" s="342"/>
      <c r="CP2862" s="342"/>
      <c r="CQ2862" s="342"/>
      <c r="CR2862" s="342"/>
      <c r="CS2862" s="342"/>
      <c r="CT2862" s="342"/>
      <c r="CU2862" s="342"/>
      <c r="CV2862" s="342"/>
      <c r="CW2862" s="342"/>
      <c r="CX2862" s="342"/>
      <c r="CY2862" s="342"/>
      <c r="CZ2862" s="342"/>
      <c r="DA2862" s="342"/>
      <c r="DB2862" s="342"/>
      <c r="DC2862" s="342"/>
      <c r="DD2862" s="342"/>
      <c r="DE2862" s="342"/>
      <c r="DF2862" s="342"/>
      <c r="DG2862" s="342"/>
      <c r="DH2862" s="342"/>
      <c r="DI2862" s="342"/>
      <c r="DJ2862" s="342"/>
      <c r="DK2862" s="342"/>
      <c r="DL2862" s="342"/>
    </row>
    <row r="2863">
      <c r="A2863" s="44">
        <v>3079.0</v>
      </c>
      <c r="B2863" s="1322" t="s">
        <v>152</v>
      </c>
      <c r="C2863" s="1588" t="s">
        <v>115</v>
      </c>
      <c r="D2863" s="1588" t="s">
        <v>153</v>
      </c>
      <c r="E2863" s="1572"/>
      <c r="F2863" s="1600" t="s">
        <v>16459</v>
      </c>
      <c r="G2863" s="1592" t="s">
        <v>16778</v>
      </c>
      <c r="H2863" s="1600" t="s">
        <v>15921</v>
      </c>
      <c r="I2863" s="2229">
        <v>45821.0</v>
      </c>
      <c r="J2863" s="2230">
        <v>45847.0</v>
      </c>
      <c r="K2863" s="1592" t="s">
        <v>16483</v>
      </c>
      <c r="L2863" s="1313"/>
      <c r="M2863" s="1592" t="s">
        <v>16462</v>
      </c>
      <c r="N2863" s="1592" t="s">
        <v>16463</v>
      </c>
      <c r="O2863" s="1313"/>
      <c r="P2863" s="1592" t="s">
        <v>16464</v>
      </c>
      <c r="Q2863" s="2331" t="s">
        <v>16465</v>
      </c>
      <c r="R2863" s="1592" t="s">
        <v>16496</v>
      </c>
      <c r="S2863" s="1592" t="s">
        <v>16467</v>
      </c>
      <c r="T2863" s="1313"/>
      <c r="U2863" s="1313"/>
      <c r="V2863" s="1592" t="s">
        <v>16468</v>
      </c>
      <c r="W2863" s="1313"/>
      <c r="X2863" s="2233" t="str">
        <f t="array" ref="X2863"> if(iserror(MATCH(V2863, 'File Links'!C:C, 0)), "N/A", HYPERLINK(INDEX('File Links'!B:B, MATCH(V2863, 'File Links'!C:C, 0))))</f>
        <v>https://drive.google.com/file/d/16V6fX6zed8MKZ53zcmG18UMG8cS5fmS4/view?usp=drivesdk</v>
      </c>
      <c r="Y2863" s="1313"/>
      <c r="Z2863" s="1592" t="s">
        <v>1679</v>
      </c>
      <c r="AA2863" s="1600" t="s">
        <v>16476</v>
      </c>
      <c r="AB2863" s="1592" t="s">
        <v>16477</v>
      </c>
      <c r="AC2863" s="2262" t="s">
        <v>16779</v>
      </c>
      <c r="AD2863" s="1592" t="s">
        <v>16486</v>
      </c>
      <c r="AE2863" s="2265">
        <v>7.0</v>
      </c>
      <c r="AF2863" s="2342">
        <f>485*0.26</f>
        <v>126.1</v>
      </c>
      <c r="AG2863" s="2265">
        <v>0.123</v>
      </c>
      <c r="AH2863" s="1592" t="s">
        <v>16492</v>
      </c>
      <c r="AI2863" s="2341" t="s">
        <v>16780</v>
      </c>
      <c r="AJ2863" s="1324" t="s">
        <v>138</v>
      </c>
      <c r="AK2863" s="1324" t="s">
        <v>138</v>
      </c>
      <c r="AL2863" s="1592" t="s">
        <v>186</v>
      </c>
      <c r="AM2863" s="1592" t="s">
        <v>137</v>
      </c>
      <c r="AN2863" s="1592" t="s">
        <v>138</v>
      </c>
      <c r="AO2863" s="1596">
        <v>285.0</v>
      </c>
      <c r="AP2863" s="1596">
        <v>0.081</v>
      </c>
      <c r="AQ2863" s="1592" t="s">
        <v>16492</v>
      </c>
      <c r="AR2863" s="2262" t="s">
        <v>16781</v>
      </c>
      <c r="AS2863" s="1592" t="s">
        <v>138</v>
      </c>
      <c r="AT2863" s="2337" t="s">
        <v>138</v>
      </c>
      <c r="AU2863" s="1592" t="s">
        <v>186</v>
      </c>
      <c r="AV2863" s="1592" t="s">
        <v>137</v>
      </c>
      <c r="AW2863" s="1592" t="s">
        <v>138</v>
      </c>
      <c r="AX2863" s="1592" t="s">
        <v>143</v>
      </c>
      <c r="AY2863" s="1321" t="str">
        <f>IFERROR(__xludf.DUMMYFUNCTION("vlookup(BB2863,importrange(""https://docs.google.com/spreadsheets/d/1d2vevQ_7D_v35q4wCQ4RpQ_IPoTwEMB9Yp6ymwlPqew/edit?gid=984458430#gid=984458430"", ""'replication success'!A:K""), 11, FAlSE)"),"#N/A")</f>
        <v>#N/A</v>
      </c>
      <c r="AZ2863" s="1321" t="str">
        <f>IFERROR(__xludf.DUMMYFUNCTION("vlookup(BB2863,importrange(""https://docs.google.com/spreadsheets/d/1d2vevQ_7D_v35q4wCQ4RpQ_IPoTwEMB9Yp6ymwlPqew/edit?gid=984458430#gid=984458430"", ""'replication success'!A:M""), 12, FAlSE)"),"#N/A")</f>
        <v>#N/A</v>
      </c>
      <c r="BA2863" s="1321" t="str">
        <f>IFERROR(__xludf.DUMMYFUNCTION("vlookup(BB2863,importrange(""https://docs.google.com/spreadsheets/d/1d2vevQ_7D_v35q4wCQ4RpQ_IPoTwEMB9Yp6ymwlPqew/edit?gid=984458430#gid=984458430"", ""'replication success'!A:M""), 13, FAlSE)"),"#N/A")</f>
        <v>#N/A</v>
      </c>
      <c r="BB2863" s="1321" t="str">
        <f>IFERROR(__xludf.DUMMYFUNCTION("REGEXREPLACE(G2863, ""_[a-z]{1,2}$"", """")"),"add_ai60_y2")</f>
        <v>add_ai60_y2</v>
      </c>
      <c r="BC2863" s="1572"/>
      <c r="BD2863" s="1588" t="s">
        <v>13264</v>
      </c>
      <c r="BE2863" s="342"/>
      <c r="BF2863" s="342"/>
      <c r="BG2863" s="342"/>
      <c r="BH2863" s="342"/>
      <c r="BI2863" s="342"/>
      <c r="BJ2863" s="342"/>
      <c r="BK2863" s="342"/>
      <c r="BL2863" s="342"/>
      <c r="BM2863" s="342"/>
      <c r="BN2863" s="342"/>
      <c r="BO2863" s="342"/>
      <c r="BP2863" s="342"/>
      <c r="BQ2863" s="342"/>
      <c r="BR2863" s="342"/>
      <c r="BS2863" s="342"/>
      <c r="BT2863" s="342"/>
      <c r="BU2863" s="342"/>
      <c r="BV2863" s="342"/>
      <c r="BW2863" s="342"/>
      <c r="BX2863" s="342"/>
      <c r="BY2863" s="342"/>
      <c r="BZ2863" s="342"/>
      <c r="CA2863" s="342"/>
      <c r="CB2863" s="342"/>
      <c r="CC2863" s="342"/>
      <c r="CD2863" s="342"/>
      <c r="CE2863" s="342"/>
      <c r="CF2863" s="342"/>
      <c r="CG2863" s="342"/>
      <c r="CH2863" s="342"/>
      <c r="CI2863" s="342"/>
      <c r="CJ2863" s="342"/>
      <c r="CK2863" s="342"/>
      <c r="CL2863" s="342"/>
      <c r="CM2863" s="342"/>
      <c r="CN2863" s="342"/>
      <c r="CO2863" s="342"/>
      <c r="CP2863" s="342"/>
      <c r="CQ2863" s="342"/>
      <c r="CR2863" s="342"/>
      <c r="CS2863" s="342"/>
      <c r="CT2863" s="342"/>
      <c r="CU2863" s="342"/>
      <c r="CV2863" s="342"/>
      <c r="CW2863" s="342"/>
      <c r="CX2863" s="342"/>
      <c r="CY2863" s="342"/>
      <c r="CZ2863" s="342"/>
      <c r="DA2863" s="342"/>
      <c r="DB2863" s="342"/>
      <c r="DC2863" s="342"/>
      <c r="DD2863" s="342"/>
      <c r="DE2863" s="342"/>
      <c r="DF2863" s="342"/>
      <c r="DG2863" s="342"/>
      <c r="DH2863" s="342"/>
      <c r="DI2863" s="342"/>
      <c r="DJ2863" s="342"/>
      <c r="DK2863" s="342"/>
      <c r="DL2863" s="342"/>
    </row>
    <row r="2864">
      <c r="A2864" s="44">
        <v>3105.0</v>
      </c>
      <c r="B2864" s="1322" t="s">
        <v>152</v>
      </c>
      <c r="C2864" s="1588" t="s">
        <v>115</v>
      </c>
      <c r="D2864" s="1588" t="s">
        <v>153</v>
      </c>
      <c r="E2864" s="1572"/>
      <c r="F2864" s="1600" t="s">
        <v>16459</v>
      </c>
      <c r="G2864" s="1592" t="s">
        <v>16782</v>
      </c>
      <c r="H2864" s="1600" t="s">
        <v>15921</v>
      </c>
      <c r="I2864" s="2229">
        <v>45821.0</v>
      </c>
      <c r="J2864" s="2230">
        <v>45847.0</v>
      </c>
      <c r="K2864" s="1592" t="s">
        <v>16483</v>
      </c>
      <c r="L2864" s="1313"/>
      <c r="M2864" s="1592" t="s">
        <v>16462</v>
      </c>
      <c r="N2864" s="1592" t="s">
        <v>16463</v>
      </c>
      <c r="O2864" s="1313"/>
      <c r="P2864" s="1592" t="s">
        <v>16464</v>
      </c>
      <c r="Q2864" s="2331" t="s">
        <v>16465</v>
      </c>
      <c r="R2864" s="1592" t="s">
        <v>16496</v>
      </c>
      <c r="S2864" s="1592" t="s">
        <v>16467</v>
      </c>
      <c r="T2864" s="1313"/>
      <c r="U2864" s="1313"/>
      <c r="V2864" s="1592" t="s">
        <v>16468</v>
      </c>
      <c r="W2864" s="1313"/>
      <c r="X2864" s="2233" t="str">
        <f t="array" ref="X2864"> if(iserror(MATCH(V2864, 'File Links'!C:C, 0)), "N/A", HYPERLINK(INDEX('File Links'!B:B, MATCH(V2864, 'File Links'!C:C, 0))))</f>
        <v>https://drive.google.com/file/d/16V6fX6zed8MKZ53zcmG18UMG8cS5fmS4/view?usp=drivesdk</v>
      </c>
      <c r="Y2864" s="1313"/>
      <c r="Z2864" s="1592" t="s">
        <v>1679</v>
      </c>
      <c r="AA2864" s="1600" t="s">
        <v>16476</v>
      </c>
      <c r="AB2864" s="1592" t="s">
        <v>16477</v>
      </c>
      <c r="AC2864" s="2262" t="s">
        <v>16783</v>
      </c>
      <c r="AD2864" s="1592" t="s">
        <v>16486</v>
      </c>
      <c r="AE2864" s="2265">
        <v>7.0</v>
      </c>
      <c r="AF2864" s="2342">
        <f>485*0.13</f>
        <v>63.05</v>
      </c>
      <c r="AG2864" s="2265">
        <v>0.082</v>
      </c>
      <c r="AH2864" s="1592" t="s">
        <v>16492</v>
      </c>
      <c r="AI2864" s="2341" t="s">
        <v>16784</v>
      </c>
      <c r="AJ2864" s="1324" t="s">
        <v>138</v>
      </c>
      <c r="AK2864" s="1324" t="s">
        <v>138</v>
      </c>
      <c r="AL2864" s="1592" t="s">
        <v>186</v>
      </c>
      <c r="AM2864" s="1592" t="s">
        <v>137</v>
      </c>
      <c r="AN2864" s="1592" t="s">
        <v>138</v>
      </c>
      <c r="AO2864" s="1596">
        <v>285.0</v>
      </c>
      <c r="AP2864" s="2265">
        <v>0.037</v>
      </c>
      <c r="AQ2864" s="1592" t="s">
        <v>16492</v>
      </c>
      <c r="AR2864" s="2262" t="s">
        <v>16785</v>
      </c>
      <c r="AS2864" s="1592" t="s">
        <v>138</v>
      </c>
      <c r="AT2864" s="2337" t="s">
        <v>138</v>
      </c>
      <c r="AU2864" s="1592" t="s">
        <v>186</v>
      </c>
      <c r="AV2864" s="1592" t="s">
        <v>137</v>
      </c>
      <c r="AW2864" s="1592" t="s">
        <v>138</v>
      </c>
      <c r="AX2864" s="1592" t="s">
        <v>143</v>
      </c>
      <c r="AY2864" s="1321" t="str">
        <f>IFERROR(__xludf.DUMMYFUNCTION("vlookup(BB2864,importrange(""https://docs.google.com/spreadsheets/d/1d2vevQ_7D_v35q4wCQ4RpQ_IPoTwEMB9Yp6ymwlPqew/edit?gid=984458430#gid=984458430"", ""'replication success'!A:K""), 11, FAlSE)"),"#N/A")</f>
        <v>#N/A</v>
      </c>
      <c r="AZ2864" s="1321" t="str">
        <f>IFERROR(__xludf.DUMMYFUNCTION("vlookup(BB2864,importrange(""https://docs.google.com/spreadsheets/d/1d2vevQ_7D_v35q4wCQ4RpQ_IPoTwEMB9Yp6ymwlPqew/edit?gid=984458430#gid=984458430"", ""'replication success'!A:M""), 12, FAlSE)"),"#N/A")</f>
        <v>#N/A</v>
      </c>
      <c r="BA2864" s="1321" t="str">
        <f>IFERROR(__xludf.DUMMYFUNCTION("vlookup(BB2864,importrange(""https://docs.google.com/spreadsheets/d/1d2vevQ_7D_v35q4wCQ4RpQ_IPoTwEMB9Yp6ymwlPqew/edit?gid=984458430#gid=984458430"", ""'replication success'!A:M""), 13, FAlSE)"),"#N/A")</f>
        <v>#N/A</v>
      </c>
      <c r="BB2864" s="1321" t="str">
        <f>IFERROR(__xludf.DUMMYFUNCTION("REGEXREPLACE(G2864, ""_[a-z]{1,2}$"", """")"),"add_ai60_y3")</f>
        <v>add_ai60_y3</v>
      </c>
      <c r="BC2864" s="1572"/>
      <c r="BD2864" s="1588" t="s">
        <v>13264</v>
      </c>
      <c r="BE2864" s="342"/>
      <c r="BF2864" s="342"/>
      <c r="BG2864" s="342"/>
      <c r="BH2864" s="342"/>
      <c r="BI2864" s="342"/>
      <c r="BJ2864" s="342"/>
      <c r="BK2864" s="342"/>
      <c r="BL2864" s="342"/>
      <c r="BM2864" s="342"/>
      <c r="BN2864" s="342"/>
      <c r="BO2864" s="342"/>
      <c r="BP2864" s="342"/>
      <c r="BQ2864" s="342"/>
      <c r="BR2864" s="342"/>
      <c r="BS2864" s="342"/>
      <c r="BT2864" s="342"/>
      <c r="BU2864" s="342"/>
      <c r="BV2864" s="342"/>
      <c r="BW2864" s="342"/>
      <c r="BX2864" s="342"/>
      <c r="BY2864" s="342"/>
      <c r="BZ2864" s="342"/>
      <c r="CA2864" s="342"/>
      <c r="CB2864" s="342"/>
      <c r="CC2864" s="342"/>
      <c r="CD2864" s="342"/>
      <c r="CE2864" s="342"/>
      <c r="CF2864" s="342"/>
      <c r="CG2864" s="342"/>
      <c r="CH2864" s="342"/>
      <c r="CI2864" s="342"/>
      <c r="CJ2864" s="342"/>
      <c r="CK2864" s="342"/>
      <c r="CL2864" s="342"/>
      <c r="CM2864" s="342"/>
      <c r="CN2864" s="342"/>
      <c r="CO2864" s="342"/>
      <c r="CP2864" s="342"/>
      <c r="CQ2864" s="342"/>
      <c r="CR2864" s="342"/>
      <c r="CS2864" s="342"/>
      <c r="CT2864" s="342"/>
      <c r="CU2864" s="342"/>
      <c r="CV2864" s="342"/>
      <c r="CW2864" s="342"/>
      <c r="CX2864" s="342"/>
      <c r="CY2864" s="342"/>
      <c r="CZ2864" s="342"/>
      <c r="DA2864" s="342"/>
      <c r="DB2864" s="342"/>
      <c r="DC2864" s="342"/>
      <c r="DD2864" s="342"/>
      <c r="DE2864" s="342"/>
      <c r="DF2864" s="342"/>
      <c r="DG2864" s="342"/>
      <c r="DH2864" s="342"/>
      <c r="DI2864" s="342"/>
      <c r="DJ2864" s="342"/>
      <c r="DK2864" s="342"/>
      <c r="DL2864" s="342"/>
    </row>
    <row r="2865">
      <c r="A2865" s="44">
        <v>3054.0</v>
      </c>
      <c r="B2865" s="1322" t="s">
        <v>152</v>
      </c>
      <c r="C2865" s="1588" t="s">
        <v>115</v>
      </c>
      <c r="D2865" s="1588" t="s">
        <v>153</v>
      </c>
      <c r="E2865" s="1572"/>
      <c r="F2865" s="1600" t="s">
        <v>16459</v>
      </c>
      <c r="G2865" s="1592" t="s">
        <v>16786</v>
      </c>
      <c r="H2865" s="1600" t="s">
        <v>15921</v>
      </c>
      <c r="I2865" s="2229">
        <v>45821.0</v>
      </c>
      <c r="J2865" s="2230">
        <v>45847.0</v>
      </c>
      <c r="K2865" s="1592" t="s">
        <v>16483</v>
      </c>
      <c r="L2865" s="1313"/>
      <c r="M2865" s="1592" t="s">
        <v>16462</v>
      </c>
      <c r="N2865" s="1592" t="s">
        <v>16463</v>
      </c>
      <c r="O2865" s="1313"/>
      <c r="P2865" s="1592" t="s">
        <v>16464</v>
      </c>
      <c r="Q2865" s="2331" t="s">
        <v>16465</v>
      </c>
      <c r="R2865" s="1592" t="s">
        <v>16496</v>
      </c>
      <c r="S2865" s="1592" t="s">
        <v>16467</v>
      </c>
      <c r="T2865" s="1313"/>
      <c r="U2865" s="1313"/>
      <c r="V2865" s="1592" t="s">
        <v>16468</v>
      </c>
      <c r="W2865" s="1313"/>
      <c r="X2865" s="2233" t="str">
        <f t="array" ref="X2865"> if(iserror(MATCH(V2865, 'File Links'!C:C, 0)), "N/A", HYPERLINK(INDEX('File Links'!B:B, MATCH(V2865, 'File Links'!C:C, 0))))</f>
        <v>https://drive.google.com/file/d/16V6fX6zed8MKZ53zcmG18UMG8cS5fmS4/view?usp=drivesdk</v>
      </c>
      <c r="Y2865" s="1313"/>
      <c r="Z2865" s="1592" t="s">
        <v>1679</v>
      </c>
      <c r="AA2865" s="1600" t="s">
        <v>16476</v>
      </c>
      <c r="AB2865" s="1592" t="s">
        <v>16477</v>
      </c>
      <c r="AC2865" s="1600" t="s">
        <v>16787</v>
      </c>
      <c r="AD2865" s="1592" t="s">
        <v>16486</v>
      </c>
      <c r="AE2865" s="2265">
        <v>7.0</v>
      </c>
      <c r="AF2865" s="2342">
        <f>485*0.44</f>
        <v>213.4</v>
      </c>
      <c r="AG2865" s="2265">
        <v>0.305</v>
      </c>
      <c r="AH2865" s="1592" t="s">
        <v>361</v>
      </c>
      <c r="AI2865" s="2341" t="s">
        <v>16788</v>
      </c>
      <c r="AJ2865" s="1596">
        <v>0.0056</v>
      </c>
      <c r="AK2865" s="1592" t="s">
        <v>172</v>
      </c>
      <c r="AL2865" s="1592" t="s">
        <v>186</v>
      </c>
      <c r="AM2865" s="1592" t="s">
        <v>137</v>
      </c>
      <c r="AN2865" s="1592" t="s">
        <v>138</v>
      </c>
      <c r="AO2865" s="1596">
        <v>285.0</v>
      </c>
      <c r="AP2865" s="2265">
        <v>0.283</v>
      </c>
      <c r="AQ2865" s="1592" t="s">
        <v>361</v>
      </c>
      <c r="AR2865" s="2262" t="s">
        <v>16789</v>
      </c>
      <c r="AS2865" s="2265">
        <v>0.001</v>
      </c>
      <c r="AT2865" s="1592" t="s">
        <v>135</v>
      </c>
      <c r="AU2865" s="1592" t="s">
        <v>186</v>
      </c>
      <c r="AV2865" s="1592" t="s">
        <v>137</v>
      </c>
      <c r="AW2865" s="1592" t="s">
        <v>138</v>
      </c>
      <c r="AX2865" s="1592" t="s">
        <v>143</v>
      </c>
      <c r="AY2865" s="1321" t="str">
        <f>IFERROR(__xludf.DUMMYFUNCTION("vlookup(BB2865,importrange(""https://docs.google.com/spreadsheets/d/1d2vevQ_7D_v35q4wCQ4RpQ_IPoTwEMB9Yp6ymwlPqew/edit?gid=984458430#gid=984458430"", ""'replication success'!A:K""), 11, FAlSE)"),"#N/A")</f>
        <v>#N/A</v>
      </c>
      <c r="AZ2865" s="1321" t="str">
        <f>IFERROR(__xludf.DUMMYFUNCTION("vlookup(BB2865,importrange(""https://docs.google.com/spreadsheets/d/1d2vevQ_7D_v35q4wCQ4RpQ_IPoTwEMB9Yp6ymwlPqew/edit?gid=984458430#gid=984458430"", ""'replication success'!A:M""), 12, FAlSE)"),"#N/A")</f>
        <v>#N/A</v>
      </c>
      <c r="BA2865" s="1321" t="str">
        <f>IFERROR(__xludf.DUMMYFUNCTION("vlookup(BB2865,importrange(""https://docs.google.com/spreadsheets/d/1d2vevQ_7D_v35q4wCQ4RpQ_IPoTwEMB9Yp6ymwlPqew/edit?gid=984458430#gid=984458430"", ""'replication success'!A:M""), 13, FAlSE)"),"#N/A")</f>
        <v>#N/A</v>
      </c>
      <c r="BB2865" s="1321" t="str">
        <f>IFERROR(__xludf.DUMMYFUNCTION("REGEXREPLACE(G2865, ""_[a-z]{1,2}$"", """")"),"add_ai60")</f>
        <v>add_ai60</v>
      </c>
      <c r="BC2865" s="1572"/>
      <c r="BD2865" s="1588" t="s">
        <v>13264</v>
      </c>
      <c r="BE2865" s="342"/>
      <c r="BF2865" s="342"/>
      <c r="BG2865" s="342"/>
      <c r="BH2865" s="342"/>
      <c r="BI2865" s="342"/>
      <c r="BJ2865" s="342"/>
      <c r="BK2865" s="342"/>
      <c r="BL2865" s="342"/>
      <c r="BM2865" s="342"/>
      <c r="BN2865" s="342"/>
      <c r="BO2865" s="342"/>
      <c r="BP2865" s="342"/>
      <c r="BQ2865" s="342"/>
      <c r="BR2865" s="342"/>
      <c r="BS2865" s="342"/>
      <c r="BT2865" s="342"/>
      <c r="BU2865" s="342"/>
      <c r="BV2865" s="342"/>
      <c r="BW2865" s="342"/>
      <c r="BX2865" s="342"/>
      <c r="BY2865" s="342"/>
      <c r="BZ2865" s="342"/>
      <c r="CA2865" s="342"/>
      <c r="CB2865" s="342"/>
      <c r="CC2865" s="342"/>
      <c r="CD2865" s="342"/>
      <c r="CE2865" s="342"/>
      <c r="CF2865" s="342"/>
      <c r="CG2865" s="342"/>
      <c r="CH2865" s="342"/>
      <c r="CI2865" s="342"/>
      <c r="CJ2865" s="342"/>
      <c r="CK2865" s="342"/>
      <c r="CL2865" s="342"/>
      <c r="CM2865" s="342"/>
      <c r="CN2865" s="342"/>
      <c r="CO2865" s="342"/>
      <c r="CP2865" s="342"/>
      <c r="CQ2865" s="342"/>
      <c r="CR2865" s="342"/>
      <c r="CS2865" s="342"/>
      <c r="CT2865" s="342"/>
      <c r="CU2865" s="342"/>
      <c r="CV2865" s="342"/>
      <c r="CW2865" s="342"/>
      <c r="CX2865" s="342"/>
      <c r="CY2865" s="342"/>
      <c r="CZ2865" s="342"/>
      <c r="DA2865" s="342"/>
      <c r="DB2865" s="342"/>
      <c r="DC2865" s="342"/>
      <c r="DD2865" s="342"/>
      <c r="DE2865" s="342"/>
      <c r="DF2865" s="342"/>
      <c r="DG2865" s="342"/>
      <c r="DH2865" s="342"/>
      <c r="DI2865" s="342"/>
      <c r="DJ2865" s="342"/>
      <c r="DK2865" s="342"/>
      <c r="DL2865" s="342"/>
    </row>
    <row r="2866">
      <c r="A2866" s="44">
        <v>3080.0</v>
      </c>
      <c r="B2866" s="1322" t="s">
        <v>152</v>
      </c>
      <c r="C2866" s="1588" t="s">
        <v>115</v>
      </c>
      <c r="D2866" s="1588" t="s">
        <v>153</v>
      </c>
      <c r="E2866" s="1572"/>
      <c r="F2866" s="1600" t="s">
        <v>16459</v>
      </c>
      <c r="G2866" s="1592" t="s">
        <v>16790</v>
      </c>
      <c r="H2866" s="1600" t="s">
        <v>15921</v>
      </c>
      <c r="I2866" s="2229">
        <v>45821.0</v>
      </c>
      <c r="J2866" s="2230">
        <v>45847.0</v>
      </c>
      <c r="K2866" s="1592" t="s">
        <v>16483</v>
      </c>
      <c r="L2866" s="1313"/>
      <c r="M2866" s="1592" t="s">
        <v>16462</v>
      </c>
      <c r="N2866" s="1592" t="s">
        <v>16463</v>
      </c>
      <c r="O2866" s="1313"/>
      <c r="P2866" s="1592" t="s">
        <v>16464</v>
      </c>
      <c r="Q2866" s="2331" t="s">
        <v>16465</v>
      </c>
      <c r="R2866" s="1592" t="s">
        <v>16496</v>
      </c>
      <c r="S2866" s="1592" t="s">
        <v>16467</v>
      </c>
      <c r="T2866" s="1313"/>
      <c r="U2866" s="1313"/>
      <c r="V2866" s="1592" t="s">
        <v>16468</v>
      </c>
      <c r="W2866" s="1313"/>
      <c r="X2866" s="2233" t="str">
        <f t="array" ref="X2866"> if(iserror(MATCH(V2866, 'File Links'!C:C, 0)), "N/A", HYPERLINK(INDEX('File Links'!B:B, MATCH(V2866, 'File Links'!C:C, 0))))</f>
        <v>https://drive.google.com/file/d/16V6fX6zed8MKZ53zcmG18UMG8cS5fmS4/view?usp=drivesdk</v>
      </c>
      <c r="Y2866" s="1313"/>
      <c r="Z2866" s="1592" t="s">
        <v>1679</v>
      </c>
      <c r="AA2866" s="1600" t="s">
        <v>16476</v>
      </c>
      <c r="AB2866" s="1592" t="s">
        <v>16477</v>
      </c>
      <c r="AC2866" s="2262" t="s">
        <v>16791</v>
      </c>
      <c r="AD2866" s="1592" t="s">
        <v>16486</v>
      </c>
      <c r="AE2866" s="2265">
        <v>7.0</v>
      </c>
      <c r="AF2866" s="2342">
        <f>485*0.26</f>
        <v>126.1</v>
      </c>
      <c r="AG2866" s="2265">
        <v>0.196</v>
      </c>
      <c r="AH2866" s="1592" t="s">
        <v>16492</v>
      </c>
      <c r="AI2866" s="2341" t="s">
        <v>16792</v>
      </c>
      <c r="AJ2866" s="1324" t="s">
        <v>138</v>
      </c>
      <c r="AK2866" s="1324" t="s">
        <v>138</v>
      </c>
      <c r="AL2866" s="1592" t="s">
        <v>186</v>
      </c>
      <c r="AM2866" s="1592" t="s">
        <v>137</v>
      </c>
      <c r="AN2866" s="1592" t="s">
        <v>138</v>
      </c>
      <c r="AO2866" s="1596">
        <v>285.0</v>
      </c>
      <c r="AP2866" s="2265">
        <v>0.027</v>
      </c>
      <c r="AQ2866" s="1592" t="s">
        <v>16492</v>
      </c>
      <c r="AR2866" s="2262" t="s">
        <v>16793</v>
      </c>
      <c r="AS2866" s="1592" t="s">
        <v>138</v>
      </c>
      <c r="AT2866" s="2337" t="s">
        <v>138</v>
      </c>
      <c r="AU2866" s="1592" t="s">
        <v>186</v>
      </c>
      <c r="AV2866" s="1592" t="s">
        <v>137</v>
      </c>
      <c r="AW2866" s="1592" t="s">
        <v>138</v>
      </c>
      <c r="AX2866" s="1592" t="s">
        <v>143</v>
      </c>
      <c r="AY2866" s="1321" t="str">
        <f>IFERROR(__xludf.DUMMYFUNCTION("vlookup(BB2866,importrange(""https://docs.google.com/spreadsheets/d/1d2vevQ_7D_v35q4wCQ4RpQ_IPoTwEMB9Yp6ymwlPqew/edit?gid=984458430#gid=984458430"", ""'replication success'!A:K""), 11, FAlSE)"),"#N/A")</f>
        <v>#N/A</v>
      </c>
      <c r="AZ2866" s="1321" t="str">
        <f>IFERROR(__xludf.DUMMYFUNCTION("vlookup(BB2866,importrange(""https://docs.google.com/spreadsheets/d/1d2vevQ_7D_v35q4wCQ4RpQ_IPoTwEMB9Yp6ymwlPqew/edit?gid=984458430#gid=984458430"", ""'replication success'!A:M""), 12, FAlSE)"),"#N/A")</f>
        <v>#N/A</v>
      </c>
      <c r="BA2866" s="1321" t="str">
        <f>IFERROR(__xludf.DUMMYFUNCTION("vlookup(BB2866,importrange(""https://docs.google.com/spreadsheets/d/1d2vevQ_7D_v35q4wCQ4RpQ_IPoTwEMB9Yp6ymwlPqew/edit?gid=984458430#gid=984458430"", ""'replication success'!A:M""), 13, FAlSE)"),"#N/A")</f>
        <v>#N/A</v>
      </c>
      <c r="BB2866" s="1321" t="str">
        <f>IFERROR(__xludf.DUMMYFUNCTION("REGEXREPLACE(G2866, ""_[a-z]{1,2}$"", """")"),"add_ai60_z2")</f>
        <v>add_ai60_z2</v>
      </c>
      <c r="BC2866" s="1572"/>
      <c r="BD2866" s="1588" t="s">
        <v>13264</v>
      </c>
      <c r="BE2866" s="342"/>
      <c r="BF2866" s="342"/>
      <c r="BG2866" s="342"/>
      <c r="BH2866" s="342"/>
      <c r="BI2866" s="342"/>
      <c r="BJ2866" s="342"/>
      <c r="BK2866" s="342"/>
      <c r="BL2866" s="342"/>
      <c r="BM2866" s="342"/>
      <c r="BN2866" s="342"/>
      <c r="BO2866" s="342"/>
      <c r="BP2866" s="342"/>
      <c r="BQ2866" s="342"/>
      <c r="BR2866" s="342"/>
      <c r="BS2866" s="342"/>
      <c r="BT2866" s="342"/>
      <c r="BU2866" s="342"/>
      <c r="BV2866" s="342"/>
      <c r="BW2866" s="342"/>
      <c r="BX2866" s="342"/>
      <c r="BY2866" s="342"/>
      <c r="BZ2866" s="342"/>
      <c r="CA2866" s="342"/>
      <c r="CB2866" s="342"/>
      <c r="CC2866" s="342"/>
      <c r="CD2866" s="342"/>
      <c r="CE2866" s="342"/>
      <c r="CF2866" s="342"/>
      <c r="CG2866" s="342"/>
      <c r="CH2866" s="342"/>
      <c r="CI2866" s="342"/>
      <c r="CJ2866" s="342"/>
      <c r="CK2866" s="342"/>
      <c r="CL2866" s="342"/>
      <c r="CM2866" s="342"/>
      <c r="CN2866" s="342"/>
      <c r="CO2866" s="342"/>
      <c r="CP2866" s="342"/>
      <c r="CQ2866" s="342"/>
      <c r="CR2866" s="342"/>
      <c r="CS2866" s="342"/>
      <c r="CT2866" s="342"/>
      <c r="CU2866" s="342"/>
      <c r="CV2866" s="342"/>
      <c r="CW2866" s="342"/>
      <c r="CX2866" s="342"/>
      <c r="CY2866" s="342"/>
      <c r="CZ2866" s="342"/>
      <c r="DA2866" s="342"/>
      <c r="DB2866" s="342"/>
      <c r="DC2866" s="342"/>
      <c r="DD2866" s="342"/>
      <c r="DE2866" s="342"/>
      <c r="DF2866" s="342"/>
      <c r="DG2866" s="342"/>
      <c r="DH2866" s="342"/>
      <c r="DI2866" s="342"/>
      <c r="DJ2866" s="342"/>
      <c r="DK2866" s="342"/>
      <c r="DL2866" s="342"/>
    </row>
    <row r="2867">
      <c r="A2867" s="44">
        <v>3153.0</v>
      </c>
      <c r="B2867" s="1322" t="s">
        <v>114</v>
      </c>
      <c r="C2867" s="1588" t="s">
        <v>115</v>
      </c>
      <c r="D2867" s="1588" t="s">
        <v>1458</v>
      </c>
      <c r="E2867" s="1572"/>
      <c r="F2867" s="1313" t="s">
        <v>16794</v>
      </c>
      <c r="G2867" s="1315" t="s">
        <v>16795</v>
      </c>
      <c r="H2867" s="2235" t="s">
        <v>1518</v>
      </c>
      <c r="I2867" s="2236"/>
      <c r="J2867" s="2230">
        <v>45846.0</v>
      </c>
      <c r="K2867" s="1315" t="s">
        <v>16796</v>
      </c>
      <c r="L2867" s="1313"/>
      <c r="M2867" s="1315" t="s">
        <v>16797</v>
      </c>
      <c r="N2867" s="1315" t="s">
        <v>16798</v>
      </c>
      <c r="O2867" s="1313"/>
      <c r="P2867" s="1315" t="s">
        <v>16799</v>
      </c>
      <c r="Q2867" s="2338" t="str">
        <f> hyperlink(vlookup(lower(N2867),'File Links'!F:G, 2, FALSE), "LINK")</f>
        <v>LINK</v>
      </c>
      <c r="R2867" s="1315" t="s">
        <v>16800</v>
      </c>
      <c r="S2867" s="1315" t="s">
        <v>16801</v>
      </c>
      <c r="T2867" s="1315" t="s">
        <v>138</v>
      </c>
      <c r="U2867" s="1313"/>
      <c r="V2867" s="1315" t="s">
        <v>16802</v>
      </c>
      <c r="W2867" s="1313"/>
      <c r="X2867" s="2233" t="str">
        <f t="array" ref="X2867"> if(iserror(MATCH(V2867, 'File Links'!C:C, 0)), "N/A", HYPERLINK(INDEX('File Links'!B:B, MATCH(V2867, 'File Links'!C:C, 0))))</f>
        <v>https://drive.google.com/file/d/10N2GphtISECImbmZiH9vnFKAukkBYpHi/view?usp=drivesdk</v>
      </c>
      <c r="Y2867" s="1315" t="s">
        <v>15990</v>
      </c>
      <c r="Z2867" s="1313"/>
      <c r="AA2867" s="1313"/>
      <c r="AB2867" s="1313"/>
      <c r="AC2867" s="1313"/>
      <c r="AD2867" s="1313"/>
      <c r="AE2867" s="1313"/>
      <c r="AF2867" s="1313"/>
      <c r="AG2867" s="1313"/>
      <c r="AH2867" s="1313"/>
      <c r="AI2867" s="1313"/>
      <c r="AJ2867" s="1313"/>
      <c r="AK2867" s="1313"/>
      <c r="AL2867" s="1313"/>
      <c r="AM2867" s="1313"/>
      <c r="AN2867" s="1313"/>
      <c r="AO2867" s="1313"/>
      <c r="AP2867" s="1313"/>
      <c r="AQ2867" s="1313"/>
      <c r="AR2867" s="1313"/>
      <c r="AS2867" s="1313"/>
      <c r="AT2867" s="1313"/>
      <c r="AU2867" s="1313"/>
      <c r="AV2867" s="1313"/>
      <c r="AW2867" s="1313"/>
      <c r="AX2867" s="1313"/>
      <c r="AY2867" s="1321" t="str">
        <f>IFERROR(__xludf.DUMMYFUNCTION("vlookup(BB2867,importrange(""https://docs.google.com/spreadsheets/d/1d2vevQ_7D_v35q4wCQ4RpQ_IPoTwEMB9Yp6ymwlPqew/edit?gid=984458430#gid=984458430"", ""'replication success'!A:K""), 11, FAlSE)"),"#N/A")</f>
        <v>#N/A</v>
      </c>
      <c r="AZ2867" s="1321" t="str">
        <f>IFERROR(__xludf.DUMMYFUNCTION("vlookup(BB2867,importrange(""https://docs.google.com/spreadsheets/d/1d2vevQ_7D_v35q4wCQ4RpQ_IPoTwEMB9Yp6ymwlPqew/edit?gid=984458430#gid=984458430"", ""'replication success'!A:M""), 12, FAlSE)"),"#N/A")</f>
        <v>#N/A</v>
      </c>
      <c r="BA2867" s="1321" t="str">
        <f>IFERROR(__xludf.DUMMYFUNCTION("vlookup(BB2867,importrange(""https://docs.google.com/spreadsheets/d/1d2vevQ_7D_v35q4wCQ4RpQ_IPoTwEMB9Yp6ymwlPqew/edit?gid=984458430#gid=984458430"", ""'replication success'!A:M""), 13, FAlSE)"),"#N/A")</f>
        <v>#N/A</v>
      </c>
      <c r="BB2867" s="1321" t="str">
        <f>IFERROR(__xludf.DUMMYFUNCTION("REGEXREPLACE(G2867, ""_[a-z]{1,2}$"", """")"),"add_ai71")</f>
        <v>add_ai71</v>
      </c>
      <c r="BC2867" s="1572"/>
      <c r="BD2867" s="1588" t="s">
        <v>13264</v>
      </c>
      <c r="BE2867" s="342"/>
      <c r="BF2867" s="342"/>
      <c r="BG2867" s="342"/>
      <c r="BH2867" s="342"/>
      <c r="BI2867" s="342"/>
      <c r="BJ2867" s="342"/>
      <c r="BK2867" s="342"/>
      <c r="BL2867" s="342"/>
      <c r="BM2867" s="342"/>
      <c r="BN2867" s="342"/>
      <c r="BO2867" s="342"/>
      <c r="BP2867" s="342"/>
      <c r="BQ2867" s="342"/>
      <c r="BR2867" s="342"/>
      <c r="BS2867" s="342"/>
      <c r="BT2867" s="342"/>
      <c r="BU2867" s="342"/>
      <c r="BV2867" s="342"/>
      <c r="BW2867" s="342"/>
      <c r="BX2867" s="342"/>
      <c r="BY2867" s="342"/>
      <c r="BZ2867" s="342"/>
      <c r="CA2867" s="342"/>
      <c r="CB2867" s="342"/>
      <c r="CC2867" s="342"/>
      <c r="CD2867" s="342"/>
      <c r="CE2867" s="342"/>
      <c r="CF2867" s="342"/>
      <c r="CG2867" s="342"/>
      <c r="CH2867" s="342"/>
      <c r="CI2867" s="342"/>
      <c r="CJ2867" s="342"/>
      <c r="CK2867" s="342"/>
      <c r="CL2867" s="342"/>
      <c r="CM2867" s="342"/>
      <c r="CN2867" s="342"/>
      <c r="CO2867" s="342"/>
      <c r="CP2867" s="342"/>
      <c r="CQ2867" s="342"/>
      <c r="CR2867" s="342"/>
      <c r="CS2867" s="342"/>
      <c r="CT2867" s="342"/>
      <c r="CU2867" s="342"/>
      <c r="CV2867" s="342"/>
      <c r="CW2867" s="342"/>
      <c r="CX2867" s="342"/>
      <c r="CY2867" s="342"/>
      <c r="CZ2867" s="342"/>
      <c r="DA2867" s="342"/>
      <c r="DB2867" s="342"/>
      <c r="DC2867" s="342"/>
      <c r="DD2867" s="342"/>
      <c r="DE2867" s="342"/>
      <c r="DF2867" s="342"/>
      <c r="DG2867" s="342"/>
      <c r="DH2867" s="342"/>
      <c r="DI2867" s="342"/>
      <c r="DJ2867" s="342"/>
      <c r="DK2867" s="342"/>
      <c r="DL2867" s="342"/>
    </row>
    <row r="2868">
      <c r="A2868" s="44">
        <v>3156.0</v>
      </c>
      <c r="B2868" s="1322" t="s">
        <v>114</v>
      </c>
      <c r="C2868" s="1588" t="s">
        <v>115</v>
      </c>
      <c r="D2868" s="1588" t="s">
        <v>1458</v>
      </c>
      <c r="E2868" s="1572"/>
      <c r="F2868" s="1313" t="s">
        <v>16803</v>
      </c>
      <c r="G2868" s="1315" t="s">
        <v>16804</v>
      </c>
      <c r="H2868" s="2235" t="s">
        <v>1518</v>
      </c>
      <c r="I2868" s="2236"/>
      <c r="J2868" s="2238">
        <v>45849.0</v>
      </c>
      <c r="K2868" s="1315" t="s">
        <v>16805</v>
      </c>
      <c r="L2868" s="1322" t="s">
        <v>16806</v>
      </c>
      <c r="M2868" s="1315" t="s">
        <v>16807</v>
      </c>
      <c r="N2868" s="1315" t="s">
        <v>16808</v>
      </c>
      <c r="O2868" s="1318">
        <v>1.0</v>
      </c>
      <c r="P2868" s="1315" t="s">
        <v>16809</v>
      </c>
      <c r="Q2868" s="2338" t="str">
        <f> hyperlink(vlookup(lower(N2868),'File Links'!F:G, 2, FALSE), "LINK")</f>
        <v>LINK</v>
      </c>
      <c r="R2868" s="1315" t="s">
        <v>16810</v>
      </c>
      <c r="S2868" s="1315" t="s">
        <v>16811</v>
      </c>
      <c r="T2868" s="1315" t="s">
        <v>138</v>
      </c>
      <c r="U2868" s="1341">
        <v>1.0</v>
      </c>
      <c r="V2868" s="1315" t="s">
        <v>16812</v>
      </c>
      <c r="W2868" s="1313"/>
      <c r="X2868" s="2233" t="str">
        <f t="array" ref="X2868"> if(iserror(MATCH(V2868, 'File Links'!C:C, 0)), "N/A", HYPERLINK(INDEX('File Links'!B:B, MATCH(V2868, 'File Links'!C:C, 0))))</f>
        <v>https://drive.google.com/file/d/1NUBAl6Yl2Ll3r0YlezoDr1DQkJrRA7AB/view?usp=drivesdk</v>
      </c>
      <c r="Y2868" s="1315" t="s">
        <v>138</v>
      </c>
      <c r="Z2868" s="1315" t="s">
        <v>241</v>
      </c>
      <c r="AA2868" s="1315" t="s">
        <v>16813</v>
      </c>
      <c r="AB2868" s="1315" t="s">
        <v>16814</v>
      </c>
      <c r="AC2868" s="1315" t="s">
        <v>16815</v>
      </c>
      <c r="AD2868" s="1315" t="s">
        <v>16816</v>
      </c>
      <c r="AE2868" s="1318">
        <v>14.0</v>
      </c>
      <c r="AF2868" s="1318">
        <v>233.0</v>
      </c>
      <c r="AG2868" s="1318">
        <v>0.118</v>
      </c>
      <c r="AH2868" s="1315" t="s">
        <v>138</v>
      </c>
      <c r="AI2868" s="1315" t="s">
        <v>9246</v>
      </c>
      <c r="AJ2868" s="1315" t="s">
        <v>138</v>
      </c>
      <c r="AK2868" s="1315" t="s">
        <v>138</v>
      </c>
      <c r="AL2868" s="1315" t="s">
        <v>138</v>
      </c>
      <c r="AM2868" s="1315" t="s">
        <v>141</v>
      </c>
      <c r="AN2868" s="1315" t="s">
        <v>138</v>
      </c>
      <c r="AO2868" s="1318">
        <v>648.0</v>
      </c>
      <c r="AP2868" s="1318">
        <v>0.29</v>
      </c>
      <c r="AQ2868" s="1315" t="s">
        <v>138</v>
      </c>
      <c r="AR2868" s="1315" t="s">
        <v>4979</v>
      </c>
      <c r="AS2868" s="1315" t="s">
        <v>138</v>
      </c>
      <c r="AT2868" s="1315" t="s">
        <v>138</v>
      </c>
      <c r="AU2868" s="1315" t="s">
        <v>138</v>
      </c>
      <c r="AV2868" s="1315" t="s">
        <v>141</v>
      </c>
      <c r="AW2868" s="1313" t="s">
        <v>138</v>
      </c>
      <c r="AX2868" s="1315" t="s">
        <v>143</v>
      </c>
      <c r="AY2868" s="1321" t="str">
        <f>IFERROR(__xludf.DUMMYFUNCTION("vlookup(BB2868,importrange(""https://docs.google.com/spreadsheets/d/1d2vevQ_7D_v35q4wCQ4RpQ_IPoTwEMB9Yp6ymwlPqew/edit?gid=984458430#gid=984458430"", ""'replication success'!A:K""), 11, FAlSE)"),"#N/A")</f>
        <v>#N/A</v>
      </c>
      <c r="AZ2868" s="1321" t="str">
        <f>IFERROR(__xludf.DUMMYFUNCTION("vlookup(BB2868,importrange(""https://docs.google.com/spreadsheets/d/1d2vevQ_7D_v35q4wCQ4RpQ_IPoTwEMB9Yp6ymwlPqew/edit?gid=984458430#gid=984458430"", ""'replication success'!A:M""), 12, FAlSE)"),"#N/A")</f>
        <v>#N/A</v>
      </c>
      <c r="BA2868" s="1321" t="str">
        <f>IFERROR(__xludf.DUMMYFUNCTION("vlookup(BB2868,importrange(""https://docs.google.com/spreadsheets/d/1d2vevQ_7D_v35q4wCQ4RpQ_IPoTwEMB9Yp6ymwlPqew/edit?gid=984458430#gid=984458430"", ""'replication success'!A:M""), 13, FAlSE)"),"#N/A")</f>
        <v>#N/A</v>
      </c>
      <c r="BB2868" s="1321" t="str">
        <f>IFERROR(__xludf.DUMMYFUNCTION("REGEXREPLACE(G2868, ""_[a-z]{1,2}$"", """")"),"add_ai76")</f>
        <v>add_ai76</v>
      </c>
      <c r="BC2868" s="1572"/>
      <c r="BD2868" s="1588" t="s">
        <v>13264</v>
      </c>
      <c r="BE2868" s="342"/>
      <c r="BF2868" s="342"/>
      <c r="BG2868" s="342"/>
      <c r="BH2868" s="342"/>
      <c r="BI2868" s="342"/>
      <c r="BJ2868" s="342"/>
      <c r="BK2868" s="342"/>
      <c r="BL2868" s="342"/>
      <c r="BM2868" s="342"/>
      <c r="BN2868" s="342"/>
      <c r="BO2868" s="342"/>
      <c r="BP2868" s="342"/>
      <c r="BQ2868" s="342"/>
      <c r="BR2868" s="342"/>
      <c r="BS2868" s="342"/>
      <c r="BT2868" s="342"/>
      <c r="BU2868" s="342"/>
      <c r="BV2868" s="342"/>
      <c r="BW2868" s="342"/>
      <c r="BX2868" s="342"/>
      <c r="BY2868" s="342"/>
      <c r="BZ2868" s="342"/>
      <c r="CA2868" s="342"/>
      <c r="CB2868" s="342"/>
      <c r="CC2868" s="342"/>
      <c r="CD2868" s="342"/>
      <c r="CE2868" s="342"/>
      <c r="CF2868" s="342"/>
      <c r="CG2868" s="342"/>
      <c r="CH2868" s="342"/>
      <c r="CI2868" s="342"/>
      <c r="CJ2868" s="342"/>
      <c r="CK2868" s="342"/>
      <c r="CL2868" s="342"/>
      <c r="CM2868" s="342"/>
      <c r="CN2868" s="342"/>
      <c r="CO2868" s="342"/>
      <c r="CP2868" s="342"/>
      <c r="CQ2868" s="342"/>
      <c r="CR2868" s="342"/>
      <c r="CS2868" s="342"/>
      <c r="CT2868" s="342"/>
      <c r="CU2868" s="342"/>
      <c r="CV2868" s="342"/>
      <c r="CW2868" s="342"/>
      <c r="CX2868" s="342"/>
      <c r="CY2868" s="342"/>
      <c r="CZ2868" s="342"/>
      <c r="DA2868" s="342"/>
      <c r="DB2868" s="342"/>
      <c r="DC2868" s="342"/>
      <c r="DD2868" s="342"/>
      <c r="DE2868" s="342"/>
      <c r="DF2868" s="342"/>
      <c r="DG2868" s="342"/>
      <c r="DH2868" s="342"/>
      <c r="DI2868" s="342"/>
      <c r="DJ2868" s="342"/>
      <c r="DK2868" s="342"/>
      <c r="DL2868" s="342"/>
    </row>
    <row r="2869">
      <c r="A2869" s="44">
        <v>3154.0</v>
      </c>
      <c r="B2869" s="1322" t="s">
        <v>114</v>
      </c>
      <c r="C2869" s="1588" t="s">
        <v>115</v>
      </c>
      <c r="D2869" s="1588" t="s">
        <v>1458</v>
      </c>
      <c r="E2869" s="1572"/>
      <c r="F2869" s="1313" t="s">
        <v>16817</v>
      </c>
      <c r="G2869" s="1315" t="s">
        <v>16818</v>
      </c>
      <c r="H2869" s="2235" t="s">
        <v>1518</v>
      </c>
      <c r="I2869" s="2236"/>
      <c r="J2869" s="2238">
        <v>45846.0</v>
      </c>
      <c r="K2869" s="1315" t="s">
        <v>16819</v>
      </c>
      <c r="L2869" s="1313"/>
      <c r="M2869" s="1315" t="s">
        <v>16820</v>
      </c>
      <c r="N2869" s="1315" t="s">
        <v>16821</v>
      </c>
      <c r="O2869" s="1318" t="s">
        <v>138</v>
      </c>
      <c r="P2869" s="1315" t="s">
        <v>16822</v>
      </c>
      <c r="Q2869" s="2338" t="str">
        <f> hyperlink(vlookup(lower(N2869),'File Links'!F:G, 2, FALSE), "LINK")</f>
        <v>LINK</v>
      </c>
      <c r="R2869" s="1315" t="s">
        <v>16823</v>
      </c>
      <c r="S2869" s="1315" t="s">
        <v>16824</v>
      </c>
      <c r="T2869" s="1315" t="s">
        <v>138</v>
      </c>
      <c r="U2869" s="1315" t="s">
        <v>138</v>
      </c>
      <c r="V2869" s="1315" t="s">
        <v>16825</v>
      </c>
      <c r="W2869" s="1313"/>
      <c r="X2869" s="2233" t="str">
        <f t="array" ref="X2869"> if(iserror(MATCH(V2869, 'File Links'!C:C, 0)), "N/A", HYPERLINK(INDEX('File Links'!B:B, MATCH(V2869, 'File Links'!C:C, 0))))</f>
        <v>https://drive.google.com/file/d/17sVwjrDS913Gts1JisHt0r2QxjDzr5lB/view?usp=drivesdk</v>
      </c>
      <c r="Y2869" s="1315" t="s">
        <v>138</v>
      </c>
      <c r="Z2869" s="1315" t="s">
        <v>2079</v>
      </c>
      <c r="AA2869" s="1315" t="s">
        <v>16826</v>
      </c>
      <c r="AB2869" s="1315" t="s">
        <v>16827</v>
      </c>
      <c r="AC2869" s="1313"/>
      <c r="AD2869" s="1315" t="s">
        <v>138</v>
      </c>
      <c r="AE2869" s="1315" t="s">
        <v>138</v>
      </c>
      <c r="AF2869" s="1315" t="s">
        <v>138</v>
      </c>
      <c r="AG2869" s="1315" t="s">
        <v>138</v>
      </c>
      <c r="AH2869" s="1315" t="s">
        <v>138</v>
      </c>
      <c r="AI2869" s="1315" t="s">
        <v>138</v>
      </c>
      <c r="AJ2869" s="1315" t="s">
        <v>138</v>
      </c>
      <c r="AK2869" s="1315" t="s">
        <v>138</v>
      </c>
      <c r="AL2869" s="1315" t="s">
        <v>138</v>
      </c>
      <c r="AM2869" s="1315" t="s">
        <v>138</v>
      </c>
      <c r="AN2869" s="1315" t="s">
        <v>138</v>
      </c>
      <c r="AO2869" s="1315" t="s">
        <v>138</v>
      </c>
      <c r="AP2869" s="1315" t="s">
        <v>138</v>
      </c>
      <c r="AQ2869" s="1315" t="s">
        <v>138</v>
      </c>
      <c r="AR2869" s="1315" t="s">
        <v>138</v>
      </c>
      <c r="AS2869" s="1315" t="s">
        <v>138</v>
      </c>
      <c r="AT2869" s="1315" t="s">
        <v>138</v>
      </c>
      <c r="AU2869" s="1315" t="s">
        <v>138</v>
      </c>
      <c r="AV2869" s="1315" t="s">
        <v>138</v>
      </c>
      <c r="AW2869" s="1315" t="s">
        <v>138</v>
      </c>
      <c r="AX2869" s="1315" t="s">
        <v>143</v>
      </c>
      <c r="AY2869" s="1321" t="str">
        <f>IFERROR(__xludf.DUMMYFUNCTION("vlookup(BB2869,importrange(""https://docs.google.com/spreadsheets/d/1d2vevQ_7D_v35q4wCQ4RpQ_IPoTwEMB9Yp6ymwlPqew/edit?gid=984458430#gid=984458430"", ""'replication success'!A:K""), 11, FAlSE)"),"#N/A")</f>
        <v>#N/A</v>
      </c>
      <c r="AZ2869" s="1321" t="str">
        <f>IFERROR(__xludf.DUMMYFUNCTION("vlookup(BB2869,importrange(""https://docs.google.com/spreadsheets/d/1d2vevQ_7D_v35q4wCQ4RpQ_IPoTwEMB9Yp6ymwlPqew/edit?gid=984458430#gid=984458430"", ""'replication success'!A:M""), 12, FAlSE)"),"#N/A")</f>
        <v>#N/A</v>
      </c>
      <c r="BA2869" s="1321" t="str">
        <f>IFERROR(__xludf.DUMMYFUNCTION("vlookup(BB2869,importrange(""https://docs.google.com/spreadsheets/d/1d2vevQ_7D_v35q4wCQ4RpQ_IPoTwEMB9Yp6ymwlPqew/edit?gid=984458430#gid=984458430"", ""'replication success'!A:M""), 13, FAlSE)"),"#N/A")</f>
        <v>#N/A</v>
      </c>
      <c r="BB2869" s="1321" t="str">
        <f>IFERROR(__xludf.DUMMYFUNCTION("REGEXREPLACE(G2869, ""_[a-z]{1,2}$"", """")"),"add_ai82")</f>
        <v>add_ai82</v>
      </c>
      <c r="BC2869" s="1572"/>
      <c r="BD2869" s="1588" t="s">
        <v>13264</v>
      </c>
      <c r="BE2869" s="342"/>
      <c r="BF2869" s="342"/>
      <c r="BG2869" s="342"/>
      <c r="BH2869" s="342"/>
      <c r="BI2869" s="342"/>
      <c r="BJ2869" s="342"/>
      <c r="BK2869" s="342"/>
      <c r="BL2869" s="342"/>
      <c r="BM2869" s="342"/>
      <c r="BN2869" s="342"/>
      <c r="BO2869" s="342"/>
      <c r="BP2869" s="342"/>
      <c r="BQ2869" s="342"/>
      <c r="BR2869" s="342"/>
      <c r="BS2869" s="342"/>
      <c r="BT2869" s="342"/>
      <c r="BU2869" s="342"/>
      <c r="BV2869" s="342"/>
      <c r="BW2869" s="342"/>
      <c r="BX2869" s="342"/>
      <c r="BY2869" s="342"/>
      <c r="BZ2869" s="342"/>
      <c r="CA2869" s="342"/>
      <c r="CB2869" s="342"/>
      <c r="CC2869" s="342"/>
      <c r="CD2869" s="342"/>
      <c r="CE2869" s="342"/>
      <c r="CF2869" s="342"/>
      <c r="CG2869" s="342"/>
      <c r="CH2869" s="342"/>
      <c r="CI2869" s="342"/>
      <c r="CJ2869" s="342"/>
      <c r="CK2869" s="342"/>
      <c r="CL2869" s="342"/>
      <c r="CM2869" s="342"/>
      <c r="CN2869" s="342"/>
      <c r="CO2869" s="342"/>
      <c r="CP2869" s="342"/>
      <c r="CQ2869" s="342"/>
      <c r="CR2869" s="342"/>
      <c r="CS2869" s="342"/>
      <c r="CT2869" s="342"/>
      <c r="CU2869" s="342"/>
      <c r="CV2869" s="342"/>
      <c r="CW2869" s="342"/>
      <c r="CX2869" s="342"/>
      <c r="CY2869" s="342"/>
      <c r="CZ2869" s="342"/>
      <c r="DA2869" s="342"/>
      <c r="DB2869" s="342"/>
      <c r="DC2869" s="342"/>
      <c r="DD2869" s="342"/>
      <c r="DE2869" s="342"/>
      <c r="DF2869" s="342"/>
      <c r="DG2869" s="342"/>
      <c r="DH2869" s="342"/>
      <c r="DI2869" s="342"/>
      <c r="DJ2869" s="342"/>
      <c r="DK2869" s="342"/>
      <c r="DL2869" s="342"/>
    </row>
    <row r="2870">
      <c r="A2870" s="44">
        <v>3160.0</v>
      </c>
      <c r="B2870" s="1322" t="s">
        <v>114</v>
      </c>
      <c r="C2870" s="1588" t="s">
        <v>115</v>
      </c>
      <c r="D2870" s="1588" t="s">
        <v>1458</v>
      </c>
      <c r="E2870" s="1572"/>
      <c r="F2870" s="1313" t="s">
        <v>16828</v>
      </c>
      <c r="G2870" s="1315" t="s">
        <v>16829</v>
      </c>
      <c r="H2870" s="2235" t="s">
        <v>1518</v>
      </c>
      <c r="I2870" s="2236"/>
      <c r="J2870" s="2230">
        <v>45849.0</v>
      </c>
      <c r="K2870" s="1315" t="s">
        <v>16830</v>
      </c>
      <c r="L2870" s="1313"/>
      <c r="M2870" s="1315" t="s">
        <v>16831</v>
      </c>
      <c r="N2870" s="1315" t="s">
        <v>16832</v>
      </c>
      <c r="O2870" s="1318">
        <v>1.0</v>
      </c>
      <c r="P2870" s="1315" t="s">
        <v>16833</v>
      </c>
      <c r="Q2870" s="2338" t="str">
        <f> hyperlink(vlookup(lower(N2870),'File Links'!F:G, 2, FALSE), "LINK")</f>
        <v>LINK</v>
      </c>
      <c r="R2870" s="1315" t="s">
        <v>16834</v>
      </c>
      <c r="S2870" s="1315" t="s">
        <v>16835</v>
      </c>
      <c r="T2870" s="1315" t="s">
        <v>138</v>
      </c>
      <c r="U2870" s="1318">
        <v>1.0</v>
      </c>
      <c r="V2870" s="1315" t="s">
        <v>16836</v>
      </c>
      <c r="W2870" s="1313"/>
      <c r="X2870" s="2233" t="str">
        <f t="array" ref="X2870"> if(iserror(MATCH(V2870, 'File Links'!C:C, 0)), "N/A", HYPERLINK(INDEX('File Links'!B:B, MATCH(V2870, 'File Links'!C:C, 0))))</f>
        <v>https://drive.google.com/file/d/1km2L9DNVunqU05rc4Kd_J4czp3x6Xkk1/view?usp=drivesdk</v>
      </c>
      <c r="Y2870" s="1315" t="s">
        <v>138</v>
      </c>
      <c r="Z2870" s="1315" t="s">
        <v>503</v>
      </c>
      <c r="AA2870" s="1315" t="s">
        <v>16837</v>
      </c>
      <c r="AB2870" s="1315" t="s">
        <v>16838</v>
      </c>
      <c r="AC2870" s="1315" t="s">
        <v>16839</v>
      </c>
      <c r="AD2870" s="1315" t="s">
        <v>16840</v>
      </c>
      <c r="AE2870" s="1318">
        <v>5.0</v>
      </c>
      <c r="AF2870" s="1315" t="s">
        <v>16841</v>
      </c>
      <c r="AG2870" s="1318">
        <v>1.51</v>
      </c>
      <c r="AH2870" s="1315" t="s">
        <v>722</v>
      </c>
      <c r="AI2870" s="1315" t="s">
        <v>882</v>
      </c>
      <c r="AJ2870" s="1315" t="s">
        <v>16842</v>
      </c>
      <c r="AK2870" s="1315" t="s">
        <v>172</v>
      </c>
      <c r="AL2870" s="1315" t="s">
        <v>186</v>
      </c>
      <c r="AM2870" s="1315" t="s">
        <v>141</v>
      </c>
      <c r="AN2870" s="1315" t="s">
        <v>138</v>
      </c>
      <c r="AO2870" s="2359" t="s">
        <v>16843</v>
      </c>
      <c r="AP2870" s="1318">
        <v>0.83</v>
      </c>
      <c r="AQ2870" s="1315" t="s">
        <v>722</v>
      </c>
      <c r="AR2870" s="1591" t="s">
        <v>16844</v>
      </c>
      <c r="AS2870" s="1318">
        <v>0.19</v>
      </c>
      <c r="AT2870" s="1315" t="s">
        <v>172</v>
      </c>
      <c r="AU2870" s="1315" t="s">
        <v>186</v>
      </c>
      <c r="AV2870" s="2359" t="s">
        <v>141</v>
      </c>
      <c r="AW2870" s="1313" t="s">
        <v>138</v>
      </c>
      <c r="AX2870" s="1315" t="s">
        <v>143</v>
      </c>
      <c r="AY2870" s="1321" t="str">
        <f>IFERROR(__xludf.DUMMYFUNCTION("vlookup(BB2870,importrange(""https://docs.google.com/spreadsheets/d/1d2vevQ_7D_v35q4wCQ4RpQ_IPoTwEMB9Yp6ymwlPqew/edit?gid=984458430#gid=984458430"", ""'replication success'!A:K""), 11, FAlSE)"),"#N/A")</f>
        <v>#N/A</v>
      </c>
      <c r="AZ2870" s="1321" t="str">
        <f>IFERROR(__xludf.DUMMYFUNCTION("vlookup(BB2870,importrange(""https://docs.google.com/spreadsheets/d/1d2vevQ_7D_v35q4wCQ4RpQ_IPoTwEMB9Yp6ymwlPqew/edit?gid=984458430#gid=984458430"", ""'replication success'!A:M""), 12, FAlSE)"),"#N/A")</f>
        <v>#N/A</v>
      </c>
      <c r="BA2870" s="1321" t="str">
        <f>IFERROR(__xludf.DUMMYFUNCTION("vlookup(BB2870,importrange(""https://docs.google.com/spreadsheets/d/1d2vevQ_7D_v35q4wCQ4RpQ_IPoTwEMB9Yp6ymwlPqew/edit?gid=984458430#gid=984458430"", ""'replication success'!A:M""), 13, FAlSE)"),"#N/A")</f>
        <v>#N/A</v>
      </c>
      <c r="BB2870" s="1321" t="str">
        <f>IFERROR(__xludf.DUMMYFUNCTION("REGEXREPLACE(G2870, ""_[a-z]{1,2}$"", """")"),"add_ai84")</f>
        <v>add_ai84</v>
      </c>
      <c r="BC2870" s="1572"/>
      <c r="BD2870" s="1588" t="s">
        <v>13264</v>
      </c>
      <c r="BE2870" s="342"/>
      <c r="BF2870" s="342"/>
      <c r="BG2870" s="342"/>
      <c r="BH2870" s="342"/>
      <c r="BI2870" s="342"/>
      <c r="BJ2870" s="342"/>
      <c r="BK2870" s="342"/>
      <c r="BL2870" s="342"/>
      <c r="BM2870" s="342"/>
      <c r="BN2870" s="342"/>
      <c r="BO2870" s="342"/>
      <c r="BP2870" s="342"/>
      <c r="BQ2870" s="342"/>
      <c r="BR2870" s="342"/>
      <c r="BS2870" s="342"/>
      <c r="BT2870" s="342"/>
      <c r="BU2870" s="342"/>
      <c r="BV2870" s="342"/>
      <c r="BW2870" s="342"/>
      <c r="BX2870" s="342"/>
      <c r="BY2870" s="342"/>
      <c r="BZ2870" s="342"/>
      <c r="CA2870" s="342"/>
      <c r="CB2870" s="342"/>
      <c r="CC2870" s="342"/>
      <c r="CD2870" s="342"/>
      <c r="CE2870" s="342"/>
      <c r="CF2870" s="342"/>
      <c r="CG2870" s="342"/>
      <c r="CH2870" s="342"/>
      <c r="CI2870" s="342"/>
      <c r="CJ2870" s="342"/>
      <c r="CK2870" s="342"/>
      <c r="CL2870" s="342"/>
      <c r="CM2870" s="342"/>
      <c r="CN2870" s="342"/>
      <c r="CO2870" s="342"/>
      <c r="CP2870" s="342"/>
      <c r="CQ2870" s="342"/>
      <c r="CR2870" s="342"/>
      <c r="CS2870" s="342"/>
      <c r="CT2870" s="342"/>
      <c r="CU2870" s="342"/>
      <c r="CV2870" s="342"/>
      <c r="CW2870" s="342"/>
      <c r="CX2870" s="342"/>
      <c r="CY2870" s="342"/>
      <c r="CZ2870" s="342"/>
      <c r="DA2870" s="342"/>
      <c r="DB2870" s="342"/>
      <c r="DC2870" s="342"/>
      <c r="DD2870" s="342"/>
      <c r="DE2870" s="342"/>
      <c r="DF2870" s="342"/>
      <c r="DG2870" s="342"/>
      <c r="DH2870" s="342"/>
      <c r="DI2870" s="342"/>
      <c r="DJ2870" s="342"/>
      <c r="DK2870" s="342"/>
      <c r="DL2870" s="342"/>
    </row>
    <row r="2871" ht="21.0" customHeight="1">
      <c r="A2871" s="44">
        <v>3015.0</v>
      </c>
      <c r="B2871" s="1322" t="s">
        <v>152</v>
      </c>
      <c r="C2871" s="1588" t="s">
        <v>115</v>
      </c>
      <c r="D2871" s="1588" t="s">
        <v>153</v>
      </c>
      <c r="E2871" s="1572"/>
      <c r="F2871" s="1592" t="s">
        <v>16828</v>
      </c>
      <c r="G2871" s="1592" t="s">
        <v>16845</v>
      </c>
      <c r="H2871" s="1600" t="s">
        <v>15921</v>
      </c>
      <c r="I2871" s="2229">
        <v>45821.0</v>
      </c>
      <c r="J2871" s="2230">
        <v>45849.0</v>
      </c>
      <c r="K2871" s="1592" t="s">
        <v>16846</v>
      </c>
      <c r="L2871" s="1313"/>
      <c r="M2871" s="1592" t="s">
        <v>16831</v>
      </c>
      <c r="N2871" s="1592" t="s">
        <v>16832</v>
      </c>
      <c r="O2871" s="1313"/>
      <c r="P2871" s="1592" t="s">
        <v>16833</v>
      </c>
      <c r="Q2871" s="2340" t="str">
        <f> hyperlink(vlookup(lower(N2871),'File Links'!E:F, 2, FALSE), "LINK")</f>
        <v>LINK</v>
      </c>
      <c r="R2871" s="1592" t="s">
        <v>16834</v>
      </c>
      <c r="S2871" s="1592" t="s">
        <v>16835</v>
      </c>
      <c r="T2871" s="1313"/>
      <c r="U2871" s="1313"/>
      <c r="V2871" s="1592" t="s">
        <v>16836</v>
      </c>
      <c r="W2871" s="1313"/>
      <c r="X2871" s="2233" t="str">
        <f t="array" ref="X2871"> if(iserror(MATCH(V2871, 'File Links'!C:C, 0)), "N/A", HYPERLINK(INDEX('File Links'!B:B, MATCH(V2871, 'File Links'!C:C, 0))))</f>
        <v>https://drive.google.com/file/d/1km2L9DNVunqU05rc4Kd_J4czp3x6Xkk1/view?usp=drivesdk</v>
      </c>
      <c r="Y2871" s="1313"/>
      <c r="Z2871" s="1592" t="s">
        <v>503</v>
      </c>
      <c r="AA2871" s="1592" t="s">
        <v>16847</v>
      </c>
      <c r="AB2871" s="1592" t="s">
        <v>16848</v>
      </c>
      <c r="AC2871" s="2341" t="s">
        <v>16849</v>
      </c>
      <c r="AD2871" s="1592" t="s">
        <v>16850</v>
      </c>
      <c r="AE2871" s="2360">
        <v>45750.0</v>
      </c>
      <c r="AF2871" s="1596">
        <f>246+352</f>
        <v>598</v>
      </c>
      <c r="AG2871" s="1596">
        <v>1.15</v>
      </c>
      <c r="AH2871" s="1592" t="s">
        <v>722</v>
      </c>
      <c r="AI2871" s="2262" t="s">
        <v>16851</v>
      </c>
      <c r="AJ2871" s="1596">
        <v>0.29</v>
      </c>
      <c r="AK2871" s="1592" t="s">
        <v>172</v>
      </c>
      <c r="AL2871" s="1592" t="s">
        <v>186</v>
      </c>
      <c r="AM2871" s="1592" t="s">
        <v>137</v>
      </c>
      <c r="AN2871" s="1592" t="s">
        <v>138</v>
      </c>
      <c r="AO2871" s="1596">
        <f t="shared" ref="AO2871:AO2874" si="137">198+265</f>
        <v>463</v>
      </c>
      <c r="AP2871" s="2361">
        <v>0.83</v>
      </c>
      <c r="AQ2871" s="1592" t="s">
        <v>722</v>
      </c>
      <c r="AR2871" s="2341" t="s">
        <v>16852</v>
      </c>
      <c r="AS2871" s="1596">
        <v>0.19</v>
      </c>
      <c r="AT2871" s="1592" t="s">
        <v>172</v>
      </c>
      <c r="AU2871" s="1592" t="s">
        <v>186</v>
      </c>
      <c r="AV2871" s="1592" t="s">
        <v>137</v>
      </c>
      <c r="AW2871" s="1592" t="s">
        <v>138</v>
      </c>
      <c r="AX2871" s="1592" t="s">
        <v>143</v>
      </c>
      <c r="AY2871" s="1321" t="str">
        <f>IFERROR(__xludf.DUMMYFUNCTION("vlookup(BB2871,importrange(""https://docs.google.com/spreadsheets/d/1d2vevQ_7D_v35q4wCQ4RpQ_IPoTwEMB9Yp6ymwlPqew/edit?gid=984458430#gid=984458430"", ""'replication success'!A:K""), 11, FAlSE)"),"#N/A")</f>
        <v>#N/A</v>
      </c>
      <c r="AZ2871" s="1321" t="str">
        <f>IFERROR(__xludf.DUMMYFUNCTION("vlookup(BB2871,importrange(""https://docs.google.com/spreadsheets/d/1d2vevQ_7D_v35q4wCQ4RpQ_IPoTwEMB9Yp6ymwlPqew/edit?gid=984458430#gid=984458430"", ""'replication success'!A:M""), 12, FAlSE)"),"#N/A")</f>
        <v>#N/A</v>
      </c>
      <c r="BA2871" s="1321" t="str">
        <f>IFERROR(__xludf.DUMMYFUNCTION("vlookup(BB2871,importrange(""https://docs.google.com/spreadsheets/d/1d2vevQ_7D_v35q4wCQ4RpQ_IPoTwEMB9Yp6ymwlPqew/edit?gid=984458430#gid=984458430"", ""'replication success'!A:M""), 13, FAlSE)"),"#N/A")</f>
        <v>#N/A</v>
      </c>
      <c r="BB2871" s="1321" t="str">
        <f>IFERROR(__xludf.DUMMYFUNCTION("REGEXREPLACE(G2871, ""_[a-z]{1,2}$"", """")"),"add_ai84_African")</f>
        <v>add_ai84_African</v>
      </c>
      <c r="BC2871" s="1572"/>
      <c r="BD2871" s="1588" t="s">
        <v>13264</v>
      </c>
      <c r="BE2871" s="342"/>
      <c r="BF2871" s="342"/>
      <c r="BG2871" s="342"/>
      <c r="BH2871" s="342"/>
      <c r="BI2871" s="342"/>
      <c r="BJ2871" s="342"/>
      <c r="BK2871" s="342"/>
      <c r="BL2871" s="342"/>
      <c r="BM2871" s="342"/>
      <c r="BN2871" s="342"/>
      <c r="BO2871" s="342"/>
      <c r="BP2871" s="342"/>
      <c r="BQ2871" s="342"/>
      <c r="BR2871" s="342"/>
      <c r="BS2871" s="342"/>
      <c r="BT2871" s="342"/>
      <c r="BU2871" s="342"/>
      <c r="BV2871" s="342"/>
      <c r="BW2871" s="342"/>
      <c r="BX2871" s="342"/>
      <c r="BY2871" s="342"/>
      <c r="BZ2871" s="342"/>
      <c r="CA2871" s="342"/>
      <c r="CB2871" s="342"/>
      <c r="CC2871" s="342"/>
      <c r="CD2871" s="342"/>
      <c r="CE2871" s="342"/>
      <c r="CF2871" s="342"/>
      <c r="CG2871" s="342"/>
      <c r="CH2871" s="342"/>
      <c r="CI2871" s="342"/>
      <c r="CJ2871" s="342"/>
      <c r="CK2871" s="342"/>
      <c r="CL2871" s="342"/>
      <c r="CM2871" s="342"/>
      <c r="CN2871" s="342"/>
      <c r="CO2871" s="342"/>
      <c r="CP2871" s="342"/>
      <c r="CQ2871" s="342"/>
      <c r="CR2871" s="342"/>
      <c r="CS2871" s="342"/>
      <c r="CT2871" s="342"/>
      <c r="CU2871" s="342"/>
      <c r="CV2871" s="342"/>
      <c r="CW2871" s="342"/>
      <c r="CX2871" s="342"/>
      <c r="CY2871" s="342"/>
      <c r="CZ2871" s="342"/>
      <c r="DA2871" s="342"/>
      <c r="DB2871" s="342"/>
      <c r="DC2871" s="342"/>
      <c r="DD2871" s="342"/>
      <c r="DE2871" s="342"/>
      <c r="DF2871" s="342"/>
      <c r="DG2871" s="342"/>
      <c r="DH2871" s="342"/>
      <c r="DI2871" s="342"/>
      <c r="DJ2871" s="342"/>
      <c r="DK2871" s="342"/>
      <c r="DL2871" s="342"/>
    </row>
    <row r="2872" ht="21.75" customHeight="1">
      <c r="A2872" s="44">
        <v>3012.0</v>
      </c>
      <c r="B2872" s="1322" t="s">
        <v>152</v>
      </c>
      <c r="C2872" s="1588" t="s">
        <v>115</v>
      </c>
      <c r="D2872" s="1588" t="s">
        <v>153</v>
      </c>
      <c r="E2872" s="1572"/>
      <c r="F2872" s="1592" t="s">
        <v>16828</v>
      </c>
      <c r="G2872" s="1592" t="s">
        <v>16853</v>
      </c>
      <c r="H2872" s="1600" t="s">
        <v>15921</v>
      </c>
      <c r="I2872" s="2229">
        <v>45821.0</v>
      </c>
      <c r="J2872" s="2230">
        <v>45849.0</v>
      </c>
      <c r="K2872" s="1592" t="s">
        <v>16846</v>
      </c>
      <c r="L2872" s="1313"/>
      <c r="M2872" s="1592" t="s">
        <v>16831</v>
      </c>
      <c r="N2872" s="1592" t="s">
        <v>16832</v>
      </c>
      <c r="O2872" s="1313"/>
      <c r="P2872" s="1592" t="s">
        <v>16833</v>
      </c>
      <c r="Q2872" s="2340" t="str">
        <f> hyperlink(vlookup(lower(N2872),'File Links'!E:F, 2, FALSE), "LINK")</f>
        <v>LINK</v>
      </c>
      <c r="R2872" s="1592" t="s">
        <v>16834</v>
      </c>
      <c r="S2872" s="1592" t="s">
        <v>16835</v>
      </c>
      <c r="T2872" s="1313"/>
      <c r="U2872" s="1313"/>
      <c r="V2872" s="1592" t="s">
        <v>16836</v>
      </c>
      <c r="W2872" s="1313"/>
      <c r="X2872" s="2233" t="str">
        <f t="array" ref="X2872"> if(iserror(MATCH(V2872, 'File Links'!C:C, 0)), "N/A", HYPERLINK(INDEX('File Links'!B:B, MATCH(V2872, 'File Links'!C:C, 0))))</f>
        <v>https://drive.google.com/file/d/1km2L9DNVunqU05rc4Kd_J4czp3x6Xkk1/view?usp=drivesdk</v>
      </c>
      <c r="Y2872" s="1313"/>
      <c r="Z2872" s="1592" t="s">
        <v>503</v>
      </c>
      <c r="AA2872" s="1592" t="s">
        <v>16847</v>
      </c>
      <c r="AB2872" s="1592" t="s">
        <v>16848</v>
      </c>
      <c r="AC2872" s="1592" t="s">
        <v>16854</v>
      </c>
      <c r="AD2872" s="2341" t="s">
        <v>16855</v>
      </c>
      <c r="AE2872" s="1596">
        <v>2.0</v>
      </c>
      <c r="AF2872" s="1596">
        <f>1291+997</f>
        <v>2288</v>
      </c>
      <c r="AG2872" s="1596">
        <v>1.72</v>
      </c>
      <c r="AH2872" s="1592" t="s">
        <v>722</v>
      </c>
      <c r="AI2872" s="2262" t="s">
        <v>16856</v>
      </c>
      <c r="AJ2872" s="2265">
        <f>IFERROR(__xludf.DUMMYFUNCTION("1.7*10^-9"),1.7000000000000001E-9)</f>
        <v>0.0000000017</v>
      </c>
      <c r="AK2872" s="1592" t="s">
        <v>172</v>
      </c>
      <c r="AL2872" s="1592" t="s">
        <v>186</v>
      </c>
      <c r="AM2872" s="1592" t="s">
        <v>137</v>
      </c>
      <c r="AN2872" s="1592" t="s">
        <v>138</v>
      </c>
      <c r="AO2872" s="1596">
        <f t="shared" si="137"/>
        <v>463</v>
      </c>
      <c r="AP2872" s="2361">
        <v>0.83</v>
      </c>
      <c r="AQ2872" s="1592" t="s">
        <v>722</v>
      </c>
      <c r="AR2872" s="2341" t="s">
        <v>16857</v>
      </c>
      <c r="AS2872" s="1596">
        <v>0.19</v>
      </c>
      <c r="AT2872" s="1592" t="s">
        <v>172</v>
      </c>
      <c r="AU2872" s="1592" t="s">
        <v>186</v>
      </c>
      <c r="AV2872" s="1592" t="s">
        <v>137</v>
      </c>
      <c r="AW2872" s="1592" t="s">
        <v>138</v>
      </c>
      <c r="AX2872" s="1592" t="s">
        <v>143</v>
      </c>
      <c r="AY2872" s="1321" t="str">
        <f>IFERROR(__xludf.DUMMYFUNCTION("vlookup(BB2872,importrange(""https://docs.google.com/spreadsheets/d/1d2vevQ_7D_v35q4wCQ4RpQ_IPoTwEMB9Yp6ymwlPqew/edit?gid=984458430#gid=984458430"", ""'replication success'!A:K""), 11, FAlSE)"),"#N/A")</f>
        <v>#N/A</v>
      </c>
      <c r="AZ2872" s="1321" t="str">
        <f>IFERROR(__xludf.DUMMYFUNCTION("vlookup(BB2872,importrange(""https://docs.google.com/spreadsheets/d/1d2vevQ_7D_v35q4wCQ4RpQ_IPoTwEMB9Yp6ymwlPqew/edit?gid=984458430#gid=984458430"", ""'replication success'!A:M""), 12, FAlSE)"),"#N/A")</f>
        <v>#N/A</v>
      </c>
      <c r="BA2872" s="1321" t="str">
        <f>IFERROR(__xludf.DUMMYFUNCTION("vlookup(BB2872,importrange(""https://docs.google.com/spreadsheets/d/1d2vevQ_7D_v35q4wCQ4RpQ_IPoTwEMB9Yp6ymwlPqew/edit?gid=984458430#gid=984458430"", ""'replication success'!A:M""), 13, FAlSE)"),"#N/A")</f>
        <v>#N/A</v>
      </c>
      <c r="BB2872" s="1321" t="str">
        <f>IFERROR(__xludf.DUMMYFUNCTION("REGEXREPLACE(G2872, ""_[a-z]{1,2}$"", """")"),"add_ai84_iceland")</f>
        <v>add_ai84_iceland</v>
      </c>
      <c r="BC2872" s="1572"/>
      <c r="BD2872" s="1588" t="s">
        <v>13264</v>
      </c>
      <c r="BE2872" s="342"/>
      <c r="BF2872" s="342"/>
      <c r="BG2872" s="342"/>
      <c r="BH2872" s="342"/>
      <c r="BI2872" s="342"/>
      <c r="BJ2872" s="342"/>
      <c r="BK2872" s="342"/>
      <c r="BL2872" s="342"/>
      <c r="BM2872" s="342"/>
      <c r="BN2872" s="342"/>
      <c r="BO2872" s="342"/>
      <c r="BP2872" s="342"/>
      <c r="BQ2872" s="342"/>
      <c r="BR2872" s="342"/>
      <c r="BS2872" s="342"/>
      <c r="BT2872" s="342"/>
      <c r="BU2872" s="342"/>
      <c r="BV2872" s="342"/>
      <c r="BW2872" s="342"/>
      <c r="BX2872" s="342"/>
      <c r="BY2872" s="342"/>
      <c r="BZ2872" s="342"/>
      <c r="CA2872" s="342"/>
      <c r="CB2872" s="342"/>
      <c r="CC2872" s="342"/>
      <c r="CD2872" s="342"/>
      <c r="CE2872" s="342"/>
      <c r="CF2872" s="342"/>
      <c r="CG2872" s="342"/>
      <c r="CH2872" s="342"/>
      <c r="CI2872" s="342"/>
      <c r="CJ2872" s="342"/>
      <c r="CK2872" s="342"/>
      <c r="CL2872" s="342"/>
      <c r="CM2872" s="342"/>
      <c r="CN2872" s="342"/>
      <c r="CO2872" s="342"/>
      <c r="CP2872" s="342"/>
      <c r="CQ2872" s="342"/>
      <c r="CR2872" s="342"/>
      <c r="CS2872" s="342"/>
      <c r="CT2872" s="342"/>
      <c r="CU2872" s="342"/>
      <c r="CV2872" s="342"/>
      <c r="CW2872" s="342"/>
      <c r="CX2872" s="342"/>
      <c r="CY2872" s="342"/>
      <c r="CZ2872" s="342"/>
      <c r="DA2872" s="342"/>
      <c r="DB2872" s="342"/>
      <c r="DC2872" s="342"/>
      <c r="DD2872" s="342"/>
      <c r="DE2872" s="342"/>
      <c r="DF2872" s="342"/>
      <c r="DG2872" s="342"/>
      <c r="DH2872" s="342"/>
      <c r="DI2872" s="342"/>
      <c r="DJ2872" s="342"/>
      <c r="DK2872" s="342"/>
      <c r="DL2872" s="342"/>
    </row>
    <row r="2873" ht="23.25" customHeight="1">
      <c r="A2873" s="44">
        <v>3013.0</v>
      </c>
      <c r="B2873" s="1322" t="s">
        <v>152</v>
      </c>
      <c r="C2873" s="1588" t="s">
        <v>115</v>
      </c>
      <c r="D2873" s="1588" t="s">
        <v>153</v>
      </c>
      <c r="E2873" s="1572"/>
      <c r="F2873" s="1592" t="s">
        <v>16828</v>
      </c>
      <c r="G2873" s="1592" t="s">
        <v>16858</v>
      </c>
      <c r="H2873" s="1600" t="s">
        <v>15921</v>
      </c>
      <c r="I2873" s="2229">
        <v>45821.0</v>
      </c>
      <c r="J2873" s="2230">
        <v>45849.0</v>
      </c>
      <c r="K2873" s="1592" t="s">
        <v>16846</v>
      </c>
      <c r="L2873" s="1313"/>
      <c r="M2873" s="1592" t="s">
        <v>16831</v>
      </c>
      <c r="N2873" s="1592" t="s">
        <v>16832</v>
      </c>
      <c r="O2873" s="1313"/>
      <c r="P2873" s="1592" t="s">
        <v>16833</v>
      </c>
      <c r="Q2873" s="2340" t="str">
        <f> hyperlink(vlookup(lower(N2873),'File Links'!E:F, 2, FALSE), "LINK")</f>
        <v>LINK</v>
      </c>
      <c r="R2873" s="1592" t="s">
        <v>16834</v>
      </c>
      <c r="S2873" s="1592" t="s">
        <v>16835</v>
      </c>
      <c r="T2873" s="1313"/>
      <c r="U2873" s="1313"/>
      <c r="V2873" s="1592" t="s">
        <v>16836</v>
      </c>
      <c r="W2873" s="1313"/>
      <c r="X2873" s="2233" t="str">
        <f t="array" ref="X2873"> if(iserror(MATCH(V2873, 'File Links'!C:C, 0)), "N/A", HYPERLINK(INDEX('File Links'!B:B, MATCH(V2873, 'File Links'!C:C, 0))))</f>
        <v>https://drive.google.com/file/d/1km2L9DNVunqU05rc4Kd_J4czp3x6Xkk1/view?usp=drivesdk</v>
      </c>
      <c r="Y2873" s="1313"/>
      <c r="Z2873" s="1592" t="s">
        <v>503</v>
      </c>
      <c r="AA2873" s="1592" t="s">
        <v>16847</v>
      </c>
      <c r="AB2873" s="1592" t="s">
        <v>16848</v>
      </c>
      <c r="AC2873" s="1592" t="s">
        <v>16859</v>
      </c>
      <c r="AD2873" s="1592" t="s">
        <v>16860</v>
      </c>
      <c r="AE2873" s="2360">
        <v>45718.0</v>
      </c>
      <c r="AF2873" s="1596">
        <f>1435+779</f>
        <v>2214</v>
      </c>
      <c r="AG2873" s="1596">
        <v>1.29</v>
      </c>
      <c r="AH2873" s="1592" t="s">
        <v>722</v>
      </c>
      <c r="AI2873" s="2262" t="s">
        <v>16861</v>
      </c>
      <c r="AJ2873" s="2265">
        <f>IFERROR(__xludf.DUMMYFUNCTION("4.5*10^-3"),0.0045000000000000005)</f>
        <v>0.0045</v>
      </c>
      <c r="AK2873" s="1592" t="s">
        <v>172</v>
      </c>
      <c r="AL2873" s="1592" t="s">
        <v>186</v>
      </c>
      <c r="AM2873" s="1592" t="s">
        <v>137</v>
      </c>
      <c r="AN2873" s="1592" t="s">
        <v>138</v>
      </c>
      <c r="AO2873" s="1596">
        <f t="shared" si="137"/>
        <v>463</v>
      </c>
      <c r="AP2873" s="2361">
        <v>0.83</v>
      </c>
      <c r="AQ2873" s="1592" t="s">
        <v>722</v>
      </c>
      <c r="AR2873" s="2341" t="s">
        <v>16862</v>
      </c>
      <c r="AS2873" s="1596">
        <v>0.19</v>
      </c>
      <c r="AT2873" s="1592" t="s">
        <v>172</v>
      </c>
      <c r="AU2873" s="1592" t="s">
        <v>186</v>
      </c>
      <c r="AV2873" s="1592" t="s">
        <v>137</v>
      </c>
      <c r="AW2873" s="1592" t="s">
        <v>138</v>
      </c>
      <c r="AX2873" s="1592" t="s">
        <v>143</v>
      </c>
      <c r="AY2873" s="1321" t="str">
        <f>IFERROR(__xludf.DUMMYFUNCTION("vlookup(BB2873,importrange(""https://docs.google.com/spreadsheets/d/1d2vevQ_7D_v35q4wCQ4RpQ_IPoTwEMB9Yp6ymwlPqew/edit?gid=984458430#gid=984458430"", ""'replication success'!A:K""), 11, FAlSE)"),"#N/A")</f>
        <v>#N/A</v>
      </c>
      <c r="AZ2873" s="1321" t="str">
        <f>IFERROR(__xludf.DUMMYFUNCTION("vlookup(BB2873,importrange(""https://docs.google.com/spreadsheets/d/1d2vevQ_7D_v35q4wCQ4RpQ_IPoTwEMB9Yp6ymwlPqew/edit?gid=984458430#gid=984458430"", ""'replication success'!A:M""), 12, FAlSE)"),"#N/A")</f>
        <v>#N/A</v>
      </c>
      <c r="BA2873" s="1321" t="str">
        <f>IFERROR(__xludf.DUMMYFUNCTION("vlookup(BB2873,importrange(""https://docs.google.com/spreadsheets/d/1d2vevQ_7D_v35q4wCQ4RpQ_IPoTwEMB9Yp6ymwlPqew/edit?gid=984458430#gid=984458430"", ""'replication success'!A:M""), 13, FAlSE)"),"#N/A")</f>
        <v>#N/A</v>
      </c>
      <c r="BB2873" s="1321" t="str">
        <f>IFERROR(__xludf.DUMMYFUNCTION("REGEXREPLACE(G2873, ""_[a-z]{1,2}$"", """")"),"add_ai84_sweden")</f>
        <v>add_ai84_sweden</v>
      </c>
      <c r="BC2873" s="1572"/>
      <c r="BD2873" s="1588" t="s">
        <v>13264</v>
      </c>
      <c r="BE2873" s="342"/>
      <c r="BF2873" s="342"/>
      <c r="BG2873" s="342"/>
      <c r="BH2873" s="342"/>
      <c r="BI2873" s="342"/>
      <c r="BJ2873" s="342"/>
      <c r="BK2873" s="342"/>
      <c r="BL2873" s="342"/>
      <c r="BM2873" s="342"/>
      <c r="BN2873" s="342"/>
      <c r="BO2873" s="342"/>
      <c r="BP2873" s="342"/>
      <c r="BQ2873" s="342"/>
      <c r="BR2873" s="342"/>
      <c r="BS2873" s="342"/>
      <c r="BT2873" s="342"/>
      <c r="BU2873" s="342"/>
      <c r="BV2873" s="342"/>
      <c r="BW2873" s="342"/>
      <c r="BX2873" s="342"/>
      <c r="BY2873" s="342"/>
      <c r="BZ2873" s="342"/>
      <c r="CA2873" s="342"/>
      <c r="CB2873" s="342"/>
      <c r="CC2873" s="342"/>
      <c r="CD2873" s="342"/>
      <c r="CE2873" s="342"/>
      <c r="CF2873" s="342"/>
      <c r="CG2873" s="342"/>
      <c r="CH2873" s="342"/>
      <c r="CI2873" s="342"/>
      <c r="CJ2873" s="342"/>
      <c r="CK2873" s="342"/>
      <c r="CL2873" s="342"/>
      <c r="CM2873" s="342"/>
      <c r="CN2873" s="342"/>
      <c r="CO2873" s="342"/>
      <c r="CP2873" s="342"/>
      <c r="CQ2873" s="342"/>
      <c r="CR2873" s="342"/>
      <c r="CS2873" s="342"/>
      <c r="CT2873" s="342"/>
      <c r="CU2873" s="342"/>
      <c r="CV2873" s="342"/>
      <c r="CW2873" s="342"/>
      <c r="CX2873" s="342"/>
      <c r="CY2873" s="342"/>
      <c r="CZ2873" s="342"/>
      <c r="DA2873" s="342"/>
      <c r="DB2873" s="342"/>
      <c r="DC2873" s="342"/>
      <c r="DD2873" s="342"/>
      <c r="DE2873" s="342"/>
      <c r="DF2873" s="342"/>
      <c r="DG2873" s="342"/>
      <c r="DH2873" s="342"/>
      <c r="DI2873" s="342"/>
      <c r="DJ2873" s="342"/>
      <c r="DK2873" s="342"/>
      <c r="DL2873" s="342"/>
    </row>
    <row r="2874" ht="24.0" customHeight="1">
      <c r="A2874" s="44">
        <v>3014.0</v>
      </c>
      <c r="B2874" s="1322" t="s">
        <v>152</v>
      </c>
      <c r="C2874" s="1588" t="s">
        <v>115</v>
      </c>
      <c r="D2874" s="1588" t="s">
        <v>153</v>
      </c>
      <c r="E2874" s="1572"/>
      <c r="F2874" s="1592" t="s">
        <v>16828</v>
      </c>
      <c r="G2874" s="1592" t="s">
        <v>16863</v>
      </c>
      <c r="H2874" s="1600" t="s">
        <v>15921</v>
      </c>
      <c r="I2874" s="2229">
        <v>45821.0</v>
      </c>
      <c r="J2874" s="2230">
        <v>45849.0</v>
      </c>
      <c r="K2874" s="1592" t="s">
        <v>16864</v>
      </c>
      <c r="L2874" s="1313"/>
      <c r="M2874" s="1592" t="s">
        <v>16831</v>
      </c>
      <c r="N2874" s="1592" t="s">
        <v>16832</v>
      </c>
      <c r="O2874" s="1313"/>
      <c r="P2874" s="1592" t="s">
        <v>16833</v>
      </c>
      <c r="Q2874" s="2340" t="str">
        <f> hyperlink(vlookup(lower(N2874),'File Links'!E:F, 2, FALSE), "LINK")</f>
        <v>LINK</v>
      </c>
      <c r="R2874" s="1592" t="s">
        <v>16834</v>
      </c>
      <c r="S2874" s="1592" t="s">
        <v>16835</v>
      </c>
      <c r="T2874" s="1313"/>
      <c r="U2874" s="1313"/>
      <c r="V2874" s="1592" t="s">
        <v>16836</v>
      </c>
      <c r="W2874" s="1313"/>
      <c r="X2874" s="2233" t="str">
        <f t="array" ref="X2874"> if(iserror(MATCH(V2874, 'File Links'!C:C, 0)), "N/A", HYPERLINK(INDEX('File Links'!B:B, MATCH(V2874, 'File Links'!C:C, 0))))</f>
        <v>https://drive.google.com/file/d/1km2L9DNVunqU05rc4Kd_J4czp3x6Xkk1/view?usp=drivesdk</v>
      </c>
      <c r="Y2874" s="1313"/>
      <c r="Z2874" s="1592" t="s">
        <v>503</v>
      </c>
      <c r="AA2874" s="1592" t="s">
        <v>16847</v>
      </c>
      <c r="AB2874" s="1592" t="s">
        <v>16848</v>
      </c>
      <c r="AC2874" s="2341" t="s">
        <v>16865</v>
      </c>
      <c r="AD2874" s="1592" t="s">
        <v>16860</v>
      </c>
      <c r="AE2874" s="2360">
        <v>45718.0</v>
      </c>
      <c r="AF2874" s="1596">
        <f>458+247</f>
        <v>705</v>
      </c>
      <c r="AG2874" s="1596">
        <v>1.66</v>
      </c>
      <c r="AH2874" s="1592" t="s">
        <v>722</v>
      </c>
      <c r="AI2874" s="2262" t="s">
        <v>16866</v>
      </c>
      <c r="AJ2874" s="2265">
        <f>IFERROR(__xludf.DUMMYFUNCTION("6.7*10^-3"),0.0067)</f>
        <v>0.0067</v>
      </c>
      <c r="AK2874" s="1592" t="s">
        <v>172</v>
      </c>
      <c r="AL2874" s="1592" t="s">
        <v>186</v>
      </c>
      <c r="AM2874" s="1592" t="s">
        <v>137</v>
      </c>
      <c r="AN2874" s="1592" t="s">
        <v>138</v>
      </c>
      <c r="AO2874" s="1596">
        <f t="shared" si="137"/>
        <v>463</v>
      </c>
      <c r="AP2874" s="2361">
        <v>0.83</v>
      </c>
      <c r="AQ2874" s="1592" t="s">
        <v>722</v>
      </c>
      <c r="AR2874" s="2341" t="s">
        <v>16867</v>
      </c>
      <c r="AS2874" s="1596">
        <v>0.19</v>
      </c>
      <c r="AT2874" s="1592" t="s">
        <v>172</v>
      </c>
      <c r="AU2874" s="1592" t="s">
        <v>186</v>
      </c>
      <c r="AV2874" s="1592" t="s">
        <v>137</v>
      </c>
      <c r="AW2874" s="1592" t="s">
        <v>138</v>
      </c>
      <c r="AX2874" s="1592" t="s">
        <v>143</v>
      </c>
      <c r="AY2874" s="1321" t="str">
        <f>IFERROR(__xludf.DUMMYFUNCTION("vlookup(BB2874,importrange(""https://docs.google.com/spreadsheets/d/1d2vevQ_7D_v35q4wCQ4RpQ_IPoTwEMB9Yp6ymwlPqew/edit?gid=984458430#gid=984458430"", ""'replication success'!A:K""), 11, FAlSE)"),"#N/A")</f>
        <v>#N/A</v>
      </c>
      <c r="AZ2874" s="1321" t="str">
        <f>IFERROR(__xludf.DUMMYFUNCTION("vlookup(BB2874,importrange(""https://docs.google.com/spreadsheets/d/1d2vevQ_7D_v35q4wCQ4RpQ_IPoTwEMB9Yp6ymwlPqew/edit?gid=984458430#gid=984458430"", ""'replication success'!A:M""), 12, FAlSE)"),"#N/A")</f>
        <v>#N/A</v>
      </c>
      <c r="BA2874" s="1321" t="str">
        <f>IFERROR(__xludf.DUMMYFUNCTION("vlookup(BB2874,importrange(""https://docs.google.com/spreadsheets/d/1d2vevQ_7D_v35q4wCQ4RpQ_IPoTwEMB9Yp6ymwlPqew/edit?gid=984458430#gid=984458430"", ""'replication success'!A:M""), 13, FAlSE)"),"#N/A")</f>
        <v>#N/A</v>
      </c>
      <c r="BB2874" s="1321" t="str">
        <f>IFERROR(__xludf.DUMMYFUNCTION("REGEXREPLACE(G2874, ""_[a-z]{1,2}$"", """")"),"add_ai84_USA")</f>
        <v>add_ai84_USA</v>
      </c>
      <c r="BC2874" s="1572"/>
      <c r="BD2874" s="1588" t="s">
        <v>13264</v>
      </c>
      <c r="BE2874" s="342"/>
      <c r="BF2874" s="342"/>
      <c r="BG2874" s="342"/>
      <c r="BH2874" s="342"/>
      <c r="BI2874" s="342"/>
      <c r="BJ2874" s="342"/>
      <c r="BK2874" s="342"/>
      <c r="BL2874" s="342"/>
      <c r="BM2874" s="342"/>
      <c r="BN2874" s="342"/>
      <c r="BO2874" s="342"/>
      <c r="BP2874" s="342"/>
      <c r="BQ2874" s="342"/>
      <c r="BR2874" s="342"/>
      <c r="BS2874" s="342"/>
      <c r="BT2874" s="342"/>
      <c r="BU2874" s="342"/>
      <c r="BV2874" s="342"/>
      <c r="BW2874" s="342"/>
      <c r="BX2874" s="342"/>
      <c r="BY2874" s="342"/>
      <c r="BZ2874" s="342"/>
      <c r="CA2874" s="342"/>
      <c r="CB2874" s="342"/>
      <c r="CC2874" s="342"/>
      <c r="CD2874" s="342"/>
      <c r="CE2874" s="342"/>
      <c r="CF2874" s="342"/>
      <c r="CG2874" s="342"/>
      <c r="CH2874" s="342"/>
      <c r="CI2874" s="342"/>
      <c r="CJ2874" s="342"/>
      <c r="CK2874" s="342"/>
      <c r="CL2874" s="342"/>
      <c r="CM2874" s="342"/>
      <c r="CN2874" s="342"/>
      <c r="CO2874" s="342"/>
      <c r="CP2874" s="342"/>
      <c r="CQ2874" s="342"/>
      <c r="CR2874" s="342"/>
      <c r="CS2874" s="342"/>
      <c r="CT2874" s="342"/>
      <c r="CU2874" s="342"/>
      <c r="CV2874" s="342"/>
      <c r="CW2874" s="342"/>
      <c r="CX2874" s="342"/>
      <c r="CY2874" s="342"/>
      <c r="CZ2874" s="342"/>
      <c r="DA2874" s="342"/>
      <c r="DB2874" s="342"/>
      <c r="DC2874" s="342"/>
      <c r="DD2874" s="342"/>
      <c r="DE2874" s="342"/>
      <c r="DF2874" s="342"/>
      <c r="DG2874" s="342"/>
      <c r="DH2874" s="342"/>
      <c r="DI2874" s="342"/>
      <c r="DJ2874" s="342"/>
      <c r="DK2874" s="342"/>
      <c r="DL2874" s="342"/>
    </row>
    <row r="2875">
      <c r="A2875" s="44">
        <v>3138.0</v>
      </c>
      <c r="B2875" s="129" t="s">
        <v>523</v>
      </c>
      <c r="C2875" s="62" t="s">
        <v>115</v>
      </c>
      <c r="D2875" s="62" t="s">
        <v>221</v>
      </c>
      <c r="F2875" s="159" t="s">
        <v>16868</v>
      </c>
      <c r="G2875" s="159" t="s">
        <v>16869</v>
      </c>
      <c r="H2875" s="1287" t="s">
        <v>222</v>
      </c>
      <c r="I2875" s="152">
        <v>45817.0</v>
      </c>
      <c r="J2875" s="152">
        <v>45817.0</v>
      </c>
      <c r="K2875" s="159" t="s">
        <v>16870</v>
      </c>
      <c r="L2875" s="68"/>
      <c r="M2875" s="159" t="s">
        <v>16871</v>
      </c>
      <c r="N2875" s="680" t="s">
        <v>16872</v>
      </c>
      <c r="O2875" s="68"/>
      <c r="P2875" s="382" t="s">
        <v>16873</v>
      </c>
      <c r="Q2875" s="2191" t="str">
        <f> hyperlink(vlookup(lower(N2875),'File Links'!F:G, 2, FALSE), "LINK")</f>
        <v>LINK</v>
      </c>
      <c r="R2875" s="159" t="s">
        <v>16874</v>
      </c>
      <c r="S2875" s="680" t="s">
        <v>16875</v>
      </c>
      <c r="T2875" s="680" t="s">
        <v>16876</v>
      </c>
      <c r="U2875" s="68"/>
      <c r="V2875" s="1103" t="s">
        <v>16877</v>
      </c>
      <c r="W2875" s="1228"/>
      <c r="X2875" s="2192" t="str">
        <f> hyperlink(vlookup(lower(S2875),'File Links'!F:G, 2, FALSE), "LINK")</f>
        <v>LINK</v>
      </c>
      <c r="Y2875" s="68"/>
      <c r="Z2875" s="159" t="s">
        <v>226</v>
      </c>
      <c r="AA2875" s="159" t="s">
        <v>16878</v>
      </c>
      <c r="AB2875" s="159" t="s">
        <v>16879</v>
      </c>
      <c r="AC2875" s="159" t="s">
        <v>16880</v>
      </c>
      <c r="AD2875" s="159" t="s">
        <v>16881</v>
      </c>
      <c r="AE2875" s="159" t="s">
        <v>875</v>
      </c>
      <c r="AF2875" s="156">
        <v>20.0</v>
      </c>
      <c r="AG2875" s="156">
        <v>0.752</v>
      </c>
      <c r="AH2875" s="159" t="s">
        <v>215</v>
      </c>
      <c r="AI2875" s="159" t="s">
        <v>882</v>
      </c>
      <c r="AJ2875" s="156">
        <v>0.003</v>
      </c>
      <c r="AK2875" s="159" t="s">
        <v>172</v>
      </c>
      <c r="AL2875" s="159" t="s">
        <v>136</v>
      </c>
      <c r="AM2875" s="159" t="s">
        <v>141</v>
      </c>
      <c r="AN2875" s="310" t="s">
        <v>16882</v>
      </c>
      <c r="AO2875" s="2362">
        <v>20.0</v>
      </c>
      <c r="AP2875" s="1479">
        <v>0.89</v>
      </c>
      <c r="AQ2875" s="159" t="s">
        <v>215</v>
      </c>
      <c r="AR2875" s="159" t="s">
        <v>813</v>
      </c>
      <c r="AS2875" s="156">
        <v>0.004</v>
      </c>
      <c r="AT2875" s="159" t="s">
        <v>172</v>
      </c>
      <c r="AU2875" s="159" t="s">
        <v>136</v>
      </c>
      <c r="AV2875" s="159" t="s">
        <v>141</v>
      </c>
      <c r="AW2875" s="310" t="s">
        <v>16883</v>
      </c>
      <c r="AX2875" s="680" t="s">
        <v>151</v>
      </c>
      <c r="AY2875" s="61" t="str">
        <f>IFERROR(__xludf.DUMMYFUNCTION("vlookup(BB2875,importrange(""https://docs.google.com/spreadsheets/d/1d2vevQ_7D_v35q4wCQ4RpQ_IPoTwEMB9Yp6ymwlPqew/edit?gid=984458430#gid=984458430"", ""'replication success'!A:K""), 11, FAlSE)"),"#N/A")</f>
        <v>#N/A</v>
      </c>
      <c r="AZ2875" s="61" t="str">
        <f>IFERROR(__xludf.DUMMYFUNCTION("vlookup(BB2875,importrange(""https://docs.google.com/spreadsheets/d/1d2vevQ_7D_v35q4wCQ4RpQ_IPoTwEMB9Yp6ymwlPqew/edit?gid=984458430#gid=984458430"", ""'replication success'!A:M""), 12, FAlSE)"),"#N/A")</f>
        <v>#N/A</v>
      </c>
      <c r="BA2875" s="61" t="str">
        <f>IFERROR(__xludf.DUMMYFUNCTION("vlookup(BB2875,importrange(""https://docs.google.com/spreadsheets/d/1d2vevQ_7D_v35q4wCQ4RpQ_IPoTwEMB9Yp6ymwlPqew/edit?gid=984458430#gid=984458430"", ""'replication success'!A:M""), 13, FAlSE)"),"#N/A")</f>
        <v>#N/A</v>
      </c>
      <c r="BB2875" s="61" t="str">
        <f>IFERROR(__xludf.DUMMYFUNCTION("REGEXREPLACE(G2875, ""_[a-z]{1,2}$"", """")"),"additional_studies214")</f>
        <v>additional_studies214</v>
      </c>
    </row>
    <row r="2876">
      <c r="A2876" s="44">
        <v>3139.0</v>
      </c>
      <c r="B2876" s="129" t="s">
        <v>523</v>
      </c>
      <c r="C2876" s="62" t="s">
        <v>115</v>
      </c>
      <c r="D2876" s="62" t="s">
        <v>221</v>
      </c>
      <c r="F2876" s="159" t="s">
        <v>16884</v>
      </c>
      <c r="G2876" s="159" t="s">
        <v>16885</v>
      </c>
      <c r="H2876" s="1287" t="s">
        <v>222</v>
      </c>
      <c r="I2876" s="152">
        <v>45817.0</v>
      </c>
      <c r="J2876" s="152">
        <v>45817.0</v>
      </c>
      <c r="K2876" s="159" t="s">
        <v>16886</v>
      </c>
      <c r="L2876" s="68"/>
      <c r="M2876" s="159" t="s">
        <v>16887</v>
      </c>
      <c r="N2876" s="680" t="s">
        <v>16888</v>
      </c>
      <c r="O2876" s="68"/>
      <c r="P2876" s="382" t="s">
        <v>16889</v>
      </c>
      <c r="Q2876" s="2191" t="str">
        <f> hyperlink(vlookup(lower(N2876),'File Links'!F:G, 2, FALSE), "LINK")</f>
        <v>LINK</v>
      </c>
      <c r="R2876" s="159" t="s">
        <v>16890</v>
      </c>
      <c r="S2876" s="680" t="s">
        <v>16891</v>
      </c>
      <c r="T2876" s="68"/>
      <c r="U2876" s="68"/>
      <c r="V2876" s="382" t="s">
        <v>16892</v>
      </c>
      <c r="W2876" s="1228"/>
      <c r="X2876" s="1552" t="str">
        <f> hyperlink(vlookup(lower(S2876),'File Links'!F:G, 2, FALSE), "LINK")</f>
        <v>LINK</v>
      </c>
      <c r="Y2876" s="68"/>
      <c r="Z2876" s="159" t="s">
        <v>226</v>
      </c>
      <c r="AA2876" s="159" t="s">
        <v>16893</v>
      </c>
      <c r="AB2876" s="159" t="s">
        <v>16894</v>
      </c>
      <c r="AC2876" s="159" t="s">
        <v>16895</v>
      </c>
      <c r="AD2876" s="159" t="s">
        <v>16896</v>
      </c>
      <c r="AE2876" s="159" t="s">
        <v>132</v>
      </c>
      <c r="AF2876" s="156">
        <v>208.0</v>
      </c>
      <c r="AG2876" s="156">
        <v>0.48</v>
      </c>
      <c r="AH2876" s="159" t="s">
        <v>173</v>
      </c>
      <c r="AI2876" s="159" t="s">
        <v>632</v>
      </c>
      <c r="AJ2876" s="156">
        <v>0.03</v>
      </c>
      <c r="AK2876" s="159" t="s">
        <v>172</v>
      </c>
      <c r="AL2876" s="159" t="s">
        <v>136</v>
      </c>
      <c r="AM2876" s="159" t="s">
        <v>141</v>
      </c>
      <c r="AN2876" s="159" t="s">
        <v>138</v>
      </c>
      <c r="AO2876" s="156">
        <v>180.0</v>
      </c>
      <c r="AP2876" s="1479">
        <v>0.41</v>
      </c>
      <c r="AQ2876" s="159" t="s">
        <v>173</v>
      </c>
      <c r="AR2876" s="159" t="s">
        <v>613</v>
      </c>
      <c r="AS2876" s="156">
        <v>0.004</v>
      </c>
      <c r="AT2876" s="159" t="s">
        <v>172</v>
      </c>
      <c r="AU2876" s="159" t="s">
        <v>136</v>
      </c>
      <c r="AV2876" s="159" t="s">
        <v>141</v>
      </c>
      <c r="AW2876" s="159" t="s">
        <v>138</v>
      </c>
      <c r="AX2876" s="159" t="s">
        <v>143</v>
      </c>
      <c r="AY2876" s="61" t="str">
        <f>IFERROR(__xludf.DUMMYFUNCTION("vlookup(BB2876,importrange(""https://docs.google.com/spreadsheets/d/1d2vevQ_7D_v35q4wCQ4RpQ_IPoTwEMB9Yp6ymwlPqew/edit?gid=984458430#gid=984458430"", ""'replication success'!A:K""), 11, FAlSE)"),"#N/A")</f>
        <v>#N/A</v>
      </c>
      <c r="AZ2876" s="61" t="str">
        <f>IFERROR(__xludf.DUMMYFUNCTION("vlookup(BB2876,importrange(""https://docs.google.com/spreadsheets/d/1d2vevQ_7D_v35q4wCQ4RpQ_IPoTwEMB9Yp6ymwlPqew/edit?gid=984458430#gid=984458430"", ""'replication success'!A:M""), 12, FAlSE)"),"#N/A")</f>
        <v>#N/A</v>
      </c>
      <c r="BA2876" s="61" t="str">
        <f>IFERROR(__xludf.DUMMYFUNCTION("vlookup(BB2876,importrange(""https://docs.google.com/spreadsheets/d/1d2vevQ_7D_v35q4wCQ4RpQ_IPoTwEMB9Yp6ymwlPqew/edit?gid=984458430#gid=984458430"", ""'replication success'!A:M""), 13, FAlSE)"),"#N/A")</f>
        <v>#N/A</v>
      </c>
      <c r="BB2876" s="61" t="str">
        <f>IFERROR(__xludf.DUMMYFUNCTION("REGEXREPLACE(G2876, ""_[a-z]{1,2}$"", """")"),"additional_studies220")</f>
        <v>additional_studies220</v>
      </c>
    </row>
    <row r="2877">
      <c r="A2877" s="44">
        <v>3140.0</v>
      </c>
      <c r="B2877" s="129" t="s">
        <v>523</v>
      </c>
      <c r="C2877" s="62" t="s">
        <v>115</v>
      </c>
      <c r="D2877" s="62" t="s">
        <v>221</v>
      </c>
      <c r="F2877" s="68" t="s">
        <v>16897</v>
      </c>
      <c r="G2877" s="159" t="s">
        <v>16898</v>
      </c>
      <c r="H2877" s="1287" t="s">
        <v>222</v>
      </c>
      <c r="I2877" s="152">
        <v>45817.0</v>
      </c>
      <c r="J2877" s="152">
        <v>45817.0</v>
      </c>
      <c r="K2877" s="159" t="s">
        <v>16899</v>
      </c>
      <c r="L2877" s="68"/>
      <c r="M2877" s="159" t="s">
        <v>16900</v>
      </c>
      <c r="N2877" s="680" t="s">
        <v>16901</v>
      </c>
      <c r="O2877" s="68"/>
      <c r="P2877" s="382" t="s">
        <v>16902</v>
      </c>
      <c r="Q2877" s="2191" t="str">
        <f> hyperlink(vlookup(lower(N2877),'File Links'!F:G, 2, FALSE), "LINK")</f>
        <v>LINK</v>
      </c>
      <c r="R2877" s="159" t="s">
        <v>16903</v>
      </c>
      <c r="S2877" s="680" t="s">
        <v>16904</v>
      </c>
      <c r="T2877" s="68"/>
      <c r="U2877" s="68"/>
      <c r="V2877" s="382" t="s">
        <v>16905</v>
      </c>
      <c r="W2877" s="1228"/>
      <c r="X2877" s="1552" t="str">
        <f> hyperlink(vlookup(lower(S2877),'File Links'!F:G, 2, FALSE), "LINK")</f>
        <v>LINK</v>
      </c>
      <c r="Y2877" s="68"/>
      <c r="Z2877" s="159" t="s">
        <v>2045</v>
      </c>
      <c r="AA2877" s="159" t="s">
        <v>16906</v>
      </c>
      <c r="AB2877" s="159" t="s">
        <v>16907</v>
      </c>
      <c r="AC2877" s="159" t="s">
        <v>16908</v>
      </c>
      <c r="AD2877" s="159" t="s">
        <v>16909</v>
      </c>
      <c r="AE2877" s="159" t="s">
        <v>7251</v>
      </c>
      <c r="AF2877" s="156">
        <v>214.0</v>
      </c>
      <c r="AG2877" s="156">
        <v>0.11</v>
      </c>
      <c r="AH2877" s="159" t="s">
        <v>173</v>
      </c>
      <c r="AI2877" s="159" t="s">
        <v>2771</v>
      </c>
      <c r="AJ2877" s="156">
        <v>0.04</v>
      </c>
      <c r="AK2877" s="159" t="s">
        <v>172</v>
      </c>
      <c r="AL2877" s="159" t="s">
        <v>136</v>
      </c>
      <c r="AM2877" s="159" t="s">
        <v>137</v>
      </c>
      <c r="AN2877" s="159" t="s">
        <v>138</v>
      </c>
      <c r="AO2877" s="156">
        <v>3078.0</v>
      </c>
      <c r="AP2877" s="1479">
        <v>0.012</v>
      </c>
      <c r="AQ2877" s="159" t="s">
        <v>173</v>
      </c>
      <c r="AR2877" s="159" t="s">
        <v>4979</v>
      </c>
      <c r="AS2877" s="336">
        <v>0.005</v>
      </c>
      <c r="AT2877" s="159" t="s">
        <v>172</v>
      </c>
      <c r="AU2877" s="159" t="s">
        <v>136</v>
      </c>
      <c r="AV2877" s="159" t="s">
        <v>141</v>
      </c>
      <c r="AW2877" s="159" t="s">
        <v>138</v>
      </c>
      <c r="AX2877" s="159" t="s">
        <v>143</v>
      </c>
      <c r="AY2877" s="61" t="str">
        <f>IFERROR(__xludf.DUMMYFUNCTION("vlookup(BB2877,importrange(""https://docs.google.com/spreadsheets/d/1d2vevQ_7D_v35q4wCQ4RpQ_IPoTwEMB9Yp6ymwlPqew/edit?gid=984458430#gid=984458430"", ""'replication success'!A:K""), 11, FAlSE)"),"#N/A")</f>
        <v>#N/A</v>
      </c>
      <c r="AZ2877" s="61" t="str">
        <f>IFERROR(__xludf.DUMMYFUNCTION("vlookup(BB2877,importrange(""https://docs.google.com/spreadsheets/d/1d2vevQ_7D_v35q4wCQ4RpQ_IPoTwEMB9Yp6ymwlPqew/edit?gid=984458430#gid=984458430"", ""'replication success'!A:M""), 12, FAlSE)"),"#N/A")</f>
        <v>#N/A</v>
      </c>
      <c r="BA2877" s="61" t="str">
        <f>IFERROR(__xludf.DUMMYFUNCTION("vlookup(BB2877,importrange(""https://docs.google.com/spreadsheets/d/1d2vevQ_7D_v35q4wCQ4RpQ_IPoTwEMB9Yp6ymwlPqew/edit?gid=984458430#gid=984458430"", ""'replication success'!A:M""), 13, FAlSE)"),"#N/A")</f>
        <v>#N/A</v>
      </c>
      <c r="BB2877" s="61" t="str">
        <f>IFERROR(__xludf.DUMMYFUNCTION("REGEXREPLACE(G2877, ""_[a-z]{1,2}$"", """")"),"additional_studies223")</f>
        <v>additional_studies223</v>
      </c>
      <c r="BF2877" s="1123"/>
      <c r="BG2877" s="1123"/>
      <c r="BH2877" s="1123"/>
      <c r="BI2877" s="1123"/>
      <c r="BJ2877" s="1123"/>
      <c r="BK2877" s="1123"/>
      <c r="BL2877" s="1123"/>
      <c r="BM2877" s="1123"/>
      <c r="BN2877" s="1123"/>
      <c r="BO2877" s="1123"/>
      <c r="BP2877" s="1123"/>
      <c r="BQ2877" s="1123"/>
      <c r="BR2877" s="1123"/>
      <c r="BS2877" s="1123"/>
      <c r="BT2877" s="1123"/>
      <c r="BU2877" s="1123"/>
      <c r="BV2877" s="1123"/>
      <c r="BW2877" s="1123"/>
      <c r="BX2877" s="1123"/>
      <c r="BY2877" s="1123"/>
      <c r="BZ2877" s="1123"/>
      <c r="CA2877" s="1123"/>
      <c r="CB2877" s="1123"/>
      <c r="CC2877" s="1123"/>
      <c r="CD2877" s="1123"/>
      <c r="CE2877" s="1123"/>
      <c r="CF2877" s="1123"/>
      <c r="CG2877" s="1123"/>
      <c r="CH2877" s="1123"/>
      <c r="CI2877" s="1123"/>
      <c r="CJ2877" s="1123"/>
      <c r="CK2877" s="1123"/>
      <c r="CL2877" s="1123"/>
      <c r="CM2877" s="1123"/>
      <c r="CN2877" s="1123"/>
      <c r="CO2877" s="1123"/>
      <c r="CP2877" s="1123"/>
      <c r="CQ2877" s="1123"/>
      <c r="CR2877" s="1123"/>
      <c r="CS2877" s="1123"/>
      <c r="CT2877" s="1123"/>
      <c r="CU2877" s="1123"/>
      <c r="CV2877" s="1123"/>
      <c r="CW2877" s="1123"/>
      <c r="CX2877" s="1123"/>
      <c r="CY2877" s="1123"/>
      <c r="CZ2877" s="1123"/>
      <c r="DA2877" s="1123"/>
      <c r="DB2877" s="1123"/>
      <c r="DC2877" s="1123"/>
      <c r="DD2877" s="1123"/>
      <c r="DE2877" s="1123"/>
      <c r="DF2877" s="1123"/>
      <c r="DG2877" s="1123"/>
      <c r="DH2877" s="1123"/>
      <c r="DI2877" s="1123"/>
      <c r="DJ2877" s="1123"/>
      <c r="DK2877" s="1123"/>
      <c r="DL2877" s="1123"/>
    </row>
    <row r="2878">
      <c r="A2878" s="44">
        <v>3141.0</v>
      </c>
      <c r="B2878" s="129" t="s">
        <v>523</v>
      </c>
      <c r="C2878" s="62" t="s">
        <v>115</v>
      </c>
      <c r="D2878" s="62" t="s">
        <v>221</v>
      </c>
      <c r="F2878" s="68" t="s">
        <v>16910</v>
      </c>
      <c r="G2878" s="159" t="s">
        <v>16911</v>
      </c>
      <c r="H2878" s="1287" t="s">
        <v>222</v>
      </c>
      <c r="I2878" s="152">
        <v>45817.0</v>
      </c>
      <c r="J2878" s="152">
        <v>45817.0</v>
      </c>
      <c r="K2878" s="68" t="s">
        <v>16912</v>
      </c>
      <c r="L2878" s="68"/>
      <c r="M2878" s="159" t="s">
        <v>16913</v>
      </c>
      <c r="N2878" s="680" t="s">
        <v>16914</v>
      </c>
      <c r="O2878" s="68"/>
      <c r="P2878" s="382" t="s">
        <v>16915</v>
      </c>
      <c r="Q2878" s="2191" t="str">
        <f> hyperlink(vlookup(lower(N2878),'File Links'!F:G, 2, FALSE), "LINK")</f>
        <v>LINK</v>
      </c>
      <c r="R2878" s="159" t="s">
        <v>16916</v>
      </c>
      <c r="S2878" s="680" t="s">
        <v>16917</v>
      </c>
      <c r="T2878" s="68"/>
      <c r="U2878" s="68"/>
      <c r="V2878" s="382" t="s">
        <v>16918</v>
      </c>
      <c r="W2878" s="1228"/>
      <c r="X2878" s="1552" t="str">
        <f> hyperlink(vlookup(lower(S2878),'File Links'!F:G, 2, FALSE), "LINK")</f>
        <v>LINK</v>
      </c>
      <c r="Y2878" s="68"/>
      <c r="Z2878" s="159" t="s">
        <v>226</v>
      </c>
      <c r="AA2878" s="159" t="s">
        <v>16919</v>
      </c>
      <c r="AB2878" s="159" t="s">
        <v>16920</v>
      </c>
      <c r="AC2878" s="159" t="s">
        <v>16919</v>
      </c>
      <c r="AD2878" s="159" t="s">
        <v>16921</v>
      </c>
      <c r="AE2878" s="159" t="s">
        <v>496</v>
      </c>
      <c r="AF2878" s="156">
        <v>29.0</v>
      </c>
      <c r="AG2878" s="156">
        <v>0.49</v>
      </c>
      <c r="AH2878" s="159" t="s">
        <v>215</v>
      </c>
      <c r="AI2878" s="159" t="s">
        <v>496</v>
      </c>
      <c r="AJ2878" s="156">
        <v>0.007</v>
      </c>
      <c r="AK2878" s="159" t="s">
        <v>172</v>
      </c>
      <c r="AL2878" s="159" t="s">
        <v>136</v>
      </c>
      <c r="AM2878" s="159" t="s">
        <v>137</v>
      </c>
      <c r="AN2878" s="159" t="s">
        <v>138</v>
      </c>
      <c r="AO2878" s="156">
        <v>193.0</v>
      </c>
      <c r="AP2878" s="156">
        <v>0.02</v>
      </c>
      <c r="AQ2878" s="159" t="s">
        <v>215</v>
      </c>
      <c r="AR2878" s="159" t="s">
        <v>496</v>
      </c>
      <c r="AS2878" s="336">
        <v>0.57</v>
      </c>
      <c r="AT2878" s="159" t="s">
        <v>335</v>
      </c>
      <c r="AU2878" s="159" t="s">
        <v>136</v>
      </c>
      <c r="AV2878" s="159" t="s">
        <v>137</v>
      </c>
      <c r="AW2878" s="435" t="s">
        <v>16922</v>
      </c>
      <c r="AX2878" s="680" t="s">
        <v>151</v>
      </c>
      <c r="AY2878" s="61" t="str">
        <f>IFERROR(__xludf.DUMMYFUNCTION("vlookup(BB2878,importrange(""https://docs.google.com/spreadsheets/d/1d2vevQ_7D_v35q4wCQ4RpQ_IPoTwEMB9Yp6ymwlPqew/edit?gid=984458430#gid=984458430"", ""'replication success'!A:K""), 11, FAlSE)"),"#N/A")</f>
        <v>#N/A</v>
      </c>
      <c r="AZ2878" s="61" t="str">
        <f>IFERROR(__xludf.DUMMYFUNCTION("vlookup(BB2878,importrange(""https://docs.google.com/spreadsheets/d/1d2vevQ_7D_v35q4wCQ4RpQ_IPoTwEMB9Yp6ymwlPqew/edit?gid=984458430#gid=984458430"", ""'replication success'!A:M""), 12, FAlSE)"),"#N/A")</f>
        <v>#N/A</v>
      </c>
      <c r="BA2878" s="61" t="str">
        <f>IFERROR(__xludf.DUMMYFUNCTION("vlookup(BB2878,importrange(""https://docs.google.com/spreadsheets/d/1d2vevQ_7D_v35q4wCQ4RpQ_IPoTwEMB9Yp6ymwlPqew/edit?gid=984458430#gid=984458430"", ""'replication success'!A:M""), 13, FAlSE)"),"#N/A")</f>
        <v>#N/A</v>
      </c>
      <c r="BB2878" s="61" t="str">
        <f>IFERROR(__xludf.DUMMYFUNCTION("REGEXREPLACE(G2878, ""_[a-z]{1,2}$"", """")"),"additional_studies225")</f>
        <v>additional_studies225</v>
      </c>
    </row>
    <row r="2879">
      <c r="A2879" s="44">
        <v>3142.0</v>
      </c>
      <c r="B2879" s="129" t="s">
        <v>523</v>
      </c>
      <c r="C2879" s="62" t="s">
        <v>115</v>
      </c>
      <c r="D2879" s="62" t="s">
        <v>221</v>
      </c>
      <c r="F2879" s="68" t="s">
        <v>16923</v>
      </c>
      <c r="G2879" s="159" t="s">
        <v>16924</v>
      </c>
      <c r="H2879" s="1287" t="s">
        <v>222</v>
      </c>
      <c r="I2879" s="152">
        <v>45817.0</v>
      </c>
      <c r="J2879" s="152">
        <v>45817.0</v>
      </c>
      <c r="K2879" s="159" t="s">
        <v>16925</v>
      </c>
      <c r="L2879" s="68"/>
      <c r="M2879" s="159" t="s">
        <v>16926</v>
      </c>
      <c r="N2879" s="680" t="s">
        <v>16927</v>
      </c>
      <c r="O2879" s="68"/>
      <c r="P2879" s="382" t="s">
        <v>16928</v>
      </c>
      <c r="Q2879" s="2191" t="str">
        <f> hyperlink(vlookup(lower(N2879),'File Links'!F:G, 2, FALSE), "LINK")</f>
        <v>LINK</v>
      </c>
      <c r="R2879" s="159" t="s">
        <v>16929</v>
      </c>
      <c r="S2879" s="680" t="s">
        <v>16930</v>
      </c>
      <c r="T2879" s="68"/>
      <c r="U2879" s="68"/>
      <c r="V2879" s="382" t="s">
        <v>16931</v>
      </c>
      <c r="W2879" s="1228"/>
      <c r="X2879" s="1552" t="str">
        <f> hyperlink(vlookup(lower(S2879),'File Links'!F:G, 2, FALSE), "LINK")</f>
        <v>LINK</v>
      </c>
      <c r="Y2879" s="68"/>
      <c r="Z2879" s="159" t="s">
        <v>226</v>
      </c>
      <c r="AA2879" s="159" t="s">
        <v>16932</v>
      </c>
      <c r="AB2879" s="159" t="s">
        <v>16933</v>
      </c>
      <c r="AC2879" s="159" t="s">
        <v>16934</v>
      </c>
      <c r="AD2879" s="159" t="s">
        <v>16935</v>
      </c>
      <c r="AE2879" s="159" t="s">
        <v>7251</v>
      </c>
      <c r="AF2879" s="156">
        <v>17964.0</v>
      </c>
      <c r="AG2879" s="156">
        <v>0.13</v>
      </c>
      <c r="AH2879" s="159" t="s">
        <v>215</v>
      </c>
      <c r="AI2879" s="159" t="s">
        <v>7251</v>
      </c>
      <c r="AJ2879" s="336">
        <v>0.001</v>
      </c>
      <c r="AK2879" s="159" t="s">
        <v>135</v>
      </c>
      <c r="AL2879" s="159" t="s">
        <v>136</v>
      </c>
      <c r="AM2879" s="159" t="s">
        <v>137</v>
      </c>
      <c r="AN2879" s="159" t="s">
        <v>138</v>
      </c>
      <c r="AO2879" s="156">
        <v>15349.0</v>
      </c>
      <c r="AP2879" s="336">
        <v>0.1</v>
      </c>
      <c r="AQ2879" s="159" t="s">
        <v>215</v>
      </c>
      <c r="AR2879" s="159" t="s">
        <v>882</v>
      </c>
      <c r="AS2879" s="336">
        <v>0.003</v>
      </c>
      <c r="AT2879" s="159" t="s">
        <v>135</v>
      </c>
      <c r="AU2879" s="159" t="s">
        <v>136</v>
      </c>
      <c r="AV2879" s="159" t="s">
        <v>141</v>
      </c>
      <c r="AW2879" s="159" t="s">
        <v>138</v>
      </c>
      <c r="AX2879" s="159" t="s">
        <v>438</v>
      </c>
      <c r="AY2879" s="61" t="str">
        <f>IFERROR(__xludf.DUMMYFUNCTION("vlookup(BB2879,importrange(""https://docs.google.com/spreadsheets/d/1d2vevQ_7D_v35q4wCQ4RpQ_IPoTwEMB9Yp6ymwlPqew/edit?gid=984458430#gid=984458430"", ""'replication success'!A:K""), 11, FAlSE)"),"#N/A")</f>
        <v>#N/A</v>
      </c>
      <c r="AZ2879" s="61" t="str">
        <f>IFERROR(__xludf.DUMMYFUNCTION("vlookup(BB2879,importrange(""https://docs.google.com/spreadsheets/d/1d2vevQ_7D_v35q4wCQ4RpQ_IPoTwEMB9Yp6ymwlPqew/edit?gid=984458430#gid=984458430"", ""'replication success'!A:M""), 12, FAlSE)"),"#N/A")</f>
        <v>#N/A</v>
      </c>
      <c r="BA2879" s="61" t="str">
        <f>IFERROR(__xludf.DUMMYFUNCTION("vlookup(BB2879,importrange(""https://docs.google.com/spreadsheets/d/1d2vevQ_7D_v35q4wCQ4RpQ_IPoTwEMB9Yp6ymwlPqew/edit?gid=984458430#gid=984458430"", ""'replication success'!A:M""), 13, FAlSE)"),"#N/A")</f>
        <v>#N/A</v>
      </c>
      <c r="BB2879" s="61" t="str">
        <f>IFERROR(__xludf.DUMMYFUNCTION("REGEXREPLACE(G2879, ""_[a-z]{1,2}$"", """")"),"additional_studies227")</f>
        <v>additional_studies227</v>
      </c>
      <c r="BF2879" s="1123"/>
      <c r="BG2879" s="1123"/>
      <c r="BH2879" s="1123"/>
      <c r="BI2879" s="1123"/>
      <c r="BJ2879" s="1123"/>
      <c r="BK2879" s="1123"/>
      <c r="BL2879" s="1123"/>
      <c r="BM2879" s="1123"/>
      <c r="BN2879" s="1123"/>
      <c r="BO2879" s="1123"/>
      <c r="BP2879" s="1123"/>
      <c r="BQ2879" s="1123"/>
      <c r="BR2879" s="1123"/>
      <c r="BS2879" s="1123"/>
      <c r="BT2879" s="1123"/>
      <c r="BU2879" s="1123"/>
      <c r="BV2879" s="1123"/>
      <c r="BW2879" s="1123"/>
      <c r="BX2879" s="1123"/>
      <c r="BY2879" s="1123"/>
      <c r="BZ2879" s="1123"/>
      <c r="CA2879" s="1123"/>
      <c r="CB2879" s="1123"/>
      <c r="CC2879" s="1123"/>
      <c r="CD2879" s="1123"/>
      <c r="CE2879" s="1123"/>
      <c r="CF2879" s="1123"/>
      <c r="CG2879" s="1123"/>
      <c r="CH2879" s="1123"/>
      <c r="CI2879" s="1123"/>
      <c r="CJ2879" s="1123"/>
      <c r="CK2879" s="1123"/>
      <c r="CL2879" s="1123"/>
      <c r="CM2879" s="1123"/>
      <c r="CN2879" s="1123"/>
      <c r="CO2879" s="1123"/>
      <c r="CP2879" s="1123"/>
      <c r="CQ2879" s="1123"/>
      <c r="CR2879" s="1123"/>
      <c r="CS2879" s="1123"/>
      <c r="CT2879" s="1123"/>
      <c r="CU2879" s="1123"/>
      <c r="CV2879" s="1123"/>
      <c r="CW2879" s="1123"/>
      <c r="CX2879" s="1123"/>
      <c r="CY2879" s="1123"/>
      <c r="CZ2879" s="1123"/>
      <c r="DA2879" s="1123"/>
      <c r="DB2879" s="1123"/>
      <c r="DC2879" s="1123"/>
      <c r="DD2879" s="1123"/>
      <c r="DE2879" s="1123"/>
      <c r="DF2879" s="1123"/>
      <c r="DG2879" s="1123"/>
      <c r="DH2879" s="1123"/>
      <c r="DI2879" s="1123"/>
      <c r="DJ2879" s="1123"/>
      <c r="DK2879" s="1123"/>
      <c r="DL2879" s="1123"/>
    </row>
    <row r="2880">
      <c r="A2880" s="44">
        <v>3143.0</v>
      </c>
      <c r="B2880" s="129" t="s">
        <v>523</v>
      </c>
      <c r="C2880" s="62" t="s">
        <v>115</v>
      </c>
      <c r="D2880" s="62" t="s">
        <v>221</v>
      </c>
      <c r="F2880" s="68" t="s">
        <v>16936</v>
      </c>
      <c r="G2880" s="159" t="s">
        <v>16937</v>
      </c>
      <c r="H2880" s="1287" t="s">
        <v>222</v>
      </c>
      <c r="I2880" s="152">
        <v>45818.0</v>
      </c>
      <c r="J2880" s="152">
        <v>45818.0</v>
      </c>
      <c r="K2880" s="159" t="s">
        <v>16938</v>
      </c>
      <c r="L2880" s="68"/>
      <c r="M2880" s="159" t="s">
        <v>16939</v>
      </c>
      <c r="N2880" s="680" t="s">
        <v>16940</v>
      </c>
      <c r="O2880" s="68"/>
      <c r="P2880" s="382" t="s">
        <v>16941</v>
      </c>
      <c r="Q2880" s="2191" t="str">
        <f> hyperlink(vlookup(lower(N2880),'File Links'!F:G, 2, FALSE), "LINK")</f>
        <v>LINK</v>
      </c>
      <c r="R2880" s="159" t="s">
        <v>16942</v>
      </c>
      <c r="S2880" s="68"/>
      <c r="T2880" s="680" t="s">
        <v>16943</v>
      </c>
      <c r="U2880" s="68"/>
      <c r="V2880" s="1103" t="s">
        <v>16944</v>
      </c>
      <c r="W2880" s="1228"/>
      <c r="X2880" s="2192" t="str">
        <f> hyperlink(vlookup(lower(S2880),'File Links'!F:G, 2, FALSE), "LINK")</f>
        <v>LINK</v>
      </c>
      <c r="Y2880" s="68"/>
      <c r="Z2880" s="159" t="s">
        <v>1079</v>
      </c>
      <c r="AA2880" s="159" t="s">
        <v>16945</v>
      </c>
      <c r="AB2880" s="159" t="s">
        <v>16946</v>
      </c>
      <c r="AC2880" s="159" t="s">
        <v>16947</v>
      </c>
      <c r="AD2880" s="159" t="s">
        <v>16948</v>
      </c>
      <c r="AE2880" s="159" t="s">
        <v>1042</v>
      </c>
      <c r="AF2880" s="156">
        <v>419.0</v>
      </c>
      <c r="AG2880" s="156">
        <v>3.85</v>
      </c>
      <c r="AH2880" s="159" t="s">
        <v>987</v>
      </c>
      <c r="AI2880" s="159" t="s">
        <v>1042</v>
      </c>
      <c r="AJ2880" s="1061">
        <v>1.09E-23</v>
      </c>
      <c r="AK2880" s="159" t="s">
        <v>172</v>
      </c>
      <c r="AL2880" s="159" t="s">
        <v>136</v>
      </c>
      <c r="AM2880" s="159" t="s">
        <v>141</v>
      </c>
      <c r="AN2880" s="310" t="s">
        <v>16949</v>
      </c>
      <c r="AO2880" s="2362">
        <v>453.0</v>
      </c>
      <c r="AP2880" s="156">
        <v>2.01</v>
      </c>
      <c r="AQ2880" s="159" t="s">
        <v>987</v>
      </c>
      <c r="AR2880" s="159" t="s">
        <v>138</v>
      </c>
      <c r="AS2880" s="336">
        <v>1.0E-4</v>
      </c>
      <c r="AT2880" s="159" t="s">
        <v>135</v>
      </c>
      <c r="AU2880" s="159" t="s">
        <v>136</v>
      </c>
      <c r="AV2880" s="159" t="s">
        <v>141</v>
      </c>
      <c r="AW2880" s="159" t="s">
        <v>138</v>
      </c>
      <c r="AX2880" s="159" t="s">
        <v>143</v>
      </c>
      <c r="AY2880" s="61" t="str">
        <f>IFERROR(__xludf.DUMMYFUNCTION("vlookup(BB2880,importrange(""https://docs.google.com/spreadsheets/d/1d2vevQ_7D_v35q4wCQ4RpQ_IPoTwEMB9Yp6ymwlPqew/edit?gid=984458430#gid=984458430"", ""'replication success'!A:K""), 11, FAlSE)"),"#N/A")</f>
        <v>#N/A</v>
      </c>
      <c r="AZ2880" s="61" t="str">
        <f>IFERROR(__xludf.DUMMYFUNCTION("vlookup(BB2880,importrange(""https://docs.google.com/spreadsheets/d/1d2vevQ_7D_v35q4wCQ4RpQ_IPoTwEMB9Yp6ymwlPqew/edit?gid=984458430#gid=984458430"", ""'replication success'!A:M""), 12, FAlSE)"),"#N/A")</f>
        <v>#N/A</v>
      </c>
      <c r="BA2880" s="61" t="str">
        <f>IFERROR(__xludf.DUMMYFUNCTION("vlookup(BB2880,importrange(""https://docs.google.com/spreadsheets/d/1d2vevQ_7D_v35q4wCQ4RpQ_IPoTwEMB9Yp6ymwlPqew/edit?gid=984458430#gid=984458430"", ""'replication success'!A:M""), 13, FAlSE)"),"#N/A")</f>
        <v>#N/A</v>
      </c>
      <c r="BB2880" s="61" t="str">
        <f>IFERROR(__xludf.DUMMYFUNCTION("REGEXREPLACE(G2880, ""_[a-z]{1,2}$"", """")"),"additional_studies228")</f>
        <v>additional_studies228</v>
      </c>
    </row>
    <row r="2881">
      <c r="A2881" s="44">
        <v>3144.0</v>
      </c>
      <c r="B2881" s="129" t="s">
        <v>523</v>
      </c>
      <c r="C2881" s="62" t="s">
        <v>115</v>
      </c>
      <c r="D2881" s="62" t="s">
        <v>221</v>
      </c>
      <c r="F2881" s="68" t="s">
        <v>16950</v>
      </c>
      <c r="G2881" s="159" t="s">
        <v>16951</v>
      </c>
      <c r="H2881" s="1287" t="s">
        <v>222</v>
      </c>
      <c r="I2881" s="152">
        <v>45818.0</v>
      </c>
      <c r="J2881" s="152">
        <v>45818.0</v>
      </c>
      <c r="K2881" s="159" t="s">
        <v>16952</v>
      </c>
      <c r="L2881" s="68"/>
      <c r="M2881" s="159" t="s">
        <v>16953</v>
      </c>
      <c r="N2881" s="680" t="s">
        <v>16954</v>
      </c>
      <c r="O2881" s="68"/>
      <c r="P2881" s="382" t="s">
        <v>16955</v>
      </c>
      <c r="Q2881" s="2191" t="str">
        <f> hyperlink(vlookup(lower(N2881),'File Links'!F:G, 2, FALSE), "LINK")</f>
        <v>LINK</v>
      </c>
      <c r="R2881" s="159" t="s">
        <v>16956</v>
      </c>
      <c r="S2881" s="310" t="s">
        <v>16957</v>
      </c>
      <c r="T2881" s="68"/>
      <c r="U2881" s="68"/>
      <c r="V2881" s="159" t="s">
        <v>16958</v>
      </c>
      <c r="W2881" s="1228"/>
      <c r="X2881" s="1552" t="str">
        <f> hyperlink(vlookup(lower(S2881),'File Links'!F:G, 2, FALSE), "LINK")</f>
        <v>LINK</v>
      </c>
      <c r="Y2881" s="68"/>
      <c r="Z2881" s="159" t="s">
        <v>148</v>
      </c>
      <c r="AA2881" s="159" t="s">
        <v>16959</v>
      </c>
      <c r="AB2881" s="159" t="s">
        <v>16960</v>
      </c>
      <c r="AC2881" s="159" t="s">
        <v>16961</v>
      </c>
      <c r="AD2881" s="159" t="s">
        <v>16962</v>
      </c>
      <c r="AE2881" s="159" t="s">
        <v>2771</v>
      </c>
      <c r="AF2881" s="156">
        <v>29.0</v>
      </c>
      <c r="AG2881" s="156">
        <v>0.71</v>
      </c>
      <c r="AH2881" s="159" t="s">
        <v>987</v>
      </c>
      <c r="AI2881" s="159" t="s">
        <v>882</v>
      </c>
      <c r="AJ2881" s="159" t="s">
        <v>16963</v>
      </c>
      <c r="AK2881" s="159" t="s">
        <v>135</v>
      </c>
      <c r="AL2881" s="159" t="s">
        <v>136</v>
      </c>
      <c r="AM2881" s="159" t="s">
        <v>137</v>
      </c>
      <c r="AN2881" s="159" t="s">
        <v>138</v>
      </c>
      <c r="AO2881" s="156">
        <v>133.0</v>
      </c>
      <c r="AP2881" s="159" t="s">
        <v>16964</v>
      </c>
      <c r="AQ2881" s="159" t="s">
        <v>987</v>
      </c>
      <c r="AR2881" s="159" t="s">
        <v>1174</v>
      </c>
      <c r="AS2881" s="159" t="s">
        <v>16963</v>
      </c>
      <c r="AT2881" s="159" t="s">
        <v>135</v>
      </c>
      <c r="AU2881" s="159" t="s">
        <v>136</v>
      </c>
      <c r="AV2881" s="159" t="s">
        <v>141</v>
      </c>
      <c r="AW2881" s="435" t="s">
        <v>16965</v>
      </c>
      <c r="AX2881" s="680" t="s">
        <v>438</v>
      </c>
      <c r="AY2881" s="61" t="str">
        <f>IFERROR(__xludf.DUMMYFUNCTION("vlookup(BB2881,importrange(""https://docs.google.com/spreadsheets/d/1d2vevQ_7D_v35q4wCQ4RpQ_IPoTwEMB9Yp6ymwlPqew/edit?gid=984458430#gid=984458430"", ""'replication success'!A:K""), 11, FAlSE)"),"#N/A")</f>
        <v>#N/A</v>
      </c>
      <c r="AZ2881" s="61" t="str">
        <f>IFERROR(__xludf.DUMMYFUNCTION("vlookup(BB2881,importrange(""https://docs.google.com/spreadsheets/d/1d2vevQ_7D_v35q4wCQ4RpQ_IPoTwEMB9Yp6ymwlPqew/edit?gid=984458430#gid=984458430"", ""'replication success'!A:M""), 12, FAlSE)"),"#N/A")</f>
        <v>#N/A</v>
      </c>
      <c r="BA2881" s="61" t="str">
        <f>IFERROR(__xludf.DUMMYFUNCTION("vlookup(BB2881,importrange(""https://docs.google.com/spreadsheets/d/1d2vevQ_7D_v35q4wCQ4RpQ_IPoTwEMB9Yp6ymwlPqew/edit?gid=984458430#gid=984458430"", ""'replication success'!A:M""), 13, FAlSE)"),"#N/A")</f>
        <v>#N/A</v>
      </c>
      <c r="BB2881" s="61" t="str">
        <f>IFERROR(__xludf.DUMMYFUNCTION("REGEXREPLACE(G2881, ""_[a-z]{1,2}$"", """")"),"additional_studies230")</f>
        <v>additional_studies230</v>
      </c>
    </row>
    <row r="2882">
      <c r="A2882" s="44">
        <v>3145.0</v>
      </c>
      <c r="B2882" s="129" t="s">
        <v>523</v>
      </c>
      <c r="C2882" s="62" t="s">
        <v>115</v>
      </c>
      <c r="D2882" s="62" t="s">
        <v>221</v>
      </c>
      <c r="F2882" s="68" t="s">
        <v>16966</v>
      </c>
      <c r="G2882" s="159" t="s">
        <v>16967</v>
      </c>
      <c r="H2882" s="1287" t="s">
        <v>222</v>
      </c>
      <c r="I2882" s="152">
        <v>45819.0</v>
      </c>
      <c r="J2882" s="152">
        <v>45819.0</v>
      </c>
      <c r="K2882" s="159" t="s">
        <v>16968</v>
      </c>
      <c r="L2882" s="68"/>
      <c r="M2882" s="159" t="s">
        <v>16969</v>
      </c>
      <c r="N2882" s="680" t="s">
        <v>16970</v>
      </c>
      <c r="O2882" s="68"/>
      <c r="P2882" s="382" t="s">
        <v>16971</v>
      </c>
      <c r="Q2882" s="2191" t="str">
        <f> hyperlink(vlookup(lower(N2882),'File Links'!F:G, 2, FALSE), "LINK")</f>
        <v>LINK</v>
      </c>
      <c r="R2882" s="159" t="s">
        <v>16969</v>
      </c>
      <c r="S2882" s="680" t="s">
        <v>16970</v>
      </c>
      <c r="T2882" s="68"/>
      <c r="U2882" s="68"/>
      <c r="V2882" s="382" t="s">
        <v>16971</v>
      </c>
      <c r="W2882" s="1228"/>
      <c r="X2882" s="1552" t="str">
        <f> hyperlink(vlookup(lower(S2882),'File Links'!F:G, 2, FALSE), "LINK")</f>
        <v>LINK</v>
      </c>
      <c r="Y2882" s="68"/>
      <c r="Z2882" s="159" t="s">
        <v>148</v>
      </c>
      <c r="AA2882" s="159" t="s">
        <v>16972</v>
      </c>
      <c r="AB2882" s="159" t="s">
        <v>16973</v>
      </c>
      <c r="AC2882" s="159" t="s">
        <v>16974</v>
      </c>
      <c r="AD2882" s="159" t="s">
        <v>16975</v>
      </c>
      <c r="AE2882" s="159" t="s">
        <v>7251</v>
      </c>
      <c r="AF2882" s="156">
        <v>52.0</v>
      </c>
      <c r="AG2882" s="159" t="s">
        <v>138</v>
      </c>
      <c r="AH2882" s="68"/>
      <c r="AI2882" s="68"/>
      <c r="AJ2882" s="68"/>
      <c r="AK2882" s="159" t="s">
        <v>135</v>
      </c>
      <c r="AL2882" s="159" t="s">
        <v>136</v>
      </c>
      <c r="AM2882" s="159" t="s">
        <v>141</v>
      </c>
      <c r="AN2882" s="159" t="s">
        <v>138</v>
      </c>
      <c r="AO2882" s="159" t="s">
        <v>138</v>
      </c>
      <c r="AP2882" s="159" t="s">
        <v>138</v>
      </c>
      <c r="AQ2882" s="68"/>
      <c r="AR2882" s="159" t="s">
        <v>138</v>
      </c>
      <c r="AS2882" s="159" t="s">
        <v>138</v>
      </c>
      <c r="AT2882" s="68"/>
      <c r="AU2882" s="68"/>
      <c r="AV2882" s="159" t="s">
        <v>141</v>
      </c>
      <c r="AW2882" s="159" t="s">
        <v>138</v>
      </c>
      <c r="AX2882" s="159" t="s">
        <v>438</v>
      </c>
      <c r="AY2882" s="61" t="str">
        <f>IFERROR(__xludf.DUMMYFUNCTION("vlookup(BB2882,importrange(""https://docs.google.com/spreadsheets/d/1d2vevQ_7D_v35q4wCQ4RpQ_IPoTwEMB9Yp6ymwlPqew/edit?gid=984458430#gid=984458430"", ""'replication success'!A:K""), 11, FAlSE)"),"#N/A")</f>
        <v>#N/A</v>
      </c>
      <c r="AZ2882" s="61" t="str">
        <f>IFERROR(__xludf.DUMMYFUNCTION("vlookup(BB2882,importrange(""https://docs.google.com/spreadsheets/d/1d2vevQ_7D_v35q4wCQ4RpQ_IPoTwEMB9Yp6ymwlPqew/edit?gid=984458430#gid=984458430"", ""'replication success'!A:M""), 12, FAlSE)"),"#N/A")</f>
        <v>#N/A</v>
      </c>
      <c r="BA2882" s="61" t="str">
        <f>IFERROR(__xludf.DUMMYFUNCTION("vlookup(BB2882,importrange(""https://docs.google.com/spreadsheets/d/1d2vevQ_7D_v35q4wCQ4RpQ_IPoTwEMB9Yp6ymwlPqew/edit?gid=984458430#gid=984458430"", ""'replication success'!A:M""), 13, FAlSE)"),"#N/A")</f>
        <v>#N/A</v>
      </c>
      <c r="BB2882" s="61" t="str">
        <f>IFERROR(__xludf.DUMMYFUNCTION("REGEXREPLACE(G2882, ""_[a-z]{1,2}$"", """")"),"additional_studies234")</f>
        <v>additional_studies234</v>
      </c>
    </row>
    <row r="2883">
      <c r="A2883" s="44">
        <v>3146.0</v>
      </c>
      <c r="B2883" s="129" t="s">
        <v>523</v>
      </c>
      <c r="C2883" s="62" t="s">
        <v>115</v>
      </c>
      <c r="D2883" s="62" t="s">
        <v>221</v>
      </c>
      <c r="F2883" s="68" t="s">
        <v>16976</v>
      </c>
      <c r="G2883" s="159" t="s">
        <v>16977</v>
      </c>
      <c r="H2883" s="1287" t="s">
        <v>222</v>
      </c>
      <c r="I2883" s="152">
        <v>45820.0</v>
      </c>
      <c r="J2883" s="152">
        <v>45820.0</v>
      </c>
      <c r="K2883" s="68"/>
      <c r="L2883" s="68"/>
      <c r="M2883" s="159" t="s">
        <v>16978</v>
      </c>
      <c r="N2883" s="680" t="s">
        <v>16979</v>
      </c>
      <c r="O2883" s="68"/>
      <c r="P2883" s="382" t="s">
        <v>16980</v>
      </c>
      <c r="Q2883" s="2191" t="str">
        <f> hyperlink(vlookup(lower(N2883),'File Links'!F:G, 2, FALSE), "LINK")</f>
        <v>LINK</v>
      </c>
      <c r="R2883" s="159" t="s">
        <v>16981</v>
      </c>
      <c r="S2883" s="680" t="s">
        <v>16982</v>
      </c>
      <c r="T2883" s="68"/>
      <c r="U2883" s="68"/>
      <c r="V2883" s="382" t="s">
        <v>16983</v>
      </c>
      <c r="W2883" s="1228"/>
      <c r="X2883" s="1552" t="str">
        <f> hyperlink(vlookup(lower(S2883),'File Links'!F:G, 2, FALSE), "LINK")</f>
        <v>LINK</v>
      </c>
      <c r="Y2883" s="68"/>
      <c r="Z2883" s="159" t="s">
        <v>148</v>
      </c>
      <c r="AA2883" s="159" t="s">
        <v>16984</v>
      </c>
      <c r="AB2883" s="159" t="s">
        <v>16985</v>
      </c>
      <c r="AC2883" s="159" t="s">
        <v>16986</v>
      </c>
      <c r="AD2883" s="159" t="s">
        <v>16987</v>
      </c>
      <c r="AE2883" s="159" t="s">
        <v>496</v>
      </c>
      <c r="AF2883" s="156">
        <v>10.0</v>
      </c>
      <c r="AG2883" s="336">
        <v>0.85</v>
      </c>
      <c r="AH2883" s="159" t="s">
        <v>173</v>
      </c>
      <c r="AI2883" s="159" t="s">
        <v>496</v>
      </c>
      <c r="AJ2883" s="336">
        <v>0.002</v>
      </c>
      <c r="AK2883" s="159" t="s">
        <v>172</v>
      </c>
      <c r="AL2883" s="159" t="s">
        <v>136</v>
      </c>
      <c r="AM2883" s="159" t="s">
        <v>137</v>
      </c>
      <c r="AN2883" s="159" t="s">
        <v>138</v>
      </c>
      <c r="AO2883" s="336">
        <v>20.0</v>
      </c>
      <c r="AP2883" s="156">
        <v>0.8</v>
      </c>
      <c r="AQ2883" s="159" t="s">
        <v>173</v>
      </c>
      <c r="AR2883" s="159" t="s">
        <v>882</v>
      </c>
      <c r="AS2883" s="336">
        <v>0.004</v>
      </c>
      <c r="AT2883" s="159" t="s">
        <v>172</v>
      </c>
      <c r="AU2883" s="159" t="s">
        <v>136</v>
      </c>
      <c r="AV2883" s="159" t="s">
        <v>137</v>
      </c>
      <c r="AW2883" s="68" t="s">
        <v>138</v>
      </c>
      <c r="AX2883" s="159" t="s">
        <v>438</v>
      </c>
      <c r="AY2883" s="61" t="str">
        <f>IFERROR(__xludf.DUMMYFUNCTION("vlookup(BB2883,importrange(""https://docs.google.com/spreadsheets/d/1d2vevQ_7D_v35q4wCQ4RpQ_IPoTwEMB9Yp6ymwlPqew/edit?gid=984458430#gid=984458430"", ""'replication success'!A:K""), 11, FAlSE)"),"#N/A")</f>
        <v>#N/A</v>
      </c>
      <c r="AZ2883" s="61" t="str">
        <f>IFERROR(__xludf.DUMMYFUNCTION("vlookup(BB2883,importrange(""https://docs.google.com/spreadsheets/d/1d2vevQ_7D_v35q4wCQ4RpQ_IPoTwEMB9Yp6ymwlPqew/edit?gid=984458430#gid=984458430"", ""'replication success'!A:M""), 12, FAlSE)"),"#N/A")</f>
        <v>#N/A</v>
      </c>
      <c r="BA2883" s="61" t="str">
        <f>IFERROR(__xludf.DUMMYFUNCTION("vlookup(BB2883,importrange(""https://docs.google.com/spreadsheets/d/1d2vevQ_7D_v35q4wCQ4RpQ_IPoTwEMB9Yp6ymwlPqew/edit?gid=984458430#gid=984458430"", ""'replication success'!A:M""), 13, FAlSE)"),"#N/A")</f>
        <v>#N/A</v>
      </c>
      <c r="BB2883" s="61" t="str">
        <f>IFERROR(__xludf.DUMMYFUNCTION("REGEXREPLACE(G2883, ""_[a-z]{1,2}$"", """")"),"additional_studies235")</f>
        <v>additional_studies235</v>
      </c>
    </row>
    <row r="2884">
      <c r="A2884" s="44">
        <v>3147.0</v>
      </c>
      <c r="B2884" s="129" t="s">
        <v>523</v>
      </c>
      <c r="C2884" s="62" t="s">
        <v>115</v>
      </c>
      <c r="D2884" s="62" t="s">
        <v>221</v>
      </c>
      <c r="F2884" s="68" t="s">
        <v>16988</v>
      </c>
      <c r="G2884" s="159" t="s">
        <v>16989</v>
      </c>
      <c r="H2884" s="1287" t="s">
        <v>222</v>
      </c>
      <c r="I2884" s="152">
        <v>45820.0</v>
      </c>
      <c r="J2884" s="152">
        <v>45820.0</v>
      </c>
      <c r="K2884" s="159" t="s">
        <v>16990</v>
      </c>
      <c r="L2884" s="68"/>
      <c r="M2884" s="159" t="s">
        <v>16991</v>
      </c>
      <c r="N2884" s="680" t="s">
        <v>16992</v>
      </c>
      <c r="O2884" s="68"/>
      <c r="P2884" s="382" t="s">
        <v>16993</v>
      </c>
      <c r="Q2884" s="2191" t="str">
        <f> hyperlink(vlookup(lower(N2884),'File Links'!F:G, 2, FALSE), "LINK")</f>
        <v>LINK</v>
      </c>
      <c r="R2884" s="159" t="s">
        <v>16994</v>
      </c>
      <c r="S2884" s="680" t="s">
        <v>16995</v>
      </c>
      <c r="T2884" s="68"/>
      <c r="U2884" s="68"/>
      <c r="V2884" s="382" t="s">
        <v>16996</v>
      </c>
      <c r="W2884" s="1228"/>
      <c r="X2884" s="1552" t="str">
        <f> hyperlink(vlookup(lower(S2884),'File Links'!F:G, 2, FALSE), "LINK")</f>
        <v>LINK</v>
      </c>
      <c r="Y2884" s="68"/>
      <c r="Z2884" s="159" t="s">
        <v>586</v>
      </c>
      <c r="AA2884" s="159" t="s">
        <v>16997</v>
      </c>
      <c r="AB2884" s="159" t="s">
        <v>16998</v>
      </c>
      <c r="AC2884" s="159" t="s">
        <v>16999</v>
      </c>
      <c r="AD2884" s="159" t="s">
        <v>17000</v>
      </c>
      <c r="AE2884" s="159" t="s">
        <v>2771</v>
      </c>
      <c r="AF2884" s="156">
        <v>132.0</v>
      </c>
      <c r="AG2884" s="156">
        <v>0.38</v>
      </c>
      <c r="AH2884" s="159" t="s">
        <v>215</v>
      </c>
      <c r="AI2884" s="159" t="s">
        <v>507</v>
      </c>
      <c r="AJ2884" s="336">
        <v>0.004</v>
      </c>
      <c r="AK2884" s="159" t="s">
        <v>172</v>
      </c>
      <c r="AL2884" s="159" t="s">
        <v>136</v>
      </c>
      <c r="AM2884" s="159" t="s">
        <v>137</v>
      </c>
      <c r="AN2884" s="159" t="s">
        <v>138</v>
      </c>
      <c r="AO2884" s="156">
        <v>136.0</v>
      </c>
      <c r="AP2884" s="156">
        <v>0.35</v>
      </c>
      <c r="AQ2884" s="159" t="s">
        <v>215</v>
      </c>
      <c r="AR2884" s="159" t="s">
        <v>882</v>
      </c>
      <c r="AS2884" s="336">
        <v>0.006</v>
      </c>
      <c r="AT2884" s="159" t="s">
        <v>172</v>
      </c>
      <c r="AU2884" s="159" t="s">
        <v>136</v>
      </c>
      <c r="AV2884" s="159" t="s">
        <v>137</v>
      </c>
      <c r="AW2884" s="68" t="s">
        <v>138</v>
      </c>
      <c r="AX2884" s="159" t="s">
        <v>151</v>
      </c>
      <c r="AY2884" s="61" t="str">
        <f>IFERROR(__xludf.DUMMYFUNCTION("vlookup(BB2884,importrange(""https://docs.google.com/spreadsheets/d/1d2vevQ_7D_v35q4wCQ4RpQ_IPoTwEMB9Yp6ymwlPqew/edit?gid=984458430#gid=984458430"", ""'replication success'!A:K""), 11, FAlSE)"),"#N/A")</f>
        <v>#N/A</v>
      </c>
      <c r="AZ2884" s="61" t="str">
        <f>IFERROR(__xludf.DUMMYFUNCTION("vlookup(BB2884,importrange(""https://docs.google.com/spreadsheets/d/1d2vevQ_7D_v35q4wCQ4RpQ_IPoTwEMB9Yp6ymwlPqew/edit?gid=984458430#gid=984458430"", ""'replication success'!A:M""), 12, FAlSE)"),"#N/A")</f>
        <v>#N/A</v>
      </c>
      <c r="BA2884" s="61" t="str">
        <f>IFERROR(__xludf.DUMMYFUNCTION("vlookup(BB2884,importrange(""https://docs.google.com/spreadsheets/d/1d2vevQ_7D_v35q4wCQ4RpQ_IPoTwEMB9Yp6ymwlPqew/edit?gid=984458430#gid=984458430"", ""'replication success'!A:M""), 13, FAlSE)"),"#N/A")</f>
        <v>#N/A</v>
      </c>
      <c r="BB2884" s="61" t="str">
        <f>IFERROR(__xludf.DUMMYFUNCTION("REGEXREPLACE(G2884, ""_[a-z]{1,2}$"", """")"),"additional_studies236")</f>
        <v>additional_studies236</v>
      </c>
    </row>
    <row r="2885">
      <c r="A2885" s="44">
        <v>3148.0</v>
      </c>
      <c r="B2885" s="129" t="s">
        <v>523</v>
      </c>
      <c r="C2885" s="62" t="s">
        <v>115</v>
      </c>
      <c r="D2885" s="62" t="s">
        <v>221</v>
      </c>
      <c r="F2885" s="68" t="s">
        <v>17001</v>
      </c>
      <c r="G2885" s="159" t="s">
        <v>17002</v>
      </c>
      <c r="H2885" s="1287" t="s">
        <v>222</v>
      </c>
      <c r="I2885" s="152">
        <v>45820.0</v>
      </c>
      <c r="J2885" s="152">
        <v>45823.0</v>
      </c>
      <c r="K2885" s="159" t="s">
        <v>17003</v>
      </c>
      <c r="L2885" s="68"/>
      <c r="M2885" s="159" t="s">
        <v>17004</v>
      </c>
      <c r="N2885" s="680" t="s">
        <v>17005</v>
      </c>
      <c r="O2885" s="68"/>
      <c r="P2885" s="382" t="s">
        <v>17006</v>
      </c>
      <c r="Q2885" s="2191" t="str">
        <f> hyperlink(vlookup(lower(N2885),'File Links'!F:G, 2, FALSE), "LINK")</f>
        <v>LINK</v>
      </c>
      <c r="R2885" s="159" t="s">
        <v>17007</v>
      </c>
      <c r="S2885" s="680" t="s">
        <v>17008</v>
      </c>
      <c r="T2885" s="68"/>
      <c r="U2885" s="68"/>
      <c r="V2885" s="382" t="s">
        <v>17009</v>
      </c>
      <c r="W2885" s="1228"/>
      <c r="X2885" s="1552" t="str">
        <f> hyperlink(vlookup(lower(S2885),'File Links'!F:G, 2, FALSE), "LINK")</f>
        <v>LINK</v>
      </c>
      <c r="Y2885" s="68"/>
      <c r="Z2885" s="159" t="s">
        <v>2045</v>
      </c>
      <c r="AA2885" s="159" t="s">
        <v>17010</v>
      </c>
      <c r="AB2885" s="159" t="s">
        <v>17011</v>
      </c>
      <c r="AC2885" s="159" t="s">
        <v>17012</v>
      </c>
      <c r="AD2885" s="159" t="s">
        <v>17013</v>
      </c>
      <c r="AE2885" s="159" t="s">
        <v>7251</v>
      </c>
      <c r="AF2885" s="156">
        <v>94.0</v>
      </c>
      <c r="AG2885" s="159" t="s">
        <v>138</v>
      </c>
      <c r="AH2885" s="68"/>
      <c r="AI2885" s="159" t="s">
        <v>138</v>
      </c>
      <c r="AJ2885" s="159" t="s">
        <v>17014</v>
      </c>
      <c r="AK2885" s="159" t="s">
        <v>135</v>
      </c>
      <c r="AL2885" s="159" t="s">
        <v>136</v>
      </c>
      <c r="AM2885" s="159" t="s">
        <v>141</v>
      </c>
      <c r="AN2885" s="159" t="s">
        <v>138</v>
      </c>
      <c r="AO2885" s="156">
        <v>104.0</v>
      </c>
      <c r="AP2885" s="159" t="s">
        <v>138</v>
      </c>
      <c r="AQ2885" s="68"/>
      <c r="AR2885" s="159" t="s">
        <v>630</v>
      </c>
      <c r="AS2885" s="159" t="s">
        <v>138</v>
      </c>
      <c r="AT2885" s="68"/>
      <c r="AU2885" s="68"/>
      <c r="AV2885" s="159" t="s">
        <v>141</v>
      </c>
      <c r="AW2885" s="435" t="s">
        <v>17015</v>
      </c>
      <c r="AX2885" s="680" t="s">
        <v>438</v>
      </c>
      <c r="AY2885" s="61" t="str">
        <f>IFERROR(__xludf.DUMMYFUNCTION("vlookup(BB2885,importrange(""https://docs.google.com/spreadsheets/d/1d2vevQ_7D_v35q4wCQ4RpQ_IPoTwEMB9Yp6ymwlPqew/edit?gid=984458430#gid=984458430"", ""'replication success'!A:K""), 11, FAlSE)"),"#N/A")</f>
        <v>#N/A</v>
      </c>
      <c r="AZ2885" s="61" t="str">
        <f>IFERROR(__xludf.DUMMYFUNCTION("vlookup(BB2885,importrange(""https://docs.google.com/spreadsheets/d/1d2vevQ_7D_v35q4wCQ4RpQ_IPoTwEMB9Yp6ymwlPqew/edit?gid=984458430#gid=984458430"", ""'replication success'!A:M""), 12, FAlSE)"),"#N/A")</f>
        <v>#N/A</v>
      </c>
      <c r="BA2885" s="61" t="str">
        <f>IFERROR(__xludf.DUMMYFUNCTION("vlookup(BB2885,importrange(""https://docs.google.com/spreadsheets/d/1d2vevQ_7D_v35q4wCQ4RpQ_IPoTwEMB9Yp6ymwlPqew/edit?gid=984458430#gid=984458430"", ""'replication success'!A:M""), 13, FAlSE)"),"#N/A")</f>
        <v>#N/A</v>
      </c>
      <c r="BB2885" s="61" t="str">
        <f>IFERROR(__xludf.DUMMYFUNCTION("REGEXREPLACE(G2885, ""_[a-z]{1,2}$"", """")"),"additional_studies240")</f>
        <v>additional_studies240</v>
      </c>
    </row>
    <row r="2886">
      <c r="A2886" s="44">
        <v>2807.0</v>
      </c>
      <c r="B2886" s="129" t="s">
        <v>523</v>
      </c>
      <c r="C2886" s="62" t="s">
        <v>115</v>
      </c>
      <c r="D2886" s="62" t="s">
        <v>1458</v>
      </c>
      <c r="F2886" s="68" t="s">
        <v>17016</v>
      </c>
      <c r="G2886" s="159" t="s">
        <v>17017</v>
      </c>
      <c r="H2886" s="159" t="s">
        <v>1518</v>
      </c>
      <c r="I2886" s="862"/>
      <c r="J2886" s="152">
        <v>45806.0</v>
      </c>
      <c r="K2886" s="159" t="s">
        <v>138</v>
      </c>
      <c r="L2886" s="68"/>
      <c r="M2886" s="159" t="s">
        <v>17018</v>
      </c>
      <c r="N2886" s="680" t="s">
        <v>17019</v>
      </c>
      <c r="O2886" s="156">
        <v>1.0</v>
      </c>
      <c r="P2886" s="382" t="s">
        <v>17020</v>
      </c>
      <c r="Q2886" s="2191" t="str">
        <f> hyperlink(vlookup(lower(N2886),'File Links'!E:F, 2, FALSE), "LINK")</f>
        <v>LINK</v>
      </c>
      <c r="R2886" s="159" t="s">
        <v>17021</v>
      </c>
      <c r="S2886" s="680" t="s">
        <v>17022</v>
      </c>
      <c r="T2886" s="159" t="s">
        <v>138</v>
      </c>
      <c r="U2886" s="156">
        <v>1.0</v>
      </c>
      <c r="V2886" s="382" t="s">
        <v>17023</v>
      </c>
      <c r="W2886" s="1228"/>
      <c r="X2886" s="1552" t="str">
        <f> hyperlink(vlookup(lower(S2886),'File Links'!E:F, 2, FALSE), "LINK")</f>
        <v>LINK</v>
      </c>
      <c r="Y2886" s="159" t="s">
        <v>138</v>
      </c>
      <c r="Z2886" s="159" t="s">
        <v>17024</v>
      </c>
      <c r="AA2886" s="159" t="s">
        <v>17025</v>
      </c>
      <c r="AB2886" s="159" t="s">
        <v>17026</v>
      </c>
      <c r="AC2886" s="159" t="s">
        <v>17027</v>
      </c>
      <c r="AD2886" s="159" t="s">
        <v>17028</v>
      </c>
      <c r="AE2886" s="156">
        <v>3.0</v>
      </c>
      <c r="AF2886" s="156">
        <v>18.0</v>
      </c>
      <c r="AG2886" s="156">
        <v>0.348</v>
      </c>
      <c r="AH2886" s="159" t="s">
        <v>874</v>
      </c>
      <c r="AI2886" s="159" t="s">
        <v>507</v>
      </c>
      <c r="AJ2886" s="156">
        <v>0.001</v>
      </c>
      <c r="AK2886" s="159" t="s">
        <v>135</v>
      </c>
      <c r="AL2886" s="159" t="s">
        <v>218</v>
      </c>
      <c r="AM2886" s="159" t="s">
        <v>137</v>
      </c>
      <c r="AN2886" s="159" t="s">
        <v>138</v>
      </c>
      <c r="AO2886" s="156">
        <v>38.0</v>
      </c>
      <c r="AP2886" s="156">
        <v>0.015</v>
      </c>
      <c r="AQ2886" s="159" t="s">
        <v>874</v>
      </c>
      <c r="AR2886" s="159" t="s">
        <v>4979</v>
      </c>
      <c r="AS2886" s="156">
        <v>0.612</v>
      </c>
      <c r="AT2886" s="159" t="s">
        <v>172</v>
      </c>
      <c r="AU2886" s="159" t="s">
        <v>218</v>
      </c>
      <c r="AV2886" s="159" t="s">
        <v>137</v>
      </c>
      <c r="AW2886" s="435" t="s">
        <v>17029</v>
      </c>
      <c r="AX2886" s="159" t="s">
        <v>143</v>
      </c>
      <c r="AY2886" s="61" t="str">
        <f>IFERROR(__xludf.DUMMYFUNCTION("vlookup(BB2886,importrange(""https://docs.google.com/spreadsheets/d/1d2vevQ_7D_v35q4wCQ4RpQ_IPoTwEMB9Yp6ymwlPqew/edit?gid=984458430#gid=984458430"", ""'replication success'!A:K""), 11, FAlSE)"),"#N/A")</f>
        <v>#N/A</v>
      </c>
      <c r="AZ2886" s="61" t="str">
        <f>IFERROR(__xludf.DUMMYFUNCTION("vlookup(BB2886,importrange(""https://docs.google.com/spreadsheets/d/1d2vevQ_7D_v35q4wCQ4RpQ_IPoTwEMB9Yp6ymwlPqew/edit?gid=984458430#gid=984458430"", ""'replication success'!A:M""), 12, FAlSE)"),"#N/A")</f>
        <v>#N/A</v>
      </c>
      <c r="BA2886" s="61" t="str">
        <f>IFERROR(__xludf.DUMMYFUNCTION("vlookup(BB2886,importrange(""https://docs.google.com/spreadsheets/d/1d2vevQ_7D_v35q4wCQ4RpQ_IPoTwEMB9Yp6ymwlPqew/edit?gid=984458430#gid=984458430"", ""'replication success'!A:M""), 13, FAlSE)"),"#N/A")</f>
        <v>#N/A</v>
      </c>
      <c r="BB2886" s="61" t="str">
        <f>IFERROR(__xludf.DUMMYFUNCTION("REGEXREPLACE(G2886, ""_[a-z]{1,2}$"", """")"),"additional_studies255")</f>
        <v>additional_studies255</v>
      </c>
    </row>
    <row r="2887">
      <c r="A2887" s="44">
        <v>2808.0</v>
      </c>
      <c r="B2887" s="129" t="s">
        <v>523</v>
      </c>
      <c r="C2887" s="62" t="s">
        <v>115</v>
      </c>
      <c r="D2887" s="62" t="s">
        <v>1458</v>
      </c>
      <c r="F2887" s="68" t="s">
        <v>17030</v>
      </c>
      <c r="G2887" s="159" t="s">
        <v>17031</v>
      </c>
      <c r="H2887" s="159" t="s">
        <v>1518</v>
      </c>
      <c r="I2887" s="862"/>
      <c r="J2887" s="152">
        <v>45806.0</v>
      </c>
      <c r="K2887" s="159" t="s">
        <v>17032</v>
      </c>
      <c r="L2887" s="68"/>
      <c r="M2887" s="159" t="s">
        <v>17033</v>
      </c>
      <c r="N2887" s="680" t="s">
        <v>17034</v>
      </c>
      <c r="O2887" s="156">
        <v>1.0</v>
      </c>
      <c r="P2887" s="382" t="s">
        <v>17035</v>
      </c>
      <c r="Q2887" s="2191" t="str">
        <f> hyperlink(vlookup(lower(N2887),'File Links'!E:F, 2, FALSE), "LINK")</f>
        <v>LINK</v>
      </c>
      <c r="R2887" s="159" t="s">
        <v>17036</v>
      </c>
      <c r="S2887" s="680" t="s">
        <v>17037</v>
      </c>
      <c r="T2887" s="159" t="s">
        <v>138</v>
      </c>
      <c r="U2887" s="156">
        <v>1.0</v>
      </c>
      <c r="V2887" s="382" t="s">
        <v>17038</v>
      </c>
      <c r="W2887" s="1228"/>
      <c r="X2887" s="1552" t="str">
        <f> hyperlink(vlookup(lower(S2887),'File Links'!E:F, 2, FALSE), "LINK")</f>
        <v>LINK</v>
      </c>
      <c r="Y2887" s="159" t="s">
        <v>138</v>
      </c>
      <c r="Z2887" s="159" t="s">
        <v>226</v>
      </c>
      <c r="AA2887" s="159" t="s">
        <v>11527</v>
      </c>
      <c r="AB2887" s="159" t="s">
        <v>17039</v>
      </c>
      <c r="AC2887" s="159" t="s">
        <v>17040</v>
      </c>
      <c r="AD2887" s="159" t="s">
        <v>17041</v>
      </c>
      <c r="AE2887" s="156">
        <v>2.0</v>
      </c>
      <c r="AF2887" s="156">
        <v>111.0</v>
      </c>
      <c r="AG2887" s="156">
        <v>0.07</v>
      </c>
      <c r="AH2887" s="159" t="s">
        <v>874</v>
      </c>
      <c r="AI2887" s="159" t="s">
        <v>2771</v>
      </c>
      <c r="AJ2887" s="156">
        <v>0.02</v>
      </c>
      <c r="AK2887" s="159" t="s">
        <v>172</v>
      </c>
      <c r="AL2887" s="159" t="s">
        <v>186</v>
      </c>
      <c r="AM2887" s="159" t="s">
        <v>137</v>
      </c>
      <c r="AN2887" s="159" t="s">
        <v>138</v>
      </c>
      <c r="AO2887" s="156">
        <v>8602.0</v>
      </c>
      <c r="AP2887" s="156">
        <v>0.001</v>
      </c>
      <c r="AQ2887" s="159" t="s">
        <v>874</v>
      </c>
      <c r="AR2887" s="159" t="s">
        <v>496</v>
      </c>
      <c r="AS2887" s="156">
        <v>0.06</v>
      </c>
      <c r="AT2887" s="159" t="s">
        <v>172</v>
      </c>
      <c r="AU2887" s="159" t="s">
        <v>186</v>
      </c>
      <c r="AV2887" s="159" t="s">
        <v>137</v>
      </c>
      <c r="AW2887" s="68" t="s">
        <v>138</v>
      </c>
      <c r="AX2887" s="159" t="s">
        <v>151</v>
      </c>
      <c r="AY2887" s="61" t="str">
        <f>IFERROR(__xludf.DUMMYFUNCTION("vlookup(BB2887,importrange(""https://docs.google.com/spreadsheets/d/1d2vevQ_7D_v35q4wCQ4RpQ_IPoTwEMB9Yp6ymwlPqew/edit?gid=984458430#gid=984458430"", ""'replication success'!A:K""), 11, FAlSE)"),"#N/A")</f>
        <v>#N/A</v>
      </c>
      <c r="AZ2887" s="61" t="str">
        <f>IFERROR(__xludf.DUMMYFUNCTION("vlookup(BB2887,importrange(""https://docs.google.com/spreadsheets/d/1d2vevQ_7D_v35q4wCQ4RpQ_IPoTwEMB9Yp6ymwlPqew/edit?gid=984458430#gid=984458430"", ""'replication success'!A:M""), 12, FAlSE)"),"#N/A")</f>
        <v>#N/A</v>
      </c>
      <c r="BA2887" s="61" t="str">
        <f>IFERROR(__xludf.DUMMYFUNCTION("vlookup(BB2887,importrange(""https://docs.google.com/spreadsheets/d/1d2vevQ_7D_v35q4wCQ4RpQ_IPoTwEMB9Yp6ymwlPqew/edit?gid=984458430#gid=984458430"", ""'replication success'!A:M""), 13, FAlSE)"),"#N/A")</f>
        <v>#N/A</v>
      </c>
      <c r="BB2887" s="61" t="str">
        <f>IFERROR(__xludf.DUMMYFUNCTION("REGEXREPLACE(G2887, ""_[a-z]{1,2}$"", """")"),"additional_studies256")</f>
        <v>additional_studies256</v>
      </c>
    </row>
    <row r="2888">
      <c r="A2888" s="44">
        <v>2809.0</v>
      </c>
      <c r="B2888" s="129" t="s">
        <v>523</v>
      </c>
      <c r="C2888" s="62" t="s">
        <v>115</v>
      </c>
      <c r="D2888" s="62" t="s">
        <v>1458</v>
      </c>
      <c r="F2888" s="68" t="s">
        <v>17042</v>
      </c>
      <c r="G2888" s="159" t="s">
        <v>17043</v>
      </c>
      <c r="H2888" s="159" t="s">
        <v>1518</v>
      </c>
      <c r="I2888" s="862"/>
      <c r="J2888" s="152">
        <v>45806.0</v>
      </c>
      <c r="K2888" s="159" t="s">
        <v>17044</v>
      </c>
      <c r="L2888" s="68"/>
      <c r="M2888" s="159" t="s">
        <v>17045</v>
      </c>
      <c r="N2888" s="680" t="s">
        <v>17046</v>
      </c>
      <c r="O2888" s="156">
        <v>1.0</v>
      </c>
      <c r="P2888" s="382" t="s">
        <v>17047</v>
      </c>
      <c r="Q2888" s="2191" t="str">
        <f> hyperlink(vlookup(lower(N2888),'File Links'!E:F, 2, FALSE), "LINK")</f>
        <v>LINK</v>
      </c>
      <c r="R2888" s="159" t="s">
        <v>17048</v>
      </c>
      <c r="S2888" s="680" t="s">
        <v>17049</v>
      </c>
      <c r="T2888" s="159" t="s">
        <v>138</v>
      </c>
      <c r="U2888" s="156">
        <v>1.0</v>
      </c>
      <c r="V2888" s="382" t="s">
        <v>17050</v>
      </c>
      <c r="W2888" s="1228"/>
      <c r="X2888" s="1552" t="str">
        <f> hyperlink(vlookup(lower(S2888),'File Links'!E:F, 2, FALSE), "LINK")</f>
        <v>LINK</v>
      </c>
      <c r="Y2888" s="159" t="s">
        <v>138</v>
      </c>
      <c r="Z2888" s="159" t="s">
        <v>148</v>
      </c>
      <c r="AA2888" s="159" t="s">
        <v>17051</v>
      </c>
      <c r="AB2888" s="159" t="s">
        <v>17052</v>
      </c>
      <c r="AC2888" s="159" t="s">
        <v>17053</v>
      </c>
      <c r="AD2888" s="159" t="s">
        <v>17054</v>
      </c>
      <c r="AE2888" s="156">
        <v>10.0</v>
      </c>
      <c r="AF2888" s="156">
        <v>38.0</v>
      </c>
      <c r="AG2888" s="159" t="s">
        <v>17055</v>
      </c>
      <c r="AH2888" s="159" t="s">
        <v>134</v>
      </c>
      <c r="AI2888" s="159" t="s">
        <v>630</v>
      </c>
      <c r="AJ2888" s="156">
        <v>0.01</v>
      </c>
      <c r="AK2888" s="159" t="s">
        <v>135</v>
      </c>
      <c r="AL2888" s="159" t="s">
        <v>186</v>
      </c>
      <c r="AM2888" s="159" t="s">
        <v>141</v>
      </c>
      <c r="AN2888" s="159" t="s">
        <v>138</v>
      </c>
      <c r="AO2888" s="156">
        <v>40.0</v>
      </c>
      <c r="AP2888" s="159" t="s">
        <v>17056</v>
      </c>
      <c r="AQ2888" s="68" t="s">
        <v>134</v>
      </c>
      <c r="AR2888" s="159" t="s">
        <v>1042</v>
      </c>
      <c r="AS2888" s="156">
        <v>0.05</v>
      </c>
      <c r="AT2888" s="159" t="s">
        <v>135</v>
      </c>
      <c r="AU2888" s="159" t="s">
        <v>186</v>
      </c>
      <c r="AV2888" s="159" t="s">
        <v>141</v>
      </c>
      <c r="AW2888" s="68" t="s">
        <v>138</v>
      </c>
      <c r="AX2888" s="159" t="s">
        <v>143</v>
      </c>
      <c r="AY2888" s="61" t="str">
        <f>IFERROR(__xludf.DUMMYFUNCTION("vlookup(BB2888,importrange(""https://docs.google.com/spreadsheets/d/1d2vevQ_7D_v35q4wCQ4RpQ_IPoTwEMB9Yp6ymwlPqew/edit?gid=984458430#gid=984458430"", ""'replication success'!A:K""), 11, FAlSE)"),"#N/A")</f>
        <v>#N/A</v>
      </c>
      <c r="AZ2888" s="61" t="str">
        <f>IFERROR(__xludf.DUMMYFUNCTION("vlookup(BB2888,importrange(""https://docs.google.com/spreadsheets/d/1d2vevQ_7D_v35q4wCQ4RpQ_IPoTwEMB9Yp6ymwlPqew/edit?gid=984458430#gid=984458430"", ""'replication success'!A:M""), 12, FAlSE)"),"#N/A")</f>
        <v>#N/A</v>
      </c>
      <c r="BA2888" s="61" t="str">
        <f>IFERROR(__xludf.DUMMYFUNCTION("vlookup(BB2888,importrange(""https://docs.google.com/spreadsheets/d/1d2vevQ_7D_v35q4wCQ4RpQ_IPoTwEMB9Yp6ymwlPqew/edit?gid=984458430#gid=984458430"", ""'replication success'!A:M""), 13, FAlSE)"),"#N/A")</f>
        <v>#N/A</v>
      </c>
      <c r="BB2888" s="61" t="str">
        <f>IFERROR(__xludf.DUMMYFUNCTION("REGEXREPLACE(G2888, ""_[a-z]{1,2}$"", """")"),"additional_studies257")</f>
        <v>additional_studies257</v>
      </c>
      <c r="BF2888" s="1492"/>
      <c r="BG2888" s="1492"/>
      <c r="BH2888" s="1492"/>
      <c r="BI2888" s="1492"/>
      <c r="BJ2888" s="1492"/>
      <c r="BK2888" s="1492"/>
      <c r="BL2888" s="1492"/>
      <c r="BM2888" s="1492"/>
      <c r="BN2888" s="1492"/>
      <c r="BO2888" s="1492"/>
      <c r="BP2888" s="1492"/>
      <c r="BQ2888" s="1492"/>
      <c r="BR2888" s="1492"/>
      <c r="BS2888" s="1492"/>
      <c r="BT2888" s="1492"/>
      <c r="BU2888" s="1492"/>
      <c r="BV2888" s="1492"/>
      <c r="BW2888" s="1492"/>
      <c r="BX2888" s="1492"/>
      <c r="BY2888" s="1492"/>
      <c r="BZ2888" s="1492"/>
      <c r="CA2888" s="1492"/>
      <c r="CB2888" s="1492"/>
      <c r="CC2888" s="1492"/>
      <c r="CD2888" s="1492"/>
      <c r="CE2888" s="1492"/>
      <c r="CF2888" s="1492"/>
      <c r="CG2888" s="1492"/>
      <c r="CH2888" s="1492"/>
      <c r="CI2888" s="1492"/>
      <c r="CJ2888" s="1492"/>
      <c r="CK2888" s="1492"/>
      <c r="CL2888" s="1492"/>
      <c r="CM2888" s="1492"/>
      <c r="CN2888" s="1492"/>
      <c r="CO2888" s="1492"/>
      <c r="CP2888" s="1492"/>
      <c r="CQ2888" s="1492"/>
      <c r="CR2888" s="1492"/>
      <c r="CS2888" s="1492"/>
      <c r="CT2888" s="1492"/>
      <c r="CU2888" s="1492"/>
      <c r="CV2888" s="1492"/>
      <c r="CW2888" s="1492"/>
      <c r="CX2888" s="1492"/>
      <c r="CY2888" s="1492"/>
      <c r="CZ2888" s="1492"/>
      <c r="DA2888" s="1492"/>
      <c r="DB2888" s="1492"/>
      <c r="DC2888" s="1492"/>
      <c r="DD2888" s="1492"/>
      <c r="DE2888" s="1492"/>
      <c r="DF2888" s="1492"/>
      <c r="DG2888" s="1492"/>
      <c r="DH2888" s="1492"/>
      <c r="DI2888" s="1492"/>
      <c r="DJ2888" s="1492"/>
      <c r="DK2888" s="1492"/>
      <c r="DL2888" s="1492"/>
    </row>
    <row r="2889">
      <c r="A2889" s="44">
        <v>2810.0</v>
      </c>
      <c r="B2889" s="129" t="s">
        <v>523</v>
      </c>
      <c r="C2889" s="62" t="s">
        <v>115</v>
      </c>
      <c r="D2889" s="62" t="s">
        <v>1458</v>
      </c>
      <c r="F2889" s="68" t="s">
        <v>17057</v>
      </c>
      <c r="G2889" s="159" t="s">
        <v>17058</v>
      </c>
      <c r="H2889" s="159" t="s">
        <v>1518</v>
      </c>
      <c r="I2889" s="862"/>
      <c r="J2889" s="152">
        <v>45806.0</v>
      </c>
      <c r="K2889" s="159" t="s">
        <v>17059</v>
      </c>
      <c r="L2889" s="68"/>
      <c r="M2889" s="159" t="s">
        <v>17060</v>
      </c>
      <c r="N2889" s="159" t="str">
        <f t="shared" ref="N2889:N2893" si="138">lower(SUBSTITUTE(SUBSTITUTE(P2889, "--", "/"), ".pdf", ""))</f>
        <v>10.1080/10503307.2012.731088</v>
      </c>
      <c r="O2889" s="156">
        <v>1.0</v>
      </c>
      <c r="P2889" s="382" t="s">
        <v>17061</v>
      </c>
      <c r="Q2889" s="2191" t="str">
        <f> hyperlink(vlookup(lower(N2889),'File Links'!E:F, 2, FALSE), "LINK")</f>
        <v>LINK</v>
      </c>
      <c r="R2889" s="159" t="s">
        <v>17062</v>
      </c>
      <c r="S2889" s="680" t="s">
        <v>17063</v>
      </c>
      <c r="T2889" s="159" t="s">
        <v>138</v>
      </c>
      <c r="U2889" s="156">
        <v>1.0</v>
      </c>
      <c r="V2889" s="382" t="s">
        <v>17064</v>
      </c>
      <c r="W2889" s="1228"/>
      <c r="X2889" s="1552" t="str">
        <f> hyperlink(vlookup(lower(S2889),'File Links'!E:F, 2, FALSE), "LINK")</f>
        <v>LINK</v>
      </c>
      <c r="Y2889" s="159" t="s">
        <v>138</v>
      </c>
      <c r="Z2889" s="159" t="s">
        <v>2795</v>
      </c>
      <c r="AA2889" s="159" t="s">
        <v>17065</v>
      </c>
      <c r="AB2889" s="159" t="s">
        <v>17066</v>
      </c>
      <c r="AC2889" s="159" t="s">
        <v>17067</v>
      </c>
      <c r="AD2889" s="159" t="s">
        <v>17068</v>
      </c>
      <c r="AE2889" s="156">
        <v>6.0</v>
      </c>
      <c r="AF2889" s="156">
        <v>170.0</v>
      </c>
      <c r="AG2889" s="156">
        <v>0.55</v>
      </c>
      <c r="AH2889" s="159" t="s">
        <v>215</v>
      </c>
      <c r="AI2889" s="159" t="s">
        <v>1042</v>
      </c>
      <c r="AJ2889" s="156">
        <v>0.01</v>
      </c>
      <c r="AK2889" s="159" t="s">
        <v>135</v>
      </c>
      <c r="AL2889" s="159" t="s">
        <v>186</v>
      </c>
      <c r="AM2889" s="159" t="s">
        <v>141</v>
      </c>
      <c r="AN2889" s="159" t="s">
        <v>138</v>
      </c>
      <c r="AO2889" s="156">
        <v>112.0</v>
      </c>
      <c r="AP2889" s="156">
        <v>0.372</v>
      </c>
      <c r="AQ2889" s="159" t="s">
        <v>17069</v>
      </c>
      <c r="AR2889" s="159" t="s">
        <v>882</v>
      </c>
      <c r="AS2889" s="156">
        <v>0.001</v>
      </c>
      <c r="AT2889" s="159" t="s">
        <v>135</v>
      </c>
      <c r="AU2889" s="159" t="s">
        <v>186</v>
      </c>
      <c r="AV2889" s="159" t="s">
        <v>141</v>
      </c>
      <c r="AW2889" s="68" t="s">
        <v>138</v>
      </c>
      <c r="AX2889" s="159" t="s">
        <v>151</v>
      </c>
      <c r="AY2889" s="61" t="str">
        <f>IFERROR(__xludf.DUMMYFUNCTION("vlookup(BB2889,importrange(""https://docs.google.com/spreadsheets/d/1d2vevQ_7D_v35q4wCQ4RpQ_IPoTwEMB9Yp6ymwlPqew/edit?gid=984458430#gid=984458430"", ""'replication success'!A:K""), 11, FAlSE)"),"#N/A")</f>
        <v>#N/A</v>
      </c>
      <c r="AZ2889" s="61" t="str">
        <f>IFERROR(__xludf.DUMMYFUNCTION("vlookup(BB2889,importrange(""https://docs.google.com/spreadsheets/d/1d2vevQ_7D_v35q4wCQ4RpQ_IPoTwEMB9Yp6ymwlPqew/edit?gid=984458430#gid=984458430"", ""'replication success'!A:M""), 12, FAlSE)"),"#N/A")</f>
        <v>#N/A</v>
      </c>
      <c r="BA2889" s="61" t="str">
        <f>IFERROR(__xludf.DUMMYFUNCTION("vlookup(BB2889,importrange(""https://docs.google.com/spreadsheets/d/1d2vevQ_7D_v35q4wCQ4RpQ_IPoTwEMB9Yp6ymwlPqew/edit?gid=984458430#gid=984458430"", ""'replication success'!A:M""), 13, FAlSE)"),"#N/A")</f>
        <v>#N/A</v>
      </c>
      <c r="BB2889" s="61" t="str">
        <f>IFERROR(__xludf.DUMMYFUNCTION("REGEXREPLACE(G2889, ""_[a-z]{1,2}$"", """")"),"additional_studies259")</f>
        <v>additional_studies259</v>
      </c>
    </row>
    <row r="2890">
      <c r="A2890" s="44">
        <v>2811.0</v>
      </c>
      <c r="B2890" s="129" t="s">
        <v>523</v>
      </c>
      <c r="C2890" s="62" t="s">
        <v>115</v>
      </c>
      <c r="D2890" s="62" t="s">
        <v>1458</v>
      </c>
      <c r="F2890" s="68" t="s">
        <v>17070</v>
      </c>
      <c r="G2890" s="159" t="s">
        <v>17071</v>
      </c>
      <c r="H2890" s="159" t="s">
        <v>1518</v>
      </c>
      <c r="I2890" s="862"/>
      <c r="J2890" s="152">
        <v>45806.0</v>
      </c>
      <c r="K2890" s="159" t="s">
        <v>17072</v>
      </c>
      <c r="L2890" s="68"/>
      <c r="M2890" s="159" t="s">
        <v>17073</v>
      </c>
      <c r="N2890" s="159" t="str">
        <f t="shared" si="138"/>
        <v>110.1037/a0029395</v>
      </c>
      <c r="O2890" s="156">
        <v>5.0</v>
      </c>
      <c r="P2890" s="382" t="s">
        <v>17074</v>
      </c>
      <c r="Q2890" s="2191" t="str">
        <f> hyperlink(vlookup(lower(N2890),'File Links'!E:F, 2, FALSE), "LINK")</f>
        <v>LINK</v>
      </c>
      <c r="R2890" s="159" t="s">
        <v>17075</v>
      </c>
      <c r="S2890" s="680" t="s">
        <v>17076</v>
      </c>
      <c r="T2890" s="159" t="s">
        <v>138</v>
      </c>
      <c r="U2890" s="156">
        <v>1.0</v>
      </c>
      <c r="V2890" s="382" t="s">
        <v>17077</v>
      </c>
      <c r="W2890" s="1228"/>
      <c r="X2890" s="1552" t="str">
        <f> hyperlink(vlookup(lower(S2890),'File Links'!E:F, 2, FALSE), "LINK")</f>
        <v>LINK</v>
      </c>
      <c r="Y2890" s="159" t="s">
        <v>138</v>
      </c>
      <c r="Z2890" s="159" t="s">
        <v>947</v>
      </c>
      <c r="AA2890" s="159" t="s">
        <v>17078</v>
      </c>
      <c r="AB2890" s="159" t="s">
        <v>17079</v>
      </c>
      <c r="AC2890" s="159" t="s">
        <v>17080</v>
      </c>
      <c r="AD2890" s="159" t="s">
        <v>17081</v>
      </c>
      <c r="AE2890" s="159" t="s">
        <v>17082</v>
      </c>
      <c r="AF2890" s="156">
        <v>77.0</v>
      </c>
      <c r="AG2890" s="156">
        <v>0.42</v>
      </c>
      <c r="AH2890" s="159" t="s">
        <v>361</v>
      </c>
      <c r="AI2890" s="159" t="s">
        <v>17083</v>
      </c>
      <c r="AJ2890" s="156">
        <v>0.01</v>
      </c>
      <c r="AK2890" s="159" t="s">
        <v>172</v>
      </c>
      <c r="AL2890" s="159" t="s">
        <v>186</v>
      </c>
      <c r="AM2890" s="159" t="s">
        <v>1905</v>
      </c>
      <c r="AN2890" s="159" t="s">
        <v>138</v>
      </c>
      <c r="AO2890" s="156">
        <v>550.0</v>
      </c>
      <c r="AP2890" s="156">
        <v>0.19</v>
      </c>
      <c r="AQ2890" s="159" t="s">
        <v>361</v>
      </c>
      <c r="AR2890" s="159" t="s">
        <v>4274</v>
      </c>
      <c r="AS2890" s="156">
        <v>0.001</v>
      </c>
      <c r="AT2890" s="159" t="s">
        <v>135</v>
      </c>
      <c r="AU2890" s="159" t="s">
        <v>186</v>
      </c>
      <c r="AV2890" s="159" t="s">
        <v>1905</v>
      </c>
      <c r="AW2890" s="435" t="s">
        <v>17084</v>
      </c>
      <c r="AX2890" s="159" t="s">
        <v>143</v>
      </c>
      <c r="AY2890" s="61" t="str">
        <f>IFERROR(__xludf.DUMMYFUNCTION("vlookup(BB2890,importrange(""https://docs.google.com/spreadsheets/d/1d2vevQ_7D_v35q4wCQ4RpQ_IPoTwEMB9Yp6ymwlPqew/edit?gid=984458430#gid=984458430"", ""'replication success'!A:K""), 11, FAlSE)"),"#N/A")</f>
        <v>#N/A</v>
      </c>
      <c r="AZ2890" s="61" t="str">
        <f>IFERROR(__xludf.DUMMYFUNCTION("vlookup(BB2890,importrange(""https://docs.google.com/spreadsheets/d/1d2vevQ_7D_v35q4wCQ4RpQ_IPoTwEMB9Yp6ymwlPqew/edit?gid=984458430#gid=984458430"", ""'replication success'!A:M""), 12, FAlSE)"),"#N/A")</f>
        <v>#N/A</v>
      </c>
      <c r="BA2890" s="61" t="str">
        <f>IFERROR(__xludf.DUMMYFUNCTION("vlookup(BB2890,importrange(""https://docs.google.com/spreadsheets/d/1d2vevQ_7D_v35q4wCQ4RpQ_IPoTwEMB9Yp6ymwlPqew/edit?gid=984458430#gid=984458430"", ""'replication success'!A:M""), 13, FAlSE)"),"#N/A")</f>
        <v>#N/A</v>
      </c>
      <c r="BB2890" s="61" t="str">
        <f>IFERROR(__xludf.DUMMYFUNCTION("REGEXREPLACE(G2890, ""_[a-z]{1,2}$"", """")"),"additional_studies260")</f>
        <v>additional_studies260</v>
      </c>
    </row>
    <row r="2891">
      <c r="A2891" s="44">
        <v>2812.0</v>
      </c>
      <c r="B2891" s="129" t="s">
        <v>523</v>
      </c>
      <c r="C2891" s="62" t="s">
        <v>115</v>
      </c>
      <c r="D2891" s="62" t="s">
        <v>1458</v>
      </c>
      <c r="F2891" s="68" t="s">
        <v>17085</v>
      </c>
      <c r="G2891" s="159" t="s">
        <v>17086</v>
      </c>
      <c r="H2891" s="159" t="s">
        <v>1518</v>
      </c>
      <c r="I2891" s="862"/>
      <c r="J2891" s="152">
        <v>45806.0</v>
      </c>
      <c r="K2891" s="159" t="s">
        <v>17087</v>
      </c>
      <c r="L2891" s="68"/>
      <c r="M2891" s="159" t="s">
        <v>17088</v>
      </c>
      <c r="N2891" s="159" t="str">
        <f t="shared" si="138"/>
        <v>110.1037/h0093929</v>
      </c>
      <c r="O2891" s="156">
        <v>1.0</v>
      </c>
      <c r="P2891" s="382" t="s">
        <v>17089</v>
      </c>
      <c r="Q2891" s="2191" t="str">
        <f> hyperlink(vlookup(lower(N2891),'File Links'!E:F, 2, FALSE), "LINK")</f>
        <v>LINK</v>
      </c>
      <c r="R2891" s="159" t="s">
        <v>17090</v>
      </c>
      <c r="S2891" s="680" t="s">
        <v>17091</v>
      </c>
      <c r="T2891" s="159" t="s">
        <v>138</v>
      </c>
      <c r="U2891" s="156">
        <v>1.0</v>
      </c>
      <c r="V2891" s="382" t="s">
        <v>17092</v>
      </c>
      <c r="W2891" s="1228"/>
      <c r="X2891" s="1552" t="str">
        <f> hyperlink(vlookup(lower(S2891),'File Links'!E:F, 2, FALSE), "LINK")</f>
        <v>LINK</v>
      </c>
      <c r="Y2891" s="159" t="s">
        <v>138</v>
      </c>
      <c r="Z2891" s="159" t="s">
        <v>17093</v>
      </c>
      <c r="AA2891" s="159" t="s">
        <v>17094</v>
      </c>
      <c r="AB2891" s="159" t="s">
        <v>17095</v>
      </c>
      <c r="AC2891" s="159" t="s">
        <v>17096</v>
      </c>
      <c r="AD2891" s="159" t="s">
        <v>17097</v>
      </c>
      <c r="AE2891" s="156">
        <v>7.0</v>
      </c>
      <c r="AF2891" s="156">
        <v>78.0</v>
      </c>
      <c r="AG2891" s="156">
        <v>2.52</v>
      </c>
      <c r="AH2891" s="159" t="s">
        <v>361</v>
      </c>
      <c r="AI2891" s="159" t="s">
        <v>4979</v>
      </c>
      <c r="AJ2891" s="156">
        <v>0.05</v>
      </c>
      <c r="AK2891" s="159" t="s">
        <v>135</v>
      </c>
      <c r="AL2891" s="159" t="s">
        <v>186</v>
      </c>
      <c r="AM2891" s="159" t="s">
        <v>141</v>
      </c>
      <c r="AN2891" s="159" t="s">
        <v>138</v>
      </c>
      <c r="AO2891" s="156">
        <v>96.0</v>
      </c>
      <c r="AP2891" s="156">
        <v>-0.8</v>
      </c>
      <c r="AQ2891" s="159" t="s">
        <v>361</v>
      </c>
      <c r="AR2891" s="159" t="s">
        <v>4979</v>
      </c>
      <c r="AS2891" s="159" t="s">
        <v>138</v>
      </c>
      <c r="AT2891" s="159" t="s">
        <v>138</v>
      </c>
      <c r="AU2891" s="159" t="s">
        <v>186</v>
      </c>
      <c r="AV2891" s="159" t="s">
        <v>141</v>
      </c>
      <c r="AW2891" s="435" t="s">
        <v>17098</v>
      </c>
      <c r="AX2891" s="159" t="s">
        <v>143</v>
      </c>
      <c r="AY2891" s="61" t="str">
        <f>IFERROR(__xludf.DUMMYFUNCTION("vlookup(BB2891,importrange(""https://docs.google.com/spreadsheets/d/1d2vevQ_7D_v35q4wCQ4RpQ_IPoTwEMB9Yp6ymwlPqew/edit?gid=984458430#gid=984458430"", ""'replication success'!A:K""), 11, FAlSE)"),"#N/A")</f>
        <v>#N/A</v>
      </c>
      <c r="AZ2891" s="61" t="str">
        <f>IFERROR(__xludf.DUMMYFUNCTION("vlookup(BB2891,importrange(""https://docs.google.com/spreadsheets/d/1d2vevQ_7D_v35q4wCQ4RpQ_IPoTwEMB9Yp6ymwlPqew/edit?gid=984458430#gid=984458430"", ""'replication success'!A:M""), 12, FAlSE)"),"#N/A")</f>
        <v>#N/A</v>
      </c>
      <c r="BA2891" s="61" t="str">
        <f>IFERROR(__xludf.DUMMYFUNCTION("vlookup(BB2891,importrange(""https://docs.google.com/spreadsheets/d/1d2vevQ_7D_v35q4wCQ4RpQ_IPoTwEMB9Yp6ymwlPqew/edit?gid=984458430#gid=984458430"", ""'replication success'!A:M""), 13, FAlSE)"),"#N/A")</f>
        <v>#N/A</v>
      </c>
      <c r="BB2891" s="61" t="str">
        <f>IFERROR(__xludf.DUMMYFUNCTION("REGEXREPLACE(G2891, ""_[a-z]{1,2}$"", """")"),"additional_studies261")</f>
        <v>additional_studies261</v>
      </c>
    </row>
    <row r="2892">
      <c r="A2892" s="44">
        <v>2813.0</v>
      </c>
      <c r="B2892" s="129" t="s">
        <v>523</v>
      </c>
      <c r="C2892" s="62" t="s">
        <v>115</v>
      </c>
      <c r="D2892" s="62" t="s">
        <v>1458</v>
      </c>
      <c r="F2892" s="68" t="s">
        <v>17099</v>
      </c>
      <c r="G2892" s="159" t="s">
        <v>17100</v>
      </c>
      <c r="H2892" s="159" t="s">
        <v>1518</v>
      </c>
      <c r="I2892" s="862"/>
      <c r="J2892" s="152">
        <v>45806.0</v>
      </c>
      <c r="K2892" s="159" t="s">
        <v>17101</v>
      </c>
      <c r="L2892" s="68"/>
      <c r="M2892" s="159" t="s">
        <v>17102</v>
      </c>
      <c r="N2892" s="159" t="str">
        <f t="shared" si="138"/>
        <v>110.1002/smj.2585</v>
      </c>
      <c r="O2892" s="156">
        <v>1.0</v>
      </c>
      <c r="P2892" s="382" t="s">
        <v>17103</v>
      </c>
      <c r="Q2892" s="2191" t="str">
        <f> hyperlink(vlookup(lower(N2892),'File Links'!E:F, 2, FALSE), "LINK")</f>
        <v>LINK</v>
      </c>
      <c r="R2892" s="159" t="s">
        <v>17104</v>
      </c>
      <c r="S2892" s="680" t="s">
        <v>17105</v>
      </c>
      <c r="T2892" s="159" t="s">
        <v>138</v>
      </c>
      <c r="U2892" s="156">
        <v>1.0</v>
      </c>
      <c r="V2892" s="382" t="s">
        <v>17106</v>
      </c>
      <c r="W2892" s="1228"/>
      <c r="X2892" s="1552" t="str">
        <f> hyperlink(vlookup(lower(S2892),'File Links'!E:F, 2, FALSE), "LINK")</f>
        <v>LINK</v>
      </c>
      <c r="Y2892" s="159" t="s">
        <v>138</v>
      </c>
      <c r="Z2892" s="159" t="s">
        <v>1679</v>
      </c>
      <c r="AA2892" s="159" t="s">
        <v>17107</v>
      </c>
      <c r="AB2892" s="159" t="s">
        <v>17108</v>
      </c>
      <c r="AC2892" s="159" t="s">
        <v>17109</v>
      </c>
      <c r="AD2892" s="159" t="s">
        <v>17110</v>
      </c>
      <c r="AE2892" s="156">
        <v>11.0</v>
      </c>
      <c r="AF2892" s="156">
        <v>9522.0</v>
      </c>
      <c r="AG2892" s="156">
        <v>0.06</v>
      </c>
      <c r="AH2892" s="159" t="s">
        <v>215</v>
      </c>
      <c r="AI2892" s="159" t="s">
        <v>1174</v>
      </c>
      <c r="AJ2892" s="156">
        <v>0.05</v>
      </c>
      <c r="AK2892" s="159" t="s">
        <v>135</v>
      </c>
      <c r="AL2892" s="159" t="s">
        <v>186</v>
      </c>
      <c r="AM2892" s="159" t="s">
        <v>141</v>
      </c>
      <c r="AN2892" s="159" t="s">
        <v>138</v>
      </c>
      <c r="AO2892" s="156">
        <v>9266.0</v>
      </c>
      <c r="AP2892" s="156">
        <v>0.07</v>
      </c>
      <c r="AQ2892" s="159" t="s">
        <v>215</v>
      </c>
      <c r="AR2892" s="159" t="s">
        <v>4979</v>
      </c>
      <c r="AS2892" s="156">
        <v>0.01</v>
      </c>
      <c r="AT2892" s="159" t="s">
        <v>135</v>
      </c>
      <c r="AU2892" s="159" t="s">
        <v>186</v>
      </c>
      <c r="AV2892" s="159" t="s">
        <v>141</v>
      </c>
      <c r="AW2892" s="68" t="s">
        <v>138</v>
      </c>
      <c r="AX2892" s="159" t="s">
        <v>143</v>
      </c>
      <c r="AY2892" s="61" t="str">
        <f>IFERROR(__xludf.DUMMYFUNCTION("vlookup(BB2892,importrange(""https://docs.google.com/spreadsheets/d/1d2vevQ_7D_v35q4wCQ4RpQ_IPoTwEMB9Yp6ymwlPqew/edit?gid=984458430#gid=984458430"", ""'replication success'!A:K""), 11, FAlSE)"),"#N/A")</f>
        <v>#N/A</v>
      </c>
      <c r="AZ2892" s="61" t="str">
        <f>IFERROR(__xludf.DUMMYFUNCTION("vlookup(BB2892,importrange(""https://docs.google.com/spreadsheets/d/1d2vevQ_7D_v35q4wCQ4RpQ_IPoTwEMB9Yp6ymwlPqew/edit?gid=984458430#gid=984458430"", ""'replication success'!A:M""), 12, FAlSE)"),"#N/A")</f>
        <v>#N/A</v>
      </c>
      <c r="BA2892" s="61" t="str">
        <f>IFERROR(__xludf.DUMMYFUNCTION("vlookup(BB2892,importrange(""https://docs.google.com/spreadsheets/d/1d2vevQ_7D_v35q4wCQ4RpQ_IPoTwEMB9Yp6ymwlPqew/edit?gid=984458430#gid=984458430"", ""'replication success'!A:M""), 13, FAlSE)"),"#N/A")</f>
        <v>#N/A</v>
      </c>
      <c r="BB2892" s="61" t="str">
        <f>IFERROR(__xludf.DUMMYFUNCTION("REGEXREPLACE(G2892, ""_[a-z]{1,2}$"", """")"),"additional_studies262")</f>
        <v>additional_studies262</v>
      </c>
    </row>
    <row r="2893">
      <c r="A2893" s="44">
        <v>2814.0</v>
      </c>
      <c r="B2893" s="129" t="s">
        <v>523</v>
      </c>
      <c r="C2893" s="62" t="s">
        <v>115</v>
      </c>
      <c r="D2893" s="62" t="s">
        <v>1458</v>
      </c>
      <c r="F2893" s="159" t="s">
        <v>17111</v>
      </c>
      <c r="G2893" s="159" t="s">
        <v>17112</v>
      </c>
      <c r="H2893" s="159" t="s">
        <v>1518</v>
      </c>
      <c r="I2893" s="862"/>
      <c r="J2893" s="152">
        <v>45806.0</v>
      </c>
      <c r="K2893" s="680" t="s">
        <v>17113</v>
      </c>
      <c r="L2893" s="68"/>
      <c r="M2893" s="159" t="s">
        <v>17114</v>
      </c>
      <c r="N2893" s="159" t="str">
        <f t="shared" si="138"/>
        <v>110.1007/s11002-005-0457-y</v>
      </c>
      <c r="O2893" s="156">
        <v>1.0</v>
      </c>
      <c r="P2893" s="382" t="s">
        <v>17115</v>
      </c>
      <c r="Q2893" s="2191" t="str">
        <f> hyperlink(vlookup(lower(N2893),'File Links'!E:F, 2, FALSE), "LINK")</f>
        <v>LINK</v>
      </c>
      <c r="R2893" s="159" t="s">
        <v>17116</v>
      </c>
      <c r="S2893" s="680" t="s">
        <v>17117</v>
      </c>
      <c r="T2893" s="159" t="s">
        <v>138</v>
      </c>
      <c r="U2893" s="156">
        <v>1.0</v>
      </c>
      <c r="V2893" s="382" t="s">
        <v>17118</v>
      </c>
      <c r="W2893" s="1228"/>
      <c r="X2893" s="2192" t="str">
        <f> hyperlink(vlookup(lower(S2893),'File Links'!E:F, 2, FALSE), "LINK")</f>
        <v>LINK</v>
      </c>
      <c r="Y2893" s="159" t="s">
        <v>138</v>
      </c>
      <c r="Z2893" s="159" t="s">
        <v>2079</v>
      </c>
      <c r="AA2893" s="159" t="s">
        <v>17119</v>
      </c>
      <c r="AB2893" s="159" t="s">
        <v>17120</v>
      </c>
      <c r="AC2893" s="159" t="s">
        <v>17121</v>
      </c>
      <c r="AD2893" s="159" t="s">
        <v>17122</v>
      </c>
      <c r="AE2893" s="156">
        <v>5.0</v>
      </c>
      <c r="AF2893" s="156">
        <v>44.0</v>
      </c>
      <c r="AG2893" s="159" t="s">
        <v>17123</v>
      </c>
      <c r="AH2893" s="159" t="s">
        <v>134</v>
      </c>
      <c r="AI2893" s="159" t="s">
        <v>882</v>
      </c>
      <c r="AJ2893" s="156">
        <v>0.01</v>
      </c>
      <c r="AK2893" s="159" t="s">
        <v>135</v>
      </c>
      <c r="AL2893" s="159" t="s">
        <v>186</v>
      </c>
      <c r="AM2893" s="159" t="s">
        <v>137</v>
      </c>
      <c r="AN2893" s="159" t="s">
        <v>138</v>
      </c>
      <c r="AO2893" s="156">
        <v>1097.0</v>
      </c>
      <c r="AP2893" s="159" t="s">
        <v>138</v>
      </c>
      <c r="AQ2893" s="159" t="s">
        <v>138</v>
      </c>
      <c r="AR2893" s="159" t="s">
        <v>882</v>
      </c>
      <c r="AS2893" s="156">
        <v>0.05</v>
      </c>
      <c r="AT2893" s="159" t="s">
        <v>135</v>
      </c>
      <c r="AU2893" s="159" t="s">
        <v>186</v>
      </c>
      <c r="AV2893" s="159" t="s">
        <v>137</v>
      </c>
      <c r="AW2893" s="68" t="s">
        <v>138</v>
      </c>
      <c r="AX2893" s="159" t="s">
        <v>143</v>
      </c>
      <c r="AY2893" s="61" t="str">
        <f>IFERROR(__xludf.DUMMYFUNCTION("vlookup(BB2893,importrange(""https://docs.google.com/spreadsheets/d/1d2vevQ_7D_v35q4wCQ4RpQ_IPoTwEMB9Yp6ymwlPqew/edit?gid=984458430#gid=984458430"", ""'replication success'!A:K""), 11, FAlSE)"),"#N/A")</f>
        <v>#N/A</v>
      </c>
      <c r="AZ2893" s="61" t="str">
        <f>IFERROR(__xludf.DUMMYFUNCTION("vlookup(BB2893,importrange(""https://docs.google.com/spreadsheets/d/1d2vevQ_7D_v35q4wCQ4RpQ_IPoTwEMB9Yp6ymwlPqew/edit?gid=984458430#gid=984458430"", ""'replication success'!A:M""), 12, FAlSE)"),"#N/A")</f>
        <v>#N/A</v>
      </c>
      <c r="BA2893" s="61" t="str">
        <f>IFERROR(__xludf.DUMMYFUNCTION("vlookup(BB2893,importrange(""https://docs.google.com/spreadsheets/d/1d2vevQ_7D_v35q4wCQ4RpQ_IPoTwEMB9Yp6ymwlPqew/edit?gid=984458430#gid=984458430"", ""'replication success'!A:M""), 13, FAlSE)"),"#N/A")</f>
        <v>#N/A</v>
      </c>
      <c r="BB2893" s="61" t="str">
        <f>IFERROR(__xludf.DUMMYFUNCTION("REGEXREPLACE(G2893, ""_[a-z]{1,2}$"", """")"),"additional_studies263")</f>
        <v>additional_studies263</v>
      </c>
    </row>
    <row r="2894">
      <c r="A2894" s="44">
        <v>3214.0</v>
      </c>
      <c r="B2894" s="129" t="s">
        <v>523</v>
      </c>
      <c r="C2894" s="62" t="s">
        <v>115</v>
      </c>
      <c r="D2894" s="62" t="s">
        <v>17124</v>
      </c>
      <c r="F2894" s="129" t="s">
        <v>17125</v>
      </c>
      <c r="G2894" s="151" t="s">
        <v>17126</v>
      </c>
      <c r="H2894" s="151" t="s">
        <v>17127</v>
      </c>
      <c r="I2894" s="1542">
        <v>45829.0</v>
      </c>
      <c r="J2894" s="152"/>
      <c r="K2894" s="129" t="s">
        <v>17128</v>
      </c>
      <c r="L2894" s="68"/>
      <c r="M2894" s="151" t="s">
        <v>17129</v>
      </c>
      <c r="N2894" s="151" t="s">
        <v>17130</v>
      </c>
      <c r="O2894" s="68"/>
      <c r="P2894" s="309" t="s">
        <v>17131</v>
      </c>
      <c r="Q2894" s="2363" t="s">
        <v>7284</v>
      </c>
      <c r="R2894" s="151" t="s">
        <v>17132</v>
      </c>
      <c r="S2894" s="151" t="s">
        <v>17133</v>
      </c>
      <c r="T2894" s="68"/>
      <c r="U2894" s="129">
        <v>1.0</v>
      </c>
      <c r="V2894" s="309" t="s">
        <v>17134</v>
      </c>
      <c r="W2894" s="1080"/>
      <c r="X2894" s="2364" t="s">
        <v>7284</v>
      </c>
      <c r="Y2894" s="159"/>
      <c r="Z2894" s="151" t="s">
        <v>2045</v>
      </c>
      <c r="AA2894" s="151" t="s">
        <v>17135</v>
      </c>
      <c r="AB2894" s="151" t="s">
        <v>17136</v>
      </c>
      <c r="AC2894" s="151" t="s">
        <v>17137</v>
      </c>
      <c r="AD2894" s="129" t="s">
        <v>17138</v>
      </c>
      <c r="AE2894" s="129">
        <v>2.0</v>
      </c>
      <c r="AF2894" s="161">
        <v>52.0</v>
      </c>
      <c r="AG2894" s="161">
        <v>0.89</v>
      </c>
      <c r="AH2894" s="151" t="s">
        <v>173</v>
      </c>
      <c r="AI2894" s="151" t="s">
        <v>875</v>
      </c>
      <c r="AJ2894" s="501">
        <v>0.05</v>
      </c>
      <c r="AK2894" s="151" t="s">
        <v>135</v>
      </c>
      <c r="AL2894" s="151" t="s">
        <v>186</v>
      </c>
      <c r="AM2894" s="151" t="s">
        <v>137</v>
      </c>
      <c r="AN2894" s="151" t="s">
        <v>138</v>
      </c>
      <c r="AO2894" s="161">
        <v>86.0</v>
      </c>
      <c r="AP2894" s="161">
        <v>0.19</v>
      </c>
      <c r="AQ2894" s="151" t="s">
        <v>173</v>
      </c>
      <c r="AR2894" s="151" t="s">
        <v>17139</v>
      </c>
      <c r="AS2894" s="161">
        <v>0.374</v>
      </c>
      <c r="AT2894" s="151" t="s">
        <v>172</v>
      </c>
      <c r="AU2894" s="151" t="s">
        <v>186</v>
      </c>
      <c r="AV2894" s="151" t="s">
        <v>137</v>
      </c>
      <c r="AW2894" s="1308" t="s">
        <v>138</v>
      </c>
      <c r="AX2894" s="151" t="s">
        <v>143</v>
      </c>
      <c r="AY2894" s="61" t="str">
        <f>IFERROR(__xludf.DUMMYFUNCTION("vlookup(BB2894,importrange(""https://docs.google.com/spreadsheets/d/1d2vevQ_7D_v35q4wCQ4RpQ_IPoTwEMB9Yp6ymwlPqew/edit?gid=984458430#gid=984458430"", ""'replication success'!A:K""), 11, FAlSE)"),"#N/A")</f>
        <v>#N/A</v>
      </c>
      <c r="AZ2894" s="61" t="str">
        <f>IFERROR(__xludf.DUMMYFUNCTION("vlookup(BB2894,importrange(""https://docs.google.com/spreadsheets/d/1d2vevQ_7D_v35q4wCQ4RpQ_IPoTwEMB9Yp6ymwlPqew/edit?gid=984458430#gid=984458430"", ""'replication success'!A:M""), 12, FAlSE)"),"#N/A")</f>
        <v>#N/A</v>
      </c>
      <c r="BA2894" s="61" t="str">
        <f>IFERROR(__xludf.DUMMYFUNCTION("vlookup(BB2894,importrange(""https://docs.google.com/spreadsheets/d/1d2vevQ_7D_v35q4wCQ4RpQ_IPoTwEMB9Yp6ymwlPqew/edit?gid=984458430#gid=984458430"", ""'replication success'!A:M""), 13, FAlSE)"),"#N/A")</f>
        <v>#N/A</v>
      </c>
      <c r="BB2894" s="61" t="str">
        <f>IFERROR(__xludf.DUMMYFUNCTION("REGEXREPLACE(G2894, ""_[a-z]{1,2}$"", """")"),"av_142")</f>
        <v>av_142</v>
      </c>
    </row>
    <row r="2895">
      <c r="A2895" s="44">
        <v>3215.0</v>
      </c>
      <c r="B2895" s="129" t="s">
        <v>523</v>
      </c>
      <c r="C2895" s="62" t="s">
        <v>115</v>
      </c>
      <c r="D2895" s="62" t="s">
        <v>17124</v>
      </c>
      <c r="F2895" s="129" t="s">
        <v>17125</v>
      </c>
      <c r="G2895" s="151" t="s">
        <v>17140</v>
      </c>
      <c r="H2895" s="151" t="s">
        <v>17127</v>
      </c>
      <c r="I2895" s="1542">
        <v>45829.0</v>
      </c>
      <c r="J2895" s="152"/>
      <c r="K2895" s="129" t="s">
        <v>17141</v>
      </c>
      <c r="L2895" s="68"/>
      <c r="M2895" s="151" t="s">
        <v>17129</v>
      </c>
      <c r="N2895" s="151" t="s">
        <v>17142</v>
      </c>
      <c r="O2895" s="68"/>
      <c r="P2895" s="309" t="s">
        <v>17131</v>
      </c>
      <c r="Q2895" s="2191"/>
      <c r="R2895" s="151" t="s">
        <v>17143</v>
      </c>
      <c r="S2895" s="151" t="s">
        <v>17144</v>
      </c>
      <c r="T2895" s="68"/>
      <c r="U2895" s="129">
        <v>1.0</v>
      </c>
      <c r="V2895" s="309" t="s">
        <v>17134</v>
      </c>
      <c r="W2895" s="1080"/>
      <c r="X2895" s="2364" t="s">
        <v>7284</v>
      </c>
      <c r="Y2895" s="159"/>
      <c r="Z2895" s="151" t="s">
        <v>2045</v>
      </c>
      <c r="AA2895" s="151" t="s">
        <v>17135</v>
      </c>
      <c r="AB2895" s="151" t="s">
        <v>17136</v>
      </c>
      <c r="AC2895" s="151" t="s">
        <v>17137</v>
      </c>
      <c r="AD2895" s="129" t="s">
        <v>17138</v>
      </c>
      <c r="AE2895" s="129">
        <v>2.0</v>
      </c>
      <c r="AF2895" s="161">
        <v>52.0</v>
      </c>
      <c r="AG2895" s="161">
        <v>0.89</v>
      </c>
      <c r="AH2895" s="151" t="s">
        <v>173</v>
      </c>
      <c r="AI2895" s="151" t="s">
        <v>875</v>
      </c>
      <c r="AJ2895" s="501">
        <v>0.05</v>
      </c>
      <c r="AK2895" s="151" t="s">
        <v>135</v>
      </c>
      <c r="AL2895" s="151" t="s">
        <v>186</v>
      </c>
      <c r="AM2895" s="151" t="s">
        <v>137</v>
      </c>
      <c r="AN2895" s="151" t="s">
        <v>138</v>
      </c>
      <c r="AO2895" s="161">
        <v>160.0</v>
      </c>
      <c r="AP2895" s="161">
        <v>-0.06</v>
      </c>
      <c r="AQ2895" s="151" t="s">
        <v>173</v>
      </c>
      <c r="AR2895" s="151" t="s">
        <v>17139</v>
      </c>
      <c r="AS2895" s="161">
        <v>0.723</v>
      </c>
      <c r="AT2895" s="151" t="s">
        <v>172</v>
      </c>
      <c r="AU2895" s="151" t="s">
        <v>186</v>
      </c>
      <c r="AV2895" s="151" t="s">
        <v>137</v>
      </c>
      <c r="AW2895" s="1308" t="s">
        <v>138</v>
      </c>
      <c r="AX2895" s="151" t="s">
        <v>143</v>
      </c>
      <c r="AY2895" s="61" t="str">
        <f>IFERROR(__xludf.DUMMYFUNCTION("vlookup(BB2895,importrange(""https://docs.google.com/spreadsheets/d/1d2vevQ_7D_v35q4wCQ4RpQ_IPoTwEMB9Yp6ymwlPqew/edit?gid=984458430#gid=984458430"", ""'replication success'!A:K""), 11, FAlSE)"),"#N/A")</f>
        <v>#N/A</v>
      </c>
      <c r="AZ2895" s="61" t="str">
        <f>IFERROR(__xludf.DUMMYFUNCTION("vlookup(BB2895,importrange(""https://docs.google.com/spreadsheets/d/1d2vevQ_7D_v35q4wCQ4RpQ_IPoTwEMB9Yp6ymwlPqew/edit?gid=984458430#gid=984458430"", ""'replication success'!A:M""), 12, FAlSE)"),"#N/A")</f>
        <v>#N/A</v>
      </c>
      <c r="BA2895" s="61" t="str">
        <f>IFERROR(__xludf.DUMMYFUNCTION("vlookup(BB2895,importrange(""https://docs.google.com/spreadsheets/d/1d2vevQ_7D_v35q4wCQ4RpQ_IPoTwEMB9Yp6ymwlPqew/edit?gid=984458430#gid=984458430"", ""'replication success'!A:M""), 13, FAlSE)"),"#N/A")</f>
        <v>#N/A</v>
      </c>
      <c r="BB2895" s="61" t="str">
        <f>IFERROR(__xludf.DUMMYFUNCTION("REGEXREPLACE(G2895, ""_[a-z]{1,2}$"", """")"),"av_142")</f>
        <v>av_142</v>
      </c>
    </row>
    <row r="2896">
      <c r="A2896" s="44">
        <v>3216.0</v>
      </c>
      <c r="B2896" s="129" t="s">
        <v>523</v>
      </c>
      <c r="C2896" s="62" t="s">
        <v>115</v>
      </c>
      <c r="D2896" s="62" t="s">
        <v>17124</v>
      </c>
      <c r="F2896" s="129" t="s">
        <v>17145</v>
      </c>
      <c r="G2896" s="151" t="s">
        <v>17146</v>
      </c>
      <c r="H2896" s="151" t="s">
        <v>17127</v>
      </c>
      <c r="I2896" s="1542">
        <v>45829.0</v>
      </c>
      <c r="J2896" s="152"/>
      <c r="K2896" s="68"/>
      <c r="L2896" s="68"/>
      <c r="M2896" s="151" t="s">
        <v>17147</v>
      </c>
      <c r="N2896" s="151" t="s">
        <v>17148</v>
      </c>
      <c r="O2896" s="68"/>
      <c r="P2896" s="309" t="s">
        <v>17149</v>
      </c>
      <c r="Q2896" s="2363" t="s">
        <v>7284</v>
      </c>
      <c r="R2896" s="151" t="s">
        <v>17150</v>
      </c>
      <c r="S2896" s="151" t="s">
        <v>17151</v>
      </c>
      <c r="T2896" s="68"/>
      <c r="U2896" s="129">
        <v>2.0</v>
      </c>
      <c r="V2896" s="309" t="s">
        <v>17152</v>
      </c>
      <c r="W2896" s="1080"/>
      <c r="X2896" s="2364" t="s">
        <v>7284</v>
      </c>
      <c r="Y2896" s="159"/>
      <c r="Z2896" s="151" t="s">
        <v>148</v>
      </c>
      <c r="AA2896" s="151" t="s">
        <v>17153</v>
      </c>
      <c r="AB2896" s="159"/>
      <c r="AC2896" s="151" t="s">
        <v>17154</v>
      </c>
      <c r="AD2896" s="129" t="s">
        <v>17155</v>
      </c>
      <c r="AE2896" s="129" t="s">
        <v>140</v>
      </c>
      <c r="AF2896" s="161">
        <v>45.0</v>
      </c>
      <c r="AG2896" s="161">
        <v>0.401</v>
      </c>
      <c r="AH2896" s="151" t="s">
        <v>874</v>
      </c>
      <c r="AI2896" s="151" t="s">
        <v>140</v>
      </c>
      <c r="AJ2896" s="501">
        <v>0.001</v>
      </c>
      <c r="AK2896" s="151" t="s">
        <v>135</v>
      </c>
      <c r="AL2896" s="151" t="s">
        <v>186</v>
      </c>
      <c r="AM2896" s="151" t="s">
        <v>141</v>
      </c>
      <c r="AN2896" s="151" t="s">
        <v>138</v>
      </c>
      <c r="AO2896" s="161">
        <v>27.0</v>
      </c>
      <c r="AP2896" s="161">
        <v>0.442</v>
      </c>
      <c r="AQ2896" s="151" t="s">
        <v>874</v>
      </c>
      <c r="AR2896" s="151" t="s">
        <v>613</v>
      </c>
      <c r="AS2896" s="161">
        <v>0.001</v>
      </c>
      <c r="AT2896" s="151" t="s">
        <v>135</v>
      </c>
      <c r="AU2896" s="151" t="s">
        <v>186</v>
      </c>
      <c r="AV2896" s="151" t="s">
        <v>141</v>
      </c>
      <c r="AW2896" s="1308" t="s">
        <v>138</v>
      </c>
      <c r="AX2896" s="151" t="s">
        <v>143</v>
      </c>
      <c r="AY2896" s="61" t="str">
        <f>IFERROR(__xludf.DUMMYFUNCTION("vlookup(BB2896,importrange(""https://docs.google.com/spreadsheets/d/1d2vevQ_7D_v35q4wCQ4RpQ_IPoTwEMB9Yp6ymwlPqew/edit?gid=984458430#gid=984458430"", ""'replication success'!A:K""), 11, FAlSE)"),"#N/A")</f>
        <v>#N/A</v>
      </c>
      <c r="AZ2896" s="61" t="str">
        <f>IFERROR(__xludf.DUMMYFUNCTION("vlookup(BB2896,importrange(""https://docs.google.com/spreadsheets/d/1d2vevQ_7D_v35q4wCQ4RpQ_IPoTwEMB9Yp6ymwlPqew/edit?gid=984458430#gid=984458430"", ""'replication success'!A:M""), 12, FAlSE)"),"#N/A")</f>
        <v>#N/A</v>
      </c>
      <c r="BA2896" s="61" t="str">
        <f>IFERROR(__xludf.DUMMYFUNCTION("vlookup(BB2896,importrange(""https://docs.google.com/spreadsheets/d/1d2vevQ_7D_v35q4wCQ4RpQ_IPoTwEMB9Yp6ymwlPqew/edit?gid=984458430#gid=984458430"", ""'replication success'!A:M""), 13, FAlSE)"),"#N/A")</f>
        <v>#N/A</v>
      </c>
      <c r="BB2896" s="61" t="str">
        <f>IFERROR(__xludf.DUMMYFUNCTION("REGEXREPLACE(G2896, ""_[a-z]{1,2}$"", """")"),"av_146")</f>
        <v>av_146</v>
      </c>
    </row>
    <row r="2897">
      <c r="A2897" s="44">
        <v>3217.0</v>
      </c>
      <c r="B2897" s="129" t="s">
        <v>523</v>
      </c>
      <c r="C2897" s="62" t="s">
        <v>115</v>
      </c>
      <c r="D2897" s="62" t="s">
        <v>17156</v>
      </c>
      <c r="F2897" s="68" t="s">
        <v>17157</v>
      </c>
      <c r="G2897" s="159" t="s">
        <v>17158</v>
      </c>
      <c r="H2897" s="159" t="s">
        <v>17159</v>
      </c>
      <c r="I2897" s="152">
        <v>45823.0</v>
      </c>
      <c r="J2897" s="862"/>
      <c r="K2897" s="1748" t="s">
        <v>17160</v>
      </c>
      <c r="L2897" s="68"/>
      <c r="M2897" s="159" t="s">
        <v>17161</v>
      </c>
      <c r="N2897" s="159" t="s">
        <v>17162</v>
      </c>
      <c r="O2897" s="68"/>
      <c r="P2897" s="382" t="s">
        <v>17163</v>
      </c>
      <c r="Q2897" s="2363" t="s">
        <v>7284</v>
      </c>
      <c r="R2897" s="159" t="s">
        <v>17164</v>
      </c>
      <c r="S2897" s="159" t="s">
        <v>17165</v>
      </c>
      <c r="T2897" s="68"/>
      <c r="U2897" s="156">
        <v>1.0</v>
      </c>
      <c r="V2897" s="382" t="s">
        <v>17166</v>
      </c>
      <c r="W2897" s="1228"/>
      <c r="X2897" s="2364" t="s">
        <v>7284</v>
      </c>
      <c r="Y2897" s="68"/>
      <c r="Z2897" s="159" t="s">
        <v>226</v>
      </c>
      <c r="AA2897" s="159" t="s">
        <v>17167</v>
      </c>
      <c r="AB2897" s="159" t="s">
        <v>17168</v>
      </c>
      <c r="AC2897" s="159" t="s">
        <v>17169</v>
      </c>
      <c r="AD2897" s="159" t="s">
        <v>17170</v>
      </c>
      <c r="AE2897" s="336">
        <v>888.0</v>
      </c>
      <c r="AF2897" s="336">
        <v>36.0</v>
      </c>
      <c r="AG2897" s="336">
        <v>0.26</v>
      </c>
      <c r="AH2897" s="68" t="s">
        <v>173</v>
      </c>
      <c r="AI2897" s="68" t="s">
        <v>17171</v>
      </c>
      <c r="AJ2897" s="336">
        <v>0.012</v>
      </c>
      <c r="AK2897" s="1911" t="s">
        <v>17172</v>
      </c>
      <c r="AL2897" s="336">
        <v>2.0</v>
      </c>
      <c r="AM2897" s="68" t="s">
        <v>141</v>
      </c>
      <c r="AN2897" s="68" t="s">
        <v>138</v>
      </c>
      <c r="AO2897" s="156">
        <v>202.0</v>
      </c>
      <c r="AP2897" s="156">
        <v>0.19</v>
      </c>
      <c r="AQ2897" s="68" t="s">
        <v>11006</v>
      </c>
      <c r="AR2897" s="159" t="s">
        <v>17173</v>
      </c>
      <c r="AS2897" s="156">
        <v>0.008</v>
      </c>
      <c r="AT2897" s="2083" t="s">
        <v>17172</v>
      </c>
      <c r="AU2897" s="156">
        <v>2.0</v>
      </c>
      <c r="AV2897" s="159" t="s">
        <v>141</v>
      </c>
      <c r="AW2897" s="68" t="s">
        <v>138</v>
      </c>
      <c r="AX2897" s="336">
        <v>2.0</v>
      </c>
      <c r="AY2897" s="61" t="str">
        <f>IFERROR(__xludf.DUMMYFUNCTION("vlookup(BB2897,importrange(""https://docs.google.com/spreadsheets/d/1d2vevQ_7D_v35q4wCQ4RpQ_IPoTwEMB9Yp6ymwlPqew/edit?gid=984458430#gid=984458430"", ""'replication success'!A:K""), 11, FAlSE)"),"#N/A")</f>
        <v>#N/A</v>
      </c>
      <c r="AZ2897" s="61" t="str">
        <f>IFERROR(__xludf.DUMMYFUNCTION("vlookup(BB2897,importrange(""https://docs.google.com/spreadsheets/d/1d2vevQ_7D_v35q4wCQ4RpQ_IPoTwEMB9Yp6ymwlPqew/edit?gid=984458430#gid=984458430"", ""'replication success'!A:M""), 12, FAlSE)"),"#N/A")</f>
        <v>#N/A</v>
      </c>
      <c r="BA2897" s="61" t="str">
        <f>IFERROR(__xludf.DUMMYFUNCTION("vlookup(BB2897,importrange(""https://docs.google.com/spreadsheets/d/1d2vevQ_7D_v35q4wCQ4RpQ_IPoTwEMB9Yp6ymwlPqew/edit?gid=984458430#gid=984458430"", ""'replication success'!A:M""), 13, FAlSE)"),"#N/A")</f>
        <v>#N/A</v>
      </c>
      <c r="BB2897" s="61" t="str">
        <f>IFERROR(__xludf.DUMMYFUNCTION("REGEXREPLACE(G2897, ""_[a-z]{1,2}$"", """")"),"av_28")</f>
        <v>av_28</v>
      </c>
    </row>
    <row r="2898">
      <c r="A2898" s="44">
        <v>3218.0</v>
      </c>
      <c r="B2898" s="129" t="s">
        <v>523</v>
      </c>
      <c r="C2898" s="62" t="s">
        <v>115</v>
      </c>
      <c r="D2898" s="62" t="s">
        <v>17156</v>
      </c>
      <c r="F2898" s="68" t="s">
        <v>17157</v>
      </c>
      <c r="G2898" s="159" t="s">
        <v>17174</v>
      </c>
      <c r="H2898" s="159" t="s">
        <v>17159</v>
      </c>
      <c r="I2898" s="152">
        <v>45823.0</v>
      </c>
      <c r="J2898" s="862"/>
      <c r="K2898" s="1748" t="s">
        <v>17175</v>
      </c>
      <c r="L2898" s="68"/>
      <c r="M2898" s="159" t="s">
        <v>17161</v>
      </c>
      <c r="N2898" s="159" t="s">
        <v>17162</v>
      </c>
      <c r="O2898" s="68"/>
      <c r="P2898" s="382" t="s">
        <v>17163</v>
      </c>
      <c r="Q2898" s="2363" t="s">
        <v>7284</v>
      </c>
      <c r="R2898" s="159" t="s">
        <v>17164</v>
      </c>
      <c r="S2898" s="159" t="s">
        <v>17165</v>
      </c>
      <c r="T2898" s="68"/>
      <c r="U2898" s="336">
        <v>1.0</v>
      </c>
      <c r="V2898" s="573"/>
      <c r="W2898" s="1228"/>
      <c r="X2898" s="2364" t="s">
        <v>7284</v>
      </c>
      <c r="Y2898" s="68"/>
      <c r="Z2898" s="159" t="s">
        <v>226</v>
      </c>
      <c r="AA2898" s="159" t="s">
        <v>17167</v>
      </c>
      <c r="AB2898" s="159" t="s">
        <v>17168</v>
      </c>
      <c r="AC2898" s="159" t="s">
        <v>17169</v>
      </c>
      <c r="AD2898" s="159" t="s">
        <v>17170</v>
      </c>
      <c r="AE2898" s="336">
        <v>888.0</v>
      </c>
      <c r="AF2898" s="156">
        <v>36.0</v>
      </c>
      <c r="AG2898" s="336">
        <v>0.26</v>
      </c>
      <c r="AH2898" s="68" t="s">
        <v>173</v>
      </c>
      <c r="AI2898" s="68" t="s">
        <v>17171</v>
      </c>
      <c r="AJ2898" s="336">
        <v>0.012</v>
      </c>
      <c r="AK2898" s="1911" t="s">
        <v>17172</v>
      </c>
      <c r="AL2898" s="336">
        <v>2.0</v>
      </c>
      <c r="AM2898" s="68" t="s">
        <v>141</v>
      </c>
      <c r="AN2898" s="68" t="s">
        <v>138</v>
      </c>
      <c r="AO2898" s="156">
        <v>203.0</v>
      </c>
      <c r="AP2898" s="336">
        <v>0.24</v>
      </c>
      <c r="AQ2898" s="68" t="s">
        <v>11006</v>
      </c>
      <c r="AR2898" s="68" t="s">
        <v>457</v>
      </c>
      <c r="AS2898" s="336">
        <v>0.001</v>
      </c>
      <c r="AT2898" s="68" t="s">
        <v>17176</v>
      </c>
      <c r="AU2898" s="336">
        <v>2.0</v>
      </c>
      <c r="AV2898" s="159" t="s">
        <v>141</v>
      </c>
      <c r="AW2898" s="68" t="s">
        <v>138</v>
      </c>
      <c r="AX2898" s="336">
        <v>2.0</v>
      </c>
      <c r="AY2898" s="61" t="str">
        <f>IFERROR(__xludf.DUMMYFUNCTION("vlookup(BB2898,importrange(""https://docs.google.com/spreadsheets/d/1d2vevQ_7D_v35q4wCQ4RpQ_IPoTwEMB9Yp6ymwlPqew/edit?gid=984458430#gid=984458430"", ""'replication success'!A:K""), 11, FAlSE)"),"#N/A")</f>
        <v>#N/A</v>
      </c>
      <c r="AZ2898" s="61" t="str">
        <f>IFERROR(__xludf.DUMMYFUNCTION("vlookup(BB2898,importrange(""https://docs.google.com/spreadsheets/d/1d2vevQ_7D_v35q4wCQ4RpQ_IPoTwEMB9Yp6ymwlPqew/edit?gid=984458430#gid=984458430"", ""'replication success'!A:M""), 12, FAlSE)"),"#N/A")</f>
        <v>#N/A</v>
      </c>
      <c r="BA2898" s="61" t="str">
        <f>IFERROR(__xludf.DUMMYFUNCTION("vlookup(BB2898,importrange(""https://docs.google.com/spreadsheets/d/1d2vevQ_7D_v35q4wCQ4RpQ_IPoTwEMB9Yp6ymwlPqew/edit?gid=984458430#gid=984458430"", ""'replication success'!A:M""), 13, FAlSE)"),"#N/A")</f>
        <v>#N/A</v>
      </c>
      <c r="BB2898" s="61" t="str">
        <f>IFERROR(__xludf.DUMMYFUNCTION("REGEXREPLACE(G2898, ""_[a-z]{1,2}$"", """")"),"av_28")</f>
        <v>av_28</v>
      </c>
    </row>
    <row r="2899">
      <c r="A2899" s="44">
        <v>3219.0</v>
      </c>
      <c r="B2899" s="129" t="s">
        <v>523</v>
      </c>
      <c r="C2899" s="62" t="s">
        <v>115</v>
      </c>
      <c r="D2899" s="62" t="s">
        <v>17156</v>
      </c>
      <c r="F2899" s="68" t="s">
        <v>17177</v>
      </c>
      <c r="G2899" s="159" t="s">
        <v>17178</v>
      </c>
      <c r="H2899" s="159" t="s">
        <v>17159</v>
      </c>
      <c r="I2899" s="152">
        <v>45823.0</v>
      </c>
      <c r="J2899" s="862"/>
      <c r="K2899" s="159" t="s">
        <v>17179</v>
      </c>
      <c r="L2899" s="68"/>
      <c r="M2899" s="159" t="s">
        <v>17180</v>
      </c>
      <c r="N2899" s="159" t="s">
        <v>17181</v>
      </c>
      <c r="O2899" s="68"/>
      <c r="P2899" s="382" t="s">
        <v>17182</v>
      </c>
      <c r="Q2899" s="2363" t="s">
        <v>7284</v>
      </c>
      <c r="R2899" s="159" t="s">
        <v>17183</v>
      </c>
      <c r="S2899" s="159" t="s">
        <v>17184</v>
      </c>
      <c r="T2899" s="68"/>
      <c r="U2899" s="156">
        <v>1.0</v>
      </c>
      <c r="V2899" s="382" t="s">
        <v>17185</v>
      </c>
      <c r="W2899" s="1228"/>
      <c r="X2899" s="2364" t="s">
        <v>7284</v>
      </c>
      <c r="Y2899" s="68"/>
      <c r="Z2899" s="159" t="s">
        <v>1600</v>
      </c>
      <c r="AA2899" s="159" t="s">
        <v>17186</v>
      </c>
      <c r="AB2899" s="159" t="s">
        <v>17187</v>
      </c>
      <c r="AC2899" s="159" t="s">
        <v>17188</v>
      </c>
      <c r="AD2899" s="159" t="s">
        <v>17189</v>
      </c>
      <c r="AE2899" s="156">
        <v>640.0</v>
      </c>
      <c r="AF2899" s="156">
        <v>32.0</v>
      </c>
      <c r="AG2899" s="159" t="s">
        <v>17190</v>
      </c>
      <c r="AH2899" s="159" t="s">
        <v>134</v>
      </c>
      <c r="AI2899" s="159" t="s">
        <v>17191</v>
      </c>
      <c r="AJ2899" s="156">
        <v>0.001</v>
      </c>
      <c r="AK2899" s="2083" t="s">
        <v>17172</v>
      </c>
      <c r="AL2899" s="159" t="s">
        <v>138</v>
      </c>
      <c r="AM2899" s="159" t="s">
        <v>137</v>
      </c>
      <c r="AN2899" s="68" t="s">
        <v>138</v>
      </c>
      <c r="AO2899" s="156">
        <v>104.0</v>
      </c>
      <c r="AP2899" s="159" t="s">
        <v>17192</v>
      </c>
      <c r="AQ2899" s="159" t="s">
        <v>134</v>
      </c>
      <c r="AR2899" s="159" t="s">
        <v>17193</v>
      </c>
      <c r="AS2899" s="159" t="s">
        <v>17194</v>
      </c>
      <c r="AT2899" s="2083" t="s">
        <v>17172</v>
      </c>
      <c r="AU2899" s="159" t="s">
        <v>138</v>
      </c>
      <c r="AV2899" s="159" t="s">
        <v>137</v>
      </c>
      <c r="AW2899" s="68" t="s">
        <v>138</v>
      </c>
      <c r="AX2899" s="156">
        <v>1.0</v>
      </c>
      <c r="AY2899" s="61" t="str">
        <f>IFERROR(__xludf.DUMMYFUNCTION("vlookup(BB2899,importrange(""https://docs.google.com/spreadsheets/d/1d2vevQ_7D_v35q4wCQ4RpQ_IPoTwEMB9Yp6ymwlPqew/edit?gid=984458430#gid=984458430"", ""'replication success'!A:K""), 11, FAlSE)"),"#N/A")</f>
        <v>#N/A</v>
      </c>
      <c r="AZ2899" s="61" t="str">
        <f>IFERROR(__xludf.DUMMYFUNCTION("vlookup(BB2899,importrange(""https://docs.google.com/spreadsheets/d/1d2vevQ_7D_v35q4wCQ4RpQ_IPoTwEMB9Yp6ymwlPqew/edit?gid=984458430#gid=984458430"", ""'replication success'!A:M""), 12, FAlSE)"),"#N/A")</f>
        <v>#N/A</v>
      </c>
      <c r="BA2899" s="61" t="str">
        <f>IFERROR(__xludf.DUMMYFUNCTION("vlookup(BB2899,importrange(""https://docs.google.com/spreadsheets/d/1d2vevQ_7D_v35q4wCQ4RpQ_IPoTwEMB9Yp6ymwlPqew/edit?gid=984458430#gid=984458430"", ""'replication success'!A:M""), 13, FAlSE)"),"#N/A")</f>
        <v>#N/A</v>
      </c>
      <c r="BB2899" s="61" t="str">
        <f>IFERROR(__xludf.DUMMYFUNCTION("REGEXREPLACE(G2899, ""_[a-z]{1,2}$"", """")"),"av_35")</f>
        <v>av_35</v>
      </c>
    </row>
    <row r="2900">
      <c r="A2900" s="44">
        <v>3220.0</v>
      </c>
      <c r="B2900" s="129" t="s">
        <v>523</v>
      </c>
      <c r="C2900" s="62" t="s">
        <v>115</v>
      </c>
      <c r="D2900" s="62" t="s">
        <v>17156</v>
      </c>
      <c r="F2900" s="68" t="s">
        <v>17195</v>
      </c>
      <c r="G2900" s="159" t="s">
        <v>17196</v>
      </c>
      <c r="H2900" s="159" t="s">
        <v>17159</v>
      </c>
      <c r="I2900" s="152">
        <v>45824.0</v>
      </c>
      <c r="J2900" s="862"/>
      <c r="K2900" s="159" t="s">
        <v>17197</v>
      </c>
      <c r="L2900" s="68"/>
      <c r="M2900" s="159" t="s">
        <v>17198</v>
      </c>
      <c r="N2900" s="159" t="s">
        <v>17199</v>
      </c>
      <c r="O2900" s="68"/>
      <c r="P2900" s="382" t="s">
        <v>17200</v>
      </c>
      <c r="Q2900" s="2363" t="s">
        <v>7284</v>
      </c>
      <c r="R2900" s="159" t="s">
        <v>17201</v>
      </c>
      <c r="S2900" s="159" t="s">
        <v>17202</v>
      </c>
      <c r="T2900" s="68"/>
      <c r="U2900" s="156">
        <v>1.0</v>
      </c>
      <c r="V2900" s="382" t="s">
        <v>17203</v>
      </c>
      <c r="W2900" s="1228"/>
      <c r="X2900" s="2364" t="s">
        <v>7284</v>
      </c>
      <c r="Y2900" s="68"/>
      <c r="Z2900" s="159" t="s">
        <v>148</v>
      </c>
      <c r="AA2900" s="159" t="s">
        <v>17204</v>
      </c>
      <c r="AB2900" s="159" t="s">
        <v>17205</v>
      </c>
      <c r="AC2900" s="159" t="s">
        <v>17206</v>
      </c>
      <c r="AD2900" s="159" t="s">
        <v>17207</v>
      </c>
      <c r="AE2900" s="156">
        <v>1377.0</v>
      </c>
      <c r="AF2900" s="156">
        <v>14.0</v>
      </c>
      <c r="AG2900" s="156">
        <v>0.2</v>
      </c>
      <c r="AH2900" s="159" t="s">
        <v>17208</v>
      </c>
      <c r="AI2900" s="159" t="s">
        <v>17209</v>
      </c>
      <c r="AJ2900" s="159" t="s">
        <v>138</v>
      </c>
      <c r="AK2900" s="159" t="s">
        <v>138</v>
      </c>
      <c r="AL2900" s="159" t="s">
        <v>138</v>
      </c>
      <c r="AM2900" s="159" t="s">
        <v>138</v>
      </c>
      <c r="AN2900" s="159" t="s">
        <v>138</v>
      </c>
      <c r="AO2900" s="156">
        <v>50.0</v>
      </c>
      <c r="AP2900" s="159" t="s">
        <v>17210</v>
      </c>
      <c r="AQ2900" s="159" t="s">
        <v>134</v>
      </c>
      <c r="AR2900" s="159" t="s">
        <v>17211</v>
      </c>
      <c r="AS2900" s="156">
        <v>0.001</v>
      </c>
      <c r="AT2900" s="159" t="s">
        <v>17176</v>
      </c>
      <c r="AU2900" s="159" t="s">
        <v>138</v>
      </c>
      <c r="AV2900" s="159" t="s">
        <v>137</v>
      </c>
      <c r="AW2900" s="68" t="s">
        <v>138</v>
      </c>
      <c r="AX2900" s="156">
        <v>2.0</v>
      </c>
      <c r="AY2900" s="61" t="str">
        <f>IFERROR(__xludf.DUMMYFUNCTION("vlookup(BB2900,importrange(""https://docs.google.com/spreadsheets/d/1d2vevQ_7D_v35q4wCQ4RpQ_IPoTwEMB9Yp6ymwlPqew/edit?gid=984458430#gid=984458430"", ""'replication success'!A:K""), 11, FAlSE)"),"#N/A")</f>
        <v>#N/A</v>
      </c>
      <c r="AZ2900" s="61" t="str">
        <f>IFERROR(__xludf.DUMMYFUNCTION("vlookup(BB2900,importrange(""https://docs.google.com/spreadsheets/d/1d2vevQ_7D_v35q4wCQ4RpQ_IPoTwEMB9Yp6ymwlPqew/edit?gid=984458430#gid=984458430"", ""'replication success'!A:M""), 12, FAlSE)"),"#N/A")</f>
        <v>#N/A</v>
      </c>
      <c r="BA2900" s="61" t="str">
        <f>IFERROR(__xludf.DUMMYFUNCTION("vlookup(BB2900,importrange(""https://docs.google.com/spreadsheets/d/1d2vevQ_7D_v35q4wCQ4RpQ_IPoTwEMB9Yp6ymwlPqew/edit?gid=984458430#gid=984458430"", ""'replication success'!A:M""), 13, FAlSE)"),"#N/A")</f>
        <v>#N/A</v>
      </c>
      <c r="BB2900" s="61" t="str">
        <f>IFERROR(__xludf.DUMMYFUNCTION("REGEXREPLACE(G2900, ""_[a-z]{1,2}$"", """")"),"av_36")</f>
        <v>av_36</v>
      </c>
    </row>
    <row r="2901">
      <c r="A2901" s="44">
        <v>3221.0</v>
      </c>
      <c r="B2901" s="129" t="s">
        <v>523</v>
      </c>
      <c r="C2901" s="62" t="s">
        <v>115</v>
      </c>
      <c r="D2901" s="62" t="s">
        <v>17156</v>
      </c>
      <c r="F2901" s="68" t="s">
        <v>17212</v>
      </c>
      <c r="G2901" s="159" t="s">
        <v>17213</v>
      </c>
      <c r="H2901" s="159" t="s">
        <v>17159</v>
      </c>
      <c r="I2901" s="152">
        <v>45824.0</v>
      </c>
      <c r="J2901" s="862"/>
      <c r="K2901" s="159" t="s">
        <v>17214</v>
      </c>
      <c r="L2901" s="68"/>
      <c r="M2901" s="159" t="s">
        <v>17215</v>
      </c>
      <c r="N2901" s="159" t="s">
        <v>17216</v>
      </c>
      <c r="O2901" s="68"/>
      <c r="P2901" s="382" t="s">
        <v>17217</v>
      </c>
      <c r="Q2901" s="2363" t="s">
        <v>7284</v>
      </c>
      <c r="R2901" s="159" t="s">
        <v>17218</v>
      </c>
      <c r="S2901" s="159" t="s">
        <v>17219</v>
      </c>
      <c r="T2901" s="68"/>
      <c r="U2901" s="156">
        <v>1.0</v>
      </c>
      <c r="V2901" s="382" t="s">
        <v>17220</v>
      </c>
      <c r="W2901" s="1228"/>
      <c r="X2901" s="2364" t="s">
        <v>7284</v>
      </c>
      <c r="Y2901" s="68"/>
      <c r="Z2901" s="159" t="s">
        <v>226</v>
      </c>
      <c r="AA2901" s="159" t="s">
        <v>17221</v>
      </c>
      <c r="AB2901" s="159" t="s">
        <v>17222</v>
      </c>
      <c r="AC2901" s="159" t="s">
        <v>17223</v>
      </c>
      <c r="AD2901" s="159" t="s">
        <v>17224</v>
      </c>
      <c r="AE2901" s="156">
        <v>473.0</v>
      </c>
      <c r="AF2901" s="156">
        <v>121.0</v>
      </c>
      <c r="AG2901" s="159" t="s">
        <v>17225</v>
      </c>
      <c r="AH2901" s="159" t="s">
        <v>17226</v>
      </c>
      <c r="AI2901" s="159" t="s">
        <v>17227</v>
      </c>
      <c r="AJ2901" s="159" t="s">
        <v>17228</v>
      </c>
      <c r="AK2901" s="2083" t="s">
        <v>17176</v>
      </c>
      <c r="AL2901" s="159" t="s">
        <v>138</v>
      </c>
      <c r="AM2901" s="159" t="s">
        <v>141</v>
      </c>
      <c r="AN2901" s="159" t="s">
        <v>138</v>
      </c>
      <c r="AO2901" s="156">
        <v>517.0</v>
      </c>
      <c r="AP2901" s="159" t="s">
        <v>17229</v>
      </c>
      <c r="AQ2901" s="159" t="s">
        <v>134</v>
      </c>
      <c r="AR2901" s="159" t="s">
        <v>17230</v>
      </c>
      <c r="AS2901" s="156">
        <v>0.001</v>
      </c>
      <c r="AT2901" s="159" t="s">
        <v>17176</v>
      </c>
      <c r="AU2901" s="159" t="s">
        <v>138</v>
      </c>
      <c r="AV2901" s="159" t="s">
        <v>137</v>
      </c>
      <c r="AW2901" s="68" t="s">
        <v>138</v>
      </c>
      <c r="AX2901" s="156">
        <v>3.0</v>
      </c>
      <c r="AY2901" s="61" t="str">
        <f>IFERROR(__xludf.DUMMYFUNCTION("vlookup(BB2901,importrange(""https://docs.google.com/spreadsheets/d/1d2vevQ_7D_v35q4wCQ4RpQ_IPoTwEMB9Yp6ymwlPqew/edit?gid=984458430#gid=984458430"", ""'replication success'!A:K""), 11, FAlSE)"),"#N/A")</f>
        <v>#N/A</v>
      </c>
      <c r="AZ2901" s="61" t="str">
        <f>IFERROR(__xludf.DUMMYFUNCTION("vlookup(BB2901,importrange(""https://docs.google.com/spreadsheets/d/1d2vevQ_7D_v35q4wCQ4RpQ_IPoTwEMB9Yp6ymwlPqew/edit?gid=984458430#gid=984458430"", ""'replication success'!A:M""), 12, FAlSE)"),"#N/A")</f>
        <v>#N/A</v>
      </c>
      <c r="BA2901" s="61" t="str">
        <f>IFERROR(__xludf.DUMMYFUNCTION("vlookup(BB2901,importrange(""https://docs.google.com/spreadsheets/d/1d2vevQ_7D_v35q4wCQ4RpQ_IPoTwEMB9Yp6ymwlPqew/edit?gid=984458430#gid=984458430"", ""'replication success'!A:M""), 13, FAlSE)"),"#N/A")</f>
        <v>#N/A</v>
      </c>
      <c r="BB2901" s="61" t="str">
        <f>IFERROR(__xludf.DUMMYFUNCTION("REGEXREPLACE(G2901, ""_[a-z]{1,2}$"", """")"),"av_38")</f>
        <v>av_38</v>
      </c>
    </row>
    <row r="2902">
      <c r="A2902" s="44">
        <v>3222.0</v>
      </c>
      <c r="B2902" s="129" t="s">
        <v>523</v>
      </c>
      <c r="C2902" s="62" t="s">
        <v>115</v>
      </c>
      <c r="D2902" s="62" t="s">
        <v>17156</v>
      </c>
      <c r="F2902" s="68" t="s">
        <v>17212</v>
      </c>
      <c r="G2902" s="159" t="s">
        <v>17231</v>
      </c>
      <c r="H2902" s="159" t="s">
        <v>17159</v>
      </c>
      <c r="I2902" s="152">
        <v>45824.0</v>
      </c>
      <c r="J2902" s="862"/>
      <c r="K2902" s="68" t="s">
        <v>17232</v>
      </c>
      <c r="L2902" s="68"/>
      <c r="M2902" s="159" t="s">
        <v>17215</v>
      </c>
      <c r="N2902" s="159" t="s">
        <v>17216</v>
      </c>
      <c r="O2902" s="68"/>
      <c r="P2902" s="382" t="s">
        <v>17217</v>
      </c>
      <c r="Q2902" s="2363" t="s">
        <v>7284</v>
      </c>
      <c r="R2902" s="159" t="s">
        <v>17218</v>
      </c>
      <c r="S2902" s="159" t="s">
        <v>17219</v>
      </c>
      <c r="T2902" s="68"/>
      <c r="U2902" s="156">
        <v>2.0</v>
      </c>
      <c r="V2902" s="573"/>
      <c r="W2902" s="1228"/>
      <c r="X2902" s="2364" t="s">
        <v>7284</v>
      </c>
      <c r="Y2902" s="68"/>
      <c r="Z2902" s="159" t="s">
        <v>226</v>
      </c>
      <c r="AA2902" s="159" t="s">
        <v>17221</v>
      </c>
      <c r="AB2902" s="159" t="s">
        <v>17222</v>
      </c>
      <c r="AC2902" s="159" t="s">
        <v>17223</v>
      </c>
      <c r="AD2902" s="159" t="s">
        <v>17224</v>
      </c>
      <c r="AE2902" s="156">
        <v>473.0</v>
      </c>
      <c r="AF2902" s="156">
        <v>121.0</v>
      </c>
      <c r="AG2902" s="159" t="s">
        <v>17225</v>
      </c>
      <c r="AH2902" s="159" t="s">
        <v>17226</v>
      </c>
      <c r="AI2902" s="159" t="s">
        <v>17227</v>
      </c>
      <c r="AJ2902" s="159" t="s">
        <v>17228</v>
      </c>
      <c r="AK2902" s="2083" t="s">
        <v>17176</v>
      </c>
      <c r="AL2902" s="159" t="s">
        <v>138</v>
      </c>
      <c r="AM2902" s="159" t="s">
        <v>141</v>
      </c>
      <c r="AN2902" s="159" t="s">
        <v>138</v>
      </c>
      <c r="AO2902" s="156">
        <v>216.0</v>
      </c>
      <c r="AP2902" s="159" t="s">
        <v>17233</v>
      </c>
      <c r="AQ2902" s="159" t="s">
        <v>987</v>
      </c>
      <c r="AR2902" s="159" t="s">
        <v>17234</v>
      </c>
      <c r="AS2902" s="159" t="s">
        <v>17235</v>
      </c>
      <c r="AT2902" s="2083" t="s">
        <v>17176</v>
      </c>
      <c r="AU2902" s="159" t="s">
        <v>138</v>
      </c>
      <c r="AV2902" s="68" t="s">
        <v>141</v>
      </c>
      <c r="AW2902" s="68" t="s">
        <v>138</v>
      </c>
      <c r="AX2902" s="336">
        <v>3.0</v>
      </c>
      <c r="AY2902" s="61" t="str">
        <f>IFERROR(__xludf.DUMMYFUNCTION("vlookup(BB2902,importrange(""https://docs.google.com/spreadsheets/d/1d2vevQ_7D_v35q4wCQ4RpQ_IPoTwEMB9Yp6ymwlPqew/edit?gid=984458430#gid=984458430"", ""'replication success'!A:K""), 11, FAlSE)"),"#N/A")</f>
        <v>#N/A</v>
      </c>
      <c r="AZ2902" s="61" t="str">
        <f>IFERROR(__xludf.DUMMYFUNCTION("vlookup(BB2902,importrange(""https://docs.google.com/spreadsheets/d/1d2vevQ_7D_v35q4wCQ4RpQ_IPoTwEMB9Yp6ymwlPqew/edit?gid=984458430#gid=984458430"", ""'replication success'!A:M""), 12, FAlSE)"),"#N/A")</f>
        <v>#N/A</v>
      </c>
      <c r="BA2902" s="61" t="str">
        <f>IFERROR(__xludf.DUMMYFUNCTION("vlookup(BB2902,importrange(""https://docs.google.com/spreadsheets/d/1d2vevQ_7D_v35q4wCQ4RpQ_IPoTwEMB9Yp6ymwlPqew/edit?gid=984458430#gid=984458430"", ""'replication success'!A:M""), 13, FAlSE)"),"#N/A")</f>
        <v>#N/A</v>
      </c>
      <c r="BB2902" s="61" t="str">
        <f>IFERROR(__xludf.DUMMYFUNCTION("REGEXREPLACE(G2902, ""_[a-z]{1,2}$"", """")"),"av_38")</f>
        <v>av_38</v>
      </c>
    </row>
    <row r="2903">
      <c r="A2903" s="44">
        <v>3223.0</v>
      </c>
      <c r="B2903" s="129" t="s">
        <v>523</v>
      </c>
      <c r="C2903" s="62" t="s">
        <v>115</v>
      </c>
      <c r="D2903" s="62" t="s">
        <v>17156</v>
      </c>
      <c r="F2903" s="159" t="s">
        <v>17236</v>
      </c>
      <c r="G2903" s="159" t="s">
        <v>17237</v>
      </c>
      <c r="H2903" s="159" t="s">
        <v>17159</v>
      </c>
      <c r="I2903" s="152">
        <v>45824.0</v>
      </c>
      <c r="J2903" s="862"/>
      <c r="K2903" s="159" t="s">
        <v>17238</v>
      </c>
      <c r="L2903" s="68"/>
      <c r="M2903" s="159" t="s">
        <v>17239</v>
      </c>
      <c r="N2903" s="159" t="s">
        <v>17240</v>
      </c>
      <c r="O2903" s="68"/>
      <c r="P2903" s="382" t="s">
        <v>17241</v>
      </c>
      <c r="Q2903" s="2363" t="s">
        <v>7284</v>
      </c>
      <c r="R2903" s="159" t="s">
        <v>17242</v>
      </c>
      <c r="S2903" s="159" t="s">
        <v>17243</v>
      </c>
      <c r="T2903" s="68"/>
      <c r="U2903" s="156">
        <v>1.0</v>
      </c>
      <c r="V2903" s="382" t="s">
        <v>17244</v>
      </c>
      <c r="W2903" s="1228"/>
      <c r="X2903" s="2364" t="s">
        <v>7284</v>
      </c>
      <c r="Y2903" s="68"/>
      <c r="Z2903" s="159" t="s">
        <v>226</v>
      </c>
      <c r="AA2903" s="159" t="s">
        <v>17245</v>
      </c>
      <c r="AB2903" s="159" t="s">
        <v>17246</v>
      </c>
      <c r="AC2903" s="159" t="s">
        <v>17247</v>
      </c>
      <c r="AD2903" s="159" t="s">
        <v>17248</v>
      </c>
      <c r="AE2903" s="156">
        <v>3.0</v>
      </c>
      <c r="AF2903" s="156">
        <v>111.0</v>
      </c>
      <c r="AG2903" s="156">
        <v>-0.34</v>
      </c>
      <c r="AH2903" s="159" t="s">
        <v>17226</v>
      </c>
      <c r="AI2903" s="159" t="s">
        <v>850</v>
      </c>
      <c r="AJ2903" s="156">
        <v>0.01</v>
      </c>
      <c r="AK2903" s="2083" t="s">
        <v>17176</v>
      </c>
      <c r="AL2903" s="159" t="s">
        <v>138</v>
      </c>
      <c r="AM2903" s="68" t="s">
        <v>141</v>
      </c>
      <c r="AN2903" s="159" t="s">
        <v>138</v>
      </c>
      <c r="AO2903" s="156">
        <v>356.0</v>
      </c>
      <c r="AP2903" s="156">
        <v>0.09</v>
      </c>
      <c r="AQ2903" s="159" t="s">
        <v>361</v>
      </c>
      <c r="AR2903" s="159" t="s">
        <v>850</v>
      </c>
      <c r="AS2903" s="156">
        <v>0.1</v>
      </c>
      <c r="AT2903" s="2083" t="s">
        <v>17172</v>
      </c>
      <c r="AU2903" s="159" t="s">
        <v>138</v>
      </c>
      <c r="AV2903" s="68" t="s">
        <v>141</v>
      </c>
      <c r="AW2903" s="68" t="s">
        <v>138</v>
      </c>
      <c r="AX2903" s="336">
        <v>2.0</v>
      </c>
      <c r="AY2903" s="61" t="str">
        <f>IFERROR(__xludf.DUMMYFUNCTION("vlookup(BB2903,importrange(""https://docs.google.com/spreadsheets/d/1d2vevQ_7D_v35q4wCQ4RpQ_IPoTwEMB9Yp6ymwlPqew/edit?gid=984458430#gid=984458430"", ""'replication success'!A:K""), 11, FAlSE)"),"#N/A")</f>
        <v>#N/A</v>
      </c>
      <c r="AZ2903" s="61" t="str">
        <f>IFERROR(__xludf.DUMMYFUNCTION("vlookup(BB2903,importrange(""https://docs.google.com/spreadsheets/d/1d2vevQ_7D_v35q4wCQ4RpQ_IPoTwEMB9Yp6ymwlPqew/edit?gid=984458430#gid=984458430"", ""'replication success'!A:M""), 12, FAlSE)"),"#N/A")</f>
        <v>#N/A</v>
      </c>
      <c r="BA2903" s="61" t="str">
        <f>IFERROR(__xludf.DUMMYFUNCTION("vlookup(BB2903,importrange(""https://docs.google.com/spreadsheets/d/1d2vevQ_7D_v35q4wCQ4RpQ_IPoTwEMB9Yp6ymwlPqew/edit?gid=984458430#gid=984458430"", ""'replication success'!A:M""), 13, FAlSE)"),"#N/A")</f>
        <v>#N/A</v>
      </c>
      <c r="BB2903" s="61" t="str">
        <f>IFERROR(__xludf.DUMMYFUNCTION("REGEXREPLACE(G2903, ""_[a-z]{1,2}$"", """")"),"av_39")</f>
        <v>av_39</v>
      </c>
      <c r="BF2903" s="911"/>
      <c r="BG2903" s="911"/>
      <c r="BH2903" s="911"/>
      <c r="BI2903" s="911"/>
      <c r="BJ2903" s="911"/>
      <c r="BK2903" s="911"/>
      <c r="BL2903" s="911"/>
      <c r="BM2903" s="911"/>
      <c r="BN2903" s="911"/>
      <c r="BO2903" s="911"/>
      <c r="BP2903" s="911"/>
      <c r="BQ2903" s="911"/>
      <c r="BR2903" s="911"/>
      <c r="BS2903" s="911"/>
      <c r="BT2903" s="911"/>
      <c r="BU2903" s="911"/>
      <c r="BV2903" s="911"/>
      <c r="BW2903" s="911"/>
      <c r="BX2903" s="911"/>
      <c r="BY2903" s="911"/>
      <c r="BZ2903" s="911"/>
      <c r="CA2903" s="911"/>
      <c r="CB2903" s="911"/>
      <c r="CC2903" s="911"/>
      <c r="CD2903" s="911"/>
      <c r="CE2903" s="911"/>
      <c r="CF2903" s="911"/>
      <c r="CG2903" s="911"/>
      <c r="CH2903" s="911"/>
      <c r="CI2903" s="911"/>
      <c r="CJ2903" s="911"/>
      <c r="CK2903" s="911"/>
      <c r="CL2903" s="911"/>
      <c r="CM2903" s="911"/>
      <c r="CN2903" s="911"/>
      <c r="CO2903" s="911"/>
      <c r="CP2903" s="911"/>
      <c r="CQ2903" s="911"/>
      <c r="CR2903" s="911"/>
      <c r="CS2903" s="911"/>
      <c r="CT2903" s="911"/>
      <c r="CU2903" s="911"/>
      <c r="CV2903" s="911"/>
      <c r="CW2903" s="911"/>
      <c r="CX2903" s="911"/>
      <c r="CY2903" s="911"/>
      <c r="CZ2903" s="911"/>
      <c r="DA2903" s="911"/>
      <c r="DB2903" s="911"/>
      <c r="DC2903" s="911"/>
      <c r="DD2903" s="911"/>
      <c r="DE2903" s="911"/>
      <c r="DF2903" s="911"/>
      <c r="DG2903" s="911"/>
      <c r="DH2903" s="911"/>
      <c r="DI2903" s="911"/>
      <c r="DJ2903" s="911"/>
      <c r="DK2903" s="911"/>
      <c r="DL2903" s="911"/>
    </row>
    <row r="2904">
      <c r="A2904" s="44">
        <v>3224.0</v>
      </c>
      <c r="B2904" s="129" t="s">
        <v>523</v>
      </c>
      <c r="C2904" s="62" t="s">
        <v>115</v>
      </c>
      <c r="D2904" s="62" t="s">
        <v>17156</v>
      </c>
      <c r="F2904" s="159" t="s">
        <v>17236</v>
      </c>
      <c r="G2904" s="159" t="s">
        <v>17249</v>
      </c>
      <c r="H2904" s="159" t="s">
        <v>17159</v>
      </c>
      <c r="I2904" s="152">
        <v>45824.0</v>
      </c>
      <c r="J2904" s="862"/>
      <c r="K2904" s="159" t="s">
        <v>17250</v>
      </c>
      <c r="L2904" s="68"/>
      <c r="M2904" s="159" t="s">
        <v>17239</v>
      </c>
      <c r="N2904" s="159" t="s">
        <v>17240</v>
      </c>
      <c r="O2904" s="68"/>
      <c r="P2904" s="382" t="s">
        <v>17241</v>
      </c>
      <c r="Q2904" s="2363" t="s">
        <v>7284</v>
      </c>
      <c r="R2904" s="159" t="s">
        <v>17242</v>
      </c>
      <c r="S2904" s="159" t="s">
        <v>17243</v>
      </c>
      <c r="T2904" s="68"/>
      <c r="U2904" s="156">
        <v>2.0</v>
      </c>
      <c r="V2904" s="573"/>
      <c r="W2904" s="1228"/>
      <c r="X2904" s="2364" t="s">
        <v>7284</v>
      </c>
      <c r="Y2904" s="68"/>
      <c r="Z2904" s="159" t="s">
        <v>226</v>
      </c>
      <c r="AA2904" s="159" t="s">
        <v>17245</v>
      </c>
      <c r="AB2904" s="159" t="s">
        <v>17246</v>
      </c>
      <c r="AC2904" s="159" t="s">
        <v>17247</v>
      </c>
      <c r="AD2904" s="159" t="s">
        <v>17248</v>
      </c>
      <c r="AE2904" s="156">
        <v>3.0</v>
      </c>
      <c r="AF2904" s="156">
        <v>111.0</v>
      </c>
      <c r="AG2904" s="156">
        <v>-0.34</v>
      </c>
      <c r="AH2904" s="159" t="s">
        <v>17226</v>
      </c>
      <c r="AI2904" s="159" t="s">
        <v>850</v>
      </c>
      <c r="AJ2904" s="156">
        <v>0.01</v>
      </c>
      <c r="AK2904" s="2083" t="s">
        <v>17176</v>
      </c>
      <c r="AL2904" s="159" t="s">
        <v>138</v>
      </c>
      <c r="AM2904" s="68" t="s">
        <v>141</v>
      </c>
      <c r="AN2904" s="159" t="s">
        <v>138</v>
      </c>
      <c r="AO2904" s="156">
        <v>225.0</v>
      </c>
      <c r="AP2904" s="156">
        <v>0.05</v>
      </c>
      <c r="AQ2904" s="159" t="s">
        <v>361</v>
      </c>
      <c r="AR2904" s="159" t="s">
        <v>140</v>
      </c>
      <c r="AS2904" s="156">
        <v>0.48</v>
      </c>
      <c r="AT2904" s="2083" t="s">
        <v>17172</v>
      </c>
      <c r="AU2904" s="159" t="s">
        <v>138</v>
      </c>
      <c r="AV2904" s="68" t="s">
        <v>141</v>
      </c>
      <c r="AW2904" s="68" t="s">
        <v>138</v>
      </c>
      <c r="AX2904" s="336">
        <v>2.0</v>
      </c>
      <c r="AY2904" s="61" t="str">
        <f>IFERROR(__xludf.DUMMYFUNCTION("vlookup(BB2904,importrange(""https://docs.google.com/spreadsheets/d/1d2vevQ_7D_v35q4wCQ4RpQ_IPoTwEMB9Yp6ymwlPqew/edit?gid=984458430#gid=984458430"", ""'replication success'!A:K""), 11, FAlSE)"),"#N/A")</f>
        <v>#N/A</v>
      </c>
      <c r="AZ2904" s="61" t="str">
        <f>IFERROR(__xludf.DUMMYFUNCTION("vlookup(BB2904,importrange(""https://docs.google.com/spreadsheets/d/1d2vevQ_7D_v35q4wCQ4RpQ_IPoTwEMB9Yp6ymwlPqew/edit?gid=984458430#gid=984458430"", ""'replication success'!A:M""), 12, FAlSE)"),"#N/A")</f>
        <v>#N/A</v>
      </c>
      <c r="BA2904" s="61" t="str">
        <f>IFERROR(__xludf.DUMMYFUNCTION("vlookup(BB2904,importrange(""https://docs.google.com/spreadsheets/d/1d2vevQ_7D_v35q4wCQ4RpQ_IPoTwEMB9Yp6ymwlPqew/edit?gid=984458430#gid=984458430"", ""'replication success'!A:M""), 13, FAlSE)"),"#N/A")</f>
        <v>#N/A</v>
      </c>
      <c r="BB2904" s="61" t="str">
        <f>IFERROR(__xludf.DUMMYFUNCTION("REGEXREPLACE(G2904, ""_[a-z]{1,2}$"", """")"),"av_39")</f>
        <v>av_39</v>
      </c>
      <c r="BF2904" s="911"/>
      <c r="BG2904" s="911"/>
      <c r="BH2904" s="911"/>
      <c r="BI2904" s="911"/>
      <c r="BJ2904" s="911"/>
      <c r="BK2904" s="911"/>
      <c r="BL2904" s="911"/>
      <c r="BM2904" s="911"/>
      <c r="BN2904" s="911"/>
      <c r="BO2904" s="911"/>
      <c r="BP2904" s="911"/>
      <c r="BQ2904" s="911"/>
      <c r="BR2904" s="911"/>
      <c r="BS2904" s="911"/>
      <c r="BT2904" s="911"/>
      <c r="BU2904" s="911"/>
      <c r="BV2904" s="911"/>
      <c r="BW2904" s="911"/>
      <c r="BX2904" s="911"/>
      <c r="BY2904" s="911"/>
      <c r="BZ2904" s="911"/>
      <c r="CA2904" s="911"/>
      <c r="CB2904" s="911"/>
      <c r="CC2904" s="911"/>
      <c r="CD2904" s="911"/>
      <c r="CE2904" s="911"/>
      <c r="CF2904" s="911"/>
      <c r="CG2904" s="911"/>
      <c r="CH2904" s="911"/>
      <c r="CI2904" s="911"/>
      <c r="CJ2904" s="911"/>
      <c r="CK2904" s="911"/>
      <c r="CL2904" s="911"/>
      <c r="CM2904" s="911"/>
      <c r="CN2904" s="911"/>
      <c r="CO2904" s="911"/>
      <c r="CP2904" s="911"/>
      <c r="CQ2904" s="911"/>
      <c r="CR2904" s="911"/>
      <c r="CS2904" s="911"/>
      <c r="CT2904" s="911"/>
      <c r="CU2904" s="911"/>
      <c r="CV2904" s="911"/>
      <c r="CW2904" s="911"/>
      <c r="CX2904" s="911"/>
      <c r="CY2904" s="911"/>
      <c r="CZ2904" s="911"/>
      <c r="DA2904" s="911"/>
      <c r="DB2904" s="911"/>
      <c r="DC2904" s="911"/>
      <c r="DD2904" s="911"/>
      <c r="DE2904" s="911"/>
      <c r="DF2904" s="911"/>
      <c r="DG2904" s="911"/>
      <c r="DH2904" s="911"/>
      <c r="DI2904" s="911"/>
      <c r="DJ2904" s="911"/>
      <c r="DK2904" s="911"/>
      <c r="DL2904" s="911"/>
    </row>
    <row r="2905">
      <c r="A2905" s="44">
        <v>3225.0</v>
      </c>
      <c r="B2905" s="129" t="s">
        <v>523</v>
      </c>
      <c r="C2905" s="62" t="s">
        <v>115</v>
      </c>
      <c r="D2905" s="62" t="s">
        <v>17156</v>
      </c>
      <c r="F2905" s="159" t="s">
        <v>17251</v>
      </c>
      <c r="G2905" s="159" t="s">
        <v>17252</v>
      </c>
      <c r="H2905" s="159" t="s">
        <v>17159</v>
      </c>
      <c r="I2905" s="152">
        <v>45823.0</v>
      </c>
      <c r="J2905" s="862"/>
      <c r="K2905" s="159" t="s">
        <v>17253</v>
      </c>
      <c r="L2905" s="68"/>
      <c r="M2905" s="159" t="s">
        <v>17254</v>
      </c>
      <c r="N2905" s="159" t="s">
        <v>17255</v>
      </c>
      <c r="O2905" s="68"/>
      <c r="P2905" s="382" t="s">
        <v>17256</v>
      </c>
      <c r="Q2905" s="2363" t="s">
        <v>7284</v>
      </c>
      <c r="R2905" s="159" t="s">
        <v>17257</v>
      </c>
      <c r="S2905" s="159" t="s">
        <v>17258</v>
      </c>
      <c r="T2905" s="68"/>
      <c r="U2905" s="156">
        <v>1.0</v>
      </c>
      <c r="V2905" s="382" t="s">
        <v>17259</v>
      </c>
      <c r="W2905" s="1228"/>
      <c r="X2905" s="2364" t="s">
        <v>7284</v>
      </c>
      <c r="Y2905" s="68"/>
      <c r="Z2905" s="159" t="s">
        <v>148</v>
      </c>
      <c r="AA2905" s="159" t="s">
        <v>17260</v>
      </c>
      <c r="AB2905" s="159" t="s">
        <v>17261</v>
      </c>
      <c r="AC2905" s="159" t="s">
        <v>17262</v>
      </c>
      <c r="AD2905" s="159" t="s">
        <v>17263</v>
      </c>
      <c r="AE2905" s="156">
        <v>578.0</v>
      </c>
      <c r="AF2905" s="156">
        <v>26.0</v>
      </c>
      <c r="AG2905" s="156">
        <v>0.001</v>
      </c>
      <c r="AH2905" s="159" t="s">
        <v>139</v>
      </c>
      <c r="AI2905" s="159" t="s">
        <v>17264</v>
      </c>
      <c r="AJ2905" s="156">
        <v>0.907</v>
      </c>
      <c r="AK2905" s="2083" t="s">
        <v>17172</v>
      </c>
      <c r="AL2905" s="156">
        <v>2.0</v>
      </c>
      <c r="AM2905" s="68" t="s">
        <v>137</v>
      </c>
      <c r="AN2905" s="68" t="s">
        <v>138</v>
      </c>
      <c r="AO2905" s="156">
        <v>34.0</v>
      </c>
      <c r="AP2905" s="156">
        <v>0.06</v>
      </c>
      <c r="AQ2905" s="159" t="s">
        <v>139</v>
      </c>
      <c r="AR2905" s="159" t="s">
        <v>9957</v>
      </c>
      <c r="AS2905" s="156">
        <v>0.14</v>
      </c>
      <c r="AT2905" s="2083" t="s">
        <v>17172</v>
      </c>
      <c r="AU2905" s="156">
        <v>2.0</v>
      </c>
      <c r="AV2905" s="68" t="s">
        <v>137</v>
      </c>
      <c r="AW2905" s="68" t="s">
        <v>138</v>
      </c>
      <c r="AX2905" s="336">
        <v>1.0</v>
      </c>
      <c r="AY2905" s="61" t="str">
        <f>IFERROR(__xludf.DUMMYFUNCTION("vlookup(BB2905,importrange(""https://docs.google.com/spreadsheets/d/1d2vevQ_7D_v35q4wCQ4RpQ_IPoTwEMB9Yp6ymwlPqew/edit?gid=984458430#gid=984458430"", ""'replication success'!A:K""), 11, FAlSE)"),"#N/A")</f>
        <v>#N/A</v>
      </c>
      <c r="AZ2905" s="61" t="str">
        <f>IFERROR(__xludf.DUMMYFUNCTION("vlookup(BB2905,importrange(""https://docs.google.com/spreadsheets/d/1d2vevQ_7D_v35q4wCQ4RpQ_IPoTwEMB9Yp6ymwlPqew/edit?gid=984458430#gid=984458430"", ""'replication success'!A:M""), 12, FAlSE)"),"#N/A")</f>
        <v>#N/A</v>
      </c>
      <c r="BA2905" s="61" t="str">
        <f>IFERROR(__xludf.DUMMYFUNCTION("vlookup(BB2905,importrange(""https://docs.google.com/spreadsheets/d/1d2vevQ_7D_v35q4wCQ4RpQ_IPoTwEMB9Yp6ymwlPqew/edit?gid=984458430#gid=984458430"", ""'replication success'!A:M""), 13, FAlSE)"),"#N/A")</f>
        <v>#N/A</v>
      </c>
      <c r="BB2905" s="61" t="str">
        <f>IFERROR(__xludf.DUMMYFUNCTION("REGEXREPLACE(G2905, ""_[a-z]{1,2}$"", """")"),"av_41")</f>
        <v>av_41</v>
      </c>
      <c r="BF2905" s="911"/>
      <c r="BG2905" s="911"/>
      <c r="BH2905" s="911"/>
      <c r="BI2905" s="911"/>
      <c r="BJ2905" s="911"/>
      <c r="BK2905" s="911"/>
      <c r="BL2905" s="911"/>
      <c r="BM2905" s="911"/>
      <c r="BN2905" s="911"/>
      <c r="BO2905" s="911"/>
      <c r="BP2905" s="911"/>
      <c r="BQ2905" s="911"/>
      <c r="BR2905" s="911"/>
      <c r="BS2905" s="911"/>
      <c r="BT2905" s="911"/>
      <c r="BU2905" s="911"/>
      <c r="BV2905" s="911"/>
      <c r="BW2905" s="911"/>
      <c r="BX2905" s="911"/>
      <c r="BY2905" s="911"/>
      <c r="BZ2905" s="911"/>
      <c r="CA2905" s="911"/>
      <c r="CB2905" s="911"/>
      <c r="CC2905" s="911"/>
      <c r="CD2905" s="911"/>
      <c r="CE2905" s="911"/>
      <c r="CF2905" s="911"/>
      <c r="CG2905" s="911"/>
      <c r="CH2905" s="911"/>
      <c r="CI2905" s="911"/>
      <c r="CJ2905" s="911"/>
      <c r="CK2905" s="911"/>
      <c r="CL2905" s="911"/>
      <c r="CM2905" s="911"/>
      <c r="CN2905" s="911"/>
      <c r="CO2905" s="911"/>
      <c r="CP2905" s="911"/>
      <c r="CQ2905" s="911"/>
      <c r="CR2905" s="911"/>
      <c r="CS2905" s="911"/>
      <c r="CT2905" s="911"/>
      <c r="CU2905" s="911"/>
      <c r="CV2905" s="911"/>
      <c r="CW2905" s="911"/>
      <c r="CX2905" s="911"/>
      <c r="CY2905" s="911"/>
      <c r="CZ2905" s="911"/>
      <c r="DA2905" s="911"/>
      <c r="DB2905" s="911"/>
      <c r="DC2905" s="911"/>
      <c r="DD2905" s="911"/>
      <c r="DE2905" s="911"/>
      <c r="DF2905" s="911"/>
      <c r="DG2905" s="911"/>
      <c r="DH2905" s="911"/>
      <c r="DI2905" s="911"/>
      <c r="DJ2905" s="911"/>
      <c r="DK2905" s="911"/>
      <c r="DL2905" s="911"/>
    </row>
    <row r="2906">
      <c r="A2906" s="44">
        <v>3226.0</v>
      </c>
      <c r="B2906" s="129" t="s">
        <v>523</v>
      </c>
      <c r="C2906" s="62" t="s">
        <v>115</v>
      </c>
      <c r="D2906" s="62" t="s">
        <v>17156</v>
      </c>
      <c r="F2906" s="159" t="s">
        <v>17251</v>
      </c>
      <c r="G2906" s="159" t="s">
        <v>17265</v>
      </c>
      <c r="H2906" s="159" t="s">
        <v>17159</v>
      </c>
      <c r="I2906" s="152">
        <v>45823.0</v>
      </c>
      <c r="J2906" s="862"/>
      <c r="K2906" s="159" t="s">
        <v>17253</v>
      </c>
      <c r="L2906" s="68"/>
      <c r="M2906" s="159" t="s">
        <v>17254</v>
      </c>
      <c r="N2906" s="159" t="s">
        <v>17255</v>
      </c>
      <c r="O2906" s="68"/>
      <c r="P2906" s="382" t="s">
        <v>17256</v>
      </c>
      <c r="Q2906" s="2363" t="s">
        <v>7284</v>
      </c>
      <c r="R2906" s="159" t="s">
        <v>17257</v>
      </c>
      <c r="S2906" s="159" t="s">
        <v>17258</v>
      </c>
      <c r="T2906" s="68"/>
      <c r="U2906" s="156">
        <v>1.0</v>
      </c>
      <c r="V2906" s="573"/>
      <c r="W2906" s="1228"/>
      <c r="X2906" s="2364" t="s">
        <v>7284</v>
      </c>
      <c r="Y2906" s="68"/>
      <c r="Z2906" s="159" t="s">
        <v>148</v>
      </c>
      <c r="AA2906" s="159" t="s">
        <v>17260</v>
      </c>
      <c r="AB2906" s="159" t="s">
        <v>17261</v>
      </c>
      <c r="AC2906" s="159" t="s">
        <v>17262</v>
      </c>
      <c r="AD2906" s="159" t="s">
        <v>17263</v>
      </c>
      <c r="AE2906" s="156">
        <v>578.0</v>
      </c>
      <c r="AF2906" s="156">
        <v>26.0</v>
      </c>
      <c r="AG2906" s="156">
        <v>0.001</v>
      </c>
      <c r="AH2906" s="159" t="s">
        <v>139</v>
      </c>
      <c r="AI2906" s="159" t="s">
        <v>17264</v>
      </c>
      <c r="AJ2906" s="156">
        <v>0.907</v>
      </c>
      <c r="AK2906" s="2083" t="s">
        <v>17172</v>
      </c>
      <c r="AL2906" s="156">
        <v>2.0</v>
      </c>
      <c r="AM2906" s="68" t="s">
        <v>137</v>
      </c>
      <c r="AN2906" s="68" t="s">
        <v>138</v>
      </c>
      <c r="AO2906" s="156">
        <v>26.0</v>
      </c>
      <c r="AP2906" s="156">
        <v>0.05</v>
      </c>
      <c r="AQ2906" s="159" t="s">
        <v>139</v>
      </c>
      <c r="AR2906" s="159" t="s">
        <v>9957</v>
      </c>
      <c r="AS2906" s="156">
        <v>0.26</v>
      </c>
      <c r="AT2906" s="2083" t="s">
        <v>17172</v>
      </c>
      <c r="AU2906" s="156">
        <v>2.0</v>
      </c>
      <c r="AV2906" s="68" t="s">
        <v>137</v>
      </c>
      <c r="AW2906" s="68" t="s">
        <v>138</v>
      </c>
      <c r="AX2906" s="336">
        <v>1.0</v>
      </c>
      <c r="AY2906" s="61" t="str">
        <f>IFERROR(__xludf.DUMMYFUNCTION("vlookup(BB2906,importrange(""https://docs.google.com/spreadsheets/d/1d2vevQ_7D_v35q4wCQ4RpQ_IPoTwEMB9Yp6ymwlPqew/edit?gid=984458430#gid=984458430"", ""'replication success'!A:K""), 11, FAlSE)"),"#N/A")</f>
        <v>#N/A</v>
      </c>
      <c r="AZ2906" s="61" t="str">
        <f>IFERROR(__xludf.DUMMYFUNCTION("vlookup(BB2906,importrange(""https://docs.google.com/spreadsheets/d/1d2vevQ_7D_v35q4wCQ4RpQ_IPoTwEMB9Yp6ymwlPqew/edit?gid=984458430#gid=984458430"", ""'replication success'!A:M""), 12, FAlSE)"),"#N/A")</f>
        <v>#N/A</v>
      </c>
      <c r="BA2906" s="61" t="str">
        <f>IFERROR(__xludf.DUMMYFUNCTION("vlookup(BB2906,importrange(""https://docs.google.com/spreadsheets/d/1d2vevQ_7D_v35q4wCQ4RpQ_IPoTwEMB9Yp6ymwlPqew/edit?gid=984458430#gid=984458430"", ""'replication success'!A:M""), 13, FAlSE)"),"#N/A")</f>
        <v>#N/A</v>
      </c>
      <c r="BB2906" s="61" t="str">
        <f>IFERROR(__xludf.DUMMYFUNCTION("REGEXREPLACE(G2906, ""_[a-z]{1,2}$"", """")"),"av_41")</f>
        <v>av_41</v>
      </c>
    </row>
    <row r="2907">
      <c r="A2907" s="44">
        <v>3227.0</v>
      </c>
      <c r="B2907" s="129" t="s">
        <v>523</v>
      </c>
      <c r="C2907" s="62" t="s">
        <v>115</v>
      </c>
      <c r="D2907" s="62" t="s">
        <v>17156</v>
      </c>
      <c r="F2907" s="159" t="s">
        <v>17251</v>
      </c>
      <c r="G2907" s="159" t="s">
        <v>17266</v>
      </c>
      <c r="H2907" s="159" t="s">
        <v>17159</v>
      </c>
      <c r="I2907" s="152">
        <v>45823.0</v>
      </c>
      <c r="J2907" s="862"/>
      <c r="K2907" s="159" t="s">
        <v>17267</v>
      </c>
      <c r="L2907" s="68"/>
      <c r="M2907" s="159" t="s">
        <v>17254</v>
      </c>
      <c r="N2907" s="159" t="s">
        <v>17255</v>
      </c>
      <c r="O2907" s="68"/>
      <c r="P2907" s="382" t="s">
        <v>17256</v>
      </c>
      <c r="Q2907" s="2363" t="s">
        <v>7284</v>
      </c>
      <c r="R2907" s="159" t="s">
        <v>17257</v>
      </c>
      <c r="S2907" s="159" t="s">
        <v>17258</v>
      </c>
      <c r="T2907" s="68"/>
      <c r="U2907" s="156">
        <v>1.0</v>
      </c>
      <c r="V2907" s="573"/>
      <c r="W2907" s="1228"/>
      <c r="X2907" s="2364" t="s">
        <v>7284</v>
      </c>
      <c r="Y2907" s="68"/>
      <c r="Z2907" s="159" t="s">
        <v>148</v>
      </c>
      <c r="AA2907" s="159" t="s">
        <v>17260</v>
      </c>
      <c r="AB2907" s="159" t="s">
        <v>17261</v>
      </c>
      <c r="AC2907" s="159" t="s">
        <v>17262</v>
      </c>
      <c r="AD2907" s="159" t="s">
        <v>17263</v>
      </c>
      <c r="AE2907" s="156">
        <v>578.0</v>
      </c>
      <c r="AF2907" s="156">
        <v>26.0</v>
      </c>
      <c r="AG2907" s="156">
        <v>0.001</v>
      </c>
      <c r="AH2907" s="159" t="s">
        <v>139</v>
      </c>
      <c r="AI2907" s="159" t="s">
        <v>17264</v>
      </c>
      <c r="AJ2907" s="156">
        <v>0.907</v>
      </c>
      <c r="AK2907" s="2083" t="s">
        <v>17172</v>
      </c>
      <c r="AL2907" s="156">
        <v>2.0</v>
      </c>
      <c r="AM2907" s="68" t="s">
        <v>137</v>
      </c>
      <c r="AN2907" s="68" t="s">
        <v>138</v>
      </c>
      <c r="AO2907" s="156">
        <v>25.0</v>
      </c>
      <c r="AP2907" s="156">
        <v>0.15</v>
      </c>
      <c r="AQ2907" s="159" t="s">
        <v>139</v>
      </c>
      <c r="AR2907" s="159" t="s">
        <v>9957</v>
      </c>
      <c r="AS2907" s="156">
        <v>0.05</v>
      </c>
      <c r="AT2907" s="2083" t="s">
        <v>17172</v>
      </c>
      <c r="AU2907" s="156">
        <v>2.0</v>
      </c>
      <c r="AV2907" s="68" t="s">
        <v>137</v>
      </c>
      <c r="AW2907" s="68" t="s">
        <v>138</v>
      </c>
      <c r="AX2907" s="336">
        <v>1.0</v>
      </c>
      <c r="AY2907" s="61" t="str">
        <f>IFERROR(__xludf.DUMMYFUNCTION("vlookup(BB2907,importrange(""https://docs.google.com/spreadsheets/d/1d2vevQ_7D_v35q4wCQ4RpQ_IPoTwEMB9Yp6ymwlPqew/edit?gid=984458430#gid=984458430"", ""'replication success'!A:K""), 11, FAlSE)"),"#N/A")</f>
        <v>#N/A</v>
      </c>
      <c r="AZ2907" s="61" t="str">
        <f>IFERROR(__xludf.DUMMYFUNCTION("vlookup(BB2907,importrange(""https://docs.google.com/spreadsheets/d/1d2vevQ_7D_v35q4wCQ4RpQ_IPoTwEMB9Yp6ymwlPqew/edit?gid=984458430#gid=984458430"", ""'replication success'!A:M""), 12, FAlSE)"),"#N/A")</f>
        <v>#N/A</v>
      </c>
      <c r="BA2907" s="61" t="str">
        <f>IFERROR(__xludf.DUMMYFUNCTION("vlookup(BB2907,importrange(""https://docs.google.com/spreadsheets/d/1d2vevQ_7D_v35q4wCQ4RpQ_IPoTwEMB9Yp6ymwlPqew/edit?gid=984458430#gid=984458430"", ""'replication success'!A:M""), 13, FAlSE)"),"#N/A")</f>
        <v>#N/A</v>
      </c>
      <c r="BB2907" s="61" t="str">
        <f>IFERROR(__xludf.DUMMYFUNCTION("REGEXREPLACE(G2907, ""_[a-z]{1,2}$"", """")"),"av_41")</f>
        <v>av_41</v>
      </c>
    </row>
    <row r="2908">
      <c r="A2908" s="44">
        <v>3228.0</v>
      </c>
      <c r="B2908" s="129" t="s">
        <v>523</v>
      </c>
      <c r="C2908" s="62" t="s">
        <v>115</v>
      </c>
      <c r="D2908" s="62" t="s">
        <v>17156</v>
      </c>
      <c r="F2908" s="159" t="s">
        <v>17251</v>
      </c>
      <c r="G2908" s="159" t="s">
        <v>17268</v>
      </c>
      <c r="H2908" s="159" t="s">
        <v>17159</v>
      </c>
      <c r="I2908" s="152">
        <v>45823.0</v>
      </c>
      <c r="J2908" s="862"/>
      <c r="K2908" s="159" t="s">
        <v>17269</v>
      </c>
      <c r="L2908" s="68"/>
      <c r="M2908" s="159" t="s">
        <v>17254</v>
      </c>
      <c r="N2908" s="159" t="s">
        <v>17255</v>
      </c>
      <c r="O2908" s="68"/>
      <c r="P2908" s="382" t="s">
        <v>17256</v>
      </c>
      <c r="Q2908" s="2363" t="s">
        <v>7284</v>
      </c>
      <c r="R2908" s="159" t="s">
        <v>17257</v>
      </c>
      <c r="S2908" s="159" t="s">
        <v>17258</v>
      </c>
      <c r="T2908" s="68"/>
      <c r="U2908" s="156">
        <v>1.0</v>
      </c>
      <c r="V2908" s="573"/>
      <c r="W2908" s="1228"/>
      <c r="X2908" s="2364" t="s">
        <v>7284</v>
      </c>
      <c r="Y2908" s="68"/>
      <c r="Z2908" s="159" t="s">
        <v>148</v>
      </c>
      <c r="AA2908" s="159" t="s">
        <v>17260</v>
      </c>
      <c r="AB2908" s="159" t="s">
        <v>17261</v>
      </c>
      <c r="AC2908" s="159" t="s">
        <v>17262</v>
      </c>
      <c r="AD2908" s="159" t="s">
        <v>17263</v>
      </c>
      <c r="AE2908" s="156">
        <v>578.0</v>
      </c>
      <c r="AF2908" s="156">
        <v>26.0</v>
      </c>
      <c r="AG2908" s="156">
        <v>0.001</v>
      </c>
      <c r="AH2908" s="159" t="s">
        <v>139</v>
      </c>
      <c r="AI2908" s="159" t="s">
        <v>17264</v>
      </c>
      <c r="AJ2908" s="156">
        <v>0.907</v>
      </c>
      <c r="AK2908" s="2083" t="s">
        <v>17172</v>
      </c>
      <c r="AL2908" s="156">
        <v>2.0</v>
      </c>
      <c r="AM2908" s="68" t="s">
        <v>137</v>
      </c>
      <c r="AN2908" s="68" t="s">
        <v>138</v>
      </c>
      <c r="AO2908" s="156">
        <v>85.0</v>
      </c>
      <c r="AP2908" s="156">
        <v>0.01</v>
      </c>
      <c r="AQ2908" s="159" t="s">
        <v>139</v>
      </c>
      <c r="AR2908" s="159" t="s">
        <v>9957</v>
      </c>
      <c r="AS2908" s="156">
        <v>0.43</v>
      </c>
      <c r="AT2908" s="2083" t="s">
        <v>17172</v>
      </c>
      <c r="AU2908" s="156">
        <v>2.0</v>
      </c>
      <c r="AV2908" s="68" t="s">
        <v>137</v>
      </c>
      <c r="AW2908" s="68" t="s">
        <v>138</v>
      </c>
      <c r="AX2908" s="336">
        <v>1.0</v>
      </c>
      <c r="AY2908" s="61" t="str">
        <f>IFERROR(__xludf.DUMMYFUNCTION("vlookup(BB2908,importrange(""https://docs.google.com/spreadsheets/d/1d2vevQ_7D_v35q4wCQ4RpQ_IPoTwEMB9Yp6ymwlPqew/edit?gid=984458430#gid=984458430"", ""'replication success'!A:K""), 11, FAlSE)"),"#N/A")</f>
        <v>#N/A</v>
      </c>
      <c r="AZ2908" s="61" t="str">
        <f>IFERROR(__xludf.DUMMYFUNCTION("vlookup(BB2908,importrange(""https://docs.google.com/spreadsheets/d/1d2vevQ_7D_v35q4wCQ4RpQ_IPoTwEMB9Yp6ymwlPqew/edit?gid=984458430#gid=984458430"", ""'replication success'!A:M""), 12, FAlSE)"),"#N/A")</f>
        <v>#N/A</v>
      </c>
      <c r="BA2908" s="61" t="str">
        <f>IFERROR(__xludf.DUMMYFUNCTION("vlookup(BB2908,importrange(""https://docs.google.com/spreadsheets/d/1d2vevQ_7D_v35q4wCQ4RpQ_IPoTwEMB9Yp6ymwlPqew/edit?gid=984458430#gid=984458430"", ""'replication success'!A:M""), 13, FAlSE)"),"#N/A")</f>
        <v>#N/A</v>
      </c>
      <c r="BB2908" s="61" t="str">
        <f>IFERROR(__xludf.DUMMYFUNCTION("REGEXREPLACE(G2908, ""_[a-z]{1,2}$"", """")"),"av_41")</f>
        <v>av_41</v>
      </c>
    </row>
    <row r="2909">
      <c r="A2909" s="44">
        <v>3229.0</v>
      </c>
      <c r="B2909" s="129" t="s">
        <v>523</v>
      </c>
      <c r="C2909" s="62" t="s">
        <v>115</v>
      </c>
      <c r="D2909" s="62" t="s">
        <v>17156</v>
      </c>
      <c r="F2909" s="68" t="s">
        <v>17270</v>
      </c>
      <c r="G2909" s="159" t="s">
        <v>17271</v>
      </c>
      <c r="H2909" s="159" t="s">
        <v>17159</v>
      </c>
      <c r="I2909" s="152">
        <v>45823.0</v>
      </c>
      <c r="J2909" s="862"/>
      <c r="K2909" s="159" t="s">
        <v>17272</v>
      </c>
      <c r="L2909" s="68"/>
      <c r="M2909" s="159" t="s">
        <v>17273</v>
      </c>
      <c r="N2909" s="159" t="s">
        <v>17274</v>
      </c>
      <c r="O2909" s="68"/>
      <c r="P2909" s="382" t="s">
        <v>17275</v>
      </c>
      <c r="Q2909" s="2363" t="s">
        <v>7284</v>
      </c>
      <c r="R2909" s="159" t="s">
        <v>17276</v>
      </c>
      <c r="S2909" s="159" t="s">
        <v>17277</v>
      </c>
      <c r="T2909" s="68"/>
      <c r="U2909" s="156">
        <v>1.0</v>
      </c>
      <c r="V2909" s="382" t="s">
        <v>17278</v>
      </c>
      <c r="W2909" s="1228"/>
      <c r="X2909" s="2364" t="s">
        <v>7284</v>
      </c>
      <c r="Y2909" s="68"/>
      <c r="Z2909" s="159" t="s">
        <v>226</v>
      </c>
      <c r="AA2909" s="159" t="s">
        <v>17279</v>
      </c>
      <c r="AB2909" s="159" t="s">
        <v>17280</v>
      </c>
      <c r="AC2909" s="159" t="s">
        <v>17281</v>
      </c>
      <c r="AD2909" s="159" t="s">
        <v>17282</v>
      </c>
      <c r="AE2909" s="156">
        <v>1206.0</v>
      </c>
      <c r="AF2909" s="156">
        <v>58.0</v>
      </c>
      <c r="AG2909" s="156">
        <v>0.37</v>
      </c>
      <c r="AH2909" s="159" t="s">
        <v>215</v>
      </c>
      <c r="AI2909" s="159" t="s">
        <v>17283</v>
      </c>
      <c r="AJ2909" s="156">
        <v>0.01</v>
      </c>
      <c r="AK2909" s="2083" t="s">
        <v>17176</v>
      </c>
      <c r="AL2909" s="159" t="s">
        <v>138</v>
      </c>
      <c r="AM2909" s="68" t="s">
        <v>141</v>
      </c>
      <c r="AN2909" s="159" t="s">
        <v>138</v>
      </c>
      <c r="AO2909" s="156">
        <v>116.0</v>
      </c>
      <c r="AP2909" s="156">
        <v>0.001</v>
      </c>
      <c r="AQ2909" s="159" t="s">
        <v>139</v>
      </c>
      <c r="AR2909" s="159" t="s">
        <v>17284</v>
      </c>
      <c r="AS2909" s="156">
        <v>0.746</v>
      </c>
      <c r="AT2909" s="2083" t="s">
        <v>17172</v>
      </c>
      <c r="AU2909" s="159" t="s">
        <v>138</v>
      </c>
      <c r="AV2909" s="68" t="s">
        <v>141</v>
      </c>
      <c r="AW2909" s="435" t="s">
        <v>17285</v>
      </c>
      <c r="AX2909" s="336">
        <v>2.0</v>
      </c>
      <c r="AY2909" s="61" t="str">
        <f>IFERROR(__xludf.DUMMYFUNCTION("vlookup(BB2909,importrange(""https://docs.google.com/spreadsheets/d/1d2vevQ_7D_v35q4wCQ4RpQ_IPoTwEMB9Yp6ymwlPqew/edit?gid=984458430#gid=984458430"", ""'replication success'!A:K""), 11, FAlSE)"),"#N/A")</f>
        <v>#N/A</v>
      </c>
      <c r="AZ2909" s="61" t="str">
        <f>IFERROR(__xludf.DUMMYFUNCTION("vlookup(BB2909,importrange(""https://docs.google.com/spreadsheets/d/1d2vevQ_7D_v35q4wCQ4RpQ_IPoTwEMB9Yp6ymwlPqew/edit?gid=984458430#gid=984458430"", ""'replication success'!A:M""), 12, FAlSE)"),"#N/A")</f>
        <v>#N/A</v>
      </c>
      <c r="BA2909" s="61" t="str">
        <f>IFERROR(__xludf.DUMMYFUNCTION("vlookup(BB2909,importrange(""https://docs.google.com/spreadsheets/d/1d2vevQ_7D_v35q4wCQ4RpQ_IPoTwEMB9Yp6ymwlPqew/edit?gid=984458430#gid=984458430"", ""'replication success'!A:M""), 13, FAlSE)"),"#N/A")</f>
        <v>#N/A</v>
      </c>
      <c r="BB2909" s="61" t="str">
        <f>IFERROR(__xludf.DUMMYFUNCTION("REGEXREPLACE(G2909, ""_[a-z]{1,2}$"", """")"),"av_46")</f>
        <v>av_46</v>
      </c>
    </row>
    <row r="2910">
      <c r="A2910" s="44">
        <v>3230.0</v>
      </c>
      <c r="B2910" s="129" t="s">
        <v>523</v>
      </c>
      <c r="C2910" s="62" t="s">
        <v>115</v>
      </c>
      <c r="D2910" s="62" t="s">
        <v>17156</v>
      </c>
      <c r="F2910" s="68" t="s">
        <v>17270</v>
      </c>
      <c r="G2910" s="159" t="s">
        <v>17286</v>
      </c>
      <c r="H2910" s="159" t="s">
        <v>17159</v>
      </c>
      <c r="I2910" s="152">
        <v>45823.0</v>
      </c>
      <c r="J2910" s="862"/>
      <c r="K2910" s="159" t="s">
        <v>17287</v>
      </c>
      <c r="L2910" s="68"/>
      <c r="M2910" s="159" t="s">
        <v>17273</v>
      </c>
      <c r="N2910" s="159" t="s">
        <v>17274</v>
      </c>
      <c r="O2910" s="68"/>
      <c r="P2910" s="382" t="s">
        <v>17275</v>
      </c>
      <c r="Q2910" s="2363" t="s">
        <v>7284</v>
      </c>
      <c r="R2910" s="159" t="s">
        <v>17276</v>
      </c>
      <c r="S2910" s="159" t="s">
        <v>17277</v>
      </c>
      <c r="T2910" s="68"/>
      <c r="U2910" s="156">
        <v>2.0</v>
      </c>
      <c r="V2910" s="573"/>
      <c r="W2910" s="1228"/>
      <c r="X2910" s="2364" t="s">
        <v>7284</v>
      </c>
      <c r="Y2910" s="68"/>
      <c r="Z2910" s="159" t="s">
        <v>226</v>
      </c>
      <c r="AA2910" s="159" t="s">
        <v>17279</v>
      </c>
      <c r="AB2910" s="159" t="s">
        <v>17280</v>
      </c>
      <c r="AC2910" s="159" t="s">
        <v>17281</v>
      </c>
      <c r="AD2910" s="159" t="s">
        <v>17288</v>
      </c>
      <c r="AE2910" s="156">
        <v>1207.0</v>
      </c>
      <c r="AF2910" s="156">
        <v>40.0</v>
      </c>
      <c r="AG2910" s="156">
        <v>0.35</v>
      </c>
      <c r="AH2910" s="159" t="s">
        <v>215</v>
      </c>
      <c r="AI2910" s="159" t="s">
        <v>17289</v>
      </c>
      <c r="AJ2910" s="156">
        <v>0.05</v>
      </c>
      <c r="AK2910" s="2083" t="s">
        <v>17176</v>
      </c>
      <c r="AL2910" s="159" t="s">
        <v>138</v>
      </c>
      <c r="AM2910" s="68" t="s">
        <v>141</v>
      </c>
      <c r="AN2910" s="159" t="s">
        <v>138</v>
      </c>
      <c r="AO2910" s="156">
        <v>105.0</v>
      </c>
      <c r="AP2910" s="156">
        <v>0.09</v>
      </c>
      <c r="AQ2910" s="159" t="s">
        <v>139</v>
      </c>
      <c r="AR2910" s="159" t="s">
        <v>14057</v>
      </c>
      <c r="AS2910" s="156">
        <v>0.002</v>
      </c>
      <c r="AT2910" s="2083" t="s">
        <v>17172</v>
      </c>
      <c r="AU2910" s="159" t="s">
        <v>138</v>
      </c>
      <c r="AV2910" s="68" t="s">
        <v>141</v>
      </c>
      <c r="AW2910" s="435" t="s">
        <v>17285</v>
      </c>
      <c r="AX2910" s="336">
        <v>2.0</v>
      </c>
      <c r="AY2910" s="61" t="str">
        <f>IFERROR(__xludf.DUMMYFUNCTION("vlookup(BB2910,importrange(""https://docs.google.com/spreadsheets/d/1d2vevQ_7D_v35q4wCQ4RpQ_IPoTwEMB9Yp6ymwlPqew/edit?gid=984458430#gid=984458430"", ""'replication success'!A:K""), 11, FAlSE)"),"#N/A")</f>
        <v>#N/A</v>
      </c>
      <c r="AZ2910" s="61" t="str">
        <f>IFERROR(__xludf.DUMMYFUNCTION("vlookup(BB2910,importrange(""https://docs.google.com/spreadsheets/d/1d2vevQ_7D_v35q4wCQ4RpQ_IPoTwEMB9Yp6ymwlPqew/edit?gid=984458430#gid=984458430"", ""'replication success'!A:M""), 12, FAlSE)"),"#N/A")</f>
        <v>#N/A</v>
      </c>
      <c r="BA2910" s="61" t="str">
        <f>IFERROR(__xludf.DUMMYFUNCTION("vlookup(BB2910,importrange(""https://docs.google.com/spreadsheets/d/1d2vevQ_7D_v35q4wCQ4RpQ_IPoTwEMB9Yp6ymwlPqew/edit?gid=984458430#gid=984458430"", ""'replication success'!A:M""), 13, FAlSE)"),"#N/A")</f>
        <v>#N/A</v>
      </c>
      <c r="BB2910" s="61" t="str">
        <f>IFERROR(__xludf.DUMMYFUNCTION("REGEXREPLACE(G2910, ""_[a-z]{1,2}$"", """")"),"av_46")</f>
        <v>av_46</v>
      </c>
    </row>
    <row r="2911">
      <c r="A2911" s="44">
        <v>3231.0</v>
      </c>
      <c r="B2911" s="129" t="s">
        <v>523</v>
      </c>
      <c r="C2911" s="62" t="s">
        <v>115</v>
      </c>
      <c r="D2911" s="62" t="s">
        <v>17156</v>
      </c>
      <c r="F2911" s="68" t="s">
        <v>17270</v>
      </c>
      <c r="G2911" s="159" t="s">
        <v>17290</v>
      </c>
      <c r="H2911" s="159" t="s">
        <v>17159</v>
      </c>
      <c r="I2911" s="152">
        <v>45823.0</v>
      </c>
      <c r="J2911" s="862"/>
      <c r="K2911" s="159" t="s">
        <v>17291</v>
      </c>
      <c r="L2911" s="68"/>
      <c r="M2911" s="159" t="s">
        <v>17273</v>
      </c>
      <c r="N2911" s="159" t="s">
        <v>17274</v>
      </c>
      <c r="O2911" s="68"/>
      <c r="P2911" s="382" t="s">
        <v>17275</v>
      </c>
      <c r="Q2911" s="2363" t="s">
        <v>7284</v>
      </c>
      <c r="R2911" s="159" t="s">
        <v>17276</v>
      </c>
      <c r="S2911" s="159" t="s">
        <v>17277</v>
      </c>
      <c r="T2911" s="68"/>
      <c r="U2911" s="156">
        <v>3.0</v>
      </c>
      <c r="V2911" s="573"/>
      <c r="W2911" s="1228"/>
      <c r="X2911" s="2364" t="s">
        <v>7284</v>
      </c>
      <c r="Y2911" s="68"/>
      <c r="Z2911" s="159" t="s">
        <v>226</v>
      </c>
      <c r="AA2911" s="159" t="s">
        <v>17279</v>
      </c>
      <c r="AB2911" s="159" t="s">
        <v>17280</v>
      </c>
      <c r="AC2911" s="159" t="s">
        <v>17281</v>
      </c>
      <c r="AD2911" s="159" t="s">
        <v>17292</v>
      </c>
      <c r="AE2911" s="156">
        <v>1208.0</v>
      </c>
      <c r="AF2911" s="156">
        <v>47.0</v>
      </c>
      <c r="AG2911" s="156">
        <v>0.38</v>
      </c>
      <c r="AH2911" s="159" t="s">
        <v>215</v>
      </c>
      <c r="AI2911" s="159" t="s">
        <v>17293</v>
      </c>
      <c r="AJ2911" s="156">
        <v>0.01</v>
      </c>
      <c r="AK2911" s="2083" t="s">
        <v>17176</v>
      </c>
      <c r="AL2911" s="159" t="s">
        <v>138</v>
      </c>
      <c r="AM2911" s="68" t="s">
        <v>141</v>
      </c>
      <c r="AN2911" s="159" t="s">
        <v>138</v>
      </c>
      <c r="AO2911" s="156">
        <v>84.0</v>
      </c>
      <c r="AP2911" s="156">
        <v>0.02</v>
      </c>
      <c r="AQ2911" s="159" t="s">
        <v>139</v>
      </c>
      <c r="AR2911" s="159" t="s">
        <v>5229</v>
      </c>
      <c r="AS2911" s="156">
        <v>0.23</v>
      </c>
      <c r="AT2911" s="2083" t="s">
        <v>17172</v>
      </c>
      <c r="AU2911" s="159" t="s">
        <v>138</v>
      </c>
      <c r="AV2911" s="68" t="s">
        <v>141</v>
      </c>
      <c r="AW2911" s="435" t="s">
        <v>17285</v>
      </c>
      <c r="AX2911" s="336">
        <v>2.0</v>
      </c>
      <c r="AY2911" s="61" t="str">
        <f>IFERROR(__xludf.DUMMYFUNCTION("vlookup(BB2911,importrange(""https://docs.google.com/spreadsheets/d/1d2vevQ_7D_v35q4wCQ4RpQ_IPoTwEMB9Yp6ymwlPqew/edit?gid=984458430#gid=984458430"", ""'replication success'!A:K""), 11, FAlSE)"),"#N/A")</f>
        <v>#N/A</v>
      </c>
      <c r="AZ2911" s="61" t="str">
        <f>IFERROR(__xludf.DUMMYFUNCTION("vlookup(BB2911,importrange(""https://docs.google.com/spreadsheets/d/1d2vevQ_7D_v35q4wCQ4RpQ_IPoTwEMB9Yp6ymwlPqew/edit?gid=984458430#gid=984458430"", ""'replication success'!A:M""), 12, FAlSE)"),"#N/A")</f>
        <v>#N/A</v>
      </c>
      <c r="BA2911" s="61" t="str">
        <f>IFERROR(__xludf.DUMMYFUNCTION("vlookup(BB2911,importrange(""https://docs.google.com/spreadsheets/d/1d2vevQ_7D_v35q4wCQ4RpQ_IPoTwEMB9Yp6ymwlPqew/edit?gid=984458430#gid=984458430"", ""'replication success'!A:M""), 13, FAlSE)"),"#N/A")</f>
        <v>#N/A</v>
      </c>
      <c r="BB2911" s="61" t="str">
        <f>IFERROR(__xludf.DUMMYFUNCTION("REGEXREPLACE(G2911, ""_[a-z]{1,2}$"", """")"),"av_46")</f>
        <v>av_46</v>
      </c>
    </row>
    <row r="2912">
      <c r="A2912" s="44">
        <v>3232.0</v>
      </c>
      <c r="B2912" s="129" t="s">
        <v>523</v>
      </c>
      <c r="C2912" s="62" t="s">
        <v>115</v>
      </c>
      <c r="D2912" s="62" t="s">
        <v>17156</v>
      </c>
      <c r="F2912" s="68" t="s">
        <v>17294</v>
      </c>
      <c r="G2912" s="159" t="s">
        <v>17295</v>
      </c>
      <c r="H2912" s="159" t="s">
        <v>17159</v>
      </c>
      <c r="I2912" s="152">
        <v>45823.0</v>
      </c>
      <c r="J2912" s="862"/>
      <c r="K2912" s="159" t="s">
        <v>17296</v>
      </c>
      <c r="L2912" s="68"/>
      <c r="M2912" s="159" t="s">
        <v>17297</v>
      </c>
      <c r="N2912" s="159" t="s">
        <v>17298</v>
      </c>
      <c r="O2912" s="68"/>
      <c r="P2912" s="382" t="s">
        <v>17299</v>
      </c>
      <c r="Q2912" s="2363" t="s">
        <v>7284</v>
      </c>
      <c r="R2912" s="159" t="s">
        <v>17300</v>
      </c>
      <c r="S2912" s="159" t="s">
        <v>17301</v>
      </c>
      <c r="T2912" s="68"/>
      <c r="U2912" s="156">
        <v>1.0</v>
      </c>
      <c r="V2912" s="382" t="s">
        <v>17302</v>
      </c>
      <c r="W2912" s="1228"/>
      <c r="X2912" s="2364" t="s">
        <v>7284</v>
      </c>
      <c r="Y2912" s="68"/>
      <c r="Z2912" s="159" t="s">
        <v>226</v>
      </c>
      <c r="AA2912" s="159" t="s">
        <v>17303</v>
      </c>
      <c r="AB2912" s="159" t="s">
        <v>17304</v>
      </c>
      <c r="AC2912" s="159" t="s">
        <v>17305</v>
      </c>
      <c r="AD2912" s="159" t="s">
        <v>17306</v>
      </c>
      <c r="AE2912" s="156">
        <v>112.0</v>
      </c>
      <c r="AF2912" s="156">
        <v>60.0</v>
      </c>
      <c r="AG2912" s="159" t="s">
        <v>17307</v>
      </c>
      <c r="AH2912" s="159" t="s">
        <v>134</v>
      </c>
      <c r="AI2912" s="159" t="s">
        <v>17308</v>
      </c>
      <c r="AJ2912" s="156">
        <v>0.001</v>
      </c>
      <c r="AK2912" s="2083" t="s">
        <v>17176</v>
      </c>
      <c r="AL2912" s="159" t="s">
        <v>138</v>
      </c>
      <c r="AM2912" s="68" t="s">
        <v>138</v>
      </c>
      <c r="AN2912" s="159" t="s">
        <v>138</v>
      </c>
      <c r="AO2912" s="156">
        <v>100.0</v>
      </c>
      <c r="AP2912" s="156">
        <v>1.38</v>
      </c>
      <c r="AQ2912" s="159" t="s">
        <v>17309</v>
      </c>
      <c r="AR2912" s="159" t="s">
        <v>17310</v>
      </c>
      <c r="AS2912" s="159" t="s">
        <v>138</v>
      </c>
      <c r="AT2912" s="159" t="s">
        <v>138</v>
      </c>
      <c r="AU2912" s="159" t="s">
        <v>138</v>
      </c>
      <c r="AV2912" s="68" t="s">
        <v>138</v>
      </c>
      <c r="AW2912" s="435" t="s">
        <v>17311</v>
      </c>
      <c r="AX2912" s="336">
        <v>2.0</v>
      </c>
      <c r="AY2912" s="61" t="str">
        <f>IFERROR(__xludf.DUMMYFUNCTION("vlookup(BB2912,importrange(""https://docs.google.com/spreadsheets/d/1d2vevQ_7D_v35q4wCQ4RpQ_IPoTwEMB9Yp6ymwlPqew/edit?gid=984458430#gid=984458430"", ""'replication success'!A:K""), 11, FAlSE)"),"#N/A")</f>
        <v>#N/A</v>
      </c>
      <c r="AZ2912" s="61" t="str">
        <f>IFERROR(__xludf.DUMMYFUNCTION("vlookup(BB2912,importrange(""https://docs.google.com/spreadsheets/d/1d2vevQ_7D_v35q4wCQ4RpQ_IPoTwEMB9Yp6ymwlPqew/edit?gid=984458430#gid=984458430"", ""'replication success'!A:M""), 12, FAlSE)"),"#N/A")</f>
        <v>#N/A</v>
      </c>
      <c r="BA2912" s="61" t="str">
        <f>IFERROR(__xludf.DUMMYFUNCTION("vlookup(BB2912,importrange(""https://docs.google.com/spreadsheets/d/1d2vevQ_7D_v35q4wCQ4RpQ_IPoTwEMB9Yp6ymwlPqew/edit?gid=984458430#gid=984458430"", ""'replication success'!A:M""), 13, FAlSE)"),"#N/A")</f>
        <v>#N/A</v>
      </c>
      <c r="BB2912" s="61" t="str">
        <f>IFERROR(__xludf.DUMMYFUNCTION("REGEXREPLACE(G2912, ""_[a-z]{1,2}$"", """")"),"av_47")</f>
        <v>av_47</v>
      </c>
    </row>
    <row r="2913">
      <c r="A2913" s="44">
        <v>3233.0</v>
      </c>
      <c r="B2913" s="129" t="s">
        <v>523</v>
      </c>
      <c r="C2913" s="62" t="s">
        <v>115</v>
      </c>
      <c r="D2913" s="62" t="s">
        <v>17156</v>
      </c>
      <c r="F2913" s="68" t="s">
        <v>17294</v>
      </c>
      <c r="G2913" s="159" t="s">
        <v>17312</v>
      </c>
      <c r="H2913" s="159" t="s">
        <v>17159</v>
      </c>
      <c r="I2913" s="152">
        <v>45823.0</v>
      </c>
      <c r="J2913" s="862"/>
      <c r="K2913" s="159" t="s">
        <v>17313</v>
      </c>
      <c r="L2913" s="68"/>
      <c r="M2913" s="159" t="s">
        <v>17297</v>
      </c>
      <c r="N2913" s="159" t="s">
        <v>17298</v>
      </c>
      <c r="O2913" s="68"/>
      <c r="P2913" s="382" t="s">
        <v>17299</v>
      </c>
      <c r="Q2913" s="2363" t="s">
        <v>7284</v>
      </c>
      <c r="R2913" s="159" t="s">
        <v>17300</v>
      </c>
      <c r="S2913" s="159" t="s">
        <v>17301</v>
      </c>
      <c r="T2913" s="68"/>
      <c r="U2913" s="156">
        <v>2.0</v>
      </c>
      <c r="V2913" s="573"/>
      <c r="W2913" s="1228"/>
      <c r="X2913" s="2364" t="s">
        <v>7284</v>
      </c>
      <c r="Y2913" s="68"/>
      <c r="Z2913" s="159" t="s">
        <v>226</v>
      </c>
      <c r="AA2913" s="159" t="s">
        <v>17303</v>
      </c>
      <c r="AB2913" s="159" t="s">
        <v>17304</v>
      </c>
      <c r="AC2913" s="159" t="s">
        <v>17305</v>
      </c>
      <c r="AD2913" s="159" t="s">
        <v>17306</v>
      </c>
      <c r="AE2913" s="156">
        <v>112.0</v>
      </c>
      <c r="AF2913" s="156">
        <v>60.0</v>
      </c>
      <c r="AG2913" s="159" t="s">
        <v>17307</v>
      </c>
      <c r="AH2913" s="159" t="s">
        <v>134</v>
      </c>
      <c r="AI2913" s="159" t="s">
        <v>17308</v>
      </c>
      <c r="AJ2913" s="156">
        <v>0.001</v>
      </c>
      <c r="AK2913" s="2083" t="s">
        <v>17176</v>
      </c>
      <c r="AL2913" s="159" t="s">
        <v>138</v>
      </c>
      <c r="AM2913" s="68" t="s">
        <v>138</v>
      </c>
      <c r="AN2913" s="159" t="s">
        <v>138</v>
      </c>
      <c r="AO2913" s="156">
        <v>908.0</v>
      </c>
      <c r="AP2913" s="156">
        <v>10.35</v>
      </c>
      <c r="AQ2913" s="159" t="s">
        <v>17309</v>
      </c>
      <c r="AR2913" s="159" t="s">
        <v>17314</v>
      </c>
      <c r="AS2913" s="159" t="s">
        <v>138</v>
      </c>
      <c r="AT2913" s="159" t="s">
        <v>138</v>
      </c>
      <c r="AU2913" s="159" t="s">
        <v>138</v>
      </c>
      <c r="AV2913" s="159" t="s">
        <v>138</v>
      </c>
      <c r="AW2913" s="435" t="s">
        <v>17311</v>
      </c>
      <c r="AX2913" s="336">
        <v>2.0</v>
      </c>
      <c r="AY2913" s="61" t="str">
        <f>IFERROR(__xludf.DUMMYFUNCTION("vlookup(BB2913,importrange(""https://docs.google.com/spreadsheets/d/1d2vevQ_7D_v35q4wCQ4RpQ_IPoTwEMB9Yp6ymwlPqew/edit?gid=984458430#gid=984458430"", ""'replication success'!A:K""), 11, FAlSE)"),"#N/A")</f>
        <v>#N/A</v>
      </c>
      <c r="AZ2913" s="61" t="str">
        <f>IFERROR(__xludf.DUMMYFUNCTION("vlookup(BB2913,importrange(""https://docs.google.com/spreadsheets/d/1d2vevQ_7D_v35q4wCQ4RpQ_IPoTwEMB9Yp6ymwlPqew/edit?gid=984458430#gid=984458430"", ""'replication success'!A:M""), 12, FAlSE)"),"#N/A")</f>
        <v>#N/A</v>
      </c>
      <c r="BA2913" s="61" t="str">
        <f>IFERROR(__xludf.DUMMYFUNCTION("vlookup(BB2913,importrange(""https://docs.google.com/spreadsheets/d/1d2vevQ_7D_v35q4wCQ4RpQ_IPoTwEMB9Yp6ymwlPqew/edit?gid=984458430#gid=984458430"", ""'replication success'!A:M""), 13, FAlSE)"),"#N/A")</f>
        <v>#N/A</v>
      </c>
      <c r="BB2913" s="61" t="str">
        <f>IFERROR(__xludf.DUMMYFUNCTION("REGEXREPLACE(G2913, ""_[a-z]{1,2}$"", """")"),"av_47")</f>
        <v>av_47</v>
      </c>
    </row>
    <row r="2914">
      <c r="A2914" s="44">
        <v>3234.0</v>
      </c>
      <c r="B2914" s="129" t="s">
        <v>523</v>
      </c>
      <c r="C2914" s="62" t="s">
        <v>115</v>
      </c>
      <c r="D2914" s="62" t="s">
        <v>17156</v>
      </c>
      <c r="F2914" s="68" t="s">
        <v>17315</v>
      </c>
      <c r="G2914" s="159" t="s">
        <v>17316</v>
      </c>
      <c r="H2914" s="159" t="s">
        <v>17159</v>
      </c>
      <c r="I2914" s="152">
        <v>45823.0</v>
      </c>
      <c r="J2914" s="862"/>
      <c r="K2914" s="159" t="s">
        <v>17317</v>
      </c>
      <c r="L2914" s="68"/>
      <c r="M2914" s="159" t="s">
        <v>17318</v>
      </c>
      <c r="N2914" s="159" t="s">
        <v>17319</v>
      </c>
      <c r="O2914" s="68"/>
      <c r="P2914" s="382" t="s">
        <v>17320</v>
      </c>
      <c r="Q2914" s="2363" t="s">
        <v>7284</v>
      </c>
      <c r="R2914" s="159" t="s">
        <v>17321</v>
      </c>
      <c r="S2914" s="159" t="s">
        <v>17322</v>
      </c>
      <c r="T2914" s="68"/>
      <c r="U2914" s="159" t="s">
        <v>9850</v>
      </c>
      <c r="V2914" s="382" t="s">
        <v>17323</v>
      </c>
      <c r="W2914" s="1228"/>
      <c r="X2914" s="2364" t="s">
        <v>7284</v>
      </c>
      <c r="Y2914" s="68"/>
      <c r="Z2914" s="159" t="s">
        <v>148</v>
      </c>
      <c r="AA2914" s="159" t="s">
        <v>17324</v>
      </c>
      <c r="AB2914" s="159" t="s">
        <v>17325</v>
      </c>
      <c r="AC2914" s="159" t="s">
        <v>17326</v>
      </c>
      <c r="AD2914" s="159" t="s">
        <v>17327</v>
      </c>
      <c r="AE2914" s="156">
        <v>154.0</v>
      </c>
      <c r="AF2914" s="156">
        <v>47.0</v>
      </c>
      <c r="AG2914" s="156">
        <v>0.058</v>
      </c>
      <c r="AH2914" s="159" t="s">
        <v>139</v>
      </c>
      <c r="AI2914" s="159" t="s">
        <v>17328</v>
      </c>
      <c r="AJ2914" s="156">
        <v>0.139</v>
      </c>
      <c r="AK2914" s="2083" t="s">
        <v>17172</v>
      </c>
      <c r="AL2914" s="159" t="s">
        <v>138</v>
      </c>
      <c r="AM2914" s="68" t="s">
        <v>137</v>
      </c>
      <c r="AN2914" s="68" t="s">
        <v>138</v>
      </c>
      <c r="AO2914" s="156">
        <v>97.0</v>
      </c>
      <c r="AP2914" s="156">
        <v>0.35</v>
      </c>
      <c r="AQ2914" s="159" t="s">
        <v>361</v>
      </c>
      <c r="AR2914" s="159" t="s">
        <v>850</v>
      </c>
      <c r="AS2914" s="156">
        <v>0.001</v>
      </c>
      <c r="AT2914" s="159" t="s">
        <v>17176</v>
      </c>
      <c r="AU2914" s="159" t="s">
        <v>138</v>
      </c>
      <c r="AV2914" s="68" t="s">
        <v>137</v>
      </c>
      <c r="AW2914" s="68" t="s">
        <v>138</v>
      </c>
      <c r="AX2914" s="336">
        <v>2.0</v>
      </c>
      <c r="AY2914" s="61" t="str">
        <f>IFERROR(__xludf.DUMMYFUNCTION("vlookup(BB2914,importrange(""https://docs.google.com/spreadsheets/d/1d2vevQ_7D_v35q4wCQ4RpQ_IPoTwEMB9Yp6ymwlPqew/edit?gid=984458430#gid=984458430"", ""'replication success'!A:K""), 11, FAlSE)"),"#N/A")</f>
        <v>#N/A</v>
      </c>
      <c r="AZ2914" s="61" t="str">
        <f>IFERROR(__xludf.DUMMYFUNCTION("vlookup(BB2914,importrange(""https://docs.google.com/spreadsheets/d/1d2vevQ_7D_v35q4wCQ4RpQ_IPoTwEMB9Yp6ymwlPqew/edit?gid=984458430#gid=984458430"", ""'replication success'!A:M""), 12, FAlSE)"),"#N/A")</f>
        <v>#N/A</v>
      </c>
      <c r="BA2914" s="61" t="str">
        <f>IFERROR(__xludf.DUMMYFUNCTION("vlookup(BB2914,importrange(""https://docs.google.com/spreadsheets/d/1d2vevQ_7D_v35q4wCQ4RpQ_IPoTwEMB9Yp6ymwlPqew/edit?gid=984458430#gid=984458430"", ""'replication success'!A:M""), 13, FAlSE)"),"#N/A")</f>
        <v>#N/A</v>
      </c>
      <c r="BB2914" s="61" t="str">
        <f>IFERROR(__xludf.DUMMYFUNCTION("REGEXREPLACE(G2914, ""_[a-z]{1,2}$"", """")"),"av_50")</f>
        <v>av_50</v>
      </c>
      <c r="BF2914" s="1123"/>
      <c r="BG2914" s="1123"/>
      <c r="BH2914" s="1123"/>
      <c r="BI2914" s="1123"/>
      <c r="BJ2914" s="1123"/>
      <c r="BK2914" s="1123"/>
      <c r="BL2914" s="1123"/>
      <c r="BM2914" s="1123"/>
      <c r="BN2914" s="1123"/>
      <c r="BO2914" s="1123"/>
      <c r="BP2914" s="1123"/>
      <c r="BQ2914" s="1123"/>
      <c r="BR2914" s="1123"/>
      <c r="BS2914" s="1123"/>
      <c r="BT2914" s="1123"/>
      <c r="BU2914" s="1123"/>
      <c r="BV2914" s="1123"/>
      <c r="BW2914" s="1123"/>
      <c r="BX2914" s="1123"/>
      <c r="BY2914" s="1123"/>
      <c r="BZ2914" s="1123"/>
      <c r="CA2914" s="1123"/>
      <c r="CB2914" s="1123"/>
      <c r="CC2914" s="1123"/>
      <c r="CD2914" s="1123"/>
      <c r="CE2914" s="1123"/>
      <c r="CF2914" s="1123"/>
      <c r="CG2914" s="1123"/>
      <c r="CH2914" s="1123"/>
      <c r="CI2914" s="1123"/>
      <c r="CJ2914" s="1123"/>
      <c r="CK2914" s="1123"/>
      <c r="CL2914" s="1123"/>
      <c r="CM2914" s="1123"/>
      <c r="CN2914" s="1123"/>
      <c r="CO2914" s="1123"/>
      <c r="CP2914" s="1123"/>
      <c r="CQ2914" s="1123"/>
      <c r="CR2914" s="1123"/>
      <c r="CS2914" s="1123"/>
      <c r="CT2914" s="1123"/>
      <c r="CU2914" s="1123"/>
      <c r="CV2914" s="1123"/>
      <c r="CW2914" s="1123"/>
      <c r="CX2914" s="1123"/>
      <c r="CY2914" s="1123"/>
      <c r="CZ2914" s="1123"/>
      <c r="DA2914" s="1123"/>
      <c r="DB2914" s="1123"/>
      <c r="DC2914" s="1123"/>
      <c r="DD2914" s="1123"/>
      <c r="DE2914" s="1123"/>
      <c r="DF2914" s="1123"/>
      <c r="DG2914" s="1123"/>
      <c r="DH2914" s="1123"/>
      <c r="DI2914" s="1123"/>
      <c r="DJ2914" s="1123"/>
      <c r="DK2914" s="1123"/>
      <c r="DL2914" s="1123"/>
    </row>
    <row r="2915">
      <c r="A2915" s="44">
        <v>3235.0</v>
      </c>
      <c r="B2915" s="129" t="s">
        <v>523</v>
      </c>
      <c r="C2915" s="62" t="s">
        <v>115</v>
      </c>
      <c r="D2915" s="62" t="s">
        <v>17156</v>
      </c>
      <c r="F2915" s="68" t="s">
        <v>17315</v>
      </c>
      <c r="G2915" s="159" t="s">
        <v>17329</v>
      </c>
      <c r="H2915" s="159" t="s">
        <v>17159</v>
      </c>
      <c r="I2915" s="152">
        <v>45823.0</v>
      </c>
      <c r="J2915" s="862"/>
      <c r="K2915" s="159" t="s">
        <v>17330</v>
      </c>
      <c r="L2915" s="68"/>
      <c r="M2915" s="159" t="s">
        <v>17318</v>
      </c>
      <c r="N2915" s="159" t="s">
        <v>17319</v>
      </c>
      <c r="O2915" s="68"/>
      <c r="P2915" s="382" t="s">
        <v>17320</v>
      </c>
      <c r="Q2915" s="2363" t="s">
        <v>7284</v>
      </c>
      <c r="R2915" s="159" t="s">
        <v>17321</v>
      </c>
      <c r="S2915" s="159" t="s">
        <v>17322</v>
      </c>
      <c r="T2915" s="68"/>
      <c r="U2915" s="159" t="s">
        <v>17331</v>
      </c>
      <c r="V2915" s="573"/>
      <c r="W2915" s="1228"/>
      <c r="X2915" s="2364" t="s">
        <v>7284</v>
      </c>
      <c r="Y2915" s="68"/>
      <c r="Z2915" s="159" t="s">
        <v>148</v>
      </c>
      <c r="AA2915" s="159" t="s">
        <v>17324</v>
      </c>
      <c r="AB2915" s="159" t="s">
        <v>17325</v>
      </c>
      <c r="AC2915" s="159" t="s">
        <v>17326</v>
      </c>
      <c r="AD2915" s="159" t="s">
        <v>17327</v>
      </c>
      <c r="AE2915" s="156">
        <v>154.0</v>
      </c>
      <c r="AF2915" s="156">
        <v>47.0</v>
      </c>
      <c r="AG2915" s="156">
        <v>0.058</v>
      </c>
      <c r="AH2915" s="159" t="s">
        <v>139</v>
      </c>
      <c r="AI2915" s="159" t="s">
        <v>17328</v>
      </c>
      <c r="AJ2915" s="156">
        <v>0.139</v>
      </c>
      <c r="AK2915" s="2083" t="s">
        <v>17172</v>
      </c>
      <c r="AL2915" s="159" t="s">
        <v>138</v>
      </c>
      <c r="AM2915" s="68" t="s">
        <v>137</v>
      </c>
      <c r="AN2915" s="68" t="s">
        <v>138</v>
      </c>
      <c r="AO2915" s="156">
        <v>94.0</v>
      </c>
      <c r="AP2915" s="156">
        <v>0.36</v>
      </c>
      <c r="AQ2915" s="159" t="s">
        <v>361</v>
      </c>
      <c r="AR2915" s="159" t="s">
        <v>850</v>
      </c>
      <c r="AS2915" s="156">
        <v>0.001</v>
      </c>
      <c r="AT2915" s="159" t="s">
        <v>17176</v>
      </c>
      <c r="AU2915" s="159" t="s">
        <v>138</v>
      </c>
      <c r="AV2915" s="68" t="s">
        <v>137</v>
      </c>
      <c r="AW2915" s="68" t="s">
        <v>138</v>
      </c>
      <c r="AX2915" s="336">
        <v>2.0</v>
      </c>
      <c r="AY2915" s="61" t="str">
        <f>IFERROR(__xludf.DUMMYFUNCTION("vlookup(BB2915,importrange(""https://docs.google.com/spreadsheets/d/1d2vevQ_7D_v35q4wCQ4RpQ_IPoTwEMB9Yp6ymwlPqew/edit?gid=984458430#gid=984458430"", ""'replication success'!A:K""), 11, FAlSE)"),"#N/A")</f>
        <v>#N/A</v>
      </c>
      <c r="AZ2915" s="61" t="str">
        <f>IFERROR(__xludf.DUMMYFUNCTION("vlookup(BB2915,importrange(""https://docs.google.com/spreadsheets/d/1d2vevQ_7D_v35q4wCQ4RpQ_IPoTwEMB9Yp6ymwlPqew/edit?gid=984458430#gid=984458430"", ""'replication success'!A:M""), 12, FAlSE)"),"#N/A")</f>
        <v>#N/A</v>
      </c>
      <c r="BA2915" s="61" t="str">
        <f>IFERROR(__xludf.DUMMYFUNCTION("vlookup(BB2915,importrange(""https://docs.google.com/spreadsheets/d/1d2vevQ_7D_v35q4wCQ4RpQ_IPoTwEMB9Yp6ymwlPqew/edit?gid=984458430#gid=984458430"", ""'replication success'!A:M""), 13, FAlSE)"),"#N/A")</f>
        <v>#N/A</v>
      </c>
      <c r="BB2915" s="61" t="str">
        <f>IFERROR(__xludf.DUMMYFUNCTION("REGEXREPLACE(G2915, ""_[a-z]{1,2}$"", """")"),"av_50")</f>
        <v>av_50</v>
      </c>
    </row>
    <row r="2916">
      <c r="A2916" s="44">
        <v>3203.0</v>
      </c>
      <c r="B2916" s="129" t="s">
        <v>523</v>
      </c>
      <c r="C2916" s="62" t="s">
        <v>115</v>
      </c>
      <c r="D2916" s="62" t="s">
        <v>17124</v>
      </c>
      <c r="F2916" s="129" t="s">
        <v>17332</v>
      </c>
      <c r="G2916" s="151" t="s">
        <v>17333</v>
      </c>
      <c r="H2916" s="151" t="s">
        <v>17127</v>
      </c>
      <c r="I2916" s="1542">
        <v>45828.0</v>
      </c>
      <c r="J2916" s="152"/>
      <c r="K2916" s="129" t="s">
        <v>17334</v>
      </c>
      <c r="L2916" s="68"/>
      <c r="M2916" s="151" t="s">
        <v>17335</v>
      </c>
      <c r="N2916" s="151" t="s">
        <v>17336</v>
      </c>
      <c r="O2916" s="68"/>
      <c r="P2916" s="151" t="s">
        <v>17337</v>
      </c>
      <c r="Q2916" s="2363" t="s">
        <v>7284</v>
      </c>
      <c r="R2916" s="151" t="s">
        <v>17338</v>
      </c>
      <c r="S2916" s="151" t="s">
        <v>17339</v>
      </c>
      <c r="T2916" s="68"/>
      <c r="U2916" s="129">
        <v>1.0</v>
      </c>
      <c r="V2916" s="151" t="s">
        <v>17340</v>
      </c>
      <c r="W2916" s="68"/>
      <c r="X2916" s="2365" t="s">
        <v>7284</v>
      </c>
      <c r="Y2916" s="159"/>
      <c r="Z2916" s="151" t="s">
        <v>226</v>
      </c>
      <c r="AA2916" s="151" t="s">
        <v>17341</v>
      </c>
      <c r="AB2916" s="151" t="s">
        <v>17342</v>
      </c>
      <c r="AC2916" s="151" t="s">
        <v>17343</v>
      </c>
      <c r="AD2916" s="129" t="s">
        <v>17344</v>
      </c>
      <c r="AE2916" s="129">
        <v>714.0</v>
      </c>
      <c r="AF2916" s="161">
        <v>6623.0</v>
      </c>
      <c r="AG2916" s="161">
        <v>-6.4</v>
      </c>
      <c r="AH2916" s="151" t="s">
        <v>987</v>
      </c>
      <c r="AI2916" s="151" t="s">
        <v>17345</v>
      </c>
      <c r="AJ2916" s="501">
        <v>0.05</v>
      </c>
      <c r="AK2916" s="151" t="s">
        <v>135</v>
      </c>
      <c r="AL2916" s="151" t="s">
        <v>186</v>
      </c>
      <c r="AM2916" s="151" t="s">
        <v>137</v>
      </c>
      <c r="AN2916" s="151" t="s">
        <v>138</v>
      </c>
      <c r="AO2916" s="161">
        <v>185.0</v>
      </c>
      <c r="AP2916" s="161">
        <v>-1.12</v>
      </c>
      <c r="AQ2916" s="151" t="s">
        <v>987</v>
      </c>
      <c r="AR2916" s="151" t="s">
        <v>17346</v>
      </c>
      <c r="AS2916" s="161">
        <v>0.05</v>
      </c>
      <c r="AT2916" s="151" t="s">
        <v>335</v>
      </c>
      <c r="AU2916" s="151" t="s">
        <v>186</v>
      </c>
      <c r="AV2916" s="151" t="s">
        <v>137</v>
      </c>
      <c r="AW2916" s="1308" t="s">
        <v>138</v>
      </c>
      <c r="AX2916" s="151" t="s">
        <v>151</v>
      </c>
      <c r="AY2916" s="61" t="str">
        <f>IFERROR(__xludf.DUMMYFUNCTION("vlookup(BB2916,importrange(""https://docs.google.com/spreadsheets/d/1d2vevQ_7D_v35q4wCQ4RpQ_IPoTwEMB9Yp6ymwlPqew/edit?gid=984458430#gid=984458430"", ""'replication success'!A:K""), 11, FAlSE)"),"#N/A")</f>
        <v>#N/A</v>
      </c>
      <c r="AZ2916" s="61" t="str">
        <f>IFERROR(__xludf.DUMMYFUNCTION("vlookup(BB2916,importrange(""https://docs.google.com/spreadsheets/d/1d2vevQ_7D_v35q4wCQ4RpQ_IPoTwEMB9Yp6ymwlPqew/edit?gid=984458430#gid=984458430"", ""'replication success'!A:M""), 12, FAlSE)"),"#N/A")</f>
        <v>#N/A</v>
      </c>
      <c r="BA2916" s="61" t="str">
        <f>IFERROR(__xludf.DUMMYFUNCTION("vlookup(BB2916,importrange(""https://docs.google.com/spreadsheets/d/1d2vevQ_7D_v35q4wCQ4RpQ_IPoTwEMB9Yp6ymwlPqew/edit?gid=984458430#gid=984458430"", ""'replication success'!A:M""), 13, FAlSE)"),"#N/A")</f>
        <v>#N/A</v>
      </c>
      <c r="BB2916" s="61" t="str">
        <f>IFERROR(__xludf.DUMMYFUNCTION("REGEXREPLACE(G2916, ""_[a-z]{1,2}$"", """")"),"av_52")</f>
        <v>av_52</v>
      </c>
    </row>
    <row r="2917">
      <c r="A2917" s="44">
        <v>3204.0</v>
      </c>
      <c r="B2917" s="129" t="s">
        <v>523</v>
      </c>
      <c r="C2917" s="62" t="s">
        <v>115</v>
      </c>
      <c r="D2917" s="62" t="s">
        <v>17124</v>
      </c>
      <c r="F2917" s="129" t="s">
        <v>17332</v>
      </c>
      <c r="G2917" s="151" t="s">
        <v>17347</v>
      </c>
      <c r="H2917" s="151" t="s">
        <v>17127</v>
      </c>
      <c r="I2917" s="1542">
        <v>45828.0</v>
      </c>
      <c r="J2917" s="152"/>
      <c r="K2917" s="129" t="s">
        <v>17348</v>
      </c>
      <c r="L2917" s="68"/>
      <c r="M2917" s="151" t="s">
        <v>17335</v>
      </c>
      <c r="N2917" s="151" t="s">
        <v>17349</v>
      </c>
      <c r="O2917" s="68"/>
      <c r="P2917" s="151" t="s">
        <v>17337</v>
      </c>
      <c r="Q2917" s="2191"/>
      <c r="R2917" s="151" t="s">
        <v>17350</v>
      </c>
      <c r="S2917" s="151" t="s">
        <v>17351</v>
      </c>
      <c r="T2917" s="68"/>
      <c r="U2917" s="129">
        <v>1.0</v>
      </c>
      <c r="V2917" s="151" t="s">
        <v>17340</v>
      </c>
      <c r="W2917" s="68"/>
      <c r="X2917" s="2172"/>
      <c r="Y2917" s="159"/>
      <c r="Z2917" s="151" t="s">
        <v>226</v>
      </c>
      <c r="AA2917" s="151" t="s">
        <v>17341</v>
      </c>
      <c r="AB2917" s="151" t="s">
        <v>17342</v>
      </c>
      <c r="AC2917" s="151" t="s">
        <v>17343</v>
      </c>
      <c r="AD2917" s="129" t="s">
        <v>17352</v>
      </c>
      <c r="AE2917" s="129">
        <v>714.0</v>
      </c>
      <c r="AF2917" s="161">
        <v>5598.0</v>
      </c>
      <c r="AG2917" s="161">
        <v>-2.35</v>
      </c>
      <c r="AH2917" s="151" t="s">
        <v>987</v>
      </c>
      <c r="AI2917" s="151" t="s">
        <v>17345</v>
      </c>
      <c r="AJ2917" s="501">
        <v>0.05</v>
      </c>
      <c r="AK2917" s="151" t="s">
        <v>135</v>
      </c>
      <c r="AL2917" s="151" t="s">
        <v>186</v>
      </c>
      <c r="AM2917" s="151" t="s">
        <v>137</v>
      </c>
      <c r="AN2917" s="151" t="s">
        <v>138</v>
      </c>
      <c r="AO2917" s="161">
        <v>44.0</v>
      </c>
      <c r="AP2917" s="161">
        <v>-0.63</v>
      </c>
      <c r="AQ2917" s="151" t="s">
        <v>987</v>
      </c>
      <c r="AR2917" s="151" t="s">
        <v>17346</v>
      </c>
      <c r="AS2917" s="161">
        <v>0.05</v>
      </c>
      <c r="AT2917" s="151" t="s">
        <v>335</v>
      </c>
      <c r="AU2917" s="151" t="s">
        <v>186</v>
      </c>
      <c r="AV2917" s="151" t="s">
        <v>137</v>
      </c>
      <c r="AW2917" s="1308" t="s">
        <v>138</v>
      </c>
      <c r="AX2917" s="151" t="s">
        <v>151</v>
      </c>
      <c r="AY2917" s="61" t="str">
        <f>IFERROR(__xludf.DUMMYFUNCTION("vlookup(BB2917,importrange(""https://docs.google.com/spreadsheets/d/1d2vevQ_7D_v35q4wCQ4RpQ_IPoTwEMB9Yp6ymwlPqew/edit?gid=984458430#gid=984458430"", ""'replication success'!A:K""), 11, FAlSE)"),"#N/A")</f>
        <v>#N/A</v>
      </c>
      <c r="AZ2917" s="61" t="str">
        <f>IFERROR(__xludf.DUMMYFUNCTION("vlookup(BB2917,importrange(""https://docs.google.com/spreadsheets/d/1d2vevQ_7D_v35q4wCQ4RpQ_IPoTwEMB9Yp6ymwlPqew/edit?gid=984458430#gid=984458430"", ""'replication success'!A:M""), 12, FAlSE)"),"#N/A")</f>
        <v>#N/A</v>
      </c>
      <c r="BA2917" s="61" t="str">
        <f>IFERROR(__xludf.DUMMYFUNCTION("vlookup(BB2917,importrange(""https://docs.google.com/spreadsheets/d/1d2vevQ_7D_v35q4wCQ4RpQ_IPoTwEMB9Yp6ymwlPqew/edit?gid=984458430#gid=984458430"", ""'replication success'!A:M""), 13, FAlSE)"),"#N/A")</f>
        <v>#N/A</v>
      </c>
      <c r="BB2917" s="61" t="str">
        <f>IFERROR(__xludf.DUMMYFUNCTION("REGEXREPLACE(G2917, ""_[a-z]{1,2}$"", """")"),"av_52")</f>
        <v>av_52</v>
      </c>
    </row>
    <row r="2918">
      <c r="A2918" s="44">
        <v>3205.0</v>
      </c>
      <c r="B2918" s="129" t="s">
        <v>523</v>
      </c>
      <c r="C2918" s="62" t="s">
        <v>115</v>
      </c>
      <c r="D2918" s="62" t="s">
        <v>17124</v>
      </c>
      <c r="F2918" s="129" t="s">
        <v>17353</v>
      </c>
      <c r="G2918" s="151" t="s">
        <v>17354</v>
      </c>
      <c r="H2918" s="151" t="s">
        <v>17127</v>
      </c>
      <c r="I2918" s="1542">
        <v>45828.0</v>
      </c>
      <c r="J2918" s="152"/>
      <c r="K2918" s="129" t="s">
        <v>17355</v>
      </c>
      <c r="L2918" s="68"/>
      <c r="M2918" s="151" t="s">
        <v>17356</v>
      </c>
      <c r="N2918" s="151" t="s">
        <v>17357</v>
      </c>
      <c r="O2918" s="68"/>
      <c r="P2918" s="151" t="s">
        <v>17358</v>
      </c>
      <c r="Q2918" s="2363" t="s">
        <v>7284</v>
      </c>
      <c r="R2918" s="151" t="s">
        <v>17359</v>
      </c>
      <c r="S2918" s="151" t="s">
        <v>17360</v>
      </c>
      <c r="T2918" s="68"/>
      <c r="U2918" s="129">
        <v>1.0</v>
      </c>
      <c r="V2918" s="151" t="s">
        <v>17361</v>
      </c>
      <c r="W2918" s="68"/>
      <c r="X2918" s="2365" t="s">
        <v>7284</v>
      </c>
      <c r="Y2918" s="159"/>
      <c r="Z2918" s="151" t="s">
        <v>226</v>
      </c>
      <c r="AA2918" s="151" t="s">
        <v>17362</v>
      </c>
      <c r="AB2918" s="151" t="s">
        <v>17363</v>
      </c>
      <c r="AC2918" s="151" t="s">
        <v>17364</v>
      </c>
      <c r="AD2918" s="129" t="s">
        <v>17365</v>
      </c>
      <c r="AE2918" s="129">
        <v>20.0</v>
      </c>
      <c r="AF2918" s="161">
        <v>55.0</v>
      </c>
      <c r="AG2918" s="161">
        <v>0.45</v>
      </c>
      <c r="AH2918" s="151" t="s">
        <v>361</v>
      </c>
      <c r="AI2918" s="151" t="s">
        <v>8933</v>
      </c>
      <c r="AJ2918" s="501">
        <v>0.05</v>
      </c>
      <c r="AK2918" s="151" t="s">
        <v>135</v>
      </c>
      <c r="AL2918" s="151" t="s">
        <v>186</v>
      </c>
      <c r="AM2918" s="151" t="s">
        <v>137</v>
      </c>
      <c r="AN2918" s="151" t="s">
        <v>138</v>
      </c>
      <c r="AO2918" s="161">
        <v>107.0</v>
      </c>
      <c r="AP2918" s="161">
        <v>1.35</v>
      </c>
      <c r="AQ2918" s="151" t="s">
        <v>987</v>
      </c>
      <c r="AR2918" s="151" t="s">
        <v>8933</v>
      </c>
      <c r="AS2918" s="161">
        <v>0.05</v>
      </c>
      <c r="AT2918" s="151" t="s">
        <v>135</v>
      </c>
      <c r="AU2918" s="151" t="s">
        <v>186</v>
      </c>
      <c r="AV2918" s="151" t="s">
        <v>137</v>
      </c>
      <c r="AW2918" s="1308" t="s">
        <v>138</v>
      </c>
      <c r="AX2918" s="151" t="s">
        <v>151</v>
      </c>
      <c r="AY2918" s="61" t="str">
        <f>IFERROR(__xludf.DUMMYFUNCTION("vlookup(BB2918,importrange(""https://docs.google.com/spreadsheets/d/1d2vevQ_7D_v35q4wCQ4RpQ_IPoTwEMB9Yp6ymwlPqew/edit?gid=984458430#gid=984458430"", ""'replication success'!A:K""), 11, FAlSE)"),"#N/A")</f>
        <v>#N/A</v>
      </c>
      <c r="AZ2918" s="61" t="str">
        <f>IFERROR(__xludf.DUMMYFUNCTION("vlookup(BB2918,importrange(""https://docs.google.com/spreadsheets/d/1d2vevQ_7D_v35q4wCQ4RpQ_IPoTwEMB9Yp6ymwlPqew/edit?gid=984458430#gid=984458430"", ""'replication success'!A:M""), 12, FAlSE)"),"#N/A")</f>
        <v>#N/A</v>
      </c>
      <c r="BA2918" s="61" t="str">
        <f>IFERROR(__xludf.DUMMYFUNCTION("vlookup(BB2918,importrange(""https://docs.google.com/spreadsheets/d/1d2vevQ_7D_v35q4wCQ4RpQ_IPoTwEMB9Yp6ymwlPqew/edit?gid=984458430#gid=984458430"", ""'replication success'!A:M""), 13, FAlSE)"),"#N/A")</f>
        <v>#N/A</v>
      </c>
      <c r="BB2918" s="61" t="str">
        <f>IFERROR(__xludf.DUMMYFUNCTION("REGEXREPLACE(G2918, ""_[a-z]{1,2}$"", """")"),"av_53")</f>
        <v>av_53</v>
      </c>
      <c r="BF2918" s="220"/>
      <c r="BG2918" s="220"/>
      <c r="BH2918" s="220"/>
      <c r="BI2918" s="220"/>
      <c r="BJ2918" s="220"/>
      <c r="BK2918" s="220"/>
      <c r="BL2918" s="220"/>
      <c r="BM2918" s="220"/>
      <c r="BN2918" s="220"/>
      <c r="BO2918" s="220"/>
      <c r="BP2918" s="220"/>
      <c r="BQ2918" s="220"/>
      <c r="BR2918" s="220"/>
      <c r="BS2918" s="220"/>
      <c r="BT2918" s="220"/>
      <c r="BU2918" s="220"/>
      <c r="BV2918" s="220"/>
      <c r="BW2918" s="220"/>
      <c r="BX2918" s="220"/>
      <c r="BY2918" s="220"/>
      <c r="BZ2918" s="220"/>
      <c r="CA2918" s="220"/>
      <c r="CB2918" s="220"/>
      <c r="CC2918" s="220"/>
      <c r="CD2918" s="220"/>
      <c r="CE2918" s="220"/>
      <c r="CF2918" s="220"/>
      <c r="CG2918" s="220"/>
      <c r="CH2918" s="220"/>
      <c r="CI2918" s="220"/>
      <c r="CJ2918" s="220"/>
      <c r="CK2918" s="220"/>
      <c r="CL2918" s="220"/>
      <c r="CM2918" s="220"/>
      <c r="CN2918" s="220"/>
      <c r="CO2918" s="220"/>
      <c r="CP2918" s="220"/>
      <c r="CQ2918" s="220"/>
      <c r="CR2918" s="220"/>
      <c r="CS2918" s="220"/>
      <c r="CT2918" s="220"/>
      <c r="CU2918" s="220"/>
      <c r="CV2918" s="220"/>
      <c r="CW2918" s="220"/>
      <c r="CX2918" s="220"/>
      <c r="CY2918" s="220"/>
      <c r="CZ2918" s="220"/>
      <c r="DA2918" s="220"/>
      <c r="DB2918" s="220"/>
      <c r="DC2918" s="220"/>
      <c r="DD2918" s="220"/>
      <c r="DE2918" s="220"/>
      <c r="DF2918" s="220"/>
      <c r="DG2918" s="220"/>
      <c r="DH2918" s="220"/>
      <c r="DI2918" s="220"/>
      <c r="DJ2918" s="220"/>
      <c r="DK2918" s="220"/>
      <c r="DL2918" s="220"/>
    </row>
    <row r="2919">
      <c r="A2919" s="44">
        <v>3206.0</v>
      </c>
      <c r="B2919" s="129" t="s">
        <v>523</v>
      </c>
      <c r="C2919" s="62" t="s">
        <v>115</v>
      </c>
      <c r="D2919" s="62" t="s">
        <v>17124</v>
      </c>
      <c r="F2919" s="129" t="s">
        <v>17366</v>
      </c>
      <c r="G2919" s="151" t="s">
        <v>17367</v>
      </c>
      <c r="H2919" s="151" t="s">
        <v>17127</v>
      </c>
      <c r="I2919" s="1542">
        <v>45829.0</v>
      </c>
      <c r="J2919" s="152"/>
      <c r="K2919" s="129" t="s">
        <v>17368</v>
      </c>
      <c r="L2919" s="68"/>
      <c r="M2919" s="151" t="s">
        <v>17369</v>
      </c>
      <c r="N2919" s="151" t="s">
        <v>17370</v>
      </c>
      <c r="O2919" s="68"/>
      <c r="P2919" s="309" t="s">
        <v>17371</v>
      </c>
      <c r="Q2919" s="2363" t="s">
        <v>7284</v>
      </c>
      <c r="R2919" s="151" t="s">
        <v>17372</v>
      </c>
      <c r="S2919" s="151" t="s">
        <v>17373</v>
      </c>
      <c r="T2919" s="68"/>
      <c r="U2919" s="68"/>
      <c r="V2919" s="309" t="s">
        <v>17374</v>
      </c>
      <c r="W2919" s="1228"/>
      <c r="X2919" s="2364" t="s">
        <v>7284</v>
      </c>
      <c r="Y2919" s="159"/>
      <c r="Z2919" s="151" t="s">
        <v>148</v>
      </c>
      <c r="AA2919" s="151" t="s">
        <v>17375</v>
      </c>
      <c r="AB2919" s="151" t="s">
        <v>17376</v>
      </c>
      <c r="AC2919" s="151" t="s">
        <v>17377</v>
      </c>
      <c r="AD2919" s="129" t="s">
        <v>17378</v>
      </c>
      <c r="AE2919" s="129" t="s">
        <v>217</v>
      </c>
      <c r="AF2919" s="161">
        <v>20.0</v>
      </c>
      <c r="AG2919" s="161" t="s">
        <v>17379</v>
      </c>
      <c r="AH2919" s="151" t="s">
        <v>134</v>
      </c>
      <c r="AI2919" s="151" t="s">
        <v>217</v>
      </c>
      <c r="AJ2919" s="501">
        <v>0.03</v>
      </c>
      <c r="AK2919" s="151" t="s">
        <v>135</v>
      </c>
      <c r="AL2919" s="151" t="s">
        <v>218</v>
      </c>
      <c r="AM2919" s="151" t="s">
        <v>141</v>
      </c>
      <c r="AN2919" s="159"/>
      <c r="AO2919" s="161">
        <v>70.0</v>
      </c>
      <c r="AP2919" s="161">
        <v>0.68</v>
      </c>
      <c r="AQ2919" s="151" t="s">
        <v>173</v>
      </c>
      <c r="AR2919" s="151" t="s">
        <v>613</v>
      </c>
      <c r="AS2919" s="161">
        <v>0.001</v>
      </c>
      <c r="AT2919" s="151" t="s">
        <v>135</v>
      </c>
      <c r="AU2919" s="151" t="s">
        <v>186</v>
      </c>
      <c r="AV2919" s="151" t="s">
        <v>137</v>
      </c>
      <c r="AW2919" s="1308" t="s">
        <v>138</v>
      </c>
      <c r="AX2919" s="151" t="s">
        <v>151</v>
      </c>
      <c r="AY2919" s="61" t="str">
        <f>IFERROR(__xludf.DUMMYFUNCTION("vlookup(BB2919,importrange(""https://docs.google.com/spreadsheets/d/1d2vevQ_7D_v35q4wCQ4RpQ_IPoTwEMB9Yp6ymwlPqew/edit?gid=984458430#gid=984458430"", ""'replication success'!A:K""), 11, FAlSE)"),"#N/A")</f>
        <v>#N/A</v>
      </c>
      <c r="AZ2919" s="61" t="str">
        <f>IFERROR(__xludf.DUMMYFUNCTION("vlookup(BB2919,importrange(""https://docs.google.com/spreadsheets/d/1d2vevQ_7D_v35q4wCQ4RpQ_IPoTwEMB9Yp6ymwlPqew/edit?gid=984458430#gid=984458430"", ""'replication success'!A:M""), 12, FAlSE)"),"#N/A")</f>
        <v>#N/A</v>
      </c>
      <c r="BA2919" s="61" t="str">
        <f>IFERROR(__xludf.DUMMYFUNCTION("vlookup(BB2919,importrange(""https://docs.google.com/spreadsheets/d/1d2vevQ_7D_v35q4wCQ4RpQ_IPoTwEMB9Yp6ymwlPqew/edit?gid=984458430#gid=984458430"", ""'replication success'!A:M""), 13, FAlSE)"),"#N/A")</f>
        <v>#N/A</v>
      </c>
      <c r="BB2919" s="61" t="str">
        <f>IFERROR(__xludf.DUMMYFUNCTION("REGEXREPLACE(G2919, ""_[a-z]{1,2}$"", """")"),"av_55")</f>
        <v>av_55</v>
      </c>
    </row>
    <row r="2920">
      <c r="A2920" s="44">
        <v>3207.0</v>
      </c>
      <c r="B2920" s="129" t="s">
        <v>523</v>
      </c>
      <c r="C2920" s="62" t="s">
        <v>115</v>
      </c>
      <c r="D2920" s="62" t="s">
        <v>17124</v>
      </c>
      <c r="F2920" s="129" t="s">
        <v>17366</v>
      </c>
      <c r="G2920" s="151" t="s">
        <v>17380</v>
      </c>
      <c r="H2920" s="151" t="s">
        <v>17127</v>
      </c>
      <c r="I2920" s="1542">
        <v>45829.0</v>
      </c>
      <c r="J2920" s="152"/>
      <c r="K2920" s="129" t="s">
        <v>17368</v>
      </c>
      <c r="L2920" s="68"/>
      <c r="M2920" s="151" t="s">
        <v>17381</v>
      </c>
      <c r="N2920" s="151" t="s">
        <v>17382</v>
      </c>
      <c r="O2920" s="68"/>
      <c r="P2920" s="309" t="s">
        <v>17371</v>
      </c>
      <c r="Q2920" s="2363" t="s">
        <v>1535</v>
      </c>
      <c r="R2920" s="151" t="s">
        <v>17383</v>
      </c>
      <c r="S2920" s="151" t="s">
        <v>17384</v>
      </c>
      <c r="T2920" s="68"/>
      <c r="U2920" s="68"/>
      <c r="V2920" s="309" t="s">
        <v>17374</v>
      </c>
      <c r="W2920" s="1228"/>
      <c r="X2920" s="2364" t="s">
        <v>1535</v>
      </c>
      <c r="Y2920" s="159"/>
      <c r="Z2920" s="151" t="s">
        <v>148</v>
      </c>
      <c r="AA2920" s="151" t="s">
        <v>17375</v>
      </c>
      <c r="AB2920" s="151" t="s">
        <v>17376</v>
      </c>
      <c r="AC2920" s="151" t="s">
        <v>17377</v>
      </c>
      <c r="AD2920" s="129" t="s">
        <v>17378</v>
      </c>
      <c r="AE2920" s="129" t="s">
        <v>217</v>
      </c>
      <c r="AF2920" s="161">
        <v>20.0</v>
      </c>
      <c r="AG2920" s="161" t="s">
        <v>17379</v>
      </c>
      <c r="AH2920" s="151" t="s">
        <v>134</v>
      </c>
      <c r="AI2920" s="151" t="s">
        <v>217</v>
      </c>
      <c r="AJ2920" s="501">
        <v>0.03</v>
      </c>
      <c r="AK2920" s="151" t="s">
        <v>135</v>
      </c>
      <c r="AL2920" s="151" t="s">
        <v>218</v>
      </c>
      <c r="AM2920" s="151" t="s">
        <v>141</v>
      </c>
      <c r="AN2920" s="159"/>
      <c r="AO2920" s="161">
        <v>70.0</v>
      </c>
      <c r="AP2920" s="161">
        <v>0.24</v>
      </c>
      <c r="AQ2920" s="151" t="s">
        <v>173</v>
      </c>
      <c r="AR2920" s="151" t="s">
        <v>613</v>
      </c>
      <c r="AS2920" s="161">
        <v>0.043</v>
      </c>
      <c r="AT2920" s="151" t="s">
        <v>172</v>
      </c>
      <c r="AU2920" s="151" t="s">
        <v>186</v>
      </c>
      <c r="AV2920" s="151" t="s">
        <v>137</v>
      </c>
      <c r="AW2920" s="1308" t="s">
        <v>138</v>
      </c>
      <c r="AX2920" s="151" t="s">
        <v>151</v>
      </c>
      <c r="AY2920" s="61" t="str">
        <f>IFERROR(__xludf.DUMMYFUNCTION("vlookup(BB2920,importrange(""https://docs.google.com/spreadsheets/d/1d2vevQ_7D_v35q4wCQ4RpQ_IPoTwEMB9Yp6ymwlPqew/edit?gid=984458430#gid=984458430"", ""'replication success'!A:K""), 11, FAlSE)"),"#N/A")</f>
        <v>#N/A</v>
      </c>
      <c r="AZ2920" s="61" t="str">
        <f>IFERROR(__xludf.DUMMYFUNCTION("vlookup(BB2920,importrange(""https://docs.google.com/spreadsheets/d/1d2vevQ_7D_v35q4wCQ4RpQ_IPoTwEMB9Yp6ymwlPqew/edit?gid=984458430#gid=984458430"", ""'replication success'!A:M""), 12, FAlSE)"),"#N/A")</f>
        <v>#N/A</v>
      </c>
      <c r="BA2920" s="61" t="str">
        <f>IFERROR(__xludf.DUMMYFUNCTION("vlookup(BB2920,importrange(""https://docs.google.com/spreadsheets/d/1d2vevQ_7D_v35q4wCQ4RpQ_IPoTwEMB9Yp6ymwlPqew/edit?gid=984458430#gid=984458430"", ""'replication success'!A:M""), 13, FAlSE)"),"#N/A")</f>
        <v>#N/A</v>
      </c>
      <c r="BB2920" s="61" t="str">
        <f>IFERROR(__xludf.DUMMYFUNCTION("REGEXREPLACE(G2920, ""_[a-z]{1,2}$"", """")"),"av_55")</f>
        <v>av_55</v>
      </c>
      <c r="BF2920" s="2366"/>
      <c r="BG2920" s="2366"/>
      <c r="BH2920" s="2366"/>
      <c r="BI2920" s="2366"/>
      <c r="BJ2920" s="2366"/>
      <c r="BK2920" s="2366"/>
      <c r="BL2920" s="2366"/>
      <c r="BM2920" s="2366"/>
      <c r="BN2920" s="2366"/>
      <c r="BO2920" s="2366"/>
      <c r="BP2920" s="2366"/>
      <c r="BQ2920" s="2366"/>
      <c r="BR2920" s="2366"/>
      <c r="BS2920" s="2366"/>
      <c r="BT2920" s="2366"/>
      <c r="BU2920" s="2366"/>
      <c r="BV2920" s="2366"/>
      <c r="BW2920" s="2366"/>
      <c r="BX2920" s="2366"/>
      <c r="BY2920" s="2366"/>
      <c r="BZ2920" s="2366"/>
      <c r="CA2920" s="2366"/>
      <c r="CB2920" s="2366"/>
      <c r="CC2920" s="2366"/>
      <c r="CD2920" s="2366"/>
      <c r="CE2920" s="2366"/>
      <c r="CF2920" s="2366"/>
      <c r="CG2920" s="2366"/>
      <c r="CH2920" s="2366"/>
      <c r="CI2920" s="2366"/>
      <c r="CJ2920" s="2366"/>
      <c r="CK2920" s="2366"/>
      <c r="CL2920" s="2366"/>
      <c r="CM2920" s="2366"/>
      <c r="CN2920" s="2366"/>
      <c r="CO2920" s="2366"/>
      <c r="CP2920" s="2366"/>
      <c r="CQ2920" s="2366"/>
      <c r="CR2920" s="2366"/>
      <c r="CS2920" s="2366"/>
      <c r="CT2920" s="2366"/>
      <c r="CU2920" s="2366"/>
      <c r="CV2920" s="2366"/>
      <c r="CW2920" s="2366"/>
      <c r="CX2920" s="2366"/>
      <c r="CY2920" s="2366"/>
      <c r="CZ2920" s="2366"/>
      <c r="DA2920" s="2366"/>
      <c r="DB2920" s="2366"/>
      <c r="DC2920" s="2366"/>
      <c r="DD2920" s="2366"/>
      <c r="DE2920" s="2366"/>
      <c r="DF2920" s="2366"/>
      <c r="DG2920" s="2366"/>
      <c r="DH2920" s="2366"/>
      <c r="DI2920" s="2366"/>
      <c r="DJ2920" s="2366"/>
      <c r="DK2920" s="2366"/>
      <c r="DL2920" s="2366"/>
    </row>
    <row r="2921">
      <c r="A2921" s="44">
        <v>3208.0</v>
      </c>
      <c r="B2921" s="129" t="s">
        <v>523</v>
      </c>
      <c r="C2921" s="62" t="s">
        <v>115</v>
      </c>
      <c r="D2921" s="62" t="s">
        <v>17124</v>
      </c>
      <c r="F2921" s="129" t="s">
        <v>17385</v>
      </c>
      <c r="G2921" s="151" t="s">
        <v>17386</v>
      </c>
      <c r="H2921" s="151" t="s">
        <v>17127</v>
      </c>
      <c r="I2921" s="1542">
        <v>45828.0</v>
      </c>
      <c r="J2921" s="152"/>
      <c r="K2921" s="68"/>
      <c r="L2921" s="68"/>
      <c r="M2921" s="151" t="s">
        <v>17387</v>
      </c>
      <c r="N2921" s="151" t="s">
        <v>17388</v>
      </c>
      <c r="O2921" s="68"/>
      <c r="P2921" s="309" t="s">
        <v>17389</v>
      </c>
      <c r="Q2921" s="2363" t="s">
        <v>7284</v>
      </c>
      <c r="R2921" s="151" t="s">
        <v>17390</v>
      </c>
      <c r="S2921" s="151" t="s">
        <v>17391</v>
      </c>
      <c r="T2921" s="68"/>
      <c r="U2921" s="129">
        <v>1.0</v>
      </c>
      <c r="V2921" s="309" t="s">
        <v>17392</v>
      </c>
      <c r="W2921" s="1228"/>
      <c r="X2921" s="2364" t="s">
        <v>7284</v>
      </c>
      <c r="Y2921" s="159"/>
      <c r="Z2921" s="151" t="s">
        <v>148</v>
      </c>
      <c r="AA2921" s="151" t="s">
        <v>17393</v>
      </c>
      <c r="AB2921" s="151" t="s">
        <v>17394</v>
      </c>
      <c r="AC2921" s="151" t="s">
        <v>17395</v>
      </c>
      <c r="AD2921" s="129" t="s">
        <v>17396</v>
      </c>
      <c r="AE2921" s="129">
        <v>54.0</v>
      </c>
      <c r="AF2921" s="161">
        <v>144.0</v>
      </c>
      <c r="AG2921" s="161">
        <v>0.39</v>
      </c>
      <c r="AH2921" s="151" t="s">
        <v>874</v>
      </c>
      <c r="AI2921" s="151" t="s">
        <v>6970</v>
      </c>
      <c r="AJ2921" s="501">
        <v>1.0E-4</v>
      </c>
      <c r="AK2921" s="151" t="s">
        <v>135</v>
      </c>
      <c r="AL2921" s="151" t="s">
        <v>186</v>
      </c>
      <c r="AM2921" s="151" t="s">
        <v>141</v>
      </c>
      <c r="AN2921" s="151" t="s">
        <v>138</v>
      </c>
      <c r="AO2921" s="161">
        <v>131.0</v>
      </c>
      <c r="AP2921" s="161">
        <v>0.33</v>
      </c>
      <c r="AQ2921" s="151" t="s">
        <v>874</v>
      </c>
      <c r="AR2921" s="151" t="s">
        <v>850</v>
      </c>
      <c r="AS2921" s="161">
        <v>0.001</v>
      </c>
      <c r="AT2921" s="151" t="s">
        <v>135</v>
      </c>
      <c r="AU2921" s="151" t="s">
        <v>186</v>
      </c>
      <c r="AV2921" s="151" t="s">
        <v>141</v>
      </c>
      <c r="AW2921" s="1308" t="s">
        <v>138</v>
      </c>
      <c r="AX2921" s="151" t="s">
        <v>438</v>
      </c>
      <c r="AY2921" s="61" t="str">
        <f>IFERROR(__xludf.DUMMYFUNCTION("vlookup(BB2921,importrange(""https://docs.google.com/spreadsheets/d/1d2vevQ_7D_v35q4wCQ4RpQ_IPoTwEMB9Yp6ymwlPqew/edit?gid=984458430#gid=984458430"", ""'replication success'!A:K""), 11, FAlSE)"),"#N/A")</f>
        <v>#N/A</v>
      </c>
      <c r="AZ2921" s="61" t="str">
        <f>IFERROR(__xludf.DUMMYFUNCTION("vlookup(BB2921,importrange(""https://docs.google.com/spreadsheets/d/1d2vevQ_7D_v35q4wCQ4RpQ_IPoTwEMB9Yp6ymwlPqew/edit?gid=984458430#gid=984458430"", ""'replication success'!A:M""), 12, FAlSE)"),"#N/A")</f>
        <v>#N/A</v>
      </c>
      <c r="BA2921" s="61" t="str">
        <f>IFERROR(__xludf.DUMMYFUNCTION("vlookup(BB2921,importrange(""https://docs.google.com/spreadsheets/d/1d2vevQ_7D_v35q4wCQ4RpQ_IPoTwEMB9Yp6ymwlPqew/edit?gid=984458430#gid=984458430"", ""'replication success'!A:M""), 13, FAlSE)"),"#N/A")</f>
        <v>#N/A</v>
      </c>
      <c r="BB2921" s="61" t="str">
        <f>IFERROR(__xludf.DUMMYFUNCTION("REGEXREPLACE(G2921, ""_[a-z]{1,2}$"", """")"),"av_56")</f>
        <v>av_56</v>
      </c>
    </row>
    <row r="2922">
      <c r="A2922" s="44">
        <v>3209.0</v>
      </c>
      <c r="B2922" s="129" t="s">
        <v>523</v>
      </c>
      <c r="C2922" s="62" t="s">
        <v>115</v>
      </c>
      <c r="D2922" s="62" t="s">
        <v>17124</v>
      </c>
      <c r="F2922" s="129" t="s">
        <v>17397</v>
      </c>
      <c r="G2922" s="151" t="s">
        <v>17398</v>
      </c>
      <c r="H2922" s="151" t="s">
        <v>17127</v>
      </c>
      <c r="I2922" s="1542">
        <v>45828.0</v>
      </c>
      <c r="J2922" s="152"/>
      <c r="K2922" s="68"/>
      <c r="L2922" s="68"/>
      <c r="M2922" s="151" t="s">
        <v>17399</v>
      </c>
      <c r="N2922" s="151" t="s">
        <v>17400</v>
      </c>
      <c r="O2922" s="68"/>
      <c r="P2922" s="309" t="s">
        <v>17401</v>
      </c>
      <c r="Q2922" s="2363" t="s">
        <v>7284</v>
      </c>
      <c r="R2922" s="151" t="s">
        <v>17402</v>
      </c>
      <c r="S2922" s="151" t="s">
        <v>17403</v>
      </c>
      <c r="T2922" s="68"/>
      <c r="U2922" s="129">
        <v>3.0</v>
      </c>
      <c r="V2922" s="309" t="s">
        <v>17404</v>
      </c>
      <c r="W2922" s="1228"/>
      <c r="X2922" s="2364" t="s">
        <v>7284</v>
      </c>
      <c r="Y2922" s="151" t="s">
        <v>17405</v>
      </c>
      <c r="Z2922" s="151" t="s">
        <v>1600</v>
      </c>
      <c r="AA2922" s="151" t="s">
        <v>17406</v>
      </c>
      <c r="AB2922" s="151" t="s">
        <v>17407</v>
      </c>
      <c r="AC2922" s="151" t="s">
        <v>17408</v>
      </c>
      <c r="AD2922" s="129" t="s">
        <v>17409</v>
      </c>
      <c r="AE2922" s="129">
        <v>725.0</v>
      </c>
      <c r="AF2922" s="161">
        <v>36.0</v>
      </c>
      <c r="AG2922" s="161">
        <v>0.27</v>
      </c>
      <c r="AH2922" s="151" t="s">
        <v>874</v>
      </c>
      <c r="AI2922" s="151" t="s">
        <v>17410</v>
      </c>
      <c r="AJ2922" s="501">
        <v>0.01</v>
      </c>
      <c r="AK2922" s="151" t="s">
        <v>135</v>
      </c>
      <c r="AL2922" s="151" t="s">
        <v>186</v>
      </c>
      <c r="AM2922" s="151" t="s">
        <v>141</v>
      </c>
      <c r="AN2922" s="151" t="s">
        <v>138</v>
      </c>
      <c r="AO2922" s="161">
        <v>24.0</v>
      </c>
      <c r="AP2922" s="161" t="s">
        <v>17411</v>
      </c>
      <c r="AQ2922" s="151" t="s">
        <v>134</v>
      </c>
      <c r="AR2922" s="151" t="s">
        <v>17412</v>
      </c>
      <c r="AS2922" s="161">
        <v>0.05</v>
      </c>
      <c r="AT2922" s="151" t="s">
        <v>135</v>
      </c>
      <c r="AU2922" s="151" t="s">
        <v>186</v>
      </c>
      <c r="AV2922" s="151" t="s">
        <v>141</v>
      </c>
      <c r="AW2922" s="1308" t="s">
        <v>138</v>
      </c>
      <c r="AX2922" s="151" t="s">
        <v>151</v>
      </c>
      <c r="AY2922" s="61" t="str">
        <f>IFERROR(__xludf.DUMMYFUNCTION("vlookup(BB2922,importrange(""https://docs.google.com/spreadsheets/d/1d2vevQ_7D_v35q4wCQ4RpQ_IPoTwEMB9Yp6ymwlPqew/edit?gid=984458430#gid=984458430"", ""'replication success'!A:K""), 11, FAlSE)"),"#N/A")</f>
        <v>#N/A</v>
      </c>
      <c r="AZ2922" s="61" t="str">
        <f>IFERROR(__xludf.DUMMYFUNCTION("vlookup(BB2922,importrange(""https://docs.google.com/spreadsheets/d/1d2vevQ_7D_v35q4wCQ4RpQ_IPoTwEMB9Yp6ymwlPqew/edit?gid=984458430#gid=984458430"", ""'replication success'!A:M""), 12, FAlSE)"),"#N/A")</f>
        <v>#N/A</v>
      </c>
      <c r="BA2922" s="61" t="str">
        <f>IFERROR(__xludf.DUMMYFUNCTION("vlookup(BB2922,importrange(""https://docs.google.com/spreadsheets/d/1d2vevQ_7D_v35q4wCQ4RpQ_IPoTwEMB9Yp6ymwlPqew/edit?gid=984458430#gid=984458430"", ""'replication success'!A:M""), 13, FAlSE)"),"#N/A")</f>
        <v>#N/A</v>
      </c>
      <c r="BB2922" s="61" t="str">
        <f>IFERROR(__xludf.DUMMYFUNCTION("REGEXREPLACE(G2922, ""_[a-z]{1,2}$"", """")"),"av_58")</f>
        <v>av_58</v>
      </c>
    </row>
    <row r="2923">
      <c r="A2923" s="44">
        <v>3210.0</v>
      </c>
      <c r="B2923" s="129" t="s">
        <v>523</v>
      </c>
      <c r="C2923" s="62" t="s">
        <v>115</v>
      </c>
      <c r="D2923" s="62" t="s">
        <v>17124</v>
      </c>
      <c r="F2923" s="129" t="s">
        <v>17413</v>
      </c>
      <c r="G2923" s="151" t="s">
        <v>17414</v>
      </c>
      <c r="H2923" s="151" t="s">
        <v>17127</v>
      </c>
      <c r="I2923" s="1542">
        <v>45828.0</v>
      </c>
      <c r="J2923" s="152"/>
      <c r="K2923" s="129" t="s">
        <v>17415</v>
      </c>
      <c r="L2923" s="68"/>
      <c r="M2923" s="151" t="s">
        <v>17416</v>
      </c>
      <c r="N2923" s="151" t="s">
        <v>17417</v>
      </c>
      <c r="O2923" s="68"/>
      <c r="P2923" s="309" t="s">
        <v>17418</v>
      </c>
      <c r="Q2923" s="2363" t="s">
        <v>7284</v>
      </c>
      <c r="R2923" s="151" t="s">
        <v>17419</v>
      </c>
      <c r="S2923" s="151" t="s">
        <v>17420</v>
      </c>
      <c r="T2923" s="68"/>
      <c r="U2923" s="129">
        <v>1.0</v>
      </c>
      <c r="V2923" s="309" t="s">
        <v>17421</v>
      </c>
      <c r="W2923" s="1228"/>
      <c r="X2923" s="2364" t="s">
        <v>7284</v>
      </c>
      <c r="Y2923" s="159"/>
      <c r="Z2923" s="151" t="s">
        <v>148</v>
      </c>
      <c r="AA2923" s="151" t="s">
        <v>17422</v>
      </c>
      <c r="AB2923" s="151" t="s">
        <v>17423</v>
      </c>
      <c r="AC2923" s="151" t="s">
        <v>17424</v>
      </c>
      <c r="AD2923" s="129" t="s">
        <v>17425</v>
      </c>
      <c r="AE2923" s="68"/>
      <c r="AF2923" s="161">
        <v>30.0</v>
      </c>
      <c r="AG2923" s="161" t="s">
        <v>17426</v>
      </c>
      <c r="AH2923" s="151" t="s">
        <v>134</v>
      </c>
      <c r="AI2923" s="151" t="s">
        <v>138</v>
      </c>
      <c r="AJ2923" s="501">
        <v>0.02</v>
      </c>
      <c r="AK2923" s="151" t="s">
        <v>135</v>
      </c>
      <c r="AL2923" s="151" t="s">
        <v>186</v>
      </c>
      <c r="AM2923" s="151" t="s">
        <v>141</v>
      </c>
      <c r="AN2923" s="151" t="s">
        <v>138</v>
      </c>
      <c r="AO2923" s="161">
        <v>64.0</v>
      </c>
      <c r="AP2923" s="161">
        <v>0.428</v>
      </c>
      <c r="AQ2923" s="151" t="s">
        <v>874</v>
      </c>
      <c r="AR2923" s="151" t="s">
        <v>17427</v>
      </c>
      <c r="AS2923" s="161">
        <v>0.001</v>
      </c>
      <c r="AT2923" s="151" t="s">
        <v>135</v>
      </c>
      <c r="AU2923" s="151" t="s">
        <v>186</v>
      </c>
      <c r="AV2923" s="151" t="s">
        <v>141</v>
      </c>
      <c r="AW2923" s="1308" t="s">
        <v>138</v>
      </c>
      <c r="AX2923" s="151" t="s">
        <v>151</v>
      </c>
      <c r="AY2923" s="61" t="str">
        <f>IFERROR(__xludf.DUMMYFUNCTION("vlookup(BB2923,importrange(""https://docs.google.com/spreadsheets/d/1d2vevQ_7D_v35q4wCQ4RpQ_IPoTwEMB9Yp6ymwlPqew/edit?gid=984458430#gid=984458430"", ""'replication success'!A:K""), 11, FAlSE)"),"#N/A")</f>
        <v>#N/A</v>
      </c>
      <c r="AZ2923" s="61" t="str">
        <f>IFERROR(__xludf.DUMMYFUNCTION("vlookup(BB2923,importrange(""https://docs.google.com/spreadsheets/d/1d2vevQ_7D_v35q4wCQ4RpQ_IPoTwEMB9Yp6ymwlPqew/edit?gid=984458430#gid=984458430"", ""'replication success'!A:M""), 12, FAlSE)"),"#N/A")</f>
        <v>#N/A</v>
      </c>
      <c r="BA2923" s="61" t="str">
        <f>IFERROR(__xludf.DUMMYFUNCTION("vlookup(BB2923,importrange(""https://docs.google.com/spreadsheets/d/1d2vevQ_7D_v35q4wCQ4RpQ_IPoTwEMB9Yp6ymwlPqew/edit?gid=984458430#gid=984458430"", ""'replication success'!A:M""), 13, FAlSE)"),"#N/A")</f>
        <v>#N/A</v>
      </c>
      <c r="BB2923" s="61" t="str">
        <f>IFERROR(__xludf.DUMMYFUNCTION("REGEXREPLACE(G2923, ""_[a-z]{1,2}$"", """")"),"av_61")</f>
        <v>av_61</v>
      </c>
    </row>
    <row r="2924">
      <c r="A2924" s="44">
        <v>3211.0</v>
      </c>
      <c r="B2924" s="129" t="s">
        <v>523</v>
      </c>
      <c r="C2924" s="62" t="s">
        <v>115</v>
      </c>
      <c r="D2924" s="62" t="s">
        <v>17124</v>
      </c>
      <c r="F2924" s="129" t="s">
        <v>17428</v>
      </c>
      <c r="G2924" s="151" t="s">
        <v>17429</v>
      </c>
      <c r="H2924" s="151" t="s">
        <v>17127</v>
      </c>
      <c r="I2924" s="1542">
        <v>45828.0</v>
      </c>
      <c r="J2924" s="152"/>
      <c r="K2924" s="68"/>
      <c r="L2924" s="68"/>
      <c r="M2924" s="151" t="s">
        <v>17430</v>
      </c>
      <c r="N2924" s="151" t="s">
        <v>17431</v>
      </c>
      <c r="O2924" s="68"/>
      <c r="P2924" s="309" t="s">
        <v>17432</v>
      </c>
      <c r="Q2924" s="2363" t="s">
        <v>7284</v>
      </c>
      <c r="R2924" s="151" t="s">
        <v>17433</v>
      </c>
      <c r="S2924" s="151" t="s">
        <v>17434</v>
      </c>
      <c r="T2924" s="68"/>
      <c r="U2924" s="129">
        <v>5.0</v>
      </c>
      <c r="V2924" s="309" t="s">
        <v>17435</v>
      </c>
      <c r="W2924" s="1228"/>
      <c r="X2924" s="2364" t="s">
        <v>7284</v>
      </c>
      <c r="Y2924" s="159"/>
      <c r="Z2924" s="151" t="s">
        <v>148</v>
      </c>
      <c r="AA2924" s="151" t="s">
        <v>17436</v>
      </c>
      <c r="AB2924" s="151" t="s">
        <v>17437</v>
      </c>
      <c r="AC2924" s="151" t="s">
        <v>17438</v>
      </c>
      <c r="AD2924" s="129" t="s">
        <v>17439</v>
      </c>
      <c r="AE2924" s="129">
        <v>338.0</v>
      </c>
      <c r="AF2924" s="161">
        <v>40.0</v>
      </c>
      <c r="AG2924" s="161" t="s">
        <v>17440</v>
      </c>
      <c r="AH2924" s="151" t="s">
        <v>134</v>
      </c>
      <c r="AI2924" s="151" t="s">
        <v>138</v>
      </c>
      <c r="AJ2924" s="501">
        <v>0.01</v>
      </c>
      <c r="AK2924" s="151" t="s">
        <v>135</v>
      </c>
      <c r="AL2924" s="151" t="s">
        <v>186</v>
      </c>
      <c r="AM2924" s="151" t="s">
        <v>141</v>
      </c>
      <c r="AN2924" s="151" t="s">
        <v>138</v>
      </c>
      <c r="AO2924" s="161">
        <v>18.0</v>
      </c>
      <c r="AP2924" s="161" t="s">
        <v>17441</v>
      </c>
      <c r="AQ2924" s="151" t="s">
        <v>134</v>
      </c>
      <c r="AR2924" s="151" t="s">
        <v>17308</v>
      </c>
      <c r="AS2924" s="161">
        <v>0.01</v>
      </c>
      <c r="AT2924" s="151" t="s">
        <v>135</v>
      </c>
      <c r="AU2924" s="151" t="s">
        <v>186</v>
      </c>
      <c r="AV2924" s="151" t="s">
        <v>141</v>
      </c>
      <c r="AW2924" s="1308" t="s">
        <v>138</v>
      </c>
      <c r="AX2924" s="151" t="s">
        <v>151</v>
      </c>
      <c r="AY2924" s="61" t="str">
        <f>IFERROR(__xludf.DUMMYFUNCTION("vlookup(BB2924,importrange(""https://docs.google.com/spreadsheets/d/1d2vevQ_7D_v35q4wCQ4RpQ_IPoTwEMB9Yp6ymwlPqew/edit?gid=984458430#gid=984458430"", ""'replication success'!A:K""), 11, FAlSE)"),"#N/A")</f>
        <v>#N/A</v>
      </c>
      <c r="AZ2924" s="61" t="str">
        <f>IFERROR(__xludf.DUMMYFUNCTION("vlookup(BB2924,importrange(""https://docs.google.com/spreadsheets/d/1d2vevQ_7D_v35q4wCQ4RpQ_IPoTwEMB9Yp6ymwlPqew/edit?gid=984458430#gid=984458430"", ""'replication success'!A:M""), 12, FAlSE)"),"#N/A")</f>
        <v>#N/A</v>
      </c>
      <c r="BA2924" s="61" t="str">
        <f>IFERROR(__xludf.DUMMYFUNCTION("vlookup(BB2924,importrange(""https://docs.google.com/spreadsheets/d/1d2vevQ_7D_v35q4wCQ4RpQ_IPoTwEMB9Yp6ymwlPqew/edit?gid=984458430#gid=984458430"", ""'replication success'!A:M""), 13, FAlSE)"),"#N/A")</f>
        <v>#N/A</v>
      </c>
      <c r="BB2924" s="61" t="str">
        <f>IFERROR(__xludf.DUMMYFUNCTION("REGEXREPLACE(G2924, ""_[a-z]{1,2}$"", """")"),"av_63")</f>
        <v>av_63</v>
      </c>
    </row>
    <row r="2925">
      <c r="A2925" s="44">
        <v>3212.0</v>
      </c>
      <c r="B2925" s="129" t="s">
        <v>523</v>
      </c>
      <c r="C2925" s="62" t="s">
        <v>115</v>
      </c>
      <c r="D2925" s="62" t="s">
        <v>17124</v>
      </c>
      <c r="F2925" s="129" t="s">
        <v>17442</v>
      </c>
      <c r="G2925" s="151" t="s">
        <v>17443</v>
      </c>
      <c r="H2925" s="151" t="s">
        <v>17127</v>
      </c>
      <c r="I2925" s="1542">
        <v>45829.0</v>
      </c>
      <c r="J2925" s="152"/>
      <c r="K2925" s="129" t="s">
        <v>17444</v>
      </c>
      <c r="L2925" s="68"/>
      <c r="M2925" s="151" t="s">
        <v>17445</v>
      </c>
      <c r="N2925" s="151" t="s">
        <v>17446</v>
      </c>
      <c r="O2925" s="68"/>
      <c r="P2925" s="309" t="s">
        <v>17447</v>
      </c>
      <c r="Q2925" s="2363" t="s">
        <v>7284</v>
      </c>
      <c r="R2925" s="151" t="s">
        <v>17448</v>
      </c>
      <c r="S2925" s="151" t="s">
        <v>17449</v>
      </c>
      <c r="T2925" s="68"/>
      <c r="U2925" s="129" t="s">
        <v>4092</v>
      </c>
      <c r="V2925" s="309" t="s">
        <v>17450</v>
      </c>
      <c r="W2925" s="1228"/>
      <c r="X2925" s="2364" t="s">
        <v>7284</v>
      </c>
      <c r="Y2925" s="159"/>
      <c r="Z2925" s="151" t="s">
        <v>148</v>
      </c>
      <c r="AA2925" s="151" t="s">
        <v>17451</v>
      </c>
      <c r="AB2925" s="151" t="s">
        <v>17452</v>
      </c>
      <c r="AC2925" s="151" t="s">
        <v>17453</v>
      </c>
      <c r="AD2925" s="129" t="s">
        <v>17454</v>
      </c>
      <c r="AE2925" s="129">
        <v>12.0</v>
      </c>
      <c r="AF2925" s="161">
        <v>32.0</v>
      </c>
      <c r="AG2925" s="161">
        <v>0.64</v>
      </c>
      <c r="AH2925" s="151" t="s">
        <v>874</v>
      </c>
      <c r="AI2925" s="151" t="s">
        <v>612</v>
      </c>
      <c r="AJ2925" s="501">
        <v>0.001</v>
      </c>
      <c r="AK2925" s="151" t="s">
        <v>135</v>
      </c>
      <c r="AL2925" s="151" t="s">
        <v>186</v>
      </c>
      <c r="AM2925" s="151" t="s">
        <v>141</v>
      </c>
      <c r="AN2925" s="151" t="s">
        <v>138</v>
      </c>
      <c r="AO2925" s="161">
        <v>24.0</v>
      </c>
      <c r="AP2925" s="161">
        <v>0.462</v>
      </c>
      <c r="AQ2925" s="151" t="s">
        <v>874</v>
      </c>
      <c r="AR2925" s="151" t="s">
        <v>17455</v>
      </c>
      <c r="AS2925" s="161">
        <v>0.001</v>
      </c>
      <c r="AT2925" s="151" t="s">
        <v>135</v>
      </c>
      <c r="AU2925" s="151" t="s">
        <v>186</v>
      </c>
      <c r="AV2925" s="151" t="s">
        <v>141</v>
      </c>
      <c r="AW2925" s="1308" t="s">
        <v>138</v>
      </c>
      <c r="AX2925" s="151" t="s">
        <v>143</v>
      </c>
      <c r="AY2925" s="61" t="str">
        <f>IFERROR(__xludf.DUMMYFUNCTION("vlookup(BB2925,importrange(""https://docs.google.com/spreadsheets/d/1d2vevQ_7D_v35q4wCQ4RpQ_IPoTwEMB9Yp6ymwlPqew/edit?gid=984458430#gid=984458430"", ""'replication success'!A:K""), 11, FAlSE)"),"#N/A")</f>
        <v>#N/A</v>
      </c>
      <c r="AZ2925" s="61" t="str">
        <f>IFERROR(__xludf.DUMMYFUNCTION("vlookup(BB2925,importrange(""https://docs.google.com/spreadsheets/d/1d2vevQ_7D_v35q4wCQ4RpQ_IPoTwEMB9Yp6ymwlPqew/edit?gid=984458430#gid=984458430"", ""'replication success'!A:M""), 12, FAlSE)"),"#N/A")</f>
        <v>#N/A</v>
      </c>
      <c r="BA2925" s="61" t="str">
        <f>IFERROR(__xludf.DUMMYFUNCTION("vlookup(BB2925,importrange(""https://docs.google.com/spreadsheets/d/1d2vevQ_7D_v35q4wCQ4RpQ_IPoTwEMB9Yp6ymwlPqew/edit?gid=984458430#gid=984458430"", ""'replication success'!A:M""), 13, FAlSE)"),"#N/A")</f>
        <v>#N/A</v>
      </c>
      <c r="BB2925" s="61" t="str">
        <f>IFERROR(__xludf.DUMMYFUNCTION("REGEXREPLACE(G2925, ""_[a-z]{1,2}$"", """")"),"av_64")</f>
        <v>av_64</v>
      </c>
    </row>
    <row r="2926">
      <c r="A2926" s="44">
        <v>3213.0</v>
      </c>
      <c r="B2926" s="129" t="s">
        <v>523</v>
      </c>
      <c r="C2926" s="62" t="s">
        <v>115</v>
      </c>
      <c r="D2926" s="62" t="s">
        <v>17124</v>
      </c>
      <c r="F2926" s="129" t="s">
        <v>17442</v>
      </c>
      <c r="G2926" s="151" t="s">
        <v>17456</v>
      </c>
      <c r="H2926" s="151" t="s">
        <v>17127</v>
      </c>
      <c r="I2926" s="1542">
        <v>45829.0</v>
      </c>
      <c r="J2926" s="152"/>
      <c r="K2926" s="129" t="s">
        <v>17457</v>
      </c>
      <c r="L2926" s="68"/>
      <c r="M2926" s="151" t="s">
        <v>17458</v>
      </c>
      <c r="N2926" s="151" t="s">
        <v>17459</v>
      </c>
      <c r="O2926" s="68"/>
      <c r="P2926" s="309" t="s">
        <v>17447</v>
      </c>
      <c r="Q2926" s="2363" t="s">
        <v>1535</v>
      </c>
      <c r="R2926" s="151" t="s">
        <v>17448</v>
      </c>
      <c r="S2926" s="151" t="s">
        <v>17449</v>
      </c>
      <c r="T2926" s="68"/>
      <c r="U2926" s="129" t="s">
        <v>4092</v>
      </c>
      <c r="V2926" s="309" t="s">
        <v>17450</v>
      </c>
      <c r="W2926" s="1228"/>
      <c r="X2926" s="2364" t="s">
        <v>7284</v>
      </c>
      <c r="Y2926" s="159"/>
      <c r="Z2926" s="151" t="s">
        <v>148</v>
      </c>
      <c r="AA2926" s="151" t="s">
        <v>17451</v>
      </c>
      <c r="AB2926" s="151" t="s">
        <v>17452</v>
      </c>
      <c r="AC2926" s="151" t="s">
        <v>17453</v>
      </c>
      <c r="AD2926" s="129" t="s">
        <v>17460</v>
      </c>
      <c r="AE2926" s="129">
        <v>12.0</v>
      </c>
      <c r="AF2926" s="161">
        <v>32.0</v>
      </c>
      <c r="AG2926" s="161">
        <v>0.43</v>
      </c>
      <c r="AH2926" s="151" t="s">
        <v>874</v>
      </c>
      <c r="AI2926" s="151" t="s">
        <v>436</v>
      </c>
      <c r="AJ2926" s="501">
        <v>0.05</v>
      </c>
      <c r="AK2926" s="151" t="s">
        <v>135</v>
      </c>
      <c r="AL2926" s="151" t="s">
        <v>186</v>
      </c>
      <c r="AM2926" s="151" t="s">
        <v>141</v>
      </c>
      <c r="AN2926" s="151" t="s">
        <v>138</v>
      </c>
      <c r="AO2926" s="161">
        <v>24.0</v>
      </c>
      <c r="AP2926" s="161">
        <v>0.276</v>
      </c>
      <c r="AQ2926" s="151" t="s">
        <v>874</v>
      </c>
      <c r="AR2926" s="151" t="s">
        <v>17455</v>
      </c>
      <c r="AS2926" s="161">
        <v>0.007</v>
      </c>
      <c r="AT2926" s="151" t="s">
        <v>172</v>
      </c>
      <c r="AU2926" s="151" t="s">
        <v>186</v>
      </c>
      <c r="AV2926" s="151" t="s">
        <v>141</v>
      </c>
      <c r="AW2926" s="1308" t="s">
        <v>138</v>
      </c>
      <c r="AX2926" s="151" t="s">
        <v>143</v>
      </c>
      <c r="AY2926" s="61" t="str">
        <f>IFERROR(__xludf.DUMMYFUNCTION("vlookup(BB2926,importrange(""https://docs.google.com/spreadsheets/d/1d2vevQ_7D_v35q4wCQ4RpQ_IPoTwEMB9Yp6ymwlPqew/edit?gid=984458430#gid=984458430"", ""'replication success'!A:K""), 11, FAlSE)"),"#N/A")</f>
        <v>#N/A</v>
      </c>
      <c r="AZ2926" s="61" t="str">
        <f>IFERROR(__xludf.DUMMYFUNCTION("vlookup(BB2926,importrange(""https://docs.google.com/spreadsheets/d/1d2vevQ_7D_v35q4wCQ4RpQ_IPoTwEMB9Yp6ymwlPqew/edit?gid=984458430#gid=984458430"", ""'replication success'!A:M""), 12, FAlSE)"),"#N/A")</f>
        <v>#N/A</v>
      </c>
      <c r="BA2926" s="61" t="str">
        <f>IFERROR(__xludf.DUMMYFUNCTION("vlookup(BB2926,importrange(""https://docs.google.com/spreadsheets/d/1d2vevQ_7D_v35q4wCQ4RpQ_IPoTwEMB9Yp6ymwlPqew/edit?gid=984458430#gid=984458430"", ""'replication success'!A:M""), 13, FAlSE)"),"#N/A")</f>
        <v>#N/A</v>
      </c>
      <c r="BB2926" s="61" t="str">
        <f>IFERROR(__xludf.DUMMYFUNCTION("REGEXREPLACE(G2926, ""_[a-z]{1,2}$"", """")"),"av_64")</f>
        <v>av_64</v>
      </c>
    </row>
    <row r="2927">
      <c r="A2927" s="2119">
        <v>2726.0</v>
      </c>
      <c r="B2927" s="1800" t="s">
        <v>114</v>
      </c>
      <c r="C2927" s="1631" t="s">
        <v>115</v>
      </c>
      <c r="D2927" s="1631" t="s">
        <v>15473</v>
      </c>
      <c r="E2927" s="1123"/>
      <c r="F2927" s="2367" t="s">
        <v>7277</v>
      </c>
      <c r="G2927" s="2368" t="s">
        <v>7278</v>
      </c>
      <c r="H2927" s="2368" t="s">
        <v>17461</v>
      </c>
      <c r="I2927" s="2369">
        <v>45331.0</v>
      </c>
      <c r="J2927" s="2370">
        <v>45828.0</v>
      </c>
      <c r="K2927" s="2367" t="s">
        <v>17462</v>
      </c>
      <c r="L2927" s="2371" t="s">
        <v>17463</v>
      </c>
      <c r="M2927" s="2368" t="s">
        <v>17464</v>
      </c>
      <c r="N2927" s="2368" t="s">
        <v>7282</v>
      </c>
      <c r="O2927" s="2372">
        <v>1.0</v>
      </c>
      <c r="P2927" s="2368" t="s">
        <v>7283</v>
      </c>
      <c r="Q2927" s="2373" t="str">
        <f> hyperlink(vlookup(lower(N2927),'File Links'!E:F, 2, FALSE), "LINK")</f>
        <v>LINK</v>
      </c>
      <c r="R2927" s="1638" t="s">
        <v>7285</v>
      </c>
      <c r="S2927" s="1634" t="s">
        <v>7286</v>
      </c>
      <c r="T2927" s="1638" t="s">
        <v>7287</v>
      </c>
      <c r="U2927" s="1825">
        <v>1.0</v>
      </c>
      <c r="V2927" s="1634" t="s">
        <v>7288</v>
      </c>
      <c r="W2927" s="1800" t="s">
        <v>7289</v>
      </c>
      <c r="X2927" s="2374" t="str">
        <f> hyperlink(vlookup(lower(S2927),'File Links'!E:F, 2, FALSE), "LINK")</f>
        <v>LINK</v>
      </c>
      <c r="Y2927" s="1632"/>
      <c r="Z2927" s="1634" t="s">
        <v>947</v>
      </c>
      <c r="AA2927" s="1634" t="s">
        <v>17465</v>
      </c>
      <c r="AB2927" s="1634" t="s">
        <v>7291</v>
      </c>
      <c r="AC2927" s="491" t="s">
        <v>17466</v>
      </c>
      <c r="AD2927" s="1800" t="s">
        <v>17467</v>
      </c>
      <c r="AE2927" s="1825">
        <v>4.0</v>
      </c>
      <c r="AF2927" s="1825">
        <v>37.0</v>
      </c>
      <c r="AG2927" s="1634" t="s">
        <v>138</v>
      </c>
      <c r="AH2927" s="1634" t="s">
        <v>138</v>
      </c>
      <c r="AI2927" s="1632" t="s">
        <v>496</v>
      </c>
      <c r="AJ2927" s="1825">
        <v>0.01</v>
      </c>
      <c r="AK2927" s="1632" t="s">
        <v>135</v>
      </c>
      <c r="AL2927" s="1632" t="s">
        <v>186</v>
      </c>
      <c r="AM2927" s="1632" t="s">
        <v>137</v>
      </c>
      <c r="AN2927" s="1632"/>
      <c r="AO2927" s="1825">
        <v>240.0</v>
      </c>
      <c r="AP2927" s="1634" t="s">
        <v>138</v>
      </c>
      <c r="AQ2927" s="1634" t="s">
        <v>138</v>
      </c>
      <c r="AR2927" s="1632" t="s">
        <v>1173</v>
      </c>
      <c r="AS2927" s="1825">
        <v>0.001</v>
      </c>
      <c r="AT2927" s="1632" t="s">
        <v>135</v>
      </c>
      <c r="AU2927" s="1632" t="s">
        <v>186</v>
      </c>
      <c r="AV2927" s="1632" t="s">
        <v>137</v>
      </c>
      <c r="AW2927" s="2123" t="s">
        <v>17468</v>
      </c>
      <c r="AX2927" s="1632" t="s">
        <v>143</v>
      </c>
      <c r="AY2927" s="61" t="str">
        <f>IFERROR(__xludf.DUMMYFUNCTION("vlookup(BB2927,importrange(""https://docs.google.com/spreadsheets/d/1d2vevQ_7D_v35q4wCQ4RpQ_IPoTwEMB9Yp6ymwlPqew/edit?gid=984458430#gid=984458430"", ""'replication success'!A:K""), 11, FAlSE)"),"successful")</f>
        <v>successful</v>
      </c>
      <c r="AZ2927" s="61" t="str">
        <f>IFERROR(__xludf.DUMMYFUNCTION("vlookup(BB2927,importrange(""https://docs.google.com/spreadsheets/d/1d2vevQ_7D_v35q4wCQ4RpQ_IPoTwEMB9Yp6ymwlPqew/edit?gid=984458430#gid=984458430"", ""'replication success'!A:M""), 12, FAlSE)"),"Overall, we conclude strong empirical support for Kruger’s above-and-below-average effects, with boundary conditions laid out in the extensions expanding both generalizability and robustness of the phenomenon.")</f>
        <v>Overall, we conclude strong empirical support for Kruger’s above-and-below-average effects, with boundary conditions laid out in the extensions expanding both generalizability and robustness of the phenomenon.</v>
      </c>
      <c r="BA2927" s="61" t="str">
        <f>IFERROR(__xludf.DUMMYFUNCTION("vlookup(BB2927,importrange(""https://docs.google.com/spreadsheets/d/1d2vevQ_7D_v35q4wCQ4RpQ_IPoTwEMB9Yp6ymwlPqew/edit?gid=984458430#gid=984458430"", ""'replication success'!A:M""), 13, FAlSE)"),"abstract")</f>
        <v>abstract</v>
      </c>
      <c r="BB2927" s="61" t="str">
        <f>IFERROR(__xludf.DUMMYFUNCTION("REGEXREPLACE(G2927, ""_[a-z]{1,2}$"", """")"),"CORE_1")</f>
        <v>CORE_1</v>
      </c>
      <c r="BC2927" s="1123"/>
      <c r="BD2927" s="1631" t="s">
        <v>814</v>
      </c>
      <c r="BE2927" s="1632"/>
      <c r="BF2927" s="1123"/>
      <c r="BG2927" s="1123"/>
      <c r="BH2927" s="1123"/>
      <c r="BI2927" s="1123"/>
      <c r="BJ2927" s="1123"/>
      <c r="BK2927" s="1123"/>
      <c r="BL2927" s="1123"/>
      <c r="BM2927" s="1123"/>
      <c r="BN2927" s="1123"/>
      <c r="BO2927" s="1123"/>
      <c r="BP2927" s="1123"/>
      <c r="BQ2927" s="1123"/>
      <c r="BR2927" s="1123"/>
      <c r="BS2927" s="1123"/>
      <c r="BT2927" s="1123"/>
      <c r="BU2927" s="1123"/>
      <c r="BV2927" s="1123"/>
      <c r="BW2927" s="1123"/>
      <c r="BX2927" s="1123"/>
      <c r="BY2927" s="1123"/>
      <c r="BZ2927" s="1123"/>
      <c r="CA2927" s="1123"/>
      <c r="CB2927" s="1123"/>
      <c r="CC2927" s="1123"/>
      <c r="CD2927" s="1123"/>
      <c r="CE2927" s="1123"/>
      <c r="CF2927" s="1123"/>
      <c r="CG2927" s="1123"/>
      <c r="CH2927" s="1123"/>
      <c r="CI2927" s="1123"/>
      <c r="CJ2927" s="1123"/>
      <c r="CK2927" s="1123"/>
      <c r="CL2927" s="1123"/>
      <c r="CM2927" s="1123"/>
      <c r="CN2927" s="1123"/>
      <c r="CO2927" s="1123"/>
      <c r="CP2927" s="1123"/>
      <c r="CQ2927" s="1123"/>
      <c r="CR2927" s="1123"/>
      <c r="CS2927" s="1123"/>
      <c r="CT2927" s="1123"/>
      <c r="CU2927" s="1123"/>
      <c r="CV2927" s="1123"/>
      <c r="CW2927" s="1123"/>
      <c r="CX2927" s="1123"/>
      <c r="CY2927" s="1123"/>
      <c r="CZ2927" s="1123"/>
      <c r="DA2927" s="1123"/>
      <c r="DB2927" s="1123"/>
      <c r="DC2927" s="1123"/>
      <c r="DD2927" s="1123"/>
      <c r="DE2927" s="1123"/>
      <c r="DF2927" s="1123"/>
      <c r="DG2927" s="1123"/>
      <c r="DH2927" s="1123"/>
      <c r="DI2927" s="1123"/>
      <c r="DJ2927" s="1123"/>
      <c r="DK2927" s="1123"/>
      <c r="DL2927" s="1123"/>
    </row>
    <row r="2928">
      <c r="A2928" s="44">
        <v>2940.0</v>
      </c>
      <c r="B2928" s="129" t="s">
        <v>523</v>
      </c>
      <c r="C2928" s="62" t="s">
        <v>115</v>
      </c>
      <c r="D2928" s="62" t="s">
        <v>248</v>
      </c>
      <c r="F2928" s="68" t="s">
        <v>17469</v>
      </c>
      <c r="G2928" s="68" t="s">
        <v>17470</v>
      </c>
      <c r="H2928" s="68" t="s">
        <v>249</v>
      </c>
      <c r="I2928" s="529">
        <v>45813.0</v>
      </c>
      <c r="J2928" s="862"/>
      <c r="K2928" s="68" t="s">
        <v>17471</v>
      </c>
      <c r="L2928" s="68"/>
      <c r="M2928" s="68" t="s">
        <v>17472</v>
      </c>
      <c r="N2928" s="68" t="s">
        <v>17473</v>
      </c>
      <c r="O2928" s="68"/>
      <c r="P2928" s="573" t="s">
        <v>17474</v>
      </c>
      <c r="Q2928" s="2375" t="str">
        <f> hyperlink(vlookup(lower(N2928),'File Links'!E:F, 2, FALSE), "LINK")</f>
        <v>LINK</v>
      </c>
      <c r="R2928" s="68" t="s">
        <v>17475</v>
      </c>
      <c r="S2928" s="68" t="s">
        <v>17476</v>
      </c>
      <c r="T2928" s="68"/>
      <c r="U2928" s="68"/>
      <c r="V2928" s="573" t="s">
        <v>17477</v>
      </c>
      <c r="W2928" s="1228"/>
      <c r="X2928" s="2376" t="str">
        <f> hyperlink(vlookup(lower(S2928),'File Links'!E:F, 2, FALSE), "LINK")</f>
        <v>LINK</v>
      </c>
      <c r="Y2928" s="68"/>
      <c r="Z2928" s="68" t="s">
        <v>947</v>
      </c>
      <c r="AA2928" s="68" t="s">
        <v>17478</v>
      </c>
      <c r="AB2928" s="68" t="s">
        <v>7291</v>
      </c>
      <c r="AC2928" s="68" t="s">
        <v>17479</v>
      </c>
      <c r="AD2928" s="68" t="s">
        <v>17480</v>
      </c>
      <c r="AE2928" s="68" t="s">
        <v>496</v>
      </c>
      <c r="AF2928" s="336">
        <v>100.0</v>
      </c>
      <c r="AG2928" s="336">
        <v>0.64</v>
      </c>
      <c r="AH2928" s="68" t="s">
        <v>215</v>
      </c>
      <c r="AI2928" s="68" t="s">
        <v>496</v>
      </c>
      <c r="AJ2928" s="68" t="s">
        <v>138</v>
      </c>
      <c r="AK2928" s="68" t="s">
        <v>172</v>
      </c>
      <c r="AL2928" s="68" t="s">
        <v>186</v>
      </c>
      <c r="AM2928" s="68" t="s">
        <v>137</v>
      </c>
      <c r="AN2928" s="68" t="s">
        <v>138</v>
      </c>
      <c r="AO2928" s="336">
        <v>46.0</v>
      </c>
      <c r="AP2928" s="336">
        <v>0.4</v>
      </c>
      <c r="AQ2928" s="68" t="s">
        <v>215</v>
      </c>
      <c r="AR2928" s="68" t="s">
        <v>17481</v>
      </c>
      <c r="AS2928" s="68"/>
      <c r="AT2928" s="68"/>
      <c r="AU2928" s="68"/>
      <c r="AV2928" s="68"/>
      <c r="AW2928" s="435" t="s">
        <v>17482</v>
      </c>
      <c r="AX2928" s="68" t="s">
        <v>143</v>
      </c>
      <c r="AY2928" s="61" t="str">
        <f>IFERROR(__xludf.DUMMYFUNCTION("vlookup(BB2928,importrange(""https://docs.google.com/spreadsheets/d/1d2vevQ_7D_v35q4wCQ4RpQ_IPoTwEMB9Yp6ymwlPqew/edit?gid=984458430#gid=984458430"", ""'replication success'!A:K""), 11, FAlSE)"),"#N/A")</f>
        <v>#N/A</v>
      </c>
      <c r="AZ2928" s="61" t="str">
        <f>IFERROR(__xludf.DUMMYFUNCTION("vlookup(BB2928,importrange(""https://docs.google.com/spreadsheets/d/1d2vevQ_7D_v35q4wCQ4RpQ_IPoTwEMB9Yp6ymwlPqew/edit?gid=984458430#gid=984458430"", ""'replication success'!A:M""), 12, FAlSE)"),"#N/A")</f>
        <v>#N/A</v>
      </c>
      <c r="BA2928" s="61" t="str">
        <f>IFERROR(__xludf.DUMMYFUNCTION("vlookup(BB2928,importrange(""https://docs.google.com/spreadsheets/d/1d2vevQ_7D_v35q4wCQ4RpQ_IPoTwEMB9Yp6ymwlPqew/edit?gid=984458430#gid=984458430"", ""'replication success'!A:M""), 13, FAlSE)"),"#N/A")</f>
        <v>#N/A</v>
      </c>
      <c r="BB2928" s="61" t="str">
        <f>IFERROR(__xludf.DUMMYFUNCTION("REGEXREPLACE(G2928, ""_[a-z]{1,2}$"", """")"),"CORE_101")</f>
        <v>CORE_101</v>
      </c>
      <c r="BC2928" s="68"/>
      <c r="BD2928" s="62" t="s">
        <v>7302</v>
      </c>
    </row>
    <row r="2929">
      <c r="A2929" s="2119">
        <v>2999.0</v>
      </c>
      <c r="B2929" s="1800" t="s">
        <v>114</v>
      </c>
      <c r="C2929" s="1631" t="s">
        <v>115</v>
      </c>
      <c r="D2929" s="1631" t="s">
        <v>15473</v>
      </c>
      <c r="E2929" s="1123"/>
      <c r="F2929" s="1632" t="s">
        <v>17469</v>
      </c>
      <c r="G2929" s="1634" t="s">
        <v>17470</v>
      </c>
      <c r="H2929" s="1634" t="s">
        <v>17483</v>
      </c>
      <c r="I2929" s="2120">
        <v>45331.0</v>
      </c>
      <c r="J2929" s="2127">
        <v>45842.0</v>
      </c>
      <c r="K2929" s="1632"/>
      <c r="L2929" s="491" t="s">
        <v>17484</v>
      </c>
      <c r="M2929" s="1634" t="s">
        <v>17472</v>
      </c>
      <c r="N2929" s="1634" t="s">
        <v>17473</v>
      </c>
      <c r="O2929" s="1803">
        <v>1.0</v>
      </c>
      <c r="P2929" s="1634" t="s">
        <v>17474</v>
      </c>
      <c r="Q2929" s="2373" t="str">
        <f> hyperlink(vlookup(lower(N2929),'File Links'!E:F, 2, FALSE), "LINK")</f>
        <v>LINK</v>
      </c>
      <c r="R2929" s="1634" t="s">
        <v>17475</v>
      </c>
      <c r="S2929" s="1634" t="s">
        <v>17476</v>
      </c>
      <c r="T2929" s="1632"/>
      <c r="U2929" s="1825">
        <v>2.0</v>
      </c>
      <c r="V2929" s="1634" t="s">
        <v>17477</v>
      </c>
      <c r="W2929" s="1800" t="s">
        <v>209</v>
      </c>
      <c r="X2929" s="2374" t="str">
        <f> hyperlink(vlookup(lower(S2929),'File Links'!E:F, 2, FALSE), "LINK")</f>
        <v>LINK</v>
      </c>
      <c r="Y2929" s="1632"/>
      <c r="Z2929" s="1634" t="s">
        <v>947</v>
      </c>
      <c r="AA2929" s="1634" t="s">
        <v>17478</v>
      </c>
      <c r="AB2929" s="1634" t="s">
        <v>7291</v>
      </c>
      <c r="AC2929" s="1634" t="s">
        <v>17479</v>
      </c>
      <c r="AD2929" s="1632" t="s">
        <v>17485</v>
      </c>
      <c r="AE2929" s="1825">
        <v>4.0</v>
      </c>
      <c r="AF2929" s="1803">
        <v>104.0</v>
      </c>
      <c r="AG2929" s="1825">
        <v>0.8</v>
      </c>
      <c r="AH2929" s="1632" t="s">
        <v>215</v>
      </c>
      <c r="AI2929" s="1632" t="s">
        <v>496</v>
      </c>
      <c r="AJ2929" s="1632" t="s">
        <v>138</v>
      </c>
      <c r="AK2929" s="1634" t="s">
        <v>138</v>
      </c>
      <c r="AL2929" s="1632" t="s">
        <v>186</v>
      </c>
      <c r="AM2929" s="1632" t="s">
        <v>137</v>
      </c>
      <c r="AN2929" s="1800" t="s">
        <v>138</v>
      </c>
      <c r="AO2929" s="1803">
        <v>835.0</v>
      </c>
      <c r="AP2929" s="1825">
        <v>0.77</v>
      </c>
      <c r="AQ2929" s="1632" t="s">
        <v>215</v>
      </c>
      <c r="AR2929" s="1800" t="s">
        <v>17481</v>
      </c>
      <c r="AS2929" s="1634" t="s">
        <v>138</v>
      </c>
      <c r="AT2929" s="1634" t="s">
        <v>138</v>
      </c>
      <c r="AU2929" s="1634" t="s">
        <v>138</v>
      </c>
      <c r="AV2929" s="1632" t="s">
        <v>137</v>
      </c>
      <c r="AW2929" s="2123" t="s">
        <v>17486</v>
      </c>
      <c r="AX2929" s="1632" t="s">
        <v>143</v>
      </c>
      <c r="AY2929" s="61" t="str">
        <f>IFERROR(__xludf.DUMMYFUNCTION("vlookup(BB2929,importrange(""https://docs.google.com/spreadsheets/d/1d2vevQ_7D_v35q4wCQ4RpQ_IPoTwEMB9Yp6ymwlPqew/edit?gid=984458430#gid=984458430"", ""'replication success'!A:K""), 11, FAlSE)"),"#N/A")</f>
        <v>#N/A</v>
      </c>
      <c r="AZ2929" s="61" t="str">
        <f>IFERROR(__xludf.DUMMYFUNCTION("vlookup(BB2929,importrange(""https://docs.google.com/spreadsheets/d/1d2vevQ_7D_v35q4wCQ4RpQ_IPoTwEMB9Yp6ymwlPqew/edit?gid=984458430#gid=984458430"", ""'replication success'!A:M""), 12, FAlSE)"),"#N/A")</f>
        <v>#N/A</v>
      </c>
      <c r="BA2929" s="61" t="str">
        <f>IFERROR(__xludf.DUMMYFUNCTION("vlookup(BB2929,importrange(""https://docs.google.com/spreadsheets/d/1d2vevQ_7D_v35q4wCQ4RpQ_IPoTwEMB9Yp6ymwlPqew/edit?gid=984458430#gid=984458430"", ""'replication success'!A:M""), 13, FAlSE)"),"#N/A")</f>
        <v>#N/A</v>
      </c>
      <c r="BB2929" s="61" t="str">
        <f>IFERROR(__xludf.DUMMYFUNCTION("REGEXREPLACE(G2929, ""_[a-z]{1,2}$"", """")"),"CORE_101")</f>
        <v>CORE_101</v>
      </c>
      <c r="BC2929" s="1632"/>
      <c r="BD2929" s="1631" t="s">
        <v>814</v>
      </c>
      <c r="BE2929" s="1123"/>
      <c r="BF2929" s="1123"/>
      <c r="BG2929" s="1123"/>
      <c r="BH2929" s="1123"/>
      <c r="BI2929" s="1123"/>
      <c r="BJ2929" s="1123"/>
      <c r="BK2929" s="1123"/>
      <c r="BL2929" s="1123"/>
      <c r="BM2929" s="1123"/>
      <c r="BN2929" s="1123"/>
      <c r="BO2929" s="1123"/>
      <c r="BP2929" s="1123"/>
      <c r="BQ2929" s="1123"/>
      <c r="BR2929" s="1123"/>
      <c r="BS2929" s="1123"/>
      <c r="BT2929" s="1123"/>
      <c r="BU2929" s="1123"/>
      <c r="BV2929" s="1123"/>
      <c r="BW2929" s="1123"/>
      <c r="BX2929" s="1123"/>
      <c r="BY2929" s="1123"/>
      <c r="BZ2929" s="1123"/>
      <c r="CA2929" s="1123"/>
      <c r="CB2929" s="1123"/>
      <c r="CC2929" s="1123"/>
      <c r="CD2929" s="1123"/>
      <c r="CE2929" s="1123"/>
      <c r="CF2929" s="1123"/>
      <c r="CG2929" s="1123"/>
      <c r="CH2929" s="1123"/>
      <c r="CI2929" s="1123"/>
      <c r="CJ2929" s="1123"/>
      <c r="CK2929" s="1123"/>
      <c r="CL2929" s="1123"/>
      <c r="CM2929" s="1123"/>
      <c r="CN2929" s="1123"/>
      <c r="CO2929" s="1123"/>
      <c r="CP2929" s="1123"/>
      <c r="CQ2929" s="1123"/>
      <c r="CR2929" s="1123"/>
      <c r="CS2929" s="1123"/>
      <c r="CT2929" s="1123"/>
      <c r="CU2929" s="1123"/>
      <c r="CV2929" s="1123"/>
      <c r="CW2929" s="1123"/>
      <c r="CX2929" s="1123"/>
      <c r="CY2929" s="1123"/>
      <c r="CZ2929" s="1123"/>
      <c r="DA2929" s="1123"/>
      <c r="DB2929" s="1123"/>
      <c r="DC2929" s="1123"/>
      <c r="DD2929" s="1123"/>
      <c r="DE2929" s="1123"/>
      <c r="DF2929" s="1123"/>
      <c r="DG2929" s="1123"/>
      <c r="DH2929" s="1123"/>
      <c r="DI2929" s="1123"/>
      <c r="DJ2929" s="1123"/>
      <c r="DK2929" s="1123"/>
      <c r="DL2929" s="1123"/>
    </row>
    <row r="2930">
      <c r="A2930" s="44">
        <v>2941.0</v>
      </c>
      <c r="B2930" s="129" t="s">
        <v>523</v>
      </c>
      <c r="C2930" s="62" t="s">
        <v>115</v>
      </c>
      <c r="D2930" s="62" t="s">
        <v>248</v>
      </c>
      <c r="F2930" s="68" t="s">
        <v>17469</v>
      </c>
      <c r="G2930" s="68" t="s">
        <v>17487</v>
      </c>
      <c r="H2930" s="68" t="s">
        <v>249</v>
      </c>
      <c r="I2930" s="529">
        <v>45813.0</v>
      </c>
      <c r="J2930" s="862"/>
      <c r="K2930" s="68" t="s">
        <v>17471</v>
      </c>
      <c r="L2930" s="68"/>
      <c r="M2930" s="68" t="s">
        <v>17472</v>
      </c>
      <c r="N2930" s="68" t="s">
        <v>17473</v>
      </c>
      <c r="O2930" s="68"/>
      <c r="P2930" s="573" t="s">
        <v>17474</v>
      </c>
      <c r="Q2930" s="2375" t="str">
        <f> hyperlink(vlookup(lower(N2930),'File Links'!E:F, 2, FALSE), "LINK")</f>
        <v>LINK</v>
      </c>
      <c r="R2930" s="68" t="s">
        <v>17475</v>
      </c>
      <c r="S2930" s="68" t="s">
        <v>17476</v>
      </c>
      <c r="T2930" s="68"/>
      <c r="U2930" s="68"/>
      <c r="V2930" s="573" t="s">
        <v>17477</v>
      </c>
      <c r="W2930" s="1228"/>
      <c r="X2930" s="2376" t="str">
        <f> hyperlink(vlookup(lower(S2930),'File Links'!E:F, 2, FALSE), "LINK")</f>
        <v>LINK</v>
      </c>
      <c r="Y2930" s="68"/>
      <c r="Z2930" s="68" t="s">
        <v>947</v>
      </c>
      <c r="AA2930" s="68" t="s">
        <v>17478</v>
      </c>
      <c r="AB2930" s="68" t="s">
        <v>7291</v>
      </c>
      <c r="AC2930" s="68" t="s">
        <v>17479</v>
      </c>
      <c r="AD2930" s="68" t="s">
        <v>17480</v>
      </c>
      <c r="AE2930" s="68" t="s">
        <v>496</v>
      </c>
      <c r="AF2930" s="336">
        <v>100.0</v>
      </c>
      <c r="AG2930" s="336">
        <v>0.64</v>
      </c>
      <c r="AH2930" s="68" t="s">
        <v>215</v>
      </c>
      <c r="AI2930" s="68" t="s">
        <v>496</v>
      </c>
      <c r="AJ2930" s="68" t="s">
        <v>138</v>
      </c>
      <c r="AK2930" s="68" t="s">
        <v>172</v>
      </c>
      <c r="AL2930" s="68" t="s">
        <v>186</v>
      </c>
      <c r="AM2930" s="68" t="s">
        <v>137</v>
      </c>
      <c r="AN2930" s="68" t="s">
        <v>138</v>
      </c>
      <c r="AO2930" s="336">
        <v>835.0</v>
      </c>
      <c r="AP2930" s="336">
        <v>0.59</v>
      </c>
      <c r="AQ2930" s="68" t="s">
        <v>215</v>
      </c>
      <c r="AR2930" s="68" t="s">
        <v>17481</v>
      </c>
      <c r="AS2930" s="68"/>
      <c r="AT2930" s="68"/>
      <c r="AU2930" s="68"/>
      <c r="AV2930" s="68"/>
      <c r="AW2930" s="435" t="s">
        <v>17482</v>
      </c>
      <c r="AX2930" s="68" t="s">
        <v>143</v>
      </c>
      <c r="AY2930" s="61" t="str">
        <f>IFERROR(__xludf.DUMMYFUNCTION("vlookup(BB2930,importrange(""https://docs.google.com/spreadsheets/d/1d2vevQ_7D_v35q4wCQ4RpQ_IPoTwEMB9Yp6ymwlPqew/edit?gid=984458430#gid=984458430"", ""'replication success'!A:K""), 11, FAlSE)"),"#N/A")</f>
        <v>#N/A</v>
      </c>
      <c r="AZ2930" s="61" t="str">
        <f>IFERROR(__xludf.DUMMYFUNCTION("vlookup(BB2930,importrange(""https://docs.google.com/spreadsheets/d/1d2vevQ_7D_v35q4wCQ4RpQ_IPoTwEMB9Yp6ymwlPqew/edit?gid=984458430#gid=984458430"", ""'replication success'!A:M""), 12, FAlSE)"),"#N/A")</f>
        <v>#N/A</v>
      </c>
      <c r="BA2930" s="61" t="str">
        <f>IFERROR(__xludf.DUMMYFUNCTION("vlookup(BB2930,importrange(""https://docs.google.com/spreadsheets/d/1d2vevQ_7D_v35q4wCQ4RpQ_IPoTwEMB9Yp6ymwlPqew/edit?gid=984458430#gid=984458430"", ""'replication success'!A:M""), 13, FAlSE)"),"#N/A")</f>
        <v>#N/A</v>
      </c>
      <c r="BB2930" s="61" t="str">
        <f>IFERROR(__xludf.DUMMYFUNCTION("REGEXREPLACE(G2930, ""_[a-z]{1,2}$"", """")"),"CORE_101")</f>
        <v>CORE_101</v>
      </c>
      <c r="BC2930" s="68"/>
      <c r="BD2930" s="62" t="s">
        <v>7302</v>
      </c>
    </row>
    <row r="2931">
      <c r="A2931" s="44">
        <v>2942.0</v>
      </c>
      <c r="B2931" s="129" t="s">
        <v>523</v>
      </c>
      <c r="C2931" s="62" t="s">
        <v>115</v>
      </c>
      <c r="D2931" s="62" t="s">
        <v>248</v>
      </c>
      <c r="F2931" s="68" t="s">
        <v>17469</v>
      </c>
      <c r="G2931" s="68" t="s">
        <v>17488</v>
      </c>
      <c r="H2931" s="68" t="s">
        <v>249</v>
      </c>
      <c r="I2931" s="529">
        <v>45813.0</v>
      </c>
      <c r="J2931" s="862"/>
      <c r="K2931" s="68" t="s">
        <v>17471</v>
      </c>
      <c r="L2931" s="68"/>
      <c r="M2931" s="68" t="s">
        <v>17472</v>
      </c>
      <c r="N2931" s="68" t="s">
        <v>17473</v>
      </c>
      <c r="O2931" s="68"/>
      <c r="P2931" s="573" t="s">
        <v>17474</v>
      </c>
      <c r="Q2931" s="2375" t="str">
        <f> hyperlink(vlookup(lower(N2931),'File Links'!E:F, 2, FALSE), "LINK")</f>
        <v>LINK</v>
      </c>
      <c r="R2931" s="68" t="s">
        <v>17475</v>
      </c>
      <c r="S2931" s="68" t="s">
        <v>17476</v>
      </c>
      <c r="T2931" s="68"/>
      <c r="U2931" s="68"/>
      <c r="V2931" s="573" t="s">
        <v>17477</v>
      </c>
      <c r="W2931" s="1228"/>
      <c r="X2931" s="2376" t="str">
        <f> hyperlink(vlookup(lower(S2931),'File Links'!E:F, 2, FALSE), "LINK")</f>
        <v>LINK</v>
      </c>
      <c r="Y2931" s="68"/>
      <c r="Z2931" s="68" t="s">
        <v>947</v>
      </c>
      <c r="AA2931" s="68" t="s">
        <v>17478</v>
      </c>
      <c r="AB2931" s="68" t="s">
        <v>7291</v>
      </c>
      <c r="AC2931" s="68" t="s">
        <v>17479</v>
      </c>
      <c r="AD2931" s="68" t="s">
        <v>17485</v>
      </c>
      <c r="AE2931" s="68" t="s">
        <v>496</v>
      </c>
      <c r="AF2931" s="336">
        <v>100.0</v>
      </c>
      <c r="AG2931" s="336">
        <v>0.8</v>
      </c>
      <c r="AH2931" s="68" t="s">
        <v>215</v>
      </c>
      <c r="AI2931" s="68" t="s">
        <v>496</v>
      </c>
      <c r="AJ2931" s="68" t="s">
        <v>138</v>
      </c>
      <c r="AK2931" s="68" t="s">
        <v>172</v>
      </c>
      <c r="AL2931" s="68" t="s">
        <v>186</v>
      </c>
      <c r="AM2931" s="68" t="s">
        <v>137</v>
      </c>
      <c r="AN2931" s="68" t="s">
        <v>138</v>
      </c>
      <c r="AO2931" s="336">
        <v>46.0</v>
      </c>
      <c r="AP2931" s="336">
        <v>0.62</v>
      </c>
      <c r="AQ2931" s="68" t="s">
        <v>215</v>
      </c>
      <c r="AR2931" s="68" t="s">
        <v>17481</v>
      </c>
      <c r="AS2931" s="68"/>
      <c r="AT2931" s="68"/>
      <c r="AU2931" s="68"/>
      <c r="AV2931" s="68"/>
      <c r="AW2931" s="435" t="s">
        <v>17482</v>
      </c>
      <c r="AX2931" s="68" t="s">
        <v>143</v>
      </c>
      <c r="AY2931" s="61" t="str">
        <f>IFERROR(__xludf.DUMMYFUNCTION("vlookup(BB2931,importrange(""https://docs.google.com/spreadsheets/d/1d2vevQ_7D_v35q4wCQ4RpQ_IPoTwEMB9Yp6ymwlPqew/edit?gid=984458430#gid=984458430"", ""'replication success'!A:K""), 11, FAlSE)"),"#N/A")</f>
        <v>#N/A</v>
      </c>
      <c r="AZ2931" s="61" t="str">
        <f>IFERROR(__xludf.DUMMYFUNCTION("vlookup(BB2931,importrange(""https://docs.google.com/spreadsheets/d/1d2vevQ_7D_v35q4wCQ4RpQ_IPoTwEMB9Yp6ymwlPqew/edit?gid=984458430#gid=984458430"", ""'replication success'!A:M""), 12, FAlSE)"),"#N/A")</f>
        <v>#N/A</v>
      </c>
      <c r="BA2931" s="61" t="str">
        <f>IFERROR(__xludf.DUMMYFUNCTION("vlookup(BB2931,importrange(""https://docs.google.com/spreadsheets/d/1d2vevQ_7D_v35q4wCQ4RpQ_IPoTwEMB9Yp6ymwlPqew/edit?gid=984458430#gid=984458430"", ""'replication success'!A:M""), 13, FAlSE)"),"#N/A")</f>
        <v>#N/A</v>
      </c>
      <c r="BB2931" s="61" t="str">
        <f>IFERROR(__xludf.DUMMYFUNCTION("REGEXREPLACE(G2931, ""_[a-z]{1,2}$"", """")"),"CORE_101")</f>
        <v>CORE_101</v>
      </c>
      <c r="BC2931" s="68"/>
      <c r="BD2931" s="62" t="s">
        <v>7302</v>
      </c>
    </row>
    <row r="2932">
      <c r="A2932" s="2119">
        <v>2943.0</v>
      </c>
      <c r="B2932" s="1800" t="s">
        <v>152</v>
      </c>
      <c r="C2932" s="1631" t="s">
        <v>115</v>
      </c>
      <c r="D2932" s="1631" t="s">
        <v>248</v>
      </c>
      <c r="E2932" s="1123"/>
      <c r="F2932" s="1632" t="s">
        <v>17469</v>
      </c>
      <c r="G2932" s="1632" t="s">
        <v>17489</v>
      </c>
      <c r="H2932" s="1632" t="s">
        <v>249</v>
      </c>
      <c r="I2932" s="2377">
        <v>45813.0</v>
      </c>
      <c r="J2932" s="2127">
        <v>45842.0</v>
      </c>
      <c r="K2932" s="1632" t="s">
        <v>17471</v>
      </c>
      <c r="L2932" s="1800" t="s">
        <v>17490</v>
      </c>
      <c r="M2932" s="1632" t="s">
        <v>17472</v>
      </c>
      <c r="N2932" s="1632" t="s">
        <v>17473</v>
      </c>
      <c r="O2932" s="1800">
        <v>1.0</v>
      </c>
      <c r="P2932" s="1632" t="s">
        <v>17474</v>
      </c>
      <c r="Q2932" s="2378" t="str">
        <f> hyperlink(vlookup(lower(N2932),'File Links'!E:F, 2, FALSE), "LINK")</f>
        <v>LINK</v>
      </c>
      <c r="R2932" s="1632" t="s">
        <v>17475</v>
      </c>
      <c r="S2932" s="1632" t="s">
        <v>17476</v>
      </c>
      <c r="T2932" s="1632"/>
      <c r="U2932" s="1632"/>
      <c r="V2932" s="1632" t="s">
        <v>17477</v>
      </c>
      <c r="W2932" s="1800" t="s">
        <v>209</v>
      </c>
      <c r="X2932" s="2379" t="str">
        <f> hyperlink(vlookup(lower(S2932),'File Links'!E:F, 2, FALSE), "LINK")</f>
        <v>LINK</v>
      </c>
      <c r="Y2932" s="1632"/>
      <c r="Z2932" s="1632" t="s">
        <v>947</v>
      </c>
      <c r="AA2932" s="1632" t="s">
        <v>17478</v>
      </c>
      <c r="AB2932" s="1632" t="s">
        <v>7291</v>
      </c>
      <c r="AC2932" s="1632" t="s">
        <v>17479</v>
      </c>
      <c r="AD2932" s="1632" t="s">
        <v>17485</v>
      </c>
      <c r="AE2932" s="1632" t="s">
        <v>496</v>
      </c>
      <c r="AF2932" s="1803">
        <v>104.0</v>
      </c>
      <c r="AG2932" s="1825">
        <v>0.8</v>
      </c>
      <c r="AH2932" s="1632" t="s">
        <v>215</v>
      </c>
      <c r="AI2932" s="1632" t="s">
        <v>496</v>
      </c>
      <c r="AJ2932" s="1632" t="s">
        <v>138</v>
      </c>
      <c r="AK2932" s="1634" t="s">
        <v>138</v>
      </c>
      <c r="AL2932" s="1632" t="s">
        <v>186</v>
      </c>
      <c r="AM2932" s="1632" t="s">
        <v>137</v>
      </c>
      <c r="AN2932" s="1632" t="s">
        <v>138</v>
      </c>
      <c r="AO2932" s="1825">
        <v>835.0</v>
      </c>
      <c r="AP2932" s="1825">
        <v>0.77</v>
      </c>
      <c r="AQ2932" s="1632" t="s">
        <v>215</v>
      </c>
      <c r="AR2932" s="1632" t="s">
        <v>17481</v>
      </c>
      <c r="AS2932" s="1634" t="s">
        <v>138</v>
      </c>
      <c r="AT2932" s="1634" t="s">
        <v>138</v>
      </c>
      <c r="AU2932" s="1634" t="s">
        <v>138</v>
      </c>
      <c r="AV2932" s="1632" t="s">
        <v>137</v>
      </c>
      <c r="AW2932" s="2123" t="s">
        <v>17482</v>
      </c>
      <c r="AX2932" s="1632" t="s">
        <v>143</v>
      </c>
      <c r="AY2932" s="61" t="str">
        <f>IFERROR(__xludf.DUMMYFUNCTION("vlookup(BB2932,importrange(""https://docs.google.com/spreadsheets/d/1d2vevQ_7D_v35q4wCQ4RpQ_IPoTwEMB9Yp6ymwlPqew/edit?gid=984458430#gid=984458430"", ""'replication success'!A:K""), 11, FAlSE)"),"#N/A")</f>
        <v>#N/A</v>
      </c>
      <c r="AZ2932" s="61" t="str">
        <f>IFERROR(__xludf.DUMMYFUNCTION("vlookup(BB2932,importrange(""https://docs.google.com/spreadsheets/d/1d2vevQ_7D_v35q4wCQ4RpQ_IPoTwEMB9Yp6ymwlPqew/edit?gid=984458430#gid=984458430"", ""'replication success'!A:M""), 12, FAlSE)"),"#N/A")</f>
        <v>#N/A</v>
      </c>
      <c r="BA2932" s="61" t="str">
        <f>IFERROR(__xludf.DUMMYFUNCTION("vlookup(BB2932,importrange(""https://docs.google.com/spreadsheets/d/1d2vevQ_7D_v35q4wCQ4RpQ_IPoTwEMB9Yp6ymwlPqew/edit?gid=984458430#gid=984458430"", ""'replication success'!A:M""), 13, FAlSE)"),"#N/A")</f>
        <v>#N/A</v>
      </c>
      <c r="BB2932" s="61" t="str">
        <f>IFERROR(__xludf.DUMMYFUNCTION("REGEXREPLACE(G2932, ""_[a-z]{1,2}$"", """")"),"CORE_101")</f>
        <v>CORE_101</v>
      </c>
      <c r="BC2932" s="1632"/>
      <c r="BD2932" s="1631" t="s">
        <v>1270</v>
      </c>
      <c r="BE2932" s="1123"/>
      <c r="BF2932" s="1123"/>
      <c r="BG2932" s="1123"/>
      <c r="BH2932" s="1123"/>
      <c r="BI2932" s="1123"/>
      <c r="BJ2932" s="1123"/>
      <c r="BK2932" s="1123"/>
      <c r="BL2932" s="1123"/>
      <c r="BM2932" s="1123"/>
      <c r="BN2932" s="1123"/>
      <c r="BO2932" s="1123"/>
      <c r="BP2932" s="1123"/>
      <c r="BQ2932" s="1123"/>
      <c r="BR2932" s="1123"/>
      <c r="BS2932" s="1123"/>
      <c r="BT2932" s="1123"/>
      <c r="BU2932" s="1123"/>
      <c r="BV2932" s="1123"/>
      <c r="BW2932" s="1123"/>
      <c r="BX2932" s="1123"/>
      <c r="BY2932" s="1123"/>
      <c r="BZ2932" s="1123"/>
      <c r="CA2932" s="1123"/>
      <c r="CB2932" s="1123"/>
      <c r="CC2932" s="1123"/>
      <c r="CD2932" s="1123"/>
      <c r="CE2932" s="1123"/>
      <c r="CF2932" s="1123"/>
      <c r="CG2932" s="1123"/>
      <c r="CH2932" s="1123"/>
      <c r="CI2932" s="1123"/>
      <c r="CJ2932" s="1123"/>
      <c r="CK2932" s="1123"/>
      <c r="CL2932" s="1123"/>
      <c r="CM2932" s="1123"/>
      <c r="CN2932" s="1123"/>
      <c r="CO2932" s="1123"/>
      <c r="CP2932" s="1123"/>
      <c r="CQ2932" s="1123"/>
      <c r="CR2932" s="1123"/>
      <c r="CS2932" s="1123"/>
      <c r="CT2932" s="1123"/>
      <c r="CU2932" s="1123"/>
      <c r="CV2932" s="1123"/>
      <c r="CW2932" s="1123"/>
      <c r="CX2932" s="1123"/>
      <c r="CY2932" s="1123"/>
      <c r="CZ2932" s="1123"/>
      <c r="DA2932" s="1123"/>
      <c r="DB2932" s="1123"/>
      <c r="DC2932" s="1123"/>
      <c r="DD2932" s="1123"/>
      <c r="DE2932" s="1123"/>
      <c r="DF2932" s="1123"/>
      <c r="DG2932" s="1123"/>
      <c r="DH2932" s="1123"/>
      <c r="DI2932" s="1123"/>
      <c r="DJ2932" s="1123"/>
      <c r="DK2932" s="1123"/>
      <c r="DL2932" s="1123"/>
    </row>
    <row r="2933">
      <c r="A2933" s="44">
        <v>2944.0</v>
      </c>
      <c r="B2933" s="129" t="s">
        <v>523</v>
      </c>
      <c r="C2933" s="62" t="s">
        <v>115</v>
      </c>
      <c r="D2933" s="62" t="s">
        <v>248</v>
      </c>
      <c r="F2933" s="68" t="s">
        <v>17469</v>
      </c>
      <c r="G2933" s="68" t="s">
        <v>17491</v>
      </c>
      <c r="H2933" s="68" t="s">
        <v>249</v>
      </c>
      <c r="I2933" s="529">
        <v>45813.0</v>
      </c>
      <c r="J2933" s="862"/>
      <c r="K2933" s="68"/>
      <c r="L2933" s="68"/>
      <c r="M2933" s="68" t="s">
        <v>17472</v>
      </c>
      <c r="N2933" s="68" t="s">
        <v>17473</v>
      </c>
      <c r="O2933" s="68"/>
      <c r="P2933" s="573" t="s">
        <v>17474</v>
      </c>
      <c r="Q2933" s="2375" t="str">
        <f> hyperlink(vlookup(lower(N2933),'File Links'!E:F, 2, FALSE), "LINK")</f>
        <v>LINK</v>
      </c>
      <c r="R2933" s="68" t="s">
        <v>17475</v>
      </c>
      <c r="S2933" s="68" t="s">
        <v>17476</v>
      </c>
      <c r="T2933" s="68"/>
      <c r="U2933" s="68"/>
      <c r="V2933" s="573" t="s">
        <v>17477</v>
      </c>
      <c r="W2933" s="1228"/>
      <c r="X2933" s="2376" t="str">
        <f> hyperlink(vlookup(lower(S2933),'File Links'!E:F, 2, FALSE), "LINK")</f>
        <v>LINK</v>
      </c>
      <c r="Y2933" s="68"/>
      <c r="Z2933" s="68" t="s">
        <v>947</v>
      </c>
      <c r="AA2933" s="68" t="s">
        <v>17478</v>
      </c>
      <c r="AB2933" s="68" t="s">
        <v>7291</v>
      </c>
      <c r="AC2933" s="68" t="s">
        <v>17479</v>
      </c>
      <c r="AD2933" s="68" t="s">
        <v>17492</v>
      </c>
      <c r="AE2933" s="68" t="s">
        <v>496</v>
      </c>
      <c r="AF2933" s="336">
        <v>100.0</v>
      </c>
      <c r="AG2933" s="336">
        <v>0.79</v>
      </c>
      <c r="AH2933" s="68"/>
      <c r="AI2933" s="68" t="s">
        <v>496</v>
      </c>
      <c r="AJ2933" s="68" t="s">
        <v>138</v>
      </c>
      <c r="AK2933" s="68" t="s">
        <v>172</v>
      </c>
      <c r="AL2933" s="68" t="s">
        <v>186</v>
      </c>
      <c r="AM2933" s="68" t="s">
        <v>137</v>
      </c>
      <c r="AN2933" s="68" t="s">
        <v>138</v>
      </c>
      <c r="AO2933" s="336">
        <v>835.0</v>
      </c>
      <c r="AP2933" s="336">
        <v>0.79</v>
      </c>
      <c r="AQ2933" s="68" t="s">
        <v>215</v>
      </c>
      <c r="AR2933" s="68" t="s">
        <v>17481</v>
      </c>
      <c r="AS2933" s="68"/>
      <c r="AT2933" s="68"/>
      <c r="AU2933" s="68"/>
      <c r="AV2933" s="68"/>
      <c r="AW2933" s="435" t="s">
        <v>17482</v>
      </c>
      <c r="AX2933" s="68" t="s">
        <v>143</v>
      </c>
      <c r="AY2933" s="61" t="str">
        <f>IFERROR(__xludf.DUMMYFUNCTION("vlookup(BB2933,importrange(""https://docs.google.com/spreadsheets/d/1d2vevQ_7D_v35q4wCQ4RpQ_IPoTwEMB9Yp6ymwlPqew/edit?gid=984458430#gid=984458430"", ""'replication success'!A:K""), 11, FAlSE)"),"#N/A")</f>
        <v>#N/A</v>
      </c>
      <c r="AZ2933" s="61" t="str">
        <f>IFERROR(__xludf.DUMMYFUNCTION("vlookup(BB2933,importrange(""https://docs.google.com/spreadsheets/d/1d2vevQ_7D_v35q4wCQ4RpQ_IPoTwEMB9Yp6ymwlPqew/edit?gid=984458430#gid=984458430"", ""'replication success'!A:M""), 12, FAlSE)"),"#N/A")</f>
        <v>#N/A</v>
      </c>
      <c r="BA2933" s="61" t="str">
        <f>IFERROR(__xludf.DUMMYFUNCTION("vlookup(BB2933,importrange(""https://docs.google.com/spreadsheets/d/1d2vevQ_7D_v35q4wCQ4RpQ_IPoTwEMB9Yp6ymwlPqew/edit?gid=984458430#gid=984458430"", ""'replication success'!A:M""), 13, FAlSE)"),"#N/A")</f>
        <v>#N/A</v>
      </c>
      <c r="BB2933" s="61" t="str">
        <f>IFERROR(__xludf.DUMMYFUNCTION("REGEXREPLACE(G2933, ""_[a-z]{1,2}$"", """")"),"CORE_101")</f>
        <v>CORE_101</v>
      </c>
      <c r="BC2933" s="68"/>
      <c r="BD2933" s="62" t="s">
        <v>7302</v>
      </c>
    </row>
    <row r="2934">
      <c r="A2934" s="44">
        <v>2945.0</v>
      </c>
      <c r="B2934" s="129" t="s">
        <v>523</v>
      </c>
      <c r="C2934" s="62" t="s">
        <v>115</v>
      </c>
      <c r="D2934" s="62" t="s">
        <v>248</v>
      </c>
      <c r="F2934" s="68" t="s">
        <v>17469</v>
      </c>
      <c r="G2934" s="68" t="s">
        <v>17493</v>
      </c>
      <c r="H2934" s="68" t="s">
        <v>249</v>
      </c>
      <c r="I2934" s="529">
        <v>45813.0</v>
      </c>
      <c r="J2934" s="862"/>
      <c r="K2934" s="68"/>
      <c r="L2934" s="68"/>
      <c r="M2934" s="68" t="s">
        <v>17472</v>
      </c>
      <c r="N2934" s="68" t="s">
        <v>17473</v>
      </c>
      <c r="O2934" s="68"/>
      <c r="P2934" s="573" t="s">
        <v>17474</v>
      </c>
      <c r="Q2934" s="2375" t="str">
        <f> hyperlink(vlookup(lower(N2934),'File Links'!E:F, 2, FALSE), "LINK")</f>
        <v>LINK</v>
      </c>
      <c r="R2934" s="68" t="s">
        <v>17475</v>
      </c>
      <c r="S2934" s="68" t="s">
        <v>17476</v>
      </c>
      <c r="T2934" s="68"/>
      <c r="U2934" s="68"/>
      <c r="V2934" s="573" t="s">
        <v>17477</v>
      </c>
      <c r="W2934" s="1228"/>
      <c r="X2934" s="2376" t="str">
        <f> hyperlink(vlookup(lower(S2934),'File Links'!E:F, 2, FALSE), "LINK")</f>
        <v>LINK</v>
      </c>
      <c r="Y2934" s="68"/>
      <c r="Z2934" s="68" t="s">
        <v>947</v>
      </c>
      <c r="AA2934" s="68" t="s">
        <v>17478</v>
      </c>
      <c r="AB2934" s="68" t="s">
        <v>7291</v>
      </c>
      <c r="AC2934" s="68" t="s">
        <v>17479</v>
      </c>
      <c r="AD2934" s="68" t="s">
        <v>17494</v>
      </c>
      <c r="AE2934" s="68" t="s">
        <v>496</v>
      </c>
      <c r="AF2934" s="336">
        <v>100.0</v>
      </c>
      <c r="AG2934" s="336">
        <v>0.79</v>
      </c>
      <c r="AH2934" s="68"/>
      <c r="AI2934" s="68" t="s">
        <v>496</v>
      </c>
      <c r="AJ2934" s="68" t="s">
        <v>138</v>
      </c>
      <c r="AK2934" s="68" t="s">
        <v>172</v>
      </c>
      <c r="AL2934" s="68" t="s">
        <v>186</v>
      </c>
      <c r="AM2934" s="68" t="s">
        <v>137</v>
      </c>
      <c r="AN2934" s="68" t="s">
        <v>138</v>
      </c>
      <c r="AO2934" s="336">
        <v>835.0</v>
      </c>
      <c r="AP2934" s="336">
        <v>0.75</v>
      </c>
      <c r="AQ2934" s="68" t="s">
        <v>215</v>
      </c>
      <c r="AR2934" s="68" t="s">
        <v>17481</v>
      </c>
      <c r="AS2934" s="68"/>
      <c r="AT2934" s="68"/>
      <c r="AU2934" s="68"/>
      <c r="AV2934" s="68"/>
      <c r="AW2934" s="435" t="s">
        <v>17482</v>
      </c>
      <c r="AX2934" s="68" t="s">
        <v>143</v>
      </c>
      <c r="AY2934" s="61" t="str">
        <f>IFERROR(__xludf.DUMMYFUNCTION("vlookup(BB2934,importrange(""https://docs.google.com/spreadsheets/d/1d2vevQ_7D_v35q4wCQ4RpQ_IPoTwEMB9Yp6ymwlPqew/edit?gid=984458430#gid=984458430"", ""'replication success'!A:K""), 11, FAlSE)"),"#N/A")</f>
        <v>#N/A</v>
      </c>
      <c r="AZ2934" s="61" t="str">
        <f>IFERROR(__xludf.DUMMYFUNCTION("vlookup(BB2934,importrange(""https://docs.google.com/spreadsheets/d/1d2vevQ_7D_v35q4wCQ4RpQ_IPoTwEMB9Yp6ymwlPqew/edit?gid=984458430#gid=984458430"", ""'replication success'!A:M""), 12, FAlSE)"),"#N/A")</f>
        <v>#N/A</v>
      </c>
      <c r="BA2934" s="61" t="str">
        <f>IFERROR(__xludf.DUMMYFUNCTION("vlookup(BB2934,importrange(""https://docs.google.com/spreadsheets/d/1d2vevQ_7D_v35q4wCQ4RpQ_IPoTwEMB9Yp6ymwlPqew/edit?gid=984458430#gid=984458430"", ""'replication success'!A:M""), 13, FAlSE)"),"#N/A")</f>
        <v>#N/A</v>
      </c>
      <c r="BB2934" s="61" t="str">
        <f>IFERROR(__xludf.DUMMYFUNCTION("REGEXREPLACE(G2934, ""_[a-z]{1,2}$"", """")"),"CORE_101")</f>
        <v>CORE_101</v>
      </c>
      <c r="BC2934" s="68"/>
      <c r="BD2934" s="62" t="s">
        <v>7302</v>
      </c>
    </row>
    <row r="2935">
      <c r="A2935" s="44">
        <v>2946.0</v>
      </c>
      <c r="B2935" s="129" t="s">
        <v>523</v>
      </c>
      <c r="C2935" s="62" t="s">
        <v>115</v>
      </c>
      <c r="D2935" s="62" t="s">
        <v>248</v>
      </c>
      <c r="F2935" s="68" t="s">
        <v>17469</v>
      </c>
      <c r="G2935" s="68" t="s">
        <v>17495</v>
      </c>
      <c r="H2935" s="68" t="s">
        <v>249</v>
      </c>
      <c r="I2935" s="529">
        <v>45813.0</v>
      </c>
      <c r="J2935" s="862"/>
      <c r="K2935" s="68"/>
      <c r="L2935" s="68"/>
      <c r="M2935" s="68" t="s">
        <v>17472</v>
      </c>
      <c r="N2935" s="68" t="s">
        <v>17473</v>
      </c>
      <c r="O2935" s="68"/>
      <c r="P2935" s="573" t="s">
        <v>17474</v>
      </c>
      <c r="Q2935" s="2375" t="str">
        <f> hyperlink(vlookup(lower(N2935),'File Links'!E:F, 2, FALSE), "LINK")</f>
        <v>LINK</v>
      </c>
      <c r="R2935" s="68" t="s">
        <v>17475</v>
      </c>
      <c r="S2935" s="68" t="s">
        <v>17476</v>
      </c>
      <c r="T2935" s="68"/>
      <c r="U2935" s="68"/>
      <c r="V2935" s="573" t="s">
        <v>17477</v>
      </c>
      <c r="W2935" s="1228"/>
      <c r="X2935" s="2376" t="str">
        <f> hyperlink(vlookup(lower(S2935),'File Links'!E:F, 2, FALSE), "LINK")</f>
        <v>LINK</v>
      </c>
      <c r="Y2935" s="68"/>
      <c r="Z2935" s="68" t="s">
        <v>947</v>
      </c>
      <c r="AA2935" s="68" t="s">
        <v>17478</v>
      </c>
      <c r="AB2935" s="68" t="s">
        <v>7291</v>
      </c>
      <c r="AC2935" s="68" t="s">
        <v>17479</v>
      </c>
      <c r="AD2935" s="68" t="s">
        <v>17496</v>
      </c>
      <c r="AE2935" s="68" t="s">
        <v>496</v>
      </c>
      <c r="AF2935" s="336">
        <v>100.0</v>
      </c>
      <c r="AG2935" s="336">
        <v>0.77</v>
      </c>
      <c r="AH2935" s="68"/>
      <c r="AI2935" s="68" t="s">
        <v>496</v>
      </c>
      <c r="AJ2935" s="68" t="s">
        <v>138</v>
      </c>
      <c r="AK2935" s="68" t="s">
        <v>172</v>
      </c>
      <c r="AL2935" s="68" t="s">
        <v>186</v>
      </c>
      <c r="AM2935" s="68" t="s">
        <v>137</v>
      </c>
      <c r="AN2935" s="68" t="s">
        <v>138</v>
      </c>
      <c r="AO2935" s="336">
        <v>835.0</v>
      </c>
      <c r="AP2935" s="336">
        <v>0.77</v>
      </c>
      <c r="AQ2935" s="68" t="s">
        <v>215</v>
      </c>
      <c r="AR2935" s="68" t="s">
        <v>17481</v>
      </c>
      <c r="AS2935" s="68"/>
      <c r="AT2935" s="68"/>
      <c r="AU2935" s="68"/>
      <c r="AV2935" s="68"/>
      <c r="AW2935" s="435" t="s">
        <v>17482</v>
      </c>
      <c r="AX2935" s="68" t="s">
        <v>143</v>
      </c>
      <c r="AY2935" s="61" t="str">
        <f>IFERROR(__xludf.DUMMYFUNCTION("vlookup(BB2935,importrange(""https://docs.google.com/spreadsheets/d/1d2vevQ_7D_v35q4wCQ4RpQ_IPoTwEMB9Yp6ymwlPqew/edit?gid=984458430#gid=984458430"", ""'replication success'!A:K""), 11, FAlSE)"),"#N/A")</f>
        <v>#N/A</v>
      </c>
      <c r="AZ2935" s="61" t="str">
        <f>IFERROR(__xludf.DUMMYFUNCTION("vlookup(BB2935,importrange(""https://docs.google.com/spreadsheets/d/1d2vevQ_7D_v35q4wCQ4RpQ_IPoTwEMB9Yp6ymwlPqew/edit?gid=984458430#gid=984458430"", ""'replication success'!A:M""), 12, FAlSE)"),"#N/A")</f>
        <v>#N/A</v>
      </c>
      <c r="BA2935" s="61" t="str">
        <f>IFERROR(__xludf.DUMMYFUNCTION("vlookup(BB2935,importrange(""https://docs.google.com/spreadsheets/d/1d2vevQ_7D_v35q4wCQ4RpQ_IPoTwEMB9Yp6ymwlPqew/edit?gid=984458430#gid=984458430"", ""'replication success'!A:M""), 13, FAlSE)"),"#N/A")</f>
        <v>#N/A</v>
      </c>
      <c r="BB2935" s="61" t="str">
        <f>IFERROR(__xludf.DUMMYFUNCTION("REGEXREPLACE(G2935, ""_[a-z]{1,2}$"", """")"),"CORE_101")</f>
        <v>CORE_101</v>
      </c>
      <c r="BC2935" s="68"/>
      <c r="BD2935" s="62" t="s">
        <v>7302</v>
      </c>
    </row>
    <row r="2936">
      <c r="A2936" s="44">
        <v>2947.0</v>
      </c>
      <c r="B2936" s="129" t="s">
        <v>523</v>
      </c>
      <c r="C2936" s="62" t="s">
        <v>115</v>
      </c>
      <c r="D2936" s="62" t="s">
        <v>248</v>
      </c>
      <c r="F2936" s="68" t="s">
        <v>17469</v>
      </c>
      <c r="G2936" s="68" t="s">
        <v>17497</v>
      </c>
      <c r="H2936" s="68" t="s">
        <v>249</v>
      </c>
      <c r="I2936" s="529">
        <v>45813.0</v>
      </c>
      <c r="J2936" s="862"/>
      <c r="K2936" s="68"/>
      <c r="L2936" s="68"/>
      <c r="M2936" s="68" t="s">
        <v>17472</v>
      </c>
      <c r="N2936" s="68" t="s">
        <v>17473</v>
      </c>
      <c r="O2936" s="68"/>
      <c r="P2936" s="573" t="s">
        <v>17474</v>
      </c>
      <c r="Q2936" s="2375" t="str">
        <f> hyperlink(vlookup(lower(N2936),'File Links'!E:F, 2, FALSE), "LINK")</f>
        <v>LINK</v>
      </c>
      <c r="R2936" s="68" t="s">
        <v>17475</v>
      </c>
      <c r="S2936" s="68" t="s">
        <v>17476</v>
      </c>
      <c r="T2936" s="68"/>
      <c r="U2936" s="68"/>
      <c r="V2936" s="573" t="s">
        <v>17477</v>
      </c>
      <c r="W2936" s="1228"/>
      <c r="X2936" s="2376" t="str">
        <f> hyperlink(vlookup(lower(S2936),'File Links'!E:F, 2, FALSE), "LINK")</f>
        <v>LINK</v>
      </c>
      <c r="Y2936" s="68"/>
      <c r="Z2936" s="68" t="s">
        <v>947</v>
      </c>
      <c r="AA2936" s="68" t="s">
        <v>17478</v>
      </c>
      <c r="AB2936" s="68" t="s">
        <v>7291</v>
      </c>
      <c r="AC2936" s="68" t="s">
        <v>17479</v>
      </c>
      <c r="AD2936" s="68" t="s">
        <v>17498</v>
      </c>
      <c r="AE2936" s="68" t="s">
        <v>496</v>
      </c>
      <c r="AF2936" s="336">
        <v>100.0</v>
      </c>
      <c r="AG2936" s="336">
        <v>0.8</v>
      </c>
      <c r="AH2936" s="68"/>
      <c r="AI2936" s="68" t="s">
        <v>496</v>
      </c>
      <c r="AJ2936" s="68" t="s">
        <v>138</v>
      </c>
      <c r="AK2936" s="68" t="s">
        <v>172</v>
      </c>
      <c r="AL2936" s="68" t="s">
        <v>186</v>
      </c>
      <c r="AM2936" s="68" t="s">
        <v>137</v>
      </c>
      <c r="AN2936" s="68" t="s">
        <v>138</v>
      </c>
      <c r="AO2936" s="336">
        <v>835.0</v>
      </c>
      <c r="AP2936" s="336">
        <v>0.77</v>
      </c>
      <c r="AQ2936" s="68" t="s">
        <v>215</v>
      </c>
      <c r="AR2936" s="68" t="s">
        <v>17481</v>
      </c>
      <c r="AS2936" s="68"/>
      <c r="AT2936" s="68"/>
      <c r="AU2936" s="68"/>
      <c r="AV2936" s="68"/>
      <c r="AW2936" s="435" t="s">
        <v>17482</v>
      </c>
      <c r="AX2936" s="68" t="s">
        <v>143</v>
      </c>
      <c r="AY2936" s="61" t="str">
        <f>IFERROR(__xludf.DUMMYFUNCTION("vlookup(BB2936,importrange(""https://docs.google.com/spreadsheets/d/1d2vevQ_7D_v35q4wCQ4RpQ_IPoTwEMB9Yp6ymwlPqew/edit?gid=984458430#gid=984458430"", ""'replication success'!A:K""), 11, FAlSE)"),"#N/A")</f>
        <v>#N/A</v>
      </c>
      <c r="AZ2936" s="61" t="str">
        <f>IFERROR(__xludf.DUMMYFUNCTION("vlookup(BB2936,importrange(""https://docs.google.com/spreadsheets/d/1d2vevQ_7D_v35q4wCQ4RpQ_IPoTwEMB9Yp6ymwlPqew/edit?gid=984458430#gid=984458430"", ""'replication success'!A:M""), 12, FAlSE)"),"#N/A")</f>
        <v>#N/A</v>
      </c>
      <c r="BA2936" s="61" t="str">
        <f>IFERROR(__xludf.DUMMYFUNCTION("vlookup(BB2936,importrange(""https://docs.google.com/spreadsheets/d/1d2vevQ_7D_v35q4wCQ4RpQ_IPoTwEMB9Yp6ymwlPqew/edit?gid=984458430#gid=984458430"", ""'replication success'!A:M""), 13, FAlSE)"),"#N/A")</f>
        <v>#N/A</v>
      </c>
      <c r="BB2936" s="61" t="str">
        <f>IFERROR(__xludf.DUMMYFUNCTION("REGEXREPLACE(G2936, ""_[a-z]{1,2}$"", """")"),"CORE_101")</f>
        <v>CORE_101</v>
      </c>
      <c r="BC2936" s="68"/>
      <c r="BD2936" s="62" t="s">
        <v>7302</v>
      </c>
    </row>
    <row r="2937">
      <c r="A2937" s="44">
        <v>2948.0</v>
      </c>
      <c r="B2937" s="129" t="s">
        <v>523</v>
      </c>
      <c r="C2937" s="62" t="s">
        <v>115</v>
      </c>
      <c r="D2937" s="62" t="s">
        <v>248</v>
      </c>
      <c r="F2937" s="68" t="s">
        <v>17499</v>
      </c>
      <c r="G2937" s="68" t="s">
        <v>17500</v>
      </c>
      <c r="H2937" s="68" t="s">
        <v>249</v>
      </c>
      <c r="I2937" s="529">
        <v>45813.0</v>
      </c>
      <c r="J2937" s="862"/>
      <c r="K2937" s="68"/>
      <c r="L2937" s="68"/>
      <c r="M2937" s="68" t="s">
        <v>17501</v>
      </c>
      <c r="N2937" s="68" t="s">
        <v>17502</v>
      </c>
      <c r="O2937" s="68"/>
      <c r="P2937" s="573" t="s">
        <v>17503</v>
      </c>
      <c r="Q2937" s="2375" t="str">
        <f> hyperlink(vlookup(lower(N2937),'File Links'!E:F, 2, FALSE), "LINK")</f>
        <v>LINK</v>
      </c>
      <c r="R2937" s="68" t="s">
        <v>17504</v>
      </c>
      <c r="S2937" s="68" t="s">
        <v>17505</v>
      </c>
      <c r="T2937" s="68"/>
      <c r="U2937" s="68"/>
      <c r="V2937" s="573" t="s">
        <v>17506</v>
      </c>
      <c r="W2937" s="1228"/>
      <c r="X2937" s="2376" t="str">
        <f> hyperlink(vlookup(lower(S2937),'File Links'!E:F, 2, FALSE), "LINK")</f>
        <v>LINK</v>
      </c>
      <c r="Y2937" s="68"/>
      <c r="Z2937" s="68" t="s">
        <v>947</v>
      </c>
      <c r="AA2937" s="68" t="s">
        <v>17507</v>
      </c>
      <c r="AB2937" s="68" t="s">
        <v>7291</v>
      </c>
      <c r="AC2937" s="68" t="s">
        <v>17508</v>
      </c>
      <c r="AD2937" s="68" t="s">
        <v>17509</v>
      </c>
      <c r="AE2937" s="68" t="s">
        <v>496</v>
      </c>
      <c r="AF2937" s="336">
        <v>62.0</v>
      </c>
      <c r="AG2937" s="129" t="s">
        <v>17510</v>
      </c>
      <c r="AH2937" s="68" t="s">
        <v>134</v>
      </c>
      <c r="AI2937" s="129" t="s">
        <v>17511</v>
      </c>
      <c r="AJ2937" s="336">
        <v>0.04</v>
      </c>
      <c r="AK2937" s="68" t="s">
        <v>172</v>
      </c>
      <c r="AL2937" s="68" t="s">
        <v>186</v>
      </c>
      <c r="AM2937" s="68" t="s">
        <v>137</v>
      </c>
      <c r="AN2937" s="68" t="s">
        <v>138</v>
      </c>
      <c r="AO2937" s="336">
        <v>990.0</v>
      </c>
      <c r="AP2937" s="336">
        <v>0.18</v>
      </c>
      <c r="AQ2937" s="68" t="s">
        <v>874</v>
      </c>
      <c r="AR2937" s="68" t="s">
        <v>17512</v>
      </c>
      <c r="AS2937" s="336">
        <v>0.001</v>
      </c>
      <c r="AT2937" s="68" t="s">
        <v>135</v>
      </c>
      <c r="AU2937" s="68" t="s">
        <v>186</v>
      </c>
      <c r="AV2937" s="68" t="s">
        <v>137</v>
      </c>
      <c r="AW2937" s="435" t="s">
        <v>17513</v>
      </c>
      <c r="AX2937" s="68" t="s">
        <v>143</v>
      </c>
      <c r="AY2937" s="61" t="str">
        <f>IFERROR(__xludf.DUMMYFUNCTION("vlookup(BB2937,importrange(""https://docs.google.com/spreadsheets/d/1d2vevQ_7D_v35q4wCQ4RpQ_IPoTwEMB9Yp6ymwlPqew/edit?gid=984458430#gid=984458430"", ""'replication success'!A:K""), 11, FAlSE)"),"#N/A")</f>
        <v>#N/A</v>
      </c>
      <c r="AZ2937" s="61" t="str">
        <f>IFERROR(__xludf.DUMMYFUNCTION("vlookup(BB2937,importrange(""https://docs.google.com/spreadsheets/d/1d2vevQ_7D_v35q4wCQ4RpQ_IPoTwEMB9Yp6ymwlPqew/edit?gid=984458430#gid=984458430"", ""'replication success'!A:M""), 12, FAlSE)"),"#N/A")</f>
        <v>#N/A</v>
      </c>
      <c r="BA2937" s="61" t="str">
        <f>IFERROR(__xludf.DUMMYFUNCTION("vlookup(BB2937,importrange(""https://docs.google.com/spreadsheets/d/1d2vevQ_7D_v35q4wCQ4RpQ_IPoTwEMB9Yp6ymwlPqew/edit?gid=984458430#gid=984458430"", ""'replication success'!A:M""), 13, FAlSE)"),"#N/A")</f>
        <v>#N/A</v>
      </c>
      <c r="BB2937" s="61" t="str">
        <f>IFERROR(__xludf.DUMMYFUNCTION("REGEXREPLACE(G2937, ""_[a-z]{1,2}$"", """")"),"CORE_102")</f>
        <v>CORE_102</v>
      </c>
      <c r="BC2937" s="68"/>
      <c r="BD2937" s="62" t="s">
        <v>7302</v>
      </c>
    </row>
    <row r="2938">
      <c r="A2938" s="451">
        <v>3000.0</v>
      </c>
      <c r="B2938" s="205" t="s">
        <v>114</v>
      </c>
      <c r="C2938" s="199" t="s">
        <v>115</v>
      </c>
      <c r="D2938" s="199" t="s">
        <v>15473</v>
      </c>
      <c r="E2938" s="200"/>
      <c r="F2938" s="204" t="s">
        <v>17499</v>
      </c>
      <c r="G2938" s="201" t="s">
        <v>17500</v>
      </c>
      <c r="H2938" s="201" t="s">
        <v>17514</v>
      </c>
      <c r="I2938" s="203">
        <v>45331.0</v>
      </c>
      <c r="J2938" s="2127">
        <v>45842.0</v>
      </c>
      <c r="K2938" s="204"/>
      <c r="L2938" s="206" t="s">
        <v>17515</v>
      </c>
      <c r="M2938" s="201" t="s">
        <v>17501</v>
      </c>
      <c r="N2938" s="201" t="s">
        <v>17502</v>
      </c>
      <c r="O2938" s="759">
        <v>1.0</v>
      </c>
      <c r="P2938" s="201" t="s">
        <v>17503</v>
      </c>
      <c r="Q2938" s="2380" t="str">
        <f> hyperlink(vlookup(lower(N2938),'File Links'!E:F, 2, FALSE), "LINK")</f>
        <v>LINK</v>
      </c>
      <c r="R2938" s="201" t="s">
        <v>17504</v>
      </c>
      <c r="S2938" s="201" t="s">
        <v>17505</v>
      </c>
      <c r="T2938" s="204"/>
      <c r="U2938" s="759">
        <v>2.0</v>
      </c>
      <c r="V2938" s="201" t="s">
        <v>17506</v>
      </c>
      <c r="W2938" s="205" t="s">
        <v>209</v>
      </c>
      <c r="X2938" s="2381" t="str">
        <f> hyperlink(vlookup(lower(S2938),'File Links'!E:F, 2, FALSE), "LINK")</f>
        <v>LINK</v>
      </c>
      <c r="Y2938" s="204"/>
      <c r="Z2938" s="201" t="s">
        <v>947</v>
      </c>
      <c r="AA2938" s="201" t="s">
        <v>17507</v>
      </c>
      <c r="AB2938" s="201" t="s">
        <v>7291</v>
      </c>
      <c r="AC2938" s="201" t="s">
        <v>17508</v>
      </c>
      <c r="AD2938" s="205" t="s">
        <v>17516</v>
      </c>
      <c r="AE2938" s="759">
        <v>4.0</v>
      </c>
      <c r="AF2938" s="759">
        <v>62.0</v>
      </c>
      <c r="AG2938" s="720" t="s">
        <v>17517</v>
      </c>
      <c r="AH2938" s="204" t="s">
        <v>134</v>
      </c>
      <c r="AI2938" s="204" t="s">
        <v>496</v>
      </c>
      <c r="AJ2938" s="1997">
        <v>0.2</v>
      </c>
      <c r="AK2938" s="204" t="s">
        <v>172</v>
      </c>
      <c r="AL2938" s="1428" t="s">
        <v>186</v>
      </c>
      <c r="AM2938" s="204" t="s">
        <v>137</v>
      </c>
      <c r="AN2938" s="204"/>
      <c r="AO2938" s="1997">
        <v>326.0</v>
      </c>
      <c r="AP2938" s="759">
        <v>0.14</v>
      </c>
      <c r="AQ2938" s="204" t="s">
        <v>2805</v>
      </c>
      <c r="AR2938" s="204" t="s">
        <v>15694</v>
      </c>
      <c r="AS2938" s="759">
        <v>0.017</v>
      </c>
      <c r="AT2938" s="204" t="s">
        <v>172</v>
      </c>
      <c r="AU2938" s="1428" t="s">
        <v>186</v>
      </c>
      <c r="AV2938" s="204" t="s">
        <v>137</v>
      </c>
      <c r="AW2938" s="2382" t="s">
        <v>17518</v>
      </c>
      <c r="AX2938" s="204" t="s">
        <v>143</v>
      </c>
      <c r="AY2938" s="61" t="str">
        <f>IFERROR(__xludf.DUMMYFUNCTION("vlookup(BB2938,importrange(""https://docs.google.com/spreadsheets/d/1d2vevQ_7D_v35q4wCQ4RpQ_IPoTwEMB9Yp6ymwlPqew/edit?gid=984458430#gid=984458430"", ""'replication success'!A:K""), 11, FAlSE)"),"#N/A")</f>
        <v>#N/A</v>
      </c>
      <c r="AZ2938" s="61" t="str">
        <f>IFERROR(__xludf.DUMMYFUNCTION("vlookup(BB2938,importrange(""https://docs.google.com/spreadsheets/d/1d2vevQ_7D_v35q4wCQ4RpQ_IPoTwEMB9Yp6ymwlPqew/edit?gid=984458430#gid=984458430"", ""'replication success'!A:M""), 12, FAlSE)"),"#N/A")</f>
        <v>#N/A</v>
      </c>
      <c r="BA2938" s="61" t="str">
        <f>IFERROR(__xludf.DUMMYFUNCTION("vlookup(BB2938,importrange(""https://docs.google.com/spreadsheets/d/1d2vevQ_7D_v35q4wCQ4RpQ_IPoTwEMB9Yp6ymwlPqew/edit?gid=984458430#gid=984458430"", ""'replication success'!A:M""), 13, FAlSE)"),"#N/A")</f>
        <v>#N/A</v>
      </c>
      <c r="BB2938" s="61" t="str">
        <f>IFERROR(__xludf.DUMMYFUNCTION("REGEXREPLACE(G2938, ""_[a-z]{1,2}$"", """")"),"CORE_102")</f>
        <v>CORE_102</v>
      </c>
      <c r="BC2938" s="204"/>
      <c r="BD2938" s="199" t="s">
        <v>814</v>
      </c>
      <c r="BE2938" s="200"/>
      <c r="BF2938" s="200"/>
      <c r="BG2938" s="200"/>
      <c r="BH2938" s="200"/>
      <c r="BI2938" s="200"/>
      <c r="BJ2938" s="200"/>
      <c r="BK2938" s="200"/>
      <c r="BL2938" s="200"/>
      <c r="BM2938" s="200"/>
      <c r="BN2938" s="200"/>
      <c r="BO2938" s="200"/>
      <c r="BP2938" s="200"/>
      <c r="BQ2938" s="200"/>
      <c r="BR2938" s="200"/>
      <c r="BS2938" s="200"/>
      <c r="BT2938" s="200"/>
      <c r="BU2938" s="200"/>
      <c r="BV2938" s="200"/>
      <c r="BW2938" s="200"/>
      <c r="BX2938" s="200"/>
      <c r="BY2938" s="200"/>
      <c r="BZ2938" s="200"/>
      <c r="CA2938" s="200"/>
      <c r="CB2938" s="200"/>
      <c r="CC2938" s="200"/>
      <c r="CD2938" s="200"/>
      <c r="CE2938" s="200"/>
      <c r="CF2938" s="200"/>
      <c r="CG2938" s="200"/>
      <c r="CH2938" s="200"/>
      <c r="CI2938" s="200"/>
      <c r="CJ2938" s="200"/>
      <c r="CK2938" s="200"/>
      <c r="CL2938" s="200"/>
      <c r="CM2938" s="200"/>
      <c r="CN2938" s="200"/>
      <c r="CO2938" s="200"/>
      <c r="CP2938" s="200"/>
      <c r="CQ2938" s="200"/>
      <c r="CR2938" s="200"/>
      <c r="CS2938" s="200"/>
      <c r="CT2938" s="200"/>
      <c r="CU2938" s="200"/>
      <c r="CV2938" s="200"/>
      <c r="CW2938" s="200"/>
      <c r="CX2938" s="200"/>
      <c r="CY2938" s="200"/>
      <c r="CZ2938" s="200"/>
      <c r="DA2938" s="200"/>
      <c r="DB2938" s="200"/>
      <c r="DC2938" s="200"/>
      <c r="DD2938" s="200"/>
      <c r="DE2938" s="200"/>
      <c r="DF2938" s="200"/>
      <c r="DG2938" s="200"/>
      <c r="DH2938" s="200"/>
      <c r="DI2938" s="200"/>
      <c r="DJ2938" s="200"/>
      <c r="DK2938" s="200"/>
      <c r="DL2938" s="200"/>
    </row>
    <row r="2939">
      <c r="A2939" s="44">
        <v>2949.0</v>
      </c>
      <c r="B2939" s="129" t="s">
        <v>523</v>
      </c>
      <c r="C2939" s="62" t="s">
        <v>115</v>
      </c>
      <c r="D2939" s="62" t="s">
        <v>248</v>
      </c>
      <c r="F2939" s="68" t="s">
        <v>17499</v>
      </c>
      <c r="G2939" s="68" t="s">
        <v>17519</v>
      </c>
      <c r="H2939" s="68" t="s">
        <v>249</v>
      </c>
      <c r="I2939" s="529">
        <v>45813.0</v>
      </c>
      <c r="J2939" s="862"/>
      <c r="K2939" s="68"/>
      <c r="L2939" s="68"/>
      <c r="M2939" s="68" t="s">
        <v>17501</v>
      </c>
      <c r="N2939" s="68" t="s">
        <v>17502</v>
      </c>
      <c r="O2939" s="68"/>
      <c r="P2939" s="573" t="s">
        <v>17503</v>
      </c>
      <c r="Q2939" s="2375" t="str">
        <f> hyperlink(vlookup(lower(N2939),'File Links'!E:F, 2, FALSE), "LINK")</f>
        <v>LINK</v>
      </c>
      <c r="R2939" s="68" t="s">
        <v>17504</v>
      </c>
      <c r="S2939" s="68" t="s">
        <v>17505</v>
      </c>
      <c r="T2939" s="68"/>
      <c r="U2939" s="68"/>
      <c r="V2939" s="573" t="s">
        <v>17506</v>
      </c>
      <c r="W2939" s="1228"/>
      <c r="X2939" s="2376" t="str">
        <f> hyperlink(vlookup(lower(S2939),'File Links'!E:F, 2, FALSE), "LINK")</f>
        <v>LINK</v>
      </c>
      <c r="Y2939" s="68"/>
      <c r="Z2939" s="68" t="s">
        <v>947</v>
      </c>
      <c r="AA2939" s="68" t="s">
        <v>17507</v>
      </c>
      <c r="AB2939" s="68" t="s">
        <v>7291</v>
      </c>
      <c r="AC2939" s="68" t="s">
        <v>17508</v>
      </c>
      <c r="AD2939" s="68" t="s">
        <v>17520</v>
      </c>
      <c r="AE2939" s="68" t="s">
        <v>496</v>
      </c>
      <c r="AF2939" s="336">
        <v>62.0</v>
      </c>
      <c r="AG2939" s="129" t="s">
        <v>17510</v>
      </c>
      <c r="AH2939" s="68" t="s">
        <v>134</v>
      </c>
      <c r="AI2939" s="68" t="s">
        <v>17521</v>
      </c>
      <c r="AJ2939" s="336">
        <v>0.0</v>
      </c>
      <c r="AK2939" s="68" t="s">
        <v>172</v>
      </c>
      <c r="AL2939" s="68" t="s">
        <v>186</v>
      </c>
      <c r="AM2939" s="68" t="s">
        <v>137</v>
      </c>
      <c r="AN2939" s="68" t="s">
        <v>138</v>
      </c>
      <c r="AO2939" s="336">
        <v>337.0</v>
      </c>
      <c r="AP2939" s="336">
        <v>0.29</v>
      </c>
      <c r="AQ2939" s="68" t="s">
        <v>2805</v>
      </c>
      <c r="AR2939" s="68" t="s">
        <v>17522</v>
      </c>
      <c r="AS2939" s="336">
        <v>0.001</v>
      </c>
      <c r="AT2939" s="68" t="s">
        <v>135</v>
      </c>
      <c r="AU2939" s="68" t="s">
        <v>186</v>
      </c>
      <c r="AV2939" s="68" t="s">
        <v>137</v>
      </c>
      <c r="AW2939" s="435" t="s">
        <v>17513</v>
      </c>
      <c r="AX2939" s="68" t="s">
        <v>143</v>
      </c>
      <c r="AY2939" s="61" t="str">
        <f>IFERROR(__xludf.DUMMYFUNCTION("vlookup(BB2939,importrange(""https://docs.google.com/spreadsheets/d/1d2vevQ_7D_v35q4wCQ4RpQ_IPoTwEMB9Yp6ymwlPqew/edit?gid=984458430#gid=984458430"", ""'replication success'!A:K""), 11, FAlSE)"),"#N/A")</f>
        <v>#N/A</v>
      </c>
      <c r="AZ2939" s="61" t="str">
        <f>IFERROR(__xludf.DUMMYFUNCTION("vlookup(BB2939,importrange(""https://docs.google.com/spreadsheets/d/1d2vevQ_7D_v35q4wCQ4RpQ_IPoTwEMB9Yp6ymwlPqew/edit?gid=984458430#gid=984458430"", ""'replication success'!A:M""), 12, FAlSE)"),"#N/A")</f>
        <v>#N/A</v>
      </c>
      <c r="BA2939" s="61" t="str">
        <f>IFERROR(__xludf.DUMMYFUNCTION("vlookup(BB2939,importrange(""https://docs.google.com/spreadsheets/d/1d2vevQ_7D_v35q4wCQ4RpQ_IPoTwEMB9Yp6ymwlPqew/edit?gid=984458430#gid=984458430"", ""'replication success'!A:M""), 13, FAlSE)"),"#N/A")</f>
        <v>#N/A</v>
      </c>
      <c r="BB2939" s="61" t="str">
        <f>IFERROR(__xludf.DUMMYFUNCTION("REGEXREPLACE(G2939, ""_[a-z]{1,2}$"", """")"),"CORE_102")</f>
        <v>CORE_102</v>
      </c>
      <c r="BC2939" s="68"/>
      <c r="BD2939" s="62" t="s">
        <v>7302</v>
      </c>
    </row>
    <row r="2940">
      <c r="A2940" s="1504">
        <v>2950.0</v>
      </c>
      <c r="B2940" s="720" t="s">
        <v>152</v>
      </c>
      <c r="C2940" s="716" t="s">
        <v>115</v>
      </c>
      <c r="D2940" s="716" t="s">
        <v>248</v>
      </c>
      <c r="E2940" s="697"/>
      <c r="F2940" s="1428" t="s">
        <v>17499</v>
      </c>
      <c r="G2940" s="1428" t="s">
        <v>17523</v>
      </c>
      <c r="H2940" s="1428" t="s">
        <v>249</v>
      </c>
      <c r="I2940" s="2383">
        <v>45813.0</v>
      </c>
      <c r="J2940" s="2127">
        <v>45842.0</v>
      </c>
      <c r="K2940" s="1428"/>
      <c r="L2940" s="720" t="s">
        <v>17524</v>
      </c>
      <c r="M2940" s="1428" t="s">
        <v>17501</v>
      </c>
      <c r="N2940" s="1428" t="s">
        <v>17502</v>
      </c>
      <c r="O2940" s="720">
        <v>1.0</v>
      </c>
      <c r="P2940" s="1428" t="s">
        <v>17503</v>
      </c>
      <c r="Q2940" s="2384" t="str">
        <f> hyperlink(vlookup(lower(N2940),'File Links'!E:F, 2, FALSE), "LINK")</f>
        <v>LINK</v>
      </c>
      <c r="R2940" s="1428" t="s">
        <v>17504</v>
      </c>
      <c r="S2940" s="1428" t="s">
        <v>17505</v>
      </c>
      <c r="T2940" s="1428"/>
      <c r="U2940" s="720">
        <v>2.0</v>
      </c>
      <c r="V2940" s="1428" t="s">
        <v>17506</v>
      </c>
      <c r="W2940" s="205" t="s">
        <v>209</v>
      </c>
      <c r="X2940" s="2385" t="str">
        <f> hyperlink(vlookup(lower(S2940),'File Links'!E:F, 2, FALSE), "LINK")</f>
        <v>LINK</v>
      </c>
      <c r="Y2940" s="1428"/>
      <c r="Z2940" s="1428" t="s">
        <v>947</v>
      </c>
      <c r="AA2940" s="1428" t="s">
        <v>17507</v>
      </c>
      <c r="AB2940" s="1428" t="s">
        <v>7291</v>
      </c>
      <c r="AC2940" s="1428" t="s">
        <v>17508</v>
      </c>
      <c r="AD2940" s="720" t="s">
        <v>17525</v>
      </c>
      <c r="AE2940" s="1428" t="s">
        <v>496</v>
      </c>
      <c r="AF2940" s="1997">
        <v>62.0</v>
      </c>
      <c r="AG2940" s="720" t="s">
        <v>17517</v>
      </c>
      <c r="AH2940" s="1428" t="s">
        <v>134</v>
      </c>
      <c r="AI2940" s="1428" t="s">
        <v>17526</v>
      </c>
      <c r="AJ2940" s="1997">
        <v>0.2</v>
      </c>
      <c r="AK2940" s="1428" t="s">
        <v>172</v>
      </c>
      <c r="AL2940" s="1428" t="s">
        <v>186</v>
      </c>
      <c r="AM2940" s="1428" t="s">
        <v>137</v>
      </c>
      <c r="AN2940" s="1428" t="s">
        <v>138</v>
      </c>
      <c r="AO2940" s="1997">
        <v>326.0</v>
      </c>
      <c r="AP2940" s="1997">
        <v>0.14</v>
      </c>
      <c r="AQ2940" s="1428" t="s">
        <v>2805</v>
      </c>
      <c r="AR2940" s="1428" t="s">
        <v>17527</v>
      </c>
      <c r="AS2940" s="1997">
        <v>0.017</v>
      </c>
      <c r="AT2940" s="204" t="s">
        <v>172</v>
      </c>
      <c r="AU2940" s="1428" t="s">
        <v>186</v>
      </c>
      <c r="AV2940" s="1428" t="s">
        <v>137</v>
      </c>
      <c r="AW2940" s="1717" t="s">
        <v>17513</v>
      </c>
      <c r="AX2940" s="1428" t="s">
        <v>143</v>
      </c>
      <c r="AY2940" s="61" t="str">
        <f>IFERROR(__xludf.DUMMYFUNCTION("vlookup(BB2940,importrange(""https://docs.google.com/spreadsheets/d/1d2vevQ_7D_v35q4wCQ4RpQ_IPoTwEMB9Yp6ymwlPqew/edit?gid=984458430#gid=984458430"", ""'replication success'!A:K""), 11, FAlSE)"),"#N/A")</f>
        <v>#N/A</v>
      </c>
      <c r="AZ2940" s="61" t="str">
        <f>IFERROR(__xludf.DUMMYFUNCTION("vlookup(BB2940,importrange(""https://docs.google.com/spreadsheets/d/1d2vevQ_7D_v35q4wCQ4RpQ_IPoTwEMB9Yp6ymwlPqew/edit?gid=984458430#gid=984458430"", ""'replication success'!A:M""), 12, FAlSE)"),"#N/A")</f>
        <v>#N/A</v>
      </c>
      <c r="BA2940" s="61" t="str">
        <f>IFERROR(__xludf.DUMMYFUNCTION("vlookup(BB2940,importrange(""https://docs.google.com/spreadsheets/d/1d2vevQ_7D_v35q4wCQ4RpQ_IPoTwEMB9Yp6ymwlPqew/edit?gid=984458430#gid=984458430"", ""'replication success'!A:M""), 13, FAlSE)"),"#N/A")</f>
        <v>#N/A</v>
      </c>
      <c r="BB2940" s="61" t="str">
        <f>IFERROR(__xludf.DUMMYFUNCTION("REGEXREPLACE(G2940, ""_[a-z]{1,2}$"", """")"),"CORE_102")</f>
        <v>CORE_102</v>
      </c>
      <c r="BC2940" s="1428"/>
      <c r="BD2940" s="716" t="s">
        <v>1270</v>
      </c>
      <c r="BE2940" s="697"/>
      <c r="BF2940" s="697"/>
      <c r="BG2940" s="697"/>
      <c r="BH2940" s="697"/>
      <c r="BI2940" s="697"/>
      <c r="BJ2940" s="697"/>
      <c r="BK2940" s="697"/>
      <c r="BL2940" s="697"/>
      <c r="BM2940" s="697"/>
      <c r="BN2940" s="697"/>
      <c r="BO2940" s="697"/>
      <c r="BP2940" s="697"/>
      <c r="BQ2940" s="697"/>
      <c r="BR2940" s="697"/>
      <c r="BS2940" s="697"/>
      <c r="BT2940" s="697"/>
      <c r="BU2940" s="697"/>
      <c r="BV2940" s="697"/>
      <c r="BW2940" s="697"/>
      <c r="BX2940" s="697"/>
      <c r="BY2940" s="697"/>
      <c r="BZ2940" s="697"/>
      <c r="CA2940" s="697"/>
      <c r="CB2940" s="697"/>
      <c r="CC2940" s="697"/>
      <c r="CD2940" s="697"/>
      <c r="CE2940" s="697"/>
      <c r="CF2940" s="697"/>
      <c r="CG2940" s="697"/>
      <c r="CH2940" s="697"/>
      <c r="CI2940" s="697"/>
      <c r="CJ2940" s="697"/>
      <c r="CK2940" s="697"/>
      <c r="CL2940" s="697"/>
      <c r="CM2940" s="697"/>
      <c r="CN2940" s="697"/>
      <c r="CO2940" s="697"/>
      <c r="CP2940" s="697"/>
      <c r="CQ2940" s="697"/>
      <c r="CR2940" s="697"/>
      <c r="CS2940" s="697"/>
      <c r="CT2940" s="697"/>
      <c r="CU2940" s="697"/>
      <c r="CV2940" s="697"/>
      <c r="CW2940" s="697"/>
      <c r="CX2940" s="697"/>
      <c r="CY2940" s="697"/>
      <c r="CZ2940" s="697"/>
      <c r="DA2940" s="697"/>
      <c r="DB2940" s="697"/>
      <c r="DC2940" s="697"/>
      <c r="DD2940" s="697"/>
      <c r="DE2940" s="697"/>
      <c r="DF2940" s="697"/>
      <c r="DG2940" s="697"/>
      <c r="DH2940" s="697"/>
      <c r="DI2940" s="697"/>
      <c r="DJ2940" s="697"/>
      <c r="DK2940" s="697"/>
      <c r="DL2940" s="697"/>
    </row>
    <row r="2941">
      <c r="A2941" s="44">
        <v>2951.0</v>
      </c>
      <c r="B2941" s="129" t="s">
        <v>523</v>
      </c>
      <c r="C2941" s="62" t="s">
        <v>115</v>
      </c>
      <c r="D2941" s="62" t="s">
        <v>248</v>
      </c>
      <c r="F2941" s="68" t="s">
        <v>17499</v>
      </c>
      <c r="G2941" s="68" t="s">
        <v>17528</v>
      </c>
      <c r="H2941" s="68" t="s">
        <v>249</v>
      </c>
      <c r="I2941" s="529">
        <v>45813.0</v>
      </c>
      <c r="J2941" s="862"/>
      <c r="K2941" s="68"/>
      <c r="L2941" s="68"/>
      <c r="M2941" s="68" t="s">
        <v>17501</v>
      </c>
      <c r="N2941" s="68" t="s">
        <v>17502</v>
      </c>
      <c r="O2941" s="68"/>
      <c r="P2941" s="573" t="s">
        <v>17503</v>
      </c>
      <c r="Q2941" s="2375" t="str">
        <f> hyperlink(vlookup(lower(N2941),'File Links'!E:F, 2, FALSE), "LINK")</f>
        <v>LINK</v>
      </c>
      <c r="R2941" s="68" t="s">
        <v>17504</v>
      </c>
      <c r="S2941" s="68" t="s">
        <v>17505</v>
      </c>
      <c r="T2941" s="68"/>
      <c r="U2941" s="68"/>
      <c r="V2941" s="573" t="s">
        <v>17506</v>
      </c>
      <c r="W2941" s="1228"/>
      <c r="X2941" s="2376" t="str">
        <f> hyperlink(vlookup(lower(S2941),'File Links'!E:F, 2, FALSE), "LINK")</f>
        <v>LINK</v>
      </c>
      <c r="Y2941" s="68"/>
      <c r="Z2941" s="68" t="s">
        <v>947</v>
      </c>
      <c r="AA2941" s="68" t="s">
        <v>17507</v>
      </c>
      <c r="AB2941" s="68" t="s">
        <v>7291</v>
      </c>
      <c r="AC2941" s="68" t="s">
        <v>17508</v>
      </c>
      <c r="AD2941" s="68" t="s">
        <v>17529</v>
      </c>
      <c r="AE2941" s="68" t="s">
        <v>496</v>
      </c>
      <c r="AF2941" s="336">
        <v>62.0</v>
      </c>
      <c r="AG2941" s="336">
        <v>0.11</v>
      </c>
      <c r="AH2941" s="68" t="s">
        <v>874</v>
      </c>
      <c r="AI2941" s="68" t="s">
        <v>17530</v>
      </c>
      <c r="AJ2941" s="336">
        <v>0.01</v>
      </c>
      <c r="AK2941" s="68" t="s">
        <v>172</v>
      </c>
      <c r="AL2941" s="68" t="s">
        <v>186</v>
      </c>
      <c r="AM2941" s="68" t="s">
        <v>137</v>
      </c>
      <c r="AN2941" s="68" t="s">
        <v>138</v>
      </c>
      <c r="AO2941" s="336">
        <v>987.0</v>
      </c>
      <c r="AP2941" s="336">
        <v>0.001</v>
      </c>
      <c r="AQ2941" s="68" t="s">
        <v>874</v>
      </c>
      <c r="AR2941" s="68" t="s">
        <v>17531</v>
      </c>
      <c r="AS2941" s="336">
        <v>0.73</v>
      </c>
      <c r="AT2941" s="68" t="s">
        <v>172</v>
      </c>
      <c r="AU2941" s="68" t="s">
        <v>186</v>
      </c>
      <c r="AV2941" s="68" t="s">
        <v>137</v>
      </c>
      <c r="AW2941" s="435" t="s">
        <v>17513</v>
      </c>
      <c r="AX2941" s="68" t="s">
        <v>143</v>
      </c>
      <c r="AY2941" s="61" t="str">
        <f>IFERROR(__xludf.DUMMYFUNCTION("vlookup(BB2941,importrange(""https://docs.google.com/spreadsheets/d/1d2vevQ_7D_v35q4wCQ4RpQ_IPoTwEMB9Yp6ymwlPqew/edit?gid=984458430#gid=984458430"", ""'replication success'!A:K""), 11, FAlSE)"),"#N/A")</f>
        <v>#N/A</v>
      </c>
      <c r="AZ2941" s="61" t="str">
        <f>IFERROR(__xludf.DUMMYFUNCTION("vlookup(BB2941,importrange(""https://docs.google.com/spreadsheets/d/1d2vevQ_7D_v35q4wCQ4RpQ_IPoTwEMB9Yp6ymwlPqew/edit?gid=984458430#gid=984458430"", ""'replication success'!A:M""), 12, FAlSE)"),"#N/A")</f>
        <v>#N/A</v>
      </c>
      <c r="BA2941" s="61" t="str">
        <f>IFERROR(__xludf.DUMMYFUNCTION("vlookup(BB2941,importrange(""https://docs.google.com/spreadsheets/d/1d2vevQ_7D_v35q4wCQ4RpQ_IPoTwEMB9Yp6ymwlPqew/edit?gid=984458430#gid=984458430"", ""'replication success'!A:M""), 13, FAlSE)"),"#N/A")</f>
        <v>#N/A</v>
      </c>
      <c r="BB2941" s="61" t="str">
        <f>IFERROR(__xludf.DUMMYFUNCTION("REGEXREPLACE(G2941, ""_[a-z]{1,2}$"", """")"),"CORE_102")</f>
        <v>CORE_102</v>
      </c>
      <c r="BC2941" s="68"/>
      <c r="BD2941" s="62" t="s">
        <v>7302</v>
      </c>
    </row>
    <row r="2942">
      <c r="A2942" s="2386">
        <v>2952.0</v>
      </c>
      <c r="B2942" s="2387" t="s">
        <v>285</v>
      </c>
      <c r="C2942" s="2388" t="s">
        <v>115</v>
      </c>
      <c r="D2942" s="2388" t="s">
        <v>248</v>
      </c>
      <c r="E2942" s="2389"/>
      <c r="F2942" s="2390" t="s">
        <v>17532</v>
      </c>
      <c r="G2942" s="2390" t="s">
        <v>17533</v>
      </c>
      <c r="H2942" s="2390" t="s">
        <v>249</v>
      </c>
      <c r="I2942" s="2391">
        <v>45813.0</v>
      </c>
      <c r="J2942" s="2392"/>
      <c r="K2942" s="2390" t="s">
        <v>17534</v>
      </c>
      <c r="L2942" s="2390"/>
      <c r="M2942" s="2390" t="s">
        <v>17535</v>
      </c>
      <c r="N2942" s="2390" t="s">
        <v>17536</v>
      </c>
      <c r="O2942" s="2390"/>
      <c r="P2942" s="2390" t="s">
        <v>17537</v>
      </c>
      <c r="Q2942" s="2393" t="str">
        <f> hyperlink(vlookup(lower(N2942),'File Links'!E:F, 2, FALSE), "LINK")</f>
        <v>LINK</v>
      </c>
      <c r="R2942" s="2390" t="s">
        <v>17538</v>
      </c>
      <c r="S2942" s="2390" t="s">
        <v>17539</v>
      </c>
      <c r="T2942" s="2390"/>
      <c r="U2942" s="2394">
        <v>1.0</v>
      </c>
      <c r="V2942" s="2390" t="s">
        <v>17540</v>
      </c>
      <c r="W2942" s="2390"/>
      <c r="X2942" s="2376" t="str">
        <f> hyperlink(vlookup(lower(S2942),'File Links'!E:F, 2, FALSE), "LINK")</f>
        <v>LINK</v>
      </c>
      <c r="Y2942" s="2390"/>
      <c r="Z2942" s="2390" t="s">
        <v>947</v>
      </c>
      <c r="AA2942" s="2390" t="s">
        <v>17541</v>
      </c>
      <c r="AB2942" s="2390" t="s">
        <v>7291</v>
      </c>
      <c r="AC2942" s="2390" t="s">
        <v>17542</v>
      </c>
      <c r="AD2942" s="2390" t="s">
        <v>17543</v>
      </c>
      <c r="AE2942" s="2390" t="s">
        <v>882</v>
      </c>
      <c r="AF2942" s="2394">
        <v>54.0</v>
      </c>
      <c r="AG2942" s="2390" t="s">
        <v>17544</v>
      </c>
      <c r="AH2942" s="2390" t="s">
        <v>134</v>
      </c>
      <c r="AI2942" s="2390" t="s">
        <v>17545</v>
      </c>
      <c r="AJ2942" s="2394">
        <v>0.01</v>
      </c>
      <c r="AK2942" s="2390" t="s">
        <v>135</v>
      </c>
      <c r="AL2942" s="2390" t="s">
        <v>186</v>
      </c>
      <c r="AM2942" s="2390" t="s">
        <v>137</v>
      </c>
      <c r="AN2942" s="2390" t="s">
        <v>138</v>
      </c>
      <c r="AO2942" s="2394">
        <v>386.0</v>
      </c>
      <c r="AP2942" s="2394">
        <v>0.06</v>
      </c>
      <c r="AQ2942" s="2390" t="s">
        <v>874</v>
      </c>
      <c r="AR2942" s="2390" t="s">
        <v>17546</v>
      </c>
      <c r="AS2942" s="2394">
        <v>0.001</v>
      </c>
      <c r="AT2942" s="2390" t="s">
        <v>135</v>
      </c>
      <c r="AU2942" s="2390" t="s">
        <v>186</v>
      </c>
      <c r="AV2942" s="2390" t="s">
        <v>137</v>
      </c>
      <c r="AW2942" s="2395" t="s">
        <v>17547</v>
      </c>
      <c r="AX2942" s="2390" t="s">
        <v>143</v>
      </c>
      <c r="AY2942" s="2396" t="str">
        <f>IFERROR(__xludf.DUMMYFUNCTION("vlookup(BB2942,importrange(""https://docs.google.com/spreadsheets/d/1d2vevQ_7D_v35q4wCQ4RpQ_IPoTwEMB9Yp6ymwlPqew/edit?gid=984458430#gid=984458430"", ""'replication success'!A:K""), 11, FAlSE)"),"#N/A")</f>
        <v>#N/A</v>
      </c>
      <c r="AZ2942" s="2396" t="str">
        <f>IFERROR(__xludf.DUMMYFUNCTION("vlookup(BB2942,importrange(""https://docs.google.com/spreadsheets/d/1d2vevQ_7D_v35q4wCQ4RpQ_IPoTwEMB9Yp6ymwlPqew/edit?gid=984458430#gid=984458430"", ""'replication success'!A:M""), 12, FAlSE)"),"#N/A")</f>
        <v>#N/A</v>
      </c>
      <c r="BA2942" s="2396" t="str">
        <f>IFERROR(__xludf.DUMMYFUNCTION("vlookup(BB2942,importrange(""https://docs.google.com/spreadsheets/d/1d2vevQ_7D_v35q4wCQ4RpQ_IPoTwEMB9Yp6ymwlPqew/edit?gid=984458430#gid=984458430"", ""'replication success'!A:M""), 13, FAlSE)"),"#N/A")</f>
        <v>#N/A</v>
      </c>
      <c r="BB2942" s="2396" t="str">
        <f>IFERROR(__xludf.DUMMYFUNCTION("REGEXREPLACE(G2942, ""_[a-z]{1,2}$"", """")"),"CORE_105")</f>
        <v>CORE_105</v>
      </c>
      <c r="BC2942" s="2389"/>
      <c r="BD2942" s="2388" t="s">
        <v>3130</v>
      </c>
      <c r="BE2942" s="2389"/>
      <c r="BF2942" s="2389"/>
      <c r="BG2942" s="2389"/>
      <c r="BH2942" s="2389"/>
      <c r="BI2942" s="2389"/>
      <c r="BJ2942" s="2389"/>
      <c r="BK2942" s="2389"/>
      <c r="BL2942" s="2389"/>
      <c r="BM2942" s="2389"/>
      <c r="BN2942" s="2389"/>
      <c r="BO2942" s="2389"/>
      <c r="BP2942" s="2389"/>
      <c r="BQ2942" s="2389"/>
      <c r="BR2942" s="2389"/>
      <c r="BS2942" s="2389"/>
      <c r="BT2942" s="2389"/>
      <c r="BU2942" s="2389"/>
      <c r="BV2942" s="2389"/>
      <c r="BW2942" s="2389"/>
      <c r="BX2942" s="2389"/>
      <c r="BY2942" s="2389"/>
      <c r="BZ2942" s="2389"/>
      <c r="CA2942" s="2389"/>
      <c r="CB2942" s="2389"/>
      <c r="CC2942" s="2389"/>
      <c r="CD2942" s="2389"/>
      <c r="CE2942" s="2389"/>
      <c r="CF2942" s="2389"/>
      <c r="CG2942" s="2389"/>
      <c r="CH2942" s="2389"/>
      <c r="CI2942" s="2389"/>
      <c r="CJ2942" s="2389"/>
      <c r="CK2942" s="2389"/>
      <c r="CL2942" s="2389"/>
      <c r="CM2942" s="2389"/>
      <c r="CN2942" s="2389"/>
      <c r="CO2942" s="2389"/>
      <c r="CP2942" s="2389"/>
      <c r="CQ2942" s="2389"/>
      <c r="CR2942" s="2389"/>
      <c r="CS2942" s="2389"/>
      <c r="CT2942" s="2389"/>
      <c r="CU2942" s="2389"/>
      <c r="CV2942" s="2389"/>
      <c r="CW2942" s="2389"/>
      <c r="CX2942" s="2389"/>
      <c r="CY2942" s="2389"/>
      <c r="CZ2942" s="2389"/>
      <c r="DA2942" s="2389"/>
      <c r="DB2942" s="2389"/>
      <c r="DC2942" s="2389"/>
      <c r="DD2942" s="2389"/>
      <c r="DE2942" s="2389"/>
      <c r="DF2942" s="2389"/>
      <c r="DG2942" s="2389"/>
      <c r="DH2942" s="2389"/>
      <c r="DI2942" s="2389"/>
      <c r="DJ2942" s="2389"/>
      <c r="DK2942" s="2389"/>
      <c r="DL2942" s="2389"/>
    </row>
    <row r="2943">
      <c r="A2943" s="44">
        <v>2953.0</v>
      </c>
      <c r="B2943" s="129" t="s">
        <v>285</v>
      </c>
      <c r="C2943" s="62" t="s">
        <v>115</v>
      </c>
      <c r="D2943" s="62" t="s">
        <v>248</v>
      </c>
      <c r="F2943" s="68" t="s">
        <v>17532</v>
      </c>
      <c r="G2943" s="68" t="s">
        <v>17548</v>
      </c>
      <c r="H2943" s="68" t="s">
        <v>249</v>
      </c>
      <c r="I2943" s="529">
        <v>45813.0</v>
      </c>
      <c r="J2943" s="862"/>
      <c r="K2943" s="68" t="s">
        <v>17534</v>
      </c>
      <c r="L2943" s="68"/>
      <c r="M2943" s="68" t="s">
        <v>17535</v>
      </c>
      <c r="N2943" s="68" t="s">
        <v>17536</v>
      </c>
      <c r="O2943" s="68"/>
      <c r="P2943" s="573" t="s">
        <v>17537</v>
      </c>
      <c r="Q2943" s="2375" t="str">
        <f> hyperlink(vlookup(lower(N2943),'File Links'!E:F, 2, FALSE), "LINK")</f>
        <v>LINK</v>
      </c>
      <c r="R2943" s="68" t="s">
        <v>17538</v>
      </c>
      <c r="S2943" s="68" t="s">
        <v>17539</v>
      </c>
      <c r="T2943" s="68"/>
      <c r="U2943" s="336">
        <v>1.0</v>
      </c>
      <c r="V2943" s="573" t="s">
        <v>17540</v>
      </c>
      <c r="W2943" s="1228"/>
      <c r="X2943" s="2376" t="str">
        <f> hyperlink(vlookup(lower(S2943),'File Links'!E:F, 2, FALSE), "LINK")</f>
        <v>LINK</v>
      </c>
      <c r="Y2943" s="68"/>
      <c r="Z2943" s="68" t="s">
        <v>947</v>
      </c>
      <c r="AA2943" s="68" t="s">
        <v>17541</v>
      </c>
      <c r="AB2943" s="68" t="s">
        <v>7291</v>
      </c>
      <c r="AC2943" s="68" t="s">
        <v>17542</v>
      </c>
      <c r="AD2943" s="68" t="s">
        <v>17549</v>
      </c>
      <c r="AE2943" s="68" t="s">
        <v>882</v>
      </c>
      <c r="AF2943" s="336">
        <v>23.0</v>
      </c>
      <c r="AG2943" s="68" t="s">
        <v>17550</v>
      </c>
      <c r="AH2943" s="68" t="s">
        <v>134</v>
      </c>
      <c r="AI2943" s="68" t="s">
        <v>17551</v>
      </c>
      <c r="AJ2943" s="336">
        <v>0.06</v>
      </c>
      <c r="AK2943" s="68" t="s">
        <v>172</v>
      </c>
      <c r="AL2943" s="68" t="s">
        <v>186</v>
      </c>
      <c r="AM2943" s="68" t="s">
        <v>137</v>
      </c>
      <c r="AN2943" s="68" t="s">
        <v>138</v>
      </c>
      <c r="AO2943" s="336">
        <v>386.0</v>
      </c>
      <c r="AP2943" s="336">
        <v>0.24</v>
      </c>
      <c r="AQ2943" s="68" t="s">
        <v>173</v>
      </c>
      <c r="AR2943" s="68" t="s">
        <v>17552</v>
      </c>
      <c r="AS2943" s="336">
        <v>0.001</v>
      </c>
      <c r="AT2943" s="68" t="s">
        <v>135</v>
      </c>
      <c r="AU2943" s="68" t="s">
        <v>186</v>
      </c>
      <c r="AV2943" s="68" t="s">
        <v>137</v>
      </c>
      <c r="AW2943" s="435" t="s">
        <v>17547</v>
      </c>
      <c r="AX2943" s="68" t="s">
        <v>143</v>
      </c>
      <c r="AY2943" s="61" t="str">
        <f>IFERROR(__xludf.DUMMYFUNCTION("vlookup(BB2943,importrange(""https://docs.google.com/spreadsheets/d/1d2vevQ_7D_v35q4wCQ4RpQ_IPoTwEMB9Yp6ymwlPqew/edit?gid=984458430#gid=984458430"", ""'replication success'!A:K""), 11, FAlSE)"),"#N/A")</f>
        <v>#N/A</v>
      </c>
      <c r="AZ2943" s="61" t="str">
        <f>IFERROR(__xludf.DUMMYFUNCTION("vlookup(BB2943,importrange(""https://docs.google.com/spreadsheets/d/1d2vevQ_7D_v35q4wCQ4RpQ_IPoTwEMB9Yp6ymwlPqew/edit?gid=984458430#gid=984458430"", ""'replication success'!A:M""), 12, FAlSE)"),"#N/A")</f>
        <v>#N/A</v>
      </c>
      <c r="BA2943" s="61" t="str">
        <f>IFERROR(__xludf.DUMMYFUNCTION("vlookup(BB2943,importrange(""https://docs.google.com/spreadsheets/d/1d2vevQ_7D_v35q4wCQ4RpQ_IPoTwEMB9Yp6ymwlPqew/edit?gid=984458430#gid=984458430"", ""'replication success'!A:M""), 13, FAlSE)"),"#N/A")</f>
        <v>#N/A</v>
      </c>
      <c r="BB2943" s="61" t="str">
        <f>IFERROR(__xludf.DUMMYFUNCTION("REGEXREPLACE(G2943, ""_[a-z]{1,2}$"", """")"),"CORE_105")</f>
        <v>CORE_105</v>
      </c>
    </row>
    <row r="2944">
      <c r="A2944" s="44">
        <v>2954.0</v>
      </c>
      <c r="B2944" s="129" t="s">
        <v>285</v>
      </c>
      <c r="C2944" s="62" t="s">
        <v>115</v>
      </c>
      <c r="D2944" s="62" t="s">
        <v>248</v>
      </c>
      <c r="F2944" s="68" t="s">
        <v>17532</v>
      </c>
      <c r="G2944" s="68" t="s">
        <v>17553</v>
      </c>
      <c r="H2944" s="68" t="s">
        <v>249</v>
      </c>
      <c r="I2944" s="529">
        <v>45813.0</v>
      </c>
      <c r="J2944" s="862"/>
      <c r="K2944" s="68" t="s">
        <v>17554</v>
      </c>
      <c r="L2944" s="68"/>
      <c r="M2944" s="68" t="s">
        <v>17535</v>
      </c>
      <c r="N2944" s="68" t="s">
        <v>17536</v>
      </c>
      <c r="O2944" s="68"/>
      <c r="P2944" s="573" t="s">
        <v>17537</v>
      </c>
      <c r="Q2944" s="2375" t="str">
        <f> hyperlink(vlookup(lower(N2944),'File Links'!E:F, 2, FALSE), "LINK")</f>
        <v>LINK</v>
      </c>
      <c r="R2944" s="68" t="s">
        <v>17538</v>
      </c>
      <c r="S2944" s="68" t="s">
        <v>17539</v>
      </c>
      <c r="T2944" s="68"/>
      <c r="U2944" s="336">
        <v>1.0</v>
      </c>
      <c r="V2944" s="573" t="s">
        <v>17540</v>
      </c>
      <c r="W2944" s="1228"/>
      <c r="X2944" s="2376" t="str">
        <f> hyperlink(vlookup(lower(S2944),'File Links'!E:F, 2, FALSE), "LINK")</f>
        <v>LINK</v>
      </c>
      <c r="Y2944" s="68"/>
      <c r="Z2944" s="68" t="s">
        <v>947</v>
      </c>
      <c r="AA2944" s="68" t="s">
        <v>17541</v>
      </c>
      <c r="AB2944" s="68" t="s">
        <v>7291</v>
      </c>
      <c r="AC2944" s="68" t="s">
        <v>17542</v>
      </c>
      <c r="AD2944" s="68" t="s">
        <v>17543</v>
      </c>
      <c r="AE2944" s="68" t="s">
        <v>882</v>
      </c>
      <c r="AF2944" s="336">
        <v>54.0</v>
      </c>
      <c r="AG2944" s="68" t="s">
        <v>17544</v>
      </c>
      <c r="AH2944" s="68" t="s">
        <v>134</v>
      </c>
      <c r="AI2944" s="68" t="s">
        <v>17545</v>
      </c>
      <c r="AJ2944" s="336">
        <v>0.01</v>
      </c>
      <c r="AK2944" s="68" t="s">
        <v>135</v>
      </c>
      <c r="AL2944" s="68" t="s">
        <v>186</v>
      </c>
      <c r="AM2944" s="68" t="s">
        <v>137</v>
      </c>
      <c r="AN2944" s="68" t="s">
        <v>138</v>
      </c>
      <c r="AO2944" s="336">
        <v>723.0</v>
      </c>
      <c r="AP2944" s="336">
        <v>0.01</v>
      </c>
      <c r="AQ2944" s="68" t="s">
        <v>874</v>
      </c>
      <c r="AR2944" s="68" t="s">
        <v>17555</v>
      </c>
      <c r="AS2944" s="336">
        <v>0.001</v>
      </c>
      <c r="AT2944" s="68" t="s">
        <v>172</v>
      </c>
      <c r="AU2944" s="68" t="s">
        <v>186</v>
      </c>
      <c r="AV2944" s="68" t="s">
        <v>141</v>
      </c>
      <c r="AW2944" s="435" t="s">
        <v>17556</v>
      </c>
      <c r="AX2944" s="68" t="s">
        <v>143</v>
      </c>
      <c r="AY2944" s="61" t="str">
        <f>IFERROR(__xludf.DUMMYFUNCTION("vlookup(BB2944,importrange(""https://docs.google.com/spreadsheets/d/1d2vevQ_7D_v35q4wCQ4RpQ_IPoTwEMB9Yp6ymwlPqew/edit?gid=984458430#gid=984458430"", ""'replication success'!A:K""), 11, FAlSE)"),"#N/A")</f>
        <v>#N/A</v>
      </c>
      <c r="AZ2944" s="61" t="str">
        <f>IFERROR(__xludf.DUMMYFUNCTION("vlookup(BB2944,importrange(""https://docs.google.com/spreadsheets/d/1d2vevQ_7D_v35q4wCQ4RpQ_IPoTwEMB9Yp6ymwlPqew/edit?gid=984458430#gid=984458430"", ""'replication success'!A:M""), 12, FAlSE)"),"#N/A")</f>
        <v>#N/A</v>
      </c>
      <c r="BA2944" s="61" t="str">
        <f>IFERROR(__xludf.DUMMYFUNCTION("vlookup(BB2944,importrange(""https://docs.google.com/spreadsheets/d/1d2vevQ_7D_v35q4wCQ4RpQ_IPoTwEMB9Yp6ymwlPqew/edit?gid=984458430#gid=984458430"", ""'replication success'!A:M""), 13, FAlSE)"),"#N/A")</f>
        <v>#N/A</v>
      </c>
      <c r="BB2944" s="61" t="str">
        <f>IFERROR(__xludf.DUMMYFUNCTION("REGEXREPLACE(G2944, ""_[a-z]{1,2}$"", """")"),"CORE_105")</f>
        <v>CORE_105</v>
      </c>
    </row>
    <row r="2945">
      <c r="A2945" s="44">
        <v>2955.0</v>
      </c>
      <c r="B2945" s="129" t="s">
        <v>285</v>
      </c>
      <c r="C2945" s="62" t="s">
        <v>115</v>
      </c>
      <c r="D2945" s="62" t="s">
        <v>248</v>
      </c>
      <c r="F2945" s="68" t="s">
        <v>17532</v>
      </c>
      <c r="G2945" s="68" t="s">
        <v>17557</v>
      </c>
      <c r="H2945" s="68" t="s">
        <v>249</v>
      </c>
      <c r="I2945" s="529">
        <v>45813.0</v>
      </c>
      <c r="J2945" s="862"/>
      <c r="K2945" s="68" t="s">
        <v>17554</v>
      </c>
      <c r="L2945" s="68"/>
      <c r="M2945" s="68" t="s">
        <v>17535</v>
      </c>
      <c r="N2945" s="68" t="s">
        <v>17536</v>
      </c>
      <c r="O2945" s="68"/>
      <c r="P2945" s="573" t="s">
        <v>17537</v>
      </c>
      <c r="Q2945" s="2375" t="str">
        <f> hyperlink(vlookup(lower(N2945),'File Links'!E:F, 2, FALSE), "LINK")</f>
        <v>LINK</v>
      </c>
      <c r="R2945" s="68" t="s">
        <v>17538</v>
      </c>
      <c r="S2945" s="68" t="s">
        <v>17539</v>
      </c>
      <c r="T2945" s="68"/>
      <c r="U2945" s="336">
        <v>1.0</v>
      </c>
      <c r="V2945" s="573" t="s">
        <v>17540</v>
      </c>
      <c r="W2945" s="1228"/>
      <c r="X2945" s="2376" t="str">
        <f> hyperlink(vlookup(lower(S2945),'File Links'!E:F, 2, FALSE), "LINK")</f>
        <v>LINK</v>
      </c>
      <c r="Y2945" s="68"/>
      <c r="Z2945" s="68" t="s">
        <v>947</v>
      </c>
      <c r="AA2945" s="68" t="s">
        <v>17541</v>
      </c>
      <c r="AB2945" s="68" t="s">
        <v>7291</v>
      </c>
      <c r="AC2945" s="68" t="s">
        <v>17542</v>
      </c>
      <c r="AD2945" s="68" t="s">
        <v>17549</v>
      </c>
      <c r="AE2945" s="68" t="s">
        <v>882</v>
      </c>
      <c r="AF2945" s="336">
        <v>23.0</v>
      </c>
      <c r="AG2945" s="68" t="s">
        <v>17550</v>
      </c>
      <c r="AH2945" s="68" t="s">
        <v>134</v>
      </c>
      <c r="AI2945" s="68" t="s">
        <v>17551</v>
      </c>
      <c r="AJ2945" s="336">
        <v>0.06</v>
      </c>
      <c r="AK2945" s="68" t="s">
        <v>172</v>
      </c>
      <c r="AL2945" s="68" t="s">
        <v>186</v>
      </c>
      <c r="AM2945" s="68" t="s">
        <v>137</v>
      </c>
      <c r="AN2945" s="68" t="s">
        <v>138</v>
      </c>
      <c r="AO2945" s="336">
        <v>723.0</v>
      </c>
      <c r="AP2945" s="336">
        <v>0.4</v>
      </c>
      <c r="AQ2945" s="68" t="s">
        <v>173</v>
      </c>
      <c r="AR2945" s="68" t="s">
        <v>17558</v>
      </c>
      <c r="AS2945" s="336">
        <v>0.001</v>
      </c>
      <c r="AT2945" s="68" t="s">
        <v>135</v>
      </c>
      <c r="AU2945" s="68" t="s">
        <v>186</v>
      </c>
      <c r="AV2945" s="68" t="s">
        <v>141</v>
      </c>
      <c r="AW2945" s="435" t="s">
        <v>17556</v>
      </c>
      <c r="AX2945" s="68" t="s">
        <v>143</v>
      </c>
      <c r="AY2945" s="61" t="str">
        <f>IFERROR(__xludf.DUMMYFUNCTION("vlookup(BB2945,importrange(""https://docs.google.com/spreadsheets/d/1d2vevQ_7D_v35q4wCQ4RpQ_IPoTwEMB9Yp6ymwlPqew/edit?gid=984458430#gid=984458430"", ""'replication success'!A:K""), 11, FAlSE)"),"#N/A")</f>
        <v>#N/A</v>
      </c>
      <c r="AZ2945" s="61" t="str">
        <f>IFERROR(__xludf.DUMMYFUNCTION("vlookup(BB2945,importrange(""https://docs.google.com/spreadsheets/d/1d2vevQ_7D_v35q4wCQ4RpQ_IPoTwEMB9Yp6ymwlPqew/edit?gid=984458430#gid=984458430"", ""'replication success'!A:M""), 12, FAlSE)"),"#N/A")</f>
        <v>#N/A</v>
      </c>
      <c r="BA2945" s="61" t="str">
        <f>IFERROR(__xludf.DUMMYFUNCTION("vlookup(BB2945,importrange(""https://docs.google.com/spreadsheets/d/1d2vevQ_7D_v35q4wCQ4RpQ_IPoTwEMB9Yp6ymwlPqew/edit?gid=984458430#gid=984458430"", ""'replication success'!A:M""), 13, FAlSE)"),"#N/A")</f>
        <v>#N/A</v>
      </c>
      <c r="BB2945" s="61" t="str">
        <f>IFERROR(__xludf.DUMMYFUNCTION("REGEXREPLACE(G2945, ""_[a-z]{1,2}$"", """")"),"CORE_105")</f>
        <v>CORE_105</v>
      </c>
    </row>
    <row r="2946">
      <c r="A2946" s="44">
        <v>2956.0</v>
      </c>
      <c r="B2946" s="129" t="s">
        <v>285</v>
      </c>
      <c r="C2946" s="62" t="s">
        <v>115</v>
      </c>
      <c r="D2946" s="62" t="s">
        <v>248</v>
      </c>
      <c r="F2946" s="68" t="s">
        <v>17532</v>
      </c>
      <c r="G2946" s="68" t="s">
        <v>17559</v>
      </c>
      <c r="H2946" s="68" t="s">
        <v>249</v>
      </c>
      <c r="I2946" s="529">
        <v>45813.0</v>
      </c>
      <c r="J2946" s="862"/>
      <c r="K2946" s="68" t="s">
        <v>17560</v>
      </c>
      <c r="L2946" s="68"/>
      <c r="M2946" s="68" t="s">
        <v>17535</v>
      </c>
      <c r="N2946" s="68" t="s">
        <v>17536</v>
      </c>
      <c r="O2946" s="68"/>
      <c r="P2946" s="573" t="s">
        <v>17537</v>
      </c>
      <c r="Q2946" s="2375" t="str">
        <f> hyperlink(vlookup(lower(N2946),'File Links'!E:F, 2, FALSE), "LINK")</f>
        <v>LINK</v>
      </c>
      <c r="R2946" s="68" t="s">
        <v>17538</v>
      </c>
      <c r="S2946" s="68" t="s">
        <v>17539</v>
      </c>
      <c r="T2946" s="68"/>
      <c r="U2946" s="336">
        <v>1.0</v>
      </c>
      <c r="V2946" s="573" t="s">
        <v>17540</v>
      </c>
      <c r="W2946" s="1228"/>
      <c r="X2946" s="2376" t="str">
        <f> hyperlink(vlookup(lower(S2946),'File Links'!E:F, 2, FALSE), "LINK")</f>
        <v>LINK</v>
      </c>
      <c r="Y2946" s="68"/>
      <c r="Z2946" s="68" t="s">
        <v>947</v>
      </c>
      <c r="AA2946" s="68" t="s">
        <v>17541</v>
      </c>
      <c r="AB2946" s="68" t="s">
        <v>7291</v>
      </c>
      <c r="AC2946" s="68" t="s">
        <v>17542</v>
      </c>
      <c r="AD2946" s="68" t="s">
        <v>17543</v>
      </c>
      <c r="AE2946" s="68" t="s">
        <v>882</v>
      </c>
      <c r="AF2946" s="336">
        <v>54.0</v>
      </c>
      <c r="AG2946" s="68" t="s">
        <v>17544</v>
      </c>
      <c r="AH2946" s="68" t="s">
        <v>134</v>
      </c>
      <c r="AI2946" s="68" t="s">
        <v>17545</v>
      </c>
      <c r="AJ2946" s="336">
        <v>0.01</v>
      </c>
      <c r="AK2946" s="68" t="s">
        <v>135</v>
      </c>
      <c r="AL2946" s="68" t="s">
        <v>186</v>
      </c>
      <c r="AM2946" s="68" t="s">
        <v>137</v>
      </c>
      <c r="AN2946" s="68" t="s">
        <v>138</v>
      </c>
      <c r="AO2946" s="336">
        <v>437.0</v>
      </c>
      <c r="AP2946" s="336">
        <v>0.09</v>
      </c>
      <c r="AQ2946" s="68" t="s">
        <v>874</v>
      </c>
      <c r="AR2946" s="68" t="s">
        <v>17561</v>
      </c>
      <c r="AS2946" s="336">
        <v>0.001</v>
      </c>
      <c r="AT2946" s="68" t="s">
        <v>172</v>
      </c>
      <c r="AU2946" s="68" t="s">
        <v>186</v>
      </c>
      <c r="AV2946" s="68" t="s">
        <v>141</v>
      </c>
      <c r="AW2946" s="435" t="s">
        <v>17562</v>
      </c>
      <c r="AX2946" s="68" t="s">
        <v>143</v>
      </c>
      <c r="AY2946" s="61" t="str">
        <f>IFERROR(__xludf.DUMMYFUNCTION("vlookup(BB2946,importrange(""https://docs.google.com/spreadsheets/d/1d2vevQ_7D_v35q4wCQ4RpQ_IPoTwEMB9Yp6ymwlPqew/edit?gid=984458430#gid=984458430"", ""'replication success'!A:K""), 11, FAlSE)"),"#N/A")</f>
        <v>#N/A</v>
      </c>
      <c r="AZ2946" s="61" t="str">
        <f>IFERROR(__xludf.DUMMYFUNCTION("vlookup(BB2946,importrange(""https://docs.google.com/spreadsheets/d/1d2vevQ_7D_v35q4wCQ4RpQ_IPoTwEMB9Yp6ymwlPqew/edit?gid=984458430#gid=984458430"", ""'replication success'!A:M""), 12, FAlSE)"),"#N/A")</f>
        <v>#N/A</v>
      </c>
      <c r="BA2946" s="61" t="str">
        <f>IFERROR(__xludf.DUMMYFUNCTION("vlookup(BB2946,importrange(""https://docs.google.com/spreadsheets/d/1d2vevQ_7D_v35q4wCQ4RpQ_IPoTwEMB9Yp6ymwlPqew/edit?gid=984458430#gid=984458430"", ""'replication success'!A:M""), 13, FAlSE)"),"#N/A")</f>
        <v>#N/A</v>
      </c>
      <c r="BB2946" s="61" t="str">
        <f>IFERROR(__xludf.DUMMYFUNCTION("REGEXREPLACE(G2946, ""_[a-z]{1,2}$"", """")"),"CORE_105")</f>
        <v>CORE_105</v>
      </c>
    </row>
    <row r="2947">
      <c r="A2947" s="44">
        <v>2957.0</v>
      </c>
      <c r="B2947" s="129" t="s">
        <v>285</v>
      </c>
      <c r="C2947" s="62" t="s">
        <v>115</v>
      </c>
      <c r="D2947" s="62" t="s">
        <v>248</v>
      </c>
      <c r="F2947" s="68" t="s">
        <v>17532</v>
      </c>
      <c r="G2947" s="68" t="s">
        <v>17563</v>
      </c>
      <c r="H2947" s="68" t="s">
        <v>249</v>
      </c>
      <c r="I2947" s="529">
        <v>45813.0</v>
      </c>
      <c r="J2947" s="862"/>
      <c r="K2947" s="68" t="s">
        <v>17560</v>
      </c>
      <c r="L2947" s="68"/>
      <c r="M2947" s="68" t="s">
        <v>17535</v>
      </c>
      <c r="N2947" s="68" t="s">
        <v>17536</v>
      </c>
      <c r="O2947" s="68"/>
      <c r="P2947" s="573" t="s">
        <v>17537</v>
      </c>
      <c r="Q2947" s="2375" t="str">
        <f> hyperlink(vlookup(lower(N2947),'File Links'!E:F, 2, FALSE), "LINK")</f>
        <v>LINK</v>
      </c>
      <c r="R2947" s="68" t="s">
        <v>17538</v>
      </c>
      <c r="S2947" s="68" t="s">
        <v>17539</v>
      </c>
      <c r="T2947" s="68"/>
      <c r="U2947" s="336">
        <v>1.0</v>
      </c>
      <c r="V2947" s="573" t="s">
        <v>17540</v>
      </c>
      <c r="W2947" s="1228"/>
      <c r="X2947" s="2376" t="str">
        <f> hyperlink(vlookup(lower(S2947),'File Links'!E:F, 2, FALSE), "LINK")</f>
        <v>LINK</v>
      </c>
      <c r="Y2947" s="68"/>
      <c r="Z2947" s="68" t="s">
        <v>947</v>
      </c>
      <c r="AA2947" s="68" t="s">
        <v>17541</v>
      </c>
      <c r="AB2947" s="68" t="s">
        <v>7291</v>
      </c>
      <c r="AC2947" s="68" t="s">
        <v>17542</v>
      </c>
      <c r="AD2947" s="68" t="s">
        <v>17549</v>
      </c>
      <c r="AE2947" s="68" t="s">
        <v>882</v>
      </c>
      <c r="AF2947" s="336">
        <v>23.0</v>
      </c>
      <c r="AG2947" s="68" t="s">
        <v>17550</v>
      </c>
      <c r="AH2947" s="68" t="s">
        <v>134</v>
      </c>
      <c r="AI2947" s="68" t="s">
        <v>17551</v>
      </c>
      <c r="AJ2947" s="336">
        <v>0.06</v>
      </c>
      <c r="AK2947" s="68" t="s">
        <v>172</v>
      </c>
      <c r="AL2947" s="68" t="s">
        <v>186</v>
      </c>
      <c r="AM2947" s="68" t="s">
        <v>137</v>
      </c>
      <c r="AN2947" s="68" t="s">
        <v>138</v>
      </c>
      <c r="AO2947" s="336">
        <v>309.0</v>
      </c>
      <c r="AP2947" s="336">
        <v>0.06</v>
      </c>
      <c r="AQ2947" s="68" t="s">
        <v>874</v>
      </c>
      <c r="AR2947" s="68" t="s">
        <v>17564</v>
      </c>
      <c r="AS2947" s="336">
        <v>0.001</v>
      </c>
      <c r="AT2947" s="68" t="s">
        <v>135</v>
      </c>
      <c r="AU2947" s="68" t="s">
        <v>186</v>
      </c>
      <c r="AV2947" s="68" t="s">
        <v>141</v>
      </c>
      <c r="AW2947" s="435" t="s">
        <v>17562</v>
      </c>
      <c r="AX2947" s="68" t="s">
        <v>143</v>
      </c>
      <c r="AY2947" s="61" t="str">
        <f>IFERROR(__xludf.DUMMYFUNCTION("vlookup(BB2947,importrange(""https://docs.google.com/spreadsheets/d/1d2vevQ_7D_v35q4wCQ4RpQ_IPoTwEMB9Yp6ymwlPqew/edit?gid=984458430#gid=984458430"", ""'replication success'!A:K""), 11, FAlSE)"),"#N/A")</f>
        <v>#N/A</v>
      </c>
      <c r="AZ2947" s="61" t="str">
        <f>IFERROR(__xludf.DUMMYFUNCTION("vlookup(BB2947,importrange(""https://docs.google.com/spreadsheets/d/1d2vevQ_7D_v35q4wCQ4RpQ_IPoTwEMB9Yp6ymwlPqew/edit?gid=984458430#gid=984458430"", ""'replication success'!A:M""), 12, FAlSE)"),"#N/A")</f>
        <v>#N/A</v>
      </c>
      <c r="BA2947" s="61" t="str">
        <f>IFERROR(__xludf.DUMMYFUNCTION("vlookup(BB2947,importrange(""https://docs.google.com/spreadsheets/d/1d2vevQ_7D_v35q4wCQ4RpQ_IPoTwEMB9Yp6ymwlPqew/edit?gid=984458430#gid=984458430"", ""'replication success'!A:M""), 13, FAlSE)"),"#N/A")</f>
        <v>#N/A</v>
      </c>
      <c r="BB2947" s="61" t="str">
        <f>IFERROR(__xludf.DUMMYFUNCTION("REGEXREPLACE(G2947, ""_[a-z]{1,2}$"", """")"),"CORE_105")</f>
        <v>CORE_105</v>
      </c>
    </row>
    <row r="2948">
      <c r="A2948" s="44">
        <v>2958.0</v>
      </c>
      <c r="B2948" s="129" t="s">
        <v>285</v>
      </c>
      <c r="C2948" s="62" t="s">
        <v>115</v>
      </c>
      <c r="D2948" s="62" t="s">
        <v>248</v>
      </c>
      <c r="F2948" s="68" t="s">
        <v>17532</v>
      </c>
      <c r="G2948" s="68" t="s">
        <v>17565</v>
      </c>
      <c r="H2948" s="68" t="s">
        <v>249</v>
      </c>
      <c r="I2948" s="529">
        <v>45813.0</v>
      </c>
      <c r="J2948" s="862"/>
      <c r="K2948" s="68" t="s">
        <v>17566</v>
      </c>
      <c r="L2948" s="68"/>
      <c r="M2948" s="68" t="s">
        <v>17535</v>
      </c>
      <c r="N2948" s="68" t="s">
        <v>17536</v>
      </c>
      <c r="O2948" s="68"/>
      <c r="P2948" s="573" t="s">
        <v>17537</v>
      </c>
      <c r="Q2948" s="2375" t="str">
        <f> hyperlink(vlookup(lower(N2948),'File Links'!E:F, 2, FALSE), "LINK")</f>
        <v>LINK</v>
      </c>
      <c r="R2948" s="68" t="s">
        <v>17538</v>
      </c>
      <c r="S2948" s="68" t="s">
        <v>17539</v>
      </c>
      <c r="T2948" s="68"/>
      <c r="U2948" s="336">
        <v>2.0</v>
      </c>
      <c r="V2948" s="573" t="s">
        <v>17540</v>
      </c>
      <c r="W2948" s="1228"/>
      <c r="X2948" s="2376" t="str">
        <f> hyperlink(vlookup(lower(S2948),'File Links'!E:F, 2, FALSE), "LINK")</f>
        <v>LINK</v>
      </c>
      <c r="Y2948" s="68"/>
      <c r="Z2948" s="68" t="s">
        <v>947</v>
      </c>
      <c r="AA2948" s="68" t="s">
        <v>17541</v>
      </c>
      <c r="AB2948" s="68" t="s">
        <v>7291</v>
      </c>
      <c r="AC2948" s="68" t="s">
        <v>17542</v>
      </c>
      <c r="AD2948" s="68" t="s">
        <v>17567</v>
      </c>
      <c r="AE2948" s="68" t="s">
        <v>624</v>
      </c>
      <c r="AF2948" s="336">
        <v>134.0</v>
      </c>
      <c r="AG2948" s="68" t="s">
        <v>17568</v>
      </c>
      <c r="AH2948" s="68" t="s">
        <v>134</v>
      </c>
      <c r="AI2948" s="68" t="s">
        <v>17569</v>
      </c>
      <c r="AJ2948" s="336">
        <v>0.001</v>
      </c>
      <c r="AK2948" s="68" t="s">
        <v>135</v>
      </c>
      <c r="AL2948" s="68" t="s">
        <v>186</v>
      </c>
      <c r="AM2948" s="68" t="s">
        <v>137</v>
      </c>
      <c r="AN2948" s="68" t="s">
        <v>138</v>
      </c>
      <c r="AO2948" s="336">
        <v>499.0</v>
      </c>
      <c r="AP2948" s="336">
        <v>0.62</v>
      </c>
      <c r="AQ2948" s="68" t="s">
        <v>874</v>
      </c>
      <c r="AR2948" s="68" t="s">
        <v>17570</v>
      </c>
      <c r="AS2948" s="336">
        <v>0.001</v>
      </c>
      <c r="AT2948" s="68" t="s">
        <v>135</v>
      </c>
      <c r="AU2948" s="68" t="s">
        <v>186</v>
      </c>
      <c r="AV2948" s="68" t="s">
        <v>137</v>
      </c>
      <c r="AW2948" s="435" t="s">
        <v>17571</v>
      </c>
      <c r="AX2948" s="68" t="s">
        <v>143</v>
      </c>
      <c r="AY2948" s="61" t="str">
        <f>IFERROR(__xludf.DUMMYFUNCTION("vlookup(BB2948,importrange(""https://docs.google.com/spreadsheets/d/1d2vevQ_7D_v35q4wCQ4RpQ_IPoTwEMB9Yp6ymwlPqew/edit?gid=984458430#gid=984458430"", ""'replication success'!A:K""), 11, FAlSE)"),"#N/A")</f>
        <v>#N/A</v>
      </c>
      <c r="AZ2948" s="61" t="str">
        <f>IFERROR(__xludf.DUMMYFUNCTION("vlookup(BB2948,importrange(""https://docs.google.com/spreadsheets/d/1d2vevQ_7D_v35q4wCQ4RpQ_IPoTwEMB9Yp6ymwlPqew/edit?gid=984458430#gid=984458430"", ""'replication success'!A:M""), 12, FAlSE)"),"#N/A")</f>
        <v>#N/A</v>
      </c>
      <c r="BA2948" s="61" t="str">
        <f>IFERROR(__xludf.DUMMYFUNCTION("vlookup(BB2948,importrange(""https://docs.google.com/spreadsheets/d/1d2vevQ_7D_v35q4wCQ4RpQ_IPoTwEMB9Yp6ymwlPqew/edit?gid=984458430#gid=984458430"", ""'replication success'!A:M""), 13, FAlSE)"),"#N/A")</f>
        <v>#N/A</v>
      </c>
      <c r="BB2948" s="61" t="str">
        <f>IFERROR(__xludf.DUMMYFUNCTION("REGEXREPLACE(G2948, ""_[a-z]{1,2}$"", """")"),"CORE_105")</f>
        <v>CORE_105</v>
      </c>
    </row>
    <row r="2949">
      <c r="A2949" s="44">
        <v>2959.0</v>
      </c>
      <c r="B2949" s="129" t="s">
        <v>285</v>
      </c>
      <c r="C2949" s="62" t="s">
        <v>115</v>
      </c>
      <c r="D2949" s="62" t="s">
        <v>248</v>
      </c>
      <c r="F2949" s="68" t="s">
        <v>17532</v>
      </c>
      <c r="G2949" s="68" t="s">
        <v>17572</v>
      </c>
      <c r="H2949" s="68" t="s">
        <v>249</v>
      </c>
      <c r="I2949" s="529">
        <v>45813.0</v>
      </c>
      <c r="J2949" s="862"/>
      <c r="K2949" s="68" t="s">
        <v>17573</v>
      </c>
      <c r="L2949" s="68"/>
      <c r="M2949" s="68" t="s">
        <v>17535</v>
      </c>
      <c r="N2949" s="68" t="s">
        <v>17536</v>
      </c>
      <c r="O2949" s="68"/>
      <c r="P2949" s="573" t="s">
        <v>17537</v>
      </c>
      <c r="Q2949" s="2375" t="str">
        <f> hyperlink(vlookup(lower(N2949),'File Links'!E:F, 2, FALSE), "LINK")</f>
        <v>LINK</v>
      </c>
      <c r="R2949" s="68" t="s">
        <v>17538</v>
      </c>
      <c r="S2949" s="68" t="s">
        <v>17539</v>
      </c>
      <c r="T2949" s="68"/>
      <c r="U2949" s="336">
        <v>2.0</v>
      </c>
      <c r="V2949" s="573" t="s">
        <v>17540</v>
      </c>
      <c r="W2949" s="1228"/>
      <c r="X2949" s="2376" t="str">
        <f> hyperlink(vlookup(lower(S2949),'File Links'!E:F, 2, FALSE), "LINK")</f>
        <v>LINK</v>
      </c>
      <c r="Y2949" s="68"/>
      <c r="Z2949" s="68" t="s">
        <v>947</v>
      </c>
      <c r="AA2949" s="68" t="s">
        <v>17541</v>
      </c>
      <c r="AB2949" s="68" t="s">
        <v>7291</v>
      </c>
      <c r="AC2949" s="68" t="s">
        <v>17542</v>
      </c>
      <c r="AD2949" s="68" t="s">
        <v>17574</v>
      </c>
      <c r="AE2949" s="68" t="s">
        <v>624</v>
      </c>
      <c r="AF2949" s="336">
        <v>134.0</v>
      </c>
      <c r="AG2949" s="68" t="s">
        <v>17575</v>
      </c>
      <c r="AH2949" s="68" t="s">
        <v>134</v>
      </c>
      <c r="AI2949" s="68" t="s">
        <v>17576</v>
      </c>
      <c r="AJ2949" s="336">
        <v>0.001</v>
      </c>
      <c r="AK2949" s="68" t="s">
        <v>135</v>
      </c>
      <c r="AL2949" s="68" t="s">
        <v>186</v>
      </c>
      <c r="AM2949" s="68" t="s">
        <v>137</v>
      </c>
      <c r="AN2949" s="68" t="s">
        <v>138</v>
      </c>
      <c r="AO2949" s="336">
        <v>499.0</v>
      </c>
      <c r="AP2949" s="336">
        <v>0.08</v>
      </c>
      <c r="AQ2949" s="68" t="s">
        <v>874</v>
      </c>
      <c r="AR2949" s="68" t="s">
        <v>17577</v>
      </c>
      <c r="AS2949" s="336">
        <v>0.001</v>
      </c>
      <c r="AT2949" s="68" t="s">
        <v>135</v>
      </c>
      <c r="AU2949" s="68" t="s">
        <v>186</v>
      </c>
      <c r="AV2949" s="68" t="s">
        <v>137</v>
      </c>
      <c r="AW2949" s="435" t="s">
        <v>17571</v>
      </c>
      <c r="AX2949" s="68" t="s">
        <v>143</v>
      </c>
      <c r="AY2949" s="61" t="str">
        <f>IFERROR(__xludf.DUMMYFUNCTION("vlookup(BB2949,importrange(""https://docs.google.com/spreadsheets/d/1d2vevQ_7D_v35q4wCQ4RpQ_IPoTwEMB9Yp6ymwlPqew/edit?gid=984458430#gid=984458430"", ""'replication success'!A:K""), 11, FAlSE)"),"#N/A")</f>
        <v>#N/A</v>
      </c>
      <c r="AZ2949" s="61" t="str">
        <f>IFERROR(__xludf.DUMMYFUNCTION("vlookup(BB2949,importrange(""https://docs.google.com/spreadsheets/d/1d2vevQ_7D_v35q4wCQ4RpQ_IPoTwEMB9Yp6ymwlPqew/edit?gid=984458430#gid=984458430"", ""'replication success'!A:M""), 12, FAlSE)"),"#N/A")</f>
        <v>#N/A</v>
      </c>
      <c r="BA2949" s="61" t="str">
        <f>IFERROR(__xludf.DUMMYFUNCTION("vlookup(BB2949,importrange(""https://docs.google.com/spreadsheets/d/1d2vevQ_7D_v35q4wCQ4RpQ_IPoTwEMB9Yp6ymwlPqew/edit?gid=984458430#gid=984458430"", ""'replication success'!A:M""), 13, FAlSE)"),"#N/A")</f>
        <v>#N/A</v>
      </c>
      <c r="BB2949" s="61" t="str">
        <f>IFERROR(__xludf.DUMMYFUNCTION("REGEXREPLACE(G2949, ""_[a-z]{1,2}$"", """")"),"CORE_105")</f>
        <v>CORE_105</v>
      </c>
    </row>
    <row r="2950">
      <c r="A2950" s="44">
        <v>2960.0</v>
      </c>
      <c r="B2950" s="129" t="s">
        <v>285</v>
      </c>
      <c r="C2950" s="62" t="s">
        <v>115</v>
      </c>
      <c r="D2950" s="62" t="s">
        <v>248</v>
      </c>
      <c r="F2950" s="68" t="s">
        <v>17532</v>
      </c>
      <c r="G2950" s="68" t="s">
        <v>17578</v>
      </c>
      <c r="H2950" s="68" t="s">
        <v>249</v>
      </c>
      <c r="I2950" s="529">
        <v>45813.0</v>
      </c>
      <c r="J2950" s="862"/>
      <c r="K2950" s="68" t="s">
        <v>17573</v>
      </c>
      <c r="L2950" s="68"/>
      <c r="M2950" s="68" t="s">
        <v>17535</v>
      </c>
      <c r="N2950" s="68" t="s">
        <v>17536</v>
      </c>
      <c r="O2950" s="68"/>
      <c r="P2950" s="573" t="s">
        <v>17537</v>
      </c>
      <c r="Q2950" s="2375" t="str">
        <f> hyperlink(vlookup(lower(N2950),'File Links'!E:F, 2, FALSE), "LINK")</f>
        <v>LINK</v>
      </c>
      <c r="R2950" s="68" t="s">
        <v>17538</v>
      </c>
      <c r="S2950" s="68" t="s">
        <v>17539</v>
      </c>
      <c r="T2950" s="68"/>
      <c r="U2950" s="336">
        <v>2.0</v>
      </c>
      <c r="V2950" s="573" t="s">
        <v>17540</v>
      </c>
      <c r="W2950" s="1228"/>
      <c r="X2950" s="2376" t="str">
        <f> hyperlink(vlookup(lower(S2950),'File Links'!E:F, 2, FALSE), "LINK")</f>
        <v>LINK</v>
      </c>
      <c r="Y2950" s="68"/>
      <c r="Z2950" s="68" t="s">
        <v>947</v>
      </c>
      <c r="AA2950" s="68" t="s">
        <v>17541</v>
      </c>
      <c r="AB2950" s="68" t="s">
        <v>7291</v>
      </c>
      <c r="AC2950" s="68" t="s">
        <v>17542</v>
      </c>
      <c r="AD2950" s="68" t="s">
        <v>17579</v>
      </c>
      <c r="AE2950" s="68" t="s">
        <v>624</v>
      </c>
      <c r="AF2950" s="336">
        <v>134.0</v>
      </c>
      <c r="AG2950" s="68" t="s">
        <v>17580</v>
      </c>
      <c r="AH2950" s="68" t="s">
        <v>134</v>
      </c>
      <c r="AI2950" s="68" t="s">
        <v>17581</v>
      </c>
      <c r="AJ2950" s="336">
        <v>0.001</v>
      </c>
      <c r="AK2950" s="68" t="s">
        <v>135</v>
      </c>
      <c r="AL2950" s="68" t="s">
        <v>186</v>
      </c>
      <c r="AM2950" s="68" t="s">
        <v>137</v>
      </c>
      <c r="AN2950" s="68" t="s">
        <v>138</v>
      </c>
      <c r="AO2950" s="336">
        <v>499.0</v>
      </c>
      <c r="AP2950" s="336">
        <v>0.01</v>
      </c>
      <c r="AQ2950" s="68" t="s">
        <v>874</v>
      </c>
      <c r="AR2950" s="68" t="s">
        <v>17582</v>
      </c>
      <c r="AS2950" s="336">
        <v>0.029</v>
      </c>
      <c r="AT2950" s="68" t="s">
        <v>172</v>
      </c>
      <c r="AU2950" s="68" t="s">
        <v>186</v>
      </c>
      <c r="AV2950" s="68" t="s">
        <v>137</v>
      </c>
      <c r="AW2950" s="435" t="s">
        <v>17571</v>
      </c>
      <c r="AX2950" s="68" t="s">
        <v>143</v>
      </c>
      <c r="AY2950" s="61" t="str">
        <f>IFERROR(__xludf.DUMMYFUNCTION("vlookup(BB2950,importrange(""https://docs.google.com/spreadsheets/d/1d2vevQ_7D_v35q4wCQ4RpQ_IPoTwEMB9Yp6ymwlPqew/edit?gid=984458430#gid=984458430"", ""'replication success'!A:K""), 11, FAlSE)"),"#N/A")</f>
        <v>#N/A</v>
      </c>
      <c r="AZ2950" s="61" t="str">
        <f>IFERROR(__xludf.DUMMYFUNCTION("vlookup(BB2950,importrange(""https://docs.google.com/spreadsheets/d/1d2vevQ_7D_v35q4wCQ4RpQ_IPoTwEMB9Yp6ymwlPqew/edit?gid=984458430#gid=984458430"", ""'replication success'!A:M""), 12, FAlSE)"),"#N/A")</f>
        <v>#N/A</v>
      </c>
      <c r="BA2950" s="61" t="str">
        <f>IFERROR(__xludf.DUMMYFUNCTION("vlookup(BB2950,importrange(""https://docs.google.com/spreadsheets/d/1d2vevQ_7D_v35q4wCQ4RpQ_IPoTwEMB9Yp6ymwlPqew/edit?gid=984458430#gid=984458430"", ""'replication success'!A:M""), 13, FAlSE)"),"#N/A")</f>
        <v>#N/A</v>
      </c>
      <c r="BB2950" s="61" t="str">
        <f>IFERROR(__xludf.DUMMYFUNCTION("REGEXREPLACE(G2950, ""_[a-z]{1,2}$"", """")"),"CORE_105")</f>
        <v>CORE_105</v>
      </c>
    </row>
    <row r="2951">
      <c r="A2951" s="44">
        <v>2961.0</v>
      </c>
      <c r="B2951" s="129" t="s">
        <v>285</v>
      </c>
      <c r="C2951" s="62" t="s">
        <v>115</v>
      </c>
      <c r="D2951" s="62" t="s">
        <v>248</v>
      </c>
      <c r="F2951" s="68" t="s">
        <v>17532</v>
      </c>
      <c r="G2951" s="68" t="s">
        <v>17583</v>
      </c>
      <c r="H2951" s="68" t="s">
        <v>249</v>
      </c>
      <c r="I2951" s="529">
        <v>45813.0</v>
      </c>
      <c r="J2951" s="862"/>
      <c r="K2951" s="68" t="s">
        <v>17584</v>
      </c>
      <c r="L2951" s="68"/>
      <c r="M2951" s="68" t="s">
        <v>17535</v>
      </c>
      <c r="N2951" s="68" t="s">
        <v>17536</v>
      </c>
      <c r="O2951" s="68"/>
      <c r="P2951" s="573" t="s">
        <v>17537</v>
      </c>
      <c r="Q2951" s="2375" t="str">
        <f> hyperlink(vlookup(lower(N2951),'File Links'!E:F, 2, FALSE), "LINK")</f>
        <v>LINK</v>
      </c>
      <c r="R2951" s="68" t="s">
        <v>17538</v>
      </c>
      <c r="S2951" s="68" t="s">
        <v>17539</v>
      </c>
      <c r="T2951" s="68"/>
      <c r="U2951" s="336">
        <v>2.0</v>
      </c>
      <c r="V2951" s="573" t="s">
        <v>17540</v>
      </c>
      <c r="W2951" s="1228"/>
      <c r="X2951" s="2376" t="str">
        <f> hyperlink(vlookup(lower(S2951),'File Links'!E:F, 2, FALSE), "LINK")</f>
        <v>LINK</v>
      </c>
      <c r="Y2951" s="68"/>
      <c r="Z2951" s="68" t="s">
        <v>947</v>
      </c>
      <c r="AA2951" s="68" t="s">
        <v>17541</v>
      </c>
      <c r="AB2951" s="68" t="s">
        <v>7291</v>
      </c>
      <c r="AC2951" s="68" t="s">
        <v>17542</v>
      </c>
      <c r="AD2951" s="68" t="s">
        <v>17579</v>
      </c>
      <c r="AE2951" s="68" t="s">
        <v>624</v>
      </c>
      <c r="AF2951" s="336">
        <v>134.0</v>
      </c>
      <c r="AG2951" s="68" t="s">
        <v>17580</v>
      </c>
      <c r="AH2951" s="68" t="s">
        <v>134</v>
      </c>
      <c r="AI2951" s="68" t="s">
        <v>17581</v>
      </c>
      <c r="AJ2951" s="336">
        <v>0.001</v>
      </c>
      <c r="AK2951" s="68" t="s">
        <v>135</v>
      </c>
      <c r="AL2951" s="68" t="s">
        <v>186</v>
      </c>
      <c r="AM2951" s="68" t="s">
        <v>137</v>
      </c>
      <c r="AN2951" s="68" t="s">
        <v>138</v>
      </c>
      <c r="AO2951" s="336">
        <v>1606.0</v>
      </c>
      <c r="AP2951" s="336">
        <v>0.24</v>
      </c>
      <c r="AQ2951" s="68" t="s">
        <v>874</v>
      </c>
      <c r="AR2951" s="68" t="s">
        <v>17585</v>
      </c>
      <c r="AS2951" s="336">
        <v>0.01</v>
      </c>
      <c r="AT2951" s="68" t="s">
        <v>135</v>
      </c>
      <c r="AU2951" s="68" t="s">
        <v>186</v>
      </c>
      <c r="AV2951" s="68" t="s">
        <v>137</v>
      </c>
      <c r="AW2951" s="435" t="s">
        <v>17571</v>
      </c>
      <c r="AX2951" s="68" t="s">
        <v>143</v>
      </c>
      <c r="AY2951" s="61" t="str">
        <f>IFERROR(__xludf.DUMMYFUNCTION("vlookup(BB2951,importrange(""https://docs.google.com/spreadsheets/d/1d2vevQ_7D_v35q4wCQ4RpQ_IPoTwEMB9Yp6ymwlPqew/edit?gid=984458430#gid=984458430"", ""'replication success'!A:K""), 11, FAlSE)"),"#N/A")</f>
        <v>#N/A</v>
      </c>
      <c r="AZ2951" s="61" t="str">
        <f>IFERROR(__xludf.DUMMYFUNCTION("vlookup(BB2951,importrange(""https://docs.google.com/spreadsheets/d/1d2vevQ_7D_v35q4wCQ4RpQ_IPoTwEMB9Yp6ymwlPqew/edit?gid=984458430#gid=984458430"", ""'replication success'!A:M""), 12, FAlSE)"),"#N/A")</f>
        <v>#N/A</v>
      </c>
      <c r="BA2951" s="61" t="str">
        <f>IFERROR(__xludf.DUMMYFUNCTION("vlookup(BB2951,importrange(""https://docs.google.com/spreadsheets/d/1d2vevQ_7D_v35q4wCQ4RpQ_IPoTwEMB9Yp6ymwlPqew/edit?gid=984458430#gid=984458430"", ""'replication success'!A:M""), 13, FAlSE)"),"#N/A")</f>
        <v>#N/A</v>
      </c>
      <c r="BB2951" s="61" t="str">
        <f>IFERROR(__xludf.DUMMYFUNCTION("REGEXREPLACE(G2951, ""_[a-z]{1,2}$"", """")"),"CORE_105")</f>
        <v>CORE_105</v>
      </c>
    </row>
    <row r="2952">
      <c r="A2952" s="44">
        <v>2962.0</v>
      </c>
      <c r="B2952" s="129" t="s">
        <v>285</v>
      </c>
      <c r="C2952" s="62" t="s">
        <v>115</v>
      </c>
      <c r="D2952" s="62" t="s">
        <v>248</v>
      </c>
      <c r="F2952" s="68" t="s">
        <v>17532</v>
      </c>
      <c r="G2952" s="68" t="s">
        <v>17586</v>
      </c>
      <c r="H2952" s="68" t="s">
        <v>249</v>
      </c>
      <c r="I2952" s="529">
        <v>45813.0</v>
      </c>
      <c r="J2952" s="862"/>
      <c r="K2952" s="68" t="s">
        <v>17584</v>
      </c>
      <c r="L2952" s="68"/>
      <c r="M2952" s="68" t="s">
        <v>17535</v>
      </c>
      <c r="N2952" s="68" t="s">
        <v>17536</v>
      </c>
      <c r="O2952" s="68"/>
      <c r="P2952" s="573" t="s">
        <v>17537</v>
      </c>
      <c r="Q2952" s="2375" t="str">
        <f> hyperlink(vlookup(lower(N2952),'File Links'!E:F, 2, FALSE), "LINK")</f>
        <v>LINK</v>
      </c>
      <c r="R2952" s="68" t="s">
        <v>17538</v>
      </c>
      <c r="S2952" s="68" t="s">
        <v>17539</v>
      </c>
      <c r="T2952" s="68"/>
      <c r="U2952" s="336">
        <v>2.0</v>
      </c>
      <c r="V2952" s="573" t="s">
        <v>17540</v>
      </c>
      <c r="W2952" s="1228"/>
      <c r="X2952" s="2376" t="str">
        <f> hyperlink(vlookup(lower(S2952),'File Links'!E:F, 2, FALSE), "LINK")</f>
        <v>LINK</v>
      </c>
      <c r="Y2952" s="68"/>
      <c r="Z2952" s="68" t="s">
        <v>947</v>
      </c>
      <c r="AA2952" s="68" t="s">
        <v>17541</v>
      </c>
      <c r="AB2952" s="68" t="s">
        <v>7291</v>
      </c>
      <c r="AC2952" s="68" t="s">
        <v>17542</v>
      </c>
      <c r="AD2952" s="68" t="s">
        <v>17579</v>
      </c>
      <c r="AE2952" s="68" t="s">
        <v>624</v>
      </c>
      <c r="AF2952" s="336">
        <v>134.0</v>
      </c>
      <c r="AG2952" s="68" t="s">
        <v>17580</v>
      </c>
      <c r="AH2952" s="68" t="s">
        <v>134</v>
      </c>
      <c r="AI2952" s="68" t="s">
        <v>17581</v>
      </c>
      <c r="AJ2952" s="336">
        <v>0.001</v>
      </c>
      <c r="AK2952" s="68" t="s">
        <v>135</v>
      </c>
      <c r="AL2952" s="68" t="s">
        <v>186</v>
      </c>
      <c r="AM2952" s="68" t="s">
        <v>137</v>
      </c>
      <c r="AN2952" s="68" t="s">
        <v>138</v>
      </c>
      <c r="AO2952" s="336">
        <v>1606.0</v>
      </c>
      <c r="AP2952" s="336">
        <v>0.01</v>
      </c>
      <c r="AQ2952" s="68" t="s">
        <v>874</v>
      </c>
      <c r="AR2952" s="68" t="s">
        <v>17587</v>
      </c>
      <c r="AS2952" s="336">
        <v>0.003</v>
      </c>
      <c r="AT2952" s="68" t="s">
        <v>172</v>
      </c>
      <c r="AU2952" s="68" t="s">
        <v>186</v>
      </c>
      <c r="AV2952" s="68" t="s">
        <v>137</v>
      </c>
      <c r="AW2952" s="435" t="s">
        <v>17571</v>
      </c>
      <c r="AX2952" s="68" t="s">
        <v>143</v>
      </c>
      <c r="AY2952" s="61" t="str">
        <f>IFERROR(__xludf.DUMMYFUNCTION("vlookup(BB2952,importrange(""https://docs.google.com/spreadsheets/d/1d2vevQ_7D_v35q4wCQ4RpQ_IPoTwEMB9Yp6ymwlPqew/edit?gid=984458430#gid=984458430"", ""'replication success'!A:K""), 11, FAlSE)"),"#N/A")</f>
        <v>#N/A</v>
      </c>
      <c r="AZ2952" s="61" t="str">
        <f>IFERROR(__xludf.DUMMYFUNCTION("vlookup(BB2952,importrange(""https://docs.google.com/spreadsheets/d/1d2vevQ_7D_v35q4wCQ4RpQ_IPoTwEMB9Yp6ymwlPqew/edit?gid=984458430#gid=984458430"", ""'replication success'!A:M""), 12, FAlSE)"),"#N/A")</f>
        <v>#N/A</v>
      </c>
      <c r="BA2952" s="61" t="str">
        <f>IFERROR(__xludf.DUMMYFUNCTION("vlookup(BB2952,importrange(""https://docs.google.com/spreadsheets/d/1d2vevQ_7D_v35q4wCQ4RpQ_IPoTwEMB9Yp6ymwlPqew/edit?gid=984458430#gid=984458430"", ""'replication success'!A:M""), 13, FAlSE)"),"#N/A")</f>
        <v>#N/A</v>
      </c>
      <c r="BB2952" s="61" t="str">
        <f>IFERROR(__xludf.DUMMYFUNCTION("REGEXREPLACE(G2952, ""_[a-z]{1,2}$"", """")"),"CORE_105")</f>
        <v>CORE_105</v>
      </c>
    </row>
    <row r="2953">
      <c r="A2953" s="44">
        <v>2963.0</v>
      </c>
      <c r="B2953" s="129" t="s">
        <v>285</v>
      </c>
      <c r="C2953" s="62" t="s">
        <v>115</v>
      </c>
      <c r="D2953" s="62" t="s">
        <v>248</v>
      </c>
      <c r="F2953" s="68" t="s">
        <v>17532</v>
      </c>
      <c r="G2953" s="68" t="s">
        <v>17588</v>
      </c>
      <c r="H2953" s="68" t="s">
        <v>249</v>
      </c>
      <c r="I2953" s="529">
        <v>45813.0</v>
      </c>
      <c r="J2953" s="862"/>
      <c r="K2953" s="68" t="s">
        <v>17584</v>
      </c>
      <c r="L2953" s="68"/>
      <c r="M2953" s="68" t="s">
        <v>17535</v>
      </c>
      <c r="N2953" s="68" t="s">
        <v>17536</v>
      </c>
      <c r="O2953" s="68"/>
      <c r="P2953" s="573" t="s">
        <v>17537</v>
      </c>
      <c r="Q2953" s="2375" t="str">
        <f> hyperlink(vlookup(lower(N2953),'File Links'!E:F, 2, FALSE), "LINK")</f>
        <v>LINK</v>
      </c>
      <c r="R2953" s="68" t="s">
        <v>17538</v>
      </c>
      <c r="S2953" s="68" t="s">
        <v>17539</v>
      </c>
      <c r="T2953" s="68"/>
      <c r="U2953" s="336">
        <v>2.0</v>
      </c>
      <c r="V2953" s="573" t="s">
        <v>17540</v>
      </c>
      <c r="W2953" s="1228"/>
      <c r="X2953" s="2376" t="str">
        <f> hyperlink(vlookup(lower(S2953),'File Links'!E:F, 2, FALSE), "LINK")</f>
        <v>LINK</v>
      </c>
      <c r="Y2953" s="68"/>
      <c r="Z2953" s="68" t="s">
        <v>947</v>
      </c>
      <c r="AA2953" s="68" t="s">
        <v>17541</v>
      </c>
      <c r="AB2953" s="68" t="s">
        <v>7291</v>
      </c>
      <c r="AC2953" s="68" t="s">
        <v>17542</v>
      </c>
      <c r="AD2953" s="68" t="s">
        <v>17579</v>
      </c>
      <c r="AE2953" s="68" t="s">
        <v>624</v>
      </c>
      <c r="AF2953" s="336">
        <v>134.0</v>
      </c>
      <c r="AG2953" s="68" t="s">
        <v>17580</v>
      </c>
      <c r="AH2953" s="68" t="s">
        <v>134</v>
      </c>
      <c r="AI2953" s="68" t="s">
        <v>17581</v>
      </c>
      <c r="AJ2953" s="336">
        <v>0.001</v>
      </c>
      <c r="AK2953" s="68" t="s">
        <v>135</v>
      </c>
      <c r="AL2953" s="68" t="s">
        <v>186</v>
      </c>
      <c r="AM2953" s="68" t="s">
        <v>137</v>
      </c>
      <c r="AN2953" s="68" t="s">
        <v>138</v>
      </c>
      <c r="AO2953" s="336">
        <v>1606.0</v>
      </c>
      <c r="AP2953" s="336">
        <v>0.05</v>
      </c>
      <c r="AQ2953" s="68" t="s">
        <v>874</v>
      </c>
      <c r="AR2953" s="68" t="s">
        <v>17589</v>
      </c>
      <c r="AS2953" s="336">
        <v>0.001</v>
      </c>
      <c r="AT2953" s="68" t="s">
        <v>135</v>
      </c>
      <c r="AU2953" s="68" t="s">
        <v>186</v>
      </c>
      <c r="AV2953" s="68" t="s">
        <v>137</v>
      </c>
      <c r="AW2953" s="435" t="s">
        <v>17571</v>
      </c>
      <c r="AX2953" s="68" t="s">
        <v>143</v>
      </c>
      <c r="AY2953" s="61" t="str">
        <f>IFERROR(__xludf.DUMMYFUNCTION("vlookup(BB2953,importrange(""https://docs.google.com/spreadsheets/d/1d2vevQ_7D_v35q4wCQ4RpQ_IPoTwEMB9Yp6ymwlPqew/edit?gid=984458430#gid=984458430"", ""'replication success'!A:K""), 11, FAlSE)"),"#N/A")</f>
        <v>#N/A</v>
      </c>
      <c r="AZ2953" s="61" t="str">
        <f>IFERROR(__xludf.DUMMYFUNCTION("vlookup(BB2953,importrange(""https://docs.google.com/spreadsheets/d/1d2vevQ_7D_v35q4wCQ4RpQ_IPoTwEMB9Yp6ymwlPqew/edit?gid=984458430#gid=984458430"", ""'replication success'!A:M""), 12, FAlSE)"),"#N/A")</f>
        <v>#N/A</v>
      </c>
      <c r="BA2953" s="61" t="str">
        <f>IFERROR(__xludf.DUMMYFUNCTION("vlookup(BB2953,importrange(""https://docs.google.com/spreadsheets/d/1d2vevQ_7D_v35q4wCQ4RpQ_IPoTwEMB9Yp6ymwlPqew/edit?gid=984458430#gid=984458430"", ""'replication success'!A:M""), 13, FAlSE)"),"#N/A")</f>
        <v>#N/A</v>
      </c>
      <c r="BB2953" s="61" t="str">
        <f>IFERROR(__xludf.DUMMYFUNCTION("REGEXREPLACE(G2953, ""_[a-z]{1,2}$"", """")"),"CORE_105")</f>
        <v>CORE_105</v>
      </c>
    </row>
    <row r="2954">
      <c r="A2954" s="44">
        <v>2695.0</v>
      </c>
      <c r="B2954" s="129" t="s">
        <v>285</v>
      </c>
      <c r="C2954" s="62" t="s">
        <v>115</v>
      </c>
      <c r="D2954" s="62" t="s">
        <v>2930</v>
      </c>
      <c r="F2954" s="159" t="s">
        <v>17590</v>
      </c>
      <c r="G2954" s="159" t="s">
        <v>17591</v>
      </c>
      <c r="H2954" s="159" t="s">
        <v>17592</v>
      </c>
      <c r="I2954" s="152">
        <v>45799.0</v>
      </c>
      <c r="J2954" s="862"/>
      <c r="K2954" s="159" t="s">
        <v>17593</v>
      </c>
      <c r="L2954" s="68"/>
      <c r="M2954" s="159" t="s">
        <v>15577</v>
      </c>
      <c r="N2954" s="159" t="s">
        <v>15578</v>
      </c>
      <c r="O2954" s="156">
        <v>2.0</v>
      </c>
      <c r="P2954" s="382" t="s">
        <v>15579</v>
      </c>
      <c r="Q2954" s="2191" t="str">
        <f> hyperlink(vlookup(lower(N2954),'File Links'!E:F, 2, FALSE), "LINK")</f>
        <v>LINK</v>
      </c>
      <c r="R2954" s="159" t="s">
        <v>17594</v>
      </c>
      <c r="S2954" s="159" t="s">
        <v>17595</v>
      </c>
      <c r="T2954" s="159" t="s">
        <v>138</v>
      </c>
      <c r="U2954" s="156">
        <v>2.0</v>
      </c>
      <c r="V2954" s="382" t="s">
        <v>17596</v>
      </c>
      <c r="W2954" s="1231" t="s">
        <v>17597</v>
      </c>
      <c r="X2954" s="1552" t="str">
        <f> hyperlink(vlookup(lower(S2954),'File Links'!E:F, 2, FALSE), "LINK")</f>
        <v>LINK</v>
      </c>
      <c r="Y2954" s="68"/>
      <c r="Z2954" s="159" t="s">
        <v>947</v>
      </c>
      <c r="AA2954" s="159" t="s">
        <v>17598</v>
      </c>
      <c r="AB2954" s="159" t="s">
        <v>17599</v>
      </c>
      <c r="AC2954" s="159" t="s">
        <v>17600</v>
      </c>
      <c r="AD2954" s="159" t="s">
        <v>17601</v>
      </c>
      <c r="AE2954" s="156">
        <v>1.0</v>
      </c>
      <c r="AF2954" s="156">
        <v>277.0</v>
      </c>
      <c r="AG2954" s="156">
        <v>3.29</v>
      </c>
      <c r="AH2954" s="159" t="s">
        <v>722</v>
      </c>
      <c r="AI2954" s="159" t="s">
        <v>17602</v>
      </c>
      <c r="AJ2954" s="159" t="s">
        <v>138</v>
      </c>
      <c r="AK2954" s="159" t="s">
        <v>138</v>
      </c>
      <c r="AL2954" s="159" t="s">
        <v>138</v>
      </c>
      <c r="AM2954" s="159" t="s">
        <v>137</v>
      </c>
      <c r="AN2954" s="159" t="s">
        <v>138</v>
      </c>
      <c r="AO2954" s="156">
        <v>1920.0</v>
      </c>
      <c r="AP2954" s="156">
        <v>0.66</v>
      </c>
      <c r="AQ2954" s="159" t="s">
        <v>722</v>
      </c>
      <c r="AR2954" s="159" t="s">
        <v>632</v>
      </c>
      <c r="AS2954" s="159" t="s">
        <v>138</v>
      </c>
      <c r="AT2954" s="159" t="s">
        <v>138</v>
      </c>
      <c r="AU2954" s="159" t="s">
        <v>138</v>
      </c>
      <c r="AV2954" s="159" t="s">
        <v>137</v>
      </c>
      <c r="AW2954" s="310" t="s">
        <v>17603</v>
      </c>
      <c r="AX2954" s="159" t="s">
        <v>324</v>
      </c>
      <c r="AY2954" s="61" t="str">
        <f>IFERROR(__xludf.DUMMYFUNCTION("vlookup(BB2954,importrange(""https://docs.google.com/spreadsheets/d/1d2vevQ_7D_v35q4wCQ4RpQ_IPoTwEMB9Yp6ymwlPqew/edit?gid=984458430#gid=984458430"", ""'replication success'!A:K""), 11, FAlSE)"),"#N/A")</f>
        <v>#N/A</v>
      </c>
      <c r="AZ2954" s="61" t="str">
        <f>IFERROR(__xludf.DUMMYFUNCTION("vlookup(BB2954,importrange(""https://docs.google.com/spreadsheets/d/1d2vevQ_7D_v35q4wCQ4RpQ_IPoTwEMB9Yp6ymwlPqew/edit?gid=984458430#gid=984458430"", ""'replication success'!A:M""), 12, FAlSE)"),"#N/A")</f>
        <v>#N/A</v>
      </c>
      <c r="BA2954" s="61" t="str">
        <f>IFERROR(__xludf.DUMMYFUNCTION("vlookup(BB2954,importrange(""https://docs.google.com/spreadsheets/d/1d2vevQ_7D_v35q4wCQ4RpQ_IPoTwEMB9Yp6ymwlPqew/edit?gid=984458430#gid=984458430"", ""'replication success'!A:M""), 13, FAlSE)"),"#N/A")</f>
        <v>#N/A</v>
      </c>
      <c r="BB2954" s="61" t="str">
        <f>IFERROR(__xludf.DUMMYFUNCTION("REGEXREPLACE(G2954, ""_[a-z]{1,2}$"", """")"),"CORE_110")</f>
        <v>CORE_110</v>
      </c>
    </row>
    <row r="2955">
      <c r="A2955" s="44">
        <v>2696.0</v>
      </c>
      <c r="B2955" s="129" t="s">
        <v>285</v>
      </c>
      <c r="C2955" s="62" t="s">
        <v>115</v>
      </c>
      <c r="D2955" s="62" t="s">
        <v>2930</v>
      </c>
      <c r="F2955" s="159" t="s">
        <v>17604</v>
      </c>
      <c r="G2955" s="159" t="s">
        <v>17605</v>
      </c>
      <c r="H2955" s="159" t="s">
        <v>17592</v>
      </c>
      <c r="I2955" s="152">
        <v>45801.0</v>
      </c>
      <c r="J2955" s="862"/>
      <c r="K2955" s="159" t="s">
        <v>17606</v>
      </c>
      <c r="L2955" s="68"/>
      <c r="M2955" s="159" t="s">
        <v>17607</v>
      </c>
      <c r="N2955" s="159" t="s">
        <v>17608</v>
      </c>
      <c r="O2955" s="159" t="s">
        <v>138</v>
      </c>
      <c r="P2955" s="382" t="s">
        <v>17609</v>
      </c>
      <c r="Q2955" s="2191" t="str">
        <f> hyperlink(vlookup(lower(N2955),'File Links'!E:F, 2, FALSE), "LINK")</f>
        <v>LINK</v>
      </c>
      <c r="R2955" s="159" t="s">
        <v>17610</v>
      </c>
      <c r="S2955" s="159" t="s">
        <v>17611</v>
      </c>
      <c r="T2955" s="159" t="s">
        <v>138</v>
      </c>
      <c r="U2955" s="156">
        <v>1.0</v>
      </c>
      <c r="V2955" s="382" t="s">
        <v>17612</v>
      </c>
      <c r="W2955" s="1231" t="s">
        <v>17597</v>
      </c>
      <c r="X2955" s="1552" t="str">
        <f> hyperlink(vlookup(lower(S2955),'File Links'!E:F, 2, FALSE), "LINK")</f>
        <v>LINK</v>
      </c>
      <c r="Y2955" s="68"/>
      <c r="Z2955" s="159" t="s">
        <v>947</v>
      </c>
      <c r="AA2955" s="159" t="s">
        <v>17613</v>
      </c>
      <c r="AB2955" s="159" t="s">
        <v>17614</v>
      </c>
      <c r="AC2955" s="159" t="s">
        <v>17615</v>
      </c>
      <c r="AD2955" s="159" t="s">
        <v>17616</v>
      </c>
      <c r="AE2955" s="159" t="s">
        <v>17617</v>
      </c>
      <c r="AF2955" s="159" t="s">
        <v>138</v>
      </c>
      <c r="AG2955" s="156">
        <v>0.59</v>
      </c>
      <c r="AH2955" s="159" t="s">
        <v>173</v>
      </c>
      <c r="AI2955" s="159" t="s">
        <v>17618</v>
      </c>
      <c r="AJ2955" s="159" t="s">
        <v>138</v>
      </c>
      <c r="AK2955" s="159" t="s">
        <v>138</v>
      </c>
      <c r="AL2955" s="159" t="s">
        <v>138</v>
      </c>
      <c r="AM2955" s="159" t="s">
        <v>137</v>
      </c>
      <c r="AN2955" s="159" t="s">
        <v>138</v>
      </c>
      <c r="AO2955" s="156">
        <v>1032.0</v>
      </c>
      <c r="AP2955" s="156">
        <v>0.49</v>
      </c>
      <c r="AQ2955" s="159" t="s">
        <v>173</v>
      </c>
      <c r="AR2955" s="159" t="s">
        <v>217</v>
      </c>
      <c r="AS2955" s="159" t="s">
        <v>138</v>
      </c>
      <c r="AT2955" s="159" t="s">
        <v>138</v>
      </c>
      <c r="AU2955" s="159" t="s">
        <v>138</v>
      </c>
      <c r="AV2955" s="159" t="s">
        <v>137</v>
      </c>
      <c r="AW2955" s="310" t="s">
        <v>17619</v>
      </c>
      <c r="AX2955" s="159" t="s">
        <v>324</v>
      </c>
      <c r="AY2955" s="61" t="str">
        <f>IFERROR(__xludf.DUMMYFUNCTION("vlookup(BB2955,importrange(""https://docs.google.com/spreadsheets/d/1d2vevQ_7D_v35q4wCQ4RpQ_IPoTwEMB9Yp6ymwlPqew/edit?gid=984458430#gid=984458430"", ""'replication success'!A:K""), 11, FAlSE)"),"#N/A")</f>
        <v>#N/A</v>
      </c>
      <c r="AZ2955" s="61" t="str">
        <f>IFERROR(__xludf.DUMMYFUNCTION("vlookup(BB2955,importrange(""https://docs.google.com/spreadsheets/d/1d2vevQ_7D_v35q4wCQ4RpQ_IPoTwEMB9Yp6ymwlPqew/edit?gid=984458430#gid=984458430"", ""'replication success'!A:M""), 12, FAlSE)"),"#N/A")</f>
        <v>#N/A</v>
      </c>
      <c r="BA2955" s="61" t="str">
        <f>IFERROR(__xludf.DUMMYFUNCTION("vlookup(BB2955,importrange(""https://docs.google.com/spreadsheets/d/1d2vevQ_7D_v35q4wCQ4RpQ_IPoTwEMB9Yp6ymwlPqew/edit?gid=984458430#gid=984458430"", ""'replication success'!A:M""), 13, FAlSE)"),"#N/A")</f>
        <v>#N/A</v>
      </c>
      <c r="BB2955" s="61" t="str">
        <f>IFERROR(__xludf.DUMMYFUNCTION("REGEXREPLACE(G2955, ""_[a-z]{1,2}$"", """")"),"CORE_113")</f>
        <v>CORE_113</v>
      </c>
    </row>
    <row r="2956">
      <c r="A2956" s="44">
        <v>2697.0</v>
      </c>
      <c r="B2956" s="129" t="s">
        <v>285</v>
      </c>
      <c r="C2956" s="62" t="s">
        <v>115</v>
      </c>
      <c r="D2956" s="62" t="s">
        <v>2930</v>
      </c>
      <c r="F2956" s="159" t="s">
        <v>17620</v>
      </c>
      <c r="G2956" s="159" t="s">
        <v>17621</v>
      </c>
      <c r="H2956" s="159" t="s">
        <v>17592</v>
      </c>
      <c r="I2956" s="152">
        <v>45801.0</v>
      </c>
      <c r="J2956" s="862"/>
      <c r="K2956" s="159" t="s">
        <v>17622</v>
      </c>
      <c r="L2956" s="68"/>
      <c r="M2956" s="159" t="s">
        <v>17623</v>
      </c>
      <c r="N2956" s="159" t="s">
        <v>17624</v>
      </c>
      <c r="O2956" s="156">
        <v>1.0</v>
      </c>
      <c r="P2956" s="382" t="s">
        <v>17625</v>
      </c>
      <c r="Q2956" s="2191" t="str">
        <f> hyperlink(vlookup(lower(N2956),'File Links'!E:F, 2, FALSE), "LINK")</f>
        <v>LINK</v>
      </c>
      <c r="R2956" s="159" t="s">
        <v>17626</v>
      </c>
      <c r="S2956" s="159" t="s">
        <v>17627</v>
      </c>
      <c r="T2956" s="159" t="s">
        <v>138</v>
      </c>
      <c r="U2956" s="156">
        <v>1.0</v>
      </c>
      <c r="V2956" s="382" t="s">
        <v>17628</v>
      </c>
      <c r="W2956" s="1231" t="s">
        <v>17629</v>
      </c>
      <c r="X2956" s="1552" t="str">
        <f> hyperlink(vlookup(lower(S2956),'File Links'!E:F, 2, FALSE), "LINK")</f>
        <v>LINK</v>
      </c>
      <c r="Y2956" s="68"/>
      <c r="Z2956" s="159" t="s">
        <v>947</v>
      </c>
      <c r="AA2956" s="159" t="s">
        <v>17630</v>
      </c>
      <c r="AB2956" s="159" t="s">
        <v>17631</v>
      </c>
      <c r="AC2956" s="159" t="s">
        <v>17632</v>
      </c>
      <c r="AD2956" s="159" t="s">
        <v>17633</v>
      </c>
      <c r="AE2956" s="159" t="s">
        <v>138</v>
      </c>
      <c r="AF2956" s="156">
        <v>199.0</v>
      </c>
      <c r="AG2956" s="156">
        <v>0.22</v>
      </c>
      <c r="AH2956" s="159" t="s">
        <v>1256</v>
      </c>
      <c r="AI2956" s="159" t="s">
        <v>17617</v>
      </c>
      <c r="AJ2956" s="159" t="s">
        <v>138</v>
      </c>
      <c r="AK2956" s="159" t="s">
        <v>138</v>
      </c>
      <c r="AL2956" s="159" t="s">
        <v>138</v>
      </c>
      <c r="AM2956" s="159" t="s">
        <v>137</v>
      </c>
      <c r="AN2956" s="159" t="s">
        <v>138</v>
      </c>
      <c r="AO2956" s="156">
        <v>445.0</v>
      </c>
      <c r="AP2956" s="1292">
        <v>0.3</v>
      </c>
      <c r="AQ2956" s="159" t="s">
        <v>1256</v>
      </c>
      <c r="AR2956" s="159" t="s">
        <v>217</v>
      </c>
      <c r="AS2956" s="159" t="s">
        <v>138</v>
      </c>
      <c r="AT2956" s="159" t="s">
        <v>138</v>
      </c>
      <c r="AU2956" s="159" t="s">
        <v>138</v>
      </c>
      <c r="AV2956" s="159" t="s">
        <v>137</v>
      </c>
      <c r="AW2956" s="310" t="s">
        <v>17634</v>
      </c>
      <c r="AX2956" s="159" t="s">
        <v>324</v>
      </c>
      <c r="AY2956" s="61" t="str">
        <f>IFERROR(__xludf.DUMMYFUNCTION("vlookup(BB2956,importrange(""https://docs.google.com/spreadsheets/d/1d2vevQ_7D_v35q4wCQ4RpQ_IPoTwEMB9Yp6ymwlPqew/edit?gid=984458430#gid=984458430"", ""'replication success'!A:K""), 11, FAlSE)"),"#N/A")</f>
        <v>#N/A</v>
      </c>
      <c r="AZ2956" s="61" t="str">
        <f>IFERROR(__xludf.DUMMYFUNCTION("vlookup(BB2956,importrange(""https://docs.google.com/spreadsheets/d/1d2vevQ_7D_v35q4wCQ4RpQ_IPoTwEMB9Yp6ymwlPqew/edit?gid=984458430#gid=984458430"", ""'replication success'!A:M""), 12, FAlSE)"),"#N/A")</f>
        <v>#N/A</v>
      </c>
      <c r="BA2956" s="61" t="str">
        <f>IFERROR(__xludf.DUMMYFUNCTION("vlookup(BB2956,importrange(""https://docs.google.com/spreadsheets/d/1d2vevQ_7D_v35q4wCQ4RpQ_IPoTwEMB9Yp6ymwlPqew/edit?gid=984458430#gid=984458430"", ""'replication success'!A:M""), 13, FAlSE)"),"#N/A")</f>
        <v>#N/A</v>
      </c>
      <c r="BB2956" s="61" t="str">
        <f>IFERROR(__xludf.DUMMYFUNCTION("REGEXREPLACE(G2956, ""_[a-z]{1,2}$"", """")"),"CORE_119")</f>
        <v>CORE_119</v>
      </c>
    </row>
    <row r="2957">
      <c r="A2957" s="44">
        <v>2698.0</v>
      </c>
      <c r="B2957" s="129" t="s">
        <v>285</v>
      </c>
      <c r="C2957" s="62" t="s">
        <v>115</v>
      </c>
      <c r="D2957" s="62" t="s">
        <v>2930</v>
      </c>
      <c r="F2957" s="159" t="s">
        <v>17635</v>
      </c>
      <c r="G2957" s="159" t="s">
        <v>17636</v>
      </c>
      <c r="H2957" s="159" t="s">
        <v>17592</v>
      </c>
      <c r="I2957" s="152">
        <v>45801.0</v>
      </c>
      <c r="J2957" s="862"/>
      <c r="K2957" s="159" t="s">
        <v>17637</v>
      </c>
      <c r="L2957" s="68"/>
      <c r="M2957" s="159" t="s">
        <v>17638</v>
      </c>
      <c r="N2957" s="159" t="s">
        <v>17639</v>
      </c>
      <c r="O2957" s="156">
        <v>1.0</v>
      </c>
      <c r="P2957" s="382" t="s">
        <v>17640</v>
      </c>
      <c r="Q2957" s="2191" t="str">
        <f> hyperlink(vlookup(lower(N2957),'File Links'!E:F, 2, FALSE), "LINK")</f>
        <v>LINK</v>
      </c>
      <c r="R2957" s="159" t="s">
        <v>17641</v>
      </c>
      <c r="S2957" s="159" t="s">
        <v>17642</v>
      </c>
      <c r="T2957" s="159" t="s">
        <v>138</v>
      </c>
      <c r="U2957" s="156">
        <v>1.0</v>
      </c>
      <c r="V2957" s="382" t="s">
        <v>17643</v>
      </c>
      <c r="W2957" s="1231" t="s">
        <v>209</v>
      </c>
      <c r="X2957" s="1552" t="str">
        <f> hyperlink(vlookup(lower(S2957),'File Links'!E:F, 2, FALSE), "LINK")</f>
        <v>LINK</v>
      </c>
      <c r="Y2957" s="68"/>
      <c r="Z2957" s="159" t="s">
        <v>947</v>
      </c>
      <c r="AA2957" s="159" t="s">
        <v>17644</v>
      </c>
      <c r="AB2957" s="159" t="s">
        <v>17645</v>
      </c>
      <c r="AC2957" s="159" t="s">
        <v>17646</v>
      </c>
      <c r="AD2957" s="159" t="s">
        <v>138</v>
      </c>
      <c r="AE2957" s="159" t="s">
        <v>138</v>
      </c>
      <c r="AF2957" s="156">
        <v>108.0</v>
      </c>
      <c r="AG2957" s="159" t="s">
        <v>138</v>
      </c>
      <c r="AH2957" s="159" t="s">
        <v>138</v>
      </c>
      <c r="AI2957" s="159" t="s">
        <v>138</v>
      </c>
      <c r="AJ2957" s="159" t="s">
        <v>138</v>
      </c>
      <c r="AK2957" s="159" t="s">
        <v>138</v>
      </c>
      <c r="AL2957" s="159" t="s">
        <v>138</v>
      </c>
      <c r="AM2957" s="159" t="s">
        <v>137</v>
      </c>
      <c r="AN2957" s="159" t="s">
        <v>138</v>
      </c>
      <c r="AO2957" s="156">
        <v>43.0</v>
      </c>
      <c r="AP2957" s="156">
        <v>0.02</v>
      </c>
      <c r="AQ2957" s="159" t="s">
        <v>139</v>
      </c>
      <c r="AR2957" s="159" t="s">
        <v>627</v>
      </c>
      <c r="AS2957" s="159" t="s">
        <v>138</v>
      </c>
      <c r="AT2957" s="159" t="s">
        <v>138</v>
      </c>
      <c r="AU2957" s="159" t="s">
        <v>138</v>
      </c>
      <c r="AV2957" s="159" t="s">
        <v>137</v>
      </c>
      <c r="AW2957" s="310" t="s">
        <v>17647</v>
      </c>
      <c r="AX2957" s="159" t="s">
        <v>324</v>
      </c>
      <c r="AY2957" s="61" t="str">
        <f>IFERROR(__xludf.DUMMYFUNCTION("vlookup(BB2957,importrange(""https://docs.google.com/spreadsheets/d/1d2vevQ_7D_v35q4wCQ4RpQ_IPoTwEMB9Yp6ymwlPqew/edit?gid=984458430#gid=984458430"", ""'replication success'!A:K""), 11, FAlSE)"),"#N/A")</f>
        <v>#N/A</v>
      </c>
      <c r="AZ2957" s="61" t="str">
        <f>IFERROR(__xludf.DUMMYFUNCTION("vlookup(BB2957,importrange(""https://docs.google.com/spreadsheets/d/1d2vevQ_7D_v35q4wCQ4RpQ_IPoTwEMB9Yp6ymwlPqew/edit?gid=984458430#gid=984458430"", ""'replication success'!A:M""), 12, FAlSE)"),"#N/A")</f>
        <v>#N/A</v>
      </c>
      <c r="BA2957" s="61" t="str">
        <f>IFERROR(__xludf.DUMMYFUNCTION("vlookup(BB2957,importrange(""https://docs.google.com/spreadsheets/d/1d2vevQ_7D_v35q4wCQ4RpQ_IPoTwEMB9Yp6ymwlPqew/edit?gid=984458430#gid=984458430"", ""'replication success'!A:M""), 13, FAlSE)"),"#N/A")</f>
        <v>#N/A</v>
      </c>
      <c r="BB2957" s="61" t="str">
        <f>IFERROR(__xludf.DUMMYFUNCTION("REGEXREPLACE(G2957, ""_[a-z]{1,2}$"", """")"),"CORE_121")</f>
        <v>CORE_121</v>
      </c>
    </row>
    <row r="2958">
      <c r="A2958" s="44">
        <v>2699.0</v>
      </c>
      <c r="B2958" s="129" t="s">
        <v>285</v>
      </c>
      <c r="C2958" s="62" t="s">
        <v>115</v>
      </c>
      <c r="D2958" s="62" t="s">
        <v>2930</v>
      </c>
      <c r="F2958" s="159" t="s">
        <v>17648</v>
      </c>
      <c r="G2958" s="159" t="s">
        <v>17649</v>
      </c>
      <c r="H2958" s="159" t="s">
        <v>17592</v>
      </c>
      <c r="I2958" s="152">
        <v>45801.0</v>
      </c>
      <c r="J2958" s="862"/>
      <c r="K2958" s="159" t="s">
        <v>17650</v>
      </c>
      <c r="L2958" s="68"/>
      <c r="M2958" s="159" t="s">
        <v>17651</v>
      </c>
      <c r="N2958" s="159" t="s">
        <v>17652</v>
      </c>
      <c r="O2958" s="156">
        <v>1.0</v>
      </c>
      <c r="P2958" s="382" t="s">
        <v>17653</v>
      </c>
      <c r="Q2958" s="2191" t="str">
        <f> hyperlink(vlookup(lower(N2958),'File Links'!E:F, 2, FALSE), "LINK")</f>
        <v>LINK</v>
      </c>
      <c r="R2958" s="159" t="s">
        <v>17654</v>
      </c>
      <c r="S2958" s="159" t="s">
        <v>17655</v>
      </c>
      <c r="T2958" s="159" t="s">
        <v>138</v>
      </c>
      <c r="U2958" s="156">
        <v>1.0</v>
      </c>
      <c r="V2958" s="382" t="s">
        <v>17656</v>
      </c>
      <c r="W2958" s="1231" t="s">
        <v>17597</v>
      </c>
      <c r="X2958" s="1552" t="str">
        <f> hyperlink(vlookup(lower(S2958),'File Links'!E:F, 2, FALSE), "LINK")</f>
        <v>LINK</v>
      </c>
      <c r="Y2958" s="68"/>
      <c r="Z2958" s="159" t="s">
        <v>947</v>
      </c>
      <c r="AA2958" s="159" t="s">
        <v>17657</v>
      </c>
      <c r="AB2958" s="159" t="s">
        <v>17658</v>
      </c>
      <c r="AC2958" s="159" t="s">
        <v>17659</v>
      </c>
      <c r="AD2958" s="159" t="s">
        <v>17660</v>
      </c>
      <c r="AE2958" s="159" t="s">
        <v>17661</v>
      </c>
      <c r="AF2958" s="156">
        <v>123.0</v>
      </c>
      <c r="AG2958" s="156">
        <v>0.35</v>
      </c>
      <c r="AH2958" s="159" t="s">
        <v>3563</v>
      </c>
      <c r="AI2958" s="159" t="s">
        <v>17661</v>
      </c>
      <c r="AJ2958" s="159" t="s">
        <v>138</v>
      </c>
      <c r="AK2958" s="159" t="s">
        <v>138</v>
      </c>
      <c r="AL2958" s="159" t="s">
        <v>138</v>
      </c>
      <c r="AM2958" s="159" t="s">
        <v>137</v>
      </c>
      <c r="AN2958" s="159" t="s">
        <v>138</v>
      </c>
      <c r="AO2958" s="156">
        <v>438.0</v>
      </c>
      <c r="AP2958" s="1292">
        <v>0.1</v>
      </c>
      <c r="AQ2958" s="159" t="s">
        <v>3563</v>
      </c>
      <c r="AR2958" s="159" t="s">
        <v>632</v>
      </c>
      <c r="AS2958" s="159" t="s">
        <v>138</v>
      </c>
      <c r="AT2958" s="159" t="s">
        <v>138</v>
      </c>
      <c r="AU2958" s="159" t="s">
        <v>138</v>
      </c>
      <c r="AV2958" s="159" t="s">
        <v>137</v>
      </c>
      <c r="AW2958" s="680" t="s">
        <v>17662</v>
      </c>
      <c r="AX2958" s="159" t="s">
        <v>17663</v>
      </c>
      <c r="AY2958" s="61" t="str">
        <f>IFERROR(__xludf.DUMMYFUNCTION("vlookup(BB2958,importrange(""https://docs.google.com/spreadsheets/d/1d2vevQ_7D_v35q4wCQ4RpQ_IPoTwEMB9Yp6ymwlPqew/edit?gid=984458430#gid=984458430"", ""'replication success'!A:K""), 11, FAlSE)"),"#N/A")</f>
        <v>#N/A</v>
      </c>
      <c r="AZ2958" s="61" t="str">
        <f>IFERROR(__xludf.DUMMYFUNCTION("vlookup(BB2958,importrange(""https://docs.google.com/spreadsheets/d/1d2vevQ_7D_v35q4wCQ4RpQ_IPoTwEMB9Yp6ymwlPqew/edit?gid=984458430#gid=984458430"", ""'replication success'!A:M""), 12, FAlSE)"),"#N/A")</f>
        <v>#N/A</v>
      </c>
      <c r="BA2958" s="61" t="str">
        <f>IFERROR(__xludf.DUMMYFUNCTION("vlookup(BB2958,importrange(""https://docs.google.com/spreadsheets/d/1d2vevQ_7D_v35q4wCQ4RpQ_IPoTwEMB9Yp6ymwlPqew/edit?gid=984458430#gid=984458430"", ""'replication success'!A:M""), 13, FAlSE)"),"#N/A")</f>
        <v>#N/A</v>
      </c>
      <c r="BB2958" s="61" t="str">
        <f>IFERROR(__xludf.DUMMYFUNCTION("REGEXREPLACE(G2958, ""_[a-z]{1,2}$"", """")"),"CORE_133")</f>
        <v>CORE_133</v>
      </c>
    </row>
    <row r="2959">
      <c r="A2959" s="44">
        <v>2700.0</v>
      </c>
      <c r="B2959" s="129" t="s">
        <v>285</v>
      </c>
      <c r="C2959" s="62" t="s">
        <v>115</v>
      </c>
      <c r="D2959" s="62" t="s">
        <v>2930</v>
      </c>
      <c r="F2959" s="159" t="s">
        <v>17664</v>
      </c>
      <c r="G2959" s="159" t="s">
        <v>17665</v>
      </c>
      <c r="H2959" s="159" t="s">
        <v>17592</v>
      </c>
      <c r="I2959" s="152">
        <v>45801.0</v>
      </c>
      <c r="J2959" s="862"/>
      <c r="K2959" s="159" t="s">
        <v>17666</v>
      </c>
      <c r="L2959" s="159" t="s">
        <v>17667</v>
      </c>
      <c r="M2959" s="159" t="s">
        <v>17668</v>
      </c>
      <c r="N2959" s="159" t="s">
        <v>17669</v>
      </c>
      <c r="O2959" s="156">
        <v>1.0</v>
      </c>
      <c r="P2959" s="382" t="s">
        <v>17670</v>
      </c>
      <c r="Q2959" s="2191" t="str">
        <f> hyperlink(vlookup(lower(N2959),'File Links'!E:F, 2, FALSE), "LINK")</f>
        <v>LINK</v>
      </c>
      <c r="R2959" s="159" t="s">
        <v>17671</v>
      </c>
      <c r="S2959" s="159" t="s">
        <v>17672</v>
      </c>
      <c r="T2959" s="159" t="s">
        <v>138</v>
      </c>
      <c r="U2959" s="156">
        <v>1.0</v>
      </c>
      <c r="V2959" s="382" t="s">
        <v>17673</v>
      </c>
      <c r="W2959" s="1231" t="s">
        <v>17597</v>
      </c>
      <c r="X2959" s="1552" t="str">
        <f> hyperlink(vlookup(lower(S2959),'File Links'!E:F, 2, FALSE), "LINK")</f>
        <v>LINK</v>
      </c>
      <c r="Y2959" s="68"/>
      <c r="Z2959" s="159" t="s">
        <v>947</v>
      </c>
      <c r="AA2959" s="159" t="s">
        <v>14282</v>
      </c>
      <c r="AB2959" s="159" t="s">
        <v>17674</v>
      </c>
      <c r="AC2959" s="159" t="s">
        <v>17675</v>
      </c>
      <c r="AD2959" s="159" t="s">
        <v>138</v>
      </c>
      <c r="AE2959" s="159" t="s">
        <v>138</v>
      </c>
      <c r="AF2959" s="156">
        <v>116.0</v>
      </c>
      <c r="AG2959" s="156">
        <v>0.43</v>
      </c>
      <c r="AH2959" s="159" t="s">
        <v>173</v>
      </c>
      <c r="AI2959" s="159" t="s">
        <v>17676</v>
      </c>
      <c r="AJ2959" s="159" t="s">
        <v>138</v>
      </c>
      <c r="AK2959" s="159" t="s">
        <v>138</v>
      </c>
      <c r="AL2959" s="159" t="s">
        <v>138</v>
      </c>
      <c r="AM2959" s="159" t="s">
        <v>137</v>
      </c>
      <c r="AN2959" s="159" t="s">
        <v>138</v>
      </c>
      <c r="AO2959" s="156">
        <v>423.0</v>
      </c>
      <c r="AP2959" s="156">
        <v>0.13</v>
      </c>
      <c r="AQ2959" s="159" t="s">
        <v>173</v>
      </c>
      <c r="AR2959" s="159" t="s">
        <v>613</v>
      </c>
      <c r="AS2959" s="159" t="s">
        <v>138</v>
      </c>
      <c r="AT2959" s="159" t="s">
        <v>138</v>
      </c>
      <c r="AU2959" s="159" t="s">
        <v>138</v>
      </c>
      <c r="AV2959" s="159" t="s">
        <v>137</v>
      </c>
      <c r="AW2959" s="680" t="s">
        <v>17677</v>
      </c>
      <c r="AX2959" s="159" t="s">
        <v>17663</v>
      </c>
      <c r="AY2959" s="61" t="str">
        <f>IFERROR(__xludf.DUMMYFUNCTION("vlookup(BB2959,importrange(""https://docs.google.com/spreadsheets/d/1d2vevQ_7D_v35q4wCQ4RpQ_IPoTwEMB9Yp6ymwlPqew/edit?gid=984458430#gid=984458430"", ""'replication success'!A:K""), 11, FAlSE)"),"#N/A")</f>
        <v>#N/A</v>
      </c>
      <c r="AZ2959" s="61" t="str">
        <f>IFERROR(__xludf.DUMMYFUNCTION("vlookup(BB2959,importrange(""https://docs.google.com/spreadsheets/d/1d2vevQ_7D_v35q4wCQ4RpQ_IPoTwEMB9Yp6ymwlPqew/edit?gid=984458430#gid=984458430"", ""'replication success'!A:M""), 12, FAlSE)"),"#N/A")</f>
        <v>#N/A</v>
      </c>
      <c r="BA2959" s="61" t="str">
        <f>IFERROR(__xludf.DUMMYFUNCTION("vlookup(BB2959,importrange(""https://docs.google.com/spreadsheets/d/1d2vevQ_7D_v35q4wCQ4RpQ_IPoTwEMB9Yp6ymwlPqew/edit?gid=984458430#gid=984458430"", ""'replication success'!A:M""), 13, FAlSE)"),"#N/A")</f>
        <v>#N/A</v>
      </c>
      <c r="BB2959" s="61" t="str">
        <f>IFERROR(__xludf.DUMMYFUNCTION("REGEXREPLACE(G2959, ""_[a-z]{1,2}$"", """")"),"CORE_139")</f>
        <v>CORE_139</v>
      </c>
    </row>
    <row r="2960">
      <c r="A2960" s="44">
        <v>2701.0</v>
      </c>
      <c r="B2960" s="129" t="s">
        <v>285</v>
      </c>
      <c r="C2960" s="62" t="s">
        <v>115</v>
      </c>
      <c r="D2960" s="62" t="s">
        <v>2930</v>
      </c>
      <c r="F2960" s="159" t="s">
        <v>17678</v>
      </c>
      <c r="G2960" s="159" t="s">
        <v>17679</v>
      </c>
      <c r="H2960" s="159" t="s">
        <v>17592</v>
      </c>
      <c r="I2960" s="152">
        <v>45801.0</v>
      </c>
      <c r="J2960" s="862"/>
      <c r="K2960" s="159" t="s">
        <v>17666</v>
      </c>
      <c r="L2960" s="68"/>
      <c r="M2960" s="159" t="s">
        <v>17680</v>
      </c>
      <c r="N2960" s="159" t="s">
        <v>17681</v>
      </c>
      <c r="O2960" s="156">
        <v>1.0</v>
      </c>
      <c r="P2960" s="382" t="s">
        <v>17682</v>
      </c>
      <c r="Q2960" s="2191" t="str">
        <f> hyperlink(vlookup(lower(N2960),'File Links'!E:F, 2, FALSE), "LINK")</f>
        <v>LINK</v>
      </c>
      <c r="R2960" s="159" t="s">
        <v>17671</v>
      </c>
      <c r="S2960" s="159" t="s">
        <v>17672</v>
      </c>
      <c r="T2960" s="159" t="s">
        <v>138</v>
      </c>
      <c r="U2960" s="156">
        <v>1.0</v>
      </c>
      <c r="V2960" s="382" t="s">
        <v>17673</v>
      </c>
      <c r="W2960" s="1231" t="s">
        <v>17597</v>
      </c>
      <c r="X2960" s="1552" t="str">
        <f> hyperlink(vlookup(lower(S2960),'File Links'!E:F, 2, FALSE), "LINK")</f>
        <v>LINK</v>
      </c>
      <c r="Y2960" s="68"/>
      <c r="Z2960" s="159" t="s">
        <v>947</v>
      </c>
      <c r="AA2960" s="159" t="s">
        <v>17683</v>
      </c>
      <c r="AB2960" s="159" t="s">
        <v>17684</v>
      </c>
      <c r="AC2960" s="159" t="s">
        <v>17685</v>
      </c>
      <c r="AD2960" s="159" t="s">
        <v>138</v>
      </c>
      <c r="AE2960" s="159" t="s">
        <v>138</v>
      </c>
      <c r="AF2960" s="156">
        <v>121.0</v>
      </c>
      <c r="AG2960" s="156">
        <v>0.41</v>
      </c>
      <c r="AH2960" s="159" t="s">
        <v>173</v>
      </c>
      <c r="AI2960" s="159" t="s">
        <v>17676</v>
      </c>
      <c r="AJ2960" s="159" t="s">
        <v>138</v>
      </c>
      <c r="AK2960" s="159" t="s">
        <v>138</v>
      </c>
      <c r="AL2960" s="159" t="s">
        <v>138</v>
      </c>
      <c r="AM2960" s="159" t="s">
        <v>137</v>
      </c>
      <c r="AN2960" s="159" t="s">
        <v>138</v>
      </c>
      <c r="AO2960" s="156">
        <v>211.0</v>
      </c>
      <c r="AP2960" s="156">
        <v>0.03</v>
      </c>
      <c r="AQ2960" s="159" t="s">
        <v>173</v>
      </c>
      <c r="AR2960" s="159" t="s">
        <v>613</v>
      </c>
      <c r="AS2960" s="159" t="s">
        <v>138</v>
      </c>
      <c r="AT2960" s="159" t="s">
        <v>138</v>
      </c>
      <c r="AU2960" s="159" t="s">
        <v>138</v>
      </c>
      <c r="AV2960" s="159" t="s">
        <v>137</v>
      </c>
      <c r="AW2960" s="680" t="s">
        <v>17686</v>
      </c>
      <c r="AX2960" s="159" t="s">
        <v>17663</v>
      </c>
      <c r="AY2960" s="61" t="str">
        <f>IFERROR(__xludf.DUMMYFUNCTION("vlookup(BB2960,importrange(""https://docs.google.com/spreadsheets/d/1d2vevQ_7D_v35q4wCQ4RpQ_IPoTwEMB9Yp6ymwlPqew/edit?gid=984458430#gid=984458430"", ""'replication success'!A:K""), 11, FAlSE)"),"#N/A")</f>
        <v>#N/A</v>
      </c>
      <c r="AZ2960" s="61" t="str">
        <f>IFERROR(__xludf.DUMMYFUNCTION("vlookup(BB2960,importrange(""https://docs.google.com/spreadsheets/d/1d2vevQ_7D_v35q4wCQ4RpQ_IPoTwEMB9Yp6ymwlPqew/edit?gid=984458430#gid=984458430"", ""'replication success'!A:M""), 12, FAlSE)"),"#N/A")</f>
        <v>#N/A</v>
      </c>
      <c r="BA2960" s="61" t="str">
        <f>IFERROR(__xludf.DUMMYFUNCTION("vlookup(BB2960,importrange(""https://docs.google.com/spreadsheets/d/1d2vevQ_7D_v35q4wCQ4RpQ_IPoTwEMB9Yp6ymwlPqew/edit?gid=984458430#gid=984458430"", ""'replication success'!A:M""), 13, FAlSE)"),"#N/A")</f>
        <v>#N/A</v>
      </c>
      <c r="BB2960" s="61" t="str">
        <f>IFERROR(__xludf.DUMMYFUNCTION("REGEXREPLACE(G2960, ""_[a-z]{1,2}$"", """")"),"CORE_141")</f>
        <v>CORE_141</v>
      </c>
    </row>
    <row r="2961">
      <c r="A2961" s="44">
        <v>2702.0</v>
      </c>
      <c r="B2961" s="129" t="s">
        <v>285</v>
      </c>
      <c r="C2961" s="62" t="s">
        <v>115</v>
      </c>
      <c r="D2961" s="62" t="s">
        <v>2930</v>
      </c>
      <c r="F2961" s="159" t="s">
        <v>17687</v>
      </c>
      <c r="G2961" s="159" t="s">
        <v>17688</v>
      </c>
      <c r="H2961" s="159" t="s">
        <v>17592</v>
      </c>
      <c r="I2961" s="152">
        <v>45801.0</v>
      </c>
      <c r="J2961" s="862"/>
      <c r="K2961" s="159" t="s">
        <v>17689</v>
      </c>
      <c r="L2961" s="159" t="s">
        <v>17690</v>
      </c>
      <c r="M2961" s="159" t="s">
        <v>17691</v>
      </c>
      <c r="N2961" s="159" t="s">
        <v>9968</v>
      </c>
      <c r="O2961" s="156">
        <v>1.0</v>
      </c>
      <c r="P2961" s="382" t="s">
        <v>17692</v>
      </c>
      <c r="Q2961" s="2191" t="str">
        <f> hyperlink(vlookup(lower(N2961),'File Links'!E:F, 2, FALSE), "LINK")</f>
        <v>LINK</v>
      </c>
      <c r="R2961" s="159" t="s">
        <v>17693</v>
      </c>
      <c r="S2961" s="159" t="s">
        <v>17694</v>
      </c>
      <c r="T2961" s="159" t="s">
        <v>138</v>
      </c>
      <c r="U2961" s="156">
        <v>1.0</v>
      </c>
      <c r="V2961" s="382" t="s">
        <v>17695</v>
      </c>
      <c r="W2961" s="1231" t="s">
        <v>17597</v>
      </c>
      <c r="X2961" s="1552" t="str">
        <f> hyperlink(vlookup(lower(S2961),'File Links'!E:F, 2, FALSE), "LINK")</f>
        <v>LINK</v>
      </c>
      <c r="Y2961" s="68"/>
      <c r="Z2961" s="159" t="s">
        <v>947</v>
      </c>
      <c r="AA2961" s="159" t="s">
        <v>17696</v>
      </c>
      <c r="AB2961" s="159" t="s">
        <v>17697</v>
      </c>
      <c r="AC2961" s="159" t="s">
        <v>17698</v>
      </c>
      <c r="AD2961" s="159" t="s">
        <v>138</v>
      </c>
      <c r="AE2961" s="159" t="s">
        <v>138</v>
      </c>
      <c r="AF2961" s="156">
        <v>170.0</v>
      </c>
      <c r="AG2961" s="156">
        <v>0.39</v>
      </c>
      <c r="AH2961" s="159" t="s">
        <v>173</v>
      </c>
      <c r="AI2961" s="159" t="s">
        <v>17699</v>
      </c>
      <c r="AJ2961" s="159" t="s">
        <v>138</v>
      </c>
      <c r="AK2961" s="159" t="s">
        <v>138</v>
      </c>
      <c r="AL2961" s="159" t="s">
        <v>138</v>
      </c>
      <c r="AM2961" s="159" t="s">
        <v>137</v>
      </c>
      <c r="AN2961" s="159" t="s">
        <v>138</v>
      </c>
      <c r="AO2961" s="156">
        <v>1026.0</v>
      </c>
      <c r="AP2961" s="156">
        <v>0.04</v>
      </c>
      <c r="AQ2961" s="159" t="s">
        <v>173</v>
      </c>
      <c r="AR2961" s="159" t="s">
        <v>813</v>
      </c>
      <c r="AS2961" s="159" t="s">
        <v>138</v>
      </c>
      <c r="AT2961" s="159" t="s">
        <v>138</v>
      </c>
      <c r="AU2961" s="159" t="s">
        <v>138</v>
      </c>
      <c r="AV2961" s="159" t="s">
        <v>137</v>
      </c>
      <c r="AW2961" s="310" t="s">
        <v>17700</v>
      </c>
      <c r="AX2961" s="159" t="s">
        <v>324</v>
      </c>
      <c r="AY2961" s="61" t="str">
        <f>IFERROR(__xludf.DUMMYFUNCTION("vlookup(BB2961,importrange(""https://docs.google.com/spreadsheets/d/1d2vevQ_7D_v35q4wCQ4RpQ_IPoTwEMB9Yp6ymwlPqew/edit?gid=984458430#gid=984458430"", ""'replication success'!A:K""), 11, FAlSE)"),"#N/A")</f>
        <v>#N/A</v>
      </c>
      <c r="AZ2961" s="61" t="str">
        <f>IFERROR(__xludf.DUMMYFUNCTION("vlookup(BB2961,importrange(""https://docs.google.com/spreadsheets/d/1d2vevQ_7D_v35q4wCQ4RpQ_IPoTwEMB9Yp6ymwlPqew/edit?gid=984458430#gid=984458430"", ""'replication success'!A:M""), 12, FAlSE)"),"#N/A")</f>
        <v>#N/A</v>
      </c>
      <c r="BA2961" s="61" t="str">
        <f>IFERROR(__xludf.DUMMYFUNCTION("vlookup(BB2961,importrange(""https://docs.google.com/spreadsheets/d/1d2vevQ_7D_v35q4wCQ4RpQ_IPoTwEMB9Yp6ymwlPqew/edit?gid=984458430#gid=984458430"", ""'replication success'!A:M""), 13, FAlSE)"),"#N/A")</f>
        <v>#N/A</v>
      </c>
      <c r="BB2961" s="61" t="str">
        <f>IFERROR(__xludf.DUMMYFUNCTION("REGEXREPLACE(G2961, ""_[a-z]{1,2}$"", """")"),"CORE_146")</f>
        <v>CORE_146</v>
      </c>
    </row>
    <row r="2962">
      <c r="A2962" s="44">
        <v>2703.0</v>
      </c>
      <c r="B2962" s="129" t="s">
        <v>285</v>
      </c>
      <c r="C2962" s="62" t="s">
        <v>115</v>
      </c>
      <c r="D2962" s="62" t="s">
        <v>2930</v>
      </c>
      <c r="F2962" s="159" t="s">
        <v>17701</v>
      </c>
      <c r="G2962" s="159" t="s">
        <v>17702</v>
      </c>
      <c r="H2962" s="159" t="s">
        <v>17592</v>
      </c>
      <c r="I2962" s="152">
        <v>45799.0</v>
      </c>
      <c r="J2962" s="862"/>
      <c r="K2962" s="159" t="s">
        <v>17703</v>
      </c>
      <c r="L2962" s="68"/>
      <c r="M2962" s="159" t="s">
        <v>17704</v>
      </c>
      <c r="N2962" s="159" t="s">
        <v>17705</v>
      </c>
      <c r="O2962" s="156">
        <v>1.0</v>
      </c>
      <c r="P2962" s="382" t="s">
        <v>17706</v>
      </c>
      <c r="Q2962" s="2191" t="str">
        <f> hyperlink(vlookup(lower(N2962),'File Links'!E:F, 2, FALSE), "LINK")</f>
        <v>LINK</v>
      </c>
      <c r="R2962" s="159" t="s">
        <v>17707</v>
      </c>
      <c r="S2962" s="159" t="s">
        <v>17708</v>
      </c>
      <c r="T2962" s="159" t="s">
        <v>138</v>
      </c>
      <c r="U2962" s="156">
        <v>1.0</v>
      </c>
      <c r="V2962" s="382" t="s">
        <v>17709</v>
      </c>
      <c r="W2962" s="1231" t="s">
        <v>320</v>
      </c>
      <c r="X2962" s="1552" t="str">
        <f> hyperlink(vlookup(lower(S2962),'File Links'!E:F, 2, FALSE), "LINK")</f>
        <v>LINK</v>
      </c>
      <c r="Y2962" s="68"/>
      <c r="Z2962" s="159" t="s">
        <v>947</v>
      </c>
      <c r="AA2962" s="159" t="s">
        <v>17710</v>
      </c>
      <c r="AB2962" s="159" t="s">
        <v>17711</v>
      </c>
      <c r="AC2962" s="159" t="s">
        <v>17712</v>
      </c>
      <c r="AD2962" s="159" t="s">
        <v>17713</v>
      </c>
      <c r="AE2962" s="156">
        <v>5.0</v>
      </c>
      <c r="AF2962" s="156">
        <v>168.0</v>
      </c>
      <c r="AG2962" s="159" t="s">
        <v>17714</v>
      </c>
      <c r="AH2962" s="119" t="s">
        <v>134</v>
      </c>
      <c r="AI2962" s="159" t="s">
        <v>813</v>
      </c>
      <c r="AJ2962" s="156">
        <v>1.0E-4</v>
      </c>
      <c r="AK2962" s="159" t="s">
        <v>135</v>
      </c>
      <c r="AL2962" s="159" t="s">
        <v>138</v>
      </c>
      <c r="AM2962" s="159" t="s">
        <v>137</v>
      </c>
      <c r="AN2962" s="159" t="s">
        <v>138</v>
      </c>
      <c r="AO2962" s="156">
        <v>1272.0</v>
      </c>
      <c r="AP2962" s="156">
        <v>0.13</v>
      </c>
      <c r="AQ2962" s="159" t="s">
        <v>139</v>
      </c>
      <c r="AR2962" s="159" t="s">
        <v>307</v>
      </c>
      <c r="AS2962" s="159" t="s">
        <v>138</v>
      </c>
      <c r="AT2962" s="159" t="s">
        <v>138</v>
      </c>
      <c r="AU2962" s="159" t="s">
        <v>138</v>
      </c>
      <c r="AV2962" s="159" t="s">
        <v>137</v>
      </c>
      <c r="AW2962" s="310" t="s">
        <v>17715</v>
      </c>
      <c r="AX2962" s="159" t="s">
        <v>324</v>
      </c>
      <c r="AY2962" s="61" t="str">
        <f>IFERROR(__xludf.DUMMYFUNCTION("vlookup(BB2962,importrange(""https://docs.google.com/spreadsheets/d/1d2vevQ_7D_v35q4wCQ4RpQ_IPoTwEMB9Yp6ymwlPqew/edit?gid=984458430#gid=984458430"", ""'replication success'!A:K""), 11, FAlSE)"),"#N/A")</f>
        <v>#N/A</v>
      </c>
      <c r="AZ2962" s="61" t="str">
        <f>IFERROR(__xludf.DUMMYFUNCTION("vlookup(BB2962,importrange(""https://docs.google.com/spreadsheets/d/1d2vevQ_7D_v35q4wCQ4RpQ_IPoTwEMB9Yp6ymwlPqew/edit?gid=984458430#gid=984458430"", ""'replication success'!A:M""), 12, FAlSE)"),"#N/A")</f>
        <v>#N/A</v>
      </c>
      <c r="BA2962" s="61" t="str">
        <f>IFERROR(__xludf.DUMMYFUNCTION("vlookup(BB2962,importrange(""https://docs.google.com/spreadsheets/d/1d2vevQ_7D_v35q4wCQ4RpQ_IPoTwEMB9Yp6ymwlPqew/edit?gid=984458430#gid=984458430"", ""'replication success'!A:M""), 13, FAlSE)"),"#N/A")</f>
        <v>#N/A</v>
      </c>
      <c r="BB2962" s="61" t="str">
        <f>IFERROR(__xludf.DUMMYFUNCTION("REGEXREPLACE(G2962, ""_[a-z]{1,2}$"", """")"),"CORE_147")</f>
        <v>CORE_147</v>
      </c>
    </row>
    <row r="2963">
      <c r="A2963" s="44">
        <v>2704.0</v>
      </c>
      <c r="B2963" s="129" t="s">
        <v>285</v>
      </c>
      <c r="C2963" s="62" t="s">
        <v>115</v>
      </c>
      <c r="D2963" s="62" t="s">
        <v>2930</v>
      </c>
      <c r="F2963" s="159" t="s">
        <v>17716</v>
      </c>
      <c r="G2963" s="159" t="s">
        <v>17717</v>
      </c>
      <c r="H2963" s="159" t="s">
        <v>17592</v>
      </c>
      <c r="I2963" s="152">
        <v>45799.0</v>
      </c>
      <c r="J2963" s="862"/>
      <c r="K2963" s="159" t="s">
        <v>17718</v>
      </c>
      <c r="L2963" s="68"/>
      <c r="M2963" s="159" t="s">
        <v>17719</v>
      </c>
      <c r="N2963" s="159" t="s">
        <v>17720</v>
      </c>
      <c r="O2963" s="156">
        <v>1.0</v>
      </c>
      <c r="P2963" s="382" t="s">
        <v>17721</v>
      </c>
      <c r="Q2963" s="2191" t="str">
        <f> hyperlink(vlookup(lower(N2963),'File Links'!E:F, 2, FALSE), "LINK")</f>
        <v>LINK</v>
      </c>
      <c r="R2963" s="159" t="s">
        <v>17722</v>
      </c>
      <c r="S2963" s="159" t="s">
        <v>17723</v>
      </c>
      <c r="T2963" s="159" t="s">
        <v>138</v>
      </c>
      <c r="U2963" s="156">
        <v>1.0</v>
      </c>
      <c r="V2963" s="382" t="s">
        <v>17724</v>
      </c>
      <c r="W2963" s="1231" t="s">
        <v>17597</v>
      </c>
      <c r="X2963" s="1552" t="str">
        <f> hyperlink(vlookup(lower(S2963),'File Links'!E:F, 2, FALSE), "LINK")</f>
        <v>LINK</v>
      </c>
      <c r="Y2963" s="68"/>
      <c r="Z2963" s="159" t="s">
        <v>947</v>
      </c>
      <c r="AA2963" s="159" t="s">
        <v>17725</v>
      </c>
      <c r="AB2963" s="159" t="s">
        <v>17726</v>
      </c>
      <c r="AC2963" s="159" t="s">
        <v>17727</v>
      </c>
      <c r="AD2963" s="159" t="s">
        <v>17728</v>
      </c>
      <c r="AE2963" s="156">
        <v>4.0</v>
      </c>
      <c r="AF2963" s="156">
        <v>20.0</v>
      </c>
      <c r="AG2963" s="156">
        <v>0.21</v>
      </c>
      <c r="AH2963" s="159" t="s">
        <v>173</v>
      </c>
      <c r="AI2963" s="159" t="s">
        <v>17729</v>
      </c>
      <c r="AJ2963" s="159" t="s">
        <v>138</v>
      </c>
      <c r="AK2963" s="159" t="s">
        <v>138</v>
      </c>
      <c r="AL2963" s="159" t="s">
        <v>138</v>
      </c>
      <c r="AM2963" s="159" t="s">
        <v>137</v>
      </c>
      <c r="AN2963" s="159" t="s">
        <v>138</v>
      </c>
      <c r="AO2963" s="156">
        <v>707.0</v>
      </c>
      <c r="AP2963" s="156">
        <v>0.77</v>
      </c>
      <c r="AQ2963" s="159" t="s">
        <v>173</v>
      </c>
      <c r="AR2963" s="159" t="s">
        <v>132</v>
      </c>
      <c r="AS2963" s="159" t="s">
        <v>138</v>
      </c>
      <c r="AT2963" s="159" t="s">
        <v>138</v>
      </c>
      <c r="AU2963" s="159" t="s">
        <v>138</v>
      </c>
      <c r="AV2963" s="159" t="s">
        <v>137</v>
      </c>
      <c r="AW2963" s="310" t="s">
        <v>17730</v>
      </c>
      <c r="AX2963" s="159" t="s">
        <v>324</v>
      </c>
      <c r="AY2963" s="61" t="str">
        <f>IFERROR(__xludf.DUMMYFUNCTION("vlookup(BB2963,importrange(""https://docs.google.com/spreadsheets/d/1d2vevQ_7D_v35q4wCQ4RpQ_IPoTwEMB9Yp6ymwlPqew/edit?gid=984458430#gid=984458430"", ""'replication success'!A:K""), 11, FAlSE)"),"#N/A")</f>
        <v>#N/A</v>
      </c>
      <c r="AZ2963" s="61" t="str">
        <f>IFERROR(__xludf.DUMMYFUNCTION("vlookup(BB2963,importrange(""https://docs.google.com/spreadsheets/d/1d2vevQ_7D_v35q4wCQ4RpQ_IPoTwEMB9Yp6ymwlPqew/edit?gid=984458430#gid=984458430"", ""'replication success'!A:M""), 12, FAlSE)"),"#N/A")</f>
        <v>#N/A</v>
      </c>
      <c r="BA2963" s="61" t="str">
        <f>IFERROR(__xludf.DUMMYFUNCTION("vlookup(BB2963,importrange(""https://docs.google.com/spreadsheets/d/1d2vevQ_7D_v35q4wCQ4RpQ_IPoTwEMB9Yp6ymwlPqew/edit?gid=984458430#gid=984458430"", ""'replication success'!A:M""), 13, FAlSE)"),"#N/A")</f>
        <v>#N/A</v>
      </c>
      <c r="BB2963" s="61" t="str">
        <f>IFERROR(__xludf.DUMMYFUNCTION("REGEXREPLACE(G2963, ""_[a-z]{1,2}$"", """")"),"CORE_148")</f>
        <v>CORE_148</v>
      </c>
    </row>
    <row r="2964">
      <c r="A2964" s="44">
        <v>2705.0</v>
      </c>
      <c r="B2964" s="129" t="s">
        <v>285</v>
      </c>
      <c r="C2964" s="62" t="s">
        <v>115</v>
      </c>
      <c r="D2964" s="62" t="s">
        <v>2930</v>
      </c>
      <c r="F2964" s="159" t="s">
        <v>17731</v>
      </c>
      <c r="G2964" s="159" t="s">
        <v>17732</v>
      </c>
      <c r="H2964" s="159" t="s">
        <v>17592</v>
      </c>
      <c r="I2964" s="152">
        <v>45799.0</v>
      </c>
      <c r="J2964" s="862"/>
      <c r="K2964" s="159" t="s">
        <v>17718</v>
      </c>
      <c r="L2964" s="68"/>
      <c r="M2964" s="159" t="s">
        <v>17733</v>
      </c>
      <c r="N2964" s="159" t="s">
        <v>17734</v>
      </c>
      <c r="O2964" s="156">
        <v>1.0</v>
      </c>
      <c r="P2964" s="382" t="s">
        <v>17735</v>
      </c>
      <c r="Q2964" s="2191" t="str">
        <f> hyperlink(vlookup(lower(N2964),'File Links'!E:F, 2, FALSE), "LINK")</f>
        <v>LINK</v>
      </c>
      <c r="R2964" s="159" t="s">
        <v>17736</v>
      </c>
      <c r="S2964" s="159" t="s">
        <v>17737</v>
      </c>
      <c r="T2964" s="159" t="s">
        <v>138</v>
      </c>
      <c r="U2964" s="156">
        <v>1.0</v>
      </c>
      <c r="V2964" s="382" t="s">
        <v>17738</v>
      </c>
      <c r="W2964" s="1231" t="s">
        <v>17739</v>
      </c>
      <c r="X2964" s="1552" t="str">
        <f> hyperlink(vlookup(lower(S2964),'File Links'!E:F, 2, FALSE), "LINK")</f>
        <v>LINK</v>
      </c>
      <c r="Y2964" s="68"/>
      <c r="Z2964" s="159" t="s">
        <v>947</v>
      </c>
      <c r="AA2964" s="159" t="s">
        <v>17740</v>
      </c>
      <c r="AB2964" s="159" t="s">
        <v>17741</v>
      </c>
      <c r="AC2964" s="159" t="s">
        <v>17742</v>
      </c>
      <c r="AD2964" s="159" t="s">
        <v>17743</v>
      </c>
      <c r="AE2964" s="156">
        <v>3.0</v>
      </c>
      <c r="AF2964" s="156">
        <v>403.0</v>
      </c>
      <c r="AG2964" s="1292">
        <v>0.7</v>
      </c>
      <c r="AH2964" s="159" t="s">
        <v>173</v>
      </c>
      <c r="AI2964" s="159" t="s">
        <v>17729</v>
      </c>
      <c r="AJ2964" s="159" t="s">
        <v>138</v>
      </c>
      <c r="AK2964" s="159" t="s">
        <v>138</v>
      </c>
      <c r="AL2964" s="159" t="s">
        <v>138</v>
      </c>
      <c r="AM2964" s="159" t="s">
        <v>137</v>
      </c>
      <c r="AN2964" s="159" t="s">
        <v>138</v>
      </c>
      <c r="AO2964" s="156">
        <v>131.0</v>
      </c>
      <c r="AP2964" s="156">
        <v>0.99</v>
      </c>
      <c r="AQ2964" s="159" t="s">
        <v>173</v>
      </c>
      <c r="AR2964" s="159" t="s">
        <v>217</v>
      </c>
      <c r="AS2964" s="159" t="s">
        <v>138</v>
      </c>
      <c r="AT2964" s="159" t="s">
        <v>138</v>
      </c>
      <c r="AU2964" s="159" t="s">
        <v>138</v>
      </c>
      <c r="AV2964" s="159" t="s">
        <v>137</v>
      </c>
      <c r="AW2964" s="310" t="s">
        <v>17744</v>
      </c>
      <c r="AX2964" s="159" t="s">
        <v>324</v>
      </c>
      <c r="AY2964" s="61" t="str">
        <f>IFERROR(__xludf.DUMMYFUNCTION("vlookup(BB2964,importrange(""https://docs.google.com/spreadsheets/d/1d2vevQ_7D_v35q4wCQ4RpQ_IPoTwEMB9Yp6ymwlPqew/edit?gid=984458430#gid=984458430"", ""'replication success'!A:K""), 11, FAlSE)"),"#N/A")</f>
        <v>#N/A</v>
      </c>
      <c r="AZ2964" s="61" t="str">
        <f>IFERROR(__xludf.DUMMYFUNCTION("vlookup(BB2964,importrange(""https://docs.google.com/spreadsheets/d/1d2vevQ_7D_v35q4wCQ4RpQ_IPoTwEMB9Yp6ymwlPqew/edit?gid=984458430#gid=984458430"", ""'replication success'!A:M""), 12, FAlSE)"),"#N/A")</f>
        <v>#N/A</v>
      </c>
      <c r="BA2964" s="61" t="str">
        <f>IFERROR(__xludf.DUMMYFUNCTION("vlookup(BB2964,importrange(""https://docs.google.com/spreadsheets/d/1d2vevQ_7D_v35q4wCQ4RpQ_IPoTwEMB9Yp6ymwlPqew/edit?gid=984458430#gid=984458430"", ""'replication success'!A:M""), 13, FAlSE)"),"#N/A")</f>
        <v>#N/A</v>
      </c>
      <c r="BB2964" s="61" t="str">
        <f>IFERROR(__xludf.DUMMYFUNCTION("REGEXREPLACE(G2964, ""_[a-z]{1,2}$"", """")"),"CORE_150")</f>
        <v>CORE_150</v>
      </c>
    </row>
    <row r="2965">
      <c r="A2965" s="44">
        <v>2706.0</v>
      </c>
      <c r="B2965" s="129" t="s">
        <v>285</v>
      </c>
      <c r="C2965" s="62" t="s">
        <v>115</v>
      </c>
      <c r="D2965" s="62" t="s">
        <v>2930</v>
      </c>
      <c r="F2965" s="159" t="s">
        <v>17745</v>
      </c>
      <c r="G2965" s="159" t="s">
        <v>17746</v>
      </c>
      <c r="H2965" s="159" t="s">
        <v>17592</v>
      </c>
      <c r="I2965" s="152">
        <v>45799.0</v>
      </c>
      <c r="J2965" s="862"/>
      <c r="K2965" s="68"/>
      <c r="L2965" s="68"/>
      <c r="M2965" s="159" t="s">
        <v>17747</v>
      </c>
      <c r="N2965" s="159" t="s">
        <v>17748</v>
      </c>
      <c r="O2965" s="156">
        <v>1.0</v>
      </c>
      <c r="P2965" s="382" t="s">
        <v>17749</v>
      </c>
      <c r="Q2965" s="2191" t="str">
        <f> hyperlink(vlookup(lower(N2965),'File Links'!E:F, 2, FALSE), "LINK")</f>
        <v>LINK</v>
      </c>
      <c r="R2965" s="159" t="s">
        <v>17750</v>
      </c>
      <c r="S2965" s="310" t="s">
        <v>17751</v>
      </c>
      <c r="T2965" s="159" t="s">
        <v>138</v>
      </c>
      <c r="U2965" s="156">
        <v>1.0</v>
      </c>
      <c r="V2965" s="382" t="s">
        <v>17752</v>
      </c>
      <c r="W2965" s="1231" t="s">
        <v>17739</v>
      </c>
      <c r="X2965" s="1552" t="str">
        <f> hyperlink(vlookup(lower(S2965),'File Links'!E:F, 2, FALSE), "LINK")</f>
        <v>LINK</v>
      </c>
      <c r="Y2965" s="68"/>
      <c r="Z2965" s="159" t="s">
        <v>947</v>
      </c>
      <c r="AA2965" s="159" t="s">
        <v>17753</v>
      </c>
      <c r="AB2965" s="159" t="s">
        <v>17754</v>
      </c>
      <c r="AC2965" s="159" t="s">
        <v>17755</v>
      </c>
      <c r="AD2965" s="159" t="s">
        <v>17756</v>
      </c>
      <c r="AE2965" s="156">
        <v>3.0</v>
      </c>
      <c r="AF2965" s="156">
        <v>138.0</v>
      </c>
      <c r="AG2965" s="156">
        <v>0.34</v>
      </c>
      <c r="AH2965" s="159" t="s">
        <v>173</v>
      </c>
      <c r="AI2965" s="159" t="s">
        <v>17757</v>
      </c>
      <c r="AJ2965" s="159" t="s">
        <v>138</v>
      </c>
      <c r="AK2965" s="159" t="s">
        <v>138</v>
      </c>
      <c r="AL2965" s="159" t="s">
        <v>138</v>
      </c>
      <c r="AM2965" s="159" t="s">
        <v>137</v>
      </c>
      <c r="AN2965" s="159" t="s">
        <v>138</v>
      </c>
      <c r="AO2965" s="156">
        <v>1405.0</v>
      </c>
      <c r="AP2965" s="156">
        <v>-0.05</v>
      </c>
      <c r="AQ2965" s="159" t="s">
        <v>173</v>
      </c>
      <c r="AR2965" s="159" t="s">
        <v>632</v>
      </c>
      <c r="AS2965" s="159" t="s">
        <v>138</v>
      </c>
      <c r="AT2965" s="159" t="s">
        <v>138</v>
      </c>
      <c r="AU2965" s="159" t="s">
        <v>138</v>
      </c>
      <c r="AV2965" s="159" t="s">
        <v>137</v>
      </c>
      <c r="AW2965" s="310" t="s">
        <v>17758</v>
      </c>
      <c r="AX2965" s="159" t="s">
        <v>324</v>
      </c>
      <c r="AY2965" s="61" t="str">
        <f>IFERROR(__xludf.DUMMYFUNCTION("vlookup(BB2965,importrange(""https://docs.google.com/spreadsheets/d/1d2vevQ_7D_v35q4wCQ4RpQ_IPoTwEMB9Yp6ymwlPqew/edit?gid=984458430#gid=984458430"", ""'replication success'!A:K""), 11, FAlSE)"),"#N/A")</f>
        <v>#N/A</v>
      </c>
      <c r="AZ2965" s="61" t="str">
        <f>IFERROR(__xludf.DUMMYFUNCTION("vlookup(BB2965,importrange(""https://docs.google.com/spreadsheets/d/1d2vevQ_7D_v35q4wCQ4RpQ_IPoTwEMB9Yp6ymwlPqew/edit?gid=984458430#gid=984458430"", ""'replication success'!A:M""), 12, FAlSE)"),"#N/A")</f>
        <v>#N/A</v>
      </c>
      <c r="BA2965" s="61" t="str">
        <f>IFERROR(__xludf.DUMMYFUNCTION("vlookup(BB2965,importrange(""https://docs.google.com/spreadsheets/d/1d2vevQ_7D_v35q4wCQ4RpQ_IPoTwEMB9Yp6ymwlPqew/edit?gid=984458430#gid=984458430"", ""'replication success'!A:M""), 13, FAlSE)"),"#N/A")</f>
        <v>#N/A</v>
      </c>
      <c r="BB2965" s="61" t="str">
        <f>IFERROR(__xludf.DUMMYFUNCTION("REGEXREPLACE(G2965, ""_[a-z]{1,2}$"", """")"),"CORE_153")</f>
        <v>CORE_153</v>
      </c>
    </row>
    <row r="2966">
      <c r="A2966" s="44">
        <v>2707.0</v>
      </c>
      <c r="B2966" s="129" t="s">
        <v>285</v>
      </c>
      <c r="C2966" s="62" t="s">
        <v>115</v>
      </c>
      <c r="D2966" s="62" t="s">
        <v>2930</v>
      </c>
      <c r="F2966" s="159" t="s">
        <v>17759</v>
      </c>
      <c r="G2966" s="159" t="s">
        <v>17760</v>
      </c>
      <c r="H2966" s="159" t="s">
        <v>17592</v>
      </c>
      <c r="I2966" s="152">
        <v>45800.0</v>
      </c>
      <c r="J2966" s="862"/>
      <c r="K2966" s="159" t="s">
        <v>17761</v>
      </c>
      <c r="L2966" s="159" t="s">
        <v>17762</v>
      </c>
      <c r="M2966" s="159" t="s">
        <v>17763</v>
      </c>
      <c r="N2966" s="159" t="s">
        <v>17764</v>
      </c>
      <c r="O2966" s="156">
        <v>2.0</v>
      </c>
      <c r="P2966" s="382" t="s">
        <v>17765</v>
      </c>
      <c r="Q2966" s="2191" t="str">
        <f> hyperlink(vlookup(lower(N2966),'File Links'!E:F, 2, FALSE), "LINK")</f>
        <v>LINK</v>
      </c>
      <c r="R2966" s="159" t="s">
        <v>17766</v>
      </c>
      <c r="S2966" s="159" t="s">
        <v>17767</v>
      </c>
      <c r="T2966" s="159" t="s">
        <v>138</v>
      </c>
      <c r="U2966" s="156">
        <v>2.0</v>
      </c>
      <c r="V2966" s="382" t="s">
        <v>17768</v>
      </c>
      <c r="W2966" s="1231" t="s">
        <v>17597</v>
      </c>
      <c r="X2966" s="1552" t="str">
        <f> hyperlink(vlookup(lower(S2966),'File Links'!E:F, 2, FALSE), "LINK")</f>
        <v>LINK</v>
      </c>
      <c r="Y2966" s="68"/>
      <c r="Z2966" s="159" t="s">
        <v>947</v>
      </c>
      <c r="AA2966" s="159" t="s">
        <v>17769</v>
      </c>
      <c r="AB2966" s="159" t="s">
        <v>17770</v>
      </c>
      <c r="AC2966" s="159" t="s">
        <v>17771</v>
      </c>
      <c r="AD2966" s="159" t="s">
        <v>17772</v>
      </c>
      <c r="AE2966" s="156">
        <v>7.0</v>
      </c>
      <c r="AF2966" s="156">
        <v>112.0</v>
      </c>
      <c r="AG2966" s="156">
        <v>0.062</v>
      </c>
      <c r="AH2966" s="159" t="s">
        <v>139</v>
      </c>
      <c r="AI2966" s="159" t="s">
        <v>7703</v>
      </c>
      <c r="AJ2966" s="156">
        <v>0.009</v>
      </c>
      <c r="AK2966" s="159" t="s">
        <v>172</v>
      </c>
      <c r="AL2966" s="159" t="s">
        <v>138</v>
      </c>
      <c r="AM2966" s="159" t="s">
        <v>137</v>
      </c>
      <c r="AN2966" s="159" t="s">
        <v>138</v>
      </c>
      <c r="AO2966" s="156">
        <v>2003.0</v>
      </c>
      <c r="AP2966" s="1292">
        <v>0.0</v>
      </c>
      <c r="AQ2966" s="159" t="s">
        <v>139</v>
      </c>
      <c r="AR2966" s="159" t="s">
        <v>140</v>
      </c>
      <c r="AS2966" s="156">
        <v>0.666</v>
      </c>
      <c r="AT2966" s="159" t="s">
        <v>172</v>
      </c>
      <c r="AU2966" s="159" t="s">
        <v>138</v>
      </c>
      <c r="AV2966" s="159" t="s">
        <v>137</v>
      </c>
      <c r="AW2966" s="310" t="s">
        <v>17773</v>
      </c>
      <c r="AX2966" s="159" t="s">
        <v>324</v>
      </c>
      <c r="AY2966" s="61" t="str">
        <f>IFERROR(__xludf.DUMMYFUNCTION("vlookup(BB2966,importrange(""https://docs.google.com/spreadsheets/d/1d2vevQ_7D_v35q4wCQ4RpQ_IPoTwEMB9Yp6ymwlPqew/edit?gid=984458430#gid=984458430"", ""'replication success'!A:K""), 11, FAlSE)"),"#N/A")</f>
        <v>#N/A</v>
      </c>
      <c r="AZ2966" s="61" t="str">
        <f>IFERROR(__xludf.DUMMYFUNCTION("vlookup(BB2966,importrange(""https://docs.google.com/spreadsheets/d/1d2vevQ_7D_v35q4wCQ4RpQ_IPoTwEMB9Yp6ymwlPqew/edit?gid=984458430#gid=984458430"", ""'replication success'!A:M""), 12, FAlSE)"),"#N/A")</f>
        <v>#N/A</v>
      </c>
      <c r="BA2966" s="61" t="str">
        <f>IFERROR(__xludf.DUMMYFUNCTION("vlookup(BB2966,importrange(""https://docs.google.com/spreadsheets/d/1d2vevQ_7D_v35q4wCQ4RpQ_IPoTwEMB9Yp6ymwlPqew/edit?gid=984458430#gid=984458430"", ""'replication success'!A:M""), 13, FAlSE)"),"#N/A")</f>
        <v>#N/A</v>
      </c>
      <c r="BB2966" s="61" t="str">
        <f>IFERROR(__xludf.DUMMYFUNCTION("REGEXREPLACE(G2966, ""_[a-z]{1,2}$"", """")"),"CORE_157a")</f>
        <v>CORE_157a</v>
      </c>
    </row>
    <row r="2967">
      <c r="A2967" s="44">
        <v>2708.0</v>
      </c>
      <c r="B2967" s="129" t="s">
        <v>285</v>
      </c>
      <c r="C2967" s="62" t="s">
        <v>115</v>
      </c>
      <c r="D2967" s="62" t="s">
        <v>2930</v>
      </c>
      <c r="F2967" s="159" t="s">
        <v>17774</v>
      </c>
      <c r="G2967" s="159" t="s">
        <v>17775</v>
      </c>
      <c r="H2967" s="159" t="s">
        <v>17592</v>
      </c>
      <c r="I2967" s="152">
        <v>45800.0</v>
      </c>
      <c r="J2967" s="862"/>
      <c r="K2967" s="68"/>
      <c r="L2967" s="68"/>
      <c r="M2967" s="159" t="s">
        <v>17776</v>
      </c>
      <c r="N2967" s="159" t="s">
        <v>17777</v>
      </c>
      <c r="O2967" s="156">
        <v>1.0</v>
      </c>
      <c r="P2967" s="382" t="s">
        <v>17778</v>
      </c>
      <c r="Q2967" s="2191" t="str">
        <f> hyperlink(vlookup(lower(N2967),'File Links'!E:F, 2, FALSE), "LINK")</f>
        <v>LINK</v>
      </c>
      <c r="R2967" s="159" t="s">
        <v>17779</v>
      </c>
      <c r="S2967" s="310" t="s">
        <v>17780</v>
      </c>
      <c r="T2967" s="159" t="s">
        <v>138</v>
      </c>
      <c r="U2967" s="156">
        <v>1.0</v>
      </c>
      <c r="V2967" s="382" t="s">
        <v>17781</v>
      </c>
      <c r="W2967" s="1231" t="s">
        <v>17597</v>
      </c>
      <c r="X2967" s="1552" t="str">
        <f> hyperlink(vlookup(lower(S2967),'File Links'!E:F, 2, FALSE), "LINK")</f>
        <v>LINK</v>
      </c>
      <c r="Y2967" s="68"/>
      <c r="Z2967" s="159" t="s">
        <v>947</v>
      </c>
      <c r="AA2967" s="159" t="s">
        <v>17782</v>
      </c>
      <c r="AB2967" s="159" t="s">
        <v>17783</v>
      </c>
      <c r="AC2967" s="159" t="s">
        <v>17784</v>
      </c>
      <c r="AD2967" s="159" t="s">
        <v>17785</v>
      </c>
      <c r="AE2967" s="156">
        <v>4.0</v>
      </c>
      <c r="AF2967" s="156">
        <v>121.0</v>
      </c>
      <c r="AG2967" s="1120">
        <v>0.06</v>
      </c>
      <c r="AH2967" s="159" t="s">
        <v>139</v>
      </c>
      <c r="AI2967" s="159" t="s">
        <v>850</v>
      </c>
      <c r="AJ2967" s="159" t="s">
        <v>138</v>
      </c>
      <c r="AK2967" s="159" t="s">
        <v>138</v>
      </c>
      <c r="AL2967" s="159" t="s">
        <v>138</v>
      </c>
      <c r="AM2967" s="159" t="s">
        <v>137</v>
      </c>
      <c r="AN2967" s="159" t="s">
        <v>138</v>
      </c>
      <c r="AO2967" s="156">
        <v>1004.0</v>
      </c>
      <c r="AP2967" s="1292">
        <v>0.0</v>
      </c>
      <c r="AQ2967" s="159" t="s">
        <v>139</v>
      </c>
      <c r="AR2967" s="159" t="s">
        <v>612</v>
      </c>
      <c r="AS2967" s="159" t="s">
        <v>138</v>
      </c>
      <c r="AT2967" s="159" t="s">
        <v>138</v>
      </c>
      <c r="AU2967" s="159" t="s">
        <v>138</v>
      </c>
      <c r="AV2967" s="159" t="s">
        <v>137</v>
      </c>
      <c r="AW2967" s="310" t="s">
        <v>17786</v>
      </c>
      <c r="AX2967" s="159" t="s">
        <v>324</v>
      </c>
      <c r="AY2967" s="61" t="str">
        <f>IFERROR(__xludf.DUMMYFUNCTION("vlookup(BB2967,importrange(""https://docs.google.com/spreadsheets/d/1d2vevQ_7D_v35q4wCQ4RpQ_IPoTwEMB9Yp6ymwlPqew/edit?gid=984458430#gid=984458430"", ""'replication success'!A:K""), 11, FAlSE)"),"#N/A")</f>
        <v>#N/A</v>
      </c>
      <c r="AZ2967" s="61" t="str">
        <f>IFERROR(__xludf.DUMMYFUNCTION("vlookup(BB2967,importrange(""https://docs.google.com/spreadsheets/d/1d2vevQ_7D_v35q4wCQ4RpQ_IPoTwEMB9Yp6ymwlPqew/edit?gid=984458430#gid=984458430"", ""'replication success'!A:M""), 12, FAlSE)"),"#N/A")</f>
        <v>#N/A</v>
      </c>
      <c r="BA2967" s="61" t="str">
        <f>IFERROR(__xludf.DUMMYFUNCTION("vlookup(BB2967,importrange(""https://docs.google.com/spreadsheets/d/1d2vevQ_7D_v35q4wCQ4RpQ_IPoTwEMB9Yp6ymwlPqew/edit?gid=984458430#gid=984458430"", ""'replication success'!A:M""), 13, FAlSE)"),"#N/A")</f>
        <v>#N/A</v>
      </c>
      <c r="BB2967" s="61" t="str">
        <f>IFERROR(__xludf.DUMMYFUNCTION("REGEXREPLACE(G2967, ""_[a-z]{1,2}$"", """")"),"CORE_158")</f>
        <v>CORE_158</v>
      </c>
    </row>
    <row r="2968">
      <c r="A2968" s="44">
        <v>2709.0</v>
      </c>
      <c r="B2968" s="129" t="s">
        <v>285</v>
      </c>
      <c r="C2968" s="62" t="s">
        <v>115</v>
      </c>
      <c r="D2968" s="62" t="s">
        <v>2930</v>
      </c>
      <c r="F2968" s="159" t="s">
        <v>17787</v>
      </c>
      <c r="G2968" s="159" t="s">
        <v>17788</v>
      </c>
      <c r="H2968" s="159" t="s">
        <v>17592</v>
      </c>
      <c r="I2968" s="152">
        <v>45800.0</v>
      </c>
      <c r="J2968" s="862"/>
      <c r="K2968" s="159" t="s">
        <v>17789</v>
      </c>
      <c r="L2968" s="68"/>
      <c r="M2968" s="159" t="s">
        <v>17790</v>
      </c>
      <c r="N2968" s="159" t="s">
        <v>17791</v>
      </c>
      <c r="O2968" s="159" t="s">
        <v>138</v>
      </c>
      <c r="P2968" s="382" t="s">
        <v>17792</v>
      </c>
      <c r="Q2968" s="2191" t="str">
        <f> hyperlink(vlookup(lower(N2968),'File Links'!E:F, 2, FALSE), "LINK")</f>
        <v>LINK</v>
      </c>
      <c r="R2968" s="159" t="s">
        <v>17793</v>
      </c>
      <c r="S2968" s="159" t="s">
        <v>138</v>
      </c>
      <c r="T2968" s="159" t="s">
        <v>138</v>
      </c>
      <c r="U2968" s="159" t="s">
        <v>138</v>
      </c>
      <c r="V2968" s="382" t="s">
        <v>138</v>
      </c>
      <c r="W2968" s="1231" t="s">
        <v>138</v>
      </c>
      <c r="X2968" s="2177" t="str">
        <f> hyperlink(vlookup(lower(S2968),'File Links'!E:F, 2, FALSE), "LINK")</f>
        <v>LINK</v>
      </c>
      <c r="Y2968" s="159" t="s">
        <v>17794</v>
      </c>
      <c r="Z2968" s="159" t="s">
        <v>947</v>
      </c>
      <c r="AA2968" s="159" t="s">
        <v>17795</v>
      </c>
      <c r="AB2968" s="159" t="s">
        <v>7291</v>
      </c>
      <c r="AC2968" s="68"/>
      <c r="AD2968" s="159" t="s">
        <v>138</v>
      </c>
      <c r="AE2968" s="159" t="s">
        <v>138</v>
      </c>
      <c r="AF2968" s="159" t="s">
        <v>138</v>
      </c>
      <c r="AG2968" s="159" t="s">
        <v>138</v>
      </c>
      <c r="AH2968" s="159" t="s">
        <v>138</v>
      </c>
      <c r="AI2968" s="159" t="s">
        <v>138</v>
      </c>
      <c r="AJ2968" s="159" t="s">
        <v>138</v>
      </c>
      <c r="AK2968" s="159" t="s">
        <v>138</v>
      </c>
      <c r="AL2968" s="159" t="s">
        <v>138</v>
      </c>
      <c r="AM2968" s="159" t="s">
        <v>138</v>
      </c>
      <c r="AN2968" s="159" t="s">
        <v>138</v>
      </c>
      <c r="AO2968" s="159" t="s">
        <v>138</v>
      </c>
      <c r="AP2968" s="159" t="s">
        <v>138</v>
      </c>
      <c r="AQ2968" s="159" t="s">
        <v>138</v>
      </c>
      <c r="AR2968" s="159" t="s">
        <v>138</v>
      </c>
      <c r="AS2968" s="159" t="s">
        <v>138</v>
      </c>
      <c r="AT2968" s="159" t="s">
        <v>138</v>
      </c>
      <c r="AU2968" s="159" t="s">
        <v>138</v>
      </c>
      <c r="AV2968" s="159" t="s">
        <v>138</v>
      </c>
      <c r="AW2968" s="159" t="s">
        <v>138</v>
      </c>
      <c r="AX2968" s="159" t="s">
        <v>138</v>
      </c>
      <c r="AY2968" s="61" t="str">
        <f>IFERROR(__xludf.DUMMYFUNCTION("vlookup(BB2968,importrange(""https://docs.google.com/spreadsheets/d/1d2vevQ_7D_v35q4wCQ4RpQ_IPoTwEMB9Yp6ymwlPqew/edit?gid=984458430#gid=984458430"", ""'replication success'!A:K""), 11, FAlSE)"),"#N/A")</f>
        <v>#N/A</v>
      </c>
      <c r="AZ2968" s="61" t="str">
        <f>IFERROR(__xludf.DUMMYFUNCTION("vlookup(BB2968,importrange(""https://docs.google.com/spreadsheets/d/1d2vevQ_7D_v35q4wCQ4RpQ_IPoTwEMB9Yp6ymwlPqew/edit?gid=984458430#gid=984458430"", ""'replication success'!A:M""), 12, FAlSE)"),"#N/A")</f>
        <v>#N/A</v>
      </c>
      <c r="BA2968" s="61" t="str">
        <f>IFERROR(__xludf.DUMMYFUNCTION("vlookup(BB2968,importrange(""https://docs.google.com/spreadsheets/d/1d2vevQ_7D_v35q4wCQ4RpQ_IPoTwEMB9Yp6ymwlPqew/edit?gid=984458430#gid=984458430"", ""'replication success'!A:M""), 13, FAlSE)"),"#N/A")</f>
        <v>#N/A</v>
      </c>
      <c r="BB2968" s="61" t="str">
        <f>IFERROR(__xludf.DUMMYFUNCTION("REGEXREPLACE(G2968, ""_[a-z]{1,2}$"", """")"),"CORE_159")</f>
        <v>CORE_159</v>
      </c>
    </row>
    <row r="2969">
      <c r="A2969" s="44">
        <v>2710.0</v>
      </c>
      <c r="B2969" s="129" t="s">
        <v>285</v>
      </c>
      <c r="C2969" s="62" t="s">
        <v>115</v>
      </c>
      <c r="D2969" s="62" t="s">
        <v>2930</v>
      </c>
      <c r="F2969" s="159" t="s">
        <v>17796</v>
      </c>
      <c r="G2969" s="159" t="s">
        <v>17797</v>
      </c>
      <c r="H2969" s="159" t="s">
        <v>17592</v>
      </c>
      <c r="I2969" s="152">
        <v>45805.0</v>
      </c>
      <c r="J2969" s="862"/>
      <c r="K2969" s="159" t="s">
        <v>17622</v>
      </c>
      <c r="L2969" s="68"/>
      <c r="M2969" s="2397" t="s">
        <v>17798</v>
      </c>
      <c r="N2969" s="159" t="s">
        <v>17799</v>
      </c>
      <c r="O2969" s="156">
        <v>1.0</v>
      </c>
      <c r="P2969" s="382" t="s">
        <v>17800</v>
      </c>
      <c r="Q2969" s="2398" t="str">
        <f> hyperlink(vlookup(lower(N2969),'File Links'!E:F, 2, FALSE), "LINK")</f>
        <v>LINK</v>
      </c>
      <c r="R2969" s="159" t="s">
        <v>17801</v>
      </c>
      <c r="S2969" s="159" t="s">
        <v>138</v>
      </c>
      <c r="T2969" s="159" t="s">
        <v>138</v>
      </c>
      <c r="U2969" s="156">
        <v>1.0</v>
      </c>
      <c r="V2969" s="382" t="s">
        <v>17802</v>
      </c>
      <c r="W2969" s="1231" t="s">
        <v>209</v>
      </c>
      <c r="X2969" s="2192" t="str">
        <f> hyperlink(vlookup(lower(S2969),'File Links'!E:F, 2, FALSE), "LINK")</f>
        <v>LINK</v>
      </c>
      <c r="Y2969" s="68"/>
      <c r="Z2969" s="159" t="s">
        <v>947</v>
      </c>
      <c r="AA2969" s="159" t="s">
        <v>17803</v>
      </c>
      <c r="AB2969" s="159" t="s">
        <v>17804</v>
      </c>
      <c r="AC2969" s="1060" t="s">
        <v>17805</v>
      </c>
      <c r="AD2969" s="159" t="s">
        <v>138</v>
      </c>
      <c r="AE2969" s="159" t="s">
        <v>138</v>
      </c>
      <c r="AF2969" s="156">
        <v>45.0</v>
      </c>
      <c r="AG2969" s="156">
        <v>1.57</v>
      </c>
      <c r="AH2969" s="159" t="s">
        <v>173</v>
      </c>
      <c r="AI2969" s="159" t="s">
        <v>17806</v>
      </c>
      <c r="AJ2969" s="159" t="s">
        <v>138</v>
      </c>
      <c r="AK2969" s="159" t="s">
        <v>138</v>
      </c>
      <c r="AL2969" s="159" t="s">
        <v>138</v>
      </c>
      <c r="AM2969" s="159" t="s">
        <v>137</v>
      </c>
      <c r="AN2969" s="159" t="s">
        <v>138</v>
      </c>
      <c r="AO2969" s="156">
        <v>377.0</v>
      </c>
      <c r="AP2969" s="156">
        <v>0.98</v>
      </c>
      <c r="AQ2969" s="159" t="s">
        <v>173</v>
      </c>
      <c r="AR2969" s="159" t="s">
        <v>17807</v>
      </c>
      <c r="AS2969" s="159" t="s">
        <v>138</v>
      </c>
      <c r="AT2969" s="159" t="s">
        <v>138</v>
      </c>
      <c r="AU2969" s="159" t="s">
        <v>138</v>
      </c>
      <c r="AV2969" s="159" t="s">
        <v>137</v>
      </c>
      <c r="AW2969" s="310" t="s">
        <v>17808</v>
      </c>
      <c r="AX2969" s="159" t="s">
        <v>324</v>
      </c>
      <c r="AY2969" s="61" t="str">
        <f>IFERROR(__xludf.DUMMYFUNCTION("vlookup(BB2969,importrange(""https://docs.google.com/spreadsheets/d/1d2vevQ_7D_v35q4wCQ4RpQ_IPoTwEMB9Yp6ymwlPqew/edit?gid=984458430#gid=984458430"", ""'replication success'!A:K""), 11, FAlSE)"),"#N/A")</f>
        <v>#N/A</v>
      </c>
      <c r="AZ2969" s="61" t="str">
        <f>IFERROR(__xludf.DUMMYFUNCTION("vlookup(BB2969,importrange(""https://docs.google.com/spreadsheets/d/1d2vevQ_7D_v35q4wCQ4RpQ_IPoTwEMB9Yp6ymwlPqew/edit?gid=984458430#gid=984458430"", ""'replication success'!A:M""), 12, FAlSE)"),"#N/A")</f>
        <v>#N/A</v>
      </c>
      <c r="BA2969" s="61" t="str">
        <f>IFERROR(__xludf.DUMMYFUNCTION("vlookup(BB2969,importrange(""https://docs.google.com/spreadsheets/d/1d2vevQ_7D_v35q4wCQ4RpQ_IPoTwEMB9Yp6ymwlPqew/edit?gid=984458430#gid=984458430"", ""'replication success'!A:M""), 13, FAlSE)"),"#N/A")</f>
        <v>#N/A</v>
      </c>
      <c r="BB2969" s="61" t="str">
        <f>IFERROR(__xludf.DUMMYFUNCTION("REGEXREPLACE(G2969, ""_[a-z]{1,2}$"", """")"),"CORE_160")</f>
        <v>CORE_160</v>
      </c>
    </row>
    <row r="2970">
      <c r="A2970" s="44">
        <v>2711.0</v>
      </c>
      <c r="B2970" s="129" t="s">
        <v>285</v>
      </c>
      <c r="C2970" s="62" t="s">
        <v>115</v>
      </c>
      <c r="D2970" s="62" t="s">
        <v>2930</v>
      </c>
      <c r="F2970" s="159" t="s">
        <v>17809</v>
      </c>
      <c r="G2970" s="159" t="s">
        <v>17810</v>
      </c>
      <c r="H2970" s="159" t="s">
        <v>17592</v>
      </c>
      <c r="I2970" s="152">
        <v>45800.0</v>
      </c>
      <c r="J2970" s="862"/>
      <c r="K2970" s="68"/>
      <c r="L2970" s="68"/>
      <c r="M2970" s="159" t="s">
        <v>17811</v>
      </c>
      <c r="N2970" s="159" t="s">
        <v>17812</v>
      </c>
      <c r="O2970" s="156">
        <v>1.0</v>
      </c>
      <c r="P2970" s="382" t="s">
        <v>17813</v>
      </c>
      <c r="Q2970" s="2191" t="str">
        <f> hyperlink(vlookup(lower(N2970),'File Links'!E:F, 2, FALSE), "LINK")</f>
        <v>LINK</v>
      </c>
      <c r="R2970" s="159" t="s">
        <v>17814</v>
      </c>
      <c r="S2970" s="159" t="s">
        <v>138</v>
      </c>
      <c r="T2970" s="159" t="s">
        <v>138</v>
      </c>
      <c r="U2970" s="156">
        <v>1.0</v>
      </c>
      <c r="V2970" s="382" t="s">
        <v>17815</v>
      </c>
      <c r="W2970" s="1231" t="s">
        <v>17597</v>
      </c>
      <c r="X2970" s="2192" t="str">
        <f> hyperlink(vlookup(lower(S2970),'File Links'!E:F, 2, FALSE), "LINK")</f>
        <v>LINK</v>
      </c>
      <c r="Y2970" s="68"/>
      <c r="Z2970" s="159" t="s">
        <v>947</v>
      </c>
      <c r="AA2970" s="159" t="s">
        <v>17816</v>
      </c>
      <c r="AB2970" s="159" t="s">
        <v>17817</v>
      </c>
      <c r="AC2970" s="159" t="s">
        <v>17818</v>
      </c>
      <c r="AD2970" s="159" t="s">
        <v>17819</v>
      </c>
      <c r="AE2970" s="156">
        <v>3.0</v>
      </c>
      <c r="AF2970" s="156">
        <v>148.0</v>
      </c>
      <c r="AG2970" s="156">
        <v>0.43</v>
      </c>
      <c r="AH2970" s="159" t="s">
        <v>138</v>
      </c>
      <c r="AI2970" s="159" t="s">
        <v>17820</v>
      </c>
      <c r="AJ2970" s="159" t="s">
        <v>138</v>
      </c>
      <c r="AK2970" s="159" t="s">
        <v>138</v>
      </c>
      <c r="AL2970" s="159" t="s">
        <v>138</v>
      </c>
      <c r="AM2970" s="159" t="s">
        <v>137</v>
      </c>
      <c r="AN2970" s="159" t="s">
        <v>138</v>
      </c>
      <c r="AO2970" s="156">
        <v>983.0</v>
      </c>
      <c r="AP2970" s="156">
        <v>0.49</v>
      </c>
      <c r="AQ2970" s="159" t="s">
        <v>173</v>
      </c>
      <c r="AR2970" s="159" t="s">
        <v>17821</v>
      </c>
      <c r="AS2970" s="156">
        <v>1.0E-4</v>
      </c>
      <c r="AT2970" s="159" t="s">
        <v>135</v>
      </c>
      <c r="AU2970" s="159" t="s">
        <v>138</v>
      </c>
      <c r="AV2970" s="159" t="s">
        <v>137</v>
      </c>
      <c r="AW2970" s="310" t="s">
        <v>17822</v>
      </c>
      <c r="AX2970" s="159" t="s">
        <v>324</v>
      </c>
      <c r="AY2970" s="61" t="str">
        <f>IFERROR(__xludf.DUMMYFUNCTION("vlookup(BB2970,importrange(""https://docs.google.com/spreadsheets/d/1d2vevQ_7D_v35q4wCQ4RpQ_IPoTwEMB9Yp6ymwlPqew/edit?gid=984458430#gid=984458430"", ""'replication success'!A:K""), 11, FAlSE)"),"#N/A")</f>
        <v>#N/A</v>
      </c>
      <c r="AZ2970" s="61" t="str">
        <f>IFERROR(__xludf.DUMMYFUNCTION("vlookup(BB2970,importrange(""https://docs.google.com/spreadsheets/d/1d2vevQ_7D_v35q4wCQ4RpQ_IPoTwEMB9Yp6ymwlPqew/edit?gid=984458430#gid=984458430"", ""'replication success'!A:M""), 12, FAlSE)"),"#N/A")</f>
        <v>#N/A</v>
      </c>
      <c r="BA2970" s="61" t="str">
        <f>IFERROR(__xludf.DUMMYFUNCTION("vlookup(BB2970,importrange(""https://docs.google.com/spreadsheets/d/1d2vevQ_7D_v35q4wCQ4RpQ_IPoTwEMB9Yp6ymwlPqew/edit?gid=984458430#gid=984458430"", ""'replication success'!A:M""), 13, FAlSE)"),"#N/A")</f>
        <v>#N/A</v>
      </c>
      <c r="BB2970" s="61" t="str">
        <f>IFERROR(__xludf.DUMMYFUNCTION("REGEXREPLACE(G2970, ""_[a-z]{1,2}$"", """")"),"CORE_161")</f>
        <v>CORE_161</v>
      </c>
    </row>
    <row r="2971">
      <c r="A2971" s="44">
        <v>2712.0</v>
      </c>
      <c r="B2971" s="129" t="s">
        <v>285</v>
      </c>
      <c r="C2971" s="62" t="s">
        <v>115</v>
      </c>
      <c r="D2971" s="62" t="s">
        <v>2930</v>
      </c>
      <c r="F2971" s="159" t="s">
        <v>17823</v>
      </c>
      <c r="G2971" s="159" t="s">
        <v>17824</v>
      </c>
      <c r="H2971" s="159" t="s">
        <v>17592</v>
      </c>
      <c r="I2971" s="152">
        <v>45800.0</v>
      </c>
      <c r="J2971" s="862"/>
      <c r="K2971" s="68"/>
      <c r="L2971" s="159" t="s">
        <v>17825</v>
      </c>
      <c r="M2971" s="159" t="s">
        <v>17826</v>
      </c>
      <c r="N2971" s="159" t="s">
        <v>17827</v>
      </c>
      <c r="O2971" s="156">
        <v>2.0</v>
      </c>
      <c r="P2971" s="382" t="s">
        <v>17828</v>
      </c>
      <c r="Q2971" s="2191" t="str">
        <f> hyperlink(vlookup(lower(N2971),'File Links'!E:F, 2, FALSE), "LINK")</f>
        <v>LINK</v>
      </c>
      <c r="R2971" s="159" t="s">
        <v>17829</v>
      </c>
      <c r="S2971" s="159" t="s">
        <v>138</v>
      </c>
      <c r="T2971" s="198" t="s">
        <v>138</v>
      </c>
      <c r="U2971" s="156">
        <v>2.0</v>
      </c>
      <c r="V2971" s="382" t="s">
        <v>138</v>
      </c>
      <c r="W2971" s="1231" t="s">
        <v>17597</v>
      </c>
      <c r="X2971" s="2192" t="str">
        <f> hyperlink(vlookup(lower(S2971),'File Links'!E:F, 2, FALSE), "LINK")</f>
        <v>LINK</v>
      </c>
      <c r="Y2971" s="68"/>
      <c r="Z2971" s="159" t="s">
        <v>947</v>
      </c>
      <c r="AA2971" s="159" t="s">
        <v>17830</v>
      </c>
      <c r="AB2971" s="159" t="s">
        <v>17831</v>
      </c>
      <c r="AC2971" s="159" t="s">
        <v>17832</v>
      </c>
      <c r="AD2971" s="159" t="s">
        <v>17833</v>
      </c>
      <c r="AE2971" s="159" t="s">
        <v>17834</v>
      </c>
      <c r="AF2971" s="156">
        <v>138.0</v>
      </c>
      <c r="AG2971" s="156">
        <v>-0.75</v>
      </c>
      <c r="AH2971" s="159" t="s">
        <v>173</v>
      </c>
      <c r="AI2971" s="159" t="s">
        <v>17834</v>
      </c>
      <c r="AJ2971" s="159" t="s">
        <v>138</v>
      </c>
      <c r="AK2971" s="159" t="s">
        <v>138</v>
      </c>
      <c r="AL2971" s="159" t="s">
        <v>138</v>
      </c>
      <c r="AM2971" s="159" t="s">
        <v>137</v>
      </c>
      <c r="AN2971" s="159" t="s">
        <v>138</v>
      </c>
      <c r="AO2971" s="156">
        <v>480.0</v>
      </c>
      <c r="AP2971" s="1292">
        <v>-0.4</v>
      </c>
      <c r="AQ2971" s="159" t="s">
        <v>173</v>
      </c>
      <c r="AR2971" s="159" t="s">
        <v>10394</v>
      </c>
      <c r="AS2971" s="159" t="s">
        <v>138</v>
      </c>
      <c r="AT2971" s="159" t="s">
        <v>138</v>
      </c>
      <c r="AU2971" s="159" t="s">
        <v>138</v>
      </c>
      <c r="AV2971" s="159" t="s">
        <v>137</v>
      </c>
      <c r="AW2971" s="310" t="s">
        <v>17835</v>
      </c>
      <c r="AX2971" s="159" t="s">
        <v>324</v>
      </c>
      <c r="AY2971" s="61" t="str">
        <f>IFERROR(__xludf.DUMMYFUNCTION("vlookup(BB2971,importrange(""https://docs.google.com/spreadsheets/d/1d2vevQ_7D_v35q4wCQ4RpQ_IPoTwEMB9Yp6ymwlPqew/edit?gid=984458430#gid=984458430"", ""'replication success'!A:K""), 11, FAlSE)"),"#N/A")</f>
        <v>#N/A</v>
      </c>
      <c r="AZ2971" s="61" t="str">
        <f>IFERROR(__xludf.DUMMYFUNCTION("vlookup(BB2971,importrange(""https://docs.google.com/spreadsheets/d/1d2vevQ_7D_v35q4wCQ4RpQ_IPoTwEMB9Yp6ymwlPqew/edit?gid=984458430#gid=984458430"", ""'replication success'!A:M""), 12, FAlSE)"),"#N/A")</f>
        <v>#N/A</v>
      </c>
      <c r="BA2971" s="61" t="str">
        <f>IFERROR(__xludf.DUMMYFUNCTION("vlookup(BB2971,importrange(""https://docs.google.com/spreadsheets/d/1d2vevQ_7D_v35q4wCQ4RpQ_IPoTwEMB9Yp6ymwlPqew/edit?gid=984458430#gid=984458430"", ""'replication success'!A:M""), 13, FAlSE)"),"#N/A")</f>
        <v>#N/A</v>
      </c>
      <c r="BB2971" s="61" t="str">
        <f>IFERROR(__xludf.DUMMYFUNCTION("REGEXREPLACE(G2971, ""_[a-z]{1,2}$"", """")"),"CORE_167")</f>
        <v>CORE_167</v>
      </c>
    </row>
    <row r="2972">
      <c r="A2972" s="44">
        <v>2713.0</v>
      </c>
      <c r="B2972" s="129" t="s">
        <v>285</v>
      </c>
      <c r="C2972" s="62" t="s">
        <v>115</v>
      </c>
      <c r="D2972" s="62" t="s">
        <v>2930</v>
      </c>
      <c r="F2972" s="159" t="s">
        <v>17836</v>
      </c>
      <c r="G2972" s="159" t="s">
        <v>17837</v>
      </c>
      <c r="H2972" s="159" t="s">
        <v>17592</v>
      </c>
      <c r="I2972" s="152">
        <v>45800.0</v>
      </c>
      <c r="J2972" s="862"/>
      <c r="K2972" s="159" t="s">
        <v>17838</v>
      </c>
      <c r="L2972" s="68"/>
      <c r="M2972" s="159" t="s">
        <v>17839</v>
      </c>
      <c r="N2972" s="159" t="s">
        <v>17840</v>
      </c>
      <c r="O2972" s="159" t="s">
        <v>138</v>
      </c>
      <c r="P2972" s="382" t="s">
        <v>17841</v>
      </c>
      <c r="Q2972" s="2191" t="str">
        <f> hyperlink(vlookup(lower(N2972),'File Links'!E:F, 2, FALSE), "LINK")</f>
        <v>LINK</v>
      </c>
      <c r="R2972" s="159" t="s">
        <v>17842</v>
      </c>
      <c r="S2972" s="159" t="s">
        <v>138</v>
      </c>
      <c r="T2972" s="159" t="s">
        <v>138</v>
      </c>
      <c r="U2972" s="159" t="s">
        <v>138</v>
      </c>
      <c r="V2972" s="382" t="s">
        <v>577</v>
      </c>
      <c r="W2972" s="1231" t="s">
        <v>138</v>
      </c>
      <c r="X2972" s="2177" t="str">
        <f> hyperlink(vlookup(lower(S2972),'File Links'!E:F, 2, FALSE), "LINK")</f>
        <v>LINK</v>
      </c>
      <c r="Y2972" s="159" t="s">
        <v>17838</v>
      </c>
      <c r="Z2972" s="159" t="s">
        <v>947</v>
      </c>
      <c r="AA2972" s="159" t="s">
        <v>17843</v>
      </c>
      <c r="AB2972" s="159" t="s">
        <v>7291</v>
      </c>
      <c r="AC2972" s="68"/>
      <c r="AD2972" s="159" t="s">
        <v>138</v>
      </c>
      <c r="AE2972" s="159" t="s">
        <v>138</v>
      </c>
      <c r="AF2972" s="159" t="s">
        <v>138</v>
      </c>
      <c r="AG2972" s="159" t="s">
        <v>138</v>
      </c>
      <c r="AH2972" s="159" t="s">
        <v>138</v>
      </c>
      <c r="AI2972" s="159" t="s">
        <v>138</v>
      </c>
      <c r="AJ2972" s="159" t="s">
        <v>138</v>
      </c>
      <c r="AK2972" s="159" t="s">
        <v>138</v>
      </c>
      <c r="AL2972" s="159" t="s">
        <v>138</v>
      </c>
      <c r="AM2972" s="159" t="s">
        <v>138</v>
      </c>
      <c r="AN2972" s="159" t="s">
        <v>138</v>
      </c>
      <c r="AO2972" s="159" t="s">
        <v>138</v>
      </c>
      <c r="AP2972" s="159" t="s">
        <v>138</v>
      </c>
      <c r="AQ2972" s="159" t="s">
        <v>138</v>
      </c>
      <c r="AR2972" s="159" t="s">
        <v>138</v>
      </c>
      <c r="AS2972" s="159" t="s">
        <v>138</v>
      </c>
      <c r="AT2972" s="159" t="s">
        <v>138</v>
      </c>
      <c r="AU2972" s="159" t="s">
        <v>138</v>
      </c>
      <c r="AV2972" s="159" t="s">
        <v>138</v>
      </c>
      <c r="AW2972" s="159" t="s">
        <v>138</v>
      </c>
      <c r="AX2972" s="159" t="s">
        <v>138</v>
      </c>
      <c r="AY2972" s="61" t="str">
        <f>IFERROR(__xludf.DUMMYFUNCTION("vlookup(BB2972,importrange(""https://docs.google.com/spreadsheets/d/1d2vevQ_7D_v35q4wCQ4RpQ_IPoTwEMB9Yp6ymwlPqew/edit?gid=984458430#gid=984458430"", ""'replication success'!A:K""), 11, FAlSE)"),"#N/A")</f>
        <v>#N/A</v>
      </c>
      <c r="AZ2972" s="61" t="str">
        <f>IFERROR(__xludf.DUMMYFUNCTION("vlookup(BB2972,importrange(""https://docs.google.com/spreadsheets/d/1d2vevQ_7D_v35q4wCQ4RpQ_IPoTwEMB9Yp6ymwlPqew/edit?gid=984458430#gid=984458430"", ""'replication success'!A:M""), 12, FAlSE)"),"#N/A")</f>
        <v>#N/A</v>
      </c>
      <c r="BA2972" s="61" t="str">
        <f>IFERROR(__xludf.DUMMYFUNCTION("vlookup(BB2972,importrange(""https://docs.google.com/spreadsheets/d/1d2vevQ_7D_v35q4wCQ4RpQ_IPoTwEMB9Yp6ymwlPqew/edit?gid=984458430#gid=984458430"", ""'replication success'!A:M""), 13, FAlSE)"),"#N/A")</f>
        <v>#N/A</v>
      </c>
      <c r="BB2972" s="61" t="str">
        <f>IFERROR(__xludf.DUMMYFUNCTION("REGEXREPLACE(G2972, ""_[a-z]{1,2}$"", """")"),"CORE_168")</f>
        <v>CORE_168</v>
      </c>
    </row>
    <row r="2973">
      <c r="A2973" s="44">
        <v>2714.0</v>
      </c>
      <c r="B2973" s="129" t="s">
        <v>285</v>
      </c>
      <c r="C2973" s="62" t="s">
        <v>115</v>
      </c>
      <c r="D2973" s="62" t="s">
        <v>2930</v>
      </c>
      <c r="F2973" s="159" t="s">
        <v>17844</v>
      </c>
      <c r="G2973" s="159" t="s">
        <v>17845</v>
      </c>
      <c r="H2973" s="159" t="s">
        <v>17592</v>
      </c>
      <c r="I2973" s="152">
        <v>45800.0</v>
      </c>
      <c r="J2973" s="862"/>
      <c r="K2973" s="159" t="s">
        <v>17846</v>
      </c>
      <c r="L2973" s="68"/>
      <c r="M2973" s="159" t="s">
        <v>17847</v>
      </c>
      <c r="N2973" s="159" t="s">
        <v>17848</v>
      </c>
      <c r="O2973" s="156">
        <v>4.0</v>
      </c>
      <c r="P2973" s="382" t="s">
        <v>17849</v>
      </c>
      <c r="Q2973" s="2191" t="str">
        <f> hyperlink(vlookup(lower(N2973),'File Links'!E:F, 2, FALSE), "LINK")</f>
        <v>LINK</v>
      </c>
      <c r="R2973" s="159" t="s">
        <v>17850</v>
      </c>
      <c r="S2973" s="310" t="s">
        <v>17851</v>
      </c>
      <c r="T2973" s="680" t="s">
        <v>17852</v>
      </c>
      <c r="U2973" s="156">
        <v>4.0</v>
      </c>
      <c r="V2973" s="382" t="s">
        <v>17853</v>
      </c>
      <c r="W2973" s="1231" t="s">
        <v>17597</v>
      </c>
      <c r="X2973" s="1552" t="str">
        <f> hyperlink(vlookup(lower(S2973),'File Links'!E:F, 2, FALSE), "LINK")</f>
        <v>LINK</v>
      </c>
      <c r="Y2973" s="68"/>
      <c r="Z2973" s="159" t="s">
        <v>947</v>
      </c>
      <c r="AA2973" s="159" t="s">
        <v>17854</v>
      </c>
      <c r="AB2973" s="159" t="s">
        <v>17855</v>
      </c>
      <c r="AC2973" s="159" t="s">
        <v>17856</v>
      </c>
      <c r="AD2973" s="159" t="s">
        <v>17857</v>
      </c>
      <c r="AE2973" s="159" t="s">
        <v>7703</v>
      </c>
      <c r="AF2973" s="156">
        <v>66.0</v>
      </c>
      <c r="AG2973" s="156">
        <v>-0.58</v>
      </c>
      <c r="AH2973" s="159" t="s">
        <v>173</v>
      </c>
      <c r="AI2973" s="156">
        <v>8.0</v>
      </c>
      <c r="AJ2973" s="159" t="s">
        <v>138</v>
      </c>
      <c r="AK2973" s="159" t="s">
        <v>138</v>
      </c>
      <c r="AL2973" s="159" t="s">
        <v>138</v>
      </c>
      <c r="AM2973" s="159" t="s">
        <v>138</v>
      </c>
      <c r="AN2973" s="159" t="s">
        <v>138</v>
      </c>
      <c r="AO2973" s="156">
        <v>240.0</v>
      </c>
      <c r="AP2973" s="156">
        <v>-0.09</v>
      </c>
      <c r="AQ2973" s="159" t="s">
        <v>173</v>
      </c>
      <c r="AR2973" s="159" t="s">
        <v>2366</v>
      </c>
      <c r="AS2973" s="159" t="s">
        <v>138</v>
      </c>
      <c r="AT2973" s="159" t="s">
        <v>138</v>
      </c>
      <c r="AU2973" s="159" t="s">
        <v>138</v>
      </c>
      <c r="AV2973" s="159" t="s">
        <v>137</v>
      </c>
      <c r="AW2973" s="159" t="s">
        <v>138</v>
      </c>
      <c r="AX2973" s="159" t="s">
        <v>324</v>
      </c>
      <c r="AY2973" s="61" t="str">
        <f>IFERROR(__xludf.DUMMYFUNCTION("vlookup(BB2973,importrange(""https://docs.google.com/spreadsheets/d/1d2vevQ_7D_v35q4wCQ4RpQ_IPoTwEMB9Yp6ymwlPqew/edit?gid=984458430#gid=984458430"", ""'replication success'!A:K""), 11, FAlSE)"),"#N/A")</f>
        <v>#N/A</v>
      </c>
      <c r="AZ2973" s="61" t="str">
        <f>IFERROR(__xludf.DUMMYFUNCTION("vlookup(BB2973,importrange(""https://docs.google.com/spreadsheets/d/1d2vevQ_7D_v35q4wCQ4RpQ_IPoTwEMB9Yp6ymwlPqew/edit?gid=984458430#gid=984458430"", ""'replication success'!A:M""), 12, FAlSE)"),"#N/A")</f>
        <v>#N/A</v>
      </c>
      <c r="BA2973" s="61" t="str">
        <f>IFERROR(__xludf.DUMMYFUNCTION("vlookup(BB2973,importrange(""https://docs.google.com/spreadsheets/d/1d2vevQ_7D_v35q4wCQ4RpQ_IPoTwEMB9Yp6ymwlPqew/edit?gid=984458430#gid=984458430"", ""'replication success'!A:M""), 13, FAlSE)"),"#N/A")</f>
        <v>#N/A</v>
      </c>
      <c r="BB2973" s="61" t="str">
        <f>IFERROR(__xludf.DUMMYFUNCTION("REGEXREPLACE(G2973, ""_[a-z]{1,2}$"", """")"),"CORE_169")</f>
        <v>CORE_169</v>
      </c>
    </row>
    <row r="2974">
      <c r="A2974" s="44">
        <v>2977.0</v>
      </c>
      <c r="B2974" s="129" t="s">
        <v>114</v>
      </c>
      <c r="C2974" s="62" t="s">
        <v>115</v>
      </c>
      <c r="D2974" s="62" t="s">
        <v>15473</v>
      </c>
      <c r="F2974" s="68" t="s">
        <v>15558</v>
      </c>
      <c r="G2974" s="159" t="s">
        <v>15559</v>
      </c>
      <c r="H2974" s="159" t="s">
        <v>17461</v>
      </c>
      <c r="I2974" s="152">
        <v>45331.0</v>
      </c>
      <c r="J2974" s="2399">
        <v>45828.0</v>
      </c>
      <c r="K2974" s="68"/>
      <c r="L2974" s="129" t="s">
        <v>17858</v>
      </c>
      <c r="M2974" s="159" t="s">
        <v>15561</v>
      </c>
      <c r="N2974" s="159" t="s">
        <v>15562</v>
      </c>
      <c r="O2974" s="336">
        <v>1.0</v>
      </c>
      <c r="P2974" s="159" t="s">
        <v>15563</v>
      </c>
      <c r="Q2974" s="2174" t="str">
        <f> hyperlink(vlookup(lower(N2974),'File Links'!E:F, 2, FALSE), "LINK")</f>
        <v>LINK</v>
      </c>
      <c r="R2974" s="680" t="s">
        <v>17859</v>
      </c>
      <c r="S2974" s="159" t="s">
        <v>15565</v>
      </c>
      <c r="T2974" s="310" t="s">
        <v>15566</v>
      </c>
      <c r="U2974" s="336">
        <v>1.0</v>
      </c>
      <c r="V2974" s="159" t="s">
        <v>15567</v>
      </c>
      <c r="W2974" s="206" t="s">
        <v>1122</v>
      </c>
      <c r="X2974" s="2400" t="str">
        <f> hyperlink(vlookup(lower(S2974),'File Links'!E:F, 2, FALSE), "LINK")</f>
        <v>LINK</v>
      </c>
      <c r="Y2974" s="68"/>
      <c r="Z2974" s="159" t="s">
        <v>947</v>
      </c>
      <c r="AA2974" s="159" t="s">
        <v>15568</v>
      </c>
      <c r="AB2974" s="159" t="s">
        <v>7291</v>
      </c>
      <c r="AC2974" s="159" t="s">
        <v>15569</v>
      </c>
      <c r="AD2974" s="129" t="s">
        <v>17860</v>
      </c>
      <c r="AE2974" s="2401">
        <v>45689.0</v>
      </c>
      <c r="AF2974" s="336">
        <v>161.0</v>
      </c>
      <c r="AG2974" s="161" t="s">
        <v>138</v>
      </c>
      <c r="AH2974" s="151" t="s">
        <v>138</v>
      </c>
      <c r="AI2974" s="68" t="s">
        <v>2771</v>
      </c>
      <c r="AJ2974" s="336">
        <v>0.02</v>
      </c>
      <c r="AK2974" s="68" t="s">
        <v>135</v>
      </c>
      <c r="AL2974" s="68" t="s">
        <v>186</v>
      </c>
      <c r="AM2974" s="68" t="s">
        <v>137</v>
      </c>
      <c r="AN2974" s="129" t="s">
        <v>138</v>
      </c>
      <c r="AO2974" s="161">
        <v>970.0</v>
      </c>
      <c r="AP2974" s="161">
        <v>1.38</v>
      </c>
      <c r="AQ2974" s="151" t="s">
        <v>722</v>
      </c>
      <c r="AR2974" s="151" t="s">
        <v>15572</v>
      </c>
      <c r="AS2974" s="161">
        <v>0.021</v>
      </c>
      <c r="AT2974" s="151" t="s">
        <v>172</v>
      </c>
      <c r="AU2974" s="68" t="s">
        <v>186</v>
      </c>
      <c r="AV2974" s="68" t="s">
        <v>137</v>
      </c>
      <c r="AW2974" s="435" t="s">
        <v>17861</v>
      </c>
      <c r="AX2974" s="68" t="s">
        <v>143</v>
      </c>
      <c r="AY2974" s="61" t="str">
        <f>IFERROR(__xludf.DUMMYFUNCTION("vlookup(BB2974,importrange(""https://docs.google.com/spreadsheets/d/1d2vevQ_7D_v35q4wCQ4RpQ_IPoTwEMB9Yp6ymwlPqew/edit?gid=984458430#gid=984458430"", ""'replication success'!A:K""), 11, FAlSE)"),"successful")</f>
        <v>successful</v>
      </c>
      <c r="AZ2974" s="61" t="str">
        <f>IFERROR(__xludf.DUMMYFUNCTION("vlookup(BB2974,importrange(""https://docs.google.com/spreadsheets/d/1d2vevQ_7D_v35q4wCQ4RpQ_IPoTwEMB9Yp6ymwlPqew/edit?gid=984458430#gid=984458430"", ""'replication success'!A:M""), 12, FAlSE)")," We successfully replicated Johnson
 and Goldstein (2003).")</f>
        <v> We successfully replicated Johnson
 and Goldstein (2003).</v>
      </c>
      <c r="BA2974" s="61" t="str">
        <f>IFERROR(__xludf.DUMMYFUNCTION("vlookup(BB2974,importrange(""https://docs.google.com/spreadsheets/d/1d2vevQ_7D_v35q4wCQ4RpQ_IPoTwEMB9Yp6ymwlPqew/edit?gid=984458430#gid=984458430"", ""'replication success'!A:M""), 13, FAlSE)"),"abstract")</f>
        <v>abstract</v>
      </c>
      <c r="BB2974" s="61" t="str">
        <f>IFERROR(__xludf.DUMMYFUNCTION("REGEXREPLACE(G2974, ""_[a-z]{1,2}$"", """")"),"CORE_17")</f>
        <v>CORE_17</v>
      </c>
      <c r="BD2974" s="199" t="s">
        <v>814</v>
      </c>
    </row>
    <row r="2975">
      <c r="A2975" s="44">
        <v>2715.0</v>
      </c>
      <c r="B2975" s="129" t="s">
        <v>285</v>
      </c>
      <c r="C2975" s="62" t="s">
        <v>115</v>
      </c>
      <c r="D2975" s="62" t="s">
        <v>2930</v>
      </c>
      <c r="F2975" s="159" t="s">
        <v>17862</v>
      </c>
      <c r="G2975" s="159" t="s">
        <v>17863</v>
      </c>
      <c r="H2975" s="159" t="s">
        <v>17592</v>
      </c>
      <c r="I2975" s="152">
        <v>45800.0</v>
      </c>
      <c r="J2975" s="862"/>
      <c r="K2975" s="159" t="s">
        <v>17864</v>
      </c>
      <c r="L2975" s="68"/>
      <c r="M2975" s="159" t="s">
        <v>17865</v>
      </c>
      <c r="N2975" s="159" t="s">
        <v>17866</v>
      </c>
      <c r="O2975" s="156">
        <v>1.0</v>
      </c>
      <c r="P2975" s="382" t="s">
        <v>17867</v>
      </c>
      <c r="Q2975" s="2191" t="str">
        <f> hyperlink(vlookup(lower(N2975),'File Links'!E:F, 2, FALSE), "LINK")</f>
        <v>LINK</v>
      </c>
      <c r="R2975" s="159" t="s">
        <v>17868</v>
      </c>
      <c r="S2975" s="159" t="s">
        <v>138</v>
      </c>
      <c r="T2975" s="993" t="s">
        <v>17869</v>
      </c>
      <c r="U2975" s="156">
        <v>1.0</v>
      </c>
      <c r="V2975" s="382" t="s">
        <v>577</v>
      </c>
      <c r="W2975" s="1231" t="s">
        <v>17597</v>
      </c>
      <c r="X2975" s="2192" t="str">
        <f> hyperlink(vlookup(lower(S2975),'File Links'!E:F, 2, FALSE), "LINK")</f>
        <v>LINK</v>
      </c>
      <c r="Y2975" s="68"/>
      <c r="Z2975" s="159" t="s">
        <v>947</v>
      </c>
      <c r="AA2975" s="159" t="s">
        <v>17870</v>
      </c>
      <c r="AB2975" s="159" t="s">
        <v>17871</v>
      </c>
      <c r="AC2975" s="159" t="s">
        <v>17872</v>
      </c>
      <c r="AD2975" s="159" t="s">
        <v>17873</v>
      </c>
      <c r="AE2975" s="156">
        <v>3.0</v>
      </c>
      <c r="AF2975" s="156">
        <v>95.0</v>
      </c>
      <c r="AG2975" s="156">
        <v>-0.76</v>
      </c>
      <c r="AH2975" s="159" t="s">
        <v>173</v>
      </c>
      <c r="AI2975" s="156">
        <v>3.0</v>
      </c>
      <c r="AJ2975" s="156">
        <v>1.0E-4</v>
      </c>
      <c r="AK2975" s="159" t="s">
        <v>135</v>
      </c>
      <c r="AL2975" s="159" t="s">
        <v>138</v>
      </c>
      <c r="AM2975" s="159" t="s">
        <v>137</v>
      </c>
      <c r="AN2975" s="159" t="s">
        <v>138</v>
      </c>
      <c r="AO2975" s="156">
        <v>584.0</v>
      </c>
      <c r="AP2975" s="1292">
        <v>-0.6</v>
      </c>
      <c r="AQ2975" s="159" t="s">
        <v>173</v>
      </c>
      <c r="AR2975" s="159" t="s">
        <v>17874</v>
      </c>
      <c r="AS2975" s="159" t="s">
        <v>138</v>
      </c>
      <c r="AT2975" s="159" t="s">
        <v>138</v>
      </c>
      <c r="AU2975" s="159" t="s">
        <v>138</v>
      </c>
      <c r="AV2975" s="159" t="s">
        <v>137</v>
      </c>
      <c r="AW2975" s="310" t="s">
        <v>17875</v>
      </c>
      <c r="AX2975" s="159" t="s">
        <v>324</v>
      </c>
      <c r="AY2975" s="61" t="str">
        <f>IFERROR(__xludf.DUMMYFUNCTION("vlookup(BB2975,importrange(""https://docs.google.com/spreadsheets/d/1d2vevQ_7D_v35q4wCQ4RpQ_IPoTwEMB9Yp6ymwlPqew/edit?gid=984458430#gid=984458430"", ""'replication success'!A:K""), 11, FAlSE)"),"#N/A")</f>
        <v>#N/A</v>
      </c>
      <c r="AZ2975" s="61" t="str">
        <f>IFERROR(__xludf.DUMMYFUNCTION("vlookup(BB2975,importrange(""https://docs.google.com/spreadsheets/d/1d2vevQ_7D_v35q4wCQ4RpQ_IPoTwEMB9Yp6ymwlPqew/edit?gid=984458430#gid=984458430"", ""'replication success'!A:M""), 12, FAlSE)"),"#N/A")</f>
        <v>#N/A</v>
      </c>
      <c r="BA2975" s="61" t="str">
        <f>IFERROR(__xludf.DUMMYFUNCTION("vlookup(BB2975,importrange(""https://docs.google.com/spreadsheets/d/1d2vevQ_7D_v35q4wCQ4RpQ_IPoTwEMB9Yp6ymwlPqew/edit?gid=984458430#gid=984458430"", ""'replication success'!A:M""), 13, FAlSE)"),"#N/A")</f>
        <v>#N/A</v>
      </c>
      <c r="BB2975" s="61" t="str">
        <f>IFERROR(__xludf.DUMMYFUNCTION("REGEXREPLACE(G2975, ""_[a-z]{1,2}$"", """")"),"CORE_176")</f>
        <v>CORE_176</v>
      </c>
    </row>
    <row r="2976">
      <c r="A2976" s="44">
        <v>2729.0</v>
      </c>
      <c r="B2976" s="474" t="s">
        <v>152</v>
      </c>
      <c r="C2976" s="467" t="s">
        <v>115</v>
      </c>
      <c r="D2976" s="467" t="s">
        <v>15473</v>
      </c>
      <c r="E2976" s="468"/>
      <c r="F2976" s="2402" t="s">
        <v>15574</v>
      </c>
      <c r="G2976" s="2403" t="s">
        <v>15575</v>
      </c>
      <c r="H2976" s="2403" t="s">
        <v>17461</v>
      </c>
      <c r="I2976" s="2404">
        <v>45331.0</v>
      </c>
      <c r="J2976" s="2405">
        <v>45828.0</v>
      </c>
      <c r="K2976" s="2402"/>
      <c r="L2976" s="2406" t="s">
        <v>17876</v>
      </c>
      <c r="M2976" s="2403" t="s">
        <v>15577</v>
      </c>
      <c r="N2976" s="2403" t="s">
        <v>15578</v>
      </c>
      <c r="O2976" s="2407">
        <v>2.0</v>
      </c>
      <c r="P2976" s="2403" t="s">
        <v>15579</v>
      </c>
      <c r="Q2976" s="2408" t="str">
        <f> hyperlink(vlookup(lower(N2976),'File Links'!E:F, 2, FALSE), "LINK")</f>
        <v>LINK</v>
      </c>
      <c r="R2976" s="2409" t="s">
        <v>17877</v>
      </c>
      <c r="S2976" s="469" t="s">
        <v>15565</v>
      </c>
      <c r="T2976" s="2409" t="s">
        <v>15566</v>
      </c>
      <c r="U2976" s="2410">
        <v>2.0</v>
      </c>
      <c r="V2976" s="469" t="s">
        <v>15567</v>
      </c>
      <c r="W2976" s="695" t="s">
        <v>7289</v>
      </c>
      <c r="X2976" s="2411" t="str">
        <f> hyperlink(vlookup(lower(S2976),'File Links'!E:F, 2, FALSE), "LINK")</f>
        <v>LINK</v>
      </c>
      <c r="Y2976" s="482"/>
      <c r="Z2976" s="2412" t="s">
        <v>947</v>
      </c>
      <c r="AA2976" s="2412" t="s">
        <v>15568</v>
      </c>
      <c r="AB2976" s="2412" t="s">
        <v>7291</v>
      </c>
      <c r="AC2976" s="2412" t="s">
        <v>15580</v>
      </c>
      <c r="AD2976" s="2413" t="s">
        <v>15581</v>
      </c>
      <c r="AE2976" s="2414">
        <v>8.0</v>
      </c>
      <c r="AF2976" s="2414">
        <v>235.0</v>
      </c>
      <c r="AG2976" s="2415" t="s">
        <v>17878</v>
      </c>
      <c r="AH2976" s="2415" t="s">
        <v>134</v>
      </c>
      <c r="AI2976" s="2415" t="s">
        <v>604</v>
      </c>
      <c r="AJ2976" s="2414">
        <v>0.001</v>
      </c>
      <c r="AK2976" s="2415" t="s">
        <v>135</v>
      </c>
      <c r="AL2976" s="2415" t="s">
        <v>186</v>
      </c>
      <c r="AM2976" s="2415" t="s">
        <v>137</v>
      </c>
      <c r="AN2976" s="474" t="s">
        <v>138</v>
      </c>
      <c r="AO2976" s="2414">
        <v>1920.0</v>
      </c>
      <c r="AP2976" s="2414">
        <v>0.75</v>
      </c>
      <c r="AQ2976" s="2415" t="s">
        <v>722</v>
      </c>
      <c r="AR2976" s="2413" t="s">
        <v>132</v>
      </c>
      <c r="AS2976" s="2416">
        <v>0.095</v>
      </c>
      <c r="AT2976" s="159" t="s">
        <v>172</v>
      </c>
      <c r="AU2976" s="2415" t="s">
        <v>186</v>
      </c>
      <c r="AV2976" s="2415" t="s">
        <v>137</v>
      </c>
      <c r="AW2976" s="2417" t="s">
        <v>17861</v>
      </c>
      <c r="AX2976" s="2415" t="s">
        <v>143</v>
      </c>
      <c r="AY2976" s="61" t="str">
        <f>IFERROR(__xludf.DUMMYFUNCTION("vlookup(BB2976,importrange(""https://docs.google.com/spreadsheets/d/1d2vevQ_7D_v35q4wCQ4RpQ_IPoTwEMB9Yp6ymwlPqew/edit?gid=984458430#gid=984458430"", ""'replication success'!A:K""), 11, FAlSE)"),"failed")</f>
        <v>failed</v>
      </c>
      <c r="AZ2976" s="61" t="str">
        <f>IFERROR(__xludf.DUMMYFUNCTION("vlookup(BB2976,importrange(""https://docs.google.com/spreadsheets/d/1d2vevQ_7D_v35q4wCQ4RpQ_IPoTwEMB9Yp6ymwlPqew/edit?gid=984458430#gid=984458430"", ""'replication success'!A:M""), 12, FAlSE)"),"We, however, failed to replicate the findings of Johnson et al. (2002)’s study; we did not find evidence for a default effect.")</f>
        <v>We, however, failed to replicate the findings of Johnson et al. (2002)’s study; we did not find evidence for a default effect.</v>
      </c>
      <c r="BA2976" s="61" t="str">
        <f>IFERROR(__xludf.DUMMYFUNCTION("vlookup(BB2976,importrange(""https://docs.google.com/spreadsheets/d/1d2vevQ_7D_v35q4wCQ4RpQ_IPoTwEMB9Yp6ymwlPqew/edit?gid=984458430#gid=984458430"", ""'replication success'!A:M""), 13, FAlSE)"),"abstract")</f>
        <v>abstract</v>
      </c>
      <c r="BB2976" s="61" t="str">
        <f>IFERROR(__xludf.DUMMYFUNCTION("REGEXREPLACE(G2976, ""_[a-z]{1,2}$"", """")"),"CORE_19")</f>
        <v>CORE_19</v>
      </c>
      <c r="BC2976" s="468"/>
      <c r="BD2976" s="467" t="s">
        <v>814</v>
      </c>
      <c r="BE2976" s="482"/>
      <c r="BF2976" s="200"/>
      <c r="BG2976" s="200"/>
      <c r="BH2976" s="200"/>
      <c r="BI2976" s="200"/>
      <c r="BJ2976" s="200"/>
      <c r="BK2976" s="200"/>
      <c r="BL2976" s="200"/>
      <c r="BM2976" s="200"/>
      <c r="BN2976" s="200"/>
      <c r="BO2976" s="200"/>
      <c r="BP2976" s="200"/>
      <c r="BQ2976" s="200"/>
      <c r="BR2976" s="200"/>
      <c r="BS2976" s="200"/>
      <c r="BT2976" s="200"/>
      <c r="BU2976" s="200"/>
      <c r="BV2976" s="200"/>
      <c r="BW2976" s="200"/>
      <c r="BX2976" s="200"/>
      <c r="BY2976" s="200"/>
      <c r="BZ2976" s="200"/>
      <c r="CA2976" s="200"/>
      <c r="CB2976" s="200"/>
      <c r="CC2976" s="200"/>
      <c r="CD2976" s="200"/>
      <c r="CE2976" s="200"/>
      <c r="CF2976" s="200"/>
      <c r="CG2976" s="200"/>
      <c r="CH2976" s="200"/>
      <c r="CI2976" s="200"/>
      <c r="CJ2976" s="200"/>
      <c r="CK2976" s="200"/>
      <c r="CL2976" s="200"/>
      <c r="CM2976" s="200"/>
      <c r="CN2976" s="200"/>
      <c r="CO2976" s="200"/>
      <c r="CP2976" s="200"/>
      <c r="CQ2976" s="200"/>
      <c r="CR2976" s="200"/>
      <c r="CS2976" s="200"/>
      <c r="CT2976" s="200"/>
      <c r="CU2976" s="200"/>
      <c r="CV2976" s="200"/>
      <c r="CW2976" s="200"/>
      <c r="CX2976" s="200"/>
      <c r="CY2976" s="200"/>
      <c r="CZ2976" s="200"/>
      <c r="DA2976" s="200"/>
      <c r="DB2976" s="200"/>
      <c r="DC2976" s="200"/>
      <c r="DD2976" s="200"/>
      <c r="DE2976" s="200"/>
      <c r="DF2976" s="200"/>
      <c r="DG2976" s="200"/>
      <c r="DH2976" s="200"/>
      <c r="DI2976" s="200"/>
      <c r="DJ2976" s="200"/>
      <c r="DK2976" s="200"/>
      <c r="DL2976" s="200"/>
    </row>
    <row r="2977">
      <c r="A2977" s="44">
        <v>2716.0</v>
      </c>
      <c r="B2977" s="129" t="s">
        <v>285</v>
      </c>
      <c r="C2977" s="62" t="s">
        <v>115</v>
      </c>
      <c r="D2977" s="62" t="s">
        <v>2930</v>
      </c>
      <c r="F2977" s="159" t="s">
        <v>17879</v>
      </c>
      <c r="G2977" s="159" t="s">
        <v>17880</v>
      </c>
      <c r="H2977" s="159" t="s">
        <v>17592</v>
      </c>
      <c r="I2977" s="152">
        <v>45802.0</v>
      </c>
      <c r="J2977" s="862"/>
      <c r="K2977" s="68"/>
      <c r="L2977" s="68"/>
      <c r="M2977" s="159" t="s">
        <v>17881</v>
      </c>
      <c r="N2977" s="159" t="s">
        <v>17882</v>
      </c>
      <c r="O2977" s="159" t="s">
        <v>9850</v>
      </c>
      <c r="P2977" s="382" t="s">
        <v>17883</v>
      </c>
      <c r="Q2977" s="2191" t="str">
        <f> hyperlink(vlookup(lower(N2977),'File Links'!E:F, 2, FALSE), "LINK")</f>
        <v>LINK</v>
      </c>
      <c r="R2977" s="159" t="s">
        <v>17884</v>
      </c>
      <c r="S2977" s="310" t="s">
        <v>17885</v>
      </c>
      <c r="T2977" s="680" t="s">
        <v>17886</v>
      </c>
      <c r="U2977" s="159" t="s">
        <v>9850</v>
      </c>
      <c r="V2977" s="382" t="s">
        <v>17887</v>
      </c>
      <c r="W2977" s="1231" t="s">
        <v>17597</v>
      </c>
      <c r="X2977" s="1552" t="str">
        <f> hyperlink(vlookup(lower(S2977),'File Links'!E:F, 2, FALSE), "LINK")</f>
        <v>LINK</v>
      </c>
      <c r="Y2977" s="68"/>
      <c r="Z2977" s="159" t="s">
        <v>947</v>
      </c>
      <c r="AA2977" s="159" t="s">
        <v>17888</v>
      </c>
      <c r="AB2977" s="159" t="s">
        <v>17889</v>
      </c>
      <c r="AC2977" s="159" t="s">
        <v>17890</v>
      </c>
      <c r="AD2977" s="159" t="s">
        <v>17891</v>
      </c>
      <c r="AE2977" s="156">
        <v>4.0</v>
      </c>
      <c r="AF2977" s="156">
        <v>241.0</v>
      </c>
      <c r="AG2977" s="156">
        <v>0.15</v>
      </c>
      <c r="AH2977" s="159" t="s">
        <v>874</v>
      </c>
      <c r="AI2977" s="156">
        <v>4.0</v>
      </c>
      <c r="AJ2977" s="159" t="s">
        <v>138</v>
      </c>
      <c r="AK2977" s="159" t="s">
        <v>138</v>
      </c>
      <c r="AL2977" s="159" t="s">
        <v>138</v>
      </c>
      <c r="AM2977" s="159" t="s">
        <v>137</v>
      </c>
      <c r="AN2977" s="159" t="s">
        <v>138</v>
      </c>
      <c r="AO2977" s="156">
        <v>1009.0</v>
      </c>
      <c r="AP2977" s="156">
        <v>0.28</v>
      </c>
      <c r="AQ2977" s="159" t="s">
        <v>874</v>
      </c>
      <c r="AR2977" s="159" t="s">
        <v>14196</v>
      </c>
      <c r="AS2977" s="159" t="s">
        <v>138</v>
      </c>
      <c r="AT2977" s="159" t="s">
        <v>138</v>
      </c>
      <c r="AU2977" s="159" t="s">
        <v>138</v>
      </c>
      <c r="AV2977" s="159" t="s">
        <v>137</v>
      </c>
      <c r="AW2977" s="310" t="s">
        <v>17892</v>
      </c>
      <c r="AX2977" s="159" t="s">
        <v>324</v>
      </c>
      <c r="AY2977" s="61" t="str">
        <f>IFERROR(__xludf.DUMMYFUNCTION("vlookup(BB2977,importrange(""https://docs.google.com/spreadsheets/d/1d2vevQ_7D_v35q4wCQ4RpQ_IPoTwEMB9Yp6ymwlPqew/edit?gid=984458430#gid=984458430"", ""'replication success'!A:K""), 11, FAlSE)"),"#N/A")</f>
        <v>#N/A</v>
      </c>
      <c r="AZ2977" s="61" t="str">
        <f>IFERROR(__xludf.DUMMYFUNCTION("vlookup(BB2977,importrange(""https://docs.google.com/spreadsheets/d/1d2vevQ_7D_v35q4wCQ4RpQ_IPoTwEMB9Yp6ymwlPqew/edit?gid=984458430#gid=984458430"", ""'replication success'!A:M""), 12, FAlSE)"),"#N/A")</f>
        <v>#N/A</v>
      </c>
      <c r="BA2977" s="61" t="str">
        <f>IFERROR(__xludf.DUMMYFUNCTION("vlookup(BB2977,importrange(""https://docs.google.com/spreadsheets/d/1d2vevQ_7D_v35q4wCQ4RpQ_IPoTwEMB9Yp6ymwlPqew/edit?gid=984458430#gid=984458430"", ""'replication success'!A:M""), 13, FAlSE)"),"#N/A")</f>
        <v>#N/A</v>
      </c>
      <c r="BB2977" s="61" t="str">
        <f>IFERROR(__xludf.DUMMYFUNCTION("REGEXREPLACE(G2977, ""_[a-z]{1,2}$"", """")"),"CORE_194")</f>
        <v>CORE_194</v>
      </c>
    </row>
    <row r="2978">
      <c r="A2978" s="44">
        <v>2717.0</v>
      </c>
      <c r="B2978" s="129" t="s">
        <v>285</v>
      </c>
      <c r="C2978" s="62" t="s">
        <v>115</v>
      </c>
      <c r="D2978" s="62" t="s">
        <v>2930</v>
      </c>
      <c r="F2978" s="159" t="s">
        <v>17893</v>
      </c>
      <c r="G2978" s="159" t="s">
        <v>17894</v>
      </c>
      <c r="H2978" s="159" t="s">
        <v>17592</v>
      </c>
      <c r="I2978" s="152">
        <v>45802.0</v>
      </c>
      <c r="J2978" s="862"/>
      <c r="K2978" s="68"/>
      <c r="L2978" s="68"/>
      <c r="M2978" s="159" t="s">
        <v>17881</v>
      </c>
      <c r="N2978" s="159" t="s">
        <v>17882</v>
      </c>
      <c r="O2978" s="156">
        <v>2.0</v>
      </c>
      <c r="P2978" s="382" t="s">
        <v>17883</v>
      </c>
      <c r="Q2978" s="2418" t="str">
        <f> hyperlink(vlookup(lower(N2978),'File Links'!E:F, 2, FALSE), "LINK")</f>
        <v>LINK</v>
      </c>
      <c r="R2978" s="159" t="s">
        <v>17884</v>
      </c>
      <c r="S2978" s="310" t="s">
        <v>17895</v>
      </c>
      <c r="T2978" s="680" t="s">
        <v>17886</v>
      </c>
      <c r="U2978" s="156">
        <v>2.0</v>
      </c>
      <c r="V2978" s="382" t="s">
        <v>17887</v>
      </c>
      <c r="W2978" s="1231" t="s">
        <v>17597</v>
      </c>
      <c r="X2978" s="2419" t="str">
        <f> hyperlink(vlookup(lower(S2978),'File Links'!E:F, 2, FALSE), "LINK")</f>
        <v>LINK</v>
      </c>
      <c r="Y2978" s="68"/>
      <c r="Z2978" s="159" t="s">
        <v>947</v>
      </c>
      <c r="AA2978" s="159" t="s">
        <v>17888</v>
      </c>
      <c r="AB2978" s="159" t="s">
        <v>17896</v>
      </c>
      <c r="AC2978" s="159" t="s">
        <v>17897</v>
      </c>
      <c r="AD2978" s="159" t="s">
        <v>17898</v>
      </c>
      <c r="AE2978" s="156">
        <v>5.0</v>
      </c>
      <c r="AF2978" s="156">
        <v>320.0</v>
      </c>
      <c r="AG2978" s="159" t="s">
        <v>17899</v>
      </c>
      <c r="AH2978" s="119" t="s">
        <v>134</v>
      </c>
      <c r="AI2978" s="156">
        <v>6.0</v>
      </c>
      <c r="AJ2978" s="159" t="s">
        <v>138</v>
      </c>
      <c r="AK2978" s="159" t="s">
        <v>138</v>
      </c>
      <c r="AL2978" s="159" t="s">
        <v>138</v>
      </c>
      <c r="AM2978" s="159" t="s">
        <v>137</v>
      </c>
      <c r="AN2978" s="159" t="s">
        <v>138</v>
      </c>
      <c r="AO2978" s="156">
        <v>1009.0</v>
      </c>
      <c r="AP2978" s="156">
        <v>0.05</v>
      </c>
      <c r="AQ2978" s="159" t="s">
        <v>874</v>
      </c>
      <c r="AR2978" s="159" t="s">
        <v>7398</v>
      </c>
      <c r="AS2978" s="159" t="s">
        <v>138</v>
      </c>
      <c r="AT2978" s="159" t="s">
        <v>138</v>
      </c>
      <c r="AU2978" s="159" t="s">
        <v>138</v>
      </c>
      <c r="AV2978" s="159" t="s">
        <v>137</v>
      </c>
      <c r="AW2978" s="310" t="s">
        <v>17892</v>
      </c>
      <c r="AX2978" s="159" t="s">
        <v>324</v>
      </c>
      <c r="AY2978" s="61" t="str">
        <f>IFERROR(__xludf.DUMMYFUNCTION("vlookup(BB2978,importrange(""https://docs.google.com/spreadsheets/d/1d2vevQ_7D_v35q4wCQ4RpQ_IPoTwEMB9Yp6ymwlPqew/edit?gid=984458430#gid=984458430"", ""'replication success'!A:K""), 11, FAlSE)"),"#N/A")</f>
        <v>#N/A</v>
      </c>
      <c r="AZ2978" s="61" t="str">
        <f>IFERROR(__xludf.DUMMYFUNCTION("vlookup(BB2978,importrange(""https://docs.google.com/spreadsheets/d/1d2vevQ_7D_v35q4wCQ4RpQ_IPoTwEMB9Yp6ymwlPqew/edit?gid=984458430#gid=984458430"", ""'replication success'!A:M""), 12, FAlSE)"),"#N/A")</f>
        <v>#N/A</v>
      </c>
      <c r="BA2978" s="61" t="str">
        <f>IFERROR(__xludf.DUMMYFUNCTION("vlookup(BB2978,importrange(""https://docs.google.com/spreadsheets/d/1d2vevQ_7D_v35q4wCQ4RpQ_IPoTwEMB9Yp6ymwlPqew/edit?gid=984458430#gid=984458430"", ""'replication success'!A:M""), 13, FAlSE)"),"#N/A")</f>
        <v>#N/A</v>
      </c>
      <c r="BB2978" s="61" t="str">
        <f>IFERROR(__xludf.DUMMYFUNCTION("REGEXREPLACE(G2978, ""_[a-z]{1,2}$"", """")"),"CORE_195")</f>
        <v>CORE_195</v>
      </c>
    </row>
    <row r="2979">
      <c r="A2979" s="44">
        <v>2718.0</v>
      </c>
      <c r="B2979" s="129" t="s">
        <v>285</v>
      </c>
      <c r="C2979" s="62" t="s">
        <v>115</v>
      </c>
      <c r="D2979" s="62" t="s">
        <v>2930</v>
      </c>
      <c r="F2979" s="159" t="s">
        <v>17900</v>
      </c>
      <c r="G2979" s="159" t="s">
        <v>17901</v>
      </c>
      <c r="H2979" s="159" t="s">
        <v>17592</v>
      </c>
      <c r="I2979" s="152">
        <v>45802.0</v>
      </c>
      <c r="J2979" s="862"/>
      <c r="K2979" s="68"/>
      <c r="L2979" s="68"/>
      <c r="M2979" s="159" t="s">
        <v>17881</v>
      </c>
      <c r="N2979" s="159" t="s">
        <v>17882</v>
      </c>
      <c r="O2979" s="156">
        <v>3.0</v>
      </c>
      <c r="P2979" s="382" t="s">
        <v>17883</v>
      </c>
      <c r="Q2979" s="2418" t="str">
        <f> hyperlink(vlookup(lower(N2979),'File Links'!E:F, 2, FALSE), "LINK")</f>
        <v>LINK</v>
      </c>
      <c r="R2979" s="159" t="s">
        <v>17884</v>
      </c>
      <c r="S2979" s="310" t="s">
        <v>17902</v>
      </c>
      <c r="T2979" s="680" t="s">
        <v>17886</v>
      </c>
      <c r="U2979" s="156">
        <v>3.0</v>
      </c>
      <c r="V2979" s="382" t="s">
        <v>17887</v>
      </c>
      <c r="W2979" s="1231" t="s">
        <v>17597</v>
      </c>
      <c r="X2979" s="2419" t="str">
        <f> hyperlink(vlookup(lower(S2979),'File Links'!E:F, 2, FALSE), "LINK")</f>
        <v>LINK</v>
      </c>
      <c r="Y2979" s="68"/>
      <c r="Z2979" s="159" t="s">
        <v>947</v>
      </c>
      <c r="AA2979" s="159" t="s">
        <v>17888</v>
      </c>
      <c r="AB2979" s="159" t="s">
        <v>17903</v>
      </c>
      <c r="AC2979" s="159" t="s">
        <v>17904</v>
      </c>
      <c r="AD2979" s="159" t="s">
        <v>17905</v>
      </c>
      <c r="AE2979" s="156">
        <v>6.0</v>
      </c>
      <c r="AF2979" s="156">
        <v>160.0</v>
      </c>
      <c r="AG2979" s="156">
        <v>0.03</v>
      </c>
      <c r="AH2979" s="159" t="s">
        <v>874</v>
      </c>
      <c r="AI2979" s="156">
        <v>6.0</v>
      </c>
      <c r="AJ2979" s="159" t="s">
        <v>138</v>
      </c>
      <c r="AK2979" s="159" t="s">
        <v>138</v>
      </c>
      <c r="AL2979" s="159" t="s">
        <v>138</v>
      </c>
      <c r="AM2979" s="159" t="s">
        <v>137</v>
      </c>
      <c r="AN2979" s="159" t="s">
        <v>138</v>
      </c>
      <c r="AO2979" s="156">
        <v>1009.0</v>
      </c>
      <c r="AP2979" s="156">
        <v>0.12</v>
      </c>
      <c r="AQ2979" s="159" t="s">
        <v>874</v>
      </c>
      <c r="AR2979" s="159" t="s">
        <v>2413</v>
      </c>
      <c r="AS2979" s="159" t="s">
        <v>138</v>
      </c>
      <c r="AT2979" s="159" t="s">
        <v>138</v>
      </c>
      <c r="AU2979" s="159" t="s">
        <v>138</v>
      </c>
      <c r="AV2979" s="159" t="s">
        <v>137</v>
      </c>
      <c r="AW2979" s="310" t="s">
        <v>17892</v>
      </c>
      <c r="AX2979" s="159" t="s">
        <v>324</v>
      </c>
      <c r="AY2979" s="61" t="str">
        <f>IFERROR(__xludf.DUMMYFUNCTION("vlookup(BB2979,importrange(""https://docs.google.com/spreadsheets/d/1d2vevQ_7D_v35q4wCQ4RpQ_IPoTwEMB9Yp6ymwlPqew/edit?gid=984458430#gid=984458430"", ""'replication success'!A:K""), 11, FAlSE)"),"#N/A")</f>
        <v>#N/A</v>
      </c>
      <c r="AZ2979" s="61" t="str">
        <f>IFERROR(__xludf.DUMMYFUNCTION("vlookup(BB2979,importrange(""https://docs.google.com/spreadsheets/d/1d2vevQ_7D_v35q4wCQ4RpQ_IPoTwEMB9Yp6ymwlPqew/edit?gid=984458430#gid=984458430"", ""'replication success'!A:M""), 12, FAlSE)"),"#N/A")</f>
        <v>#N/A</v>
      </c>
      <c r="BA2979" s="61" t="str">
        <f>IFERROR(__xludf.DUMMYFUNCTION("vlookup(BB2979,importrange(""https://docs.google.com/spreadsheets/d/1d2vevQ_7D_v35q4wCQ4RpQ_IPoTwEMB9Yp6ymwlPqew/edit?gid=984458430#gid=984458430"", ""'replication success'!A:M""), 13, FAlSE)"),"#N/A")</f>
        <v>#N/A</v>
      </c>
      <c r="BB2979" s="61" t="str">
        <f>IFERROR(__xludf.DUMMYFUNCTION("REGEXREPLACE(G2979, ""_[a-z]{1,2}$"", """")"),"CORE_196")</f>
        <v>CORE_196</v>
      </c>
      <c r="BF2979" s="228"/>
      <c r="BG2979" s="228"/>
      <c r="BH2979" s="228"/>
      <c r="BI2979" s="228"/>
      <c r="BJ2979" s="228"/>
      <c r="BK2979" s="228"/>
      <c r="BL2979" s="228"/>
      <c r="BM2979" s="228"/>
      <c r="BN2979" s="228"/>
      <c r="BO2979" s="228"/>
      <c r="BP2979" s="228"/>
      <c r="BQ2979" s="228"/>
      <c r="BR2979" s="228"/>
      <c r="BS2979" s="228"/>
      <c r="BT2979" s="228"/>
      <c r="BU2979" s="228"/>
      <c r="BV2979" s="228"/>
      <c r="BW2979" s="228"/>
      <c r="BX2979" s="228"/>
      <c r="BY2979" s="228"/>
      <c r="BZ2979" s="228"/>
      <c r="CA2979" s="228"/>
      <c r="CB2979" s="228"/>
      <c r="CC2979" s="228"/>
      <c r="CD2979" s="228"/>
      <c r="CE2979" s="228"/>
      <c r="CF2979" s="228"/>
      <c r="CG2979" s="228"/>
      <c r="CH2979" s="228"/>
      <c r="CI2979" s="228"/>
      <c r="CJ2979" s="228"/>
      <c r="CK2979" s="228"/>
      <c r="CL2979" s="228"/>
      <c r="CM2979" s="228"/>
      <c r="CN2979" s="228"/>
      <c r="CO2979" s="228"/>
      <c r="CP2979" s="228"/>
      <c r="CQ2979" s="228"/>
      <c r="CR2979" s="228"/>
      <c r="CS2979" s="228"/>
      <c r="CT2979" s="228"/>
      <c r="CU2979" s="228"/>
      <c r="CV2979" s="228"/>
      <c r="CW2979" s="228"/>
      <c r="CX2979" s="228"/>
      <c r="CY2979" s="228"/>
      <c r="CZ2979" s="228"/>
      <c r="DA2979" s="228"/>
      <c r="DB2979" s="228"/>
      <c r="DC2979" s="228"/>
      <c r="DD2979" s="228"/>
      <c r="DE2979" s="228"/>
      <c r="DF2979" s="228"/>
      <c r="DG2979" s="228"/>
      <c r="DH2979" s="228"/>
      <c r="DI2979" s="228"/>
      <c r="DJ2979" s="228"/>
      <c r="DK2979" s="228"/>
      <c r="DL2979" s="228"/>
    </row>
    <row r="2980">
      <c r="A2980" s="44">
        <v>2719.0</v>
      </c>
      <c r="B2980" s="129" t="s">
        <v>285</v>
      </c>
      <c r="C2980" s="62" t="s">
        <v>115</v>
      </c>
      <c r="D2980" s="62" t="s">
        <v>2930</v>
      </c>
      <c r="F2980" s="159" t="s">
        <v>17906</v>
      </c>
      <c r="G2980" s="159" t="s">
        <v>17907</v>
      </c>
      <c r="H2980" s="159" t="s">
        <v>17592</v>
      </c>
      <c r="I2980" s="152">
        <v>45802.0</v>
      </c>
      <c r="J2980" s="862"/>
      <c r="K2980" s="159" t="s">
        <v>17718</v>
      </c>
      <c r="L2980" s="68"/>
      <c r="M2980" s="159" t="s">
        <v>17881</v>
      </c>
      <c r="N2980" s="159" t="s">
        <v>17882</v>
      </c>
      <c r="O2980" s="156">
        <v>4.0</v>
      </c>
      <c r="P2980" s="382" t="s">
        <v>17883</v>
      </c>
      <c r="Q2980" s="2418" t="str">
        <f> hyperlink(vlookup(lower(N2980),'File Links'!E:F, 2, FALSE), "LINK")</f>
        <v>LINK</v>
      </c>
      <c r="R2980" s="159" t="s">
        <v>17884</v>
      </c>
      <c r="S2980" s="310" t="s">
        <v>17908</v>
      </c>
      <c r="T2980" s="680" t="s">
        <v>17886</v>
      </c>
      <c r="U2980" s="156">
        <v>4.0</v>
      </c>
      <c r="V2980" s="382" t="s">
        <v>17887</v>
      </c>
      <c r="W2980" s="1231" t="s">
        <v>17597</v>
      </c>
      <c r="X2980" s="2419" t="str">
        <f> hyperlink(vlookup(lower(S2980),'File Links'!E:F, 2, FALSE), "LINK")</f>
        <v>LINK</v>
      </c>
      <c r="Y2980" s="68"/>
      <c r="Z2980" s="159" t="s">
        <v>947</v>
      </c>
      <c r="AA2980" s="159" t="s">
        <v>17888</v>
      </c>
      <c r="AB2980" s="159" t="s">
        <v>17909</v>
      </c>
      <c r="AC2980" s="159" t="s">
        <v>17910</v>
      </c>
      <c r="AD2980" s="159" t="s">
        <v>138</v>
      </c>
      <c r="AE2980" s="159" t="s">
        <v>138</v>
      </c>
      <c r="AF2980" s="156">
        <v>177.0</v>
      </c>
      <c r="AG2980" s="156">
        <v>1.62</v>
      </c>
      <c r="AH2980" s="159" t="s">
        <v>173</v>
      </c>
      <c r="AI2980" s="159" t="s">
        <v>17911</v>
      </c>
      <c r="AJ2980" s="159" t="s">
        <v>138</v>
      </c>
      <c r="AK2980" s="159" t="s">
        <v>138</v>
      </c>
      <c r="AL2980" s="159" t="s">
        <v>138</v>
      </c>
      <c r="AM2980" s="159" t="s">
        <v>137</v>
      </c>
      <c r="AN2980" s="159" t="s">
        <v>138</v>
      </c>
      <c r="AO2980" s="156">
        <v>1009.0</v>
      </c>
      <c r="AP2980" s="156">
        <v>0.32</v>
      </c>
      <c r="AQ2980" s="159" t="s">
        <v>173</v>
      </c>
      <c r="AR2980" s="159" t="s">
        <v>2413</v>
      </c>
      <c r="AS2980" s="159" t="s">
        <v>138</v>
      </c>
      <c r="AT2980" s="159" t="s">
        <v>138</v>
      </c>
      <c r="AU2980" s="159" t="s">
        <v>138</v>
      </c>
      <c r="AV2980" s="159" t="s">
        <v>137</v>
      </c>
      <c r="AW2980" s="310" t="s">
        <v>17892</v>
      </c>
      <c r="AX2980" s="159" t="s">
        <v>324</v>
      </c>
      <c r="AY2980" s="61" t="str">
        <f>IFERROR(__xludf.DUMMYFUNCTION("vlookup(BB2980,importrange(""https://docs.google.com/spreadsheets/d/1d2vevQ_7D_v35q4wCQ4RpQ_IPoTwEMB9Yp6ymwlPqew/edit?gid=984458430#gid=984458430"", ""'replication success'!A:K""), 11, FAlSE)"),"#N/A")</f>
        <v>#N/A</v>
      </c>
      <c r="AZ2980" s="61" t="str">
        <f>IFERROR(__xludf.DUMMYFUNCTION("vlookup(BB2980,importrange(""https://docs.google.com/spreadsheets/d/1d2vevQ_7D_v35q4wCQ4RpQ_IPoTwEMB9Yp6ymwlPqew/edit?gid=984458430#gid=984458430"", ""'replication success'!A:M""), 12, FAlSE)"),"#N/A")</f>
        <v>#N/A</v>
      </c>
      <c r="BA2980" s="61" t="str">
        <f>IFERROR(__xludf.DUMMYFUNCTION("vlookup(BB2980,importrange(""https://docs.google.com/spreadsheets/d/1d2vevQ_7D_v35q4wCQ4RpQ_IPoTwEMB9Yp6ymwlPqew/edit?gid=984458430#gid=984458430"", ""'replication success'!A:M""), 13, FAlSE)"),"#N/A")</f>
        <v>#N/A</v>
      </c>
      <c r="BB2980" s="61" t="str">
        <f>IFERROR(__xludf.DUMMYFUNCTION("REGEXREPLACE(G2980, ""_[a-z]{1,2}$"", """")"),"CORE_197")</f>
        <v>CORE_197</v>
      </c>
      <c r="BF2980" s="228"/>
      <c r="BG2980" s="228"/>
      <c r="BH2980" s="228"/>
      <c r="BI2980" s="228"/>
      <c r="BJ2980" s="228"/>
      <c r="BK2980" s="228"/>
      <c r="BL2980" s="228"/>
      <c r="BM2980" s="228"/>
      <c r="BN2980" s="228"/>
      <c r="BO2980" s="228"/>
      <c r="BP2980" s="228"/>
      <c r="BQ2980" s="228"/>
      <c r="BR2980" s="228"/>
      <c r="BS2980" s="228"/>
      <c r="BT2980" s="228"/>
      <c r="BU2980" s="228"/>
      <c r="BV2980" s="228"/>
      <c r="BW2980" s="228"/>
      <c r="BX2980" s="228"/>
      <c r="BY2980" s="228"/>
      <c r="BZ2980" s="228"/>
      <c r="CA2980" s="228"/>
      <c r="CB2980" s="228"/>
      <c r="CC2980" s="228"/>
      <c r="CD2980" s="228"/>
      <c r="CE2980" s="228"/>
      <c r="CF2980" s="228"/>
      <c r="CG2980" s="228"/>
      <c r="CH2980" s="228"/>
      <c r="CI2980" s="228"/>
      <c r="CJ2980" s="228"/>
      <c r="CK2980" s="228"/>
      <c r="CL2980" s="228"/>
      <c r="CM2980" s="228"/>
      <c r="CN2980" s="228"/>
      <c r="CO2980" s="228"/>
      <c r="CP2980" s="228"/>
      <c r="CQ2980" s="228"/>
      <c r="CR2980" s="228"/>
      <c r="CS2980" s="228"/>
      <c r="CT2980" s="228"/>
      <c r="CU2980" s="228"/>
      <c r="CV2980" s="228"/>
      <c r="CW2980" s="228"/>
      <c r="CX2980" s="228"/>
      <c r="CY2980" s="228"/>
      <c r="CZ2980" s="228"/>
      <c r="DA2980" s="228"/>
      <c r="DB2980" s="228"/>
      <c r="DC2980" s="228"/>
      <c r="DD2980" s="228"/>
      <c r="DE2980" s="228"/>
      <c r="DF2980" s="228"/>
      <c r="DG2980" s="228"/>
      <c r="DH2980" s="228"/>
      <c r="DI2980" s="228"/>
      <c r="DJ2980" s="228"/>
      <c r="DK2980" s="228"/>
      <c r="DL2980" s="228"/>
    </row>
    <row r="2981">
      <c r="A2981" s="44">
        <v>2964.0</v>
      </c>
      <c r="B2981" s="129" t="s">
        <v>285</v>
      </c>
      <c r="C2981" s="62" t="s">
        <v>115</v>
      </c>
      <c r="D2981" s="62" t="s">
        <v>248</v>
      </c>
      <c r="F2981" s="68" t="s">
        <v>17912</v>
      </c>
      <c r="G2981" s="68" t="s">
        <v>17913</v>
      </c>
      <c r="H2981" s="68" t="s">
        <v>249</v>
      </c>
      <c r="I2981" s="529">
        <v>45813.0</v>
      </c>
      <c r="J2981" s="862"/>
      <c r="K2981" s="68" t="s">
        <v>17914</v>
      </c>
      <c r="L2981" s="68"/>
      <c r="M2981" s="68" t="s">
        <v>17915</v>
      </c>
      <c r="N2981" s="68" t="s">
        <v>17916</v>
      </c>
      <c r="O2981" s="68" t="s">
        <v>138</v>
      </c>
      <c r="P2981" s="573" t="s">
        <v>17917</v>
      </c>
      <c r="Q2981" s="2420" t="str">
        <f> hyperlink(vlookup(lower(N2981),'File Links'!E:F, 2, FALSE), "LINK")</f>
        <v>LINK</v>
      </c>
      <c r="R2981" s="68" t="s">
        <v>17918</v>
      </c>
      <c r="S2981" s="2421" t="s">
        <v>138</v>
      </c>
      <c r="T2981" s="435" t="s">
        <v>17919</v>
      </c>
      <c r="U2981" s="68"/>
      <c r="V2981" s="573"/>
      <c r="W2981" s="1228"/>
      <c r="X2981" s="2422" t="s">
        <v>17920</v>
      </c>
      <c r="Y2981" s="68"/>
      <c r="Z2981" s="68" t="s">
        <v>947</v>
      </c>
      <c r="AA2981" s="68" t="s">
        <v>17921</v>
      </c>
      <c r="AB2981" s="68" t="s">
        <v>7291</v>
      </c>
      <c r="AC2981" s="68"/>
      <c r="AD2981" s="68" t="s">
        <v>17922</v>
      </c>
      <c r="AE2981" s="68" t="s">
        <v>507</v>
      </c>
      <c r="AF2981" s="336">
        <v>36.0</v>
      </c>
      <c r="AG2981" s="336">
        <v>0.98</v>
      </c>
      <c r="AH2981" s="68" t="s">
        <v>173</v>
      </c>
      <c r="AI2981" s="68" t="s">
        <v>17923</v>
      </c>
      <c r="AJ2981" s="336">
        <v>0.06</v>
      </c>
      <c r="AK2981" s="68" t="s">
        <v>172</v>
      </c>
      <c r="AL2981" s="68" t="s">
        <v>186</v>
      </c>
      <c r="AM2981" s="68" t="s">
        <v>137</v>
      </c>
      <c r="AN2981" s="68" t="s">
        <v>138</v>
      </c>
      <c r="AO2981" s="336">
        <v>492.0</v>
      </c>
      <c r="AP2981" s="336">
        <v>0.02</v>
      </c>
      <c r="AQ2981" s="68" t="s">
        <v>173</v>
      </c>
      <c r="AR2981" s="68" t="s">
        <v>17924</v>
      </c>
      <c r="AS2981" s="68" t="s">
        <v>138</v>
      </c>
      <c r="AT2981" s="68" t="s">
        <v>172</v>
      </c>
      <c r="AU2981" s="68" t="s">
        <v>186</v>
      </c>
      <c r="AV2981" s="68" t="s">
        <v>137</v>
      </c>
      <c r="AW2981" s="435" t="s">
        <v>17925</v>
      </c>
      <c r="AX2981" s="68" t="s">
        <v>143</v>
      </c>
      <c r="AY2981" s="61" t="str">
        <f>IFERROR(__xludf.DUMMYFUNCTION("vlookup(BB2981,importrange(""https://docs.google.com/spreadsheets/d/1d2vevQ_7D_v35q4wCQ4RpQ_IPoTwEMB9Yp6ymwlPqew/edit?gid=984458430#gid=984458430"", ""'replication success'!A:K""), 11, FAlSE)"),"#N/A")</f>
        <v>#N/A</v>
      </c>
      <c r="AZ2981" s="61" t="str">
        <f>IFERROR(__xludf.DUMMYFUNCTION("vlookup(BB2981,importrange(""https://docs.google.com/spreadsheets/d/1d2vevQ_7D_v35q4wCQ4RpQ_IPoTwEMB9Yp6ymwlPqew/edit?gid=984458430#gid=984458430"", ""'replication success'!A:M""), 12, FAlSE)"),"#N/A")</f>
        <v>#N/A</v>
      </c>
      <c r="BA2981" s="61" t="str">
        <f>IFERROR(__xludf.DUMMYFUNCTION("vlookup(BB2981,importrange(""https://docs.google.com/spreadsheets/d/1d2vevQ_7D_v35q4wCQ4RpQ_IPoTwEMB9Yp6ymwlPqew/edit?gid=984458430#gid=984458430"", ""'replication success'!A:M""), 13, FAlSE)"),"#N/A")</f>
        <v>#N/A</v>
      </c>
      <c r="BB2981" s="61" t="str">
        <f>IFERROR(__xludf.DUMMYFUNCTION("REGEXREPLACE(G2981, ""_[a-z]{1,2}$"", """")"),"CORE_203")</f>
        <v>CORE_203</v>
      </c>
    </row>
    <row r="2982">
      <c r="A2982" s="44">
        <v>2965.0</v>
      </c>
      <c r="B2982" s="129" t="s">
        <v>285</v>
      </c>
      <c r="C2982" s="62" t="s">
        <v>115</v>
      </c>
      <c r="D2982" s="62" t="s">
        <v>248</v>
      </c>
      <c r="F2982" s="68" t="s">
        <v>17912</v>
      </c>
      <c r="G2982" s="68" t="s">
        <v>17926</v>
      </c>
      <c r="H2982" s="68" t="s">
        <v>249</v>
      </c>
      <c r="I2982" s="529">
        <v>45813.0</v>
      </c>
      <c r="J2982" s="862"/>
      <c r="K2982" s="68" t="s">
        <v>17914</v>
      </c>
      <c r="L2982" s="68"/>
      <c r="M2982" s="68" t="s">
        <v>17915</v>
      </c>
      <c r="N2982" s="68" t="s">
        <v>17916</v>
      </c>
      <c r="O2982" s="68" t="s">
        <v>138</v>
      </c>
      <c r="P2982" s="573" t="s">
        <v>17917</v>
      </c>
      <c r="Q2982" s="2420" t="str">
        <f> hyperlink(vlookup(lower(N2982),'File Links'!E:F, 2, FALSE), "LINK")</f>
        <v>LINK</v>
      </c>
      <c r="R2982" s="68" t="s">
        <v>17918</v>
      </c>
      <c r="S2982" s="2421" t="s">
        <v>138</v>
      </c>
      <c r="T2982" s="435" t="s">
        <v>17919</v>
      </c>
      <c r="U2982" s="68"/>
      <c r="V2982" s="573"/>
      <c r="W2982" s="1228"/>
      <c r="X2982" s="2422" t="s">
        <v>17920</v>
      </c>
      <c r="Y2982" s="68"/>
      <c r="Z2982" s="68" t="s">
        <v>947</v>
      </c>
      <c r="AA2982" s="68" t="s">
        <v>17921</v>
      </c>
      <c r="AB2982" s="68" t="s">
        <v>7291</v>
      </c>
      <c r="AC2982" s="68"/>
      <c r="AD2982" s="68" t="s">
        <v>17927</v>
      </c>
      <c r="AE2982" s="68" t="s">
        <v>507</v>
      </c>
      <c r="AF2982" s="336">
        <v>36.0</v>
      </c>
      <c r="AG2982" s="336">
        <v>0.56</v>
      </c>
      <c r="AH2982" s="68" t="s">
        <v>173</v>
      </c>
      <c r="AI2982" s="68" t="s">
        <v>17928</v>
      </c>
      <c r="AJ2982" s="336">
        <v>0.105</v>
      </c>
      <c r="AK2982" s="68" t="s">
        <v>172</v>
      </c>
      <c r="AL2982" s="68" t="s">
        <v>186</v>
      </c>
      <c r="AM2982" s="68" t="s">
        <v>137</v>
      </c>
      <c r="AN2982" s="68" t="s">
        <v>138</v>
      </c>
      <c r="AO2982" s="336">
        <v>492.0</v>
      </c>
      <c r="AP2982" s="336">
        <v>0.04</v>
      </c>
      <c r="AQ2982" s="68" t="s">
        <v>173</v>
      </c>
      <c r="AR2982" s="68" t="s">
        <v>17929</v>
      </c>
      <c r="AS2982" s="68" t="s">
        <v>138</v>
      </c>
      <c r="AT2982" s="68" t="s">
        <v>172</v>
      </c>
      <c r="AU2982" s="68" t="s">
        <v>186</v>
      </c>
      <c r="AV2982" s="68" t="s">
        <v>137</v>
      </c>
      <c r="AW2982" s="435" t="s">
        <v>17925</v>
      </c>
      <c r="AX2982" s="68" t="s">
        <v>143</v>
      </c>
      <c r="AY2982" s="61" t="str">
        <f>IFERROR(__xludf.DUMMYFUNCTION("vlookup(BB2982,importrange(""https://docs.google.com/spreadsheets/d/1d2vevQ_7D_v35q4wCQ4RpQ_IPoTwEMB9Yp6ymwlPqew/edit?gid=984458430#gid=984458430"", ""'replication success'!A:K""), 11, FAlSE)"),"#N/A")</f>
        <v>#N/A</v>
      </c>
      <c r="AZ2982" s="61" t="str">
        <f>IFERROR(__xludf.DUMMYFUNCTION("vlookup(BB2982,importrange(""https://docs.google.com/spreadsheets/d/1d2vevQ_7D_v35q4wCQ4RpQ_IPoTwEMB9Yp6ymwlPqew/edit?gid=984458430#gid=984458430"", ""'replication success'!A:M""), 12, FAlSE)"),"#N/A")</f>
        <v>#N/A</v>
      </c>
      <c r="BA2982" s="61" t="str">
        <f>IFERROR(__xludf.DUMMYFUNCTION("vlookup(BB2982,importrange(""https://docs.google.com/spreadsheets/d/1d2vevQ_7D_v35q4wCQ4RpQ_IPoTwEMB9Yp6ymwlPqew/edit?gid=984458430#gid=984458430"", ""'replication success'!A:M""), 13, FAlSE)"),"#N/A")</f>
        <v>#N/A</v>
      </c>
      <c r="BB2982" s="61" t="str">
        <f>IFERROR(__xludf.DUMMYFUNCTION("REGEXREPLACE(G2982, ""_[a-z]{1,2}$"", """")"),"CORE_203")</f>
        <v>CORE_203</v>
      </c>
    </row>
    <row r="2983">
      <c r="A2983" s="44">
        <v>2966.0</v>
      </c>
      <c r="B2983" s="129" t="s">
        <v>285</v>
      </c>
      <c r="C2983" s="62" t="s">
        <v>115</v>
      </c>
      <c r="D2983" s="62" t="s">
        <v>248</v>
      </c>
      <c r="F2983" s="68" t="s">
        <v>17912</v>
      </c>
      <c r="G2983" s="68" t="s">
        <v>17930</v>
      </c>
      <c r="H2983" s="68" t="s">
        <v>249</v>
      </c>
      <c r="I2983" s="529">
        <v>45813.0</v>
      </c>
      <c r="J2983" s="862"/>
      <c r="K2983" s="68" t="s">
        <v>17914</v>
      </c>
      <c r="L2983" s="68"/>
      <c r="M2983" s="68" t="s">
        <v>17915</v>
      </c>
      <c r="N2983" s="68" t="s">
        <v>17916</v>
      </c>
      <c r="O2983" s="68" t="s">
        <v>138</v>
      </c>
      <c r="P2983" s="573" t="s">
        <v>17917</v>
      </c>
      <c r="Q2983" s="2420" t="str">
        <f> hyperlink(vlookup(lower(N2983),'File Links'!E:F, 2, FALSE), "LINK")</f>
        <v>LINK</v>
      </c>
      <c r="R2983" s="68" t="s">
        <v>17918</v>
      </c>
      <c r="S2983" s="2421" t="s">
        <v>138</v>
      </c>
      <c r="T2983" s="435" t="s">
        <v>17919</v>
      </c>
      <c r="U2983" s="68"/>
      <c r="V2983" s="573"/>
      <c r="W2983" s="1228"/>
      <c r="X2983" s="2422" t="s">
        <v>17920</v>
      </c>
      <c r="Y2983" s="68"/>
      <c r="Z2983" s="68" t="s">
        <v>947</v>
      </c>
      <c r="AA2983" s="68" t="s">
        <v>17921</v>
      </c>
      <c r="AB2983" s="68" t="s">
        <v>7291</v>
      </c>
      <c r="AC2983" s="68"/>
      <c r="AD2983" s="68" t="s">
        <v>17931</v>
      </c>
      <c r="AE2983" s="68" t="s">
        <v>507</v>
      </c>
      <c r="AF2983" s="336">
        <v>36.0</v>
      </c>
      <c r="AG2983" s="336">
        <v>0.86</v>
      </c>
      <c r="AH2983" s="68" t="s">
        <v>987</v>
      </c>
      <c r="AI2983" s="68" t="s">
        <v>17932</v>
      </c>
      <c r="AJ2983" s="336">
        <v>0.001</v>
      </c>
      <c r="AK2983" s="68" t="s">
        <v>135</v>
      </c>
      <c r="AL2983" s="68" t="s">
        <v>186</v>
      </c>
      <c r="AM2983" s="68" t="s">
        <v>137</v>
      </c>
      <c r="AN2983" s="68" t="s">
        <v>138</v>
      </c>
      <c r="AO2983" s="336">
        <v>492.0</v>
      </c>
      <c r="AP2983" s="336">
        <v>-0.3</v>
      </c>
      <c r="AQ2983" s="68" t="s">
        <v>987</v>
      </c>
      <c r="AR2983" s="68" t="s">
        <v>17933</v>
      </c>
      <c r="AS2983" s="336">
        <v>0.001</v>
      </c>
      <c r="AT2983" s="68" t="s">
        <v>135</v>
      </c>
      <c r="AU2983" s="68" t="s">
        <v>186</v>
      </c>
      <c r="AV2983" s="68" t="s">
        <v>141</v>
      </c>
      <c r="AW2983" s="435" t="s">
        <v>17925</v>
      </c>
      <c r="AX2983" s="68" t="s">
        <v>143</v>
      </c>
      <c r="AY2983" s="61" t="str">
        <f>IFERROR(__xludf.DUMMYFUNCTION("vlookup(BB2983,importrange(""https://docs.google.com/spreadsheets/d/1d2vevQ_7D_v35q4wCQ4RpQ_IPoTwEMB9Yp6ymwlPqew/edit?gid=984458430#gid=984458430"", ""'replication success'!A:K""), 11, FAlSE)"),"#N/A")</f>
        <v>#N/A</v>
      </c>
      <c r="AZ2983" s="61" t="str">
        <f>IFERROR(__xludf.DUMMYFUNCTION("vlookup(BB2983,importrange(""https://docs.google.com/spreadsheets/d/1d2vevQ_7D_v35q4wCQ4RpQ_IPoTwEMB9Yp6ymwlPqew/edit?gid=984458430#gid=984458430"", ""'replication success'!A:M""), 12, FAlSE)"),"#N/A")</f>
        <v>#N/A</v>
      </c>
      <c r="BA2983" s="61" t="str">
        <f>IFERROR(__xludf.DUMMYFUNCTION("vlookup(BB2983,importrange(""https://docs.google.com/spreadsheets/d/1d2vevQ_7D_v35q4wCQ4RpQ_IPoTwEMB9Yp6ymwlPqew/edit?gid=984458430#gid=984458430"", ""'replication success'!A:M""), 13, FAlSE)"),"#N/A")</f>
        <v>#N/A</v>
      </c>
      <c r="BB2983" s="61" t="str">
        <f>IFERROR(__xludf.DUMMYFUNCTION("REGEXREPLACE(G2983, ""_[a-z]{1,2}$"", """")"),"CORE_203")</f>
        <v>CORE_203</v>
      </c>
    </row>
    <row r="2984">
      <c r="A2984" s="44">
        <v>2967.0</v>
      </c>
      <c r="B2984" s="129" t="s">
        <v>285</v>
      </c>
      <c r="C2984" s="62" t="s">
        <v>115</v>
      </c>
      <c r="D2984" s="62" t="s">
        <v>248</v>
      </c>
      <c r="F2984" s="68" t="s">
        <v>17912</v>
      </c>
      <c r="G2984" s="68" t="s">
        <v>17934</v>
      </c>
      <c r="H2984" s="68" t="s">
        <v>249</v>
      </c>
      <c r="I2984" s="529">
        <v>45813.0</v>
      </c>
      <c r="J2984" s="862"/>
      <c r="K2984" s="68" t="s">
        <v>17914</v>
      </c>
      <c r="L2984" s="68"/>
      <c r="M2984" s="68" t="s">
        <v>17915</v>
      </c>
      <c r="N2984" s="68" t="s">
        <v>17916</v>
      </c>
      <c r="O2984" s="68" t="s">
        <v>138</v>
      </c>
      <c r="P2984" s="573" t="s">
        <v>17917</v>
      </c>
      <c r="Q2984" s="2375" t="str">
        <f> hyperlink(vlookup(lower(N2984),'File Links'!E:F, 2, FALSE), "LINK")</f>
        <v>LINK</v>
      </c>
      <c r="R2984" s="68" t="s">
        <v>17918</v>
      </c>
      <c r="S2984" s="2421" t="s">
        <v>138</v>
      </c>
      <c r="T2984" s="435" t="s">
        <v>17919</v>
      </c>
      <c r="U2984" s="68"/>
      <c r="V2984" s="573"/>
      <c r="W2984" s="1228"/>
      <c r="X2984" s="2423" t="s">
        <v>17920</v>
      </c>
      <c r="Y2984" s="68"/>
      <c r="Z2984" s="68" t="s">
        <v>947</v>
      </c>
      <c r="AA2984" s="68" t="s">
        <v>17921</v>
      </c>
      <c r="AB2984" s="68" t="s">
        <v>7291</v>
      </c>
      <c r="AC2984" s="68"/>
      <c r="AD2984" s="68" t="s">
        <v>17935</v>
      </c>
      <c r="AE2984" s="68" t="s">
        <v>507</v>
      </c>
      <c r="AF2984" s="336">
        <v>36.0</v>
      </c>
      <c r="AG2984" s="336">
        <v>0.44</v>
      </c>
      <c r="AH2984" s="68" t="s">
        <v>987</v>
      </c>
      <c r="AI2984" s="68" t="s">
        <v>17936</v>
      </c>
      <c r="AJ2984" s="336">
        <v>0.29</v>
      </c>
      <c r="AK2984" s="68" t="s">
        <v>172</v>
      </c>
      <c r="AL2984" s="68" t="s">
        <v>186</v>
      </c>
      <c r="AM2984" s="68" t="s">
        <v>137</v>
      </c>
      <c r="AN2984" s="68" t="s">
        <v>138</v>
      </c>
      <c r="AO2984" s="336">
        <v>492.0</v>
      </c>
      <c r="AP2984" s="336">
        <v>7.12</v>
      </c>
      <c r="AQ2984" s="68" t="s">
        <v>987</v>
      </c>
      <c r="AR2984" s="68" t="s">
        <v>17937</v>
      </c>
      <c r="AS2984" s="336">
        <v>0.867</v>
      </c>
      <c r="AT2984" s="68" t="s">
        <v>172</v>
      </c>
      <c r="AU2984" s="68" t="s">
        <v>186</v>
      </c>
      <c r="AV2984" s="68" t="s">
        <v>141</v>
      </c>
      <c r="AW2984" s="435" t="s">
        <v>17925</v>
      </c>
      <c r="AX2984" s="68" t="s">
        <v>143</v>
      </c>
      <c r="AY2984" s="61" t="str">
        <f>IFERROR(__xludf.DUMMYFUNCTION("vlookup(BB2984,importrange(""https://docs.google.com/spreadsheets/d/1d2vevQ_7D_v35q4wCQ4RpQ_IPoTwEMB9Yp6ymwlPqew/edit?gid=984458430#gid=984458430"", ""'replication success'!A:K""), 11, FAlSE)"),"#N/A")</f>
        <v>#N/A</v>
      </c>
      <c r="AZ2984" s="61" t="str">
        <f>IFERROR(__xludf.DUMMYFUNCTION("vlookup(BB2984,importrange(""https://docs.google.com/spreadsheets/d/1d2vevQ_7D_v35q4wCQ4RpQ_IPoTwEMB9Yp6ymwlPqew/edit?gid=984458430#gid=984458430"", ""'replication success'!A:M""), 12, FAlSE)"),"#N/A")</f>
        <v>#N/A</v>
      </c>
      <c r="BA2984" s="61" t="str">
        <f>IFERROR(__xludf.DUMMYFUNCTION("vlookup(BB2984,importrange(""https://docs.google.com/spreadsheets/d/1d2vevQ_7D_v35q4wCQ4RpQ_IPoTwEMB9Yp6ymwlPqew/edit?gid=984458430#gid=984458430"", ""'replication success'!A:M""), 13, FAlSE)"),"#N/A")</f>
        <v>#N/A</v>
      </c>
      <c r="BB2984" s="61" t="str">
        <f>IFERROR(__xludf.DUMMYFUNCTION("REGEXREPLACE(G2984, ""_[a-z]{1,2}$"", """")"),"CORE_203")</f>
        <v>CORE_203</v>
      </c>
      <c r="BF2984" s="1064"/>
      <c r="BG2984" s="1064"/>
      <c r="BH2984" s="1064"/>
      <c r="BI2984" s="1064"/>
      <c r="BJ2984" s="1064"/>
      <c r="BK2984" s="1064"/>
      <c r="BL2984" s="1064"/>
      <c r="BM2984" s="1064"/>
      <c r="BN2984" s="1064"/>
      <c r="BO2984" s="1064"/>
      <c r="BP2984" s="1064"/>
      <c r="BQ2984" s="1064"/>
      <c r="BR2984" s="1064"/>
      <c r="BS2984" s="1064"/>
      <c r="BT2984" s="1064"/>
      <c r="BU2984" s="1064"/>
      <c r="BV2984" s="1064"/>
      <c r="BW2984" s="1064"/>
      <c r="BX2984" s="1064"/>
      <c r="BY2984" s="1064"/>
      <c r="BZ2984" s="1064"/>
      <c r="CA2984" s="1064"/>
      <c r="CB2984" s="1064"/>
      <c r="CC2984" s="1064"/>
      <c r="CD2984" s="1064"/>
      <c r="CE2984" s="1064"/>
      <c r="CF2984" s="1064"/>
      <c r="CG2984" s="1064"/>
      <c r="CH2984" s="1064"/>
      <c r="CI2984" s="1064"/>
      <c r="CJ2984" s="1064"/>
      <c r="CK2984" s="1064"/>
      <c r="CL2984" s="1064"/>
      <c r="CM2984" s="1064"/>
      <c r="CN2984" s="1064"/>
      <c r="CO2984" s="1064"/>
      <c r="CP2984" s="1064"/>
      <c r="CQ2984" s="1064"/>
      <c r="CR2984" s="1064"/>
      <c r="CS2984" s="1064"/>
      <c r="CT2984" s="1064"/>
      <c r="CU2984" s="1064"/>
      <c r="CV2984" s="1064"/>
      <c r="CW2984" s="1064"/>
      <c r="CX2984" s="1064"/>
      <c r="CY2984" s="1064"/>
      <c r="CZ2984" s="1064"/>
      <c r="DA2984" s="1064"/>
      <c r="DB2984" s="1064"/>
      <c r="DC2984" s="1064"/>
      <c r="DD2984" s="1064"/>
      <c r="DE2984" s="1064"/>
      <c r="DF2984" s="1064"/>
      <c r="DG2984" s="1064"/>
      <c r="DH2984" s="1064"/>
      <c r="DI2984" s="1064"/>
      <c r="DJ2984" s="1064"/>
      <c r="DK2984" s="1064"/>
      <c r="DL2984" s="1064"/>
    </row>
    <row r="2985">
      <c r="A2985" s="44">
        <v>2968.0</v>
      </c>
      <c r="B2985" s="129" t="s">
        <v>285</v>
      </c>
      <c r="C2985" s="62" t="s">
        <v>115</v>
      </c>
      <c r="D2985" s="62" t="s">
        <v>248</v>
      </c>
      <c r="F2985" s="68" t="s">
        <v>17912</v>
      </c>
      <c r="G2985" s="68" t="s">
        <v>17938</v>
      </c>
      <c r="H2985" s="68" t="s">
        <v>249</v>
      </c>
      <c r="I2985" s="529">
        <v>45813.0</v>
      </c>
      <c r="J2985" s="862"/>
      <c r="K2985" s="68" t="s">
        <v>17939</v>
      </c>
      <c r="L2985" s="68"/>
      <c r="M2985" s="68" t="s">
        <v>17915</v>
      </c>
      <c r="N2985" s="68" t="s">
        <v>17916</v>
      </c>
      <c r="O2985" s="68" t="s">
        <v>138</v>
      </c>
      <c r="P2985" s="573" t="s">
        <v>17917</v>
      </c>
      <c r="Q2985" s="2375" t="str">
        <f> hyperlink(vlookup(lower(N2985),'File Links'!E:F, 2, FALSE), "LINK")</f>
        <v>LINK</v>
      </c>
      <c r="R2985" s="68" t="s">
        <v>17918</v>
      </c>
      <c r="S2985" s="2421" t="s">
        <v>138</v>
      </c>
      <c r="T2985" s="435" t="s">
        <v>17919</v>
      </c>
      <c r="U2985" s="68"/>
      <c r="V2985" s="573"/>
      <c r="W2985" s="1228"/>
      <c r="X2985" s="2423" t="s">
        <v>17920</v>
      </c>
      <c r="Y2985" s="68"/>
      <c r="Z2985" s="68" t="s">
        <v>947</v>
      </c>
      <c r="AA2985" s="68" t="s">
        <v>17921</v>
      </c>
      <c r="AB2985" s="68" t="s">
        <v>7291</v>
      </c>
      <c r="AC2985" s="68"/>
      <c r="AD2985" s="68" t="s">
        <v>17940</v>
      </c>
      <c r="AE2985" s="68" t="s">
        <v>496</v>
      </c>
      <c r="AF2985" s="336">
        <v>49.0</v>
      </c>
      <c r="AG2985" s="336">
        <v>0.66</v>
      </c>
      <c r="AH2985" s="68" t="s">
        <v>173</v>
      </c>
      <c r="AI2985" s="68" t="s">
        <v>17941</v>
      </c>
      <c r="AJ2985" s="336">
        <v>0.027</v>
      </c>
      <c r="AK2985" s="68" t="s">
        <v>172</v>
      </c>
      <c r="AL2985" s="68" t="s">
        <v>186</v>
      </c>
      <c r="AM2985" s="68" t="s">
        <v>137</v>
      </c>
      <c r="AN2985" s="68" t="s">
        <v>138</v>
      </c>
      <c r="AO2985" s="336">
        <v>221.0</v>
      </c>
      <c r="AP2985" s="336">
        <v>0.46</v>
      </c>
      <c r="AQ2985" s="68" t="s">
        <v>173</v>
      </c>
      <c r="AR2985" s="68" t="s">
        <v>17942</v>
      </c>
      <c r="AS2985" s="68" t="s">
        <v>138</v>
      </c>
      <c r="AT2985" s="68" t="s">
        <v>172</v>
      </c>
      <c r="AU2985" s="68" t="s">
        <v>186</v>
      </c>
      <c r="AV2985" s="68" t="s">
        <v>137</v>
      </c>
      <c r="AW2985" s="435" t="s">
        <v>17925</v>
      </c>
      <c r="AX2985" s="68" t="s">
        <v>143</v>
      </c>
      <c r="AY2985" s="61" t="str">
        <f>IFERROR(__xludf.DUMMYFUNCTION("vlookup(BB2985,importrange(""https://docs.google.com/spreadsheets/d/1d2vevQ_7D_v35q4wCQ4RpQ_IPoTwEMB9Yp6ymwlPqew/edit?gid=984458430#gid=984458430"", ""'replication success'!A:K""), 11, FAlSE)"),"#N/A")</f>
        <v>#N/A</v>
      </c>
      <c r="AZ2985" s="61" t="str">
        <f>IFERROR(__xludf.DUMMYFUNCTION("vlookup(BB2985,importrange(""https://docs.google.com/spreadsheets/d/1d2vevQ_7D_v35q4wCQ4RpQ_IPoTwEMB9Yp6ymwlPqew/edit?gid=984458430#gid=984458430"", ""'replication success'!A:M""), 12, FAlSE)"),"#N/A")</f>
        <v>#N/A</v>
      </c>
      <c r="BA2985" s="61" t="str">
        <f>IFERROR(__xludf.DUMMYFUNCTION("vlookup(BB2985,importrange(""https://docs.google.com/spreadsheets/d/1d2vevQ_7D_v35q4wCQ4RpQ_IPoTwEMB9Yp6ymwlPqew/edit?gid=984458430#gid=984458430"", ""'replication success'!A:M""), 13, FAlSE)"),"#N/A")</f>
        <v>#N/A</v>
      </c>
      <c r="BB2985" s="61" t="str">
        <f>IFERROR(__xludf.DUMMYFUNCTION("REGEXREPLACE(G2985, ""_[a-z]{1,2}$"", """")"),"CORE_203")</f>
        <v>CORE_203</v>
      </c>
      <c r="BF2985" s="1123"/>
      <c r="BG2985" s="1123"/>
      <c r="BH2985" s="1123"/>
      <c r="BI2985" s="1123"/>
      <c r="BJ2985" s="1123"/>
      <c r="BK2985" s="1123"/>
      <c r="BL2985" s="1123"/>
      <c r="BM2985" s="1123"/>
      <c r="BN2985" s="1123"/>
      <c r="BO2985" s="1123"/>
      <c r="BP2985" s="1123"/>
      <c r="BQ2985" s="1123"/>
      <c r="BR2985" s="1123"/>
      <c r="BS2985" s="1123"/>
      <c r="BT2985" s="1123"/>
      <c r="BU2985" s="1123"/>
      <c r="BV2985" s="1123"/>
      <c r="BW2985" s="1123"/>
      <c r="BX2985" s="1123"/>
      <c r="BY2985" s="1123"/>
      <c r="BZ2985" s="1123"/>
      <c r="CA2985" s="1123"/>
      <c r="CB2985" s="1123"/>
      <c r="CC2985" s="1123"/>
      <c r="CD2985" s="1123"/>
      <c r="CE2985" s="1123"/>
      <c r="CF2985" s="1123"/>
      <c r="CG2985" s="1123"/>
      <c r="CH2985" s="1123"/>
      <c r="CI2985" s="1123"/>
      <c r="CJ2985" s="1123"/>
      <c r="CK2985" s="1123"/>
      <c r="CL2985" s="1123"/>
      <c r="CM2985" s="1123"/>
      <c r="CN2985" s="1123"/>
      <c r="CO2985" s="1123"/>
      <c r="CP2985" s="1123"/>
      <c r="CQ2985" s="1123"/>
      <c r="CR2985" s="1123"/>
      <c r="CS2985" s="1123"/>
      <c r="CT2985" s="1123"/>
      <c r="CU2985" s="1123"/>
      <c r="CV2985" s="1123"/>
      <c r="CW2985" s="1123"/>
      <c r="CX2985" s="1123"/>
      <c r="CY2985" s="1123"/>
      <c r="CZ2985" s="1123"/>
      <c r="DA2985" s="1123"/>
      <c r="DB2985" s="1123"/>
      <c r="DC2985" s="1123"/>
      <c r="DD2985" s="1123"/>
      <c r="DE2985" s="1123"/>
      <c r="DF2985" s="1123"/>
      <c r="DG2985" s="1123"/>
      <c r="DH2985" s="1123"/>
      <c r="DI2985" s="1123"/>
      <c r="DJ2985" s="1123"/>
      <c r="DK2985" s="1123"/>
      <c r="DL2985" s="1123"/>
    </row>
    <row r="2986">
      <c r="A2986" s="44">
        <v>2969.0</v>
      </c>
      <c r="B2986" s="129" t="s">
        <v>285</v>
      </c>
      <c r="C2986" s="62" t="s">
        <v>115</v>
      </c>
      <c r="D2986" s="62" t="s">
        <v>248</v>
      </c>
      <c r="F2986" s="68" t="s">
        <v>17912</v>
      </c>
      <c r="G2986" s="68" t="s">
        <v>17943</v>
      </c>
      <c r="H2986" s="68" t="s">
        <v>249</v>
      </c>
      <c r="I2986" s="529">
        <v>45813.0</v>
      </c>
      <c r="J2986" s="862"/>
      <c r="K2986" s="68" t="s">
        <v>17939</v>
      </c>
      <c r="L2986" s="68"/>
      <c r="M2986" s="68" t="s">
        <v>17915</v>
      </c>
      <c r="N2986" s="68" t="s">
        <v>17916</v>
      </c>
      <c r="O2986" s="68" t="s">
        <v>138</v>
      </c>
      <c r="P2986" s="573" t="s">
        <v>17917</v>
      </c>
      <c r="Q2986" s="2375" t="str">
        <f> hyperlink(vlookup(lower(N2986),'File Links'!E:F, 2, FALSE), "LINK")</f>
        <v>LINK</v>
      </c>
      <c r="R2986" s="68" t="s">
        <v>17918</v>
      </c>
      <c r="S2986" s="2421" t="s">
        <v>138</v>
      </c>
      <c r="T2986" s="435" t="s">
        <v>17919</v>
      </c>
      <c r="U2986" s="68"/>
      <c r="V2986" s="573"/>
      <c r="W2986" s="1228"/>
      <c r="X2986" s="2423" t="s">
        <v>17920</v>
      </c>
      <c r="Y2986" s="68"/>
      <c r="Z2986" s="68" t="s">
        <v>947</v>
      </c>
      <c r="AA2986" s="68" t="s">
        <v>17921</v>
      </c>
      <c r="AB2986" s="68" t="s">
        <v>7291</v>
      </c>
      <c r="AC2986" s="68"/>
      <c r="AD2986" s="68" t="s">
        <v>17944</v>
      </c>
      <c r="AE2986" s="68" t="s">
        <v>496</v>
      </c>
      <c r="AF2986" s="336">
        <v>49.0</v>
      </c>
      <c r="AG2986" s="336">
        <v>0.24</v>
      </c>
      <c r="AH2986" s="68" t="s">
        <v>173</v>
      </c>
      <c r="AI2986" s="68" t="s">
        <v>17945</v>
      </c>
      <c r="AJ2986" s="336">
        <v>0.416</v>
      </c>
      <c r="AK2986" s="68" t="s">
        <v>172</v>
      </c>
      <c r="AL2986" s="68" t="s">
        <v>186</v>
      </c>
      <c r="AM2986" s="68" t="s">
        <v>137</v>
      </c>
      <c r="AN2986" s="68" t="s">
        <v>138</v>
      </c>
      <c r="AO2986" s="336">
        <v>221.0</v>
      </c>
      <c r="AP2986" s="336">
        <v>0.19</v>
      </c>
      <c r="AQ2986" s="68" t="s">
        <v>173</v>
      </c>
      <c r="AR2986" s="68" t="s">
        <v>17946</v>
      </c>
      <c r="AS2986" s="68" t="s">
        <v>138</v>
      </c>
      <c r="AT2986" s="68" t="s">
        <v>172</v>
      </c>
      <c r="AU2986" s="68" t="s">
        <v>186</v>
      </c>
      <c r="AV2986" s="68" t="s">
        <v>137</v>
      </c>
      <c r="AW2986" s="435" t="s">
        <v>17925</v>
      </c>
      <c r="AX2986" s="68" t="s">
        <v>143</v>
      </c>
      <c r="AY2986" s="61" t="str">
        <f>IFERROR(__xludf.DUMMYFUNCTION("vlookup(BB2986,importrange(""https://docs.google.com/spreadsheets/d/1d2vevQ_7D_v35q4wCQ4RpQ_IPoTwEMB9Yp6ymwlPqew/edit?gid=984458430#gid=984458430"", ""'replication success'!A:K""), 11, FAlSE)"),"#N/A")</f>
        <v>#N/A</v>
      </c>
      <c r="AZ2986" s="61" t="str">
        <f>IFERROR(__xludf.DUMMYFUNCTION("vlookup(BB2986,importrange(""https://docs.google.com/spreadsheets/d/1d2vevQ_7D_v35q4wCQ4RpQ_IPoTwEMB9Yp6ymwlPqew/edit?gid=984458430#gid=984458430"", ""'replication success'!A:M""), 12, FAlSE)"),"#N/A")</f>
        <v>#N/A</v>
      </c>
      <c r="BA2986" s="61" t="str">
        <f>IFERROR(__xludf.DUMMYFUNCTION("vlookup(BB2986,importrange(""https://docs.google.com/spreadsheets/d/1d2vevQ_7D_v35q4wCQ4RpQ_IPoTwEMB9Yp6ymwlPqew/edit?gid=984458430#gid=984458430"", ""'replication success'!A:M""), 13, FAlSE)"),"#N/A")</f>
        <v>#N/A</v>
      </c>
      <c r="BB2986" s="61" t="str">
        <f>IFERROR(__xludf.DUMMYFUNCTION("REGEXREPLACE(G2986, ""_[a-z]{1,2}$"", """")"),"CORE_203")</f>
        <v>CORE_203</v>
      </c>
    </row>
    <row r="2987">
      <c r="A2987" s="44">
        <v>2970.0</v>
      </c>
      <c r="B2987" s="129" t="s">
        <v>285</v>
      </c>
      <c r="C2987" s="62" t="s">
        <v>115</v>
      </c>
      <c r="D2987" s="62" t="s">
        <v>248</v>
      </c>
      <c r="F2987" s="68" t="s">
        <v>17912</v>
      </c>
      <c r="G2987" s="68" t="s">
        <v>17947</v>
      </c>
      <c r="H2987" s="68" t="s">
        <v>249</v>
      </c>
      <c r="I2987" s="529">
        <v>45813.0</v>
      </c>
      <c r="J2987" s="862"/>
      <c r="K2987" s="68" t="s">
        <v>17939</v>
      </c>
      <c r="L2987" s="68"/>
      <c r="M2987" s="68" t="s">
        <v>17915</v>
      </c>
      <c r="N2987" s="68" t="s">
        <v>17916</v>
      </c>
      <c r="O2987" s="68" t="s">
        <v>138</v>
      </c>
      <c r="P2987" s="573" t="s">
        <v>17917</v>
      </c>
      <c r="Q2987" s="2375" t="str">
        <f> hyperlink(vlookup(lower(N2987),'File Links'!E:F, 2, FALSE), "LINK")</f>
        <v>LINK</v>
      </c>
      <c r="R2987" s="68" t="s">
        <v>17918</v>
      </c>
      <c r="S2987" s="2421" t="s">
        <v>138</v>
      </c>
      <c r="T2987" s="435" t="s">
        <v>17919</v>
      </c>
      <c r="U2987" s="68"/>
      <c r="V2987" s="573"/>
      <c r="W2987" s="1228"/>
      <c r="X2987" s="2423" t="s">
        <v>17920</v>
      </c>
      <c r="Y2987" s="68"/>
      <c r="Z2987" s="68" t="s">
        <v>947</v>
      </c>
      <c r="AA2987" s="68" t="s">
        <v>17921</v>
      </c>
      <c r="AB2987" s="68" t="s">
        <v>7291</v>
      </c>
      <c r="AC2987" s="68"/>
      <c r="AD2987" s="68" t="s">
        <v>17948</v>
      </c>
      <c r="AE2987" s="68" t="s">
        <v>496</v>
      </c>
      <c r="AF2987" s="336">
        <v>49.0</v>
      </c>
      <c r="AG2987" s="336">
        <v>1.29</v>
      </c>
      <c r="AH2987" s="68" t="s">
        <v>173</v>
      </c>
      <c r="AI2987" s="68" t="s">
        <v>17949</v>
      </c>
      <c r="AJ2987" s="336">
        <v>0.001</v>
      </c>
      <c r="AK2987" s="68" t="s">
        <v>135</v>
      </c>
      <c r="AL2987" s="68" t="s">
        <v>186</v>
      </c>
      <c r="AM2987" s="68" t="s">
        <v>137</v>
      </c>
      <c r="AN2987" s="68" t="s">
        <v>138</v>
      </c>
      <c r="AO2987" s="336">
        <v>221.0</v>
      </c>
      <c r="AP2987" s="336">
        <v>0.36</v>
      </c>
      <c r="AQ2987" s="68" t="s">
        <v>987</v>
      </c>
      <c r="AR2987" s="68" t="s">
        <v>17950</v>
      </c>
      <c r="AS2987" s="336">
        <v>0.001</v>
      </c>
      <c r="AT2987" s="68" t="s">
        <v>135</v>
      </c>
      <c r="AU2987" s="68" t="s">
        <v>186</v>
      </c>
      <c r="AV2987" s="68" t="s">
        <v>141</v>
      </c>
      <c r="AW2987" s="435" t="s">
        <v>17925</v>
      </c>
      <c r="AX2987" s="68" t="s">
        <v>143</v>
      </c>
      <c r="AY2987" s="61" t="str">
        <f>IFERROR(__xludf.DUMMYFUNCTION("vlookup(BB2987,importrange(""https://docs.google.com/spreadsheets/d/1d2vevQ_7D_v35q4wCQ4RpQ_IPoTwEMB9Yp6ymwlPqew/edit?gid=984458430#gid=984458430"", ""'replication success'!A:K""), 11, FAlSE)"),"#N/A")</f>
        <v>#N/A</v>
      </c>
      <c r="AZ2987" s="61" t="str">
        <f>IFERROR(__xludf.DUMMYFUNCTION("vlookup(BB2987,importrange(""https://docs.google.com/spreadsheets/d/1d2vevQ_7D_v35q4wCQ4RpQ_IPoTwEMB9Yp6ymwlPqew/edit?gid=984458430#gid=984458430"", ""'replication success'!A:M""), 12, FAlSE)"),"#N/A")</f>
        <v>#N/A</v>
      </c>
      <c r="BA2987" s="61" t="str">
        <f>IFERROR(__xludf.DUMMYFUNCTION("vlookup(BB2987,importrange(""https://docs.google.com/spreadsheets/d/1d2vevQ_7D_v35q4wCQ4RpQ_IPoTwEMB9Yp6ymwlPqew/edit?gid=984458430#gid=984458430"", ""'replication success'!A:M""), 13, FAlSE)"),"#N/A")</f>
        <v>#N/A</v>
      </c>
      <c r="BB2987" s="61" t="str">
        <f>IFERROR(__xludf.DUMMYFUNCTION("REGEXREPLACE(G2987, ""_[a-z]{1,2}$"", """")"),"CORE_203")</f>
        <v>CORE_203</v>
      </c>
      <c r="BF2987" s="1123"/>
      <c r="BG2987" s="1123"/>
      <c r="BH2987" s="1123"/>
      <c r="BI2987" s="1123"/>
      <c r="BJ2987" s="1123"/>
      <c r="BK2987" s="1123"/>
      <c r="BL2987" s="1123"/>
      <c r="BM2987" s="1123"/>
      <c r="BN2987" s="1123"/>
      <c r="BO2987" s="1123"/>
      <c r="BP2987" s="1123"/>
      <c r="BQ2987" s="1123"/>
      <c r="BR2987" s="1123"/>
      <c r="BS2987" s="1123"/>
      <c r="BT2987" s="1123"/>
      <c r="BU2987" s="1123"/>
      <c r="BV2987" s="1123"/>
      <c r="BW2987" s="1123"/>
      <c r="BX2987" s="1123"/>
      <c r="BY2987" s="1123"/>
      <c r="BZ2987" s="1123"/>
      <c r="CA2987" s="1123"/>
      <c r="CB2987" s="1123"/>
      <c r="CC2987" s="1123"/>
      <c r="CD2987" s="1123"/>
      <c r="CE2987" s="1123"/>
      <c r="CF2987" s="1123"/>
      <c r="CG2987" s="1123"/>
      <c r="CH2987" s="1123"/>
      <c r="CI2987" s="1123"/>
      <c r="CJ2987" s="1123"/>
      <c r="CK2987" s="1123"/>
      <c r="CL2987" s="1123"/>
      <c r="CM2987" s="1123"/>
      <c r="CN2987" s="1123"/>
      <c r="CO2987" s="1123"/>
      <c r="CP2987" s="1123"/>
      <c r="CQ2987" s="1123"/>
      <c r="CR2987" s="1123"/>
      <c r="CS2987" s="1123"/>
      <c r="CT2987" s="1123"/>
      <c r="CU2987" s="1123"/>
      <c r="CV2987" s="1123"/>
      <c r="CW2987" s="1123"/>
      <c r="CX2987" s="1123"/>
      <c r="CY2987" s="1123"/>
      <c r="CZ2987" s="1123"/>
      <c r="DA2987" s="1123"/>
      <c r="DB2987" s="1123"/>
      <c r="DC2987" s="1123"/>
      <c r="DD2987" s="1123"/>
      <c r="DE2987" s="1123"/>
      <c r="DF2987" s="1123"/>
      <c r="DG2987" s="1123"/>
      <c r="DH2987" s="1123"/>
      <c r="DI2987" s="1123"/>
      <c r="DJ2987" s="1123"/>
      <c r="DK2987" s="1123"/>
      <c r="DL2987" s="1123"/>
    </row>
    <row r="2988">
      <c r="A2988" s="44">
        <v>2971.0</v>
      </c>
      <c r="B2988" s="129" t="s">
        <v>285</v>
      </c>
      <c r="C2988" s="62" t="s">
        <v>115</v>
      </c>
      <c r="D2988" s="62" t="s">
        <v>248</v>
      </c>
      <c r="F2988" s="68" t="s">
        <v>17912</v>
      </c>
      <c r="G2988" s="68" t="s">
        <v>17951</v>
      </c>
      <c r="H2988" s="68" t="s">
        <v>249</v>
      </c>
      <c r="I2988" s="529">
        <v>45813.0</v>
      </c>
      <c r="J2988" s="862"/>
      <c r="K2988" s="68" t="s">
        <v>17939</v>
      </c>
      <c r="L2988" s="68"/>
      <c r="M2988" s="68" t="s">
        <v>17915</v>
      </c>
      <c r="N2988" s="68" t="s">
        <v>17916</v>
      </c>
      <c r="O2988" s="68" t="s">
        <v>138</v>
      </c>
      <c r="P2988" s="573" t="s">
        <v>17917</v>
      </c>
      <c r="Q2988" s="2375" t="str">
        <f> hyperlink(vlookup(lower(N2988),'File Links'!E:F, 2, FALSE), "LINK")</f>
        <v>LINK</v>
      </c>
      <c r="R2988" s="68" t="s">
        <v>17918</v>
      </c>
      <c r="S2988" s="2421" t="s">
        <v>138</v>
      </c>
      <c r="T2988" s="435" t="s">
        <v>17919</v>
      </c>
      <c r="U2988" s="68"/>
      <c r="V2988" s="573"/>
      <c r="W2988" s="1228"/>
      <c r="X2988" s="2423" t="s">
        <v>17920</v>
      </c>
      <c r="Y2988" s="68"/>
      <c r="Z2988" s="68" t="s">
        <v>947</v>
      </c>
      <c r="AA2988" s="68" t="s">
        <v>17921</v>
      </c>
      <c r="AB2988" s="68" t="s">
        <v>7291</v>
      </c>
      <c r="AC2988" s="68"/>
      <c r="AD2988" s="68" t="s">
        <v>17952</v>
      </c>
      <c r="AE2988" s="68" t="s">
        <v>496</v>
      </c>
      <c r="AF2988" s="336">
        <v>49.0</v>
      </c>
      <c r="AG2988" s="336">
        <v>0.63</v>
      </c>
      <c r="AH2988" s="68" t="s">
        <v>173</v>
      </c>
      <c r="AI2988" s="68" t="s">
        <v>17953</v>
      </c>
      <c r="AJ2988" s="336">
        <v>0.037</v>
      </c>
      <c r="AK2988" s="68" t="s">
        <v>172</v>
      </c>
      <c r="AL2988" s="68" t="s">
        <v>186</v>
      </c>
      <c r="AM2988" s="68" t="s">
        <v>137</v>
      </c>
      <c r="AN2988" s="68" t="s">
        <v>138</v>
      </c>
      <c r="AO2988" s="336">
        <v>221.0</v>
      </c>
      <c r="AP2988" s="336">
        <v>4.51</v>
      </c>
      <c r="AQ2988" s="68" t="s">
        <v>987</v>
      </c>
      <c r="AR2988" s="68" t="s">
        <v>17954</v>
      </c>
      <c r="AS2988" s="336">
        <v>0.001</v>
      </c>
      <c r="AT2988" s="68" t="s">
        <v>135</v>
      </c>
      <c r="AU2988" s="68" t="s">
        <v>186</v>
      </c>
      <c r="AV2988" s="68" t="s">
        <v>141</v>
      </c>
      <c r="AW2988" s="435" t="s">
        <v>17925</v>
      </c>
      <c r="AX2988" s="68" t="s">
        <v>143</v>
      </c>
      <c r="AY2988" s="61" t="str">
        <f>IFERROR(__xludf.DUMMYFUNCTION("vlookup(BB2988,importrange(""https://docs.google.com/spreadsheets/d/1d2vevQ_7D_v35q4wCQ4RpQ_IPoTwEMB9Yp6ymwlPqew/edit?gid=984458430#gid=984458430"", ""'replication success'!A:K""), 11, FAlSE)"),"#N/A")</f>
        <v>#N/A</v>
      </c>
      <c r="AZ2988" s="61" t="str">
        <f>IFERROR(__xludf.DUMMYFUNCTION("vlookup(BB2988,importrange(""https://docs.google.com/spreadsheets/d/1d2vevQ_7D_v35q4wCQ4RpQ_IPoTwEMB9Yp6ymwlPqew/edit?gid=984458430#gid=984458430"", ""'replication success'!A:M""), 12, FAlSE)"),"#N/A")</f>
        <v>#N/A</v>
      </c>
      <c r="BA2988" s="61" t="str">
        <f>IFERROR(__xludf.DUMMYFUNCTION("vlookup(BB2988,importrange(""https://docs.google.com/spreadsheets/d/1d2vevQ_7D_v35q4wCQ4RpQ_IPoTwEMB9Yp6ymwlPqew/edit?gid=984458430#gid=984458430"", ""'replication success'!A:M""), 13, FAlSE)"),"#N/A")</f>
        <v>#N/A</v>
      </c>
      <c r="BB2988" s="61" t="str">
        <f>IFERROR(__xludf.DUMMYFUNCTION("REGEXREPLACE(G2988, ""_[a-z]{1,2}$"", """")"),"CORE_203")</f>
        <v>CORE_203</v>
      </c>
    </row>
    <row r="2989">
      <c r="A2989" s="44">
        <v>2972.0</v>
      </c>
      <c r="B2989" s="129" t="s">
        <v>285</v>
      </c>
      <c r="C2989" s="62" t="s">
        <v>115</v>
      </c>
      <c r="D2989" s="62" t="s">
        <v>248</v>
      </c>
      <c r="F2989" s="68" t="s">
        <v>17912</v>
      </c>
      <c r="G2989" s="68" t="s">
        <v>17955</v>
      </c>
      <c r="H2989" s="68" t="s">
        <v>249</v>
      </c>
      <c r="I2989" s="529">
        <v>45813.0</v>
      </c>
      <c r="J2989" s="862"/>
      <c r="K2989" s="68" t="s">
        <v>17956</v>
      </c>
      <c r="L2989" s="68"/>
      <c r="M2989" s="68" t="s">
        <v>17915</v>
      </c>
      <c r="N2989" s="68" t="s">
        <v>17916</v>
      </c>
      <c r="O2989" s="68" t="s">
        <v>138</v>
      </c>
      <c r="P2989" s="573" t="s">
        <v>17917</v>
      </c>
      <c r="Q2989" s="2375" t="str">
        <f> hyperlink(vlookup(lower(N2989),'File Links'!E:F, 2, FALSE), "LINK")</f>
        <v>LINK</v>
      </c>
      <c r="R2989" s="68" t="s">
        <v>17918</v>
      </c>
      <c r="S2989" s="2421" t="s">
        <v>138</v>
      </c>
      <c r="T2989" s="435" t="s">
        <v>17919</v>
      </c>
      <c r="U2989" s="68"/>
      <c r="V2989" s="573"/>
      <c r="W2989" s="1228"/>
      <c r="X2989" s="2423" t="s">
        <v>17920</v>
      </c>
      <c r="Y2989" s="68"/>
      <c r="Z2989" s="68" t="s">
        <v>947</v>
      </c>
      <c r="AA2989" s="68" t="s">
        <v>17921</v>
      </c>
      <c r="AB2989" s="68" t="s">
        <v>7291</v>
      </c>
      <c r="AC2989" s="68"/>
      <c r="AD2989" s="68" t="s">
        <v>17957</v>
      </c>
      <c r="AE2989" s="68" t="s">
        <v>1042</v>
      </c>
      <c r="AF2989" s="336">
        <v>95.0</v>
      </c>
      <c r="AG2989" s="336">
        <v>0.43</v>
      </c>
      <c r="AH2989" s="68" t="s">
        <v>173</v>
      </c>
      <c r="AI2989" s="68" t="s">
        <v>17958</v>
      </c>
      <c r="AJ2989" s="336">
        <v>0.042</v>
      </c>
      <c r="AK2989" s="68" t="s">
        <v>172</v>
      </c>
      <c r="AL2989" s="68" t="s">
        <v>186</v>
      </c>
      <c r="AM2989" s="68" t="s">
        <v>137</v>
      </c>
      <c r="AN2989" s="68" t="s">
        <v>138</v>
      </c>
      <c r="AO2989" s="336">
        <v>564.0</v>
      </c>
      <c r="AP2989" s="336">
        <v>0.13</v>
      </c>
      <c r="AQ2989" s="68" t="s">
        <v>173</v>
      </c>
      <c r="AR2989" s="68" t="s">
        <v>17959</v>
      </c>
      <c r="AS2989" s="68" t="s">
        <v>138</v>
      </c>
      <c r="AT2989" s="68" t="s">
        <v>172</v>
      </c>
      <c r="AU2989" s="68" t="s">
        <v>186</v>
      </c>
      <c r="AV2989" s="68" t="s">
        <v>137</v>
      </c>
      <c r="AW2989" s="435" t="s">
        <v>17925</v>
      </c>
      <c r="AX2989" s="68" t="s">
        <v>143</v>
      </c>
      <c r="AY2989" s="61" t="str">
        <f>IFERROR(__xludf.DUMMYFUNCTION("vlookup(BB2989,importrange(""https://docs.google.com/spreadsheets/d/1d2vevQ_7D_v35q4wCQ4RpQ_IPoTwEMB9Yp6ymwlPqew/edit?gid=984458430#gid=984458430"", ""'replication success'!A:K""), 11, FAlSE)"),"#N/A")</f>
        <v>#N/A</v>
      </c>
      <c r="AZ2989" s="61" t="str">
        <f>IFERROR(__xludf.DUMMYFUNCTION("vlookup(BB2989,importrange(""https://docs.google.com/spreadsheets/d/1d2vevQ_7D_v35q4wCQ4RpQ_IPoTwEMB9Yp6ymwlPqew/edit?gid=984458430#gid=984458430"", ""'replication success'!A:M""), 12, FAlSE)"),"#N/A")</f>
        <v>#N/A</v>
      </c>
      <c r="BA2989" s="61" t="str">
        <f>IFERROR(__xludf.DUMMYFUNCTION("vlookup(BB2989,importrange(""https://docs.google.com/spreadsheets/d/1d2vevQ_7D_v35q4wCQ4RpQ_IPoTwEMB9Yp6ymwlPqew/edit?gid=984458430#gid=984458430"", ""'replication success'!A:M""), 13, FAlSE)"),"#N/A")</f>
        <v>#N/A</v>
      </c>
      <c r="BB2989" s="61" t="str">
        <f>IFERROR(__xludf.DUMMYFUNCTION("REGEXREPLACE(G2989, ""_[a-z]{1,2}$"", """")"),"CORE_203")</f>
        <v>CORE_203</v>
      </c>
    </row>
    <row r="2990">
      <c r="A2990" s="44">
        <v>2973.0</v>
      </c>
      <c r="B2990" s="129" t="s">
        <v>285</v>
      </c>
      <c r="C2990" s="62" t="s">
        <v>115</v>
      </c>
      <c r="D2990" s="62" t="s">
        <v>248</v>
      </c>
      <c r="F2990" s="68" t="s">
        <v>17912</v>
      </c>
      <c r="G2990" s="68" t="s">
        <v>17960</v>
      </c>
      <c r="H2990" s="68" t="s">
        <v>249</v>
      </c>
      <c r="I2990" s="529">
        <v>45813.0</v>
      </c>
      <c r="J2990" s="862"/>
      <c r="K2990" s="68" t="s">
        <v>17956</v>
      </c>
      <c r="L2990" s="68"/>
      <c r="M2990" s="68" t="s">
        <v>17915</v>
      </c>
      <c r="N2990" s="68" t="s">
        <v>17916</v>
      </c>
      <c r="O2990" s="68" t="s">
        <v>138</v>
      </c>
      <c r="P2990" s="573" t="s">
        <v>17917</v>
      </c>
      <c r="Q2990" s="2375" t="str">
        <f> hyperlink(vlookup(lower(N2990),'File Links'!E:F, 2, FALSE), "LINK")</f>
        <v>LINK</v>
      </c>
      <c r="R2990" s="68" t="s">
        <v>17918</v>
      </c>
      <c r="S2990" s="2421" t="s">
        <v>138</v>
      </c>
      <c r="T2990" s="435" t="s">
        <v>17919</v>
      </c>
      <c r="U2990" s="68"/>
      <c r="V2990" s="573"/>
      <c r="W2990" s="1228"/>
      <c r="X2990" s="2423" t="s">
        <v>17920</v>
      </c>
      <c r="Y2990" s="68"/>
      <c r="Z2990" s="68" t="s">
        <v>947</v>
      </c>
      <c r="AA2990" s="68" t="s">
        <v>17921</v>
      </c>
      <c r="AB2990" s="68" t="s">
        <v>7291</v>
      </c>
      <c r="AC2990" s="68"/>
      <c r="AD2990" s="68" t="s">
        <v>17961</v>
      </c>
      <c r="AE2990" s="68" t="s">
        <v>1042</v>
      </c>
      <c r="AF2990" s="336">
        <v>95.0</v>
      </c>
      <c r="AG2990" s="336">
        <v>0.14</v>
      </c>
      <c r="AH2990" s="68" t="s">
        <v>173</v>
      </c>
      <c r="AI2990" s="68" t="s">
        <v>17962</v>
      </c>
      <c r="AJ2990" s="336">
        <v>0.507</v>
      </c>
      <c r="AK2990" s="68" t="s">
        <v>172</v>
      </c>
      <c r="AL2990" s="68" t="s">
        <v>186</v>
      </c>
      <c r="AM2990" s="68" t="s">
        <v>137</v>
      </c>
      <c r="AN2990" s="68" t="s">
        <v>138</v>
      </c>
      <c r="AO2990" s="336">
        <v>564.0</v>
      </c>
      <c r="AP2990" s="336">
        <v>-0.01</v>
      </c>
      <c r="AQ2990" s="68" t="s">
        <v>173</v>
      </c>
      <c r="AR2990" s="68" t="s">
        <v>17963</v>
      </c>
      <c r="AS2990" s="68" t="s">
        <v>138</v>
      </c>
      <c r="AT2990" s="68" t="s">
        <v>172</v>
      </c>
      <c r="AU2990" s="68" t="s">
        <v>186</v>
      </c>
      <c r="AV2990" s="68" t="s">
        <v>137</v>
      </c>
      <c r="AW2990" s="435" t="s">
        <v>17925</v>
      </c>
      <c r="AX2990" s="68" t="s">
        <v>143</v>
      </c>
      <c r="AY2990" s="61" t="str">
        <f>IFERROR(__xludf.DUMMYFUNCTION("vlookup(BB2990,importrange(""https://docs.google.com/spreadsheets/d/1d2vevQ_7D_v35q4wCQ4RpQ_IPoTwEMB9Yp6ymwlPqew/edit?gid=984458430#gid=984458430"", ""'replication success'!A:K""), 11, FAlSE)"),"#N/A")</f>
        <v>#N/A</v>
      </c>
      <c r="AZ2990" s="61" t="str">
        <f>IFERROR(__xludf.DUMMYFUNCTION("vlookup(BB2990,importrange(""https://docs.google.com/spreadsheets/d/1d2vevQ_7D_v35q4wCQ4RpQ_IPoTwEMB9Yp6ymwlPqew/edit?gid=984458430#gid=984458430"", ""'replication success'!A:M""), 12, FAlSE)"),"#N/A")</f>
        <v>#N/A</v>
      </c>
      <c r="BA2990" s="61" t="str">
        <f>IFERROR(__xludf.DUMMYFUNCTION("vlookup(BB2990,importrange(""https://docs.google.com/spreadsheets/d/1d2vevQ_7D_v35q4wCQ4RpQ_IPoTwEMB9Yp6ymwlPqew/edit?gid=984458430#gid=984458430"", ""'replication success'!A:M""), 13, FAlSE)"),"#N/A")</f>
        <v>#N/A</v>
      </c>
      <c r="BB2990" s="61" t="str">
        <f>IFERROR(__xludf.DUMMYFUNCTION("REGEXREPLACE(G2990, ""_[a-z]{1,2}$"", """")"),"CORE_203")</f>
        <v>CORE_203</v>
      </c>
      <c r="BF2990" s="1123"/>
      <c r="BG2990" s="1123"/>
      <c r="BH2990" s="1123"/>
      <c r="BI2990" s="1123"/>
      <c r="BJ2990" s="1123"/>
      <c r="BK2990" s="1123"/>
      <c r="BL2990" s="1123"/>
      <c r="BM2990" s="1123"/>
      <c r="BN2990" s="1123"/>
      <c r="BO2990" s="1123"/>
      <c r="BP2990" s="1123"/>
      <c r="BQ2990" s="1123"/>
      <c r="BR2990" s="1123"/>
      <c r="BS2990" s="1123"/>
      <c r="BT2990" s="1123"/>
      <c r="BU2990" s="1123"/>
      <c r="BV2990" s="1123"/>
      <c r="BW2990" s="1123"/>
      <c r="BX2990" s="1123"/>
      <c r="BY2990" s="1123"/>
      <c r="BZ2990" s="1123"/>
      <c r="CA2990" s="1123"/>
      <c r="CB2990" s="1123"/>
      <c r="CC2990" s="1123"/>
      <c r="CD2990" s="1123"/>
      <c r="CE2990" s="1123"/>
      <c r="CF2990" s="1123"/>
      <c r="CG2990" s="1123"/>
      <c r="CH2990" s="1123"/>
      <c r="CI2990" s="1123"/>
      <c r="CJ2990" s="1123"/>
      <c r="CK2990" s="1123"/>
      <c r="CL2990" s="1123"/>
      <c r="CM2990" s="1123"/>
      <c r="CN2990" s="1123"/>
      <c r="CO2990" s="1123"/>
      <c r="CP2990" s="1123"/>
      <c r="CQ2990" s="1123"/>
      <c r="CR2990" s="1123"/>
      <c r="CS2990" s="1123"/>
      <c r="CT2990" s="1123"/>
      <c r="CU2990" s="1123"/>
      <c r="CV2990" s="1123"/>
      <c r="CW2990" s="1123"/>
      <c r="CX2990" s="1123"/>
      <c r="CY2990" s="1123"/>
      <c r="CZ2990" s="1123"/>
      <c r="DA2990" s="1123"/>
      <c r="DB2990" s="1123"/>
      <c r="DC2990" s="1123"/>
      <c r="DD2990" s="1123"/>
      <c r="DE2990" s="1123"/>
      <c r="DF2990" s="1123"/>
      <c r="DG2990" s="1123"/>
      <c r="DH2990" s="1123"/>
      <c r="DI2990" s="1123"/>
      <c r="DJ2990" s="1123"/>
      <c r="DK2990" s="1123"/>
      <c r="DL2990" s="1123"/>
    </row>
    <row r="2991">
      <c r="A2991" s="44">
        <v>2974.0</v>
      </c>
      <c r="B2991" s="129" t="s">
        <v>285</v>
      </c>
      <c r="C2991" s="62" t="s">
        <v>115</v>
      </c>
      <c r="D2991" s="62" t="s">
        <v>248</v>
      </c>
      <c r="F2991" s="68" t="s">
        <v>17912</v>
      </c>
      <c r="G2991" s="68" t="s">
        <v>17964</v>
      </c>
      <c r="H2991" s="68" t="s">
        <v>249</v>
      </c>
      <c r="I2991" s="529">
        <v>45813.0</v>
      </c>
      <c r="J2991" s="862"/>
      <c r="K2991" s="68" t="s">
        <v>17956</v>
      </c>
      <c r="L2991" s="68"/>
      <c r="M2991" s="68" t="s">
        <v>17915</v>
      </c>
      <c r="N2991" s="68" t="s">
        <v>17916</v>
      </c>
      <c r="O2991" s="68" t="s">
        <v>138</v>
      </c>
      <c r="P2991" s="573" t="s">
        <v>17917</v>
      </c>
      <c r="Q2991" s="2375" t="str">
        <f> hyperlink(vlookup(lower(N2991),'File Links'!E:F, 2, FALSE), "LINK")</f>
        <v>LINK</v>
      </c>
      <c r="R2991" s="68" t="s">
        <v>17918</v>
      </c>
      <c r="S2991" s="2421" t="s">
        <v>138</v>
      </c>
      <c r="T2991" s="435" t="s">
        <v>17919</v>
      </c>
      <c r="U2991" s="68"/>
      <c r="V2991" s="573"/>
      <c r="W2991" s="1228"/>
      <c r="X2991" s="2423" t="s">
        <v>17920</v>
      </c>
      <c r="Y2991" s="68"/>
      <c r="Z2991" s="68" t="s">
        <v>947</v>
      </c>
      <c r="AA2991" s="68" t="s">
        <v>17921</v>
      </c>
      <c r="AB2991" s="68" t="s">
        <v>7291</v>
      </c>
      <c r="AC2991" s="68"/>
      <c r="AD2991" s="68" t="s">
        <v>17965</v>
      </c>
      <c r="AE2991" s="68" t="s">
        <v>1042</v>
      </c>
      <c r="AF2991" s="336">
        <v>95.0</v>
      </c>
      <c r="AG2991" s="336">
        <v>1.87</v>
      </c>
      <c r="AH2991" s="68" t="s">
        <v>173</v>
      </c>
      <c r="AI2991" s="68" t="s">
        <v>17966</v>
      </c>
      <c r="AJ2991" s="336">
        <v>0.001</v>
      </c>
      <c r="AK2991" s="68" t="s">
        <v>135</v>
      </c>
      <c r="AL2991" s="68" t="s">
        <v>186</v>
      </c>
      <c r="AM2991" s="68" t="s">
        <v>137</v>
      </c>
      <c r="AN2991" s="68" t="s">
        <v>138</v>
      </c>
      <c r="AO2991" s="336">
        <v>564.0</v>
      </c>
      <c r="AP2991" s="336">
        <v>1.98</v>
      </c>
      <c r="AQ2991" s="68" t="s">
        <v>987</v>
      </c>
      <c r="AR2991" s="68" t="s">
        <v>17967</v>
      </c>
      <c r="AS2991" s="336">
        <v>0.001</v>
      </c>
      <c r="AT2991" s="68" t="s">
        <v>135</v>
      </c>
      <c r="AU2991" s="68" t="s">
        <v>186</v>
      </c>
      <c r="AV2991" s="68" t="s">
        <v>141</v>
      </c>
      <c r="AW2991" s="435" t="s">
        <v>17925</v>
      </c>
      <c r="AX2991" s="68" t="s">
        <v>143</v>
      </c>
      <c r="AY2991" s="61" t="str">
        <f>IFERROR(__xludf.DUMMYFUNCTION("vlookup(BB2991,importrange(""https://docs.google.com/spreadsheets/d/1d2vevQ_7D_v35q4wCQ4RpQ_IPoTwEMB9Yp6ymwlPqew/edit?gid=984458430#gid=984458430"", ""'replication success'!A:K""), 11, FAlSE)"),"#N/A")</f>
        <v>#N/A</v>
      </c>
      <c r="AZ2991" s="61" t="str">
        <f>IFERROR(__xludf.DUMMYFUNCTION("vlookup(BB2991,importrange(""https://docs.google.com/spreadsheets/d/1d2vevQ_7D_v35q4wCQ4RpQ_IPoTwEMB9Yp6ymwlPqew/edit?gid=984458430#gid=984458430"", ""'replication success'!A:M""), 12, FAlSE)"),"#N/A")</f>
        <v>#N/A</v>
      </c>
      <c r="BA2991" s="61" t="str">
        <f>IFERROR(__xludf.DUMMYFUNCTION("vlookup(BB2991,importrange(""https://docs.google.com/spreadsheets/d/1d2vevQ_7D_v35q4wCQ4RpQ_IPoTwEMB9Yp6ymwlPqew/edit?gid=984458430#gid=984458430"", ""'replication success'!A:M""), 13, FAlSE)"),"#N/A")</f>
        <v>#N/A</v>
      </c>
      <c r="BB2991" s="61" t="str">
        <f>IFERROR(__xludf.DUMMYFUNCTION("REGEXREPLACE(G2991, ""_[a-z]{1,2}$"", """")"),"CORE_203")</f>
        <v>CORE_203</v>
      </c>
      <c r="BF2991" s="1123"/>
      <c r="BG2991" s="1123"/>
      <c r="BH2991" s="1123"/>
      <c r="BI2991" s="1123"/>
      <c r="BJ2991" s="1123"/>
      <c r="BK2991" s="1123"/>
      <c r="BL2991" s="1123"/>
      <c r="BM2991" s="1123"/>
      <c r="BN2991" s="1123"/>
      <c r="BO2991" s="1123"/>
      <c r="BP2991" s="1123"/>
      <c r="BQ2991" s="1123"/>
      <c r="BR2991" s="1123"/>
      <c r="BS2991" s="1123"/>
      <c r="BT2991" s="1123"/>
      <c r="BU2991" s="1123"/>
      <c r="BV2991" s="1123"/>
      <c r="BW2991" s="1123"/>
      <c r="BX2991" s="1123"/>
      <c r="BY2991" s="1123"/>
      <c r="BZ2991" s="1123"/>
      <c r="CA2991" s="1123"/>
      <c r="CB2991" s="1123"/>
      <c r="CC2991" s="1123"/>
      <c r="CD2991" s="1123"/>
      <c r="CE2991" s="1123"/>
      <c r="CF2991" s="1123"/>
      <c r="CG2991" s="1123"/>
      <c r="CH2991" s="1123"/>
      <c r="CI2991" s="1123"/>
      <c r="CJ2991" s="1123"/>
      <c r="CK2991" s="1123"/>
      <c r="CL2991" s="1123"/>
      <c r="CM2991" s="1123"/>
      <c r="CN2991" s="1123"/>
      <c r="CO2991" s="1123"/>
      <c r="CP2991" s="1123"/>
      <c r="CQ2991" s="1123"/>
      <c r="CR2991" s="1123"/>
      <c r="CS2991" s="1123"/>
      <c r="CT2991" s="1123"/>
      <c r="CU2991" s="1123"/>
      <c r="CV2991" s="1123"/>
      <c r="CW2991" s="1123"/>
      <c r="CX2991" s="1123"/>
      <c r="CY2991" s="1123"/>
      <c r="CZ2991" s="1123"/>
      <c r="DA2991" s="1123"/>
      <c r="DB2991" s="1123"/>
      <c r="DC2991" s="1123"/>
      <c r="DD2991" s="1123"/>
      <c r="DE2991" s="1123"/>
      <c r="DF2991" s="1123"/>
      <c r="DG2991" s="1123"/>
      <c r="DH2991" s="1123"/>
      <c r="DI2991" s="1123"/>
      <c r="DJ2991" s="1123"/>
      <c r="DK2991" s="1123"/>
      <c r="DL2991" s="1123"/>
    </row>
    <row r="2992">
      <c r="A2992" s="44">
        <v>2975.0</v>
      </c>
      <c r="B2992" s="129" t="s">
        <v>285</v>
      </c>
      <c r="C2992" s="62" t="s">
        <v>115</v>
      </c>
      <c r="D2992" s="62" t="s">
        <v>248</v>
      </c>
      <c r="F2992" s="68" t="s">
        <v>17912</v>
      </c>
      <c r="G2992" s="68" t="s">
        <v>17968</v>
      </c>
      <c r="H2992" s="68" t="s">
        <v>249</v>
      </c>
      <c r="I2992" s="529">
        <v>45813.0</v>
      </c>
      <c r="J2992" s="862"/>
      <c r="K2992" s="68" t="s">
        <v>17956</v>
      </c>
      <c r="L2992" s="68"/>
      <c r="M2992" s="68" t="s">
        <v>17915</v>
      </c>
      <c r="N2992" s="68" t="s">
        <v>17916</v>
      </c>
      <c r="O2992" s="68" t="s">
        <v>138</v>
      </c>
      <c r="P2992" s="573" t="s">
        <v>17917</v>
      </c>
      <c r="Q2992" s="2375" t="str">
        <f> hyperlink(vlookup(lower(N2992),'File Links'!E:F, 2, FALSE), "LINK")</f>
        <v>LINK</v>
      </c>
      <c r="R2992" s="68" t="s">
        <v>17918</v>
      </c>
      <c r="S2992" s="2421" t="s">
        <v>138</v>
      </c>
      <c r="T2992" s="435" t="s">
        <v>17919</v>
      </c>
      <c r="U2992" s="68"/>
      <c r="V2992" s="573"/>
      <c r="W2992" s="1228"/>
      <c r="X2992" s="2423" t="s">
        <v>17920</v>
      </c>
      <c r="Y2992" s="68"/>
      <c r="Z2992" s="68" t="s">
        <v>947</v>
      </c>
      <c r="AA2992" s="68" t="s">
        <v>17921</v>
      </c>
      <c r="AB2992" s="68" t="s">
        <v>7291</v>
      </c>
      <c r="AC2992" s="68"/>
      <c r="AD2992" s="68" t="s">
        <v>17969</v>
      </c>
      <c r="AE2992" s="68" t="s">
        <v>1042</v>
      </c>
      <c r="AF2992" s="336">
        <v>95.0</v>
      </c>
      <c r="AG2992" s="336">
        <v>0.45</v>
      </c>
      <c r="AH2992" s="68" t="s">
        <v>173</v>
      </c>
      <c r="AI2992" s="68" t="s">
        <v>17970</v>
      </c>
      <c r="AJ2992" s="336">
        <v>0.032</v>
      </c>
      <c r="AK2992" s="68" t="s">
        <v>172</v>
      </c>
      <c r="AL2992" s="68" t="s">
        <v>186</v>
      </c>
      <c r="AM2992" s="68" t="s">
        <v>137</v>
      </c>
      <c r="AN2992" s="68" t="s">
        <v>138</v>
      </c>
      <c r="AO2992" s="336">
        <v>564.0</v>
      </c>
      <c r="AP2992" s="336">
        <v>2.17</v>
      </c>
      <c r="AQ2992" s="68" t="s">
        <v>987</v>
      </c>
      <c r="AR2992" s="68" t="s">
        <v>17971</v>
      </c>
      <c r="AS2992" s="336">
        <v>0.033</v>
      </c>
      <c r="AT2992" s="68" t="s">
        <v>172</v>
      </c>
      <c r="AU2992" s="68" t="s">
        <v>186</v>
      </c>
      <c r="AV2992" s="68" t="s">
        <v>141</v>
      </c>
      <c r="AW2992" s="435" t="s">
        <v>17925</v>
      </c>
      <c r="AX2992" s="68" t="s">
        <v>143</v>
      </c>
      <c r="AY2992" s="61" t="str">
        <f>IFERROR(__xludf.DUMMYFUNCTION("vlookup(BB2992,importrange(""https://docs.google.com/spreadsheets/d/1d2vevQ_7D_v35q4wCQ4RpQ_IPoTwEMB9Yp6ymwlPqew/edit?gid=984458430#gid=984458430"", ""'replication success'!A:K""), 11, FAlSE)"),"#N/A")</f>
        <v>#N/A</v>
      </c>
      <c r="AZ2992" s="61" t="str">
        <f>IFERROR(__xludf.DUMMYFUNCTION("vlookup(BB2992,importrange(""https://docs.google.com/spreadsheets/d/1d2vevQ_7D_v35q4wCQ4RpQ_IPoTwEMB9Yp6ymwlPqew/edit?gid=984458430#gid=984458430"", ""'replication success'!A:M""), 12, FAlSE)"),"#N/A")</f>
        <v>#N/A</v>
      </c>
      <c r="BA2992" s="61" t="str">
        <f>IFERROR(__xludf.DUMMYFUNCTION("vlookup(BB2992,importrange(""https://docs.google.com/spreadsheets/d/1d2vevQ_7D_v35q4wCQ4RpQ_IPoTwEMB9Yp6ymwlPqew/edit?gid=984458430#gid=984458430"", ""'replication success'!A:M""), 13, FAlSE)"),"#N/A")</f>
        <v>#N/A</v>
      </c>
      <c r="BB2992" s="61" t="str">
        <f>IFERROR(__xludf.DUMMYFUNCTION("REGEXREPLACE(G2992, ""_[a-z]{1,2}$"", """")"),"CORE_203")</f>
        <v>CORE_203</v>
      </c>
      <c r="BF2992" s="1123"/>
      <c r="BG2992" s="1123"/>
      <c r="BH2992" s="1123"/>
      <c r="BI2992" s="1123"/>
      <c r="BJ2992" s="1123"/>
      <c r="BK2992" s="1123"/>
      <c r="BL2992" s="1123"/>
      <c r="BM2992" s="1123"/>
      <c r="BN2992" s="1123"/>
      <c r="BO2992" s="1123"/>
      <c r="BP2992" s="1123"/>
      <c r="BQ2992" s="1123"/>
      <c r="BR2992" s="1123"/>
      <c r="BS2992" s="1123"/>
      <c r="BT2992" s="1123"/>
      <c r="BU2992" s="1123"/>
      <c r="BV2992" s="1123"/>
      <c r="BW2992" s="1123"/>
      <c r="BX2992" s="1123"/>
      <c r="BY2992" s="1123"/>
      <c r="BZ2992" s="1123"/>
      <c r="CA2992" s="1123"/>
      <c r="CB2992" s="1123"/>
      <c r="CC2992" s="1123"/>
      <c r="CD2992" s="1123"/>
      <c r="CE2992" s="1123"/>
      <c r="CF2992" s="1123"/>
      <c r="CG2992" s="1123"/>
      <c r="CH2992" s="1123"/>
      <c r="CI2992" s="1123"/>
      <c r="CJ2992" s="1123"/>
      <c r="CK2992" s="1123"/>
      <c r="CL2992" s="1123"/>
      <c r="CM2992" s="1123"/>
      <c r="CN2992" s="1123"/>
      <c r="CO2992" s="1123"/>
      <c r="CP2992" s="1123"/>
      <c r="CQ2992" s="1123"/>
      <c r="CR2992" s="1123"/>
      <c r="CS2992" s="1123"/>
      <c r="CT2992" s="1123"/>
      <c r="CU2992" s="1123"/>
      <c r="CV2992" s="1123"/>
      <c r="CW2992" s="1123"/>
      <c r="CX2992" s="1123"/>
      <c r="CY2992" s="1123"/>
      <c r="CZ2992" s="1123"/>
      <c r="DA2992" s="1123"/>
      <c r="DB2992" s="1123"/>
      <c r="DC2992" s="1123"/>
      <c r="DD2992" s="1123"/>
      <c r="DE2992" s="1123"/>
      <c r="DF2992" s="1123"/>
      <c r="DG2992" s="1123"/>
      <c r="DH2992" s="1123"/>
      <c r="DI2992" s="1123"/>
      <c r="DJ2992" s="1123"/>
      <c r="DK2992" s="1123"/>
      <c r="DL2992" s="1123"/>
    </row>
    <row r="2993">
      <c r="A2993" s="44">
        <v>2720.0</v>
      </c>
      <c r="B2993" s="129" t="s">
        <v>285</v>
      </c>
      <c r="C2993" s="62" t="s">
        <v>115</v>
      </c>
      <c r="D2993" s="62" t="s">
        <v>2930</v>
      </c>
      <c r="F2993" s="159" t="s">
        <v>17972</v>
      </c>
      <c r="G2993" s="159" t="s">
        <v>17973</v>
      </c>
      <c r="H2993" s="159" t="s">
        <v>17592</v>
      </c>
      <c r="I2993" s="152">
        <v>45802.0</v>
      </c>
      <c r="J2993" s="862"/>
      <c r="K2993" s="159" t="s">
        <v>17846</v>
      </c>
      <c r="L2993" s="68"/>
      <c r="M2993" s="159" t="s">
        <v>17974</v>
      </c>
      <c r="N2993" s="159" t="s">
        <v>17975</v>
      </c>
      <c r="O2993" s="156">
        <v>2.0</v>
      </c>
      <c r="P2993" s="382" t="s">
        <v>17976</v>
      </c>
      <c r="Q2993" s="2191" t="str">
        <f> hyperlink(vlookup(lower(N2993),'File Links'!E:F, 2, FALSE), "LINK")</f>
        <v>LINK</v>
      </c>
      <c r="R2993" s="159" t="s">
        <v>17977</v>
      </c>
      <c r="S2993" s="159" t="s">
        <v>17978</v>
      </c>
      <c r="T2993" s="993" t="s">
        <v>17979</v>
      </c>
      <c r="U2993" s="156">
        <v>2.0</v>
      </c>
      <c r="V2993" s="382" t="s">
        <v>17980</v>
      </c>
      <c r="W2993" s="1231" t="s">
        <v>17597</v>
      </c>
      <c r="X2993" s="2192" t="str">
        <f> hyperlink(vlookup(lower(#REF!),'File Links'!E:F, 2, FALSE), "LINK")</f>
        <v>LINK</v>
      </c>
      <c r="Y2993" s="68"/>
      <c r="Z2993" s="159" t="s">
        <v>947</v>
      </c>
      <c r="AA2993" s="159" t="s">
        <v>17981</v>
      </c>
      <c r="AB2993" s="159" t="s">
        <v>17982</v>
      </c>
      <c r="AC2993" s="159" t="s">
        <v>17983</v>
      </c>
      <c r="AD2993" s="159" t="s">
        <v>17984</v>
      </c>
      <c r="AE2993" s="156">
        <v>3.0</v>
      </c>
      <c r="AF2993" s="156">
        <v>331.0</v>
      </c>
      <c r="AG2993" s="156">
        <v>0.02</v>
      </c>
      <c r="AH2993" s="159" t="s">
        <v>139</v>
      </c>
      <c r="AI2993" s="1292">
        <v>3.0</v>
      </c>
      <c r="AJ2993" s="159" t="s">
        <v>138</v>
      </c>
      <c r="AK2993" s="159" t="s">
        <v>138</v>
      </c>
      <c r="AL2993" s="159" t="s">
        <v>138</v>
      </c>
      <c r="AM2993" s="159" t="s">
        <v>137</v>
      </c>
      <c r="AN2993" s="159" t="s">
        <v>138</v>
      </c>
      <c r="AO2993" s="156">
        <v>1010.0</v>
      </c>
      <c r="AP2993" s="1292">
        <v>0.0</v>
      </c>
      <c r="AQ2993" s="159" t="s">
        <v>139</v>
      </c>
      <c r="AR2993" s="159" t="s">
        <v>10294</v>
      </c>
      <c r="AS2993" s="159" t="s">
        <v>138</v>
      </c>
      <c r="AT2993" s="159" t="s">
        <v>138</v>
      </c>
      <c r="AU2993" s="159" t="s">
        <v>138</v>
      </c>
      <c r="AV2993" s="159" t="s">
        <v>137</v>
      </c>
      <c r="AW2993" s="159" t="s">
        <v>138</v>
      </c>
      <c r="AX2993" s="159" t="s">
        <v>324</v>
      </c>
      <c r="AY2993" s="61" t="str">
        <f>IFERROR(__xludf.DUMMYFUNCTION("vlookup(BB2993,importrange(""https://docs.google.com/spreadsheets/d/1d2vevQ_7D_v35q4wCQ4RpQ_IPoTwEMB9Yp6ymwlPqew/edit?gid=984458430#gid=984458430"", ""'replication success'!A:K""), 11, FAlSE)"),"#N/A")</f>
        <v>#N/A</v>
      </c>
      <c r="AZ2993" s="61" t="str">
        <f>IFERROR(__xludf.DUMMYFUNCTION("vlookup(BB2993,importrange(""https://docs.google.com/spreadsheets/d/1d2vevQ_7D_v35q4wCQ4RpQ_IPoTwEMB9Yp6ymwlPqew/edit?gid=984458430#gid=984458430"", ""'replication success'!A:M""), 12, FAlSE)"),"#N/A")</f>
        <v>#N/A</v>
      </c>
      <c r="BA2993" s="61" t="str">
        <f>IFERROR(__xludf.DUMMYFUNCTION("vlookup(BB2993,importrange(""https://docs.google.com/spreadsheets/d/1d2vevQ_7D_v35q4wCQ4RpQ_IPoTwEMB9Yp6ymwlPqew/edit?gid=984458430#gid=984458430"", ""'replication success'!A:M""), 13, FAlSE)"),"#N/A")</f>
        <v>#N/A</v>
      </c>
      <c r="BB2993" s="61" t="str">
        <f>IFERROR(__xludf.DUMMYFUNCTION("REGEXREPLACE(G2993, ""_[a-z]{1,2}$"", """")"),"CORE_204")</f>
        <v>CORE_204</v>
      </c>
    </row>
    <row r="2994">
      <c r="A2994" s="44">
        <v>2721.0</v>
      </c>
      <c r="B2994" s="129" t="s">
        <v>285</v>
      </c>
      <c r="C2994" s="62" t="s">
        <v>115</v>
      </c>
      <c r="D2994" s="62" t="s">
        <v>2930</v>
      </c>
      <c r="F2994" s="159" t="s">
        <v>17985</v>
      </c>
      <c r="G2994" s="159" t="s">
        <v>17986</v>
      </c>
      <c r="H2994" s="159" t="s">
        <v>17592</v>
      </c>
      <c r="I2994" s="152">
        <v>45802.0</v>
      </c>
      <c r="J2994" s="862"/>
      <c r="K2994" s="159" t="s">
        <v>17838</v>
      </c>
      <c r="L2994" s="68"/>
      <c r="M2994" s="159" t="s">
        <v>17987</v>
      </c>
      <c r="N2994" s="159" t="s">
        <v>17988</v>
      </c>
      <c r="O2994" s="159" t="s">
        <v>138</v>
      </c>
      <c r="P2994" s="382" t="s">
        <v>17989</v>
      </c>
      <c r="Q2994" s="2191" t="str">
        <f> hyperlink(vlookup(lower(N2994),'File Links'!E:F, 2, FALSE), "LINK")</f>
        <v>LINK</v>
      </c>
      <c r="R2994" s="159" t="s">
        <v>17990</v>
      </c>
      <c r="S2994" s="2424" t="s">
        <v>138</v>
      </c>
      <c r="T2994" s="159" t="s">
        <v>138</v>
      </c>
      <c r="U2994" s="159" t="s">
        <v>138</v>
      </c>
      <c r="V2994" s="382" t="s">
        <v>577</v>
      </c>
      <c r="W2994" s="1231" t="s">
        <v>138</v>
      </c>
      <c r="X2994" s="2177" t="str">
        <f> hyperlink(vlookup(lower(S2994),'File Links'!E:F, 2, FALSE), "LINK")</f>
        <v>LINK</v>
      </c>
      <c r="Y2994" s="159" t="s">
        <v>17838</v>
      </c>
      <c r="Z2994" s="159" t="s">
        <v>947</v>
      </c>
      <c r="AA2994" s="159" t="s">
        <v>17991</v>
      </c>
      <c r="AB2994" s="159" t="s">
        <v>7291</v>
      </c>
      <c r="AC2994" s="68"/>
      <c r="AD2994" s="159" t="s">
        <v>138</v>
      </c>
      <c r="AE2994" s="159" t="s">
        <v>138</v>
      </c>
      <c r="AF2994" s="159" t="s">
        <v>138</v>
      </c>
      <c r="AG2994" s="159" t="s">
        <v>138</v>
      </c>
      <c r="AH2994" s="159" t="s">
        <v>138</v>
      </c>
      <c r="AI2994" s="159" t="s">
        <v>138</v>
      </c>
      <c r="AJ2994" s="159" t="s">
        <v>138</v>
      </c>
      <c r="AK2994" s="159" t="s">
        <v>138</v>
      </c>
      <c r="AL2994" s="159" t="s">
        <v>138</v>
      </c>
      <c r="AM2994" s="159" t="s">
        <v>138</v>
      </c>
      <c r="AN2994" s="159" t="s">
        <v>138</v>
      </c>
      <c r="AO2994" s="159" t="s">
        <v>138</v>
      </c>
      <c r="AP2994" s="159" t="s">
        <v>138</v>
      </c>
      <c r="AQ2994" s="159" t="s">
        <v>138</v>
      </c>
      <c r="AR2994" s="159" t="s">
        <v>138</v>
      </c>
      <c r="AS2994" s="159" t="s">
        <v>138</v>
      </c>
      <c r="AT2994" s="159" t="s">
        <v>138</v>
      </c>
      <c r="AU2994" s="159" t="s">
        <v>138</v>
      </c>
      <c r="AV2994" s="159" t="s">
        <v>138</v>
      </c>
      <c r="AW2994" s="159" t="s">
        <v>138</v>
      </c>
      <c r="AX2994" s="159" t="s">
        <v>138</v>
      </c>
      <c r="AY2994" s="61" t="str">
        <f>IFERROR(__xludf.DUMMYFUNCTION("vlookup(BB2994,importrange(""https://docs.google.com/spreadsheets/d/1d2vevQ_7D_v35q4wCQ4RpQ_IPoTwEMB9Yp6ymwlPqew/edit?gid=984458430#gid=984458430"", ""'replication success'!A:K""), 11, FAlSE)"),"#N/A")</f>
        <v>#N/A</v>
      </c>
      <c r="AZ2994" s="61" t="str">
        <f>IFERROR(__xludf.DUMMYFUNCTION("vlookup(BB2994,importrange(""https://docs.google.com/spreadsheets/d/1d2vevQ_7D_v35q4wCQ4RpQ_IPoTwEMB9Yp6ymwlPqew/edit?gid=984458430#gid=984458430"", ""'replication success'!A:M""), 12, FAlSE)"),"#N/A")</f>
        <v>#N/A</v>
      </c>
      <c r="BA2994" s="61" t="str">
        <f>IFERROR(__xludf.DUMMYFUNCTION("vlookup(BB2994,importrange(""https://docs.google.com/spreadsheets/d/1d2vevQ_7D_v35q4wCQ4RpQ_IPoTwEMB9Yp6ymwlPqew/edit?gid=984458430#gid=984458430"", ""'replication success'!A:M""), 13, FAlSE)"),"#N/A")</f>
        <v>#N/A</v>
      </c>
      <c r="BB2994" s="61" t="str">
        <f>IFERROR(__xludf.DUMMYFUNCTION("REGEXREPLACE(G2994, ""_[a-z]{1,2}$"", """")"),"CORE_213")</f>
        <v>CORE_213</v>
      </c>
      <c r="BF2994" s="342"/>
      <c r="BG2994" s="342"/>
      <c r="BH2994" s="342"/>
      <c r="BI2994" s="342"/>
      <c r="BJ2994" s="342"/>
      <c r="BK2994" s="342"/>
      <c r="BL2994" s="342"/>
      <c r="BM2994" s="342"/>
      <c r="BN2994" s="342"/>
      <c r="BO2994" s="342"/>
      <c r="BP2994" s="342"/>
      <c r="BQ2994" s="342"/>
      <c r="BR2994" s="342"/>
      <c r="BS2994" s="342"/>
      <c r="BT2994" s="342"/>
      <c r="BU2994" s="342"/>
      <c r="BV2994" s="342"/>
      <c r="BW2994" s="342"/>
      <c r="BX2994" s="342"/>
      <c r="BY2994" s="342"/>
      <c r="BZ2994" s="342"/>
      <c r="CA2994" s="342"/>
      <c r="CB2994" s="342"/>
      <c r="CC2994" s="342"/>
      <c r="CD2994" s="342"/>
      <c r="CE2994" s="342"/>
      <c r="CF2994" s="342"/>
      <c r="CG2994" s="342"/>
      <c r="CH2994" s="342"/>
      <c r="CI2994" s="342"/>
      <c r="CJ2994" s="342"/>
      <c r="CK2994" s="342"/>
      <c r="CL2994" s="342"/>
      <c r="CM2994" s="342"/>
      <c r="CN2994" s="342"/>
      <c r="CO2994" s="342"/>
      <c r="CP2994" s="342"/>
      <c r="CQ2994" s="342"/>
      <c r="CR2994" s="342"/>
      <c r="CS2994" s="342"/>
      <c r="CT2994" s="342"/>
      <c r="CU2994" s="342"/>
      <c r="CV2994" s="342"/>
      <c r="CW2994" s="342"/>
      <c r="CX2994" s="342"/>
      <c r="CY2994" s="342"/>
      <c r="CZ2994" s="342"/>
      <c r="DA2994" s="342"/>
      <c r="DB2994" s="342"/>
      <c r="DC2994" s="342"/>
      <c r="DD2994" s="342"/>
      <c r="DE2994" s="342"/>
      <c r="DF2994" s="342"/>
      <c r="DG2994" s="342"/>
      <c r="DH2994" s="342"/>
      <c r="DI2994" s="342"/>
      <c r="DJ2994" s="342"/>
      <c r="DK2994" s="342"/>
      <c r="DL2994" s="342"/>
    </row>
    <row r="2995">
      <c r="A2995" s="44">
        <v>2722.0</v>
      </c>
      <c r="B2995" s="129" t="s">
        <v>285</v>
      </c>
      <c r="C2995" s="62" t="s">
        <v>115</v>
      </c>
      <c r="D2995" s="62" t="s">
        <v>2930</v>
      </c>
      <c r="F2995" s="159" t="s">
        <v>17992</v>
      </c>
      <c r="G2995" s="159" t="s">
        <v>17993</v>
      </c>
      <c r="H2995" s="159" t="s">
        <v>17592</v>
      </c>
      <c r="I2995" s="152">
        <v>45803.0</v>
      </c>
      <c r="J2995" s="862"/>
      <c r="K2995" s="159" t="s">
        <v>17846</v>
      </c>
      <c r="L2995" s="68"/>
      <c r="M2995" s="2397" t="s">
        <v>17994</v>
      </c>
      <c r="N2995" s="159" t="s">
        <v>17995</v>
      </c>
      <c r="O2995" s="156">
        <v>1.0</v>
      </c>
      <c r="P2995" s="382" t="s">
        <v>17996</v>
      </c>
      <c r="Q2995" s="2191" t="str">
        <f> hyperlink(vlookup(lower(N2995),'File Links'!E:F, 2, FALSE), "LINK")</f>
        <v>LINK</v>
      </c>
      <c r="R2995" s="159" t="s">
        <v>17997</v>
      </c>
      <c r="S2995" s="310" t="s">
        <v>17998</v>
      </c>
      <c r="T2995" s="680" t="s">
        <v>17999</v>
      </c>
      <c r="U2995" s="156">
        <v>1.0</v>
      </c>
      <c r="V2995" s="382" t="s">
        <v>18000</v>
      </c>
      <c r="W2995" s="1231" t="s">
        <v>17597</v>
      </c>
      <c r="X2995" s="1552" t="str">
        <f> hyperlink(vlookup(lower(S2995),'File Links'!E:F, 2, FALSE), "LINK")</f>
        <v>LINK</v>
      </c>
      <c r="Y2995" s="68"/>
      <c r="Z2995" s="159" t="s">
        <v>947</v>
      </c>
      <c r="AA2995" s="159" t="s">
        <v>18001</v>
      </c>
      <c r="AB2995" s="159" t="s">
        <v>18002</v>
      </c>
      <c r="AC2995" s="159" t="s">
        <v>18003</v>
      </c>
      <c r="AD2995" s="159" t="s">
        <v>18004</v>
      </c>
      <c r="AE2995" s="156">
        <v>4.0</v>
      </c>
      <c r="AF2995" s="156">
        <v>50.0</v>
      </c>
      <c r="AG2995" s="1292">
        <v>0.3</v>
      </c>
      <c r="AH2995" s="159" t="s">
        <v>215</v>
      </c>
      <c r="AI2995" s="156">
        <v>4.0</v>
      </c>
      <c r="AJ2995" s="156">
        <v>0.05</v>
      </c>
      <c r="AK2995" s="159" t="s">
        <v>135</v>
      </c>
      <c r="AL2995" s="159" t="s">
        <v>138</v>
      </c>
      <c r="AM2995" s="159" t="s">
        <v>138</v>
      </c>
      <c r="AN2995" s="159" t="s">
        <v>138</v>
      </c>
      <c r="AO2995" s="156">
        <v>1120.0</v>
      </c>
      <c r="AP2995" s="156">
        <v>-0.22</v>
      </c>
      <c r="AQ2995" s="159" t="s">
        <v>215</v>
      </c>
      <c r="AR2995" s="159" t="s">
        <v>18005</v>
      </c>
      <c r="AS2995" s="156">
        <v>0.999</v>
      </c>
      <c r="AT2995" s="159" t="s">
        <v>335</v>
      </c>
      <c r="AU2995" s="159" t="s">
        <v>138</v>
      </c>
      <c r="AV2995" s="159" t="s">
        <v>137</v>
      </c>
      <c r="AW2995" s="159" t="s">
        <v>138</v>
      </c>
      <c r="AX2995" s="159" t="s">
        <v>324</v>
      </c>
      <c r="AY2995" s="61" t="str">
        <f>IFERROR(__xludf.DUMMYFUNCTION("vlookup(BB2995,importrange(""https://docs.google.com/spreadsheets/d/1d2vevQ_7D_v35q4wCQ4RpQ_IPoTwEMB9Yp6ymwlPqew/edit?gid=984458430#gid=984458430"", ""'replication success'!A:K""), 11, FAlSE)"),"#N/A")</f>
        <v>#N/A</v>
      </c>
      <c r="AZ2995" s="61" t="str">
        <f>IFERROR(__xludf.DUMMYFUNCTION("vlookup(BB2995,importrange(""https://docs.google.com/spreadsheets/d/1d2vevQ_7D_v35q4wCQ4RpQ_IPoTwEMB9Yp6ymwlPqew/edit?gid=984458430#gid=984458430"", ""'replication success'!A:M""), 12, FAlSE)"),"#N/A")</f>
        <v>#N/A</v>
      </c>
      <c r="BA2995" s="61" t="str">
        <f>IFERROR(__xludf.DUMMYFUNCTION("vlookup(BB2995,importrange(""https://docs.google.com/spreadsheets/d/1d2vevQ_7D_v35q4wCQ4RpQ_IPoTwEMB9Yp6ymwlPqew/edit?gid=984458430#gid=984458430"", ""'replication success'!A:M""), 13, FAlSE)"),"#N/A")</f>
        <v>#N/A</v>
      </c>
      <c r="BB2995" s="61" t="str">
        <f>IFERROR(__xludf.DUMMYFUNCTION("REGEXREPLACE(G2995, ""_[a-z]{1,2}$"", """")"),"CORE_214")</f>
        <v>CORE_214</v>
      </c>
    </row>
    <row r="2996">
      <c r="A2996" s="44">
        <v>2723.0</v>
      </c>
      <c r="B2996" s="129" t="s">
        <v>285</v>
      </c>
      <c r="C2996" s="62" t="s">
        <v>115</v>
      </c>
      <c r="D2996" s="62" t="s">
        <v>2930</v>
      </c>
      <c r="F2996" s="159" t="s">
        <v>18006</v>
      </c>
      <c r="G2996" s="159" t="s">
        <v>18007</v>
      </c>
      <c r="H2996" s="159" t="s">
        <v>17592</v>
      </c>
      <c r="I2996" s="152">
        <v>45803.0</v>
      </c>
      <c r="J2996" s="862"/>
      <c r="K2996" s="159" t="s">
        <v>17838</v>
      </c>
      <c r="L2996" s="68"/>
      <c r="M2996" s="2397" t="s">
        <v>18008</v>
      </c>
      <c r="N2996" s="159" t="s">
        <v>18009</v>
      </c>
      <c r="O2996" s="159" t="s">
        <v>138</v>
      </c>
      <c r="P2996" s="382" t="s">
        <v>18010</v>
      </c>
      <c r="Q2996" s="2191" t="str">
        <f> hyperlink(vlookup(lower(N2996),'File Links'!E:F, 2, FALSE), "LINK")</f>
        <v>LINK</v>
      </c>
      <c r="R2996" s="159" t="s">
        <v>18011</v>
      </c>
      <c r="S2996" s="159" t="s">
        <v>138</v>
      </c>
      <c r="T2996" s="680" t="s">
        <v>17919</v>
      </c>
      <c r="U2996" s="159" t="s">
        <v>138</v>
      </c>
      <c r="V2996" s="382" t="s">
        <v>577</v>
      </c>
      <c r="W2996" s="1231" t="s">
        <v>18012</v>
      </c>
      <c r="X2996" s="2177" t="str">
        <f> hyperlink(vlookup(lower(S2996),'File Links'!E:F, 2, FALSE), "LINK")</f>
        <v>LINK</v>
      </c>
      <c r="Y2996" s="68"/>
      <c r="Z2996" s="159" t="s">
        <v>947</v>
      </c>
      <c r="AA2996" s="159" t="s">
        <v>18013</v>
      </c>
      <c r="AB2996" s="159" t="s">
        <v>7291</v>
      </c>
      <c r="AC2996" s="68"/>
      <c r="AD2996" s="68"/>
      <c r="AE2996" s="159" t="s">
        <v>138</v>
      </c>
      <c r="AF2996" s="159" t="s">
        <v>138</v>
      </c>
      <c r="AG2996" s="159" t="s">
        <v>138</v>
      </c>
      <c r="AH2996" s="159" t="s">
        <v>138</v>
      </c>
      <c r="AI2996" s="159" t="s">
        <v>138</v>
      </c>
      <c r="AJ2996" s="159" t="s">
        <v>138</v>
      </c>
      <c r="AK2996" s="159" t="s">
        <v>138</v>
      </c>
      <c r="AL2996" s="159" t="s">
        <v>138</v>
      </c>
      <c r="AM2996" s="159" t="s">
        <v>138</v>
      </c>
      <c r="AN2996" s="159" t="s">
        <v>138</v>
      </c>
      <c r="AO2996" s="159" t="s">
        <v>138</v>
      </c>
      <c r="AP2996" s="159" t="s">
        <v>138</v>
      </c>
      <c r="AQ2996" s="159" t="s">
        <v>138</v>
      </c>
      <c r="AR2996" s="159" t="s">
        <v>138</v>
      </c>
      <c r="AS2996" s="159" t="s">
        <v>138</v>
      </c>
      <c r="AT2996" s="159" t="s">
        <v>138</v>
      </c>
      <c r="AU2996" s="159" t="s">
        <v>138</v>
      </c>
      <c r="AV2996" s="159" t="s">
        <v>138</v>
      </c>
      <c r="AW2996" s="159" t="s">
        <v>138</v>
      </c>
      <c r="AX2996" s="159" t="s">
        <v>138</v>
      </c>
      <c r="AY2996" s="61" t="str">
        <f>IFERROR(__xludf.DUMMYFUNCTION("vlookup(BB2996,importrange(""https://docs.google.com/spreadsheets/d/1d2vevQ_7D_v35q4wCQ4RpQ_IPoTwEMB9Yp6ymwlPqew/edit?gid=984458430#gid=984458430"", ""'replication success'!A:K""), 11, FAlSE)"),"#N/A")</f>
        <v>#N/A</v>
      </c>
      <c r="AZ2996" s="61" t="str">
        <f>IFERROR(__xludf.DUMMYFUNCTION("vlookup(BB2996,importrange(""https://docs.google.com/spreadsheets/d/1d2vevQ_7D_v35q4wCQ4RpQ_IPoTwEMB9Yp6ymwlPqew/edit?gid=984458430#gid=984458430"", ""'replication success'!A:M""), 12, FAlSE)"),"#N/A")</f>
        <v>#N/A</v>
      </c>
      <c r="BA2996" s="61" t="str">
        <f>IFERROR(__xludf.DUMMYFUNCTION("vlookup(BB2996,importrange(""https://docs.google.com/spreadsheets/d/1d2vevQ_7D_v35q4wCQ4RpQ_IPoTwEMB9Yp6ymwlPqew/edit?gid=984458430#gid=984458430"", ""'replication success'!A:M""), 13, FAlSE)"),"#N/A")</f>
        <v>#N/A</v>
      </c>
      <c r="BB2996" s="61" t="str">
        <f>IFERROR(__xludf.DUMMYFUNCTION("REGEXREPLACE(G2996, ""_[a-z]{1,2}$"", """")"),"CORE_218")</f>
        <v>CORE_218</v>
      </c>
      <c r="BF2996" s="189"/>
      <c r="BG2996" s="189"/>
      <c r="BH2996" s="189"/>
      <c r="BI2996" s="189"/>
      <c r="BJ2996" s="189"/>
      <c r="BK2996" s="189"/>
      <c r="BL2996" s="189"/>
      <c r="BM2996" s="189"/>
      <c r="BN2996" s="189"/>
      <c r="BO2996" s="189"/>
      <c r="BP2996" s="189"/>
      <c r="BQ2996" s="189"/>
      <c r="BR2996" s="189"/>
      <c r="BS2996" s="189"/>
      <c r="BT2996" s="189"/>
      <c r="BU2996" s="189"/>
      <c r="BV2996" s="189"/>
      <c r="BW2996" s="189"/>
      <c r="BX2996" s="189"/>
      <c r="BY2996" s="189"/>
      <c r="BZ2996" s="189"/>
      <c r="CA2996" s="189"/>
      <c r="CB2996" s="189"/>
      <c r="CC2996" s="189"/>
      <c r="CD2996" s="189"/>
      <c r="CE2996" s="189"/>
      <c r="CF2996" s="189"/>
      <c r="CG2996" s="189"/>
      <c r="CH2996" s="189"/>
      <c r="CI2996" s="189"/>
      <c r="CJ2996" s="189"/>
      <c r="CK2996" s="189"/>
      <c r="CL2996" s="189"/>
      <c r="CM2996" s="189"/>
      <c r="CN2996" s="189"/>
      <c r="CO2996" s="189"/>
      <c r="CP2996" s="189"/>
      <c r="CQ2996" s="189"/>
      <c r="CR2996" s="189"/>
      <c r="CS2996" s="189"/>
      <c r="CT2996" s="189"/>
      <c r="CU2996" s="189"/>
      <c r="CV2996" s="189"/>
      <c r="CW2996" s="189"/>
      <c r="CX2996" s="189"/>
      <c r="CY2996" s="189"/>
      <c r="CZ2996" s="189"/>
      <c r="DA2996" s="189"/>
      <c r="DB2996" s="189"/>
      <c r="DC2996" s="189"/>
      <c r="DD2996" s="189"/>
      <c r="DE2996" s="189"/>
      <c r="DF2996" s="189"/>
      <c r="DG2996" s="189"/>
      <c r="DH2996" s="189"/>
      <c r="DI2996" s="189"/>
      <c r="DJ2996" s="189"/>
      <c r="DK2996" s="189"/>
      <c r="DL2996" s="189"/>
    </row>
    <row r="2997">
      <c r="A2997" s="44">
        <v>2724.0</v>
      </c>
      <c r="B2997" s="129" t="s">
        <v>285</v>
      </c>
      <c r="C2997" s="62" t="s">
        <v>115</v>
      </c>
      <c r="D2997" s="62" t="s">
        <v>2930</v>
      </c>
      <c r="F2997" s="159" t="s">
        <v>18014</v>
      </c>
      <c r="G2997" s="159" t="s">
        <v>18015</v>
      </c>
      <c r="H2997" s="159" t="s">
        <v>17592</v>
      </c>
      <c r="I2997" s="152">
        <v>45803.0</v>
      </c>
      <c r="J2997" s="862"/>
      <c r="K2997" s="159" t="s">
        <v>17838</v>
      </c>
      <c r="L2997" s="68"/>
      <c r="M2997" s="159" t="s">
        <v>18016</v>
      </c>
      <c r="N2997" s="159" t="s">
        <v>18017</v>
      </c>
      <c r="O2997" s="159" t="s">
        <v>138</v>
      </c>
      <c r="P2997" s="382" t="s">
        <v>18018</v>
      </c>
      <c r="Q2997" s="2191" t="str">
        <f> hyperlink(vlookup(lower(N2997),'File Links'!E:F, 2, FALSE), "LINK")</f>
        <v>LINK</v>
      </c>
      <c r="R2997" s="159" t="s">
        <v>138</v>
      </c>
      <c r="S2997" s="159" t="s">
        <v>138</v>
      </c>
      <c r="T2997" s="159" t="s">
        <v>138</v>
      </c>
      <c r="U2997" s="159" t="s">
        <v>138</v>
      </c>
      <c r="V2997" s="382" t="s">
        <v>577</v>
      </c>
      <c r="W2997" s="1231" t="s">
        <v>138</v>
      </c>
      <c r="X2997" s="2177" t="str">
        <f> hyperlink(vlookup(lower(S2997),'File Links'!E:F, 2, FALSE), "LINK")</f>
        <v>LINK</v>
      </c>
      <c r="Y2997" s="159" t="s">
        <v>17838</v>
      </c>
      <c r="Z2997" s="159" t="s">
        <v>947</v>
      </c>
      <c r="AA2997" s="159" t="s">
        <v>18019</v>
      </c>
      <c r="AB2997" s="159" t="s">
        <v>7291</v>
      </c>
      <c r="AC2997" s="68"/>
      <c r="AD2997" s="68"/>
      <c r="AE2997" s="159" t="s">
        <v>138</v>
      </c>
      <c r="AF2997" s="159" t="s">
        <v>138</v>
      </c>
      <c r="AG2997" s="159" t="s">
        <v>138</v>
      </c>
      <c r="AH2997" s="159" t="s">
        <v>138</v>
      </c>
      <c r="AI2997" s="159" t="s">
        <v>138</v>
      </c>
      <c r="AJ2997" s="159" t="s">
        <v>138</v>
      </c>
      <c r="AK2997" s="159" t="s">
        <v>138</v>
      </c>
      <c r="AL2997" s="159" t="s">
        <v>138</v>
      </c>
      <c r="AM2997" s="159" t="s">
        <v>138</v>
      </c>
      <c r="AN2997" s="159" t="s">
        <v>138</v>
      </c>
      <c r="AO2997" s="159" t="s">
        <v>138</v>
      </c>
      <c r="AP2997" s="159" t="s">
        <v>138</v>
      </c>
      <c r="AQ2997" s="159" t="s">
        <v>138</v>
      </c>
      <c r="AR2997" s="159" t="s">
        <v>138</v>
      </c>
      <c r="AS2997" s="159" t="s">
        <v>138</v>
      </c>
      <c r="AT2997" s="159" t="s">
        <v>138</v>
      </c>
      <c r="AU2997" s="159" t="s">
        <v>138</v>
      </c>
      <c r="AV2997" s="159" t="s">
        <v>138</v>
      </c>
      <c r="AW2997" s="159" t="s">
        <v>138</v>
      </c>
      <c r="AX2997" s="159" t="s">
        <v>138</v>
      </c>
      <c r="AY2997" s="61" t="str">
        <f>IFERROR(__xludf.DUMMYFUNCTION("vlookup(BB2997,importrange(""https://docs.google.com/spreadsheets/d/1d2vevQ_7D_v35q4wCQ4RpQ_IPoTwEMB9Yp6ymwlPqew/edit?gid=984458430#gid=984458430"", ""'replication success'!A:K""), 11, FAlSE)"),"#N/A")</f>
        <v>#N/A</v>
      </c>
      <c r="AZ2997" s="61" t="str">
        <f>IFERROR(__xludf.DUMMYFUNCTION("vlookup(BB2997,importrange(""https://docs.google.com/spreadsheets/d/1d2vevQ_7D_v35q4wCQ4RpQ_IPoTwEMB9Yp6ymwlPqew/edit?gid=984458430#gid=984458430"", ""'replication success'!A:M""), 12, FAlSE)"),"#N/A")</f>
        <v>#N/A</v>
      </c>
      <c r="BA2997" s="61" t="str">
        <f>IFERROR(__xludf.DUMMYFUNCTION("vlookup(BB2997,importrange(""https://docs.google.com/spreadsheets/d/1d2vevQ_7D_v35q4wCQ4RpQ_IPoTwEMB9Yp6ymwlPqew/edit?gid=984458430#gid=984458430"", ""'replication success'!A:M""), 13, FAlSE)"),"#N/A")</f>
        <v>#N/A</v>
      </c>
      <c r="BB2997" s="61" t="str">
        <f>IFERROR(__xludf.DUMMYFUNCTION("REGEXREPLACE(G2997, ""_[a-z]{1,2}$"", """")"),"CORE_220")</f>
        <v>CORE_220</v>
      </c>
    </row>
    <row r="2998">
      <c r="A2998" s="44">
        <v>2725.0</v>
      </c>
      <c r="B2998" s="129" t="s">
        <v>285</v>
      </c>
      <c r="C2998" s="62" t="s">
        <v>115</v>
      </c>
      <c r="D2998" s="62" t="s">
        <v>2930</v>
      </c>
      <c r="F2998" s="159" t="s">
        <v>18020</v>
      </c>
      <c r="G2998" s="159" t="s">
        <v>18021</v>
      </c>
      <c r="H2998" s="159" t="s">
        <v>17592</v>
      </c>
      <c r="I2998" s="152">
        <v>45803.0</v>
      </c>
      <c r="J2998" s="862"/>
      <c r="K2998" s="68"/>
      <c r="L2998" s="68"/>
      <c r="M2998" s="2397" t="s">
        <v>8663</v>
      </c>
      <c r="N2998" s="310" t="s">
        <v>18022</v>
      </c>
      <c r="O2998" s="159" t="s">
        <v>3079</v>
      </c>
      <c r="P2998" s="382" t="s">
        <v>18023</v>
      </c>
      <c r="Q2998" s="2191" t="str">
        <f> hyperlink(vlookup(lower(N2998),'File Links'!E:F, 2, FALSE), "LINK")</f>
        <v>LINK</v>
      </c>
      <c r="R2998" s="159" t="s">
        <v>138</v>
      </c>
      <c r="S2998" s="596" t="s">
        <v>12663</v>
      </c>
      <c r="T2998" s="159" t="s">
        <v>138</v>
      </c>
      <c r="U2998" s="156">
        <v>1.0</v>
      </c>
      <c r="V2998" s="382" t="s">
        <v>18024</v>
      </c>
      <c r="W2998" s="1231" t="s">
        <v>17597</v>
      </c>
      <c r="X2998" s="1552" t="str">
        <f> hyperlink(vlookup(lower(S2998),'File Links'!E:F, 2, FALSE), "LINK")</f>
        <v>LINK</v>
      </c>
      <c r="Y2998" s="68"/>
      <c r="Z2998" s="159" t="s">
        <v>947</v>
      </c>
      <c r="AA2998" s="159" t="s">
        <v>18025</v>
      </c>
      <c r="AB2998" s="159" t="s">
        <v>18026</v>
      </c>
      <c r="AC2998" s="159" t="s">
        <v>18027</v>
      </c>
      <c r="AD2998" s="159" t="s">
        <v>18028</v>
      </c>
      <c r="AE2998" s="156">
        <v>6.0</v>
      </c>
      <c r="AF2998" s="156">
        <v>81.0</v>
      </c>
      <c r="AG2998" s="156">
        <v>0.49</v>
      </c>
      <c r="AH2998" s="159" t="s">
        <v>173</v>
      </c>
      <c r="AI2998" s="159" t="s">
        <v>138</v>
      </c>
      <c r="AJ2998" s="156">
        <v>6.0</v>
      </c>
      <c r="AK2998" s="159" t="s">
        <v>138</v>
      </c>
      <c r="AL2998" s="159" t="s">
        <v>138</v>
      </c>
      <c r="AM2998" s="159" t="s">
        <v>138</v>
      </c>
      <c r="AN2998" s="159" t="s">
        <v>138</v>
      </c>
      <c r="AO2998" s="156">
        <v>300.0</v>
      </c>
      <c r="AP2998" s="156">
        <v>-0.017</v>
      </c>
      <c r="AQ2998" s="159" t="s">
        <v>215</v>
      </c>
      <c r="AR2998" s="159" t="s">
        <v>627</v>
      </c>
      <c r="AS2998" s="156">
        <v>0.383</v>
      </c>
      <c r="AT2998" s="159" t="s">
        <v>172</v>
      </c>
      <c r="AU2998" s="159" t="s">
        <v>218</v>
      </c>
      <c r="AV2998" s="159" t="s">
        <v>137</v>
      </c>
      <c r="AW2998" s="310" t="s">
        <v>18029</v>
      </c>
      <c r="AX2998" s="159" t="s">
        <v>324</v>
      </c>
      <c r="AY2998" s="61" t="str">
        <f>IFERROR(__xludf.DUMMYFUNCTION("vlookup(BB2998,importrange(""https://docs.google.com/spreadsheets/d/1d2vevQ_7D_v35q4wCQ4RpQ_IPoTwEMB9Yp6ymwlPqew/edit?gid=984458430#gid=984458430"", ""'replication success'!A:K""), 11, FAlSE)"),"#N/A")</f>
        <v>#N/A</v>
      </c>
      <c r="AZ2998" s="61" t="str">
        <f>IFERROR(__xludf.DUMMYFUNCTION("vlookup(BB2998,importrange(""https://docs.google.com/spreadsheets/d/1d2vevQ_7D_v35q4wCQ4RpQ_IPoTwEMB9Yp6ymwlPqew/edit?gid=984458430#gid=984458430"", ""'replication success'!A:M""), 12, FAlSE)"),"#N/A")</f>
        <v>#N/A</v>
      </c>
      <c r="BA2998" s="61" t="str">
        <f>IFERROR(__xludf.DUMMYFUNCTION("vlookup(BB2998,importrange(""https://docs.google.com/spreadsheets/d/1d2vevQ_7D_v35q4wCQ4RpQ_IPoTwEMB9Yp6ymwlPqew/edit?gid=984458430#gid=984458430"", ""'replication success'!A:M""), 13, FAlSE)"),"#N/A")</f>
        <v>#N/A</v>
      </c>
      <c r="BB2998" s="61" t="str">
        <f>IFERROR(__xludf.DUMMYFUNCTION("REGEXREPLACE(G2998, ""_[a-z]{1,2}$"", """")"),"CORE_221")</f>
        <v>CORE_221</v>
      </c>
    </row>
    <row r="2999">
      <c r="A2999" s="44">
        <v>2730.0</v>
      </c>
      <c r="B2999" s="129" t="s">
        <v>152</v>
      </c>
      <c r="C2999" s="62" t="s">
        <v>115</v>
      </c>
      <c r="D2999" s="62" t="s">
        <v>15473</v>
      </c>
      <c r="F2999" s="2425" t="s">
        <v>15584</v>
      </c>
      <c r="G2999" s="2426" t="s">
        <v>15585</v>
      </c>
      <c r="H2999" s="2426" t="s">
        <v>17461</v>
      </c>
      <c r="I2999" s="2427">
        <v>45331.0</v>
      </c>
      <c r="J2999" s="2405">
        <v>45828.0</v>
      </c>
      <c r="K2999" s="2425" t="s">
        <v>18030</v>
      </c>
      <c r="L2999" s="2428" t="s">
        <v>18031</v>
      </c>
      <c r="M2999" s="2426" t="s">
        <v>15587</v>
      </c>
      <c r="N2999" s="2426" t="s">
        <v>15588</v>
      </c>
      <c r="O2999" s="1894" t="s">
        <v>4092</v>
      </c>
      <c r="P2999" s="2426" t="s">
        <v>15589</v>
      </c>
      <c r="Q2999" s="2191" t="str">
        <f> hyperlink(vlookup(lower(N2999),'File Links'!E:F, 2, FALSE), "LINK")</f>
        <v>LINK</v>
      </c>
      <c r="R2999" s="159" t="s">
        <v>15590</v>
      </c>
      <c r="S2999" s="159" t="s">
        <v>15591</v>
      </c>
      <c r="T2999" s="68"/>
      <c r="U2999" s="336">
        <v>1.0</v>
      </c>
      <c r="V2999" s="159" t="s">
        <v>15592</v>
      </c>
      <c r="W2999" s="1080" t="s">
        <v>164</v>
      </c>
      <c r="X2999" s="2429" t="str">
        <f> hyperlink(vlookup(lower(S2999),'File Links'!E:F, 2, FALSE), "LINK")</f>
        <v>LINK</v>
      </c>
      <c r="Y2999" s="68"/>
      <c r="Z2999" s="159" t="s">
        <v>947</v>
      </c>
      <c r="AA2999" s="159" t="s">
        <v>15593</v>
      </c>
      <c r="AB2999" s="159" t="s">
        <v>7291</v>
      </c>
      <c r="AC2999" s="159" t="s">
        <v>15594</v>
      </c>
      <c r="AD2999" s="129" t="s">
        <v>18032</v>
      </c>
      <c r="AE2999" s="336">
        <v>2.0</v>
      </c>
      <c r="AF2999" s="336">
        <v>60.0</v>
      </c>
      <c r="AG2999" s="68" t="s">
        <v>18033</v>
      </c>
      <c r="AH2999" s="68" t="s">
        <v>134</v>
      </c>
      <c r="AI2999" s="68" t="s">
        <v>2771</v>
      </c>
      <c r="AJ2999" s="336">
        <v>0.001</v>
      </c>
      <c r="AK2999" s="68" t="s">
        <v>135</v>
      </c>
      <c r="AL2999" s="68" t="s">
        <v>186</v>
      </c>
      <c r="AM2999" s="68" t="s">
        <v>137</v>
      </c>
      <c r="AN2999" s="129" t="s">
        <v>138</v>
      </c>
      <c r="AO2999" s="336">
        <v>535.0</v>
      </c>
      <c r="AP2999" s="68" t="s">
        <v>18034</v>
      </c>
      <c r="AQ2999" s="68" t="s">
        <v>134</v>
      </c>
      <c r="AR2999" s="68" t="s">
        <v>4979</v>
      </c>
      <c r="AS2999" s="336">
        <v>0.001</v>
      </c>
      <c r="AT2999" s="68" t="s">
        <v>135</v>
      </c>
      <c r="AU2999" s="68" t="s">
        <v>186</v>
      </c>
      <c r="AV2999" s="68" t="s">
        <v>137</v>
      </c>
      <c r="AW2999" s="435" t="s">
        <v>18035</v>
      </c>
      <c r="AX2999" s="68" t="s">
        <v>143</v>
      </c>
      <c r="AY2999" s="61" t="str">
        <f>IFERROR(__xludf.DUMMYFUNCTION("vlookup(BB2999,importrange(""https://docs.google.com/spreadsheets/d/1d2vevQ_7D_v35q4wCQ4RpQ_IPoTwEMB9Yp6ymwlPqew/edit?gid=984458430#gid=984458430"", ""'replication success'!A:K""), 11, FAlSE)"),"mixed")</f>
        <v>mixed</v>
      </c>
      <c r="AZ2999" s="61" t="str">
        <f>IFERROR(__xludf.DUMMYFUNCTION("vlookup(BB2999,importrange(""https://docs.google.com/spreadsheets/d/1d2vevQ_7D_v35q4wCQ4RpQ_IPoTwEMB9Yp6ymwlPqew/edit?gid=984458430#gid=984458430"",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2999" s="61" t="str">
        <f>IFERROR(__xludf.DUMMYFUNCTION("vlookup(BB2999,importrange(""https://docs.google.com/spreadsheets/d/1d2vevQ_7D_v35q4wCQ4RpQ_IPoTwEMB9Yp6ymwlPqew/edit?gid=984458430#gid=984458430"", ""'replication success'!A:M""), 13, FAlSE)"),"abstract")</f>
        <v>abstract</v>
      </c>
      <c r="BB2999" s="61" t="str">
        <f>IFERROR(__xludf.DUMMYFUNCTION("REGEXREPLACE(G2999, ""_[a-z]{1,2}$"", """")"),"CORE_27")</f>
        <v>CORE_27</v>
      </c>
      <c r="BD2999" s="467" t="s">
        <v>814</v>
      </c>
      <c r="BE2999" s="68"/>
    </row>
    <row r="3000">
      <c r="A3000" s="44">
        <v>2731.0</v>
      </c>
      <c r="B3000" s="129" t="s">
        <v>152</v>
      </c>
      <c r="C3000" s="62" t="s">
        <v>115</v>
      </c>
      <c r="D3000" s="62" t="s">
        <v>15473</v>
      </c>
      <c r="F3000" s="2425" t="s">
        <v>15584</v>
      </c>
      <c r="G3000" s="2426" t="s">
        <v>15585</v>
      </c>
      <c r="H3000" s="2426" t="s">
        <v>17461</v>
      </c>
      <c r="I3000" s="2427">
        <v>45331.0</v>
      </c>
      <c r="J3000" s="2405">
        <v>45828.0</v>
      </c>
      <c r="K3000" s="2425" t="s">
        <v>18030</v>
      </c>
      <c r="L3000" s="2428" t="s">
        <v>18036</v>
      </c>
      <c r="M3000" s="2426" t="s">
        <v>15587</v>
      </c>
      <c r="N3000" s="2426" t="s">
        <v>15588</v>
      </c>
      <c r="O3000" s="1894">
        <v>3.0</v>
      </c>
      <c r="P3000" s="2426" t="s">
        <v>15589</v>
      </c>
      <c r="Q3000" s="2430" t="str">
        <f> hyperlink(vlookup(lower(N3000),'File Links'!E:F, 2, FALSE), "LINK")</f>
        <v>LINK</v>
      </c>
      <c r="R3000" s="159" t="s">
        <v>15590</v>
      </c>
      <c r="S3000" s="159" t="s">
        <v>15591</v>
      </c>
      <c r="T3000" s="68"/>
      <c r="U3000" s="336">
        <v>3.0</v>
      </c>
      <c r="V3000" s="159" t="s">
        <v>15592</v>
      </c>
      <c r="W3000" s="1080" t="s">
        <v>164</v>
      </c>
      <c r="X3000" s="2429" t="str">
        <f> hyperlink(vlookup(lower(S3000),'File Links'!E:F, 2, FALSE), "LINK")</f>
        <v>LINK</v>
      </c>
      <c r="Y3000" s="68"/>
      <c r="Z3000" s="159" t="s">
        <v>947</v>
      </c>
      <c r="AA3000" s="159" t="s">
        <v>15593</v>
      </c>
      <c r="AB3000" s="159" t="s">
        <v>7291</v>
      </c>
      <c r="AC3000" s="151" t="s">
        <v>18037</v>
      </c>
      <c r="AD3000" s="68" t="s">
        <v>18038</v>
      </c>
      <c r="AE3000" s="336">
        <v>4.0</v>
      </c>
      <c r="AF3000" s="336">
        <v>80.0</v>
      </c>
      <c r="AG3000" s="68" t="s">
        <v>18039</v>
      </c>
      <c r="AH3000" s="68" t="s">
        <v>134</v>
      </c>
      <c r="AI3000" s="68" t="s">
        <v>496</v>
      </c>
      <c r="AJ3000" s="336">
        <v>1.0E-4</v>
      </c>
      <c r="AK3000" s="68" t="s">
        <v>135</v>
      </c>
      <c r="AL3000" s="68" t="s">
        <v>186</v>
      </c>
      <c r="AM3000" s="68" t="s">
        <v>137</v>
      </c>
      <c r="AN3000" s="129" t="s">
        <v>138</v>
      </c>
      <c r="AO3000" s="336">
        <v>493.0</v>
      </c>
      <c r="AP3000" s="68" t="s">
        <v>18040</v>
      </c>
      <c r="AQ3000" s="68" t="s">
        <v>134</v>
      </c>
      <c r="AR3000" s="68" t="s">
        <v>624</v>
      </c>
      <c r="AS3000" s="336">
        <v>0.001</v>
      </c>
      <c r="AT3000" s="68" t="s">
        <v>135</v>
      </c>
      <c r="AU3000" s="68" t="s">
        <v>186</v>
      </c>
      <c r="AV3000" s="68" t="s">
        <v>137</v>
      </c>
      <c r="AW3000" s="435" t="s">
        <v>18035</v>
      </c>
      <c r="AX3000" s="68" t="s">
        <v>143</v>
      </c>
      <c r="AY3000" s="61" t="str">
        <f>IFERROR(__xludf.DUMMYFUNCTION("vlookup(BB3000,importrange(""https://docs.google.com/spreadsheets/d/1d2vevQ_7D_v35q4wCQ4RpQ_IPoTwEMB9Yp6ymwlPqew/edit?gid=984458430#gid=984458430"", ""'replication success'!A:K""), 11, FAlSE)"),"mixed")</f>
        <v>mixed</v>
      </c>
      <c r="AZ3000" s="61" t="str">
        <f>IFERROR(__xludf.DUMMYFUNCTION("vlookup(BB3000,importrange(""https://docs.google.com/spreadsheets/d/1d2vevQ_7D_v35q4wCQ4RpQ_IPoTwEMB9Yp6ymwlPqew/edit?gid=984458430#gid=984458430"",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3000" s="61" t="str">
        <f>IFERROR(__xludf.DUMMYFUNCTION("vlookup(BB3000,importrange(""https://docs.google.com/spreadsheets/d/1d2vevQ_7D_v35q4wCQ4RpQ_IPoTwEMB9Yp6ymwlPqew/edit?gid=984458430#gid=984458430"", ""'replication success'!A:M""), 13, FAlSE)"),"abstract")</f>
        <v>abstract</v>
      </c>
      <c r="BB3000" s="61" t="str">
        <f>IFERROR(__xludf.DUMMYFUNCTION("REGEXREPLACE(G3000, ""_[a-z]{1,2}$"", """")"),"CORE_27")</f>
        <v>CORE_27</v>
      </c>
      <c r="BD3000" s="467" t="s">
        <v>814</v>
      </c>
      <c r="BE3000" s="68"/>
    </row>
    <row r="3001">
      <c r="A3001" s="44">
        <v>2732.0</v>
      </c>
      <c r="B3001" s="129" t="s">
        <v>114</v>
      </c>
      <c r="C3001" s="62" t="s">
        <v>115</v>
      </c>
      <c r="D3001" s="62" t="s">
        <v>15473</v>
      </c>
      <c r="F3001" s="2425" t="s">
        <v>15584</v>
      </c>
      <c r="G3001" s="2426" t="s">
        <v>15585</v>
      </c>
      <c r="H3001" s="2426" t="s">
        <v>17461</v>
      </c>
      <c r="I3001" s="2427">
        <v>45331.0</v>
      </c>
      <c r="J3001" s="2405">
        <v>45828.0</v>
      </c>
      <c r="K3001" s="2425" t="s">
        <v>18030</v>
      </c>
      <c r="L3001" s="2428" t="s">
        <v>18041</v>
      </c>
      <c r="M3001" s="2426" t="s">
        <v>15587</v>
      </c>
      <c r="N3001" s="2426" t="s">
        <v>15588</v>
      </c>
      <c r="O3001" s="2431">
        <v>4.0</v>
      </c>
      <c r="P3001" s="2426" t="s">
        <v>15589</v>
      </c>
      <c r="Q3001" s="2430" t="str">
        <f> hyperlink(vlookup(lower(N3001),'File Links'!E:F, 2, FALSE), "LINK")</f>
        <v>LINK</v>
      </c>
      <c r="R3001" s="159" t="s">
        <v>15590</v>
      </c>
      <c r="S3001" s="159" t="s">
        <v>15591</v>
      </c>
      <c r="T3001" s="68"/>
      <c r="U3001" s="336">
        <v>4.0</v>
      </c>
      <c r="V3001" s="159" t="s">
        <v>15592</v>
      </c>
      <c r="W3001" s="1080" t="s">
        <v>164</v>
      </c>
      <c r="X3001" s="2429" t="str">
        <f> hyperlink(vlookup(lower(S3001),'File Links'!E:F, 2, FALSE), "LINK")</f>
        <v>LINK</v>
      </c>
      <c r="Y3001" s="68"/>
      <c r="Z3001" s="159" t="s">
        <v>947</v>
      </c>
      <c r="AA3001" s="159" t="s">
        <v>15593</v>
      </c>
      <c r="AB3001" s="159" t="s">
        <v>7291</v>
      </c>
      <c r="AC3001" s="159" t="s">
        <v>18042</v>
      </c>
      <c r="AD3001" s="68" t="s">
        <v>18043</v>
      </c>
      <c r="AE3001" s="336">
        <v>4.0</v>
      </c>
      <c r="AF3001" s="501">
        <v>80.0</v>
      </c>
      <c r="AG3001" s="68" t="s">
        <v>18044</v>
      </c>
      <c r="AH3001" s="68" t="s">
        <v>134</v>
      </c>
      <c r="AI3001" s="68" t="s">
        <v>496</v>
      </c>
      <c r="AJ3001" s="336">
        <v>0.02</v>
      </c>
      <c r="AK3001" s="68" t="s">
        <v>135</v>
      </c>
      <c r="AL3001" s="68" t="s">
        <v>186</v>
      </c>
      <c r="AM3001" s="68" t="s">
        <v>137</v>
      </c>
      <c r="AN3001" s="129" t="s">
        <v>138</v>
      </c>
      <c r="AO3001" s="161">
        <v>248.0</v>
      </c>
      <c r="AP3001" s="161" t="s">
        <v>15609</v>
      </c>
      <c r="AQ3001" s="151" t="s">
        <v>134</v>
      </c>
      <c r="AR3001" s="151" t="s">
        <v>15610</v>
      </c>
      <c r="AS3001" s="161">
        <v>0.1</v>
      </c>
      <c r="AT3001" s="151" t="s">
        <v>172</v>
      </c>
      <c r="AU3001" s="68" t="s">
        <v>186</v>
      </c>
      <c r="AV3001" s="68" t="s">
        <v>137</v>
      </c>
      <c r="AW3001" s="435" t="s">
        <v>18035</v>
      </c>
      <c r="AX3001" s="68" t="s">
        <v>143</v>
      </c>
      <c r="AY3001" s="61" t="str">
        <f>IFERROR(__xludf.DUMMYFUNCTION("vlookup(BB3001,importrange(""https://docs.google.com/spreadsheets/d/1d2vevQ_7D_v35q4wCQ4RpQ_IPoTwEMB9Yp6ymwlPqew/edit?gid=984458430#gid=984458430"", ""'replication success'!A:K""), 11, FAlSE)"),"mixed")</f>
        <v>mixed</v>
      </c>
      <c r="AZ3001" s="61" t="str">
        <f>IFERROR(__xludf.DUMMYFUNCTION("vlookup(BB3001,importrange(""https://docs.google.com/spreadsheets/d/1d2vevQ_7D_v35q4wCQ4RpQ_IPoTwEMB9Yp6ymwlPqew/edit?gid=984458430#gid=984458430"",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3001" s="61" t="str">
        <f>IFERROR(__xludf.DUMMYFUNCTION("vlookup(BB3001,importrange(""https://docs.google.com/spreadsheets/d/1d2vevQ_7D_v35q4wCQ4RpQ_IPoTwEMB9Yp6ymwlPqew/edit?gid=984458430#gid=984458430"", ""'replication success'!A:M""), 13, FAlSE)"),"abstract")</f>
        <v>abstract</v>
      </c>
      <c r="BB3001" s="61" t="str">
        <f>IFERROR(__xludf.DUMMYFUNCTION("REGEXREPLACE(G3001, ""_[a-z]{1,2}$"", """")"),"CORE_27")</f>
        <v>CORE_27</v>
      </c>
      <c r="BD3001" s="467" t="s">
        <v>814</v>
      </c>
      <c r="BE3001" s="68"/>
    </row>
    <row r="3002">
      <c r="A3002" s="44">
        <v>2733.0</v>
      </c>
      <c r="B3002" s="129" t="s">
        <v>152</v>
      </c>
      <c r="C3002" s="62" t="s">
        <v>115</v>
      </c>
      <c r="D3002" s="62" t="s">
        <v>15473</v>
      </c>
      <c r="F3002" s="2425" t="s">
        <v>15584</v>
      </c>
      <c r="G3002" s="2426" t="s">
        <v>15585</v>
      </c>
      <c r="H3002" s="2426" t="s">
        <v>17461</v>
      </c>
      <c r="I3002" s="2427">
        <v>45331.0</v>
      </c>
      <c r="J3002" s="2405">
        <v>45828.0</v>
      </c>
      <c r="K3002" s="2425" t="s">
        <v>18030</v>
      </c>
      <c r="L3002" s="2428" t="s">
        <v>18031</v>
      </c>
      <c r="M3002" s="2426" t="s">
        <v>15587</v>
      </c>
      <c r="N3002" s="2426" t="s">
        <v>15588</v>
      </c>
      <c r="O3002" s="2431">
        <v>5.0</v>
      </c>
      <c r="P3002" s="2426" t="s">
        <v>15589</v>
      </c>
      <c r="Q3002" s="2430" t="str">
        <f> hyperlink(vlookup(lower(N3002),'File Links'!E:F, 2, FALSE), "LINK")</f>
        <v>LINK</v>
      </c>
      <c r="R3002" s="159" t="s">
        <v>15590</v>
      </c>
      <c r="S3002" s="159" t="s">
        <v>15591</v>
      </c>
      <c r="T3002" s="68"/>
      <c r="U3002" s="336">
        <v>5.0</v>
      </c>
      <c r="V3002" s="159" t="s">
        <v>15592</v>
      </c>
      <c r="W3002" s="1080" t="s">
        <v>164</v>
      </c>
      <c r="X3002" s="2429" t="str">
        <f> hyperlink(vlookup(lower(S3002),'File Links'!E:F, 2, FALSE), "LINK")</f>
        <v>LINK</v>
      </c>
      <c r="Y3002" s="68"/>
      <c r="Z3002" s="159" t="s">
        <v>947</v>
      </c>
      <c r="AA3002" s="159" t="s">
        <v>15593</v>
      </c>
      <c r="AB3002" s="159" t="s">
        <v>7291</v>
      </c>
      <c r="AC3002" s="159" t="s">
        <v>18045</v>
      </c>
      <c r="AD3002" s="68" t="s">
        <v>18046</v>
      </c>
      <c r="AE3002" s="336">
        <v>5.0</v>
      </c>
      <c r="AF3002" s="336">
        <v>32.0</v>
      </c>
      <c r="AG3002" s="68" t="s">
        <v>18047</v>
      </c>
      <c r="AH3002" s="68" t="s">
        <v>134</v>
      </c>
      <c r="AI3002" s="68" t="s">
        <v>882</v>
      </c>
      <c r="AJ3002" s="336">
        <v>0.01</v>
      </c>
      <c r="AK3002" s="68" t="s">
        <v>135</v>
      </c>
      <c r="AL3002" s="68" t="s">
        <v>186</v>
      </c>
      <c r="AM3002" s="68" t="s">
        <v>137</v>
      </c>
      <c r="AN3002" s="129" t="s">
        <v>138</v>
      </c>
      <c r="AO3002" s="336">
        <v>265.0</v>
      </c>
      <c r="AP3002" s="68" t="s">
        <v>15615</v>
      </c>
      <c r="AQ3002" s="68" t="s">
        <v>134</v>
      </c>
      <c r="AR3002" s="68" t="s">
        <v>1042</v>
      </c>
      <c r="AS3002" s="336">
        <v>0.951</v>
      </c>
      <c r="AT3002" s="68" t="s">
        <v>172</v>
      </c>
      <c r="AU3002" s="68" t="s">
        <v>186</v>
      </c>
      <c r="AV3002" s="68" t="s">
        <v>137</v>
      </c>
      <c r="AW3002" s="435" t="s">
        <v>18035</v>
      </c>
      <c r="AX3002" s="68" t="s">
        <v>143</v>
      </c>
      <c r="AY3002" s="61" t="str">
        <f>IFERROR(__xludf.DUMMYFUNCTION("vlookup(BB3002,importrange(""https://docs.google.com/spreadsheets/d/1d2vevQ_7D_v35q4wCQ4RpQ_IPoTwEMB9Yp6ymwlPqew/edit?gid=984458430#gid=984458430"", ""'replication success'!A:K""), 11, FAlSE)"),"mixed")</f>
        <v>mixed</v>
      </c>
      <c r="AZ3002" s="61" t="str">
        <f>IFERROR(__xludf.DUMMYFUNCTION("vlookup(BB3002,importrange(""https://docs.google.com/spreadsheets/d/1d2vevQ_7D_v35q4wCQ4RpQ_IPoTwEMB9Yp6ymwlPqew/edit?gid=984458430#gid=984458430"", ""'replication success'!A:M""), 12, FAlSE)"),"We found support for the original findings using different 
designs in Studies 1, 3, and 4, yet with weaker effects. ")</f>
        <v>We found support for the original findings using different 
designs in Studies 1, 3, and 4, yet with weaker effects. </v>
      </c>
      <c r="BA3002" s="61" t="str">
        <f>IFERROR(__xludf.DUMMYFUNCTION("vlookup(BB3002,importrange(""https://docs.google.com/spreadsheets/d/1d2vevQ_7D_v35q4wCQ4RpQ_IPoTwEMB9Yp6ymwlPqew/edit?gid=984458430#gid=984458430"", ""'replication success'!A:M""), 13, FAlSE)"),"abstract")</f>
        <v>abstract</v>
      </c>
      <c r="BB3002" s="61" t="str">
        <f>IFERROR(__xludf.DUMMYFUNCTION("REGEXREPLACE(G3002, ""_[a-z]{1,2}$"", """")"),"CORE_27")</f>
        <v>CORE_27</v>
      </c>
      <c r="BD3002" s="467" t="s">
        <v>814</v>
      </c>
      <c r="BE3002" s="68"/>
    </row>
    <row r="3003">
      <c r="A3003" s="44">
        <v>2734.0</v>
      </c>
      <c r="B3003" s="129" t="s">
        <v>152</v>
      </c>
      <c r="C3003" s="62" t="s">
        <v>115</v>
      </c>
      <c r="D3003" s="62" t="s">
        <v>15473</v>
      </c>
      <c r="F3003" s="2425" t="s">
        <v>15616</v>
      </c>
      <c r="G3003" s="2426" t="s">
        <v>15617</v>
      </c>
      <c r="H3003" s="2426" t="s">
        <v>17483</v>
      </c>
      <c r="I3003" s="2427">
        <v>45331.0</v>
      </c>
      <c r="J3003" s="2405">
        <v>45828.0</v>
      </c>
      <c r="K3003" s="2425"/>
      <c r="L3003" s="2428" t="s">
        <v>18048</v>
      </c>
      <c r="M3003" s="2426" t="s">
        <v>15618</v>
      </c>
      <c r="N3003" s="2426" t="s">
        <v>15619</v>
      </c>
      <c r="O3003" s="2431">
        <v>1.0</v>
      </c>
      <c r="P3003" s="2426" t="s">
        <v>15620</v>
      </c>
      <c r="Q3003" s="2430" t="str">
        <f> hyperlink(vlookup(lower(N3003),'File Links'!E:F, 2, FALSE), "LINK")</f>
        <v>LINK</v>
      </c>
      <c r="R3003" s="159" t="s">
        <v>15621</v>
      </c>
      <c r="S3003" s="159" t="s">
        <v>15622</v>
      </c>
      <c r="T3003" s="68"/>
      <c r="U3003" s="336">
        <v>1.0</v>
      </c>
      <c r="V3003" s="159" t="s">
        <v>15623</v>
      </c>
      <c r="W3003" s="695" t="s">
        <v>7289</v>
      </c>
      <c r="X3003" s="2429" t="str">
        <f> hyperlink(vlookup(lower(S3003),'File Links'!E:F, 2, FALSE), "LINK")</f>
        <v>LINK</v>
      </c>
      <c r="Y3003" s="68"/>
      <c r="Z3003" s="159" t="s">
        <v>947</v>
      </c>
      <c r="AA3003" s="159" t="s">
        <v>15624</v>
      </c>
      <c r="AB3003" s="159" t="s">
        <v>7291</v>
      </c>
      <c r="AC3003" s="159" t="s">
        <v>15625</v>
      </c>
      <c r="AD3003" s="129" t="s">
        <v>18049</v>
      </c>
      <c r="AE3003" s="336">
        <v>4.0</v>
      </c>
      <c r="AF3003" s="336">
        <v>88.0</v>
      </c>
      <c r="AG3003" s="129" t="s">
        <v>18050</v>
      </c>
      <c r="AH3003" s="68" t="s">
        <v>134</v>
      </c>
      <c r="AI3003" s="68" t="s">
        <v>882</v>
      </c>
      <c r="AJ3003" s="336">
        <v>1.0E-4</v>
      </c>
      <c r="AK3003" s="68" t="s">
        <v>135</v>
      </c>
      <c r="AL3003" s="68" t="s">
        <v>186</v>
      </c>
      <c r="AM3003" s="68" t="s">
        <v>137</v>
      </c>
      <c r="AN3003" s="129" t="s">
        <v>138</v>
      </c>
      <c r="AO3003" s="336">
        <v>670.0</v>
      </c>
      <c r="AP3003" s="336">
        <v>0.19</v>
      </c>
      <c r="AQ3003" s="68" t="s">
        <v>987</v>
      </c>
      <c r="AR3003" s="68" t="s">
        <v>630</v>
      </c>
      <c r="AS3003" s="2432" t="s">
        <v>138</v>
      </c>
      <c r="AT3003" s="68" t="s">
        <v>186</v>
      </c>
      <c r="AU3003" s="68" t="s">
        <v>186</v>
      </c>
      <c r="AV3003" s="68" t="s">
        <v>137</v>
      </c>
      <c r="AW3003" s="435" t="s">
        <v>18051</v>
      </c>
      <c r="AX3003" s="68" t="s">
        <v>143</v>
      </c>
      <c r="AY3003" s="61" t="str">
        <f>IFERROR(__xludf.DUMMYFUNCTION("vlookup(BB3003,importrange(""https://docs.google.com/spreadsheets/d/1d2vevQ_7D_v35q4wCQ4RpQ_IPoTwEMB9Yp6ymwlPqew/edit?gid=984458430#gid=984458430"", ""'replication success'!A:K""), 11, FAlSE)"),"successful")</f>
        <v>successful</v>
      </c>
      <c r="AZ3003" s="61" t="str">
        <f>IFERROR(__xludf.DUMMYFUNCTION("vlookup(BB3003,importrange(""https://docs.google.com/spreadsheets/d/1d2vevQ_7D_v35q4wCQ4RpQ_IPoTwEMB9Yp6ymwlPqew/edit?gid=984458430#gid=984458430"", ""'replication success'!A:M""), 12, FAlSE)"),"Thirty-five years later, the
 better-than-average effect appears to remain robust. ")</f>
        <v>Thirty-five years later, the
 better-than-average effect appears to remain robust. </v>
      </c>
      <c r="BA3003" s="61" t="str">
        <f>IFERROR(__xludf.DUMMYFUNCTION("vlookup(BB3003,importrange(""https://docs.google.com/spreadsheets/d/1d2vevQ_7D_v35q4wCQ4RpQ_IPoTwEMB9Yp6ymwlPqew/edit?gid=984458430#gid=984458430"", ""'replication success'!A:M""), 13, FAlSE)"),"abstract")</f>
        <v>abstract</v>
      </c>
      <c r="BB3003" s="61" t="str">
        <f>IFERROR(__xludf.DUMMYFUNCTION("REGEXREPLACE(G3003, ""_[a-z]{1,2}$"", """")"),"CORE_37")</f>
        <v>CORE_37</v>
      </c>
      <c r="BD3003" s="467" t="s">
        <v>814</v>
      </c>
      <c r="BE3003" s="68"/>
    </row>
    <row r="3004">
      <c r="A3004" s="44">
        <v>2841.0</v>
      </c>
      <c r="B3004" s="1062" t="s">
        <v>114</v>
      </c>
      <c r="C3004" s="1063" t="s">
        <v>115</v>
      </c>
      <c r="D3004" s="1063" t="s">
        <v>248</v>
      </c>
      <c r="E3004" s="1064"/>
      <c r="F3004" s="1065" t="s">
        <v>18052</v>
      </c>
      <c r="G3004" s="1065" t="s">
        <v>18053</v>
      </c>
      <c r="H3004" s="1065" t="s">
        <v>249</v>
      </c>
      <c r="I3004" s="2433">
        <v>45807.0</v>
      </c>
      <c r="J3004" s="2434"/>
      <c r="K3004" s="1065"/>
      <c r="L3004" s="1062" t="s">
        <v>18054</v>
      </c>
      <c r="M3004" s="1065" t="s">
        <v>18055</v>
      </c>
      <c r="N3004" s="1065" t="s">
        <v>18056</v>
      </c>
      <c r="O3004" s="1062" t="s">
        <v>5562</v>
      </c>
      <c r="P3004" s="1065" t="s">
        <v>18057</v>
      </c>
      <c r="Q3004" s="2435" t="str">
        <f> hyperlink(vlookup(lower(N3004),'File Links'!E:F, 2, FALSE), "LINK")</f>
        <v>LINK</v>
      </c>
      <c r="R3004" s="1065" t="s">
        <v>18058</v>
      </c>
      <c r="S3004" s="1065" t="s">
        <v>18059</v>
      </c>
      <c r="T3004" s="1065"/>
      <c r="U3004" s="1065" t="s">
        <v>5562</v>
      </c>
      <c r="V3004" s="1065" t="s">
        <v>18060</v>
      </c>
      <c r="W3004" s="1062" t="s">
        <v>1122</v>
      </c>
      <c r="X3004" s="2436" t="str">
        <f> hyperlink(vlookup(lower(S3004),'File Links'!E:F, 2, FALSE), "LINK")</f>
        <v>LINK</v>
      </c>
      <c r="Y3004" s="1065"/>
      <c r="Z3004" s="1065" t="s">
        <v>947</v>
      </c>
      <c r="AA3004" s="1065" t="s">
        <v>18061</v>
      </c>
      <c r="AB3004" s="1065" t="s">
        <v>7291</v>
      </c>
      <c r="AC3004" s="1065" t="s">
        <v>18062</v>
      </c>
      <c r="AD3004" s="1062" t="s">
        <v>18063</v>
      </c>
      <c r="AE3004" s="1065" t="s">
        <v>1042</v>
      </c>
      <c r="AF3004" s="2437">
        <v>121.0</v>
      </c>
      <c r="AG3004" s="2437">
        <v>0.371</v>
      </c>
      <c r="AH3004" s="1065" t="s">
        <v>173</v>
      </c>
      <c r="AI3004" s="1065" t="s">
        <v>18064</v>
      </c>
      <c r="AJ3004" s="2437">
        <v>0.001</v>
      </c>
      <c r="AK3004" s="1065" t="s">
        <v>135</v>
      </c>
      <c r="AL3004" s="68" t="s">
        <v>186</v>
      </c>
      <c r="AM3004" s="159" t="s">
        <v>141</v>
      </c>
      <c r="AN3004" s="1065" t="s">
        <v>138</v>
      </c>
      <c r="AO3004" s="2438">
        <v>743.0</v>
      </c>
      <c r="AP3004" s="2437">
        <v>0.65</v>
      </c>
      <c r="AQ3004" s="1065" t="s">
        <v>173</v>
      </c>
      <c r="AR3004" s="1065" t="s">
        <v>18065</v>
      </c>
      <c r="AS3004" s="2437">
        <v>0.001</v>
      </c>
      <c r="AT3004" s="1065" t="s">
        <v>135</v>
      </c>
      <c r="AU3004" s="159" t="s">
        <v>136</v>
      </c>
      <c r="AV3004" s="159" t="s">
        <v>141</v>
      </c>
      <c r="AW3004" s="2156" t="s">
        <v>18066</v>
      </c>
      <c r="AX3004" s="1065" t="s">
        <v>143</v>
      </c>
      <c r="AY3004" s="61" t="str">
        <f>IFERROR(__xludf.DUMMYFUNCTION("vlookup(BB3004,importrange(""https://docs.google.com/spreadsheets/d/1d2vevQ_7D_v35q4wCQ4RpQ_IPoTwEMB9Yp6ymwlPqew/edit?gid=984458430#gid=984458430"", ""'replication success'!A:K""), 11, FAlSE)"),"successful")</f>
        <v>successful</v>
      </c>
      <c r="AZ3004" s="61" t="str">
        <f>IFERROR(__xludf.DUMMYFUNCTION("vlookup(BB3004,importrange(""https://docs.google.com/spreadsheets/d/1d2vevQ_7D_v35q4wCQ4RpQ_IPoTwEMB9Yp6ymwlPqew/edit?gid=984458430#gid=984458430"",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4" s="61" t="str">
        <f>IFERROR(__xludf.DUMMYFUNCTION("vlookup(BB3004,importrange(""https://docs.google.com/spreadsheets/d/1d2vevQ_7D_v35q4wCQ4RpQ_IPoTwEMB9Yp6ymwlPqew/edit?gid=984458430#gid=984458430"", ""'replication success'!A:M""), 13, FAlSE)"),"abstract")</f>
        <v>abstract</v>
      </c>
      <c r="BB3004" s="61" t="str">
        <f>IFERROR(__xludf.DUMMYFUNCTION("REGEXREPLACE(G3004, ""_[a-z]{1,2}$"", """")"),"CORE_39")</f>
        <v>CORE_39</v>
      </c>
      <c r="BC3004" s="1064"/>
      <c r="BD3004" s="1063" t="s">
        <v>1270</v>
      </c>
      <c r="BE3004" s="1064"/>
    </row>
    <row r="3005">
      <c r="A3005" s="44">
        <v>2984.0</v>
      </c>
      <c r="B3005" s="1062" t="s">
        <v>152</v>
      </c>
      <c r="C3005" s="1063" t="s">
        <v>115</v>
      </c>
      <c r="D3005" s="1063" t="s">
        <v>15473</v>
      </c>
      <c r="E3005" s="1064"/>
      <c r="F3005" s="1065" t="s">
        <v>18052</v>
      </c>
      <c r="G3005" s="704" t="s">
        <v>18053</v>
      </c>
      <c r="H3005" s="704" t="s">
        <v>17483</v>
      </c>
      <c r="I3005" s="1068">
        <v>45331.0</v>
      </c>
      <c r="J3005" s="2439">
        <v>45828.0</v>
      </c>
      <c r="K3005" s="1065"/>
      <c r="L3005" s="1062" t="s">
        <v>18067</v>
      </c>
      <c r="M3005" s="704" t="s">
        <v>18055</v>
      </c>
      <c r="N3005" s="704" t="s">
        <v>18056</v>
      </c>
      <c r="O3005" s="1065" t="s">
        <v>6191</v>
      </c>
      <c r="P3005" s="704" t="s">
        <v>18057</v>
      </c>
      <c r="Q3005" s="2440" t="str">
        <f> hyperlink(vlookup(lower(N3005),'File Links'!E:F, 2, FALSE), "LINK")</f>
        <v>LINK</v>
      </c>
      <c r="R3005" s="704" t="s">
        <v>18058</v>
      </c>
      <c r="S3005" s="704" t="s">
        <v>18059</v>
      </c>
      <c r="T3005" s="1065"/>
      <c r="U3005" s="1065" t="s">
        <v>6191</v>
      </c>
      <c r="V3005" s="704" t="s">
        <v>18060</v>
      </c>
      <c r="W3005" s="1062" t="s">
        <v>1122</v>
      </c>
      <c r="X3005" s="2441" t="str">
        <f> hyperlink(vlookup(lower(S3005),'File Links'!E:F, 2, FALSE), "LINK")</f>
        <v>LINK</v>
      </c>
      <c r="Y3005" s="1065"/>
      <c r="Z3005" s="704" t="s">
        <v>947</v>
      </c>
      <c r="AA3005" s="704" t="s">
        <v>18061</v>
      </c>
      <c r="AB3005" s="704" t="s">
        <v>7291</v>
      </c>
      <c r="AC3005" s="704" t="s">
        <v>18062</v>
      </c>
      <c r="AD3005" s="1065" t="s">
        <v>18068</v>
      </c>
      <c r="AE3005" s="2437">
        <v>6.0</v>
      </c>
      <c r="AF3005" s="2437">
        <v>121.0</v>
      </c>
      <c r="AG3005" s="1062">
        <v>0.371</v>
      </c>
      <c r="AH3005" s="1065" t="s">
        <v>173</v>
      </c>
      <c r="AI3005" s="1065" t="s">
        <v>1042</v>
      </c>
      <c r="AJ3005" s="2437">
        <v>0.001</v>
      </c>
      <c r="AK3005" s="1065" t="s">
        <v>135</v>
      </c>
      <c r="AL3005" s="112" t="s">
        <v>186</v>
      </c>
      <c r="AM3005" s="68" t="s">
        <v>141</v>
      </c>
      <c r="AN3005" s="1065"/>
      <c r="AO3005" s="2437">
        <v>743.0</v>
      </c>
      <c r="AP3005" s="2437">
        <v>0.65</v>
      </c>
      <c r="AQ3005" s="1065" t="s">
        <v>173</v>
      </c>
      <c r="AR3005" s="1065" t="s">
        <v>18065</v>
      </c>
      <c r="AS3005" s="2437">
        <v>0.001</v>
      </c>
      <c r="AT3005" s="1065" t="s">
        <v>135</v>
      </c>
      <c r="AU3005" s="159" t="s">
        <v>136</v>
      </c>
      <c r="AV3005" s="159" t="s">
        <v>141</v>
      </c>
      <c r="AW3005" s="2156" t="s">
        <v>18069</v>
      </c>
      <c r="AX3005" s="1065" t="s">
        <v>143</v>
      </c>
      <c r="AY3005" s="61" t="str">
        <f>IFERROR(__xludf.DUMMYFUNCTION("vlookup(BB3005,importrange(""https://docs.google.com/spreadsheets/d/1d2vevQ_7D_v35q4wCQ4RpQ_IPoTwEMB9Yp6ymwlPqew/edit?gid=984458430#gid=984458430"", ""'replication success'!A:K""), 11, FAlSE)"),"successful")</f>
        <v>successful</v>
      </c>
      <c r="AZ3005" s="61" t="str">
        <f>IFERROR(__xludf.DUMMYFUNCTION("vlookup(BB3005,importrange(""https://docs.google.com/spreadsheets/d/1d2vevQ_7D_v35q4wCQ4RpQ_IPoTwEMB9Yp6ymwlPqew/edit?gid=984458430#gid=984458430"",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5" s="61" t="str">
        <f>IFERROR(__xludf.DUMMYFUNCTION("vlookup(BB3005,importrange(""https://docs.google.com/spreadsheets/d/1d2vevQ_7D_v35q4wCQ4RpQ_IPoTwEMB9Yp6ymwlPqew/edit?gid=984458430#gid=984458430"", ""'replication success'!A:M""), 13, FAlSE)"),"abstract")</f>
        <v>abstract</v>
      </c>
      <c r="BB3005" s="61" t="str">
        <f>IFERROR(__xludf.DUMMYFUNCTION("REGEXREPLACE(G3005, ""_[a-z]{1,2}$"", """")"),"CORE_39")</f>
        <v>CORE_39</v>
      </c>
      <c r="BC3005" s="1064"/>
      <c r="BD3005" s="1063" t="s">
        <v>814</v>
      </c>
      <c r="BE3005" s="1064"/>
    </row>
    <row r="3006">
      <c r="A3006" s="44">
        <v>2842.0</v>
      </c>
      <c r="B3006" s="129" t="s">
        <v>523</v>
      </c>
      <c r="C3006" s="62" t="s">
        <v>115</v>
      </c>
      <c r="D3006" s="62" t="s">
        <v>248</v>
      </c>
      <c r="F3006" s="68" t="s">
        <v>18052</v>
      </c>
      <c r="G3006" s="68" t="s">
        <v>18070</v>
      </c>
      <c r="H3006" s="68" t="s">
        <v>249</v>
      </c>
      <c r="I3006" s="529">
        <v>45807.0</v>
      </c>
      <c r="J3006" s="862"/>
      <c r="K3006" s="68"/>
      <c r="L3006" s="68"/>
      <c r="M3006" s="68" t="s">
        <v>18055</v>
      </c>
      <c r="N3006" s="68" t="s">
        <v>18056</v>
      </c>
      <c r="O3006" s="68"/>
      <c r="P3006" s="573" t="s">
        <v>18057</v>
      </c>
      <c r="Q3006" s="2375" t="str">
        <f> hyperlink(vlookup(lower(N3006),'File Links'!E:F, 2, FALSE), "LINK")</f>
        <v>LINK</v>
      </c>
      <c r="R3006" s="68" t="s">
        <v>18058</v>
      </c>
      <c r="S3006" s="68" t="s">
        <v>18059</v>
      </c>
      <c r="T3006" s="68"/>
      <c r="U3006" s="68" t="s">
        <v>8908</v>
      </c>
      <c r="V3006" s="573" t="s">
        <v>18060</v>
      </c>
      <c r="W3006" s="1228"/>
      <c r="X3006" s="2376" t="str">
        <f> hyperlink(vlookup(lower(S3006),'File Links'!E:F, 2, FALSE), "LINK")</f>
        <v>LINK</v>
      </c>
      <c r="Y3006" s="68"/>
      <c r="Z3006" s="68" t="s">
        <v>947</v>
      </c>
      <c r="AA3006" s="68" t="s">
        <v>18061</v>
      </c>
      <c r="AB3006" s="68" t="s">
        <v>7291</v>
      </c>
      <c r="AC3006" s="68" t="s">
        <v>18062</v>
      </c>
      <c r="AD3006" s="68" t="s">
        <v>18071</v>
      </c>
      <c r="AE3006" s="68" t="s">
        <v>4979</v>
      </c>
      <c r="AF3006" s="336">
        <v>101.0</v>
      </c>
      <c r="AG3006" s="68" t="s">
        <v>18072</v>
      </c>
      <c r="AH3006" s="68" t="s">
        <v>134</v>
      </c>
      <c r="AI3006" s="68" t="s">
        <v>18073</v>
      </c>
      <c r="AJ3006" s="336">
        <v>0.001</v>
      </c>
      <c r="AK3006" s="68" t="s">
        <v>135</v>
      </c>
      <c r="AL3006" s="68" t="s">
        <v>218</v>
      </c>
      <c r="AM3006" s="68" t="s">
        <v>137</v>
      </c>
      <c r="AN3006" s="68" t="s">
        <v>138</v>
      </c>
      <c r="AO3006" s="336">
        <v>759.0</v>
      </c>
      <c r="AP3006" s="336">
        <v>0.88</v>
      </c>
      <c r="AQ3006" s="68" t="s">
        <v>173</v>
      </c>
      <c r="AR3006" s="68" t="s">
        <v>18074</v>
      </c>
      <c r="AS3006" s="336">
        <v>0.001</v>
      </c>
      <c r="AT3006" s="68" t="s">
        <v>135</v>
      </c>
      <c r="AU3006" s="68" t="s">
        <v>136</v>
      </c>
      <c r="AV3006" s="68" t="s">
        <v>137</v>
      </c>
      <c r="AW3006" s="435" t="s">
        <v>18066</v>
      </c>
      <c r="AX3006" s="68" t="s">
        <v>143</v>
      </c>
      <c r="AY3006" s="61" t="str">
        <f>IFERROR(__xludf.DUMMYFUNCTION("vlookup(BB3006,importrange(""https://docs.google.com/spreadsheets/d/1d2vevQ_7D_v35q4wCQ4RpQ_IPoTwEMB9Yp6ymwlPqew/edit?gid=984458430#gid=984458430"", ""'replication success'!A:K""), 11, FAlSE)"),"successful")</f>
        <v>successful</v>
      </c>
      <c r="AZ3006" s="61" t="str">
        <f>IFERROR(__xludf.DUMMYFUNCTION("vlookup(BB3006,importrange(""https://docs.google.com/spreadsheets/d/1d2vevQ_7D_v35q4wCQ4RpQ_IPoTwEMB9Yp6ymwlPqew/edit?gid=984458430#gid=984458430"",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6" s="61" t="str">
        <f>IFERROR(__xludf.DUMMYFUNCTION("vlookup(BB3006,importrange(""https://docs.google.com/spreadsheets/d/1d2vevQ_7D_v35q4wCQ4RpQ_IPoTwEMB9Yp6ymwlPqew/edit?gid=984458430#gid=984458430"", ""'replication success'!A:M""), 13, FAlSE)"),"abstract")</f>
        <v>abstract</v>
      </c>
      <c r="BB3006" s="61" t="str">
        <f>IFERROR(__xludf.DUMMYFUNCTION("REGEXREPLACE(G3006, ""_[a-z]{1,2}$"", """")"),"CORE_39")</f>
        <v>CORE_39</v>
      </c>
      <c r="BD3006" s="62" t="s">
        <v>7302</v>
      </c>
    </row>
    <row r="3007">
      <c r="A3007" s="44">
        <v>2843.0</v>
      </c>
      <c r="B3007" s="129" t="s">
        <v>523</v>
      </c>
      <c r="C3007" s="62" t="s">
        <v>115</v>
      </c>
      <c r="D3007" s="62" t="s">
        <v>248</v>
      </c>
      <c r="F3007" s="68" t="s">
        <v>18052</v>
      </c>
      <c r="G3007" s="68" t="s">
        <v>18075</v>
      </c>
      <c r="H3007" s="68" t="s">
        <v>249</v>
      </c>
      <c r="I3007" s="529">
        <v>45807.0</v>
      </c>
      <c r="J3007" s="862"/>
      <c r="K3007" s="68"/>
      <c r="L3007" s="68"/>
      <c r="M3007" s="68" t="s">
        <v>18055</v>
      </c>
      <c r="N3007" s="68" t="s">
        <v>18056</v>
      </c>
      <c r="O3007" s="68"/>
      <c r="P3007" s="573" t="s">
        <v>18057</v>
      </c>
      <c r="Q3007" s="2375" t="str">
        <f> hyperlink(vlookup(lower(N3007),'File Links'!E:F, 2, FALSE), "LINK")</f>
        <v>LINK</v>
      </c>
      <c r="R3007" s="68" t="s">
        <v>18058</v>
      </c>
      <c r="S3007" s="68" t="s">
        <v>18059</v>
      </c>
      <c r="T3007" s="68"/>
      <c r="U3007" s="68" t="s">
        <v>18076</v>
      </c>
      <c r="V3007" s="573" t="s">
        <v>18060</v>
      </c>
      <c r="W3007" s="1228"/>
      <c r="X3007" s="2376" t="str">
        <f> hyperlink(vlookup(lower(S3007),'File Links'!E:F, 2, FALSE), "LINK")</f>
        <v>LINK</v>
      </c>
      <c r="Y3007" s="68"/>
      <c r="Z3007" s="68" t="s">
        <v>947</v>
      </c>
      <c r="AA3007" s="68" t="s">
        <v>18061</v>
      </c>
      <c r="AB3007" s="68" t="s">
        <v>7291</v>
      </c>
      <c r="AC3007" s="68" t="s">
        <v>18062</v>
      </c>
      <c r="AD3007" s="68" t="s">
        <v>18077</v>
      </c>
      <c r="AE3007" s="68" t="s">
        <v>4979</v>
      </c>
      <c r="AF3007" s="336">
        <v>101.0</v>
      </c>
      <c r="AG3007" s="68" t="s">
        <v>18078</v>
      </c>
      <c r="AH3007" s="68" t="s">
        <v>134</v>
      </c>
      <c r="AI3007" s="68" t="s">
        <v>18079</v>
      </c>
      <c r="AJ3007" s="336">
        <v>0.001</v>
      </c>
      <c r="AK3007" s="68" t="s">
        <v>135</v>
      </c>
      <c r="AL3007" s="68" t="s">
        <v>218</v>
      </c>
      <c r="AM3007" s="68" t="s">
        <v>137</v>
      </c>
      <c r="AN3007" s="68" t="s">
        <v>138</v>
      </c>
      <c r="AO3007" s="336">
        <v>759.0</v>
      </c>
      <c r="AP3007" s="336">
        <v>1.13</v>
      </c>
      <c r="AQ3007" s="68" t="s">
        <v>173</v>
      </c>
      <c r="AR3007" s="68" t="s">
        <v>18080</v>
      </c>
      <c r="AS3007" s="336">
        <v>0.001</v>
      </c>
      <c r="AT3007" s="68" t="s">
        <v>135</v>
      </c>
      <c r="AU3007" s="68" t="s">
        <v>218</v>
      </c>
      <c r="AV3007" s="68" t="s">
        <v>137</v>
      </c>
      <c r="AW3007" s="435" t="s">
        <v>18066</v>
      </c>
      <c r="AX3007" s="68" t="s">
        <v>143</v>
      </c>
      <c r="AY3007" s="61" t="str">
        <f>IFERROR(__xludf.DUMMYFUNCTION("vlookup(BB3007,importrange(""https://docs.google.com/spreadsheets/d/1d2vevQ_7D_v35q4wCQ4RpQ_IPoTwEMB9Yp6ymwlPqew/edit?gid=984458430#gid=984458430"", ""'replication success'!A:K""), 11, FAlSE)"),"successful")</f>
        <v>successful</v>
      </c>
      <c r="AZ3007" s="61" t="str">
        <f>IFERROR(__xludf.DUMMYFUNCTION("vlookup(BB3007,importrange(""https://docs.google.com/spreadsheets/d/1d2vevQ_7D_v35q4wCQ4RpQ_IPoTwEMB9Yp6ymwlPqew/edit?gid=984458430#gid=984458430"",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7" s="61" t="str">
        <f>IFERROR(__xludf.DUMMYFUNCTION("vlookup(BB3007,importrange(""https://docs.google.com/spreadsheets/d/1d2vevQ_7D_v35q4wCQ4RpQ_IPoTwEMB9Yp6ymwlPqew/edit?gid=984458430#gid=984458430"", ""'replication success'!A:M""), 13, FAlSE)"),"abstract")</f>
        <v>abstract</v>
      </c>
      <c r="BB3007" s="61" t="str">
        <f>IFERROR(__xludf.DUMMYFUNCTION("REGEXREPLACE(G3007, ""_[a-z]{1,2}$"", """")"),"CORE_39")</f>
        <v>CORE_39</v>
      </c>
      <c r="BD3007" s="62" t="s">
        <v>7302</v>
      </c>
    </row>
    <row r="3008">
      <c r="A3008" s="44">
        <v>2844.0</v>
      </c>
      <c r="B3008" s="129" t="s">
        <v>523</v>
      </c>
      <c r="C3008" s="62" t="s">
        <v>115</v>
      </c>
      <c r="D3008" s="62" t="s">
        <v>248</v>
      </c>
      <c r="F3008" s="68" t="s">
        <v>18052</v>
      </c>
      <c r="G3008" s="68" t="s">
        <v>18081</v>
      </c>
      <c r="H3008" s="68" t="s">
        <v>249</v>
      </c>
      <c r="I3008" s="529">
        <v>45807.0</v>
      </c>
      <c r="J3008" s="862"/>
      <c r="K3008" s="68"/>
      <c r="L3008" s="68"/>
      <c r="M3008" s="68" t="s">
        <v>18055</v>
      </c>
      <c r="N3008" s="68" t="s">
        <v>18056</v>
      </c>
      <c r="O3008" s="68"/>
      <c r="P3008" s="573" t="s">
        <v>18057</v>
      </c>
      <c r="Q3008" s="2375" t="str">
        <f> hyperlink(vlookup(lower(N3008),'File Links'!E:F, 2, FALSE), "LINK")</f>
        <v>LINK</v>
      </c>
      <c r="R3008" s="68" t="s">
        <v>18058</v>
      </c>
      <c r="S3008" s="68" t="s">
        <v>18059</v>
      </c>
      <c r="T3008" s="68"/>
      <c r="U3008" s="68" t="s">
        <v>18076</v>
      </c>
      <c r="V3008" s="573" t="s">
        <v>18060</v>
      </c>
      <c r="W3008" s="1228"/>
      <c r="X3008" s="2376" t="str">
        <f> hyperlink(vlookup(lower(S3008),'File Links'!E:F, 2, FALSE), "LINK")</f>
        <v>LINK</v>
      </c>
      <c r="Y3008" s="68"/>
      <c r="Z3008" s="68" t="s">
        <v>947</v>
      </c>
      <c r="AA3008" s="68" t="s">
        <v>18061</v>
      </c>
      <c r="AB3008" s="68" t="s">
        <v>7291</v>
      </c>
      <c r="AC3008" s="68" t="s">
        <v>18062</v>
      </c>
      <c r="AD3008" s="68" t="s">
        <v>18082</v>
      </c>
      <c r="AE3008" s="68" t="s">
        <v>4979</v>
      </c>
      <c r="AF3008" s="336">
        <v>101.0</v>
      </c>
      <c r="AG3008" s="68" t="s">
        <v>18078</v>
      </c>
      <c r="AH3008" s="68" t="s">
        <v>134</v>
      </c>
      <c r="AI3008" s="68" t="s">
        <v>18083</v>
      </c>
      <c r="AJ3008" s="336">
        <v>0.001</v>
      </c>
      <c r="AK3008" s="68" t="s">
        <v>135</v>
      </c>
      <c r="AL3008" s="68" t="s">
        <v>218</v>
      </c>
      <c r="AM3008" s="68" t="s">
        <v>137</v>
      </c>
      <c r="AN3008" s="68" t="s">
        <v>138</v>
      </c>
      <c r="AO3008" s="336">
        <v>759.0</v>
      </c>
      <c r="AP3008" s="336">
        <v>1.14</v>
      </c>
      <c r="AQ3008" s="68" t="s">
        <v>173</v>
      </c>
      <c r="AR3008" s="68" t="s">
        <v>18084</v>
      </c>
      <c r="AS3008" s="336">
        <v>0.001</v>
      </c>
      <c r="AT3008" s="68" t="s">
        <v>135</v>
      </c>
      <c r="AU3008" s="68" t="s">
        <v>218</v>
      </c>
      <c r="AV3008" s="68" t="s">
        <v>137</v>
      </c>
      <c r="AW3008" s="435" t="s">
        <v>18066</v>
      </c>
      <c r="AX3008" s="68" t="s">
        <v>143</v>
      </c>
      <c r="AY3008" s="61" t="str">
        <f>IFERROR(__xludf.DUMMYFUNCTION("vlookup(BB3008,importrange(""https://docs.google.com/spreadsheets/d/1d2vevQ_7D_v35q4wCQ4RpQ_IPoTwEMB9Yp6ymwlPqew/edit?gid=984458430#gid=984458430"", ""'replication success'!A:K""), 11, FAlSE)"),"successful")</f>
        <v>successful</v>
      </c>
      <c r="AZ3008" s="61" t="str">
        <f>IFERROR(__xludf.DUMMYFUNCTION("vlookup(BB3008,importrange(""https://docs.google.com/spreadsheets/d/1d2vevQ_7D_v35q4wCQ4RpQ_IPoTwEMB9Yp6ymwlPqew/edit?gid=984458430#gid=984458430"",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8" s="61" t="str">
        <f>IFERROR(__xludf.DUMMYFUNCTION("vlookup(BB3008,importrange(""https://docs.google.com/spreadsheets/d/1d2vevQ_7D_v35q4wCQ4RpQ_IPoTwEMB9Yp6ymwlPqew/edit?gid=984458430#gid=984458430"", ""'replication success'!A:M""), 13, FAlSE)"),"abstract")</f>
        <v>abstract</v>
      </c>
      <c r="BB3008" s="61" t="str">
        <f>IFERROR(__xludf.DUMMYFUNCTION("REGEXREPLACE(G3008, ""_[a-z]{1,2}$"", """")"),"CORE_39")</f>
        <v>CORE_39</v>
      </c>
      <c r="BD3008" s="62" t="s">
        <v>7302</v>
      </c>
    </row>
    <row r="3009">
      <c r="A3009" s="44">
        <v>2845.0</v>
      </c>
      <c r="B3009" s="129" t="s">
        <v>523</v>
      </c>
      <c r="C3009" s="62" t="s">
        <v>115</v>
      </c>
      <c r="D3009" s="62" t="s">
        <v>248</v>
      </c>
      <c r="F3009" s="68" t="s">
        <v>18052</v>
      </c>
      <c r="G3009" s="68" t="s">
        <v>18085</v>
      </c>
      <c r="H3009" s="68" t="s">
        <v>249</v>
      </c>
      <c r="I3009" s="529">
        <v>45807.0</v>
      </c>
      <c r="J3009" s="862"/>
      <c r="K3009" s="68"/>
      <c r="L3009" s="68"/>
      <c r="M3009" s="68" t="s">
        <v>18055</v>
      </c>
      <c r="N3009" s="68" t="s">
        <v>18056</v>
      </c>
      <c r="O3009" s="68"/>
      <c r="P3009" s="573" t="s">
        <v>18057</v>
      </c>
      <c r="Q3009" s="2375" t="str">
        <f> hyperlink(vlookup(lower(N3009),'File Links'!E:F, 2, FALSE), "LINK")</f>
        <v>LINK</v>
      </c>
      <c r="R3009" s="68" t="s">
        <v>18058</v>
      </c>
      <c r="S3009" s="68" t="s">
        <v>18059</v>
      </c>
      <c r="T3009" s="68"/>
      <c r="U3009" s="68" t="s">
        <v>18076</v>
      </c>
      <c r="V3009" s="573" t="s">
        <v>18060</v>
      </c>
      <c r="W3009" s="1228"/>
      <c r="X3009" s="2376" t="str">
        <f> hyperlink(vlookup(lower(S3009),'File Links'!E:F, 2, FALSE), "LINK")</f>
        <v>LINK</v>
      </c>
      <c r="Y3009" s="68"/>
      <c r="Z3009" s="68" t="s">
        <v>947</v>
      </c>
      <c r="AA3009" s="68" t="s">
        <v>18061</v>
      </c>
      <c r="AB3009" s="68" t="s">
        <v>7291</v>
      </c>
      <c r="AC3009" s="68" t="s">
        <v>18062</v>
      </c>
      <c r="AD3009" s="68" t="s">
        <v>18086</v>
      </c>
      <c r="AE3009" s="68" t="s">
        <v>4979</v>
      </c>
      <c r="AF3009" s="336">
        <v>101.0</v>
      </c>
      <c r="AG3009" s="68" t="s">
        <v>18078</v>
      </c>
      <c r="AH3009" s="68" t="s">
        <v>134</v>
      </c>
      <c r="AI3009" s="68" t="s">
        <v>18087</v>
      </c>
      <c r="AJ3009" s="336">
        <v>0.001</v>
      </c>
      <c r="AK3009" s="68" t="s">
        <v>135</v>
      </c>
      <c r="AL3009" s="68" t="s">
        <v>218</v>
      </c>
      <c r="AM3009" s="68" t="s">
        <v>137</v>
      </c>
      <c r="AN3009" s="68" t="s">
        <v>138</v>
      </c>
      <c r="AO3009" s="336">
        <v>759.0</v>
      </c>
      <c r="AP3009" s="336">
        <v>1.96</v>
      </c>
      <c r="AQ3009" s="68" t="s">
        <v>173</v>
      </c>
      <c r="AR3009" s="68" t="s">
        <v>18088</v>
      </c>
      <c r="AS3009" s="336">
        <v>0.001</v>
      </c>
      <c r="AT3009" s="68" t="s">
        <v>135</v>
      </c>
      <c r="AU3009" s="68" t="s">
        <v>218</v>
      </c>
      <c r="AV3009" s="68" t="s">
        <v>137</v>
      </c>
      <c r="AW3009" s="435" t="s">
        <v>18066</v>
      </c>
      <c r="AX3009" s="68" t="s">
        <v>143</v>
      </c>
      <c r="AY3009" s="61" t="str">
        <f>IFERROR(__xludf.DUMMYFUNCTION("vlookup(BB3009,importrange(""https://docs.google.com/spreadsheets/d/1d2vevQ_7D_v35q4wCQ4RpQ_IPoTwEMB9Yp6ymwlPqew/edit?gid=984458430#gid=984458430"", ""'replication success'!A:K""), 11, FAlSE)"),"successful")</f>
        <v>successful</v>
      </c>
      <c r="AZ3009" s="61" t="str">
        <f>IFERROR(__xludf.DUMMYFUNCTION("vlookup(BB3009,importrange(""https://docs.google.com/spreadsheets/d/1d2vevQ_7D_v35q4wCQ4RpQ_IPoTwEMB9Yp6ymwlPqew/edit?gid=984458430#gid=984458430"",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09" s="61" t="str">
        <f>IFERROR(__xludf.DUMMYFUNCTION("vlookup(BB3009,importrange(""https://docs.google.com/spreadsheets/d/1d2vevQ_7D_v35q4wCQ4RpQ_IPoTwEMB9Yp6ymwlPqew/edit?gid=984458430#gid=984458430"", ""'replication success'!A:M""), 13, FAlSE)"),"abstract")</f>
        <v>abstract</v>
      </c>
      <c r="BB3009" s="61" t="str">
        <f>IFERROR(__xludf.DUMMYFUNCTION("REGEXREPLACE(G3009, ""_[a-z]{1,2}$"", """")"),"CORE_39")</f>
        <v>CORE_39</v>
      </c>
      <c r="BD3009" s="62" t="s">
        <v>7302</v>
      </c>
    </row>
    <row r="3010">
      <c r="A3010" s="44">
        <v>2846.0</v>
      </c>
      <c r="B3010" s="129" t="s">
        <v>523</v>
      </c>
      <c r="C3010" s="62" t="s">
        <v>115</v>
      </c>
      <c r="D3010" s="62" t="s">
        <v>248</v>
      </c>
      <c r="F3010" s="68" t="s">
        <v>18052</v>
      </c>
      <c r="G3010" s="68" t="s">
        <v>18089</v>
      </c>
      <c r="H3010" s="68" t="s">
        <v>249</v>
      </c>
      <c r="I3010" s="529">
        <v>45807.0</v>
      </c>
      <c r="J3010" s="862"/>
      <c r="K3010" s="68"/>
      <c r="L3010" s="68"/>
      <c r="M3010" s="68" t="s">
        <v>18055</v>
      </c>
      <c r="N3010" s="68" t="s">
        <v>18056</v>
      </c>
      <c r="O3010" s="68"/>
      <c r="P3010" s="573" t="s">
        <v>18057</v>
      </c>
      <c r="Q3010" s="2375" t="str">
        <f> hyperlink(vlookup(lower(N3010),'File Links'!E:F, 2, FALSE), "LINK")</f>
        <v>LINK</v>
      </c>
      <c r="R3010" s="68" t="s">
        <v>18058</v>
      </c>
      <c r="S3010" s="68" t="s">
        <v>18059</v>
      </c>
      <c r="T3010" s="68"/>
      <c r="U3010" s="68" t="s">
        <v>5562</v>
      </c>
      <c r="V3010" s="573" t="s">
        <v>18060</v>
      </c>
      <c r="W3010" s="1228"/>
      <c r="X3010" s="2376" t="str">
        <f> hyperlink(vlookup(lower(S3010),'File Links'!E:F, 2, FALSE), "LINK")</f>
        <v>LINK</v>
      </c>
      <c r="Y3010" s="68"/>
      <c r="Z3010" s="68" t="s">
        <v>947</v>
      </c>
      <c r="AA3010" s="68" t="s">
        <v>18061</v>
      </c>
      <c r="AB3010" s="68" t="s">
        <v>7291</v>
      </c>
      <c r="AC3010" s="68" t="s">
        <v>18062</v>
      </c>
      <c r="AD3010" s="68" t="s">
        <v>18090</v>
      </c>
      <c r="AE3010" s="68" t="s">
        <v>1042</v>
      </c>
      <c r="AF3010" s="336">
        <v>121.0</v>
      </c>
      <c r="AG3010" s="336">
        <v>0.349</v>
      </c>
      <c r="AH3010" s="68" t="s">
        <v>173</v>
      </c>
      <c r="AI3010" s="68" t="s">
        <v>18091</v>
      </c>
      <c r="AJ3010" s="336">
        <v>0.001</v>
      </c>
      <c r="AK3010" s="68" t="s">
        <v>135</v>
      </c>
      <c r="AL3010" s="68" t="s">
        <v>218</v>
      </c>
      <c r="AM3010" s="68" t="s">
        <v>137</v>
      </c>
      <c r="AN3010" s="68" t="s">
        <v>138</v>
      </c>
      <c r="AO3010" s="336">
        <v>743.0</v>
      </c>
      <c r="AP3010" s="336">
        <v>0.15</v>
      </c>
      <c r="AQ3010" s="68" t="s">
        <v>173</v>
      </c>
      <c r="AR3010" s="68" t="s">
        <v>18092</v>
      </c>
      <c r="AS3010" s="336">
        <v>0.002</v>
      </c>
      <c r="AT3010" s="68" t="s">
        <v>172</v>
      </c>
      <c r="AU3010" s="68" t="s">
        <v>136</v>
      </c>
      <c r="AV3010" s="68" t="s">
        <v>137</v>
      </c>
      <c r="AW3010" s="435" t="s">
        <v>18066</v>
      </c>
      <c r="AX3010" s="68" t="s">
        <v>143</v>
      </c>
      <c r="AY3010" s="61" t="str">
        <f>IFERROR(__xludf.DUMMYFUNCTION("vlookup(BB3010,importrange(""https://docs.google.com/spreadsheets/d/1d2vevQ_7D_v35q4wCQ4RpQ_IPoTwEMB9Yp6ymwlPqew/edit?gid=984458430#gid=984458430"", ""'replication success'!A:K""), 11, FAlSE)"),"successful")</f>
        <v>successful</v>
      </c>
      <c r="AZ3010" s="61" t="str">
        <f>IFERROR(__xludf.DUMMYFUNCTION("vlookup(BB3010,importrange(""https://docs.google.com/spreadsheets/d/1d2vevQ_7D_v35q4wCQ4RpQ_IPoTwEMB9Yp6ymwlPqew/edit?gid=984458430#gid=984458430"",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10" s="61" t="str">
        <f>IFERROR(__xludf.DUMMYFUNCTION("vlookup(BB3010,importrange(""https://docs.google.com/spreadsheets/d/1d2vevQ_7D_v35q4wCQ4RpQ_IPoTwEMB9Yp6ymwlPqew/edit?gid=984458430#gid=984458430"", ""'replication success'!A:M""), 13, FAlSE)"),"abstract")</f>
        <v>abstract</v>
      </c>
      <c r="BB3010" s="61" t="str">
        <f>IFERROR(__xludf.DUMMYFUNCTION("REGEXREPLACE(G3010, ""_[a-z]{1,2}$"", """")"),"CORE_39")</f>
        <v>CORE_39</v>
      </c>
      <c r="BD3010" s="62" t="s">
        <v>7302</v>
      </c>
    </row>
    <row r="3011">
      <c r="A3011" s="44">
        <v>2847.0</v>
      </c>
      <c r="B3011" s="129" t="s">
        <v>523</v>
      </c>
      <c r="C3011" s="62" t="s">
        <v>115</v>
      </c>
      <c r="D3011" s="62" t="s">
        <v>248</v>
      </c>
      <c r="F3011" s="68" t="s">
        <v>18052</v>
      </c>
      <c r="G3011" s="68" t="s">
        <v>18093</v>
      </c>
      <c r="H3011" s="68" t="s">
        <v>249</v>
      </c>
      <c r="I3011" s="529">
        <v>45807.0</v>
      </c>
      <c r="J3011" s="862"/>
      <c r="K3011" s="68"/>
      <c r="L3011" s="68"/>
      <c r="M3011" s="68" t="s">
        <v>18055</v>
      </c>
      <c r="N3011" s="68" t="s">
        <v>18056</v>
      </c>
      <c r="O3011" s="68"/>
      <c r="P3011" s="573" t="s">
        <v>18057</v>
      </c>
      <c r="Q3011" s="2375" t="str">
        <f> hyperlink(vlookup(lower(N3011),'File Links'!E:F, 2, FALSE), "LINK")</f>
        <v>LINK</v>
      </c>
      <c r="R3011" s="68" t="s">
        <v>18058</v>
      </c>
      <c r="S3011" s="68" t="s">
        <v>18059</v>
      </c>
      <c r="T3011" s="68"/>
      <c r="U3011" s="336">
        <v>5.0</v>
      </c>
      <c r="V3011" s="573" t="s">
        <v>18060</v>
      </c>
      <c r="W3011" s="1228"/>
      <c r="X3011" s="2376" t="str">
        <f> hyperlink(vlookup(lower(S3011),'File Links'!E:F, 2, FALSE), "LINK")</f>
        <v>LINK</v>
      </c>
      <c r="Y3011" s="68"/>
      <c r="Z3011" s="68" t="s">
        <v>947</v>
      </c>
      <c r="AA3011" s="68" t="s">
        <v>18061</v>
      </c>
      <c r="AB3011" s="68" t="s">
        <v>7291</v>
      </c>
      <c r="AC3011" s="68" t="s">
        <v>18062</v>
      </c>
      <c r="AD3011" s="68" t="s">
        <v>18094</v>
      </c>
      <c r="AE3011" s="68" t="s">
        <v>624</v>
      </c>
      <c r="AF3011" s="336">
        <v>60.0</v>
      </c>
      <c r="AG3011" s="336">
        <v>0.74</v>
      </c>
      <c r="AH3011" s="68" t="s">
        <v>173</v>
      </c>
      <c r="AI3011" s="68" t="s">
        <v>18095</v>
      </c>
      <c r="AJ3011" s="336">
        <v>0.01</v>
      </c>
      <c r="AK3011" s="68" t="s">
        <v>135</v>
      </c>
      <c r="AL3011" s="68" t="s">
        <v>218</v>
      </c>
      <c r="AM3011" s="68" t="s">
        <v>137</v>
      </c>
      <c r="AN3011" s="68" t="s">
        <v>138</v>
      </c>
      <c r="AO3011" s="336">
        <v>743.0</v>
      </c>
      <c r="AP3011" s="336">
        <v>0.39</v>
      </c>
      <c r="AQ3011" s="68" t="s">
        <v>173</v>
      </c>
      <c r="AR3011" s="68" t="s">
        <v>18096</v>
      </c>
      <c r="AS3011" s="336">
        <v>0.001</v>
      </c>
      <c r="AT3011" s="68" t="s">
        <v>135</v>
      </c>
      <c r="AU3011" s="68" t="s">
        <v>136</v>
      </c>
      <c r="AV3011" s="68" t="s">
        <v>137</v>
      </c>
      <c r="AW3011" s="435" t="s">
        <v>18066</v>
      </c>
      <c r="AX3011" s="68" t="s">
        <v>143</v>
      </c>
      <c r="AY3011" s="61" t="str">
        <f>IFERROR(__xludf.DUMMYFUNCTION("vlookup(BB3011,importrange(""https://docs.google.com/spreadsheets/d/1d2vevQ_7D_v35q4wCQ4RpQ_IPoTwEMB9Yp6ymwlPqew/edit?gid=984458430#gid=984458430"", ""'replication success'!A:K""), 11, FAlSE)"),"successful")</f>
        <v>successful</v>
      </c>
      <c r="AZ3011" s="61" t="str">
        <f>IFERROR(__xludf.DUMMYFUNCTION("vlookup(BB3011,importrange(""https://docs.google.com/spreadsheets/d/1d2vevQ_7D_v35q4wCQ4RpQ_IPoTwEMB9Yp6ymwlPqew/edit?gid=984458430#gid=984458430"", ""'replication success'!A:M""), 12, FAlSE)"),"In a pre-registered experiment with a US 
American Amazon Mechanical Turk sample, (N=743), we successfully replicated their 
Studies 3A, 3B, 3C, and 5. ")</f>
        <v>In a pre-registered experiment with a US 
American Amazon Mechanical Turk sample, (N=743), we successfully replicated their 
Studies 3A, 3B, 3C, and 5. </v>
      </c>
      <c r="BA3011" s="61" t="str">
        <f>IFERROR(__xludf.DUMMYFUNCTION("vlookup(BB3011,importrange(""https://docs.google.com/spreadsheets/d/1d2vevQ_7D_v35q4wCQ4RpQ_IPoTwEMB9Yp6ymwlPqew/edit?gid=984458430#gid=984458430"", ""'replication success'!A:M""), 13, FAlSE)"),"abstract")</f>
        <v>abstract</v>
      </c>
      <c r="BB3011" s="61" t="str">
        <f>IFERROR(__xludf.DUMMYFUNCTION("REGEXREPLACE(G3011, ""_[a-z]{1,2}$"", """")"),"CORE_39")</f>
        <v>CORE_39</v>
      </c>
      <c r="BD3011" s="62" t="s">
        <v>7302</v>
      </c>
    </row>
    <row r="3012">
      <c r="A3012" s="689">
        <v>2848.0</v>
      </c>
      <c r="B3012" s="374" t="s">
        <v>114</v>
      </c>
      <c r="C3012" s="188" t="s">
        <v>115</v>
      </c>
      <c r="D3012" s="188" t="s">
        <v>248</v>
      </c>
      <c r="E3012" s="189"/>
      <c r="F3012" s="190" t="s">
        <v>18097</v>
      </c>
      <c r="G3012" s="190" t="s">
        <v>18098</v>
      </c>
      <c r="H3012" s="190" t="s">
        <v>249</v>
      </c>
      <c r="I3012" s="1332">
        <v>45807.0</v>
      </c>
      <c r="J3012" s="2442">
        <v>45835.0</v>
      </c>
      <c r="K3012" s="190"/>
      <c r="L3012" s="374" t="s">
        <v>18099</v>
      </c>
      <c r="M3012" s="190" t="s">
        <v>18100</v>
      </c>
      <c r="N3012" s="190" t="s">
        <v>18101</v>
      </c>
      <c r="O3012" s="374">
        <v>2.0</v>
      </c>
      <c r="P3012" s="190" t="s">
        <v>18102</v>
      </c>
      <c r="Q3012" s="2443" t="str">
        <f> hyperlink(vlookup(lower(N3012),'File Links'!E:F, 2, FALSE), "LINK")</f>
        <v>LINK</v>
      </c>
      <c r="R3012" s="190" t="s">
        <v>18103</v>
      </c>
      <c r="S3012" s="190" t="s">
        <v>18104</v>
      </c>
      <c r="T3012" s="190"/>
      <c r="U3012" s="750">
        <v>2.0</v>
      </c>
      <c r="V3012" s="190" t="s">
        <v>18105</v>
      </c>
      <c r="W3012" s="374" t="s">
        <v>1122</v>
      </c>
      <c r="X3012" s="2444" t="str">
        <f> hyperlink(vlookup(lower(S3012),'File Links'!E:F, 2, FALSE), "LINK")</f>
        <v>LINK</v>
      </c>
      <c r="Y3012" s="190"/>
      <c r="Z3012" s="190" t="s">
        <v>947</v>
      </c>
      <c r="AA3012" s="190" t="s">
        <v>18106</v>
      </c>
      <c r="AB3012" s="190" t="s">
        <v>7291</v>
      </c>
      <c r="AC3012" s="190" t="s">
        <v>18107</v>
      </c>
      <c r="AD3012" s="374" t="s">
        <v>18108</v>
      </c>
      <c r="AE3012" s="190" t="s">
        <v>1174</v>
      </c>
      <c r="AF3012" s="750">
        <v>213.0</v>
      </c>
      <c r="AG3012" s="750">
        <v>-0.75</v>
      </c>
      <c r="AH3012" s="190" t="s">
        <v>215</v>
      </c>
      <c r="AI3012" s="374" t="s">
        <v>307</v>
      </c>
      <c r="AJ3012" s="190" t="s">
        <v>138</v>
      </c>
      <c r="AK3012" s="190" t="s">
        <v>138</v>
      </c>
      <c r="AL3012" s="190" t="s">
        <v>138</v>
      </c>
      <c r="AM3012" s="190" t="s">
        <v>137</v>
      </c>
      <c r="AN3012" s="190" t="s">
        <v>138</v>
      </c>
      <c r="AO3012" s="750">
        <v>776.0</v>
      </c>
      <c r="AP3012" s="2445" t="s">
        <v>18109</v>
      </c>
      <c r="AQ3012" s="190" t="s">
        <v>215</v>
      </c>
      <c r="AR3012" s="190" t="s">
        <v>18110</v>
      </c>
      <c r="AS3012" s="750">
        <v>0.03</v>
      </c>
      <c r="AT3012" s="190" t="s">
        <v>172</v>
      </c>
      <c r="AU3012" s="190" t="s">
        <v>136</v>
      </c>
      <c r="AV3012" s="159" t="s">
        <v>141</v>
      </c>
      <c r="AW3012" s="877" t="s">
        <v>18111</v>
      </c>
      <c r="AX3012" s="190" t="s">
        <v>143</v>
      </c>
      <c r="AY3012" s="61" t="str">
        <f>IFERROR(__xludf.DUMMYFUNCTION("vlookup(BB3012,importrange(""https://docs.google.com/spreadsheets/d/1d2vevQ_7D_v35q4wCQ4RpQ_IPoTwEMB9Yp6ymwlPqew/edit?gid=984458430#gid=984458430"", ""'replication success'!A:K""), 11, FAlSE)"),"#N/A")</f>
        <v>#N/A</v>
      </c>
      <c r="AZ3012" s="61" t="str">
        <f>IFERROR(__xludf.DUMMYFUNCTION("vlookup(BB3012,importrange(""https://docs.google.com/spreadsheets/d/1d2vevQ_7D_v35q4wCQ4RpQ_IPoTwEMB9Yp6ymwlPqew/edit?gid=984458430#gid=984458430"", ""'replication success'!A:M""), 12, FAlSE)"),"#N/A")</f>
        <v>#N/A</v>
      </c>
      <c r="BA3012" s="61" t="str">
        <f>IFERROR(__xludf.DUMMYFUNCTION("vlookup(BB3012,importrange(""https://docs.google.com/spreadsheets/d/1d2vevQ_7D_v35q4wCQ4RpQ_IPoTwEMB9Yp6ymwlPqew/edit?gid=984458430#gid=984458430"", ""'replication success'!A:M""), 13, FAlSE)"),"#N/A")</f>
        <v>#N/A</v>
      </c>
      <c r="BB3012" s="61" t="str">
        <f>IFERROR(__xludf.DUMMYFUNCTION("REGEXREPLACE(G3012, ""_[a-z]{1,2}$"", """")"),"CORE_47")</f>
        <v>CORE_47</v>
      </c>
      <c r="BC3012" s="189"/>
      <c r="BD3012" s="188" t="s">
        <v>814</v>
      </c>
      <c r="BE3012" s="189"/>
      <c r="BF3012" s="2010"/>
      <c r="BG3012" s="2010"/>
      <c r="BH3012" s="2010"/>
      <c r="BI3012" s="2010"/>
      <c r="BJ3012" s="2010"/>
      <c r="BK3012" s="2010"/>
      <c r="BL3012" s="2010"/>
      <c r="BM3012" s="2010"/>
      <c r="BN3012" s="2010"/>
      <c r="BO3012" s="2010"/>
      <c r="BP3012" s="2010"/>
      <c r="BQ3012" s="2010"/>
      <c r="BR3012" s="2010"/>
      <c r="BS3012" s="2010"/>
      <c r="BT3012" s="2010"/>
      <c r="BU3012" s="2010"/>
      <c r="BV3012" s="2010"/>
      <c r="BW3012" s="2010"/>
      <c r="BX3012" s="2010"/>
      <c r="BY3012" s="2010"/>
      <c r="BZ3012" s="2010"/>
      <c r="CA3012" s="2010"/>
      <c r="CB3012" s="2010"/>
      <c r="CC3012" s="2010"/>
      <c r="CD3012" s="2010"/>
      <c r="CE3012" s="2010"/>
      <c r="CF3012" s="2010"/>
      <c r="CG3012" s="2010"/>
      <c r="CH3012" s="2010"/>
      <c r="CI3012" s="2010"/>
      <c r="CJ3012" s="2010"/>
      <c r="CK3012" s="2010"/>
      <c r="CL3012" s="2010"/>
      <c r="CM3012" s="2010"/>
      <c r="CN3012" s="2010"/>
      <c r="CO3012" s="2010"/>
      <c r="CP3012" s="2010"/>
      <c r="CQ3012" s="2010"/>
      <c r="CR3012" s="2010"/>
      <c r="CS3012" s="2010"/>
      <c r="CT3012" s="2010"/>
      <c r="CU3012" s="2010"/>
      <c r="CV3012" s="2010"/>
      <c r="CW3012" s="2010"/>
      <c r="CX3012" s="2010"/>
      <c r="CY3012" s="2010"/>
      <c r="CZ3012" s="2010"/>
      <c r="DA3012" s="2010"/>
      <c r="DB3012" s="2010"/>
      <c r="DC3012" s="2010"/>
      <c r="DD3012" s="2010"/>
      <c r="DE3012" s="2010"/>
      <c r="DF3012" s="2010"/>
      <c r="DG3012" s="2010"/>
      <c r="DH3012" s="2010"/>
      <c r="DI3012" s="2010"/>
      <c r="DJ3012" s="2010"/>
      <c r="DK3012" s="2010"/>
      <c r="DL3012" s="2010"/>
    </row>
    <row r="3013">
      <c r="A3013" s="2119">
        <v>2985.0</v>
      </c>
      <c r="B3013" s="1800" t="s">
        <v>152</v>
      </c>
      <c r="C3013" s="1631" t="s">
        <v>115</v>
      </c>
      <c r="D3013" s="1631" t="s">
        <v>15473</v>
      </c>
      <c r="E3013" s="1123"/>
      <c r="F3013" s="1632" t="s">
        <v>18097</v>
      </c>
      <c r="G3013" s="1634" t="s">
        <v>18098</v>
      </c>
      <c r="H3013" s="1634" t="s">
        <v>17483</v>
      </c>
      <c r="I3013" s="2120">
        <v>45331.0</v>
      </c>
      <c r="J3013" s="2127">
        <v>45835.0</v>
      </c>
      <c r="K3013" s="1632"/>
      <c r="L3013" s="1800" t="s">
        <v>18112</v>
      </c>
      <c r="M3013" s="1634" t="s">
        <v>18100</v>
      </c>
      <c r="N3013" s="1634" t="s">
        <v>18101</v>
      </c>
      <c r="O3013" s="1825">
        <v>2.0</v>
      </c>
      <c r="P3013" s="1634" t="s">
        <v>18102</v>
      </c>
      <c r="Q3013" s="2373" t="str">
        <f> hyperlink(vlookup(lower(N3013),'File Links'!E:F, 2, FALSE), "LINK")</f>
        <v>LINK</v>
      </c>
      <c r="R3013" s="1634" t="s">
        <v>18103</v>
      </c>
      <c r="S3013" s="1634" t="s">
        <v>18104</v>
      </c>
      <c r="T3013" s="1632"/>
      <c r="U3013" s="1825">
        <v>2.0</v>
      </c>
      <c r="V3013" s="1634" t="s">
        <v>18105</v>
      </c>
      <c r="W3013" s="1800" t="s">
        <v>1122</v>
      </c>
      <c r="X3013" s="2374" t="str">
        <f> hyperlink(vlookup(lower(S3013),'File Links'!E:F, 2, FALSE), "LINK")</f>
        <v>LINK</v>
      </c>
      <c r="Y3013" s="1632"/>
      <c r="Z3013" s="1634" t="s">
        <v>947</v>
      </c>
      <c r="AA3013" s="1634" t="s">
        <v>18106</v>
      </c>
      <c r="AB3013" s="1634" t="s">
        <v>7291</v>
      </c>
      <c r="AC3013" s="1634" t="s">
        <v>18107</v>
      </c>
      <c r="AD3013" s="1800" t="s">
        <v>18113</v>
      </c>
      <c r="AE3013" s="1825">
        <v>11.0</v>
      </c>
      <c r="AF3013" s="1825">
        <v>219.0</v>
      </c>
      <c r="AG3013" s="1825">
        <v>-0.75</v>
      </c>
      <c r="AH3013" s="1632" t="s">
        <v>215</v>
      </c>
      <c r="AI3013" s="1632" t="s">
        <v>1174</v>
      </c>
      <c r="AJ3013" s="1800" t="s">
        <v>138</v>
      </c>
      <c r="AK3013" s="1632" t="s">
        <v>186</v>
      </c>
      <c r="AL3013" s="1632" t="s">
        <v>186</v>
      </c>
      <c r="AM3013" s="1632" t="s">
        <v>137</v>
      </c>
      <c r="AN3013" s="1800" t="s">
        <v>138</v>
      </c>
      <c r="AO3013" s="2446">
        <v>776.0</v>
      </c>
      <c r="AP3013" s="1632" t="s">
        <v>18114</v>
      </c>
      <c r="AQ3013" s="1632" t="s">
        <v>215</v>
      </c>
      <c r="AR3013" s="1800" t="s">
        <v>2332</v>
      </c>
      <c r="AS3013" s="1825">
        <v>0.003</v>
      </c>
      <c r="AT3013" s="1632" t="s">
        <v>172</v>
      </c>
      <c r="AU3013" s="1632" t="s">
        <v>136</v>
      </c>
      <c r="AV3013" s="1634" t="s">
        <v>141</v>
      </c>
      <c r="AW3013" s="2123" t="s">
        <v>18115</v>
      </c>
      <c r="AX3013" s="1632" t="s">
        <v>143</v>
      </c>
      <c r="AY3013" s="61" t="str">
        <f>IFERROR(__xludf.DUMMYFUNCTION("vlookup(BB3013,importrange(""https://docs.google.com/spreadsheets/d/1d2vevQ_7D_v35q4wCQ4RpQ_IPoTwEMB9Yp6ymwlPqew/edit?gid=984458430#gid=984458430"", ""'replication success'!A:K""), 11, FAlSE)"),"#N/A")</f>
        <v>#N/A</v>
      </c>
      <c r="AZ3013" s="61" t="str">
        <f>IFERROR(__xludf.DUMMYFUNCTION("vlookup(BB3013,importrange(""https://docs.google.com/spreadsheets/d/1d2vevQ_7D_v35q4wCQ4RpQ_IPoTwEMB9Yp6ymwlPqew/edit?gid=984458430#gid=984458430"", ""'replication success'!A:M""), 12, FAlSE)"),"#N/A")</f>
        <v>#N/A</v>
      </c>
      <c r="BA3013" s="61" t="str">
        <f>IFERROR(__xludf.DUMMYFUNCTION("vlookup(BB3013,importrange(""https://docs.google.com/spreadsheets/d/1d2vevQ_7D_v35q4wCQ4RpQ_IPoTwEMB9Yp6ymwlPqew/edit?gid=984458430#gid=984458430"", ""'replication success'!A:M""), 13, FAlSE)"),"#N/A")</f>
        <v>#N/A</v>
      </c>
      <c r="BB3013" s="61" t="str">
        <f>IFERROR(__xludf.DUMMYFUNCTION("REGEXREPLACE(G3013, ""_[a-z]{1,2}$"", """")"),"CORE_47")</f>
        <v>CORE_47</v>
      </c>
      <c r="BC3013" s="1123"/>
      <c r="BD3013" s="1631" t="s">
        <v>814</v>
      </c>
      <c r="BE3013" s="1123"/>
    </row>
    <row r="3014">
      <c r="A3014" s="44">
        <v>2849.0</v>
      </c>
      <c r="B3014" s="129" t="s">
        <v>523</v>
      </c>
      <c r="C3014" s="62" t="s">
        <v>115</v>
      </c>
      <c r="D3014" s="62" t="s">
        <v>248</v>
      </c>
      <c r="F3014" s="68" t="s">
        <v>18097</v>
      </c>
      <c r="G3014" s="68" t="s">
        <v>18116</v>
      </c>
      <c r="H3014" s="68" t="s">
        <v>249</v>
      </c>
      <c r="I3014" s="529">
        <v>45807.0</v>
      </c>
      <c r="J3014" s="862"/>
      <c r="K3014" s="68"/>
      <c r="L3014" s="68"/>
      <c r="M3014" s="68" t="s">
        <v>18100</v>
      </c>
      <c r="N3014" s="68" t="s">
        <v>18101</v>
      </c>
      <c r="O3014" s="68"/>
      <c r="P3014" s="573" t="s">
        <v>18102</v>
      </c>
      <c r="Q3014" s="2375" t="str">
        <f> hyperlink(vlookup(lower(N3014),'File Links'!E:F, 2, FALSE), "LINK")</f>
        <v>LINK</v>
      </c>
      <c r="R3014" s="68" t="s">
        <v>18103</v>
      </c>
      <c r="S3014" s="68" t="s">
        <v>18104</v>
      </c>
      <c r="T3014" s="68"/>
      <c r="U3014" s="336">
        <v>2.0</v>
      </c>
      <c r="V3014" s="573" t="s">
        <v>18105</v>
      </c>
      <c r="W3014" s="1228"/>
      <c r="X3014" s="2376" t="str">
        <f> hyperlink(vlookup(lower(S3014),'File Links'!E:F, 2, FALSE), "LINK")</f>
        <v>LINK</v>
      </c>
      <c r="Y3014" s="68"/>
      <c r="Z3014" s="68" t="s">
        <v>947</v>
      </c>
      <c r="AA3014" s="68" t="s">
        <v>18106</v>
      </c>
      <c r="AB3014" s="68" t="s">
        <v>7291</v>
      </c>
      <c r="AC3014" s="68" t="s">
        <v>18107</v>
      </c>
      <c r="AD3014" s="68"/>
      <c r="AE3014" s="68" t="s">
        <v>1174</v>
      </c>
      <c r="AF3014" s="336">
        <v>213.0</v>
      </c>
      <c r="AG3014" s="336">
        <v>-0.75</v>
      </c>
      <c r="AH3014" s="68" t="s">
        <v>215</v>
      </c>
      <c r="AI3014" s="68" t="s">
        <v>138</v>
      </c>
      <c r="AJ3014" s="68" t="s">
        <v>138</v>
      </c>
      <c r="AK3014" s="68" t="s">
        <v>172</v>
      </c>
      <c r="AL3014" s="68" t="s">
        <v>136</v>
      </c>
      <c r="AM3014" s="68" t="s">
        <v>137</v>
      </c>
      <c r="AN3014" s="68" t="s">
        <v>138</v>
      </c>
      <c r="AO3014" s="336">
        <v>776.0</v>
      </c>
      <c r="AP3014" s="336">
        <v>2.84</v>
      </c>
      <c r="AQ3014" s="68" t="s">
        <v>215</v>
      </c>
      <c r="AR3014" s="68" t="s">
        <v>18117</v>
      </c>
      <c r="AS3014" s="336">
        <v>0.001</v>
      </c>
      <c r="AT3014" s="68" t="s">
        <v>135</v>
      </c>
      <c r="AU3014" s="68" t="s">
        <v>136</v>
      </c>
      <c r="AV3014" s="68" t="s">
        <v>137</v>
      </c>
      <c r="AW3014" s="435" t="s">
        <v>18111</v>
      </c>
      <c r="AX3014" s="68" t="s">
        <v>143</v>
      </c>
      <c r="AY3014" s="61" t="str">
        <f>IFERROR(__xludf.DUMMYFUNCTION("vlookup(BB3014,importrange(""https://docs.google.com/spreadsheets/d/1d2vevQ_7D_v35q4wCQ4RpQ_IPoTwEMB9Yp6ymwlPqew/edit?gid=984458430#gid=984458430"", ""'replication success'!A:K""), 11, FAlSE)"),"#N/A")</f>
        <v>#N/A</v>
      </c>
      <c r="AZ3014" s="61" t="str">
        <f>IFERROR(__xludf.DUMMYFUNCTION("vlookup(BB3014,importrange(""https://docs.google.com/spreadsheets/d/1d2vevQ_7D_v35q4wCQ4RpQ_IPoTwEMB9Yp6ymwlPqew/edit?gid=984458430#gid=984458430"", ""'replication success'!A:M""), 12, FAlSE)"),"#N/A")</f>
        <v>#N/A</v>
      </c>
      <c r="BA3014" s="61" t="str">
        <f>IFERROR(__xludf.DUMMYFUNCTION("vlookup(BB3014,importrange(""https://docs.google.com/spreadsheets/d/1d2vevQ_7D_v35q4wCQ4RpQ_IPoTwEMB9Yp6ymwlPqew/edit?gid=984458430#gid=984458430"", ""'replication success'!A:M""), 13, FAlSE)"),"#N/A")</f>
        <v>#N/A</v>
      </c>
      <c r="BB3014" s="61" t="str">
        <f>IFERROR(__xludf.DUMMYFUNCTION("REGEXREPLACE(G3014, ""_[a-z]{1,2}$"", """")"),"CORE_47")</f>
        <v>CORE_47</v>
      </c>
      <c r="BD3014" s="62" t="s">
        <v>7302</v>
      </c>
    </row>
    <row r="3015">
      <c r="A3015" s="44">
        <v>2850.0</v>
      </c>
      <c r="B3015" s="129" t="s">
        <v>523</v>
      </c>
      <c r="C3015" s="62" t="s">
        <v>115</v>
      </c>
      <c r="D3015" s="62" t="s">
        <v>248</v>
      </c>
      <c r="F3015" s="68" t="s">
        <v>18118</v>
      </c>
      <c r="G3015" s="68" t="s">
        <v>18119</v>
      </c>
      <c r="H3015" s="68" t="s">
        <v>249</v>
      </c>
      <c r="I3015" s="529">
        <v>45813.0</v>
      </c>
      <c r="J3015" s="862"/>
      <c r="K3015" s="68" t="s">
        <v>18120</v>
      </c>
      <c r="L3015" s="68"/>
      <c r="M3015" s="68" t="s">
        <v>18121</v>
      </c>
      <c r="N3015" s="68" t="s">
        <v>18122</v>
      </c>
      <c r="O3015" s="68"/>
      <c r="P3015" s="573" t="s">
        <v>18123</v>
      </c>
      <c r="Q3015" s="2375" t="str">
        <f> hyperlink(vlookup(lower(N3015),'File Links'!E:F, 2, FALSE), "LINK")</f>
        <v>LINK</v>
      </c>
      <c r="R3015" s="68" t="s">
        <v>18124</v>
      </c>
      <c r="S3015" s="68" t="s">
        <v>18125</v>
      </c>
      <c r="T3015" s="68"/>
      <c r="U3015" s="336">
        <v>2.0</v>
      </c>
      <c r="V3015" s="573" t="s">
        <v>18126</v>
      </c>
      <c r="W3015" s="1228"/>
      <c r="X3015" s="2376" t="str">
        <f> hyperlink(vlookup(lower(S3015),'File Links'!E:F, 2, FALSE), "LINK")</f>
        <v>LINK</v>
      </c>
      <c r="Y3015" s="68"/>
      <c r="Z3015" s="68" t="s">
        <v>947</v>
      </c>
      <c r="AA3015" s="68" t="s">
        <v>18127</v>
      </c>
      <c r="AB3015" s="68" t="s">
        <v>7291</v>
      </c>
      <c r="AC3015" s="68" t="s">
        <v>18128</v>
      </c>
      <c r="AD3015" s="68" t="s">
        <v>18129</v>
      </c>
      <c r="AE3015" s="68" t="s">
        <v>604</v>
      </c>
      <c r="AF3015" s="336">
        <v>80.0</v>
      </c>
      <c r="AG3015" s="336">
        <v>1.13</v>
      </c>
      <c r="AH3015" s="68" t="s">
        <v>173</v>
      </c>
      <c r="AI3015" s="68" t="s">
        <v>138</v>
      </c>
      <c r="AJ3015" s="336">
        <v>0.001</v>
      </c>
      <c r="AK3015" s="68" t="s">
        <v>135</v>
      </c>
      <c r="AL3015" s="68" t="s">
        <v>186</v>
      </c>
      <c r="AM3015" s="68" t="s">
        <v>137</v>
      </c>
      <c r="AN3015" s="68" t="s">
        <v>138</v>
      </c>
      <c r="AO3015" s="336">
        <v>442.0</v>
      </c>
      <c r="AP3015" s="68" t="s">
        <v>138</v>
      </c>
      <c r="AQ3015" s="68"/>
      <c r="AR3015" s="68" t="s">
        <v>138</v>
      </c>
      <c r="AS3015" s="68" t="s">
        <v>138</v>
      </c>
      <c r="AT3015" s="68" t="s">
        <v>172</v>
      </c>
      <c r="AU3015" s="68" t="s">
        <v>186</v>
      </c>
      <c r="AV3015" s="68" t="s">
        <v>137</v>
      </c>
      <c r="AW3015" s="435" t="s">
        <v>18130</v>
      </c>
      <c r="AX3015" s="68" t="s">
        <v>143</v>
      </c>
      <c r="AY3015" s="61" t="str">
        <f>IFERROR(__xludf.DUMMYFUNCTION("vlookup(BB3015,importrange(""https://docs.google.com/spreadsheets/d/1d2vevQ_7D_v35q4wCQ4RpQ_IPoTwEMB9Yp6ymwlPqew/edit?gid=984458430#gid=984458430"", ""'replication success'!A:K""), 11, FAlSE)"),"#N/A")</f>
        <v>#N/A</v>
      </c>
      <c r="AZ3015" s="61" t="str">
        <f>IFERROR(__xludf.DUMMYFUNCTION("vlookup(BB3015,importrange(""https://docs.google.com/spreadsheets/d/1d2vevQ_7D_v35q4wCQ4RpQ_IPoTwEMB9Yp6ymwlPqew/edit?gid=984458430#gid=984458430"", ""'replication success'!A:M""), 12, FAlSE)"),"#N/A")</f>
        <v>#N/A</v>
      </c>
      <c r="BA3015" s="61" t="str">
        <f>IFERROR(__xludf.DUMMYFUNCTION("vlookup(BB3015,importrange(""https://docs.google.com/spreadsheets/d/1d2vevQ_7D_v35q4wCQ4RpQ_IPoTwEMB9Yp6ymwlPqew/edit?gid=984458430#gid=984458430"", ""'replication success'!A:M""), 13, FAlSE)"),"#N/A")</f>
        <v>#N/A</v>
      </c>
      <c r="BB3015" s="61" t="str">
        <f>IFERROR(__xludf.DUMMYFUNCTION("REGEXREPLACE(G3015, ""_[a-z]{1,2}$"", """")"),"CORE_49")</f>
        <v>CORE_49</v>
      </c>
    </row>
    <row r="3016">
      <c r="A3016" s="44">
        <v>2851.0</v>
      </c>
      <c r="B3016" s="129" t="s">
        <v>523</v>
      </c>
      <c r="C3016" s="62" t="s">
        <v>115</v>
      </c>
      <c r="D3016" s="62" t="s">
        <v>248</v>
      </c>
      <c r="F3016" s="68" t="s">
        <v>18131</v>
      </c>
      <c r="G3016" s="68" t="s">
        <v>18132</v>
      </c>
      <c r="H3016" s="68" t="s">
        <v>249</v>
      </c>
      <c r="I3016" s="529">
        <v>45810.0</v>
      </c>
      <c r="J3016" s="862"/>
      <c r="K3016" s="68"/>
      <c r="L3016" s="68"/>
      <c r="M3016" s="68" t="s">
        <v>18133</v>
      </c>
      <c r="N3016" s="68" t="s">
        <v>18134</v>
      </c>
      <c r="O3016" s="68"/>
      <c r="P3016" s="573" t="s">
        <v>18135</v>
      </c>
      <c r="Q3016" s="2375" t="str">
        <f> hyperlink(vlookup(lower(N3016),'File Links'!E:F, 2, FALSE), "LINK")</f>
        <v>LINK</v>
      </c>
      <c r="R3016" s="68" t="s">
        <v>18136</v>
      </c>
      <c r="S3016" s="68" t="s">
        <v>18137</v>
      </c>
      <c r="T3016" s="68"/>
      <c r="U3016" s="68"/>
      <c r="V3016" s="573" t="s">
        <v>18138</v>
      </c>
      <c r="W3016" s="1228"/>
      <c r="X3016" s="2376" t="str">
        <f> hyperlink(vlookup(lower(S3016),'File Links'!E:F, 2, FALSE), "LINK")</f>
        <v>LINK</v>
      </c>
      <c r="Y3016" s="68"/>
      <c r="Z3016" s="68" t="s">
        <v>947</v>
      </c>
      <c r="AA3016" s="68" t="s">
        <v>18139</v>
      </c>
      <c r="AB3016" s="68" t="s">
        <v>7291</v>
      </c>
      <c r="AC3016" s="68"/>
      <c r="AD3016" s="68" t="s">
        <v>18140</v>
      </c>
      <c r="AE3016" s="68" t="s">
        <v>630</v>
      </c>
      <c r="AF3016" s="336">
        <v>138.0</v>
      </c>
      <c r="AG3016" s="68" t="s">
        <v>138</v>
      </c>
      <c r="AH3016" s="68"/>
      <c r="AI3016" s="68" t="s">
        <v>18141</v>
      </c>
      <c r="AJ3016" s="68" t="s">
        <v>138</v>
      </c>
      <c r="AK3016" s="68" t="s">
        <v>172</v>
      </c>
      <c r="AL3016" s="68" t="s">
        <v>186</v>
      </c>
      <c r="AM3016" s="68" t="s">
        <v>137</v>
      </c>
      <c r="AN3016" s="68" t="s">
        <v>138</v>
      </c>
      <c r="AO3016" s="336">
        <v>342.0</v>
      </c>
      <c r="AP3016" s="129" t="s">
        <v>18142</v>
      </c>
      <c r="AQ3016" s="68" t="s">
        <v>134</v>
      </c>
      <c r="AR3016" s="129" t="s">
        <v>18143</v>
      </c>
      <c r="AS3016" s="336">
        <v>0.001</v>
      </c>
      <c r="AT3016" s="68" t="s">
        <v>135</v>
      </c>
      <c r="AU3016" s="68" t="s">
        <v>186</v>
      </c>
      <c r="AV3016" s="68" t="s">
        <v>137</v>
      </c>
      <c r="AW3016" s="435" t="s">
        <v>18144</v>
      </c>
      <c r="AX3016" s="68" t="s">
        <v>143</v>
      </c>
      <c r="AY3016" s="61" t="str">
        <f>IFERROR(__xludf.DUMMYFUNCTION("vlookup(BB3016,importrange(""https://docs.google.com/spreadsheets/d/1d2vevQ_7D_v35q4wCQ4RpQ_IPoTwEMB9Yp6ymwlPqew/edit?gid=984458430#gid=984458430"", ""'replication success'!A:K""), 11, FAlSE)"),"#N/A")</f>
        <v>#N/A</v>
      </c>
      <c r="AZ3016" s="61" t="str">
        <f>IFERROR(__xludf.DUMMYFUNCTION("vlookup(BB3016,importrange(""https://docs.google.com/spreadsheets/d/1d2vevQ_7D_v35q4wCQ4RpQ_IPoTwEMB9Yp6ymwlPqew/edit?gid=984458430#gid=984458430"", ""'replication success'!A:M""), 12, FAlSE)"),"#N/A")</f>
        <v>#N/A</v>
      </c>
      <c r="BA3016" s="61" t="str">
        <f>IFERROR(__xludf.DUMMYFUNCTION("vlookup(BB3016,importrange(""https://docs.google.com/spreadsheets/d/1d2vevQ_7D_v35q4wCQ4RpQ_IPoTwEMB9Yp6ymwlPqew/edit?gid=984458430#gid=984458430"", ""'replication success'!A:M""), 13, FAlSE)"),"#N/A")</f>
        <v>#N/A</v>
      </c>
      <c r="BB3016" s="61" t="str">
        <f>IFERROR(__xludf.DUMMYFUNCTION("REGEXREPLACE(G3016, ""_[a-z]{1,2}$"", """")"),"CORE_50")</f>
        <v>CORE_50</v>
      </c>
      <c r="BD3016" s="62" t="s">
        <v>7302</v>
      </c>
    </row>
    <row r="3017">
      <c r="A3017" s="44">
        <v>2986.0</v>
      </c>
      <c r="B3017" s="129" t="s">
        <v>114</v>
      </c>
      <c r="C3017" s="62" t="s">
        <v>115</v>
      </c>
      <c r="D3017" s="62" t="s">
        <v>15473</v>
      </c>
      <c r="F3017" s="68" t="s">
        <v>18131</v>
      </c>
      <c r="G3017" s="159" t="s">
        <v>18132</v>
      </c>
      <c r="H3017" s="68" t="s">
        <v>15473</v>
      </c>
      <c r="I3017" s="152">
        <v>45331.0</v>
      </c>
      <c r="J3017" s="2399">
        <v>45835.0</v>
      </c>
      <c r="K3017" s="68"/>
      <c r="L3017" s="129" t="s">
        <v>18145</v>
      </c>
      <c r="M3017" s="159" t="s">
        <v>18133</v>
      </c>
      <c r="N3017" s="159" t="s">
        <v>18134</v>
      </c>
      <c r="O3017" s="336">
        <v>2.0</v>
      </c>
      <c r="P3017" s="159" t="s">
        <v>18135</v>
      </c>
      <c r="Q3017" s="2174" t="str">
        <f> hyperlink(vlookup(lower(N3017),'File Links'!E:F, 2, FALSE), "LINK")</f>
        <v>LINK</v>
      </c>
      <c r="R3017" s="159" t="s">
        <v>18136</v>
      </c>
      <c r="S3017" s="159" t="s">
        <v>18137</v>
      </c>
      <c r="T3017" s="68"/>
      <c r="U3017" s="336">
        <v>2.0</v>
      </c>
      <c r="V3017" s="159" t="s">
        <v>18138</v>
      </c>
      <c r="W3017" s="205" t="s">
        <v>1122</v>
      </c>
      <c r="X3017" s="2400" t="str">
        <f> hyperlink(vlookup(lower(S3017),'File Links'!E:F, 2, FALSE), "LINK")</f>
        <v>LINK</v>
      </c>
      <c r="Y3017" s="68"/>
      <c r="Z3017" s="159" t="s">
        <v>947</v>
      </c>
      <c r="AA3017" s="159" t="s">
        <v>18139</v>
      </c>
      <c r="AB3017" s="159" t="s">
        <v>7291</v>
      </c>
      <c r="AC3017" s="68" t="s">
        <v>18146</v>
      </c>
      <c r="AD3017" s="68" t="s">
        <v>18147</v>
      </c>
      <c r="AE3017" s="336">
        <v>10.0</v>
      </c>
      <c r="AF3017" s="336">
        <v>92.0</v>
      </c>
      <c r="AG3017" s="147">
        <v>0.048</v>
      </c>
      <c r="AH3017" s="437" t="s">
        <v>722</v>
      </c>
      <c r="AI3017" s="111" t="s">
        <v>18148</v>
      </c>
      <c r="AJ3017" s="111" t="s">
        <v>138</v>
      </c>
      <c r="AK3017" s="190" t="s">
        <v>138</v>
      </c>
      <c r="AL3017" s="111" t="s">
        <v>186</v>
      </c>
      <c r="AM3017" s="204" t="s">
        <v>137</v>
      </c>
      <c r="AN3017" s="129" t="s">
        <v>138</v>
      </c>
      <c r="AO3017" s="336">
        <v>342.0</v>
      </c>
      <c r="AP3017" s="336">
        <v>1.58</v>
      </c>
      <c r="AQ3017" s="68" t="s">
        <v>173</v>
      </c>
      <c r="AR3017" s="68" t="s">
        <v>4979</v>
      </c>
      <c r="AS3017" s="129">
        <v>0.001</v>
      </c>
      <c r="AT3017" s="1065" t="s">
        <v>135</v>
      </c>
      <c r="AU3017" s="68" t="s">
        <v>186</v>
      </c>
      <c r="AV3017" s="111" t="s">
        <v>137</v>
      </c>
      <c r="AW3017" s="435" t="s">
        <v>18149</v>
      </c>
      <c r="AX3017" s="68" t="s">
        <v>143</v>
      </c>
      <c r="AY3017" s="61" t="str">
        <f>IFERROR(__xludf.DUMMYFUNCTION("vlookup(BB3017,importrange(""https://docs.google.com/spreadsheets/d/1d2vevQ_7D_v35q4wCQ4RpQ_IPoTwEMB9Yp6ymwlPqew/edit?gid=984458430#gid=984458430"", ""'replication success'!A:K""), 11, FAlSE)"),"#N/A")</f>
        <v>#N/A</v>
      </c>
      <c r="AZ3017" s="61" t="str">
        <f>IFERROR(__xludf.DUMMYFUNCTION("vlookup(BB3017,importrange(""https://docs.google.com/spreadsheets/d/1d2vevQ_7D_v35q4wCQ4RpQ_IPoTwEMB9Yp6ymwlPqew/edit?gid=984458430#gid=984458430"", ""'replication success'!A:M""), 12, FAlSE)"),"#N/A")</f>
        <v>#N/A</v>
      </c>
      <c r="BA3017" s="61" t="str">
        <f>IFERROR(__xludf.DUMMYFUNCTION("vlookup(BB3017,importrange(""https://docs.google.com/spreadsheets/d/1d2vevQ_7D_v35q4wCQ4RpQ_IPoTwEMB9Yp6ymwlPqew/edit?gid=984458430#gid=984458430"", ""'replication success'!A:M""), 13, FAlSE)"),"#N/A")</f>
        <v>#N/A</v>
      </c>
      <c r="BB3017" s="61" t="str">
        <f>IFERROR(__xludf.DUMMYFUNCTION("REGEXREPLACE(G3017, ""_[a-z]{1,2}$"", """")"),"CORE_50")</f>
        <v>CORE_50</v>
      </c>
      <c r="BD3017" s="199" t="s">
        <v>814</v>
      </c>
    </row>
    <row r="3018">
      <c r="A3018" s="110">
        <v>2852.0</v>
      </c>
      <c r="B3018" s="147" t="s">
        <v>152</v>
      </c>
      <c r="C3018" s="149" t="s">
        <v>115</v>
      </c>
      <c r="D3018" s="149" t="s">
        <v>248</v>
      </c>
      <c r="E3018" s="71"/>
      <c r="F3018" s="111" t="s">
        <v>18131</v>
      </c>
      <c r="G3018" s="111" t="s">
        <v>18150</v>
      </c>
      <c r="H3018" s="111" t="s">
        <v>249</v>
      </c>
      <c r="I3018" s="1334">
        <v>45810.0</v>
      </c>
      <c r="J3018" s="2442">
        <v>45835.0</v>
      </c>
      <c r="K3018" s="111"/>
      <c r="L3018" s="147" t="s">
        <v>18151</v>
      </c>
      <c r="M3018" s="111" t="s">
        <v>18133</v>
      </c>
      <c r="N3018" s="111" t="s">
        <v>18134</v>
      </c>
      <c r="O3018" s="147">
        <v>2.0</v>
      </c>
      <c r="P3018" s="111" t="s">
        <v>18135</v>
      </c>
      <c r="Q3018" s="2447" t="str">
        <f> hyperlink(vlookup(lower(N3018),'File Links'!E:F, 2, FALSE), "LINK")</f>
        <v>LINK</v>
      </c>
      <c r="R3018" s="111" t="s">
        <v>18136</v>
      </c>
      <c r="S3018" s="111" t="s">
        <v>18137</v>
      </c>
      <c r="T3018" s="111"/>
      <c r="U3018" s="147">
        <v>2.0</v>
      </c>
      <c r="V3018" s="111" t="s">
        <v>18138</v>
      </c>
      <c r="W3018" s="374" t="s">
        <v>1122</v>
      </c>
      <c r="X3018" s="2448" t="str">
        <f> hyperlink(vlookup(lower(S3018),'File Links'!E:F, 2, FALSE), "LINK")</f>
        <v>LINK</v>
      </c>
      <c r="Y3018" s="111"/>
      <c r="Z3018" s="111" t="s">
        <v>947</v>
      </c>
      <c r="AA3018" s="111" t="s">
        <v>18139</v>
      </c>
      <c r="AB3018" s="111" t="s">
        <v>7291</v>
      </c>
      <c r="AC3018" s="111"/>
      <c r="AD3018" s="111" t="s">
        <v>18152</v>
      </c>
      <c r="AE3018" s="111" t="s">
        <v>630</v>
      </c>
      <c r="AF3018" s="1109">
        <v>92.0</v>
      </c>
      <c r="AG3018" s="147">
        <v>0.048</v>
      </c>
      <c r="AH3018" s="437" t="s">
        <v>722</v>
      </c>
      <c r="AI3018" s="111" t="s">
        <v>18148</v>
      </c>
      <c r="AJ3018" s="111" t="s">
        <v>138</v>
      </c>
      <c r="AK3018" s="190" t="s">
        <v>138</v>
      </c>
      <c r="AL3018" s="111" t="s">
        <v>186</v>
      </c>
      <c r="AM3018" s="111" t="s">
        <v>137</v>
      </c>
      <c r="AN3018" s="111" t="s">
        <v>138</v>
      </c>
      <c r="AO3018" s="1109">
        <v>342.0</v>
      </c>
      <c r="AP3018" s="1109">
        <v>1.58</v>
      </c>
      <c r="AQ3018" s="111" t="s">
        <v>173</v>
      </c>
      <c r="AR3018" s="147" t="s">
        <v>18153</v>
      </c>
      <c r="AS3018" s="1109">
        <v>0.001</v>
      </c>
      <c r="AT3018" s="111" t="s">
        <v>135</v>
      </c>
      <c r="AU3018" s="111" t="s">
        <v>186</v>
      </c>
      <c r="AV3018" s="111" t="s">
        <v>137</v>
      </c>
      <c r="AW3018" s="656" t="s">
        <v>18144</v>
      </c>
      <c r="AX3018" s="111" t="s">
        <v>143</v>
      </c>
      <c r="AY3018" s="61" t="str">
        <f>IFERROR(__xludf.DUMMYFUNCTION("vlookup(BB3018,importrange(""https://docs.google.com/spreadsheets/d/1d2vevQ_7D_v35q4wCQ4RpQ_IPoTwEMB9Yp6ymwlPqew/edit?gid=984458430#gid=984458430"", ""'replication success'!A:K""), 11, FAlSE)"),"#N/A")</f>
        <v>#N/A</v>
      </c>
      <c r="AZ3018" s="61" t="str">
        <f>IFERROR(__xludf.DUMMYFUNCTION("vlookup(BB3018,importrange(""https://docs.google.com/spreadsheets/d/1d2vevQ_7D_v35q4wCQ4RpQ_IPoTwEMB9Yp6ymwlPqew/edit?gid=984458430#gid=984458430"", ""'replication success'!A:M""), 12, FAlSE)"),"#N/A")</f>
        <v>#N/A</v>
      </c>
      <c r="BA3018" s="61" t="str">
        <f>IFERROR(__xludf.DUMMYFUNCTION("vlookup(BB3018,importrange(""https://docs.google.com/spreadsheets/d/1d2vevQ_7D_v35q4wCQ4RpQ_IPoTwEMB9Yp6ymwlPqew/edit?gid=984458430#gid=984458430"", ""'replication success'!A:M""), 13, FAlSE)"),"#N/A")</f>
        <v>#N/A</v>
      </c>
      <c r="BB3018" s="61" t="str">
        <f>IFERROR(__xludf.DUMMYFUNCTION("REGEXREPLACE(G3018, ""_[a-z]{1,2}$"", """")"),"CORE_50")</f>
        <v>CORE_50</v>
      </c>
      <c r="BC3018" s="71"/>
      <c r="BD3018" s="149" t="s">
        <v>814</v>
      </c>
      <c r="BE3018" s="71"/>
    </row>
    <row r="3019">
      <c r="A3019" s="44">
        <v>2853.0</v>
      </c>
      <c r="B3019" s="129" t="s">
        <v>523</v>
      </c>
      <c r="C3019" s="62" t="s">
        <v>115</v>
      </c>
      <c r="D3019" s="62" t="s">
        <v>248</v>
      </c>
      <c r="F3019" s="68" t="s">
        <v>18154</v>
      </c>
      <c r="G3019" s="68" t="s">
        <v>18155</v>
      </c>
      <c r="H3019" s="68" t="s">
        <v>249</v>
      </c>
      <c r="I3019" s="529">
        <v>45810.0</v>
      </c>
      <c r="J3019" s="862"/>
      <c r="K3019" s="68"/>
      <c r="L3019" s="68"/>
      <c r="M3019" s="68" t="s">
        <v>18156</v>
      </c>
      <c r="N3019" s="68" t="s">
        <v>18157</v>
      </c>
      <c r="O3019" s="68"/>
      <c r="P3019" s="573" t="s">
        <v>18158</v>
      </c>
      <c r="Q3019" s="2375" t="str">
        <f> hyperlink(vlookup(lower(N3019),'File Links'!E:F, 2, FALSE), "LINK")</f>
        <v>LINK</v>
      </c>
      <c r="R3019" s="68" t="s">
        <v>18159</v>
      </c>
      <c r="S3019" s="68" t="s">
        <v>18160</v>
      </c>
      <c r="T3019" s="68"/>
      <c r="U3019" s="68"/>
      <c r="V3019" s="573" t="s">
        <v>18161</v>
      </c>
      <c r="W3019" s="1228"/>
      <c r="X3019" s="2376" t="str">
        <f> hyperlink(vlookup(lower(S3019),'File Links'!E:F, 2, FALSE), "LINK")</f>
        <v>LINK</v>
      </c>
      <c r="Y3019" s="68"/>
      <c r="Z3019" s="68" t="s">
        <v>947</v>
      </c>
      <c r="AA3019" s="68" t="s">
        <v>18162</v>
      </c>
      <c r="AB3019" s="68" t="s">
        <v>7291</v>
      </c>
      <c r="AC3019" s="68"/>
      <c r="AD3019" s="68" t="s">
        <v>18163</v>
      </c>
      <c r="AE3019" s="68" t="s">
        <v>9246</v>
      </c>
      <c r="AF3019" s="68"/>
      <c r="AG3019" s="68" t="s">
        <v>138</v>
      </c>
      <c r="AH3019" s="68"/>
      <c r="AI3019" s="68" t="s">
        <v>138</v>
      </c>
      <c r="AJ3019" s="68" t="s">
        <v>138</v>
      </c>
      <c r="AK3019" s="68" t="s">
        <v>172</v>
      </c>
      <c r="AL3019" s="68" t="s">
        <v>186</v>
      </c>
      <c r="AM3019" s="68" t="s">
        <v>137</v>
      </c>
      <c r="AN3019" s="68" t="s">
        <v>138</v>
      </c>
      <c r="AO3019" s="336">
        <v>76.0</v>
      </c>
      <c r="AP3019" s="129" t="s">
        <v>18164</v>
      </c>
      <c r="AQ3019" s="68" t="s">
        <v>134</v>
      </c>
      <c r="AR3019" s="129" t="s">
        <v>18165</v>
      </c>
      <c r="AS3019" s="336">
        <v>0.042</v>
      </c>
      <c r="AT3019" s="68" t="s">
        <v>172</v>
      </c>
      <c r="AU3019" s="68" t="s">
        <v>186</v>
      </c>
      <c r="AV3019" s="68" t="s">
        <v>137</v>
      </c>
      <c r="AW3019" s="435" t="s">
        <v>18166</v>
      </c>
      <c r="AX3019" s="68" t="s">
        <v>143</v>
      </c>
      <c r="AY3019" s="61" t="str">
        <f>IFERROR(__xludf.DUMMYFUNCTION("vlookup(BB3019,importrange(""https://docs.google.com/spreadsheets/d/1d2vevQ_7D_v35q4wCQ4RpQ_IPoTwEMB9Yp6ymwlPqew/edit?gid=984458430#gid=984458430"", ""'replication success'!A:K""), 11, FAlSE)"),"#N/A")</f>
        <v>#N/A</v>
      </c>
      <c r="AZ3019" s="61" t="str">
        <f>IFERROR(__xludf.DUMMYFUNCTION("vlookup(BB3019,importrange(""https://docs.google.com/spreadsheets/d/1d2vevQ_7D_v35q4wCQ4RpQ_IPoTwEMB9Yp6ymwlPqew/edit?gid=984458430#gid=984458430"", ""'replication success'!A:M""), 12, FAlSE)"),"#N/A")</f>
        <v>#N/A</v>
      </c>
      <c r="BA3019" s="61" t="str">
        <f>IFERROR(__xludf.DUMMYFUNCTION("vlookup(BB3019,importrange(""https://docs.google.com/spreadsheets/d/1d2vevQ_7D_v35q4wCQ4RpQ_IPoTwEMB9Yp6ymwlPqew/edit?gid=984458430#gid=984458430"", ""'replication success'!A:M""), 13, FAlSE)"),"#N/A")</f>
        <v>#N/A</v>
      </c>
      <c r="BB3019" s="61" t="str">
        <f>IFERROR(__xludf.DUMMYFUNCTION("REGEXREPLACE(G3019, ""_[a-z]{1,2}$"", """")"),"CORE_51")</f>
        <v>CORE_51</v>
      </c>
    </row>
    <row r="3020">
      <c r="A3020" s="44">
        <v>2854.0</v>
      </c>
      <c r="B3020" s="129" t="s">
        <v>523</v>
      </c>
      <c r="C3020" s="62" t="s">
        <v>115</v>
      </c>
      <c r="D3020" s="62" t="s">
        <v>248</v>
      </c>
      <c r="F3020" s="68" t="s">
        <v>18154</v>
      </c>
      <c r="G3020" s="68" t="s">
        <v>18167</v>
      </c>
      <c r="H3020" s="68" t="s">
        <v>249</v>
      </c>
      <c r="I3020" s="529">
        <v>45810.0</v>
      </c>
      <c r="J3020" s="862"/>
      <c r="K3020" s="68" t="s">
        <v>18168</v>
      </c>
      <c r="L3020" s="68"/>
      <c r="M3020" s="68" t="s">
        <v>18156</v>
      </c>
      <c r="N3020" s="68" t="s">
        <v>18157</v>
      </c>
      <c r="O3020" s="68"/>
      <c r="P3020" s="573" t="s">
        <v>18158</v>
      </c>
      <c r="Q3020" s="2375" t="str">
        <f> hyperlink(vlookup(lower(N3020),'File Links'!E:F, 2, FALSE), "LINK")</f>
        <v>LINK</v>
      </c>
      <c r="R3020" s="68" t="s">
        <v>18159</v>
      </c>
      <c r="S3020" s="68" t="s">
        <v>18160</v>
      </c>
      <c r="T3020" s="68"/>
      <c r="U3020" s="68"/>
      <c r="V3020" s="573" t="s">
        <v>18161</v>
      </c>
      <c r="W3020" s="1228"/>
      <c r="X3020" s="2376" t="str">
        <f> hyperlink(vlookup(lower(S3020),'File Links'!E:F, 2, FALSE), "LINK")</f>
        <v>LINK</v>
      </c>
      <c r="Y3020" s="68"/>
      <c r="Z3020" s="68" t="s">
        <v>947</v>
      </c>
      <c r="AA3020" s="68" t="s">
        <v>18162</v>
      </c>
      <c r="AB3020" s="68" t="s">
        <v>7291</v>
      </c>
      <c r="AC3020" s="68"/>
      <c r="AD3020" s="68" t="s">
        <v>18163</v>
      </c>
      <c r="AE3020" s="68" t="s">
        <v>9246</v>
      </c>
      <c r="AF3020" s="68"/>
      <c r="AG3020" s="68" t="s">
        <v>138</v>
      </c>
      <c r="AH3020" s="68"/>
      <c r="AI3020" s="68" t="s">
        <v>138</v>
      </c>
      <c r="AJ3020" s="68" t="s">
        <v>138</v>
      </c>
      <c r="AK3020" s="68" t="s">
        <v>172</v>
      </c>
      <c r="AL3020" s="68" t="s">
        <v>186</v>
      </c>
      <c r="AM3020" s="68" t="s">
        <v>137</v>
      </c>
      <c r="AN3020" s="68" t="s">
        <v>138</v>
      </c>
      <c r="AO3020" s="336">
        <v>154.0</v>
      </c>
      <c r="AP3020" s="129" t="s">
        <v>18169</v>
      </c>
      <c r="AQ3020" s="68" t="s">
        <v>134</v>
      </c>
      <c r="AR3020" s="129" t="s">
        <v>18170</v>
      </c>
      <c r="AS3020" s="336">
        <v>0.001</v>
      </c>
      <c r="AT3020" s="68" t="s">
        <v>135</v>
      </c>
      <c r="AU3020" s="68" t="s">
        <v>186</v>
      </c>
      <c r="AV3020" s="68" t="s">
        <v>137</v>
      </c>
      <c r="AW3020" s="435" t="s">
        <v>18166</v>
      </c>
      <c r="AX3020" s="68" t="s">
        <v>143</v>
      </c>
      <c r="AY3020" s="61" t="str">
        <f>IFERROR(__xludf.DUMMYFUNCTION("vlookup(BB3020,importrange(""https://docs.google.com/spreadsheets/d/1d2vevQ_7D_v35q4wCQ4RpQ_IPoTwEMB9Yp6ymwlPqew/edit?gid=984458430#gid=984458430"", ""'replication success'!A:K""), 11, FAlSE)"),"#N/A")</f>
        <v>#N/A</v>
      </c>
      <c r="AZ3020" s="61" t="str">
        <f>IFERROR(__xludf.DUMMYFUNCTION("vlookup(BB3020,importrange(""https://docs.google.com/spreadsheets/d/1d2vevQ_7D_v35q4wCQ4RpQ_IPoTwEMB9Yp6ymwlPqew/edit?gid=984458430#gid=984458430"", ""'replication success'!A:M""), 12, FAlSE)"),"#N/A")</f>
        <v>#N/A</v>
      </c>
      <c r="BA3020" s="61" t="str">
        <f>IFERROR(__xludf.DUMMYFUNCTION("vlookup(BB3020,importrange(""https://docs.google.com/spreadsheets/d/1d2vevQ_7D_v35q4wCQ4RpQ_IPoTwEMB9Yp6ymwlPqew/edit?gid=984458430#gid=984458430"", ""'replication success'!A:M""), 13, FAlSE)"),"#N/A")</f>
        <v>#N/A</v>
      </c>
      <c r="BB3020" s="61" t="str">
        <f>IFERROR(__xludf.DUMMYFUNCTION("REGEXREPLACE(G3020, ""_[a-z]{1,2}$"", """")"),"CORE_51")</f>
        <v>CORE_51</v>
      </c>
    </row>
    <row r="3021">
      <c r="A3021" s="44">
        <v>2855.0</v>
      </c>
      <c r="B3021" s="129" t="s">
        <v>523</v>
      </c>
      <c r="C3021" s="62" t="s">
        <v>115</v>
      </c>
      <c r="D3021" s="62" t="s">
        <v>248</v>
      </c>
      <c r="F3021" s="68" t="s">
        <v>18154</v>
      </c>
      <c r="G3021" s="68" t="s">
        <v>18171</v>
      </c>
      <c r="H3021" s="68" t="s">
        <v>249</v>
      </c>
      <c r="I3021" s="529">
        <v>45810.0</v>
      </c>
      <c r="J3021" s="862"/>
      <c r="K3021" s="68" t="s">
        <v>18172</v>
      </c>
      <c r="L3021" s="68"/>
      <c r="M3021" s="68" t="s">
        <v>18156</v>
      </c>
      <c r="N3021" s="68" t="s">
        <v>18157</v>
      </c>
      <c r="O3021" s="68"/>
      <c r="P3021" s="573" t="s">
        <v>18158</v>
      </c>
      <c r="Q3021" s="2375" t="str">
        <f> hyperlink(vlookup(lower(N3021),'File Links'!E:F, 2, FALSE), "LINK")</f>
        <v>LINK</v>
      </c>
      <c r="R3021" s="68" t="s">
        <v>18159</v>
      </c>
      <c r="S3021" s="68" t="s">
        <v>18160</v>
      </c>
      <c r="T3021" s="68"/>
      <c r="U3021" s="68"/>
      <c r="V3021" s="573" t="s">
        <v>18161</v>
      </c>
      <c r="W3021" s="1228"/>
      <c r="X3021" s="2376" t="str">
        <f> hyperlink(vlookup(lower(S3021),'File Links'!E:F, 2, FALSE), "LINK")</f>
        <v>LINK</v>
      </c>
      <c r="Y3021" s="68"/>
      <c r="Z3021" s="68" t="s">
        <v>947</v>
      </c>
      <c r="AA3021" s="68" t="s">
        <v>18162</v>
      </c>
      <c r="AB3021" s="68" t="s">
        <v>7291</v>
      </c>
      <c r="AC3021" s="68"/>
      <c r="AD3021" s="68" t="s">
        <v>18163</v>
      </c>
      <c r="AE3021" s="68" t="s">
        <v>9246</v>
      </c>
      <c r="AF3021" s="68"/>
      <c r="AG3021" s="68" t="s">
        <v>138</v>
      </c>
      <c r="AH3021" s="68"/>
      <c r="AI3021" s="68" t="s">
        <v>138</v>
      </c>
      <c r="AJ3021" s="68" t="s">
        <v>138</v>
      </c>
      <c r="AK3021" s="68" t="s">
        <v>172</v>
      </c>
      <c r="AL3021" s="68" t="s">
        <v>186</v>
      </c>
      <c r="AM3021" s="68" t="s">
        <v>137</v>
      </c>
      <c r="AN3021" s="68" t="s">
        <v>138</v>
      </c>
      <c r="AO3021" s="336">
        <v>122.0</v>
      </c>
      <c r="AP3021" s="336">
        <v>1.89</v>
      </c>
      <c r="AQ3021" s="68" t="s">
        <v>173</v>
      </c>
      <c r="AR3021" s="68" t="s">
        <v>18173</v>
      </c>
      <c r="AS3021" s="336">
        <v>0.001</v>
      </c>
      <c r="AT3021" s="68" t="s">
        <v>135</v>
      </c>
      <c r="AU3021" s="68" t="s">
        <v>136</v>
      </c>
      <c r="AV3021" s="68" t="s">
        <v>137</v>
      </c>
      <c r="AW3021" s="435" t="s">
        <v>18166</v>
      </c>
      <c r="AX3021" s="68" t="s">
        <v>143</v>
      </c>
      <c r="AY3021" s="61" t="str">
        <f>IFERROR(__xludf.DUMMYFUNCTION("vlookup(BB3021,importrange(""https://docs.google.com/spreadsheets/d/1d2vevQ_7D_v35q4wCQ4RpQ_IPoTwEMB9Yp6ymwlPqew/edit?gid=984458430#gid=984458430"", ""'replication success'!A:K""), 11, FAlSE)"),"#N/A")</f>
        <v>#N/A</v>
      </c>
      <c r="AZ3021" s="61" t="str">
        <f>IFERROR(__xludf.DUMMYFUNCTION("vlookup(BB3021,importrange(""https://docs.google.com/spreadsheets/d/1d2vevQ_7D_v35q4wCQ4RpQ_IPoTwEMB9Yp6ymwlPqew/edit?gid=984458430#gid=984458430"", ""'replication success'!A:M""), 12, FAlSE)"),"#N/A")</f>
        <v>#N/A</v>
      </c>
      <c r="BA3021" s="61" t="str">
        <f>IFERROR(__xludf.DUMMYFUNCTION("vlookup(BB3021,importrange(""https://docs.google.com/spreadsheets/d/1d2vevQ_7D_v35q4wCQ4RpQ_IPoTwEMB9Yp6ymwlPqew/edit?gid=984458430#gid=984458430"", ""'replication success'!A:M""), 13, FAlSE)"),"#N/A")</f>
        <v>#N/A</v>
      </c>
      <c r="BB3021" s="61" t="str">
        <f>IFERROR(__xludf.DUMMYFUNCTION("REGEXREPLACE(G3021, ""_[a-z]{1,2}$"", """")"),"CORE_51")</f>
        <v>CORE_51</v>
      </c>
    </row>
    <row r="3022">
      <c r="A3022" s="44">
        <v>2856.0</v>
      </c>
      <c r="B3022" s="129" t="s">
        <v>523</v>
      </c>
      <c r="C3022" s="62" t="s">
        <v>115</v>
      </c>
      <c r="D3022" s="62" t="s">
        <v>248</v>
      </c>
      <c r="F3022" s="68" t="s">
        <v>18154</v>
      </c>
      <c r="G3022" s="68" t="s">
        <v>18174</v>
      </c>
      <c r="H3022" s="68" t="s">
        <v>249</v>
      </c>
      <c r="I3022" s="529">
        <v>45810.0</v>
      </c>
      <c r="J3022" s="862"/>
      <c r="K3022" s="68" t="s">
        <v>18175</v>
      </c>
      <c r="L3022" s="68"/>
      <c r="M3022" s="68" t="s">
        <v>18156</v>
      </c>
      <c r="N3022" s="68" t="s">
        <v>18157</v>
      </c>
      <c r="O3022" s="68"/>
      <c r="P3022" s="573" t="s">
        <v>18158</v>
      </c>
      <c r="Q3022" s="2375" t="str">
        <f> hyperlink(vlookup(lower(N3022),'File Links'!E:F, 2, FALSE), "LINK")</f>
        <v>LINK</v>
      </c>
      <c r="R3022" s="68" t="s">
        <v>18159</v>
      </c>
      <c r="S3022" s="68" t="s">
        <v>18160</v>
      </c>
      <c r="T3022" s="68"/>
      <c r="U3022" s="68"/>
      <c r="V3022" s="573" t="s">
        <v>18161</v>
      </c>
      <c r="W3022" s="1228"/>
      <c r="X3022" s="2376" t="str">
        <f> hyperlink(vlookup(lower(S3022),'File Links'!E:F, 2, FALSE), "LINK")</f>
        <v>LINK</v>
      </c>
      <c r="Y3022" s="68"/>
      <c r="Z3022" s="68" t="s">
        <v>947</v>
      </c>
      <c r="AA3022" s="68" t="s">
        <v>18162</v>
      </c>
      <c r="AB3022" s="68" t="s">
        <v>7291</v>
      </c>
      <c r="AC3022" s="68"/>
      <c r="AD3022" s="68" t="s">
        <v>18163</v>
      </c>
      <c r="AE3022" s="68" t="s">
        <v>9246</v>
      </c>
      <c r="AF3022" s="68"/>
      <c r="AG3022" s="68" t="s">
        <v>138</v>
      </c>
      <c r="AH3022" s="68"/>
      <c r="AI3022" s="68" t="s">
        <v>138</v>
      </c>
      <c r="AJ3022" s="68" t="s">
        <v>138</v>
      </c>
      <c r="AK3022" s="68" t="s">
        <v>172</v>
      </c>
      <c r="AL3022" s="68" t="s">
        <v>186</v>
      </c>
      <c r="AM3022" s="68" t="s">
        <v>137</v>
      </c>
      <c r="AN3022" s="68" t="s">
        <v>138</v>
      </c>
      <c r="AO3022" s="336">
        <v>122.0</v>
      </c>
      <c r="AP3022" s="336">
        <v>-0.43</v>
      </c>
      <c r="AQ3022" s="68" t="s">
        <v>173</v>
      </c>
      <c r="AR3022" s="68" t="s">
        <v>18176</v>
      </c>
      <c r="AS3022" s="336">
        <v>0.098</v>
      </c>
      <c r="AT3022" s="68" t="s">
        <v>172</v>
      </c>
      <c r="AU3022" s="68" t="s">
        <v>136</v>
      </c>
      <c r="AV3022" s="68" t="s">
        <v>137</v>
      </c>
      <c r="AW3022" s="435" t="s">
        <v>18166</v>
      </c>
      <c r="AX3022" s="68" t="s">
        <v>143</v>
      </c>
      <c r="AY3022" s="61" t="str">
        <f>IFERROR(__xludf.DUMMYFUNCTION("vlookup(BB3022,importrange(""https://docs.google.com/spreadsheets/d/1d2vevQ_7D_v35q4wCQ4RpQ_IPoTwEMB9Yp6ymwlPqew/edit?gid=984458430#gid=984458430"", ""'replication success'!A:K""), 11, FAlSE)"),"#N/A")</f>
        <v>#N/A</v>
      </c>
      <c r="AZ3022" s="61" t="str">
        <f>IFERROR(__xludf.DUMMYFUNCTION("vlookup(BB3022,importrange(""https://docs.google.com/spreadsheets/d/1d2vevQ_7D_v35q4wCQ4RpQ_IPoTwEMB9Yp6ymwlPqew/edit?gid=984458430#gid=984458430"", ""'replication success'!A:M""), 12, FAlSE)"),"#N/A")</f>
        <v>#N/A</v>
      </c>
      <c r="BA3022" s="61" t="str">
        <f>IFERROR(__xludf.DUMMYFUNCTION("vlookup(BB3022,importrange(""https://docs.google.com/spreadsheets/d/1d2vevQ_7D_v35q4wCQ4RpQ_IPoTwEMB9Yp6ymwlPqew/edit?gid=984458430#gid=984458430"", ""'replication success'!A:M""), 13, FAlSE)"),"#N/A")</f>
        <v>#N/A</v>
      </c>
      <c r="BB3022" s="61" t="str">
        <f>IFERROR(__xludf.DUMMYFUNCTION("REGEXREPLACE(G3022, ""_[a-z]{1,2}$"", """")"),"CORE_51")</f>
        <v>CORE_51</v>
      </c>
    </row>
    <row r="3023">
      <c r="A3023" s="44">
        <v>2857.0</v>
      </c>
      <c r="B3023" s="129" t="s">
        <v>523</v>
      </c>
      <c r="C3023" s="62" t="s">
        <v>115</v>
      </c>
      <c r="D3023" s="62" t="s">
        <v>248</v>
      </c>
      <c r="F3023" s="68" t="s">
        <v>18154</v>
      </c>
      <c r="G3023" s="68" t="s">
        <v>18174</v>
      </c>
      <c r="H3023" s="68" t="s">
        <v>249</v>
      </c>
      <c r="I3023" s="529">
        <v>45810.0</v>
      </c>
      <c r="J3023" s="862"/>
      <c r="K3023" s="68" t="s">
        <v>18177</v>
      </c>
      <c r="L3023" s="68"/>
      <c r="M3023" s="68" t="s">
        <v>18156</v>
      </c>
      <c r="N3023" s="68" t="s">
        <v>18157</v>
      </c>
      <c r="O3023" s="68"/>
      <c r="P3023" s="573" t="s">
        <v>18158</v>
      </c>
      <c r="Q3023" s="2375" t="str">
        <f> hyperlink(vlookup(lower(N3023),'File Links'!E:F, 2, FALSE), "LINK")</f>
        <v>LINK</v>
      </c>
      <c r="R3023" s="68" t="s">
        <v>18159</v>
      </c>
      <c r="S3023" s="68" t="s">
        <v>18160</v>
      </c>
      <c r="T3023" s="68"/>
      <c r="U3023" s="68"/>
      <c r="V3023" s="573" t="s">
        <v>18161</v>
      </c>
      <c r="W3023" s="1228"/>
      <c r="X3023" s="2376" t="str">
        <f> hyperlink(vlookup(lower(S3023),'File Links'!E:F, 2, FALSE), "LINK")</f>
        <v>LINK</v>
      </c>
      <c r="Y3023" s="68"/>
      <c r="Z3023" s="68" t="s">
        <v>947</v>
      </c>
      <c r="AA3023" s="68" t="s">
        <v>18162</v>
      </c>
      <c r="AB3023" s="68" t="s">
        <v>7291</v>
      </c>
      <c r="AC3023" s="68"/>
      <c r="AD3023" s="68" t="s">
        <v>18163</v>
      </c>
      <c r="AE3023" s="68" t="s">
        <v>9246</v>
      </c>
      <c r="AF3023" s="68"/>
      <c r="AG3023" s="68" t="s">
        <v>138</v>
      </c>
      <c r="AH3023" s="68"/>
      <c r="AI3023" s="68" t="s">
        <v>138</v>
      </c>
      <c r="AJ3023" s="68" t="s">
        <v>138</v>
      </c>
      <c r="AK3023" s="68" t="s">
        <v>172</v>
      </c>
      <c r="AL3023" s="68" t="s">
        <v>186</v>
      </c>
      <c r="AM3023" s="68" t="s">
        <v>137</v>
      </c>
      <c r="AN3023" s="68" t="s">
        <v>138</v>
      </c>
      <c r="AO3023" s="336">
        <v>122.0</v>
      </c>
      <c r="AP3023" s="336">
        <v>0.6</v>
      </c>
      <c r="AQ3023" s="68" t="s">
        <v>173</v>
      </c>
      <c r="AR3023" s="68" t="s">
        <v>18178</v>
      </c>
      <c r="AS3023" s="336">
        <v>0.001</v>
      </c>
      <c r="AT3023" s="68" t="s">
        <v>135</v>
      </c>
      <c r="AU3023" s="68" t="s">
        <v>136</v>
      </c>
      <c r="AV3023" s="68" t="s">
        <v>137</v>
      </c>
      <c r="AW3023" s="435" t="s">
        <v>18166</v>
      </c>
      <c r="AX3023" s="68" t="s">
        <v>143</v>
      </c>
      <c r="AY3023" s="61" t="str">
        <f>IFERROR(__xludf.DUMMYFUNCTION("vlookup(BB3023,importrange(""https://docs.google.com/spreadsheets/d/1d2vevQ_7D_v35q4wCQ4RpQ_IPoTwEMB9Yp6ymwlPqew/edit?gid=984458430#gid=984458430"", ""'replication success'!A:K""), 11, FAlSE)"),"#N/A")</f>
        <v>#N/A</v>
      </c>
      <c r="AZ3023" s="61" t="str">
        <f>IFERROR(__xludf.DUMMYFUNCTION("vlookup(BB3023,importrange(""https://docs.google.com/spreadsheets/d/1d2vevQ_7D_v35q4wCQ4RpQ_IPoTwEMB9Yp6ymwlPqew/edit?gid=984458430#gid=984458430"", ""'replication success'!A:M""), 12, FAlSE)"),"#N/A")</f>
        <v>#N/A</v>
      </c>
      <c r="BA3023" s="61" t="str">
        <f>IFERROR(__xludf.DUMMYFUNCTION("vlookup(BB3023,importrange(""https://docs.google.com/spreadsheets/d/1d2vevQ_7D_v35q4wCQ4RpQ_IPoTwEMB9Yp6ymwlPqew/edit?gid=984458430#gid=984458430"", ""'replication success'!A:M""), 13, FAlSE)"),"#N/A")</f>
        <v>#N/A</v>
      </c>
      <c r="BB3023" s="61" t="str">
        <f>IFERROR(__xludf.DUMMYFUNCTION("REGEXREPLACE(G3023, ""_[a-z]{1,2}$"", """")"),"CORE_51")</f>
        <v>CORE_51</v>
      </c>
    </row>
    <row r="3024">
      <c r="A3024" s="44">
        <v>2858.0</v>
      </c>
      <c r="B3024" s="129" t="s">
        <v>523</v>
      </c>
      <c r="C3024" s="62" t="s">
        <v>115</v>
      </c>
      <c r="D3024" s="62" t="s">
        <v>248</v>
      </c>
      <c r="F3024" s="68" t="s">
        <v>18154</v>
      </c>
      <c r="G3024" s="68" t="s">
        <v>18179</v>
      </c>
      <c r="H3024" s="68" t="s">
        <v>249</v>
      </c>
      <c r="I3024" s="529">
        <v>45810.0</v>
      </c>
      <c r="J3024" s="862"/>
      <c r="K3024" s="68" t="s">
        <v>18180</v>
      </c>
      <c r="L3024" s="68"/>
      <c r="M3024" s="68" t="s">
        <v>18156</v>
      </c>
      <c r="N3024" s="68" t="s">
        <v>18157</v>
      </c>
      <c r="O3024" s="68"/>
      <c r="P3024" s="573" t="s">
        <v>18158</v>
      </c>
      <c r="Q3024" s="2375" t="str">
        <f> hyperlink(vlookup(lower(N3024),'File Links'!E:F, 2, FALSE), "LINK")</f>
        <v>LINK</v>
      </c>
      <c r="R3024" s="68" t="s">
        <v>18159</v>
      </c>
      <c r="S3024" s="68" t="s">
        <v>18160</v>
      </c>
      <c r="T3024" s="68"/>
      <c r="U3024" s="68"/>
      <c r="V3024" s="573" t="s">
        <v>18161</v>
      </c>
      <c r="W3024" s="1228"/>
      <c r="X3024" s="2376" t="str">
        <f> hyperlink(vlookup(lower(S3024),'File Links'!E:F, 2, FALSE), "LINK")</f>
        <v>LINK</v>
      </c>
      <c r="Y3024" s="68"/>
      <c r="Z3024" s="68" t="s">
        <v>947</v>
      </c>
      <c r="AA3024" s="68" t="s">
        <v>18162</v>
      </c>
      <c r="AB3024" s="68" t="s">
        <v>7291</v>
      </c>
      <c r="AC3024" s="68"/>
      <c r="AD3024" s="68" t="s">
        <v>18163</v>
      </c>
      <c r="AE3024" s="68" t="s">
        <v>9246</v>
      </c>
      <c r="AF3024" s="68"/>
      <c r="AG3024" s="68" t="s">
        <v>138</v>
      </c>
      <c r="AH3024" s="68"/>
      <c r="AI3024" s="68" t="s">
        <v>138</v>
      </c>
      <c r="AJ3024" s="68" t="s">
        <v>138</v>
      </c>
      <c r="AK3024" s="68" t="s">
        <v>172</v>
      </c>
      <c r="AL3024" s="68" t="s">
        <v>186</v>
      </c>
      <c r="AM3024" s="68" t="s">
        <v>137</v>
      </c>
      <c r="AN3024" s="68" t="s">
        <v>138</v>
      </c>
      <c r="AO3024" s="336">
        <v>329.0</v>
      </c>
      <c r="AP3024" s="336">
        <v>-0.36</v>
      </c>
      <c r="AQ3024" s="68" t="s">
        <v>173</v>
      </c>
      <c r="AR3024" s="68" t="s">
        <v>18181</v>
      </c>
      <c r="AS3024" s="336">
        <v>0.001</v>
      </c>
      <c r="AT3024" s="68" t="s">
        <v>135</v>
      </c>
      <c r="AU3024" s="68" t="s">
        <v>218</v>
      </c>
      <c r="AV3024" s="68" t="s">
        <v>137</v>
      </c>
      <c r="AW3024" s="435" t="s">
        <v>18166</v>
      </c>
      <c r="AX3024" s="68" t="s">
        <v>143</v>
      </c>
      <c r="AY3024" s="61" t="str">
        <f>IFERROR(__xludf.DUMMYFUNCTION("vlookup(BB3024,importrange(""https://docs.google.com/spreadsheets/d/1d2vevQ_7D_v35q4wCQ4RpQ_IPoTwEMB9Yp6ymwlPqew/edit?gid=984458430#gid=984458430"", ""'replication success'!A:K""), 11, FAlSE)"),"#N/A")</f>
        <v>#N/A</v>
      </c>
      <c r="AZ3024" s="61" t="str">
        <f>IFERROR(__xludf.DUMMYFUNCTION("vlookup(BB3024,importrange(""https://docs.google.com/spreadsheets/d/1d2vevQ_7D_v35q4wCQ4RpQ_IPoTwEMB9Yp6ymwlPqew/edit?gid=984458430#gid=984458430"", ""'replication success'!A:M""), 12, FAlSE)"),"#N/A")</f>
        <v>#N/A</v>
      </c>
      <c r="BA3024" s="61" t="str">
        <f>IFERROR(__xludf.DUMMYFUNCTION("vlookup(BB3024,importrange(""https://docs.google.com/spreadsheets/d/1d2vevQ_7D_v35q4wCQ4RpQ_IPoTwEMB9Yp6ymwlPqew/edit?gid=984458430#gid=984458430"", ""'replication success'!A:M""), 13, FAlSE)"),"#N/A")</f>
        <v>#N/A</v>
      </c>
      <c r="BB3024" s="61" t="str">
        <f>IFERROR(__xludf.DUMMYFUNCTION("REGEXREPLACE(G3024, ""_[a-z]{1,2}$"", """")"),"CORE_51")</f>
        <v>CORE_51</v>
      </c>
    </row>
    <row r="3025">
      <c r="A3025" s="44">
        <v>2859.0</v>
      </c>
      <c r="B3025" s="129" t="s">
        <v>523</v>
      </c>
      <c r="C3025" s="62" t="s">
        <v>115</v>
      </c>
      <c r="D3025" s="62" t="s">
        <v>248</v>
      </c>
      <c r="F3025" s="68" t="s">
        <v>18154</v>
      </c>
      <c r="G3025" s="68" t="s">
        <v>18182</v>
      </c>
      <c r="H3025" s="68" t="s">
        <v>249</v>
      </c>
      <c r="I3025" s="529">
        <v>45810.0</v>
      </c>
      <c r="J3025" s="862"/>
      <c r="K3025" s="68" t="s">
        <v>18183</v>
      </c>
      <c r="L3025" s="68"/>
      <c r="M3025" s="68" t="s">
        <v>18156</v>
      </c>
      <c r="N3025" s="68" t="s">
        <v>18157</v>
      </c>
      <c r="O3025" s="68"/>
      <c r="P3025" s="573" t="s">
        <v>18158</v>
      </c>
      <c r="Q3025" s="2375" t="str">
        <f> hyperlink(vlookup(lower(N3025),'File Links'!E:F, 2, FALSE), "LINK")</f>
        <v>LINK</v>
      </c>
      <c r="R3025" s="68" t="s">
        <v>18159</v>
      </c>
      <c r="S3025" s="68" t="s">
        <v>18160</v>
      </c>
      <c r="T3025" s="68"/>
      <c r="U3025" s="68"/>
      <c r="V3025" s="573" t="s">
        <v>18161</v>
      </c>
      <c r="W3025" s="1228"/>
      <c r="X3025" s="2376" t="str">
        <f> hyperlink(vlookup(lower(S3025),'File Links'!E:F, 2, FALSE), "LINK")</f>
        <v>LINK</v>
      </c>
      <c r="Y3025" s="68"/>
      <c r="Z3025" s="68" t="s">
        <v>947</v>
      </c>
      <c r="AA3025" s="68" t="s">
        <v>18162</v>
      </c>
      <c r="AB3025" s="68" t="s">
        <v>7291</v>
      </c>
      <c r="AC3025" s="68"/>
      <c r="AD3025" s="68" t="s">
        <v>18163</v>
      </c>
      <c r="AE3025" s="68" t="s">
        <v>9246</v>
      </c>
      <c r="AF3025" s="68"/>
      <c r="AG3025" s="68" t="s">
        <v>138</v>
      </c>
      <c r="AH3025" s="68"/>
      <c r="AI3025" s="68" t="s">
        <v>138</v>
      </c>
      <c r="AJ3025" s="68" t="s">
        <v>138</v>
      </c>
      <c r="AK3025" s="68" t="s">
        <v>172</v>
      </c>
      <c r="AL3025" s="68" t="s">
        <v>186</v>
      </c>
      <c r="AM3025" s="68" t="s">
        <v>137</v>
      </c>
      <c r="AN3025" s="68" t="s">
        <v>138</v>
      </c>
      <c r="AO3025" s="336">
        <v>329.0</v>
      </c>
      <c r="AP3025" s="336">
        <v>-0.56</v>
      </c>
      <c r="AQ3025" s="68" t="s">
        <v>173</v>
      </c>
      <c r="AR3025" s="68" t="s">
        <v>18184</v>
      </c>
      <c r="AS3025" s="336">
        <v>0.001</v>
      </c>
      <c r="AT3025" s="68" t="s">
        <v>135</v>
      </c>
      <c r="AU3025" s="68" t="s">
        <v>218</v>
      </c>
      <c r="AV3025" s="68" t="s">
        <v>137</v>
      </c>
      <c r="AW3025" s="435" t="s">
        <v>18166</v>
      </c>
      <c r="AX3025" s="68" t="s">
        <v>143</v>
      </c>
      <c r="AY3025" s="61" t="str">
        <f>IFERROR(__xludf.DUMMYFUNCTION("vlookup(BB3025,importrange(""https://docs.google.com/spreadsheets/d/1d2vevQ_7D_v35q4wCQ4RpQ_IPoTwEMB9Yp6ymwlPqew/edit?gid=984458430#gid=984458430"", ""'replication success'!A:K""), 11, FAlSE)"),"#N/A")</f>
        <v>#N/A</v>
      </c>
      <c r="AZ3025" s="61" t="str">
        <f>IFERROR(__xludf.DUMMYFUNCTION("vlookup(BB3025,importrange(""https://docs.google.com/spreadsheets/d/1d2vevQ_7D_v35q4wCQ4RpQ_IPoTwEMB9Yp6ymwlPqew/edit?gid=984458430#gid=984458430"", ""'replication success'!A:M""), 12, FAlSE)"),"#N/A")</f>
        <v>#N/A</v>
      </c>
      <c r="BA3025" s="61" t="str">
        <f>IFERROR(__xludf.DUMMYFUNCTION("vlookup(BB3025,importrange(""https://docs.google.com/spreadsheets/d/1d2vevQ_7D_v35q4wCQ4RpQ_IPoTwEMB9Yp6ymwlPqew/edit?gid=984458430#gid=984458430"", ""'replication success'!A:M""), 13, FAlSE)"),"#N/A")</f>
        <v>#N/A</v>
      </c>
      <c r="BB3025" s="61" t="str">
        <f>IFERROR(__xludf.DUMMYFUNCTION("REGEXREPLACE(G3025, ""_[a-z]{1,2}$"", """")"),"CORE_51")</f>
        <v>CORE_51</v>
      </c>
    </row>
    <row r="3026">
      <c r="A3026" s="44">
        <v>2860.0</v>
      </c>
      <c r="B3026" s="129" t="s">
        <v>523</v>
      </c>
      <c r="C3026" s="62" t="s">
        <v>115</v>
      </c>
      <c r="D3026" s="62" t="s">
        <v>248</v>
      </c>
      <c r="F3026" s="68" t="s">
        <v>18154</v>
      </c>
      <c r="G3026" s="68" t="s">
        <v>18185</v>
      </c>
      <c r="H3026" s="68" t="s">
        <v>249</v>
      </c>
      <c r="I3026" s="529">
        <v>45810.0</v>
      </c>
      <c r="J3026" s="862"/>
      <c r="K3026" s="68" t="s">
        <v>18186</v>
      </c>
      <c r="L3026" s="68"/>
      <c r="M3026" s="68" t="s">
        <v>18156</v>
      </c>
      <c r="N3026" s="68" t="s">
        <v>18157</v>
      </c>
      <c r="O3026" s="68"/>
      <c r="P3026" s="573" t="s">
        <v>18158</v>
      </c>
      <c r="Q3026" s="2375" t="str">
        <f> hyperlink(vlookup(lower(N3026),'File Links'!E:F, 2, FALSE), "LINK")</f>
        <v>LINK</v>
      </c>
      <c r="R3026" s="68" t="s">
        <v>18159</v>
      </c>
      <c r="S3026" s="68" t="s">
        <v>18160</v>
      </c>
      <c r="T3026" s="68"/>
      <c r="U3026" s="68"/>
      <c r="V3026" s="573" t="s">
        <v>18161</v>
      </c>
      <c r="W3026" s="1228"/>
      <c r="X3026" s="2376" t="str">
        <f> hyperlink(vlookup(lower(S3026),'File Links'!E:F, 2, FALSE), "LINK")</f>
        <v>LINK</v>
      </c>
      <c r="Y3026" s="68"/>
      <c r="Z3026" s="68" t="s">
        <v>947</v>
      </c>
      <c r="AA3026" s="68" t="s">
        <v>18162</v>
      </c>
      <c r="AB3026" s="68" t="s">
        <v>7291</v>
      </c>
      <c r="AC3026" s="68"/>
      <c r="AD3026" s="68" t="s">
        <v>18163</v>
      </c>
      <c r="AE3026" s="68" t="s">
        <v>9246</v>
      </c>
      <c r="AF3026" s="68"/>
      <c r="AG3026" s="68" t="s">
        <v>138</v>
      </c>
      <c r="AH3026" s="68"/>
      <c r="AI3026" s="68" t="s">
        <v>138</v>
      </c>
      <c r="AJ3026" s="68" t="s">
        <v>138</v>
      </c>
      <c r="AK3026" s="68" t="s">
        <v>172</v>
      </c>
      <c r="AL3026" s="68" t="s">
        <v>186</v>
      </c>
      <c r="AM3026" s="68" t="s">
        <v>137</v>
      </c>
      <c r="AN3026" s="68" t="s">
        <v>138</v>
      </c>
      <c r="AO3026" s="336">
        <v>329.0</v>
      </c>
      <c r="AP3026" s="336">
        <v>0.21</v>
      </c>
      <c r="AQ3026" s="68" t="s">
        <v>173</v>
      </c>
      <c r="AR3026" s="68" t="s">
        <v>18187</v>
      </c>
      <c r="AS3026" s="336">
        <v>0.404</v>
      </c>
      <c r="AT3026" s="68" t="s">
        <v>172</v>
      </c>
      <c r="AU3026" s="68" t="s">
        <v>218</v>
      </c>
      <c r="AV3026" s="68" t="s">
        <v>137</v>
      </c>
      <c r="AW3026" s="435" t="s">
        <v>18166</v>
      </c>
      <c r="AX3026" s="68" t="s">
        <v>143</v>
      </c>
      <c r="AY3026" s="61" t="str">
        <f>IFERROR(__xludf.DUMMYFUNCTION("vlookup(BB3026,importrange(""https://docs.google.com/spreadsheets/d/1d2vevQ_7D_v35q4wCQ4RpQ_IPoTwEMB9Yp6ymwlPqew/edit?gid=984458430#gid=984458430"", ""'replication success'!A:K""), 11, FAlSE)"),"#N/A")</f>
        <v>#N/A</v>
      </c>
      <c r="AZ3026" s="61" t="str">
        <f>IFERROR(__xludf.DUMMYFUNCTION("vlookup(BB3026,importrange(""https://docs.google.com/spreadsheets/d/1d2vevQ_7D_v35q4wCQ4RpQ_IPoTwEMB9Yp6ymwlPqew/edit?gid=984458430#gid=984458430"", ""'replication success'!A:M""), 12, FAlSE)"),"#N/A")</f>
        <v>#N/A</v>
      </c>
      <c r="BA3026" s="61" t="str">
        <f>IFERROR(__xludf.DUMMYFUNCTION("vlookup(BB3026,importrange(""https://docs.google.com/spreadsheets/d/1d2vevQ_7D_v35q4wCQ4RpQ_IPoTwEMB9Yp6ymwlPqew/edit?gid=984458430#gid=984458430"", ""'replication success'!A:M""), 13, FAlSE)"),"#N/A")</f>
        <v>#N/A</v>
      </c>
      <c r="BB3026" s="61" t="str">
        <f>IFERROR(__xludf.DUMMYFUNCTION("REGEXREPLACE(G3026, ""_[a-z]{1,2}$"", """")"),"CORE_51")</f>
        <v>CORE_51</v>
      </c>
    </row>
    <row r="3027">
      <c r="A3027" s="44">
        <v>2861.0</v>
      </c>
      <c r="B3027" s="129" t="s">
        <v>523</v>
      </c>
      <c r="C3027" s="62" t="s">
        <v>115</v>
      </c>
      <c r="D3027" s="62" t="s">
        <v>248</v>
      </c>
      <c r="F3027" s="68" t="s">
        <v>18188</v>
      </c>
      <c r="G3027" s="68" t="s">
        <v>18189</v>
      </c>
      <c r="H3027" s="68" t="s">
        <v>249</v>
      </c>
      <c r="I3027" s="529">
        <v>45810.0</v>
      </c>
      <c r="J3027" s="862"/>
      <c r="K3027" s="68" t="s">
        <v>18190</v>
      </c>
      <c r="L3027" s="68"/>
      <c r="M3027" s="68" t="s">
        <v>18191</v>
      </c>
      <c r="N3027" s="68" t="s">
        <v>18192</v>
      </c>
      <c r="O3027" s="68"/>
      <c r="P3027" s="573" t="s">
        <v>18193</v>
      </c>
      <c r="Q3027" s="2375" t="str">
        <f> hyperlink(vlookup(lower(N3027),'File Links'!E:F, 2, FALSE), "LINK")</f>
        <v>LINK</v>
      </c>
      <c r="R3027" s="68" t="s">
        <v>18194</v>
      </c>
      <c r="S3027" s="68" t="s">
        <v>18195</v>
      </c>
      <c r="T3027" s="68"/>
      <c r="U3027" s="336">
        <v>1.0</v>
      </c>
      <c r="V3027" s="573" t="s">
        <v>18196</v>
      </c>
      <c r="W3027" s="1228"/>
      <c r="X3027" s="2376" t="str">
        <f> hyperlink(vlookup(lower(S3027),'File Links'!E:F, 2, FALSE), "LINK")</f>
        <v>LINK</v>
      </c>
      <c r="Y3027" s="68"/>
      <c r="Z3027" s="68" t="s">
        <v>947</v>
      </c>
      <c r="AA3027" s="68" t="s">
        <v>18197</v>
      </c>
      <c r="AB3027" s="68" t="s">
        <v>7291</v>
      </c>
      <c r="AC3027" s="68" t="s">
        <v>18198</v>
      </c>
      <c r="AD3027" s="68" t="s">
        <v>18199</v>
      </c>
      <c r="AE3027" s="68" t="s">
        <v>2771</v>
      </c>
      <c r="AF3027" s="336">
        <v>54.0</v>
      </c>
      <c r="AG3027" s="68" t="s">
        <v>18200</v>
      </c>
      <c r="AH3027" s="68" t="s">
        <v>134</v>
      </c>
      <c r="AI3027" s="68" t="s">
        <v>2771</v>
      </c>
      <c r="AJ3027" s="336">
        <v>0.001</v>
      </c>
      <c r="AK3027" s="68" t="s">
        <v>135</v>
      </c>
      <c r="AL3027" s="68" t="s">
        <v>186</v>
      </c>
      <c r="AM3027" s="68" t="s">
        <v>137</v>
      </c>
      <c r="AN3027" s="68" t="s">
        <v>138</v>
      </c>
      <c r="AO3027" s="336">
        <v>799.0</v>
      </c>
      <c r="AP3027" s="68" t="s">
        <v>18201</v>
      </c>
      <c r="AQ3027" s="68" t="s">
        <v>134</v>
      </c>
      <c r="AR3027" s="68" t="s">
        <v>18202</v>
      </c>
      <c r="AS3027" s="336">
        <v>0.001</v>
      </c>
      <c r="AT3027" s="68" t="s">
        <v>135</v>
      </c>
      <c r="AU3027" s="68" t="s">
        <v>186</v>
      </c>
      <c r="AV3027" s="68" t="s">
        <v>137</v>
      </c>
      <c r="AW3027" s="435" t="s">
        <v>18203</v>
      </c>
      <c r="AX3027" s="68" t="s">
        <v>143</v>
      </c>
      <c r="AY3027" s="61" t="str">
        <f>IFERROR(__xludf.DUMMYFUNCTION("vlookup(BB3027,importrange(""https://docs.google.com/spreadsheets/d/1d2vevQ_7D_v35q4wCQ4RpQ_IPoTwEMB9Yp6ymwlPqew/edit?gid=984458430#gid=984458430"", ""'replication success'!A:K""), 11, FAlSE)"),"#N/A")</f>
        <v>#N/A</v>
      </c>
      <c r="AZ3027" s="61" t="str">
        <f>IFERROR(__xludf.DUMMYFUNCTION("vlookup(BB3027,importrange(""https://docs.google.com/spreadsheets/d/1d2vevQ_7D_v35q4wCQ4RpQ_IPoTwEMB9Yp6ymwlPqew/edit?gid=984458430#gid=984458430"", ""'replication success'!A:M""), 12, FAlSE)"),"#N/A")</f>
        <v>#N/A</v>
      </c>
      <c r="BA3027" s="61" t="str">
        <f>IFERROR(__xludf.DUMMYFUNCTION("vlookup(BB3027,importrange(""https://docs.google.com/spreadsheets/d/1d2vevQ_7D_v35q4wCQ4RpQ_IPoTwEMB9Yp6ymwlPqew/edit?gid=984458430#gid=984458430"", ""'replication success'!A:M""), 13, FAlSE)"),"#N/A")</f>
        <v>#N/A</v>
      </c>
      <c r="BB3027" s="61" t="str">
        <f>IFERROR(__xludf.DUMMYFUNCTION("REGEXREPLACE(G3027, ""_[a-z]{1,2}$"", """")"),"CORE_52")</f>
        <v>CORE_52</v>
      </c>
      <c r="BD3027" s="62" t="s">
        <v>7302</v>
      </c>
    </row>
    <row r="3028">
      <c r="A3028" s="44">
        <v>2868.0</v>
      </c>
      <c r="B3028" s="129" t="s">
        <v>523</v>
      </c>
      <c r="C3028" s="62" t="s">
        <v>115</v>
      </c>
      <c r="D3028" s="62" t="s">
        <v>248</v>
      </c>
      <c r="F3028" s="68" t="s">
        <v>18188</v>
      </c>
      <c r="G3028" s="68" t="s">
        <v>18189</v>
      </c>
      <c r="H3028" s="68" t="s">
        <v>249</v>
      </c>
      <c r="I3028" s="529">
        <v>45810.0</v>
      </c>
      <c r="J3028" s="862"/>
      <c r="K3028" s="68" t="s">
        <v>18190</v>
      </c>
      <c r="L3028" s="68"/>
      <c r="M3028" s="68" t="s">
        <v>18191</v>
      </c>
      <c r="N3028" s="68" t="s">
        <v>18192</v>
      </c>
      <c r="O3028" s="68"/>
      <c r="P3028" s="573" t="s">
        <v>18193</v>
      </c>
      <c r="Q3028" s="2375" t="str">
        <f> hyperlink(vlookup(lower(N3028),'File Links'!E:F, 2, FALSE), "LINK")</f>
        <v>LINK</v>
      </c>
      <c r="R3028" s="68" t="s">
        <v>18194</v>
      </c>
      <c r="S3028" s="68" t="s">
        <v>18195</v>
      </c>
      <c r="T3028" s="68"/>
      <c r="U3028" s="336">
        <v>4.0</v>
      </c>
      <c r="V3028" s="573" t="s">
        <v>18196</v>
      </c>
      <c r="W3028" s="1228"/>
      <c r="X3028" s="2376" t="str">
        <f> hyperlink(vlookup(lower(S3028),'File Links'!E:F, 2, FALSE), "LINK")</f>
        <v>LINK</v>
      </c>
      <c r="Y3028" s="68"/>
      <c r="Z3028" s="68" t="s">
        <v>947</v>
      </c>
      <c r="AA3028" s="68" t="s">
        <v>18197</v>
      </c>
      <c r="AB3028" s="68" t="s">
        <v>7291</v>
      </c>
      <c r="AC3028" s="68" t="s">
        <v>18198</v>
      </c>
      <c r="AD3028" s="68" t="s">
        <v>18204</v>
      </c>
      <c r="AE3028" s="68" t="s">
        <v>1042</v>
      </c>
      <c r="AF3028" s="336">
        <v>58.0</v>
      </c>
      <c r="AG3028" s="68" t="s">
        <v>138</v>
      </c>
      <c r="AH3028" s="68" t="s">
        <v>138</v>
      </c>
      <c r="AI3028" s="68" t="s">
        <v>1042</v>
      </c>
      <c r="AJ3028" s="336">
        <v>0.05</v>
      </c>
      <c r="AK3028" s="68" t="s">
        <v>135</v>
      </c>
      <c r="AL3028" s="68" t="s">
        <v>186</v>
      </c>
      <c r="AM3028" s="68" t="s">
        <v>137</v>
      </c>
      <c r="AN3028" s="68" t="s">
        <v>138</v>
      </c>
      <c r="AO3028" s="336">
        <v>799.0</v>
      </c>
      <c r="AP3028" s="336">
        <v>0.75</v>
      </c>
      <c r="AQ3028" s="68" t="s">
        <v>173</v>
      </c>
      <c r="AR3028" s="68" t="s">
        <v>18205</v>
      </c>
      <c r="AS3028" s="68" t="s">
        <v>138</v>
      </c>
      <c r="AT3028" s="68" t="s">
        <v>172</v>
      </c>
      <c r="AU3028" s="68" t="s">
        <v>186</v>
      </c>
      <c r="AV3028" s="68" t="s">
        <v>137</v>
      </c>
      <c r="AW3028" s="435" t="s">
        <v>18203</v>
      </c>
      <c r="AX3028" s="68" t="s">
        <v>143</v>
      </c>
      <c r="AY3028" s="61" t="str">
        <f>IFERROR(__xludf.DUMMYFUNCTION("vlookup(BB3028,importrange(""https://docs.google.com/spreadsheets/d/1d2vevQ_7D_v35q4wCQ4RpQ_IPoTwEMB9Yp6ymwlPqew/edit?gid=984458430#gid=984458430"", ""'replication success'!A:K""), 11, FAlSE)"),"#N/A")</f>
        <v>#N/A</v>
      </c>
      <c r="AZ3028" s="61" t="str">
        <f>IFERROR(__xludf.DUMMYFUNCTION("vlookup(BB3028,importrange(""https://docs.google.com/spreadsheets/d/1d2vevQ_7D_v35q4wCQ4RpQ_IPoTwEMB9Yp6ymwlPqew/edit?gid=984458430#gid=984458430"", ""'replication success'!A:M""), 12, FAlSE)"),"#N/A")</f>
        <v>#N/A</v>
      </c>
      <c r="BA3028" s="61" t="str">
        <f>IFERROR(__xludf.DUMMYFUNCTION("vlookup(BB3028,importrange(""https://docs.google.com/spreadsheets/d/1d2vevQ_7D_v35q4wCQ4RpQ_IPoTwEMB9Yp6ymwlPqew/edit?gid=984458430#gid=984458430"", ""'replication success'!A:M""), 13, FAlSE)"),"#N/A")</f>
        <v>#N/A</v>
      </c>
      <c r="BB3028" s="61" t="str">
        <f>IFERROR(__xludf.DUMMYFUNCTION("REGEXREPLACE(G3028, ""_[a-z]{1,2}$"", """")"),"CORE_52")</f>
        <v>CORE_52</v>
      </c>
      <c r="BD3028" s="62" t="s">
        <v>7302</v>
      </c>
    </row>
    <row r="3029">
      <c r="A3029" s="2119">
        <v>2987.0</v>
      </c>
      <c r="B3029" s="1800" t="s">
        <v>152</v>
      </c>
      <c r="C3029" s="1631" t="s">
        <v>115</v>
      </c>
      <c r="D3029" s="1631" t="s">
        <v>15473</v>
      </c>
      <c r="E3029" s="1123"/>
      <c r="F3029" s="1632" t="s">
        <v>18188</v>
      </c>
      <c r="G3029" s="1634" t="s">
        <v>18189</v>
      </c>
      <c r="H3029" s="1634" t="s">
        <v>17483</v>
      </c>
      <c r="I3029" s="2120">
        <v>45331.0</v>
      </c>
      <c r="J3029" s="2127">
        <v>45835.0</v>
      </c>
      <c r="K3029" s="1632"/>
      <c r="L3029" s="1800" t="s">
        <v>18206</v>
      </c>
      <c r="M3029" s="1634" t="s">
        <v>18191</v>
      </c>
      <c r="N3029" s="1634" t="s">
        <v>18192</v>
      </c>
      <c r="O3029" s="1825">
        <v>1.0</v>
      </c>
      <c r="P3029" s="1634" t="s">
        <v>18193</v>
      </c>
      <c r="Q3029" s="2373" t="str">
        <f> hyperlink(vlookup(lower(N3029),'File Links'!E:F, 2, FALSE), "LINK")</f>
        <v>LINK</v>
      </c>
      <c r="R3029" s="1634" t="s">
        <v>18194</v>
      </c>
      <c r="S3029" s="1634" t="s">
        <v>18195</v>
      </c>
      <c r="T3029" s="1632"/>
      <c r="U3029" s="1825">
        <v>1.0</v>
      </c>
      <c r="V3029" s="1634" t="s">
        <v>18196</v>
      </c>
      <c r="W3029" s="1800" t="s">
        <v>1122</v>
      </c>
      <c r="X3029" s="2374" t="str">
        <f> hyperlink(vlookup(lower(S3029),'File Links'!E:F, 2, FALSE), "LINK")</f>
        <v>LINK</v>
      </c>
      <c r="Y3029" s="1632"/>
      <c r="Z3029" s="1634" t="s">
        <v>947</v>
      </c>
      <c r="AA3029" s="1634" t="s">
        <v>18197</v>
      </c>
      <c r="AB3029" s="1634" t="s">
        <v>7291</v>
      </c>
      <c r="AC3029" s="1634" t="s">
        <v>18198</v>
      </c>
      <c r="AD3029" s="1800" t="s">
        <v>18207</v>
      </c>
      <c r="AE3029" s="1825">
        <v>2.0</v>
      </c>
      <c r="AF3029" s="1825">
        <v>56.0</v>
      </c>
      <c r="AG3029" s="1632" t="s">
        <v>18208</v>
      </c>
      <c r="AH3029" s="1632" t="s">
        <v>134</v>
      </c>
      <c r="AI3029" s="1632" t="s">
        <v>2771</v>
      </c>
      <c r="AJ3029" s="1825">
        <v>1.0E-4</v>
      </c>
      <c r="AK3029" s="1632" t="s">
        <v>135</v>
      </c>
      <c r="AL3029" s="1632" t="s">
        <v>186</v>
      </c>
      <c r="AM3029" s="1632" t="s">
        <v>137</v>
      </c>
      <c r="AN3029" s="1800" t="s">
        <v>138</v>
      </c>
      <c r="AO3029" s="1825">
        <v>1598.0</v>
      </c>
      <c r="AP3029" s="1825">
        <v>0.85</v>
      </c>
      <c r="AQ3029" s="1632" t="s">
        <v>173</v>
      </c>
      <c r="AR3029" s="1632" t="s">
        <v>1173</v>
      </c>
      <c r="AS3029" s="1800">
        <v>0.001</v>
      </c>
      <c r="AT3029" s="1632" t="s">
        <v>135</v>
      </c>
      <c r="AU3029" s="1632" t="s">
        <v>186</v>
      </c>
      <c r="AV3029" s="1632" t="s">
        <v>137</v>
      </c>
      <c r="AW3029" s="2123" t="s">
        <v>18209</v>
      </c>
      <c r="AX3029" s="1632" t="s">
        <v>143</v>
      </c>
      <c r="AY3029" s="61" t="str">
        <f>IFERROR(__xludf.DUMMYFUNCTION("vlookup(BB3029,importrange(""https://docs.google.com/spreadsheets/d/1d2vevQ_7D_v35q4wCQ4RpQ_IPoTwEMB9Yp6ymwlPqew/edit?gid=984458430#gid=984458430"", ""'replication success'!A:K""), 11, FAlSE)"),"#N/A")</f>
        <v>#N/A</v>
      </c>
      <c r="AZ3029" s="61" t="str">
        <f>IFERROR(__xludf.DUMMYFUNCTION("vlookup(BB3029,importrange(""https://docs.google.com/spreadsheets/d/1d2vevQ_7D_v35q4wCQ4RpQ_IPoTwEMB9Yp6ymwlPqew/edit?gid=984458430#gid=984458430"", ""'replication success'!A:M""), 12, FAlSE)"),"#N/A")</f>
        <v>#N/A</v>
      </c>
      <c r="BA3029" s="61" t="str">
        <f>IFERROR(__xludf.DUMMYFUNCTION("vlookup(BB3029,importrange(""https://docs.google.com/spreadsheets/d/1d2vevQ_7D_v35q4wCQ4RpQ_IPoTwEMB9Yp6ymwlPqew/edit?gid=984458430#gid=984458430"", ""'replication success'!A:M""), 13, FAlSE)"),"#N/A")</f>
        <v>#N/A</v>
      </c>
      <c r="BB3029" s="61" t="str">
        <f>IFERROR(__xludf.DUMMYFUNCTION("REGEXREPLACE(G3029, ""_[a-z]{1,2}$"", """")"),"CORE_52")</f>
        <v>CORE_52</v>
      </c>
      <c r="BC3029" s="1123"/>
      <c r="BD3029" s="1631" t="s">
        <v>814</v>
      </c>
      <c r="BE3029" s="1123"/>
    </row>
    <row r="3030">
      <c r="A3030" s="44">
        <v>2862.0</v>
      </c>
      <c r="B3030" s="129" t="s">
        <v>523</v>
      </c>
      <c r="C3030" s="62" t="s">
        <v>115</v>
      </c>
      <c r="D3030" s="62" t="s">
        <v>248</v>
      </c>
      <c r="F3030" s="68" t="s">
        <v>18188</v>
      </c>
      <c r="G3030" s="68" t="s">
        <v>18210</v>
      </c>
      <c r="H3030" s="68" t="s">
        <v>249</v>
      </c>
      <c r="I3030" s="529">
        <v>45810.0</v>
      </c>
      <c r="J3030" s="862"/>
      <c r="K3030" s="68" t="s">
        <v>18211</v>
      </c>
      <c r="L3030" s="68"/>
      <c r="M3030" s="68" t="s">
        <v>18191</v>
      </c>
      <c r="N3030" s="68" t="s">
        <v>18192</v>
      </c>
      <c r="O3030" s="68"/>
      <c r="P3030" s="573" t="s">
        <v>18193</v>
      </c>
      <c r="Q3030" s="2375" t="str">
        <f> hyperlink(vlookup(lower(N3030),'File Links'!E:F, 2, FALSE), "LINK")</f>
        <v>LINK</v>
      </c>
      <c r="R3030" s="68" t="s">
        <v>18194</v>
      </c>
      <c r="S3030" s="68" t="s">
        <v>18195</v>
      </c>
      <c r="T3030" s="68"/>
      <c r="U3030" s="336">
        <v>1.0</v>
      </c>
      <c r="V3030" s="573" t="s">
        <v>18196</v>
      </c>
      <c r="W3030" s="1228"/>
      <c r="X3030" s="2376" t="str">
        <f> hyperlink(vlookup(lower(S3030),'File Links'!E:F, 2, FALSE), "LINK")</f>
        <v>LINK</v>
      </c>
      <c r="Y3030" s="68"/>
      <c r="Z3030" s="68" t="s">
        <v>947</v>
      </c>
      <c r="AA3030" s="68" t="s">
        <v>18197</v>
      </c>
      <c r="AB3030" s="68" t="s">
        <v>7291</v>
      </c>
      <c r="AC3030" s="68" t="s">
        <v>18198</v>
      </c>
      <c r="AD3030" s="68" t="s">
        <v>18199</v>
      </c>
      <c r="AE3030" s="68" t="s">
        <v>2771</v>
      </c>
      <c r="AF3030" s="336">
        <v>54.0</v>
      </c>
      <c r="AG3030" s="68" t="s">
        <v>18200</v>
      </c>
      <c r="AH3030" s="68" t="s">
        <v>134</v>
      </c>
      <c r="AI3030" s="68" t="s">
        <v>2771</v>
      </c>
      <c r="AJ3030" s="336">
        <v>0.001</v>
      </c>
      <c r="AK3030" s="68" t="s">
        <v>135</v>
      </c>
      <c r="AL3030" s="68" t="s">
        <v>186</v>
      </c>
      <c r="AM3030" s="68" t="s">
        <v>137</v>
      </c>
      <c r="AN3030" s="68" t="s">
        <v>138</v>
      </c>
      <c r="AO3030" s="336">
        <v>799.0</v>
      </c>
      <c r="AP3030" s="68" t="s">
        <v>18212</v>
      </c>
      <c r="AQ3030" s="68" t="s">
        <v>134</v>
      </c>
      <c r="AR3030" s="68" t="s">
        <v>18213</v>
      </c>
      <c r="AS3030" s="336">
        <v>0.001</v>
      </c>
      <c r="AT3030" s="68" t="s">
        <v>135</v>
      </c>
      <c r="AU3030" s="68" t="s">
        <v>186</v>
      </c>
      <c r="AV3030" s="68" t="s">
        <v>137</v>
      </c>
      <c r="AW3030" s="435" t="s">
        <v>18203</v>
      </c>
      <c r="AX3030" s="68" t="s">
        <v>143</v>
      </c>
      <c r="AY3030" s="61" t="str">
        <f>IFERROR(__xludf.DUMMYFUNCTION("vlookup(BB3030,importrange(""https://docs.google.com/spreadsheets/d/1d2vevQ_7D_v35q4wCQ4RpQ_IPoTwEMB9Yp6ymwlPqew/edit?gid=984458430#gid=984458430"", ""'replication success'!A:K""), 11, FAlSE)"),"#N/A")</f>
        <v>#N/A</v>
      </c>
      <c r="AZ3030" s="61" t="str">
        <f>IFERROR(__xludf.DUMMYFUNCTION("vlookup(BB3030,importrange(""https://docs.google.com/spreadsheets/d/1d2vevQ_7D_v35q4wCQ4RpQ_IPoTwEMB9Yp6ymwlPqew/edit?gid=984458430#gid=984458430"", ""'replication success'!A:M""), 12, FAlSE)"),"#N/A")</f>
        <v>#N/A</v>
      </c>
      <c r="BA3030" s="61" t="str">
        <f>IFERROR(__xludf.DUMMYFUNCTION("vlookup(BB3030,importrange(""https://docs.google.com/spreadsheets/d/1d2vevQ_7D_v35q4wCQ4RpQ_IPoTwEMB9Yp6ymwlPqew/edit?gid=984458430#gid=984458430"", ""'replication success'!A:M""), 13, FAlSE)"),"#N/A")</f>
        <v>#N/A</v>
      </c>
      <c r="BB3030" s="61" t="str">
        <f>IFERROR(__xludf.DUMMYFUNCTION("REGEXREPLACE(G3030, ""_[a-z]{1,2}$"", """")"),"CORE_52")</f>
        <v>CORE_52</v>
      </c>
      <c r="BD3030" s="62" t="s">
        <v>7302</v>
      </c>
    </row>
    <row r="3031">
      <c r="A3031" s="44">
        <v>2869.0</v>
      </c>
      <c r="B3031" s="129" t="s">
        <v>523</v>
      </c>
      <c r="C3031" s="62" t="s">
        <v>115</v>
      </c>
      <c r="D3031" s="62" t="s">
        <v>248</v>
      </c>
      <c r="F3031" s="68" t="s">
        <v>18188</v>
      </c>
      <c r="G3031" s="68" t="s">
        <v>18210</v>
      </c>
      <c r="H3031" s="68" t="s">
        <v>249</v>
      </c>
      <c r="I3031" s="529">
        <v>45810.0</v>
      </c>
      <c r="J3031" s="862"/>
      <c r="K3031" s="68" t="s">
        <v>18211</v>
      </c>
      <c r="L3031" s="68"/>
      <c r="M3031" s="68" t="s">
        <v>18191</v>
      </c>
      <c r="N3031" s="68" t="s">
        <v>18192</v>
      </c>
      <c r="O3031" s="68"/>
      <c r="P3031" s="573" t="s">
        <v>18193</v>
      </c>
      <c r="Q3031" s="2375" t="str">
        <f> hyperlink(vlookup(lower(N3031),'File Links'!E:F, 2, FALSE), "LINK")</f>
        <v>LINK</v>
      </c>
      <c r="R3031" s="68" t="s">
        <v>18194</v>
      </c>
      <c r="S3031" s="68" t="s">
        <v>18195</v>
      </c>
      <c r="T3031" s="68"/>
      <c r="U3031" s="336">
        <v>4.0</v>
      </c>
      <c r="V3031" s="573" t="s">
        <v>18196</v>
      </c>
      <c r="W3031" s="1228"/>
      <c r="X3031" s="2376" t="str">
        <f> hyperlink(vlookup(lower(S3031),'File Links'!E:F, 2, FALSE), "LINK")</f>
        <v>LINK</v>
      </c>
      <c r="Y3031" s="68"/>
      <c r="Z3031" s="68" t="s">
        <v>947</v>
      </c>
      <c r="AA3031" s="68" t="s">
        <v>18197</v>
      </c>
      <c r="AB3031" s="68" t="s">
        <v>7291</v>
      </c>
      <c r="AC3031" s="68" t="s">
        <v>18198</v>
      </c>
      <c r="AD3031" s="68" t="s">
        <v>18199</v>
      </c>
      <c r="AE3031" s="68" t="s">
        <v>1042</v>
      </c>
      <c r="AF3031" s="336">
        <v>58.0</v>
      </c>
      <c r="AG3031" s="68" t="s">
        <v>138</v>
      </c>
      <c r="AH3031" s="68" t="s">
        <v>138</v>
      </c>
      <c r="AI3031" s="68" t="s">
        <v>1042</v>
      </c>
      <c r="AJ3031" s="336">
        <v>0.05</v>
      </c>
      <c r="AK3031" s="68" t="s">
        <v>135</v>
      </c>
      <c r="AL3031" s="68" t="s">
        <v>186</v>
      </c>
      <c r="AM3031" s="68" t="s">
        <v>137</v>
      </c>
      <c r="AN3031" s="68" t="s">
        <v>138</v>
      </c>
      <c r="AO3031" s="336">
        <v>799.0</v>
      </c>
      <c r="AP3031" s="336">
        <v>0.84</v>
      </c>
      <c r="AQ3031" s="68" t="s">
        <v>173</v>
      </c>
      <c r="AR3031" s="68" t="s">
        <v>18214</v>
      </c>
      <c r="AS3031" s="68" t="s">
        <v>138</v>
      </c>
      <c r="AT3031" s="68" t="s">
        <v>172</v>
      </c>
      <c r="AU3031" s="68" t="s">
        <v>186</v>
      </c>
      <c r="AV3031" s="68" t="s">
        <v>137</v>
      </c>
      <c r="AW3031" s="435" t="s">
        <v>18203</v>
      </c>
      <c r="AX3031" s="68" t="s">
        <v>143</v>
      </c>
      <c r="AY3031" s="61" t="str">
        <f>IFERROR(__xludf.DUMMYFUNCTION("vlookup(BB3031,importrange(""https://docs.google.com/spreadsheets/d/1d2vevQ_7D_v35q4wCQ4RpQ_IPoTwEMB9Yp6ymwlPqew/edit?gid=984458430#gid=984458430"", ""'replication success'!A:K""), 11, FAlSE)"),"#N/A")</f>
        <v>#N/A</v>
      </c>
      <c r="AZ3031" s="61" t="str">
        <f>IFERROR(__xludf.DUMMYFUNCTION("vlookup(BB3031,importrange(""https://docs.google.com/spreadsheets/d/1d2vevQ_7D_v35q4wCQ4RpQ_IPoTwEMB9Yp6ymwlPqew/edit?gid=984458430#gid=984458430"", ""'replication success'!A:M""), 12, FAlSE)"),"#N/A")</f>
        <v>#N/A</v>
      </c>
      <c r="BA3031" s="61" t="str">
        <f>IFERROR(__xludf.DUMMYFUNCTION("vlookup(BB3031,importrange(""https://docs.google.com/spreadsheets/d/1d2vevQ_7D_v35q4wCQ4RpQ_IPoTwEMB9Yp6ymwlPqew/edit?gid=984458430#gid=984458430"", ""'replication success'!A:M""), 13, FAlSE)"),"#N/A")</f>
        <v>#N/A</v>
      </c>
      <c r="BB3031" s="61" t="str">
        <f>IFERROR(__xludf.DUMMYFUNCTION("REGEXREPLACE(G3031, ""_[a-z]{1,2}$"", """")"),"CORE_52")</f>
        <v>CORE_52</v>
      </c>
      <c r="BD3031" s="62" t="s">
        <v>7302</v>
      </c>
    </row>
    <row r="3032">
      <c r="A3032" s="44">
        <v>2863.0</v>
      </c>
      <c r="B3032" s="129" t="s">
        <v>523</v>
      </c>
      <c r="C3032" s="62" t="s">
        <v>115</v>
      </c>
      <c r="D3032" s="62" t="s">
        <v>248</v>
      </c>
      <c r="F3032" s="68" t="s">
        <v>18188</v>
      </c>
      <c r="G3032" s="68" t="s">
        <v>18215</v>
      </c>
      <c r="H3032" s="68" t="s">
        <v>249</v>
      </c>
      <c r="I3032" s="529">
        <v>45810.0</v>
      </c>
      <c r="J3032" s="862"/>
      <c r="K3032" s="68" t="s">
        <v>18216</v>
      </c>
      <c r="L3032" s="68"/>
      <c r="M3032" s="68" t="s">
        <v>18191</v>
      </c>
      <c r="N3032" s="68" t="s">
        <v>18192</v>
      </c>
      <c r="O3032" s="68"/>
      <c r="P3032" s="573" t="s">
        <v>18193</v>
      </c>
      <c r="Q3032" s="2375" t="str">
        <f> hyperlink(vlookup(lower(N3032),'File Links'!E:F, 2, FALSE), "LINK")</f>
        <v>LINK</v>
      </c>
      <c r="R3032" s="68" t="s">
        <v>18194</v>
      </c>
      <c r="S3032" s="68" t="s">
        <v>18195</v>
      </c>
      <c r="T3032" s="68"/>
      <c r="U3032" s="336">
        <v>1.0</v>
      </c>
      <c r="V3032" s="573" t="s">
        <v>18196</v>
      </c>
      <c r="W3032" s="1228"/>
      <c r="X3032" s="2376" t="str">
        <f> hyperlink(vlookup(lower(S3032),'File Links'!E:F, 2, FALSE), "LINK")</f>
        <v>LINK</v>
      </c>
      <c r="Y3032" s="68"/>
      <c r="Z3032" s="68" t="s">
        <v>947</v>
      </c>
      <c r="AA3032" s="68" t="s">
        <v>18197</v>
      </c>
      <c r="AB3032" s="68" t="s">
        <v>7291</v>
      </c>
      <c r="AC3032" s="68" t="s">
        <v>18198</v>
      </c>
      <c r="AD3032" s="68" t="s">
        <v>18217</v>
      </c>
      <c r="AE3032" s="68" t="s">
        <v>2771</v>
      </c>
      <c r="AF3032" s="336">
        <v>54.0</v>
      </c>
      <c r="AG3032" s="68" t="s">
        <v>18218</v>
      </c>
      <c r="AH3032" s="68" t="s">
        <v>134</v>
      </c>
      <c r="AI3032" s="68" t="s">
        <v>2771</v>
      </c>
      <c r="AJ3032" s="336">
        <v>0.001</v>
      </c>
      <c r="AK3032" s="68" t="s">
        <v>135</v>
      </c>
      <c r="AL3032" s="68" t="s">
        <v>186</v>
      </c>
      <c r="AM3032" s="68" t="s">
        <v>137</v>
      </c>
      <c r="AN3032" s="68" t="s">
        <v>138</v>
      </c>
      <c r="AO3032" s="336">
        <v>799.0</v>
      </c>
      <c r="AP3032" s="336">
        <v>0.48</v>
      </c>
      <c r="AQ3032" s="68" t="s">
        <v>173</v>
      </c>
      <c r="AR3032" s="68" t="s">
        <v>18219</v>
      </c>
      <c r="AS3032" s="336">
        <v>0.001</v>
      </c>
      <c r="AT3032" s="68" t="s">
        <v>135</v>
      </c>
      <c r="AU3032" s="68" t="s">
        <v>186</v>
      </c>
      <c r="AV3032" s="68" t="s">
        <v>137</v>
      </c>
      <c r="AW3032" s="435" t="s">
        <v>18203</v>
      </c>
      <c r="AX3032" s="68" t="s">
        <v>143</v>
      </c>
      <c r="AY3032" s="61" t="str">
        <f>IFERROR(__xludf.DUMMYFUNCTION("vlookup(BB3032,importrange(""https://docs.google.com/spreadsheets/d/1d2vevQ_7D_v35q4wCQ4RpQ_IPoTwEMB9Yp6ymwlPqew/edit?gid=984458430#gid=984458430"", ""'replication success'!A:K""), 11, FAlSE)"),"#N/A")</f>
        <v>#N/A</v>
      </c>
      <c r="AZ3032" s="61" t="str">
        <f>IFERROR(__xludf.DUMMYFUNCTION("vlookup(BB3032,importrange(""https://docs.google.com/spreadsheets/d/1d2vevQ_7D_v35q4wCQ4RpQ_IPoTwEMB9Yp6ymwlPqew/edit?gid=984458430#gid=984458430"", ""'replication success'!A:M""), 12, FAlSE)"),"#N/A")</f>
        <v>#N/A</v>
      </c>
      <c r="BA3032" s="61" t="str">
        <f>IFERROR(__xludf.DUMMYFUNCTION("vlookup(BB3032,importrange(""https://docs.google.com/spreadsheets/d/1d2vevQ_7D_v35q4wCQ4RpQ_IPoTwEMB9Yp6ymwlPqew/edit?gid=984458430#gid=984458430"", ""'replication success'!A:M""), 13, FAlSE)"),"#N/A")</f>
        <v>#N/A</v>
      </c>
      <c r="BB3032" s="61" t="str">
        <f>IFERROR(__xludf.DUMMYFUNCTION("REGEXREPLACE(G3032, ""_[a-z]{1,2}$"", """")"),"CORE_52")</f>
        <v>CORE_52</v>
      </c>
      <c r="BD3032" s="62" t="s">
        <v>7302</v>
      </c>
    </row>
    <row r="3033">
      <c r="A3033" s="44">
        <v>2864.0</v>
      </c>
      <c r="B3033" s="129" t="s">
        <v>523</v>
      </c>
      <c r="C3033" s="62" t="s">
        <v>115</v>
      </c>
      <c r="D3033" s="62" t="s">
        <v>248</v>
      </c>
      <c r="F3033" s="68" t="s">
        <v>18188</v>
      </c>
      <c r="G3033" s="68" t="s">
        <v>18220</v>
      </c>
      <c r="H3033" s="68" t="s">
        <v>249</v>
      </c>
      <c r="I3033" s="529">
        <v>45810.0</v>
      </c>
      <c r="J3033" s="862"/>
      <c r="K3033" s="68" t="s">
        <v>18221</v>
      </c>
      <c r="L3033" s="68"/>
      <c r="M3033" s="68" t="s">
        <v>18191</v>
      </c>
      <c r="N3033" s="68" t="s">
        <v>18192</v>
      </c>
      <c r="O3033" s="68"/>
      <c r="P3033" s="573" t="s">
        <v>18193</v>
      </c>
      <c r="Q3033" s="2375" t="str">
        <f> hyperlink(vlookup(lower(N3033),'File Links'!E:F, 2, FALSE), "LINK")</f>
        <v>LINK</v>
      </c>
      <c r="R3033" s="68" t="s">
        <v>18194</v>
      </c>
      <c r="S3033" s="68" t="s">
        <v>18195</v>
      </c>
      <c r="T3033" s="68"/>
      <c r="U3033" s="336">
        <v>1.0</v>
      </c>
      <c r="V3033" s="573" t="s">
        <v>18196</v>
      </c>
      <c r="W3033" s="1228"/>
      <c r="X3033" s="2376" t="str">
        <f> hyperlink(vlookup(lower(S3033),'File Links'!E:F, 2, FALSE), "LINK")</f>
        <v>LINK</v>
      </c>
      <c r="Y3033" s="68"/>
      <c r="Z3033" s="68" t="s">
        <v>947</v>
      </c>
      <c r="AA3033" s="68" t="s">
        <v>18197</v>
      </c>
      <c r="AB3033" s="68" t="s">
        <v>7291</v>
      </c>
      <c r="AC3033" s="68" t="s">
        <v>18198</v>
      </c>
      <c r="AD3033" s="68" t="s">
        <v>18217</v>
      </c>
      <c r="AE3033" s="68" t="s">
        <v>2771</v>
      </c>
      <c r="AF3033" s="336">
        <v>54.0</v>
      </c>
      <c r="AG3033" s="68" t="s">
        <v>18218</v>
      </c>
      <c r="AH3033" s="68" t="s">
        <v>134</v>
      </c>
      <c r="AI3033" s="68" t="s">
        <v>2771</v>
      </c>
      <c r="AJ3033" s="336">
        <v>0.001</v>
      </c>
      <c r="AK3033" s="68" t="s">
        <v>135</v>
      </c>
      <c r="AL3033" s="68" t="s">
        <v>186</v>
      </c>
      <c r="AM3033" s="68" t="s">
        <v>137</v>
      </c>
      <c r="AN3033" s="68" t="s">
        <v>138</v>
      </c>
      <c r="AO3033" s="336">
        <v>799.0</v>
      </c>
      <c r="AP3033" s="336">
        <v>0.46</v>
      </c>
      <c r="AQ3033" s="68" t="s">
        <v>173</v>
      </c>
      <c r="AR3033" s="68" t="s">
        <v>18222</v>
      </c>
      <c r="AS3033" s="336">
        <v>0.001</v>
      </c>
      <c r="AT3033" s="68" t="s">
        <v>135</v>
      </c>
      <c r="AU3033" s="68" t="s">
        <v>186</v>
      </c>
      <c r="AV3033" s="68" t="s">
        <v>137</v>
      </c>
      <c r="AW3033" s="435" t="s">
        <v>18203</v>
      </c>
      <c r="AX3033" s="68" t="s">
        <v>143</v>
      </c>
      <c r="AY3033" s="61" t="str">
        <f>IFERROR(__xludf.DUMMYFUNCTION("vlookup(BB3033,importrange(""https://docs.google.com/spreadsheets/d/1d2vevQ_7D_v35q4wCQ4RpQ_IPoTwEMB9Yp6ymwlPqew/edit?gid=984458430#gid=984458430"", ""'replication success'!A:K""), 11, FAlSE)"),"#N/A")</f>
        <v>#N/A</v>
      </c>
      <c r="AZ3033" s="61" t="str">
        <f>IFERROR(__xludf.DUMMYFUNCTION("vlookup(BB3033,importrange(""https://docs.google.com/spreadsheets/d/1d2vevQ_7D_v35q4wCQ4RpQ_IPoTwEMB9Yp6ymwlPqew/edit?gid=984458430#gid=984458430"", ""'replication success'!A:M""), 12, FAlSE)"),"#N/A")</f>
        <v>#N/A</v>
      </c>
      <c r="BA3033" s="61" t="str">
        <f>IFERROR(__xludf.DUMMYFUNCTION("vlookup(BB3033,importrange(""https://docs.google.com/spreadsheets/d/1d2vevQ_7D_v35q4wCQ4RpQ_IPoTwEMB9Yp6ymwlPqew/edit?gid=984458430#gid=984458430"", ""'replication success'!A:M""), 13, FAlSE)"),"#N/A")</f>
        <v>#N/A</v>
      </c>
      <c r="BB3033" s="61" t="str">
        <f>IFERROR(__xludf.DUMMYFUNCTION("REGEXREPLACE(G3033, ""_[a-z]{1,2}$"", """")"),"CORE_52")</f>
        <v>CORE_52</v>
      </c>
      <c r="BD3033" s="62" t="s">
        <v>7302</v>
      </c>
    </row>
    <row r="3034">
      <c r="A3034" s="44">
        <v>2865.0</v>
      </c>
      <c r="B3034" s="129" t="s">
        <v>523</v>
      </c>
      <c r="C3034" s="62" t="s">
        <v>115</v>
      </c>
      <c r="D3034" s="62" t="s">
        <v>248</v>
      </c>
      <c r="F3034" s="68" t="s">
        <v>18188</v>
      </c>
      <c r="G3034" s="68" t="s">
        <v>18223</v>
      </c>
      <c r="H3034" s="68" t="s">
        <v>249</v>
      </c>
      <c r="I3034" s="529">
        <v>45810.0</v>
      </c>
      <c r="J3034" s="862"/>
      <c r="K3034" s="68" t="s">
        <v>18224</v>
      </c>
      <c r="L3034" s="68"/>
      <c r="M3034" s="68" t="s">
        <v>18191</v>
      </c>
      <c r="N3034" s="68" t="s">
        <v>18192</v>
      </c>
      <c r="O3034" s="68"/>
      <c r="P3034" s="573" t="s">
        <v>18193</v>
      </c>
      <c r="Q3034" s="2375" t="str">
        <f> hyperlink(vlookup(lower(N3034),'File Links'!E:F, 2, FALSE), "LINK")</f>
        <v>LINK</v>
      </c>
      <c r="R3034" s="68" t="s">
        <v>18194</v>
      </c>
      <c r="S3034" s="68" t="s">
        <v>18195</v>
      </c>
      <c r="T3034" s="68"/>
      <c r="U3034" s="336">
        <v>1.0</v>
      </c>
      <c r="V3034" s="573" t="s">
        <v>18196</v>
      </c>
      <c r="W3034" s="1228"/>
      <c r="X3034" s="2376" t="str">
        <f> hyperlink(vlookup(lower(S3034),'File Links'!E:F, 2, FALSE), "LINK")</f>
        <v>LINK</v>
      </c>
      <c r="Y3034" s="68"/>
      <c r="Z3034" s="68" t="s">
        <v>947</v>
      </c>
      <c r="AA3034" s="68" t="s">
        <v>18197</v>
      </c>
      <c r="AB3034" s="68" t="s">
        <v>7291</v>
      </c>
      <c r="AC3034" s="68" t="s">
        <v>18198</v>
      </c>
      <c r="AD3034" s="68" t="s">
        <v>18217</v>
      </c>
      <c r="AE3034" s="68" t="s">
        <v>2771</v>
      </c>
      <c r="AF3034" s="336">
        <v>54.0</v>
      </c>
      <c r="AG3034" s="68" t="s">
        <v>18218</v>
      </c>
      <c r="AH3034" s="68" t="s">
        <v>134</v>
      </c>
      <c r="AI3034" s="68" t="s">
        <v>2771</v>
      </c>
      <c r="AJ3034" s="336">
        <v>0.001</v>
      </c>
      <c r="AK3034" s="68" t="s">
        <v>135</v>
      </c>
      <c r="AL3034" s="68" t="s">
        <v>186</v>
      </c>
      <c r="AM3034" s="68" t="s">
        <v>137</v>
      </c>
      <c r="AN3034" s="68" t="s">
        <v>138</v>
      </c>
      <c r="AO3034" s="336">
        <v>799.0</v>
      </c>
      <c r="AP3034" s="336">
        <v>0.77</v>
      </c>
      <c r="AQ3034" s="68" t="s">
        <v>173</v>
      </c>
      <c r="AR3034" s="68" t="s">
        <v>18225</v>
      </c>
      <c r="AS3034" s="336">
        <v>0.001</v>
      </c>
      <c r="AT3034" s="68" t="s">
        <v>135</v>
      </c>
      <c r="AU3034" s="68" t="s">
        <v>186</v>
      </c>
      <c r="AV3034" s="68" t="s">
        <v>137</v>
      </c>
      <c r="AW3034" s="435" t="s">
        <v>18203</v>
      </c>
      <c r="AX3034" s="68" t="s">
        <v>143</v>
      </c>
      <c r="AY3034" s="61" t="str">
        <f>IFERROR(__xludf.DUMMYFUNCTION("vlookup(BB3034,importrange(""https://docs.google.com/spreadsheets/d/1d2vevQ_7D_v35q4wCQ4RpQ_IPoTwEMB9Yp6ymwlPqew/edit?gid=984458430#gid=984458430"", ""'replication success'!A:K""), 11, FAlSE)"),"#N/A")</f>
        <v>#N/A</v>
      </c>
      <c r="AZ3034" s="61" t="str">
        <f>IFERROR(__xludf.DUMMYFUNCTION("vlookup(BB3034,importrange(""https://docs.google.com/spreadsheets/d/1d2vevQ_7D_v35q4wCQ4RpQ_IPoTwEMB9Yp6ymwlPqew/edit?gid=984458430#gid=984458430"", ""'replication success'!A:M""), 12, FAlSE)"),"#N/A")</f>
        <v>#N/A</v>
      </c>
      <c r="BA3034" s="61" t="str">
        <f>IFERROR(__xludf.DUMMYFUNCTION("vlookup(BB3034,importrange(""https://docs.google.com/spreadsheets/d/1d2vevQ_7D_v35q4wCQ4RpQ_IPoTwEMB9Yp6ymwlPqew/edit?gid=984458430#gid=984458430"", ""'replication success'!A:M""), 13, FAlSE)"),"#N/A")</f>
        <v>#N/A</v>
      </c>
      <c r="BB3034" s="61" t="str">
        <f>IFERROR(__xludf.DUMMYFUNCTION("REGEXREPLACE(G3034, ""_[a-z]{1,2}$"", """")"),"CORE_52")</f>
        <v>CORE_52</v>
      </c>
      <c r="BD3034" s="62" t="s">
        <v>7302</v>
      </c>
    </row>
    <row r="3035">
      <c r="A3035" s="44">
        <v>2866.0</v>
      </c>
      <c r="B3035" s="129" t="s">
        <v>523</v>
      </c>
      <c r="C3035" s="62" t="s">
        <v>115</v>
      </c>
      <c r="D3035" s="62" t="s">
        <v>248</v>
      </c>
      <c r="F3035" s="68" t="s">
        <v>18188</v>
      </c>
      <c r="G3035" s="68" t="s">
        <v>18226</v>
      </c>
      <c r="H3035" s="68" t="s">
        <v>249</v>
      </c>
      <c r="I3035" s="529">
        <v>45810.0</v>
      </c>
      <c r="J3035" s="862"/>
      <c r="K3035" s="68" t="s">
        <v>18227</v>
      </c>
      <c r="L3035" s="68"/>
      <c r="M3035" s="68" t="s">
        <v>18191</v>
      </c>
      <c r="N3035" s="68" t="s">
        <v>18192</v>
      </c>
      <c r="O3035" s="68"/>
      <c r="P3035" s="573" t="s">
        <v>18193</v>
      </c>
      <c r="Q3035" s="2375" t="str">
        <f> hyperlink(vlookup(lower(N3035),'File Links'!E:F, 2, FALSE), "LINK")</f>
        <v>LINK</v>
      </c>
      <c r="R3035" s="68" t="s">
        <v>18194</v>
      </c>
      <c r="S3035" s="68" t="s">
        <v>18195</v>
      </c>
      <c r="T3035" s="68"/>
      <c r="U3035" s="336">
        <v>1.0</v>
      </c>
      <c r="V3035" s="573" t="s">
        <v>18196</v>
      </c>
      <c r="W3035" s="1228"/>
      <c r="X3035" s="2376" t="str">
        <f> hyperlink(vlookup(lower(S3035),'File Links'!E:F, 2, FALSE), "LINK")</f>
        <v>LINK</v>
      </c>
      <c r="Y3035" s="68"/>
      <c r="Z3035" s="68" t="s">
        <v>947</v>
      </c>
      <c r="AA3035" s="68" t="s">
        <v>18197</v>
      </c>
      <c r="AB3035" s="68" t="s">
        <v>7291</v>
      </c>
      <c r="AC3035" s="68" t="s">
        <v>18198</v>
      </c>
      <c r="AD3035" s="68" t="s">
        <v>18217</v>
      </c>
      <c r="AE3035" s="68" t="s">
        <v>2771</v>
      </c>
      <c r="AF3035" s="336">
        <v>54.0</v>
      </c>
      <c r="AG3035" s="68" t="s">
        <v>18218</v>
      </c>
      <c r="AH3035" s="68" t="s">
        <v>134</v>
      </c>
      <c r="AI3035" s="68" t="s">
        <v>2771</v>
      </c>
      <c r="AJ3035" s="336">
        <v>0.001</v>
      </c>
      <c r="AK3035" s="68" t="s">
        <v>135</v>
      </c>
      <c r="AL3035" s="68" t="s">
        <v>186</v>
      </c>
      <c r="AM3035" s="68" t="s">
        <v>137</v>
      </c>
      <c r="AN3035" s="68" t="s">
        <v>138</v>
      </c>
      <c r="AO3035" s="336">
        <v>799.0</v>
      </c>
      <c r="AP3035" s="336">
        <v>0.54</v>
      </c>
      <c r="AQ3035" s="68" t="s">
        <v>173</v>
      </c>
      <c r="AR3035" s="68" t="s">
        <v>18228</v>
      </c>
      <c r="AS3035" s="336">
        <v>0.001</v>
      </c>
      <c r="AT3035" s="68" t="s">
        <v>135</v>
      </c>
      <c r="AU3035" s="68" t="s">
        <v>186</v>
      </c>
      <c r="AV3035" s="68" t="s">
        <v>137</v>
      </c>
      <c r="AW3035" s="435" t="s">
        <v>18203</v>
      </c>
      <c r="AX3035" s="68" t="s">
        <v>143</v>
      </c>
      <c r="AY3035" s="61" t="str">
        <f>IFERROR(__xludf.DUMMYFUNCTION("vlookup(BB3035,importrange(""https://docs.google.com/spreadsheets/d/1d2vevQ_7D_v35q4wCQ4RpQ_IPoTwEMB9Yp6ymwlPqew/edit?gid=984458430#gid=984458430"", ""'replication success'!A:K""), 11, FAlSE)"),"#N/A")</f>
        <v>#N/A</v>
      </c>
      <c r="AZ3035" s="61" t="str">
        <f>IFERROR(__xludf.DUMMYFUNCTION("vlookup(BB3035,importrange(""https://docs.google.com/spreadsheets/d/1d2vevQ_7D_v35q4wCQ4RpQ_IPoTwEMB9Yp6ymwlPqew/edit?gid=984458430#gid=984458430"", ""'replication success'!A:M""), 12, FAlSE)"),"#N/A")</f>
        <v>#N/A</v>
      </c>
      <c r="BA3035" s="61" t="str">
        <f>IFERROR(__xludf.DUMMYFUNCTION("vlookup(BB3035,importrange(""https://docs.google.com/spreadsheets/d/1d2vevQ_7D_v35q4wCQ4RpQ_IPoTwEMB9Yp6ymwlPqew/edit?gid=984458430#gid=984458430"", ""'replication success'!A:M""), 13, FAlSE)"),"#N/A")</f>
        <v>#N/A</v>
      </c>
      <c r="BB3035" s="61" t="str">
        <f>IFERROR(__xludf.DUMMYFUNCTION("REGEXREPLACE(G3035, ""_[a-z]{1,2}$"", """")"),"CORE_52")</f>
        <v>CORE_52</v>
      </c>
      <c r="BD3035" s="62" t="s">
        <v>7302</v>
      </c>
    </row>
    <row r="3036">
      <c r="A3036" s="813">
        <v>2867.0</v>
      </c>
      <c r="B3036" s="219" t="s">
        <v>114</v>
      </c>
      <c r="C3036" s="124" t="s">
        <v>115</v>
      </c>
      <c r="D3036" s="124" t="s">
        <v>248</v>
      </c>
      <c r="E3036" s="107"/>
      <c r="F3036" s="125" t="s">
        <v>18188</v>
      </c>
      <c r="G3036" s="125" t="s">
        <v>18229</v>
      </c>
      <c r="H3036" s="125" t="s">
        <v>249</v>
      </c>
      <c r="I3036" s="1326">
        <v>45810.0</v>
      </c>
      <c r="J3036" s="2442">
        <v>45835.0</v>
      </c>
      <c r="K3036" s="125" t="s">
        <v>18230</v>
      </c>
      <c r="L3036" s="219" t="s">
        <v>18231</v>
      </c>
      <c r="M3036" s="125" t="s">
        <v>18191</v>
      </c>
      <c r="N3036" s="125" t="s">
        <v>18192</v>
      </c>
      <c r="O3036" s="219">
        <v>1.0</v>
      </c>
      <c r="P3036" s="125" t="s">
        <v>18193</v>
      </c>
      <c r="Q3036" s="2449" t="str">
        <f> hyperlink(vlookup(lower(N3036),'File Links'!E:F, 2, FALSE), "LINK")</f>
        <v>LINK</v>
      </c>
      <c r="R3036" s="125" t="s">
        <v>18194</v>
      </c>
      <c r="S3036" s="125" t="s">
        <v>18195</v>
      </c>
      <c r="T3036" s="125"/>
      <c r="U3036" s="1703">
        <v>1.0</v>
      </c>
      <c r="V3036" s="125" t="s">
        <v>18196</v>
      </c>
      <c r="W3036" s="219" t="s">
        <v>1122</v>
      </c>
      <c r="X3036" s="2450" t="str">
        <f> hyperlink(vlookup(lower(S3036),'File Links'!E:F, 2, FALSE), "LINK")</f>
        <v>LINK</v>
      </c>
      <c r="Y3036" s="125"/>
      <c r="Z3036" s="125" t="s">
        <v>947</v>
      </c>
      <c r="AA3036" s="125" t="s">
        <v>18197</v>
      </c>
      <c r="AB3036" s="125" t="s">
        <v>7291</v>
      </c>
      <c r="AC3036" s="125" t="s">
        <v>18198</v>
      </c>
      <c r="AD3036" s="219" t="s">
        <v>18232</v>
      </c>
      <c r="AE3036" s="125" t="s">
        <v>2771</v>
      </c>
      <c r="AF3036" s="1705">
        <v>56.0</v>
      </c>
      <c r="AG3036" s="219" t="s">
        <v>18208</v>
      </c>
      <c r="AH3036" s="125" t="s">
        <v>134</v>
      </c>
      <c r="AI3036" s="125" t="s">
        <v>2771</v>
      </c>
      <c r="AJ3036" s="1705">
        <v>1.0E-4</v>
      </c>
      <c r="AK3036" s="125" t="s">
        <v>135</v>
      </c>
      <c r="AL3036" s="125" t="s">
        <v>186</v>
      </c>
      <c r="AM3036" s="125" t="s">
        <v>137</v>
      </c>
      <c r="AN3036" s="125" t="s">
        <v>138</v>
      </c>
      <c r="AO3036" s="1703">
        <v>1598.0</v>
      </c>
      <c r="AP3036" s="1703">
        <v>0.58</v>
      </c>
      <c r="AQ3036" s="125" t="s">
        <v>173</v>
      </c>
      <c r="AR3036" s="125" t="s">
        <v>18233</v>
      </c>
      <c r="AS3036" s="1703">
        <v>0.001</v>
      </c>
      <c r="AT3036" s="125" t="s">
        <v>135</v>
      </c>
      <c r="AU3036" s="125" t="s">
        <v>186</v>
      </c>
      <c r="AV3036" s="125" t="s">
        <v>137</v>
      </c>
      <c r="AW3036" s="669" t="s">
        <v>18203</v>
      </c>
      <c r="AX3036" s="125" t="s">
        <v>143</v>
      </c>
      <c r="AY3036" s="61" t="str">
        <f>IFERROR(__xludf.DUMMYFUNCTION("vlookup(BB3036,importrange(""https://docs.google.com/spreadsheets/d/1d2vevQ_7D_v35q4wCQ4RpQ_IPoTwEMB9Yp6ymwlPqew/edit?gid=984458430#gid=984458430"", ""'replication success'!A:K""), 11, FAlSE)"),"#N/A")</f>
        <v>#N/A</v>
      </c>
      <c r="AZ3036" s="61" t="str">
        <f>IFERROR(__xludf.DUMMYFUNCTION("vlookup(BB3036,importrange(""https://docs.google.com/spreadsheets/d/1d2vevQ_7D_v35q4wCQ4RpQ_IPoTwEMB9Yp6ymwlPqew/edit?gid=984458430#gid=984458430"", ""'replication success'!A:M""), 12, FAlSE)"),"#N/A")</f>
        <v>#N/A</v>
      </c>
      <c r="BA3036" s="61" t="str">
        <f>IFERROR(__xludf.DUMMYFUNCTION("vlookup(BB3036,importrange(""https://docs.google.com/spreadsheets/d/1d2vevQ_7D_v35q4wCQ4RpQ_IPoTwEMB9Yp6ymwlPqew/edit?gid=984458430#gid=984458430"", ""'replication success'!A:M""), 13, FAlSE)"),"#N/A")</f>
        <v>#N/A</v>
      </c>
      <c r="BB3036" s="61" t="str">
        <f>IFERROR(__xludf.DUMMYFUNCTION("REGEXREPLACE(G3036, ""_[a-z]{1,2}$"", """")"),"CORE_52")</f>
        <v>CORE_52</v>
      </c>
      <c r="BC3036" s="107"/>
      <c r="BD3036" s="124" t="s">
        <v>814</v>
      </c>
      <c r="BE3036" s="107"/>
    </row>
    <row r="3037">
      <c r="A3037" s="44">
        <v>2870.0</v>
      </c>
      <c r="B3037" s="129" t="s">
        <v>523</v>
      </c>
      <c r="C3037" s="62" t="s">
        <v>115</v>
      </c>
      <c r="D3037" s="62" t="s">
        <v>248</v>
      </c>
      <c r="F3037" s="68" t="s">
        <v>18188</v>
      </c>
      <c r="G3037" s="68" t="s">
        <v>18229</v>
      </c>
      <c r="H3037" s="68" t="s">
        <v>249</v>
      </c>
      <c r="I3037" s="529">
        <v>45810.0</v>
      </c>
      <c r="J3037" s="862"/>
      <c r="K3037" s="68" t="s">
        <v>18234</v>
      </c>
      <c r="L3037" s="68"/>
      <c r="M3037" s="68" t="s">
        <v>18191</v>
      </c>
      <c r="N3037" s="68" t="s">
        <v>18192</v>
      </c>
      <c r="O3037" s="68"/>
      <c r="P3037" s="573" t="s">
        <v>18193</v>
      </c>
      <c r="Q3037" s="2375" t="str">
        <f> hyperlink(vlookup(lower(N3037),'File Links'!E:F, 2, FALSE), "LINK")</f>
        <v>LINK</v>
      </c>
      <c r="R3037" s="68" t="s">
        <v>18194</v>
      </c>
      <c r="S3037" s="68" t="s">
        <v>18195</v>
      </c>
      <c r="T3037" s="68"/>
      <c r="U3037" s="336">
        <v>4.0</v>
      </c>
      <c r="V3037" s="573" t="s">
        <v>18196</v>
      </c>
      <c r="W3037" s="1228"/>
      <c r="X3037" s="2376" t="str">
        <f> hyperlink(vlookup(lower(S3037),'File Links'!E:F, 2, FALSE), "LINK")</f>
        <v>LINK</v>
      </c>
      <c r="Y3037" s="68"/>
      <c r="Z3037" s="68" t="s">
        <v>947</v>
      </c>
      <c r="AA3037" s="68" t="s">
        <v>18197</v>
      </c>
      <c r="AB3037" s="68" t="s">
        <v>7291</v>
      </c>
      <c r="AC3037" s="68" t="s">
        <v>18198</v>
      </c>
      <c r="AD3037" s="68" t="s">
        <v>18217</v>
      </c>
      <c r="AE3037" s="68" t="s">
        <v>1042</v>
      </c>
      <c r="AF3037" s="336">
        <v>58.0</v>
      </c>
      <c r="AG3037" s="68" t="s">
        <v>138</v>
      </c>
      <c r="AH3037" s="68" t="s">
        <v>138</v>
      </c>
      <c r="AI3037" s="68" t="s">
        <v>1042</v>
      </c>
      <c r="AJ3037" s="336">
        <v>0.05</v>
      </c>
      <c r="AK3037" s="68" t="s">
        <v>135</v>
      </c>
      <c r="AL3037" s="68" t="s">
        <v>186</v>
      </c>
      <c r="AM3037" s="68" t="s">
        <v>137</v>
      </c>
      <c r="AN3037" s="68" t="s">
        <v>138</v>
      </c>
      <c r="AO3037" s="336">
        <v>1598.0</v>
      </c>
      <c r="AP3037" s="336">
        <v>0.81</v>
      </c>
      <c r="AQ3037" s="68" t="s">
        <v>173</v>
      </c>
      <c r="AR3037" s="68" t="s">
        <v>18235</v>
      </c>
      <c r="AS3037" s="68" t="s">
        <v>138</v>
      </c>
      <c r="AT3037" s="68" t="s">
        <v>172</v>
      </c>
      <c r="AU3037" s="68" t="s">
        <v>186</v>
      </c>
      <c r="AV3037" s="68" t="s">
        <v>137</v>
      </c>
      <c r="AW3037" s="435" t="s">
        <v>18203</v>
      </c>
      <c r="AX3037" s="68" t="s">
        <v>143</v>
      </c>
      <c r="AY3037" s="61" t="str">
        <f>IFERROR(__xludf.DUMMYFUNCTION("vlookup(BB3037,importrange(""https://docs.google.com/spreadsheets/d/1d2vevQ_7D_v35q4wCQ4RpQ_IPoTwEMB9Yp6ymwlPqew/edit?gid=984458430#gid=984458430"", ""'replication success'!A:K""), 11, FAlSE)"),"#N/A")</f>
        <v>#N/A</v>
      </c>
      <c r="AZ3037" s="61" t="str">
        <f>IFERROR(__xludf.DUMMYFUNCTION("vlookup(BB3037,importrange(""https://docs.google.com/spreadsheets/d/1d2vevQ_7D_v35q4wCQ4RpQ_IPoTwEMB9Yp6ymwlPqew/edit?gid=984458430#gid=984458430"", ""'replication success'!A:M""), 12, FAlSE)"),"#N/A")</f>
        <v>#N/A</v>
      </c>
      <c r="BA3037" s="61" t="str">
        <f>IFERROR(__xludf.DUMMYFUNCTION("vlookup(BB3037,importrange(""https://docs.google.com/spreadsheets/d/1d2vevQ_7D_v35q4wCQ4RpQ_IPoTwEMB9Yp6ymwlPqew/edit?gid=984458430#gid=984458430"", ""'replication success'!A:M""), 13, FAlSE)"),"#N/A")</f>
        <v>#N/A</v>
      </c>
      <c r="BB3037" s="61" t="str">
        <f>IFERROR(__xludf.DUMMYFUNCTION("REGEXREPLACE(G3037, ""_[a-z]{1,2}$"", """")"),"CORE_52")</f>
        <v>CORE_52</v>
      </c>
      <c r="BD3037" s="62" t="s">
        <v>7302</v>
      </c>
    </row>
    <row r="3038">
      <c r="A3038" s="451">
        <v>2871.0</v>
      </c>
      <c r="B3038" s="205" t="s">
        <v>152</v>
      </c>
      <c r="C3038" s="199" t="s">
        <v>115</v>
      </c>
      <c r="D3038" s="199" t="s">
        <v>248</v>
      </c>
      <c r="E3038" s="200"/>
      <c r="F3038" s="204" t="s">
        <v>18236</v>
      </c>
      <c r="G3038" s="204" t="s">
        <v>18237</v>
      </c>
      <c r="H3038" s="204" t="s">
        <v>249</v>
      </c>
      <c r="I3038" s="2451">
        <v>45810.0</v>
      </c>
      <c r="J3038" s="2442">
        <v>45835.0</v>
      </c>
      <c r="K3038" s="204"/>
      <c r="L3038" s="205" t="s">
        <v>18238</v>
      </c>
      <c r="M3038" s="204" t="s">
        <v>18239</v>
      </c>
      <c r="N3038" s="204" t="s">
        <v>18240</v>
      </c>
      <c r="O3038" s="205">
        <v>1.0</v>
      </c>
      <c r="P3038" s="204" t="s">
        <v>18241</v>
      </c>
      <c r="Q3038" s="2452" t="str">
        <f> hyperlink(vlookup(lower(N3038),'File Links'!E:F, 2, FALSE), "LINK")</f>
        <v>LINK</v>
      </c>
      <c r="R3038" s="204" t="s">
        <v>18242</v>
      </c>
      <c r="S3038" s="204" t="s">
        <v>18243</v>
      </c>
      <c r="T3038" s="204"/>
      <c r="U3038" s="205">
        <v>1.0</v>
      </c>
      <c r="V3038" s="204" t="s">
        <v>18244</v>
      </c>
      <c r="W3038" s="219" t="s">
        <v>1122</v>
      </c>
      <c r="X3038" s="2453" t="str">
        <f> hyperlink(vlookup(lower(S3038),'File Links'!E:F, 2, FALSE), "LINK")</f>
        <v>LINK</v>
      </c>
      <c r="Y3038" s="204"/>
      <c r="Z3038" s="204" t="s">
        <v>947</v>
      </c>
      <c r="AA3038" s="204" t="s">
        <v>18245</v>
      </c>
      <c r="AB3038" s="204" t="s">
        <v>7291</v>
      </c>
      <c r="AC3038" s="204" t="s">
        <v>18246</v>
      </c>
      <c r="AD3038" s="204" t="s">
        <v>18247</v>
      </c>
      <c r="AE3038" s="204" t="s">
        <v>1174</v>
      </c>
      <c r="AF3038" s="759">
        <v>2047.0</v>
      </c>
      <c r="AG3038" s="204" t="s">
        <v>138</v>
      </c>
      <c r="AH3038" s="204" t="s">
        <v>138</v>
      </c>
      <c r="AI3038" s="204" t="s">
        <v>1174</v>
      </c>
      <c r="AJ3038" s="759">
        <v>1.0E-4</v>
      </c>
      <c r="AK3038" s="204" t="s">
        <v>172</v>
      </c>
      <c r="AL3038" s="204" t="s">
        <v>186</v>
      </c>
      <c r="AM3038" s="204" t="s">
        <v>137</v>
      </c>
      <c r="AN3038" s="204" t="s">
        <v>138</v>
      </c>
      <c r="AO3038" s="759">
        <v>311.0</v>
      </c>
      <c r="AP3038" s="759">
        <v>1.08</v>
      </c>
      <c r="AQ3038" s="204" t="s">
        <v>173</v>
      </c>
      <c r="AR3038" s="205" t="s">
        <v>18248</v>
      </c>
      <c r="AS3038" s="759">
        <v>0.001</v>
      </c>
      <c r="AT3038" s="125" t="s">
        <v>135</v>
      </c>
      <c r="AU3038" s="204" t="s">
        <v>186</v>
      </c>
      <c r="AV3038" s="204" t="s">
        <v>137</v>
      </c>
      <c r="AW3038" s="2382" t="s">
        <v>18249</v>
      </c>
      <c r="AX3038" s="204" t="s">
        <v>143</v>
      </c>
      <c r="AY3038" s="61" t="str">
        <f>IFERROR(__xludf.DUMMYFUNCTION("vlookup(BB3038,importrange(""https://docs.google.com/spreadsheets/d/1d2vevQ_7D_v35q4wCQ4RpQ_IPoTwEMB9Yp6ymwlPqew/edit?gid=984458430#gid=984458430"", ""'replication success'!A:K""), 11, FAlSE)"),"#N/A")</f>
        <v>#N/A</v>
      </c>
      <c r="AZ3038" s="61" t="str">
        <f>IFERROR(__xludf.DUMMYFUNCTION("vlookup(BB3038,importrange(""https://docs.google.com/spreadsheets/d/1d2vevQ_7D_v35q4wCQ4RpQ_IPoTwEMB9Yp6ymwlPqew/edit?gid=984458430#gid=984458430"", ""'replication success'!A:M""), 12, FAlSE)"),"#N/A")</f>
        <v>#N/A</v>
      </c>
      <c r="BA3038" s="61" t="str">
        <f>IFERROR(__xludf.DUMMYFUNCTION("vlookup(BB3038,importrange(""https://docs.google.com/spreadsheets/d/1d2vevQ_7D_v35q4wCQ4RpQ_IPoTwEMB9Yp6ymwlPqew/edit?gid=984458430#gid=984458430"", ""'replication success'!A:M""), 13, FAlSE)"),"#N/A")</f>
        <v>#N/A</v>
      </c>
      <c r="BB3038" s="61" t="str">
        <f>IFERROR(__xludf.DUMMYFUNCTION("REGEXREPLACE(G3038, ""_[a-z]{1,2}$"", """")"),"CORE_54")</f>
        <v>CORE_54</v>
      </c>
      <c r="BC3038" s="200"/>
      <c r="BD3038" s="124" t="s">
        <v>814</v>
      </c>
      <c r="BE3038" s="200"/>
    </row>
    <row r="3039">
      <c r="A3039" s="44">
        <v>2988.0</v>
      </c>
      <c r="B3039" s="129" t="s">
        <v>114</v>
      </c>
      <c r="C3039" s="62" t="s">
        <v>115</v>
      </c>
      <c r="D3039" s="62" t="s">
        <v>15473</v>
      </c>
      <c r="F3039" s="68" t="s">
        <v>18236</v>
      </c>
      <c r="G3039" s="159" t="s">
        <v>18237</v>
      </c>
      <c r="H3039" s="159" t="s">
        <v>18250</v>
      </c>
      <c r="I3039" s="152">
        <v>45331.0</v>
      </c>
      <c r="J3039" s="2399">
        <v>45835.0</v>
      </c>
      <c r="K3039" s="68"/>
      <c r="L3039" s="151" t="s">
        <v>18251</v>
      </c>
      <c r="M3039" s="159" t="s">
        <v>18239</v>
      </c>
      <c r="N3039" s="159" t="s">
        <v>18240</v>
      </c>
      <c r="O3039" s="336">
        <v>1.0</v>
      </c>
      <c r="P3039" s="159" t="s">
        <v>18241</v>
      </c>
      <c r="Q3039" s="2174" t="str">
        <f> hyperlink(vlookup(lower(N3039),'File Links'!E:F, 2, FALSE), "LINK")</f>
        <v>LINK</v>
      </c>
      <c r="R3039" s="159" t="s">
        <v>18242</v>
      </c>
      <c r="S3039" s="159" t="s">
        <v>18243</v>
      </c>
      <c r="T3039" s="68"/>
      <c r="U3039" s="336">
        <v>1.0</v>
      </c>
      <c r="V3039" s="159" t="s">
        <v>18244</v>
      </c>
      <c r="W3039" s="205" t="s">
        <v>1122</v>
      </c>
      <c r="X3039" s="2400" t="str">
        <f> hyperlink(vlookup(lower(S3039),'File Links'!E:F, 2, FALSE), "LINK")</f>
        <v>LINK</v>
      </c>
      <c r="Y3039" s="68"/>
      <c r="Z3039" s="159" t="s">
        <v>947</v>
      </c>
      <c r="AA3039" s="159" t="s">
        <v>18245</v>
      </c>
      <c r="AB3039" s="159" t="s">
        <v>7291</v>
      </c>
      <c r="AC3039" s="159" t="s">
        <v>18246</v>
      </c>
      <c r="AD3039" s="68" t="s">
        <v>18252</v>
      </c>
      <c r="AE3039" s="336">
        <v>10.0</v>
      </c>
      <c r="AF3039" s="336">
        <v>2047.0</v>
      </c>
      <c r="AG3039" s="161" t="s">
        <v>138</v>
      </c>
      <c r="AH3039" s="151" t="s">
        <v>138</v>
      </c>
      <c r="AI3039" s="204" t="s">
        <v>1174</v>
      </c>
      <c r="AJ3039" s="759">
        <v>1.0E-4</v>
      </c>
      <c r="AK3039" s="204" t="s">
        <v>172</v>
      </c>
      <c r="AL3039" s="204" t="s">
        <v>186</v>
      </c>
      <c r="AM3039" s="68" t="s">
        <v>137</v>
      </c>
      <c r="AN3039" s="129" t="s">
        <v>138</v>
      </c>
      <c r="AO3039" s="336">
        <v>311.0</v>
      </c>
      <c r="AP3039" s="336">
        <v>1.08</v>
      </c>
      <c r="AQ3039" s="68" t="s">
        <v>173</v>
      </c>
      <c r="AR3039" s="129" t="s">
        <v>496</v>
      </c>
      <c r="AS3039" s="129">
        <v>0.001</v>
      </c>
      <c r="AT3039" s="1065" t="s">
        <v>135</v>
      </c>
      <c r="AU3039" s="204" t="s">
        <v>186</v>
      </c>
      <c r="AV3039" s="204" t="s">
        <v>137</v>
      </c>
      <c r="AW3039" s="435" t="s">
        <v>18253</v>
      </c>
      <c r="AX3039" s="68" t="s">
        <v>143</v>
      </c>
      <c r="AY3039" s="61" t="str">
        <f>IFERROR(__xludf.DUMMYFUNCTION("vlookup(BB3039,importrange(""https://docs.google.com/spreadsheets/d/1d2vevQ_7D_v35q4wCQ4RpQ_IPoTwEMB9Yp6ymwlPqew/edit?gid=984458430#gid=984458430"", ""'replication success'!A:K""), 11, FAlSE)"),"#N/A")</f>
        <v>#N/A</v>
      </c>
      <c r="AZ3039" s="61" t="str">
        <f>IFERROR(__xludf.DUMMYFUNCTION("vlookup(BB3039,importrange(""https://docs.google.com/spreadsheets/d/1d2vevQ_7D_v35q4wCQ4RpQ_IPoTwEMB9Yp6ymwlPqew/edit?gid=984458430#gid=984458430"", ""'replication success'!A:M""), 12, FAlSE)"),"#N/A")</f>
        <v>#N/A</v>
      </c>
      <c r="BA3039" s="61" t="str">
        <f>IFERROR(__xludf.DUMMYFUNCTION("vlookup(BB3039,importrange(""https://docs.google.com/spreadsheets/d/1d2vevQ_7D_v35q4wCQ4RpQ_IPoTwEMB9Yp6ymwlPqew/edit?gid=984458430#gid=984458430"", ""'replication success'!A:M""), 13, FAlSE)"),"#N/A")</f>
        <v>#N/A</v>
      </c>
      <c r="BB3039" s="61" t="str">
        <f>IFERROR(__xludf.DUMMYFUNCTION("REGEXREPLACE(G3039, ""_[a-z]{1,2}$"", """")"),"CORE_54")</f>
        <v>CORE_54</v>
      </c>
      <c r="BD3039" s="199" t="s">
        <v>814</v>
      </c>
    </row>
    <row r="3040">
      <c r="A3040" s="44">
        <v>2872.0</v>
      </c>
      <c r="B3040" s="129" t="s">
        <v>523</v>
      </c>
      <c r="C3040" s="62" t="s">
        <v>115</v>
      </c>
      <c r="D3040" s="62" t="s">
        <v>248</v>
      </c>
      <c r="F3040" s="68" t="s">
        <v>18236</v>
      </c>
      <c r="G3040" s="129" t="s">
        <v>18254</v>
      </c>
      <c r="H3040" s="68" t="s">
        <v>249</v>
      </c>
      <c r="I3040" s="529">
        <v>45810.0</v>
      </c>
      <c r="J3040" s="862"/>
      <c r="K3040" s="68"/>
      <c r="L3040" s="68"/>
      <c r="M3040" s="68" t="s">
        <v>18239</v>
      </c>
      <c r="N3040" s="68" t="s">
        <v>18240</v>
      </c>
      <c r="O3040" s="68"/>
      <c r="P3040" s="573" t="s">
        <v>18241</v>
      </c>
      <c r="Q3040" s="2375" t="str">
        <f> hyperlink(vlookup(lower(N3040),'File Links'!E:F, 2, FALSE), "LINK")</f>
        <v>LINK</v>
      </c>
      <c r="R3040" s="68" t="s">
        <v>18242</v>
      </c>
      <c r="S3040" s="68" t="s">
        <v>18243</v>
      </c>
      <c r="T3040" s="68"/>
      <c r="U3040" s="68"/>
      <c r="V3040" s="573" t="s">
        <v>18244</v>
      </c>
      <c r="W3040" s="1228"/>
      <c r="X3040" s="2376" t="str">
        <f> hyperlink(vlookup(lower(S3040),'File Links'!E:F, 2, FALSE), "LINK")</f>
        <v>LINK</v>
      </c>
      <c r="Y3040" s="68"/>
      <c r="Z3040" s="68" t="s">
        <v>947</v>
      </c>
      <c r="AA3040" s="68" t="s">
        <v>18245</v>
      </c>
      <c r="AB3040" s="68" t="s">
        <v>7291</v>
      </c>
      <c r="AC3040" s="68" t="s">
        <v>18246</v>
      </c>
      <c r="AD3040" s="68" t="s">
        <v>18255</v>
      </c>
      <c r="AE3040" s="68" t="s">
        <v>1174</v>
      </c>
      <c r="AF3040" s="336">
        <v>2047.0</v>
      </c>
      <c r="AG3040" s="68" t="s">
        <v>138</v>
      </c>
      <c r="AH3040" s="68" t="s">
        <v>138</v>
      </c>
      <c r="AI3040" s="68" t="s">
        <v>1174</v>
      </c>
      <c r="AJ3040" s="336">
        <v>1.0E-4</v>
      </c>
      <c r="AK3040" s="68" t="s">
        <v>172</v>
      </c>
      <c r="AL3040" s="68" t="s">
        <v>186</v>
      </c>
      <c r="AM3040" s="68" t="s">
        <v>137</v>
      </c>
      <c r="AN3040" s="68" t="s">
        <v>138</v>
      </c>
      <c r="AO3040" s="336">
        <v>311.0</v>
      </c>
      <c r="AP3040" s="336">
        <v>1.42</v>
      </c>
      <c r="AQ3040" s="68" t="s">
        <v>173</v>
      </c>
      <c r="AR3040" s="68" t="s">
        <v>18256</v>
      </c>
      <c r="AS3040" s="336">
        <v>0.001</v>
      </c>
      <c r="AT3040" s="68" t="s">
        <v>135</v>
      </c>
      <c r="AU3040" s="68" t="s">
        <v>186</v>
      </c>
      <c r="AV3040" s="68" t="s">
        <v>137</v>
      </c>
      <c r="AW3040" s="435" t="s">
        <v>18249</v>
      </c>
      <c r="AX3040" s="68" t="s">
        <v>143</v>
      </c>
      <c r="AY3040" s="61" t="str">
        <f>IFERROR(__xludf.DUMMYFUNCTION("vlookup(BB3040,importrange(""https://docs.google.com/spreadsheets/d/1d2vevQ_7D_v35q4wCQ4RpQ_IPoTwEMB9Yp6ymwlPqew/edit?gid=984458430#gid=984458430"", ""'replication success'!A:K""), 11, FAlSE)"),"#N/A")</f>
        <v>#N/A</v>
      </c>
      <c r="AZ3040" s="61" t="str">
        <f>IFERROR(__xludf.DUMMYFUNCTION("vlookup(BB3040,importrange(""https://docs.google.com/spreadsheets/d/1d2vevQ_7D_v35q4wCQ4RpQ_IPoTwEMB9Yp6ymwlPqew/edit?gid=984458430#gid=984458430"", ""'replication success'!A:M""), 12, FAlSE)"),"#N/A")</f>
        <v>#N/A</v>
      </c>
      <c r="BA3040" s="61" t="str">
        <f>IFERROR(__xludf.DUMMYFUNCTION("vlookup(BB3040,importrange(""https://docs.google.com/spreadsheets/d/1d2vevQ_7D_v35q4wCQ4RpQ_IPoTwEMB9Yp6ymwlPqew/edit?gid=984458430#gid=984458430"", ""'replication success'!A:M""), 13, FAlSE)"),"#N/A")</f>
        <v>#N/A</v>
      </c>
      <c r="BB3040" s="61" t="str">
        <f>IFERROR(__xludf.DUMMYFUNCTION("REGEXREPLACE(G3040, ""_[a-z]{1,2}$"", """")"),"CORE_54")</f>
        <v>CORE_54</v>
      </c>
      <c r="BD3040" s="62" t="s">
        <v>7302</v>
      </c>
    </row>
    <row r="3041">
      <c r="A3041" s="44">
        <v>2873.0</v>
      </c>
      <c r="B3041" s="129" t="s">
        <v>523</v>
      </c>
      <c r="C3041" s="62" t="s">
        <v>115</v>
      </c>
      <c r="D3041" s="62" t="s">
        <v>248</v>
      </c>
      <c r="F3041" s="68" t="s">
        <v>18257</v>
      </c>
      <c r="G3041" s="68" t="s">
        <v>18258</v>
      </c>
      <c r="H3041" s="68" t="s">
        <v>249</v>
      </c>
      <c r="I3041" s="529">
        <v>45810.0</v>
      </c>
      <c r="J3041" s="862"/>
      <c r="K3041" s="68"/>
      <c r="L3041" s="68"/>
      <c r="M3041" s="68" t="s">
        <v>18259</v>
      </c>
      <c r="N3041" s="68" t="s">
        <v>18260</v>
      </c>
      <c r="O3041" s="68"/>
      <c r="P3041" s="573" t="s">
        <v>18261</v>
      </c>
      <c r="Q3041" s="2375" t="str">
        <f> hyperlink(vlookup(lower(N3041),'File Links'!E:F, 2, FALSE), "LINK")</f>
        <v>LINK</v>
      </c>
      <c r="R3041" s="68" t="s">
        <v>18242</v>
      </c>
      <c r="S3041" s="68" t="s">
        <v>18243</v>
      </c>
      <c r="T3041" s="68"/>
      <c r="U3041" s="336">
        <v>2.0</v>
      </c>
      <c r="V3041" s="573" t="s">
        <v>18244</v>
      </c>
      <c r="W3041" s="1228"/>
      <c r="X3041" s="2376" t="str">
        <f> hyperlink(vlookup(lower(S3041),'File Links'!E:F, 2, FALSE), "LINK")</f>
        <v>LINK</v>
      </c>
      <c r="Y3041" s="68"/>
      <c r="Z3041" s="68" t="s">
        <v>947</v>
      </c>
      <c r="AA3041" s="68" t="s">
        <v>18262</v>
      </c>
      <c r="AB3041" s="68" t="s">
        <v>7291</v>
      </c>
      <c r="AC3041" s="68" t="s">
        <v>18263</v>
      </c>
      <c r="AD3041" s="68" t="s">
        <v>18264</v>
      </c>
      <c r="AE3041" s="68" t="s">
        <v>882</v>
      </c>
      <c r="AF3041" s="336">
        <v>60.0</v>
      </c>
      <c r="AG3041" s="68" t="s">
        <v>18265</v>
      </c>
      <c r="AH3041" s="68" t="s">
        <v>134</v>
      </c>
      <c r="AI3041" s="68" t="s">
        <v>882</v>
      </c>
      <c r="AJ3041" s="336">
        <v>0.01</v>
      </c>
      <c r="AK3041" s="68" t="s">
        <v>135</v>
      </c>
      <c r="AL3041" s="68" t="s">
        <v>186</v>
      </c>
      <c r="AM3041" s="68" t="s">
        <v>137</v>
      </c>
      <c r="AN3041" s="68" t="s">
        <v>138</v>
      </c>
      <c r="AO3041" s="336">
        <v>311.0</v>
      </c>
      <c r="AP3041" s="336">
        <v>0.001</v>
      </c>
      <c r="AQ3041" s="68" t="s">
        <v>874</v>
      </c>
      <c r="AR3041" s="68" t="s">
        <v>18266</v>
      </c>
      <c r="AS3041" s="336">
        <v>0.73</v>
      </c>
      <c r="AT3041" s="68" t="s">
        <v>172</v>
      </c>
      <c r="AU3041" s="68" t="s">
        <v>186</v>
      </c>
      <c r="AV3041" s="68" t="s">
        <v>141</v>
      </c>
      <c r="AW3041" s="435" t="s">
        <v>18249</v>
      </c>
      <c r="AX3041" s="68" t="s">
        <v>143</v>
      </c>
      <c r="AY3041" s="61" t="str">
        <f>IFERROR(__xludf.DUMMYFUNCTION("vlookup(BB3041,importrange(""https://docs.google.com/spreadsheets/d/1d2vevQ_7D_v35q4wCQ4RpQ_IPoTwEMB9Yp6ymwlPqew/edit?gid=984458430#gid=984458430"", ""'replication success'!A:K""), 11, FAlSE)"),"#N/A")</f>
        <v>#N/A</v>
      </c>
      <c r="AZ3041" s="61" t="str">
        <f>IFERROR(__xludf.DUMMYFUNCTION("vlookup(BB3041,importrange(""https://docs.google.com/spreadsheets/d/1d2vevQ_7D_v35q4wCQ4RpQ_IPoTwEMB9Yp6ymwlPqew/edit?gid=984458430#gid=984458430"", ""'replication success'!A:M""), 12, FAlSE)"),"#N/A")</f>
        <v>#N/A</v>
      </c>
      <c r="BA3041" s="61" t="str">
        <f>IFERROR(__xludf.DUMMYFUNCTION("vlookup(BB3041,importrange(""https://docs.google.com/spreadsheets/d/1d2vevQ_7D_v35q4wCQ4RpQ_IPoTwEMB9Yp6ymwlPqew/edit?gid=984458430#gid=984458430"", ""'replication success'!A:M""), 13, FAlSE)"),"#N/A")</f>
        <v>#N/A</v>
      </c>
      <c r="BB3041" s="61" t="str">
        <f>IFERROR(__xludf.DUMMYFUNCTION("REGEXREPLACE(G3041, ""_[a-z]{1,2}$"", """")"),"CORE_55")</f>
        <v>CORE_55</v>
      </c>
      <c r="BD3041" s="62" t="s">
        <v>7302</v>
      </c>
    </row>
    <row r="3042">
      <c r="A3042" s="44">
        <v>2989.0</v>
      </c>
      <c r="B3042" s="129" t="s">
        <v>152</v>
      </c>
      <c r="C3042" s="62" t="s">
        <v>115</v>
      </c>
      <c r="D3042" s="62" t="s">
        <v>15473</v>
      </c>
      <c r="F3042" s="68" t="s">
        <v>18257</v>
      </c>
      <c r="G3042" s="159" t="s">
        <v>18258</v>
      </c>
      <c r="H3042" s="159" t="s">
        <v>18250</v>
      </c>
      <c r="I3042" s="152">
        <v>45331.0</v>
      </c>
      <c r="J3042" s="2399">
        <v>45835.0</v>
      </c>
      <c r="K3042" s="68"/>
      <c r="L3042" s="129" t="s">
        <v>18267</v>
      </c>
      <c r="M3042" s="159" t="s">
        <v>18259</v>
      </c>
      <c r="N3042" s="159" t="s">
        <v>18260</v>
      </c>
      <c r="O3042" s="336">
        <v>2.0</v>
      </c>
      <c r="P3042" s="159" t="s">
        <v>18261</v>
      </c>
      <c r="Q3042" s="2174" t="str">
        <f> hyperlink(vlookup(lower(N3042),'File Links'!E:F, 2, FALSE), "LINK")</f>
        <v>LINK</v>
      </c>
      <c r="R3042" s="159" t="s">
        <v>18242</v>
      </c>
      <c r="S3042" s="159" t="s">
        <v>18243</v>
      </c>
      <c r="T3042" s="68"/>
      <c r="U3042" s="68" t="s">
        <v>3580</v>
      </c>
      <c r="V3042" s="159" t="s">
        <v>18244</v>
      </c>
      <c r="W3042" s="205" t="s">
        <v>1122</v>
      </c>
      <c r="X3042" s="2400" t="str">
        <f> hyperlink(vlookup(lower(S3042),'File Links'!E:F, 2, FALSE), "LINK")</f>
        <v>LINK</v>
      </c>
      <c r="Y3042" s="68"/>
      <c r="Z3042" s="159" t="s">
        <v>947</v>
      </c>
      <c r="AA3042" s="159" t="s">
        <v>18262</v>
      </c>
      <c r="AB3042" s="159" t="s">
        <v>7291</v>
      </c>
      <c r="AC3042" s="159" t="s">
        <v>18263</v>
      </c>
      <c r="AD3042" s="129" t="s">
        <v>18268</v>
      </c>
      <c r="AE3042" s="336">
        <v>5.0</v>
      </c>
      <c r="AF3042" s="336">
        <v>60.0</v>
      </c>
      <c r="AG3042" s="68" t="s">
        <v>18269</v>
      </c>
      <c r="AH3042" s="68" t="s">
        <v>134</v>
      </c>
      <c r="AI3042" s="68" t="s">
        <v>882</v>
      </c>
      <c r="AJ3042" s="336">
        <v>0.05</v>
      </c>
      <c r="AK3042" s="68" t="s">
        <v>135</v>
      </c>
      <c r="AL3042" s="204" t="s">
        <v>186</v>
      </c>
      <c r="AM3042" s="68" t="s">
        <v>137</v>
      </c>
      <c r="AN3042" s="129" t="s">
        <v>138</v>
      </c>
      <c r="AO3042" s="336">
        <v>311.0</v>
      </c>
      <c r="AP3042" s="68" t="s">
        <v>18270</v>
      </c>
      <c r="AQ3042" s="68" t="s">
        <v>134</v>
      </c>
      <c r="AR3042" s="68" t="s">
        <v>1042</v>
      </c>
      <c r="AS3042" s="336">
        <v>0.501</v>
      </c>
      <c r="AT3042" s="68" t="s">
        <v>172</v>
      </c>
      <c r="AU3042" s="204" t="s">
        <v>186</v>
      </c>
      <c r="AV3042" s="68" t="s">
        <v>137</v>
      </c>
      <c r="AW3042" s="435" t="s">
        <v>18253</v>
      </c>
      <c r="AX3042" s="68" t="s">
        <v>143</v>
      </c>
      <c r="AY3042" s="61" t="str">
        <f>IFERROR(__xludf.DUMMYFUNCTION("vlookup(BB3042,importrange(""https://docs.google.com/spreadsheets/d/1d2vevQ_7D_v35q4wCQ4RpQ_IPoTwEMB9Yp6ymwlPqew/edit?gid=984458430#gid=984458430"", ""'replication success'!A:K""), 11, FAlSE)"),"#N/A")</f>
        <v>#N/A</v>
      </c>
      <c r="AZ3042" s="61" t="str">
        <f>IFERROR(__xludf.DUMMYFUNCTION("vlookup(BB3042,importrange(""https://docs.google.com/spreadsheets/d/1d2vevQ_7D_v35q4wCQ4RpQ_IPoTwEMB9Yp6ymwlPqew/edit?gid=984458430#gid=984458430"", ""'replication success'!A:M""), 12, FAlSE)"),"#N/A")</f>
        <v>#N/A</v>
      </c>
      <c r="BA3042" s="61" t="str">
        <f>IFERROR(__xludf.DUMMYFUNCTION("vlookup(BB3042,importrange(""https://docs.google.com/spreadsheets/d/1d2vevQ_7D_v35q4wCQ4RpQ_IPoTwEMB9Yp6ymwlPqew/edit?gid=984458430#gid=984458430"", ""'replication success'!A:M""), 13, FAlSE)"),"#N/A")</f>
        <v>#N/A</v>
      </c>
      <c r="BB3042" s="61" t="str">
        <f>IFERROR(__xludf.DUMMYFUNCTION("REGEXREPLACE(G3042, ""_[a-z]{1,2}$"", """")"),"CORE_55")</f>
        <v>CORE_55</v>
      </c>
      <c r="BD3042" s="199" t="s">
        <v>814</v>
      </c>
    </row>
    <row r="3043">
      <c r="A3043" s="44">
        <v>2874.0</v>
      </c>
      <c r="B3043" s="129" t="s">
        <v>523</v>
      </c>
      <c r="C3043" s="62" t="s">
        <v>115</v>
      </c>
      <c r="D3043" s="62" t="s">
        <v>248</v>
      </c>
      <c r="F3043" s="68" t="s">
        <v>18257</v>
      </c>
      <c r="G3043" s="68" t="s">
        <v>18271</v>
      </c>
      <c r="H3043" s="68" t="s">
        <v>249</v>
      </c>
      <c r="I3043" s="529">
        <v>45810.0</v>
      </c>
      <c r="J3043" s="862"/>
      <c r="K3043" s="68"/>
      <c r="L3043" s="68"/>
      <c r="M3043" s="68" t="s">
        <v>18259</v>
      </c>
      <c r="N3043" s="68" t="s">
        <v>18260</v>
      </c>
      <c r="O3043" s="68"/>
      <c r="P3043" s="573" t="s">
        <v>18261</v>
      </c>
      <c r="Q3043" s="2375" t="str">
        <f> hyperlink(vlookup(lower(N3043),'File Links'!E:F, 2, FALSE), "LINK")</f>
        <v>LINK</v>
      </c>
      <c r="R3043" s="68" t="s">
        <v>18242</v>
      </c>
      <c r="S3043" s="68" t="s">
        <v>18243</v>
      </c>
      <c r="T3043" s="68"/>
      <c r="U3043" s="336">
        <v>2.0</v>
      </c>
      <c r="V3043" s="573" t="s">
        <v>18244</v>
      </c>
      <c r="W3043" s="1228"/>
      <c r="X3043" s="2376" t="str">
        <f> hyperlink(vlookup(lower(S3043),'File Links'!E:F, 2, FALSE), "LINK")</f>
        <v>LINK</v>
      </c>
      <c r="Y3043" s="68"/>
      <c r="Z3043" s="68" t="s">
        <v>947</v>
      </c>
      <c r="AA3043" s="68" t="s">
        <v>18262</v>
      </c>
      <c r="AB3043" s="68" t="s">
        <v>7291</v>
      </c>
      <c r="AC3043" s="68" t="s">
        <v>18263</v>
      </c>
      <c r="AD3043" s="68" t="s">
        <v>18272</v>
      </c>
      <c r="AE3043" s="68" t="s">
        <v>882</v>
      </c>
      <c r="AF3043" s="336">
        <v>60.0</v>
      </c>
      <c r="AG3043" s="68" t="s">
        <v>18273</v>
      </c>
      <c r="AH3043" s="68" t="s">
        <v>134</v>
      </c>
      <c r="AI3043" s="68" t="s">
        <v>882</v>
      </c>
      <c r="AJ3043" s="336">
        <v>0.05</v>
      </c>
      <c r="AK3043" s="68" t="s">
        <v>135</v>
      </c>
      <c r="AL3043" s="68" t="s">
        <v>186</v>
      </c>
      <c r="AM3043" s="68" t="s">
        <v>137</v>
      </c>
      <c r="AN3043" s="68" t="s">
        <v>138</v>
      </c>
      <c r="AO3043" s="336">
        <v>311.0</v>
      </c>
      <c r="AP3043" s="336">
        <v>0.24</v>
      </c>
      <c r="AQ3043" s="68" t="s">
        <v>874</v>
      </c>
      <c r="AR3043" s="68" t="s">
        <v>18274</v>
      </c>
      <c r="AS3043" s="336">
        <v>0.001</v>
      </c>
      <c r="AT3043" s="68" t="s">
        <v>135</v>
      </c>
      <c r="AU3043" s="68" t="s">
        <v>186</v>
      </c>
      <c r="AV3043" s="68" t="s">
        <v>141</v>
      </c>
      <c r="AW3043" s="435" t="s">
        <v>18249</v>
      </c>
      <c r="AX3043" s="68" t="s">
        <v>143</v>
      </c>
      <c r="AY3043" s="61" t="str">
        <f>IFERROR(__xludf.DUMMYFUNCTION("vlookup(BB3043,importrange(""https://docs.google.com/spreadsheets/d/1d2vevQ_7D_v35q4wCQ4RpQ_IPoTwEMB9Yp6ymwlPqew/edit?gid=984458430#gid=984458430"", ""'replication success'!A:K""), 11, FAlSE)"),"#N/A")</f>
        <v>#N/A</v>
      </c>
      <c r="AZ3043" s="61" t="str">
        <f>IFERROR(__xludf.DUMMYFUNCTION("vlookup(BB3043,importrange(""https://docs.google.com/spreadsheets/d/1d2vevQ_7D_v35q4wCQ4RpQ_IPoTwEMB9Yp6ymwlPqew/edit?gid=984458430#gid=984458430"", ""'replication success'!A:M""), 12, FAlSE)"),"#N/A")</f>
        <v>#N/A</v>
      </c>
      <c r="BA3043" s="61" t="str">
        <f>IFERROR(__xludf.DUMMYFUNCTION("vlookup(BB3043,importrange(""https://docs.google.com/spreadsheets/d/1d2vevQ_7D_v35q4wCQ4RpQ_IPoTwEMB9Yp6ymwlPqew/edit?gid=984458430#gid=984458430"", ""'replication success'!A:M""), 13, FAlSE)"),"#N/A")</f>
        <v>#N/A</v>
      </c>
      <c r="BB3043" s="61" t="str">
        <f>IFERROR(__xludf.DUMMYFUNCTION("REGEXREPLACE(G3043, ""_[a-z]{1,2}$"", """")"),"CORE_55")</f>
        <v>CORE_55</v>
      </c>
      <c r="BD3043" s="62" t="s">
        <v>7302</v>
      </c>
    </row>
    <row r="3044">
      <c r="A3044" s="44">
        <v>2875.0</v>
      </c>
      <c r="B3044" s="129" t="s">
        <v>523</v>
      </c>
      <c r="C3044" s="62" t="s">
        <v>115</v>
      </c>
      <c r="D3044" s="62" t="s">
        <v>248</v>
      </c>
      <c r="F3044" s="68" t="s">
        <v>18257</v>
      </c>
      <c r="G3044" s="68" t="s">
        <v>18275</v>
      </c>
      <c r="H3044" s="68" t="s">
        <v>249</v>
      </c>
      <c r="I3044" s="529">
        <v>45810.0</v>
      </c>
      <c r="J3044" s="862"/>
      <c r="K3044" s="68"/>
      <c r="L3044" s="68"/>
      <c r="M3044" s="68" t="s">
        <v>18259</v>
      </c>
      <c r="N3044" s="68" t="s">
        <v>18260</v>
      </c>
      <c r="O3044" s="68"/>
      <c r="P3044" s="573" t="s">
        <v>18261</v>
      </c>
      <c r="Q3044" s="2375" t="str">
        <f> hyperlink(vlookup(lower(N3044),'File Links'!E:F, 2, FALSE), "LINK")</f>
        <v>LINK</v>
      </c>
      <c r="R3044" s="68" t="s">
        <v>18242</v>
      </c>
      <c r="S3044" s="68" t="s">
        <v>18243</v>
      </c>
      <c r="T3044" s="68"/>
      <c r="U3044" s="336">
        <v>2.0</v>
      </c>
      <c r="V3044" s="573" t="s">
        <v>18244</v>
      </c>
      <c r="W3044" s="1228"/>
      <c r="X3044" s="2376" t="str">
        <f> hyperlink(vlookup(lower(S3044),'File Links'!E:F, 2, FALSE), "LINK")</f>
        <v>LINK</v>
      </c>
      <c r="Y3044" s="68"/>
      <c r="Z3044" s="68" t="s">
        <v>947</v>
      </c>
      <c r="AA3044" s="68" t="s">
        <v>18262</v>
      </c>
      <c r="AB3044" s="68" t="s">
        <v>7291</v>
      </c>
      <c r="AC3044" s="68" t="s">
        <v>18263</v>
      </c>
      <c r="AD3044" s="68" t="s">
        <v>18276</v>
      </c>
      <c r="AE3044" s="68" t="s">
        <v>882</v>
      </c>
      <c r="AF3044" s="336">
        <v>60.0</v>
      </c>
      <c r="AG3044" s="68" t="s">
        <v>18277</v>
      </c>
      <c r="AH3044" s="68" t="s">
        <v>134</v>
      </c>
      <c r="AI3044" s="68" t="s">
        <v>882</v>
      </c>
      <c r="AJ3044" s="336">
        <v>0.05</v>
      </c>
      <c r="AK3044" s="68" t="s">
        <v>135</v>
      </c>
      <c r="AL3044" s="68" t="s">
        <v>186</v>
      </c>
      <c r="AM3044" s="68" t="s">
        <v>137</v>
      </c>
      <c r="AN3044" s="68" t="s">
        <v>138</v>
      </c>
      <c r="AO3044" s="336">
        <v>311.0</v>
      </c>
      <c r="AP3044" s="336">
        <v>0.002</v>
      </c>
      <c r="AQ3044" s="68" t="s">
        <v>874</v>
      </c>
      <c r="AR3044" s="68" t="s">
        <v>18278</v>
      </c>
      <c r="AS3044" s="336">
        <v>0.46</v>
      </c>
      <c r="AT3044" s="68" t="s">
        <v>172</v>
      </c>
      <c r="AU3044" s="68" t="s">
        <v>186</v>
      </c>
      <c r="AV3044" s="68" t="s">
        <v>141</v>
      </c>
      <c r="AW3044" s="435" t="s">
        <v>18249</v>
      </c>
      <c r="AX3044" s="68" t="s">
        <v>143</v>
      </c>
      <c r="AY3044" s="61" t="str">
        <f>IFERROR(__xludf.DUMMYFUNCTION("vlookup(BB3044,importrange(""https://docs.google.com/spreadsheets/d/1d2vevQ_7D_v35q4wCQ4RpQ_IPoTwEMB9Yp6ymwlPqew/edit?gid=984458430#gid=984458430"", ""'replication success'!A:K""), 11, FAlSE)"),"#N/A")</f>
        <v>#N/A</v>
      </c>
      <c r="AZ3044" s="61" t="str">
        <f>IFERROR(__xludf.DUMMYFUNCTION("vlookup(BB3044,importrange(""https://docs.google.com/spreadsheets/d/1d2vevQ_7D_v35q4wCQ4RpQ_IPoTwEMB9Yp6ymwlPqew/edit?gid=984458430#gid=984458430"", ""'replication success'!A:M""), 12, FAlSE)"),"#N/A")</f>
        <v>#N/A</v>
      </c>
      <c r="BA3044" s="61" t="str">
        <f>IFERROR(__xludf.DUMMYFUNCTION("vlookup(BB3044,importrange(""https://docs.google.com/spreadsheets/d/1d2vevQ_7D_v35q4wCQ4RpQ_IPoTwEMB9Yp6ymwlPqew/edit?gid=984458430#gid=984458430"", ""'replication success'!A:M""), 13, FAlSE)"),"#N/A")</f>
        <v>#N/A</v>
      </c>
      <c r="BB3044" s="61" t="str">
        <f>IFERROR(__xludf.DUMMYFUNCTION("REGEXREPLACE(G3044, ""_[a-z]{1,2}$"", """")"),"CORE_55")</f>
        <v>CORE_55</v>
      </c>
      <c r="BD3044" s="62" t="s">
        <v>7302</v>
      </c>
    </row>
    <row r="3045">
      <c r="A3045" s="44">
        <v>2876.0</v>
      </c>
      <c r="B3045" s="129" t="s">
        <v>523</v>
      </c>
      <c r="C3045" s="62" t="s">
        <v>115</v>
      </c>
      <c r="D3045" s="62" t="s">
        <v>248</v>
      </c>
      <c r="F3045" s="68" t="s">
        <v>18257</v>
      </c>
      <c r="G3045" s="68" t="s">
        <v>18279</v>
      </c>
      <c r="H3045" s="68" t="s">
        <v>249</v>
      </c>
      <c r="I3045" s="529">
        <v>45810.0</v>
      </c>
      <c r="J3045" s="862"/>
      <c r="K3045" s="68"/>
      <c r="L3045" s="68"/>
      <c r="M3045" s="68" t="s">
        <v>18259</v>
      </c>
      <c r="N3045" s="68" t="s">
        <v>18260</v>
      </c>
      <c r="O3045" s="68"/>
      <c r="P3045" s="573" t="s">
        <v>18261</v>
      </c>
      <c r="Q3045" s="2375" t="str">
        <f> hyperlink(vlookup(lower(N3045),'File Links'!E:F, 2, FALSE), "LINK")</f>
        <v>LINK</v>
      </c>
      <c r="R3045" s="68" t="s">
        <v>18242</v>
      </c>
      <c r="S3045" s="68" t="s">
        <v>18243</v>
      </c>
      <c r="T3045" s="68"/>
      <c r="U3045" s="336">
        <v>2.0</v>
      </c>
      <c r="V3045" s="573" t="s">
        <v>18244</v>
      </c>
      <c r="W3045" s="1228"/>
      <c r="X3045" s="2376" t="str">
        <f> hyperlink(vlookup(lower(S3045),'File Links'!E:F, 2, FALSE), "LINK")</f>
        <v>LINK</v>
      </c>
      <c r="Y3045" s="68"/>
      <c r="Z3045" s="68" t="s">
        <v>947</v>
      </c>
      <c r="AA3045" s="68" t="s">
        <v>18262</v>
      </c>
      <c r="AB3045" s="68" t="s">
        <v>7291</v>
      </c>
      <c r="AC3045" s="68" t="s">
        <v>18263</v>
      </c>
      <c r="AD3045" s="68" t="s">
        <v>18280</v>
      </c>
      <c r="AE3045" s="68" t="s">
        <v>882</v>
      </c>
      <c r="AF3045" s="336">
        <v>60.0</v>
      </c>
      <c r="AG3045" s="68" t="s">
        <v>18281</v>
      </c>
      <c r="AH3045" s="68" t="s">
        <v>134</v>
      </c>
      <c r="AI3045" s="68" t="s">
        <v>18282</v>
      </c>
      <c r="AJ3045" s="336">
        <v>0.09</v>
      </c>
      <c r="AK3045" s="68" t="s">
        <v>135</v>
      </c>
      <c r="AL3045" s="68" t="s">
        <v>186</v>
      </c>
      <c r="AM3045" s="68" t="s">
        <v>141</v>
      </c>
      <c r="AN3045" s="68" t="s">
        <v>138</v>
      </c>
      <c r="AO3045" s="336">
        <v>311.0</v>
      </c>
      <c r="AP3045" s="336">
        <v>0.22</v>
      </c>
      <c r="AQ3045" s="68" t="s">
        <v>173</v>
      </c>
      <c r="AR3045" s="68" t="s">
        <v>18283</v>
      </c>
      <c r="AS3045" s="336">
        <v>0.48</v>
      </c>
      <c r="AT3045" s="68" t="s">
        <v>172</v>
      </c>
      <c r="AU3045" s="68" t="s">
        <v>186</v>
      </c>
      <c r="AV3045" s="68" t="s">
        <v>141</v>
      </c>
      <c r="AW3045" s="435" t="s">
        <v>18249</v>
      </c>
      <c r="AX3045" s="68" t="s">
        <v>143</v>
      </c>
      <c r="AY3045" s="61" t="str">
        <f>IFERROR(__xludf.DUMMYFUNCTION("vlookup(BB3045,importrange(""https://docs.google.com/spreadsheets/d/1d2vevQ_7D_v35q4wCQ4RpQ_IPoTwEMB9Yp6ymwlPqew/edit?gid=984458430#gid=984458430"", ""'replication success'!A:K""), 11, FAlSE)"),"#N/A")</f>
        <v>#N/A</v>
      </c>
      <c r="AZ3045" s="61" t="str">
        <f>IFERROR(__xludf.DUMMYFUNCTION("vlookup(BB3045,importrange(""https://docs.google.com/spreadsheets/d/1d2vevQ_7D_v35q4wCQ4RpQ_IPoTwEMB9Yp6ymwlPqew/edit?gid=984458430#gid=984458430"", ""'replication success'!A:M""), 12, FAlSE)"),"#N/A")</f>
        <v>#N/A</v>
      </c>
      <c r="BA3045" s="61" t="str">
        <f>IFERROR(__xludf.DUMMYFUNCTION("vlookup(BB3045,importrange(""https://docs.google.com/spreadsheets/d/1d2vevQ_7D_v35q4wCQ4RpQ_IPoTwEMB9Yp6ymwlPqew/edit?gid=984458430#gid=984458430"", ""'replication success'!A:M""), 13, FAlSE)"),"#N/A")</f>
        <v>#N/A</v>
      </c>
      <c r="BB3045" s="61" t="str">
        <f>IFERROR(__xludf.DUMMYFUNCTION("REGEXREPLACE(G3045, ""_[a-z]{1,2}$"", """")"),"CORE_55")</f>
        <v>CORE_55</v>
      </c>
      <c r="BD3045" s="62" t="s">
        <v>7302</v>
      </c>
    </row>
    <row r="3046">
      <c r="A3046" s="2119">
        <v>2877.0</v>
      </c>
      <c r="B3046" s="1800" t="s">
        <v>114</v>
      </c>
      <c r="C3046" s="1631" t="s">
        <v>115</v>
      </c>
      <c r="D3046" s="1631" t="s">
        <v>248</v>
      </c>
      <c r="E3046" s="1123"/>
      <c r="F3046" s="1632" t="s">
        <v>18257</v>
      </c>
      <c r="G3046" s="1632" t="s">
        <v>18284</v>
      </c>
      <c r="H3046" s="1632" t="s">
        <v>249</v>
      </c>
      <c r="I3046" s="2377">
        <v>45810.0</v>
      </c>
      <c r="J3046" s="2454"/>
      <c r="K3046" s="1632"/>
      <c r="L3046" s="1800" t="s">
        <v>18285</v>
      </c>
      <c r="M3046" s="1632" t="s">
        <v>18259</v>
      </c>
      <c r="N3046" s="1632" t="s">
        <v>18260</v>
      </c>
      <c r="O3046" s="1800">
        <v>2.0</v>
      </c>
      <c r="P3046" s="1632" t="s">
        <v>18261</v>
      </c>
      <c r="Q3046" s="2378" t="str">
        <f> hyperlink(vlookup(lower(N3046),'File Links'!E:F, 2, FALSE), "LINK")</f>
        <v>LINK</v>
      </c>
      <c r="R3046" s="1632" t="s">
        <v>18242</v>
      </c>
      <c r="S3046" s="1632" t="s">
        <v>18243</v>
      </c>
      <c r="T3046" s="1632"/>
      <c r="U3046" s="1825">
        <v>2.0</v>
      </c>
      <c r="V3046" s="1632" t="s">
        <v>18244</v>
      </c>
      <c r="W3046" s="1800" t="s">
        <v>1122</v>
      </c>
      <c r="X3046" s="2379" t="str">
        <f> hyperlink(vlookup(lower(S3046),'File Links'!E:F, 2, FALSE), "LINK")</f>
        <v>LINK</v>
      </c>
      <c r="Y3046" s="1632"/>
      <c r="Z3046" s="1632" t="s">
        <v>947</v>
      </c>
      <c r="AA3046" s="1632" t="s">
        <v>18262</v>
      </c>
      <c r="AB3046" s="1632" t="s">
        <v>7291</v>
      </c>
      <c r="AC3046" s="1632" t="s">
        <v>18263</v>
      </c>
      <c r="AD3046" s="1800" t="s">
        <v>18268</v>
      </c>
      <c r="AE3046" s="1825">
        <v>5.0</v>
      </c>
      <c r="AF3046" s="1825">
        <v>60.0</v>
      </c>
      <c r="AG3046" s="1632" t="s">
        <v>18269</v>
      </c>
      <c r="AH3046" s="1632" t="s">
        <v>134</v>
      </c>
      <c r="AI3046" s="1632" t="s">
        <v>882</v>
      </c>
      <c r="AJ3046" s="1825">
        <v>0.05</v>
      </c>
      <c r="AK3046" s="1632" t="s">
        <v>135</v>
      </c>
      <c r="AL3046" s="1632" t="s">
        <v>186</v>
      </c>
      <c r="AM3046" s="68" t="s">
        <v>137</v>
      </c>
      <c r="AN3046" s="1632" t="s">
        <v>138</v>
      </c>
      <c r="AO3046" s="1825">
        <v>311.0</v>
      </c>
      <c r="AP3046" s="1825">
        <v>0.001</v>
      </c>
      <c r="AQ3046" s="1632" t="s">
        <v>874</v>
      </c>
      <c r="AR3046" s="1800" t="s">
        <v>18286</v>
      </c>
      <c r="AS3046" s="1825">
        <v>0.501</v>
      </c>
      <c r="AT3046" s="1632" t="s">
        <v>172</v>
      </c>
      <c r="AU3046" s="1632" t="s">
        <v>186</v>
      </c>
      <c r="AV3046" s="68" t="s">
        <v>137</v>
      </c>
      <c r="AW3046" s="2123" t="s">
        <v>18249</v>
      </c>
      <c r="AX3046" s="1632" t="s">
        <v>143</v>
      </c>
      <c r="AY3046" s="61" t="str">
        <f>IFERROR(__xludf.DUMMYFUNCTION("vlookup(BB3046,importrange(""https://docs.google.com/spreadsheets/d/1d2vevQ_7D_v35q4wCQ4RpQ_IPoTwEMB9Yp6ymwlPqew/edit?gid=984458430#gid=984458430"", ""'replication success'!A:K""), 11, FAlSE)"),"#N/A")</f>
        <v>#N/A</v>
      </c>
      <c r="AZ3046" s="61" t="str">
        <f>IFERROR(__xludf.DUMMYFUNCTION("vlookup(BB3046,importrange(""https://docs.google.com/spreadsheets/d/1d2vevQ_7D_v35q4wCQ4RpQ_IPoTwEMB9Yp6ymwlPqew/edit?gid=984458430#gid=984458430"", ""'replication success'!A:M""), 12, FAlSE)"),"#N/A")</f>
        <v>#N/A</v>
      </c>
      <c r="BA3046" s="61" t="str">
        <f>IFERROR(__xludf.DUMMYFUNCTION("vlookup(BB3046,importrange(""https://docs.google.com/spreadsheets/d/1d2vevQ_7D_v35q4wCQ4RpQ_IPoTwEMB9Yp6ymwlPqew/edit?gid=984458430#gid=984458430"", ""'replication success'!A:M""), 13, FAlSE)"),"#N/A")</f>
        <v>#N/A</v>
      </c>
      <c r="BB3046" s="61" t="str">
        <f>IFERROR(__xludf.DUMMYFUNCTION("REGEXREPLACE(G3046, ""_[a-z]{1,2}$"", """")"),"CORE_55")</f>
        <v>CORE_55</v>
      </c>
      <c r="BC3046" s="1123"/>
      <c r="BD3046" s="1631" t="s">
        <v>1270</v>
      </c>
      <c r="BE3046" s="1123"/>
    </row>
    <row r="3047">
      <c r="A3047" s="44">
        <v>2878.0</v>
      </c>
      <c r="B3047" s="129" t="s">
        <v>523</v>
      </c>
      <c r="C3047" s="62" t="s">
        <v>115</v>
      </c>
      <c r="D3047" s="62" t="s">
        <v>248</v>
      </c>
      <c r="F3047" s="68" t="s">
        <v>18287</v>
      </c>
      <c r="G3047" s="68" t="s">
        <v>18288</v>
      </c>
      <c r="H3047" s="68" t="s">
        <v>249</v>
      </c>
      <c r="I3047" s="529">
        <v>45811.0</v>
      </c>
      <c r="J3047" s="862"/>
      <c r="K3047" s="68"/>
      <c r="L3047" s="68"/>
      <c r="M3047" s="68" t="s">
        <v>18289</v>
      </c>
      <c r="N3047" s="68" t="s">
        <v>18290</v>
      </c>
      <c r="O3047" s="68"/>
      <c r="P3047" s="573" t="s">
        <v>18291</v>
      </c>
      <c r="Q3047" s="2375" t="str">
        <f> hyperlink(vlookup(lower(N3047),'File Links'!E:F, 2, FALSE), "LINK")</f>
        <v>LINK</v>
      </c>
      <c r="R3047" s="68" t="s">
        <v>18242</v>
      </c>
      <c r="S3047" s="68" t="s">
        <v>18243</v>
      </c>
      <c r="T3047" s="68"/>
      <c r="U3047" s="336">
        <v>1.0</v>
      </c>
      <c r="V3047" s="573" t="s">
        <v>18244</v>
      </c>
      <c r="W3047" s="1800"/>
      <c r="X3047" s="2376" t="str">
        <f> hyperlink(vlookup(lower(S3047),'File Links'!E:F, 2, FALSE), "LINK")</f>
        <v>LINK</v>
      </c>
      <c r="Y3047" s="68"/>
      <c r="Z3047" s="68" t="s">
        <v>947</v>
      </c>
      <c r="AA3047" s="68" t="s">
        <v>18262</v>
      </c>
      <c r="AB3047" s="68" t="s">
        <v>7291</v>
      </c>
      <c r="AC3047" s="68" t="s">
        <v>18263</v>
      </c>
      <c r="AD3047" s="68" t="s">
        <v>18292</v>
      </c>
      <c r="AE3047" s="68" t="s">
        <v>496</v>
      </c>
      <c r="AF3047" s="336">
        <v>80.0</v>
      </c>
      <c r="AG3047" s="68" t="s">
        <v>18293</v>
      </c>
      <c r="AH3047" s="68" t="s">
        <v>134</v>
      </c>
      <c r="AI3047" s="68" t="s">
        <v>18294</v>
      </c>
      <c r="AJ3047" s="336">
        <v>0.02</v>
      </c>
      <c r="AK3047" s="68" t="s">
        <v>135</v>
      </c>
      <c r="AL3047" s="68" t="s">
        <v>218</v>
      </c>
      <c r="AM3047" s="68" t="s">
        <v>137</v>
      </c>
      <c r="AN3047" s="68" t="s">
        <v>138</v>
      </c>
      <c r="AO3047" s="336">
        <v>311.0</v>
      </c>
      <c r="AP3047" s="336">
        <v>0.65</v>
      </c>
      <c r="AQ3047" s="68" t="s">
        <v>173</v>
      </c>
      <c r="AR3047" s="68" t="s">
        <v>18295</v>
      </c>
      <c r="AS3047" s="336">
        <v>0.001</v>
      </c>
      <c r="AT3047" s="68" t="s">
        <v>135</v>
      </c>
      <c r="AU3047" s="68" t="s">
        <v>186</v>
      </c>
      <c r="AV3047" s="68" t="s">
        <v>137</v>
      </c>
      <c r="AW3047" s="435" t="s">
        <v>18249</v>
      </c>
      <c r="AX3047" s="68" t="s">
        <v>143</v>
      </c>
      <c r="AY3047" s="61" t="str">
        <f>IFERROR(__xludf.DUMMYFUNCTION("vlookup(BB3047,importrange(""https://docs.google.com/spreadsheets/d/1d2vevQ_7D_v35q4wCQ4RpQ_IPoTwEMB9Yp6ymwlPqew/edit?gid=984458430#gid=984458430"", ""'replication success'!A:K""), 11, FAlSE)"),"#N/A")</f>
        <v>#N/A</v>
      </c>
      <c r="AZ3047" s="61" t="str">
        <f>IFERROR(__xludf.DUMMYFUNCTION("vlookup(BB3047,importrange(""https://docs.google.com/spreadsheets/d/1d2vevQ_7D_v35q4wCQ4RpQ_IPoTwEMB9Yp6ymwlPqew/edit?gid=984458430#gid=984458430"", ""'replication success'!A:M""), 12, FAlSE)"),"#N/A")</f>
        <v>#N/A</v>
      </c>
      <c r="BA3047" s="61" t="str">
        <f>IFERROR(__xludf.DUMMYFUNCTION("vlookup(BB3047,importrange(""https://docs.google.com/spreadsheets/d/1d2vevQ_7D_v35q4wCQ4RpQ_IPoTwEMB9Yp6ymwlPqew/edit?gid=984458430#gid=984458430"", ""'replication success'!A:M""), 13, FAlSE)"),"#N/A")</f>
        <v>#N/A</v>
      </c>
      <c r="BB3047" s="61" t="str">
        <f>IFERROR(__xludf.DUMMYFUNCTION("REGEXREPLACE(G3047, ""_[a-z]{1,2}$"", """")"),"CORE_59")</f>
        <v>CORE_59</v>
      </c>
      <c r="BD3047" s="62" t="s">
        <v>7302</v>
      </c>
    </row>
    <row r="3048">
      <c r="A3048" s="2119">
        <v>2990.0</v>
      </c>
      <c r="B3048" s="1800" t="s">
        <v>152</v>
      </c>
      <c r="C3048" s="1631" t="s">
        <v>115</v>
      </c>
      <c r="D3048" s="1631" t="s">
        <v>15473</v>
      </c>
      <c r="E3048" s="1123"/>
      <c r="F3048" s="1632" t="s">
        <v>18287</v>
      </c>
      <c r="G3048" s="1634" t="s">
        <v>18288</v>
      </c>
      <c r="H3048" s="1634" t="s">
        <v>18250</v>
      </c>
      <c r="I3048" s="2120">
        <v>45331.0</v>
      </c>
      <c r="J3048" s="2127">
        <v>45835.0</v>
      </c>
      <c r="K3048" s="1632"/>
      <c r="L3048" s="1800" t="s">
        <v>18296</v>
      </c>
      <c r="M3048" s="1634" t="s">
        <v>18289</v>
      </c>
      <c r="N3048" s="1634" t="s">
        <v>18290</v>
      </c>
      <c r="O3048" s="1825">
        <v>1.0</v>
      </c>
      <c r="P3048" s="1634" t="s">
        <v>18291</v>
      </c>
      <c r="Q3048" s="2373" t="str">
        <f> hyperlink(vlookup(lower(N3048),'File Links'!E:F, 2, FALSE), "LINK")</f>
        <v>LINK</v>
      </c>
      <c r="R3048" s="1634" t="s">
        <v>18242</v>
      </c>
      <c r="S3048" s="1634" t="s">
        <v>18243</v>
      </c>
      <c r="T3048" s="1632"/>
      <c r="U3048" s="1632" t="s">
        <v>5562</v>
      </c>
      <c r="V3048" s="1634" t="s">
        <v>18244</v>
      </c>
      <c r="W3048" s="1800" t="s">
        <v>1122</v>
      </c>
      <c r="X3048" s="2374" t="str">
        <f> hyperlink(vlookup(lower(S3048),'File Links'!E:F, 2, FALSE), "LINK")</f>
        <v>LINK</v>
      </c>
      <c r="Y3048" s="1632"/>
      <c r="Z3048" s="1634" t="s">
        <v>947</v>
      </c>
      <c r="AA3048" s="1634" t="s">
        <v>18262</v>
      </c>
      <c r="AB3048" s="1634" t="s">
        <v>7291</v>
      </c>
      <c r="AC3048" s="1634" t="s">
        <v>18263</v>
      </c>
      <c r="AD3048" s="1800" t="s">
        <v>18297</v>
      </c>
      <c r="AE3048" s="1825">
        <v>4.0</v>
      </c>
      <c r="AF3048" s="1825">
        <v>80.0</v>
      </c>
      <c r="AG3048" s="1632" t="s">
        <v>18298</v>
      </c>
      <c r="AH3048" s="1632" t="s">
        <v>134</v>
      </c>
      <c r="AI3048" s="1632" t="s">
        <v>496</v>
      </c>
      <c r="AJ3048" s="1825">
        <v>0.05</v>
      </c>
      <c r="AK3048" s="1632" t="s">
        <v>135</v>
      </c>
      <c r="AL3048" s="1632" t="s">
        <v>218</v>
      </c>
      <c r="AM3048" s="1632" t="s">
        <v>137</v>
      </c>
      <c r="AN3048" s="1800" t="s">
        <v>138</v>
      </c>
      <c r="AO3048" s="1825">
        <v>311.0</v>
      </c>
      <c r="AP3048" s="1825">
        <v>0.019</v>
      </c>
      <c r="AQ3048" s="1632" t="s">
        <v>874</v>
      </c>
      <c r="AR3048" s="1632" t="s">
        <v>604</v>
      </c>
      <c r="AS3048" s="1825">
        <v>0.016</v>
      </c>
      <c r="AT3048" s="1632" t="s">
        <v>172</v>
      </c>
      <c r="AU3048" s="1632" t="s">
        <v>186</v>
      </c>
      <c r="AV3048" s="1632" t="s">
        <v>137</v>
      </c>
      <c r="AW3048" s="2123" t="s">
        <v>18253</v>
      </c>
      <c r="AX3048" s="1632" t="s">
        <v>143</v>
      </c>
      <c r="AY3048" s="61" t="str">
        <f>IFERROR(__xludf.DUMMYFUNCTION("vlookup(BB3048,importrange(""https://docs.google.com/spreadsheets/d/1d2vevQ_7D_v35q4wCQ4RpQ_IPoTwEMB9Yp6ymwlPqew/edit?gid=984458430#gid=984458430"", ""'replication success'!A:K""), 11, FAlSE)"),"#N/A")</f>
        <v>#N/A</v>
      </c>
      <c r="AZ3048" s="61" t="str">
        <f>IFERROR(__xludf.DUMMYFUNCTION("vlookup(BB3048,importrange(""https://docs.google.com/spreadsheets/d/1d2vevQ_7D_v35q4wCQ4RpQ_IPoTwEMB9Yp6ymwlPqew/edit?gid=984458430#gid=984458430"", ""'replication success'!A:M""), 12, FAlSE)"),"#N/A")</f>
        <v>#N/A</v>
      </c>
      <c r="BA3048" s="61" t="str">
        <f>IFERROR(__xludf.DUMMYFUNCTION("vlookup(BB3048,importrange(""https://docs.google.com/spreadsheets/d/1d2vevQ_7D_v35q4wCQ4RpQ_IPoTwEMB9Yp6ymwlPqew/edit?gid=984458430#gid=984458430"", ""'replication success'!A:M""), 13, FAlSE)"),"#N/A")</f>
        <v>#N/A</v>
      </c>
      <c r="BB3048" s="61" t="str">
        <f>IFERROR(__xludf.DUMMYFUNCTION("REGEXREPLACE(G3048, ""_[a-z]{1,2}$"", """")"),"CORE_59")</f>
        <v>CORE_59</v>
      </c>
      <c r="BC3048" s="1123"/>
      <c r="BD3048" s="1631" t="s">
        <v>814</v>
      </c>
      <c r="BE3048" s="1123"/>
    </row>
    <row r="3049">
      <c r="A3049" s="2119">
        <v>2879.0</v>
      </c>
      <c r="B3049" s="1800" t="s">
        <v>114</v>
      </c>
      <c r="C3049" s="1631" t="s">
        <v>115</v>
      </c>
      <c r="D3049" s="1631" t="s">
        <v>248</v>
      </c>
      <c r="E3049" s="1123"/>
      <c r="F3049" s="1632" t="s">
        <v>18287</v>
      </c>
      <c r="G3049" s="1632" t="s">
        <v>18299</v>
      </c>
      <c r="H3049" s="1632" t="s">
        <v>249</v>
      </c>
      <c r="I3049" s="2377">
        <v>45811.0</v>
      </c>
      <c r="J3049" s="2454"/>
      <c r="K3049" s="1632"/>
      <c r="L3049" s="1800" t="s">
        <v>18300</v>
      </c>
      <c r="M3049" s="1632" t="s">
        <v>18289</v>
      </c>
      <c r="N3049" s="1632" t="s">
        <v>18290</v>
      </c>
      <c r="O3049" s="1632"/>
      <c r="P3049" s="1632" t="s">
        <v>18291</v>
      </c>
      <c r="Q3049" s="2378" t="str">
        <f> hyperlink(vlookup(lower(N3049),'File Links'!E:F, 2, FALSE), "LINK")</f>
        <v>LINK</v>
      </c>
      <c r="R3049" s="1632" t="s">
        <v>18242</v>
      </c>
      <c r="S3049" s="1632" t="s">
        <v>18243</v>
      </c>
      <c r="T3049" s="1632"/>
      <c r="U3049" s="1803">
        <v>3.0</v>
      </c>
      <c r="V3049" s="1632" t="s">
        <v>18244</v>
      </c>
      <c r="W3049" s="1800" t="s">
        <v>1122</v>
      </c>
      <c r="X3049" s="2379" t="str">
        <f> hyperlink(vlookup(lower(S3049),'File Links'!E:F, 2, FALSE), "LINK")</f>
        <v>LINK</v>
      </c>
      <c r="Y3049" s="1632"/>
      <c r="Z3049" s="1632" t="s">
        <v>947</v>
      </c>
      <c r="AA3049" s="1632" t="s">
        <v>18262</v>
      </c>
      <c r="AB3049" s="1632" t="s">
        <v>7291</v>
      </c>
      <c r="AC3049" s="1632" t="s">
        <v>18263</v>
      </c>
      <c r="AD3049" s="1632" t="s">
        <v>18301</v>
      </c>
      <c r="AE3049" s="1632" t="s">
        <v>496</v>
      </c>
      <c r="AF3049" s="1825">
        <v>80.0</v>
      </c>
      <c r="AG3049" s="1632" t="s">
        <v>18302</v>
      </c>
      <c r="AH3049" s="1632" t="s">
        <v>134</v>
      </c>
      <c r="AI3049" s="1632" t="s">
        <v>18303</v>
      </c>
      <c r="AJ3049" s="1825">
        <v>0.05</v>
      </c>
      <c r="AK3049" s="1632" t="s">
        <v>135</v>
      </c>
      <c r="AL3049" s="1632" t="s">
        <v>218</v>
      </c>
      <c r="AM3049" s="1632" t="s">
        <v>137</v>
      </c>
      <c r="AN3049" s="1632" t="s">
        <v>138</v>
      </c>
      <c r="AO3049" s="1825">
        <v>311.0</v>
      </c>
      <c r="AP3049" s="1825">
        <v>0.019</v>
      </c>
      <c r="AQ3049" s="1632" t="s">
        <v>874</v>
      </c>
      <c r="AR3049" s="1632" t="s">
        <v>18304</v>
      </c>
      <c r="AS3049" s="1825">
        <v>0.016</v>
      </c>
      <c r="AT3049" s="1632" t="s">
        <v>172</v>
      </c>
      <c r="AU3049" s="1632" t="s">
        <v>186</v>
      </c>
      <c r="AV3049" s="1632" t="s">
        <v>137</v>
      </c>
      <c r="AW3049" s="2123" t="s">
        <v>18249</v>
      </c>
      <c r="AX3049" s="1632" t="s">
        <v>143</v>
      </c>
      <c r="AY3049" s="61" t="str">
        <f>IFERROR(__xludf.DUMMYFUNCTION("vlookup(BB3049,importrange(""https://docs.google.com/spreadsheets/d/1d2vevQ_7D_v35q4wCQ4RpQ_IPoTwEMB9Yp6ymwlPqew/edit?gid=984458430#gid=984458430"", ""'replication success'!A:K""), 11, FAlSE)"),"#N/A")</f>
        <v>#N/A</v>
      </c>
      <c r="AZ3049" s="61" t="str">
        <f>IFERROR(__xludf.DUMMYFUNCTION("vlookup(BB3049,importrange(""https://docs.google.com/spreadsheets/d/1d2vevQ_7D_v35q4wCQ4RpQ_IPoTwEMB9Yp6ymwlPqew/edit?gid=984458430#gid=984458430"", ""'replication success'!A:M""), 12, FAlSE)"),"#N/A")</f>
        <v>#N/A</v>
      </c>
      <c r="BA3049" s="61" t="str">
        <f>IFERROR(__xludf.DUMMYFUNCTION("vlookup(BB3049,importrange(""https://docs.google.com/spreadsheets/d/1d2vevQ_7D_v35q4wCQ4RpQ_IPoTwEMB9Yp6ymwlPqew/edit?gid=984458430#gid=984458430"", ""'replication success'!A:M""), 13, FAlSE)"),"#N/A")</f>
        <v>#N/A</v>
      </c>
      <c r="BB3049" s="61" t="str">
        <f>IFERROR(__xludf.DUMMYFUNCTION("REGEXREPLACE(G3049, ""_[a-z]{1,2}$"", """")"),"CORE_59")</f>
        <v>CORE_59</v>
      </c>
      <c r="BC3049" s="1123"/>
      <c r="BD3049" s="1631" t="s">
        <v>1270</v>
      </c>
      <c r="BE3049" s="1123"/>
    </row>
    <row r="3050">
      <c r="A3050" s="44">
        <v>2880.0</v>
      </c>
      <c r="B3050" s="129" t="s">
        <v>523</v>
      </c>
      <c r="C3050" s="62" t="s">
        <v>115</v>
      </c>
      <c r="D3050" s="62" t="s">
        <v>248</v>
      </c>
      <c r="F3050" s="68" t="s">
        <v>18287</v>
      </c>
      <c r="G3050" s="68" t="s">
        <v>18305</v>
      </c>
      <c r="H3050" s="68" t="s">
        <v>249</v>
      </c>
      <c r="I3050" s="529">
        <v>45811.0</v>
      </c>
      <c r="J3050" s="862"/>
      <c r="K3050" s="68"/>
      <c r="L3050" s="68"/>
      <c r="M3050" s="68" t="s">
        <v>18289</v>
      </c>
      <c r="N3050" s="68" t="s">
        <v>18290</v>
      </c>
      <c r="O3050" s="68"/>
      <c r="P3050" s="573" t="s">
        <v>18291</v>
      </c>
      <c r="Q3050" s="2375" t="str">
        <f> hyperlink(vlookup(lower(N3050),'File Links'!E:F, 2, FALSE), "LINK")</f>
        <v>LINK</v>
      </c>
      <c r="R3050" s="68" t="s">
        <v>18242</v>
      </c>
      <c r="S3050" s="68" t="s">
        <v>18243</v>
      </c>
      <c r="T3050" s="68"/>
      <c r="U3050" s="336">
        <v>1.0</v>
      </c>
      <c r="V3050" s="573" t="s">
        <v>18244</v>
      </c>
      <c r="W3050" s="1228"/>
      <c r="X3050" s="2376" t="str">
        <f> hyperlink(vlookup(lower(S3050),'File Links'!E:F, 2, FALSE), "LINK")</f>
        <v>LINK</v>
      </c>
      <c r="Y3050" s="68"/>
      <c r="Z3050" s="68" t="s">
        <v>947</v>
      </c>
      <c r="AA3050" s="68" t="s">
        <v>18262</v>
      </c>
      <c r="AB3050" s="68" t="s">
        <v>7291</v>
      </c>
      <c r="AC3050" s="68" t="s">
        <v>18263</v>
      </c>
      <c r="AD3050" s="68" t="s">
        <v>18306</v>
      </c>
      <c r="AE3050" s="68" t="s">
        <v>882</v>
      </c>
      <c r="AF3050" s="336">
        <v>80.0</v>
      </c>
      <c r="AG3050" s="68" t="s">
        <v>18307</v>
      </c>
      <c r="AH3050" s="68" t="s">
        <v>134</v>
      </c>
      <c r="AI3050" s="68" t="s">
        <v>18308</v>
      </c>
      <c r="AJ3050" s="336">
        <v>0.01</v>
      </c>
      <c r="AK3050" s="68" t="s">
        <v>135</v>
      </c>
      <c r="AL3050" s="68" t="s">
        <v>218</v>
      </c>
      <c r="AM3050" s="68" t="s">
        <v>137</v>
      </c>
      <c r="AN3050" s="68" t="s">
        <v>138</v>
      </c>
      <c r="AO3050" s="336">
        <v>311.0</v>
      </c>
      <c r="AP3050" s="336">
        <v>0.34</v>
      </c>
      <c r="AQ3050" s="68" t="s">
        <v>173</v>
      </c>
      <c r="AR3050" s="68" t="s">
        <v>18309</v>
      </c>
      <c r="AS3050" s="336">
        <v>0.037</v>
      </c>
      <c r="AT3050" s="68" t="s">
        <v>172</v>
      </c>
      <c r="AU3050" s="68" t="s">
        <v>186</v>
      </c>
      <c r="AV3050" s="68" t="s">
        <v>137</v>
      </c>
      <c r="AW3050" s="435" t="s">
        <v>18249</v>
      </c>
      <c r="AX3050" s="68" t="s">
        <v>143</v>
      </c>
      <c r="AY3050" s="61" t="str">
        <f>IFERROR(__xludf.DUMMYFUNCTION("vlookup(BB3050,importrange(""https://docs.google.com/spreadsheets/d/1d2vevQ_7D_v35q4wCQ4RpQ_IPoTwEMB9Yp6ymwlPqew/edit?gid=984458430#gid=984458430"", ""'replication success'!A:K""), 11, FAlSE)"),"#N/A")</f>
        <v>#N/A</v>
      </c>
      <c r="AZ3050" s="61" t="str">
        <f>IFERROR(__xludf.DUMMYFUNCTION("vlookup(BB3050,importrange(""https://docs.google.com/spreadsheets/d/1d2vevQ_7D_v35q4wCQ4RpQ_IPoTwEMB9Yp6ymwlPqew/edit?gid=984458430#gid=984458430"", ""'replication success'!A:M""), 12, FAlSE)"),"#N/A")</f>
        <v>#N/A</v>
      </c>
      <c r="BA3050" s="61" t="str">
        <f>IFERROR(__xludf.DUMMYFUNCTION("vlookup(BB3050,importrange(""https://docs.google.com/spreadsheets/d/1d2vevQ_7D_v35q4wCQ4RpQ_IPoTwEMB9Yp6ymwlPqew/edit?gid=984458430#gid=984458430"", ""'replication success'!A:M""), 13, FAlSE)"),"#N/A")</f>
        <v>#N/A</v>
      </c>
      <c r="BB3050" s="61" t="str">
        <f>IFERROR(__xludf.DUMMYFUNCTION("REGEXREPLACE(G3050, ""_[a-z]{1,2}$"", """")"),"CORE_59")</f>
        <v>CORE_59</v>
      </c>
      <c r="BD3050" s="62" t="s">
        <v>7302</v>
      </c>
    </row>
    <row r="3051">
      <c r="A3051" s="44">
        <v>2881.0</v>
      </c>
      <c r="B3051" s="129" t="s">
        <v>523</v>
      </c>
      <c r="C3051" s="62" t="s">
        <v>115</v>
      </c>
      <c r="D3051" s="62" t="s">
        <v>248</v>
      </c>
      <c r="F3051" s="68" t="s">
        <v>18287</v>
      </c>
      <c r="G3051" s="68" t="s">
        <v>18310</v>
      </c>
      <c r="H3051" s="68" t="s">
        <v>249</v>
      </c>
      <c r="I3051" s="529">
        <v>45811.0</v>
      </c>
      <c r="J3051" s="862"/>
      <c r="K3051" s="68"/>
      <c r="L3051" s="68"/>
      <c r="M3051" s="68" t="s">
        <v>18289</v>
      </c>
      <c r="N3051" s="68" t="s">
        <v>18290</v>
      </c>
      <c r="O3051" s="68"/>
      <c r="P3051" s="573" t="s">
        <v>18291</v>
      </c>
      <c r="Q3051" s="2375" t="str">
        <f> hyperlink(vlookup(lower(N3051),'File Links'!E:F, 2, FALSE), "LINK")</f>
        <v>LINK</v>
      </c>
      <c r="R3051" s="68" t="s">
        <v>18242</v>
      </c>
      <c r="S3051" s="68" t="s">
        <v>18243</v>
      </c>
      <c r="T3051" s="68"/>
      <c r="U3051" s="336">
        <v>1.0</v>
      </c>
      <c r="V3051" s="573" t="s">
        <v>18244</v>
      </c>
      <c r="W3051" s="1228"/>
      <c r="X3051" s="2376" t="str">
        <f> hyperlink(vlookup(lower(S3051),'File Links'!E:F, 2, FALSE), "LINK")</f>
        <v>LINK</v>
      </c>
      <c r="Y3051" s="68"/>
      <c r="Z3051" s="68" t="s">
        <v>947</v>
      </c>
      <c r="AA3051" s="68" t="s">
        <v>18262</v>
      </c>
      <c r="AB3051" s="68" t="s">
        <v>7291</v>
      </c>
      <c r="AC3051" s="68" t="s">
        <v>18263</v>
      </c>
      <c r="AD3051" s="68" t="s">
        <v>18292</v>
      </c>
      <c r="AE3051" s="68" t="s">
        <v>496</v>
      </c>
      <c r="AF3051" s="336">
        <v>80.0</v>
      </c>
      <c r="AG3051" s="68" t="s">
        <v>18293</v>
      </c>
      <c r="AH3051" s="68" t="s">
        <v>134</v>
      </c>
      <c r="AI3051" s="68" t="s">
        <v>18294</v>
      </c>
      <c r="AJ3051" s="336">
        <v>0.02</v>
      </c>
      <c r="AK3051" s="68" t="s">
        <v>135</v>
      </c>
      <c r="AL3051" s="68" t="s">
        <v>218</v>
      </c>
      <c r="AM3051" s="68" t="s">
        <v>137</v>
      </c>
      <c r="AN3051" s="68" t="s">
        <v>138</v>
      </c>
      <c r="AO3051" s="336">
        <v>311.0</v>
      </c>
      <c r="AP3051" s="336">
        <v>0.49</v>
      </c>
      <c r="AQ3051" s="68" t="s">
        <v>173</v>
      </c>
      <c r="AR3051" s="68" t="s">
        <v>18311</v>
      </c>
      <c r="AS3051" s="336">
        <v>0.001</v>
      </c>
      <c r="AT3051" s="68" t="s">
        <v>135</v>
      </c>
      <c r="AU3051" s="68" t="s">
        <v>186</v>
      </c>
      <c r="AV3051" s="68" t="s">
        <v>137</v>
      </c>
      <c r="AW3051" s="435" t="s">
        <v>18249</v>
      </c>
      <c r="AX3051" s="68" t="s">
        <v>143</v>
      </c>
      <c r="AY3051" s="61" t="str">
        <f>IFERROR(__xludf.DUMMYFUNCTION("vlookup(BB3051,importrange(""https://docs.google.com/spreadsheets/d/1d2vevQ_7D_v35q4wCQ4RpQ_IPoTwEMB9Yp6ymwlPqew/edit?gid=984458430#gid=984458430"", ""'replication success'!A:K""), 11, FAlSE)"),"#N/A")</f>
        <v>#N/A</v>
      </c>
      <c r="AZ3051" s="61" t="str">
        <f>IFERROR(__xludf.DUMMYFUNCTION("vlookup(BB3051,importrange(""https://docs.google.com/spreadsheets/d/1d2vevQ_7D_v35q4wCQ4RpQ_IPoTwEMB9Yp6ymwlPqew/edit?gid=984458430#gid=984458430"", ""'replication success'!A:M""), 12, FAlSE)"),"#N/A")</f>
        <v>#N/A</v>
      </c>
      <c r="BA3051" s="61" t="str">
        <f>IFERROR(__xludf.DUMMYFUNCTION("vlookup(BB3051,importrange(""https://docs.google.com/spreadsheets/d/1d2vevQ_7D_v35q4wCQ4RpQ_IPoTwEMB9Yp6ymwlPqew/edit?gid=984458430#gid=984458430"", ""'replication success'!A:M""), 13, FAlSE)"),"#N/A")</f>
        <v>#N/A</v>
      </c>
      <c r="BB3051" s="61" t="str">
        <f>IFERROR(__xludf.DUMMYFUNCTION("REGEXREPLACE(G3051, ""_[a-z]{1,2}$"", """")"),"CORE_59")</f>
        <v>CORE_59</v>
      </c>
      <c r="BD3051" s="62" t="s">
        <v>7302</v>
      </c>
    </row>
    <row r="3052">
      <c r="A3052" s="44">
        <v>2882.0</v>
      </c>
      <c r="B3052" s="129" t="s">
        <v>523</v>
      </c>
      <c r="C3052" s="62" t="s">
        <v>115</v>
      </c>
      <c r="D3052" s="62" t="s">
        <v>248</v>
      </c>
      <c r="F3052" s="68" t="s">
        <v>18287</v>
      </c>
      <c r="G3052" s="68" t="s">
        <v>18312</v>
      </c>
      <c r="H3052" s="68" t="s">
        <v>249</v>
      </c>
      <c r="I3052" s="529">
        <v>45811.0</v>
      </c>
      <c r="J3052" s="862"/>
      <c r="K3052" s="68"/>
      <c r="L3052" s="68"/>
      <c r="M3052" s="68" t="s">
        <v>18289</v>
      </c>
      <c r="N3052" s="68" t="s">
        <v>18290</v>
      </c>
      <c r="O3052" s="68"/>
      <c r="P3052" s="573" t="s">
        <v>18291</v>
      </c>
      <c r="Q3052" s="2375" t="str">
        <f> hyperlink(vlookup(lower(N3052),'File Links'!E:F, 2, FALSE), "LINK")</f>
        <v>LINK</v>
      </c>
      <c r="R3052" s="68" t="s">
        <v>18242</v>
      </c>
      <c r="S3052" s="68" t="s">
        <v>18243</v>
      </c>
      <c r="T3052" s="68"/>
      <c r="U3052" s="336">
        <v>1.0</v>
      </c>
      <c r="V3052" s="573" t="s">
        <v>18244</v>
      </c>
      <c r="W3052" s="1228"/>
      <c r="X3052" s="2376" t="str">
        <f> hyperlink(vlookup(lower(S3052),'File Links'!E:F, 2, FALSE), "LINK")</f>
        <v>LINK</v>
      </c>
      <c r="Y3052" s="68"/>
      <c r="Z3052" s="68" t="s">
        <v>947</v>
      </c>
      <c r="AA3052" s="68" t="s">
        <v>18262</v>
      </c>
      <c r="AB3052" s="68" t="s">
        <v>7291</v>
      </c>
      <c r="AC3052" s="68" t="s">
        <v>18263</v>
      </c>
      <c r="AD3052" s="68" t="s">
        <v>18301</v>
      </c>
      <c r="AE3052" s="68" t="s">
        <v>496</v>
      </c>
      <c r="AF3052" s="336">
        <v>80.0</v>
      </c>
      <c r="AG3052" s="68" t="s">
        <v>18302</v>
      </c>
      <c r="AH3052" s="68" t="s">
        <v>134</v>
      </c>
      <c r="AI3052" s="68" t="s">
        <v>18303</v>
      </c>
      <c r="AJ3052" s="336">
        <v>0.05</v>
      </c>
      <c r="AK3052" s="68" t="s">
        <v>135</v>
      </c>
      <c r="AL3052" s="68" t="s">
        <v>218</v>
      </c>
      <c r="AM3052" s="68" t="s">
        <v>137</v>
      </c>
      <c r="AN3052" s="68" t="s">
        <v>138</v>
      </c>
      <c r="AO3052" s="336">
        <v>311.0</v>
      </c>
      <c r="AP3052" s="336">
        <v>0.002</v>
      </c>
      <c r="AQ3052" s="68" t="s">
        <v>874</v>
      </c>
      <c r="AR3052" s="68" t="s">
        <v>18313</v>
      </c>
      <c r="AS3052" s="336">
        <v>0.21</v>
      </c>
      <c r="AT3052" s="68" t="s">
        <v>172</v>
      </c>
      <c r="AU3052" s="68" t="s">
        <v>186</v>
      </c>
      <c r="AV3052" s="68" t="s">
        <v>137</v>
      </c>
      <c r="AW3052" s="435" t="s">
        <v>18249</v>
      </c>
      <c r="AX3052" s="68" t="s">
        <v>143</v>
      </c>
      <c r="AY3052" s="61" t="str">
        <f>IFERROR(__xludf.DUMMYFUNCTION("vlookup(BB3052,importrange(""https://docs.google.com/spreadsheets/d/1d2vevQ_7D_v35q4wCQ4RpQ_IPoTwEMB9Yp6ymwlPqew/edit?gid=984458430#gid=984458430"", ""'replication success'!A:K""), 11, FAlSE)"),"#N/A")</f>
        <v>#N/A</v>
      </c>
      <c r="AZ3052" s="61" t="str">
        <f>IFERROR(__xludf.DUMMYFUNCTION("vlookup(BB3052,importrange(""https://docs.google.com/spreadsheets/d/1d2vevQ_7D_v35q4wCQ4RpQ_IPoTwEMB9Yp6ymwlPqew/edit?gid=984458430#gid=984458430"", ""'replication success'!A:M""), 12, FAlSE)"),"#N/A")</f>
        <v>#N/A</v>
      </c>
      <c r="BA3052" s="61" t="str">
        <f>IFERROR(__xludf.DUMMYFUNCTION("vlookup(BB3052,importrange(""https://docs.google.com/spreadsheets/d/1d2vevQ_7D_v35q4wCQ4RpQ_IPoTwEMB9Yp6ymwlPqew/edit?gid=984458430#gid=984458430"", ""'replication success'!A:M""), 13, FAlSE)"),"#N/A")</f>
        <v>#N/A</v>
      </c>
      <c r="BB3052" s="61" t="str">
        <f>IFERROR(__xludf.DUMMYFUNCTION("REGEXREPLACE(G3052, ""_[a-z]{1,2}$"", """")"),"CORE_59")</f>
        <v>CORE_59</v>
      </c>
      <c r="BD3052" s="62" t="s">
        <v>7302</v>
      </c>
    </row>
    <row r="3053">
      <c r="A3053" s="44">
        <v>2883.0</v>
      </c>
      <c r="B3053" s="129" t="s">
        <v>523</v>
      </c>
      <c r="C3053" s="62" t="s">
        <v>115</v>
      </c>
      <c r="D3053" s="62" t="s">
        <v>248</v>
      </c>
      <c r="F3053" s="68" t="s">
        <v>18287</v>
      </c>
      <c r="G3053" s="68" t="s">
        <v>18314</v>
      </c>
      <c r="H3053" s="68" t="s">
        <v>249</v>
      </c>
      <c r="I3053" s="529">
        <v>45811.0</v>
      </c>
      <c r="J3053" s="862"/>
      <c r="K3053" s="68"/>
      <c r="L3053" s="68"/>
      <c r="M3053" s="68" t="s">
        <v>18289</v>
      </c>
      <c r="N3053" s="68" t="s">
        <v>18290</v>
      </c>
      <c r="O3053" s="68"/>
      <c r="P3053" s="573" t="s">
        <v>18291</v>
      </c>
      <c r="Q3053" s="2375" t="str">
        <f> hyperlink(vlookup(lower(N3053),'File Links'!E:F, 2, FALSE), "LINK")</f>
        <v>LINK</v>
      </c>
      <c r="R3053" s="68" t="s">
        <v>18242</v>
      </c>
      <c r="S3053" s="68" t="s">
        <v>18243</v>
      </c>
      <c r="T3053" s="68"/>
      <c r="U3053" s="336">
        <v>1.0</v>
      </c>
      <c r="V3053" s="573" t="s">
        <v>18244</v>
      </c>
      <c r="W3053" s="1228"/>
      <c r="X3053" s="2376" t="str">
        <f> hyperlink(vlookup(lower(S3053),'File Links'!E:F, 2, FALSE), "LINK")</f>
        <v>LINK</v>
      </c>
      <c r="Y3053" s="68"/>
      <c r="Z3053" s="68" t="s">
        <v>947</v>
      </c>
      <c r="AA3053" s="68" t="s">
        <v>18262</v>
      </c>
      <c r="AB3053" s="68" t="s">
        <v>7291</v>
      </c>
      <c r="AC3053" s="68" t="s">
        <v>18263</v>
      </c>
      <c r="AD3053" s="68" t="s">
        <v>18306</v>
      </c>
      <c r="AE3053" s="68" t="s">
        <v>882</v>
      </c>
      <c r="AF3053" s="336">
        <v>80.0</v>
      </c>
      <c r="AG3053" s="68" t="s">
        <v>18307</v>
      </c>
      <c r="AH3053" s="68" t="s">
        <v>134</v>
      </c>
      <c r="AI3053" s="68" t="s">
        <v>18308</v>
      </c>
      <c r="AJ3053" s="336">
        <v>0.01</v>
      </c>
      <c r="AK3053" s="68" t="s">
        <v>135</v>
      </c>
      <c r="AL3053" s="68" t="s">
        <v>218</v>
      </c>
      <c r="AM3053" s="68" t="s">
        <v>137</v>
      </c>
      <c r="AN3053" s="68" t="s">
        <v>138</v>
      </c>
      <c r="AO3053" s="336">
        <v>311.0</v>
      </c>
      <c r="AP3053" s="68" t="s">
        <v>138</v>
      </c>
      <c r="AQ3053" s="68" t="s">
        <v>138</v>
      </c>
      <c r="AR3053" s="68" t="s">
        <v>18315</v>
      </c>
      <c r="AS3053" s="336">
        <v>0.05</v>
      </c>
      <c r="AT3053" s="68" t="s">
        <v>335</v>
      </c>
      <c r="AU3053" s="68" t="s">
        <v>186</v>
      </c>
      <c r="AV3053" s="68" t="s">
        <v>137</v>
      </c>
      <c r="AW3053" s="435" t="s">
        <v>18249</v>
      </c>
      <c r="AX3053" s="68" t="s">
        <v>143</v>
      </c>
      <c r="AY3053" s="61" t="str">
        <f>IFERROR(__xludf.DUMMYFUNCTION("vlookup(BB3053,importrange(""https://docs.google.com/spreadsheets/d/1d2vevQ_7D_v35q4wCQ4RpQ_IPoTwEMB9Yp6ymwlPqew/edit?gid=984458430#gid=984458430"", ""'replication success'!A:K""), 11, FAlSE)"),"#N/A")</f>
        <v>#N/A</v>
      </c>
      <c r="AZ3053" s="61" t="str">
        <f>IFERROR(__xludf.DUMMYFUNCTION("vlookup(BB3053,importrange(""https://docs.google.com/spreadsheets/d/1d2vevQ_7D_v35q4wCQ4RpQ_IPoTwEMB9Yp6ymwlPqew/edit?gid=984458430#gid=984458430"", ""'replication success'!A:M""), 12, FAlSE)"),"#N/A")</f>
        <v>#N/A</v>
      </c>
      <c r="BA3053" s="61" t="str">
        <f>IFERROR(__xludf.DUMMYFUNCTION("vlookup(BB3053,importrange(""https://docs.google.com/spreadsheets/d/1d2vevQ_7D_v35q4wCQ4RpQ_IPoTwEMB9Yp6ymwlPqew/edit?gid=984458430#gid=984458430"", ""'replication success'!A:M""), 13, FAlSE)"),"#N/A")</f>
        <v>#N/A</v>
      </c>
      <c r="BB3053" s="61" t="str">
        <f>IFERROR(__xludf.DUMMYFUNCTION("REGEXREPLACE(G3053, ""_[a-z]{1,2}$"", """")"),"CORE_59")</f>
        <v>CORE_59</v>
      </c>
      <c r="BD3053" s="62" t="s">
        <v>7302</v>
      </c>
    </row>
    <row r="3054">
      <c r="A3054" s="2119">
        <v>2991.0</v>
      </c>
      <c r="B3054" s="1800" t="s">
        <v>114</v>
      </c>
      <c r="C3054" s="1631" t="s">
        <v>115</v>
      </c>
      <c r="D3054" s="1631" t="s">
        <v>15473</v>
      </c>
      <c r="E3054" s="1123"/>
      <c r="F3054" s="1632" t="s">
        <v>18316</v>
      </c>
      <c r="G3054" s="1634" t="s">
        <v>18317</v>
      </c>
      <c r="H3054" s="1634" t="s">
        <v>18250</v>
      </c>
      <c r="I3054" s="2120">
        <v>45331.0</v>
      </c>
      <c r="J3054" s="2127">
        <v>45835.0</v>
      </c>
      <c r="K3054" s="1632"/>
      <c r="L3054" s="1800" t="s">
        <v>18318</v>
      </c>
      <c r="M3054" s="1634" t="s">
        <v>18319</v>
      </c>
      <c r="N3054" s="1634" t="s">
        <v>18320</v>
      </c>
      <c r="O3054" s="1825">
        <v>1.0</v>
      </c>
      <c r="P3054" s="1634" t="s">
        <v>18321</v>
      </c>
      <c r="Q3054" s="2373" t="str">
        <f> hyperlink(vlookup(lower(N3054),'File Links'!E:F, 2, FALSE), "LINK")</f>
        <v>LINK</v>
      </c>
      <c r="R3054" s="1634" t="s">
        <v>18322</v>
      </c>
      <c r="S3054" s="1634" t="s">
        <v>18323</v>
      </c>
      <c r="T3054" s="1632"/>
      <c r="U3054" s="1825">
        <v>1.0</v>
      </c>
      <c r="V3054" s="1634" t="s">
        <v>18324</v>
      </c>
      <c r="W3054" s="1800" t="s">
        <v>1122</v>
      </c>
      <c r="X3054" s="2374" t="str">
        <f> hyperlink(vlookup(lower(S3054),'File Links'!E:F, 2, FALSE), "LINK")</f>
        <v>LINK</v>
      </c>
      <c r="Y3054" s="1632"/>
      <c r="Z3054" s="1634" t="s">
        <v>947</v>
      </c>
      <c r="AA3054" s="1634" t="s">
        <v>11239</v>
      </c>
      <c r="AB3054" s="1634" t="s">
        <v>7291</v>
      </c>
      <c r="AC3054" s="1634" t="s">
        <v>18325</v>
      </c>
      <c r="AD3054" s="1632" t="s">
        <v>18326</v>
      </c>
      <c r="AE3054" s="1632" t="s">
        <v>2771</v>
      </c>
      <c r="AF3054" s="1825">
        <v>100.0</v>
      </c>
      <c r="AG3054" s="1825">
        <v>0.11</v>
      </c>
      <c r="AH3054" s="1632" t="s">
        <v>139</v>
      </c>
      <c r="AI3054" s="1632" t="s">
        <v>18327</v>
      </c>
      <c r="AJ3054" s="1825">
        <v>0.05</v>
      </c>
      <c r="AK3054" s="1632" t="s">
        <v>135</v>
      </c>
      <c r="AL3054" s="1632" t="s">
        <v>186</v>
      </c>
      <c r="AM3054" s="1632" t="s">
        <v>141</v>
      </c>
      <c r="AN3054" s="1632"/>
      <c r="AO3054" s="1825">
        <v>860.0</v>
      </c>
      <c r="AP3054" s="1632" t="s">
        <v>18328</v>
      </c>
      <c r="AQ3054" s="1632" t="s">
        <v>134</v>
      </c>
      <c r="AR3054" s="1632" t="s">
        <v>1174</v>
      </c>
      <c r="AS3054" s="1825">
        <v>0.025</v>
      </c>
      <c r="AT3054" s="1632" t="s">
        <v>135</v>
      </c>
      <c r="AU3054" s="1632" t="s">
        <v>136</v>
      </c>
      <c r="AV3054" s="1632" t="s">
        <v>141</v>
      </c>
      <c r="AW3054" s="2123" t="s">
        <v>18329</v>
      </c>
      <c r="AX3054" s="1632" t="s">
        <v>143</v>
      </c>
      <c r="AY3054" s="61" t="str">
        <f>IFERROR(__xludf.DUMMYFUNCTION("vlookup(BB3054,importrange(""https://docs.google.com/spreadsheets/d/1d2vevQ_7D_v35q4wCQ4RpQ_IPoTwEMB9Yp6ymwlPqew/edit?gid=984458430#gid=984458430"", ""'replication success'!A:K""), 11, FAlSE)"),"#N/A")</f>
        <v>#N/A</v>
      </c>
      <c r="AZ3054" s="61" t="str">
        <f>IFERROR(__xludf.DUMMYFUNCTION("vlookup(BB3054,importrange(""https://docs.google.com/spreadsheets/d/1d2vevQ_7D_v35q4wCQ4RpQ_IPoTwEMB9Yp6ymwlPqew/edit?gid=984458430#gid=984458430"", ""'replication success'!A:M""), 12, FAlSE)"),"#N/A")</f>
        <v>#N/A</v>
      </c>
      <c r="BA3054" s="61" t="str">
        <f>IFERROR(__xludf.DUMMYFUNCTION("vlookup(BB3054,importrange(""https://docs.google.com/spreadsheets/d/1d2vevQ_7D_v35q4wCQ4RpQ_IPoTwEMB9Yp6ymwlPqew/edit?gid=984458430#gid=984458430"", ""'replication success'!A:M""), 13, FAlSE)"),"#N/A")</f>
        <v>#N/A</v>
      </c>
      <c r="BB3054" s="61" t="str">
        <f>IFERROR(__xludf.DUMMYFUNCTION("REGEXREPLACE(G3054, ""_[a-z]{1,2}$"", """")"),"CORE_63")</f>
        <v>CORE_63</v>
      </c>
      <c r="BC3054" s="1123"/>
      <c r="BD3054" s="1631" t="s">
        <v>814</v>
      </c>
      <c r="BE3054" s="1123"/>
    </row>
    <row r="3055">
      <c r="A3055" s="44">
        <v>2884.0</v>
      </c>
      <c r="B3055" s="129" t="s">
        <v>523</v>
      </c>
      <c r="C3055" s="62" t="s">
        <v>115</v>
      </c>
      <c r="D3055" s="62" t="s">
        <v>248</v>
      </c>
      <c r="F3055" s="68" t="s">
        <v>18316</v>
      </c>
      <c r="G3055" s="68" t="s">
        <v>18330</v>
      </c>
      <c r="H3055" s="68" t="s">
        <v>249</v>
      </c>
      <c r="I3055" s="529">
        <v>45811.0</v>
      </c>
      <c r="J3055" s="862"/>
      <c r="K3055" s="68" t="s">
        <v>18331</v>
      </c>
      <c r="L3055" s="68"/>
      <c r="M3055" s="68" t="s">
        <v>18319</v>
      </c>
      <c r="N3055" s="68" t="s">
        <v>18320</v>
      </c>
      <c r="O3055" s="68"/>
      <c r="P3055" s="573" t="s">
        <v>18321</v>
      </c>
      <c r="Q3055" s="2375" t="str">
        <f> hyperlink(vlookup(lower(N3055),'File Links'!E:F, 2, FALSE), "LINK")</f>
        <v>LINK</v>
      </c>
      <c r="R3055" s="68" t="s">
        <v>18322</v>
      </c>
      <c r="S3055" s="68" t="s">
        <v>18323</v>
      </c>
      <c r="T3055" s="68"/>
      <c r="U3055" s="336">
        <v>1.0</v>
      </c>
      <c r="V3055" s="573" t="s">
        <v>18324</v>
      </c>
      <c r="W3055" s="1228"/>
      <c r="X3055" s="2376" t="str">
        <f> hyperlink(vlookup(lower(S3055),'File Links'!E:F, 2, FALSE), "LINK")</f>
        <v>LINK</v>
      </c>
      <c r="Y3055" s="68"/>
      <c r="Z3055" s="68" t="s">
        <v>947</v>
      </c>
      <c r="AA3055" s="68" t="s">
        <v>11239</v>
      </c>
      <c r="AB3055" s="68" t="s">
        <v>7291</v>
      </c>
      <c r="AC3055" s="68" t="s">
        <v>18325</v>
      </c>
      <c r="AD3055" s="68" t="s">
        <v>18332</v>
      </c>
      <c r="AE3055" s="68" t="s">
        <v>2771</v>
      </c>
      <c r="AF3055" s="336">
        <v>100.0</v>
      </c>
      <c r="AG3055" s="336">
        <v>0.54</v>
      </c>
      <c r="AH3055" s="68" t="s">
        <v>874</v>
      </c>
      <c r="AI3055" s="68" t="s">
        <v>18333</v>
      </c>
      <c r="AJ3055" s="336">
        <v>1.0E-4</v>
      </c>
      <c r="AK3055" s="68" t="s">
        <v>135</v>
      </c>
      <c r="AL3055" s="68" t="s">
        <v>186</v>
      </c>
      <c r="AM3055" s="68" t="s">
        <v>137</v>
      </c>
      <c r="AN3055" s="68" t="s">
        <v>138</v>
      </c>
      <c r="AO3055" s="336">
        <v>860.0</v>
      </c>
      <c r="AP3055" s="336">
        <v>0.62</v>
      </c>
      <c r="AQ3055" s="68" t="s">
        <v>173</v>
      </c>
      <c r="AR3055" s="68" t="s">
        <v>18334</v>
      </c>
      <c r="AS3055" s="336">
        <v>0.001</v>
      </c>
      <c r="AT3055" s="68" t="s">
        <v>135</v>
      </c>
      <c r="AU3055" s="68" t="s">
        <v>186</v>
      </c>
      <c r="AV3055" s="68" t="s">
        <v>137</v>
      </c>
      <c r="AW3055" s="435" t="s">
        <v>18335</v>
      </c>
      <c r="AX3055" s="68" t="s">
        <v>143</v>
      </c>
      <c r="AY3055" s="61" t="str">
        <f>IFERROR(__xludf.DUMMYFUNCTION("vlookup(BB3055,importrange(""https://docs.google.com/spreadsheets/d/1d2vevQ_7D_v35q4wCQ4RpQ_IPoTwEMB9Yp6ymwlPqew/edit?gid=984458430#gid=984458430"", ""'replication success'!A:K""), 11, FAlSE)"),"#N/A")</f>
        <v>#N/A</v>
      </c>
      <c r="AZ3055" s="61" t="str">
        <f>IFERROR(__xludf.DUMMYFUNCTION("vlookup(BB3055,importrange(""https://docs.google.com/spreadsheets/d/1d2vevQ_7D_v35q4wCQ4RpQ_IPoTwEMB9Yp6ymwlPqew/edit?gid=984458430#gid=984458430"", ""'replication success'!A:M""), 12, FAlSE)"),"#N/A")</f>
        <v>#N/A</v>
      </c>
      <c r="BA3055" s="61" t="str">
        <f>IFERROR(__xludf.DUMMYFUNCTION("vlookup(BB3055,importrange(""https://docs.google.com/spreadsheets/d/1d2vevQ_7D_v35q4wCQ4RpQ_IPoTwEMB9Yp6ymwlPqew/edit?gid=984458430#gid=984458430"", ""'replication success'!A:M""), 13, FAlSE)"),"#N/A")</f>
        <v>#N/A</v>
      </c>
      <c r="BB3055" s="61" t="str">
        <f>IFERROR(__xludf.DUMMYFUNCTION("REGEXREPLACE(G3055, ""_[a-z]{1,2}$"", """")"),"CORE_63")</f>
        <v>CORE_63</v>
      </c>
      <c r="BD3055" s="62" t="s">
        <v>7302</v>
      </c>
    </row>
    <row r="3056">
      <c r="A3056" s="44">
        <v>2885.0</v>
      </c>
      <c r="B3056" s="129" t="s">
        <v>523</v>
      </c>
      <c r="C3056" s="62" t="s">
        <v>115</v>
      </c>
      <c r="D3056" s="62" t="s">
        <v>248</v>
      </c>
      <c r="F3056" s="68" t="s">
        <v>18316</v>
      </c>
      <c r="G3056" s="68" t="s">
        <v>18336</v>
      </c>
      <c r="H3056" s="68" t="s">
        <v>249</v>
      </c>
      <c r="I3056" s="529">
        <v>45811.0</v>
      </c>
      <c r="J3056" s="862"/>
      <c r="K3056" s="68" t="s">
        <v>18331</v>
      </c>
      <c r="L3056" s="68"/>
      <c r="M3056" s="68" t="s">
        <v>18319</v>
      </c>
      <c r="N3056" s="68" t="s">
        <v>18320</v>
      </c>
      <c r="O3056" s="68"/>
      <c r="P3056" s="573" t="s">
        <v>18321</v>
      </c>
      <c r="Q3056" s="2375" t="str">
        <f> hyperlink(vlookup(lower(N3056),'File Links'!E:F, 2, FALSE), "LINK")</f>
        <v>LINK</v>
      </c>
      <c r="R3056" s="68" t="s">
        <v>18322</v>
      </c>
      <c r="S3056" s="68" t="s">
        <v>18323</v>
      </c>
      <c r="T3056" s="68"/>
      <c r="U3056" s="336">
        <v>2.0</v>
      </c>
      <c r="V3056" s="573" t="s">
        <v>18324</v>
      </c>
      <c r="W3056" s="1228"/>
      <c r="X3056" s="2376" t="str">
        <f> hyperlink(vlookup(lower(S3056),'File Links'!E:F, 2, FALSE), "LINK")</f>
        <v>LINK</v>
      </c>
      <c r="Y3056" s="68"/>
      <c r="Z3056" s="68" t="s">
        <v>947</v>
      </c>
      <c r="AA3056" s="68" t="s">
        <v>11239</v>
      </c>
      <c r="AB3056" s="68" t="s">
        <v>7291</v>
      </c>
      <c r="AC3056" s="68" t="s">
        <v>18325</v>
      </c>
      <c r="AD3056" s="68" t="s">
        <v>18337</v>
      </c>
      <c r="AE3056" s="68" t="s">
        <v>507</v>
      </c>
      <c r="AF3056" s="336">
        <v>46.0</v>
      </c>
      <c r="AG3056" s="68" t="s">
        <v>18338</v>
      </c>
      <c r="AH3056" s="68" t="s">
        <v>134</v>
      </c>
      <c r="AI3056" s="68" t="s">
        <v>507</v>
      </c>
      <c r="AJ3056" s="336">
        <v>0.05</v>
      </c>
      <c r="AK3056" s="68" t="s">
        <v>135</v>
      </c>
      <c r="AL3056" s="68" t="s">
        <v>186</v>
      </c>
      <c r="AM3056" s="68" t="s">
        <v>137</v>
      </c>
      <c r="AN3056" s="68" t="s">
        <v>138</v>
      </c>
      <c r="AO3056" s="336">
        <v>860.0</v>
      </c>
      <c r="AP3056" s="336">
        <v>0.37</v>
      </c>
      <c r="AQ3056" s="68" t="s">
        <v>173</v>
      </c>
      <c r="AR3056" s="68" t="s">
        <v>18339</v>
      </c>
      <c r="AS3056" s="336">
        <v>0.001</v>
      </c>
      <c r="AT3056" s="68" t="s">
        <v>135</v>
      </c>
      <c r="AU3056" s="68" t="s">
        <v>186</v>
      </c>
      <c r="AV3056" s="68" t="s">
        <v>137</v>
      </c>
      <c r="AW3056" s="435" t="s">
        <v>18335</v>
      </c>
      <c r="AX3056" s="68" t="s">
        <v>143</v>
      </c>
      <c r="AY3056" s="61" t="str">
        <f>IFERROR(__xludf.DUMMYFUNCTION("vlookup(BB3056,importrange(""https://docs.google.com/spreadsheets/d/1d2vevQ_7D_v35q4wCQ4RpQ_IPoTwEMB9Yp6ymwlPqew/edit?gid=984458430#gid=984458430"", ""'replication success'!A:K""), 11, FAlSE)"),"#N/A")</f>
        <v>#N/A</v>
      </c>
      <c r="AZ3056" s="61" t="str">
        <f>IFERROR(__xludf.DUMMYFUNCTION("vlookup(BB3056,importrange(""https://docs.google.com/spreadsheets/d/1d2vevQ_7D_v35q4wCQ4RpQ_IPoTwEMB9Yp6ymwlPqew/edit?gid=984458430#gid=984458430"", ""'replication success'!A:M""), 12, FAlSE)"),"#N/A")</f>
        <v>#N/A</v>
      </c>
      <c r="BA3056" s="61" t="str">
        <f>IFERROR(__xludf.DUMMYFUNCTION("vlookup(BB3056,importrange(""https://docs.google.com/spreadsheets/d/1d2vevQ_7D_v35q4wCQ4RpQ_IPoTwEMB9Yp6ymwlPqew/edit?gid=984458430#gid=984458430"", ""'replication success'!A:M""), 13, FAlSE)"),"#N/A")</f>
        <v>#N/A</v>
      </c>
      <c r="BB3056" s="61" t="str">
        <f>IFERROR(__xludf.DUMMYFUNCTION("REGEXREPLACE(G3056, ""_[a-z]{1,2}$"", """")"),"CORE_63")</f>
        <v>CORE_63</v>
      </c>
      <c r="BD3056" s="62" t="s">
        <v>7302</v>
      </c>
    </row>
    <row r="3057">
      <c r="A3057" s="44">
        <v>2886.0</v>
      </c>
      <c r="B3057" s="129" t="s">
        <v>523</v>
      </c>
      <c r="C3057" s="62" t="s">
        <v>115</v>
      </c>
      <c r="D3057" s="62" t="s">
        <v>248</v>
      </c>
      <c r="F3057" s="68" t="s">
        <v>18316</v>
      </c>
      <c r="G3057" s="68" t="s">
        <v>18340</v>
      </c>
      <c r="H3057" s="68" t="s">
        <v>249</v>
      </c>
      <c r="I3057" s="529">
        <v>45811.0</v>
      </c>
      <c r="J3057" s="862"/>
      <c r="K3057" s="68" t="s">
        <v>18331</v>
      </c>
      <c r="L3057" s="68"/>
      <c r="M3057" s="68" t="s">
        <v>18319</v>
      </c>
      <c r="N3057" s="68" t="s">
        <v>18320</v>
      </c>
      <c r="O3057" s="68"/>
      <c r="P3057" s="573" t="s">
        <v>18321</v>
      </c>
      <c r="Q3057" s="2375" t="str">
        <f> hyperlink(vlookup(lower(N3057),'File Links'!E:F, 2, FALSE), "LINK")</f>
        <v>LINK</v>
      </c>
      <c r="R3057" s="68" t="s">
        <v>18322</v>
      </c>
      <c r="S3057" s="68" t="s">
        <v>18323</v>
      </c>
      <c r="T3057" s="68"/>
      <c r="U3057" s="336">
        <v>3.0</v>
      </c>
      <c r="V3057" s="573" t="s">
        <v>18324</v>
      </c>
      <c r="W3057" s="1228"/>
      <c r="X3057" s="2376" t="str">
        <f> hyperlink(vlookup(lower(S3057),'File Links'!E:F, 2, FALSE), "LINK")</f>
        <v>LINK</v>
      </c>
      <c r="Y3057" s="68"/>
      <c r="Z3057" s="68" t="s">
        <v>947</v>
      </c>
      <c r="AA3057" s="68" t="s">
        <v>11239</v>
      </c>
      <c r="AB3057" s="68" t="s">
        <v>7291</v>
      </c>
      <c r="AC3057" s="68" t="s">
        <v>18325</v>
      </c>
      <c r="AD3057" s="68" t="s">
        <v>18341</v>
      </c>
      <c r="AE3057" s="68" t="s">
        <v>882</v>
      </c>
      <c r="AF3057" s="336">
        <v>46.0</v>
      </c>
      <c r="AG3057" s="336">
        <v>0.75</v>
      </c>
      <c r="AH3057" s="68" t="s">
        <v>173</v>
      </c>
      <c r="AI3057" s="68" t="s">
        <v>18342</v>
      </c>
      <c r="AJ3057" s="336">
        <v>0.05</v>
      </c>
      <c r="AK3057" s="68" t="s">
        <v>135</v>
      </c>
      <c r="AL3057" s="68" t="s">
        <v>186</v>
      </c>
      <c r="AM3057" s="68" t="s">
        <v>137</v>
      </c>
      <c r="AN3057" s="68" t="s">
        <v>138</v>
      </c>
      <c r="AO3057" s="336">
        <v>860.0</v>
      </c>
      <c r="AP3057" s="336">
        <v>0.68</v>
      </c>
      <c r="AQ3057" s="68" t="s">
        <v>173</v>
      </c>
      <c r="AR3057" s="68" t="s">
        <v>18343</v>
      </c>
      <c r="AS3057" s="336">
        <v>0.001</v>
      </c>
      <c r="AT3057" s="68" t="s">
        <v>135</v>
      </c>
      <c r="AU3057" s="68" t="s">
        <v>186</v>
      </c>
      <c r="AV3057" s="68" t="s">
        <v>137</v>
      </c>
      <c r="AW3057" s="435" t="s">
        <v>18335</v>
      </c>
      <c r="AX3057" s="68" t="s">
        <v>143</v>
      </c>
      <c r="AY3057" s="61" t="str">
        <f>IFERROR(__xludf.DUMMYFUNCTION("vlookup(BB3057,importrange(""https://docs.google.com/spreadsheets/d/1d2vevQ_7D_v35q4wCQ4RpQ_IPoTwEMB9Yp6ymwlPqew/edit?gid=984458430#gid=984458430"", ""'replication success'!A:K""), 11, FAlSE)"),"#N/A")</f>
        <v>#N/A</v>
      </c>
      <c r="AZ3057" s="61" t="str">
        <f>IFERROR(__xludf.DUMMYFUNCTION("vlookup(BB3057,importrange(""https://docs.google.com/spreadsheets/d/1d2vevQ_7D_v35q4wCQ4RpQ_IPoTwEMB9Yp6ymwlPqew/edit?gid=984458430#gid=984458430"", ""'replication success'!A:M""), 12, FAlSE)"),"#N/A")</f>
        <v>#N/A</v>
      </c>
      <c r="BA3057" s="61" t="str">
        <f>IFERROR(__xludf.DUMMYFUNCTION("vlookup(BB3057,importrange(""https://docs.google.com/spreadsheets/d/1d2vevQ_7D_v35q4wCQ4RpQ_IPoTwEMB9Yp6ymwlPqew/edit?gid=984458430#gid=984458430"", ""'replication success'!A:M""), 13, FAlSE)"),"#N/A")</f>
        <v>#N/A</v>
      </c>
      <c r="BB3057" s="61" t="str">
        <f>IFERROR(__xludf.DUMMYFUNCTION("REGEXREPLACE(G3057, ""_[a-z]{1,2}$"", """")"),"CORE_63")</f>
        <v>CORE_63</v>
      </c>
      <c r="BD3057" s="62" t="s">
        <v>7302</v>
      </c>
    </row>
    <row r="3058">
      <c r="A3058" s="44">
        <v>2887.0</v>
      </c>
      <c r="B3058" s="129" t="s">
        <v>523</v>
      </c>
      <c r="C3058" s="62" t="s">
        <v>115</v>
      </c>
      <c r="D3058" s="62" t="s">
        <v>248</v>
      </c>
      <c r="F3058" s="68" t="s">
        <v>18316</v>
      </c>
      <c r="G3058" s="68" t="s">
        <v>18344</v>
      </c>
      <c r="H3058" s="68" t="s">
        <v>249</v>
      </c>
      <c r="I3058" s="529">
        <v>45811.0</v>
      </c>
      <c r="J3058" s="862"/>
      <c r="K3058" s="68" t="s">
        <v>18331</v>
      </c>
      <c r="L3058" s="68"/>
      <c r="M3058" s="68" t="s">
        <v>18319</v>
      </c>
      <c r="N3058" s="68" t="s">
        <v>18320</v>
      </c>
      <c r="O3058" s="68"/>
      <c r="P3058" s="573" t="s">
        <v>18321</v>
      </c>
      <c r="Q3058" s="2375" t="str">
        <f> hyperlink(vlookup(lower(N3058),'File Links'!E:F, 2, FALSE), "LINK")</f>
        <v>LINK</v>
      </c>
      <c r="R3058" s="68" t="s">
        <v>18322</v>
      </c>
      <c r="S3058" s="68" t="s">
        <v>18323</v>
      </c>
      <c r="T3058" s="68"/>
      <c r="U3058" s="336">
        <v>4.0</v>
      </c>
      <c r="V3058" s="573" t="s">
        <v>18324</v>
      </c>
      <c r="W3058" s="1228"/>
      <c r="X3058" s="2376" t="str">
        <f> hyperlink(vlookup(lower(S3058),'File Links'!E:F, 2, FALSE), "LINK")</f>
        <v>LINK</v>
      </c>
      <c r="Y3058" s="68"/>
      <c r="Z3058" s="68" t="s">
        <v>947</v>
      </c>
      <c r="AA3058" s="68" t="s">
        <v>11239</v>
      </c>
      <c r="AB3058" s="68" t="s">
        <v>7291</v>
      </c>
      <c r="AC3058" s="68" t="s">
        <v>18325</v>
      </c>
      <c r="AD3058" s="68" t="s">
        <v>18345</v>
      </c>
      <c r="AE3058" s="68" t="s">
        <v>18346</v>
      </c>
      <c r="AF3058" s="336">
        <v>171.0</v>
      </c>
      <c r="AG3058" s="68" t="s">
        <v>18347</v>
      </c>
      <c r="AH3058" s="68" t="s">
        <v>134</v>
      </c>
      <c r="AI3058" s="68" t="s">
        <v>882</v>
      </c>
      <c r="AJ3058" s="336">
        <v>0.01</v>
      </c>
      <c r="AK3058" s="68" t="s">
        <v>135</v>
      </c>
      <c r="AL3058" s="68" t="s">
        <v>186</v>
      </c>
      <c r="AM3058" s="68" t="s">
        <v>137</v>
      </c>
      <c r="AN3058" s="68" t="s">
        <v>138</v>
      </c>
      <c r="AO3058" s="336">
        <v>860.0</v>
      </c>
      <c r="AP3058" s="336">
        <v>0.52</v>
      </c>
      <c r="AQ3058" s="68" t="s">
        <v>173</v>
      </c>
      <c r="AR3058" s="68" t="s">
        <v>18348</v>
      </c>
      <c r="AS3058" s="336">
        <v>0.001</v>
      </c>
      <c r="AT3058" s="68" t="s">
        <v>135</v>
      </c>
      <c r="AU3058" s="68" t="s">
        <v>186</v>
      </c>
      <c r="AV3058" s="68" t="s">
        <v>137</v>
      </c>
      <c r="AW3058" s="435" t="s">
        <v>18335</v>
      </c>
      <c r="AX3058" s="68" t="s">
        <v>143</v>
      </c>
      <c r="AY3058" s="61" t="str">
        <f>IFERROR(__xludf.DUMMYFUNCTION("vlookup(BB3058,importrange(""https://docs.google.com/spreadsheets/d/1d2vevQ_7D_v35q4wCQ4RpQ_IPoTwEMB9Yp6ymwlPqew/edit?gid=984458430#gid=984458430"", ""'replication success'!A:K""), 11, FAlSE)"),"#N/A")</f>
        <v>#N/A</v>
      </c>
      <c r="AZ3058" s="61" t="str">
        <f>IFERROR(__xludf.DUMMYFUNCTION("vlookup(BB3058,importrange(""https://docs.google.com/spreadsheets/d/1d2vevQ_7D_v35q4wCQ4RpQ_IPoTwEMB9Yp6ymwlPqew/edit?gid=984458430#gid=984458430"", ""'replication success'!A:M""), 12, FAlSE)"),"#N/A")</f>
        <v>#N/A</v>
      </c>
      <c r="BA3058" s="61" t="str">
        <f>IFERROR(__xludf.DUMMYFUNCTION("vlookup(BB3058,importrange(""https://docs.google.com/spreadsheets/d/1d2vevQ_7D_v35q4wCQ4RpQ_IPoTwEMB9Yp6ymwlPqew/edit?gid=984458430#gid=984458430"", ""'replication success'!A:M""), 13, FAlSE)"),"#N/A")</f>
        <v>#N/A</v>
      </c>
      <c r="BB3058" s="61" t="str">
        <f>IFERROR(__xludf.DUMMYFUNCTION("REGEXREPLACE(G3058, ""_[a-z]{1,2}$"", """")"),"CORE_63")</f>
        <v>CORE_63</v>
      </c>
      <c r="BD3058" s="62" t="s">
        <v>7302</v>
      </c>
    </row>
    <row r="3059">
      <c r="A3059" s="1489">
        <v>2888.0</v>
      </c>
      <c r="B3059" s="1490" t="s">
        <v>152</v>
      </c>
      <c r="C3059" s="1491" t="s">
        <v>115</v>
      </c>
      <c r="D3059" s="1491" t="s">
        <v>248</v>
      </c>
      <c r="E3059" s="1492"/>
      <c r="F3059" s="2455" t="s">
        <v>18316</v>
      </c>
      <c r="G3059" s="2455" t="s">
        <v>18349</v>
      </c>
      <c r="H3059" s="2455" t="s">
        <v>249</v>
      </c>
      <c r="I3059" s="2456">
        <v>45811.0</v>
      </c>
      <c r="J3059" s="2442">
        <v>45835.0</v>
      </c>
      <c r="K3059" s="2455" t="s">
        <v>18350</v>
      </c>
      <c r="L3059" s="1490" t="s">
        <v>18351</v>
      </c>
      <c r="M3059" s="2455" t="s">
        <v>18319</v>
      </c>
      <c r="N3059" s="2455" t="s">
        <v>18320</v>
      </c>
      <c r="O3059" s="1490">
        <v>1.0</v>
      </c>
      <c r="P3059" s="2455" t="s">
        <v>18321</v>
      </c>
      <c r="Q3059" s="2457" t="str">
        <f> hyperlink(vlookup(lower(N3059),'File Links'!E:F, 2, FALSE), "LINK")</f>
        <v>LINK</v>
      </c>
      <c r="R3059" s="2455" t="s">
        <v>18322</v>
      </c>
      <c r="S3059" s="2455" t="s">
        <v>18323</v>
      </c>
      <c r="T3059" s="2455"/>
      <c r="U3059" s="2458">
        <v>1.0</v>
      </c>
      <c r="V3059" s="2455" t="s">
        <v>18324</v>
      </c>
      <c r="W3059" s="1800" t="s">
        <v>1122</v>
      </c>
      <c r="X3059" s="2459" t="str">
        <f> hyperlink(vlookup(lower(S3059),'File Links'!E:F, 2, FALSE), "LINK")</f>
        <v>LINK</v>
      </c>
      <c r="Y3059" s="2455"/>
      <c r="Z3059" s="2455" t="s">
        <v>947</v>
      </c>
      <c r="AA3059" s="2455" t="s">
        <v>11239</v>
      </c>
      <c r="AB3059" s="2455" t="s">
        <v>7291</v>
      </c>
      <c r="AC3059" s="2455" t="s">
        <v>18325</v>
      </c>
      <c r="AD3059" s="2455" t="s">
        <v>18326</v>
      </c>
      <c r="AE3059" s="2455" t="s">
        <v>2771</v>
      </c>
      <c r="AF3059" s="2458">
        <v>100.0</v>
      </c>
      <c r="AG3059" s="2458">
        <v>0.11</v>
      </c>
      <c r="AH3059" s="2455" t="s">
        <v>139</v>
      </c>
      <c r="AI3059" s="2455" t="s">
        <v>18327</v>
      </c>
      <c r="AJ3059" s="2458">
        <v>0.05</v>
      </c>
      <c r="AK3059" s="2455" t="s">
        <v>135</v>
      </c>
      <c r="AL3059" s="2455" t="s">
        <v>186</v>
      </c>
      <c r="AM3059" s="68" t="s">
        <v>141</v>
      </c>
      <c r="AN3059" s="2455" t="s">
        <v>138</v>
      </c>
      <c r="AO3059" s="2458">
        <v>860.0</v>
      </c>
      <c r="AP3059" s="2458">
        <v>0.01</v>
      </c>
      <c r="AQ3059" s="2455" t="s">
        <v>874</v>
      </c>
      <c r="AR3059" s="2455" t="s">
        <v>18352</v>
      </c>
      <c r="AS3059" s="2458">
        <v>0.025</v>
      </c>
      <c r="AT3059" s="2455" t="s">
        <v>172</v>
      </c>
      <c r="AU3059" s="2455" t="s">
        <v>186</v>
      </c>
      <c r="AV3059" s="68" t="s">
        <v>141</v>
      </c>
      <c r="AW3059" s="2460" t="s">
        <v>18335</v>
      </c>
      <c r="AX3059" s="2455" t="s">
        <v>143</v>
      </c>
      <c r="AY3059" s="61" t="str">
        <f>IFERROR(__xludf.DUMMYFUNCTION("vlookup(BB3059,importrange(""https://docs.google.com/spreadsheets/d/1d2vevQ_7D_v35q4wCQ4RpQ_IPoTwEMB9Yp6ymwlPqew/edit?gid=984458430#gid=984458430"", ""'replication success'!A:K""), 11, FAlSE)"),"#N/A")</f>
        <v>#N/A</v>
      </c>
      <c r="AZ3059" s="61" t="str">
        <f>IFERROR(__xludf.DUMMYFUNCTION("vlookup(BB3059,importrange(""https://docs.google.com/spreadsheets/d/1d2vevQ_7D_v35q4wCQ4RpQ_IPoTwEMB9Yp6ymwlPqew/edit?gid=984458430#gid=984458430"", ""'replication success'!A:M""), 12, FAlSE)"),"#N/A")</f>
        <v>#N/A</v>
      </c>
      <c r="BA3059" s="61" t="str">
        <f>IFERROR(__xludf.DUMMYFUNCTION("vlookup(BB3059,importrange(""https://docs.google.com/spreadsheets/d/1d2vevQ_7D_v35q4wCQ4RpQ_IPoTwEMB9Yp6ymwlPqew/edit?gid=984458430#gid=984458430"", ""'replication success'!A:M""), 13, FAlSE)"),"#N/A")</f>
        <v>#N/A</v>
      </c>
      <c r="BB3059" s="61" t="str">
        <f>IFERROR(__xludf.DUMMYFUNCTION("REGEXREPLACE(G3059, ""_[a-z]{1,2}$"", """")"),"CORE_63")</f>
        <v>CORE_63</v>
      </c>
      <c r="BC3059" s="1492"/>
      <c r="BD3059" s="1491" t="s">
        <v>814</v>
      </c>
      <c r="BE3059" s="1492"/>
    </row>
    <row r="3060">
      <c r="A3060" s="44">
        <v>2889.0</v>
      </c>
      <c r="B3060" s="129" t="s">
        <v>523</v>
      </c>
      <c r="C3060" s="62" t="s">
        <v>115</v>
      </c>
      <c r="D3060" s="62" t="s">
        <v>248</v>
      </c>
      <c r="F3060" s="68" t="s">
        <v>18316</v>
      </c>
      <c r="G3060" s="68" t="s">
        <v>18353</v>
      </c>
      <c r="H3060" s="68" t="s">
        <v>249</v>
      </c>
      <c r="I3060" s="529">
        <v>45811.0</v>
      </c>
      <c r="J3060" s="862"/>
      <c r="K3060" s="68" t="s">
        <v>18350</v>
      </c>
      <c r="L3060" s="68"/>
      <c r="M3060" s="68" t="s">
        <v>18319</v>
      </c>
      <c r="N3060" s="68" t="s">
        <v>18320</v>
      </c>
      <c r="O3060" s="68"/>
      <c r="P3060" s="573" t="s">
        <v>18321</v>
      </c>
      <c r="Q3060" s="2375" t="str">
        <f> hyperlink(vlookup(lower(N3060),'File Links'!E:F, 2, FALSE), "LINK")</f>
        <v>LINK</v>
      </c>
      <c r="R3060" s="68" t="s">
        <v>18322</v>
      </c>
      <c r="S3060" s="68" t="s">
        <v>18323</v>
      </c>
      <c r="T3060" s="68"/>
      <c r="U3060" s="336">
        <v>2.0</v>
      </c>
      <c r="V3060" s="573" t="s">
        <v>18324</v>
      </c>
      <c r="W3060" s="1228"/>
      <c r="X3060" s="2376" t="str">
        <f> hyperlink(vlookup(lower(S3060),'File Links'!E:F, 2, FALSE), "LINK")</f>
        <v>LINK</v>
      </c>
      <c r="Y3060" s="68"/>
      <c r="Z3060" s="68" t="s">
        <v>947</v>
      </c>
      <c r="AA3060" s="68" t="s">
        <v>11239</v>
      </c>
      <c r="AB3060" s="68" t="s">
        <v>7291</v>
      </c>
      <c r="AC3060" s="68" t="s">
        <v>18325</v>
      </c>
      <c r="AD3060" s="68" t="s">
        <v>18354</v>
      </c>
      <c r="AE3060" s="68" t="s">
        <v>507</v>
      </c>
      <c r="AF3060" s="336">
        <v>46.0</v>
      </c>
      <c r="AG3060" s="336">
        <v>0.42</v>
      </c>
      <c r="AH3060" s="68" t="s">
        <v>139</v>
      </c>
      <c r="AI3060" s="68" t="s">
        <v>18355</v>
      </c>
      <c r="AJ3060" s="336">
        <v>0.05</v>
      </c>
      <c r="AK3060" s="68" t="s">
        <v>135</v>
      </c>
      <c r="AL3060" s="68" t="s">
        <v>186</v>
      </c>
      <c r="AM3060" s="68" t="s">
        <v>137</v>
      </c>
      <c r="AN3060" s="68" t="s">
        <v>138</v>
      </c>
      <c r="AO3060" s="336">
        <v>860.0</v>
      </c>
      <c r="AP3060" s="336">
        <v>0.0</v>
      </c>
      <c r="AQ3060" s="68" t="s">
        <v>874</v>
      </c>
      <c r="AR3060" s="68" t="s">
        <v>18356</v>
      </c>
      <c r="AS3060" s="336">
        <v>0.065</v>
      </c>
      <c r="AT3060" s="68" t="s">
        <v>172</v>
      </c>
      <c r="AU3060" s="68" t="s">
        <v>186</v>
      </c>
      <c r="AV3060" s="68" t="s">
        <v>137</v>
      </c>
      <c r="AW3060" s="435" t="s">
        <v>18335</v>
      </c>
      <c r="AX3060" s="68" t="s">
        <v>143</v>
      </c>
      <c r="AY3060" s="61" t="str">
        <f>IFERROR(__xludf.DUMMYFUNCTION("vlookup(BB3060,importrange(""https://docs.google.com/spreadsheets/d/1d2vevQ_7D_v35q4wCQ4RpQ_IPoTwEMB9Yp6ymwlPqew/edit?gid=984458430#gid=984458430"", ""'replication success'!A:K""), 11, FAlSE)"),"#N/A")</f>
        <v>#N/A</v>
      </c>
      <c r="AZ3060" s="61" t="str">
        <f>IFERROR(__xludf.DUMMYFUNCTION("vlookup(BB3060,importrange(""https://docs.google.com/spreadsheets/d/1d2vevQ_7D_v35q4wCQ4RpQ_IPoTwEMB9Yp6ymwlPqew/edit?gid=984458430#gid=984458430"", ""'replication success'!A:M""), 12, FAlSE)"),"#N/A")</f>
        <v>#N/A</v>
      </c>
      <c r="BA3060" s="61" t="str">
        <f>IFERROR(__xludf.DUMMYFUNCTION("vlookup(BB3060,importrange(""https://docs.google.com/spreadsheets/d/1d2vevQ_7D_v35q4wCQ4RpQ_IPoTwEMB9Yp6ymwlPqew/edit?gid=984458430#gid=984458430"", ""'replication success'!A:M""), 13, FAlSE)"),"#N/A")</f>
        <v>#N/A</v>
      </c>
      <c r="BB3060" s="61" t="str">
        <f>IFERROR(__xludf.DUMMYFUNCTION("REGEXREPLACE(G3060, ""_[a-z]{1,2}$"", """")"),"CORE_63")</f>
        <v>CORE_63</v>
      </c>
      <c r="BD3060" s="62" t="s">
        <v>7302</v>
      </c>
    </row>
    <row r="3061">
      <c r="A3061" s="44">
        <v>2890.0</v>
      </c>
      <c r="B3061" s="129" t="s">
        <v>523</v>
      </c>
      <c r="C3061" s="62" t="s">
        <v>115</v>
      </c>
      <c r="D3061" s="62" t="s">
        <v>248</v>
      </c>
      <c r="F3061" s="68" t="s">
        <v>18316</v>
      </c>
      <c r="G3061" s="68" t="s">
        <v>18357</v>
      </c>
      <c r="H3061" s="68" t="s">
        <v>249</v>
      </c>
      <c r="I3061" s="529">
        <v>45811.0</v>
      </c>
      <c r="J3061" s="862"/>
      <c r="K3061" s="68" t="s">
        <v>18350</v>
      </c>
      <c r="L3061" s="68"/>
      <c r="M3061" s="68" t="s">
        <v>18319</v>
      </c>
      <c r="N3061" s="68" t="s">
        <v>18320</v>
      </c>
      <c r="O3061" s="68"/>
      <c r="P3061" s="573" t="s">
        <v>18321</v>
      </c>
      <c r="Q3061" s="2375" t="str">
        <f> hyperlink(vlookup(lower(N3061),'File Links'!E:F, 2, FALSE), "LINK")</f>
        <v>LINK</v>
      </c>
      <c r="R3061" s="68" t="s">
        <v>18322</v>
      </c>
      <c r="S3061" s="68" t="s">
        <v>18323</v>
      </c>
      <c r="T3061" s="68"/>
      <c r="U3061" s="336">
        <v>3.0</v>
      </c>
      <c r="V3061" s="573" t="s">
        <v>18324</v>
      </c>
      <c r="W3061" s="1228"/>
      <c r="X3061" s="2376" t="str">
        <f> hyperlink(vlookup(lower(S3061),'File Links'!E:F, 2, FALSE), "LINK")</f>
        <v>LINK</v>
      </c>
      <c r="Y3061" s="68"/>
      <c r="Z3061" s="68" t="s">
        <v>947</v>
      </c>
      <c r="AA3061" s="68" t="s">
        <v>11239</v>
      </c>
      <c r="AB3061" s="68" t="s">
        <v>7291</v>
      </c>
      <c r="AC3061" s="68" t="s">
        <v>18325</v>
      </c>
      <c r="AD3061" s="68" t="s">
        <v>18358</v>
      </c>
      <c r="AE3061" s="68" t="s">
        <v>882</v>
      </c>
      <c r="AF3061" s="336">
        <v>46.0</v>
      </c>
      <c r="AG3061" s="336">
        <v>0.46</v>
      </c>
      <c r="AH3061" s="68" t="s">
        <v>173</v>
      </c>
      <c r="AI3061" s="68" t="s">
        <v>882</v>
      </c>
      <c r="AJ3061" s="336">
        <v>0.13</v>
      </c>
      <c r="AK3061" s="68" t="s">
        <v>172</v>
      </c>
      <c r="AL3061" s="68" t="s">
        <v>186</v>
      </c>
      <c r="AM3061" s="68" t="s">
        <v>137</v>
      </c>
      <c r="AN3061" s="68" t="s">
        <v>138</v>
      </c>
      <c r="AO3061" s="336">
        <v>860.0</v>
      </c>
      <c r="AP3061" s="336">
        <v>0.17</v>
      </c>
      <c r="AQ3061" s="68" t="s">
        <v>1256</v>
      </c>
      <c r="AR3061" s="129" t="s">
        <v>18359</v>
      </c>
      <c r="AS3061" s="336">
        <v>0.001</v>
      </c>
      <c r="AT3061" s="68" t="s">
        <v>135</v>
      </c>
      <c r="AU3061" s="68" t="s">
        <v>186</v>
      </c>
      <c r="AV3061" s="68" t="s">
        <v>137</v>
      </c>
      <c r="AW3061" s="435" t="s">
        <v>18335</v>
      </c>
      <c r="AX3061" s="68" t="s">
        <v>143</v>
      </c>
      <c r="AY3061" s="61" t="str">
        <f>IFERROR(__xludf.DUMMYFUNCTION("vlookup(BB3061,importrange(""https://docs.google.com/spreadsheets/d/1d2vevQ_7D_v35q4wCQ4RpQ_IPoTwEMB9Yp6ymwlPqew/edit?gid=984458430#gid=984458430"", ""'replication success'!A:K""), 11, FAlSE)"),"#N/A")</f>
        <v>#N/A</v>
      </c>
      <c r="AZ3061" s="61" t="str">
        <f>IFERROR(__xludf.DUMMYFUNCTION("vlookup(BB3061,importrange(""https://docs.google.com/spreadsheets/d/1d2vevQ_7D_v35q4wCQ4RpQ_IPoTwEMB9Yp6ymwlPqew/edit?gid=984458430#gid=984458430"", ""'replication success'!A:M""), 12, FAlSE)"),"#N/A")</f>
        <v>#N/A</v>
      </c>
      <c r="BA3061" s="61" t="str">
        <f>IFERROR(__xludf.DUMMYFUNCTION("vlookup(BB3061,importrange(""https://docs.google.com/spreadsheets/d/1d2vevQ_7D_v35q4wCQ4RpQ_IPoTwEMB9Yp6ymwlPqew/edit?gid=984458430#gid=984458430"", ""'replication success'!A:M""), 13, FAlSE)"),"#N/A")</f>
        <v>#N/A</v>
      </c>
      <c r="BB3061" s="61" t="str">
        <f>IFERROR(__xludf.DUMMYFUNCTION("REGEXREPLACE(G3061, ""_[a-z]{1,2}$"", """")"),"CORE_63")</f>
        <v>CORE_63</v>
      </c>
      <c r="BD3061" s="62" t="s">
        <v>7302</v>
      </c>
    </row>
    <row r="3062">
      <c r="A3062" s="44">
        <v>2891.0</v>
      </c>
      <c r="B3062" s="129" t="s">
        <v>523</v>
      </c>
      <c r="C3062" s="62" t="s">
        <v>115</v>
      </c>
      <c r="D3062" s="62" t="s">
        <v>248</v>
      </c>
      <c r="F3062" s="68" t="s">
        <v>18316</v>
      </c>
      <c r="G3062" s="68" t="s">
        <v>18360</v>
      </c>
      <c r="H3062" s="68" t="s">
        <v>249</v>
      </c>
      <c r="I3062" s="529">
        <v>45811.0</v>
      </c>
      <c r="J3062" s="862"/>
      <c r="K3062" s="68" t="s">
        <v>18350</v>
      </c>
      <c r="L3062" s="68"/>
      <c r="M3062" s="68" t="s">
        <v>18319</v>
      </c>
      <c r="N3062" s="68" t="s">
        <v>18320</v>
      </c>
      <c r="O3062" s="68"/>
      <c r="P3062" s="573" t="s">
        <v>18321</v>
      </c>
      <c r="Q3062" s="2375" t="str">
        <f> hyperlink(vlookup(lower(N3062),'File Links'!E:F, 2, FALSE), "LINK")</f>
        <v>LINK</v>
      </c>
      <c r="R3062" s="68" t="s">
        <v>18322</v>
      </c>
      <c r="S3062" s="68" t="s">
        <v>18323</v>
      </c>
      <c r="T3062" s="68"/>
      <c r="U3062" s="336">
        <v>4.0</v>
      </c>
      <c r="V3062" s="573" t="s">
        <v>18324</v>
      </c>
      <c r="W3062" s="1228"/>
      <c r="X3062" s="2376" t="str">
        <f> hyperlink(vlookup(lower(S3062),'File Links'!E:F, 2, FALSE), "LINK")</f>
        <v>LINK</v>
      </c>
      <c r="Y3062" s="68"/>
      <c r="Z3062" s="68" t="s">
        <v>947</v>
      </c>
      <c r="AA3062" s="68" t="s">
        <v>11239</v>
      </c>
      <c r="AB3062" s="68" t="s">
        <v>7291</v>
      </c>
      <c r="AC3062" s="68" t="s">
        <v>18325</v>
      </c>
      <c r="AD3062" s="68" t="s">
        <v>18361</v>
      </c>
      <c r="AE3062" s="68" t="s">
        <v>18346</v>
      </c>
      <c r="AF3062" s="336">
        <v>171.0</v>
      </c>
      <c r="AG3062" s="336">
        <v>0.34</v>
      </c>
      <c r="AH3062" s="68" t="s">
        <v>173</v>
      </c>
      <c r="AI3062" s="68" t="s">
        <v>18362</v>
      </c>
      <c r="AJ3062" s="336">
        <v>0.05</v>
      </c>
      <c r="AK3062" s="68" t="s">
        <v>135</v>
      </c>
      <c r="AL3062" s="68" t="s">
        <v>186</v>
      </c>
      <c r="AM3062" s="68" t="s">
        <v>137</v>
      </c>
      <c r="AN3062" s="68" t="s">
        <v>138</v>
      </c>
      <c r="AO3062" s="336">
        <v>860.0</v>
      </c>
      <c r="AP3062" s="336">
        <v>0.02</v>
      </c>
      <c r="AQ3062" s="68" t="s">
        <v>874</v>
      </c>
      <c r="AR3062" s="68" t="s">
        <v>18363</v>
      </c>
      <c r="AS3062" s="336">
        <v>0.001</v>
      </c>
      <c r="AT3062" s="68" t="s">
        <v>135</v>
      </c>
      <c r="AU3062" s="68" t="s">
        <v>186</v>
      </c>
      <c r="AV3062" s="68" t="s">
        <v>137</v>
      </c>
      <c r="AW3062" s="435" t="s">
        <v>18335</v>
      </c>
      <c r="AX3062" s="68" t="s">
        <v>143</v>
      </c>
      <c r="AY3062" s="61" t="str">
        <f>IFERROR(__xludf.DUMMYFUNCTION("vlookup(BB3062,importrange(""https://docs.google.com/spreadsheets/d/1d2vevQ_7D_v35q4wCQ4RpQ_IPoTwEMB9Yp6ymwlPqew/edit?gid=984458430#gid=984458430"", ""'replication success'!A:K""), 11, FAlSE)"),"#N/A")</f>
        <v>#N/A</v>
      </c>
      <c r="AZ3062" s="61" t="str">
        <f>IFERROR(__xludf.DUMMYFUNCTION("vlookup(BB3062,importrange(""https://docs.google.com/spreadsheets/d/1d2vevQ_7D_v35q4wCQ4RpQ_IPoTwEMB9Yp6ymwlPqew/edit?gid=984458430#gid=984458430"", ""'replication success'!A:M""), 12, FAlSE)"),"#N/A")</f>
        <v>#N/A</v>
      </c>
      <c r="BA3062" s="61" t="str">
        <f>IFERROR(__xludf.DUMMYFUNCTION("vlookup(BB3062,importrange(""https://docs.google.com/spreadsheets/d/1d2vevQ_7D_v35q4wCQ4RpQ_IPoTwEMB9Yp6ymwlPqew/edit?gid=984458430#gid=984458430"", ""'replication success'!A:M""), 13, FAlSE)"),"#N/A")</f>
        <v>#N/A</v>
      </c>
      <c r="BB3062" s="61" t="str">
        <f>IFERROR(__xludf.DUMMYFUNCTION("REGEXREPLACE(G3062, ""_[a-z]{1,2}$"", """")"),"CORE_63")</f>
        <v>CORE_63</v>
      </c>
      <c r="BD3062" s="62" t="s">
        <v>7302</v>
      </c>
    </row>
    <row r="3063">
      <c r="A3063" s="44">
        <v>2892.0</v>
      </c>
      <c r="B3063" s="129" t="s">
        <v>523</v>
      </c>
      <c r="C3063" s="62" t="s">
        <v>115</v>
      </c>
      <c r="D3063" s="62" t="s">
        <v>248</v>
      </c>
      <c r="F3063" s="68" t="s">
        <v>18316</v>
      </c>
      <c r="G3063" s="68" t="s">
        <v>18364</v>
      </c>
      <c r="H3063" s="68" t="s">
        <v>249</v>
      </c>
      <c r="I3063" s="529">
        <v>45811.0</v>
      </c>
      <c r="J3063" s="862"/>
      <c r="K3063" s="68" t="s">
        <v>18365</v>
      </c>
      <c r="L3063" s="68"/>
      <c r="M3063" s="68" t="s">
        <v>18319</v>
      </c>
      <c r="N3063" s="68" t="s">
        <v>18320</v>
      </c>
      <c r="O3063" s="68"/>
      <c r="P3063" s="573" t="s">
        <v>18321</v>
      </c>
      <c r="Q3063" s="2375" t="str">
        <f> hyperlink(vlookup(lower(N3063),'File Links'!E:F, 2, FALSE), "LINK")</f>
        <v>LINK</v>
      </c>
      <c r="R3063" s="68" t="s">
        <v>18322</v>
      </c>
      <c r="S3063" s="68" t="s">
        <v>18323</v>
      </c>
      <c r="T3063" s="68"/>
      <c r="U3063" s="336">
        <v>4.0</v>
      </c>
      <c r="V3063" s="573" t="s">
        <v>18324</v>
      </c>
      <c r="W3063" s="1228"/>
      <c r="X3063" s="2376" t="str">
        <f> hyperlink(vlookup(lower(S3063),'File Links'!E:F, 2, FALSE), "LINK")</f>
        <v>LINK</v>
      </c>
      <c r="Y3063" s="68"/>
      <c r="Z3063" s="68" t="s">
        <v>947</v>
      </c>
      <c r="AA3063" s="68" t="s">
        <v>11239</v>
      </c>
      <c r="AB3063" s="68" t="s">
        <v>7291</v>
      </c>
      <c r="AC3063" s="68" t="s">
        <v>18325</v>
      </c>
      <c r="AD3063" s="68" t="s">
        <v>18366</v>
      </c>
      <c r="AE3063" s="68" t="s">
        <v>1042</v>
      </c>
      <c r="AF3063" s="336">
        <v>171.0</v>
      </c>
      <c r="AG3063" s="68" t="s">
        <v>18367</v>
      </c>
      <c r="AH3063" s="68" t="s">
        <v>134</v>
      </c>
      <c r="AI3063" s="68" t="s">
        <v>18368</v>
      </c>
      <c r="AJ3063" s="336">
        <v>0.01</v>
      </c>
      <c r="AK3063" s="68" t="s">
        <v>135</v>
      </c>
      <c r="AL3063" s="68" t="s">
        <v>186</v>
      </c>
      <c r="AM3063" s="68" t="s">
        <v>137</v>
      </c>
      <c r="AN3063" s="68" t="s">
        <v>138</v>
      </c>
      <c r="AO3063" s="336">
        <v>860.0</v>
      </c>
      <c r="AP3063" s="336">
        <v>0.72</v>
      </c>
      <c r="AQ3063" s="68" t="s">
        <v>173</v>
      </c>
      <c r="AR3063" s="68" t="s">
        <v>18369</v>
      </c>
      <c r="AS3063" s="336">
        <v>0.001</v>
      </c>
      <c r="AT3063" s="68" t="s">
        <v>135</v>
      </c>
      <c r="AU3063" s="68" t="s">
        <v>186</v>
      </c>
      <c r="AV3063" s="68" t="s">
        <v>137</v>
      </c>
      <c r="AW3063" s="435" t="s">
        <v>18335</v>
      </c>
      <c r="AX3063" s="68" t="s">
        <v>143</v>
      </c>
      <c r="AY3063" s="61" t="str">
        <f>IFERROR(__xludf.DUMMYFUNCTION("vlookup(BB3063,importrange(""https://docs.google.com/spreadsheets/d/1d2vevQ_7D_v35q4wCQ4RpQ_IPoTwEMB9Yp6ymwlPqew/edit?gid=984458430#gid=984458430"", ""'replication success'!A:K""), 11, FAlSE)"),"#N/A")</f>
        <v>#N/A</v>
      </c>
      <c r="AZ3063" s="61" t="str">
        <f>IFERROR(__xludf.DUMMYFUNCTION("vlookup(BB3063,importrange(""https://docs.google.com/spreadsheets/d/1d2vevQ_7D_v35q4wCQ4RpQ_IPoTwEMB9Yp6ymwlPqew/edit?gid=984458430#gid=984458430"", ""'replication success'!A:M""), 12, FAlSE)"),"#N/A")</f>
        <v>#N/A</v>
      </c>
      <c r="BA3063" s="61" t="str">
        <f>IFERROR(__xludf.DUMMYFUNCTION("vlookup(BB3063,importrange(""https://docs.google.com/spreadsheets/d/1d2vevQ_7D_v35q4wCQ4RpQ_IPoTwEMB9Yp6ymwlPqew/edit?gid=984458430#gid=984458430"", ""'replication success'!A:M""), 13, FAlSE)"),"#N/A")</f>
        <v>#N/A</v>
      </c>
      <c r="BB3063" s="61" t="str">
        <f>IFERROR(__xludf.DUMMYFUNCTION("REGEXREPLACE(G3063, ""_[a-z]{1,2}$"", """")"),"CORE_63")</f>
        <v>CORE_63</v>
      </c>
      <c r="BD3063" s="62" t="s">
        <v>7302</v>
      </c>
    </row>
    <row r="3064">
      <c r="A3064" s="44">
        <v>2893.0</v>
      </c>
      <c r="B3064" s="129" t="s">
        <v>523</v>
      </c>
      <c r="C3064" s="62" t="s">
        <v>115</v>
      </c>
      <c r="D3064" s="62" t="s">
        <v>248</v>
      </c>
      <c r="F3064" s="68" t="s">
        <v>18370</v>
      </c>
      <c r="G3064" s="68" t="s">
        <v>18371</v>
      </c>
      <c r="H3064" s="68" t="s">
        <v>249</v>
      </c>
      <c r="I3064" s="529">
        <v>45811.0</v>
      </c>
      <c r="J3064" s="862"/>
      <c r="K3064" s="68" t="s">
        <v>18372</v>
      </c>
      <c r="L3064" s="68"/>
      <c r="M3064" s="68" t="s">
        <v>18319</v>
      </c>
      <c r="N3064" s="68" t="s">
        <v>18320</v>
      </c>
      <c r="O3064" s="68"/>
      <c r="P3064" s="68" t="s">
        <v>18321</v>
      </c>
      <c r="Q3064" s="2375" t="str">
        <f> hyperlink(vlookup(lower(N3064),'File Links'!E:F, 2, FALSE), "LINK")</f>
        <v>LINK</v>
      </c>
      <c r="R3064" s="68" t="s">
        <v>18373</v>
      </c>
      <c r="S3064" s="68" t="s">
        <v>18374</v>
      </c>
      <c r="T3064" s="68"/>
      <c r="U3064" s="68" t="s">
        <v>18375</v>
      </c>
      <c r="V3064" s="573" t="s">
        <v>18376</v>
      </c>
      <c r="W3064" s="1228"/>
      <c r="X3064" s="2376" t="str">
        <f> hyperlink(vlookup(lower(S3064),'File Links'!E:F, 2, FALSE), "LINK")</f>
        <v>LINK</v>
      </c>
      <c r="Y3064" s="68"/>
      <c r="Z3064" s="68" t="s">
        <v>947</v>
      </c>
      <c r="AA3064" s="68" t="s">
        <v>18377</v>
      </c>
      <c r="AB3064" s="68" t="s">
        <v>7291</v>
      </c>
      <c r="AC3064" s="68" t="s">
        <v>18378</v>
      </c>
      <c r="AD3064" s="68" t="s">
        <v>18379</v>
      </c>
      <c r="AE3064" s="68" t="s">
        <v>507</v>
      </c>
      <c r="AF3064" s="336">
        <v>28.0</v>
      </c>
      <c r="AG3064" s="68" t="s">
        <v>18380</v>
      </c>
      <c r="AH3064" s="68" t="s">
        <v>134</v>
      </c>
      <c r="AI3064" s="68" t="s">
        <v>18381</v>
      </c>
      <c r="AJ3064" s="336">
        <v>1.0E-4</v>
      </c>
      <c r="AK3064" s="68" t="s">
        <v>135</v>
      </c>
      <c r="AL3064" s="68" t="s">
        <v>186</v>
      </c>
      <c r="AM3064" s="68" t="s">
        <v>137</v>
      </c>
      <c r="AN3064" s="68" t="s">
        <v>138</v>
      </c>
      <c r="AO3064" s="336">
        <v>45.0</v>
      </c>
      <c r="AP3064" s="68" t="s">
        <v>18382</v>
      </c>
      <c r="AQ3064" s="68" t="s">
        <v>134</v>
      </c>
      <c r="AR3064" s="68" t="s">
        <v>18383</v>
      </c>
      <c r="AS3064" s="336">
        <v>0.001</v>
      </c>
      <c r="AT3064" s="68" t="s">
        <v>135</v>
      </c>
      <c r="AU3064" s="68" t="s">
        <v>186</v>
      </c>
      <c r="AV3064" s="68" t="s">
        <v>137</v>
      </c>
      <c r="AW3064" s="435" t="s">
        <v>18384</v>
      </c>
      <c r="AX3064" s="68" t="s">
        <v>143</v>
      </c>
      <c r="AY3064" s="61" t="str">
        <f>IFERROR(__xludf.DUMMYFUNCTION("vlookup(BB3064,importrange(""https://docs.google.com/spreadsheets/d/1d2vevQ_7D_v35q4wCQ4RpQ_IPoTwEMB9Yp6ymwlPqew/edit?gid=984458430#gid=984458430"", ""'replication success'!A:K""), 11, FAlSE)"),"#N/A")</f>
        <v>#N/A</v>
      </c>
      <c r="AZ3064" s="61" t="str">
        <f>IFERROR(__xludf.DUMMYFUNCTION("vlookup(BB3064,importrange(""https://docs.google.com/spreadsheets/d/1d2vevQ_7D_v35q4wCQ4RpQ_IPoTwEMB9Yp6ymwlPqew/edit?gid=984458430#gid=984458430"", ""'replication success'!A:M""), 12, FAlSE)"),"#N/A")</f>
        <v>#N/A</v>
      </c>
      <c r="BA3064" s="61" t="str">
        <f>IFERROR(__xludf.DUMMYFUNCTION("vlookup(BB3064,importrange(""https://docs.google.com/spreadsheets/d/1d2vevQ_7D_v35q4wCQ4RpQ_IPoTwEMB9Yp6ymwlPqew/edit?gid=984458430#gid=984458430"", ""'replication success'!A:M""), 13, FAlSE)"),"#N/A")</f>
        <v>#N/A</v>
      </c>
      <c r="BB3064" s="61" t="str">
        <f>IFERROR(__xludf.DUMMYFUNCTION("REGEXREPLACE(G3064, ""_[a-z]{1,2}$"", """")"),"CORE_70")</f>
        <v>CORE_70</v>
      </c>
    </row>
    <row r="3065">
      <c r="A3065" s="44">
        <v>2894.0</v>
      </c>
      <c r="B3065" s="129" t="s">
        <v>523</v>
      </c>
      <c r="C3065" s="62" t="s">
        <v>115</v>
      </c>
      <c r="D3065" s="62" t="s">
        <v>248</v>
      </c>
      <c r="F3065" s="68" t="s">
        <v>18370</v>
      </c>
      <c r="G3065" s="68" t="s">
        <v>18385</v>
      </c>
      <c r="H3065" s="68" t="s">
        <v>249</v>
      </c>
      <c r="I3065" s="529">
        <v>45811.0</v>
      </c>
      <c r="J3065" s="862"/>
      <c r="K3065" s="68" t="s">
        <v>18372</v>
      </c>
      <c r="L3065" s="68"/>
      <c r="M3065" s="68" t="s">
        <v>18319</v>
      </c>
      <c r="N3065" s="68" t="s">
        <v>18320</v>
      </c>
      <c r="O3065" s="68"/>
      <c r="P3065" s="68" t="s">
        <v>18321</v>
      </c>
      <c r="Q3065" s="2375" t="str">
        <f> hyperlink(vlookup(lower(N3065),'File Links'!E:F, 2, FALSE), "LINK")</f>
        <v>LINK</v>
      </c>
      <c r="R3065" s="68" t="s">
        <v>18373</v>
      </c>
      <c r="S3065" s="68" t="s">
        <v>18374</v>
      </c>
      <c r="T3065" s="68"/>
      <c r="U3065" s="68" t="s">
        <v>18375</v>
      </c>
      <c r="V3065" s="573" t="s">
        <v>18376</v>
      </c>
      <c r="W3065" s="1228"/>
      <c r="X3065" s="2376" t="str">
        <f> hyperlink(vlookup(lower(S3065),'File Links'!E:F, 2, FALSE), "LINK")</f>
        <v>LINK</v>
      </c>
      <c r="Y3065" s="68"/>
      <c r="Z3065" s="68" t="s">
        <v>947</v>
      </c>
      <c r="AA3065" s="68" t="s">
        <v>18377</v>
      </c>
      <c r="AB3065" s="68" t="s">
        <v>7291</v>
      </c>
      <c r="AC3065" s="68" t="s">
        <v>18378</v>
      </c>
      <c r="AD3065" s="68" t="s">
        <v>18379</v>
      </c>
      <c r="AE3065" s="68" t="s">
        <v>507</v>
      </c>
      <c r="AF3065" s="336">
        <v>28.0</v>
      </c>
      <c r="AG3065" s="68" t="s">
        <v>18380</v>
      </c>
      <c r="AH3065" s="68" t="s">
        <v>134</v>
      </c>
      <c r="AI3065" s="68" t="s">
        <v>18381</v>
      </c>
      <c r="AJ3065" s="336">
        <v>1.0E-4</v>
      </c>
      <c r="AK3065" s="68" t="s">
        <v>135</v>
      </c>
      <c r="AL3065" s="68" t="s">
        <v>186</v>
      </c>
      <c r="AM3065" s="68" t="s">
        <v>137</v>
      </c>
      <c r="AN3065" s="68" t="s">
        <v>138</v>
      </c>
      <c r="AO3065" s="336">
        <v>303.0</v>
      </c>
      <c r="AP3065" s="68" t="s">
        <v>18386</v>
      </c>
      <c r="AQ3065" s="68" t="s">
        <v>134</v>
      </c>
      <c r="AR3065" s="68" t="s">
        <v>18387</v>
      </c>
      <c r="AS3065" s="336">
        <v>0.001</v>
      </c>
      <c r="AT3065" s="68" t="s">
        <v>135</v>
      </c>
      <c r="AU3065" s="68" t="s">
        <v>186</v>
      </c>
      <c r="AV3065" s="68" t="s">
        <v>137</v>
      </c>
      <c r="AW3065" s="435" t="s">
        <v>18384</v>
      </c>
      <c r="AX3065" s="68" t="s">
        <v>143</v>
      </c>
      <c r="AY3065" s="61" t="str">
        <f>IFERROR(__xludf.DUMMYFUNCTION("vlookup(BB3065,importrange(""https://docs.google.com/spreadsheets/d/1d2vevQ_7D_v35q4wCQ4RpQ_IPoTwEMB9Yp6ymwlPqew/edit?gid=984458430#gid=984458430"", ""'replication success'!A:K""), 11, FAlSE)"),"#N/A")</f>
        <v>#N/A</v>
      </c>
      <c r="AZ3065" s="61" t="str">
        <f>IFERROR(__xludf.DUMMYFUNCTION("vlookup(BB3065,importrange(""https://docs.google.com/spreadsheets/d/1d2vevQ_7D_v35q4wCQ4RpQ_IPoTwEMB9Yp6ymwlPqew/edit?gid=984458430#gid=984458430"", ""'replication success'!A:M""), 12, FAlSE)"),"#N/A")</f>
        <v>#N/A</v>
      </c>
      <c r="BA3065" s="61" t="str">
        <f>IFERROR(__xludf.DUMMYFUNCTION("vlookup(BB3065,importrange(""https://docs.google.com/spreadsheets/d/1d2vevQ_7D_v35q4wCQ4RpQ_IPoTwEMB9Yp6ymwlPqew/edit?gid=984458430#gid=984458430"", ""'replication success'!A:M""), 13, FAlSE)"),"#N/A")</f>
        <v>#N/A</v>
      </c>
      <c r="BB3065" s="61" t="str">
        <f>IFERROR(__xludf.DUMMYFUNCTION("REGEXREPLACE(G3065, ""_[a-z]{1,2}$"", """")"),"CORE_70")</f>
        <v>CORE_70</v>
      </c>
    </row>
    <row r="3066">
      <c r="A3066" s="44">
        <v>2895.0</v>
      </c>
      <c r="B3066" s="129" t="s">
        <v>523</v>
      </c>
      <c r="C3066" s="62" t="s">
        <v>115</v>
      </c>
      <c r="D3066" s="62" t="s">
        <v>248</v>
      </c>
      <c r="F3066" s="68" t="s">
        <v>18370</v>
      </c>
      <c r="G3066" s="68" t="s">
        <v>18388</v>
      </c>
      <c r="H3066" s="68" t="s">
        <v>249</v>
      </c>
      <c r="I3066" s="529">
        <v>45811.0</v>
      </c>
      <c r="J3066" s="862"/>
      <c r="K3066" s="68" t="s">
        <v>18372</v>
      </c>
      <c r="L3066" s="68"/>
      <c r="M3066" s="68" t="s">
        <v>18319</v>
      </c>
      <c r="N3066" s="68" t="s">
        <v>18320</v>
      </c>
      <c r="O3066" s="68"/>
      <c r="P3066" s="68" t="s">
        <v>18321</v>
      </c>
      <c r="Q3066" s="2375" t="str">
        <f> hyperlink(vlookup(lower(N3066),'File Links'!E:F, 2, FALSE), "LINK")</f>
        <v>LINK</v>
      </c>
      <c r="R3066" s="68" t="s">
        <v>18373</v>
      </c>
      <c r="S3066" s="68" t="s">
        <v>18374</v>
      </c>
      <c r="T3066" s="68"/>
      <c r="U3066" s="68" t="s">
        <v>18375</v>
      </c>
      <c r="V3066" s="573" t="s">
        <v>18376</v>
      </c>
      <c r="W3066" s="1228"/>
      <c r="X3066" s="2376" t="str">
        <f> hyperlink(vlookup(lower(S3066),'File Links'!E:F, 2, FALSE), "LINK")</f>
        <v>LINK</v>
      </c>
      <c r="Y3066" s="68"/>
      <c r="Z3066" s="68" t="s">
        <v>947</v>
      </c>
      <c r="AA3066" s="68" t="s">
        <v>18377</v>
      </c>
      <c r="AB3066" s="68" t="s">
        <v>7291</v>
      </c>
      <c r="AC3066" s="68" t="s">
        <v>18378</v>
      </c>
      <c r="AD3066" s="68" t="s">
        <v>18379</v>
      </c>
      <c r="AE3066" s="68" t="s">
        <v>507</v>
      </c>
      <c r="AF3066" s="336">
        <v>28.0</v>
      </c>
      <c r="AG3066" s="68" t="s">
        <v>18380</v>
      </c>
      <c r="AH3066" s="68" t="s">
        <v>134</v>
      </c>
      <c r="AI3066" s="68" t="s">
        <v>18381</v>
      </c>
      <c r="AJ3066" s="336">
        <v>1.0E-4</v>
      </c>
      <c r="AK3066" s="68" t="s">
        <v>135</v>
      </c>
      <c r="AL3066" s="68" t="s">
        <v>186</v>
      </c>
      <c r="AM3066" s="68" t="s">
        <v>137</v>
      </c>
      <c r="AN3066" s="68" t="s">
        <v>138</v>
      </c>
      <c r="AO3066" s="336">
        <v>621.0</v>
      </c>
      <c r="AP3066" s="129" t="s">
        <v>18389</v>
      </c>
      <c r="AQ3066" s="68" t="s">
        <v>134</v>
      </c>
      <c r="AR3066" s="68" t="s">
        <v>18390</v>
      </c>
      <c r="AS3066" s="336">
        <v>0.001</v>
      </c>
      <c r="AT3066" s="68" t="s">
        <v>135</v>
      </c>
      <c r="AU3066" s="68" t="s">
        <v>186</v>
      </c>
      <c r="AV3066" s="68" t="s">
        <v>137</v>
      </c>
      <c r="AW3066" s="435" t="s">
        <v>18384</v>
      </c>
      <c r="AX3066" s="68" t="s">
        <v>143</v>
      </c>
      <c r="AY3066" s="61" t="str">
        <f>IFERROR(__xludf.DUMMYFUNCTION("vlookup(BB3066,importrange(""https://docs.google.com/spreadsheets/d/1d2vevQ_7D_v35q4wCQ4RpQ_IPoTwEMB9Yp6ymwlPqew/edit?gid=984458430#gid=984458430"", ""'replication success'!A:K""), 11, FAlSE)"),"#N/A")</f>
        <v>#N/A</v>
      </c>
      <c r="AZ3066" s="61" t="str">
        <f>IFERROR(__xludf.DUMMYFUNCTION("vlookup(BB3066,importrange(""https://docs.google.com/spreadsheets/d/1d2vevQ_7D_v35q4wCQ4RpQ_IPoTwEMB9Yp6ymwlPqew/edit?gid=984458430#gid=984458430"", ""'replication success'!A:M""), 12, FAlSE)"),"#N/A")</f>
        <v>#N/A</v>
      </c>
      <c r="BA3066" s="61" t="str">
        <f>IFERROR(__xludf.DUMMYFUNCTION("vlookup(BB3066,importrange(""https://docs.google.com/spreadsheets/d/1d2vevQ_7D_v35q4wCQ4RpQ_IPoTwEMB9Yp6ymwlPqew/edit?gid=984458430#gid=984458430"", ""'replication success'!A:M""), 13, FAlSE)"),"#N/A")</f>
        <v>#N/A</v>
      </c>
      <c r="BB3066" s="61" t="str">
        <f>IFERROR(__xludf.DUMMYFUNCTION("REGEXREPLACE(G3066, ""_[a-z]{1,2}$"", """")"),"CORE_70")</f>
        <v>CORE_70</v>
      </c>
    </row>
    <row r="3067">
      <c r="A3067" s="44">
        <v>2896.0</v>
      </c>
      <c r="B3067" s="129" t="s">
        <v>523</v>
      </c>
      <c r="C3067" s="62" t="s">
        <v>115</v>
      </c>
      <c r="D3067" s="62" t="s">
        <v>248</v>
      </c>
      <c r="F3067" s="68" t="s">
        <v>18370</v>
      </c>
      <c r="G3067" s="68" t="s">
        <v>18391</v>
      </c>
      <c r="H3067" s="68" t="s">
        <v>249</v>
      </c>
      <c r="I3067" s="529">
        <v>45811.0</v>
      </c>
      <c r="J3067" s="862"/>
      <c r="K3067" s="68" t="s">
        <v>18372</v>
      </c>
      <c r="L3067" s="68"/>
      <c r="M3067" s="68" t="s">
        <v>18319</v>
      </c>
      <c r="N3067" s="68" t="s">
        <v>18320</v>
      </c>
      <c r="O3067" s="68"/>
      <c r="P3067" s="68" t="s">
        <v>18321</v>
      </c>
      <c r="Q3067" s="2375" t="str">
        <f> hyperlink(vlookup(lower(N3067),'File Links'!E:F, 2, FALSE), "LINK")</f>
        <v>LINK</v>
      </c>
      <c r="R3067" s="68" t="s">
        <v>18373</v>
      </c>
      <c r="S3067" s="68" t="s">
        <v>18374</v>
      </c>
      <c r="T3067" s="68"/>
      <c r="U3067" s="336">
        <v>2.0</v>
      </c>
      <c r="V3067" s="573" t="s">
        <v>18376</v>
      </c>
      <c r="W3067" s="1228"/>
      <c r="X3067" s="2376" t="str">
        <f> hyperlink(vlookup(lower(S3067),'File Links'!E:F, 2, FALSE), "LINK")</f>
        <v>LINK</v>
      </c>
      <c r="Y3067" s="68"/>
      <c r="Z3067" s="68" t="s">
        <v>947</v>
      </c>
      <c r="AA3067" s="68" t="s">
        <v>18377</v>
      </c>
      <c r="AB3067" s="68" t="s">
        <v>7291</v>
      </c>
      <c r="AC3067" s="68" t="s">
        <v>18378</v>
      </c>
      <c r="AD3067" s="68" t="s">
        <v>18392</v>
      </c>
      <c r="AE3067" s="68" t="s">
        <v>4979</v>
      </c>
      <c r="AF3067" s="336">
        <v>91.0</v>
      </c>
      <c r="AG3067" s="68" t="s">
        <v>18393</v>
      </c>
      <c r="AH3067" s="68" t="s">
        <v>134</v>
      </c>
      <c r="AI3067" s="68" t="s">
        <v>18394</v>
      </c>
      <c r="AJ3067" s="336">
        <v>0.001</v>
      </c>
      <c r="AK3067" s="68" t="s">
        <v>135</v>
      </c>
      <c r="AL3067" s="68" t="s">
        <v>186</v>
      </c>
      <c r="AM3067" s="68" t="s">
        <v>137</v>
      </c>
      <c r="AN3067" s="68" t="s">
        <v>138</v>
      </c>
      <c r="AO3067" s="336">
        <v>43.0</v>
      </c>
      <c r="AP3067" s="68" t="s">
        <v>18395</v>
      </c>
      <c r="AQ3067" s="68" t="s">
        <v>134</v>
      </c>
      <c r="AR3067" s="68" t="s">
        <v>18396</v>
      </c>
      <c r="AS3067" s="336">
        <v>0.001</v>
      </c>
      <c r="AT3067" s="68" t="s">
        <v>135</v>
      </c>
      <c r="AU3067" s="68" t="s">
        <v>186</v>
      </c>
      <c r="AV3067" s="68" t="s">
        <v>137</v>
      </c>
      <c r="AW3067" s="435" t="s">
        <v>18384</v>
      </c>
      <c r="AX3067" s="68" t="s">
        <v>143</v>
      </c>
      <c r="AY3067" s="61" t="str">
        <f>IFERROR(__xludf.DUMMYFUNCTION("vlookup(BB3067,importrange(""https://docs.google.com/spreadsheets/d/1d2vevQ_7D_v35q4wCQ4RpQ_IPoTwEMB9Yp6ymwlPqew/edit?gid=984458430#gid=984458430"", ""'replication success'!A:K""), 11, FAlSE)"),"#N/A")</f>
        <v>#N/A</v>
      </c>
      <c r="AZ3067" s="61" t="str">
        <f>IFERROR(__xludf.DUMMYFUNCTION("vlookup(BB3067,importrange(""https://docs.google.com/spreadsheets/d/1d2vevQ_7D_v35q4wCQ4RpQ_IPoTwEMB9Yp6ymwlPqew/edit?gid=984458430#gid=984458430"", ""'replication success'!A:M""), 12, FAlSE)"),"#N/A")</f>
        <v>#N/A</v>
      </c>
      <c r="BA3067" s="61" t="str">
        <f>IFERROR(__xludf.DUMMYFUNCTION("vlookup(BB3067,importrange(""https://docs.google.com/spreadsheets/d/1d2vevQ_7D_v35q4wCQ4RpQ_IPoTwEMB9Yp6ymwlPqew/edit?gid=984458430#gid=984458430"", ""'replication success'!A:M""), 13, FAlSE)"),"#N/A")</f>
        <v>#N/A</v>
      </c>
      <c r="BB3067" s="61" t="str">
        <f>IFERROR(__xludf.DUMMYFUNCTION("REGEXREPLACE(G3067, ""_[a-z]{1,2}$"", """")"),"CORE_70")</f>
        <v>CORE_70</v>
      </c>
    </row>
    <row r="3068">
      <c r="A3068" s="44">
        <v>2897.0</v>
      </c>
      <c r="B3068" s="129" t="s">
        <v>523</v>
      </c>
      <c r="C3068" s="62" t="s">
        <v>115</v>
      </c>
      <c r="D3068" s="62" t="s">
        <v>248</v>
      </c>
      <c r="F3068" s="68" t="s">
        <v>18370</v>
      </c>
      <c r="G3068" s="68" t="s">
        <v>18397</v>
      </c>
      <c r="H3068" s="68" t="s">
        <v>249</v>
      </c>
      <c r="I3068" s="529">
        <v>45811.0</v>
      </c>
      <c r="J3068" s="862"/>
      <c r="K3068" s="68" t="s">
        <v>18372</v>
      </c>
      <c r="L3068" s="68"/>
      <c r="M3068" s="68" t="s">
        <v>18319</v>
      </c>
      <c r="N3068" s="68" t="s">
        <v>18320</v>
      </c>
      <c r="O3068" s="68"/>
      <c r="P3068" s="68" t="s">
        <v>18321</v>
      </c>
      <c r="Q3068" s="2375" t="str">
        <f> hyperlink(vlookup(lower(N3068),'File Links'!E:F, 2, FALSE), "LINK")</f>
        <v>LINK</v>
      </c>
      <c r="R3068" s="68" t="s">
        <v>18373</v>
      </c>
      <c r="S3068" s="68" t="s">
        <v>18374</v>
      </c>
      <c r="T3068" s="68"/>
      <c r="U3068" s="336">
        <v>2.0</v>
      </c>
      <c r="V3068" s="573" t="s">
        <v>18376</v>
      </c>
      <c r="W3068" s="1228"/>
      <c r="X3068" s="2376" t="str">
        <f> hyperlink(vlookup(lower(S3068),'File Links'!E:F, 2, FALSE), "LINK")</f>
        <v>LINK</v>
      </c>
      <c r="Y3068" s="68"/>
      <c r="Z3068" s="68" t="s">
        <v>947</v>
      </c>
      <c r="AA3068" s="68" t="s">
        <v>18377</v>
      </c>
      <c r="AB3068" s="68" t="s">
        <v>7291</v>
      </c>
      <c r="AC3068" s="68" t="s">
        <v>18378</v>
      </c>
      <c r="AD3068" s="68" t="s">
        <v>18392</v>
      </c>
      <c r="AE3068" s="68" t="s">
        <v>4979</v>
      </c>
      <c r="AF3068" s="336">
        <v>91.0</v>
      </c>
      <c r="AG3068" s="68" t="s">
        <v>18393</v>
      </c>
      <c r="AH3068" s="68" t="s">
        <v>134</v>
      </c>
      <c r="AI3068" s="68" t="s">
        <v>18394</v>
      </c>
      <c r="AJ3068" s="336">
        <v>0.001</v>
      </c>
      <c r="AK3068" s="68" t="s">
        <v>135</v>
      </c>
      <c r="AL3068" s="68" t="s">
        <v>186</v>
      </c>
      <c r="AM3068" s="68" t="s">
        <v>137</v>
      </c>
      <c r="AN3068" s="68" t="s">
        <v>138</v>
      </c>
      <c r="AO3068" s="336">
        <v>621.0</v>
      </c>
      <c r="AP3068" s="68" t="s">
        <v>18398</v>
      </c>
      <c r="AQ3068" s="68" t="s">
        <v>134</v>
      </c>
      <c r="AR3068" s="68" t="s">
        <v>18399</v>
      </c>
      <c r="AS3068" s="336">
        <v>0.001</v>
      </c>
      <c r="AT3068" s="68" t="s">
        <v>135</v>
      </c>
      <c r="AU3068" s="68" t="s">
        <v>186</v>
      </c>
      <c r="AV3068" s="68" t="s">
        <v>137</v>
      </c>
      <c r="AW3068" s="435" t="s">
        <v>18384</v>
      </c>
      <c r="AX3068" s="68" t="s">
        <v>143</v>
      </c>
      <c r="AY3068" s="61" t="str">
        <f>IFERROR(__xludf.DUMMYFUNCTION("vlookup(BB3068,importrange(""https://docs.google.com/spreadsheets/d/1d2vevQ_7D_v35q4wCQ4RpQ_IPoTwEMB9Yp6ymwlPqew/edit?gid=984458430#gid=984458430"", ""'replication success'!A:K""), 11, FAlSE)"),"#N/A")</f>
        <v>#N/A</v>
      </c>
      <c r="AZ3068" s="61" t="str">
        <f>IFERROR(__xludf.DUMMYFUNCTION("vlookup(BB3068,importrange(""https://docs.google.com/spreadsheets/d/1d2vevQ_7D_v35q4wCQ4RpQ_IPoTwEMB9Yp6ymwlPqew/edit?gid=984458430#gid=984458430"", ""'replication success'!A:M""), 12, FAlSE)"),"#N/A")</f>
        <v>#N/A</v>
      </c>
      <c r="BA3068" s="61" t="str">
        <f>IFERROR(__xludf.DUMMYFUNCTION("vlookup(BB3068,importrange(""https://docs.google.com/spreadsheets/d/1d2vevQ_7D_v35q4wCQ4RpQ_IPoTwEMB9Yp6ymwlPqew/edit?gid=984458430#gid=984458430"", ""'replication success'!A:M""), 13, FAlSE)"),"#N/A")</f>
        <v>#N/A</v>
      </c>
      <c r="BB3068" s="61" t="str">
        <f>IFERROR(__xludf.DUMMYFUNCTION("REGEXREPLACE(G3068, ""_[a-z]{1,2}$"", """")"),"CORE_70")</f>
        <v>CORE_70</v>
      </c>
    </row>
    <row r="3069">
      <c r="A3069" s="44">
        <v>2898.0</v>
      </c>
      <c r="B3069" s="129" t="s">
        <v>523</v>
      </c>
      <c r="C3069" s="62" t="s">
        <v>115</v>
      </c>
      <c r="D3069" s="62" t="s">
        <v>248</v>
      </c>
      <c r="F3069" s="68" t="s">
        <v>18370</v>
      </c>
      <c r="G3069" s="68" t="s">
        <v>18400</v>
      </c>
      <c r="H3069" s="68" t="s">
        <v>249</v>
      </c>
      <c r="I3069" s="529">
        <v>45811.0</v>
      </c>
      <c r="J3069" s="862"/>
      <c r="K3069" s="68" t="s">
        <v>18372</v>
      </c>
      <c r="L3069" s="68"/>
      <c r="M3069" s="68" t="s">
        <v>18319</v>
      </c>
      <c r="N3069" s="68" t="s">
        <v>18320</v>
      </c>
      <c r="O3069" s="68"/>
      <c r="P3069" s="68" t="s">
        <v>18321</v>
      </c>
      <c r="Q3069" s="2375" t="str">
        <f> hyperlink(vlookup(lower(N3069),'File Links'!E:F, 2, FALSE), "LINK")</f>
        <v>LINK</v>
      </c>
      <c r="R3069" s="68" t="s">
        <v>18373</v>
      </c>
      <c r="S3069" s="68" t="s">
        <v>18374</v>
      </c>
      <c r="T3069" s="68"/>
      <c r="U3069" s="336">
        <v>2.0</v>
      </c>
      <c r="V3069" s="573" t="s">
        <v>18376</v>
      </c>
      <c r="W3069" s="1228"/>
      <c r="X3069" s="2376" t="str">
        <f> hyperlink(vlookup(lower(S3069),'File Links'!E:F, 2, FALSE), "LINK")</f>
        <v>LINK</v>
      </c>
      <c r="Y3069" s="68"/>
      <c r="Z3069" s="68" t="s">
        <v>947</v>
      </c>
      <c r="AA3069" s="68" t="s">
        <v>18377</v>
      </c>
      <c r="AB3069" s="68" t="s">
        <v>7291</v>
      </c>
      <c r="AC3069" s="68" t="s">
        <v>18378</v>
      </c>
      <c r="AD3069" s="68" t="s">
        <v>18401</v>
      </c>
      <c r="AE3069" s="68" t="s">
        <v>4979</v>
      </c>
      <c r="AF3069" s="336">
        <v>91.0</v>
      </c>
      <c r="AG3069" s="68" t="s">
        <v>18402</v>
      </c>
      <c r="AH3069" s="68" t="s">
        <v>134</v>
      </c>
      <c r="AI3069" s="68" t="s">
        <v>18403</v>
      </c>
      <c r="AJ3069" s="336">
        <v>0.001</v>
      </c>
      <c r="AK3069" s="68" t="s">
        <v>135</v>
      </c>
      <c r="AL3069" s="68" t="s">
        <v>186</v>
      </c>
      <c r="AM3069" s="68" t="s">
        <v>137</v>
      </c>
      <c r="AN3069" s="68" t="s">
        <v>138</v>
      </c>
      <c r="AO3069" s="336">
        <v>43.0</v>
      </c>
      <c r="AP3069" s="129" t="s">
        <v>18404</v>
      </c>
      <c r="AQ3069" s="68" t="s">
        <v>134</v>
      </c>
      <c r="AR3069" s="68" t="s">
        <v>18405</v>
      </c>
      <c r="AS3069" s="336">
        <v>0.001</v>
      </c>
      <c r="AT3069" s="68" t="s">
        <v>135</v>
      </c>
      <c r="AU3069" s="68" t="s">
        <v>186</v>
      </c>
      <c r="AV3069" s="68" t="s">
        <v>137</v>
      </c>
      <c r="AW3069" s="435" t="s">
        <v>18384</v>
      </c>
      <c r="AX3069" s="68" t="s">
        <v>143</v>
      </c>
      <c r="AY3069" s="61" t="str">
        <f>IFERROR(__xludf.DUMMYFUNCTION("vlookup(BB3069,importrange(""https://docs.google.com/spreadsheets/d/1d2vevQ_7D_v35q4wCQ4RpQ_IPoTwEMB9Yp6ymwlPqew/edit?gid=984458430#gid=984458430"", ""'replication success'!A:K""), 11, FAlSE)"),"#N/A")</f>
        <v>#N/A</v>
      </c>
      <c r="AZ3069" s="61" t="str">
        <f>IFERROR(__xludf.DUMMYFUNCTION("vlookup(BB3069,importrange(""https://docs.google.com/spreadsheets/d/1d2vevQ_7D_v35q4wCQ4RpQ_IPoTwEMB9Yp6ymwlPqew/edit?gid=984458430#gid=984458430"", ""'replication success'!A:M""), 12, FAlSE)"),"#N/A")</f>
        <v>#N/A</v>
      </c>
      <c r="BA3069" s="61" t="str">
        <f>IFERROR(__xludf.DUMMYFUNCTION("vlookup(BB3069,importrange(""https://docs.google.com/spreadsheets/d/1d2vevQ_7D_v35q4wCQ4RpQ_IPoTwEMB9Yp6ymwlPqew/edit?gid=984458430#gid=984458430"", ""'replication success'!A:M""), 13, FAlSE)"),"#N/A")</f>
        <v>#N/A</v>
      </c>
      <c r="BB3069" s="61" t="str">
        <f>IFERROR(__xludf.DUMMYFUNCTION("REGEXREPLACE(G3069, ""_[a-z]{1,2}$"", """")"),"CORE_70")</f>
        <v>CORE_70</v>
      </c>
    </row>
    <row r="3070">
      <c r="A3070" s="44">
        <v>2899.0</v>
      </c>
      <c r="B3070" s="129" t="s">
        <v>523</v>
      </c>
      <c r="C3070" s="62" t="s">
        <v>115</v>
      </c>
      <c r="D3070" s="62" t="s">
        <v>248</v>
      </c>
      <c r="F3070" s="68" t="s">
        <v>18370</v>
      </c>
      <c r="G3070" s="68" t="s">
        <v>18406</v>
      </c>
      <c r="H3070" s="68" t="s">
        <v>249</v>
      </c>
      <c r="I3070" s="529">
        <v>45811.0</v>
      </c>
      <c r="J3070" s="862"/>
      <c r="K3070" s="68" t="s">
        <v>18372</v>
      </c>
      <c r="L3070" s="68"/>
      <c r="M3070" s="68" t="s">
        <v>18319</v>
      </c>
      <c r="N3070" s="68" t="s">
        <v>18320</v>
      </c>
      <c r="O3070" s="68"/>
      <c r="P3070" s="68" t="s">
        <v>18321</v>
      </c>
      <c r="Q3070" s="2375" t="str">
        <f> hyperlink(vlookup(lower(N3070),'File Links'!E:F, 2, FALSE), "LINK")</f>
        <v>LINK</v>
      </c>
      <c r="R3070" s="68" t="s">
        <v>18373</v>
      </c>
      <c r="S3070" s="68" t="s">
        <v>18374</v>
      </c>
      <c r="T3070" s="68"/>
      <c r="U3070" s="336">
        <v>2.0</v>
      </c>
      <c r="V3070" s="573" t="s">
        <v>18376</v>
      </c>
      <c r="W3070" s="1228"/>
      <c r="X3070" s="2376" t="str">
        <f> hyperlink(vlookup(lower(S3070),'File Links'!E:F, 2, FALSE), "LINK")</f>
        <v>LINK</v>
      </c>
      <c r="Y3070" s="68"/>
      <c r="Z3070" s="68" t="s">
        <v>947</v>
      </c>
      <c r="AA3070" s="68" t="s">
        <v>18377</v>
      </c>
      <c r="AB3070" s="68" t="s">
        <v>7291</v>
      </c>
      <c r="AC3070" s="68" t="s">
        <v>18378</v>
      </c>
      <c r="AD3070" s="68" t="s">
        <v>18392</v>
      </c>
      <c r="AE3070" s="68" t="s">
        <v>4979</v>
      </c>
      <c r="AF3070" s="336">
        <v>91.0</v>
      </c>
      <c r="AG3070" s="68" t="s">
        <v>18402</v>
      </c>
      <c r="AH3070" s="68" t="s">
        <v>134</v>
      </c>
      <c r="AI3070" s="68" t="s">
        <v>18403</v>
      </c>
      <c r="AJ3070" s="336">
        <v>0.001</v>
      </c>
      <c r="AK3070" s="68" t="s">
        <v>135</v>
      </c>
      <c r="AL3070" s="68" t="s">
        <v>186</v>
      </c>
      <c r="AM3070" s="68" t="s">
        <v>137</v>
      </c>
      <c r="AN3070" s="68" t="s">
        <v>138</v>
      </c>
      <c r="AO3070" s="336">
        <v>621.0</v>
      </c>
      <c r="AP3070" s="68" t="s">
        <v>18407</v>
      </c>
      <c r="AQ3070" s="68" t="s">
        <v>134</v>
      </c>
      <c r="AR3070" s="68" t="s">
        <v>18408</v>
      </c>
      <c r="AS3070" s="336">
        <v>0.001</v>
      </c>
      <c r="AT3070" s="68" t="s">
        <v>135</v>
      </c>
      <c r="AU3070" s="68" t="s">
        <v>186</v>
      </c>
      <c r="AV3070" s="68" t="s">
        <v>137</v>
      </c>
      <c r="AW3070" s="435" t="s">
        <v>18384</v>
      </c>
      <c r="AX3070" s="68" t="s">
        <v>143</v>
      </c>
      <c r="AY3070" s="61" t="str">
        <f>IFERROR(__xludf.DUMMYFUNCTION("vlookup(BB3070,importrange(""https://docs.google.com/spreadsheets/d/1d2vevQ_7D_v35q4wCQ4RpQ_IPoTwEMB9Yp6ymwlPqew/edit?gid=984458430#gid=984458430"", ""'replication success'!A:K""), 11, FAlSE)"),"#N/A")</f>
        <v>#N/A</v>
      </c>
      <c r="AZ3070" s="61" t="str">
        <f>IFERROR(__xludf.DUMMYFUNCTION("vlookup(BB3070,importrange(""https://docs.google.com/spreadsheets/d/1d2vevQ_7D_v35q4wCQ4RpQ_IPoTwEMB9Yp6ymwlPqew/edit?gid=984458430#gid=984458430"", ""'replication success'!A:M""), 12, FAlSE)"),"#N/A")</f>
        <v>#N/A</v>
      </c>
      <c r="BA3070" s="61" t="str">
        <f>IFERROR(__xludf.DUMMYFUNCTION("vlookup(BB3070,importrange(""https://docs.google.com/spreadsheets/d/1d2vevQ_7D_v35q4wCQ4RpQ_IPoTwEMB9Yp6ymwlPqew/edit?gid=984458430#gid=984458430"", ""'replication success'!A:M""), 13, FAlSE)"),"#N/A")</f>
        <v>#N/A</v>
      </c>
      <c r="BB3070" s="61" t="str">
        <f>IFERROR(__xludf.DUMMYFUNCTION("REGEXREPLACE(G3070, ""_[a-z]{1,2}$"", """")"),"CORE_70")</f>
        <v>CORE_70</v>
      </c>
    </row>
    <row r="3071">
      <c r="A3071" s="44">
        <v>2900.0</v>
      </c>
      <c r="B3071" s="129" t="s">
        <v>523</v>
      </c>
      <c r="C3071" s="62" t="s">
        <v>115</v>
      </c>
      <c r="D3071" s="62" t="s">
        <v>248</v>
      </c>
      <c r="F3071" s="68" t="s">
        <v>18370</v>
      </c>
      <c r="G3071" s="68" t="s">
        <v>18409</v>
      </c>
      <c r="H3071" s="68" t="s">
        <v>249</v>
      </c>
      <c r="I3071" s="529">
        <v>45811.0</v>
      </c>
      <c r="J3071" s="862"/>
      <c r="K3071" s="68" t="s">
        <v>18372</v>
      </c>
      <c r="L3071" s="68"/>
      <c r="M3071" s="68" t="s">
        <v>18319</v>
      </c>
      <c r="N3071" s="68" t="s">
        <v>18320</v>
      </c>
      <c r="O3071" s="68"/>
      <c r="P3071" s="68" t="s">
        <v>18321</v>
      </c>
      <c r="Q3071" s="2375" t="str">
        <f> hyperlink(vlookup(lower(N3071),'File Links'!E:F, 2, FALSE), "LINK")</f>
        <v>LINK</v>
      </c>
      <c r="R3071" s="68" t="s">
        <v>18373</v>
      </c>
      <c r="S3071" s="68" t="s">
        <v>18374</v>
      </c>
      <c r="T3071" s="68"/>
      <c r="U3071" s="336">
        <v>2.0</v>
      </c>
      <c r="V3071" s="573" t="s">
        <v>18376</v>
      </c>
      <c r="W3071" s="1228"/>
      <c r="X3071" s="2376" t="str">
        <f> hyperlink(vlookup(lower(S3071),'File Links'!E:F, 2, FALSE), "LINK")</f>
        <v>LINK</v>
      </c>
      <c r="Y3071" s="68"/>
      <c r="Z3071" s="68" t="s">
        <v>947</v>
      </c>
      <c r="AA3071" s="68" t="s">
        <v>18377</v>
      </c>
      <c r="AB3071" s="68" t="s">
        <v>7291</v>
      </c>
      <c r="AC3071" s="68" t="s">
        <v>18378</v>
      </c>
      <c r="AD3071" s="129" t="s">
        <v>18410</v>
      </c>
      <c r="AE3071" s="68" t="s">
        <v>4979</v>
      </c>
      <c r="AF3071" s="336">
        <v>91.0</v>
      </c>
      <c r="AG3071" s="129" t="s">
        <v>18411</v>
      </c>
      <c r="AH3071" s="68" t="s">
        <v>134</v>
      </c>
      <c r="AI3071" s="129" t="s">
        <v>18412</v>
      </c>
      <c r="AJ3071" s="336">
        <v>0.002</v>
      </c>
      <c r="AK3071" s="68" t="s">
        <v>135</v>
      </c>
      <c r="AL3071" s="68" t="s">
        <v>186</v>
      </c>
      <c r="AM3071" s="68" t="s">
        <v>137</v>
      </c>
      <c r="AN3071" s="68" t="s">
        <v>138</v>
      </c>
      <c r="AO3071" s="336">
        <v>43.0</v>
      </c>
      <c r="AP3071" s="129" t="s">
        <v>18413</v>
      </c>
      <c r="AQ3071" s="68" t="s">
        <v>134</v>
      </c>
      <c r="AR3071" s="129" t="s">
        <v>18414</v>
      </c>
      <c r="AS3071" s="336">
        <v>0.001</v>
      </c>
      <c r="AT3071" s="68" t="s">
        <v>135</v>
      </c>
      <c r="AU3071" s="68" t="s">
        <v>186</v>
      </c>
      <c r="AV3071" s="68" t="s">
        <v>137</v>
      </c>
      <c r="AW3071" s="435" t="s">
        <v>18384</v>
      </c>
      <c r="AX3071" s="68" t="s">
        <v>143</v>
      </c>
      <c r="AY3071" s="61" t="str">
        <f>IFERROR(__xludf.DUMMYFUNCTION("vlookup(BB3071,importrange(""https://docs.google.com/spreadsheets/d/1d2vevQ_7D_v35q4wCQ4RpQ_IPoTwEMB9Yp6ymwlPqew/edit?gid=984458430#gid=984458430"", ""'replication success'!A:K""), 11, FAlSE)"),"#N/A")</f>
        <v>#N/A</v>
      </c>
      <c r="AZ3071" s="61" t="str">
        <f>IFERROR(__xludf.DUMMYFUNCTION("vlookup(BB3071,importrange(""https://docs.google.com/spreadsheets/d/1d2vevQ_7D_v35q4wCQ4RpQ_IPoTwEMB9Yp6ymwlPqew/edit?gid=984458430#gid=984458430"", ""'replication success'!A:M""), 12, FAlSE)"),"#N/A")</f>
        <v>#N/A</v>
      </c>
      <c r="BA3071" s="61" t="str">
        <f>IFERROR(__xludf.DUMMYFUNCTION("vlookup(BB3071,importrange(""https://docs.google.com/spreadsheets/d/1d2vevQ_7D_v35q4wCQ4RpQ_IPoTwEMB9Yp6ymwlPqew/edit?gid=984458430#gid=984458430"", ""'replication success'!A:M""), 13, FAlSE)"),"#N/A")</f>
        <v>#N/A</v>
      </c>
      <c r="BB3071" s="61" t="str">
        <f>IFERROR(__xludf.DUMMYFUNCTION("REGEXREPLACE(G3071, ""_[a-z]{1,2}$"", """")"),"CORE_70")</f>
        <v>CORE_70</v>
      </c>
    </row>
    <row r="3072">
      <c r="A3072" s="44">
        <v>2901.0</v>
      </c>
      <c r="B3072" s="129" t="s">
        <v>523</v>
      </c>
      <c r="C3072" s="62" t="s">
        <v>115</v>
      </c>
      <c r="D3072" s="62" t="s">
        <v>248</v>
      </c>
      <c r="F3072" s="68" t="s">
        <v>18370</v>
      </c>
      <c r="G3072" s="68" t="s">
        <v>18415</v>
      </c>
      <c r="H3072" s="68" t="s">
        <v>249</v>
      </c>
      <c r="I3072" s="529">
        <v>45811.0</v>
      </c>
      <c r="J3072" s="862"/>
      <c r="K3072" s="68" t="s">
        <v>18372</v>
      </c>
      <c r="L3072" s="68"/>
      <c r="M3072" s="68" t="s">
        <v>18319</v>
      </c>
      <c r="N3072" s="68" t="s">
        <v>18320</v>
      </c>
      <c r="O3072" s="68"/>
      <c r="P3072" s="68" t="s">
        <v>18321</v>
      </c>
      <c r="Q3072" s="2375" t="str">
        <f> hyperlink(vlookup(lower(N3072),'File Links'!E:F, 2, FALSE), "LINK")</f>
        <v>LINK</v>
      </c>
      <c r="R3072" s="68" t="s">
        <v>18373</v>
      </c>
      <c r="S3072" s="68" t="s">
        <v>18374</v>
      </c>
      <c r="T3072" s="68"/>
      <c r="U3072" s="336">
        <v>2.0</v>
      </c>
      <c r="V3072" s="573" t="s">
        <v>18376</v>
      </c>
      <c r="W3072" s="1228"/>
      <c r="X3072" s="2376" t="str">
        <f> hyperlink(vlookup(lower(S3072),'File Links'!E:F, 2, FALSE), "LINK")</f>
        <v>LINK</v>
      </c>
      <c r="Y3072" s="68"/>
      <c r="Z3072" s="68" t="s">
        <v>947</v>
      </c>
      <c r="AA3072" s="68" t="s">
        <v>18377</v>
      </c>
      <c r="AB3072" s="68" t="s">
        <v>7291</v>
      </c>
      <c r="AC3072" s="68" t="s">
        <v>18378</v>
      </c>
      <c r="AD3072" s="129" t="s">
        <v>18410</v>
      </c>
      <c r="AE3072" s="68" t="s">
        <v>4979</v>
      </c>
      <c r="AF3072" s="336">
        <v>91.0</v>
      </c>
      <c r="AG3072" s="129" t="s">
        <v>18411</v>
      </c>
      <c r="AH3072" s="68" t="s">
        <v>134</v>
      </c>
      <c r="AI3072" s="129" t="s">
        <v>18412</v>
      </c>
      <c r="AJ3072" s="336">
        <v>0.002</v>
      </c>
      <c r="AK3072" s="68" t="s">
        <v>135</v>
      </c>
      <c r="AL3072" s="68" t="s">
        <v>186</v>
      </c>
      <c r="AM3072" s="68" t="s">
        <v>137</v>
      </c>
      <c r="AN3072" s="68" t="s">
        <v>138</v>
      </c>
      <c r="AO3072" s="336">
        <v>621.0</v>
      </c>
      <c r="AP3072" s="129" t="s">
        <v>18416</v>
      </c>
      <c r="AQ3072" s="68" t="s">
        <v>134</v>
      </c>
      <c r="AR3072" s="129" t="s">
        <v>18417</v>
      </c>
      <c r="AS3072" s="336">
        <v>0.001</v>
      </c>
      <c r="AT3072" s="68" t="s">
        <v>135</v>
      </c>
      <c r="AU3072" s="68" t="s">
        <v>186</v>
      </c>
      <c r="AV3072" s="68" t="s">
        <v>137</v>
      </c>
      <c r="AW3072" s="435" t="s">
        <v>18384</v>
      </c>
      <c r="AX3072" s="68" t="s">
        <v>143</v>
      </c>
      <c r="AY3072" s="61" t="str">
        <f>IFERROR(__xludf.DUMMYFUNCTION("vlookup(BB3072,importrange(""https://docs.google.com/spreadsheets/d/1d2vevQ_7D_v35q4wCQ4RpQ_IPoTwEMB9Yp6ymwlPqew/edit?gid=984458430#gid=984458430"", ""'replication success'!A:K""), 11, FAlSE)"),"#N/A")</f>
        <v>#N/A</v>
      </c>
      <c r="AZ3072" s="61" t="str">
        <f>IFERROR(__xludf.DUMMYFUNCTION("vlookup(BB3072,importrange(""https://docs.google.com/spreadsheets/d/1d2vevQ_7D_v35q4wCQ4RpQ_IPoTwEMB9Yp6ymwlPqew/edit?gid=984458430#gid=984458430"", ""'replication success'!A:M""), 12, FAlSE)"),"#N/A")</f>
        <v>#N/A</v>
      </c>
      <c r="BA3072" s="61" t="str">
        <f>IFERROR(__xludf.DUMMYFUNCTION("vlookup(BB3072,importrange(""https://docs.google.com/spreadsheets/d/1d2vevQ_7D_v35q4wCQ4RpQ_IPoTwEMB9Yp6ymwlPqew/edit?gid=984458430#gid=984458430"", ""'replication success'!A:M""), 13, FAlSE)"),"#N/A")</f>
        <v>#N/A</v>
      </c>
      <c r="BB3072" s="61" t="str">
        <f>IFERROR(__xludf.DUMMYFUNCTION("REGEXREPLACE(G3072, ""_[a-z]{1,2}$"", """")"),"CORE_70")</f>
        <v>CORE_70</v>
      </c>
    </row>
    <row r="3073">
      <c r="A3073" s="44">
        <v>2902.0</v>
      </c>
      <c r="B3073" s="129" t="s">
        <v>523</v>
      </c>
      <c r="C3073" s="62" t="s">
        <v>115</v>
      </c>
      <c r="D3073" s="62" t="s">
        <v>248</v>
      </c>
      <c r="F3073" s="1065" t="s">
        <v>18418</v>
      </c>
      <c r="G3073" s="1065" t="s">
        <v>18419</v>
      </c>
      <c r="H3073" s="1065" t="s">
        <v>249</v>
      </c>
      <c r="I3073" s="2433">
        <v>45811.0</v>
      </c>
      <c r="J3073" s="2434"/>
      <c r="K3073" s="1065" t="s">
        <v>18420</v>
      </c>
      <c r="L3073" s="1065"/>
      <c r="M3073" s="1065" t="s">
        <v>18319</v>
      </c>
      <c r="N3073" s="1065" t="s">
        <v>18320</v>
      </c>
      <c r="O3073" s="1065"/>
      <c r="P3073" s="1065" t="s">
        <v>18321</v>
      </c>
      <c r="Q3073" s="2435" t="str">
        <f> hyperlink(vlookup(lower(N3073),'File Links'!E:F, 2, FALSE), "LINK")</f>
        <v>LINK</v>
      </c>
      <c r="R3073" s="1065" t="s">
        <v>18421</v>
      </c>
      <c r="S3073" s="1065" t="s">
        <v>18422</v>
      </c>
      <c r="T3073" s="1065"/>
      <c r="U3073" s="1065"/>
      <c r="V3073" s="1065" t="s">
        <v>18423</v>
      </c>
      <c r="W3073" s="1065"/>
      <c r="X3073" s="2436" t="str">
        <f> hyperlink(vlookup(lower(S3073),'File Links'!E:F, 2, FALSE), "LINK")</f>
        <v>LINK</v>
      </c>
      <c r="Y3073" s="1065" t="s">
        <v>18424</v>
      </c>
      <c r="Z3073" s="1065" t="s">
        <v>947</v>
      </c>
      <c r="AA3073" s="1065" t="s">
        <v>18425</v>
      </c>
      <c r="AB3073" s="1065" t="s">
        <v>7291</v>
      </c>
      <c r="AC3073" s="1065" t="s">
        <v>18426</v>
      </c>
      <c r="AD3073" s="1065"/>
      <c r="AE3073" s="1065"/>
      <c r="AF3073" s="1065"/>
      <c r="AG3073" s="1065"/>
      <c r="AH3073" s="1065"/>
      <c r="AI3073" s="1065"/>
      <c r="AJ3073" s="1065"/>
      <c r="AK3073" s="1065"/>
      <c r="AL3073" s="1065"/>
      <c r="AM3073" s="1065"/>
      <c r="AN3073" s="1065"/>
      <c r="AO3073" s="1065"/>
      <c r="AP3073" s="2461"/>
      <c r="AQ3073" s="1065"/>
      <c r="AR3073" s="1065"/>
      <c r="AS3073" s="1065"/>
      <c r="AT3073" s="1065"/>
      <c r="AU3073" s="1065"/>
      <c r="AV3073" s="1065"/>
      <c r="AW3073" s="1065"/>
      <c r="AX3073" s="1065"/>
      <c r="AY3073" s="61" t="str">
        <f>IFERROR(__xludf.DUMMYFUNCTION("vlookup(BB3073,importrange(""https://docs.google.com/spreadsheets/d/1d2vevQ_7D_v35q4wCQ4RpQ_IPoTwEMB9Yp6ymwlPqew/edit?gid=984458430#gid=984458430"", ""'replication success'!A:K""), 11, FAlSE)"),"#N/A")</f>
        <v>#N/A</v>
      </c>
      <c r="AZ3073" s="61" t="str">
        <f>IFERROR(__xludf.DUMMYFUNCTION("vlookup(BB3073,importrange(""https://docs.google.com/spreadsheets/d/1d2vevQ_7D_v35q4wCQ4RpQ_IPoTwEMB9Yp6ymwlPqew/edit?gid=984458430#gid=984458430"", ""'replication success'!A:M""), 12, FAlSE)"),"#N/A")</f>
        <v>#N/A</v>
      </c>
      <c r="BA3073" s="61" t="str">
        <f>IFERROR(__xludf.DUMMYFUNCTION("vlookup(BB3073,importrange(""https://docs.google.com/spreadsheets/d/1d2vevQ_7D_v35q4wCQ4RpQ_IPoTwEMB9Yp6ymwlPqew/edit?gid=984458430#gid=984458430"", ""'replication success'!A:M""), 13, FAlSE)"),"#N/A")</f>
        <v>#N/A</v>
      </c>
      <c r="BB3073" s="61" t="str">
        <f>IFERROR(__xludf.DUMMYFUNCTION("REGEXREPLACE(G3073, ""_[a-z]{1,2}$"", """")"),"CORE_75")</f>
        <v>CORE_75</v>
      </c>
    </row>
    <row r="3074">
      <c r="A3074" s="2119">
        <v>2914.0</v>
      </c>
      <c r="B3074" s="1800" t="s">
        <v>152</v>
      </c>
      <c r="C3074" s="1631" t="s">
        <v>115</v>
      </c>
      <c r="D3074" s="1631" t="s">
        <v>248</v>
      </c>
      <c r="E3074" s="1123"/>
      <c r="F3074" s="1632" t="s">
        <v>18427</v>
      </c>
      <c r="G3074" s="1632" t="s">
        <v>18428</v>
      </c>
      <c r="H3074" s="1632" t="s">
        <v>249</v>
      </c>
      <c r="I3074" s="2377">
        <v>45811.0</v>
      </c>
      <c r="J3074" s="1802">
        <v>45835.0</v>
      </c>
      <c r="K3074" s="1632" t="s">
        <v>18429</v>
      </c>
      <c r="L3074" s="1800" t="s">
        <v>18430</v>
      </c>
      <c r="M3074" s="1632" t="s">
        <v>18431</v>
      </c>
      <c r="N3074" s="1632" t="s">
        <v>18432</v>
      </c>
      <c r="O3074" s="1800">
        <v>1.0</v>
      </c>
      <c r="P3074" s="1632" t="s">
        <v>18433</v>
      </c>
      <c r="Q3074" s="2378" t="str">
        <f> hyperlink(vlookup(lower(N3074),'File Links'!E:F, 2, FALSE), "LINK")</f>
        <v>LINK</v>
      </c>
      <c r="R3074" s="1632" t="s">
        <v>18434</v>
      </c>
      <c r="S3074" s="1632" t="s">
        <v>18435</v>
      </c>
      <c r="T3074" s="1632"/>
      <c r="U3074" s="1632" t="s">
        <v>3848</v>
      </c>
      <c r="V3074" s="1632" t="s">
        <v>18436</v>
      </c>
      <c r="W3074" s="1800" t="s">
        <v>209</v>
      </c>
      <c r="X3074" s="2379" t="str">
        <f> hyperlink(vlookup(lower(S3074),'File Links'!E:F, 2, FALSE), "LINK")</f>
        <v>LINK</v>
      </c>
      <c r="Y3074" s="1632"/>
      <c r="Z3074" s="1632" t="s">
        <v>947</v>
      </c>
      <c r="AA3074" s="1632" t="s">
        <v>18437</v>
      </c>
      <c r="AB3074" s="1632" t="s">
        <v>7291</v>
      </c>
      <c r="AC3074" s="1632" t="s">
        <v>18438</v>
      </c>
      <c r="AD3074" s="1800" t="s">
        <v>18439</v>
      </c>
      <c r="AE3074" s="2462">
        <v>45970.0</v>
      </c>
      <c r="AF3074" s="1825">
        <v>54.0</v>
      </c>
      <c r="AG3074" s="1800" t="s">
        <v>18440</v>
      </c>
      <c r="AH3074" s="1632" t="s">
        <v>134</v>
      </c>
      <c r="AI3074" s="1632" t="s">
        <v>18441</v>
      </c>
      <c r="AJ3074" s="1825">
        <v>0.0052</v>
      </c>
      <c r="AK3074" s="1632" t="s">
        <v>172</v>
      </c>
      <c r="AL3074" s="1632" t="s">
        <v>218</v>
      </c>
      <c r="AM3074" s="1632" t="s">
        <v>137</v>
      </c>
      <c r="AN3074" s="1632" t="s">
        <v>138</v>
      </c>
      <c r="AO3074" s="1825">
        <v>46.0</v>
      </c>
      <c r="AP3074" s="2463">
        <v>0.55</v>
      </c>
      <c r="AQ3074" s="1632" t="s">
        <v>173</v>
      </c>
      <c r="AR3074" s="1632" t="s">
        <v>18442</v>
      </c>
      <c r="AS3074" s="1825">
        <v>0.001</v>
      </c>
      <c r="AT3074" s="1632" t="s">
        <v>135</v>
      </c>
      <c r="AU3074" s="1632" t="s">
        <v>186</v>
      </c>
      <c r="AV3074" s="1632" t="s">
        <v>137</v>
      </c>
      <c r="AW3074" s="2123" t="s">
        <v>18443</v>
      </c>
      <c r="AX3074" s="1632" t="s">
        <v>143</v>
      </c>
      <c r="AY3074" s="61" t="str">
        <f>IFERROR(__xludf.DUMMYFUNCTION("vlookup(BB3074,importrange(""https://docs.google.com/spreadsheets/d/1d2vevQ_7D_v35q4wCQ4RpQ_IPoTwEMB9Yp6ymwlPqew/edit?gid=984458430#gid=984458430"", ""'replication success'!A:K""), 11, FAlSE)"),"#N/A")</f>
        <v>#N/A</v>
      </c>
      <c r="AZ3074" s="61" t="str">
        <f>IFERROR(__xludf.DUMMYFUNCTION("vlookup(BB3074,importrange(""https://docs.google.com/spreadsheets/d/1d2vevQ_7D_v35q4wCQ4RpQ_IPoTwEMB9Yp6ymwlPqew/edit?gid=984458430#gid=984458430"", ""'replication success'!A:M""), 12, FAlSE)"),"#N/A")</f>
        <v>#N/A</v>
      </c>
      <c r="BA3074" s="61" t="str">
        <f>IFERROR(__xludf.DUMMYFUNCTION("vlookup(BB3074,importrange(""https://docs.google.com/spreadsheets/d/1d2vevQ_7D_v35q4wCQ4RpQ_IPoTwEMB9Yp6ymwlPqew/edit?gid=984458430#gid=984458430"", ""'replication success'!A:M""), 13, FAlSE)"),"#N/A")</f>
        <v>#N/A</v>
      </c>
      <c r="BB3074" s="61" t="str">
        <f>IFERROR(__xludf.DUMMYFUNCTION("REGEXREPLACE(G3074, ""_[a-z]{1,2}$"", """")"),"CORE_76")</f>
        <v>CORE_76</v>
      </c>
      <c r="BC3074" s="1123"/>
      <c r="BD3074" s="1631" t="s">
        <v>814</v>
      </c>
      <c r="BE3074" s="1123"/>
    </row>
    <row r="3075">
      <c r="A3075" s="2119">
        <v>2992.0</v>
      </c>
      <c r="B3075" s="1800" t="s">
        <v>114</v>
      </c>
      <c r="C3075" s="1631" t="s">
        <v>115</v>
      </c>
      <c r="D3075" s="1631" t="s">
        <v>15473</v>
      </c>
      <c r="E3075" s="1123"/>
      <c r="F3075" s="1632" t="s">
        <v>18427</v>
      </c>
      <c r="G3075" s="1634" t="s">
        <v>18428</v>
      </c>
      <c r="H3075" s="1634" t="s">
        <v>18250</v>
      </c>
      <c r="I3075" s="2120">
        <v>45331.0</v>
      </c>
      <c r="J3075" s="2127">
        <v>45835.0</v>
      </c>
      <c r="K3075" s="1632" t="s">
        <v>18444</v>
      </c>
      <c r="L3075" s="1800" t="s">
        <v>18445</v>
      </c>
      <c r="M3075" s="1634" t="s">
        <v>18431</v>
      </c>
      <c r="N3075" s="1634" t="s">
        <v>18432</v>
      </c>
      <c r="O3075" s="1825">
        <v>2.0</v>
      </c>
      <c r="P3075" s="1634" t="s">
        <v>18433</v>
      </c>
      <c r="Q3075" s="2373" t="str">
        <f> hyperlink(vlookup(lower(N3075),'File Links'!E:F, 2, FALSE), "LINK")</f>
        <v>LINK</v>
      </c>
      <c r="R3075" s="1634" t="s">
        <v>18434</v>
      </c>
      <c r="S3075" s="1634" t="s">
        <v>18435</v>
      </c>
      <c r="T3075" s="1632"/>
      <c r="U3075" s="1825">
        <v>1.0</v>
      </c>
      <c r="V3075" s="1634" t="s">
        <v>18436</v>
      </c>
      <c r="W3075" s="1800" t="s">
        <v>209</v>
      </c>
      <c r="X3075" s="2374" t="str">
        <f> hyperlink(vlookup(lower(S3075),'File Links'!E:F, 2, FALSE), "LINK")</f>
        <v>LINK</v>
      </c>
      <c r="Y3075" s="1632"/>
      <c r="Z3075" s="1634" t="s">
        <v>947</v>
      </c>
      <c r="AA3075" s="1634" t="s">
        <v>18437</v>
      </c>
      <c r="AB3075" s="1634" t="s">
        <v>7291</v>
      </c>
      <c r="AC3075" s="1634" t="s">
        <v>18438</v>
      </c>
      <c r="AD3075" s="1800" t="s">
        <v>18446</v>
      </c>
      <c r="AE3075" s="2462">
        <v>45970.0</v>
      </c>
      <c r="AF3075" s="1825">
        <v>54.0</v>
      </c>
      <c r="AG3075" s="1800" t="s">
        <v>18440</v>
      </c>
      <c r="AH3075" s="1632" t="s">
        <v>134</v>
      </c>
      <c r="AI3075" s="1632" t="s">
        <v>18441</v>
      </c>
      <c r="AJ3075" s="1825">
        <v>0.0052</v>
      </c>
      <c r="AK3075" s="1632" t="s">
        <v>172</v>
      </c>
      <c r="AL3075" s="1632" t="s">
        <v>218</v>
      </c>
      <c r="AM3075" s="1632" t="s">
        <v>137</v>
      </c>
      <c r="AN3075" s="1632"/>
      <c r="AO3075" s="1825">
        <v>46.0</v>
      </c>
      <c r="AP3075" s="2463">
        <v>0.55</v>
      </c>
      <c r="AQ3075" s="1632" t="s">
        <v>173</v>
      </c>
      <c r="AR3075" s="1632" t="s">
        <v>18442</v>
      </c>
      <c r="AS3075" s="1825">
        <v>0.001</v>
      </c>
      <c r="AT3075" s="1632" t="s">
        <v>135</v>
      </c>
      <c r="AU3075" s="1632" t="s">
        <v>218</v>
      </c>
      <c r="AV3075" s="1632" t="s">
        <v>137</v>
      </c>
      <c r="AW3075" s="2123" t="s">
        <v>18447</v>
      </c>
      <c r="AX3075" s="1632" t="s">
        <v>143</v>
      </c>
      <c r="AY3075" s="61" t="str">
        <f>IFERROR(__xludf.DUMMYFUNCTION("vlookup(BB3075,importrange(""https://docs.google.com/spreadsheets/d/1d2vevQ_7D_v35q4wCQ4RpQ_IPoTwEMB9Yp6ymwlPqew/edit?gid=984458430#gid=984458430"", ""'replication success'!A:K""), 11, FAlSE)"),"#N/A")</f>
        <v>#N/A</v>
      </c>
      <c r="AZ3075" s="61" t="str">
        <f>IFERROR(__xludf.DUMMYFUNCTION("vlookup(BB3075,importrange(""https://docs.google.com/spreadsheets/d/1d2vevQ_7D_v35q4wCQ4RpQ_IPoTwEMB9Yp6ymwlPqew/edit?gid=984458430#gid=984458430"", ""'replication success'!A:M""), 12, FAlSE)"),"#N/A")</f>
        <v>#N/A</v>
      </c>
      <c r="BA3075" s="61" t="str">
        <f>IFERROR(__xludf.DUMMYFUNCTION("vlookup(BB3075,importrange(""https://docs.google.com/spreadsheets/d/1d2vevQ_7D_v35q4wCQ4RpQ_IPoTwEMB9Yp6ymwlPqew/edit?gid=984458430#gid=984458430"", ""'replication success'!A:M""), 13, FAlSE)"),"#N/A")</f>
        <v>#N/A</v>
      </c>
      <c r="BB3075" s="61" t="str">
        <f>IFERROR(__xludf.DUMMYFUNCTION("REGEXREPLACE(G3075, ""_[a-z]{1,2}$"", """")"),"CORE_76")</f>
        <v>CORE_76</v>
      </c>
      <c r="BC3075" s="1123"/>
      <c r="BD3075" s="1631" t="s">
        <v>814</v>
      </c>
      <c r="BE3075" s="1123"/>
    </row>
    <row r="3076">
      <c r="A3076" s="44">
        <v>2915.0</v>
      </c>
      <c r="B3076" s="129" t="s">
        <v>523</v>
      </c>
      <c r="C3076" s="62" t="s">
        <v>115</v>
      </c>
      <c r="D3076" s="62" t="s">
        <v>248</v>
      </c>
      <c r="F3076" s="68" t="s">
        <v>18427</v>
      </c>
      <c r="G3076" s="68" t="s">
        <v>18448</v>
      </c>
      <c r="H3076" s="68" t="s">
        <v>249</v>
      </c>
      <c r="I3076" s="529">
        <v>45811.0</v>
      </c>
      <c r="J3076" s="862"/>
      <c r="K3076" s="68" t="s">
        <v>18449</v>
      </c>
      <c r="L3076" s="68"/>
      <c r="M3076" s="68" t="s">
        <v>18431</v>
      </c>
      <c r="N3076" s="68" t="s">
        <v>18432</v>
      </c>
      <c r="O3076" s="68"/>
      <c r="P3076" s="573" t="s">
        <v>18433</v>
      </c>
      <c r="Q3076" s="2375" t="str">
        <f> hyperlink(vlookup(lower(N3076),'File Links'!E:F, 2, FALSE), "LINK")</f>
        <v>LINK</v>
      </c>
      <c r="R3076" s="68" t="s">
        <v>18434</v>
      </c>
      <c r="S3076" s="68" t="s">
        <v>18435</v>
      </c>
      <c r="T3076" s="68"/>
      <c r="U3076" s="68" t="s">
        <v>3848</v>
      </c>
      <c r="V3076" s="573" t="s">
        <v>18436</v>
      </c>
      <c r="W3076" s="1228"/>
      <c r="X3076" s="2376" t="str">
        <f> hyperlink(vlookup(lower(S3076),'File Links'!E:F, 2, FALSE), "LINK")</f>
        <v>LINK</v>
      </c>
      <c r="Y3076" s="68"/>
      <c r="Z3076" s="68" t="s">
        <v>947</v>
      </c>
      <c r="AA3076" s="68" t="s">
        <v>18437</v>
      </c>
      <c r="AB3076" s="68" t="s">
        <v>7291</v>
      </c>
      <c r="AC3076" s="68" t="s">
        <v>18438</v>
      </c>
      <c r="AD3076" s="129" t="s">
        <v>18439</v>
      </c>
      <c r="AE3076" s="68" t="s">
        <v>624</v>
      </c>
      <c r="AF3076" s="336">
        <v>54.0</v>
      </c>
      <c r="AG3076" s="129" t="s">
        <v>18440</v>
      </c>
      <c r="AH3076" s="68" t="s">
        <v>134</v>
      </c>
      <c r="AI3076" s="68" t="s">
        <v>18441</v>
      </c>
      <c r="AJ3076" s="336">
        <v>0.0052</v>
      </c>
      <c r="AK3076" s="68" t="s">
        <v>172</v>
      </c>
      <c r="AL3076" s="68" t="s">
        <v>218</v>
      </c>
      <c r="AM3076" s="68" t="s">
        <v>137</v>
      </c>
      <c r="AN3076" s="68" t="s">
        <v>138</v>
      </c>
      <c r="AO3076" s="336">
        <v>46.0</v>
      </c>
      <c r="AP3076" s="2464">
        <v>0.41</v>
      </c>
      <c r="AQ3076" s="68" t="s">
        <v>173</v>
      </c>
      <c r="AR3076" s="68" t="s">
        <v>18450</v>
      </c>
      <c r="AS3076" s="336">
        <v>0.004</v>
      </c>
      <c r="AT3076" s="68" t="s">
        <v>135</v>
      </c>
      <c r="AU3076" s="68" t="s">
        <v>186</v>
      </c>
      <c r="AV3076" s="68" t="s">
        <v>137</v>
      </c>
      <c r="AW3076" s="435" t="s">
        <v>18443</v>
      </c>
      <c r="AX3076" s="68" t="s">
        <v>143</v>
      </c>
      <c r="AY3076" s="61" t="str">
        <f>IFERROR(__xludf.DUMMYFUNCTION("vlookup(BB3076,importrange(""https://docs.google.com/spreadsheets/d/1d2vevQ_7D_v35q4wCQ4RpQ_IPoTwEMB9Yp6ymwlPqew/edit?gid=984458430#gid=984458430"", ""'replication success'!A:K""), 11, FAlSE)"),"#N/A")</f>
        <v>#N/A</v>
      </c>
      <c r="AZ3076" s="61" t="str">
        <f>IFERROR(__xludf.DUMMYFUNCTION("vlookup(BB3076,importrange(""https://docs.google.com/spreadsheets/d/1d2vevQ_7D_v35q4wCQ4RpQ_IPoTwEMB9Yp6ymwlPqew/edit?gid=984458430#gid=984458430"", ""'replication success'!A:M""), 12, FAlSE)"),"#N/A")</f>
        <v>#N/A</v>
      </c>
      <c r="BA3076" s="61" t="str">
        <f>IFERROR(__xludf.DUMMYFUNCTION("vlookup(BB3076,importrange(""https://docs.google.com/spreadsheets/d/1d2vevQ_7D_v35q4wCQ4RpQ_IPoTwEMB9Yp6ymwlPqew/edit?gid=984458430#gid=984458430"", ""'replication success'!A:M""), 13, FAlSE)"),"#N/A")</f>
        <v>#N/A</v>
      </c>
      <c r="BB3076" s="61" t="str">
        <f>IFERROR(__xludf.DUMMYFUNCTION("REGEXREPLACE(G3076, ""_[a-z]{1,2}$"", """")"),"CORE_76")</f>
        <v>CORE_76</v>
      </c>
      <c r="BD3076" s="62" t="s">
        <v>7302</v>
      </c>
    </row>
    <row r="3077">
      <c r="A3077" s="44">
        <v>2916.0</v>
      </c>
      <c r="B3077" s="129" t="s">
        <v>523</v>
      </c>
      <c r="C3077" s="62" t="s">
        <v>115</v>
      </c>
      <c r="D3077" s="62" t="s">
        <v>248</v>
      </c>
      <c r="F3077" s="68" t="s">
        <v>18427</v>
      </c>
      <c r="G3077" s="68" t="s">
        <v>18451</v>
      </c>
      <c r="H3077" s="68" t="s">
        <v>249</v>
      </c>
      <c r="I3077" s="529">
        <v>45811.0</v>
      </c>
      <c r="J3077" s="862"/>
      <c r="K3077" s="68" t="s">
        <v>18452</v>
      </c>
      <c r="L3077" s="68"/>
      <c r="M3077" s="68" t="s">
        <v>18431</v>
      </c>
      <c r="N3077" s="68" t="s">
        <v>18432</v>
      </c>
      <c r="O3077" s="68"/>
      <c r="P3077" s="573" t="s">
        <v>18433</v>
      </c>
      <c r="Q3077" s="2375" t="str">
        <f> hyperlink(vlookup(lower(N3077),'File Links'!E:F, 2, FALSE), "LINK")</f>
        <v>LINK</v>
      </c>
      <c r="R3077" s="68" t="s">
        <v>18434</v>
      </c>
      <c r="S3077" s="68" t="s">
        <v>18435</v>
      </c>
      <c r="T3077" s="68"/>
      <c r="U3077" s="68" t="s">
        <v>3848</v>
      </c>
      <c r="V3077" s="573" t="s">
        <v>18436</v>
      </c>
      <c r="W3077" s="1228"/>
      <c r="X3077" s="2376" t="str">
        <f> hyperlink(vlookup(lower(S3077),'File Links'!E:F, 2, FALSE), "LINK")</f>
        <v>LINK</v>
      </c>
      <c r="Y3077" s="68"/>
      <c r="Z3077" s="68" t="s">
        <v>947</v>
      </c>
      <c r="AA3077" s="68" t="s">
        <v>18437</v>
      </c>
      <c r="AB3077" s="68" t="s">
        <v>7291</v>
      </c>
      <c r="AC3077" s="68" t="s">
        <v>18438</v>
      </c>
      <c r="AD3077" s="129" t="s">
        <v>18439</v>
      </c>
      <c r="AE3077" s="68" t="s">
        <v>624</v>
      </c>
      <c r="AF3077" s="336">
        <v>54.0</v>
      </c>
      <c r="AG3077" s="129" t="s">
        <v>18440</v>
      </c>
      <c r="AH3077" s="68" t="s">
        <v>134</v>
      </c>
      <c r="AI3077" s="68" t="s">
        <v>18441</v>
      </c>
      <c r="AJ3077" s="336">
        <v>0.0052</v>
      </c>
      <c r="AK3077" s="68" t="s">
        <v>172</v>
      </c>
      <c r="AL3077" s="68" t="s">
        <v>218</v>
      </c>
      <c r="AM3077" s="68" t="s">
        <v>137</v>
      </c>
      <c r="AN3077" s="68" t="s">
        <v>138</v>
      </c>
      <c r="AO3077" s="336">
        <v>314.0</v>
      </c>
      <c r="AP3077" s="2464">
        <v>0.24</v>
      </c>
      <c r="AQ3077" s="68" t="s">
        <v>173</v>
      </c>
      <c r="AR3077" s="68" t="s">
        <v>18453</v>
      </c>
      <c r="AS3077" s="336">
        <v>0.001</v>
      </c>
      <c r="AT3077" s="68" t="s">
        <v>135</v>
      </c>
      <c r="AU3077" s="68" t="s">
        <v>186</v>
      </c>
      <c r="AV3077" s="68" t="s">
        <v>137</v>
      </c>
      <c r="AW3077" s="435" t="s">
        <v>18443</v>
      </c>
      <c r="AX3077" s="68" t="s">
        <v>143</v>
      </c>
      <c r="AY3077" s="61" t="str">
        <f>IFERROR(__xludf.DUMMYFUNCTION("vlookup(BB3077,importrange(""https://docs.google.com/spreadsheets/d/1d2vevQ_7D_v35q4wCQ4RpQ_IPoTwEMB9Yp6ymwlPqew/edit?gid=984458430#gid=984458430"", ""'replication success'!A:K""), 11, FAlSE)"),"#N/A")</f>
        <v>#N/A</v>
      </c>
      <c r="AZ3077" s="61" t="str">
        <f>IFERROR(__xludf.DUMMYFUNCTION("vlookup(BB3077,importrange(""https://docs.google.com/spreadsheets/d/1d2vevQ_7D_v35q4wCQ4RpQ_IPoTwEMB9Yp6ymwlPqew/edit?gid=984458430#gid=984458430"", ""'replication success'!A:M""), 12, FAlSE)"),"#N/A")</f>
        <v>#N/A</v>
      </c>
      <c r="BA3077" s="61" t="str">
        <f>IFERROR(__xludf.DUMMYFUNCTION("vlookup(BB3077,importrange(""https://docs.google.com/spreadsheets/d/1d2vevQ_7D_v35q4wCQ4RpQ_IPoTwEMB9Yp6ymwlPqew/edit?gid=984458430#gid=984458430"", ""'replication success'!A:M""), 13, FAlSE)"),"#N/A")</f>
        <v>#N/A</v>
      </c>
      <c r="BB3077" s="61" t="str">
        <f>IFERROR(__xludf.DUMMYFUNCTION("REGEXREPLACE(G3077, ""_[a-z]{1,2}$"", """")"),"CORE_76")</f>
        <v>CORE_76</v>
      </c>
      <c r="BD3077" s="62" t="s">
        <v>7302</v>
      </c>
    </row>
    <row r="3078">
      <c r="A3078" s="44">
        <v>2917.0</v>
      </c>
      <c r="B3078" s="129" t="s">
        <v>523</v>
      </c>
      <c r="C3078" s="62" t="s">
        <v>115</v>
      </c>
      <c r="D3078" s="62" t="s">
        <v>248</v>
      </c>
      <c r="F3078" s="68" t="s">
        <v>18427</v>
      </c>
      <c r="G3078" s="68" t="s">
        <v>18454</v>
      </c>
      <c r="H3078" s="68" t="s">
        <v>249</v>
      </c>
      <c r="I3078" s="529">
        <v>45811.0</v>
      </c>
      <c r="J3078" s="862"/>
      <c r="K3078" s="68" t="s">
        <v>18449</v>
      </c>
      <c r="L3078" s="68"/>
      <c r="M3078" s="68" t="s">
        <v>18431</v>
      </c>
      <c r="N3078" s="68" t="s">
        <v>18432</v>
      </c>
      <c r="O3078" s="68"/>
      <c r="P3078" s="573" t="s">
        <v>18433</v>
      </c>
      <c r="Q3078" s="2375" t="str">
        <f> hyperlink(vlookup(lower(N3078),'File Links'!E:F, 2, FALSE), "LINK")</f>
        <v>LINK</v>
      </c>
      <c r="R3078" s="68" t="s">
        <v>18434</v>
      </c>
      <c r="S3078" s="68" t="s">
        <v>18435</v>
      </c>
      <c r="T3078" s="68"/>
      <c r="U3078" s="68" t="s">
        <v>3848</v>
      </c>
      <c r="V3078" s="573" t="s">
        <v>18436</v>
      </c>
      <c r="W3078" s="1228"/>
      <c r="X3078" s="2376" t="str">
        <f> hyperlink(vlookup(lower(S3078),'File Links'!E:F, 2, FALSE), "LINK")</f>
        <v>LINK</v>
      </c>
      <c r="Y3078" s="68"/>
      <c r="Z3078" s="68" t="s">
        <v>947</v>
      </c>
      <c r="AA3078" s="68" t="s">
        <v>18437</v>
      </c>
      <c r="AB3078" s="68" t="s">
        <v>7291</v>
      </c>
      <c r="AC3078" s="68" t="s">
        <v>18438</v>
      </c>
      <c r="AD3078" s="129" t="s">
        <v>18439</v>
      </c>
      <c r="AE3078" s="68" t="s">
        <v>624</v>
      </c>
      <c r="AF3078" s="336">
        <v>54.0</v>
      </c>
      <c r="AG3078" s="129" t="s">
        <v>18440</v>
      </c>
      <c r="AH3078" s="68" t="s">
        <v>134</v>
      </c>
      <c r="AI3078" s="68" t="s">
        <v>18441</v>
      </c>
      <c r="AJ3078" s="336">
        <v>0.0052</v>
      </c>
      <c r="AK3078" s="68" t="s">
        <v>172</v>
      </c>
      <c r="AL3078" s="68" t="s">
        <v>218</v>
      </c>
      <c r="AM3078" s="68" t="s">
        <v>137</v>
      </c>
      <c r="AN3078" s="68" t="s">
        <v>138</v>
      </c>
      <c r="AO3078" s="336">
        <v>314.0</v>
      </c>
      <c r="AP3078" s="2464">
        <v>0.36</v>
      </c>
      <c r="AQ3078" s="68" t="s">
        <v>173</v>
      </c>
      <c r="AR3078" s="68" t="s">
        <v>18455</v>
      </c>
      <c r="AS3078" s="336">
        <v>0.001</v>
      </c>
      <c r="AT3078" s="68" t="s">
        <v>135</v>
      </c>
      <c r="AU3078" s="68" t="s">
        <v>186</v>
      </c>
      <c r="AV3078" s="68" t="s">
        <v>137</v>
      </c>
      <c r="AW3078" s="435" t="s">
        <v>18443</v>
      </c>
      <c r="AX3078" s="68" t="s">
        <v>143</v>
      </c>
      <c r="AY3078" s="61" t="str">
        <f>IFERROR(__xludf.DUMMYFUNCTION("vlookup(BB3078,importrange(""https://docs.google.com/spreadsheets/d/1d2vevQ_7D_v35q4wCQ4RpQ_IPoTwEMB9Yp6ymwlPqew/edit?gid=984458430#gid=984458430"", ""'replication success'!A:K""), 11, FAlSE)"),"#N/A")</f>
        <v>#N/A</v>
      </c>
      <c r="AZ3078" s="61" t="str">
        <f>IFERROR(__xludf.DUMMYFUNCTION("vlookup(BB3078,importrange(""https://docs.google.com/spreadsheets/d/1d2vevQ_7D_v35q4wCQ4RpQ_IPoTwEMB9Yp6ymwlPqew/edit?gid=984458430#gid=984458430"", ""'replication success'!A:M""), 12, FAlSE)"),"#N/A")</f>
        <v>#N/A</v>
      </c>
      <c r="BA3078" s="61" t="str">
        <f>IFERROR(__xludf.DUMMYFUNCTION("vlookup(BB3078,importrange(""https://docs.google.com/spreadsheets/d/1d2vevQ_7D_v35q4wCQ4RpQ_IPoTwEMB9Yp6ymwlPqew/edit?gid=984458430#gid=984458430"", ""'replication success'!A:M""), 13, FAlSE)"),"#N/A")</f>
        <v>#N/A</v>
      </c>
      <c r="BB3078" s="61" t="str">
        <f>IFERROR(__xludf.DUMMYFUNCTION("REGEXREPLACE(G3078, ""_[a-z]{1,2}$"", """")"),"CORE_76")</f>
        <v>CORE_76</v>
      </c>
      <c r="BD3078" s="62" t="s">
        <v>7302</v>
      </c>
    </row>
    <row r="3079">
      <c r="A3079" s="639">
        <v>2918.0</v>
      </c>
      <c r="B3079" s="631" t="s">
        <v>7959</v>
      </c>
      <c r="C3079" s="397" t="s">
        <v>115</v>
      </c>
      <c r="D3079" s="397" t="s">
        <v>248</v>
      </c>
      <c r="E3079" s="220"/>
      <c r="F3079" s="398" t="s">
        <v>18456</v>
      </c>
      <c r="G3079" s="398" t="s">
        <v>18457</v>
      </c>
      <c r="H3079" s="398" t="s">
        <v>249</v>
      </c>
      <c r="I3079" s="2465">
        <v>45812.0</v>
      </c>
      <c r="J3079" s="1802">
        <v>45835.0</v>
      </c>
      <c r="K3079" s="398" t="s">
        <v>18458</v>
      </c>
      <c r="L3079" s="398"/>
      <c r="M3079" s="398" t="s">
        <v>18459</v>
      </c>
      <c r="N3079" s="398" t="s">
        <v>18460</v>
      </c>
      <c r="O3079" s="398"/>
      <c r="P3079" s="398" t="s">
        <v>18461</v>
      </c>
      <c r="Q3079" s="2466" t="str">
        <f> hyperlink(vlookup(lower(N3079),'File Links'!E:F, 2, FALSE), "LINK")</f>
        <v>LINK</v>
      </c>
      <c r="R3079" s="398" t="s">
        <v>18462</v>
      </c>
      <c r="S3079" s="398" t="s">
        <v>18463</v>
      </c>
      <c r="T3079" s="398"/>
      <c r="U3079" s="398"/>
      <c r="V3079" s="398" t="s">
        <v>18464</v>
      </c>
      <c r="W3079" s="398"/>
      <c r="X3079" s="2467" t="str">
        <f> hyperlink(vlookup(lower(S3079),'File Links'!E:F, 2, FALSE), "LINK")</f>
        <v>LINK</v>
      </c>
      <c r="Y3079" s="398"/>
      <c r="Z3079" s="398" t="s">
        <v>947</v>
      </c>
      <c r="AA3079" s="398" t="s">
        <v>18465</v>
      </c>
      <c r="AB3079" s="398" t="s">
        <v>7291</v>
      </c>
      <c r="AC3079" s="398"/>
      <c r="AD3079" s="398" t="s">
        <v>18466</v>
      </c>
      <c r="AE3079" s="398" t="s">
        <v>18467</v>
      </c>
      <c r="AF3079" s="770">
        <v>486.0</v>
      </c>
      <c r="AG3079" s="398" t="s">
        <v>18468</v>
      </c>
      <c r="AH3079" s="398" t="s">
        <v>134</v>
      </c>
      <c r="AI3079" s="398" t="s">
        <v>18469</v>
      </c>
      <c r="AJ3079" s="398" t="s">
        <v>138</v>
      </c>
      <c r="AK3079" s="398" t="s">
        <v>172</v>
      </c>
      <c r="AL3079" s="398" t="s">
        <v>186</v>
      </c>
      <c r="AM3079" s="398" t="s">
        <v>137</v>
      </c>
      <c r="AN3079" s="398" t="s">
        <v>138</v>
      </c>
      <c r="AO3079" s="398" t="s">
        <v>138</v>
      </c>
      <c r="AP3079" s="398" t="s">
        <v>138</v>
      </c>
      <c r="AQ3079" s="398" t="s">
        <v>138</v>
      </c>
      <c r="AR3079" s="398" t="s">
        <v>18470</v>
      </c>
      <c r="AS3079" s="398" t="s">
        <v>138</v>
      </c>
      <c r="AT3079" s="398" t="s">
        <v>172</v>
      </c>
      <c r="AU3079" s="398" t="s">
        <v>186</v>
      </c>
      <c r="AV3079" s="398" t="s">
        <v>137</v>
      </c>
      <c r="AW3079" s="409" t="s">
        <v>18471</v>
      </c>
      <c r="AX3079" s="398" t="s">
        <v>143</v>
      </c>
      <c r="AY3079" s="61" t="str">
        <f>IFERROR(__xludf.DUMMYFUNCTION("vlookup(BB3079,importrange(""https://docs.google.com/spreadsheets/d/1d2vevQ_7D_v35q4wCQ4RpQ_IPoTwEMB9Yp6ymwlPqew/edit?gid=984458430#gid=984458430"", ""'replication success'!A:K""), 11, FAlSE)"),"#N/A")</f>
        <v>#N/A</v>
      </c>
      <c r="AZ3079" s="61" t="str">
        <f>IFERROR(__xludf.DUMMYFUNCTION("vlookup(BB3079,importrange(""https://docs.google.com/spreadsheets/d/1d2vevQ_7D_v35q4wCQ4RpQ_IPoTwEMB9Yp6ymwlPqew/edit?gid=984458430#gid=984458430"", ""'replication success'!A:M""), 12, FAlSE)"),"#N/A")</f>
        <v>#N/A</v>
      </c>
      <c r="BA3079" s="61" t="str">
        <f>IFERROR(__xludf.DUMMYFUNCTION("vlookup(BB3079,importrange(""https://docs.google.com/spreadsheets/d/1d2vevQ_7D_v35q4wCQ4RpQ_IPoTwEMB9Yp6ymwlPqew/edit?gid=984458430#gid=984458430"", ""'replication success'!A:M""), 13, FAlSE)"),"#N/A")</f>
        <v>#N/A</v>
      </c>
      <c r="BB3079" s="61" t="str">
        <f>IFERROR(__xludf.DUMMYFUNCTION("REGEXREPLACE(G3079, ""_[a-z]{1,2}$"", """")"),"CORE_78")</f>
        <v>CORE_78</v>
      </c>
      <c r="BC3079" s="220"/>
      <c r="BD3079" s="397" t="s">
        <v>7302</v>
      </c>
      <c r="BE3079" s="220"/>
    </row>
    <row r="3080">
      <c r="A3080" s="44">
        <v>2993.0</v>
      </c>
      <c r="B3080" s="129" t="s">
        <v>7959</v>
      </c>
      <c r="C3080" s="62" t="s">
        <v>115</v>
      </c>
      <c r="D3080" s="62" t="s">
        <v>15473</v>
      </c>
      <c r="F3080" s="68" t="s">
        <v>18456</v>
      </c>
      <c r="G3080" s="159" t="s">
        <v>18457</v>
      </c>
      <c r="H3080" s="68" t="s">
        <v>15473</v>
      </c>
      <c r="I3080" s="152">
        <v>45331.0</v>
      </c>
      <c r="J3080" s="2127">
        <v>45835.0</v>
      </c>
      <c r="K3080" s="68"/>
      <c r="L3080" s="68"/>
      <c r="M3080" s="159" t="s">
        <v>18459</v>
      </c>
      <c r="N3080" s="159" t="s">
        <v>18460</v>
      </c>
      <c r="O3080" s="336">
        <v>1.0</v>
      </c>
      <c r="P3080" s="159" t="s">
        <v>18461</v>
      </c>
      <c r="Q3080" s="2174" t="str">
        <f> hyperlink(vlookup(lower(N3080),'File Links'!E:F, 2, FALSE), "LINK")</f>
        <v>LINK</v>
      </c>
      <c r="R3080" s="159" t="s">
        <v>18462</v>
      </c>
      <c r="S3080" s="159" t="s">
        <v>18463</v>
      </c>
      <c r="T3080" s="68"/>
      <c r="U3080" s="336">
        <v>1.0</v>
      </c>
      <c r="V3080" s="159" t="s">
        <v>18464</v>
      </c>
      <c r="W3080" s="205" t="s">
        <v>209</v>
      </c>
      <c r="X3080" s="2400" t="str">
        <f> hyperlink(vlookup(lower(S3080),'File Links'!E:F, 2, FALSE), "LINK")</f>
        <v>LINK</v>
      </c>
      <c r="Y3080" s="68"/>
      <c r="Z3080" s="159" t="s">
        <v>947</v>
      </c>
      <c r="AA3080" s="159" t="s">
        <v>18465</v>
      </c>
      <c r="AB3080" s="159" t="s">
        <v>7291</v>
      </c>
      <c r="AC3080" s="68" t="s">
        <v>18472</v>
      </c>
      <c r="AD3080" s="68" t="s">
        <v>18473</v>
      </c>
      <c r="AE3080" s="68" t="s">
        <v>18474</v>
      </c>
      <c r="AF3080" s="336">
        <v>486.0</v>
      </c>
      <c r="AG3080" s="68" t="s">
        <v>18475</v>
      </c>
      <c r="AH3080" s="68" t="s">
        <v>134</v>
      </c>
      <c r="AI3080" s="68" t="s">
        <v>18476</v>
      </c>
      <c r="AJ3080" s="336">
        <v>0.001</v>
      </c>
      <c r="AK3080" s="68" t="s">
        <v>172</v>
      </c>
      <c r="AL3080" s="68" t="s">
        <v>136</v>
      </c>
      <c r="AM3080" s="68" t="s">
        <v>137</v>
      </c>
      <c r="AN3080" s="68"/>
      <c r="AO3080" s="336">
        <v>311.0</v>
      </c>
      <c r="AP3080" s="336">
        <v>0.62</v>
      </c>
      <c r="AQ3080" s="68" t="s">
        <v>2805</v>
      </c>
      <c r="AR3080" s="68" t="s">
        <v>624</v>
      </c>
      <c r="AS3080" s="68" t="s">
        <v>18477</v>
      </c>
      <c r="AT3080" s="68" t="s">
        <v>172</v>
      </c>
      <c r="AU3080" s="68" t="s">
        <v>186</v>
      </c>
      <c r="AV3080" s="68" t="s">
        <v>137</v>
      </c>
      <c r="AW3080" s="435" t="s">
        <v>18478</v>
      </c>
      <c r="AX3080" s="68" t="s">
        <v>143</v>
      </c>
      <c r="AY3080" s="61" t="str">
        <f>IFERROR(__xludf.DUMMYFUNCTION("vlookup(BB3080,importrange(""https://docs.google.com/spreadsheets/d/1d2vevQ_7D_v35q4wCQ4RpQ_IPoTwEMB9Yp6ymwlPqew/edit?gid=984458430#gid=984458430"", ""'replication success'!A:K""), 11, FAlSE)"),"#N/A")</f>
        <v>#N/A</v>
      </c>
      <c r="AZ3080" s="61" t="str">
        <f>IFERROR(__xludf.DUMMYFUNCTION("vlookup(BB3080,importrange(""https://docs.google.com/spreadsheets/d/1d2vevQ_7D_v35q4wCQ4RpQ_IPoTwEMB9Yp6ymwlPqew/edit?gid=984458430#gid=984458430"", ""'replication success'!A:M""), 12, FAlSE)"),"#N/A")</f>
        <v>#N/A</v>
      </c>
      <c r="BA3080" s="61" t="str">
        <f>IFERROR(__xludf.DUMMYFUNCTION("vlookup(BB3080,importrange(""https://docs.google.com/spreadsheets/d/1d2vevQ_7D_v35q4wCQ4RpQ_IPoTwEMB9Yp6ymwlPqew/edit?gid=984458430#gid=984458430"", ""'replication success'!A:M""), 13, FAlSE)"),"#N/A")</f>
        <v>#N/A</v>
      </c>
      <c r="BB3080" s="61" t="str">
        <f>IFERROR(__xludf.DUMMYFUNCTION("REGEXREPLACE(G3080, ""_[a-z]{1,2}$"", """")"),"CORE_78")</f>
        <v>CORE_78</v>
      </c>
      <c r="BD3080" s="62" t="s">
        <v>7302</v>
      </c>
    </row>
    <row r="3081">
      <c r="A3081" s="44">
        <v>2919.0</v>
      </c>
      <c r="B3081" s="129" t="s">
        <v>152</v>
      </c>
      <c r="C3081" s="62" t="s">
        <v>115</v>
      </c>
      <c r="D3081" s="62" t="s">
        <v>248</v>
      </c>
      <c r="F3081" s="68" t="s">
        <v>18479</v>
      </c>
      <c r="G3081" s="68" t="s">
        <v>18480</v>
      </c>
      <c r="H3081" s="68" t="s">
        <v>249</v>
      </c>
      <c r="I3081" s="529">
        <v>45812.0</v>
      </c>
      <c r="J3081" s="1802">
        <v>45835.0</v>
      </c>
      <c r="K3081" s="68" t="s">
        <v>18481</v>
      </c>
      <c r="L3081" s="68"/>
      <c r="M3081" s="68" t="s">
        <v>18482</v>
      </c>
      <c r="N3081" s="68" t="s">
        <v>18483</v>
      </c>
      <c r="O3081" s="68"/>
      <c r="P3081" s="573" t="s">
        <v>18484</v>
      </c>
      <c r="Q3081" s="2375" t="str">
        <f> hyperlink(vlookup(lower(N3081),'File Links'!E:F, 2, FALSE), "LINK")</f>
        <v>LINK</v>
      </c>
      <c r="R3081" s="68" t="s">
        <v>18485</v>
      </c>
      <c r="S3081" s="68" t="s">
        <v>18486</v>
      </c>
      <c r="T3081" s="68"/>
      <c r="U3081" s="68"/>
      <c r="V3081" s="573" t="s">
        <v>18487</v>
      </c>
      <c r="W3081" s="1228"/>
      <c r="X3081" s="2376" t="str">
        <f> hyperlink(vlookup(lower(S3081),'File Links'!E:F, 2, FALSE), "LINK")</f>
        <v>LINK</v>
      </c>
      <c r="Y3081" s="68" t="s">
        <v>18488</v>
      </c>
      <c r="Z3081" s="68" t="s">
        <v>947</v>
      </c>
      <c r="AA3081" s="68" t="s">
        <v>18139</v>
      </c>
      <c r="AB3081" s="68" t="s">
        <v>7291</v>
      </c>
      <c r="AC3081" s="68"/>
      <c r="AD3081" s="68" t="s">
        <v>138</v>
      </c>
      <c r="AE3081" s="68" t="s">
        <v>138</v>
      </c>
      <c r="AF3081" s="68" t="s">
        <v>138</v>
      </c>
      <c r="AG3081" s="68" t="s">
        <v>138</v>
      </c>
      <c r="AH3081" s="68" t="s">
        <v>138</v>
      </c>
      <c r="AI3081" s="68" t="s">
        <v>138</v>
      </c>
      <c r="AJ3081" s="68" t="s">
        <v>138</v>
      </c>
      <c r="AK3081" s="68" t="s">
        <v>138</v>
      </c>
      <c r="AL3081" s="68" t="s">
        <v>138</v>
      </c>
      <c r="AM3081" s="68" t="s">
        <v>138</v>
      </c>
      <c r="AN3081" s="68" t="s">
        <v>138</v>
      </c>
      <c r="AO3081" s="68" t="s">
        <v>138</v>
      </c>
      <c r="AP3081" s="68" t="s">
        <v>138</v>
      </c>
      <c r="AQ3081" s="68" t="s">
        <v>138</v>
      </c>
      <c r="AR3081" s="68" t="s">
        <v>138</v>
      </c>
      <c r="AS3081" s="68" t="s">
        <v>138</v>
      </c>
      <c r="AT3081" s="68" t="s">
        <v>138</v>
      </c>
      <c r="AU3081" s="68" t="s">
        <v>138</v>
      </c>
      <c r="AV3081" s="68" t="s">
        <v>138</v>
      </c>
      <c r="AW3081" s="68" t="s">
        <v>138</v>
      </c>
      <c r="AX3081" s="68" t="s">
        <v>138</v>
      </c>
      <c r="AY3081" s="61" t="str">
        <f>IFERROR(__xludf.DUMMYFUNCTION("vlookup(BB3081,importrange(""https://docs.google.com/spreadsheets/d/1d2vevQ_7D_v35q4wCQ4RpQ_IPoTwEMB9Yp6ymwlPqew/edit?gid=984458430#gid=984458430"", ""'replication success'!A:K""), 11, FAlSE)"),"#N/A")</f>
        <v>#N/A</v>
      </c>
      <c r="AZ3081" s="61" t="str">
        <f>IFERROR(__xludf.DUMMYFUNCTION("vlookup(BB3081,importrange(""https://docs.google.com/spreadsheets/d/1d2vevQ_7D_v35q4wCQ4RpQ_IPoTwEMB9Yp6ymwlPqew/edit?gid=984458430#gid=984458430"", ""'replication success'!A:M""), 12, FAlSE)"),"#N/A")</f>
        <v>#N/A</v>
      </c>
      <c r="BA3081" s="61" t="str">
        <f>IFERROR(__xludf.DUMMYFUNCTION("vlookup(BB3081,importrange(""https://docs.google.com/spreadsheets/d/1d2vevQ_7D_v35q4wCQ4RpQ_IPoTwEMB9Yp6ymwlPqew/edit?gid=984458430#gid=984458430"", ""'replication success'!A:M""), 13, FAlSE)"),"#N/A")</f>
        <v>#N/A</v>
      </c>
      <c r="BB3081" s="61" t="str">
        <f>IFERROR(__xludf.DUMMYFUNCTION("REGEXREPLACE(G3081, ""_[a-z]{1,2}$"", """")"),"CORE_79")</f>
        <v>CORE_79</v>
      </c>
      <c r="BD3081" s="2468" t="s">
        <v>814</v>
      </c>
    </row>
    <row r="3082">
      <c r="A3082" s="1485">
        <v>2903.0</v>
      </c>
      <c r="B3082" s="1486" t="s">
        <v>114</v>
      </c>
      <c r="C3082" s="910" t="s">
        <v>115</v>
      </c>
      <c r="D3082" s="910" t="s">
        <v>248</v>
      </c>
      <c r="E3082" s="911"/>
      <c r="F3082" s="915" t="s">
        <v>18489</v>
      </c>
      <c r="G3082" s="915" t="s">
        <v>18490</v>
      </c>
      <c r="H3082" s="915" t="s">
        <v>249</v>
      </c>
      <c r="I3082" s="2469">
        <v>45811.0</v>
      </c>
      <c r="J3082" s="2442">
        <v>45835.0</v>
      </c>
      <c r="K3082" s="915" t="s">
        <v>18491</v>
      </c>
      <c r="L3082" s="1486" t="s">
        <v>18492</v>
      </c>
      <c r="M3082" s="915" t="s">
        <v>18493</v>
      </c>
      <c r="N3082" s="915" t="s">
        <v>18494</v>
      </c>
      <c r="O3082" s="1486">
        <v>1.0</v>
      </c>
      <c r="P3082" s="915" t="s">
        <v>18495</v>
      </c>
      <c r="Q3082" s="2470" t="str">
        <f> hyperlink(vlookup(lower(N3082),'File Links'!E:F, 2, FALSE), "LINK")</f>
        <v>LINK</v>
      </c>
      <c r="R3082" s="915" t="s">
        <v>18421</v>
      </c>
      <c r="S3082" s="915" t="s">
        <v>18422</v>
      </c>
      <c r="T3082" s="915"/>
      <c r="U3082" s="915" t="s">
        <v>18496</v>
      </c>
      <c r="V3082" s="915" t="s">
        <v>18423</v>
      </c>
      <c r="W3082" s="1486" t="s">
        <v>1122</v>
      </c>
      <c r="X3082" s="2471" t="str">
        <f> hyperlink(vlookup(lower(S3082),'File Links'!E:F, 2, FALSE), "LINK")</f>
        <v>LINK</v>
      </c>
      <c r="Y3082" s="915"/>
      <c r="Z3082" s="915" t="s">
        <v>947</v>
      </c>
      <c r="AA3082" s="915" t="s">
        <v>18497</v>
      </c>
      <c r="AB3082" s="915" t="s">
        <v>7291</v>
      </c>
      <c r="AC3082" s="915" t="s">
        <v>18498</v>
      </c>
      <c r="AD3082" s="204" t="s">
        <v>18499</v>
      </c>
      <c r="AE3082" s="915" t="s">
        <v>3721</v>
      </c>
      <c r="AF3082" s="2472">
        <v>358.0</v>
      </c>
      <c r="AG3082" s="2473">
        <v>0.26</v>
      </c>
      <c r="AH3082" s="915" t="s">
        <v>1256</v>
      </c>
      <c r="AI3082" s="915" t="s">
        <v>3721</v>
      </c>
      <c r="AJ3082" s="2473">
        <v>0.001</v>
      </c>
      <c r="AK3082" s="915" t="s">
        <v>135</v>
      </c>
      <c r="AL3082" s="915" t="s">
        <v>186</v>
      </c>
      <c r="AM3082" s="915" t="s">
        <v>137</v>
      </c>
      <c r="AN3082" s="915" t="s">
        <v>138</v>
      </c>
      <c r="AO3082" s="2472">
        <v>604.0</v>
      </c>
      <c r="AP3082" s="2473">
        <v>0.28</v>
      </c>
      <c r="AQ3082" s="915" t="s">
        <v>1256</v>
      </c>
      <c r="AR3082" s="1486" t="s">
        <v>850</v>
      </c>
      <c r="AS3082" s="2473">
        <v>0.001</v>
      </c>
      <c r="AT3082" s="915" t="s">
        <v>135</v>
      </c>
      <c r="AU3082" s="915" t="s">
        <v>186</v>
      </c>
      <c r="AV3082" s="915" t="s">
        <v>137</v>
      </c>
      <c r="AW3082" s="2298" t="s">
        <v>18500</v>
      </c>
      <c r="AX3082" s="915" t="s">
        <v>143</v>
      </c>
      <c r="AY3082" s="61" t="str">
        <f>IFERROR(__xludf.DUMMYFUNCTION("vlookup(BB3082,importrange(""https://docs.google.com/spreadsheets/d/1d2vevQ_7D_v35q4wCQ4RpQ_IPoTwEMB9Yp6ymwlPqew/edit?gid=984458430#gid=984458430"", ""'replication success'!A:K""), 11, FAlSE)"),"#N/A")</f>
        <v>#N/A</v>
      </c>
      <c r="AZ3082" s="61" t="str">
        <f>IFERROR(__xludf.DUMMYFUNCTION("vlookup(BB3082,importrange(""https://docs.google.com/spreadsheets/d/1d2vevQ_7D_v35q4wCQ4RpQ_IPoTwEMB9Yp6ymwlPqew/edit?gid=984458430#gid=984458430"", ""'replication success'!A:M""), 12, FAlSE)"),"#N/A")</f>
        <v>#N/A</v>
      </c>
      <c r="BA3082" s="61" t="str">
        <f>IFERROR(__xludf.DUMMYFUNCTION("vlookup(BB3082,importrange(""https://docs.google.com/spreadsheets/d/1d2vevQ_7D_v35q4wCQ4RpQ_IPoTwEMB9Yp6ymwlPqew/edit?gid=984458430#gid=984458430"", ""'replication success'!A:M""), 13, FAlSE)"),"#N/A")</f>
        <v>#N/A</v>
      </c>
      <c r="BB3082" s="61" t="str">
        <f>IFERROR(__xludf.DUMMYFUNCTION("REGEXREPLACE(G3082, ""_[a-z]{1,2}$"", """")"),"CORE_80")</f>
        <v>CORE_80</v>
      </c>
      <c r="BC3082" s="911"/>
      <c r="BD3082" s="910" t="s">
        <v>1270</v>
      </c>
      <c r="BE3082" s="911"/>
    </row>
    <row r="3083">
      <c r="A3083" s="354">
        <v>2994.0</v>
      </c>
      <c r="B3083" s="56" t="s">
        <v>152</v>
      </c>
      <c r="C3083" s="341" t="s">
        <v>115</v>
      </c>
      <c r="D3083" s="341" t="s">
        <v>15473</v>
      </c>
      <c r="E3083" s="342"/>
      <c r="F3083" s="46" t="s">
        <v>18489</v>
      </c>
      <c r="G3083" s="360" t="s">
        <v>18490</v>
      </c>
      <c r="H3083" s="360" t="s">
        <v>18250</v>
      </c>
      <c r="I3083" s="344">
        <v>45331.0</v>
      </c>
      <c r="J3083" s="2124">
        <v>45835.0</v>
      </c>
      <c r="K3083" s="46" t="s">
        <v>18501</v>
      </c>
      <c r="L3083" s="56" t="s">
        <v>18502</v>
      </c>
      <c r="M3083" s="360" t="s">
        <v>18493</v>
      </c>
      <c r="N3083" s="360" t="s">
        <v>18494</v>
      </c>
      <c r="O3083" s="385">
        <v>1.0</v>
      </c>
      <c r="P3083" s="360" t="s">
        <v>18495</v>
      </c>
      <c r="Q3083" s="2207" t="str">
        <f> hyperlink(vlookup(lower(N3083),'File Links'!E:F, 2, FALSE), "LINK")</f>
        <v>LINK</v>
      </c>
      <c r="R3083" s="360" t="s">
        <v>18421</v>
      </c>
      <c r="S3083" s="360" t="s">
        <v>18422</v>
      </c>
      <c r="T3083" s="46"/>
      <c r="U3083" s="385">
        <v>1.0</v>
      </c>
      <c r="V3083" s="360" t="s">
        <v>18423</v>
      </c>
      <c r="W3083" s="56" t="s">
        <v>1122</v>
      </c>
      <c r="X3083" s="2208" t="str">
        <f> hyperlink(vlookup(lower(S3083),'File Links'!E:F, 2, FALSE), "LINK")</f>
        <v>LINK</v>
      </c>
      <c r="Y3083" s="46"/>
      <c r="Z3083" s="360" t="s">
        <v>947</v>
      </c>
      <c r="AA3083" s="360" t="s">
        <v>18497</v>
      </c>
      <c r="AB3083" s="360" t="s">
        <v>7291</v>
      </c>
      <c r="AC3083" s="360" t="s">
        <v>18498</v>
      </c>
      <c r="AD3083" s="46" t="s">
        <v>18499</v>
      </c>
      <c r="AE3083" s="46" t="s">
        <v>1483</v>
      </c>
      <c r="AF3083" s="385">
        <v>358.0</v>
      </c>
      <c r="AG3083" s="55">
        <v>0.26</v>
      </c>
      <c r="AH3083" s="46" t="s">
        <v>1256</v>
      </c>
      <c r="AI3083" s="46" t="s">
        <v>3721</v>
      </c>
      <c r="AJ3083" s="385">
        <v>1.0E-4</v>
      </c>
      <c r="AK3083" s="46" t="s">
        <v>135</v>
      </c>
      <c r="AL3083" s="46" t="s">
        <v>186</v>
      </c>
      <c r="AM3083" s="46" t="s">
        <v>137</v>
      </c>
      <c r="AN3083" s="46"/>
      <c r="AO3083" s="385">
        <v>604.0</v>
      </c>
      <c r="AP3083" s="385">
        <v>0.28</v>
      </c>
      <c r="AQ3083" s="46" t="s">
        <v>1256</v>
      </c>
      <c r="AR3083" s="46" t="s">
        <v>496</v>
      </c>
      <c r="AS3083" s="385">
        <v>0.001</v>
      </c>
      <c r="AT3083" s="46" t="s">
        <v>135</v>
      </c>
      <c r="AU3083" s="46" t="s">
        <v>186</v>
      </c>
      <c r="AV3083" s="46" t="s">
        <v>137</v>
      </c>
      <c r="AW3083" s="59" t="s">
        <v>18503</v>
      </c>
      <c r="AX3083" s="46" t="s">
        <v>143</v>
      </c>
      <c r="AY3083" s="61" t="str">
        <f>IFERROR(__xludf.DUMMYFUNCTION("vlookup(BB3083,importrange(""https://docs.google.com/spreadsheets/d/1d2vevQ_7D_v35q4wCQ4RpQ_IPoTwEMB9Yp6ymwlPqew/edit?gid=984458430#gid=984458430"", ""'replication success'!A:K""), 11, FAlSE)"),"#N/A")</f>
        <v>#N/A</v>
      </c>
      <c r="AZ3083" s="61" t="str">
        <f>IFERROR(__xludf.DUMMYFUNCTION("vlookup(BB3083,importrange(""https://docs.google.com/spreadsheets/d/1d2vevQ_7D_v35q4wCQ4RpQ_IPoTwEMB9Yp6ymwlPqew/edit?gid=984458430#gid=984458430"", ""'replication success'!A:M""), 12, FAlSE)"),"#N/A")</f>
        <v>#N/A</v>
      </c>
      <c r="BA3083" s="61" t="str">
        <f>IFERROR(__xludf.DUMMYFUNCTION("vlookup(BB3083,importrange(""https://docs.google.com/spreadsheets/d/1d2vevQ_7D_v35q4wCQ4RpQ_IPoTwEMB9Yp6ymwlPqew/edit?gid=984458430#gid=984458430"", ""'replication success'!A:M""), 13, FAlSE)"),"#N/A")</f>
        <v>#N/A</v>
      </c>
      <c r="BB3083" s="61" t="str">
        <f>IFERROR(__xludf.DUMMYFUNCTION("REGEXREPLACE(G3083, ""_[a-z]{1,2}$"", """")"),"CORE_80")</f>
        <v>CORE_80</v>
      </c>
      <c r="BC3083" s="342"/>
      <c r="BD3083" s="341" t="s">
        <v>814</v>
      </c>
      <c r="BE3083" s="342"/>
    </row>
    <row r="3084">
      <c r="A3084" s="1485">
        <v>2904.0</v>
      </c>
      <c r="B3084" s="1486" t="s">
        <v>114</v>
      </c>
      <c r="C3084" s="910" t="s">
        <v>115</v>
      </c>
      <c r="D3084" s="910" t="s">
        <v>248</v>
      </c>
      <c r="E3084" s="911"/>
      <c r="F3084" s="915" t="s">
        <v>18489</v>
      </c>
      <c r="G3084" s="915" t="s">
        <v>18504</v>
      </c>
      <c r="H3084" s="915" t="s">
        <v>249</v>
      </c>
      <c r="I3084" s="2469">
        <v>45811.0</v>
      </c>
      <c r="J3084" s="2442">
        <v>45835.0</v>
      </c>
      <c r="K3084" s="915" t="s">
        <v>18491</v>
      </c>
      <c r="L3084" s="915"/>
      <c r="M3084" s="915" t="s">
        <v>18493</v>
      </c>
      <c r="N3084" s="915" t="s">
        <v>18494</v>
      </c>
      <c r="O3084" s="915"/>
      <c r="P3084" s="915" t="s">
        <v>18495</v>
      </c>
      <c r="Q3084" s="2470" t="str">
        <f> hyperlink(vlookup(lower(N3084),'File Links'!E:F, 2, FALSE), "LINK")</f>
        <v>LINK</v>
      </c>
      <c r="R3084" s="915" t="s">
        <v>18421</v>
      </c>
      <c r="S3084" s="915" t="s">
        <v>18422</v>
      </c>
      <c r="T3084" s="915"/>
      <c r="U3084" s="915" t="s">
        <v>18505</v>
      </c>
      <c r="V3084" s="915" t="s">
        <v>18423</v>
      </c>
      <c r="W3084" s="915"/>
      <c r="X3084" s="2471" t="str">
        <f> hyperlink(vlookup(lower(S3084),'File Links'!E:F, 2, FALSE), "LINK")</f>
        <v>LINK</v>
      </c>
      <c r="Y3084" s="1486"/>
      <c r="Z3084" s="915" t="s">
        <v>947</v>
      </c>
      <c r="AA3084" s="915" t="s">
        <v>18497</v>
      </c>
      <c r="AB3084" s="915" t="s">
        <v>7291</v>
      </c>
      <c r="AC3084" s="915" t="s">
        <v>18498</v>
      </c>
      <c r="AD3084" s="915" t="s">
        <v>18506</v>
      </c>
      <c r="AE3084" s="915" t="s">
        <v>3721</v>
      </c>
      <c r="AF3084" s="2473">
        <v>69.0</v>
      </c>
      <c r="AG3084" s="2473">
        <v>0.26</v>
      </c>
      <c r="AH3084" s="915" t="s">
        <v>1256</v>
      </c>
      <c r="AI3084" s="915" t="s">
        <v>18507</v>
      </c>
      <c r="AJ3084" s="2473">
        <v>0.007</v>
      </c>
      <c r="AK3084" s="915" t="s">
        <v>172</v>
      </c>
      <c r="AL3084" s="915" t="s">
        <v>186</v>
      </c>
      <c r="AM3084" s="915" t="s">
        <v>137</v>
      </c>
      <c r="AN3084" s="915" t="s">
        <v>138</v>
      </c>
      <c r="AO3084" s="2473">
        <v>203.0</v>
      </c>
      <c r="AP3084" s="2473">
        <v>0.28</v>
      </c>
      <c r="AQ3084" s="915" t="s">
        <v>1256</v>
      </c>
      <c r="AR3084" s="915" t="s">
        <v>18508</v>
      </c>
      <c r="AS3084" s="2473">
        <v>0.001</v>
      </c>
      <c r="AT3084" s="915" t="s">
        <v>135</v>
      </c>
      <c r="AU3084" s="915" t="s">
        <v>186</v>
      </c>
      <c r="AV3084" s="915" t="s">
        <v>137</v>
      </c>
      <c r="AW3084" s="2298" t="s">
        <v>18500</v>
      </c>
      <c r="AX3084" s="915" t="s">
        <v>143</v>
      </c>
      <c r="AY3084" s="61" t="str">
        <f>IFERROR(__xludf.DUMMYFUNCTION("vlookup(BB3084,importrange(""https://docs.google.com/spreadsheets/d/1d2vevQ_7D_v35q4wCQ4RpQ_IPoTwEMB9Yp6ymwlPqew/edit?gid=984458430#gid=984458430"", ""'replication success'!A:K""), 11, FAlSE)"),"#N/A")</f>
        <v>#N/A</v>
      </c>
      <c r="AZ3084" s="61" t="str">
        <f>IFERROR(__xludf.DUMMYFUNCTION("vlookup(BB3084,importrange(""https://docs.google.com/spreadsheets/d/1d2vevQ_7D_v35q4wCQ4RpQ_IPoTwEMB9Yp6ymwlPqew/edit?gid=984458430#gid=984458430"", ""'replication success'!A:M""), 12, FAlSE)"),"#N/A")</f>
        <v>#N/A</v>
      </c>
      <c r="BA3084" s="61" t="str">
        <f>IFERROR(__xludf.DUMMYFUNCTION("vlookup(BB3084,importrange(""https://docs.google.com/spreadsheets/d/1d2vevQ_7D_v35q4wCQ4RpQ_IPoTwEMB9Yp6ymwlPqew/edit?gid=984458430#gid=984458430"", ""'replication success'!A:M""), 13, FAlSE)"),"#N/A")</f>
        <v>#N/A</v>
      </c>
      <c r="BB3084" s="61" t="str">
        <f>IFERROR(__xludf.DUMMYFUNCTION("REGEXREPLACE(G3084, ""_[a-z]{1,2}$"", """")"),"CORE_80")</f>
        <v>CORE_80</v>
      </c>
      <c r="BC3084" s="911"/>
      <c r="BD3084" s="910" t="s">
        <v>1270</v>
      </c>
      <c r="BE3084" s="911"/>
    </row>
    <row r="3085">
      <c r="A3085" s="1485">
        <v>2905.0</v>
      </c>
      <c r="B3085" s="1486" t="s">
        <v>114</v>
      </c>
      <c r="C3085" s="910" t="s">
        <v>115</v>
      </c>
      <c r="D3085" s="910" t="s">
        <v>248</v>
      </c>
      <c r="E3085" s="911"/>
      <c r="F3085" s="915" t="s">
        <v>18489</v>
      </c>
      <c r="G3085" s="915" t="s">
        <v>18509</v>
      </c>
      <c r="H3085" s="915" t="s">
        <v>249</v>
      </c>
      <c r="I3085" s="2469">
        <v>45811.0</v>
      </c>
      <c r="J3085" s="2442">
        <v>45835.0</v>
      </c>
      <c r="K3085" s="915" t="s">
        <v>18491</v>
      </c>
      <c r="L3085" s="915"/>
      <c r="M3085" s="915" t="s">
        <v>18493</v>
      </c>
      <c r="N3085" s="915" t="s">
        <v>18494</v>
      </c>
      <c r="O3085" s="915"/>
      <c r="P3085" s="915" t="s">
        <v>18495</v>
      </c>
      <c r="Q3085" s="2470" t="str">
        <f> hyperlink(vlookup(lower(N3085),'File Links'!E:F, 2, FALSE), "LINK")</f>
        <v>LINK</v>
      </c>
      <c r="R3085" s="915" t="s">
        <v>18421</v>
      </c>
      <c r="S3085" s="915" t="s">
        <v>18422</v>
      </c>
      <c r="T3085" s="915"/>
      <c r="U3085" s="915" t="s">
        <v>18510</v>
      </c>
      <c r="V3085" s="915" t="s">
        <v>18423</v>
      </c>
      <c r="W3085" s="915"/>
      <c r="X3085" s="2471" t="str">
        <f> hyperlink(vlookup(lower(S3085),'File Links'!E:F, 2, FALSE), "LINK")</f>
        <v>LINK</v>
      </c>
      <c r="Y3085" s="915"/>
      <c r="Z3085" s="915" t="s">
        <v>947</v>
      </c>
      <c r="AA3085" s="915" t="s">
        <v>18497</v>
      </c>
      <c r="AB3085" s="915" t="s">
        <v>7291</v>
      </c>
      <c r="AC3085" s="915" t="s">
        <v>18498</v>
      </c>
      <c r="AD3085" s="915" t="s">
        <v>18511</v>
      </c>
      <c r="AE3085" s="915" t="s">
        <v>3721</v>
      </c>
      <c r="AF3085" s="2473">
        <v>139.0</v>
      </c>
      <c r="AG3085" s="2473">
        <v>0.26</v>
      </c>
      <c r="AH3085" s="915" t="s">
        <v>1256</v>
      </c>
      <c r="AI3085" s="915" t="s">
        <v>18512</v>
      </c>
      <c r="AJ3085" s="2473">
        <v>0.001</v>
      </c>
      <c r="AK3085" s="915" t="s">
        <v>135</v>
      </c>
      <c r="AL3085" s="915" t="s">
        <v>186</v>
      </c>
      <c r="AM3085" s="915" t="s">
        <v>137</v>
      </c>
      <c r="AN3085" s="915" t="s">
        <v>138</v>
      </c>
      <c r="AO3085" s="2473">
        <v>201.0</v>
      </c>
      <c r="AP3085" s="2473">
        <v>0.28</v>
      </c>
      <c r="AQ3085" s="915" t="s">
        <v>1256</v>
      </c>
      <c r="AR3085" s="915" t="s">
        <v>18513</v>
      </c>
      <c r="AS3085" s="2473">
        <v>0.001</v>
      </c>
      <c r="AT3085" s="915" t="s">
        <v>135</v>
      </c>
      <c r="AU3085" s="915" t="s">
        <v>186</v>
      </c>
      <c r="AV3085" s="915" t="s">
        <v>137</v>
      </c>
      <c r="AW3085" s="2298" t="s">
        <v>18500</v>
      </c>
      <c r="AX3085" s="915" t="s">
        <v>143</v>
      </c>
      <c r="AY3085" s="61" t="str">
        <f>IFERROR(__xludf.DUMMYFUNCTION("vlookup(BB3085,importrange(""https://docs.google.com/spreadsheets/d/1d2vevQ_7D_v35q4wCQ4RpQ_IPoTwEMB9Yp6ymwlPqew/edit?gid=984458430#gid=984458430"", ""'replication success'!A:K""), 11, FAlSE)"),"#N/A")</f>
        <v>#N/A</v>
      </c>
      <c r="AZ3085" s="61" t="str">
        <f>IFERROR(__xludf.DUMMYFUNCTION("vlookup(BB3085,importrange(""https://docs.google.com/spreadsheets/d/1d2vevQ_7D_v35q4wCQ4RpQ_IPoTwEMB9Yp6ymwlPqew/edit?gid=984458430#gid=984458430"", ""'replication success'!A:M""), 12, FAlSE)"),"#N/A")</f>
        <v>#N/A</v>
      </c>
      <c r="BA3085" s="61" t="str">
        <f>IFERROR(__xludf.DUMMYFUNCTION("vlookup(BB3085,importrange(""https://docs.google.com/spreadsheets/d/1d2vevQ_7D_v35q4wCQ4RpQ_IPoTwEMB9Yp6ymwlPqew/edit?gid=984458430#gid=984458430"", ""'replication success'!A:M""), 13, FAlSE)"),"#N/A")</f>
        <v>#N/A</v>
      </c>
      <c r="BB3085" s="61" t="str">
        <f>IFERROR(__xludf.DUMMYFUNCTION("REGEXREPLACE(G3085, ""_[a-z]{1,2}$"", """")"),"CORE_80")</f>
        <v>CORE_80</v>
      </c>
      <c r="BC3085" s="911"/>
      <c r="BD3085" s="910" t="s">
        <v>1270</v>
      </c>
      <c r="BE3085" s="911"/>
    </row>
    <row r="3086">
      <c r="A3086" s="44">
        <v>2906.0</v>
      </c>
      <c r="B3086" s="129" t="s">
        <v>523</v>
      </c>
      <c r="C3086" s="62" t="s">
        <v>115</v>
      </c>
      <c r="D3086" s="62" t="s">
        <v>248</v>
      </c>
      <c r="F3086" s="68" t="s">
        <v>18489</v>
      </c>
      <c r="G3086" s="68" t="s">
        <v>18514</v>
      </c>
      <c r="H3086" s="68" t="s">
        <v>249</v>
      </c>
      <c r="I3086" s="529">
        <v>45811.0</v>
      </c>
      <c r="J3086" s="862"/>
      <c r="K3086" s="68" t="s">
        <v>18491</v>
      </c>
      <c r="L3086" s="68"/>
      <c r="M3086" s="68" t="s">
        <v>18493</v>
      </c>
      <c r="N3086" s="68" t="s">
        <v>18494</v>
      </c>
      <c r="O3086" s="68"/>
      <c r="P3086" s="68" t="s">
        <v>18495</v>
      </c>
      <c r="Q3086" s="2375" t="str">
        <f> hyperlink(vlookup(lower(N3086),'File Links'!E:F, 2, FALSE), "LINK")</f>
        <v>LINK</v>
      </c>
      <c r="R3086" s="68" t="s">
        <v>18421</v>
      </c>
      <c r="S3086" s="68" t="s">
        <v>18422</v>
      </c>
      <c r="T3086" s="68"/>
      <c r="U3086" s="68" t="s">
        <v>18515</v>
      </c>
      <c r="V3086" s="573" t="s">
        <v>18423</v>
      </c>
      <c r="W3086" s="1228"/>
      <c r="X3086" s="2376" t="str">
        <f> hyperlink(vlookup(lower(S3086),'File Links'!E:F, 2, FALSE), "LINK")</f>
        <v>LINK</v>
      </c>
      <c r="Y3086" s="68"/>
      <c r="Z3086" s="68" t="s">
        <v>947</v>
      </c>
      <c r="AA3086" s="68" t="s">
        <v>18497</v>
      </c>
      <c r="AB3086" s="68" t="s">
        <v>7291</v>
      </c>
      <c r="AC3086" s="68" t="s">
        <v>18498</v>
      </c>
      <c r="AD3086" s="68" t="s">
        <v>18516</v>
      </c>
      <c r="AE3086" s="68" t="s">
        <v>9246</v>
      </c>
      <c r="AF3086" s="68"/>
      <c r="AG3086" s="68" t="s">
        <v>138</v>
      </c>
      <c r="AH3086" s="68" t="s">
        <v>138</v>
      </c>
      <c r="AI3086" s="68" t="s">
        <v>18517</v>
      </c>
      <c r="AJ3086" s="336">
        <v>0.001</v>
      </c>
      <c r="AK3086" s="68" t="s">
        <v>135</v>
      </c>
      <c r="AL3086" s="68" t="s">
        <v>186</v>
      </c>
      <c r="AM3086" s="68" t="s">
        <v>137</v>
      </c>
      <c r="AN3086" s="68" t="s">
        <v>138</v>
      </c>
      <c r="AO3086" s="68"/>
      <c r="AP3086" s="68" t="s">
        <v>138</v>
      </c>
      <c r="AQ3086" s="68"/>
      <c r="AR3086" s="68" t="s">
        <v>18518</v>
      </c>
      <c r="AS3086" s="336">
        <v>0.001</v>
      </c>
      <c r="AT3086" s="68" t="s">
        <v>135</v>
      </c>
      <c r="AU3086" s="68" t="s">
        <v>186</v>
      </c>
      <c r="AV3086" s="68" t="s">
        <v>137</v>
      </c>
      <c r="AW3086" s="435" t="s">
        <v>18500</v>
      </c>
      <c r="AX3086" s="68" t="s">
        <v>143</v>
      </c>
      <c r="AY3086" s="61" t="str">
        <f>IFERROR(__xludf.DUMMYFUNCTION("vlookup(BB3086,importrange(""https://docs.google.com/spreadsheets/d/1d2vevQ_7D_v35q4wCQ4RpQ_IPoTwEMB9Yp6ymwlPqew/edit?gid=984458430#gid=984458430"", ""'replication success'!A:K""), 11, FAlSE)"),"#N/A")</f>
        <v>#N/A</v>
      </c>
      <c r="AZ3086" s="61" t="str">
        <f>IFERROR(__xludf.DUMMYFUNCTION("vlookup(BB3086,importrange(""https://docs.google.com/spreadsheets/d/1d2vevQ_7D_v35q4wCQ4RpQ_IPoTwEMB9Yp6ymwlPqew/edit?gid=984458430#gid=984458430"", ""'replication success'!A:M""), 12, FAlSE)"),"#N/A")</f>
        <v>#N/A</v>
      </c>
      <c r="BA3086" s="61" t="str">
        <f>IFERROR(__xludf.DUMMYFUNCTION("vlookup(BB3086,importrange(""https://docs.google.com/spreadsheets/d/1d2vevQ_7D_v35q4wCQ4RpQ_IPoTwEMB9Yp6ymwlPqew/edit?gid=984458430#gid=984458430"", ""'replication success'!A:M""), 13, FAlSE)"),"#N/A")</f>
        <v>#N/A</v>
      </c>
      <c r="BB3086" s="61" t="str">
        <f>IFERROR(__xludf.DUMMYFUNCTION("REGEXREPLACE(G3086, ""_[a-z]{1,2}$"", """")"),"CORE_80")</f>
        <v>CORE_80</v>
      </c>
      <c r="BD3086" s="62" t="s">
        <v>7302</v>
      </c>
    </row>
    <row r="3087">
      <c r="A3087" s="44">
        <v>2907.0</v>
      </c>
      <c r="B3087" s="129" t="s">
        <v>523</v>
      </c>
      <c r="C3087" s="62" t="s">
        <v>115</v>
      </c>
      <c r="D3087" s="62" t="s">
        <v>248</v>
      </c>
      <c r="F3087" s="68" t="s">
        <v>18489</v>
      </c>
      <c r="G3087" s="68" t="s">
        <v>18519</v>
      </c>
      <c r="H3087" s="68" t="s">
        <v>249</v>
      </c>
      <c r="I3087" s="529">
        <v>45811.0</v>
      </c>
      <c r="J3087" s="862"/>
      <c r="K3087" s="68" t="s">
        <v>18491</v>
      </c>
      <c r="L3087" s="68"/>
      <c r="M3087" s="68" t="s">
        <v>18493</v>
      </c>
      <c r="N3087" s="68" t="s">
        <v>18494</v>
      </c>
      <c r="O3087" s="68"/>
      <c r="P3087" s="68" t="s">
        <v>18495</v>
      </c>
      <c r="Q3087" s="2375" t="str">
        <f> hyperlink(vlookup(lower(N3087),'File Links'!E:F, 2, FALSE), "LINK")</f>
        <v>LINK</v>
      </c>
      <c r="R3087" s="68" t="s">
        <v>18421</v>
      </c>
      <c r="S3087" s="68" t="s">
        <v>18422</v>
      </c>
      <c r="T3087" s="68"/>
      <c r="U3087" s="68" t="s">
        <v>18515</v>
      </c>
      <c r="V3087" s="573" t="s">
        <v>18423</v>
      </c>
      <c r="W3087" s="1228"/>
      <c r="X3087" s="2376" t="str">
        <f> hyperlink(vlookup(lower(S3087),'File Links'!E:F, 2, FALSE), "LINK")</f>
        <v>LINK</v>
      </c>
      <c r="Y3087" s="68"/>
      <c r="Z3087" s="68" t="s">
        <v>947</v>
      </c>
      <c r="AA3087" s="68" t="s">
        <v>18497</v>
      </c>
      <c r="AB3087" s="68" t="s">
        <v>7291</v>
      </c>
      <c r="AC3087" s="68" t="s">
        <v>18498</v>
      </c>
      <c r="AD3087" s="68" t="s">
        <v>18516</v>
      </c>
      <c r="AE3087" s="68" t="s">
        <v>9246</v>
      </c>
      <c r="AF3087" s="68"/>
      <c r="AG3087" s="68" t="s">
        <v>138</v>
      </c>
      <c r="AH3087" s="68" t="s">
        <v>138</v>
      </c>
      <c r="AI3087" s="68" t="s">
        <v>18520</v>
      </c>
      <c r="AJ3087" s="336">
        <v>0.001</v>
      </c>
      <c r="AK3087" s="68" t="s">
        <v>135</v>
      </c>
      <c r="AL3087" s="68" t="s">
        <v>186</v>
      </c>
      <c r="AM3087" s="68" t="s">
        <v>137</v>
      </c>
      <c r="AN3087" s="68" t="s">
        <v>138</v>
      </c>
      <c r="AO3087" s="68"/>
      <c r="AP3087" s="68" t="s">
        <v>138</v>
      </c>
      <c r="AQ3087" s="68"/>
      <c r="AR3087" s="68" t="s">
        <v>18521</v>
      </c>
      <c r="AS3087" s="336">
        <v>0.001</v>
      </c>
      <c r="AT3087" s="68" t="s">
        <v>135</v>
      </c>
      <c r="AU3087" s="68" t="s">
        <v>186</v>
      </c>
      <c r="AV3087" s="68" t="s">
        <v>137</v>
      </c>
      <c r="AW3087" s="435" t="s">
        <v>18500</v>
      </c>
      <c r="AX3087" s="68" t="s">
        <v>143</v>
      </c>
      <c r="AY3087" s="61" t="str">
        <f>IFERROR(__xludf.DUMMYFUNCTION("vlookup(BB3087,importrange(""https://docs.google.com/spreadsheets/d/1d2vevQ_7D_v35q4wCQ4RpQ_IPoTwEMB9Yp6ymwlPqew/edit?gid=984458430#gid=984458430"", ""'replication success'!A:K""), 11, FAlSE)"),"#N/A")</f>
        <v>#N/A</v>
      </c>
      <c r="AZ3087" s="61" t="str">
        <f>IFERROR(__xludf.DUMMYFUNCTION("vlookup(BB3087,importrange(""https://docs.google.com/spreadsheets/d/1d2vevQ_7D_v35q4wCQ4RpQ_IPoTwEMB9Yp6ymwlPqew/edit?gid=984458430#gid=984458430"", ""'replication success'!A:M""), 12, FAlSE)"),"#N/A")</f>
        <v>#N/A</v>
      </c>
      <c r="BA3087" s="61" t="str">
        <f>IFERROR(__xludf.DUMMYFUNCTION("vlookup(BB3087,importrange(""https://docs.google.com/spreadsheets/d/1d2vevQ_7D_v35q4wCQ4RpQ_IPoTwEMB9Yp6ymwlPqew/edit?gid=984458430#gid=984458430"", ""'replication success'!A:M""), 13, FAlSE)"),"#N/A")</f>
        <v>#N/A</v>
      </c>
      <c r="BB3087" s="61" t="str">
        <f>IFERROR(__xludf.DUMMYFUNCTION("REGEXREPLACE(G3087, ""_[a-z]{1,2}$"", """")"),"CORE_80")</f>
        <v>CORE_80</v>
      </c>
      <c r="BD3087" s="62" t="s">
        <v>7302</v>
      </c>
    </row>
    <row r="3088">
      <c r="A3088" s="44">
        <v>2908.0</v>
      </c>
      <c r="B3088" s="129" t="s">
        <v>523</v>
      </c>
      <c r="C3088" s="62" t="s">
        <v>115</v>
      </c>
      <c r="D3088" s="62" t="s">
        <v>248</v>
      </c>
      <c r="F3088" s="68" t="s">
        <v>18489</v>
      </c>
      <c r="G3088" s="68" t="s">
        <v>18522</v>
      </c>
      <c r="H3088" s="68" t="s">
        <v>249</v>
      </c>
      <c r="I3088" s="529">
        <v>45811.0</v>
      </c>
      <c r="J3088" s="862"/>
      <c r="K3088" s="68" t="s">
        <v>18491</v>
      </c>
      <c r="L3088" s="68"/>
      <c r="M3088" s="68" t="s">
        <v>18493</v>
      </c>
      <c r="N3088" s="68" t="s">
        <v>18494</v>
      </c>
      <c r="O3088" s="68"/>
      <c r="P3088" s="68" t="s">
        <v>18495</v>
      </c>
      <c r="Q3088" s="2375" t="str">
        <f> hyperlink(vlookup(lower(N3088),'File Links'!E:F, 2, FALSE), "LINK")</f>
        <v>LINK</v>
      </c>
      <c r="R3088" s="68" t="s">
        <v>18421</v>
      </c>
      <c r="S3088" s="68" t="s">
        <v>18422</v>
      </c>
      <c r="T3088" s="68"/>
      <c r="U3088" s="68" t="s">
        <v>18515</v>
      </c>
      <c r="V3088" s="573" t="s">
        <v>18423</v>
      </c>
      <c r="W3088" s="1228"/>
      <c r="X3088" s="2376" t="str">
        <f> hyperlink(vlookup(lower(S3088),'File Links'!E:F, 2, FALSE), "LINK")</f>
        <v>LINK</v>
      </c>
      <c r="Y3088" s="68"/>
      <c r="Z3088" s="68" t="s">
        <v>947</v>
      </c>
      <c r="AA3088" s="68" t="s">
        <v>18497</v>
      </c>
      <c r="AB3088" s="68" t="s">
        <v>7291</v>
      </c>
      <c r="AC3088" s="68" t="s">
        <v>18498</v>
      </c>
      <c r="AD3088" s="68" t="s">
        <v>18516</v>
      </c>
      <c r="AE3088" s="68" t="s">
        <v>9246</v>
      </c>
      <c r="AF3088" s="68"/>
      <c r="AG3088" s="68" t="s">
        <v>138</v>
      </c>
      <c r="AH3088" s="68" t="s">
        <v>138</v>
      </c>
      <c r="AI3088" s="68" t="s">
        <v>18523</v>
      </c>
      <c r="AJ3088" s="336">
        <v>0.001</v>
      </c>
      <c r="AK3088" s="68" t="s">
        <v>135</v>
      </c>
      <c r="AL3088" s="68" t="s">
        <v>186</v>
      </c>
      <c r="AM3088" s="68" t="s">
        <v>137</v>
      </c>
      <c r="AN3088" s="68" t="s">
        <v>138</v>
      </c>
      <c r="AO3088" s="68"/>
      <c r="AP3088" s="68" t="s">
        <v>138</v>
      </c>
      <c r="AQ3088" s="68"/>
      <c r="AR3088" s="68" t="s">
        <v>18524</v>
      </c>
      <c r="AS3088" s="336">
        <v>0.001</v>
      </c>
      <c r="AT3088" s="68" t="s">
        <v>135</v>
      </c>
      <c r="AU3088" s="68" t="s">
        <v>186</v>
      </c>
      <c r="AV3088" s="68" t="s">
        <v>137</v>
      </c>
      <c r="AW3088" s="435" t="s">
        <v>18500</v>
      </c>
      <c r="AX3088" s="68" t="s">
        <v>143</v>
      </c>
      <c r="AY3088" s="61" t="str">
        <f>IFERROR(__xludf.DUMMYFUNCTION("vlookup(BB3088,importrange(""https://docs.google.com/spreadsheets/d/1d2vevQ_7D_v35q4wCQ4RpQ_IPoTwEMB9Yp6ymwlPqew/edit?gid=984458430#gid=984458430"", ""'replication success'!A:K""), 11, FAlSE)"),"#N/A")</f>
        <v>#N/A</v>
      </c>
      <c r="AZ3088" s="61" t="str">
        <f>IFERROR(__xludf.DUMMYFUNCTION("vlookup(BB3088,importrange(""https://docs.google.com/spreadsheets/d/1d2vevQ_7D_v35q4wCQ4RpQ_IPoTwEMB9Yp6ymwlPqew/edit?gid=984458430#gid=984458430"", ""'replication success'!A:M""), 12, FAlSE)"),"#N/A")</f>
        <v>#N/A</v>
      </c>
      <c r="BA3088" s="61" t="str">
        <f>IFERROR(__xludf.DUMMYFUNCTION("vlookup(BB3088,importrange(""https://docs.google.com/spreadsheets/d/1d2vevQ_7D_v35q4wCQ4RpQ_IPoTwEMB9Yp6ymwlPqew/edit?gid=984458430#gid=984458430"", ""'replication success'!A:M""), 13, FAlSE)"),"#N/A")</f>
        <v>#N/A</v>
      </c>
      <c r="BB3088" s="61" t="str">
        <f>IFERROR(__xludf.DUMMYFUNCTION("REGEXREPLACE(G3088, ""_[a-z]{1,2}$"", """")"),"CORE_80")</f>
        <v>CORE_80</v>
      </c>
      <c r="BD3088" s="62" t="s">
        <v>7302</v>
      </c>
    </row>
    <row r="3089">
      <c r="A3089" s="44">
        <v>2909.0</v>
      </c>
      <c r="B3089" s="129" t="s">
        <v>523</v>
      </c>
      <c r="C3089" s="62" t="s">
        <v>115</v>
      </c>
      <c r="D3089" s="62" t="s">
        <v>248</v>
      </c>
      <c r="F3089" s="68" t="s">
        <v>18489</v>
      </c>
      <c r="G3089" s="68" t="s">
        <v>18525</v>
      </c>
      <c r="H3089" s="68" t="s">
        <v>249</v>
      </c>
      <c r="I3089" s="529">
        <v>45811.0</v>
      </c>
      <c r="J3089" s="862"/>
      <c r="K3089" s="68" t="s">
        <v>18491</v>
      </c>
      <c r="L3089" s="68"/>
      <c r="M3089" s="68" t="s">
        <v>18493</v>
      </c>
      <c r="N3089" s="68" t="s">
        <v>18494</v>
      </c>
      <c r="O3089" s="68"/>
      <c r="P3089" s="68" t="s">
        <v>18495</v>
      </c>
      <c r="Q3089" s="2375" t="str">
        <f> hyperlink(vlookup(lower(N3089),'File Links'!E:F, 2, FALSE), "LINK")</f>
        <v>LINK</v>
      </c>
      <c r="R3089" s="68" t="s">
        <v>18421</v>
      </c>
      <c r="S3089" s="68" t="s">
        <v>18422</v>
      </c>
      <c r="T3089" s="68"/>
      <c r="U3089" s="68" t="s">
        <v>18526</v>
      </c>
      <c r="V3089" s="573" t="s">
        <v>18423</v>
      </c>
      <c r="W3089" s="1228"/>
      <c r="X3089" s="2376" t="str">
        <f> hyperlink(vlookup(lower(S3089),'File Links'!E:F, 2, FALSE), "LINK")</f>
        <v>LINK</v>
      </c>
      <c r="Y3089" s="68"/>
      <c r="Z3089" s="68" t="s">
        <v>947</v>
      </c>
      <c r="AA3089" s="68" t="s">
        <v>18497</v>
      </c>
      <c r="AB3089" s="68" t="s">
        <v>7291</v>
      </c>
      <c r="AC3089" s="68" t="s">
        <v>18498</v>
      </c>
      <c r="AD3089" s="68" t="s">
        <v>18527</v>
      </c>
      <c r="AE3089" s="68" t="s">
        <v>7749</v>
      </c>
      <c r="AF3089" s="68"/>
      <c r="AG3089" s="68" t="s">
        <v>138</v>
      </c>
      <c r="AH3089" s="68" t="s">
        <v>138</v>
      </c>
      <c r="AI3089" s="68" t="s">
        <v>18528</v>
      </c>
      <c r="AJ3089" s="336">
        <v>0.001</v>
      </c>
      <c r="AK3089" s="68" t="s">
        <v>135</v>
      </c>
      <c r="AL3089" s="68" t="s">
        <v>186</v>
      </c>
      <c r="AM3089" s="68" t="s">
        <v>137</v>
      </c>
      <c r="AN3089" s="68" t="s">
        <v>138</v>
      </c>
      <c r="AO3089" s="68"/>
      <c r="AP3089" s="68" t="s">
        <v>138</v>
      </c>
      <c r="AQ3089" s="68"/>
      <c r="AR3089" s="68" t="s">
        <v>18529</v>
      </c>
      <c r="AS3089" s="336">
        <v>0.001</v>
      </c>
      <c r="AT3089" s="68" t="s">
        <v>135</v>
      </c>
      <c r="AU3089" s="68" t="s">
        <v>186</v>
      </c>
      <c r="AV3089" s="68" t="s">
        <v>137</v>
      </c>
      <c r="AW3089" s="435" t="s">
        <v>18500</v>
      </c>
      <c r="AX3089" s="68" t="s">
        <v>143</v>
      </c>
      <c r="AY3089" s="61" t="str">
        <f>IFERROR(__xludf.DUMMYFUNCTION("vlookup(BB3089,importrange(""https://docs.google.com/spreadsheets/d/1d2vevQ_7D_v35q4wCQ4RpQ_IPoTwEMB9Yp6ymwlPqew/edit?gid=984458430#gid=984458430"", ""'replication success'!A:K""), 11, FAlSE)"),"#N/A")</f>
        <v>#N/A</v>
      </c>
      <c r="AZ3089" s="61" t="str">
        <f>IFERROR(__xludf.DUMMYFUNCTION("vlookup(BB3089,importrange(""https://docs.google.com/spreadsheets/d/1d2vevQ_7D_v35q4wCQ4RpQ_IPoTwEMB9Yp6ymwlPqew/edit?gid=984458430#gid=984458430"", ""'replication success'!A:M""), 12, FAlSE)"),"#N/A")</f>
        <v>#N/A</v>
      </c>
      <c r="BA3089" s="61" t="str">
        <f>IFERROR(__xludf.DUMMYFUNCTION("vlookup(BB3089,importrange(""https://docs.google.com/spreadsheets/d/1d2vevQ_7D_v35q4wCQ4RpQ_IPoTwEMB9Yp6ymwlPqew/edit?gid=984458430#gid=984458430"", ""'replication success'!A:M""), 13, FAlSE)"),"#N/A")</f>
        <v>#N/A</v>
      </c>
      <c r="BB3089" s="61" t="str">
        <f>IFERROR(__xludf.DUMMYFUNCTION("REGEXREPLACE(G3089, ""_[a-z]{1,2}$"", """")"),"CORE_80")</f>
        <v>CORE_80</v>
      </c>
      <c r="BD3089" s="62" t="s">
        <v>7302</v>
      </c>
    </row>
    <row r="3090">
      <c r="A3090" s="44">
        <v>2910.0</v>
      </c>
      <c r="B3090" s="129" t="s">
        <v>523</v>
      </c>
      <c r="C3090" s="62" t="s">
        <v>115</v>
      </c>
      <c r="D3090" s="62" t="s">
        <v>248</v>
      </c>
      <c r="F3090" s="68" t="s">
        <v>18489</v>
      </c>
      <c r="G3090" s="68" t="s">
        <v>18530</v>
      </c>
      <c r="H3090" s="68" t="s">
        <v>249</v>
      </c>
      <c r="I3090" s="529">
        <v>45811.0</v>
      </c>
      <c r="J3090" s="862"/>
      <c r="K3090" s="68" t="s">
        <v>18491</v>
      </c>
      <c r="L3090" s="68"/>
      <c r="M3090" s="68" t="s">
        <v>18493</v>
      </c>
      <c r="N3090" s="68" t="s">
        <v>18494</v>
      </c>
      <c r="O3090" s="68"/>
      <c r="P3090" s="68" t="s">
        <v>18495</v>
      </c>
      <c r="Q3090" s="2375" t="str">
        <f> hyperlink(vlookup(lower(N3090),'File Links'!E:F, 2, FALSE), "LINK")</f>
        <v>LINK</v>
      </c>
      <c r="R3090" s="68" t="s">
        <v>18421</v>
      </c>
      <c r="S3090" s="68" t="s">
        <v>18422</v>
      </c>
      <c r="T3090" s="68"/>
      <c r="U3090" s="68" t="s">
        <v>18526</v>
      </c>
      <c r="V3090" s="573" t="s">
        <v>18423</v>
      </c>
      <c r="W3090" s="1228"/>
      <c r="X3090" s="2376" t="str">
        <f> hyperlink(vlookup(lower(S3090),'File Links'!E:F, 2, FALSE), "LINK")</f>
        <v>LINK</v>
      </c>
      <c r="Y3090" s="68"/>
      <c r="Z3090" s="68" t="s">
        <v>947</v>
      </c>
      <c r="AA3090" s="68" t="s">
        <v>18497</v>
      </c>
      <c r="AB3090" s="68" t="s">
        <v>7291</v>
      </c>
      <c r="AC3090" s="68" t="s">
        <v>18498</v>
      </c>
      <c r="AD3090" s="68" t="s">
        <v>18527</v>
      </c>
      <c r="AE3090" s="68" t="s">
        <v>7749</v>
      </c>
      <c r="AF3090" s="68"/>
      <c r="AG3090" s="68" t="s">
        <v>138</v>
      </c>
      <c r="AH3090" s="68" t="s">
        <v>138</v>
      </c>
      <c r="AI3090" s="68" t="s">
        <v>18531</v>
      </c>
      <c r="AJ3090" s="336">
        <v>0.001</v>
      </c>
      <c r="AK3090" s="68" t="s">
        <v>135</v>
      </c>
      <c r="AL3090" s="68" t="s">
        <v>186</v>
      </c>
      <c r="AM3090" s="68" t="s">
        <v>137</v>
      </c>
      <c r="AN3090" s="68" t="s">
        <v>138</v>
      </c>
      <c r="AO3090" s="68"/>
      <c r="AP3090" s="68" t="s">
        <v>138</v>
      </c>
      <c r="AQ3090" s="68"/>
      <c r="AR3090" s="68" t="s">
        <v>18532</v>
      </c>
      <c r="AS3090" s="336">
        <v>0.001</v>
      </c>
      <c r="AT3090" s="68" t="s">
        <v>135</v>
      </c>
      <c r="AU3090" s="68" t="s">
        <v>186</v>
      </c>
      <c r="AV3090" s="68" t="s">
        <v>137</v>
      </c>
      <c r="AW3090" s="435" t="s">
        <v>18500</v>
      </c>
      <c r="AX3090" s="68" t="s">
        <v>143</v>
      </c>
      <c r="AY3090" s="61" t="str">
        <f>IFERROR(__xludf.DUMMYFUNCTION("vlookup(BB3090,importrange(""https://docs.google.com/spreadsheets/d/1d2vevQ_7D_v35q4wCQ4RpQ_IPoTwEMB9Yp6ymwlPqew/edit?gid=984458430#gid=984458430"", ""'replication success'!A:K""), 11, FAlSE)"),"#N/A")</f>
        <v>#N/A</v>
      </c>
      <c r="AZ3090" s="61" t="str">
        <f>IFERROR(__xludf.DUMMYFUNCTION("vlookup(BB3090,importrange(""https://docs.google.com/spreadsheets/d/1d2vevQ_7D_v35q4wCQ4RpQ_IPoTwEMB9Yp6ymwlPqew/edit?gid=984458430#gid=984458430"", ""'replication success'!A:M""), 12, FAlSE)"),"#N/A")</f>
        <v>#N/A</v>
      </c>
      <c r="BA3090" s="61" t="str">
        <f>IFERROR(__xludf.DUMMYFUNCTION("vlookup(BB3090,importrange(""https://docs.google.com/spreadsheets/d/1d2vevQ_7D_v35q4wCQ4RpQ_IPoTwEMB9Yp6ymwlPqew/edit?gid=984458430#gid=984458430"", ""'replication success'!A:M""), 13, FAlSE)"),"#N/A")</f>
        <v>#N/A</v>
      </c>
      <c r="BB3090" s="61" t="str">
        <f>IFERROR(__xludf.DUMMYFUNCTION("REGEXREPLACE(G3090, ""_[a-z]{1,2}$"", """")"),"CORE_80")</f>
        <v>CORE_80</v>
      </c>
      <c r="BD3090" s="62" t="s">
        <v>7302</v>
      </c>
    </row>
    <row r="3091">
      <c r="A3091" s="44">
        <v>2911.0</v>
      </c>
      <c r="B3091" s="129" t="s">
        <v>523</v>
      </c>
      <c r="C3091" s="62" t="s">
        <v>115</v>
      </c>
      <c r="D3091" s="62" t="s">
        <v>248</v>
      </c>
      <c r="F3091" s="68" t="s">
        <v>18489</v>
      </c>
      <c r="G3091" s="68" t="s">
        <v>18533</v>
      </c>
      <c r="H3091" s="68" t="s">
        <v>249</v>
      </c>
      <c r="I3091" s="529">
        <v>45811.0</v>
      </c>
      <c r="J3091" s="862"/>
      <c r="K3091" s="68" t="s">
        <v>18491</v>
      </c>
      <c r="L3091" s="68"/>
      <c r="M3091" s="68" t="s">
        <v>18493</v>
      </c>
      <c r="N3091" s="68" t="s">
        <v>18494</v>
      </c>
      <c r="O3091" s="68"/>
      <c r="P3091" s="68" t="s">
        <v>18495</v>
      </c>
      <c r="Q3091" s="2375" t="str">
        <f> hyperlink(vlookup(lower(N3091),'File Links'!E:F, 2, FALSE), "LINK")</f>
        <v>LINK</v>
      </c>
      <c r="R3091" s="68" t="s">
        <v>18421</v>
      </c>
      <c r="S3091" s="68" t="s">
        <v>18422</v>
      </c>
      <c r="T3091" s="68"/>
      <c r="U3091" s="68" t="s">
        <v>18534</v>
      </c>
      <c r="V3091" s="573" t="s">
        <v>18423</v>
      </c>
      <c r="W3091" s="1228"/>
      <c r="X3091" s="2376" t="str">
        <f> hyperlink(vlookup(lower(S3091),'File Links'!E:F, 2, FALSE), "LINK")</f>
        <v>LINK</v>
      </c>
      <c r="Y3091" s="68"/>
      <c r="Z3091" s="68" t="s">
        <v>947</v>
      </c>
      <c r="AA3091" s="68" t="s">
        <v>18497</v>
      </c>
      <c r="AB3091" s="68" t="s">
        <v>7291</v>
      </c>
      <c r="AC3091" s="68" t="s">
        <v>18498</v>
      </c>
      <c r="AD3091" s="68" t="s">
        <v>18535</v>
      </c>
      <c r="AE3091" s="68" t="s">
        <v>2441</v>
      </c>
      <c r="AF3091" s="68"/>
      <c r="AG3091" s="336">
        <v>0.25</v>
      </c>
      <c r="AH3091" s="68" t="s">
        <v>1256</v>
      </c>
      <c r="AI3091" s="68" t="s">
        <v>18536</v>
      </c>
      <c r="AJ3091" s="336">
        <v>0.001</v>
      </c>
      <c r="AK3091" s="68" t="s">
        <v>135</v>
      </c>
      <c r="AL3091" s="68" t="s">
        <v>186</v>
      </c>
      <c r="AM3091" s="68" t="s">
        <v>137</v>
      </c>
      <c r="AN3091" s="68" t="s">
        <v>138</v>
      </c>
      <c r="AO3091" s="68"/>
      <c r="AP3091" s="336">
        <v>0.17</v>
      </c>
      <c r="AQ3091" s="68" t="s">
        <v>1256</v>
      </c>
      <c r="AR3091" s="68" t="s">
        <v>18537</v>
      </c>
      <c r="AS3091" s="336">
        <v>0.001</v>
      </c>
      <c r="AT3091" s="68" t="s">
        <v>135</v>
      </c>
      <c r="AU3091" s="68" t="s">
        <v>186</v>
      </c>
      <c r="AV3091" s="68" t="s">
        <v>137</v>
      </c>
      <c r="AW3091" s="435" t="s">
        <v>18500</v>
      </c>
      <c r="AX3091" s="68" t="s">
        <v>143</v>
      </c>
      <c r="AY3091" s="61" t="str">
        <f>IFERROR(__xludf.DUMMYFUNCTION("vlookup(BB3091,importrange(""https://docs.google.com/spreadsheets/d/1d2vevQ_7D_v35q4wCQ4RpQ_IPoTwEMB9Yp6ymwlPqew/edit?gid=984458430#gid=984458430"", ""'replication success'!A:K""), 11, FAlSE)"),"#N/A")</f>
        <v>#N/A</v>
      </c>
      <c r="AZ3091" s="61" t="str">
        <f>IFERROR(__xludf.DUMMYFUNCTION("vlookup(BB3091,importrange(""https://docs.google.com/spreadsheets/d/1d2vevQ_7D_v35q4wCQ4RpQ_IPoTwEMB9Yp6ymwlPqew/edit?gid=984458430#gid=984458430"", ""'replication success'!A:M""), 12, FAlSE)"),"#N/A")</f>
        <v>#N/A</v>
      </c>
      <c r="BA3091" s="61" t="str">
        <f>IFERROR(__xludf.DUMMYFUNCTION("vlookup(BB3091,importrange(""https://docs.google.com/spreadsheets/d/1d2vevQ_7D_v35q4wCQ4RpQ_IPoTwEMB9Yp6ymwlPqew/edit?gid=984458430#gid=984458430"", ""'replication success'!A:M""), 13, FAlSE)"),"#N/A")</f>
        <v>#N/A</v>
      </c>
      <c r="BB3091" s="61" t="str">
        <f>IFERROR(__xludf.DUMMYFUNCTION("REGEXREPLACE(G3091, ""_[a-z]{1,2}$"", """")"),"CORE_80")</f>
        <v>CORE_80</v>
      </c>
      <c r="BD3091" s="62" t="s">
        <v>7302</v>
      </c>
    </row>
    <row r="3092">
      <c r="A3092" s="44">
        <v>2912.0</v>
      </c>
      <c r="B3092" s="129" t="s">
        <v>523</v>
      </c>
      <c r="C3092" s="62" t="s">
        <v>115</v>
      </c>
      <c r="D3092" s="62" t="s">
        <v>248</v>
      </c>
      <c r="F3092" s="68" t="s">
        <v>18489</v>
      </c>
      <c r="G3092" s="68" t="s">
        <v>18538</v>
      </c>
      <c r="H3092" s="68" t="s">
        <v>249</v>
      </c>
      <c r="I3092" s="529">
        <v>45811.0</v>
      </c>
      <c r="J3092" s="862"/>
      <c r="K3092" s="68" t="s">
        <v>18491</v>
      </c>
      <c r="L3092" s="68"/>
      <c r="M3092" s="68" t="s">
        <v>18493</v>
      </c>
      <c r="N3092" s="68" t="s">
        <v>18494</v>
      </c>
      <c r="O3092" s="68"/>
      <c r="P3092" s="68" t="s">
        <v>18495</v>
      </c>
      <c r="Q3092" s="2375" t="str">
        <f> hyperlink(vlookup(lower(N3092),'File Links'!E:F, 2, FALSE), "LINK")</f>
        <v>LINK</v>
      </c>
      <c r="R3092" s="68" t="s">
        <v>18421</v>
      </c>
      <c r="S3092" s="68" t="s">
        <v>18422</v>
      </c>
      <c r="T3092" s="68"/>
      <c r="U3092" s="68" t="s">
        <v>18539</v>
      </c>
      <c r="V3092" s="573" t="s">
        <v>18423</v>
      </c>
      <c r="W3092" s="1228"/>
      <c r="X3092" s="2376" t="str">
        <f> hyperlink(vlookup(lower(S3092),'File Links'!E:F, 2, FALSE), "LINK")</f>
        <v>LINK</v>
      </c>
      <c r="Y3092" s="68"/>
      <c r="Z3092" s="68" t="s">
        <v>947</v>
      </c>
      <c r="AA3092" s="68" t="s">
        <v>18497</v>
      </c>
      <c r="AB3092" s="68" t="s">
        <v>7291</v>
      </c>
      <c r="AC3092" s="68" t="s">
        <v>18498</v>
      </c>
      <c r="AD3092" s="68" t="s">
        <v>18535</v>
      </c>
      <c r="AE3092" s="68" t="s">
        <v>2441</v>
      </c>
      <c r="AF3092" s="68"/>
      <c r="AG3092" s="336">
        <v>0.25</v>
      </c>
      <c r="AH3092" s="68" t="s">
        <v>1256</v>
      </c>
      <c r="AI3092" s="68" t="s">
        <v>18540</v>
      </c>
      <c r="AJ3092" s="336">
        <v>0.05</v>
      </c>
      <c r="AK3092" s="68" t="s">
        <v>172</v>
      </c>
      <c r="AL3092" s="68" t="s">
        <v>186</v>
      </c>
      <c r="AM3092" s="68" t="s">
        <v>137</v>
      </c>
      <c r="AN3092" s="68" t="s">
        <v>138</v>
      </c>
      <c r="AO3092" s="68"/>
      <c r="AP3092" s="336">
        <v>0.17</v>
      </c>
      <c r="AQ3092" s="68" t="s">
        <v>1256</v>
      </c>
      <c r="AR3092" s="68" t="s">
        <v>18541</v>
      </c>
      <c r="AS3092" s="336">
        <v>0.001</v>
      </c>
      <c r="AT3092" s="68" t="s">
        <v>135</v>
      </c>
      <c r="AU3092" s="68" t="s">
        <v>186</v>
      </c>
      <c r="AV3092" s="68" t="s">
        <v>137</v>
      </c>
      <c r="AW3092" s="435" t="s">
        <v>18500</v>
      </c>
      <c r="AX3092" s="68" t="s">
        <v>143</v>
      </c>
      <c r="AY3092" s="61" t="str">
        <f>IFERROR(__xludf.DUMMYFUNCTION("vlookup(BB3092,importrange(""https://docs.google.com/spreadsheets/d/1d2vevQ_7D_v35q4wCQ4RpQ_IPoTwEMB9Yp6ymwlPqew/edit?gid=984458430#gid=984458430"", ""'replication success'!A:K""), 11, FAlSE)"),"#N/A")</f>
        <v>#N/A</v>
      </c>
      <c r="AZ3092" s="61" t="str">
        <f>IFERROR(__xludf.DUMMYFUNCTION("vlookup(BB3092,importrange(""https://docs.google.com/spreadsheets/d/1d2vevQ_7D_v35q4wCQ4RpQ_IPoTwEMB9Yp6ymwlPqew/edit?gid=984458430#gid=984458430"", ""'replication success'!A:M""), 12, FAlSE)"),"#N/A")</f>
        <v>#N/A</v>
      </c>
      <c r="BA3092" s="61" t="str">
        <f>IFERROR(__xludf.DUMMYFUNCTION("vlookup(BB3092,importrange(""https://docs.google.com/spreadsheets/d/1d2vevQ_7D_v35q4wCQ4RpQ_IPoTwEMB9Yp6ymwlPqew/edit?gid=984458430#gid=984458430"", ""'replication success'!A:M""), 13, FAlSE)"),"#N/A")</f>
        <v>#N/A</v>
      </c>
      <c r="BB3092" s="61" t="str">
        <f>IFERROR(__xludf.DUMMYFUNCTION("REGEXREPLACE(G3092, ""_[a-z]{1,2}$"", """")"),"CORE_80")</f>
        <v>CORE_80</v>
      </c>
      <c r="BD3092" s="62" t="s">
        <v>7302</v>
      </c>
    </row>
    <row r="3093">
      <c r="A3093" s="44">
        <v>2913.0</v>
      </c>
      <c r="B3093" s="129" t="s">
        <v>523</v>
      </c>
      <c r="C3093" s="62" t="s">
        <v>115</v>
      </c>
      <c r="D3093" s="62" t="s">
        <v>248</v>
      </c>
      <c r="F3093" s="68" t="s">
        <v>18489</v>
      </c>
      <c r="G3093" s="68" t="s">
        <v>18542</v>
      </c>
      <c r="H3093" s="68" t="s">
        <v>249</v>
      </c>
      <c r="I3093" s="529">
        <v>45811.0</v>
      </c>
      <c r="J3093" s="862"/>
      <c r="K3093" s="68" t="s">
        <v>18491</v>
      </c>
      <c r="L3093" s="68"/>
      <c r="M3093" s="68" t="s">
        <v>18493</v>
      </c>
      <c r="N3093" s="68" t="s">
        <v>18494</v>
      </c>
      <c r="O3093" s="68"/>
      <c r="P3093" s="68" t="s">
        <v>18495</v>
      </c>
      <c r="Q3093" s="2375" t="str">
        <f> hyperlink(vlookup(lower(N3093),'File Links'!E:F, 2, FALSE), "LINK")</f>
        <v>LINK</v>
      </c>
      <c r="R3093" s="68" t="s">
        <v>18421</v>
      </c>
      <c r="S3093" s="68" t="s">
        <v>18422</v>
      </c>
      <c r="T3093" s="68"/>
      <c r="U3093" s="68" t="s">
        <v>18543</v>
      </c>
      <c r="V3093" s="573" t="s">
        <v>18423</v>
      </c>
      <c r="W3093" s="1228"/>
      <c r="X3093" s="2376" t="str">
        <f> hyperlink(vlookup(lower(S3093),'File Links'!E:F, 2, FALSE), "LINK")</f>
        <v>LINK</v>
      </c>
      <c r="Y3093" s="68"/>
      <c r="Z3093" s="68" t="s">
        <v>947</v>
      </c>
      <c r="AA3093" s="68" t="s">
        <v>18497</v>
      </c>
      <c r="AB3093" s="68" t="s">
        <v>7291</v>
      </c>
      <c r="AC3093" s="68" t="s">
        <v>18498</v>
      </c>
      <c r="AD3093" s="68" t="s">
        <v>18535</v>
      </c>
      <c r="AE3093" s="68" t="s">
        <v>2441</v>
      </c>
      <c r="AF3093" s="68"/>
      <c r="AG3093" s="336">
        <v>0.25</v>
      </c>
      <c r="AH3093" s="68" t="s">
        <v>1256</v>
      </c>
      <c r="AI3093" s="68" t="s">
        <v>18544</v>
      </c>
      <c r="AJ3093" s="336">
        <v>0.11</v>
      </c>
      <c r="AK3093" s="68" t="s">
        <v>172</v>
      </c>
      <c r="AL3093" s="68" t="s">
        <v>186</v>
      </c>
      <c r="AM3093" s="68" t="s">
        <v>137</v>
      </c>
      <c r="AN3093" s="68" t="s">
        <v>138</v>
      </c>
      <c r="AO3093" s="68"/>
      <c r="AP3093" s="336">
        <v>0.17</v>
      </c>
      <c r="AQ3093" s="68" t="s">
        <v>1256</v>
      </c>
      <c r="AR3093" s="68" t="s">
        <v>18545</v>
      </c>
      <c r="AS3093" s="336">
        <v>0.16</v>
      </c>
      <c r="AT3093" s="68" t="s">
        <v>172</v>
      </c>
      <c r="AU3093" s="68" t="s">
        <v>186</v>
      </c>
      <c r="AV3093" s="68" t="s">
        <v>137</v>
      </c>
      <c r="AW3093" s="435" t="s">
        <v>18500</v>
      </c>
      <c r="AX3093" s="68" t="s">
        <v>143</v>
      </c>
      <c r="AY3093" s="61" t="str">
        <f>IFERROR(__xludf.DUMMYFUNCTION("vlookup(BB3093,importrange(""https://docs.google.com/spreadsheets/d/1d2vevQ_7D_v35q4wCQ4RpQ_IPoTwEMB9Yp6ymwlPqew/edit?gid=984458430#gid=984458430"", ""'replication success'!A:K""), 11, FAlSE)"),"#N/A")</f>
        <v>#N/A</v>
      </c>
      <c r="AZ3093" s="61" t="str">
        <f>IFERROR(__xludf.DUMMYFUNCTION("vlookup(BB3093,importrange(""https://docs.google.com/spreadsheets/d/1d2vevQ_7D_v35q4wCQ4RpQ_IPoTwEMB9Yp6ymwlPqew/edit?gid=984458430#gid=984458430"", ""'replication success'!A:M""), 12, FAlSE)"),"#N/A")</f>
        <v>#N/A</v>
      </c>
      <c r="BA3093" s="61" t="str">
        <f>IFERROR(__xludf.DUMMYFUNCTION("vlookup(BB3093,importrange(""https://docs.google.com/spreadsheets/d/1d2vevQ_7D_v35q4wCQ4RpQ_IPoTwEMB9Yp6ymwlPqew/edit?gid=984458430#gid=984458430"", ""'replication success'!A:M""), 13, FAlSE)"),"#N/A")</f>
        <v>#N/A</v>
      </c>
      <c r="BB3093" s="61" t="str">
        <f>IFERROR(__xludf.DUMMYFUNCTION("REGEXREPLACE(G3093, ""_[a-z]{1,2}$"", """")"),"CORE_80")</f>
        <v>CORE_80</v>
      </c>
      <c r="BD3093" s="62" t="s">
        <v>7302</v>
      </c>
    </row>
    <row r="3094">
      <c r="A3094" s="803">
        <v>2920.0</v>
      </c>
      <c r="B3094" s="2474" t="s">
        <v>152</v>
      </c>
      <c r="C3094" s="2468" t="s">
        <v>115</v>
      </c>
      <c r="D3094" s="2468" t="s">
        <v>248</v>
      </c>
      <c r="E3094" s="2366"/>
      <c r="F3094" s="2475" t="s">
        <v>18546</v>
      </c>
      <c r="G3094" s="2475" t="s">
        <v>18547</v>
      </c>
      <c r="H3094" s="2475" t="s">
        <v>249</v>
      </c>
      <c r="I3094" s="2476">
        <v>45812.0</v>
      </c>
      <c r="J3094" s="1802">
        <v>45835.0</v>
      </c>
      <c r="K3094" s="2475" t="s">
        <v>18548</v>
      </c>
      <c r="L3094" s="2475"/>
      <c r="M3094" s="2475" t="s">
        <v>18549</v>
      </c>
      <c r="N3094" s="2475" t="s">
        <v>18550</v>
      </c>
      <c r="O3094" s="2474">
        <v>1.0</v>
      </c>
      <c r="P3094" s="2475" t="s">
        <v>18551</v>
      </c>
      <c r="Q3094" s="2477" t="str">
        <f> hyperlink(vlookup(lower(N3094),'File Links'!E:F, 2, FALSE), "LINK")</f>
        <v>LINK</v>
      </c>
      <c r="R3094" s="2475" t="s">
        <v>18124</v>
      </c>
      <c r="S3094" s="2475" t="s">
        <v>18125</v>
      </c>
      <c r="T3094" s="2475"/>
      <c r="U3094" s="2474" t="s">
        <v>3848</v>
      </c>
      <c r="V3094" s="2475" t="s">
        <v>18126</v>
      </c>
      <c r="W3094" s="2474" t="s">
        <v>1122</v>
      </c>
      <c r="X3094" s="2478" t="str">
        <f> hyperlink(vlookup(lower(S3094),'File Links'!E:F, 2, FALSE), "LINK")</f>
        <v>LINK</v>
      </c>
      <c r="Y3094" s="2475"/>
      <c r="Z3094" s="2475" t="s">
        <v>947</v>
      </c>
      <c r="AA3094" s="2475" t="s">
        <v>18552</v>
      </c>
      <c r="AB3094" s="2475" t="s">
        <v>7291</v>
      </c>
      <c r="AC3094" s="2475" t="s">
        <v>18553</v>
      </c>
      <c r="AD3094" s="2475" t="s">
        <v>18554</v>
      </c>
      <c r="AE3094" s="2475" t="s">
        <v>507</v>
      </c>
      <c r="AF3094" s="2479">
        <v>184.0</v>
      </c>
      <c r="AG3094" s="2475" t="s">
        <v>138</v>
      </c>
      <c r="AH3094" s="2475" t="s">
        <v>138</v>
      </c>
      <c r="AI3094" s="2475" t="s">
        <v>18555</v>
      </c>
      <c r="AJ3094" s="2475" t="s">
        <v>138</v>
      </c>
      <c r="AK3094" s="68" t="s">
        <v>138</v>
      </c>
      <c r="AL3094" s="2475" t="s">
        <v>186</v>
      </c>
      <c r="AM3094" s="2475" t="s">
        <v>137</v>
      </c>
      <c r="AN3094" s="2475" t="s">
        <v>138</v>
      </c>
      <c r="AO3094" s="2479">
        <v>604.0</v>
      </c>
      <c r="AP3094" s="2479">
        <v>0.32</v>
      </c>
      <c r="AQ3094" s="2475" t="s">
        <v>173</v>
      </c>
      <c r="AR3094" s="2475" t="s">
        <v>18556</v>
      </c>
      <c r="AS3094" s="2479">
        <v>0.001</v>
      </c>
      <c r="AT3094" s="2475" t="s">
        <v>135</v>
      </c>
      <c r="AU3094" s="2475" t="s">
        <v>186</v>
      </c>
      <c r="AV3094" s="2475" t="s">
        <v>137</v>
      </c>
      <c r="AW3094" s="2480" t="s">
        <v>18557</v>
      </c>
      <c r="AX3094" s="2475" t="s">
        <v>143</v>
      </c>
      <c r="AY3094" s="61" t="str">
        <f>IFERROR(__xludf.DUMMYFUNCTION("vlookup(BB3094,importrange(""https://docs.google.com/spreadsheets/d/1d2vevQ_7D_v35q4wCQ4RpQ_IPoTwEMB9Yp6ymwlPqew/edit?gid=984458430#gid=984458430"", ""'replication success'!A:K""), 11, FAlSE)"),"#N/A")</f>
        <v>#N/A</v>
      </c>
      <c r="AZ3094" s="61" t="str">
        <f>IFERROR(__xludf.DUMMYFUNCTION("vlookup(BB3094,importrange(""https://docs.google.com/spreadsheets/d/1d2vevQ_7D_v35q4wCQ4RpQ_IPoTwEMB9Yp6ymwlPqew/edit?gid=984458430#gid=984458430"", ""'replication success'!A:M""), 12, FAlSE)"),"#N/A")</f>
        <v>#N/A</v>
      </c>
      <c r="BA3094" s="61" t="str">
        <f>IFERROR(__xludf.DUMMYFUNCTION("vlookup(BB3094,importrange(""https://docs.google.com/spreadsheets/d/1d2vevQ_7D_v35q4wCQ4RpQ_IPoTwEMB9Yp6ymwlPqew/edit?gid=984458430#gid=984458430"", ""'replication success'!A:M""), 13, FAlSE)"),"#N/A")</f>
        <v>#N/A</v>
      </c>
      <c r="BB3094" s="61" t="str">
        <f>IFERROR(__xludf.DUMMYFUNCTION("REGEXREPLACE(G3094, ""_[a-z]{1,2}$"", """")"),"CORE_85")</f>
        <v>CORE_85</v>
      </c>
      <c r="BC3094" s="2366"/>
      <c r="BD3094" s="2468" t="s">
        <v>814</v>
      </c>
      <c r="BE3094" s="2366"/>
    </row>
    <row r="3095">
      <c r="A3095" s="44">
        <v>2995.0</v>
      </c>
      <c r="B3095" s="129" t="s">
        <v>114</v>
      </c>
      <c r="C3095" s="62" t="s">
        <v>115</v>
      </c>
      <c r="D3095" s="62" t="s">
        <v>15473</v>
      </c>
      <c r="F3095" s="68" t="s">
        <v>18546</v>
      </c>
      <c r="G3095" s="159" t="s">
        <v>18547</v>
      </c>
      <c r="H3095" s="159" t="s">
        <v>18250</v>
      </c>
      <c r="I3095" s="152">
        <v>45331.0</v>
      </c>
      <c r="J3095" s="2127">
        <v>45835.0</v>
      </c>
      <c r="K3095" s="68"/>
      <c r="L3095" s="129" t="s">
        <v>18558</v>
      </c>
      <c r="M3095" s="159" t="s">
        <v>18549</v>
      </c>
      <c r="N3095" s="159" t="s">
        <v>18550</v>
      </c>
      <c r="O3095" s="336">
        <v>1.0</v>
      </c>
      <c r="P3095" s="159" t="s">
        <v>18551</v>
      </c>
      <c r="Q3095" s="2174" t="str">
        <f> hyperlink(vlookup(lower(N3095),'File Links'!E:F, 2, FALSE), "LINK")</f>
        <v>LINK</v>
      </c>
      <c r="R3095" s="159" t="s">
        <v>18124</v>
      </c>
      <c r="S3095" s="159" t="s">
        <v>18125</v>
      </c>
      <c r="T3095" s="68"/>
      <c r="U3095" s="336">
        <v>2.0</v>
      </c>
      <c r="V3095" s="159" t="s">
        <v>18126</v>
      </c>
      <c r="W3095" s="1800" t="s">
        <v>1122</v>
      </c>
      <c r="X3095" s="2400" t="str">
        <f> hyperlink(vlookup(lower(S3095),'File Links'!E:F, 2, FALSE), "LINK")</f>
        <v>LINK</v>
      </c>
      <c r="Y3095" s="68"/>
      <c r="Z3095" s="159" t="s">
        <v>947</v>
      </c>
      <c r="AA3095" s="159" t="s">
        <v>18552</v>
      </c>
      <c r="AB3095" s="159" t="s">
        <v>7291</v>
      </c>
      <c r="AC3095" s="159" t="s">
        <v>18553</v>
      </c>
      <c r="AD3095" s="68" t="s">
        <v>18559</v>
      </c>
      <c r="AE3095" s="336">
        <v>3.0</v>
      </c>
      <c r="AF3095" s="336">
        <v>184.0</v>
      </c>
      <c r="AG3095" s="2475" t="s">
        <v>138</v>
      </c>
      <c r="AH3095" s="2475" t="s">
        <v>138</v>
      </c>
      <c r="AI3095" s="2475" t="s">
        <v>18555</v>
      </c>
      <c r="AJ3095" s="2475" t="s">
        <v>138</v>
      </c>
      <c r="AK3095" s="68" t="s">
        <v>172</v>
      </c>
      <c r="AL3095" s="68" t="s">
        <v>186</v>
      </c>
      <c r="AM3095" s="68" t="s">
        <v>137</v>
      </c>
      <c r="AN3095" s="68"/>
      <c r="AO3095" s="336">
        <v>604.0</v>
      </c>
      <c r="AP3095" s="336">
        <v>0.32</v>
      </c>
      <c r="AQ3095" s="68" t="s">
        <v>173</v>
      </c>
      <c r="AR3095" s="68" t="s">
        <v>3721</v>
      </c>
      <c r="AS3095" s="759">
        <v>0.001</v>
      </c>
      <c r="AT3095" s="204" t="s">
        <v>135</v>
      </c>
      <c r="AU3095" s="68" t="s">
        <v>186</v>
      </c>
      <c r="AV3095" s="68" t="s">
        <v>137</v>
      </c>
      <c r="AW3095" s="435" t="s">
        <v>18560</v>
      </c>
      <c r="AX3095" s="68" t="s">
        <v>143</v>
      </c>
      <c r="AY3095" s="61" t="str">
        <f>IFERROR(__xludf.DUMMYFUNCTION("vlookup(BB3095,importrange(""https://docs.google.com/spreadsheets/d/1d2vevQ_7D_v35q4wCQ4RpQ_IPoTwEMB9Yp6ymwlPqew/edit?gid=984458430#gid=984458430"", ""'replication success'!A:K""), 11, FAlSE)"),"#N/A")</f>
        <v>#N/A</v>
      </c>
      <c r="AZ3095" s="61" t="str">
        <f>IFERROR(__xludf.DUMMYFUNCTION("vlookup(BB3095,importrange(""https://docs.google.com/spreadsheets/d/1d2vevQ_7D_v35q4wCQ4RpQ_IPoTwEMB9Yp6ymwlPqew/edit?gid=984458430#gid=984458430"", ""'replication success'!A:M""), 12, FAlSE)"),"#N/A")</f>
        <v>#N/A</v>
      </c>
      <c r="BA3095" s="61" t="str">
        <f>IFERROR(__xludf.DUMMYFUNCTION("vlookup(BB3095,importrange(""https://docs.google.com/spreadsheets/d/1d2vevQ_7D_v35q4wCQ4RpQ_IPoTwEMB9Yp6ymwlPqew/edit?gid=984458430#gid=984458430"", ""'replication success'!A:M""), 13, FAlSE)"),"#N/A")</f>
        <v>#N/A</v>
      </c>
      <c r="BB3095" s="61" t="str">
        <f>IFERROR(__xludf.DUMMYFUNCTION("REGEXREPLACE(G3095, ""_[a-z]{1,2}$"", """")"),"CORE_85")</f>
        <v>CORE_85</v>
      </c>
      <c r="BD3095" s="199" t="s">
        <v>814</v>
      </c>
    </row>
    <row r="3096">
      <c r="A3096" s="44">
        <v>2921.0</v>
      </c>
      <c r="B3096" s="129" t="s">
        <v>523</v>
      </c>
      <c r="C3096" s="62" t="s">
        <v>115</v>
      </c>
      <c r="D3096" s="62" t="s">
        <v>248</v>
      </c>
      <c r="F3096" s="68" t="s">
        <v>18546</v>
      </c>
      <c r="G3096" s="68" t="s">
        <v>18561</v>
      </c>
      <c r="H3096" s="68" t="s">
        <v>249</v>
      </c>
      <c r="I3096" s="529">
        <v>45812.0</v>
      </c>
      <c r="J3096" s="862"/>
      <c r="K3096" s="68" t="s">
        <v>18562</v>
      </c>
      <c r="L3096" s="68"/>
      <c r="M3096" s="68" t="s">
        <v>18549</v>
      </c>
      <c r="N3096" s="68" t="s">
        <v>18550</v>
      </c>
      <c r="O3096" s="68"/>
      <c r="P3096" s="573" t="s">
        <v>18551</v>
      </c>
      <c r="Q3096" s="2375" t="str">
        <f> hyperlink(vlookup(lower(N3096),'File Links'!E:F, 2, FALSE), "LINK")</f>
        <v>LINK</v>
      </c>
      <c r="R3096" s="68" t="s">
        <v>18124</v>
      </c>
      <c r="S3096" s="68" t="s">
        <v>18125</v>
      </c>
      <c r="T3096" s="68"/>
      <c r="U3096" s="68" t="s">
        <v>4426</v>
      </c>
      <c r="V3096" s="573" t="s">
        <v>18126</v>
      </c>
      <c r="W3096" s="1228"/>
      <c r="X3096" s="2376" t="str">
        <f> hyperlink(vlookup(lower(S3096),'File Links'!E:F, 2, FALSE), "LINK")</f>
        <v>LINK</v>
      </c>
      <c r="Y3096" s="68"/>
      <c r="Z3096" s="68" t="s">
        <v>947</v>
      </c>
      <c r="AA3096" s="68" t="s">
        <v>18552</v>
      </c>
      <c r="AB3096" s="68" t="s">
        <v>7291</v>
      </c>
      <c r="AC3096" s="68" t="s">
        <v>18553</v>
      </c>
      <c r="AD3096" s="68" t="s">
        <v>18554</v>
      </c>
      <c r="AE3096" s="68" t="s">
        <v>507</v>
      </c>
      <c r="AF3096" s="336">
        <v>184.0</v>
      </c>
      <c r="AG3096" s="68" t="s">
        <v>138</v>
      </c>
      <c r="AH3096" s="68" t="s">
        <v>138</v>
      </c>
      <c r="AI3096" s="68" t="s">
        <v>18563</v>
      </c>
      <c r="AJ3096" s="68" t="s">
        <v>138</v>
      </c>
      <c r="AK3096" s="68" t="s">
        <v>172</v>
      </c>
      <c r="AL3096" s="68" t="s">
        <v>186</v>
      </c>
      <c r="AM3096" s="68" t="s">
        <v>137</v>
      </c>
      <c r="AN3096" s="68" t="s">
        <v>138</v>
      </c>
      <c r="AO3096" s="336">
        <v>604.0</v>
      </c>
      <c r="AP3096" s="336">
        <v>0.05</v>
      </c>
      <c r="AQ3096" s="68" t="s">
        <v>173</v>
      </c>
      <c r="AR3096" s="68" t="s">
        <v>18564</v>
      </c>
      <c r="AS3096" s="336">
        <v>0.584</v>
      </c>
      <c r="AT3096" s="68" t="s">
        <v>172</v>
      </c>
      <c r="AU3096" s="68" t="s">
        <v>186</v>
      </c>
      <c r="AV3096" s="68" t="s">
        <v>137</v>
      </c>
      <c r="AW3096" s="435" t="s">
        <v>18557</v>
      </c>
      <c r="AX3096" s="68" t="s">
        <v>143</v>
      </c>
      <c r="AY3096" s="61" t="str">
        <f>IFERROR(__xludf.DUMMYFUNCTION("vlookup(BB3096,importrange(""https://docs.google.com/spreadsheets/d/1d2vevQ_7D_v35q4wCQ4RpQ_IPoTwEMB9Yp6ymwlPqew/edit?gid=984458430#gid=984458430"", ""'replication success'!A:K""), 11, FAlSE)"),"#N/A")</f>
        <v>#N/A</v>
      </c>
      <c r="AZ3096" s="61" t="str">
        <f>IFERROR(__xludf.DUMMYFUNCTION("vlookup(BB3096,importrange(""https://docs.google.com/spreadsheets/d/1d2vevQ_7D_v35q4wCQ4RpQ_IPoTwEMB9Yp6ymwlPqew/edit?gid=984458430#gid=984458430"", ""'replication success'!A:M""), 12, FAlSE)"),"#N/A")</f>
        <v>#N/A</v>
      </c>
      <c r="BA3096" s="61" t="str">
        <f>IFERROR(__xludf.DUMMYFUNCTION("vlookup(BB3096,importrange(""https://docs.google.com/spreadsheets/d/1d2vevQ_7D_v35q4wCQ4RpQ_IPoTwEMB9Yp6ymwlPqew/edit?gid=984458430#gid=984458430"", ""'replication success'!A:M""), 13, FAlSE)"),"#N/A")</f>
        <v>#N/A</v>
      </c>
      <c r="BB3096" s="61" t="str">
        <f>IFERROR(__xludf.DUMMYFUNCTION("REGEXREPLACE(G3096, ""_[a-z]{1,2}$"", """")"),"CORE_85")</f>
        <v>CORE_85</v>
      </c>
      <c r="BD3096" s="62" t="s">
        <v>7302</v>
      </c>
    </row>
    <row r="3097">
      <c r="A3097" s="44">
        <v>2922.0</v>
      </c>
      <c r="B3097" s="129" t="s">
        <v>523</v>
      </c>
      <c r="C3097" s="62" t="s">
        <v>115</v>
      </c>
      <c r="D3097" s="62" t="s">
        <v>248</v>
      </c>
      <c r="F3097" s="68" t="s">
        <v>18546</v>
      </c>
      <c r="G3097" s="68" t="s">
        <v>18565</v>
      </c>
      <c r="H3097" s="68" t="s">
        <v>249</v>
      </c>
      <c r="I3097" s="529">
        <v>45812.0</v>
      </c>
      <c r="J3097" s="862"/>
      <c r="K3097" s="68" t="s">
        <v>18566</v>
      </c>
      <c r="L3097" s="68"/>
      <c r="M3097" s="68" t="s">
        <v>18549</v>
      </c>
      <c r="N3097" s="68" t="s">
        <v>18550</v>
      </c>
      <c r="O3097" s="68"/>
      <c r="P3097" s="573" t="s">
        <v>18551</v>
      </c>
      <c r="Q3097" s="2375" t="str">
        <f> hyperlink(vlookup(lower(N3097),'File Links'!E:F, 2, FALSE), "LINK")</f>
        <v>LINK</v>
      </c>
      <c r="R3097" s="68" t="s">
        <v>18124</v>
      </c>
      <c r="S3097" s="68" t="s">
        <v>18125</v>
      </c>
      <c r="T3097" s="68"/>
      <c r="U3097" s="68" t="s">
        <v>4426</v>
      </c>
      <c r="V3097" s="573" t="s">
        <v>18126</v>
      </c>
      <c r="W3097" s="1228"/>
      <c r="X3097" s="2376" t="str">
        <f> hyperlink(vlookup(lower(S3097),'File Links'!E:F, 2, FALSE), "LINK")</f>
        <v>LINK</v>
      </c>
      <c r="Y3097" s="68"/>
      <c r="Z3097" s="68" t="s">
        <v>947</v>
      </c>
      <c r="AA3097" s="68" t="s">
        <v>18552</v>
      </c>
      <c r="AB3097" s="68" t="s">
        <v>7291</v>
      </c>
      <c r="AC3097" s="68" t="s">
        <v>18553</v>
      </c>
      <c r="AD3097" s="68" t="s">
        <v>18554</v>
      </c>
      <c r="AE3097" s="68" t="s">
        <v>507</v>
      </c>
      <c r="AF3097" s="336">
        <v>184.0</v>
      </c>
      <c r="AG3097" s="68" t="s">
        <v>138</v>
      </c>
      <c r="AH3097" s="68" t="s">
        <v>138</v>
      </c>
      <c r="AI3097" s="68" t="s">
        <v>18567</v>
      </c>
      <c r="AJ3097" s="68" t="s">
        <v>138</v>
      </c>
      <c r="AK3097" s="68" t="s">
        <v>172</v>
      </c>
      <c r="AL3097" s="68" t="s">
        <v>186</v>
      </c>
      <c r="AM3097" s="68" t="s">
        <v>137</v>
      </c>
      <c r="AN3097" s="68" t="s">
        <v>138</v>
      </c>
      <c r="AO3097" s="336">
        <v>604.0</v>
      </c>
      <c r="AP3097" s="336">
        <v>0.26</v>
      </c>
      <c r="AQ3097" s="68" t="s">
        <v>173</v>
      </c>
      <c r="AR3097" s="68" t="s">
        <v>18568</v>
      </c>
      <c r="AS3097" s="336">
        <v>0.009</v>
      </c>
      <c r="AT3097" s="68" t="s">
        <v>172</v>
      </c>
      <c r="AU3097" s="68" t="s">
        <v>186</v>
      </c>
      <c r="AV3097" s="68" t="s">
        <v>137</v>
      </c>
      <c r="AW3097" s="435" t="s">
        <v>18557</v>
      </c>
      <c r="AX3097" s="68" t="s">
        <v>143</v>
      </c>
      <c r="AY3097" s="61" t="str">
        <f>IFERROR(__xludf.DUMMYFUNCTION("vlookup(BB3097,importrange(""https://docs.google.com/spreadsheets/d/1d2vevQ_7D_v35q4wCQ4RpQ_IPoTwEMB9Yp6ymwlPqew/edit?gid=984458430#gid=984458430"", ""'replication success'!A:K""), 11, FAlSE)"),"#N/A")</f>
        <v>#N/A</v>
      </c>
      <c r="AZ3097" s="61" t="str">
        <f>IFERROR(__xludf.DUMMYFUNCTION("vlookup(BB3097,importrange(""https://docs.google.com/spreadsheets/d/1d2vevQ_7D_v35q4wCQ4RpQ_IPoTwEMB9Yp6ymwlPqew/edit?gid=984458430#gid=984458430"", ""'replication success'!A:M""), 12, FAlSE)"),"#N/A")</f>
        <v>#N/A</v>
      </c>
      <c r="BA3097" s="61" t="str">
        <f>IFERROR(__xludf.DUMMYFUNCTION("vlookup(BB3097,importrange(""https://docs.google.com/spreadsheets/d/1d2vevQ_7D_v35q4wCQ4RpQ_IPoTwEMB9Yp6ymwlPqew/edit?gid=984458430#gid=984458430"", ""'replication success'!A:M""), 13, FAlSE)"),"#N/A")</f>
        <v>#N/A</v>
      </c>
      <c r="BB3097" s="61" t="str">
        <f>IFERROR(__xludf.DUMMYFUNCTION("REGEXREPLACE(G3097, ""_[a-z]{1,2}$"", """")"),"CORE_85")</f>
        <v>CORE_85</v>
      </c>
      <c r="BD3097" s="62" t="s">
        <v>7302</v>
      </c>
    </row>
    <row r="3098">
      <c r="A3098" s="44">
        <v>2923.0</v>
      </c>
      <c r="B3098" s="129" t="s">
        <v>523</v>
      </c>
      <c r="C3098" s="62" t="s">
        <v>115</v>
      </c>
      <c r="D3098" s="62" t="s">
        <v>248</v>
      </c>
      <c r="F3098" s="68" t="s">
        <v>18546</v>
      </c>
      <c r="G3098" s="68" t="s">
        <v>18569</v>
      </c>
      <c r="H3098" s="68" t="s">
        <v>249</v>
      </c>
      <c r="I3098" s="529">
        <v>45812.0</v>
      </c>
      <c r="J3098" s="862"/>
      <c r="K3098" s="68" t="s">
        <v>18570</v>
      </c>
      <c r="L3098" s="68"/>
      <c r="M3098" s="68" t="s">
        <v>18549</v>
      </c>
      <c r="N3098" s="68" t="s">
        <v>18550</v>
      </c>
      <c r="O3098" s="68"/>
      <c r="P3098" s="573" t="s">
        <v>18551</v>
      </c>
      <c r="Q3098" s="2375" t="str">
        <f> hyperlink(vlookup(lower(N3098),'File Links'!E:F, 2, FALSE), "LINK")</f>
        <v>LINK</v>
      </c>
      <c r="R3098" s="68" t="s">
        <v>18124</v>
      </c>
      <c r="S3098" s="68" t="s">
        <v>18125</v>
      </c>
      <c r="T3098" s="68"/>
      <c r="U3098" s="68" t="s">
        <v>4426</v>
      </c>
      <c r="V3098" s="573" t="s">
        <v>18126</v>
      </c>
      <c r="W3098" s="1228"/>
      <c r="X3098" s="2376" t="str">
        <f> hyperlink(vlookup(lower(S3098),'File Links'!E:F, 2, FALSE), "LINK")</f>
        <v>LINK</v>
      </c>
      <c r="Y3098" s="68"/>
      <c r="Z3098" s="68" t="s">
        <v>947</v>
      </c>
      <c r="AA3098" s="68" t="s">
        <v>18552</v>
      </c>
      <c r="AB3098" s="68" t="s">
        <v>7291</v>
      </c>
      <c r="AC3098" s="68" t="s">
        <v>18553</v>
      </c>
      <c r="AD3098" s="68" t="s">
        <v>18554</v>
      </c>
      <c r="AE3098" s="68" t="s">
        <v>507</v>
      </c>
      <c r="AF3098" s="336">
        <v>184.0</v>
      </c>
      <c r="AG3098" s="68" t="s">
        <v>138</v>
      </c>
      <c r="AH3098" s="68" t="s">
        <v>138</v>
      </c>
      <c r="AI3098" s="68" t="s">
        <v>18571</v>
      </c>
      <c r="AJ3098" s="68" t="s">
        <v>138</v>
      </c>
      <c r="AK3098" s="68" t="s">
        <v>172</v>
      </c>
      <c r="AL3098" s="68" t="s">
        <v>186</v>
      </c>
      <c r="AM3098" s="68" t="s">
        <v>137</v>
      </c>
      <c r="AN3098" s="68" t="s">
        <v>138</v>
      </c>
      <c r="AO3098" s="336">
        <v>604.0</v>
      </c>
      <c r="AP3098" s="336">
        <v>0.1</v>
      </c>
      <c r="AQ3098" s="68" t="s">
        <v>173</v>
      </c>
      <c r="AR3098" s="68" t="s">
        <v>18572</v>
      </c>
      <c r="AS3098" s="336">
        <v>0.316</v>
      </c>
      <c r="AT3098" s="68" t="s">
        <v>172</v>
      </c>
      <c r="AU3098" s="68" t="s">
        <v>186</v>
      </c>
      <c r="AV3098" s="68" t="s">
        <v>137</v>
      </c>
      <c r="AW3098" s="435" t="s">
        <v>18557</v>
      </c>
      <c r="AX3098" s="68" t="s">
        <v>143</v>
      </c>
      <c r="AY3098" s="61" t="str">
        <f>IFERROR(__xludf.DUMMYFUNCTION("vlookup(BB3098,importrange(""https://docs.google.com/spreadsheets/d/1d2vevQ_7D_v35q4wCQ4RpQ_IPoTwEMB9Yp6ymwlPqew/edit?gid=984458430#gid=984458430"", ""'replication success'!A:K""), 11, FAlSE)"),"#N/A")</f>
        <v>#N/A</v>
      </c>
      <c r="AZ3098" s="61" t="str">
        <f>IFERROR(__xludf.DUMMYFUNCTION("vlookup(BB3098,importrange(""https://docs.google.com/spreadsheets/d/1d2vevQ_7D_v35q4wCQ4RpQ_IPoTwEMB9Yp6ymwlPqew/edit?gid=984458430#gid=984458430"", ""'replication success'!A:M""), 12, FAlSE)"),"#N/A")</f>
        <v>#N/A</v>
      </c>
      <c r="BA3098" s="61" t="str">
        <f>IFERROR(__xludf.DUMMYFUNCTION("vlookup(BB3098,importrange(""https://docs.google.com/spreadsheets/d/1d2vevQ_7D_v35q4wCQ4RpQ_IPoTwEMB9Yp6ymwlPqew/edit?gid=984458430#gid=984458430"", ""'replication success'!A:M""), 13, FAlSE)"),"#N/A")</f>
        <v>#N/A</v>
      </c>
      <c r="BB3098" s="61" t="str">
        <f>IFERROR(__xludf.DUMMYFUNCTION("REGEXREPLACE(G3098, ""_[a-z]{1,2}$"", """")"),"CORE_85")</f>
        <v>CORE_85</v>
      </c>
      <c r="BD3098" s="62" t="s">
        <v>7302</v>
      </c>
    </row>
    <row r="3099">
      <c r="A3099" s="44">
        <v>2924.0</v>
      </c>
      <c r="B3099" s="129" t="s">
        <v>523</v>
      </c>
      <c r="C3099" s="62" t="s">
        <v>115</v>
      </c>
      <c r="D3099" s="62" t="s">
        <v>248</v>
      </c>
      <c r="F3099" s="68" t="s">
        <v>18573</v>
      </c>
      <c r="G3099" s="68" t="s">
        <v>18574</v>
      </c>
      <c r="H3099" s="68" t="s">
        <v>249</v>
      </c>
      <c r="I3099" s="529">
        <v>45812.0</v>
      </c>
      <c r="J3099" s="1802">
        <v>45835.0</v>
      </c>
      <c r="K3099" s="68" t="s">
        <v>18575</v>
      </c>
      <c r="L3099" s="68"/>
      <c r="M3099" s="68" t="s">
        <v>18576</v>
      </c>
      <c r="N3099" s="68" t="s">
        <v>18577</v>
      </c>
      <c r="O3099" s="68"/>
      <c r="P3099" s="573" t="s">
        <v>18578</v>
      </c>
      <c r="Q3099" s="2375" t="str">
        <f> hyperlink(vlookup(lower(N3099),'File Links'!E:F, 2, FALSE), "LINK")</f>
        <v>LINK</v>
      </c>
      <c r="R3099" s="68" t="s">
        <v>18579</v>
      </c>
      <c r="S3099" s="68" t="s">
        <v>18580</v>
      </c>
      <c r="T3099" s="68"/>
      <c r="U3099" s="68" t="s">
        <v>4426</v>
      </c>
      <c r="V3099" s="573" t="s">
        <v>18581</v>
      </c>
      <c r="W3099" s="2474" t="s">
        <v>1122</v>
      </c>
      <c r="X3099" s="2376" t="str">
        <f> hyperlink(vlookup(lower(S3099),'File Links'!E:F, 2, FALSE), "LINK")</f>
        <v>LINK</v>
      </c>
      <c r="Y3099" s="68"/>
      <c r="Z3099" s="68" t="s">
        <v>947</v>
      </c>
      <c r="AA3099" s="68" t="s">
        <v>18582</v>
      </c>
      <c r="AB3099" s="68" t="s">
        <v>7291</v>
      </c>
      <c r="AC3099" s="68" t="s">
        <v>18583</v>
      </c>
      <c r="AD3099" s="68" t="s">
        <v>18584</v>
      </c>
      <c r="AE3099" s="68" t="s">
        <v>624</v>
      </c>
      <c r="AF3099" s="336">
        <v>57.0</v>
      </c>
      <c r="AG3099" s="68" t="s">
        <v>138</v>
      </c>
      <c r="AH3099" s="68" t="s">
        <v>138</v>
      </c>
      <c r="AI3099" s="68" t="s">
        <v>18585</v>
      </c>
      <c r="AJ3099" s="336">
        <v>0.27</v>
      </c>
      <c r="AK3099" s="68" t="s">
        <v>172</v>
      </c>
      <c r="AL3099" s="68" t="s">
        <v>186</v>
      </c>
      <c r="AM3099" s="68" t="s">
        <v>137</v>
      </c>
      <c r="AN3099" s="68" t="s">
        <v>138</v>
      </c>
      <c r="AO3099" s="336">
        <v>313.0</v>
      </c>
      <c r="AP3099" s="336">
        <v>-0.45</v>
      </c>
      <c r="AQ3099" s="68" t="s">
        <v>173</v>
      </c>
      <c r="AR3099" s="68" t="s">
        <v>18586</v>
      </c>
      <c r="AS3099" s="501">
        <v>0.001</v>
      </c>
      <c r="AT3099" s="68" t="s">
        <v>135</v>
      </c>
      <c r="AU3099" s="68" t="s">
        <v>186</v>
      </c>
      <c r="AV3099" s="68" t="s">
        <v>137</v>
      </c>
      <c r="AW3099" s="435" t="s">
        <v>18587</v>
      </c>
      <c r="AX3099" s="68" t="s">
        <v>143</v>
      </c>
      <c r="AY3099" s="61" t="str">
        <f>IFERROR(__xludf.DUMMYFUNCTION("vlookup(BB3099,importrange(""https://docs.google.com/spreadsheets/d/1d2vevQ_7D_v35q4wCQ4RpQ_IPoTwEMB9Yp6ymwlPqew/edit?gid=984458430#gid=984458430"", ""'replication success'!A:K""), 11, FAlSE)"),"#N/A")</f>
        <v>#N/A</v>
      </c>
      <c r="AZ3099" s="61" t="str">
        <f>IFERROR(__xludf.DUMMYFUNCTION("vlookup(BB3099,importrange(""https://docs.google.com/spreadsheets/d/1d2vevQ_7D_v35q4wCQ4RpQ_IPoTwEMB9Yp6ymwlPqew/edit?gid=984458430#gid=984458430"", ""'replication success'!A:M""), 12, FAlSE)"),"#N/A")</f>
        <v>#N/A</v>
      </c>
      <c r="BA3099" s="61" t="str">
        <f>IFERROR(__xludf.DUMMYFUNCTION("vlookup(BB3099,importrange(""https://docs.google.com/spreadsheets/d/1d2vevQ_7D_v35q4wCQ4RpQ_IPoTwEMB9Yp6ymwlPqew/edit?gid=984458430#gid=984458430"", ""'replication success'!A:M""), 13, FAlSE)"),"#N/A")</f>
        <v>#N/A</v>
      </c>
      <c r="BB3099" s="61" t="str">
        <f>IFERROR(__xludf.DUMMYFUNCTION("REGEXREPLACE(G3099, ""_[a-z]{1,2}$"", """")"),"CORE_86")</f>
        <v>CORE_86</v>
      </c>
      <c r="BD3099" s="62" t="s">
        <v>7302</v>
      </c>
    </row>
    <row r="3100">
      <c r="A3100" s="689">
        <v>2996.0</v>
      </c>
      <c r="B3100" s="374" t="s">
        <v>152</v>
      </c>
      <c r="C3100" s="188" t="s">
        <v>115</v>
      </c>
      <c r="D3100" s="188" t="s">
        <v>15473</v>
      </c>
      <c r="E3100" s="189"/>
      <c r="F3100" s="190" t="s">
        <v>18573</v>
      </c>
      <c r="G3100" s="198" t="s">
        <v>18574</v>
      </c>
      <c r="H3100" s="198" t="s">
        <v>18250</v>
      </c>
      <c r="I3100" s="191">
        <v>45331.0</v>
      </c>
      <c r="J3100" s="2127">
        <v>45835.0</v>
      </c>
      <c r="K3100" s="190"/>
      <c r="L3100" s="374" t="s">
        <v>18502</v>
      </c>
      <c r="M3100" s="198" t="s">
        <v>18576</v>
      </c>
      <c r="N3100" s="198" t="s">
        <v>18577</v>
      </c>
      <c r="O3100" s="750">
        <v>1.0</v>
      </c>
      <c r="P3100" s="198" t="s">
        <v>18578</v>
      </c>
      <c r="Q3100" s="2481" t="str">
        <f> hyperlink(vlookup(lower(N3100),'File Links'!E:F, 2, FALSE), "LINK")</f>
        <v>LINK</v>
      </c>
      <c r="R3100" s="198" t="s">
        <v>18579</v>
      </c>
      <c r="S3100" s="198" t="s">
        <v>18580</v>
      </c>
      <c r="T3100" s="190"/>
      <c r="U3100" s="750">
        <v>1.0</v>
      </c>
      <c r="V3100" s="198" t="s">
        <v>18581</v>
      </c>
      <c r="W3100" s="1800" t="s">
        <v>1122</v>
      </c>
      <c r="X3100" s="2482" t="str">
        <f> hyperlink(vlookup(lower(S3100),'File Links'!E:F, 2, FALSE), "LINK")</f>
        <v>LINK</v>
      </c>
      <c r="Y3100" s="190"/>
      <c r="Z3100" s="198" t="s">
        <v>947</v>
      </c>
      <c r="AA3100" s="198" t="s">
        <v>18582</v>
      </c>
      <c r="AB3100" s="198" t="s">
        <v>7291</v>
      </c>
      <c r="AC3100" s="198" t="s">
        <v>18583</v>
      </c>
      <c r="AD3100" s="374" t="s">
        <v>18588</v>
      </c>
      <c r="AE3100" s="750">
        <v>10.0</v>
      </c>
      <c r="AF3100" s="750">
        <v>57.0</v>
      </c>
      <c r="AG3100" s="374" t="s">
        <v>18589</v>
      </c>
      <c r="AH3100" s="190" t="s">
        <v>134</v>
      </c>
      <c r="AI3100" s="190" t="s">
        <v>630</v>
      </c>
      <c r="AJ3100" s="750">
        <v>0.001</v>
      </c>
      <c r="AK3100" s="190" t="s">
        <v>135</v>
      </c>
      <c r="AL3100" s="190" t="s">
        <v>186</v>
      </c>
      <c r="AM3100" s="190" t="s">
        <v>137</v>
      </c>
      <c r="AN3100" s="190"/>
      <c r="AO3100" s="750">
        <v>313.0</v>
      </c>
      <c r="AP3100" s="190" t="s">
        <v>18590</v>
      </c>
      <c r="AQ3100" s="190" t="s">
        <v>173</v>
      </c>
      <c r="AR3100" s="190" t="s">
        <v>4979</v>
      </c>
      <c r="AS3100" s="759">
        <v>0.001</v>
      </c>
      <c r="AT3100" s="204" t="s">
        <v>135</v>
      </c>
      <c r="AU3100" s="190" t="s">
        <v>186</v>
      </c>
      <c r="AV3100" s="190" t="s">
        <v>137</v>
      </c>
      <c r="AW3100" s="877" t="s">
        <v>18591</v>
      </c>
      <c r="AX3100" s="190" t="s">
        <v>143</v>
      </c>
      <c r="AY3100" s="61" t="str">
        <f>IFERROR(__xludf.DUMMYFUNCTION("vlookup(BB3100,importrange(""https://docs.google.com/spreadsheets/d/1d2vevQ_7D_v35q4wCQ4RpQ_IPoTwEMB9Yp6ymwlPqew/edit?gid=984458430#gid=984458430"", ""'replication success'!A:K""), 11, FAlSE)"),"#N/A")</f>
        <v>#N/A</v>
      </c>
      <c r="AZ3100" s="61" t="str">
        <f>IFERROR(__xludf.DUMMYFUNCTION("vlookup(BB3100,importrange(""https://docs.google.com/spreadsheets/d/1d2vevQ_7D_v35q4wCQ4RpQ_IPoTwEMB9Yp6ymwlPqew/edit?gid=984458430#gid=984458430"", ""'replication success'!A:M""), 12, FAlSE)"),"#N/A")</f>
        <v>#N/A</v>
      </c>
      <c r="BA3100" s="61" t="str">
        <f>IFERROR(__xludf.DUMMYFUNCTION("vlookup(BB3100,importrange(""https://docs.google.com/spreadsheets/d/1d2vevQ_7D_v35q4wCQ4RpQ_IPoTwEMB9Yp6ymwlPqew/edit?gid=984458430#gid=984458430"", ""'replication success'!A:M""), 13, FAlSE)"),"#N/A")</f>
        <v>#N/A</v>
      </c>
      <c r="BB3100" s="61" t="str">
        <f>IFERROR(__xludf.DUMMYFUNCTION("REGEXREPLACE(G3100, ""_[a-z]{1,2}$"", """")"),"CORE_86")</f>
        <v>CORE_86</v>
      </c>
      <c r="BC3100" s="189"/>
      <c r="BD3100" s="199" t="s">
        <v>814</v>
      </c>
      <c r="BE3100" s="189"/>
    </row>
    <row r="3101">
      <c r="A3101" s="44">
        <v>2925.0</v>
      </c>
      <c r="B3101" s="129" t="s">
        <v>523</v>
      </c>
      <c r="C3101" s="62" t="s">
        <v>115</v>
      </c>
      <c r="D3101" s="62" t="s">
        <v>248</v>
      </c>
      <c r="F3101" s="68" t="s">
        <v>18573</v>
      </c>
      <c r="G3101" s="68" t="s">
        <v>18592</v>
      </c>
      <c r="H3101" s="68" t="s">
        <v>249</v>
      </c>
      <c r="I3101" s="529">
        <v>45812.0</v>
      </c>
      <c r="J3101" s="862"/>
      <c r="K3101" s="68" t="s">
        <v>18593</v>
      </c>
      <c r="L3101" s="68"/>
      <c r="M3101" s="68" t="s">
        <v>18576</v>
      </c>
      <c r="N3101" s="68" t="s">
        <v>18577</v>
      </c>
      <c r="O3101" s="68"/>
      <c r="P3101" s="573" t="s">
        <v>18578</v>
      </c>
      <c r="Q3101" s="2375" t="str">
        <f> hyperlink(vlookup(lower(N3101),'File Links'!E:F, 2, FALSE), "LINK")</f>
        <v>LINK</v>
      </c>
      <c r="R3101" s="68" t="s">
        <v>18579</v>
      </c>
      <c r="S3101" s="68" t="s">
        <v>18580</v>
      </c>
      <c r="T3101" s="68"/>
      <c r="U3101" s="68" t="s">
        <v>4426</v>
      </c>
      <c r="V3101" s="573" t="s">
        <v>18581</v>
      </c>
      <c r="W3101" s="1228"/>
      <c r="X3101" s="2376" t="str">
        <f> hyperlink(vlookup(lower(S3101),'File Links'!E:F, 2, FALSE), "LINK")</f>
        <v>LINK</v>
      </c>
      <c r="Y3101" s="68"/>
      <c r="Z3101" s="68" t="s">
        <v>947</v>
      </c>
      <c r="AA3101" s="68" t="s">
        <v>18582</v>
      </c>
      <c r="AB3101" s="68" t="s">
        <v>7291</v>
      </c>
      <c r="AC3101" s="68" t="s">
        <v>18583</v>
      </c>
      <c r="AD3101" s="68" t="s">
        <v>18594</v>
      </c>
      <c r="AE3101" s="68" t="s">
        <v>624</v>
      </c>
      <c r="AF3101" s="336">
        <v>57.0</v>
      </c>
      <c r="AG3101" s="68" t="s">
        <v>138</v>
      </c>
      <c r="AH3101" s="68" t="s">
        <v>138</v>
      </c>
      <c r="AI3101" s="68" t="s">
        <v>18595</v>
      </c>
      <c r="AJ3101" s="336">
        <v>0.95</v>
      </c>
      <c r="AK3101" s="68" t="s">
        <v>172</v>
      </c>
      <c r="AL3101" s="68" t="s">
        <v>186</v>
      </c>
      <c r="AM3101" s="68" t="s">
        <v>137</v>
      </c>
      <c r="AN3101" s="68" t="s">
        <v>138</v>
      </c>
      <c r="AO3101" s="336">
        <v>313.0</v>
      </c>
      <c r="AP3101" s="336">
        <v>-0.45</v>
      </c>
      <c r="AQ3101" s="68" t="s">
        <v>173</v>
      </c>
      <c r="AR3101" s="68" t="s">
        <v>18596</v>
      </c>
      <c r="AS3101" s="336">
        <v>0.05</v>
      </c>
      <c r="AT3101" s="68" t="s">
        <v>135</v>
      </c>
      <c r="AU3101" s="68" t="s">
        <v>186</v>
      </c>
      <c r="AV3101" s="68" t="s">
        <v>137</v>
      </c>
      <c r="AW3101" s="435" t="s">
        <v>18587</v>
      </c>
      <c r="AX3101" s="68" t="s">
        <v>143</v>
      </c>
      <c r="AY3101" s="61" t="str">
        <f>IFERROR(__xludf.DUMMYFUNCTION("vlookup(BB3101,importrange(""https://docs.google.com/spreadsheets/d/1d2vevQ_7D_v35q4wCQ4RpQ_IPoTwEMB9Yp6ymwlPqew/edit?gid=984458430#gid=984458430"", ""'replication success'!A:K""), 11, FAlSE)"),"#N/A")</f>
        <v>#N/A</v>
      </c>
      <c r="AZ3101" s="61" t="str">
        <f>IFERROR(__xludf.DUMMYFUNCTION("vlookup(BB3101,importrange(""https://docs.google.com/spreadsheets/d/1d2vevQ_7D_v35q4wCQ4RpQ_IPoTwEMB9Yp6ymwlPqew/edit?gid=984458430#gid=984458430"", ""'replication success'!A:M""), 12, FAlSE)"),"#N/A")</f>
        <v>#N/A</v>
      </c>
      <c r="BA3101" s="61" t="str">
        <f>IFERROR(__xludf.DUMMYFUNCTION("vlookup(BB3101,importrange(""https://docs.google.com/spreadsheets/d/1d2vevQ_7D_v35q4wCQ4RpQ_IPoTwEMB9Yp6ymwlPqew/edit?gid=984458430#gid=984458430"", ""'replication success'!A:M""), 13, FAlSE)"),"#N/A")</f>
        <v>#N/A</v>
      </c>
      <c r="BB3101" s="61" t="str">
        <f>IFERROR(__xludf.DUMMYFUNCTION("REGEXREPLACE(G3101, ""_[a-z]{1,2}$"", """")"),"CORE_86")</f>
        <v>CORE_86</v>
      </c>
      <c r="BD3101" s="62" t="s">
        <v>7302</v>
      </c>
    </row>
    <row r="3102">
      <c r="A3102" s="44">
        <v>2976.0</v>
      </c>
      <c r="B3102" s="205" t="s">
        <v>114</v>
      </c>
      <c r="C3102" s="199" t="s">
        <v>115</v>
      </c>
      <c r="D3102" s="199" t="s">
        <v>15473</v>
      </c>
      <c r="E3102" s="200"/>
      <c r="F3102" s="201" t="s">
        <v>15528</v>
      </c>
      <c r="G3102" s="201" t="s">
        <v>15529</v>
      </c>
      <c r="H3102" s="201" t="s">
        <v>17461</v>
      </c>
      <c r="I3102" s="203">
        <v>45331.0</v>
      </c>
      <c r="J3102" s="2399">
        <v>45828.0</v>
      </c>
      <c r="K3102" s="204"/>
      <c r="L3102" s="205" t="s">
        <v>18597</v>
      </c>
      <c r="M3102" s="201" t="s">
        <v>15531</v>
      </c>
      <c r="N3102" s="201" t="s">
        <v>15532</v>
      </c>
      <c r="O3102" s="759">
        <v>1.0</v>
      </c>
      <c r="P3102" s="201" t="s">
        <v>15533</v>
      </c>
      <c r="Q3102" s="2380" t="str">
        <f> hyperlink(vlookup(lower(N3102),'File Links'!E:F, 2, FALSE), "LINK")</f>
        <v>LINK</v>
      </c>
      <c r="R3102" s="201" t="s">
        <v>15534</v>
      </c>
      <c r="S3102" s="201" t="s">
        <v>15535</v>
      </c>
      <c r="T3102" s="204"/>
      <c r="U3102" s="759">
        <v>1.0</v>
      </c>
      <c r="V3102" s="201" t="s">
        <v>15536</v>
      </c>
      <c r="W3102" s="206" t="s">
        <v>1122</v>
      </c>
      <c r="X3102" s="2381" t="str">
        <f> hyperlink(vlookup(lower(S3102),'File Links'!E:F, 2, FALSE), "LINK")</f>
        <v>LINK</v>
      </c>
      <c r="Y3102" s="204"/>
      <c r="Z3102" s="201" t="s">
        <v>947</v>
      </c>
      <c r="AA3102" s="201" t="s">
        <v>15537</v>
      </c>
      <c r="AB3102" s="201" t="s">
        <v>18598</v>
      </c>
      <c r="AC3102" s="201" t="s">
        <v>18599</v>
      </c>
      <c r="AD3102" s="205" t="s">
        <v>18600</v>
      </c>
      <c r="AE3102" s="2483">
        <v>45750.0</v>
      </c>
      <c r="AF3102" s="759">
        <v>614.0</v>
      </c>
      <c r="AG3102" s="204" t="s">
        <v>18601</v>
      </c>
      <c r="AH3102" s="204" t="s">
        <v>134</v>
      </c>
      <c r="AI3102" s="204" t="s">
        <v>507</v>
      </c>
      <c r="AJ3102" s="759">
        <v>0.001</v>
      </c>
      <c r="AK3102" s="204" t="s">
        <v>135</v>
      </c>
      <c r="AL3102" s="68" t="s">
        <v>186</v>
      </c>
      <c r="AM3102" s="204" t="s">
        <v>137</v>
      </c>
      <c r="AN3102" s="204"/>
      <c r="AO3102" s="759">
        <v>2203.0</v>
      </c>
      <c r="AP3102" s="207">
        <v>-1.25</v>
      </c>
      <c r="AQ3102" s="206" t="s">
        <v>173</v>
      </c>
      <c r="AR3102" s="204" t="s">
        <v>882</v>
      </c>
      <c r="AS3102" s="759">
        <v>0.001</v>
      </c>
      <c r="AT3102" s="204" t="s">
        <v>135</v>
      </c>
      <c r="AU3102" s="204" t="s">
        <v>186</v>
      </c>
      <c r="AV3102" s="204" t="s">
        <v>137</v>
      </c>
      <c r="AW3102" s="2382" t="s">
        <v>18602</v>
      </c>
      <c r="AX3102" s="204" t="s">
        <v>143</v>
      </c>
      <c r="AY3102" s="61" t="str">
        <f>IFERROR(__xludf.DUMMYFUNCTION("vlookup(BB3102,importrange(""https://docs.google.com/spreadsheets/d/1d2vevQ_7D_v35q4wCQ4RpQ_IPoTwEMB9Yp6ymwlPqew/edit?gid=984458430#gid=984458430"", ""'replication success'!A:K""), 11, FAlSE)"),"mixed")</f>
        <v>mixed</v>
      </c>
      <c r="AZ3102" s="61" t="str">
        <f>IFERROR(__xludf.DUMMYFUNCTION("vlookup(BB3102,importrange(""https://docs.google.com/spreadsheets/d/1d2vevQ_7D_v35q4wCQ4RpQ_IPoTwEMB9Yp6ymwlPqew/edit?gid=984458430#gid=984458430"", ""'replication success'!A:M""), 12, FAlSE)"),"We conducted two pre-registered replication studies (total: N = 3302, 
MTurk/Prolific) of Study 1 in Heyman and Ariely (2004) and found support for one of their 
main claims that people are more sensitive to worth when the reward is cash than goods. 
H"&amp;"owever, the rewards’ monetary worth impacted expected willingness to help even in 
social markets, deviating from the original findings.")</f>
        <v>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v>
      </c>
      <c r="BA3102" s="61" t="str">
        <f>IFERROR(__xludf.DUMMYFUNCTION("vlookup(BB3102,importrange(""https://docs.google.com/spreadsheets/d/1d2vevQ_7D_v35q4wCQ4RpQ_IPoTwEMB9Yp6ymwlPqew/edit?gid=984458430#gid=984458430"", ""'replication success'!A:M""), 13, FAlSE)"),"abstract")</f>
        <v>abstract</v>
      </c>
      <c r="BB3102" s="61" t="str">
        <f>IFERROR(__xludf.DUMMYFUNCTION("REGEXREPLACE(G3102, ""_[a-z]{1,2}$"", """")"),"CORE_9")</f>
        <v>CORE_9</v>
      </c>
      <c r="BC3102" s="200"/>
      <c r="BD3102" s="199" t="s">
        <v>814</v>
      </c>
      <c r="BE3102" s="200"/>
    </row>
    <row r="3103">
      <c r="A3103" s="44">
        <v>2926.0</v>
      </c>
      <c r="B3103" s="129" t="s">
        <v>152</v>
      </c>
      <c r="C3103" s="62" t="s">
        <v>115</v>
      </c>
      <c r="D3103" s="62" t="s">
        <v>248</v>
      </c>
      <c r="F3103" s="68" t="s">
        <v>18603</v>
      </c>
      <c r="G3103" s="68" t="s">
        <v>18604</v>
      </c>
      <c r="H3103" s="68" t="s">
        <v>249</v>
      </c>
      <c r="I3103" s="529">
        <v>45812.0</v>
      </c>
      <c r="J3103" s="540">
        <v>45842.0</v>
      </c>
      <c r="K3103" s="68"/>
      <c r="L3103" s="129" t="s">
        <v>18605</v>
      </c>
      <c r="M3103" s="68" t="s">
        <v>18606</v>
      </c>
      <c r="N3103" s="68" t="s">
        <v>18607</v>
      </c>
      <c r="O3103" s="129">
        <v>1.0</v>
      </c>
      <c r="P3103" s="573" t="s">
        <v>18608</v>
      </c>
      <c r="Q3103" s="2375" t="str">
        <f> hyperlink(vlookup(lower(N3103),'File Links'!E:F, 2, FALSE), "LINK")</f>
        <v>LINK</v>
      </c>
      <c r="R3103" s="68" t="s">
        <v>18609</v>
      </c>
      <c r="S3103" s="68" t="s">
        <v>18610</v>
      </c>
      <c r="T3103" s="68"/>
      <c r="U3103" s="129">
        <v>1.0</v>
      </c>
      <c r="V3103" s="573" t="s">
        <v>18611</v>
      </c>
      <c r="W3103" s="206" t="s">
        <v>1122</v>
      </c>
      <c r="X3103" s="2376" t="str">
        <f> hyperlink(vlookup(lower(S3103),'File Links'!E:F, 2, FALSE), "LINK")</f>
        <v>LINK</v>
      </c>
      <c r="Y3103" s="68"/>
      <c r="Z3103" s="68" t="s">
        <v>947</v>
      </c>
      <c r="AA3103" s="68" t="s">
        <v>18425</v>
      </c>
      <c r="AB3103" s="68" t="s">
        <v>7291</v>
      </c>
      <c r="AC3103" s="68" t="s">
        <v>18612</v>
      </c>
      <c r="AD3103" s="129" t="s">
        <v>18613</v>
      </c>
      <c r="AE3103" s="68" t="s">
        <v>496</v>
      </c>
      <c r="AF3103" s="336">
        <v>86.0</v>
      </c>
      <c r="AG3103" s="68" t="s">
        <v>138</v>
      </c>
      <c r="AH3103" s="68" t="s">
        <v>138</v>
      </c>
      <c r="AI3103" s="68" t="s">
        <v>18614</v>
      </c>
      <c r="AJ3103" s="68" t="s">
        <v>138</v>
      </c>
      <c r="AK3103" s="68" t="s">
        <v>138</v>
      </c>
      <c r="AL3103" s="2475" t="s">
        <v>186</v>
      </c>
      <c r="AM3103" s="2475" t="s">
        <v>137</v>
      </c>
      <c r="AN3103" s="68" t="s">
        <v>138</v>
      </c>
      <c r="AO3103" s="336">
        <v>1203.0</v>
      </c>
      <c r="AP3103" s="336">
        <v>1.39</v>
      </c>
      <c r="AQ3103" s="68" t="s">
        <v>602</v>
      </c>
      <c r="AR3103" s="68" t="s">
        <v>18615</v>
      </c>
      <c r="AS3103" s="336">
        <v>0.001</v>
      </c>
      <c r="AT3103" s="68" t="s">
        <v>135</v>
      </c>
      <c r="AU3103" s="68" t="s">
        <v>136</v>
      </c>
      <c r="AV3103" s="68" t="s">
        <v>137</v>
      </c>
      <c r="AW3103" s="435" t="s">
        <v>18616</v>
      </c>
      <c r="AX3103" s="68" t="s">
        <v>143</v>
      </c>
      <c r="AY3103" s="61" t="str">
        <f>IFERROR(__xludf.DUMMYFUNCTION("vlookup(BB3103,importrange(""https://docs.google.com/spreadsheets/d/1d2vevQ_7D_v35q4wCQ4RpQ_IPoTwEMB9Yp6ymwlPqew/edit?gid=984458430#gid=984458430"", ""'replication success'!A:K""), 11, FAlSE)"),"#N/A")</f>
        <v>#N/A</v>
      </c>
      <c r="AZ3103" s="61" t="str">
        <f>IFERROR(__xludf.DUMMYFUNCTION("vlookup(BB3103,importrange(""https://docs.google.com/spreadsheets/d/1d2vevQ_7D_v35q4wCQ4RpQ_IPoTwEMB9Yp6ymwlPqew/edit?gid=984458430#gid=984458430"", ""'replication success'!A:M""), 12, FAlSE)"),"#N/A")</f>
        <v>#N/A</v>
      </c>
      <c r="BA3103" s="61" t="str">
        <f>IFERROR(__xludf.DUMMYFUNCTION("vlookup(BB3103,importrange(""https://docs.google.com/spreadsheets/d/1d2vevQ_7D_v35q4wCQ4RpQ_IPoTwEMB9Yp6ymwlPqew/edit?gid=984458430#gid=984458430"", ""'replication success'!A:M""), 13, FAlSE)"),"#N/A")</f>
        <v>#N/A</v>
      </c>
      <c r="BB3103" s="61" t="str">
        <f>IFERROR(__xludf.DUMMYFUNCTION("REGEXREPLACE(G3103, ""_[a-z]{1,2}$"", """")"),"CORE_91")</f>
        <v>CORE_91</v>
      </c>
      <c r="BD3103" s="62" t="s">
        <v>1270</v>
      </c>
    </row>
    <row r="3104">
      <c r="A3104" s="44">
        <v>2997.0</v>
      </c>
      <c r="B3104" s="129" t="s">
        <v>114</v>
      </c>
      <c r="C3104" s="62" t="s">
        <v>115</v>
      </c>
      <c r="D3104" s="62" t="s">
        <v>15473</v>
      </c>
      <c r="F3104" s="68" t="s">
        <v>18603</v>
      </c>
      <c r="G3104" s="159" t="s">
        <v>18604</v>
      </c>
      <c r="H3104" s="159" t="s">
        <v>18250</v>
      </c>
      <c r="I3104" s="152">
        <v>45331.0</v>
      </c>
      <c r="J3104" s="540">
        <v>45842.0</v>
      </c>
      <c r="K3104" s="68" t="s">
        <v>18617</v>
      </c>
      <c r="L3104" s="129" t="s">
        <v>18618</v>
      </c>
      <c r="M3104" s="159" t="s">
        <v>18606</v>
      </c>
      <c r="N3104" s="159" t="s">
        <v>18607</v>
      </c>
      <c r="O3104" s="336">
        <v>1.0</v>
      </c>
      <c r="P3104" s="159" t="s">
        <v>18608</v>
      </c>
      <c r="Q3104" s="2174" t="str">
        <f> hyperlink(vlookup(lower(N3104),'File Links'!E:F, 2, FALSE), "LINK")</f>
        <v>LINK</v>
      </c>
      <c r="R3104" s="159" t="s">
        <v>18609</v>
      </c>
      <c r="S3104" s="159" t="s">
        <v>18610</v>
      </c>
      <c r="T3104" s="68"/>
      <c r="U3104" s="336">
        <v>1.0</v>
      </c>
      <c r="V3104" s="159" t="s">
        <v>18611</v>
      </c>
      <c r="W3104" s="206" t="s">
        <v>1122</v>
      </c>
      <c r="X3104" s="2400" t="str">
        <f> hyperlink(vlookup(lower(S3104),'File Links'!E:F, 2, FALSE), "LINK")</f>
        <v>LINK</v>
      </c>
      <c r="Y3104" s="68"/>
      <c r="Z3104" s="159" t="s">
        <v>947</v>
      </c>
      <c r="AA3104" s="159" t="s">
        <v>18425</v>
      </c>
      <c r="AB3104" s="159" t="s">
        <v>7291</v>
      </c>
      <c r="AC3104" s="159" t="s">
        <v>18612</v>
      </c>
      <c r="AD3104" s="129" t="s">
        <v>18619</v>
      </c>
      <c r="AE3104" s="336">
        <v>4.0</v>
      </c>
      <c r="AF3104" s="336">
        <v>86.0</v>
      </c>
      <c r="AG3104" s="68" t="s">
        <v>138</v>
      </c>
      <c r="AH3104" s="68" t="s">
        <v>138</v>
      </c>
      <c r="AI3104" s="68" t="s">
        <v>18614</v>
      </c>
      <c r="AJ3104" s="68" t="s">
        <v>138</v>
      </c>
      <c r="AK3104" s="68" t="s">
        <v>138</v>
      </c>
      <c r="AL3104" s="2475" t="s">
        <v>186</v>
      </c>
      <c r="AM3104" s="2475" t="s">
        <v>137</v>
      </c>
      <c r="AN3104" s="129" t="s">
        <v>138</v>
      </c>
      <c r="AO3104" s="336">
        <v>1203.0</v>
      </c>
      <c r="AP3104" s="336">
        <v>1.39</v>
      </c>
      <c r="AQ3104" s="68" t="s">
        <v>602</v>
      </c>
      <c r="AR3104" s="68" t="s">
        <v>18615</v>
      </c>
      <c r="AS3104" s="336">
        <v>0.001</v>
      </c>
      <c r="AT3104" s="68" t="s">
        <v>135</v>
      </c>
      <c r="AU3104" s="68" t="s">
        <v>136</v>
      </c>
      <c r="AV3104" s="68" t="s">
        <v>137</v>
      </c>
      <c r="AW3104" s="435" t="s">
        <v>18616</v>
      </c>
      <c r="AX3104" s="68" t="s">
        <v>143</v>
      </c>
      <c r="AY3104" s="61" t="str">
        <f>IFERROR(__xludf.DUMMYFUNCTION("vlookup(BB3104,importrange(""https://docs.google.com/spreadsheets/d/1d2vevQ_7D_v35q4wCQ4RpQ_IPoTwEMB9Yp6ymwlPqew/edit?gid=984458430#gid=984458430"", ""'replication success'!A:K""), 11, FAlSE)"),"#N/A")</f>
        <v>#N/A</v>
      </c>
      <c r="AZ3104" s="61" t="str">
        <f>IFERROR(__xludf.DUMMYFUNCTION("vlookup(BB3104,importrange(""https://docs.google.com/spreadsheets/d/1d2vevQ_7D_v35q4wCQ4RpQ_IPoTwEMB9Yp6ymwlPqew/edit?gid=984458430#gid=984458430"", ""'replication success'!A:M""), 12, FAlSE)"),"#N/A")</f>
        <v>#N/A</v>
      </c>
      <c r="BA3104" s="61" t="str">
        <f>IFERROR(__xludf.DUMMYFUNCTION("vlookup(BB3104,importrange(""https://docs.google.com/spreadsheets/d/1d2vevQ_7D_v35q4wCQ4RpQ_IPoTwEMB9Yp6ymwlPqew/edit?gid=984458430#gid=984458430"", ""'replication success'!A:M""), 13, FAlSE)"),"#N/A")</f>
        <v>#N/A</v>
      </c>
      <c r="BB3104" s="61" t="str">
        <f>IFERROR(__xludf.DUMMYFUNCTION("REGEXREPLACE(G3104, ""_[a-z]{1,2}$"", """")"),"CORE_91")</f>
        <v>CORE_91</v>
      </c>
      <c r="BD3104" s="62" t="s">
        <v>1270</v>
      </c>
    </row>
    <row r="3105">
      <c r="A3105" s="44">
        <v>2927.0</v>
      </c>
      <c r="B3105" s="129" t="s">
        <v>152</v>
      </c>
      <c r="C3105" s="62" t="s">
        <v>115</v>
      </c>
      <c r="D3105" s="62" t="s">
        <v>248</v>
      </c>
      <c r="F3105" s="68" t="s">
        <v>18603</v>
      </c>
      <c r="G3105" s="68" t="s">
        <v>18620</v>
      </c>
      <c r="H3105" s="68" t="s">
        <v>249</v>
      </c>
      <c r="I3105" s="529">
        <v>45812.0</v>
      </c>
      <c r="J3105" s="540">
        <v>45842.0</v>
      </c>
      <c r="K3105" s="68"/>
      <c r="L3105" s="129" t="s">
        <v>18605</v>
      </c>
      <c r="M3105" s="68" t="s">
        <v>18606</v>
      </c>
      <c r="N3105" s="68" t="s">
        <v>18607</v>
      </c>
      <c r="O3105" s="129">
        <v>1.0</v>
      </c>
      <c r="P3105" s="573" t="s">
        <v>18608</v>
      </c>
      <c r="Q3105" s="2375" t="str">
        <f> hyperlink(vlookup(lower(N3105),'File Links'!E:F, 2, FALSE), "LINK")</f>
        <v>LINK</v>
      </c>
      <c r="R3105" s="68" t="s">
        <v>18609</v>
      </c>
      <c r="S3105" s="68" t="s">
        <v>18610</v>
      </c>
      <c r="T3105" s="68"/>
      <c r="U3105" s="129">
        <v>1.0</v>
      </c>
      <c r="V3105" s="573" t="s">
        <v>18611</v>
      </c>
      <c r="W3105" s="206" t="s">
        <v>1122</v>
      </c>
      <c r="X3105" s="2376" t="str">
        <f> hyperlink(vlookup(lower(S3105),'File Links'!E:F, 2, FALSE), "LINK")</f>
        <v>LINK</v>
      </c>
      <c r="Y3105" s="68"/>
      <c r="Z3105" s="68" t="s">
        <v>947</v>
      </c>
      <c r="AA3105" s="68" t="s">
        <v>18425</v>
      </c>
      <c r="AB3105" s="68" t="s">
        <v>7291</v>
      </c>
      <c r="AC3105" s="68" t="s">
        <v>18612</v>
      </c>
      <c r="AD3105" s="68" t="s">
        <v>18621</v>
      </c>
      <c r="AE3105" s="68" t="s">
        <v>496</v>
      </c>
      <c r="AF3105" s="336">
        <v>75.0</v>
      </c>
      <c r="AG3105" s="68" t="s">
        <v>138</v>
      </c>
      <c r="AH3105" s="68" t="s">
        <v>138</v>
      </c>
      <c r="AI3105" s="68" t="s">
        <v>18622</v>
      </c>
      <c r="AJ3105" s="68" t="s">
        <v>138</v>
      </c>
      <c r="AK3105" s="68" t="s">
        <v>138</v>
      </c>
      <c r="AL3105" s="2475" t="s">
        <v>186</v>
      </c>
      <c r="AM3105" s="2475" t="s">
        <v>137</v>
      </c>
      <c r="AN3105" s="68" t="s">
        <v>138</v>
      </c>
      <c r="AO3105" s="336">
        <v>1203.0</v>
      </c>
      <c r="AP3105" s="336">
        <v>1.19</v>
      </c>
      <c r="AQ3105" s="68" t="s">
        <v>602</v>
      </c>
      <c r="AR3105" s="68" t="s">
        <v>18623</v>
      </c>
      <c r="AS3105" s="336">
        <v>0.001</v>
      </c>
      <c r="AT3105" s="68" t="s">
        <v>135</v>
      </c>
      <c r="AU3105" s="68" t="s">
        <v>136</v>
      </c>
      <c r="AV3105" s="68" t="s">
        <v>137</v>
      </c>
      <c r="AW3105" s="435" t="s">
        <v>18616</v>
      </c>
      <c r="AX3105" s="68" t="s">
        <v>143</v>
      </c>
      <c r="AY3105" s="61" t="str">
        <f>IFERROR(__xludf.DUMMYFUNCTION("vlookup(BB3105,importrange(""https://docs.google.com/spreadsheets/d/1d2vevQ_7D_v35q4wCQ4RpQ_IPoTwEMB9Yp6ymwlPqew/edit?gid=984458430#gid=984458430"", ""'replication success'!A:K""), 11, FAlSE)"),"#N/A")</f>
        <v>#N/A</v>
      </c>
      <c r="AZ3105" s="61" t="str">
        <f>IFERROR(__xludf.DUMMYFUNCTION("vlookup(BB3105,importrange(""https://docs.google.com/spreadsheets/d/1d2vevQ_7D_v35q4wCQ4RpQ_IPoTwEMB9Yp6ymwlPqew/edit?gid=984458430#gid=984458430"", ""'replication success'!A:M""), 12, FAlSE)"),"#N/A")</f>
        <v>#N/A</v>
      </c>
      <c r="BA3105" s="61" t="str">
        <f>IFERROR(__xludf.DUMMYFUNCTION("vlookup(BB3105,importrange(""https://docs.google.com/spreadsheets/d/1d2vevQ_7D_v35q4wCQ4RpQ_IPoTwEMB9Yp6ymwlPqew/edit?gid=984458430#gid=984458430"", ""'replication success'!A:M""), 13, FAlSE)"),"#N/A")</f>
        <v>#N/A</v>
      </c>
      <c r="BB3105" s="61" t="str">
        <f>IFERROR(__xludf.DUMMYFUNCTION("REGEXREPLACE(G3105, ""_[a-z]{1,2}$"", """")"),"CORE_91")</f>
        <v>CORE_91</v>
      </c>
      <c r="BD3105" s="62" t="s">
        <v>1270</v>
      </c>
    </row>
    <row r="3106">
      <c r="A3106" s="44">
        <v>2928.0</v>
      </c>
      <c r="B3106" s="129" t="s">
        <v>523</v>
      </c>
      <c r="C3106" s="62" t="s">
        <v>115</v>
      </c>
      <c r="D3106" s="62" t="s">
        <v>248</v>
      </c>
      <c r="F3106" s="68" t="s">
        <v>18624</v>
      </c>
      <c r="G3106" s="68" t="s">
        <v>18625</v>
      </c>
      <c r="H3106" s="68" t="s">
        <v>249</v>
      </c>
      <c r="I3106" s="529">
        <v>45812.0</v>
      </c>
      <c r="J3106" s="540">
        <v>45842.0</v>
      </c>
      <c r="K3106" s="68"/>
      <c r="L3106" s="129" t="s">
        <v>18626</v>
      </c>
      <c r="M3106" s="68" t="s">
        <v>18627</v>
      </c>
      <c r="N3106" s="68" t="s">
        <v>18628</v>
      </c>
      <c r="O3106" s="129">
        <v>1.0</v>
      </c>
      <c r="P3106" s="573" t="s">
        <v>18629</v>
      </c>
      <c r="Q3106" s="2375" t="str">
        <f> hyperlink(vlookup(lower(N3106),'File Links'!E:F, 2, FALSE), "LINK")</f>
        <v>LINK</v>
      </c>
      <c r="R3106" s="68" t="s">
        <v>18630</v>
      </c>
      <c r="S3106" s="68" t="s">
        <v>18631</v>
      </c>
      <c r="T3106" s="68"/>
      <c r="U3106" s="68" t="s">
        <v>4187</v>
      </c>
      <c r="V3106" s="573" t="s">
        <v>18632</v>
      </c>
      <c r="W3106" s="206" t="s">
        <v>1122</v>
      </c>
      <c r="X3106" s="2376" t="str">
        <f> hyperlink(vlookup(lower(S3106),'File Links'!E:F, 2, FALSE), "LINK")</f>
        <v>LINK</v>
      </c>
      <c r="Y3106" s="68"/>
      <c r="Z3106" s="68" t="s">
        <v>947</v>
      </c>
      <c r="AA3106" s="68" t="s">
        <v>18633</v>
      </c>
      <c r="AB3106" s="68" t="s">
        <v>7291</v>
      </c>
      <c r="AC3106" s="68" t="s">
        <v>18634</v>
      </c>
      <c r="AD3106" s="68" t="s">
        <v>18635</v>
      </c>
      <c r="AE3106" s="68" t="s">
        <v>496</v>
      </c>
      <c r="AF3106" s="336">
        <v>51.0</v>
      </c>
      <c r="AG3106" s="68" t="s">
        <v>18636</v>
      </c>
      <c r="AH3106" s="68" t="s">
        <v>134</v>
      </c>
      <c r="AI3106" s="68" t="s">
        <v>18637</v>
      </c>
      <c r="AJ3106" s="336">
        <v>0.001</v>
      </c>
      <c r="AK3106" s="68" t="s">
        <v>135</v>
      </c>
      <c r="AL3106" s="68" t="s">
        <v>186</v>
      </c>
      <c r="AM3106" s="68" t="s">
        <v>137</v>
      </c>
      <c r="AN3106" s="68" t="s">
        <v>138</v>
      </c>
      <c r="AO3106" s="336">
        <v>104.0</v>
      </c>
      <c r="AP3106" s="336">
        <v>0.6</v>
      </c>
      <c r="AQ3106" s="68" t="s">
        <v>173</v>
      </c>
      <c r="AR3106" s="68" t="s">
        <v>18638</v>
      </c>
      <c r="AS3106" s="336">
        <v>0.001</v>
      </c>
      <c r="AT3106" s="68" t="s">
        <v>135</v>
      </c>
      <c r="AU3106" s="68" t="s">
        <v>186</v>
      </c>
      <c r="AV3106" s="68" t="s">
        <v>137</v>
      </c>
      <c r="AW3106" s="435" t="s">
        <v>18639</v>
      </c>
      <c r="AX3106" s="68" t="s">
        <v>143</v>
      </c>
      <c r="AY3106" s="61" t="str">
        <f>IFERROR(__xludf.DUMMYFUNCTION("vlookup(BB3106,importrange(""https://docs.google.com/spreadsheets/d/1d2vevQ_7D_v35q4wCQ4RpQ_IPoTwEMB9Yp6ymwlPqew/edit?gid=984458430#gid=984458430"", ""'replication success'!A:K""), 11, FAlSE)"),"#N/A")</f>
        <v>#N/A</v>
      </c>
      <c r="AZ3106" s="61" t="str">
        <f>IFERROR(__xludf.DUMMYFUNCTION("vlookup(BB3106,importrange(""https://docs.google.com/spreadsheets/d/1d2vevQ_7D_v35q4wCQ4RpQ_IPoTwEMB9Yp6ymwlPqew/edit?gid=984458430#gid=984458430"", ""'replication success'!A:M""), 12, FAlSE)"),"#N/A")</f>
        <v>#N/A</v>
      </c>
      <c r="BA3106" s="61" t="str">
        <f>IFERROR(__xludf.DUMMYFUNCTION("vlookup(BB3106,importrange(""https://docs.google.com/spreadsheets/d/1d2vevQ_7D_v35q4wCQ4RpQ_IPoTwEMB9Yp6ymwlPqew/edit?gid=984458430#gid=984458430"", ""'replication success'!A:M""), 13, FAlSE)"),"#N/A")</f>
        <v>#N/A</v>
      </c>
      <c r="BB3106" s="61" t="str">
        <f>IFERROR(__xludf.DUMMYFUNCTION("REGEXREPLACE(G3106, ""_[a-z]{1,2}$"", """")"),"CORE_97")</f>
        <v>CORE_97</v>
      </c>
      <c r="BD3106" s="62" t="s">
        <v>7302</v>
      </c>
    </row>
    <row r="3107">
      <c r="A3107" s="451">
        <v>2998.0</v>
      </c>
      <c r="B3107" s="205" t="s">
        <v>114</v>
      </c>
      <c r="C3107" s="199" t="s">
        <v>115</v>
      </c>
      <c r="D3107" s="199" t="s">
        <v>15473</v>
      </c>
      <c r="E3107" s="200"/>
      <c r="F3107" s="204" t="s">
        <v>18624</v>
      </c>
      <c r="G3107" s="201" t="s">
        <v>18625</v>
      </c>
      <c r="H3107" s="201" t="s">
        <v>17483</v>
      </c>
      <c r="I3107" s="203">
        <v>45331.0</v>
      </c>
      <c r="J3107" s="2484">
        <v>45842.0</v>
      </c>
      <c r="K3107" s="204"/>
      <c r="L3107" s="205" t="s">
        <v>18640</v>
      </c>
      <c r="M3107" s="201" t="s">
        <v>18627</v>
      </c>
      <c r="N3107" s="201" t="s">
        <v>18628</v>
      </c>
      <c r="O3107" s="759">
        <v>1.0</v>
      </c>
      <c r="P3107" s="201" t="s">
        <v>18629</v>
      </c>
      <c r="Q3107" s="2380" t="str">
        <f> hyperlink(vlookup(lower(N3107),'File Links'!E:F, 2, FALSE), "LINK")</f>
        <v>LINK</v>
      </c>
      <c r="R3107" s="201" t="s">
        <v>18630</v>
      </c>
      <c r="S3107" s="201" t="s">
        <v>18631</v>
      </c>
      <c r="T3107" s="204"/>
      <c r="U3107" s="759">
        <v>1.0</v>
      </c>
      <c r="V3107" s="201" t="s">
        <v>18632</v>
      </c>
      <c r="W3107" s="206" t="s">
        <v>1122</v>
      </c>
      <c r="X3107" s="2381" t="str">
        <f> hyperlink(vlookup(lower(S3107),'File Links'!E:F, 2, FALSE), "LINK")</f>
        <v>LINK</v>
      </c>
      <c r="Y3107" s="204"/>
      <c r="Z3107" s="201" t="s">
        <v>947</v>
      </c>
      <c r="AA3107" s="201" t="s">
        <v>18641</v>
      </c>
      <c r="AB3107" s="201" t="s">
        <v>7291</v>
      </c>
      <c r="AC3107" s="201" t="s">
        <v>18634</v>
      </c>
      <c r="AD3107" s="205" t="s">
        <v>18642</v>
      </c>
      <c r="AE3107" s="759">
        <v>4.0</v>
      </c>
      <c r="AF3107" s="759">
        <v>50.0</v>
      </c>
      <c r="AG3107" s="204" t="s">
        <v>18643</v>
      </c>
      <c r="AH3107" s="204" t="s">
        <v>134</v>
      </c>
      <c r="AI3107" s="204" t="s">
        <v>496</v>
      </c>
      <c r="AJ3107" s="759">
        <v>0.001</v>
      </c>
      <c r="AK3107" s="204" t="s">
        <v>135</v>
      </c>
      <c r="AL3107" s="851" t="s">
        <v>186</v>
      </c>
      <c r="AM3107" s="204" t="s">
        <v>137</v>
      </c>
      <c r="AN3107" s="204"/>
      <c r="AO3107" s="2485">
        <v>104.0</v>
      </c>
      <c r="AP3107" s="2485">
        <v>2.6</v>
      </c>
      <c r="AQ3107" s="851" t="s">
        <v>173</v>
      </c>
      <c r="AR3107" s="851" t="s">
        <v>18644</v>
      </c>
      <c r="AS3107" s="2485">
        <v>0.001</v>
      </c>
      <c r="AT3107" s="851" t="s">
        <v>135</v>
      </c>
      <c r="AU3107" s="851" t="s">
        <v>186</v>
      </c>
      <c r="AV3107" s="204" t="s">
        <v>137</v>
      </c>
      <c r="AW3107" s="2183" t="s">
        <v>18639</v>
      </c>
      <c r="AX3107" s="204" t="s">
        <v>143</v>
      </c>
      <c r="AY3107" s="61" t="str">
        <f>IFERROR(__xludf.DUMMYFUNCTION("vlookup(BB3107,importrange(""https://docs.google.com/spreadsheets/d/1d2vevQ_7D_v35q4wCQ4RpQ_IPoTwEMB9Yp6ymwlPqew/edit?gid=984458430#gid=984458430"", ""'replication success'!A:K""), 11, FAlSE)"),"#N/A")</f>
        <v>#N/A</v>
      </c>
      <c r="AZ3107" s="61" t="str">
        <f>IFERROR(__xludf.DUMMYFUNCTION("vlookup(BB3107,importrange(""https://docs.google.com/spreadsheets/d/1d2vevQ_7D_v35q4wCQ4RpQ_IPoTwEMB9Yp6ymwlPqew/edit?gid=984458430#gid=984458430"", ""'replication success'!A:M""), 12, FAlSE)"),"#N/A")</f>
        <v>#N/A</v>
      </c>
      <c r="BA3107" s="61" t="str">
        <f>IFERROR(__xludf.DUMMYFUNCTION("vlookup(BB3107,importrange(""https://docs.google.com/spreadsheets/d/1d2vevQ_7D_v35q4wCQ4RpQ_IPoTwEMB9Yp6ymwlPqew/edit?gid=984458430#gid=984458430"", ""'replication success'!A:M""), 13, FAlSE)"),"#N/A")</f>
        <v>#N/A</v>
      </c>
      <c r="BB3107" s="61" t="str">
        <f>IFERROR(__xludf.DUMMYFUNCTION("REGEXREPLACE(G3107, ""_[a-z]{1,2}$"", """")"),"CORE_97")</f>
        <v>CORE_97</v>
      </c>
      <c r="BC3107" s="199" t="s">
        <v>88</v>
      </c>
      <c r="BD3107" s="199" t="s">
        <v>1270</v>
      </c>
      <c r="BE3107" s="200"/>
      <c r="BF3107" s="200"/>
      <c r="BG3107" s="200"/>
      <c r="BH3107" s="200"/>
      <c r="BI3107" s="200"/>
      <c r="BJ3107" s="200"/>
      <c r="BK3107" s="200"/>
      <c r="BL3107" s="200"/>
      <c r="BM3107" s="200"/>
      <c r="BN3107" s="200"/>
      <c r="BO3107" s="200"/>
      <c r="BP3107" s="200"/>
      <c r="BQ3107" s="200"/>
      <c r="BR3107" s="200"/>
      <c r="BS3107" s="200"/>
      <c r="BT3107" s="200"/>
      <c r="BU3107" s="200"/>
      <c r="BV3107" s="200"/>
      <c r="BW3107" s="200"/>
      <c r="BX3107" s="200"/>
      <c r="BY3107" s="200"/>
      <c r="BZ3107" s="200"/>
      <c r="CA3107" s="200"/>
      <c r="CB3107" s="200"/>
      <c r="CC3107" s="200"/>
      <c r="CD3107" s="200"/>
      <c r="CE3107" s="200"/>
      <c r="CF3107" s="200"/>
      <c r="CG3107" s="200"/>
      <c r="CH3107" s="200"/>
      <c r="CI3107" s="200"/>
      <c r="CJ3107" s="200"/>
      <c r="CK3107" s="200"/>
      <c r="CL3107" s="200"/>
      <c r="CM3107" s="200"/>
      <c r="CN3107" s="200"/>
      <c r="CO3107" s="200"/>
      <c r="CP3107" s="200"/>
      <c r="CQ3107" s="200"/>
      <c r="CR3107" s="200"/>
      <c r="CS3107" s="200"/>
      <c r="CT3107" s="200"/>
      <c r="CU3107" s="200"/>
      <c r="CV3107" s="200"/>
      <c r="CW3107" s="200"/>
      <c r="CX3107" s="200"/>
      <c r="CY3107" s="200"/>
      <c r="CZ3107" s="200"/>
      <c r="DA3107" s="200"/>
      <c r="DB3107" s="200"/>
      <c r="DC3107" s="200"/>
      <c r="DD3107" s="200"/>
      <c r="DE3107" s="200"/>
      <c r="DF3107" s="200"/>
      <c r="DG3107" s="200"/>
      <c r="DH3107" s="200"/>
      <c r="DI3107" s="200"/>
      <c r="DJ3107" s="200"/>
      <c r="DK3107" s="200"/>
      <c r="DL3107" s="200"/>
    </row>
    <row r="3108">
      <c r="A3108" s="44">
        <v>2929.0</v>
      </c>
      <c r="B3108" s="129" t="s">
        <v>523</v>
      </c>
      <c r="C3108" s="62" t="s">
        <v>115</v>
      </c>
      <c r="D3108" s="62" t="s">
        <v>248</v>
      </c>
      <c r="F3108" s="68" t="s">
        <v>18624</v>
      </c>
      <c r="G3108" s="68" t="s">
        <v>18645</v>
      </c>
      <c r="H3108" s="68" t="s">
        <v>249</v>
      </c>
      <c r="I3108" s="529">
        <v>45812.0</v>
      </c>
      <c r="J3108" s="540">
        <v>45842.0</v>
      </c>
      <c r="K3108" s="68"/>
      <c r="L3108" s="129" t="s">
        <v>18646</v>
      </c>
      <c r="M3108" s="68" t="s">
        <v>18627</v>
      </c>
      <c r="N3108" s="68" t="s">
        <v>18628</v>
      </c>
      <c r="O3108" s="129">
        <v>1.0</v>
      </c>
      <c r="P3108" s="573" t="s">
        <v>18629</v>
      </c>
      <c r="Q3108" s="2375" t="str">
        <f> hyperlink(vlookup(lower(N3108),'File Links'!E:F, 2, FALSE), "LINK")</f>
        <v>LINK</v>
      </c>
      <c r="R3108" s="68" t="s">
        <v>18630</v>
      </c>
      <c r="S3108" s="68" t="s">
        <v>18631</v>
      </c>
      <c r="T3108" s="68"/>
      <c r="U3108" s="129">
        <v>1.0</v>
      </c>
      <c r="V3108" s="573" t="s">
        <v>18632</v>
      </c>
      <c r="W3108" s="206" t="s">
        <v>1122</v>
      </c>
      <c r="X3108" s="2376" t="str">
        <f> hyperlink(vlookup(lower(S3108),'File Links'!E:F, 2, FALSE), "LINK")</f>
        <v>LINK</v>
      </c>
      <c r="Y3108" s="68"/>
      <c r="Z3108" s="68" t="s">
        <v>947</v>
      </c>
      <c r="AA3108" s="68" t="s">
        <v>18633</v>
      </c>
      <c r="AB3108" s="68" t="s">
        <v>7291</v>
      </c>
      <c r="AC3108" s="68" t="s">
        <v>18634</v>
      </c>
      <c r="AD3108" s="68" t="s">
        <v>18647</v>
      </c>
      <c r="AE3108" s="68" t="s">
        <v>496</v>
      </c>
      <c r="AF3108" s="336">
        <v>51.0</v>
      </c>
      <c r="AG3108" s="68" t="s">
        <v>18636</v>
      </c>
      <c r="AH3108" s="68" t="s">
        <v>134</v>
      </c>
      <c r="AI3108" s="68" t="s">
        <v>18648</v>
      </c>
      <c r="AJ3108" s="336">
        <v>0.001</v>
      </c>
      <c r="AK3108" s="68" t="s">
        <v>135</v>
      </c>
      <c r="AL3108" s="68" t="s">
        <v>186</v>
      </c>
      <c r="AM3108" s="68" t="s">
        <v>137</v>
      </c>
      <c r="AN3108" s="68" t="s">
        <v>138</v>
      </c>
      <c r="AO3108" s="336">
        <v>104.0</v>
      </c>
      <c r="AP3108" s="336">
        <v>0.77</v>
      </c>
      <c r="AQ3108" s="68" t="s">
        <v>173</v>
      </c>
      <c r="AR3108" s="68" t="s">
        <v>18649</v>
      </c>
      <c r="AS3108" s="336">
        <v>0.001</v>
      </c>
      <c r="AT3108" s="68" t="s">
        <v>135</v>
      </c>
      <c r="AU3108" s="68" t="s">
        <v>186</v>
      </c>
      <c r="AV3108" s="68" t="s">
        <v>137</v>
      </c>
      <c r="AW3108" s="435" t="s">
        <v>18639</v>
      </c>
      <c r="AX3108" s="68" t="s">
        <v>143</v>
      </c>
      <c r="AY3108" s="61" t="str">
        <f>IFERROR(__xludf.DUMMYFUNCTION("vlookup(BB3108,importrange(""https://docs.google.com/spreadsheets/d/1d2vevQ_7D_v35q4wCQ4RpQ_IPoTwEMB9Yp6ymwlPqew/edit?gid=984458430#gid=984458430"", ""'replication success'!A:K""), 11, FAlSE)"),"#N/A")</f>
        <v>#N/A</v>
      </c>
      <c r="AZ3108" s="61" t="str">
        <f>IFERROR(__xludf.DUMMYFUNCTION("vlookup(BB3108,importrange(""https://docs.google.com/spreadsheets/d/1d2vevQ_7D_v35q4wCQ4RpQ_IPoTwEMB9Yp6ymwlPqew/edit?gid=984458430#gid=984458430"", ""'replication success'!A:M""), 12, FAlSE)"),"#N/A")</f>
        <v>#N/A</v>
      </c>
      <c r="BA3108" s="61" t="str">
        <f>IFERROR(__xludf.DUMMYFUNCTION("vlookup(BB3108,importrange(""https://docs.google.com/spreadsheets/d/1d2vevQ_7D_v35q4wCQ4RpQ_IPoTwEMB9Yp6ymwlPqew/edit?gid=984458430#gid=984458430"", ""'replication success'!A:M""), 13, FAlSE)"),"#N/A")</f>
        <v>#N/A</v>
      </c>
      <c r="BB3108" s="61" t="str">
        <f>IFERROR(__xludf.DUMMYFUNCTION("REGEXREPLACE(G3108, ""_[a-z]{1,2}$"", """")"),"CORE_97")</f>
        <v>CORE_97</v>
      </c>
      <c r="BD3108" s="62" t="s">
        <v>7302</v>
      </c>
    </row>
    <row r="3109">
      <c r="A3109" s="44">
        <v>2930.0</v>
      </c>
      <c r="B3109" s="129" t="s">
        <v>523</v>
      </c>
      <c r="C3109" s="62" t="s">
        <v>115</v>
      </c>
      <c r="D3109" s="62" t="s">
        <v>248</v>
      </c>
      <c r="F3109" s="68" t="s">
        <v>18624</v>
      </c>
      <c r="G3109" s="68" t="s">
        <v>18650</v>
      </c>
      <c r="H3109" s="68" t="s">
        <v>249</v>
      </c>
      <c r="I3109" s="529">
        <v>45812.0</v>
      </c>
      <c r="J3109" s="862"/>
      <c r="K3109" s="68"/>
      <c r="L3109" s="68"/>
      <c r="M3109" s="68" t="s">
        <v>18627</v>
      </c>
      <c r="N3109" s="68" t="s">
        <v>18628</v>
      </c>
      <c r="O3109" s="68"/>
      <c r="P3109" s="573" t="s">
        <v>18629</v>
      </c>
      <c r="Q3109" s="2375" t="str">
        <f> hyperlink(vlookup(lower(N3109),'File Links'!E:F, 2, FALSE), "LINK")</f>
        <v>LINK</v>
      </c>
      <c r="R3109" s="68" t="s">
        <v>18630</v>
      </c>
      <c r="S3109" s="68" t="s">
        <v>18631</v>
      </c>
      <c r="T3109" s="68"/>
      <c r="U3109" s="68" t="s">
        <v>4187</v>
      </c>
      <c r="V3109" s="573" t="s">
        <v>18632</v>
      </c>
      <c r="W3109" s="1228"/>
      <c r="X3109" s="2376" t="str">
        <f> hyperlink(vlookup(lower(S3109),'File Links'!E:F, 2, FALSE), "LINK")</f>
        <v>LINK</v>
      </c>
      <c r="Y3109" s="68"/>
      <c r="Z3109" s="68" t="s">
        <v>947</v>
      </c>
      <c r="AA3109" s="68" t="s">
        <v>18633</v>
      </c>
      <c r="AB3109" s="68" t="s">
        <v>7291</v>
      </c>
      <c r="AC3109" s="68" t="s">
        <v>18634</v>
      </c>
      <c r="AD3109" s="68" t="s">
        <v>18651</v>
      </c>
      <c r="AE3109" s="68" t="s">
        <v>496</v>
      </c>
      <c r="AF3109" s="336">
        <v>99.0</v>
      </c>
      <c r="AG3109" s="68" t="s">
        <v>18652</v>
      </c>
      <c r="AH3109" s="68" t="s">
        <v>134</v>
      </c>
      <c r="AI3109" s="68" t="s">
        <v>18653</v>
      </c>
      <c r="AJ3109" s="336">
        <v>0.05</v>
      </c>
      <c r="AK3109" s="68" t="s">
        <v>335</v>
      </c>
      <c r="AL3109" s="68" t="s">
        <v>186</v>
      </c>
      <c r="AM3109" s="68" t="s">
        <v>137</v>
      </c>
      <c r="AN3109" s="68" t="s">
        <v>138</v>
      </c>
      <c r="AO3109" s="336">
        <v>203.0</v>
      </c>
      <c r="AP3109" s="336">
        <v>0.03</v>
      </c>
      <c r="AQ3109" s="68" t="s">
        <v>173</v>
      </c>
      <c r="AR3109" s="68" t="s">
        <v>18654</v>
      </c>
      <c r="AS3109" s="336">
        <v>0.854</v>
      </c>
      <c r="AT3109" s="68" t="s">
        <v>172</v>
      </c>
      <c r="AU3109" s="68" t="s">
        <v>186</v>
      </c>
      <c r="AV3109" s="68" t="s">
        <v>137</v>
      </c>
      <c r="AW3109" s="435" t="s">
        <v>18639</v>
      </c>
      <c r="AX3109" s="68" t="s">
        <v>143</v>
      </c>
      <c r="AY3109" s="61" t="str">
        <f>IFERROR(__xludf.DUMMYFUNCTION("vlookup(BB3109,importrange(""https://docs.google.com/spreadsheets/d/1d2vevQ_7D_v35q4wCQ4RpQ_IPoTwEMB9Yp6ymwlPqew/edit?gid=984458430#gid=984458430"", ""'replication success'!A:K""), 11, FAlSE)"),"#N/A")</f>
        <v>#N/A</v>
      </c>
      <c r="AZ3109" s="61" t="str">
        <f>IFERROR(__xludf.DUMMYFUNCTION("vlookup(BB3109,importrange(""https://docs.google.com/spreadsheets/d/1d2vevQ_7D_v35q4wCQ4RpQ_IPoTwEMB9Yp6ymwlPqew/edit?gid=984458430#gid=984458430"", ""'replication success'!A:M""), 12, FAlSE)"),"#N/A")</f>
        <v>#N/A</v>
      </c>
      <c r="BA3109" s="61" t="str">
        <f>IFERROR(__xludf.DUMMYFUNCTION("vlookup(BB3109,importrange(""https://docs.google.com/spreadsheets/d/1d2vevQ_7D_v35q4wCQ4RpQ_IPoTwEMB9Yp6ymwlPqew/edit?gid=984458430#gid=984458430"", ""'replication success'!A:M""), 13, FAlSE)"),"#N/A")</f>
        <v>#N/A</v>
      </c>
      <c r="BB3109" s="61" t="str">
        <f>IFERROR(__xludf.DUMMYFUNCTION("REGEXREPLACE(G3109, ""_[a-z]{1,2}$"", """")"),"CORE_97")</f>
        <v>CORE_97</v>
      </c>
      <c r="BD3109" s="62" t="s">
        <v>7302</v>
      </c>
    </row>
    <row r="3110">
      <c r="A3110" s="44">
        <v>2931.0</v>
      </c>
      <c r="B3110" s="129" t="s">
        <v>523</v>
      </c>
      <c r="C3110" s="62" t="s">
        <v>115</v>
      </c>
      <c r="D3110" s="62" t="s">
        <v>248</v>
      </c>
      <c r="F3110" s="68" t="s">
        <v>18624</v>
      </c>
      <c r="G3110" s="68" t="s">
        <v>18655</v>
      </c>
      <c r="H3110" s="68" t="s">
        <v>249</v>
      </c>
      <c r="I3110" s="529">
        <v>45812.0</v>
      </c>
      <c r="J3110" s="862"/>
      <c r="K3110" s="68"/>
      <c r="L3110" s="68"/>
      <c r="M3110" s="68" t="s">
        <v>18627</v>
      </c>
      <c r="N3110" s="68" t="s">
        <v>18628</v>
      </c>
      <c r="O3110" s="68"/>
      <c r="P3110" s="573" t="s">
        <v>18629</v>
      </c>
      <c r="Q3110" s="2375" t="str">
        <f> hyperlink(vlookup(lower(N3110),'File Links'!E:F, 2, FALSE), "LINK")</f>
        <v>LINK</v>
      </c>
      <c r="R3110" s="68" t="s">
        <v>18630</v>
      </c>
      <c r="S3110" s="68" t="s">
        <v>18631</v>
      </c>
      <c r="T3110" s="68"/>
      <c r="U3110" s="68"/>
      <c r="V3110" s="573" t="s">
        <v>18632</v>
      </c>
      <c r="W3110" s="1228"/>
      <c r="X3110" s="2376" t="str">
        <f> hyperlink(vlookup(lower(S3110),'File Links'!E:F, 2, FALSE), "LINK")</f>
        <v>LINK</v>
      </c>
      <c r="Y3110" s="68"/>
      <c r="Z3110" s="68" t="s">
        <v>947</v>
      </c>
      <c r="AA3110" s="68" t="s">
        <v>18633</v>
      </c>
      <c r="AB3110" s="68" t="s">
        <v>7291</v>
      </c>
      <c r="AC3110" s="68" t="s">
        <v>18634</v>
      </c>
      <c r="AD3110" s="68" t="s">
        <v>18656</v>
      </c>
      <c r="AE3110" s="68" t="s">
        <v>496</v>
      </c>
      <c r="AF3110" s="336">
        <v>99.0</v>
      </c>
      <c r="AG3110" s="68" t="s">
        <v>18652</v>
      </c>
      <c r="AH3110" s="68" t="s">
        <v>134</v>
      </c>
      <c r="AI3110" s="68" t="s">
        <v>18657</v>
      </c>
      <c r="AJ3110" s="336">
        <v>0.05</v>
      </c>
      <c r="AK3110" s="68" t="s">
        <v>335</v>
      </c>
      <c r="AL3110" s="68" t="s">
        <v>186</v>
      </c>
      <c r="AM3110" s="68" t="s">
        <v>137</v>
      </c>
      <c r="AN3110" s="68" t="s">
        <v>138</v>
      </c>
      <c r="AO3110" s="336">
        <v>200.0</v>
      </c>
      <c r="AP3110" s="336">
        <v>0.09</v>
      </c>
      <c r="AQ3110" s="68" t="s">
        <v>173</v>
      </c>
      <c r="AR3110" s="68" t="s">
        <v>18658</v>
      </c>
      <c r="AS3110" s="336">
        <v>0.536</v>
      </c>
      <c r="AT3110" s="68" t="s">
        <v>172</v>
      </c>
      <c r="AU3110" s="68" t="s">
        <v>186</v>
      </c>
      <c r="AV3110" s="68" t="s">
        <v>137</v>
      </c>
      <c r="AW3110" s="435" t="s">
        <v>18639</v>
      </c>
      <c r="AX3110" s="68" t="s">
        <v>143</v>
      </c>
      <c r="AY3110" s="61" t="str">
        <f>IFERROR(__xludf.DUMMYFUNCTION("vlookup(BB3110,importrange(""https://docs.google.com/spreadsheets/d/1d2vevQ_7D_v35q4wCQ4RpQ_IPoTwEMB9Yp6ymwlPqew/edit?gid=984458430#gid=984458430"", ""'replication success'!A:K""), 11, FAlSE)"),"#N/A")</f>
        <v>#N/A</v>
      </c>
      <c r="AZ3110" s="61" t="str">
        <f>IFERROR(__xludf.DUMMYFUNCTION("vlookup(BB3110,importrange(""https://docs.google.com/spreadsheets/d/1d2vevQ_7D_v35q4wCQ4RpQ_IPoTwEMB9Yp6ymwlPqew/edit?gid=984458430#gid=984458430"", ""'replication success'!A:M""), 12, FAlSE)"),"#N/A")</f>
        <v>#N/A</v>
      </c>
      <c r="BA3110" s="61" t="str">
        <f>IFERROR(__xludf.DUMMYFUNCTION("vlookup(BB3110,importrange(""https://docs.google.com/spreadsheets/d/1d2vevQ_7D_v35q4wCQ4RpQ_IPoTwEMB9Yp6ymwlPqew/edit?gid=984458430#gid=984458430"", ""'replication success'!A:M""), 13, FAlSE)"),"#N/A")</f>
        <v>#N/A</v>
      </c>
      <c r="BB3110" s="61" t="str">
        <f>IFERROR(__xludf.DUMMYFUNCTION("REGEXREPLACE(G3110, ""_[a-z]{1,2}$"", """")"),"CORE_97")</f>
        <v>CORE_97</v>
      </c>
      <c r="BD3110" s="62" t="s">
        <v>7302</v>
      </c>
    </row>
    <row r="3111">
      <c r="A3111" s="895">
        <v>2932.0</v>
      </c>
      <c r="B3111" s="905" t="s">
        <v>152</v>
      </c>
      <c r="C3111" s="839" t="s">
        <v>115</v>
      </c>
      <c r="D3111" s="839" t="s">
        <v>248</v>
      </c>
      <c r="E3111" s="752"/>
      <c r="F3111" s="851" t="s">
        <v>18624</v>
      </c>
      <c r="G3111" s="851" t="s">
        <v>18659</v>
      </c>
      <c r="H3111" s="851" t="s">
        <v>249</v>
      </c>
      <c r="I3111" s="2486">
        <v>45812.0</v>
      </c>
      <c r="J3111" s="859"/>
      <c r="K3111" s="851"/>
      <c r="L3111" s="129" t="s">
        <v>18646</v>
      </c>
      <c r="M3111" s="851" t="s">
        <v>18627</v>
      </c>
      <c r="N3111" s="851" t="s">
        <v>18628</v>
      </c>
      <c r="O3111" s="905">
        <v>1.0</v>
      </c>
      <c r="P3111" s="851" t="s">
        <v>18629</v>
      </c>
      <c r="Q3111" s="2487" t="str">
        <f> hyperlink(vlookup(lower(N3111),'File Links'!E:F, 2, FALSE), "LINK")</f>
        <v>LINK</v>
      </c>
      <c r="R3111" s="851" t="s">
        <v>18630</v>
      </c>
      <c r="S3111" s="851" t="s">
        <v>18631</v>
      </c>
      <c r="T3111" s="851"/>
      <c r="U3111" s="905">
        <v>1.0</v>
      </c>
      <c r="V3111" s="851" t="s">
        <v>18632</v>
      </c>
      <c r="W3111" s="206" t="s">
        <v>1122</v>
      </c>
      <c r="X3111" s="2488" t="str">
        <f> hyperlink(vlookup(lower(S3111),'File Links'!E:F, 2, FALSE), "LINK")</f>
        <v>LINK</v>
      </c>
      <c r="Y3111" s="851"/>
      <c r="Z3111" s="851" t="s">
        <v>947</v>
      </c>
      <c r="AA3111" s="851" t="s">
        <v>18633</v>
      </c>
      <c r="AB3111" s="851" t="s">
        <v>7291</v>
      </c>
      <c r="AC3111" s="851" t="s">
        <v>18634</v>
      </c>
      <c r="AD3111" s="851" t="s">
        <v>18660</v>
      </c>
      <c r="AE3111" s="851" t="s">
        <v>496</v>
      </c>
      <c r="AF3111" s="2485">
        <v>51.0</v>
      </c>
      <c r="AG3111" s="851" t="s">
        <v>18661</v>
      </c>
      <c r="AH3111" s="851" t="s">
        <v>134</v>
      </c>
      <c r="AI3111" s="851" t="s">
        <v>18662</v>
      </c>
      <c r="AJ3111" s="2485">
        <v>0.001</v>
      </c>
      <c r="AK3111" s="851" t="s">
        <v>135</v>
      </c>
      <c r="AL3111" s="851" t="s">
        <v>186</v>
      </c>
      <c r="AM3111" s="851" t="s">
        <v>137</v>
      </c>
      <c r="AN3111" s="851" t="s">
        <v>138</v>
      </c>
      <c r="AO3111" s="2485">
        <v>104.0</v>
      </c>
      <c r="AP3111" s="2485">
        <v>2.6</v>
      </c>
      <c r="AQ3111" s="851" t="s">
        <v>173</v>
      </c>
      <c r="AR3111" s="851" t="s">
        <v>18644</v>
      </c>
      <c r="AS3111" s="2485">
        <v>0.001</v>
      </c>
      <c r="AT3111" s="851" t="s">
        <v>135</v>
      </c>
      <c r="AU3111" s="851" t="s">
        <v>186</v>
      </c>
      <c r="AV3111" s="851" t="s">
        <v>137</v>
      </c>
      <c r="AW3111" s="1000" t="s">
        <v>18639</v>
      </c>
      <c r="AX3111" s="851" t="s">
        <v>143</v>
      </c>
      <c r="AY3111" s="61" t="str">
        <f>IFERROR(__xludf.DUMMYFUNCTION("vlookup(BB3111,importrange(""https://docs.google.com/spreadsheets/d/1d2vevQ_7D_v35q4wCQ4RpQ_IPoTwEMB9Yp6ymwlPqew/edit?gid=984458430#gid=984458430"", ""'replication success'!A:K""), 11, FAlSE)"),"#N/A")</f>
        <v>#N/A</v>
      </c>
      <c r="AZ3111" s="61" t="str">
        <f>IFERROR(__xludf.DUMMYFUNCTION("vlookup(BB3111,importrange(""https://docs.google.com/spreadsheets/d/1d2vevQ_7D_v35q4wCQ4RpQ_IPoTwEMB9Yp6ymwlPqew/edit?gid=984458430#gid=984458430"", ""'replication success'!A:M""), 12, FAlSE)"),"#N/A")</f>
        <v>#N/A</v>
      </c>
      <c r="BA3111" s="61" t="str">
        <f>IFERROR(__xludf.DUMMYFUNCTION("vlookup(BB3111,importrange(""https://docs.google.com/spreadsheets/d/1d2vevQ_7D_v35q4wCQ4RpQ_IPoTwEMB9Yp6ymwlPqew/edit?gid=984458430#gid=984458430"", ""'replication success'!A:M""), 13, FAlSE)"),"#N/A")</f>
        <v>#N/A</v>
      </c>
      <c r="BB3111" s="61" t="str">
        <f>IFERROR(__xludf.DUMMYFUNCTION("REGEXREPLACE(G3111, ""_[a-z]{1,2}$"", """")"),"CORE_97")</f>
        <v>CORE_97</v>
      </c>
      <c r="BC3111" s="752"/>
      <c r="BD3111" s="839" t="s">
        <v>1270</v>
      </c>
      <c r="BE3111" s="752"/>
      <c r="BF3111" s="752"/>
      <c r="BG3111" s="752"/>
      <c r="BH3111" s="752"/>
      <c r="BI3111" s="752"/>
      <c r="BJ3111" s="752"/>
      <c r="BK3111" s="752"/>
      <c r="BL3111" s="752"/>
      <c r="BM3111" s="752"/>
      <c r="BN3111" s="752"/>
      <c r="BO3111" s="752"/>
      <c r="BP3111" s="752"/>
      <c r="BQ3111" s="752"/>
      <c r="BR3111" s="752"/>
      <c r="BS3111" s="752"/>
      <c r="BT3111" s="752"/>
      <c r="BU3111" s="752"/>
      <c r="BV3111" s="752"/>
      <c r="BW3111" s="752"/>
      <c r="BX3111" s="752"/>
      <c r="BY3111" s="752"/>
      <c r="BZ3111" s="752"/>
      <c r="CA3111" s="752"/>
      <c r="CB3111" s="752"/>
      <c r="CC3111" s="752"/>
      <c r="CD3111" s="752"/>
      <c r="CE3111" s="752"/>
      <c r="CF3111" s="752"/>
      <c r="CG3111" s="752"/>
      <c r="CH3111" s="752"/>
      <c r="CI3111" s="752"/>
      <c r="CJ3111" s="752"/>
      <c r="CK3111" s="752"/>
      <c r="CL3111" s="752"/>
      <c r="CM3111" s="752"/>
      <c r="CN3111" s="752"/>
      <c r="CO3111" s="752"/>
      <c r="CP3111" s="752"/>
      <c r="CQ3111" s="752"/>
      <c r="CR3111" s="752"/>
      <c r="CS3111" s="752"/>
      <c r="CT3111" s="752"/>
      <c r="CU3111" s="752"/>
      <c r="CV3111" s="752"/>
      <c r="CW3111" s="752"/>
      <c r="CX3111" s="752"/>
      <c r="CY3111" s="752"/>
      <c r="CZ3111" s="752"/>
      <c r="DA3111" s="752"/>
      <c r="DB3111" s="752"/>
      <c r="DC3111" s="752"/>
      <c r="DD3111" s="752"/>
      <c r="DE3111" s="752"/>
      <c r="DF3111" s="752"/>
      <c r="DG3111" s="752"/>
      <c r="DH3111" s="752"/>
      <c r="DI3111" s="752"/>
      <c r="DJ3111" s="752"/>
      <c r="DK3111" s="752"/>
      <c r="DL3111" s="752"/>
    </row>
    <row r="3112">
      <c r="A3112" s="44">
        <v>2933.0</v>
      </c>
      <c r="B3112" s="129" t="s">
        <v>523</v>
      </c>
      <c r="C3112" s="62" t="s">
        <v>115</v>
      </c>
      <c r="D3112" s="62" t="s">
        <v>248</v>
      </c>
      <c r="F3112" s="68" t="s">
        <v>18624</v>
      </c>
      <c r="G3112" s="68" t="s">
        <v>18663</v>
      </c>
      <c r="H3112" s="68" t="s">
        <v>249</v>
      </c>
      <c r="I3112" s="529">
        <v>45812.0</v>
      </c>
      <c r="J3112" s="862"/>
      <c r="K3112" s="68"/>
      <c r="L3112" s="68"/>
      <c r="M3112" s="68" t="s">
        <v>18627</v>
      </c>
      <c r="N3112" s="68" t="s">
        <v>18628</v>
      </c>
      <c r="O3112" s="68"/>
      <c r="P3112" s="573" t="s">
        <v>18629</v>
      </c>
      <c r="Q3112" s="2375" t="str">
        <f> hyperlink(vlookup(lower(N3112),'File Links'!E:F, 2, FALSE), "LINK")</f>
        <v>LINK</v>
      </c>
      <c r="R3112" s="68" t="s">
        <v>18630</v>
      </c>
      <c r="S3112" s="68" t="s">
        <v>18631</v>
      </c>
      <c r="T3112" s="68"/>
      <c r="U3112" s="68"/>
      <c r="V3112" s="573" t="s">
        <v>18632</v>
      </c>
      <c r="W3112" s="1228"/>
      <c r="X3112" s="2376" t="str">
        <f> hyperlink(vlookup(lower(S3112),'File Links'!E:F, 2, FALSE), "LINK")</f>
        <v>LINK</v>
      </c>
      <c r="Y3112" s="68"/>
      <c r="Z3112" s="68" t="s">
        <v>947</v>
      </c>
      <c r="AA3112" s="68" t="s">
        <v>18633</v>
      </c>
      <c r="AB3112" s="68" t="s">
        <v>7291</v>
      </c>
      <c r="AC3112" s="68" t="s">
        <v>18634</v>
      </c>
      <c r="AD3112" s="68" t="s">
        <v>18664</v>
      </c>
      <c r="AE3112" s="68" t="s">
        <v>496</v>
      </c>
      <c r="AF3112" s="336">
        <v>100.0</v>
      </c>
      <c r="AG3112" s="68" t="s">
        <v>18665</v>
      </c>
      <c r="AH3112" s="68" t="s">
        <v>134</v>
      </c>
      <c r="AI3112" s="2489" t="s">
        <v>18666</v>
      </c>
      <c r="AJ3112" s="336">
        <v>0.001</v>
      </c>
      <c r="AK3112" s="68" t="s">
        <v>135</v>
      </c>
      <c r="AL3112" s="68" t="s">
        <v>186</v>
      </c>
      <c r="AM3112" s="68" t="s">
        <v>137</v>
      </c>
      <c r="AN3112" s="68" t="s">
        <v>138</v>
      </c>
      <c r="AO3112" s="336">
        <v>191.0</v>
      </c>
      <c r="AP3112" s="336">
        <v>4.13</v>
      </c>
      <c r="AQ3112" s="68" t="s">
        <v>173</v>
      </c>
      <c r="AR3112" s="68" t="s">
        <v>18667</v>
      </c>
      <c r="AS3112" s="336">
        <v>0.001</v>
      </c>
      <c r="AT3112" s="68" t="s">
        <v>135</v>
      </c>
      <c r="AU3112" s="68" t="s">
        <v>186</v>
      </c>
      <c r="AV3112" s="68" t="s">
        <v>137</v>
      </c>
      <c r="AW3112" s="435" t="s">
        <v>18639</v>
      </c>
      <c r="AX3112" s="68" t="s">
        <v>143</v>
      </c>
      <c r="AY3112" s="61" t="str">
        <f>IFERROR(__xludf.DUMMYFUNCTION("vlookup(BB3112,importrange(""https://docs.google.com/spreadsheets/d/1d2vevQ_7D_v35q4wCQ4RpQ_IPoTwEMB9Yp6ymwlPqew/edit?gid=984458430#gid=984458430"", ""'replication success'!A:K""), 11, FAlSE)"),"#N/A")</f>
        <v>#N/A</v>
      </c>
      <c r="AZ3112" s="61" t="str">
        <f>IFERROR(__xludf.DUMMYFUNCTION("vlookup(BB3112,importrange(""https://docs.google.com/spreadsheets/d/1d2vevQ_7D_v35q4wCQ4RpQ_IPoTwEMB9Yp6ymwlPqew/edit?gid=984458430#gid=984458430"", ""'replication success'!A:M""), 12, FAlSE)"),"#N/A")</f>
        <v>#N/A</v>
      </c>
      <c r="BA3112" s="61" t="str">
        <f>IFERROR(__xludf.DUMMYFUNCTION("vlookup(BB3112,importrange(""https://docs.google.com/spreadsheets/d/1d2vevQ_7D_v35q4wCQ4RpQ_IPoTwEMB9Yp6ymwlPqew/edit?gid=984458430#gid=984458430"", ""'replication success'!A:M""), 13, FAlSE)"),"#N/A")</f>
        <v>#N/A</v>
      </c>
      <c r="BB3112" s="61" t="str">
        <f>IFERROR(__xludf.DUMMYFUNCTION("REGEXREPLACE(G3112, ""_[a-z]{1,2}$"", """")"),"CORE_97")</f>
        <v>CORE_97</v>
      </c>
      <c r="BD3112" s="62" t="s">
        <v>7302</v>
      </c>
    </row>
    <row r="3113">
      <c r="A3113" s="44">
        <v>2934.0</v>
      </c>
      <c r="B3113" s="129" t="s">
        <v>523</v>
      </c>
      <c r="C3113" s="62" t="s">
        <v>115</v>
      </c>
      <c r="D3113" s="62" t="s">
        <v>248</v>
      </c>
      <c r="F3113" s="68" t="s">
        <v>18624</v>
      </c>
      <c r="G3113" s="68" t="s">
        <v>18668</v>
      </c>
      <c r="H3113" s="68" t="s">
        <v>249</v>
      </c>
      <c r="I3113" s="529">
        <v>45812.0</v>
      </c>
      <c r="J3113" s="862"/>
      <c r="K3113" s="68"/>
      <c r="L3113" s="68"/>
      <c r="M3113" s="68" t="s">
        <v>18627</v>
      </c>
      <c r="N3113" s="68" t="s">
        <v>18628</v>
      </c>
      <c r="O3113" s="68"/>
      <c r="P3113" s="573" t="s">
        <v>18629</v>
      </c>
      <c r="Q3113" s="2375" t="str">
        <f> hyperlink(vlookup(lower(N3113),'File Links'!E:F, 2, FALSE), "LINK")</f>
        <v>LINK</v>
      </c>
      <c r="R3113" s="68" t="s">
        <v>18630</v>
      </c>
      <c r="S3113" s="68" t="s">
        <v>18631</v>
      </c>
      <c r="T3113" s="68"/>
      <c r="U3113" s="68"/>
      <c r="V3113" s="573" t="s">
        <v>18632</v>
      </c>
      <c r="W3113" s="1228"/>
      <c r="X3113" s="2376" t="str">
        <f> hyperlink(vlookup(lower(S3113),'File Links'!E:F, 2, FALSE), "LINK")</f>
        <v>LINK</v>
      </c>
      <c r="Y3113" s="68"/>
      <c r="Z3113" s="68" t="s">
        <v>947</v>
      </c>
      <c r="AA3113" s="68" t="s">
        <v>18633</v>
      </c>
      <c r="AB3113" s="68" t="s">
        <v>7291</v>
      </c>
      <c r="AC3113" s="68" t="s">
        <v>18634</v>
      </c>
      <c r="AD3113" s="68" t="s">
        <v>18669</v>
      </c>
      <c r="AE3113" s="68" t="s">
        <v>882</v>
      </c>
      <c r="AF3113" s="336">
        <v>41.0</v>
      </c>
      <c r="AG3113" s="68" t="s">
        <v>18670</v>
      </c>
      <c r="AH3113" s="68" t="s">
        <v>134</v>
      </c>
      <c r="AI3113" s="2489" t="s">
        <v>18671</v>
      </c>
      <c r="AJ3113" s="336">
        <v>0.001</v>
      </c>
      <c r="AK3113" s="68" t="s">
        <v>135</v>
      </c>
      <c r="AL3113" s="68" t="s">
        <v>186</v>
      </c>
      <c r="AM3113" s="68" t="s">
        <v>137</v>
      </c>
      <c r="AN3113" s="68" t="s">
        <v>138</v>
      </c>
      <c r="AO3113" s="336">
        <v>94.0</v>
      </c>
      <c r="AP3113" s="336">
        <v>0.45</v>
      </c>
      <c r="AQ3113" s="68" t="s">
        <v>173</v>
      </c>
      <c r="AR3113" s="68" t="s">
        <v>18672</v>
      </c>
      <c r="AS3113" s="336">
        <v>0.001</v>
      </c>
      <c r="AT3113" s="68" t="s">
        <v>135</v>
      </c>
      <c r="AU3113" s="68" t="s">
        <v>186</v>
      </c>
      <c r="AV3113" s="68" t="s">
        <v>137</v>
      </c>
      <c r="AW3113" s="435" t="s">
        <v>18639</v>
      </c>
      <c r="AX3113" s="68" t="s">
        <v>143</v>
      </c>
      <c r="AY3113" s="61" t="str">
        <f>IFERROR(__xludf.DUMMYFUNCTION("vlookup(BB3113,importrange(""https://docs.google.com/spreadsheets/d/1d2vevQ_7D_v35q4wCQ4RpQ_IPoTwEMB9Yp6ymwlPqew/edit?gid=984458430#gid=984458430"", ""'replication success'!A:K""), 11, FAlSE)"),"#N/A")</f>
        <v>#N/A</v>
      </c>
      <c r="AZ3113" s="61" t="str">
        <f>IFERROR(__xludf.DUMMYFUNCTION("vlookup(BB3113,importrange(""https://docs.google.com/spreadsheets/d/1d2vevQ_7D_v35q4wCQ4RpQ_IPoTwEMB9Yp6ymwlPqew/edit?gid=984458430#gid=984458430"", ""'replication success'!A:M""), 12, FAlSE)"),"#N/A")</f>
        <v>#N/A</v>
      </c>
      <c r="BA3113" s="61" t="str">
        <f>IFERROR(__xludf.DUMMYFUNCTION("vlookup(BB3113,importrange(""https://docs.google.com/spreadsheets/d/1d2vevQ_7D_v35q4wCQ4RpQ_IPoTwEMB9Yp6ymwlPqew/edit?gid=984458430#gid=984458430"", ""'replication success'!A:M""), 13, FAlSE)"),"#N/A")</f>
        <v>#N/A</v>
      </c>
      <c r="BB3113" s="61" t="str">
        <f>IFERROR(__xludf.DUMMYFUNCTION("REGEXREPLACE(G3113, ""_[a-z]{1,2}$"", """")"),"CORE_97")</f>
        <v>CORE_97</v>
      </c>
      <c r="BD3113" s="62" t="s">
        <v>7302</v>
      </c>
    </row>
    <row r="3114">
      <c r="A3114" s="44">
        <v>2935.0</v>
      </c>
      <c r="B3114" s="129" t="s">
        <v>523</v>
      </c>
      <c r="C3114" s="62" t="s">
        <v>115</v>
      </c>
      <c r="D3114" s="62" t="s">
        <v>248</v>
      </c>
      <c r="F3114" s="68" t="s">
        <v>18624</v>
      </c>
      <c r="G3114" s="68" t="s">
        <v>18673</v>
      </c>
      <c r="H3114" s="68" t="s">
        <v>249</v>
      </c>
      <c r="I3114" s="529">
        <v>45812.0</v>
      </c>
      <c r="J3114" s="862"/>
      <c r="K3114" s="68"/>
      <c r="L3114" s="68"/>
      <c r="M3114" s="68" t="s">
        <v>18627</v>
      </c>
      <c r="N3114" s="68" t="s">
        <v>18628</v>
      </c>
      <c r="O3114" s="68"/>
      <c r="P3114" s="573" t="s">
        <v>18629</v>
      </c>
      <c r="Q3114" s="2375" t="str">
        <f> hyperlink(vlookup(lower(N3114),'File Links'!E:F, 2, FALSE), "LINK")</f>
        <v>LINK</v>
      </c>
      <c r="R3114" s="68" t="s">
        <v>18630</v>
      </c>
      <c r="S3114" s="68" t="s">
        <v>18631</v>
      </c>
      <c r="T3114" s="68"/>
      <c r="U3114" s="68"/>
      <c r="V3114" s="573" t="s">
        <v>18632</v>
      </c>
      <c r="W3114" s="1228"/>
      <c r="X3114" s="2376" t="str">
        <f> hyperlink(vlookup(lower(S3114),'File Links'!E:F, 2, FALSE), "LINK")</f>
        <v>LINK</v>
      </c>
      <c r="Y3114" s="68"/>
      <c r="Z3114" s="68" t="s">
        <v>947</v>
      </c>
      <c r="AA3114" s="68" t="s">
        <v>18633</v>
      </c>
      <c r="AB3114" s="68" t="s">
        <v>7291</v>
      </c>
      <c r="AC3114" s="68" t="s">
        <v>18634</v>
      </c>
      <c r="AD3114" s="68" t="s">
        <v>18674</v>
      </c>
      <c r="AE3114" s="68" t="s">
        <v>882</v>
      </c>
      <c r="AF3114" s="68" t="s">
        <v>138</v>
      </c>
      <c r="AG3114" s="68" t="s">
        <v>18675</v>
      </c>
      <c r="AH3114" s="68" t="s">
        <v>134</v>
      </c>
      <c r="AI3114" s="2489" t="s">
        <v>18676</v>
      </c>
      <c r="AJ3114" s="336">
        <v>0.05</v>
      </c>
      <c r="AK3114" s="68" t="s">
        <v>335</v>
      </c>
      <c r="AL3114" s="68" t="s">
        <v>186</v>
      </c>
      <c r="AM3114" s="68" t="s">
        <v>137</v>
      </c>
      <c r="AN3114" s="68" t="s">
        <v>138</v>
      </c>
      <c r="AO3114" s="336">
        <v>174.0</v>
      </c>
      <c r="AP3114" s="336">
        <v>0.04</v>
      </c>
      <c r="AQ3114" s="68" t="s">
        <v>173</v>
      </c>
      <c r="AR3114" s="68" t="s">
        <v>18677</v>
      </c>
      <c r="AS3114" s="336">
        <v>0.765</v>
      </c>
      <c r="AT3114" s="68" t="s">
        <v>172</v>
      </c>
      <c r="AU3114" s="68" t="s">
        <v>186</v>
      </c>
      <c r="AV3114" s="68" t="s">
        <v>137</v>
      </c>
      <c r="AW3114" s="435" t="s">
        <v>18639</v>
      </c>
      <c r="AX3114" s="68" t="s">
        <v>143</v>
      </c>
      <c r="AY3114" s="61" t="str">
        <f>IFERROR(__xludf.DUMMYFUNCTION("vlookup(BB3114,importrange(""https://docs.google.com/spreadsheets/d/1d2vevQ_7D_v35q4wCQ4RpQ_IPoTwEMB9Yp6ymwlPqew/edit?gid=984458430#gid=984458430"", ""'replication success'!A:K""), 11, FAlSE)"),"#N/A")</f>
        <v>#N/A</v>
      </c>
      <c r="AZ3114" s="61" t="str">
        <f>IFERROR(__xludf.DUMMYFUNCTION("vlookup(BB3114,importrange(""https://docs.google.com/spreadsheets/d/1d2vevQ_7D_v35q4wCQ4RpQ_IPoTwEMB9Yp6ymwlPqew/edit?gid=984458430#gid=984458430"", ""'replication success'!A:M""), 12, FAlSE)"),"#N/A")</f>
        <v>#N/A</v>
      </c>
      <c r="BA3114" s="61" t="str">
        <f>IFERROR(__xludf.DUMMYFUNCTION("vlookup(BB3114,importrange(""https://docs.google.com/spreadsheets/d/1d2vevQ_7D_v35q4wCQ4RpQ_IPoTwEMB9Yp6ymwlPqew/edit?gid=984458430#gid=984458430"", ""'replication success'!A:M""), 13, FAlSE)"),"#N/A")</f>
        <v>#N/A</v>
      </c>
      <c r="BB3114" s="61" t="str">
        <f>IFERROR(__xludf.DUMMYFUNCTION("REGEXREPLACE(G3114, ""_[a-z]{1,2}$"", """")"),"CORE_97")</f>
        <v>CORE_97</v>
      </c>
      <c r="BD3114" s="62" t="s">
        <v>7302</v>
      </c>
    </row>
    <row r="3115">
      <c r="A3115" s="44">
        <v>2936.0</v>
      </c>
      <c r="B3115" s="129" t="s">
        <v>523</v>
      </c>
      <c r="C3115" s="62" t="s">
        <v>115</v>
      </c>
      <c r="D3115" s="62" t="s">
        <v>248</v>
      </c>
      <c r="F3115" s="68" t="s">
        <v>18624</v>
      </c>
      <c r="G3115" s="68" t="s">
        <v>18678</v>
      </c>
      <c r="H3115" s="68" t="s">
        <v>249</v>
      </c>
      <c r="I3115" s="529">
        <v>45812.0</v>
      </c>
      <c r="J3115" s="862"/>
      <c r="K3115" s="68"/>
      <c r="L3115" s="68"/>
      <c r="M3115" s="68" t="s">
        <v>18627</v>
      </c>
      <c r="N3115" s="68" t="s">
        <v>18628</v>
      </c>
      <c r="O3115" s="68"/>
      <c r="P3115" s="573" t="s">
        <v>18629</v>
      </c>
      <c r="Q3115" s="2375" t="str">
        <f> hyperlink(vlookup(lower(N3115),'File Links'!E:F, 2, FALSE), "LINK")</f>
        <v>LINK</v>
      </c>
      <c r="R3115" s="68" t="s">
        <v>18630</v>
      </c>
      <c r="S3115" s="68" t="s">
        <v>18631</v>
      </c>
      <c r="T3115" s="68"/>
      <c r="U3115" s="68"/>
      <c r="V3115" s="573" t="s">
        <v>18632</v>
      </c>
      <c r="W3115" s="1228"/>
      <c r="X3115" s="2376" t="str">
        <f> hyperlink(vlookup(lower(S3115),'File Links'!E:F, 2, FALSE), "LINK")</f>
        <v>LINK</v>
      </c>
      <c r="Y3115" s="68"/>
      <c r="Z3115" s="68" t="s">
        <v>947</v>
      </c>
      <c r="AA3115" s="68" t="s">
        <v>18633</v>
      </c>
      <c r="AB3115" s="68" t="s">
        <v>7291</v>
      </c>
      <c r="AC3115" s="68" t="s">
        <v>18634</v>
      </c>
      <c r="AD3115" s="68" t="s">
        <v>18679</v>
      </c>
      <c r="AE3115" s="68" t="s">
        <v>18680</v>
      </c>
      <c r="AF3115" s="336">
        <v>41.0</v>
      </c>
      <c r="AG3115" s="68" t="s">
        <v>18681</v>
      </c>
      <c r="AH3115" s="68" t="s">
        <v>134</v>
      </c>
      <c r="AI3115" s="2489" t="s">
        <v>18682</v>
      </c>
      <c r="AJ3115" s="336">
        <v>0.001</v>
      </c>
      <c r="AK3115" s="68" t="s">
        <v>135</v>
      </c>
      <c r="AL3115" s="68" t="s">
        <v>186</v>
      </c>
      <c r="AM3115" s="68" t="s">
        <v>137</v>
      </c>
      <c r="AN3115" s="68" t="s">
        <v>138</v>
      </c>
      <c r="AO3115" s="336">
        <v>94.0</v>
      </c>
      <c r="AP3115" s="336">
        <v>0.02</v>
      </c>
      <c r="AQ3115" s="68" t="s">
        <v>173</v>
      </c>
      <c r="AR3115" s="68" t="s">
        <v>18683</v>
      </c>
      <c r="AS3115" s="336">
        <v>0.847</v>
      </c>
      <c r="AT3115" s="68" t="s">
        <v>172</v>
      </c>
      <c r="AU3115" s="68" t="s">
        <v>186</v>
      </c>
      <c r="AV3115" s="68" t="s">
        <v>137</v>
      </c>
      <c r="AW3115" s="435" t="s">
        <v>18639</v>
      </c>
      <c r="AX3115" s="68" t="s">
        <v>143</v>
      </c>
      <c r="AY3115" s="61" t="str">
        <f>IFERROR(__xludf.DUMMYFUNCTION("vlookup(BB3115,importrange(""https://docs.google.com/spreadsheets/d/1d2vevQ_7D_v35q4wCQ4RpQ_IPoTwEMB9Yp6ymwlPqew/edit?gid=984458430#gid=984458430"", ""'replication success'!A:K""), 11, FAlSE)"),"#N/A")</f>
        <v>#N/A</v>
      </c>
      <c r="AZ3115" s="61" t="str">
        <f>IFERROR(__xludf.DUMMYFUNCTION("vlookup(BB3115,importrange(""https://docs.google.com/spreadsheets/d/1d2vevQ_7D_v35q4wCQ4RpQ_IPoTwEMB9Yp6ymwlPqew/edit?gid=984458430#gid=984458430"", ""'replication success'!A:M""), 12, FAlSE)"),"#N/A")</f>
        <v>#N/A</v>
      </c>
      <c r="BA3115" s="61" t="str">
        <f>IFERROR(__xludf.DUMMYFUNCTION("vlookup(BB3115,importrange(""https://docs.google.com/spreadsheets/d/1d2vevQ_7D_v35q4wCQ4RpQ_IPoTwEMB9Yp6ymwlPqew/edit?gid=984458430#gid=984458430"", ""'replication success'!A:M""), 13, FAlSE)"),"#N/A")</f>
        <v>#N/A</v>
      </c>
      <c r="BB3115" s="61" t="str">
        <f>IFERROR(__xludf.DUMMYFUNCTION("REGEXREPLACE(G3115, ""_[a-z]{1,2}$"", """")"),"CORE_97")</f>
        <v>CORE_97</v>
      </c>
      <c r="BD3115" s="62" t="s">
        <v>7302</v>
      </c>
    </row>
    <row r="3116">
      <c r="A3116" s="44">
        <v>2937.0</v>
      </c>
      <c r="B3116" s="129" t="s">
        <v>523</v>
      </c>
      <c r="C3116" s="62" t="s">
        <v>115</v>
      </c>
      <c r="D3116" s="62" t="s">
        <v>248</v>
      </c>
      <c r="F3116" s="68" t="s">
        <v>18624</v>
      </c>
      <c r="G3116" s="68" t="s">
        <v>18684</v>
      </c>
      <c r="H3116" s="68" t="s">
        <v>249</v>
      </c>
      <c r="I3116" s="529">
        <v>45812.0</v>
      </c>
      <c r="J3116" s="862"/>
      <c r="K3116" s="68"/>
      <c r="L3116" s="68"/>
      <c r="M3116" s="68" t="s">
        <v>18627</v>
      </c>
      <c r="N3116" s="68" t="s">
        <v>18628</v>
      </c>
      <c r="O3116" s="68"/>
      <c r="P3116" s="573" t="s">
        <v>18629</v>
      </c>
      <c r="Q3116" s="2375" t="str">
        <f> hyperlink(vlookup(lower(N3116),'File Links'!E:F, 2, FALSE), "LINK")</f>
        <v>LINK</v>
      </c>
      <c r="R3116" s="68" t="s">
        <v>18630</v>
      </c>
      <c r="S3116" s="68" t="s">
        <v>18631</v>
      </c>
      <c r="T3116" s="68"/>
      <c r="U3116" s="68"/>
      <c r="V3116" s="573" t="s">
        <v>18632</v>
      </c>
      <c r="W3116" s="1228"/>
      <c r="X3116" s="2376" t="str">
        <f> hyperlink(vlookup(lower(S3116),'File Links'!E:F, 2, FALSE), "LINK")</f>
        <v>LINK</v>
      </c>
      <c r="Y3116" s="68"/>
      <c r="Z3116" s="68" t="s">
        <v>947</v>
      </c>
      <c r="AA3116" s="68" t="s">
        <v>18633</v>
      </c>
      <c r="AB3116" s="68" t="s">
        <v>7291</v>
      </c>
      <c r="AC3116" s="68" t="s">
        <v>18634</v>
      </c>
      <c r="AD3116" s="68" t="s">
        <v>18685</v>
      </c>
      <c r="AE3116" s="68" t="s">
        <v>1042</v>
      </c>
      <c r="AF3116" s="336">
        <v>82.0</v>
      </c>
      <c r="AG3116" s="68" t="s">
        <v>18686</v>
      </c>
      <c r="AH3116" s="68" t="s">
        <v>134</v>
      </c>
      <c r="AI3116" s="2489" t="s">
        <v>18687</v>
      </c>
      <c r="AJ3116" s="336">
        <v>0.05</v>
      </c>
      <c r="AK3116" s="68" t="s">
        <v>335</v>
      </c>
      <c r="AL3116" s="68" t="s">
        <v>186</v>
      </c>
      <c r="AM3116" s="68" t="s">
        <v>137</v>
      </c>
      <c r="AN3116" s="68" t="s">
        <v>138</v>
      </c>
      <c r="AO3116" s="336">
        <v>171.0</v>
      </c>
      <c r="AP3116" s="336">
        <v>0.04</v>
      </c>
      <c r="AQ3116" s="68" t="s">
        <v>173</v>
      </c>
      <c r="AR3116" s="68" t="s">
        <v>18688</v>
      </c>
      <c r="AS3116" s="336">
        <v>0.809</v>
      </c>
      <c r="AT3116" s="68" t="s">
        <v>172</v>
      </c>
      <c r="AU3116" s="68" t="s">
        <v>186</v>
      </c>
      <c r="AV3116" s="68" t="s">
        <v>137</v>
      </c>
      <c r="AW3116" s="435" t="s">
        <v>18639</v>
      </c>
      <c r="AX3116" s="68" t="s">
        <v>143</v>
      </c>
      <c r="AY3116" s="61" t="str">
        <f>IFERROR(__xludf.DUMMYFUNCTION("vlookup(BB3116,importrange(""https://docs.google.com/spreadsheets/d/1d2vevQ_7D_v35q4wCQ4RpQ_IPoTwEMB9Yp6ymwlPqew/edit?gid=984458430#gid=984458430"", ""'replication success'!A:K""), 11, FAlSE)"),"#N/A")</f>
        <v>#N/A</v>
      </c>
      <c r="AZ3116" s="61" t="str">
        <f>IFERROR(__xludf.DUMMYFUNCTION("vlookup(BB3116,importrange(""https://docs.google.com/spreadsheets/d/1d2vevQ_7D_v35q4wCQ4RpQ_IPoTwEMB9Yp6ymwlPqew/edit?gid=984458430#gid=984458430"", ""'replication success'!A:M""), 12, FAlSE)"),"#N/A")</f>
        <v>#N/A</v>
      </c>
      <c r="BA3116" s="61" t="str">
        <f>IFERROR(__xludf.DUMMYFUNCTION("vlookup(BB3116,importrange(""https://docs.google.com/spreadsheets/d/1d2vevQ_7D_v35q4wCQ4RpQ_IPoTwEMB9Yp6ymwlPqew/edit?gid=984458430#gid=984458430"", ""'replication success'!A:M""), 13, FAlSE)"),"#N/A")</f>
        <v>#N/A</v>
      </c>
      <c r="BB3116" s="61" t="str">
        <f>IFERROR(__xludf.DUMMYFUNCTION("REGEXREPLACE(G3116, ""_[a-z]{1,2}$"", """")"),"CORE_97")</f>
        <v>CORE_97</v>
      </c>
      <c r="BD3116" s="62" t="s">
        <v>7302</v>
      </c>
    </row>
    <row r="3117">
      <c r="A3117" s="44">
        <v>2938.0</v>
      </c>
      <c r="B3117" s="129" t="s">
        <v>523</v>
      </c>
      <c r="C3117" s="62" t="s">
        <v>115</v>
      </c>
      <c r="D3117" s="62" t="s">
        <v>248</v>
      </c>
      <c r="F3117" s="68" t="s">
        <v>18624</v>
      </c>
      <c r="G3117" s="68" t="s">
        <v>18689</v>
      </c>
      <c r="H3117" s="68" t="s">
        <v>249</v>
      </c>
      <c r="I3117" s="529">
        <v>45812.0</v>
      </c>
      <c r="J3117" s="862"/>
      <c r="K3117" s="68"/>
      <c r="L3117" s="68"/>
      <c r="M3117" s="68" t="s">
        <v>18627</v>
      </c>
      <c r="N3117" s="68" t="s">
        <v>18628</v>
      </c>
      <c r="O3117" s="68"/>
      <c r="P3117" s="573" t="s">
        <v>18629</v>
      </c>
      <c r="Q3117" s="2375" t="str">
        <f> hyperlink(vlookup(lower(N3117),'File Links'!E:F, 2, FALSE), "LINK")</f>
        <v>LINK</v>
      </c>
      <c r="R3117" s="68" t="s">
        <v>18630</v>
      </c>
      <c r="S3117" s="68" t="s">
        <v>18631</v>
      </c>
      <c r="T3117" s="68"/>
      <c r="U3117" s="68"/>
      <c r="V3117" s="573" t="s">
        <v>18632</v>
      </c>
      <c r="W3117" s="1228"/>
      <c r="X3117" s="2376" t="str">
        <f> hyperlink(vlookup(lower(S3117),'File Links'!E:F, 2, FALSE), "LINK")</f>
        <v>LINK</v>
      </c>
      <c r="Y3117" s="68"/>
      <c r="Z3117" s="68" t="s">
        <v>947</v>
      </c>
      <c r="AA3117" s="68" t="s">
        <v>18633</v>
      </c>
      <c r="AB3117" s="68" t="s">
        <v>7291</v>
      </c>
      <c r="AC3117" s="68" t="s">
        <v>18634</v>
      </c>
      <c r="AD3117" s="68" t="s">
        <v>18690</v>
      </c>
      <c r="AE3117" s="68" t="s">
        <v>1042</v>
      </c>
      <c r="AF3117" s="336">
        <v>41.0</v>
      </c>
      <c r="AG3117" s="68" t="s">
        <v>18691</v>
      </c>
      <c r="AH3117" s="68" t="s">
        <v>134</v>
      </c>
      <c r="AI3117" s="2489" t="s">
        <v>18692</v>
      </c>
      <c r="AJ3117" s="336">
        <v>0.001</v>
      </c>
      <c r="AK3117" s="68" t="s">
        <v>135</v>
      </c>
      <c r="AL3117" s="68" t="s">
        <v>186</v>
      </c>
      <c r="AM3117" s="68" t="s">
        <v>137</v>
      </c>
      <c r="AN3117" s="68" t="s">
        <v>138</v>
      </c>
      <c r="AO3117" s="336">
        <v>94.0</v>
      </c>
      <c r="AP3117" s="336">
        <v>1.55</v>
      </c>
      <c r="AQ3117" s="68" t="s">
        <v>173</v>
      </c>
      <c r="AR3117" s="68" t="s">
        <v>18693</v>
      </c>
      <c r="AS3117" s="336">
        <v>0.001</v>
      </c>
      <c r="AT3117" s="68" t="s">
        <v>135</v>
      </c>
      <c r="AU3117" s="68" t="s">
        <v>186</v>
      </c>
      <c r="AV3117" s="68" t="s">
        <v>137</v>
      </c>
      <c r="AW3117" s="435" t="s">
        <v>18639</v>
      </c>
      <c r="AX3117" s="68" t="s">
        <v>143</v>
      </c>
      <c r="AY3117" s="61" t="str">
        <f>IFERROR(__xludf.DUMMYFUNCTION("vlookup(BB3117,importrange(""https://docs.google.com/spreadsheets/d/1d2vevQ_7D_v35q4wCQ4RpQ_IPoTwEMB9Yp6ymwlPqew/edit?gid=984458430#gid=984458430"", ""'replication success'!A:K""), 11, FAlSE)"),"#N/A")</f>
        <v>#N/A</v>
      </c>
      <c r="AZ3117" s="61" t="str">
        <f>IFERROR(__xludf.DUMMYFUNCTION("vlookup(BB3117,importrange(""https://docs.google.com/spreadsheets/d/1d2vevQ_7D_v35q4wCQ4RpQ_IPoTwEMB9Yp6ymwlPqew/edit?gid=984458430#gid=984458430"", ""'replication success'!A:M""), 12, FAlSE)"),"#N/A")</f>
        <v>#N/A</v>
      </c>
      <c r="BA3117" s="61" t="str">
        <f>IFERROR(__xludf.DUMMYFUNCTION("vlookup(BB3117,importrange(""https://docs.google.com/spreadsheets/d/1d2vevQ_7D_v35q4wCQ4RpQ_IPoTwEMB9Yp6ymwlPqew/edit?gid=984458430#gid=984458430"", ""'replication success'!A:M""), 13, FAlSE)"),"#N/A")</f>
        <v>#N/A</v>
      </c>
      <c r="BB3117" s="61" t="str">
        <f>IFERROR(__xludf.DUMMYFUNCTION("REGEXREPLACE(G3117, ""_[a-z]{1,2}$"", """")"),"CORE_97")</f>
        <v>CORE_97</v>
      </c>
      <c r="BD3117" s="62" t="s">
        <v>7302</v>
      </c>
    </row>
    <row r="3118">
      <c r="A3118" s="44">
        <v>2939.0</v>
      </c>
      <c r="B3118" s="129" t="s">
        <v>523</v>
      </c>
      <c r="C3118" s="62" t="s">
        <v>115</v>
      </c>
      <c r="D3118" s="62" t="s">
        <v>248</v>
      </c>
      <c r="F3118" s="68" t="s">
        <v>18624</v>
      </c>
      <c r="G3118" s="68" t="s">
        <v>18694</v>
      </c>
      <c r="H3118" s="68" t="s">
        <v>249</v>
      </c>
      <c r="I3118" s="529">
        <v>45812.0</v>
      </c>
      <c r="J3118" s="862"/>
      <c r="K3118" s="68"/>
      <c r="L3118" s="68"/>
      <c r="M3118" s="68" t="s">
        <v>18627</v>
      </c>
      <c r="N3118" s="68" t="s">
        <v>18628</v>
      </c>
      <c r="O3118" s="68"/>
      <c r="P3118" s="573" t="s">
        <v>18629</v>
      </c>
      <c r="Q3118" s="2375" t="str">
        <f> hyperlink(vlookup(lower(N3118),'File Links'!E:F, 2, FALSE), "LINK")</f>
        <v>LINK</v>
      </c>
      <c r="R3118" s="68" t="s">
        <v>18630</v>
      </c>
      <c r="S3118" s="68" t="s">
        <v>18631</v>
      </c>
      <c r="T3118" s="68"/>
      <c r="U3118" s="68"/>
      <c r="V3118" s="573" t="s">
        <v>18632</v>
      </c>
      <c r="W3118" s="1228"/>
      <c r="X3118" s="2376" t="str">
        <f> hyperlink(vlookup(lower(S3118),'File Links'!E:F, 2, FALSE), "LINK")</f>
        <v>LINK</v>
      </c>
      <c r="Y3118" s="68"/>
      <c r="Z3118" s="68" t="s">
        <v>947</v>
      </c>
      <c r="AA3118" s="68" t="s">
        <v>18633</v>
      </c>
      <c r="AB3118" s="68" t="s">
        <v>7291</v>
      </c>
      <c r="AC3118" s="68" t="s">
        <v>18634</v>
      </c>
      <c r="AD3118" s="68" t="s">
        <v>18695</v>
      </c>
      <c r="AE3118" s="68" t="s">
        <v>1042</v>
      </c>
      <c r="AF3118" s="336">
        <v>85.0</v>
      </c>
      <c r="AG3118" s="68" t="s">
        <v>18696</v>
      </c>
      <c r="AH3118" s="68" t="s">
        <v>134</v>
      </c>
      <c r="AI3118" s="2489" t="s">
        <v>18697</v>
      </c>
      <c r="AJ3118" s="336">
        <v>0.001</v>
      </c>
      <c r="AK3118" s="68" t="s">
        <v>135</v>
      </c>
      <c r="AL3118" s="68" t="s">
        <v>186</v>
      </c>
      <c r="AM3118" s="68" t="s">
        <v>137</v>
      </c>
      <c r="AN3118" s="68" t="s">
        <v>138</v>
      </c>
      <c r="AO3118" s="336">
        <v>181.0</v>
      </c>
      <c r="AP3118" s="336">
        <v>0.02</v>
      </c>
      <c r="AQ3118" s="68" t="s">
        <v>173</v>
      </c>
      <c r="AR3118" s="68" t="s">
        <v>18698</v>
      </c>
      <c r="AS3118" s="336">
        <v>0.898</v>
      </c>
      <c r="AT3118" s="68" t="s">
        <v>172</v>
      </c>
      <c r="AU3118" s="68" t="s">
        <v>186</v>
      </c>
      <c r="AV3118" s="68" t="s">
        <v>137</v>
      </c>
      <c r="AW3118" s="435" t="s">
        <v>18639</v>
      </c>
      <c r="AX3118" s="68" t="s">
        <v>143</v>
      </c>
      <c r="AY3118" s="61" t="str">
        <f>IFERROR(__xludf.DUMMYFUNCTION("vlookup(BB3118,importrange(""https://docs.google.com/spreadsheets/d/1d2vevQ_7D_v35q4wCQ4RpQ_IPoTwEMB9Yp6ymwlPqew/edit?gid=984458430#gid=984458430"", ""'replication success'!A:K""), 11, FAlSE)"),"#N/A")</f>
        <v>#N/A</v>
      </c>
      <c r="AZ3118" s="61" t="str">
        <f>IFERROR(__xludf.DUMMYFUNCTION("vlookup(BB3118,importrange(""https://docs.google.com/spreadsheets/d/1d2vevQ_7D_v35q4wCQ4RpQ_IPoTwEMB9Yp6ymwlPqew/edit?gid=984458430#gid=984458430"", ""'replication success'!A:M""), 12, FAlSE)"),"#N/A")</f>
        <v>#N/A</v>
      </c>
      <c r="BA3118" s="61" t="str">
        <f>IFERROR(__xludf.DUMMYFUNCTION("vlookup(BB3118,importrange(""https://docs.google.com/spreadsheets/d/1d2vevQ_7D_v35q4wCQ4RpQ_IPoTwEMB9Yp6ymwlPqew/edit?gid=984458430#gid=984458430"", ""'replication success'!A:M""), 13, FAlSE)"),"#N/A")</f>
        <v>#N/A</v>
      </c>
      <c r="BB3118" s="61" t="str">
        <f>IFERROR(__xludf.DUMMYFUNCTION("REGEXREPLACE(G3118, ""_[a-z]{1,2}$"", """")"),"CORE_97")</f>
        <v>CORE_97</v>
      </c>
      <c r="BD3118" s="62" t="s">
        <v>7302</v>
      </c>
    </row>
    <row r="3119">
      <c r="A3119" s="44">
        <v>2728.0</v>
      </c>
      <c r="B3119" s="129" t="s">
        <v>114</v>
      </c>
      <c r="C3119" s="62" t="s">
        <v>115</v>
      </c>
      <c r="D3119" s="62" t="s">
        <v>990</v>
      </c>
      <c r="F3119" s="68" t="s">
        <v>7634</v>
      </c>
      <c r="G3119" s="159" t="s">
        <v>7635</v>
      </c>
      <c r="H3119" s="159" t="s">
        <v>7237</v>
      </c>
      <c r="I3119" s="1287" t="s">
        <v>119</v>
      </c>
      <c r="J3119" s="540">
        <v>45736.0</v>
      </c>
      <c r="K3119" s="159" t="s">
        <v>138</v>
      </c>
      <c r="L3119" s="159" t="s">
        <v>7643</v>
      </c>
      <c r="M3119" s="159" t="s">
        <v>7622</v>
      </c>
      <c r="N3119" s="159" t="s">
        <v>7623</v>
      </c>
      <c r="O3119" s="156">
        <v>1.0</v>
      </c>
      <c r="P3119" s="382" t="s">
        <v>7624</v>
      </c>
      <c r="Q3119" s="2490" t="str">
        <f t="array" ref="Q3119"> if(iserror(MATCH(V3119, 'File Links'!C:C, 0)), "N/A", HYPERLINK(INDEX('File Links'!B:B, MATCH(P3119, 'File Links'!C:C, 0))))</f>
        <v>https://drive.google.com/file/d/1-8hoTcDzN7GjN92fqlhu7SLhxRSQTUrd/view?usp=drivesdk</v>
      </c>
      <c r="R3119" s="159" t="s">
        <v>7638</v>
      </c>
      <c r="S3119" s="159" t="s">
        <v>7639</v>
      </c>
      <c r="T3119" s="159" t="s">
        <v>138</v>
      </c>
      <c r="U3119" s="156">
        <v>1.0</v>
      </c>
      <c r="V3119" s="382" t="s">
        <v>7640</v>
      </c>
      <c r="W3119" s="159" t="s">
        <v>7649</v>
      </c>
      <c r="X3119" s="2491" t="str">
        <f t="array" ref="X3119"> if(iserror(MATCH(V3119, 'File Links'!C:C, 0)), "N/A", HYPERLINK(INDEX('File Links'!B:B, MATCH(V3119, 'File Links'!C:C, 0))))</f>
        <v>https://drive.google.com/file/d/1x9sfN1Qyptlpks3NPyyD6PckLhoE6G6J/view?usp=drivesdk</v>
      </c>
      <c r="Y3119" s="159"/>
      <c r="Z3119" s="159" t="s">
        <v>226</v>
      </c>
      <c r="AA3119" s="159" t="s">
        <v>7628</v>
      </c>
      <c r="AB3119" s="159" t="s">
        <v>7650</v>
      </c>
      <c r="AC3119" s="159" t="s">
        <v>7628</v>
      </c>
      <c r="AD3119" s="159" t="s">
        <v>7651</v>
      </c>
      <c r="AE3119" s="159" t="s">
        <v>2771</v>
      </c>
      <c r="AF3119" s="156">
        <v>40.0</v>
      </c>
      <c r="AG3119" s="156">
        <v>0.52</v>
      </c>
      <c r="AH3119" s="159" t="s">
        <v>215</v>
      </c>
      <c r="AI3119" s="159" t="s">
        <v>2771</v>
      </c>
      <c r="AJ3119" s="156">
        <v>0.001</v>
      </c>
      <c r="AK3119" s="159" t="s">
        <v>172</v>
      </c>
      <c r="AL3119" s="159" t="s">
        <v>186</v>
      </c>
      <c r="AM3119" s="159" t="s">
        <v>137</v>
      </c>
      <c r="AN3119" s="330" t="s">
        <v>138</v>
      </c>
      <c r="AO3119" s="156">
        <v>240.0</v>
      </c>
      <c r="AP3119" s="1059">
        <v>0.176</v>
      </c>
      <c r="AQ3119" s="159" t="s">
        <v>173</v>
      </c>
      <c r="AR3119" s="159" t="s">
        <v>507</v>
      </c>
      <c r="AS3119" s="156">
        <v>0.362</v>
      </c>
      <c r="AT3119" s="159" t="s">
        <v>172</v>
      </c>
      <c r="AU3119" s="159" t="s">
        <v>186</v>
      </c>
      <c r="AV3119" s="159" t="s">
        <v>137</v>
      </c>
      <c r="AW3119" s="1471" t="s">
        <v>7642</v>
      </c>
      <c r="AX3119" s="159" t="s">
        <v>143</v>
      </c>
      <c r="AY3119" s="61" t="str">
        <f>IFERROR(__xludf.DUMMYFUNCTION("vlookup(BB3119,importrange(""https://docs.google.com/spreadsheets/d/1d2vevQ_7D_v35q4wCQ4RpQ_IPoTwEMB9Yp6ymwlPqew/edit?gid=984458430#gid=984458430"", ""'replication success'!A:K""), 11, FAlSE)"),"failed")</f>
        <v>failed</v>
      </c>
      <c r="AZ3119" s="61" t="str">
        <f>IFERROR(__xludf.DUMMYFUNCTION("vlookup(BB3119,importrange(""https://docs.google.com/spreadsheets/d/1d2vevQ_7D_v35q4wCQ4RpQ_IPoTwEMB9Yp6ymwlPqew/edit?gid=984458430#gid=984458430"",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3119" s="61" t="str">
        <f>IFERROR(__xludf.DUMMYFUNCTION("vlookup(BB3119,importrange(""https://docs.google.com/spreadsheets/d/1d2vevQ_7D_v35q4wCQ4RpQ_IPoTwEMB9Yp6ymwlPqew/edit?gid=984458430#gid=984458430"", ""'replication success'!A:M""), 13, FAlSE)"),"abstract")</f>
        <v>abstract</v>
      </c>
      <c r="BB3119" s="61" t="str">
        <f>IFERROR(__xludf.DUMMYFUNCTION("REGEXREPLACE(G3119, ""_[a-z]{1,2}$"", """")"),"curatescience27")</f>
        <v>curatescience27</v>
      </c>
      <c r="BC3119" s="68"/>
      <c r="BD3119" s="62" t="s">
        <v>144</v>
      </c>
      <c r="BE3119" s="71"/>
    </row>
    <row r="3120">
      <c r="A3120" s="44">
        <v>2978.0</v>
      </c>
      <c r="B3120" s="129" t="s">
        <v>114</v>
      </c>
      <c r="C3120" s="62" t="s">
        <v>115</v>
      </c>
      <c r="D3120" s="62" t="s">
        <v>2930</v>
      </c>
      <c r="F3120" s="68" t="s">
        <v>7645</v>
      </c>
      <c r="G3120" s="159" t="s">
        <v>7646</v>
      </c>
      <c r="H3120" s="159" t="s">
        <v>7619</v>
      </c>
      <c r="I3120" s="1287" t="s">
        <v>7238</v>
      </c>
      <c r="J3120" s="68"/>
      <c r="K3120" s="159" t="s">
        <v>7636</v>
      </c>
      <c r="L3120" s="159" t="s">
        <v>18699</v>
      </c>
      <c r="M3120" s="159" t="s">
        <v>7622</v>
      </c>
      <c r="N3120" s="159" t="s">
        <v>7623</v>
      </c>
      <c r="O3120" s="156">
        <v>1.0</v>
      </c>
      <c r="P3120" s="382" t="s">
        <v>7624</v>
      </c>
      <c r="Q3120" s="2490" t="str">
        <f t="array" ref="Q3120"> if(iserror(MATCH(V3120, 'File Links'!C:C, 0)), "N/A", HYPERLINK(INDEX('File Links'!B:B, MATCH(P3120, 'File Links'!C:C, 0))))</f>
        <v>https://drive.google.com/file/d/1-8hoTcDzN7GjN92fqlhu7SLhxRSQTUrd/view?usp=drivesdk</v>
      </c>
      <c r="R3120" s="159" t="s">
        <v>7648</v>
      </c>
      <c r="S3120" s="159" t="s">
        <v>7639</v>
      </c>
      <c r="T3120" s="68" t="s">
        <v>138</v>
      </c>
      <c r="U3120" s="336">
        <v>2.0</v>
      </c>
      <c r="V3120" s="159" t="s">
        <v>7640</v>
      </c>
      <c r="W3120" s="159" t="s">
        <v>209</v>
      </c>
      <c r="X3120" s="2491" t="str">
        <f t="array" ref="X3120"> if(iserror(MATCH(V3120, 'File Links'!C:C, 0)), "N/A", HYPERLINK(INDEX('File Links'!B:B, MATCH(V3120, 'File Links'!C:C, 0))))</f>
        <v>https://drive.google.com/file/d/1x9sfN1Qyptlpks3NPyyD6PckLhoE6G6J/view?usp=drivesdk</v>
      </c>
      <c r="Y3120" s="68"/>
      <c r="Z3120" s="159" t="s">
        <v>226</v>
      </c>
      <c r="AA3120" s="159" t="s">
        <v>7628</v>
      </c>
      <c r="AB3120" s="159" t="s">
        <v>7629</v>
      </c>
      <c r="AC3120" s="159" t="s">
        <v>7630</v>
      </c>
      <c r="AD3120" s="159" t="s">
        <v>7631</v>
      </c>
      <c r="AE3120" s="156">
        <v>2.0</v>
      </c>
      <c r="AF3120" s="156">
        <v>40.0</v>
      </c>
      <c r="AG3120" s="156">
        <v>0.52</v>
      </c>
      <c r="AH3120" s="159" t="s">
        <v>215</v>
      </c>
      <c r="AI3120" s="156">
        <v>2.0</v>
      </c>
      <c r="AJ3120" s="156">
        <v>0.001</v>
      </c>
      <c r="AK3120" s="159" t="s">
        <v>172</v>
      </c>
      <c r="AL3120" s="159" t="s">
        <v>186</v>
      </c>
      <c r="AM3120" s="159" t="s">
        <v>137</v>
      </c>
      <c r="AN3120" s="159" t="s">
        <v>138</v>
      </c>
      <c r="AO3120" s="156">
        <v>90.0</v>
      </c>
      <c r="AP3120" s="156">
        <v>0.19</v>
      </c>
      <c r="AQ3120" s="159" t="s">
        <v>215</v>
      </c>
      <c r="AR3120" s="159" t="s">
        <v>217</v>
      </c>
      <c r="AS3120" s="156" t="s">
        <v>138</v>
      </c>
      <c r="AT3120" s="156" t="s">
        <v>138</v>
      </c>
      <c r="AU3120" s="159" t="s">
        <v>186</v>
      </c>
      <c r="AV3120" s="159" t="s">
        <v>137</v>
      </c>
      <c r="AW3120" s="435" t="s">
        <v>18700</v>
      </c>
      <c r="AX3120" s="159" t="s">
        <v>438</v>
      </c>
      <c r="AY3120" s="61" t="str">
        <f>IFERROR(__xludf.DUMMYFUNCTION("vlookup(BB3120,importrange(""https://docs.google.com/spreadsheets/d/1d2vevQ_7D_v35q4wCQ4RpQ_IPoTwEMB9Yp6ymwlPqew/edit?gid=984458430#gid=984458430"", ""'replication success'!A:K""), 11, FAlSE)"),"failed")</f>
        <v>failed</v>
      </c>
      <c r="AZ3120" s="61" t="str">
        <f>IFERROR(__xludf.DUMMYFUNCTION("vlookup(BB3120,importrange(""https://docs.google.com/spreadsheets/d/1d2vevQ_7D_v35q4wCQ4RpQ_IPoTwEMB9Yp6ymwlPqew/edit?gid=984458430#gid=984458430"", ""'replication success'!A:M""), 12, FAlSE)"),"In both samples, we were
unsuccessful in replicating the target finding.")</f>
        <v>In both samples, we were
unsuccessful in replicating the target finding.</v>
      </c>
      <c r="BA3120" s="61" t="str">
        <f>IFERROR(__xludf.DUMMYFUNCTION("vlookup(BB3120,importrange(""https://docs.google.com/spreadsheets/d/1d2vevQ_7D_v35q4wCQ4RpQ_IPoTwEMB9Yp6ymwlPqew/edit?gid=984458430#gid=984458430"", ""'replication success'!A:M""), 13, FAlSE)"),"abstract")</f>
        <v>abstract</v>
      </c>
      <c r="BB3120" s="61" t="str">
        <f>IFERROR(__xludf.DUMMYFUNCTION("REGEXREPLACE(G3120, ""_[a-z]{1,2}$"", """")"),"curatescience28")</f>
        <v>curatescience28</v>
      </c>
    </row>
    <row r="3121">
      <c r="A3121" s="1398">
        <v>2980.0</v>
      </c>
      <c r="B3121" s="695" t="s">
        <v>114</v>
      </c>
      <c r="C3121" s="227" t="s">
        <v>115</v>
      </c>
      <c r="D3121" s="227" t="s">
        <v>2930</v>
      </c>
      <c r="E3121" s="228"/>
      <c r="F3121" s="237" t="s">
        <v>7752</v>
      </c>
      <c r="G3121" s="235" t="s">
        <v>7753</v>
      </c>
      <c r="H3121" s="235" t="s">
        <v>7619</v>
      </c>
      <c r="I3121" s="1399" t="s">
        <v>7741</v>
      </c>
      <c r="J3121" s="237"/>
      <c r="K3121" s="235" t="s">
        <v>7746</v>
      </c>
      <c r="L3121" s="235" t="s">
        <v>7350</v>
      </c>
      <c r="M3121" s="235" t="s">
        <v>7723</v>
      </c>
      <c r="N3121" s="235" t="s">
        <v>7724</v>
      </c>
      <c r="O3121" s="696">
        <v>1.0</v>
      </c>
      <c r="P3121" s="235" t="s">
        <v>7725</v>
      </c>
      <c r="Q3121" s="2492" t="str">
        <f t="array" ref="Q3121"> if(iserror(MATCH(V3121, 'File Links'!C:C, 0)), "N/A", HYPERLINK(INDEX('File Links'!B:B, MATCH(P3121, 'File Links'!C:C, 0))))</f>
        <v>https://drive.google.com/file/d/13IdVrs_fFWj8hYxe5OVSE67tGuCcKPct/view?usp=drivesdk</v>
      </c>
      <c r="R3121" s="235" t="s">
        <v>7754</v>
      </c>
      <c r="S3121" s="235" t="s">
        <v>7727</v>
      </c>
      <c r="T3121" s="235" t="s">
        <v>138</v>
      </c>
      <c r="U3121" s="696">
        <v>4.0</v>
      </c>
      <c r="V3121" s="235" t="s">
        <v>7728</v>
      </c>
      <c r="W3121" s="235" t="s">
        <v>209</v>
      </c>
      <c r="X3121" s="2493" t="str">
        <f t="array" ref="X3121"> if(iserror(MATCH(V3121, 'File Links'!C:C, 0)), "N/A", HYPERLINK(INDEX('File Links'!B:B, MATCH(V3121, 'File Links'!C:C, 0))))</f>
        <v>https://drive.google.com/file/d/1JdFF8pu65hv5yMW8kuJKZT-omhqW3568/view?usp=drivesdk</v>
      </c>
      <c r="Y3121" s="237"/>
      <c r="Z3121" s="235" t="s">
        <v>226</v>
      </c>
      <c r="AA3121" s="235" t="s">
        <v>7729</v>
      </c>
      <c r="AB3121" s="235" t="s">
        <v>7730</v>
      </c>
      <c r="AC3121" s="235" t="s">
        <v>7729</v>
      </c>
      <c r="AD3121" s="235" t="s">
        <v>7743</v>
      </c>
      <c r="AE3121" s="235" t="s">
        <v>7732</v>
      </c>
      <c r="AF3121" s="696">
        <v>62.0</v>
      </c>
      <c r="AG3121" s="696">
        <v>1.21</v>
      </c>
      <c r="AH3121" s="235" t="s">
        <v>173</v>
      </c>
      <c r="AI3121" s="235" t="s">
        <v>7733</v>
      </c>
      <c r="AJ3121" s="696" t="s">
        <v>138</v>
      </c>
      <c r="AK3121" s="696" t="s">
        <v>138</v>
      </c>
      <c r="AL3121" s="235" t="s">
        <v>186</v>
      </c>
      <c r="AM3121" s="235" t="s">
        <v>137</v>
      </c>
      <c r="AN3121" s="235" t="s">
        <v>138</v>
      </c>
      <c r="AO3121" s="696">
        <v>153.0</v>
      </c>
      <c r="AP3121" s="696">
        <v>0.042</v>
      </c>
      <c r="AQ3121" s="235" t="s">
        <v>173</v>
      </c>
      <c r="AR3121" s="235" t="s">
        <v>7755</v>
      </c>
      <c r="AS3121" s="696" t="s">
        <v>138</v>
      </c>
      <c r="AT3121" s="696" t="s">
        <v>138</v>
      </c>
      <c r="AU3121" s="235" t="s">
        <v>186</v>
      </c>
      <c r="AV3121" s="235" t="s">
        <v>137</v>
      </c>
      <c r="AW3121" s="237" t="s">
        <v>138</v>
      </c>
      <c r="AX3121" s="235" t="s">
        <v>151</v>
      </c>
      <c r="AY3121" s="61" t="str">
        <f>IFERROR(__xludf.DUMMYFUNCTION("vlookup(BB3121,importrange(""https://docs.google.com/spreadsheets/d/1d2vevQ_7D_v35q4wCQ4RpQ_IPoTwEMB9Yp6ymwlPqew/edit?gid=984458430#gid=984458430"", ""'replication success'!A:K""), 11, FAlSE)"),"#N/A")</f>
        <v>#N/A</v>
      </c>
      <c r="AZ3121" s="61" t="str">
        <f>IFERROR(__xludf.DUMMYFUNCTION("vlookup(BB3121,importrange(""https://docs.google.com/spreadsheets/d/1d2vevQ_7D_v35q4wCQ4RpQ_IPoTwEMB9Yp6ymwlPqew/edit?gid=984458430#gid=984458430"", ""'replication success'!A:M""), 12, FAlSE)"),"#N/A")</f>
        <v>#N/A</v>
      </c>
      <c r="BA3121" s="61" t="str">
        <f>IFERROR(__xludf.DUMMYFUNCTION("vlookup(BB3121,importrange(""https://docs.google.com/spreadsheets/d/1d2vevQ_7D_v35q4wCQ4RpQ_IPoTwEMB9Yp6ymwlPqew/edit?gid=984458430#gid=984458430"", ""'replication success'!A:M""), 13, FAlSE)"),"#N/A")</f>
        <v>#N/A</v>
      </c>
      <c r="BB3121" s="61" t="str">
        <f>IFERROR(__xludf.DUMMYFUNCTION("REGEXREPLACE(G3121, ""_[a-z]{1,2}$"", """")"),"curatescience36")</f>
        <v>curatescience36</v>
      </c>
      <c r="BC3121" s="228"/>
      <c r="BD3121" s="227" t="s">
        <v>692</v>
      </c>
      <c r="BE3121" s="228"/>
    </row>
    <row r="3122">
      <c r="A3122" s="1398">
        <v>2979.0</v>
      </c>
      <c r="B3122" s="695" t="s">
        <v>152</v>
      </c>
      <c r="C3122" s="227" t="s">
        <v>115</v>
      </c>
      <c r="D3122" s="227" t="s">
        <v>1441</v>
      </c>
      <c r="E3122" s="228"/>
      <c r="F3122" s="695" t="s">
        <v>7752</v>
      </c>
      <c r="G3122" s="695" t="s">
        <v>18701</v>
      </c>
      <c r="H3122" s="234" t="s">
        <v>1441</v>
      </c>
      <c r="I3122" s="698" t="s">
        <v>119</v>
      </c>
      <c r="J3122" s="1953">
        <v>45740.0</v>
      </c>
      <c r="K3122" s="234" t="s">
        <v>7756</v>
      </c>
      <c r="L3122" s="695" t="s">
        <v>7350</v>
      </c>
      <c r="M3122" s="695" t="s">
        <v>7723</v>
      </c>
      <c r="N3122" s="695" t="s">
        <v>7724</v>
      </c>
      <c r="O3122" s="2494">
        <v>1.0</v>
      </c>
      <c r="P3122" s="234" t="s">
        <v>7725</v>
      </c>
      <c r="Q3122" s="2492" t="str">
        <f t="array" ref="Q3122"> if(iserror(MATCH(V3122, 'File Links'!C:C, 0)), "N/A", HYPERLINK(INDEX('File Links'!B:B, MATCH(P3122, 'File Links'!C:C, 0))))</f>
        <v>https://drive.google.com/file/d/13IdVrs_fFWj8hYxe5OVSE67tGuCcKPct/view?usp=drivesdk</v>
      </c>
      <c r="R3122" s="1955" t="s">
        <v>7754</v>
      </c>
      <c r="S3122" s="695" t="s">
        <v>7727</v>
      </c>
      <c r="T3122" s="2495"/>
      <c r="U3122" s="1954">
        <v>4.0</v>
      </c>
      <c r="V3122" s="234" t="s">
        <v>7728</v>
      </c>
      <c r="W3122" s="343" t="s">
        <v>7757</v>
      </c>
      <c r="X3122" s="2493" t="str">
        <f t="array" ref="X3122"> if(iserror(MATCH(V3122, 'File Links'!C:C, 0)), "N/A", HYPERLINK(INDEX('File Links'!B:B, MATCH(V3122, 'File Links'!C:C, 0))))</f>
        <v>https://drive.google.com/file/d/1JdFF8pu65hv5yMW8kuJKZT-omhqW3568/view?usp=drivesdk</v>
      </c>
      <c r="Y3122" s="695"/>
      <c r="Z3122" s="234" t="s">
        <v>226</v>
      </c>
      <c r="AA3122" s="695" t="s">
        <v>7734</v>
      </c>
      <c r="AB3122" s="234" t="s">
        <v>7735</v>
      </c>
      <c r="AC3122" s="234" t="s">
        <v>7751</v>
      </c>
      <c r="AD3122" s="234" t="s">
        <v>7737</v>
      </c>
      <c r="AE3122" s="234">
        <v>4.0</v>
      </c>
      <c r="AF3122" s="2496">
        <v>62.0</v>
      </c>
      <c r="AG3122" s="698" t="s">
        <v>7738</v>
      </c>
      <c r="AH3122" s="234" t="s">
        <v>134</v>
      </c>
      <c r="AI3122" s="234" t="s">
        <v>850</v>
      </c>
      <c r="AJ3122" s="698">
        <v>0.001</v>
      </c>
      <c r="AK3122" s="234" t="s">
        <v>135</v>
      </c>
      <c r="AL3122" s="234" t="s">
        <v>186</v>
      </c>
      <c r="AM3122" s="695" t="s">
        <v>137</v>
      </c>
      <c r="AN3122" s="695" t="s">
        <v>138</v>
      </c>
      <c r="AO3122" s="698">
        <v>153.0</v>
      </c>
      <c r="AP3122" s="698">
        <v>-0.141</v>
      </c>
      <c r="AQ3122" s="234" t="s">
        <v>173</v>
      </c>
      <c r="AR3122" s="234" t="s">
        <v>7758</v>
      </c>
      <c r="AS3122" s="698">
        <v>0.388</v>
      </c>
      <c r="AT3122" s="234" t="s">
        <v>172</v>
      </c>
      <c r="AU3122" s="234" t="s">
        <v>186</v>
      </c>
      <c r="AV3122" s="695" t="s">
        <v>137</v>
      </c>
      <c r="AW3122" s="1957" t="s">
        <v>138</v>
      </c>
      <c r="AX3122" s="695" t="s">
        <v>151</v>
      </c>
      <c r="AY3122" s="61" t="str">
        <f>IFERROR(__xludf.DUMMYFUNCTION("vlookup(BB3122,importrange(""https://docs.google.com/spreadsheets/d/1d2vevQ_7D_v35q4wCQ4RpQ_IPoTwEMB9Yp6ymwlPqew/edit?gid=984458430#gid=984458430"", ""'replication success'!A:K""), 11, FAlSE)"),"#N/A")</f>
        <v>#N/A</v>
      </c>
      <c r="AZ3122" s="61" t="str">
        <f>IFERROR(__xludf.DUMMYFUNCTION("vlookup(BB3122,importrange(""https://docs.google.com/spreadsheets/d/1d2vevQ_7D_v35q4wCQ4RpQ_IPoTwEMB9Yp6ymwlPqew/edit?gid=984458430#gid=984458430"", ""'replication success'!A:M""), 12, FAlSE)"),"#N/A")</f>
        <v>#N/A</v>
      </c>
      <c r="BA3122" s="61" t="str">
        <f>IFERROR(__xludf.DUMMYFUNCTION("vlookup(BB3122,importrange(""https://docs.google.com/spreadsheets/d/1d2vevQ_7D_v35q4wCQ4RpQ_IPoTwEMB9Yp6ymwlPqew/edit?gid=984458430#gid=984458430"", ""'replication success'!A:M""), 13, FAlSE)"),"#N/A")</f>
        <v>#N/A</v>
      </c>
      <c r="BB3122" s="61" t="str">
        <f>IFERROR(__xludf.DUMMYFUNCTION("REGEXREPLACE(G3122, ""_[a-z]{1,2}$"", """")"),"curatescience36")</f>
        <v>curatescience36</v>
      </c>
      <c r="BC3122" s="228"/>
      <c r="BD3122" s="227" t="s">
        <v>692</v>
      </c>
      <c r="BE3122" s="228"/>
    </row>
    <row r="3123">
      <c r="A3123" s="44">
        <v>2981.0</v>
      </c>
      <c r="B3123" s="149" t="s">
        <v>114</v>
      </c>
      <c r="C3123" s="149" t="s">
        <v>115</v>
      </c>
      <c r="D3123" s="149" t="s">
        <v>2630</v>
      </c>
      <c r="E3123" s="71"/>
      <c r="F3123" s="218" t="s">
        <v>18702</v>
      </c>
      <c r="G3123" s="210" t="str">
        <f t="shared" ref="G3123:G3124" si="139">F3123&amp;"_"&amp;COUNTIF($B$3:F3123, F3123)</f>
        <v>curatescience365_1</v>
      </c>
      <c r="H3123" s="218" t="s">
        <v>7492</v>
      </c>
      <c r="I3123" s="415">
        <v>45675.0</v>
      </c>
      <c r="J3123" s="415">
        <v>45676.0</v>
      </c>
      <c r="K3123" s="111"/>
      <c r="L3123" s="111"/>
      <c r="M3123" s="1452" t="s">
        <v>18703</v>
      </c>
      <c r="N3123" s="218" t="s">
        <v>18704</v>
      </c>
      <c r="O3123" s="458">
        <v>2.0</v>
      </c>
      <c r="P3123" s="218" t="str">
        <f t="shared" ref="P3123:P3124" si="140"> SUBSTITUTE(lower(N3123), "/", "--") &amp;  ".pdf"</f>
        <v>10.1177--0956797611414726.pdf</v>
      </c>
      <c r="Q3123" s="2490" t="str">
        <f t="array" ref="Q3123"> if(iserror(MATCH(V3123, 'File Links'!C:C, 0)), "N/A", HYPERLINK(INDEX('File Links'!B:B, MATCH(P3123, 'File Links'!C:C, 0))))</f>
        <v>https://drive.google.com/file/d/1M2bQUYW3MLXQBgi-vbBlJhTa0bUosI7r/view?usp=drivesdk</v>
      </c>
      <c r="R3123" s="218" t="s">
        <v>7496</v>
      </c>
      <c r="S3123" s="218" t="s">
        <v>7497</v>
      </c>
      <c r="T3123" s="1121" t="s">
        <v>7498</v>
      </c>
      <c r="U3123" s="218" t="s">
        <v>18705</v>
      </c>
      <c r="V3123" s="198" t="str">
        <f t="shared" ref="V3123:V3124" si="141"> hyperlink(vlookup(lower(S3123),#REF!, 2, FALSE), SUBSTITUTE(lower(S3123), "/", "--") &amp;  ".pdf")</f>
        <v>10.1027--1864-9335--a000178.pdf</v>
      </c>
      <c r="W3123" s="218" t="s">
        <v>7500</v>
      </c>
      <c r="X3123" s="2491" t="str">
        <f t="array" ref="X3123"> if(iserror(MATCH(V3123, 'File Links'!C:C, 0)), "N/A", HYPERLINK(INDEX('File Links'!B:B, MATCH(V3123, 'File Links'!C:C, 0))))</f>
        <v>https://drive.google.com/file/d/1fIqa3RxgdnsQkWwGnLkF4XAbM2g_WN4q/view?usp=drivesdk</v>
      </c>
      <c r="Z3123" s="218" t="s">
        <v>226</v>
      </c>
      <c r="AA3123" s="218" t="s">
        <v>18706</v>
      </c>
      <c r="AB3123" s="218" t="s">
        <v>18707</v>
      </c>
      <c r="AC3123" s="218" t="s">
        <v>18708</v>
      </c>
      <c r="AD3123" s="218" t="s">
        <v>18709</v>
      </c>
      <c r="AE3123" s="218" t="s">
        <v>18710</v>
      </c>
      <c r="AF3123" s="1425">
        <v>183.0</v>
      </c>
      <c r="AG3123" s="1425">
        <v>0.298</v>
      </c>
      <c r="AH3123" s="216" t="s">
        <v>173</v>
      </c>
      <c r="AI3123" s="218" t="s">
        <v>18711</v>
      </c>
      <c r="AJ3123" s="1584">
        <v>0.04</v>
      </c>
      <c r="AK3123" s="210" t="s">
        <v>172</v>
      </c>
      <c r="AL3123" s="210" t="s">
        <v>136</v>
      </c>
      <c r="AM3123" s="1427" t="s">
        <v>137</v>
      </c>
      <c r="AN3123" s="147" t="s">
        <v>138</v>
      </c>
      <c r="AO3123" s="2497">
        <v>5150.0</v>
      </c>
      <c r="AP3123" s="1425">
        <v>0.02</v>
      </c>
      <c r="AQ3123" s="218" t="s">
        <v>173</v>
      </c>
      <c r="AR3123" s="218" t="s">
        <v>18712</v>
      </c>
      <c r="AS3123" s="1425">
        <v>0.33</v>
      </c>
      <c r="AT3123" s="218" t="s">
        <v>172</v>
      </c>
      <c r="AU3123" s="218" t="s">
        <v>136</v>
      </c>
      <c r="AV3123" s="1427" t="s">
        <v>137</v>
      </c>
      <c r="AW3123" s="1427" t="s">
        <v>7508</v>
      </c>
      <c r="AX3123" s="1427" t="s">
        <v>143</v>
      </c>
      <c r="AY3123" s="61" t="str">
        <f>IFERROR(__xludf.DUMMYFUNCTION("vlookup(BB3123,importrange(""https://docs.google.com/spreadsheets/d/1d2vevQ_7D_v35q4wCQ4RpQ_IPoTwEMB9Yp6ymwlPqew/edit?gid=984458430#gid=984458430"", ""'replication success'!A:K""), 11, FAlSE)"),"#N/A")</f>
        <v>#N/A</v>
      </c>
      <c r="AZ3123" s="61" t="str">
        <f>IFERROR(__xludf.DUMMYFUNCTION("vlookup(BB3123,importrange(""https://docs.google.com/spreadsheets/d/1d2vevQ_7D_v35q4wCQ4RpQ_IPoTwEMB9Yp6ymwlPqew/edit?gid=984458430#gid=984458430"", ""'replication success'!A:M""), 12, FAlSE)"),"#N/A")</f>
        <v>#N/A</v>
      </c>
      <c r="BA3123" s="61" t="str">
        <f>IFERROR(__xludf.DUMMYFUNCTION("vlookup(BB3123,importrange(""https://docs.google.com/spreadsheets/d/1d2vevQ_7D_v35q4wCQ4RpQ_IPoTwEMB9Yp6ymwlPqew/edit?gid=984458430#gid=984458430"", ""'replication success'!A:M""), 13, FAlSE)"),"#N/A")</f>
        <v>#N/A</v>
      </c>
      <c r="BB3123" s="61" t="str">
        <f>IFERROR(__xludf.DUMMYFUNCTION("REGEXREPLACE(G3123, ""_[a-z]{1,2}$"", """")"),"curatescience365_1")</f>
        <v>curatescience365_1</v>
      </c>
      <c r="BC3123" s="149" t="s">
        <v>18713</v>
      </c>
      <c r="BD3123" s="149" t="s">
        <v>144</v>
      </c>
    </row>
    <row r="3124">
      <c r="A3124" s="44">
        <v>2982.0</v>
      </c>
      <c r="B3124" s="149" t="s">
        <v>152</v>
      </c>
      <c r="C3124" s="149" t="s">
        <v>115</v>
      </c>
      <c r="D3124" s="149" t="s">
        <v>1234</v>
      </c>
      <c r="E3124" s="71"/>
      <c r="F3124" s="122" t="s">
        <v>18702</v>
      </c>
      <c r="G3124" s="112" t="str">
        <f t="shared" si="139"/>
        <v>curatescience365_2</v>
      </c>
      <c r="H3124" s="122" t="s">
        <v>6955</v>
      </c>
      <c r="I3124" s="417">
        <v>45901.0</v>
      </c>
      <c r="J3124" s="417">
        <v>45901.0</v>
      </c>
      <c r="K3124" s="111"/>
      <c r="L3124" s="147" t="s">
        <v>18714</v>
      </c>
      <c r="M3124" s="1458" t="s">
        <v>18703</v>
      </c>
      <c r="N3124" s="122" t="s">
        <v>18704</v>
      </c>
      <c r="O3124" s="1892">
        <v>2.0</v>
      </c>
      <c r="P3124" s="122" t="str">
        <f t="shared" si="140"/>
        <v>10.1177--0956797611414726.pdf</v>
      </c>
      <c r="Q3124" s="2490" t="str">
        <f t="array" ref="Q3124"> if(iserror(MATCH(V3124, 'File Links'!C:C, 0)), "N/A", HYPERLINK(INDEX('File Links'!B:B, MATCH(P3124, 'File Links'!C:C, 0))))</f>
        <v>https://drive.google.com/file/d/1M2bQUYW3MLXQBgi-vbBlJhTa0bUosI7r/view?usp=drivesdk</v>
      </c>
      <c r="R3124" s="218" t="s">
        <v>7496</v>
      </c>
      <c r="S3124" s="218" t="s">
        <v>7497</v>
      </c>
      <c r="T3124" s="1121" t="s">
        <v>7498</v>
      </c>
      <c r="U3124" s="218" t="s">
        <v>18705</v>
      </c>
      <c r="V3124" s="198" t="str">
        <f t="shared" si="141"/>
        <v>10.1027--1864-9335--a000178.pdf</v>
      </c>
      <c r="W3124" s="218" t="s">
        <v>7500</v>
      </c>
      <c r="X3124" s="2491" t="str">
        <f t="array" ref="X3124"> if(iserror(MATCH(V3124, 'File Links'!C:C, 0)), "N/A", HYPERLINK(INDEX('File Links'!B:B, MATCH(V3124, 'File Links'!C:C, 0))))</f>
        <v>https://drive.google.com/file/d/1fIqa3RxgdnsQkWwGnLkF4XAbM2g_WN4q/view?usp=drivesdk</v>
      </c>
      <c r="Z3124" s="122" t="s">
        <v>2045</v>
      </c>
      <c r="AA3124" s="122" t="s">
        <v>18715</v>
      </c>
      <c r="AB3124" s="2498" t="s">
        <v>18716</v>
      </c>
      <c r="AC3124" s="111"/>
      <c r="AD3124" s="116" t="s">
        <v>18717</v>
      </c>
      <c r="AE3124" s="683">
        <v>1016.0</v>
      </c>
      <c r="AF3124" s="1453">
        <v>66.0</v>
      </c>
      <c r="AG3124" s="2499" t="s">
        <v>18718</v>
      </c>
      <c r="AH3124" s="116" t="s">
        <v>134</v>
      </c>
      <c r="AI3124" s="216" t="s">
        <v>18719</v>
      </c>
      <c r="AJ3124" s="683">
        <v>0.05</v>
      </c>
      <c r="AK3124" s="1530" t="s">
        <v>135</v>
      </c>
      <c r="AL3124" s="112" t="s">
        <v>186</v>
      </c>
      <c r="AM3124" s="111" t="s">
        <v>137</v>
      </c>
      <c r="AN3124" s="147" t="s">
        <v>138</v>
      </c>
      <c r="AO3124" s="1109">
        <v>4896.0</v>
      </c>
      <c r="AP3124" s="537">
        <v>0.03</v>
      </c>
      <c r="AQ3124" s="122" t="s">
        <v>173</v>
      </c>
      <c r="AR3124" s="218" t="s">
        <v>18712</v>
      </c>
      <c r="AS3124" s="537">
        <v>0.38</v>
      </c>
      <c r="AT3124" s="122" t="s">
        <v>172</v>
      </c>
      <c r="AU3124" s="122" t="s">
        <v>186</v>
      </c>
      <c r="AV3124" s="111" t="s">
        <v>137</v>
      </c>
      <c r="AW3124" s="1468" t="s">
        <v>7595</v>
      </c>
      <c r="AX3124" s="111" t="s">
        <v>143</v>
      </c>
      <c r="AY3124" s="61" t="str">
        <f>IFERROR(__xludf.DUMMYFUNCTION("vlookup(BB3124,importrange(""https://docs.google.com/spreadsheets/d/1d2vevQ_7D_v35q4wCQ4RpQ_IPoTwEMB9Yp6ymwlPqew/edit?gid=984458430#gid=984458430"", ""'replication success'!A:K""), 11, FAlSE)"),"failed")</f>
        <v>failed</v>
      </c>
      <c r="AZ3124" s="61" t="str">
        <f>IFERROR(__xludf.DUMMYFUNCTION("vlookup(BB3124,importrange(""https://docs.google.com/spreadsheets/d/1d2vevQ_7D_v35q4wCQ4RpQ_IPoTwEMB9Yp6ymwlPqew/edit?gid=984458430#gid=984458430"", ""'replication success'!A:M""), 12, FAlSE)"),"And two effects – flag priming influencing conservatism and currency priming influencing system justification – did not replicate.")</f>
        <v>And two effects – flag priming influencing conservatism and currency priming influencing system justification – did not replicate.</v>
      </c>
      <c r="BA3124" s="61" t="str">
        <f>IFERROR(__xludf.DUMMYFUNCTION("vlookup(BB3124,importrange(""https://docs.google.com/spreadsheets/d/1d2vevQ_7D_v35q4wCQ4RpQ_IPoTwEMB9Yp6ymwlPqew/edit?gid=984458430#gid=984458430"", ""'replication success'!A:M""), 13, FAlSE)"),"abstract")</f>
        <v>abstract</v>
      </c>
      <c r="BB3124" s="61" t="str">
        <f>IFERROR(__xludf.DUMMYFUNCTION("REGEXREPLACE(G3124, ""_[a-z]{1,2}$"", """")"),"curatescience365_2")</f>
        <v>curatescience365_2</v>
      </c>
      <c r="BC3124" s="149" t="s">
        <v>18720</v>
      </c>
      <c r="BD3124" s="149" t="s">
        <v>144</v>
      </c>
    </row>
    <row r="3125">
      <c r="A3125" s="44">
        <v>2735.0</v>
      </c>
      <c r="B3125" s="129" t="s">
        <v>152</v>
      </c>
      <c r="C3125" s="62" t="s">
        <v>115</v>
      </c>
      <c r="D3125" s="62" t="s">
        <v>1458</v>
      </c>
      <c r="F3125" s="68" t="s">
        <v>18721</v>
      </c>
      <c r="G3125" s="159" t="s">
        <v>18722</v>
      </c>
      <c r="H3125" s="159" t="s">
        <v>1518</v>
      </c>
      <c r="I3125" s="152">
        <v>45715.0</v>
      </c>
      <c r="J3125" s="170">
        <v>45736.0</v>
      </c>
      <c r="K3125" s="159" t="s">
        <v>18723</v>
      </c>
      <c r="L3125" s="159" t="s">
        <v>7350</v>
      </c>
      <c r="M3125" s="151" t="s">
        <v>7825</v>
      </c>
      <c r="N3125" s="159" t="s">
        <v>7766</v>
      </c>
      <c r="O3125" s="156">
        <v>2.0</v>
      </c>
      <c r="P3125" s="159" t="s">
        <v>7767</v>
      </c>
      <c r="Q3125" s="2490" t="str">
        <f t="array" ref="Q3125"> if(iserror(MATCH(V3125, 'File Links'!C:C, 0)), "N/A", HYPERLINK(INDEX('File Links'!B:B, MATCH(P3125, 'File Links'!C:C, 0))))</f>
        <v>https://drive.google.com/file/d/1w2KBBoT3U7JrwQsTrJduC-AS9fihTDq0/view?usp=drivesdk</v>
      </c>
      <c r="R3125" s="159" t="s">
        <v>18724</v>
      </c>
      <c r="S3125" s="159" t="s">
        <v>7786</v>
      </c>
      <c r="T3125" s="159" t="s">
        <v>138</v>
      </c>
      <c r="U3125" s="156">
        <v>2.0</v>
      </c>
      <c r="V3125" s="159" t="s">
        <v>7787</v>
      </c>
      <c r="W3125" s="159" t="s">
        <v>7794</v>
      </c>
      <c r="X3125" s="2491" t="str">
        <f t="array" ref="X3125"> if(iserror(MATCH(V3125, 'File Links'!C:C, 0)), "N/A", HYPERLINK(INDEX('File Links'!B:B, MATCH(V3125, 'File Links'!C:C, 0))))</f>
        <v>https://drive.google.com/file/d/1G4tP3z0FT61HHKi1B51ImyPr28TywEAv/view?usp=drivesdk</v>
      </c>
      <c r="Y3125" s="159"/>
      <c r="Z3125" s="159" t="s">
        <v>226</v>
      </c>
      <c r="AA3125" s="159" t="s">
        <v>7771</v>
      </c>
      <c r="AB3125" s="159" t="s">
        <v>7795</v>
      </c>
      <c r="AC3125" s="159" t="s">
        <v>7772</v>
      </c>
      <c r="AD3125" s="159" t="s">
        <v>7834</v>
      </c>
      <c r="AE3125" s="1545">
        <v>45689.0</v>
      </c>
      <c r="AF3125" s="156">
        <v>27.0</v>
      </c>
      <c r="AG3125" s="159" t="s">
        <v>7835</v>
      </c>
      <c r="AH3125" s="159" t="s">
        <v>134</v>
      </c>
      <c r="AI3125" s="159" t="s">
        <v>2771</v>
      </c>
      <c r="AJ3125" s="156">
        <v>0.01</v>
      </c>
      <c r="AK3125" s="159" t="s">
        <v>172</v>
      </c>
      <c r="AL3125" s="159" t="s">
        <v>186</v>
      </c>
      <c r="AM3125" s="159" t="s">
        <v>137</v>
      </c>
      <c r="AN3125" s="159" t="s">
        <v>138</v>
      </c>
      <c r="AO3125" s="156">
        <v>36.0</v>
      </c>
      <c r="AP3125" s="1479">
        <v>0.0</v>
      </c>
      <c r="AQ3125" s="159" t="s">
        <v>139</v>
      </c>
      <c r="AR3125" s="159" t="s">
        <v>4979</v>
      </c>
      <c r="AS3125" s="156">
        <v>0.5</v>
      </c>
      <c r="AT3125" s="161" t="s">
        <v>18725</v>
      </c>
      <c r="AU3125" s="159" t="s">
        <v>186</v>
      </c>
      <c r="AV3125" s="159" t="s">
        <v>137</v>
      </c>
      <c r="AW3125" s="159" t="s">
        <v>138</v>
      </c>
      <c r="AX3125" s="159" t="s">
        <v>143</v>
      </c>
      <c r="AY3125" s="61" t="str">
        <f>IFERROR(__xludf.DUMMYFUNCTION("vlookup(BB3125,importrange(""https://docs.google.com/spreadsheets/d/1d2vevQ_7D_v35q4wCQ4RpQ_IPoTwEMB9Yp6ymwlPqew/edit?gid=984458430#gid=984458430"", ""'replication success'!A:K""), 11, FAlSE)"),"failed")</f>
        <v>failed</v>
      </c>
      <c r="AZ3125" s="61" t="str">
        <f>IFERROR(__xludf.DUMMYFUNCTION("vlookup(BB3125,importrange(""https://docs.google.com/spreadsheets/d/1d2vevQ_7D_v35q4wCQ4RpQ_IPoTwEMB9Yp6ymwlPqew/edit?gid=984458430#gid=984458430"", ""'replication success'!A:M""), 12, FAlSE)"),"We were unsuccessful in replicating the Zhong &amp; Liljenquist ́s results that supported cleansing as
a psychological mechanism for compensating guilty: results couldn’t confirm an increased mental
accessibility of cleansing-related concepts or even a grea"&amp;"ter desire for cleansing products, neither
a greater likelihood of taking antiseptic wipes. ")</f>
        <v>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 </v>
      </c>
      <c r="BA3125" s="61" t="str">
        <f>IFERROR(__xludf.DUMMYFUNCTION("vlookup(BB3125,importrange(""https://docs.google.com/spreadsheets/d/1d2vevQ_7D_v35q4wCQ4RpQ_IPoTwEMB9Yp6ymwlPqew/edit?gid=984458430#gid=984458430"", ""'replication success'!A:M""), 13, FAlSE)"),"abstract")</f>
        <v>abstract</v>
      </c>
      <c r="BB3125" s="61" t="str">
        <f>IFERROR(__xludf.DUMMYFUNCTION("REGEXREPLACE(G3125, ""_[a-z]{1,2}$"", """")"),"curatescience39")</f>
        <v>curatescience39</v>
      </c>
      <c r="BD3125" s="62" t="s">
        <v>144</v>
      </c>
    </row>
    <row r="3126">
      <c r="A3126" s="44">
        <v>2983.0</v>
      </c>
      <c r="B3126" s="129" t="s">
        <v>114</v>
      </c>
      <c r="C3126" s="62" t="s">
        <v>115</v>
      </c>
      <c r="D3126" s="62" t="s">
        <v>1234</v>
      </c>
      <c r="F3126" s="68" t="s">
        <v>18721</v>
      </c>
      <c r="G3126" s="159" t="s">
        <v>18722</v>
      </c>
      <c r="H3126" s="159" t="s">
        <v>7761</v>
      </c>
      <c r="I3126" s="151" t="s">
        <v>7762</v>
      </c>
      <c r="J3126" s="170">
        <v>45736.0</v>
      </c>
      <c r="K3126" s="159" t="s">
        <v>138</v>
      </c>
      <c r="L3126" s="159" t="s">
        <v>7350</v>
      </c>
      <c r="M3126" s="151" t="s">
        <v>7825</v>
      </c>
      <c r="N3126" s="159" t="s">
        <v>7766</v>
      </c>
      <c r="O3126" s="156">
        <v>2.0</v>
      </c>
      <c r="P3126" s="382" t="s">
        <v>7767</v>
      </c>
      <c r="Q3126" s="2490" t="str">
        <f t="array" ref="Q3126"> if(iserror(MATCH(V3126, 'File Links'!C:C, 0)), "N/A", HYPERLINK(INDEX('File Links'!B:B, MATCH(P3126, 'File Links'!C:C, 0))))</f>
        <v>https://drive.google.com/file/d/1w2KBBoT3U7JrwQsTrJduC-AS9fihTDq0/view?usp=drivesdk</v>
      </c>
      <c r="R3126" s="159" t="s">
        <v>18724</v>
      </c>
      <c r="S3126" s="159" t="s">
        <v>7786</v>
      </c>
      <c r="T3126" s="159" t="s">
        <v>138</v>
      </c>
      <c r="U3126" s="156">
        <v>2.0</v>
      </c>
      <c r="V3126" s="382" t="s">
        <v>7787</v>
      </c>
      <c r="W3126" s="159" t="s">
        <v>7788</v>
      </c>
      <c r="X3126" s="2491" t="str">
        <f t="array" ref="X3126"> if(iserror(MATCH(V3126, 'File Links'!C:C, 0)), "N/A", HYPERLINK(INDEX('File Links'!B:B, MATCH(V3126, 'File Links'!C:C, 0))))</f>
        <v>https://drive.google.com/file/d/1G4tP3z0FT61HHKi1B51ImyPr28TywEAv/view?usp=drivesdk</v>
      </c>
      <c r="Y3126" s="159"/>
      <c r="Z3126" s="159" t="s">
        <v>226</v>
      </c>
      <c r="AA3126" s="159" t="s">
        <v>7771</v>
      </c>
      <c r="AB3126" s="159" t="s">
        <v>7789</v>
      </c>
      <c r="AC3126" s="159" t="s">
        <v>7840</v>
      </c>
      <c r="AD3126" s="159" t="s">
        <v>7841</v>
      </c>
      <c r="AE3126" s="156">
        <v>2.0</v>
      </c>
      <c r="AF3126" s="156">
        <v>27.0</v>
      </c>
      <c r="AG3126" s="159" t="s">
        <v>138</v>
      </c>
      <c r="AH3126" s="167" t="s">
        <v>138</v>
      </c>
      <c r="AI3126" s="159" t="s">
        <v>138</v>
      </c>
      <c r="AJ3126" s="156">
        <v>0.01</v>
      </c>
      <c r="AK3126" s="159" t="s">
        <v>172</v>
      </c>
      <c r="AL3126" s="159" t="s">
        <v>136</v>
      </c>
      <c r="AM3126" s="159" t="s">
        <v>137</v>
      </c>
      <c r="AN3126" s="159" t="s">
        <v>138</v>
      </c>
      <c r="AO3126" s="156">
        <v>36.0</v>
      </c>
      <c r="AP3126" s="1479">
        <v>0.0</v>
      </c>
      <c r="AQ3126" s="159" t="s">
        <v>139</v>
      </c>
      <c r="AR3126" s="159" t="s">
        <v>13031</v>
      </c>
      <c r="AS3126" s="156">
        <v>0.5</v>
      </c>
      <c r="AT3126" s="159" t="s">
        <v>335</v>
      </c>
      <c r="AU3126" s="159" t="s">
        <v>136</v>
      </c>
      <c r="AV3126" s="159" t="s">
        <v>137</v>
      </c>
      <c r="AW3126" s="159" t="s">
        <v>138</v>
      </c>
      <c r="AX3126" s="159" t="s">
        <v>143</v>
      </c>
      <c r="AY3126" s="61" t="str">
        <f>IFERROR(__xludf.DUMMYFUNCTION("vlookup(BB3126,importrange(""https://docs.google.com/spreadsheets/d/1d2vevQ_7D_v35q4wCQ4RpQ_IPoTwEMB9Yp6ymwlPqew/edit?gid=984458430#gid=984458430"", ""'replication success'!A:K""), 11, FAlSE)"),"failed")</f>
        <v>failed</v>
      </c>
      <c r="AZ3126" s="61" t="str">
        <f>IFERROR(__xludf.DUMMYFUNCTION("vlookup(BB3126,importrange(""https://docs.google.com/spreadsheets/d/1d2vevQ_7D_v35q4wCQ4RpQ_IPoTwEMB9Yp6ymwlPqew/edit?gid=984458430#gid=984458430"", ""'replication success'!A:M""), 12, FAlSE)"),"We were unsuccessful in replicating the Zhong &amp; Liljenquist ́s results that supported cleansing as
a psychological mechanism for compensating guilty: results couldn’t confirm an increased mental
accessibility of cleansing-related concepts or even a grea"&amp;"ter desire for cleansing products, neither
a greater likelihood of taking antiseptic wipes. ")</f>
        <v>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 </v>
      </c>
      <c r="BA3126" s="61" t="str">
        <f>IFERROR(__xludf.DUMMYFUNCTION("vlookup(BB3126,importrange(""https://docs.google.com/spreadsheets/d/1d2vevQ_7D_v35q4wCQ4RpQ_IPoTwEMB9Yp6ymwlPqew/edit?gid=984458430#gid=984458430"", ""'replication success'!A:M""), 13, FAlSE)"),"abstract")</f>
        <v>abstract</v>
      </c>
      <c r="BB3126" s="61" t="str">
        <f>IFERROR(__xludf.DUMMYFUNCTION("REGEXREPLACE(G3126, ""_[a-z]{1,2}$"", """")"),"curatescience39")</f>
        <v>curatescience39</v>
      </c>
      <c r="BC3126" s="68"/>
      <c r="BD3126" s="62" t="s">
        <v>144</v>
      </c>
    </row>
    <row r="3127">
      <c r="A3127" s="44">
        <v>2736.0</v>
      </c>
      <c r="B3127" s="129" t="s">
        <v>523</v>
      </c>
      <c r="C3127" s="62" t="s">
        <v>115</v>
      </c>
      <c r="D3127" s="62" t="s">
        <v>1458</v>
      </c>
      <c r="F3127" s="68" t="s">
        <v>7836</v>
      </c>
      <c r="G3127" s="159" t="s">
        <v>7837</v>
      </c>
      <c r="H3127" s="159" t="s">
        <v>1518</v>
      </c>
      <c r="I3127" s="1287" t="s">
        <v>119</v>
      </c>
      <c r="J3127" s="152">
        <v>45715.0</v>
      </c>
      <c r="K3127" s="159" t="s">
        <v>18726</v>
      </c>
      <c r="L3127" s="159" t="s">
        <v>7350</v>
      </c>
      <c r="M3127" s="151" t="s">
        <v>7825</v>
      </c>
      <c r="N3127" s="159" t="s">
        <v>7766</v>
      </c>
      <c r="O3127" s="156">
        <v>2.0</v>
      </c>
      <c r="P3127" s="382" t="s">
        <v>7767</v>
      </c>
      <c r="Q3127" s="2500" t="str">
        <f t="array" ref="Q3127"> if(iserror(MATCH(V3127, 'File Links'!C:C, 0)), "N/A", HYPERLINK(INDEX('File Links'!B:B, MATCH(P3127, 'File Links'!C:C, 0))))</f>
        <v>N/A</v>
      </c>
      <c r="R3127" s="159" t="s">
        <v>7838</v>
      </c>
      <c r="S3127" s="159" t="s">
        <v>138</v>
      </c>
      <c r="T3127" s="680" t="s">
        <v>7626</v>
      </c>
      <c r="U3127" s="1370">
        <v>2.0</v>
      </c>
      <c r="V3127" s="382" t="s">
        <v>577</v>
      </c>
      <c r="W3127" s="1544" t="s">
        <v>138</v>
      </c>
      <c r="X3127" s="2501" t="str">
        <f t="array" ref="X3127"> if(iserror(MATCH(V3127, 'File Links'!C:C, 0)), "N/A", HYPERLINK(INDEX('File Links'!B:B, MATCH(V3127, 'File Links'!C:C, 0))))</f>
        <v>N/A</v>
      </c>
      <c r="Y3127" s="159" t="s">
        <v>7833</v>
      </c>
      <c r="Z3127" s="159" t="s">
        <v>226</v>
      </c>
      <c r="AA3127" s="159" t="s">
        <v>7771</v>
      </c>
      <c r="AB3127" s="159" t="s">
        <v>7795</v>
      </c>
      <c r="AC3127" s="1543" t="s">
        <v>7851</v>
      </c>
      <c r="AD3127" s="159" t="s">
        <v>7834</v>
      </c>
      <c r="AE3127" s="1545">
        <v>45689.0</v>
      </c>
      <c r="AF3127" s="156">
        <v>27.0</v>
      </c>
      <c r="AG3127" s="159" t="s">
        <v>7835</v>
      </c>
      <c r="AH3127" s="159" t="s">
        <v>134</v>
      </c>
      <c r="AI3127" s="159" t="s">
        <v>2771</v>
      </c>
      <c r="AJ3127" s="156">
        <v>0.01</v>
      </c>
      <c r="AK3127" s="159" t="s">
        <v>172</v>
      </c>
      <c r="AL3127" s="159" t="s">
        <v>186</v>
      </c>
      <c r="AM3127" s="159" t="s">
        <v>137</v>
      </c>
      <c r="AN3127" s="159" t="s">
        <v>138</v>
      </c>
      <c r="AO3127" s="156">
        <v>148.0</v>
      </c>
      <c r="AP3127" s="156">
        <v>-0.09</v>
      </c>
      <c r="AQ3127" s="159" t="s">
        <v>215</v>
      </c>
      <c r="AR3127" s="68"/>
      <c r="AS3127" s="68"/>
      <c r="AT3127" s="68"/>
      <c r="AU3127" s="68"/>
      <c r="AV3127" s="68"/>
      <c r="AW3127" s="68"/>
      <c r="AX3127" s="68"/>
      <c r="AY3127" s="61" t="str">
        <f>IFERROR(__xludf.DUMMYFUNCTION("vlookup(BB3127,importrange(""https://docs.google.com/spreadsheets/d/1d2vevQ_7D_v35q4wCQ4RpQ_IPoTwEMB9Yp6ymwlPqew/edit?gid=984458430#gid=984458430"", ""'replication success'!A:K""), 11, FAlSE)"),"#N/A")</f>
        <v>#N/A</v>
      </c>
      <c r="AZ3127" s="61" t="str">
        <f>IFERROR(__xludf.DUMMYFUNCTION("vlookup(BB3127,importrange(""https://docs.google.com/spreadsheets/d/1d2vevQ_7D_v35q4wCQ4RpQ_IPoTwEMB9Yp6ymwlPqew/edit?gid=984458430#gid=984458430"", ""'replication success'!A:M""), 12, FAlSE)"),"#N/A")</f>
        <v>#N/A</v>
      </c>
      <c r="BA3127" s="61" t="str">
        <f>IFERROR(__xludf.DUMMYFUNCTION("vlookup(BB3127,importrange(""https://docs.google.com/spreadsheets/d/1d2vevQ_7D_v35q4wCQ4RpQ_IPoTwEMB9Yp6ymwlPqew/edit?gid=984458430#gid=984458430"", ""'replication success'!A:M""), 13, FAlSE)"),"#N/A")</f>
        <v>#N/A</v>
      </c>
      <c r="BB3127" s="61" t="str">
        <f>IFERROR(__xludf.DUMMYFUNCTION("REGEXREPLACE(G3127, ""_[a-z]{1,2}$"", """")"),"curatescience41")</f>
        <v>curatescience41</v>
      </c>
      <c r="BD3127" s="62" t="s">
        <v>7831</v>
      </c>
    </row>
    <row r="3128">
      <c r="A3128" s="44">
        <v>3003.0</v>
      </c>
      <c r="B3128" s="129" t="s">
        <v>523</v>
      </c>
      <c r="C3128" s="62" t="s">
        <v>115</v>
      </c>
      <c r="D3128" s="62" t="s">
        <v>18727</v>
      </c>
      <c r="F3128" s="68" t="s">
        <v>15801</v>
      </c>
      <c r="G3128" s="159" t="s">
        <v>15802</v>
      </c>
      <c r="H3128" s="159" t="s">
        <v>18728</v>
      </c>
      <c r="I3128" s="152">
        <v>45809.0</v>
      </c>
      <c r="J3128" s="862"/>
      <c r="K3128" s="68"/>
      <c r="L3128" s="159" t="s">
        <v>15806</v>
      </c>
      <c r="M3128" s="159" t="s">
        <v>18729</v>
      </c>
      <c r="N3128" s="159" t="s">
        <v>15808</v>
      </c>
      <c r="O3128" s="336">
        <v>1.0</v>
      </c>
      <c r="P3128" s="159" t="s">
        <v>15809</v>
      </c>
      <c r="Q3128" s="2174" t="str">
        <f> hyperlink(vlookup(lower(N3128),'File Links'!E:F, 2, FALSE), "LINK")</f>
        <v>LINK</v>
      </c>
      <c r="R3128" s="159" t="s">
        <v>18730</v>
      </c>
      <c r="S3128" s="159" t="s">
        <v>15811</v>
      </c>
      <c r="T3128" s="68"/>
      <c r="U3128" s="336">
        <v>1.0</v>
      </c>
      <c r="V3128" s="159" t="s">
        <v>15812</v>
      </c>
      <c r="W3128" s="68"/>
      <c r="X3128" s="2400" t="str">
        <f> hyperlink(vlookup(lower(S3128),'File Links'!E:F, 2, FALSE), "LINK")</f>
        <v>LINK</v>
      </c>
      <c r="Y3128" s="68"/>
      <c r="Z3128" s="159" t="s">
        <v>226</v>
      </c>
      <c r="AA3128" s="68" t="s">
        <v>18731</v>
      </c>
      <c r="AB3128" s="2502" t="s">
        <v>18732</v>
      </c>
      <c r="AC3128" s="2502" t="s">
        <v>18733</v>
      </c>
      <c r="AD3128" s="2502" t="s">
        <v>18734</v>
      </c>
      <c r="AE3128" s="336">
        <v>5.0</v>
      </c>
      <c r="AF3128" s="156">
        <v>46.0</v>
      </c>
      <c r="AG3128" s="336">
        <v>0.12</v>
      </c>
      <c r="AH3128" s="68" t="s">
        <v>874</v>
      </c>
      <c r="AI3128" s="68" t="s">
        <v>882</v>
      </c>
      <c r="AJ3128" s="336">
        <v>0.16</v>
      </c>
      <c r="AK3128" s="68" t="s">
        <v>172</v>
      </c>
      <c r="AL3128" s="68" t="s">
        <v>186</v>
      </c>
      <c r="AM3128" s="68" t="s">
        <v>141</v>
      </c>
      <c r="AN3128" s="68" t="s">
        <v>138</v>
      </c>
      <c r="AO3128" s="156">
        <v>54.0</v>
      </c>
      <c r="AP3128" s="563">
        <v>0.12</v>
      </c>
      <c r="AQ3128" s="68" t="s">
        <v>874</v>
      </c>
      <c r="AR3128" s="336">
        <v>4.0</v>
      </c>
      <c r="AS3128" s="336">
        <v>0.01</v>
      </c>
      <c r="AT3128" s="68" t="s">
        <v>172</v>
      </c>
      <c r="AU3128" s="68" t="s">
        <v>186</v>
      </c>
      <c r="AV3128" s="68" t="s">
        <v>141</v>
      </c>
      <c r="AW3128" s="68" t="s">
        <v>138</v>
      </c>
      <c r="AX3128" s="68" t="s">
        <v>143</v>
      </c>
      <c r="AY3128" s="61" t="str">
        <f>IFERROR(__xludf.DUMMYFUNCTION("vlookup(BB3128,importrange(""https://docs.google.com/spreadsheets/d/1d2vevQ_7D_v35q4wCQ4RpQ_IPoTwEMB9Yp6ymwlPqew/edit?gid=984458430#gid=984458430"", ""'replication success'!A:K""), 11, FAlSE)"),"#N/A")</f>
        <v>#N/A</v>
      </c>
      <c r="AZ3128" s="61" t="str">
        <f>IFERROR(__xludf.DUMMYFUNCTION("vlookup(BB3128,importrange(""https://docs.google.com/spreadsheets/d/1d2vevQ_7D_v35q4wCQ4RpQ_IPoTwEMB9Yp6ymwlPqew/edit?gid=984458430#gid=984458430"", ""'replication success'!A:M""), 12, FAlSE)"),"#N/A")</f>
        <v>#N/A</v>
      </c>
      <c r="BA3128" s="61" t="str">
        <f>IFERROR(__xludf.DUMMYFUNCTION("vlookup(BB3128,importrange(""https://docs.google.com/spreadsheets/d/1d2vevQ_7D_v35q4wCQ4RpQ_IPoTwEMB9Yp6ymwlPqew/edit?gid=984458430#gid=984458430"", ""'replication success'!A:M""), 13, FAlSE)"),"#N/A")</f>
        <v>#N/A</v>
      </c>
      <c r="BB3128" s="61" t="str">
        <f>IFERROR(__xludf.DUMMYFUNCTION("REGEXREPLACE(G3128, ""_[a-z]{1,2}$"", """")"),"Data (editable)_1")</f>
        <v>Data (editable)_1</v>
      </c>
    </row>
    <row r="3129">
      <c r="A3129" s="44">
        <v>2804.0</v>
      </c>
      <c r="B3129" s="129" t="s">
        <v>523</v>
      </c>
      <c r="C3129" s="62" t="s">
        <v>115</v>
      </c>
      <c r="D3129" s="62" t="s">
        <v>1458</v>
      </c>
      <c r="F3129" s="68" t="s">
        <v>18735</v>
      </c>
      <c r="G3129" s="159" t="s">
        <v>18736</v>
      </c>
      <c r="H3129" s="159" t="s">
        <v>18737</v>
      </c>
      <c r="I3129" s="152">
        <v>45391.0</v>
      </c>
      <c r="J3129" s="152">
        <v>45804.0</v>
      </c>
      <c r="K3129" s="159" t="s">
        <v>18738</v>
      </c>
      <c r="L3129" s="68"/>
      <c r="M3129" s="159" t="s">
        <v>18739</v>
      </c>
      <c r="N3129" s="159" t="s">
        <v>18740</v>
      </c>
      <c r="O3129" s="156">
        <v>1.0</v>
      </c>
      <c r="P3129" s="382" t="s">
        <v>18741</v>
      </c>
      <c r="Q3129" s="2191" t="str">
        <f> hyperlink(vlookup(lower(N3129),'File Links'!E:F, 2, FALSE), "LINK")</f>
        <v>LINK</v>
      </c>
      <c r="R3129" s="159" t="s">
        <v>18742</v>
      </c>
      <c r="S3129" s="159" t="s">
        <v>138</v>
      </c>
      <c r="T3129" s="680" t="s">
        <v>18743</v>
      </c>
      <c r="U3129" s="68"/>
      <c r="V3129" s="738" t="s">
        <v>18744</v>
      </c>
      <c r="W3129" s="1228"/>
      <c r="X3129" s="2192" t="str">
        <f> hyperlink(vlookup(lower(S3129),'File Links'!E:F, 2, FALSE), "LINK")</f>
        <v>LINK</v>
      </c>
      <c r="Y3129" s="68"/>
      <c r="Z3129" s="159" t="s">
        <v>226</v>
      </c>
      <c r="AA3129" s="159" t="s">
        <v>18745</v>
      </c>
      <c r="AB3129" s="159" t="s">
        <v>18746</v>
      </c>
      <c r="AC3129" s="159" t="s">
        <v>18747</v>
      </c>
      <c r="AD3129" s="159" t="s">
        <v>18748</v>
      </c>
      <c r="AE3129" s="156">
        <v>11.0</v>
      </c>
      <c r="AF3129" s="156">
        <v>1692.0</v>
      </c>
      <c r="AG3129" s="156">
        <v>4.21</v>
      </c>
      <c r="AH3129" s="159" t="s">
        <v>361</v>
      </c>
      <c r="AI3129" s="159" t="s">
        <v>1174</v>
      </c>
      <c r="AJ3129" s="156">
        <v>0.03</v>
      </c>
      <c r="AK3129" s="159" t="s">
        <v>172</v>
      </c>
      <c r="AL3129" s="159" t="s">
        <v>186</v>
      </c>
      <c r="AM3129" s="159" t="s">
        <v>137</v>
      </c>
      <c r="AN3129" s="159" t="s">
        <v>138</v>
      </c>
      <c r="AO3129" s="156">
        <v>156.0</v>
      </c>
      <c r="AP3129" s="156">
        <v>0.00471</v>
      </c>
      <c r="AQ3129" s="159" t="s">
        <v>139</v>
      </c>
      <c r="AR3129" s="68"/>
      <c r="AS3129" s="68"/>
      <c r="AT3129" s="68"/>
      <c r="AU3129" s="68"/>
      <c r="AV3129" s="68"/>
      <c r="AW3129" s="68"/>
      <c r="AX3129" s="68"/>
      <c r="AY3129" s="61" t="str">
        <f>IFERROR(__xludf.DUMMYFUNCTION("vlookup(BB3129,importrange(""https://docs.google.com/spreadsheets/d/1d2vevQ_7D_v35q4wCQ4RpQ_IPoTwEMB9Yp6ymwlPqew/edit?gid=984458430#gid=984458430"", ""'replication success'!A:K""), 11, FAlSE)"),"#N/A")</f>
        <v>#N/A</v>
      </c>
      <c r="AZ3129" s="61" t="str">
        <f>IFERROR(__xludf.DUMMYFUNCTION("vlookup(BB3129,importrange(""https://docs.google.com/spreadsheets/d/1d2vevQ_7D_v35q4wCQ4RpQ_IPoTwEMB9Yp6ymwlPqew/edit?gid=984458430#gid=984458430"", ""'replication success'!A:M""), 12, FAlSE)"),"#N/A")</f>
        <v>#N/A</v>
      </c>
      <c r="BA3129" s="61" t="str">
        <f>IFERROR(__xludf.DUMMYFUNCTION("vlookup(BB3129,importrange(""https://docs.google.com/spreadsheets/d/1d2vevQ_7D_v35q4wCQ4RpQ_IPoTwEMB9Yp6ymwlPqew/edit?gid=984458430#gid=984458430"", ""'replication success'!A:M""), 13, FAlSE)"),"#N/A")</f>
        <v>#N/A</v>
      </c>
      <c r="BB3129" s="61" t="str">
        <f>IFERROR(__xludf.DUMMYFUNCTION("REGEXREPLACE(G3129, ""_[a-z]{1,2}$"", """")"),"Data (editable)_2")</f>
        <v>Data (editable)_2</v>
      </c>
    </row>
    <row r="3130">
      <c r="A3130" s="44">
        <v>2805.0</v>
      </c>
      <c r="B3130" s="129" t="s">
        <v>523</v>
      </c>
      <c r="C3130" s="62" t="s">
        <v>115</v>
      </c>
      <c r="D3130" s="62" t="s">
        <v>1458</v>
      </c>
      <c r="F3130" s="68" t="s">
        <v>18749</v>
      </c>
      <c r="G3130" s="159" t="s">
        <v>18736</v>
      </c>
      <c r="H3130" s="159" t="s">
        <v>18750</v>
      </c>
      <c r="I3130" s="152">
        <v>45391.0</v>
      </c>
      <c r="J3130" s="152">
        <v>45804.0</v>
      </c>
      <c r="K3130" s="159" t="s">
        <v>18751</v>
      </c>
      <c r="L3130" s="68"/>
      <c r="M3130" s="159" t="s">
        <v>18739</v>
      </c>
      <c r="N3130" s="159" t="s">
        <v>18740</v>
      </c>
      <c r="O3130" s="156">
        <v>1.0</v>
      </c>
      <c r="P3130" s="382" t="s">
        <v>18741</v>
      </c>
      <c r="Q3130" s="2191" t="str">
        <f> hyperlink(vlookup(lower(N3130),'File Links'!E:F, 2, FALSE), "LINK")</f>
        <v>LINK</v>
      </c>
      <c r="R3130" s="159" t="s">
        <v>18752</v>
      </c>
      <c r="S3130" s="159" t="s">
        <v>138</v>
      </c>
      <c r="T3130" s="680" t="s">
        <v>18743</v>
      </c>
      <c r="U3130" s="68"/>
      <c r="V3130" s="738" t="s">
        <v>18744</v>
      </c>
      <c r="W3130" s="1228"/>
      <c r="X3130" s="2192" t="str">
        <f> hyperlink(vlookup(lower(S3130),'File Links'!E:F, 2, FALSE), "LINK")</f>
        <v>LINK</v>
      </c>
      <c r="Y3130" s="68"/>
      <c r="Z3130" s="159" t="s">
        <v>226</v>
      </c>
      <c r="AA3130" s="159" t="s">
        <v>18753</v>
      </c>
      <c r="AB3130" s="159" t="s">
        <v>18754</v>
      </c>
      <c r="AC3130" s="159" t="s">
        <v>18755</v>
      </c>
      <c r="AD3130" s="159" t="s">
        <v>18756</v>
      </c>
      <c r="AE3130" s="156">
        <v>11.0</v>
      </c>
      <c r="AF3130" s="156">
        <v>1692.0</v>
      </c>
      <c r="AG3130" s="156">
        <v>1.85</v>
      </c>
      <c r="AH3130" s="159" t="s">
        <v>722</v>
      </c>
      <c r="AI3130" s="159" t="s">
        <v>1174</v>
      </c>
      <c r="AJ3130" s="156">
        <v>0.001</v>
      </c>
      <c r="AK3130" s="159" t="s">
        <v>135</v>
      </c>
      <c r="AL3130" s="159" t="s">
        <v>186</v>
      </c>
      <c r="AM3130" s="159" t="s">
        <v>137</v>
      </c>
      <c r="AN3130" s="159" t="s">
        <v>138</v>
      </c>
      <c r="AO3130" s="156">
        <v>156.0</v>
      </c>
      <c r="AP3130" s="156">
        <v>0.00645</v>
      </c>
      <c r="AQ3130" s="159" t="s">
        <v>139</v>
      </c>
      <c r="AR3130" s="68"/>
      <c r="AS3130" s="68"/>
      <c r="AT3130" s="68"/>
      <c r="AU3130" s="68"/>
      <c r="AV3130" s="68"/>
      <c r="AW3130" s="68"/>
      <c r="AX3130" s="68"/>
      <c r="AY3130" s="61" t="str">
        <f>IFERROR(__xludf.DUMMYFUNCTION("vlookup(BB3130,importrange(""https://docs.google.com/spreadsheets/d/1d2vevQ_7D_v35q4wCQ4RpQ_IPoTwEMB9Yp6ymwlPqew/edit?gid=984458430#gid=984458430"", ""'replication success'!A:K""), 11, FAlSE)"),"#N/A")</f>
        <v>#N/A</v>
      </c>
      <c r="AZ3130" s="61" t="str">
        <f>IFERROR(__xludf.DUMMYFUNCTION("vlookup(BB3130,importrange(""https://docs.google.com/spreadsheets/d/1d2vevQ_7D_v35q4wCQ4RpQ_IPoTwEMB9Yp6ymwlPqew/edit?gid=984458430#gid=984458430"", ""'replication success'!A:M""), 12, FAlSE)"),"#N/A")</f>
        <v>#N/A</v>
      </c>
      <c r="BA3130" s="61" t="str">
        <f>IFERROR(__xludf.DUMMYFUNCTION("vlookup(BB3130,importrange(""https://docs.google.com/spreadsheets/d/1d2vevQ_7D_v35q4wCQ4RpQ_IPoTwEMB9Yp6ymwlPqew/edit?gid=984458430#gid=984458430"", ""'replication success'!A:M""), 13, FAlSE)"),"#N/A")</f>
        <v>#N/A</v>
      </c>
      <c r="BB3130" s="61" t="str">
        <f>IFERROR(__xludf.DUMMYFUNCTION("REGEXREPLACE(G3130, ""_[a-z]{1,2}$"", """")"),"Data (editable)_2")</f>
        <v>Data (editable)_2</v>
      </c>
    </row>
    <row r="3131">
      <c r="A3131" s="44">
        <v>3011.0</v>
      </c>
      <c r="B3131" s="1135" t="s">
        <v>152</v>
      </c>
      <c r="C3131" s="421" t="s">
        <v>115</v>
      </c>
      <c r="D3131" s="421" t="s">
        <v>18727</v>
      </c>
      <c r="E3131" s="365"/>
      <c r="F3131" s="1103" t="s">
        <v>14909</v>
      </c>
      <c r="G3131" s="1103" t="s">
        <v>14910</v>
      </c>
      <c r="H3131" s="436" t="s">
        <v>18728</v>
      </c>
      <c r="I3131" s="1136">
        <v>45803.0</v>
      </c>
      <c r="J3131" s="2503">
        <v>45849.0</v>
      </c>
      <c r="K3131" s="436"/>
      <c r="L3131" s="1135" t="s">
        <v>14911</v>
      </c>
      <c r="M3131" s="1103" t="s">
        <v>18757</v>
      </c>
      <c r="N3131" s="1103" t="s">
        <v>14913</v>
      </c>
      <c r="O3131" s="1144" t="s">
        <v>5535</v>
      </c>
      <c r="P3131" s="1103" t="s">
        <v>14914</v>
      </c>
      <c r="Q3131" s="2176" t="str">
        <f> hyperlink(vlookup(lower(N3131),'File Links'!E:F, 2, FALSE), "LINK")</f>
        <v>LINK</v>
      </c>
      <c r="R3131" s="1103" t="s">
        <v>14915</v>
      </c>
      <c r="S3131" s="1103" t="s">
        <v>138</v>
      </c>
      <c r="T3131" s="2504" t="s">
        <v>14916</v>
      </c>
      <c r="U3131" s="1142">
        <v>1.0</v>
      </c>
      <c r="V3131" s="1103" t="s">
        <v>8467</v>
      </c>
      <c r="W3131" s="436"/>
      <c r="X3131" s="2177" t="str">
        <f> hyperlink(vlookup(lower(S3131),'File Links'!E:F, 2, FALSE), "LINK")</f>
        <v>LINK</v>
      </c>
      <c r="Y3131" s="436"/>
      <c r="Z3131" s="1103" t="s">
        <v>2079</v>
      </c>
      <c r="AA3131" s="2505" t="s">
        <v>18758</v>
      </c>
      <c r="AB3131" s="2506" t="s">
        <v>14918</v>
      </c>
      <c r="AC3131" s="2506" t="s">
        <v>18759</v>
      </c>
      <c r="AD3131" s="2506" t="s">
        <v>18760</v>
      </c>
      <c r="AE3131" s="1145">
        <v>7.0</v>
      </c>
      <c r="AF3131" s="1145">
        <v>203.0</v>
      </c>
      <c r="AG3131" s="1145">
        <v>0.029</v>
      </c>
      <c r="AH3131" s="1135" t="s">
        <v>874</v>
      </c>
      <c r="AI3131" s="436" t="s">
        <v>4979</v>
      </c>
      <c r="AJ3131" s="1145">
        <v>0.016</v>
      </c>
      <c r="AK3131" s="436" t="s">
        <v>172</v>
      </c>
      <c r="AL3131" s="436" t="s">
        <v>186</v>
      </c>
      <c r="AM3131" s="436" t="s">
        <v>137</v>
      </c>
      <c r="AN3131" s="436" t="s">
        <v>138</v>
      </c>
      <c r="AO3131" s="1145">
        <v>603.0</v>
      </c>
      <c r="AP3131" s="2178">
        <v>0.02</v>
      </c>
      <c r="AQ3131" s="436" t="s">
        <v>173</v>
      </c>
      <c r="AR3131" s="2507" t="s">
        <v>18761</v>
      </c>
      <c r="AS3131" s="1145">
        <v>0.802</v>
      </c>
      <c r="AT3131" s="436" t="s">
        <v>172</v>
      </c>
      <c r="AU3131" s="436" t="s">
        <v>186</v>
      </c>
      <c r="AV3131" s="436" t="s">
        <v>137</v>
      </c>
      <c r="AW3131" s="2135" t="s">
        <v>14922</v>
      </c>
      <c r="AX3131" s="436" t="s">
        <v>143</v>
      </c>
      <c r="AY3131" s="426" t="str">
        <f>IFERROR(__xludf.DUMMYFUNCTION("vlookup(BB3131,importrange(""https://docs.google.com/spreadsheets/d/1d2vevQ_7D_v35q4wCQ4RpQ_IPoTwEMB9Yp6ymwlPqew/edit?gid=984458430#gid=984458430"", ""'replication success'!A:K""), 11, FAlSE)"),"#N/A")</f>
        <v>#N/A</v>
      </c>
      <c r="AZ3131" s="426" t="str">
        <f>IFERROR(__xludf.DUMMYFUNCTION("vlookup(BB3131,importrange(""https://docs.google.com/spreadsheets/d/1d2vevQ_7D_v35q4wCQ4RpQ_IPoTwEMB9Yp6ymwlPqew/edit?gid=984458430#gid=984458430"", ""'replication success'!A:M""), 12, FAlSE)"),"#N/A")</f>
        <v>#N/A</v>
      </c>
      <c r="BA3131" s="426" t="str">
        <f>IFERROR(__xludf.DUMMYFUNCTION("vlookup(BB3131,importrange(""https://docs.google.com/spreadsheets/d/1d2vevQ_7D_v35q4wCQ4RpQ_IPoTwEMB9Yp6ymwlPqew/edit?gid=984458430#gid=984458430"", ""'replication success'!A:M""), 13, FAlSE)"),"#N/A")</f>
        <v>#N/A</v>
      </c>
      <c r="BB3131" s="426" t="str">
        <f>IFERROR(__xludf.DUMMYFUNCTION("REGEXREPLACE(G3131, ""_[a-z]{1,2}$"", """")"),"datareplicada1")</f>
        <v>datareplicada1</v>
      </c>
      <c r="BC3131" s="365"/>
      <c r="BD3131" s="421" t="s">
        <v>1270</v>
      </c>
      <c r="BE3131" s="365"/>
      <c r="BF3131" s="365"/>
      <c r="BG3131" s="365"/>
      <c r="BH3131" s="365"/>
      <c r="BI3131" s="365"/>
      <c r="BJ3131" s="365"/>
      <c r="BK3131" s="365"/>
      <c r="BL3131" s="365"/>
      <c r="BM3131" s="365"/>
      <c r="BN3131" s="365"/>
      <c r="BO3131" s="365"/>
      <c r="BP3131" s="365"/>
      <c r="BQ3131" s="365"/>
      <c r="BR3131" s="365"/>
      <c r="BS3131" s="365"/>
      <c r="BT3131" s="365"/>
      <c r="BU3131" s="365"/>
      <c r="BV3131" s="365"/>
      <c r="BW3131" s="365"/>
      <c r="BX3131" s="365"/>
      <c r="BY3131" s="365"/>
      <c r="BZ3131" s="365"/>
      <c r="CA3131" s="365"/>
      <c r="CB3131" s="365"/>
      <c r="CC3131" s="365"/>
      <c r="CD3131" s="365"/>
      <c r="CE3131" s="365"/>
      <c r="CF3131" s="365"/>
      <c r="CG3131" s="365"/>
      <c r="CH3131" s="365"/>
      <c r="CI3131" s="365"/>
      <c r="CJ3131" s="365"/>
      <c r="CK3131" s="365"/>
      <c r="CL3131" s="365"/>
      <c r="CM3131" s="365"/>
      <c r="CN3131" s="365"/>
      <c r="CO3131" s="365"/>
      <c r="CP3131" s="365"/>
      <c r="CQ3131" s="365"/>
      <c r="CR3131" s="365"/>
      <c r="CS3131" s="365"/>
      <c r="CT3131" s="365"/>
      <c r="CU3131" s="365"/>
      <c r="CV3131" s="365"/>
      <c r="CW3131" s="365"/>
      <c r="CX3131" s="365"/>
      <c r="CY3131" s="365"/>
      <c r="CZ3131" s="365"/>
      <c r="DA3131" s="365"/>
      <c r="DB3131" s="365"/>
      <c r="DC3131" s="365"/>
      <c r="DD3131" s="365"/>
      <c r="DE3131" s="365"/>
      <c r="DF3131" s="365"/>
      <c r="DG3131" s="365"/>
      <c r="DH3131" s="365"/>
      <c r="DI3131" s="365"/>
      <c r="DJ3131" s="365"/>
      <c r="DK3131" s="365"/>
      <c r="DL3131" s="365"/>
    </row>
    <row r="3132">
      <c r="A3132" s="44">
        <v>2727.0</v>
      </c>
      <c r="B3132" s="56" t="s">
        <v>114</v>
      </c>
      <c r="C3132" s="341" t="s">
        <v>115</v>
      </c>
      <c r="D3132" s="341" t="s">
        <v>176</v>
      </c>
      <c r="E3132" s="342"/>
      <c r="F3132" s="46" t="s">
        <v>18762</v>
      </c>
      <c r="G3132" s="360" t="s">
        <v>18763</v>
      </c>
      <c r="H3132" s="360" t="s">
        <v>7252</v>
      </c>
      <c r="I3132" s="1692" t="s">
        <v>8412</v>
      </c>
      <c r="J3132" s="46"/>
      <c r="K3132" s="46" t="s">
        <v>8413</v>
      </c>
      <c r="L3132" s="46"/>
      <c r="M3132" s="360" t="s">
        <v>8415</v>
      </c>
      <c r="N3132" s="360" t="s">
        <v>8416</v>
      </c>
      <c r="O3132" s="360" t="s">
        <v>4092</v>
      </c>
      <c r="P3132" s="360" t="s">
        <v>8417</v>
      </c>
      <c r="Q3132" s="2500" t="str">
        <f t="array" ref="Q3132"> if(iserror(MATCH(V3132, 'File Links'!C:C, 0)), "N/A", HYPERLINK(INDEX('File Links'!B:B, MATCH(P3132, 'File Links'!C:C, 0))))</f>
        <v>N/A</v>
      </c>
      <c r="R3132" s="360" t="s">
        <v>8446</v>
      </c>
      <c r="S3132" s="46"/>
      <c r="T3132" s="59" t="s">
        <v>8419</v>
      </c>
      <c r="U3132" s="46" t="s">
        <v>18764</v>
      </c>
      <c r="V3132" s="360" t="s">
        <v>577</v>
      </c>
      <c r="W3132" s="46" t="s">
        <v>164</v>
      </c>
      <c r="X3132" s="2501" t="str">
        <f t="array" ref="X3132"> if(iserror(MATCH(V3132, 'File Links'!C:C, 0)), "N/A", HYPERLINK(INDEX('File Links'!B:B, MATCH(V3132, 'File Links'!C:C, 0))))</f>
        <v>N/A</v>
      </c>
      <c r="Y3132" s="46"/>
      <c r="Z3132" s="46" t="s">
        <v>226</v>
      </c>
      <c r="AA3132" s="360" t="s">
        <v>8421</v>
      </c>
      <c r="AB3132" s="360" t="s">
        <v>8422</v>
      </c>
      <c r="AC3132" s="360" t="s">
        <v>8423</v>
      </c>
      <c r="AD3132" s="46" t="s">
        <v>8424</v>
      </c>
      <c r="AE3132" s="46" t="s">
        <v>1173</v>
      </c>
      <c r="AF3132" s="357">
        <v>210.0</v>
      </c>
      <c r="AG3132" s="1701">
        <v>0.58</v>
      </c>
      <c r="AH3132" s="360" t="s">
        <v>173</v>
      </c>
      <c r="AI3132" s="46" t="s">
        <v>8425</v>
      </c>
      <c r="AJ3132" s="385">
        <v>0.18</v>
      </c>
      <c r="AK3132" s="46" t="s">
        <v>172</v>
      </c>
      <c r="AL3132" s="46" t="s">
        <v>186</v>
      </c>
      <c r="AM3132" s="46" t="s">
        <v>137</v>
      </c>
      <c r="AN3132" s="46"/>
      <c r="AO3132" s="357">
        <v>1127.0</v>
      </c>
      <c r="AP3132" s="357">
        <v>0.096</v>
      </c>
      <c r="AQ3132" s="360" t="s">
        <v>173</v>
      </c>
      <c r="AR3132" s="46" t="s">
        <v>138</v>
      </c>
      <c r="AS3132" s="2508">
        <v>0.261</v>
      </c>
      <c r="AT3132" s="46" t="s">
        <v>172</v>
      </c>
      <c r="AU3132" s="46" t="s">
        <v>186</v>
      </c>
      <c r="AV3132" s="46" t="s">
        <v>137</v>
      </c>
      <c r="AW3132" s="360" t="s">
        <v>138</v>
      </c>
      <c r="AX3132" s="46" t="s">
        <v>143</v>
      </c>
      <c r="AY3132" s="61" t="str">
        <f>IFERROR(__xludf.DUMMYFUNCTION("vlookup(BB3132,importrange(""https://docs.google.com/spreadsheets/d/1d2vevQ_7D_v35q4wCQ4RpQ_IPoTwEMB9Yp6ymwlPqew/edit?gid=984458430#gid=984458430"", ""'replication success'!A:K""), 11, FAlSE)"),"#N/A")</f>
        <v>#N/A</v>
      </c>
      <c r="AZ3132" s="61" t="str">
        <f>IFERROR(__xludf.DUMMYFUNCTION("vlookup(BB3132,importrange(""https://docs.google.com/spreadsheets/d/1d2vevQ_7D_v35q4wCQ4RpQ_IPoTwEMB9Yp6ymwlPqew/edit?gid=984458430#gid=984458430"", ""'replication success'!A:M""), 12, FAlSE)"),"#N/A")</f>
        <v>#N/A</v>
      </c>
      <c r="BA3132" s="61" t="str">
        <f>IFERROR(__xludf.DUMMYFUNCTION("vlookup(BB3132,importrange(""https://docs.google.com/spreadsheets/d/1d2vevQ_7D_v35q4wCQ4RpQ_IPoTwEMB9Yp6ymwlPqew/edit?gid=984458430#gid=984458430"", ""'replication success'!A:M""), 13, FAlSE)"),"#N/A")</f>
        <v>#N/A</v>
      </c>
      <c r="BB3132" s="61" t="str">
        <f>IFERROR(__xludf.DUMMYFUNCTION("REGEXREPLACE(G3132, ""_[a-z]{1,2}$"", """")"),"datareplicada10c")</f>
        <v>datareplicada10c</v>
      </c>
      <c r="BC3132" s="46"/>
      <c r="BD3132" s="341" t="s">
        <v>692</v>
      </c>
      <c r="BE3132" s="342"/>
    </row>
    <row r="3133">
      <c r="A3133" s="44">
        <v>3001.0</v>
      </c>
      <c r="B3133" s="129" t="s">
        <v>114</v>
      </c>
      <c r="C3133" s="62" t="s">
        <v>115</v>
      </c>
      <c r="D3133" s="62" t="s">
        <v>18727</v>
      </c>
      <c r="F3133" s="68" t="s">
        <v>14942</v>
      </c>
      <c r="G3133" s="159" t="s">
        <v>14943</v>
      </c>
      <c r="H3133" s="68" t="s">
        <v>18728</v>
      </c>
      <c r="I3133" s="152">
        <v>45810.0</v>
      </c>
      <c r="J3133" s="2503">
        <v>45849.0</v>
      </c>
      <c r="K3133" s="68"/>
      <c r="L3133" s="129" t="s">
        <v>18765</v>
      </c>
      <c r="M3133" s="159" t="s">
        <v>18766</v>
      </c>
      <c r="N3133" s="159" t="s">
        <v>14947</v>
      </c>
      <c r="O3133" s="156">
        <v>1.0</v>
      </c>
      <c r="P3133" s="159" t="s">
        <v>14948</v>
      </c>
      <c r="Q3133" s="2174" t="str">
        <f> hyperlink(vlookup(lower(N3133),'File Links'!E:F, 2, FALSE), "LINK")</f>
        <v>LINK</v>
      </c>
      <c r="R3133" s="159" t="s">
        <v>18767</v>
      </c>
      <c r="S3133" s="159" t="s">
        <v>14947</v>
      </c>
      <c r="T3133" s="310" t="s">
        <v>14950</v>
      </c>
      <c r="U3133" s="159" t="s">
        <v>8549</v>
      </c>
      <c r="V3133" s="159" t="s">
        <v>8467</v>
      </c>
      <c r="W3133" s="68"/>
      <c r="X3133" s="2400" t="str">
        <f> hyperlink(vlookup(lower(S3133),'File Links'!E:F, 2, FALSE), "LINK")</f>
        <v>LINK</v>
      </c>
      <c r="Y3133" s="68"/>
      <c r="Z3133" s="159" t="s">
        <v>2079</v>
      </c>
      <c r="AA3133" s="68" t="s">
        <v>14951</v>
      </c>
      <c r="AB3133" s="2502" t="s">
        <v>14952</v>
      </c>
      <c r="AC3133" s="2502" t="s">
        <v>18768</v>
      </c>
      <c r="AD3133" s="151" t="s">
        <v>14961</v>
      </c>
      <c r="AE3133" s="159" t="s">
        <v>1042</v>
      </c>
      <c r="AF3133" s="156">
        <v>145.0</v>
      </c>
      <c r="AG3133" s="156">
        <v>0.93</v>
      </c>
      <c r="AH3133" s="194" t="s">
        <v>360</v>
      </c>
      <c r="AI3133" s="159" t="s">
        <v>14955</v>
      </c>
      <c r="AJ3133" s="336">
        <v>0.029</v>
      </c>
      <c r="AK3133" s="68" t="s">
        <v>172</v>
      </c>
      <c r="AL3133" s="68" t="s">
        <v>186</v>
      </c>
      <c r="AM3133" s="68" t="s">
        <v>137</v>
      </c>
      <c r="AN3133" s="68" t="s">
        <v>138</v>
      </c>
      <c r="AO3133" s="336">
        <v>1099.0</v>
      </c>
      <c r="AP3133" s="2509">
        <v>0.31</v>
      </c>
      <c r="AQ3133" s="68" t="s">
        <v>361</v>
      </c>
      <c r="AR3133" s="435" t="s">
        <v>18769</v>
      </c>
      <c r="AS3133" s="337">
        <v>0.091</v>
      </c>
      <c r="AT3133" s="68" t="s">
        <v>172</v>
      </c>
      <c r="AU3133" s="68" t="s">
        <v>186</v>
      </c>
      <c r="AV3133" s="68" t="s">
        <v>137</v>
      </c>
      <c r="AW3133" s="68" t="s">
        <v>138</v>
      </c>
      <c r="AX3133" s="46" t="s">
        <v>143</v>
      </c>
      <c r="AY3133" s="61" t="str">
        <f>IFERROR(__xludf.DUMMYFUNCTION("vlookup(BB3133,importrange(""https://docs.google.com/spreadsheets/d/1d2vevQ_7D_v35q4wCQ4RpQ_IPoTwEMB9Yp6ymwlPqew/edit?gid=984458430#gid=984458430"", ""'replication success'!A:K""), 11, FAlSE)"),"#N/A")</f>
        <v>#N/A</v>
      </c>
      <c r="AZ3133" s="61" t="str">
        <f>IFERROR(__xludf.DUMMYFUNCTION("vlookup(BB3133,importrange(""https://docs.google.com/spreadsheets/d/1d2vevQ_7D_v35q4wCQ4RpQ_IPoTwEMB9Yp6ymwlPqew/edit?gid=984458430#gid=984458430"", ""'replication success'!A:M""), 12, FAlSE)"),"#N/A")</f>
        <v>#N/A</v>
      </c>
      <c r="BA3133" s="61" t="str">
        <f>IFERROR(__xludf.DUMMYFUNCTION("vlookup(BB3133,importrange(""https://docs.google.com/spreadsheets/d/1d2vevQ_7D_v35q4wCQ4RpQ_IPoTwEMB9Yp6ymwlPqew/edit?gid=984458430#gid=984458430"", ""'replication success'!A:M""), 13, FAlSE)"),"#N/A")</f>
        <v>#N/A</v>
      </c>
      <c r="BB3133" s="61" t="str">
        <f>IFERROR(__xludf.DUMMYFUNCTION("REGEXREPLACE(G3133, ""_[a-z]{1,2}$"", """")"),"datareplicada8a")</f>
        <v>datareplicada8a</v>
      </c>
      <c r="BD3133" s="62" t="s">
        <v>1270</v>
      </c>
    </row>
    <row r="3134">
      <c r="A3134" s="44">
        <v>3002.0</v>
      </c>
      <c r="B3134" s="129" t="s">
        <v>114</v>
      </c>
      <c r="C3134" s="62" t="s">
        <v>115</v>
      </c>
      <c r="D3134" s="62" t="s">
        <v>18727</v>
      </c>
      <c r="F3134" s="436" t="s">
        <v>14958</v>
      </c>
      <c r="G3134" s="159" t="s">
        <v>18770</v>
      </c>
      <c r="H3134" s="68" t="s">
        <v>18728</v>
      </c>
      <c r="I3134" s="152">
        <v>45810.0</v>
      </c>
      <c r="J3134" s="2503">
        <v>45849.0</v>
      </c>
      <c r="K3134" s="68"/>
      <c r="L3134" s="129" t="s">
        <v>18771</v>
      </c>
      <c r="M3134" s="159" t="s">
        <v>14946</v>
      </c>
      <c r="N3134" s="159" t="s">
        <v>14947</v>
      </c>
      <c r="O3134" s="156">
        <v>1.0</v>
      </c>
      <c r="P3134" s="382" t="s">
        <v>14948</v>
      </c>
      <c r="Q3134" s="2430" t="str">
        <f> hyperlink(vlookup(lower(N3134),'File Links'!E:F, 2, FALSE), "LINK")</f>
        <v>LINK</v>
      </c>
      <c r="R3134" s="159" t="s">
        <v>14960</v>
      </c>
      <c r="S3134" s="159" t="s">
        <v>14947</v>
      </c>
      <c r="T3134" s="310" t="s">
        <v>14950</v>
      </c>
      <c r="U3134" s="159" t="s">
        <v>8466</v>
      </c>
      <c r="V3134" s="382" t="s">
        <v>8467</v>
      </c>
      <c r="W3134" s="1228"/>
      <c r="X3134" s="2429" t="str">
        <f> hyperlink(vlookup(lower(S3134),'File Links'!E:F, 2, FALSE), "LINK")</f>
        <v>LINK</v>
      </c>
      <c r="Y3134" s="68"/>
      <c r="Z3134" s="159" t="s">
        <v>2079</v>
      </c>
      <c r="AA3134" s="68" t="s">
        <v>14951</v>
      </c>
      <c r="AB3134" s="2502" t="s">
        <v>14952</v>
      </c>
      <c r="AC3134" s="2502" t="s">
        <v>18768</v>
      </c>
      <c r="AD3134" s="303" t="s">
        <v>14961</v>
      </c>
      <c r="AE3134" s="290" t="s">
        <v>1042</v>
      </c>
      <c r="AF3134" s="1563">
        <v>145.0</v>
      </c>
      <c r="AG3134" s="1563">
        <v>0.93</v>
      </c>
      <c r="AH3134" s="194" t="s">
        <v>360</v>
      </c>
      <c r="AI3134" s="290" t="s">
        <v>14955</v>
      </c>
      <c r="AJ3134" s="336">
        <v>0.029</v>
      </c>
      <c r="AK3134" s="68" t="s">
        <v>172</v>
      </c>
      <c r="AL3134" s="68" t="s">
        <v>186</v>
      </c>
      <c r="AM3134" s="68" t="s">
        <v>137</v>
      </c>
      <c r="AN3134" s="68" t="s">
        <v>138</v>
      </c>
      <c r="AO3134" s="336">
        <v>1555.0</v>
      </c>
      <c r="AP3134" s="2509">
        <v>0.21</v>
      </c>
      <c r="AQ3134" s="68" t="s">
        <v>361</v>
      </c>
      <c r="AR3134" s="435" t="s">
        <v>18769</v>
      </c>
      <c r="AS3134" s="501">
        <v>0.099</v>
      </c>
      <c r="AT3134" s="68" t="s">
        <v>172</v>
      </c>
      <c r="AU3134" s="68" t="s">
        <v>186</v>
      </c>
      <c r="AV3134" s="68" t="s">
        <v>137</v>
      </c>
      <c r="AW3134" s="68" t="s">
        <v>138</v>
      </c>
      <c r="AX3134" s="68" t="s">
        <v>143</v>
      </c>
      <c r="AY3134" s="61" t="str">
        <f>IFERROR(__xludf.DUMMYFUNCTION("vlookup(BB3134,importrange(""https://docs.google.com/spreadsheets/d/1d2vevQ_7D_v35q4wCQ4RpQ_IPoTwEMB9Yp6ymwlPqew/edit?gid=984458430#gid=984458430"", ""'replication success'!A:K""), 11, FAlSE)"),"#N/A")</f>
        <v>#N/A</v>
      </c>
      <c r="AZ3134" s="61" t="str">
        <f>IFERROR(__xludf.DUMMYFUNCTION("vlookup(BB3134,importrange(""https://docs.google.com/spreadsheets/d/1d2vevQ_7D_v35q4wCQ4RpQ_IPoTwEMB9Yp6ymwlPqew/edit?gid=984458430#gid=984458430"", ""'replication success'!A:M""), 12, FAlSE)"),"#N/A")</f>
        <v>#N/A</v>
      </c>
      <c r="BA3134" s="61" t="str">
        <f>IFERROR(__xludf.DUMMYFUNCTION("vlookup(BB3134,importrange(""https://docs.google.com/spreadsheets/d/1d2vevQ_7D_v35q4wCQ4RpQ_IPoTwEMB9Yp6ymwlPqew/edit?gid=984458430#gid=984458430"", ""'replication success'!A:M""), 13, FAlSE)"),"#N/A")</f>
        <v>#N/A</v>
      </c>
      <c r="BB3134" s="61" t="str">
        <f>IFERROR(__xludf.DUMMYFUNCTION("REGEXREPLACE(G3134, ""_[a-z]{1,2}$"", """")"),"datareplicada8a")</f>
        <v>datareplicada8a</v>
      </c>
      <c r="BD3134" s="62" t="s">
        <v>1270</v>
      </c>
    </row>
    <row r="3135">
      <c r="A3135" s="44">
        <v>3004.0</v>
      </c>
      <c r="B3135" s="129" t="s">
        <v>523</v>
      </c>
      <c r="C3135" s="62" t="s">
        <v>115</v>
      </c>
      <c r="D3135" s="62" t="s">
        <v>18727</v>
      </c>
      <c r="F3135" s="68" t="s">
        <v>15742</v>
      </c>
      <c r="G3135" s="159" t="s">
        <v>15743</v>
      </c>
      <c r="H3135" s="159" t="s">
        <v>18728</v>
      </c>
      <c r="I3135" s="152">
        <v>45809.0</v>
      </c>
      <c r="J3135" s="862"/>
      <c r="K3135" s="159" t="s">
        <v>18772</v>
      </c>
      <c r="L3135" s="68"/>
      <c r="M3135" s="159" t="s">
        <v>4492</v>
      </c>
      <c r="N3135" s="159" t="s">
        <v>4493</v>
      </c>
      <c r="O3135" s="156">
        <v>2.0</v>
      </c>
      <c r="P3135" s="382" t="s">
        <v>7242</v>
      </c>
      <c r="Q3135" s="2174" t="str">
        <f> hyperlink(vlookup(lower(N3135),'File Links'!E:F, 2, FALSE), "LINK")</f>
        <v>LINK</v>
      </c>
      <c r="R3135" s="159" t="s">
        <v>15745</v>
      </c>
      <c r="S3135" s="159" t="s">
        <v>15746</v>
      </c>
      <c r="T3135" s="680" t="s">
        <v>15747</v>
      </c>
      <c r="U3135" s="159" t="s">
        <v>138</v>
      </c>
      <c r="V3135" s="382" t="s">
        <v>15748</v>
      </c>
      <c r="W3135" s="1228"/>
      <c r="X3135" s="2192" t="str">
        <f> hyperlink(vlookup(lower(S3135),'File Links'!E:F, 2, FALSE), "LINK")</f>
        <v>LINK</v>
      </c>
      <c r="Y3135" s="68"/>
      <c r="Z3135" s="159" t="s">
        <v>226</v>
      </c>
      <c r="AA3135" s="159" t="s">
        <v>18773</v>
      </c>
      <c r="AB3135" s="2510" t="s">
        <v>18774</v>
      </c>
      <c r="AC3135" s="2510" t="s">
        <v>18775</v>
      </c>
      <c r="AD3135" s="2510" t="s">
        <v>18776</v>
      </c>
      <c r="AE3135" s="156">
        <v>3.0</v>
      </c>
      <c r="AF3135" s="156">
        <v>40.0</v>
      </c>
      <c r="AG3135" s="156">
        <v>0.09</v>
      </c>
      <c r="AH3135" s="159" t="s">
        <v>874</v>
      </c>
      <c r="AI3135" s="159" t="s">
        <v>507</v>
      </c>
      <c r="AJ3135" s="159" t="s">
        <v>138</v>
      </c>
      <c r="AK3135" s="68"/>
      <c r="AL3135" s="159" t="s">
        <v>186</v>
      </c>
      <c r="AM3135" s="159" t="s">
        <v>137</v>
      </c>
      <c r="AN3135" s="159" t="s">
        <v>138</v>
      </c>
      <c r="AO3135" s="156">
        <v>44.0</v>
      </c>
      <c r="AP3135" s="156">
        <v>-0.4</v>
      </c>
      <c r="AQ3135" s="159" t="s">
        <v>173</v>
      </c>
      <c r="AR3135" s="680" t="s">
        <v>18777</v>
      </c>
      <c r="AS3135" s="156">
        <v>0.118</v>
      </c>
      <c r="AT3135" s="159" t="s">
        <v>172</v>
      </c>
      <c r="AU3135" s="159" t="s">
        <v>186</v>
      </c>
      <c r="AV3135" s="159" t="s">
        <v>141</v>
      </c>
      <c r="AW3135" s="435" t="s">
        <v>18778</v>
      </c>
      <c r="AX3135" s="159" t="s">
        <v>143</v>
      </c>
      <c r="AY3135" s="61" t="str">
        <f>IFERROR(__xludf.DUMMYFUNCTION("vlookup(BB3135,importrange(""https://docs.google.com/spreadsheets/d/1d2vevQ_7D_v35q4wCQ4RpQ_IPoTwEMB9Yp6ymwlPqew/edit?gid=984458430#gid=984458430"", ""'replication success'!A:K""), 11, FAlSE)"),"#N/A")</f>
        <v>#N/A</v>
      </c>
      <c r="AZ3135" s="61" t="str">
        <f>IFERROR(__xludf.DUMMYFUNCTION("vlookup(BB3135,importrange(""https://docs.google.com/spreadsheets/d/1d2vevQ_7D_v35q4wCQ4RpQ_IPoTwEMB9Yp6ymwlPqew/edit?gid=984458430#gid=984458430"", ""'replication success'!A:M""), 12, FAlSE)"),"#N/A")</f>
        <v>#N/A</v>
      </c>
      <c r="BA3135" s="61" t="str">
        <f>IFERROR(__xludf.DUMMYFUNCTION("vlookup(BB3135,importrange(""https://docs.google.com/spreadsheets/d/1d2vevQ_7D_v35q4wCQ4RpQ_IPoTwEMB9Yp6ymwlPqew/edit?gid=984458430#gid=984458430"", ""'replication success'!A:M""), 13, FAlSE)"),"#N/A")</f>
        <v>#N/A</v>
      </c>
      <c r="BB3135" s="61" t="str">
        <f>IFERROR(__xludf.DUMMYFUNCTION("REGEXREPLACE(G3135, ""_[a-z]{1,2}$"", """")"),"gea2s")</f>
        <v>gea2s</v>
      </c>
    </row>
    <row r="3136">
      <c r="A3136" s="44">
        <v>2825.0</v>
      </c>
      <c r="B3136" s="129" t="s">
        <v>523</v>
      </c>
      <c r="C3136" s="62" t="s">
        <v>115</v>
      </c>
      <c r="D3136" s="62" t="s">
        <v>176</v>
      </c>
      <c r="F3136" s="68" t="s">
        <v>18779</v>
      </c>
      <c r="G3136" s="159" t="s">
        <v>18780</v>
      </c>
      <c r="H3136" s="159" t="s">
        <v>7252</v>
      </c>
      <c r="I3136" s="434">
        <v>45808.0</v>
      </c>
      <c r="J3136" s="862"/>
      <c r="K3136" s="159" t="s">
        <v>18781</v>
      </c>
      <c r="L3136" s="159" t="s">
        <v>18782</v>
      </c>
      <c r="M3136" s="159" t="s">
        <v>18783</v>
      </c>
      <c r="N3136" s="159" t="s">
        <v>18784</v>
      </c>
      <c r="O3136" s="156">
        <v>2.0</v>
      </c>
      <c r="P3136" s="382" t="s">
        <v>18785</v>
      </c>
      <c r="Q3136" s="2191" t="str">
        <f> hyperlink(vlookup(lower(N3136),'File Links'!E:F, 2, FALSE), "LINK")</f>
        <v>LINK</v>
      </c>
      <c r="R3136" s="159" t="s">
        <v>18786</v>
      </c>
      <c r="S3136" s="159" t="s">
        <v>18787</v>
      </c>
      <c r="T3136" s="68"/>
      <c r="U3136" s="156">
        <v>1.0</v>
      </c>
      <c r="V3136" s="382" t="s">
        <v>18788</v>
      </c>
      <c r="W3136" s="1231" t="s">
        <v>7284</v>
      </c>
      <c r="X3136" s="1552" t="str">
        <f> hyperlink(vlookup(lower(S3136),'File Links'!E:F, 2, FALSE), "LINK")</f>
        <v>LINK</v>
      </c>
      <c r="Y3136" s="68"/>
      <c r="Z3136" s="159" t="s">
        <v>226</v>
      </c>
      <c r="AA3136" s="159" t="s">
        <v>18789</v>
      </c>
      <c r="AB3136" s="159" t="s">
        <v>18790</v>
      </c>
      <c r="AC3136" s="159" t="s">
        <v>18791</v>
      </c>
      <c r="AD3136" s="159" t="s">
        <v>18792</v>
      </c>
      <c r="AE3136" s="159" t="s">
        <v>18793</v>
      </c>
      <c r="AF3136" s="156">
        <v>90.0</v>
      </c>
      <c r="AG3136" s="156">
        <v>0.59</v>
      </c>
      <c r="AH3136" s="159" t="s">
        <v>173</v>
      </c>
      <c r="AI3136" s="159" t="s">
        <v>4979</v>
      </c>
      <c r="AJ3136" s="156">
        <v>0.01</v>
      </c>
      <c r="AK3136" s="159" t="s">
        <v>135</v>
      </c>
      <c r="AL3136" s="159" t="s">
        <v>136</v>
      </c>
      <c r="AM3136" s="159" t="s">
        <v>1905</v>
      </c>
      <c r="AN3136" s="68"/>
      <c r="AO3136" s="156">
        <v>62.0</v>
      </c>
      <c r="AP3136" s="156">
        <v>1.2</v>
      </c>
      <c r="AQ3136" s="159" t="s">
        <v>173</v>
      </c>
      <c r="AR3136" s="159" t="s">
        <v>18794</v>
      </c>
      <c r="AS3136" s="156">
        <v>0.001</v>
      </c>
      <c r="AT3136" s="159" t="s">
        <v>135</v>
      </c>
      <c r="AU3136" s="159" t="s">
        <v>218</v>
      </c>
      <c r="AV3136" s="159" t="s">
        <v>141</v>
      </c>
      <c r="AW3136" s="435" t="s">
        <v>18795</v>
      </c>
      <c r="AX3136" s="159" t="s">
        <v>438</v>
      </c>
      <c r="AY3136" s="61" t="str">
        <f>IFERROR(__xludf.DUMMYFUNCTION("vlookup(BB3136,importrange(""https://docs.google.com/spreadsheets/d/1d2vevQ_7D_v35q4wCQ4RpQ_IPoTwEMB9Yp6ymwlPqew/edit?gid=984458430#gid=984458430"", ""'replication success'!A:K""), 11, FAlSE)"),"#N/A")</f>
        <v>#N/A</v>
      </c>
      <c r="AZ3136" s="61" t="str">
        <f>IFERROR(__xludf.DUMMYFUNCTION("vlookup(BB3136,importrange(""https://docs.google.com/spreadsheets/d/1d2vevQ_7D_v35q4wCQ4RpQ_IPoTwEMB9Yp6ymwlPqew/edit?gid=984458430#gid=984458430"", ""'replication success'!A:M""), 12, FAlSE)"),"#N/A")</f>
        <v>#N/A</v>
      </c>
      <c r="BA3136" s="61" t="str">
        <f>IFERROR(__xludf.DUMMYFUNCTION("vlookup(BB3136,importrange(""https://docs.google.com/spreadsheets/d/1d2vevQ_7D_v35q4wCQ4RpQ_IPoTwEMB9Yp6ymwlPqew/edit?gid=984458430#gid=984458430"", ""'replication success'!A:M""), 13, FAlSE)"),"#N/A")</f>
        <v>#N/A</v>
      </c>
      <c r="BB3136" s="61" t="str">
        <f>IFERROR(__xludf.DUMMYFUNCTION("REGEXREPLACE(G3136, ""_[a-z]{1,2}$"", """")"),"RRR_BrohmerHofer_etal_2024_Bauch")</f>
        <v>RRR_BrohmerHofer_etal_2024_Bauch</v>
      </c>
    </row>
    <row r="3137">
      <c r="A3137" s="44">
        <v>2743.0</v>
      </c>
      <c r="B3137" s="129" t="s">
        <v>523</v>
      </c>
      <c r="C3137" s="62" t="s">
        <v>115</v>
      </c>
      <c r="D3137" s="62" t="s">
        <v>153</v>
      </c>
      <c r="F3137" s="68" t="s">
        <v>18779</v>
      </c>
      <c r="G3137" s="159" t="s">
        <v>18796</v>
      </c>
      <c r="H3137" s="159" t="s">
        <v>18797</v>
      </c>
      <c r="I3137" s="152">
        <v>45527.0</v>
      </c>
      <c r="J3137" s="862"/>
      <c r="K3137" s="159" t="s">
        <v>18798</v>
      </c>
      <c r="L3137" s="68" t="s">
        <v>18782</v>
      </c>
      <c r="M3137" s="159" t="s">
        <v>18783</v>
      </c>
      <c r="N3137" s="159" t="s">
        <v>18784</v>
      </c>
      <c r="O3137" s="156">
        <v>2.0</v>
      </c>
      <c r="P3137" s="382" t="s">
        <v>18785</v>
      </c>
      <c r="Q3137" s="2430" t="str">
        <f> hyperlink(vlookup(lower(N3137),'File Links'!E:F, 2, FALSE), "LINK")</f>
        <v>LINK</v>
      </c>
      <c r="R3137" s="159" t="s">
        <v>18786</v>
      </c>
      <c r="S3137" s="159" t="s">
        <v>18787</v>
      </c>
      <c r="T3137" s="68"/>
      <c r="U3137" s="156">
        <v>1.0</v>
      </c>
      <c r="V3137" s="382" t="s">
        <v>18788</v>
      </c>
      <c r="W3137" s="1231" t="s">
        <v>7284</v>
      </c>
      <c r="X3137" s="2429" t="str">
        <f> hyperlink(vlookup(lower(S3137),'File Links'!E:F, 2, FALSE), "LINK")</f>
        <v>LINK</v>
      </c>
      <c r="Y3137" s="68"/>
      <c r="Z3137" s="159" t="s">
        <v>226</v>
      </c>
      <c r="AA3137" s="68" t="s">
        <v>18799</v>
      </c>
      <c r="AB3137" s="832" t="s">
        <v>18800</v>
      </c>
      <c r="AC3137" s="68" t="s">
        <v>18801</v>
      </c>
      <c r="AD3137" s="68" t="s">
        <v>18802</v>
      </c>
      <c r="AE3137" s="68" t="s">
        <v>850</v>
      </c>
      <c r="AF3137" s="336">
        <v>90.0</v>
      </c>
      <c r="AG3137" s="68" t="s">
        <v>18803</v>
      </c>
      <c r="AH3137" s="159" t="s">
        <v>134</v>
      </c>
      <c r="AI3137" s="336">
        <v>4.0</v>
      </c>
      <c r="AJ3137" s="336">
        <v>0.001</v>
      </c>
      <c r="AK3137" s="159" t="s">
        <v>135</v>
      </c>
      <c r="AL3137" s="159" t="s">
        <v>186</v>
      </c>
      <c r="AM3137" s="159" t="s">
        <v>137</v>
      </c>
      <c r="AN3137" s="68" t="s">
        <v>18804</v>
      </c>
      <c r="AO3137" s="336">
        <v>1479.0</v>
      </c>
      <c r="AP3137" s="336">
        <v>0.206</v>
      </c>
      <c r="AQ3137" s="159" t="s">
        <v>874</v>
      </c>
      <c r="AR3137" s="68" t="s">
        <v>612</v>
      </c>
      <c r="AS3137" s="336">
        <v>0.001</v>
      </c>
      <c r="AT3137" s="159" t="s">
        <v>135</v>
      </c>
      <c r="AU3137" s="159" t="s">
        <v>136</v>
      </c>
      <c r="AV3137" s="159" t="s">
        <v>137</v>
      </c>
      <c r="AW3137" s="435" t="s">
        <v>18805</v>
      </c>
      <c r="AX3137" s="159" t="s">
        <v>143</v>
      </c>
      <c r="AY3137" s="61" t="str">
        <f>IFERROR(__xludf.DUMMYFUNCTION("vlookup(BB3137,importrange(""https://docs.google.com/spreadsheets/d/1d2vevQ_7D_v35q4wCQ4RpQ_IPoTwEMB9Yp6ymwlPqew/edit?gid=984458430#gid=984458430"", ""'replication success'!A:K""), 11, FAlSE)"),"#N/A")</f>
        <v>#N/A</v>
      </c>
      <c r="AZ3137" s="61" t="str">
        <f>IFERROR(__xludf.DUMMYFUNCTION("vlookup(BB3137,importrange(""https://docs.google.com/spreadsheets/d/1d2vevQ_7D_v35q4wCQ4RpQ_IPoTwEMB9Yp6ymwlPqew/edit?gid=984458430#gid=984458430"", ""'replication success'!A:M""), 12, FAlSE)"),"#N/A")</f>
        <v>#N/A</v>
      </c>
      <c r="BA3137" s="61" t="str">
        <f>IFERROR(__xludf.DUMMYFUNCTION("vlookup(BB3137,importrange(""https://docs.google.com/spreadsheets/d/1d2vevQ_7D_v35q4wCQ4RpQ_IPoTwEMB9Yp6ymwlPqew/edit?gid=984458430#gid=984458430"", ""'replication success'!A:M""), 13, FAlSE)"),"#N/A")</f>
        <v>#N/A</v>
      </c>
      <c r="BB3137" s="61" t="str">
        <f>IFERROR(__xludf.DUMMYFUNCTION("REGEXREPLACE(G3137, ""_[a-z]{1,2}$"", """")"),"RRR_BrohmerHofer_etal_2024_Bauch")</f>
        <v>RRR_BrohmerHofer_etal_2024_Bauch</v>
      </c>
      <c r="BD3137" s="62" t="s">
        <v>3130</v>
      </c>
      <c r="BF3137" s="2010"/>
      <c r="BG3137" s="2010"/>
      <c r="BH3137" s="2010"/>
      <c r="BI3137" s="2010"/>
      <c r="BJ3137" s="2010"/>
      <c r="BK3137" s="2010"/>
      <c r="BL3137" s="2010"/>
      <c r="BM3137" s="2010"/>
      <c r="BN3137" s="2010"/>
      <c r="BO3137" s="2010"/>
      <c r="BP3137" s="2010"/>
      <c r="BQ3137" s="2010"/>
      <c r="BR3137" s="2010"/>
      <c r="BS3137" s="2010"/>
      <c r="BT3137" s="2010"/>
      <c r="BU3137" s="2010"/>
      <c r="BV3137" s="2010"/>
      <c r="BW3137" s="2010"/>
      <c r="BX3137" s="2010"/>
      <c r="BY3137" s="2010"/>
      <c r="BZ3137" s="2010"/>
      <c r="CA3137" s="2010"/>
      <c r="CB3137" s="2010"/>
      <c r="CC3137" s="2010"/>
      <c r="CD3137" s="2010"/>
      <c r="CE3137" s="2010"/>
      <c r="CF3137" s="2010"/>
      <c r="CG3137" s="2010"/>
      <c r="CH3137" s="2010"/>
      <c r="CI3137" s="2010"/>
      <c r="CJ3137" s="2010"/>
      <c r="CK3137" s="2010"/>
      <c r="CL3137" s="2010"/>
      <c r="CM3137" s="2010"/>
      <c r="CN3137" s="2010"/>
      <c r="CO3137" s="2010"/>
      <c r="CP3137" s="2010"/>
      <c r="CQ3137" s="2010"/>
      <c r="CR3137" s="2010"/>
      <c r="CS3137" s="2010"/>
      <c r="CT3137" s="2010"/>
      <c r="CU3137" s="2010"/>
      <c r="CV3137" s="2010"/>
      <c r="CW3137" s="2010"/>
      <c r="CX3137" s="2010"/>
      <c r="CY3137" s="2010"/>
      <c r="CZ3137" s="2010"/>
      <c r="DA3137" s="2010"/>
      <c r="DB3137" s="2010"/>
      <c r="DC3137" s="2010"/>
      <c r="DD3137" s="2010"/>
      <c r="DE3137" s="2010"/>
      <c r="DF3137" s="2010"/>
      <c r="DG3137" s="2010"/>
      <c r="DH3137" s="2010"/>
      <c r="DI3137" s="2010"/>
      <c r="DJ3137" s="2010"/>
      <c r="DK3137" s="2010"/>
      <c r="DL3137" s="2010"/>
    </row>
    <row r="3138">
      <c r="A3138" s="44">
        <v>2755.0</v>
      </c>
      <c r="B3138" s="129" t="s">
        <v>523</v>
      </c>
      <c r="C3138" s="62" t="s">
        <v>115</v>
      </c>
      <c r="D3138" s="62" t="s">
        <v>153</v>
      </c>
      <c r="F3138" s="68" t="s">
        <v>18779</v>
      </c>
      <c r="G3138" s="159" t="s">
        <v>18806</v>
      </c>
      <c r="H3138" s="159" t="s">
        <v>18797</v>
      </c>
      <c r="I3138" s="152">
        <v>45527.0</v>
      </c>
      <c r="J3138" s="862"/>
      <c r="K3138" s="310" t="s">
        <v>18807</v>
      </c>
      <c r="L3138" s="68" t="s">
        <v>18782</v>
      </c>
      <c r="M3138" s="159" t="s">
        <v>18783</v>
      </c>
      <c r="N3138" s="159" t="s">
        <v>18784</v>
      </c>
      <c r="O3138" s="156">
        <v>2.0</v>
      </c>
      <c r="P3138" s="382" t="s">
        <v>18785</v>
      </c>
      <c r="Q3138" s="2430" t="str">
        <f> hyperlink(vlookup(lower(N3138),'File Links'!E:F, 2, FALSE), "LINK")</f>
        <v>LINK</v>
      </c>
      <c r="R3138" s="159" t="s">
        <v>18786</v>
      </c>
      <c r="S3138" s="159" t="s">
        <v>18787</v>
      </c>
      <c r="T3138" s="68"/>
      <c r="U3138" s="156">
        <v>1.0</v>
      </c>
      <c r="V3138" s="382" t="s">
        <v>18788</v>
      </c>
      <c r="W3138" s="1231" t="s">
        <v>7284</v>
      </c>
      <c r="X3138" s="2429" t="str">
        <f> hyperlink(vlookup(lower(S3138),'File Links'!E:F, 2, FALSE), "LINK")</f>
        <v>LINK</v>
      </c>
      <c r="Y3138" s="68"/>
      <c r="Z3138" s="159" t="s">
        <v>226</v>
      </c>
      <c r="AA3138" s="68" t="s">
        <v>18799</v>
      </c>
      <c r="AB3138" s="832" t="s">
        <v>18800</v>
      </c>
      <c r="AC3138" s="68" t="s">
        <v>18808</v>
      </c>
      <c r="AD3138" s="68" t="s">
        <v>18802</v>
      </c>
      <c r="AE3138" s="68" t="s">
        <v>850</v>
      </c>
      <c r="AF3138" s="336">
        <v>90.0</v>
      </c>
      <c r="AG3138" s="68" t="s">
        <v>18803</v>
      </c>
      <c r="AH3138" s="159" t="s">
        <v>134</v>
      </c>
      <c r="AI3138" s="336">
        <v>4.0</v>
      </c>
      <c r="AJ3138" s="336">
        <v>0.001</v>
      </c>
      <c r="AK3138" s="159" t="s">
        <v>135</v>
      </c>
      <c r="AL3138" s="159" t="s">
        <v>186</v>
      </c>
      <c r="AM3138" s="159" t="s">
        <v>137</v>
      </c>
      <c r="AN3138" s="68" t="s">
        <v>18804</v>
      </c>
      <c r="AO3138" s="156">
        <f>286+270</f>
        <v>556</v>
      </c>
      <c r="AP3138" s="336">
        <v>0.15</v>
      </c>
      <c r="AQ3138" s="159" t="s">
        <v>874</v>
      </c>
      <c r="AR3138" s="159" t="s">
        <v>18809</v>
      </c>
      <c r="AS3138" s="156">
        <v>1.0E-4</v>
      </c>
      <c r="AT3138" s="159" t="s">
        <v>135</v>
      </c>
      <c r="AU3138" s="159" t="s">
        <v>186</v>
      </c>
      <c r="AV3138" s="159" t="s">
        <v>137</v>
      </c>
      <c r="AW3138" s="435" t="s">
        <v>18810</v>
      </c>
      <c r="AX3138" s="159" t="s">
        <v>151</v>
      </c>
      <c r="AY3138" s="61" t="str">
        <f>IFERROR(__xludf.DUMMYFUNCTION("vlookup(BB3138,importrange(""https://docs.google.com/spreadsheets/d/1d2vevQ_7D_v35q4wCQ4RpQ_IPoTwEMB9Yp6ymwlPqew/edit?gid=984458430#gid=984458430"", ""'replication success'!A:K""), 11, FAlSE)"),"#N/A")</f>
        <v>#N/A</v>
      </c>
      <c r="AZ3138" s="61" t="str">
        <f>IFERROR(__xludf.DUMMYFUNCTION("vlookup(BB3138,importrange(""https://docs.google.com/spreadsheets/d/1d2vevQ_7D_v35q4wCQ4RpQ_IPoTwEMB9Yp6ymwlPqew/edit?gid=984458430#gid=984458430"", ""'replication success'!A:M""), 12, FAlSE)"),"#N/A")</f>
        <v>#N/A</v>
      </c>
      <c r="BA3138" s="61" t="str">
        <f>IFERROR(__xludf.DUMMYFUNCTION("vlookup(BB3138,importrange(""https://docs.google.com/spreadsheets/d/1d2vevQ_7D_v35q4wCQ4RpQ_IPoTwEMB9Yp6ymwlPqew/edit?gid=984458430#gid=984458430"", ""'replication success'!A:M""), 13, FAlSE)"),"#N/A")</f>
        <v>#N/A</v>
      </c>
      <c r="BB3138" s="61" t="str">
        <f>IFERROR(__xludf.DUMMYFUNCTION("REGEXREPLACE(G3138, ""_[a-z]{1,2}$"", """")"),"RRR_BrohmerHofer_etal_2024_Bauch_a_combineddata")</f>
        <v>RRR_BrohmerHofer_etal_2024_Bauch_a_combineddata</v>
      </c>
      <c r="BD3138" s="62" t="s">
        <v>3130</v>
      </c>
    </row>
    <row r="3139">
      <c r="A3139" s="44">
        <v>2752.0</v>
      </c>
      <c r="B3139" s="129" t="s">
        <v>523</v>
      </c>
      <c r="C3139" s="62" t="s">
        <v>115</v>
      </c>
      <c r="D3139" s="62" t="s">
        <v>153</v>
      </c>
      <c r="F3139" s="68" t="s">
        <v>18779</v>
      </c>
      <c r="G3139" s="159" t="s">
        <v>18811</v>
      </c>
      <c r="H3139" s="159" t="s">
        <v>18797</v>
      </c>
      <c r="I3139" s="152">
        <v>45527.0</v>
      </c>
      <c r="J3139" s="862"/>
      <c r="K3139" s="310" t="s">
        <v>18812</v>
      </c>
      <c r="L3139" s="68" t="s">
        <v>18782</v>
      </c>
      <c r="M3139" s="159" t="s">
        <v>18783</v>
      </c>
      <c r="N3139" s="159" t="s">
        <v>18784</v>
      </c>
      <c r="O3139" s="156">
        <v>2.0</v>
      </c>
      <c r="P3139" s="382" t="s">
        <v>18785</v>
      </c>
      <c r="Q3139" s="2430" t="str">
        <f> hyperlink(vlookup(lower(N3139),'File Links'!E:F, 2, FALSE), "LINK")</f>
        <v>LINK</v>
      </c>
      <c r="R3139" s="159" t="s">
        <v>18786</v>
      </c>
      <c r="S3139" s="159" t="s">
        <v>18787</v>
      </c>
      <c r="T3139" s="68"/>
      <c r="U3139" s="156">
        <v>1.0</v>
      </c>
      <c r="V3139" s="382" t="s">
        <v>18788</v>
      </c>
      <c r="W3139" s="1231" t="s">
        <v>7284</v>
      </c>
      <c r="X3139" s="2429" t="str">
        <f> hyperlink(vlookup(lower(S3139),'File Links'!E:F, 2, FALSE), "LINK")</f>
        <v>LINK</v>
      </c>
      <c r="Y3139" s="68"/>
      <c r="Z3139" s="159" t="s">
        <v>226</v>
      </c>
      <c r="AA3139" s="68" t="s">
        <v>18799</v>
      </c>
      <c r="AB3139" s="832" t="s">
        <v>18800</v>
      </c>
      <c r="AC3139" s="68" t="s">
        <v>18813</v>
      </c>
      <c r="AD3139" s="68" t="s">
        <v>18802</v>
      </c>
      <c r="AE3139" s="68" t="s">
        <v>850</v>
      </c>
      <c r="AF3139" s="336">
        <v>90.0</v>
      </c>
      <c r="AG3139" s="68" t="s">
        <v>18803</v>
      </c>
      <c r="AH3139" s="159" t="s">
        <v>134</v>
      </c>
      <c r="AI3139" s="336">
        <v>4.0</v>
      </c>
      <c r="AJ3139" s="336">
        <v>0.001</v>
      </c>
      <c r="AK3139" s="159" t="s">
        <v>135</v>
      </c>
      <c r="AL3139" s="159" t="s">
        <v>186</v>
      </c>
      <c r="AM3139" s="159" t="s">
        <v>137</v>
      </c>
      <c r="AN3139" s="68" t="s">
        <v>18804</v>
      </c>
      <c r="AO3139" s="156">
        <v>286.0</v>
      </c>
      <c r="AP3139" s="336">
        <v>0.13</v>
      </c>
      <c r="AQ3139" s="159" t="s">
        <v>874</v>
      </c>
      <c r="AR3139" s="68" t="s">
        <v>18814</v>
      </c>
      <c r="AS3139" s="156">
        <v>1.0E-4</v>
      </c>
      <c r="AT3139" s="159" t="s">
        <v>135</v>
      </c>
      <c r="AU3139" s="159" t="s">
        <v>186</v>
      </c>
      <c r="AV3139" s="159" t="s">
        <v>137</v>
      </c>
      <c r="AW3139" s="435" t="s">
        <v>18810</v>
      </c>
      <c r="AX3139" s="159" t="s">
        <v>151</v>
      </c>
      <c r="AY3139" s="61" t="str">
        <f>IFERROR(__xludf.DUMMYFUNCTION("vlookup(BB3139,importrange(""https://docs.google.com/spreadsheets/d/1d2vevQ_7D_v35q4wCQ4RpQ_IPoTwEMB9Yp6ymwlPqew/edit?gid=984458430#gid=984458430"", ""'replication success'!A:K""), 11, FAlSE)"),"#N/A")</f>
        <v>#N/A</v>
      </c>
      <c r="AZ3139" s="61" t="str">
        <f>IFERROR(__xludf.DUMMYFUNCTION("vlookup(BB3139,importrange(""https://docs.google.com/spreadsheets/d/1d2vevQ_7D_v35q4wCQ4RpQ_IPoTwEMB9Yp6ymwlPqew/edit?gid=984458430#gid=984458430"", ""'replication success'!A:M""), 12, FAlSE)"),"#N/A")</f>
        <v>#N/A</v>
      </c>
      <c r="BA3139" s="61" t="str">
        <f>IFERROR(__xludf.DUMMYFUNCTION("vlookup(BB3139,importrange(""https://docs.google.com/spreadsheets/d/1d2vevQ_7D_v35q4wCQ4RpQ_IPoTwEMB9Yp6ymwlPqew/edit?gid=984458430#gid=984458430"", ""'replication success'!A:M""), 13, FAlSE)"),"#N/A")</f>
        <v>#N/A</v>
      </c>
      <c r="BB3139" s="61" t="str">
        <f>IFERROR(__xludf.DUMMYFUNCTION("REGEXREPLACE(G3139, ""_[a-z]{1,2}$"", """")"),"RRR_BrohmerHofer_etal_2024_Bauch_a_extension")</f>
        <v>RRR_BrohmerHofer_etal_2024_Bauch_a_extension</v>
      </c>
      <c r="BD3139" s="62" t="s">
        <v>3130</v>
      </c>
    </row>
    <row r="3140">
      <c r="A3140" s="44">
        <v>2749.0</v>
      </c>
      <c r="B3140" s="129" t="s">
        <v>523</v>
      </c>
      <c r="C3140" s="62" t="s">
        <v>115</v>
      </c>
      <c r="D3140" s="62" t="s">
        <v>153</v>
      </c>
      <c r="F3140" s="68" t="s">
        <v>18779</v>
      </c>
      <c r="G3140" s="159" t="s">
        <v>18815</v>
      </c>
      <c r="H3140" s="159" t="s">
        <v>18797</v>
      </c>
      <c r="I3140" s="152">
        <v>45527.0</v>
      </c>
      <c r="J3140" s="862"/>
      <c r="K3140" s="159" t="s">
        <v>18816</v>
      </c>
      <c r="L3140" s="68" t="s">
        <v>18782</v>
      </c>
      <c r="M3140" s="159" t="s">
        <v>18783</v>
      </c>
      <c r="N3140" s="159" t="s">
        <v>18784</v>
      </c>
      <c r="O3140" s="156">
        <v>2.0</v>
      </c>
      <c r="P3140" s="382" t="s">
        <v>18785</v>
      </c>
      <c r="Q3140" s="2430" t="str">
        <f> hyperlink(vlookup(lower(N3140),'File Links'!E:F, 2, FALSE), "LINK")</f>
        <v>LINK</v>
      </c>
      <c r="R3140" s="159" t="s">
        <v>18786</v>
      </c>
      <c r="S3140" s="159" t="s">
        <v>18787</v>
      </c>
      <c r="T3140" s="68"/>
      <c r="U3140" s="156">
        <v>1.0</v>
      </c>
      <c r="V3140" s="382" t="s">
        <v>18788</v>
      </c>
      <c r="W3140" s="1231" t="s">
        <v>7284</v>
      </c>
      <c r="X3140" s="2429" t="str">
        <f> hyperlink(vlookup(lower(S3140),'File Links'!E:F, 2, FALSE), "LINK")</f>
        <v>LINK</v>
      </c>
      <c r="Y3140" s="68"/>
      <c r="Z3140" s="159" t="s">
        <v>226</v>
      </c>
      <c r="AA3140" s="68" t="s">
        <v>18799</v>
      </c>
      <c r="AB3140" s="832" t="s">
        <v>18800</v>
      </c>
      <c r="AC3140" s="68" t="s">
        <v>18817</v>
      </c>
      <c r="AD3140" s="68" t="s">
        <v>18802</v>
      </c>
      <c r="AE3140" s="68" t="s">
        <v>850</v>
      </c>
      <c r="AF3140" s="336">
        <v>90.0</v>
      </c>
      <c r="AG3140" s="68" t="s">
        <v>18803</v>
      </c>
      <c r="AH3140" s="159" t="s">
        <v>134</v>
      </c>
      <c r="AI3140" s="336">
        <v>4.0</v>
      </c>
      <c r="AJ3140" s="336">
        <v>0.001</v>
      </c>
      <c r="AK3140" s="159" t="s">
        <v>135</v>
      </c>
      <c r="AL3140" s="159" t="s">
        <v>186</v>
      </c>
      <c r="AM3140" s="159" t="s">
        <v>137</v>
      </c>
      <c r="AN3140" s="68" t="s">
        <v>18804</v>
      </c>
      <c r="AO3140" s="156">
        <v>270.0</v>
      </c>
      <c r="AP3140" s="336">
        <v>0.19</v>
      </c>
      <c r="AQ3140" s="159" t="s">
        <v>874</v>
      </c>
      <c r="AR3140" s="159" t="s">
        <v>18818</v>
      </c>
      <c r="AS3140" s="156">
        <v>0.001</v>
      </c>
      <c r="AT3140" s="159" t="s">
        <v>135</v>
      </c>
      <c r="AU3140" s="159" t="s">
        <v>186</v>
      </c>
      <c r="AV3140" s="159" t="s">
        <v>137</v>
      </c>
      <c r="AW3140" s="435" t="s">
        <v>18810</v>
      </c>
      <c r="AX3140" s="159" t="s">
        <v>151</v>
      </c>
      <c r="AY3140" s="61" t="str">
        <f>IFERROR(__xludf.DUMMYFUNCTION("vlookup(BB3140,importrange(""https://docs.google.com/spreadsheets/d/1d2vevQ_7D_v35q4wCQ4RpQ_IPoTwEMB9Yp6ymwlPqew/edit?gid=984458430#gid=984458430"", ""'replication success'!A:K""), 11, FAlSE)"),"#N/A")</f>
        <v>#N/A</v>
      </c>
      <c r="AZ3140" s="61" t="str">
        <f>IFERROR(__xludf.DUMMYFUNCTION("vlookup(BB3140,importrange(""https://docs.google.com/spreadsheets/d/1d2vevQ_7D_v35q4wCQ4RpQ_IPoTwEMB9Yp6ymwlPqew/edit?gid=984458430#gid=984458430"", ""'replication success'!A:M""), 12, FAlSE)"),"#N/A")</f>
        <v>#N/A</v>
      </c>
      <c r="BA3140" s="61" t="str">
        <f>IFERROR(__xludf.DUMMYFUNCTION("vlookup(BB3140,importrange(""https://docs.google.com/spreadsheets/d/1d2vevQ_7D_v35q4wCQ4RpQ_IPoTwEMB9Yp6ymwlPqew/edit?gid=984458430#gid=984458430"", ""'replication success'!A:M""), 13, FAlSE)"),"#N/A")</f>
        <v>#N/A</v>
      </c>
      <c r="BB3140" s="61" t="str">
        <f>IFERROR(__xludf.DUMMYFUNCTION("REGEXREPLACE(G3140, ""_[a-z]{1,2}$"", """")"),"RRR_BrohmerHofer_etal_2024_Bauch_a_pilot")</f>
        <v>RRR_BrohmerHofer_etal_2024_Bauch_a_pilot</v>
      </c>
      <c r="BD3140" s="62" t="s">
        <v>3130</v>
      </c>
    </row>
    <row r="3141">
      <c r="A3141" s="44">
        <v>2744.0</v>
      </c>
      <c r="B3141" s="129" t="s">
        <v>523</v>
      </c>
      <c r="C3141" s="62" t="s">
        <v>115</v>
      </c>
      <c r="D3141" s="62" t="s">
        <v>153</v>
      </c>
      <c r="F3141" s="68" t="s">
        <v>18779</v>
      </c>
      <c r="G3141" s="159" t="s">
        <v>18819</v>
      </c>
      <c r="H3141" s="159" t="s">
        <v>18797</v>
      </c>
      <c r="I3141" s="152">
        <v>45527.0</v>
      </c>
      <c r="J3141" s="862"/>
      <c r="K3141" s="159" t="s">
        <v>18820</v>
      </c>
      <c r="L3141" s="68" t="s">
        <v>18782</v>
      </c>
      <c r="M3141" s="159" t="s">
        <v>18783</v>
      </c>
      <c r="N3141" s="159" t="s">
        <v>18784</v>
      </c>
      <c r="O3141" s="156">
        <v>2.0</v>
      </c>
      <c r="P3141" s="382" t="s">
        <v>18785</v>
      </c>
      <c r="Q3141" s="2430" t="str">
        <f> hyperlink(vlookup(lower(N3141),'File Links'!E:F, 2, FALSE), "LINK")</f>
        <v>LINK</v>
      </c>
      <c r="R3141" s="159" t="s">
        <v>18786</v>
      </c>
      <c r="S3141" s="159" t="s">
        <v>18787</v>
      </c>
      <c r="T3141" s="68"/>
      <c r="U3141" s="156">
        <v>1.0</v>
      </c>
      <c r="V3141" s="382" t="s">
        <v>18788</v>
      </c>
      <c r="W3141" s="1231" t="s">
        <v>7284</v>
      </c>
      <c r="X3141" s="2429" t="str">
        <f> hyperlink(vlookup(lower(S3141),'File Links'!E:F, 2, FALSE), "LINK")</f>
        <v>LINK</v>
      </c>
      <c r="Y3141" s="68"/>
      <c r="Z3141" s="159" t="s">
        <v>226</v>
      </c>
      <c r="AA3141" s="68" t="s">
        <v>18799</v>
      </c>
      <c r="AB3141" s="832" t="s">
        <v>18800</v>
      </c>
      <c r="AC3141" s="68" t="s">
        <v>18821</v>
      </c>
      <c r="AD3141" s="68" t="s">
        <v>18822</v>
      </c>
      <c r="AE3141" s="68" t="s">
        <v>850</v>
      </c>
      <c r="AF3141" s="336">
        <v>90.0</v>
      </c>
      <c r="AG3141" s="68"/>
      <c r="AH3141" s="68"/>
      <c r="AI3141" s="336">
        <v>4.0</v>
      </c>
      <c r="AJ3141" s="336">
        <v>0.01</v>
      </c>
      <c r="AK3141" s="159" t="s">
        <v>135</v>
      </c>
      <c r="AL3141" s="159" t="s">
        <v>186</v>
      </c>
      <c r="AM3141" s="159" t="s">
        <v>137</v>
      </c>
      <c r="AN3141" s="68" t="s">
        <v>18804</v>
      </c>
      <c r="AO3141" s="336">
        <v>2697.0</v>
      </c>
      <c r="AP3141" s="336">
        <v>1.5</v>
      </c>
      <c r="AQ3141" s="159" t="s">
        <v>18823</v>
      </c>
      <c r="AR3141" s="68" t="s">
        <v>436</v>
      </c>
      <c r="AS3141" s="156">
        <v>0.001</v>
      </c>
      <c r="AT3141" s="159" t="s">
        <v>135</v>
      </c>
      <c r="AU3141" s="159" t="s">
        <v>186</v>
      </c>
      <c r="AV3141" s="159" t="s">
        <v>137</v>
      </c>
      <c r="AW3141" s="435" t="s">
        <v>18824</v>
      </c>
      <c r="AX3141" s="159" t="s">
        <v>143</v>
      </c>
      <c r="AY3141" s="61" t="str">
        <f>IFERROR(__xludf.DUMMYFUNCTION("vlookup(BB3141,importrange(""https://docs.google.com/spreadsheets/d/1d2vevQ_7D_v35q4wCQ4RpQ_IPoTwEMB9Yp6ymwlPqew/edit?gid=984458430#gid=984458430"", ""'replication success'!A:K""), 11, FAlSE)"),"#N/A")</f>
        <v>#N/A</v>
      </c>
      <c r="AZ3141" s="61" t="str">
        <f>IFERROR(__xludf.DUMMYFUNCTION("vlookup(BB3141,importrange(""https://docs.google.com/spreadsheets/d/1d2vevQ_7D_v35q4wCQ4RpQ_IPoTwEMB9Yp6ymwlPqew/edit?gid=984458430#gid=984458430"", ""'replication success'!A:M""), 12, FAlSE)"),"#N/A")</f>
        <v>#N/A</v>
      </c>
      <c r="BA3141" s="61" t="str">
        <f>IFERROR(__xludf.DUMMYFUNCTION("vlookup(BB3141,importrange(""https://docs.google.com/spreadsheets/d/1d2vevQ_7D_v35q4wCQ4RpQ_IPoTwEMB9Yp6ymwlPqew/edit?gid=984458430#gid=984458430"", ""'replication success'!A:M""), 13, FAlSE)"),"#N/A")</f>
        <v>#N/A</v>
      </c>
      <c r="BB3141" s="61" t="str">
        <f>IFERROR(__xludf.DUMMYFUNCTION("REGEXREPLACE(G3141, ""_[a-z]{1,2}$"", """")"),"RRR_BrohmerHofer_etal_2024_Bauch")</f>
        <v>RRR_BrohmerHofer_etal_2024_Bauch</v>
      </c>
      <c r="BD3141" s="62" t="s">
        <v>3130</v>
      </c>
    </row>
    <row r="3142">
      <c r="A3142" s="44">
        <v>2764.0</v>
      </c>
      <c r="B3142" s="129" t="s">
        <v>523</v>
      </c>
      <c r="C3142" s="62" t="s">
        <v>115</v>
      </c>
      <c r="D3142" s="62" t="s">
        <v>153</v>
      </c>
      <c r="F3142" s="68" t="s">
        <v>18779</v>
      </c>
      <c r="G3142" s="159" t="s">
        <v>18825</v>
      </c>
      <c r="H3142" s="159" t="s">
        <v>18797</v>
      </c>
      <c r="I3142" s="152">
        <v>45527.0</v>
      </c>
      <c r="J3142" s="862"/>
      <c r="K3142" s="310" t="s">
        <v>18826</v>
      </c>
      <c r="L3142" s="68" t="s">
        <v>18782</v>
      </c>
      <c r="M3142" s="159" t="s">
        <v>18783</v>
      </c>
      <c r="N3142" s="159" t="s">
        <v>18784</v>
      </c>
      <c r="O3142" s="156">
        <v>2.0</v>
      </c>
      <c r="P3142" s="382" t="s">
        <v>18785</v>
      </c>
      <c r="Q3142" s="2430" t="str">
        <f> hyperlink(vlookup(lower(N3142),'File Links'!E:F, 2, FALSE), "LINK")</f>
        <v>LINK</v>
      </c>
      <c r="R3142" s="159" t="s">
        <v>18786</v>
      </c>
      <c r="S3142" s="159" t="s">
        <v>18787</v>
      </c>
      <c r="T3142" s="68"/>
      <c r="U3142" s="156">
        <v>1.0</v>
      </c>
      <c r="V3142" s="382" t="s">
        <v>18788</v>
      </c>
      <c r="W3142" s="1231" t="s">
        <v>7284</v>
      </c>
      <c r="X3142" s="2429" t="str">
        <f> hyperlink(vlookup(lower(S3142),'File Links'!E:F, 2, FALSE), "LINK")</f>
        <v>LINK</v>
      </c>
      <c r="Y3142" s="68"/>
      <c r="Z3142" s="159" t="s">
        <v>226</v>
      </c>
      <c r="AA3142" s="68" t="s">
        <v>18799</v>
      </c>
      <c r="AB3142" s="832" t="s">
        <v>18800</v>
      </c>
      <c r="AC3142" s="68" t="s">
        <v>18827</v>
      </c>
      <c r="AD3142" s="68" t="s">
        <v>18822</v>
      </c>
      <c r="AE3142" s="68" t="s">
        <v>850</v>
      </c>
      <c r="AF3142" s="336">
        <v>90.0</v>
      </c>
      <c r="AG3142" s="68"/>
      <c r="AH3142" s="68"/>
      <c r="AI3142" s="336">
        <v>4.0</v>
      </c>
      <c r="AJ3142" s="336">
        <v>0.01</v>
      </c>
      <c r="AK3142" s="159" t="s">
        <v>135</v>
      </c>
      <c r="AL3142" s="159" t="s">
        <v>186</v>
      </c>
      <c r="AM3142" s="159" t="s">
        <v>137</v>
      </c>
      <c r="AN3142" s="68" t="s">
        <v>18804</v>
      </c>
      <c r="AO3142" s="156">
        <f>83+64</f>
        <v>147</v>
      </c>
      <c r="AP3142" s="156">
        <v>0.51</v>
      </c>
      <c r="AQ3142" s="159" t="s">
        <v>173</v>
      </c>
      <c r="AR3142" s="159" t="s">
        <v>18828</v>
      </c>
      <c r="AS3142" s="156">
        <v>0.001</v>
      </c>
      <c r="AT3142" s="159" t="s">
        <v>135</v>
      </c>
      <c r="AU3142" s="159" t="s">
        <v>186</v>
      </c>
      <c r="AV3142" s="159" t="s">
        <v>137</v>
      </c>
      <c r="AW3142" s="435" t="s">
        <v>18810</v>
      </c>
      <c r="AX3142" s="159" t="s">
        <v>151</v>
      </c>
      <c r="AY3142" s="61" t="str">
        <f>IFERROR(__xludf.DUMMYFUNCTION("vlookup(BB3142,importrange(""https://docs.google.com/spreadsheets/d/1d2vevQ_7D_v35q4wCQ4RpQ_IPoTwEMB9Yp6ymwlPqew/edit?gid=984458430#gid=984458430"", ""'replication success'!A:K""), 11, FAlSE)"),"#N/A")</f>
        <v>#N/A</v>
      </c>
      <c r="AZ3142" s="61" t="str">
        <f>IFERROR(__xludf.DUMMYFUNCTION("vlookup(BB3142,importrange(""https://docs.google.com/spreadsheets/d/1d2vevQ_7D_v35q4wCQ4RpQ_IPoTwEMB9Yp6ymwlPqew/edit?gid=984458430#gid=984458430"", ""'replication success'!A:M""), 12, FAlSE)"),"#N/A")</f>
        <v>#N/A</v>
      </c>
      <c r="BA3142" s="61" t="str">
        <f>IFERROR(__xludf.DUMMYFUNCTION("vlookup(BB3142,importrange(""https://docs.google.com/spreadsheets/d/1d2vevQ_7D_v35q4wCQ4RpQ_IPoTwEMB9Yp6ymwlPqew/edit?gid=984458430#gid=984458430"", ""'replication success'!A:M""), 13, FAlSE)"),"#N/A")</f>
        <v>#N/A</v>
      </c>
      <c r="BB3142" s="61" t="str">
        <f>IFERROR(__xludf.DUMMYFUNCTION("REGEXREPLACE(G3142, ""_[a-z]{1,2}$"", """")"),"RRR_BrohmerHofer_etal_2024_Bauch_b_combineddata")</f>
        <v>RRR_BrohmerHofer_etal_2024_Bauch_b_combineddata</v>
      </c>
      <c r="BD3142" s="62" t="s">
        <v>3130</v>
      </c>
    </row>
    <row r="3143">
      <c r="A3143" s="44">
        <v>2763.0</v>
      </c>
      <c r="B3143" s="129" t="s">
        <v>523</v>
      </c>
      <c r="C3143" s="62" t="s">
        <v>115</v>
      </c>
      <c r="D3143" s="62" t="s">
        <v>153</v>
      </c>
      <c r="F3143" s="68" t="s">
        <v>18779</v>
      </c>
      <c r="G3143" s="159" t="s">
        <v>18829</v>
      </c>
      <c r="H3143" s="159" t="s">
        <v>18797</v>
      </c>
      <c r="I3143" s="152">
        <v>45527.0</v>
      </c>
      <c r="J3143" s="862"/>
      <c r="K3143" s="159" t="s">
        <v>18830</v>
      </c>
      <c r="L3143" s="68" t="s">
        <v>18782</v>
      </c>
      <c r="M3143" s="159" t="s">
        <v>18783</v>
      </c>
      <c r="N3143" s="159" t="s">
        <v>18784</v>
      </c>
      <c r="O3143" s="156">
        <v>2.0</v>
      </c>
      <c r="P3143" s="382" t="s">
        <v>18785</v>
      </c>
      <c r="Q3143" s="2430" t="str">
        <f> hyperlink(vlookup(lower(N3143),'File Links'!E:F, 2, FALSE), "LINK")</f>
        <v>LINK</v>
      </c>
      <c r="R3143" s="159" t="s">
        <v>18786</v>
      </c>
      <c r="S3143" s="159" t="s">
        <v>18787</v>
      </c>
      <c r="T3143" s="68"/>
      <c r="U3143" s="156">
        <v>1.0</v>
      </c>
      <c r="V3143" s="382" t="s">
        <v>18788</v>
      </c>
      <c r="W3143" s="1231" t="s">
        <v>7284</v>
      </c>
      <c r="X3143" s="2429" t="str">
        <f> hyperlink(vlookup(lower(S3143),'File Links'!E:F, 2, FALSE), "LINK")</f>
        <v>LINK</v>
      </c>
      <c r="Y3143" s="68"/>
      <c r="Z3143" s="159" t="s">
        <v>226</v>
      </c>
      <c r="AA3143" s="68" t="s">
        <v>18799</v>
      </c>
      <c r="AB3143" s="832" t="s">
        <v>18800</v>
      </c>
      <c r="AC3143" s="68" t="s">
        <v>18831</v>
      </c>
      <c r="AD3143" s="68" t="s">
        <v>18822</v>
      </c>
      <c r="AE3143" s="68" t="s">
        <v>850</v>
      </c>
      <c r="AF3143" s="336">
        <v>90.0</v>
      </c>
      <c r="AG3143" s="68"/>
      <c r="AH3143" s="68"/>
      <c r="AI3143" s="336">
        <v>4.0</v>
      </c>
      <c r="AJ3143" s="336">
        <v>0.01</v>
      </c>
      <c r="AK3143" s="159" t="s">
        <v>135</v>
      </c>
      <c r="AL3143" s="159" t="s">
        <v>186</v>
      </c>
      <c r="AM3143" s="159" t="s">
        <v>137</v>
      </c>
      <c r="AN3143" s="68" t="s">
        <v>18804</v>
      </c>
      <c r="AO3143" s="156">
        <v>286.0</v>
      </c>
      <c r="AP3143" s="156">
        <v>0.63</v>
      </c>
      <c r="AQ3143" s="159" t="s">
        <v>173</v>
      </c>
      <c r="AR3143" s="159" t="s">
        <v>18828</v>
      </c>
      <c r="AS3143" s="156">
        <v>0.001</v>
      </c>
      <c r="AT3143" s="159" t="s">
        <v>135</v>
      </c>
      <c r="AU3143" s="159" t="s">
        <v>186</v>
      </c>
      <c r="AV3143" s="159" t="s">
        <v>137</v>
      </c>
      <c r="AW3143" s="435" t="s">
        <v>18810</v>
      </c>
      <c r="AX3143" s="159" t="s">
        <v>151</v>
      </c>
      <c r="AY3143" s="61" t="str">
        <f>IFERROR(__xludf.DUMMYFUNCTION("vlookup(BB3143,importrange(""https://docs.google.com/spreadsheets/d/1d2vevQ_7D_v35q4wCQ4RpQ_IPoTwEMB9Yp6ymwlPqew/edit?gid=984458430#gid=984458430"", ""'replication success'!A:K""), 11, FAlSE)"),"#N/A")</f>
        <v>#N/A</v>
      </c>
      <c r="AZ3143" s="61" t="str">
        <f>IFERROR(__xludf.DUMMYFUNCTION("vlookup(BB3143,importrange(""https://docs.google.com/spreadsheets/d/1d2vevQ_7D_v35q4wCQ4RpQ_IPoTwEMB9Yp6ymwlPqew/edit?gid=984458430#gid=984458430"", ""'replication success'!A:M""), 12, FAlSE)"),"#N/A")</f>
        <v>#N/A</v>
      </c>
      <c r="BA3143" s="61" t="str">
        <f>IFERROR(__xludf.DUMMYFUNCTION("vlookup(BB3143,importrange(""https://docs.google.com/spreadsheets/d/1d2vevQ_7D_v35q4wCQ4RpQ_IPoTwEMB9Yp6ymwlPqew/edit?gid=984458430#gid=984458430"", ""'replication success'!A:M""), 13, FAlSE)"),"#N/A")</f>
        <v>#N/A</v>
      </c>
      <c r="BB3143" s="61" t="str">
        <f>IFERROR(__xludf.DUMMYFUNCTION("REGEXREPLACE(G3143, ""_[a-z]{1,2}$"", """")"),"RRR_BrohmerHofer_etal_2024_Bauch_b_extension")</f>
        <v>RRR_BrohmerHofer_etal_2024_Bauch_b_extension</v>
      </c>
      <c r="BD3143" s="62" t="s">
        <v>3130</v>
      </c>
    </row>
    <row r="3144">
      <c r="A3144" s="44">
        <v>2760.0</v>
      </c>
      <c r="B3144" s="129" t="s">
        <v>523</v>
      </c>
      <c r="C3144" s="62" t="s">
        <v>115</v>
      </c>
      <c r="D3144" s="62" t="s">
        <v>153</v>
      </c>
      <c r="F3144" s="68" t="s">
        <v>18779</v>
      </c>
      <c r="G3144" s="159" t="s">
        <v>18832</v>
      </c>
      <c r="H3144" s="159" t="s">
        <v>18797</v>
      </c>
      <c r="I3144" s="152">
        <v>45527.0</v>
      </c>
      <c r="J3144" s="862"/>
      <c r="K3144" s="159" t="s">
        <v>18830</v>
      </c>
      <c r="L3144" s="68" t="s">
        <v>18782</v>
      </c>
      <c r="M3144" s="159" t="s">
        <v>18783</v>
      </c>
      <c r="N3144" s="159" t="s">
        <v>18784</v>
      </c>
      <c r="O3144" s="156">
        <v>2.0</v>
      </c>
      <c r="P3144" s="382" t="s">
        <v>18785</v>
      </c>
      <c r="Q3144" s="2430" t="str">
        <f> hyperlink(vlookup(lower(N3144),'File Links'!E:F, 2, FALSE), "LINK")</f>
        <v>LINK</v>
      </c>
      <c r="R3144" s="159" t="s">
        <v>18786</v>
      </c>
      <c r="S3144" s="159" t="s">
        <v>18787</v>
      </c>
      <c r="T3144" s="68"/>
      <c r="U3144" s="156">
        <v>1.0</v>
      </c>
      <c r="V3144" s="382" t="s">
        <v>18788</v>
      </c>
      <c r="W3144" s="1231" t="s">
        <v>7284</v>
      </c>
      <c r="X3144" s="2429" t="str">
        <f> hyperlink(vlookup(lower(S3144),'File Links'!E:F, 2, FALSE), "LINK")</f>
        <v>LINK</v>
      </c>
      <c r="Y3144" s="68"/>
      <c r="Z3144" s="159" t="s">
        <v>226</v>
      </c>
      <c r="AA3144" s="68" t="s">
        <v>18799</v>
      </c>
      <c r="AB3144" s="832" t="s">
        <v>18800</v>
      </c>
      <c r="AC3144" s="68" t="s">
        <v>18833</v>
      </c>
      <c r="AD3144" s="68" t="s">
        <v>18822</v>
      </c>
      <c r="AE3144" s="68" t="s">
        <v>850</v>
      </c>
      <c r="AF3144" s="336">
        <v>90.0</v>
      </c>
      <c r="AG3144" s="68"/>
      <c r="AH3144" s="68"/>
      <c r="AI3144" s="336">
        <v>4.0</v>
      </c>
      <c r="AJ3144" s="336">
        <v>0.01</v>
      </c>
      <c r="AK3144" s="159" t="s">
        <v>135</v>
      </c>
      <c r="AL3144" s="159" t="s">
        <v>186</v>
      </c>
      <c r="AM3144" s="159" t="s">
        <v>137</v>
      </c>
      <c r="AN3144" s="68" t="s">
        <v>18804</v>
      </c>
      <c r="AO3144" s="156">
        <v>270.0</v>
      </c>
      <c r="AP3144" s="156">
        <v>0.78</v>
      </c>
      <c r="AQ3144" s="159" t="s">
        <v>173</v>
      </c>
      <c r="AR3144" s="159" t="s">
        <v>18828</v>
      </c>
      <c r="AS3144" s="156">
        <v>0.001</v>
      </c>
      <c r="AT3144" s="159" t="s">
        <v>135</v>
      </c>
      <c r="AU3144" s="159" t="s">
        <v>186</v>
      </c>
      <c r="AV3144" s="159" t="s">
        <v>137</v>
      </c>
      <c r="AW3144" s="435" t="s">
        <v>18810</v>
      </c>
      <c r="AX3144" s="159" t="s">
        <v>151</v>
      </c>
      <c r="AY3144" s="61" t="str">
        <f>IFERROR(__xludf.DUMMYFUNCTION("vlookup(BB3144,importrange(""https://docs.google.com/spreadsheets/d/1d2vevQ_7D_v35q4wCQ4RpQ_IPoTwEMB9Yp6ymwlPqew/edit?gid=984458430#gid=984458430"", ""'replication success'!A:K""), 11, FAlSE)"),"#N/A")</f>
        <v>#N/A</v>
      </c>
      <c r="AZ3144" s="61" t="str">
        <f>IFERROR(__xludf.DUMMYFUNCTION("vlookup(BB3144,importrange(""https://docs.google.com/spreadsheets/d/1d2vevQ_7D_v35q4wCQ4RpQ_IPoTwEMB9Yp6ymwlPqew/edit?gid=984458430#gid=984458430"", ""'replication success'!A:M""), 12, FAlSE)"),"#N/A")</f>
        <v>#N/A</v>
      </c>
      <c r="BA3144" s="61" t="str">
        <f>IFERROR(__xludf.DUMMYFUNCTION("vlookup(BB3144,importrange(""https://docs.google.com/spreadsheets/d/1d2vevQ_7D_v35q4wCQ4RpQ_IPoTwEMB9Yp6ymwlPqew/edit?gid=984458430#gid=984458430"", ""'replication success'!A:M""), 13, FAlSE)"),"#N/A")</f>
        <v>#N/A</v>
      </c>
      <c r="BB3144" s="61" t="str">
        <f>IFERROR(__xludf.DUMMYFUNCTION("REGEXREPLACE(G3144, ""_[a-z]{1,2}$"", """")"),"RRR_BrohmerHofer_etal_2024_Bauch_b_pilot")</f>
        <v>RRR_BrohmerHofer_etal_2024_Bauch_b_pilot</v>
      </c>
      <c r="BD3144" s="62" t="s">
        <v>3130</v>
      </c>
    </row>
    <row r="3145">
      <c r="A3145" s="44">
        <v>2745.0</v>
      </c>
      <c r="B3145" s="129" t="s">
        <v>523</v>
      </c>
      <c r="C3145" s="62" t="s">
        <v>115</v>
      </c>
      <c r="D3145" s="62" t="s">
        <v>153</v>
      </c>
      <c r="F3145" s="68" t="s">
        <v>18779</v>
      </c>
      <c r="G3145" s="159" t="s">
        <v>18834</v>
      </c>
      <c r="H3145" s="159" t="s">
        <v>18797</v>
      </c>
      <c r="I3145" s="152">
        <v>45527.0</v>
      </c>
      <c r="J3145" s="862"/>
      <c r="K3145" s="159" t="s">
        <v>18835</v>
      </c>
      <c r="L3145" s="68" t="s">
        <v>18782</v>
      </c>
      <c r="M3145" s="159" t="s">
        <v>18783</v>
      </c>
      <c r="N3145" s="159" t="s">
        <v>18784</v>
      </c>
      <c r="O3145" s="156">
        <v>2.0</v>
      </c>
      <c r="P3145" s="382" t="s">
        <v>18785</v>
      </c>
      <c r="Q3145" s="2430" t="str">
        <f> hyperlink(vlookup(lower(N3145),'File Links'!E:F, 2, FALSE), "LINK")</f>
        <v>LINK</v>
      </c>
      <c r="R3145" s="159" t="s">
        <v>18786</v>
      </c>
      <c r="S3145" s="159" t="s">
        <v>18787</v>
      </c>
      <c r="T3145" s="68"/>
      <c r="U3145" s="156">
        <v>1.0</v>
      </c>
      <c r="V3145" s="382" t="s">
        <v>18788</v>
      </c>
      <c r="W3145" s="1231" t="s">
        <v>7284</v>
      </c>
      <c r="X3145" s="2429" t="str">
        <f> hyperlink(vlookup(lower(S3145),'File Links'!E:F, 2, FALSE), "LINK")</f>
        <v>LINK</v>
      </c>
      <c r="Y3145" s="68"/>
      <c r="Z3145" s="159" t="s">
        <v>226</v>
      </c>
      <c r="AA3145" s="68" t="s">
        <v>18799</v>
      </c>
      <c r="AB3145" s="832" t="s">
        <v>18800</v>
      </c>
      <c r="AC3145" s="68" t="s">
        <v>18836</v>
      </c>
      <c r="AD3145" s="68" t="s">
        <v>18837</v>
      </c>
      <c r="AE3145" s="68" t="s">
        <v>850</v>
      </c>
      <c r="AF3145" s="336">
        <v>90.0</v>
      </c>
      <c r="AG3145" s="68"/>
      <c r="AH3145" s="68"/>
      <c r="AI3145" s="336">
        <v>4.0</v>
      </c>
      <c r="AJ3145" s="336">
        <v>0.01</v>
      </c>
      <c r="AK3145" s="159" t="s">
        <v>135</v>
      </c>
      <c r="AL3145" s="159" t="s">
        <v>186</v>
      </c>
      <c r="AM3145" s="159" t="s">
        <v>137</v>
      </c>
      <c r="AN3145" s="68" t="s">
        <v>18804</v>
      </c>
      <c r="AO3145" s="336">
        <v>2697.0</v>
      </c>
      <c r="AP3145" s="68" t="s">
        <v>18838</v>
      </c>
      <c r="AQ3145" s="159" t="s">
        <v>134</v>
      </c>
      <c r="AR3145" s="68" t="s">
        <v>2229</v>
      </c>
      <c r="AS3145" s="336">
        <v>0.001</v>
      </c>
      <c r="AT3145" s="159" t="s">
        <v>135</v>
      </c>
      <c r="AU3145" s="159" t="s">
        <v>186</v>
      </c>
      <c r="AV3145" s="159" t="s">
        <v>137</v>
      </c>
      <c r="AW3145" s="435" t="s">
        <v>18824</v>
      </c>
      <c r="AX3145" s="159" t="s">
        <v>143</v>
      </c>
      <c r="AY3145" s="61" t="str">
        <f>IFERROR(__xludf.DUMMYFUNCTION("vlookup(BB3145,importrange(""https://docs.google.com/spreadsheets/d/1d2vevQ_7D_v35q4wCQ4RpQ_IPoTwEMB9Yp6ymwlPqew/edit?gid=984458430#gid=984458430"", ""'replication success'!A:K""), 11, FAlSE)"),"#N/A")</f>
        <v>#N/A</v>
      </c>
      <c r="AZ3145" s="61" t="str">
        <f>IFERROR(__xludf.DUMMYFUNCTION("vlookup(BB3145,importrange(""https://docs.google.com/spreadsheets/d/1d2vevQ_7D_v35q4wCQ4RpQ_IPoTwEMB9Yp6ymwlPqew/edit?gid=984458430#gid=984458430"", ""'replication success'!A:M""), 12, FAlSE)"),"#N/A")</f>
        <v>#N/A</v>
      </c>
      <c r="BA3145" s="61" t="str">
        <f>IFERROR(__xludf.DUMMYFUNCTION("vlookup(BB3145,importrange(""https://docs.google.com/spreadsheets/d/1d2vevQ_7D_v35q4wCQ4RpQ_IPoTwEMB9Yp6ymwlPqew/edit?gid=984458430#gid=984458430"", ""'replication success'!A:M""), 13, FAlSE)"),"#N/A")</f>
        <v>#N/A</v>
      </c>
      <c r="BB3145" s="61" t="str">
        <f>IFERROR(__xludf.DUMMYFUNCTION("REGEXREPLACE(G3145, ""_[a-z]{1,2}$"", """")"),"RRR_BrohmerHofer_etal_2024_Bauch")</f>
        <v>RRR_BrohmerHofer_etal_2024_Bauch</v>
      </c>
      <c r="BD3145" s="62" t="s">
        <v>3130</v>
      </c>
    </row>
    <row r="3146">
      <c r="A3146" s="44">
        <v>2761.0</v>
      </c>
      <c r="B3146" s="129" t="s">
        <v>523</v>
      </c>
      <c r="C3146" s="62" t="s">
        <v>115</v>
      </c>
      <c r="D3146" s="62" t="s">
        <v>153</v>
      </c>
      <c r="F3146" s="68" t="s">
        <v>18779</v>
      </c>
      <c r="G3146" s="159" t="s">
        <v>18839</v>
      </c>
      <c r="H3146" s="159" t="s">
        <v>18797</v>
      </c>
      <c r="I3146" s="152">
        <v>45527.0</v>
      </c>
      <c r="J3146" s="862"/>
      <c r="K3146" s="310" t="s">
        <v>18840</v>
      </c>
      <c r="L3146" s="68" t="s">
        <v>18782</v>
      </c>
      <c r="M3146" s="159" t="s">
        <v>18783</v>
      </c>
      <c r="N3146" s="159" t="s">
        <v>18784</v>
      </c>
      <c r="O3146" s="156">
        <v>2.0</v>
      </c>
      <c r="P3146" s="382" t="s">
        <v>18785</v>
      </c>
      <c r="Q3146" s="2430" t="str">
        <f> hyperlink(vlookup(lower(N3146),'File Links'!E:F, 2, FALSE), "LINK")</f>
        <v>LINK</v>
      </c>
      <c r="R3146" s="159" t="s">
        <v>18786</v>
      </c>
      <c r="S3146" s="159" t="s">
        <v>18787</v>
      </c>
      <c r="T3146" s="68"/>
      <c r="U3146" s="156">
        <v>1.0</v>
      </c>
      <c r="V3146" s="382" t="s">
        <v>18788</v>
      </c>
      <c r="W3146" s="1231" t="s">
        <v>7284</v>
      </c>
      <c r="X3146" s="2429" t="str">
        <f> hyperlink(vlookup(lower(S3146),'File Links'!E:F, 2, FALSE), "LINK")</f>
        <v>LINK</v>
      </c>
      <c r="Y3146" s="68"/>
      <c r="Z3146" s="159" t="s">
        <v>226</v>
      </c>
      <c r="AA3146" s="68" t="s">
        <v>18799</v>
      </c>
      <c r="AB3146" s="832" t="s">
        <v>18800</v>
      </c>
      <c r="AC3146" s="68" t="s">
        <v>18841</v>
      </c>
      <c r="AD3146" s="68" t="s">
        <v>18837</v>
      </c>
      <c r="AE3146" s="68" t="s">
        <v>850</v>
      </c>
      <c r="AF3146" s="336">
        <v>90.0</v>
      </c>
      <c r="AG3146" s="68"/>
      <c r="AH3146" s="68"/>
      <c r="AI3146" s="336">
        <v>4.0</v>
      </c>
      <c r="AJ3146" s="336">
        <v>0.01</v>
      </c>
      <c r="AK3146" s="159" t="s">
        <v>135</v>
      </c>
      <c r="AL3146" s="159" t="s">
        <v>186</v>
      </c>
      <c r="AM3146" s="159" t="s">
        <v>137</v>
      </c>
      <c r="AN3146" s="68" t="s">
        <v>18804</v>
      </c>
      <c r="AO3146" s="156">
        <v>286.0</v>
      </c>
      <c r="AP3146" s="336">
        <v>0.9</v>
      </c>
      <c r="AQ3146" s="159" t="s">
        <v>173</v>
      </c>
      <c r="AR3146" s="159" t="s">
        <v>18828</v>
      </c>
      <c r="AS3146" s="156">
        <v>0.001</v>
      </c>
      <c r="AT3146" s="159" t="s">
        <v>135</v>
      </c>
      <c r="AU3146" s="159" t="s">
        <v>186</v>
      </c>
      <c r="AV3146" s="159" t="s">
        <v>137</v>
      </c>
      <c r="AW3146" s="435" t="s">
        <v>18810</v>
      </c>
      <c r="AX3146" s="159" t="s">
        <v>151</v>
      </c>
      <c r="AY3146" s="61" t="str">
        <f>IFERROR(__xludf.DUMMYFUNCTION("vlookup(BB3146,importrange(""https://docs.google.com/spreadsheets/d/1d2vevQ_7D_v35q4wCQ4RpQ_IPoTwEMB9Yp6ymwlPqew/edit?gid=984458430#gid=984458430"", ""'replication success'!A:K""), 11, FAlSE)"),"#N/A")</f>
        <v>#N/A</v>
      </c>
      <c r="AZ3146" s="61" t="str">
        <f>IFERROR(__xludf.DUMMYFUNCTION("vlookup(BB3146,importrange(""https://docs.google.com/spreadsheets/d/1d2vevQ_7D_v35q4wCQ4RpQ_IPoTwEMB9Yp6ymwlPqew/edit?gid=984458430#gid=984458430"", ""'replication success'!A:M""), 12, FAlSE)"),"#N/A")</f>
        <v>#N/A</v>
      </c>
      <c r="BA3146" s="61" t="str">
        <f>IFERROR(__xludf.DUMMYFUNCTION("vlookup(BB3146,importrange(""https://docs.google.com/spreadsheets/d/1d2vevQ_7D_v35q4wCQ4RpQ_IPoTwEMB9Yp6ymwlPqew/edit?gid=984458430#gid=984458430"", ""'replication success'!A:M""), 13, FAlSE)"),"#N/A")</f>
        <v>#N/A</v>
      </c>
      <c r="BB3146" s="61" t="str">
        <f>IFERROR(__xludf.DUMMYFUNCTION("REGEXREPLACE(G3146, ""_[a-z]{1,2}$"", """")"),"RRR_BrohmerHofer_etal_2024_Bauch_c_extension")</f>
        <v>RRR_BrohmerHofer_etal_2024_Bauch_c_extension</v>
      </c>
      <c r="BD3146" s="62" t="s">
        <v>3130</v>
      </c>
    </row>
    <row r="3147">
      <c r="A3147" s="44">
        <v>2758.0</v>
      </c>
      <c r="B3147" s="129" t="s">
        <v>523</v>
      </c>
      <c r="C3147" s="62" t="s">
        <v>115</v>
      </c>
      <c r="D3147" s="62" t="s">
        <v>153</v>
      </c>
      <c r="F3147" s="68" t="s">
        <v>18779</v>
      </c>
      <c r="G3147" s="159" t="s">
        <v>18842</v>
      </c>
      <c r="H3147" s="159" t="s">
        <v>18797</v>
      </c>
      <c r="I3147" s="152">
        <v>45527.0</v>
      </c>
      <c r="J3147" s="862"/>
      <c r="K3147" s="159" t="s">
        <v>18843</v>
      </c>
      <c r="L3147" s="68" t="s">
        <v>18782</v>
      </c>
      <c r="M3147" s="159" t="s">
        <v>18783</v>
      </c>
      <c r="N3147" s="159" t="s">
        <v>18784</v>
      </c>
      <c r="O3147" s="156">
        <v>2.0</v>
      </c>
      <c r="P3147" s="382" t="s">
        <v>18785</v>
      </c>
      <c r="Q3147" s="2430" t="str">
        <f> hyperlink(vlookup(lower(N3147),'File Links'!E:F, 2, FALSE), "LINK")</f>
        <v>LINK</v>
      </c>
      <c r="R3147" s="159" t="s">
        <v>18786</v>
      </c>
      <c r="S3147" s="159" t="s">
        <v>18787</v>
      </c>
      <c r="T3147" s="68"/>
      <c r="U3147" s="156">
        <v>1.0</v>
      </c>
      <c r="V3147" s="382" t="s">
        <v>18788</v>
      </c>
      <c r="W3147" s="1231" t="s">
        <v>7284</v>
      </c>
      <c r="X3147" s="2429" t="str">
        <f> hyperlink(vlookup(lower(S3147),'File Links'!E:F, 2, FALSE), "LINK")</f>
        <v>LINK</v>
      </c>
      <c r="Y3147" s="68"/>
      <c r="Z3147" s="159" t="s">
        <v>226</v>
      </c>
      <c r="AA3147" s="68" t="s">
        <v>18799</v>
      </c>
      <c r="AB3147" s="832" t="s">
        <v>18800</v>
      </c>
      <c r="AC3147" s="68" t="s">
        <v>18844</v>
      </c>
      <c r="AD3147" s="68" t="s">
        <v>18837</v>
      </c>
      <c r="AE3147" s="68" t="s">
        <v>850</v>
      </c>
      <c r="AF3147" s="336">
        <v>90.0</v>
      </c>
      <c r="AG3147" s="68"/>
      <c r="AH3147" s="68"/>
      <c r="AI3147" s="336">
        <v>4.0</v>
      </c>
      <c r="AJ3147" s="336">
        <v>0.01</v>
      </c>
      <c r="AK3147" s="159" t="s">
        <v>135</v>
      </c>
      <c r="AL3147" s="159" t="s">
        <v>186</v>
      </c>
      <c r="AM3147" s="159" t="s">
        <v>137</v>
      </c>
      <c r="AN3147" s="68" t="s">
        <v>18804</v>
      </c>
      <c r="AO3147" s="156">
        <v>270.0</v>
      </c>
      <c r="AP3147" s="156">
        <v>1.14</v>
      </c>
      <c r="AQ3147" s="159" t="s">
        <v>173</v>
      </c>
      <c r="AR3147" s="159" t="s">
        <v>18828</v>
      </c>
      <c r="AS3147" s="156">
        <v>0.001</v>
      </c>
      <c r="AT3147" s="159" t="s">
        <v>135</v>
      </c>
      <c r="AU3147" s="159" t="s">
        <v>186</v>
      </c>
      <c r="AV3147" s="159" t="s">
        <v>137</v>
      </c>
      <c r="AW3147" s="435" t="s">
        <v>18810</v>
      </c>
      <c r="AX3147" s="159" t="s">
        <v>151</v>
      </c>
      <c r="AY3147" s="61" t="str">
        <f>IFERROR(__xludf.DUMMYFUNCTION("vlookup(BB3147,importrange(""https://docs.google.com/spreadsheets/d/1d2vevQ_7D_v35q4wCQ4RpQ_IPoTwEMB9Yp6ymwlPqew/edit?gid=984458430#gid=984458430"", ""'replication success'!A:K""), 11, FAlSE)"),"#N/A")</f>
        <v>#N/A</v>
      </c>
      <c r="AZ3147" s="61" t="str">
        <f>IFERROR(__xludf.DUMMYFUNCTION("vlookup(BB3147,importrange(""https://docs.google.com/spreadsheets/d/1d2vevQ_7D_v35q4wCQ4RpQ_IPoTwEMB9Yp6ymwlPqew/edit?gid=984458430#gid=984458430"", ""'replication success'!A:M""), 12, FAlSE)"),"#N/A")</f>
        <v>#N/A</v>
      </c>
      <c r="BA3147" s="61" t="str">
        <f>IFERROR(__xludf.DUMMYFUNCTION("vlookup(BB3147,importrange(""https://docs.google.com/spreadsheets/d/1d2vevQ_7D_v35q4wCQ4RpQ_IPoTwEMB9Yp6ymwlPqew/edit?gid=984458430#gid=984458430"", ""'replication success'!A:M""), 13, FAlSE)"),"#N/A")</f>
        <v>#N/A</v>
      </c>
      <c r="BB3147" s="61" t="str">
        <f>IFERROR(__xludf.DUMMYFUNCTION("REGEXREPLACE(G3147, ""_[a-z]{1,2}$"", """")"),"RRR_BrohmerHofer_etal_2024_Bauch_c_pilot")</f>
        <v>RRR_BrohmerHofer_etal_2024_Bauch_c_pilot</v>
      </c>
      <c r="BD3147" s="62" t="s">
        <v>3130</v>
      </c>
    </row>
    <row r="3148">
      <c r="A3148" s="44">
        <v>2746.0</v>
      </c>
      <c r="B3148" s="129" t="s">
        <v>523</v>
      </c>
      <c r="C3148" s="62" t="s">
        <v>115</v>
      </c>
      <c r="D3148" s="62" t="s">
        <v>153</v>
      </c>
      <c r="F3148" s="68" t="s">
        <v>18779</v>
      </c>
      <c r="G3148" s="159" t="s">
        <v>18845</v>
      </c>
      <c r="H3148" s="159" t="s">
        <v>18797</v>
      </c>
      <c r="I3148" s="152">
        <v>45527.0</v>
      </c>
      <c r="J3148" s="862"/>
      <c r="K3148" s="159" t="s">
        <v>18846</v>
      </c>
      <c r="L3148" s="68" t="s">
        <v>18782</v>
      </c>
      <c r="M3148" s="159" t="s">
        <v>18783</v>
      </c>
      <c r="N3148" s="159" t="s">
        <v>18784</v>
      </c>
      <c r="O3148" s="156">
        <v>2.0</v>
      </c>
      <c r="P3148" s="382" t="s">
        <v>18785</v>
      </c>
      <c r="Q3148" s="2430" t="str">
        <f> hyperlink(vlookup(lower(N3148),'File Links'!E:F, 2, FALSE), "LINK")</f>
        <v>LINK</v>
      </c>
      <c r="R3148" s="159" t="s">
        <v>18786</v>
      </c>
      <c r="S3148" s="159" t="s">
        <v>18787</v>
      </c>
      <c r="T3148" s="68"/>
      <c r="U3148" s="156">
        <v>1.0</v>
      </c>
      <c r="V3148" s="382" t="s">
        <v>18788</v>
      </c>
      <c r="W3148" s="1231" t="s">
        <v>7284</v>
      </c>
      <c r="X3148" s="2429" t="str">
        <f> hyperlink(vlookup(lower(S3148),'File Links'!E:F, 2, FALSE), "LINK")</f>
        <v>LINK</v>
      </c>
      <c r="Y3148" s="68"/>
      <c r="Z3148" s="159" t="s">
        <v>226</v>
      </c>
      <c r="AA3148" s="68" t="s">
        <v>18799</v>
      </c>
      <c r="AB3148" s="832" t="s">
        <v>18800</v>
      </c>
      <c r="AC3148" s="68" t="s">
        <v>18847</v>
      </c>
      <c r="AD3148" s="159" t="s">
        <v>18848</v>
      </c>
      <c r="AE3148" s="159" t="s">
        <v>813</v>
      </c>
      <c r="AF3148" s="336">
        <v>90.0</v>
      </c>
      <c r="AG3148" s="68"/>
      <c r="AH3148" s="68"/>
      <c r="AI3148" s="156">
        <v>5.0</v>
      </c>
      <c r="AJ3148" s="336">
        <v>0.1</v>
      </c>
      <c r="AK3148" s="159" t="s">
        <v>335</v>
      </c>
      <c r="AL3148" s="159" t="s">
        <v>186</v>
      </c>
      <c r="AM3148" s="159" t="s">
        <v>137</v>
      </c>
      <c r="AN3148" s="68" t="s">
        <v>18804</v>
      </c>
      <c r="AO3148" s="336">
        <v>2697.0</v>
      </c>
      <c r="AP3148" s="159" t="s">
        <v>18849</v>
      </c>
      <c r="AQ3148" s="159" t="s">
        <v>134</v>
      </c>
      <c r="AR3148" s="68" t="s">
        <v>2229</v>
      </c>
      <c r="AS3148" s="336">
        <v>0.001</v>
      </c>
      <c r="AT3148" s="159" t="s">
        <v>135</v>
      </c>
      <c r="AU3148" s="159" t="s">
        <v>186</v>
      </c>
      <c r="AV3148" s="159" t="s">
        <v>137</v>
      </c>
      <c r="AW3148" s="435" t="s">
        <v>18824</v>
      </c>
      <c r="AX3148" s="159" t="s">
        <v>143</v>
      </c>
      <c r="AY3148" s="61" t="str">
        <f>IFERROR(__xludf.DUMMYFUNCTION("vlookup(BB3148,importrange(""https://docs.google.com/spreadsheets/d/1d2vevQ_7D_v35q4wCQ4RpQ_IPoTwEMB9Yp6ymwlPqew/edit?gid=984458430#gid=984458430"", ""'replication success'!A:K""), 11, FAlSE)"),"#N/A")</f>
        <v>#N/A</v>
      </c>
      <c r="AZ3148" s="61" t="str">
        <f>IFERROR(__xludf.DUMMYFUNCTION("vlookup(BB3148,importrange(""https://docs.google.com/spreadsheets/d/1d2vevQ_7D_v35q4wCQ4RpQ_IPoTwEMB9Yp6ymwlPqew/edit?gid=984458430#gid=984458430"", ""'replication success'!A:M""), 12, FAlSE)"),"#N/A")</f>
        <v>#N/A</v>
      </c>
      <c r="BA3148" s="61" t="str">
        <f>IFERROR(__xludf.DUMMYFUNCTION("vlookup(BB3148,importrange(""https://docs.google.com/spreadsheets/d/1d2vevQ_7D_v35q4wCQ4RpQ_IPoTwEMB9Yp6ymwlPqew/edit?gid=984458430#gid=984458430"", ""'replication success'!A:M""), 13, FAlSE)"),"#N/A")</f>
        <v>#N/A</v>
      </c>
      <c r="BB3148" s="61" t="str">
        <f>IFERROR(__xludf.DUMMYFUNCTION("REGEXREPLACE(G3148, ""_[a-z]{1,2}$"", """")"),"RRR_BrohmerHofer_etal_2024_Bauch")</f>
        <v>RRR_BrohmerHofer_etal_2024_Bauch</v>
      </c>
      <c r="BD3148" s="62" t="s">
        <v>3130</v>
      </c>
    </row>
    <row r="3149">
      <c r="A3149" s="44">
        <v>2762.0</v>
      </c>
      <c r="B3149" s="129" t="s">
        <v>523</v>
      </c>
      <c r="C3149" s="62" t="s">
        <v>115</v>
      </c>
      <c r="D3149" s="62" t="s">
        <v>153</v>
      </c>
      <c r="F3149" s="68" t="s">
        <v>18779</v>
      </c>
      <c r="G3149" s="159" t="s">
        <v>18850</v>
      </c>
      <c r="H3149" s="159" t="s">
        <v>18797</v>
      </c>
      <c r="I3149" s="152">
        <v>45527.0</v>
      </c>
      <c r="J3149" s="862"/>
      <c r="K3149" s="310" t="s">
        <v>18851</v>
      </c>
      <c r="L3149" s="68" t="s">
        <v>18782</v>
      </c>
      <c r="M3149" s="159" t="s">
        <v>18783</v>
      </c>
      <c r="N3149" s="159" t="s">
        <v>18784</v>
      </c>
      <c r="O3149" s="156">
        <v>2.0</v>
      </c>
      <c r="P3149" s="382" t="s">
        <v>18785</v>
      </c>
      <c r="Q3149" s="2430" t="str">
        <f> hyperlink(vlookup(lower(N3149),'File Links'!E:F, 2, FALSE), "LINK")</f>
        <v>LINK</v>
      </c>
      <c r="R3149" s="159" t="s">
        <v>18786</v>
      </c>
      <c r="S3149" s="159" t="s">
        <v>18787</v>
      </c>
      <c r="T3149" s="68"/>
      <c r="U3149" s="156">
        <v>1.0</v>
      </c>
      <c r="V3149" s="382" t="s">
        <v>18788</v>
      </c>
      <c r="W3149" s="1231" t="s">
        <v>7284</v>
      </c>
      <c r="X3149" s="2429" t="str">
        <f> hyperlink(vlookup(lower(S3149),'File Links'!E:F, 2, FALSE), "LINK")</f>
        <v>LINK</v>
      </c>
      <c r="Y3149" s="68"/>
      <c r="Z3149" s="159" t="s">
        <v>226</v>
      </c>
      <c r="AA3149" s="68" t="s">
        <v>18799</v>
      </c>
      <c r="AB3149" s="832" t="s">
        <v>18800</v>
      </c>
      <c r="AC3149" s="68" t="s">
        <v>18852</v>
      </c>
      <c r="AD3149" s="159" t="s">
        <v>18848</v>
      </c>
      <c r="AE3149" s="159" t="s">
        <v>813</v>
      </c>
      <c r="AF3149" s="336">
        <v>90.0</v>
      </c>
      <c r="AG3149" s="68"/>
      <c r="AH3149" s="68"/>
      <c r="AI3149" s="156">
        <v>5.0</v>
      </c>
      <c r="AJ3149" s="336">
        <v>0.1</v>
      </c>
      <c r="AK3149" s="159" t="s">
        <v>335</v>
      </c>
      <c r="AL3149" s="159" t="s">
        <v>186</v>
      </c>
      <c r="AM3149" s="159" t="s">
        <v>137</v>
      </c>
      <c r="AN3149" s="68" t="s">
        <v>18804</v>
      </c>
      <c r="AO3149" s="156">
        <v>286.0</v>
      </c>
      <c r="AP3149" s="156">
        <v>0.44</v>
      </c>
      <c r="AQ3149" s="159" t="s">
        <v>173</v>
      </c>
      <c r="AR3149" s="159" t="s">
        <v>18828</v>
      </c>
      <c r="AS3149" s="156">
        <v>0.001</v>
      </c>
      <c r="AT3149" s="159" t="s">
        <v>135</v>
      </c>
      <c r="AU3149" s="159" t="s">
        <v>186</v>
      </c>
      <c r="AV3149" s="159" t="s">
        <v>137</v>
      </c>
      <c r="AW3149" s="435" t="s">
        <v>18810</v>
      </c>
      <c r="AX3149" s="159" t="s">
        <v>151</v>
      </c>
      <c r="AY3149" s="61" t="str">
        <f>IFERROR(__xludf.DUMMYFUNCTION("vlookup(BB3149,importrange(""https://docs.google.com/spreadsheets/d/1d2vevQ_7D_v35q4wCQ4RpQ_IPoTwEMB9Yp6ymwlPqew/edit?gid=984458430#gid=984458430"", ""'replication success'!A:K""), 11, FAlSE)"),"#N/A")</f>
        <v>#N/A</v>
      </c>
      <c r="AZ3149" s="61" t="str">
        <f>IFERROR(__xludf.DUMMYFUNCTION("vlookup(BB3149,importrange(""https://docs.google.com/spreadsheets/d/1d2vevQ_7D_v35q4wCQ4RpQ_IPoTwEMB9Yp6ymwlPqew/edit?gid=984458430#gid=984458430"", ""'replication success'!A:M""), 12, FAlSE)"),"#N/A")</f>
        <v>#N/A</v>
      </c>
      <c r="BA3149" s="61" t="str">
        <f>IFERROR(__xludf.DUMMYFUNCTION("vlookup(BB3149,importrange(""https://docs.google.com/spreadsheets/d/1d2vevQ_7D_v35q4wCQ4RpQ_IPoTwEMB9Yp6ymwlPqew/edit?gid=984458430#gid=984458430"", ""'replication success'!A:M""), 13, FAlSE)"),"#N/A")</f>
        <v>#N/A</v>
      </c>
      <c r="BB3149" s="61" t="str">
        <f>IFERROR(__xludf.DUMMYFUNCTION("REGEXREPLACE(G3149, ""_[a-z]{1,2}$"", """")"),"RRR_BrohmerHofer_etal_2024_Bauch_d_extension")</f>
        <v>RRR_BrohmerHofer_etal_2024_Bauch_d_extension</v>
      </c>
      <c r="BD3149" s="62" t="s">
        <v>3130</v>
      </c>
      <c r="BF3149" s="2010"/>
      <c r="BG3149" s="2010"/>
      <c r="BH3149" s="2010"/>
      <c r="BI3149" s="2010"/>
      <c r="BJ3149" s="2010"/>
      <c r="BK3149" s="2010"/>
      <c r="BL3149" s="2010"/>
      <c r="BM3149" s="2010"/>
      <c r="BN3149" s="2010"/>
      <c r="BO3149" s="2010"/>
      <c r="BP3149" s="2010"/>
      <c r="BQ3149" s="2010"/>
      <c r="BR3149" s="2010"/>
      <c r="BS3149" s="2010"/>
      <c r="BT3149" s="2010"/>
      <c r="BU3149" s="2010"/>
      <c r="BV3149" s="2010"/>
      <c r="BW3149" s="2010"/>
      <c r="BX3149" s="2010"/>
      <c r="BY3149" s="2010"/>
      <c r="BZ3149" s="2010"/>
      <c r="CA3149" s="2010"/>
      <c r="CB3149" s="2010"/>
      <c r="CC3149" s="2010"/>
      <c r="CD3149" s="2010"/>
      <c r="CE3149" s="2010"/>
      <c r="CF3149" s="2010"/>
      <c r="CG3149" s="2010"/>
      <c r="CH3149" s="2010"/>
      <c r="CI3149" s="2010"/>
      <c r="CJ3149" s="2010"/>
      <c r="CK3149" s="2010"/>
      <c r="CL3149" s="2010"/>
      <c r="CM3149" s="2010"/>
      <c r="CN3149" s="2010"/>
      <c r="CO3149" s="2010"/>
      <c r="CP3149" s="2010"/>
      <c r="CQ3149" s="2010"/>
      <c r="CR3149" s="2010"/>
      <c r="CS3149" s="2010"/>
      <c r="CT3149" s="2010"/>
      <c r="CU3149" s="2010"/>
      <c r="CV3149" s="2010"/>
      <c r="CW3149" s="2010"/>
      <c r="CX3149" s="2010"/>
      <c r="CY3149" s="2010"/>
      <c r="CZ3149" s="2010"/>
      <c r="DA3149" s="2010"/>
      <c r="DB3149" s="2010"/>
      <c r="DC3149" s="2010"/>
      <c r="DD3149" s="2010"/>
      <c r="DE3149" s="2010"/>
      <c r="DF3149" s="2010"/>
      <c r="DG3149" s="2010"/>
      <c r="DH3149" s="2010"/>
      <c r="DI3149" s="2010"/>
      <c r="DJ3149" s="2010"/>
      <c r="DK3149" s="2010"/>
      <c r="DL3149" s="2010"/>
    </row>
    <row r="3150">
      <c r="A3150" s="44">
        <v>2759.0</v>
      </c>
      <c r="B3150" s="129" t="s">
        <v>523</v>
      </c>
      <c r="C3150" s="62" t="s">
        <v>115</v>
      </c>
      <c r="D3150" s="62" t="s">
        <v>153</v>
      </c>
      <c r="F3150" s="68" t="s">
        <v>18779</v>
      </c>
      <c r="G3150" s="159" t="s">
        <v>18853</v>
      </c>
      <c r="H3150" s="159" t="s">
        <v>18797</v>
      </c>
      <c r="I3150" s="152">
        <v>45527.0</v>
      </c>
      <c r="J3150" s="862"/>
      <c r="K3150" s="310" t="s">
        <v>18854</v>
      </c>
      <c r="L3150" s="68" t="s">
        <v>18782</v>
      </c>
      <c r="M3150" s="159" t="s">
        <v>18783</v>
      </c>
      <c r="N3150" s="159" t="s">
        <v>18784</v>
      </c>
      <c r="O3150" s="156">
        <v>2.0</v>
      </c>
      <c r="P3150" s="382" t="s">
        <v>18785</v>
      </c>
      <c r="Q3150" s="2430" t="str">
        <f> hyperlink(vlookup(lower(N3150),'File Links'!E:F, 2, FALSE), "LINK")</f>
        <v>LINK</v>
      </c>
      <c r="R3150" s="159" t="s">
        <v>18786</v>
      </c>
      <c r="S3150" s="159" t="s">
        <v>18787</v>
      </c>
      <c r="T3150" s="68"/>
      <c r="U3150" s="156">
        <v>1.0</v>
      </c>
      <c r="V3150" s="382" t="s">
        <v>18788</v>
      </c>
      <c r="W3150" s="1231" t="s">
        <v>7284</v>
      </c>
      <c r="X3150" s="2429" t="str">
        <f> hyperlink(vlookup(lower(S3150),'File Links'!E:F, 2, FALSE), "LINK")</f>
        <v>LINK</v>
      </c>
      <c r="Y3150" s="68"/>
      <c r="Z3150" s="159" t="s">
        <v>226</v>
      </c>
      <c r="AA3150" s="68" t="s">
        <v>18799</v>
      </c>
      <c r="AB3150" s="832" t="s">
        <v>18800</v>
      </c>
      <c r="AC3150" s="68" t="s">
        <v>18855</v>
      </c>
      <c r="AD3150" s="159" t="s">
        <v>18848</v>
      </c>
      <c r="AE3150" s="159" t="s">
        <v>813</v>
      </c>
      <c r="AF3150" s="336">
        <v>90.0</v>
      </c>
      <c r="AG3150" s="68"/>
      <c r="AH3150" s="68"/>
      <c r="AI3150" s="156">
        <v>5.0</v>
      </c>
      <c r="AJ3150" s="336">
        <v>0.1</v>
      </c>
      <c r="AK3150" s="159" t="s">
        <v>335</v>
      </c>
      <c r="AL3150" s="159" t="s">
        <v>186</v>
      </c>
      <c r="AM3150" s="159" t="s">
        <v>137</v>
      </c>
      <c r="AN3150" s="68" t="s">
        <v>18804</v>
      </c>
      <c r="AO3150" s="156">
        <v>270.0</v>
      </c>
      <c r="AP3150" s="156">
        <v>0.55</v>
      </c>
      <c r="AQ3150" s="159" t="s">
        <v>173</v>
      </c>
      <c r="AR3150" s="159" t="s">
        <v>18828</v>
      </c>
      <c r="AS3150" s="156">
        <v>0.001</v>
      </c>
      <c r="AT3150" s="159" t="s">
        <v>135</v>
      </c>
      <c r="AU3150" s="159" t="s">
        <v>186</v>
      </c>
      <c r="AV3150" s="159" t="s">
        <v>137</v>
      </c>
      <c r="AW3150" s="435" t="s">
        <v>18810</v>
      </c>
      <c r="AX3150" s="159" t="s">
        <v>151</v>
      </c>
      <c r="AY3150" s="61" t="str">
        <f>IFERROR(__xludf.DUMMYFUNCTION("vlookup(BB3150,importrange(""https://docs.google.com/spreadsheets/d/1d2vevQ_7D_v35q4wCQ4RpQ_IPoTwEMB9Yp6ymwlPqew/edit?gid=984458430#gid=984458430"", ""'replication success'!A:K""), 11, FAlSE)"),"#N/A")</f>
        <v>#N/A</v>
      </c>
      <c r="AZ3150" s="61" t="str">
        <f>IFERROR(__xludf.DUMMYFUNCTION("vlookup(BB3150,importrange(""https://docs.google.com/spreadsheets/d/1d2vevQ_7D_v35q4wCQ4RpQ_IPoTwEMB9Yp6ymwlPqew/edit?gid=984458430#gid=984458430"", ""'replication success'!A:M""), 12, FAlSE)"),"#N/A")</f>
        <v>#N/A</v>
      </c>
      <c r="BA3150" s="61" t="str">
        <f>IFERROR(__xludf.DUMMYFUNCTION("vlookup(BB3150,importrange(""https://docs.google.com/spreadsheets/d/1d2vevQ_7D_v35q4wCQ4RpQ_IPoTwEMB9Yp6ymwlPqew/edit?gid=984458430#gid=984458430"", ""'replication success'!A:M""), 13, FAlSE)"),"#N/A")</f>
        <v>#N/A</v>
      </c>
      <c r="BB3150" s="61" t="str">
        <f>IFERROR(__xludf.DUMMYFUNCTION("REGEXREPLACE(G3150, ""_[a-z]{1,2}$"", """")"),"RRR_BrohmerHofer_etal_2024_Bauch_d_pilot")</f>
        <v>RRR_BrohmerHofer_etal_2024_Bauch_d_pilot</v>
      </c>
      <c r="BD3150" s="62" t="s">
        <v>3130</v>
      </c>
    </row>
    <row r="3151">
      <c r="A3151" s="44">
        <v>2747.0</v>
      </c>
      <c r="B3151" s="129" t="s">
        <v>523</v>
      </c>
      <c r="C3151" s="62" t="s">
        <v>115</v>
      </c>
      <c r="D3151" s="62" t="s">
        <v>153</v>
      </c>
      <c r="F3151" s="68" t="s">
        <v>18779</v>
      </c>
      <c r="G3151" s="159" t="s">
        <v>18856</v>
      </c>
      <c r="H3151" s="159" t="s">
        <v>18797</v>
      </c>
      <c r="I3151" s="152">
        <v>45527.0</v>
      </c>
      <c r="J3151" s="862"/>
      <c r="K3151" s="159" t="s">
        <v>18798</v>
      </c>
      <c r="L3151" s="68" t="s">
        <v>18782</v>
      </c>
      <c r="M3151" s="159" t="s">
        <v>18783</v>
      </c>
      <c r="N3151" s="159" t="s">
        <v>18784</v>
      </c>
      <c r="O3151" s="156">
        <v>2.0</v>
      </c>
      <c r="P3151" s="382" t="s">
        <v>18785</v>
      </c>
      <c r="Q3151" s="2430" t="str">
        <f> hyperlink(vlookup(lower(N3151),'File Links'!E:F, 2, FALSE), "LINK")</f>
        <v>LINK</v>
      </c>
      <c r="R3151" s="159" t="s">
        <v>18786</v>
      </c>
      <c r="S3151" s="159" t="s">
        <v>18787</v>
      </c>
      <c r="T3151" s="68"/>
      <c r="U3151" s="156">
        <v>1.0</v>
      </c>
      <c r="V3151" s="382" t="s">
        <v>18788</v>
      </c>
      <c r="W3151" s="1231" t="s">
        <v>7284</v>
      </c>
      <c r="X3151" s="2429" t="str">
        <f> hyperlink(vlookup(lower(S3151),'File Links'!E:F, 2, FALSE), "LINK")</f>
        <v>LINK</v>
      </c>
      <c r="Y3151" s="68"/>
      <c r="Z3151" s="159" t="s">
        <v>226</v>
      </c>
      <c r="AA3151" s="68" t="s">
        <v>18799</v>
      </c>
      <c r="AB3151" s="832" t="s">
        <v>18800</v>
      </c>
      <c r="AC3151" s="68" t="s">
        <v>18857</v>
      </c>
      <c r="AD3151" s="159" t="s">
        <v>18858</v>
      </c>
      <c r="AE3151" s="159" t="s">
        <v>813</v>
      </c>
      <c r="AF3151" s="336">
        <v>90.0</v>
      </c>
      <c r="AG3151" s="159" t="s">
        <v>18859</v>
      </c>
      <c r="AH3151" s="159" t="s">
        <v>134</v>
      </c>
      <c r="AI3151" s="156">
        <v>5.0</v>
      </c>
      <c r="AJ3151" s="336">
        <v>0.001</v>
      </c>
      <c r="AK3151" s="159" t="s">
        <v>135</v>
      </c>
      <c r="AL3151" s="159" t="s">
        <v>186</v>
      </c>
      <c r="AM3151" s="159" t="s">
        <v>137</v>
      </c>
      <c r="AN3151" s="68" t="s">
        <v>18804</v>
      </c>
      <c r="AO3151" s="336">
        <v>1479.0</v>
      </c>
      <c r="AP3151" s="156">
        <v>0.06</v>
      </c>
      <c r="AQ3151" s="159" t="s">
        <v>874</v>
      </c>
      <c r="AR3151" s="68" t="s">
        <v>612</v>
      </c>
      <c r="AS3151" s="156">
        <v>0.001</v>
      </c>
      <c r="AT3151" s="159" t="s">
        <v>135</v>
      </c>
      <c r="AU3151" s="159" t="s">
        <v>136</v>
      </c>
      <c r="AV3151" s="159" t="s">
        <v>137</v>
      </c>
      <c r="AW3151" s="435" t="s">
        <v>18805</v>
      </c>
      <c r="AX3151" s="159" t="s">
        <v>143</v>
      </c>
      <c r="AY3151" s="61" t="str">
        <f>IFERROR(__xludf.DUMMYFUNCTION("vlookup(BB3151,importrange(""https://docs.google.com/spreadsheets/d/1d2vevQ_7D_v35q4wCQ4RpQ_IPoTwEMB9Yp6ymwlPqew/edit?gid=984458430#gid=984458430"", ""'replication success'!A:K""), 11, FAlSE)"),"#N/A")</f>
        <v>#N/A</v>
      </c>
      <c r="AZ3151" s="61" t="str">
        <f>IFERROR(__xludf.DUMMYFUNCTION("vlookup(BB3151,importrange(""https://docs.google.com/spreadsheets/d/1d2vevQ_7D_v35q4wCQ4RpQ_IPoTwEMB9Yp6ymwlPqew/edit?gid=984458430#gid=984458430"", ""'replication success'!A:M""), 12, FAlSE)"),"#N/A")</f>
        <v>#N/A</v>
      </c>
      <c r="BA3151" s="61" t="str">
        <f>IFERROR(__xludf.DUMMYFUNCTION("vlookup(BB3151,importrange(""https://docs.google.com/spreadsheets/d/1d2vevQ_7D_v35q4wCQ4RpQ_IPoTwEMB9Yp6ymwlPqew/edit?gid=984458430#gid=984458430"", ""'replication success'!A:M""), 13, FAlSE)"),"#N/A")</f>
        <v>#N/A</v>
      </c>
      <c r="BB3151" s="61" t="str">
        <f>IFERROR(__xludf.DUMMYFUNCTION("REGEXREPLACE(G3151, ""_[a-z]{1,2}$"", """")"),"RRR_BrohmerHofer_etal_2024_Bauch")</f>
        <v>RRR_BrohmerHofer_etal_2024_Bauch</v>
      </c>
      <c r="BD3151" s="62" t="s">
        <v>3130</v>
      </c>
    </row>
    <row r="3152">
      <c r="A3152" s="44">
        <v>2756.0</v>
      </c>
      <c r="B3152" s="129" t="s">
        <v>523</v>
      </c>
      <c r="C3152" s="62" t="s">
        <v>115</v>
      </c>
      <c r="D3152" s="62" t="s">
        <v>153</v>
      </c>
      <c r="F3152" s="68" t="s">
        <v>18779</v>
      </c>
      <c r="G3152" s="159" t="s">
        <v>18860</v>
      </c>
      <c r="H3152" s="159" t="s">
        <v>18797</v>
      </c>
      <c r="I3152" s="152">
        <v>45527.0</v>
      </c>
      <c r="J3152" s="862"/>
      <c r="K3152" s="310" t="s">
        <v>18861</v>
      </c>
      <c r="L3152" s="68" t="s">
        <v>18782</v>
      </c>
      <c r="M3152" s="159" t="s">
        <v>18783</v>
      </c>
      <c r="N3152" s="159" t="s">
        <v>18784</v>
      </c>
      <c r="O3152" s="156">
        <v>2.0</v>
      </c>
      <c r="P3152" s="382" t="s">
        <v>18785</v>
      </c>
      <c r="Q3152" s="2430" t="str">
        <f> hyperlink(vlookup(lower(N3152),'File Links'!E:F, 2, FALSE), "LINK")</f>
        <v>LINK</v>
      </c>
      <c r="R3152" s="159" t="s">
        <v>18786</v>
      </c>
      <c r="S3152" s="159" t="s">
        <v>18787</v>
      </c>
      <c r="T3152" s="68"/>
      <c r="U3152" s="156">
        <v>1.0</v>
      </c>
      <c r="V3152" s="382" t="s">
        <v>18788</v>
      </c>
      <c r="W3152" s="1231" t="s">
        <v>7284</v>
      </c>
      <c r="X3152" s="2429" t="str">
        <f> hyperlink(vlookup(lower(S3152),'File Links'!E:F, 2, FALSE), "LINK")</f>
        <v>LINK</v>
      </c>
      <c r="Y3152" s="68"/>
      <c r="Z3152" s="159" t="s">
        <v>226</v>
      </c>
      <c r="AA3152" s="68" t="s">
        <v>18799</v>
      </c>
      <c r="AB3152" s="832" t="s">
        <v>18800</v>
      </c>
      <c r="AC3152" s="68" t="s">
        <v>18862</v>
      </c>
      <c r="AD3152" s="159" t="s">
        <v>18858</v>
      </c>
      <c r="AE3152" s="159" t="s">
        <v>813</v>
      </c>
      <c r="AF3152" s="336">
        <v>90.0</v>
      </c>
      <c r="AG3152" s="159" t="s">
        <v>18859</v>
      </c>
      <c r="AH3152" s="159" t="s">
        <v>134</v>
      </c>
      <c r="AI3152" s="156">
        <v>5.0</v>
      </c>
      <c r="AJ3152" s="336">
        <v>0.001</v>
      </c>
      <c r="AK3152" s="159" t="s">
        <v>135</v>
      </c>
      <c r="AL3152" s="159" t="s">
        <v>186</v>
      </c>
      <c r="AM3152" s="159" t="s">
        <v>137</v>
      </c>
      <c r="AN3152" s="68" t="s">
        <v>18804</v>
      </c>
      <c r="AO3152" s="156">
        <f>286+270</f>
        <v>556</v>
      </c>
      <c r="AP3152" s="336">
        <v>0.05</v>
      </c>
      <c r="AQ3152" s="159" t="s">
        <v>874</v>
      </c>
      <c r="AR3152" s="159" t="s">
        <v>18809</v>
      </c>
      <c r="AS3152" s="156">
        <v>1.0E-4</v>
      </c>
      <c r="AT3152" s="159" t="s">
        <v>135</v>
      </c>
      <c r="AU3152" s="159" t="s">
        <v>186</v>
      </c>
      <c r="AV3152" s="159" t="s">
        <v>137</v>
      </c>
      <c r="AW3152" s="435" t="s">
        <v>18810</v>
      </c>
      <c r="AX3152" s="159" t="s">
        <v>151</v>
      </c>
      <c r="AY3152" s="61" t="str">
        <f>IFERROR(__xludf.DUMMYFUNCTION("vlookup(BB3152,importrange(""https://docs.google.com/spreadsheets/d/1d2vevQ_7D_v35q4wCQ4RpQ_IPoTwEMB9Yp6ymwlPqew/edit?gid=984458430#gid=984458430"", ""'replication success'!A:K""), 11, FAlSE)"),"#N/A")</f>
        <v>#N/A</v>
      </c>
      <c r="AZ3152" s="61" t="str">
        <f>IFERROR(__xludf.DUMMYFUNCTION("vlookup(BB3152,importrange(""https://docs.google.com/spreadsheets/d/1d2vevQ_7D_v35q4wCQ4RpQ_IPoTwEMB9Yp6ymwlPqew/edit?gid=984458430#gid=984458430"", ""'replication success'!A:M""), 12, FAlSE)"),"#N/A")</f>
        <v>#N/A</v>
      </c>
      <c r="BA3152" s="61" t="str">
        <f>IFERROR(__xludf.DUMMYFUNCTION("vlookup(BB3152,importrange(""https://docs.google.com/spreadsheets/d/1d2vevQ_7D_v35q4wCQ4RpQ_IPoTwEMB9Yp6ymwlPqew/edit?gid=984458430#gid=984458430"", ""'replication success'!A:M""), 13, FAlSE)"),"#N/A")</f>
        <v>#N/A</v>
      </c>
      <c r="BB3152" s="61" t="str">
        <f>IFERROR(__xludf.DUMMYFUNCTION("REGEXREPLACE(G3152, ""_[a-z]{1,2}$"", """")"),"RRR_BrohmerHofer_etal_2024_Bauch_e_combineddata")</f>
        <v>RRR_BrohmerHofer_etal_2024_Bauch_e_combineddata</v>
      </c>
      <c r="BD3152" s="62" t="s">
        <v>3130</v>
      </c>
    </row>
    <row r="3153">
      <c r="A3153" s="44">
        <v>2753.0</v>
      </c>
      <c r="B3153" s="129" t="s">
        <v>523</v>
      </c>
      <c r="C3153" s="62" t="s">
        <v>115</v>
      </c>
      <c r="D3153" s="62" t="s">
        <v>153</v>
      </c>
      <c r="F3153" s="68" t="s">
        <v>18779</v>
      </c>
      <c r="G3153" s="159" t="s">
        <v>18863</v>
      </c>
      <c r="H3153" s="159" t="s">
        <v>18797</v>
      </c>
      <c r="I3153" s="152">
        <v>45527.0</v>
      </c>
      <c r="J3153" s="862"/>
      <c r="K3153" s="310" t="s">
        <v>18864</v>
      </c>
      <c r="L3153" s="68" t="s">
        <v>18782</v>
      </c>
      <c r="M3153" s="159" t="s">
        <v>18783</v>
      </c>
      <c r="N3153" s="159" t="s">
        <v>18784</v>
      </c>
      <c r="O3153" s="156">
        <v>2.0</v>
      </c>
      <c r="P3153" s="382" t="s">
        <v>18785</v>
      </c>
      <c r="Q3153" s="2430" t="str">
        <f> hyperlink(vlookup(lower(N3153),'File Links'!E:F, 2, FALSE), "LINK")</f>
        <v>LINK</v>
      </c>
      <c r="R3153" s="159" t="s">
        <v>18786</v>
      </c>
      <c r="S3153" s="159" t="s">
        <v>18787</v>
      </c>
      <c r="T3153" s="68"/>
      <c r="U3153" s="156">
        <v>1.0</v>
      </c>
      <c r="V3153" s="382" t="s">
        <v>18788</v>
      </c>
      <c r="W3153" s="1231" t="s">
        <v>7284</v>
      </c>
      <c r="X3153" s="2429" t="str">
        <f> hyperlink(vlookup(lower(S3153),'File Links'!E:F, 2, FALSE), "LINK")</f>
        <v>LINK</v>
      </c>
      <c r="Y3153" s="68"/>
      <c r="Z3153" s="159" t="s">
        <v>226</v>
      </c>
      <c r="AA3153" s="68" t="s">
        <v>18799</v>
      </c>
      <c r="AB3153" s="832" t="s">
        <v>18800</v>
      </c>
      <c r="AC3153" s="68" t="s">
        <v>18865</v>
      </c>
      <c r="AD3153" s="159" t="s">
        <v>18858</v>
      </c>
      <c r="AE3153" s="159" t="s">
        <v>813</v>
      </c>
      <c r="AF3153" s="336">
        <v>90.0</v>
      </c>
      <c r="AG3153" s="159" t="s">
        <v>18859</v>
      </c>
      <c r="AH3153" s="159" t="s">
        <v>134</v>
      </c>
      <c r="AI3153" s="156">
        <v>5.0</v>
      </c>
      <c r="AJ3153" s="336">
        <v>0.001</v>
      </c>
      <c r="AK3153" s="159" t="s">
        <v>135</v>
      </c>
      <c r="AL3153" s="159" t="s">
        <v>186</v>
      </c>
      <c r="AM3153" s="159" t="s">
        <v>137</v>
      </c>
      <c r="AN3153" s="68" t="s">
        <v>18804</v>
      </c>
      <c r="AO3153" s="156">
        <v>270.0</v>
      </c>
      <c r="AP3153" s="336">
        <v>0.002</v>
      </c>
      <c r="AQ3153" s="159" t="s">
        <v>874</v>
      </c>
      <c r="AR3153" s="68" t="s">
        <v>18814</v>
      </c>
      <c r="AS3153" s="156">
        <v>0.433</v>
      </c>
      <c r="AT3153" s="159" t="s">
        <v>172</v>
      </c>
      <c r="AU3153" s="159" t="s">
        <v>186</v>
      </c>
      <c r="AV3153" s="159" t="s">
        <v>137</v>
      </c>
      <c r="AW3153" s="435" t="s">
        <v>18810</v>
      </c>
      <c r="AX3153" s="159" t="s">
        <v>151</v>
      </c>
      <c r="AY3153" s="61" t="str">
        <f>IFERROR(__xludf.DUMMYFUNCTION("vlookup(BB3153,importrange(""https://docs.google.com/spreadsheets/d/1d2vevQ_7D_v35q4wCQ4RpQ_IPoTwEMB9Yp6ymwlPqew/edit?gid=984458430#gid=984458430"", ""'replication success'!A:K""), 11, FAlSE)"),"#N/A")</f>
        <v>#N/A</v>
      </c>
      <c r="AZ3153" s="61" t="str">
        <f>IFERROR(__xludf.DUMMYFUNCTION("vlookup(BB3153,importrange(""https://docs.google.com/spreadsheets/d/1d2vevQ_7D_v35q4wCQ4RpQ_IPoTwEMB9Yp6ymwlPqew/edit?gid=984458430#gid=984458430"", ""'replication success'!A:M""), 12, FAlSE)"),"#N/A")</f>
        <v>#N/A</v>
      </c>
      <c r="BA3153" s="61" t="str">
        <f>IFERROR(__xludf.DUMMYFUNCTION("vlookup(BB3153,importrange(""https://docs.google.com/spreadsheets/d/1d2vevQ_7D_v35q4wCQ4RpQ_IPoTwEMB9Yp6ymwlPqew/edit?gid=984458430#gid=984458430"", ""'replication success'!A:M""), 13, FAlSE)"),"#N/A")</f>
        <v>#N/A</v>
      </c>
      <c r="BB3153" s="61" t="str">
        <f>IFERROR(__xludf.DUMMYFUNCTION("REGEXREPLACE(G3153, ""_[a-z]{1,2}$"", """")"),"RRR_BrohmerHofer_etal_2024_Bauch_e_extension")</f>
        <v>RRR_BrohmerHofer_etal_2024_Bauch_e_extension</v>
      </c>
      <c r="BD3153" s="62" t="s">
        <v>3130</v>
      </c>
    </row>
    <row r="3154">
      <c r="A3154" s="44">
        <v>2750.0</v>
      </c>
      <c r="B3154" s="129" t="s">
        <v>523</v>
      </c>
      <c r="C3154" s="62" t="s">
        <v>115</v>
      </c>
      <c r="D3154" s="62" t="s">
        <v>153</v>
      </c>
      <c r="F3154" s="68" t="s">
        <v>18779</v>
      </c>
      <c r="G3154" s="159" t="s">
        <v>18866</v>
      </c>
      <c r="H3154" s="159" t="s">
        <v>18797</v>
      </c>
      <c r="I3154" s="152">
        <v>45527.0</v>
      </c>
      <c r="J3154" s="862"/>
      <c r="K3154" s="310" t="s">
        <v>18867</v>
      </c>
      <c r="L3154" s="68" t="s">
        <v>18782</v>
      </c>
      <c r="M3154" s="159" t="s">
        <v>18783</v>
      </c>
      <c r="N3154" s="159" t="s">
        <v>18784</v>
      </c>
      <c r="O3154" s="156">
        <v>2.0</v>
      </c>
      <c r="P3154" s="382" t="s">
        <v>18785</v>
      </c>
      <c r="Q3154" s="2430" t="str">
        <f> hyperlink(vlookup(lower(N3154),'File Links'!E:F, 2, FALSE), "LINK")</f>
        <v>LINK</v>
      </c>
      <c r="R3154" s="159" t="s">
        <v>18786</v>
      </c>
      <c r="S3154" s="159" t="s">
        <v>18787</v>
      </c>
      <c r="T3154" s="68"/>
      <c r="U3154" s="156">
        <v>1.0</v>
      </c>
      <c r="V3154" s="382" t="s">
        <v>18788</v>
      </c>
      <c r="W3154" s="1231" t="s">
        <v>7284</v>
      </c>
      <c r="X3154" s="2429" t="str">
        <f> hyperlink(vlookup(lower(S3154),'File Links'!E:F, 2, FALSE), "LINK")</f>
        <v>LINK</v>
      </c>
      <c r="Y3154" s="68"/>
      <c r="Z3154" s="159" t="s">
        <v>226</v>
      </c>
      <c r="AA3154" s="68" t="s">
        <v>18799</v>
      </c>
      <c r="AB3154" s="832" t="s">
        <v>18800</v>
      </c>
      <c r="AC3154" s="68" t="s">
        <v>18868</v>
      </c>
      <c r="AD3154" s="159" t="s">
        <v>18858</v>
      </c>
      <c r="AE3154" s="159" t="s">
        <v>813</v>
      </c>
      <c r="AF3154" s="336">
        <v>90.0</v>
      </c>
      <c r="AG3154" s="159" t="s">
        <v>18859</v>
      </c>
      <c r="AH3154" s="159" t="s">
        <v>134</v>
      </c>
      <c r="AI3154" s="156">
        <v>5.0</v>
      </c>
      <c r="AJ3154" s="336">
        <v>0.001</v>
      </c>
      <c r="AK3154" s="159" t="s">
        <v>135</v>
      </c>
      <c r="AL3154" s="159" t="s">
        <v>186</v>
      </c>
      <c r="AM3154" s="159" t="s">
        <v>137</v>
      </c>
      <c r="AN3154" s="68" t="s">
        <v>18804</v>
      </c>
      <c r="AO3154" s="156">
        <v>270.0</v>
      </c>
      <c r="AP3154" s="336">
        <v>0.04</v>
      </c>
      <c r="AQ3154" s="159" t="s">
        <v>874</v>
      </c>
      <c r="AR3154" s="159" t="s">
        <v>18818</v>
      </c>
      <c r="AS3154" s="156">
        <v>0.005</v>
      </c>
      <c r="AT3154" s="159" t="s">
        <v>172</v>
      </c>
      <c r="AU3154" s="159" t="s">
        <v>186</v>
      </c>
      <c r="AV3154" s="159" t="s">
        <v>137</v>
      </c>
      <c r="AW3154" s="435" t="s">
        <v>18810</v>
      </c>
      <c r="AX3154" s="159" t="s">
        <v>151</v>
      </c>
      <c r="AY3154" s="61" t="str">
        <f>IFERROR(__xludf.DUMMYFUNCTION("vlookup(BB3154,importrange(""https://docs.google.com/spreadsheets/d/1d2vevQ_7D_v35q4wCQ4RpQ_IPoTwEMB9Yp6ymwlPqew/edit?gid=984458430#gid=984458430"", ""'replication success'!A:K""), 11, FAlSE)"),"#N/A")</f>
        <v>#N/A</v>
      </c>
      <c r="AZ3154" s="61" t="str">
        <f>IFERROR(__xludf.DUMMYFUNCTION("vlookup(BB3154,importrange(""https://docs.google.com/spreadsheets/d/1d2vevQ_7D_v35q4wCQ4RpQ_IPoTwEMB9Yp6ymwlPqew/edit?gid=984458430#gid=984458430"", ""'replication success'!A:M""), 12, FAlSE)"),"#N/A")</f>
        <v>#N/A</v>
      </c>
      <c r="BA3154" s="61" t="str">
        <f>IFERROR(__xludf.DUMMYFUNCTION("vlookup(BB3154,importrange(""https://docs.google.com/spreadsheets/d/1d2vevQ_7D_v35q4wCQ4RpQ_IPoTwEMB9Yp6ymwlPqew/edit?gid=984458430#gid=984458430"", ""'replication success'!A:M""), 13, FAlSE)"),"#N/A")</f>
        <v>#N/A</v>
      </c>
      <c r="BB3154" s="61" t="str">
        <f>IFERROR(__xludf.DUMMYFUNCTION("REGEXREPLACE(G3154, ""_[a-z]{1,2}$"", """")"),"RRR_BrohmerHofer_etal_2024_Bauch_e_pilot")</f>
        <v>RRR_BrohmerHofer_etal_2024_Bauch_e_pilot</v>
      </c>
      <c r="BD3154" s="62" t="s">
        <v>3130</v>
      </c>
    </row>
    <row r="3155">
      <c r="A3155" s="44">
        <v>2748.0</v>
      </c>
      <c r="B3155" s="129" t="s">
        <v>523</v>
      </c>
      <c r="C3155" s="62" t="s">
        <v>115</v>
      </c>
      <c r="D3155" s="62" t="s">
        <v>153</v>
      </c>
      <c r="F3155" s="68" t="s">
        <v>18779</v>
      </c>
      <c r="G3155" s="159" t="s">
        <v>18869</v>
      </c>
      <c r="H3155" s="159" t="s">
        <v>18797</v>
      </c>
      <c r="I3155" s="152">
        <v>45527.0</v>
      </c>
      <c r="J3155" s="862"/>
      <c r="K3155" s="159" t="s">
        <v>18798</v>
      </c>
      <c r="L3155" s="68" t="s">
        <v>18782</v>
      </c>
      <c r="M3155" s="159" t="s">
        <v>18783</v>
      </c>
      <c r="N3155" s="159" t="s">
        <v>18784</v>
      </c>
      <c r="O3155" s="156">
        <v>2.0</v>
      </c>
      <c r="P3155" s="382" t="s">
        <v>18785</v>
      </c>
      <c r="Q3155" s="2430" t="str">
        <f> hyperlink(vlookup(lower(N3155),'File Links'!E:F, 2, FALSE), "LINK")</f>
        <v>LINK</v>
      </c>
      <c r="R3155" s="159" t="s">
        <v>18786</v>
      </c>
      <c r="S3155" s="159" t="s">
        <v>18787</v>
      </c>
      <c r="T3155" s="68"/>
      <c r="U3155" s="156">
        <v>1.0</v>
      </c>
      <c r="V3155" s="382" t="s">
        <v>18788</v>
      </c>
      <c r="W3155" s="1231" t="s">
        <v>7284</v>
      </c>
      <c r="X3155" s="2429" t="str">
        <f> hyperlink(vlookup(lower(S3155),'File Links'!E:F, 2, FALSE), "LINK")</f>
        <v>LINK</v>
      </c>
      <c r="Y3155" s="68"/>
      <c r="Z3155" s="159" t="s">
        <v>226</v>
      </c>
      <c r="AA3155" s="68" t="s">
        <v>18799</v>
      </c>
      <c r="AB3155" s="832" t="s">
        <v>18800</v>
      </c>
      <c r="AC3155" s="68" t="s">
        <v>18870</v>
      </c>
      <c r="AD3155" s="159" t="s">
        <v>18871</v>
      </c>
      <c r="AE3155" s="159" t="s">
        <v>813</v>
      </c>
      <c r="AF3155" s="336">
        <v>90.0</v>
      </c>
      <c r="AG3155" s="159" t="s">
        <v>18872</v>
      </c>
      <c r="AH3155" s="159" t="s">
        <v>134</v>
      </c>
      <c r="AI3155" s="336">
        <v>5.0</v>
      </c>
      <c r="AJ3155" s="156">
        <v>0.5</v>
      </c>
      <c r="AK3155" s="159" t="s">
        <v>335</v>
      </c>
      <c r="AL3155" s="159" t="s">
        <v>186</v>
      </c>
      <c r="AM3155" s="159" t="s">
        <v>137</v>
      </c>
      <c r="AN3155" s="68" t="s">
        <v>18804</v>
      </c>
      <c r="AO3155" s="336">
        <v>1479.0</v>
      </c>
      <c r="AP3155" s="156">
        <v>0.002</v>
      </c>
      <c r="AQ3155" s="159" t="s">
        <v>874</v>
      </c>
      <c r="AR3155" s="68" t="s">
        <v>612</v>
      </c>
      <c r="AS3155" s="156">
        <v>0.121</v>
      </c>
      <c r="AT3155" s="159" t="s">
        <v>172</v>
      </c>
      <c r="AU3155" s="159" t="s">
        <v>136</v>
      </c>
      <c r="AV3155" s="159" t="s">
        <v>137</v>
      </c>
      <c r="AW3155" s="435" t="s">
        <v>18805</v>
      </c>
      <c r="AX3155" s="159" t="s">
        <v>143</v>
      </c>
      <c r="AY3155" s="61" t="str">
        <f>IFERROR(__xludf.DUMMYFUNCTION("vlookup(BB3155,importrange(""https://docs.google.com/spreadsheets/d/1d2vevQ_7D_v35q4wCQ4RpQ_IPoTwEMB9Yp6ymwlPqew/edit?gid=984458430#gid=984458430"", ""'replication success'!A:K""), 11, FAlSE)"),"#N/A")</f>
        <v>#N/A</v>
      </c>
      <c r="AZ3155" s="61" t="str">
        <f>IFERROR(__xludf.DUMMYFUNCTION("vlookup(BB3155,importrange(""https://docs.google.com/spreadsheets/d/1d2vevQ_7D_v35q4wCQ4RpQ_IPoTwEMB9Yp6ymwlPqew/edit?gid=984458430#gid=984458430"", ""'replication success'!A:M""), 12, FAlSE)"),"#N/A")</f>
        <v>#N/A</v>
      </c>
      <c r="BA3155" s="61" t="str">
        <f>IFERROR(__xludf.DUMMYFUNCTION("vlookup(BB3155,importrange(""https://docs.google.com/spreadsheets/d/1d2vevQ_7D_v35q4wCQ4RpQ_IPoTwEMB9Yp6ymwlPqew/edit?gid=984458430#gid=984458430"", ""'replication success'!A:M""), 13, FAlSE)"),"#N/A")</f>
        <v>#N/A</v>
      </c>
      <c r="BB3155" s="61" t="str">
        <f>IFERROR(__xludf.DUMMYFUNCTION("REGEXREPLACE(G3155, ""_[a-z]{1,2}$"", """")"),"RRR_BrohmerHofer_etal_2024_Bauch")</f>
        <v>RRR_BrohmerHofer_etal_2024_Bauch</v>
      </c>
      <c r="BD3155" s="62" t="s">
        <v>3130</v>
      </c>
    </row>
    <row r="3156">
      <c r="A3156" s="44">
        <v>2757.0</v>
      </c>
      <c r="B3156" s="129" t="s">
        <v>523</v>
      </c>
      <c r="C3156" s="62" t="s">
        <v>115</v>
      </c>
      <c r="D3156" s="62" t="s">
        <v>153</v>
      </c>
      <c r="F3156" s="68" t="s">
        <v>18779</v>
      </c>
      <c r="G3156" s="159" t="s">
        <v>18873</v>
      </c>
      <c r="H3156" s="159" t="s">
        <v>18797</v>
      </c>
      <c r="I3156" s="152">
        <v>45527.0</v>
      </c>
      <c r="J3156" s="862"/>
      <c r="K3156" s="310" t="s">
        <v>18874</v>
      </c>
      <c r="L3156" s="68" t="s">
        <v>18782</v>
      </c>
      <c r="M3156" s="159" t="s">
        <v>18783</v>
      </c>
      <c r="N3156" s="159" t="s">
        <v>18784</v>
      </c>
      <c r="O3156" s="156">
        <v>2.0</v>
      </c>
      <c r="P3156" s="382" t="s">
        <v>18785</v>
      </c>
      <c r="Q3156" s="2430" t="str">
        <f> hyperlink(vlookup(lower(N3156),'File Links'!E:F, 2, FALSE), "LINK")</f>
        <v>LINK</v>
      </c>
      <c r="R3156" s="159" t="s">
        <v>18786</v>
      </c>
      <c r="S3156" s="159" t="s">
        <v>18787</v>
      </c>
      <c r="T3156" s="68"/>
      <c r="U3156" s="156">
        <v>1.0</v>
      </c>
      <c r="V3156" s="382" t="s">
        <v>18788</v>
      </c>
      <c r="W3156" s="1231" t="s">
        <v>7284</v>
      </c>
      <c r="X3156" s="2429" t="str">
        <f> hyperlink(vlookup(lower(S3156),'File Links'!E:F, 2, FALSE), "LINK")</f>
        <v>LINK</v>
      </c>
      <c r="Y3156" s="68"/>
      <c r="Z3156" s="159" t="s">
        <v>226</v>
      </c>
      <c r="AA3156" s="68" t="s">
        <v>18799</v>
      </c>
      <c r="AB3156" s="832" t="s">
        <v>18800</v>
      </c>
      <c r="AC3156" s="68" t="s">
        <v>18875</v>
      </c>
      <c r="AD3156" s="159" t="s">
        <v>18871</v>
      </c>
      <c r="AE3156" s="159" t="s">
        <v>813</v>
      </c>
      <c r="AF3156" s="336">
        <v>90.0</v>
      </c>
      <c r="AG3156" s="159" t="s">
        <v>18872</v>
      </c>
      <c r="AH3156" s="159" t="s">
        <v>134</v>
      </c>
      <c r="AI3156" s="336">
        <v>5.0</v>
      </c>
      <c r="AJ3156" s="156">
        <v>0.5</v>
      </c>
      <c r="AK3156" s="159" t="s">
        <v>335</v>
      </c>
      <c r="AL3156" s="159" t="s">
        <v>186</v>
      </c>
      <c r="AM3156" s="159" t="s">
        <v>137</v>
      </c>
      <c r="AN3156" s="68" t="s">
        <v>18804</v>
      </c>
      <c r="AO3156" s="156">
        <f>286+270</f>
        <v>556</v>
      </c>
      <c r="AP3156" s="336">
        <v>0.04</v>
      </c>
      <c r="AQ3156" s="159" t="s">
        <v>874</v>
      </c>
      <c r="AR3156" s="159" t="s">
        <v>18809</v>
      </c>
      <c r="AS3156" s="156">
        <v>0.002</v>
      </c>
      <c r="AT3156" s="159" t="s">
        <v>172</v>
      </c>
      <c r="AU3156" s="159" t="s">
        <v>186</v>
      </c>
      <c r="AV3156" s="159" t="s">
        <v>137</v>
      </c>
      <c r="AW3156" s="435" t="s">
        <v>18810</v>
      </c>
      <c r="AX3156" s="159" t="s">
        <v>151</v>
      </c>
      <c r="AY3156" s="61" t="str">
        <f>IFERROR(__xludf.DUMMYFUNCTION("vlookup(BB3156,importrange(""https://docs.google.com/spreadsheets/d/1d2vevQ_7D_v35q4wCQ4RpQ_IPoTwEMB9Yp6ymwlPqew/edit?gid=984458430#gid=984458430"", ""'replication success'!A:K""), 11, FAlSE)"),"#N/A")</f>
        <v>#N/A</v>
      </c>
      <c r="AZ3156" s="61" t="str">
        <f>IFERROR(__xludf.DUMMYFUNCTION("vlookup(BB3156,importrange(""https://docs.google.com/spreadsheets/d/1d2vevQ_7D_v35q4wCQ4RpQ_IPoTwEMB9Yp6ymwlPqew/edit?gid=984458430#gid=984458430"", ""'replication success'!A:M""), 12, FAlSE)"),"#N/A")</f>
        <v>#N/A</v>
      </c>
      <c r="BA3156" s="61" t="str">
        <f>IFERROR(__xludf.DUMMYFUNCTION("vlookup(BB3156,importrange(""https://docs.google.com/spreadsheets/d/1d2vevQ_7D_v35q4wCQ4RpQ_IPoTwEMB9Yp6ymwlPqew/edit?gid=984458430#gid=984458430"", ""'replication success'!A:M""), 13, FAlSE)"),"#N/A")</f>
        <v>#N/A</v>
      </c>
      <c r="BB3156" s="61" t="str">
        <f>IFERROR(__xludf.DUMMYFUNCTION("REGEXREPLACE(G3156, ""_[a-z]{1,2}$"", """")"),"RRR_BrohmerHofer_etal_2024_Bauch_f_combineddata")</f>
        <v>RRR_BrohmerHofer_etal_2024_Bauch_f_combineddata</v>
      </c>
      <c r="BD3156" s="62" t="s">
        <v>3130</v>
      </c>
    </row>
    <row r="3157">
      <c r="A3157" s="44">
        <v>2754.0</v>
      </c>
      <c r="B3157" s="129" t="s">
        <v>523</v>
      </c>
      <c r="C3157" s="62" t="s">
        <v>115</v>
      </c>
      <c r="D3157" s="62" t="s">
        <v>153</v>
      </c>
      <c r="F3157" s="68" t="s">
        <v>18779</v>
      </c>
      <c r="G3157" s="159" t="s">
        <v>18876</v>
      </c>
      <c r="H3157" s="159" t="s">
        <v>18797</v>
      </c>
      <c r="I3157" s="152">
        <v>45527.0</v>
      </c>
      <c r="J3157" s="862"/>
      <c r="K3157" s="310" t="s">
        <v>18877</v>
      </c>
      <c r="L3157" s="68" t="s">
        <v>18782</v>
      </c>
      <c r="M3157" s="159" t="s">
        <v>18783</v>
      </c>
      <c r="N3157" s="159" t="s">
        <v>18784</v>
      </c>
      <c r="O3157" s="156">
        <v>2.0</v>
      </c>
      <c r="P3157" s="382" t="s">
        <v>18785</v>
      </c>
      <c r="Q3157" s="2430" t="str">
        <f> hyperlink(vlookup(lower(N3157),'File Links'!E:F, 2, FALSE), "LINK")</f>
        <v>LINK</v>
      </c>
      <c r="R3157" s="159" t="s">
        <v>18786</v>
      </c>
      <c r="S3157" s="159" t="s">
        <v>18787</v>
      </c>
      <c r="T3157" s="68"/>
      <c r="U3157" s="156">
        <v>1.0</v>
      </c>
      <c r="V3157" s="382" t="s">
        <v>18788</v>
      </c>
      <c r="W3157" s="1231" t="s">
        <v>7284</v>
      </c>
      <c r="X3157" s="2429" t="str">
        <f> hyperlink(vlookup(lower(S3157),'File Links'!E:F, 2, FALSE), "LINK")</f>
        <v>LINK</v>
      </c>
      <c r="Y3157" s="68"/>
      <c r="Z3157" s="159" t="s">
        <v>226</v>
      </c>
      <c r="AA3157" s="68" t="s">
        <v>18799</v>
      </c>
      <c r="AB3157" s="832" t="s">
        <v>18800</v>
      </c>
      <c r="AC3157" s="68" t="s">
        <v>18878</v>
      </c>
      <c r="AD3157" s="159" t="s">
        <v>18871</v>
      </c>
      <c r="AE3157" s="159" t="s">
        <v>813</v>
      </c>
      <c r="AF3157" s="336">
        <v>90.0</v>
      </c>
      <c r="AG3157" s="159" t="s">
        <v>18872</v>
      </c>
      <c r="AH3157" s="159" t="s">
        <v>134</v>
      </c>
      <c r="AI3157" s="336">
        <v>5.0</v>
      </c>
      <c r="AJ3157" s="156">
        <v>0.5</v>
      </c>
      <c r="AK3157" s="159" t="s">
        <v>335</v>
      </c>
      <c r="AL3157" s="159" t="s">
        <v>186</v>
      </c>
      <c r="AM3157" s="159" t="s">
        <v>137</v>
      </c>
      <c r="AN3157" s="68" t="s">
        <v>18804</v>
      </c>
      <c r="AO3157" s="156">
        <v>270.0</v>
      </c>
      <c r="AP3157" s="336">
        <v>0.005</v>
      </c>
      <c r="AQ3157" s="159" t="s">
        <v>874</v>
      </c>
      <c r="AR3157" s="68" t="s">
        <v>18814</v>
      </c>
      <c r="AS3157" s="156">
        <v>0.51</v>
      </c>
      <c r="AT3157" s="159" t="s">
        <v>172</v>
      </c>
      <c r="AU3157" s="159" t="s">
        <v>186</v>
      </c>
      <c r="AV3157" s="159" t="s">
        <v>137</v>
      </c>
      <c r="AW3157" s="435" t="s">
        <v>18810</v>
      </c>
      <c r="AX3157" s="159" t="s">
        <v>151</v>
      </c>
      <c r="AY3157" s="61" t="str">
        <f>IFERROR(__xludf.DUMMYFUNCTION("vlookup(BB3157,importrange(""https://docs.google.com/spreadsheets/d/1d2vevQ_7D_v35q4wCQ4RpQ_IPoTwEMB9Yp6ymwlPqew/edit?gid=984458430#gid=984458430"", ""'replication success'!A:K""), 11, FAlSE)"),"#N/A")</f>
        <v>#N/A</v>
      </c>
      <c r="AZ3157" s="61" t="str">
        <f>IFERROR(__xludf.DUMMYFUNCTION("vlookup(BB3157,importrange(""https://docs.google.com/spreadsheets/d/1d2vevQ_7D_v35q4wCQ4RpQ_IPoTwEMB9Yp6ymwlPqew/edit?gid=984458430#gid=984458430"", ""'replication success'!A:M""), 12, FAlSE)"),"#N/A")</f>
        <v>#N/A</v>
      </c>
      <c r="BA3157" s="61" t="str">
        <f>IFERROR(__xludf.DUMMYFUNCTION("vlookup(BB3157,importrange(""https://docs.google.com/spreadsheets/d/1d2vevQ_7D_v35q4wCQ4RpQ_IPoTwEMB9Yp6ymwlPqew/edit?gid=984458430#gid=984458430"", ""'replication success'!A:M""), 13, FAlSE)"),"#N/A")</f>
        <v>#N/A</v>
      </c>
      <c r="BB3157" s="61" t="str">
        <f>IFERROR(__xludf.DUMMYFUNCTION("REGEXREPLACE(G3157, ""_[a-z]{1,2}$"", """")"),"RRR_BrohmerHofer_etal_2024_Bauch_f_extension")</f>
        <v>RRR_BrohmerHofer_etal_2024_Bauch_f_extension</v>
      </c>
      <c r="BD3157" s="62" t="s">
        <v>3130</v>
      </c>
    </row>
    <row r="3158">
      <c r="A3158" s="44">
        <v>2751.0</v>
      </c>
      <c r="B3158" s="129" t="s">
        <v>523</v>
      </c>
      <c r="C3158" s="62" t="s">
        <v>115</v>
      </c>
      <c r="D3158" s="62" t="s">
        <v>153</v>
      </c>
      <c r="F3158" s="68" t="s">
        <v>18779</v>
      </c>
      <c r="G3158" s="159" t="s">
        <v>18879</v>
      </c>
      <c r="H3158" s="159" t="s">
        <v>18797</v>
      </c>
      <c r="I3158" s="152">
        <v>45527.0</v>
      </c>
      <c r="J3158" s="862"/>
      <c r="K3158" s="310" t="s">
        <v>18880</v>
      </c>
      <c r="L3158" s="68" t="s">
        <v>18782</v>
      </c>
      <c r="M3158" s="159" t="s">
        <v>18783</v>
      </c>
      <c r="N3158" s="159" t="s">
        <v>18784</v>
      </c>
      <c r="O3158" s="156">
        <v>2.0</v>
      </c>
      <c r="P3158" s="382" t="s">
        <v>18785</v>
      </c>
      <c r="Q3158" s="2430" t="str">
        <f> hyperlink(vlookup(lower(N3158),'File Links'!E:F, 2, FALSE), "LINK")</f>
        <v>LINK</v>
      </c>
      <c r="R3158" s="159" t="s">
        <v>18786</v>
      </c>
      <c r="S3158" s="159" t="s">
        <v>18787</v>
      </c>
      <c r="T3158" s="68"/>
      <c r="U3158" s="156">
        <v>1.0</v>
      </c>
      <c r="V3158" s="382" t="s">
        <v>18788</v>
      </c>
      <c r="W3158" s="1231" t="s">
        <v>7284</v>
      </c>
      <c r="X3158" s="2429" t="str">
        <f> hyperlink(vlookup(lower(S3158),'File Links'!E:F, 2, FALSE), "LINK")</f>
        <v>LINK</v>
      </c>
      <c r="Y3158" s="68"/>
      <c r="Z3158" s="159" t="s">
        <v>226</v>
      </c>
      <c r="AA3158" s="68" t="s">
        <v>18799</v>
      </c>
      <c r="AB3158" s="832" t="s">
        <v>18800</v>
      </c>
      <c r="AC3158" s="68" t="s">
        <v>18881</v>
      </c>
      <c r="AD3158" s="159" t="s">
        <v>18871</v>
      </c>
      <c r="AE3158" s="159" t="s">
        <v>813</v>
      </c>
      <c r="AF3158" s="336">
        <v>90.0</v>
      </c>
      <c r="AG3158" s="159" t="s">
        <v>18872</v>
      </c>
      <c r="AH3158" s="159" t="s">
        <v>134</v>
      </c>
      <c r="AI3158" s="336">
        <v>5.0</v>
      </c>
      <c r="AJ3158" s="156">
        <v>0.5</v>
      </c>
      <c r="AK3158" s="159" t="s">
        <v>335</v>
      </c>
      <c r="AL3158" s="159" t="s">
        <v>186</v>
      </c>
      <c r="AM3158" s="159" t="s">
        <v>137</v>
      </c>
      <c r="AN3158" s="68" t="s">
        <v>18804</v>
      </c>
      <c r="AO3158" s="156">
        <v>270.0</v>
      </c>
      <c r="AP3158" s="336">
        <v>0.002</v>
      </c>
      <c r="AQ3158" s="159" t="s">
        <v>874</v>
      </c>
      <c r="AR3158" s="159" t="s">
        <v>18818</v>
      </c>
      <c r="AS3158" s="156">
        <v>0.724</v>
      </c>
      <c r="AT3158" s="159" t="s">
        <v>172</v>
      </c>
      <c r="AU3158" s="159" t="s">
        <v>186</v>
      </c>
      <c r="AV3158" s="159" t="s">
        <v>137</v>
      </c>
      <c r="AW3158" s="435" t="s">
        <v>18810</v>
      </c>
      <c r="AX3158" s="159" t="s">
        <v>151</v>
      </c>
      <c r="AY3158" s="61" t="str">
        <f>IFERROR(__xludf.DUMMYFUNCTION("vlookup(BB3158,importrange(""https://docs.google.com/spreadsheets/d/1d2vevQ_7D_v35q4wCQ4RpQ_IPoTwEMB9Yp6ymwlPqew/edit?gid=984458430#gid=984458430"", ""'replication success'!A:K""), 11, FAlSE)"),"#N/A")</f>
        <v>#N/A</v>
      </c>
      <c r="AZ3158" s="61" t="str">
        <f>IFERROR(__xludf.DUMMYFUNCTION("vlookup(BB3158,importrange(""https://docs.google.com/spreadsheets/d/1d2vevQ_7D_v35q4wCQ4RpQ_IPoTwEMB9Yp6ymwlPqew/edit?gid=984458430#gid=984458430"", ""'replication success'!A:M""), 12, FAlSE)"),"#N/A")</f>
        <v>#N/A</v>
      </c>
      <c r="BA3158" s="61" t="str">
        <f>IFERROR(__xludf.DUMMYFUNCTION("vlookup(BB3158,importrange(""https://docs.google.com/spreadsheets/d/1d2vevQ_7D_v35q4wCQ4RpQ_IPoTwEMB9Yp6ymwlPqew/edit?gid=984458430#gid=984458430"", ""'replication success'!A:M""), 13, FAlSE)"),"#N/A")</f>
        <v>#N/A</v>
      </c>
      <c r="BB3158" s="61" t="str">
        <f>IFERROR(__xludf.DUMMYFUNCTION("REGEXREPLACE(G3158, ""_[a-z]{1,2}$"", """")"),"RRR_BrohmerHofer_etal_2024_Bauch_f_pilot")</f>
        <v>RRR_BrohmerHofer_etal_2024_Bauch_f_pilot</v>
      </c>
      <c r="BD3158" s="62" t="s">
        <v>3130</v>
      </c>
    </row>
    <row r="3159">
      <c r="A3159" s="44">
        <v>2826.0</v>
      </c>
      <c r="B3159" s="129" t="s">
        <v>523</v>
      </c>
      <c r="C3159" s="62" t="s">
        <v>115</v>
      </c>
      <c r="D3159" s="62" t="s">
        <v>176</v>
      </c>
      <c r="F3159" s="68" t="s">
        <v>18882</v>
      </c>
      <c r="G3159" s="159" t="s">
        <v>18883</v>
      </c>
      <c r="H3159" s="159" t="s">
        <v>7252</v>
      </c>
      <c r="I3159" s="434">
        <v>45808.0</v>
      </c>
      <c r="J3159" s="862"/>
      <c r="K3159" s="159" t="s">
        <v>18781</v>
      </c>
      <c r="L3159" s="159" t="s">
        <v>18782</v>
      </c>
      <c r="M3159" s="159" t="s">
        <v>18783</v>
      </c>
      <c r="N3159" s="159" t="s">
        <v>18784</v>
      </c>
      <c r="O3159" s="156">
        <v>2.0</v>
      </c>
      <c r="P3159" s="382" t="s">
        <v>18785</v>
      </c>
      <c r="Q3159" s="2191" t="str">
        <f> hyperlink(vlookup(lower(N3159),'File Links'!E:F, 2, FALSE), "LINK")</f>
        <v>LINK</v>
      </c>
      <c r="R3159" s="159" t="s">
        <v>18786</v>
      </c>
      <c r="S3159" s="159" t="s">
        <v>18787</v>
      </c>
      <c r="T3159" s="68"/>
      <c r="U3159" s="156">
        <v>1.0</v>
      </c>
      <c r="V3159" s="382" t="s">
        <v>18788</v>
      </c>
      <c r="W3159" s="1231" t="s">
        <v>7284</v>
      </c>
      <c r="X3159" s="1552" t="str">
        <f> hyperlink(vlookup(lower(S3159),'File Links'!E:F, 2, FALSE), "LINK")</f>
        <v>LINK</v>
      </c>
      <c r="Y3159" s="68"/>
      <c r="Z3159" s="159" t="s">
        <v>226</v>
      </c>
      <c r="AA3159" s="159" t="s">
        <v>18789</v>
      </c>
      <c r="AB3159" s="159" t="s">
        <v>18790</v>
      </c>
      <c r="AC3159" s="159" t="s">
        <v>18791</v>
      </c>
      <c r="AD3159" s="159" t="s">
        <v>18792</v>
      </c>
      <c r="AE3159" s="159" t="s">
        <v>18793</v>
      </c>
      <c r="AF3159" s="156">
        <v>90.0</v>
      </c>
      <c r="AG3159" s="156">
        <v>0.59</v>
      </c>
      <c r="AH3159" s="159" t="s">
        <v>173</v>
      </c>
      <c r="AI3159" s="159" t="s">
        <v>4979</v>
      </c>
      <c r="AJ3159" s="156">
        <v>0.01</v>
      </c>
      <c r="AK3159" s="159" t="s">
        <v>135</v>
      </c>
      <c r="AL3159" s="159" t="s">
        <v>136</v>
      </c>
      <c r="AM3159" s="159" t="s">
        <v>1905</v>
      </c>
      <c r="AN3159" s="68"/>
      <c r="AO3159" s="156">
        <v>83.0</v>
      </c>
      <c r="AP3159" s="156">
        <v>0.64</v>
      </c>
      <c r="AQ3159" s="159" t="s">
        <v>173</v>
      </c>
      <c r="AR3159" s="159" t="s">
        <v>18794</v>
      </c>
      <c r="AS3159" s="156">
        <v>0.006</v>
      </c>
      <c r="AT3159" s="159" t="s">
        <v>172</v>
      </c>
      <c r="AU3159" s="159" t="s">
        <v>218</v>
      </c>
      <c r="AV3159" s="159" t="s">
        <v>141</v>
      </c>
      <c r="AW3159" s="435" t="s">
        <v>18795</v>
      </c>
      <c r="AX3159" s="159" t="s">
        <v>438</v>
      </c>
      <c r="AY3159" s="61" t="str">
        <f>IFERROR(__xludf.DUMMYFUNCTION("vlookup(BB3159,importrange(""https://docs.google.com/spreadsheets/d/1d2vevQ_7D_v35q4wCQ4RpQ_IPoTwEMB9Yp6ymwlPqew/edit?gid=984458430#gid=984458430"", ""'replication success'!A:K""), 11, FAlSE)"),"#N/A")</f>
        <v>#N/A</v>
      </c>
      <c r="AZ3159" s="61" t="str">
        <f>IFERROR(__xludf.DUMMYFUNCTION("vlookup(BB3159,importrange(""https://docs.google.com/spreadsheets/d/1d2vevQ_7D_v35q4wCQ4RpQ_IPoTwEMB9Yp6ymwlPqew/edit?gid=984458430#gid=984458430"", ""'replication success'!A:M""), 12, FAlSE)"),"#N/A")</f>
        <v>#N/A</v>
      </c>
      <c r="BA3159" s="61" t="str">
        <f>IFERROR(__xludf.DUMMYFUNCTION("vlookup(BB3159,importrange(""https://docs.google.com/spreadsheets/d/1d2vevQ_7D_v35q4wCQ4RpQ_IPoTwEMB9Yp6ymwlPqew/edit?gid=984458430#gid=984458430"", ""'replication success'!A:M""), 13, FAlSE)"),"#N/A")</f>
        <v>#N/A</v>
      </c>
      <c r="BB3159" s="61" t="str">
        <f>IFERROR(__xludf.DUMMYFUNCTION("REGEXREPLACE(G3159, ""_[a-z]{1,2}$"", """")"),"RRR_BrohmerHofer_etal_2024_Beitner")</f>
        <v>RRR_BrohmerHofer_etal_2024_Beitner</v>
      </c>
      <c r="BD3159" s="62" t="s">
        <v>3130</v>
      </c>
    </row>
    <row r="3160">
      <c r="A3160" s="44">
        <v>2827.0</v>
      </c>
      <c r="B3160" s="129" t="s">
        <v>523</v>
      </c>
      <c r="C3160" s="62" t="s">
        <v>115</v>
      </c>
      <c r="D3160" s="62" t="s">
        <v>176</v>
      </c>
      <c r="F3160" s="68" t="s">
        <v>18884</v>
      </c>
      <c r="G3160" s="159" t="s">
        <v>18885</v>
      </c>
      <c r="H3160" s="159" t="s">
        <v>7252</v>
      </c>
      <c r="I3160" s="434">
        <v>45808.0</v>
      </c>
      <c r="J3160" s="862"/>
      <c r="K3160" s="159" t="s">
        <v>18781</v>
      </c>
      <c r="L3160" s="159" t="s">
        <v>18782</v>
      </c>
      <c r="M3160" s="159" t="s">
        <v>18783</v>
      </c>
      <c r="N3160" s="159" t="s">
        <v>18784</v>
      </c>
      <c r="O3160" s="156">
        <v>2.0</v>
      </c>
      <c r="P3160" s="382" t="s">
        <v>18785</v>
      </c>
      <c r="Q3160" s="2191" t="str">
        <f> hyperlink(vlookup(lower(N3160),'File Links'!E:F, 2, FALSE), "LINK")</f>
        <v>LINK</v>
      </c>
      <c r="R3160" s="159" t="s">
        <v>18786</v>
      </c>
      <c r="S3160" s="159" t="s">
        <v>18787</v>
      </c>
      <c r="T3160" s="68"/>
      <c r="U3160" s="156">
        <v>1.0</v>
      </c>
      <c r="V3160" s="382" t="s">
        <v>18788</v>
      </c>
      <c r="W3160" s="1231" t="s">
        <v>7284</v>
      </c>
      <c r="X3160" s="1552" t="str">
        <f> hyperlink(vlookup(lower(S3160),'File Links'!E:F, 2, FALSE), "LINK")</f>
        <v>LINK</v>
      </c>
      <c r="Y3160" s="68"/>
      <c r="Z3160" s="159" t="s">
        <v>226</v>
      </c>
      <c r="AA3160" s="159" t="s">
        <v>18789</v>
      </c>
      <c r="AB3160" s="159" t="s">
        <v>18790</v>
      </c>
      <c r="AC3160" s="159" t="s">
        <v>18791</v>
      </c>
      <c r="AD3160" s="159" t="s">
        <v>18792</v>
      </c>
      <c r="AE3160" s="159" t="s">
        <v>18793</v>
      </c>
      <c r="AF3160" s="156">
        <v>90.0</v>
      </c>
      <c r="AG3160" s="156">
        <v>0.59</v>
      </c>
      <c r="AH3160" s="159" t="s">
        <v>173</v>
      </c>
      <c r="AI3160" s="159" t="s">
        <v>4979</v>
      </c>
      <c r="AJ3160" s="156">
        <v>0.01</v>
      </c>
      <c r="AK3160" s="159" t="s">
        <v>135</v>
      </c>
      <c r="AL3160" s="159" t="s">
        <v>136</v>
      </c>
      <c r="AM3160" s="159" t="s">
        <v>1905</v>
      </c>
      <c r="AN3160" s="68"/>
      <c r="AO3160" s="156">
        <v>125.0</v>
      </c>
      <c r="AP3160" s="156">
        <v>0.68</v>
      </c>
      <c r="AQ3160" s="159" t="s">
        <v>173</v>
      </c>
      <c r="AR3160" s="159" t="s">
        <v>18794</v>
      </c>
      <c r="AS3160" s="156">
        <v>0.001</v>
      </c>
      <c r="AT3160" s="159" t="s">
        <v>135</v>
      </c>
      <c r="AU3160" s="159" t="s">
        <v>218</v>
      </c>
      <c r="AV3160" s="159" t="s">
        <v>141</v>
      </c>
      <c r="AW3160" s="435" t="s">
        <v>18795</v>
      </c>
      <c r="AX3160" s="159" t="s">
        <v>438</v>
      </c>
      <c r="AY3160" s="61" t="str">
        <f>IFERROR(__xludf.DUMMYFUNCTION("vlookup(BB3160,importrange(""https://docs.google.com/spreadsheets/d/1d2vevQ_7D_v35q4wCQ4RpQ_IPoTwEMB9Yp6ymwlPqew/edit?gid=984458430#gid=984458430"", ""'replication success'!A:K""), 11, FAlSE)"),"#N/A")</f>
        <v>#N/A</v>
      </c>
      <c r="AZ3160" s="61" t="str">
        <f>IFERROR(__xludf.DUMMYFUNCTION("vlookup(BB3160,importrange(""https://docs.google.com/spreadsheets/d/1d2vevQ_7D_v35q4wCQ4RpQ_IPoTwEMB9Yp6ymwlPqew/edit?gid=984458430#gid=984458430"", ""'replication success'!A:M""), 12, FAlSE)"),"#N/A")</f>
        <v>#N/A</v>
      </c>
      <c r="BA3160" s="61" t="str">
        <f>IFERROR(__xludf.DUMMYFUNCTION("vlookup(BB3160,importrange(""https://docs.google.com/spreadsheets/d/1d2vevQ_7D_v35q4wCQ4RpQ_IPoTwEMB9Yp6ymwlPqew/edit?gid=984458430#gid=984458430"", ""'replication success'!A:M""), 13, FAlSE)"),"#N/A")</f>
        <v>#N/A</v>
      </c>
      <c r="BB3160" s="61" t="str">
        <f>IFERROR(__xludf.DUMMYFUNCTION("REGEXREPLACE(G3160, ""_[a-z]{1,2}$"", """")"),"RRR_BrohmerHofer_etal_2024_BrohmerHofer")</f>
        <v>RRR_BrohmerHofer_etal_2024_BrohmerHofer</v>
      </c>
      <c r="BD3160" s="62" t="s">
        <v>3130</v>
      </c>
    </row>
    <row r="3161">
      <c r="A3161" s="44">
        <v>2828.0</v>
      </c>
      <c r="B3161" s="129" t="s">
        <v>523</v>
      </c>
      <c r="C3161" s="62" t="s">
        <v>115</v>
      </c>
      <c r="D3161" s="62" t="s">
        <v>176</v>
      </c>
      <c r="F3161" s="68" t="s">
        <v>18886</v>
      </c>
      <c r="G3161" s="159" t="s">
        <v>18887</v>
      </c>
      <c r="H3161" s="159" t="s">
        <v>7252</v>
      </c>
      <c r="I3161" s="434">
        <v>45808.0</v>
      </c>
      <c r="J3161" s="862"/>
      <c r="K3161" s="159" t="s">
        <v>18781</v>
      </c>
      <c r="L3161" s="159" t="s">
        <v>18782</v>
      </c>
      <c r="M3161" s="159" t="s">
        <v>18783</v>
      </c>
      <c r="N3161" s="159" t="s">
        <v>18784</v>
      </c>
      <c r="O3161" s="156">
        <v>2.0</v>
      </c>
      <c r="P3161" s="382" t="s">
        <v>18785</v>
      </c>
      <c r="Q3161" s="2191" t="str">
        <f> hyperlink(vlookup(lower(N3161),'File Links'!E:F, 2, FALSE), "LINK")</f>
        <v>LINK</v>
      </c>
      <c r="R3161" s="159" t="s">
        <v>18786</v>
      </c>
      <c r="S3161" s="159" t="s">
        <v>18787</v>
      </c>
      <c r="T3161" s="68"/>
      <c r="U3161" s="156">
        <v>1.0</v>
      </c>
      <c r="V3161" s="382" t="s">
        <v>18788</v>
      </c>
      <c r="W3161" s="1231" t="s">
        <v>7284</v>
      </c>
      <c r="X3161" s="1552" t="str">
        <f> hyperlink(vlookup(lower(S3161),'File Links'!E:F, 2, FALSE), "LINK")</f>
        <v>LINK</v>
      </c>
      <c r="Y3161" s="68"/>
      <c r="Z3161" s="159" t="s">
        <v>226</v>
      </c>
      <c r="AA3161" s="159" t="s">
        <v>18789</v>
      </c>
      <c r="AB3161" s="159" t="s">
        <v>18790</v>
      </c>
      <c r="AC3161" s="159" t="s">
        <v>18791</v>
      </c>
      <c r="AD3161" s="159" t="s">
        <v>18792</v>
      </c>
      <c r="AE3161" s="159" t="s">
        <v>18793</v>
      </c>
      <c r="AF3161" s="156">
        <v>90.0</v>
      </c>
      <c r="AG3161" s="156">
        <v>0.59</v>
      </c>
      <c r="AH3161" s="159" t="s">
        <v>173</v>
      </c>
      <c r="AI3161" s="159" t="s">
        <v>4979</v>
      </c>
      <c r="AJ3161" s="156">
        <v>0.01</v>
      </c>
      <c r="AK3161" s="159" t="s">
        <v>135</v>
      </c>
      <c r="AL3161" s="159" t="s">
        <v>136</v>
      </c>
      <c r="AM3161" s="159" t="s">
        <v>1905</v>
      </c>
      <c r="AN3161" s="68"/>
      <c r="AO3161" s="156">
        <v>68.0</v>
      </c>
      <c r="AP3161" s="156">
        <v>0.99</v>
      </c>
      <c r="AQ3161" s="159" t="s">
        <v>173</v>
      </c>
      <c r="AR3161" s="159" t="s">
        <v>18794</v>
      </c>
      <c r="AS3161" s="156">
        <v>0.001</v>
      </c>
      <c r="AT3161" s="159" t="s">
        <v>135</v>
      </c>
      <c r="AU3161" s="159" t="s">
        <v>218</v>
      </c>
      <c r="AV3161" s="159" t="s">
        <v>141</v>
      </c>
      <c r="AW3161" s="435" t="s">
        <v>18795</v>
      </c>
      <c r="AX3161" s="159" t="s">
        <v>438</v>
      </c>
      <c r="AY3161" s="61" t="str">
        <f>IFERROR(__xludf.DUMMYFUNCTION("vlookup(BB3161,importrange(""https://docs.google.com/spreadsheets/d/1d2vevQ_7D_v35q4wCQ4RpQ_IPoTwEMB9Yp6ymwlPqew/edit?gid=984458430#gid=984458430"", ""'replication success'!A:K""), 11, FAlSE)"),"#N/A")</f>
        <v>#N/A</v>
      </c>
      <c r="AZ3161" s="61" t="str">
        <f>IFERROR(__xludf.DUMMYFUNCTION("vlookup(BB3161,importrange(""https://docs.google.com/spreadsheets/d/1d2vevQ_7D_v35q4wCQ4RpQ_IPoTwEMB9Yp6ymwlPqew/edit?gid=984458430#gid=984458430"", ""'replication success'!A:M""), 12, FAlSE)"),"#N/A")</f>
        <v>#N/A</v>
      </c>
      <c r="BA3161" s="61" t="str">
        <f>IFERROR(__xludf.DUMMYFUNCTION("vlookup(BB3161,importrange(""https://docs.google.com/spreadsheets/d/1d2vevQ_7D_v35q4wCQ4RpQ_IPoTwEMB9Yp6ymwlPqew/edit?gid=984458430#gid=984458430"", ""'replication success'!A:M""), 13, FAlSE)"),"#N/A")</f>
        <v>#N/A</v>
      </c>
      <c r="BB3161" s="61" t="str">
        <f>IFERROR(__xludf.DUMMYFUNCTION("REGEXREPLACE(G3161, ""_[a-z]{1,2}$"", """")"),"RRR_BrohmerHofer_etal_2024_Giuliani")</f>
        <v>RRR_BrohmerHofer_etal_2024_Giuliani</v>
      </c>
      <c r="BD3161" s="62" t="s">
        <v>3130</v>
      </c>
    </row>
    <row r="3162">
      <c r="A3162" s="44">
        <v>2829.0</v>
      </c>
      <c r="B3162" s="129" t="s">
        <v>523</v>
      </c>
      <c r="C3162" s="62" t="s">
        <v>115</v>
      </c>
      <c r="D3162" s="62" t="s">
        <v>176</v>
      </c>
      <c r="F3162" s="68" t="s">
        <v>18888</v>
      </c>
      <c r="G3162" s="159" t="s">
        <v>18889</v>
      </c>
      <c r="H3162" s="159" t="s">
        <v>7252</v>
      </c>
      <c r="I3162" s="434">
        <v>45808.0</v>
      </c>
      <c r="J3162" s="862"/>
      <c r="K3162" s="159" t="s">
        <v>18781</v>
      </c>
      <c r="L3162" s="159" t="s">
        <v>18782</v>
      </c>
      <c r="M3162" s="159" t="s">
        <v>18783</v>
      </c>
      <c r="N3162" s="159" t="s">
        <v>18784</v>
      </c>
      <c r="O3162" s="156">
        <v>2.0</v>
      </c>
      <c r="P3162" s="382" t="s">
        <v>18785</v>
      </c>
      <c r="Q3162" s="2191" t="str">
        <f> hyperlink(vlookup(lower(N3162),'File Links'!E:F, 2, FALSE), "LINK")</f>
        <v>LINK</v>
      </c>
      <c r="R3162" s="159" t="s">
        <v>18786</v>
      </c>
      <c r="S3162" s="159" t="s">
        <v>18787</v>
      </c>
      <c r="T3162" s="68"/>
      <c r="U3162" s="156">
        <v>1.0</v>
      </c>
      <c r="V3162" s="382" t="s">
        <v>18788</v>
      </c>
      <c r="W3162" s="1231" t="s">
        <v>7284</v>
      </c>
      <c r="X3162" s="1552" t="str">
        <f> hyperlink(vlookup(lower(S3162),'File Links'!E:F, 2, FALSE), "LINK")</f>
        <v>LINK</v>
      </c>
      <c r="Y3162" s="68"/>
      <c r="Z3162" s="159" t="s">
        <v>226</v>
      </c>
      <c r="AA3162" s="159" t="s">
        <v>18789</v>
      </c>
      <c r="AB3162" s="159" t="s">
        <v>18790</v>
      </c>
      <c r="AC3162" s="159" t="s">
        <v>18791</v>
      </c>
      <c r="AD3162" s="159" t="s">
        <v>18792</v>
      </c>
      <c r="AE3162" s="159" t="s">
        <v>18793</v>
      </c>
      <c r="AF3162" s="156">
        <v>90.0</v>
      </c>
      <c r="AG3162" s="156">
        <v>0.59</v>
      </c>
      <c r="AH3162" s="159" t="s">
        <v>173</v>
      </c>
      <c r="AI3162" s="159" t="s">
        <v>4979</v>
      </c>
      <c r="AJ3162" s="156">
        <v>0.01</v>
      </c>
      <c r="AK3162" s="159" t="s">
        <v>135</v>
      </c>
      <c r="AL3162" s="159" t="s">
        <v>136</v>
      </c>
      <c r="AM3162" s="159" t="s">
        <v>1905</v>
      </c>
      <c r="AN3162" s="68"/>
      <c r="AO3162" s="156">
        <v>121.0</v>
      </c>
      <c r="AP3162" s="156">
        <v>0.88</v>
      </c>
      <c r="AQ3162" s="159" t="s">
        <v>173</v>
      </c>
      <c r="AR3162" s="159" t="s">
        <v>18794</v>
      </c>
      <c r="AS3162" s="156">
        <v>0.001</v>
      </c>
      <c r="AT3162" s="159" t="s">
        <v>135</v>
      </c>
      <c r="AU3162" s="159" t="s">
        <v>218</v>
      </c>
      <c r="AV3162" s="159" t="s">
        <v>141</v>
      </c>
      <c r="AW3162" s="435" t="s">
        <v>18795</v>
      </c>
      <c r="AX3162" s="159" t="s">
        <v>438</v>
      </c>
      <c r="AY3162" s="61" t="str">
        <f>IFERROR(__xludf.DUMMYFUNCTION("vlookup(BB3162,importrange(""https://docs.google.com/spreadsheets/d/1d2vevQ_7D_v35q4wCQ4RpQ_IPoTwEMB9Yp6ymwlPqew/edit?gid=984458430#gid=984458430"", ""'replication success'!A:K""), 11, FAlSE)"),"#N/A")</f>
        <v>#N/A</v>
      </c>
      <c r="AZ3162" s="61" t="str">
        <f>IFERROR(__xludf.DUMMYFUNCTION("vlookup(BB3162,importrange(""https://docs.google.com/spreadsheets/d/1d2vevQ_7D_v35q4wCQ4RpQ_IPoTwEMB9Yp6ymwlPqew/edit?gid=984458430#gid=984458430"", ""'replication success'!A:M""), 12, FAlSE)"),"#N/A")</f>
        <v>#N/A</v>
      </c>
      <c r="BA3162" s="61" t="str">
        <f>IFERROR(__xludf.DUMMYFUNCTION("vlookup(BB3162,importrange(""https://docs.google.com/spreadsheets/d/1d2vevQ_7D_v35q4wCQ4RpQ_IPoTwEMB9Yp6ymwlPqew/edit?gid=984458430#gid=984458430"", ""'replication success'!A:M""), 13, FAlSE)"),"#N/A")</f>
        <v>#N/A</v>
      </c>
      <c r="BB3162" s="61" t="str">
        <f>IFERROR(__xludf.DUMMYFUNCTION("REGEXREPLACE(G3162, ""_[a-z]{1,2}$"", """")"),"RRR_BrohmerHofer_etal_2024_Gruber")</f>
        <v>RRR_BrohmerHofer_etal_2024_Gruber</v>
      </c>
      <c r="BD3162" s="62" t="s">
        <v>3130</v>
      </c>
    </row>
    <row r="3163" ht="15.75" customHeight="1">
      <c r="A3163" s="44">
        <v>2830.0</v>
      </c>
      <c r="B3163" s="129" t="s">
        <v>523</v>
      </c>
      <c r="C3163" s="62" t="s">
        <v>115</v>
      </c>
      <c r="D3163" s="62" t="s">
        <v>176</v>
      </c>
      <c r="F3163" s="68" t="s">
        <v>18890</v>
      </c>
      <c r="G3163" s="159" t="s">
        <v>18891</v>
      </c>
      <c r="H3163" s="159" t="s">
        <v>7252</v>
      </c>
      <c r="I3163" s="434">
        <v>45808.0</v>
      </c>
      <c r="J3163" s="862"/>
      <c r="K3163" s="159" t="s">
        <v>18781</v>
      </c>
      <c r="L3163" s="159" t="s">
        <v>18782</v>
      </c>
      <c r="M3163" s="159" t="s">
        <v>18783</v>
      </c>
      <c r="N3163" s="159" t="s">
        <v>18784</v>
      </c>
      <c r="O3163" s="156">
        <v>2.0</v>
      </c>
      <c r="P3163" s="382" t="s">
        <v>18785</v>
      </c>
      <c r="Q3163" s="2191" t="str">
        <f> hyperlink(vlookup(lower(N3163),'File Links'!E:F, 2, FALSE), "LINK")</f>
        <v>LINK</v>
      </c>
      <c r="R3163" s="159" t="s">
        <v>18786</v>
      </c>
      <c r="S3163" s="159" t="s">
        <v>18787</v>
      </c>
      <c r="T3163" s="68"/>
      <c r="U3163" s="156">
        <v>1.0</v>
      </c>
      <c r="V3163" s="382" t="s">
        <v>18788</v>
      </c>
      <c r="W3163" s="1231" t="s">
        <v>7284</v>
      </c>
      <c r="X3163" s="1552" t="str">
        <f> hyperlink(vlookup(lower(S3163),'File Links'!E:F, 2, FALSE), "LINK")</f>
        <v>LINK</v>
      </c>
      <c r="Y3163" s="68"/>
      <c r="Z3163" s="159" t="s">
        <v>226</v>
      </c>
      <c r="AA3163" s="159" t="s">
        <v>18789</v>
      </c>
      <c r="AB3163" s="159" t="s">
        <v>18790</v>
      </c>
      <c r="AC3163" s="159" t="s">
        <v>18791</v>
      </c>
      <c r="AD3163" s="159" t="s">
        <v>18792</v>
      </c>
      <c r="AE3163" s="159" t="s">
        <v>18793</v>
      </c>
      <c r="AF3163" s="156">
        <v>90.0</v>
      </c>
      <c r="AG3163" s="156">
        <v>0.59</v>
      </c>
      <c r="AH3163" s="159" t="s">
        <v>173</v>
      </c>
      <c r="AI3163" s="159" t="s">
        <v>4979</v>
      </c>
      <c r="AJ3163" s="156">
        <v>0.01</v>
      </c>
      <c r="AK3163" s="159" t="s">
        <v>135</v>
      </c>
      <c r="AL3163" s="159" t="s">
        <v>136</v>
      </c>
      <c r="AM3163" s="159" t="s">
        <v>1905</v>
      </c>
      <c r="AN3163" s="68"/>
      <c r="AO3163" s="156">
        <v>189.0</v>
      </c>
      <c r="AP3163" s="156">
        <v>0.62</v>
      </c>
      <c r="AQ3163" s="159" t="s">
        <v>173</v>
      </c>
      <c r="AR3163" s="159" t="s">
        <v>18794</v>
      </c>
      <c r="AS3163" s="156">
        <v>0.001</v>
      </c>
      <c r="AT3163" s="159" t="s">
        <v>135</v>
      </c>
      <c r="AU3163" s="159" t="s">
        <v>218</v>
      </c>
      <c r="AV3163" s="159" t="s">
        <v>141</v>
      </c>
      <c r="AW3163" s="435" t="s">
        <v>18795</v>
      </c>
      <c r="AX3163" s="159" t="s">
        <v>438</v>
      </c>
      <c r="AY3163" s="61" t="str">
        <f>IFERROR(__xludf.DUMMYFUNCTION("vlookup(BB3163,importrange(""https://docs.google.com/spreadsheets/d/1d2vevQ_7D_v35q4wCQ4RpQ_IPoTwEMB9Yp6ymwlPqew/edit?gid=984458430#gid=984458430"", ""'replication success'!A:K""), 11, FAlSE)"),"#N/A")</f>
        <v>#N/A</v>
      </c>
      <c r="AZ3163" s="61" t="str">
        <f>IFERROR(__xludf.DUMMYFUNCTION("vlookup(BB3163,importrange(""https://docs.google.com/spreadsheets/d/1d2vevQ_7D_v35q4wCQ4RpQ_IPoTwEMB9Yp6ymwlPqew/edit?gid=984458430#gid=984458430"", ""'replication success'!A:M""), 12, FAlSE)"),"#N/A")</f>
        <v>#N/A</v>
      </c>
      <c r="BA3163" s="61" t="str">
        <f>IFERROR(__xludf.DUMMYFUNCTION("vlookup(BB3163,importrange(""https://docs.google.com/spreadsheets/d/1d2vevQ_7D_v35q4wCQ4RpQ_IPoTwEMB9Yp6ymwlPqew/edit?gid=984458430#gid=984458430"", ""'replication success'!A:M""), 13, FAlSE)"),"#N/A")</f>
        <v>#N/A</v>
      </c>
      <c r="BB3163" s="61" t="str">
        <f>IFERROR(__xludf.DUMMYFUNCTION("REGEXREPLACE(G3163, ""_[a-z]{1,2}$"", """")"),"RRR_BrohmerHofer_etal_2024_Jauk")</f>
        <v>RRR_BrohmerHofer_etal_2024_Jauk</v>
      </c>
      <c r="BD3163" s="62" t="s">
        <v>3130</v>
      </c>
    </row>
    <row r="3164" ht="15.75" customHeight="1">
      <c r="A3164" s="44">
        <v>2831.0</v>
      </c>
      <c r="B3164" s="129" t="s">
        <v>523</v>
      </c>
      <c r="C3164" s="62" t="s">
        <v>115</v>
      </c>
      <c r="D3164" s="62" t="s">
        <v>176</v>
      </c>
      <c r="F3164" s="68" t="s">
        <v>18892</v>
      </c>
      <c r="G3164" s="159" t="s">
        <v>18893</v>
      </c>
      <c r="H3164" s="159" t="s">
        <v>7252</v>
      </c>
      <c r="I3164" s="434">
        <v>45808.0</v>
      </c>
      <c r="J3164" s="862"/>
      <c r="K3164" s="159" t="s">
        <v>18781</v>
      </c>
      <c r="L3164" s="159" t="s">
        <v>18782</v>
      </c>
      <c r="M3164" s="159" t="s">
        <v>18783</v>
      </c>
      <c r="N3164" s="159" t="s">
        <v>18784</v>
      </c>
      <c r="O3164" s="156">
        <v>2.0</v>
      </c>
      <c r="P3164" s="382" t="s">
        <v>18785</v>
      </c>
      <c r="Q3164" s="2191" t="str">
        <f> hyperlink(vlookup(lower(N3164),'File Links'!E:F, 2, FALSE), "LINK")</f>
        <v>LINK</v>
      </c>
      <c r="R3164" s="159" t="s">
        <v>18786</v>
      </c>
      <c r="S3164" s="159" t="s">
        <v>18787</v>
      </c>
      <c r="T3164" s="68"/>
      <c r="U3164" s="156">
        <v>1.0</v>
      </c>
      <c r="V3164" s="382" t="s">
        <v>18788</v>
      </c>
      <c r="W3164" s="1231" t="s">
        <v>7284</v>
      </c>
      <c r="X3164" s="1552" t="str">
        <f> hyperlink(vlookup(lower(S3164),'File Links'!E:F, 2, FALSE), "LINK")</f>
        <v>LINK</v>
      </c>
      <c r="Y3164" s="68"/>
      <c r="Z3164" s="159" t="s">
        <v>226</v>
      </c>
      <c r="AA3164" s="159" t="s">
        <v>18789</v>
      </c>
      <c r="AB3164" s="159" t="s">
        <v>18790</v>
      </c>
      <c r="AC3164" s="159" t="s">
        <v>18791</v>
      </c>
      <c r="AD3164" s="159" t="s">
        <v>18792</v>
      </c>
      <c r="AE3164" s="159" t="s">
        <v>18793</v>
      </c>
      <c r="AF3164" s="156">
        <v>90.0</v>
      </c>
      <c r="AG3164" s="156">
        <v>0.59</v>
      </c>
      <c r="AH3164" s="159" t="s">
        <v>173</v>
      </c>
      <c r="AI3164" s="159" t="s">
        <v>4979</v>
      </c>
      <c r="AJ3164" s="156">
        <v>0.01</v>
      </c>
      <c r="AK3164" s="159" t="s">
        <v>135</v>
      </c>
      <c r="AL3164" s="159" t="s">
        <v>136</v>
      </c>
      <c r="AM3164" s="159" t="s">
        <v>1905</v>
      </c>
      <c r="AN3164" s="68"/>
      <c r="AO3164" s="156">
        <v>56.0</v>
      </c>
      <c r="AP3164" s="156">
        <v>0.61</v>
      </c>
      <c r="AQ3164" s="159" t="s">
        <v>173</v>
      </c>
      <c r="AR3164" s="159" t="s">
        <v>18794</v>
      </c>
      <c r="AS3164" s="156">
        <v>0.03</v>
      </c>
      <c r="AT3164" s="159" t="s">
        <v>172</v>
      </c>
      <c r="AU3164" s="159" t="s">
        <v>218</v>
      </c>
      <c r="AV3164" s="159" t="s">
        <v>141</v>
      </c>
      <c r="AW3164" s="435" t="s">
        <v>18795</v>
      </c>
      <c r="AX3164" s="159" t="s">
        <v>438</v>
      </c>
      <c r="AY3164" s="61" t="str">
        <f>IFERROR(__xludf.DUMMYFUNCTION("vlookup(BB3164,importrange(""https://docs.google.com/spreadsheets/d/1d2vevQ_7D_v35q4wCQ4RpQ_IPoTwEMB9Yp6ymwlPqew/edit?gid=984458430#gid=984458430"", ""'replication success'!A:K""), 11, FAlSE)"),"#N/A")</f>
        <v>#N/A</v>
      </c>
      <c r="AZ3164" s="61" t="str">
        <f>IFERROR(__xludf.DUMMYFUNCTION("vlookup(BB3164,importrange(""https://docs.google.com/spreadsheets/d/1d2vevQ_7D_v35q4wCQ4RpQ_IPoTwEMB9Yp6ymwlPqew/edit?gid=984458430#gid=984458430"", ""'replication success'!A:M""), 12, FAlSE)"),"#N/A")</f>
        <v>#N/A</v>
      </c>
      <c r="BA3164" s="61" t="str">
        <f>IFERROR(__xludf.DUMMYFUNCTION("vlookup(BB3164,importrange(""https://docs.google.com/spreadsheets/d/1d2vevQ_7D_v35q4wCQ4RpQ_IPoTwEMB9Yp6ymwlPqew/edit?gid=984458430#gid=984458430"", ""'replication success'!A:M""), 13, FAlSE)"),"#N/A")</f>
        <v>#N/A</v>
      </c>
      <c r="BB3164" s="61" t="str">
        <f>IFERROR(__xludf.DUMMYFUNCTION("REGEXREPLACE(G3164, ""_[a-z]{1,2}$"", """")"),"RRR_BrohmerHofer_etal_2024_Malkoc")</f>
        <v>RRR_BrohmerHofer_etal_2024_Malkoc</v>
      </c>
      <c r="BD3164" s="62" t="s">
        <v>3130</v>
      </c>
    </row>
    <row r="3165" ht="15.75" customHeight="1">
      <c r="A3165" s="44">
        <v>2832.0</v>
      </c>
      <c r="B3165" s="129" t="s">
        <v>523</v>
      </c>
      <c r="C3165" s="62" t="s">
        <v>115</v>
      </c>
      <c r="D3165" s="62" t="s">
        <v>176</v>
      </c>
      <c r="F3165" s="68" t="s">
        <v>18894</v>
      </c>
      <c r="G3165" s="159" t="s">
        <v>18895</v>
      </c>
      <c r="H3165" s="159" t="s">
        <v>7252</v>
      </c>
      <c r="I3165" s="434">
        <v>45808.0</v>
      </c>
      <c r="J3165" s="862"/>
      <c r="K3165" s="159" t="s">
        <v>18781</v>
      </c>
      <c r="L3165" s="159" t="s">
        <v>18782</v>
      </c>
      <c r="M3165" s="159" t="s">
        <v>18783</v>
      </c>
      <c r="N3165" s="159" t="s">
        <v>18784</v>
      </c>
      <c r="O3165" s="156">
        <v>2.0</v>
      </c>
      <c r="P3165" s="382" t="s">
        <v>18785</v>
      </c>
      <c r="Q3165" s="2191" t="str">
        <f> hyperlink(vlookup(lower(N3165),'File Links'!E:F, 2, FALSE), "LINK")</f>
        <v>LINK</v>
      </c>
      <c r="R3165" s="159" t="s">
        <v>18786</v>
      </c>
      <c r="S3165" s="159" t="s">
        <v>18787</v>
      </c>
      <c r="T3165" s="68"/>
      <c r="U3165" s="156">
        <v>1.0</v>
      </c>
      <c r="V3165" s="382" t="s">
        <v>18788</v>
      </c>
      <c r="W3165" s="1231" t="s">
        <v>7284</v>
      </c>
      <c r="X3165" s="1552" t="str">
        <f> hyperlink(vlookup(lower(S3165),'File Links'!E:F, 2, FALSE), "LINK")</f>
        <v>LINK</v>
      </c>
      <c r="Y3165" s="68"/>
      <c r="Z3165" s="159" t="s">
        <v>226</v>
      </c>
      <c r="AA3165" s="159" t="s">
        <v>18789</v>
      </c>
      <c r="AB3165" s="159" t="s">
        <v>18790</v>
      </c>
      <c r="AC3165" s="159" t="s">
        <v>18791</v>
      </c>
      <c r="AD3165" s="159" t="s">
        <v>18792</v>
      </c>
      <c r="AE3165" s="159" t="s">
        <v>18793</v>
      </c>
      <c r="AF3165" s="156">
        <v>90.0</v>
      </c>
      <c r="AG3165" s="156">
        <v>0.59</v>
      </c>
      <c r="AH3165" s="159" t="s">
        <v>173</v>
      </c>
      <c r="AI3165" s="159" t="s">
        <v>4979</v>
      </c>
      <c r="AJ3165" s="156">
        <v>0.01</v>
      </c>
      <c r="AK3165" s="159" t="s">
        <v>135</v>
      </c>
      <c r="AL3165" s="159" t="s">
        <v>136</v>
      </c>
      <c r="AM3165" s="159" t="s">
        <v>1905</v>
      </c>
      <c r="AN3165" s="68"/>
      <c r="AO3165" s="156">
        <v>86.0</v>
      </c>
      <c r="AP3165" s="156">
        <v>0.82</v>
      </c>
      <c r="AQ3165" s="159" t="s">
        <v>173</v>
      </c>
      <c r="AR3165" s="159" t="s">
        <v>18794</v>
      </c>
      <c r="AS3165" s="156">
        <v>0.001</v>
      </c>
      <c r="AT3165" s="159" t="s">
        <v>135</v>
      </c>
      <c r="AU3165" s="159" t="s">
        <v>218</v>
      </c>
      <c r="AV3165" s="159" t="s">
        <v>141</v>
      </c>
      <c r="AW3165" s="435" t="s">
        <v>18795</v>
      </c>
      <c r="AX3165" s="159" t="s">
        <v>438</v>
      </c>
      <c r="AY3165" s="61" t="str">
        <f>IFERROR(__xludf.DUMMYFUNCTION("vlookup(BB3165,importrange(""https://docs.google.com/spreadsheets/d/1d2vevQ_7D_v35q4wCQ4RpQ_IPoTwEMB9Yp6ymwlPqew/edit?gid=984458430#gid=984458430"", ""'replication success'!A:K""), 11, FAlSE)"),"#N/A")</f>
        <v>#N/A</v>
      </c>
      <c r="AZ3165" s="61" t="str">
        <f>IFERROR(__xludf.DUMMYFUNCTION("vlookup(BB3165,importrange(""https://docs.google.com/spreadsheets/d/1d2vevQ_7D_v35q4wCQ4RpQ_IPoTwEMB9Yp6ymwlPqew/edit?gid=984458430#gid=984458430"", ""'replication success'!A:M""), 12, FAlSE)"),"#N/A")</f>
        <v>#N/A</v>
      </c>
      <c r="BA3165" s="61" t="str">
        <f>IFERROR(__xludf.DUMMYFUNCTION("vlookup(BB3165,importrange(""https://docs.google.com/spreadsheets/d/1d2vevQ_7D_v35q4wCQ4RpQ_IPoTwEMB9Yp6ymwlPqew/edit?gid=984458430#gid=984458430"", ""'replication success'!A:M""), 13, FAlSE)"),"#N/A")</f>
        <v>#N/A</v>
      </c>
      <c r="BB3165" s="61" t="str">
        <f>IFERROR(__xludf.DUMMYFUNCTION("REGEXREPLACE(G3165, ""_[a-z]{1,2}$"", """")"),"RRR_BrohmerHofer_etal_2024_Muess")</f>
        <v>RRR_BrohmerHofer_etal_2024_Muess</v>
      </c>
      <c r="BD3165" s="62" t="s">
        <v>3130</v>
      </c>
    </row>
    <row r="3166" ht="15.75" customHeight="1">
      <c r="A3166" s="44">
        <v>2833.0</v>
      </c>
      <c r="B3166" s="129" t="s">
        <v>523</v>
      </c>
      <c r="C3166" s="62" t="s">
        <v>115</v>
      </c>
      <c r="D3166" s="62" t="s">
        <v>176</v>
      </c>
      <c r="F3166" s="68" t="s">
        <v>18896</v>
      </c>
      <c r="G3166" s="159" t="s">
        <v>18897</v>
      </c>
      <c r="H3166" s="159" t="s">
        <v>7252</v>
      </c>
      <c r="I3166" s="434">
        <v>45808.0</v>
      </c>
      <c r="J3166" s="862"/>
      <c r="K3166" s="159" t="s">
        <v>18781</v>
      </c>
      <c r="L3166" s="159" t="s">
        <v>18782</v>
      </c>
      <c r="M3166" s="159" t="s">
        <v>18783</v>
      </c>
      <c r="N3166" s="159" t="s">
        <v>18784</v>
      </c>
      <c r="O3166" s="156">
        <v>2.0</v>
      </c>
      <c r="P3166" s="382" t="s">
        <v>18785</v>
      </c>
      <c r="Q3166" s="2191" t="str">
        <f> hyperlink(vlookup(lower(N3166),'File Links'!E:F, 2, FALSE), "LINK")</f>
        <v>LINK</v>
      </c>
      <c r="R3166" s="159" t="s">
        <v>18786</v>
      </c>
      <c r="S3166" s="159" t="s">
        <v>18787</v>
      </c>
      <c r="T3166" s="68"/>
      <c r="U3166" s="156">
        <v>1.0</v>
      </c>
      <c r="V3166" s="382" t="s">
        <v>18788</v>
      </c>
      <c r="W3166" s="1231" t="s">
        <v>7284</v>
      </c>
      <c r="X3166" s="1552" t="str">
        <f> hyperlink(vlookup(lower(S3166),'File Links'!E:F, 2, FALSE), "LINK")</f>
        <v>LINK</v>
      </c>
      <c r="Y3166" s="68"/>
      <c r="Z3166" s="159" t="s">
        <v>226</v>
      </c>
      <c r="AA3166" s="159" t="s">
        <v>18789</v>
      </c>
      <c r="AB3166" s="159" t="s">
        <v>18790</v>
      </c>
      <c r="AC3166" s="159" t="s">
        <v>18791</v>
      </c>
      <c r="AD3166" s="159" t="s">
        <v>18792</v>
      </c>
      <c r="AE3166" s="159" t="s">
        <v>18793</v>
      </c>
      <c r="AF3166" s="156">
        <v>90.0</v>
      </c>
      <c r="AG3166" s="156">
        <v>0.59</v>
      </c>
      <c r="AH3166" s="159" t="s">
        <v>173</v>
      </c>
      <c r="AI3166" s="159" t="s">
        <v>4979</v>
      </c>
      <c r="AJ3166" s="156">
        <v>0.01</v>
      </c>
      <c r="AK3166" s="159" t="s">
        <v>135</v>
      </c>
      <c r="AL3166" s="159" t="s">
        <v>136</v>
      </c>
      <c r="AM3166" s="159" t="s">
        <v>1905</v>
      </c>
      <c r="AN3166" s="68"/>
      <c r="AO3166" s="156">
        <v>217.0</v>
      </c>
      <c r="AP3166" s="156">
        <v>0.49</v>
      </c>
      <c r="AQ3166" s="159" t="s">
        <v>173</v>
      </c>
      <c r="AR3166" s="159" t="s">
        <v>18794</v>
      </c>
      <c r="AS3166" s="156">
        <v>0.001</v>
      </c>
      <c r="AT3166" s="159" t="s">
        <v>135</v>
      </c>
      <c r="AU3166" s="159" t="s">
        <v>218</v>
      </c>
      <c r="AV3166" s="159" t="s">
        <v>141</v>
      </c>
      <c r="AW3166" s="435" t="s">
        <v>18795</v>
      </c>
      <c r="AX3166" s="159" t="s">
        <v>438</v>
      </c>
      <c r="AY3166" s="61" t="str">
        <f>IFERROR(__xludf.DUMMYFUNCTION("vlookup(BB3166,importrange(""https://docs.google.com/spreadsheets/d/1d2vevQ_7D_v35q4wCQ4RpQ_IPoTwEMB9Yp6ymwlPqew/edit?gid=984458430#gid=984458430"", ""'replication success'!A:K""), 11, FAlSE)"),"#N/A")</f>
        <v>#N/A</v>
      </c>
      <c r="AZ3166" s="61" t="str">
        <f>IFERROR(__xludf.DUMMYFUNCTION("vlookup(BB3166,importrange(""https://docs.google.com/spreadsheets/d/1d2vevQ_7D_v35q4wCQ4RpQ_IPoTwEMB9Yp6ymwlPqew/edit?gid=984458430#gid=984458430"", ""'replication success'!A:M""), 12, FAlSE)"),"#N/A")</f>
        <v>#N/A</v>
      </c>
      <c r="BA3166" s="61" t="str">
        <f>IFERROR(__xludf.DUMMYFUNCTION("vlookup(BB3166,importrange(""https://docs.google.com/spreadsheets/d/1d2vevQ_7D_v35q4wCQ4RpQ_IPoTwEMB9Yp6ymwlPqew/edit?gid=984458430#gid=984458430"", ""'replication success'!A:M""), 13, FAlSE)"),"#N/A")</f>
        <v>#N/A</v>
      </c>
      <c r="BB3166" s="61" t="str">
        <f>IFERROR(__xludf.DUMMYFUNCTION("REGEXREPLACE(G3166, ""_[a-z]{1,2}$"", """")"),"RRR_BrohmerHofer_etal_2024_SalwenderBerkessel")</f>
        <v>RRR_BrohmerHofer_etal_2024_SalwenderBerkessel</v>
      </c>
      <c r="BD3166" s="62" t="s">
        <v>3130</v>
      </c>
    </row>
    <row r="3167" ht="15.75" customHeight="1">
      <c r="A3167" s="44">
        <v>2834.0</v>
      </c>
      <c r="B3167" s="129" t="s">
        <v>523</v>
      </c>
      <c r="C3167" s="62" t="s">
        <v>115</v>
      </c>
      <c r="D3167" s="62" t="s">
        <v>176</v>
      </c>
      <c r="F3167" s="68" t="s">
        <v>18898</v>
      </c>
      <c r="G3167" s="159" t="s">
        <v>18899</v>
      </c>
      <c r="H3167" s="159" t="s">
        <v>7252</v>
      </c>
      <c r="I3167" s="434">
        <v>45808.0</v>
      </c>
      <c r="J3167" s="862"/>
      <c r="K3167" s="159" t="s">
        <v>18781</v>
      </c>
      <c r="L3167" s="159" t="s">
        <v>18782</v>
      </c>
      <c r="M3167" s="159" t="s">
        <v>18783</v>
      </c>
      <c r="N3167" s="159" t="s">
        <v>18784</v>
      </c>
      <c r="O3167" s="156">
        <v>2.0</v>
      </c>
      <c r="P3167" s="382" t="s">
        <v>18785</v>
      </c>
      <c r="Q3167" s="2191" t="str">
        <f> hyperlink(vlookup(lower(N3167),'File Links'!E:F, 2, FALSE), "LINK")</f>
        <v>LINK</v>
      </c>
      <c r="R3167" s="159" t="s">
        <v>18786</v>
      </c>
      <c r="S3167" s="159" t="s">
        <v>18787</v>
      </c>
      <c r="T3167" s="68"/>
      <c r="U3167" s="156">
        <v>1.0</v>
      </c>
      <c r="V3167" s="382" t="s">
        <v>18788</v>
      </c>
      <c r="W3167" s="1231" t="s">
        <v>7284</v>
      </c>
      <c r="X3167" s="1552" t="str">
        <f> hyperlink(vlookup(lower(S3167),'File Links'!E:F, 2, FALSE), "LINK")</f>
        <v>LINK</v>
      </c>
      <c r="Y3167" s="68"/>
      <c r="Z3167" s="159" t="s">
        <v>226</v>
      </c>
      <c r="AA3167" s="159" t="s">
        <v>18789</v>
      </c>
      <c r="AB3167" s="159" t="s">
        <v>18790</v>
      </c>
      <c r="AC3167" s="159" t="s">
        <v>18791</v>
      </c>
      <c r="AD3167" s="159" t="s">
        <v>18792</v>
      </c>
      <c r="AE3167" s="159" t="s">
        <v>18793</v>
      </c>
      <c r="AF3167" s="156">
        <v>90.0</v>
      </c>
      <c r="AG3167" s="156">
        <v>0.59</v>
      </c>
      <c r="AH3167" s="159" t="s">
        <v>173</v>
      </c>
      <c r="AI3167" s="159" t="s">
        <v>4979</v>
      </c>
      <c r="AJ3167" s="156">
        <v>0.01</v>
      </c>
      <c r="AK3167" s="159" t="s">
        <v>135</v>
      </c>
      <c r="AL3167" s="159" t="s">
        <v>136</v>
      </c>
      <c r="AM3167" s="159" t="s">
        <v>1905</v>
      </c>
      <c r="AN3167" s="68"/>
      <c r="AO3167" s="156">
        <v>124.0</v>
      </c>
      <c r="AP3167" s="156">
        <v>0.51</v>
      </c>
      <c r="AQ3167" s="159" t="s">
        <v>173</v>
      </c>
      <c r="AR3167" s="159" t="s">
        <v>18794</v>
      </c>
      <c r="AS3167" s="156">
        <v>0.007</v>
      </c>
      <c r="AT3167" s="159" t="s">
        <v>172</v>
      </c>
      <c r="AU3167" s="159" t="s">
        <v>218</v>
      </c>
      <c r="AV3167" s="159" t="s">
        <v>141</v>
      </c>
      <c r="AW3167" s="435" t="s">
        <v>18795</v>
      </c>
      <c r="AX3167" s="159" t="s">
        <v>438</v>
      </c>
      <c r="AY3167" s="61" t="str">
        <f>IFERROR(__xludf.DUMMYFUNCTION("vlookup(BB3167,importrange(""https://docs.google.com/spreadsheets/d/1d2vevQ_7D_v35q4wCQ4RpQ_IPoTwEMB9Yp6ymwlPqew/edit?gid=984458430#gid=984458430"", ""'replication success'!A:K""), 11, FAlSE)"),"#N/A")</f>
        <v>#N/A</v>
      </c>
      <c r="AZ3167" s="61" t="str">
        <f>IFERROR(__xludf.DUMMYFUNCTION("vlookup(BB3167,importrange(""https://docs.google.com/spreadsheets/d/1d2vevQ_7D_v35q4wCQ4RpQ_IPoTwEMB9Yp6ymwlPqew/edit?gid=984458430#gid=984458430"", ""'replication success'!A:M""), 12, FAlSE)"),"#N/A")</f>
        <v>#N/A</v>
      </c>
      <c r="BA3167" s="61" t="str">
        <f>IFERROR(__xludf.DUMMYFUNCTION("vlookup(BB3167,importrange(""https://docs.google.com/spreadsheets/d/1d2vevQ_7D_v35q4wCQ4RpQ_IPoTwEMB9Yp6ymwlPqew/edit?gid=984458430#gid=984458430"", ""'replication success'!A:M""), 13, FAlSE)"),"#N/A")</f>
        <v>#N/A</v>
      </c>
      <c r="BB3167" s="61" t="str">
        <f>IFERROR(__xludf.DUMMYFUNCTION("REGEXREPLACE(G3167, ""_[a-z]{1,2}$"", """")"),"RRR_BrohmerHofer_etal_2024_WehrtOtto")</f>
        <v>RRR_BrohmerHofer_etal_2024_WehrtOtto</v>
      </c>
      <c r="BD3167" s="62" t="s">
        <v>3130</v>
      </c>
    </row>
    <row r="3168" ht="15.75" customHeight="1">
      <c r="A3168" s="44">
        <v>2836.0</v>
      </c>
      <c r="B3168" s="129" t="s">
        <v>523</v>
      </c>
      <c r="C3168" s="62" t="s">
        <v>115</v>
      </c>
      <c r="D3168" s="62" t="s">
        <v>176</v>
      </c>
      <c r="F3168" s="68" t="s">
        <v>18900</v>
      </c>
      <c r="G3168" s="159" t="s">
        <v>18901</v>
      </c>
      <c r="H3168" s="159" t="s">
        <v>7252</v>
      </c>
      <c r="I3168" s="434">
        <v>45808.0</v>
      </c>
      <c r="J3168" s="862"/>
      <c r="K3168" s="159" t="s">
        <v>18781</v>
      </c>
      <c r="L3168" s="159" t="s">
        <v>18782</v>
      </c>
      <c r="M3168" s="159" t="s">
        <v>18783</v>
      </c>
      <c r="N3168" s="159" t="s">
        <v>18784</v>
      </c>
      <c r="O3168" s="156">
        <v>2.0</v>
      </c>
      <c r="P3168" s="382" t="s">
        <v>18785</v>
      </c>
      <c r="Q3168" s="2191" t="str">
        <f> hyperlink(vlookup(lower(N3168),'File Links'!E:F, 2, FALSE), "LINK")</f>
        <v>LINK</v>
      </c>
      <c r="R3168" s="159" t="s">
        <v>18786</v>
      </c>
      <c r="S3168" s="159" t="s">
        <v>18787</v>
      </c>
      <c r="T3168" s="68"/>
      <c r="U3168" s="156">
        <v>1.0</v>
      </c>
      <c r="V3168" s="382" t="s">
        <v>18788</v>
      </c>
      <c r="W3168" s="1231" t="s">
        <v>7284</v>
      </c>
      <c r="X3168" s="1552" t="str">
        <f> hyperlink(vlookup(lower(S3168),'File Links'!E:F, 2, FALSE), "LINK")</f>
        <v>LINK</v>
      </c>
      <c r="Y3168" s="68"/>
      <c r="Z3168" s="159" t="s">
        <v>226</v>
      </c>
      <c r="AA3168" s="159" t="s">
        <v>18789</v>
      </c>
      <c r="AB3168" s="159" t="s">
        <v>18790</v>
      </c>
      <c r="AC3168" s="159" t="s">
        <v>18791</v>
      </c>
      <c r="AD3168" s="159" t="s">
        <v>18792</v>
      </c>
      <c r="AE3168" s="159" t="s">
        <v>18793</v>
      </c>
      <c r="AF3168" s="156">
        <v>90.0</v>
      </c>
      <c r="AG3168" s="156">
        <v>0.59</v>
      </c>
      <c r="AH3168" s="159" t="s">
        <v>173</v>
      </c>
      <c r="AI3168" s="159" t="s">
        <v>4979</v>
      </c>
      <c r="AJ3168" s="156">
        <v>0.01</v>
      </c>
      <c r="AK3168" s="159" t="s">
        <v>135</v>
      </c>
      <c r="AL3168" s="159" t="s">
        <v>136</v>
      </c>
      <c r="AM3168" s="159" t="s">
        <v>1905</v>
      </c>
      <c r="AN3168" s="68"/>
      <c r="AO3168" s="156">
        <v>186.0</v>
      </c>
      <c r="AP3168" s="156">
        <v>1.58</v>
      </c>
      <c r="AQ3168" s="159" t="s">
        <v>173</v>
      </c>
      <c r="AR3168" s="159" t="s">
        <v>18794</v>
      </c>
      <c r="AS3168" s="156">
        <v>0.001</v>
      </c>
      <c r="AT3168" s="159" t="s">
        <v>135</v>
      </c>
      <c r="AU3168" s="159" t="s">
        <v>218</v>
      </c>
      <c r="AV3168" s="159" t="s">
        <v>141</v>
      </c>
      <c r="AW3168" s="435" t="s">
        <v>18795</v>
      </c>
      <c r="AX3168" s="159" t="s">
        <v>438</v>
      </c>
      <c r="AY3168" s="61" t="str">
        <f>IFERROR(__xludf.DUMMYFUNCTION("vlookup(BB3168,importrange(""https://docs.google.com/spreadsheets/d/1d2vevQ_7D_v35q4wCQ4RpQ_IPoTwEMB9Yp6ymwlPqew/edit?gid=984458430#gid=984458430"", ""'replication success'!A:K""), 11, FAlSE)"),"#N/A")</f>
        <v>#N/A</v>
      </c>
      <c r="AZ3168" s="61" t="str">
        <f>IFERROR(__xludf.DUMMYFUNCTION("vlookup(BB3168,importrange(""https://docs.google.com/spreadsheets/d/1d2vevQ_7D_v35q4wCQ4RpQ_IPoTwEMB9Yp6ymwlPqew/edit?gid=984458430#gid=984458430"", ""'replication success'!A:M""), 12, FAlSE)"),"#N/A")</f>
        <v>#N/A</v>
      </c>
      <c r="BA3168" s="61" t="str">
        <f>IFERROR(__xludf.DUMMYFUNCTION("vlookup(BB3168,importrange(""https://docs.google.com/spreadsheets/d/1d2vevQ_7D_v35q4wCQ4RpQ_IPoTwEMB9Yp6ymwlPqew/edit?gid=984458430#gid=984458430"", ""'replication success'!A:M""), 13, FAlSE)"),"#N/A")</f>
        <v>#N/A</v>
      </c>
      <c r="BB3168" s="61" t="str">
        <f>IFERROR(__xludf.DUMMYFUNCTION("REGEXREPLACE(G3168, ""_[a-z]{1,2}$"", """")"),"RRR_BrohmerHofer_etal_2024_ZPIDat")</f>
        <v>RRR_BrohmerHofer_etal_2024_ZPIDat</v>
      </c>
      <c r="BD3168" s="62" t="s">
        <v>3130</v>
      </c>
    </row>
    <row r="3169" ht="15.75" customHeight="1">
      <c r="A3169" s="44">
        <v>2837.0</v>
      </c>
      <c r="B3169" s="129" t="s">
        <v>523</v>
      </c>
      <c r="C3169" s="62" t="s">
        <v>115</v>
      </c>
      <c r="D3169" s="62" t="s">
        <v>176</v>
      </c>
      <c r="F3169" s="68" t="s">
        <v>18900</v>
      </c>
      <c r="G3169" s="159" t="s">
        <v>18902</v>
      </c>
      <c r="H3169" s="159" t="s">
        <v>7252</v>
      </c>
      <c r="I3169" s="434">
        <v>45808.0</v>
      </c>
      <c r="J3169" s="862"/>
      <c r="K3169" s="68"/>
      <c r="L3169" s="68"/>
      <c r="M3169" s="159" t="s">
        <v>18783</v>
      </c>
      <c r="N3169" s="159" t="s">
        <v>18784</v>
      </c>
      <c r="O3169" s="156">
        <v>2.0</v>
      </c>
      <c r="P3169" s="382" t="s">
        <v>18785</v>
      </c>
      <c r="Q3169" s="2191" t="str">
        <f> hyperlink(vlookup(lower(N3169),'File Links'!E:F, 2, FALSE), "LINK")</f>
        <v>LINK</v>
      </c>
      <c r="R3169" s="159" t="s">
        <v>18786</v>
      </c>
      <c r="S3169" s="159" t="s">
        <v>18787</v>
      </c>
      <c r="T3169" s="68"/>
      <c r="U3169" s="156">
        <v>1.0</v>
      </c>
      <c r="V3169" s="382" t="s">
        <v>18788</v>
      </c>
      <c r="W3169" s="1231" t="s">
        <v>7284</v>
      </c>
      <c r="X3169" s="1552" t="str">
        <f> hyperlink(vlookup(lower(S3169),'File Links'!E:F, 2, FALSE), "LINK")</f>
        <v>LINK</v>
      </c>
      <c r="Y3169" s="68"/>
      <c r="Z3169" s="159" t="s">
        <v>226</v>
      </c>
      <c r="AA3169" s="159" t="s">
        <v>18789</v>
      </c>
      <c r="AB3169" s="159" t="s">
        <v>18790</v>
      </c>
      <c r="AC3169" s="159" t="s">
        <v>18903</v>
      </c>
      <c r="AD3169" s="159" t="s">
        <v>18904</v>
      </c>
      <c r="AE3169" s="159" t="s">
        <v>496</v>
      </c>
      <c r="AF3169" s="156">
        <v>90.0</v>
      </c>
      <c r="AG3169" s="156">
        <v>9.97</v>
      </c>
      <c r="AH3169" s="159" t="s">
        <v>134</v>
      </c>
      <c r="AI3169" s="159" t="s">
        <v>496</v>
      </c>
      <c r="AJ3169" s="156">
        <v>0.001</v>
      </c>
      <c r="AK3169" s="159" t="s">
        <v>135</v>
      </c>
      <c r="AL3169" s="159" t="s">
        <v>136</v>
      </c>
      <c r="AM3169" s="159" t="s">
        <v>137</v>
      </c>
      <c r="AN3169" s="68"/>
      <c r="AO3169" s="156">
        <v>1479.0</v>
      </c>
      <c r="AP3169" s="156">
        <v>190.72</v>
      </c>
      <c r="AQ3169" s="159" t="s">
        <v>134</v>
      </c>
      <c r="AR3169" s="159" t="s">
        <v>18905</v>
      </c>
      <c r="AS3169" s="156">
        <v>0.001</v>
      </c>
      <c r="AT3169" s="159" t="s">
        <v>135</v>
      </c>
      <c r="AU3169" s="159" t="s">
        <v>136</v>
      </c>
      <c r="AV3169" s="159" t="s">
        <v>141</v>
      </c>
      <c r="AW3169" s="435" t="s">
        <v>18795</v>
      </c>
      <c r="AX3169" s="159" t="s">
        <v>438</v>
      </c>
      <c r="AY3169" s="61" t="str">
        <f>IFERROR(__xludf.DUMMYFUNCTION("vlookup(BB3169,importrange(""https://docs.google.com/spreadsheets/d/1d2vevQ_7D_v35q4wCQ4RpQ_IPoTwEMB9Yp6ymwlPqew/edit?gid=984458430#gid=984458430"", ""'replication success'!A:K""), 11, FAlSE)"),"#N/A")</f>
        <v>#N/A</v>
      </c>
      <c r="AZ3169" s="61" t="str">
        <f>IFERROR(__xludf.DUMMYFUNCTION("vlookup(BB3169,importrange(""https://docs.google.com/spreadsheets/d/1d2vevQ_7D_v35q4wCQ4RpQ_IPoTwEMB9Yp6ymwlPqew/edit?gid=984458430#gid=984458430"", ""'replication success'!A:M""), 12, FAlSE)"),"#N/A")</f>
        <v>#N/A</v>
      </c>
      <c r="BA3169" s="61" t="str">
        <f>IFERROR(__xludf.DUMMYFUNCTION("vlookup(BB3169,importrange(""https://docs.google.com/spreadsheets/d/1d2vevQ_7D_v35q4wCQ4RpQ_IPoTwEMB9Yp6ymwlPqew/edit?gid=984458430#gid=984458430"", ""'replication success'!A:M""), 13, FAlSE)"),"#N/A")</f>
        <v>#N/A</v>
      </c>
      <c r="BB3169" s="61" t="str">
        <f>IFERROR(__xludf.DUMMYFUNCTION("REGEXREPLACE(G3169, ""_[a-z]{1,2}$"", """")"),"RRR_BrohmerHofer_etal_2024_ZPIDat")</f>
        <v>RRR_BrohmerHofer_etal_2024_ZPIDat</v>
      </c>
      <c r="BD3169" s="62" t="s">
        <v>3130</v>
      </c>
    </row>
    <row r="3170" ht="15.75" customHeight="1">
      <c r="A3170" s="44">
        <v>2838.0</v>
      </c>
      <c r="B3170" s="129" t="s">
        <v>523</v>
      </c>
      <c r="C3170" s="62" t="s">
        <v>115</v>
      </c>
      <c r="D3170" s="62" t="s">
        <v>176</v>
      </c>
      <c r="F3170" s="68" t="s">
        <v>18900</v>
      </c>
      <c r="G3170" s="159" t="s">
        <v>18906</v>
      </c>
      <c r="H3170" s="159" t="s">
        <v>7252</v>
      </c>
      <c r="I3170" s="434">
        <v>45808.0</v>
      </c>
      <c r="J3170" s="862"/>
      <c r="K3170" s="68"/>
      <c r="L3170" s="68"/>
      <c r="M3170" s="159" t="s">
        <v>18783</v>
      </c>
      <c r="N3170" s="159" t="s">
        <v>18784</v>
      </c>
      <c r="O3170" s="156">
        <v>2.0</v>
      </c>
      <c r="P3170" s="382" t="s">
        <v>18785</v>
      </c>
      <c r="Q3170" s="2191" t="str">
        <f> hyperlink(vlookup(lower(N3170),'File Links'!E:F, 2, FALSE), "LINK")</f>
        <v>LINK</v>
      </c>
      <c r="R3170" s="159" t="s">
        <v>18786</v>
      </c>
      <c r="S3170" s="159" t="s">
        <v>18787</v>
      </c>
      <c r="T3170" s="68"/>
      <c r="U3170" s="156">
        <v>1.0</v>
      </c>
      <c r="V3170" s="382" t="s">
        <v>18788</v>
      </c>
      <c r="W3170" s="1231" t="s">
        <v>7284</v>
      </c>
      <c r="X3170" s="1552" t="str">
        <f> hyperlink(vlookup(lower(S3170),'File Links'!E:F, 2, FALSE), "LINK")</f>
        <v>LINK</v>
      </c>
      <c r="Y3170" s="68"/>
      <c r="Z3170" s="159" t="s">
        <v>226</v>
      </c>
      <c r="AA3170" s="159" t="s">
        <v>18789</v>
      </c>
      <c r="AB3170" s="159" t="s">
        <v>18790</v>
      </c>
      <c r="AC3170" s="159" t="s">
        <v>18907</v>
      </c>
      <c r="AD3170" s="159" t="s">
        <v>18908</v>
      </c>
      <c r="AE3170" s="159" t="s">
        <v>882</v>
      </c>
      <c r="AF3170" s="156">
        <v>90.0</v>
      </c>
      <c r="AG3170" s="156">
        <v>19.9</v>
      </c>
      <c r="AH3170" s="159" t="s">
        <v>134</v>
      </c>
      <c r="AI3170" s="159" t="s">
        <v>882</v>
      </c>
      <c r="AJ3170" s="156">
        <v>0.001</v>
      </c>
      <c r="AK3170" s="159" t="s">
        <v>135</v>
      </c>
      <c r="AL3170" s="159" t="s">
        <v>136</v>
      </c>
      <c r="AM3170" s="159" t="s">
        <v>137</v>
      </c>
      <c r="AN3170" s="68"/>
      <c r="AO3170" s="156">
        <v>1479.0</v>
      </c>
      <c r="AP3170" s="156">
        <v>93.57</v>
      </c>
      <c r="AQ3170" s="159" t="s">
        <v>134</v>
      </c>
      <c r="AR3170" s="159" t="s">
        <v>18905</v>
      </c>
      <c r="AS3170" s="156">
        <v>0.001</v>
      </c>
      <c r="AT3170" s="159" t="s">
        <v>135</v>
      </c>
      <c r="AU3170" s="159" t="s">
        <v>136</v>
      </c>
      <c r="AV3170" s="159" t="s">
        <v>141</v>
      </c>
      <c r="AW3170" s="435" t="s">
        <v>18795</v>
      </c>
      <c r="AX3170" s="159" t="s">
        <v>438</v>
      </c>
      <c r="AY3170" s="61" t="str">
        <f>IFERROR(__xludf.DUMMYFUNCTION("vlookup(BB3170,importrange(""https://docs.google.com/spreadsheets/d/1d2vevQ_7D_v35q4wCQ4RpQ_IPoTwEMB9Yp6ymwlPqew/edit?gid=984458430#gid=984458430"", ""'replication success'!A:K""), 11, FAlSE)"),"#N/A")</f>
        <v>#N/A</v>
      </c>
      <c r="AZ3170" s="61" t="str">
        <f>IFERROR(__xludf.DUMMYFUNCTION("vlookup(BB3170,importrange(""https://docs.google.com/spreadsheets/d/1d2vevQ_7D_v35q4wCQ4RpQ_IPoTwEMB9Yp6ymwlPqew/edit?gid=984458430#gid=984458430"", ""'replication success'!A:M""), 12, FAlSE)"),"#N/A")</f>
        <v>#N/A</v>
      </c>
      <c r="BA3170" s="61" t="str">
        <f>IFERROR(__xludf.DUMMYFUNCTION("vlookup(BB3170,importrange(""https://docs.google.com/spreadsheets/d/1d2vevQ_7D_v35q4wCQ4RpQ_IPoTwEMB9Yp6ymwlPqew/edit?gid=984458430#gid=984458430"", ""'replication success'!A:M""), 13, FAlSE)"),"#N/A")</f>
        <v>#N/A</v>
      </c>
      <c r="BB3170" s="61" t="str">
        <f>IFERROR(__xludf.DUMMYFUNCTION("REGEXREPLACE(G3170, ""_[a-z]{1,2}$"", """")"),"RRR_BrohmerHofer_etal_2024_ZPIDat")</f>
        <v>RRR_BrohmerHofer_etal_2024_ZPIDat</v>
      </c>
      <c r="BD3170" s="62" t="s">
        <v>3130</v>
      </c>
    </row>
    <row r="3171" ht="15.75" customHeight="1">
      <c r="A3171" s="44">
        <v>2839.0</v>
      </c>
      <c r="B3171" s="129" t="s">
        <v>523</v>
      </c>
      <c r="C3171" s="62" t="s">
        <v>115</v>
      </c>
      <c r="D3171" s="62" t="s">
        <v>176</v>
      </c>
      <c r="F3171" s="68" t="s">
        <v>18900</v>
      </c>
      <c r="G3171" s="159" t="s">
        <v>18909</v>
      </c>
      <c r="H3171" s="159" t="s">
        <v>7252</v>
      </c>
      <c r="I3171" s="434">
        <v>45808.0</v>
      </c>
      <c r="J3171" s="862"/>
      <c r="K3171" s="68"/>
      <c r="L3171" s="68"/>
      <c r="M3171" s="159" t="s">
        <v>18783</v>
      </c>
      <c r="N3171" s="159" t="s">
        <v>18784</v>
      </c>
      <c r="O3171" s="156">
        <v>2.0</v>
      </c>
      <c r="P3171" s="382" t="s">
        <v>18785</v>
      </c>
      <c r="Q3171" s="2191" t="str">
        <f> hyperlink(vlookup(lower(N3171),'File Links'!E:F, 2, FALSE), "LINK")</f>
        <v>LINK</v>
      </c>
      <c r="R3171" s="159" t="s">
        <v>18786</v>
      </c>
      <c r="S3171" s="159" t="s">
        <v>18787</v>
      </c>
      <c r="T3171" s="68"/>
      <c r="U3171" s="156">
        <v>1.0</v>
      </c>
      <c r="V3171" s="382" t="s">
        <v>18788</v>
      </c>
      <c r="W3171" s="1231" t="s">
        <v>7284</v>
      </c>
      <c r="X3171" s="1552" t="str">
        <f> hyperlink(vlookup(lower(S3171),'File Links'!E:F, 2, FALSE), "LINK")</f>
        <v>LINK</v>
      </c>
      <c r="Y3171" s="68"/>
      <c r="Z3171" s="159" t="s">
        <v>226</v>
      </c>
      <c r="AA3171" s="159" t="s">
        <v>18789</v>
      </c>
      <c r="AB3171" s="159" t="s">
        <v>18790</v>
      </c>
      <c r="AC3171" s="159" t="s">
        <v>18910</v>
      </c>
      <c r="AD3171" s="159" t="s">
        <v>18911</v>
      </c>
      <c r="AE3171" s="159" t="s">
        <v>882</v>
      </c>
      <c r="AF3171" s="156">
        <v>90.0</v>
      </c>
      <c r="AG3171" s="156">
        <v>0.61</v>
      </c>
      <c r="AH3171" s="159" t="s">
        <v>134</v>
      </c>
      <c r="AI3171" s="159" t="s">
        <v>882</v>
      </c>
      <c r="AJ3171" s="156">
        <v>0.5</v>
      </c>
      <c r="AK3171" s="159" t="s">
        <v>335</v>
      </c>
      <c r="AL3171" s="159" t="s">
        <v>136</v>
      </c>
      <c r="AM3171" s="159" t="s">
        <v>137</v>
      </c>
      <c r="AN3171" s="68"/>
      <c r="AO3171" s="156">
        <v>1479.0</v>
      </c>
      <c r="AP3171" s="156">
        <v>2.11</v>
      </c>
      <c r="AQ3171" s="159" t="s">
        <v>134</v>
      </c>
      <c r="AR3171" s="159" t="s">
        <v>18905</v>
      </c>
      <c r="AS3171" s="156">
        <v>0.121</v>
      </c>
      <c r="AT3171" s="159" t="s">
        <v>172</v>
      </c>
      <c r="AU3171" s="159" t="s">
        <v>136</v>
      </c>
      <c r="AV3171" s="159" t="s">
        <v>141</v>
      </c>
      <c r="AW3171" s="435" t="s">
        <v>18795</v>
      </c>
      <c r="AX3171" s="159" t="s">
        <v>438</v>
      </c>
      <c r="AY3171" s="61" t="str">
        <f>IFERROR(__xludf.DUMMYFUNCTION("vlookup(BB3171,importrange(""https://docs.google.com/spreadsheets/d/1d2vevQ_7D_v35q4wCQ4RpQ_IPoTwEMB9Yp6ymwlPqew/edit?gid=984458430#gid=984458430"", ""'replication success'!A:K""), 11, FAlSE)"),"#N/A")</f>
        <v>#N/A</v>
      </c>
      <c r="AZ3171" s="61" t="str">
        <f>IFERROR(__xludf.DUMMYFUNCTION("vlookup(BB3171,importrange(""https://docs.google.com/spreadsheets/d/1d2vevQ_7D_v35q4wCQ4RpQ_IPoTwEMB9Yp6ymwlPqew/edit?gid=984458430#gid=984458430"", ""'replication success'!A:M""), 12, FAlSE)"),"#N/A")</f>
        <v>#N/A</v>
      </c>
      <c r="BA3171" s="61" t="str">
        <f>IFERROR(__xludf.DUMMYFUNCTION("vlookup(BB3171,importrange(""https://docs.google.com/spreadsheets/d/1d2vevQ_7D_v35q4wCQ4RpQ_IPoTwEMB9Yp6ymwlPqew/edit?gid=984458430#gid=984458430"", ""'replication success'!A:M""), 13, FAlSE)"),"#N/A")</f>
        <v>#N/A</v>
      </c>
      <c r="BB3171" s="61" t="str">
        <f>IFERROR(__xludf.DUMMYFUNCTION("REGEXREPLACE(G3171, ""_[a-z]{1,2}$"", """")"),"RRR_BrohmerHofer_etal_2024_ZPIDat")</f>
        <v>RRR_BrohmerHofer_etal_2024_ZPIDat</v>
      </c>
      <c r="BD3171" s="62" t="s">
        <v>3130</v>
      </c>
    </row>
    <row r="3172" ht="15.75" customHeight="1">
      <c r="A3172" s="44">
        <v>2840.0</v>
      </c>
      <c r="B3172" s="129" t="s">
        <v>523</v>
      </c>
      <c r="C3172" s="62" t="s">
        <v>115</v>
      </c>
      <c r="D3172" s="62" t="s">
        <v>176</v>
      </c>
      <c r="F3172" s="68" t="s">
        <v>18900</v>
      </c>
      <c r="G3172" s="159" t="s">
        <v>18912</v>
      </c>
      <c r="H3172" s="159" t="s">
        <v>7252</v>
      </c>
      <c r="I3172" s="434">
        <v>45808.0</v>
      </c>
      <c r="J3172" s="862"/>
      <c r="K3172" s="68"/>
      <c r="L3172" s="68"/>
      <c r="M3172" s="159" t="s">
        <v>18783</v>
      </c>
      <c r="N3172" s="159" t="s">
        <v>18784</v>
      </c>
      <c r="O3172" s="156">
        <v>2.0</v>
      </c>
      <c r="P3172" s="382" t="s">
        <v>18785</v>
      </c>
      <c r="Q3172" s="2191" t="str">
        <f> hyperlink(vlookup(lower(N3172),'File Links'!E:F, 2, FALSE), "LINK")</f>
        <v>LINK</v>
      </c>
      <c r="R3172" s="159" t="s">
        <v>18786</v>
      </c>
      <c r="S3172" s="159" t="s">
        <v>18787</v>
      </c>
      <c r="T3172" s="68"/>
      <c r="U3172" s="156">
        <v>1.0</v>
      </c>
      <c r="V3172" s="382" t="s">
        <v>18788</v>
      </c>
      <c r="W3172" s="1231" t="s">
        <v>7284</v>
      </c>
      <c r="X3172" s="1552" t="str">
        <f> hyperlink(vlookup(lower(S3172),'File Links'!E:F, 2, FALSE), "LINK")</f>
        <v>LINK</v>
      </c>
      <c r="Y3172" s="68"/>
      <c r="Z3172" s="159" t="s">
        <v>226</v>
      </c>
      <c r="AA3172" s="159" t="s">
        <v>18789</v>
      </c>
      <c r="AB3172" s="159" t="s">
        <v>18790</v>
      </c>
      <c r="AC3172" s="159" t="s">
        <v>18913</v>
      </c>
      <c r="AD3172" s="159" t="s">
        <v>18914</v>
      </c>
      <c r="AE3172" s="159" t="s">
        <v>882</v>
      </c>
      <c r="AF3172" s="156">
        <v>90.0</v>
      </c>
      <c r="AG3172" s="156">
        <v>0.94</v>
      </c>
      <c r="AH3172" s="159" t="s">
        <v>173</v>
      </c>
      <c r="AI3172" s="159" t="s">
        <v>882</v>
      </c>
      <c r="AJ3172" s="156">
        <v>0.001</v>
      </c>
      <c r="AK3172" s="159" t="s">
        <v>135</v>
      </c>
      <c r="AL3172" s="159" t="s">
        <v>136</v>
      </c>
      <c r="AM3172" s="159" t="s">
        <v>137</v>
      </c>
      <c r="AN3172" s="68"/>
      <c r="AO3172" s="156">
        <v>1479.0</v>
      </c>
      <c r="AP3172" s="156">
        <v>0.54</v>
      </c>
      <c r="AQ3172" s="159" t="s">
        <v>173</v>
      </c>
      <c r="AR3172" s="159" t="s">
        <v>18905</v>
      </c>
      <c r="AS3172" s="156">
        <v>0.001</v>
      </c>
      <c r="AT3172" s="159" t="s">
        <v>135</v>
      </c>
      <c r="AU3172" s="159" t="s">
        <v>136</v>
      </c>
      <c r="AV3172" s="159" t="s">
        <v>141</v>
      </c>
      <c r="AW3172" s="435" t="s">
        <v>18795</v>
      </c>
      <c r="AX3172" s="159" t="s">
        <v>438</v>
      </c>
      <c r="AY3172" s="61" t="str">
        <f>IFERROR(__xludf.DUMMYFUNCTION("vlookup(BB3172,importrange(""https://docs.google.com/spreadsheets/d/1d2vevQ_7D_v35q4wCQ4RpQ_IPoTwEMB9Yp6ymwlPqew/edit?gid=984458430#gid=984458430"", ""'replication success'!A:K""), 11, FAlSE)"),"#N/A")</f>
        <v>#N/A</v>
      </c>
      <c r="AZ3172" s="61" t="str">
        <f>IFERROR(__xludf.DUMMYFUNCTION("vlookup(BB3172,importrange(""https://docs.google.com/spreadsheets/d/1d2vevQ_7D_v35q4wCQ4RpQ_IPoTwEMB9Yp6ymwlPqew/edit?gid=984458430#gid=984458430"", ""'replication success'!A:M""), 12, FAlSE)"),"#N/A")</f>
        <v>#N/A</v>
      </c>
      <c r="BA3172" s="61" t="str">
        <f>IFERROR(__xludf.DUMMYFUNCTION("vlookup(BB3172,importrange(""https://docs.google.com/spreadsheets/d/1d2vevQ_7D_v35q4wCQ4RpQ_IPoTwEMB9Yp6ymwlPqew/edit?gid=984458430#gid=984458430"", ""'replication success'!A:M""), 13, FAlSE)"),"#N/A")</f>
        <v>#N/A</v>
      </c>
      <c r="BB3172" s="61" t="str">
        <f>IFERROR(__xludf.DUMMYFUNCTION("REGEXREPLACE(G3172, ""_[a-z]{1,2}$"", """")"),"RRR_BrohmerHofer_etal_2024_ZPIDat")</f>
        <v>RRR_BrohmerHofer_etal_2024_ZPIDat</v>
      </c>
      <c r="BD3172" s="62" t="s">
        <v>3130</v>
      </c>
    </row>
    <row r="3173" ht="15.75" customHeight="1">
      <c r="A3173" s="44">
        <v>2835.0</v>
      </c>
      <c r="B3173" s="129" t="s">
        <v>523</v>
      </c>
      <c r="C3173" s="62" t="s">
        <v>115</v>
      </c>
      <c r="D3173" s="62" t="s">
        <v>176</v>
      </c>
      <c r="F3173" s="68" t="s">
        <v>18915</v>
      </c>
      <c r="G3173" s="159" t="s">
        <v>18916</v>
      </c>
      <c r="H3173" s="159" t="s">
        <v>7252</v>
      </c>
      <c r="I3173" s="434">
        <v>45808.0</v>
      </c>
      <c r="J3173" s="862"/>
      <c r="K3173" s="159" t="s">
        <v>18781</v>
      </c>
      <c r="L3173" s="159" t="s">
        <v>18782</v>
      </c>
      <c r="M3173" s="159" t="s">
        <v>18783</v>
      </c>
      <c r="N3173" s="159" t="s">
        <v>18784</v>
      </c>
      <c r="O3173" s="156">
        <v>2.0</v>
      </c>
      <c r="P3173" s="382" t="s">
        <v>18785</v>
      </c>
      <c r="Q3173" s="2191" t="str">
        <f> hyperlink(vlookup(lower(N3173),'File Links'!E:F, 2, FALSE), "LINK")</f>
        <v>LINK</v>
      </c>
      <c r="R3173" s="159" t="s">
        <v>18786</v>
      </c>
      <c r="S3173" s="159" t="s">
        <v>18787</v>
      </c>
      <c r="T3173" s="68"/>
      <c r="U3173" s="156">
        <v>1.0</v>
      </c>
      <c r="V3173" s="382" t="s">
        <v>18788</v>
      </c>
      <c r="W3173" s="1231" t="s">
        <v>7284</v>
      </c>
      <c r="X3173" s="1552" t="str">
        <f> hyperlink(vlookup(lower(S3173),'File Links'!E:F, 2, FALSE), "LINK")</f>
        <v>LINK</v>
      </c>
      <c r="Y3173" s="68"/>
      <c r="Z3173" s="159" t="s">
        <v>226</v>
      </c>
      <c r="AA3173" s="159" t="s">
        <v>18789</v>
      </c>
      <c r="AB3173" s="159" t="s">
        <v>18790</v>
      </c>
      <c r="AC3173" s="159" t="s">
        <v>18791</v>
      </c>
      <c r="AD3173" s="159" t="s">
        <v>18792</v>
      </c>
      <c r="AE3173" s="159" t="s">
        <v>18793</v>
      </c>
      <c r="AF3173" s="156">
        <v>90.0</v>
      </c>
      <c r="AG3173" s="156">
        <v>0.59</v>
      </c>
      <c r="AH3173" s="159" t="s">
        <v>173</v>
      </c>
      <c r="AI3173" s="159" t="s">
        <v>4979</v>
      </c>
      <c r="AJ3173" s="156">
        <v>0.01</v>
      </c>
      <c r="AK3173" s="159" t="s">
        <v>135</v>
      </c>
      <c r="AL3173" s="159" t="s">
        <v>136</v>
      </c>
      <c r="AM3173" s="159" t="s">
        <v>1905</v>
      </c>
      <c r="AN3173" s="68"/>
      <c r="AO3173" s="156">
        <v>162.0</v>
      </c>
      <c r="AP3173" s="156">
        <v>1.11</v>
      </c>
      <c r="AQ3173" s="159" t="s">
        <v>173</v>
      </c>
      <c r="AR3173" s="159" t="s">
        <v>18794</v>
      </c>
      <c r="AS3173" s="156">
        <v>0.001</v>
      </c>
      <c r="AT3173" s="159" t="s">
        <v>135</v>
      </c>
      <c r="AU3173" s="159" t="s">
        <v>218</v>
      </c>
      <c r="AV3173" s="159" t="s">
        <v>141</v>
      </c>
      <c r="AW3173" s="435" t="s">
        <v>18795</v>
      </c>
      <c r="AX3173" s="159" t="s">
        <v>438</v>
      </c>
      <c r="AY3173" s="61" t="str">
        <f>IFERROR(__xludf.DUMMYFUNCTION("vlookup(BB3173,importrange(""https://docs.google.com/spreadsheets/d/1d2vevQ_7D_v35q4wCQ4RpQ_IPoTwEMB9Yp6ymwlPqew/edit?gid=984458430#gid=984458430"", ""'replication success'!A:K""), 11, FAlSE)"),"#N/A")</f>
        <v>#N/A</v>
      </c>
      <c r="AZ3173" s="61" t="str">
        <f>IFERROR(__xludf.DUMMYFUNCTION("vlookup(BB3173,importrange(""https://docs.google.com/spreadsheets/d/1d2vevQ_7D_v35q4wCQ4RpQ_IPoTwEMB9Yp6ymwlPqew/edit?gid=984458430#gid=984458430"", ""'replication success'!A:M""), 12, FAlSE)"),"#N/A")</f>
        <v>#N/A</v>
      </c>
      <c r="BA3173" s="61" t="str">
        <f>IFERROR(__xludf.DUMMYFUNCTION("vlookup(BB3173,importrange(""https://docs.google.com/spreadsheets/d/1d2vevQ_7D_v35q4wCQ4RpQ_IPoTwEMB9Yp6ymwlPqew/edit?gid=984458430#gid=984458430"", ""'replication success'!A:M""), 13, FAlSE)"),"#N/A")</f>
        <v>#N/A</v>
      </c>
      <c r="BB3173" s="61" t="str">
        <f>IFERROR(__xludf.DUMMYFUNCTION("REGEXREPLACE(G3173, ""_[a-z]{1,2}$"", """")"),"RRR_BrohmerHofer_etal_2024_ZPIDde")</f>
        <v>RRR_BrohmerHofer_etal_2024_ZPIDde</v>
      </c>
      <c r="BD3173" s="62" t="s">
        <v>3130</v>
      </c>
    </row>
    <row r="3174" ht="15.75" customHeight="1">
      <c r="A3174" s="44">
        <v>2806.0</v>
      </c>
      <c r="B3174" s="129" t="s">
        <v>523</v>
      </c>
      <c r="C3174" s="62" t="s">
        <v>115</v>
      </c>
      <c r="D3174" s="62" t="s">
        <v>1458</v>
      </c>
      <c r="F3174" s="68" t="s">
        <v>18917</v>
      </c>
      <c r="G3174" s="159" t="s">
        <v>18918</v>
      </c>
      <c r="H3174" s="159" t="s">
        <v>18919</v>
      </c>
      <c r="I3174" s="152">
        <v>45329.0</v>
      </c>
      <c r="J3174" s="152">
        <v>45804.0</v>
      </c>
      <c r="K3174" s="159" t="s">
        <v>18920</v>
      </c>
      <c r="L3174" s="68"/>
      <c r="M3174" s="159" t="s">
        <v>18921</v>
      </c>
      <c r="N3174" s="159" t="s">
        <v>18922</v>
      </c>
      <c r="O3174" s="156">
        <v>1.0</v>
      </c>
      <c r="P3174" s="382" t="s">
        <v>18923</v>
      </c>
      <c r="Q3174" s="2191" t="str">
        <f> hyperlink(vlookup(lower(N3174),'File Links'!E:F, 2, FALSE), "LINK")</f>
        <v>LINK</v>
      </c>
      <c r="R3174" s="159" t="s">
        <v>18924</v>
      </c>
      <c r="S3174" s="159" t="s">
        <v>18925</v>
      </c>
      <c r="T3174" s="159" t="s">
        <v>138</v>
      </c>
      <c r="U3174" s="156">
        <v>1.0</v>
      </c>
      <c r="V3174" s="382" t="s">
        <v>18926</v>
      </c>
      <c r="W3174" s="1228"/>
      <c r="X3174" s="1552" t="str">
        <f> hyperlink(vlookup(lower(S3174),'File Links'!E:F, 2, FALSE), "LINK")</f>
        <v>LINK</v>
      </c>
      <c r="Y3174" s="159" t="s">
        <v>138</v>
      </c>
      <c r="Z3174" s="159" t="s">
        <v>947</v>
      </c>
      <c r="AA3174" s="159" t="s">
        <v>18927</v>
      </c>
      <c r="AB3174" s="159" t="s">
        <v>18928</v>
      </c>
      <c r="AC3174" s="159" t="s">
        <v>18927</v>
      </c>
      <c r="AD3174" s="159" t="s">
        <v>18929</v>
      </c>
      <c r="AE3174" s="156">
        <v>5.0</v>
      </c>
      <c r="AF3174" s="156">
        <v>30.0</v>
      </c>
      <c r="AG3174" s="151" t="s">
        <v>18930</v>
      </c>
      <c r="AH3174" s="159" t="s">
        <v>134</v>
      </c>
      <c r="AI3174" s="159" t="s">
        <v>882</v>
      </c>
      <c r="AJ3174" s="156">
        <v>0.01</v>
      </c>
      <c r="AK3174" s="159" t="s">
        <v>135</v>
      </c>
      <c r="AL3174" s="159" t="s">
        <v>186</v>
      </c>
      <c r="AM3174" s="159" t="s">
        <v>137</v>
      </c>
      <c r="AN3174" s="159" t="s">
        <v>138</v>
      </c>
      <c r="AO3174" s="156">
        <v>2792.0</v>
      </c>
      <c r="AP3174" s="156">
        <v>-0.03</v>
      </c>
      <c r="AQ3174" s="159" t="s">
        <v>173</v>
      </c>
      <c r="AR3174" s="159" t="s">
        <v>7749</v>
      </c>
      <c r="AS3174" s="156">
        <v>0.79</v>
      </c>
      <c r="AT3174" s="159" t="s">
        <v>172</v>
      </c>
      <c r="AU3174" s="159" t="s">
        <v>218</v>
      </c>
      <c r="AV3174" s="159" t="s">
        <v>137</v>
      </c>
      <c r="AW3174" s="435" t="s">
        <v>18931</v>
      </c>
      <c r="AX3174" s="159" t="s">
        <v>151</v>
      </c>
      <c r="AY3174" s="61" t="str">
        <f>IFERROR(__xludf.DUMMYFUNCTION("vlookup(BB3174,importrange(""https://docs.google.com/spreadsheets/d/1d2vevQ_7D_v35q4wCQ4RpQ_IPoTwEMB9Yp6ymwlPqew/edit?gid=984458430#gid=984458430"", ""'replication success'!A:K""), 11, FAlSE)"),"#N/A")</f>
        <v>#N/A</v>
      </c>
      <c r="AZ3174" s="61" t="str">
        <f>IFERROR(__xludf.DUMMYFUNCTION("vlookup(BB3174,importrange(""https://docs.google.com/spreadsheets/d/1d2vevQ_7D_v35q4wCQ4RpQ_IPoTwEMB9Yp6ymwlPqew/edit?gid=984458430#gid=984458430"", ""'replication success'!A:M""), 12, FAlSE)"),"#N/A")</f>
        <v>#N/A</v>
      </c>
      <c r="BA3174" s="61" t="str">
        <f>IFERROR(__xludf.DUMMYFUNCTION("vlookup(BB3174,importrange(""https://docs.google.com/spreadsheets/d/1d2vevQ_7D_v35q4wCQ4RpQ_IPoTwEMB9Yp6ymwlPqew/edit?gid=984458430#gid=984458430"", ""'replication success'!A:M""), 13, FAlSE)"),"#N/A")</f>
        <v>#N/A</v>
      </c>
      <c r="BB3174" s="61" t="str">
        <f>IFERROR(__xludf.DUMMYFUNCTION("REGEXREPLACE(G3174, ""_[a-z]{1,2}$"", """")"),"RRR_cognitivedissonance")</f>
        <v>RRR_cognitivedissonance</v>
      </c>
    </row>
    <row r="3175" ht="15.75" customHeight="1">
      <c r="A3175" s="44">
        <v>2773.0</v>
      </c>
      <c r="B3175" s="129" t="s">
        <v>523</v>
      </c>
      <c r="C3175" s="62" t="s">
        <v>115</v>
      </c>
      <c r="D3175" s="62" t="s">
        <v>221</v>
      </c>
      <c r="F3175" s="68" t="s">
        <v>18932</v>
      </c>
      <c r="G3175" s="159" t="s">
        <v>18933</v>
      </c>
      <c r="H3175" s="159" t="s">
        <v>222</v>
      </c>
      <c r="I3175" s="152">
        <v>45803.0</v>
      </c>
      <c r="J3175" s="862"/>
      <c r="K3175" s="68"/>
      <c r="L3175" s="159" t="s">
        <v>18934</v>
      </c>
      <c r="M3175" s="159" t="s">
        <v>18935</v>
      </c>
      <c r="N3175" s="159" t="s">
        <v>18936</v>
      </c>
      <c r="O3175" s="156">
        <v>1.0</v>
      </c>
      <c r="P3175" s="382" t="s">
        <v>18937</v>
      </c>
      <c r="Q3175" s="2191" t="str">
        <f> hyperlink(vlookup(lower(N3175),'File Links'!E:F, 2, FALSE), "LINK")</f>
        <v>LINK</v>
      </c>
      <c r="R3175" s="159" t="s">
        <v>18938</v>
      </c>
      <c r="S3175" s="435" t="s">
        <v>18939</v>
      </c>
      <c r="T3175" s="68"/>
      <c r="U3175" s="68"/>
      <c r="V3175" s="382" t="s">
        <v>18940</v>
      </c>
      <c r="W3175" s="1228"/>
      <c r="X3175" s="1552" t="str">
        <f> hyperlink(vlookup(lower(S3175),'File Links'!E:F, 2, FALSE), "LINK")</f>
        <v>LINK</v>
      </c>
      <c r="Y3175" s="68"/>
      <c r="Z3175" s="159" t="s">
        <v>226</v>
      </c>
      <c r="AA3175" s="159" t="s">
        <v>18941</v>
      </c>
      <c r="AB3175" s="159" t="s">
        <v>18942</v>
      </c>
      <c r="AC3175" s="159" t="s">
        <v>18943</v>
      </c>
      <c r="AD3175" s="68" t="s">
        <v>18944</v>
      </c>
      <c r="AE3175" s="159" t="s">
        <v>613</v>
      </c>
      <c r="AF3175" s="156">
        <v>160.0</v>
      </c>
      <c r="AG3175" s="156">
        <v>0.04</v>
      </c>
      <c r="AH3175" s="159" t="s">
        <v>18945</v>
      </c>
      <c r="AI3175" s="159" t="s">
        <v>613</v>
      </c>
      <c r="AJ3175" s="336">
        <v>0.045</v>
      </c>
      <c r="AK3175" s="159" t="s">
        <v>172</v>
      </c>
      <c r="AL3175" s="159" t="s">
        <v>136</v>
      </c>
      <c r="AM3175" s="159" t="s">
        <v>137</v>
      </c>
      <c r="AN3175" s="159" t="s">
        <v>138</v>
      </c>
      <c r="AO3175" s="156">
        <v>252.0</v>
      </c>
      <c r="AP3175" s="156">
        <v>0.0</v>
      </c>
      <c r="AQ3175" s="159" t="s">
        <v>139</v>
      </c>
      <c r="AR3175" s="159" t="s">
        <v>628</v>
      </c>
      <c r="AS3175" s="156">
        <v>0.85</v>
      </c>
      <c r="AT3175" s="159" t="s">
        <v>172</v>
      </c>
      <c r="AU3175" s="159" t="s">
        <v>136</v>
      </c>
      <c r="AV3175" s="159" t="s">
        <v>137</v>
      </c>
      <c r="AW3175" s="435" t="s">
        <v>18946</v>
      </c>
      <c r="AX3175" s="159" t="s">
        <v>143</v>
      </c>
      <c r="AY3175" s="61" t="str">
        <f>IFERROR(__xludf.DUMMYFUNCTION("vlookup(BB3175,importrange(""https://docs.google.com/spreadsheets/d/1d2vevQ_7D_v35q4wCQ4RpQ_IPoTwEMB9Yp6ymwlPqew/edit?gid=984458430#gid=984458430"", ""'replication success'!A:K""), 11, FAlSE)"),"#N/A")</f>
        <v>#N/A</v>
      </c>
      <c r="AZ3175" s="61" t="str">
        <f>IFERROR(__xludf.DUMMYFUNCTION("vlookup(BB3175,importrange(""https://docs.google.com/spreadsheets/d/1d2vevQ_7D_v35q4wCQ4RpQ_IPoTwEMB9Yp6ymwlPqew/edit?gid=984458430#gid=984458430"", ""'replication success'!A:M""), 12, FAlSE)"),"#N/A")</f>
        <v>#N/A</v>
      </c>
      <c r="BA3175" s="61" t="str">
        <f>IFERROR(__xludf.DUMMYFUNCTION("vlookup(BB3175,importrange(""https://docs.google.com/spreadsheets/d/1d2vevQ_7D_v35q4wCQ4RpQ_IPoTwEMB9Yp6ymwlPqew/edit?gid=984458430#gid=984458430"", ""'replication success'!A:M""), 13, FAlSE)"),"#N/A")</f>
        <v>#N/A</v>
      </c>
      <c r="BB3175" s="61" t="str">
        <f>IFERROR(__xludf.DUMMYFUNCTION("REGEXREPLACE(G3175, ""_[a-z]{1,2}$"", """")"),"soscisubmission_reddenhoch2009")</f>
        <v>soscisubmission_reddenhoch2009</v>
      </c>
      <c r="BD3175" s="62" t="s">
        <v>3130</v>
      </c>
    </row>
    <row r="3176" ht="15.75" customHeight="1">
      <c r="A3176" s="44">
        <v>2774.0</v>
      </c>
      <c r="B3176" s="129" t="s">
        <v>523</v>
      </c>
      <c r="C3176" s="62" t="s">
        <v>115</v>
      </c>
      <c r="D3176" s="62" t="s">
        <v>221</v>
      </c>
      <c r="F3176" s="68" t="s">
        <v>18947</v>
      </c>
      <c r="G3176" s="159" t="s">
        <v>18933</v>
      </c>
      <c r="H3176" s="159" t="s">
        <v>222</v>
      </c>
      <c r="I3176" s="152">
        <v>45803.0</v>
      </c>
      <c r="J3176" s="862"/>
      <c r="K3176" s="68"/>
      <c r="L3176" s="68"/>
      <c r="M3176" s="159" t="s">
        <v>18935</v>
      </c>
      <c r="N3176" s="159" t="s">
        <v>18936</v>
      </c>
      <c r="O3176" s="156">
        <v>1.0</v>
      </c>
      <c r="P3176" s="382" t="s">
        <v>18937</v>
      </c>
      <c r="Q3176" s="2191" t="str">
        <f> hyperlink(vlookup(lower(N3176),'File Links'!E:F, 2, FALSE), "LINK")</f>
        <v>LINK</v>
      </c>
      <c r="R3176" s="159" t="s">
        <v>18938</v>
      </c>
      <c r="S3176" s="435" t="s">
        <v>18948</v>
      </c>
      <c r="T3176" s="68"/>
      <c r="U3176" s="68"/>
      <c r="V3176" s="382" t="s">
        <v>18940</v>
      </c>
      <c r="W3176" s="1228"/>
      <c r="X3176" s="1552" t="str">
        <f> hyperlink(vlookup(lower(S3176),'File Links'!E:F, 2, FALSE), "LINK")</f>
        <v>LINK</v>
      </c>
      <c r="Y3176" s="68"/>
      <c r="Z3176" s="159" t="s">
        <v>226</v>
      </c>
      <c r="AA3176" s="159" t="s">
        <v>18941</v>
      </c>
      <c r="AB3176" s="159" t="s">
        <v>18942</v>
      </c>
      <c r="AC3176" s="159" t="s">
        <v>18949</v>
      </c>
      <c r="AD3176" s="159" t="s">
        <v>18950</v>
      </c>
      <c r="AE3176" s="159" t="s">
        <v>132</v>
      </c>
      <c r="AF3176" s="156">
        <v>53.0</v>
      </c>
      <c r="AG3176" s="156">
        <v>0.2583722</v>
      </c>
      <c r="AH3176" s="159" t="s">
        <v>215</v>
      </c>
      <c r="AI3176" s="159" t="s">
        <v>18951</v>
      </c>
      <c r="AJ3176" s="156">
        <v>0.01</v>
      </c>
      <c r="AK3176" s="159" t="s">
        <v>172</v>
      </c>
      <c r="AL3176" s="159" t="s">
        <v>136</v>
      </c>
      <c r="AM3176" s="159" t="s">
        <v>137</v>
      </c>
      <c r="AN3176" s="159" t="s">
        <v>138</v>
      </c>
      <c r="AO3176" s="156">
        <v>75.0</v>
      </c>
      <c r="AP3176" s="156">
        <v>0.1093588</v>
      </c>
      <c r="AQ3176" s="159" t="s">
        <v>215</v>
      </c>
      <c r="AR3176" s="159" t="s">
        <v>628</v>
      </c>
      <c r="AS3176" s="156">
        <v>0.349</v>
      </c>
      <c r="AT3176" s="159" t="s">
        <v>172</v>
      </c>
      <c r="AU3176" s="159" t="s">
        <v>136</v>
      </c>
      <c r="AV3176" s="159" t="s">
        <v>137</v>
      </c>
      <c r="AW3176" s="435" t="s">
        <v>18952</v>
      </c>
      <c r="AX3176" s="159" t="s">
        <v>143</v>
      </c>
      <c r="AY3176" s="61" t="str">
        <f>IFERROR(__xludf.DUMMYFUNCTION("vlookup(BB3176,importrange(""https://docs.google.com/spreadsheets/d/1d2vevQ_7D_v35q4wCQ4RpQ_IPoTwEMB9Yp6ymwlPqew/edit?gid=984458430#gid=984458430"", ""'replication success'!A:K""), 11, FAlSE)"),"#N/A")</f>
        <v>#N/A</v>
      </c>
      <c r="AZ3176" s="61" t="str">
        <f>IFERROR(__xludf.DUMMYFUNCTION("vlookup(BB3176,importrange(""https://docs.google.com/spreadsheets/d/1d2vevQ_7D_v35q4wCQ4RpQ_IPoTwEMB9Yp6ymwlPqew/edit?gid=984458430#gid=984458430"", ""'replication success'!A:M""), 12, FAlSE)"),"#N/A")</f>
        <v>#N/A</v>
      </c>
      <c r="BA3176" s="61" t="str">
        <f>IFERROR(__xludf.DUMMYFUNCTION("vlookup(BB3176,importrange(""https://docs.google.com/spreadsheets/d/1d2vevQ_7D_v35q4wCQ4RpQ_IPoTwEMB9Yp6ymwlPqew/edit?gid=984458430#gid=984458430"", ""'replication success'!A:M""), 13, FAlSE)"),"#N/A")</f>
        <v>#N/A</v>
      </c>
      <c r="BB3176" s="61" t="str">
        <f>IFERROR(__xludf.DUMMYFUNCTION("REGEXREPLACE(G3176, ""_[a-z]{1,2}$"", """")"),"soscisubmission_reddenhoch2009")</f>
        <v>soscisubmission_reddenhoch2009</v>
      </c>
      <c r="BD3176" s="62" t="s">
        <v>3130</v>
      </c>
    </row>
    <row r="3177" ht="15.75" customHeight="1">
      <c r="A3177" s="44">
        <v>2775.0</v>
      </c>
      <c r="B3177" s="129" t="s">
        <v>523</v>
      </c>
      <c r="C3177" s="62" t="s">
        <v>115</v>
      </c>
      <c r="D3177" s="62" t="s">
        <v>221</v>
      </c>
      <c r="F3177" s="68" t="s">
        <v>18953</v>
      </c>
      <c r="G3177" s="159" t="s">
        <v>18933</v>
      </c>
      <c r="H3177" s="159" t="s">
        <v>222</v>
      </c>
      <c r="I3177" s="152">
        <v>45805.0</v>
      </c>
      <c r="J3177" s="862"/>
      <c r="K3177" s="68"/>
      <c r="L3177" s="68"/>
      <c r="M3177" s="159" t="s">
        <v>18935</v>
      </c>
      <c r="N3177" s="159" t="s">
        <v>18936</v>
      </c>
      <c r="O3177" s="156">
        <v>1.0</v>
      </c>
      <c r="P3177" s="382" t="s">
        <v>18937</v>
      </c>
      <c r="Q3177" s="2191" t="str">
        <f> hyperlink(vlookup(lower(N3177),'File Links'!E:F, 2, FALSE), "LINK")</f>
        <v>LINK</v>
      </c>
      <c r="R3177" s="159" t="s">
        <v>18938</v>
      </c>
      <c r="S3177" s="435" t="s">
        <v>18954</v>
      </c>
      <c r="T3177" s="68"/>
      <c r="U3177" s="68"/>
      <c r="V3177" s="382" t="s">
        <v>18940</v>
      </c>
      <c r="W3177" s="1228"/>
      <c r="X3177" s="1552" t="str">
        <f> hyperlink(vlookup(lower(S3177),'File Links'!E:F, 2, FALSE), "LINK")</f>
        <v>LINK</v>
      </c>
      <c r="Y3177" s="68"/>
      <c r="Z3177" s="159" t="s">
        <v>226</v>
      </c>
      <c r="AA3177" s="159" t="s">
        <v>18941</v>
      </c>
      <c r="AB3177" s="159" t="s">
        <v>18942</v>
      </c>
      <c r="AC3177" s="159" t="s">
        <v>18955</v>
      </c>
      <c r="AD3177" s="159" t="s">
        <v>18956</v>
      </c>
      <c r="AE3177" s="159" t="s">
        <v>132</v>
      </c>
      <c r="AF3177" s="156">
        <v>53.0</v>
      </c>
      <c r="AG3177" s="156">
        <v>0.05871032</v>
      </c>
      <c r="AH3177" s="159" t="s">
        <v>215</v>
      </c>
      <c r="AI3177" s="159" t="s">
        <v>18951</v>
      </c>
      <c r="AJ3177" s="336">
        <v>0.67</v>
      </c>
      <c r="AK3177" s="159" t="s">
        <v>172</v>
      </c>
      <c r="AL3177" s="159" t="s">
        <v>136</v>
      </c>
      <c r="AM3177" s="159" t="s">
        <v>137</v>
      </c>
      <c r="AN3177" s="159" t="s">
        <v>138</v>
      </c>
      <c r="AO3177" s="156">
        <v>94.0</v>
      </c>
      <c r="AP3177" s="156">
        <v>0.1575221</v>
      </c>
      <c r="AQ3177" s="159" t="s">
        <v>215</v>
      </c>
      <c r="AR3177" s="159" t="s">
        <v>627</v>
      </c>
      <c r="AS3177" s="336">
        <v>0.13</v>
      </c>
      <c r="AT3177" s="159" t="s">
        <v>172</v>
      </c>
      <c r="AU3177" s="159" t="s">
        <v>136</v>
      </c>
      <c r="AV3177" s="159" t="s">
        <v>137</v>
      </c>
      <c r="AW3177" s="435" t="s">
        <v>18952</v>
      </c>
      <c r="AX3177" s="159" t="s">
        <v>143</v>
      </c>
      <c r="AY3177" s="61" t="str">
        <f>IFERROR(__xludf.DUMMYFUNCTION("vlookup(BB3177,importrange(""https://docs.google.com/spreadsheets/d/1d2vevQ_7D_v35q4wCQ4RpQ_IPoTwEMB9Yp6ymwlPqew/edit?gid=984458430#gid=984458430"", ""'replication success'!A:K""), 11, FAlSE)"),"#N/A")</f>
        <v>#N/A</v>
      </c>
      <c r="AZ3177" s="61" t="str">
        <f>IFERROR(__xludf.DUMMYFUNCTION("vlookup(BB3177,importrange(""https://docs.google.com/spreadsheets/d/1d2vevQ_7D_v35q4wCQ4RpQ_IPoTwEMB9Yp6ymwlPqew/edit?gid=984458430#gid=984458430"", ""'replication success'!A:M""), 12, FAlSE)"),"#N/A")</f>
        <v>#N/A</v>
      </c>
      <c r="BA3177" s="61" t="str">
        <f>IFERROR(__xludf.DUMMYFUNCTION("vlookup(BB3177,importrange(""https://docs.google.com/spreadsheets/d/1d2vevQ_7D_v35q4wCQ4RpQ_IPoTwEMB9Yp6ymwlPqew/edit?gid=984458430#gid=984458430"", ""'replication success'!A:M""), 13, FAlSE)"),"#N/A")</f>
        <v>#N/A</v>
      </c>
      <c r="BB3177" s="61" t="str">
        <f>IFERROR(__xludf.DUMMYFUNCTION("REGEXREPLACE(G3177, ""_[a-z]{1,2}$"", """")"),"soscisubmission_reddenhoch2009")</f>
        <v>soscisubmission_reddenhoch2009</v>
      </c>
      <c r="BD3177" s="62" t="s">
        <v>3130</v>
      </c>
    </row>
    <row r="3178" ht="15.75" customHeight="1">
      <c r="A3178" s="44">
        <v>2776.0</v>
      </c>
      <c r="B3178" s="129" t="s">
        <v>523</v>
      </c>
      <c r="C3178" s="62" t="s">
        <v>115</v>
      </c>
      <c r="D3178" s="62" t="s">
        <v>221</v>
      </c>
      <c r="F3178" s="68" t="s">
        <v>18957</v>
      </c>
      <c r="G3178" s="159" t="s">
        <v>18933</v>
      </c>
      <c r="H3178" s="159" t="s">
        <v>222</v>
      </c>
      <c r="I3178" s="152">
        <v>45805.0</v>
      </c>
      <c r="J3178" s="862"/>
      <c r="K3178" s="68"/>
      <c r="L3178" s="159" t="s">
        <v>18958</v>
      </c>
      <c r="M3178" s="159" t="s">
        <v>18935</v>
      </c>
      <c r="N3178" s="159" t="s">
        <v>18936</v>
      </c>
      <c r="O3178" s="156">
        <v>1.0</v>
      </c>
      <c r="P3178" s="382" t="s">
        <v>18937</v>
      </c>
      <c r="Q3178" s="2191" t="str">
        <f> hyperlink(vlookup(lower(N3178),'File Links'!E:F, 2, FALSE), "LINK")</f>
        <v>LINK</v>
      </c>
      <c r="R3178" s="159" t="s">
        <v>18938</v>
      </c>
      <c r="S3178" s="435" t="s">
        <v>18959</v>
      </c>
      <c r="T3178" s="68"/>
      <c r="U3178" s="68"/>
      <c r="V3178" s="382" t="s">
        <v>18940</v>
      </c>
      <c r="W3178" s="1228"/>
      <c r="X3178" s="1552" t="str">
        <f> hyperlink(vlookup(lower(S3178),'File Links'!E:F, 2, FALSE), "LINK")</f>
        <v>LINK</v>
      </c>
      <c r="Y3178" s="68"/>
      <c r="Z3178" s="159" t="s">
        <v>226</v>
      </c>
      <c r="AA3178" s="159" t="s">
        <v>18941</v>
      </c>
      <c r="AB3178" s="159" t="s">
        <v>18942</v>
      </c>
      <c r="AC3178" s="159" t="s">
        <v>18960</v>
      </c>
      <c r="AD3178" s="159" t="s">
        <v>18961</v>
      </c>
      <c r="AE3178" s="159" t="s">
        <v>140</v>
      </c>
      <c r="AF3178" s="156">
        <v>54.0</v>
      </c>
      <c r="AG3178" s="156">
        <v>0.2191905</v>
      </c>
      <c r="AH3178" s="159" t="s">
        <v>215</v>
      </c>
      <c r="AI3178" s="159" t="s">
        <v>18951</v>
      </c>
      <c r="AJ3178" s="156">
        <v>0.051</v>
      </c>
      <c r="AK3178" s="159" t="s">
        <v>172</v>
      </c>
      <c r="AL3178" s="159" t="s">
        <v>136</v>
      </c>
      <c r="AM3178" s="159" t="s">
        <v>137</v>
      </c>
      <c r="AN3178" s="159" t="s">
        <v>138</v>
      </c>
      <c r="AO3178" s="156">
        <v>83.0</v>
      </c>
      <c r="AP3178" s="156">
        <v>-0.04661593</v>
      </c>
      <c r="AQ3178" s="159" t="s">
        <v>215</v>
      </c>
      <c r="AR3178" s="159" t="s">
        <v>627</v>
      </c>
      <c r="AS3178" s="336">
        <v>0.684</v>
      </c>
      <c r="AT3178" s="159" t="s">
        <v>172</v>
      </c>
      <c r="AU3178" s="159" t="s">
        <v>136</v>
      </c>
      <c r="AV3178" s="159" t="s">
        <v>1905</v>
      </c>
      <c r="AW3178" s="435" t="s">
        <v>18962</v>
      </c>
      <c r="AX3178" s="159" t="s">
        <v>143</v>
      </c>
      <c r="AY3178" s="61" t="str">
        <f>IFERROR(__xludf.DUMMYFUNCTION("vlookup(BB3178,importrange(""https://docs.google.com/spreadsheets/d/1d2vevQ_7D_v35q4wCQ4RpQ_IPoTwEMB9Yp6ymwlPqew/edit?gid=984458430#gid=984458430"", ""'replication success'!A:K""), 11, FAlSE)"),"#N/A")</f>
        <v>#N/A</v>
      </c>
      <c r="AZ3178" s="61" t="str">
        <f>IFERROR(__xludf.DUMMYFUNCTION("vlookup(BB3178,importrange(""https://docs.google.com/spreadsheets/d/1d2vevQ_7D_v35q4wCQ4RpQ_IPoTwEMB9Yp6ymwlPqew/edit?gid=984458430#gid=984458430"", ""'replication success'!A:M""), 12, FAlSE)"),"#N/A")</f>
        <v>#N/A</v>
      </c>
      <c r="BA3178" s="61" t="str">
        <f>IFERROR(__xludf.DUMMYFUNCTION("vlookup(BB3178,importrange(""https://docs.google.com/spreadsheets/d/1d2vevQ_7D_v35q4wCQ4RpQ_IPoTwEMB9Yp6ymwlPqew/edit?gid=984458430#gid=984458430"", ""'replication success'!A:M""), 13, FAlSE)"),"#N/A")</f>
        <v>#N/A</v>
      </c>
      <c r="BB3178" s="61" t="str">
        <f>IFERROR(__xludf.DUMMYFUNCTION("REGEXREPLACE(G3178, ""_[a-z]{1,2}$"", """")"),"soscisubmission_reddenhoch2009")</f>
        <v>soscisubmission_reddenhoch2009</v>
      </c>
      <c r="BD3178" s="62" t="s">
        <v>3130</v>
      </c>
    </row>
    <row r="3179" ht="15.75" customHeight="1">
      <c r="A3179" s="44">
        <v>2790.0</v>
      </c>
      <c r="B3179" s="129" t="s">
        <v>523</v>
      </c>
      <c r="C3179" s="62" t="s">
        <v>115</v>
      </c>
      <c r="D3179" s="62" t="s">
        <v>2630</v>
      </c>
      <c r="F3179" s="68" t="s">
        <v>18932</v>
      </c>
      <c r="G3179" s="159" t="s">
        <v>18933</v>
      </c>
      <c r="H3179" s="159" t="s">
        <v>18963</v>
      </c>
      <c r="I3179" s="1287" t="s">
        <v>18964</v>
      </c>
      <c r="J3179" s="152">
        <v>45806.0</v>
      </c>
      <c r="K3179" s="68"/>
      <c r="L3179" s="68"/>
      <c r="M3179" s="159" t="s">
        <v>18935</v>
      </c>
      <c r="N3179" s="159" t="s">
        <v>18936</v>
      </c>
      <c r="O3179" s="156">
        <v>1.0</v>
      </c>
      <c r="P3179" s="382" t="s">
        <v>18937</v>
      </c>
      <c r="Q3179" s="2191" t="str">
        <f> hyperlink(vlookup(lower(N3179),'File Links'!E:F, 2, FALSE), "LINK")</f>
        <v>LINK</v>
      </c>
      <c r="R3179" s="159" t="s">
        <v>18938</v>
      </c>
      <c r="S3179" s="435" t="s">
        <v>18965</v>
      </c>
      <c r="T3179" s="68"/>
      <c r="U3179" s="68"/>
      <c r="V3179" s="382" t="s">
        <v>18940</v>
      </c>
      <c r="W3179" s="1228"/>
      <c r="X3179" s="1552" t="str">
        <f> hyperlink(vlookup(lower(S3179),'File Links'!E:F, 2, FALSE), "LINK")</f>
        <v>LINK</v>
      </c>
      <c r="Y3179" s="159" t="s">
        <v>138</v>
      </c>
      <c r="Z3179" s="159" t="s">
        <v>226</v>
      </c>
      <c r="AA3179" s="159" t="s">
        <v>18966</v>
      </c>
      <c r="AB3179" s="159" t="s">
        <v>18967</v>
      </c>
      <c r="AC3179" s="159" t="s">
        <v>18968</v>
      </c>
      <c r="AD3179" s="159" t="s">
        <v>18969</v>
      </c>
      <c r="AE3179" s="159" t="s">
        <v>18970</v>
      </c>
      <c r="AF3179" s="156">
        <v>62.0</v>
      </c>
      <c r="AG3179" s="159" t="s">
        <v>138</v>
      </c>
      <c r="AH3179" s="159" t="s">
        <v>138</v>
      </c>
      <c r="AI3179" s="159" t="s">
        <v>138</v>
      </c>
      <c r="AJ3179" s="156">
        <v>0.012</v>
      </c>
      <c r="AK3179" s="159" t="s">
        <v>172</v>
      </c>
      <c r="AL3179" s="159" t="s">
        <v>136</v>
      </c>
      <c r="AM3179" s="159" t="s">
        <v>137</v>
      </c>
      <c r="AN3179" s="159" t="s">
        <v>138</v>
      </c>
      <c r="AO3179" s="156">
        <v>162.0</v>
      </c>
      <c r="AP3179" s="156">
        <v>0.013</v>
      </c>
      <c r="AQ3179" s="159" t="s">
        <v>139</v>
      </c>
      <c r="AR3179" s="159" t="s">
        <v>182</v>
      </c>
      <c r="AS3179" s="156">
        <v>0.144</v>
      </c>
      <c r="AT3179" s="159" t="s">
        <v>172</v>
      </c>
      <c r="AU3179" s="159" t="s">
        <v>136</v>
      </c>
      <c r="AV3179" s="159" t="s">
        <v>137</v>
      </c>
      <c r="AW3179" s="435" t="s">
        <v>18962</v>
      </c>
      <c r="AX3179" s="159" t="s">
        <v>143</v>
      </c>
      <c r="AY3179" s="61" t="str">
        <f>IFERROR(__xludf.DUMMYFUNCTION("vlookup(BB3179,importrange(""https://docs.google.com/spreadsheets/d/1d2vevQ_7D_v35q4wCQ4RpQ_IPoTwEMB9Yp6ymwlPqew/edit?gid=984458430#gid=984458430"", ""'replication success'!A:K""), 11, FAlSE)"),"#N/A")</f>
        <v>#N/A</v>
      </c>
      <c r="AZ3179" s="61" t="str">
        <f>IFERROR(__xludf.DUMMYFUNCTION("vlookup(BB3179,importrange(""https://docs.google.com/spreadsheets/d/1d2vevQ_7D_v35q4wCQ4RpQ_IPoTwEMB9Yp6ymwlPqew/edit?gid=984458430#gid=984458430"", ""'replication success'!A:M""), 12, FAlSE)"),"#N/A")</f>
        <v>#N/A</v>
      </c>
      <c r="BA3179" s="61" t="str">
        <f>IFERROR(__xludf.DUMMYFUNCTION("vlookup(BB3179,importrange(""https://docs.google.com/spreadsheets/d/1d2vevQ_7D_v35q4wCQ4RpQ_IPoTwEMB9Yp6ymwlPqew/edit?gid=984458430#gid=984458430"", ""'replication success'!A:M""), 13, FAlSE)"),"#N/A")</f>
        <v>#N/A</v>
      </c>
      <c r="BB3179" s="61" t="str">
        <f>IFERROR(__xludf.DUMMYFUNCTION("REGEXREPLACE(G3179, ""_[a-z]{1,2}$"", """")"),"soscisubmission_reddenhoch2009")</f>
        <v>soscisubmission_reddenhoch2009</v>
      </c>
      <c r="BD3179" s="62" t="s">
        <v>3130</v>
      </c>
    </row>
    <row r="3180" ht="15.75" customHeight="1">
      <c r="A3180" s="44">
        <v>2791.0</v>
      </c>
      <c r="B3180" s="129" t="s">
        <v>523</v>
      </c>
      <c r="C3180" s="62" t="s">
        <v>115</v>
      </c>
      <c r="D3180" s="62" t="s">
        <v>2630</v>
      </c>
      <c r="F3180" s="68" t="s">
        <v>18947</v>
      </c>
      <c r="G3180" s="159" t="s">
        <v>18933</v>
      </c>
      <c r="H3180" s="159" t="s">
        <v>18963</v>
      </c>
      <c r="I3180" s="1287" t="s">
        <v>18964</v>
      </c>
      <c r="J3180" s="152">
        <v>45806.0</v>
      </c>
      <c r="K3180" s="68"/>
      <c r="L3180" s="68"/>
      <c r="M3180" s="159" t="s">
        <v>18935</v>
      </c>
      <c r="N3180" s="159" t="s">
        <v>18936</v>
      </c>
      <c r="O3180" s="156">
        <v>1.0</v>
      </c>
      <c r="P3180" s="382" t="s">
        <v>18937</v>
      </c>
      <c r="Q3180" s="2191" t="str">
        <f> hyperlink(vlookup(lower(N3180),'File Links'!E:F, 2, FALSE), "LINK")</f>
        <v>LINK</v>
      </c>
      <c r="R3180" s="159" t="s">
        <v>18938</v>
      </c>
      <c r="S3180" s="435" t="s">
        <v>18971</v>
      </c>
      <c r="T3180" s="68"/>
      <c r="U3180" s="68"/>
      <c r="V3180" s="382" t="s">
        <v>18940</v>
      </c>
      <c r="W3180" s="1228"/>
      <c r="X3180" s="1552" t="str">
        <f> hyperlink(vlookup(lower(S3180),'File Links'!E:F, 2, FALSE), "LINK")</f>
        <v>LINK</v>
      </c>
      <c r="Y3180" s="159" t="s">
        <v>138</v>
      </c>
      <c r="Z3180" s="159" t="s">
        <v>226</v>
      </c>
      <c r="AA3180" s="159" t="s">
        <v>18972</v>
      </c>
      <c r="AB3180" s="159" t="s">
        <v>18973</v>
      </c>
      <c r="AC3180" s="159" t="s">
        <v>18974</v>
      </c>
      <c r="AD3180" s="159" t="s">
        <v>18975</v>
      </c>
      <c r="AE3180" s="159" t="s">
        <v>18970</v>
      </c>
      <c r="AF3180" s="156">
        <v>62.0</v>
      </c>
      <c r="AG3180" s="159" t="s">
        <v>138</v>
      </c>
      <c r="AH3180" s="159" t="s">
        <v>138</v>
      </c>
      <c r="AI3180" s="159" t="s">
        <v>138</v>
      </c>
      <c r="AJ3180" s="156">
        <v>0.26</v>
      </c>
      <c r="AK3180" s="159" t="s">
        <v>172</v>
      </c>
      <c r="AL3180" s="159" t="s">
        <v>136</v>
      </c>
      <c r="AM3180" s="159" t="s">
        <v>137</v>
      </c>
      <c r="AN3180" s="159" t="s">
        <v>138</v>
      </c>
      <c r="AO3180" s="156">
        <v>162.0</v>
      </c>
      <c r="AP3180" s="1120">
        <v>0.0</v>
      </c>
      <c r="AQ3180" s="159" t="s">
        <v>139</v>
      </c>
      <c r="AR3180" s="68" t="s">
        <v>182</v>
      </c>
      <c r="AS3180" s="156">
        <v>0.896</v>
      </c>
      <c r="AT3180" s="159" t="s">
        <v>172</v>
      </c>
      <c r="AU3180" s="159" t="s">
        <v>136</v>
      </c>
      <c r="AV3180" s="159" t="s">
        <v>137</v>
      </c>
      <c r="AW3180" s="435" t="s">
        <v>18962</v>
      </c>
      <c r="AX3180" s="159" t="s">
        <v>143</v>
      </c>
      <c r="AY3180" s="61" t="str">
        <f>IFERROR(__xludf.DUMMYFUNCTION("vlookup(BB3180,importrange(""https://docs.google.com/spreadsheets/d/1d2vevQ_7D_v35q4wCQ4RpQ_IPoTwEMB9Yp6ymwlPqew/edit?gid=984458430#gid=984458430"", ""'replication success'!A:K""), 11, FAlSE)"),"#N/A")</f>
        <v>#N/A</v>
      </c>
      <c r="AZ3180" s="61" t="str">
        <f>IFERROR(__xludf.DUMMYFUNCTION("vlookup(BB3180,importrange(""https://docs.google.com/spreadsheets/d/1d2vevQ_7D_v35q4wCQ4RpQ_IPoTwEMB9Yp6ymwlPqew/edit?gid=984458430#gid=984458430"", ""'replication success'!A:M""), 12, FAlSE)"),"#N/A")</f>
        <v>#N/A</v>
      </c>
      <c r="BA3180" s="61" t="str">
        <f>IFERROR(__xludf.DUMMYFUNCTION("vlookup(BB3180,importrange(""https://docs.google.com/spreadsheets/d/1d2vevQ_7D_v35q4wCQ4RpQ_IPoTwEMB9Yp6ymwlPqew/edit?gid=984458430#gid=984458430"", ""'replication success'!A:M""), 13, FAlSE)"),"#N/A")</f>
        <v>#N/A</v>
      </c>
      <c r="BB3180" s="61" t="str">
        <f>IFERROR(__xludf.DUMMYFUNCTION("REGEXREPLACE(G3180, ""_[a-z]{1,2}$"", """")"),"soscisubmission_reddenhoch2009")</f>
        <v>soscisubmission_reddenhoch2009</v>
      </c>
      <c r="BD3180" s="62" t="s">
        <v>3130</v>
      </c>
    </row>
    <row r="3181" ht="15.75" customHeight="1">
      <c r="A3181" s="44">
        <v>2792.0</v>
      </c>
      <c r="B3181" s="129" t="s">
        <v>523</v>
      </c>
      <c r="C3181" s="62" t="s">
        <v>115</v>
      </c>
      <c r="D3181" s="62" t="s">
        <v>2630</v>
      </c>
      <c r="F3181" s="68" t="s">
        <v>18953</v>
      </c>
      <c r="G3181" s="159" t="s">
        <v>18933</v>
      </c>
      <c r="H3181" s="159" t="s">
        <v>18963</v>
      </c>
      <c r="I3181" s="1287" t="s">
        <v>18964</v>
      </c>
      <c r="J3181" s="152">
        <v>45806.0</v>
      </c>
      <c r="K3181" s="68"/>
      <c r="L3181" s="68"/>
      <c r="M3181" s="159" t="s">
        <v>18935</v>
      </c>
      <c r="N3181" s="159" t="s">
        <v>18936</v>
      </c>
      <c r="O3181" s="156">
        <v>1.0</v>
      </c>
      <c r="P3181" s="382" t="s">
        <v>18937</v>
      </c>
      <c r="Q3181" s="2191" t="str">
        <f> hyperlink(vlookup(lower(N3181),'File Links'!E:F, 2, FALSE), "LINK")</f>
        <v>LINK</v>
      </c>
      <c r="R3181" s="159" t="s">
        <v>18938</v>
      </c>
      <c r="S3181" s="435" t="s">
        <v>18976</v>
      </c>
      <c r="T3181" s="68"/>
      <c r="U3181" s="68"/>
      <c r="V3181" s="382" t="s">
        <v>18940</v>
      </c>
      <c r="W3181" s="1228"/>
      <c r="X3181" s="1552" t="str">
        <f> hyperlink(vlookup(lower(S3181),'File Links'!E:F, 2, FALSE), "LINK")</f>
        <v>LINK</v>
      </c>
      <c r="Y3181" s="159" t="s">
        <v>138</v>
      </c>
      <c r="Z3181" s="159" t="s">
        <v>226</v>
      </c>
      <c r="AA3181" s="159" t="s">
        <v>18977</v>
      </c>
      <c r="AB3181" s="159" t="s">
        <v>18978</v>
      </c>
      <c r="AC3181" s="159" t="s">
        <v>18979</v>
      </c>
      <c r="AD3181" s="159" t="s">
        <v>18980</v>
      </c>
      <c r="AE3181" s="159" t="s">
        <v>18970</v>
      </c>
      <c r="AF3181" s="156">
        <v>62.0</v>
      </c>
      <c r="AG3181" s="159" t="s">
        <v>138</v>
      </c>
      <c r="AH3181" s="159" t="s">
        <v>138</v>
      </c>
      <c r="AI3181" s="159" t="s">
        <v>138</v>
      </c>
      <c r="AJ3181" s="156">
        <v>0.033</v>
      </c>
      <c r="AK3181" s="159" t="s">
        <v>172</v>
      </c>
      <c r="AL3181" s="159" t="s">
        <v>136</v>
      </c>
      <c r="AM3181" s="159" t="s">
        <v>137</v>
      </c>
      <c r="AN3181" s="159" t="s">
        <v>138</v>
      </c>
      <c r="AO3181" s="156">
        <v>162.0</v>
      </c>
      <c r="AP3181" s="156">
        <v>0.002</v>
      </c>
      <c r="AQ3181" s="159" t="s">
        <v>139</v>
      </c>
      <c r="AR3181" s="68" t="s">
        <v>182</v>
      </c>
      <c r="AS3181" s="156">
        <v>0.55</v>
      </c>
      <c r="AT3181" s="159" t="s">
        <v>172</v>
      </c>
      <c r="AU3181" s="159" t="s">
        <v>136</v>
      </c>
      <c r="AV3181" s="159" t="s">
        <v>137</v>
      </c>
      <c r="AW3181" s="435" t="s">
        <v>18962</v>
      </c>
      <c r="AX3181" s="159" t="s">
        <v>143</v>
      </c>
      <c r="AY3181" s="61" t="str">
        <f>IFERROR(__xludf.DUMMYFUNCTION("vlookup(BB3181,importrange(""https://docs.google.com/spreadsheets/d/1d2vevQ_7D_v35q4wCQ4RpQ_IPoTwEMB9Yp6ymwlPqew/edit?gid=984458430#gid=984458430"", ""'replication success'!A:K""), 11, FAlSE)"),"#N/A")</f>
        <v>#N/A</v>
      </c>
      <c r="AZ3181" s="61" t="str">
        <f>IFERROR(__xludf.DUMMYFUNCTION("vlookup(BB3181,importrange(""https://docs.google.com/spreadsheets/d/1d2vevQ_7D_v35q4wCQ4RpQ_IPoTwEMB9Yp6ymwlPqew/edit?gid=984458430#gid=984458430"", ""'replication success'!A:M""), 12, FAlSE)"),"#N/A")</f>
        <v>#N/A</v>
      </c>
      <c r="BA3181" s="61" t="str">
        <f>IFERROR(__xludf.DUMMYFUNCTION("vlookup(BB3181,importrange(""https://docs.google.com/spreadsheets/d/1d2vevQ_7D_v35q4wCQ4RpQ_IPoTwEMB9Yp6ymwlPqew/edit?gid=984458430#gid=984458430"", ""'replication success'!A:M""), 13, FAlSE)"),"#N/A")</f>
        <v>#N/A</v>
      </c>
      <c r="BB3181" s="61" t="str">
        <f>IFERROR(__xludf.DUMMYFUNCTION("REGEXREPLACE(G3181, ""_[a-z]{1,2}$"", """")"),"soscisubmission_reddenhoch2009")</f>
        <v>soscisubmission_reddenhoch2009</v>
      </c>
      <c r="BD3181" s="62" t="s">
        <v>3130</v>
      </c>
    </row>
    <row r="3182" ht="15.75" customHeight="1">
      <c r="A3182" s="44">
        <v>2793.0</v>
      </c>
      <c r="B3182" s="129" t="s">
        <v>523</v>
      </c>
      <c r="C3182" s="62" t="s">
        <v>115</v>
      </c>
      <c r="D3182" s="62" t="s">
        <v>2630</v>
      </c>
      <c r="F3182" s="68" t="s">
        <v>18957</v>
      </c>
      <c r="G3182" s="159" t="s">
        <v>18933</v>
      </c>
      <c r="H3182" s="159" t="s">
        <v>18963</v>
      </c>
      <c r="I3182" s="1287" t="s">
        <v>18964</v>
      </c>
      <c r="J3182" s="152">
        <v>45806.0</v>
      </c>
      <c r="K3182" s="68"/>
      <c r="L3182" s="68"/>
      <c r="M3182" s="159" t="s">
        <v>18935</v>
      </c>
      <c r="N3182" s="159" t="s">
        <v>18936</v>
      </c>
      <c r="O3182" s="156">
        <v>1.0</v>
      </c>
      <c r="P3182" s="382" t="s">
        <v>18937</v>
      </c>
      <c r="Q3182" s="2191" t="str">
        <f> hyperlink(vlookup(lower(N3182),'File Links'!E:F, 2, FALSE), "LINK")</f>
        <v>LINK</v>
      </c>
      <c r="R3182" s="159" t="s">
        <v>18938</v>
      </c>
      <c r="S3182" s="435" t="s">
        <v>18981</v>
      </c>
      <c r="T3182" s="68"/>
      <c r="U3182" s="68"/>
      <c r="V3182" s="382" t="s">
        <v>18940</v>
      </c>
      <c r="W3182" s="1228"/>
      <c r="X3182" s="1552" t="str">
        <f> hyperlink(vlookup(lower(S3182),'File Links'!E:F, 2, FALSE), "LINK")</f>
        <v>LINK</v>
      </c>
      <c r="Y3182" s="159" t="s">
        <v>138</v>
      </c>
      <c r="Z3182" s="159" t="s">
        <v>226</v>
      </c>
      <c r="AA3182" s="159" t="s">
        <v>18982</v>
      </c>
      <c r="AB3182" s="159" t="s">
        <v>18983</v>
      </c>
      <c r="AC3182" s="159" t="s">
        <v>18984</v>
      </c>
      <c r="AD3182" s="159" t="s">
        <v>18985</v>
      </c>
      <c r="AE3182" s="159" t="s">
        <v>18970</v>
      </c>
      <c r="AF3182" s="156">
        <v>62.0</v>
      </c>
      <c r="AG3182" s="159" t="s">
        <v>138</v>
      </c>
      <c r="AH3182" s="159" t="s">
        <v>138</v>
      </c>
      <c r="AI3182" s="159" t="s">
        <v>138</v>
      </c>
      <c r="AJ3182" s="156">
        <v>0.002</v>
      </c>
      <c r="AK3182" s="159" t="s">
        <v>172</v>
      </c>
      <c r="AL3182" s="159" t="s">
        <v>136</v>
      </c>
      <c r="AM3182" s="159" t="s">
        <v>137</v>
      </c>
      <c r="AN3182" s="159" t="s">
        <v>138</v>
      </c>
      <c r="AO3182" s="156">
        <v>162.0</v>
      </c>
      <c r="AP3182" s="156">
        <v>0.032</v>
      </c>
      <c r="AQ3182" s="159" t="s">
        <v>139</v>
      </c>
      <c r="AR3182" s="68" t="s">
        <v>305</v>
      </c>
      <c r="AS3182" s="156">
        <v>0.024</v>
      </c>
      <c r="AT3182" s="159" t="s">
        <v>172</v>
      </c>
      <c r="AU3182" s="159" t="s">
        <v>136</v>
      </c>
      <c r="AV3182" s="159" t="s">
        <v>137</v>
      </c>
      <c r="AW3182" s="435" t="s">
        <v>18962</v>
      </c>
      <c r="AX3182" s="159" t="s">
        <v>143</v>
      </c>
      <c r="AY3182" s="61" t="str">
        <f>IFERROR(__xludf.DUMMYFUNCTION("vlookup(BB3182,importrange(""https://docs.google.com/spreadsheets/d/1d2vevQ_7D_v35q4wCQ4RpQ_IPoTwEMB9Yp6ymwlPqew/edit?gid=984458430#gid=984458430"", ""'replication success'!A:K""), 11, FAlSE)"),"#N/A")</f>
        <v>#N/A</v>
      </c>
      <c r="AZ3182" s="61" t="str">
        <f>IFERROR(__xludf.DUMMYFUNCTION("vlookup(BB3182,importrange(""https://docs.google.com/spreadsheets/d/1d2vevQ_7D_v35q4wCQ4RpQ_IPoTwEMB9Yp6ymwlPqew/edit?gid=984458430#gid=984458430"", ""'replication success'!A:M""), 12, FAlSE)"),"#N/A")</f>
        <v>#N/A</v>
      </c>
      <c r="BA3182" s="61" t="str">
        <f>IFERROR(__xludf.DUMMYFUNCTION("vlookup(BB3182,importrange(""https://docs.google.com/spreadsheets/d/1d2vevQ_7D_v35q4wCQ4RpQ_IPoTwEMB9Yp6ymwlPqew/edit?gid=984458430#gid=984458430"", ""'replication success'!A:M""), 13, FAlSE)"),"#N/A")</f>
        <v>#N/A</v>
      </c>
      <c r="BB3182" s="61" t="str">
        <f>IFERROR(__xludf.DUMMYFUNCTION("REGEXREPLACE(G3182, ""_[a-z]{1,2}$"", """")"),"soscisubmission_reddenhoch2009")</f>
        <v>soscisubmission_reddenhoch2009</v>
      </c>
      <c r="BD3182" s="62" t="s">
        <v>3130</v>
      </c>
    </row>
    <row r="3183" ht="15.75" customHeight="1">
      <c r="A3183" s="44">
        <v>2777.0</v>
      </c>
      <c r="B3183" s="129" t="s">
        <v>523</v>
      </c>
      <c r="C3183" s="62" t="s">
        <v>115</v>
      </c>
      <c r="D3183" s="62" t="s">
        <v>221</v>
      </c>
      <c r="F3183" s="68" t="s">
        <v>18986</v>
      </c>
      <c r="G3183" s="159" t="s">
        <v>18987</v>
      </c>
      <c r="H3183" s="159" t="s">
        <v>222</v>
      </c>
      <c r="I3183" s="152">
        <v>45806.0</v>
      </c>
      <c r="J3183" s="862"/>
      <c r="K3183" s="68"/>
      <c r="L3183" s="68"/>
      <c r="M3183" s="159" t="s">
        <v>18988</v>
      </c>
      <c r="N3183" s="159" t="s">
        <v>18989</v>
      </c>
      <c r="O3183" s="156">
        <v>4.0</v>
      </c>
      <c r="P3183" s="382" t="s">
        <v>18990</v>
      </c>
      <c r="Q3183" s="2191" t="str">
        <f> hyperlink(vlookup(lower(N3183),'File Links'!E:F, 2, FALSE), "LINK")</f>
        <v>LINK</v>
      </c>
      <c r="R3183" s="159" t="s">
        <v>18991</v>
      </c>
      <c r="S3183" s="435" t="s">
        <v>18992</v>
      </c>
      <c r="T3183" s="435" t="s">
        <v>18993</v>
      </c>
      <c r="U3183" s="156">
        <v>4.0</v>
      </c>
      <c r="V3183" s="382" t="s">
        <v>18994</v>
      </c>
      <c r="W3183" s="1228"/>
      <c r="X3183" s="2429" t="str">
        <f> hyperlink(vlookup(lower(S3183),'File Links'!E:F, 2, FALSE), "LINK")</f>
        <v>LINK</v>
      </c>
      <c r="Y3183" s="68"/>
      <c r="Z3183" s="159" t="s">
        <v>2079</v>
      </c>
      <c r="AA3183" s="68" t="s">
        <v>18995</v>
      </c>
      <c r="AB3183" s="159" t="s">
        <v>18996</v>
      </c>
      <c r="AC3183" s="159" t="s">
        <v>18997</v>
      </c>
      <c r="AD3183" s="68" t="s">
        <v>18998</v>
      </c>
      <c r="AE3183" s="68" t="s">
        <v>813</v>
      </c>
      <c r="AF3183" s="156">
        <v>25.0</v>
      </c>
      <c r="AG3183" s="156">
        <v>0.18</v>
      </c>
      <c r="AH3183" s="159" t="s">
        <v>139</v>
      </c>
      <c r="AI3183" s="68" t="s">
        <v>813</v>
      </c>
      <c r="AJ3183" s="336">
        <v>0.034</v>
      </c>
      <c r="AK3183" s="68" t="s">
        <v>172</v>
      </c>
      <c r="AL3183" s="68" t="s">
        <v>136</v>
      </c>
      <c r="AM3183" s="68" t="s">
        <v>137</v>
      </c>
      <c r="AN3183" s="159" t="s">
        <v>138</v>
      </c>
      <c r="AO3183" s="156">
        <v>48.0</v>
      </c>
      <c r="AP3183" s="156">
        <v>0.01</v>
      </c>
      <c r="AQ3183" s="159" t="s">
        <v>18999</v>
      </c>
      <c r="AR3183" s="159" t="s">
        <v>140</v>
      </c>
      <c r="AS3183" s="336">
        <v>0.427</v>
      </c>
      <c r="AT3183" s="68" t="s">
        <v>172</v>
      </c>
      <c r="AU3183" s="68" t="s">
        <v>136</v>
      </c>
      <c r="AV3183" s="68" t="s">
        <v>137</v>
      </c>
      <c r="AW3183" s="435" t="s">
        <v>18993</v>
      </c>
      <c r="AX3183" s="68" t="s">
        <v>143</v>
      </c>
      <c r="AY3183" s="61" t="str">
        <f>IFERROR(__xludf.DUMMYFUNCTION("vlookup(BB3183,importrange(""https://docs.google.com/spreadsheets/d/1d2vevQ_7D_v35q4wCQ4RpQ_IPoTwEMB9Yp6ymwlPqew/edit?gid=984458430#gid=984458430"", ""'replication success'!A:K""), 11, FAlSE)"),"#N/A")</f>
        <v>#N/A</v>
      </c>
      <c r="AZ3183" s="61" t="str">
        <f>IFERROR(__xludf.DUMMYFUNCTION("vlookup(BB3183,importrange(""https://docs.google.com/spreadsheets/d/1d2vevQ_7D_v35q4wCQ4RpQ_IPoTwEMB9Yp6ymwlPqew/edit?gid=984458430#gid=984458430"", ""'replication success'!A:M""), 12, FAlSE)"),"#N/A")</f>
        <v>#N/A</v>
      </c>
      <c r="BA3183" s="61" t="str">
        <f>IFERROR(__xludf.DUMMYFUNCTION("vlookup(BB3183,importrange(""https://docs.google.com/spreadsheets/d/1d2vevQ_7D_v35q4wCQ4RpQ_IPoTwEMB9Yp6ymwlPqew/edit?gid=984458430#gid=984458430"", ""'replication success'!A:M""), 13, FAlSE)"),"#N/A")</f>
        <v>#N/A</v>
      </c>
      <c r="BB3183" s="61" t="str">
        <f>IFERROR(__xludf.DUMMYFUNCTION("REGEXREPLACE(G3183, ""_[a-z]{1,2}$"", """")"),"soscisubmission44")</f>
        <v>soscisubmission44</v>
      </c>
      <c r="BD3183" s="62" t="s">
        <v>3130</v>
      </c>
    </row>
    <row r="3184" ht="15.75" customHeight="1">
      <c r="A3184" s="44">
        <v>2794.0</v>
      </c>
      <c r="B3184" s="129" t="s">
        <v>523</v>
      </c>
      <c r="C3184" s="62" t="s">
        <v>115</v>
      </c>
      <c r="D3184" s="62" t="s">
        <v>2630</v>
      </c>
      <c r="F3184" s="68" t="s">
        <v>18986</v>
      </c>
      <c r="G3184" s="159" t="s">
        <v>18987</v>
      </c>
      <c r="H3184" s="159" t="s">
        <v>19000</v>
      </c>
      <c r="I3184" s="1287" t="s">
        <v>19001</v>
      </c>
      <c r="J3184" s="152">
        <v>45806.0</v>
      </c>
      <c r="K3184" s="68"/>
      <c r="L3184" s="68"/>
      <c r="M3184" s="159" t="s">
        <v>18988</v>
      </c>
      <c r="N3184" s="159" t="s">
        <v>18989</v>
      </c>
      <c r="O3184" s="156">
        <v>4.0</v>
      </c>
      <c r="P3184" s="382" t="s">
        <v>18990</v>
      </c>
      <c r="Q3184" s="2191" t="str">
        <f> hyperlink(vlookup(lower(N3184),'File Links'!E:F, 2, FALSE), "LINK")</f>
        <v>LINK</v>
      </c>
      <c r="R3184" s="159" t="s">
        <v>18991</v>
      </c>
      <c r="S3184" s="435" t="s">
        <v>18992</v>
      </c>
      <c r="T3184" s="435" t="s">
        <v>18993</v>
      </c>
      <c r="U3184" s="156">
        <v>4.0</v>
      </c>
      <c r="V3184" s="382" t="s">
        <v>18994</v>
      </c>
      <c r="W3184" s="1228"/>
      <c r="X3184" s="2429" t="str">
        <f> hyperlink(vlookup(lower(S3184),'File Links'!E:F, 2, FALSE), "LINK")</f>
        <v>LINK</v>
      </c>
      <c r="Y3184" s="159" t="s">
        <v>138</v>
      </c>
      <c r="Z3184" s="159" t="s">
        <v>226</v>
      </c>
      <c r="AA3184" s="68" t="s">
        <v>19002</v>
      </c>
      <c r="AB3184" s="159" t="s">
        <v>19003</v>
      </c>
      <c r="AC3184" s="159" t="s">
        <v>19004</v>
      </c>
      <c r="AD3184" s="68" t="s">
        <v>19005</v>
      </c>
      <c r="AE3184" s="68" t="s">
        <v>19006</v>
      </c>
      <c r="AF3184" s="156">
        <v>25.0</v>
      </c>
      <c r="AG3184" s="156">
        <v>0.25</v>
      </c>
      <c r="AH3184" s="159" t="s">
        <v>139</v>
      </c>
      <c r="AI3184" s="68" t="s">
        <v>19006</v>
      </c>
      <c r="AJ3184" s="336">
        <v>0.01</v>
      </c>
      <c r="AK3184" s="68" t="s">
        <v>172</v>
      </c>
      <c r="AL3184" s="68" t="s">
        <v>186</v>
      </c>
      <c r="AM3184" s="68" t="s">
        <v>137</v>
      </c>
      <c r="AN3184" s="159" t="s">
        <v>138</v>
      </c>
      <c r="AO3184" s="156">
        <v>48.0</v>
      </c>
      <c r="AP3184" s="156">
        <v>0.01</v>
      </c>
      <c r="AQ3184" s="159" t="s">
        <v>139</v>
      </c>
      <c r="AR3184" s="159" t="s">
        <v>812</v>
      </c>
      <c r="AS3184" s="336">
        <v>0.427</v>
      </c>
      <c r="AT3184" s="68" t="s">
        <v>172</v>
      </c>
      <c r="AU3184" s="68" t="s">
        <v>136</v>
      </c>
      <c r="AV3184" s="68" t="s">
        <v>141</v>
      </c>
      <c r="AW3184" s="435" t="s">
        <v>19007</v>
      </c>
      <c r="AX3184" s="68" t="s">
        <v>143</v>
      </c>
      <c r="AY3184" s="61" t="str">
        <f>IFERROR(__xludf.DUMMYFUNCTION("vlookup(BB3184,importrange(""https://docs.google.com/spreadsheets/d/1d2vevQ_7D_v35q4wCQ4RpQ_IPoTwEMB9Yp6ymwlPqew/edit?gid=984458430#gid=984458430"", ""'replication success'!A:K""), 11, FAlSE)"),"#N/A")</f>
        <v>#N/A</v>
      </c>
      <c r="AZ3184" s="61" t="str">
        <f>IFERROR(__xludf.DUMMYFUNCTION("vlookup(BB3184,importrange(""https://docs.google.com/spreadsheets/d/1d2vevQ_7D_v35q4wCQ4RpQ_IPoTwEMB9Yp6ymwlPqew/edit?gid=984458430#gid=984458430"", ""'replication success'!A:M""), 12, FAlSE)"),"#N/A")</f>
        <v>#N/A</v>
      </c>
      <c r="BA3184" s="61" t="str">
        <f>IFERROR(__xludf.DUMMYFUNCTION("vlookup(BB3184,importrange(""https://docs.google.com/spreadsheets/d/1d2vevQ_7D_v35q4wCQ4RpQ_IPoTwEMB9Yp6ymwlPqew/edit?gid=984458430#gid=984458430"", ""'replication success'!A:M""), 13, FAlSE)"),"#N/A")</f>
        <v>#N/A</v>
      </c>
      <c r="BB3184" s="61" t="str">
        <f>IFERROR(__xludf.DUMMYFUNCTION("REGEXREPLACE(G3184, ""_[a-z]{1,2}$"", """")"),"soscisubmission44")</f>
        <v>soscisubmission44</v>
      </c>
      <c r="BD3184" s="62" t="s">
        <v>3130</v>
      </c>
    </row>
    <row r="3185" ht="15.75" customHeight="1">
      <c r="A3185" s="44">
        <v>2815.0</v>
      </c>
      <c r="B3185" s="129" t="s">
        <v>523</v>
      </c>
      <c r="C3185" s="62" t="s">
        <v>115</v>
      </c>
      <c r="D3185" s="62" t="s">
        <v>176</v>
      </c>
      <c r="F3185" s="159" t="s">
        <v>19008</v>
      </c>
      <c r="G3185" s="159" t="s">
        <v>19009</v>
      </c>
      <c r="H3185" s="159" t="s">
        <v>7252</v>
      </c>
      <c r="I3185" s="434">
        <v>45808.0</v>
      </c>
      <c r="J3185" s="862"/>
      <c r="K3185" s="159" t="s">
        <v>19010</v>
      </c>
      <c r="L3185" s="68"/>
      <c r="M3185" s="159" t="s">
        <v>19011</v>
      </c>
      <c r="N3185" s="159" t="s">
        <v>19012</v>
      </c>
      <c r="O3185" s="156">
        <v>2.0</v>
      </c>
      <c r="P3185" s="382" t="s">
        <v>19013</v>
      </c>
      <c r="Q3185" s="2191" t="str">
        <f> hyperlink(vlookup(lower(N3185),'File Links'!E:F, 2, FALSE), "LINK")</f>
        <v>LINK</v>
      </c>
      <c r="R3185" s="159" t="s">
        <v>19014</v>
      </c>
      <c r="S3185" s="159" t="s">
        <v>19015</v>
      </c>
      <c r="T3185" s="68"/>
      <c r="U3185" s="156">
        <v>2.0</v>
      </c>
      <c r="V3185" s="382" t="s">
        <v>19016</v>
      </c>
      <c r="W3185" s="1231" t="s">
        <v>7284</v>
      </c>
      <c r="X3185" s="1552" t="str">
        <f> hyperlink(vlookup(lower(S3185),'File Links'!E:F, 2, FALSE), "LINK")</f>
        <v>LINK</v>
      </c>
      <c r="Y3185" s="68"/>
      <c r="Z3185" s="159" t="s">
        <v>226</v>
      </c>
      <c r="AA3185" s="159" t="s">
        <v>19017</v>
      </c>
      <c r="AB3185" s="159" t="s">
        <v>19018</v>
      </c>
      <c r="AC3185" s="159" t="s">
        <v>19019</v>
      </c>
      <c r="AD3185" s="159" t="s">
        <v>19020</v>
      </c>
      <c r="AE3185" s="159" t="s">
        <v>4979</v>
      </c>
      <c r="AF3185" s="156">
        <v>444.0</v>
      </c>
      <c r="AG3185" s="156">
        <v>-0.18</v>
      </c>
      <c r="AH3185" s="159" t="s">
        <v>361</v>
      </c>
      <c r="AI3185" s="159" t="s">
        <v>1042</v>
      </c>
      <c r="AJ3185" s="156">
        <v>0.001</v>
      </c>
      <c r="AK3185" s="159" t="s">
        <v>135</v>
      </c>
      <c r="AL3185" s="159" t="s">
        <v>186</v>
      </c>
      <c r="AM3185" s="159" t="s">
        <v>141</v>
      </c>
      <c r="AN3185" s="68"/>
      <c r="AO3185" s="156">
        <v>98.0</v>
      </c>
      <c r="AP3185" s="2143">
        <v>0.492</v>
      </c>
      <c r="AQ3185" s="159" t="s">
        <v>173</v>
      </c>
      <c r="AR3185" s="159" t="s">
        <v>19021</v>
      </c>
      <c r="AS3185" s="156">
        <v>0.017</v>
      </c>
      <c r="AT3185" s="159" t="s">
        <v>172</v>
      </c>
      <c r="AU3185" s="159" t="s">
        <v>186</v>
      </c>
      <c r="AV3185" s="159" t="s">
        <v>141</v>
      </c>
      <c r="AW3185" s="68"/>
      <c r="AX3185" s="159" t="s">
        <v>143</v>
      </c>
      <c r="AY3185" s="61" t="str">
        <f>IFERROR(__xludf.DUMMYFUNCTION("vlookup(BB3185,importrange(""https://docs.google.com/spreadsheets/d/1d2vevQ_7D_v35q4wCQ4RpQ_IPoTwEMB9Yp6ymwlPqew/edit?gid=984458430#gid=984458430"", ""'replication success'!A:K""), 11, FAlSE)"),"#N/A")</f>
        <v>#N/A</v>
      </c>
      <c r="AZ3185" s="61" t="str">
        <f>IFERROR(__xludf.DUMMYFUNCTION("vlookup(BB3185,importrange(""https://docs.google.com/spreadsheets/d/1d2vevQ_7D_v35q4wCQ4RpQ_IPoTwEMB9Yp6ymwlPqew/edit?gid=984458430#gid=984458430"", ""'replication success'!A:M""), 12, FAlSE)"),"#N/A")</f>
        <v>#N/A</v>
      </c>
      <c r="BA3185" s="61" t="str">
        <f>IFERROR(__xludf.DUMMYFUNCTION("vlookup(BB3185,importrange(""https://docs.google.com/spreadsheets/d/1d2vevQ_7D_v35q4wCQ4RpQ_IPoTwEMB9Yp6ymwlPqew/edit?gid=984458430#gid=984458430"", ""'replication success'!A:M""), 13, FAlSE)"),"#N/A")</f>
        <v>#N/A</v>
      </c>
      <c r="BB3185" s="61" t="str">
        <f>IFERROR(__xludf.DUMMYFUNCTION("REGEXREPLACE(G3185, ""_[a-z]{1,2}$"", """")"),"soscisubmission58")</f>
        <v>soscisubmission58</v>
      </c>
      <c r="BD3185" s="62" t="s">
        <v>3130</v>
      </c>
    </row>
    <row r="3186" ht="15.75" customHeight="1">
      <c r="A3186" s="44">
        <v>2737.0</v>
      </c>
      <c r="B3186" s="129" t="s">
        <v>523</v>
      </c>
      <c r="C3186" s="62" t="s">
        <v>115</v>
      </c>
      <c r="D3186" s="62" t="s">
        <v>153</v>
      </c>
      <c r="F3186" s="159" t="s">
        <v>19008</v>
      </c>
      <c r="G3186" s="159" t="s">
        <v>19022</v>
      </c>
      <c r="H3186" s="159" t="s">
        <v>19023</v>
      </c>
      <c r="I3186" s="434">
        <v>45799.0</v>
      </c>
      <c r="J3186" s="862"/>
      <c r="K3186" s="832" t="s">
        <v>19024</v>
      </c>
      <c r="L3186" s="68"/>
      <c r="M3186" s="159" t="s">
        <v>19011</v>
      </c>
      <c r="N3186" s="159" t="s">
        <v>19012</v>
      </c>
      <c r="O3186" s="156">
        <v>2.0</v>
      </c>
      <c r="P3186" s="382" t="s">
        <v>19013</v>
      </c>
      <c r="Q3186" s="2430" t="str">
        <f> hyperlink(vlookup(lower(N3186),'File Links'!E:F, 2, FALSE), "LINK")</f>
        <v>LINK</v>
      </c>
      <c r="R3186" s="159" t="s">
        <v>19014</v>
      </c>
      <c r="S3186" s="159" t="s">
        <v>19015</v>
      </c>
      <c r="T3186" s="68"/>
      <c r="U3186" s="68"/>
      <c r="V3186" s="382" t="s">
        <v>19016</v>
      </c>
      <c r="W3186" s="1231" t="s">
        <v>7284</v>
      </c>
      <c r="X3186" s="2429" t="str">
        <f> hyperlink(vlookup(lower(S3186),'File Links'!E:F, 2, FALSE), "LINK")</f>
        <v>LINK</v>
      </c>
      <c r="Y3186" s="68"/>
      <c r="Z3186" s="159" t="s">
        <v>226</v>
      </c>
      <c r="AA3186" s="159" t="s">
        <v>19025</v>
      </c>
      <c r="AB3186" s="437" t="s">
        <v>19026</v>
      </c>
      <c r="AC3186" s="159" t="s">
        <v>19027</v>
      </c>
      <c r="AD3186" s="68" t="s">
        <v>19028</v>
      </c>
      <c r="AE3186" s="68" t="s">
        <v>19029</v>
      </c>
      <c r="AF3186" s="336">
        <v>217.0</v>
      </c>
      <c r="AG3186" s="156" t="s">
        <v>19030</v>
      </c>
      <c r="AH3186" s="159" t="s">
        <v>134</v>
      </c>
      <c r="AI3186" s="336">
        <v>16.0</v>
      </c>
      <c r="AJ3186" s="336">
        <v>0.001</v>
      </c>
      <c r="AK3186" s="68" t="s">
        <v>135</v>
      </c>
      <c r="AL3186" s="68" t="s">
        <v>186</v>
      </c>
      <c r="AM3186" s="68" t="s">
        <v>141</v>
      </c>
      <c r="AN3186" s="68" t="s">
        <v>18804</v>
      </c>
      <c r="AO3186" s="336">
        <v>100.0</v>
      </c>
      <c r="AP3186" s="1479">
        <v>0.668</v>
      </c>
      <c r="AQ3186" s="159" t="s">
        <v>874</v>
      </c>
      <c r="AR3186" s="68" t="s">
        <v>632</v>
      </c>
      <c r="AS3186" s="68"/>
      <c r="AT3186" s="68"/>
      <c r="AU3186" s="68" t="s">
        <v>186</v>
      </c>
      <c r="AV3186" s="68" t="s">
        <v>141</v>
      </c>
      <c r="AW3186" s="68" t="s">
        <v>18804</v>
      </c>
      <c r="AX3186" s="68" t="s">
        <v>143</v>
      </c>
      <c r="AY3186" s="61" t="str">
        <f>IFERROR(__xludf.DUMMYFUNCTION("vlookup(BB3186,importrange(""https://docs.google.com/spreadsheets/d/1d2vevQ_7D_v35q4wCQ4RpQ_IPoTwEMB9Yp6ymwlPqew/edit?gid=984458430#gid=984458430"", ""'replication success'!A:K""), 11, FAlSE)"),"#N/A")</f>
        <v>#N/A</v>
      </c>
      <c r="AZ3186" s="61" t="str">
        <f>IFERROR(__xludf.DUMMYFUNCTION("vlookup(BB3186,importrange(""https://docs.google.com/spreadsheets/d/1d2vevQ_7D_v35q4wCQ4RpQ_IPoTwEMB9Yp6ymwlPqew/edit?gid=984458430#gid=984458430"", ""'replication success'!A:M""), 12, FAlSE)"),"#N/A")</f>
        <v>#N/A</v>
      </c>
      <c r="BA3186" s="61" t="str">
        <f>IFERROR(__xludf.DUMMYFUNCTION("vlookup(BB3186,importrange(""https://docs.google.com/spreadsheets/d/1d2vevQ_7D_v35q4wCQ4RpQ_IPoTwEMB9Yp6ymwlPqew/edit?gid=984458430#gid=984458430"", ""'replication success'!A:M""), 13, FAlSE)"),"#N/A")</f>
        <v>#N/A</v>
      </c>
      <c r="BB3186" s="61" t="str">
        <f>IFERROR(__xludf.DUMMYFUNCTION("REGEXREPLACE(G3186, ""_[a-z]{1,2}$"", """")"),"soscisubmission58")</f>
        <v>soscisubmission58</v>
      </c>
      <c r="BD3186" s="62" t="s">
        <v>3130</v>
      </c>
    </row>
    <row r="3187" ht="15.75" customHeight="1">
      <c r="A3187" s="44">
        <v>2738.0</v>
      </c>
      <c r="B3187" s="129" t="s">
        <v>523</v>
      </c>
      <c r="C3187" s="62" t="s">
        <v>115</v>
      </c>
      <c r="D3187" s="62" t="s">
        <v>153</v>
      </c>
      <c r="F3187" s="159" t="s">
        <v>19008</v>
      </c>
      <c r="G3187" s="159" t="s">
        <v>19031</v>
      </c>
      <c r="H3187" s="159" t="s">
        <v>19023</v>
      </c>
      <c r="I3187" s="434">
        <v>45799.0</v>
      </c>
      <c r="J3187" s="862"/>
      <c r="K3187" s="832" t="s">
        <v>19032</v>
      </c>
      <c r="L3187" s="68"/>
      <c r="M3187" s="159" t="s">
        <v>19011</v>
      </c>
      <c r="N3187" s="159" t="s">
        <v>19012</v>
      </c>
      <c r="O3187" s="156">
        <v>3.0</v>
      </c>
      <c r="P3187" s="382" t="s">
        <v>19013</v>
      </c>
      <c r="Q3187" s="2430" t="str">
        <f> hyperlink(vlookup(lower(N3187),'File Links'!E:F, 2, FALSE), "LINK")</f>
        <v>LINK</v>
      </c>
      <c r="R3187" s="159" t="s">
        <v>19014</v>
      </c>
      <c r="S3187" s="159" t="s">
        <v>19015</v>
      </c>
      <c r="T3187" s="68"/>
      <c r="U3187" s="68"/>
      <c r="V3187" s="382" t="s">
        <v>19016</v>
      </c>
      <c r="W3187" s="1231" t="s">
        <v>7284</v>
      </c>
      <c r="X3187" s="2429" t="str">
        <f> hyperlink(vlookup(lower(S3187),'File Links'!E:F, 2, FALSE), "LINK")</f>
        <v>LINK</v>
      </c>
      <c r="Y3187" s="68"/>
      <c r="Z3187" s="159" t="s">
        <v>226</v>
      </c>
      <c r="AA3187" s="159" t="s">
        <v>19025</v>
      </c>
      <c r="AB3187" s="437" t="s">
        <v>19026</v>
      </c>
      <c r="AC3187" s="68" t="s">
        <v>19033</v>
      </c>
      <c r="AD3187" s="68" t="s">
        <v>19034</v>
      </c>
      <c r="AE3187" s="68" t="s">
        <v>628</v>
      </c>
      <c r="AF3187" s="336">
        <v>243.0</v>
      </c>
      <c r="AG3187" s="336">
        <v>0.29</v>
      </c>
      <c r="AH3187" s="159" t="s">
        <v>361</v>
      </c>
      <c r="AI3187" s="336">
        <v>9.0</v>
      </c>
      <c r="AJ3187" s="68"/>
      <c r="AK3187" s="68"/>
      <c r="AL3187" s="68" t="s">
        <v>186</v>
      </c>
      <c r="AM3187" s="68" t="s">
        <v>141</v>
      </c>
      <c r="AN3187" s="68" t="s">
        <v>18804</v>
      </c>
      <c r="AO3187" s="336">
        <v>101.0</v>
      </c>
      <c r="AP3187" s="336">
        <v>0.113</v>
      </c>
      <c r="AQ3187" s="159" t="s">
        <v>874</v>
      </c>
      <c r="AR3187" s="68" t="s">
        <v>627</v>
      </c>
      <c r="AS3187" s="68"/>
      <c r="AT3187" s="68"/>
      <c r="AU3187" s="68" t="s">
        <v>186</v>
      </c>
      <c r="AV3187" s="68" t="s">
        <v>141</v>
      </c>
      <c r="AW3187" s="68" t="s">
        <v>18804</v>
      </c>
      <c r="AX3187" s="68" t="s">
        <v>143</v>
      </c>
      <c r="AY3187" s="61" t="str">
        <f>IFERROR(__xludf.DUMMYFUNCTION("vlookup(BB3187,importrange(""https://docs.google.com/spreadsheets/d/1d2vevQ_7D_v35q4wCQ4RpQ_IPoTwEMB9Yp6ymwlPqew/edit?gid=984458430#gid=984458430"", ""'replication success'!A:K""), 11, FAlSE)"),"#N/A")</f>
        <v>#N/A</v>
      </c>
      <c r="AZ3187" s="61" t="str">
        <f>IFERROR(__xludf.DUMMYFUNCTION("vlookup(BB3187,importrange(""https://docs.google.com/spreadsheets/d/1d2vevQ_7D_v35q4wCQ4RpQ_IPoTwEMB9Yp6ymwlPqew/edit?gid=984458430#gid=984458430"", ""'replication success'!A:M""), 12, FAlSE)"),"#N/A")</f>
        <v>#N/A</v>
      </c>
      <c r="BA3187" s="61" t="str">
        <f>IFERROR(__xludf.DUMMYFUNCTION("vlookup(BB3187,importrange(""https://docs.google.com/spreadsheets/d/1d2vevQ_7D_v35q4wCQ4RpQ_IPoTwEMB9Yp6ymwlPqew/edit?gid=984458430#gid=984458430"", ""'replication success'!A:M""), 13, FAlSE)"),"#N/A")</f>
        <v>#N/A</v>
      </c>
      <c r="BB3187" s="61" t="str">
        <f>IFERROR(__xludf.DUMMYFUNCTION("REGEXREPLACE(G3187, ""_[a-z]{1,2}$"", """")"),"soscisubmission58")</f>
        <v>soscisubmission58</v>
      </c>
      <c r="BD3187" s="62" t="s">
        <v>3130</v>
      </c>
    </row>
    <row r="3188" ht="15.75" customHeight="1">
      <c r="A3188" s="44">
        <v>2739.0</v>
      </c>
      <c r="B3188" s="129" t="s">
        <v>523</v>
      </c>
      <c r="C3188" s="62" t="s">
        <v>115</v>
      </c>
      <c r="D3188" s="62" t="s">
        <v>153</v>
      </c>
      <c r="F3188" s="159" t="s">
        <v>19008</v>
      </c>
      <c r="G3188" s="159" t="s">
        <v>19035</v>
      </c>
      <c r="H3188" s="159" t="s">
        <v>19023</v>
      </c>
      <c r="I3188" s="434">
        <v>45799.0</v>
      </c>
      <c r="J3188" s="862"/>
      <c r="K3188" s="832" t="s">
        <v>19032</v>
      </c>
      <c r="L3188" s="68"/>
      <c r="M3188" s="159" t="s">
        <v>19011</v>
      </c>
      <c r="N3188" s="159" t="s">
        <v>19012</v>
      </c>
      <c r="O3188" s="156">
        <v>3.0</v>
      </c>
      <c r="P3188" s="382" t="s">
        <v>19013</v>
      </c>
      <c r="Q3188" s="2430" t="str">
        <f> hyperlink(vlookup(lower(N3188),'File Links'!E:F, 2, FALSE), "LINK")</f>
        <v>LINK</v>
      </c>
      <c r="R3188" s="159" t="s">
        <v>19014</v>
      </c>
      <c r="S3188" s="159" t="s">
        <v>19015</v>
      </c>
      <c r="T3188" s="68"/>
      <c r="U3188" s="68"/>
      <c r="V3188" s="382" t="s">
        <v>19016</v>
      </c>
      <c r="W3188" s="1231" t="s">
        <v>7284</v>
      </c>
      <c r="X3188" s="2429" t="str">
        <f> hyperlink(vlookup(lower(S3188),'File Links'!E:F, 2, FALSE), "LINK")</f>
        <v>LINK</v>
      </c>
      <c r="Y3188" s="68"/>
      <c r="Z3188" s="159" t="s">
        <v>226</v>
      </c>
      <c r="AA3188" s="159" t="s">
        <v>19025</v>
      </c>
      <c r="AB3188" s="437" t="s">
        <v>19026</v>
      </c>
      <c r="AC3188" s="68" t="s">
        <v>19036</v>
      </c>
      <c r="AD3188" s="68" t="s">
        <v>19037</v>
      </c>
      <c r="AE3188" s="68" t="s">
        <v>632</v>
      </c>
      <c r="AF3188" s="336">
        <v>243.0</v>
      </c>
      <c r="AG3188" s="336">
        <v>0.77</v>
      </c>
      <c r="AH3188" s="159" t="s">
        <v>361</v>
      </c>
      <c r="AI3188" s="336">
        <v>10.0</v>
      </c>
      <c r="AJ3188" s="68"/>
      <c r="AK3188" s="68"/>
      <c r="AL3188" s="68" t="s">
        <v>186</v>
      </c>
      <c r="AM3188" s="68" t="s">
        <v>141</v>
      </c>
      <c r="AN3188" s="68" t="s">
        <v>18804</v>
      </c>
      <c r="AO3188" s="336">
        <v>101.0</v>
      </c>
      <c r="AP3188" s="336">
        <v>0.358</v>
      </c>
      <c r="AQ3188" s="159" t="s">
        <v>874</v>
      </c>
      <c r="AR3188" s="68" t="s">
        <v>627</v>
      </c>
      <c r="AS3188" s="68"/>
      <c r="AT3188" s="68"/>
      <c r="AU3188" s="68" t="s">
        <v>186</v>
      </c>
      <c r="AV3188" s="68" t="s">
        <v>141</v>
      </c>
      <c r="AW3188" s="68" t="s">
        <v>18804</v>
      </c>
      <c r="AX3188" s="68" t="s">
        <v>143</v>
      </c>
      <c r="AY3188" s="61" t="str">
        <f>IFERROR(__xludf.DUMMYFUNCTION("vlookup(BB3188,importrange(""https://docs.google.com/spreadsheets/d/1d2vevQ_7D_v35q4wCQ4RpQ_IPoTwEMB9Yp6ymwlPqew/edit?gid=984458430#gid=984458430"", ""'replication success'!A:K""), 11, FAlSE)"),"#N/A")</f>
        <v>#N/A</v>
      </c>
      <c r="AZ3188" s="61" t="str">
        <f>IFERROR(__xludf.DUMMYFUNCTION("vlookup(BB3188,importrange(""https://docs.google.com/spreadsheets/d/1d2vevQ_7D_v35q4wCQ4RpQ_IPoTwEMB9Yp6ymwlPqew/edit?gid=984458430#gid=984458430"", ""'replication success'!A:M""), 12, FAlSE)"),"#N/A")</f>
        <v>#N/A</v>
      </c>
      <c r="BA3188" s="61" t="str">
        <f>IFERROR(__xludf.DUMMYFUNCTION("vlookup(BB3188,importrange(""https://docs.google.com/spreadsheets/d/1d2vevQ_7D_v35q4wCQ4RpQ_IPoTwEMB9Yp6ymwlPqew/edit?gid=984458430#gid=984458430"", ""'replication success'!A:M""), 13, FAlSE)"),"#N/A")</f>
        <v>#N/A</v>
      </c>
      <c r="BB3188" s="61" t="str">
        <f>IFERROR(__xludf.DUMMYFUNCTION("REGEXREPLACE(G3188, ""_[a-z]{1,2}$"", """")"),"soscisubmission58")</f>
        <v>soscisubmission58</v>
      </c>
      <c r="BD3188" s="62" t="s">
        <v>3130</v>
      </c>
    </row>
    <row r="3189" ht="15.75" customHeight="1">
      <c r="A3189" s="44">
        <v>2740.0</v>
      </c>
      <c r="B3189" s="129" t="s">
        <v>523</v>
      </c>
      <c r="C3189" s="62" t="s">
        <v>115</v>
      </c>
      <c r="D3189" s="62" t="s">
        <v>153</v>
      </c>
      <c r="F3189" s="159" t="s">
        <v>19008</v>
      </c>
      <c r="G3189" s="159" t="s">
        <v>19038</v>
      </c>
      <c r="H3189" s="159" t="s">
        <v>19023</v>
      </c>
      <c r="I3189" s="434">
        <v>45799.0</v>
      </c>
      <c r="J3189" s="862"/>
      <c r="K3189" s="2511" t="s">
        <v>19039</v>
      </c>
      <c r="L3189" s="68"/>
      <c r="M3189" s="159" t="s">
        <v>19011</v>
      </c>
      <c r="N3189" s="159" t="s">
        <v>19012</v>
      </c>
      <c r="O3189" s="156">
        <v>3.0</v>
      </c>
      <c r="P3189" s="382" t="s">
        <v>19013</v>
      </c>
      <c r="Q3189" s="2430" t="str">
        <f> hyperlink(vlookup(lower(N3189),'File Links'!E:F, 2, FALSE), "LINK")</f>
        <v>LINK</v>
      </c>
      <c r="R3189" s="159" t="s">
        <v>19014</v>
      </c>
      <c r="S3189" s="159" t="s">
        <v>19015</v>
      </c>
      <c r="T3189" s="68"/>
      <c r="U3189" s="68"/>
      <c r="V3189" s="382" t="s">
        <v>19016</v>
      </c>
      <c r="W3189" s="1231" t="s">
        <v>7284</v>
      </c>
      <c r="X3189" s="2429" t="str">
        <f> hyperlink(vlookup(lower(S3189),'File Links'!E:F, 2, FALSE), "LINK")</f>
        <v>LINK</v>
      </c>
      <c r="Y3189" s="68"/>
      <c r="Z3189" s="159" t="s">
        <v>226</v>
      </c>
      <c r="AA3189" s="159" t="s">
        <v>19025</v>
      </c>
      <c r="AB3189" s="437" t="s">
        <v>19026</v>
      </c>
      <c r="AC3189" s="68" t="s">
        <v>19040</v>
      </c>
      <c r="AD3189" s="68" t="s">
        <v>19041</v>
      </c>
      <c r="AE3189" s="68" t="s">
        <v>132</v>
      </c>
      <c r="AF3189" s="336">
        <v>217.0</v>
      </c>
      <c r="AG3189" s="336">
        <v>-0.18</v>
      </c>
      <c r="AH3189" s="159" t="s">
        <v>19042</v>
      </c>
      <c r="AI3189" s="336">
        <v>7.0</v>
      </c>
      <c r="AJ3189" s="336">
        <v>0.172</v>
      </c>
      <c r="AK3189" s="68" t="s">
        <v>172</v>
      </c>
      <c r="AL3189" s="68" t="s">
        <v>186</v>
      </c>
      <c r="AM3189" s="68" t="s">
        <v>141</v>
      </c>
      <c r="AN3189" s="68" t="s">
        <v>18804</v>
      </c>
      <c r="AO3189" s="336">
        <v>100.0</v>
      </c>
      <c r="AP3189" s="336">
        <v>0.057</v>
      </c>
      <c r="AQ3189" s="159" t="s">
        <v>874</v>
      </c>
      <c r="AR3189" s="68" t="s">
        <v>632</v>
      </c>
      <c r="AS3189" s="336">
        <v>0.05</v>
      </c>
      <c r="AT3189" s="68" t="s">
        <v>135</v>
      </c>
      <c r="AU3189" s="68" t="s">
        <v>186</v>
      </c>
      <c r="AV3189" s="68" t="s">
        <v>141</v>
      </c>
      <c r="AW3189" s="68" t="s">
        <v>18804</v>
      </c>
      <c r="AX3189" s="68" t="s">
        <v>143</v>
      </c>
      <c r="AY3189" s="61" t="str">
        <f>IFERROR(__xludf.DUMMYFUNCTION("vlookup(BB3189,importrange(""https://docs.google.com/spreadsheets/d/1d2vevQ_7D_v35q4wCQ4RpQ_IPoTwEMB9Yp6ymwlPqew/edit?gid=984458430#gid=984458430"", ""'replication success'!A:K""), 11, FAlSE)"),"#N/A")</f>
        <v>#N/A</v>
      </c>
      <c r="AZ3189" s="61" t="str">
        <f>IFERROR(__xludf.DUMMYFUNCTION("vlookup(BB3189,importrange(""https://docs.google.com/spreadsheets/d/1d2vevQ_7D_v35q4wCQ4RpQ_IPoTwEMB9Yp6ymwlPqew/edit?gid=984458430#gid=984458430"", ""'replication success'!A:M""), 12, FAlSE)"),"#N/A")</f>
        <v>#N/A</v>
      </c>
      <c r="BA3189" s="61" t="str">
        <f>IFERROR(__xludf.DUMMYFUNCTION("vlookup(BB3189,importrange(""https://docs.google.com/spreadsheets/d/1d2vevQ_7D_v35q4wCQ4RpQ_IPoTwEMB9Yp6ymwlPqew/edit?gid=984458430#gid=984458430"", ""'replication success'!A:M""), 13, FAlSE)"),"#N/A")</f>
        <v>#N/A</v>
      </c>
      <c r="BB3189" s="61" t="str">
        <f>IFERROR(__xludf.DUMMYFUNCTION("REGEXREPLACE(G3189, ""_[a-z]{1,2}$"", """")"),"soscisubmission58_c_culturecombined")</f>
        <v>soscisubmission58_c_culturecombined</v>
      </c>
      <c r="BD3189" s="62" t="s">
        <v>3130</v>
      </c>
    </row>
    <row r="3190" ht="15.75" customHeight="1">
      <c r="A3190" s="44">
        <v>2741.0</v>
      </c>
      <c r="B3190" s="129" t="s">
        <v>523</v>
      </c>
      <c r="C3190" s="62" t="s">
        <v>115</v>
      </c>
      <c r="D3190" s="62" t="s">
        <v>153</v>
      </c>
      <c r="F3190" s="159" t="s">
        <v>19008</v>
      </c>
      <c r="G3190" s="159" t="s">
        <v>19043</v>
      </c>
      <c r="H3190" s="159" t="s">
        <v>19023</v>
      </c>
      <c r="I3190" s="434">
        <v>45799.0</v>
      </c>
      <c r="J3190" s="862"/>
      <c r="K3190" s="2511" t="s">
        <v>19039</v>
      </c>
      <c r="L3190" s="68"/>
      <c r="M3190" s="159" t="s">
        <v>19011</v>
      </c>
      <c r="N3190" s="159" t="s">
        <v>19012</v>
      </c>
      <c r="O3190" s="156">
        <v>3.0</v>
      </c>
      <c r="P3190" s="382" t="s">
        <v>19013</v>
      </c>
      <c r="Q3190" s="2430" t="str">
        <f> hyperlink(vlookup(lower(N3190),'File Links'!E:F, 2, FALSE), "LINK")</f>
        <v>LINK</v>
      </c>
      <c r="R3190" s="159" t="s">
        <v>19014</v>
      </c>
      <c r="S3190" s="159" t="s">
        <v>19015</v>
      </c>
      <c r="T3190" s="68"/>
      <c r="U3190" s="68"/>
      <c r="V3190" s="382" t="s">
        <v>19016</v>
      </c>
      <c r="W3190" s="1231" t="s">
        <v>7284</v>
      </c>
      <c r="X3190" s="2429" t="str">
        <f> hyperlink(vlookup(lower(S3190),'File Links'!E:F, 2, FALSE), "LINK")</f>
        <v>LINK</v>
      </c>
      <c r="Y3190" s="68"/>
      <c r="Z3190" s="159" t="s">
        <v>226</v>
      </c>
      <c r="AA3190" s="159" t="s">
        <v>19025</v>
      </c>
      <c r="AB3190" s="437" t="s">
        <v>19026</v>
      </c>
      <c r="AC3190" s="68" t="s">
        <v>19044</v>
      </c>
      <c r="AD3190" s="68" t="s">
        <v>19041</v>
      </c>
      <c r="AE3190" s="68" t="s">
        <v>132</v>
      </c>
      <c r="AF3190" s="336">
        <v>217.0</v>
      </c>
      <c r="AG3190" s="336">
        <v>0.11</v>
      </c>
      <c r="AH3190" s="159" t="s">
        <v>19042</v>
      </c>
      <c r="AI3190" s="336">
        <v>7.0</v>
      </c>
      <c r="AJ3190" s="336">
        <v>0.414</v>
      </c>
      <c r="AK3190" s="68" t="s">
        <v>172</v>
      </c>
      <c r="AL3190" s="68" t="s">
        <v>186</v>
      </c>
      <c r="AM3190" s="68" t="s">
        <v>141</v>
      </c>
      <c r="AN3190" s="68" t="s">
        <v>18804</v>
      </c>
      <c r="AO3190" s="336">
        <v>100.0</v>
      </c>
      <c r="AP3190" s="336">
        <v>0.111</v>
      </c>
      <c r="AQ3190" s="159" t="s">
        <v>874</v>
      </c>
      <c r="AR3190" s="68" t="s">
        <v>632</v>
      </c>
      <c r="AS3190" s="336">
        <v>0.05</v>
      </c>
      <c r="AT3190" s="68" t="s">
        <v>135</v>
      </c>
      <c r="AU3190" s="68" t="s">
        <v>186</v>
      </c>
      <c r="AV3190" s="68" t="s">
        <v>141</v>
      </c>
      <c r="AW3190" s="68" t="s">
        <v>18804</v>
      </c>
      <c r="AX3190" s="68" t="s">
        <v>143</v>
      </c>
      <c r="AY3190" s="61" t="str">
        <f>IFERROR(__xludf.DUMMYFUNCTION("vlookup(BB3190,importrange(""https://docs.google.com/spreadsheets/d/1d2vevQ_7D_v35q4wCQ4RpQ_IPoTwEMB9Yp6ymwlPqew/edit?gid=984458430#gid=984458430"", ""'replication success'!A:K""), 11, FAlSE)"),"#N/A")</f>
        <v>#N/A</v>
      </c>
      <c r="AZ3190" s="61" t="str">
        <f>IFERROR(__xludf.DUMMYFUNCTION("vlookup(BB3190,importrange(""https://docs.google.com/spreadsheets/d/1d2vevQ_7D_v35q4wCQ4RpQ_IPoTwEMB9Yp6ymwlPqew/edit?gid=984458430#gid=984458430"", ""'replication success'!A:M""), 12, FAlSE)"),"#N/A")</f>
        <v>#N/A</v>
      </c>
      <c r="BA3190" s="61" t="str">
        <f>IFERROR(__xludf.DUMMYFUNCTION("vlookup(BB3190,importrange(""https://docs.google.com/spreadsheets/d/1d2vevQ_7D_v35q4wCQ4RpQ_IPoTwEMB9Yp6ymwlPqew/edit?gid=984458430#gid=984458430"", ""'replication success'!A:M""), 13, FAlSE)"),"#N/A")</f>
        <v>#N/A</v>
      </c>
      <c r="BB3190" s="61" t="str">
        <f>IFERROR(__xludf.DUMMYFUNCTION("REGEXREPLACE(G3190, ""_[a-z]{1,2}$"", """")"),"soscisubmission58_c2_culturecombined")</f>
        <v>soscisubmission58_c2_culturecombined</v>
      </c>
      <c r="BD3190" s="62" t="s">
        <v>3130</v>
      </c>
    </row>
    <row r="3191" ht="15.75" customHeight="1">
      <c r="A3191" s="44">
        <v>2742.0</v>
      </c>
      <c r="B3191" s="129" t="s">
        <v>523</v>
      </c>
      <c r="C3191" s="62" t="s">
        <v>115</v>
      </c>
      <c r="D3191" s="62" t="s">
        <v>153</v>
      </c>
      <c r="F3191" s="159" t="s">
        <v>19008</v>
      </c>
      <c r="G3191" s="159" t="s">
        <v>19045</v>
      </c>
      <c r="H3191" s="159" t="s">
        <v>19023</v>
      </c>
      <c r="I3191" s="434">
        <v>45799.0</v>
      </c>
      <c r="J3191" s="862"/>
      <c r="K3191" s="2511" t="s">
        <v>19046</v>
      </c>
      <c r="L3191" s="68"/>
      <c r="M3191" s="159" t="s">
        <v>19011</v>
      </c>
      <c r="N3191" s="159" t="s">
        <v>19012</v>
      </c>
      <c r="O3191" s="156">
        <v>3.0</v>
      </c>
      <c r="P3191" s="382" t="s">
        <v>19013</v>
      </c>
      <c r="Q3191" s="2430" t="str">
        <f> hyperlink(vlookup(lower(N3191),'File Links'!E:F, 2, FALSE), "LINK")</f>
        <v>LINK</v>
      </c>
      <c r="R3191" s="159" t="s">
        <v>19014</v>
      </c>
      <c r="S3191" s="159" t="s">
        <v>19015</v>
      </c>
      <c r="T3191" s="68"/>
      <c r="U3191" s="68"/>
      <c r="V3191" s="382" t="s">
        <v>19016</v>
      </c>
      <c r="W3191" s="1231" t="s">
        <v>7284</v>
      </c>
      <c r="X3191" s="2429" t="str">
        <f> hyperlink(vlookup(lower(S3191),'File Links'!E:F, 2, FALSE), "LINK")</f>
        <v>LINK</v>
      </c>
      <c r="Y3191" s="68"/>
      <c r="Z3191" s="159" t="s">
        <v>226</v>
      </c>
      <c r="AA3191" s="159" t="s">
        <v>19025</v>
      </c>
      <c r="AB3191" s="437" t="s">
        <v>19026</v>
      </c>
      <c r="AC3191" s="68" t="s">
        <v>19047</v>
      </c>
      <c r="AD3191" s="68" t="s">
        <v>19048</v>
      </c>
      <c r="AE3191" s="68" t="s">
        <v>628</v>
      </c>
      <c r="AF3191" s="336">
        <v>243.0</v>
      </c>
      <c r="AG3191" s="336">
        <v>0.72</v>
      </c>
      <c r="AH3191" s="159" t="s">
        <v>19042</v>
      </c>
      <c r="AI3191" s="336">
        <v>9.0</v>
      </c>
      <c r="AJ3191" s="336">
        <v>0.001</v>
      </c>
      <c r="AK3191" s="68" t="s">
        <v>135</v>
      </c>
      <c r="AL3191" s="68" t="s">
        <v>186</v>
      </c>
      <c r="AM3191" s="68" t="s">
        <v>141</v>
      </c>
      <c r="AN3191" s="68" t="s">
        <v>18804</v>
      </c>
      <c r="AO3191" s="336">
        <v>101.0</v>
      </c>
      <c r="AP3191" s="336">
        <v>0.358</v>
      </c>
      <c r="AQ3191" s="159" t="s">
        <v>874</v>
      </c>
      <c r="AR3191" s="68" t="s">
        <v>627</v>
      </c>
      <c r="AS3191" s="68"/>
      <c r="AT3191" s="68"/>
      <c r="AU3191" s="68" t="s">
        <v>186</v>
      </c>
      <c r="AV3191" s="68" t="s">
        <v>141</v>
      </c>
      <c r="AW3191" s="68" t="s">
        <v>18804</v>
      </c>
      <c r="AX3191" s="68" t="s">
        <v>143</v>
      </c>
      <c r="AY3191" s="61" t="str">
        <f>IFERROR(__xludf.DUMMYFUNCTION("vlookup(BB3191,importrange(""https://docs.google.com/spreadsheets/d/1d2vevQ_7D_v35q4wCQ4RpQ_IPoTwEMB9Yp6ymwlPqew/edit?gid=984458430#gid=984458430"", ""'replication success'!A:K""), 11, FAlSE)"),"#N/A")</f>
        <v>#N/A</v>
      </c>
      <c r="AZ3191" s="61" t="str">
        <f>IFERROR(__xludf.DUMMYFUNCTION("vlookup(BB3191,importrange(""https://docs.google.com/spreadsheets/d/1d2vevQ_7D_v35q4wCQ4RpQ_IPoTwEMB9Yp6ymwlPqew/edit?gid=984458430#gid=984458430"", ""'replication success'!A:M""), 12, FAlSE)"),"#N/A")</f>
        <v>#N/A</v>
      </c>
      <c r="BA3191" s="61" t="str">
        <f>IFERROR(__xludf.DUMMYFUNCTION("vlookup(BB3191,importrange(""https://docs.google.com/spreadsheets/d/1d2vevQ_7D_v35q4wCQ4RpQ_IPoTwEMB9Yp6ymwlPqew/edit?gid=984458430#gid=984458430"", ""'replication success'!A:M""), 13, FAlSE)"),"#N/A")</f>
        <v>#N/A</v>
      </c>
      <c r="BB3191" s="61" t="str">
        <f>IFERROR(__xludf.DUMMYFUNCTION("REGEXREPLACE(G3191, ""_[a-z]{1,2}$"", """")"),"soscisubmission58_c3_culturecombined")</f>
        <v>soscisubmission58_c3_culturecombined</v>
      </c>
      <c r="BD3191" s="62" t="s">
        <v>3130</v>
      </c>
    </row>
    <row r="3192" ht="15.75" customHeight="1">
      <c r="A3192" s="44">
        <v>2816.0</v>
      </c>
      <c r="B3192" s="129" t="s">
        <v>523</v>
      </c>
      <c r="C3192" s="62" t="s">
        <v>115</v>
      </c>
      <c r="D3192" s="62" t="s">
        <v>176</v>
      </c>
      <c r="F3192" s="159" t="s">
        <v>19049</v>
      </c>
      <c r="G3192" s="159" t="s">
        <v>19050</v>
      </c>
      <c r="H3192" s="159" t="s">
        <v>7252</v>
      </c>
      <c r="I3192" s="434">
        <v>45808.0</v>
      </c>
      <c r="J3192" s="862"/>
      <c r="K3192" s="159" t="s">
        <v>19010</v>
      </c>
      <c r="L3192" s="68"/>
      <c r="M3192" s="159" t="s">
        <v>19051</v>
      </c>
      <c r="N3192" s="159" t="s">
        <v>19012</v>
      </c>
      <c r="O3192" s="156">
        <v>2.0</v>
      </c>
      <c r="P3192" s="382" t="s">
        <v>19013</v>
      </c>
      <c r="Q3192" s="2191" t="str">
        <f> hyperlink(vlookup(lower(N3192),'File Links'!E:F, 2, FALSE), "LINK")</f>
        <v>LINK</v>
      </c>
      <c r="R3192" s="159" t="s">
        <v>19014</v>
      </c>
      <c r="S3192" s="159" t="s">
        <v>19015</v>
      </c>
      <c r="T3192" s="68"/>
      <c r="U3192" s="156">
        <v>2.0</v>
      </c>
      <c r="V3192" s="382" t="s">
        <v>19016</v>
      </c>
      <c r="W3192" s="1231" t="s">
        <v>7284</v>
      </c>
      <c r="X3192" s="1552" t="str">
        <f> hyperlink(vlookup(lower(S3192),'File Links'!E:F, 2, FALSE), "LINK")</f>
        <v>LINK</v>
      </c>
      <c r="Y3192" s="68"/>
      <c r="Z3192" s="159" t="s">
        <v>226</v>
      </c>
      <c r="AA3192" s="159" t="s">
        <v>19052</v>
      </c>
      <c r="AB3192" s="159" t="s">
        <v>19018</v>
      </c>
      <c r="AC3192" s="159" t="s">
        <v>19053</v>
      </c>
      <c r="AD3192" s="159" t="s">
        <v>19020</v>
      </c>
      <c r="AE3192" s="159" t="s">
        <v>4979</v>
      </c>
      <c r="AF3192" s="156">
        <v>444.0</v>
      </c>
      <c r="AG3192" s="156">
        <v>0.11</v>
      </c>
      <c r="AH3192" s="159" t="s">
        <v>361</v>
      </c>
      <c r="AI3192" s="159" t="s">
        <v>1042</v>
      </c>
      <c r="AJ3192" s="156">
        <v>0.001</v>
      </c>
      <c r="AK3192" s="159" t="s">
        <v>135</v>
      </c>
      <c r="AL3192" s="159" t="s">
        <v>186</v>
      </c>
      <c r="AM3192" s="159" t="s">
        <v>141</v>
      </c>
      <c r="AN3192" s="68"/>
      <c r="AO3192" s="156">
        <v>98.0</v>
      </c>
      <c r="AP3192" s="2143">
        <v>0.707</v>
      </c>
      <c r="AQ3192" s="159" t="s">
        <v>173</v>
      </c>
      <c r="AR3192" s="159" t="s">
        <v>19021</v>
      </c>
      <c r="AS3192" s="156">
        <v>0.001</v>
      </c>
      <c r="AT3192" s="159" t="s">
        <v>135</v>
      </c>
      <c r="AU3192" s="159" t="s">
        <v>186</v>
      </c>
      <c r="AV3192" s="159" t="s">
        <v>141</v>
      </c>
      <c r="AW3192" s="68"/>
      <c r="AX3192" s="159" t="s">
        <v>143</v>
      </c>
      <c r="AY3192" s="61" t="str">
        <f>IFERROR(__xludf.DUMMYFUNCTION("vlookup(BB3192,importrange(""https://docs.google.com/spreadsheets/d/1d2vevQ_7D_v35q4wCQ4RpQ_IPoTwEMB9Yp6ymwlPqew/edit?gid=984458430#gid=984458430"", ""'replication success'!A:K""), 11, FAlSE)"),"#N/A")</f>
        <v>#N/A</v>
      </c>
      <c r="AZ3192" s="61" t="str">
        <f>IFERROR(__xludf.DUMMYFUNCTION("vlookup(BB3192,importrange(""https://docs.google.com/spreadsheets/d/1d2vevQ_7D_v35q4wCQ4RpQ_IPoTwEMB9Yp6ymwlPqew/edit?gid=984458430#gid=984458430"", ""'replication success'!A:M""), 12, FAlSE)"),"#N/A")</f>
        <v>#N/A</v>
      </c>
      <c r="BA3192" s="61" t="str">
        <f>IFERROR(__xludf.DUMMYFUNCTION("vlookup(BB3192,importrange(""https://docs.google.com/spreadsheets/d/1d2vevQ_7D_v35q4wCQ4RpQ_IPoTwEMB9Yp6ymwlPqew/edit?gid=984458430#gid=984458430"", ""'replication success'!A:M""), 13, FAlSE)"),"#N/A")</f>
        <v>#N/A</v>
      </c>
      <c r="BB3192" s="61" t="str">
        <f>IFERROR(__xludf.DUMMYFUNCTION("REGEXREPLACE(G3192, ""_[a-z]{1,2}$"", """")"),"soscisubmission60")</f>
        <v>soscisubmission60</v>
      </c>
      <c r="BD3192" s="62" t="s">
        <v>3130</v>
      </c>
    </row>
    <row r="3193" ht="15.75" customHeight="1">
      <c r="A3193" s="44">
        <v>2818.0</v>
      </c>
      <c r="B3193" s="129" t="s">
        <v>523</v>
      </c>
      <c r="C3193" s="62" t="s">
        <v>115</v>
      </c>
      <c r="D3193" s="62" t="s">
        <v>176</v>
      </c>
      <c r="F3193" s="68" t="s">
        <v>19054</v>
      </c>
      <c r="G3193" s="159" t="s">
        <v>19055</v>
      </c>
      <c r="H3193" s="159" t="s">
        <v>7252</v>
      </c>
      <c r="I3193" s="434">
        <v>45808.0</v>
      </c>
      <c r="J3193" s="862"/>
      <c r="K3193" s="159" t="s">
        <v>19010</v>
      </c>
      <c r="L3193" s="68"/>
      <c r="M3193" s="159" t="s">
        <v>19056</v>
      </c>
      <c r="N3193" s="159" t="s">
        <v>19012</v>
      </c>
      <c r="O3193" s="156">
        <v>2.0</v>
      </c>
      <c r="P3193" s="382" t="s">
        <v>19013</v>
      </c>
      <c r="Q3193" s="2191" t="str">
        <f> hyperlink(vlookup(lower(N3193),'File Links'!E:F, 2, FALSE), "LINK")</f>
        <v>LINK</v>
      </c>
      <c r="R3193" s="159" t="s">
        <v>19014</v>
      </c>
      <c r="S3193" s="159" t="s">
        <v>19015</v>
      </c>
      <c r="T3193" s="68"/>
      <c r="U3193" s="156">
        <v>2.0</v>
      </c>
      <c r="V3193" s="382" t="s">
        <v>19016</v>
      </c>
      <c r="W3193" s="1231" t="s">
        <v>7284</v>
      </c>
      <c r="X3193" s="1552" t="str">
        <f> hyperlink(vlookup(lower(S3193),'File Links'!E:F, 2, FALSE), "LINK")</f>
        <v>LINK</v>
      </c>
      <c r="Y3193" s="68"/>
      <c r="Z3193" s="159" t="s">
        <v>226</v>
      </c>
      <c r="AA3193" s="159" t="s">
        <v>19057</v>
      </c>
      <c r="AB3193" s="159" t="s">
        <v>19018</v>
      </c>
      <c r="AC3193" s="360" t="s">
        <v>19058</v>
      </c>
      <c r="AD3193" s="159" t="s">
        <v>19059</v>
      </c>
      <c r="AE3193" s="159" t="s">
        <v>4979</v>
      </c>
      <c r="AF3193" s="156">
        <v>444.0</v>
      </c>
      <c r="AG3193" s="156">
        <v>0.6</v>
      </c>
      <c r="AH3193" s="159" t="s">
        <v>361</v>
      </c>
      <c r="AI3193" s="159" t="s">
        <v>1042</v>
      </c>
      <c r="AJ3193" s="156">
        <v>0.001</v>
      </c>
      <c r="AK3193" s="159" t="s">
        <v>135</v>
      </c>
      <c r="AL3193" s="159" t="s">
        <v>186</v>
      </c>
      <c r="AM3193" s="159" t="s">
        <v>141</v>
      </c>
      <c r="AN3193" s="68"/>
      <c r="AO3193" s="156">
        <v>98.0</v>
      </c>
      <c r="AP3193" s="156">
        <v>1.368</v>
      </c>
      <c r="AQ3193" s="159" t="s">
        <v>173</v>
      </c>
      <c r="AR3193" s="159" t="s">
        <v>19021</v>
      </c>
      <c r="AS3193" s="156">
        <v>0.001</v>
      </c>
      <c r="AT3193" s="159" t="s">
        <v>135</v>
      </c>
      <c r="AU3193" s="159" t="s">
        <v>186</v>
      </c>
      <c r="AV3193" s="159" t="s">
        <v>141</v>
      </c>
      <c r="AW3193" s="68"/>
      <c r="AX3193" s="159" t="s">
        <v>143</v>
      </c>
      <c r="AY3193" s="61" t="str">
        <f>IFERROR(__xludf.DUMMYFUNCTION("vlookup(BB3193,importrange(""https://docs.google.com/spreadsheets/d/1d2vevQ_7D_v35q4wCQ4RpQ_IPoTwEMB9Yp6ymwlPqew/edit?gid=984458430#gid=984458430"", ""'replication success'!A:K""), 11, FAlSE)"),"#N/A")</f>
        <v>#N/A</v>
      </c>
      <c r="AZ3193" s="61" t="str">
        <f>IFERROR(__xludf.DUMMYFUNCTION("vlookup(BB3193,importrange(""https://docs.google.com/spreadsheets/d/1d2vevQ_7D_v35q4wCQ4RpQ_IPoTwEMB9Yp6ymwlPqew/edit?gid=984458430#gid=984458430"", ""'replication success'!A:M""), 12, FAlSE)"),"#N/A")</f>
        <v>#N/A</v>
      </c>
      <c r="BA3193" s="61" t="str">
        <f>IFERROR(__xludf.DUMMYFUNCTION("vlookup(BB3193,importrange(""https://docs.google.com/spreadsheets/d/1d2vevQ_7D_v35q4wCQ4RpQ_IPoTwEMB9Yp6ymwlPqew/edit?gid=984458430#gid=984458430"", ""'replication success'!A:M""), 13, FAlSE)"),"#N/A")</f>
        <v>#N/A</v>
      </c>
      <c r="BB3193" s="61" t="str">
        <f>IFERROR(__xludf.DUMMYFUNCTION("REGEXREPLACE(G3193, ""_[a-z]{1,2}$"", """")"),"soscisubmission62")</f>
        <v>soscisubmission62</v>
      </c>
      <c r="BD3193" s="62" t="s">
        <v>3130</v>
      </c>
    </row>
    <row r="3194" ht="15.75" customHeight="1">
      <c r="A3194" s="44">
        <v>2820.0</v>
      </c>
      <c r="B3194" s="129" t="s">
        <v>523</v>
      </c>
      <c r="C3194" s="62" t="s">
        <v>115</v>
      </c>
      <c r="D3194" s="62" t="s">
        <v>176</v>
      </c>
      <c r="F3194" s="68" t="s">
        <v>19060</v>
      </c>
      <c r="G3194" s="159" t="s">
        <v>19061</v>
      </c>
      <c r="H3194" s="159" t="s">
        <v>7252</v>
      </c>
      <c r="I3194" s="434">
        <v>45808.0</v>
      </c>
      <c r="J3194" s="862"/>
      <c r="K3194" s="159" t="s">
        <v>19062</v>
      </c>
      <c r="L3194" s="68"/>
      <c r="M3194" s="159" t="s">
        <v>19063</v>
      </c>
      <c r="N3194" s="159" t="s">
        <v>19012</v>
      </c>
      <c r="O3194" s="156">
        <v>3.0</v>
      </c>
      <c r="P3194" s="382" t="s">
        <v>19013</v>
      </c>
      <c r="Q3194" s="2191" t="str">
        <f> hyperlink(vlookup(lower(N3194),'File Links'!E:F, 2, FALSE), "LINK")</f>
        <v>LINK</v>
      </c>
      <c r="R3194" s="159" t="s">
        <v>19014</v>
      </c>
      <c r="S3194" s="159" t="s">
        <v>19015</v>
      </c>
      <c r="T3194" s="68"/>
      <c r="U3194" s="156">
        <v>3.0</v>
      </c>
      <c r="V3194" s="382" t="s">
        <v>19016</v>
      </c>
      <c r="W3194" s="1231" t="s">
        <v>7284</v>
      </c>
      <c r="X3194" s="1552" t="str">
        <f> hyperlink(vlookup(lower(S3194),'File Links'!E:F, 2, FALSE), "LINK")</f>
        <v>LINK</v>
      </c>
      <c r="Y3194" s="68"/>
      <c r="Z3194" s="159" t="s">
        <v>226</v>
      </c>
      <c r="AA3194" s="159" t="s">
        <v>19064</v>
      </c>
      <c r="AB3194" s="159" t="s">
        <v>19018</v>
      </c>
      <c r="AC3194" s="159" t="s">
        <v>19065</v>
      </c>
      <c r="AD3194" s="159" t="s">
        <v>19066</v>
      </c>
      <c r="AE3194" s="159" t="s">
        <v>624</v>
      </c>
      <c r="AF3194" s="156">
        <v>452.0</v>
      </c>
      <c r="AG3194" s="357">
        <v>1.044</v>
      </c>
      <c r="AH3194" s="159" t="s">
        <v>173</v>
      </c>
      <c r="AI3194" s="159" t="s">
        <v>604</v>
      </c>
      <c r="AJ3194" s="156">
        <v>0.001</v>
      </c>
      <c r="AK3194" s="159" t="s">
        <v>135</v>
      </c>
      <c r="AL3194" s="159" t="s">
        <v>186</v>
      </c>
      <c r="AM3194" s="159" t="s">
        <v>141</v>
      </c>
      <c r="AN3194" s="68"/>
      <c r="AO3194" s="156">
        <v>100.0</v>
      </c>
      <c r="AP3194" s="357">
        <v>1.493</v>
      </c>
      <c r="AQ3194" s="159" t="s">
        <v>173</v>
      </c>
      <c r="AR3194" s="159" t="s">
        <v>19067</v>
      </c>
      <c r="AS3194" s="156">
        <v>0.001</v>
      </c>
      <c r="AT3194" s="159" t="s">
        <v>135</v>
      </c>
      <c r="AU3194" s="159" t="s">
        <v>186</v>
      </c>
      <c r="AV3194" s="159" t="s">
        <v>141</v>
      </c>
      <c r="AW3194" s="68"/>
      <c r="AX3194" s="159" t="s">
        <v>143</v>
      </c>
      <c r="AY3194" s="61" t="str">
        <f>IFERROR(__xludf.DUMMYFUNCTION("vlookup(BB3194,importrange(""https://docs.google.com/spreadsheets/d/1d2vevQ_7D_v35q4wCQ4RpQ_IPoTwEMB9Yp6ymwlPqew/edit?gid=984458430#gid=984458430"", ""'replication success'!A:K""), 11, FAlSE)"),"#N/A")</f>
        <v>#N/A</v>
      </c>
      <c r="AZ3194" s="61" t="str">
        <f>IFERROR(__xludf.DUMMYFUNCTION("vlookup(BB3194,importrange(""https://docs.google.com/spreadsheets/d/1d2vevQ_7D_v35q4wCQ4RpQ_IPoTwEMB9Yp6ymwlPqew/edit?gid=984458430#gid=984458430"", ""'replication success'!A:M""), 12, FAlSE)"),"#N/A")</f>
        <v>#N/A</v>
      </c>
      <c r="BA3194" s="61" t="str">
        <f>IFERROR(__xludf.DUMMYFUNCTION("vlookup(BB3194,importrange(""https://docs.google.com/spreadsheets/d/1d2vevQ_7D_v35q4wCQ4RpQ_IPoTwEMB9Yp6ymwlPqew/edit?gid=984458430#gid=984458430"", ""'replication success'!A:M""), 13, FAlSE)"),"#N/A")</f>
        <v>#N/A</v>
      </c>
      <c r="BB3194" s="61" t="str">
        <f>IFERROR(__xludf.DUMMYFUNCTION("REGEXREPLACE(G3194, ""_[a-z]{1,2}$"", """")"),"soscisubmission64")</f>
        <v>soscisubmission64</v>
      </c>
      <c r="BD3194" s="62" t="s">
        <v>3130</v>
      </c>
    </row>
    <row r="3195" ht="15.75" customHeight="1">
      <c r="A3195" s="44">
        <v>2821.0</v>
      </c>
      <c r="B3195" s="129" t="s">
        <v>523</v>
      </c>
      <c r="C3195" s="62" t="s">
        <v>115</v>
      </c>
      <c r="D3195" s="62" t="s">
        <v>176</v>
      </c>
      <c r="F3195" s="68" t="s">
        <v>19068</v>
      </c>
      <c r="G3195" s="159" t="s">
        <v>19069</v>
      </c>
      <c r="H3195" s="159" t="s">
        <v>7252</v>
      </c>
      <c r="I3195" s="434">
        <v>45808.0</v>
      </c>
      <c r="J3195" s="862"/>
      <c r="K3195" s="159" t="s">
        <v>19062</v>
      </c>
      <c r="L3195" s="68"/>
      <c r="M3195" s="159" t="s">
        <v>19070</v>
      </c>
      <c r="N3195" s="159" t="s">
        <v>19012</v>
      </c>
      <c r="O3195" s="156">
        <v>3.0</v>
      </c>
      <c r="P3195" s="382" t="s">
        <v>19013</v>
      </c>
      <c r="Q3195" s="2191" t="str">
        <f> hyperlink(vlookup(lower(N3195),'File Links'!E:F, 2, FALSE), "LINK")</f>
        <v>LINK</v>
      </c>
      <c r="R3195" s="159" t="s">
        <v>19014</v>
      </c>
      <c r="S3195" s="159" t="s">
        <v>19015</v>
      </c>
      <c r="T3195" s="68"/>
      <c r="U3195" s="336">
        <v>3.0</v>
      </c>
      <c r="V3195" s="159" t="s">
        <v>19016</v>
      </c>
      <c r="W3195" s="1231" t="s">
        <v>7284</v>
      </c>
      <c r="X3195" s="1552" t="str">
        <f> hyperlink(vlookup(lower(S3195),'File Links'!E:F, 2, FALSE), "LINK")</f>
        <v>LINK</v>
      </c>
      <c r="Y3195" s="68"/>
      <c r="Z3195" s="159" t="s">
        <v>226</v>
      </c>
      <c r="AA3195" s="159" t="s">
        <v>19052</v>
      </c>
      <c r="AB3195" s="159" t="s">
        <v>19018</v>
      </c>
      <c r="AC3195" s="159" t="s">
        <v>19071</v>
      </c>
      <c r="AD3195" s="159" t="s">
        <v>19066</v>
      </c>
      <c r="AE3195" s="159" t="s">
        <v>624</v>
      </c>
      <c r="AF3195" s="156">
        <v>452.0</v>
      </c>
      <c r="AG3195" s="357">
        <v>0.029</v>
      </c>
      <c r="AH3195" s="159" t="s">
        <v>139</v>
      </c>
      <c r="AI3195" s="159" t="s">
        <v>604</v>
      </c>
      <c r="AJ3195" s="156">
        <v>0.058</v>
      </c>
      <c r="AK3195" s="159" t="s">
        <v>172</v>
      </c>
      <c r="AL3195" s="159" t="s">
        <v>186</v>
      </c>
      <c r="AM3195" s="159" t="s">
        <v>141</v>
      </c>
      <c r="AN3195" s="68"/>
      <c r="AO3195" s="156">
        <v>100.0</v>
      </c>
      <c r="AP3195" s="357">
        <v>0.025</v>
      </c>
      <c r="AQ3195" s="159" t="s">
        <v>139</v>
      </c>
      <c r="AR3195" s="159" t="s">
        <v>19067</v>
      </c>
      <c r="AS3195" s="156">
        <v>0.116</v>
      </c>
      <c r="AT3195" s="159" t="s">
        <v>172</v>
      </c>
      <c r="AU3195" s="159" t="s">
        <v>186</v>
      </c>
      <c r="AV3195" s="159" t="s">
        <v>141</v>
      </c>
      <c r="AW3195" s="68"/>
      <c r="AX3195" s="159" t="s">
        <v>143</v>
      </c>
      <c r="AY3195" s="61" t="str">
        <f>IFERROR(__xludf.DUMMYFUNCTION("vlookup(BB3195,importrange(""https://docs.google.com/spreadsheets/d/1d2vevQ_7D_v35q4wCQ4RpQ_IPoTwEMB9Yp6ymwlPqew/edit?gid=984458430#gid=984458430"", ""'replication success'!A:K""), 11, FAlSE)"),"#N/A")</f>
        <v>#N/A</v>
      </c>
      <c r="AZ3195" s="61" t="str">
        <f>IFERROR(__xludf.DUMMYFUNCTION("vlookup(BB3195,importrange(""https://docs.google.com/spreadsheets/d/1d2vevQ_7D_v35q4wCQ4RpQ_IPoTwEMB9Yp6ymwlPqew/edit?gid=984458430#gid=984458430"", ""'replication success'!A:M""), 12, FAlSE)"),"#N/A")</f>
        <v>#N/A</v>
      </c>
      <c r="BA3195" s="61" t="str">
        <f>IFERROR(__xludf.DUMMYFUNCTION("vlookup(BB3195,importrange(""https://docs.google.com/spreadsheets/d/1d2vevQ_7D_v35q4wCQ4RpQ_IPoTwEMB9Yp6ymwlPqew/edit?gid=984458430#gid=984458430"", ""'replication success'!A:M""), 13, FAlSE)"),"#N/A")</f>
        <v>#N/A</v>
      </c>
      <c r="BB3195" s="61" t="str">
        <f>IFERROR(__xludf.DUMMYFUNCTION("REGEXREPLACE(G3195, ""_[a-z]{1,2}$"", """")"),"soscisubmission65")</f>
        <v>soscisubmission65</v>
      </c>
      <c r="BD3195" s="62" t="s">
        <v>3130</v>
      </c>
    </row>
    <row r="3196" ht="15.75" customHeight="1">
      <c r="A3196" s="44">
        <v>2822.0</v>
      </c>
      <c r="B3196" s="129" t="s">
        <v>523</v>
      </c>
      <c r="C3196" s="62" t="s">
        <v>115</v>
      </c>
      <c r="D3196" s="62" t="s">
        <v>176</v>
      </c>
      <c r="F3196" s="68" t="s">
        <v>19072</v>
      </c>
      <c r="G3196" s="159" t="s">
        <v>19073</v>
      </c>
      <c r="H3196" s="159" t="s">
        <v>7252</v>
      </c>
      <c r="I3196" s="434">
        <v>45808.0</v>
      </c>
      <c r="J3196" s="862"/>
      <c r="K3196" s="159" t="s">
        <v>19062</v>
      </c>
      <c r="L3196" s="68"/>
      <c r="M3196" s="159" t="s">
        <v>19074</v>
      </c>
      <c r="N3196" s="159" t="s">
        <v>19012</v>
      </c>
      <c r="O3196" s="156">
        <v>3.0</v>
      </c>
      <c r="P3196" s="382" t="s">
        <v>19013</v>
      </c>
      <c r="Q3196" s="2191" t="str">
        <f> hyperlink(vlookup(lower(N3196),'File Links'!E:F, 2, FALSE), "LINK")</f>
        <v>LINK</v>
      </c>
      <c r="R3196" s="159" t="s">
        <v>19014</v>
      </c>
      <c r="S3196" s="159" t="s">
        <v>19015</v>
      </c>
      <c r="T3196" s="68"/>
      <c r="U3196" s="156">
        <v>3.0</v>
      </c>
      <c r="V3196" s="382" t="s">
        <v>19016</v>
      </c>
      <c r="W3196" s="1231" t="s">
        <v>7284</v>
      </c>
      <c r="X3196" s="1552" t="str">
        <f> hyperlink(vlookup(lower(S3196),'File Links'!E:F, 2, FALSE), "LINK")</f>
        <v>LINK</v>
      </c>
      <c r="Y3196" s="68"/>
      <c r="Z3196" s="159" t="s">
        <v>226</v>
      </c>
      <c r="AA3196" s="159" t="s">
        <v>19075</v>
      </c>
      <c r="AB3196" s="159" t="s">
        <v>19018</v>
      </c>
      <c r="AC3196" s="159" t="s">
        <v>19076</v>
      </c>
      <c r="AD3196" s="159" t="s">
        <v>19066</v>
      </c>
      <c r="AE3196" s="159" t="s">
        <v>624</v>
      </c>
      <c r="AF3196" s="156">
        <v>452.0</v>
      </c>
      <c r="AG3196" s="357">
        <v>0.61</v>
      </c>
      <c r="AH3196" s="159" t="s">
        <v>173</v>
      </c>
      <c r="AI3196" s="159" t="s">
        <v>604</v>
      </c>
      <c r="AJ3196" s="156">
        <v>0.001</v>
      </c>
      <c r="AK3196" s="159" t="s">
        <v>172</v>
      </c>
      <c r="AL3196" s="159" t="s">
        <v>186</v>
      </c>
      <c r="AM3196" s="159" t="s">
        <v>141</v>
      </c>
      <c r="AN3196" s="68"/>
      <c r="AO3196" s="156">
        <v>100.0</v>
      </c>
      <c r="AP3196" s="357">
        <v>0.714</v>
      </c>
      <c r="AQ3196" s="159" t="s">
        <v>173</v>
      </c>
      <c r="AR3196" s="159" t="s">
        <v>19067</v>
      </c>
      <c r="AS3196" s="156">
        <v>0.001</v>
      </c>
      <c r="AT3196" s="159" t="s">
        <v>135</v>
      </c>
      <c r="AU3196" s="159" t="s">
        <v>186</v>
      </c>
      <c r="AV3196" s="159" t="s">
        <v>141</v>
      </c>
      <c r="AW3196" s="68"/>
      <c r="AX3196" s="159" t="s">
        <v>143</v>
      </c>
      <c r="AY3196" s="61" t="str">
        <f>IFERROR(__xludf.DUMMYFUNCTION("vlookup(BB3196,importrange(""https://docs.google.com/spreadsheets/d/1d2vevQ_7D_v35q4wCQ4RpQ_IPoTwEMB9Yp6ymwlPqew/edit?gid=984458430#gid=984458430"", ""'replication success'!A:K""), 11, FAlSE)"),"#N/A")</f>
        <v>#N/A</v>
      </c>
      <c r="AZ3196" s="61" t="str">
        <f>IFERROR(__xludf.DUMMYFUNCTION("vlookup(BB3196,importrange(""https://docs.google.com/spreadsheets/d/1d2vevQ_7D_v35q4wCQ4RpQ_IPoTwEMB9Yp6ymwlPqew/edit?gid=984458430#gid=984458430"", ""'replication success'!A:M""), 12, FAlSE)"),"#N/A")</f>
        <v>#N/A</v>
      </c>
      <c r="BA3196" s="61" t="str">
        <f>IFERROR(__xludf.DUMMYFUNCTION("vlookup(BB3196,importrange(""https://docs.google.com/spreadsheets/d/1d2vevQ_7D_v35q4wCQ4RpQ_IPoTwEMB9Yp6ymwlPqew/edit?gid=984458430#gid=984458430"", ""'replication success'!A:M""), 13, FAlSE)"),"#N/A")</f>
        <v>#N/A</v>
      </c>
      <c r="BB3196" s="61" t="str">
        <f>IFERROR(__xludf.DUMMYFUNCTION("REGEXREPLACE(G3196, ""_[a-z]{1,2}$"", """")"),"soscisubmission66")</f>
        <v>soscisubmission66</v>
      </c>
      <c r="BD3196" s="62" t="s">
        <v>3130</v>
      </c>
    </row>
    <row r="3197" ht="15.75" customHeight="1">
      <c r="A3197" s="44">
        <v>2823.0</v>
      </c>
      <c r="B3197" s="129" t="s">
        <v>523</v>
      </c>
      <c r="C3197" s="62" t="s">
        <v>115</v>
      </c>
      <c r="D3197" s="62" t="s">
        <v>176</v>
      </c>
      <c r="F3197" s="68" t="s">
        <v>19077</v>
      </c>
      <c r="G3197" s="159" t="s">
        <v>19078</v>
      </c>
      <c r="H3197" s="159" t="s">
        <v>7252</v>
      </c>
      <c r="I3197" s="434">
        <v>45808.0</v>
      </c>
      <c r="J3197" s="862"/>
      <c r="K3197" s="159" t="s">
        <v>19062</v>
      </c>
      <c r="L3197" s="68"/>
      <c r="M3197" s="159" t="s">
        <v>19079</v>
      </c>
      <c r="N3197" s="159" t="s">
        <v>19012</v>
      </c>
      <c r="O3197" s="156">
        <v>3.0</v>
      </c>
      <c r="P3197" s="382" t="s">
        <v>19013</v>
      </c>
      <c r="Q3197" s="2191" t="str">
        <f> hyperlink(vlookup(lower(N3197),'File Links'!E:F, 2, FALSE), "LINK")</f>
        <v>LINK</v>
      </c>
      <c r="R3197" s="159" t="s">
        <v>19014</v>
      </c>
      <c r="S3197" s="159" t="s">
        <v>19015</v>
      </c>
      <c r="T3197" s="68"/>
      <c r="U3197" s="156">
        <v>3.0</v>
      </c>
      <c r="V3197" s="382" t="s">
        <v>19016</v>
      </c>
      <c r="W3197" s="1231" t="s">
        <v>7284</v>
      </c>
      <c r="X3197" s="1552" t="str">
        <f> hyperlink(vlookup(lower(S3197),'File Links'!E:F, 2, FALSE), "LINK")</f>
        <v>LINK</v>
      </c>
      <c r="Y3197" s="68"/>
      <c r="Z3197" s="159" t="s">
        <v>226</v>
      </c>
      <c r="AA3197" s="159" t="s">
        <v>19080</v>
      </c>
      <c r="AB3197" s="159" t="s">
        <v>19018</v>
      </c>
      <c r="AC3197" s="159" t="s">
        <v>19081</v>
      </c>
      <c r="AD3197" s="159" t="s">
        <v>19066</v>
      </c>
      <c r="AE3197" s="159" t="s">
        <v>624</v>
      </c>
      <c r="AF3197" s="156">
        <v>452.0</v>
      </c>
      <c r="AG3197" s="357">
        <v>0.171</v>
      </c>
      <c r="AH3197" s="159" t="s">
        <v>173</v>
      </c>
      <c r="AI3197" s="159" t="s">
        <v>604</v>
      </c>
      <c r="AJ3197" s="156">
        <v>0.06</v>
      </c>
      <c r="AK3197" s="159" t="s">
        <v>172</v>
      </c>
      <c r="AL3197" s="159" t="s">
        <v>186</v>
      </c>
      <c r="AM3197" s="159" t="s">
        <v>141</v>
      </c>
      <c r="AN3197" s="68"/>
      <c r="AO3197" s="156">
        <v>100.0</v>
      </c>
      <c r="AP3197" s="357">
        <v>0.219</v>
      </c>
      <c r="AQ3197" s="159" t="s">
        <v>173</v>
      </c>
      <c r="AR3197" s="159" t="s">
        <v>19067</v>
      </c>
      <c r="AS3197" s="156">
        <v>0.06</v>
      </c>
      <c r="AT3197" s="159" t="s">
        <v>172</v>
      </c>
      <c r="AU3197" s="159" t="s">
        <v>186</v>
      </c>
      <c r="AV3197" s="159" t="s">
        <v>141</v>
      </c>
      <c r="AW3197" s="68"/>
      <c r="AX3197" s="159" t="s">
        <v>143</v>
      </c>
      <c r="AY3197" s="61" t="str">
        <f>IFERROR(__xludf.DUMMYFUNCTION("vlookup(BB3197,importrange(""https://docs.google.com/spreadsheets/d/1d2vevQ_7D_v35q4wCQ4RpQ_IPoTwEMB9Yp6ymwlPqew/edit?gid=984458430#gid=984458430"", ""'replication success'!A:K""), 11, FAlSE)"),"#N/A")</f>
        <v>#N/A</v>
      </c>
      <c r="AZ3197" s="61" t="str">
        <f>IFERROR(__xludf.DUMMYFUNCTION("vlookup(BB3197,importrange(""https://docs.google.com/spreadsheets/d/1d2vevQ_7D_v35q4wCQ4RpQ_IPoTwEMB9Yp6ymwlPqew/edit?gid=984458430#gid=984458430"", ""'replication success'!A:M""), 12, FAlSE)"),"#N/A")</f>
        <v>#N/A</v>
      </c>
      <c r="BA3197" s="61" t="str">
        <f>IFERROR(__xludf.DUMMYFUNCTION("vlookup(BB3197,importrange(""https://docs.google.com/spreadsheets/d/1d2vevQ_7D_v35q4wCQ4RpQ_IPoTwEMB9Yp6ymwlPqew/edit?gid=984458430#gid=984458430"", ""'replication success'!A:M""), 13, FAlSE)"),"#N/A")</f>
        <v>#N/A</v>
      </c>
      <c r="BB3197" s="61" t="str">
        <f>IFERROR(__xludf.DUMMYFUNCTION("REGEXREPLACE(G3197, ""_[a-z]{1,2}$"", """")"),"soscisubmission67")</f>
        <v>soscisubmission67</v>
      </c>
      <c r="BD3197" s="62" t="s">
        <v>3130</v>
      </c>
    </row>
    <row r="3198" ht="15.75" customHeight="1">
      <c r="A3198" s="44">
        <v>2824.0</v>
      </c>
      <c r="B3198" s="129" t="s">
        <v>523</v>
      </c>
      <c r="C3198" s="62" t="s">
        <v>115</v>
      </c>
      <c r="D3198" s="62" t="s">
        <v>176</v>
      </c>
      <c r="F3198" s="68" t="s">
        <v>19082</v>
      </c>
      <c r="G3198" s="159" t="s">
        <v>19083</v>
      </c>
      <c r="H3198" s="159" t="s">
        <v>7252</v>
      </c>
      <c r="I3198" s="434">
        <v>45808.0</v>
      </c>
      <c r="J3198" s="862"/>
      <c r="K3198" s="159" t="s">
        <v>19062</v>
      </c>
      <c r="L3198" s="68"/>
      <c r="M3198" s="159" t="s">
        <v>19084</v>
      </c>
      <c r="N3198" s="159" t="s">
        <v>19012</v>
      </c>
      <c r="O3198" s="156">
        <v>3.0</v>
      </c>
      <c r="P3198" s="382" t="s">
        <v>19013</v>
      </c>
      <c r="Q3198" s="2191" t="str">
        <f> hyperlink(vlookup(lower(N3198),'File Links'!E:F, 2, FALSE), "LINK")</f>
        <v>LINK</v>
      </c>
      <c r="R3198" s="159" t="s">
        <v>19014</v>
      </c>
      <c r="S3198" s="159" t="s">
        <v>19015</v>
      </c>
      <c r="T3198" s="68"/>
      <c r="U3198" s="156">
        <v>3.0</v>
      </c>
      <c r="V3198" s="382" t="s">
        <v>19016</v>
      </c>
      <c r="W3198" s="1231" t="s">
        <v>7284</v>
      </c>
      <c r="X3198" s="1552" t="str">
        <f> hyperlink(vlookup(lower(S3198),'File Links'!E:F, 2, FALSE), "LINK")</f>
        <v>LINK</v>
      </c>
      <c r="Y3198" s="68"/>
      <c r="Z3198" s="159" t="s">
        <v>226</v>
      </c>
      <c r="AA3198" s="159" t="s">
        <v>19085</v>
      </c>
      <c r="AB3198" s="159" t="s">
        <v>19018</v>
      </c>
      <c r="AC3198" s="159" t="s">
        <v>19086</v>
      </c>
      <c r="AD3198" s="159" t="s">
        <v>19066</v>
      </c>
      <c r="AE3198" s="159" t="s">
        <v>624</v>
      </c>
      <c r="AF3198" s="156">
        <v>452.0</v>
      </c>
      <c r="AG3198" s="357">
        <v>0.305</v>
      </c>
      <c r="AH3198" s="159" t="s">
        <v>173</v>
      </c>
      <c r="AI3198" s="159" t="s">
        <v>604</v>
      </c>
      <c r="AJ3198" s="156">
        <v>0.001</v>
      </c>
      <c r="AK3198" s="159" t="s">
        <v>172</v>
      </c>
      <c r="AL3198" s="159" t="s">
        <v>186</v>
      </c>
      <c r="AM3198" s="159" t="s">
        <v>141</v>
      </c>
      <c r="AN3198" s="68"/>
      <c r="AO3198" s="156">
        <v>100.0</v>
      </c>
      <c r="AP3198" s="357">
        <v>0.334</v>
      </c>
      <c r="AQ3198" s="159" t="s">
        <v>173</v>
      </c>
      <c r="AR3198" s="159" t="s">
        <v>19067</v>
      </c>
      <c r="AS3198" s="156">
        <v>0.001</v>
      </c>
      <c r="AT3198" s="159" t="s">
        <v>172</v>
      </c>
      <c r="AU3198" s="159" t="s">
        <v>186</v>
      </c>
      <c r="AV3198" s="159" t="s">
        <v>141</v>
      </c>
      <c r="AW3198" s="68"/>
      <c r="AX3198" s="159" t="s">
        <v>143</v>
      </c>
      <c r="AY3198" s="61" t="str">
        <f>IFERROR(__xludf.DUMMYFUNCTION("vlookup(BB3198,importrange(""https://docs.google.com/spreadsheets/d/1d2vevQ_7D_v35q4wCQ4RpQ_IPoTwEMB9Yp6ymwlPqew/edit?gid=984458430#gid=984458430"", ""'replication success'!A:K""), 11, FAlSE)"),"#N/A")</f>
        <v>#N/A</v>
      </c>
      <c r="AZ3198" s="61" t="str">
        <f>IFERROR(__xludf.DUMMYFUNCTION("vlookup(BB3198,importrange(""https://docs.google.com/spreadsheets/d/1d2vevQ_7D_v35q4wCQ4RpQ_IPoTwEMB9Yp6ymwlPqew/edit?gid=984458430#gid=984458430"", ""'replication success'!A:M""), 12, FAlSE)"),"#N/A")</f>
        <v>#N/A</v>
      </c>
      <c r="BA3198" s="61" t="str">
        <f>IFERROR(__xludf.DUMMYFUNCTION("vlookup(BB3198,importrange(""https://docs.google.com/spreadsheets/d/1d2vevQ_7D_v35q4wCQ4RpQ_IPoTwEMB9Yp6ymwlPqew/edit?gid=984458430#gid=984458430"", ""'replication success'!A:M""), 13, FAlSE)"),"#N/A")</f>
        <v>#N/A</v>
      </c>
      <c r="BB3198" s="61" t="str">
        <f>IFERROR(__xludf.DUMMYFUNCTION("REGEXREPLACE(G3198, ""_[a-z]{1,2}$"", """")"),"soscisubmission68")</f>
        <v>soscisubmission68</v>
      </c>
      <c r="BD3198" s="62" t="s">
        <v>3130</v>
      </c>
    </row>
    <row r="3199" ht="15.75" customHeight="1">
      <c r="A3199" s="44">
        <v>2817.0</v>
      </c>
      <c r="B3199" s="129" t="s">
        <v>523</v>
      </c>
      <c r="C3199" s="62" t="s">
        <v>115</v>
      </c>
      <c r="D3199" s="62" t="s">
        <v>176</v>
      </c>
      <c r="F3199" s="68" t="s">
        <v>19087</v>
      </c>
      <c r="G3199" s="159" t="s">
        <v>19088</v>
      </c>
      <c r="H3199" s="159" t="s">
        <v>7252</v>
      </c>
      <c r="I3199" s="434">
        <v>45808.0</v>
      </c>
      <c r="J3199" s="862"/>
      <c r="K3199" s="159" t="s">
        <v>19010</v>
      </c>
      <c r="L3199" s="68"/>
      <c r="M3199" s="159" t="s">
        <v>19089</v>
      </c>
      <c r="N3199" s="159" t="s">
        <v>19012</v>
      </c>
      <c r="O3199" s="156">
        <v>2.0</v>
      </c>
      <c r="P3199" s="382" t="s">
        <v>19013</v>
      </c>
      <c r="Q3199" s="2191" t="str">
        <f> hyperlink(vlookup(lower(N3199),'File Links'!E:F, 2, FALSE), "LINK")</f>
        <v>LINK</v>
      </c>
      <c r="R3199" s="159" t="s">
        <v>19014</v>
      </c>
      <c r="S3199" s="159" t="s">
        <v>19015</v>
      </c>
      <c r="T3199" s="68"/>
      <c r="U3199" s="156">
        <v>2.0</v>
      </c>
      <c r="V3199" s="382" t="s">
        <v>19016</v>
      </c>
      <c r="W3199" s="1231" t="s">
        <v>7284</v>
      </c>
      <c r="X3199" s="1552" t="str">
        <f> hyperlink(vlookup(lower(S3199),'File Links'!E:F, 2, FALSE), "LINK")</f>
        <v>LINK</v>
      </c>
      <c r="Y3199" s="68"/>
      <c r="Z3199" s="159" t="s">
        <v>226</v>
      </c>
      <c r="AA3199" s="159" t="s">
        <v>19090</v>
      </c>
      <c r="AB3199" s="159" t="s">
        <v>19018</v>
      </c>
      <c r="AC3199" s="159" t="s">
        <v>19091</v>
      </c>
      <c r="AD3199" s="159" t="s">
        <v>19092</v>
      </c>
      <c r="AE3199" s="159" t="s">
        <v>4979</v>
      </c>
      <c r="AF3199" s="156">
        <v>444.0</v>
      </c>
      <c r="AG3199" s="156">
        <v>0.99</v>
      </c>
      <c r="AH3199" s="159" t="s">
        <v>361</v>
      </c>
      <c r="AI3199" s="159" t="s">
        <v>1042</v>
      </c>
      <c r="AJ3199" s="156">
        <v>0.001</v>
      </c>
      <c r="AK3199" s="159" t="s">
        <v>135</v>
      </c>
      <c r="AL3199" s="159" t="s">
        <v>186</v>
      </c>
      <c r="AM3199" s="159" t="s">
        <v>141</v>
      </c>
      <c r="AN3199" s="68"/>
      <c r="AO3199" s="156">
        <v>98.0</v>
      </c>
      <c r="AP3199" s="2143">
        <v>2.837</v>
      </c>
      <c r="AQ3199" s="159" t="s">
        <v>173</v>
      </c>
      <c r="AR3199" s="159" t="s">
        <v>19021</v>
      </c>
      <c r="AS3199" s="156">
        <v>0.001</v>
      </c>
      <c r="AT3199" s="159" t="s">
        <v>135</v>
      </c>
      <c r="AU3199" s="159" t="s">
        <v>186</v>
      </c>
      <c r="AV3199" s="159" t="s">
        <v>141</v>
      </c>
      <c r="AW3199" s="68"/>
      <c r="AX3199" s="159" t="s">
        <v>143</v>
      </c>
      <c r="AY3199" s="61" t="str">
        <f>IFERROR(__xludf.DUMMYFUNCTION("vlookup(BB3199,importrange(""https://docs.google.com/spreadsheets/d/1d2vevQ_7D_v35q4wCQ4RpQ_IPoTwEMB9Yp6ymwlPqew/edit?gid=984458430#gid=984458430"", ""'replication success'!A:K""), 11, FAlSE)"),"#N/A")</f>
        <v>#N/A</v>
      </c>
      <c r="AZ3199" s="61" t="str">
        <f>IFERROR(__xludf.DUMMYFUNCTION("vlookup(BB3199,importrange(""https://docs.google.com/spreadsheets/d/1d2vevQ_7D_v35q4wCQ4RpQ_IPoTwEMB9Yp6ymwlPqew/edit?gid=984458430#gid=984458430"", ""'replication success'!A:M""), 12, FAlSE)"),"#N/A")</f>
        <v>#N/A</v>
      </c>
      <c r="BA3199" s="61" t="str">
        <f>IFERROR(__xludf.DUMMYFUNCTION("vlookup(BB3199,importrange(""https://docs.google.com/spreadsheets/d/1d2vevQ_7D_v35q4wCQ4RpQ_IPoTwEMB9Yp6ymwlPqew/edit?gid=984458430#gid=984458430"", ""'replication success'!A:M""), 13, FAlSE)"),"#N/A")</f>
        <v>#N/A</v>
      </c>
      <c r="BB3199" s="61" t="str">
        <f>IFERROR(__xludf.DUMMYFUNCTION("REGEXREPLACE(G3199, ""_[a-z]{1,2}$"", """")"),"soscisubmission69")</f>
        <v>soscisubmission69</v>
      </c>
      <c r="BD3199" s="62" t="s">
        <v>3130</v>
      </c>
    </row>
    <row r="3200" ht="15.75" customHeight="1">
      <c r="A3200" s="44">
        <v>2819.0</v>
      </c>
      <c r="B3200" s="129" t="s">
        <v>523</v>
      </c>
      <c r="C3200" s="62" t="s">
        <v>115</v>
      </c>
      <c r="D3200" s="62" t="s">
        <v>176</v>
      </c>
      <c r="F3200" s="68" t="s">
        <v>19093</v>
      </c>
      <c r="G3200" s="159" t="s">
        <v>19094</v>
      </c>
      <c r="H3200" s="159" t="s">
        <v>7252</v>
      </c>
      <c r="I3200" s="434">
        <v>45808.0</v>
      </c>
      <c r="J3200" s="862"/>
      <c r="K3200" s="159" t="s">
        <v>19010</v>
      </c>
      <c r="L3200" s="68"/>
      <c r="M3200" s="159" t="s">
        <v>19095</v>
      </c>
      <c r="N3200" s="159" t="s">
        <v>19012</v>
      </c>
      <c r="O3200" s="156">
        <v>2.0</v>
      </c>
      <c r="P3200" s="382" t="s">
        <v>19013</v>
      </c>
      <c r="Q3200" s="2191" t="str">
        <f> hyperlink(vlookup(lower(N3200),'File Links'!E:F, 2, FALSE), "LINK")</f>
        <v>LINK</v>
      </c>
      <c r="R3200" s="159" t="s">
        <v>19014</v>
      </c>
      <c r="S3200" s="159" t="s">
        <v>19015</v>
      </c>
      <c r="T3200" s="68"/>
      <c r="U3200" s="156">
        <v>2.0</v>
      </c>
      <c r="V3200" s="382" t="s">
        <v>19016</v>
      </c>
      <c r="W3200" s="1231" t="s">
        <v>7284</v>
      </c>
      <c r="X3200" s="1552" t="str">
        <f> hyperlink(vlookup(lower(S3200),'File Links'!E:F, 2, FALSE), "LINK")</f>
        <v>LINK</v>
      </c>
      <c r="Y3200" s="68"/>
      <c r="Z3200" s="159" t="s">
        <v>226</v>
      </c>
      <c r="AA3200" s="159" t="s">
        <v>19096</v>
      </c>
      <c r="AB3200" s="159" t="s">
        <v>19018</v>
      </c>
      <c r="AC3200" s="159" t="s">
        <v>19097</v>
      </c>
      <c r="AD3200" s="159" t="s">
        <v>19098</v>
      </c>
      <c r="AE3200" s="159" t="s">
        <v>4979</v>
      </c>
      <c r="AF3200" s="156">
        <v>444.0</v>
      </c>
      <c r="AG3200" s="156">
        <v>-0.38</v>
      </c>
      <c r="AH3200" s="159" t="s">
        <v>361</v>
      </c>
      <c r="AI3200" s="159" t="s">
        <v>1042</v>
      </c>
      <c r="AJ3200" s="156">
        <v>0.001</v>
      </c>
      <c r="AK3200" s="159" t="s">
        <v>135</v>
      </c>
      <c r="AL3200" s="159" t="s">
        <v>186</v>
      </c>
      <c r="AM3200" s="159" t="s">
        <v>141</v>
      </c>
      <c r="AN3200" s="68"/>
      <c r="AO3200" s="156">
        <v>98.0</v>
      </c>
      <c r="AP3200" s="156">
        <v>1.266</v>
      </c>
      <c r="AQ3200" s="159" t="s">
        <v>173</v>
      </c>
      <c r="AR3200" s="159" t="s">
        <v>19021</v>
      </c>
      <c r="AS3200" s="156">
        <v>0.001</v>
      </c>
      <c r="AT3200" s="159" t="s">
        <v>135</v>
      </c>
      <c r="AU3200" s="159" t="s">
        <v>186</v>
      </c>
      <c r="AV3200" s="159" t="s">
        <v>141</v>
      </c>
      <c r="AW3200" s="68"/>
      <c r="AX3200" s="159" t="s">
        <v>143</v>
      </c>
      <c r="AY3200" s="61" t="str">
        <f>IFERROR(__xludf.DUMMYFUNCTION("vlookup(BB3200,importrange(""https://docs.google.com/spreadsheets/d/1d2vevQ_7D_v35q4wCQ4RpQ_IPoTwEMB9Yp6ymwlPqew/edit?gid=984458430#gid=984458430"", ""'replication success'!A:K""), 11, FAlSE)"),"#N/A")</f>
        <v>#N/A</v>
      </c>
      <c r="AZ3200" s="61" t="str">
        <f>IFERROR(__xludf.DUMMYFUNCTION("vlookup(BB3200,importrange(""https://docs.google.com/spreadsheets/d/1d2vevQ_7D_v35q4wCQ4RpQ_IPoTwEMB9Yp6ymwlPqew/edit?gid=984458430#gid=984458430"", ""'replication success'!A:M""), 12, FAlSE)"),"#N/A")</f>
        <v>#N/A</v>
      </c>
      <c r="BA3200" s="61" t="str">
        <f>IFERROR(__xludf.DUMMYFUNCTION("vlookup(BB3200,importrange(""https://docs.google.com/spreadsheets/d/1d2vevQ_7D_v35q4wCQ4RpQ_IPoTwEMB9Yp6ymwlPqew/edit?gid=984458430#gid=984458430"", ""'replication success'!A:M""), 13, FAlSE)"),"#N/A")</f>
        <v>#N/A</v>
      </c>
      <c r="BB3200" s="61" t="str">
        <f>IFERROR(__xludf.DUMMYFUNCTION("REGEXREPLACE(G3200, ""_[a-z]{1,2}$"", """")"),"soscisubmission70")</f>
        <v>soscisubmission70</v>
      </c>
      <c r="BD3200" s="62" t="s">
        <v>3130</v>
      </c>
    </row>
    <row r="3201" ht="15.75" customHeight="1">
      <c r="A3201" s="44">
        <v>3009.0</v>
      </c>
      <c r="B3201" s="129" t="s">
        <v>523</v>
      </c>
      <c r="C3201" s="62" t="s">
        <v>115</v>
      </c>
      <c r="D3201" s="62" t="s">
        <v>18727</v>
      </c>
      <c r="F3201" s="68" t="s">
        <v>15506</v>
      </c>
      <c r="G3201" s="159" t="s">
        <v>15507</v>
      </c>
      <c r="H3201" s="159" t="s">
        <v>18728</v>
      </c>
      <c r="I3201" s="434">
        <v>45805.0</v>
      </c>
      <c r="J3201" s="862"/>
      <c r="K3201" s="68"/>
      <c r="L3201" s="68"/>
      <c r="M3201" s="159" t="s">
        <v>19099</v>
      </c>
      <c r="N3201" s="435" t="s">
        <v>19100</v>
      </c>
      <c r="O3201" s="156">
        <v>1.0</v>
      </c>
      <c r="P3201" s="382" t="s">
        <v>15510</v>
      </c>
      <c r="Q3201" s="2174" t="str">
        <f> hyperlink(vlookup(lower(N3201),'File Links'!E:F, 2, FALSE), "LINK")</f>
        <v>LINK</v>
      </c>
      <c r="R3201" s="159" t="s">
        <v>19101</v>
      </c>
      <c r="S3201" s="435" t="s">
        <v>19102</v>
      </c>
      <c r="T3201" s="68"/>
      <c r="U3201" s="156">
        <v>1.0</v>
      </c>
      <c r="V3201" s="382" t="s">
        <v>15513</v>
      </c>
      <c r="W3201" s="1228"/>
      <c r="X3201" s="1552" t="str">
        <f> hyperlink(vlookup(lower(S3201),'File Links'!E:F, 2, FALSE), "LINK")</f>
        <v>LINK</v>
      </c>
      <c r="Y3201" s="68"/>
      <c r="Z3201" s="159" t="s">
        <v>15514</v>
      </c>
      <c r="AA3201" s="159" t="s">
        <v>19103</v>
      </c>
      <c r="AB3201" s="2512" t="s">
        <v>19104</v>
      </c>
      <c r="AC3201" s="2502" t="s">
        <v>19105</v>
      </c>
      <c r="AD3201" s="2512" t="s">
        <v>19106</v>
      </c>
      <c r="AE3201" s="156">
        <v>4.0</v>
      </c>
      <c r="AF3201" s="156">
        <v>54.0</v>
      </c>
      <c r="AG3201" s="156">
        <v>0.844</v>
      </c>
      <c r="AH3201" s="159" t="s">
        <v>173</v>
      </c>
      <c r="AI3201" s="2513" t="s">
        <v>19107</v>
      </c>
      <c r="AJ3201" s="156">
        <v>0.01</v>
      </c>
      <c r="AK3201" s="159" t="s">
        <v>135</v>
      </c>
      <c r="AL3201" s="159" t="s">
        <v>186</v>
      </c>
      <c r="AM3201" s="159" t="s">
        <v>137</v>
      </c>
      <c r="AN3201" s="159" t="s">
        <v>138</v>
      </c>
      <c r="AO3201" s="156">
        <v>464.0</v>
      </c>
      <c r="AP3201" s="156">
        <v>0.45</v>
      </c>
      <c r="AQ3201" s="159" t="s">
        <v>173</v>
      </c>
      <c r="AR3201" s="156">
        <v>5.0</v>
      </c>
      <c r="AS3201" s="156">
        <v>0.001</v>
      </c>
      <c r="AT3201" s="159" t="s">
        <v>135</v>
      </c>
      <c r="AU3201" s="159" t="s">
        <v>186</v>
      </c>
      <c r="AV3201" s="159" t="s">
        <v>137</v>
      </c>
      <c r="AW3201" s="594" t="s">
        <v>19108</v>
      </c>
      <c r="AX3201" s="159" t="s">
        <v>143</v>
      </c>
      <c r="AY3201" s="61" t="str">
        <f>IFERROR(__xludf.DUMMYFUNCTION("vlookup(BB3201,importrange(""https://docs.google.com/spreadsheets/d/1d2vevQ_7D_v35q4wCQ4RpQ_IPoTwEMB9Yp6ymwlPqew/edit?gid=984458430#gid=984458430"", ""'replication success'!A:K""), 11, FAlSE)"),"#N/A")</f>
        <v>#N/A</v>
      </c>
      <c r="AZ3201" s="61" t="str">
        <f>IFERROR(__xludf.DUMMYFUNCTION("vlookup(BB3201,importrange(""https://docs.google.com/spreadsheets/d/1d2vevQ_7D_v35q4wCQ4RpQ_IPoTwEMB9Yp6ymwlPqew/edit?gid=984458430#gid=984458430"", ""'replication success'!A:M""), 12, FAlSE)"),"#N/A")</f>
        <v>#N/A</v>
      </c>
      <c r="BA3201" s="61" t="str">
        <f>IFERROR(__xludf.DUMMYFUNCTION("vlookup(BB3201,importrange(""https://docs.google.com/spreadsheets/d/1d2vevQ_7D_v35q4wCQ4RpQ_IPoTwEMB9Yp6ymwlPqew/edit?gid=984458430#gid=984458430"", ""'replication success'!A:M""), 13, FAlSE)"),"#N/A")</f>
        <v>#N/A</v>
      </c>
      <c r="BB3201" s="61" t="str">
        <f>IFERROR(__xludf.DUMMYFUNCTION("REGEXREPLACE(G3201, ""_[a-z]{1,2}$"", """")"),"soscisubmission72")</f>
        <v>soscisubmission72</v>
      </c>
      <c r="BD3201" s="1063" t="s">
        <v>13231</v>
      </c>
    </row>
    <row r="3202" ht="15.75" customHeight="1">
      <c r="A3202" s="44">
        <v>2768.0</v>
      </c>
      <c r="B3202" s="129" t="s">
        <v>523</v>
      </c>
      <c r="C3202" s="62" t="s">
        <v>115</v>
      </c>
      <c r="D3202" s="62" t="s">
        <v>221</v>
      </c>
      <c r="F3202" s="68" t="s">
        <v>19109</v>
      </c>
      <c r="G3202" s="159" t="s">
        <v>19110</v>
      </c>
      <c r="H3202" s="159" t="s">
        <v>222</v>
      </c>
      <c r="I3202" s="152">
        <v>45801.0</v>
      </c>
      <c r="J3202" s="862"/>
      <c r="K3202" s="68"/>
      <c r="L3202" s="68"/>
      <c r="M3202" s="159" t="s">
        <v>19111</v>
      </c>
      <c r="N3202" s="159" t="s">
        <v>19112</v>
      </c>
      <c r="O3202" s="156">
        <v>3.0</v>
      </c>
      <c r="P3202" s="382" t="s">
        <v>19113</v>
      </c>
      <c r="Q3202" s="2191" t="str">
        <f> hyperlink(vlookup(lower(N3202),'File Links'!E:F, 2, FALSE), "LINK")</f>
        <v>LINK</v>
      </c>
      <c r="R3202" s="159" t="s">
        <v>19114</v>
      </c>
      <c r="S3202" s="159" t="s">
        <v>19115</v>
      </c>
      <c r="T3202" s="68"/>
      <c r="U3202" s="68"/>
      <c r="V3202" s="382" t="s">
        <v>19116</v>
      </c>
      <c r="W3202" s="1228"/>
      <c r="X3202" s="1552" t="str">
        <f> hyperlink(vlookup(lower(S3202),'File Links'!E:F, 2, FALSE), "LINK")</f>
        <v>LINK</v>
      </c>
      <c r="Y3202" s="68"/>
      <c r="Z3202" s="159" t="s">
        <v>226</v>
      </c>
      <c r="AA3202" s="159" t="s">
        <v>19117</v>
      </c>
      <c r="AB3202" s="159" t="s">
        <v>19118</v>
      </c>
      <c r="AC3202" s="159" t="s">
        <v>19119</v>
      </c>
      <c r="AD3202" s="159" t="s">
        <v>19120</v>
      </c>
      <c r="AE3202" s="159" t="s">
        <v>132</v>
      </c>
      <c r="AF3202" s="156">
        <v>85.0</v>
      </c>
      <c r="AG3202" s="156">
        <v>0.49</v>
      </c>
      <c r="AH3202" s="159" t="s">
        <v>173</v>
      </c>
      <c r="AI3202" s="159" t="s">
        <v>613</v>
      </c>
      <c r="AJ3202" s="156">
        <v>0.026</v>
      </c>
      <c r="AK3202" s="159" t="s">
        <v>172</v>
      </c>
      <c r="AL3202" s="159" t="s">
        <v>136</v>
      </c>
      <c r="AM3202" s="159" t="s">
        <v>137</v>
      </c>
      <c r="AN3202" s="159" t="s">
        <v>138</v>
      </c>
      <c r="AO3202" s="156">
        <v>847.0</v>
      </c>
      <c r="AP3202" s="156">
        <v>0.11</v>
      </c>
      <c r="AQ3202" s="159" t="s">
        <v>173</v>
      </c>
      <c r="AR3202" s="159" t="s">
        <v>613</v>
      </c>
      <c r="AS3202" s="156">
        <v>0.039</v>
      </c>
      <c r="AT3202" s="159" t="s">
        <v>172</v>
      </c>
      <c r="AU3202" s="159" t="s">
        <v>136</v>
      </c>
      <c r="AV3202" s="159" t="s">
        <v>137</v>
      </c>
      <c r="AW3202" s="435" t="s">
        <v>19121</v>
      </c>
      <c r="AX3202" s="159" t="s">
        <v>143</v>
      </c>
      <c r="AY3202" s="61" t="str">
        <f>IFERROR(__xludf.DUMMYFUNCTION("vlookup(BB3202,importrange(""https://docs.google.com/spreadsheets/d/1d2vevQ_7D_v35q4wCQ4RpQ_IPoTwEMB9Yp6ymwlPqew/edit?gid=984458430#gid=984458430"", ""'replication success'!A:K""), 11, FAlSE)"),"#N/A")</f>
        <v>#N/A</v>
      </c>
      <c r="AZ3202" s="61" t="str">
        <f>IFERROR(__xludf.DUMMYFUNCTION("vlookup(BB3202,importrange(""https://docs.google.com/spreadsheets/d/1d2vevQ_7D_v35q4wCQ4RpQ_IPoTwEMB9Yp6ymwlPqew/edit?gid=984458430#gid=984458430"", ""'replication success'!A:M""), 12, FAlSE)"),"#N/A")</f>
        <v>#N/A</v>
      </c>
      <c r="BA3202" s="61" t="str">
        <f>IFERROR(__xludf.DUMMYFUNCTION("vlookup(BB3202,importrange(""https://docs.google.com/spreadsheets/d/1d2vevQ_7D_v35q4wCQ4RpQ_IPoTwEMB9Yp6ymwlPqew/edit?gid=984458430#gid=984458430"", ""'replication success'!A:M""), 13, FAlSE)"),"#N/A")</f>
        <v>#N/A</v>
      </c>
      <c r="BB3202" s="61" t="str">
        <f>IFERROR(__xludf.DUMMYFUNCTION("REGEXREPLACE(G3202, ""_[a-z]{1,2}$"", """")"),"soscisubmission73")</f>
        <v>soscisubmission73</v>
      </c>
      <c r="BD3202" s="1063" t="s">
        <v>13231</v>
      </c>
      <c r="BF3202" s="2010"/>
      <c r="BG3202" s="2010"/>
      <c r="BH3202" s="2010"/>
      <c r="BI3202" s="2010"/>
      <c r="BJ3202" s="2010"/>
      <c r="BK3202" s="2010"/>
      <c r="BL3202" s="2010"/>
      <c r="BM3202" s="2010"/>
      <c r="BN3202" s="2010"/>
      <c r="BO3202" s="2010"/>
      <c r="BP3202" s="2010"/>
      <c r="BQ3202" s="2010"/>
      <c r="BR3202" s="2010"/>
      <c r="BS3202" s="2010"/>
      <c r="BT3202" s="2010"/>
      <c r="BU3202" s="2010"/>
      <c r="BV3202" s="2010"/>
      <c r="BW3202" s="2010"/>
      <c r="BX3202" s="2010"/>
      <c r="BY3202" s="2010"/>
      <c r="BZ3202" s="2010"/>
      <c r="CA3202" s="2010"/>
      <c r="CB3202" s="2010"/>
      <c r="CC3202" s="2010"/>
      <c r="CD3202" s="2010"/>
      <c r="CE3202" s="2010"/>
      <c r="CF3202" s="2010"/>
      <c r="CG3202" s="2010"/>
      <c r="CH3202" s="2010"/>
      <c r="CI3202" s="2010"/>
      <c r="CJ3202" s="2010"/>
      <c r="CK3202" s="2010"/>
      <c r="CL3202" s="2010"/>
      <c r="CM3202" s="2010"/>
      <c r="CN3202" s="2010"/>
      <c r="CO3202" s="2010"/>
      <c r="CP3202" s="2010"/>
      <c r="CQ3202" s="2010"/>
      <c r="CR3202" s="2010"/>
      <c r="CS3202" s="2010"/>
      <c r="CT3202" s="2010"/>
      <c r="CU3202" s="2010"/>
      <c r="CV3202" s="2010"/>
      <c r="CW3202" s="2010"/>
      <c r="CX3202" s="2010"/>
      <c r="CY3202" s="2010"/>
      <c r="CZ3202" s="2010"/>
      <c r="DA3202" s="2010"/>
      <c r="DB3202" s="2010"/>
      <c r="DC3202" s="2010"/>
      <c r="DD3202" s="2010"/>
      <c r="DE3202" s="2010"/>
      <c r="DF3202" s="2010"/>
      <c r="DG3202" s="2010"/>
      <c r="DH3202" s="2010"/>
      <c r="DI3202" s="2010"/>
      <c r="DJ3202" s="2010"/>
      <c r="DK3202" s="2010"/>
      <c r="DL3202" s="2010"/>
    </row>
    <row r="3203" ht="15.75" customHeight="1">
      <c r="A3203" s="44">
        <v>2769.0</v>
      </c>
      <c r="B3203" s="129" t="s">
        <v>523</v>
      </c>
      <c r="C3203" s="62" t="s">
        <v>115</v>
      </c>
      <c r="D3203" s="62" t="s">
        <v>221</v>
      </c>
      <c r="F3203" s="68" t="s">
        <v>19122</v>
      </c>
      <c r="G3203" s="159" t="s">
        <v>19110</v>
      </c>
      <c r="H3203" s="159" t="s">
        <v>222</v>
      </c>
      <c r="I3203" s="152">
        <v>45801.0</v>
      </c>
      <c r="J3203" s="862"/>
      <c r="K3203" s="68"/>
      <c r="L3203" s="159" t="s">
        <v>19123</v>
      </c>
      <c r="M3203" s="159" t="s">
        <v>19124</v>
      </c>
      <c r="N3203" s="159" t="s">
        <v>19112</v>
      </c>
      <c r="O3203" s="68"/>
      <c r="P3203" s="382" t="s">
        <v>19113</v>
      </c>
      <c r="Q3203" s="2191" t="str">
        <f> hyperlink(vlookup(lower(N3203),'File Links'!E:F, 2, FALSE), "LINK")</f>
        <v>LINK</v>
      </c>
      <c r="R3203" s="159" t="s">
        <v>19114</v>
      </c>
      <c r="S3203" s="159" t="s">
        <v>19115</v>
      </c>
      <c r="T3203" s="68"/>
      <c r="U3203" s="68"/>
      <c r="V3203" s="382" t="s">
        <v>19116</v>
      </c>
      <c r="W3203" s="1228"/>
      <c r="X3203" s="2419" t="str">
        <f> hyperlink(vlookup(lower(S3203),'File Links'!E:F, 2, FALSE), "LINK")</f>
        <v>LINK</v>
      </c>
      <c r="Y3203" s="68"/>
      <c r="Z3203" s="159" t="s">
        <v>1576</v>
      </c>
      <c r="AA3203" s="159" t="s">
        <v>19125</v>
      </c>
      <c r="AB3203" s="159" t="s">
        <v>19118</v>
      </c>
      <c r="AC3203" s="159" t="s">
        <v>19119</v>
      </c>
      <c r="AD3203" s="159" t="s">
        <v>19126</v>
      </c>
      <c r="AE3203" s="159" t="s">
        <v>613</v>
      </c>
      <c r="AF3203" s="156">
        <v>85.0</v>
      </c>
      <c r="AG3203" s="156">
        <v>0.52</v>
      </c>
      <c r="AH3203" s="159" t="s">
        <v>173</v>
      </c>
      <c r="AI3203" s="159" t="s">
        <v>613</v>
      </c>
      <c r="AJ3203" s="156">
        <v>0.001</v>
      </c>
      <c r="AK3203" s="159" t="s">
        <v>135</v>
      </c>
      <c r="AL3203" s="159" t="s">
        <v>136</v>
      </c>
      <c r="AM3203" s="159" t="s">
        <v>137</v>
      </c>
      <c r="AN3203" s="159" t="s">
        <v>138</v>
      </c>
      <c r="AO3203" s="156">
        <v>847.0</v>
      </c>
      <c r="AP3203" s="156">
        <v>0.12</v>
      </c>
      <c r="AQ3203" s="159" t="s">
        <v>173</v>
      </c>
      <c r="AR3203" s="159" t="s">
        <v>813</v>
      </c>
      <c r="AS3203" s="336">
        <v>0.09</v>
      </c>
      <c r="AT3203" s="159" t="s">
        <v>172</v>
      </c>
      <c r="AU3203" s="159" t="s">
        <v>136</v>
      </c>
      <c r="AV3203" s="159" t="s">
        <v>137</v>
      </c>
      <c r="AW3203" s="435" t="s">
        <v>19121</v>
      </c>
      <c r="AX3203" s="159" t="s">
        <v>143</v>
      </c>
      <c r="AY3203" s="61" t="str">
        <f>IFERROR(__xludf.DUMMYFUNCTION("vlookup(BB3203,importrange(""https://docs.google.com/spreadsheets/d/1d2vevQ_7D_v35q4wCQ4RpQ_IPoTwEMB9Yp6ymwlPqew/edit?gid=984458430#gid=984458430"", ""'replication success'!A:K""), 11, FAlSE)"),"#N/A")</f>
        <v>#N/A</v>
      </c>
      <c r="AZ3203" s="61" t="str">
        <f>IFERROR(__xludf.DUMMYFUNCTION("vlookup(BB3203,importrange(""https://docs.google.com/spreadsheets/d/1d2vevQ_7D_v35q4wCQ4RpQ_IPoTwEMB9Yp6ymwlPqew/edit?gid=984458430#gid=984458430"", ""'replication success'!A:M""), 12, FAlSE)"),"#N/A")</f>
        <v>#N/A</v>
      </c>
      <c r="BA3203" s="61" t="str">
        <f>IFERROR(__xludf.DUMMYFUNCTION("vlookup(BB3203,importrange(""https://docs.google.com/spreadsheets/d/1d2vevQ_7D_v35q4wCQ4RpQ_IPoTwEMB9Yp6ymwlPqew/edit?gid=984458430#gid=984458430"", ""'replication success'!A:M""), 13, FAlSE)"),"#N/A")</f>
        <v>#N/A</v>
      </c>
      <c r="BB3203" s="61" t="str">
        <f>IFERROR(__xludf.DUMMYFUNCTION("REGEXREPLACE(G3203, ""_[a-z]{1,2}$"", """")"),"soscisubmission73")</f>
        <v>soscisubmission73</v>
      </c>
      <c r="BD3203" s="1063" t="s">
        <v>13231</v>
      </c>
    </row>
    <row r="3204" ht="15.75" customHeight="1">
      <c r="A3204" s="44">
        <v>2770.0</v>
      </c>
      <c r="B3204" s="129" t="s">
        <v>523</v>
      </c>
      <c r="C3204" s="62" t="s">
        <v>115</v>
      </c>
      <c r="D3204" s="62" t="s">
        <v>221</v>
      </c>
      <c r="F3204" s="68" t="s">
        <v>19127</v>
      </c>
      <c r="G3204" s="159" t="s">
        <v>19110</v>
      </c>
      <c r="H3204" s="159" t="s">
        <v>222</v>
      </c>
      <c r="I3204" s="152">
        <v>45801.0</v>
      </c>
      <c r="J3204" s="862"/>
      <c r="K3204" s="68"/>
      <c r="L3204" s="159" t="s">
        <v>19128</v>
      </c>
      <c r="M3204" s="159" t="s">
        <v>19124</v>
      </c>
      <c r="N3204" s="159" t="s">
        <v>19112</v>
      </c>
      <c r="O3204" s="68"/>
      <c r="P3204" s="382" t="s">
        <v>19113</v>
      </c>
      <c r="Q3204" s="2191" t="str">
        <f> hyperlink(vlookup(lower(N3204),'File Links'!E:F, 2, FALSE), "LINK")</f>
        <v>LINK</v>
      </c>
      <c r="R3204" s="159" t="s">
        <v>19114</v>
      </c>
      <c r="S3204" s="159" t="s">
        <v>19115</v>
      </c>
      <c r="T3204" s="68"/>
      <c r="U3204" s="68"/>
      <c r="V3204" s="382" t="s">
        <v>19116</v>
      </c>
      <c r="W3204" s="1228"/>
      <c r="X3204" s="2419" t="str">
        <f> hyperlink(vlookup(lower(S3204),'File Links'!E:F, 2, FALSE), "LINK")</f>
        <v>LINK</v>
      </c>
      <c r="Y3204" s="68"/>
      <c r="Z3204" s="159" t="s">
        <v>1576</v>
      </c>
      <c r="AA3204" s="159" t="s">
        <v>19129</v>
      </c>
      <c r="AB3204" s="159" t="s">
        <v>19118</v>
      </c>
      <c r="AC3204" s="159" t="s">
        <v>19119</v>
      </c>
      <c r="AD3204" s="159" t="s">
        <v>19130</v>
      </c>
      <c r="AE3204" s="159" t="s">
        <v>613</v>
      </c>
      <c r="AF3204" s="156">
        <v>85.0</v>
      </c>
      <c r="AG3204" s="156">
        <v>0.45</v>
      </c>
      <c r="AH3204" s="159" t="s">
        <v>173</v>
      </c>
      <c r="AI3204" s="159" t="s">
        <v>613</v>
      </c>
      <c r="AJ3204" s="336">
        <v>0.003</v>
      </c>
      <c r="AK3204" s="159" t="s">
        <v>172</v>
      </c>
      <c r="AL3204" s="159" t="s">
        <v>136</v>
      </c>
      <c r="AM3204" s="159" t="s">
        <v>137</v>
      </c>
      <c r="AN3204" s="159" t="s">
        <v>138</v>
      </c>
      <c r="AO3204" s="156">
        <v>847.0</v>
      </c>
      <c r="AP3204" s="156">
        <v>0.14</v>
      </c>
      <c r="AQ3204" s="159" t="s">
        <v>173</v>
      </c>
      <c r="AR3204" s="159" t="s">
        <v>813</v>
      </c>
      <c r="AS3204" s="156">
        <v>0.044</v>
      </c>
      <c r="AT3204" s="159" t="s">
        <v>172</v>
      </c>
      <c r="AU3204" s="159" t="s">
        <v>136</v>
      </c>
      <c r="AV3204" s="159" t="s">
        <v>137</v>
      </c>
      <c r="AW3204" s="435" t="s">
        <v>19121</v>
      </c>
      <c r="AX3204" s="159" t="s">
        <v>143</v>
      </c>
      <c r="AY3204" s="61" t="str">
        <f>IFERROR(__xludf.DUMMYFUNCTION("vlookup(BB3204,importrange(""https://docs.google.com/spreadsheets/d/1d2vevQ_7D_v35q4wCQ4RpQ_IPoTwEMB9Yp6ymwlPqew/edit?gid=984458430#gid=984458430"", ""'replication success'!A:K""), 11, FAlSE)"),"#N/A")</f>
        <v>#N/A</v>
      </c>
      <c r="AZ3204" s="61" t="str">
        <f>IFERROR(__xludf.DUMMYFUNCTION("vlookup(BB3204,importrange(""https://docs.google.com/spreadsheets/d/1d2vevQ_7D_v35q4wCQ4RpQ_IPoTwEMB9Yp6ymwlPqew/edit?gid=984458430#gid=984458430"", ""'replication success'!A:M""), 12, FAlSE)"),"#N/A")</f>
        <v>#N/A</v>
      </c>
      <c r="BA3204" s="61" t="str">
        <f>IFERROR(__xludf.DUMMYFUNCTION("vlookup(BB3204,importrange(""https://docs.google.com/spreadsheets/d/1d2vevQ_7D_v35q4wCQ4RpQ_IPoTwEMB9Yp6ymwlPqew/edit?gid=984458430#gid=984458430"", ""'replication success'!A:M""), 13, FAlSE)"),"#N/A")</f>
        <v>#N/A</v>
      </c>
      <c r="BB3204" s="61" t="str">
        <f>IFERROR(__xludf.DUMMYFUNCTION("REGEXREPLACE(G3204, ""_[a-z]{1,2}$"", """")"),"soscisubmission73")</f>
        <v>soscisubmission73</v>
      </c>
      <c r="BD3204" s="1063" t="s">
        <v>13231</v>
      </c>
    </row>
    <row r="3205" ht="15.75" customHeight="1">
      <c r="A3205" s="44">
        <v>2771.0</v>
      </c>
      <c r="B3205" s="129" t="s">
        <v>523</v>
      </c>
      <c r="C3205" s="62" t="s">
        <v>115</v>
      </c>
      <c r="D3205" s="62" t="s">
        <v>221</v>
      </c>
      <c r="F3205" s="68" t="s">
        <v>19131</v>
      </c>
      <c r="G3205" s="159" t="s">
        <v>19110</v>
      </c>
      <c r="H3205" s="159" t="s">
        <v>222</v>
      </c>
      <c r="I3205" s="152">
        <v>45801.0</v>
      </c>
      <c r="J3205" s="862"/>
      <c r="K3205" s="68"/>
      <c r="L3205" s="159" t="s">
        <v>19132</v>
      </c>
      <c r="M3205" s="159" t="s">
        <v>19124</v>
      </c>
      <c r="N3205" s="159" t="s">
        <v>19112</v>
      </c>
      <c r="O3205" s="68"/>
      <c r="P3205" s="382" t="s">
        <v>19113</v>
      </c>
      <c r="Q3205" s="2191" t="str">
        <f> hyperlink(vlookup(lower(N3205),'File Links'!E:F, 2, FALSE), "LINK")</f>
        <v>LINK</v>
      </c>
      <c r="R3205" s="159" t="s">
        <v>19114</v>
      </c>
      <c r="S3205" s="159" t="s">
        <v>19115</v>
      </c>
      <c r="T3205" s="68"/>
      <c r="U3205" s="68"/>
      <c r="V3205" s="159" t="s">
        <v>19116</v>
      </c>
      <c r="W3205" s="1228"/>
      <c r="X3205" s="2419" t="str">
        <f> hyperlink(vlookup(lower(S3205),'File Links'!E:F, 2, FALSE), "LINK")</f>
        <v>LINK</v>
      </c>
      <c r="Y3205" s="68"/>
      <c r="Z3205" s="159" t="s">
        <v>1576</v>
      </c>
      <c r="AA3205" s="159" t="s">
        <v>19133</v>
      </c>
      <c r="AB3205" s="159" t="s">
        <v>19118</v>
      </c>
      <c r="AC3205" s="159" t="s">
        <v>19119</v>
      </c>
      <c r="AD3205" s="159" t="s">
        <v>19134</v>
      </c>
      <c r="AE3205" s="159" t="s">
        <v>217</v>
      </c>
      <c r="AF3205" s="156">
        <v>85.0</v>
      </c>
      <c r="AG3205" s="156">
        <v>0.34</v>
      </c>
      <c r="AH3205" s="159" t="s">
        <v>173</v>
      </c>
      <c r="AI3205" s="159" t="s">
        <v>613</v>
      </c>
      <c r="AJ3205" s="156">
        <v>0.11</v>
      </c>
      <c r="AK3205" s="159" t="s">
        <v>172</v>
      </c>
      <c r="AL3205" s="159" t="s">
        <v>136</v>
      </c>
      <c r="AM3205" s="159" t="s">
        <v>137</v>
      </c>
      <c r="AN3205" s="159" t="s">
        <v>138</v>
      </c>
      <c r="AO3205" s="156">
        <v>847.0</v>
      </c>
      <c r="AP3205" s="156">
        <v>-0.05</v>
      </c>
      <c r="AQ3205" s="159" t="s">
        <v>173</v>
      </c>
      <c r="AR3205" s="159" t="s">
        <v>628</v>
      </c>
      <c r="AS3205" s="156">
        <v>0.001</v>
      </c>
      <c r="AT3205" s="159" t="s">
        <v>135</v>
      </c>
      <c r="AU3205" s="159" t="s">
        <v>136</v>
      </c>
      <c r="AV3205" s="159" t="s">
        <v>137</v>
      </c>
      <c r="AW3205" s="435" t="s">
        <v>19135</v>
      </c>
      <c r="AX3205" s="159" t="s">
        <v>143</v>
      </c>
      <c r="AY3205" s="61" t="str">
        <f>IFERROR(__xludf.DUMMYFUNCTION("vlookup(BB3205,importrange(""https://docs.google.com/spreadsheets/d/1d2vevQ_7D_v35q4wCQ4RpQ_IPoTwEMB9Yp6ymwlPqew/edit?gid=984458430#gid=984458430"", ""'replication success'!A:K""), 11, FAlSE)"),"#N/A")</f>
        <v>#N/A</v>
      </c>
      <c r="AZ3205" s="61" t="str">
        <f>IFERROR(__xludf.DUMMYFUNCTION("vlookup(BB3205,importrange(""https://docs.google.com/spreadsheets/d/1d2vevQ_7D_v35q4wCQ4RpQ_IPoTwEMB9Yp6ymwlPqew/edit?gid=984458430#gid=984458430"", ""'replication success'!A:M""), 12, FAlSE)"),"#N/A")</f>
        <v>#N/A</v>
      </c>
      <c r="BA3205" s="61" t="str">
        <f>IFERROR(__xludf.DUMMYFUNCTION("vlookup(BB3205,importrange(""https://docs.google.com/spreadsheets/d/1d2vevQ_7D_v35q4wCQ4RpQ_IPoTwEMB9Yp6ymwlPqew/edit?gid=984458430#gid=984458430"", ""'replication success'!A:M""), 13, FAlSE)"),"#N/A")</f>
        <v>#N/A</v>
      </c>
      <c r="BB3205" s="61" t="str">
        <f>IFERROR(__xludf.DUMMYFUNCTION("REGEXREPLACE(G3205, ""_[a-z]{1,2}$"", """")"),"soscisubmission73")</f>
        <v>soscisubmission73</v>
      </c>
      <c r="BD3205" s="1063" t="s">
        <v>13231</v>
      </c>
    </row>
    <row r="3206" ht="15.75" customHeight="1">
      <c r="A3206" s="44">
        <v>2772.0</v>
      </c>
      <c r="B3206" s="129" t="s">
        <v>523</v>
      </c>
      <c r="C3206" s="62" t="s">
        <v>115</v>
      </c>
      <c r="D3206" s="62" t="s">
        <v>221</v>
      </c>
      <c r="F3206" s="68" t="s">
        <v>19136</v>
      </c>
      <c r="G3206" s="159" t="s">
        <v>19110</v>
      </c>
      <c r="H3206" s="159" t="s">
        <v>222</v>
      </c>
      <c r="I3206" s="152">
        <v>45802.0</v>
      </c>
      <c r="J3206" s="862"/>
      <c r="K3206" s="68"/>
      <c r="L3206" s="68"/>
      <c r="M3206" s="159" t="s">
        <v>19124</v>
      </c>
      <c r="N3206" s="159" t="s">
        <v>19112</v>
      </c>
      <c r="O3206" s="68"/>
      <c r="P3206" s="382" t="s">
        <v>19113</v>
      </c>
      <c r="Q3206" s="2191" t="str">
        <f> hyperlink(vlookup(lower(N3206),'File Links'!E:F, 2, FALSE), "LINK")</f>
        <v>LINK</v>
      </c>
      <c r="R3206" s="159" t="s">
        <v>19114</v>
      </c>
      <c r="S3206" s="159" t="s">
        <v>19115</v>
      </c>
      <c r="T3206" s="68"/>
      <c r="U3206" s="68"/>
      <c r="V3206" s="382" t="s">
        <v>19116</v>
      </c>
      <c r="W3206" s="1228"/>
      <c r="X3206" s="2419" t="str">
        <f> hyperlink(vlookup(lower(S3206),'File Links'!E:F, 2, FALSE), "LINK")</f>
        <v>LINK</v>
      </c>
      <c r="Y3206" s="68"/>
      <c r="Z3206" s="159" t="s">
        <v>1576</v>
      </c>
      <c r="AA3206" s="159" t="s">
        <v>19137</v>
      </c>
      <c r="AB3206" s="159" t="s">
        <v>19118</v>
      </c>
      <c r="AC3206" s="159" t="s">
        <v>19119</v>
      </c>
      <c r="AD3206" s="159" t="s">
        <v>19138</v>
      </c>
      <c r="AE3206" s="159" t="s">
        <v>632</v>
      </c>
      <c r="AF3206" s="156">
        <v>85.0</v>
      </c>
      <c r="AG3206" s="336">
        <v>0.41</v>
      </c>
      <c r="AH3206" s="159" t="s">
        <v>173</v>
      </c>
      <c r="AI3206" s="159" t="s">
        <v>632</v>
      </c>
      <c r="AJ3206" s="336">
        <v>0.009</v>
      </c>
      <c r="AK3206" s="159" t="s">
        <v>172</v>
      </c>
      <c r="AL3206" s="159" t="s">
        <v>136</v>
      </c>
      <c r="AM3206" s="159" t="s">
        <v>137</v>
      </c>
      <c r="AN3206" s="159" t="s">
        <v>138</v>
      </c>
      <c r="AO3206" s="156">
        <v>847.0</v>
      </c>
      <c r="AP3206" s="156">
        <v>-0.12</v>
      </c>
      <c r="AQ3206" s="159" t="s">
        <v>173</v>
      </c>
      <c r="AR3206" s="159" t="s">
        <v>132</v>
      </c>
      <c r="AS3206" s="156">
        <v>0.341</v>
      </c>
      <c r="AT3206" s="159" t="s">
        <v>172</v>
      </c>
      <c r="AU3206" s="159" t="s">
        <v>136</v>
      </c>
      <c r="AV3206" s="159" t="s">
        <v>137</v>
      </c>
      <c r="AW3206" s="435" t="s">
        <v>19135</v>
      </c>
      <c r="AX3206" s="159" t="s">
        <v>143</v>
      </c>
      <c r="AY3206" s="61" t="str">
        <f>IFERROR(__xludf.DUMMYFUNCTION("vlookup(BB3206,importrange(""https://docs.google.com/spreadsheets/d/1d2vevQ_7D_v35q4wCQ4RpQ_IPoTwEMB9Yp6ymwlPqew/edit?gid=984458430#gid=984458430"", ""'replication success'!A:K""), 11, FAlSE)"),"#N/A")</f>
        <v>#N/A</v>
      </c>
      <c r="AZ3206" s="61" t="str">
        <f>IFERROR(__xludf.DUMMYFUNCTION("vlookup(BB3206,importrange(""https://docs.google.com/spreadsheets/d/1d2vevQ_7D_v35q4wCQ4RpQ_IPoTwEMB9Yp6ymwlPqew/edit?gid=984458430#gid=984458430"", ""'replication success'!A:M""), 12, FAlSE)"),"#N/A")</f>
        <v>#N/A</v>
      </c>
      <c r="BA3206" s="61" t="str">
        <f>IFERROR(__xludf.DUMMYFUNCTION("vlookup(BB3206,importrange(""https://docs.google.com/spreadsheets/d/1d2vevQ_7D_v35q4wCQ4RpQ_IPoTwEMB9Yp6ymwlPqew/edit?gid=984458430#gid=984458430"", ""'replication success'!A:M""), 13, FAlSE)"),"#N/A")</f>
        <v>#N/A</v>
      </c>
      <c r="BB3206" s="61" t="str">
        <f>IFERROR(__xludf.DUMMYFUNCTION("REGEXREPLACE(G3206, ""_[a-z]{1,2}$"", """")"),"soscisubmission73")</f>
        <v>soscisubmission73</v>
      </c>
      <c r="BD3206" s="1063" t="s">
        <v>13231</v>
      </c>
    </row>
    <row r="3207" ht="15.75" customHeight="1">
      <c r="A3207" s="44">
        <v>2785.0</v>
      </c>
      <c r="B3207" s="129" t="s">
        <v>523</v>
      </c>
      <c r="C3207" s="62" t="s">
        <v>115</v>
      </c>
      <c r="D3207" s="62" t="s">
        <v>2630</v>
      </c>
      <c r="F3207" s="68" t="s">
        <v>19109</v>
      </c>
      <c r="G3207" s="159" t="s">
        <v>19110</v>
      </c>
      <c r="H3207" s="159" t="s">
        <v>19139</v>
      </c>
      <c r="I3207" s="434">
        <v>45288.0</v>
      </c>
      <c r="J3207" s="152">
        <v>45806.0</v>
      </c>
      <c r="K3207" s="68"/>
      <c r="L3207" s="68"/>
      <c r="M3207" s="159" t="s">
        <v>19111</v>
      </c>
      <c r="N3207" s="159" t="s">
        <v>19112</v>
      </c>
      <c r="O3207" s="156">
        <v>3.0</v>
      </c>
      <c r="P3207" s="382" t="s">
        <v>19113</v>
      </c>
      <c r="Q3207" s="2191" t="str">
        <f> hyperlink(vlookup(lower(N3207),'File Links'!E:F, 2, FALSE), "LINK")</f>
        <v>LINK</v>
      </c>
      <c r="R3207" s="159" t="s">
        <v>19114</v>
      </c>
      <c r="S3207" s="159" t="s">
        <v>19115</v>
      </c>
      <c r="T3207" s="68"/>
      <c r="U3207" s="68"/>
      <c r="V3207" s="382" t="s">
        <v>19116</v>
      </c>
      <c r="W3207" s="1228"/>
      <c r="X3207" s="2419" t="str">
        <f> hyperlink(vlookup(lower(S3207),'File Links'!E:F, 2, FALSE), "LINK")</f>
        <v>LINK</v>
      </c>
      <c r="Y3207" s="159" t="s">
        <v>138</v>
      </c>
      <c r="Z3207" s="159" t="s">
        <v>226</v>
      </c>
      <c r="AA3207" s="159" t="s">
        <v>19140</v>
      </c>
      <c r="AB3207" s="159" t="s">
        <v>19141</v>
      </c>
      <c r="AC3207" s="159" t="s">
        <v>19142</v>
      </c>
      <c r="AD3207" s="159" t="s">
        <v>19143</v>
      </c>
      <c r="AE3207" s="68" t="s">
        <v>19144</v>
      </c>
      <c r="AF3207" s="156">
        <v>192.0</v>
      </c>
      <c r="AG3207" s="156">
        <v>0.03</v>
      </c>
      <c r="AH3207" s="159" t="s">
        <v>139</v>
      </c>
      <c r="AI3207" s="159" t="s">
        <v>19144</v>
      </c>
      <c r="AJ3207" s="156">
        <v>0.03</v>
      </c>
      <c r="AK3207" s="159" t="s">
        <v>172</v>
      </c>
      <c r="AL3207" s="159" t="s">
        <v>136</v>
      </c>
      <c r="AM3207" s="159" t="s">
        <v>137</v>
      </c>
      <c r="AN3207" s="159" t="s">
        <v>138</v>
      </c>
      <c r="AO3207" s="156">
        <v>396.0</v>
      </c>
      <c r="AP3207" s="156">
        <v>0.001</v>
      </c>
      <c r="AQ3207" s="159" t="s">
        <v>139</v>
      </c>
      <c r="AR3207" s="159" t="s">
        <v>140</v>
      </c>
      <c r="AS3207" s="156">
        <v>0.49</v>
      </c>
      <c r="AT3207" s="159" t="s">
        <v>172</v>
      </c>
      <c r="AU3207" s="159" t="s">
        <v>136</v>
      </c>
      <c r="AV3207" s="159" t="s">
        <v>137</v>
      </c>
      <c r="AW3207" s="435" t="s">
        <v>19145</v>
      </c>
      <c r="AX3207" s="159" t="s">
        <v>143</v>
      </c>
      <c r="AY3207" s="61" t="str">
        <f>IFERROR(__xludf.DUMMYFUNCTION("vlookup(BB3207,importrange(""https://docs.google.com/spreadsheets/d/1d2vevQ_7D_v35q4wCQ4RpQ_IPoTwEMB9Yp6ymwlPqew/edit?gid=984458430#gid=984458430"", ""'replication success'!A:K""), 11, FAlSE)"),"#N/A")</f>
        <v>#N/A</v>
      </c>
      <c r="AZ3207" s="61" t="str">
        <f>IFERROR(__xludf.DUMMYFUNCTION("vlookup(BB3207,importrange(""https://docs.google.com/spreadsheets/d/1d2vevQ_7D_v35q4wCQ4RpQ_IPoTwEMB9Yp6ymwlPqew/edit?gid=984458430#gid=984458430"", ""'replication success'!A:M""), 12, FAlSE)"),"#N/A")</f>
        <v>#N/A</v>
      </c>
      <c r="BA3207" s="61" t="str">
        <f>IFERROR(__xludf.DUMMYFUNCTION("vlookup(BB3207,importrange(""https://docs.google.com/spreadsheets/d/1d2vevQ_7D_v35q4wCQ4RpQ_IPoTwEMB9Yp6ymwlPqew/edit?gid=984458430#gid=984458430"", ""'replication success'!A:M""), 13, FAlSE)"),"#N/A")</f>
        <v>#N/A</v>
      </c>
      <c r="BB3207" s="61" t="str">
        <f>IFERROR(__xludf.DUMMYFUNCTION("REGEXREPLACE(G3207, ""_[a-z]{1,2}$"", """")"),"soscisubmission73")</f>
        <v>soscisubmission73</v>
      </c>
      <c r="BD3207" s="1063" t="s">
        <v>13231</v>
      </c>
    </row>
    <row r="3208" ht="15.75" customHeight="1">
      <c r="A3208" s="44">
        <v>2786.0</v>
      </c>
      <c r="B3208" s="129" t="s">
        <v>523</v>
      </c>
      <c r="C3208" s="62" t="s">
        <v>115</v>
      </c>
      <c r="D3208" s="62" t="s">
        <v>2630</v>
      </c>
      <c r="F3208" s="68" t="s">
        <v>19122</v>
      </c>
      <c r="G3208" s="159" t="s">
        <v>19110</v>
      </c>
      <c r="H3208" s="159" t="s">
        <v>19139</v>
      </c>
      <c r="I3208" s="434">
        <v>45288.0</v>
      </c>
      <c r="J3208" s="152">
        <v>45806.0</v>
      </c>
      <c r="K3208" s="68"/>
      <c r="L3208" s="68"/>
      <c r="M3208" s="159" t="s">
        <v>19124</v>
      </c>
      <c r="N3208" s="159" t="s">
        <v>19112</v>
      </c>
      <c r="O3208" s="68"/>
      <c r="P3208" s="382" t="s">
        <v>19113</v>
      </c>
      <c r="Q3208" s="2191" t="str">
        <f> hyperlink(vlookup(lower(N3208),'File Links'!E:F, 2, FALSE), "LINK")</f>
        <v>LINK</v>
      </c>
      <c r="R3208" s="159" t="s">
        <v>19114</v>
      </c>
      <c r="S3208" s="159" t="s">
        <v>19115</v>
      </c>
      <c r="T3208" s="68"/>
      <c r="U3208" s="68"/>
      <c r="V3208" s="382" t="s">
        <v>19116</v>
      </c>
      <c r="W3208" s="1228"/>
      <c r="X3208" s="2419" t="str">
        <f> hyperlink(vlookup(lower(S3208),'File Links'!E:F, 2, FALSE), "LINK")</f>
        <v>LINK</v>
      </c>
      <c r="Y3208" s="159" t="s">
        <v>138</v>
      </c>
      <c r="Z3208" s="159" t="s">
        <v>226</v>
      </c>
      <c r="AA3208" s="159" t="s">
        <v>19146</v>
      </c>
      <c r="AB3208" s="159" t="s">
        <v>19147</v>
      </c>
      <c r="AC3208" s="159" t="s">
        <v>19148</v>
      </c>
      <c r="AD3208" s="68" t="s">
        <v>19149</v>
      </c>
      <c r="AE3208" s="68" t="s">
        <v>19144</v>
      </c>
      <c r="AF3208" s="156">
        <v>192.0</v>
      </c>
      <c r="AG3208" s="156">
        <v>0.02</v>
      </c>
      <c r="AH3208" s="159" t="s">
        <v>139</v>
      </c>
      <c r="AI3208" s="159" t="s">
        <v>19144</v>
      </c>
      <c r="AJ3208" s="156">
        <v>0.07</v>
      </c>
      <c r="AK3208" s="159" t="s">
        <v>172</v>
      </c>
      <c r="AL3208" s="159" t="s">
        <v>136</v>
      </c>
      <c r="AM3208" s="159" t="s">
        <v>137</v>
      </c>
      <c r="AN3208" s="159" t="s">
        <v>138</v>
      </c>
      <c r="AO3208" s="156">
        <v>396.0</v>
      </c>
      <c r="AP3208" s="156">
        <v>0.019</v>
      </c>
      <c r="AQ3208" s="159" t="s">
        <v>139</v>
      </c>
      <c r="AR3208" s="159" t="s">
        <v>140</v>
      </c>
      <c r="AS3208" s="156">
        <v>0.007</v>
      </c>
      <c r="AT3208" s="159" t="s">
        <v>172</v>
      </c>
      <c r="AU3208" s="159" t="s">
        <v>136</v>
      </c>
      <c r="AV3208" s="159" t="s">
        <v>137</v>
      </c>
      <c r="AW3208" s="435" t="s">
        <v>19145</v>
      </c>
      <c r="AX3208" s="159" t="s">
        <v>143</v>
      </c>
      <c r="AY3208" s="61" t="str">
        <f>IFERROR(__xludf.DUMMYFUNCTION("vlookup(BB3208,importrange(""https://docs.google.com/spreadsheets/d/1d2vevQ_7D_v35q4wCQ4RpQ_IPoTwEMB9Yp6ymwlPqew/edit?gid=984458430#gid=984458430"", ""'replication success'!A:K""), 11, FAlSE)"),"#N/A")</f>
        <v>#N/A</v>
      </c>
      <c r="AZ3208" s="61" t="str">
        <f>IFERROR(__xludf.DUMMYFUNCTION("vlookup(BB3208,importrange(""https://docs.google.com/spreadsheets/d/1d2vevQ_7D_v35q4wCQ4RpQ_IPoTwEMB9Yp6ymwlPqew/edit?gid=984458430#gid=984458430"", ""'replication success'!A:M""), 12, FAlSE)"),"#N/A")</f>
        <v>#N/A</v>
      </c>
      <c r="BA3208" s="61" t="str">
        <f>IFERROR(__xludf.DUMMYFUNCTION("vlookup(BB3208,importrange(""https://docs.google.com/spreadsheets/d/1d2vevQ_7D_v35q4wCQ4RpQ_IPoTwEMB9Yp6ymwlPqew/edit?gid=984458430#gid=984458430"", ""'replication success'!A:M""), 13, FAlSE)"),"#N/A")</f>
        <v>#N/A</v>
      </c>
      <c r="BB3208" s="61" t="str">
        <f>IFERROR(__xludf.DUMMYFUNCTION("REGEXREPLACE(G3208, ""_[a-z]{1,2}$"", """")"),"soscisubmission73")</f>
        <v>soscisubmission73</v>
      </c>
      <c r="BD3208" s="1063" t="s">
        <v>13231</v>
      </c>
    </row>
    <row r="3209" ht="15.75" customHeight="1">
      <c r="A3209" s="44">
        <v>2787.0</v>
      </c>
      <c r="B3209" s="129" t="s">
        <v>523</v>
      </c>
      <c r="C3209" s="62" t="s">
        <v>115</v>
      </c>
      <c r="D3209" s="62" t="s">
        <v>2630</v>
      </c>
      <c r="F3209" s="68" t="s">
        <v>19127</v>
      </c>
      <c r="G3209" s="159" t="s">
        <v>19110</v>
      </c>
      <c r="H3209" s="159" t="s">
        <v>19139</v>
      </c>
      <c r="I3209" s="434">
        <v>45288.0</v>
      </c>
      <c r="J3209" s="152">
        <v>45806.0</v>
      </c>
      <c r="K3209" s="68"/>
      <c r="L3209" s="68"/>
      <c r="M3209" s="159" t="s">
        <v>19124</v>
      </c>
      <c r="N3209" s="159" t="s">
        <v>19112</v>
      </c>
      <c r="O3209" s="68"/>
      <c r="P3209" s="382" t="s">
        <v>19113</v>
      </c>
      <c r="Q3209" s="2191" t="str">
        <f> hyperlink(vlookup(lower(N3209),'File Links'!E:F, 2, FALSE), "LINK")</f>
        <v>LINK</v>
      </c>
      <c r="R3209" s="159" t="s">
        <v>19114</v>
      </c>
      <c r="S3209" s="159" t="s">
        <v>19115</v>
      </c>
      <c r="T3209" s="68"/>
      <c r="U3209" s="68"/>
      <c r="V3209" s="382" t="s">
        <v>19116</v>
      </c>
      <c r="W3209" s="1228"/>
      <c r="X3209" s="2419" t="str">
        <f> hyperlink(vlookup(lower(S3209),'File Links'!E:F, 2, FALSE), "LINK")</f>
        <v>LINK</v>
      </c>
      <c r="Y3209" s="159" t="s">
        <v>138</v>
      </c>
      <c r="Z3209" s="159" t="s">
        <v>226</v>
      </c>
      <c r="AA3209" s="159" t="s">
        <v>19150</v>
      </c>
      <c r="AB3209" s="159" t="s">
        <v>19151</v>
      </c>
      <c r="AC3209" s="159" t="s">
        <v>19152</v>
      </c>
      <c r="AD3209" s="159" t="s">
        <v>19153</v>
      </c>
      <c r="AE3209" s="68" t="s">
        <v>19144</v>
      </c>
      <c r="AF3209" s="156">
        <v>192.0</v>
      </c>
      <c r="AG3209" s="156">
        <v>0.002</v>
      </c>
      <c r="AH3209" s="159" t="s">
        <v>139</v>
      </c>
      <c r="AI3209" s="159" t="s">
        <v>19144</v>
      </c>
      <c r="AJ3209" s="156">
        <v>0.51</v>
      </c>
      <c r="AK3209" s="159" t="s">
        <v>172</v>
      </c>
      <c r="AL3209" s="159" t="s">
        <v>136</v>
      </c>
      <c r="AM3209" s="159" t="s">
        <v>137</v>
      </c>
      <c r="AN3209" s="159" t="s">
        <v>138</v>
      </c>
      <c r="AO3209" s="156">
        <v>396.0</v>
      </c>
      <c r="AP3209" s="336">
        <v>0.002</v>
      </c>
      <c r="AQ3209" s="159" t="s">
        <v>139</v>
      </c>
      <c r="AR3209" s="159" t="s">
        <v>132</v>
      </c>
      <c r="AS3209" s="156">
        <v>0.35</v>
      </c>
      <c r="AT3209" s="159" t="s">
        <v>172</v>
      </c>
      <c r="AU3209" s="159" t="s">
        <v>136</v>
      </c>
      <c r="AV3209" s="159" t="s">
        <v>137</v>
      </c>
      <c r="AW3209" s="435" t="s">
        <v>19145</v>
      </c>
      <c r="AX3209" s="159" t="s">
        <v>143</v>
      </c>
      <c r="AY3209" s="61" t="str">
        <f>IFERROR(__xludf.DUMMYFUNCTION("vlookup(BB3209,importrange(""https://docs.google.com/spreadsheets/d/1d2vevQ_7D_v35q4wCQ4RpQ_IPoTwEMB9Yp6ymwlPqew/edit?gid=984458430#gid=984458430"", ""'replication success'!A:K""), 11, FAlSE)"),"#N/A")</f>
        <v>#N/A</v>
      </c>
      <c r="AZ3209" s="61" t="str">
        <f>IFERROR(__xludf.DUMMYFUNCTION("vlookup(BB3209,importrange(""https://docs.google.com/spreadsheets/d/1d2vevQ_7D_v35q4wCQ4RpQ_IPoTwEMB9Yp6ymwlPqew/edit?gid=984458430#gid=984458430"", ""'replication success'!A:M""), 12, FAlSE)"),"#N/A")</f>
        <v>#N/A</v>
      </c>
      <c r="BA3209" s="61" t="str">
        <f>IFERROR(__xludf.DUMMYFUNCTION("vlookup(BB3209,importrange(""https://docs.google.com/spreadsheets/d/1d2vevQ_7D_v35q4wCQ4RpQ_IPoTwEMB9Yp6ymwlPqew/edit?gid=984458430#gid=984458430"", ""'replication success'!A:M""), 13, FAlSE)"),"#N/A")</f>
        <v>#N/A</v>
      </c>
      <c r="BB3209" s="61" t="str">
        <f>IFERROR(__xludf.DUMMYFUNCTION("REGEXREPLACE(G3209, ""_[a-z]{1,2}$"", """")"),"soscisubmission73")</f>
        <v>soscisubmission73</v>
      </c>
      <c r="BD3209" s="1063" t="s">
        <v>13231</v>
      </c>
    </row>
    <row r="3210" ht="15.75" customHeight="1">
      <c r="A3210" s="44">
        <v>2788.0</v>
      </c>
      <c r="B3210" s="129" t="s">
        <v>523</v>
      </c>
      <c r="C3210" s="62" t="s">
        <v>115</v>
      </c>
      <c r="D3210" s="62" t="s">
        <v>2630</v>
      </c>
      <c r="F3210" s="68" t="s">
        <v>19131</v>
      </c>
      <c r="G3210" s="159" t="s">
        <v>19110</v>
      </c>
      <c r="H3210" s="159" t="s">
        <v>19139</v>
      </c>
      <c r="I3210" s="434">
        <v>45288.0</v>
      </c>
      <c r="J3210" s="152">
        <v>45806.0</v>
      </c>
      <c r="K3210" s="68"/>
      <c r="L3210" s="68"/>
      <c r="M3210" s="159" t="s">
        <v>19124</v>
      </c>
      <c r="N3210" s="159" t="s">
        <v>19112</v>
      </c>
      <c r="O3210" s="68"/>
      <c r="P3210" s="382" t="s">
        <v>19113</v>
      </c>
      <c r="Q3210" s="2418" t="str">
        <f> hyperlink(vlookup(lower(N3210),'File Links'!E:F, 2, FALSE), "LINK")</f>
        <v>LINK</v>
      </c>
      <c r="R3210" s="159" t="s">
        <v>19114</v>
      </c>
      <c r="S3210" s="159" t="s">
        <v>19115</v>
      </c>
      <c r="T3210" s="68"/>
      <c r="U3210" s="68"/>
      <c r="V3210" s="159" t="s">
        <v>19116</v>
      </c>
      <c r="W3210" s="1228"/>
      <c r="X3210" s="2419" t="str">
        <f> hyperlink(vlookup(lower(S3210),'File Links'!E:F, 2, FALSE), "LINK")</f>
        <v>LINK</v>
      </c>
      <c r="Y3210" s="159" t="s">
        <v>138</v>
      </c>
      <c r="Z3210" s="159" t="s">
        <v>226</v>
      </c>
      <c r="AA3210" s="159" t="s">
        <v>19154</v>
      </c>
      <c r="AB3210" s="159" t="s">
        <v>19155</v>
      </c>
      <c r="AC3210" s="159" t="s">
        <v>19156</v>
      </c>
      <c r="AD3210" s="159" t="s">
        <v>19157</v>
      </c>
      <c r="AE3210" s="68" t="s">
        <v>19144</v>
      </c>
      <c r="AF3210" s="156">
        <v>192.0</v>
      </c>
      <c r="AG3210" s="156">
        <v>0.04</v>
      </c>
      <c r="AH3210" s="159" t="s">
        <v>139</v>
      </c>
      <c r="AI3210" s="159" t="s">
        <v>19144</v>
      </c>
      <c r="AJ3210" s="156" t="s">
        <v>19158</v>
      </c>
      <c r="AK3210" s="159" t="s">
        <v>135</v>
      </c>
      <c r="AL3210" s="159" t="s">
        <v>136</v>
      </c>
      <c r="AM3210" s="159" t="s">
        <v>137</v>
      </c>
      <c r="AN3210" s="159" t="s">
        <v>138</v>
      </c>
      <c r="AO3210" s="156">
        <v>396.0</v>
      </c>
      <c r="AP3210" s="156">
        <v>0.032</v>
      </c>
      <c r="AQ3210" s="159" t="s">
        <v>139</v>
      </c>
      <c r="AR3210" s="159" t="s">
        <v>132</v>
      </c>
      <c r="AS3210" s="156" t="s">
        <v>19159</v>
      </c>
      <c r="AT3210" s="159" t="s">
        <v>135</v>
      </c>
      <c r="AU3210" s="159" t="s">
        <v>136</v>
      </c>
      <c r="AV3210" s="159" t="s">
        <v>137</v>
      </c>
      <c r="AW3210" s="435" t="s">
        <v>19145</v>
      </c>
      <c r="AX3210" s="159" t="s">
        <v>143</v>
      </c>
      <c r="AY3210" s="61" t="str">
        <f>IFERROR(__xludf.DUMMYFUNCTION("vlookup(BB3210,importrange(""https://docs.google.com/spreadsheets/d/1d2vevQ_7D_v35q4wCQ4RpQ_IPoTwEMB9Yp6ymwlPqew/edit?gid=984458430#gid=984458430"", ""'replication success'!A:K""), 11, FAlSE)"),"#N/A")</f>
        <v>#N/A</v>
      </c>
      <c r="AZ3210" s="61" t="str">
        <f>IFERROR(__xludf.DUMMYFUNCTION("vlookup(BB3210,importrange(""https://docs.google.com/spreadsheets/d/1d2vevQ_7D_v35q4wCQ4RpQ_IPoTwEMB9Yp6ymwlPqew/edit?gid=984458430#gid=984458430"", ""'replication success'!A:M""), 12, FAlSE)"),"#N/A")</f>
        <v>#N/A</v>
      </c>
      <c r="BA3210" s="61" t="str">
        <f>IFERROR(__xludf.DUMMYFUNCTION("vlookup(BB3210,importrange(""https://docs.google.com/spreadsheets/d/1d2vevQ_7D_v35q4wCQ4RpQ_IPoTwEMB9Yp6ymwlPqew/edit?gid=984458430#gid=984458430"", ""'replication success'!A:M""), 13, FAlSE)"),"#N/A")</f>
        <v>#N/A</v>
      </c>
      <c r="BB3210" s="61" t="str">
        <f>IFERROR(__xludf.DUMMYFUNCTION("REGEXREPLACE(G3210, ""_[a-z]{1,2}$"", """")"),"soscisubmission73")</f>
        <v>soscisubmission73</v>
      </c>
      <c r="BD3210" s="1063" t="s">
        <v>13231</v>
      </c>
    </row>
    <row r="3211" ht="15.75" customHeight="1">
      <c r="A3211" s="44">
        <v>2789.0</v>
      </c>
      <c r="B3211" s="129" t="s">
        <v>523</v>
      </c>
      <c r="C3211" s="62" t="s">
        <v>115</v>
      </c>
      <c r="D3211" s="62" t="s">
        <v>2630</v>
      </c>
      <c r="F3211" s="68" t="s">
        <v>19136</v>
      </c>
      <c r="G3211" s="159" t="s">
        <v>19110</v>
      </c>
      <c r="H3211" s="159" t="s">
        <v>19139</v>
      </c>
      <c r="I3211" s="434">
        <v>45288.0</v>
      </c>
      <c r="J3211" s="152">
        <v>45806.0</v>
      </c>
      <c r="K3211" s="68"/>
      <c r="L3211" s="68"/>
      <c r="M3211" s="159" t="s">
        <v>19124</v>
      </c>
      <c r="N3211" s="159" t="s">
        <v>19112</v>
      </c>
      <c r="O3211" s="68"/>
      <c r="P3211" s="382" t="s">
        <v>19113</v>
      </c>
      <c r="Q3211" s="2418" t="str">
        <f> hyperlink(vlookup(lower(N3211),'File Links'!E:F, 2, FALSE), "LINK")</f>
        <v>LINK</v>
      </c>
      <c r="R3211" s="159" t="s">
        <v>19114</v>
      </c>
      <c r="S3211" s="159" t="s">
        <v>19115</v>
      </c>
      <c r="T3211" s="68"/>
      <c r="U3211" s="68"/>
      <c r="V3211" s="382" t="s">
        <v>19116</v>
      </c>
      <c r="W3211" s="1228"/>
      <c r="X3211" s="2419" t="str">
        <f> hyperlink(vlookup(lower(S3211),'File Links'!E:F, 2, FALSE), "LINK")</f>
        <v>LINK</v>
      </c>
      <c r="Y3211" s="159" t="s">
        <v>138</v>
      </c>
      <c r="Z3211" s="159" t="s">
        <v>226</v>
      </c>
      <c r="AA3211" s="159" t="s">
        <v>19160</v>
      </c>
      <c r="AB3211" s="159" t="s">
        <v>19161</v>
      </c>
      <c r="AC3211" s="159" t="s">
        <v>19162</v>
      </c>
      <c r="AD3211" s="159" t="s">
        <v>19163</v>
      </c>
      <c r="AE3211" s="68" t="s">
        <v>19144</v>
      </c>
      <c r="AF3211" s="156">
        <v>192.0</v>
      </c>
      <c r="AG3211" s="156" t="s">
        <v>19159</v>
      </c>
      <c r="AH3211" s="159" t="s">
        <v>139</v>
      </c>
      <c r="AI3211" s="159" t="s">
        <v>19144</v>
      </c>
      <c r="AJ3211" s="156">
        <v>0.82</v>
      </c>
      <c r="AK3211" s="159" t="s">
        <v>172</v>
      </c>
      <c r="AL3211" s="159" t="s">
        <v>136</v>
      </c>
      <c r="AM3211" s="159" t="s">
        <v>137</v>
      </c>
      <c r="AN3211" s="159" t="s">
        <v>138</v>
      </c>
      <c r="AO3211" s="156">
        <v>396.0</v>
      </c>
      <c r="AP3211" s="156">
        <v>0.003</v>
      </c>
      <c r="AQ3211" s="159" t="s">
        <v>139</v>
      </c>
      <c r="AR3211" s="159" t="s">
        <v>132</v>
      </c>
      <c r="AS3211" s="156">
        <v>0.28</v>
      </c>
      <c r="AT3211" s="159" t="s">
        <v>172</v>
      </c>
      <c r="AU3211" s="159" t="s">
        <v>136</v>
      </c>
      <c r="AV3211" s="159" t="s">
        <v>137</v>
      </c>
      <c r="AW3211" s="435" t="s">
        <v>19145</v>
      </c>
      <c r="AX3211" s="159" t="s">
        <v>143</v>
      </c>
      <c r="AY3211" s="61" t="str">
        <f>IFERROR(__xludf.DUMMYFUNCTION("vlookup(BB3211,importrange(""https://docs.google.com/spreadsheets/d/1d2vevQ_7D_v35q4wCQ4RpQ_IPoTwEMB9Yp6ymwlPqew/edit?gid=984458430#gid=984458430"", ""'replication success'!A:K""), 11, FAlSE)"),"#N/A")</f>
        <v>#N/A</v>
      </c>
      <c r="AZ3211" s="61" t="str">
        <f>IFERROR(__xludf.DUMMYFUNCTION("vlookup(BB3211,importrange(""https://docs.google.com/spreadsheets/d/1d2vevQ_7D_v35q4wCQ4RpQ_IPoTwEMB9Yp6ymwlPqew/edit?gid=984458430#gid=984458430"", ""'replication success'!A:M""), 12, FAlSE)"),"#N/A")</f>
        <v>#N/A</v>
      </c>
      <c r="BA3211" s="61" t="str">
        <f>IFERROR(__xludf.DUMMYFUNCTION("vlookup(BB3211,importrange(""https://docs.google.com/spreadsheets/d/1d2vevQ_7D_v35q4wCQ4RpQ_IPoTwEMB9Yp6ymwlPqew/edit?gid=984458430#gid=984458430"", ""'replication success'!A:M""), 13, FAlSE)"),"#N/A")</f>
        <v>#N/A</v>
      </c>
      <c r="BB3211" s="61" t="str">
        <f>IFERROR(__xludf.DUMMYFUNCTION("REGEXREPLACE(G3211, ""_[a-z]{1,2}$"", """")"),"soscisubmission73")</f>
        <v>soscisubmission73</v>
      </c>
      <c r="BD3211" s="1063" t="s">
        <v>13231</v>
      </c>
    </row>
    <row r="3212" ht="15.75" customHeight="1">
      <c r="A3212" s="44">
        <v>3010.0</v>
      </c>
      <c r="B3212" s="129" t="s">
        <v>523</v>
      </c>
      <c r="C3212" s="62" t="s">
        <v>115</v>
      </c>
      <c r="D3212" s="62" t="s">
        <v>18727</v>
      </c>
      <c r="F3212" s="68" t="s">
        <v>15719</v>
      </c>
      <c r="G3212" s="159" t="s">
        <v>15720</v>
      </c>
      <c r="H3212" s="159" t="s">
        <v>18728</v>
      </c>
      <c r="I3212" s="152">
        <v>45805.0</v>
      </c>
      <c r="J3212" s="862"/>
      <c r="K3212" s="68"/>
      <c r="L3212" s="68"/>
      <c r="M3212" s="159" t="s">
        <v>19164</v>
      </c>
      <c r="N3212" s="159" t="s">
        <v>15724</v>
      </c>
      <c r="O3212" s="156">
        <v>1.0</v>
      </c>
      <c r="P3212" s="382" t="s">
        <v>15725</v>
      </c>
      <c r="Q3212" s="2514" t="str">
        <f> hyperlink(vlookup(lower(N3212),'File Links'!E:F, 2, FALSE), "LINK")</f>
        <v>LINK</v>
      </c>
      <c r="R3212" s="159" t="s">
        <v>19165</v>
      </c>
      <c r="S3212" s="159" t="s">
        <v>15727</v>
      </c>
      <c r="T3212" s="68"/>
      <c r="U3212" s="156">
        <v>1.0</v>
      </c>
      <c r="V3212" s="382" t="s">
        <v>15728</v>
      </c>
      <c r="W3212" s="1228"/>
      <c r="X3212" s="2419" t="str">
        <f> hyperlink(vlookup(lower(S3212),'File Links'!E:F, 2, FALSE), "LINK")</f>
        <v>LINK</v>
      </c>
      <c r="Y3212" s="68"/>
      <c r="Z3212" s="159" t="s">
        <v>226</v>
      </c>
      <c r="AA3212" s="2515" t="s">
        <v>19166</v>
      </c>
      <c r="AB3212" s="2516" t="s">
        <v>19167</v>
      </c>
      <c r="AC3212" s="2515" t="s">
        <v>19168</v>
      </c>
      <c r="AD3212" s="2516" t="s">
        <v>19169</v>
      </c>
      <c r="AE3212" s="156">
        <v>4.0</v>
      </c>
      <c r="AF3212" s="156">
        <v>393.0</v>
      </c>
      <c r="AG3212" s="156">
        <v>0.386</v>
      </c>
      <c r="AH3212" s="159" t="s">
        <v>173</v>
      </c>
      <c r="AI3212" s="159" t="s">
        <v>496</v>
      </c>
      <c r="AJ3212" s="156">
        <v>0.001</v>
      </c>
      <c r="AK3212" s="159" t="s">
        <v>135</v>
      </c>
      <c r="AL3212" s="159" t="s">
        <v>186</v>
      </c>
      <c r="AM3212" s="159" t="s">
        <v>137</v>
      </c>
      <c r="AN3212" s="159" t="s">
        <v>138</v>
      </c>
      <c r="AO3212" s="156">
        <v>246.0</v>
      </c>
      <c r="AP3212" s="156">
        <v>0.47</v>
      </c>
      <c r="AQ3212" s="159" t="s">
        <v>173</v>
      </c>
      <c r="AR3212" s="156">
        <v>4.0</v>
      </c>
      <c r="AS3212" s="156">
        <v>0.001</v>
      </c>
      <c r="AT3212" s="159" t="s">
        <v>135</v>
      </c>
      <c r="AU3212" s="159" t="s">
        <v>218</v>
      </c>
      <c r="AV3212" s="159" t="s">
        <v>137</v>
      </c>
      <c r="AW3212" s="435" t="s">
        <v>19170</v>
      </c>
      <c r="AX3212" s="159" t="s">
        <v>143</v>
      </c>
      <c r="AY3212" s="61" t="str">
        <f>IFERROR(__xludf.DUMMYFUNCTION("vlookup(BB3212,importrange(""https://docs.google.com/spreadsheets/d/1d2vevQ_7D_v35q4wCQ4RpQ_IPoTwEMB9Yp6ymwlPqew/edit?gid=984458430#gid=984458430"", ""'replication success'!A:K""), 11, FAlSE)"),"#N/A")</f>
        <v>#N/A</v>
      </c>
      <c r="AZ3212" s="61" t="str">
        <f>IFERROR(__xludf.DUMMYFUNCTION("vlookup(BB3212,importrange(""https://docs.google.com/spreadsheets/d/1d2vevQ_7D_v35q4wCQ4RpQ_IPoTwEMB9Yp6ymwlPqew/edit?gid=984458430#gid=984458430"", ""'replication success'!A:M""), 12, FAlSE)"),"#N/A")</f>
        <v>#N/A</v>
      </c>
      <c r="BA3212" s="61" t="str">
        <f>IFERROR(__xludf.DUMMYFUNCTION("vlookup(BB3212,importrange(""https://docs.google.com/spreadsheets/d/1d2vevQ_7D_v35q4wCQ4RpQ_IPoTwEMB9Yp6ymwlPqew/edit?gid=984458430#gid=984458430"", ""'replication success'!A:M""), 13, FAlSE)"),"#N/A")</f>
        <v>#N/A</v>
      </c>
      <c r="BB3212" s="61" t="str">
        <f>IFERROR(__xludf.DUMMYFUNCTION("REGEXREPLACE(G3212, ""_[a-z]{1,2}$"", """")"),"soscisubmission78")</f>
        <v>soscisubmission78</v>
      </c>
      <c r="BD3212" s="1063" t="s">
        <v>13231</v>
      </c>
    </row>
    <row r="3213" ht="15.75" customHeight="1">
      <c r="A3213" s="44">
        <v>3008.0</v>
      </c>
      <c r="B3213" s="129" t="s">
        <v>523</v>
      </c>
      <c r="C3213" s="62" t="s">
        <v>115</v>
      </c>
      <c r="D3213" s="62" t="s">
        <v>18727</v>
      </c>
      <c r="F3213" s="68" t="s">
        <v>19171</v>
      </c>
      <c r="G3213" s="159" t="s">
        <v>19172</v>
      </c>
      <c r="H3213" s="159" t="s">
        <v>18728</v>
      </c>
      <c r="I3213" s="152">
        <v>45806.0</v>
      </c>
      <c r="J3213" s="862"/>
      <c r="K3213" s="159" t="s">
        <v>19173</v>
      </c>
      <c r="L3213" s="68"/>
      <c r="M3213" s="159" t="s">
        <v>19174</v>
      </c>
      <c r="N3213" s="159" t="s">
        <v>19175</v>
      </c>
      <c r="O3213" s="156">
        <v>2.0</v>
      </c>
      <c r="P3213" s="382" t="s">
        <v>19175</v>
      </c>
      <c r="Q3213" s="2514" t="str">
        <f> hyperlink(vlookup(lower(N3213),'File Links'!E:F, 2, FALSE), "LINK")</f>
        <v>LINK</v>
      </c>
      <c r="R3213" s="159" t="s">
        <v>19176</v>
      </c>
      <c r="S3213" s="159" t="s">
        <v>19177</v>
      </c>
      <c r="T3213" s="68"/>
      <c r="U3213" s="336">
        <v>1.0</v>
      </c>
      <c r="V3213" s="159" t="s">
        <v>19177</v>
      </c>
      <c r="W3213" s="1228"/>
      <c r="X3213" s="2419" t="str">
        <f> hyperlink(vlookup(lower(S3213),'File Links'!E:F, 2, FALSE), "LINK")</f>
        <v>LINK</v>
      </c>
      <c r="Y3213" s="68"/>
      <c r="Z3213" s="159" t="s">
        <v>226</v>
      </c>
      <c r="AA3213" s="159" t="s">
        <v>19178</v>
      </c>
      <c r="AB3213" s="2517" t="s">
        <v>19179</v>
      </c>
      <c r="AC3213" s="2517" t="s">
        <v>19180</v>
      </c>
      <c r="AD3213" s="2510" t="s">
        <v>19181</v>
      </c>
      <c r="AE3213" s="156">
        <v>9.0</v>
      </c>
      <c r="AF3213" s="156">
        <v>377.0</v>
      </c>
      <c r="AG3213" s="156">
        <v>0.03</v>
      </c>
      <c r="AH3213" s="159" t="s">
        <v>139</v>
      </c>
      <c r="AI3213" s="159" t="s">
        <v>8652</v>
      </c>
      <c r="AJ3213" s="1479">
        <v>0.002</v>
      </c>
      <c r="AK3213" s="159" t="s">
        <v>172</v>
      </c>
      <c r="AL3213" s="159" t="s">
        <v>218</v>
      </c>
      <c r="AM3213" s="159" t="s">
        <v>137</v>
      </c>
      <c r="AN3213" s="159" t="s">
        <v>138</v>
      </c>
      <c r="AO3213" s="156">
        <v>1502.0</v>
      </c>
      <c r="AP3213" s="156">
        <v>0.0</v>
      </c>
      <c r="AQ3213" s="159" t="s">
        <v>874</v>
      </c>
      <c r="AR3213" s="156">
        <v>4.0</v>
      </c>
      <c r="AS3213" s="156">
        <v>0.3</v>
      </c>
      <c r="AT3213" s="159" t="s">
        <v>172</v>
      </c>
      <c r="AU3213" s="159" t="s">
        <v>186</v>
      </c>
      <c r="AV3213" s="159" t="s">
        <v>137</v>
      </c>
      <c r="AW3213" s="435" t="s">
        <v>19182</v>
      </c>
      <c r="AX3213" s="159" t="s">
        <v>143</v>
      </c>
      <c r="AY3213" s="61" t="str">
        <f>IFERROR(__xludf.DUMMYFUNCTION("vlookup(BB3213,importrange(""https://docs.google.com/spreadsheets/d/1d2vevQ_7D_v35q4wCQ4RpQ_IPoTwEMB9Yp6ymwlPqew/edit?gid=984458430#gid=984458430"", ""'replication success'!A:K""), 11, FAlSE)"),"#N/A")</f>
        <v>#N/A</v>
      </c>
      <c r="AZ3213" s="61" t="str">
        <f>IFERROR(__xludf.DUMMYFUNCTION("vlookup(BB3213,importrange(""https://docs.google.com/spreadsheets/d/1d2vevQ_7D_v35q4wCQ4RpQ_IPoTwEMB9Yp6ymwlPqew/edit?gid=984458430#gid=984458430"", ""'replication success'!A:M""), 12, FAlSE)"),"#N/A")</f>
        <v>#N/A</v>
      </c>
      <c r="BA3213" s="61" t="str">
        <f>IFERROR(__xludf.DUMMYFUNCTION("vlookup(BB3213,importrange(""https://docs.google.com/spreadsheets/d/1d2vevQ_7D_v35q4wCQ4RpQ_IPoTwEMB9Yp6ymwlPqew/edit?gid=984458430#gid=984458430"", ""'replication success'!A:M""), 13, FAlSE)"),"#N/A")</f>
        <v>#N/A</v>
      </c>
      <c r="BB3213" s="61" t="str">
        <f>IFERROR(__xludf.DUMMYFUNCTION("REGEXREPLACE(G3213, ""_[a-z]{1,2}$"", """")"),"soscisubmission80")</f>
        <v>soscisubmission80</v>
      </c>
    </row>
    <row r="3214" ht="15.75" customHeight="1">
      <c r="A3214" s="44">
        <v>2765.0</v>
      </c>
      <c r="B3214" s="129" t="s">
        <v>523</v>
      </c>
      <c r="C3214" s="62" t="s">
        <v>115</v>
      </c>
      <c r="D3214" s="62" t="s">
        <v>221</v>
      </c>
      <c r="F3214" s="159" t="s">
        <v>19183</v>
      </c>
      <c r="G3214" s="159" t="s">
        <v>19184</v>
      </c>
      <c r="H3214" s="159" t="s">
        <v>222</v>
      </c>
      <c r="I3214" s="152">
        <v>45801.0</v>
      </c>
      <c r="J3214" s="862"/>
      <c r="K3214" s="159" t="s">
        <v>19185</v>
      </c>
      <c r="L3214" s="159" t="s">
        <v>12841</v>
      </c>
      <c r="M3214" s="159" t="s">
        <v>19186</v>
      </c>
      <c r="N3214" s="159" t="s">
        <v>19187</v>
      </c>
      <c r="O3214" s="68"/>
      <c r="P3214" s="382" t="s">
        <v>19188</v>
      </c>
      <c r="Q3214" s="2418" t="str">
        <f> hyperlink(vlookup(lower(N3214),'File Links'!E:F, 2, FALSE), "LINK")</f>
        <v>LINK</v>
      </c>
      <c r="R3214" s="159" t="s">
        <v>15038</v>
      </c>
      <c r="S3214" s="159" t="s">
        <v>15039</v>
      </c>
      <c r="T3214" s="68"/>
      <c r="U3214" s="156">
        <v>3.0</v>
      </c>
      <c r="V3214" s="382" t="s">
        <v>15040</v>
      </c>
      <c r="W3214" s="1228"/>
      <c r="X3214" s="2419" t="str">
        <f> hyperlink(vlookup(lower(S3214),'File Links'!E:F, 2, FALSE), "LINK")</f>
        <v>LINK</v>
      </c>
      <c r="Y3214" s="68"/>
      <c r="Z3214" s="159" t="s">
        <v>148</v>
      </c>
      <c r="AA3214" s="159" t="s">
        <v>15041</v>
      </c>
      <c r="AB3214" s="159" t="s">
        <v>19189</v>
      </c>
      <c r="AC3214" s="159" t="s">
        <v>15042</v>
      </c>
      <c r="AD3214" s="159" t="s">
        <v>19190</v>
      </c>
      <c r="AE3214" s="159" t="s">
        <v>217</v>
      </c>
      <c r="AF3214" s="156">
        <v>83.0</v>
      </c>
      <c r="AG3214" s="156">
        <v>0.2</v>
      </c>
      <c r="AH3214" s="159" t="s">
        <v>139</v>
      </c>
      <c r="AI3214" s="159" t="s">
        <v>217</v>
      </c>
      <c r="AJ3214" s="156">
        <v>0.004</v>
      </c>
      <c r="AK3214" s="159" t="s">
        <v>172</v>
      </c>
      <c r="AL3214" s="159" t="s">
        <v>136</v>
      </c>
      <c r="AM3214" s="159" t="s">
        <v>141</v>
      </c>
      <c r="AN3214" s="310" t="s">
        <v>19191</v>
      </c>
      <c r="AO3214" s="156">
        <v>44.0</v>
      </c>
      <c r="AP3214" s="1479">
        <v>-0.03</v>
      </c>
      <c r="AQ3214" s="159" t="s">
        <v>15007</v>
      </c>
      <c r="AR3214" s="159" t="s">
        <v>628</v>
      </c>
      <c r="AS3214" s="156">
        <v>0.83</v>
      </c>
      <c r="AT3214" s="159" t="s">
        <v>172</v>
      </c>
      <c r="AU3214" s="159" t="s">
        <v>136</v>
      </c>
      <c r="AV3214" s="159" t="s">
        <v>141</v>
      </c>
      <c r="AW3214" s="310" t="s">
        <v>19192</v>
      </c>
      <c r="AX3214" s="159" t="s">
        <v>151</v>
      </c>
      <c r="AY3214" s="61" t="str">
        <f>IFERROR(__xludf.DUMMYFUNCTION("vlookup(BB3214,importrange(""https://docs.google.com/spreadsheets/d/1d2vevQ_7D_v35q4wCQ4RpQ_IPoTwEMB9Yp6ymwlPqew/edit?gid=984458430#gid=984458430"", ""'replication success'!A:K""), 11, FAlSE)"),"#N/A")</f>
        <v>#N/A</v>
      </c>
      <c r="AZ3214" s="61" t="str">
        <f>IFERROR(__xludf.DUMMYFUNCTION("vlookup(BB3214,importrange(""https://docs.google.com/spreadsheets/d/1d2vevQ_7D_v35q4wCQ4RpQ_IPoTwEMB9Yp6ymwlPqew/edit?gid=984458430#gid=984458430"", ""'replication success'!A:M""), 12, FAlSE)"),"#N/A")</f>
        <v>#N/A</v>
      </c>
      <c r="BA3214" s="61" t="str">
        <f>IFERROR(__xludf.DUMMYFUNCTION("vlookup(BB3214,importrange(""https://docs.google.com/spreadsheets/d/1d2vevQ_7D_v35q4wCQ4RpQ_IPoTwEMB9Yp6ymwlPqew/edit?gid=984458430#gid=984458430"", ""'replication success'!A:M""), 13, FAlSE)"),"#N/A")</f>
        <v>#N/A</v>
      </c>
      <c r="BB3214" s="61" t="str">
        <f>IFERROR(__xludf.DUMMYFUNCTION("REGEXREPLACE(G3214, ""_[a-z]{1,2}$"", """")"),"soscisubmission86")</f>
        <v>soscisubmission86</v>
      </c>
      <c r="BD3214" s="1063" t="s">
        <v>13231</v>
      </c>
    </row>
    <row r="3215" ht="15.75" customHeight="1">
      <c r="A3215" s="44">
        <v>2782.0</v>
      </c>
      <c r="B3215" s="129" t="s">
        <v>523</v>
      </c>
      <c r="C3215" s="62" t="s">
        <v>115</v>
      </c>
      <c r="D3215" s="62" t="s">
        <v>2630</v>
      </c>
      <c r="F3215" s="159" t="s">
        <v>19183</v>
      </c>
      <c r="G3215" s="159" t="s">
        <v>19184</v>
      </c>
      <c r="H3215" s="159" t="s">
        <v>19193</v>
      </c>
      <c r="I3215" s="152">
        <v>45331.0</v>
      </c>
      <c r="J3215" s="152">
        <v>45806.0</v>
      </c>
      <c r="K3215" s="68"/>
      <c r="L3215" s="159" t="s">
        <v>12841</v>
      </c>
      <c r="M3215" s="159" t="s">
        <v>19186</v>
      </c>
      <c r="N3215" s="159" t="s">
        <v>19187</v>
      </c>
      <c r="O3215" s="68"/>
      <c r="P3215" s="382" t="s">
        <v>19188</v>
      </c>
      <c r="Q3215" s="2418" t="str">
        <f> hyperlink(vlookup(lower(N3215),'File Links'!E:F, 2, FALSE), "LINK")</f>
        <v>LINK</v>
      </c>
      <c r="R3215" s="159" t="s">
        <v>15038</v>
      </c>
      <c r="S3215" s="159" t="s">
        <v>15039</v>
      </c>
      <c r="T3215" s="68"/>
      <c r="U3215" s="68"/>
      <c r="V3215" s="382" t="s">
        <v>15040</v>
      </c>
      <c r="W3215" s="1228"/>
      <c r="X3215" s="2419" t="str">
        <f> hyperlink(vlookup(lower(S3215),'File Links'!E:F, 2, FALSE), "LINK")</f>
        <v>LINK</v>
      </c>
      <c r="Y3215" s="159" t="s">
        <v>138</v>
      </c>
      <c r="Z3215" s="159" t="s">
        <v>148</v>
      </c>
      <c r="AA3215" s="159" t="s">
        <v>19194</v>
      </c>
      <c r="AB3215" s="159" t="s">
        <v>19195</v>
      </c>
      <c r="AC3215" s="159" t="s">
        <v>19196</v>
      </c>
      <c r="AD3215" s="159" t="s">
        <v>19197</v>
      </c>
      <c r="AE3215" s="159" t="s">
        <v>217</v>
      </c>
      <c r="AF3215" s="156">
        <v>50.0</v>
      </c>
      <c r="AG3215" s="156">
        <v>0.155</v>
      </c>
      <c r="AH3215" s="159" t="s">
        <v>139</v>
      </c>
      <c r="AI3215" s="159" t="s">
        <v>217</v>
      </c>
      <c r="AJ3215" s="156">
        <v>0.004</v>
      </c>
      <c r="AK3215" s="159" t="s">
        <v>172</v>
      </c>
      <c r="AL3215" s="159" t="s">
        <v>136</v>
      </c>
      <c r="AM3215" s="159" t="s">
        <v>137</v>
      </c>
      <c r="AN3215" s="310" t="s">
        <v>19198</v>
      </c>
      <c r="AO3215" s="156">
        <v>44.0</v>
      </c>
      <c r="AP3215" s="563">
        <v>0.03</v>
      </c>
      <c r="AQ3215" s="159" t="s">
        <v>139</v>
      </c>
      <c r="AR3215" s="68" t="s">
        <v>850</v>
      </c>
      <c r="AS3215" s="156">
        <v>0.253</v>
      </c>
      <c r="AT3215" s="159" t="s">
        <v>172</v>
      </c>
      <c r="AU3215" s="159" t="s">
        <v>136</v>
      </c>
      <c r="AV3215" s="159" t="s">
        <v>141</v>
      </c>
      <c r="AW3215" s="310" t="s">
        <v>19199</v>
      </c>
      <c r="AX3215" s="159" t="s">
        <v>151</v>
      </c>
      <c r="AY3215" s="61" t="str">
        <f>IFERROR(__xludf.DUMMYFUNCTION("vlookup(BB3215,importrange(""https://docs.google.com/spreadsheets/d/1d2vevQ_7D_v35q4wCQ4RpQ_IPoTwEMB9Yp6ymwlPqew/edit?gid=984458430#gid=984458430"", ""'replication success'!A:K""), 11, FAlSE)"),"#N/A")</f>
        <v>#N/A</v>
      </c>
      <c r="AZ3215" s="61" t="str">
        <f>IFERROR(__xludf.DUMMYFUNCTION("vlookup(BB3215,importrange(""https://docs.google.com/spreadsheets/d/1d2vevQ_7D_v35q4wCQ4RpQ_IPoTwEMB9Yp6ymwlPqew/edit?gid=984458430#gid=984458430"", ""'replication success'!A:M""), 12, FAlSE)"),"#N/A")</f>
        <v>#N/A</v>
      </c>
      <c r="BA3215" s="61" t="str">
        <f>IFERROR(__xludf.DUMMYFUNCTION("vlookup(BB3215,importrange(""https://docs.google.com/spreadsheets/d/1d2vevQ_7D_v35q4wCQ4RpQ_IPoTwEMB9Yp6ymwlPqew/edit?gid=984458430#gid=984458430"", ""'replication success'!A:M""), 13, FAlSE)"),"#N/A")</f>
        <v>#N/A</v>
      </c>
      <c r="BB3215" s="61" t="str">
        <f>IFERROR(__xludf.DUMMYFUNCTION("REGEXREPLACE(G3215, ""_[a-z]{1,2}$"", """")"),"soscisubmission86")</f>
        <v>soscisubmission86</v>
      </c>
      <c r="BD3215" s="1063" t="s">
        <v>13231</v>
      </c>
    </row>
    <row r="3216" ht="15.75" customHeight="1">
      <c r="A3216" s="44">
        <v>2766.0</v>
      </c>
      <c r="B3216" s="129" t="s">
        <v>523</v>
      </c>
      <c r="C3216" s="62" t="s">
        <v>115</v>
      </c>
      <c r="D3216" s="62" t="s">
        <v>221</v>
      </c>
      <c r="F3216" s="159" t="s">
        <v>19200</v>
      </c>
      <c r="G3216" s="159" t="s">
        <v>19201</v>
      </c>
      <c r="H3216" s="159" t="s">
        <v>222</v>
      </c>
      <c r="I3216" s="152">
        <v>45801.0</v>
      </c>
      <c r="J3216" s="862"/>
      <c r="K3216" s="68"/>
      <c r="L3216" s="159" t="s">
        <v>19202</v>
      </c>
      <c r="M3216" s="159" t="s">
        <v>19186</v>
      </c>
      <c r="N3216" s="159" t="s">
        <v>19187</v>
      </c>
      <c r="O3216" s="68"/>
      <c r="P3216" s="382" t="s">
        <v>19188</v>
      </c>
      <c r="Q3216" s="2418" t="str">
        <f> hyperlink(vlookup(lower(N3216),'File Links'!E:F, 2, FALSE), "LINK")</f>
        <v>LINK</v>
      </c>
      <c r="R3216" s="159" t="s">
        <v>19203</v>
      </c>
      <c r="S3216" s="159" t="s">
        <v>19204</v>
      </c>
      <c r="T3216" s="68"/>
      <c r="U3216" s="68"/>
      <c r="V3216" s="382" t="s">
        <v>19205</v>
      </c>
      <c r="W3216" s="1228"/>
      <c r="X3216" s="2419" t="str">
        <f> hyperlink(vlookup(lower(S3216),'File Links'!E:F, 2, FALSE), "LINK")</f>
        <v>LINK</v>
      </c>
      <c r="Y3216" s="68"/>
      <c r="Z3216" s="159" t="s">
        <v>148</v>
      </c>
      <c r="AA3216" s="159" t="s">
        <v>15041</v>
      </c>
      <c r="AB3216" s="159" t="s">
        <v>19206</v>
      </c>
      <c r="AC3216" s="159" t="s">
        <v>15042</v>
      </c>
      <c r="AD3216" s="159" t="s">
        <v>19207</v>
      </c>
      <c r="AE3216" s="159" t="s">
        <v>217</v>
      </c>
      <c r="AF3216" s="156">
        <v>83.0</v>
      </c>
      <c r="AG3216" s="156">
        <v>0.2</v>
      </c>
      <c r="AH3216" s="159" t="s">
        <v>139</v>
      </c>
      <c r="AI3216" s="159" t="s">
        <v>217</v>
      </c>
      <c r="AJ3216" s="156">
        <v>0.003</v>
      </c>
      <c r="AK3216" s="159" t="s">
        <v>172</v>
      </c>
      <c r="AL3216" s="159" t="s">
        <v>136</v>
      </c>
      <c r="AM3216" s="159" t="s">
        <v>1905</v>
      </c>
      <c r="AN3216" s="159" t="s">
        <v>138</v>
      </c>
      <c r="AO3216" s="156">
        <v>443.0</v>
      </c>
      <c r="AP3216" s="1479">
        <v>0.003</v>
      </c>
      <c r="AQ3216" s="159" t="s">
        <v>139</v>
      </c>
      <c r="AR3216" s="159" t="s">
        <v>850</v>
      </c>
      <c r="AS3216" s="156">
        <v>0.119</v>
      </c>
      <c r="AT3216" s="159" t="s">
        <v>172</v>
      </c>
      <c r="AU3216" s="159" t="s">
        <v>136</v>
      </c>
      <c r="AV3216" s="159" t="s">
        <v>1905</v>
      </c>
      <c r="AW3216" s="310" t="s">
        <v>19208</v>
      </c>
      <c r="AX3216" s="159" t="s">
        <v>143</v>
      </c>
      <c r="AY3216" s="61" t="str">
        <f>IFERROR(__xludf.DUMMYFUNCTION("vlookup(BB3216,importrange(""https://docs.google.com/spreadsheets/d/1d2vevQ_7D_v35q4wCQ4RpQ_IPoTwEMB9Yp6ymwlPqew/edit?gid=984458430#gid=984458430"", ""'replication success'!A:K""), 11, FAlSE)"),"#N/A")</f>
        <v>#N/A</v>
      </c>
      <c r="AZ3216" s="61" t="str">
        <f>IFERROR(__xludf.DUMMYFUNCTION("vlookup(BB3216,importrange(""https://docs.google.com/spreadsheets/d/1d2vevQ_7D_v35q4wCQ4RpQ_IPoTwEMB9Yp6ymwlPqew/edit?gid=984458430#gid=984458430"", ""'replication success'!A:M""), 12, FAlSE)"),"#N/A")</f>
        <v>#N/A</v>
      </c>
      <c r="BA3216" s="61" t="str">
        <f>IFERROR(__xludf.DUMMYFUNCTION("vlookup(BB3216,importrange(""https://docs.google.com/spreadsheets/d/1d2vevQ_7D_v35q4wCQ4RpQ_IPoTwEMB9Yp6ymwlPqew/edit?gid=984458430#gid=984458430"", ""'replication success'!A:M""), 13, FAlSE)"),"#N/A")</f>
        <v>#N/A</v>
      </c>
      <c r="BB3216" s="61" t="str">
        <f>IFERROR(__xludf.DUMMYFUNCTION("REGEXREPLACE(G3216, ""_[a-z]{1,2}$"", """")"),"soscisubmission87")</f>
        <v>soscisubmission87</v>
      </c>
      <c r="BD3216" s="1063" t="s">
        <v>13231</v>
      </c>
    </row>
    <row r="3217" ht="15.75" customHeight="1">
      <c r="A3217" s="44">
        <v>2783.0</v>
      </c>
      <c r="B3217" s="129" t="s">
        <v>523</v>
      </c>
      <c r="C3217" s="62" t="s">
        <v>115</v>
      </c>
      <c r="D3217" s="62" t="s">
        <v>2630</v>
      </c>
      <c r="F3217" s="159" t="s">
        <v>19200</v>
      </c>
      <c r="G3217" s="159" t="s">
        <v>19201</v>
      </c>
      <c r="H3217" s="159" t="s">
        <v>19193</v>
      </c>
      <c r="I3217" s="152">
        <v>45331.0</v>
      </c>
      <c r="J3217" s="152">
        <v>45806.0</v>
      </c>
      <c r="K3217" s="68"/>
      <c r="L3217" s="68"/>
      <c r="M3217" s="159" t="s">
        <v>19186</v>
      </c>
      <c r="N3217" s="159" t="s">
        <v>19187</v>
      </c>
      <c r="O3217" s="68"/>
      <c r="P3217" s="382" t="s">
        <v>19188</v>
      </c>
      <c r="Q3217" s="2418" t="str">
        <f> hyperlink(vlookup(lower(N3217),'File Links'!E:F, 2, FALSE), "LINK")</f>
        <v>LINK</v>
      </c>
      <c r="R3217" s="159" t="s">
        <v>19203</v>
      </c>
      <c r="S3217" s="159" t="s">
        <v>19204</v>
      </c>
      <c r="T3217" s="68"/>
      <c r="U3217" s="68"/>
      <c r="V3217" s="382" t="s">
        <v>19205</v>
      </c>
      <c r="W3217" s="1228"/>
      <c r="X3217" s="2419" t="str">
        <f> hyperlink(vlookup(lower(S3217),'File Links'!E:F, 2, FALSE), "LINK")</f>
        <v>LINK</v>
      </c>
      <c r="Y3217" s="159" t="s">
        <v>138</v>
      </c>
      <c r="Z3217" s="159" t="s">
        <v>148</v>
      </c>
      <c r="AA3217" s="159" t="s">
        <v>19194</v>
      </c>
      <c r="AB3217" s="159" t="s">
        <v>19195</v>
      </c>
      <c r="AC3217" s="159" t="s">
        <v>19196</v>
      </c>
      <c r="AD3217" s="159" t="s">
        <v>19197</v>
      </c>
      <c r="AE3217" s="159" t="s">
        <v>217</v>
      </c>
      <c r="AF3217" s="156">
        <v>50.0</v>
      </c>
      <c r="AG3217" s="156">
        <v>0.155</v>
      </c>
      <c r="AH3217" s="159" t="s">
        <v>139</v>
      </c>
      <c r="AI3217" s="159" t="s">
        <v>217</v>
      </c>
      <c r="AJ3217" s="156">
        <v>0.004</v>
      </c>
      <c r="AK3217" s="159" t="s">
        <v>172</v>
      </c>
      <c r="AL3217" s="159" t="s">
        <v>136</v>
      </c>
      <c r="AM3217" s="159" t="s">
        <v>137</v>
      </c>
      <c r="AN3217" s="310" t="s">
        <v>19198</v>
      </c>
      <c r="AO3217" s="156">
        <v>109.0</v>
      </c>
      <c r="AP3217" s="1479">
        <v>0.0</v>
      </c>
      <c r="AQ3217" s="159" t="s">
        <v>139</v>
      </c>
      <c r="AR3217" s="159" t="s">
        <v>813</v>
      </c>
      <c r="AS3217" s="156">
        <v>0.944</v>
      </c>
      <c r="AT3217" s="159" t="s">
        <v>172</v>
      </c>
      <c r="AU3217" s="159" t="s">
        <v>136</v>
      </c>
      <c r="AV3217" s="159" t="s">
        <v>141</v>
      </c>
      <c r="AW3217" s="435" t="s">
        <v>19209</v>
      </c>
      <c r="AX3217" s="159" t="s">
        <v>143</v>
      </c>
      <c r="AY3217" s="61" t="str">
        <f>IFERROR(__xludf.DUMMYFUNCTION("vlookup(BB3217,importrange(""https://docs.google.com/spreadsheets/d/1d2vevQ_7D_v35q4wCQ4RpQ_IPoTwEMB9Yp6ymwlPqew/edit?gid=984458430#gid=984458430"", ""'replication success'!A:K""), 11, FAlSE)"),"#N/A")</f>
        <v>#N/A</v>
      </c>
      <c r="AZ3217" s="61" t="str">
        <f>IFERROR(__xludf.DUMMYFUNCTION("vlookup(BB3217,importrange(""https://docs.google.com/spreadsheets/d/1d2vevQ_7D_v35q4wCQ4RpQ_IPoTwEMB9Yp6ymwlPqew/edit?gid=984458430#gid=984458430"", ""'replication success'!A:M""), 12, FAlSE)"),"#N/A")</f>
        <v>#N/A</v>
      </c>
      <c r="BA3217" s="61" t="str">
        <f>IFERROR(__xludf.DUMMYFUNCTION("vlookup(BB3217,importrange(""https://docs.google.com/spreadsheets/d/1d2vevQ_7D_v35q4wCQ4RpQ_IPoTwEMB9Yp6ymwlPqew/edit?gid=984458430#gid=984458430"", ""'replication success'!A:M""), 13, FAlSE)"),"#N/A")</f>
        <v>#N/A</v>
      </c>
      <c r="BB3217" s="61" t="str">
        <f>IFERROR(__xludf.DUMMYFUNCTION("REGEXREPLACE(G3217, ""_[a-z]{1,2}$"", """")"),"soscisubmission87")</f>
        <v>soscisubmission87</v>
      </c>
      <c r="BD3217" s="1063" t="s">
        <v>13231</v>
      </c>
    </row>
    <row r="3218" ht="15.75" customHeight="1">
      <c r="A3218" s="44">
        <v>2767.0</v>
      </c>
      <c r="B3218" s="129" t="s">
        <v>523</v>
      </c>
      <c r="C3218" s="62" t="s">
        <v>115</v>
      </c>
      <c r="D3218" s="62" t="s">
        <v>221</v>
      </c>
      <c r="F3218" s="68" t="s">
        <v>19210</v>
      </c>
      <c r="G3218" s="159" t="s">
        <v>19211</v>
      </c>
      <c r="H3218" s="159" t="s">
        <v>222</v>
      </c>
      <c r="I3218" s="152">
        <v>45801.0</v>
      </c>
      <c r="J3218" s="862"/>
      <c r="K3218" s="68"/>
      <c r="L3218" s="68"/>
      <c r="M3218" s="159" t="s">
        <v>19186</v>
      </c>
      <c r="N3218" s="159" t="s">
        <v>19187</v>
      </c>
      <c r="O3218" s="68"/>
      <c r="P3218" s="382" t="s">
        <v>19188</v>
      </c>
      <c r="Q3218" s="2418" t="str">
        <f> hyperlink(vlookup(lower(N3218),'File Links'!E:F, 2, FALSE), "LINK")</f>
        <v>LINK</v>
      </c>
      <c r="R3218" s="159" t="s">
        <v>19212</v>
      </c>
      <c r="S3218" s="159" t="s">
        <v>15017</v>
      </c>
      <c r="T3218" s="68"/>
      <c r="U3218" s="68"/>
      <c r="V3218" s="382" t="s">
        <v>15018</v>
      </c>
      <c r="W3218" s="1228"/>
      <c r="X3218" s="2419" t="str">
        <f> hyperlink(vlookup(lower(S3218),'File Links'!E:F, 2, FALSE), "LINK")</f>
        <v>LINK</v>
      </c>
      <c r="Y3218" s="68"/>
      <c r="Z3218" s="159" t="s">
        <v>148</v>
      </c>
      <c r="AA3218" s="159" t="s">
        <v>15041</v>
      </c>
      <c r="AB3218" s="159" t="s">
        <v>19206</v>
      </c>
      <c r="AC3218" s="159" t="s">
        <v>15042</v>
      </c>
      <c r="AD3218" s="159" t="s">
        <v>19213</v>
      </c>
      <c r="AE3218" s="159" t="s">
        <v>217</v>
      </c>
      <c r="AF3218" s="156">
        <v>83.0</v>
      </c>
      <c r="AG3218" s="156">
        <v>0.2</v>
      </c>
      <c r="AH3218" s="159" t="s">
        <v>139</v>
      </c>
      <c r="AI3218" s="159" t="s">
        <v>217</v>
      </c>
      <c r="AJ3218" s="156">
        <v>0.03</v>
      </c>
      <c r="AK3218" s="159" t="s">
        <v>172</v>
      </c>
      <c r="AL3218" s="159" t="s">
        <v>136</v>
      </c>
      <c r="AM3218" s="159" t="s">
        <v>137</v>
      </c>
      <c r="AN3218" s="159" t="s">
        <v>138</v>
      </c>
      <c r="AO3218" s="156">
        <v>14.0</v>
      </c>
      <c r="AP3218" s="1479">
        <v>0.27</v>
      </c>
      <c r="AQ3218" s="159" t="s">
        <v>139</v>
      </c>
      <c r="AR3218" s="159" t="s">
        <v>813</v>
      </c>
      <c r="AS3218" s="156">
        <v>0.06</v>
      </c>
      <c r="AT3218" s="159" t="s">
        <v>172</v>
      </c>
      <c r="AU3218" s="159" t="s">
        <v>136</v>
      </c>
      <c r="AV3218" s="159" t="s">
        <v>1905</v>
      </c>
      <c r="AW3218" s="159" t="s">
        <v>138</v>
      </c>
      <c r="AX3218" s="159" t="s">
        <v>143</v>
      </c>
      <c r="AY3218" s="61" t="str">
        <f>IFERROR(__xludf.DUMMYFUNCTION("vlookup(BB3218,importrange(""https://docs.google.com/spreadsheets/d/1d2vevQ_7D_v35q4wCQ4RpQ_IPoTwEMB9Yp6ymwlPqew/edit?gid=984458430#gid=984458430"", ""'replication success'!A:K""), 11, FAlSE)"),"#N/A")</f>
        <v>#N/A</v>
      </c>
      <c r="AZ3218" s="61" t="str">
        <f>IFERROR(__xludf.DUMMYFUNCTION("vlookup(BB3218,importrange(""https://docs.google.com/spreadsheets/d/1d2vevQ_7D_v35q4wCQ4RpQ_IPoTwEMB9Yp6ymwlPqew/edit?gid=984458430#gid=984458430"", ""'replication success'!A:M""), 12, FAlSE)"),"#N/A")</f>
        <v>#N/A</v>
      </c>
      <c r="BA3218" s="61" t="str">
        <f>IFERROR(__xludf.DUMMYFUNCTION("vlookup(BB3218,importrange(""https://docs.google.com/spreadsheets/d/1d2vevQ_7D_v35q4wCQ4RpQ_IPoTwEMB9Yp6ymwlPqew/edit?gid=984458430#gid=984458430"", ""'replication success'!A:M""), 13, FAlSE)"),"#N/A")</f>
        <v>#N/A</v>
      </c>
      <c r="BB3218" s="61" t="str">
        <f>IFERROR(__xludf.DUMMYFUNCTION("REGEXREPLACE(G3218, ""_[a-z]{1,2}$"", """")"),"soscisubmission88")</f>
        <v>soscisubmission88</v>
      </c>
      <c r="BD3218" s="1063" t="s">
        <v>13231</v>
      </c>
    </row>
    <row r="3219" ht="15.75" customHeight="1">
      <c r="A3219" s="44">
        <v>2784.0</v>
      </c>
      <c r="B3219" s="129" t="s">
        <v>523</v>
      </c>
      <c r="C3219" s="62" t="s">
        <v>115</v>
      </c>
      <c r="D3219" s="62" t="s">
        <v>2630</v>
      </c>
      <c r="F3219" s="68" t="s">
        <v>19210</v>
      </c>
      <c r="G3219" s="159" t="s">
        <v>19211</v>
      </c>
      <c r="H3219" s="159" t="s">
        <v>19193</v>
      </c>
      <c r="I3219" s="152">
        <v>45331.0</v>
      </c>
      <c r="J3219" s="152">
        <v>45806.0</v>
      </c>
      <c r="K3219" s="68"/>
      <c r="L3219" s="68"/>
      <c r="M3219" s="159" t="s">
        <v>19186</v>
      </c>
      <c r="N3219" s="159" t="s">
        <v>19187</v>
      </c>
      <c r="O3219" s="68"/>
      <c r="P3219" s="382" t="s">
        <v>19188</v>
      </c>
      <c r="Q3219" s="2418" t="str">
        <f> hyperlink(vlookup(lower(N3219),'File Links'!E:F, 2, FALSE), "LINK")</f>
        <v>LINK</v>
      </c>
      <c r="R3219" s="159" t="s">
        <v>19212</v>
      </c>
      <c r="S3219" s="159" t="s">
        <v>15017</v>
      </c>
      <c r="T3219" s="68"/>
      <c r="U3219" s="68"/>
      <c r="V3219" s="382" t="s">
        <v>15018</v>
      </c>
      <c r="W3219" s="1228"/>
      <c r="X3219" s="2419" t="str">
        <f> hyperlink(vlookup(lower(S3219),'File Links'!E:F, 2, FALSE), "LINK")</f>
        <v>LINK</v>
      </c>
      <c r="Y3219" s="159" t="s">
        <v>138</v>
      </c>
      <c r="Z3219" s="159" t="s">
        <v>148</v>
      </c>
      <c r="AA3219" s="159" t="s">
        <v>19194</v>
      </c>
      <c r="AB3219" s="159" t="s">
        <v>19195</v>
      </c>
      <c r="AC3219" s="159" t="s">
        <v>19196</v>
      </c>
      <c r="AD3219" s="159" t="s">
        <v>19197</v>
      </c>
      <c r="AE3219" s="159" t="s">
        <v>217</v>
      </c>
      <c r="AF3219" s="156">
        <v>50.0</v>
      </c>
      <c r="AG3219" s="156">
        <v>0.155</v>
      </c>
      <c r="AH3219" s="159" t="s">
        <v>139</v>
      </c>
      <c r="AI3219" s="159" t="s">
        <v>217</v>
      </c>
      <c r="AJ3219" s="156">
        <v>0.004</v>
      </c>
      <c r="AK3219" s="159" t="s">
        <v>172</v>
      </c>
      <c r="AL3219" s="159" t="s">
        <v>136</v>
      </c>
      <c r="AM3219" s="159" t="s">
        <v>137</v>
      </c>
      <c r="AN3219" s="310" t="s">
        <v>19198</v>
      </c>
      <c r="AO3219" s="156">
        <v>45.0</v>
      </c>
      <c r="AP3219" s="1479">
        <v>0.09</v>
      </c>
      <c r="AQ3219" s="159" t="s">
        <v>139</v>
      </c>
      <c r="AR3219" s="159" t="s">
        <v>132</v>
      </c>
      <c r="AS3219" s="156">
        <v>0.044</v>
      </c>
      <c r="AT3219" s="159" t="s">
        <v>172</v>
      </c>
      <c r="AU3219" s="159" t="s">
        <v>136</v>
      </c>
      <c r="AV3219" s="159" t="s">
        <v>141</v>
      </c>
      <c r="AW3219" s="435" t="s">
        <v>19198</v>
      </c>
      <c r="AX3219" s="159" t="s">
        <v>438</v>
      </c>
      <c r="AY3219" s="61" t="str">
        <f>IFERROR(__xludf.DUMMYFUNCTION("vlookup(BB3219,importrange(""https://docs.google.com/spreadsheets/d/1d2vevQ_7D_v35q4wCQ4RpQ_IPoTwEMB9Yp6ymwlPqew/edit?gid=984458430#gid=984458430"", ""'replication success'!A:K""), 11, FAlSE)"),"#N/A")</f>
        <v>#N/A</v>
      </c>
      <c r="AZ3219" s="61" t="str">
        <f>IFERROR(__xludf.DUMMYFUNCTION("vlookup(BB3219,importrange(""https://docs.google.com/spreadsheets/d/1d2vevQ_7D_v35q4wCQ4RpQ_IPoTwEMB9Yp6ymwlPqew/edit?gid=984458430#gid=984458430"", ""'replication success'!A:M""), 12, FAlSE)"),"#N/A")</f>
        <v>#N/A</v>
      </c>
      <c r="BA3219" s="61" t="str">
        <f>IFERROR(__xludf.DUMMYFUNCTION("vlookup(BB3219,importrange(""https://docs.google.com/spreadsheets/d/1d2vevQ_7D_v35q4wCQ4RpQ_IPoTwEMB9Yp6ymwlPqew/edit?gid=984458430#gid=984458430"", ""'replication success'!A:M""), 13, FAlSE)"),"#N/A")</f>
        <v>#N/A</v>
      </c>
      <c r="BB3219" s="61" t="str">
        <f>IFERROR(__xludf.DUMMYFUNCTION("REGEXREPLACE(G3219, ""_[a-z]{1,2}$"", """")"),"soscisubmission88")</f>
        <v>soscisubmission88</v>
      </c>
      <c r="BD3219" s="1063" t="s">
        <v>13231</v>
      </c>
    </row>
    <row r="3220" ht="15.75" customHeight="1">
      <c r="A3220" s="44">
        <v>3005.0</v>
      </c>
      <c r="B3220" s="129" t="s">
        <v>523</v>
      </c>
      <c r="C3220" s="62" t="s">
        <v>115</v>
      </c>
      <c r="D3220" s="62" t="s">
        <v>18727</v>
      </c>
      <c r="F3220" s="68" t="s">
        <v>15035</v>
      </c>
      <c r="G3220" s="159" t="s">
        <v>15036</v>
      </c>
      <c r="H3220" s="68" t="s">
        <v>18728</v>
      </c>
      <c r="I3220" s="152">
        <v>45806.0</v>
      </c>
      <c r="J3220" s="862"/>
      <c r="K3220" s="68"/>
      <c r="L3220" s="68"/>
      <c r="M3220" s="159" t="s">
        <v>15037</v>
      </c>
      <c r="N3220" s="159" t="s">
        <v>15017</v>
      </c>
      <c r="O3220" s="159" t="s">
        <v>4426</v>
      </c>
      <c r="P3220" s="382" t="s">
        <v>15018</v>
      </c>
      <c r="Q3220" s="2514" t="str">
        <f> hyperlink(vlookup(lower(N3220),'File Links'!E:F, 2, FALSE), "LINK")</f>
        <v>LINK</v>
      </c>
      <c r="R3220" s="159" t="s">
        <v>15038</v>
      </c>
      <c r="S3220" s="159" t="s">
        <v>15039</v>
      </c>
      <c r="T3220" s="68"/>
      <c r="U3220" s="159" t="s">
        <v>4732</v>
      </c>
      <c r="V3220" s="382" t="s">
        <v>15040</v>
      </c>
      <c r="W3220" s="1228"/>
      <c r="X3220" s="2518" t="str">
        <f> hyperlink(vlookup(lower(S3220),'File Links'!E:F, 2, FALSE), "LINK")</f>
        <v>LINK</v>
      </c>
      <c r="Y3220" s="68"/>
      <c r="Z3220" s="159" t="s">
        <v>148</v>
      </c>
      <c r="AA3220" s="2502" t="s">
        <v>19214</v>
      </c>
      <c r="AB3220" s="2502" t="s">
        <v>19215</v>
      </c>
      <c r="AC3220" s="2502" t="s">
        <v>19216</v>
      </c>
      <c r="AD3220" s="2519" t="s">
        <v>19217</v>
      </c>
      <c r="AE3220" s="336">
        <v>3.0</v>
      </c>
      <c r="AF3220" s="336">
        <v>14.0</v>
      </c>
      <c r="AG3220" s="336">
        <v>0.27</v>
      </c>
      <c r="AH3220" s="68" t="s">
        <v>874</v>
      </c>
      <c r="AI3220" s="68" t="s">
        <v>507</v>
      </c>
      <c r="AJ3220" s="336">
        <v>0.018</v>
      </c>
      <c r="AK3220" s="68" t="s">
        <v>172</v>
      </c>
      <c r="AL3220" s="68" t="s">
        <v>186</v>
      </c>
      <c r="AM3220" s="68" t="s">
        <v>141</v>
      </c>
      <c r="AN3220" s="68" t="s">
        <v>138</v>
      </c>
      <c r="AO3220" s="336">
        <v>38.0</v>
      </c>
      <c r="AP3220" s="336">
        <v>0.04</v>
      </c>
      <c r="AQ3220" s="68" t="s">
        <v>874</v>
      </c>
      <c r="AR3220" s="594" t="s">
        <v>19218</v>
      </c>
      <c r="AS3220" s="336">
        <v>0.194</v>
      </c>
      <c r="AT3220" s="68" t="s">
        <v>172</v>
      </c>
      <c r="AU3220" s="68" t="s">
        <v>186</v>
      </c>
      <c r="AV3220" s="68" t="s">
        <v>141</v>
      </c>
      <c r="AW3220" s="435" t="s">
        <v>19219</v>
      </c>
      <c r="AX3220" s="68" t="s">
        <v>143</v>
      </c>
      <c r="AY3220" s="61" t="str">
        <f>IFERROR(__xludf.DUMMYFUNCTION("vlookup(BB3220,importrange(""https://docs.google.com/spreadsheets/d/1d2vevQ_7D_v35q4wCQ4RpQ_IPoTwEMB9Yp6ymwlPqew/edit?gid=984458430#gid=984458430"", ""'replication success'!A:K""), 11, FAlSE)"),"#N/A")</f>
        <v>#N/A</v>
      </c>
      <c r="AZ3220" s="61" t="str">
        <f>IFERROR(__xludf.DUMMYFUNCTION("vlookup(BB3220,importrange(""https://docs.google.com/spreadsheets/d/1d2vevQ_7D_v35q4wCQ4RpQ_IPoTwEMB9Yp6ymwlPqew/edit?gid=984458430#gid=984458430"", ""'replication success'!A:M""), 12, FAlSE)"),"#N/A")</f>
        <v>#N/A</v>
      </c>
      <c r="BA3220" s="61" t="str">
        <f>IFERROR(__xludf.DUMMYFUNCTION("vlookup(BB3220,importrange(""https://docs.google.com/spreadsheets/d/1d2vevQ_7D_v35q4wCQ4RpQ_IPoTwEMB9Yp6ymwlPqew/edit?gid=984458430#gid=984458430"", ""'replication success'!A:M""), 13, FAlSE)"),"#N/A")</f>
        <v>#N/A</v>
      </c>
      <c r="BB3220" s="61" t="str">
        <f>IFERROR(__xludf.DUMMYFUNCTION("REGEXREPLACE(G3220, ""_[a-z]{1,2}$"", """")"),"soscisubmission89")</f>
        <v>soscisubmission89</v>
      </c>
      <c r="BD3220" s="1063" t="s">
        <v>13231</v>
      </c>
    </row>
    <row r="3221" ht="15.75" customHeight="1">
      <c r="A3221" s="44">
        <v>3006.0</v>
      </c>
      <c r="B3221" s="129" t="s">
        <v>523</v>
      </c>
      <c r="C3221" s="62" t="s">
        <v>115</v>
      </c>
      <c r="D3221" s="62" t="s">
        <v>18727</v>
      </c>
      <c r="F3221" s="68" t="s">
        <v>15778</v>
      </c>
      <c r="G3221" s="159" t="s">
        <v>15779</v>
      </c>
      <c r="H3221" s="159" t="s">
        <v>18728</v>
      </c>
      <c r="I3221" s="152">
        <v>45806.0</v>
      </c>
      <c r="J3221" s="862"/>
      <c r="K3221" s="68" t="s">
        <v>19220</v>
      </c>
      <c r="L3221" s="68"/>
      <c r="M3221" s="159" t="s">
        <v>13192</v>
      </c>
      <c r="N3221" s="159" t="s">
        <v>13193</v>
      </c>
      <c r="O3221" s="336">
        <v>1.0</v>
      </c>
      <c r="P3221" s="382" t="s">
        <v>13194</v>
      </c>
      <c r="Q3221" s="2514" t="str">
        <f> hyperlink(vlookup(lower(N3221),'File Links'!E:F, 2, FALSE), "LINK")</f>
        <v>LINK</v>
      </c>
      <c r="R3221" s="159" t="s">
        <v>15780</v>
      </c>
      <c r="S3221" s="159" t="s">
        <v>15781</v>
      </c>
      <c r="T3221" s="68"/>
      <c r="U3221" s="336">
        <v>1.0</v>
      </c>
      <c r="V3221" s="382" t="s">
        <v>15782</v>
      </c>
      <c r="W3221" s="1228"/>
      <c r="X3221" s="2419" t="str">
        <f> hyperlink(vlookup(lower(S3221),'File Links'!E:F, 2, FALSE), "LINK")</f>
        <v>LINK</v>
      </c>
      <c r="Y3221" s="68"/>
      <c r="Z3221" s="159" t="s">
        <v>1600</v>
      </c>
      <c r="AA3221" s="2520" t="s">
        <v>19221</v>
      </c>
      <c r="AB3221" s="2519" t="s">
        <v>19222</v>
      </c>
      <c r="AC3221" s="2502" t="s">
        <v>19223</v>
      </c>
      <c r="AD3221" s="2519" t="s">
        <v>19224</v>
      </c>
      <c r="AE3221" s="336">
        <v>4.0</v>
      </c>
      <c r="AF3221" s="156">
        <v>20.0</v>
      </c>
      <c r="AG3221" s="336">
        <v>0.22</v>
      </c>
      <c r="AH3221" s="68" t="s">
        <v>874</v>
      </c>
      <c r="AI3221" s="68" t="s">
        <v>496</v>
      </c>
      <c r="AJ3221" s="336">
        <v>0.003</v>
      </c>
      <c r="AK3221" s="68" t="s">
        <v>172</v>
      </c>
      <c r="AL3221" s="68" t="s">
        <v>136</v>
      </c>
      <c r="AM3221" s="68" t="s">
        <v>141</v>
      </c>
      <c r="AN3221" s="68" t="s">
        <v>138</v>
      </c>
      <c r="AO3221" s="156">
        <v>48.0</v>
      </c>
      <c r="AP3221" s="336">
        <v>3.03</v>
      </c>
      <c r="AQ3221" s="68" t="s">
        <v>173</v>
      </c>
      <c r="AR3221" s="336">
        <v>7.0</v>
      </c>
      <c r="AS3221" s="336">
        <v>0.001</v>
      </c>
      <c r="AT3221" s="68" t="s">
        <v>135</v>
      </c>
      <c r="AU3221" s="68" t="s">
        <v>186</v>
      </c>
      <c r="AV3221" s="68" t="s">
        <v>141</v>
      </c>
      <c r="AW3221" s="435" t="s">
        <v>19225</v>
      </c>
      <c r="AX3221" s="68" t="s">
        <v>151</v>
      </c>
      <c r="AY3221" s="61" t="str">
        <f>IFERROR(__xludf.DUMMYFUNCTION("vlookup(BB3221,importrange(""https://docs.google.com/spreadsheets/d/1d2vevQ_7D_v35q4wCQ4RpQ_IPoTwEMB9Yp6ymwlPqew/edit?gid=984458430#gid=984458430"", ""'replication success'!A:K""), 11, FAlSE)"),"#N/A")</f>
        <v>#N/A</v>
      </c>
      <c r="AZ3221" s="61" t="str">
        <f>IFERROR(__xludf.DUMMYFUNCTION("vlookup(BB3221,importrange(""https://docs.google.com/spreadsheets/d/1d2vevQ_7D_v35q4wCQ4RpQ_IPoTwEMB9Yp6ymwlPqew/edit?gid=984458430#gid=984458430"", ""'replication success'!A:M""), 12, FAlSE)"),"#N/A")</f>
        <v>#N/A</v>
      </c>
      <c r="BA3221" s="61" t="str">
        <f>IFERROR(__xludf.DUMMYFUNCTION("vlookup(BB3221,importrange(""https://docs.google.com/spreadsheets/d/1d2vevQ_7D_v35q4wCQ4RpQ_IPoTwEMB9Yp6ymwlPqew/edit?gid=984458430#gid=984458430"", ""'replication success'!A:M""), 13, FAlSE)"),"#N/A")</f>
        <v>#N/A</v>
      </c>
      <c r="BB3221" s="61" t="str">
        <f>IFERROR(__xludf.DUMMYFUNCTION("REGEXREPLACE(G3221, ""_[a-z]{1,2}$"", """")"),"soscisubmission90a")</f>
        <v>soscisubmission90a</v>
      </c>
      <c r="BD3221" s="1063" t="s">
        <v>13231</v>
      </c>
    </row>
    <row r="3222" ht="15.75" customHeight="1">
      <c r="A3222" s="44">
        <v>3007.0</v>
      </c>
      <c r="B3222" s="129" t="s">
        <v>523</v>
      </c>
      <c r="C3222" s="62" t="s">
        <v>115</v>
      </c>
      <c r="D3222" s="62" t="s">
        <v>18727</v>
      </c>
      <c r="F3222" s="68" t="s">
        <v>19226</v>
      </c>
      <c r="G3222" s="159" t="s">
        <v>15787</v>
      </c>
      <c r="H3222" s="159" t="s">
        <v>18728</v>
      </c>
      <c r="I3222" s="152">
        <v>45806.0</v>
      </c>
      <c r="J3222" s="862"/>
      <c r="K3222" s="68"/>
      <c r="L3222" s="68"/>
      <c r="M3222" s="159" t="s">
        <v>13192</v>
      </c>
      <c r="N3222" s="159" t="s">
        <v>13193</v>
      </c>
      <c r="O3222" s="336">
        <v>1.0</v>
      </c>
      <c r="P3222" s="382" t="s">
        <v>13194</v>
      </c>
      <c r="Q3222" s="2514" t="str">
        <f> hyperlink(vlookup(lower(N3222),'File Links'!E:F, 2, FALSE), "LINK")</f>
        <v>LINK</v>
      </c>
      <c r="R3222" s="159" t="s">
        <v>15780</v>
      </c>
      <c r="S3222" s="159" t="s">
        <v>15781</v>
      </c>
      <c r="T3222" s="68"/>
      <c r="U3222" s="68" t="s">
        <v>138</v>
      </c>
      <c r="V3222" s="573"/>
      <c r="W3222" s="1228"/>
      <c r="X3222" s="2521"/>
      <c r="Y3222" s="68"/>
      <c r="Z3222" s="159" t="s">
        <v>1600</v>
      </c>
      <c r="AA3222" s="2520" t="s">
        <v>19221</v>
      </c>
      <c r="AB3222" s="2519" t="s">
        <v>19222</v>
      </c>
      <c r="AC3222" s="2502" t="s">
        <v>19223</v>
      </c>
      <c r="AD3222" s="2519" t="s">
        <v>19224</v>
      </c>
      <c r="AE3222" s="336">
        <v>4.0</v>
      </c>
      <c r="AF3222" s="156">
        <v>20.0</v>
      </c>
      <c r="AG3222" s="336">
        <v>0.22</v>
      </c>
      <c r="AH3222" s="68" t="s">
        <v>874</v>
      </c>
      <c r="AI3222" s="68" t="s">
        <v>496</v>
      </c>
      <c r="AJ3222" s="336">
        <v>0.003</v>
      </c>
      <c r="AK3222" s="68" t="s">
        <v>172</v>
      </c>
      <c r="AL3222" s="68" t="s">
        <v>136</v>
      </c>
      <c r="AM3222" s="68" t="s">
        <v>141</v>
      </c>
      <c r="AN3222" s="68" t="s">
        <v>138</v>
      </c>
      <c r="AO3222" s="156">
        <v>53.0</v>
      </c>
      <c r="AP3222" s="336">
        <v>0.93</v>
      </c>
      <c r="AQ3222" s="68" t="s">
        <v>173</v>
      </c>
      <c r="AR3222" s="336">
        <v>8.0</v>
      </c>
      <c r="AS3222" s="336">
        <v>0.006</v>
      </c>
      <c r="AT3222" s="68" t="s">
        <v>172</v>
      </c>
      <c r="AU3222" s="68" t="s">
        <v>186</v>
      </c>
      <c r="AV3222" s="68" t="s">
        <v>141</v>
      </c>
      <c r="AW3222" s="2522" t="s">
        <v>19225</v>
      </c>
      <c r="AX3222" s="68" t="s">
        <v>151</v>
      </c>
      <c r="AY3222" s="61" t="str">
        <f>IFERROR(__xludf.DUMMYFUNCTION("vlookup(BB3222,importrange(""https://docs.google.com/spreadsheets/d/1d2vevQ_7D_v35q4wCQ4RpQ_IPoTwEMB9Yp6ymwlPqew/edit?gid=984458430#gid=984458430"", ""'replication success'!A:K""), 11, FAlSE)"),"#N/A")</f>
        <v>#N/A</v>
      </c>
      <c r="AZ3222" s="61" t="str">
        <f>IFERROR(__xludf.DUMMYFUNCTION("vlookup(BB3222,importrange(""https://docs.google.com/spreadsheets/d/1d2vevQ_7D_v35q4wCQ4RpQ_IPoTwEMB9Yp6ymwlPqew/edit?gid=984458430#gid=984458430"", ""'replication success'!A:M""), 12, FAlSE)"),"#N/A")</f>
        <v>#N/A</v>
      </c>
      <c r="BA3222" s="61" t="str">
        <f>IFERROR(__xludf.DUMMYFUNCTION("vlookup(BB3222,importrange(""https://docs.google.com/spreadsheets/d/1d2vevQ_7D_v35q4wCQ4RpQ_IPoTwEMB9Yp6ymwlPqew/edit?gid=984458430#gid=984458430"", ""'replication success'!A:M""), 13, FAlSE)"),"#N/A")</f>
        <v>#N/A</v>
      </c>
      <c r="BB3222" s="61" t="str">
        <f>IFERROR(__xludf.DUMMYFUNCTION("REGEXREPLACE(G3222, ""_[a-z]{1,2}$"", """")"),"soscisubmission90a")</f>
        <v>soscisubmission90a</v>
      </c>
      <c r="BD3222" s="1063" t="s">
        <v>13231</v>
      </c>
    </row>
    <row r="3223" ht="15.75" customHeight="1">
      <c r="A3223" s="44">
        <v>2799.0</v>
      </c>
      <c r="B3223" s="129" t="s">
        <v>523</v>
      </c>
      <c r="C3223" s="62" t="s">
        <v>115</v>
      </c>
      <c r="D3223" s="62" t="s">
        <v>1458</v>
      </c>
      <c r="F3223" s="68" t="s">
        <v>19227</v>
      </c>
      <c r="G3223" s="159" t="s">
        <v>19228</v>
      </c>
      <c r="H3223" s="159" t="s">
        <v>19229</v>
      </c>
      <c r="I3223" s="152">
        <v>45541.0</v>
      </c>
      <c r="J3223" s="152">
        <v>45803.0</v>
      </c>
      <c r="K3223" s="159" t="s">
        <v>138</v>
      </c>
      <c r="L3223" s="159" t="s">
        <v>19230</v>
      </c>
      <c r="M3223" s="159" t="s">
        <v>19231</v>
      </c>
      <c r="N3223" s="680" t="s">
        <v>19232</v>
      </c>
      <c r="O3223" s="159" t="s">
        <v>4092</v>
      </c>
      <c r="P3223" s="382" t="s">
        <v>19233</v>
      </c>
      <c r="Q3223" s="2418" t="str">
        <f> hyperlink(vlookup(lower(N3223),'File Links'!E:F, 2, FALSE), "LINK")</f>
        <v>LINK</v>
      </c>
      <c r="R3223" s="159" t="s">
        <v>19234</v>
      </c>
      <c r="S3223" s="159" t="s">
        <v>19235</v>
      </c>
      <c r="T3223" s="159" t="s">
        <v>138</v>
      </c>
      <c r="U3223" s="156">
        <v>1.0</v>
      </c>
      <c r="V3223" s="382" t="s">
        <v>19236</v>
      </c>
      <c r="W3223" s="1228"/>
      <c r="X3223" s="2419" t="str">
        <f> hyperlink(vlookup(lower(S3223),'File Links'!E:F, 2, FALSE), "LINK")</f>
        <v>LINK</v>
      </c>
      <c r="Y3223" s="159" t="s">
        <v>138</v>
      </c>
      <c r="Z3223" s="159" t="s">
        <v>148</v>
      </c>
      <c r="AA3223" s="159" t="s">
        <v>19237</v>
      </c>
      <c r="AB3223" s="159" t="s">
        <v>19238</v>
      </c>
      <c r="AC3223" s="159" t="s">
        <v>19239</v>
      </c>
      <c r="AD3223" s="159" t="s">
        <v>19240</v>
      </c>
      <c r="AE3223" s="156">
        <v>4.0</v>
      </c>
      <c r="AF3223" s="156">
        <v>419.0</v>
      </c>
      <c r="AG3223" s="156">
        <v>0.4</v>
      </c>
      <c r="AH3223" s="159" t="s">
        <v>173</v>
      </c>
      <c r="AI3223" s="159" t="s">
        <v>496</v>
      </c>
      <c r="AJ3223" s="156">
        <v>0.006</v>
      </c>
      <c r="AK3223" s="159" t="s">
        <v>172</v>
      </c>
      <c r="AL3223" s="159" t="s">
        <v>186</v>
      </c>
      <c r="AM3223" s="159" t="s">
        <v>137</v>
      </c>
      <c r="AN3223" s="159" t="s">
        <v>138</v>
      </c>
      <c r="AO3223" s="156">
        <v>160.0</v>
      </c>
      <c r="AP3223" s="156">
        <v>-0.37</v>
      </c>
      <c r="AQ3223" s="159" t="s">
        <v>173</v>
      </c>
      <c r="AR3223" s="159" t="s">
        <v>624</v>
      </c>
      <c r="AS3223" s="156">
        <v>0.02</v>
      </c>
      <c r="AT3223" s="159" t="s">
        <v>19241</v>
      </c>
      <c r="AU3223" s="159" t="s">
        <v>186</v>
      </c>
      <c r="AV3223" s="159" t="s">
        <v>137</v>
      </c>
      <c r="AW3223" s="435" t="s">
        <v>19242</v>
      </c>
      <c r="AX3223" s="159" t="s">
        <v>143</v>
      </c>
      <c r="AY3223" s="61" t="str">
        <f>IFERROR(__xludf.DUMMYFUNCTION("vlookup(BB3223,importrange(""https://docs.google.com/spreadsheets/d/1d2vevQ_7D_v35q4wCQ4RpQ_IPoTwEMB9Yp6ymwlPqew/edit?gid=984458430#gid=984458430"", ""'replication success'!A:K""), 11, FAlSE)"),"#N/A")</f>
        <v>#N/A</v>
      </c>
      <c r="AZ3223" s="61" t="str">
        <f>IFERROR(__xludf.DUMMYFUNCTION("vlookup(BB3223,importrange(""https://docs.google.com/spreadsheets/d/1d2vevQ_7D_v35q4wCQ4RpQ_IPoTwEMB9Yp6ymwlPqew/edit?gid=984458430#gid=984458430"", ""'replication success'!A:M""), 12, FAlSE)"),"#N/A")</f>
        <v>#N/A</v>
      </c>
      <c r="BA3223" s="61" t="str">
        <f>IFERROR(__xludf.DUMMYFUNCTION("vlookup(BB3223,importrange(""https://docs.google.com/spreadsheets/d/1d2vevQ_7D_v35q4wCQ4RpQ_IPoTwEMB9Yp6ymwlPqew/edit?gid=984458430#gid=984458430"", ""'replication success'!A:M""), 13, FAlSE)"),"#N/A")</f>
        <v>#N/A</v>
      </c>
      <c r="BB3223" s="61" t="str">
        <f>IFERROR(__xludf.DUMMYFUNCTION("REGEXREPLACE(G3223, ""_[a-z]{1,2}$"", """")"),"soscisubmission95")</f>
        <v>soscisubmission95</v>
      </c>
    </row>
    <row r="3224" ht="15.75" customHeight="1">
      <c r="A3224" s="44">
        <v>2800.0</v>
      </c>
      <c r="B3224" s="129" t="s">
        <v>523</v>
      </c>
      <c r="C3224" s="62" t="s">
        <v>115</v>
      </c>
      <c r="D3224" s="62" t="s">
        <v>1458</v>
      </c>
      <c r="F3224" s="68" t="s">
        <v>19243</v>
      </c>
      <c r="G3224" s="159" t="s">
        <v>19244</v>
      </c>
      <c r="H3224" s="159" t="s">
        <v>19229</v>
      </c>
      <c r="I3224" s="152">
        <v>45541.0</v>
      </c>
      <c r="J3224" s="152">
        <v>45803.0</v>
      </c>
      <c r="K3224" s="159" t="s">
        <v>138</v>
      </c>
      <c r="L3224" s="159" t="s">
        <v>19230</v>
      </c>
      <c r="M3224" s="159" t="s">
        <v>19231</v>
      </c>
      <c r="N3224" s="680" t="s">
        <v>19232</v>
      </c>
      <c r="O3224" s="159" t="s">
        <v>5535</v>
      </c>
      <c r="P3224" s="382" t="s">
        <v>19233</v>
      </c>
      <c r="Q3224" s="2418" t="str">
        <f> hyperlink(vlookup(lower(N3224),'File Links'!E:F, 2, FALSE), "LINK")</f>
        <v>LINK</v>
      </c>
      <c r="R3224" s="159" t="s">
        <v>19234</v>
      </c>
      <c r="S3224" s="159" t="s">
        <v>19235</v>
      </c>
      <c r="T3224" s="159" t="s">
        <v>138</v>
      </c>
      <c r="U3224" s="156">
        <v>1.0</v>
      </c>
      <c r="V3224" s="382" t="s">
        <v>19236</v>
      </c>
      <c r="W3224" s="1228"/>
      <c r="X3224" s="2419" t="str">
        <f> hyperlink(vlookup(lower(S3224),'File Links'!E:F, 2, FALSE), "LINK")</f>
        <v>LINK</v>
      </c>
      <c r="Y3224" s="159" t="s">
        <v>138</v>
      </c>
      <c r="Z3224" s="159" t="s">
        <v>148</v>
      </c>
      <c r="AA3224" s="159" t="s">
        <v>19245</v>
      </c>
      <c r="AB3224" s="159" t="s">
        <v>19238</v>
      </c>
      <c r="AC3224" s="159" t="s">
        <v>19246</v>
      </c>
      <c r="AD3224" s="159" t="s">
        <v>19247</v>
      </c>
      <c r="AE3224" s="156">
        <v>5.0</v>
      </c>
      <c r="AF3224" s="156">
        <v>89.0</v>
      </c>
      <c r="AG3224" s="156">
        <v>0.69</v>
      </c>
      <c r="AH3224" s="159" t="s">
        <v>173</v>
      </c>
      <c r="AI3224" s="159" t="s">
        <v>882</v>
      </c>
      <c r="AJ3224" s="156">
        <v>0.02</v>
      </c>
      <c r="AK3224" s="159" t="s">
        <v>172</v>
      </c>
      <c r="AL3224" s="159" t="s">
        <v>186</v>
      </c>
      <c r="AM3224" s="159" t="s">
        <v>137</v>
      </c>
      <c r="AN3224" s="159" t="s">
        <v>138</v>
      </c>
      <c r="AO3224" s="156">
        <v>160.0</v>
      </c>
      <c r="AP3224" s="156">
        <v>0.54</v>
      </c>
      <c r="AQ3224" s="159" t="s">
        <v>173</v>
      </c>
      <c r="AR3224" s="159" t="s">
        <v>624</v>
      </c>
      <c r="AS3224" s="156">
        <v>7.2E-4</v>
      </c>
      <c r="AT3224" s="159" t="s">
        <v>19241</v>
      </c>
      <c r="AU3224" s="159" t="s">
        <v>186</v>
      </c>
      <c r="AV3224" s="159" t="s">
        <v>137</v>
      </c>
      <c r="AW3224" s="435" t="s">
        <v>19242</v>
      </c>
      <c r="AX3224" s="159" t="s">
        <v>143</v>
      </c>
      <c r="AY3224" s="61" t="str">
        <f>IFERROR(__xludf.DUMMYFUNCTION("vlookup(BB3224,importrange(""https://docs.google.com/spreadsheets/d/1d2vevQ_7D_v35q4wCQ4RpQ_IPoTwEMB9Yp6ymwlPqew/edit?gid=984458430#gid=984458430"", ""'replication success'!A:K""), 11, FAlSE)"),"#N/A")</f>
        <v>#N/A</v>
      </c>
      <c r="AZ3224" s="61" t="str">
        <f>IFERROR(__xludf.DUMMYFUNCTION("vlookup(BB3224,importrange(""https://docs.google.com/spreadsheets/d/1d2vevQ_7D_v35q4wCQ4RpQ_IPoTwEMB9Yp6ymwlPqew/edit?gid=984458430#gid=984458430"", ""'replication success'!A:M""), 12, FAlSE)"),"#N/A")</f>
        <v>#N/A</v>
      </c>
      <c r="BA3224" s="61" t="str">
        <f>IFERROR(__xludf.DUMMYFUNCTION("vlookup(BB3224,importrange(""https://docs.google.com/spreadsheets/d/1d2vevQ_7D_v35q4wCQ4RpQ_IPoTwEMB9Yp6ymwlPqew/edit?gid=984458430#gid=984458430"", ""'replication success'!A:M""), 13, FAlSE)"),"#N/A")</f>
        <v>#N/A</v>
      </c>
      <c r="BB3224" s="61" t="str">
        <f>IFERROR(__xludf.DUMMYFUNCTION("REGEXREPLACE(G3224, ""_[a-z]{1,2}$"", """")"),"soscisubmission96")</f>
        <v>soscisubmission96</v>
      </c>
    </row>
    <row r="3225" ht="15.75" customHeight="1">
      <c r="A3225" s="44">
        <v>2801.0</v>
      </c>
      <c r="B3225" s="129" t="s">
        <v>523</v>
      </c>
      <c r="C3225" s="62" t="s">
        <v>115</v>
      </c>
      <c r="D3225" s="62" t="s">
        <v>1458</v>
      </c>
      <c r="F3225" s="68" t="s">
        <v>19248</v>
      </c>
      <c r="G3225" s="159" t="s">
        <v>19249</v>
      </c>
      <c r="H3225" s="159" t="s">
        <v>19250</v>
      </c>
      <c r="I3225" s="434">
        <v>45588.0</v>
      </c>
      <c r="J3225" s="434">
        <v>45803.0</v>
      </c>
      <c r="K3225" s="159" t="s">
        <v>138</v>
      </c>
      <c r="L3225" s="68"/>
      <c r="M3225" s="159" t="s">
        <v>19251</v>
      </c>
      <c r="N3225" s="680" t="s">
        <v>19252</v>
      </c>
      <c r="O3225" s="156">
        <v>4.0</v>
      </c>
      <c r="P3225" s="382" t="s">
        <v>19253</v>
      </c>
      <c r="Q3225" s="2418" t="str">
        <f> hyperlink(vlookup(lower(N3225),'File Links'!E:F, 2, FALSE), "LINK")</f>
        <v>LINK</v>
      </c>
      <c r="R3225" s="159" t="s">
        <v>19254</v>
      </c>
      <c r="S3225" s="159" t="s">
        <v>19255</v>
      </c>
      <c r="T3225" s="159" t="s">
        <v>138</v>
      </c>
      <c r="U3225" s="156">
        <v>1.0</v>
      </c>
      <c r="V3225" s="382" t="s">
        <v>19256</v>
      </c>
      <c r="W3225" s="1228"/>
      <c r="X3225" s="2419" t="str">
        <f> hyperlink(vlookup(lower(S3225),'File Links'!E:F, 2, FALSE), "LINK")</f>
        <v>LINK</v>
      </c>
      <c r="Y3225" s="159" t="s">
        <v>138</v>
      </c>
      <c r="Z3225" s="159" t="s">
        <v>226</v>
      </c>
      <c r="AA3225" s="159" t="s">
        <v>19257</v>
      </c>
      <c r="AB3225" s="159" t="s">
        <v>19258</v>
      </c>
      <c r="AC3225" s="159" t="s">
        <v>19259</v>
      </c>
      <c r="AD3225" s="159" t="s">
        <v>19260</v>
      </c>
      <c r="AE3225" s="156">
        <v>7.0</v>
      </c>
      <c r="AF3225" s="156">
        <v>20.0</v>
      </c>
      <c r="AG3225" s="156">
        <v>1.54</v>
      </c>
      <c r="AH3225" s="159" t="s">
        <v>173</v>
      </c>
      <c r="AI3225" s="159" t="s">
        <v>4979</v>
      </c>
      <c r="AJ3225" s="156">
        <v>0.05</v>
      </c>
      <c r="AK3225" s="159" t="s">
        <v>135</v>
      </c>
      <c r="AL3225" s="159" t="s">
        <v>186</v>
      </c>
      <c r="AM3225" s="159" t="s">
        <v>137</v>
      </c>
      <c r="AN3225" s="159" t="s">
        <v>138</v>
      </c>
      <c r="AO3225" s="156">
        <v>115.0</v>
      </c>
      <c r="AP3225" s="156">
        <v>-0.19</v>
      </c>
      <c r="AQ3225" s="159" t="s">
        <v>173</v>
      </c>
      <c r="AR3225" s="159" t="s">
        <v>496</v>
      </c>
      <c r="AS3225" s="156">
        <v>0.298</v>
      </c>
      <c r="AT3225" s="159" t="s">
        <v>19241</v>
      </c>
      <c r="AU3225" s="159" t="s">
        <v>186</v>
      </c>
      <c r="AV3225" s="159" t="s">
        <v>137</v>
      </c>
      <c r="AW3225" s="435" t="s">
        <v>19261</v>
      </c>
      <c r="AX3225" s="159" t="s">
        <v>143</v>
      </c>
      <c r="AY3225" s="61" t="str">
        <f>IFERROR(__xludf.DUMMYFUNCTION("vlookup(BB3225,importrange(""https://docs.google.com/spreadsheets/d/1d2vevQ_7D_v35q4wCQ4RpQ_IPoTwEMB9Yp6ymwlPqew/edit?gid=984458430#gid=984458430"", ""'replication success'!A:K""), 11, FAlSE)"),"#N/A")</f>
        <v>#N/A</v>
      </c>
      <c r="AZ3225" s="61" t="str">
        <f>IFERROR(__xludf.DUMMYFUNCTION("vlookup(BB3225,importrange(""https://docs.google.com/spreadsheets/d/1d2vevQ_7D_v35q4wCQ4RpQ_IPoTwEMB9Yp6ymwlPqew/edit?gid=984458430#gid=984458430"", ""'replication success'!A:M""), 12, FAlSE)"),"#N/A")</f>
        <v>#N/A</v>
      </c>
      <c r="BA3225" s="61" t="str">
        <f>IFERROR(__xludf.DUMMYFUNCTION("vlookup(BB3225,importrange(""https://docs.google.com/spreadsheets/d/1d2vevQ_7D_v35q4wCQ4RpQ_IPoTwEMB9Yp6ymwlPqew/edit?gid=984458430#gid=984458430"", ""'replication success'!A:M""), 13, FAlSE)"),"#N/A")</f>
        <v>#N/A</v>
      </c>
      <c r="BB3225" s="61" t="str">
        <f>IFERROR(__xludf.DUMMYFUNCTION("REGEXREPLACE(G3225, ""_[a-z]{1,2}$"", """")"),"soscisubmission97")</f>
        <v>soscisubmission97</v>
      </c>
    </row>
    <row r="3226" ht="15.75" customHeight="1">
      <c r="A3226" s="44">
        <v>2802.0</v>
      </c>
      <c r="B3226" s="129" t="s">
        <v>523</v>
      </c>
      <c r="C3226" s="62" t="s">
        <v>115</v>
      </c>
      <c r="D3226" s="62" t="s">
        <v>1458</v>
      </c>
      <c r="F3226" s="68" t="s">
        <v>19262</v>
      </c>
      <c r="G3226" s="159" t="s">
        <v>19263</v>
      </c>
      <c r="H3226" s="159" t="s">
        <v>19250</v>
      </c>
      <c r="I3226" s="434">
        <v>45588.0</v>
      </c>
      <c r="J3226" s="434">
        <v>45803.0</v>
      </c>
      <c r="K3226" s="159" t="s">
        <v>138</v>
      </c>
      <c r="L3226" s="68"/>
      <c r="M3226" s="159" t="s">
        <v>19251</v>
      </c>
      <c r="N3226" s="680" t="s">
        <v>19252</v>
      </c>
      <c r="O3226" s="156">
        <v>5.0</v>
      </c>
      <c r="P3226" s="382" t="s">
        <v>19253</v>
      </c>
      <c r="Q3226" s="2418" t="str">
        <f> hyperlink(vlookup(lower(N3226),'File Links'!E:F, 2, FALSE), "LINK")</f>
        <v>LINK</v>
      </c>
      <c r="R3226" s="159" t="s">
        <v>19264</v>
      </c>
      <c r="S3226" s="159" t="s">
        <v>19255</v>
      </c>
      <c r="T3226" s="159" t="s">
        <v>138</v>
      </c>
      <c r="U3226" s="156">
        <v>2.0</v>
      </c>
      <c r="V3226" s="382" t="s">
        <v>19256</v>
      </c>
      <c r="W3226" s="1228"/>
      <c r="X3226" s="2419" t="str">
        <f> hyperlink(vlookup(lower(S3226),'File Links'!E:F, 2, FALSE), "LINK")</f>
        <v>LINK</v>
      </c>
      <c r="Y3226" s="159" t="s">
        <v>138</v>
      </c>
      <c r="Z3226" s="159" t="s">
        <v>226</v>
      </c>
      <c r="AA3226" s="159" t="s">
        <v>19257</v>
      </c>
      <c r="AB3226" s="159" t="s">
        <v>19265</v>
      </c>
      <c r="AC3226" s="159" t="s">
        <v>19266</v>
      </c>
      <c r="AD3226" s="159" t="s">
        <v>19267</v>
      </c>
      <c r="AE3226" s="156">
        <v>8.0</v>
      </c>
      <c r="AF3226" s="156">
        <v>34.0</v>
      </c>
      <c r="AG3226" s="156">
        <v>0.27</v>
      </c>
      <c r="AH3226" s="159" t="s">
        <v>139</v>
      </c>
      <c r="AI3226" s="159" t="s">
        <v>604</v>
      </c>
      <c r="AJ3226" s="156">
        <v>0.01</v>
      </c>
      <c r="AK3226" s="159" t="s">
        <v>135</v>
      </c>
      <c r="AL3226" s="159" t="s">
        <v>186</v>
      </c>
      <c r="AM3226" s="159" t="s">
        <v>141</v>
      </c>
      <c r="AN3226" s="159" t="s">
        <v>138</v>
      </c>
      <c r="AO3226" s="156">
        <v>120.0</v>
      </c>
      <c r="AP3226" s="156">
        <v>0.001</v>
      </c>
      <c r="AQ3226" s="159" t="s">
        <v>874</v>
      </c>
      <c r="AR3226" s="159" t="s">
        <v>882</v>
      </c>
      <c r="AS3226" s="156">
        <v>0.835</v>
      </c>
      <c r="AT3226" s="159" t="s">
        <v>19241</v>
      </c>
      <c r="AU3226" s="159" t="s">
        <v>186</v>
      </c>
      <c r="AV3226" s="159" t="s">
        <v>141</v>
      </c>
      <c r="AW3226" s="435" t="s">
        <v>19268</v>
      </c>
      <c r="AX3226" s="159" t="s">
        <v>143</v>
      </c>
      <c r="AY3226" s="61" t="str">
        <f>IFERROR(__xludf.DUMMYFUNCTION("vlookup(BB3226,importrange(""https://docs.google.com/spreadsheets/d/1d2vevQ_7D_v35q4wCQ4RpQ_IPoTwEMB9Yp6ymwlPqew/edit?gid=984458430#gid=984458430"", ""'replication success'!A:K""), 11, FAlSE)"),"#N/A")</f>
        <v>#N/A</v>
      </c>
      <c r="AZ3226" s="61" t="str">
        <f>IFERROR(__xludf.DUMMYFUNCTION("vlookup(BB3226,importrange(""https://docs.google.com/spreadsheets/d/1d2vevQ_7D_v35q4wCQ4RpQ_IPoTwEMB9Yp6ymwlPqew/edit?gid=984458430#gid=984458430"", ""'replication success'!A:M""), 12, FAlSE)"),"#N/A")</f>
        <v>#N/A</v>
      </c>
      <c r="BA3226" s="61" t="str">
        <f>IFERROR(__xludf.DUMMYFUNCTION("vlookup(BB3226,importrange(""https://docs.google.com/spreadsheets/d/1d2vevQ_7D_v35q4wCQ4RpQ_IPoTwEMB9Yp6ymwlPqew/edit?gid=984458430#gid=984458430"", ""'replication success'!A:M""), 13, FAlSE)"),"#N/A")</f>
        <v>#N/A</v>
      </c>
      <c r="BB3226" s="61" t="str">
        <f>IFERROR(__xludf.DUMMYFUNCTION("REGEXREPLACE(G3226, ""_[a-z]{1,2}$"", """")"),"soscisubmission98")</f>
        <v>soscisubmission98</v>
      </c>
    </row>
    <row r="3227" ht="15.75" customHeight="1">
      <c r="A3227" s="44">
        <v>2803.0</v>
      </c>
      <c r="B3227" s="129" t="s">
        <v>523</v>
      </c>
      <c r="C3227" s="62" t="s">
        <v>115</v>
      </c>
      <c r="D3227" s="62" t="s">
        <v>1458</v>
      </c>
      <c r="F3227" s="68" t="s">
        <v>19269</v>
      </c>
      <c r="G3227" s="159" t="s">
        <v>19270</v>
      </c>
      <c r="H3227" s="159" t="s">
        <v>19271</v>
      </c>
      <c r="I3227" s="152">
        <v>45602.0</v>
      </c>
      <c r="J3227" s="434">
        <v>45803.0</v>
      </c>
      <c r="K3227" s="159" t="s">
        <v>19272</v>
      </c>
      <c r="L3227" s="68"/>
      <c r="M3227" s="159" t="s">
        <v>19273</v>
      </c>
      <c r="N3227" s="680" t="s">
        <v>19274</v>
      </c>
      <c r="O3227" s="156">
        <v>2.0</v>
      </c>
      <c r="P3227" s="382" t="s">
        <v>19275</v>
      </c>
      <c r="Q3227" s="2418" t="str">
        <f> hyperlink(vlookup(lower(N3227),'File Links'!E:F, 2, FALSE), "LINK")</f>
        <v>LINK</v>
      </c>
      <c r="R3227" s="159" t="s">
        <v>19276</v>
      </c>
      <c r="S3227" s="680" t="s">
        <v>19277</v>
      </c>
      <c r="T3227" s="159" t="s">
        <v>138</v>
      </c>
      <c r="U3227" s="156">
        <v>1.0</v>
      </c>
      <c r="V3227" s="382" t="s">
        <v>19278</v>
      </c>
      <c r="W3227" s="1228"/>
      <c r="X3227" s="2419" t="str">
        <f> hyperlink(vlookup(lower(S3227),'File Links'!E:F, 2, FALSE), "LINK")</f>
        <v>LINK</v>
      </c>
      <c r="Y3227" s="159" t="s">
        <v>138</v>
      </c>
      <c r="Z3227" s="159" t="s">
        <v>503</v>
      </c>
      <c r="AA3227" s="159" t="s">
        <v>19279</v>
      </c>
      <c r="AB3227" s="159" t="s">
        <v>19280</v>
      </c>
      <c r="AC3227" s="159" t="s">
        <v>19281</v>
      </c>
      <c r="AD3227" s="159" t="s">
        <v>19282</v>
      </c>
      <c r="AE3227" s="156">
        <v>3.0</v>
      </c>
      <c r="AF3227" s="156">
        <v>58.0</v>
      </c>
      <c r="AG3227" s="156">
        <v>-42.33</v>
      </c>
      <c r="AH3227" s="68"/>
      <c r="AI3227" s="159" t="s">
        <v>507</v>
      </c>
      <c r="AJ3227" s="156">
        <v>0.01</v>
      </c>
      <c r="AK3227" s="159" t="s">
        <v>172</v>
      </c>
      <c r="AL3227" s="159" t="s">
        <v>186</v>
      </c>
      <c r="AM3227" s="159" t="s">
        <v>1905</v>
      </c>
      <c r="AN3227" s="159" t="s">
        <v>138</v>
      </c>
      <c r="AO3227" s="156">
        <v>97.0</v>
      </c>
      <c r="AP3227" s="156">
        <v>-0.07</v>
      </c>
      <c r="AQ3227" s="159" t="s">
        <v>361</v>
      </c>
      <c r="AR3227" s="159" t="s">
        <v>507</v>
      </c>
      <c r="AS3227" s="156">
        <v>0.49</v>
      </c>
      <c r="AT3227" s="159" t="s">
        <v>172</v>
      </c>
      <c r="AU3227" s="159" t="s">
        <v>186</v>
      </c>
      <c r="AV3227" s="159" t="s">
        <v>1905</v>
      </c>
      <c r="AW3227" s="68" t="s">
        <v>138</v>
      </c>
      <c r="AX3227" s="159" t="s">
        <v>143</v>
      </c>
      <c r="AY3227" s="61" t="str">
        <f>IFERROR(__xludf.DUMMYFUNCTION("vlookup(BB3227,importrange(""https://docs.google.com/spreadsheets/d/1d2vevQ_7D_v35q4wCQ4RpQ_IPoTwEMB9Yp6ymwlPqew/edit?gid=984458430#gid=984458430"", ""'replication success'!A:K""), 11, FAlSE)"),"#N/A")</f>
        <v>#N/A</v>
      </c>
      <c r="AZ3227" s="61" t="str">
        <f>IFERROR(__xludf.DUMMYFUNCTION("vlookup(BB3227,importrange(""https://docs.google.com/spreadsheets/d/1d2vevQ_7D_v35q4wCQ4RpQ_IPoTwEMB9Yp6ymwlPqew/edit?gid=984458430#gid=984458430"", ""'replication success'!A:M""), 12, FAlSE)"),"#N/A")</f>
        <v>#N/A</v>
      </c>
      <c r="BA3227" s="61" t="str">
        <f>IFERROR(__xludf.DUMMYFUNCTION("vlookup(BB3227,importrange(""https://docs.google.com/spreadsheets/d/1d2vevQ_7D_v35q4wCQ4RpQ_IPoTwEMB9Yp6ymwlPqew/edit?gid=984458430#gid=984458430"", ""'replication success'!A:M""), 13, FAlSE)"),"#N/A")</f>
        <v>#N/A</v>
      </c>
      <c r="BB3227" s="61" t="str">
        <f>IFERROR(__xludf.DUMMYFUNCTION("REGEXREPLACE(G3227, ""_[a-z]{1,2}$"", """")"),"soscisubmission99")</f>
        <v>soscisubmission99</v>
      </c>
    </row>
    <row r="3228" ht="15.75" customHeight="1">
      <c r="A3228" s="44">
        <v>2780.0</v>
      </c>
      <c r="B3228" s="129" t="s">
        <v>523</v>
      </c>
      <c r="C3228" s="62" t="s">
        <v>115</v>
      </c>
      <c r="D3228" s="62" t="s">
        <v>221</v>
      </c>
      <c r="F3228" s="68" t="s">
        <v>19283</v>
      </c>
      <c r="G3228" s="159" t="s">
        <v>19284</v>
      </c>
      <c r="H3228" s="159" t="s">
        <v>222</v>
      </c>
      <c r="I3228" s="152">
        <v>45807.0</v>
      </c>
      <c r="J3228" s="772"/>
      <c r="K3228" s="68"/>
      <c r="L3228" s="68"/>
      <c r="M3228" s="159" t="s">
        <v>19285</v>
      </c>
      <c r="N3228" s="159" t="s">
        <v>19286</v>
      </c>
      <c r="O3228" s="156">
        <v>2.0</v>
      </c>
      <c r="P3228" s="382" t="s">
        <v>19287</v>
      </c>
      <c r="Q3228" s="2418" t="str">
        <f> hyperlink(vlookup(lower(N3228),'File Links'!E:F, 2, FALSE), "LINK")</f>
        <v>LINK</v>
      </c>
      <c r="R3228" s="159" t="s">
        <v>19288</v>
      </c>
      <c r="S3228" s="159" t="s">
        <v>19289</v>
      </c>
      <c r="T3228" s="68"/>
      <c r="U3228" s="156">
        <v>2.0</v>
      </c>
      <c r="V3228" s="382" t="s">
        <v>19290</v>
      </c>
      <c r="W3228" s="1228"/>
      <c r="X3228" s="2518" t="str">
        <f> hyperlink(vlookup(lower(S3228),'File Links'!E:F, 2, FALSE), "LINK")</f>
        <v>LINK</v>
      </c>
      <c r="Y3228" s="68"/>
      <c r="Z3228" s="159" t="s">
        <v>226</v>
      </c>
      <c r="AA3228" s="159" t="s">
        <v>19291</v>
      </c>
      <c r="AB3228" s="68" t="s">
        <v>19292</v>
      </c>
      <c r="AC3228" s="159" t="s">
        <v>19293</v>
      </c>
      <c r="AD3228" s="159" t="s">
        <v>19294</v>
      </c>
      <c r="AE3228" s="156" t="s">
        <v>875</v>
      </c>
      <c r="AF3228" s="156">
        <v>48.0</v>
      </c>
      <c r="AG3228" s="156">
        <v>0.67</v>
      </c>
      <c r="AH3228" s="159" t="s">
        <v>173</v>
      </c>
      <c r="AI3228" s="68" t="s">
        <v>875</v>
      </c>
      <c r="AJ3228" s="336">
        <v>0.03</v>
      </c>
      <c r="AK3228" s="68" t="s">
        <v>135</v>
      </c>
      <c r="AL3228" s="68" t="s">
        <v>136</v>
      </c>
      <c r="AM3228" s="68"/>
      <c r="AN3228" s="159" t="s">
        <v>138</v>
      </c>
      <c r="AO3228" s="156">
        <v>326.0</v>
      </c>
      <c r="AP3228" s="156">
        <v>-0.06</v>
      </c>
      <c r="AQ3228" s="159" t="s">
        <v>173</v>
      </c>
      <c r="AR3228" s="159" t="s">
        <v>850</v>
      </c>
      <c r="AS3228" s="336">
        <v>0.35</v>
      </c>
      <c r="AT3228" s="68" t="s">
        <v>172</v>
      </c>
      <c r="AU3228" s="68" t="s">
        <v>136</v>
      </c>
      <c r="AV3228" s="68"/>
      <c r="AW3228" s="68" t="s">
        <v>138</v>
      </c>
      <c r="AX3228" s="68" t="s">
        <v>143</v>
      </c>
      <c r="AY3228" s="61" t="str">
        <f>IFERROR(__xludf.DUMMYFUNCTION("vlookup(BB3228,importrange(""https://docs.google.com/spreadsheets/d/1d2vevQ_7D_v35q4wCQ4RpQ_IPoTwEMB9Yp6ymwlPqew/edit?gid=984458430#gid=984458430"", ""'replication success'!A:K""), 11, FAlSE)"),"#N/A")</f>
        <v>#N/A</v>
      </c>
      <c r="AZ3228" s="61" t="str">
        <f>IFERROR(__xludf.DUMMYFUNCTION("vlookup(BB3228,importrange(""https://docs.google.com/spreadsheets/d/1d2vevQ_7D_v35q4wCQ4RpQ_IPoTwEMB9Yp6ymwlPqew/edit?gid=984458430#gid=984458430"", ""'replication success'!A:M""), 12, FAlSE)"),"#N/A")</f>
        <v>#N/A</v>
      </c>
      <c r="BA3228" s="61" t="str">
        <f>IFERROR(__xludf.DUMMYFUNCTION("vlookup(BB3228,importrange(""https://docs.google.com/spreadsheets/d/1d2vevQ_7D_v35q4wCQ4RpQ_IPoTwEMB9Yp6ymwlPqew/edit?gid=984458430#gid=984458430"", ""'replication success'!A:M""), 13, FAlSE)"),"#N/A")</f>
        <v>#N/A</v>
      </c>
      <c r="BB3228" s="61" t="str">
        <f>IFERROR(__xludf.DUMMYFUNCTION("REGEXREPLACE(G3228, ""_[a-z]{1,2}$"", """")"),"w4dip")</f>
        <v>w4dip</v>
      </c>
      <c r="BD3228" s="62" t="s">
        <v>3130</v>
      </c>
    </row>
    <row r="3229" ht="15.75" customHeight="1">
      <c r="A3229" s="44">
        <v>2781.0</v>
      </c>
      <c r="B3229" s="129" t="s">
        <v>523</v>
      </c>
      <c r="C3229" s="62" t="s">
        <v>115</v>
      </c>
      <c r="D3229" s="62" t="s">
        <v>221</v>
      </c>
      <c r="F3229" s="68" t="s">
        <v>19295</v>
      </c>
      <c r="G3229" s="159" t="s">
        <v>19284</v>
      </c>
      <c r="H3229" s="159" t="s">
        <v>222</v>
      </c>
      <c r="I3229" s="152">
        <v>45807.0</v>
      </c>
      <c r="J3229" s="772"/>
      <c r="K3229" s="68"/>
      <c r="L3229" s="68" t="s">
        <v>19296</v>
      </c>
      <c r="M3229" s="159" t="s">
        <v>19285</v>
      </c>
      <c r="N3229" s="159" t="s">
        <v>19286</v>
      </c>
      <c r="O3229" s="156">
        <v>2.0</v>
      </c>
      <c r="P3229" s="382" t="s">
        <v>19287</v>
      </c>
      <c r="Q3229" s="2418" t="str">
        <f> hyperlink(vlookup(lower(N3229),'File Links'!E:F, 2, FALSE), "LINK")</f>
        <v>LINK</v>
      </c>
      <c r="R3229" s="159" t="s">
        <v>19288</v>
      </c>
      <c r="S3229" s="159" t="s">
        <v>19289</v>
      </c>
      <c r="T3229" s="68"/>
      <c r="U3229" s="156">
        <v>2.0</v>
      </c>
      <c r="V3229" s="382" t="s">
        <v>19290</v>
      </c>
      <c r="W3229" s="1228"/>
      <c r="X3229" s="2518" t="str">
        <f> hyperlink(vlookup(lower(S3229),'File Links'!E:F, 2, FALSE), "LINK")</f>
        <v>LINK</v>
      </c>
      <c r="Y3229" s="68"/>
      <c r="Z3229" s="159" t="s">
        <v>226</v>
      </c>
      <c r="AA3229" s="159" t="s">
        <v>19291</v>
      </c>
      <c r="AB3229" s="68" t="s">
        <v>19292</v>
      </c>
      <c r="AC3229" s="159" t="s">
        <v>19293</v>
      </c>
      <c r="AD3229" s="159" t="s">
        <v>19297</v>
      </c>
      <c r="AE3229" s="156" t="s">
        <v>875</v>
      </c>
      <c r="AF3229" s="156">
        <v>48.0</v>
      </c>
      <c r="AG3229" s="156">
        <v>0.63</v>
      </c>
      <c r="AH3229" s="159" t="s">
        <v>173</v>
      </c>
      <c r="AI3229" s="68" t="s">
        <v>875</v>
      </c>
      <c r="AJ3229" s="336">
        <v>0.05</v>
      </c>
      <c r="AK3229" s="68" t="s">
        <v>135</v>
      </c>
      <c r="AL3229" s="68" t="s">
        <v>136</v>
      </c>
      <c r="AM3229" s="68"/>
      <c r="AN3229" s="159" t="s">
        <v>138</v>
      </c>
      <c r="AO3229" s="156">
        <v>331.0</v>
      </c>
      <c r="AP3229" s="156">
        <v>0.0</v>
      </c>
      <c r="AQ3229" s="159" t="s">
        <v>173</v>
      </c>
      <c r="AR3229" s="68"/>
      <c r="AS3229" s="336">
        <v>1.0</v>
      </c>
      <c r="AT3229" s="68" t="s">
        <v>172</v>
      </c>
      <c r="AU3229" s="68" t="s">
        <v>136</v>
      </c>
      <c r="AV3229" s="68"/>
      <c r="AW3229" s="68" t="s">
        <v>138</v>
      </c>
      <c r="AX3229" s="68" t="s">
        <v>143</v>
      </c>
      <c r="AY3229" s="61" t="str">
        <f>IFERROR(__xludf.DUMMYFUNCTION("vlookup(BB3229,importrange(""https://docs.google.com/spreadsheets/d/1d2vevQ_7D_v35q4wCQ4RpQ_IPoTwEMB9Yp6ymwlPqew/edit?gid=984458430#gid=984458430"", ""'replication success'!A:K""), 11, FAlSE)"),"#N/A")</f>
        <v>#N/A</v>
      </c>
      <c r="AZ3229" s="61" t="str">
        <f>IFERROR(__xludf.DUMMYFUNCTION("vlookup(BB3229,importrange(""https://docs.google.com/spreadsheets/d/1d2vevQ_7D_v35q4wCQ4RpQ_IPoTwEMB9Yp6ymwlPqew/edit?gid=984458430#gid=984458430"", ""'replication success'!A:M""), 12, FAlSE)"),"#N/A")</f>
        <v>#N/A</v>
      </c>
      <c r="BA3229" s="61" t="str">
        <f>IFERROR(__xludf.DUMMYFUNCTION("vlookup(BB3229,importrange(""https://docs.google.com/spreadsheets/d/1d2vevQ_7D_v35q4wCQ4RpQ_IPoTwEMB9Yp6ymwlPqew/edit?gid=984458430#gid=984458430"", ""'replication success'!A:M""), 13, FAlSE)"),"#N/A")</f>
        <v>#N/A</v>
      </c>
      <c r="BB3229" s="61" t="str">
        <f>IFERROR(__xludf.DUMMYFUNCTION("REGEXREPLACE(G3229, ""_[a-z]{1,2}$"", """")"),"w4dip")</f>
        <v>w4dip</v>
      </c>
      <c r="BD3229" s="62" t="s">
        <v>3130</v>
      </c>
    </row>
    <row r="3230" ht="15.75" customHeight="1">
      <c r="A3230" s="44">
        <v>2797.0</v>
      </c>
      <c r="B3230" s="129" t="s">
        <v>523</v>
      </c>
      <c r="C3230" s="62" t="s">
        <v>115</v>
      </c>
      <c r="D3230" s="62" t="s">
        <v>2630</v>
      </c>
      <c r="F3230" s="68" t="s">
        <v>19283</v>
      </c>
      <c r="G3230" s="159" t="s">
        <v>19284</v>
      </c>
      <c r="H3230" s="159" t="s">
        <v>19298</v>
      </c>
      <c r="I3230" s="1287" t="s">
        <v>119</v>
      </c>
      <c r="J3230" s="152" t="s">
        <v>19299</v>
      </c>
      <c r="K3230" s="68"/>
      <c r="L3230" s="68"/>
      <c r="M3230" s="159" t="s">
        <v>19285</v>
      </c>
      <c r="N3230" s="159" t="s">
        <v>19286</v>
      </c>
      <c r="O3230" s="156">
        <v>2.0</v>
      </c>
      <c r="P3230" s="382" t="s">
        <v>19287</v>
      </c>
      <c r="Q3230" s="2418" t="str">
        <f> hyperlink(vlookup(lower(N3230),'File Links'!E:F, 2, FALSE), "LINK")</f>
        <v>LINK</v>
      </c>
      <c r="R3230" s="159" t="s">
        <v>19288</v>
      </c>
      <c r="S3230" s="159" t="s">
        <v>19289</v>
      </c>
      <c r="T3230" s="68"/>
      <c r="U3230" s="156">
        <v>2.0</v>
      </c>
      <c r="V3230" s="382" t="s">
        <v>19290</v>
      </c>
      <c r="W3230" s="1228"/>
      <c r="X3230" s="2518" t="str">
        <f> hyperlink(vlookup(lower(S3230),'File Links'!E:F, 2, FALSE), "LINK")</f>
        <v>LINK</v>
      </c>
      <c r="Y3230" s="159" t="s">
        <v>138</v>
      </c>
      <c r="Z3230" s="159" t="s">
        <v>226</v>
      </c>
      <c r="AA3230" s="159" t="s">
        <v>19291</v>
      </c>
      <c r="AB3230" s="68"/>
      <c r="AC3230" s="159" t="s">
        <v>19293</v>
      </c>
      <c r="AD3230" s="159" t="s">
        <v>19300</v>
      </c>
      <c r="AE3230" s="159" t="s">
        <v>19301</v>
      </c>
      <c r="AF3230" s="156">
        <v>72.0</v>
      </c>
      <c r="AG3230" s="156">
        <v>0.67</v>
      </c>
      <c r="AH3230" s="159" t="s">
        <v>173</v>
      </c>
      <c r="AI3230" s="68" t="s">
        <v>19301</v>
      </c>
      <c r="AJ3230" s="336">
        <v>0.03</v>
      </c>
      <c r="AK3230" s="68" t="s">
        <v>135</v>
      </c>
      <c r="AL3230" s="68" t="s">
        <v>136</v>
      </c>
      <c r="AM3230" s="68" t="s">
        <v>137</v>
      </c>
      <c r="AN3230" s="159" t="s">
        <v>138</v>
      </c>
      <c r="AO3230" s="156">
        <v>326.0</v>
      </c>
      <c r="AP3230" s="156">
        <v>-0.06</v>
      </c>
      <c r="AQ3230" s="159" t="s">
        <v>173</v>
      </c>
      <c r="AR3230" s="159" t="s">
        <v>19302</v>
      </c>
      <c r="AS3230" s="336">
        <v>0.58</v>
      </c>
      <c r="AT3230" s="68" t="s">
        <v>172</v>
      </c>
      <c r="AU3230" s="68" t="s">
        <v>136</v>
      </c>
      <c r="AV3230" s="68" t="s">
        <v>137</v>
      </c>
      <c r="AW3230" s="435" t="s">
        <v>19303</v>
      </c>
      <c r="AX3230" s="68" t="s">
        <v>143</v>
      </c>
      <c r="AY3230" s="61" t="str">
        <f>IFERROR(__xludf.DUMMYFUNCTION("vlookup(BB3230,importrange(""https://docs.google.com/spreadsheets/d/1d2vevQ_7D_v35q4wCQ4RpQ_IPoTwEMB9Yp6ymwlPqew/edit?gid=984458430#gid=984458430"", ""'replication success'!A:K""), 11, FAlSE)"),"#N/A")</f>
        <v>#N/A</v>
      </c>
      <c r="AZ3230" s="61" t="str">
        <f>IFERROR(__xludf.DUMMYFUNCTION("vlookup(BB3230,importrange(""https://docs.google.com/spreadsheets/d/1d2vevQ_7D_v35q4wCQ4RpQ_IPoTwEMB9Yp6ymwlPqew/edit?gid=984458430#gid=984458430"", ""'replication success'!A:M""), 12, FAlSE)"),"#N/A")</f>
        <v>#N/A</v>
      </c>
      <c r="BA3230" s="61" t="str">
        <f>IFERROR(__xludf.DUMMYFUNCTION("vlookup(BB3230,importrange(""https://docs.google.com/spreadsheets/d/1d2vevQ_7D_v35q4wCQ4RpQ_IPoTwEMB9Yp6ymwlPqew/edit?gid=984458430#gid=984458430"", ""'replication success'!A:M""), 13, FAlSE)"),"#N/A")</f>
        <v>#N/A</v>
      </c>
      <c r="BB3230" s="61" t="str">
        <f>IFERROR(__xludf.DUMMYFUNCTION("REGEXREPLACE(G3230, ""_[a-z]{1,2}$"", """")"),"w4dip")</f>
        <v>w4dip</v>
      </c>
      <c r="BD3230" s="62" t="s">
        <v>3130</v>
      </c>
    </row>
    <row r="3231" ht="15.75" customHeight="1">
      <c r="A3231" s="44">
        <v>2798.0</v>
      </c>
      <c r="B3231" s="129" t="s">
        <v>523</v>
      </c>
      <c r="C3231" s="62" t="s">
        <v>115</v>
      </c>
      <c r="D3231" s="62" t="s">
        <v>2630</v>
      </c>
      <c r="F3231" s="68" t="s">
        <v>19295</v>
      </c>
      <c r="G3231" s="159" t="s">
        <v>19284</v>
      </c>
      <c r="H3231" s="159" t="s">
        <v>19304</v>
      </c>
      <c r="I3231" s="152">
        <v>45579.0</v>
      </c>
      <c r="J3231" s="152" t="s">
        <v>19299</v>
      </c>
      <c r="K3231" s="68"/>
      <c r="L3231" s="68"/>
      <c r="M3231" s="159" t="s">
        <v>19285</v>
      </c>
      <c r="N3231" s="159" t="s">
        <v>19286</v>
      </c>
      <c r="O3231" s="156">
        <v>2.0</v>
      </c>
      <c r="P3231" s="382" t="s">
        <v>19287</v>
      </c>
      <c r="Q3231" s="2418" t="str">
        <f> hyperlink(vlookup(lower(N3231),'File Links'!E:F, 2, FALSE), "LINK")</f>
        <v>LINK</v>
      </c>
      <c r="R3231" s="159" t="s">
        <v>19288</v>
      </c>
      <c r="S3231" s="159" t="s">
        <v>19289</v>
      </c>
      <c r="T3231" s="68"/>
      <c r="U3231" s="156">
        <v>2.0</v>
      </c>
      <c r="V3231" s="382" t="s">
        <v>19290</v>
      </c>
      <c r="W3231" s="1228"/>
      <c r="X3231" s="2518" t="str">
        <f> hyperlink(vlookup(lower(S3231),'File Links'!E:F, 2, FALSE), "LINK")</f>
        <v>LINK</v>
      </c>
      <c r="Y3231" s="159" t="s">
        <v>138</v>
      </c>
      <c r="Z3231" s="159" t="s">
        <v>226</v>
      </c>
      <c r="AA3231" s="159" t="s">
        <v>19291</v>
      </c>
      <c r="AB3231" s="68"/>
      <c r="AC3231" s="159" t="s">
        <v>19293</v>
      </c>
      <c r="AD3231" s="159" t="s">
        <v>19305</v>
      </c>
      <c r="AE3231" s="159" t="s">
        <v>19301</v>
      </c>
      <c r="AF3231" s="156">
        <v>72.0</v>
      </c>
      <c r="AG3231" s="156">
        <v>0.63</v>
      </c>
      <c r="AH3231" s="159" t="s">
        <v>173</v>
      </c>
      <c r="AI3231" s="68" t="s">
        <v>19301</v>
      </c>
      <c r="AJ3231" s="336">
        <v>0.05</v>
      </c>
      <c r="AK3231" s="68" t="s">
        <v>135</v>
      </c>
      <c r="AL3231" s="68" t="s">
        <v>136</v>
      </c>
      <c r="AM3231" s="68" t="s">
        <v>137</v>
      </c>
      <c r="AN3231" s="159" t="s">
        <v>138</v>
      </c>
      <c r="AO3231" s="156">
        <v>331.0</v>
      </c>
      <c r="AP3231" s="1292">
        <v>0.0</v>
      </c>
      <c r="AQ3231" s="159" t="s">
        <v>173</v>
      </c>
      <c r="AR3231" s="159" t="s">
        <v>19302</v>
      </c>
      <c r="AS3231" s="336">
        <v>0.99</v>
      </c>
      <c r="AT3231" s="68" t="s">
        <v>172</v>
      </c>
      <c r="AU3231" s="68" t="s">
        <v>136</v>
      </c>
      <c r="AV3231" s="68" t="s">
        <v>137</v>
      </c>
      <c r="AW3231" s="435" t="s">
        <v>19303</v>
      </c>
      <c r="AX3231" s="68" t="s">
        <v>143</v>
      </c>
      <c r="AY3231" s="61" t="str">
        <f>IFERROR(__xludf.DUMMYFUNCTION("vlookup(BB3231,importrange(""https://docs.google.com/spreadsheets/d/1d2vevQ_7D_v35q4wCQ4RpQ_IPoTwEMB9Yp6ymwlPqew/edit?gid=984458430#gid=984458430"", ""'replication success'!A:K""), 11, FAlSE)"),"#N/A")</f>
        <v>#N/A</v>
      </c>
      <c r="AZ3231" s="61" t="str">
        <f>IFERROR(__xludf.DUMMYFUNCTION("vlookup(BB3231,importrange(""https://docs.google.com/spreadsheets/d/1d2vevQ_7D_v35q4wCQ4RpQ_IPoTwEMB9Yp6ymwlPqew/edit?gid=984458430#gid=984458430"", ""'replication success'!A:M""), 12, FAlSE)"),"#N/A")</f>
        <v>#N/A</v>
      </c>
      <c r="BA3231" s="61" t="str">
        <f>IFERROR(__xludf.DUMMYFUNCTION("vlookup(BB3231,importrange(""https://docs.google.com/spreadsheets/d/1d2vevQ_7D_v35q4wCQ4RpQ_IPoTwEMB9Yp6ymwlPqew/edit?gid=984458430#gid=984458430"", ""'replication success'!A:M""), 13, FAlSE)"),"#N/A")</f>
        <v>#N/A</v>
      </c>
      <c r="BB3231" s="61" t="str">
        <f>IFERROR(__xludf.DUMMYFUNCTION("REGEXREPLACE(G3231, ""_[a-z]{1,2}$"", """")"),"w4dip")</f>
        <v>w4dip</v>
      </c>
      <c r="BD3231" s="62" t="s">
        <v>3130</v>
      </c>
    </row>
    <row r="3232">
      <c r="A3232" s="44">
        <v>2778.0</v>
      </c>
      <c r="B3232" s="129" t="s">
        <v>523</v>
      </c>
      <c r="C3232" s="62" t="s">
        <v>115</v>
      </c>
      <c r="D3232" s="62" t="s">
        <v>221</v>
      </c>
      <c r="F3232" s="68" t="s">
        <v>19306</v>
      </c>
      <c r="G3232" s="159" t="s">
        <v>19307</v>
      </c>
      <c r="H3232" s="159" t="s">
        <v>222</v>
      </c>
      <c r="I3232" s="152">
        <v>45806.0</v>
      </c>
      <c r="J3232" s="772"/>
      <c r="K3232" s="68"/>
      <c r="L3232" s="68"/>
      <c r="M3232" s="159" t="s">
        <v>19285</v>
      </c>
      <c r="N3232" s="159" t="s">
        <v>19286</v>
      </c>
      <c r="O3232" s="156">
        <v>2.0</v>
      </c>
      <c r="P3232" s="382" t="s">
        <v>19287</v>
      </c>
      <c r="Q3232" s="2418" t="str">
        <f> hyperlink(vlookup(lower(N3232),'File Links'!E:F, 2, FALSE), "LINK")</f>
        <v>LINK</v>
      </c>
      <c r="R3232" s="159" t="s">
        <v>19288</v>
      </c>
      <c r="S3232" s="159" t="s">
        <v>19289</v>
      </c>
      <c r="T3232" s="68"/>
      <c r="U3232" s="156">
        <v>1.0</v>
      </c>
      <c r="V3232" s="382" t="s">
        <v>19290</v>
      </c>
      <c r="W3232" s="1228"/>
      <c r="X3232" s="2518" t="str">
        <f> hyperlink(vlookup(lower(S3232),'File Links'!E:F, 2, FALSE), "LINK")</f>
        <v>LINK</v>
      </c>
      <c r="Y3232" s="68"/>
      <c r="Z3232" s="159" t="s">
        <v>226</v>
      </c>
      <c r="AA3232" s="159" t="s">
        <v>19291</v>
      </c>
      <c r="AB3232" s="68" t="s">
        <v>19292</v>
      </c>
      <c r="AC3232" s="159" t="s">
        <v>19293</v>
      </c>
      <c r="AD3232" s="159" t="s">
        <v>19294</v>
      </c>
      <c r="AE3232" s="156" t="s">
        <v>875</v>
      </c>
      <c r="AF3232" s="156">
        <v>48.0</v>
      </c>
      <c r="AG3232" s="156">
        <v>0.67</v>
      </c>
      <c r="AH3232" s="159" t="s">
        <v>173</v>
      </c>
      <c r="AI3232" s="68" t="s">
        <v>875</v>
      </c>
      <c r="AJ3232" s="336">
        <v>0.03</v>
      </c>
      <c r="AK3232" s="68" t="s">
        <v>135</v>
      </c>
      <c r="AL3232" s="68" t="s">
        <v>136</v>
      </c>
      <c r="AM3232" s="68" t="s">
        <v>137</v>
      </c>
      <c r="AN3232" s="159" t="s">
        <v>138</v>
      </c>
      <c r="AO3232" s="156">
        <v>121.0</v>
      </c>
      <c r="AP3232" s="156">
        <v>-0.12</v>
      </c>
      <c r="AQ3232" s="159" t="s">
        <v>173</v>
      </c>
      <c r="AR3232" s="159" t="s">
        <v>217</v>
      </c>
      <c r="AS3232" s="336">
        <v>0.5</v>
      </c>
      <c r="AT3232" s="68" t="s">
        <v>335</v>
      </c>
      <c r="AU3232" s="68" t="s">
        <v>136</v>
      </c>
      <c r="AV3232" s="68" t="s">
        <v>137</v>
      </c>
      <c r="AW3232" s="68" t="s">
        <v>138</v>
      </c>
      <c r="AX3232" s="68" t="s">
        <v>143</v>
      </c>
      <c r="AY3232" s="61" t="str">
        <f>IFERROR(__xludf.DUMMYFUNCTION("vlookup(BB3232,importrange(""https://docs.google.com/spreadsheets/d/1d2vevQ_7D_v35q4wCQ4RpQ_IPoTwEMB9Yp6ymwlPqew/edit?gid=984458430#gid=984458430"", ""'replication success'!A:K""), 11, FAlSE)"),"#N/A")</f>
        <v>#N/A</v>
      </c>
      <c r="AZ3232" s="61" t="str">
        <f>IFERROR(__xludf.DUMMYFUNCTION("vlookup(BB3232,importrange(""https://docs.google.com/spreadsheets/d/1d2vevQ_7D_v35q4wCQ4RpQ_IPoTwEMB9Yp6ymwlPqew/edit?gid=984458430#gid=984458430"", ""'replication success'!A:M""), 12, FAlSE)"),"#N/A")</f>
        <v>#N/A</v>
      </c>
      <c r="BA3232" s="61" t="str">
        <f>IFERROR(__xludf.DUMMYFUNCTION("vlookup(BB3232,importrange(""https://docs.google.com/spreadsheets/d/1d2vevQ_7D_v35q4wCQ4RpQ_IPoTwEMB9Yp6ymwlPqew/edit?gid=984458430#gid=984458430"", ""'replication success'!A:M""), 13, FAlSE)"),"#N/A")</f>
        <v>#N/A</v>
      </c>
      <c r="BB3232" s="61" t="str">
        <f>IFERROR(__xludf.DUMMYFUNCTION("REGEXREPLACE(G3232, ""_[a-z]{1,2}$"", """")"),"xszk6")</f>
        <v>xszk6</v>
      </c>
      <c r="BD3232" s="62" t="s">
        <v>3130</v>
      </c>
    </row>
    <row r="3233">
      <c r="A3233" s="44">
        <v>2779.0</v>
      </c>
      <c r="B3233" s="129" t="s">
        <v>523</v>
      </c>
      <c r="C3233" s="62" t="s">
        <v>115</v>
      </c>
      <c r="D3233" s="62" t="s">
        <v>221</v>
      </c>
      <c r="F3233" s="68" t="s">
        <v>19308</v>
      </c>
      <c r="G3233" s="159" t="s">
        <v>19307</v>
      </c>
      <c r="H3233" s="159" t="s">
        <v>222</v>
      </c>
      <c r="I3233" s="152">
        <v>45807.0</v>
      </c>
      <c r="J3233" s="772"/>
      <c r="K3233" s="68"/>
      <c r="L3233" s="68"/>
      <c r="M3233" s="159" t="s">
        <v>19285</v>
      </c>
      <c r="N3233" s="159" t="s">
        <v>19286</v>
      </c>
      <c r="O3233" s="156">
        <v>2.0</v>
      </c>
      <c r="P3233" s="382" t="s">
        <v>19287</v>
      </c>
      <c r="Q3233" s="2418" t="str">
        <f> hyperlink(vlookup(lower(N3233),'File Links'!E:F, 2, FALSE), "LINK")</f>
        <v>LINK</v>
      </c>
      <c r="R3233" s="159" t="s">
        <v>19288</v>
      </c>
      <c r="S3233" s="159" t="s">
        <v>19289</v>
      </c>
      <c r="T3233" s="68"/>
      <c r="U3233" s="156">
        <v>1.0</v>
      </c>
      <c r="V3233" s="382" t="s">
        <v>19290</v>
      </c>
      <c r="W3233" s="1228"/>
      <c r="X3233" s="2518" t="str">
        <f> hyperlink(vlookup(lower(S3233),'File Links'!E:F, 2, FALSE), "LINK")</f>
        <v>LINK</v>
      </c>
      <c r="Y3233" s="68"/>
      <c r="Z3233" s="159" t="s">
        <v>226</v>
      </c>
      <c r="AA3233" s="159" t="s">
        <v>19291</v>
      </c>
      <c r="AB3233" s="68" t="s">
        <v>19292</v>
      </c>
      <c r="AC3233" s="159" t="s">
        <v>19293</v>
      </c>
      <c r="AD3233" s="159" t="s">
        <v>19297</v>
      </c>
      <c r="AE3233" s="156" t="s">
        <v>875</v>
      </c>
      <c r="AF3233" s="156">
        <v>48.0</v>
      </c>
      <c r="AG3233" s="156">
        <v>0.63</v>
      </c>
      <c r="AH3233" s="159" t="s">
        <v>173</v>
      </c>
      <c r="AI3233" s="68" t="s">
        <v>875</v>
      </c>
      <c r="AJ3233" s="336">
        <v>0.05</v>
      </c>
      <c r="AK3233" s="68" t="s">
        <v>135</v>
      </c>
      <c r="AL3233" s="68" t="s">
        <v>136</v>
      </c>
      <c r="AM3233" s="68"/>
      <c r="AN3233" s="159" t="s">
        <v>138</v>
      </c>
      <c r="AO3233" s="156">
        <v>120.0</v>
      </c>
      <c r="AP3233" s="156">
        <v>-0.02</v>
      </c>
      <c r="AQ3233" s="159" t="s">
        <v>173</v>
      </c>
      <c r="AR3233" s="159" t="s">
        <v>850</v>
      </c>
      <c r="AS3233" s="336">
        <v>0.87</v>
      </c>
      <c r="AT3233" s="68" t="s">
        <v>172</v>
      </c>
      <c r="AU3233" s="68" t="s">
        <v>136</v>
      </c>
      <c r="AV3233" s="68"/>
      <c r="AW3233" s="68" t="s">
        <v>138</v>
      </c>
      <c r="AX3233" s="68" t="s">
        <v>143</v>
      </c>
      <c r="AY3233" s="61" t="str">
        <f>IFERROR(__xludf.DUMMYFUNCTION("vlookup(BB3233,importrange(""https://docs.google.com/spreadsheets/d/1d2vevQ_7D_v35q4wCQ4RpQ_IPoTwEMB9Yp6ymwlPqew/edit?gid=984458430#gid=984458430"", ""'replication success'!A:K""), 11, FAlSE)"),"#N/A")</f>
        <v>#N/A</v>
      </c>
      <c r="AZ3233" s="61" t="str">
        <f>IFERROR(__xludf.DUMMYFUNCTION("vlookup(BB3233,importrange(""https://docs.google.com/spreadsheets/d/1d2vevQ_7D_v35q4wCQ4RpQ_IPoTwEMB9Yp6ymwlPqew/edit?gid=984458430#gid=984458430"", ""'replication success'!A:M""), 12, FAlSE)"),"#N/A")</f>
        <v>#N/A</v>
      </c>
      <c r="BA3233" s="61" t="str">
        <f>IFERROR(__xludf.DUMMYFUNCTION("vlookup(BB3233,importrange(""https://docs.google.com/spreadsheets/d/1d2vevQ_7D_v35q4wCQ4RpQ_IPoTwEMB9Yp6ymwlPqew/edit?gid=984458430#gid=984458430"", ""'replication success'!A:M""), 13, FAlSE)"),"#N/A")</f>
        <v>#N/A</v>
      </c>
      <c r="BB3233" s="61" t="str">
        <f>IFERROR(__xludf.DUMMYFUNCTION("REGEXREPLACE(G3233, ""_[a-z]{1,2}$"", """")"),"xszk6")</f>
        <v>xszk6</v>
      </c>
      <c r="BD3233" s="62" t="s">
        <v>3130</v>
      </c>
    </row>
    <row r="3234">
      <c r="A3234" s="44">
        <v>2795.0</v>
      </c>
      <c r="B3234" s="129" t="s">
        <v>523</v>
      </c>
      <c r="C3234" s="62" t="s">
        <v>115</v>
      </c>
      <c r="D3234" s="62" t="s">
        <v>2630</v>
      </c>
      <c r="F3234" s="68" t="s">
        <v>19306</v>
      </c>
      <c r="G3234" s="159" t="s">
        <v>19307</v>
      </c>
      <c r="H3234" s="159" t="s">
        <v>19298</v>
      </c>
      <c r="I3234" s="1287" t="s">
        <v>119</v>
      </c>
      <c r="J3234" s="152" t="s">
        <v>19299</v>
      </c>
      <c r="K3234" s="68"/>
      <c r="L3234" s="68"/>
      <c r="M3234" s="159" t="s">
        <v>19285</v>
      </c>
      <c r="N3234" s="159" t="s">
        <v>19286</v>
      </c>
      <c r="O3234" s="156">
        <v>2.0</v>
      </c>
      <c r="P3234" s="382" t="s">
        <v>19287</v>
      </c>
      <c r="Q3234" s="2418" t="str">
        <f> hyperlink(vlookup(lower(N3234),'File Links'!E:F, 2, FALSE), "LINK")</f>
        <v>LINK</v>
      </c>
      <c r="R3234" s="159" t="s">
        <v>19288</v>
      </c>
      <c r="S3234" s="159" t="s">
        <v>19289</v>
      </c>
      <c r="T3234" s="68"/>
      <c r="U3234" s="156">
        <v>1.0</v>
      </c>
      <c r="V3234" s="382" t="s">
        <v>19290</v>
      </c>
      <c r="W3234" s="1228"/>
      <c r="X3234" s="2518" t="str">
        <f> hyperlink(vlookup(lower(S3234),'File Links'!E:F, 2, FALSE), "LINK")</f>
        <v>LINK</v>
      </c>
      <c r="Y3234" s="159" t="s">
        <v>138</v>
      </c>
      <c r="Z3234" s="159" t="s">
        <v>226</v>
      </c>
      <c r="AA3234" s="159" t="s">
        <v>19309</v>
      </c>
      <c r="AB3234" s="68" t="s">
        <v>19310</v>
      </c>
      <c r="AC3234" s="159" t="s">
        <v>19311</v>
      </c>
      <c r="AD3234" s="159" t="s">
        <v>19312</v>
      </c>
      <c r="AE3234" s="159" t="s">
        <v>19313</v>
      </c>
      <c r="AF3234" s="156">
        <v>127.0</v>
      </c>
      <c r="AG3234" s="156">
        <v>0.47</v>
      </c>
      <c r="AH3234" s="159" t="s">
        <v>173</v>
      </c>
      <c r="AI3234" s="68" t="s">
        <v>19313</v>
      </c>
      <c r="AJ3234" s="336">
        <v>0.03</v>
      </c>
      <c r="AK3234" s="68" t="s">
        <v>135</v>
      </c>
      <c r="AL3234" s="68" t="s">
        <v>136</v>
      </c>
      <c r="AM3234" s="68" t="s">
        <v>137</v>
      </c>
      <c r="AN3234" s="159" t="s">
        <v>138</v>
      </c>
      <c r="AO3234" s="156">
        <v>121.0</v>
      </c>
      <c r="AP3234" s="156">
        <v>-0.12</v>
      </c>
      <c r="AQ3234" s="159" t="s">
        <v>173</v>
      </c>
      <c r="AR3234" s="159" t="s">
        <v>19314</v>
      </c>
      <c r="AS3234" s="336">
        <v>0.52</v>
      </c>
      <c r="AT3234" s="68" t="s">
        <v>172</v>
      </c>
      <c r="AU3234" s="68" t="s">
        <v>136</v>
      </c>
      <c r="AV3234" s="68" t="s">
        <v>137</v>
      </c>
      <c r="AW3234" s="435" t="s">
        <v>19303</v>
      </c>
      <c r="AX3234" s="68" t="s">
        <v>143</v>
      </c>
      <c r="AY3234" s="61" t="str">
        <f>IFERROR(__xludf.DUMMYFUNCTION("vlookup(BB3234,importrange(""https://docs.google.com/spreadsheets/d/1d2vevQ_7D_v35q4wCQ4RpQ_IPoTwEMB9Yp6ymwlPqew/edit?gid=984458430#gid=984458430"", ""'replication success'!A:K""), 11, FAlSE)"),"#N/A")</f>
        <v>#N/A</v>
      </c>
      <c r="AZ3234" s="61" t="str">
        <f>IFERROR(__xludf.DUMMYFUNCTION("vlookup(BB3234,importrange(""https://docs.google.com/spreadsheets/d/1d2vevQ_7D_v35q4wCQ4RpQ_IPoTwEMB9Yp6ymwlPqew/edit?gid=984458430#gid=984458430"", ""'replication success'!A:M""), 12, FAlSE)"),"#N/A")</f>
        <v>#N/A</v>
      </c>
      <c r="BA3234" s="61" t="str">
        <f>IFERROR(__xludf.DUMMYFUNCTION("vlookup(BB3234,importrange(""https://docs.google.com/spreadsheets/d/1d2vevQ_7D_v35q4wCQ4RpQ_IPoTwEMB9Yp6ymwlPqew/edit?gid=984458430#gid=984458430"", ""'replication success'!A:M""), 13, FAlSE)"),"#N/A")</f>
        <v>#N/A</v>
      </c>
      <c r="BB3234" s="61" t="str">
        <f>IFERROR(__xludf.DUMMYFUNCTION("REGEXREPLACE(G3234, ""_[a-z]{1,2}$"", """")"),"xszk6")</f>
        <v>xszk6</v>
      </c>
      <c r="BD3234" s="62" t="s">
        <v>3130</v>
      </c>
    </row>
    <row r="3235">
      <c r="A3235" s="44">
        <v>2796.0</v>
      </c>
      <c r="B3235" s="129" t="s">
        <v>523</v>
      </c>
      <c r="C3235" s="62" t="s">
        <v>115</v>
      </c>
      <c r="D3235" s="62" t="s">
        <v>2630</v>
      </c>
      <c r="F3235" s="68" t="s">
        <v>19308</v>
      </c>
      <c r="G3235" s="159" t="s">
        <v>19307</v>
      </c>
      <c r="H3235" s="159" t="s">
        <v>19304</v>
      </c>
      <c r="I3235" s="434">
        <v>45579.0</v>
      </c>
      <c r="J3235" s="152" t="s">
        <v>19299</v>
      </c>
      <c r="K3235" s="68"/>
      <c r="L3235" s="68"/>
      <c r="M3235" s="159" t="s">
        <v>19285</v>
      </c>
      <c r="N3235" s="159" t="s">
        <v>19286</v>
      </c>
      <c r="O3235" s="156">
        <v>2.0</v>
      </c>
      <c r="P3235" s="382" t="s">
        <v>19287</v>
      </c>
      <c r="Q3235" s="2418" t="str">
        <f> hyperlink(vlookup(lower(N3235),'File Links'!E:F, 2, FALSE), "LINK")</f>
        <v>LINK</v>
      </c>
      <c r="R3235" s="159" t="s">
        <v>19288</v>
      </c>
      <c r="S3235" s="159" t="s">
        <v>19289</v>
      </c>
      <c r="T3235" s="68"/>
      <c r="U3235" s="156">
        <v>1.0</v>
      </c>
      <c r="V3235" s="382" t="s">
        <v>19290</v>
      </c>
      <c r="W3235" s="1228"/>
      <c r="X3235" s="2518" t="str">
        <f> hyperlink(vlookup(lower(S3235),'File Links'!E:F, 2, FALSE), "LINK")</f>
        <v>LINK</v>
      </c>
      <c r="Y3235" s="159" t="s">
        <v>138</v>
      </c>
      <c r="Z3235" s="159" t="s">
        <v>226</v>
      </c>
      <c r="AA3235" s="159" t="s">
        <v>19309</v>
      </c>
      <c r="AB3235" s="68" t="s">
        <v>19310</v>
      </c>
      <c r="AC3235" s="159" t="s">
        <v>19315</v>
      </c>
      <c r="AD3235" s="159" t="s">
        <v>19316</v>
      </c>
      <c r="AE3235" s="159" t="s">
        <v>19313</v>
      </c>
      <c r="AF3235" s="156">
        <v>127.0</v>
      </c>
      <c r="AG3235" s="156">
        <v>0.46</v>
      </c>
      <c r="AH3235" s="159" t="s">
        <v>173</v>
      </c>
      <c r="AI3235" s="68" t="s">
        <v>19313</v>
      </c>
      <c r="AJ3235" s="336">
        <v>0.05</v>
      </c>
      <c r="AK3235" s="68" t="s">
        <v>135</v>
      </c>
      <c r="AL3235" s="68" t="s">
        <v>136</v>
      </c>
      <c r="AM3235" s="68" t="s">
        <v>137</v>
      </c>
      <c r="AN3235" s="159" t="s">
        <v>138</v>
      </c>
      <c r="AO3235" s="156">
        <v>120.0</v>
      </c>
      <c r="AP3235" s="156">
        <v>-0.02</v>
      </c>
      <c r="AQ3235" s="159" t="s">
        <v>173</v>
      </c>
      <c r="AR3235" s="159" t="s">
        <v>19314</v>
      </c>
      <c r="AS3235" s="336">
        <v>0.94</v>
      </c>
      <c r="AT3235" s="68" t="s">
        <v>172</v>
      </c>
      <c r="AU3235" s="68" t="s">
        <v>136</v>
      </c>
      <c r="AV3235" s="68" t="s">
        <v>137</v>
      </c>
      <c r="AW3235" s="435" t="s">
        <v>19303</v>
      </c>
      <c r="AX3235" s="68" t="s">
        <v>143</v>
      </c>
      <c r="AY3235" s="61" t="str">
        <f>IFERROR(__xludf.DUMMYFUNCTION("vlookup(BB3235,importrange(""https://docs.google.com/spreadsheets/d/1d2vevQ_7D_v35q4wCQ4RpQ_IPoTwEMB9Yp6ymwlPqew/edit?gid=984458430#gid=984458430"", ""'replication success'!A:K""), 11, FAlSE)"),"#N/A")</f>
        <v>#N/A</v>
      </c>
      <c r="AZ3235" s="61" t="str">
        <f>IFERROR(__xludf.DUMMYFUNCTION("vlookup(BB3235,importrange(""https://docs.google.com/spreadsheets/d/1d2vevQ_7D_v35q4wCQ4RpQ_IPoTwEMB9Yp6ymwlPqew/edit?gid=984458430#gid=984458430"", ""'replication success'!A:M""), 12, FAlSE)"),"#N/A")</f>
        <v>#N/A</v>
      </c>
      <c r="BA3235" s="61" t="str">
        <f>IFERROR(__xludf.DUMMYFUNCTION("vlookup(BB3235,importrange(""https://docs.google.com/spreadsheets/d/1d2vevQ_7D_v35q4wCQ4RpQ_IPoTwEMB9Yp6ymwlPqew/edit?gid=984458430#gid=984458430"", ""'replication success'!A:M""), 13, FAlSE)"),"#N/A")</f>
        <v>#N/A</v>
      </c>
      <c r="BB3235" s="61" t="str">
        <f>IFERROR(__xludf.DUMMYFUNCTION("REGEXREPLACE(G3235, ""_[a-z]{1,2}$"", """")"),"xszk6")</f>
        <v>xszk6</v>
      </c>
      <c r="BD3235" s="62" t="s">
        <v>3130</v>
      </c>
    </row>
    <row r="3236">
      <c r="A3236" s="44">
        <v>3236.0</v>
      </c>
      <c r="B3236" s="129" t="s">
        <v>285</v>
      </c>
      <c r="C3236" s="62" t="s">
        <v>115</v>
      </c>
      <c r="D3236" s="62" t="s">
        <v>1458</v>
      </c>
      <c r="F3236" s="159" t="s">
        <v>19317</v>
      </c>
      <c r="G3236" s="159" t="s">
        <v>19318</v>
      </c>
      <c r="H3236" s="159" t="s">
        <v>19319</v>
      </c>
      <c r="I3236" s="2523"/>
      <c r="J3236" s="1287" t="s">
        <v>19320</v>
      </c>
      <c r="K3236" s="159" t="s">
        <v>19321</v>
      </c>
      <c r="L3236" s="68"/>
      <c r="M3236" s="159" t="s">
        <v>19322</v>
      </c>
      <c r="N3236" s="159" t="s">
        <v>19323</v>
      </c>
      <c r="O3236" s="156">
        <v>1.0</v>
      </c>
      <c r="P3236" s="382" t="s">
        <v>19324</v>
      </c>
      <c r="Q3236" s="2191" t="str">
        <f> hyperlink(vlookup(lower(N3236),'File Links'!F:G, 2, FALSE), "LINK")</f>
        <v>LINK</v>
      </c>
      <c r="R3236" s="159" t="s">
        <v>19325</v>
      </c>
      <c r="S3236" s="159" t="s">
        <v>19326</v>
      </c>
      <c r="T3236" s="159" t="s">
        <v>138</v>
      </c>
      <c r="U3236" s="156">
        <v>1.0</v>
      </c>
      <c r="V3236" s="382" t="s">
        <v>19327</v>
      </c>
      <c r="W3236" s="1228"/>
      <c r="X3236" s="2524" t="str">
        <f> hyperlink(vlookup(lower(S3236),'File Links'!F:G, 2, FALSE), "LINK")</f>
        <v>LINK</v>
      </c>
      <c r="Y3236" s="159" t="s">
        <v>138</v>
      </c>
      <c r="Z3236" s="159" t="s">
        <v>1809</v>
      </c>
      <c r="AA3236" s="159" t="s">
        <v>19328</v>
      </c>
      <c r="AB3236" s="159" t="s">
        <v>19329</v>
      </c>
      <c r="AC3236" s="159" t="s">
        <v>19330</v>
      </c>
      <c r="AD3236" s="159" t="s">
        <v>19331</v>
      </c>
      <c r="AE3236" s="156">
        <v>5.0</v>
      </c>
      <c r="AF3236" s="156">
        <v>83.0</v>
      </c>
      <c r="AG3236" s="156">
        <v>-0.23</v>
      </c>
      <c r="AH3236" s="159" t="s">
        <v>361</v>
      </c>
      <c r="AI3236" s="159" t="s">
        <v>882</v>
      </c>
      <c r="AJ3236" s="156">
        <v>0.04</v>
      </c>
      <c r="AK3236" s="159" t="s">
        <v>172</v>
      </c>
      <c r="AL3236" s="159" t="s">
        <v>186</v>
      </c>
      <c r="AM3236" s="159" t="s">
        <v>141</v>
      </c>
      <c r="AN3236" s="159" t="s">
        <v>138</v>
      </c>
      <c r="AO3236" s="156">
        <v>46.0</v>
      </c>
      <c r="AP3236" s="1479">
        <v>0.48</v>
      </c>
      <c r="AQ3236" s="159" t="s">
        <v>361</v>
      </c>
      <c r="AR3236" s="159" t="s">
        <v>171</v>
      </c>
      <c r="AS3236" s="156">
        <v>0.003</v>
      </c>
      <c r="AT3236" s="159" t="s">
        <v>172</v>
      </c>
      <c r="AU3236" s="159" t="s">
        <v>186</v>
      </c>
      <c r="AV3236" s="159" t="s">
        <v>141</v>
      </c>
      <c r="AW3236" s="159" t="s">
        <v>138</v>
      </c>
      <c r="AX3236" s="159" t="s">
        <v>143</v>
      </c>
      <c r="AY3236" s="61" t="str">
        <f>IFERROR(__xludf.DUMMYFUNCTION("vlookup(BB3236,importrange(""https://docs.google.com/spreadsheets/d/1d2vevQ_7D_v35q4wCQ4RpQ_IPoTwEMB9Yp6ymwlPqew/edit?gid=984458430#gid=984458430"", ""'replication success'!A:K""), 11, FAlSE)"),"#N/A")</f>
        <v>#N/A</v>
      </c>
      <c r="AZ3236" s="61" t="str">
        <f>IFERROR(__xludf.DUMMYFUNCTION("vlookup(BB3236,importrange(""https://docs.google.com/spreadsheets/d/1d2vevQ_7D_v35q4wCQ4RpQ_IPoTwEMB9Yp6ymwlPqew/edit?gid=984458430#gid=984458430"", ""'replication success'!A:M""), 12, FAlSE)"),"#N/A")</f>
        <v>#N/A</v>
      </c>
      <c r="BA3236" s="61" t="str">
        <f>IFERROR(__xludf.DUMMYFUNCTION("vlookup(BB3236,importrange(""https://docs.google.com/spreadsheets/d/1d2vevQ_7D_v35q4wCQ4RpQ_IPoTwEMB9Yp6ymwlPqew/edit?gid=984458430#gid=984458430"", ""'replication success'!A:M""), 13, FAlSE)"),"#N/A")</f>
        <v>#N/A</v>
      </c>
      <c r="BB3236" s="61" t="str">
        <f>IFERROR(__xludf.DUMMYFUNCTION("REGEXREPLACE(G3236, ""_[a-z]{1,2}$"", """")"),"av_117")</f>
        <v>av_117</v>
      </c>
    </row>
    <row r="3237">
      <c r="A3237" s="44">
        <v>3237.0</v>
      </c>
      <c r="B3237" s="129" t="s">
        <v>285</v>
      </c>
      <c r="C3237" s="62" t="s">
        <v>115</v>
      </c>
      <c r="D3237" s="62" t="s">
        <v>1458</v>
      </c>
      <c r="F3237" s="159" t="s">
        <v>19317</v>
      </c>
      <c r="G3237" s="159" t="s">
        <v>19332</v>
      </c>
      <c r="H3237" s="159" t="s">
        <v>19319</v>
      </c>
      <c r="I3237" s="2523"/>
      <c r="J3237" s="152">
        <v>45836.0</v>
      </c>
      <c r="K3237" s="159" t="s">
        <v>19333</v>
      </c>
      <c r="L3237" s="68"/>
      <c r="M3237" s="159" t="s">
        <v>19322</v>
      </c>
      <c r="N3237" s="159" t="s">
        <v>19323</v>
      </c>
      <c r="O3237" s="156">
        <v>1.0</v>
      </c>
      <c r="P3237" s="382" t="s">
        <v>19324</v>
      </c>
      <c r="Q3237" s="2191" t="str">
        <f> hyperlink(vlookup(lower(N3237),'File Links'!F:G, 2, FALSE), "LINK")</f>
        <v>LINK</v>
      </c>
      <c r="R3237" s="159" t="s">
        <v>19325</v>
      </c>
      <c r="S3237" s="159" t="s">
        <v>19326</v>
      </c>
      <c r="T3237" s="159" t="s">
        <v>138</v>
      </c>
      <c r="U3237" s="156">
        <v>1.0</v>
      </c>
      <c r="V3237" s="382" t="s">
        <v>19327</v>
      </c>
      <c r="W3237" s="1228"/>
      <c r="X3237" s="2524" t="str">
        <f> hyperlink(vlookup(lower(S3237),'File Links'!F:G, 2, FALSE), "LINK")</f>
        <v>LINK</v>
      </c>
      <c r="Y3237" s="159" t="s">
        <v>138</v>
      </c>
      <c r="Z3237" s="159" t="s">
        <v>1809</v>
      </c>
      <c r="AA3237" s="159" t="s">
        <v>19328</v>
      </c>
      <c r="AB3237" s="159" t="s">
        <v>19329</v>
      </c>
      <c r="AC3237" s="159" t="s">
        <v>19334</v>
      </c>
      <c r="AD3237" s="159" t="s">
        <v>19335</v>
      </c>
      <c r="AE3237" s="156">
        <v>5.0</v>
      </c>
      <c r="AF3237" s="156">
        <v>83.0</v>
      </c>
      <c r="AG3237" s="156">
        <v>0.24</v>
      </c>
      <c r="AH3237" s="159" t="s">
        <v>361</v>
      </c>
      <c r="AI3237" s="159" t="s">
        <v>882</v>
      </c>
      <c r="AJ3237" s="156">
        <v>0.04</v>
      </c>
      <c r="AK3237" s="159" t="s">
        <v>172</v>
      </c>
      <c r="AL3237" s="159" t="s">
        <v>186</v>
      </c>
      <c r="AM3237" s="159" t="s">
        <v>141</v>
      </c>
      <c r="AN3237" s="159" t="s">
        <v>138</v>
      </c>
      <c r="AO3237" s="156">
        <v>46.0</v>
      </c>
      <c r="AP3237" s="1479">
        <v>0.35</v>
      </c>
      <c r="AQ3237" s="159" t="s">
        <v>361</v>
      </c>
      <c r="AR3237" s="159" t="s">
        <v>171</v>
      </c>
      <c r="AS3237" s="156">
        <v>0.05</v>
      </c>
      <c r="AT3237" s="159" t="s">
        <v>172</v>
      </c>
      <c r="AU3237" s="159" t="s">
        <v>186</v>
      </c>
      <c r="AV3237" s="159" t="s">
        <v>141</v>
      </c>
      <c r="AW3237" s="159" t="s">
        <v>138</v>
      </c>
      <c r="AX3237" s="159" t="s">
        <v>143</v>
      </c>
      <c r="AY3237" s="61" t="str">
        <f>IFERROR(__xludf.DUMMYFUNCTION("vlookup(BB3237,importrange(""https://docs.google.com/spreadsheets/d/1d2vevQ_7D_v35q4wCQ4RpQ_IPoTwEMB9Yp6ymwlPqew/edit?gid=984458430#gid=984458430"", ""'replication success'!A:K""), 11, FAlSE)"),"#N/A")</f>
        <v>#N/A</v>
      </c>
      <c r="AZ3237" s="61" t="str">
        <f>IFERROR(__xludf.DUMMYFUNCTION("vlookup(BB3237,importrange(""https://docs.google.com/spreadsheets/d/1d2vevQ_7D_v35q4wCQ4RpQ_IPoTwEMB9Yp6ymwlPqew/edit?gid=984458430#gid=984458430"", ""'replication success'!A:M""), 12, FAlSE)"),"#N/A")</f>
        <v>#N/A</v>
      </c>
      <c r="BA3237" s="61" t="str">
        <f>IFERROR(__xludf.DUMMYFUNCTION("vlookup(BB3237,importrange(""https://docs.google.com/spreadsheets/d/1d2vevQ_7D_v35q4wCQ4RpQ_IPoTwEMB9Yp6ymwlPqew/edit?gid=984458430#gid=984458430"", ""'replication success'!A:M""), 13, FAlSE)"),"#N/A")</f>
        <v>#N/A</v>
      </c>
      <c r="BB3237" s="61" t="str">
        <f>IFERROR(__xludf.DUMMYFUNCTION("REGEXREPLACE(G3237, ""_[a-z]{1,2}$"", """")"),"av_117")</f>
        <v>av_117</v>
      </c>
    </row>
    <row r="3238">
      <c r="A3238" s="44">
        <v>3238.0</v>
      </c>
      <c r="B3238" s="129" t="s">
        <v>285</v>
      </c>
      <c r="C3238" s="62" t="s">
        <v>115</v>
      </c>
      <c r="D3238" s="62" t="s">
        <v>1458</v>
      </c>
      <c r="F3238" s="159" t="s">
        <v>19336</v>
      </c>
      <c r="G3238" s="159" t="s">
        <v>19337</v>
      </c>
      <c r="H3238" s="159" t="s">
        <v>19319</v>
      </c>
      <c r="I3238" s="2523"/>
      <c r="J3238" s="152">
        <v>45836.0</v>
      </c>
      <c r="K3238" s="159" t="s">
        <v>19338</v>
      </c>
      <c r="L3238" s="68"/>
      <c r="M3238" s="680" t="s">
        <v>19339</v>
      </c>
      <c r="N3238" s="159" t="s">
        <v>19340</v>
      </c>
      <c r="O3238" s="156">
        <v>1.0</v>
      </c>
      <c r="P3238" s="382" t="s">
        <v>19341</v>
      </c>
      <c r="Q3238" s="2191" t="str">
        <f> hyperlink(vlookup(lower(N3238),'File Links'!F:G, 2, FALSE), "LINK")</f>
        <v>LINK</v>
      </c>
      <c r="R3238" s="159" t="s">
        <v>19342</v>
      </c>
      <c r="S3238" s="159" t="s">
        <v>19343</v>
      </c>
      <c r="T3238" s="159" t="s">
        <v>138</v>
      </c>
      <c r="U3238" s="156">
        <v>2.0</v>
      </c>
      <c r="V3238" s="382" t="s">
        <v>19344</v>
      </c>
      <c r="W3238" s="1228"/>
      <c r="X3238" s="2524" t="str">
        <f> hyperlink(vlookup(lower(S3238),'File Links'!F:G, 2, FALSE), "LINK")</f>
        <v>LINK</v>
      </c>
      <c r="Y3238" s="159" t="s">
        <v>138</v>
      </c>
      <c r="Z3238" s="159" t="s">
        <v>226</v>
      </c>
      <c r="AA3238" s="159" t="s">
        <v>19345</v>
      </c>
      <c r="AB3238" s="159" t="s">
        <v>19346</v>
      </c>
      <c r="AC3238" s="68" t="s">
        <v>19347</v>
      </c>
      <c r="AD3238" s="159" t="s">
        <v>19348</v>
      </c>
      <c r="AE3238" s="156">
        <v>3.0</v>
      </c>
      <c r="AF3238" s="156">
        <v>77.0</v>
      </c>
      <c r="AG3238" s="156">
        <v>0.167</v>
      </c>
      <c r="AH3238" s="159" t="s">
        <v>874</v>
      </c>
      <c r="AI3238" s="159" t="s">
        <v>507</v>
      </c>
      <c r="AJ3238" s="156">
        <v>0.001</v>
      </c>
      <c r="AK3238" s="159" t="s">
        <v>135</v>
      </c>
      <c r="AL3238" s="159" t="s">
        <v>186</v>
      </c>
      <c r="AM3238" s="159" t="s">
        <v>141</v>
      </c>
      <c r="AN3238" s="159" t="s">
        <v>138</v>
      </c>
      <c r="AO3238" s="156">
        <v>60.0</v>
      </c>
      <c r="AP3238" s="1479">
        <v>0.15</v>
      </c>
      <c r="AQ3238" s="159" t="s">
        <v>139</v>
      </c>
      <c r="AR3238" s="159" t="s">
        <v>882</v>
      </c>
      <c r="AS3238" s="156">
        <v>0.002</v>
      </c>
      <c r="AT3238" s="159" t="s">
        <v>172</v>
      </c>
      <c r="AU3238" s="159" t="s">
        <v>186</v>
      </c>
      <c r="AV3238" s="159" t="s">
        <v>141</v>
      </c>
      <c r="AW3238" s="159" t="s">
        <v>138</v>
      </c>
      <c r="AX3238" s="159" t="s">
        <v>151</v>
      </c>
      <c r="AY3238" s="61" t="str">
        <f>IFERROR(__xludf.DUMMYFUNCTION("vlookup(BB3238,importrange(""https://docs.google.com/spreadsheets/d/1d2vevQ_7D_v35q4wCQ4RpQ_IPoTwEMB9Yp6ymwlPqew/edit?gid=984458430#gid=984458430"", ""'replication success'!A:K""), 11, FAlSE)"),"#N/A")</f>
        <v>#N/A</v>
      </c>
      <c r="AZ3238" s="61" t="str">
        <f>IFERROR(__xludf.DUMMYFUNCTION("vlookup(BB3238,importrange(""https://docs.google.com/spreadsheets/d/1d2vevQ_7D_v35q4wCQ4RpQ_IPoTwEMB9Yp6ymwlPqew/edit?gid=984458430#gid=984458430"", ""'replication success'!A:M""), 12, FAlSE)"),"#N/A")</f>
        <v>#N/A</v>
      </c>
      <c r="BA3238" s="61" t="str">
        <f>IFERROR(__xludf.DUMMYFUNCTION("vlookup(BB3238,importrange(""https://docs.google.com/spreadsheets/d/1d2vevQ_7D_v35q4wCQ4RpQ_IPoTwEMB9Yp6ymwlPqew/edit?gid=984458430#gid=984458430"", ""'replication success'!A:M""), 13, FAlSE)"),"#N/A")</f>
        <v>#N/A</v>
      </c>
      <c r="BB3238" s="61" t="str">
        <f>IFERROR(__xludf.DUMMYFUNCTION("REGEXREPLACE(G3238, ""_[a-z]{1,2}$"", """")"),"av_118")</f>
        <v>av_118</v>
      </c>
    </row>
    <row r="3239">
      <c r="A3239" s="44">
        <v>3239.0</v>
      </c>
      <c r="B3239" s="129" t="s">
        <v>285</v>
      </c>
      <c r="C3239" s="62" t="s">
        <v>115</v>
      </c>
      <c r="D3239" s="62" t="s">
        <v>1458</v>
      </c>
      <c r="F3239" s="159" t="s">
        <v>19336</v>
      </c>
      <c r="G3239" s="159" t="s">
        <v>19349</v>
      </c>
      <c r="H3239" s="159" t="s">
        <v>19319</v>
      </c>
      <c r="I3239" s="2523"/>
      <c r="J3239" s="152">
        <v>45836.0</v>
      </c>
      <c r="K3239" s="159" t="s">
        <v>19350</v>
      </c>
      <c r="L3239" s="68"/>
      <c r="M3239" s="680" t="s">
        <v>19351</v>
      </c>
      <c r="N3239" s="159" t="s">
        <v>19340</v>
      </c>
      <c r="O3239" s="156">
        <v>1.0</v>
      </c>
      <c r="P3239" s="382" t="s">
        <v>19341</v>
      </c>
      <c r="Q3239" s="2191" t="str">
        <f> hyperlink(vlookup(lower(N3239),'File Links'!F:G, 2, FALSE), "LINK")</f>
        <v>LINK</v>
      </c>
      <c r="R3239" s="159" t="s">
        <v>19342</v>
      </c>
      <c r="S3239" s="159" t="s">
        <v>19343</v>
      </c>
      <c r="T3239" s="159" t="s">
        <v>138</v>
      </c>
      <c r="U3239" s="156">
        <v>2.0</v>
      </c>
      <c r="V3239" s="382" t="s">
        <v>19344</v>
      </c>
      <c r="W3239" s="1228"/>
      <c r="X3239" s="2524" t="str">
        <f> hyperlink(vlookup(lower(S3239),'File Links'!F:G, 2, FALSE), "LINK")</f>
        <v>LINK</v>
      </c>
      <c r="Y3239" s="159" t="s">
        <v>138</v>
      </c>
      <c r="Z3239" s="159" t="s">
        <v>226</v>
      </c>
      <c r="AA3239" s="159" t="s">
        <v>19345</v>
      </c>
      <c r="AB3239" s="159" t="s">
        <v>19346</v>
      </c>
      <c r="AC3239" s="68" t="s">
        <v>19347</v>
      </c>
      <c r="AD3239" s="159" t="s">
        <v>19352</v>
      </c>
      <c r="AE3239" s="156">
        <v>3.0</v>
      </c>
      <c r="AF3239" s="156">
        <v>77.0</v>
      </c>
      <c r="AG3239" s="159" t="s">
        <v>19353</v>
      </c>
      <c r="AH3239" s="159" t="s">
        <v>134</v>
      </c>
      <c r="AI3239" s="159" t="s">
        <v>507</v>
      </c>
      <c r="AJ3239" s="156">
        <v>0.001</v>
      </c>
      <c r="AK3239" s="159" t="s">
        <v>135</v>
      </c>
      <c r="AL3239" s="159" t="s">
        <v>186</v>
      </c>
      <c r="AM3239" s="159" t="s">
        <v>141</v>
      </c>
      <c r="AN3239" s="159" t="s">
        <v>138</v>
      </c>
      <c r="AO3239" s="156">
        <v>60.0</v>
      </c>
      <c r="AP3239" s="2525" t="s">
        <v>19354</v>
      </c>
      <c r="AQ3239" s="159" t="s">
        <v>134</v>
      </c>
      <c r="AR3239" s="159" t="s">
        <v>882</v>
      </c>
      <c r="AS3239" s="156">
        <v>0.001</v>
      </c>
      <c r="AT3239" s="159" t="s">
        <v>135</v>
      </c>
      <c r="AU3239" s="159" t="s">
        <v>186</v>
      </c>
      <c r="AV3239" s="159" t="s">
        <v>141</v>
      </c>
      <c r="AW3239" s="159" t="s">
        <v>138</v>
      </c>
      <c r="AX3239" s="159" t="s">
        <v>151</v>
      </c>
      <c r="AY3239" s="61" t="str">
        <f>IFERROR(__xludf.DUMMYFUNCTION("vlookup(BB3239,importrange(""https://docs.google.com/spreadsheets/d/1d2vevQ_7D_v35q4wCQ4RpQ_IPoTwEMB9Yp6ymwlPqew/edit?gid=984458430#gid=984458430"", ""'replication success'!A:K""), 11, FAlSE)"),"#N/A")</f>
        <v>#N/A</v>
      </c>
      <c r="AZ3239" s="61" t="str">
        <f>IFERROR(__xludf.DUMMYFUNCTION("vlookup(BB3239,importrange(""https://docs.google.com/spreadsheets/d/1d2vevQ_7D_v35q4wCQ4RpQ_IPoTwEMB9Yp6ymwlPqew/edit?gid=984458430#gid=984458430"", ""'replication success'!A:M""), 12, FAlSE)"),"#N/A")</f>
        <v>#N/A</v>
      </c>
      <c r="BA3239" s="61" t="str">
        <f>IFERROR(__xludf.DUMMYFUNCTION("vlookup(BB3239,importrange(""https://docs.google.com/spreadsheets/d/1d2vevQ_7D_v35q4wCQ4RpQ_IPoTwEMB9Yp6ymwlPqew/edit?gid=984458430#gid=984458430"", ""'replication success'!A:M""), 13, FAlSE)"),"#N/A")</f>
        <v>#N/A</v>
      </c>
      <c r="BB3239" s="61" t="str">
        <f>IFERROR(__xludf.DUMMYFUNCTION("REGEXREPLACE(G3239, ""_[a-z]{1,2}$"", """")"),"av_118")</f>
        <v>av_118</v>
      </c>
    </row>
    <row r="3240">
      <c r="A3240" s="44">
        <v>3240.0</v>
      </c>
      <c r="B3240" s="129" t="s">
        <v>285</v>
      </c>
      <c r="C3240" s="62" t="s">
        <v>115</v>
      </c>
      <c r="D3240" s="62" t="s">
        <v>1458</v>
      </c>
      <c r="F3240" s="68" t="s">
        <v>19355</v>
      </c>
      <c r="G3240" s="159" t="s">
        <v>19356</v>
      </c>
      <c r="H3240" s="159" t="s">
        <v>19319</v>
      </c>
      <c r="I3240" s="862"/>
      <c r="J3240" s="152">
        <v>45836.0</v>
      </c>
      <c r="K3240" s="159" t="s">
        <v>19357</v>
      </c>
      <c r="L3240" s="68"/>
      <c r="M3240" s="159" t="s">
        <v>19358</v>
      </c>
      <c r="N3240" s="159" t="s">
        <v>19359</v>
      </c>
      <c r="O3240" s="156">
        <v>4.0</v>
      </c>
      <c r="P3240" s="382" t="s">
        <v>19360</v>
      </c>
      <c r="Q3240" s="2191" t="str">
        <f> hyperlink(vlookup(lower(N3240),'File Links'!F:G, 2, FALSE), "LINK")</f>
        <v>LINK</v>
      </c>
      <c r="R3240" s="159" t="s">
        <v>19361</v>
      </c>
      <c r="S3240" s="159" t="s">
        <v>19362</v>
      </c>
      <c r="T3240" s="159" t="s">
        <v>138</v>
      </c>
      <c r="U3240" s="156">
        <v>1.0</v>
      </c>
      <c r="V3240" s="382" t="s">
        <v>19363</v>
      </c>
      <c r="W3240" s="1228"/>
      <c r="X3240" s="1552" t="str">
        <f> hyperlink(vlookup(lower(S3240),'File Links'!F:G, 2, FALSE), "LINK")</f>
        <v>LINK</v>
      </c>
      <c r="Y3240" s="159" t="s">
        <v>138</v>
      </c>
      <c r="Z3240" s="159" t="s">
        <v>295</v>
      </c>
      <c r="AA3240" s="159" t="s">
        <v>19364</v>
      </c>
      <c r="AB3240" s="159" t="s">
        <v>19365</v>
      </c>
      <c r="AC3240" s="159" t="s">
        <v>19366</v>
      </c>
      <c r="AD3240" s="159" t="s">
        <v>19367</v>
      </c>
      <c r="AE3240" s="156">
        <v>10.0</v>
      </c>
      <c r="AF3240" s="156">
        <v>16.0</v>
      </c>
      <c r="AG3240" s="159" t="s">
        <v>19368</v>
      </c>
      <c r="AH3240" s="159" t="s">
        <v>134</v>
      </c>
      <c r="AI3240" s="159" t="s">
        <v>630</v>
      </c>
      <c r="AJ3240" s="156">
        <v>0.05</v>
      </c>
      <c r="AK3240" s="159" t="s">
        <v>135</v>
      </c>
      <c r="AL3240" s="159" t="s">
        <v>186</v>
      </c>
      <c r="AM3240" s="159" t="s">
        <v>141</v>
      </c>
      <c r="AN3240" s="159" t="s">
        <v>138</v>
      </c>
      <c r="AO3240" s="156">
        <v>55.0</v>
      </c>
      <c r="AP3240" s="1479">
        <v>0.68</v>
      </c>
      <c r="AQ3240" s="159" t="s">
        <v>874</v>
      </c>
      <c r="AR3240" s="159" t="s">
        <v>882</v>
      </c>
      <c r="AS3240" s="156">
        <v>0.001</v>
      </c>
      <c r="AT3240" s="159" t="s">
        <v>135</v>
      </c>
      <c r="AU3240" s="159" t="s">
        <v>186</v>
      </c>
      <c r="AV3240" s="159" t="s">
        <v>1905</v>
      </c>
      <c r="AW3240" s="159" t="s">
        <v>138</v>
      </c>
      <c r="AX3240" s="159" t="s">
        <v>151</v>
      </c>
      <c r="AY3240" s="61" t="str">
        <f>IFERROR(__xludf.DUMMYFUNCTION("vlookup(BB3240,importrange(""https://docs.google.com/spreadsheets/d/1d2vevQ_7D_v35q4wCQ4RpQ_IPoTwEMB9Yp6ymwlPqew/edit?gid=984458430#gid=984458430"", ""'replication success'!A:K""), 11, FAlSE)"),"#N/A")</f>
        <v>#N/A</v>
      </c>
      <c r="AZ3240" s="61" t="str">
        <f>IFERROR(__xludf.DUMMYFUNCTION("vlookup(BB3240,importrange(""https://docs.google.com/spreadsheets/d/1d2vevQ_7D_v35q4wCQ4RpQ_IPoTwEMB9Yp6ymwlPqew/edit?gid=984458430#gid=984458430"", ""'replication success'!A:M""), 12, FAlSE)"),"#N/A")</f>
        <v>#N/A</v>
      </c>
      <c r="BA3240" s="61" t="str">
        <f>IFERROR(__xludf.DUMMYFUNCTION("vlookup(BB3240,importrange(""https://docs.google.com/spreadsheets/d/1d2vevQ_7D_v35q4wCQ4RpQ_IPoTwEMB9Yp6ymwlPqew/edit?gid=984458430#gid=984458430"", ""'replication success'!A:M""), 13, FAlSE)"),"#N/A")</f>
        <v>#N/A</v>
      </c>
      <c r="BB3240" s="61" t="str">
        <f>IFERROR(__xludf.DUMMYFUNCTION("REGEXREPLACE(G3240, ""_[a-z]{1,2}$"", """")"),"av_119")</f>
        <v>av_119</v>
      </c>
    </row>
    <row r="3241">
      <c r="A3241" s="44">
        <v>3241.0</v>
      </c>
      <c r="B3241" s="129" t="s">
        <v>285</v>
      </c>
      <c r="C3241" s="62" t="s">
        <v>115</v>
      </c>
      <c r="D3241" s="62" t="s">
        <v>1458</v>
      </c>
      <c r="F3241" s="68" t="s">
        <v>19355</v>
      </c>
      <c r="G3241" s="159" t="s">
        <v>19369</v>
      </c>
      <c r="H3241" s="159" t="s">
        <v>19319</v>
      </c>
      <c r="I3241" s="862"/>
      <c r="J3241" s="152">
        <v>45836.0</v>
      </c>
      <c r="K3241" s="159" t="s">
        <v>19357</v>
      </c>
      <c r="L3241" s="68"/>
      <c r="M3241" s="159" t="s">
        <v>19358</v>
      </c>
      <c r="N3241" s="159" t="s">
        <v>19359</v>
      </c>
      <c r="O3241" s="156">
        <v>4.0</v>
      </c>
      <c r="P3241" s="382" t="s">
        <v>19360</v>
      </c>
      <c r="Q3241" s="2191" t="str">
        <f> hyperlink(vlookup(lower(N3241),'File Links'!F:G, 2, FALSE), "LINK")</f>
        <v>LINK</v>
      </c>
      <c r="R3241" s="159" t="s">
        <v>19361</v>
      </c>
      <c r="S3241" s="159" t="s">
        <v>19362</v>
      </c>
      <c r="T3241" s="159" t="s">
        <v>138</v>
      </c>
      <c r="U3241" s="156">
        <v>1.0</v>
      </c>
      <c r="V3241" s="382" t="s">
        <v>19363</v>
      </c>
      <c r="W3241" s="1228"/>
      <c r="X3241" s="1552" t="str">
        <f> hyperlink(vlookup(lower(S3241),'File Links'!F:G, 2, FALSE), "LINK")</f>
        <v>LINK</v>
      </c>
      <c r="Y3241" s="159" t="s">
        <v>138</v>
      </c>
      <c r="Z3241" s="159" t="s">
        <v>295</v>
      </c>
      <c r="AA3241" s="159" t="s">
        <v>19364</v>
      </c>
      <c r="AB3241" s="159" t="s">
        <v>19365</v>
      </c>
      <c r="AC3241" s="159" t="s">
        <v>19366</v>
      </c>
      <c r="AD3241" s="159" t="s">
        <v>19370</v>
      </c>
      <c r="AE3241" s="156">
        <v>10.0</v>
      </c>
      <c r="AF3241" s="156">
        <v>16.0</v>
      </c>
      <c r="AG3241" s="159" t="s">
        <v>19371</v>
      </c>
      <c r="AH3241" s="159" t="s">
        <v>134</v>
      </c>
      <c r="AI3241" s="159" t="s">
        <v>630</v>
      </c>
      <c r="AJ3241" s="156">
        <v>0.05</v>
      </c>
      <c r="AK3241" s="159" t="s">
        <v>135</v>
      </c>
      <c r="AL3241" s="159" t="s">
        <v>186</v>
      </c>
      <c r="AM3241" s="159" t="s">
        <v>141</v>
      </c>
      <c r="AN3241" s="159" t="s">
        <v>138</v>
      </c>
      <c r="AO3241" s="156">
        <v>55.0</v>
      </c>
      <c r="AP3241" s="1479">
        <v>0.52</v>
      </c>
      <c r="AQ3241" s="159" t="s">
        <v>874</v>
      </c>
      <c r="AR3241" s="159" t="s">
        <v>882</v>
      </c>
      <c r="AS3241" s="156">
        <v>0.001</v>
      </c>
      <c r="AT3241" s="159" t="s">
        <v>135</v>
      </c>
      <c r="AU3241" s="159" t="s">
        <v>186</v>
      </c>
      <c r="AV3241" s="159" t="s">
        <v>1905</v>
      </c>
      <c r="AW3241" s="159" t="s">
        <v>138</v>
      </c>
      <c r="AX3241" s="159" t="s">
        <v>151</v>
      </c>
      <c r="AY3241" s="61" t="str">
        <f>IFERROR(__xludf.DUMMYFUNCTION("vlookup(BB3241,importrange(""https://docs.google.com/spreadsheets/d/1d2vevQ_7D_v35q4wCQ4RpQ_IPoTwEMB9Yp6ymwlPqew/edit?gid=984458430#gid=984458430"", ""'replication success'!A:K""), 11, FAlSE)"),"#N/A")</f>
        <v>#N/A</v>
      </c>
      <c r="AZ3241" s="61" t="str">
        <f>IFERROR(__xludf.DUMMYFUNCTION("vlookup(BB3241,importrange(""https://docs.google.com/spreadsheets/d/1d2vevQ_7D_v35q4wCQ4RpQ_IPoTwEMB9Yp6ymwlPqew/edit?gid=984458430#gid=984458430"", ""'replication success'!A:M""), 12, FAlSE)"),"#N/A")</f>
        <v>#N/A</v>
      </c>
      <c r="BA3241" s="61" t="str">
        <f>IFERROR(__xludf.DUMMYFUNCTION("vlookup(BB3241,importrange(""https://docs.google.com/spreadsheets/d/1d2vevQ_7D_v35q4wCQ4RpQ_IPoTwEMB9Yp6ymwlPqew/edit?gid=984458430#gid=984458430"", ""'replication success'!A:M""), 13, FAlSE)"),"#N/A")</f>
        <v>#N/A</v>
      </c>
      <c r="BB3241" s="61" t="str">
        <f>IFERROR(__xludf.DUMMYFUNCTION("REGEXREPLACE(G3241, ""_[a-z]{1,2}$"", """")"),"av_119")</f>
        <v>av_119</v>
      </c>
    </row>
    <row r="3242">
      <c r="A3242" s="44">
        <v>3242.0</v>
      </c>
      <c r="B3242" s="129" t="s">
        <v>285</v>
      </c>
      <c r="C3242" s="62" t="s">
        <v>115</v>
      </c>
      <c r="D3242" s="62" t="s">
        <v>1458</v>
      </c>
      <c r="F3242" s="68" t="s">
        <v>19372</v>
      </c>
      <c r="G3242" s="159" t="s">
        <v>19373</v>
      </c>
      <c r="H3242" s="159" t="s">
        <v>19319</v>
      </c>
      <c r="I3242" s="862"/>
      <c r="J3242" s="152">
        <v>45836.0</v>
      </c>
      <c r="K3242" s="159" t="s">
        <v>138</v>
      </c>
      <c r="L3242" s="68"/>
      <c r="M3242" s="159" t="s">
        <v>19374</v>
      </c>
      <c r="N3242" s="159" t="s">
        <v>19375</v>
      </c>
      <c r="O3242" s="156">
        <v>1.0</v>
      </c>
      <c r="P3242" s="382" t="s">
        <v>19376</v>
      </c>
      <c r="Q3242" s="2191" t="str">
        <f> hyperlink(vlookup(lower(N3242),'File Links'!F:G, 2, FALSE), "LINK")</f>
        <v>LINK</v>
      </c>
      <c r="R3242" s="159" t="s">
        <v>19377</v>
      </c>
      <c r="S3242" s="159" t="s">
        <v>19378</v>
      </c>
      <c r="T3242" s="159" t="s">
        <v>138</v>
      </c>
      <c r="U3242" s="156">
        <v>2.0</v>
      </c>
      <c r="V3242" s="382" t="s">
        <v>19379</v>
      </c>
      <c r="W3242" s="1228"/>
      <c r="X3242" s="1552" t="str">
        <f> hyperlink(vlookup(lower(S3242),'File Links'!F:G, 2, FALSE), "LINK")</f>
        <v>LINK</v>
      </c>
      <c r="Y3242" s="159" t="s">
        <v>138</v>
      </c>
      <c r="Z3242" s="159" t="s">
        <v>148</v>
      </c>
      <c r="AA3242" s="159" t="s">
        <v>19380</v>
      </c>
      <c r="AB3242" s="159" t="s">
        <v>19381</v>
      </c>
      <c r="AC3242" s="159" t="s">
        <v>19382</v>
      </c>
      <c r="AD3242" s="159" t="s">
        <v>19383</v>
      </c>
      <c r="AE3242" s="156">
        <v>3.0</v>
      </c>
      <c r="AF3242" s="156">
        <v>24.0</v>
      </c>
      <c r="AG3242" s="159" t="s">
        <v>19384</v>
      </c>
      <c r="AH3242" s="159" t="s">
        <v>134</v>
      </c>
      <c r="AI3242" s="159" t="s">
        <v>507</v>
      </c>
      <c r="AJ3242" s="156">
        <v>0.041</v>
      </c>
      <c r="AK3242" s="159" t="s">
        <v>172</v>
      </c>
      <c r="AL3242" s="159" t="s">
        <v>218</v>
      </c>
      <c r="AM3242" s="159" t="s">
        <v>141</v>
      </c>
      <c r="AN3242" s="680" t="s">
        <v>19385</v>
      </c>
      <c r="AO3242" s="336">
        <v>25.0</v>
      </c>
      <c r="AP3242" s="159" t="s">
        <v>19386</v>
      </c>
      <c r="AQ3242" s="159" t="s">
        <v>134</v>
      </c>
      <c r="AR3242" s="159" t="s">
        <v>8527</v>
      </c>
      <c r="AS3242" s="156">
        <v>0.726</v>
      </c>
      <c r="AT3242" s="159" t="s">
        <v>172</v>
      </c>
      <c r="AU3242" s="159" t="s">
        <v>186</v>
      </c>
      <c r="AV3242" s="159" t="s">
        <v>141</v>
      </c>
      <c r="AW3242" s="435" t="s">
        <v>19387</v>
      </c>
      <c r="AX3242" s="159" t="s">
        <v>143</v>
      </c>
      <c r="AY3242" s="61" t="str">
        <f>IFERROR(__xludf.DUMMYFUNCTION("vlookup(BB3242,importrange(""https://docs.google.com/spreadsheets/d/1d2vevQ_7D_v35q4wCQ4RpQ_IPoTwEMB9Yp6ymwlPqew/edit?gid=984458430#gid=984458430"", ""'replication success'!A:K""), 11, FAlSE)"),"#N/A")</f>
        <v>#N/A</v>
      </c>
      <c r="AZ3242" s="61" t="str">
        <f>IFERROR(__xludf.DUMMYFUNCTION("vlookup(BB3242,importrange(""https://docs.google.com/spreadsheets/d/1d2vevQ_7D_v35q4wCQ4RpQ_IPoTwEMB9Yp6ymwlPqew/edit?gid=984458430#gid=984458430"", ""'replication success'!A:M""), 12, FAlSE)"),"#N/A")</f>
        <v>#N/A</v>
      </c>
      <c r="BA3242" s="61" t="str">
        <f>IFERROR(__xludf.DUMMYFUNCTION("vlookup(BB3242,importrange(""https://docs.google.com/spreadsheets/d/1d2vevQ_7D_v35q4wCQ4RpQ_IPoTwEMB9Yp6ymwlPqew/edit?gid=984458430#gid=984458430"", ""'replication success'!A:M""), 13, FAlSE)"),"#N/A")</f>
        <v>#N/A</v>
      </c>
      <c r="BB3242" s="61" t="str">
        <f>IFERROR(__xludf.DUMMYFUNCTION("REGEXREPLACE(G3242, ""_[a-z]{1,2}$"", """")"),"av_120")</f>
        <v>av_120</v>
      </c>
    </row>
    <row r="3243">
      <c r="A3243" s="44">
        <v>3243.0</v>
      </c>
      <c r="B3243" s="129" t="s">
        <v>285</v>
      </c>
      <c r="C3243" s="62" t="s">
        <v>115</v>
      </c>
      <c r="D3243" s="62" t="s">
        <v>1458</v>
      </c>
      <c r="F3243" s="68" t="s">
        <v>19388</v>
      </c>
      <c r="G3243" s="159" t="s">
        <v>19389</v>
      </c>
      <c r="H3243" s="159" t="s">
        <v>19319</v>
      </c>
      <c r="I3243" s="862"/>
      <c r="J3243" s="152">
        <v>45837.0</v>
      </c>
      <c r="K3243" s="159" t="s">
        <v>19390</v>
      </c>
      <c r="L3243" s="68"/>
      <c r="M3243" s="159" t="s">
        <v>19391</v>
      </c>
      <c r="N3243" s="159" t="s">
        <v>3652</v>
      </c>
      <c r="O3243" s="156">
        <v>1.0</v>
      </c>
      <c r="P3243" s="382" t="s">
        <v>19392</v>
      </c>
      <c r="Q3243" s="2191" t="str">
        <f> hyperlink(vlookup(lower(N3243),'File Links'!F:G, 2, FALSE), "LINK")</f>
        <v>LINK</v>
      </c>
      <c r="R3243" s="159" t="s">
        <v>19393</v>
      </c>
      <c r="S3243" s="159" t="s">
        <v>19394</v>
      </c>
      <c r="T3243" s="159" t="s">
        <v>138</v>
      </c>
      <c r="U3243" s="156">
        <v>1.0</v>
      </c>
      <c r="V3243" s="382" t="s">
        <v>19395</v>
      </c>
      <c r="W3243" s="1228"/>
      <c r="X3243" s="1552" t="str">
        <f> hyperlink(vlookup(lower(S3243),'File Links'!F:G, 2, FALSE), "LINK")</f>
        <v>LINK</v>
      </c>
      <c r="Y3243" s="159" t="s">
        <v>138</v>
      </c>
      <c r="Z3243" s="159" t="s">
        <v>838</v>
      </c>
      <c r="AA3243" s="159" t="s">
        <v>19396</v>
      </c>
      <c r="AB3243" s="159" t="s">
        <v>19397</v>
      </c>
      <c r="AC3243" s="159" t="s">
        <v>19398</v>
      </c>
      <c r="AD3243" s="159" t="s">
        <v>19399</v>
      </c>
      <c r="AE3243" s="156">
        <v>4.0</v>
      </c>
      <c r="AF3243" s="156">
        <v>6.0</v>
      </c>
      <c r="AG3243" s="159" t="s">
        <v>19400</v>
      </c>
      <c r="AH3243" s="159" t="s">
        <v>134</v>
      </c>
      <c r="AI3243" s="159" t="s">
        <v>496</v>
      </c>
      <c r="AJ3243" s="156">
        <v>0.01</v>
      </c>
      <c r="AK3243" s="159" t="s">
        <v>135</v>
      </c>
      <c r="AL3243" s="159" t="s">
        <v>218</v>
      </c>
      <c r="AM3243" s="159" t="s">
        <v>1905</v>
      </c>
      <c r="AN3243" s="159" t="s">
        <v>138</v>
      </c>
      <c r="AO3243" s="156">
        <v>36.0</v>
      </c>
      <c r="AP3243" s="156">
        <v>0.06</v>
      </c>
      <c r="AQ3243" s="159" t="s">
        <v>173</v>
      </c>
      <c r="AR3243" s="159" t="s">
        <v>630</v>
      </c>
      <c r="AS3243" s="156">
        <v>0.37</v>
      </c>
      <c r="AT3243" s="159" t="s">
        <v>172</v>
      </c>
      <c r="AU3243" s="159" t="s">
        <v>218</v>
      </c>
      <c r="AV3243" s="159" t="s">
        <v>1905</v>
      </c>
      <c r="AW3243" s="435" t="s">
        <v>19401</v>
      </c>
      <c r="AX3243" s="159" t="s">
        <v>143</v>
      </c>
      <c r="AY3243" s="61" t="str">
        <f>IFERROR(__xludf.DUMMYFUNCTION("vlookup(BB3243,importrange(""https://docs.google.com/spreadsheets/d/1d2vevQ_7D_v35q4wCQ4RpQ_IPoTwEMB9Yp6ymwlPqew/edit?gid=984458430#gid=984458430"", ""'replication success'!A:K""), 11, FAlSE)"),"#N/A")</f>
        <v>#N/A</v>
      </c>
      <c r="AZ3243" s="61" t="str">
        <f>IFERROR(__xludf.DUMMYFUNCTION("vlookup(BB3243,importrange(""https://docs.google.com/spreadsheets/d/1d2vevQ_7D_v35q4wCQ4RpQ_IPoTwEMB9Yp6ymwlPqew/edit?gid=984458430#gid=984458430"", ""'replication success'!A:M""), 12, FAlSE)"),"#N/A")</f>
        <v>#N/A</v>
      </c>
      <c r="BA3243" s="61" t="str">
        <f>IFERROR(__xludf.DUMMYFUNCTION("vlookup(BB3243,importrange(""https://docs.google.com/spreadsheets/d/1d2vevQ_7D_v35q4wCQ4RpQ_IPoTwEMB9Yp6ymwlPqew/edit?gid=984458430#gid=984458430"", ""'replication success'!A:M""), 13, FAlSE)"),"#N/A")</f>
        <v>#N/A</v>
      </c>
      <c r="BB3243" s="61" t="str">
        <f>IFERROR(__xludf.DUMMYFUNCTION("REGEXREPLACE(G3243, ""_[a-z]{1,2}$"", """")"),"av_121")</f>
        <v>av_121</v>
      </c>
    </row>
    <row r="3244">
      <c r="A3244" s="44">
        <v>3244.0</v>
      </c>
      <c r="B3244" s="129" t="s">
        <v>285</v>
      </c>
      <c r="C3244" s="62" t="s">
        <v>115</v>
      </c>
      <c r="D3244" s="62" t="s">
        <v>1458</v>
      </c>
      <c r="F3244" s="68" t="s">
        <v>19402</v>
      </c>
      <c r="G3244" s="159" t="s">
        <v>19403</v>
      </c>
      <c r="H3244" s="159" t="s">
        <v>19319</v>
      </c>
      <c r="I3244" s="862"/>
      <c r="J3244" s="152">
        <v>45837.0</v>
      </c>
      <c r="K3244" s="159" t="s">
        <v>19404</v>
      </c>
      <c r="L3244" s="68"/>
      <c r="M3244" s="159" t="s">
        <v>19405</v>
      </c>
      <c r="N3244" s="159" t="s">
        <v>19406</v>
      </c>
      <c r="O3244" s="156">
        <v>1.0</v>
      </c>
      <c r="P3244" s="382" t="s">
        <v>19407</v>
      </c>
      <c r="Q3244" s="2191" t="str">
        <f> hyperlink(vlookup(lower(N3244),'File Links'!F:G, 2, FALSE), "LINK")</f>
        <v>LINK</v>
      </c>
      <c r="R3244" s="159" t="s">
        <v>19408</v>
      </c>
      <c r="S3244" s="159" t="s">
        <v>19409</v>
      </c>
      <c r="T3244" s="159" t="s">
        <v>138</v>
      </c>
      <c r="U3244" s="156">
        <v>3.0</v>
      </c>
      <c r="V3244" s="382" t="s">
        <v>19410</v>
      </c>
      <c r="W3244" s="1228"/>
      <c r="X3244" s="1552" t="str">
        <f> hyperlink(vlookup(lower(S3244),'File Links'!F:G, 2, FALSE), "LINK")</f>
        <v>LINK</v>
      </c>
      <c r="Y3244" s="159" t="s">
        <v>138</v>
      </c>
      <c r="Z3244" s="159" t="s">
        <v>148</v>
      </c>
      <c r="AA3244" s="159" t="s">
        <v>19411</v>
      </c>
      <c r="AB3244" s="159" t="s">
        <v>19412</v>
      </c>
      <c r="AC3244" s="159" t="s">
        <v>19413</v>
      </c>
      <c r="AD3244" s="159" t="s">
        <v>19414</v>
      </c>
      <c r="AE3244" s="156">
        <v>5.0</v>
      </c>
      <c r="AF3244" s="156">
        <v>30.0</v>
      </c>
      <c r="AG3244" s="156">
        <v>1.0</v>
      </c>
      <c r="AH3244" s="159" t="s">
        <v>874</v>
      </c>
      <c r="AI3244" s="159" t="s">
        <v>882</v>
      </c>
      <c r="AJ3244" s="156">
        <v>0.001</v>
      </c>
      <c r="AK3244" s="159" t="s">
        <v>135</v>
      </c>
      <c r="AL3244" s="159" t="s">
        <v>186</v>
      </c>
      <c r="AM3244" s="159" t="s">
        <v>141</v>
      </c>
      <c r="AN3244" s="159" t="s">
        <v>138</v>
      </c>
      <c r="AO3244" s="156">
        <v>24.0</v>
      </c>
      <c r="AP3244" s="156">
        <v>0.255</v>
      </c>
      <c r="AQ3244" s="159" t="s">
        <v>874</v>
      </c>
      <c r="AR3244" s="159" t="s">
        <v>4979</v>
      </c>
      <c r="AS3244" s="156">
        <v>0.001</v>
      </c>
      <c r="AT3244" s="159" t="s">
        <v>172</v>
      </c>
      <c r="AU3244" s="159" t="s">
        <v>186</v>
      </c>
      <c r="AV3244" s="159" t="s">
        <v>141</v>
      </c>
      <c r="AW3244" s="68" t="s">
        <v>138</v>
      </c>
      <c r="AX3244" s="159" t="s">
        <v>438</v>
      </c>
      <c r="AY3244" s="61" t="str">
        <f>IFERROR(__xludf.DUMMYFUNCTION("vlookup(BB3244,importrange(""https://docs.google.com/spreadsheets/d/1d2vevQ_7D_v35q4wCQ4RpQ_IPoTwEMB9Yp6ymwlPqew/edit?gid=984458430#gid=984458430"", ""'replication success'!A:K""), 11, FAlSE)"),"#N/A")</f>
        <v>#N/A</v>
      </c>
      <c r="AZ3244" s="61" t="str">
        <f>IFERROR(__xludf.DUMMYFUNCTION("vlookup(BB3244,importrange(""https://docs.google.com/spreadsheets/d/1d2vevQ_7D_v35q4wCQ4RpQ_IPoTwEMB9Yp6ymwlPqew/edit?gid=984458430#gid=984458430"", ""'replication success'!A:M""), 12, FAlSE)"),"#N/A")</f>
        <v>#N/A</v>
      </c>
      <c r="BA3244" s="61" t="str">
        <f>IFERROR(__xludf.DUMMYFUNCTION("vlookup(BB3244,importrange(""https://docs.google.com/spreadsheets/d/1d2vevQ_7D_v35q4wCQ4RpQ_IPoTwEMB9Yp6ymwlPqew/edit?gid=984458430#gid=984458430"", ""'replication success'!A:M""), 13, FAlSE)"),"#N/A")</f>
        <v>#N/A</v>
      </c>
      <c r="BB3244" s="61" t="str">
        <f>IFERROR(__xludf.DUMMYFUNCTION("REGEXREPLACE(G3244, ""_[a-z]{1,2}$"", """")"),"av_122")</f>
        <v>av_122</v>
      </c>
    </row>
    <row r="3245">
      <c r="A3245" s="44">
        <v>3245.0</v>
      </c>
      <c r="B3245" s="129" t="s">
        <v>285</v>
      </c>
      <c r="C3245" s="62" t="s">
        <v>115</v>
      </c>
      <c r="D3245" s="62" t="s">
        <v>1458</v>
      </c>
      <c r="F3245" s="68" t="s">
        <v>19402</v>
      </c>
      <c r="G3245" s="159" t="s">
        <v>19415</v>
      </c>
      <c r="H3245" s="159" t="s">
        <v>19319</v>
      </c>
      <c r="I3245" s="862"/>
      <c r="J3245" s="152">
        <v>45837.0</v>
      </c>
      <c r="K3245" s="159" t="s">
        <v>138</v>
      </c>
      <c r="L3245" s="68"/>
      <c r="M3245" s="159" t="s">
        <v>19405</v>
      </c>
      <c r="N3245" s="159" t="s">
        <v>19406</v>
      </c>
      <c r="O3245" s="156">
        <v>1.0</v>
      </c>
      <c r="P3245" s="382" t="s">
        <v>19407</v>
      </c>
      <c r="Q3245" s="2191" t="str">
        <f> hyperlink(vlookup(lower(N3245),'File Links'!F:G, 2, FALSE), "LINK")</f>
        <v>LINK</v>
      </c>
      <c r="R3245" s="159" t="s">
        <v>19408</v>
      </c>
      <c r="S3245" s="159" t="s">
        <v>19409</v>
      </c>
      <c r="T3245" s="159" t="s">
        <v>138</v>
      </c>
      <c r="U3245" s="156">
        <v>3.0</v>
      </c>
      <c r="V3245" s="382" t="s">
        <v>19410</v>
      </c>
      <c r="W3245" s="1228"/>
      <c r="X3245" s="1552" t="str">
        <f> hyperlink(vlookup(lower(S3245),'File Links'!F:G, 2, FALSE), "LINK")</f>
        <v>LINK</v>
      </c>
      <c r="Y3245" s="159" t="s">
        <v>138</v>
      </c>
      <c r="Z3245" s="159" t="s">
        <v>148</v>
      </c>
      <c r="AA3245" s="159" t="s">
        <v>19411</v>
      </c>
      <c r="AB3245" s="159" t="s">
        <v>19412</v>
      </c>
      <c r="AC3245" s="159" t="s">
        <v>19416</v>
      </c>
      <c r="AD3245" s="159" t="s">
        <v>19417</v>
      </c>
      <c r="AE3245" s="156">
        <v>7.0</v>
      </c>
      <c r="AF3245" s="156">
        <v>30.0</v>
      </c>
      <c r="AG3245" s="156">
        <v>0.99</v>
      </c>
      <c r="AH3245" s="159" t="s">
        <v>874</v>
      </c>
      <c r="AI3245" s="159" t="s">
        <v>4979</v>
      </c>
      <c r="AJ3245" s="156">
        <v>0.001</v>
      </c>
      <c r="AK3245" s="159" t="s">
        <v>135</v>
      </c>
      <c r="AL3245" s="159" t="s">
        <v>186</v>
      </c>
      <c r="AM3245" s="159" t="s">
        <v>141</v>
      </c>
      <c r="AN3245" s="159" t="s">
        <v>138</v>
      </c>
      <c r="AO3245" s="156">
        <v>24.0</v>
      </c>
      <c r="AP3245" s="156">
        <v>0.44</v>
      </c>
      <c r="AQ3245" s="159" t="s">
        <v>874</v>
      </c>
      <c r="AR3245" s="159" t="s">
        <v>4979</v>
      </c>
      <c r="AS3245" s="156">
        <v>0.001</v>
      </c>
      <c r="AT3245" s="159" t="s">
        <v>135</v>
      </c>
      <c r="AU3245" s="159" t="s">
        <v>186</v>
      </c>
      <c r="AV3245" s="159" t="s">
        <v>141</v>
      </c>
      <c r="AW3245" s="68" t="s">
        <v>138</v>
      </c>
      <c r="AX3245" s="159" t="s">
        <v>438</v>
      </c>
      <c r="AY3245" s="61" t="str">
        <f>IFERROR(__xludf.DUMMYFUNCTION("vlookup(BB3245,importrange(""https://docs.google.com/spreadsheets/d/1d2vevQ_7D_v35q4wCQ4RpQ_IPoTwEMB9Yp6ymwlPqew/edit?gid=984458430#gid=984458430"", ""'replication success'!A:K""), 11, FAlSE)"),"#N/A")</f>
        <v>#N/A</v>
      </c>
      <c r="AZ3245" s="61" t="str">
        <f>IFERROR(__xludf.DUMMYFUNCTION("vlookup(BB3245,importrange(""https://docs.google.com/spreadsheets/d/1d2vevQ_7D_v35q4wCQ4RpQ_IPoTwEMB9Yp6ymwlPqew/edit?gid=984458430#gid=984458430"", ""'replication success'!A:M""), 12, FAlSE)"),"#N/A")</f>
        <v>#N/A</v>
      </c>
      <c r="BA3245" s="61" t="str">
        <f>IFERROR(__xludf.DUMMYFUNCTION("vlookup(BB3245,importrange(""https://docs.google.com/spreadsheets/d/1d2vevQ_7D_v35q4wCQ4RpQ_IPoTwEMB9Yp6ymwlPqew/edit?gid=984458430#gid=984458430"", ""'replication success'!A:M""), 13, FAlSE)"),"#N/A")</f>
        <v>#N/A</v>
      </c>
      <c r="BB3245" s="61" t="str">
        <f>IFERROR(__xludf.DUMMYFUNCTION("REGEXREPLACE(G3245, ""_[a-z]{1,2}$"", """")"),"av_122")</f>
        <v>av_122</v>
      </c>
    </row>
    <row r="3246">
      <c r="A3246" s="44">
        <v>3246.0</v>
      </c>
      <c r="B3246" s="129" t="s">
        <v>285</v>
      </c>
      <c r="C3246" s="62" t="s">
        <v>115</v>
      </c>
      <c r="D3246" s="62" t="s">
        <v>1458</v>
      </c>
      <c r="F3246" s="68" t="s">
        <v>19418</v>
      </c>
      <c r="G3246" s="159" t="s">
        <v>19419</v>
      </c>
      <c r="H3246" s="159" t="s">
        <v>19319</v>
      </c>
      <c r="I3246" s="862"/>
      <c r="J3246" s="152">
        <v>45837.0</v>
      </c>
      <c r="K3246" s="159" t="s">
        <v>138</v>
      </c>
      <c r="L3246" s="68"/>
      <c r="M3246" s="159" t="s">
        <v>19420</v>
      </c>
      <c r="N3246" s="159" t="s">
        <v>19421</v>
      </c>
      <c r="O3246" s="156">
        <v>2.0</v>
      </c>
      <c r="P3246" s="382" t="s">
        <v>19422</v>
      </c>
      <c r="Q3246" s="2191" t="str">
        <f> hyperlink(vlookup(lower(N3246),'File Links'!F:G, 2, FALSE), "LINK")</f>
        <v>LINK</v>
      </c>
      <c r="R3246" s="159" t="s">
        <v>19423</v>
      </c>
      <c r="S3246" s="159" t="s">
        <v>19424</v>
      </c>
      <c r="T3246" s="68" t="s">
        <v>138</v>
      </c>
      <c r="U3246" s="336">
        <v>1.0</v>
      </c>
      <c r="V3246" s="159" t="s">
        <v>19425</v>
      </c>
      <c r="W3246" s="1228"/>
      <c r="X3246" s="1552" t="str">
        <f> hyperlink(vlookup(lower(S3246),'File Links'!F:G, 2, FALSE), "LINK")</f>
        <v>LINK</v>
      </c>
      <c r="Y3246" s="159" t="s">
        <v>138</v>
      </c>
      <c r="Z3246" s="159" t="s">
        <v>1600</v>
      </c>
      <c r="AA3246" s="159" t="s">
        <v>19426</v>
      </c>
      <c r="AB3246" s="159" t="s">
        <v>19427</v>
      </c>
      <c r="AC3246" s="159" t="s">
        <v>19428</v>
      </c>
      <c r="AD3246" s="159" t="s">
        <v>19429</v>
      </c>
      <c r="AE3246" s="156">
        <v>8.0</v>
      </c>
      <c r="AF3246" s="156">
        <v>12.0</v>
      </c>
      <c r="AG3246" s="159" t="s">
        <v>19430</v>
      </c>
      <c r="AH3246" s="159" t="s">
        <v>134</v>
      </c>
      <c r="AI3246" s="159" t="s">
        <v>624</v>
      </c>
      <c r="AJ3246" s="156">
        <v>0.01</v>
      </c>
      <c r="AK3246" s="159" t="s">
        <v>172</v>
      </c>
      <c r="AL3246" s="159" t="s">
        <v>186</v>
      </c>
      <c r="AM3246" s="159" t="s">
        <v>141</v>
      </c>
      <c r="AN3246" s="159" t="s">
        <v>138</v>
      </c>
      <c r="AO3246" s="156">
        <v>37.0</v>
      </c>
      <c r="AP3246" s="159" t="s">
        <v>19431</v>
      </c>
      <c r="AQ3246" s="159" t="s">
        <v>134</v>
      </c>
      <c r="AR3246" s="159" t="s">
        <v>496</v>
      </c>
      <c r="AS3246" s="156">
        <v>0.006</v>
      </c>
      <c r="AT3246" s="159" t="s">
        <v>172</v>
      </c>
      <c r="AU3246" s="159" t="s">
        <v>186</v>
      </c>
      <c r="AV3246" s="159" t="s">
        <v>141</v>
      </c>
      <c r="AW3246" s="68" t="s">
        <v>138</v>
      </c>
      <c r="AX3246" s="159" t="s">
        <v>143</v>
      </c>
      <c r="AY3246" s="61" t="str">
        <f>IFERROR(__xludf.DUMMYFUNCTION("vlookup(BB3246,importrange(""https://docs.google.com/spreadsheets/d/1d2vevQ_7D_v35q4wCQ4RpQ_IPoTwEMB9Yp6ymwlPqew/edit?gid=984458430#gid=984458430"", ""'replication success'!A:K""), 11, FAlSE)"),"#N/A")</f>
        <v>#N/A</v>
      </c>
      <c r="AZ3246" s="61" t="str">
        <f>IFERROR(__xludf.DUMMYFUNCTION("vlookup(BB3246,importrange(""https://docs.google.com/spreadsheets/d/1d2vevQ_7D_v35q4wCQ4RpQ_IPoTwEMB9Yp6ymwlPqew/edit?gid=984458430#gid=984458430"", ""'replication success'!A:M""), 12, FAlSE)"),"#N/A")</f>
        <v>#N/A</v>
      </c>
      <c r="BA3246" s="61" t="str">
        <f>IFERROR(__xludf.DUMMYFUNCTION("vlookup(BB3246,importrange(""https://docs.google.com/spreadsheets/d/1d2vevQ_7D_v35q4wCQ4RpQ_IPoTwEMB9Yp6ymwlPqew/edit?gid=984458430#gid=984458430"", ""'replication success'!A:M""), 13, FAlSE)"),"#N/A")</f>
        <v>#N/A</v>
      </c>
      <c r="BB3246" s="61" t="str">
        <f>IFERROR(__xludf.DUMMYFUNCTION("REGEXREPLACE(G3246, ""_[a-z]{1,2}$"", """")"),"av_123")</f>
        <v>av_123</v>
      </c>
    </row>
    <row r="3247">
      <c r="A3247" s="44">
        <v>3247.0</v>
      </c>
      <c r="B3247" s="129" t="s">
        <v>285</v>
      </c>
      <c r="C3247" s="62" t="s">
        <v>115</v>
      </c>
      <c r="D3247" s="62" t="s">
        <v>1458</v>
      </c>
      <c r="F3247" s="68" t="s">
        <v>19432</v>
      </c>
      <c r="G3247" s="159" t="s">
        <v>19433</v>
      </c>
      <c r="H3247" s="159" t="s">
        <v>19319</v>
      </c>
      <c r="I3247" s="862"/>
      <c r="J3247" s="152">
        <v>45837.0</v>
      </c>
      <c r="K3247" s="159" t="s">
        <v>19434</v>
      </c>
      <c r="L3247" s="68"/>
      <c r="M3247" s="159" t="s">
        <v>19435</v>
      </c>
      <c r="N3247" s="159" t="s">
        <v>19436</v>
      </c>
      <c r="O3247" s="156">
        <v>2.0</v>
      </c>
      <c r="P3247" s="382" t="s">
        <v>19437</v>
      </c>
      <c r="Q3247" s="2191" t="str">
        <f> hyperlink(vlookup(lower(N3247),'File Links'!F:G, 2, FALSE), "LINK")</f>
        <v>LINK</v>
      </c>
      <c r="R3247" s="159" t="s">
        <v>19438</v>
      </c>
      <c r="S3247" s="159" t="s">
        <v>19439</v>
      </c>
      <c r="T3247" s="159" t="s">
        <v>138</v>
      </c>
      <c r="U3247" s="156">
        <v>1.0</v>
      </c>
      <c r="V3247" s="382" t="s">
        <v>19440</v>
      </c>
      <c r="W3247" s="1228"/>
      <c r="X3247" s="1552" t="str">
        <f> hyperlink(vlookup(lower(S3247),'File Links'!F:G, 2, FALSE), "LINK")</f>
        <v>LINK</v>
      </c>
      <c r="Y3247" s="159" t="s">
        <v>138</v>
      </c>
      <c r="Z3247" s="159" t="s">
        <v>210</v>
      </c>
      <c r="AA3247" s="159" t="s">
        <v>19441</v>
      </c>
      <c r="AB3247" s="159" t="s">
        <v>19442</v>
      </c>
      <c r="AC3247" s="68" t="s">
        <v>19443</v>
      </c>
      <c r="AD3247" s="159" t="s">
        <v>19444</v>
      </c>
      <c r="AE3247" s="159" t="s">
        <v>6146</v>
      </c>
      <c r="AF3247" s="156">
        <v>328.0</v>
      </c>
      <c r="AG3247" s="156">
        <v>-0.52</v>
      </c>
      <c r="AH3247" s="159" t="s">
        <v>215</v>
      </c>
      <c r="AI3247" s="159" t="s">
        <v>4979</v>
      </c>
      <c r="AJ3247" s="156">
        <v>0.001</v>
      </c>
      <c r="AK3247" s="159" t="s">
        <v>135</v>
      </c>
      <c r="AL3247" s="159" t="s">
        <v>186</v>
      </c>
      <c r="AM3247" s="159" t="s">
        <v>141</v>
      </c>
      <c r="AN3247" s="159" t="s">
        <v>138</v>
      </c>
      <c r="AO3247" s="156">
        <v>1219.0</v>
      </c>
      <c r="AP3247" s="156">
        <v>-0.17</v>
      </c>
      <c r="AQ3247" s="159" t="s">
        <v>215</v>
      </c>
      <c r="AR3247" s="159" t="s">
        <v>507</v>
      </c>
      <c r="AS3247" s="156">
        <v>0.001</v>
      </c>
      <c r="AT3247" s="159" t="s">
        <v>2249</v>
      </c>
      <c r="AU3247" s="159" t="s">
        <v>136</v>
      </c>
      <c r="AV3247" s="159" t="s">
        <v>141</v>
      </c>
      <c r="AW3247" s="68" t="s">
        <v>138</v>
      </c>
      <c r="AX3247" s="159" t="s">
        <v>143</v>
      </c>
      <c r="AY3247" s="61" t="str">
        <f>IFERROR(__xludf.DUMMYFUNCTION("vlookup(BB3247,importrange(""https://docs.google.com/spreadsheets/d/1d2vevQ_7D_v35q4wCQ4RpQ_IPoTwEMB9Yp6ymwlPqew/edit?gid=984458430#gid=984458430"", ""'replication success'!A:K""), 11, FAlSE)"),"#N/A")</f>
        <v>#N/A</v>
      </c>
      <c r="AZ3247" s="61" t="str">
        <f>IFERROR(__xludf.DUMMYFUNCTION("vlookup(BB3247,importrange(""https://docs.google.com/spreadsheets/d/1d2vevQ_7D_v35q4wCQ4RpQ_IPoTwEMB9Yp6ymwlPqew/edit?gid=984458430#gid=984458430"", ""'replication success'!A:M""), 12, FAlSE)"),"#N/A")</f>
        <v>#N/A</v>
      </c>
      <c r="BA3247" s="61" t="str">
        <f>IFERROR(__xludf.DUMMYFUNCTION("vlookup(BB3247,importrange(""https://docs.google.com/spreadsheets/d/1d2vevQ_7D_v35q4wCQ4RpQ_IPoTwEMB9Yp6ymwlPqew/edit?gid=984458430#gid=984458430"", ""'replication success'!A:M""), 13, FAlSE)"),"#N/A")</f>
        <v>#N/A</v>
      </c>
      <c r="BB3247" s="61" t="str">
        <f>IFERROR(__xludf.DUMMYFUNCTION("REGEXREPLACE(G3247, ""_[a-z]{1,2}$"", """")"),"av_124")</f>
        <v>av_124</v>
      </c>
    </row>
    <row r="3248">
      <c r="A3248" s="44">
        <v>3248.0</v>
      </c>
      <c r="B3248" s="129" t="s">
        <v>285</v>
      </c>
      <c r="C3248" s="62" t="s">
        <v>115</v>
      </c>
      <c r="D3248" s="62" t="s">
        <v>1458</v>
      </c>
      <c r="F3248" s="68" t="s">
        <v>19445</v>
      </c>
      <c r="G3248" s="159" t="s">
        <v>19446</v>
      </c>
      <c r="H3248" s="159" t="s">
        <v>19319</v>
      </c>
      <c r="I3248" s="862"/>
      <c r="J3248" s="152">
        <v>45837.0</v>
      </c>
      <c r="K3248" s="159" t="s">
        <v>138</v>
      </c>
      <c r="L3248" s="68"/>
      <c r="M3248" s="159" t="s">
        <v>19447</v>
      </c>
      <c r="N3248" s="159" t="s">
        <v>19448</v>
      </c>
      <c r="O3248" s="156">
        <v>1.0</v>
      </c>
      <c r="P3248" s="382" t="s">
        <v>19449</v>
      </c>
      <c r="Q3248" s="2191" t="str">
        <f> hyperlink(vlookup(lower(N3248),'File Links'!F:G, 2, FALSE), "LINK")</f>
        <v>LINK</v>
      </c>
      <c r="R3248" s="159" t="s">
        <v>19450</v>
      </c>
      <c r="S3248" s="159" t="s">
        <v>19451</v>
      </c>
      <c r="T3248" s="159" t="s">
        <v>138</v>
      </c>
      <c r="U3248" s="156">
        <v>1.0</v>
      </c>
      <c r="V3248" s="382" t="s">
        <v>19452</v>
      </c>
      <c r="W3248" s="1228"/>
      <c r="X3248" s="1552" t="str">
        <f> hyperlink(vlookup(lower(S3248),'File Links'!F:G, 2, FALSE), "LINK")</f>
        <v>LINK</v>
      </c>
      <c r="Y3248" s="159" t="s">
        <v>138</v>
      </c>
      <c r="Z3248" s="159" t="s">
        <v>148</v>
      </c>
      <c r="AA3248" s="159" t="s">
        <v>19453</v>
      </c>
      <c r="AB3248" s="159" t="s">
        <v>19454</v>
      </c>
      <c r="AC3248" s="159" t="s">
        <v>19455</v>
      </c>
      <c r="AD3248" s="159" t="s">
        <v>19456</v>
      </c>
      <c r="AE3248" s="156">
        <v>4.0</v>
      </c>
      <c r="AF3248" s="156">
        <v>20.0</v>
      </c>
      <c r="AG3248" s="159" t="s">
        <v>19457</v>
      </c>
      <c r="AH3248" s="159" t="s">
        <v>134</v>
      </c>
      <c r="AI3248" s="159" t="s">
        <v>496</v>
      </c>
      <c r="AJ3248" s="156">
        <v>0.005</v>
      </c>
      <c r="AK3248" s="159" t="s">
        <v>135</v>
      </c>
      <c r="AL3248" s="159" t="s">
        <v>186</v>
      </c>
      <c r="AM3248" s="159" t="s">
        <v>141</v>
      </c>
      <c r="AN3248" s="159" t="s">
        <v>138</v>
      </c>
      <c r="AO3248" s="156">
        <v>119.0</v>
      </c>
      <c r="AP3248" s="159" t="s">
        <v>19458</v>
      </c>
      <c r="AQ3248" s="159" t="s">
        <v>134</v>
      </c>
      <c r="AR3248" s="159" t="s">
        <v>507</v>
      </c>
      <c r="AS3248" s="156">
        <v>0.025</v>
      </c>
      <c r="AT3248" s="159" t="s">
        <v>172</v>
      </c>
      <c r="AU3248" s="159" t="s">
        <v>186</v>
      </c>
      <c r="AV3248" s="159" t="s">
        <v>141</v>
      </c>
      <c r="AW3248" s="68" t="s">
        <v>138</v>
      </c>
      <c r="AX3248" s="159" t="s">
        <v>438</v>
      </c>
      <c r="AY3248" s="61" t="str">
        <f>IFERROR(__xludf.DUMMYFUNCTION("vlookup(BB3248,importrange(""https://docs.google.com/spreadsheets/d/1d2vevQ_7D_v35q4wCQ4RpQ_IPoTwEMB9Yp6ymwlPqew/edit?gid=984458430#gid=984458430"", ""'replication success'!A:K""), 11, FAlSE)"),"#N/A")</f>
        <v>#N/A</v>
      </c>
      <c r="AZ3248" s="61" t="str">
        <f>IFERROR(__xludf.DUMMYFUNCTION("vlookup(BB3248,importrange(""https://docs.google.com/spreadsheets/d/1d2vevQ_7D_v35q4wCQ4RpQ_IPoTwEMB9Yp6ymwlPqew/edit?gid=984458430#gid=984458430"", ""'replication success'!A:M""), 12, FAlSE)"),"#N/A")</f>
        <v>#N/A</v>
      </c>
      <c r="BA3248" s="61" t="str">
        <f>IFERROR(__xludf.DUMMYFUNCTION("vlookup(BB3248,importrange(""https://docs.google.com/spreadsheets/d/1d2vevQ_7D_v35q4wCQ4RpQ_IPoTwEMB9Yp6ymwlPqew/edit?gid=984458430#gid=984458430"", ""'replication success'!A:M""), 13, FAlSE)"),"#N/A")</f>
        <v>#N/A</v>
      </c>
      <c r="BB3248" s="61" t="str">
        <f>IFERROR(__xludf.DUMMYFUNCTION("REGEXREPLACE(G3248, ""_[a-z]{1,2}$"", """")"),"av_125")</f>
        <v>av_125</v>
      </c>
    </row>
    <row r="3249">
      <c r="A3249" s="44">
        <v>3249.0</v>
      </c>
      <c r="B3249" s="129" t="s">
        <v>285</v>
      </c>
      <c r="C3249" s="62" t="s">
        <v>115</v>
      </c>
      <c r="D3249" s="62" t="s">
        <v>1458</v>
      </c>
      <c r="F3249" s="68" t="s">
        <v>19459</v>
      </c>
      <c r="G3249" s="159" t="s">
        <v>19460</v>
      </c>
      <c r="H3249" s="159" t="s">
        <v>19319</v>
      </c>
      <c r="I3249" s="862"/>
      <c r="J3249" s="152">
        <v>45838.0</v>
      </c>
      <c r="K3249" s="159" t="s">
        <v>19461</v>
      </c>
      <c r="L3249" s="68"/>
      <c r="M3249" s="159" t="s">
        <v>19462</v>
      </c>
      <c r="N3249" s="159" t="s">
        <v>19463</v>
      </c>
      <c r="O3249" s="156">
        <v>1.0</v>
      </c>
      <c r="P3249" s="382" t="s">
        <v>19464</v>
      </c>
      <c r="Q3249" s="2191" t="str">
        <f> hyperlink(vlookup(lower(N3249),'File Links'!F:G, 2, FALSE), "LINK")</f>
        <v>LINK</v>
      </c>
      <c r="R3249" s="159" t="s">
        <v>19465</v>
      </c>
      <c r="S3249" s="159" t="s">
        <v>19466</v>
      </c>
      <c r="T3249" s="159" t="s">
        <v>138</v>
      </c>
      <c r="U3249" s="156">
        <v>1.0</v>
      </c>
      <c r="V3249" s="382" t="s">
        <v>19467</v>
      </c>
      <c r="W3249" s="1228"/>
      <c r="X3249" s="1552" t="str">
        <f> hyperlink(vlookup(lower(S3249),'File Links'!F:G, 2, FALSE), "LINK")</f>
        <v>LINK</v>
      </c>
      <c r="Y3249" s="159" t="s">
        <v>138</v>
      </c>
      <c r="Z3249" s="159" t="s">
        <v>148</v>
      </c>
      <c r="AA3249" s="159" t="s">
        <v>19468</v>
      </c>
      <c r="AB3249" s="159" t="s">
        <v>19469</v>
      </c>
      <c r="AC3249" s="159" t="s">
        <v>19470</v>
      </c>
      <c r="AD3249" s="159" t="s">
        <v>19471</v>
      </c>
      <c r="AE3249" s="156">
        <v>6.0</v>
      </c>
      <c r="AF3249" s="156">
        <v>30.0</v>
      </c>
      <c r="AG3249" s="159" t="s">
        <v>19472</v>
      </c>
      <c r="AH3249" s="159" t="s">
        <v>134</v>
      </c>
      <c r="AI3249" s="159" t="s">
        <v>1042</v>
      </c>
      <c r="AJ3249" s="156">
        <v>1.0E-4</v>
      </c>
      <c r="AK3249" s="159" t="s">
        <v>135</v>
      </c>
      <c r="AL3249" s="159" t="s">
        <v>186</v>
      </c>
      <c r="AM3249" s="159" t="s">
        <v>141</v>
      </c>
      <c r="AN3249" s="159" t="s">
        <v>138</v>
      </c>
      <c r="AO3249" s="156">
        <v>56.0</v>
      </c>
      <c r="AP3249" s="156">
        <v>0.23</v>
      </c>
      <c r="AQ3249" s="159" t="s">
        <v>874</v>
      </c>
      <c r="AR3249" s="159" t="s">
        <v>496</v>
      </c>
      <c r="AS3249" s="156">
        <v>0.001</v>
      </c>
      <c r="AT3249" s="159" t="s">
        <v>135</v>
      </c>
      <c r="AU3249" s="159" t="s">
        <v>186</v>
      </c>
      <c r="AV3249" s="159" t="s">
        <v>141</v>
      </c>
      <c r="AW3249" s="68" t="s">
        <v>138</v>
      </c>
      <c r="AX3249" s="159" t="s">
        <v>143</v>
      </c>
      <c r="AY3249" s="61" t="str">
        <f>IFERROR(__xludf.DUMMYFUNCTION("vlookup(BB3249,importrange(""https://docs.google.com/spreadsheets/d/1d2vevQ_7D_v35q4wCQ4RpQ_IPoTwEMB9Yp6ymwlPqew/edit?gid=984458430#gid=984458430"", ""'replication success'!A:K""), 11, FAlSE)"),"#N/A")</f>
        <v>#N/A</v>
      </c>
      <c r="AZ3249" s="61" t="str">
        <f>IFERROR(__xludf.DUMMYFUNCTION("vlookup(BB3249,importrange(""https://docs.google.com/spreadsheets/d/1d2vevQ_7D_v35q4wCQ4RpQ_IPoTwEMB9Yp6ymwlPqew/edit?gid=984458430#gid=984458430"", ""'replication success'!A:M""), 12, FAlSE)"),"#N/A")</f>
        <v>#N/A</v>
      </c>
      <c r="BA3249" s="61" t="str">
        <f>IFERROR(__xludf.DUMMYFUNCTION("vlookup(BB3249,importrange(""https://docs.google.com/spreadsheets/d/1d2vevQ_7D_v35q4wCQ4RpQ_IPoTwEMB9Yp6ymwlPqew/edit?gid=984458430#gid=984458430"", ""'replication success'!A:M""), 13, FAlSE)"),"#N/A")</f>
        <v>#N/A</v>
      </c>
      <c r="BB3249" s="61" t="str">
        <f>IFERROR(__xludf.DUMMYFUNCTION("REGEXREPLACE(G3249, ""_[a-z]{1,2}$"", """")"),"av_126")</f>
        <v>av_126</v>
      </c>
    </row>
    <row r="3250">
      <c r="A3250" s="44">
        <v>3250.0</v>
      </c>
      <c r="B3250" s="129" t="s">
        <v>285</v>
      </c>
      <c r="C3250" s="62" t="s">
        <v>115</v>
      </c>
      <c r="D3250" s="62" t="s">
        <v>1458</v>
      </c>
      <c r="F3250" s="68" t="s">
        <v>19473</v>
      </c>
      <c r="G3250" s="159" t="s">
        <v>19474</v>
      </c>
      <c r="H3250" s="159" t="s">
        <v>19319</v>
      </c>
      <c r="I3250" s="862"/>
      <c r="J3250" s="152">
        <v>45839.0</v>
      </c>
      <c r="K3250" s="159" t="s">
        <v>19338</v>
      </c>
      <c r="L3250" s="68"/>
      <c r="M3250" s="159" t="s">
        <v>19475</v>
      </c>
      <c r="N3250" s="159" t="s">
        <v>19476</v>
      </c>
      <c r="O3250" s="156">
        <v>1.0</v>
      </c>
      <c r="P3250" s="382" t="s">
        <v>19477</v>
      </c>
      <c r="Q3250" s="2191" t="str">
        <f> hyperlink(vlookup(lower(N3250),'File Links'!F:G, 2, FALSE), "LINK")</f>
        <v>LINK</v>
      </c>
      <c r="R3250" s="159" t="s">
        <v>19478</v>
      </c>
      <c r="S3250" s="159" t="s">
        <v>19479</v>
      </c>
      <c r="T3250" s="159" t="s">
        <v>138</v>
      </c>
      <c r="U3250" s="156">
        <v>1.0</v>
      </c>
      <c r="V3250" s="382" t="s">
        <v>19480</v>
      </c>
      <c r="W3250" s="1228"/>
      <c r="X3250" s="1552" t="str">
        <f> hyperlink(vlookup(lower(S3250),'File Links'!F:G, 2, FALSE), "LINK")</f>
        <v>LINK</v>
      </c>
      <c r="Y3250" s="159" t="s">
        <v>138</v>
      </c>
      <c r="Z3250" s="159" t="s">
        <v>148</v>
      </c>
      <c r="AA3250" s="159" t="s">
        <v>19481</v>
      </c>
      <c r="AB3250" s="159" t="s">
        <v>19482</v>
      </c>
      <c r="AC3250" s="159" t="s">
        <v>19483</v>
      </c>
      <c r="AD3250" s="159" t="s">
        <v>19484</v>
      </c>
      <c r="AE3250" s="156">
        <v>2.0</v>
      </c>
      <c r="AF3250" s="156">
        <v>18.0</v>
      </c>
      <c r="AG3250" s="156">
        <v>0.49</v>
      </c>
      <c r="AH3250" s="159" t="s">
        <v>874</v>
      </c>
      <c r="AI3250" s="159" t="s">
        <v>2771</v>
      </c>
      <c r="AJ3250" s="156">
        <v>0.001</v>
      </c>
      <c r="AK3250" s="159" t="s">
        <v>135</v>
      </c>
      <c r="AL3250" s="159" t="s">
        <v>186</v>
      </c>
      <c r="AM3250" s="159" t="s">
        <v>141</v>
      </c>
      <c r="AN3250" s="159" t="s">
        <v>138</v>
      </c>
      <c r="AO3250" s="156">
        <v>85.0</v>
      </c>
      <c r="AP3250" s="156">
        <v>0.3</v>
      </c>
      <c r="AQ3250" s="159" t="s">
        <v>874</v>
      </c>
      <c r="AR3250" s="159" t="s">
        <v>496</v>
      </c>
      <c r="AS3250" s="156">
        <v>0.001</v>
      </c>
      <c r="AT3250" s="159" t="s">
        <v>135</v>
      </c>
      <c r="AU3250" s="159" t="s">
        <v>186</v>
      </c>
      <c r="AV3250" s="159" t="s">
        <v>141</v>
      </c>
      <c r="AW3250" s="68" t="s">
        <v>138</v>
      </c>
      <c r="AX3250" s="159" t="s">
        <v>143</v>
      </c>
      <c r="AY3250" s="61" t="str">
        <f>IFERROR(__xludf.DUMMYFUNCTION("vlookup(BB3250,importrange(""https://docs.google.com/spreadsheets/d/1d2vevQ_7D_v35q4wCQ4RpQ_IPoTwEMB9Yp6ymwlPqew/edit?gid=984458430#gid=984458430"", ""'replication success'!A:K""), 11, FAlSE)"),"#N/A")</f>
        <v>#N/A</v>
      </c>
      <c r="AZ3250" s="61" t="str">
        <f>IFERROR(__xludf.DUMMYFUNCTION("vlookup(BB3250,importrange(""https://docs.google.com/spreadsheets/d/1d2vevQ_7D_v35q4wCQ4RpQ_IPoTwEMB9Yp6ymwlPqew/edit?gid=984458430#gid=984458430"", ""'replication success'!A:M""), 12, FAlSE)"),"#N/A")</f>
        <v>#N/A</v>
      </c>
      <c r="BA3250" s="61" t="str">
        <f>IFERROR(__xludf.DUMMYFUNCTION("vlookup(BB3250,importrange(""https://docs.google.com/spreadsheets/d/1d2vevQ_7D_v35q4wCQ4RpQ_IPoTwEMB9Yp6ymwlPqew/edit?gid=984458430#gid=984458430"", ""'replication success'!A:M""), 13, FAlSE)"),"#N/A")</f>
        <v>#N/A</v>
      </c>
      <c r="BB3250" s="61" t="str">
        <f>IFERROR(__xludf.DUMMYFUNCTION("REGEXREPLACE(G3250, ""_[a-z]{1,2}$"", """")"),"av_127")</f>
        <v>av_127</v>
      </c>
    </row>
    <row r="3251">
      <c r="A3251" s="44">
        <v>3251.0</v>
      </c>
      <c r="B3251" s="129" t="s">
        <v>285</v>
      </c>
      <c r="C3251" s="62" t="s">
        <v>115</v>
      </c>
      <c r="D3251" s="62" t="s">
        <v>1458</v>
      </c>
      <c r="F3251" s="68" t="s">
        <v>19473</v>
      </c>
      <c r="G3251" s="159" t="s">
        <v>19485</v>
      </c>
      <c r="H3251" s="159" t="s">
        <v>19319</v>
      </c>
      <c r="I3251" s="862"/>
      <c r="J3251" s="152">
        <v>45839.0</v>
      </c>
      <c r="K3251" s="159" t="s">
        <v>19350</v>
      </c>
      <c r="L3251" s="68"/>
      <c r="M3251" s="159" t="s">
        <v>19475</v>
      </c>
      <c r="N3251" s="159" t="s">
        <v>19476</v>
      </c>
      <c r="O3251" s="156">
        <v>1.0</v>
      </c>
      <c r="P3251" s="382" t="s">
        <v>19477</v>
      </c>
      <c r="Q3251" s="2191" t="str">
        <f> hyperlink(vlookup(lower(N3251),'File Links'!F:G, 2, FALSE), "LINK")</f>
        <v>LINK</v>
      </c>
      <c r="R3251" s="159" t="s">
        <v>19478</v>
      </c>
      <c r="S3251" s="159" t="s">
        <v>19479</v>
      </c>
      <c r="T3251" s="159" t="s">
        <v>138</v>
      </c>
      <c r="U3251" s="156">
        <v>1.0</v>
      </c>
      <c r="V3251" s="382" t="s">
        <v>19480</v>
      </c>
      <c r="W3251" s="1228"/>
      <c r="X3251" s="1552" t="str">
        <f> hyperlink(vlookup(lower(S3251),'File Links'!F:G, 2, FALSE), "LINK")</f>
        <v>LINK</v>
      </c>
      <c r="Y3251" s="159" t="s">
        <v>138</v>
      </c>
      <c r="Z3251" s="159" t="s">
        <v>148</v>
      </c>
      <c r="AA3251" s="159" t="s">
        <v>19481</v>
      </c>
      <c r="AB3251" s="159" t="s">
        <v>19482</v>
      </c>
      <c r="AC3251" s="68" t="s">
        <v>19486</v>
      </c>
      <c r="AD3251" s="159" t="s">
        <v>19487</v>
      </c>
      <c r="AE3251" s="156">
        <v>2.0</v>
      </c>
      <c r="AF3251" s="156">
        <v>18.0</v>
      </c>
      <c r="AG3251" s="156">
        <v>0.52</v>
      </c>
      <c r="AH3251" s="159" t="s">
        <v>173</v>
      </c>
      <c r="AI3251" s="159" t="s">
        <v>2771</v>
      </c>
      <c r="AJ3251" s="156">
        <v>0.046</v>
      </c>
      <c r="AK3251" s="159" t="s">
        <v>172</v>
      </c>
      <c r="AL3251" s="159" t="s">
        <v>186</v>
      </c>
      <c r="AM3251" s="159" t="s">
        <v>137</v>
      </c>
      <c r="AN3251" s="159" t="s">
        <v>138</v>
      </c>
      <c r="AO3251" s="156">
        <v>85.0</v>
      </c>
      <c r="AP3251" s="156">
        <v>0.54</v>
      </c>
      <c r="AQ3251" s="159" t="s">
        <v>173</v>
      </c>
      <c r="AR3251" s="159" t="s">
        <v>496</v>
      </c>
      <c r="AS3251" s="156">
        <v>0.001</v>
      </c>
      <c r="AT3251" s="159" t="s">
        <v>172</v>
      </c>
      <c r="AU3251" s="159" t="s">
        <v>186</v>
      </c>
      <c r="AV3251" s="159" t="s">
        <v>137</v>
      </c>
      <c r="AW3251" s="68" t="s">
        <v>138</v>
      </c>
      <c r="AX3251" s="159" t="s">
        <v>143</v>
      </c>
      <c r="AY3251" s="61" t="str">
        <f>IFERROR(__xludf.DUMMYFUNCTION("vlookup(BB3251,importrange(""https://docs.google.com/spreadsheets/d/1d2vevQ_7D_v35q4wCQ4RpQ_IPoTwEMB9Yp6ymwlPqew/edit?gid=984458430#gid=984458430"", ""'replication success'!A:K""), 11, FAlSE)"),"#N/A")</f>
        <v>#N/A</v>
      </c>
      <c r="AZ3251" s="61" t="str">
        <f>IFERROR(__xludf.DUMMYFUNCTION("vlookup(BB3251,importrange(""https://docs.google.com/spreadsheets/d/1d2vevQ_7D_v35q4wCQ4RpQ_IPoTwEMB9Yp6ymwlPqew/edit?gid=984458430#gid=984458430"", ""'replication success'!A:M""), 12, FAlSE)"),"#N/A")</f>
        <v>#N/A</v>
      </c>
      <c r="BA3251" s="61" t="str">
        <f>IFERROR(__xludf.DUMMYFUNCTION("vlookup(BB3251,importrange(""https://docs.google.com/spreadsheets/d/1d2vevQ_7D_v35q4wCQ4RpQ_IPoTwEMB9Yp6ymwlPqew/edit?gid=984458430#gid=984458430"", ""'replication success'!A:M""), 13, FAlSE)"),"#N/A")</f>
        <v>#N/A</v>
      </c>
      <c r="BB3251" s="61" t="str">
        <f>IFERROR(__xludf.DUMMYFUNCTION("REGEXREPLACE(G3251, ""_[a-z]{1,2}$"", """")"),"av_127")</f>
        <v>av_127</v>
      </c>
    </row>
    <row r="3252">
      <c r="A3252" s="44">
        <v>3252.0</v>
      </c>
      <c r="B3252" s="129" t="s">
        <v>285</v>
      </c>
      <c r="C3252" s="62" t="s">
        <v>115</v>
      </c>
      <c r="D3252" s="62" t="s">
        <v>1458</v>
      </c>
      <c r="F3252" s="68" t="s">
        <v>19473</v>
      </c>
      <c r="G3252" s="159" t="s">
        <v>19488</v>
      </c>
      <c r="H3252" s="159" t="s">
        <v>19319</v>
      </c>
      <c r="I3252" s="862"/>
      <c r="J3252" s="152">
        <v>45839.0</v>
      </c>
      <c r="K3252" s="159" t="s">
        <v>19350</v>
      </c>
      <c r="L3252" s="68"/>
      <c r="M3252" s="159" t="s">
        <v>19475</v>
      </c>
      <c r="N3252" s="159" t="s">
        <v>19476</v>
      </c>
      <c r="O3252" s="156">
        <v>1.0</v>
      </c>
      <c r="P3252" s="382" t="s">
        <v>19477</v>
      </c>
      <c r="Q3252" s="2191" t="str">
        <f> hyperlink(vlookup(lower(N3252),'File Links'!F:G, 2, FALSE), "LINK")</f>
        <v>LINK</v>
      </c>
      <c r="R3252" s="159" t="s">
        <v>19478</v>
      </c>
      <c r="S3252" s="159" t="s">
        <v>19479</v>
      </c>
      <c r="T3252" s="159" t="s">
        <v>138</v>
      </c>
      <c r="U3252" s="156">
        <v>1.0</v>
      </c>
      <c r="V3252" s="382" t="s">
        <v>19480</v>
      </c>
      <c r="W3252" s="1228"/>
      <c r="X3252" s="1552" t="str">
        <f> hyperlink(vlookup(lower(S3252),'File Links'!F:G, 2, FALSE), "LINK")</f>
        <v>LINK</v>
      </c>
      <c r="Y3252" s="159" t="s">
        <v>138</v>
      </c>
      <c r="Z3252" s="159" t="s">
        <v>148</v>
      </c>
      <c r="AA3252" s="159" t="s">
        <v>19481</v>
      </c>
      <c r="AB3252" s="159" t="s">
        <v>19482</v>
      </c>
      <c r="AC3252" s="159" t="s">
        <v>19489</v>
      </c>
      <c r="AD3252" s="159" t="s">
        <v>19490</v>
      </c>
      <c r="AE3252" s="156">
        <v>2.0</v>
      </c>
      <c r="AF3252" s="156">
        <v>18.0</v>
      </c>
      <c r="AG3252" s="156">
        <v>0.95</v>
      </c>
      <c r="AH3252" s="159" t="s">
        <v>173</v>
      </c>
      <c r="AI3252" s="159" t="s">
        <v>2771</v>
      </c>
      <c r="AJ3252" s="156">
        <v>0.001</v>
      </c>
      <c r="AK3252" s="159" t="s">
        <v>172</v>
      </c>
      <c r="AL3252" s="159" t="s">
        <v>186</v>
      </c>
      <c r="AM3252" s="159" t="s">
        <v>137</v>
      </c>
      <c r="AN3252" s="159" t="s">
        <v>138</v>
      </c>
      <c r="AO3252" s="156">
        <v>85.0</v>
      </c>
      <c r="AP3252" s="156">
        <v>0.49</v>
      </c>
      <c r="AQ3252" s="159" t="s">
        <v>173</v>
      </c>
      <c r="AR3252" s="159" t="s">
        <v>496</v>
      </c>
      <c r="AS3252" s="156">
        <v>0.001</v>
      </c>
      <c r="AT3252" s="159" t="s">
        <v>135</v>
      </c>
      <c r="AU3252" s="159" t="s">
        <v>186</v>
      </c>
      <c r="AV3252" s="159" t="s">
        <v>137</v>
      </c>
      <c r="AW3252" s="68" t="s">
        <v>138</v>
      </c>
      <c r="AX3252" s="159" t="s">
        <v>143</v>
      </c>
      <c r="AY3252" s="61" t="str">
        <f>IFERROR(__xludf.DUMMYFUNCTION("vlookup(BB3252,importrange(""https://docs.google.com/spreadsheets/d/1d2vevQ_7D_v35q4wCQ4RpQ_IPoTwEMB9Yp6ymwlPqew/edit?gid=984458430#gid=984458430"", ""'replication success'!A:K""), 11, FAlSE)"),"#N/A")</f>
        <v>#N/A</v>
      </c>
      <c r="AZ3252" s="61" t="str">
        <f>IFERROR(__xludf.DUMMYFUNCTION("vlookup(BB3252,importrange(""https://docs.google.com/spreadsheets/d/1d2vevQ_7D_v35q4wCQ4RpQ_IPoTwEMB9Yp6ymwlPqew/edit?gid=984458430#gid=984458430"", ""'replication success'!A:M""), 12, FAlSE)"),"#N/A")</f>
        <v>#N/A</v>
      </c>
      <c r="BA3252" s="61" t="str">
        <f>IFERROR(__xludf.DUMMYFUNCTION("vlookup(BB3252,importrange(""https://docs.google.com/spreadsheets/d/1d2vevQ_7D_v35q4wCQ4RpQ_IPoTwEMB9Yp6ymwlPqew/edit?gid=984458430#gid=984458430"", ""'replication success'!A:M""), 13, FAlSE)"),"#N/A")</f>
        <v>#N/A</v>
      </c>
      <c r="BB3252" s="61" t="str">
        <f>IFERROR(__xludf.DUMMYFUNCTION("REGEXREPLACE(G3252, ""_[a-z]{1,2}$"", """")"),"av_127")</f>
        <v>av_127</v>
      </c>
    </row>
    <row r="3253">
      <c r="A3253" s="44">
        <v>3253.0</v>
      </c>
      <c r="B3253" s="129" t="s">
        <v>285</v>
      </c>
      <c r="C3253" s="62" t="s">
        <v>115</v>
      </c>
      <c r="D3253" s="62" t="s">
        <v>1458</v>
      </c>
      <c r="F3253" s="68" t="s">
        <v>19491</v>
      </c>
      <c r="G3253" s="159" t="s">
        <v>19492</v>
      </c>
      <c r="H3253" s="159" t="s">
        <v>19319</v>
      </c>
      <c r="I3253" s="862"/>
      <c r="J3253" s="152">
        <v>45839.0</v>
      </c>
      <c r="K3253" s="159" t="s">
        <v>19493</v>
      </c>
      <c r="L3253" s="68"/>
      <c r="M3253" s="680" t="s">
        <v>19494</v>
      </c>
      <c r="N3253" s="159" t="s">
        <v>19495</v>
      </c>
      <c r="O3253" s="156">
        <v>1.0</v>
      </c>
      <c r="P3253" s="382" t="s">
        <v>19496</v>
      </c>
      <c r="Q3253" s="2191" t="str">
        <f> hyperlink(vlookup(lower(N3253),'File Links'!F:G, 2, FALSE), "LINK")</f>
        <v>LINK</v>
      </c>
      <c r="R3253" s="159" t="s">
        <v>19497</v>
      </c>
      <c r="S3253" s="159" t="s">
        <v>19498</v>
      </c>
      <c r="T3253" s="159" t="s">
        <v>138</v>
      </c>
      <c r="U3253" s="156">
        <v>1.0</v>
      </c>
      <c r="V3253" s="382" t="s">
        <v>19499</v>
      </c>
      <c r="W3253" s="1228"/>
      <c r="X3253" s="1552" t="str">
        <f> hyperlink(vlookup(lower(S3253),'File Links'!F:G, 2, FALSE), "LINK")</f>
        <v>LINK</v>
      </c>
      <c r="Y3253" s="159" t="s">
        <v>138</v>
      </c>
      <c r="Z3253" s="159" t="s">
        <v>148</v>
      </c>
      <c r="AA3253" s="159" t="s">
        <v>19500</v>
      </c>
      <c r="AB3253" s="159" t="s">
        <v>19501</v>
      </c>
      <c r="AC3253" s="159" t="s">
        <v>19502</v>
      </c>
      <c r="AD3253" s="159" t="s">
        <v>19503</v>
      </c>
      <c r="AE3253" s="156">
        <v>10.0</v>
      </c>
      <c r="AF3253" s="156">
        <v>113.0</v>
      </c>
      <c r="AG3253" s="159" t="s">
        <v>19504</v>
      </c>
      <c r="AH3253" s="159" t="s">
        <v>134</v>
      </c>
      <c r="AI3253" s="159" t="s">
        <v>630</v>
      </c>
      <c r="AJ3253" s="156">
        <v>0.89</v>
      </c>
      <c r="AK3253" s="159" t="s">
        <v>172</v>
      </c>
      <c r="AL3253" s="159" t="s">
        <v>186</v>
      </c>
      <c r="AM3253" s="159" t="s">
        <v>141</v>
      </c>
      <c r="AN3253" s="159" t="s">
        <v>138</v>
      </c>
      <c r="AO3253" s="156">
        <v>81.0</v>
      </c>
      <c r="AP3253" s="156">
        <v>0.001</v>
      </c>
      <c r="AQ3253" s="159" t="s">
        <v>874</v>
      </c>
      <c r="AR3253" s="159" t="s">
        <v>507</v>
      </c>
      <c r="AS3253" s="156">
        <v>0.765</v>
      </c>
      <c r="AT3253" s="159" t="s">
        <v>172</v>
      </c>
      <c r="AU3253" s="159" t="s">
        <v>186</v>
      </c>
      <c r="AV3253" s="159" t="s">
        <v>141</v>
      </c>
      <c r="AW3253" s="68" t="s">
        <v>138</v>
      </c>
      <c r="AX3253" s="159" t="s">
        <v>143</v>
      </c>
      <c r="AY3253" s="61" t="str">
        <f>IFERROR(__xludf.DUMMYFUNCTION("vlookup(BB3253,importrange(""https://docs.google.com/spreadsheets/d/1d2vevQ_7D_v35q4wCQ4RpQ_IPoTwEMB9Yp6ymwlPqew/edit?gid=984458430#gid=984458430"", ""'replication success'!A:K""), 11, FAlSE)"),"#N/A")</f>
        <v>#N/A</v>
      </c>
      <c r="AZ3253" s="61" t="str">
        <f>IFERROR(__xludf.DUMMYFUNCTION("vlookup(BB3253,importrange(""https://docs.google.com/spreadsheets/d/1d2vevQ_7D_v35q4wCQ4RpQ_IPoTwEMB9Yp6ymwlPqew/edit?gid=984458430#gid=984458430"", ""'replication success'!A:M""), 12, FAlSE)"),"#N/A")</f>
        <v>#N/A</v>
      </c>
      <c r="BA3253" s="61" t="str">
        <f>IFERROR(__xludf.DUMMYFUNCTION("vlookup(BB3253,importrange(""https://docs.google.com/spreadsheets/d/1d2vevQ_7D_v35q4wCQ4RpQ_IPoTwEMB9Yp6ymwlPqew/edit?gid=984458430#gid=984458430"", ""'replication success'!A:M""), 13, FAlSE)"),"#N/A")</f>
        <v>#N/A</v>
      </c>
      <c r="BB3253" s="61" t="str">
        <f>IFERROR(__xludf.DUMMYFUNCTION("REGEXREPLACE(G3253, ""_[a-z]{1,2}$"", """")"),"av_128")</f>
        <v>av_128</v>
      </c>
    </row>
    <row r="3254">
      <c r="A3254" s="44">
        <v>3254.0</v>
      </c>
      <c r="B3254" s="129" t="s">
        <v>285</v>
      </c>
      <c r="C3254" s="62" t="s">
        <v>115</v>
      </c>
      <c r="D3254" s="62" t="s">
        <v>1458</v>
      </c>
      <c r="F3254" s="68" t="s">
        <v>19505</v>
      </c>
      <c r="G3254" s="159" t="s">
        <v>19506</v>
      </c>
      <c r="H3254" s="159" t="s">
        <v>19319</v>
      </c>
      <c r="I3254" s="862"/>
      <c r="J3254" s="152">
        <v>45841.0</v>
      </c>
      <c r="K3254" s="159" t="s">
        <v>19507</v>
      </c>
      <c r="L3254" s="159" t="s">
        <v>4104</v>
      </c>
      <c r="M3254" s="680" t="s">
        <v>19508</v>
      </c>
      <c r="N3254" s="159" t="s">
        <v>19509</v>
      </c>
      <c r="O3254" s="156">
        <v>1.0</v>
      </c>
      <c r="P3254" s="382" t="s">
        <v>19510</v>
      </c>
      <c r="Q3254" s="2191" t="str">
        <f> hyperlink(vlookup(lower(N3254),'File Links'!F:G, 2, FALSE), "LINK")</f>
        <v>LINK</v>
      </c>
      <c r="R3254" s="159" t="s">
        <v>19511</v>
      </c>
      <c r="S3254" s="159" t="s">
        <v>19512</v>
      </c>
      <c r="T3254" s="159" t="s">
        <v>138</v>
      </c>
      <c r="U3254" s="156">
        <v>1.0</v>
      </c>
      <c r="V3254" s="382" t="s">
        <v>19513</v>
      </c>
      <c r="W3254" s="1228"/>
      <c r="X3254" s="1552" t="str">
        <f> hyperlink(vlookup(lower(S3254),'File Links'!F:G, 2, FALSE), "LINK")</f>
        <v>LINK</v>
      </c>
      <c r="Y3254" s="159" t="s">
        <v>138</v>
      </c>
      <c r="Z3254" s="159" t="s">
        <v>1809</v>
      </c>
      <c r="AA3254" s="159" t="s">
        <v>19514</v>
      </c>
      <c r="AB3254" s="159" t="s">
        <v>19515</v>
      </c>
      <c r="AC3254" s="159" t="s">
        <v>19516</v>
      </c>
      <c r="AD3254" s="159" t="s">
        <v>19517</v>
      </c>
      <c r="AE3254" s="156">
        <v>4.0</v>
      </c>
      <c r="AF3254" s="156">
        <v>175.0</v>
      </c>
      <c r="AG3254" s="159" t="s">
        <v>138</v>
      </c>
      <c r="AH3254" s="159" t="s">
        <v>138</v>
      </c>
      <c r="AI3254" s="159" t="s">
        <v>882</v>
      </c>
      <c r="AJ3254" s="156">
        <v>0.005</v>
      </c>
      <c r="AK3254" s="159" t="s">
        <v>135</v>
      </c>
      <c r="AL3254" s="159" t="s">
        <v>186</v>
      </c>
      <c r="AM3254" s="159" t="s">
        <v>141</v>
      </c>
      <c r="AN3254" s="159" t="s">
        <v>138</v>
      </c>
      <c r="AO3254" s="156">
        <v>446.0</v>
      </c>
      <c r="AP3254" s="156">
        <v>-0.0036</v>
      </c>
      <c r="AQ3254" s="159" t="s">
        <v>361</v>
      </c>
      <c r="AR3254" s="159" t="s">
        <v>496</v>
      </c>
      <c r="AS3254" s="156">
        <v>0.45</v>
      </c>
      <c r="AT3254" s="159" t="s">
        <v>172</v>
      </c>
      <c r="AU3254" s="159" t="s">
        <v>186</v>
      </c>
      <c r="AV3254" s="159" t="s">
        <v>141</v>
      </c>
      <c r="AW3254" s="435" t="s">
        <v>19518</v>
      </c>
      <c r="AX3254" s="159" t="s">
        <v>143</v>
      </c>
      <c r="AY3254" s="61" t="str">
        <f>IFERROR(__xludf.DUMMYFUNCTION("vlookup(BB3254,importrange(""https://docs.google.com/spreadsheets/d/1d2vevQ_7D_v35q4wCQ4RpQ_IPoTwEMB9Yp6ymwlPqew/edit?gid=984458430#gid=984458430"", ""'replication success'!A:K""), 11, FAlSE)"),"#N/A")</f>
        <v>#N/A</v>
      </c>
      <c r="AZ3254" s="61" t="str">
        <f>IFERROR(__xludf.DUMMYFUNCTION("vlookup(BB3254,importrange(""https://docs.google.com/spreadsheets/d/1d2vevQ_7D_v35q4wCQ4RpQ_IPoTwEMB9Yp6ymwlPqew/edit?gid=984458430#gid=984458430"", ""'replication success'!A:M""), 12, FAlSE)"),"#N/A")</f>
        <v>#N/A</v>
      </c>
      <c r="BA3254" s="61" t="str">
        <f>IFERROR(__xludf.DUMMYFUNCTION("vlookup(BB3254,importrange(""https://docs.google.com/spreadsheets/d/1d2vevQ_7D_v35q4wCQ4RpQ_IPoTwEMB9Yp6ymwlPqew/edit?gid=984458430#gid=984458430"", ""'replication success'!A:M""), 13, FAlSE)"),"#N/A")</f>
        <v>#N/A</v>
      </c>
      <c r="BB3254" s="61" t="str">
        <f>IFERROR(__xludf.DUMMYFUNCTION("REGEXREPLACE(G3254, ""_[a-z]{1,2}$"", """")"),"av_129")</f>
        <v>av_129</v>
      </c>
    </row>
    <row r="3255">
      <c r="A3255" s="44">
        <v>3255.0</v>
      </c>
      <c r="B3255" s="129" t="s">
        <v>285</v>
      </c>
      <c r="C3255" s="62" t="s">
        <v>115</v>
      </c>
      <c r="D3255" s="62" t="s">
        <v>1458</v>
      </c>
      <c r="F3255" s="68" t="s">
        <v>19505</v>
      </c>
      <c r="G3255" s="159" t="s">
        <v>19519</v>
      </c>
      <c r="H3255" s="159" t="s">
        <v>19319</v>
      </c>
      <c r="I3255" s="862"/>
      <c r="J3255" s="152">
        <v>45841.0</v>
      </c>
      <c r="K3255" s="159" t="s">
        <v>19520</v>
      </c>
      <c r="L3255" s="68"/>
      <c r="M3255" s="680" t="s">
        <v>19521</v>
      </c>
      <c r="N3255" s="159" t="s">
        <v>19509</v>
      </c>
      <c r="O3255" s="156">
        <v>1.0</v>
      </c>
      <c r="P3255" s="382" t="s">
        <v>19510</v>
      </c>
      <c r="Q3255" s="2191" t="str">
        <f> hyperlink(vlookup(lower(N3255),'File Links'!F:G, 2, FALSE), "LINK")</f>
        <v>LINK</v>
      </c>
      <c r="R3255" s="159" t="s">
        <v>19511</v>
      </c>
      <c r="S3255" s="159" t="s">
        <v>19512</v>
      </c>
      <c r="T3255" s="159" t="s">
        <v>138</v>
      </c>
      <c r="U3255" s="156">
        <v>1.0</v>
      </c>
      <c r="V3255" s="382" t="s">
        <v>19513</v>
      </c>
      <c r="W3255" s="1228"/>
      <c r="X3255" s="1552" t="str">
        <f> hyperlink(vlookup(lower(S3255),'File Links'!F:G, 2, FALSE), "LINK")</f>
        <v>LINK</v>
      </c>
      <c r="Y3255" s="159" t="s">
        <v>138</v>
      </c>
      <c r="Z3255" s="159" t="s">
        <v>1809</v>
      </c>
      <c r="AA3255" s="159" t="s">
        <v>19514</v>
      </c>
      <c r="AB3255" s="159" t="s">
        <v>19515</v>
      </c>
      <c r="AC3255" s="159" t="s">
        <v>19516</v>
      </c>
      <c r="AD3255" s="159" t="s">
        <v>19522</v>
      </c>
      <c r="AE3255" s="156">
        <v>4.0</v>
      </c>
      <c r="AF3255" s="156">
        <v>175.0</v>
      </c>
      <c r="AG3255" s="159" t="s">
        <v>138</v>
      </c>
      <c r="AH3255" s="159" t="s">
        <v>138</v>
      </c>
      <c r="AI3255" s="159" t="s">
        <v>882</v>
      </c>
      <c r="AJ3255" s="159" t="s">
        <v>138</v>
      </c>
      <c r="AK3255" s="159" t="s">
        <v>138</v>
      </c>
      <c r="AL3255" s="159" t="s">
        <v>186</v>
      </c>
      <c r="AM3255" s="159" t="s">
        <v>141</v>
      </c>
      <c r="AN3255" s="159" t="s">
        <v>138</v>
      </c>
      <c r="AO3255" s="156">
        <v>443.0</v>
      </c>
      <c r="AP3255" s="156">
        <v>0.011</v>
      </c>
      <c r="AQ3255" s="159" t="s">
        <v>361</v>
      </c>
      <c r="AR3255" s="159" t="s">
        <v>496</v>
      </c>
      <c r="AS3255" s="156">
        <v>0.02</v>
      </c>
      <c r="AT3255" s="159" t="s">
        <v>172</v>
      </c>
      <c r="AU3255" s="159" t="s">
        <v>186</v>
      </c>
      <c r="AV3255" s="159" t="s">
        <v>141</v>
      </c>
      <c r="AW3255" s="435" t="s">
        <v>19518</v>
      </c>
      <c r="AX3255" s="159" t="s">
        <v>143</v>
      </c>
      <c r="AY3255" s="61" t="str">
        <f>IFERROR(__xludf.DUMMYFUNCTION("vlookup(BB3255,importrange(""https://docs.google.com/spreadsheets/d/1d2vevQ_7D_v35q4wCQ4RpQ_IPoTwEMB9Yp6ymwlPqew/edit?gid=984458430#gid=984458430"", ""'replication success'!A:K""), 11, FAlSE)"),"#N/A")</f>
        <v>#N/A</v>
      </c>
      <c r="AZ3255" s="61" t="str">
        <f>IFERROR(__xludf.DUMMYFUNCTION("vlookup(BB3255,importrange(""https://docs.google.com/spreadsheets/d/1d2vevQ_7D_v35q4wCQ4RpQ_IPoTwEMB9Yp6ymwlPqew/edit?gid=984458430#gid=984458430"", ""'replication success'!A:M""), 12, FAlSE)"),"#N/A")</f>
        <v>#N/A</v>
      </c>
      <c r="BA3255" s="61" t="str">
        <f>IFERROR(__xludf.DUMMYFUNCTION("vlookup(BB3255,importrange(""https://docs.google.com/spreadsheets/d/1d2vevQ_7D_v35q4wCQ4RpQ_IPoTwEMB9Yp6ymwlPqew/edit?gid=984458430#gid=984458430"", ""'replication success'!A:M""), 13, FAlSE)"),"#N/A")</f>
        <v>#N/A</v>
      </c>
      <c r="BB3255" s="61" t="str">
        <f>IFERROR(__xludf.DUMMYFUNCTION("REGEXREPLACE(G3255, ""_[a-z]{1,2}$"", """")"),"av_129")</f>
        <v>av_129</v>
      </c>
    </row>
    <row r="3256">
      <c r="A3256" s="44">
        <v>3256.0</v>
      </c>
      <c r="B3256" s="129" t="s">
        <v>285</v>
      </c>
      <c r="C3256" s="62" t="s">
        <v>115</v>
      </c>
      <c r="D3256" s="62" t="s">
        <v>1458</v>
      </c>
      <c r="F3256" s="68" t="s">
        <v>19523</v>
      </c>
      <c r="G3256" s="159" t="s">
        <v>19524</v>
      </c>
      <c r="H3256" s="159" t="s">
        <v>19319</v>
      </c>
      <c r="I3256" s="862"/>
      <c r="J3256" s="152">
        <v>45841.0</v>
      </c>
      <c r="K3256" s="159" t="s">
        <v>19525</v>
      </c>
      <c r="L3256" s="68"/>
      <c r="M3256" s="159" t="s">
        <v>19526</v>
      </c>
      <c r="N3256" s="159" t="s">
        <v>19527</v>
      </c>
      <c r="O3256" s="156">
        <v>1.0</v>
      </c>
      <c r="P3256" s="382" t="s">
        <v>19528</v>
      </c>
      <c r="Q3256" s="2191" t="str">
        <f> hyperlink(vlookup(lower(N3256),'File Links'!F:G, 2, FALSE), "LINK")</f>
        <v>LINK</v>
      </c>
      <c r="R3256" s="159" t="s">
        <v>19529</v>
      </c>
      <c r="S3256" s="159" t="s">
        <v>19530</v>
      </c>
      <c r="T3256" s="159" t="s">
        <v>138</v>
      </c>
      <c r="U3256" s="156">
        <v>1.0</v>
      </c>
      <c r="V3256" s="382" t="s">
        <v>19531</v>
      </c>
      <c r="W3256" s="1228"/>
      <c r="X3256" s="1552" t="str">
        <f> hyperlink(vlookup(lower(S3256),'File Links'!F:G, 2, FALSE), "LINK")</f>
        <v>LINK</v>
      </c>
      <c r="Y3256" s="159" t="s">
        <v>138</v>
      </c>
      <c r="Z3256" s="159" t="s">
        <v>148</v>
      </c>
      <c r="AA3256" s="159" t="s">
        <v>19532</v>
      </c>
      <c r="AB3256" s="159" t="s">
        <v>19533</v>
      </c>
      <c r="AC3256" s="159" t="s">
        <v>19534</v>
      </c>
      <c r="AD3256" s="159" t="s">
        <v>19535</v>
      </c>
      <c r="AE3256" s="156">
        <v>5.0</v>
      </c>
      <c r="AF3256" s="156">
        <v>1291.0</v>
      </c>
      <c r="AG3256" s="159" t="s">
        <v>19536</v>
      </c>
      <c r="AH3256" s="159" t="s">
        <v>134</v>
      </c>
      <c r="AI3256" s="159" t="s">
        <v>882</v>
      </c>
      <c r="AJ3256" s="156">
        <v>0.001</v>
      </c>
      <c r="AK3256" s="159" t="s">
        <v>135</v>
      </c>
      <c r="AL3256" s="159" t="s">
        <v>186</v>
      </c>
      <c r="AM3256" s="159" t="s">
        <v>141</v>
      </c>
      <c r="AN3256" s="159" t="s">
        <v>138</v>
      </c>
      <c r="AO3256" s="156">
        <v>5791.0</v>
      </c>
      <c r="AP3256" s="159" t="s">
        <v>138</v>
      </c>
      <c r="AQ3256" s="159" t="s">
        <v>138</v>
      </c>
      <c r="AR3256" s="159" t="s">
        <v>507</v>
      </c>
      <c r="AS3256" s="156">
        <v>1.0E-4</v>
      </c>
      <c r="AT3256" s="159" t="s">
        <v>135</v>
      </c>
      <c r="AU3256" s="159" t="s">
        <v>186</v>
      </c>
      <c r="AV3256" s="159" t="s">
        <v>141</v>
      </c>
      <c r="AW3256" s="68" t="s">
        <v>138</v>
      </c>
      <c r="AX3256" s="159" t="s">
        <v>143</v>
      </c>
      <c r="AY3256" s="61" t="str">
        <f>IFERROR(__xludf.DUMMYFUNCTION("vlookup(BB3256,importrange(""https://docs.google.com/spreadsheets/d/1d2vevQ_7D_v35q4wCQ4RpQ_IPoTwEMB9Yp6ymwlPqew/edit?gid=984458430#gid=984458430"", ""'replication success'!A:K""), 11, FAlSE)"),"#N/A")</f>
        <v>#N/A</v>
      </c>
      <c r="AZ3256" s="61" t="str">
        <f>IFERROR(__xludf.DUMMYFUNCTION("vlookup(BB3256,importrange(""https://docs.google.com/spreadsheets/d/1d2vevQ_7D_v35q4wCQ4RpQ_IPoTwEMB9Yp6ymwlPqew/edit?gid=984458430#gid=984458430"", ""'replication success'!A:M""), 12, FAlSE)"),"#N/A")</f>
        <v>#N/A</v>
      </c>
      <c r="BA3256" s="61" t="str">
        <f>IFERROR(__xludf.DUMMYFUNCTION("vlookup(BB3256,importrange(""https://docs.google.com/spreadsheets/d/1d2vevQ_7D_v35q4wCQ4RpQ_IPoTwEMB9Yp6ymwlPqew/edit?gid=984458430#gid=984458430"", ""'replication success'!A:M""), 13, FAlSE)"),"#N/A")</f>
        <v>#N/A</v>
      </c>
      <c r="BB3256" s="61" t="str">
        <f>IFERROR(__xludf.DUMMYFUNCTION("REGEXREPLACE(G3256, ""_[a-z]{1,2}$"", """")"),"av_130")</f>
        <v>av_130</v>
      </c>
    </row>
    <row r="3257">
      <c r="A3257" s="44">
        <v>3257.0</v>
      </c>
      <c r="B3257" s="129" t="s">
        <v>285</v>
      </c>
      <c r="C3257" s="62" t="s">
        <v>115</v>
      </c>
      <c r="D3257" s="62" t="s">
        <v>1458</v>
      </c>
      <c r="F3257" s="68" t="s">
        <v>19537</v>
      </c>
      <c r="G3257" s="159" t="s">
        <v>19538</v>
      </c>
      <c r="H3257" s="159" t="s">
        <v>19319</v>
      </c>
      <c r="I3257" s="862"/>
      <c r="J3257" s="152">
        <v>45841.0</v>
      </c>
      <c r="K3257" s="159" t="s">
        <v>19539</v>
      </c>
      <c r="L3257" s="68"/>
      <c r="M3257" s="159" t="s">
        <v>19540</v>
      </c>
      <c r="N3257" s="159" t="s">
        <v>19541</v>
      </c>
      <c r="O3257" s="156">
        <v>1.0</v>
      </c>
      <c r="P3257" s="382" t="s">
        <v>19542</v>
      </c>
      <c r="Q3257" s="2191" t="str">
        <f> hyperlink(vlookup(lower(N3257),'File Links'!F:G, 2, FALSE), "LINK")</f>
        <v>LINK</v>
      </c>
      <c r="R3257" s="159" t="s">
        <v>19543</v>
      </c>
      <c r="S3257" s="159" t="s">
        <v>19544</v>
      </c>
      <c r="T3257" s="159" t="s">
        <v>138</v>
      </c>
      <c r="U3257" s="156">
        <v>1.0</v>
      </c>
      <c r="V3257" s="382" t="s">
        <v>19545</v>
      </c>
      <c r="W3257" s="1228"/>
      <c r="X3257" s="1552" t="str">
        <f> hyperlink(vlookup(lower(S3257),'File Links'!F:G, 2, FALSE), "LINK")</f>
        <v>LINK</v>
      </c>
      <c r="Y3257" s="159" t="s">
        <v>138</v>
      </c>
      <c r="Z3257" s="159" t="s">
        <v>148</v>
      </c>
      <c r="AA3257" s="159" t="s">
        <v>19546</v>
      </c>
      <c r="AB3257" s="159" t="s">
        <v>19547</v>
      </c>
      <c r="AC3257" s="159" t="s">
        <v>19548</v>
      </c>
      <c r="AD3257" s="159" t="s">
        <v>19549</v>
      </c>
      <c r="AE3257" s="156">
        <v>1.0</v>
      </c>
      <c r="AF3257" s="156">
        <v>19.0</v>
      </c>
      <c r="AG3257" s="159" t="s">
        <v>138</v>
      </c>
      <c r="AH3257" s="159" t="s">
        <v>138</v>
      </c>
      <c r="AI3257" s="159" t="s">
        <v>138</v>
      </c>
      <c r="AJ3257" s="159" t="s">
        <v>138</v>
      </c>
      <c r="AK3257" s="159" t="s">
        <v>138</v>
      </c>
      <c r="AL3257" s="159" t="s">
        <v>186</v>
      </c>
      <c r="AM3257" s="159" t="s">
        <v>138</v>
      </c>
      <c r="AN3257" s="159" t="s">
        <v>138</v>
      </c>
      <c r="AO3257" s="156">
        <v>34.0</v>
      </c>
      <c r="AP3257" s="159" t="s">
        <v>138</v>
      </c>
      <c r="AQ3257" s="159" t="s">
        <v>138</v>
      </c>
      <c r="AR3257" s="159" t="s">
        <v>138</v>
      </c>
      <c r="AS3257" s="159" t="s">
        <v>138</v>
      </c>
      <c r="AT3257" s="159" t="s">
        <v>138</v>
      </c>
      <c r="AU3257" s="159" t="s">
        <v>186</v>
      </c>
      <c r="AV3257" s="159" t="s">
        <v>138</v>
      </c>
      <c r="AW3257" s="159" t="s">
        <v>138</v>
      </c>
      <c r="AX3257" s="159" t="s">
        <v>438</v>
      </c>
      <c r="AY3257" s="61" t="str">
        <f>IFERROR(__xludf.DUMMYFUNCTION("vlookup(BB3257,importrange(""https://docs.google.com/spreadsheets/d/1d2vevQ_7D_v35q4wCQ4RpQ_IPoTwEMB9Yp6ymwlPqew/edit?gid=984458430#gid=984458430"", ""'replication success'!A:K""), 11, FAlSE)"),"#N/A")</f>
        <v>#N/A</v>
      </c>
      <c r="AZ3257" s="61" t="str">
        <f>IFERROR(__xludf.DUMMYFUNCTION("vlookup(BB3257,importrange(""https://docs.google.com/spreadsheets/d/1d2vevQ_7D_v35q4wCQ4RpQ_IPoTwEMB9Yp6ymwlPqew/edit?gid=984458430#gid=984458430"", ""'replication success'!A:M""), 12, FAlSE)"),"#N/A")</f>
        <v>#N/A</v>
      </c>
      <c r="BA3257" s="61" t="str">
        <f>IFERROR(__xludf.DUMMYFUNCTION("vlookup(BB3257,importrange(""https://docs.google.com/spreadsheets/d/1d2vevQ_7D_v35q4wCQ4RpQ_IPoTwEMB9Yp6ymwlPqew/edit?gid=984458430#gid=984458430"", ""'replication success'!A:M""), 13, FAlSE)"),"#N/A")</f>
        <v>#N/A</v>
      </c>
      <c r="BB3257" s="61" t="str">
        <f>IFERROR(__xludf.DUMMYFUNCTION("REGEXREPLACE(G3257, ""_[a-z]{1,2}$"", """")"),"av_131")</f>
        <v>av_131</v>
      </c>
    </row>
    <row r="3258">
      <c r="A3258" s="44">
        <v>3258.0</v>
      </c>
      <c r="B3258" s="129" t="s">
        <v>285</v>
      </c>
      <c r="C3258" s="62" t="s">
        <v>115</v>
      </c>
      <c r="D3258" s="62" t="s">
        <v>1458</v>
      </c>
      <c r="F3258" s="68" t="s">
        <v>19550</v>
      </c>
      <c r="G3258" s="159" t="s">
        <v>19551</v>
      </c>
      <c r="H3258" s="159" t="s">
        <v>19319</v>
      </c>
      <c r="I3258" s="862"/>
      <c r="J3258" s="152">
        <v>45842.0</v>
      </c>
      <c r="K3258" s="159" t="s">
        <v>19552</v>
      </c>
      <c r="L3258" s="68"/>
      <c r="M3258" s="159" t="s">
        <v>19553</v>
      </c>
      <c r="N3258" s="159" t="s">
        <v>19554</v>
      </c>
      <c r="O3258" s="156">
        <v>1.0</v>
      </c>
      <c r="P3258" s="382" t="s">
        <v>19555</v>
      </c>
      <c r="Q3258" s="2191" t="str">
        <f> hyperlink(vlookup(lower(N3258),'File Links'!F:G, 2, FALSE), "LINK")</f>
        <v>LINK</v>
      </c>
      <c r="R3258" s="159" t="s">
        <v>19556</v>
      </c>
      <c r="S3258" s="159" t="s">
        <v>19557</v>
      </c>
      <c r="T3258" s="159" t="s">
        <v>138</v>
      </c>
      <c r="U3258" s="156">
        <v>1.0</v>
      </c>
      <c r="V3258" s="382" t="s">
        <v>19558</v>
      </c>
      <c r="W3258" s="1228"/>
      <c r="X3258" s="1552" t="str">
        <f> hyperlink(vlookup(lower(S3258),'File Links'!F:G, 2, FALSE), "LINK")</f>
        <v>LINK</v>
      </c>
      <c r="Y3258" s="159" t="s">
        <v>138</v>
      </c>
      <c r="Z3258" s="159" t="s">
        <v>148</v>
      </c>
      <c r="AA3258" s="159" t="s">
        <v>19559</v>
      </c>
      <c r="AB3258" s="159" t="s">
        <v>19560</v>
      </c>
      <c r="AC3258" s="159" t="s">
        <v>19561</v>
      </c>
      <c r="AD3258" s="159" t="s">
        <v>19562</v>
      </c>
      <c r="AE3258" s="156">
        <v>6.0</v>
      </c>
      <c r="AF3258" s="156">
        <v>5200.0</v>
      </c>
      <c r="AG3258" s="156">
        <v>0.84</v>
      </c>
      <c r="AH3258" s="159" t="s">
        <v>215</v>
      </c>
      <c r="AI3258" s="159" t="s">
        <v>1042</v>
      </c>
      <c r="AJ3258" s="156">
        <v>0.001</v>
      </c>
      <c r="AK3258" s="159" t="s">
        <v>135</v>
      </c>
      <c r="AL3258" s="159" t="s">
        <v>186</v>
      </c>
      <c r="AM3258" s="159" t="s">
        <v>141</v>
      </c>
      <c r="AN3258" s="159" t="s">
        <v>138</v>
      </c>
      <c r="AO3258" s="156">
        <v>661.0</v>
      </c>
      <c r="AP3258" s="159" t="s">
        <v>138</v>
      </c>
      <c r="AQ3258" s="159" t="s">
        <v>138</v>
      </c>
      <c r="AR3258" s="159" t="s">
        <v>138</v>
      </c>
      <c r="AS3258" s="159" t="s">
        <v>138</v>
      </c>
      <c r="AT3258" s="159" t="s">
        <v>138</v>
      </c>
      <c r="AU3258" s="159" t="s">
        <v>186</v>
      </c>
      <c r="AV3258" s="159" t="s">
        <v>138</v>
      </c>
      <c r="AW3258" s="159" t="s">
        <v>138</v>
      </c>
      <c r="AX3258" s="159" t="s">
        <v>143</v>
      </c>
      <c r="AY3258" s="61" t="str">
        <f>IFERROR(__xludf.DUMMYFUNCTION("vlookup(BB3258,importrange(""https://docs.google.com/spreadsheets/d/1d2vevQ_7D_v35q4wCQ4RpQ_IPoTwEMB9Yp6ymwlPqew/edit?gid=984458430#gid=984458430"", ""'replication success'!A:K""), 11, FAlSE)"),"#N/A")</f>
        <v>#N/A</v>
      </c>
      <c r="AZ3258" s="61" t="str">
        <f>IFERROR(__xludf.DUMMYFUNCTION("vlookup(BB3258,importrange(""https://docs.google.com/spreadsheets/d/1d2vevQ_7D_v35q4wCQ4RpQ_IPoTwEMB9Yp6ymwlPqew/edit?gid=984458430#gid=984458430"", ""'replication success'!A:M""), 12, FAlSE)"),"#N/A")</f>
        <v>#N/A</v>
      </c>
      <c r="BA3258" s="61" t="str">
        <f>IFERROR(__xludf.DUMMYFUNCTION("vlookup(BB3258,importrange(""https://docs.google.com/spreadsheets/d/1d2vevQ_7D_v35q4wCQ4RpQ_IPoTwEMB9Yp6ymwlPqew/edit?gid=984458430#gid=984458430"", ""'replication success'!A:M""), 13, FAlSE)"),"#N/A")</f>
        <v>#N/A</v>
      </c>
      <c r="BB3258" s="61" t="str">
        <f>IFERROR(__xludf.DUMMYFUNCTION("REGEXREPLACE(G3258, ""_[a-z]{1,2}$"", """")"),"av_132")</f>
        <v>av_132</v>
      </c>
    </row>
    <row r="3259">
      <c r="A3259" s="44">
        <v>3259.0</v>
      </c>
      <c r="B3259" s="129" t="s">
        <v>285</v>
      </c>
      <c r="C3259" s="62" t="s">
        <v>115</v>
      </c>
      <c r="D3259" s="62" t="s">
        <v>1458</v>
      </c>
      <c r="F3259" s="68" t="s">
        <v>19563</v>
      </c>
      <c r="G3259" s="159" t="s">
        <v>19564</v>
      </c>
      <c r="H3259" s="159" t="s">
        <v>19319</v>
      </c>
      <c r="I3259" s="862"/>
      <c r="J3259" s="152">
        <v>45842.0</v>
      </c>
      <c r="K3259" s="159" t="s">
        <v>19565</v>
      </c>
      <c r="L3259" s="68"/>
      <c r="M3259" s="159" t="s">
        <v>19566</v>
      </c>
      <c r="N3259" s="159" t="s">
        <v>19567</v>
      </c>
      <c r="O3259" s="156">
        <v>1.0</v>
      </c>
      <c r="P3259" s="382" t="s">
        <v>19568</v>
      </c>
      <c r="Q3259" s="2191" t="str">
        <f> hyperlink(vlookup(lower(N3259),'File Links'!F:G, 2, FALSE), "LINK")</f>
        <v>LINK</v>
      </c>
      <c r="R3259" s="159" t="s">
        <v>19569</v>
      </c>
      <c r="S3259" s="159" t="s">
        <v>19570</v>
      </c>
      <c r="T3259" s="159" t="s">
        <v>138</v>
      </c>
      <c r="U3259" s="156">
        <v>1.0</v>
      </c>
      <c r="V3259" s="382" t="s">
        <v>19571</v>
      </c>
      <c r="W3259" s="1228"/>
      <c r="X3259" s="1552" t="str">
        <f> hyperlink(vlookup(lower(S3259),'File Links'!F:G, 2, FALSE), "LINK")</f>
        <v>LINK</v>
      </c>
      <c r="Y3259" s="159" t="s">
        <v>138</v>
      </c>
      <c r="Z3259" s="159" t="s">
        <v>503</v>
      </c>
      <c r="AA3259" s="159" t="s">
        <v>19572</v>
      </c>
      <c r="AB3259" s="159" t="s">
        <v>19573</v>
      </c>
      <c r="AC3259" s="159" t="s">
        <v>19574</v>
      </c>
      <c r="AD3259" s="159" t="s">
        <v>19575</v>
      </c>
      <c r="AE3259" s="156">
        <v>6.0</v>
      </c>
      <c r="AF3259" s="156">
        <v>66.0</v>
      </c>
      <c r="AG3259" s="159" t="s">
        <v>19576</v>
      </c>
      <c r="AH3259" s="159" t="s">
        <v>134</v>
      </c>
      <c r="AI3259" s="159" t="s">
        <v>1042</v>
      </c>
      <c r="AJ3259" s="156">
        <v>0.01</v>
      </c>
      <c r="AK3259" s="159" t="s">
        <v>135</v>
      </c>
      <c r="AL3259" s="159" t="s">
        <v>186</v>
      </c>
      <c r="AM3259" s="159" t="s">
        <v>137</v>
      </c>
      <c r="AN3259" s="159" t="s">
        <v>138</v>
      </c>
      <c r="AO3259" s="156">
        <v>24.0</v>
      </c>
      <c r="AP3259" s="159" t="s">
        <v>19577</v>
      </c>
      <c r="AQ3259" s="159" t="s">
        <v>134</v>
      </c>
      <c r="AR3259" s="159" t="s">
        <v>496</v>
      </c>
      <c r="AS3259" s="156">
        <v>0.008</v>
      </c>
      <c r="AT3259" s="159" t="s">
        <v>172</v>
      </c>
      <c r="AU3259" s="159" t="s">
        <v>186</v>
      </c>
      <c r="AV3259" s="159" t="s">
        <v>137</v>
      </c>
      <c r="AW3259" s="68" t="s">
        <v>138</v>
      </c>
      <c r="AX3259" s="159" t="s">
        <v>438</v>
      </c>
      <c r="AY3259" s="61" t="str">
        <f>IFERROR(__xludf.DUMMYFUNCTION("vlookup(BB3259,importrange(""https://docs.google.com/spreadsheets/d/1d2vevQ_7D_v35q4wCQ4RpQ_IPoTwEMB9Yp6ymwlPqew/edit?gid=984458430#gid=984458430"", ""'replication success'!A:K""), 11, FAlSE)"),"#N/A")</f>
        <v>#N/A</v>
      </c>
      <c r="AZ3259" s="61" t="str">
        <f>IFERROR(__xludf.DUMMYFUNCTION("vlookup(BB3259,importrange(""https://docs.google.com/spreadsheets/d/1d2vevQ_7D_v35q4wCQ4RpQ_IPoTwEMB9Yp6ymwlPqew/edit?gid=984458430#gid=984458430"", ""'replication success'!A:M""), 12, FAlSE)"),"#N/A")</f>
        <v>#N/A</v>
      </c>
      <c r="BA3259" s="61" t="str">
        <f>IFERROR(__xludf.DUMMYFUNCTION("vlookup(BB3259,importrange(""https://docs.google.com/spreadsheets/d/1d2vevQ_7D_v35q4wCQ4RpQ_IPoTwEMB9Yp6ymwlPqew/edit?gid=984458430#gid=984458430"", ""'replication success'!A:M""), 13, FAlSE)"),"#N/A")</f>
        <v>#N/A</v>
      </c>
      <c r="BB3259" s="61" t="str">
        <f>IFERROR(__xludf.DUMMYFUNCTION("REGEXREPLACE(G3259, ""_[a-z]{1,2}$"", """")"),"av_133")</f>
        <v>av_133</v>
      </c>
    </row>
    <row r="3260">
      <c r="A3260" s="44">
        <v>3260.0</v>
      </c>
      <c r="B3260" s="129" t="s">
        <v>285</v>
      </c>
      <c r="C3260" s="62" t="s">
        <v>115</v>
      </c>
      <c r="D3260" s="62" t="s">
        <v>1458</v>
      </c>
      <c r="F3260" s="68" t="s">
        <v>19578</v>
      </c>
      <c r="G3260" s="159" t="s">
        <v>19579</v>
      </c>
      <c r="H3260" s="159" t="s">
        <v>19319</v>
      </c>
      <c r="I3260" s="862"/>
      <c r="J3260" s="152">
        <v>45842.0</v>
      </c>
      <c r="K3260" s="159" t="s">
        <v>19580</v>
      </c>
      <c r="L3260" s="68"/>
      <c r="M3260" s="159" t="s">
        <v>19581</v>
      </c>
      <c r="N3260" s="159" t="s">
        <v>19582</v>
      </c>
      <c r="O3260" s="156">
        <v>1.0</v>
      </c>
      <c r="P3260" s="382" t="s">
        <v>19583</v>
      </c>
      <c r="Q3260" s="2191" t="str">
        <f> hyperlink(vlookup(lower(N3260),'File Links'!F:G, 2, FALSE), "LINK")</f>
        <v>LINK</v>
      </c>
      <c r="R3260" s="159" t="s">
        <v>19584</v>
      </c>
      <c r="S3260" s="159" t="s">
        <v>19585</v>
      </c>
      <c r="T3260" s="159" t="s">
        <v>138</v>
      </c>
      <c r="U3260" s="156">
        <v>1.0</v>
      </c>
      <c r="V3260" s="382" t="s">
        <v>19586</v>
      </c>
      <c r="W3260" s="1228"/>
      <c r="X3260" s="1552" t="str">
        <f> hyperlink(vlookup(lower(S3260),'File Links'!F:G, 2, FALSE), "LINK")</f>
        <v>LINK</v>
      </c>
      <c r="Y3260" s="159" t="s">
        <v>138</v>
      </c>
      <c r="Z3260" s="159" t="s">
        <v>210</v>
      </c>
      <c r="AA3260" s="68" t="s">
        <v>19587</v>
      </c>
      <c r="AB3260" s="159" t="s">
        <v>19588</v>
      </c>
      <c r="AC3260" s="159" t="s">
        <v>19589</v>
      </c>
      <c r="AD3260" s="159" t="s">
        <v>19590</v>
      </c>
      <c r="AE3260" s="159" t="s">
        <v>5709</v>
      </c>
      <c r="AF3260" s="156">
        <v>40.0</v>
      </c>
      <c r="AG3260" s="156">
        <v>0.15</v>
      </c>
      <c r="AH3260" s="159" t="s">
        <v>215</v>
      </c>
      <c r="AI3260" s="159" t="s">
        <v>882</v>
      </c>
      <c r="AJ3260" s="156">
        <v>0.001</v>
      </c>
      <c r="AK3260" s="159" t="s">
        <v>135</v>
      </c>
      <c r="AL3260" s="159" t="s">
        <v>186</v>
      </c>
      <c r="AM3260" s="159" t="s">
        <v>141</v>
      </c>
      <c r="AN3260" s="159" t="s">
        <v>138</v>
      </c>
      <c r="AO3260" s="156">
        <v>33.0</v>
      </c>
      <c r="AP3260" s="156">
        <v>0.3</v>
      </c>
      <c r="AQ3260" s="159" t="s">
        <v>215</v>
      </c>
      <c r="AR3260" s="159" t="s">
        <v>4979</v>
      </c>
      <c r="AS3260" s="156">
        <v>0.001</v>
      </c>
      <c r="AT3260" s="159" t="s">
        <v>135</v>
      </c>
      <c r="AU3260" s="159" t="s">
        <v>186</v>
      </c>
      <c r="AV3260" s="159" t="s">
        <v>141</v>
      </c>
      <c r="AW3260" s="68" t="s">
        <v>138</v>
      </c>
      <c r="AX3260" s="159" t="s">
        <v>19591</v>
      </c>
      <c r="AY3260" s="61" t="str">
        <f>IFERROR(__xludf.DUMMYFUNCTION("vlookup(BB3260,importrange(""https://docs.google.com/spreadsheets/d/1d2vevQ_7D_v35q4wCQ4RpQ_IPoTwEMB9Yp6ymwlPqew/edit?gid=984458430#gid=984458430"", ""'replication success'!A:K""), 11, FAlSE)"),"#N/A")</f>
        <v>#N/A</v>
      </c>
      <c r="AZ3260" s="61" t="str">
        <f>IFERROR(__xludf.DUMMYFUNCTION("vlookup(BB3260,importrange(""https://docs.google.com/spreadsheets/d/1d2vevQ_7D_v35q4wCQ4RpQ_IPoTwEMB9Yp6ymwlPqew/edit?gid=984458430#gid=984458430"", ""'replication success'!A:M""), 12, FAlSE)"),"#N/A")</f>
        <v>#N/A</v>
      </c>
      <c r="BA3260" s="61" t="str">
        <f>IFERROR(__xludf.DUMMYFUNCTION("vlookup(BB3260,importrange(""https://docs.google.com/spreadsheets/d/1d2vevQ_7D_v35q4wCQ4RpQ_IPoTwEMB9Yp6ymwlPqew/edit?gid=984458430#gid=984458430"", ""'replication success'!A:M""), 13, FAlSE)"),"#N/A")</f>
        <v>#N/A</v>
      </c>
      <c r="BB3260" s="61" t="str">
        <f>IFERROR(__xludf.DUMMYFUNCTION("REGEXREPLACE(G3260, ""_[a-z]{1,2}$"", """")"),"av_134")</f>
        <v>av_134</v>
      </c>
    </row>
    <row r="3261">
      <c r="A3261" s="44">
        <v>3261.0</v>
      </c>
      <c r="B3261" s="129" t="s">
        <v>285</v>
      </c>
      <c r="C3261" s="62" t="s">
        <v>115</v>
      </c>
      <c r="D3261" s="62" t="s">
        <v>1458</v>
      </c>
      <c r="F3261" s="68" t="s">
        <v>19592</v>
      </c>
      <c r="G3261" s="159" t="s">
        <v>19593</v>
      </c>
      <c r="H3261" s="159" t="s">
        <v>19319</v>
      </c>
      <c r="I3261" s="862"/>
      <c r="J3261" s="152">
        <v>45842.0</v>
      </c>
      <c r="K3261" s="159" t="s">
        <v>19594</v>
      </c>
      <c r="L3261" s="68"/>
      <c r="M3261" s="159" t="s">
        <v>19595</v>
      </c>
      <c r="N3261" s="159" t="s">
        <v>19596</v>
      </c>
      <c r="O3261" s="156">
        <v>1.0</v>
      </c>
      <c r="P3261" s="382" t="s">
        <v>19597</v>
      </c>
      <c r="Q3261" s="2191" t="str">
        <f> hyperlink(vlookup(lower(N3261),'File Links'!F:G, 2, FALSE), "LINK")</f>
        <v>LINK</v>
      </c>
      <c r="R3261" s="159" t="s">
        <v>19598</v>
      </c>
      <c r="S3261" s="159" t="s">
        <v>19599</v>
      </c>
      <c r="T3261" s="159" t="s">
        <v>138</v>
      </c>
      <c r="U3261" s="156">
        <v>1.0</v>
      </c>
      <c r="V3261" s="382" t="s">
        <v>19600</v>
      </c>
      <c r="W3261" s="1228"/>
      <c r="X3261" s="1552" t="str">
        <f> hyperlink(vlookup(lower(S3261),'File Links'!F:G, 2, FALSE), "LINK")</f>
        <v>LINK</v>
      </c>
      <c r="Y3261" s="159" t="s">
        <v>138</v>
      </c>
      <c r="Z3261" s="159" t="s">
        <v>226</v>
      </c>
      <c r="AA3261" s="159" t="s">
        <v>19601</v>
      </c>
      <c r="AB3261" s="159" t="s">
        <v>19602</v>
      </c>
      <c r="AC3261" s="159" t="s">
        <v>19603</v>
      </c>
      <c r="AD3261" s="159" t="s">
        <v>19604</v>
      </c>
      <c r="AE3261" s="156">
        <v>4.0</v>
      </c>
      <c r="AF3261" s="156">
        <v>2000.0</v>
      </c>
      <c r="AG3261" s="159" t="s">
        <v>19605</v>
      </c>
      <c r="AH3261" s="159" t="s">
        <v>134</v>
      </c>
      <c r="AI3261" s="159" t="s">
        <v>496</v>
      </c>
      <c r="AJ3261" s="156">
        <v>0.001</v>
      </c>
      <c r="AK3261" s="159" t="s">
        <v>135</v>
      </c>
      <c r="AL3261" s="159" t="s">
        <v>186</v>
      </c>
      <c r="AM3261" s="159" t="s">
        <v>141</v>
      </c>
      <c r="AN3261" s="159" t="s">
        <v>138</v>
      </c>
      <c r="AO3261" s="156">
        <v>1338.0</v>
      </c>
      <c r="AP3261" s="159" t="s">
        <v>19606</v>
      </c>
      <c r="AQ3261" s="159" t="s">
        <v>134</v>
      </c>
      <c r="AR3261" s="159" t="s">
        <v>882</v>
      </c>
      <c r="AS3261" s="159" t="s">
        <v>138</v>
      </c>
      <c r="AT3261" s="159" t="s">
        <v>135</v>
      </c>
      <c r="AU3261" s="159" t="s">
        <v>186</v>
      </c>
      <c r="AV3261" s="159" t="s">
        <v>141</v>
      </c>
      <c r="AW3261" s="68" t="s">
        <v>138</v>
      </c>
      <c r="AX3261" s="159" t="s">
        <v>143</v>
      </c>
      <c r="AY3261" s="61" t="str">
        <f>IFERROR(__xludf.DUMMYFUNCTION("vlookup(BB3261,importrange(""https://docs.google.com/spreadsheets/d/1d2vevQ_7D_v35q4wCQ4RpQ_IPoTwEMB9Yp6ymwlPqew/edit?gid=984458430#gid=984458430"", ""'replication success'!A:K""), 11, FAlSE)"),"#N/A")</f>
        <v>#N/A</v>
      </c>
      <c r="AZ3261" s="61" t="str">
        <f>IFERROR(__xludf.DUMMYFUNCTION("vlookup(BB3261,importrange(""https://docs.google.com/spreadsheets/d/1d2vevQ_7D_v35q4wCQ4RpQ_IPoTwEMB9Yp6ymwlPqew/edit?gid=984458430#gid=984458430"", ""'replication success'!A:M""), 12, FAlSE)"),"#N/A")</f>
        <v>#N/A</v>
      </c>
      <c r="BA3261" s="61" t="str">
        <f>IFERROR(__xludf.DUMMYFUNCTION("vlookup(BB3261,importrange(""https://docs.google.com/spreadsheets/d/1d2vevQ_7D_v35q4wCQ4RpQ_IPoTwEMB9Yp6ymwlPqew/edit?gid=984458430#gid=984458430"", ""'replication success'!A:M""), 13, FAlSE)"),"#N/A")</f>
        <v>#N/A</v>
      </c>
      <c r="BB3261" s="61" t="str">
        <f>IFERROR(__xludf.DUMMYFUNCTION("REGEXREPLACE(G3261, ""_[a-z]{1,2}$"", """")"),"av_135")</f>
        <v>av_135</v>
      </c>
    </row>
    <row r="3262">
      <c r="A3262" s="44">
        <v>3262.0</v>
      </c>
      <c r="B3262" s="129" t="s">
        <v>285</v>
      </c>
      <c r="C3262" s="62" t="s">
        <v>115</v>
      </c>
      <c r="D3262" s="62" t="s">
        <v>1458</v>
      </c>
      <c r="F3262" s="68" t="s">
        <v>19592</v>
      </c>
      <c r="G3262" s="159" t="s">
        <v>19607</v>
      </c>
      <c r="H3262" s="159" t="s">
        <v>19319</v>
      </c>
      <c r="I3262" s="862"/>
      <c r="J3262" s="152">
        <v>45842.0</v>
      </c>
      <c r="K3262" s="159" t="s">
        <v>19608</v>
      </c>
      <c r="L3262" s="68"/>
      <c r="M3262" s="159" t="s">
        <v>19595</v>
      </c>
      <c r="N3262" s="159" t="s">
        <v>19596</v>
      </c>
      <c r="O3262" s="156">
        <v>1.0</v>
      </c>
      <c r="P3262" s="382" t="s">
        <v>19597</v>
      </c>
      <c r="Q3262" s="2191" t="str">
        <f> hyperlink(vlookup(lower(N3262),'File Links'!F:G, 2, FALSE), "LINK")</f>
        <v>LINK</v>
      </c>
      <c r="R3262" s="159" t="s">
        <v>19598</v>
      </c>
      <c r="S3262" s="159" t="s">
        <v>19599</v>
      </c>
      <c r="T3262" s="159" t="s">
        <v>138</v>
      </c>
      <c r="U3262" s="156">
        <v>1.0</v>
      </c>
      <c r="V3262" s="382" t="s">
        <v>19600</v>
      </c>
      <c r="W3262" s="1228"/>
      <c r="X3262" s="1552" t="str">
        <f> hyperlink(vlookup(lower(S3262),'File Links'!F:G, 2, FALSE), "LINK")</f>
        <v>LINK</v>
      </c>
      <c r="Y3262" s="159" t="s">
        <v>138</v>
      </c>
      <c r="Z3262" s="159" t="s">
        <v>226</v>
      </c>
      <c r="AA3262" s="159" t="s">
        <v>19609</v>
      </c>
      <c r="AB3262" s="159" t="s">
        <v>19602</v>
      </c>
      <c r="AC3262" s="159" t="s">
        <v>19603</v>
      </c>
      <c r="AD3262" s="159" t="s">
        <v>19610</v>
      </c>
      <c r="AE3262" s="156">
        <v>4.0</v>
      </c>
      <c r="AF3262" s="156">
        <v>2000.0</v>
      </c>
      <c r="AG3262" s="159" t="s">
        <v>19611</v>
      </c>
      <c r="AH3262" s="159" t="s">
        <v>134</v>
      </c>
      <c r="AI3262" s="159" t="s">
        <v>496</v>
      </c>
      <c r="AJ3262" s="156">
        <v>0.001</v>
      </c>
      <c r="AK3262" s="159" t="s">
        <v>135</v>
      </c>
      <c r="AL3262" s="159" t="s">
        <v>186</v>
      </c>
      <c r="AM3262" s="159" t="s">
        <v>141</v>
      </c>
      <c r="AN3262" s="159" t="s">
        <v>138</v>
      </c>
      <c r="AO3262" s="156">
        <v>1338.0</v>
      </c>
      <c r="AP3262" s="159" t="s">
        <v>19612</v>
      </c>
      <c r="AQ3262" s="159" t="s">
        <v>134</v>
      </c>
      <c r="AR3262" s="159" t="s">
        <v>882</v>
      </c>
      <c r="AS3262" s="159" t="s">
        <v>138</v>
      </c>
      <c r="AT3262" s="159" t="s">
        <v>135</v>
      </c>
      <c r="AU3262" s="159" t="s">
        <v>186</v>
      </c>
      <c r="AV3262" s="159" t="s">
        <v>141</v>
      </c>
      <c r="AW3262" s="68" t="s">
        <v>138</v>
      </c>
      <c r="AX3262" s="159" t="s">
        <v>143</v>
      </c>
      <c r="AY3262" s="61" t="str">
        <f>IFERROR(__xludf.DUMMYFUNCTION("vlookup(BB3262,importrange(""https://docs.google.com/spreadsheets/d/1d2vevQ_7D_v35q4wCQ4RpQ_IPoTwEMB9Yp6ymwlPqew/edit?gid=984458430#gid=984458430"", ""'replication success'!A:K""), 11, FAlSE)"),"#N/A")</f>
        <v>#N/A</v>
      </c>
      <c r="AZ3262" s="61" t="str">
        <f>IFERROR(__xludf.DUMMYFUNCTION("vlookup(BB3262,importrange(""https://docs.google.com/spreadsheets/d/1d2vevQ_7D_v35q4wCQ4RpQ_IPoTwEMB9Yp6ymwlPqew/edit?gid=984458430#gid=984458430"", ""'replication success'!A:M""), 12, FAlSE)"),"#N/A")</f>
        <v>#N/A</v>
      </c>
      <c r="BA3262" s="61" t="str">
        <f>IFERROR(__xludf.DUMMYFUNCTION("vlookup(BB3262,importrange(""https://docs.google.com/spreadsheets/d/1d2vevQ_7D_v35q4wCQ4RpQ_IPoTwEMB9Yp6ymwlPqew/edit?gid=984458430#gid=984458430"", ""'replication success'!A:M""), 13, FAlSE)"),"#N/A")</f>
        <v>#N/A</v>
      </c>
      <c r="BB3262" s="61" t="str">
        <f>IFERROR(__xludf.DUMMYFUNCTION("REGEXREPLACE(G3262, ""_[a-z]{1,2}$"", """")"),"av_135")</f>
        <v>av_135</v>
      </c>
    </row>
    <row r="3263">
      <c r="A3263" s="44">
        <v>3263.0</v>
      </c>
      <c r="B3263" s="129" t="s">
        <v>285</v>
      </c>
      <c r="C3263" s="62" t="s">
        <v>115</v>
      </c>
      <c r="D3263" s="62" t="s">
        <v>1458</v>
      </c>
      <c r="F3263" s="68" t="s">
        <v>19613</v>
      </c>
      <c r="G3263" s="159" t="s">
        <v>19614</v>
      </c>
      <c r="H3263" s="159" t="s">
        <v>19319</v>
      </c>
      <c r="I3263" s="862"/>
      <c r="J3263" s="152">
        <v>45842.0</v>
      </c>
      <c r="K3263" s="159" t="s">
        <v>138</v>
      </c>
      <c r="L3263" s="68"/>
      <c r="M3263" s="159" t="s">
        <v>19615</v>
      </c>
      <c r="N3263" s="159" t="s">
        <v>19616</v>
      </c>
      <c r="O3263" s="156">
        <v>1.0</v>
      </c>
      <c r="P3263" s="382" t="s">
        <v>19617</v>
      </c>
      <c r="Q3263" s="2191" t="str">
        <f> hyperlink(vlookup(lower(N3263),'File Links'!F:G, 2, FALSE), "LINK")</f>
        <v>LINK</v>
      </c>
      <c r="R3263" s="159" t="s">
        <v>19618</v>
      </c>
      <c r="S3263" s="159" t="s">
        <v>19619</v>
      </c>
      <c r="T3263" s="159" t="s">
        <v>138</v>
      </c>
      <c r="U3263" s="156">
        <v>1.0</v>
      </c>
      <c r="V3263" s="382" t="s">
        <v>19620</v>
      </c>
      <c r="W3263" s="1228"/>
      <c r="X3263" s="1552" t="str">
        <f> hyperlink(vlookup(lower(S3263),'File Links'!F:G, 2, FALSE), "LINK")</f>
        <v>LINK</v>
      </c>
      <c r="Y3263" s="159" t="s">
        <v>138</v>
      </c>
      <c r="Z3263" s="159" t="s">
        <v>226</v>
      </c>
      <c r="AA3263" s="159" t="s">
        <v>19621</v>
      </c>
      <c r="AB3263" s="159" t="s">
        <v>19622</v>
      </c>
      <c r="AC3263" s="159" t="s">
        <v>19623</v>
      </c>
      <c r="AD3263" s="159" t="s">
        <v>19624</v>
      </c>
      <c r="AE3263" s="156">
        <v>5.0</v>
      </c>
      <c r="AF3263" s="156">
        <v>16.0</v>
      </c>
      <c r="AG3263" s="159" t="s">
        <v>19625</v>
      </c>
      <c r="AH3263" s="159" t="s">
        <v>134</v>
      </c>
      <c r="AI3263" s="159" t="s">
        <v>882</v>
      </c>
      <c r="AJ3263" s="156">
        <v>1.0E-4</v>
      </c>
      <c r="AK3263" s="159" t="s">
        <v>135</v>
      </c>
      <c r="AL3263" s="159" t="s">
        <v>186</v>
      </c>
      <c r="AM3263" s="159" t="s">
        <v>137</v>
      </c>
      <c r="AN3263" s="159" t="s">
        <v>138</v>
      </c>
      <c r="AO3263" s="156">
        <v>30.0</v>
      </c>
      <c r="AP3263" s="159" t="s">
        <v>19626</v>
      </c>
      <c r="AQ3263" s="159" t="s">
        <v>134</v>
      </c>
      <c r="AR3263" s="159" t="s">
        <v>507</v>
      </c>
      <c r="AS3263" s="156">
        <v>0.001</v>
      </c>
      <c r="AT3263" s="159" t="s">
        <v>135</v>
      </c>
      <c r="AU3263" s="159" t="s">
        <v>186</v>
      </c>
      <c r="AV3263" s="159" t="s">
        <v>137</v>
      </c>
      <c r="AW3263" s="68" t="s">
        <v>138</v>
      </c>
      <c r="AX3263" s="159" t="s">
        <v>143</v>
      </c>
      <c r="AY3263" s="61" t="str">
        <f>IFERROR(__xludf.DUMMYFUNCTION("vlookup(BB3263,importrange(""https://docs.google.com/spreadsheets/d/1d2vevQ_7D_v35q4wCQ4RpQ_IPoTwEMB9Yp6ymwlPqew/edit?gid=984458430#gid=984458430"", ""'replication success'!A:K""), 11, FAlSE)"),"#N/A")</f>
        <v>#N/A</v>
      </c>
      <c r="AZ3263" s="61" t="str">
        <f>IFERROR(__xludf.DUMMYFUNCTION("vlookup(BB3263,importrange(""https://docs.google.com/spreadsheets/d/1d2vevQ_7D_v35q4wCQ4RpQ_IPoTwEMB9Yp6ymwlPqew/edit?gid=984458430#gid=984458430"", ""'replication success'!A:M""), 12, FAlSE)"),"#N/A")</f>
        <v>#N/A</v>
      </c>
      <c r="BA3263" s="61" t="str">
        <f>IFERROR(__xludf.DUMMYFUNCTION("vlookup(BB3263,importrange(""https://docs.google.com/spreadsheets/d/1d2vevQ_7D_v35q4wCQ4RpQ_IPoTwEMB9Yp6ymwlPqew/edit?gid=984458430#gid=984458430"", ""'replication success'!A:M""), 13, FAlSE)"),"#N/A")</f>
        <v>#N/A</v>
      </c>
      <c r="BB3263" s="61" t="str">
        <f>IFERROR(__xludf.DUMMYFUNCTION("REGEXREPLACE(G3263, ""_[a-z]{1,2}$"", """")"),"av_136")</f>
        <v>av_136</v>
      </c>
    </row>
    <row r="3264">
      <c r="A3264" s="44">
        <v>3264.0</v>
      </c>
      <c r="B3264" s="129" t="s">
        <v>285</v>
      </c>
      <c r="C3264" s="62" t="s">
        <v>115</v>
      </c>
      <c r="D3264" s="62" t="s">
        <v>1458</v>
      </c>
      <c r="F3264" s="68" t="s">
        <v>19627</v>
      </c>
      <c r="G3264" s="159" t="s">
        <v>19628</v>
      </c>
      <c r="H3264" s="159" t="s">
        <v>19319</v>
      </c>
      <c r="I3264" s="862"/>
      <c r="J3264" s="152">
        <v>45842.0</v>
      </c>
      <c r="K3264" s="159" t="s">
        <v>19629</v>
      </c>
      <c r="L3264" s="68"/>
      <c r="M3264" s="159" t="s">
        <v>19630</v>
      </c>
      <c r="N3264" s="159" t="s">
        <v>19631</v>
      </c>
      <c r="O3264" s="156">
        <v>1.0</v>
      </c>
      <c r="P3264" s="382" t="s">
        <v>19632</v>
      </c>
      <c r="Q3264" s="2191" t="str">
        <f> hyperlink(vlookup(lower(N3264),'File Links'!F:G, 2, FALSE), "LINK")</f>
        <v>LINK</v>
      </c>
      <c r="R3264" s="159" t="s">
        <v>19633</v>
      </c>
      <c r="S3264" s="159" t="s">
        <v>19634</v>
      </c>
      <c r="T3264" s="159" t="s">
        <v>138</v>
      </c>
      <c r="U3264" s="156">
        <v>1.0</v>
      </c>
      <c r="V3264" s="382" t="s">
        <v>19635</v>
      </c>
      <c r="W3264" s="1228"/>
      <c r="X3264" s="1552" t="str">
        <f> hyperlink(vlookup(lower(S3264),'File Links'!F:G, 2, FALSE), "LINK")</f>
        <v>LINK</v>
      </c>
      <c r="Y3264" s="159" t="s">
        <v>138</v>
      </c>
      <c r="Z3264" s="159" t="s">
        <v>210</v>
      </c>
      <c r="AA3264" s="159" t="s">
        <v>19636</v>
      </c>
      <c r="AB3264" s="159" t="s">
        <v>19637</v>
      </c>
      <c r="AC3264" s="159" t="s">
        <v>19638</v>
      </c>
      <c r="AD3264" s="159" t="s">
        <v>19639</v>
      </c>
      <c r="AE3264" s="156">
        <v>7.0</v>
      </c>
      <c r="AF3264" s="156">
        <v>36.0</v>
      </c>
      <c r="AG3264" s="159" t="s">
        <v>138</v>
      </c>
      <c r="AH3264" s="159" t="s">
        <v>138</v>
      </c>
      <c r="AI3264" s="159" t="s">
        <v>138</v>
      </c>
      <c r="AJ3264" s="159" t="s">
        <v>138</v>
      </c>
      <c r="AK3264" s="159" t="s">
        <v>138</v>
      </c>
      <c r="AL3264" s="159" t="s">
        <v>186</v>
      </c>
      <c r="AM3264" s="159" t="s">
        <v>138</v>
      </c>
      <c r="AN3264" s="159" t="s">
        <v>138</v>
      </c>
      <c r="AO3264" s="156">
        <v>50.0</v>
      </c>
      <c r="AP3264" s="159" t="s">
        <v>19640</v>
      </c>
      <c r="AQ3264" s="159" t="s">
        <v>134</v>
      </c>
      <c r="AR3264" s="159" t="s">
        <v>882</v>
      </c>
      <c r="AS3264" s="159" t="s">
        <v>138</v>
      </c>
      <c r="AT3264" s="159" t="s">
        <v>138</v>
      </c>
      <c r="AU3264" s="159" t="s">
        <v>186</v>
      </c>
      <c r="AV3264" s="68" t="s">
        <v>138</v>
      </c>
      <c r="AW3264" s="68" t="s">
        <v>138</v>
      </c>
      <c r="AX3264" s="159" t="s">
        <v>143</v>
      </c>
      <c r="AY3264" s="61" t="str">
        <f>IFERROR(__xludf.DUMMYFUNCTION("vlookup(BB3264,importrange(""https://docs.google.com/spreadsheets/d/1d2vevQ_7D_v35q4wCQ4RpQ_IPoTwEMB9Yp6ymwlPqew/edit?gid=984458430#gid=984458430"", ""'replication success'!A:K""), 11, FAlSE)"),"#N/A")</f>
        <v>#N/A</v>
      </c>
      <c r="AZ3264" s="61" t="str">
        <f>IFERROR(__xludf.DUMMYFUNCTION("vlookup(BB3264,importrange(""https://docs.google.com/spreadsheets/d/1d2vevQ_7D_v35q4wCQ4RpQ_IPoTwEMB9Yp6ymwlPqew/edit?gid=984458430#gid=984458430"", ""'replication success'!A:M""), 12, FAlSE)"),"#N/A")</f>
        <v>#N/A</v>
      </c>
      <c r="BA3264" s="61" t="str">
        <f>IFERROR(__xludf.DUMMYFUNCTION("vlookup(BB3264,importrange(""https://docs.google.com/spreadsheets/d/1d2vevQ_7D_v35q4wCQ4RpQ_IPoTwEMB9Yp6ymwlPqew/edit?gid=984458430#gid=984458430"", ""'replication success'!A:M""), 13, FAlSE)"),"#N/A")</f>
        <v>#N/A</v>
      </c>
      <c r="BB3264" s="61" t="str">
        <f>IFERROR(__xludf.DUMMYFUNCTION("REGEXREPLACE(G3264, ""_[a-z]{1,2}$"", """")"),"av_137")</f>
        <v>av_137</v>
      </c>
    </row>
    <row r="3265">
      <c r="A3265" s="44">
        <v>3265.0</v>
      </c>
      <c r="B3265" s="129" t="s">
        <v>285</v>
      </c>
      <c r="C3265" s="62" t="s">
        <v>115</v>
      </c>
      <c r="D3265" s="62" t="s">
        <v>1458</v>
      </c>
      <c r="F3265" s="68" t="s">
        <v>19641</v>
      </c>
      <c r="G3265" s="159" t="s">
        <v>19642</v>
      </c>
      <c r="H3265" s="159" t="s">
        <v>19319</v>
      </c>
      <c r="I3265" s="862"/>
      <c r="J3265" s="152">
        <v>45844.0</v>
      </c>
      <c r="K3265" s="159" t="s">
        <v>19643</v>
      </c>
      <c r="L3265" s="68"/>
      <c r="M3265" s="159" t="s">
        <v>19644</v>
      </c>
      <c r="N3265" s="159" t="s">
        <v>19645</v>
      </c>
      <c r="O3265" s="156">
        <v>1.0</v>
      </c>
      <c r="P3265" s="382" t="s">
        <v>19646</v>
      </c>
      <c r="Q3265" s="2191" t="str">
        <f> hyperlink(vlookup(lower(N3265),'File Links'!F:G, 2, FALSE), "LINK")</f>
        <v>LINK</v>
      </c>
      <c r="R3265" s="159" t="s">
        <v>19647</v>
      </c>
      <c r="S3265" s="159" t="s">
        <v>19648</v>
      </c>
      <c r="T3265" s="159" t="s">
        <v>138</v>
      </c>
      <c r="U3265" s="156">
        <v>1.0</v>
      </c>
      <c r="V3265" s="382" t="s">
        <v>19649</v>
      </c>
      <c r="W3265" s="1228"/>
      <c r="X3265" s="1552" t="str">
        <f> hyperlink(vlookup(lower(S3265),'File Links'!F:G, 2, FALSE), "LINK")</f>
        <v>LINK</v>
      </c>
      <c r="Y3265" s="159" t="s">
        <v>138</v>
      </c>
      <c r="Z3265" s="159" t="s">
        <v>1576</v>
      </c>
      <c r="AA3265" s="159" t="s">
        <v>19650</v>
      </c>
      <c r="AB3265" s="159" t="s">
        <v>19651</v>
      </c>
      <c r="AC3265" s="68"/>
      <c r="AD3265" s="159" t="s">
        <v>19652</v>
      </c>
      <c r="AE3265" s="156">
        <v>6.0</v>
      </c>
      <c r="AF3265" s="156">
        <v>4874.0</v>
      </c>
      <c r="AG3265" s="159" t="s">
        <v>19653</v>
      </c>
      <c r="AH3265" s="159" t="s">
        <v>134</v>
      </c>
      <c r="AI3265" s="159" t="s">
        <v>1042</v>
      </c>
      <c r="AJ3265" s="156">
        <v>0.0</v>
      </c>
      <c r="AK3265" s="159" t="s">
        <v>172</v>
      </c>
      <c r="AL3265" s="159" t="s">
        <v>186</v>
      </c>
      <c r="AM3265" s="159" t="s">
        <v>141</v>
      </c>
      <c r="AN3265" s="159" t="s">
        <v>138</v>
      </c>
      <c r="AO3265" s="156">
        <v>414.0</v>
      </c>
      <c r="AP3265" s="156">
        <v>0.006</v>
      </c>
      <c r="AQ3265" s="159" t="s">
        <v>134</v>
      </c>
      <c r="AR3265" s="159" t="s">
        <v>624</v>
      </c>
      <c r="AS3265" s="159" t="s">
        <v>138</v>
      </c>
      <c r="AT3265" s="159" t="s">
        <v>138</v>
      </c>
      <c r="AU3265" s="159" t="s">
        <v>186</v>
      </c>
      <c r="AV3265" s="159" t="s">
        <v>1905</v>
      </c>
      <c r="AW3265" s="68" t="s">
        <v>138</v>
      </c>
      <c r="AX3265" s="159" t="s">
        <v>151</v>
      </c>
      <c r="AY3265" s="61" t="str">
        <f>IFERROR(__xludf.DUMMYFUNCTION("vlookup(BB3265,importrange(""https://docs.google.com/spreadsheets/d/1d2vevQ_7D_v35q4wCQ4RpQ_IPoTwEMB9Yp6ymwlPqew/edit?gid=984458430#gid=984458430"", ""'replication success'!A:K""), 11, FAlSE)"),"#N/A")</f>
        <v>#N/A</v>
      </c>
      <c r="AZ3265" s="61" t="str">
        <f>IFERROR(__xludf.DUMMYFUNCTION("vlookup(BB3265,importrange(""https://docs.google.com/spreadsheets/d/1d2vevQ_7D_v35q4wCQ4RpQ_IPoTwEMB9Yp6ymwlPqew/edit?gid=984458430#gid=984458430"", ""'replication success'!A:M""), 12, FAlSE)"),"#N/A")</f>
        <v>#N/A</v>
      </c>
      <c r="BA3265" s="61" t="str">
        <f>IFERROR(__xludf.DUMMYFUNCTION("vlookup(BB3265,importrange(""https://docs.google.com/spreadsheets/d/1d2vevQ_7D_v35q4wCQ4RpQ_IPoTwEMB9Yp6ymwlPqew/edit?gid=984458430#gid=984458430"", ""'replication success'!A:M""), 13, FAlSE)"),"#N/A")</f>
        <v>#N/A</v>
      </c>
      <c r="BB3265" s="61" t="str">
        <f>IFERROR(__xludf.DUMMYFUNCTION("REGEXREPLACE(G3265, ""_[a-z]{1,2}$"", """")"),"av_138")</f>
        <v>av_138</v>
      </c>
    </row>
    <row r="3266">
      <c r="A3266" s="44">
        <v>3266.0</v>
      </c>
      <c r="B3266" s="129" t="s">
        <v>285</v>
      </c>
      <c r="C3266" s="62" t="s">
        <v>115</v>
      </c>
      <c r="D3266" s="62" t="s">
        <v>1458</v>
      </c>
      <c r="F3266" s="68" t="s">
        <v>19654</v>
      </c>
      <c r="G3266" s="159" t="s">
        <v>19655</v>
      </c>
      <c r="H3266" s="159" t="s">
        <v>19319</v>
      </c>
      <c r="I3266" s="862"/>
      <c r="J3266" s="152">
        <v>45844.0</v>
      </c>
      <c r="K3266" s="159" t="s">
        <v>138</v>
      </c>
      <c r="L3266" s="68"/>
      <c r="M3266" s="159" t="s">
        <v>19656</v>
      </c>
      <c r="N3266" s="159" t="s">
        <v>19657</v>
      </c>
      <c r="O3266" s="156">
        <v>1.0</v>
      </c>
      <c r="P3266" s="382" t="s">
        <v>19658</v>
      </c>
      <c r="Q3266" s="2191" t="str">
        <f> hyperlink(vlookup(lower(N3266),'File Links'!F:G, 2, FALSE), "LINK")</f>
        <v>LINK</v>
      </c>
      <c r="R3266" s="159" t="s">
        <v>19659</v>
      </c>
      <c r="S3266" s="159" t="s">
        <v>19660</v>
      </c>
      <c r="T3266" s="159" t="s">
        <v>138</v>
      </c>
      <c r="U3266" s="156">
        <v>1.0</v>
      </c>
      <c r="V3266" s="382" t="s">
        <v>19661</v>
      </c>
      <c r="W3266" s="1228"/>
      <c r="X3266" s="1552" t="str">
        <f> hyperlink(vlookup(lower(S3266),'File Links'!F:G, 2, FALSE), "LINK")</f>
        <v>LINK</v>
      </c>
      <c r="Y3266" s="159" t="s">
        <v>138</v>
      </c>
      <c r="Z3266" s="159" t="s">
        <v>586</v>
      </c>
      <c r="AA3266" s="159" t="s">
        <v>19662</v>
      </c>
      <c r="AB3266" s="159" t="s">
        <v>19663</v>
      </c>
      <c r="AC3266" s="159" t="s">
        <v>19664</v>
      </c>
      <c r="AD3266" s="159" t="s">
        <v>19665</v>
      </c>
      <c r="AE3266" s="156">
        <v>6.0</v>
      </c>
      <c r="AF3266" s="156">
        <v>18.0</v>
      </c>
      <c r="AG3266" s="159" t="s">
        <v>138</v>
      </c>
      <c r="AH3266" s="159" t="s">
        <v>138</v>
      </c>
      <c r="AI3266" s="68" t="s">
        <v>1042</v>
      </c>
      <c r="AJ3266" s="156">
        <v>1.0E-4</v>
      </c>
      <c r="AK3266" s="159" t="s">
        <v>135</v>
      </c>
      <c r="AL3266" s="159" t="s">
        <v>186</v>
      </c>
      <c r="AM3266" s="159" t="s">
        <v>141</v>
      </c>
      <c r="AN3266" s="159" t="s">
        <v>138</v>
      </c>
      <c r="AO3266" s="156">
        <v>16.0</v>
      </c>
      <c r="AP3266" s="156">
        <v>0.51</v>
      </c>
      <c r="AQ3266" s="159" t="s">
        <v>874</v>
      </c>
      <c r="AR3266" s="159" t="s">
        <v>496</v>
      </c>
      <c r="AS3266" s="156">
        <v>0.001</v>
      </c>
      <c r="AT3266" s="159" t="s">
        <v>135</v>
      </c>
      <c r="AU3266" s="159" t="s">
        <v>186</v>
      </c>
      <c r="AV3266" s="159" t="s">
        <v>141</v>
      </c>
      <c r="AW3266" s="68" t="s">
        <v>138</v>
      </c>
      <c r="AX3266" s="159" t="s">
        <v>143</v>
      </c>
      <c r="AY3266" s="61" t="str">
        <f>IFERROR(__xludf.DUMMYFUNCTION("vlookup(BB3266,importrange(""https://docs.google.com/spreadsheets/d/1d2vevQ_7D_v35q4wCQ4RpQ_IPoTwEMB9Yp6ymwlPqew/edit?gid=984458430#gid=984458430"", ""'replication success'!A:K""), 11, FAlSE)"),"#N/A")</f>
        <v>#N/A</v>
      </c>
      <c r="AZ3266" s="61" t="str">
        <f>IFERROR(__xludf.DUMMYFUNCTION("vlookup(BB3266,importrange(""https://docs.google.com/spreadsheets/d/1d2vevQ_7D_v35q4wCQ4RpQ_IPoTwEMB9Yp6ymwlPqew/edit?gid=984458430#gid=984458430"", ""'replication success'!A:M""), 12, FAlSE)"),"#N/A")</f>
        <v>#N/A</v>
      </c>
      <c r="BA3266" s="61" t="str">
        <f>IFERROR(__xludf.DUMMYFUNCTION("vlookup(BB3266,importrange(""https://docs.google.com/spreadsheets/d/1d2vevQ_7D_v35q4wCQ4RpQ_IPoTwEMB9Yp6ymwlPqew/edit?gid=984458430#gid=984458430"", ""'replication success'!A:M""), 13, FAlSE)"),"#N/A")</f>
        <v>#N/A</v>
      </c>
      <c r="BB3266" s="61" t="str">
        <f>IFERROR(__xludf.DUMMYFUNCTION("REGEXREPLACE(G3266, ""_[a-z]{1,2}$"", """")"),"av_139")</f>
        <v>av_139</v>
      </c>
    </row>
    <row r="3267">
      <c r="A3267" s="44">
        <v>3267.0</v>
      </c>
      <c r="B3267" s="129" t="s">
        <v>285</v>
      </c>
      <c r="C3267" s="62" t="s">
        <v>115</v>
      </c>
      <c r="D3267" s="62" t="s">
        <v>1458</v>
      </c>
      <c r="F3267" s="68" t="s">
        <v>19666</v>
      </c>
      <c r="G3267" s="159" t="s">
        <v>19667</v>
      </c>
      <c r="H3267" s="159" t="s">
        <v>19319</v>
      </c>
      <c r="I3267" s="862"/>
      <c r="J3267" s="152">
        <v>45844.0</v>
      </c>
      <c r="K3267" s="159" t="s">
        <v>19668</v>
      </c>
      <c r="L3267" s="68"/>
      <c r="M3267" s="159" t="s">
        <v>19669</v>
      </c>
      <c r="N3267" s="159" t="s">
        <v>19670</v>
      </c>
      <c r="O3267" s="156">
        <v>1.0</v>
      </c>
      <c r="P3267" s="382" t="s">
        <v>19671</v>
      </c>
      <c r="Q3267" s="2191" t="str">
        <f> hyperlink(vlookup(lower(N3267),'File Links'!F:G, 2, FALSE), "LINK")</f>
        <v>LINK</v>
      </c>
      <c r="R3267" s="159" t="s">
        <v>19672</v>
      </c>
      <c r="S3267" s="159" t="s">
        <v>19673</v>
      </c>
      <c r="T3267" s="159" t="s">
        <v>138</v>
      </c>
      <c r="U3267" s="156">
        <v>1.0</v>
      </c>
      <c r="V3267" s="382" t="s">
        <v>19674</v>
      </c>
      <c r="W3267" s="1228"/>
      <c r="X3267" s="1552" t="str">
        <f> hyperlink(vlookup(lower(S3267),'File Links'!F:G, 2, FALSE), "LINK")</f>
        <v>LINK</v>
      </c>
      <c r="Y3267" s="159" t="s">
        <v>138</v>
      </c>
      <c r="Z3267" s="159" t="s">
        <v>226</v>
      </c>
      <c r="AA3267" s="159" t="s">
        <v>19675</v>
      </c>
      <c r="AB3267" s="159" t="s">
        <v>19676</v>
      </c>
      <c r="AC3267" s="159" t="s">
        <v>19677</v>
      </c>
      <c r="AD3267" s="159" t="s">
        <v>19678</v>
      </c>
      <c r="AE3267" s="156">
        <v>10.0</v>
      </c>
      <c r="AF3267" s="156">
        <v>374.0</v>
      </c>
      <c r="AG3267" s="159" t="s">
        <v>19679</v>
      </c>
      <c r="AH3267" s="159" t="s">
        <v>134</v>
      </c>
      <c r="AI3267" s="159" t="s">
        <v>630</v>
      </c>
      <c r="AJ3267" s="156">
        <v>0.001</v>
      </c>
      <c r="AK3267" s="159" t="s">
        <v>172</v>
      </c>
      <c r="AL3267" s="159" t="s">
        <v>186</v>
      </c>
      <c r="AM3267" s="159" t="s">
        <v>137</v>
      </c>
      <c r="AN3267" s="159" t="s">
        <v>138</v>
      </c>
      <c r="AO3267" s="156">
        <v>5493.0</v>
      </c>
      <c r="AP3267" s="156">
        <v>0.04</v>
      </c>
      <c r="AQ3267" s="159" t="s">
        <v>1256</v>
      </c>
      <c r="AR3267" s="159" t="s">
        <v>604</v>
      </c>
      <c r="AS3267" s="156">
        <v>0.007</v>
      </c>
      <c r="AT3267" s="159" t="s">
        <v>172</v>
      </c>
      <c r="AU3267" s="159" t="s">
        <v>186</v>
      </c>
      <c r="AV3267" s="159" t="s">
        <v>137</v>
      </c>
      <c r="AW3267" s="68" t="s">
        <v>138</v>
      </c>
      <c r="AX3267" s="159" t="s">
        <v>143</v>
      </c>
      <c r="AY3267" s="61" t="str">
        <f>IFERROR(__xludf.DUMMYFUNCTION("vlookup(BB3267,importrange(""https://docs.google.com/spreadsheets/d/1d2vevQ_7D_v35q4wCQ4RpQ_IPoTwEMB9Yp6ymwlPqew/edit?gid=984458430#gid=984458430"", ""'replication success'!A:K""), 11, FAlSE)"),"#N/A")</f>
        <v>#N/A</v>
      </c>
      <c r="AZ3267" s="61" t="str">
        <f>IFERROR(__xludf.DUMMYFUNCTION("vlookup(BB3267,importrange(""https://docs.google.com/spreadsheets/d/1d2vevQ_7D_v35q4wCQ4RpQ_IPoTwEMB9Yp6ymwlPqew/edit?gid=984458430#gid=984458430"", ""'replication success'!A:M""), 12, FAlSE)"),"#N/A")</f>
        <v>#N/A</v>
      </c>
      <c r="BA3267" s="61" t="str">
        <f>IFERROR(__xludf.DUMMYFUNCTION("vlookup(BB3267,importrange(""https://docs.google.com/spreadsheets/d/1d2vevQ_7D_v35q4wCQ4RpQ_IPoTwEMB9Yp6ymwlPqew/edit?gid=984458430#gid=984458430"", ""'replication success'!A:M""), 13, FAlSE)"),"#N/A")</f>
        <v>#N/A</v>
      </c>
      <c r="BB3267" s="61" t="str">
        <f>IFERROR(__xludf.DUMMYFUNCTION("REGEXREPLACE(G3267, ""_[a-z]{1,2}$"", """")"),"av_140")</f>
        <v>av_140</v>
      </c>
    </row>
    <row r="3268">
      <c r="A3268" s="44">
        <v>3268.0</v>
      </c>
      <c r="B3268" s="129" t="s">
        <v>285</v>
      </c>
      <c r="C3268" s="62" t="s">
        <v>115</v>
      </c>
      <c r="D3268" s="62" t="s">
        <v>1458</v>
      </c>
      <c r="F3268" s="68" t="s">
        <v>19680</v>
      </c>
      <c r="G3268" s="159" t="s">
        <v>19681</v>
      </c>
      <c r="H3268" s="159" t="s">
        <v>19319</v>
      </c>
      <c r="I3268" s="862"/>
      <c r="J3268" s="152">
        <v>45844.0</v>
      </c>
      <c r="K3268" s="159" t="s">
        <v>19682</v>
      </c>
      <c r="L3268" s="68"/>
      <c r="M3268" s="159" t="s">
        <v>19683</v>
      </c>
      <c r="N3268" s="159" t="s">
        <v>19684</v>
      </c>
      <c r="O3268" s="156">
        <v>2.0</v>
      </c>
      <c r="P3268" s="382" t="s">
        <v>19685</v>
      </c>
      <c r="Q3268" s="2191" t="str">
        <f> hyperlink(vlookup(lower(N3268),'File Links'!F:G, 2, FALSE), "LINK")</f>
        <v>LINK</v>
      </c>
      <c r="R3268" s="159" t="s">
        <v>19686</v>
      </c>
      <c r="S3268" s="159" t="s">
        <v>19687</v>
      </c>
      <c r="T3268" s="159" t="s">
        <v>138</v>
      </c>
      <c r="U3268" s="156">
        <v>1.0</v>
      </c>
      <c r="V3268" s="382" t="s">
        <v>19688</v>
      </c>
      <c r="W3268" s="1228"/>
      <c r="X3268" s="1552" t="str">
        <f> hyperlink(vlookup(lower(S3268),'File Links'!F:G, 2, FALSE), "LINK")</f>
        <v>LINK</v>
      </c>
      <c r="Y3268" s="159" t="s">
        <v>138</v>
      </c>
      <c r="Z3268" s="159" t="s">
        <v>226</v>
      </c>
      <c r="AA3268" s="159" t="s">
        <v>19689</v>
      </c>
      <c r="AB3268" s="159" t="s">
        <v>19690</v>
      </c>
      <c r="AC3268" s="159" t="s">
        <v>19691</v>
      </c>
      <c r="AD3268" s="159" t="s">
        <v>19692</v>
      </c>
      <c r="AE3268" s="159" t="s">
        <v>19693</v>
      </c>
      <c r="AF3268" s="156">
        <v>441.0</v>
      </c>
      <c r="AG3268" s="159" t="s">
        <v>19694</v>
      </c>
      <c r="AH3268" s="159" t="s">
        <v>134</v>
      </c>
      <c r="AI3268" s="159" t="s">
        <v>7749</v>
      </c>
      <c r="AJ3268" s="156">
        <v>0.01</v>
      </c>
      <c r="AK3268" s="159" t="s">
        <v>135</v>
      </c>
      <c r="AL3268" s="159" t="s">
        <v>186</v>
      </c>
      <c r="AM3268" s="159" t="s">
        <v>141</v>
      </c>
      <c r="AN3268" s="159" t="s">
        <v>138</v>
      </c>
      <c r="AO3268" s="156">
        <v>1297.0</v>
      </c>
      <c r="AP3268" s="159" t="s">
        <v>19695</v>
      </c>
      <c r="AQ3268" s="159" t="s">
        <v>134</v>
      </c>
      <c r="AR3268" s="159" t="s">
        <v>507</v>
      </c>
      <c r="AS3268" s="159" t="s">
        <v>138</v>
      </c>
      <c r="AT3268" s="159" t="s">
        <v>138</v>
      </c>
      <c r="AU3268" s="159" t="s">
        <v>186</v>
      </c>
      <c r="AV3268" s="159" t="s">
        <v>141</v>
      </c>
      <c r="AW3268" s="68" t="s">
        <v>138</v>
      </c>
      <c r="AX3268" s="159" t="s">
        <v>143</v>
      </c>
      <c r="AY3268" s="61" t="str">
        <f>IFERROR(__xludf.DUMMYFUNCTION("vlookup(BB3268,importrange(""https://docs.google.com/spreadsheets/d/1d2vevQ_7D_v35q4wCQ4RpQ_IPoTwEMB9Yp6ymwlPqew/edit?gid=984458430#gid=984458430"", ""'replication success'!A:K""), 11, FAlSE)"),"#N/A")</f>
        <v>#N/A</v>
      </c>
      <c r="AZ3268" s="61" t="str">
        <f>IFERROR(__xludf.DUMMYFUNCTION("vlookup(BB3268,importrange(""https://docs.google.com/spreadsheets/d/1d2vevQ_7D_v35q4wCQ4RpQ_IPoTwEMB9Yp6ymwlPqew/edit?gid=984458430#gid=984458430"", ""'replication success'!A:M""), 12, FAlSE)"),"#N/A")</f>
        <v>#N/A</v>
      </c>
      <c r="BA3268" s="61" t="str">
        <f>IFERROR(__xludf.DUMMYFUNCTION("vlookup(BB3268,importrange(""https://docs.google.com/spreadsheets/d/1d2vevQ_7D_v35q4wCQ4RpQ_IPoTwEMB9Yp6ymwlPqew/edit?gid=984458430#gid=984458430"", ""'replication success'!A:M""), 13, FAlSE)"),"#N/A")</f>
        <v>#N/A</v>
      </c>
      <c r="BB3268" s="61" t="str">
        <f>IFERROR(__xludf.DUMMYFUNCTION("REGEXREPLACE(G3268, ""_[a-z]{1,2}$"", """")"),"av_141")</f>
        <v>av_141</v>
      </c>
    </row>
    <row r="3269">
      <c r="A3269" s="44">
        <v>3269.0</v>
      </c>
      <c r="B3269" s="129" t="s">
        <v>285</v>
      </c>
      <c r="C3269" s="62" t="s">
        <v>115</v>
      </c>
      <c r="D3269" s="62" t="s">
        <v>1458</v>
      </c>
      <c r="F3269" s="68" t="s">
        <v>19680</v>
      </c>
      <c r="G3269" s="159" t="s">
        <v>19696</v>
      </c>
      <c r="H3269" s="159" t="s">
        <v>19319</v>
      </c>
      <c r="I3269" s="862"/>
      <c r="J3269" s="152">
        <v>45844.0</v>
      </c>
      <c r="K3269" s="159" t="s">
        <v>19697</v>
      </c>
      <c r="L3269" s="68"/>
      <c r="M3269" s="159" t="s">
        <v>19683</v>
      </c>
      <c r="N3269" s="159" t="s">
        <v>19684</v>
      </c>
      <c r="O3269" s="156">
        <v>2.0</v>
      </c>
      <c r="P3269" s="382" t="s">
        <v>19685</v>
      </c>
      <c r="Q3269" s="2191" t="str">
        <f> hyperlink(vlookup(lower(N3269),'File Links'!F:G, 2, FALSE), "LINK")</f>
        <v>LINK</v>
      </c>
      <c r="R3269" s="159" t="s">
        <v>19686</v>
      </c>
      <c r="S3269" s="159" t="s">
        <v>19687</v>
      </c>
      <c r="T3269" s="159" t="s">
        <v>138</v>
      </c>
      <c r="U3269" s="156">
        <v>1.0</v>
      </c>
      <c r="V3269" s="382" t="s">
        <v>19688</v>
      </c>
      <c r="W3269" s="1228"/>
      <c r="X3269" s="1552" t="str">
        <f> hyperlink(vlookup(lower(S3269),'File Links'!F:G, 2, FALSE), "LINK")</f>
        <v>LINK</v>
      </c>
      <c r="Y3269" s="159" t="s">
        <v>138</v>
      </c>
      <c r="Z3269" s="159" t="s">
        <v>226</v>
      </c>
      <c r="AA3269" s="159" t="s">
        <v>19689</v>
      </c>
      <c r="AB3269" s="159" t="s">
        <v>19690</v>
      </c>
      <c r="AC3269" s="159" t="s">
        <v>19691</v>
      </c>
      <c r="AD3269" s="159" t="s">
        <v>19692</v>
      </c>
      <c r="AE3269" s="159" t="s">
        <v>19693</v>
      </c>
      <c r="AF3269" s="156">
        <v>441.0</v>
      </c>
      <c r="AG3269" s="159" t="s">
        <v>19698</v>
      </c>
      <c r="AH3269" s="159" t="s">
        <v>134</v>
      </c>
      <c r="AI3269" s="159" t="s">
        <v>7749</v>
      </c>
      <c r="AJ3269" s="159" t="s">
        <v>138</v>
      </c>
      <c r="AK3269" s="159" t="s">
        <v>138</v>
      </c>
      <c r="AL3269" s="159" t="s">
        <v>186</v>
      </c>
      <c r="AM3269" s="159" t="s">
        <v>141</v>
      </c>
      <c r="AN3269" s="159" t="s">
        <v>138</v>
      </c>
      <c r="AO3269" s="156">
        <v>1297.0</v>
      </c>
      <c r="AP3269" s="159" t="s">
        <v>19699</v>
      </c>
      <c r="AQ3269" s="159" t="s">
        <v>134</v>
      </c>
      <c r="AR3269" s="159" t="s">
        <v>507</v>
      </c>
      <c r="AS3269" s="159" t="s">
        <v>138</v>
      </c>
      <c r="AT3269" s="159" t="s">
        <v>138</v>
      </c>
      <c r="AU3269" s="159" t="s">
        <v>186</v>
      </c>
      <c r="AV3269" s="159" t="s">
        <v>141</v>
      </c>
      <c r="AW3269" s="68" t="s">
        <v>138</v>
      </c>
      <c r="AX3269" s="159" t="s">
        <v>143</v>
      </c>
      <c r="AY3269" s="61" t="str">
        <f>IFERROR(__xludf.DUMMYFUNCTION("vlookup(BB3269,importrange(""https://docs.google.com/spreadsheets/d/1d2vevQ_7D_v35q4wCQ4RpQ_IPoTwEMB9Yp6ymwlPqew/edit?gid=984458430#gid=984458430"", ""'replication success'!A:K""), 11, FAlSE)"),"#N/A")</f>
        <v>#N/A</v>
      </c>
      <c r="AZ3269" s="61" t="str">
        <f>IFERROR(__xludf.DUMMYFUNCTION("vlookup(BB3269,importrange(""https://docs.google.com/spreadsheets/d/1d2vevQ_7D_v35q4wCQ4RpQ_IPoTwEMB9Yp6ymwlPqew/edit?gid=984458430#gid=984458430"", ""'replication success'!A:M""), 12, FAlSE)"),"#N/A")</f>
        <v>#N/A</v>
      </c>
      <c r="BA3269" s="61" t="str">
        <f>IFERROR(__xludf.DUMMYFUNCTION("vlookup(BB3269,importrange(""https://docs.google.com/spreadsheets/d/1d2vevQ_7D_v35q4wCQ4RpQ_IPoTwEMB9Yp6ymwlPqew/edit?gid=984458430#gid=984458430"", ""'replication success'!A:M""), 13, FAlSE)"),"#N/A")</f>
        <v>#N/A</v>
      </c>
      <c r="BB3269" s="61" t="str">
        <f>IFERROR(__xludf.DUMMYFUNCTION("REGEXREPLACE(G3269, ""_[a-z]{1,2}$"", """")"),"av_141")</f>
        <v>av_141</v>
      </c>
    </row>
    <row r="3270">
      <c r="A3270" s="44">
        <v>3270.0</v>
      </c>
      <c r="B3270" s="129" t="s">
        <v>285</v>
      </c>
      <c r="C3270" s="62" t="s">
        <v>115</v>
      </c>
      <c r="D3270" s="62" t="s">
        <v>221</v>
      </c>
      <c r="F3270" s="159" t="s">
        <v>19700</v>
      </c>
      <c r="G3270" s="159" t="s">
        <v>19701</v>
      </c>
      <c r="H3270" s="151" t="s">
        <v>222</v>
      </c>
      <c r="I3270" s="152">
        <v>45833.0</v>
      </c>
      <c r="J3270" s="152">
        <v>45833.0</v>
      </c>
      <c r="K3270" s="159" t="s">
        <v>19702</v>
      </c>
      <c r="L3270" s="68"/>
      <c r="M3270" s="159" t="s">
        <v>19703</v>
      </c>
      <c r="N3270" s="159" t="s">
        <v>19704</v>
      </c>
      <c r="O3270" s="159" t="s">
        <v>4104</v>
      </c>
      <c r="P3270" s="573"/>
      <c r="Q3270" s="2430" t="s">
        <v>19705</v>
      </c>
      <c r="R3270" s="159" t="s">
        <v>19706</v>
      </c>
      <c r="S3270" s="159" t="s">
        <v>19707</v>
      </c>
      <c r="T3270" s="159" t="s">
        <v>4104</v>
      </c>
      <c r="U3270" s="68"/>
      <c r="V3270" s="573"/>
      <c r="W3270" s="1228"/>
      <c r="X3270" s="2526" t="s">
        <v>19708</v>
      </c>
      <c r="Y3270" s="68"/>
      <c r="Z3270" s="159" t="s">
        <v>226</v>
      </c>
      <c r="AA3270" s="159" t="s">
        <v>19709</v>
      </c>
      <c r="AB3270" s="159" t="s">
        <v>19710</v>
      </c>
      <c r="AC3270" s="159" t="s">
        <v>19711</v>
      </c>
      <c r="AD3270" s="159" t="s">
        <v>19712</v>
      </c>
      <c r="AE3270" s="159" t="s">
        <v>813</v>
      </c>
      <c r="AF3270" s="156">
        <v>59.0</v>
      </c>
      <c r="AG3270" s="156">
        <v>1.34</v>
      </c>
      <c r="AH3270" s="159" t="s">
        <v>173</v>
      </c>
      <c r="AI3270" s="159" t="s">
        <v>813</v>
      </c>
      <c r="AJ3270" s="156">
        <v>0.001</v>
      </c>
      <c r="AK3270" s="159" t="s">
        <v>135</v>
      </c>
      <c r="AL3270" s="159" t="s">
        <v>136</v>
      </c>
      <c r="AM3270" s="159" t="s">
        <v>137</v>
      </c>
      <c r="AN3270" s="159" t="s">
        <v>138</v>
      </c>
      <c r="AO3270" s="156">
        <v>81.0</v>
      </c>
      <c r="AP3270" s="156">
        <v>0.42</v>
      </c>
      <c r="AQ3270" s="159" t="s">
        <v>602</v>
      </c>
      <c r="AR3270" s="159" t="s">
        <v>140</v>
      </c>
      <c r="AS3270" s="156">
        <v>0.42</v>
      </c>
      <c r="AT3270" s="159" t="s">
        <v>172</v>
      </c>
      <c r="AU3270" s="159" t="s">
        <v>136</v>
      </c>
      <c r="AV3270" s="159" t="s">
        <v>137</v>
      </c>
      <c r="AW3270" s="159" t="s">
        <v>138</v>
      </c>
      <c r="AX3270" s="159" t="s">
        <v>143</v>
      </c>
      <c r="AY3270" s="61" t="str">
        <f>IFERROR(__xludf.DUMMYFUNCTION("vlookup(BB3270,importrange(""https://docs.google.com/spreadsheets/d/1d2vevQ_7D_v35q4wCQ4RpQ_IPoTwEMB9Yp6ymwlPqew/edit?gid=984458430#gid=984458430"", ""'replication success'!A:K""), 11, FAlSE)"),"#N/A")</f>
        <v>#N/A</v>
      </c>
      <c r="AZ3270" s="61" t="str">
        <f>IFERROR(__xludf.DUMMYFUNCTION("vlookup(BB3270,importrange(""https://docs.google.com/spreadsheets/d/1d2vevQ_7D_v35q4wCQ4RpQ_IPoTwEMB9Yp6ymwlPqew/edit?gid=984458430#gid=984458430"", ""'replication success'!A:M""), 12, FAlSE)"),"#N/A")</f>
        <v>#N/A</v>
      </c>
      <c r="BA3270" s="61" t="str">
        <f>IFERROR(__xludf.DUMMYFUNCTION("vlookup(BB3270,importrange(""https://docs.google.com/spreadsheets/d/1d2vevQ_7D_v35q4wCQ4RpQ_IPoTwEMB9Yp6ymwlPqew/edit?gid=984458430#gid=984458430"", ""'replication success'!A:M""), 13, FAlSE)"),"#N/A")</f>
        <v>#N/A</v>
      </c>
      <c r="BB3270" s="61" t="str">
        <f>IFERROR(__xludf.DUMMYFUNCTION("REGEXREPLACE(G3270, ""_[a-z]{1,2}$"", """")"),"ManyLabs4_1a")</f>
        <v>ManyLabs4_1a</v>
      </c>
      <c r="BC3270" s="68"/>
      <c r="BD3270" s="68"/>
      <c r="BE3270" s="68"/>
      <c r="BF3270" s="68"/>
      <c r="BG3270" s="68"/>
      <c r="BH3270" s="68"/>
      <c r="BI3270" s="68"/>
      <c r="BJ3270" s="68"/>
      <c r="BK3270" s="68"/>
      <c r="BL3270" s="68"/>
      <c r="BM3270" s="68"/>
      <c r="BN3270" s="68"/>
      <c r="BO3270" s="68"/>
      <c r="BP3270" s="68"/>
      <c r="BQ3270" s="68"/>
      <c r="BR3270" s="68"/>
      <c r="BS3270" s="68"/>
      <c r="BT3270" s="68"/>
      <c r="BU3270" s="68"/>
      <c r="BV3270" s="68"/>
      <c r="BW3270" s="68"/>
      <c r="BX3270" s="68"/>
      <c r="BY3270" s="68"/>
      <c r="BZ3270" s="68"/>
      <c r="CA3270" s="68"/>
      <c r="CB3270" s="68"/>
      <c r="CC3270" s="68"/>
      <c r="CD3270" s="68"/>
      <c r="CE3270" s="68"/>
      <c r="CF3270" s="68"/>
      <c r="CG3270" s="68"/>
      <c r="CH3270" s="68"/>
      <c r="CI3270" s="68"/>
      <c r="CJ3270" s="68"/>
      <c r="CK3270" s="68"/>
      <c r="CL3270" s="68"/>
      <c r="CM3270" s="68"/>
      <c r="CN3270" s="68"/>
      <c r="CO3270" s="68"/>
      <c r="CP3270" s="68"/>
      <c r="CQ3270" s="68"/>
      <c r="CR3270" s="68"/>
      <c r="CS3270" s="68"/>
      <c r="CT3270" s="68"/>
      <c r="CU3270" s="68"/>
      <c r="CV3270" s="68"/>
      <c r="CW3270" s="68"/>
      <c r="CX3270" s="68"/>
      <c r="CY3270" s="68"/>
      <c r="CZ3270" s="68"/>
      <c r="DA3270" s="68"/>
      <c r="DB3270" s="68"/>
      <c r="DC3270" s="68"/>
      <c r="DD3270" s="68"/>
      <c r="DE3270" s="68"/>
      <c r="DF3270" s="68"/>
      <c r="DG3270" s="68"/>
      <c r="DH3270" s="68"/>
    </row>
    <row r="3271">
      <c r="A3271" s="44">
        <v>3271.0</v>
      </c>
      <c r="B3271" s="129" t="s">
        <v>285</v>
      </c>
      <c r="C3271" s="62" t="s">
        <v>115</v>
      </c>
      <c r="D3271" s="62" t="s">
        <v>221</v>
      </c>
      <c r="F3271" s="159" t="s">
        <v>19700</v>
      </c>
      <c r="G3271" s="159" t="s">
        <v>19713</v>
      </c>
      <c r="H3271" s="151" t="s">
        <v>222</v>
      </c>
      <c r="I3271" s="152">
        <v>45833.0</v>
      </c>
      <c r="J3271" s="152">
        <v>45833.0</v>
      </c>
      <c r="K3271" s="68"/>
      <c r="L3271" s="68"/>
      <c r="M3271" s="159" t="s">
        <v>19703</v>
      </c>
      <c r="N3271" s="159" t="s">
        <v>19704</v>
      </c>
      <c r="O3271" s="159" t="s">
        <v>4104</v>
      </c>
      <c r="P3271" s="573"/>
      <c r="Q3271" s="2430" t="s">
        <v>19705</v>
      </c>
      <c r="R3271" s="159" t="s">
        <v>19706</v>
      </c>
      <c r="S3271" s="159" t="s">
        <v>19707</v>
      </c>
      <c r="T3271" s="159" t="s">
        <v>4104</v>
      </c>
      <c r="U3271" s="68"/>
      <c r="V3271" s="573"/>
      <c r="W3271" s="1228"/>
      <c r="X3271" s="2526" t="s">
        <v>19708</v>
      </c>
      <c r="Y3271" s="68"/>
      <c r="Z3271" s="159" t="s">
        <v>226</v>
      </c>
      <c r="AA3271" s="159" t="s">
        <v>19709</v>
      </c>
      <c r="AB3271" s="159" t="s">
        <v>19710</v>
      </c>
      <c r="AC3271" s="159" t="s">
        <v>19714</v>
      </c>
      <c r="AD3271" s="159" t="s">
        <v>19712</v>
      </c>
      <c r="AE3271" s="159" t="s">
        <v>813</v>
      </c>
      <c r="AF3271" s="156">
        <v>59.0</v>
      </c>
      <c r="AG3271" s="156">
        <v>1.34</v>
      </c>
      <c r="AH3271" s="159" t="s">
        <v>173</v>
      </c>
      <c r="AI3271" s="159" t="s">
        <v>813</v>
      </c>
      <c r="AJ3271" s="156">
        <v>0.001</v>
      </c>
      <c r="AK3271" s="159" t="s">
        <v>135</v>
      </c>
      <c r="AL3271" s="159" t="s">
        <v>136</v>
      </c>
      <c r="AM3271" s="159" t="s">
        <v>137</v>
      </c>
      <c r="AN3271" s="159" t="s">
        <v>138</v>
      </c>
      <c r="AO3271" s="156">
        <v>81.0</v>
      </c>
      <c r="AP3271" s="1479">
        <v>-0.03</v>
      </c>
      <c r="AQ3271" s="159" t="s">
        <v>602</v>
      </c>
      <c r="AR3271" s="159" t="s">
        <v>140</v>
      </c>
      <c r="AS3271" s="156">
        <v>0.9</v>
      </c>
      <c r="AT3271" s="159" t="s">
        <v>172</v>
      </c>
      <c r="AU3271" s="159" t="s">
        <v>136</v>
      </c>
      <c r="AV3271" s="159" t="s">
        <v>137</v>
      </c>
      <c r="AW3271" s="159" t="s">
        <v>138</v>
      </c>
      <c r="AX3271" s="159" t="s">
        <v>151</v>
      </c>
      <c r="AY3271" s="61" t="str">
        <f>IFERROR(__xludf.DUMMYFUNCTION("vlookup(BB3271,importrange(""https://docs.google.com/spreadsheets/d/1d2vevQ_7D_v35q4wCQ4RpQ_IPoTwEMB9Yp6ymwlPqew/edit?gid=984458430#gid=984458430"", ""'replication success'!A:K""), 11, FAlSE)"),"#N/A")</f>
        <v>#N/A</v>
      </c>
      <c r="AZ3271" s="61" t="str">
        <f>IFERROR(__xludf.DUMMYFUNCTION("vlookup(BB3271,importrange(""https://docs.google.com/spreadsheets/d/1d2vevQ_7D_v35q4wCQ4RpQ_IPoTwEMB9Yp6ymwlPqew/edit?gid=984458430#gid=984458430"", ""'replication success'!A:M""), 12, FAlSE)"),"#N/A")</f>
        <v>#N/A</v>
      </c>
      <c r="BA3271" s="61" t="str">
        <f>IFERROR(__xludf.DUMMYFUNCTION("vlookup(BB3271,importrange(""https://docs.google.com/spreadsheets/d/1d2vevQ_7D_v35q4wCQ4RpQ_IPoTwEMB9Yp6ymwlPqew/edit?gid=984458430#gid=984458430"", ""'replication success'!A:M""), 13, FAlSE)"),"#N/A")</f>
        <v>#N/A</v>
      </c>
      <c r="BB3271" s="61" t="str">
        <f>IFERROR(__xludf.DUMMYFUNCTION("REGEXREPLACE(G3271, ""_[a-z]{1,2}$"", """")"),"ManyLabs4_1b")</f>
        <v>ManyLabs4_1b</v>
      </c>
      <c r="BC3271" s="68"/>
      <c r="BD3271" s="68"/>
      <c r="BE3271" s="68"/>
      <c r="BF3271" s="68"/>
      <c r="BG3271" s="68"/>
      <c r="BH3271" s="68"/>
      <c r="BI3271" s="68"/>
      <c r="BJ3271" s="68"/>
      <c r="BK3271" s="68"/>
      <c r="BL3271" s="68"/>
      <c r="BM3271" s="68"/>
      <c r="BN3271" s="68"/>
      <c r="BO3271" s="68"/>
      <c r="BP3271" s="68"/>
      <c r="BQ3271" s="68"/>
      <c r="BR3271" s="68"/>
      <c r="BS3271" s="68"/>
      <c r="BT3271" s="68"/>
      <c r="BU3271" s="68"/>
      <c r="BV3271" s="68"/>
      <c r="BW3271" s="68"/>
      <c r="BX3271" s="68"/>
      <c r="BY3271" s="68"/>
      <c r="BZ3271" s="68"/>
      <c r="CA3271" s="68"/>
      <c r="CB3271" s="68"/>
      <c r="CC3271" s="68"/>
      <c r="CD3271" s="68"/>
      <c r="CE3271" s="68"/>
      <c r="CF3271" s="68"/>
      <c r="CG3271" s="68"/>
      <c r="CH3271" s="68"/>
      <c r="CI3271" s="68"/>
      <c r="CJ3271" s="68"/>
      <c r="CK3271" s="68"/>
      <c r="CL3271" s="68"/>
      <c r="CM3271" s="68"/>
      <c r="CN3271" s="68"/>
      <c r="CO3271" s="68"/>
      <c r="CP3271" s="68"/>
      <c r="CQ3271" s="68"/>
      <c r="CR3271" s="68"/>
      <c r="CS3271" s="68"/>
      <c r="CT3271" s="68"/>
      <c r="CU3271" s="68"/>
      <c r="CV3271" s="68"/>
      <c r="CW3271" s="68"/>
      <c r="CX3271" s="68"/>
      <c r="CY3271" s="68"/>
      <c r="CZ3271" s="68"/>
      <c r="DA3271" s="68"/>
      <c r="DB3271" s="68"/>
      <c r="DC3271" s="68"/>
      <c r="DD3271" s="68"/>
      <c r="DE3271" s="68"/>
      <c r="DF3271" s="68"/>
      <c r="DG3271" s="68"/>
      <c r="DH3271" s="68"/>
    </row>
    <row r="3272">
      <c r="A3272" s="44">
        <v>3272.0</v>
      </c>
      <c r="B3272" s="129" t="s">
        <v>285</v>
      </c>
      <c r="C3272" s="62" t="s">
        <v>115</v>
      </c>
      <c r="D3272" s="62" t="s">
        <v>221</v>
      </c>
      <c r="F3272" s="159" t="s">
        <v>19700</v>
      </c>
      <c r="G3272" s="159" t="s">
        <v>19715</v>
      </c>
      <c r="H3272" s="151" t="s">
        <v>222</v>
      </c>
      <c r="I3272" s="152">
        <v>45833.0</v>
      </c>
      <c r="J3272" s="152">
        <v>45833.0</v>
      </c>
      <c r="K3272" s="68"/>
      <c r="L3272" s="68"/>
      <c r="M3272" s="159" t="s">
        <v>19703</v>
      </c>
      <c r="N3272" s="159" t="s">
        <v>19704</v>
      </c>
      <c r="O3272" s="159" t="s">
        <v>4104</v>
      </c>
      <c r="P3272" s="573"/>
      <c r="Q3272" s="2430" t="s">
        <v>19705</v>
      </c>
      <c r="R3272" s="159" t="s">
        <v>19706</v>
      </c>
      <c r="S3272" s="159" t="s">
        <v>19707</v>
      </c>
      <c r="T3272" s="159" t="s">
        <v>4104</v>
      </c>
      <c r="U3272" s="68"/>
      <c r="V3272" s="573"/>
      <c r="W3272" s="1228"/>
      <c r="X3272" s="2526" t="s">
        <v>19708</v>
      </c>
      <c r="Y3272" s="68"/>
      <c r="Z3272" s="159" t="s">
        <v>226</v>
      </c>
      <c r="AA3272" s="159" t="s">
        <v>19709</v>
      </c>
      <c r="AB3272" s="159" t="s">
        <v>19716</v>
      </c>
      <c r="AC3272" s="159" t="s">
        <v>19717</v>
      </c>
      <c r="AD3272" s="159" t="s">
        <v>19712</v>
      </c>
      <c r="AE3272" s="159" t="s">
        <v>813</v>
      </c>
      <c r="AF3272" s="156">
        <v>59.0</v>
      </c>
      <c r="AG3272" s="156">
        <v>1.34</v>
      </c>
      <c r="AH3272" s="159" t="s">
        <v>173</v>
      </c>
      <c r="AI3272" s="159" t="s">
        <v>813</v>
      </c>
      <c r="AJ3272" s="156">
        <v>0.001</v>
      </c>
      <c r="AK3272" s="159" t="s">
        <v>135</v>
      </c>
      <c r="AL3272" s="159" t="s">
        <v>136</v>
      </c>
      <c r="AM3272" s="159" t="s">
        <v>137</v>
      </c>
      <c r="AN3272" s="159" t="s">
        <v>138</v>
      </c>
      <c r="AO3272" s="156">
        <v>88.0</v>
      </c>
      <c r="AP3272" s="1479">
        <v>0.09</v>
      </c>
      <c r="AQ3272" s="159" t="s">
        <v>602</v>
      </c>
      <c r="AR3272" s="159" t="s">
        <v>140</v>
      </c>
      <c r="AS3272" s="156">
        <v>0.66</v>
      </c>
      <c r="AT3272" s="159" t="s">
        <v>172</v>
      </c>
      <c r="AU3272" s="159" t="s">
        <v>136</v>
      </c>
      <c r="AV3272" s="159" t="s">
        <v>137</v>
      </c>
      <c r="AW3272" s="159" t="s">
        <v>138</v>
      </c>
      <c r="AX3272" s="159" t="s">
        <v>143</v>
      </c>
      <c r="AY3272" s="61" t="str">
        <f>IFERROR(__xludf.DUMMYFUNCTION("vlookup(BB3272,importrange(""https://docs.google.com/spreadsheets/d/1d2vevQ_7D_v35q4wCQ4RpQ_IPoTwEMB9Yp6ymwlPqew/edit?gid=984458430#gid=984458430"", ""'replication success'!A:K""), 11, FAlSE)"),"#N/A")</f>
        <v>#N/A</v>
      </c>
      <c r="AZ3272" s="61" t="str">
        <f>IFERROR(__xludf.DUMMYFUNCTION("vlookup(BB3272,importrange(""https://docs.google.com/spreadsheets/d/1d2vevQ_7D_v35q4wCQ4RpQ_IPoTwEMB9Yp6ymwlPqew/edit?gid=984458430#gid=984458430"", ""'replication success'!A:M""), 12, FAlSE)"),"#N/A")</f>
        <v>#N/A</v>
      </c>
      <c r="BA3272" s="61" t="str">
        <f>IFERROR(__xludf.DUMMYFUNCTION("vlookup(BB3272,importrange(""https://docs.google.com/spreadsheets/d/1d2vevQ_7D_v35q4wCQ4RpQ_IPoTwEMB9Yp6ymwlPqew/edit?gid=984458430#gid=984458430"", ""'replication success'!A:M""), 13, FAlSE)"),"#N/A")</f>
        <v>#N/A</v>
      </c>
      <c r="BB3272" s="61" t="str">
        <f>IFERROR(__xludf.DUMMYFUNCTION("REGEXREPLACE(G3272, ""_[a-z]{1,2}$"", """")"),"ManyLabs4_1c")</f>
        <v>ManyLabs4_1c</v>
      </c>
      <c r="BC3272" s="68"/>
      <c r="BD3272" s="68"/>
      <c r="BE3272" s="68"/>
      <c r="BF3272" s="68"/>
      <c r="BG3272" s="68"/>
      <c r="BH3272" s="68"/>
      <c r="BI3272" s="68"/>
      <c r="BJ3272" s="68"/>
      <c r="BK3272" s="68"/>
      <c r="BL3272" s="68"/>
      <c r="BM3272" s="68"/>
      <c r="BN3272" s="68"/>
      <c r="BO3272" s="68"/>
      <c r="BP3272" s="68"/>
      <c r="BQ3272" s="68"/>
      <c r="BR3272" s="68"/>
      <c r="BS3272" s="68"/>
      <c r="BT3272" s="68"/>
      <c r="BU3272" s="68"/>
      <c r="BV3272" s="68"/>
      <c r="BW3272" s="68"/>
      <c r="BX3272" s="68"/>
      <c r="BY3272" s="68"/>
      <c r="BZ3272" s="68"/>
      <c r="CA3272" s="68"/>
      <c r="CB3272" s="68"/>
      <c r="CC3272" s="68"/>
      <c r="CD3272" s="68"/>
      <c r="CE3272" s="68"/>
      <c r="CF3272" s="68"/>
      <c r="CG3272" s="68"/>
      <c r="CH3272" s="68"/>
      <c r="CI3272" s="68"/>
      <c r="CJ3272" s="68"/>
      <c r="CK3272" s="68"/>
      <c r="CL3272" s="68"/>
      <c r="CM3272" s="68"/>
      <c r="CN3272" s="68"/>
      <c r="CO3272" s="68"/>
      <c r="CP3272" s="68"/>
      <c r="CQ3272" s="68"/>
      <c r="CR3272" s="68"/>
      <c r="CS3272" s="68"/>
      <c r="CT3272" s="68"/>
      <c r="CU3272" s="68"/>
      <c r="CV3272" s="68"/>
      <c r="CW3272" s="68"/>
      <c r="CX3272" s="68"/>
      <c r="CY3272" s="68"/>
      <c r="CZ3272" s="68"/>
      <c r="DA3272" s="68"/>
      <c r="DB3272" s="68"/>
      <c r="DC3272" s="68"/>
      <c r="DD3272" s="68"/>
      <c r="DE3272" s="68"/>
      <c r="DF3272" s="68"/>
      <c r="DG3272" s="68"/>
      <c r="DH3272" s="68"/>
    </row>
    <row r="3273">
      <c r="A3273" s="44">
        <v>3273.0</v>
      </c>
      <c r="B3273" s="129" t="s">
        <v>285</v>
      </c>
      <c r="C3273" s="62" t="s">
        <v>115</v>
      </c>
      <c r="D3273" s="62" t="s">
        <v>221</v>
      </c>
      <c r="F3273" s="159" t="s">
        <v>19700</v>
      </c>
      <c r="G3273" s="159" t="s">
        <v>19718</v>
      </c>
      <c r="H3273" s="151" t="s">
        <v>222</v>
      </c>
      <c r="I3273" s="152">
        <v>45833.0</v>
      </c>
      <c r="J3273" s="152">
        <v>45833.0</v>
      </c>
      <c r="K3273" s="159" t="s">
        <v>19719</v>
      </c>
      <c r="L3273" s="68"/>
      <c r="M3273" s="159" t="s">
        <v>19703</v>
      </c>
      <c r="N3273" s="159" t="s">
        <v>19704</v>
      </c>
      <c r="O3273" s="159" t="s">
        <v>4104</v>
      </c>
      <c r="P3273" s="573"/>
      <c r="Q3273" s="2430" t="s">
        <v>19705</v>
      </c>
      <c r="R3273" s="159" t="s">
        <v>19706</v>
      </c>
      <c r="S3273" s="159" t="s">
        <v>19707</v>
      </c>
      <c r="T3273" s="159" t="s">
        <v>4104</v>
      </c>
      <c r="U3273" s="68"/>
      <c r="V3273" s="573"/>
      <c r="W3273" s="1228"/>
      <c r="X3273" s="2526" t="s">
        <v>19708</v>
      </c>
      <c r="Y3273" s="68"/>
      <c r="Z3273" s="159" t="s">
        <v>226</v>
      </c>
      <c r="AA3273" s="159" t="s">
        <v>19709</v>
      </c>
      <c r="AB3273" s="159" t="s">
        <v>19720</v>
      </c>
      <c r="AC3273" s="159" t="s">
        <v>19721</v>
      </c>
      <c r="AD3273" s="159" t="s">
        <v>19722</v>
      </c>
      <c r="AE3273" s="159" t="s">
        <v>813</v>
      </c>
      <c r="AF3273" s="156">
        <v>59.0</v>
      </c>
      <c r="AG3273" s="156">
        <v>1.34</v>
      </c>
      <c r="AH3273" s="159" t="s">
        <v>173</v>
      </c>
      <c r="AI3273" s="159" t="s">
        <v>813</v>
      </c>
      <c r="AJ3273" s="156">
        <v>0.001</v>
      </c>
      <c r="AK3273" s="159" t="s">
        <v>135</v>
      </c>
      <c r="AL3273" s="159" t="s">
        <v>136</v>
      </c>
      <c r="AM3273" s="159" t="s">
        <v>137</v>
      </c>
      <c r="AN3273" s="159" t="s">
        <v>138</v>
      </c>
      <c r="AO3273" s="156">
        <v>106.0</v>
      </c>
      <c r="AP3273" s="156">
        <v>-0.08</v>
      </c>
      <c r="AQ3273" s="159" t="s">
        <v>602</v>
      </c>
      <c r="AR3273" s="159" t="s">
        <v>140</v>
      </c>
      <c r="AS3273" s="156">
        <v>0.68</v>
      </c>
      <c r="AT3273" s="159" t="s">
        <v>172</v>
      </c>
      <c r="AU3273" s="159" t="s">
        <v>136</v>
      </c>
      <c r="AV3273" s="159" t="s">
        <v>137</v>
      </c>
      <c r="AW3273" s="159" t="s">
        <v>138</v>
      </c>
      <c r="AX3273" s="159" t="s">
        <v>143</v>
      </c>
      <c r="AY3273" s="61" t="str">
        <f>IFERROR(__xludf.DUMMYFUNCTION("vlookup(BB3273,importrange(""https://docs.google.com/spreadsheets/d/1d2vevQ_7D_v35q4wCQ4RpQ_IPoTwEMB9Yp6ymwlPqew/edit?gid=984458430#gid=984458430"", ""'replication success'!A:K""), 11, FAlSE)"),"#N/A")</f>
        <v>#N/A</v>
      </c>
      <c r="AZ3273" s="61" t="str">
        <f>IFERROR(__xludf.DUMMYFUNCTION("vlookup(BB3273,importrange(""https://docs.google.com/spreadsheets/d/1d2vevQ_7D_v35q4wCQ4RpQ_IPoTwEMB9Yp6ymwlPqew/edit?gid=984458430#gid=984458430"", ""'replication success'!A:M""), 12, FAlSE)"),"#N/A")</f>
        <v>#N/A</v>
      </c>
      <c r="BA3273" s="61" t="str">
        <f>IFERROR(__xludf.DUMMYFUNCTION("vlookup(BB3273,importrange(""https://docs.google.com/spreadsheets/d/1d2vevQ_7D_v35q4wCQ4RpQ_IPoTwEMB9Yp6ymwlPqew/edit?gid=984458430#gid=984458430"", ""'replication success'!A:M""), 13, FAlSE)"),"#N/A")</f>
        <v>#N/A</v>
      </c>
      <c r="BB3273" s="61" t="str">
        <f>IFERROR(__xludf.DUMMYFUNCTION("REGEXREPLACE(G3273, ""_[a-z]{1,2}$"", """")"),"ManyLabs4_1d")</f>
        <v>ManyLabs4_1d</v>
      </c>
      <c r="BC3273" s="68"/>
      <c r="BD3273" s="68"/>
      <c r="BE3273" s="68"/>
      <c r="BF3273" s="68"/>
      <c r="BG3273" s="68"/>
      <c r="BH3273" s="68"/>
      <c r="BI3273" s="68"/>
      <c r="BJ3273" s="68"/>
      <c r="BK3273" s="68"/>
      <c r="BL3273" s="68"/>
      <c r="BM3273" s="68"/>
      <c r="BN3273" s="68"/>
      <c r="BO3273" s="68"/>
      <c r="BP3273" s="68"/>
      <c r="BQ3273" s="68"/>
      <c r="BR3273" s="68"/>
      <c r="BS3273" s="68"/>
      <c r="BT3273" s="68"/>
      <c r="BU3273" s="68"/>
      <c r="BV3273" s="68"/>
      <c r="BW3273" s="68"/>
      <c r="BX3273" s="68"/>
      <c r="BY3273" s="68"/>
      <c r="BZ3273" s="68"/>
      <c r="CA3273" s="68"/>
      <c r="CB3273" s="68"/>
      <c r="CC3273" s="68"/>
      <c r="CD3273" s="68"/>
      <c r="CE3273" s="68"/>
      <c r="CF3273" s="68"/>
      <c r="CG3273" s="68"/>
      <c r="CH3273" s="68"/>
      <c r="CI3273" s="68"/>
      <c r="CJ3273" s="68"/>
      <c r="CK3273" s="68"/>
      <c r="CL3273" s="68"/>
      <c r="CM3273" s="68"/>
      <c r="CN3273" s="68"/>
      <c r="CO3273" s="68"/>
      <c r="CP3273" s="68"/>
      <c r="CQ3273" s="68"/>
      <c r="CR3273" s="68"/>
      <c r="CS3273" s="68"/>
      <c r="CT3273" s="68"/>
      <c r="CU3273" s="68"/>
      <c r="CV3273" s="68"/>
      <c r="CW3273" s="68"/>
      <c r="CX3273" s="68"/>
      <c r="CY3273" s="68"/>
      <c r="CZ3273" s="68"/>
      <c r="DA3273" s="68"/>
      <c r="DB3273" s="68"/>
      <c r="DC3273" s="68"/>
      <c r="DD3273" s="68"/>
      <c r="DE3273" s="68"/>
      <c r="DF3273" s="68"/>
      <c r="DG3273" s="68"/>
      <c r="DH3273" s="68"/>
    </row>
    <row r="3274">
      <c r="A3274" s="44">
        <v>3274.0</v>
      </c>
      <c r="B3274" s="129" t="s">
        <v>285</v>
      </c>
      <c r="C3274" s="62" t="s">
        <v>115</v>
      </c>
      <c r="D3274" s="62" t="s">
        <v>221</v>
      </c>
      <c r="F3274" s="159" t="s">
        <v>19700</v>
      </c>
      <c r="G3274" s="159" t="s">
        <v>19723</v>
      </c>
      <c r="H3274" s="151" t="s">
        <v>222</v>
      </c>
      <c r="I3274" s="152">
        <v>45833.0</v>
      </c>
      <c r="J3274" s="152">
        <v>45833.0</v>
      </c>
      <c r="K3274" s="68"/>
      <c r="L3274" s="68"/>
      <c r="M3274" s="159" t="s">
        <v>19703</v>
      </c>
      <c r="N3274" s="159" t="s">
        <v>19704</v>
      </c>
      <c r="O3274" s="159" t="s">
        <v>4104</v>
      </c>
      <c r="P3274" s="573"/>
      <c r="Q3274" s="2430" t="s">
        <v>19705</v>
      </c>
      <c r="R3274" s="159" t="s">
        <v>19706</v>
      </c>
      <c r="S3274" s="159" t="s">
        <v>19707</v>
      </c>
      <c r="T3274" s="159" t="s">
        <v>4104</v>
      </c>
      <c r="U3274" s="68"/>
      <c r="V3274" s="573"/>
      <c r="W3274" s="1228"/>
      <c r="X3274" s="2526" t="s">
        <v>19708</v>
      </c>
      <c r="Y3274" s="68"/>
      <c r="Z3274" s="159" t="s">
        <v>226</v>
      </c>
      <c r="AA3274" s="159" t="s">
        <v>19709</v>
      </c>
      <c r="AB3274" s="159" t="s">
        <v>19720</v>
      </c>
      <c r="AC3274" s="159" t="s">
        <v>19724</v>
      </c>
      <c r="AD3274" s="159" t="s">
        <v>19712</v>
      </c>
      <c r="AE3274" s="159" t="s">
        <v>813</v>
      </c>
      <c r="AF3274" s="156">
        <v>59.0</v>
      </c>
      <c r="AG3274" s="156">
        <v>1.34</v>
      </c>
      <c r="AH3274" s="159" t="s">
        <v>173</v>
      </c>
      <c r="AI3274" s="159" t="s">
        <v>813</v>
      </c>
      <c r="AJ3274" s="156">
        <v>0.001</v>
      </c>
      <c r="AK3274" s="159" t="s">
        <v>135</v>
      </c>
      <c r="AL3274" s="159" t="s">
        <v>136</v>
      </c>
      <c r="AM3274" s="159" t="s">
        <v>137</v>
      </c>
      <c r="AN3274" s="159" t="s">
        <v>138</v>
      </c>
      <c r="AO3274" s="156">
        <v>58.0</v>
      </c>
      <c r="AP3274" s="156">
        <v>-0.36</v>
      </c>
      <c r="AQ3274" s="159" t="s">
        <v>602</v>
      </c>
      <c r="AR3274" s="159" t="s">
        <v>140</v>
      </c>
      <c r="AS3274" s="156">
        <v>0.17</v>
      </c>
      <c r="AT3274" s="159" t="s">
        <v>172</v>
      </c>
      <c r="AU3274" s="159" t="s">
        <v>136</v>
      </c>
      <c r="AV3274" s="159" t="s">
        <v>137</v>
      </c>
      <c r="AW3274" s="159" t="s">
        <v>138</v>
      </c>
      <c r="AX3274" s="159" t="s">
        <v>143</v>
      </c>
      <c r="AY3274" s="61" t="str">
        <f>IFERROR(__xludf.DUMMYFUNCTION("vlookup(BB3274,importrange(""https://docs.google.com/spreadsheets/d/1d2vevQ_7D_v35q4wCQ4RpQ_IPoTwEMB9Yp6ymwlPqew/edit?gid=984458430#gid=984458430"", ""'replication success'!A:K""), 11, FAlSE)"),"#N/A")</f>
        <v>#N/A</v>
      </c>
      <c r="AZ3274" s="61" t="str">
        <f>IFERROR(__xludf.DUMMYFUNCTION("vlookup(BB3274,importrange(""https://docs.google.com/spreadsheets/d/1d2vevQ_7D_v35q4wCQ4RpQ_IPoTwEMB9Yp6ymwlPqew/edit?gid=984458430#gid=984458430"", ""'replication success'!A:M""), 12, FAlSE)"),"#N/A")</f>
        <v>#N/A</v>
      </c>
      <c r="BA3274" s="61" t="str">
        <f>IFERROR(__xludf.DUMMYFUNCTION("vlookup(BB3274,importrange(""https://docs.google.com/spreadsheets/d/1d2vevQ_7D_v35q4wCQ4RpQ_IPoTwEMB9Yp6ymwlPqew/edit?gid=984458430#gid=984458430"", ""'replication success'!A:M""), 13, FAlSE)"),"#N/A")</f>
        <v>#N/A</v>
      </c>
      <c r="BB3274" s="61" t="str">
        <f>IFERROR(__xludf.DUMMYFUNCTION("REGEXREPLACE(G3274, ""_[a-z]{1,2}$"", """")"),"ManyLabs4_1e")</f>
        <v>ManyLabs4_1e</v>
      </c>
      <c r="BC3274" s="68"/>
      <c r="BD3274" s="68"/>
      <c r="BE3274" s="68"/>
      <c r="BF3274" s="68"/>
      <c r="BG3274" s="68"/>
      <c r="BH3274" s="68"/>
      <c r="BI3274" s="68"/>
      <c r="BJ3274" s="68"/>
      <c r="BK3274" s="68"/>
      <c r="BL3274" s="68"/>
      <c r="BM3274" s="68"/>
      <c r="BN3274" s="68"/>
      <c r="BO3274" s="68"/>
      <c r="BP3274" s="68"/>
      <c r="BQ3274" s="68"/>
      <c r="BR3274" s="68"/>
      <c r="BS3274" s="68"/>
      <c r="BT3274" s="68"/>
      <c r="BU3274" s="68"/>
      <c r="BV3274" s="68"/>
      <c r="BW3274" s="68"/>
      <c r="BX3274" s="68"/>
      <c r="BY3274" s="68"/>
      <c r="BZ3274" s="68"/>
      <c r="CA3274" s="68"/>
      <c r="CB3274" s="68"/>
      <c r="CC3274" s="68"/>
      <c r="CD3274" s="68"/>
      <c r="CE3274" s="68"/>
      <c r="CF3274" s="68"/>
      <c r="CG3274" s="68"/>
      <c r="CH3274" s="68"/>
      <c r="CI3274" s="68"/>
      <c r="CJ3274" s="68"/>
      <c r="CK3274" s="68"/>
      <c r="CL3274" s="68"/>
      <c r="CM3274" s="68"/>
      <c r="CN3274" s="68"/>
      <c r="CO3274" s="68"/>
      <c r="CP3274" s="68"/>
      <c r="CQ3274" s="68"/>
      <c r="CR3274" s="68"/>
      <c r="CS3274" s="68"/>
      <c r="CT3274" s="68"/>
      <c r="CU3274" s="68"/>
      <c r="CV3274" s="68"/>
      <c r="CW3274" s="68"/>
      <c r="CX3274" s="68"/>
      <c r="CY3274" s="68"/>
      <c r="CZ3274" s="68"/>
      <c r="DA3274" s="68"/>
      <c r="DB3274" s="68"/>
      <c r="DC3274" s="68"/>
      <c r="DD3274" s="68"/>
      <c r="DE3274" s="68"/>
      <c r="DF3274" s="68"/>
      <c r="DG3274" s="68"/>
      <c r="DH3274" s="68"/>
    </row>
    <row r="3275">
      <c r="A3275" s="44">
        <v>3275.0</v>
      </c>
      <c r="B3275" s="129" t="s">
        <v>285</v>
      </c>
      <c r="C3275" s="62" t="s">
        <v>115</v>
      </c>
      <c r="D3275" s="62" t="s">
        <v>221</v>
      </c>
      <c r="F3275" s="159" t="s">
        <v>19700</v>
      </c>
      <c r="G3275" s="159" t="s">
        <v>19725</v>
      </c>
      <c r="H3275" s="151" t="s">
        <v>222</v>
      </c>
      <c r="I3275" s="152">
        <v>45833.0</v>
      </c>
      <c r="J3275" s="152">
        <v>45833.0</v>
      </c>
      <c r="K3275" s="68"/>
      <c r="L3275" s="68"/>
      <c r="M3275" s="159" t="s">
        <v>19703</v>
      </c>
      <c r="N3275" s="159" t="s">
        <v>19704</v>
      </c>
      <c r="O3275" s="159" t="s">
        <v>4104</v>
      </c>
      <c r="P3275" s="573"/>
      <c r="Q3275" s="2430" t="s">
        <v>19705</v>
      </c>
      <c r="R3275" s="159" t="s">
        <v>19706</v>
      </c>
      <c r="S3275" s="159" t="s">
        <v>19707</v>
      </c>
      <c r="T3275" s="159" t="s">
        <v>4104</v>
      </c>
      <c r="U3275" s="68"/>
      <c r="V3275" s="573"/>
      <c r="W3275" s="1228"/>
      <c r="X3275" s="2526" t="s">
        <v>19708</v>
      </c>
      <c r="Y3275" s="68"/>
      <c r="Z3275" s="159" t="s">
        <v>226</v>
      </c>
      <c r="AA3275" s="159" t="s">
        <v>19709</v>
      </c>
      <c r="AB3275" s="159" t="s">
        <v>19720</v>
      </c>
      <c r="AC3275" s="159" t="s">
        <v>19726</v>
      </c>
      <c r="AD3275" s="159" t="s">
        <v>19712</v>
      </c>
      <c r="AE3275" s="159" t="s">
        <v>813</v>
      </c>
      <c r="AF3275" s="156">
        <v>59.0</v>
      </c>
      <c r="AG3275" s="156">
        <v>1.34</v>
      </c>
      <c r="AH3275" s="159" t="s">
        <v>173</v>
      </c>
      <c r="AI3275" s="159" t="s">
        <v>813</v>
      </c>
      <c r="AJ3275" s="156">
        <v>0.001</v>
      </c>
      <c r="AK3275" s="159" t="s">
        <v>135</v>
      </c>
      <c r="AL3275" s="159" t="s">
        <v>136</v>
      </c>
      <c r="AM3275" s="159" t="s">
        <v>137</v>
      </c>
      <c r="AN3275" s="159" t="s">
        <v>138</v>
      </c>
      <c r="AO3275" s="156">
        <v>60.0</v>
      </c>
      <c r="AP3275" s="156">
        <v>-0.25</v>
      </c>
      <c r="AQ3275" s="159" t="s">
        <v>3563</v>
      </c>
      <c r="AR3275" s="159" t="s">
        <v>140</v>
      </c>
      <c r="AS3275" s="156">
        <v>0.33</v>
      </c>
      <c r="AT3275" s="159" t="s">
        <v>172</v>
      </c>
      <c r="AU3275" s="159" t="s">
        <v>136</v>
      </c>
      <c r="AV3275" s="159" t="s">
        <v>137</v>
      </c>
      <c r="AW3275" s="159" t="s">
        <v>138</v>
      </c>
      <c r="AX3275" s="159" t="s">
        <v>151</v>
      </c>
      <c r="AY3275" s="61" t="str">
        <f>IFERROR(__xludf.DUMMYFUNCTION("vlookup(BB3275,importrange(""https://docs.google.com/spreadsheets/d/1d2vevQ_7D_v35q4wCQ4RpQ_IPoTwEMB9Yp6ymwlPqew/edit?gid=984458430#gid=984458430"", ""'replication success'!A:K""), 11, FAlSE)"),"#N/A")</f>
        <v>#N/A</v>
      </c>
      <c r="AZ3275" s="61" t="str">
        <f>IFERROR(__xludf.DUMMYFUNCTION("vlookup(BB3275,importrange(""https://docs.google.com/spreadsheets/d/1d2vevQ_7D_v35q4wCQ4RpQ_IPoTwEMB9Yp6ymwlPqew/edit?gid=984458430#gid=984458430"", ""'replication success'!A:M""), 12, FAlSE)"),"#N/A")</f>
        <v>#N/A</v>
      </c>
      <c r="BA3275" s="61" t="str">
        <f>IFERROR(__xludf.DUMMYFUNCTION("vlookup(BB3275,importrange(""https://docs.google.com/spreadsheets/d/1d2vevQ_7D_v35q4wCQ4RpQ_IPoTwEMB9Yp6ymwlPqew/edit?gid=984458430#gid=984458430"", ""'replication success'!A:M""), 13, FAlSE)"),"#N/A")</f>
        <v>#N/A</v>
      </c>
      <c r="BB3275" s="61" t="str">
        <f>IFERROR(__xludf.DUMMYFUNCTION("REGEXREPLACE(G3275, ""_[a-z]{1,2}$"", """")"),"ManyLabs4_1f")</f>
        <v>ManyLabs4_1f</v>
      </c>
      <c r="BC3275" s="68"/>
      <c r="BD3275" s="68"/>
      <c r="BE3275" s="68"/>
      <c r="BF3275" s="68"/>
      <c r="BG3275" s="68"/>
      <c r="BH3275" s="68"/>
      <c r="BI3275" s="68"/>
      <c r="BJ3275" s="68"/>
      <c r="BK3275" s="68"/>
      <c r="BL3275" s="68"/>
      <c r="BM3275" s="68"/>
      <c r="BN3275" s="68"/>
      <c r="BO3275" s="68"/>
      <c r="BP3275" s="68"/>
      <c r="BQ3275" s="68"/>
      <c r="BR3275" s="68"/>
      <c r="BS3275" s="68"/>
      <c r="BT3275" s="68"/>
      <c r="BU3275" s="68"/>
      <c r="BV3275" s="68"/>
      <c r="BW3275" s="68"/>
      <c r="BX3275" s="68"/>
      <c r="BY3275" s="68"/>
      <c r="BZ3275" s="68"/>
      <c r="CA3275" s="68"/>
      <c r="CB3275" s="68"/>
      <c r="CC3275" s="68"/>
      <c r="CD3275" s="68"/>
      <c r="CE3275" s="68"/>
      <c r="CF3275" s="68"/>
      <c r="CG3275" s="68"/>
      <c r="CH3275" s="68"/>
      <c r="CI3275" s="68"/>
      <c r="CJ3275" s="68"/>
      <c r="CK3275" s="68"/>
      <c r="CL3275" s="68"/>
      <c r="CM3275" s="68"/>
      <c r="CN3275" s="68"/>
      <c r="CO3275" s="68"/>
      <c r="CP3275" s="68"/>
      <c r="CQ3275" s="68"/>
      <c r="CR3275" s="68"/>
      <c r="CS3275" s="68"/>
      <c r="CT3275" s="68"/>
      <c r="CU3275" s="68"/>
      <c r="CV3275" s="68"/>
      <c r="CW3275" s="68"/>
      <c r="CX3275" s="68"/>
      <c r="CY3275" s="68"/>
      <c r="CZ3275" s="68"/>
      <c r="DA3275" s="68"/>
      <c r="DB3275" s="68"/>
      <c r="DC3275" s="68"/>
      <c r="DD3275" s="68"/>
      <c r="DE3275" s="68"/>
      <c r="DF3275" s="68"/>
      <c r="DG3275" s="68"/>
      <c r="DH3275" s="68"/>
    </row>
    <row r="3276">
      <c r="A3276" s="44">
        <v>3276.0</v>
      </c>
      <c r="B3276" s="129" t="s">
        <v>285</v>
      </c>
      <c r="C3276" s="62" t="s">
        <v>115</v>
      </c>
      <c r="D3276" s="62" t="s">
        <v>221</v>
      </c>
      <c r="F3276" s="159" t="s">
        <v>19700</v>
      </c>
      <c r="G3276" s="159" t="s">
        <v>19727</v>
      </c>
      <c r="H3276" s="151" t="s">
        <v>222</v>
      </c>
      <c r="I3276" s="152">
        <v>45833.0</v>
      </c>
      <c r="J3276" s="152">
        <v>45833.0</v>
      </c>
      <c r="K3276" s="68"/>
      <c r="L3276" s="68"/>
      <c r="M3276" s="159" t="s">
        <v>19703</v>
      </c>
      <c r="N3276" s="159" t="s">
        <v>19704</v>
      </c>
      <c r="O3276" s="159" t="s">
        <v>4104</v>
      </c>
      <c r="P3276" s="573"/>
      <c r="Q3276" s="2430" t="s">
        <v>19705</v>
      </c>
      <c r="R3276" s="159" t="s">
        <v>19706</v>
      </c>
      <c r="S3276" s="159" t="s">
        <v>19707</v>
      </c>
      <c r="T3276" s="159" t="s">
        <v>4104</v>
      </c>
      <c r="U3276" s="68"/>
      <c r="V3276" s="573"/>
      <c r="W3276" s="1228"/>
      <c r="X3276" s="2526" t="s">
        <v>19708</v>
      </c>
      <c r="Y3276" s="68"/>
      <c r="Z3276" s="159" t="s">
        <v>226</v>
      </c>
      <c r="AA3276" s="159" t="s">
        <v>19709</v>
      </c>
      <c r="AB3276" s="159" t="s">
        <v>19720</v>
      </c>
      <c r="AC3276" s="159" t="s">
        <v>19728</v>
      </c>
      <c r="AD3276" s="159" t="s">
        <v>19712</v>
      </c>
      <c r="AE3276" s="159" t="s">
        <v>813</v>
      </c>
      <c r="AF3276" s="156">
        <v>59.0</v>
      </c>
      <c r="AG3276" s="156">
        <v>1.34</v>
      </c>
      <c r="AH3276" s="159" t="s">
        <v>173</v>
      </c>
      <c r="AI3276" s="159" t="s">
        <v>813</v>
      </c>
      <c r="AJ3276" s="156">
        <v>0.001</v>
      </c>
      <c r="AK3276" s="159" t="s">
        <v>135</v>
      </c>
      <c r="AL3276" s="159" t="s">
        <v>136</v>
      </c>
      <c r="AM3276" s="159" t="s">
        <v>137</v>
      </c>
      <c r="AN3276" s="159" t="s">
        <v>138</v>
      </c>
      <c r="AO3276" s="156">
        <v>135.0</v>
      </c>
      <c r="AP3276" s="156">
        <v>0.22</v>
      </c>
      <c r="AQ3276" s="159" t="s">
        <v>602</v>
      </c>
      <c r="AR3276" s="159" t="s">
        <v>140</v>
      </c>
      <c r="AS3276" s="156">
        <v>0.22</v>
      </c>
      <c r="AT3276" s="159" t="s">
        <v>172</v>
      </c>
      <c r="AU3276" s="159" t="s">
        <v>136</v>
      </c>
      <c r="AV3276" s="159" t="s">
        <v>137</v>
      </c>
      <c r="AW3276" s="159" t="s">
        <v>138</v>
      </c>
      <c r="AX3276" s="159" t="s">
        <v>143</v>
      </c>
      <c r="AY3276" s="61" t="str">
        <f>IFERROR(__xludf.DUMMYFUNCTION("vlookup(BB3276,importrange(""https://docs.google.com/spreadsheets/d/1d2vevQ_7D_v35q4wCQ4RpQ_IPoTwEMB9Yp6ymwlPqew/edit?gid=984458430#gid=984458430"", ""'replication success'!A:K""), 11, FAlSE)"),"#N/A")</f>
        <v>#N/A</v>
      </c>
      <c r="AZ3276" s="61" t="str">
        <f>IFERROR(__xludf.DUMMYFUNCTION("vlookup(BB3276,importrange(""https://docs.google.com/spreadsheets/d/1d2vevQ_7D_v35q4wCQ4RpQ_IPoTwEMB9Yp6ymwlPqew/edit?gid=984458430#gid=984458430"", ""'replication success'!A:M""), 12, FAlSE)"),"#N/A")</f>
        <v>#N/A</v>
      </c>
      <c r="BA3276" s="61" t="str">
        <f>IFERROR(__xludf.DUMMYFUNCTION("vlookup(BB3276,importrange(""https://docs.google.com/spreadsheets/d/1d2vevQ_7D_v35q4wCQ4RpQ_IPoTwEMB9Yp6ymwlPqew/edit?gid=984458430#gid=984458430"", ""'replication success'!A:M""), 13, FAlSE)"),"#N/A")</f>
        <v>#N/A</v>
      </c>
      <c r="BB3276" s="61" t="str">
        <f>IFERROR(__xludf.DUMMYFUNCTION("REGEXREPLACE(G3276, ""_[a-z]{1,2}$"", """")"),"ManyLabs4_1g")</f>
        <v>ManyLabs4_1g</v>
      </c>
      <c r="BC3276" s="68"/>
      <c r="BD3276" s="68"/>
      <c r="BE3276" s="68"/>
      <c r="BF3276" s="68"/>
      <c r="BG3276" s="68"/>
      <c r="BH3276" s="68"/>
      <c r="BI3276" s="68"/>
      <c r="BJ3276" s="68"/>
      <c r="BK3276" s="68"/>
      <c r="BL3276" s="68"/>
      <c r="BM3276" s="68"/>
      <c r="BN3276" s="68"/>
      <c r="BO3276" s="68"/>
      <c r="BP3276" s="68"/>
      <c r="BQ3276" s="68"/>
      <c r="BR3276" s="68"/>
      <c r="BS3276" s="68"/>
      <c r="BT3276" s="68"/>
      <c r="BU3276" s="68"/>
      <c r="BV3276" s="68"/>
      <c r="BW3276" s="68"/>
      <c r="BX3276" s="68"/>
      <c r="BY3276" s="68"/>
      <c r="BZ3276" s="68"/>
      <c r="CA3276" s="68"/>
      <c r="CB3276" s="68"/>
      <c r="CC3276" s="68"/>
      <c r="CD3276" s="68"/>
      <c r="CE3276" s="68"/>
      <c r="CF3276" s="68"/>
      <c r="CG3276" s="68"/>
      <c r="CH3276" s="68"/>
      <c r="CI3276" s="68"/>
      <c r="CJ3276" s="68"/>
      <c r="CK3276" s="68"/>
      <c r="CL3276" s="68"/>
      <c r="CM3276" s="68"/>
      <c r="CN3276" s="68"/>
      <c r="CO3276" s="68"/>
      <c r="CP3276" s="68"/>
      <c r="CQ3276" s="68"/>
      <c r="CR3276" s="68"/>
      <c r="CS3276" s="68"/>
      <c r="CT3276" s="68"/>
      <c r="CU3276" s="68"/>
      <c r="CV3276" s="68"/>
      <c r="CW3276" s="68"/>
      <c r="CX3276" s="68"/>
      <c r="CY3276" s="68"/>
      <c r="CZ3276" s="68"/>
      <c r="DA3276" s="68"/>
      <c r="DB3276" s="68"/>
      <c r="DC3276" s="68"/>
      <c r="DD3276" s="68"/>
      <c r="DE3276" s="68"/>
      <c r="DF3276" s="68"/>
      <c r="DG3276" s="68"/>
      <c r="DH3276" s="68"/>
    </row>
    <row r="3277">
      <c r="A3277" s="44">
        <v>3277.0</v>
      </c>
      <c r="B3277" s="129" t="s">
        <v>285</v>
      </c>
      <c r="C3277" s="62" t="s">
        <v>115</v>
      </c>
      <c r="D3277" s="62" t="s">
        <v>221</v>
      </c>
      <c r="F3277" s="159" t="s">
        <v>19700</v>
      </c>
      <c r="G3277" s="159" t="s">
        <v>19729</v>
      </c>
      <c r="H3277" s="151" t="s">
        <v>222</v>
      </c>
      <c r="I3277" s="152">
        <v>45833.0</v>
      </c>
      <c r="J3277" s="152">
        <v>45833.0</v>
      </c>
      <c r="K3277" s="68"/>
      <c r="L3277" s="68"/>
      <c r="M3277" s="159" t="s">
        <v>19703</v>
      </c>
      <c r="N3277" s="159" t="s">
        <v>19704</v>
      </c>
      <c r="O3277" s="159" t="s">
        <v>4104</v>
      </c>
      <c r="P3277" s="573"/>
      <c r="Q3277" s="2430" t="s">
        <v>19705</v>
      </c>
      <c r="R3277" s="159" t="s">
        <v>19706</v>
      </c>
      <c r="S3277" s="159" t="s">
        <v>19707</v>
      </c>
      <c r="T3277" s="159" t="s">
        <v>4104</v>
      </c>
      <c r="U3277" s="68"/>
      <c r="V3277" s="573"/>
      <c r="W3277" s="1228"/>
      <c r="X3277" s="2526" t="s">
        <v>19708</v>
      </c>
      <c r="Y3277" s="68"/>
      <c r="Z3277" s="159" t="s">
        <v>226</v>
      </c>
      <c r="AA3277" s="159" t="s">
        <v>19709</v>
      </c>
      <c r="AB3277" s="159" t="s">
        <v>19720</v>
      </c>
      <c r="AC3277" s="159" t="s">
        <v>19730</v>
      </c>
      <c r="AD3277" s="159" t="s">
        <v>19712</v>
      </c>
      <c r="AE3277" s="159" t="s">
        <v>813</v>
      </c>
      <c r="AF3277" s="156">
        <v>59.0</v>
      </c>
      <c r="AG3277" s="156">
        <v>1.34</v>
      </c>
      <c r="AH3277" s="159" t="s">
        <v>173</v>
      </c>
      <c r="AI3277" s="159" t="s">
        <v>813</v>
      </c>
      <c r="AJ3277" s="156">
        <v>0.001</v>
      </c>
      <c r="AK3277" s="159" t="s">
        <v>135</v>
      </c>
      <c r="AL3277" s="159" t="s">
        <v>136</v>
      </c>
      <c r="AM3277" s="159" t="s">
        <v>137</v>
      </c>
      <c r="AN3277" s="159" t="s">
        <v>138</v>
      </c>
      <c r="AO3277" s="156">
        <v>107.0</v>
      </c>
      <c r="AP3277" s="156">
        <v>-0.04</v>
      </c>
      <c r="AQ3277" s="159" t="s">
        <v>602</v>
      </c>
      <c r="AR3277" s="159" t="s">
        <v>140</v>
      </c>
      <c r="AS3277" s="156">
        <v>0.84</v>
      </c>
      <c r="AT3277" s="159" t="s">
        <v>172</v>
      </c>
      <c r="AU3277" s="159" t="s">
        <v>136</v>
      </c>
      <c r="AV3277" s="159" t="s">
        <v>137</v>
      </c>
      <c r="AW3277" s="159" t="s">
        <v>138</v>
      </c>
      <c r="AX3277" s="159" t="s">
        <v>143</v>
      </c>
      <c r="AY3277" s="61" t="str">
        <f>IFERROR(__xludf.DUMMYFUNCTION("vlookup(BB3277,importrange(""https://docs.google.com/spreadsheets/d/1d2vevQ_7D_v35q4wCQ4RpQ_IPoTwEMB9Yp6ymwlPqew/edit?gid=984458430#gid=984458430"", ""'replication success'!A:K""), 11, FAlSE)"),"#N/A")</f>
        <v>#N/A</v>
      </c>
      <c r="AZ3277" s="61" t="str">
        <f>IFERROR(__xludf.DUMMYFUNCTION("vlookup(BB3277,importrange(""https://docs.google.com/spreadsheets/d/1d2vevQ_7D_v35q4wCQ4RpQ_IPoTwEMB9Yp6ymwlPqew/edit?gid=984458430#gid=984458430"", ""'replication success'!A:M""), 12, FAlSE)"),"#N/A")</f>
        <v>#N/A</v>
      </c>
      <c r="BA3277" s="61" t="str">
        <f>IFERROR(__xludf.DUMMYFUNCTION("vlookup(BB3277,importrange(""https://docs.google.com/spreadsheets/d/1d2vevQ_7D_v35q4wCQ4RpQ_IPoTwEMB9Yp6ymwlPqew/edit?gid=984458430#gid=984458430"", ""'replication success'!A:M""), 13, FAlSE)"),"#N/A")</f>
        <v>#N/A</v>
      </c>
      <c r="BB3277" s="61" t="str">
        <f>IFERROR(__xludf.DUMMYFUNCTION("REGEXREPLACE(G3277, ""_[a-z]{1,2}$"", """")"),"ManyLabs4_1h")</f>
        <v>ManyLabs4_1h</v>
      </c>
      <c r="BC3277" s="68"/>
      <c r="BD3277" s="68"/>
      <c r="BE3277" s="68"/>
      <c r="BF3277" s="68"/>
      <c r="BG3277" s="68"/>
      <c r="BH3277" s="68"/>
      <c r="BI3277" s="68"/>
      <c r="BJ3277" s="68"/>
      <c r="BK3277" s="68"/>
      <c r="BL3277" s="68"/>
      <c r="BM3277" s="68"/>
      <c r="BN3277" s="68"/>
      <c r="BO3277" s="68"/>
      <c r="BP3277" s="68"/>
      <c r="BQ3277" s="68"/>
      <c r="BR3277" s="68"/>
      <c r="BS3277" s="68"/>
      <c r="BT3277" s="68"/>
      <c r="BU3277" s="68"/>
      <c r="BV3277" s="68"/>
      <c r="BW3277" s="68"/>
      <c r="BX3277" s="68"/>
      <c r="BY3277" s="68"/>
      <c r="BZ3277" s="68"/>
      <c r="CA3277" s="68"/>
      <c r="CB3277" s="68"/>
      <c r="CC3277" s="68"/>
      <c r="CD3277" s="68"/>
      <c r="CE3277" s="68"/>
      <c r="CF3277" s="68"/>
      <c r="CG3277" s="68"/>
      <c r="CH3277" s="68"/>
      <c r="CI3277" s="68"/>
      <c r="CJ3277" s="68"/>
      <c r="CK3277" s="68"/>
      <c r="CL3277" s="68"/>
      <c r="CM3277" s="68"/>
      <c r="CN3277" s="68"/>
      <c r="CO3277" s="68"/>
      <c r="CP3277" s="68"/>
      <c r="CQ3277" s="68"/>
      <c r="CR3277" s="68"/>
      <c r="CS3277" s="68"/>
      <c r="CT3277" s="68"/>
      <c r="CU3277" s="68"/>
      <c r="CV3277" s="68"/>
      <c r="CW3277" s="68"/>
      <c r="CX3277" s="68"/>
      <c r="CY3277" s="68"/>
      <c r="CZ3277" s="68"/>
      <c r="DA3277" s="68"/>
      <c r="DB3277" s="68"/>
      <c r="DC3277" s="68"/>
      <c r="DD3277" s="68"/>
      <c r="DE3277" s="68"/>
      <c r="DF3277" s="68"/>
      <c r="DG3277" s="68"/>
      <c r="DH3277" s="68"/>
    </row>
    <row r="3278">
      <c r="A3278" s="44">
        <v>3278.0</v>
      </c>
      <c r="B3278" s="129" t="s">
        <v>285</v>
      </c>
      <c r="C3278" s="62" t="s">
        <v>115</v>
      </c>
      <c r="D3278" s="62" t="s">
        <v>221</v>
      </c>
      <c r="F3278" s="159" t="s">
        <v>19700</v>
      </c>
      <c r="G3278" s="159" t="s">
        <v>19731</v>
      </c>
      <c r="H3278" s="151" t="s">
        <v>222</v>
      </c>
      <c r="I3278" s="152">
        <v>45833.0</v>
      </c>
      <c r="J3278" s="152">
        <v>45833.0</v>
      </c>
      <c r="K3278" s="68"/>
      <c r="L3278" s="68"/>
      <c r="M3278" s="159" t="s">
        <v>19703</v>
      </c>
      <c r="N3278" s="159" t="s">
        <v>19704</v>
      </c>
      <c r="O3278" s="159" t="s">
        <v>4104</v>
      </c>
      <c r="P3278" s="573"/>
      <c r="Q3278" s="2430" t="s">
        <v>19705</v>
      </c>
      <c r="R3278" s="159" t="s">
        <v>19706</v>
      </c>
      <c r="S3278" s="159" t="s">
        <v>19707</v>
      </c>
      <c r="T3278" s="159" t="s">
        <v>4104</v>
      </c>
      <c r="U3278" s="68"/>
      <c r="V3278" s="573"/>
      <c r="W3278" s="1228"/>
      <c r="X3278" s="2526" t="s">
        <v>19708</v>
      </c>
      <c r="Y3278" s="68"/>
      <c r="Z3278" s="159" t="s">
        <v>226</v>
      </c>
      <c r="AA3278" s="159" t="s">
        <v>19709</v>
      </c>
      <c r="AB3278" s="159" t="s">
        <v>19720</v>
      </c>
      <c r="AC3278" s="159" t="s">
        <v>19732</v>
      </c>
      <c r="AD3278" s="159" t="s">
        <v>19712</v>
      </c>
      <c r="AE3278" s="159" t="s">
        <v>813</v>
      </c>
      <c r="AF3278" s="156">
        <v>59.0</v>
      </c>
      <c r="AG3278" s="156">
        <v>1.34</v>
      </c>
      <c r="AH3278" s="159" t="s">
        <v>173</v>
      </c>
      <c r="AI3278" s="159" t="s">
        <v>813</v>
      </c>
      <c r="AJ3278" s="156">
        <v>0.001</v>
      </c>
      <c r="AK3278" s="159" t="s">
        <v>135</v>
      </c>
      <c r="AL3278" s="159" t="s">
        <v>136</v>
      </c>
      <c r="AM3278" s="159" t="s">
        <v>137</v>
      </c>
      <c r="AN3278" s="159" t="s">
        <v>138</v>
      </c>
      <c r="AO3278" s="156">
        <v>98.0</v>
      </c>
      <c r="AP3278" s="156">
        <v>0.04</v>
      </c>
      <c r="AQ3278" s="159" t="s">
        <v>602</v>
      </c>
      <c r="AR3278" s="159" t="s">
        <v>140</v>
      </c>
      <c r="AS3278" s="156">
        <v>0.83</v>
      </c>
      <c r="AT3278" s="159" t="s">
        <v>172</v>
      </c>
      <c r="AU3278" s="159" t="s">
        <v>136</v>
      </c>
      <c r="AV3278" s="159" t="s">
        <v>137</v>
      </c>
      <c r="AW3278" s="159" t="s">
        <v>138</v>
      </c>
      <c r="AX3278" s="159" t="s">
        <v>151</v>
      </c>
      <c r="AY3278" s="61" t="str">
        <f>IFERROR(__xludf.DUMMYFUNCTION("vlookup(BB3278,importrange(""https://docs.google.com/spreadsheets/d/1d2vevQ_7D_v35q4wCQ4RpQ_IPoTwEMB9Yp6ymwlPqew/edit?gid=984458430#gid=984458430"", ""'replication success'!A:K""), 11, FAlSE)"),"#N/A")</f>
        <v>#N/A</v>
      </c>
      <c r="AZ3278" s="61" t="str">
        <f>IFERROR(__xludf.DUMMYFUNCTION("vlookup(BB3278,importrange(""https://docs.google.com/spreadsheets/d/1d2vevQ_7D_v35q4wCQ4RpQ_IPoTwEMB9Yp6ymwlPqew/edit?gid=984458430#gid=984458430"", ""'replication success'!A:M""), 12, FAlSE)"),"#N/A")</f>
        <v>#N/A</v>
      </c>
      <c r="BA3278" s="61" t="str">
        <f>IFERROR(__xludf.DUMMYFUNCTION("vlookup(BB3278,importrange(""https://docs.google.com/spreadsheets/d/1d2vevQ_7D_v35q4wCQ4RpQ_IPoTwEMB9Yp6ymwlPqew/edit?gid=984458430#gid=984458430"", ""'replication success'!A:M""), 13, FAlSE)"),"#N/A")</f>
        <v>#N/A</v>
      </c>
      <c r="BB3278" s="61" t="str">
        <f>IFERROR(__xludf.DUMMYFUNCTION("REGEXREPLACE(G3278, ""_[a-z]{1,2}$"", """")"),"ManyLabs4_1i")</f>
        <v>ManyLabs4_1i</v>
      </c>
      <c r="BC3278" s="68"/>
      <c r="BD3278" s="68"/>
      <c r="BE3278" s="68"/>
      <c r="BF3278" s="68"/>
      <c r="BG3278" s="68"/>
      <c r="BH3278" s="68"/>
      <c r="BI3278" s="68"/>
      <c r="BJ3278" s="68"/>
      <c r="BK3278" s="68"/>
      <c r="BL3278" s="68"/>
      <c r="BM3278" s="68"/>
      <c r="BN3278" s="68"/>
      <c r="BO3278" s="68"/>
      <c r="BP3278" s="68"/>
      <c r="BQ3278" s="68"/>
      <c r="BR3278" s="68"/>
      <c r="BS3278" s="68"/>
      <c r="BT3278" s="68"/>
      <c r="BU3278" s="68"/>
      <c r="BV3278" s="68"/>
      <c r="BW3278" s="68"/>
      <c r="BX3278" s="68"/>
      <c r="BY3278" s="68"/>
      <c r="BZ3278" s="68"/>
      <c r="CA3278" s="68"/>
      <c r="CB3278" s="68"/>
      <c r="CC3278" s="68"/>
      <c r="CD3278" s="68"/>
      <c r="CE3278" s="68"/>
      <c r="CF3278" s="68"/>
      <c r="CG3278" s="68"/>
      <c r="CH3278" s="68"/>
      <c r="CI3278" s="68"/>
      <c r="CJ3278" s="68"/>
      <c r="CK3278" s="68"/>
      <c r="CL3278" s="68"/>
      <c r="CM3278" s="68"/>
      <c r="CN3278" s="68"/>
      <c r="CO3278" s="68"/>
      <c r="CP3278" s="68"/>
      <c r="CQ3278" s="68"/>
      <c r="CR3278" s="68"/>
      <c r="CS3278" s="68"/>
      <c r="CT3278" s="68"/>
      <c r="CU3278" s="68"/>
      <c r="CV3278" s="68"/>
      <c r="CW3278" s="68"/>
      <c r="CX3278" s="68"/>
      <c r="CY3278" s="68"/>
      <c r="CZ3278" s="68"/>
      <c r="DA3278" s="68"/>
      <c r="DB3278" s="68"/>
      <c r="DC3278" s="68"/>
      <c r="DD3278" s="68"/>
      <c r="DE3278" s="68"/>
      <c r="DF3278" s="68"/>
      <c r="DG3278" s="68"/>
      <c r="DH3278" s="68"/>
    </row>
    <row r="3279">
      <c r="A3279" s="44">
        <v>3279.0</v>
      </c>
      <c r="B3279" s="129" t="s">
        <v>285</v>
      </c>
      <c r="C3279" s="62" t="s">
        <v>115</v>
      </c>
      <c r="D3279" s="62" t="s">
        <v>221</v>
      </c>
      <c r="F3279" s="159" t="s">
        <v>19700</v>
      </c>
      <c r="G3279" s="159" t="s">
        <v>19733</v>
      </c>
      <c r="H3279" s="151" t="s">
        <v>222</v>
      </c>
      <c r="I3279" s="152">
        <v>45833.0</v>
      </c>
      <c r="J3279" s="152">
        <v>45833.0</v>
      </c>
      <c r="K3279" s="68"/>
      <c r="L3279" s="68"/>
      <c r="M3279" s="159" t="s">
        <v>19703</v>
      </c>
      <c r="N3279" s="159" t="s">
        <v>19704</v>
      </c>
      <c r="O3279" s="159" t="s">
        <v>4104</v>
      </c>
      <c r="P3279" s="573"/>
      <c r="Q3279" s="2430" t="s">
        <v>19705</v>
      </c>
      <c r="R3279" s="159" t="s">
        <v>19706</v>
      </c>
      <c r="S3279" s="159" t="s">
        <v>19707</v>
      </c>
      <c r="T3279" s="159" t="s">
        <v>4104</v>
      </c>
      <c r="U3279" s="68"/>
      <c r="V3279" s="573"/>
      <c r="W3279" s="1228"/>
      <c r="X3279" s="2526" t="s">
        <v>19708</v>
      </c>
      <c r="Y3279" s="68"/>
      <c r="Z3279" s="159" t="s">
        <v>226</v>
      </c>
      <c r="AA3279" s="159" t="s">
        <v>19709</v>
      </c>
      <c r="AB3279" s="159" t="s">
        <v>19720</v>
      </c>
      <c r="AC3279" s="159" t="s">
        <v>19734</v>
      </c>
      <c r="AD3279" s="159" t="s">
        <v>19712</v>
      </c>
      <c r="AE3279" s="159" t="s">
        <v>813</v>
      </c>
      <c r="AF3279" s="156">
        <v>59.0</v>
      </c>
      <c r="AG3279" s="156">
        <v>1.34</v>
      </c>
      <c r="AH3279" s="159" t="s">
        <v>173</v>
      </c>
      <c r="AI3279" s="159" t="s">
        <v>813</v>
      </c>
      <c r="AJ3279" s="156">
        <v>0.001</v>
      </c>
      <c r="AK3279" s="159" t="s">
        <v>135</v>
      </c>
      <c r="AL3279" s="159" t="s">
        <v>136</v>
      </c>
      <c r="AM3279" s="159" t="s">
        <v>137</v>
      </c>
      <c r="AN3279" s="159" t="s">
        <v>138</v>
      </c>
      <c r="AO3279" s="156">
        <v>89.0</v>
      </c>
      <c r="AP3279" s="156">
        <v>0.73</v>
      </c>
      <c r="AQ3279" s="159" t="s">
        <v>602</v>
      </c>
      <c r="AR3279" s="159" t="s">
        <v>140</v>
      </c>
      <c r="AS3279" s="156">
        <v>0.001</v>
      </c>
      <c r="AT3279" s="159" t="s">
        <v>135</v>
      </c>
      <c r="AU3279" s="159" t="s">
        <v>136</v>
      </c>
      <c r="AV3279" s="159" t="s">
        <v>137</v>
      </c>
      <c r="AW3279" s="159" t="s">
        <v>138</v>
      </c>
      <c r="AX3279" s="159" t="s">
        <v>151</v>
      </c>
      <c r="AY3279" s="61" t="str">
        <f>IFERROR(__xludf.DUMMYFUNCTION("vlookup(BB3279,importrange(""https://docs.google.com/spreadsheets/d/1d2vevQ_7D_v35q4wCQ4RpQ_IPoTwEMB9Yp6ymwlPqew/edit?gid=984458430#gid=984458430"", ""'replication success'!A:K""), 11, FAlSE)"),"#N/A")</f>
        <v>#N/A</v>
      </c>
      <c r="AZ3279" s="61" t="str">
        <f>IFERROR(__xludf.DUMMYFUNCTION("vlookup(BB3279,importrange(""https://docs.google.com/spreadsheets/d/1d2vevQ_7D_v35q4wCQ4RpQ_IPoTwEMB9Yp6ymwlPqew/edit?gid=984458430#gid=984458430"", ""'replication success'!A:M""), 12, FAlSE)"),"#N/A")</f>
        <v>#N/A</v>
      </c>
      <c r="BA3279" s="61" t="str">
        <f>IFERROR(__xludf.DUMMYFUNCTION("vlookup(BB3279,importrange(""https://docs.google.com/spreadsheets/d/1d2vevQ_7D_v35q4wCQ4RpQ_IPoTwEMB9Yp6ymwlPqew/edit?gid=984458430#gid=984458430"", ""'replication success'!A:M""), 13, FAlSE)"),"#N/A")</f>
        <v>#N/A</v>
      </c>
      <c r="BB3279" s="61" t="str">
        <f>IFERROR(__xludf.DUMMYFUNCTION("REGEXREPLACE(G3279, ""_[a-z]{1,2}$"", """")"),"ManyLabs4_1j")</f>
        <v>ManyLabs4_1j</v>
      </c>
      <c r="BC3279" s="68"/>
      <c r="BD3279" s="68"/>
      <c r="BE3279" s="68"/>
      <c r="BF3279" s="68"/>
      <c r="BG3279" s="68"/>
      <c r="BH3279" s="68"/>
      <c r="BI3279" s="68"/>
      <c r="BJ3279" s="68"/>
      <c r="BK3279" s="68"/>
      <c r="BL3279" s="68"/>
      <c r="BM3279" s="68"/>
      <c r="BN3279" s="68"/>
      <c r="BO3279" s="68"/>
      <c r="BP3279" s="68"/>
      <c r="BQ3279" s="68"/>
      <c r="BR3279" s="68"/>
      <c r="BS3279" s="68"/>
      <c r="BT3279" s="68"/>
      <c r="BU3279" s="68"/>
      <c r="BV3279" s="68"/>
      <c r="BW3279" s="68"/>
      <c r="BX3279" s="68"/>
      <c r="BY3279" s="68"/>
      <c r="BZ3279" s="68"/>
      <c r="CA3279" s="68"/>
      <c r="CB3279" s="68"/>
      <c r="CC3279" s="68"/>
      <c r="CD3279" s="68"/>
      <c r="CE3279" s="68"/>
      <c r="CF3279" s="68"/>
      <c r="CG3279" s="68"/>
      <c r="CH3279" s="68"/>
      <c r="CI3279" s="68"/>
      <c r="CJ3279" s="68"/>
      <c r="CK3279" s="68"/>
      <c r="CL3279" s="68"/>
      <c r="CM3279" s="68"/>
      <c r="CN3279" s="68"/>
      <c r="CO3279" s="68"/>
      <c r="CP3279" s="68"/>
      <c r="CQ3279" s="68"/>
      <c r="CR3279" s="68"/>
      <c r="CS3279" s="68"/>
      <c r="CT3279" s="68"/>
      <c r="CU3279" s="68"/>
      <c r="CV3279" s="68"/>
      <c r="CW3279" s="68"/>
      <c r="CX3279" s="68"/>
      <c r="CY3279" s="68"/>
      <c r="CZ3279" s="68"/>
      <c r="DA3279" s="68"/>
      <c r="DB3279" s="68"/>
      <c r="DC3279" s="68"/>
      <c r="DD3279" s="68"/>
      <c r="DE3279" s="68"/>
      <c r="DF3279" s="68"/>
      <c r="DG3279" s="68"/>
      <c r="DH3279" s="68"/>
    </row>
    <row r="3280">
      <c r="A3280" s="44">
        <v>3280.0</v>
      </c>
      <c r="B3280" s="129" t="s">
        <v>285</v>
      </c>
      <c r="C3280" s="62" t="s">
        <v>115</v>
      </c>
      <c r="D3280" s="62" t="s">
        <v>221</v>
      </c>
      <c r="F3280" s="159" t="s">
        <v>19700</v>
      </c>
      <c r="G3280" s="159" t="s">
        <v>19735</v>
      </c>
      <c r="H3280" s="151" t="s">
        <v>222</v>
      </c>
      <c r="I3280" s="152">
        <v>45834.0</v>
      </c>
      <c r="J3280" s="152">
        <v>45834.0</v>
      </c>
      <c r="K3280" s="68"/>
      <c r="L3280" s="68"/>
      <c r="M3280" s="159" t="s">
        <v>19703</v>
      </c>
      <c r="N3280" s="159" t="s">
        <v>19704</v>
      </c>
      <c r="O3280" s="159" t="s">
        <v>4104</v>
      </c>
      <c r="P3280" s="573"/>
      <c r="Q3280" s="2430" t="s">
        <v>19705</v>
      </c>
      <c r="R3280" s="159" t="s">
        <v>19706</v>
      </c>
      <c r="S3280" s="159" t="s">
        <v>19707</v>
      </c>
      <c r="T3280" s="159" t="s">
        <v>4104</v>
      </c>
      <c r="U3280" s="68"/>
      <c r="V3280" s="573"/>
      <c r="W3280" s="1228"/>
      <c r="X3280" s="2526" t="s">
        <v>19708</v>
      </c>
      <c r="Y3280" s="68"/>
      <c r="Z3280" s="159" t="s">
        <v>226</v>
      </c>
      <c r="AA3280" s="159" t="s">
        <v>19709</v>
      </c>
      <c r="AB3280" s="159" t="s">
        <v>19720</v>
      </c>
      <c r="AC3280" s="159" t="s">
        <v>19736</v>
      </c>
      <c r="AD3280" s="159" t="s">
        <v>19712</v>
      </c>
      <c r="AE3280" s="159" t="s">
        <v>813</v>
      </c>
      <c r="AF3280" s="156">
        <v>59.0</v>
      </c>
      <c r="AG3280" s="156">
        <v>1.34</v>
      </c>
      <c r="AH3280" s="159" t="s">
        <v>173</v>
      </c>
      <c r="AI3280" s="159" t="s">
        <v>813</v>
      </c>
      <c r="AJ3280" s="156">
        <v>0.001</v>
      </c>
      <c r="AK3280" s="159" t="s">
        <v>135</v>
      </c>
      <c r="AL3280" s="159" t="s">
        <v>136</v>
      </c>
      <c r="AM3280" s="159" t="s">
        <v>137</v>
      </c>
      <c r="AN3280" s="159" t="s">
        <v>138</v>
      </c>
      <c r="AO3280" s="156">
        <v>75.0</v>
      </c>
      <c r="AP3280" s="156">
        <v>0.04</v>
      </c>
      <c r="AQ3280" s="159" t="s">
        <v>602</v>
      </c>
      <c r="AR3280" s="159" t="s">
        <v>140</v>
      </c>
      <c r="AS3280" s="156">
        <v>0.83</v>
      </c>
      <c r="AT3280" s="159" t="s">
        <v>172</v>
      </c>
      <c r="AU3280" s="159" t="s">
        <v>136</v>
      </c>
      <c r="AV3280" s="159" t="s">
        <v>137</v>
      </c>
      <c r="AW3280" s="159" t="s">
        <v>138</v>
      </c>
      <c r="AX3280" s="159" t="s">
        <v>151</v>
      </c>
      <c r="AY3280" s="61" t="str">
        <f>IFERROR(__xludf.DUMMYFUNCTION("vlookup(BB3280,importrange(""https://docs.google.com/spreadsheets/d/1d2vevQ_7D_v35q4wCQ4RpQ_IPoTwEMB9Yp6ymwlPqew/edit?gid=984458430#gid=984458430"", ""'replication success'!A:K""), 11, FAlSE)"),"#N/A")</f>
        <v>#N/A</v>
      </c>
      <c r="AZ3280" s="61" t="str">
        <f>IFERROR(__xludf.DUMMYFUNCTION("vlookup(BB3280,importrange(""https://docs.google.com/spreadsheets/d/1d2vevQ_7D_v35q4wCQ4RpQ_IPoTwEMB9Yp6ymwlPqew/edit?gid=984458430#gid=984458430"", ""'replication success'!A:M""), 12, FAlSE)"),"#N/A")</f>
        <v>#N/A</v>
      </c>
      <c r="BA3280" s="61" t="str">
        <f>IFERROR(__xludf.DUMMYFUNCTION("vlookup(BB3280,importrange(""https://docs.google.com/spreadsheets/d/1d2vevQ_7D_v35q4wCQ4RpQ_IPoTwEMB9Yp6ymwlPqew/edit?gid=984458430#gid=984458430"", ""'replication success'!A:M""), 13, FAlSE)"),"#N/A")</f>
        <v>#N/A</v>
      </c>
      <c r="BB3280" s="61" t="str">
        <f>IFERROR(__xludf.DUMMYFUNCTION("REGEXREPLACE(G3280, ""_[a-z]{1,2}$"", """")"),"ManyLabs4_1k")</f>
        <v>ManyLabs4_1k</v>
      </c>
      <c r="BC3280" s="68"/>
      <c r="BD3280" s="68"/>
      <c r="BE3280" s="68"/>
      <c r="BF3280" s="68"/>
      <c r="BG3280" s="68"/>
      <c r="BH3280" s="68"/>
      <c r="BI3280" s="68"/>
      <c r="BJ3280" s="68"/>
      <c r="BK3280" s="68"/>
      <c r="BL3280" s="68"/>
      <c r="BM3280" s="68"/>
      <c r="BN3280" s="68"/>
      <c r="BO3280" s="68"/>
      <c r="BP3280" s="68"/>
      <c r="BQ3280" s="68"/>
      <c r="BR3280" s="68"/>
      <c r="BS3280" s="68"/>
      <c r="BT3280" s="68"/>
      <c r="BU3280" s="68"/>
      <c r="BV3280" s="68"/>
      <c r="BW3280" s="68"/>
      <c r="BX3280" s="68"/>
      <c r="BY3280" s="68"/>
      <c r="BZ3280" s="68"/>
      <c r="CA3280" s="68"/>
      <c r="CB3280" s="68"/>
      <c r="CC3280" s="68"/>
      <c r="CD3280" s="68"/>
      <c r="CE3280" s="68"/>
      <c r="CF3280" s="68"/>
      <c r="CG3280" s="68"/>
      <c r="CH3280" s="68"/>
      <c r="CI3280" s="68"/>
      <c r="CJ3280" s="68"/>
      <c r="CK3280" s="68"/>
      <c r="CL3280" s="68"/>
      <c r="CM3280" s="68"/>
      <c r="CN3280" s="68"/>
      <c r="CO3280" s="68"/>
      <c r="CP3280" s="68"/>
      <c r="CQ3280" s="68"/>
      <c r="CR3280" s="68"/>
      <c r="CS3280" s="68"/>
      <c r="CT3280" s="68"/>
      <c r="CU3280" s="68"/>
      <c r="CV3280" s="68"/>
      <c r="CW3280" s="68"/>
      <c r="CX3280" s="68"/>
      <c r="CY3280" s="68"/>
      <c r="CZ3280" s="68"/>
      <c r="DA3280" s="68"/>
      <c r="DB3280" s="68"/>
      <c r="DC3280" s="68"/>
      <c r="DD3280" s="68"/>
      <c r="DE3280" s="68"/>
      <c r="DF3280" s="68"/>
      <c r="DG3280" s="68"/>
      <c r="DH3280" s="68"/>
    </row>
    <row r="3281">
      <c r="A3281" s="44">
        <v>3281.0</v>
      </c>
      <c r="B3281" s="129" t="s">
        <v>285</v>
      </c>
      <c r="C3281" s="62" t="s">
        <v>115</v>
      </c>
      <c r="D3281" s="62" t="s">
        <v>221</v>
      </c>
      <c r="F3281" s="159" t="s">
        <v>19700</v>
      </c>
      <c r="G3281" s="159" t="s">
        <v>19737</v>
      </c>
      <c r="H3281" s="151" t="s">
        <v>222</v>
      </c>
      <c r="I3281" s="152">
        <v>45834.0</v>
      </c>
      <c r="J3281" s="152">
        <v>45834.0</v>
      </c>
      <c r="K3281" s="68"/>
      <c r="L3281" s="68"/>
      <c r="M3281" s="159" t="s">
        <v>19703</v>
      </c>
      <c r="N3281" s="159" t="s">
        <v>19704</v>
      </c>
      <c r="O3281" s="159" t="s">
        <v>4104</v>
      </c>
      <c r="P3281" s="573"/>
      <c r="Q3281" s="2430" t="s">
        <v>19705</v>
      </c>
      <c r="R3281" s="159" t="s">
        <v>19706</v>
      </c>
      <c r="S3281" s="159" t="s">
        <v>19707</v>
      </c>
      <c r="T3281" s="159" t="s">
        <v>4104</v>
      </c>
      <c r="U3281" s="68"/>
      <c r="V3281" s="573"/>
      <c r="W3281" s="1228"/>
      <c r="X3281" s="2526" t="s">
        <v>19708</v>
      </c>
      <c r="Y3281" s="68"/>
      <c r="Z3281" s="159" t="s">
        <v>226</v>
      </c>
      <c r="AA3281" s="159" t="s">
        <v>19709</v>
      </c>
      <c r="AB3281" s="159" t="s">
        <v>19720</v>
      </c>
      <c r="AC3281" s="159" t="s">
        <v>19738</v>
      </c>
      <c r="AD3281" s="159" t="s">
        <v>19712</v>
      </c>
      <c r="AE3281" s="159" t="s">
        <v>813</v>
      </c>
      <c r="AF3281" s="156">
        <v>59.0</v>
      </c>
      <c r="AG3281" s="156">
        <v>1.34</v>
      </c>
      <c r="AH3281" s="159" t="s">
        <v>173</v>
      </c>
      <c r="AI3281" s="159" t="s">
        <v>813</v>
      </c>
      <c r="AJ3281" s="156">
        <v>0.001</v>
      </c>
      <c r="AK3281" s="159" t="s">
        <v>135</v>
      </c>
      <c r="AL3281" s="159" t="s">
        <v>136</v>
      </c>
      <c r="AM3281" s="159" t="s">
        <v>137</v>
      </c>
      <c r="AN3281" s="159" t="s">
        <v>138</v>
      </c>
      <c r="AO3281" s="156">
        <v>99.0</v>
      </c>
      <c r="AP3281" s="156">
        <v>-0.01</v>
      </c>
      <c r="AQ3281" s="159" t="s">
        <v>602</v>
      </c>
      <c r="AR3281" s="159" t="s">
        <v>140</v>
      </c>
      <c r="AS3281" s="156">
        <v>0.95</v>
      </c>
      <c r="AT3281" s="159" t="s">
        <v>172</v>
      </c>
      <c r="AU3281" s="159" t="s">
        <v>136</v>
      </c>
      <c r="AV3281" s="159" t="s">
        <v>137</v>
      </c>
      <c r="AW3281" s="159" t="s">
        <v>138</v>
      </c>
      <c r="AX3281" s="159" t="s">
        <v>151</v>
      </c>
      <c r="AY3281" s="61" t="str">
        <f>IFERROR(__xludf.DUMMYFUNCTION("vlookup(BB3281,importrange(""https://docs.google.com/spreadsheets/d/1d2vevQ_7D_v35q4wCQ4RpQ_IPoTwEMB9Yp6ymwlPqew/edit?gid=984458430#gid=984458430"", ""'replication success'!A:K""), 11, FAlSE)"),"#N/A")</f>
        <v>#N/A</v>
      </c>
      <c r="AZ3281" s="61" t="str">
        <f>IFERROR(__xludf.DUMMYFUNCTION("vlookup(BB3281,importrange(""https://docs.google.com/spreadsheets/d/1d2vevQ_7D_v35q4wCQ4RpQ_IPoTwEMB9Yp6ymwlPqew/edit?gid=984458430#gid=984458430"", ""'replication success'!A:M""), 12, FAlSE)"),"#N/A")</f>
        <v>#N/A</v>
      </c>
      <c r="BA3281" s="61" t="str">
        <f>IFERROR(__xludf.DUMMYFUNCTION("vlookup(BB3281,importrange(""https://docs.google.com/spreadsheets/d/1d2vevQ_7D_v35q4wCQ4RpQ_IPoTwEMB9Yp6ymwlPqew/edit?gid=984458430#gid=984458430"", ""'replication success'!A:M""), 13, FAlSE)"),"#N/A")</f>
        <v>#N/A</v>
      </c>
      <c r="BB3281" s="61" t="str">
        <f>IFERROR(__xludf.DUMMYFUNCTION("REGEXREPLACE(G3281, ""_[a-z]{1,2}$"", """")"),"ManyLabs4_1l")</f>
        <v>ManyLabs4_1l</v>
      </c>
      <c r="BC3281" s="68"/>
      <c r="BD3281" s="68"/>
      <c r="BE3281" s="68"/>
      <c r="BF3281" s="68"/>
      <c r="BG3281" s="68"/>
      <c r="BH3281" s="68"/>
      <c r="BI3281" s="68"/>
      <c r="BJ3281" s="68"/>
      <c r="BK3281" s="68"/>
      <c r="BL3281" s="68"/>
      <c r="BM3281" s="68"/>
      <c r="BN3281" s="68"/>
      <c r="BO3281" s="68"/>
      <c r="BP3281" s="68"/>
      <c r="BQ3281" s="68"/>
      <c r="BR3281" s="68"/>
      <c r="BS3281" s="68"/>
      <c r="BT3281" s="68"/>
      <c r="BU3281" s="68"/>
      <c r="BV3281" s="68"/>
      <c r="BW3281" s="68"/>
      <c r="BX3281" s="68"/>
      <c r="BY3281" s="68"/>
      <c r="BZ3281" s="68"/>
      <c r="CA3281" s="68"/>
      <c r="CB3281" s="68"/>
      <c r="CC3281" s="68"/>
      <c r="CD3281" s="68"/>
      <c r="CE3281" s="68"/>
      <c r="CF3281" s="68"/>
      <c r="CG3281" s="68"/>
      <c r="CH3281" s="68"/>
      <c r="CI3281" s="68"/>
      <c r="CJ3281" s="68"/>
      <c r="CK3281" s="68"/>
      <c r="CL3281" s="68"/>
      <c r="CM3281" s="68"/>
      <c r="CN3281" s="68"/>
      <c r="CO3281" s="68"/>
      <c r="CP3281" s="68"/>
      <c r="CQ3281" s="68"/>
      <c r="CR3281" s="68"/>
      <c r="CS3281" s="68"/>
      <c r="CT3281" s="68"/>
      <c r="CU3281" s="68"/>
      <c r="CV3281" s="68"/>
      <c r="CW3281" s="68"/>
      <c r="CX3281" s="68"/>
      <c r="CY3281" s="68"/>
      <c r="CZ3281" s="68"/>
      <c r="DA3281" s="68"/>
      <c r="DB3281" s="68"/>
      <c r="DC3281" s="68"/>
      <c r="DD3281" s="68"/>
      <c r="DE3281" s="68"/>
      <c r="DF3281" s="68"/>
      <c r="DG3281" s="68"/>
      <c r="DH3281" s="68"/>
    </row>
    <row r="3282">
      <c r="A3282" s="44">
        <v>3282.0</v>
      </c>
      <c r="B3282" s="129" t="s">
        <v>285</v>
      </c>
      <c r="C3282" s="62" t="s">
        <v>115</v>
      </c>
      <c r="D3282" s="62" t="s">
        <v>221</v>
      </c>
      <c r="F3282" s="159" t="s">
        <v>19700</v>
      </c>
      <c r="G3282" s="159" t="s">
        <v>19739</v>
      </c>
      <c r="H3282" s="151" t="s">
        <v>222</v>
      </c>
      <c r="I3282" s="152">
        <v>45834.0</v>
      </c>
      <c r="J3282" s="152">
        <v>45834.0</v>
      </c>
      <c r="K3282" s="68"/>
      <c r="L3282" s="68"/>
      <c r="M3282" s="159" t="s">
        <v>19703</v>
      </c>
      <c r="N3282" s="159" t="s">
        <v>19704</v>
      </c>
      <c r="O3282" s="159" t="s">
        <v>4104</v>
      </c>
      <c r="P3282" s="573"/>
      <c r="Q3282" s="2430" t="s">
        <v>19705</v>
      </c>
      <c r="R3282" s="159" t="s">
        <v>19706</v>
      </c>
      <c r="S3282" s="159" t="s">
        <v>19707</v>
      </c>
      <c r="T3282" s="159" t="s">
        <v>4104</v>
      </c>
      <c r="U3282" s="68"/>
      <c r="V3282" s="573"/>
      <c r="W3282" s="1228"/>
      <c r="X3282" s="2526" t="s">
        <v>19708</v>
      </c>
      <c r="Y3282" s="68"/>
      <c r="Z3282" s="159" t="s">
        <v>226</v>
      </c>
      <c r="AA3282" s="159" t="s">
        <v>19709</v>
      </c>
      <c r="AB3282" s="159" t="s">
        <v>19720</v>
      </c>
      <c r="AC3282" s="159" t="s">
        <v>19740</v>
      </c>
      <c r="AD3282" s="159" t="s">
        <v>19712</v>
      </c>
      <c r="AE3282" s="159" t="s">
        <v>813</v>
      </c>
      <c r="AF3282" s="156">
        <v>59.0</v>
      </c>
      <c r="AG3282" s="156">
        <v>1.34</v>
      </c>
      <c r="AH3282" s="159" t="s">
        <v>173</v>
      </c>
      <c r="AI3282" s="159" t="s">
        <v>813</v>
      </c>
      <c r="AJ3282" s="156">
        <v>0.001</v>
      </c>
      <c r="AK3282" s="159" t="s">
        <v>135</v>
      </c>
      <c r="AL3282" s="159" t="s">
        <v>136</v>
      </c>
      <c r="AM3282" s="159" t="s">
        <v>137</v>
      </c>
      <c r="AN3282" s="159" t="s">
        <v>138</v>
      </c>
      <c r="AO3282" s="156">
        <v>102.0</v>
      </c>
      <c r="AP3282" s="156">
        <v>0.12</v>
      </c>
      <c r="AQ3282" s="159" t="s">
        <v>602</v>
      </c>
      <c r="AR3282" s="159" t="s">
        <v>140</v>
      </c>
      <c r="AS3282" s="156">
        <v>0.49</v>
      </c>
      <c r="AT3282" s="159" t="s">
        <v>172</v>
      </c>
      <c r="AU3282" s="159" t="s">
        <v>136</v>
      </c>
      <c r="AV3282" s="159" t="s">
        <v>137</v>
      </c>
      <c r="AW3282" s="159" t="s">
        <v>138</v>
      </c>
      <c r="AX3282" s="159" t="s">
        <v>151</v>
      </c>
      <c r="AY3282" s="61" t="str">
        <f>IFERROR(__xludf.DUMMYFUNCTION("vlookup(BB3282,importrange(""https://docs.google.com/spreadsheets/d/1d2vevQ_7D_v35q4wCQ4RpQ_IPoTwEMB9Yp6ymwlPqew/edit?gid=984458430#gid=984458430"", ""'replication success'!A:K""), 11, FAlSE)"),"#N/A")</f>
        <v>#N/A</v>
      </c>
      <c r="AZ3282" s="61" t="str">
        <f>IFERROR(__xludf.DUMMYFUNCTION("vlookup(BB3282,importrange(""https://docs.google.com/spreadsheets/d/1d2vevQ_7D_v35q4wCQ4RpQ_IPoTwEMB9Yp6ymwlPqew/edit?gid=984458430#gid=984458430"", ""'replication success'!A:M""), 12, FAlSE)"),"#N/A")</f>
        <v>#N/A</v>
      </c>
      <c r="BA3282" s="61" t="str">
        <f>IFERROR(__xludf.DUMMYFUNCTION("vlookup(BB3282,importrange(""https://docs.google.com/spreadsheets/d/1d2vevQ_7D_v35q4wCQ4RpQ_IPoTwEMB9Yp6ymwlPqew/edit?gid=984458430#gid=984458430"", ""'replication success'!A:M""), 13, FAlSE)"),"#N/A")</f>
        <v>#N/A</v>
      </c>
      <c r="BB3282" s="61" t="str">
        <f>IFERROR(__xludf.DUMMYFUNCTION("REGEXREPLACE(G3282, ""_[a-z]{1,2}$"", """")"),"ManyLabs4_1m")</f>
        <v>ManyLabs4_1m</v>
      </c>
      <c r="BC3282" s="68"/>
      <c r="BD3282" s="68"/>
      <c r="BE3282" s="68"/>
      <c r="BF3282" s="68"/>
      <c r="BG3282" s="68"/>
      <c r="BH3282" s="68"/>
      <c r="BI3282" s="68"/>
      <c r="BJ3282" s="68"/>
      <c r="BK3282" s="68"/>
      <c r="BL3282" s="68"/>
      <c r="BM3282" s="68"/>
      <c r="BN3282" s="68"/>
      <c r="BO3282" s="68"/>
      <c r="BP3282" s="68"/>
      <c r="BQ3282" s="68"/>
      <c r="BR3282" s="68"/>
      <c r="BS3282" s="68"/>
      <c r="BT3282" s="68"/>
      <c r="BU3282" s="68"/>
      <c r="BV3282" s="68"/>
      <c r="BW3282" s="68"/>
      <c r="BX3282" s="68"/>
      <c r="BY3282" s="68"/>
      <c r="BZ3282" s="68"/>
      <c r="CA3282" s="68"/>
      <c r="CB3282" s="68"/>
      <c r="CC3282" s="68"/>
      <c r="CD3282" s="68"/>
      <c r="CE3282" s="68"/>
      <c r="CF3282" s="68"/>
      <c r="CG3282" s="68"/>
      <c r="CH3282" s="68"/>
      <c r="CI3282" s="68"/>
      <c r="CJ3282" s="68"/>
      <c r="CK3282" s="68"/>
      <c r="CL3282" s="68"/>
      <c r="CM3282" s="68"/>
      <c r="CN3282" s="68"/>
      <c r="CO3282" s="68"/>
      <c r="CP3282" s="68"/>
      <c r="CQ3282" s="68"/>
      <c r="CR3282" s="68"/>
      <c r="CS3282" s="68"/>
      <c r="CT3282" s="68"/>
      <c r="CU3282" s="68"/>
      <c r="CV3282" s="68"/>
      <c r="CW3282" s="68"/>
      <c r="CX3282" s="68"/>
      <c r="CY3282" s="68"/>
      <c r="CZ3282" s="68"/>
      <c r="DA3282" s="68"/>
      <c r="DB3282" s="68"/>
      <c r="DC3282" s="68"/>
      <c r="DD3282" s="68"/>
      <c r="DE3282" s="68"/>
      <c r="DF3282" s="68"/>
      <c r="DG3282" s="68"/>
      <c r="DH3282" s="68"/>
    </row>
    <row r="3283">
      <c r="A3283" s="44">
        <v>3283.0</v>
      </c>
      <c r="B3283" s="129" t="s">
        <v>285</v>
      </c>
      <c r="C3283" s="62" t="s">
        <v>115</v>
      </c>
      <c r="D3283" s="62" t="s">
        <v>221</v>
      </c>
      <c r="F3283" s="159" t="s">
        <v>19700</v>
      </c>
      <c r="G3283" s="159" t="s">
        <v>19741</v>
      </c>
      <c r="H3283" s="151" t="s">
        <v>222</v>
      </c>
      <c r="I3283" s="152">
        <v>45834.0</v>
      </c>
      <c r="J3283" s="152">
        <v>45834.0</v>
      </c>
      <c r="K3283" s="68"/>
      <c r="L3283" s="68"/>
      <c r="M3283" s="159" t="s">
        <v>19703</v>
      </c>
      <c r="N3283" s="159" t="s">
        <v>19704</v>
      </c>
      <c r="O3283" s="159" t="s">
        <v>4104</v>
      </c>
      <c r="P3283" s="573"/>
      <c r="Q3283" s="2430" t="s">
        <v>19705</v>
      </c>
      <c r="R3283" s="159" t="s">
        <v>19706</v>
      </c>
      <c r="S3283" s="159" t="s">
        <v>19707</v>
      </c>
      <c r="T3283" s="159" t="s">
        <v>4104</v>
      </c>
      <c r="U3283" s="68"/>
      <c r="V3283" s="573"/>
      <c r="W3283" s="1228"/>
      <c r="X3283" s="2526" t="s">
        <v>19708</v>
      </c>
      <c r="Y3283" s="68"/>
      <c r="Z3283" s="159" t="s">
        <v>226</v>
      </c>
      <c r="AA3283" s="159" t="s">
        <v>19709</v>
      </c>
      <c r="AB3283" s="159" t="s">
        <v>19720</v>
      </c>
      <c r="AC3283" s="159" t="s">
        <v>19742</v>
      </c>
      <c r="AD3283" s="159" t="s">
        <v>19712</v>
      </c>
      <c r="AE3283" s="159" t="s">
        <v>813</v>
      </c>
      <c r="AF3283" s="156">
        <v>59.0</v>
      </c>
      <c r="AG3283" s="156">
        <v>1.34</v>
      </c>
      <c r="AH3283" s="159" t="s">
        <v>173</v>
      </c>
      <c r="AI3283" s="159" t="s">
        <v>813</v>
      </c>
      <c r="AJ3283" s="156">
        <v>0.001</v>
      </c>
      <c r="AK3283" s="159" t="s">
        <v>135</v>
      </c>
      <c r="AL3283" s="159" t="s">
        <v>136</v>
      </c>
      <c r="AM3283" s="159" t="s">
        <v>137</v>
      </c>
      <c r="AN3283" s="159" t="s">
        <v>138</v>
      </c>
      <c r="AO3283" s="156">
        <v>104.0</v>
      </c>
      <c r="AP3283" s="336">
        <v>0.02</v>
      </c>
      <c r="AQ3283" s="159" t="s">
        <v>602</v>
      </c>
      <c r="AR3283" s="159" t="s">
        <v>140</v>
      </c>
      <c r="AS3283" s="156">
        <v>0.88</v>
      </c>
      <c r="AT3283" s="159" t="s">
        <v>172</v>
      </c>
      <c r="AU3283" s="159" t="s">
        <v>136</v>
      </c>
      <c r="AV3283" s="159" t="s">
        <v>137</v>
      </c>
      <c r="AW3283" s="159" t="s">
        <v>138</v>
      </c>
      <c r="AX3283" s="159" t="s">
        <v>151</v>
      </c>
      <c r="AY3283" s="61" t="str">
        <f>IFERROR(__xludf.DUMMYFUNCTION("vlookup(BB3283,importrange(""https://docs.google.com/spreadsheets/d/1d2vevQ_7D_v35q4wCQ4RpQ_IPoTwEMB9Yp6ymwlPqew/edit?gid=984458430#gid=984458430"", ""'replication success'!A:K""), 11, FAlSE)"),"#N/A")</f>
        <v>#N/A</v>
      </c>
      <c r="AZ3283" s="61" t="str">
        <f>IFERROR(__xludf.DUMMYFUNCTION("vlookup(BB3283,importrange(""https://docs.google.com/spreadsheets/d/1d2vevQ_7D_v35q4wCQ4RpQ_IPoTwEMB9Yp6ymwlPqew/edit?gid=984458430#gid=984458430"", ""'replication success'!A:M""), 12, FAlSE)"),"#N/A")</f>
        <v>#N/A</v>
      </c>
      <c r="BA3283" s="61" t="str">
        <f>IFERROR(__xludf.DUMMYFUNCTION("vlookup(BB3283,importrange(""https://docs.google.com/spreadsheets/d/1d2vevQ_7D_v35q4wCQ4RpQ_IPoTwEMB9Yp6ymwlPqew/edit?gid=984458430#gid=984458430"", ""'replication success'!A:M""), 13, FAlSE)"),"#N/A")</f>
        <v>#N/A</v>
      </c>
      <c r="BB3283" s="61" t="str">
        <f>IFERROR(__xludf.DUMMYFUNCTION("REGEXREPLACE(G3283, ""_[a-z]{1,2}$"", """")"),"ManyLabs4_1n")</f>
        <v>ManyLabs4_1n</v>
      </c>
      <c r="BC3283" s="68"/>
      <c r="BD3283" s="68"/>
      <c r="BE3283" s="68"/>
      <c r="BF3283" s="68"/>
      <c r="BG3283" s="68"/>
      <c r="BH3283" s="68"/>
      <c r="BI3283" s="68"/>
      <c r="BJ3283" s="68"/>
      <c r="BK3283" s="68"/>
      <c r="BL3283" s="68"/>
      <c r="BM3283" s="68"/>
      <c r="BN3283" s="68"/>
      <c r="BO3283" s="68"/>
      <c r="BP3283" s="68"/>
      <c r="BQ3283" s="68"/>
      <c r="BR3283" s="68"/>
      <c r="BS3283" s="68"/>
      <c r="BT3283" s="68"/>
      <c r="BU3283" s="68"/>
      <c r="BV3283" s="68"/>
      <c r="BW3283" s="68"/>
      <c r="BX3283" s="68"/>
      <c r="BY3283" s="68"/>
      <c r="BZ3283" s="68"/>
      <c r="CA3283" s="68"/>
      <c r="CB3283" s="68"/>
      <c r="CC3283" s="68"/>
      <c r="CD3283" s="68"/>
      <c r="CE3283" s="68"/>
      <c r="CF3283" s="68"/>
      <c r="CG3283" s="68"/>
      <c r="CH3283" s="68"/>
      <c r="CI3283" s="68"/>
      <c r="CJ3283" s="68"/>
      <c r="CK3283" s="68"/>
      <c r="CL3283" s="68"/>
      <c r="CM3283" s="68"/>
      <c r="CN3283" s="68"/>
      <c r="CO3283" s="68"/>
      <c r="CP3283" s="68"/>
      <c r="CQ3283" s="68"/>
      <c r="CR3283" s="68"/>
      <c r="CS3283" s="68"/>
      <c r="CT3283" s="68"/>
      <c r="CU3283" s="68"/>
      <c r="CV3283" s="68"/>
      <c r="CW3283" s="68"/>
      <c r="CX3283" s="68"/>
      <c r="CY3283" s="68"/>
      <c r="CZ3283" s="68"/>
      <c r="DA3283" s="68"/>
      <c r="DB3283" s="68"/>
      <c r="DC3283" s="68"/>
      <c r="DD3283" s="68"/>
      <c r="DE3283" s="68"/>
      <c r="DF3283" s="68"/>
      <c r="DG3283" s="68"/>
      <c r="DH3283" s="68"/>
    </row>
    <row r="3284">
      <c r="A3284" s="44">
        <v>3284.0</v>
      </c>
      <c r="B3284" s="129" t="s">
        <v>285</v>
      </c>
      <c r="C3284" s="62" t="s">
        <v>115</v>
      </c>
      <c r="D3284" s="62" t="s">
        <v>221</v>
      </c>
      <c r="F3284" s="159" t="s">
        <v>19700</v>
      </c>
      <c r="G3284" s="159" t="s">
        <v>19743</v>
      </c>
      <c r="H3284" s="151" t="s">
        <v>222</v>
      </c>
      <c r="I3284" s="152">
        <v>45834.0</v>
      </c>
      <c r="J3284" s="152">
        <v>45834.0</v>
      </c>
      <c r="K3284" s="68"/>
      <c r="L3284" s="68"/>
      <c r="M3284" s="159" t="s">
        <v>19703</v>
      </c>
      <c r="N3284" s="159" t="s">
        <v>19704</v>
      </c>
      <c r="O3284" s="159" t="s">
        <v>4104</v>
      </c>
      <c r="P3284" s="573"/>
      <c r="Q3284" s="2430" t="s">
        <v>19705</v>
      </c>
      <c r="R3284" s="159" t="s">
        <v>19706</v>
      </c>
      <c r="S3284" s="159" t="s">
        <v>19707</v>
      </c>
      <c r="T3284" s="159" t="s">
        <v>4104</v>
      </c>
      <c r="U3284" s="68"/>
      <c r="V3284" s="573"/>
      <c r="W3284" s="1228"/>
      <c r="X3284" s="2526" t="s">
        <v>19708</v>
      </c>
      <c r="Y3284" s="68"/>
      <c r="Z3284" s="159" t="s">
        <v>226</v>
      </c>
      <c r="AA3284" s="159" t="s">
        <v>19709</v>
      </c>
      <c r="AB3284" s="159" t="s">
        <v>19720</v>
      </c>
      <c r="AC3284" s="159" t="s">
        <v>19744</v>
      </c>
      <c r="AD3284" s="159" t="s">
        <v>19712</v>
      </c>
      <c r="AE3284" s="159" t="s">
        <v>813</v>
      </c>
      <c r="AF3284" s="156">
        <v>59.0</v>
      </c>
      <c r="AG3284" s="156">
        <v>1.34</v>
      </c>
      <c r="AH3284" s="159" t="s">
        <v>173</v>
      </c>
      <c r="AI3284" s="159" t="s">
        <v>813</v>
      </c>
      <c r="AJ3284" s="156">
        <v>0.001</v>
      </c>
      <c r="AK3284" s="159" t="s">
        <v>135</v>
      </c>
      <c r="AL3284" s="159" t="s">
        <v>136</v>
      </c>
      <c r="AM3284" s="159" t="s">
        <v>137</v>
      </c>
      <c r="AN3284" s="159" t="s">
        <v>138</v>
      </c>
      <c r="AO3284" s="156">
        <v>119.0</v>
      </c>
      <c r="AP3284" s="336">
        <v>-0.02</v>
      </c>
      <c r="AQ3284" s="159" t="s">
        <v>602</v>
      </c>
      <c r="AR3284" s="159" t="s">
        <v>140</v>
      </c>
      <c r="AS3284" s="156">
        <v>0.87</v>
      </c>
      <c r="AT3284" s="159" t="s">
        <v>172</v>
      </c>
      <c r="AU3284" s="159" t="s">
        <v>136</v>
      </c>
      <c r="AV3284" s="159" t="s">
        <v>137</v>
      </c>
      <c r="AW3284" s="159" t="s">
        <v>138</v>
      </c>
      <c r="AX3284" s="159" t="s">
        <v>151</v>
      </c>
      <c r="AY3284" s="61" t="str">
        <f>IFERROR(__xludf.DUMMYFUNCTION("vlookup(BB3284,importrange(""https://docs.google.com/spreadsheets/d/1d2vevQ_7D_v35q4wCQ4RpQ_IPoTwEMB9Yp6ymwlPqew/edit?gid=984458430#gid=984458430"", ""'replication success'!A:K""), 11, FAlSE)"),"#N/A")</f>
        <v>#N/A</v>
      </c>
      <c r="AZ3284" s="61" t="str">
        <f>IFERROR(__xludf.DUMMYFUNCTION("vlookup(BB3284,importrange(""https://docs.google.com/spreadsheets/d/1d2vevQ_7D_v35q4wCQ4RpQ_IPoTwEMB9Yp6ymwlPqew/edit?gid=984458430#gid=984458430"", ""'replication success'!A:M""), 12, FAlSE)"),"#N/A")</f>
        <v>#N/A</v>
      </c>
      <c r="BA3284" s="61" t="str">
        <f>IFERROR(__xludf.DUMMYFUNCTION("vlookup(BB3284,importrange(""https://docs.google.com/spreadsheets/d/1d2vevQ_7D_v35q4wCQ4RpQ_IPoTwEMB9Yp6ymwlPqew/edit?gid=984458430#gid=984458430"", ""'replication success'!A:M""), 13, FAlSE)"),"#N/A")</f>
        <v>#N/A</v>
      </c>
      <c r="BB3284" s="61" t="str">
        <f>IFERROR(__xludf.DUMMYFUNCTION("REGEXREPLACE(G3284, ""_[a-z]{1,2}$"", """")"),"ManyLabs4_1o")</f>
        <v>ManyLabs4_1o</v>
      </c>
      <c r="BC3284" s="68"/>
      <c r="BD3284" s="68"/>
      <c r="BE3284" s="68"/>
      <c r="BF3284" s="68"/>
      <c r="BG3284" s="68"/>
      <c r="BH3284" s="68"/>
      <c r="BI3284" s="68"/>
      <c r="BJ3284" s="68"/>
      <c r="BK3284" s="68"/>
      <c r="BL3284" s="68"/>
      <c r="BM3284" s="68"/>
      <c r="BN3284" s="68"/>
      <c r="BO3284" s="68"/>
      <c r="BP3284" s="68"/>
      <c r="BQ3284" s="68"/>
      <c r="BR3284" s="68"/>
      <c r="BS3284" s="68"/>
      <c r="BT3284" s="68"/>
      <c r="BU3284" s="68"/>
      <c r="BV3284" s="68"/>
      <c r="BW3284" s="68"/>
      <c r="BX3284" s="68"/>
      <c r="BY3284" s="68"/>
      <c r="BZ3284" s="68"/>
      <c r="CA3284" s="68"/>
      <c r="CB3284" s="68"/>
      <c r="CC3284" s="68"/>
      <c r="CD3284" s="68"/>
      <c r="CE3284" s="68"/>
      <c r="CF3284" s="68"/>
      <c r="CG3284" s="68"/>
      <c r="CH3284" s="68"/>
      <c r="CI3284" s="68"/>
      <c r="CJ3284" s="68"/>
      <c r="CK3284" s="68"/>
      <c r="CL3284" s="68"/>
      <c r="CM3284" s="68"/>
      <c r="CN3284" s="68"/>
      <c r="CO3284" s="68"/>
      <c r="CP3284" s="68"/>
      <c r="CQ3284" s="68"/>
      <c r="CR3284" s="68"/>
      <c r="CS3284" s="68"/>
      <c r="CT3284" s="68"/>
      <c r="CU3284" s="68"/>
      <c r="CV3284" s="68"/>
      <c r="CW3284" s="68"/>
      <c r="CX3284" s="68"/>
      <c r="CY3284" s="68"/>
      <c r="CZ3284" s="68"/>
      <c r="DA3284" s="68"/>
      <c r="DB3284" s="68"/>
      <c r="DC3284" s="68"/>
      <c r="DD3284" s="68"/>
      <c r="DE3284" s="68"/>
      <c r="DF3284" s="68"/>
      <c r="DG3284" s="68"/>
      <c r="DH3284" s="68"/>
    </row>
    <row r="3285">
      <c r="A3285" s="44">
        <v>3285.0</v>
      </c>
      <c r="B3285" s="129" t="s">
        <v>285</v>
      </c>
      <c r="C3285" s="62" t="s">
        <v>115</v>
      </c>
      <c r="D3285" s="62" t="s">
        <v>221</v>
      </c>
      <c r="F3285" s="159" t="s">
        <v>19700</v>
      </c>
      <c r="G3285" s="159" t="s">
        <v>19745</v>
      </c>
      <c r="H3285" s="151" t="s">
        <v>222</v>
      </c>
      <c r="I3285" s="152">
        <v>45834.0</v>
      </c>
      <c r="J3285" s="152">
        <v>45834.0</v>
      </c>
      <c r="K3285" s="68"/>
      <c r="L3285" s="68"/>
      <c r="M3285" s="159" t="s">
        <v>19703</v>
      </c>
      <c r="N3285" s="159" t="s">
        <v>19704</v>
      </c>
      <c r="O3285" s="159" t="s">
        <v>4104</v>
      </c>
      <c r="P3285" s="573"/>
      <c r="Q3285" s="2430" t="s">
        <v>19705</v>
      </c>
      <c r="R3285" s="159" t="s">
        <v>19706</v>
      </c>
      <c r="S3285" s="159" t="s">
        <v>19707</v>
      </c>
      <c r="T3285" s="159" t="s">
        <v>4104</v>
      </c>
      <c r="U3285" s="68"/>
      <c r="V3285" s="573"/>
      <c r="W3285" s="1228"/>
      <c r="X3285" s="2526" t="s">
        <v>19708</v>
      </c>
      <c r="Y3285" s="68"/>
      <c r="Z3285" s="159" t="s">
        <v>226</v>
      </c>
      <c r="AA3285" s="159" t="s">
        <v>19709</v>
      </c>
      <c r="AB3285" s="159" t="s">
        <v>19720</v>
      </c>
      <c r="AC3285" s="159" t="s">
        <v>19746</v>
      </c>
      <c r="AD3285" s="159" t="s">
        <v>19712</v>
      </c>
      <c r="AE3285" s="159" t="s">
        <v>813</v>
      </c>
      <c r="AF3285" s="156">
        <v>59.0</v>
      </c>
      <c r="AG3285" s="156">
        <v>1.34</v>
      </c>
      <c r="AH3285" s="159" t="s">
        <v>173</v>
      </c>
      <c r="AI3285" s="159" t="s">
        <v>813</v>
      </c>
      <c r="AJ3285" s="156">
        <v>0.001</v>
      </c>
      <c r="AK3285" s="159" t="s">
        <v>135</v>
      </c>
      <c r="AL3285" s="159" t="s">
        <v>136</v>
      </c>
      <c r="AM3285" s="159" t="s">
        <v>137</v>
      </c>
      <c r="AN3285" s="159" t="s">
        <v>138</v>
      </c>
      <c r="AO3285" s="156">
        <v>124.0</v>
      </c>
      <c r="AP3285" s="156">
        <v>0.03</v>
      </c>
      <c r="AQ3285" s="159" t="s">
        <v>602</v>
      </c>
      <c r="AR3285" s="159" t="s">
        <v>140</v>
      </c>
      <c r="AS3285" s="156">
        <v>0.89</v>
      </c>
      <c r="AT3285" s="159" t="s">
        <v>172</v>
      </c>
      <c r="AU3285" s="159" t="s">
        <v>136</v>
      </c>
      <c r="AV3285" s="159" t="s">
        <v>137</v>
      </c>
      <c r="AW3285" s="159" t="s">
        <v>138</v>
      </c>
      <c r="AX3285" s="159" t="s">
        <v>151</v>
      </c>
      <c r="AY3285" s="61" t="str">
        <f>IFERROR(__xludf.DUMMYFUNCTION("vlookup(BB3285,importrange(""https://docs.google.com/spreadsheets/d/1d2vevQ_7D_v35q4wCQ4RpQ_IPoTwEMB9Yp6ymwlPqew/edit?gid=984458430#gid=984458430"", ""'replication success'!A:K""), 11, FAlSE)"),"#N/A")</f>
        <v>#N/A</v>
      </c>
      <c r="AZ3285" s="61" t="str">
        <f>IFERROR(__xludf.DUMMYFUNCTION("vlookup(BB3285,importrange(""https://docs.google.com/spreadsheets/d/1d2vevQ_7D_v35q4wCQ4RpQ_IPoTwEMB9Yp6ymwlPqew/edit?gid=984458430#gid=984458430"", ""'replication success'!A:M""), 12, FAlSE)"),"#N/A")</f>
        <v>#N/A</v>
      </c>
      <c r="BA3285" s="61" t="str">
        <f>IFERROR(__xludf.DUMMYFUNCTION("vlookup(BB3285,importrange(""https://docs.google.com/spreadsheets/d/1d2vevQ_7D_v35q4wCQ4RpQ_IPoTwEMB9Yp6ymwlPqew/edit?gid=984458430#gid=984458430"", ""'replication success'!A:M""), 13, FAlSE)"),"#N/A")</f>
        <v>#N/A</v>
      </c>
      <c r="BB3285" s="61" t="str">
        <f>IFERROR(__xludf.DUMMYFUNCTION("REGEXREPLACE(G3285, ""_[a-z]{1,2}$"", """")"),"ManyLabs4_1p")</f>
        <v>ManyLabs4_1p</v>
      </c>
      <c r="BC3285" s="68"/>
      <c r="BD3285" s="68"/>
      <c r="BE3285" s="68"/>
      <c r="BF3285" s="68"/>
      <c r="BG3285" s="68"/>
      <c r="BH3285" s="68"/>
      <c r="BI3285" s="68"/>
      <c r="BJ3285" s="68"/>
      <c r="BK3285" s="68"/>
      <c r="BL3285" s="68"/>
      <c r="BM3285" s="68"/>
      <c r="BN3285" s="68"/>
      <c r="BO3285" s="68"/>
      <c r="BP3285" s="68"/>
      <c r="BQ3285" s="68"/>
      <c r="BR3285" s="68"/>
      <c r="BS3285" s="68"/>
      <c r="BT3285" s="68"/>
      <c r="BU3285" s="68"/>
      <c r="BV3285" s="68"/>
      <c r="BW3285" s="68"/>
      <c r="BX3285" s="68"/>
      <c r="BY3285" s="68"/>
      <c r="BZ3285" s="68"/>
      <c r="CA3285" s="68"/>
      <c r="CB3285" s="68"/>
      <c r="CC3285" s="68"/>
      <c r="CD3285" s="68"/>
      <c r="CE3285" s="68"/>
      <c r="CF3285" s="68"/>
      <c r="CG3285" s="68"/>
      <c r="CH3285" s="68"/>
      <c r="CI3285" s="68"/>
      <c r="CJ3285" s="68"/>
      <c r="CK3285" s="68"/>
      <c r="CL3285" s="68"/>
      <c r="CM3285" s="68"/>
      <c r="CN3285" s="68"/>
      <c r="CO3285" s="68"/>
      <c r="CP3285" s="68"/>
      <c r="CQ3285" s="68"/>
      <c r="CR3285" s="68"/>
      <c r="CS3285" s="68"/>
      <c r="CT3285" s="68"/>
      <c r="CU3285" s="68"/>
      <c r="CV3285" s="68"/>
      <c r="CW3285" s="68"/>
      <c r="CX3285" s="68"/>
      <c r="CY3285" s="68"/>
      <c r="CZ3285" s="68"/>
      <c r="DA3285" s="68"/>
      <c r="DB3285" s="68"/>
      <c r="DC3285" s="68"/>
      <c r="DD3285" s="68"/>
      <c r="DE3285" s="68"/>
      <c r="DF3285" s="68"/>
      <c r="DG3285" s="68"/>
      <c r="DH3285" s="68"/>
    </row>
    <row r="3286">
      <c r="A3286" s="44">
        <v>3286.0</v>
      </c>
      <c r="B3286" s="129" t="s">
        <v>285</v>
      </c>
      <c r="C3286" s="62" t="s">
        <v>115</v>
      </c>
      <c r="D3286" s="62" t="s">
        <v>221</v>
      </c>
      <c r="F3286" s="159" t="s">
        <v>19700</v>
      </c>
      <c r="G3286" s="159" t="s">
        <v>19747</v>
      </c>
      <c r="H3286" s="151" t="s">
        <v>222</v>
      </c>
      <c r="I3286" s="152">
        <v>45834.0</v>
      </c>
      <c r="J3286" s="152">
        <v>45834.0</v>
      </c>
      <c r="K3286" s="68"/>
      <c r="L3286" s="68"/>
      <c r="M3286" s="159" t="s">
        <v>19703</v>
      </c>
      <c r="N3286" s="159" t="s">
        <v>19704</v>
      </c>
      <c r="O3286" s="159" t="s">
        <v>4104</v>
      </c>
      <c r="P3286" s="573"/>
      <c r="Q3286" s="2430" t="s">
        <v>19705</v>
      </c>
      <c r="R3286" s="159" t="s">
        <v>19706</v>
      </c>
      <c r="S3286" s="159" t="s">
        <v>19707</v>
      </c>
      <c r="T3286" s="159" t="s">
        <v>4104</v>
      </c>
      <c r="U3286" s="68"/>
      <c r="V3286" s="573"/>
      <c r="W3286" s="1228"/>
      <c r="X3286" s="2526" t="s">
        <v>19708</v>
      </c>
      <c r="Y3286" s="68"/>
      <c r="Z3286" s="159" t="s">
        <v>226</v>
      </c>
      <c r="AA3286" s="159" t="s">
        <v>19709</v>
      </c>
      <c r="AB3286" s="159" t="s">
        <v>19720</v>
      </c>
      <c r="AC3286" s="159" t="s">
        <v>19748</v>
      </c>
      <c r="AD3286" s="159" t="s">
        <v>19712</v>
      </c>
      <c r="AE3286" s="159" t="s">
        <v>813</v>
      </c>
      <c r="AF3286" s="156">
        <v>59.0</v>
      </c>
      <c r="AG3286" s="156">
        <v>1.34</v>
      </c>
      <c r="AH3286" s="159" t="s">
        <v>173</v>
      </c>
      <c r="AI3286" s="159" t="s">
        <v>813</v>
      </c>
      <c r="AJ3286" s="156">
        <v>0.001</v>
      </c>
      <c r="AK3286" s="159" t="s">
        <v>135</v>
      </c>
      <c r="AL3286" s="159" t="s">
        <v>136</v>
      </c>
      <c r="AM3286" s="159" t="s">
        <v>137</v>
      </c>
      <c r="AN3286" s="159" t="s">
        <v>138</v>
      </c>
      <c r="AO3286" s="156">
        <v>103.0</v>
      </c>
      <c r="AP3286" s="156">
        <v>0.0</v>
      </c>
      <c r="AQ3286" s="159" t="s">
        <v>602</v>
      </c>
      <c r="AR3286" s="159" t="s">
        <v>140</v>
      </c>
      <c r="AS3286" s="336">
        <v>0.99</v>
      </c>
      <c r="AT3286" s="159" t="s">
        <v>172</v>
      </c>
      <c r="AU3286" s="159" t="s">
        <v>136</v>
      </c>
      <c r="AV3286" s="159" t="s">
        <v>137</v>
      </c>
      <c r="AW3286" s="159" t="s">
        <v>138</v>
      </c>
      <c r="AX3286" s="159" t="s">
        <v>151</v>
      </c>
      <c r="AY3286" s="61" t="str">
        <f>IFERROR(__xludf.DUMMYFUNCTION("vlookup(BB3286,importrange(""https://docs.google.com/spreadsheets/d/1d2vevQ_7D_v35q4wCQ4RpQ_IPoTwEMB9Yp6ymwlPqew/edit?gid=984458430#gid=984458430"", ""'replication success'!A:K""), 11, FAlSE)"),"#N/A")</f>
        <v>#N/A</v>
      </c>
      <c r="AZ3286" s="61" t="str">
        <f>IFERROR(__xludf.DUMMYFUNCTION("vlookup(BB3286,importrange(""https://docs.google.com/spreadsheets/d/1d2vevQ_7D_v35q4wCQ4RpQ_IPoTwEMB9Yp6ymwlPqew/edit?gid=984458430#gid=984458430"", ""'replication success'!A:M""), 12, FAlSE)"),"#N/A")</f>
        <v>#N/A</v>
      </c>
      <c r="BA3286" s="61" t="str">
        <f>IFERROR(__xludf.DUMMYFUNCTION("vlookup(BB3286,importrange(""https://docs.google.com/spreadsheets/d/1d2vevQ_7D_v35q4wCQ4RpQ_IPoTwEMB9Yp6ymwlPqew/edit?gid=984458430#gid=984458430"", ""'replication success'!A:M""), 13, FAlSE)"),"#N/A")</f>
        <v>#N/A</v>
      </c>
      <c r="BB3286" s="61" t="str">
        <f>IFERROR(__xludf.DUMMYFUNCTION("REGEXREPLACE(G3286, ""_[a-z]{1,2}$"", """")"),"ManyLabs4_1q")</f>
        <v>ManyLabs4_1q</v>
      </c>
      <c r="BC3286" s="68"/>
      <c r="BD3286" s="68"/>
      <c r="BE3286" s="68"/>
      <c r="BF3286" s="68"/>
      <c r="BG3286" s="68"/>
      <c r="BH3286" s="68"/>
      <c r="BI3286" s="68"/>
      <c r="BJ3286" s="68"/>
      <c r="BK3286" s="68"/>
      <c r="BL3286" s="68"/>
      <c r="BM3286" s="68"/>
      <c r="BN3286" s="68"/>
      <c r="BO3286" s="68"/>
      <c r="BP3286" s="68"/>
      <c r="BQ3286" s="68"/>
      <c r="BR3286" s="68"/>
      <c r="BS3286" s="68"/>
      <c r="BT3286" s="68"/>
      <c r="BU3286" s="68"/>
      <c r="BV3286" s="68"/>
      <c r="BW3286" s="68"/>
      <c r="BX3286" s="68"/>
      <c r="BY3286" s="68"/>
      <c r="BZ3286" s="68"/>
      <c r="CA3286" s="68"/>
      <c r="CB3286" s="68"/>
      <c r="CC3286" s="68"/>
      <c r="CD3286" s="68"/>
      <c r="CE3286" s="68"/>
      <c r="CF3286" s="68"/>
      <c r="CG3286" s="68"/>
      <c r="CH3286" s="68"/>
      <c r="CI3286" s="68"/>
      <c r="CJ3286" s="68"/>
      <c r="CK3286" s="68"/>
      <c r="CL3286" s="68"/>
      <c r="CM3286" s="68"/>
      <c r="CN3286" s="68"/>
      <c r="CO3286" s="68"/>
      <c r="CP3286" s="68"/>
      <c r="CQ3286" s="68"/>
      <c r="CR3286" s="68"/>
      <c r="CS3286" s="68"/>
      <c r="CT3286" s="68"/>
      <c r="CU3286" s="68"/>
      <c r="CV3286" s="68"/>
      <c r="CW3286" s="68"/>
      <c r="CX3286" s="68"/>
      <c r="CY3286" s="68"/>
      <c r="CZ3286" s="68"/>
      <c r="DA3286" s="68"/>
      <c r="DB3286" s="68"/>
      <c r="DC3286" s="68"/>
      <c r="DD3286" s="68"/>
      <c r="DE3286" s="68"/>
      <c r="DF3286" s="68"/>
      <c r="DG3286" s="68"/>
      <c r="DH3286" s="68"/>
    </row>
    <row r="3287">
      <c r="A3287" s="44">
        <v>3287.0</v>
      </c>
      <c r="B3287" s="129" t="s">
        <v>285</v>
      </c>
      <c r="C3287" s="62" t="s">
        <v>115</v>
      </c>
      <c r="D3287" s="62" t="s">
        <v>221</v>
      </c>
      <c r="F3287" s="159" t="s">
        <v>19700</v>
      </c>
      <c r="G3287" s="159" t="s">
        <v>19749</v>
      </c>
      <c r="H3287" s="151" t="s">
        <v>222</v>
      </c>
      <c r="I3287" s="152">
        <v>45834.0</v>
      </c>
      <c r="J3287" s="152">
        <v>45834.0</v>
      </c>
      <c r="K3287" s="68"/>
      <c r="L3287" s="68"/>
      <c r="M3287" s="159" t="s">
        <v>19703</v>
      </c>
      <c r="N3287" s="159" t="s">
        <v>19704</v>
      </c>
      <c r="O3287" s="159" t="s">
        <v>4104</v>
      </c>
      <c r="P3287" s="573"/>
      <c r="Q3287" s="2430" t="s">
        <v>19705</v>
      </c>
      <c r="R3287" s="159" t="s">
        <v>19706</v>
      </c>
      <c r="S3287" s="159" t="s">
        <v>19707</v>
      </c>
      <c r="T3287" s="159" t="s">
        <v>4104</v>
      </c>
      <c r="U3287" s="68"/>
      <c r="V3287" s="573"/>
      <c r="W3287" s="1228"/>
      <c r="X3287" s="2526" t="s">
        <v>19708</v>
      </c>
      <c r="Y3287" s="68"/>
      <c r="Z3287" s="159" t="s">
        <v>226</v>
      </c>
      <c r="AA3287" s="159" t="s">
        <v>19709</v>
      </c>
      <c r="AB3287" s="159" t="s">
        <v>19720</v>
      </c>
      <c r="AC3287" s="159" t="s">
        <v>19750</v>
      </c>
      <c r="AD3287" s="159" t="s">
        <v>19712</v>
      </c>
      <c r="AE3287" s="159" t="s">
        <v>813</v>
      </c>
      <c r="AF3287" s="156">
        <v>59.0</v>
      </c>
      <c r="AG3287" s="156">
        <v>1.34</v>
      </c>
      <c r="AH3287" s="159" t="s">
        <v>173</v>
      </c>
      <c r="AI3287" s="159" t="s">
        <v>813</v>
      </c>
      <c r="AJ3287" s="156">
        <v>0.001</v>
      </c>
      <c r="AK3287" s="159" t="s">
        <v>135</v>
      </c>
      <c r="AL3287" s="159" t="s">
        <v>136</v>
      </c>
      <c r="AM3287" s="159" t="s">
        <v>137</v>
      </c>
      <c r="AN3287" s="159" t="s">
        <v>138</v>
      </c>
      <c r="AO3287" s="156">
        <v>106.0</v>
      </c>
      <c r="AP3287" s="156">
        <v>-0.01</v>
      </c>
      <c r="AQ3287" s="159" t="s">
        <v>602</v>
      </c>
      <c r="AR3287" s="159" t="s">
        <v>140</v>
      </c>
      <c r="AS3287" s="156">
        <v>0.96</v>
      </c>
      <c r="AT3287" s="159" t="s">
        <v>172</v>
      </c>
      <c r="AU3287" s="159" t="s">
        <v>136</v>
      </c>
      <c r="AV3287" s="159" t="s">
        <v>137</v>
      </c>
      <c r="AW3287" s="159" t="s">
        <v>138</v>
      </c>
      <c r="AX3287" s="159" t="s">
        <v>151</v>
      </c>
      <c r="AY3287" s="61" t="str">
        <f>IFERROR(__xludf.DUMMYFUNCTION("vlookup(BB3287,importrange(""https://docs.google.com/spreadsheets/d/1d2vevQ_7D_v35q4wCQ4RpQ_IPoTwEMB9Yp6ymwlPqew/edit?gid=984458430#gid=984458430"", ""'replication success'!A:K""), 11, FAlSE)"),"#N/A")</f>
        <v>#N/A</v>
      </c>
      <c r="AZ3287" s="61" t="str">
        <f>IFERROR(__xludf.DUMMYFUNCTION("vlookup(BB3287,importrange(""https://docs.google.com/spreadsheets/d/1d2vevQ_7D_v35q4wCQ4RpQ_IPoTwEMB9Yp6ymwlPqew/edit?gid=984458430#gid=984458430"", ""'replication success'!A:M""), 12, FAlSE)"),"#N/A")</f>
        <v>#N/A</v>
      </c>
      <c r="BA3287" s="61" t="str">
        <f>IFERROR(__xludf.DUMMYFUNCTION("vlookup(BB3287,importrange(""https://docs.google.com/spreadsheets/d/1d2vevQ_7D_v35q4wCQ4RpQ_IPoTwEMB9Yp6ymwlPqew/edit?gid=984458430#gid=984458430"", ""'replication success'!A:M""), 13, FAlSE)"),"#N/A")</f>
        <v>#N/A</v>
      </c>
      <c r="BB3287" s="61" t="str">
        <f>IFERROR(__xludf.DUMMYFUNCTION("REGEXREPLACE(G3287, ""_[a-z]{1,2}$"", """")"),"ManyLabs4_1r")</f>
        <v>ManyLabs4_1r</v>
      </c>
      <c r="BC3287" s="68"/>
      <c r="BD3287" s="68"/>
      <c r="BE3287" s="68"/>
      <c r="BF3287" s="68"/>
      <c r="BG3287" s="68"/>
      <c r="BH3287" s="68"/>
      <c r="BI3287" s="68"/>
      <c r="BJ3287" s="68"/>
      <c r="BK3287" s="68"/>
      <c r="BL3287" s="68"/>
      <c r="BM3287" s="68"/>
      <c r="BN3287" s="68"/>
      <c r="BO3287" s="68"/>
      <c r="BP3287" s="68"/>
      <c r="BQ3287" s="68"/>
      <c r="BR3287" s="68"/>
      <c r="BS3287" s="68"/>
      <c r="BT3287" s="68"/>
      <c r="BU3287" s="68"/>
      <c r="BV3287" s="68"/>
      <c r="BW3287" s="68"/>
      <c r="BX3287" s="68"/>
      <c r="BY3287" s="68"/>
      <c r="BZ3287" s="68"/>
      <c r="CA3287" s="68"/>
      <c r="CB3287" s="68"/>
      <c r="CC3287" s="68"/>
      <c r="CD3287" s="68"/>
      <c r="CE3287" s="68"/>
      <c r="CF3287" s="68"/>
      <c r="CG3287" s="68"/>
      <c r="CH3287" s="68"/>
      <c r="CI3287" s="68"/>
      <c r="CJ3287" s="68"/>
      <c r="CK3287" s="68"/>
      <c r="CL3287" s="68"/>
      <c r="CM3287" s="68"/>
      <c r="CN3287" s="68"/>
      <c r="CO3287" s="68"/>
      <c r="CP3287" s="68"/>
      <c r="CQ3287" s="68"/>
      <c r="CR3287" s="68"/>
      <c r="CS3287" s="68"/>
      <c r="CT3287" s="68"/>
      <c r="CU3287" s="68"/>
      <c r="CV3287" s="68"/>
      <c r="CW3287" s="68"/>
      <c r="CX3287" s="68"/>
      <c r="CY3287" s="68"/>
      <c r="CZ3287" s="68"/>
      <c r="DA3287" s="68"/>
      <c r="DB3287" s="68"/>
      <c r="DC3287" s="68"/>
      <c r="DD3287" s="68"/>
      <c r="DE3287" s="68"/>
      <c r="DF3287" s="68"/>
      <c r="DG3287" s="68"/>
      <c r="DH3287" s="68"/>
    </row>
    <row r="3288">
      <c r="A3288" s="44">
        <v>3288.0</v>
      </c>
      <c r="B3288" s="129" t="s">
        <v>285</v>
      </c>
      <c r="C3288" s="62" t="s">
        <v>115</v>
      </c>
      <c r="D3288" s="62" t="s">
        <v>221</v>
      </c>
      <c r="F3288" s="159" t="s">
        <v>19700</v>
      </c>
      <c r="G3288" s="159" t="s">
        <v>19751</v>
      </c>
      <c r="H3288" s="151" t="s">
        <v>222</v>
      </c>
      <c r="I3288" s="152">
        <v>45834.0</v>
      </c>
      <c r="J3288" s="152">
        <v>45834.0</v>
      </c>
      <c r="K3288" s="68"/>
      <c r="L3288" s="68"/>
      <c r="M3288" s="159" t="s">
        <v>19703</v>
      </c>
      <c r="N3288" s="159" t="s">
        <v>19704</v>
      </c>
      <c r="O3288" s="159" t="s">
        <v>4104</v>
      </c>
      <c r="P3288" s="573"/>
      <c r="Q3288" s="2430" t="s">
        <v>19705</v>
      </c>
      <c r="R3288" s="159" t="s">
        <v>19706</v>
      </c>
      <c r="S3288" s="159" t="s">
        <v>19707</v>
      </c>
      <c r="T3288" s="159" t="s">
        <v>4104</v>
      </c>
      <c r="U3288" s="68"/>
      <c r="V3288" s="573"/>
      <c r="W3288" s="1228"/>
      <c r="X3288" s="2526" t="s">
        <v>19708</v>
      </c>
      <c r="Y3288" s="68"/>
      <c r="Z3288" s="159" t="s">
        <v>226</v>
      </c>
      <c r="AA3288" s="159" t="s">
        <v>19709</v>
      </c>
      <c r="AB3288" s="159" t="s">
        <v>19720</v>
      </c>
      <c r="AC3288" s="159" t="s">
        <v>19752</v>
      </c>
      <c r="AD3288" s="159" t="s">
        <v>19712</v>
      </c>
      <c r="AE3288" s="159" t="s">
        <v>813</v>
      </c>
      <c r="AF3288" s="156">
        <v>59.0</v>
      </c>
      <c r="AG3288" s="156">
        <v>1.34</v>
      </c>
      <c r="AH3288" s="159" t="s">
        <v>173</v>
      </c>
      <c r="AI3288" s="159" t="s">
        <v>813</v>
      </c>
      <c r="AJ3288" s="156">
        <v>0.001</v>
      </c>
      <c r="AK3288" s="159" t="s">
        <v>135</v>
      </c>
      <c r="AL3288" s="159" t="s">
        <v>136</v>
      </c>
      <c r="AM3288" s="159" t="s">
        <v>137</v>
      </c>
      <c r="AN3288" s="159" t="s">
        <v>138</v>
      </c>
      <c r="AO3288" s="156">
        <v>107.0</v>
      </c>
      <c r="AP3288" s="156">
        <v>-0.02</v>
      </c>
      <c r="AQ3288" s="159" t="s">
        <v>602</v>
      </c>
      <c r="AR3288" s="159" t="s">
        <v>140</v>
      </c>
      <c r="AS3288" s="156">
        <v>0.91</v>
      </c>
      <c r="AT3288" s="159" t="s">
        <v>172</v>
      </c>
      <c r="AU3288" s="159" t="s">
        <v>136</v>
      </c>
      <c r="AV3288" s="159" t="s">
        <v>137</v>
      </c>
      <c r="AW3288" s="159" t="s">
        <v>138</v>
      </c>
      <c r="AX3288" s="159" t="s">
        <v>151</v>
      </c>
      <c r="AY3288" s="61" t="str">
        <f>IFERROR(__xludf.DUMMYFUNCTION("vlookup(BB3288,importrange(""https://docs.google.com/spreadsheets/d/1d2vevQ_7D_v35q4wCQ4RpQ_IPoTwEMB9Yp6ymwlPqew/edit?gid=984458430#gid=984458430"", ""'replication success'!A:K""), 11, FAlSE)"),"#N/A")</f>
        <v>#N/A</v>
      </c>
      <c r="AZ3288" s="61" t="str">
        <f>IFERROR(__xludf.DUMMYFUNCTION("vlookup(BB3288,importrange(""https://docs.google.com/spreadsheets/d/1d2vevQ_7D_v35q4wCQ4RpQ_IPoTwEMB9Yp6ymwlPqew/edit?gid=984458430#gid=984458430"", ""'replication success'!A:M""), 12, FAlSE)"),"#N/A")</f>
        <v>#N/A</v>
      </c>
      <c r="BA3288" s="61" t="str">
        <f>IFERROR(__xludf.DUMMYFUNCTION("vlookup(BB3288,importrange(""https://docs.google.com/spreadsheets/d/1d2vevQ_7D_v35q4wCQ4RpQ_IPoTwEMB9Yp6ymwlPqew/edit?gid=984458430#gid=984458430"", ""'replication success'!A:M""), 13, FAlSE)"),"#N/A")</f>
        <v>#N/A</v>
      </c>
      <c r="BB3288" s="61" t="str">
        <f>IFERROR(__xludf.DUMMYFUNCTION("REGEXREPLACE(G3288, ""_[a-z]{1,2}$"", """")"),"ManyLabs4_1s")</f>
        <v>ManyLabs4_1s</v>
      </c>
      <c r="BC3288" s="68"/>
      <c r="BD3288" s="68"/>
      <c r="BE3288" s="68"/>
      <c r="BF3288" s="68"/>
      <c r="BG3288" s="68"/>
      <c r="BH3288" s="68"/>
      <c r="BI3288" s="68"/>
      <c r="BJ3288" s="68"/>
      <c r="BK3288" s="68"/>
      <c r="BL3288" s="68"/>
      <c r="BM3288" s="68"/>
      <c r="BN3288" s="68"/>
      <c r="BO3288" s="68"/>
      <c r="BP3288" s="68"/>
      <c r="BQ3288" s="68"/>
      <c r="BR3288" s="68"/>
      <c r="BS3288" s="68"/>
      <c r="BT3288" s="68"/>
      <c r="BU3288" s="68"/>
      <c r="BV3288" s="68"/>
      <c r="BW3288" s="68"/>
      <c r="BX3288" s="68"/>
      <c r="BY3288" s="68"/>
      <c r="BZ3288" s="68"/>
      <c r="CA3288" s="68"/>
      <c r="CB3288" s="68"/>
      <c r="CC3288" s="68"/>
      <c r="CD3288" s="68"/>
      <c r="CE3288" s="68"/>
      <c r="CF3288" s="68"/>
      <c r="CG3288" s="68"/>
      <c r="CH3288" s="68"/>
      <c r="CI3288" s="68"/>
      <c r="CJ3288" s="68"/>
      <c r="CK3288" s="68"/>
      <c r="CL3288" s="68"/>
      <c r="CM3288" s="68"/>
      <c r="CN3288" s="68"/>
      <c r="CO3288" s="68"/>
      <c r="CP3288" s="68"/>
      <c r="CQ3288" s="68"/>
      <c r="CR3288" s="68"/>
      <c r="CS3288" s="68"/>
      <c r="CT3288" s="68"/>
      <c r="CU3288" s="68"/>
      <c r="CV3288" s="68"/>
      <c r="CW3288" s="68"/>
      <c r="CX3288" s="68"/>
      <c r="CY3288" s="68"/>
      <c r="CZ3288" s="68"/>
      <c r="DA3288" s="68"/>
      <c r="DB3288" s="68"/>
      <c r="DC3288" s="68"/>
      <c r="DD3288" s="68"/>
      <c r="DE3288" s="68"/>
      <c r="DF3288" s="68"/>
      <c r="DG3288" s="68"/>
      <c r="DH3288" s="68"/>
    </row>
    <row r="3289">
      <c r="A3289" s="44">
        <v>3289.0</v>
      </c>
      <c r="B3289" s="129" t="s">
        <v>285</v>
      </c>
      <c r="C3289" s="62" t="s">
        <v>115</v>
      </c>
      <c r="D3289" s="62" t="s">
        <v>221</v>
      </c>
      <c r="F3289" s="159" t="s">
        <v>19700</v>
      </c>
      <c r="G3289" s="159" t="s">
        <v>19753</v>
      </c>
      <c r="H3289" s="151" t="s">
        <v>222</v>
      </c>
      <c r="I3289" s="152">
        <v>45834.0</v>
      </c>
      <c r="J3289" s="152">
        <v>45834.0</v>
      </c>
      <c r="K3289" s="68"/>
      <c r="L3289" s="68"/>
      <c r="M3289" s="159" t="s">
        <v>19703</v>
      </c>
      <c r="N3289" s="159" t="s">
        <v>19704</v>
      </c>
      <c r="O3289" s="159" t="s">
        <v>4104</v>
      </c>
      <c r="P3289" s="573"/>
      <c r="Q3289" s="2430" t="s">
        <v>19705</v>
      </c>
      <c r="R3289" s="159" t="s">
        <v>19706</v>
      </c>
      <c r="S3289" s="159" t="s">
        <v>19707</v>
      </c>
      <c r="T3289" s="159" t="s">
        <v>4104</v>
      </c>
      <c r="U3289" s="68"/>
      <c r="V3289" s="573"/>
      <c r="W3289" s="1228"/>
      <c r="X3289" s="2526" t="s">
        <v>19708</v>
      </c>
      <c r="Y3289" s="68"/>
      <c r="Z3289" s="159" t="s">
        <v>226</v>
      </c>
      <c r="AA3289" s="159" t="s">
        <v>19709</v>
      </c>
      <c r="AB3289" s="159" t="s">
        <v>19720</v>
      </c>
      <c r="AC3289" s="159" t="s">
        <v>19754</v>
      </c>
      <c r="AD3289" s="159" t="s">
        <v>19712</v>
      </c>
      <c r="AE3289" s="159" t="s">
        <v>813</v>
      </c>
      <c r="AF3289" s="156">
        <v>59.0</v>
      </c>
      <c r="AG3289" s="156">
        <v>1.34</v>
      </c>
      <c r="AH3289" s="159" t="s">
        <v>173</v>
      </c>
      <c r="AI3289" s="159" t="s">
        <v>813</v>
      </c>
      <c r="AJ3289" s="156">
        <v>0.001</v>
      </c>
      <c r="AK3289" s="159" t="s">
        <v>135</v>
      </c>
      <c r="AL3289" s="159" t="s">
        <v>136</v>
      </c>
      <c r="AM3289" s="159" t="s">
        <v>137</v>
      </c>
      <c r="AN3289" s="159" t="s">
        <v>138</v>
      </c>
      <c r="AO3289" s="156">
        <v>123.0</v>
      </c>
      <c r="AP3289" s="156">
        <v>-0.01</v>
      </c>
      <c r="AQ3289" s="159" t="s">
        <v>602</v>
      </c>
      <c r="AR3289" s="159" t="s">
        <v>140</v>
      </c>
      <c r="AS3289" s="156">
        <v>0.96</v>
      </c>
      <c r="AT3289" s="159" t="s">
        <v>172</v>
      </c>
      <c r="AU3289" s="159" t="s">
        <v>136</v>
      </c>
      <c r="AV3289" s="159" t="s">
        <v>137</v>
      </c>
      <c r="AW3289" s="159" t="s">
        <v>138</v>
      </c>
      <c r="AX3289" s="159" t="s">
        <v>151</v>
      </c>
      <c r="AY3289" s="61" t="str">
        <f>IFERROR(__xludf.DUMMYFUNCTION("vlookup(BB3289,importrange(""https://docs.google.com/spreadsheets/d/1d2vevQ_7D_v35q4wCQ4RpQ_IPoTwEMB9Yp6ymwlPqew/edit?gid=984458430#gid=984458430"", ""'replication success'!A:K""), 11, FAlSE)"),"#N/A")</f>
        <v>#N/A</v>
      </c>
      <c r="AZ3289" s="61" t="str">
        <f>IFERROR(__xludf.DUMMYFUNCTION("vlookup(BB3289,importrange(""https://docs.google.com/spreadsheets/d/1d2vevQ_7D_v35q4wCQ4RpQ_IPoTwEMB9Yp6ymwlPqew/edit?gid=984458430#gid=984458430"", ""'replication success'!A:M""), 12, FAlSE)"),"#N/A")</f>
        <v>#N/A</v>
      </c>
      <c r="BA3289" s="61" t="str">
        <f>IFERROR(__xludf.DUMMYFUNCTION("vlookup(BB3289,importrange(""https://docs.google.com/spreadsheets/d/1d2vevQ_7D_v35q4wCQ4RpQ_IPoTwEMB9Yp6ymwlPqew/edit?gid=984458430#gid=984458430"", ""'replication success'!A:M""), 13, FAlSE)"),"#N/A")</f>
        <v>#N/A</v>
      </c>
      <c r="BB3289" s="61" t="str">
        <f>IFERROR(__xludf.DUMMYFUNCTION("REGEXREPLACE(G3289, ""_[a-z]{1,2}$"", """")"),"ManyLabs4_1t")</f>
        <v>ManyLabs4_1t</v>
      </c>
      <c r="BC3289" s="68"/>
      <c r="BD3289" s="68"/>
      <c r="BE3289" s="68"/>
      <c r="BF3289" s="68"/>
      <c r="BG3289" s="68"/>
      <c r="BH3289" s="68"/>
      <c r="BI3289" s="68"/>
      <c r="BJ3289" s="68"/>
      <c r="BK3289" s="68"/>
      <c r="BL3289" s="68"/>
      <c r="BM3289" s="68"/>
      <c r="BN3289" s="68"/>
      <c r="BO3289" s="68"/>
      <c r="BP3289" s="68"/>
      <c r="BQ3289" s="68"/>
      <c r="BR3289" s="68"/>
      <c r="BS3289" s="68"/>
      <c r="BT3289" s="68"/>
      <c r="BU3289" s="68"/>
      <c r="BV3289" s="68"/>
      <c r="BW3289" s="68"/>
      <c r="BX3289" s="68"/>
      <c r="BY3289" s="68"/>
      <c r="BZ3289" s="68"/>
      <c r="CA3289" s="68"/>
      <c r="CB3289" s="68"/>
      <c r="CC3289" s="68"/>
      <c r="CD3289" s="68"/>
      <c r="CE3289" s="68"/>
      <c r="CF3289" s="68"/>
      <c r="CG3289" s="68"/>
      <c r="CH3289" s="68"/>
      <c r="CI3289" s="68"/>
      <c r="CJ3289" s="68"/>
      <c r="CK3289" s="68"/>
      <c r="CL3289" s="68"/>
      <c r="CM3289" s="68"/>
      <c r="CN3289" s="68"/>
      <c r="CO3289" s="68"/>
      <c r="CP3289" s="68"/>
      <c r="CQ3289" s="68"/>
      <c r="CR3289" s="68"/>
      <c r="CS3289" s="68"/>
      <c r="CT3289" s="68"/>
      <c r="CU3289" s="68"/>
      <c r="CV3289" s="68"/>
      <c r="CW3289" s="68"/>
      <c r="CX3289" s="68"/>
      <c r="CY3289" s="68"/>
      <c r="CZ3289" s="68"/>
      <c r="DA3289" s="68"/>
      <c r="DB3289" s="68"/>
      <c r="DC3289" s="68"/>
      <c r="DD3289" s="68"/>
      <c r="DE3289" s="68"/>
      <c r="DF3289" s="68"/>
      <c r="DG3289" s="68"/>
      <c r="DH3289" s="68"/>
    </row>
    <row r="3290">
      <c r="A3290" s="44">
        <v>3290.0</v>
      </c>
      <c r="B3290" s="129" t="s">
        <v>285</v>
      </c>
      <c r="C3290" s="62" t="s">
        <v>115</v>
      </c>
      <c r="D3290" s="62" t="s">
        <v>221</v>
      </c>
      <c r="F3290" s="159" t="s">
        <v>19700</v>
      </c>
      <c r="G3290" s="159" t="s">
        <v>19755</v>
      </c>
      <c r="H3290" s="151" t="s">
        <v>222</v>
      </c>
      <c r="I3290" s="152">
        <v>45834.0</v>
      </c>
      <c r="J3290" s="152">
        <v>45834.0</v>
      </c>
      <c r="K3290" s="68"/>
      <c r="L3290" s="68"/>
      <c r="M3290" s="159" t="s">
        <v>19703</v>
      </c>
      <c r="N3290" s="159" t="s">
        <v>19704</v>
      </c>
      <c r="O3290" s="159" t="s">
        <v>4104</v>
      </c>
      <c r="P3290" s="573"/>
      <c r="Q3290" s="2430" t="s">
        <v>19705</v>
      </c>
      <c r="R3290" s="159" t="s">
        <v>19706</v>
      </c>
      <c r="S3290" s="159" t="s">
        <v>19707</v>
      </c>
      <c r="T3290" s="159" t="s">
        <v>4104</v>
      </c>
      <c r="U3290" s="68"/>
      <c r="V3290" s="573"/>
      <c r="W3290" s="1228"/>
      <c r="X3290" s="2526" t="s">
        <v>19708</v>
      </c>
      <c r="Y3290" s="68"/>
      <c r="Z3290" s="159" t="s">
        <v>226</v>
      </c>
      <c r="AA3290" s="159" t="s">
        <v>19709</v>
      </c>
      <c r="AB3290" s="159" t="s">
        <v>19720</v>
      </c>
      <c r="AC3290" s="159" t="s">
        <v>19756</v>
      </c>
      <c r="AD3290" s="159" t="s">
        <v>19712</v>
      </c>
      <c r="AE3290" s="159" t="s">
        <v>813</v>
      </c>
      <c r="AF3290" s="156">
        <v>59.0</v>
      </c>
      <c r="AG3290" s="156">
        <v>1.34</v>
      </c>
      <c r="AH3290" s="159" t="s">
        <v>173</v>
      </c>
      <c r="AI3290" s="159" t="s">
        <v>813</v>
      </c>
      <c r="AJ3290" s="156">
        <v>0.001</v>
      </c>
      <c r="AK3290" s="159" t="s">
        <v>135</v>
      </c>
      <c r="AL3290" s="159" t="s">
        <v>136</v>
      </c>
      <c r="AM3290" s="159" t="s">
        <v>137</v>
      </c>
      <c r="AN3290" s="159" t="s">
        <v>138</v>
      </c>
      <c r="AO3290" s="156">
        <v>122.0</v>
      </c>
      <c r="AP3290" s="156">
        <v>-0.04</v>
      </c>
      <c r="AQ3290" s="159" t="s">
        <v>602</v>
      </c>
      <c r="AR3290" s="159" t="s">
        <v>140</v>
      </c>
      <c r="AS3290" s="156">
        <v>0.75</v>
      </c>
      <c r="AT3290" s="159" t="s">
        <v>172</v>
      </c>
      <c r="AU3290" s="159" t="s">
        <v>136</v>
      </c>
      <c r="AV3290" s="159" t="s">
        <v>137</v>
      </c>
      <c r="AW3290" s="159" t="s">
        <v>138</v>
      </c>
      <c r="AX3290" s="159" t="s">
        <v>151</v>
      </c>
      <c r="AY3290" s="61" t="str">
        <f>IFERROR(__xludf.DUMMYFUNCTION("vlookup(BB3290,importrange(""https://docs.google.com/spreadsheets/d/1d2vevQ_7D_v35q4wCQ4RpQ_IPoTwEMB9Yp6ymwlPqew/edit?gid=984458430#gid=984458430"", ""'replication success'!A:K""), 11, FAlSE)"),"#N/A")</f>
        <v>#N/A</v>
      </c>
      <c r="AZ3290" s="61" t="str">
        <f>IFERROR(__xludf.DUMMYFUNCTION("vlookup(BB3290,importrange(""https://docs.google.com/spreadsheets/d/1d2vevQ_7D_v35q4wCQ4RpQ_IPoTwEMB9Yp6ymwlPqew/edit?gid=984458430#gid=984458430"", ""'replication success'!A:M""), 12, FAlSE)"),"#N/A")</f>
        <v>#N/A</v>
      </c>
      <c r="BA3290" s="61" t="str">
        <f>IFERROR(__xludf.DUMMYFUNCTION("vlookup(BB3290,importrange(""https://docs.google.com/spreadsheets/d/1d2vevQ_7D_v35q4wCQ4RpQ_IPoTwEMB9Yp6ymwlPqew/edit?gid=984458430#gid=984458430"", ""'replication success'!A:M""), 13, FAlSE)"),"#N/A")</f>
        <v>#N/A</v>
      </c>
      <c r="BB3290" s="61" t="str">
        <f>IFERROR(__xludf.DUMMYFUNCTION("REGEXREPLACE(G3290, ""_[a-z]{1,2}$"", """")"),"ManyLabs4_1u")</f>
        <v>ManyLabs4_1u</v>
      </c>
      <c r="BC3290" s="68"/>
      <c r="BD3290" s="68"/>
      <c r="BE3290" s="68"/>
      <c r="BF3290" s="68"/>
      <c r="BG3290" s="68"/>
      <c r="BH3290" s="68"/>
      <c r="BI3290" s="68"/>
      <c r="BJ3290" s="68"/>
      <c r="BK3290" s="68"/>
      <c r="BL3290" s="68"/>
      <c r="BM3290" s="68"/>
      <c r="BN3290" s="68"/>
      <c r="BO3290" s="68"/>
      <c r="BP3290" s="68"/>
      <c r="BQ3290" s="68"/>
      <c r="BR3290" s="68"/>
      <c r="BS3290" s="68"/>
      <c r="BT3290" s="68"/>
      <c r="BU3290" s="68"/>
      <c r="BV3290" s="68"/>
      <c r="BW3290" s="68"/>
      <c r="BX3290" s="68"/>
      <c r="BY3290" s="68"/>
      <c r="BZ3290" s="68"/>
      <c r="CA3290" s="68"/>
      <c r="CB3290" s="68"/>
      <c r="CC3290" s="68"/>
      <c r="CD3290" s="68"/>
      <c r="CE3290" s="68"/>
      <c r="CF3290" s="68"/>
      <c r="CG3290" s="68"/>
      <c r="CH3290" s="68"/>
      <c r="CI3290" s="68"/>
      <c r="CJ3290" s="68"/>
      <c r="CK3290" s="68"/>
      <c r="CL3290" s="68"/>
      <c r="CM3290" s="68"/>
      <c r="CN3290" s="68"/>
      <c r="CO3290" s="68"/>
      <c r="CP3290" s="68"/>
      <c r="CQ3290" s="68"/>
      <c r="CR3290" s="68"/>
      <c r="CS3290" s="68"/>
      <c r="CT3290" s="68"/>
      <c r="CU3290" s="68"/>
      <c r="CV3290" s="68"/>
      <c r="CW3290" s="68"/>
      <c r="CX3290" s="68"/>
      <c r="CY3290" s="68"/>
      <c r="CZ3290" s="68"/>
      <c r="DA3290" s="68"/>
      <c r="DB3290" s="68"/>
      <c r="DC3290" s="68"/>
      <c r="DD3290" s="68"/>
      <c r="DE3290" s="68"/>
      <c r="DF3290" s="68"/>
      <c r="DG3290" s="68"/>
      <c r="DH3290" s="68"/>
    </row>
    <row r="3291">
      <c r="A3291" s="44">
        <v>3291.0</v>
      </c>
      <c r="B3291" s="129" t="s">
        <v>285</v>
      </c>
      <c r="C3291" s="62" t="s">
        <v>115</v>
      </c>
      <c r="D3291" s="62" t="s">
        <v>221</v>
      </c>
      <c r="F3291" s="159" t="s">
        <v>19700</v>
      </c>
      <c r="G3291" s="159" t="s">
        <v>19757</v>
      </c>
      <c r="H3291" s="151" t="s">
        <v>222</v>
      </c>
      <c r="I3291" s="152">
        <v>45835.0</v>
      </c>
      <c r="J3291" s="152">
        <v>45835.0</v>
      </c>
      <c r="K3291" s="68"/>
      <c r="L3291" s="68"/>
      <c r="M3291" s="159" t="s">
        <v>19703</v>
      </c>
      <c r="N3291" s="159" t="s">
        <v>19704</v>
      </c>
      <c r="O3291" s="159" t="s">
        <v>4104</v>
      </c>
      <c r="P3291" s="573"/>
      <c r="Q3291" s="2430" t="s">
        <v>19705</v>
      </c>
      <c r="R3291" s="159" t="s">
        <v>19706</v>
      </c>
      <c r="S3291" s="159" t="s">
        <v>19707</v>
      </c>
      <c r="T3291" s="159" t="s">
        <v>4104</v>
      </c>
      <c r="U3291" s="68"/>
      <c r="V3291" s="573"/>
      <c r="W3291" s="1228"/>
      <c r="X3291" s="2526" t="s">
        <v>19708</v>
      </c>
      <c r="Y3291" s="68"/>
      <c r="Z3291" s="159" t="s">
        <v>226</v>
      </c>
      <c r="AA3291" s="159" t="s">
        <v>19709</v>
      </c>
      <c r="AB3291" s="159" t="s">
        <v>19720</v>
      </c>
      <c r="AC3291" s="159" t="s">
        <v>19758</v>
      </c>
      <c r="AD3291" s="159" t="s">
        <v>19712</v>
      </c>
      <c r="AE3291" s="159" t="s">
        <v>813</v>
      </c>
      <c r="AF3291" s="156">
        <v>59.0</v>
      </c>
      <c r="AG3291" s="156">
        <v>1.34</v>
      </c>
      <c r="AH3291" s="159" t="s">
        <v>173</v>
      </c>
      <c r="AI3291" s="159" t="s">
        <v>813</v>
      </c>
      <c r="AJ3291" s="156">
        <v>0.001</v>
      </c>
      <c r="AK3291" s="159" t="s">
        <v>135</v>
      </c>
      <c r="AL3291" s="159" t="s">
        <v>136</v>
      </c>
      <c r="AM3291" s="159" t="s">
        <v>137</v>
      </c>
      <c r="AN3291" s="159" t="s">
        <v>138</v>
      </c>
      <c r="AO3291" s="156">
        <v>112.0</v>
      </c>
      <c r="AP3291" s="156">
        <v>0.06</v>
      </c>
      <c r="AQ3291" s="159" t="s">
        <v>602</v>
      </c>
      <c r="AR3291" s="159" t="s">
        <v>140</v>
      </c>
      <c r="AS3291" s="156">
        <v>0.67</v>
      </c>
      <c r="AT3291" s="159" t="s">
        <v>172</v>
      </c>
      <c r="AU3291" s="159" t="s">
        <v>136</v>
      </c>
      <c r="AV3291" s="159" t="s">
        <v>137</v>
      </c>
      <c r="AW3291" s="159" t="s">
        <v>138</v>
      </c>
      <c r="AX3291" s="159" t="s">
        <v>151</v>
      </c>
      <c r="AY3291" s="61" t="str">
        <f>IFERROR(__xludf.DUMMYFUNCTION("vlookup(BB3291,importrange(""https://docs.google.com/spreadsheets/d/1d2vevQ_7D_v35q4wCQ4RpQ_IPoTwEMB9Yp6ymwlPqew/edit?gid=984458430#gid=984458430"", ""'replication success'!A:K""), 11, FAlSE)"),"#N/A")</f>
        <v>#N/A</v>
      </c>
      <c r="AZ3291" s="61" t="str">
        <f>IFERROR(__xludf.DUMMYFUNCTION("vlookup(BB3291,importrange(""https://docs.google.com/spreadsheets/d/1d2vevQ_7D_v35q4wCQ4RpQ_IPoTwEMB9Yp6ymwlPqew/edit?gid=984458430#gid=984458430"", ""'replication success'!A:M""), 12, FAlSE)"),"#N/A")</f>
        <v>#N/A</v>
      </c>
      <c r="BA3291" s="61" t="str">
        <f>IFERROR(__xludf.DUMMYFUNCTION("vlookup(BB3291,importrange(""https://docs.google.com/spreadsheets/d/1d2vevQ_7D_v35q4wCQ4RpQ_IPoTwEMB9Yp6ymwlPqew/edit?gid=984458430#gid=984458430"", ""'replication success'!A:M""), 13, FAlSE)"),"#N/A")</f>
        <v>#N/A</v>
      </c>
      <c r="BB3291" s="61" t="str">
        <f>IFERROR(__xludf.DUMMYFUNCTION("REGEXREPLACE(G3291, ""_[a-z]{1,2}$"", """")"),"ManyLabs4_1v")</f>
        <v>ManyLabs4_1v</v>
      </c>
      <c r="BC3291" s="68"/>
      <c r="BD3291" s="68"/>
      <c r="BE3291" s="68"/>
      <c r="BF3291" s="68"/>
      <c r="BG3291" s="68"/>
      <c r="BH3291" s="68"/>
      <c r="BI3291" s="68"/>
      <c r="BJ3291" s="68"/>
      <c r="BK3291" s="68"/>
      <c r="BL3291" s="68"/>
      <c r="BM3291" s="68"/>
      <c r="BN3291" s="68"/>
      <c r="BO3291" s="68"/>
      <c r="BP3291" s="68"/>
      <c r="BQ3291" s="68"/>
      <c r="BR3291" s="68"/>
      <c r="BS3291" s="68"/>
      <c r="BT3291" s="68"/>
      <c r="BU3291" s="68"/>
      <c r="BV3291" s="68"/>
      <c r="BW3291" s="68"/>
      <c r="BX3291" s="68"/>
      <c r="BY3291" s="68"/>
      <c r="BZ3291" s="68"/>
      <c r="CA3291" s="68"/>
      <c r="CB3291" s="68"/>
      <c r="CC3291" s="68"/>
      <c r="CD3291" s="68"/>
      <c r="CE3291" s="68"/>
      <c r="CF3291" s="68"/>
      <c r="CG3291" s="68"/>
      <c r="CH3291" s="68"/>
      <c r="CI3291" s="68"/>
      <c r="CJ3291" s="68"/>
      <c r="CK3291" s="68"/>
      <c r="CL3291" s="68"/>
      <c r="CM3291" s="68"/>
      <c r="CN3291" s="68"/>
      <c r="CO3291" s="68"/>
      <c r="CP3291" s="68"/>
      <c r="CQ3291" s="68"/>
      <c r="CR3291" s="68"/>
      <c r="CS3291" s="68"/>
      <c r="CT3291" s="68"/>
      <c r="CU3291" s="68"/>
      <c r="CV3291" s="68"/>
      <c r="CW3291" s="68"/>
      <c r="CX3291" s="68"/>
      <c r="CY3291" s="68"/>
      <c r="CZ3291" s="68"/>
      <c r="DA3291" s="68"/>
      <c r="DB3291" s="68"/>
      <c r="DC3291" s="68"/>
      <c r="DD3291" s="68"/>
      <c r="DE3291" s="68"/>
      <c r="DF3291" s="68"/>
      <c r="DG3291" s="68"/>
      <c r="DH3291" s="68"/>
    </row>
    <row r="3292">
      <c r="A3292" s="44">
        <v>3292.0</v>
      </c>
      <c r="B3292" s="129" t="s">
        <v>285</v>
      </c>
      <c r="C3292" s="62" t="s">
        <v>115</v>
      </c>
      <c r="D3292" s="62" t="s">
        <v>221</v>
      </c>
      <c r="F3292" s="159" t="s">
        <v>19700</v>
      </c>
      <c r="G3292" s="159" t="s">
        <v>19759</v>
      </c>
      <c r="H3292" s="151" t="s">
        <v>222</v>
      </c>
      <c r="I3292" s="152">
        <v>45835.0</v>
      </c>
      <c r="J3292" s="152">
        <v>45835.0</v>
      </c>
      <c r="K3292" s="68"/>
      <c r="L3292" s="68"/>
      <c r="M3292" s="159" t="s">
        <v>19703</v>
      </c>
      <c r="N3292" s="159" t="s">
        <v>19704</v>
      </c>
      <c r="O3292" s="159" t="s">
        <v>4104</v>
      </c>
      <c r="P3292" s="573"/>
      <c r="Q3292" s="2430" t="s">
        <v>19705</v>
      </c>
      <c r="R3292" s="159" t="s">
        <v>19706</v>
      </c>
      <c r="S3292" s="159" t="s">
        <v>19707</v>
      </c>
      <c r="T3292" s="159" t="s">
        <v>4104</v>
      </c>
      <c r="U3292" s="68"/>
      <c r="V3292" s="573"/>
      <c r="W3292" s="1228"/>
      <c r="X3292" s="2526" t="s">
        <v>19708</v>
      </c>
      <c r="Y3292" s="68"/>
      <c r="Z3292" s="159" t="s">
        <v>226</v>
      </c>
      <c r="AA3292" s="159" t="s">
        <v>19709</v>
      </c>
      <c r="AB3292" s="159" t="s">
        <v>19720</v>
      </c>
      <c r="AC3292" s="159" t="s">
        <v>19760</v>
      </c>
      <c r="AD3292" s="159" t="s">
        <v>19712</v>
      </c>
      <c r="AE3292" s="159" t="s">
        <v>813</v>
      </c>
      <c r="AF3292" s="156">
        <v>59.0</v>
      </c>
      <c r="AG3292" s="156">
        <v>1.34</v>
      </c>
      <c r="AH3292" s="159" t="s">
        <v>173</v>
      </c>
      <c r="AI3292" s="159" t="s">
        <v>813</v>
      </c>
      <c r="AJ3292" s="156">
        <v>0.001</v>
      </c>
      <c r="AK3292" s="159" t="s">
        <v>135</v>
      </c>
      <c r="AL3292" s="159" t="s">
        <v>136</v>
      </c>
      <c r="AM3292" s="159" t="s">
        <v>137</v>
      </c>
      <c r="AN3292" s="159" t="s">
        <v>138</v>
      </c>
      <c r="AO3292" s="156">
        <v>116.0</v>
      </c>
      <c r="AP3292" s="156">
        <v>0.03</v>
      </c>
      <c r="AQ3292" s="159" t="s">
        <v>602</v>
      </c>
      <c r="AR3292" s="159" t="s">
        <v>140</v>
      </c>
      <c r="AS3292" s="156">
        <v>0.82</v>
      </c>
      <c r="AT3292" s="159" t="s">
        <v>172</v>
      </c>
      <c r="AU3292" s="159" t="s">
        <v>136</v>
      </c>
      <c r="AV3292" s="159" t="s">
        <v>137</v>
      </c>
      <c r="AW3292" s="159" t="s">
        <v>138</v>
      </c>
      <c r="AX3292" s="159" t="s">
        <v>151</v>
      </c>
      <c r="AY3292" s="61" t="str">
        <f>IFERROR(__xludf.DUMMYFUNCTION("vlookup(BB3292,importrange(""https://docs.google.com/spreadsheets/d/1d2vevQ_7D_v35q4wCQ4RpQ_IPoTwEMB9Yp6ymwlPqew/edit?gid=984458430#gid=984458430"", ""'replication success'!A:K""), 11, FAlSE)"),"#N/A")</f>
        <v>#N/A</v>
      </c>
      <c r="AZ3292" s="61" t="str">
        <f>IFERROR(__xludf.DUMMYFUNCTION("vlookup(BB3292,importrange(""https://docs.google.com/spreadsheets/d/1d2vevQ_7D_v35q4wCQ4RpQ_IPoTwEMB9Yp6ymwlPqew/edit?gid=984458430#gid=984458430"", ""'replication success'!A:M""), 12, FAlSE)"),"#N/A")</f>
        <v>#N/A</v>
      </c>
      <c r="BA3292" s="61" t="str">
        <f>IFERROR(__xludf.DUMMYFUNCTION("vlookup(BB3292,importrange(""https://docs.google.com/spreadsheets/d/1d2vevQ_7D_v35q4wCQ4RpQ_IPoTwEMB9Yp6ymwlPqew/edit?gid=984458430#gid=984458430"", ""'replication success'!A:M""), 13, FAlSE)"),"#N/A")</f>
        <v>#N/A</v>
      </c>
      <c r="BB3292" s="61" t="str">
        <f>IFERROR(__xludf.DUMMYFUNCTION("REGEXREPLACE(G3292, ""_[a-z]{1,2}$"", """")"),"ManyLabs4_1w")</f>
        <v>ManyLabs4_1w</v>
      </c>
      <c r="BC3292" s="68"/>
      <c r="BD3292" s="68"/>
      <c r="BE3292" s="68"/>
      <c r="BF3292" s="68"/>
      <c r="BG3292" s="68"/>
      <c r="BH3292" s="68"/>
      <c r="BI3292" s="68"/>
      <c r="BJ3292" s="68"/>
      <c r="BK3292" s="68"/>
      <c r="BL3292" s="68"/>
      <c r="BM3292" s="68"/>
      <c r="BN3292" s="68"/>
      <c r="BO3292" s="68"/>
      <c r="BP3292" s="68"/>
      <c r="BQ3292" s="68"/>
      <c r="BR3292" s="68"/>
      <c r="BS3292" s="68"/>
      <c r="BT3292" s="68"/>
      <c r="BU3292" s="68"/>
      <c r="BV3292" s="68"/>
      <c r="BW3292" s="68"/>
      <c r="BX3292" s="68"/>
      <c r="BY3292" s="68"/>
      <c r="BZ3292" s="68"/>
      <c r="CA3292" s="68"/>
      <c r="CB3292" s="68"/>
      <c r="CC3292" s="68"/>
      <c r="CD3292" s="68"/>
      <c r="CE3292" s="68"/>
      <c r="CF3292" s="68"/>
      <c r="CG3292" s="68"/>
      <c r="CH3292" s="68"/>
      <c r="CI3292" s="68"/>
      <c r="CJ3292" s="68"/>
      <c r="CK3292" s="68"/>
      <c r="CL3292" s="68"/>
      <c r="CM3292" s="68"/>
      <c r="CN3292" s="68"/>
      <c r="CO3292" s="68"/>
      <c r="CP3292" s="68"/>
      <c r="CQ3292" s="68"/>
      <c r="CR3292" s="68"/>
      <c r="CS3292" s="68"/>
      <c r="CT3292" s="68"/>
      <c r="CU3292" s="68"/>
      <c r="CV3292" s="68"/>
      <c r="CW3292" s="68"/>
      <c r="CX3292" s="68"/>
      <c r="CY3292" s="68"/>
      <c r="CZ3292" s="68"/>
      <c r="DA3292" s="68"/>
      <c r="DB3292" s="68"/>
      <c r="DC3292" s="68"/>
      <c r="DD3292" s="68"/>
      <c r="DE3292" s="68"/>
      <c r="DF3292" s="68"/>
      <c r="DG3292" s="68"/>
      <c r="DH3292" s="68"/>
    </row>
    <row r="3293">
      <c r="A3293" s="44">
        <v>3293.0</v>
      </c>
      <c r="B3293" s="129" t="s">
        <v>285</v>
      </c>
      <c r="C3293" s="62" t="s">
        <v>115</v>
      </c>
      <c r="D3293" s="62" t="s">
        <v>221</v>
      </c>
      <c r="F3293" s="159" t="s">
        <v>19700</v>
      </c>
      <c r="G3293" s="159" t="s">
        <v>19761</v>
      </c>
      <c r="H3293" s="151" t="s">
        <v>222</v>
      </c>
      <c r="I3293" s="152">
        <v>45835.0</v>
      </c>
      <c r="J3293" s="152">
        <v>45838.0</v>
      </c>
      <c r="K3293" s="68"/>
      <c r="L3293" s="68"/>
      <c r="M3293" s="159" t="s">
        <v>19703</v>
      </c>
      <c r="N3293" s="159" t="s">
        <v>19704</v>
      </c>
      <c r="O3293" s="159" t="s">
        <v>4104</v>
      </c>
      <c r="P3293" s="573"/>
      <c r="Q3293" s="2430" t="s">
        <v>19705</v>
      </c>
      <c r="R3293" s="159" t="s">
        <v>19706</v>
      </c>
      <c r="S3293" s="159" t="s">
        <v>19707</v>
      </c>
      <c r="T3293" s="159" t="s">
        <v>4104</v>
      </c>
      <c r="U3293" s="68"/>
      <c r="V3293" s="573"/>
      <c r="W3293" s="1228"/>
      <c r="X3293" s="2526" t="s">
        <v>19708</v>
      </c>
      <c r="Y3293" s="68"/>
      <c r="Z3293" s="159" t="s">
        <v>226</v>
      </c>
      <c r="AA3293" s="159" t="s">
        <v>19709</v>
      </c>
      <c r="AB3293" s="159" t="s">
        <v>19720</v>
      </c>
      <c r="AC3293" s="159" t="s">
        <v>19762</v>
      </c>
      <c r="AD3293" s="159" t="s">
        <v>19712</v>
      </c>
      <c r="AE3293" s="159" t="s">
        <v>813</v>
      </c>
      <c r="AF3293" s="156">
        <v>59.0</v>
      </c>
      <c r="AG3293" s="156">
        <v>1.34</v>
      </c>
      <c r="AH3293" s="159" t="s">
        <v>173</v>
      </c>
      <c r="AI3293" s="159" t="s">
        <v>813</v>
      </c>
      <c r="AJ3293" s="156">
        <v>0.001</v>
      </c>
      <c r="AK3293" s="159" t="s">
        <v>135</v>
      </c>
      <c r="AL3293" s="159" t="s">
        <v>136</v>
      </c>
      <c r="AM3293" s="159" t="s">
        <v>137</v>
      </c>
      <c r="AN3293" s="159" t="s">
        <v>138</v>
      </c>
      <c r="AO3293" s="156">
        <v>108.0</v>
      </c>
      <c r="AP3293" s="156">
        <v>-0.01</v>
      </c>
      <c r="AQ3293" s="159" t="s">
        <v>602</v>
      </c>
      <c r="AR3293" s="159" t="s">
        <v>140</v>
      </c>
      <c r="AS3293" s="156">
        <v>0.95</v>
      </c>
      <c r="AT3293" s="159" t="s">
        <v>172</v>
      </c>
      <c r="AU3293" s="159" t="s">
        <v>136</v>
      </c>
      <c r="AV3293" s="159" t="s">
        <v>137</v>
      </c>
      <c r="AW3293" s="159" t="s">
        <v>138</v>
      </c>
      <c r="AX3293" s="159" t="s">
        <v>151</v>
      </c>
      <c r="AY3293" s="61" t="str">
        <f>IFERROR(__xludf.DUMMYFUNCTION("vlookup(BB3293,importrange(""https://docs.google.com/spreadsheets/d/1d2vevQ_7D_v35q4wCQ4RpQ_IPoTwEMB9Yp6ymwlPqew/edit?gid=984458430#gid=984458430"", ""'replication success'!A:K""), 11, FAlSE)"),"#N/A")</f>
        <v>#N/A</v>
      </c>
      <c r="AZ3293" s="61" t="str">
        <f>IFERROR(__xludf.DUMMYFUNCTION("vlookup(BB3293,importrange(""https://docs.google.com/spreadsheets/d/1d2vevQ_7D_v35q4wCQ4RpQ_IPoTwEMB9Yp6ymwlPqew/edit?gid=984458430#gid=984458430"", ""'replication success'!A:M""), 12, FAlSE)"),"#N/A")</f>
        <v>#N/A</v>
      </c>
      <c r="BA3293" s="61" t="str">
        <f>IFERROR(__xludf.DUMMYFUNCTION("vlookup(BB3293,importrange(""https://docs.google.com/spreadsheets/d/1d2vevQ_7D_v35q4wCQ4RpQ_IPoTwEMB9Yp6ymwlPqew/edit?gid=984458430#gid=984458430"", ""'replication success'!A:M""), 13, FAlSE)"),"#N/A")</f>
        <v>#N/A</v>
      </c>
      <c r="BB3293" s="61" t="str">
        <f>IFERROR(__xludf.DUMMYFUNCTION("REGEXREPLACE(G3293, ""_[a-z]{1,2}$"", """")"),"ManyLabs4_1x")</f>
        <v>ManyLabs4_1x</v>
      </c>
      <c r="BC3293" s="68"/>
      <c r="BD3293" s="68"/>
      <c r="BE3293" s="68"/>
      <c r="BF3293" s="68"/>
      <c r="BG3293" s="68"/>
      <c r="BH3293" s="68"/>
      <c r="BI3293" s="68"/>
      <c r="BJ3293" s="68"/>
      <c r="BK3293" s="68"/>
      <c r="BL3293" s="68"/>
      <c r="BM3293" s="68"/>
      <c r="BN3293" s="68"/>
      <c r="BO3293" s="68"/>
      <c r="BP3293" s="68"/>
      <c r="BQ3293" s="68"/>
      <c r="BR3293" s="68"/>
      <c r="BS3293" s="68"/>
      <c r="BT3293" s="68"/>
      <c r="BU3293" s="68"/>
      <c r="BV3293" s="68"/>
      <c r="BW3293" s="68"/>
      <c r="BX3293" s="68"/>
      <c r="BY3293" s="68"/>
      <c r="BZ3293" s="68"/>
      <c r="CA3293" s="68"/>
      <c r="CB3293" s="68"/>
      <c r="CC3293" s="68"/>
      <c r="CD3293" s="68"/>
      <c r="CE3293" s="68"/>
      <c r="CF3293" s="68"/>
      <c r="CG3293" s="68"/>
      <c r="CH3293" s="68"/>
      <c r="CI3293" s="68"/>
      <c r="CJ3293" s="68"/>
      <c r="CK3293" s="68"/>
      <c r="CL3293" s="68"/>
      <c r="CM3293" s="68"/>
      <c r="CN3293" s="68"/>
      <c r="CO3293" s="68"/>
      <c r="CP3293" s="68"/>
      <c r="CQ3293" s="68"/>
      <c r="CR3293" s="68"/>
      <c r="CS3293" s="68"/>
      <c r="CT3293" s="68"/>
      <c r="CU3293" s="68"/>
      <c r="CV3293" s="68"/>
      <c r="CW3293" s="68"/>
      <c r="CX3293" s="68"/>
      <c r="CY3293" s="68"/>
      <c r="CZ3293" s="68"/>
      <c r="DA3293" s="68"/>
      <c r="DB3293" s="68"/>
      <c r="DC3293" s="68"/>
      <c r="DD3293" s="68"/>
      <c r="DE3293" s="68"/>
      <c r="DF3293" s="68"/>
      <c r="DG3293" s="68"/>
      <c r="DH3293" s="68"/>
    </row>
    <row r="3294">
      <c r="A3294" s="44">
        <v>3294.0</v>
      </c>
      <c r="B3294" s="129" t="s">
        <v>285</v>
      </c>
      <c r="C3294" s="62" t="s">
        <v>115</v>
      </c>
      <c r="D3294" s="62" t="s">
        <v>221</v>
      </c>
      <c r="F3294" s="68" t="s">
        <v>19763</v>
      </c>
      <c r="G3294" s="159" t="s">
        <v>19764</v>
      </c>
      <c r="H3294" s="151" t="s">
        <v>222</v>
      </c>
      <c r="I3294" s="152">
        <v>45835.0</v>
      </c>
      <c r="J3294" s="152">
        <v>45835.0</v>
      </c>
      <c r="K3294" s="68"/>
      <c r="L3294" s="68"/>
      <c r="M3294" s="159" t="s">
        <v>19765</v>
      </c>
      <c r="N3294" s="159" t="s">
        <v>5448</v>
      </c>
      <c r="O3294" s="159" t="s">
        <v>4104</v>
      </c>
      <c r="P3294" s="573"/>
      <c r="Q3294" s="2430" t="s">
        <v>19766</v>
      </c>
      <c r="R3294" s="159" t="s">
        <v>19767</v>
      </c>
      <c r="S3294" s="159" t="s">
        <v>19768</v>
      </c>
      <c r="T3294" s="159" t="s">
        <v>4104</v>
      </c>
      <c r="U3294" s="68"/>
      <c r="V3294" s="573"/>
      <c r="W3294" s="1228"/>
      <c r="X3294" s="2526" t="s">
        <v>19708</v>
      </c>
      <c r="Y3294" s="68"/>
      <c r="Z3294" s="159" t="s">
        <v>226</v>
      </c>
      <c r="AA3294" s="159" t="s">
        <v>19769</v>
      </c>
      <c r="AB3294" s="159" t="s">
        <v>19770</v>
      </c>
      <c r="AC3294" s="159" t="s">
        <v>19771</v>
      </c>
      <c r="AD3294" s="159" t="s">
        <v>19772</v>
      </c>
      <c r="AE3294" s="159" t="s">
        <v>19773</v>
      </c>
      <c r="AF3294" s="156">
        <v>38.0</v>
      </c>
      <c r="AG3294" s="156">
        <v>0.71</v>
      </c>
      <c r="AH3294" s="159" t="s">
        <v>173</v>
      </c>
      <c r="AI3294" s="159" t="s">
        <v>604</v>
      </c>
      <c r="AJ3294" s="156">
        <v>0.036</v>
      </c>
      <c r="AK3294" s="159" t="s">
        <v>172</v>
      </c>
      <c r="AL3294" s="159" t="s">
        <v>136</v>
      </c>
      <c r="AM3294" s="159" t="s">
        <v>137</v>
      </c>
      <c r="AN3294" s="159" t="s">
        <v>138</v>
      </c>
      <c r="AO3294" s="156">
        <v>186.0</v>
      </c>
      <c r="AP3294" s="156">
        <v>0.05</v>
      </c>
      <c r="AQ3294" s="159" t="s">
        <v>173</v>
      </c>
      <c r="AR3294" s="159" t="s">
        <v>307</v>
      </c>
      <c r="AS3294" s="156">
        <v>0.41</v>
      </c>
      <c r="AT3294" s="159" t="s">
        <v>172</v>
      </c>
      <c r="AU3294" s="159" t="s">
        <v>136</v>
      </c>
      <c r="AV3294" s="159" t="s">
        <v>137</v>
      </c>
      <c r="AW3294" s="435" t="s">
        <v>19774</v>
      </c>
      <c r="AX3294" s="159" t="s">
        <v>143</v>
      </c>
      <c r="AY3294" s="61" t="str">
        <f>IFERROR(__xludf.DUMMYFUNCTION("vlookup(BB3294,importrange(""https://docs.google.com/spreadsheets/d/1d2vevQ_7D_v35q4wCQ4RpQ_IPoTwEMB9Yp6ymwlPqew/edit?gid=984458430#gid=984458430"", ""'replication success'!A:K""), 11, FAlSE)"),"#N/A")</f>
        <v>#N/A</v>
      </c>
      <c r="AZ3294" s="61" t="str">
        <f>IFERROR(__xludf.DUMMYFUNCTION("vlookup(BB3294,importrange(""https://docs.google.com/spreadsheets/d/1d2vevQ_7D_v35q4wCQ4RpQ_IPoTwEMB9Yp6ymwlPqew/edit?gid=984458430#gid=984458430"", ""'replication success'!A:M""), 12, FAlSE)"),"#N/A")</f>
        <v>#N/A</v>
      </c>
      <c r="BA3294" s="61" t="str">
        <f>IFERROR(__xludf.DUMMYFUNCTION("vlookup(BB3294,importrange(""https://docs.google.com/spreadsheets/d/1d2vevQ_7D_v35q4wCQ4RpQ_IPoTwEMB9Yp6ymwlPqew/edit?gid=984458430#gid=984458430"", ""'replication success'!A:M""), 13, FAlSE)"),"#N/A")</f>
        <v>#N/A</v>
      </c>
      <c r="BB3294" s="61" t="str">
        <f>IFERROR(__xludf.DUMMYFUNCTION("REGEXREPLACE(G3294, ""_[a-z]{1,2}$"", """")"),"ManyLabs5_1a")</f>
        <v>ManyLabs5_1a</v>
      </c>
      <c r="BC3294" s="68"/>
      <c r="BD3294" s="68"/>
      <c r="BE3294" s="68"/>
      <c r="BF3294" s="68"/>
      <c r="BG3294" s="68"/>
      <c r="BH3294" s="68"/>
      <c r="BI3294" s="68"/>
      <c r="BJ3294" s="68"/>
      <c r="BK3294" s="68"/>
      <c r="BL3294" s="68"/>
      <c r="BM3294" s="68"/>
      <c r="BN3294" s="68"/>
      <c r="BO3294" s="68"/>
      <c r="BP3294" s="68"/>
      <c r="BQ3294" s="68"/>
      <c r="BR3294" s="68"/>
      <c r="BS3294" s="68"/>
      <c r="BT3294" s="68"/>
      <c r="BU3294" s="68"/>
      <c r="BV3294" s="68"/>
      <c r="BW3294" s="68"/>
      <c r="BX3294" s="68"/>
      <c r="BY3294" s="68"/>
      <c r="BZ3294" s="68"/>
      <c r="CA3294" s="68"/>
      <c r="CB3294" s="68"/>
      <c r="CC3294" s="68"/>
      <c r="CD3294" s="68"/>
      <c r="CE3294" s="68"/>
      <c r="CF3294" s="68"/>
      <c r="CG3294" s="68"/>
      <c r="CH3294" s="68"/>
      <c r="CI3294" s="68"/>
      <c r="CJ3294" s="68"/>
      <c r="CK3294" s="68"/>
      <c r="CL3294" s="68"/>
      <c r="CM3294" s="68"/>
      <c r="CN3294" s="68"/>
      <c r="CO3294" s="68"/>
      <c r="CP3294" s="68"/>
      <c r="CQ3294" s="68"/>
      <c r="CR3294" s="68"/>
      <c r="CS3294" s="68"/>
      <c r="CT3294" s="68"/>
      <c r="CU3294" s="68"/>
      <c r="CV3294" s="68"/>
      <c r="CW3294" s="68"/>
      <c r="CX3294" s="68"/>
      <c r="CY3294" s="68"/>
      <c r="CZ3294" s="68"/>
      <c r="DA3294" s="68"/>
      <c r="DB3294" s="68"/>
      <c r="DC3294" s="68"/>
      <c r="DD3294" s="68"/>
      <c r="DE3294" s="68"/>
      <c r="DF3294" s="68"/>
      <c r="DG3294" s="68"/>
      <c r="DH3294" s="68"/>
    </row>
    <row r="3295">
      <c r="A3295" s="44">
        <v>3295.0</v>
      </c>
      <c r="B3295" s="129" t="s">
        <v>285</v>
      </c>
      <c r="C3295" s="62" t="s">
        <v>115</v>
      </c>
      <c r="D3295" s="62" t="s">
        <v>221</v>
      </c>
      <c r="F3295" s="68" t="s">
        <v>19763</v>
      </c>
      <c r="G3295" s="159" t="s">
        <v>19775</v>
      </c>
      <c r="H3295" s="151" t="s">
        <v>222</v>
      </c>
      <c r="I3295" s="152">
        <v>45835.0</v>
      </c>
      <c r="J3295" s="152">
        <v>45835.0</v>
      </c>
      <c r="K3295" s="68"/>
      <c r="L3295" s="68"/>
      <c r="M3295" s="159" t="s">
        <v>19765</v>
      </c>
      <c r="N3295" s="159" t="s">
        <v>5448</v>
      </c>
      <c r="O3295" s="159" t="s">
        <v>4104</v>
      </c>
      <c r="P3295" s="573"/>
      <c r="Q3295" s="2430" t="s">
        <v>19766</v>
      </c>
      <c r="R3295" s="159" t="s">
        <v>19767</v>
      </c>
      <c r="S3295" s="159" t="s">
        <v>19768</v>
      </c>
      <c r="T3295" s="159" t="s">
        <v>4104</v>
      </c>
      <c r="U3295" s="68"/>
      <c r="V3295" s="573"/>
      <c r="W3295" s="1228"/>
      <c r="X3295" s="2526" t="s">
        <v>19708</v>
      </c>
      <c r="Y3295" s="68"/>
      <c r="Z3295" s="159" t="s">
        <v>226</v>
      </c>
      <c r="AA3295" s="159" t="s">
        <v>19769</v>
      </c>
      <c r="AB3295" s="159" t="s">
        <v>19770</v>
      </c>
      <c r="AC3295" s="159" t="s">
        <v>19776</v>
      </c>
      <c r="AD3295" s="159" t="s">
        <v>19772</v>
      </c>
      <c r="AE3295" s="159" t="s">
        <v>19773</v>
      </c>
      <c r="AF3295" s="156">
        <v>38.0</v>
      </c>
      <c r="AG3295" s="156">
        <v>0.71</v>
      </c>
      <c r="AH3295" s="159" t="s">
        <v>173</v>
      </c>
      <c r="AI3295" s="159" t="s">
        <v>604</v>
      </c>
      <c r="AJ3295" s="156">
        <v>0.036</v>
      </c>
      <c r="AK3295" s="159" t="s">
        <v>172</v>
      </c>
      <c r="AL3295" s="159" t="s">
        <v>136</v>
      </c>
      <c r="AM3295" s="159" t="s">
        <v>137</v>
      </c>
      <c r="AN3295" s="159" t="s">
        <v>138</v>
      </c>
      <c r="AO3295" s="156">
        <v>260.0</v>
      </c>
      <c r="AP3295" s="156">
        <v>0.01</v>
      </c>
      <c r="AQ3295" s="159" t="s">
        <v>173</v>
      </c>
      <c r="AR3295" s="159" t="s">
        <v>307</v>
      </c>
      <c r="AS3295" s="156">
        <v>0.83</v>
      </c>
      <c r="AT3295" s="159" t="s">
        <v>172</v>
      </c>
      <c r="AU3295" s="159" t="s">
        <v>136</v>
      </c>
      <c r="AV3295" s="159" t="s">
        <v>137</v>
      </c>
      <c r="AW3295" s="435" t="s">
        <v>19774</v>
      </c>
      <c r="AX3295" s="159" t="s">
        <v>143</v>
      </c>
      <c r="AY3295" s="61" t="str">
        <f>IFERROR(__xludf.DUMMYFUNCTION("vlookup(BB3295,importrange(""https://docs.google.com/spreadsheets/d/1d2vevQ_7D_v35q4wCQ4RpQ_IPoTwEMB9Yp6ymwlPqew/edit?gid=984458430#gid=984458430"", ""'replication success'!A:K""), 11, FAlSE)"),"#N/A")</f>
        <v>#N/A</v>
      </c>
      <c r="AZ3295" s="61" t="str">
        <f>IFERROR(__xludf.DUMMYFUNCTION("vlookup(BB3295,importrange(""https://docs.google.com/spreadsheets/d/1d2vevQ_7D_v35q4wCQ4RpQ_IPoTwEMB9Yp6ymwlPqew/edit?gid=984458430#gid=984458430"", ""'replication success'!A:M""), 12, FAlSE)"),"#N/A")</f>
        <v>#N/A</v>
      </c>
      <c r="BA3295" s="61" t="str">
        <f>IFERROR(__xludf.DUMMYFUNCTION("vlookup(BB3295,importrange(""https://docs.google.com/spreadsheets/d/1d2vevQ_7D_v35q4wCQ4RpQ_IPoTwEMB9Yp6ymwlPqew/edit?gid=984458430#gid=984458430"", ""'replication success'!A:M""), 13, FAlSE)"),"#N/A")</f>
        <v>#N/A</v>
      </c>
      <c r="BB3295" s="61" t="str">
        <f>IFERROR(__xludf.DUMMYFUNCTION("REGEXREPLACE(G3295, ""_[a-z]{1,2}$"", """")"),"ManyLabs5_1b")</f>
        <v>ManyLabs5_1b</v>
      </c>
      <c r="BC3295" s="68"/>
      <c r="BD3295" s="68"/>
      <c r="BE3295" s="68"/>
      <c r="BF3295" s="68"/>
      <c r="BG3295" s="68"/>
      <c r="BH3295" s="68"/>
      <c r="BI3295" s="68"/>
      <c r="BJ3295" s="68"/>
      <c r="BK3295" s="68"/>
      <c r="BL3295" s="68"/>
      <c r="BM3295" s="68"/>
      <c r="BN3295" s="68"/>
      <c r="BO3295" s="68"/>
      <c r="BP3295" s="68"/>
      <c r="BQ3295" s="68"/>
      <c r="BR3295" s="68"/>
      <c r="BS3295" s="68"/>
      <c r="BT3295" s="68"/>
      <c r="BU3295" s="68"/>
      <c r="BV3295" s="68"/>
      <c r="BW3295" s="68"/>
      <c r="BX3295" s="68"/>
      <c r="BY3295" s="68"/>
      <c r="BZ3295" s="68"/>
      <c r="CA3295" s="68"/>
      <c r="CB3295" s="68"/>
      <c r="CC3295" s="68"/>
      <c r="CD3295" s="68"/>
      <c r="CE3295" s="68"/>
      <c r="CF3295" s="68"/>
      <c r="CG3295" s="68"/>
      <c r="CH3295" s="68"/>
      <c r="CI3295" s="68"/>
      <c r="CJ3295" s="68"/>
      <c r="CK3295" s="68"/>
      <c r="CL3295" s="68"/>
      <c r="CM3295" s="68"/>
      <c r="CN3295" s="68"/>
      <c r="CO3295" s="68"/>
      <c r="CP3295" s="68"/>
      <c r="CQ3295" s="68"/>
      <c r="CR3295" s="68"/>
      <c r="CS3295" s="68"/>
      <c r="CT3295" s="68"/>
      <c r="CU3295" s="68"/>
      <c r="CV3295" s="68"/>
      <c r="CW3295" s="68"/>
      <c r="CX3295" s="68"/>
      <c r="CY3295" s="68"/>
      <c r="CZ3295" s="68"/>
      <c r="DA3295" s="68"/>
      <c r="DB3295" s="68"/>
      <c r="DC3295" s="68"/>
      <c r="DD3295" s="68"/>
      <c r="DE3295" s="68"/>
      <c r="DF3295" s="68"/>
      <c r="DG3295" s="68"/>
      <c r="DH3295" s="68"/>
    </row>
    <row r="3296">
      <c r="A3296" s="44">
        <v>3296.0</v>
      </c>
      <c r="B3296" s="129" t="s">
        <v>285</v>
      </c>
      <c r="C3296" s="62" t="s">
        <v>115</v>
      </c>
      <c r="D3296" s="62" t="s">
        <v>221</v>
      </c>
      <c r="F3296" s="68" t="s">
        <v>19763</v>
      </c>
      <c r="G3296" s="159" t="s">
        <v>19777</v>
      </c>
      <c r="H3296" s="151" t="s">
        <v>222</v>
      </c>
      <c r="I3296" s="152">
        <v>45835.0</v>
      </c>
      <c r="J3296" s="152">
        <v>45835.0</v>
      </c>
      <c r="K3296" s="68"/>
      <c r="L3296" s="68"/>
      <c r="M3296" s="159" t="s">
        <v>19778</v>
      </c>
      <c r="N3296" s="310" t="s">
        <v>19779</v>
      </c>
      <c r="O3296" s="68"/>
      <c r="P3296" s="68"/>
      <c r="Q3296" s="2430" t="s">
        <v>19780</v>
      </c>
      <c r="R3296" s="159" t="s">
        <v>19767</v>
      </c>
      <c r="S3296" s="159" t="s">
        <v>19768</v>
      </c>
      <c r="T3296" s="159" t="s">
        <v>4104</v>
      </c>
      <c r="U3296" s="68"/>
      <c r="V3296" s="573"/>
      <c r="W3296" s="1228"/>
      <c r="X3296" s="2429" t="s">
        <v>19781</v>
      </c>
      <c r="Y3296" s="68"/>
      <c r="Z3296" s="159" t="s">
        <v>226</v>
      </c>
      <c r="AA3296" s="159" t="s">
        <v>19782</v>
      </c>
      <c r="AB3296" s="159" t="s">
        <v>19783</v>
      </c>
      <c r="AC3296" s="159" t="s">
        <v>19784</v>
      </c>
      <c r="AD3296" s="159" t="s">
        <v>19785</v>
      </c>
      <c r="AE3296" s="159" t="s">
        <v>1042</v>
      </c>
      <c r="AF3296" s="156">
        <v>76.0</v>
      </c>
      <c r="AG3296" s="156">
        <v>0.37</v>
      </c>
      <c r="AH3296" s="159" t="s">
        <v>173</v>
      </c>
      <c r="AI3296" s="159" t="s">
        <v>1042</v>
      </c>
      <c r="AJ3296" s="156">
        <v>0.002</v>
      </c>
      <c r="AK3296" s="159" t="s">
        <v>172</v>
      </c>
      <c r="AL3296" s="159" t="s">
        <v>136</v>
      </c>
      <c r="AM3296" s="159" t="s">
        <v>137</v>
      </c>
      <c r="AN3296" s="159" t="s">
        <v>138</v>
      </c>
      <c r="AO3296" s="156">
        <v>145.0</v>
      </c>
      <c r="AP3296" s="156">
        <v>0.03</v>
      </c>
      <c r="AQ3296" s="159" t="s">
        <v>173</v>
      </c>
      <c r="AR3296" s="159" t="s">
        <v>307</v>
      </c>
      <c r="AS3296" s="156">
        <v>0.65</v>
      </c>
      <c r="AT3296" s="159" t="s">
        <v>172</v>
      </c>
      <c r="AU3296" s="159" t="s">
        <v>136</v>
      </c>
      <c r="AV3296" s="159" t="s">
        <v>137</v>
      </c>
      <c r="AW3296" s="435" t="s">
        <v>19774</v>
      </c>
      <c r="AX3296" s="159" t="s">
        <v>143</v>
      </c>
      <c r="AY3296" s="61" t="str">
        <f>IFERROR(__xludf.DUMMYFUNCTION("vlookup(BB3296,importrange(""https://docs.google.com/spreadsheets/d/1d2vevQ_7D_v35q4wCQ4RpQ_IPoTwEMB9Yp6ymwlPqew/edit?gid=984458430#gid=984458430"", ""'replication success'!A:K""), 11, FAlSE)"),"#N/A")</f>
        <v>#N/A</v>
      </c>
      <c r="AZ3296" s="61" t="str">
        <f>IFERROR(__xludf.DUMMYFUNCTION("vlookup(BB3296,importrange(""https://docs.google.com/spreadsheets/d/1d2vevQ_7D_v35q4wCQ4RpQ_IPoTwEMB9Yp6ymwlPqew/edit?gid=984458430#gid=984458430"", ""'replication success'!A:M""), 12, FAlSE)"),"#N/A")</f>
        <v>#N/A</v>
      </c>
      <c r="BA3296" s="61" t="str">
        <f>IFERROR(__xludf.DUMMYFUNCTION("vlookup(BB3296,importrange(""https://docs.google.com/spreadsheets/d/1d2vevQ_7D_v35q4wCQ4RpQ_IPoTwEMB9Yp6ymwlPqew/edit?gid=984458430#gid=984458430"", ""'replication success'!A:M""), 13, FAlSE)"),"#N/A")</f>
        <v>#N/A</v>
      </c>
      <c r="BB3296" s="61" t="str">
        <f>IFERROR(__xludf.DUMMYFUNCTION("REGEXREPLACE(G3296, ""_[a-z]{1,2}$"", """")"),"ManyLabs5_1c")</f>
        <v>ManyLabs5_1c</v>
      </c>
      <c r="BC3296" s="68"/>
      <c r="BD3296" s="68"/>
      <c r="BE3296" s="68"/>
      <c r="BF3296" s="68"/>
      <c r="BG3296" s="68"/>
      <c r="BH3296" s="68"/>
      <c r="BI3296" s="68"/>
      <c r="BJ3296" s="68"/>
      <c r="BK3296" s="68"/>
      <c r="BL3296" s="68"/>
      <c r="BM3296" s="68"/>
      <c r="BN3296" s="68"/>
      <c r="BO3296" s="68"/>
      <c r="BP3296" s="68"/>
      <c r="BQ3296" s="68"/>
      <c r="BR3296" s="68"/>
      <c r="BS3296" s="68"/>
      <c r="BT3296" s="68"/>
      <c r="BU3296" s="68"/>
      <c r="BV3296" s="68"/>
      <c r="BW3296" s="68"/>
      <c r="BX3296" s="68"/>
      <c r="BY3296" s="68"/>
      <c r="BZ3296" s="68"/>
      <c r="CA3296" s="68"/>
      <c r="CB3296" s="68"/>
      <c r="CC3296" s="68"/>
      <c r="CD3296" s="68"/>
      <c r="CE3296" s="68"/>
      <c r="CF3296" s="68"/>
      <c r="CG3296" s="68"/>
      <c r="CH3296" s="68"/>
      <c r="CI3296" s="68"/>
      <c r="CJ3296" s="68"/>
      <c r="CK3296" s="68"/>
      <c r="CL3296" s="68"/>
      <c r="CM3296" s="68"/>
      <c r="CN3296" s="68"/>
      <c r="CO3296" s="68"/>
      <c r="CP3296" s="68"/>
      <c r="CQ3296" s="68"/>
      <c r="CR3296" s="68"/>
      <c r="CS3296" s="68"/>
      <c r="CT3296" s="68"/>
      <c r="CU3296" s="68"/>
      <c r="CV3296" s="68"/>
      <c r="CW3296" s="68"/>
      <c r="CX3296" s="68"/>
      <c r="CY3296" s="68"/>
      <c r="CZ3296" s="68"/>
      <c r="DA3296" s="68"/>
      <c r="DB3296" s="68"/>
      <c r="DC3296" s="68"/>
      <c r="DD3296" s="68"/>
      <c r="DE3296" s="68"/>
      <c r="DF3296" s="68"/>
      <c r="DG3296" s="68"/>
      <c r="DH3296" s="68"/>
    </row>
    <row r="3297">
      <c r="A3297" s="44">
        <v>3297.0</v>
      </c>
      <c r="B3297" s="129" t="s">
        <v>285</v>
      </c>
      <c r="C3297" s="62" t="s">
        <v>115</v>
      </c>
      <c r="D3297" s="62" t="s">
        <v>221</v>
      </c>
      <c r="F3297" s="68" t="s">
        <v>19763</v>
      </c>
      <c r="G3297" s="159" t="s">
        <v>19786</v>
      </c>
      <c r="H3297" s="151" t="s">
        <v>222</v>
      </c>
      <c r="I3297" s="152">
        <v>45836.0</v>
      </c>
      <c r="J3297" s="152">
        <v>45836.0</v>
      </c>
      <c r="K3297" s="68"/>
      <c r="L3297" s="68"/>
      <c r="M3297" s="159" t="s">
        <v>19778</v>
      </c>
      <c r="N3297" s="310" t="s">
        <v>19779</v>
      </c>
      <c r="O3297" s="68"/>
      <c r="P3297" s="68"/>
      <c r="Q3297" s="2430" t="s">
        <v>19780</v>
      </c>
      <c r="R3297" s="159" t="s">
        <v>19767</v>
      </c>
      <c r="S3297" s="159" t="s">
        <v>19768</v>
      </c>
      <c r="T3297" s="159" t="s">
        <v>4104</v>
      </c>
      <c r="U3297" s="68"/>
      <c r="V3297" s="573"/>
      <c r="W3297" s="1228"/>
      <c r="X3297" s="2429" t="s">
        <v>19781</v>
      </c>
      <c r="Y3297" s="68"/>
      <c r="Z3297" s="159" t="s">
        <v>226</v>
      </c>
      <c r="AA3297" s="159" t="s">
        <v>19782</v>
      </c>
      <c r="AB3297" s="159" t="s">
        <v>19783</v>
      </c>
      <c r="AC3297" s="159" t="s">
        <v>19784</v>
      </c>
      <c r="AD3297" s="159" t="s">
        <v>19787</v>
      </c>
      <c r="AE3297" s="159" t="s">
        <v>1042</v>
      </c>
      <c r="AF3297" s="336">
        <v>76.0</v>
      </c>
      <c r="AG3297" s="156">
        <v>0.37</v>
      </c>
      <c r="AH3297" s="159" t="s">
        <v>173</v>
      </c>
      <c r="AI3297" s="159" t="s">
        <v>1042</v>
      </c>
      <c r="AJ3297" s="156">
        <v>0.002</v>
      </c>
      <c r="AK3297" s="159" t="s">
        <v>172</v>
      </c>
      <c r="AL3297" s="159" t="s">
        <v>136</v>
      </c>
      <c r="AM3297" s="159" t="s">
        <v>137</v>
      </c>
      <c r="AN3297" s="159" t="s">
        <v>138</v>
      </c>
      <c r="AO3297" s="156">
        <v>200.0</v>
      </c>
      <c r="AP3297" s="156">
        <v>0.02</v>
      </c>
      <c r="AQ3297" s="159" t="s">
        <v>173</v>
      </c>
      <c r="AR3297" s="159" t="s">
        <v>307</v>
      </c>
      <c r="AS3297" s="156">
        <v>0.74</v>
      </c>
      <c r="AT3297" s="159" t="s">
        <v>172</v>
      </c>
      <c r="AU3297" s="159" t="s">
        <v>136</v>
      </c>
      <c r="AV3297" s="159" t="s">
        <v>137</v>
      </c>
      <c r="AW3297" s="435" t="s">
        <v>19774</v>
      </c>
      <c r="AX3297" s="159" t="s">
        <v>143</v>
      </c>
      <c r="AY3297" s="61" t="str">
        <f>IFERROR(__xludf.DUMMYFUNCTION("vlookup(BB3297,importrange(""https://docs.google.com/spreadsheets/d/1d2vevQ_7D_v35q4wCQ4RpQ_IPoTwEMB9Yp6ymwlPqew/edit?gid=984458430#gid=984458430"", ""'replication success'!A:K""), 11, FAlSE)"),"#N/A")</f>
        <v>#N/A</v>
      </c>
      <c r="AZ3297" s="61" t="str">
        <f>IFERROR(__xludf.DUMMYFUNCTION("vlookup(BB3297,importrange(""https://docs.google.com/spreadsheets/d/1d2vevQ_7D_v35q4wCQ4RpQ_IPoTwEMB9Yp6ymwlPqew/edit?gid=984458430#gid=984458430"", ""'replication success'!A:M""), 12, FAlSE)"),"#N/A")</f>
        <v>#N/A</v>
      </c>
      <c r="BA3297" s="61" t="str">
        <f>IFERROR(__xludf.DUMMYFUNCTION("vlookup(BB3297,importrange(""https://docs.google.com/spreadsheets/d/1d2vevQ_7D_v35q4wCQ4RpQ_IPoTwEMB9Yp6ymwlPqew/edit?gid=984458430#gid=984458430"", ""'replication success'!A:M""), 13, FAlSE)"),"#N/A")</f>
        <v>#N/A</v>
      </c>
      <c r="BB3297" s="61" t="str">
        <f>IFERROR(__xludf.DUMMYFUNCTION("REGEXREPLACE(G3297, ""_[a-z]{1,2}$"", """")"),"ManyLabs5_1d")</f>
        <v>ManyLabs5_1d</v>
      </c>
      <c r="BC3297" s="68"/>
      <c r="BD3297" s="68"/>
      <c r="BE3297" s="68"/>
      <c r="BF3297" s="68"/>
      <c r="BG3297" s="68"/>
      <c r="BH3297" s="68"/>
      <c r="BI3297" s="68"/>
      <c r="BJ3297" s="68"/>
      <c r="BK3297" s="68"/>
      <c r="BL3297" s="68"/>
      <c r="BM3297" s="68"/>
      <c r="BN3297" s="68"/>
      <c r="BO3297" s="68"/>
      <c r="BP3297" s="68"/>
      <c r="BQ3297" s="68"/>
      <c r="BR3297" s="68"/>
      <c r="BS3297" s="68"/>
      <c r="BT3297" s="68"/>
      <c r="BU3297" s="68"/>
      <c r="BV3297" s="68"/>
      <c r="BW3297" s="68"/>
      <c r="BX3297" s="68"/>
      <c r="BY3297" s="68"/>
      <c r="BZ3297" s="68"/>
      <c r="CA3297" s="68"/>
      <c r="CB3297" s="68"/>
      <c r="CC3297" s="68"/>
      <c r="CD3297" s="68"/>
      <c r="CE3297" s="68"/>
      <c r="CF3297" s="68"/>
      <c r="CG3297" s="68"/>
      <c r="CH3297" s="68"/>
      <c r="CI3297" s="68"/>
      <c r="CJ3297" s="68"/>
      <c r="CK3297" s="68"/>
      <c r="CL3297" s="68"/>
      <c r="CM3297" s="68"/>
      <c r="CN3297" s="68"/>
      <c r="CO3297" s="68"/>
      <c r="CP3297" s="68"/>
      <c r="CQ3297" s="68"/>
      <c r="CR3297" s="68"/>
      <c r="CS3297" s="68"/>
      <c r="CT3297" s="68"/>
      <c r="CU3297" s="68"/>
      <c r="CV3297" s="68"/>
      <c r="CW3297" s="68"/>
      <c r="CX3297" s="68"/>
      <c r="CY3297" s="68"/>
      <c r="CZ3297" s="68"/>
      <c r="DA3297" s="68"/>
      <c r="DB3297" s="68"/>
      <c r="DC3297" s="68"/>
      <c r="DD3297" s="68"/>
      <c r="DE3297" s="68"/>
      <c r="DF3297" s="68"/>
      <c r="DG3297" s="68"/>
      <c r="DH3297" s="68"/>
    </row>
    <row r="3298">
      <c r="A3298" s="44">
        <v>3298.0</v>
      </c>
      <c r="B3298" s="129" t="s">
        <v>285</v>
      </c>
      <c r="C3298" s="62" t="s">
        <v>115</v>
      </c>
      <c r="D3298" s="62" t="s">
        <v>221</v>
      </c>
      <c r="F3298" s="68" t="s">
        <v>19763</v>
      </c>
      <c r="G3298" s="159" t="s">
        <v>19788</v>
      </c>
      <c r="H3298" s="151" t="s">
        <v>222</v>
      </c>
      <c r="I3298" s="152">
        <v>45836.0</v>
      </c>
      <c r="J3298" s="152">
        <v>45836.0</v>
      </c>
      <c r="K3298" s="68"/>
      <c r="L3298" s="68"/>
      <c r="M3298" s="159" t="s">
        <v>19789</v>
      </c>
      <c r="N3298" s="159" t="s">
        <v>9835</v>
      </c>
      <c r="O3298" s="159" t="s">
        <v>4104</v>
      </c>
      <c r="P3298" s="573"/>
      <c r="Q3298" s="2430" t="s">
        <v>19790</v>
      </c>
      <c r="R3298" s="159" t="s">
        <v>19767</v>
      </c>
      <c r="S3298" s="159" t="s">
        <v>19768</v>
      </c>
      <c r="T3298" s="68"/>
      <c r="U3298" s="68"/>
      <c r="V3298" s="573"/>
      <c r="W3298" s="1228"/>
      <c r="X3298" s="2429" t="s">
        <v>19781</v>
      </c>
      <c r="Y3298" s="68"/>
      <c r="Z3298" s="159" t="s">
        <v>226</v>
      </c>
      <c r="AA3298" s="159" t="s">
        <v>18027</v>
      </c>
      <c r="AB3298" s="159" t="s">
        <v>19791</v>
      </c>
      <c r="AC3298" s="159" t="s">
        <v>19792</v>
      </c>
      <c r="AD3298" s="159" t="s">
        <v>19793</v>
      </c>
      <c r="AE3298" s="159" t="s">
        <v>813</v>
      </c>
      <c r="AF3298" s="336">
        <v>201.0</v>
      </c>
      <c r="AG3298" s="336">
        <v>0.3</v>
      </c>
      <c r="AH3298" s="159" t="s">
        <v>173</v>
      </c>
      <c r="AI3298" s="159" t="s">
        <v>813</v>
      </c>
      <c r="AJ3298" s="336">
        <v>0.03</v>
      </c>
      <c r="AK3298" s="159" t="s">
        <v>172</v>
      </c>
      <c r="AL3298" s="159" t="s">
        <v>136</v>
      </c>
      <c r="AM3298" s="159" t="s">
        <v>137</v>
      </c>
      <c r="AN3298" s="159" t="s">
        <v>138</v>
      </c>
      <c r="AO3298" s="156">
        <v>190.0</v>
      </c>
      <c r="AP3298" s="156">
        <v>0.1</v>
      </c>
      <c r="AQ3298" s="159" t="s">
        <v>173</v>
      </c>
      <c r="AR3298" s="159" t="s">
        <v>307</v>
      </c>
      <c r="AS3298" s="156">
        <v>0.17</v>
      </c>
      <c r="AT3298" s="159" t="s">
        <v>172</v>
      </c>
      <c r="AU3298" s="159" t="s">
        <v>136</v>
      </c>
      <c r="AV3298" s="159" t="s">
        <v>137</v>
      </c>
      <c r="AW3298" s="435" t="s">
        <v>19774</v>
      </c>
      <c r="AX3298" s="159" t="s">
        <v>143</v>
      </c>
      <c r="AY3298" s="61" t="str">
        <f>IFERROR(__xludf.DUMMYFUNCTION("vlookup(BB3298,importrange(""https://docs.google.com/spreadsheets/d/1d2vevQ_7D_v35q4wCQ4RpQ_IPoTwEMB9Yp6ymwlPqew/edit?gid=984458430#gid=984458430"", ""'replication success'!A:K""), 11, FAlSE)"),"#N/A")</f>
        <v>#N/A</v>
      </c>
      <c r="AZ3298" s="61" t="str">
        <f>IFERROR(__xludf.DUMMYFUNCTION("vlookup(BB3298,importrange(""https://docs.google.com/spreadsheets/d/1d2vevQ_7D_v35q4wCQ4RpQ_IPoTwEMB9Yp6ymwlPqew/edit?gid=984458430#gid=984458430"", ""'replication success'!A:M""), 12, FAlSE)"),"#N/A")</f>
        <v>#N/A</v>
      </c>
      <c r="BA3298" s="61" t="str">
        <f>IFERROR(__xludf.DUMMYFUNCTION("vlookup(BB3298,importrange(""https://docs.google.com/spreadsheets/d/1d2vevQ_7D_v35q4wCQ4RpQ_IPoTwEMB9Yp6ymwlPqew/edit?gid=984458430#gid=984458430"", ""'replication success'!A:M""), 13, FAlSE)"),"#N/A")</f>
        <v>#N/A</v>
      </c>
      <c r="BB3298" s="61" t="str">
        <f>IFERROR(__xludf.DUMMYFUNCTION("REGEXREPLACE(G3298, ""_[a-z]{1,2}$"", """")"),"ManyLabs5_1e")</f>
        <v>ManyLabs5_1e</v>
      </c>
      <c r="BC3298" s="68"/>
      <c r="BD3298" s="68"/>
      <c r="BE3298" s="68"/>
      <c r="BF3298" s="68"/>
      <c r="BG3298" s="68"/>
      <c r="BH3298" s="68"/>
      <c r="BI3298" s="68"/>
      <c r="BJ3298" s="68"/>
      <c r="BK3298" s="68"/>
      <c r="BL3298" s="68"/>
      <c r="BM3298" s="68"/>
      <c r="BN3298" s="68"/>
      <c r="BO3298" s="68"/>
      <c r="BP3298" s="68"/>
      <c r="BQ3298" s="68"/>
      <c r="BR3298" s="68"/>
      <c r="BS3298" s="68"/>
      <c r="BT3298" s="68"/>
      <c r="BU3298" s="68"/>
      <c r="BV3298" s="68"/>
      <c r="BW3298" s="68"/>
      <c r="BX3298" s="68"/>
      <c r="BY3298" s="68"/>
      <c r="BZ3298" s="68"/>
      <c r="CA3298" s="68"/>
      <c r="CB3298" s="68"/>
      <c r="CC3298" s="68"/>
      <c r="CD3298" s="68"/>
      <c r="CE3298" s="68"/>
      <c r="CF3298" s="68"/>
      <c r="CG3298" s="68"/>
      <c r="CH3298" s="68"/>
      <c r="CI3298" s="68"/>
      <c r="CJ3298" s="68"/>
      <c r="CK3298" s="68"/>
      <c r="CL3298" s="68"/>
      <c r="CM3298" s="68"/>
      <c r="CN3298" s="68"/>
      <c r="CO3298" s="68"/>
      <c r="CP3298" s="68"/>
      <c r="CQ3298" s="68"/>
      <c r="CR3298" s="68"/>
      <c r="CS3298" s="68"/>
      <c r="CT3298" s="68"/>
      <c r="CU3298" s="68"/>
      <c r="CV3298" s="68"/>
      <c r="CW3298" s="68"/>
      <c r="CX3298" s="68"/>
      <c r="CY3298" s="68"/>
      <c r="CZ3298" s="68"/>
      <c r="DA3298" s="68"/>
      <c r="DB3298" s="68"/>
      <c r="DC3298" s="68"/>
      <c r="DD3298" s="68"/>
      <c r="DE3298" s="68"/>
      <c r="DF3298" s="68"/>
      <c r="DG3298" s="68"/>
      <c r="DH3298" s="68"/>
    </row>
    <row r="3299">
      <c r="A3299" s="44">
        <v>3299.0</v>
      </c>
      <c r="B3299" s="129" t="s">
        <v>285</v>
      </c>
      <c r="C3299" s="62" t="s">
        <v>115</v>
      </c>
      <c r="D3299" s="62" t="s">
        <v>221</v>
      </c>
      <c r="F3299" s="68" t="s">
        <v>19763</v>
      </c>
      <c r="G3299" s="159" t="s">
        <v>19794</v>
      </c>
      <c r="H3299" s="151" t="s">
        <v>222</v>
      </c>
      <c r="I3299" s="152">
        <v>45836.0</v>
      </c>
      <c r="J3299" s="152">
        <v>45836.0</v>
      </c>
      <c r="K3299" s="68"/>
      <c r="L3299" s="68"/>
      <c r="M3299" s="159" t="s">
        <v>19789</v>
      </c>
      <c r="N3299" s="159" t="s">
        <v>9835</v>
      </c>
      <c r="O3299" s="159" t="s">
        <v>4104</v>
      </c>
      <c r="P3299" s="573"/>
      <c r="Q3299" s="2430" t="s">
        <v>19790</v>
      </c>
      <c r="R3299" s="159" t="s">
        <v>19767</v>
      </c>
      <c r="S3299" s="159" t="s">
        <v>19768</v>
      </c>
      <c r="T3299" s="68"/>
      <c r="U3299" s="68"/>
      <c r="V3299" s="573"/>
      <c r="W3299" s="1228"/>
      <c r="X3299" s="2429" t="s">
        <v>19781</v>
      </c>
      <c r="Y3299" s="68"/>
      <c r="Z3299" s="159" t="s">
        <v>226</v>
      </c>
      <c r="AA3299" s="159" t="s">
        <v>18027</v>
      </c>
      <c r="AB3299" s="159" t="s">
        <v>19791</v>
      </c>
      <c r="AC3299" s="159" t="s">
        <v>19795</v>
      </c>
      <c r="AD3299" s="159" t="s">
        <v>19793</v>
      </c>
      <c r="AE3299" s="159" t="s">
        <v>813</v>
      </c>
      <c r="AF3299" s="336">
        <v>201.0</v>
      </c>
      <c r="AG3299" s="336">
        <v>0.3</v>
      </c>
      <c r="AH3299" s="159" t="s">
        <v>173</v>
      </c>
      <c r="AI3299" s="159" t="s">
        <v>813</v>
      </c>
      <c r="AJ3299" s="336">
        <v>0.03</v>
      </c>
      <c r="AK3299" s="159" t="s">
        <v>172</v>
      </c>
      <c r="AL3299" s="159" t="s">
        <v>136</v>
      </c>
      <c r="AM3299" s="159" t="s">
        <v>137</v>
      </c>
      <c r="AN3299" s="159" t="s">
        <v>138</v>
      </c>
      <c r="AO3299" s="156">
        <v>263.0</v>
      </c>
      <c r="AP3299" s="156">
        <v>0.07</v>
      </c>
      <c r="AQ3299" s="159" t="s">
        <v>173</v>
      </c>
      <c r="AR3299" s="159" t="s">
        <v>307</v>
      </c>
      <c r="AS3299" s="156">
        <v>0.29</v>
      </c>
      <c r="AT3299" s="159" t="s">
        <v>172</v>
      </c>
      <c r="AU3299" s="159" t="s">
        <v>136</v>
      </c>
      <c r="AV3299" s="159" t="s">
        <v>137</v>
      </c>
      <c r="AW3299" s="435" t="s">
        <v>19774</v>
      </c>
      <c r="AX3299" s="159" t="s">
        <v>143</v>
      </c>
      <c r="AY3299" s="61" t="str">
        <f>IFERROR(__xludf.DUMMYFUNCTION("vlookup(BB3299,importrange(""https://docs.google.com/spreadsheets/d/1d2vevQ_7D_v35q4wCQ4RpQ_IPoTwEMB9Yp6ymwlPqew/edit?gid=984458430#gid=984458430"", ""'replication success'!A:K""), 11, FAlSE)"),"#N/A")</f>
        <v>#N/A</v>
      </c>
      <c r="AZ3299" s="61" t="str">
        <f>IFERROR(__xludf.DUMMYFUNCTION("vlookup(BB3299,importrange(""https://docs.google.com/spreadsheets/d/1d2vevQ_7D_v35q4wCQ4RpQ_IPoTwEMB9Yp6ymwlPqew/edit?gid=984458430#gid=984458430"", ""'replication success'!A:M""), 12, FAlSE)"),"#N/A")</f>
        <v>#N/A</v>
      </c>
      <c r="BA3299" s="61" t="str">
        <f>IFERROR(__xludf.DUMMYFUNCTION("vlookup(BB3299,importrange(""https://docs.google.com/spreadsheets/d/1d2vevQ_7D_v35q4wCQ4RpQ_IPoTwEMB9Yp6ymwlPqew/edit?gid=984458430#gid=984458430"", ""'replication success'!A:M""), 13, FAlSE)"),"#N/A")</f>
        <v>#N/A</v>
      </c>
      <c r="BB3299" s="61" t="str">
        <f>IFERROR(__xludf.DUMMYFUNCTION("REGEXREPLACE(G3299, ""_[a-z]{1,2}$"", """")"),"ManyLabs5_1f")</f>
        <v>ManyLabs5_1f</v>
      </c>
      <c r="BC3299" s="68"/>
      <c r="BD3299" s="68"/>
      <c r="BE3299" s="68"/>
      <c r="BF3299" s="68"/>
      <c r="BG3299" s="68"/>
      <c r="BH3299" s="68"/>
      <c r="BI3299" s="68"/>
      <c r="BJ3299" s="68"/>
      <c r="BK3299" s="68"/>
      <c r="BL3299" s="68"/>
      <c r="BM3299" s="68"/>
      <c r="BN3299" s="68"/>
      <c r="BO3299" s="68"/>
      <c r="BP3299" s="68"/>
      <c r="BQ3299" s="68"/>
      <c r="BR3299" s="68"/>
      <c r="BS3299" s="68"/>
      <c r="BT3299" s="68"/>
      <c r="BU3299" s="68"/>
      <c r="BV3299" s="68"/>
      <c r="BW3299" s="68"/>
      <c r="BX3299" s="68"/>
      <c r="BY3299" s="68"/>
      <c r="BZ3299" s="68"/>
      <c r="CA3299" s="68"/>
      <c r="CB3299" s="68"/>
      <c r="CC3299" s="68"/>
      <c r="CD3299" s="68"/>
      <c r="CE3299" s="68"/>
      <c r="CF3299" s="68"/>
      <c r="CG3299" s="68"/>
      <c r="CH3299" s="68"/>
      <c r="CI3299" s="68"/>
      <c r="CJ3299" s="68"/>
      <c r="CK3299" s="68"/>
      <c r="CL3299" s="68"/>
      <c r="CM3299" s="68"/>
      <c r="CN3299" s="68"/>
      <c r="CO3299" s="68"/>
      <c r="CP3299" s="68"/>
      <c r="CQ3299" s="68"/>
      <c r="CR3299" s="68"/>
      <c r="CS3299" s="68"/>
      <c r="CT3299" s="68"/>
      <c r="CU3299" s="68"/>
      <c r="CV3299" s="68"/>
      <c r="CW3299" s="68"/>
      <c r="CX3299" s="68"/>
      <c r="CY3299" s="68"/>
      <c r="CZ3299" s="68"/>
      <c r="DA3299" s="68"/>
      <c r="DB3299" s="68"/>
      <c r="DC3299" s="68"/>
      <c r="DD3299" s="68"/>
      <c r="DE3299" s="68"/>
      <c r="DF3299" s="68"/>
      <c r="DG3299" s="68"/>
      <c r="DH3299" s="68"/>
    </row>
    <row r="3300">
      <c r="A3300" s="44">
        <v>3300.0</v>
      </c>
      <c r="B3300" s="129" t="s">
        <v>285</v>
      </c>
      <c r="C3300" s="62" t="s">
        <v>115</v>
      </c>
      <c r="D3300" s="62" t="s">
        <v>221</v>
      </c>
      <c r="F3300" s="68" t="s">
        <v>19763</v>
      </c>
      <c r="G3300" s="159" t="s">
        <v>19796</v>
      </c>
      <c r="H3300" s="151" t="s">
        <v>222</v>
      </c>
      <c r="I3300" s="152">
        <v>45836.0</v>
      </c>
      <c r="J3300" s="152">
        <v>45836.0</v>
      </c>
      <c r="K3300" s="68"/>
      <c r="L3300" s="68"/>
      <c r="M3300" s="159" t="s">
        <v>19797</v>
      </c>
      <c r="N3300" s="159" t="s">
        <v>19798</v>
      </c>
      <c r="O3300" s="159" t="s">
        <v>4104</v>
      </c>
      <c r="P3300" s="573"/>
      <c r="Q3300" s="2430" t="s">
        <v>19799</v>
      </c>
      <c r="R3300" s="159" t="s">
        <v>19767</v>
      </c>
      <c r="S3300" s="159" t="s">
        <v>19768</v>
      </c>
      <c r="T3300" s="68"/>
      <c r="U3300" s="68"/>
      <c r="V3300" s="573"/>
      <c r="W3300" s="1228"/>
      <c r="X3300" s="2429" t="s">
        <v>19781</v>
      </c>
      <c r="Y3300" s="68"/>
      <c r="Z3300" s="159" t="s">
        <v>226</v>
      </c>
      <c r="AA3300" s="159" t="s">
        <v>19800</v>
      </c>
      <c r="AB3300" s="159" t="s">
        <v>19801</v>
      </c>
      <c r="AC3300" s="159" t="s">
        <v>19802</v>
      </c>
      <c r="AD3300" s="159" t="s">
        <v>19803</v>
      </c>
      <c r="AE3300" s="159" t="s">
        <v>496</v>
      </c>
      <c r="AF3300" s="156">
        <v>40.0</v>
      </c>
      <c r="AG3300" s="156">
        <v>0.92</v>
      </c>
      <c r="AH3300" s="159" t="s">
        <v>173</v>
      </c>
      <c r="AI3300" s="159" t="s">
        <v>813</v>
      </c>
      <c r="AJ3300" s="156">
        <v>0.006</v>
      </c>
      <c r="AK3300" s="159" t="s">
        <v>172</v>
      </c>
      <c r="AL3300" s="159" t="s">
        <v>136</v>
      </c>
      <c r="AM3300" s="159" t="s">
        <v>137</v>
      </c>
      <c r="AN3300" s="159" t="s">
        <v>138</v>
      </c>
      <c r="AO3300" s="156">
        <v>181.0</v>
      </c>
      <c r="AP3300" s="156">
        <v>0.02</v>
      </c>
      <c r="AQ3300" s="159" t="s">
        <v>173</v>
      </c>
      <c r="AR3300" s="159" t="s">
        <v>307</v>
      </c>
      <c r="AS3300" s="156">
        <v>0.73</v>
      </c>
      <c r="AT3300" s="159" t="s">
        <v>172</v>
      </c>
      <c r="AU3300" s="159" t="s">
        <v>136</v>
      </c>
      <c r="AV3300" s="159" t="s">
        <v>137</v>
      </c>
      <c r="AW3300" s="435" t="s">
        <v>19774</v>
      </c>
      <c r="AX3300" s="159" t="s">
        <v>143</v>
      </c>
      <c r="AY3300" s="61" t="str">
        <f>IFERROR(__xludf.DUMMYFUNCTION("vlookup(BB3300,importrange(""https://docs.google.com/spreadsheets/d/1d2vevQ_7D_v35q4wCQ4RpQ_IPoTwEMB9Yp6ymwlPqew/edit?gid=984458430#gid=984458430"", ""'replication success'!A:K""), 11, FAlSE)"),"#N/A")</f>
        <v>#N/A</v>
      </c>
      <c r="AZ3300" s="61" t="str">
        <f>IFERROR(__xludf.DUMMYFUNCTION("vlookup(BB3300,importrange(""https://docs.google.com/spreadsheets/d/1d2vevQ_7D_v35q4wCQ4RpQ_IPoTwEMB9Yp6ymwlPqew/edit?gid=984458430#gid=984458430"", ""'replication success'!A:M""), 12, FAlSE)"),"#N/A")</f>
        <v>#N/A</v>
      </c>
      <c r="BA3300" s="61" t="str">
        <f>IFERROR(__xludf.DUMMYFUNCTION("vlookup(BB3300,importrange(""https://docs.google.com/spreadsheets/d/1d2vevQ_7D_v35q4wCQ4RpQ_IPoTwEMB9Yp6ymwlPqew/edit?gid=984458430#gid=984458430"", ""'replication success'!A:M""), 13, FAlSE)"),"#N/A")</f>
        <v>#N/A</v>
      </c>
      <c r="BB3300" s="61" t="str">
        <f>IFERROR(__xludf.DUMMYFUNCTION("REGEXREPLACE(G3300, ""_[a-z]{1,2}$"", """")"),"ManyLabs5_1g")</f>
        <v>ManyLabs5_1g</v>
      </c>
      <c r="BC3300" s="68"/>
      <c r="BD3300" s="68"/>
      <c r="BE3300" s="68"/>
      <c r="BF3300" s="68"/>
      <c r="BG3300" s="68"/>
      <c r="BH3300" s="68"/>
      <c r="BI3300" s="68"/>
      <c r="BJ3300" s="68"/>
      <c r="BK3300" s="68"/>
      <c r="BL3300" s="68"/>
      <c r="BM3300" s="68"/>
      <c r="BN3300" s="68"/>
      <c r="BO3300" s="68"/>
      <c r="BP3300" s="68"/>
      <c r="BQ3300" s="68"/>
      <c r="BR3300" s="68"/>
      <c r="BS3300" s="68"/>
      <c r="BT3300" s="68"/>
      <c r="BU3300" s="68"/>
      <c r="BV3300" s="68"/>
      <c r="BW3300" s="68"/>
      <c r="BX3300" s="68"/>
      <c r="BY3300" s="68"/>
      <c r="BZ3300" s="68"/>
      <c r="CA3300" s="68"/>
      <c r="CB3300" s="68"/>
      <c r="CC3300" s="68"/>
      <c r="CD3300" s="68"/>
      <c r="CE3300" s="68"/>
      <c r="CF3300" s="68"/>
      <c r="CG3300" s="68"/>
      <c r="CH3300" s="68"/>
      <c r="CI3300" s="68"/>
      <c r="CJ3300" s="68"/>
      <c r="CK3300" s="68"/>
      <c r="CL3300" s="68"/>
      <c r="CM3300" s="68"/>
      <c r="CN3300" s="68"/>
      <c r="CO3300" s="68"/>
      <c r="CP3300" s="68"/>
      <c r="CQ3300" s="68"/>
      <c r="CR3300" s="68"/>
      <c r="CS3300" s="68"/>
      <c r="CT3300" s="68"/>
      <c r="CU3300" s="68"/>
      <c r="CV3300" s="68"/>
      <c r="CW3300" s="68"/>
      <c r="CX3300" s="68"/>
      <c r="CY3300" s="68"/>
      <c r="CZ3300" s="68"/>
      <c r="DA3300" s="68"/>
      <c r="DB3300" s="68"/>
      <c r="DC3300" s="68"/>
      <c r="DD3300" s="68"/>
      <c r="DE3300" s="68"/>
      <c r="DF3300" s="68"/>
      <c r="DG3300" s="68"/>
      <c r="DH3300" s="68"/>
    </row>
    <row r="3301">
      <c r="A3301" s="44">
        <v>3301.0</v>
      </c>
      <c r="B3301" s="129" t="s">
        <v>285</v>
      </c>
      <c r="C3301" s="62" t="s">
        <v>115</v>
      </c>
      <c r="D3301" s="62" t="s">
        <v>221</v>
      </c>
      <c r="F3301" s="68" t="s">
        <v>19763</v>
      </c>
      <c r="G3301" s="159" t="s">
        <v>19804</v>
      </c>
      <c r="H3301" s="151" t="s">
        <v>222</v>
      </c>
      <c r="I3301" s="152">
        <v>45836.0</v>
      </c>
      <c r="J3301" s="152">
        <v>45836.0</v>
      </c>
      <c r="K3301" s="68"/>
      <c r="L3301" s="68"/>
      <c r="M3301" s="159" t="s">
        <v>19797</v>
      </c>
      <c r="N3301" s="159" t="s">
        <v>19798</v>
      </c>
      <c r="O3301" s="159" t="s">
        <v>4104</v>
      </c>
      <c r="P3301" s="573"/>
      <c r="Q3301" s="2430" t="s">
        <v>19799</v>
      </c>
      <c r="R3301" s="159" t="s">
        <v>19767</v>
      </c>
      <c r="S3301" s="159" t="s">
        <v>19768</v>
      </c>
      <c r="T3301" s="68"/>
      <c r="U3301" s="68"/>
      <c r="V3301" s="573"/>
      <c r="W3301" s="1228"/>
      <c r="X3301" s="2429" t="s">
        <v>19781</v>
      </c>
      <c r="Y3301" s="68"/>
      <c r="Z3301" s="159" t="s">
        <v>226</v>
      </c>
      <c r="AA3301" s="159" t="s">
        <v>19800</v>
      </c>
      <c r="AB3301" s="159" t="s">
        <v>19801</v>
      </c>
      <c r="AC3301" s="159" t="s">
        <v>19805</v>
      </c>
      <c r="AD3301" s="159" t="s">
        <v>19806</v>
      </c>
      <c r="AE3301" s="159" t="s">
        <v>496</v>
      </c>
      <c r="AF3301" s="156">
        <v>40.0</v>
      </c>
      <c r="AG3301" s="156">
        <v>0.92</v>
      </c>
      <c r="AH3301" s="159" t="s">
        <v>173</v>
      </c>
      <c r="AI3301" s="159" t="s">
        <v>813</v>
      </c>
      <c r="AJ3301" s="156">
        <v>0.006</v>
      </c>
      <c r="AK3301" s="159" t="s">
        <v>172</v>
      </c>
      <c r="AL3301" s="159" t="s">
        <v>136</v>
      </c>
      <c r="AM3301" s="159" t="s">
        <v>137</v>
      </c>
      <c r="AN3301" s="159" t="s">
        <v>138</v>
      </c>
      <c r="AO3301" s="156">
        <v>246.0</v>
      </c>
      <c r="AP3301" s="156">
        <v>-0.01</v>
      </c>
      <c r="AQ3301" s="159" t="s">
        <v>173</v>
      </c>
      <c r="AR3301" s="159" t="s">
        <v>307</v>
      </c>
      <c r="AS3301" s="156">
        <v>0.85</v>
      </c>
      <c r="AT3301" s="159" t="s">
        <v>172</v>
      </c>
      <c r="AU3301" s="159" t="s">
        <v>136</v>
      </c>
      <c r="AV3301" s="159" t="s">
        <v>137</v>
      </c>
      <c r="AW3301" s="435" t="s">
        <v>19774</v>
      </c>
      <c r="AX3301" s="159" t="s">
        <v>143</v>
      </c>
      <c r="AY3301" s="61" t="str">
        <f>IFERROR(__xludf.DUMMYFUNCTION("vlookup(BB3301,importrange(""https://docs.google.com/spreadsheets/d/1d2vevQ_7D_v35q4wCQ4RpQ_IPoTwEMB9Yp6ymwlPqew/edit?gid=984458430#gid=984458430"", ""'replication success'!A:K""), 11, FAlSE)"),"#N/A")</f>
        <v>#N/A</v>
      </c>
      <c r="AZ3301" s="61" t="str">
        <f>IFERROR(__xludf.DUMMYFUNCTION("vlookup(BB3301,importrange(""https://docs.google.com/spreadsheets/d/1d2vevQ_7D_v35q4wCQ4RpQ_IPoTwEMB9Yp6ymwlPqew/edit?gid=984458430#gid=984458430"", ""'replication success'!A:M""), 12, FAlSE)"),"#N/A")</f>
        <v>#N/A</v>
      </c>
      <c r="BA3301" s="61" t="str">
        <f>IFERROR(__xludf.DUMMYFUNCTION("vlookup(BB3301,importrange(""https://docs.google.com/spreadsheets/d/1d2vevQ_7D_v35q4wCQ4RpQ_IPoTwEMB9Yp6ymwlPqew/edit?gid=984458430#gid=984458430"", ""'replication success'!A:M""), 13, FAlSE)"),"#N/A")</f>
        <v>#N/A</v>
      </c>
      <c r="BB3301" s="61" t="str">
        <f>IFERROR(__xludf.DUMMYFUNCTION("REGEXREPLACE(G3301, ""_[a-z]{1,2}$"", """")"),"ManyLabs5_1h")</f>
        <v>ManyLabs5_1h</v>
      </c>
      <c r="BC3301" s="68"/>
      <c r="BD3301" s="68"/>
      <c r="BE3301" s="68"/>
      <c r="BF3301" s="68"/>
      <c r="BG3301" s="68"/>
      <c r="BH3301" s="68"/>
      <c r="BI3301" s="68"/>
      <c r="BJ3301" s="68"/>
      <c r="BK3301" s="68"/>
      <c r="BL3301" s="68"/>
      <c r="BM3301" s="68"/>
      <c r="BN3301" s="68"/>
      <c r="BO3301" s="68"/>
      <c r="BP3301" s="68"/>
      <c r="BQ3301" s="68"/>
      <c r="BR3301" s="68"/>
      <c r="BS3301" s="68"/>
      <c r="BT3301" s="68"/>
      <c r="BU3301" s="68"/>
      <c r="BV3301" s="68"/>
      <c r="BW3301" s="68"/>
      <c r="BX3301" s="68"/>
      <c r="BY3301" s="68"/>
      <c r="BZ3301" s="68"/>
      <c r="CA3301" s="68"/>
      <c r="CB3301" s="68"/>
      <c r="CC3301" s="68"/>
      <c r="CD3301" s="68"/>
      <c r="CE3301" s="68"/>
      <c r="CF3301" s="68"/>
      <c r="CG3301" s="68"/>
      <c r="CH3301" s="68"/>
      <c r="CI3301" s="68"/>
      <c r="CJ3301" s="68"/>
      <c r="CK3301" s="68"/>
      <c r="CL3301" s="68"/>
      <c r="CM3301" s="68"/>
      <c r="CN3301" s="68"/>
      <c r="CO3301" s="68"/>
      <c r="CP3301" s="68"/>
      <c r="CQ3301" s="68"/>
      <c r="CR3301" s="68"/>
      <c r="CS3301" s="68"/>
      <c r="CT3301" s="68"/>
      <c r="CU3301" s="68"/>
      <c r="CV3301" s="68"/>
      <c r="CW3301" s="68"/>
      <c r="CX3301" s="68"/>
      <c r="CY3301" s="68"/>
      <c r="CZ3301" s="68"/>
      <c r="DA3301" s="68"/>
      <c r="DB3301" s="68"/>
      <c r="DC3301" s="68"/>
      <c r="DD3301" s="68"/>
      <c r="DE3301" s="68"/>
      <c r="DF3301" s="68"/>
      <c r="DG3301" s="68"/>
      <c r="DH3301" s="68"/>
    </row>
    <row r="3302">
      <c r="A3302" s="44">
        <v>3302.0</v>
      </c>
      <c r="B3302" s="129" t="s">
        <v>285</v>
      </c>
      <c r="C3302" s="62" t="s">
        <v>115</v>
      </c>
      <c r="D3302" s="62" t="s">
        <v>221</v>
      </c>
      <c r="F3302" s="68" t="s">
        <v>19763</v>
      </c>
      <c r="G3302" s="159" t="s">
        <v>19807</v>
      </c>
      <c r="H3302" s="151" t="s">
        <v>222</v>
      </c>
      <c r="I3302" s="152">
        <v>45836.0</v>
      </c>
      <c r="J3302" s="152">
        <v>45836.0</v>
      </c>
      <c r="K3302" s="68"/>
      <c r="L3302" s="68"/>
      <c r="M3302" s="159" t="s">
        <v>19808</v>
      </c>
      <c r="N3302" s="159" t="s">
        <v>8664</v>
      </c>
      <c r="O3302" s="159" t="s">
        <v>4104</v>
      </c>
      <c r="P3302" s="573"/>
      <c r="Q3302" s="2430" t="s">
        <v>19809</v>
      </c>
      <c r="R3302" s="159" t="s">
        <v>19767</v>
      </c>
      <c r="S3302" s="159" t="s">
        <v>19768</v>
      </c>
      <c r="T3302" s="68"/>
      <c r="U3302" s="68"/>
      <c r="V3302" s="573"/>
      <c r="W3302" s="1228"/>
      <c r="X3302" s="2429" t="s">
        <v>19781</v>
      </c>
      <c r="Y3302" s="68"/>
      <c r="Z3302" s="159" t="s">
        <v>226</v>
      </c>
      <c r="AA3302" s="159" t="s">
        <v>19810</v>
      </c>
      <c r="AB3302" s="159" t="s">
        <v>19811</v>
      </c>
      <c r="AC3302" s="159" t="s">
        <v>19812</v>
      </c>
      <c r="AD3302" s="159" t="s">
        <v>19813</v>
      </c>
      <c r="AE3302" s="159" t="s">
        <v>813</v>
      </c>
      <c r="AF3302" s="336">
        <v>58.0</v>
      </c>
      <c r="AG3302" s="156">
        <v>1.34</v>
      </c>
      <c r="AH3302" s="159" t="s">
        <v>173</v>
      </c>
      <c r="AI3302" s="159" t="s">
        <v>813</v>
      </c>
      <c r="AJ3302" s="156">
        <v>0.001</v>
      </c>
      <c r="AK3302" s="159" t="s">
        <v>135</v>
      </c>
      <c r="AL3302" s="159" t="s">
        <v>136</v>
      </c>
      <c r="AM3302" s="159" t="s">
        <v>137</v>
      </c>
      <c r="AN3302" s="159" t="s">
        <v>138</v>
      </c>
      <c r="AO3302" s="156">
        <v>192.0</v>
      </c>
      <c r="AP3302" s="156">
        <v>0.05</v>
      </c>
      <c r="AQ3302" s="159" t="s">
        <v>173</v>
      </c>
      <c r="AR3302" s="159" t="s">
        <v>307</v>
      </c>
      <c r="AS3302" s="336">
        <v>0.47</v>
      </c>
      <c r="AT3302" s="159" t="s">
        <v>172</v>
      </c>
      <c r="AU3302" s="159" t="s">
        <v>136</v>
      </c>
      <c r="AV3302" s="159" t="s">
        <v>137</v>
      </c>
      <c r="AW3302" s="435" t="s">
        <v>19774</v>
      </c>
      <c r="AX3302" s="159" t="s">
        <v>143</v>
      </c>
      <c r="AY3302" s="61" t="str">
        <f>IFERROR(__xludf.DUMMYFUNCTION("vlookup(BB3302,importrange(""https://docs.google.com/spreadsheets/d/1d2vevQ_7D_v35q4wCQ4RpQ_IPoTwEMB9Yp6ymwlPqew/edit?gid=984458430#gid=984458430"", ""'replication success'!A:K""), 11, FAlSE)"),"#N/A")</f>
        <v>#N/A</v>
      </c>
      <c r="AZ3302" s="61" t="str">
        <f>IFERROR(__xludf.DUMMYFUNCTION("vlookup(BB3302,importrange(""https://docs.google.com/spreadsheets/d/1d2vevQ_7D_v35q4wCQ4RpQ_IPoTwEMB9Yp6ymwlPqew/edit?gid=984458430#gid=984458430"", ""'replication success'!A:M""), 12, FAlSE)"),"#N/A")</f>
        <v>#N/A</v>
      </c>
      <c r="BA3302" s="61" t="str">
        <f>IFERROR(__xludf.DUMMYFUNCTION("vlookup(BB3302,importrange(""https://docs.google.com/spreadsheets/d/1d2vevQ_7D_v35q4wCQ4RpQ_IPoTwEMB9Yp6ymwlPqew/edit?gid=984458430#gid=984458430"", ""'replication success'!A:M""), 13, FAlSE)"),"#N/A")</f>
        <v>#N/A</v>
      </c>
      <c r="BB3302" s="61" t="str">
        <f>IFERROR(__xludf.DUMMYFUNCTION("REGEXREPLACE(G3302, ""_[a-z]{1,2}$"", """")"),"ManyLabs5_1i")</f>
        <v>ManyLabs5_1i</v>
      </c>
      <c r="BC3302" s="68"/>
      <c r="BD3302" s="68"/>
      <c r="BE3302" s="68"/>
      <c r="BF3302" s="68"/>
      <c r="BG3302" s="68"/>
      <c r="BH3302" s="68"/>
      <c r="BI3302" s="68"/>
      <c r="BJ3302" s="68"/>
      <c r="BK3302" s="68"/>
      <c r="BL3302" s="68"/>
      <c r="BM3302" s="68"/>
      <c r="BN3302" s="68"/>
      <c r="BO3302" s="68"/>
      <c r="BP3302" s="68"/>
      <c r="BQ3302" s="68"/>
      <c r="BR3302" s="68"/>
      <c r="BS3302" s="68"/>
      <c r="BT3302" s="68"/>
      <c r="BU3302" s="68"/>
      <c r="BV3302" s="68"/>
      <c r="BW3302" s="68"/>
      <c r="BX3302" s="68"/>
      <c r="BY3302" s="68"/>
      <c r="BZ3302" s="68"/>
      <c r="CA3302" s="68"/>
      <c r="CB3302" s="68"/>
      <c r="CC3302" s="68"/>
      <c r="CD3302" s="68"/>
      <c r="CE3302" s="68"/>
      <c r="CF3302" s="68"/>
      <c r="CG3302" s="68"/>
      <c r="CH3302" s="68"/>
      <c r="CI3302" s="68"/>
      <c r="CJ3302" s="68"/>
      <c r="CK3302" s="68"/>
      <c r="CL3302" s="68"/>
      <c r="CM3302" s="68"/>
      <c r="CN3302" s="68"/>
      <c r="CO3302" s="68"/>
      <c r="CP3302" s="68"/>
      <c r="CQ3302" s="68"/>
      <c r="CR3302" s="68"/>
      <c r="CS3302" s="68"/>
      <c r="CT3302" s="68"/>
      <c r="CU3302" s="68"/>
      <c r="CV3302" s="68"/>
      <c r="CW3302" s="68"/>
      <c r="CX3302" s="68"/>
      <c r="CY3302" s="68"/>
      <c r="CZ3302" s="68"/>
      <c r="DA3302" s="68"/>
      <c r="DB3302" s="68"/>
      <c r="DC3302" s="68"/>
      <c r="DD3302" s="68"/>
      <c r="DE3302" s="68"/>
      <c r="DF3302" s="68"/>
      <c r="DG3302" s="68"/>
      <c r="DH3302" s="68"/>
    </row>
    <row r="3303">
      <c r="A3303" s="44">
        <v>3303.0</v>
      </c>
      <c r="B3303" s="129" t="s">
        <v>285</v>
      </c>
      <c r="C3303" s="62" t="s">
        <v>115</v>
      </c>
      <c r="D3303" s="62" t="s">
        <v>221</v>
      </c>
      <c r="F3303" s="68" t="s">
        <v>19763</v>
      </c>
      <c r="G3303" s="159" t="s">
        <v>19814</v>
      </c>
      <c r="H3303" s="151" t="s">
        <v>222</v>
      </c>
      <c r="I3303" s="152">
        <v>45836.0</v>
      </c>
      <c r="J3303" s="152">
        <v>45836.0</v>
      </c>
      <c r="K3303" s="68"/>
      <c r="L3303" s="68"/>
      <c r="M3303" s="159" t="s">
        <v>19808</v>
      </c>
      <c r="N3303" s="159" t="s">
        <v>8664</v>
      </c>
      <c r="O3303" s="159" t="s">
        <v>4104</v>
      </c>
      <c r="P3303" s="573"/>
      <c r="Q3303" s="2430" t="s">
        <v>19809</v>
      </c>
      <c r="R3303" s="159" t="s">
        <v>19767</v>
      </c>
      <c r="S3303" s="159" t="s">
        <v>19768</v>
      </c>
      <c r="T3303" s="68"/>
      <c r="U3303" s="68"/>
      <c r="V3303" s="573"/>
      <c r="W3303" s="1228"/>
      <c r="X3303" s="2429" t="s">
        <v>19781</v>
      </c>
      <c r="Y3303" s="68"/>
      <c r="Z3303" s="159" t="s">
        <v>226</v>
      </c>
      <c r="AA3303" s="159" t="s">
        <v>19810</v>
      </c>
      <c r="AB3303" s="159" t="s">
        <v>19811</v>
      </c>
      <c r="AC3303" s="159" t="s">
        <v>19815</v>
      </c>
      <c r="AD3303" s="159" t="s">
        <v>19813</v>
      </c>
      <c r="AE3303" s="159" t="s">
        <v>813</v>
      </c>
      <c r="AF3303" s="156">
        <v>58.0</v>
      </c>
      <c r="AG3303" s="336">
        <v>1.34</v>
      </c>
      <c r="AH3303" s="159" t="s">
        <v>173</v>
      </c>
      <c r="AI3303" s="159" t="s">
        <v>813</v>
      </c>
      <c r="AJ3303" s="156">
        <v>0.001</v>
      </c>
      <c r="AK3303" s="159" t="s">
        <v>135</v>
      </c>
      <c r="AL3303" s="159" t="s">
        <v>136</v>
      </c>
      <c r="AM3303" s="159" t="s">
        <v>137</v>
      </c>
      <c r="AN3303" s="159" t="s">
        <v>138</v>
      </c>
      <c r="AO3303" s="156">
        <v>270.0</v>
      </c>
      <c r="AP3303" s="156">
        <v>0.02</v>
      </c>
      <c r="AQ3303" s="159" t="s">
        <v>173</v>
      </c>
      <c r="AR3303" s="159" t="s">
        <v>307</v>
      </c>
      <c r="AS3303" s="336">
        <v>0.74</v>
      </c>
      <c r="AT3303" s="159" t="s">
        <v>172</v>
      </c>
      <c r="AU3303" s="159" t="s">
        <v>136</v>
      </c>
      <c r="AV3303" s="159" t="s">
        <v>137</v>
      </c>
      <c r="AW3303" s="435" t="s">
        <v>19774</v>
      </c>
      <c r="AX3303" s="159" t="s">
        <v>143</v>
      </c>
      <c r="AY3303" s="61" t="str">
        <f>IFERROR(__xludf.DUMMYFUNCTION("vlookup(BB3303,importrange(""https://docs.google.com/spreadsheets/d/1d2vevQ_7D_v35q4wCQ4RpQ_IPoTwEMB9Yp6ymwlPqew/edit?gid=984458430#gid=984458430"", ""'replication success'!A:K""), 11, FAlSE)"),"#N/A")</f>
        <v>#N/A</v>
      </c>
      <c r="AZ3303" s="61" t="str">
        <f>IFERROR(__xludf.DUMMYFUNCTION("vlookup(BB3303,importrange(""https://docs.google.com/spreadsheets/d/1d2vevQ_7D_v35q4wCQ4RpQ_IPoTwEMB9Yp6ymwlPqew/edit?gid=984458430#gid=984458430"", ""'replication success'!A:M""), 12, FAlSE)"),"#N/A")</f>
        <v>#N/A</v>
      </c>
      <c r="BA3303" s="61" t="str">
        <f>IFERROR(__xludf.DUMMYFUNCTION("vlookup(BB3303,importrange(""https://docs.google.com/spreadsheets/d/1d2vevQ_7D_v35q4wCQ4RpQ_IPoTwEMB9Yp6ymwlPqew/edit?gid=984458430#gid=984458430"", ""'replication success'!A:M""), 13, FAlSE)"),"#N/A")</f>
        <v>#N/A</v>
      </c>
      <c r="BB3303" s="61" t="str">
        <f>IFERROR(__xludf.DUMMYFUNCTION("REGEXREPLACE(G3303, ""_[a-z]{1,2}$"", """")"),"ManyLabs5")</f>
        <v>ManyLabs5</v>
      </c>
      <c r="BC3303" s="68"/>
      <c r="BD3303" s="68"/>
      <c r="BE3303" s="68"/>
      <c r="BF3303" s="68"/>
      <c r="BG3303" s="68"/>
      <c r="BH3303" s="68"/>
      <c r="BI3303" s="68"/>
      <c r="BJ3303" s="68"/>
      <c r="BK3303" s="68"/>
      <c r="BL3303" s="68"/>
      <c r="BM3303" s="68"/>
      <c r="BN3303" s="68"/>
      <c r="BO3303" s="68"/>
      <c r="BP3303" s="68"/>
      <c r="BQ3303" s="68"/>
      <c r="BR3303" s="68"/>
      <c r="BS3303" s="68"/>
      <c r="BT3303" s="68"/>
      <c r="BU3303" s="68"/>
      <c r="BV3303" s="68"/>
      <c r="BW3303" s="68"/>
      <c r="BX3303" s="68"/>
      <c r="BY3303" s="68"/>
      <c r="BZ3303" s="68"/>
      <c r="CA3303" s="68"/>
      <c r="CB3303" s="68"/>
      <c r="CC3303" s="68"/>
      <c r="CD3303" s="68"/>
      <c r="CE3303" s="68"/>
      <c r="CF3303" s="68"/>
      <c r="CG3303" s="68"/>
      <c r="CH3303" s="68"/>
      <c r="CI3303" s="68"/>
      <c r="CJ3303" s="68"/>
      <c r="CK3303" s="68"/>
      <c r="CL3303" s="68"/>
      <c r="CM3303" s="68"/>
      <c r="CN3303" s="68"/>
      <c r="CO3303" s="68"/>
      <c r="CP3303" s="68"/>
      <c r="CQ3303" s="68"/>
      <c r="CR3303" s="68"/>
      <c r="CS3303" s="68"/>
      <c r="CT3303" s="68"/>
      <c r="CU3303" s="68"/>
      <c r="CV3303" s="68"/>
      <c r="CW3303" s="68"/>
      <c r="CX3303" s="68"/>
      <c r="CY3303" s="68"/>
      <c r="CZ3303" s="68"/>
      <c r="DA3303" s="68"/>
      <c r="DB3303" s="68"/>
      <c r="DC3303" s="68"/>
      <c r="DD3303" s="68"/>
      <c r="DE3303" s="68"/>
      <c r="DF3303" s="68"/>
      <c r="DG3303" s="68"/>
      <c r="DH3303" s="68"/>
    </row>
    <row r="3304">
      <c r="A3304" s="44">
        <v>3304.0</v>
      </c>
      <c r="B3304" s="129" t="s">
        <v>285</v>
      </c>
      <c r="C3304" s="62" t="s">
        <v>115</v>
      </c>
      <c r="D3304" s="62" t="s">
        <v>221</v>
      </c>
      <c r="F3304" s="68" t="s">
        <v>19763</v>
      </c>
      <c r="G3304" s="159" t="s">
        <v>19816</v>
      </c>
      <c r="H3304" s="151" t="s">
        <v>222</v>
      </c>
      <c r="I3304" s="152">
        <v>45836.0</v>
      </c>
      <c r="J3304" s="152">
        <v>45836.0</v>
      </c>
      <c r="K3304" s="68"/>
      <c r="L3304" s="68"/>
      <c r="M3304" s="159" t="s">
        <v>19817</v>
      </c>
      <c r="N3304" s="159" t="s">
        <v>19818</v>
      </c>
      <c r="O3304" s="68"/>
      <c r="P3304" s="573"/>
      <c r="Q3304" s="2430" t="s">
        <v>19819</v>
      </c>
      <c r="R3304" s="159" t="s">
        <v>19767</v>
      </c>
      <c r="S3304" s="159" t="s">
        <v>19768</v>
      </c>
      <c r="T3304" s="68"/>
      <c r="U3304" s="68"/>
      <c r="V3304" s="573"/>
      <c r="W3304" s="1228"/>
      <c r="X3304" s="2429" t="s">
        <v>19781</v>
      </c>
      <c r="Y3304" s="68"/>
      <c r="Z3304" s="159" t="s">
        <v>226</v>
      </c>
      <c r="AA3304" s="159" t="s">
        <v>19820</v>
      </c>
      <c r="AB3304" s="159" t="s">
        <v>19821</v>
      </c>
      <c r="AC3304" s="159" t="s">
        <v>19822</v>
      </c>
      <c r="AD3304" s="159" t="s">
        <v>19823</v>
      </c>
      <c r="AE3304" s="159" t="s">
        <v>19824</v>
      </c>
      <c r="AF3304" s="156">
        <v>75.0</v>
      </c>
      <c r="AG3304" s="156">
        <v>0.07</v>
      </c>
      <c r="AH3304" s="159" t="s">
        <v>874</v>
      </c>
      <c r="AI3304" s="159" t="s">
        <v>19824</v>
      </c>
      <c r="AJ3304" s="156">
        <v>0.022</v>
      </c>
      <c r="AK3304" s="159" t="s">
        <v>172</v>
      </c>
      <c r="AL3304" s="159" t="s">
        <v>136</v>
      </c>
      <c r="AM3304" s="159" t="s">
        <v>137</v>
      </c>
      <c r="AN3304" s="159" t="s">
        <v>138</v>
      </c>
      <c r="AO3304" s="156">
        <v>187.0</v>
      </c>
      <c r="AP3304" s="156">
        <v>0.03</v>
      </c>
      <c r="AQ3304" s="159" t="s">
        <v>173</v>
      </c>
      <c r="AR3304" s="159" t="s">
        <v>307</v>
      </c>
      <c r="AS3304" s="336">
        <v>0.47</v>
      </c>
      <c r="AT3304" s="68" t="s">
        <v>172</v>
      </c>
      <c r="AU3304" s="68" t="s">
        <v>136</v>
      </c>
      <c r="AV3304" s="68" t="s">
        <v>137</v>
      </c>
      <c r="AW3304" s="435" t="s">
        <v>19774</v>
      </c>
      <c r="AX3304" s="159" t="s">
        <v>143</v>
      </c>
      <c r="AY3304" s="61" t="str">
        <f>IFERROR(__xludf.DUMMYFUNCTION("vlookup(BB3304,importrange(""https://docs.google.com/spreadsheets/d/1d2vevQ_7D_v35q4wCQ4RpQ_IPoTwEMB9Yp6ymwlPqew/edit?gid=984458430#gid=984458430"", ""'replication success'!A:K""), 11, FAlSE)"),"#N/A")</f>
        <v>#N/A</v>
      </c>
      <c r="AZ3304" s="61" t="str">
        <f>IFERROR(__xludf.DUMMYFUNCTION("vlookup(BB3304,importrange(""https://docs.google.com/spreadsheets/d/1d2vevQ_7D_v35q4wCQ4RpQ_IPoTwEMB9Yp6ymwlPqew/edit?gid=984458430#gid=984458430"", ""'replication success'!A:M""), 12, FAlSE)"),"#N/A")</f>
        <v>#N/A</v>
      </c>
      <c r="BA3304" s="61" t="str">
        <f>IFERROR(__xludf.DUMMYFUNCTION("vlookup(BB3304,importrange(""https://docs.google.com/spreadsheets/d/1d2vevQ_7D_v35q4wCQ4RpQ_IPoTwEMB9Yp6ymwlPqew/edit?gid=984458430#gid=984458430"", ""'replication success'!A:M""), 13, FAlSE)"),"#N/A")</f>
        <v>#N/A</v>
      </c>
      <c r="BB3304" s="61" t="str">
        <f>IFERROR(__xludf.DUMMYFUNCTION("REGEXREPLACE(G3304, ""_[a-z]{1,2}$"", """")"),"ManyLabs5")</f>
        <v>ManyLabs5</v>
      </c>
      <c r="BC3304" s="68"/>
      <c r="BD3304" s="68"/>
      <c r="BE3304" s="68"/>
      <c r="BF3304" s="68"/>
      <c r="BG3304" s="68"/>
      <c r="BH3304" s="68"/>
      <c r="BI3304" s="68"/>
      <c r="BJ3304" s="68"/>
      <c r="BK3304" s="68"/>
      <c r="BL3304" s="68"/>
      <c r="BM3304" s="68"/>
      <c r="BN3304" s="68"/>
      <c r="BO3304" s="68"/>
      <c r="BP3304" s="68"/>
      <c r="BQ3304" s="68"/>
      <c r="BR3304" s="68"/>
      <c r="BS3304" s="68"/>
      <c r="BT3304" s="68"/>
      <c r="BU3304" s="68"/>
      <c r="BV3304" s="68"/>
      <c r="BW3304" s="68"/>
      <c r="BX3304" s="68"/>
      <c r="BY3304" s="68"/>
      <c r="BZ3304" s="68"/>
      <c r="CA3304" s="68"/>
      <c r="CB3304" s="68"/>
      <c r="CC3304" s="68"/>
      <c r="CD3304" s="68"/>
      <c r="CE3304" s="68"/>
      <c r="CF3304" s="68"/>
      <c r="CG3304" s="68"/>
      <c r="CH3304" s="68"/>
      <c r="CI3304" s="68"/>
      <c r="CJ3304" s="68"/>
      <c r="CK3304" s="68"/>
      <c r="CL3304" s="68"/>
      <c r="CM3304" s="68"/>
      <c r="CN3304" s="68"/>
      <c r="CO3304" s="68"/>
      <c r="CP3304" s="68"/>
      <c r="CQ3304" s="68"/>
      <c r="CR3304" s="68"/>
      <c r="CS3304" s="68"/>
      <c r="CT3304" s="68"/>
      <c r="CU3304" s="68"/>
      <c r="CV3304" s="68"/>
      <c r="CW3304" s="68"/>
      <c r="CX3304" s="68"/>
      <c r="CY3304" s="68"/>
      <c r="CZ3304" s="68"/>
      <c r="DA3304" s="68"/>
      <c r="DB3304" s="68"/>
      <c r="DC3304" s="68"/>
      <c r="DD3304" s="68"/>
      <c r="DE3304" s="68"/>
      <c r="DF3304" s="68"/>
      <c r="DG3304" s="68"/>
      <c r="DH3304" s="68"/>
    </row>
    <row r="3305">
      <c r="A3305" s="44">
        <v>3305.0</v>
      </c>
      <c r="B3305" s="129" t="s">
        <v>285</v>
      </c>
      <c r="C3305" s="62" t="s">
        <v>115</v>
      </c>
      <c r="D3305" s="62" t="s">
        <v>221</v>
      </c>
      <c r="F3305" s="68" t="s">
        <v>19763</v>
      </c>
      <c r="G3305" s="159" t="s">
        <v>19825</v>
      </c>
      <c r="H3305" s="151" t="s">
        <v>222</v>
      </c>
      <c r="I3305" s="152">
        <v>45837.0</v>
      </c>
      <c r="J3305" s="152">
        <v>45836.0</v>
      </c>
      <c r="K3305" s="68"/>
      <c r="L3305" s="68"/>
      <c r="M3305" s="159" t="s">
        <v>19817</v>
      </c>
      <c r="N3305" s="159" t="s">
        <v>19818</v>
      </c>
      <c r="O3305" s="68"/>
      <c r="P3305" s="573"/>
      <c r="Q3305" s="2430" t="s">
        <v>19819</v>
      </c>
      <c r="R3305" s="159" t="s">
        <v>19767</v>
      </c>
      <c r="S3305" s="159" t="s">
        <v>19768</v>
      </c>
      <c r="T3305" s="68"/>
      <c r="U3305" s="68"/>
      <c r="V3305" s="573"/>
      <c r="W3305" s="1228"/>
      <c r="X3305" s="2429" t="s">
        <v>19781</v>
      </c>
      <c r="Y3305" s="68"/>
      <c r="Z3305" s="159" t="s">
        <v>226</v>
      </c>
      <c r="AA3305" s="159" t="s">
        <v>19820</v>
      </c>
      <c r="AB3305" s="159" t="s">
        <v>19821</v>
      </c>
      <c r="AC3305" s="159" t="s">
        <v>19826</v>
      </c>
      <c r="AD3305" s="159" t="s">
        <v>19827</v>
      </c>
      <c r="AE3305" s="159" t="s">
        <v>19824</v>
      </c>
      <c r="AF3305" s="156">
        <v>75.0</v>
      </c>
      <c r="AG3305" s="156">
        <v>0.07</v>
      </c>
      <c r="AH3305" s="159" t="s">
        <v>874</v>
      </c>
      <c r="AI3305" s="159" t="s">
        <v>19824</v>
      </c>
      <c r="AJ3305" s="156">
        <v>0.022</v>
      </c>
      <c r="AK3305" s="159" t="s">
        <v>172</v>
      </c>
      <c r="AL3305" s="159" t="s">
        <v>136</v>
      </c>
      <c r="AM3305" s="159" t="s">
        <v>137</v>
      </c>
      <c r="AN3305" s="159" t="s">
        <v>138</v>
      </c>
      <c r="AO3305" s="156">
        <v>260.0</v>
      </c>
      <c r="AP3305" s="156">
        <v>0.05</v>
      </c>
      <c r="AQ3305" s="159" t="s">
        <v>173</v>
      </c>
      <c r="AR3305" s="159" t="s">
        <v>307</v>
      </c>
      <c r="AS3305" s="336">
        <v>0.27</v>
      </c>
      <c r="AT3305" s="68" t="s">
        <v>172</v>
      </c>
      <c r="AU3305" s="68" t="s">
        <v>136</v>
      </c>
      <c r="AV3305" s="68" t="s">
        <v>137</v>
      </c>
      <c r="AW3305" s="435" t="s">
        <v>19774</v>
      </c>
      <c r="AX3305" s="68" t="s">
        <v>143</v>
      </c>
      <c r="AY3305" s="61" t="str">
        <f>IFERROR(__xludf.DUMMYFUNCTION("vlookup(BB3305,importrange(""https://docs.google.com/spreadsheets/d/1d2vevQ_7D_v35q4wCQ4RpQ_IPoTwEMB9Yp6ymwlPqew/edit?gid=984458430#gid=984458430"", ""'replication success'!A:K""), 11, FAlSE)"),"#N/A")</f>
        <v>#N/A</v>
      </c>
      <c r="AZ3305" s="61" t="str">
        <f>IFERROR(__xludf.DUMMYFUNCTION("vlookup(BB3305,importrange(""https://docs.google.com/spreadsheets/d/1d2vevQ_7D_v35q4wCQ4RpQ_IPoTwEMB9Yp6ymwlPqew/edit?gid=984458430#gid=984458430"", ""'replication success'!A:M""), 12, FAlSE)"),"#N/A")</f>
        <v>#N/A</v>
      </c>
      <c r="BA3305" s="61" t="str">
        <f>IFERROR(__xludf.DUMMYFUNCTION("vlookup(BB3305,importrange(""https://docs.google.com/spreadsheets/d/1d2vevQ_7D_v35q4wCQ4RpQ_IPoTwEMB9Yp6ymwlPqew/edit?gid=984458430#gid=984458430"", ""'replication success'!A:M""), 13, FAlSE)"),"#N/A")</f>
        <v>#N/A</v>
      </c>
      <c r="BB3305" s="61" t="str">
        <f>IFERROR(__xludf.DUMMYFUNCTION("REGEXREPLACE(G3305, ""_[a-z]{1,2}$"", """")"),"ManyLabs5")</f>
        <v>ManyLabs5</v>
      </c>
      <c r="BC3305" s="68"/>
      <c r="BD3305" s="68"/>
      <c r="BE3305" s="68"/>
      <c r="BF3305" s="68"/>
      <c r="BG3305" s="68"/>
      <c r="BH3305" s="68"/>
      <c r="BI3305" s="68"/>
      <c r="BJ3305" s="68"/>
      <c r="BK3305" s="68"/>
      <c r="BL3305" s="68"/>
      <c r="BM3305" s="68"/>
      <c r="BN3305" s="68"/>
      <c r="BO3305" s="68"/>
      <c r="BP3305" s="68"/>
      <c r="BQ3305" s="68"/>
      <c r="BR3305" s="68"/>
      <c r="BS3305" s="68"/>
      <c r="BT3305" s="68"/>
      <c r="BU3305" s="68"/>
      <c r="BV3305" s="68"/>
      <c r="BW3305" s="68"/>
      <c r="BX3305" s="68"/>
      <c r="BY3305" s="68"/>
      <c r="BZ3305" s="68"/>
      <c r="CA3305" s="68"/>
      <c r="CB3305" s="68"/>
      <c r="CC3305" s="68"/>
      <c r="CD3305" s="68"/>
      <c r="CE3305" s="68"/>
      <c r="CF3305" s="68"/>
      <c r="CG3305" s="68"/>
      <c r="CH3305" s="68"/>
      <c r="CI3305" s="68"/>
      <c r="CJ3305" s="68"/>
      <c r="CK3305" s="68"/>
      <c r="CL3305" s="68"/>
      <c r="CM3305" s="68"/>
      <c r="CN3305" s="68"/>
      <c r="CO3305" s="68"/>
      <c r="CP3305" s="68"/>
      <c r="CQ3305" s="68"/>
      <c r="CR3305" s="68"/>
      <c r="CS3305" s="68"/>
      <c r="CT3305" s="68"/>
      <c r="CU3305" s="68"/>
      <c r="CV3305" s="68"/>
      <c r="CW3305" s="68"/>
      <c r="CX3305" s="68"/>
      <c r="CY3305" s="68"/>
      <c r="CZ3305" s="68"/>
      <c r="DA3305" s="68"/>
      <c r="DB3305" s="68"/>
      <c r="DC3305" s="68"/>
      <c r="DD3305" s="68"/>
      <c r="DE3305" s="68"/>
      <c r="DF3305" s="68"/>
      <c r="DG3305" s="68"/>
      <c r="DH3305" s="68"/>
    </row>
    <row r="3306">
      <c r="A3306" s="44">
        <v>3306.0</v>
      </c>
      <c r="B3306" s="129" t="s">
        <v>285</v>
      </c>
      <c r="C3306" s="62" t="s">
        <v>115</v>
      </c>
      <c r="D3306" s="62" t="s">
        <v>221</v>
      </c>
      <c r="F3306" s="68" t="s">
        <v>19763</v>
      </c>
      <c r="G3306" s="159" t="s">
        <v>19828</v>
      </c>
      <c r="H3306" s="151" t="s">
        <v>222</v>
      </c>
      <c r="I3306" s="152">
        <v>45837.0</v>
      </c>
      <c r="J3306" s="152">
        <v>45838.0</v>
      </c>
      <c r="K3306" s="68"/>
      <c r="L3306" s="159" t="s">
        <v>19829</v>
      </c>
      <c r="M3306" s="159" t="s">
        <v>19830</v>
      </c>
      <c r="N3306" s="159" t="s">
        <v>19831</v>
      </c>
      <c r="O3306" s="68"/>
      <c r="P3306" s="573"/>
      <c r="Q3306" s="2430" t="s">
        <v>19832</v>
      </c>
      <c r="R3306" s="159" t="s">
        <v>19767</v>
      </c>
      <c r="S3306" s="159" t="s">
        <v>19768</v>
      </c>
      <c r="T3306" s="68"/>
      <c r="U3306" s="68"/>
      <c r="V3306" s="573"/>
      <c r="W3306" s="1228"/>
      <c r="X3306" s="2429" t="s">
        <v>19781</v>
      </c>
      <c r="Y3306" s="68"/>
      <c r="Z3306" s="159" t="s">
        <v>148</v>
      </c>
      <c r="AA3306" s="159" t="s">
        <v>19833</v>
      </c>
      <c r="AB3306" s="159" t="s">
        <v>19834</v>
      </c>
      <c r="AC3306" s="159" t="s">
        <v>19835</v>
      </c>
      <c r="AD3306" s="159" t="s">
        <v>19836</v>
      </c>
      <c r="AE3306" s="159" t="s">
        <v>19824</v>
      </c>
      <c r="AF3306" s="156">
        <v>30.0</v>
      </c>
      <c r="AG3306" s="156">
        <v>0.37</v>
      </c>
      <c r="AH3306" s="159" t="s">
        <v>1256</v>
      </c>
      <c r="AI3306" s="159" t="s">
        <v>19824</v>
      </c>
      <c r="AJ3306" s="156">
        <v>0.05</v>
      </c>
      <c r="AK3306" s="159" t="s">
        <v>135</v>
      </c>
      <c r="AL3306" s="159" t="s">
        <v>136</v>
      </c>
      <c r="AM3306" s="159" t="s">
        <v>137</v>
      </c>
      <c r="AN3306" s="159" t="s">
        <v>138</v>
      </c>
      <c r="AO3306" s="156">
        <v>189.0</v>
      </c>
      <c r="AP3306" s="156">
        <v>-0.02</v>
      </c>
      <c r="AQ3306" s="159" t="s">
        <v>1256</v>
      </c>
      <c r="AR3306" s="159" t="s">
        <v>307</v>
      </c>
      <c r="AS3306" s="336">
        <v>0.78</v>
      </c>
      <c r="AT3306" s="68" t="s">
        <v>172</v>
      </c>
      <c r="AU3306" s="68" t="s">
        <v>136</v>
      </c>
      <c r="AV3306" s="68" t="s">
        <v>137</v>
      </c>
      <c r="AW3306" s="435" t="s">
        <v>19774</v>
      </c>
      <c r="AX3306" s="68" t="s">
        <v>143</v>
      </c>
      <c r="AY3306" s="61" t="str">
        <f>IFERROR(__xludf.DUMMYFUNCTION("vlookup(BB3306,importrange(""https://docs.google.com/spreadsheets/d/1d2vevQ_7D_v35q4wCQ4RpQ_IPoTwEMB9Yp6ymwlPqew/edit?gid=984458430#gid=984458430"", ""'replication success'!A:K""), 11, FAlSE)"),"#N/A")</f>
        <v>#N/A</v>
      </c>
      <c r="AZ3306" s="61" t="str">
        <f>IFERROR(__xludf.DUMMYFUNCTION("vlookup(BB3306,importrange(""https://docs.google.com/spreadsheets/d/1d2vevQ_7D_v35q4wCQ4RpQ_IPoTwEMB9Yp6ymwlPqew/edit?gid=984458430#gid=984458430"", ""'replication success'!A:M""), 12, FAlSE)"),"#N/A")</f>
        <v>#N/A</v>
      </c>
      <c r="BA3306" s="61" t="str">
        <f>IFERROR(__xludf.DUMMYFUNCTION("vlookup(BB3306,importrange(""https://docs.google.com/spreadsheets/d/1d2vevQ_7D_v35q4wCQ4RpQ_IPoTwEMB9Yp6ymwlPqew/edit?gid=984458430#gid=984458430"", ""'replication success'!A:M""), 13, FAlSE)"),"#N/A")</f>
        <v>#N/A</v>
      </c>
      <c r="BB3306" s="61" t="str">
        <f>IFERROR(__xludf.DUMMYFUNCTION("REGEXREPLACE(G3306, ""_[a-z]{1,2}$"", """")"),"ManyLabs5")</f>
        <v>ManyLabs5</v>
      </c>
      <c r="BC3306" s="68"/>
      <c r="BD3306" s="68"/>
      <c r="BE3306" s="68"/>
      <c r="BF3306" s="68"/>
      <c r="BG3306" s="68"/>
      <c r="BH3306" s="68"/>
      <c r="BI3306" s="68"/>
      <c r="BJ3306" s="68"/>
      <c r="BK3306" s="68"/>
      <c r="BL3306" s="68"/>
      <c r="BM3306" s="68"/>
      <c r="BN3306" s="68"/>
      <c r="BO3306" s="68"/>
      <c r="BP3306" s="68"/>
      <c r="BQ3306" s="68"/>
      <c r="BR3306" s="68"/>
      <c r="BS3306" s="68"/>
      <c r="BT3306" s="68"/>
      <c r="BU3306" s="68"/>
      <c r="BV3306" s="68"/>
      <c r="BW3306" s="68"/>
      <c r="BX3306" s="68"/>
      <c r="BY3306" s="68"/>
      <c r="BZ3306" s="68"/>
      <c r="CA3306" s="68"/>
      <c r="CB3306" s="68"/>
      <c r="CC3306" s="68"/>
      <c r="CD3306" s="68"/>
      <c r="CE3306" s="68"/>
      <c r="CF3306" s="68"/>
      <c r="CG3306" s="68"/>
      <c r="CH3306" s="68"/>
      <c r="CI3306" s="68"/>
      <c r="CJ3306" s="68"/>
      <c r="CK3306" s="68"/>
      <c r="CL3306" s="68"/>
      <c r="CM3306" s="68"/>
      <c r="CN3306" s="68"/>
      <c r="CO3306" s="68"/>
      <c r="CP3306" s="68"/>
      <c r="CQ3306" s="68"/>
      <c r="CR3306" s="68"/>
      <c r="CS3306" s="68"/>
      <c r="CT3306" s="68"/>
      <c r="CU3306" s="68"/>
      <c r="CV3306" s="68"/>
      <c r="CW3306" s="68"/>
      <c r="CX3306" s="68"/>
      <c r="CY3306" s="68"/>
      <c r="CZ3306" s="68"/>
      <c r="DA3306" s="68"/>
      <c r="DB3306" s="68"/>
      <c r="DC3306" s="68"/>
      <c r="DD3306" s="68"/>
      <c r="DE3306" s="68"/>
      <c r="DF3306" s="68"/>
      <c r="DG3306" s="68"/>
      <c r="DH3306" s="68"/>
    </row>
    <row r="3307">
      <c r="A3307" s="44">
        <v>3307.0</v>
      </c>
      <c r="B3307" s="129" t="s">
        <v>285</v>
      </c>
      <c r="C3307" s="62" t="s">
        <v>115</v>
      </c>
      <c r="D3307" s="62" t="s">
        <v>221</v>
      </c>
      <c r="F3307" s="68" t="s">
        <v>19763</v>
      </c>
      <c r="G3307" s="159" t="s">
        <v>19837</v>
      </c>
      <c r="H3307" s="151" t="s">
        <v>222</v>
      </c>
      <c r="I3307" s="152">
        <v>45837.0</v>
      </c>
      <c r="J3307" s="152">
        <v>45838.0</v>
      </c>
      <c r="K3307" s="68"/>
      <c r="L3307" s="159" t="s">
        <v>19829</v>
      </c>
      <c r="M3307" s="159" t="s">
        <v>19830</v>
      </c>
      <c r="N3307" s="159" t="s">
        <v>19831</v>
      </c>
      <c r="O3307" s="68"/>
      <c r="P3307" s="573"/>
      <c r="Q3307" s="2430" t="s">
        <v>19832</v>
      </c>
      <c r="R3307" s="159" t="s">
        <v>19767</v>
      </c>
      <c r="S3307" s="159" t="s">
        <v>19768</v>
      </c>
      <c r="T3307" s="68"/>
      <c r="U3307" s="68"/>
      <c r="V3307" s="573"/>
      <c r="W3307" s="1228"/>
      <c r="X3307" s="2429" t="s">
        <v>19781</v>
      </c>
      <c r="Y3307" s="68"/>
      <c r="Z3307" s="159" t="s">
        <v>148</v>
      </c>
      <c r="AA3307" s="159" t="s">
        <v>19833</v>
      </c>
      <c r="AB3307" s="159" t="s">
        <v>19834</v>
      </c>
      <c r="AC3307" s="159" t="s">
        <v>19838</v>
      </c>
      <c r="AD3307" s="159" t="s">
        <v>19836</v>
      </c>
      <c r="AE3307" s="159" t="s">
        <v>19824</v>
      </c>
      <c r="AF3307" s="156">
        <v>30.0</v>
      </c>
      <c r="AG3307" s="156">
        <v>0.37</v>
      </c>
      <c r="AH3307" s="159" t="s">
        <v>139</v>
      </c>
      <c r="AI3307" s="159" t="s">
        <v>19824</v>
      </c>
      <c r="AJ3307" s="156">
        <v>0.05</v>
      </c>
      <c r="AK3307" s="159" t="s">
        <v>135</v>
      </c>
      <c r="AL3307" s="159" t="s">
        <v>136</v>
      </c>
      <c r="AM3307" s="159" t="s">
        <v>137</v>
      </c>
      <c r="AN3307" s="159" t="s">
        <v>138</v>
      </c>
      <c r="AO3307" s="156">
        <v>260.0</v>
      </c>
      <c r="AP3307" s="336">
        <v>-0.02</v>
      </c>
      <c r="AQ3307" s="159" t="s">
        <v>1256</v>
      </c>
      <c r="AR3307" s="159" t="s">
        <v>307</v>
      </c>
      <c r="AS3307" s="156">
        <v>0.79</v>
      </c>
      <c r="AT3307" s="68" t="s">
        <v>172</v>
      </c>
      <c r="AU3307" s="68" t="s">
        <v>136</v>
      </c>
      <c r="AV3307" s="68" t="s">
        <v>137</v>
      </c>
      <c r="AW3307" s="435" t="s">
        <v>19774</v>
      </c>
      <c r="AX3307" s="68" t="s">
        <v>143</v>
      </c>
      <c r="AY3307" s="61" t="str">
        <f>IFERROR(__xludf.DUMMYFUNCTION("vlookup(BB3307,importrange(""https://docs.google.com/spreadsheets/d/1d2vevQ_7D_v35q4wCQ4RpQ_IPoTwEMB9Yp6ymwlPqew/edit?gid=984458430#gid=984458430"", ""'replication success'!A:K""), 11, FAlSE)"),"#N/A")</f>
        <v>#N/A</v>
      </c>
      <c r="AZ3307" s="61" t="str">
        <f>IFERROR(__xludf.DUMMYFUNCTION("vlookup(BB3307,importrange(""https://docs.google.com/spreadsheets/d/1d2vevQ_7D_v35q4wCQ4RpQ_IPoTwEMB9Yp6ymwlPqew/edit?gid=984458430#gid=984458430"", ""'replication success'!A:M""), 12, FAlSE)"),"#N/A")</f>
        <v>#N/A</v>
      </c>
      <c r="BA3307" s="61" t="str">
        <f>IFERROR(__xludf.DUMMYFUNCTION("vlookup(BB3307,importrange(""https://docs.google.com/spreadsheets/d/1d2vevQ_7D_v35q4wCQ4RpQ_IPoTwEMB9Yp6ymwlPqew/edit?gid=984458430#gid=984458430"", ""'replication success'!A:M""), 13, FAlSE)"),"#N/A")</f>
        <v>#N/A</v>
      </c>
      <c r="BB3307" s="61" t="str">
        <f>IFERROR(__xludf.DUMMYFUNCTION("REGEXREPLACE(G3307, ""_[a-z]{1,2}$"", """")"),"ManyLabs5")</f>
        <v>ManyLabs5</v>
      </c>
      <c r="BC3307" s="68"/>
      <c r="BD3307" s="68"/>
      <c r="BE3307" s="68"/>
      <c r="BF3307" s="68"/>
      <c r="BG3307" s="68"/>
      <c r="BH3307" s="68"/>
      <c r="BI3307" s="68"/>
      <c r="BJ3307" s="68"/>
      <c r="BK3307" s="68"/>
      <c r="BL3307" s="68"/>
      <c r="BM3307" s="68"/>
      <c r="BN3307" s="68"/>
      <c r="BO3307" s="68"/>
      <c r="BP3307" s="68"/>
      <c r="BQ3307" s="68"/>
      <c r="BR3307" s="68"/>
      <c r="BS3307" s="68"/>
      <c r="BT3307" s="68"/>
      <c r="BU3307" s="68"/>
      <c r="BV3307" s="68"/>
      <c r="BW3307" s="68"/>
      <c r="BX3307" s="68"/>
      <c r="BY3307" s="68"/>
      <c r="BZ3307" s="68"/>
      <c r="CA3307" s="68"/>
      <c r="CB3307" s="68"/>
      <c r="CC3307" s="68"/>
      <c r="CD3307" s="68"/>
      <c r="CE3307" s="68"/>
      <c r="CF3307" s="68"/>
      <c r="CG3307" s="68"/>
      <c r="CH3307" s="68"/>
      <c r="CI3307" s="68"/>
      <c r="CJ3307" s="68"/>
      <c r="CK3307" s="68"/>
      <c r="CL3307" s="68"/>
      <c r="CM3307" s="68"/>
      <c r="CN3307" s="68"/>
      <c r="CO3307" s="68"/>
      <c r="CP3307" s="68"/>
      <c r="CQ3307" s="68"/>
      <c r="CR3307" s="68"/>
      <c r="CS3307" s="68"/>
      <c r="CT3307" s="68"/>
      <c r="CU3307" s="68"/>
      <c r="CV3307" s="68"/>
      <c r="CW3307" s="68"/>
      <c r="CX3307" s="68"/>
      <c r="CY3307" s="68"/>
      <c r="CZ3307" s="68"/>
      <c r="DA3307" s="68"/>
      <c r="DB3307" s="68"/>
      <c r="DC3307" s="68"/>
      <c r="DD3307" s="68"/>
      <c r="DE3307" s="68"/>
      <c r="DF3307" s="68"/>
      <c r="DG3307" s="68"/>
      <c r="DH3307" s="68"/>
    </row>
    <row r="3308">
      <c r="A3308" s="44">
        <v>3308.0</v>
      </c>
      <c r="B3308" s="129" t="s">
        <v>285</v>
      </c>
      <c r="C3308" s="62" t="s">
        <v>115</v>
      </c>
      <c r="D3308" s="62" t="s">
        <v>221</v>
      </c>
      <c r="F3308" s="68" t="s">
        <v>19763</v>
      </c>
      <c r="G3308" s="159" t="s">
        <v>19839</v>
      </c>
      <c r="H3308" s="151" t="s">
        <v>222</v>
      </c>
      <c r="I3308" s="152">
        <v>45837.0</v>
      </c>
      <c r="J3308" s="152">
        <v>45837.0</v>
      </c>
      <c r="K3308" s="68"/>
      <c r="L3308" s="68"/>
      <c r="M3308" s="159" t="s">
        <v>19840</v>
      </c>
      <c r="N3308" s="159" t="s">
        <v>19841</v>
      </c>
      <c r="O3308" s="68"/>
      <c r="P3308" s="573"/>
      <c r="Q3308" s="2430" t="s">
        <v>19842</v>
      </c>
      <c r="R3308" s="159" t="s">
        <v>19767</v>
      </c>
      <c r="S3308" s="159" t="s">
        <v>19768</v>
      </c>
      <c r="T3308" s="68"/>
      <c r="U3308" s="68"/>
      <c r="V3308" s="573"/>
      <c r="W3308" s="1228"/>
      <c r="X3308" s="2429" t="s">
        <v>19781</v>
      </c>
      <c r="Y3308" s="68"/>
      <c r="Z3308" s="159" t="s">
        <v>226</v>
      </c>
      <c r="AA3308" s="159" t="s">
        <v>19843</v>
      </c>
      <c r="AB3308" s="68" t="s">
        <v>19844</v>
      </c>
      <c r="AC3308" s="159" t="s">
        <v>19845</v>
      </c>
      <c r="AD3308" s="159" t="s">
        <v>19846</v>
      </c>
      <c r="AE3308" s="159" t="s">
        <v>850</v>
      </c>
      <c r="AF3308" s="156">
        <v>100.0</v>
      </c>
      <c r="AG3308" s="156">
        <v>0.29</v>
      </c>
      <c r="AH3308" s="159" t="s">
        <v>139</v>
      </c>
      <c r="AI3308" s="159" t="s">
        <v>850</v>
      </c>
      <c r="AJ3308" s="156">
        <v>0.001</v>
      </c>
      <c r="AK3308" s="159" t="s">
        <v>135</v>
      </c>
      <c r="AL3308" s="159" t="s">
        <v>136</v>
      </c>
      <c r="AM3308" s="159" t="s">
        <v>137</v>
      </c>
      <c r="AN3308" s="159" t="s">
        <v>138</v>
      </c>
      <c r="AO3308" s="156">
        <v>188.0</v>
      </c>
      <c r="AP3308" s="336">
        <v>0.04</v>
      </c>
      <c r="AQ3308" s="159" t="s">
        <v>173</v>
      </c>
      <c r="AR3308" s="159" t="s">
        <v>307</v>
      </c>
      <c r="AS3308" s="156">
        <v>0.51</v>
      </c>
      <c r="AT3308" s="68" t="s">
        <v>172</v>
      </c>
      <c r="AU3308" s="68" t="s">
        <v>136</v>
      </c>
      <c r="AV3308" s="68" t="s">
        <v>137</v>
      </c>
      <c r="AW3308" s="435" t="s">
        <v>19774</v>
      </c>
      <c r="AX3308" s="68" t="s">
        <v>143</v>
      </c>
      <c r="AY3308" s="61" t="str">
        <f>IFERROR(__xludf.DUMMYFUNCTION("vlookup(BB3308,importrange(""https://docs.google.com/spreadsheets/d/1d2vevQ_7D_v35q4wCQ4RpQ_IPoTwEMB9Yp6ymwlPqew/edit?gid=984458430#gid=984458430"", ""'replication success'!A:K""), 11, FAlSE)"),"#N/A")</f>
        <v>#N/A</v>
      </c>
      <c r="AZ3308" s="61" t="str">
        <f>IFERROR(__xludf.DUMMYFUNCTION("vlookup(BB3308,importrange(""https://docs.google.com/spreadsheets/d/1d2vevQ_7D_v35q4wCQ4RpQ_IPoTwEMB9Yp6ymwlPqew/edit?gid=984458430#gid=984458430"", ""'replication success'!A:M""), 12, FAlSE)"),"#N/A")</f>
        <v>#N/A</v>
      </c>
      <c r="BA3308" s="61" t="str">
        <f>IFERROR(__xludf.DUMMYFUNCTION("vlookup(BB3308,importrange(""https://docs.google.com/spreadsheets/d/1d2vevQ_7D_v35q4wCQ4RpQ_IPoTwEMB9Yp6ymwlPqew/edit?gid=984458430#gid=984458430"", ""'replication success'!A:M""), 13, FAlSE)"),"#N/A")</f>
        <v>#N/A</v>
      </c>
      <c r="BB3308" s="61" t="str">
        <f>IFERROR(__xludf.DUMMYFUNCTION("REGEXREPLACE(G3308, ""_[a-z]{1,2}$"", """")"),"ManyLabs5")</f>
        <v>ManyLabs5</v>
      </c>
      <c r="BC3308" s="68"/>
      <c r="BD3308" s="68"/>
      <c r="BE3308" s="68"/>
      <c r="BF3308" s="68"/>
      <c r="BG3308" s="68"/>
      <c r="BH3308" s="68"/>
      <c r="BI3308" s="68"/>
      <c r="BJ3308" s="68"/>
      <c r="BK3308" s="68"/>
      <c r="BL3308" s="68"/>
      <c r="BM3308" s="68"/>
      <c r="BN3308" s="68"/>
      <c r="BO3308" s="68"/>
      <c r="BP3308" s="68"/>
      <c r="BQ3308" s="68"/>
      <c r="BR3308" s="68"/>
      <c r="BS3308" s="68"/>
      <c r="BT3308" s="68"/>
      <c r="BU3308" s="68"/>
      <c r="BV3308" s="68"/>
      <c r="BW3308" s="68"/>
      <c r="BX3308" s="68"/>
      <c r="BY3308" s="68"/>
      <c r="BZ3308" s="68"/>
      <c r="CA3308" s="68"/>
      <c r="CB3308" s="68"/>
      <c r="CC3308" s="68"/>
      <c r="CD3308" s="68"/>
      <c r="CE3308" s="68"/>
      <c r="CF3308" s="68"/>
      <c r="CG3308" s="68"/>
      <c r="CH3308" s="68"/>
      <c r="CI3308" s="68"/>
      <c r="CJ3308" s="68"/>
      <c r="CK3308" s="68"/>
      <c r="CL3308" s="68"/>
      <c r="CM3308" s="68"/>
      <c r="CN3308" s="68"/>
      <c r="CO3308" s="68"/>
      <c r="CP3308" s="68"/>
      <c r="CQ3308" s="68"/>
      <c r="CR3308" s="68"/>
      <c r="CS3308" s="68"/>
      <c r="CT3308" s="68"/>
      <c r="CU3308" s="68"/>
      <c r="CV3308" s="68"/>
      <c r="CW3308" s="68"/>
      <c r="CX3308" s="68"/>
      <c r="CY3308" s="68"/>
      <c r="CZ3308" s="68"/>
      <c r="DA3308" s="68"/>
      <c r="DB3308" s="68"/>
      <c r="DC3308" s="68"/>
      <c r="DD3308" s="68"/>
      <c r="DE3308" s="68"/>
      <c r="DF3308" s="68"/>
      <c r="DG3308" s="68"/>
      <c r="DH3308" s="68"/>
    </row>
    <row r="3309">
      <c r="A3309" s="44">
        <v>3309.0</v>
      </c>
      <c r="B3309" s="129" t="s">
        <v>285</v>
      </c>
      <c r="C3309" s="62" t="s">
        <v>115</v>
      </c>
      <c r="D3309" s="62" t="s">
        <v>221</v>
      </c>
      <c r="F3309" s="68" t="s">
        <v>19763</v>
      </c>
      <c r="G3309" s="159" t="s">
        <v>19847</v>
      </c>
      <c r="H3309" s="151" t="s">
        <v>222</v>
      </c>
      <c r="I3309" s="152">
        <v>45837.0</v>
      </c>
      <c r="J3309" s="152">
        <v>45838.0</v>
      </c>
      <c r="K3309" s="68"/>
      <c r="L3309" s="68"/>
      <c r="M3309" s="159" t="s">
        <v>19840</v>
      </c>
      <c r="N3309" s="159" t="s">
        <v>19841</v>
      </c>
      <c r="O3309" s="68"/>
      <c r="P3309" s="573"/>
      <c r="Q3309" s="2430" t="s">
        <v>19842</v>
      </c>
      <c r="R3309" s="159" t="s">
        <v>19767</v>
      </c>
      <c r="S3309" s="159" t="s">
        <v>19768</v>
      </c>
      <c r="T3309" s="68"/>
      <c r="U3309" s="68"/>
      <c r="V3309" s="573"/>
      <c r="W3309" s="1228"/>
      <c r="X3309" s="2429" t="s">
        <v>19781</v>
      </c>
      <c r="Y3309" s="68"/>
      <c r="Z3309" s="159" t="s">
        <v>226</v>
      </c>
      <c r="AA3309" s="159" t="s">
        <v>19843</v>
      </c>
      <c r="AB3309" s="68" t="s">
        <v>19844</v>
      </c>
      <c r="AC3309" s="159" t="s">
        <v>19848</v>
      </c>
      <c r="AD3309" s="159" t="s">
        <v>19846</v>
      </c>
      <c r="AE3309" s="159" t="s">
        <v>850</v>
      </c>
      <c r="AF3309" s="156">
        <v>100.0</v>
      </c>
      <c r="AG3309" s="156">
        <v>0.29</v>
      </c>
      <c r="AH3309" s="159" t="s">
        <v>139</v>
      </c>
      <c r="AI3309" s="159" t="s">
        <v>850</v>
      </c>
      <c r="AJ3309" s="156">
        <v>0.001</v>
      </c>
      <c r="AK3309" s="159" t="s">
        <v>135</v>
      </c>
      <c r="AL3309" s="159" t="s">
        <v>136</v>
      </c>
      <c r="AM3309" s="159" t="s">
        <v>137</v>
      </c>
      <c r="AN3309" s="159" t="s">
        <v>138</v>
      </c>
      <c r="AO3309" s="156">
        <v>272.0</v>
      </c>
      <c r="AP3309" s="156">
        <v>0.06</v>
      </c>
      <c r="AQ3309" s="159" t="s">
        <v>173</v>
      </c>
      <c r="AR3309" s="159" t="s">
        <v>307</v>
      </c>
      <c r="AS3309" s="156">
        <v>0.31</v>
      </c>
      <c r="AT3309" s="68" t="s">
        <v>172</v>
      </c>
      <c r="AU3309" s="68" t="s">
        <v>136</v>
      </c>
      <c r="AV3309" s="68" t="s">
        <v>137</v>
      </c>
      <c r="AW3309" s="435" t="s">
        <v>19774</v>
      </c>
      <c r="AX3309" s="68" t="s">
        <v>143</v>
      </c>
      <c r="AY3309" s="61" t="str">
        <f>IFERROR(__xludf.DUMMYFUNCTION("vlookup(BB3309,importrange(""https://docs.google.com/spreadsheets/d/1d2vevQ_7D_v35q4wCQ4RpQ_IPoTwEMB9Yp6ymwlPqew/edit?gid=984458430#gid=984458430"", ""'replication success'!A:K""), 11, FAlSE)"),"#N/A")</f>
        <v>#N/A</v>
      </c>
      <c r="AZ3309" s="61" t="str">
        <f>IFERROR(__xludf.DUMMYFUNCTION("vlookup(BB3309,importrange(""https://docs.google.com/spreadsheets/d/1d2vevQ_7D_v35q4wCQ4RpQ_IPoTwEMB9Yp6ymwlPqew/edit?gid=984458430#gid=984458430"", ""'replication success'!A:M""), 12, FAlSE)"),"#N/A")</f>
        <v>#N/A</v>
      </c>
      <c r="BA3309" s="61" t="str">
        <f>IFERROR(__xludf.DUMMYFUNCTION("vlookup(BB3309,importrange(""https://docs.google.com/spreadsheets/d/1d2vevQ_7D_v35q4wCQ4RpQ_IPoTwEMB9Yp6ymwlPqew/edit?gid=984458430#gid=984458430"", ""'replication success'!A:M""), 13, FAlSE)"),"#N/A")</f>
        <v>#N/A</v>
      </c>
      <c r="BB3309" s="61" t="str">
        <f>IFERROR(__xludf.DUMMYFUNCTION("REGEXREPLACE(G3309, ""_[a-z]{1,2}$"", """")"),"ManyLabs5")</f>
        <v>ManyLabs5</v>
      </c>
      <c r="BC3309" s="68"/>
      <c r="BD3309" s="68"/>
      <c r="BE3309" s="68"/>
      <c r="BF3309" s="68"/>
      <c r="BG3309" s="68"/>
      <c r="BH3309" s="68"/>
      <c r="BI3309" s="68"/>
      <c r="BJ3309" s="68"/>
      <c r="BK3309" s="68"/>
      <c r="BL3309" s="68"/>
      <c r="BM3309" s="68"/>
      <c r="BN3309" s="68"/>
      <c r="BO3309" s="68"/>
      <c r="BP3309" s="68"/>
      <c r="BQ3309" s="68"/>
      <c r="BR3309" s="68"/>
      <c r="BS3309" s="68"/>
      <c r="BT3309" s="68"/>
      <c r="BU3309" s="68"/>
      <c r="BV3309" s="68"/>
      <c r="BW3309" s="68"/>
      <c r="BX3309" s="68"/>
      <c r="BY3309" s="68"/>
      <c r="BZ3309" s="68"/>
      <c r="CA3309" s="68"/>
      <c r="CB3309" s="68"/>
      <c r="CC3309" s="68"/>
      <c r="CD3309" s="68"/>
      <c r="CE3309" s="68"/>
      <c r="CF3309" s="68"/>
      <c r="CG3309" s="68"/>
      <c r="CH3309" s="68"/>
      <c r="CI3309" s="68"/>
      <c r="CJ3309" s="68"/>
      <c r="CK3309" s="68"/>
      <c r="CL3309" s="68"/>
      <c r="CM3309" s="68"/>
      <c r="CN3309" s="68"/>
      <c r="CO3309" s="68"/>
      <c r="CP3309" s="68"/>
      <c r="CQ3309" s="68"/>
      <c r="CR3309" s="68"/>
      <c r="CS3309" s="68"/>
      <c r="CT3309" s="68"/>
      <c r="CU3309" s="68"/>
      <c r="CV3309" s="68"/>
      <c r="CW3309" s="68"/>
      <c r="CX3309" s="68"/>
      <c r="CY3309" s="68"/>
      <c r="CZ3309" s="68"/>
      <c r="DA3309" s="68"/>
      <c r="DB3309" s="68"/>
      <c r="DC3309" s="68"/>
      <c r="DD3309" s="68"/>
      <c r="DE3309" s="68"/>
      <c r="DF3309" s="68"/>
      <c r="DG3309" s="68"/>
      <c r="DH3309" s="68"/>
    </row>
    <row r="3310">
      <c r="A3310" s="44">
        <v>3310.0</v>
      </c>
      <c r="B3310" s="129" t="s">
        <v>285</v>
      </c>
      <c r="C3310" s="62" t="s">
        <v>115</v>
      </c>
      <c r="D3310" s="62" t="s">
        <v>221</v>
      </c>
      <c r="F3310" s="68" t="s">
        <v>19763</v>
      </c>
      <c r="G3310" s="159" t="s">
        <v>19849</v>
      </c>
      <c r="H3310" s="151" t="s">
        <v>222</v>
      </c>
      <c r="I3310" s="152">
        <v>45837.0</v>
      </c>
      <c r="J3310" s="152">
        <v>45838.0</v>
      </c>
      <c r="K3310" s="68"/>
      <c r="L3310" s="68"/>
      <c r="M3310" s="159" t="s">
        <v>19840</v>
      </c>
      <c r="N3310" s="159" t="s">
        <v>19841</v>
      </c>
      <c r="O3310" s="68"/>
      <c r="P3310" s="573"/>
      <c r="Q3310" s="2430" t="s">
        <v>19842</v>
      </c>
      <c r="R3310" s="159" t="s">
        <v>19767</v>
      </c>
      <c r="S3310" s="159" t="s">
        <v>19768</v>
      </c>
      <c r="T3310" s="68"/>
      <c r="U3310" s="68"/>
      <c r="V3310" s="573"/>
      <c r="W3310" s="1228"/>
      <c r="X3310" s="2429" t="s">
        <v>19781</v>
      </c>
      <c r="Y3310" s="68"/>
      <c r="Z3310" s="159" t="s">
        <v>226</v>
      </c>
      <c r="AA3310" s="159" t="s">
        <v>19843</v>
      </c>
      <c r="AB3310" s="159" t="s">
        <v>19844</v>
      </c>
      <c r="AC3310" s="159" t="s">
        <v>19850</v>
      </c>
      <c r="AD3310" s="159" t="s">
        <v>19851</v>
      </c>
      <c r="AE3310" s="159" t="s">
        <v>140</v>
      </c>
      <c r="AF3310" s="156">
        <v>120.0</v>
      </c>
      <c r="AG3310" s="156">
        <v>0.34</v>
      </c>
      <c r="AH3310" s="159" t="s">
        <v>139</v>
      </c>
      <c r="AI3310" s="159" t="s">
        <v>140</v>
      </c>
      <c r="AJ3310" s="156">
        <v>0.001</v>
      </c>
      <c r="AK3310" s="159" t="s">
        <v>135</v>
      </c>
      <c r="AL3310" s="159" t="s">
        <v>136</v>
      </c>
      <c r="AM3310" s="159" t="s">
        <v>137</v>
      </c>
      <c r="AN3310" s="159" t="s">
        <v>138</v>
      </c>
      <c r="AO3310" s="156">
        <v>190.0</v>
      </c>
      <c r="AP3310" s="156">
        <v>0.03</v>
      </c>
      <c r="AQ3310" s="159" t="s">
        <v>173</v>
      </c>
      <c r="AR3310" s="159" t="s">
        <v>307</v>
      </c>
      <c r="AS3310" s="156">
        <v>0.63</v>
      </c>
      <c r="AT3310" s="68" t="s">
        <v>172</v>
      </c>
      <c r="AU3310" s="68" t="s">
        <v>136</v>
      </c>
      <c r="AV3310" s="68" t="s">
        <v>137</v>
      </c>
      <c r="AW3310" s="435" t="s">
        <v>19774</v>
      </c>
      <c r="AX3310" s="68" t="s">
        <v>143</v>
      </c>
      <c r="AY3310" s="61" t="str">
        <f>IFERROR(__xludf.DUMMYFUNCTION("vlookup(BB3310,importrange(""https://docs.google.com/spreadsheets/d/1d2vevQ_7D_v35q4wCQ4RpQ_IPoTwEMB9Yp6ymwlPqew/edit?gid=984458430#gid=984458430"", ""'replication success'!A:K""), 11, FAlSE)"),"#N/A")</f>
        <v>#N/A</v>
      </c>
      <c r="AZ3310" s="61" t="str">
        <f>IFERROR(__xludf.DUMMYFUNCTION("vlookup(BB3310,importrange(""https://docs.google.com/spreadsheets/d/1d2vevQ_7D_v35q4wCQ4RpQ_IPoTwEMB9Yp6ymwlPqew/edit?gid=984458430#gid=984458430"", ""'replication success'!A:M""), 12, FAlSE)"),"#N/A")</f>
        <v>#N/A</v>
      </c>
      <c r="BA3310" s="61" t="str">
        <f>IFERROR(__xludf.DUMMYFUNCTION("vlookup(BB3310,importrange(""https://docs.google.com/spreadsheets/d/1d2vevQ_7D_v35q4wCQ4RpQ_IPoTwEMB9Yp6ymwlPqew/edit?gid=984458430#gid=984458430"", ""'replication success'!A:M""), 13, FAlSE)"),"#N/A")</f>
        <v>#N/A</v>
      </c>
      <c r="BB3310" s="61" t="str">
        <f>IFERROR(__xludf.DUMMYFUNCTION("REGEXREPLACE(G3310, ""_[a-z]{1,2}$"", """")"),"ManyLabs5")</f>
        <v>ManyLabs5</v>
      </c>
      <c r="BC3310" s="68"/>
      <c r="BD3310" s="68"/>
      <c r="BE3310" s="68"/>
      <c r="BF3310" s="68"/>
      <c r="BG3310" s="68"/>
      <c r="BH3310" s="68"/>
      <c r="BI3310" s="68"/>
      <c r="BJ3310" s="68"/>
      <c r="BK3310" s="68"/>
      <c r="BL3310" s="68"/>
      <c r="BM3310" s="68"/>
      <c r="BN3310" s="68"/>
      <c r="BO3310" s="68"/>
      <c r="BP3310" s="68"/>
      <c r="BQ3310" s="68"/>
      <c r="BR3310" s="68"/>
      <c r="BS3310" s="68"/>
      <c r="BT3310" s="68"/>
      <c r="BU3310" s="68"/>
      <c r="BV3310" s="68"/>
      <c r="BW3310" s="68"/>
      <c r="BX3310" s="68"/>
      <c r="BY3310" s="68"/>
      <c r="BZ3310" s="68"/>
      <c r="CA3310" s="68"/>
      <c r="CB3310" s="68"/>
      <c r="CC3310" s="68"/>
      <c r="CD3310" s="68"/>
      <c r="CE3310" s="68"/>
      <c r="CF3310" s="68"/>
      <c r="CG3310" s="68"/>
      <c r="CH3310" s="68"/>
      <c r="CI3310" s="68"/>
      <c r="CJ3310" s="68"/>
      <c r="CK3310" s="68"/>
      <c r="CL3310" s="68"/>
      <c r="CM3310" s="68"/>
      <c r="CN3310" s="68"/>
      <c r="CO3310" s="68"/>
      <c r="CP3310" s="68"/>
      <c r="CQ3310" s="68"/>
      <c r="CR3310" s="68"/>
      <c r="CS3310" s="68"/>
      <c r="CT3310" s="68"/>
      <c r="CU3310" s="68"/>
      <c r="CV3310" s="68"/>
      <c r="CW3310" s="68"/>
      <c r="CX3310" s="68"/>
      <c r="CY3310" s="68"/>
      <c r="CZ3310" s="68"/>
      <c r="DA3310" s="68"/>
      <c r="DB3310" s="68"/>
      <c r="DC3310" s="68"/>
      <c r="DD3310" s="68"/>
      <c r="DE3310" s="68"/>
      <c r="DF3310" s="68"/>
      <c r="DG3310" s="68"/>
      <c r="DH3310" s="68"/>
    </row>
    <row r="3311">
      <c r="A3311" s="44">
        <v>3311.0</v>
      </c>
      <c r="B3311" s="129" t="s">
        <v>285</v>
      </c>
      <c r="C3311" s="62" t="s">
        <v>115</v>
      </c>
      <c r="D3311" s="62" t="s">
        <v>221</v>
      </c>
      <c r="F3311" s="68" t="s">
        <v>19763</v>
      </c>
      <c r="G3311" s="159" t="s">
        <v>19852</v>
      </c>
      <c r="H3311" s="151" t="s">
        <v>222</v>
      </c>
      <c r="I3311" s="152">
        <v>45838.0</v>
      </c>
      <c r="J3311" s="152">
        <v>45838.0</v>
      </c>
      <c r="K3311" s="68"/>
      <c r="L3311" s="68"/>
      <c r="M3311" s="159" t="s">
        <v>19840</v>
      </c>
      <c r="N3311" s="159" t="s">
        <v>19841</v>
      </c>
      <c r="O3311" s="68"/>
      <c r="P3311" s="573"/>
      <c r="Q3311" s="2430" t="s">
        <v>19842</v>
      </c>
      <c r="R3311" s="159" t="s">
        <v>19767</v>
      </c>
      <c r="S3311" s="159" t="s">
        <v>19768</v>
      </c>
      <c r="T3311" s="68"/>
      <c r="U3311" s="68"/>
      <c r="V3311" s="573"/>
      <c r="W3311" s="1228"/>
      <c r="X3311" s="2429" t="s">
        <v>19781</v>
      </c>
      <c r="Y3311" s="68"/>
      <c r="Z3311" s="159" t="s">
        <v>226</v>
      </c>
      <c r="AA3311" s="159" t="s">
        <v>19843</v>
      </c>
      <c r="AB3311" s="159" t="s">
        <v>19844</v>
      </c>
      <c r="AC3311" s="159" t="s">
        <v>19853</v>
      </c>
      <c r="AD3311" s="159" t="s">
        <v>19854</v>
      </c>
      <c r="AE3311" s="159" t="s">
        <v>140</v>
      </c>
      <c r="AF3311" s="156">
        <v>120.0</v>
      </c>
      <c r="AG3311" s="156">
        <v>0.34</v>
      </c>
      <c r="AH3311" s="159" t="s">
        <v>139</v>
      </c>
      <c r="AI3311" s="159" t="s">
        <v>140</v>
      </c>
      <c r="AJ3311" s="156">
        <v>0.001</v>
      </c>
      <c r="AK3311" s="159" t="s">
        <v>135</v>
      </c>
      <c r="AL3311" s="159" t="s">
        <v>136</v>
      </c>
      <c r="AM3311" s="159" t="s">
        <v>137</v>
      </c>
      <c r="AN3311" s="159" t="s">
        <v>138</v>
      </c>
      <c r="AO3311" s="156">
        <v>272.0</v>
      </c>
      <c r="AP3311" s="156">
        <v>0.04</v>
      </c>
      <c r="AQ3311" s="159" t="s">
        <v>173</v>
      </c>
      <c r="AR3311" s="159" t="s">
        <v>307</v>
      </c>
      <c r="AS3311" s="156">
        <v>0.47</v>
      </c>
      <c r="AT3311" s="68" t="s">
        <v>172</v>
      </c>
      <c r="AU3311" s="68" t="s">
        <v>136</v>
      </c>
      <c r="AV3311" s="68" t="s">
        <v>137</v>
      </c>
      <c r="AW3311" s="435" t="s">
        <v>19774</v>
      </c>
      <c r="AX3311" s="68" t="s">
        <v>143</v>
      </c>
      <c r="AY3311" s="61" t="str">
        <f>IFERROR(__xludf.DUMMYFUNCTION("vlookup(BB3311,importrange(""https://docs.google.com/spreadsheets/d/1d2vevQ_7D_v35q4wCQ4RpQ_IPoTwEMB9Yp6ymwlPqew/edit?gid=984458430#gid=984458430"", ""'replication success'!A:K""), 11, FAlSE)"),"#N/A")</f>
        <v>#N/A</v>
      </c>
      <c r="AZ3311" s="61" t="str">
        <f>IFERROR(__xludf.DUMMYFUNCTION("vlookup(BB3311,importrange(""https://docs.google.com/spreadsheets/d/1d2vevQ_7D_v35q4wCQ4RpQ_IPoTwEMB9Yp6ymwlPqew/edit?gid=984458430#gid=984458430"", ""'replication success'!A:M""), 12, FAlSE)"),"#N/A")</f>
        <v>#N/A</v>
      </c>
      <c r="BA3311" s="61" t="str">
        <f>IFERROR(__xludf.DUMMYFUNCTION("vlookup(BB3311,importrange(""https://docs.google.com/spreadsheets/d/1d2vevQ_7D_v35q4wCQ4RpQ_IPoTwEMB9Yp6ymwlPqew/edit?gid=984458430#gid=984458430"", ""'replication success'!A:M""), 13, FAlSE)"),"#N/A")</f>
        <v>#N/A</v>
      </c>
      <c r="BB3311" s="61" t="str">
        <f>IFERROR(__xludf.DUMMYFUNCTION("REGEXREPLACE(G3311, ""_[a-z]{1,2}$"", """")"),"ManyLabs5")</f>
        <v>ManyLabs5</v>
      </c>
      <c r="BC3311" s="68"/>
      <c r="BD3311" s="68"/>
      <c r="BE3311" s="68"/>
      <c r="BF3311" s="68"/>
      <c r="BG3311" s="68"/>
      <c r="BH3311" s="68"/>
      <c r="BI3311" s="68"/>
      <c r="BJ3311" s="68"/>
      <c r="BK3311" s="68"/>
      <c r="BL3311" s="68"/>
      <c r="BM3311" s="68"/>
      <c r="BN3311" s="68"/>
      <c r="BO3311" s="68"/>
      <c r="BP3311" s="68"/>
      <c r="BQ3311" s="68"/>
      <c r="BR3311" s="68"/>
      <c r="BS3311" s="68"/>
      <c r="BT3311" s="68"/>
      <c r="BU3311" s="68"/>
      <c r="BV3311" s="68"/>
      <c r="BW3311" s="68"/>
      <c r="BX3311" s="68"/>
      <c r="BY3311" s="68"/>
      <c r="BZ3311" s="68"/>
      <c r="CA3311" s="68"/>
      <c r="CB3311" s="68"/>
      <c r="CC3311" s="68"/>
      <c r="CD3311" s="68"/>
      <c r="CE3311" s="68"/>
      <c r="CF3311" s="68"/>
      <c r="CG3311" s="68"/>
      <c r="CH3311" s="68"/>
      <c r="CI3311" s="68"/>
      <c r="CJ3311" s="68"/>
      <c r="CK3311" s="68"/>
      <c r="CL3311" s="68"/>
      <c r="CM3311" s="68"/>
      <c r="CN3311" s="68"/>
      <c r="CO3311" s="68"/>
      <c r="CP3311" s="68"/>
      <c r="CQ3311" s="68"/>
      <c r="CR3311" s="68"/>
      <c r="CS3311" s="68"/>
      <c r="CT3311" s="68"/>
      <c r="CU3311" s="68"/>
      <c r="CV3311" s="68"/>
      <c r="CW3311" s="68"/>
      <c r="CX3311" s="68"/>
      <c r="CY3311" s="68"/>
      <c r="CZ3311" s="68"/>
      <c r="DA3311" s="68"/>
      <c r="DB3311" s="68"/>
      <c r="DC3311" s="68"/>
      <c r="DD3311" s="68"/>
      <c r="DE3311" s="68"/>
      <c r="DF3311" s="68"/>
      <c r="DG3311" s="68"/>
      <c r="DH3311" s="68"/>
    </row>
    <row r="3312">
      <c r="A3312" s="44">
        <v>3312.0</v>
      </c>
      <c r="B3312" s="129" t="s">
        <v>285</v>
      </c>
      <c r="C3312" s="62" t="s">
        <v>115</v>
      </c>
      <c r="D3312" s="62" t="s">
        <v>221</v>
      </c>
      <c r="F3312" s="68" t="s">
        <v>19763</v>
      </c>
      <c r="G3312" s="159" t="s">
        <v>19855</v>
      </c>
      <c r="H3312" s="151" t="s">
        <v>222</v>
      </c>
      <c r="I3312" s="152">
        <v>45838.0</v>
      </c>
      <c r="J3312" s="152">
        <v>45838.0</v>
      </c>
      <c r="K3312" s="68"/>
      <c r="L3312" s="68"/>
      <c r="M3312" s="159" t="s">
        <v>19840</v>
      </c>
      <c r="N3312" s="159" t="s">
        <v>19841</v>
      </c>
      <c r="O3312" s="68"/>
      <c r="P3312" s="573"/>
      <c r="Q3312" s="2430" t="s">
        <v>19842</v>
      </c>
      <c r="R3312" s="159" t="s">
        <v>19767</v>
      </c>
      <c r="S3312" s="159" t="s">
        <v>19768</v>
      </c>
      <c r="T3312" s="68"/>
      <c r="U3312" s="68"/>
      <c r="V3312" s="573"/>
      <c r="W3312" s="1228"/>
      <c r="X3312" s="2429" t="s">
        <v>19781</v>
      </c>
      <c r="Y3312" s="68"/>
      <c r="Z3312" s="159" t="s">
        <v>226</v>
      </c>
      <c r="AA3312" s="159" t="s">
        <v>19843</v>
      </c>
      <c r="AB3312" s="159" t="s">
        <v>19844</v>
      </c>
      <c r="AC3312" s="159" t="s">
        <v>19856</v>
      </c>
      <c r="AD3312" s="159" t="s">
        <v>19857</v>
      </c>
      <c r="AE3312" s="159" t="s">
        <v>632</v>
      </c>
      <c r="AF3312" s="156">
        <v>100.0</v>
      </c>
      <c r="AG3312" s="156">
        <v>0.3</v>
      </c>
      <c r="AH3312" s="159" t="s">
        <v>139</v>
      </c>
      <c r="AI3312" s="159" t="s">
        <v>632</v>
      </c>
      <c r="AJ3312" s="156">
        <v>0.001</v>
      </c>
      <c r="AK3312" s="159" t="s">
        <v>135</v>
      </c>
      <c r="AL3312" s="159" t="s">
        <v>136</v>
      </c>
      <c r="AM3312" s="159" t="s">
        <v>137</v>
      </c>
      <c r="AN3312" s="159" t="s">
        <v>138</v>
      </c>
      <c r="AO3312" s="156">
        <v>188.0</v>
      </c>
      <c r="AP3312" s="336">
        <v>0.02</v>
      </c>
      <c r="AQ3312" s="159" t="s">
        <v>173</v>
      </c>
      <c r="AR3312" s="159" t="s">
        <v>307</v>
      </c>
      <c r="AS3312" s="156">
        <v>0.79</v>
      </c>
      <c r="AT3312" s="68" t="s">
        <v>172</v>
      </c>
      <c r="AU3312" s="68" t="s">
        <v>136</v>
      </c>
      <c r="AV3312" s="68" t="s">
        <v>137</v>
      </c>
      <c r="AW3312" s="435" t="s">
        <v>19774</v>
      </c>
      <c r="AX3312" s="68" t="s">
        <v>143</v>
      </c>
      <c r="AY3312" s="61" t="str">
        <f>IFERROR(__xludf.DUMMYFUNCTION("vlookup(BB3312,importrange(""https://docs.google.com/spreadsheets/d/1d2vevQ_7D_v35q4wCQ4RpQ_IPoTwEMB9Yp6ymwlPqew/edit?gid=984458430#gid=984458430"", ""'replication success'!A:K""), 11, FAlSE)"),"#N/A")</f>
        <v>#N/A</v>
      </c>
      <c r="AZ3312" s="61" t="str">
        <f>IFERROR(__xludf.DUMMYFUNCTION("vlookup(BB3312,importrange(""https://docs.google.com/spreadsheets/d/1d2vevQ_7D_v35q4wCQ4RpQ_IPoTwEMB9Yp6ymwlPqew/edit?gid=984458430#gid=984458430"", ""'replication success'!A:M""), 12, FAlSE)"),"#N/A")</f>
        <v>#N/A</v>
      </c>
      <c r="BA3312" s="61" t="str">
        <f>IFERROR(__xludf.DUMMYFUNCTION("vlookup(BB3312,importrange(""https://docs.google.com/spreadsheets/d/1d2vevQ_7D_v35q4wCQ4RpQ_IPoTwEMB9Yp6ymwlPqew/edit?gid=984458430#gid=984458430"", ""'replication success'!A:M""), 13, FAlSE)"),"#N/A")</f>
        <v>#N/A</v>
      </c>
      <c r="BB3312" s="61" t="str">
        <f>IFERROR(__xludf.DUMMYFUNCTION("REGEXREPLACE(G3312, ""_[a-z]{1,2}$"", """")"),"ManyLabs5")</f>
        <v>ManyLabs5</v>
      </c>
      <c r="BC3312" s="68"/>
      <c r="BD3312" s="68"/>
      <c r="BE3312" s="68"/>
      <c r="BF3312" s="68"/>
      <c r="BG3312" s="68"/>
      <c r="BH3312" s="68"/>
      <c r="BI3312" s="68"/>
      <c r="BJ3312" s="68"/>
      <c r="BK3312" s="68"/>
      <c r="BL3312" s="68"/>
      <c r="BM3312" s="68"/>
      <c r="BN3312" s="68"/>
      <c r="BO3312" s="68"/>
      <c r="BP3312" s="68"/>
      <c r="BQ3312" s="68"/>
      <c r="BR3312" s="68"/>
      <c r="BS3312" s="68"/>
      <c r="BT3312" s="68"/>
      <c r="BU3312" s="68"/>
      <c r="BV3312" s="68"/>
      <c r="BW3312" s="68"/>
      <c r="BX3312" s="68"/>
      <c r="BY3312" s="68"/>
      <c r="BZ3312" s="68"/>
      <c r="CA3312" s="68"/>
      <c r="CB3312" s="68"/>
      <c r="CC3312" s="68"/>
      <c r="CD3312" s="68"/>
      <c r="CE3312" s="68"/>
      <c r="CF3312" s="68"/>
      <c r="CG3312" s="68"/>
      <c r="CH3312" s="68"/>
      <c r="CI3312" s="68"/>
      <c r="CJ3312" s="68"/>
      <c r="CK3312" s="68"/>
      <c r="CL3312" s="68"/>
      <c r="CM3312" s="68"/>
      <c r="CN3312" s="68"/>
      <c r="CO3312" s="68"/>
      <c r="CP3312" s="68"/>
      <c r="CQ3312" s="68"/>
      <c r="CR3312" s="68"/>
      <c r="CS3312" s="68"/>
      <c r="CT3312" s="68"/>
      <c r="CU3312" s="68"/>
      <c r="CV3312" s="68"/>
      <c r="CW3312" s="68"/>
      <c r="CX3312" s="68"/>
      <c r="CY3312" s="68"/>
      <c r="CZ3312" s="68"/>
      <c r="DA3312" s="68"/>
      <c r="DB3312" s="68"/>
      <c r="DC3312" s="68"/>
      <c r="DD3312" s="68"/>
      <c r="DE3312" s="68"/>
      <c r="DF3312" s="68"/>
      <c r="DG3312" s="68"/>
      <c r="DH3312" s="68"/>
    </row>
    <row r="3313">
      <c r="A3313" s="44">
        <v>3313.0</v>
      </c>
      <c r="B3313" s="129" t="s">
        <v>285</v>
      </c>
      <c r="C3313" s="62" t="s">
        <v>115</v>
      </c>
      <c r="D3313" s="62" t="s">
        <v>221</v>
      </c>
      <c r="F3313" s="68" t="s">
        <v>19763</v>
      </c>
      <c r="G3313" s="159" t="s">
        <v>19858</v>
      </c>
      <c r="H3313" s="151" t="s">
        <v>222</v>
      </c>
      <c r="I3313" s="152">
        <v>45838.0</v>
      </c>
      <c r="J3313" s="152">
        <v>45838.0</v>
      </c>
      <c r="K3313" s="68"/>
      <c r="L3313" s="68"/>
      <c r="M3313" s="159" t="s">
        <v>19840</v>
      </c>
      <c r="N3313" s="159" t="s">
        <v>19841</v>
      </c>
      <c r="O3313" s="68"/>
      <c r="P3313" s="573"/>
      <c r="Q3313" s="2430" t="s">
        <v>19842</v>
      </c>
      <c r="R3313" s="159" t="s">
        <v>19767</v>
      </c>
      <c r="S3313" s="159" t="s">
        <v>19768</v>
      </c>
      <c r="T3313" s="68"/>
      <c r="U3313" s="68"/>
      <c r="V3313" s="573"/>
      <c r="W3313" s="1228"/>
      <c r="X3313" s="2429" t="s">
        <v>19781</v>
      </c>
      <c r="Y3313" s="68"/>
      <c r="Z3313" s="159" t="s">
        <v>226</v>
      </c>
      <c r="AA3313" s="159" t="s">
        <v>19843</v>
      </c>
      <c r="AB3313" s="159" t="s">
        <v>19844</v>
      </c>
      <c r="AC3313" s="159" t="s">
        <v>19859</v>
      </c>
      <c r="AD3313" s="159" t="s">
        <v>19860</v>
      </c>
      <c r="AE3313" s="159" t="s">
        <v>632</v>
      </c>
      <c r="AF3313" s="156">
        <v>100.0</v>
      </c>
      <c r="AG3313" s="156">
        <v>0.3</v>
      </c>
      <c r="AH3313" s="159" t="s">
        <v>139</v>
      </c>
      <c r="AI3313" s="159" t="s">
        <v>632</v>
      </c>
      <c r="AJ3313" s="156">
        <v>0.001</v>
      </c>
      <c r="AK3313" s="159" t="s">
        <v>135</v>
      </c>
      <c r="AL3313" s="159" t="s">
        <v>136</v>
      </c>
      <c r="AM3313" s="159" t="s">
        <v>137</v>
      </c>
      <c r="AN3313" s="159" t="s">
        <v>138</v>
      </c>
      <c r="AO3313" s="156">
        <v>272.0</v>
      </c>
      <c r="AP3313" s="156">
        <v>0.04</v>
      </c>
      <c r="AQ3313" s="159" t="s">
        <v>173</v>
      </c>
      <c r="AR3313" s="159" t="s">
        <v>307</v>
      </c>
      <c r="AS3313" s="156">
        <v>0.46</v>
      </c>
      <c r="AT3313" s="68" t="s">
        <v>172</v>
      </c>
      <c r="AU3313" s="68" t="s">
        <v>136</v>
      </c>
      <c r="AV3313" s="68" t="s">
        <v>137</v>
      </c>
      <c r="AW3313" s="435" t="s">
        <v>19774</v>
      </c>
      <c r="AX3313" s="68" t="s">
        <v>143</v>
      </c>
      <c r="AY3313" s="61" t="str">
        <f>IFERROR(__xludf.DUMMYFUNCTION("vlookup(BB3313,importrange(""https://docs.google.com/spreadsheets/d/1d2vevQ_7D_v35q4wCQ4RpQ_IPoTwEMB9Yp6ymwlPqew/edit?gid=984458430#gid=984458430"", ""'replication success'!A:K""), 11, FAlSE)"),"#N/A")</f>
        <v>#N/A</v>
      </c>
      <c r="AZ3313" s="61" t="str">
        <f>IFERROR(__xludf.DUMMYFUNCTION("vlookup(BB3313,importrange(""https://docs.google.com/spreadsheets/d/1d2vevQ_7D_v35q4wCQ4RpQ_IPoTwEMB9Yp6ymwlPqew/edit?gid=984458430#gid=984458430"", ""'replication success'!A:M""), 12, FAlSE)"),"#N/A")</f>
        <v>#N/A</v>
      </c>
      <c r="BA3313" s="61" t="str">
        <f>IFERROR(__xludf.DUMMYFUNCTION("vlookup(BB3313,importrange(""https://docs.google.com/spreadsheets/d/1d2vevQ_7D_v35q4wCQ4RpQ_IPoTwEMB9Yp6ymwlPqew/edit?gid=984458430#gid=984458430"", ""'replication success'!A:M""), 13, FAlSE)"),"#N/A")</f>
        <v>#N/A</v>
      </c>
      <c r="BB3313" s="61" t="str">
        <f>IFERROR(__xludf.DUMMYFUNCTION("REGEXREPLACE(G3313, ""_[a-z]{1,2}$"", """")"),"ManyLabs5")</f>
        <v>ManyLabs5</v>
      </c>
      <c r="BC3313" s="68"/>
      <c r="BD3313" s="68"/>
      <c r="BE3313" s="68"/>
      <c r="BF3313" s="68"/>
      <c r="BG3313" s="68"/>
      <c r="BH3313" s="68"/>
      <c r="BI3313" s="68"/>
      <c r="BJ3313" s="68"/>
      <c r="BK3313" s="68"/>
      <c r="BL3313" s="68"/>
      <c r="BM3313" s="68"/>
      <c r="BN3313" s="68"/>
      <c r="BO3313" s="68"/>
      <c r="BP3313" s="68"/>
      <c r="BQ3313" s="68"/>
      <c r="BR3313" s="68"/>
      <c r="BS3313" s="68"/>
      <c r="BT3313" s="68"/>
      <c r="BU3313" s="68"/>
      <c r="BV3313" s="68"/>
      <c r="BW3313" s="68"/>
      <c r="BX3313" s="68"/>
      <c r="BY3313" s="68"/>
      <c r="BZ3313" s="68"/>
      <c r="CA3313" s="68"/>
      <c r="CB3313" s="68"/>
      <c r="CC3313" s="68"/>
      <c r="CD3313" s="68"/>
      <c r="CE3313" s="68"/>
      <c r="CF3313" s="68"/>
      <c r="CG3313" s="68"/>
      <c r="CH3313" s="68"/>
      <c r="CI3313" s="68"/>
      <c r="CJ3313" s="68"/>
      <c r="CK3313" s="68"/>
      <c r="CL3313" s="68"/>
      <c r="CM3313" s="68"/>
      <c r="CN3313" s="68"/>
      <c r="CO3313" s="68"/>
      <c r="CP3313" s="68"/>
      <c r="CQ3313" s="68"/>
      <c r="CR3313" s="68"/>
      <c r="CS3313" s="68"/>
      <c r="CT3313" s="68"/>
      <c r="CU3313" s="68"/>
      <c r="CV3313" s="68"/>
      <c r="CW3313" s="68"/>
      <c r="CX3313" s="68"/>
      <c r="CY3313" s="68"/>
      <c r="CZ3313" s="68"/>
      <c r="DA3313" s="68"/>
      <c r="DB3313" s="68"/>
      <c r="DC3313" s="68"/>
      <c r="DD3313" s="68"/>
      <c r="DE3313" s="68"/>
      <c r="DF3313" s="68"/>
      <c r="DG3313" s="68"/>
      <c r="DH3313" s="68"/>
    </row>
    <row r="3314">
      <c r="A3314" s="44">
        <v>3314.0</v>
      </c>
      <c r="B3314" s="129"/>
      <c r="C3314" s="62"/>
      <c r="D3314" s="62"/>
      <c r="F3314" s="68"/>
      <c r="G3314" s="159"/>
      <c r="H3314" s="159"/>
      <c r="I3314" s="1287"/>
      <c r="J3314" s="152"/>
      <c r="K3314" s="68"/>
      <c r="L3314" s="68"/>
      <c r="M3314" s="159"/>
      <c r="N3314" s="159"/>
      <c r="O3314" s="68"/>
      <c r="P3314" s="382"/>
      <c r="Q3314" s="2418"/>
      <c r="R3314" s="159"/>
      <c r="S3314" s="159"/>
      <c r="T3314" s="68"/>
      <c r="U3314" s="68"/>
      <c r="V3314" s="382"/>
      <c r="W3314" s="1228"/>
      <c r="X3314" s="2419"/>
      <c r="Y3314" s="159"/>
      <c r="Z3314" s="159"/>
      <c r="AA3314" s="159"/>
      <c r="AB3314" s="159"/>
      <c r="AC3314" s="159"/>
      <c r="AD3314" s="68"/>
      <c r="AE3314" s="68"/>
      <c r="AF3314" s="156"/>
      <c r="AG3314" s="156"/>
      <c r="AH3314" s="159"/>
      <c r="AI3314" s="159"/>
      <c r="AJ3314" s="336"/>
      <c r="AK3314" s="159"/>
      <c r="AL3314" s="159"/>
      <c r="AM3314" s="159"/>
      <c r="AN3314" s="159"/>
      <c r="AO3314" s="156"/>
      <c r="AP3314" s="156"/>
      <c r="AQ3314" s="159"/>
      <c r="AR3314" s="159"/>
      <c r="AS3314" s="156"/>
      <c r="AT3314" s="159"/>
      <c r="AU3314" s="159"/>
      <c r="AV3314" s="159"/>
      <c r="AW3314" s="435"/>
      <c r="AX3314" s="159"/>
      <c r="AY3314" s="61" t="str">
        <f>IFERROR(__xludf.DUMMYFUNCTION("vlookup(BB3314,importrange(""https://docs.google.com/spreadsheets/d/1d2vevQ_7D_v35q4wCQ4RpQ_IPoTwEMB9Yp6ymwlPqew/edit?gid=984458430#gid=984458430"", ""'replication success'!A:K""), 11, FAlSE)"),"#N/A")</f>
        <v>#N/A</v>
      </c>
      <c r="AZ3314" s="61" t="str">
        <f>IFERROR(__xludf.DUMMYFUNCTION("vlookup(BB3314,importrange(""https://docs.google.com/spreadsheets/d/1d2vevQ_7D_v35q4wCQ4RpQ_IPoTwEMB9Yp6ymwlPqew/edit?gid=984458430#gid=984458430"", ""'replication success'!A:M""), 12, FAlSE)"),"#N/A")</f>
        <v>#N/A</v>
      </c>
      <c r="BA3314" s="61" t="str">
        <f>IFERROR(__xludf.DUMMYFUNCTION("vlookup(BB3314,importrange(""https://docs.google.com/spreadsheets/d/1d2vevQ_7D_v35q4wCQ4RpQ_IPoTwEMB9Yp6ymwlPqew/edit?gid=984458430#gid=984458430"", ""'replication success'!A:M""), 13, FAlSE)"),"#N/A")</f>
        <v>#N/A</v>
      </c>
      <c r="BB3314" s="61" t="str">
        <f>IFERROR(__xludf.DUMMYFUNCTION("REGEXREPLACE(G3314, ""_[a-z]{1,2}$"", """")"),"")</f>
        <v/>
      </c>
    </row>
    <row r="3315">
      <c r="A3315" s="44">
        <v>3315.0</v>
      </c>
      <c r="B3315" s="129"/>
      <c r="C3315" s="62"/>
      <c r="D3315" s="62"/>
      <c r="F3315" s="68"/>
      <c r="G3315" s="159"/>
      <c r="H3315" s="159"/>
      <c r="I3315" s="1287"/>
      <c r="J3315" s="152"/>
      <c r="K3315" s="68"/>
      <c r="L3315" s="68"/>
      <c r="M3315" s="159"/>
      <c r="N3315" s="159"/>
      <c r="O3315" s="68"/>
      <c r="P3315" s="382"/>
      <c r="Q3315" s="2418"/>
      <c r="R3315" s="159"/>
      <c r="S3315" s="159"/>
      <c r="T3315" s="68"/>
      <c r="U3315" s="68"/>
      <c r="V3315" s="382"/>
      <c r="W3315" s="1228"/>
      <c r="X3315" s="2419"/>
      <c r="Y3315" s="159"/>
      <c r="Z3315" s="159"/>
      <c r="AA3315" s="159"/>
      <c r="AB3315" s="159"/>
      <c r="AC3315" s="159"/>
      <c r="AD3315" s="68"/>
      <c r="AE3315" s="68"/>
      <c r="AF3315" s="156"/>
      <c r="AG3315" s="156"/>
      <c r="AH3315" s="159"/>
      <c r="AI3315" s="159"/>
      <c r="AJ3315" s="336"/>
      <c r="AK3315" s="159"/>
      <c r="AL3315" s="159"/>
      <c r="AM3315" s="159"/>
      <c r="AN3315" s="159"/>
      <c r="AO3315" s="156"/>
      <c r="AP3315" s="156"/>
      <c r="AQ3315" s="159"/>
      <c r="AR3315" s="159"/>
      <c r="AS3315" s="156"/>
      <c r="AT3315" s="159"/>
      <c r="AU3315" s="159"/>
      <c r="AV3315" s="159"/>
      <c r="AW3315" s="435"/>
      <c r="AX3315" s="159"/>
      <c r="AY3315" s="61" t="str">
        <f>IFERROR(__xludf.DUMMYFUNCTION("vlookup(BB3315,importrange(""https://docs.google.com/spreadsheets/d/1d2vevQ_7D_v35q4wCQ4RpQ_IPoTwEMB9Yp6ymwlPqew/edit?gid=984458430#gid=984458430"", ""'replication success'!A:K""), 11, FAlSE)"),"#N/A")</f>
        <v>#N/A</v>
      </c>
      <c r="AZ3315" s="61" t="str">
        <f>IFERROR(__xludf.DUMMYFUNCTION("vlookup(BB3315,importrange(""https://docs.google.com/spreadsheets/d/1d2vevQ_7D_v35q4wCQ4RpQ_IPoTwEMB9Yp6ymwlPqew/edit?gid=984458430#gid=984458430"", ""'replication success'!A:M""), 12, FAlSE)"),"#N/A")</f>
        <v>#N/A</v>
      </c>
      <c r="BA3315" s="61" t="str">
        <f>IFERROR(__xludf.DUMMYFUNCTION("vlookup(BB3315,importrange(""https://docs.google.com/spreadsheets/d/1d2vevQ_7D_v35q4wCQ4RpQ_IPoTwEMB9Yp6ymwlPqew/edit?gid=984458430#gid=984458430"", ""'replication success'!A:M""), 13, FAlSE)"),"#N/A")</f>
        <v>#N/A</v>
      </c>
      <c r="BB3315" s="61" t="str">
        <f>IFERROR(__xludf.DUMMYFUNCTION("REGEXREPLACE(G3315, ""_[a-z]{1,2}$"", """")"),"")</f>
        <v/>
      </c>
    </row>
    <row r="3316">
      <c r="A3316" s="44">
        <v>3316.0</v>
      </c>
      <c r="B3316" s="129"/>
      <c r="C3316" s="62"/>
      <c r="D3316" s="62"/>
      <c r="F3316" s="68"/>
      <c r="G3316" s="159"/>
      <c r="H3316" s="159"/>
      <c r="I3316" s="1287"/>
      <c r="J3316" s="152"/>
      <c r="K3316" s="68"/>
      <c r="L3316" s="68"/>
      <c r="M3316" s="159"/>
      <c r="N3316" s="159"/>
      <c r="O3316" s="68"/>
      <c r="P3316" s="382"/>
      <c r="Q3316" s="2418"/>
      <c r="R3316" s="159"/>
      <c r="S3316" s="159"/>
      <c r="T3316" s="68"/>
      <c r="U3316" s="68"/>
      <c r="V3316" s="382"/>
      <c r="W3316" s="1228"/>
      <c r="X3316" s="2419"/>
      <c r="Y3316" s="159"/>
      <c r="Z3316" s="159"/>
      <c r="AA3316" s="159"/>
      <c r="AB3316" s="159"/>
      <c r="AC3316" s="159"/>
      <c r="AD3316" s="68"/>
      <c r="AE3316" s="68"/>
      <c r="AF3316" s="156"/>
      <c r="AG3316" s="156"/>
      <c r="AH3316" s="159"/>
      <c r="AI3316" s="159"/>
      <c r="AJ3316" s="336"/>
      <c r="AK3316" s="159"/>
      <c r="AL3316" s="159"/>
      <c r="AM3316" s="159"/>
      <c r="AN3316" s="159"/>
      <c r="AO3316" s="156"/>
      <c r="AP3316" s="156"/>
      <c r="AQ3316" s="159"/>
      <c r="AR3316" s="159"/>
      <c r="AS3316" s="156"/>
      <c r="AT3316" s="159"/>
      <c r="AU3316" s="159"/>
      <c r="AV3316" s="159"/>
      <c r="AW3316" s="435"/>
      <c r="AX3316" s="159"/>
      <c r="AY3316" s="61" t="str">
        <f>IFERROR(__xludf.DUMMYFUNCTION("vlookup(BB3316,importrange(""https://docs.google.com/spreadsheets/d/1d2vevQ_7D_v35q4wCQ4RpQ_IPoTwEMB9Yp6ymwlPqew/edit?gid=984458430#gid=984458430"", ""'replication success'!A:K""), 11, FAlSE)"),"#N/A")</f>
        <v>#N/A</v>
      </c>
      <c r="AZ3316" s="61" t="str">
        <f>IFERROR(__xludf.DUMMYFUNCTION("vlookup(BB3316,importrange(""https://docs.google.com/spreadsheets/d/1d2vevQ_7D_v35q4wCQ4RpQ_IPoTwEMB9Yp6ymwlPqew/edit?gid=984458430#gid=984458430"", ""'replication success'!A:M""), 12, FAlSE)"),"#N/A")</f>
        <v>#N/A</v>
      </c>
      <c r="BA3316" s="61" t="str">
        <f>IFERROR(__xludf.DUMMYFUNCTION("vlookup(BB3316,importrange(""https://docs.google.com/spreadsheets/d/1d2vevQ_7D_v35q4wCQ4RpQ_IPoTwEMB9Yp6ymwlPqew/edit?gid=984458430#gid=984458430"", ""'replication success'!A:M""), 13, FAlSE)"),"#N/A")</f>
        <v>#N/A</v>
      </c>
      <c r="BB3316" s="61" t="str">
        <f>IFERROR(__xludf.DUMMYFUNCTION("REGEXREPLACE(G3316, ""_[a-z]{1,2}$"", """")"),"")</f>
        <v/>
      </c>
    </row>
    <row r="3317">
      <c r="A3317" s="44">
        <v>3317.0</v>
      </c>
      <c r="B3317" s="129"/>
      <c r="C3317" s="62"/>
      <c r="D3317" s="62"/>
      <c r="F3317" s="68"/>
      <c r="G3317" s="159"/>
      <c r="H3317" s="159"/>
      <c r="I3317" s="1287"/>
      <c r="J3317" s="152"/>
      <c r="K3317" s="68"/>
      <c r="L3317" s="68"/>
      <c r="M3317" s="159"/>
      <c r="N3317" s="159"/>
      <c r="O3317" s="68"/>
      <c r="P3317" s="382"/>
      <c r="Q3317" s="2418"/>
      <c r="R3317" s="159"/>
      <c r="S3317" s="159"/>
      <c r="T3317" s="68"/>
      <c r="U3317" s="68"/>
      <c r="V3317" s="382"/>
      <c r="W3317" s="1228"/>
      <c r="X3317" s="2419"/>
      <c r="Y3317" s="159"/>
      <c r="Z3317" s="159"/>
      <c r="AA3317" s="159"/>
      <c r="AB3317" s="159"/>
      <c r="AC3317" s="159"/>
      <c r="AD3317" s="68"/>
      <c r="AE3317" s="68"/>
      <c r="AF3317" s="156"/>
      <c r="AG3317" s="156"/>
      <c r="AH3317" s="159"/>
      <c r="AI3317" s="159"/>
      <c r="AJ3317" s="336"/>
      <c r="AK3317" s="159"/>
      <c r="AL3317" s="159"/>
      <c r="AM3317" s="159"/>
      <c r="AN3317" s="159"/>
      <c r="AO3317" s="156"/>
      <c r="AP3317" s="156"/>
      <c r="AQ3317" s="159"/>
      <c r="AR3317" s="159"/>
      <c r="AS3317" s="156"/>
      <c r="AT3317" s="159"/>
      <c r="AU3317" s="159"/>
      <c r="AV3317" s="159"/>
      <c r="AW3317" s="435"/>
      <c r="AX3317" s="159"/>
      <c r="AY3317" s="61" t="str">
        <f>IFERROR(__xludf.DUMMYFUNCTION("vlookup(BB3317,importrange(""https://docs.google.com/spreadsheets/d/1d2vevQ_7D_v35q4wCQ4RpQ_IPoTwEMB9Yp6ymwlPqew/edit?gid=984458430#gid=984458430"", ""'replication success'!A:K""), 11, FAlSE)"),"#N/A")</f>
        <v>#N/A</v>
      </c>
      <c r="AZ3317" s="61" t="str">
        <f>IFERROR(__xludf.DUMMYFUNCTION("vlookup(BB3317,importrange(""https://docs.google.com/spreadsheets/d/1d2vevQ_7D_v35q4wCQ4RpQ_IPoTwEMB9Yp6ymwlPqew/edit?gid=984458430#gid=984458430"", ""'replication success'!A:M""), 12, FAlSE)"),"#N/A")</f>
        <v>#N/A</v>
      </c>
      <c r="BA3317" s="61" t="str">
        <f>IFERROR(__xludf.DUMMYFUNCTION("vlookup(BB3317,importrange(""https://docs.google.com/spreadsheets/d/1d2vevQ_7D_v35q4wCQ4RpQ_IPoTwEMB9Yp6ymwlPqew/edit?gid=984458430#gid=984458430"", ""'replication success'!A:M""), 13, FAlSE)"),"#N/A")</f>
        <v>#N/A</v>
      </c>
      <c r="BB3317" s="61" t="str">
        <f>IFERROR(__xludf.DUMMYFUNCTION("REGEXREPLACE(G3317, ""_[a-z]{1,2}$"", """")"),"")</f>
        <v/>
      </c>
    </row>
    <row r="3318">
      <c r="A3318" s="44">
        <v>3318.0</v>
      </c>
      <c r="B3318" s="129"/>
      <c r="C3318" s="62"/>
      <c r="D3318" s="62"/>
      <c r="F3318" s="68"/>
      <c r="G3318" s="159"/>
      <c r="H3318" s="159"/>
      <c r="I3318" s="1287"/>
      <c r="J3318" s="152"/>
      <c r="K3318" s="68"/>
      <c r="L3318" s="68"/>
      <c r="M3318" s="159"/>
      <c r="N3318" s="159"/>
      <c r="O3318" s="68"/>
      <c r="P3318" s="382"/>
      <c r="Q3318" s="2418"/>
      <c r="R3318" s="159"/>
      <c r="S3318" s="159"/>
      <c r="T3318" s="68"/>
      <c r="U3318" s="68"/>
      <c r="V3318" s="382"/>
      <c r="W3318" s="1228"/>
      <c r="X3318" s="2419"/>
      <c r="Y3318" s="159"/>
      <c r="Z3318" s="159"/>
      <c r="AA3318" s="159"/>
      <c r="AB3318" s="159"/>
      <c r="AC3318" s="159"/>
      <c r="AD3318" s="68"/>
      <c r="AE3318" s="68"/>
      <c r="AF3318" s="156"/>
      <c r="AG3318" s="156"/>
      <c r="AH3318" s="159"/>
      <c r="AI3318" s="159"/>
      <c r="AJ3318" s="336"/>
      <c r="AK3318" s="159"/>
      <c r="AL3318" s="159"/>
      <c r="AM3318" s="159"/>
      <c r="AN3318" s="159"/>
      <c r="AO3318" s="156"/>
      <c r="AP3318" s="156"/>
      <c r="AQ3318" s="159"/>
      <c r="AR3318" s="159"/>
      <c r="AS3318" s="156"/>
      <c r="AT3318" s="159"/>
      <c r="AU3318" s="159"/>
      <c r="AV3318" s="159"/>
      <c r="AW3318" s="435"/>
      <c r="AX3318" s="159"/>
      <c r="AY3318" s="61" t="str">
        <f>IFERROR(__xludf.DUMMYFUNCTION("vlookup(BB3318,importrange(""https://docs.google.com/spreadsheets/d/1d2vevQ_7D_v35q4wCQ4RpQ_IPoTwEMB9Yp6ymwlPqew/edit?gid=984458430#gid=984458430"", ""'replication success'!A:K""), 11, FAlSE)"),"#N/A")</f>
        <v>#N/A</v>
      </c>
      <c r="AZ3318" s="61" t="str">
        <f>IFERROR(__xludf.DUMMYFUNCTION("vlookup(BB3318,importrange(""https://docs.google.com/spreadsheets/d/1d2vevQ_7D_v35q4wCQ4RpQ_IPoTwEMB9Yp6ymwlPqew/edit?gid=984458430#gid=984458430"", ""'replication success'!A:M""), 12, FAlSE)"),"#N/A")</f>
        <v>#N/A</v>
      </c>
      <c r="BA3318" s="61" t="str">
        <f>IFERROR(__xludf.DUMMYFUNCTION("vlookup(BB3318,importrange(""https://docs.google.com/spreadsheets/d/1d2vevQ_7D_v35q4wCQ4RpQ_IPoTwEMB9Yp6ymwlPqew/edit?gid=984458430#gid=984458430"", ""'replication success'!A:M""), 13, FAlSE)"),"#N/A")</f>
        <v>#N/A</v>
      </c>
      <c r="BB3318" s="61" t="str">
        <f>IFERROR(__xludf.DUMMYFUNCTION("REGEXREPLACE(G3318, ""_[a-z]{1,2}$"", """")"),"")</f>
        <v/>
      </c>
    </row>
    <row r="3319">
      <c r="A3319" s="44">
        <v>3319.0</v>
      </c>
      <c r="B3319" s="129"/>
      <c r="C3319" s="62"/>
      <c r="D3319" s="62"/>
      <c r="F3319" s="68"/>
      <c r="G3319" s="159"/>
      <c r="H3319" s="159"/>
      <c r="I3319" s="1287"/>
      <c r="J3319" s="152"/>
      <c r="K3319" s="68"/>
      <c r="L3319" s="68"/>
      <c r="M3319" s="159"/>
      <c r="N3319" s="159"/>
      <c r="O3319" s="68"/>
      <c r="P3319" s="382"/>
      <c r="Q3319" s="2418"/>
      <c r="R3319" s="159"/>
      <c r="S3319" s="159"/>
      <c r="T3319" s="68"/>
      <c r="U3319" s="68"/>
      <c r="V3319" s="382"/>
      <c r="W3319" s="1228"/>
      <c r="X3319" s="2419"/>
      <c r="Y3319" s="159"/>
      <c r="Z3319" s="159"/>
      <c r="AA3319" s="159"/>
      <c r="AB3319" s="159"/>
      <c r="AC3319" s="159"/>
      <c r="AD3319" s="68"/>
      <c r="AE3319" s="68"/>
      <c r="AF3319" s="156"/>
      <c r="AG3319" s="156"/>
      <c r="AH3319" s="159"/>
      <c r="AI3319" s="159"/>
      <c r="AJ3319" s="336"/>
      <c r="AK3319" s="159"/>
      <c r="AL3319" s="159"/>
      <c r="AM3319" s="159"/>
      <c r="AN3319" s="159"/>
      <c r="AO3319" s="156"/>
      <c r="AP3319" s="156"/>
      <c r="AQ3319" s="159"/>
      <c r="AR3319" s="159"/>
      <c r="AS3319" s="156"/>
      <c r="AT3319" s="159"/>
      <c r="AU3319" s="159"/>
      <c r="AV3319" s="159"/>
      <c r="AW3319" s="435"/>
      <c r="AX3319" s="159"/>
      <c r="AY3319" s="61" t="str">
        <f>IFERROR(__xludf.DUMMYFUNCTION("vlookup(BB3319,importrange(""https://docs.google.com/spreadsheets/d/1d2vevQ_7D_v35q4wCQ4RpQ_IPoTwEMB9Yp6ymwlPqew/edit?gid=984458430#gid=984458430"", ""'replication success'!A:K""), 11, FAlSE)"),"#N/A")</f>
        <v>#N/A</v>
      </c>
      <c r="AZ3319" s="61" t="str">
        <f>IFERROR(__xludf.DUMMYFUNCTION("vlookup(BB3319,importrange(""https://docs.google.com/spreadsheets/d/1d2vevQ_7D_v35q4wCQ4RpQ_IPoTwEMB9Yp6ymwlPqew/edit?gid=984458430#gid=984458430"", ""'replication success'!A:M""), 12, FAlSE)"),"#N/A")</f>
        <v>#N/A</v>
      </c>
      <c r="BA3319" s="61" t="str">
        <f>IFERROR(__xludf.DUMMYFUNCTION("vlookup(BB3319,importrange(""https://docs.google.com/spreadsheets/d/1d2vevQ_7D_v35q4wCQ4RpQ_IPoTwEMB9Yp6ymwlPqew/edit?gid=984458430#gid=984458430"", ""'replication success'!A:M""), 13, FAlSE)"),"#N/A")</f>
        <v>#N/A</v>
      </c>
      <c r="BB3319" s="61" t="str">
        <f>IFERROR(__xludf.DUMMYFUNCTION("REGEXREPLACE(G3319, ""_[a-z]{1,2}$"", """")"),"")</f>
        <v/>
      </c>
    </row>
    <row r="3320">
      <c r="A3320" s="44">
        <v>3320.0</v>
      </c>
      <c r="B3320" s="129"/>
      <c r="C3320" s="62"/>
      <c r="D3320" s="62"/>
      <c r="F3320" s="68"/>
      <c r="G3320" s="159"/>
      <c r="H3320" s="159"/>
      <c r="I3320" s="1287"/>
      <c r="J3320" s="152"/>
      <c r="K3320" s="68"/>
      <c r="L3320" s="68"/>
      <c r="M3320" s="159"/>
      <c r="N3320" s="159"/>
      <c r="O3320" s="68"/>
      <c r="P3320" s="382"/>
      <c r="Q3320" s="2418"/>
      <c r="R3320" s="159"/>
      <c r="S3320" s="159"/>
      <c r="T3320" s="68"/>
      <c r="U3320" s="68"/>
      <c r="V3320" s="382"/>
      <c r="W3320" s="1228"/>
      <c r="X3320" s="2419"/>
      <c r="Y3320" s="159"/>
      <c r="Z3320" s="159"/>
      <c r="AA3320" s="159"/>
      <c r="AB3320" s="159"/>
      <c r="AC3320" s="159"/>
      <c r="AD3320" s="68"/>
      <c r="AE3320" s="68"/>
      <c r="AF3320" s="156"/>
      <c r="AG3320" s="156"/>
      <c r="AH3320" s="159"/>
      <c r="AI3320" s="159"/>
      <c r="AJ3320" s="336"/>
      <c r="AK3320" s="159"/>
      <c r="AL3320" s="159"/>
      <c r="AM3320" s="159"/>
      <c r="AN3320" s="159"/>
      <c r="AO3320" s="156"/>
      <c r="AP3320" s="156"/>
      <c r="AQ3320" s="159"/>
      <c r="AR3320" s="159"/>
      <c r="AS3320" s="156"/>
      <c r="AT3320" s="159"/>
      <c r="AU3320" s="159"/>
      <c r="AV3320" s="159"/>
      <c r="AW3320" s="435"/>
      <c r="AX3320" s="159"/>
      <c r="AY3320" s="61" t="str">
        <f>IFERROR(__xludf.DUMMYFUNCTION("vlookup(BB3320,importrange(""https://docs.google.com/spreadsheets/d/1d2vevQ_7D_v35q4wCQ4RpQ_IPoTwEMB9Yp6ymwlPqew/edit?gid=984458430#gid=984458430"", ""'replication success'!A:K""), 11, FAlSE)"),"#N/A")</f>
        <v>#N/A</v>
      </c>
      <c r="AZ3320" s="61" t="str">
        <f>IFERROR(__xludf.DUMMYFUNCTION("vlookup(BB3320,importrange(""https://docs.google.com/spreadsheets/d/1d2vevQ_7D_v35q4wCQ4RpQ_IPoTwEMB9Yp6ymwlPqew/edit?gid=984458430#gid=984458430"", ""'replication success'!A:M""), 12, FAlSE)"),"#N/A")</f>
        <v>#N/A</v>
      </c>
      <c r="BA3320" s="61" t="str">
        <f>IFERROR(__xludf.DUMMYFUNCTION("vlookup(BB3320,importrange(""https://docs.google.com/spreadsheets/d/1d2vevQ_7D_v35q4wCQ4RpQ_IPoTwEMB9Yp6ymwlPqew/edit?gid=984458430#gid=984458430"", ""'replication success'!A:M""), 13, FAlSE)"),"#N/A")</f>
        <v>#N/A</v>
      </c>
      <c r="BB3320" s="61" t="str">
        <f>IFERROR(__xludf.DUMMYFUNCTION("REGEXREPLACE(G3320, ""_[a-z]{1,2}$"", """")"),"")</f>
        <v/>
      </c>
    </row>
    <row r="3321">
      <c r="A3321" s="44">
        <v>3321.0</v>
      </c>
      <c r="B3321" s="129"/>
      <c r="C3321" s="62"/>
      <c r="D3321" s="62"/>
      <c r="F3321" s="68"/>
      <c r="G3321" s="159"/>
      <c r="H3321" s="159"/>
      <c r="I3321" s="1287"/>
      <c r="J3321" s="152"/>
      <c r="K3321" s="68"/>
      <c r="L3321" s="68"/>
      <c r="M3321" s="159"/>
      <c r="N3321" s="159"/>
      <c r="O3321" s="68"/>
      <c r="P3321" s="382"/>
      <c r="Q3321" s="2418"/>
      <c r="R3321" s="159"/>
      <c r="S3321" s="159"/>
      <c r="T3321" s="68"/>
      <c r="U3321" s="68"/>
      <c r="V3321" s="382"/>
      <c r="W3321" s="1228"/>
      <c r="X3321" s="2419"/>
      <c r="Y3321" s="159"/>
      <c r="Z3321" s="159"/>
      <c r="AA3321" s="159"/>
      <c r="AB3321" s="159"/>
      <c r="AC3321" s="159"/>
      <c r="AD3321" s="68"/>
      <c r="AE3321" s="68"/>
      <c r="AF3321" s="156"/>
      <c r="AG3321" s="156"/>
      <c r="AH3321" s="159"/>
      <c r="AI3321" s="159"/>
      <c r="AJ3321" s="336"/>
      <c r="AK3321" s="159"/>
      <c r="AL3321" s="159"/>
      <c r="AM3321" s="159"/>
      <c r="AN3321" s="159"/>
      <c r="AO3321" s="156"/>
      <c r="AP3321" s="156"/>
      <c r="AQ3321" s="159"/>
      <c r="AR3321" s="159"/>
      <c r="AS3321" s="156"/>
      <c r="AT3321" s="159"/>
      <c r="AU3321" s="159"/>
      <c r="AV3321" s="159"/>
      <c r="AW3321" s="435"/>
      <c r="AX3321" s="159"/>
      <c r="AY3321" s="61" t="str">
        <f>IFERROR(__xludf.DUMMYFUNCTION("vlookup(BB3321,importrange(""https://docs.google.com/spreadsheets/d/1d2vevQ_7D_v35q4wCQ4RpQ_IPoTwEMB9Yp6ymwlPqew/edit?gid=984458430#gid=984458430"", ""'replication success'!A:K""), 11, FAlSE)"),"#N/A")</f>
        <v>#N/A</v>
      </c>
      <c r="AZ3321" s="61" t="str">
        <f>IFERROR(__xludf.DUMMYFUNCTION("vlookup(BB3321,importrange(""https://docs.google.com/spreadsheets/d/1d2vevQ_7D_v35q4wCQ4RpQ_IPoTwEMB9Yp6ymwlPqew/edit?gid=984458430#gid=984458430"", ""'replication success'!A:M""), 12, FAlSE)"),"#N/A")</f>
        <v>#N/A</v>
      </c>
      <c r="BA3321" s="61" t="str">
        <f>IFERROR(__xludf.DUMMYFUNCTION("vlookup(BB3321,importrange(""https://docs.google.com/spreadsheets/d/1d2vevQ_7D_v35q4wCQ4RpQ_IPoTwEMB9Yp6ymwlPqew/edit?gid=984458430#gid=984458430"", ""'replication success'!A:M""), 13, FAlSE)"),"#N/A")</f>
        <v>#N/A</v>
      </c>
      <c r="BB3321" s="61" t="str">
        <f>IFERROR(__xludf.DUMMYFUNCTION("REGEXREPLACE(G3321, ""_[a-z]{1,2}$"", """")"),"")</f>
        <v/>
      </c>
    </row>
    <row r="3322">
      <c r="A3322" s="44">
        <v>3322.0</v>
      </c>
      <c r="B3322" s="129"/>
      <c r="C3322" s="62"/>
      <c r="D3322" s="62"/>
      <c r="F3322" s="68"/>
      <c r="G3322" s="159"/>
      <c r="H3322" s="159"/>
      <c r="I3322" s="1287"/>
      <c r="J3322" s="152"/>
      <c r="K3322" s="68"/>
      <c r="L3322" s="68"/>
      <c r="M3322" s="159"/>
      <c r="N3322" s="159"/>
      <c r="O3322" s="68"/>
      <c r="P3322" s="382"/>
      <c r="Q3322" s="2418"/>
      <c r="R3322" s="159"/>
      <c r="S3322" s="159"/>
      <c r="T3322" s="68"/>
      <c r="U3322" s="68"/>
      <c r="V3322" s="382"/>
      <c r="W3322" s="1228"/>
      <c r="X3322" s="2419"/>
      <c r="Y3322" s="159"/>
      <c r="Z3322" s="159"/>
      <c r="AA3322" s="159"/>
      <c r="AB3322" s="159"/>
      <c r="AC3322" s="159"/>
      <c r="AD3322" s="68"/>
      <c r="AE3322" s="68"/>
      <c r="AF3322" s="156"/>
      <c r="AG3322" s="156"/>
      <c r="AH3322" s="159"/>
      <c r="AI3322" s="159"/>
      <c r="AJ3322" s="336"/>
      <c r="AK3322" s="159"/>
      <c r="AL3322" s="159"/>
      <c r="AM3322" s="159"/>
      <c r="AN3322" s="159"/>
      <c r="AO3322" s="156"/>
      <c r="AP3322" s="156"/>
      <c r="AQ3322" s="159"/>
      <c r="AR3322" s="159"/>
      <c r="AS3322" s="156"/>
      <c r="AT3322" s="159"/>
      <c r="AU3322" s="159"/>
      <c r="AV3322" s="159"/>
      <c r="AW3322" s="435"/>
      <c r="AX3322" s="159"/>
      <c r="AY3322" s="61" t="str">
        <f>IFERROR(__xludf.DUMMYFUNCTION("vlookup(BB3322,importrange(""https://docs.google.com/spreadsheets/d/1d2vevQ_7D_v35q4wCQ4RpQ_IPoTwEMB9Yp6ymwlPqew/edit?gid=984458430#gid=984458430"", ""'replication success'!A:K""), 11, FAlSE)"),"#N/A")</f>
        <v>#N/A</v>
      </c>
      <c r="AZ3322" s="61" t="str">
        <f>IFERROR(__xludf.DUMMYFUNCTION("vlookup(BB3322,importrange(""https://docs.google.com/spreadsheets/d/1d2vevQ_7D_v35q4wCQ4RpQ_IPoTwEMB9Yp6ymwlPqew/edit?gid=984458430#gid=984458430"", ""'replication success'!A:M""), 12, FAlSE)"),"#N/A")</f>
        <v>#N/A</v>
      </c>
      <c r="BA3322" s="61" t="str">
        <f>IFERROR(__xludf.DUMMYFUNCTION("vlookup(BB3322,importrange(""https://docs.google.com/spreadsheets/d/1d2vevQ_7D_v35q4wCQ4RpQ_IPoTwEMB9Yp6ymwlPqew/edit?gid=984458430#gid=984458430"", ""'replication success'!A:M""), 13, FAlSE)"),"#N/A")</f>
        <v>#N/A</v>
      </c>
      <c r="BB3322" s="61" t="str">
        <f>IFERROR(__xludf.DUMMYFUNCTION("REGEXREPLACE(G3322, ""_[a-z]{1,2}$"", """")"),"")</f>
        <v/>
      </c>
    </row>
    <row r="3323">
      <c r="A3323" s="44">
        <v>3323.0</v>
      </c>
      <c r="B3323" s="129"/>
      <c r="C3323" s="62"/>
      <c r="D3323" s="62"/>
      <c r="F3323" s="68"/>
      <c r="G3323" s="159"/>
      <c r="H3323" s="159"/>
      <c r="I3323" s="1287"/>
      <c r="J3323" s="152"/>
      <c r="K3323" s="68"/>
      <c r="L3323" s="68"/>
      <c r="M3323" s="159"/>
      <c r="N3323" s="159"/>
      <c r="O3323" s="68"/>
      <c r="P3323" s="382"/>
      <c r="Q3323" s="2418"/>
      <c r="R3323" s="159"/>
      <c r="S3323" s="159"/>
      <c r="T3323" s="68"/>
      <c r="U3323" s="68"/>
      <c r="V3323" s="382"/>
      <c r="W3323" s="1228"/>
      <c r="X3323" s="2419"/>
      <c r="Y3323" s="159"/>
      <c r="Z3323" s="159"/>
      <c r="AA3323" s="159"/>
      <c r="AB3323" s="159"/>
      <c r="AC3323" s="159"/>
      <c r="AD3323" s="68"/>
      <c r="AE3323" s="68"/>
      <c r="AF3323" s="156"/>
      <c r="AG3323" s="156"/>
      <c r="AH3323" s="159"/>
      <c r="AI3323" s="159"/>
      <c r="AJ3323" s="336"/>
      <c r="AK3323" s="159"/>
      <c r="AL3323" s="159"/>
      <c r="AM3323" s="159"/>
      <c r="AN3323" s="159"/>
      <c r="AO3323" s="156"/>
      <c r="AP3323" s="156"/>
      <c r="AQ3323" s="159"/>
      <c r="AR3323" s="159"/>
      <c r="AS3323" s="156"/>
      <c r="AT3323" s="159"/>
      <c r="AU3323" s="159"/>
      <c r="AV3323" s="159"/>
      <c r="AW3323" s="435"/>
      <c r="AX3323" s="159"/>
      <c r="AY3323" s="61" t="str">
        <f>IFERROR(__xludf.DUMMYFUNCTION("vlookup(BB3323,importrange(""https://docs.google.com/spreadsheets/d/1d2vevQ_7D_v35q4wCQ4RpQ_IPoTwEMB9Yp6ymwlPqew/edit?gid=984458430#gid=984458430"", ""'replication success'!A:K""), 11, FAlSE)"),"#N/A")</f>
        <v>#N/A</v>
      </c>
      <c r="AZ3323" s="61" t="str">
        <f>IFERROR(__xludf.DUMMYFUNCTION("vlookup(BB3323,importrange(""https://docs.google.com/spreadsheets/d/1d2vevQ_7D_v35q4wCQ4RpQ_IPoTwEMB9Yp6ymwlPqew/edit?gid=984458430#gid=984458430"", ""'replication success'!A:M""), 12, FAlSE)"),"#N/A")</f>
        <v>#N/A</v>
      </c>
      <c r="BA3323" s="61" t="str">
        <f>IFERROR(__xludf.DUMMYFUNCTION("vlookup(BB3323,importrange(""https://docs.google.com/spreadsheets/d/1d2vevQ_7D_v35q4wCQ4RpQ_IPoTwEMB9Yp6ymwlPqew/edit?gid=984458430#gid=984458430"", ""'replication success'!A:M""), 13, FAlSE)"),"#N/A")</f>
        <v>#N/A</v>
      </c>
      <c r="BB3323" s="61" t="str">
        <f>IFERROR(__xludf.DUMMYFUNCTION("REGEXREPLACE(G3323, ""_[a-z]{1,2}$"", """")"),"")</f>
        <v/>
      </c>
    </row>
    <row r="3324">
      <c r="A3324" s="44">
        <v>3324.0</v>
      </c>
      <c r="B3324" s="129"/>
      <c r="C3324" s="62"/>
      <c r="D3324" s="62"/>
      <c r="F3324" s="68"/>
      <c r="G3324" s="159"/>
      <c r="H3324" s="159"/>
      <c r="I3324" s="1287"/>
      <c r="J3324" s="152"/>
      <c r="K3324" s="68"/>
      <c r="L3324" s="68"/>
      <c r="M3324" s="159"/>
      <c r="N3324" s="159"/>
      <c r="O3324" s="68"/>
      <c r="P3324" s="382"/>
      <c r="Q3324" s="2418"/>
      <c r="R3324" s="159"/>
      <c r="S3324" s="159"/>
      <c r="T3324" s="68"/>
      <c r="U3324" s="68"/>
      <c r="V3324" s="382"/>
      <c r="W3324" s="1228"/>
      <c r="X3324" s="2419"/>
      <c r="Y3324" s="159"/>
      <c r="Z3324" s="159"/>
      <c r="AA3324" s="159"/>
      <c r="AB3324" s="159"/>
      <c r="AC3324" s="159"/>
      <c r="AD3324" s="68"/>
      <c r="AE3324" s="68"/>
      <c r="AF3324" s="156"/>
      <c r="AG3324" s="156"/>
      <c r="AH3324" s="159"/>
      <c r="AI3324" s="159"/>
      <c r="AJ3324" s="336"/>
      <c r="AK3324" s="159"/>
      <c r="AL3324" s="159"/>
      <c r="AM3324" s="159"/>
      <c r="AN3324" s="159"/>
      <c r="AO3324" s="156"/>
      <c r="AP3324" s="156"/>
      <c r="AQ3324" s="159"/>
      <c r="AR3324" s="159"/>
      <c r="AS3324" s="156"/>
      <c r="AT3324" s="159"/>
      <c r="AU3324" s="159"/>
      <c r="AV3324" s="159"/>
      <c r="AW3324" s="435"/>
      <c r="AX3324" s="159"/>
      <c r="AY3324" s="61" t="str">
        <f>IFERROR(__xludf.DUMMYFUNCTION("vlookup(BB3324,importrange(""https://docs.google.com/spreadsheets/d/1d2vevQ_7D_v35q4wCQ4RpQ_IPoTwEMB9Yp6ymwlPqew/edit?gid=984458430#gid=984458430"", ""'replication success'!A:K""), 11, FAlSE)"),"#N/A")</f>
        <v>#N/A</v>
      </c>
      <c r="AZ3324" s="61" t="str">
        <f>IFERROR(__xludf.DUMMYFUNCTION("vlookup(BB3324,importrange(""https://docs.google.com/spreadsheets/d/1d2vevQ_7D_v35q4wCQ4RpQ_IPoTwEMB9Yp6ymwlPqew/edit?gid=984458430#gid=984458430"", ""'replication success'!A:M""), 12, FAlSE)"),"#N/A")</f>
        <v>#N/A</v>
      </c>
      <c r="BA3324" s="61" t="str">
        <f>IFERROR(__xludf.DUMMYFUNCTION("vlookup(BB3324,importrange(""https://docs.google.com/spreadsheets/d/1d2vevQ_7D_v35q4wCQ4RpQ_IPoTwEMB9Yp6ymwlPqew/edit?gid=984458430#gid=984458430"", ""'replication success'!A:M""), 13, FAlSE)"),"#N/A")</f>
        <v>#N/A</v>
      </c>
      <c r="BB3324" s="61" t="str">
        <f>IFERROR(__xludf.DUMMYFUNCTION("REGEXREPLACE(G3324, ""_[a-z]{1,2}$"", """")"),"")</f>
        <v/>
      </c>
    </row>
    <row r="3325">
      <c r="A3325" s="44">
        <v>3325.0</v>
      </c>
      <c r="B3325" s="129"/>
      <c r="C3325" s="62"/>
      <c r="D3325" s="62"/>
      <c r="F3325" s="68"/>
      <c r="G3325" s="159"/>
      <c r="H3325" s="159"/>
      <c r="I3325" s="1287"/>
      <c r="J3325" s="152"/>
      <c r="K3325" s="68"/>
      <c r="L3325" s="68"/>
      <c r="M3325" s="159"/>
      <c r="N3325" s="159"/>
      <c r="O3325" s="68"/>
      <c r="P3325" s="382"/>
      <c r="Q3325" s="2418"/>
      <c r="R3325" s="159"/>
      <c r="S3325" s="159"/>
      <c r="T3325" s="68"/>
      <c r="U3325" s="68"/>
      <c r="V3325" s="382"/>
      <c r="W3325" s="1228"/>
      <c r="X3325" s="2419"/>
      <c r="Y3325" s="159"/>
      <c r="Z3325" s="159"/>
      <c r="AA3325" s="159"/>
      <c r="AB3325" s="159"/>
      <c r="AC3325" s="159"/>
      <c r="AD3325" s="68"/>
      <c r="AE3325" s="68"/>
      <c r="AF3325" s="156"/>
      <c r="AG3325" s="156"/>
      <c r="AH3325" s="159"/>
      <c r="AI3325" s="159"/>
      <c r="AJ3325" s="336"/>
      <c r="AK3325" s="159"/>
      <c r="AL3325" s="159"/>
      <c r="AM3325" s="159"/>
      <c r="AN3325" s="159"/>
      <c r="AO3325" s="156"/>
      <c r="AP3325" s="156"/>
      <c r="AQ3325" s="159"/>
      <c r="AR3325" s="159"/>
      <c r="AS3325" s="156"/>
      <c r="AT3325" s="159"/>
      <c r="AU3325" s="159"/>
      <c r="AV3325" s="159"/>
      <c r="AW3325" s="435"/>
      <c r="AX3325" s="159"/>
      <c r="AY3325" s="61" t="str">
        <f>IFERROR(__xludf.DUMMYFUNCTION("vlookup(BB3325,importrange(""https://docs.google.com/spreadsheets/d/1d2vevQ_7D_v35q4wCQ4RpQ_IPoTwEMB9Yp6ymwlPqew/edit?gid=984458430#gid=984458430"", ""'replication success'!A:K""), 11, FAlSE)"),"#N/A")</f>
        <v>#N/A</v>
      </c>
      <c r="AZ3325" s="61" t="str">
        <f>IFERROR(__xludf.DUMMYFUNCTION("vlookup(BB3325,importrange(""https://docs.google.com/spreadsheets/d/1d2vevQ_7D_v35q4wCQ4RpQ_IPoTwEMB9Yp6ymwlPqew/edit?gid=984458430#gid=984458430"", ""'replication success'!A:M""), 12, FAlSE)"),"#N/A")</f>
        <v>#N/A</v>
      </c>
      <c r="BA3325" s="61" t="str">
        <f>IFERROR(__xludf.DUMMYFUNCTION("vlookup(BB3325,importrange(""https://docs.google.com/spreadsheets/d/1d2vevQ_7D_v35q4wCQ4RpQ_IPoTwEMB9Yp6ymwlPqew/edit?gid=984458430#gid=984458430"", ""'replication success'!A:M""), 13, FAlSE)"),"#N/A")</f>
        <v>#N/A</v>
      </c>
      <c r="BB3325" s="61" t="str">
        <f>IFERROR(__xludf.DUMMYFUNCTION("REGEXREPLACE(G3325, ""_[a-z]{1,2}$"", """")"),"")</f>
        <v/>
      </c>
    </row>
    <row r="3326">
      <c r="A3326" s="44">
        <v>3326.0</v>
      </c>
      <c r="B3326" s="129"/>
      <c r="C3326" s="62"/>
      <c r="D3326" s="62"/>
      <c r="F3326" s="68"/>
      <c r="G3326" s="159"/>
      <c r="H3326" s="159"/>
      <c r="I3326" s="1287"/>
      <c r="J3326" s="152"/>
      <c r="K3326" s="68"/>
      <c r="L3326" s="68"/>
      <c r="M3326" s="159"/>
      <c r="N3326" s="159"/>
      <c r="O3326" s="68"/>
      <c r="P3326" s="382"/>
      <c r="Q3326" s="2418"/>
      <c r="R3326" s="159"/>
      <c r="S3326" s="159"/>
      <c r="T3326" s="68"/>
      <c r="U3326" s="68"/>
      <c r="V3326" s="382"/>
      <c r="W3326" s="1228"/>
      <c r="X3326" s="2419"/>
      <c r="Y3326" s="159"/>
      <c r="Z3326" s="159"/>
      <c r="AA3326" s="159"/>
      <c r="AB3326" s="159"/>
      <c r="AC3326" s="159"/>
      <c r="AD3326" s="68"/>
      <c r="AE3326" s="68"/>
      <c r="AF3326" s="156"/>
      <c r="AG3326" s="156"/>
      <c r="AH3326" s="159"/>
      <c r="AI3326" s="159"/>
      <c r="AJ3326" s="336"/>
      <c r="AK3326" s="159"/>
      <c r="AL3326" s="159"/>
      <c r="AM3326" s="159"/>
      <c r="AN3326" s="159"/>
      <c r="AO3326" s="156"/>
      <c r="AP3326" s="156"/>
      <c r="AQ3326" s="159"/>
      <c r="AR3326" s="159"/>
      <c r="AS3326" s="156"/>
      <c r="AT3326" s="159"/>
      <c r="AU3326" s="159"/>
      <c r="AV3326" s="159"/>
      <c r="AW3326" s="435"/>
      <c r="AX3326" s="159"/>
      <c r="AY3326" s="61" t="str">
        <f>IFERROR(__xludf.DUMMYFUNCTION("vlookup(BB3326,importrange(""https://docs.google.com/spreadsheets/d/1d2vevQ_7D_v35q4wCQ4RpQ_IPoTwEMB9Yp6ymwlPqew/edit?gid=984458430#gid=984458430"", ""'replication success'!A:K""), 11, FAlSE)"),"#N/A")</f>
        <v>#N/A</v>
      </c>
      <c r="AZ3326" s="61" t="str">
        <f>IFERROR(__xludf.DUMMYFUNCTION("vlookup(BB3326,importrange(""https://docs.google.com/spreadsheets/d/1d2vevQ_7D_v35q4wCQ4RpQ_IPoTwEMB9Yp6ymwlPqew/edit?gid=984458430#gid=984458430"", ""'replication success'!A:M""), 12, FAlSE)"),"#N/A")</f>
        <v>#N/A</v>
      </c>
      <c r="BA3326" s="61" t="str">
        <f>IFERROR(__xludf.DUMMYFUNCTION("vlookup(BB3326,importrange(""https://docs.google.com/spreadsheets/d/1d2vevQ_7D_v35q4wCQ4RpQ_IPoTwEMB9Yp6ymwlPqew/edit?gid=984458430#gid=984458430"", ""'replication success'!A:M""), 13, FAlSE)"),"#N/A")</f>
        <v>#N/A</v>
      </c>
      <c r="BB3326" s="61" t="str">
        <f>IFERROR(__xludf.DUMMYFUNCTION("REGEXREPLACE(G3326, ""_[a-z]{1,2}$"", """")"),"")</f>
        <v/>
      </c>
    </row>
    <row r="3327">
      <c r="A3327" s="44">
        <v>3327.0</v>
      </c>
      <c r="B3327" s="129"/>
      <c r="C3327" s="62"/>
      <c r="D3327" s="62"/>
      <c r="F3327" s="68"/>
      <c r="G3327" s="159"/>
      <c r="H3327" s="159"/>
      <c r="I3327" s="1287"/>
      <c r="J3327" s="152"/>
      <c r="K3327" s="68"/>
      <c r="L3327" s="68"/>
      <c r="M3327" s="159"/>
      <c r="N3327" s="159"/>
      <c r="O3327" s="68"/>
      <c r="P3327" s="382"/>
      <c r="Q3327" s="2418"/>
      <c r="R3327" s="159"/>
      <c r="S3327" s="159"/>
      <c r="T3327" s="68"/>
      <c r="U3327" s="68"/>
      <c r="V3327" s="382"/>
      <c r="W3327" s="1228"/>
      <c r="X3327" s="2419"/>
      <c r="Y3327" s="159"/>
      <c r="Z3327" s="159"/>
      <c r="AA3327" s="159"/>
      <c r="AB3327" s="159"/>
      <c r="AC3327" s="159"/>
      <c r="AD3327" s="68"/>
      <c r="AE3327" s="68"/>
      <c r="AF3327" s="156"/>
      <c r="AG3327" s="156"/>
      <c r="AH3327" s="159"/>
      <c r="AI3327" s="159"/>
      <c r="AJ3327" s="336"/>
      <c r="AK3327" s="159"/>
      <c r="AL3327" s="159"/>
      <c r="AM3327" s="159"/>
      <c r="AN3327" s="159"/>
      <c r="AO3327" s="156"/>
      <c r="AP3327" s="156"/>
      <c r="AQ3327" s="159"/>
      <c r="AR3327" s="159"/>
      <c r="AS3327" s="156"/>
      <c r="AT3327" s="159"/>
      <c r="AU3327" s="159"/>
      <c r="AV3327" s="159"/>
      <c r="AW3327" s="435"/>
      <c r="AX3327" s="159"/>
      <c r="AY3327" s="61" t="str">
        <f>IFERROR(__xludf.DUMMYFUNCTION("vlookup(BB3327,importrange(""https://docs.google.com/spreadsheets/d/1d2vevQ_7D_v35q4wCQ4RpQ_IPoTwEMB9Yp6ymwlPqew/edit?gid=984458430#gid=984458430"", ""'replication success'!A:K""), 11, FAlSE)"),"#N/A")</f>
        <v>#N/A</v>
      </c>
      <c r="AZ3327" s="61" t="str">
        <f>IFERROR(__xludf.DUMMYFUNCTION("vlookup(BB3327,importrange(""https://docs.google.com/spreadsheets/d/1d2vevQ_7D_v35q4wCQ4RpQ_IPoTwEMB9Yp6ymwlPqew/edit?gid=984458430#gid=984458430"", ""'replication success'!A:M""), 12, FAlSE)"),"#N/A")</f>
        <v>#N/A</v>
      </c>
      <c r="BA3327" s="61" t="str">
        <f>IFERROR(__xludf.DUMMYFUNCTION("vlookup(BB3327,importrange(""https://docs.google.com/spreadsheets/d/1d2vevQ_7D_v35q4wCQ4RpQ_IPoTwEMB9Yp6ymwlPqew/edit?gid=984458430#gid=984458430"", ""'replication success'!A:M""), 13, FAlSE)"),"#N/A")</f>
        <v>#N/A</v>
      </c>
      <c r="BB3327" s="61" t="str">
        <f>IFERROR(__xludf.DUMMYFUNCTION("REGEXREPLACE(G3327, ""_[a-z]{1,2}$"", """")"),"")</f>
        <v/>
      </c>
    </row>
    <row r="3328">
      <c r="A3328" s="44">
        <v>3328.0</v>
      </c>
      <c r="B3328" s="129"/>
      <c r="C3328" s="62"/>
      <c r="D3328" s="62"/>
      <c r="F3328" s="68"/>
      <c r="G3328" s="159"/>
      <c r="H3328" s="159"/>
      <c r="I3328" s="1287"/>
      <c r="J3328" s="152"/>
      <c r="K3328" s="68"/>
      <c r="L3328" s="68"/>
      <c r="M3328" s="159"/>
      <c r="N3328" s="159"/>
      <c r="O3328" s="68"/>
      <c r="P3328" s="382"/>
      <c r="Q3328" s="2418"/>
      <c r="R3328" s="159"/>
      <c r="S3328" s="159"/>
      <c r="T3328" s="68"/>
      <c r="U3328" s="68"/>
      <c r="V3328" s="382"/>
      <c r="W3328" s="1228"/>
      <c r="X3328" s="2419"/>
      <c r="Y3328" s="159"/>
      <c r="Z3328" s="159"/>
      <c r="AA3328" s="159"/>
      <c r="AB3328" s="159"/>
      <c r="AC3328" s="159"/>
      <c r="AD3328" s="68"/>
      <c r="AE3328" s="68"/>
      <c r="AF3328" s="156"/>
      <c r="AG3328" s="156"/>
      <c r="AH3328" s="159"/>
      <c r="AI3328" s="159"/>
      <c r="AJ3328" s="336"/>
      <c r="AK3328" s="159"/>
      <c r="AL3328" s="159"/>
      <c r="AM3328" s="159"/>
      <c r="AN3328" s="159"/>
      <c r="AO3328" s="156"/>
      <c r="AP3328" s="156"/>
      <c r="AQ3328" s="159"/>
      <c r="AR3328" s="159"/>
      <c r="AS3328" s="156"/>
      <c r="AT3328" s="159"/>
      <c r="AU3328" s="159"/>
      <c r="AV3328" s="159"/>
      <c r="AW3328" s="435"/>
      <c r="AX3328" s="159"/>
      <c r="AY3328" s="61" t="str">
        <f>IFERROR(__xludf.DUMMYFUNCTION("vlookup(BB3328,importrange(""https://docs.google.com/spreadsheets/d/1d2vevQ_7D_v35q4wCQ4RpQ_IPoTwEMB9Yp6ymwlPqew/edit?gid=984458430#gid=984458430"", ""'replication success'!A:K""), 11, FAlSE)"),"#N/A")</f>
        <v>#N/A</v>
      </c>
      <c r="AZ3328" s="61" t="str">
        <f>IFERROR(__xludf.DUMMYFUNCTION("vlookup(BB3328,importrange(""https://docs.google.com/spreadsheets/d/1d2vevQ_7D_v35q4wCQ4RpQ_IPoTwEMB9Yp6ymwlPqew/edit?gid=984458430#gid=984458430"", ""'replication success'!A:M""), 12, FAlSE)"),"#N/A")</f>
        <v>#N/A</v>
      </c>
      <c r="BA3328" s="61" t="str">
        <f>IFERROR(__xludf.DUMMYFUNCTION("vlookup(BB3328,importrange(""https://docs.google.com/spreadsheets/d/1d2vevQ_7D_v35q4wCQ4RpQ_IPoTwEMB9Yp6ymwlPqew/edit?gid=984458430#gid=984458430"", ""'replication success'!A:M""), 13, FAlSE)"),"#N/A")</f>
        <v>#N/A</v>
      </c>
      <c r="BB3328" s="61" t="str">
        <f>IFERROR(__xludf.DUMMYFUNCTION("REGEXREPLACE(G3328, ""_[a-z]{1,2}$"", """")"),"")</f>
        <v/>
      </c>
    </row>
    <row r="3329">
      <c r="A3329" s="44">
        <v>3329.0</v>
      </c>
      <c r="B3329" s="129"/>
      <c r="C3329" s="62"/>
      <c r="D3329" s="62"/>
      <c r="F3329" s="68"/>
      <c r="G3329" s="159"/>
      <c r="H3329" s="159"/>
      <c r="I3329" s="1287"/>
      <c r="J3329" s="152"/>
      <c r="K3329" s="68"/>
      <c r="L3329" s="68"/>
      <c r="M3329" s="159"/>
      <c r="N3329" s="159"/>
      <c r="O3329" s="68"/>
      <c r="P3329" s="382"/>
      <c r="Q3329" s="2418"/>
      <c r="R3329" s="159"/>
      <c r="S3329" s="159"/>
      <c r="T3329" s="68"/>
      <c r="U3329" s="68"/>
      <c r="V3329" s="382"/>
      <c r="W3329" s="1228"/>
      <c r="X3329" s="2419"/>
      <c r="Y3329" s="159"/>
      <c r="Z3329" s="159"/>
      <c r="AA3329" s="159"/>
      <c r="AB3329" s="159"/>
      <c r="AC3329" s="159"/>
      <c r="AD3329" s="68"/>
      <c r="AE3329" s="68"/>
      <c r="AF3329" s="156"/>
      <c r="AG3329" s="156"/>
      <c r="AH3329" s="159"/>
      <c r="AI3329" s="159"/>
      <c r="AJ3329" s="336"/>
      <c r="AK3329" s="159"/>
      <c r="AL3329" s="159"/>
      <c r="AM3329" s="159"/>
      <c r="AN3329" s="159"/>
      <c r="AO3329" s="156"/>
      <c r="AP3329" s="156"/>
      <c r="AQ3329" s="159"/>
      <c r="AR3329" s="159"/>
      <c r="AS3329" s="156"/>
      <c r="AT3329" s="159"/>
      <c r="AU3329" s="159"/>
      <c r="AV3329" s="159"/>
      <c r="AW3329" s="435"/>
      <c r="AX3329" s="159"/>
      <c r="AY3329" s="61" t="str">
        <f>IFERROR(__xludf.DUMMYFUNCTION("vlookup(BB3329,importrange(""https://docs.google.com/spreadsheets/d/1d2vevQ_7D_v35q4wCQ4RpQ_IPoTwEMB9Yp6ymwlPqew/edit?gid=984458430#gid=984458430"", ""'replication success'!A:K""), 11, FAlSE)"),"#N/A")</f>
        <v>#N/A</v>
      </c>
      <c r="AZ3329" s="61" t="str">
        <f>IFERROR(__xludf.DUMMYFUNCTION("vlookup(BB3329,importrange(""https://docs.google.com/spreadsheets/d/1d2vevQ_7D_v35q4wCQ4RpQ_IPoTwEMB9Yp6ymwlPqew/edit?gid=984458430#gid=984458430"", ""'replication success'!A:M""), 12, FAlSE)"),"#N/A")</f>
        <v>#N/A</v>
      </c>
      <c r="BA3329" s="61" t="str">
        <f>IFERROR(__xludf.DUMMYFUNCTION("vlookup(BB3329,importrange(""https://docs.google.com/spreadsheets/d/1d2vevQ_7D_v35q4wCQ4RpQ_IPoTwEMB9Yp6ymwlPqew/edit?gid=984458430#gid=984458430"", ""'replication success'!A:M""), 13, FAlSE)"),"#N/A")</f>
        <v>#N/A</v>
      </c>
      <c r="BB3329" s="61" t="str">
        <f>IFERROR(__xludf.DUMMYFUNCTION("REGEXREPLACE(G3329, ""_[a-z]{1,2}$"", """")"),"")</f>
        <v/>
      </c>
    </row>
    <row r="3330">
      <c r="A3330" s="44">
        <v>3330.0</v>
      </c>
      <c r="B3330" s="129"/>
      <c r="C3330" s="62"/>
      <c r="D3330" s="62"/>
      <c r="F3330" s="68"/>
      <c r="G3330" s="159"/>
      <c r="H3330" s="159"/>
      <c r="I3330" s="1287"/>
      <c r="J3330" s="152"/>
      <c r="K3330" s="68"/>
      <c r="L3330" s="68"/>
      <c r="M3330" s="159"/>
      <c r="N3330" s="159"/>
      <c r="O3330" s="68"/>
      <c r="P3330" s="382"/>
      <c r="Q3330" s="2418"/>
      <c r="R3330" s="159"/>
      <c r="S3330" s="159"/>
      <c r="T3330" s="68"/>
      <c r="U3330" s="68"/>
      <c r="V3330" s="382"/>
      <c r="W3330" s="1228"/>
      <c r="X3330" s="2419"/>
      <c r="Y3330" s="159"/>
      <c r="Z3330" s="159"/>
      <c r="AA3330" s="159"/>
      <c r="AB3330" s="159"/>
      <c r="AC3330" s="159"/>
      <c r="AD3330" s="68"/>
      <c r="AE3330" s="68"/>
      <c r="AF3330" s="156"/>
      <c r="AG3330" s="156"/>
      <c r="AH3330" s="159"/>
      <c r="AI3330" s="159"/>
      <c r="AJ3330" s="336"/>
      <c r="AK3330" s="159"/>
      <c r="AL3330" s="159"/>
      <c r="AM3330" s="159"/>
      <c r="AN3330" s="159"/>
      <c r="AO3330" s="156"/>
      <c r="AP3330" s="156"/>
      <c r="AQ3330" s="159"/>
      <c r="AR3330" s="159"/>
      <c r="AS3330" s="156"/>
      <c r="AT3330" s="159"/>
      <c r="AU3330" s="159"/>
      <c r="AV3330" s="159"/>
      <c r="AW3330" s="435"/>
      <c r="AX3330" s="159"/>
      <c r="AY3330" s="61" t="str">
        <f>IFERROR(__xludf.DUMMYFUNCTION("vlookup(BB3330,importrange(""https://docs.google.com/spreadsheets/d/1d2vevQ_7D_v35q4wCQ4RpQ_IPoTwEMB9Yp6ymwlPqew/edit?gid=984458430#gid=984458430"", ""'replication success'!A:K""), 11, FAlSE)"),"#N/A")</f>
        <v>#N/A</v>
      </c>
      <c r="AZ3330" s="61" t="str">
        <f>IFERROR(__xludf.DUMMYFUNCTION("vlookup(BB3330,importrange(""https://docs.google.com/spreadsheets/d/1d2vevQ_7D_v35q4wCQ4RpQ_IPoTwEMB9Yp6ymwlPqew/edit?gid=984458430#gid=984458430"", ""'replication success'!A:M""), 12, FAlSE)"),"#N/A")</f>
        <v>#N/A</v>
      </c>
      <c r="BA3330" s="61" t="str">
        <f>IFERROR(__xludf.DUMMYFUNCTION("vlookup(BB3330,importrange(""https://docs.google.com/spreadsheets/d/1d2vevQ_7D_v35q4wCQ4RpQ_IPoTwEMB9Yp6ymwlPqew/edit?gid=984458430#gid=984458430"", ""'replication success'!A:M""), 13, FAlSE)"),"#N/A")</f>
        <v>#N/A</v>
      </c>
      <c r="BB3330" s="61" t="str">
        <f>IFERROR(__xludf.DUMMYFUNCTION("REGEXREPLACE(G3330, ""_[a-z]{1,2}$"", """")"),"")</f>
        <v/>
      </c>
    </row>
    <row r="3331">
      <c r="A3331" s="44">
        <v>3331.0</v>
      </c>
      <c r="B3331" s="129"/>
      <c r="C3331" s="62"/>
      <c r="D3331" s="62"/>
      <c r="F3331" s="68"/>
      <c r="G3331" s="159"/>
      <c r="H3331" s="159"/>
      <c r="I3331" s="1287"/>
      <c r="J3331" s="152"/>
      <c r="K3331" s="68"/>
      <c r="L3331" s="68"/>
      <c r="M3331" s="159"/>
      <c r="N3331" s="159"/>
      <c r="O3331" s="68"/>
      <c r="P3331" s="382"/>
      <c r="Q3331" s="2418"/>
      <c r="R3331" s="159"/>
      <c r="S3331" s="159"/>
      <c r="T3331" s="68"/>
      <c r="U3331" s="68"/>
      <c r="V3331" s="382"/>
      <c r="W3331" s="1228"/>
      <c r="X3331" s="2419"/>
      <c r="Y3331" s="159"/>
      <c r="Z3331" s="159"/>
      <c r="AA3331" s="159"/>
      <c r="AB3331" s="159"/>
      <c r="AC3331" s="159"/>
      <c r="AD3331" s="68"/>
      <c r="AE3331" s="68"/>
      <c r="AF3331" s="156"/>
      <c r="AG3331" s="156"/>
      <c r="AH3331" s="159"/>
      <c r="AI3331" s="159"/>
      <c r="AJ3331" s="336"/>
      <c r="AK3331" s="159"/>
      <c r="AL3331" s="159"/>
      <c r="AM3331" s="159"/>
      <c r="AN3331" s="159"/>
      <c r="AO3331" s="156"/>
      <c r="AP3331" s="156"/>
      <c r="AQ3331" s="159"/>
      <c r="AR3331" s="159"/>
      <c r="AS3331" s="156"/>
      <c r="AT3331" s="159"/>
      <c r="AU3331" s="159"/>
      <c r="AV3331" s="159"/>
      <c r="AW3331" s="435"/>
      <c r="AX3331" s="159"/>
      <c r="AY3331" s="61" t="str">
        <f>IFERROR(__xludf.DUMMYFUNCTION("vlookup(BB3331,importrange(""https://docs.google.com/spreadsheets/d/1d2vevQ_7D_v35q4wCQ4RpQ_IPoTwEMB9Yp6ymwlPqew/edit?gid=984458430#gid=984458430"", ""'replication success'!A:K""), 11, FAlSE)"),"#N/A")</f>
        <v>#N/A</v>
      </c>
      <c r="AZ3331" s="61" t="str">
        <f>IFERROR(__xludf.DUMMYFUNCTION("vlookup(BB3331,importrange(""https://docs.google.com/spreadsheets/d/1d2vevQ_7D_v35q4wCQ4RpQ_IPoTwEMB9Yp6ymwlPqew/edit?gid=984458430#gid=984458430"", ""'replication success'!A:M""), 12, FAlSE)"),"#N/A")</f>
        <v>#N/A</v>
      </c>
      <c r="BA3331" s="61" t="str">
        <f>IFERROR(__xludf.DUMMYFUNCTION("vlookup(BB3331,importrange(""https://docs.google.com/spreadsheets/d/1d2vevQ_7D_v35q4wCQ4RpQ_IPoTwEMB9Yp6ymwlPqew/edit?gid=984458430#gid=984458430"", ""'replication success'!A:M""), 13, FAlSE)"),"#N/A")</f>
        <v>#N/A</v>
      </c>
      <c r="BB3331" s="61" t="str">
        <f>IFERROR(__xludf.DUMMYFUNCTION("REGEXREPLACE(G3331, ""_[a-z]{1,2}$"", """")"),"")</f>
        <v/>
      </c>
    </row>
    <row r="3332">
      <c r="A3332" s="44">
        <v>3332.0</v>
      </c>
      <c r="B3332" s="129"/>
      <c r="C3332" s="62"/>
      <c r="D3332" s="62"/>
      <c r="F3332" s="68"/>
      <c r="G3332" s="159"/>
      <c r="H3332" s="159"/>
      <c r="I3332" s="1287"/>
      <c r="J3332" s="152"/>
      <c r="K3332" s="68"/>
      <c r="L3332" s="68"/>
      <c r="M3332" s="159"/>
      <c r="N3332" s="159"/>
      <c r="O3332" s="68"/>
      <c r="P3332" s="382"/>
      <c r="Q3332" s="2418"/>
      <c r="R3332" s="159"/>
      <c r="S3332" s="159"/>
      <c r="T3332" s="68"/>
      <c r="U3332" s="68"/>
      <c r="V3332" s="382"/>
      <c r="W3332" s="1228"/>
      <c r="X3332" s="2419"/>
      <c r="Y3332" s="159"/>
      <c r="Z3332" s="159"/>
      <c r="AA3332" s="159"/>
      <c r="AB3332" s="159"/>
      <c r="AC3332" s="159"/>
      <c r="AD3332" s="68"/>
      <c r="AE3332" s="68"/>
      <c r="AF3332" s="156"/>
      <c r="AG3332" s="156"/>
      <c r="AH3332" s="159"/>
      <c r="AI3332" s="159"/>
      <c r="AJ3332" s="336"/>
      <c r="AK3332" s="159"/>
      <c r="AL3332" s="159"/>
      <c r="AM3332" s="159"/>
      <c r="AN3332" s="159"/>
      <c r="AO3332" s="156"/>
      <c r="AP3332" s="156"/>
      <c r="AQ3332" s="159"/>
      <c r="AR3332" s="159"/>
      <c r="AS3332" s="156"/>
      <c r="AT3332" s="159"/>
      <c r="AU3332" s="159"/>
      <c r="AV3332" s="159"/>
      <c r="AW3332" s="435"/>
      <c r="AX3332" s="159"/>
      <c r="AY3332" s="61" t="str">
        <f>IFERROR(__xludf.DUMMYFUNCTION("vlookup(BB3332,importrange(""https://docs.google.com/spreadsheets/d/1d2vevQ_7D_v35q4wCQ4RpQ_IPoTwEMB9Yp6ymwlPqew/edit?gid=984458430#gid=984458430"", ""'replication success'!A:K""), 11, FAlSE)"),"#N/A")</f>
        <v>#N/A</v>
      </c>
      <c r="AZ3332" s="61" t="str">
        <f>IFERROR(__xludf.DUMMYFUNCTION("vlookup(BB3332,importrange(""https://docs.google.com/spreadsheets/d/1d2vevQ_7D_v35q4wCQ4RpQ_IPoTwEMB9Yp6ymwlPqew/edit?gid=984458430#gid=984458430"", ""'replication success'!A:M""), 12, FAlSE)"),"#N/A")</f>
        <v>#N/A</v>
      </c>
      <c r="BA3332" s="61" t="str">
        <f>IFERROR(__xludf.DUMMYFUNCTION("vlookup(BB3332,importrange(""https://docs.google.com/spreadsheets/d/1d2vevQ_7D_v35q4wCQ4RpQ_IPoTwEMB9Yp6ymwlPqew/edit?gid=984458430#gid=984458430"", ""'replication success'!A:M""), 13, FAlSE)"),"#N/A")</f>
        <v>#N/A</v>
      </c>
      <c r="BB3332" s="61" t="str">
        <f>IFERROR(__xludf.DUMMYFUNCTION("REGEXREPLACE(G3332, ""_[a-z]{1,2}$"", """")"),"")</f>
        <v/>
      </c>
    </row>
    <row r="3333">
      <c r="A3333" s="44">
        <v>3333.0</v>
      </c>
      <c r="B3333" s="129"/>
      <c r="C3333" s="62"/>
      <c r="D3333" s="62"/>
      <c r="F3333" s="68"/>
      <c r="G3333" s="159"/>
      <c r="H3333" s="159"/>
      <c r="I3333" s="1287"/>
      <c r="J3333" s="152"/>
      <c r="K3333" s="68"/>
      <c r="L3333" s="68"/>
      <c r="M3333" s="159"/>
      <c r="N3333" s="159"/>
      <c r="O3333" s="68"/>
      <c r="P3333" s="382"/>
      <c r="Q3333" s="2418"/>
      <c r="R3333" s="159"/>
      <c r="S3333" s="159"/>
      <c r="T3333" s="68"/>
      <c r="U3333" s="68"/>
      <c r="V3333" s="382"/>
      <c r="W3333" s="1228"/>
      <c r="X3333" s="2419"/>
      <c r="Y3333" s="159"/>
      <c r="Z3333" s="159"/>
      <c r="AA3333" s="159"/>
      <c r="AB3333" s="159"/>
      <c r="AC3333" s="159"/>
      <c r="AD3333" s="68"/>
      <c r="AE3333" s="68"/>
      <c r="AF3333" s="156"/>
      <c r="AG3333" s="156"/>
      <c r="AH3333" s="159"/>
      <c r="AI3333" s="159"/>
      <c r="AJ3333" s="336"/>
      <c r="AK3333" s="159"/>
      <c r="AL3333" s="159"/>
      <c r="AM3333" s="159"/>
      <c r="AN3333" s="159"/>
      <c r="AO3333" s="156"/>
      <c r="AP3333" s="156"/>
      <c r="AQ3333" s="159"/>
      <c r="AR3333" s="159"/>
      <c r="AS3333" s="156"/>
      <c r="AT3333" s="159"/>
      <c r="AU3333" s="159"/>
      <c r="AV3333" s="159"/>
      <c r="AW3333" s="435"/>
      <c r="AX3333" s="159"/>
      <c r="AY3333" s="61" t="str">
        <f>IFERROR(__xludf.DUMMYFUNCTION("vlookup(BB3333,importrange(""https://docs.google.com/spreadsheets/d/1d2vevQ_7D_v35q4wCQ4RpQ_IPoTwEMB9Yp6ymwlPqew/edit?gid=984458430#gid=984458430"", ""'replication success'!A:K""), 11, FAlSE)"),"#N/A")</f>
        <v>#N/A</v>
      </c>
      <c r="AZ3333" s="61" t="str">
        <f>IFERROR(__xludf.DUMMYFUNCTION("vlookup(BB3333,importrange(""https://docs.google.com/spreadsheets/d/1d2vevQ_7D_v35q4wCQ4RpQ_IPoTwEMB9Yp6ymwlPqew/edit?gid=984458430#gid=984458430"", ""'replication success'!A:M""), 12, FAlSE)"),"#N/A")</f>
        <v>#N/A</v>
      </c>
      <c r="BA3333" s="61" t="str">
        <f>IFERROR(__xludf.DUMMYFUNCTION("vlookup(BB3333,importrange(""https://docs.google.com/spreadsheets/d/1d2vevQ_7D_v35q4wCQ4RpQ_IPoTwEMB9Yp6ymwlPqew/edit?gid=984458430#gid=984458430"", ""'replication success'!A:M""), 13, FAlSE)"),"#N/A")</f>
        <v>#N/A</v>
      </c>
      <c r="BB3333" s="61" t="str">
        <f>IFERROR(__xludf.DUMMYFUNCTION("REGEXREPLACE(G3333, ""_[a-z]{1,2}$"", """")"),"")</f>
        <v/>
      </c>
    </row>
    <row r="3334">
      <c r="A3334" s="44">
        <v>3334.0</v>
      </c>
      <c r="B3334" s="129"/>
      <c r="C3334" s="62"/>
      <c r="D3334" s="62"/>
      <c r="F3334" s="68"/>
      <c r="G3334" s="159"/>
      <c r="H3334" s="159"/>
      <c r="I3334" s="1287"/>
      <c r="J3334" s="152"/>
      <c r="K3334" s="68"/>
      <c r="L3334" s="68"/>
      <c r="M3334" s="159"/>
      <c r="N3334" s="159"/>
      <c r="O3334" s="68"/>
      <c r="P3334" s="382"/>
      <c r="Q3334" s="2418"/>
      <c r="R3334" s="159"/>
      <c r="S3334" s="159"/>
      <c r="T3334" s="68"/>
      <c r="U3334" s="68"/>
      <c r="V3334" s="382"/>
      <c r="W3334" s="1228"/>
      <c r="X3334" s="2419"/>
      <c r="Y3334" s="159"/>
      <c r="Z3334" s="159"/>
      <c r="AA3334" s="159"/>
      <c r="AB3334" s="159"/>
      <c r="AC3334" s="159"/>
      <c r="AD3334" s="68"/>
      <c r="AE3334" s="68"/>
      <c r="AF3334" s="156"/>
      <c r="AG3334" s="156"/>
      <c r="AH3334" s="159"/>
      <c r="AI3334" s="159"/>
      <c r="AJ3334" s="336"/>
      <c r="AK3334" s="159"/>
      <c r="AL3334" s="159"/>
      <c r="AM3334" s="159"/>
      <c r="AN3334" s="159"/>
      <c r="AO3334" s="156"/>
      <c r="AP3334" s="156"/>
      <c r="AQ3334" s="159"/>
      <c r="AR3334" s="159"/>
      <c r="AS3334" s="156"/>
      <c r="AT3334" s="159"/>
      <c r="AU3334" s="159"/>
      <c r="AV3334" s="159"/>
      <c r="AW3334" s="435"/>
      <c r="AX3334" s="159"/>
      <c r="AY3334" s="61" t="str">
        <f>IFERROR(__xludf.DUMMYFUNCTION("vlookup(BB3334,importrange(""https://docs.google.com/spreadsheets/d/1d2vevQ_7D_v35q4wCQ4RpQ_IPoTwEMB9Yp6ymwlPqew/edit?gid=984458430#gid=984458430"", ""'replication success'!A:K""), 11, FAlSE)"),"#N/A")</f>
        <v>#N/A</v>
      </c>
      <c r="AZ3334" s="61" t="str">
        <f>IFERROR(__xludf.DUMMYFUNCTION("vlookup(BB3334,importrange(""https://docs.google.com/spreadsheets/d/1d2vevQ_7D_v35q4wCQ4RpQ_IPoTwEMB9Yp6ymwlPqew/edit?gid=984458430#gid=984458430"", ""'replication success'!A:M""), 12, FAlSE)"),"#N/A")</f>
        <v>#N/A</v>
      </c>
      <c r="BA3334" s="61" t="str">
        <f>IFERROR(__xludf.DUMMYFUNCTION("vlookup(BB3334,importrange(""https://docs.google.com/spreadsheets/d/1d2vevQ_7D_v35q4wCQ4RpQ_IPoTwEMB9Yp6ymwlPqew/edit?gid=984458430#gid=984458430"", ""'replication success'!A:M""), 13, FAlSE)"),"#N/A")</f>
        <v>#N/A</v>
      </c>
      <c r="BB3334" s="61" t="str">
        <f>IFERROR(__xludf.DUMMYFUNCTION("REGEXREPLACE(G3334, ""_[a-z]{1,2}$"", """")"),"")</f>
        <v/>
      </c>
    </row>
    <row r="3335">
      <c r="A3335" s="44">
        <v>3335.0</v>
      </c>
      <c r="B3335" s="129"/>
      <c r="C3335" s="62"/>
      <c r="D3335" s="62"/>
      <c r="F3335" s="68"/>
      <c r="G3335" s="159"/>
      <c r="H3335" s="159"/>
      <c r="I3335" s="1287"/>
      <c r="J3335" s="152"/>
      <c r="K3335" s="68"/>
      <c r="L3335" s="68"/>
      <c r="M3335" s="159"/>
      <c r="N3335" s="159"/>
      <c r="O3335" s="68"/>
      <c r="P3335" s="382"/>
      <c r="Q3335" s="2418"/>
      <c r="R3335" s="159"/>
      <c r="S3335" s="159"/>
      <c r="T3335" s="68"/>
      <c r="U3335" s="68"/>
      <c r="V3335" s="382"/>
      <c r="W3335" s="1228"/>
      <c r="X3335" s="2419"/>
      <c r="Y3335" s="159"/>
      <c r="Z3335" s="159"/>
      <c r="AA3335" s="159"/>
      <c r="AB3335" s="159"/>
      <c r="AC3335" s="159"/>
      <c r="AD3335" s="68"/>
      <c r="AE3335" s="68"/>
      <c r="AF3335" s="156"/>
      <c r="AG3335" s="156"/>
      <c r="AH3335" s="159"/>
      <c r="AI3335" s="159"/>
      <c r="AJ3335" s="336"/>
      <c r="AK3335" s="159"/>
      <c r="AL3335" s="159"/>
      <c r="AM3335" s="159"/>
      <c r="AN3335" s="159"/>
      <c r="AO3335" s="156"/>
      <c r="AP3335" s="156"/>
      <c r="AQ3335" s="159"/>
      <c r="AR3335" s="159"/>
      <c r="AS3335" s="156"/>
      <c r="AT3335" s="159"/>
      <c r="AU3335" s="159"/>
      <c r="AV3335" s="159"/>
      <c r="AW3335" s="435"/>
      <c r="AX3335" s="159"/>
      <c r="AY3335" s="61" t="str">
        <f>IFERROR(__xludf.DUMMYFUNCTION("vlookup(BB3335,importrange(""https://docs.google.com/spreadsheets/d/1d2vevQ_7D_v35q4wCQ4RpQ_IPoTwEMB9Yp6ymwlPqew/edit?gid=984458430#gid=984458430"", ""'replication success'!A:K""), 11, FAlSE)"),"#N/A")</f>
        <v>#N/A</v>
      </c>
      <c r="AZ3335" s="61" t="str">
        <f>IFERROR(__xludf.DUMMYFUNCTION("vlookup(BB3335,importrange(""https://docs.google.com/spreadsheets/d/1d2vevQ_7D_v35q4wCQ4RpQ_IPoTwEMB9Yp6ymwlPqew/edit?gid=984458430#gid=984458430"", ""'replication success'!A:M""), 12, FAlSE)"),"#N/A")</f>
        <v>#N/A</v>
      </c>
      <c r="BA3335" s="61" t="str">
        <f>IFERROR(__xludf.DUMMYFUNCTION("vlookup(BB3335,importrange(""https://docs.google.com/spreadsheets/d/1d2vevQ_7D_v35q4wCQ4RpQ_IPoTwEMB9Yp6ymwlPqew/edit?gid=984458430#gid=984458430"", ""'replication success'!A:M""), 13, FAlSE)"),"#N/A")</f>
        <v>#N/A</v>
      </c>
      <c r="BB3335" s="61" t="str">
        <f>IFERROR(__xludf.DUMMYFUNCTION("REGEXREPLACE(G3335, ""_[a-z]{1,2}$"", """")"),"")</f>
        <v/>
      </c>
    </row>
    <row r="3336">
      <c r="A3336" s="44">
        <v>3336.0</v>
      </c>
      <c r="B3336" s="129"/>
      <c r="C3336" s="62"/>
      <c r="D3336" s="62"/>
      <c r="F3336" s="68"/>
      <c r="G3336" s="159"/>
      <c r="H3336" s="159"/>
      <c r="I3336" s="1287"/>
      <c r="J3336" s="152"/>
      <c r="K3336" s="68"/>
      <c r="L3336" s="68"/>
      <c r="M3336" s="159"/>
      <c r="N3336" s="159"/>
      <c r="O3336" s="68"/>
      <c r="P3336" s="382"/>
      <c r="Q3336" s="2418"/>
      <c r="R3336" s="159"/>
      <c r="S3336" s="159"/>
      <c r="T3336" s="68"/>
      <c r="U3336" s="68"/>
      <c r="V3336" s="382"/>
      <c r="W3336" s="1228"/>
      <c r="X3336" s="2419"/>
      <c r="Y3336" s="159"/>
      <c r="Z3336" s="159"/>
      <c r="AA3336" s="159"/>
      <c r="AB3336" s="159"/>
      <c r="AC3336" s="159"/>
      <c r="AD3336" s="68"/>
      <c r="AE3336" s="68"/>
      <c r="AF3336" s="156"/>
      <c r="AG3336" s="156"/>
      <c r="AH3336" s="159"/>
      <c r="AI3336" s="159"/>
      <c r="AJ3336" s="336"/>
      <c r="AK3336" s="159"/>
      <c r="AL3336" s="159"/>
      <c r="AM3336" s="159"/>
      <c r="AN3336" s="159"/>
      <c r="AO3336" s="156"/>
      <c r="AP3336" s="156"/>
      <c r="AQ3336" s="159"/>
      <c r="AR3336" s="159"/>
      <c r="AS3336" s="156"/>
      <c r="AT3336" s="159"/>
      <c r="AU3336" s="159"/>
      <c r="AV3336" s="159"/>
      <c r="AW3336" s="435"/>
      <c r="AX3336" s="159"/>
      <c r="AY3336" s="61" t="str">
        <f>IFERROR(__xludf.DUMMYFUNCTION("vlookup(BB3336,importrange(""https://docs.google.com/spreadsheets/d/1d2vevQ_7D_v35q4wCQ4RpQ_IPoTwEMB9Yp6ymwlPqew/edit?gid=984458430#gid=984458430"", ""'replication success'!A:K""), 11, FAlSE)"),"#N/A")</f>
        <v>#N/A</v>
      </c>
      <c r="AZ3336" s="61" t="str">
        <f>IFERROR(__xludf.DUMMYFUNCTION("vlookup(BB3336,importrange(""https://docs.google.com/spreadsheets/d/1d2vevQ_7D_v35q4wCQ4RpQ_IPoTwEMB9Yp6ymwlPqew/edit?gid=984458430#gid=984458430"", ""'replication success'!A:M""), 12, FAlSE)"),"#N/A")</f>
        <v>#N/A</v>
      </c>
      <c r="BA3336" s="61" t="str">
        <f>IFERROR(__xludf.DUMMYFUNCTION("vlookup(BB3336,importrange(""https://docs.google.com/spreadsheets/d/1d2vevQ_7D_v35q4wCQ4RpQ_IPoTwEMB9Yp6ymwlPqew/edit?gid=984458430#gid=984458430"", ""'replication success'!A:M""), 13, FAlSE)"),"#N/A")</f>
        <v>#N/A</v>
      </c>
      <c r="BB3336" s="61" t="str">
        <f>IFERROR(__xludf.DUMMYFUNCTION("REGEXREPLACE(G3336, ""_[a-z]{1,2}$"", """")"),"")</f>
        <v/>
      </c>
    </row>
    <row r="3337">
      <c r="A3337" s="44">
        <v>3337.0</v>
      </c>
      <c r="B3337" s="129"/>
      <c r="C3337" s="62"/>
      <c r="D3337" s="62"/>
      <c r="F3337" s="68"/>
      <c r="G3337" s="159"/>
      <c r="H3337" s="159"/>
      <c r="I3337" s="1287"/>
      <c r="J3337" s="152"/>
      <c r="K3337" s="68"/>
      <c r="L3337" s="68"/>
      <c r="M3337" s="159"/>
      <c r="N3337" s="159"/>
      <c r="O3337" s="68"/>
      <c r="P3337" s="382"/>
      <c r="Q3337" s="2418"/>
      <c r="R3337" s="159"/>
      <c r="S3337" s="159"/>
      <c r="T3337" s="68"/>
      <c r="U3337" s="68"/>
      <c r="V3337" s="382"/>
      <c r="W3337" s="1228"/>
      <c r="X3337" s="2419"/>
      <c r="Y3337" s="159"/>
      <c r="Z3337" s="159"/>
      <c r="AA3337" s="159"/>
      <c r="AB3337" s="159"/>
      <c r="AC3337" s="159"/>
      <c r="AD3337" s="68"/>
      <c r="AE3337" s="68"/>
      <c r="AF3337" s="156"/>
      <c r="AG3337" s="156"/>
      <c r="AH3337" s="159"/>
      <c r="AI3337" s="159"/>
      <c r="AJ3337" s="336"/>
      <c r="AK3337" s="159"/>
      <c r="AL3337" s="159"/>
      <c r="AM3337" s="159"/>
      <c r="AN3337" s="159"/>
      <c r="AO3337" s="156"/>
      <c r="AP3337" s="156"/>
      <c r="AQ3337" s="159"/>
      <c r="AR3337" s="159"/>
      <c r="AS3337" s="156"/>
      <c r="AT3337" s="159"/>
      <c r="AU3337" s="159"/>
      <c r="AV3337" s="159"/>
      <c r="AW3337" s="435"/>
      <c r="AX3337" s="159"/>
      <c r="AY3337" s="61" t="str">
        <f>IFERROR(__xludf.DUMMYFUNCTION("vlookup(BB3337,importrange(""https://docs.google.com/spreadsheets/d/1d2vevQ_7D_v35q4wCQ4RpQ_IPoTwEMB9Yp6ymwlPqew/edit?gid=984458430#gid=984458430"", ""'replication success'!A:K""), 11, FAlSE)"),"#N/A")</f>
        <v>#N/A</v>
      </c>
      <c r="AZ3337" s="61" t="str">
        <f>IFERROR(__xludf.DUMMYFUNCTION("vlookup(BB3337,importrange(""https://docs.google.com/spreadsheets/d/1d2vevQ_7D_v35q4wCQ4RpQ_IPoTwEMB9Yp6ymwlPqew/edit?gid=984458430#gid=984458430"", ""'replication success'!A:M""), 12, FAlSE)"),"#N/A")</f>
        <v>#N/A</v>
      </c>
      <c r="BA3337" s="61" t="str">
        <f>IFERROR(__xludf.DUMMYFUNCTION("vlookup(BB3337,importrange(""https://docs.google.com/spreadsheets/d/1d2vevQ_7D_v35q4wCQ4RpQ_IPoTwEMB9Yp6ymwlPqew/edit?gid=984458430#gid=984458430"", ""'replication success'!A:M""), 13, FAlSE)"),"#N/A")</f>
        <v>#N/A</v>
      </c>
      <c r="BB3337" s="61" t="str">
        <f>IFERROR(__xludf.DUMMYFUNCTION("REGEXREPLACE(G3337, ""_[a-z]{1,2}$"", """")"),"")</f>
        <v/>
      </c>
    </row>
    <row r="3338">
      <c r="A3338" s="44">
        <v>3338.0</v>
      </c>
      <c r="B3338" s="129"/>
      <c r="C3338" s="62"/>
      <c r="D3338" s="62"/>
      <c r="F3338" s="68"/>
      <c r="G3338" s="159"/>
      <c r="H3338" s="159"/>
      <c r="I3338" s="1287"/>
      <c r="J3338" s="152"/>
      <c r="K3338" s="68"/>
      <c r="L3338" s="68"/>
      <c r="M3338" s="159"/>
      <c r="N3338" s="159"/>
      <c r="O3338" s="68"/>
      <c r="P3338" s="382"/>
      <c r="Q3338" s="2418"/>
      <c r="R3338" s="159"/>
      <c r="S3338" s="159"/>
      <c r="T3338" s="68"/>
      <c r="U3338" s="68"/>
      <c r="V3338" s="382"/>
      <c r="W3338" s="1228"/>
      <c r="X3338" s="2419"/>
      <c r="Y3338" s="159"/>
      <c r="Z3338" s="159"/>
      <c r="AA3338" s="159"/>
      <c r="AB3338" s="159"/>
      <c r="AC3338" s="159"/>
      <c r="AD3338" s="68"/>
      <c r="AE3338" s="68"/>
      <c r="AF3338" s="156"/>
      <c r="AG3338" s="156"/>
      <c r="AH3338" s="159"/>
      <c r="AI3338" s="159"/>
      <c r="AJ3338" s="336"/>
      <c r="AK3338" s="159"/>
      <c r="AL3338" s="159"/>
      <c r="AM3338" s="159"/>
      <c r="AN3338" s="159"/>
      <c r="AO3338" s="156"/>
      <c r="AP3338" s="156"/>
      <c r="AQ3338" s="159"/>
      <c r="AR3338" s="159"/>
      <c r="AS3338" s="156"/>
      <c r="AT3338" s="159"/>
      <c r="AU3338" s="159"/>
      <c r="AV3338" s="159"/>
      <c r="AW3338" s="435"/>
      <c r="AX3338" s="159"/>
      <c r="AY3338" s="61" t="str">
        <f>IFERROR(__xludf.DUMMYFUNCTION("vlookup(BB3338,importrange(""https://docs.google.com/spreadsheets/d/1d2vevQ_7D_v35q4wCQ4RpQ_IPoTwEMB9Yp6ymwlPqew/edit?gid=984458430#gid=984458430"", ""'replication success'!A:K""), 11, FAlSE)"),"#N/A")</f>
        <v>#N/A</v>
      </c>
      <c r="AZ3338" s="61" t="str">
        <f>IFERROR(__xludf.DUMMYFUNCTION("vlookup(BB3338,importrange(""https://docs.google.com/spreadsheets/d/1d2vevQ_7D_v35q4wCQ4RpQ_IPoTwEMB9Yp6ymwlPqew/edit?gid=984458430#gid=984458430"", ""'replication success'!A:M""), 12, FAlSE)"),"#N/A")</f>
        <v>#N/A</v>
      </c>
      <c r="BA3338" s="61" t="str">
        <f>IFERROR(__xludf.DUMMYFUNCTION("vlookup(BB3338,importrange(""https://docs.google.com/spreadsheets/d/1d2vevQ_7D_v35q4wCQ4RpQ_IPoTwEMB9Yp6ymwlPqew/edit?gid=984458430#gid=984458430"", ""'replication success'!A:M""), 13, FAlSE)"),"#N/A")</f>
        <v>#N/A</v>
      </c>
      <c r="BB3338" s="61" t="str">
        <f>IFERROR(__xludf.DUMMYFUNCTION("REGEXREPLACE(G3338, ""_[a-z]{1,2}$"", """")"),"")</f>
        <v/>
      </c>
    </row>
    <row r="3339">
      <c r="A3339" s="44">
        <v>3339.0</v>
      </c>
      <c r="B3339" s="129"/>
      <c r="C3339" s="62"/>
      <c r="D3339" s="62"/>
      <c r="F3339" s="68"/>
      <c r="G3339" s="159"/>
      <c r="H3339" s="159"/>
      <c r="I3339" s="1287"/>
      <c r="J3339" s="152"/>
      <c r="K3339" s="68"/>
      <c r="L3339" s="68"/>
      <c r="M3339" s="159"/>
      <c r="N3339" s="159"/>
      <c r="O3339" s="68"/>
      <c r="P3339" s="382"/>
      <c r="Q3339" s="2418"/>
      <c r="R3339" s="159"/>
      <c r="S3339" s="159"/>
      <c r="T3339" s="68"/>
      <c r="U3339" s="68"/>
      <c r="V3339" s="382"/>
      <c r="W3339" s="1228"/>
      <c r="X3339" s="2419"/>
      <c r="Y3339" s="159"/>
      <c r="Z3339" s="159"/>
      <c r="AA3339" s="159"/>
      <c r="AB3339" s="159"/>
      <c r="AC3339" s="159"/>
      <c r="AD3339" s="68"/>
      <c r="AE3339" s="68"/>
      <c r="AF3339" s="156"/>
      <c r="AG3339" s="156"/>
      <c r="AH3339" s="159"/>
      <c r="AI3339" s="159"/>
      <c r="AJ3339" s="336"/>
      <c r="AK3339" s="159"/>
      <c r="AL3339" s="159"/>
      <c r="AM3339" s="159"/>
      <c r="AN3339" s="159"/>
      <c r="AO3339" s="156"/>
      <c r="AP3339" s="156"/>
      <c r="AQ3339" s="159"/>
      <c r="AR3339" s="159"/>
      <c r="AS3339" s="156"/>
      <c r="AT3339" s="159"/>
      <c r="AU3339" s="159"/>
      <c r="AV3339" s="159"/>
      <c r="AW3339" s="435"/>
      <c r="AX3339" s="159"/>
      <c r="AY3339" s="61" t="str">
        <f>IFERROR(__xludf.DUMMYFUNCTION("vlookup(BB3339,importrange(""https://docs.google.com/spreadsheets/d/1d2vevQ_7D_v35q4wCQ4RpQ_IPoTwEMB9Yp6ymwlPqew/edit?gid=984458430#gid=984458430"", ""'replication success'!A:K""), 11, FAlSE)"),"#N/A")</f>
        <v>#N/A</v>
      </c>
      <c r="AZ3339" s="61" t="str">
        <f>IFERROR(__xludf.DUMMYFUNCTION("vlookup(BB3339,importrange(""https://docs.google.com/spreadsheets/d/1d2vevQ_7D_v35q4wCQ4RpQ_IPoTwEMB9Yp6ymwlPqew/edit?gid=984458430#gid=984458430"", ""'replication success'!A:M""), 12, FAlSE)"),"#N/A")</f>
        <v>#N/A</v>
      </c>
      <c r="BA3339" s="61" t="str">
        <f>IFERROR(__xludf.DUMMYFUNCTION("vlookup(BB3339,importrange(""https://docs.google.com/spreadsheets/d/1d2vevQ_7D_v35q4wCQ4RpQ_IPoTwEMB9Yp6ymwlPqew/edit?gid=984458430#gid=984458430"", ""'replication success'!A:M""), 13, FAlSE)"),"#N/A")</f>
        <v>#N/A</v>
      </c>
      <c r="BB3339" s="61" t="str">
        <f>IFERROR(__xludf.DUMMYFUNCTION("REGEXREPLACE(G3339, ""_[a-z]{1,2}$"", """")"),"")</f>
        <v/>
      </c>
    </row>
    <row r="3340">
      <c r="A3340" s="44">
        <v>3340.0</v>
      </c>
      <c r="B3340" s="129"/>
      <c r="C3340" s="62"/>
      <c r="D3340" s="62"/>
      <c r="F3340" s="68"/>
      <c r="G3340" s="159"/>
      <c r="H3340" s="159"/>
      <c r="I3340" s="1287"/>
      <c r="J3340" s="152"/>
      <c r="K3340" s="68"/>
      <c r="L3340" s="68"/>
      <c r="M3340" s="159"/>
      <c r="N3340" s="159"/>
      <c r="O3340" s="68"/>
      <c r="P3340" s="382"/>
      <c r="Q3340" s="2418"/>
      <c r="R3340" s="159"/>
      <c r="S3340" s="159"/>
      <c r="T3340" s="68"/>
      <c r="U3340" s="68"/>
      <c r="V3340" s="382"/>
      <c r="W3340" s="1228"/>
      <c r="X3340" s="2419"/>
      <c r="Y3340" s="159"/>
      <c r="Z3340" s="159"/>
      <c r="AA3340" s="159"/>
      <c r="AB3340" s="159"/>
      <c r="AC3340" s="159"/>
      <c r="AD3340" s="68"/>
      <c r="AE3340" s="68"/>
      <c r="AF3340" s="156"/>
      <c r="AG3340" s="156"/>
      <c r="AH3340" s="159"/>
      <c r="AI3340" s="159"/>
      <c r="AJ3340" s="336"/>
      <c r="AK3340" s="159"/>
      <c r="AL3340" s="159"/>
      <c r="AM3340" s="159"/>
      <c r="AN3340" s="159"/>
      <c r="AO3340" s="156"/>
      <c r="AP3340" s="156"/>
      <c r="AQ3340" s="159"/>
      <c r="AR3340" s="159"/>
      <c r="AS3340" s="156"/>
      <c r="AT3340" s="159"/>
      <c r="AU3340" s="159"/>
      <c r="AV3340" s="159"/>
      <c r="AW3340" s="435"/>
      <c r="AX3340" s="159"/>
      <c r="AY3340" s="61" t="str">
        <f>IFERROR(__xludf.DUMMYFUNCTION("vlookup(BB3340,importrange(""https://docs.google.com/spreadsheets/d/1d2vevQ_7D_v35q4wCQ4RpQ_IPoTwEMB9Yp6ymwlPqew/edit?gid=984458430#gid=984458430"", ""'replication success'!A:K""), 11, FAlSE)"),"#N/A")</f>
        <v>#N/A</v>
      </c>
      <c r="AZ3340" s="61" t="str">
        <f>IFERROR(__xludf.DUMMYFUNCTION("vlookup(BB3340,importrange(""https://docs.google.com/spreadsheets/d/1d2vevQ_7D_v35q4wCQ4RpQ_IPoTwEMB9Yp6ymwlPqew/edit?gid=984458430#gid=984458430"", ""'replication success'!A:M""), 12, FAlSE)"),"#N/A")</f>
        <v>#N/A</v>
      </c>
      <c r="BA3340" s="61" t="str">
        <f>IFERROR(__xludf.DUMMYFUNCTION("vlookup(BB3340,importrange(""https://docs.google.com/spreadsheets/d/1d2vevQ_7D_v35q4wCQ4RpQ_IPoTwEMB9Yp6ymwlPqew/edit?gid=984458430#gid=984458430"", ""'replication success'!A:M""), 13, FAlSE)"),"#N/A")</f>
        <v>#N/A</v>
      </c>
      <c r="BB3340" s="61" t="str">
        <f>IFERROR(__xludf.DUMMYFUNCTION("REGEXREPLACE(G3340, ""_[a-z]{1,2}$"", """")"),"")</f>
        <v/>
      </c>
    </row>
    <row r="3341">
      <c r="A3341" s="44">
        <v>3341.0</v>
      </c>
      <c r="B3341" s="129"/>
      <c r="C3341" s="62"/>
      <c r="D3341" s="62"/>
      <c r="F3341" s="68"/>
      <c r="G3341" s="159"/>
      <c r="H3341" s="159"/>
      <c r="I3341" s="1287"/>
      <c r="J3341" s="152"/>
      <c r="K3341" s="68"/>
      <c r="L3341" s="68"/>
      <c r="M3341" s="159"/>
      <c r="N3341" s="159"/>
      <c r="O3341" s="68"/>
      <c r="P3341" s="382"/>
      <c r="Q3341" s="2418"/>
      <c r="R3341" s="159"/>
      <c r="S3341" s="159"/>
      <c r="T3341" s="68"/>
      <c r="U3341" s="68"/>
      <c r="V3341" s="382"/>
      <c r="W3341" s="1228"/>
      <c r="X3341" s="2419"/>
      <c r="Y3341" s="159"/>
      <c r="Z3341" s="159"/>
      <c r="AA3341" s="159"/>
      <c r="AB3341" s="159"/>
      <c r="AC3341" s="159"/>
      <c r="AD3341" s="68"/>
      <c r="AE3341" s="68"/>
      <c r="AF3341" s="156"/>
      <c r="AG3341" s="156"/>
      <c r="AH3341" s="159"/>
      <c r="AI3341" s="159"/>
      <c r="AJ3341" s="336"/>
      <c r="AK3341" s="159"/>
      <c r="AL3341" s="159"/>
      <c r="AM3341" s="159"/>
      <c r="AN3341" s="159"/>
      <c r="AO3341" s="156"/>
      <c r="AP3341" s="156"/>
      <c r="AQ3341" s="159"/>
      <c r="AR3341" s="159"/>
      <c r="AS3341" s="156"/>
      <c r="AT3341" s="159"/>
      <c r="AU3341" s="159"/>
      <c r="AV3341" s="159"/>
      <c r="AW3341" s="435"/>
      <c r="AX3341" s="159"/>
      <c r="AY3341" s="61" t="str">
        <f>IFERROR(__xludf.DUMMYFUNCTION("vlookup(BB3341,importrange(""https://docs.google.com/spreadsheets/d/1d2vevQ_7D_v35q4wCQ4RpQ_IPoTwEMB9Yp6ymwlPqew/edit?gid=984458430#gid=984458430"", ""'replication success'!A:K""), 11, FAlSE)"),"#N/A")</f>
        <v>#N/A</v>
      </c>
      <c r="AZ3341" s="61" t="str">
        <f>IFERROR(__xludf.DUMMYFUNCTION("vlookup(BB3341,importrange(""https://docs.google.com/spreadsheets/d/1d2vevQ_7D_v35q4wCQ4RpQ_IPoTwEMB9Yp6ymwlPqew/edit?gid=984458430#gid=984458430"", ""'replication success'!A:M""), 12, FAlSE)"),"#N/A")</f>
        <v>#N/A</v>
      </c>
      <c r="BA3341" s="61" t="str">
        <f>IFERROR(__xludf.DUMMYFUNCTION("vlookup(BB3341,importrange(""https://docs.google.com/spreadsheets/d/1d2vevQ_7D_v35q4wCQ4RpQ_IPoTwEMB9Yp6ymwlPqew/edit?gid=984458430#gid=984458430"", ""'replication success'!A:M""), 13, FAlSE)"),"#N/A")</f>
        <v>#N/A</v>
      </c>
      <c r="BB3341" s="61" t="str">
        <f>IFERROR(__xludf.DUMMYFUNCTION("REGEXREPLACE(G3341, ""_[a-z]{1,2}$"", """")"),"")</f>
        <v/>
      </c>
    </row>
    <row r="3342">
      <c r="A3342" s="44">
        <v>3342.0</v>
      </c>
      <c r="B3342" s="129"/>
      <c r="C3342" s="62"/>
      <c r="D3342" s="62"/>
      <c r="F3342" s="68"/>
      <c r="G3342" s="159"/>
      <c r="H3342" s="159"/>
      <c r="I3342" s="1287"/>
      <c r="J3342" s="152"/>
      <c r="K3342" s="68"/>
      <c r="L3342" s="68"/>
      <c r="M3342" s="159"/>
      <c r="N3342" s="159"/>
      <c r="O3342" s="68"/>
      <c r="P3342" s="382"/>
      <c r="Q3342" s="2418"/>
      <c r="R3342" s="159"/>
      <c r="S3342" s="159"/>
      <c r="T3342" s="68"/>
      <c r="U3342" s="68"/>
      <c r="V3342" s="382"/>
      <c r="W3342" s="1228"/>
      <c r="X3342" s="2419"/>
      <c r="Y3342" s="159"/>
      <c r="Z3342" s="159"/>
      <c r="AA3342" s="159"/>
      <c r="AB3342" s="159"/>
      <c r="AC3342" s="159"/>
      <c r="AD3342" s="68"/>
      <c r="AE3342" s="68"/>
      <c r="AF3342" s="156"/>
      <c r="AG3342" s="156"/>
      <c r="AH3342" s="159"/>
      <c r="AI3342" s="159"/>
      <c r="AJ3342" s="336"/>
      <c r="AK3342" s="159"/>
      <c r="AL3342" s="159"/>
      <c r="AM3342" s="159"/>
      <c r="AN3342" s="159"/>
      <c r="AO3342" s="156"/>
      <c r="AP3342" s="156"/>
      <c r="AQ3342" s="159"/>
      <c r="AR3342" s="159"/>
      <c r="AS3342" s="156"/>
      <c r="AT3342" s="159"/>
      <c r="AU3342" s="159"/>
      <c r="AV3342" s="159"/>
      <c r="AW3342" s="435"/>
      <c r="AX3342" s="159"/>
      <c r="AY3342" s="61" t="str">
        <f>IFERROR(__xludf.DUMMYFUNCTION("vlookup(BB3342,importrange(""https://docs.google.com/spreadsheets/d/1d2vevQ_7D_v35q4wCQ4RpQ_IPoTwEMB9Yp6ymwlPqew/edit?gid=984458430#gid=984458430"", ""'replication success'!A:K""), 11, FAlSE)"),"#N/A")</f>
        <v>#N/A</v>
      </c>
      <c r="AZ3342" s="61" t="str">
        <f>IFERROR(__xludf.DUMMYFUNCTION("vlookup(BB3342,importrange(""https://docs.google.com/spreadsheets/d/1d2vevQ_7D_v35q4wCQ4RpQ_IPoTwEMB9Yp6ymwlPqew/edit?gid=984458430#gid=984458430"", ""'replication success'!A:M""), 12, FAlSE)"),"#N/A")</f>
        <v>#N/A</v>
      </c>
      <c r="BA3342" s="61" t="str">
        <f>IFERROR(__xludf.DUMMYFUNCTION("vlookup(BB3342,importrange(""https://docs.google.com/spreadsheets/d/1d2vevQ_7D_v35q4wCQ4RpQ_IPoTwEMB9Yp6ymwlPqew/edit?gid=984458430#gid=984458430"", ""'replication success'!A:M""), 13, FAlSE)"),"#N/A")</f>
        <v>#N/A</v>
      </c>
      <c r="BB3342" s="61" t="str">
        <f>IFERROR(__xludf.DUMMYFUNCTION("REGEXREPLACE(G3342, ""_[a-z]{1,2}$"", """")"),"")</f>
        <v/>
      </c>
    </row>
    <row r="3343">
      <c r="A3343" s="44">
        <v>3343.0</v>
      </c>
      <c r="B3343" s="129"/>
      <c r="C3343" s="62"/>
      <c r="D3343" s="62"/>
      <c r="F3343" s="68"/>
      <c r="G3343" s="159"/>
      <c r="H3343" s="159"/>
      <c r="I3343" s="1287"/>
      <c r="J3343" s="152"/>
      <c r="K3343" s="68"/>
      <c r="L3343" s="68"/>
      <c r="M3343" s="159"/>
      <c r="N3343" s="159"/>
      <c r="O3343" s="68"/>
      <c r="P3343" s="382"/>
      <c r="Q3343" s="2418"/>
      <c r="R3343" s="159"/>
      <c r="S3343" s="159"/>
      <c r="T3343" s="68"/>
      <c r="U3343" s="68"/>
      <c r="V3343" s="382"/>
      <c r="W3343" s="1228"/>
      <c r="X3343" s="2419"/>
      <c r="Y3343" s="159"/>
      <c r="Z3343" s="159"/>
      <c r="AA3343" s="159"/>
      <c r="AB3343" s="159"/>
      <c r="AC3343" s="159"/>
      <c r="AD3343" s="68"/>
      <c r="AE3343" s="68"/>
      <c r="AF3343" s="156"/>
      <c r="AG3343" s="156"/>
      <c r="AH3343" s="159"/>
      <c r="AI3343" s="159"/>
      <c r="AJ3343" s="336"/>
      <c r="AK3343" s="159"/>
      <c r="AL3343" s="159"/>
      <c r="AM3343" s="159"/>
      <c r="AN3343" s="159"/>
      <c r="AO3343" s="156"/>
      <c r="AP3343" s="156"/>
      <c r="AQ3343" s="159"/>
      <c r="AR3343" s="159"/>
      <c r="AS3343" s="156"/>
      <c r="AT3343" s="159"/>
      <c r="AU3343" s="159"/>
      <c r="AV3343" s="159"/>
      <c r="AW3343" s="435"/>
      <c r="AX3343" s="159"/>
      <c r="AY3343" s="61" t="str">
        <f>IFERROR(__xludf.DUMMYFUNCTION("vlookup(BB3343,importrange(""https://docs.google.com/spreadsheets/d/1d2vevQ_7D_v35q4wCQ4RpQ_IPoTwEMB9Yp6ymwlPqew/edit?gid=984458430#gid=984458430"", ""'replication success'!A:K""), 11, FAlSE)"),"#N/A")</f>
        <v>#N/A</v>
      </c>
      <c r="AZ3343" s="61" t="str">
        <f>IFERROR(__xludf.DUMMYFUNCTION("vlookup(BB3343,importrange(""https://docs.google.com/spreadsheets/d/1d2vevQ_7D_v35q4wCQ4RpQ_IPoTwEMB9Yp6ymwlPqew/edit?gid=984458430#gid=984458430"", ""'replication success'!A:M""), 12, FAlSE)"),"#N/A")</f>
        <v>#N/A</v>
      </c>
      <c r="BA3343" s="61" t="str">
        <f>IFERROR(__xludf.DUMMYFUNCTION("vlookup(BB3343,importrange(""https://docs.google.com/spreadsheets/d/1d2vevQ_7D_v35q4wCQ4RpQ_IPoTwEMB9Yp6ymwlPqew/edit?gid=984458430#gid=984458430"", ""'replication success'!A:M""), 13, FAlSE)"),"#N/A")</f>
        <v>#N/A</v>
      </c>
      <c r="BB3343" s="61" t="str">
        <f>IFERROR(__xludf.DUMMYFUNCTION("REGEXREPLACE(G3343, ""_[a-z]{1,2}$"", """")"),"")</f>
        <v/>
      </c>
    </row>
    <row r="3344">
      <c r="A3344" s="44">
        <v>3344.0</v>
      </c>
      <c r="B3344" s="129"/>
      <c r="C3344" s="62"/>
      <c r="D3344" s="62"/>
      <c r="F3344" s="68"/>
      <c r="G3344" s="159"/>
      <c r="H3344" s="159"/>
      <c r="I3344" s="1287"/>
      <c r="J3344" s="152"/>
      <c r="K3344" s="68"/>
      <c r="L3344" s="68"/>
      <c r="M3344" s="159"/>
      <c r="N3344" s="159"/>
      <c r="O3344" s="68"/>
      <c r="P3344" s="382"/>
      <c r="Q3344" s="2418"/>
      <c r="R3344" s="159"/>
      <c r="S3344" s="159"/>
      <c r="T3344" s="68"/>
      <c r="U3344" s="68"/>
      <c r="V3344" s="382"/>
      <c r="W3344" s="1228"/>
      <c r="X3344" s="2419"/>
      <c r="Y3344" s="159"/>
      <c r="Z3344" s="159"/>
      <c r="AA3344" s="159"/>
      <c r="AB3344" s="159"/>
      <c r="AC3344" s="159"/>
      <c r="AD3344" s="68"/>
      <c r="AE3344" s="68"/>
      <c r="AF3344" s="156"/>
      <c r="AG3344" s="156"/>
      <c r="AH3344" s="159"/>
      <c r="AI3344" s="159"/>
      <c r="AJ3344" s="336"/>
      <c r="AK3344" s="159"/>
      <c r="AL3344" s="159"/>
      <c r="AM3344" s="159"/>
      <c r="AN3344" s="159"/>
      <c r="AO3344" s="156"/>
      <c r="AP3344" s="156"/>
      <c r="AQ3344" s="159"/>
      <c r="AR3344" s="159"/>
      <c r="AS3344" s="156"/>
      <c r="AT3344" s="159"/>
      <c r="AU3344" s="159"/>
      <c r="AV3344" s="159"/>
      <c r="AW3344" s="435"/>
      <c r="AX3344" s="159"/>
      <c r="AY3344" s="61" t="str">
        <f>IFERROR(__xludf.DUMMYFUNCTION("vlookup(BB3344,importrange(""https://docs.google.com/spreadsheets/d/1d2vevQ_7D_v35q4wCQ4RpQ_IPoTwEMB9Yp6ymwlPqew/edit?gid=984458430#gid=984458430"", ""'replication success'!A:K""), 11, FAlSE)"),"#N/A")</f>
        <v>#N/A</v>
      </c>
      <c r="AZ3344" s="61" t="str">
        <f>IFERROR(__xludf.DUMMYFUNCTION("vlookup(BB3344,importrange(""https://docs.google.com/spreadsheets/d/1d2vevQ_7D_v35q4wCQ4RpQ_IPoTwEMB9Yp6ymwlPqew/edit?gid=984458430#gid=984458430"", ""'replication success'!A:M""), 12, FAlSE)"),"#N/A")</f>
        <v>#N/A</v>
      </c>
      <c r="BA3344" s="61" t="str">
        <f>IFERROR(__xludf.DUMMYFUNCTION("vlookup(BB3344,importrange(""https://docs.google.com/spreadsheets/d/1d2vevQ_7D_v35q4wCQ4RpQ_IPoTwEMB9Yp6ymwlPqew/edit?gid=984458430#gid=984458430"", ""'replication success'!A:M""), 13, FAlSE)"),"#N/A")</f>
        <v>#N/A</v>
      </c>
      <c r="BB3344" s="61" t="str">
        <f>IFERROR(__xludf.DUMMYFUNCTION("REGEXREPLACE(G3344, ""_[a-z]{1,2}$"", """")"),"")</f>
        <v/>
      </c>
    </row>
    <row r="3345">
      <c r="A3345" s="44">
        <v>3345.0</v>
      </c>
      <c r="B3345" s="129"/>
      <c r="C3345" s="62"/>
      <c r="D3345" s="62"/>
      <c r="F3345" s="68"/>
      <c r="G3345" s="159"/>
      <c r="H3345" s="159"/>
      <c r="I3345" s="1287"/>
      <c r="J3345" s="152"/>
      <c r="K3345" s="68"/>
      <c r="L3345" s="68"/>
      <c r="M3345" s="159"/>
      <c r="N3345" s="159"/>
      <c r="O3345" s="68"/>
      <c r="P3345" s="382"/>
      <c r="Q3345" s="2418"/>
      <c r="R3345" s="159"/>
      <c r="S3345" s="159"/>
      <c r="T3345" s="68"/>
      <c r="U3345" s="68"/>
      <c r="V3345" s="382"/>
      <c r="W3345" s="1228"/>
      <c r="X3345" s="2419"/>
      <c r="Y3345" s="159"/>
      <c r="Z3345" s="159"/>
      <c r="AA3345" s="159"/>
      <c r="AB3345" s="159"/>
      <c r="AC3345" s="159"/>
      <c r="AD3345" s="68"/>
      <c r="AE3345" s="68"/>
      <c r="AF3345" s="156"/>
      <c r="AG3345" s="156"/>
      <c r="AH3345" s="159"/>
      <c r="AI3345" s="159"/>
      <c r="AJ3345" s="336"/>
      <c r="AK3345" s="159"/>
      <c r="AL3345" s="159"/>
      <c r="AM3345" s="159"/>
      <c r="AN3345" s="159"/>
      <c r="AO3345" s="156"/>
      <c r="AP3345" s="156"/>
      <c r="AQ3345" s="159"/>
      <c r="AR3345" s="159"/>
      <c r="AS3345" s="156"/>
      <c r="AT3345" s="159"/>
      <c r="AU3345" s="159"/>
      <c r="AV3345" s="159"/>
      <c r="AW3345" s="435"/>
      <c r="AX3345" s="159"/>
      <c r="AY3345" s="61" t="str">
        <f>IFERROR(__xludf.DUMMYFUNCTION("vlookup(BB3345,importrange(""https://docs.google.com/spreadsheets/d/1d2vevQ_7D_v35q4wCQ4RpQ_IPoTwEMB9Yp6ymwlPqew/edit?gid=984458430#gid=984458430"", ""'replication success'!A:K""), 11, FAlSE)"),"#N/A")</f>
        <v>#N/A</v>
      </c>
      <c r="AZ3345" s="61" t="str">
        <f>IFERROR(__xludf.DUMMYFUNCTION("vlookup(BB3345,importrange(""https://docs.google.com/spreadsheets/d/1d2vevQ_7D_v35q4wCQ4RpQ_IPoTwEMB9Yp6ymwlPqew/edit?gid=984458430#gid=984458430"", ""'replication success'!A:M""), 12, FAlSE)"),"#N/A")</f>
        <v>#N/A</v>
      </c>
      <c r="BA3345" s="61" t="str">
        <f>IFERROR(__xludf.DUMMYFUNCTION("vlookup(BB3345,importrange(""https://docs.google.com/spreadsheets/d/1d2vevQ_7D_v35q4wCQ4RpQ_IPoTwEMB9Yp6ymwlPqew/edit?gid=984458430#gid=984458430"", ""'replication success'!A:M""), 13, FAlSE)"),"#N/A")</f>
        <v>#N/A</v>
      </c>
      <c r="BB3345" s="61" t="str">
        <f>IFERROR(__xludf.DUMMYFUNCTION("REGEXREPLACE(G3345, ""_[a-z]{1,2}$"", """")"),"")</f>
        <v/>
      </c>
    </row>
    <row r="3346">
      <c r="A3346" s="44">
        <v>3346.0</v>
      </c>
      <c r="B3346" s="129"/>
      <c r="C3346" s="62"/>
      <c r="D3346" s="62"/>
      <c r="F3346" s="68"/>
      <c r="G3346" s="159"/>
      <c r="H3346" s="159"/>
      <c r="I3346" s="1287"/>
      <c r="J3346" s="152"/>
      <c r="K3346" s="68"/>
      <c r="L3346" s="68"/>
      <c r="M3346" s="159"/>
      <c r="N3346" s="159"/>
      <c r="O3346" s="68"/>
      <c r="P3346" s="382"/>
      <c r="Q3346" s="2418"/>
      <c r="R3346" s="159"/>
      <c r="S3346" s="159"/>
      <c r="T3346" s="68"/>
      <c r="U3346" s="68"/>
      <c r="V3346" s="382"/>
      <c r="W3346" s="1228"/>
      <c r="X3346" s="2419"/>
      <c r="Y3346" s="159"/>
      <c r="Z3346" s="159"/>
      <c r="AA3346" s="159"/>
      <c r="AB3346" s="159"/>
      <c r="AC3346" s="159"/>
      <c r="AD3346" s="68"/>
      <c r="AE3346" s="68"/>
      <c r="AF3346" s="156"/>
      <c r="AG3346" s="156"/>
      <c r="AH3346" s="159"/>
      <c r="AI3346" s="159"/>
      <c r="AJ3346" s="336"/>
      <c r="AK3346" s="159"/>
      <c r="AL3346" s="159"/>
      <c r="AM3346" s="159"/>
      <c r="AN3346" s="159"/>
      <c r="AO3346" s="156"/>
      <c r="AP3346" s="156"/>
      <c r="AQ3346" s="159"/>
      <c r="AR3346" s="159"/>
      <c r="AS3346" s="156"/>
      <c r="AT3346" s="159"/>
      <c r="AU3346" s="159"/>
      <c r="AV3346" s="159"/>
      <c r="AW3346" s="435"/>
      <c r="AX3346" s="159"/>
      <c r="AY3346" s="61" t="str">
        <f>IFERROR(__xludf.DUMMYFUNCTION("vlookup(BB3346,importrange(""https://docs.google.com/spreadsheets/d/1d2vevQ_7D_v35q4wCQ4RpQ_IPoTwEMB9Yp6ymwlPqew/edit?gid=984458430#gid=984458430"", ""'replication success'!A:K""), 11, FAlSE)"),"#N/A")</f>
        <v>#N/A</v>
      </c>
      <c r="AZ3346" s="61" t="str">
        <f>IFERROR(__xludf.DUMMYFUNCTION("vlookup(BB3346,importrange(""https://docs.google.com/spreadsheets/d/1d2vevQ_7D_v35q4wCQ4RpQ_IPoTwEMB9Yp6ymwlPqew/edit?gid=984458430#gid=984458430"", ""'replication success'!A:M""), 12, FAlSE)"),"#N/A")</f>
        <v>#N/A</v>
      </c>
      <c r="BA3346" s="61" t="str">
        <f>IFERROR(__xludf.DUMMYFUNCTION("vlookup(BB3346,importrange(""https://docs.google.com/spreadsheets/d/1d2vevQ_7D_v35q4wCQ4RpQ_IPoTwEMB9Yp6ymwlPqew/edit?gid=984458430#gid=984458430"", ""'replication success'!A:M""), 13, FAlSE)"),"#N/A")</f>
        <v>#N/A</v>
      </c>
      <c r="BB3346" s="61" t="str">
        <f>IFERROR(__xludf.DUMMYFUNCTION("REGEXREPLACE(G3346, ""_[a-z]{1,2}$"", """")"),"")</f>
        <v/>
      </c>
    </row>
    <row r="3347">
      <c r="A3347" s="44">
        <v>3347.0</v>
      </c>
      <c r="B3347" s="129"/>
      <c r="C3347" s="62"/>
      <c r="D3347" s="62"/>
      <c r="F3347" s="68"/>
      <c r="G3347" s="159"/>
      <c r="H3347" s="159"/>
      <c r="I3347" s="1287"/>
      <c r="J3347" s="152"/>
      <c r="K3347" s="68"/>
      <c r="L3347" s="68"/>
      <c r="M3347" s="159"/>
      <c r="N3347" s="159"/>
      <c r="O3347" s="68"/>
      <c r="P3347" s="382"/>
      <c r="Q3347" s="2418"/>
      <c r="R3347" s="159"/>
      <c r="S3347" s="159"/>
      <c r="T3347" s="68"/>
      <c r="U3347" s="68"/>
      <c r="V3347" s="382"/>
      <c r="W3347" s="1228"/>
      <c r="X3347" s="2419"/>
      <c r="Y3347" s="159"/>
      <c r="Z3347" s="159"/>
      <c r="AA3347" s="159"/>
      <c r="AB3347" s="159"/>
      <c r="AC3347" s="159"/>
      <c r="AD3347" s="68"/>
      <c r="AE3347" s="68"/>
      <c r="AF3347" s="156"/>
      <c r="AG3347" s="156"/>
      <c r="AH3347" s="159"/>
      <c r="AI3347" s="159"/>
      <c r="AJ3347" s="336"/>
      <c r="AK3347" s="159"/>
      <c r="AL3347" s="159"/>
      <c r="AM3347" s="159"/>
      <c r="AN3347" s="159"/>
      <c r="AO3347" s="156"/>
      <c r="AP3347" s="156"/>
      <c r="AQ3347" s="159"/>
      <c r="AR3347" s="159"/>
      <c r="AS3347" s="156"/>
      <c r="AT3347" s="159"/>
      <c r="AU3347" s="159"/>
      <c r="AV3347" s="159"/>
      <c r="AW3347" s="435"/>
      <c r="AX3347" s="159"/>
      <c r="AY3347" s="61" t="str">
        <f>IFERROR(__xludf.DUMMYFUNCTION("vlookup(BB3347,importrange(""https://docs.google.com/spreadsheets/d/1d2vevQ_7D_v35q4wCQ4RpQ_IPoTwEMB9Yp6ymwlPqew/edit?gid=984458430#gid=984458430"", ""'replication success'!A:K""), 11, FAlSE)"),"#N/A")</f>
        <v>#N/A</v>
      </c>
      <c r="AZ3347" s="61" t="str">
        <f>IFERROR(__xludf.DUMMYFUNCTION("vlookup(BB3347,importrange(""https://docs.google.com/spreadsheets/d/1d2vevQ_7D_v35q4wCQ4RpQ_IPoTwEMB9Yp6ymwlPqew/edit?gid=984458430#gid=984458430"", ""'replication success'!A:M""), 12, FAlSE)"),"#N/A")</f>
        <v>#N/A</v>
      </c>
      <c r="BA3347" s="61" t="str">
        <f>IFERROR(__xludf.DUMMYFUNCTION("vlookup(BB3347,importrange(""https://docs.google.com/spreadsheets/d/1d2vevQ_7D_v35q4wCQ4RpQ_IPoTwEMB9Yp6ymwlPqew/edit?gid=984458430#gid=984458430"", ""'replication success'!A:M""), 13, FAlSE)"),"#N/A")</f>
        <v>#N/A</v>
      </c>
      <c r="BB3347" s="61" t="str">
        <f>IFERROR(__xludf.DUMMYFUNCTION("REGEXREPLACE(G3347, ""_[a-z]{1,2}$"", """")"),"")</f>
        <v/>
      </c>
    </row>
    <row r="3348">
      <c r="A3348" s="44">
        <v>3348.0</v>
      </c>
      <c r="B3348" s="129"/>
      <c r="C3348" s="62"/>
      <c r="D3348" s="62"/>
      <c r="F3348" s="68"/>
      <c r="G3348" s="159"/>
      <c r="H3348" s="159"/>
      <c r="I3348" s="1287"/>
      <c r="J3348" s="152"/>
      <c r="K3348" s="68"/>
      <c r="L3348" s="68"/>
      <c r="M3348" s="159"/>
      <c r="N3348" s="159"/>
      <c r="O3348" s="68"/>
      <c r="P3348" s="382"/>
      <c r="Q3348" s="2418"/>
      <c r="R3348" s="159"/>
      <c r="S3348" s="159"/>
      <c r="T3348" s="68"/>
      <c r="U3348" s="68"/>
      <c r="V3348" s="382"/>
      <c r="W3348" s="1228"/>
      <c r="X3348" s="2419"/>
      <c r="Y3348" s="159"/>
      <c r="Z3348" s="159"/>
      <c r="AA3348" s="159"/>
      <c r="AB3348" s="159"/>
      <c r="AC3348" s="159"/>
      <c r="AD3348" s="68"/>
      <c r="AE3348" s="68"/>
      <c r="AF3348" s="156"/>
      <c r="AG3348" s="156"/>
      <c r="AH3348" s="159"/>
      <c r="AI3348" s="159"/>
      <c r="AJ3348" s="336"/>
      <c r="AK3348" s="159"/>
      <c r="AL3348" s="159"/>
      <c r="AM3348" s="159"/>
      <c r="AN3348" s="159"/>
      <c r="AO3348" s="156"/>
      <c r="AP3348" s="156"/>
      <c r="AQ3348" s="159"/>
      <c r="AR3348" s="159"/>
      <c r="AS3348" s="156"/>
      <c r="AT3348" s="159"/>
      <c r="AU3348" s="159"/>
      <c r="AV3348" s="159"/>
      <c r="AW3348" s="435"/>
      <c r="AX3348" s="159"/>
      <c r="AY3348" s="61" t="str">
        <f>IFERROR(__xludf.DUMMYFUNCTION("vlookup(BB3348,importrange(""https://docs.google.com/spreadsheets/d/1d2vevQ_7D_v35q4wCQ4RpQ_IPoTwEMB9Yp6ymwlPqew/edit?gid=984458430#gid=984458430"", ""'replication success'!A:K""), 11, FAlSE)"),"#N/A")</f>
        <v>#N/A</v>
      </c>
      <c r="AZ3348" s="61" t="str">
        <f>IFERROR(__xludf.DUMMYFUNCTION("vlookup(BB3348,importrange(""https://docs.google.com/spreadsheets/d/1d2vevQ_7D_v35q4wCQ4RpQ_IPoTwEMB9Yp6ymwlPqew/edit?gid=984458430#gid=984458430"", ""'replication success'!A:M""), 12, FAlSE)"),"#N/A")</f>
        <v>#N/A</v>
      </c>
      <c r="BA3348" s="61" t="str">
        <f>IFERROR(__xludf.DUMMYFUNCTION("vlookup(BB3348,importrange(""https://docs.google.com/spreadsheets/d/1d2vevQ_7D_v35q4wCQ4RpQ_IPoTwEMB9Yp6ymwlPqew/edit?gid=984458430#gid=984458430"", ""'replication success'!A:M""), 13, FAlSE)"),"#N/A")</f>
        <v>#N/A</v>
      </c>
      <c r="BB3348" s="61" t="str">
        <f>IFERROR(__xludf.DUMMYFUNCTION("REGEXREPLACE(G3348, ""_[a-z]{1,2}$"", """")"),"")</f>
        <v/>
      </c>
    </row>
    <row r="3349">
      <c r="A3349" s="44">
        <v>3349.0</v>
      </c>
      <c r="B3349" s="129"/>
      <c r="C3349" s="62"/>
      <c r="D3349" s="62"/>
      <c r="F3349" s="68"/>
      <c r="G3349" s="159"/>
      <c r="H3349" s="159"/>
      <c r="I3349" s="1287"/>
      <c r="J3349" s="152"/>
      <c r="K3349" s="68"/>
      <c r="L3349" s="68"/>
      <c r="M3349" s="159"/>
      <c r="N3349" s="159"/>
      <c r="O3349" s="68"/>
      <c r="P3349" s="382"/>
      <c r="Q3349" s="2418"/>
      <c r="R3349" s="159"/>
      <c r="S3349" s="159"/>
      <c r="T3349" s="68"/>
      <c r="U3349" s="68"/>
      <c r="V3349" s="382"/>
      <c r="W3349" s="1228"/>
      <c r="X3349" s="2419"/>
      <c r="Y3349" s="159"/>
      <c r="Z3349" s="159"/>
      <c r="AA3349" s="159"/>
      <c r="AB3349" s="159"/>
      <c r="AC3349" s="159"/>
      <c r="AD3349" s="68"/>
      <c r="AE3349" s="68"/>
      <c r="AF3349" s="156"/>
      <c r="AG3349" s="156"/>
      <c r="AH3349" s="159"/>
      <c r="AI3349" s="159"/>
      <c r="AJ3349" s="336"/>
      <c r="AK3349" s="159"/>
      <c r="AL3349" s="159"/>
      <c r="AM3349" s="159"/>
      <c r="AN3349" s="159"/>
      <c r="AO3349" s="156"/>
      <c r="AP3349" s="156"/>
      <c r="AQ3349" s="159"/>
      <c r="AR3349" s="159"/>
      <c r="AS3349" s="156"/>
      <c r="AT3349" s="159"/>
      <c r="AU3349" s="159"/>
      <c r="AV3349" s="159"/>
      <c r="AW3349" s="435"/>
      <c r="AX3349" s="159"/>
      <c r="AY3349" s="61" t="str">
        <f>IFERROR(__xludf.DUMMYFUNCTION("vlookup(BB3349,importrange(""https://docs.google.com/spreadsheets/d/1d2vevQ_7D_v35q4wCQ4RpQ_IPoTwEMB9Yp6ymwlPqew/edit?gid=984458430#gid=984458430"", ""'replication success'!A:K""), 11, FAlSE)"),"#N/A")</f>
        <v>#N/A</v>
      </c>
      <c r="AZ3349" s="61" t="str">
        <f>IFERROR(__xludf.DUMMYFUNCTION("vlookup(BB3349,importrange(""https://docs.google.com/spreadsheets/d/1d2vevQ_7D_v35q4wCQ4RpQ_IPoTwEMB9Yp6ymwlPqew/edit?gid=984458430#gid=984458430"", ""'replication success'!A:M""), 12, FAlSE)"),"#N/A")</f>
        <v>#N/A</v>
      </c>
      <c r="BA3349" s="61" t="str">
        <f>IFERROR(__xludf.DUMMYFUNCTION("vlookup(BB3349,importrange(""https://docs.google.com/spreadsheets/d/1d2vevQ_7D_v35q4wCQ4RpQ_IPoTwEMB9Yp6ymwlPqew/edit?gid=984458430#gid=984458430"", ""'replication success'!A:M""), 13, FAlSE)"),"#N/A")</f>
        <v>#N/A</v>
      </c>
      <c r="BB3349" s="61" t="str">
        <f>IFERROR(__xludf.DUMMYFUNCTION("REGEXREPLACE(G3349, ""_[a-z]{1,2}$"", """")"),"")</f>
        <v/>
      </c>
    </row>
    <row r="3350">
      <c r="A3350" s="44">
        <v>3350.0</v>
      </c>
      <c r="B3350" s="129"/>
      <c r="C3350" s="62"/>
      <c r="D3350" s="62"/>
      <c r="F3350" s="68"/>
      <c r="G3350" s="159"/>
      <c r="H3350" s="159"/>
      <c r="I3350" s="1287"/>
      <c r="J3350" s="152"/>
      <c r="K3350" s="68"/>
      <c r="L3350" s="68"/>
      <c r="M3350" s="159"/>
      <c r="N3350" s="159"/>
      <c r="O3350" s="68"/>
      <c r="P3350" s="382"/>
      <c r="Q3350" s="2418"/>
      <c r="R3350" s="159"/>
      <c r="S3350" s="159"/>
      <c r="T3350" s="68"/>
      <c r="U3350" s="68"/>
      <c r="V3350" s="382"/>
      <c r="W3350" s="1228"/>
      <c r="X3350" s="2419"/>
      <c r="Y3350" s="159"/>
      <c r="Z3350" s="159"/>
      <c r="AA3350" s="159"/>
      <c r="AB3350" s="159"/>
      <c r="AC3350" s="159"/>
      <c r="AD3350" s="68"/>
      <c r="AE3350" s="68"/>
      <c r="AF3350" s="156"/>
      <c r="AG3350" s="156"/>
      <c r="AH3350" s="159"/>
      <c r="AI3350" s="159"/>
      <c r="AJ3350" s="336"/>
      <c r="AK3350" s="159"/>
      <c r="AL3350" s="159"/>
      <c r="AM3350" s="159"/>
      <c r="AN3350" s="159"/>
      <c r="AO3350" s="156"/>
      <c r="AP3350" s="156"/>
      <c r="AQ3350" s="159"/>
      <c r="AR3350" s="159"/>
      <c r="AS3350" s="156"/>
      <c r="AT3350" s="159"/>
      <c r="AU3350" s="159"/>
      <c r="AV3350" s="159"/>
      <c r="AW3350" s="435"/>
      <c r="AX3350" s="159"/>
      <c r="AY3350" s="61" t="str">
        <f>IFERROR(__xludf.DUMMYFUNCTION("vlookup(BB3350,importrange(""https://docs.google.com/spreadsheets/d/1d2vevQ_7D_v35q4wCQ4RpQ_IPoTwEMB9Yp6ymwlPqew/edit?gid=984458430#gid=984458430"", ""'replication success'!A:K""), 11, FAlSE)"),"#N/A")</f>
        <v>#N/A</v>
      </c>
      <c r="AZ3350" s="61" t="str">
        <f>IFERROR(__xludf.DUMMYFUNCTION("vlookup(BB3350,importrange(""https://docs.google.com/spreadsheets/d/1d2vevQ_7D_v35q4wCQ4RpQ_IPoTwEMB9Yp6ymwlPqew/edit?gid=984458430#gid=984458430"", ""'replication success'!A:M""), 12, FAlSE)"),"#N/A")</f>
        <v>#N/A</v>
      </c>
      <c r="BA3350" s="61" t="str">
        <f>IFERROR(__xludf.DUMMYFUNCTION("vlookup(BB3350,importrange(""https://docs.google.com/spreadsheets/d/1d2vevQ_7D_v35q4wCQ4RpQ_IPoTwEMB9Yp6ymwlPqew/edit?gid=984458430#gid=984458430"", ""'replication success'!A:M""), 13, FAlSE)"),"#N/A")</f>
        <v>#N/A</v>
      </c>
      <c r="BB3350" s="61" t="str">
        <f>IFERROR(__xludf.DUMMYFUNCTION("REGEXREPLACE(G3350, ""_[a-z]{1,2}$"", """")"),"")</f>
        <v/>
      </c>
    </row>
    <row r="3351">
      <c r="A3351" s="44">
        <v>3351.0</v>
      </c>
      <c r="B3351" s="129"/>
      <c r="C3351" s="62"/>
      <c r="D3351" s="62"/>
      <c r="F3351" s="68"/>
      <c r="G3351" s="159"/>
      <c r="H3351" s="159"/>
      <c r="I3351" s="1287"/>
      <c r="J3351" s="152"/>
      <c r="K3351" s="68"/>
      <c r="L3351" s="68"/>
      <c r="M3351" s="159"/>
      <c r="N3351" s="159"/>
      <c r="O3351" s="68"/>
      <c r="P3351" s="382"/>
      <c r="Q3351" s="2418"/>
      <c r="R3351" s="159"/>
      <c r="S3351" s="159"/>
      <c r="T3351" s="68"/>
      <c r="U3351" s="68"/>
      <c r="V3351" s="382"/>
      <c r="W3351" s="1228"/>
      <c r="X3351" s="2419"/>
      <c r="Y3351" s="159"/>
      <c r="Z3351" s="159"/>
      <c r="AA3351" s="159"/>
      <c r="AB3351" s="159"/>
      <c r="AC3351" s="159"/>
      <c r="AD3351" s="68"/>
      <c r="AE3351" s="68"/>
      <c r="AF3351" s="156"/>
      <c r="AG3351" s="156"/>
      <c r="AH3351" s="159"/>
      <c r="AI3351" s="159"/>
      <c r="AJ3351" s="336"/>
      <c r="AK3351" s="159"/>
      <c r="AL3351" s="159"/>
      <c r="AM3351" s="159"/>
      <c r="AN3351" s="159"/>
      <c r="AO3351" s="156"/>
      <c r="AP3351" s="156"/>
      <c r="AQ3351" s="159"/>
      <c r="AR3351" s="159"/>
      <c r="AS3351" s="156"/>
      <c r="AT3351" s="159"/>
      <c r="AU3351" s="159"/>
      <c r="AV3351" s="159"/>
      <c r="AW3351" s="435"/>
      <c r="AX3351" s="159"/>
      <c r="AY3351" s="61" t="str">
        <f>IFERROR(__xludf.DUMMYFUNCTION("vlookup(BB3351,importrange(""https://docs.google.com/spreadsheets/d/1d2vevQ_7D_v35q4wCQ4RpQ_IPoTwEMB9Yp6ymwlPqew/edit?gid=984458430#gid=984458430"", ""'replication success'!A:K""), 11, FAlSE)"),"#N/A")</f>
        <v>#N/A</v>
      </c>
      <c r="AZ3351" s="61" t="str">
        <f>IFERROR(__xludf.DUMMYFUNCTION("vlookup(BB3351,importrange(""https://docs.google.com/spreadsheets/d/1d2vevQ_7D_v35q4wCQ4RpQ_IPoTwEMB9Yp6ymwlPqew/edit?gid=984458430#gid=984458430"", ""'replication success'!A:M""), 12, FAlSE)"),"#N/A")</f>
        <v>#N/A</v>
      </c>
      <c r="BA3351" s="61" t="str">
        <f>IFERROR(__xludf.DUMMYFUNCTION("vlookup(BB3351,importrange(""https://docs.google.com/spreadsheets/d/1d2vevQ_7D_v35q4wCQ4RpQ_IPoTwEMB9Yp6ymwlPqew/edit?gid=984458430#gid=984458430"", ""'replication success'!A:M""), 13, FAlSE)"),"#N/A")</f>
        <v>#N/A</v>
      </c>
      <c r="BB3351" s="61" t="str">
        <f>IFERROR(__xludf.DUMMYFUNCTION("REGEXREPLACE(G3351, ""_[a-z]{1,2}$"", """")"),"")</f>
        <v/>
      </c>
    </row>
    <row r="3352">
      <c r="A3352" s="44">
        <v>3352.0</v>
      </c>
      <c r="B3352" s="129"/>
      <c r="C3352" s="62"/>
      <c r="D3352" s="62"/>
      <c r="F3352" s="68"/>
      <c r="G3352" s="159"/>
      <c r="H3352" s="159"/>
      <c r="I3352" s="1287"/>
      <c r="J3352" s="152"/>
      <c r="K3352" s="68"/>
      <c r="L3352" s="68"/>
      <c r="M3352" s="159"/>
      <c r="N3352" s="159"/>
      <c r="O3352" s="68"/>
      <c r="P3352" s="382"/>
      <c r="Q3352" s="2418"/>
      <c r="R3352" s="159"/>
      <c r="S3352" s="159"/>
      <c r="T3352" s="68"/>
      <c r="U3352" s="68"/>
      <c r="V3352" s="382"/>
      <c r="W3352" s="1228"/>
      <c r="X3352" s="2419"/>
      <c r="Y3352" s="159"/>
      <c r="Z3352" s="159"/>
      <c r="AA3352" s="159"/>
      <c r="AB3352" s="159"/>
      <c r="AC3352" s="159"/>
      <c r="AD3352" s="68"/>
      <c r="AE3352" s="68"/>
      <c r="AF3352" s="156"/>
      <c r="AG3352" s="156"/>
      <c r="AH3352" s="159"/>
      <c r="AI3352" s="159"/>
      <c r="AJ3352" s="336"/>
      <c r="AK3352" s="159"/>
      <c r="AL3352" s="159"/>
      <c r="AM3352" s="159"/>
      <c r="AN3352" s="159"/>
      <c r="AO3352" s="156"/>
      <c r="AP3352" s="156"/>
      <c r="AQ3352" s="159"/>
      <c r="AR3352" s="159"/>
      <c r="AS3352" s="156"/>
      <c r="AT3352" s="159"/>
      <c r="AU3352" s="159"/>
      <c r="AV3352" s="159"/>
      <c r="AW3352" s="435"/>
      <c r="AX3352" s="159"/>
      <c r="AY3352" s="61" t="str">
        <f>IFERROR(__xludf.DUMMYFUNCTION("vlookup(BB3352,importrange(""https://docs.google.com/spreadsheets/d/1d2vevQ_7D_v35q4wCQ4RpQ_IPoTwEMB9Yp6ymwlPqew/edit?gid=984458430#gid=984458430"", ""'replication success'!A:K""), 11, FAlSE)"),"#N/A")</f>
        <v>#N/A</v>
      </c>
      <c r="AZ3352" s="61" t="str">
        <f>IFERROR(__xludf.DUMMYFUNCTION("vlookup(BB3352,importrange(""https://docs.google.com/spreadsheets/d/1d2vevQ_7D_v35q4wCQ4RpQ_IPoTwEMB9Yp6ymwlPqew/edit?gid=984458430#gid=984458430"", ""'replication success'!A:M""), 12, FAlSE)"),"#N/A")</f>
        <v>#N/A</v>
      </c>
      <c r="BA3352" s="61" t="str">
        <f>IFERROR(__xludf.DUMMYFUNCTION("vlookup(BB3352,importrange(""https://docs.google.com/spreadsheets/d/1d2vevQ_7D_v35q4wCQ4RpQ_IPoTwEMB9Yp6ymwlPqew/edit?gid=984458430#gid=984458430"", ""'replication success'!A:M""), 13, FAlSE)"),"#N/A")</f>
        <v>#N/A</v>
      </c>
      <c r="BB3352" s="61" t="str">
        <f>IFERROR(__xludf.DUMMYFUNCTION("REGEXREPLACE(G3352, ""_[a-z]{1,2}$"", """")"),"")</f>
        <v/>
      </c>
    </row>
    <row r="3353">
      <c r="A3353" s="44">
        <v>3353.0</v>
      </c>
      <c r="B3353" s="129"/>
      <c r="C3353" s="62"/>
      <c r="D3353" s="62"/>
      <c r="F3353" s="68"/>
      <c r="G3353" s="159"/>
      <c r="H3353" s="159"/>
      <c r="I3353" s="1287"/>
      <c r="J3353" s="152"/>
      <c r="K3353" s="68"/>
      <c r="L3353" s="68"/>
      <c r="M3353" s="159"/>
      <c r="N3353" s="159"/>
      <c r="O3353" s="68"/>
      <c r="P3353" s="382"/>
      <c r="Q3353" s="2418"/>
      <c r="R3353" s="159"/>
      <c r="S3353" s="159"/>
      <c r="T3353" s="68"/>
      <c r="U3353" s="68"/>
      <c r="V3353" s="382"/>
      <c r="W3353" s="1228"/>
      <c r="X3353" s="2419"/>
      <c r="Y3353" s="159"/>
      <c r="Z3353" s="159"/>
      <c r="AA3353" s="159"/>
      <c r="AB3353" s="159"/>
      <c r="AC3353" s="159"/>
      <c r="AD3353" s="68"/>
      <c r="AE3353" s="68"/>
      <c r="AF3353" s="156"/>
      <c r="AG3353" s="156"/>
      <c r="AH3353" s="159"/>
      <c r="AI3353" s="159"/>
      <c r="AJ3353" s="336"/>
      <c r="AK3353" s="159"/>
      <c r="AL3353" s="159"/>
      <c r="AM3353" s="159"/>
      <c r="AN3353" s="159"/>
      <c r="AO3353" s="156"/>
      <c r="AP3353" s="156"/>
      <c r="AQ3353" s="159"/>
      <c r="AR3353" s="159"/>
      <c r="AS3353" s="156"/>
      <c r="AT3353" s="159"/>
      <c r="AU3353" s="159"/>
      <c r="AV3353" s="159"/>
      <c r="AW3353" s="435"/>
      <c r="AX3353" s="159"/>
      <c r="AY3353" s="61" t="str">
        <f>IFERROR(__xludf.DUMMYFUNCTION("vlookup(BB3353,importrange(""https://docs.google.com/spreadsheets/d/1d2vevQ_7D_v35q4wCQ4RpQ_IPoTwEMB9Yp6ymwlPqew/edit?gid=984458430#gid=984458430"", ""'replication success'!A:K""), 11, FAlSE)"),"#N/A")</f>
        <v>#N/A</v>
      </c>
      <c r="AZ3353" s="61" t="str">
        <f>IFERROR(__xludf.DUMMYFUNCTION("vlookup(BB3353,importrange(""https://docs.google.com/spreadsheets/d/1d2vevQ_7D_v35q4wCQ4RpQ_IPoTwEMB9Yp6ymwlPqew/edit?gid=984458430#gid=984458430"", ""'replication success'!A:M""), 12, FAlSE)"),"#N/A")</f>
        <v>#N/A</v>
      </c>
      <c r="BA3353" s="61" t="str">
        <f>IFERROR(__xludf.DUMMYFUNCTION("vlookup(BB3353,importrange(""https://docs.google.com/spreadsheets/d/1d2vevQ_7D_v35q4wCQ4RpQ_IPoTwEMB9Yp6ymwlPqew/edit?gid=984458430#gid=984458430"", ""'replication success'!A:M""), 13, FAlSE)"),"#N/A")</f>
        <v>#N/A</v>
      </c>
      <c r="BB3353" s="61" t="str">
        <f>IFERROR(__xludf.DUMMYFUNCTION("REGEXREPLACE(G3353, ""_[a-z]{1,2}$"", """")"),"")</f>
        <v/>
      </c>
    </row>
    <row r="3354">
      <c r="A3354" s="44">
        <v>3354.0</v>
      </c>
      <c r="B3354" s="129"/>
      <c r="C3354" s="62"/>
      <c r="D3354" s="62"/>
      <c r="F3354" s="68"/>
      <c r="G3354" s="159"/>
      <c r="H3354" s="159"/>
      <c r="I3354" s="1287"/>
      <c r="J3354" s="152"/>
      <c r="K3354" s="68"/>
      <c r="L3354" s="68"/>
      <c r="M3354" s="159"/>
      <c r="N3354" s="159"/>
      <c r="O3354" s="68"/>
      <c r="P3354" s="382"/>
      <c r="Q3354" s="2418"/>
      <c r="R3354" s="159"/>
      <c r="S3354" s="159"/>
      <c r="T3354" s="68"/>
      <c r="U3354" s="68"/>
      <c r="V3354" s="382"/>
      <c r="W3354" s="1228"/>
      <c r="X3354" s="2419"/>
      <c r="Y3354" s="159"/>
      <c r="Z3354" s="159"/>
      <c r="AA3354" s="159"/>
      <c r="AB3354" s="159"/>
      <c r="AC3354" s="159"/>
      <c r="AD3354" s="68"/>
      <c r="AE3354" s="68"/>
      <c r="AF3354" s="156"/>
      <c r="AG3354" s="156"/>
      <c r="AH3354" s="159"/>
      <c r="AI3354" s="159"/>
      <c r="AJ3354" s="336"/>
      <c r="AK3354" s="159"/>
      <c r="AL3354" s="159"/>
      <c r="AM3354" s="159"/>
      <c r="AN3354" s="159"/>
      <c r="AO3354" s="156"/>
      <c r="AP3354" s="156"/>
      <c r="AQ3354" s="159"/>
      <c r="AR3354" s="159"/>
      <c r="AS3354" s="156"/>
      <c r="AT3354" s="159"/>
      <c r="AU3354" s="159"/>
      <c r="AV3354" s="159"/>
      <c r="AW3354" s="435"/>
      <c r="AX3354" s="159"/>
      <c r="AY3354" s="61" t="str">
        <f>IFERROR(__xludf.DUMMYFUNCTION("vlookup(BB3354,importrange(""https://docs.google.com/spreadsheets/d/1d2vevQ_7D_v35q4wCQ4RpQ_IPoTwEMB9Yp6ymwlPqew/edit?gid=984458430#gid=984458430"", ""'replication success'!A:K""), 11, FAlSE)"),"#N/A")</f>
        <v>#N/A</v>
      </c>
      <c r="AZ3354" s="61" t="str">
        <f>IFERROR(__xludf.DUMMYFUNCTION("vlookup(BB3354,importrange(""https://docs.google.com/spreadsheets/d/1d2vevQ_7D_v35q4wCQ4RpQ_IPoTwEMB9Yp6ymwlPqew/edit?gid=984458430#gid=984458430"", ""'replication success'!A:M""), 12, FAlSE)"),"#N/A")</f>
        <v>#N/A</v>
      </c>
      <c r="BA3354" s="61" t="str">
        <f>IFERROR(__xludf.DUMMYFUNCTION("vlookup(BB3354,importrange(""https://docs.google.com/spreadsheets/d/1d2vevQ_7D_v35q4wCQ4RpQ_IPoTwEMB9Yp6ymwlPqew/edit?gid=984458430#gid=984458430"", ""'replication success'!A:M""), 13, FAlSE)"),"#N/A")</f>
        <v>#N/A</v>
      </c>
      <c r="BB3354" s="61" t="str">
        <f>IFERROR(__xludf.DUMMYFUNCTION("REGEXREPLACE(G3354, ""_[a-z]{1,2}$"", """")"),"")</f>
        <v/>
      </c>
    </row>
    <row r="3355">
      <c r="A3355" s="44">
        <v>3355.0</v>
      </c>
      <c r="B3355" s="129"/>
      <c r="C3355" s="62"/>
      <c r="D3355" s="62"/>
      <c r="F3355" s="68"/>
      <c r="G3355" s="159"/>
      <c r="H3355" s="159"/>
      <c r="I3355" s="1287"/>
      <c r="J3355" s="152"/>
      <c r="K3355" s="68"/>
      <c r="L3355" s="68"/>
      <c r="M3355" s="159"/>
      <c r="N3355" s="159"/>
      <c r="O3355" s="68"/>
      <c r="P3355" s="382"/>
      <c r="Q3355" s="2418"/>
      <c r="R3355" s="159"/>
      <c r="S3355" s="159"/>
      <c r="T3355" s="68"/>
      <c r="U3355" s="68"/>
      <c r="V3355" s="382"/>
      <c r="W3355" s="1228"/>
      <c r="X3355" s="2419"/>
      <c r="Y3355" s="159"/>
      <c r="Z3355" s="159"/>
      <c r="AA3355" s="159"/>
      <c r="AB3355" s="159"/>
      <c r="AC3355" s="159"/>
      <c r="AD3355" s="68"/>
      <c r="AE3355" s="68"/>
      <c r="AF3355" s="156"/>
      <c r="AG3355" s="156"/>
      <c r="AH3355" s="159"/>
      <c r="AI3355" s="159"/>
      <c r="AJ3355" s="336"/>
      <c r="AK3355" s="159"/>
      <c r="AL3355" s="159"/>
      <c r="AM3355" s="159"/>
      <c r="AN3355" s="159"/>
      <c r="AO3355" s="156"/>
      <c r="AP3355" s="156"/>
      <c r="AQ3355" s="159"/>
      <c r="AR3355" s="159"/>
      <c r="AS3355" s="156"/>
      <c r="AT3355" s="159"/>
      <c r="AU3355" s="159"/>
      <c r="AV3355" s="159"/>
      <c r="AW3355" s="435"/>
      <c r="AX3355" s="159"/>
      <c r="AY3355" s="61" t="str">
        <f>IFERROR(__xludf.DUMMYFUNCTION("vlookup(BB3355,importrange(""https://docs.google.com/spreadsheets/d/1d2vevQ_7D_v35q4wCQ4RpQ_IPoTwEMB9Yp6ymwlPqew/edit?gid=984458430#gid=984458430"", ""'replication success'!A:K""), 11, FAlSE)"),"#N/A")</f>
        <v>#N/A</v>
      </c>
      <c r="AZ3355" s="61" t="str">
        <f>IFERROR(__xludf.DUMMYFUNCTION("vlookup(BB3355,importrange(""https://docs.google.com/spreadsheets/d/1d2vevQ_7D_v35q4wCQ4RpQ_IPoTwEMB9Yp6ymwlPqew/edit?gid=984458430#gid=984458430"", ""'replication success'!A:M""), 12, FAlSE)"),"#N/A")</f>
        <v>#N/A</v>
      </c>
      <c r="BA3355" s="61" t="str">
        <f>IFERROR(__xludf.DUMMYFUNCTION("vlookup(BB3355,importrange(""https://docs.google.com/spreadsheets/d/1d2vevQ_7D_v35q4wCQ4RpQ_IPoTwEMB9Yp6ymwlPqew/edit?gid=984458430#gid=984458430"", ""'replication success'!A:M""), 13, FAlSE)"),"#N/A")</f>
        <v>#N/A</v>
      </c>
      <c r="BB3355" s="61" t="str">
        <f>IFERROR(__xludf.DUMMYFUNCTION("REGEXREPLACE(G3355, ""_[a-z]{1,2}$"", """")"),"")</f>
        <v/>
      </c>
    </row>
    <row r="3356">
      <c r="A3356" s="44">
        <v>3356.0</v>
      </c>
      <c r="B3356" s="129"/>
      <c r="C3356" s="62"/>
      <c r="D3356" s="62"/>
      <c r="F3356" s="68"/>
      <c r="G3356" s="159"/>
      <c r="H3356" s="159"/>
      <c r="I3356" s="1287"/>
      <c r="J3356" s="152"/>
      <c r="K3356" s="68"/>
      <c r="L3356" s="68"/>
      <c r="M3356" s="159"/>
      <c r="N3356" s="159"/>
      <c r="O3356" s="68"/>
      <c r="P3356" s="382"/>
      <c r="Q3356" s="2418"/>
      <c r="R3356" s="159"/>
      <c r="S3356" s="159"/>
      <c r="T3356" s="68"/>
      <c r="U3356" s="68"/>
      <c r="V3356" s="382"/>
      <c r="W3356" s="1228"/>
      <c r="X3356" s="2419"/>
      <c r="Y3356" s="159"/>
      <c r="Z3356" s="159"/>
      <c r="AA3356" s="159"/>
      <c r="AB3356" s="159"/>
      <c r="AC3356" s="159"/>
      <c r="AD3356" s="68"/>
      <c r="AE3356" s="68"/>
      <c r="AF3356" s="156"/>
      <c r="AG3356" s="156"/>
      <c r="AH3356" s="159"/>
      <c r="AI3356" s="159"/>
      <c r="AJ3356" s="336"/>
      <c r="AK3356" s="159"/>
      <c r="AL3356" s="159"/>
      <c r="AM3356" s="159"/>
      <c r="AN3356" s="159"/>
      <c r="AO3356" s="156"/>
      <c r="AP3356" s="156"/>
      <c r="AQ3356" s="159"/>
      <c r="AR3356" s="159"/>
      <c r="AS3356" s="156"/>
      <c r="AT3356" s="159"/>
      <c r="AU3356" s="159"/>
      <c r="AV3356" s="159"/>
      <c r="AW3356" s="435"/>
      <c r="AX3356" s="159"/>
      <c r="AY3356" s="61" t="str">
        <f>IFERROR(__xludf.DUMMYFUNCTION("vlookup(BB3356,importrange(""https://docs.google.com/spreadsheets/d/1d2vevQ_7D_v35q4wCQ4RpQ_IPoTwEMB9Yp6ymwlPqew/edit?gid=984458430#gid=984458430"", ""'replication success'!A:K""), 11, FAlSE)"),"#N/A")</f>
        <v>#N/A</v>
      </c>
      <c r="AZ3356" s="61" t="str">
        <f>IFERROR(__xludf.DUMMYFUNCTION("vlookup(BB3356,importrange(""https://docs.google.com/spreadsheets/d/1d2vevQ_7D_v35q4wCQ4RpQ_IPoTwEMB9Yp6ymwlPqew/edit?gid=984458430#gid=984458430"", ""'replication success'!A:M""), 12, FAlSE)"),"#N/A")</f>
        <v>#N/A</v>
      </c>
      <c r="BA3356" s="61" t="str">
        <f>IFERROR(__xludf.DUMMYFUNCTION("vlookup(BB3356,importrange(""https://docs.google.com/spreadsheets/d/1d2vevQ_7D_v35q4wCQ4RpQ_IPoTwEMB9Yp6ymwlPqew/edit?gid=984458430#gid=984458430"", ""'replication success'!A:M""), 13, FAlSE)"),"#N/A")</f>
        <v>#N/A</v>
      </c>
      <c r="BB3356" s="61" t="str">
        <f>IFERROR(__xludf.DUMMYFUNCTION("REGEXREPLACE(G3356, ""_[a-z]{1,2}$"", """")"),"")</f>
        <v/>
      </c>
    </row>
    <row r="3357">
      <c r="A3357" s="44">
        <v>3357.0</v>
      </c>
      <c r="B3357" s="129"/>
      <c r="C3357" s="62"/>
      <c r="D3357" s="62"/>
      <c r="F3357" s="68"/>
      <c r="G3357" s="159"/>
      <c r="H3357" s="159"/>
      <c r="I3357" s="1287"/>
      <c r="J3357" s="152"/>
      <c r="K3357" s="68"/>
      <c r="L3357" s="68"/>
      <c r="M3357" s="159"/>
      <c r="N3357" s="159"/>
      <c r="O3357" s="68"/>
      <c r="P3357" s="382"/>
      <c r="Q3357" s="2418"/>
      <c r="R3357" s="159"/>
      <c r="S3357" s="159"/>
      <c r="T3357" s="68"/>
      <c r="U3357" s="68"/>
      <c r="V3357" s="382"/>
      <c r="W3357" s="1228"/>
      <c r="X3357" s="2419"/>
      <c r="Y3357" s="159"/>
      <c r="Z3357" s="159"/>
      <c r="AA3357" s="159"/>
      <c r="AB3357" s="159"/>
      <c r="AC3357" s="159"/>
      <c r="AD3357" s="68"/>
      <c r="AE3357" s="68"/>
      <c r="AF3357" s="156"/>
      <c r="AG3357" s="156"/>
      <c r="AH3357" s="159"/>
      <c r="AI3357" s="159"/>
      <c r="AJ3357" s="336"/>
      <c r="AK3357" s="159"/>
      <c r="AL3357" s="159"/>
      <c r="AM3357" s="159"/>
      <c r="AN3357" s="159"/>
      <c r="AO3357" s="156"/>
      <c r="AP3357" s="156"/>
      <c r="AQ3357" s="159"/>
      <c r="AR3357" s="159"/>
      <c r="AS3357" s="156"/>
      <c r="AT3357" s="159"/>
      <c r="AU3357" s="159"/>
      <c r="AV3357" s="159"/>
      <c r="AW3357" s="435"/>
      <c r="AX3357" s="159"/>
      <c r="AY3357" s="61" t="str">
        <f>IFERROR(__xludf.DUMMYFUNCTION("vlookup(BB3357,importrange(""https://docs.google.com/spreadsheets/d/1d2vevQ_7D_v35q4wCQ4RpQ_IPoTwEMB9Yp6ymwlPqew/edit?gid=984458430#gid=984458430"", ""'replication success'!A:K""), 11, FAlSE)"),"#N/A")</f>
        <v>#N/A</v>
      </c>
      <c r="AZ3357" s="61" t="str">
        <f>IFERROR(__xludf.DUMMYFUNCTION("vlookup(BB3357,importrange(""https://docs.google.com/spreadsheets/d/1d2vevQ_7D_v35q4wCQ4RpQ_IPoTwEMB9Yp6ymwlPqew/edit?gid=984458430#gid=984458430"", ""'replication success'!A:M""), 12, FAlSE)"),"#N/A")</f>
        <v>#N/A</v>
      </c>
      <c r="BA3357" s="61" t="str">
        <f>IFERROR(__xludf.DUMMYFUNCTION("vlookup(BB3357,importrange(""https://docs.google.com/spreadsheets/d/1d2vevQ_7D_v35q4wCQ4RpQ_IPoTwEMB9Yp6ymwlPqew/edit?gid=984458430#gid=984458430"", ""'replication success'!A:M""), 13, FAlSE)"),"#N/A")</f>
        <v>#N/A</v>
      </c>
      <c r="BB3357" s="61" t="str">
        <f>IFERROR(__xludf.DUMMYFUNCTION("REGEXREPLACE(G3357, ""_[a-z]{1,2}$"", """")"),"")</f>
        <v/>
      </c>
    </row>
    <row r="3358">
      <c r="A3358" s="44">
        <v>3358.0</v>
      </c>
      <c r="B3358" s="129"/>
      <c r="C3358" s="62"/>
      <c r="D3358" s="62"/>
      <c r="F3358" s="68"/>
      <c r="G3358" s="159"/>
      <c r="H3358" s="159"/>
      <c r="I3358" s="1287"/>
      <c r="J3358" s="152"/>
      <c r="K3358" s="68"/>
      <c r="L3358" s="68"/>
      <c r="M3358" s="159"/>
      <c r="N3358" s="159"/>
      <c r="O3358" s="68"/>
      <c r="P3358" s="382"/>
      <c r="Q3358" s="2418"/>
      <c r="R3358" s="159"/>
      <c r="S3358" s="159"/>
      <c r="T3358" s="68"/>
      <c r="U3358" s="68"/>
      <c r="V3358" s="382"/>
      <c r="W3358" s="1228"/>
      <c r="X3358" s="2419"/>
      <c r="Y3358" s="159"/>
      <c r="Z3358" s="159"/>
      <c r="AA3358" s="159"/>
      <c r="AB3358" s="159"/>
      <c r="AC3358" s="159"/>
      <c r="AD3358" s="68"/>
      <c r="AE3358" s="68"/>
      <c r="AF3358" s="156"/>
      <c r="AG3358" s="156"/>
      <c r="AH3358" s="159"/>
      <c r="AI3358" s="159"/>
      <c r="AJ3358" s="336"/>
      <c r="AK3358" s="159"/>
      <c r="AL3358" s="159"/>
      <c r="AM3358" s="159"/>
      <c r="AN3358" s="159"/>
      <c r="AO3358" s="156"/>
      <c r="AP3358" s="156"/>
      <c r="AQ3358" s="159"/>
      <c r="AR3358" s="159"/>
      <c r="AS3358" s="156"/>
      <c r="AT3358" s="159"/>
      <c r="AU3358" s="159"/>
      <c r="AV3358" s="159"/>
      <c r="AW3358" s="435"/>
      <c r="AX3358" s="159"/>
      <c r="AY3358" s="61" t="str">
        <f>IFERROR(__xludf.DUMMYFUNCTION("vlookup(BB3358,importrange(""https://docs.google.com/spreadsheets/d/1d2vevQ_7D_v35q4wCQ4RpQ_IPoTwEMB9Yp6ymwlPqew/edit?gid=984458430#gid=984458430"", ""'replication success'!A:K""), 11, FAlSE)"),"#N/A")</f>
        <v>#N/A</v>
      </c>
      <c r="AZ3358" s="61" t="str">
        <f>IFERROR(__xludf.DUMMYFUNCTION("vlookup(BB3358,importrange(""https://docs.google.com/spreadsheets/d/1d2vevQ_7D_v35q4wCQ4RpQ_IPoTwEMB9Yp6ymwlPqew/edit?gid=984458430#gid=984458430"", ""'replication success'!A:M""), 12, FAlSE)"),"#N/A")</f>
        <v>#N/A</v>
      </c>
      <c r="BA3358" s="61" t="str">
        <f>IFERROR(__xludf.DUMMYFUNCTION("vlookup(BB3358,importrange(""https://docs.google.com/spreadsheets/d/1d2vevQ_7D_v35q4wCQ4RpQ_IPoTwEMB9Yp6ymwlPqew/edit?gid=984458430#gid=984458430"", ""'replication success'!A:M""), 13, FAlSE)"),"#N/A")</f>
        <v>#N/A</v>
      </c>
      <c r="BB3358" s="61" t="str">
        <f>IFERROR(__xludf.DUMMYFUNCTION("REGEXREPLACE(G3358, ""_[a-z]{1,2}$"", """")"),"")</f>
        <v/>
      </c>
    </row>
    <row r="3359">
      <c r="A3359" s="44">
        <v>3359.0</v>
      </c>
      <c r="B3359" s="129"/>
      <c r="C3359" s="62"/>
      <c r="D3359" s="62"/>
      <c r="F3359" s="68"/>
      <c r="G3359" s="159"/>
      <c r="H3359" s="159"/>
      <c r="I3359" s="1287"/>
      <c r="J3359" s="152"/>
      <c r="K3359" s="68"/>
      <c r="L3359" s="68"/>
      <c r="M3359" s="159"/>
      <c r="N3359" s="159"/>
      <c r="O3359" s="68"/>
      <c r="P3359" s="382"/>
      <c r="Q3359" s="2418"/>
      <c r="R3359" s="159"/>
      <c r="S3359" s="159"/>
      <c r="T3359" s="68"/>
      <c r="U3359" s="68"/>
      <c r="V3359" s="382"/>
      <c r="W3359" s="1228"/>
      <c r="X3359" s="2419"/>
      <c r="Y3359" s="159"/>
      <c r="Z3359" s="159"/>
      <c r="AA3359" s="159"/>
      <c r="AB3359" s="159"/>
      <c r="AC3359" s="159"/>
      <c r="AD3359" s="68"/>
      <c r="AE3359" s="68"/>
      <c r="AF3359" s="156"/>
      <c r="AG3359" s="156"/>
      <c r="AH3359" s="159"/>
      <c r="AI3359" s="159"/>
      <c r="AJ3359" s="336"/>
      <c r="AK3359" s="159"/>
      <c r="AL3359" s="159"/>
      <c r="AM3359" s="159"/>
      <c r="AN3359" s="159"/>
      <c r="AO3359" s="156"/>
      <c r="AP3359" s="156"/>
      <c r="AQ3359" s="159"/>
      <c r="AR3359" s="159"/>
      <c r="AS3359" s="156"/>
      <c r="AT3359" s="159"/>
      <c r="AU3359" s="159"/>
      <c r="AV3359" s="159"/>
      <c r="AW3359" s="435"/>
      <c r="AX3359" s="159"/>
      <c r="AY3359" s="61" t="str">
        <f>IFERROR(__xludf.DUMMYFUNCTION("vlookup(BB3359,importrange(""https://docs.google.com/spreadsheets/d/1d2vevQ_7D_v35q4wCQ4RpQ_IPoTwEMB9Yp6ymwlPqew/edit?gid=984458430#gid=984458430"", ""'replication success'!A:K""), 11, FAlSE)"),"#N/A")</f>
        <v>#N/A</v>
      </c>
      <c r="AZ3359" s="61" t="str">
        <f>IFERROR(__xludf.DUMMYFUNCTION("vlookup(BB3359,importrange(""https://docs.google.com/spreadsheets/d/1d2vevQ_7D_v35q4wCQ4RpQ_IPoTwEMB9Yp6ymwlPqew/edit?gid=984458430#gid=984458430"", ""'replication success'!A:M""), 12, FAlSE)"),"#N/A")</f>
        <v>#N/A</v>
      </c>
      <c r="BA3359" s="61" t="str">
        <f>IFERROR(__xludf.DUMMYFUNCTION("vlookup(BB3359,importrange(""https://docs.google.com/spreadsheets/d/1d2vevQ_7D_v35q4wCQ4RpQ_IPoTwEMB9Yp6ymwlPqew/edit?gid=984458430#gid=984458430"", ""'replication success'!A:M""), 13, FAlSE)"),"#N/A")</f>
        <v>#N/A</v>
      </c>
      <c r="BB3359" s="61" t="str">
        <f>IFERROR(__xludf.DUMMYFUNCTION("REGEXREPLACE(G3359, ""_[a-z]{1,2}$"", """")"),"")</f>
        <v/>
      </c>
    </row>
    <row r="3360">
      <c r="A3360" s="44">
        <v>3360.0</v>
      </c>
      <c r="B3360" s="129"/>
      <c r="C3360" s="62"/>
      <c r="D3360" s="62"/>
      <c r="F3360" s="68"/>
      <c r="G3360" s="159"/>
      <c r="H3360" s="159"/>
      <c r="I3360" s="1287"/>
      <c r="J3360" s="152"/>
      <c r="K3360" s="68"/>
      <c r="L3360" s="68"/>
      <c r="M3360" s="159"/>
      <c r="N3360" s="159"/>
      <c r="O3360" s="68"/>
      <c r="P3360" s="382"/>
      <c r="Q3360" s="2418"/>
      <c r="R3360" s="159"/>
      <c r="S3360" s="159"/>
      <c r="T3360" s="68"/>
      <c r="U3360" s="68"/>
      <c r="V3360" s="382"/>
      <c r="W3360" s="1228"/>
      <c r="X3360" s="2419"/>
      <c r="Y3360" s="159"/>
      <c r="Z3360" s="159"/>
      <c r="AA3360" s="159"/>
      <c r="AB3360" s="159"/>
      <c r="AC3360" s="159"/>
      <c r="AD3360" s="68"/>
      <c r="AE3360" s="68"/>
      <c r="AF3360" s="156"/>
      <c r="AG3360" s="156"/>
      <c r="AH3360" s="159"/>
      <c r="AI3360" s="159"/>
      <c r="AJ3360" s="336"/>
      <c r="AK3360" s="159"/>
      <c r="AL3360" s="159"/>
      <c r="AM3360" s="159"/>
      <c r="AN3360" s="159"/>
      <c r="AO3360" s="156"/>
      <c r="AP3360" s="156"/>
      <c r="AQ3360" s="159"/>
      <c r="AR3360" s="159"/>
      <c r="AS3360" s="156"/>
      <c r="AT3360" s="159"/>
      <c r="AU3360" s="159"/>
      <c r="AV3360" s="159"/>
      <c r="AW3360" s="435"/>
      <c r="AX3360" s="159"/>
      <c r="AY3360" s="61" t="str">
        <f>IFERROR(__xludf.DUMMYFUNCTION("vlookup(BB3360,importrange(""https://docs.google.com/spreadsheets/d/1d2vevQ_7D_v35q4wCQ4RpQ_IPoTwEMB9Yp6ymwlPqew/edit?gid=984458430#gid=984458430"", ""'replication success'!A:K""), 11, FAlSE)"),"#N/A")</f>
        <v>#N/A</v>
      </c>
      <c r="AZ3360" s="61" t="str">
        <f>IFERROR(__xludf.DUMMYFUNCTION("vlookup(BB3360,importrange(""https://docs.google.com/spreadsheets/d/1d2vevQ_7D_v35q4wCQ4RpQ_IPoTwEMB9Yp6ymwlPqew/edit?gid=984458430#gid=984458430"", ""'replication success'!A:M""), 12, FAlSE)"),"#N/A")</f>
        <v>#N/A</v>
      </c>
      <c r="BA3360" s="61" t="str">
        <f>IFERROR(__xludf.DUMMYFUNCTION("vlookup(BB3360,importrange(""https://docs.google.com/spreadsheets/d/1d2vevQ_7D_v35q4wCQ4RpQ_IPoTwEMB9Yp6ymwlPqew/edit?gid=984458430#gid=984458430"", ""'replication success'!A:M""), 13, FAlSE)"),"#N/A")</f>
        <v>#N/A</v>
      </c>
      <c r="BB3360" s="61" t="str">
        <f>IFERROR(__xludf.DUMMYFUNCTION("REGEXREPLACE(G3360, ""_[a-z]{1,2}$"", """")"),"")</f>
        <v/>
      </c>
    </row>
    <row r="3361">
      <c r="A3361" s="44">
        <v>3361.0</v>
      </c>
      <c r="B3361" s="129"/>
      <c r="C3361" s="62"/>
      <c r="D3361" s="62"/>
      <c r="F3361" s="68"/>
      <c r="G3361" s="159"/>
      <c r="H3361" s="159"/>
      <c r="I3361" s="1287"/>
      <c r="J3361" s="152"/>
      <c r="K3361" s="68"/>
      <c r="L3361" s="68"/>
      <c r="M3361" s="159"/>
      <c r="N3361" s="159"/>
      <c r="O3361" s="68"/>
      <c r="P3361" s="382"/>
      <c r="Q3361" s="2418"/>
      <c r="R3361" s="159"/>
      <c r="S3361" s="159"/>
      <c r="T3361" s="68"/>
      <c r="U3361" s="68"/>
      <c r="V3361" s="382"/>
      <c r="W3361" s="1228"/>
      <c r="X3361" s="2419"/>
      <c r="Y3361" s="159"/>
      <c r="Z3361" s="159"/>
      <c r="AA3361" s="159"/>
      <c r="AB3361" s="159"/>
      <c r="AC3361" s="159"/>
      <c r="AD3361" s="68"/>
      <c r="AE3361" s="68"/>
      <c r="AF3361" s="156"/>
      <c r="AG3361" s="156"/>
      <c r="AH3361" s="159"/>
      <c r="AI3361" s="159"/>
      <c r="AJ3361" s="336"/>
      <c r="AK3361" s="159"/>
      <c r="AL3361" s="159"/>
      <c r="AM3361" s="159"/>
      <c r="AN3361" s="159"/>
      <c r="AO3361" s="156"/>
      <c r="AP3361" s="156"/>
      <c r="AQ3361" s="159"/>
      <c r="AR3361" s="159"/>
      <c r="AS3361" s="156"/>
      <c r="AT3361" s="159"/>
      <c r="AU3361" s="159"/>
      <c r="AV3361" s="159"/>
      <c r="AW3361" s="435"/>
      <c r="AX3361" s="159"/>
      <c r="AY3361" s="61" t="str">
        <f>IFERROR(__xludf.DUMMYFUNCTION("vlookup(BB3361,importrange(""https://docs.google.com/spreadsheets/d/1d2vevQ_7D_v35q4wCQ4RpQ_IPoTwEMB9Yp6ymwlPqew/edit?gid=984458430#gid=984458430"", ""'replication success'!A:K""), 11, FAlSE)"),"#N/A")</f>
        <v>#N/A</v>
      </c>
      <c r="AZ3361" s="61" t="str">
        <f>IFERROR(__xludf.DUMMYFUNCTION("vlookup(BB3361,importrange(""https://docs.google.com/spreadsheets/d/1d2vevQ_7D_v35q4wCQ4RpQ_IPoTwEMB9Yp6ymwlPqew/edit?gid=984458430#gid=984458430"", ""'replication success'!A:M""), 12, FAlSE)"),"#N/A")</f>
        <v>#N/A</v>
      </c>
      <c r="BA3361" s="61" t="str">
        <f>IFERROR(__xludf.DUMMYFUNCTION("vlookup(BB3361,importrange(""https://docs.google.com/spreadsheets/d/1d2vevQ_7D_v35q4wCQ4RpQ_IPoTwEMB9Yp6ymwlPqew/edit?gid=984458430#gid=984458430"", ""'replication success'!A:M""), 13, FAlSE)"),"#N/A")</f>
        <v>#N/A</v>
      </c>
      <c r="BB3361" s="61" t="str">
        <f>IFERROR(__xludf.DUMMYFUNCTION("REGEXREPLACE(G3361, ""_[a-z]{1,2}$"", """")"),"")</f>
        <v/>
      </c>
    </row>
    <row r="3362">
      <c r="A3362" s="44">
        <v>3362.0</v>
      </c>
      <c r="B3362" s="129"/>
      <c r="C3362" s="62"/>
      <c r="D3362" s="62"/>
      <c r="F3362" s="68"/>
      <c r="G3362" s="159"/>
      <c r="H3362" s="159"/>
      <c r="I3362" s="1287"/>
      <c r="J3362" s="152"/>
      <c r="K3362" s="68"/>
      <c r="L3362" s="68"/>
      <c r="M3362" s="159"/>
      <c r="N3362" s="159"/>
      <c r="O3362" s="68"/>
      <c r="P3362" s="382"/>
      <c r="Q3362" s="2418"/>
      <c r="R3362" s="159"/>
      <c r="S3362" s="159"/>
      <c r="T3362" s="68"/>
      <c r="U3362" s="68"/>
      <c r="V3362" s="382"/>
      <c r="W3362" s="1228"/>
      <c r="X3362" s="2419"/>
      <c r="Y3362" s="159"/>
      <c r="Z3362" s="159"/>
      <c r="AA3362" s="159"/>
      <c r="AB3362" s="159"/>
      <c r="AC3362" s="159"/>
      <c r="AD3362" s="68"/>
      <c r="AE3362" s="68"/>
      <c r="AF3362" s="156"/>
      <c r="AG3362" s="156"/>
      <c r="AH3362" s="159"/>
      <c r="AI3362" s="159"/>
      <c r="AJ3362" s="336"/>
      <c r="AK3362" s="159"/>
      <c r="AL3362" s="159"/>
      <c r="AM3362" s="159"/>
      <c r="AN3362" s="159"/>
      <c r="AO3362" s="156"/>
      <c r="AP3362" s="156"/>
      <c r="AQ3362" s="159"/>
      <c r="AR3362" s="159"/>
      <c r="AS3362" s="156"/>
      <c r="AT3362" s="159"/>
      <c r="AU3362" s="159"/>
      <c r="AV3362" s="159"/>
      <c r="AW3362" s="435"/>
      <c r="AX3362" s="159"/>
      <c r="AY3362" s="61" t="str">
        <f>IFERROR(__xludf.DUMMYFUNCTION("vlookup(BB3362,importrange(""https://docs.google.com/spreadsheets/d/1d2vevQ_7D_v35q4wCQ4RpQ_IPoTwEMB9Yp6ymwlPqew/edit?gid=984458430#gid=984458430"", ""'replication success'!A:K""), 11, FAlSE)"),"#N/A")</f>
        <v>#N/A</v>
      </c>
      <c r="AZ3362" s="61" t="str">
        <f>IFERROR(__xludf.DUMMYFUNCTION("vlookup(BB3362,importrange(""https://docs.google.com/spreadsheets/d/1d2vevQ_7D_v35q4wCQ4RpQ_IPoTwEMB9Yp6ymwlPqew/edit?gid=984458430#gid=984458430"", ""'replication success'!A:M""), 12, FAlSE)"),"#N/A")</f>
        <v>#N/A</v>
      </c>
      <c r="BA3362" s="61" t="str">
        <f>IFERROR(__xludf.DUMMYFUNCTION("vlookup(BB3362,importrange(""https://docs.google.com/spreadsheets/d/1d2vevQ_7D_v35q4wCQ4RpQ_IPoTwEMB9Yp6ymwlPqew/edit?gid=984458430#gid=984458430"", ""'replication success'!A:M""), 13, FAlSE)"),"#N/A")</f>
        <v>#N/A</v>
      </c>
      <c r="BB3362" s="61" t="str">
        <f>IFERROR(__xludf.DUMMYFUNCTION("REGEXREPLACE(G3362, ""_[a-z]{1,2}$"", """")"),"")</f>
        <v/>
      </c>
    </row>
    <row r="3363">
      <c r="A3363" s="44">
        <v>3363.0</v>
      </c>
      <c r="B3363" s="129"/>
      <c r="C3363" s="62"/>
      <c r="D3363" s="62"/>
      <c r="F3363" s="68"/>
      <c r="G3363" s="159"/>
      <c r="H3363" s="159"/>
      <c r="I3363" s="1287"/>
      <c r="J3363" s="152"/>
      <c r="K3363" s="68"/>
      <c r="L3363" s="68"/>
      <c r="M3363" s="159"/>
      <c r="N3363" s="159"/>
      <c r="O3363" s="68"/>
      <c r="P3363" s="382"/>
      <c r="Q3363" s="2418"/>
      <c r="R3363" s="159"/>
      <c r="S3363" s="159"/>
      <c r="T3363" s="68"/>
      <c r="U3363" s="68"/>
      <c r="V3363" s="382"/>
      <c r="W3363" s="1228"/>
      <c r="X3363" s="2419"/>
      <c r="Y3363" s="159"/>
      <c r="Z3363" s="159"/>
      <c r="AA3363" s="159"/>
      <c r="AB3363" s="159"/>
      <c r="AC3363" s="159"/>
      <c r="AD3363" s="68"/>
      <c r="AE3363" s="68"/>
      <c r="AF3363" s="156"/>
      <c r="AG3363" s="156"/>
      <c r="AH3363" s="159"/>
      <c r="AI3363" s="159"/>
      <c r="AJ3363" s="336"/>
      <c r="AK3363" s="159"/>
      <c r="AL3363" s="159"/>
      <c r="AM3363" s="159"/>
      <c r="AN3363" s="159"/>
      <c r="AO3363" s="156"/>
      <c r="AP3363" s="156"/>
      <c r="AQ3363" s="159"/>
      <c r="AR3363" s="159"/>
      <c r="AS3363" s="156"/>
      <c r="AT3363" s="159"/>
      <c r="AU3363" s="159"/>
      <c r="AV3363" s="159"/>
      <c r="AW3363" s="435"/>
      <c r="AX3363" s="159"/>
      <c r="AY3363" s="61" t="str">
        <f>IFERROR(__xludf.DUMMYFUNCTION("vlookup(BB3363,importrange(""https://docs.google.com/spreadsheets/d/1d2vevQ_7D_v35q4wCQ4RpQ_IPoTwEMB9Yp6ymwlPqew/edit?gid=984458430#gid=984458430"", ""'replication success'!A:K""), 11, FAlSE)"),"#N/A")</f>
        <v>#N/A</v>
      </c>
      <c r="AZ3363" s="61" t="str">
        <f>IFERROR(__xludf.DUMMYFUNCTION("vlookup(BB3363,importrange(""https://docs.google.com/spreadsheets/d/1d2vevQ_7D_v35q4wCQ4RpQ_IPoTwEMB9Yp6ymwlPqew/edit?gid=984458430#gid=984458430"", ""'replication success'!A:M""), 12, FAlSE)"),"#N/A")</f>
        <v>#N/A</v>
      </c>
      <c r="BA3363" s="61" t="str">
        <f>IFERROR(__xludf.DUMMYFUNCTION("vlookup(BB3363,importrange(""https://docs.google.com/spreadsheets/d/1d2vevQ_7D_v35q4wCQ4RpQ_IPoTwEMB9Yp6ymwlPqew/edit?gid=984458430#gid=984458430"", ""'replication success'!A:M""), 13, FAlSE)"),"#N/A")</f>
        <v>#N/A</v>
      </c>
      <c r="BB3363" s="61" t="str">
        <f>IFERROR(__xludf.DUMMYFUNCTION("REGEXREPLACE(G3363, ""_[a-z]{1,2}$"", """")"),"")</f>
        <v/>
      </c>
    </row>
    <row r="3364">
      <c r="A3364" s="44">
        <v>3364.0</v>
      </c>
      <c r="B3364" s="129"/>
      <c r="C3364" s="62"/>
      <c r="D3364" s="62"/>
      <c r="F3364" s="68"/>
      <c r="G3364" s="159"/>
      <c r="H3364" s="159"/>
      <c r="I3364" s="1287"/>
      <c r="J3364" s="152"/>
      <c r="K3364" s="68"/>
      <c r="L3364" s="68"/>
      <c r="M3364" s="159"/>
      <c r="N3364" s="159"/>
      <c r="O3364" s="68"/>
      <c r="P3364" s="382"/>
      <c r="Q3364" s="2418"/>
      <c r="R3364" s="159"/>
      <c r="S3364" s="159"/>
      <c r="T3364" s="68"/>
      <c r="U3364" s="68"/>
      <c r="V3364" s="382"/>
      <c r="W3364" s="1228"/>
      <c r="X3364" s="2419"/>
      <c r="Y3364" s="159"/>
      <c r="Z3364" s="159"/>
      <c r="AA3364" s="159"/>
      <c r="AB3364" s="159"/>
      <c r="AC3364" s="159"/>
      <c r="AD3364" s="68"/>
      <c r="AE3364" s="68"/>
      <c r="AF3364" s="156"/>
      <c r="AG3364" s="156"/>
      <c r="AH3364" s="159"/>
      <c r="AI3364" s="159"/>
      <c r="AJ3364" s="336"/>
      <c r="AK3364" s="159"/>
      <c r="AL3364" s="159"/>
      <c r="AM3364" s="159"/>
      <c r="AN3364" s="159"/>
      <c r="AO3364" s="156"/>
      <c r="AP3364" s="156"/>
      <c r="AQ3364" s="159"/>
      <c r="AR3364" s="159"/>
      <c r="AS3364" s="156"/>
      <c r="AT3364" s="159"/>
      <c r="AU3364" s="159"/>
      <c r="AV3364" s="159"/>
      <c r="AW3364" s="435"/>
      <c r="AX3364" s="159"/>
      <c r="AY3364" s="61" t="str">
        <f>IFERROR(__xludf.DUMMYFUNCTION("vlookup(BB3364,importrange(""https://docs.google.com/spreadsheets/d/1d2vevQ_7D_v35q4wCQ4RpQ_IPoTwEMB9Yp6ymwlPqew/edit?gid=984458430#gid=984458430"", ""'replication success'!A:K""), 11, FAlSE)"),"#N/A")</f>
        <v>#N/A</v>
      </c>
      <c r="AZ3364" s="61" t="str">
        <f>IFERROR(__xludf.DUMMYFUNCTION("vlookup(BB3364,importrange(""https://docs.google.com/spreadsheets/d/1d2vevQ_7D_v35q4wCQ4RpQ_IPoTwEMB9Yp6ymwlPqew/edit?gid=984458430#gid=984458430"", ""'replication success'!A:M""), 12, FAlSE)"),"#N/A")</f>
        <v>#N/A</v>
      </c>
      <c r="BA3364" s="61" t="str">
        <f>IFERROR(__xludf.DUMMYFUNCTION("vlookup(BB3364,importrange(""https://docs.google.com/spreadsheets/d/1d2vevQ_7D_v35q4wCQ4RpQ_IPoTwEMB9Yp6ymwlPqew/edit?gid=984458430#gid=984458430"", ""'replication success'!A:M""), 13, FAlSE)"),"#N/A")</f>
        <v>#N/A</v>
      </c>
      <c r="BB3364" s="61" t="str">
        <f>IFERROR(__xludf.DUMMYFUNCTION("REGEXREPLACE(G3364, ""_[a-z]{1,2}$"", """")"),"")</f>
        <v/>
      </c>
    </row>
    <row r="3365">
      <c r="A3365" s="44">
        <v>3365.0</v>
      </c>
      <c r="B3365" s="129"/>
      <c r="C3365" s="62"/>
      <c r="D3365" s="62"/>
      <c r="F3365" s="68"/>
      <c r="G3365" s="159"/>
      <c r="H3365" s="159"/>
      <c r="I3365" s="1287"/>
      <c r="J3365" s="152"/>
      <c r="K3365" s="68"/>
      <c r="L3365" s="68"/>
      <c r="M3365" s="159"/>
      <c r="N3365" s="159"/>
      <c r="O3365" s="68"/>
      <c r="P3365" s="382"/>
      <c r="Q3365" s="2418"/>
      <c r="R3365" s="159"/>
      <c r="S3365" s="159"/>
      <c r="T3365" s="68"/>
      <c r="U3365" s="68"/>
      <c r="V3365" s="382"/>
      <c r="W3365" s="1228"/>
      <c r="X3365" s="2419"/>
      <c r="Y3365" s="159"/>
      <c r="Z3365" s="159"/>
      <c r="AA3365" s="159"/>
      <c r="AB3365" s="159"/>
      <c r="AC3365" s="159"/>
      <c r="AD3365" s="68"/>
      <c r="AE3365" s="68"/>
      <c r="AF3365" s="156"/>
      <c r="AG3365" s="156"/>
      <c r="AH3365" s="159"/>
      <c r="AI3365" s="159"/>
      <c r="AJ3365" s="336"/>
      <c r="AK3365" s="159"/>
      <c r="AL3365" s="159"/>
      <c r="AM3365" s="159"/>
      <c r="AN3365" s="159"/>
      <c r="AO3365" s="156"/>
      <c r="AP3365" s="156"/>
      <c r="AQ3365" s="159"/>
      <c r="AR3365" s="159"/>
      <c r="AS3365" s="156"/>
      <c r="AT3365" s="159"/>
      <c r="AU3365" s="159"/>
      <c r="AV3365" s="159"/>
      <c r="AW3365" s="435"/>
      <c r="AX3365" s="159"/>
      <c r="AY3365" s="61" t="str">
        <f>IFERROR(__xludf.DUMMYFUNCTION("vlookup(BB3365,importrange(""https://docs.google.com/spreadsheets/d/1d2vevQ_7D_v35q4wCQ4RpQ_IPoTwEMB9Yp6ymwlPqew/edit?gid=984458430#gid=984458430"", ""'replication success'!A:K""), 11, FAlSE)"),"#N/A")</f>
        <v>#N/A</v>
      </c>
      <c r="AZ3365" s="61" t="str">
        <f>IFERROR(__xludf.DUMMYFUNCTION("vlookup(BB3365,importrange(""https://docs.google.com/spreadsheets/d/1d2vevQ_7D_v35q4wCQ4RpQ_IPoTwEMB9Yp6ymwlPqew/edit?gid=984458430#gid=984458430"", ""'replication success'!A:M""), 12, FAlSE)"),"#N/A")</f>
        <v>#N/A</v>
      </c>
      <c r="BA3365" s="61" t="str">
        <f>IFERROR(__xludf.DUMMYFUNCTION("vlookup(BB3365,importrange(""https://docs.google.com/spreadsheets/d/1d2vevQ_7D_v35q4wCQ4RpQ_IPoTwEMB9Yp6ymwlPqew/edit?gid=984458430#gid=984458430"", ""'replication success'!A:M""), 13, FAlSE)"),"#N/A")</f>
        <v>#N/A</v>
      </c>
      <c r="BB3365" s="61" t="str">
        <f>IFERROR(__xludf.DUMMYFUNCTION("REGEXREPLACE(G3365, ""_[a-z]{1,2}$"", """")"),"")</f>
        <v/>
      </c>
    </row>
    <row r="3366">
      <c r="A3366" s="44">
        <v>3366.0</v>
      </c>
      <c r="B3366" s="129"/>
      <c r="C3366" s="62"/>
      <c r="D3366" s="62"/>
      <c r="F3366" s="68"/>
      <c r="G3366" s="159"/>
      <c r="H3366" s="159"/>
      <c r="I3366" s="1287"/>
      <c r="J3366" s="152"/>
      <c r="K3366" s="68"/>
      <c r="L3366" s="68"/>
      <c r="M3366" s="159"/>
      <c r="N3366" s="159"/>
      <c r="O3366" s="68"/>
      <c r="P3366" s="382"/>
      <c r="Q3366" s="2418"/>
      <c r="R3366" s="159"/>
      <c r="S3366" s="159"/>
      <c r="T3366" s="68"/>
      <c r="U3366" s="68"/>
      <c r="V3366" s="382"/>
      <c r="W3366" s="1228"/>
      <c r="X3366" s="2419"/>
      <c r="Y3366" s="159"/>
      <c r="Z3366" s="159"/>
      <c r="AA3366" s="159"/>
      <c r="AB3366" s="159"/>
      <c r="AC3366" s="159"/>
      <c r="AD3366" s="68"/>
      <c r="AE3366" s="68"/>
      <c r="AF3366" s="156"/>
      <c r="AG3366" s="156"/>
      <c r="AH3366" s="159"/>
      <c r="AI3366" s="159"/>
      <c r="AJ3366" s="336"/>
      <c r="AK3366" s="159"/>
      <c r="AL3366" s="159"/>
      <c r="AM3366" s="159"/>
      <c r="AN3366" s="159"/>
      <c r="AO3366" s="156"/>
      <c r="AP3366" s="156"/>
      <c r="AQ3366" s="159"/>
      <c r="AR3366" s="159"/>
      <c r="AS3366" s="156"/>
      <c r="AT3366" s="159"/>
      <c r="AU3366" s="159"/>
      <c r="AV3366" s="159"/>
      <c r="AW3366" s="435"/>
      <c r="AX3366" s="159"/>
      <c r="AY3366" s="61" t="str">
        <f>IFERROR(__xludf.DUMMYFUNCTION("vlookup(BB3366,importrange(""https://docs.google.com/spreadsheets/d/1d2vevQ_7D_v35q4wCQ4RpQ_IPoTwEMB9Yp6ymwlPqew/edit?gid=984458430#gid=984458430"", ""'replication success'!A:K""), 11, FAlSE)"),"#N/A")</f>
        <v>#N/A</v>
      </c>
      <c r="AZ3366" s="61" t="str">
        <f>IFERROR(__xludf.DUMMYFUNCTION("vlookup(BB3366,importrange(""https://docs.google.com/spreadsheets/d/1d2vevQ_7D_v35q4wCQ4RpQ_IPoTwEMB9Yp6ymwlPqew/edit?gid=984458430#gid=984458430"", ""'replication success'!A:M""), 12, FAlSE)"),"#N/A")</f>
        <v>#N/A</v>
      </c>
      <c r="BA3366" s="61" t="str">
        <f>IFERROR(__xludf.DUMMYFUNCTION("vlookup(BB3366,importrange(""https://docs.google.com/spreadsheets/d/1d2vevQ_7D_v35q4wCQ4RpQ_IPoTwEMB9Yp6ymwlPqew/edit?gid=984458430#gid=984458430"", ""'replication success'!A:M""), 13, FAlSE)"),"#N/A")</f>
        <v>#N/A</v>
      </c>
      <c r="BB3366" s="61" t="str">
        <f>IFERROR(__xludf.DUMMYFUNCTION("REGEXREPLACE(G3366, ""_[a-z]{1,2}$"", """")"),"")</f>
        <v/>
      </c>
    </row>
    <row r="3367">
      <c r="A3367" s="44">
        <v>3367.0</v>
      </c>
      <c r="B3367" s="129"/>
      <c r="C3367" s="62"/>
      <c r="D3367" s="62"/>
      <c r="F3367" s="68"/>
      <c r="G3367" s="159"/>
      <c r="H3367" s="159"/>
      <c r="I3367" s="1287"/>
      <c r="J3367" s="152"/>
      <c r="K3367" s="68"/>
      <c r="L3367" s="68"/>
      <c r="M3367" s="159"/>
      <c r="N3367" s="159"/>
      <c r="O3367" s="68"/>
      <c r="P3367" s="382"/>
      <c r="Q3367" s="2418"/>
      <c r="R3367" s="159"/>
      <c r="S3367" s="159"/>
      <c r="T3367" s="68"/>
      <c r="U3367" s="68"/>
      <c r="V3367" s="382"/>
      <c r="W3367" s="1228"/>
      <c r="X3367" s="2419"/>
      <c r="Y3367" s="159"/>
      <c r="Z3367" s="159"/>
      <c r="AA3367" s="159"/>
      <c r="AB3367" s="159"/>
      <c r="AC3367" s="159"/>
      <c r="AD3367" s="68"/>
      <c r="AE3367" s="68"/>
      <c r="AF3367" s="156"/>
      <c r="AG3367" s="156"/>
      <c r="AH3367" s="159"/>
      <c r="AI3367" s="159"/>
      <c r="AJ3367" s="336"/>
      <c r="AK3367" s="159"/>
      <c r="AL3367" s="159"/>
      <c r="AM3367" s="159"/>
      <c r="AN3367" s="159"/>
      <c r="AO3367" s="156"/>
      <c r="AP3367" s="156"/>
      <c r="AQ3367" s="159"/>
      <c r="AR3367" s="159"/>
      <c r="AS3367" s="156"/>
      <c r="AT3367" s="159"/>
      <c r="AU3367" s="159"/>
      <c r="AV3367" s="159"/>
      <c r="AW3367" s="435"/>
      <c r="AX3367" s="159"/>
      <c r="AY3367" s="61" t="str">
        <f>IFERROR(__xludf.DUMMYFUNCTION("vlookup(BB3367,importrange(""https://docs.google.com/spreadsheets/d/1d2vevQ_7D_v35q4wCQ4RpQ_IPoTwEMB9Yp6ymwlPqew/edit?gid=984458430#gid=984458430"", ""'replication success'!A:K""), 11, FAlSE)"),"#N/A")</f>
        <v>#N/A</v>
      </c>
      <c r="AZ3367" s="61" t="str">
        <f>IFERROR(__xludf.DUMMYFUNCTION("vlookup(BB3367,importrange(""https://docs.google.com/spreadsheets/d/1d2vevQ_7D_v35q4wCQ4RpQ_IPoTwEMB9Yp6ymwlPqew/edit?gid=984458430#gid=984458430"", ""'replication success'!A:M""), 12, FAlSE)"),"#N/A")</f>
        <v>#N/A</v>
      </c>
      <c r="BA3367" s="61" t="str">
        <f>IFERROR(__xludf.DUMMYFUNCTION("vlookup(BB3367,importrange(""https://docs.google.com/spreadsheets/d/1d2vevQ_7D_v35q4wCQ4RpQ_IPoTwEMB9Yp6ymwlPqew/edit?gid=984458430#gid=984458430"", ""'replication success'!A:M""), 13, FAlSE)"),"#N/A")</f>
        <v>#N/A</v>
      </c>
      <c r="BB3367" s="61" t="str">
        <f>IFERROR(__xludf.DUMMYFUNCTION("REGEXREPLACE(G3367, ""_[a-z]{1,2}$"", """")"),"")</f>
        <v/>
      </c>
    </row>
    <row r="3368">
      <c r="A3368" s="44">
        <v>3368.0</v>
      </c>
      <c r="B3368" s="129"/>
      <c r="C3368" s="62"/>
      <c r="D3368" s="62"/>
      <c r="F3368" s="68"/>
      <c r="G3368" s="159"/>
      <c r="H3368" s="159"/>
      <c r="I3368" s="1287"/>
      <c r="J3368" s="152"/>
      <c r="K3368" s="68"/>
      <c r="L3368" s="68"/>
      <c r="M3368" s="159"/>
      <c r="N3368" s="159"/>
      <c r="O3368" s="68"/>
      <c r="P3368" s="382"/>
      <c r="Q3368" s="2418"/>
      <c r="R3368" s="159"/>
      <c r="S3368" s="159"/>
      <c r="T3368" s="68"/>
      <c r="U3368" s="68"/>
      <c r="V3368" s="382"/>
      <c r="W3368" s="1228"/>
      <c r="X3368" s="2419"/>
      <c r="Y3368" s="159"/>
      <c r="Z3368" s="159"/>
      <c r="AA3368" s="159"/>
      <c r="AB3368" s="159"/>
      <c r="AC3368" s="159"/>
      <c r="AD3368" s="68"/>
      <c r="AE3368" s="68"/>
      <c r="AF3368" s="156"/>
      <c r="AG3368" s="156"/>
      <c r="AH3368" s="159"/>
      <c r="AI3368" s="159"/>
      <c r="AJ3368" s="336"/>
      <c r="AK3368" s="159"/>
      <c r="AL3368" s="159"/>
      <c r="AM3368" s="159"/>
      <c r="AN3368" s="159"/>
      <c r="AO3368" s="156"/>
      <c r="AP3368" s="156"/>
      <c r="AQ3368" s="159"/>
      <c r="AR3368" s="159"/>
      <c r="AS3368" s="156"/>
      <c r="AT3368" s="159"/>
      <c r="AU3368" s="159"/>
      <c r="AV3368" s="159"/>
      <c r="AW3368" s="435"/>
      <c r="AX3368" s="159"/>
      <c r="AY3368" s="61" t="str">
        <f>IFERROR(__xludf.DUMMYFUNCTION("vlookup(BB3368,importrange(""https://docs.google.com/spreadsheets/d/1d2vevQ_7D_v35q4wCQ4RpQ_IPoTwEMB9Yp6ymwlPqew/edit?gid=984458430#gid=984458430"", ""'replication success'!A:K""), 11, FAlSE)"),"#N/A")</f>
        <v>#N/A</v>
      </c>
      <c r="AZ3368" s="61" t="str">
        <f>IFERROR(__xludf.DUMMYFUNCTION("vlookup(BB3368,importrange(""https://docs.google.com/spreadsheets/d/1d2vevQ_7D_v35q4wCQ4RpQ_IPoTwEMB9Yp6ymwlPqew/edit?gid=984458430#gid=984458430"", ""'replication success'!A:M""), 12, FAlSE)"),"#N/A")</f>
        <v>#N/A</v>
      </c>
      <c r="BA3368" s="61" t="str">
        <f>IFERROR(__xludf.DUMMYFUNCTION("vlookup(BB3368,importrange(""https://docs.google.com/spreadsheets/d/1d2vevQ_7D_v35q4wCQ4RpQ_IPoTwEMB9Yp6ymwlPqew/edit?gid=984458430#gid=984458430"", ""'replication success'!A:M""), 13, FAlSE)"),"#N/A")</f>
        <v>#N/A</v>
      </c>
      <c r="BB3368" s="61" t="str">
        <f>IFERROR(__xludf.DUMMYFUNCTION("REGEXREPLACE(G3368, ""_[a-z]{1,2}$"", """")"),"")</f>
        <v/>
      </c>
    </row>
    <row r="3369">
      <c r="A3369" s="44">
        <v>3369.0</v>
      </c>
      <c r="B3369" s="129"/>
      <c r="C3369" s="62"/>
      <c r="D3369" s="62"/>
      <c r="F3369" s="68"/>
      <c r="G3369" s="159"/>
      <c r="H3369" s="159"/>
      <c r="I3369" s="1287"/>
      <c r="J3369" s="152"/>
      <c r="K3369" s="68"/>
      <c r="L3369" s="68"/>
      <c r="M3369" s="159"/>
      <c r="N3369" s="159"/>
      <c r="O3369" s="68"/>
      <c r="P3369" s="382"/>
      <c r="Q3369" s="2418"/>
      <c r="R3369" s="159"/>
      <c r="S3369" s="159"/>
      <c r="T3369" s="68"/>
      <c r="U3369" s="68"/>
      <c r="V3369" s="382"/>
      <c r="W3369" s="1228"/>
      <c r="X3369" s="2419"/>
      <c r="Y3369" s="159"/>
      <c r="Z3369" s="159"/>
      <c r="AA3369" s="159"/>
      <c r="AB3369" s="159"/>
      <c r="AC3369" s="159"/>
      <c r="AD3369" s="68"/>
      <c r="AE3369" s="68"/>
      <c r="AF3369" s="156"/>
      <c r="AG3369" s="156"/>
      <c r="AH3369" s="159"/>
      <c r="AI3369" s="159"/>
      <c r="AJ3369" s="336"/>
      <c r="AK3369" s="159"/>
      <c r="AL3369" s="159"/>
      <c r="AM3369" s="159"/>
      <c r="AN3369" s="159"/>
      <c r="AO3369" s="156"/>
      <c r="AP3369" s="156"/>
      <c r="AQ3369" s="159"/>
      <c r="AR3369" s="159"/>
      <c r="AS3369" s="156"/>
      <c r="AT3369" s="159"/>
      <c r="AU3369" s="159"/>
      <c r="AV3369" s="159"/>
      <c r="AW3369" s="435"/>
      <c r="AX3369" s="159"/>
      <c r="AY3369" s="61" t="str">
        <f>IFERROR(__xludf.DUMMYFUNCTION("vlookup(BB3369,importrange(""https://docs.google.com/spreadsheets/d/1d2vevQ_7D_v35q4wCQ4RpQ_IPoTwEMB9Yp6ymwlPqew/edit?gid=984458430#gid=984458430"", ""'replication success'!A:K""), 11, FAlSE)"),"#N/A")</f>
        <v>#N/A</v>
      </c>
      <c r="AZ3369" s="61" t="str">
        <f>IFERROR(__xludf.DUMMYFUNCTION("vlookup(BB3369,importrange(""https://docs.google.com/spreadsheets/d/1d2vevQ_7D_v35q4wCQ4RpQ_IPoTwEMB9Yp6ymwlPqew/edit?gid=984458430#gid=984458430"", ""'replication success'!A:M""), 12, FAlSE)"),"#N/A")</f>
        <v>#N/A</v>
      </c>
      <c r="BA3369" s="61" t="str">
        <f>IFERROR(__xludf.DUMMYFUNCTION("vlookup(BB3369,importrange(""https://docs.google.com/spreadsheets/d/1d2vevQ_7D_v35q4wCQ4RpQ_IPoTwEMB9Yp6ymwlPqew/edit?gid=984458430#gid=984458430"", ""'replication success'!A:M""), 13, FAlSE)"),"#N/A")</f>
        <v>#N/A</v>
      </c>
      <c r="BB3369" s="61" t="str">
        <f>IFERROR(__xludf.DUMMYFUNCTION("REGEXREPLACE(G3369, ""_[a-z]{1,2}$"", """")"),"")</f>
        <v/>
      </c>
    </row>
    <row r="3370">
      <c r="A3370" s="44">
        <v>3370.0</v>
      </c>
      <c r="B3370" s="129"/>
      <c r="C3370" s="62"/>
      <c r="D3370" s="62"/>
      <c r="F3370" s="68"/>
      <c r="G3370" s="159"/>
      <c r="H3370" s="159"/>
      <c r="I3370" s="1287"/>
      <c r="J3370" s="152"/>
      <c r="K3370" s="68"/>
      <c r="L3370" s="68"/>
      <c r="M3370" s="159"/>
      <c r="N3370" s="159"/>
      <c r="O3370" s="68"/>
      <c r="P3370" s="382"/>
      <c r="Q3370" s="2418"/>
      <c r="R3370" s="159"/>
      <c r="S3370" s="159"/>
      <c r="T3370" s="68"/>
      <c r="U3370" s="68"/>
      <c r="V3370" s="382"/>
      <c r="W3370" s="1228"/>
      <c r="X3370" s="2419"/>
      <c r="Y3370" s="159"/>
      <c r="Z3370" s="159"/>
      <c r="AA3370" s="159"/>
      <c r="AB3370" s="159"/>
      <c r="AC3370" s="159"/>
      <c r="AD3370" s="68"/>
      <c r="AE3370" s="68"/>
      <c r="AF3370" s="156"/>
      <c r="AG3370" s="156"/>
      <c r="AH3370" s="159"/>
      <c r="AI3370" s="159"/>
      <c r="AJ3370" s="336"/>
      <c r="AK3370" s="159"/>
      <c r="AL3370" s="159"/>
      <c r="AM3370" s="159"/>
      <c r="AN3370" s="159"/>
      <c r="AO3370" s="156"/>
      <c r="AP3370" s="156"/>
      <c r="AQ3370" s="159"/>
      <c r="AR3370" s="159"/>
      <c r="AS3370" s="156"/>
      <c r="AT3370" s="159"/>
      <c r="AU3370" s="159"/>
      <c r="AV3370" s="159"/>
      <c r="AW3370" s="435"/>
      <c r="AX3370" s="159"/>
      <c r="AY3370" s="61" t="str">
        <f>IFERROR(__xludf.DUMMYFUNCTION("vlookup(BB3370,importrange(""https://docs.google.com/spreadsheets/d/1d2vevQ_7D_v35q4wCQ4RpQ_IPoTwEMB9Yp6ymwlPqew/edit?gid=984458430#gid=984458430"", ""'replication success'!A:K""), 11, FAlSE)"),"#N/A")</f>
        <v>#N/A</v>
      </c>
      <c r="AZ3370" s="61" t="str">
        <f>IFERROR(__xludf.DUMMYFUNCTION("vlookup(BB3370,importrange(""https://docs.google.com/spreadsheets/d/1d2vevQ_7D_v35q4wCQ4RpQ_IPoTwEMB9Yp6ymwlPqew/edit?gid=984458430#gid=984458430"", ""'replication success'!A:M""), 12, FAlSE)"),"#N/A")</f>
        <v>#N/A</v>
      </c>
      <c r="BA3370" s="61" t="str">
        <f>IFERROR(__xludf.DUMMYFUNCTION("vlookup(BB3370,importrange(""https://docs.google.com/spreadsheets/d/1d2vevQ_7D_v35q4wCQ4RpQ_IPoTwEMB9Yp6ymwlPqew/edit?gid=984458430#gid=984458430"", ""'replication success'!A:M""), 13, FAlSE)"),"#N/A")</f>
        <v>#N/A</v>
      </c>
      <c r="BB3370" s="61" t="str">
        <f>IFERROR(__xludf.DUMMYFUNCTION("REGEXREPLACE(G3370, ""_[a-z]{1,2}$"", """")"),"")</f>
        <v/>
      </c>
    </row>
    <row r="3371">
      <c r="A3371" s="44">
        <v>3371.0</v>
      </c>
      <c r="B3371" s="129"/>
      <c r="C3371" s="62"/>
      <c r="D3371" s="62"/>
      <c r="F3371" s="68"/>
      <c r="G3371" s="159"/>
      <c r="H3371" s="159"/>
      <c r="I3371" s="1287"/>
      <c r="J3371" s="152"/>
      <c r="K3371" s="68"/>
      <c r="L3371" s="68"/>
      <c r="M3371" s="159"/>
      <c r="N3371" s="159"/>
      <c r="O3371" s="68"/>
      <c r="P3371" s="382"/>
      <c r="Q3371" s="2418"/>
      <c r="R3371" s="159"/>
      <c r="S3371" s="159"/>
      <c r="T3371" s="68"/>
      <c r="U3371" s="68"/>
      <c r="V3371" s="382"/>
      <c r="W3371" s="1228"/>
      <c r="X3371" s="2419"/>
      <c r="Y3371" s="159"/>
      <c r="Z3371" s="159"/>
      <c r="AA3371" s="159"/>
      <c r="AB3371" s="159"/>
      <c r="AC3371" s="159"/>
      <c r="AD3371" s="68"/>
      <c r="AE3371" s="68"/>
      <c r="AF3371" s="156"/>
      <c r="AG3371" s="156"/>
      <c r="AH3371" s="159"/>
      <c r="AI3371" s="159"/>
      <c r="AJ3371" s="336"/>
      <c r="AK3371" s="159"/>
      <c r="AL3371" s="159"/>
      <c r="AM3371" s="159"/>
      <c r="AN3371" s="159"/>
      <c r="AO3371" s="156"/>
      <c r="AP3371" s="156"/>
      <c r="AQ3371" s="159"/>
      <c r="AR3371" s="159"/>
      <c r="AS3371" s="156"/>
      <c r="AT3371" s="159"/>
      <c r="AU3371" s="159"/>
      <c r="AV3371" s="159"/>
      <c r="AW3371" s="435"/>
      <c r="AX3371" s="159"/>
      <c r="AY3371" s="61" t="str">
        <f>IFERROR(__xludf.DUMMYFUNCTION("vlookup(BB3371,importrange(""https://docs.google.com/spreadsheets/d/1d2vevQ_7D_v35q4wCQ4RpQ_IPoTwEMB9Yp6ymwlPqew/edit?gid=984458430#gid=984458430"", ""'replication success'!A:K""), 11, FAlSE)"),"#N/A")</f>
        <v>#N/A</v>
      </c>
      <c r="AZ3371" s="61" t="str">
        <f>IFERROR(__xludf.DUMMYFUNCTION("vlookup(BB3371,importrange(""https://docs.google.com/spreadsheets/d/1d2vevQ_7D_v35q4wCQ4RpQ_IPoTwEMB9Yp6ymwlPqew/edit?gid=984458430#gid=984458430"", ""'replication success'!A:M""), 12, FAlSE)"),"#N/A")</f>
        <v>#N/A</v>
      </c>
      <c r="BA3371" s="61" t="str">
        <f>IFERROR(__xludf.DUMMYFUNCTION("vlookup(BB3371,importrange(""https://docs.google.com/spreadsheets/d/1d2vevQ_7D_v35q4wCQ4RpQ_IPoTwEMB9Yp6ymwlPqew/edit?gid=984458430#gid=984458430"", ""'replication success'!A:M""), 13, FAlSE)"),"#N/A")</f>
        <v>#N/A</v>
      </c>
      <c r="BB3371" s="61" t="str">
        <f>IFERROR(__xludf.DUMMYFUNCTION("REGEXREPLACE(G3371, ""_[a-z]{1,2}$"", """")"),"")</f>
        <v/>
      </c>
    </row>
    <row r="3372">
      <c r="A3372" s="44">
        <v>3372.0</v>
      </c>
      <c r="B3372" s="129"/>
      <c r="C3372" s="62"/>
      <c r="D3372" s="62"/>
      <c r="F3372" s="68"/>
      <c r="G3372" s="159"/>
      <c r="H3372" s="159"/>
      <c r="I3372" s="1287"/>
      <c r="J3372" s="152"/>
      <c r="K3372" s="68"/>
      <c r="L3372" s="68"/>
      <c r="M3372" s="159"/>
      <c r="N3372" s="159"/>
      <c r="O3372" s="68"/>
      <c r="P3372" s="382"/>
      <c r="Q3372" s="2418"/>
      <c r="R3372" s="159"/>
      <c r="S3372" s="159"/>
      <c r="T3372" s="68"/>
      <c r="U3372" s="68"/>
      <c r="V3372" s="382"/>
      <c r="W3372" s="1228"/>
      <c r="X3372" s="2419"/>
      <c r="Y3372" s="159"/>
      <c r="Z3372" s="159"/>
      <c r="AA3372" s="159"/>
      <c r="AB3372" s="159"/>
      <c r="AC3372" s="159"/>
      <c r="AD3372" s="68"/>
      <c r="AE3372" s="68"/>
      <c r="AF3372" s="156"/>
      <c r="AG3372" s="156"/>
      <c r="AH3372" s="159"/>
      <c r="AI3372" s="159"/>
      <c r="AJ3372" s="336"/>
      <c r="AK3372" s="159"/>
      <c r="AL3372" s="159"/>
      <c r="AM3372" s="159"/>
      <c r="AN3372" s="159"/>
      <c r="AO3372" s="156"/>
      <c r="AP3372" s="156"/>
      <c r="AQ3372" s="159"/>
      <c r="AR3372" s="159"/>
      <c r="AS3372" s="156"/>
      <c r="AT3372" s="159"/>
      <c r="AU3372" s="159"/>
      <c r="AV3372" s="159"/>
      <c r="AW3372" s="435"/>
      <c r="AX3372" s="159"/>
      <c r="AY3372" s="61" t="str">
        <f>IFERROR(__xludf.DUMMYFUNCTION("vlookup(BB3372,importrange(""https://docs.google.com/spreadsheets/d/1d2vevQ_7D_v35q4wCQ4RpQ_IPoTwEMB9Yp6ymwlPqew/edit?gid=984458430#gid=984458430"", ""'replication success'!A:K""), 11, FAlSE)"),"#N/A")</f>
        <v>#N/A</v>
      </c>
      <c r="AZ3372" s="61" t="str">
        <f>IFERROR(__xludf.DUMMYFUNCTION("vlookup(BB3372,importrange(""https://docs.google.com/spreadsheets/d/1d2vevQ_7D_v35q4wCQ4RpQ_IPoTwEMB9Yp6ymwlPqew/edit?gid=984458430#gid=984458430"", ""'replication success'!A:M""), 12, FAlSE)"),"#N/A")</f>
        <v>#N/A</v>
      </c>
      <c r="BA3372" s="61" t="str">
        <f>IFERROR(__xludf.DUMMYFUNCTION("vlookup(BB3372,importrange(""https://docs.google.com/spreadsheets/d/1d2vevQ_7D_v35q4wCQ4RpQ_IPoTwEMB9Yp6ymwlPqew/edit?gid=984458430#gid=984458430"", ""'replication success'!A:M""), 13, FAlSE)"),"#N/A")</f>
        <v>#N/A</v>
      </c>
      <c r="BB3372" s="61" t="str">
        <f>IFERROR(__xludf.DUMMYFUNCTION("REGEXREPLACE(G3372, ""_[a-z]{1,2}$"", """")"),"")</f>
        <v/>
      </c>
    </row>
    <row r="3373">
      <c r="A3373" s="44">
        <v>3373.0</v>
      </c>
      <c r="B3373" s="129"/>
      <c r="C3373" s="62"/>
      <c r="D3373" s="62"/>
      <c r="F3373" s="68"/>
      <c r="G3373" s="159"/>
      <c r="H3373" s="159"/>
      <c r="I3373" s="1287"/>
      <c r="J3373" s="152"/>
      <c r="K3373" s="68"/>
      <c r="L3373" s="68"/>
      <c r="M3373" s="159"/>
      <c r="N3373" s="159"/>
      <c r="O3373" s="68"/>
      <c r="P3373" s="382"/>
      <c r="Q3373" s="2418"/>
      <c r="R3373" s="159"/>
      <c r="S3373" s="159"/>
      <c r="T3373" s="68"/>
      <c r="U3373" s="68"/>
      <c r="V3373" s="382"/>
      <c r="W3373" s="1228"/>
      <c r="X3373" s="2419"/>
      <c r="Y3373" s="159"/>
      <c r="Z3373" s="159"/>
      <c r="AA3373" s="159"/>
      <c r="AB3373" s="159"/>
      <c r="AC3373" s="159"/>
      <c r="AD3373" s="68"/>
      <c r="AE3373" s="68"/>
      <c r="AF3373" s="156"/>
      <c r="AG3373" s="156"/>
      <c r="AH3373" s="159"/>
      <c r="AI3373" s="159"/>
      <c r="AJ3373" s="336"/>
      <c r="AK3373" s="159"/>
      <c r="AL3373" s="159"/>
      <c r="AM3373" s="159"/>
      <c r="AN3373" s="159"/>
      <c r="AO3373" s="156"/>
      <c r="AP3373" s="156"/>
      <c r="AQ3373" s="159"/>
      <c r="AR3373" s="159"/>
      <c r="AS3373" s="156"/>
      <c r="AT3373" s="159"/>
      <c r="AU3373" s="159"/>
      <c r="AV3373" s="159"/>
      <c r="AW3373" s="435"/>
      <c r="AX3373" s="159"/>
      <c r="AY3373" s="61" t="str">
        <f>IFERROR(__xludf.DUMMYFUNCTION("vlookup(BB3373,importrange(""https://docs.google.com/spreadsheets/d/1d2vevQ_7D_v35q4wCQ4RpQ_IPoTwEMB9Yp6ymwlPqew/edit?gid=984458430#gid=984458430"", ""'replication success'!A:K""), 11, FAlSE)"),"#N/A")</f>
        <v>#N/A</v>
      </c>
      <c r="AZ3373" s="61" t="str">
        <f>IFERROR(__xludf.DUMMYFUNCTION("vlookup(BB3373,importrange(""https://docs.google.com/spreadsheets/d/1d2vevQ_7D_v35q4wCQ4RpQ_IPoTwEMB9Yp6ymwlPqew/edit?gid=984458430#gid=984458430"", ""'replication success'!A:M""), 12, FAlSE)"),"#N/A")</f>
        <v>#N/A</v>
      </c>
      <c r="BA3373" s="61" t="str">
        <f>IFERROR(__xludf.DUMMYFUNCTION("vlookup(BB3373,importrange(""https://docs.google.com/spreadsheets/d/1d2vevQ_7D_v35q4wCQ4RpQ_IPoTwEMB9Yp6ymwlPqew/edit?gid=984458430#gid=984458430"", ""'replication success'!A:M""), 13, FAlSE)"),"#N/A")</f>
        <v>#N/A</v>
      </c>
      <c r="BB3373" s="61" t="str">
        <f>IFERROR(__xludf.DUMMYFUNCTION("REGEXREPLACE(G3373, ""_[a-z]{1,2}$"", """")"),"")</f>
        <v/>
      </c>
    </row>
    <row r="3374">
      <c r="A3374" s="44">
        <v>3374.0</v>
      </c>
      <c r="B3374" s="129"/>
      <c r="C3374" s="62"/>
      <c r="D3374" s="62"/>
      <c r="F3374" s="68"/>
      <c r="G3374" s="159"/>
      <c r="H3374" s="159"/>
      <c r="I3374" s="1287"/>
      <c r="J3374" s="152"/>
      <c r="K3374" s="68"/>
      <c r="L3374" s="68"/>
      <c r="M3374" s="159"/>
      <c r="N3374" s="159"/>
      <c r="O3374" s="68"/>
      <c r="P3374" s="382"/>
      <c r="Q3374" s="2418"/>
      <c r="R3374" s="159"/>
      <c r="S3374" s="159"/>
      <c r="T3374" s="68"/>
      <c r="U3374" s="68"/>
      <c r="V3374" s="382"/>
      <c r="W3374" s="1228"/>
      <c r="X3374" s="2419"/>
      <c r="Y3374" s="159"/>
      <c r="Z3374" s="159"/>
      <c r="AA3374" s="159"/>
      <c r="AB3374" s="159"/>
      <c r="AC3374" s="159"/>
      <c r="AD3374" s="68"/>
      <c r="AE3374" s="68"/>
      <c r="AF3374" s="156"/>
      <c r="AG3374" s="156"/>
      <c r="AH3374" s="159"/>
      <c r="AI3374" s="159"/>
      <c r="AJ3374" s="336"/>
      <c r="AK3374" s="159"/>
      <c r="AL3374" s="159"/>
      <c r="AM3374" s="159"/>
      <c r="AN3374" s="159"/>
      <c r="AO3374" s="156"/>
      <c r="AP3374" s="156"/>
      <c r="AQ3374" s="159"/>
      <c r="AR3374" s="159"/>
      <c r="AS3374" s="156"/>
      <c r="AT3374" s="159"/>
      <c r="AU3374" s="159"/>
      <c r="AV3374" s="159"/>
      <c r="AW3374" s="435"/>
      <c r="AX3374" s="159"/>
      <c r="AY3374" s="61" t="str">
        <f>IFERROR(__xludf.DUMMYFUNCTION("vlookup(BB3374,importrange(""https://docs.google.com/spreadsheets/d/1d2vevQ_7D_v35q4wCQ4RpQ_IPoTwEMB9Yp6ymwlPqew/edit?gid=984458430#gid=984458430"", ""'replication success'!A:K""), 11, FAlSE)"),"#N/A")</f>
        <v>#N/A</v>
      </c>
      <c r="AZ3374" s="61" t="str">
        <f>IFERROR(__xludf.DUMMYFUNCTION("vlookup(BB3374,importrange(""https://docs.google.com/spreadsheets/d/1d2vevQ_7D_v35q4wCQ4RpQ_IPoTwEMB9Yp6ymwlPqew/edit?gid=984458430#gid=984458430"", ""'replication success'!A:M""), 12, FAlSE)"),"#N/A")</f>
        <v>#N/A</v>
      </c>
      <c r="BA3374" s="61" t="str">
        <f>IFERROR(__xludf.DUMMYFUNCTION("vlookup(BB3374,importrange(""https://docs.google.com/spreadsheets/d/1d2vevQ_7D_v35q4wCQ4RpQ_IPoTwEMB9Yp6ymwlPqew/edit?gid=984458430#gid=984458430"", ""'replication success'!A:M""), 13, FAlSE)"),"#N/A")</f>
        <v>#N/A</v>
      </c>
      <c r="BB3374" s="61" t="str">
        <f>IFERROR(__xludf.DUMMYFUNCTION("REGEXREPLACE(G3374, ""_[a-z]{1,2}$"", """")"),"")</f>
        <v/>
      </c>
    </row>
    <row r="3375">
      <c r="A3375" s="44">
        <v>3375.0</v>
      </c>
      <c r="B3375" s="129"/>
      <c r="C3375" s="62"/>
      <c r="D3375" s="62"/>
      <c r="F3375" s="68"/>
      <c r="G3375" s="159"/>
      <c r="H3375" s="159"/>
      <c r="I3375" s="1287"/>
      <c r="J3375" s="152"/>
      <c r="K3375" s="68"/>
      <c r="L3375" s="68"/>
      <c r="M3375" s="159"/>
      <c r="N3375" s="159"/>
      <c r="O3375" s="68"/>
      <c r="P3375" s="382"/>
      <c r="Q3375" s="2418"/>
      <c r="R3375" s="159"/>
      <c r="S3375" s="159"/>
      <c r="T3375" s="68"/>
      <c r="U3375" s="68"/>
      <c r="V3375" s="382"/>
      <c r="W3375" s="1228"/>
      <c r="X3375" s="2419"/>
      <c r="Y3375" s="159"/>
      <c r="Z3375" s="159"/>
      <c r="AA3375" s="159"/>
      <c r="AB3375" s="159"/>
      <c r="AC3375" s="159"/>
      <c r="AD3375" s="68"/>
      <c r="AE3375" s="68"/>
      <c r="AF3375" s="156"/>
      <c r="AG3375" s="156"/>
      <c r="AH3375" s="159"/>
      <c r="AI3375" s="159"/>
      <c r="AJ3375" s="336"/>
      <c r="AK3375" s="159"/>
      <c r="AL3375" s="159"/>
      <c r="AM3375" s="159"/>
      <c r="AN3375" s="159"/>
      <c r="AO3375" s="156"/>
      <c r="AP3375" s="156"/>
      <c r="AQ3375" s="159"/>
      <c r="AR3375" s="159"/>
      <c r="AS3375" s="156"/>
      <c r="AT3375" s="159"/>
      <c r="AU3375" s="159"/>
      <c r="AV3375" s="159"/>
      <c r="AW3375" s="435"/>
      <c r="AX3375" s="159"/>
      <c r="AY3375" s="61" t="str">
        <f>IFERROR(__xludf.DUMMYFUNCTION("vlookup(BB3375,importrange(""https://docs.google.com/spreadsheets/d/1d2vevQ_7D_v35q4wCQ4RpQ_IPoTwEMB9Yp6ymwlPqew/edit?gid=984458430#gid=984458430"", ""'replication success'!A:K""), 11, FAlSE)"),"#N/A")</f>
        <v>#N/A</v>
      </c>
      <c r="AZ3375" s="61" t="str">
        <f>IFERROR(__xludf.DUMMYFUNCTION("vlookup(BB3375,importrange(""https://docs.google.com/spreadsheets/d/1d2vevQ_7D_v35q4wCQ4RpQ_IPoTwEMB9Yp6ymwlPqew/edit?gid=984458430#gid=984458430"", ""'replication success'!A:M""), 12, FAlSE)"),"#N/A")</f>
        <v>#N/A</v>
      </c>
      <c r="BA3375" s="61" t="str">
        <f>IFERROR(__xludf.DUMMYFUNCTION("vlookup(BB3375,importrange(""https://docs.google.com/spreadsheets/d/1d2vevQ_7D_v35q4wCQ4RpQ_IPoTwEMB9Yp6ymwlPqew/edit?gid=984458430#gid=984458430"", ""'replication success'!A:M""), 13, FAlSE)"),"#N/A")</f>
        <v>#N/A</v>
      </c>
      <c r="BB3375" s="61" t="str">
        <f>IFERROR(__xludf.DUMMYFUNCTION("REGEXREPLACE(G3375, ""_[a-z]{1,2}$"", """")"),"")</f>
        <v/>
      </c>
    </row>
    <row r="3376">
      <c r="A3376" s="44">
        <v>3376.0</v>
      </c>
      <c r="B3376" s="129"/>
      <c r="C3376" s="62"/>
      <c r="D3376" s="62"/>
      <c r="F3376" s="68"/>
      <c r="G3376" s="159"/>
      <c r="H3376" s="159"/>
      <c r="I3376" s="1287"/>
      <c r="J3376" s="152"/>
      <c r="K3376" s="68"/>
      <c r="L3376" s="68"/>
      <c r="M3376" s="159"/>
      <c r="N3376" s="159"/>
      <c r="O3376" s="68"/>
      <c r="P3376" s="382"/>
      <c r="Q3376" s="2418"/>
      <c r="R3376" s="159"/>
      <c r="S3376" s="159"/>
      <c r="T3376" s="68"/>
      <c r="U3376" s="68"/>
      <c r="V3376" s="382"/>
      <c r="W3376" s="1228"/>
      <c r="X3376" s="2419"/>
      <c r="Y3376" s="159"/>
      <c r="Z3376" s="159"/>
      <c r="AA3376" s="159"/>
      <c r="AB3376" s="159"/>
      <c r="AC3376" s="159"/>
      <c r="AD3376" s="68"/>
      <c r="AE3376" s="68"/>
      <c r="AF3376" s="156"/>
      <c r="AG3376" s="156"/>
      <c r="AH3376" s="159"/>
      <c r="AI3376" s="159"/>
      <c r="AJ3376" s="336"/>
      <c r="AK3376" s="159"/>
      <c r="AL3376" s="159"/>
      <c r="AM3376" s="159"/>
      <c r="AN3376" s="159"/>
      <c r="AO3376" s="156"/>
      <c r="AP3376" s="156"/>
      <c r="AQ3376" s="159"/>
      <c r="AR3376" s="159"/>
      <c r="AS3376" s="156"/>
      <c r="AT3376" s="159"/>
      <c r="AU3376" s="159"/>
      <c r="AV3376" s="159"/>
      <c r="AW3376" s="435"/>
      <c r="AX3376" s="159"/>
      <c r="AY3376" s="61" t="str">
        <f>IFERROR(__xludf.DUMMYFUNCTION("vlookup(BB3376,importrange(""https://docs.google.com/spreadsheets/d/1d2vevQ_7D_v35q4wCQ4RpQ_IPoTwEMB9Yp6ymwlPqew/edit?gid=984458430#gid=984458430"", ""'replication success'!A:K""), 11, FAlSE)"),"#N/A")</f>
        <v>#N/A</v>
      </c>
      <c r="AZ3376" s="61" t="str">
        <f>IFERROR(__xludf.DUMMYFUNCTION("vlookup(BB3376,importrange(""https://docs.google.com/spreadsheets/d/1d2vevQ_7D_v35q4wCQ4RpQ_IPoTwEMB9Yp6ymwlPqew/edit?gid=984458430#gid=984458430"", ""'replication success'!A:M""), 12, FAlSE)"),"#N/A")</f>
        <v>#N/A</v>
      </c>
      <c r="BA3376" s="61" t="str">
        <f>IFERROR(__xludf.DUMMYFUNCTION("vlookup(BB3376,importrange(""https://docs.google.com/spreadsheets/d/1d2vevQ_7D_v35q4wCQ4RpQ_IPoTwEMB9Yp6ymwlPqew/edit?gid=984458430#gid=984458430"", ""'replication success'!A:M""), 13, FAlSE)"),"#N/A")</f>
        <v>#N/A</v>
      </c>
      <c r="BB3376" s="61" t="str">
        <f>IFERROR(__xludf.DUMMYFUNCTION("REGEXREPLACE(G3376, ""_[a-z]{1,2}$"", """")"),"")</f>
        <v/>
      </c>
    </row>
    <row r="3377">
      <c r="A3377" s="44">
        <v>3377.0</v>
      </c>
      <c r="B3377" s="129"/>
      <c r="C3377" s="62"/>
      <c r="D3377" s="62"/>
      <c r="F3377" s="68"/>
      <c r="G3377" s="159"/>
      <c r="H3377" s="159"/>
      <c r="I3377" s="1287"/>
      <c r="J3377" s="152"/>
      <c r="K3377" s="68"/>
      <c r="L3377" s="68"/>
      <c r="M3377" s="159"/>
      <c r="N3377" s="159"/>
      <c r="O3377" s="68"/>
      <c r="P3377" s="382"/>
      <c r="Q3377" s="2418"/>
      <c r="R3377" s="159"/>
      <c r="S3377" s="159"/>
      <c r="T3377" s="68"/>
      <c r="U3377" s="68"/>
      <c r="V3377" s="382"/>
      <c r="W3377" s="1228"/>
      <c r="X3377" s="2419"/>
      <c r="Y3377" s="159"/>
      <c r="Z3377" s="159"/>
      <c r="AA3377" s="159"/>
      <c r="AB3377" s="159"/>
      <c r="AC3377" s="159"/>
      <c r="AD3377" s="68"/>
      <c r="AE3377" s="68"/>
      <c r="AF3377" s="156"/>
      <c r="AG3377" s="156"/>
      <c r="AH3377" s="159"/>
      <c r="AI3377" s="159"/>
      <c r="AJ3377" s="336"/>
      <c r="AK3377" s="159"/>
      <c r="AL3377" s="159"/>
      <c r="AM3377" s="159"/>
      <c r="AN3377" s="159"/>
      <c r="AO3377" s="156"/>
      <c r="AP3377" s="156"/>
      <c r="AQ3377" s="159"/>
      <c r="AR3377" s="159"/>
      <c r="AS3377" s="156"/>
      <c r="AT3377" s="159"/>
      <c r="AU3377" s="159"/>
      <c r="AV3377" s="159"/>
      <c r="AW3377" s="435"/>
      <c r="AX3377" s="159"/>
      <c r="AY3377" s="61" t="str">
        <f>IFERROR(__xludf.DUMMYFUNCTION("vlookup(BB3377,importrange(""https://docs.google.com/spreadsheets/d/1d2vevQ_7D_v35q4wCQ4RpQ_IPoTwEMB9Yp6ymwlPqew/edit?gid=984458430#gid=984458430"", ""'replication success'!A:K""), 11, FAlSE)"),"#N/A")</f>
        <v>#N/A</v>
      </c>
      <c r="AZ3377" s="61" t="str">
        <f>IFERROR(__xludf.DUMMYFUNCTION("vlookup(BB3377,importrange(""https://docs.google.com/spreadsheets/d/1d2vevQ_7D_v35q4wCQ4RpQ_IPoTwEMB9Yp6ymwlPqew/edit?gid=984458430#gid=984458430"", ""'replication success'!A:M""), 12, FAlSE)"),"#N/A")</f>
        <v>#N/A</v>
      </c>
      <c r="BA3377" s="61" t="str">
        <f>IFERROR(__xludf.DUMMYFUNCTION("vlookup(BB3377,importrange(""https://docs.google.com/spreadsheets/d/1d2vevQ_7D_v35q4wCQ4RpQ_IPoTwEMB9Yp6ymwlPqew/edit?gid=984458430#gid=984458430"", ""'replication success'!A:M""), 13, FAlSE)"),"#N/A")</f>
        <v>#N/A</v>
      </c>
      <c r="BB3377" s="61" t="str">
        <f>IFERROR(__xludf.DUMMYFUNCTION("REGEXREPLACE(G3377, ""_[a-z]{1,2}$"", """")"),"")</f>
        <v/>
      </c>
    </row>
    <row r="3378">
      <c r="A3378" s="44">
        <v>3378.0</v>
      </c>
      <c r="B3378" s="129"/>
      <c r="C3378" s="62"/>
      <c r="D3378" s="62"/>
      <c r="F3378" s="68"/>
      <c r="G3378" s="159"/>
      <c r="H3378" s="159"/>
      <c r="I3378" s="1287"/>
      <c r="J3378" s="152"/>
      <c r="K3378" s="68"/>
      <c r="L3378" s="68"/>
      <c r="M3378" s="159"/>
      <c r="N3378" s="159"/>
      <c r="O3378" s="68"/>
      <c r="P3378" s="382"/>
      <c r="Q3378" s="2418"/>
      <c r="R3378" s="159"/>
      <c r="S3378" s="159"/>
      <c r="T3378" s="68"/>
      <c r="U3378" s="68"/>
      <c r="V3378" s="382"/>
      <c r="W3378" s="1228"/>
      <c r="X3378" s="2419"/>
      <c r="Y3378" s="159"/>
      <c r="Z3378" s="159"/>
      <c r="AA3378" s="159"/>
      <c r="AB3378" s="159"/>
      <c r="AC3378" s="159"/>
      <c r="AD3378" s="68"/>
      <c r="AE3378" s="68"/>
      <c r="AF3378" s="156"/>
      <c r="AG3378" s="156"/>
      <c r="AH3378" s="159"/>
      <c r="AI3378" s="159"/>
      <c r="AJ3378" s="336"/>
      <c r="AK3378" s="159"/>
      <c r="AL3378" s="159"/>
      <c r="AM3378" s="159"/>
      <c r="AN3378" s="159"/>
      <c r="AO3378" s="156"/>
      <c r="AP3378" s="156"/>
      <c r="AQ3378" s="159"/>
      <c r="AR3378" s="159"/>
      <c r="AS3378" s="156"/>
      <c r="AT3378" s="159"/>
      <c r="AU3378" s="159"/>
      <c r="AV3378" s="159"/>
      <c r="AW3378" s="435"/>
      <c r="AX3378" s="159"/>
      <c r="AY3378" s="61" t="str">
        <f>IFERROR(__xludf.DUMMYFUNCTION("vlookup(BB3378,importrange(""https://docs.google.com/spreadsheets/d/1d2vevQ_7D_v35q4wCQ4RpQ_IPoTwEMB9Yp6ymwlPqew/edit?gid=984458430#gid=984458430"", ""'replication success'!A:K""), 11, FAlSE)"),"#N/A")</f>
        <v>#N/A</v>
      </c>
      <c r="AZ3378" s="61" t="str">
        <f>IFERROR(__xludf.DUMMYFUNCTION("vlookup(BB3378,importrange(""https://docs.google.com/spreadsheets/d/1d2vevQ_7D_v35q4wCQ4RpQ_IPoTwEMB9Yp6ymwlPqew/edit?gid=984458430#gid=984458430"", ""'replication success'!A:M""), 12, FAlSE)"),"#N/A")</f>
        <v>#N/A</v>
      </c>
      <c r="BA3378" s="61" t="str">
        <f>IFERROR(__xludf.DUMMYFUNCTION("vlookup(BB3378,importrange(""https://docs.google.com/spreadsheets/d/1d2vevQ_7D_v35q4wCQ4RpQ_IPoTwEMB9Yp6ymwlPqew/edit?gid=984458430#gid=984458430"", ""'replication success'!A:M""), 13, FAlSE)"),"#N/A")</f>
        <v>#N/A</v>
      </c>
      <c r="BB3378" s="61" t="str">
        <f>IFERROR(__xludf.DUMMYFUNCTION("REGEXREPLACE(G3378, ""_[a-z]{1,2}$"", """")"),"")</f>
        <v/>
      </c>
    </row>
    <row r="3379">
      <c r="A3379" s="44">
        <v>3379.0</v>
      </c>
      <c r="B3379" s="129"/>
      <c r="C3379" s="62"/>
      <c r="D3379" s="62"/>
      <c r="F3379" s="68"/>
      <c r="G3379" s="159"/>
      <c r="H3379" s="159"/>
      <c r="I3379" s="1287"/>
      <c r="J3379" s="152"/>
      <c r="K3379" s="68"/>
      <c r="L3379" s="68"/>
      <c r="M3379" s="159"/>
      <c r="N3379" s="159"/>
      <c r="O3379" s="68"/>
      <c r="P3379" s="382"/>
      <c r="Q3379" s="2418"/>
      <c r="R3379" s="159"/>
      <c r="S3379" s="159"/>
      <c r="T3379" s="68"/>
      <c r="U3379" s="68"/>
      <c r="V3379" s="382"/>
      <c r="W3379" s="1228"/>
      <c r="X3379" s="2419"/>
      <c r="Y3379" s="159"/>
      <c r="Z3379" s="159"/>
      <c r="AA3379" s="159"/>
      <c r="AB3379" s="159"/>
      <c r="AC3379" s="159"/>
      <c r="AD3379" s="68"/>
      <c r="AE3379" s="68"/>
      <c r="AF3379" s="156"/>
      <c r="AG3379" s="156"/>
      <c r="AH3379" s="159"/>
      <c r="AI3379" s="159"/>
      <c r="AJ3379" s="336"/>
      <c r="AK3379" s="159"/>
      <c r="AL3379" s="159"/>
      <c r="AM3379" s="159"/>
      <c r="AN3379" s="159"/>
      <c r="AO3379" s="156"/>
      <c r="AP3379" s="156"/>
      <c r="AQ3379" s="159"/>
      <c r="AR3379" s="159"/>
      <c r="AS3379" s="156"/>
      <c r="AT3379" s="159"/>
      <c r="AU3379" s="159"/>
      <c r="AV3379" s="159"/>
      <c r="AW3379" s="435"/>
      <c r="AX3379" s="159"/>
      <c r="AY3379" s="61" t="str">
        <f>IFERROR(__xludf.DUMMYFUNCTION("vlookup(BB3379,importrange(""https://docs.google.com/spreadsheets/d/1d2vevQ_7D_v35q4wCQ4RpQ_IPoTwEMB9Yp6ymwlPqew/edit?gid=984458430#gid=984458430"", ""'replication success'!A:K""), 11, FAlSE)"),"#N/A")</f>
        <v>#N/A</v>
      </c>
      <c r="AZ3379" s="61" t="str">
        <f>IFERROR(__xludf.DUMMYFUNCTION("vlookup(BB3379,importrange(""https://docs.google.com/spreadsheets/d/1d2vevQ_7D_v35q4wCQ4RpQ_IPoTwEMB9Yp6ymwlPqew/edit?gid=984458430#gid=984458430"", ""'replication success'!A:M""), 12, FAlSE)"),"#N/A")</f>
        <v>#N/A</v>
      </c>
      <c r="BA3379" s="61" t="str">
        <f>IFERROR(__xludf.DUMMYFUNCTION("vlookup(BB3379,importrange(""https://docs.google.com/spreadsheets/d/1d2vevQ_7D_v35q4wCQ4RpQ_IPoTwEMB9Yp6ymwlPqew/edit?gid=984458430#gid=984458430"", ""'replication success'!A:M""), 13, FAlSE)"),"#N/A")</f>
        <v>#N/A</v>
      </c>
      <c r="BB3379" s="61" t="str">
        <f>IFERROR(__xludf.DUMMYFUNCTION("REGEXREPLACE(G3379, ""_[a-z]{1,2}$"", """")"),"")</f>
        <v/>
      </c>
    </row>
    <row r="3380">
      <c r="A3380" s="44">
        <v>3380.0</v>
      </c>
      <c r="B3380" s="129"/>
      <c r="C3380" s="62"/>
      <c r="D3380" s="62"/>
      <c r="F3380" s="68"/>
      <c r="G3380" s="159"/>
      <c r="H3380" s="159"/>
      <c r="I3380" s="1287"/>
      <c r="J3380" s="152"/>
      <c r="K3380" s="68"/>
      <c r="L3380" s="68"/>
      <c r="M3380" s="159"/>
      <c r="N3380" s="159"/>
      <c r="O3380" s="68"/>
      <c r="P3380" s="382"/>
      <c r="Q3380" s="2418"/>
      <c r="R3380" s="159"/>
      <c r="S3380" s="159"/>
      <c r="T3380" s="68"/>
      <c r="U3380" s="68"/>
      <c r="V3380" s="382"/>
      <c r="W3380" s="1228"/>
      <c r="X3380" s="2419"/>
      <c r="Y3380" s="159"/>
      <c r="Z3380" s="159"/>
      <c r="AA3380" s="159"/>
      <c r="AB3380" s="159"/>
      <c r="AC3380" s="159"/>
      <c r="AD3380" s="68"/>
      <c r="AE3380" s="68"/>
      <c r="AF3380" s="156"/>
      <c r="AG3380" s="156"/>
      <c r="AH3380" s="159"/>
      <c r="AI3380" s="159"/>
      <c r="AJ3380" s="336"/>
      <c r="AK3380" s="159"/>
      <c r="AL3380" s="159"/>
      <c r="AM3380" s="159"/>
      <c r="AN3380" s="159"/>
      <c r="AO3380" s="156"/>
      <c r="AP3380" s="156"/>
      <c r="AQ3380" s="159"/>
      <c r="AR3380" s="159"/>
      <c r="AS3380" s="156"/>
      <c r="AT3380" s="159"/>
      <c r="AU3380" s="159"/>
      <c r="AV3380" s="159"/>
      <c r="AW3380" s="435"/>
      <c r="AX3380" s="159"/>
      <c r="AY3380" s="61" t="str">
        <f>IFERROR(__xludf.DUMMYFUNCTION("vlookup(BB3380,importrange(""https://docs.google.com/spreadsheets/d/1d2vevQ_7D_v35q4wCQ4RpQ_IPoTwEMB9Yp6ymwlPqew/edit?gid=984458430#gid=984458430"", ""'replication success'!A:K""), 11, FAlSE)"),"#N/A")</f>
        <v>#N/A</v>
      </c>
      <c r="AZ3380" s="61" t="str">
        <f>IFERROR(__xludf.DUMMYFUNCTION("vlookup(BB3380,importrange(""https://docs.google.com/spreadsheets/d/1d2vevQ_7D_v35q4wCQ4RpQ_IPoTwEMB9Yp6ymwlPqew/edit?gid=984458430#gid=984458430"", ""'replication success'!A:M""), 12, FAlSE)"),"#N/A")</f>
        <v>#N/A</v>
      </c>
      <c r="BA3380" s="61" t="str">
        <f>IFERROR(__xludf.DUMMYFUNCTION("vlookup(BB3380,importrange(""https://docs.google.com/spreadsheets/d/1d2vevQ_7D_v35q4wCQ4RpQ_IPoTwEMB9Yp6ymwlPqew/edit?gid=984458430#gid=984458430"", ""'replication success'!A:M""), 13, FAlSE)"),"#N/A")</f>
        <v>#N/A</v>
      </c>
      <c r="BB3380" s="61" t="str">
        <f>IFERROR(__xludf.DUMMYFUNCTION("REGEXREPLACE(G3380, ""_[a-z]{1,2}$"", """")"),"")</f>
        <v/>
      </c>
    </row>
    <row r="3381">
      <c r="A3381" s="44">
        <v>3381.0</v>
      </c>
      <c r="B3381" s="129"/>
      <c r="C3381" s="62"/>
      <c r="D3381" s="62"/>
      <c r="F3381" s="68"/>
      <c r="G3381" s="159"/>
      <c r="H3381" s="159"/>
      <c r="I3381" s="1287"/>
      <c r="J3381" s="152"/>
      <c r="K3381" s="68"/>
      <c r="L3381" s="68"/>
      <c r="M3381" s="159"/>
      <c r="N3381" s="159"/>
      <c r="O3381" s="68"/>
      <c r="P3381" s="382"/>
      <c r="Q3381" s="2418"/>
      <c r="R3381" s="159"/>
      <c r="S3381" s="159"/>
      <c r="T3381" s="68"/>
      <c r="U3381" s="68"/>
      <c r="V3381" s="382"/>
      <c r="W3381" s="1228"/>
      <c r="X3381" s="2419"/>
      <c r="Y3381" s="159"/>
      <c r="Z3381" s="159"/>
      <c r="AA3381" s="159"/>
      <c r="AB3381" s="159"/>
      <c r="AC3381" s="159"/>
      <c r="AD3381" s="68"/>
      <c r="AE3381" s="68"/>
      <c r="AF3381" s="156"/>
      <c r="AG3381" s="156"/>
      <c r="AH3381" s="159"/>
      <c r="AI3381" s="159"/>
      <c r="AJ3381" s="336"/>
      <c r="AK3381" s="159"/>
      <c r="AL3381" s="159"/>
      <c r="AM3381" s="159"/>
      <c r="AN3381" s="159"/>
      <c r="AO3381" s="156"/>
      <c r="AP3381" s="156"/>
      <c r="AQ3381" s="159"/>
      <c r="AR3381" s="159"/>
      <c r="AS3381" s="156"/>
      <c r="AT3381" s="159"/>
      <c r="AU3381" s="159"/>
      <c r="AV3381" s="159"/>
      <c r="AW3381" s="435"/>
      <c r="AX3381" s="159"/>
      <c r="AY3381" s="61" t="str">
        <f>IFERROR(__xludf.DUMMYFUNCTION("vlookup(BB3381,importrange(""https://docs.google.com/spreadsheets/d/1d2vevQ_7D_v35q4wCQ4RpQ_IPoTwEMB9Yp6ymwlPqew/edit?gid=984458430#gid=984458430"", ""'replication success'!A:K""), 11, FAlSE)"),"#N/A")</f>
        <v>#N/A</v>
      </c>
      <c r="AZ3381" s="61" t="str">
        <f>IFERROR(__xludf.DUMMYFUNCTION("vlookup(BB3381,importrange(""https://docs.google.com/spreadsheets/d/1d2vevQ_7D_v35q4wCQ4RpQ_IPoTwEMB9Yp6ymwlPqew/edit?gid=984458430#gid=984458430"", ""'replication success'!A:M""), 12, FAlSE)"),"#N/A")</f>
        <v>#N/A</v>
      </c>
      <c r="BA3381" s="61" t="str">
        <f>IFERROR(__xludf.DUMMYFUNCTION("vlookup(BB3381,importrange(""https://docs.google.com/spreadsheets/d/1d2vevQ_7D_v35q4wCQ4RpQ_IPoTwEMB9Yp6ymwlPqew/edit?gid=984458430#gid=984458430"", ""'replication success'!A:M""), 13, FAlSE)"),"#N/A")</f>
        <v>#N/A</v>
      </c>
      <c r="BB3381" s="61" t="str">
        <f>IFERROR(__xludf.DUMMYFUNCTION("REGEXREPLACE(G3381, ""_[a-z]{1,2}$"", """")"),"")</f>
        <v/>
      </c>
    </row>
    <row r="3382">
      <c r="A3382" s="44">
        <v>3382.0</v>
      </c>
      <c r="B3382" s="129"/>
      <c r="C3382" s="62"/>
      <c r="D3382" s="62"/>
      <c r="F3382" s="68"/>
      <c r="G3382" s="159"/>
      <c r="H3382" s="159"/>
      <c r="I3382" s="1287"/>
      <c r="J3382" s="152"/>
      <c r="K3382" s="68"/>
      <c r="L3382" s="68"/>
      <c r="M3382" s="159"/>
      <c r="N3382" s="159"/>
      <c r="O3382" s="68"/>
      <c r="P3382" s="382"/>
      <c r="Q3382" s="2418"/>
      <c r="R3382" s="159"/>
      <c r="S3382" s="159"/>
      <c r="T3382" s="68"/>
      <c r="U3382" s="68"/>
      <c r="V3382" s="382"/>
      <c r="W3382" s="1228"/>
      <c r="X3382" s="2419"/>
      <c r="Y3382" s="159"/>
      <c r="Z3382" s="159"/>
      <c r="AA3382" s="159"/>
      <c r="AB3382" s="159"/>
      <c r="AC3382" s="159"/>
      <c r="AD3382" s="68"/>
      <c r="AE3382" s="68"/>
      <c r="AF3382" s="156"/>
      <c r="AG3382" s="156"/>
      <c r="AH3382" s="159"/>
      <c r="AI3382" s="159"/>
      <c r="AJ3382" s="336"/>
      <c r="AK3382" s="159"/>
      <c r="AL3382" s="159"/>
      <c r="AM3382" s="159"/>
      <c r="AN3382" s="159"/>
      <c r="AO3382" s="156"/>
      <c r="AP3382" s="156"/>
      <c r="AQ3382" s="159"/>
      <c r="AR3382" s="159"/>
      <c r="AS3382" s="156"/>
      <c r="AT3382" s="159"/>
      <c r="AU3382" s="159"/>
      <c r="AV3382" s="159"/>
      <c r="AW3382" s="435"/>
      <c r="AX3382" s="159"/>
      <c r="AY3382" s="61" t="str">
        <f>IFERROR(__xludf.DUMMYFUNCTION("vlookup(BB3382,importrange(""https://docs.google.com/spreadsheets/d/1d2vevQ_7D_v35q4wCQ4RpQ_IPoTwEMB9Yp6ymwlPqew/edit?gid=984458430#gid=984458430"", ""'replication success'!A:K""), 11, FAlSE)"),"#N/A")</f>
        <v>#N/A</v>
      </c>
      <c r="AZ3382" s="61" t="str">
        <f>IFERROR(__xludf.DUMMYFUNCTION("vlookup(BB3382,importrange(""https://docs.google.com/spreadsheets/d/1d2vevQ_7D_v35q4wCQ4RpQ_IPoTwEMB9Yp6ymwlPqew/edit?gid=984458430#gid=984458430"", ""'replication success'!A:M""), 12, FAlSE)"),"#N/A")</f>
        <v>#N/A</v>
      </c>
      <c r="BA3382" s="61" t="str">
        <f>IFERROR(__xludf.DUMMYFUNCTION("vlookup(BB3382,importrange(""https://docs.google.com/spreadsheets/d/1d2vevQ_7D_v35q4wCQ4RpQ_IPoTwEMB9Yp6ymwlPqew/edit?gid=984458430#gid=984458430"", ""'replication success'!A:M""), 13, FAlSE)"),"#N/A")</f>
        <v>#N/A</v>
      </c>
      <c r="BB3382" s="61" t="str">
        <f>IFERROR(__xludf.DUMMYFUNCTION("REGEXREPLACE(G3382, ""_[a-z]{1,2}$"", """")"),"")</f>
        <v/>
      </c>
    </row>
    <row r="3383">
      <c r="A3383" s="44">
        <v>3383.0</v>
      </c>
      <c r="B3383" s="129"/>
      <c r="C3383" s="62"/>
      <c r="D3383" s="62"/>
      <c r="F3383" s="68"/>
      <c r="G3383" s="159"/>
      <c r="H3383" s="159"/>
      <c r="I3383" s="1287"/>
      <c r="J3383" s="152"/>
      <c r="K3383" s="68"/>
      <c r="L3383" s="68"/>
      <c r="M3383" s="159"/>
      <c r="N3383" s="159"/>
      <c r="O3383" s="68"/>
      <c r="P3383" s="382"/>
      <c r="Q3383" s="2418"/>
      <c r="R3383" s="159"/>
      <c r="S3383" s="159"/>
      <c r="T3383" s="68"/>
      <c r="U3383" s="68"/>
      <c r="V3383" s="382"/>
      <c r="W3383" s="1228"/>
      <c r="X3383" s="2419"/>
      <c r="Y3383" s="159"/>
      <c r="Z3383" s="159"/>
      <c r="AA3383" s="159"/>
      <c r="AB3383" s="159"/>
      <c r="AC3383" s="159"/>
      <c r="AD3383" s="68"/>
      <c r="AE3383" s="68"/>
      <c r="AF3383" s="156"/>
      <c r="AG3383" s="156"/>
      <c r="AH3383" s="159"/>
      <c r="AI3383" s="159"/>
      <c r="AJ3383" s="336"/>
      <c r="AK3383" s="159"/>
      <c r="AL3383" s="159"/>
      <c r="AM3383" s="159"/>
      <c r="AN3383" s="159"/>
      <c r="AO3383" s="156"/>
      <c r="AP3383" s="156"/>
      <c r="AQ3383" s="159"/>
      <c r="AR3383" s="159"/>
      <c r="AS3383" s="156"/>
      <c r="AT3383" s="159"/>
      <c r="AU3383" s="159"/>
      <c r="AV3383" s="159"/>
      <c r="AW3383" s="435"/>
      <c r="AX3383" s="159"/>
      <c r="AY3383" s="61" t="str">
        <f>IFERROR(__xludf.DUMMYFUNCTION("vlookup(BB3383,importrange(""https://docs.google.com/spreadsheets/d/1d2vevQ_7D_v35q4wCQ4RpQ_IPoTwEMB9Yp6ymwlPqew/edit?gid=984458430#gid=984458430"", ""'replication success'!A:K""), 11, FAlSE)"),"#N/A")</f>
        <v>#N/A</v>
      </c>
      <c r="AZ3383" s="61" t="str">
        <f>IFERROR(__xludf.DUMMYFUNCTION("vlookup(BB3383,importrange(""https://docs.google.com/spreadsheets/d/1d2vevQ_7D_v35q4wCQ4RpQ_IPoTwEMB9Yp6ymwlPqew/edit?gid=984458430#gid=984458430"", ""'replication success'!A:M""), 12, FAlSE)"),"#N/A")</f>
        <v>#N/A</v>
      </c>
      <c r="BA3383" s="61" t="str">
        <f>IFERROR(__xludf.DUMMYFUNCTION("vlookup(BB3383,importrange(""https://docs.google.com/spreadsheets/d/1d2vevQ_7D_v35q4wCQ4RpQ_IPoTwEMB9Yp6ymwlPqew/edit?gid=984458430#gid=984458430"", ""'replication success'!A:M""), 13, FAlSE)"),"#N/A")</f>
        <v>#N/A</v>
      </c>
      <c r="BB3383" s="61" t="str">
        <f>IFERROR(__xludf.DUMMYFUNCTION("REGEXREPLACE(G3383, ""_[a-z]{1,2}$"", """")"),"")</f>
        <v/>
      </c>
    </row>
    <row r="3384">
      <c r="A3384" s="44">
        <v>3384.0</v>
      </c>
      <c r="B3384" s="129"/>
      <c r="C3384" s="62"/>
      <c r="D3384" s="62"/>
      <c r="F3384" s="68"/>
      <c r="G3384" s="159"/>
      <c r="H3384" s="159"/>
      <c r="I3384" s="1287"/>
      <c r="J3384" s="152"/>
      <c r="K3384" s="68"/>
      <c r="L3384" s="68"/>
      <c r="M3384" s="159"/>
      <c r="N3384" s="159"/>
      <c r="O3384" s="68"/>
      <c r="P3384" s="382"/>
      <c r="Q3384" s="2418"/>
      <c r="R3384" s="159"/>
      <c r="S3384" s="159"/>
      <c r="T3384" s="68"/>
      <c r="U3384" s="68"/>
      <c r="V3384" s="382"/>
      <c r="W3384" s="1228"/>
      <c r="X3384" s="2419"/>
      <c r="Y3384" s="159"/>
      <c r="Z3384" s="159"/>
      <c r="AA3384" s="159"/>
      <c r="AB3384" s="159"/>
      <c r="AC3384" s="159"/>
      <c r="AD3384" s="68"/>
      <c r="AE3384" s="68"/>
      <c r="AF3384" s="156"/>
      <c r="AG3384" s="156"/>
      <c r="AH3384" s="159"/>
      <c r="AI3384" s="159"/>
      <c r="AJ3384" s="336"/>
      <c r="AK3384" s="159"/>
      <c r="AL3384" s="159"/>
      <c r="AM3384" s="159"/>
      <c r="AN3384" s="159"/>
      <c r="AO3384" s="156"/>
      <c r="AP3384" s="156"/>
      <c r="AQ3384" s="159"/>
      <c r="AR3384" s="159"/>
      <c r="AS3384" s="156"/>
      <c r="AT3384" s="159"/>
      <c r="AU3384" s="159"/>
      <c r="AV3384" s="159"/>
      <c r="AW3384" s="435"/>
      <c r="AX3384" s="159"/>
      <c r="AY3384" s="61" t="str">
        <f>IFERROR(__xludf.DUMMYFUNCTION("vlookup(BB3384,importrange(""https://docs.google.com/spreadsheets/d/1d2vevQ_7D_v35q4wCQ4RpQ_IPoTwEMB9Yp6ymwlPqew/edit?gid=984458430#gid=984458430"", ""'replication success'!A:K""), 11, FAlSE)"),"#N/A")</f>
        <v>#N/A</v>
      </c>
      <c r="AZ3384" s="61" t="str">
        <f>IFERROR(__xludf.DUMMYFUNCTION("vlookup(BB3384,importrange(""https://docs.google.com/spreadsheets/d/1d2vevQ_7D_v35q4wCQ4RpQ_IPoTwEMB9Yp6ymwlPqew/edit?gid=984458430#gid=984458430"", ""'replication success'!A:M""), 12, FAlSE)"),"#N/A")</f>
        <v>#N/A</v>
      </c>
      <c r="BA3384" s="61" t="str">
        <f>IFERROR(__xludf.DUMMYFUNCTION("vlookup(BB3384,importrange(""https://docs.google.com/spreadsheets/d/1d2vevQ_7D_v35q4wCQ4RpQ_IPoTwEMB9Yp6ymwlPqew/edit?gid=984458430#gid=984458430"", ""'replication success'!A:M""), 13, FAlSE)"),"#N/A")</f>
        <v>#N/A</v>
      </c>
      <c r="BB3384" s="61" t="str">
        <f>IFERROR(__xludf.DUMMYFUNCTION("REGEXREPLACE(G3384, ""_[a-z]{1,2}$"", """")"),"")</f>
        <v/>
      </c>
    </row>
    <row r="3385">
      <c r="A3385" s="44">
        <v>3385.0</v>
      </c>
      <c r="B3385" s="129"/>
      <c r="C3385" s="62"/>
      <c r="D3385" s="62"/>
      <c r="F3385" s="68"/>
      <c r="G3385" s="159"/>
      <c r="H3385" s="159"/>
      <c r="I3385" s="1287"/>
      <c r="J3385" s="152"/>
      <c r="K3385" s="68"/>
      <c r="L3385" s="68"/>
      <c r="M3385" s="159"/>
      <c r="N3385" s="159"/>
      <c r="O3385" s="68"/>
      <c r="P3385" s="382"/>
      <c r="Q3385" s="2418"/>
      <c r="R3385" s="159"/>
      <c r="S3385" s="159"/>
      <c r="T3385" s="68"/>
      <c r="U3385" s="68"/>
      <c r="V3385" s="382"/>
      <c r="W3385" s="1228"/>
      <c r="X3385" s="2419"/>
      <c r="Y3385" s="159"/>
      <c r="Z3385" s="159"/>
      <c r="AA3385" s="159"/>
      <c r="AB3385" s="159"/>
      <c r="AC3385" s="159"/>
      <c r="AD3385" s="68"/>
      <c r="AE3385" s="68"/>
      <c r="AF3385" s="156"/>
      <c r="AG3385" s="156"/>
      <c r="AH3385" s="159"/>
      <c r="AI3385" s="159"/>
      <c r="AJ3385" s="336"/>
      <c r="AK3385" s="159"/>
      <c r="AL3385" s="159"/>
      <c r="AM3385" s="159"/>
      <c r="AN3385" s="159"/>
      <c r="AO3385" s="156"/>
      <c r="AP3385" s="156"/>
      <c r="AQ3385" s="159"/>
      <c r="AR3385" s="159"/>
      <c r="AS3385" s="156"/>
      <c r="AT3385" s="159"/>
      <c r="AU3385" s="159"/>
      <c r="AV3385" s="159"/>
      <c r="AW3385" s="435"/>
      <c r="AX3385" s="159"/>
      <c r="AY3385" s="61" t="str">
        <f>IFERROR(__xludf.DUMMYFUNCTION("vlookup(BB3385,importrange(""https://docs.google.com/spreadsheets/d/1d2vevQ_7D_v35q4wCQ4RpQ_IPoTwEMB9Yp6ymwlPqew/edit?gid=984458430#gid=984458430"", ""'replication success'!A:K""), 11, FAlSE)"),"#N/A")</f>
        <v>#N/A</v>
      </c>
      <c r="AZ3385" s="61" t="str">
        <f>IFERROR(__xludf.DUMMYFUNCTION("vlookup(BB3385,importrange(""https://docs.google.com/spreadsheets/d/1d2vevQ_7D_v35q4wCQ4RpQ_IPoTwEMB9Yp6ymwlPqew/edit?gid=984458430#gid=984458430"", ""'replication success'!A:M""), 12, FAlSE)"),"#N/A")</f>
        <v>#N/A</v>
      </c>
      <c r="BA3385" s="61" t="str">
        <f>IFERROR(__xludf.DUMMYFUNCTION("vlookup(BB3385,importrange(""https://docs.google.com/spreadsheets/d/1d2vevQ_7D_v35q4wCQ4RpQ_IPoTwEMB9Yp6ymwlPqew/edit?gid=984458430#gid=984458430"", ""'replication success'!A:M""), 13, FAlSE)"),"#N/A")</f>
        <v>#N/A</v>
      </c>
      <c r="BB3385" s="61" t="str">
        <f>IFERROR(__xludf.DUMMYFUNCTION("REGEXREPLACE(G3385, ""_[a-z]{1,2}$"", """")"),"")</f>
        <v/>
      </c>
    </row>
    <row r="3386">
      <c r="A3386" s="44">
        <v>3386.0</v>
      </c>
      <c r="B3386" s="129"/>
      <c r="C3386" s="62"/>
      <c r="D3386" s="62"/>
      <c r="F3386" s="68"/>
      <c r="G3386" s="159"/>
      <c r="H3386" s="159"/>
      <c r="I3386" s="1287"/>
      <c r="J3386" s="152"/>
      <c r="K3386" s="68"/>
      <c r="L3386" s="68"/>
      <c r="M3386" s="159"/>
      <c r="N3386" s="159"/>
      <c r="O3386" s="68"/>
      <c r="P3386" s="382"/>
      <c r="Q3386" s="2418"/>
      <c r="R3386" s="159"/>
      <c r="S3386" s="159"/>
      <c r="T3386" s="68"/>
      <c r="U3386" s="68"/>
      <c r="V3386" s="382"/>
      <c r="W3386" s="1228"/>
      <c r="X3386" s="2419"/>
      <c r="Y3386" s="159"/>
      <c r="Z3386" s="159"/>
      <c r="AA3386" s="159"/>
      <c r="AB3386" s="159"/>
      <c r="AC3386" s="159"/>
      <c r="AD3386" s="68"/>
      <c r="AE3386" s="68"/>
      <c r="AF3386" s="156"/>
      <c r="AG3386" s="156"/>
      <c r="AH3386" s="159"/>
      <c r="AI3386" s="159"/>
      <c r="AJ3386" s="336"/>
      <c r="AK3386" s="159"/>
      <c r="AL3386" s="159"/>
      <c r="AM3386" s="159"/>
      <c r="AN3386" s="159"/>
      <c r="AO3386" s="156"/>
      <c r="AP3386" s="156"/>
      <c r="AQ3386" s="159"/>
      <c r="AR3386" s="159"/>
      <c r="AS3386" s="156"/>
      <c r="AT3386" s="159"/>
      <c r="AU3386" s="159"/>
      <c r="AV3386" s="159"/>
      <c r="AW3386" s="435"/>
      <c r="AX3386" s="159"/>
      <c r="AY3386" s="61" t="str">
        <f>IFERROR(__xludf.DUMMYFUNCTION("vlookup(BB3386,importrange(""https://docs.google.com/spreadsheets/d/1d2vevQ_7D_v35q4wCQ4RpQ_IPoTwEMB9Yp6ymwlPqew/edit?gid=984458430#gid=984458430"", ""'replication success'!A:K""), 11, FAlSE)"),"#N/A")</f>
        <v>#N/A</v>
      </c>
      <c r="AZ3386" s="61" t="str">
        <f>IFERROR(__xludf.DUMMYFUNCTION("vlookup(BB3386,importrange(""https://docs.google.com/spreadsheets/d/1d2vevQ_7D_v35q4wCQ4RpQ_IPoTwEMB9Yp6ymwlPqew/edit?gid=984458430#gid=984458430"", ""'replication success'!A:M""), 12, FAlSE)"),"#N/A")</f>
        <v>#N/A</v>
      </c>
      <c r="BA3386" s="61" t="str">
        <f>IFERROR(__xludf.DUMMYFUNCTION("vlookup(BB3386,importrange(""https://docs.google.com/spreadsheets/d/1d2vevQ_7D_v35q4wCQ4RpQ_IPoTwEMB9Yp6ymwlPqew/edit?gid=984458430#gid=984458430"", ""'replication success'!A:M""), 13, FAlSE)"),"#N/A")</f>
        <v>#N/A</v>
      </c>
      <c r="BB3386" s="61" t="str">
        <f>IFERROR(__xludf.DUMMYFUNCTION("REGEXREPLACE(G3386, ""_[a-z]{1,2}$"", """")"),"")</f>
        <v/>
      </c>
    </row>
    <row r="3387">
      <c r="A3387" s="44">
        <v>3387.0</v>
      </c>
      <c r="B3387" s="129"/>
      <c r="C3387" s="62"/>
      <c r="D3387" s="62"/>
      <c r="F3387" s="68"/>
      <c r="G3387" s="159"/>
      <c r="H3387" s="159"/>
      <c r="I3387" s="1287"/>
      <c r="J3387" s="152"/>
      <c r="K3387" s="68"/>
      <c r="L3387" s="68"/>
      <c r="M3387" s="159"/>
      <c r="N3387" s="159"/>
      <c r="O3387" s="68"/>
      <c r="P3387" s="382"/>
      <c r="Q3387" s="2418"/>
      <c r="R3387" s="159"/>
      <c r="S3387" s="159"/>
      <c r="T3387" s="68"/>
      <c r="U3387" s="68"/>
      <c r="V3387" s="382"/>
      <c r="W3387" s="1228"/>
      <c r="X3387" s="2419"/>
      <c r="Y3387" s="159"/>
      <c r="Z3387" s="159"/>
      <c r="AA3387" s="159"/>
      <c r="AB3387" s="159"/>
      <c r="AC3387" s="159"/>
      <c r="AD3387" s="68"/>
      <c r="AE3387" s="68"/>
      <c r="AF3387" s="156"/>
      <c r="AG3387" s="156"/>
      <c r="AH3387" s="159"/>
      <c r="AI3387" s="159"/>
      <c r="AJ3387" s="336"/>
      <c r="AK3387" s="159"/>
      <c r="AL3387" s="159"/>
      <c r="AM3387" s="159"/>
      <c r="AN3387" s="159"/>
      <c r="AO3387" s="156"/>
      <c r="AP3387" s="156"/>
      <c r="AQ3387" s="159"/>
      <c r="AR3387" s="159"/>
      <c r="AS3387" s="156"/>
      <c r="AT3387" s="159"/>
      <c r="AU3387" s="159"/>
      <c r="AV3387" s="159"/>
      <c r="AW3387" s="435"/>
      <c r="AX3387" s="159"/>
      <c r="AY3387" s="61" t="str">
        <f>IFERROR(__xludf.DUMMYFUNCTION("vlookup(BB3387,importrange(""https://docs.google.com/spreadsheets/d/1d2vevQ_7D_v35q4wCQ4RpQ_IPoTwEMB9Yp6ymwlPqew/edit?gid=984458430#gid=984458430"", ""'replication success'!A:K""), 11, FAlSE)"),"#N/A")</f>
        <v>#N/A</v>
      </c>
      <c r="AZ3387" s="61" t="str">
        <f>IFERROR(__xludf.DUMMYFUNCTION("vlookup(BB3387,importrange(""https://docs.google.com/spreadsheets/d/1d2vevQ_7D_v35q4wCQ4RpQ_IPoTwEMB9Yp6ymwlPqew/edit?gid=984458430#gid=984458430"", ""'replication success'!A:M""), 12, FAlSE)"),"#N/A")</f>
        <v>#N/A</v>
      </c>
      <c r="BA3387" s="61" t="str">
        <f>IFERROR(__xludf.DUMMYFUNCTION("vlookup(BB3387,importrange(""https://docs.google.com/spreadsheets/d/1d2vevQ_7D_v35q4wCQ4RpQ_IPoTwEMB9Yp6ymwlPqew/edit?gid=984458430#gid=984458430"", ""'replication success'!A:M""), 13, FAlSE)"),"#N/A")</f>
        <v>#N/A</v>
      </c>
      <c r="BB3387" s="61" t="str">
        <f>IFERROR(__xludf.DUMMYFUNCTION("REGEXREPLACE(G3387, ""_[a-z]{1,2}$"", """")"),"")</f>
        <v/>
      </c>
    </row>
    <row r="3388">
      <c r="A3388" s="44">
        <v>3388.0</v>
      </c>
      <c r="B3388" s="129"/>
      <c r="C3388" s="62"/>
      <c r="D3388" s="62"/>
      <c r="F3388" s="68"/>
      <c r="G3388" s="159"/>
      <c r="H3388" s="159"/>
      <c r="I3388" s="1287"/>
      <c r="J3388" s="152"/>
      <c r="K3388" s="68"/>
      <c r="L3388" s="68"/>
      <c r="M3388" s="159"/>
      <c r="N3388" s="159"/>
      <c r="O3388" s="68"/>
      <c r="P3388" s="382"/>
      <c r="Q3388" s="2418"/>
      <c r="R3388" s="159"/>
      <c r="S3388" s="159"/>
      <c r="T3388" s="68"/>
      <c r="U3388" s="68"/>
      <c r="V3388" s="382"/>
      <c r="W3388" s="1228"/>
      <c r="X3388" s="2419"/>
      <c r="Y3388" s="159"/>
      <c r="Z3388" s="159"/>
      <c r="AA3388" s="159"/>
      <c r="AB3388" s="159"/>
      <c r="AC3388" s="159"/>
      <c r="AD3388" s="68"/>
      <c r="AE3388" s="68"/>
      <c r="AF3388" s="156"/>
      <c r="AG3388" s="156"/>
      <c r="AH3388" s="159"/>
      <c r="AI3388" s="159"/>
      <c r="AJ3388" s="336"/>
      <c r="AK3388" s="159"/>
      <c r="AL3388" s="159"/>
      <c r="AM3388" s="159"/>
      <c r="AN3388" s="159"/>
      <c r="AO3388" s="156"/>
      <c r="AP3388" s="156"/>
      <c r="AQ3388" s="159"/>
      <c r="AR3388" s="159"/>
      <c r="AS3388" s="156"/>
      <c r="AT3388" s="159"/>
      <c r="AU3388" s="159"/>
      <c r="AV3388" s="159"/>
      <c r="AW3388" s="435"/>
      <c r="AX3388" s="159"/>
      <c r="AY3388" s="61" t="str">
        <f>IFERROR(__xludf.DUMMYFUNCTION("vlookup(BB3388,importrange(""https://docs.google.com/spreadsheets/d/1d2vevQ_7D_v35q4wCQ4RpQ_IPoTwEMB9Yp6ymwlPqew/edit?gid=984458430#gid=984458430"", ""'replication success'!A:K""), 11, FAlSE)"),"#N/A")</f>
        <v>#N/A</v>
      </c>
      <c r="AZ3388" s="61" t="str">
        <f>IFERROR(__xludf.DUMMYFUNCTION("vlookup(BB3388,importrange(""https://docs.google.com/spreadsheets/d/1d2vevQ_7D_v35q4wCQ4RpQ_IPoTwEMB9Yp6ymwlPqew/edit?gid=984458430#gid=984458430"", ""'replication success'!A:M""), 12, FAlSE)"),"#N/A")</f>
        <v>#N/A</v>
      </c>
      <c r="BA3388" s="61" t="str">
        <f>IFERROR(__xludf.DUMMYFUNCTION("vlookup(BB3388,importrange(""https://docs.google.com/spreadsheets/d/1d2vevQ_7D_v35q4wCQ4RpQ_IPoTwEMB9Yp6ymwlPqew/edit?gid=984458430#gid=984458430"", ""'replication success'!A:M""), 13, FAlSE)"),"#N/A")</f>
        <v>#N/A</v>
      </c>
      <c r="BB3388" s="61" t="str">
        <f>IFERROR(__xludf.DUMMYFUNCTION("REGEXREPLACE(G3388, ""_[a-z]{1,2}$"", """")"),"")</f>
        <v/>
      </c>
    </row>
    <row r="3389">
      <c r="A3389" s="44">
        <v>3389.0</v>
      </c>
      <c r="B3389" s="129"/>
      <c r="C3389" s="62"/>
      <c r="D3389" s="62"/>
      <c r="F3389" s="68"/>
      <c r="G3389" s="159"/>
      <c r="H3389" s="159"/>
      <c r="I3389" s="1287"/>
      <c r="J3389" s="152"/>
      <c r="K3389" s="68"/>
      <c r="L3389" s="68"/>
      <c r="M3389" s="159"/>
      <c r="N3389" s="159"/>
      <c r="O3389" s="68"/>
      <c r="P3389" s="382"/>
      <c r="Q3389" s="2418"/>
      <c r="R3389" s="159"/>
      <c r="S3389" s="159"/>
      <c r="T3389" s="68"/>
      <c r="U3389" s="68"/>
      <c r="V3389" s="382"/>
      <c r="W3389" s="1228"/>
      <c r="X3389" s="2419"/>
      <c r="Y3389" s="159"/>
      <c r="Z3389" s="159"/>
      <c r="AA3389" s="159"/>
      <c r="AB3389" s="159"/>
      <c r="AC3389" s="159"/>
      <c r="AD3389" s="68"/>
      <c r="AE3389" s="68"/>
      <c r="AF3389" s="156"/>
      <c r="AG3389" s="156"/>
      <c r="AH3389" s="159"/>
      <c r="AI3389" s="159"/>
      <c r="AJ3389" s="336"/>
      <c r="AK3389" s="159"/>
      <c r="AL3389" s="159"/>
      <c r="AM3389" s="159"/>
      <c r="AN3389" s="159"/>
      <c r="AO3389" s="156"/>
      <c r="AP3389" s="156"/>
      <c r="AQ3389" s="159"/>
      <c r="AR3389" s="159"/>
      <c r="AS3389" s="156"/>
      <c r="AT3389" s="159"/>
      <c r="AU3389" s="159"/>
      <c r="AV3389" s="159"/>
      <c r="AW3389" s="435"/>
      <c r="AX3389" s="159"/>
      <c r="AY3389" s="61" t="str">
        <f>IFERROR(__xludf.DUMMYFUNCTION("vlookup(BB3389,importrange(""https://docs.google.com/spreadsheets/d/1d2vevQ_7D_v35q4wCQ4RpQ_IPoTwEMB9Yp6ymwlPqew/edit?gid=984458430#gid=984458430"", ""'replication success'!A:K""), 11, FAlSE)"),"#N/A")</f>
        <v>#N/A</v>
      </c>
      <c r="AZ3389" s="61" t="str">
        <f>IFERROR(__xludf.DUMMYFUNCTION("vlookup(BB3389,importrange(""https://docs.google.com/spreadsheets/d/1d2vevQ_7D_v35q4wCQ4RpQ_IPoTwEMB9Yp6ymwlPqew/edit?gid=984458430#gid=984458430"", ""'replication success'!A:M""), 12, FAlSE)"),"#N/A")</f>
        <v>#N/A</v>
      </c>
      <c r="BA3389" s="61" t="str">
        <f>IFERROR(__xludf.DUMMYFUNCTION("vlookup(BB3389,importrange(""https://docs.google.com/spreadsheets/d/1d2vevQ_7D_v35q4wCQ4RpQ_IPoTwEMB9Yp6ymwlPqew/edit?gid=984458430#gid=984458430"", ""'replication success'!A:M""), 13, FAlSE)"),"#N/A")</f>
        <v>#N/A</v>
      </c>
      <c r="BB3389" s="61" t="str">
        <f>IFERROR(__xludf.DUMMYFUNCTION("REGEXREPLACE(G3389, ""_[a-z]{1,2}$"", """")"),"")</f>
        <v/>
      </c>
    </row>
    <row r="3390">
      <c r="A3390" s="44">
        <v>3390.0</v>
      </c>
      <c r="B3390" s="129"/>
      <c r="C3390" s="62"/>
      <c r="D3390" s="62"/>
      <c r="F3390" s="68"/>
      <c r="G3390" s="159"/>
      <c r="H3390" s="159"/>
      <c r="I3390" s="1287"/>
      <c r="J3390" s="152"/>
      <c r="K3390" s="68"/>
      <c r="L3390" s="68"/>
      <c r="M3390" s="159"/>
      <c r="N3390" s="159"/>
      <c r="O3390" s="68"/>
      <c r="P3390" s="382"/>
      <c r="Q3390" s="2418"/>
      <c r="R3390" s="159"/>
      <c r="S3390" s="159"/>
      <c r="T3390" s="68"/>
      <c r="U3390" s="68"/>
      <c r="V3390" s="382"/>
      <c r="W3390" s="1228"/>
      <c r="X3390" s="2419"/>
      <c r="Y3390" s="159"/>
      <c r="Z3390" s="159"/>
      <c r="AA3390" s="159"/>
      <c r="AB3390" s="159"/>
      <c r="AC3390" s="159"/>
      <c r="AD3390" s="68"/>
      <c r="AE3390" s="68"/>
      <c r="AF3390" s="156"/>
      <c r="AG3390" s="156"/>
      <c r="AH3390" s="159"/>
      <c r="AI3390" s="159"/>
      <c r="AJ3390" s="336"/>
      <c r="AK3390" s="159"/>
      <c r="AL3390" s="159"/>
      <c r="AM3390" s="159"/>
      <c r="AN3390" s="159"/>
      <c r="AO3390" s="156"/>
      <c r="AP3390" s="156"/>
      <c r="AQ3390" s="159"/>
      <c r="AR3390" s="159"/>
      <c r="AS3390" s="156"/>
      <c r="AT3390" s="159"/>
      <c r="AU3390" s="159"/>
      <c r="AV3390" s="159"/>
      <c r="AW3390" s="435"/>
      <c r="AX3390" s="159"/>
      <c r="AY3390" s="61" t="str">
        <f>IFERROR(__xludf.DUMMYFUNCTION("vlookup(BB3390,importrange(""https://docs.google.com/spreadsheets/d/1d2vevQ_7D_v35q4wCQ4RpQ_IPoTwEMB9Yp6ymwlPqew/edit?gid=984458430#gid=984458430"", ""'replication success'!A:K""), 11, FAlSE)"),"#N/A")</f>
        <v>#N/A</v>
      </c>
      <c r="AZ3390" s="61" t="str">
        <f>IFERROR(__xludf.DUMMYFUNCTION("vlookup(BB3390,importrange(""https://docs.google.com/spreadsheets/d/1d2vevQ_7D_v35q4wCQ4RpQ_IPoTwEMB9Yp6ymwlPqew/edit?gid=984458430#gid=984458430"", ""'replication success'!A:M""), 12, FAlSE)"),"#N/A")</f>
        <v>#N/A</v>
      </c>
      <c r="BA3390" s="61" t="str">
        <f>IFERROR(__xludf.DUMMYFUNCTION("vlookup(BB3390,importrange(""https://docs.google.com/spreadsheets/d/1d2vevQ_7D_v35q4wCQ4RpQ_IPoTwEMB9Yp6ymwlPqew/edit?gid=984458430#gid=984458430"", ""'replication success'!A:M""), 13, FAlSE)"),"#N/A")</f>
        <v>#N/A</v>
      </c>
      <c r="BB3390" s="61" t="str">
        <f>IFERROR(__xludf.DUMMYFUNCTION("REGEXREPLACE(G3390, ""_[a-z]{1,2}$"", """")"),"")</f>
        <v/>
      </c>
    </row>
    <row r="3391">
      <c r="A3391" s="44">
        <v>3391.0</v>
      </c>
      <c r="B3391" s="129"/>
      <c r="C3391" s="62"/>
      <c r="D3391" s="62"/>
      <c r="F3391" s="68"/>
      <c r="G3391" s="159"/>
      <c r="H3391" s="159"/>
      <c r="I3391" s="1287"/>
      <c r="J3391" s="152"/>
      <c r="K3391" s="68"/>
      <c r="L3391" s="68"/>
      <c r="M3391" s="159"/>
      <c r="N3391" s="159"/>
      <c r="O3391" s="68"/>
      <c r="P3391" s="382"/>
      <c r="Q3391" s="2418"/>
      <c r="R3391" s="159"/>
      <c r="S3391" s="159"/>
      <c r="T3391" s="68"/>
      <c r="U3391" s="68"/>
      <c r="V3391" s="382"/>
      <c r="W3391" s="1228"/>
      <c r="X3391" s="2419"/>
      <c r="Y3391" s="159"/>
      <c r="Z3391" s="159"/>
      <c r="AA3391" s="159"/>
      <c r="AB3391" s="159"/>
      <c r="AC3391" s="159"/>
      <c r="AD3391" s="68"/>
      <c r="AE3391" s="68"/>
      <c r="AF3391" s="156"/>
      <c r="AG3391" s="156"/>
      <c r="AH3391" s="159"/>
      <c r="AI3391" s="159"/>
      <c r="AJ3391" s="336"/>
      <c r="AK3391" s="159"/>
      <c r="AL3391" s="159"/>
      <c r="AM3391" s="159"/>
      <c r="AN3391" s="159"/>
      <c r="AO3391" s="156"/>
      <c r="AP3391" s="156"/>
      <c r="AQ3391" s="159"/>
      <c r="AR3391" s="159"/>
      <c r="AS3391" s="156"/>
      <c r="AT3391" s="159"/>
      <c r="AU3391" s="159"/>
      <c r="AV3391" s="159"/>
      <c r="AW3391" s="435"/>
      <c r="AX3391" s="159"/>
      <c r="AY3391" s="61" t="str">
        <f>IFERROR(__xludf.DUMMYFUNCTION("vlookup(BB3391,importrange(""https://docs.google.com/spreadsheets/d/1d2vevQ_7D_v35q4wCQ4RpQ_IPoTwEMB9Yp6ymwlPqew/edit?gid=984458430#gid=984458430"", ""'replication success'!A:K""), 11, FAlSE)"),"#N/A")</f>
        <v>#N/A</v>
      </c>
      <c r="AZ3391" s="61" t="str">
        <f>IFERROR(__xludf.DUMMYFUNCTION("vlookup(BB3391,importrange(""https://docs.google.com/spreadsheets/d/1d2vevQ_7D_v35q4wCQ4RpQ_IPoTwEMB9Yp6ymwlPqew/edit?gid=984458430#gid=984458430"", ""'replication success'!A:M""), 12, FAlSE)"),"#N/A")</f>
        <v>#N/A</v>
      </c>
      <c r="BA3391" s="61" t="str">
        <f>IFERROR(__xludf.DUMMYFUNCTION("vlookup(BB3391,importrange(""https://docs.google.com/spreadsheets/d/1d2vevQ_7D_v35q4wCQ4RpQ_IPoTwEMB9Yp6ymwlPqew/edit?gid=984458430#gid=984458430"", ""'replication success'!A:M""), 13, FAlSE)"),"#N/A")</f>
        <v>#N/A</v>
      </c>
      <c r="BB3391" s="61" t="str">
        <f>IFERROR(__xludf.DUMMYFUNCTION("REGEXREPLACE(G3391, ""_[a-z]{1,2}$"", """")"),"")</f>
        <v/>
      </c>
    </row>
    <row r="3392">
      <c r="A3392" s="44">
        <v>3392.0</v>
      </c>
      <c r="B3392" s="129"/>
      <c r="C3392" s="62"/>
      <c r="D3392" s="62"/>
      <c r="F3392" s="68"/>
      <c r="G3392" s="159"/>
      <c r="H3392" s="159"/>
      <c r="I3392" s="1287"/>
      <c r="J3392" s="152"/>
      <c r="K3392" s="68"/>
      <c r="L3392" s="68"/>
      <c r="M3392" s="159"/>
      <c r="N3392" s="159"/>
      <c r="O3392" s="68"/>
      <c r="P3392" s="382"/>
      <c r="Q3392" s="2418"/>
      <c r="R3392" s="159"/>
      <c r="S3392" s="159"/>
      <c r="T3392" s="68"/>
      <c r="U3392" s="68"/>
      <c r="V3392" s="382"/>
      <c r="W3392" s="1228"/>
      <c r="X3392" s="2419"/>
      <c r="Y3392" s="159"/>
      <c r="Z3392" s="159"/>
      <c r="AA3392" s="159"/>
      <c r="AB3392" s="159"/>
      <c r="AC3392" s="159"/>
      <c r="AD3392" s="68"/>
      <c r="AE3392" s="68"/>
      <c r="AF3392" s="156"/>
      <c r="AG3392" s="156"/>
      <c r="AH3392" s="159"/>
      <c r="AI3392" s="159"/>
      <c r="AJ3392" s="336"/>
      <c r="AK3392" s="159"/>
      <c r="AL3392" s="159"/>
      <c r="AM3392" s="159"/>
      <c r="AN3392" s="159"/>
      <c r="AO3392" s="156"/>
      <c r="AP3392" s="156"/>
      <c r="AQ3392" s="159"/>
      <c r="AR3392" s="159"/>
      <c r="AS3392" s="156"/>
      <c r="AT3392" s="159"/>
      <c r="AU3392" s="159"/>
      <c r="AV3392" s="159"/>
      <c r="AW3392" s="435"/>
      <c r="AX3392" s="159"/>
      <c r="AY3392" s="61" t="str">
        <f>IFERROR(__xludf.DUMMYFUNCTION("vlookup(BB3392,importrange(""https://docs.google.com/spreadsheets/d/1d2vevQ_7D_v35q4wCQ4RpQ_IPoTwEMB9Yp6ymwlPqew/edit?gid=984458430#gid=984458430"", ""'replication success'!A:K""), 11, FAlSE)"),"#N/A")</f>
        <v>#N/A</v>
      </c>
      <c r="AZ3392" s="61" t="str">
        <f>IFERROR(__xludf.DUMMYFUNCTION("vlookup(BB3392,importrange(""https://docs.google.com/spreadsheets/d/1d2vevQ_7D_v35q4wCQ4RpQ_IPoTwEMB9Yp6ymwlPqew/edit?gid=984458430#gid=984458430"", ""'replication success'!A:M""), 12, FAlSE)"),"#N/A")</f>
        <v>#N/A</v>
      </c>
      <c r="BA3392" s="61" t="str">
        <f>IFERROR(__xludf.DUMMYFUNCTION("vlookup(BB3392,importrange(""https://docs.google.com/spreadsheets/d/1d2vevQ_7D_v35q4wCQ4RpQ_IPoTwEMB9Yp6ymwlPqew/edit?gid=984458430#gid=984458430"", ""'replication success'!A:M""), 13, FAlSE)"),"#N/A")</f>
        <v>#N/A</v>
      </c>
      <c r="BB3392" s="61" t="str">
        <f>IFERROR(__xludf.DUMMYFUNCTION("REGEXREPLACE(G3392, ""_[a-z]{1,2}$"", """")"),"")</f>
        <v/>
      </c>
    </row>
    <row r="3393">
      <c r="A3393" s="44">
        <v>3393.0</v>
      </c>
      <c r="B3393" s="129"/>
      <c r="C3393" s="62"/>
      <c r="D3393" s="62"/>
      <c r="F3393" s="68"/>
      <c r="G3393" s="159"/>
      <c r="H3393" s="159"/>
      <c r="I3393" s="1287"/>
      <c r="J3393" s="152"/>
      <c r="K3393" s="68"/>
      <c r="L3393" s="68"/>
      <c r="M3393" s="159"/>
      <c r="N3393" s="159"/>
      <c r="O3393" s="68"/>
      <c r="P3393" s="382"/>
      <c r="Q3393" s="2418"/>
      <c r="R3393" s="159"/>
      <c r="S3393" s="159"/>
      <c r="T3393" s="68"/>
      <c r="U3393" s="68"/>
      <c r="V3393" s="382"/>
      <c r="W3393" s="1228"/>
      <c r="X3393" s="2419"/>
      <c r="Y3393" s="159"/>
      <c r="Z3393" s="159"/>
      <c r="AA3393" s="159"/>
      <c r="AB3393" s="159"/>
      <c r="AC3393" s="159"/>
      <c r="AD3393" s="68"/>
      <c r="AE3393" s="68"/>
      <c r="AF3393" s="156"/>
      <c r="AG3393" s="156"/>
      <c r="AH3393" s="159"/>
      <c r="AI3393" s="159"/>
      <c r="AJ3393" s="336"/>
      <c r="AK3393" s="159"/>
      <c r="AL3393" s="159"/>
      <c r="AM3393" s="159"/>
      <c r="AN3393" s="159"/>
      <c r="AO3393" s="156"/>
      <c r="AP3393" s="156"/>
      <c r="AQ3393" s="159"/>
      <c r="AR3393" s="159"/>
      <c r="AS3393" s="156"/>
      <c r="AT3393" s="159"/>
      <c r="AU3393" s="159"/>
      <c r="AV3393" s="159"/>
      <c r="AW3393" s="435"/>
      <c r="AX3393" s="159"/>
      <c r="AY3393" s="61" t="str">
        <f>IFERROR(__xludf.DUMMYFUNCTION("vlookup(BB3393,importrange(""https://docs.google.com/spreadsheets/d/1d2vevQ_7D_v35q4wCQ4RpQ_IPoTwEMB9Yp6ymwlPqew/edit?gid=984458430#gid=984458430"", ""'replication success'!A:K""), 11, FAlSE)"),"#N/A")</f>
        <v>#N/A</v>
      </c>
      <c r="AZ3393" s="61" t="str">
        <f>IFERROR(__xludf.DUMMYFUNCTION("vlookup(BB3393,importrange(""https://docs.google.com/spreadsheets/d/1d2vevQ_7D_v35q4wCQ4RpQ_IPoTwEMB9Yp6ymwlPqew/edit?gid=984458430#gid=984458430"", ""'replication success'!A:M""), 12, FAlSE)"),"#N/A")</f>
        <v>#N/A</v>
      </c>
      <c r="BA3393" s="61" t="str">
        <f>IFERROR(__xludf.DUMMYFUNCTION("vlookup(BB3393,importrange(""https://docs.google.com/spreadsheets/d/1d2vevQ_7D_v35q4wCQ4RpQ_IPoTwEMB9Yp6ymwlPqew/edit?gid=984458430#gid=984458430"", ""'replication success'!A:M""), 13, FAlSE)"),"#N/A")</f>
        <v>#N/A</v>
      </c>
      <c r="BB3393" s="61" t="str">
        <f>IFERROR(__xludf.DUMMYFUNCTION("REGEXREPLACE(G3393, ""_[a-z]{1,2}$"", """")"),"")</f>
        <v/>
      </c>
    </row>
    <row r="3394">
      <c r="A3394" s="44">
        <v>3394.0</v>
      </c>
      <c r="B3394" s="129"/>
      <c r="C3394" s="62"/>
      <c r="D3394" s="62"/>
      <c r="F3394" s="68"/>
      <c r="G3394" s="159"/>
      <c r="H3394" s="159"/>
      <c r="I3394" s="1287"/>
      <c r="J3394" s="152"/>
      <c r="K3394" s="68"/>
      <c r="L3394" s="68"/>
      <c r="M3394" s="159"/>
      <c r="N3394" s="159"/>
      <c r="O3394" s="68"/>
      <c r="P3394" s="382"/>
      <c r="Q3394" s="2418"/>
      <c r="R3394" s="159"/>
      <c r="S3394" s="159"/>
      <c r="T3394" s="68"/>
      <c r="U3394" s="68"/>
      <c r="V3394" s="382"/>
      <c r="W3394" s="1228"/>
      <c r="X3394" s="2419"/>
      <c r="Y3394" s="159"/>
      <c r="Z3394" s="159"/>
      <c r="AA3394" s="159"/>
      <c r="AB3394" s="159"/>
      <c r="AC3394" s="159"/>
      <c r="AD3394" s="68"/>
      <c r="AE3394" s="68"/>
      <c r="AF3394" s="156"/>
      <c r="AG3394" s="156"/>
      <c r="AH3394" s="159"/>
      <c r="AI3394" s="159"/>
      <c r="AJ3394" s="336"/>
      <c r="AK3394" s="159"/>
      <c r="AL3394" s="159"/>
      <c r="AM3394" s="159"/>
      <c r="AN3394" s="159"/>
      <c r="AO3394" s="156"/>
      <c r="AP3394" s="156"/>
      <c r="AQ3394" s="159"/>
      <c r="AR3394" s="159"/>
      <c r="AS3394" s="156"/>
      <c r="AT3394" s="159"/>
      <c r="AU3394" s="159"/>
      <c r="AV3394" s="159"/>
      <c r="AW3394" s="435"/>
      <c r="AX3394" s="159"/>
      <c r="AY3394" s="61" t="str">
        <f>IFERROR(__xludf.DUMMYFUNCTION("vlookup(BB3394,importrange(""https://docs.google.com/spreadsheets/d/1d2vevQ_7D_v35q4wCQ4RpQ_IPoTwEMB9Yp6ymwlPqew/edit?gid=984458430#gid=984458430"", ""'replication success'!A:K""), 11, FAlSE)"),"#N/A")</f>
        <v>#N/A</v>
      </c>
      <c r="AZ3394" s="61" t="str">
        <f>IFERROR(__xludf.DUMMYFUNCTION("vlookup(BB3394,importrange(""https://docs.google.com/spreadsheets/d/1d2vevQ_7D_v35q4wCQ4RpQ_IPoTwEMB9Yp6ymwlPqew/edit?gid=984458430#gid=984458430"", ""'replication success'!A:M""), 12, FAlSE)"),"#N/A")</f>
        <v>#N/A</v>
      </c>
      <c r="BA3394" s="61" t="str">
        <f>IFERROR(__xludf.DUMMYFUNCTION("vlookup(BB3394,importrange(""https://docs.google.com/spreadsheets/d/1d2vevQ_7D_v35q4wCQ4RpQ_IPoTwEMB9Yp6ymwlPqew/edit?gid=984458430#gid=984458430"", ""'replication success'!A:M""), 13, FAlSE)"),"#N/A")</f>
        <v>#N/A</v>
      </c>
      <c r="BB3394" s="61" t="str">
        <f>IFERROR(__xludf.DUMMYFUNCTION("REGEXREPLACE(G3394, ""_[a-z]{1,2}$"", """")"),"")</f>
        <v/>
      </c>
    </row>
    <row r="3395">
      <c r="A3395" s="44">
        <v>3395.0</v>
      </c>
      <c r="B3395" s="129"/>
      <c r="C3395" s="62"/>
      <c r="D3395" s="62"/>
      <c r="F3395" s="68"/>
      <c r="G3395" s="159"/>
      <c r="H3395" s="159"/>
      <c r="I3395" s="1287"/>
      <c r="J3395" s="152"/>
      <c r="K3395" s="68"/>
      <c r="L3395" s="68"/>
      <c r="M3395" s="159"/>
      <c r="N3395" s="159"/>
      <c r="O3395" s="68"/>
      <c r="P3395" s="382"/>
      <c r="Q3395" s="2418"/>
      <c r="R3395" s="159"/>
      <c r="S3395" s="159"/>
      <c r="T3395" s="68"/>
      <c r="U3395" s="68"/>
      <c r="V3395" s="382"/>
      <c r="W3395" s="1228"/>
      <c r="X3395" s="2419"/>
      <c r="Y3395" s="159"/>
      <c r="Z3395" s="159"/>
      <c r="AA3395" s="159"/>
      <c r="AB3395" s="159"/>
      <c r="AC3395" s="159"/>
      <c r="AD3395" s="68"/>
      <c r="AE3395" s="68"/>
      <c r="AF3395" s="156"/>
      <c r="AG3395" s="156"/>
      <c r="AH3395" s="159"/>
      <c r="AI3395" s="159"/>
      <c r="AJ3395" s="336"/>
      <c r="AK3395" s="159"/>
      <c r="AL3395" s="159"/>
      <c r="AM3395" s="159"/>
      <c r="AN3395" s="159"/>
      <c r="AO3395" s="156"/>
      <c r="AP3395" s="156"/>
      <c r="AQ3395" s="159"/>
      <c r="AR3395" s="159"/>
      <c r="AS3395" s="156"/>
      <c r="AT3395" s="159"/>
      <c r="AU3395" s="159"/>
      <c r="AV3395" s="159"/>
      <c r="AW3395" s="435"/>
      <c r="AX3395" s="159"/>
      <c r="AY3395" s="61" t="str">
        <f>IFERROR(__xludf.DUMMYFUNCTION("vlookup(BB3395,importrange(""https://docs.google.com/spreadsheets/d/1d2vevQ_7D_v35q4wCQ4RpQ_IPoTwEMB9Yp6ymwlPqew/edit?gid=984458430#gid=984458430"", ""'replication success'!A:K""), 11, FAlSE)"),"#N/A")</f>
        <v>#N/A</v>
      </c>
      <c r="AZ3395" s="61" t="str">
        <f>IFERROR(__xludf.DUMMYFUNCTION("vlookup(BB3395,importrange(""https://docs.google.com/spreadsheets/d/1d2vevQ_7D_v35q4wCQ4RpQ_IPoTwEMB9Yp6ymwlPqew/edit?gid=984458430#gid=984458430"", ""'replication success'!A:M""), 12, FAlSE)"),"#N/A")</f>
        <v>#N/A</v>
      </c>
      <c r="BA3395" s="61" t="str">
        <f>IFERROR(__xludf.DUMMYFUNCTION("vlookup(BB3395,importrange(""https://docs.google.com/spreadsheets/d/1d2vevQ_7D_v35q4wCQ4RpQ_IPoTwEMB9Yp6ymwlPqew/edit?gid=984458430#gid=984458430"", ""'replication success'!A:M""), 13, FAlSE)"),"#N/A")</f>
        <v>#N/A</v>
      </c>
      <c r="BB3395" s="61" t="str">
        <f>IFERROR(__xludf.DUMMYFUNCTION("REGEXREPLACE(G3395, ""_[a-z]{1,2}$"", """")"),"")</f>
        <v/>
      </c>
    </row>
    <row r="3396">
      <c r="A3396" s="44">
        <v>3396.0</v>
      </c>
      <c r="B3396" s="129"/>
      <c r="C3396" s="62"/>
      <c r="D3396" s="62"/>
      <c r="F3396" s="68"/>
      <c r="G3396" s="159"/>
      <c r="H3396" s="159"/>
      <c r="I3396" s="1287"/>
      <c r="J3396" s="152"/>
      <c r="K3396" s="68"/>
      <c r="L3396" s="68"/>
      <c r="M3396" s="159"/>
      <c r="N3396" s="159"/>
      <c r="O3396" s="68"/>
      <c r="P3396" s="382"/>
      <c r="Q3396" s="2418"/>
      <c r="R3396" s="159"/>
      <c r="S3396" s="159"/>
      <c r="T3396" s="68"/>
      <c r="U3396" s="68"/>
      <c r="V3396" s="382"/>
      <c r="W3396" s="1228"/>
      <c r="X3396" s="2419"/>
      <c r="Y3396" s="159"/>
      <c r="Z3396" s="159"/>
      <c r="AA3396" s="159"/>
      <c r="AB3396" s="159"/>
      <c r="AC3396" s="159"/>
      <c r="AD3396" s="68"/>
      <c r="AE3396" s="68"/>
      <c r="AF3396" s="156"/>
      <c r="AG3396" s="156"/>
      <c r="AH3396" s="159"/>
      <c r="AI3396" s="159"/>
      <c r="AJ3396" s="336"/>
      <c r="AK3396" s="159"/>
      <c r="AL3396" s="159"/>
      <c r="AM3396" s="159"/>
      <c r="AN3396" s="159"/>
      <c r="AO3396" s="156"/>
      <c r="AP3396" s="156"/>
      <c r="AQ3396" s="159"/>
      <c r="AR3396" s="159"/>
      <c r="AS3396" s="156"/>
      <c r="AT3396" s="159"/>
      <c r="AU3396" s="159"/>
      <c r="AV3396" s="159"/>
      <c r="AW3396" s="435"/>
      <c r="AX3396" s="159"/>
      <c r="AY3396" s="61" t="str">
        <f>IFERROR(__xludf.DUMMYFUNCTION("vlookup(BB3396,importrange(""https://docs.google.com/spreadsheets/d/1d2vevQ_7D_v35q4wCQ4RpQ_IPoTwEMB9Yp6ymwlPqew/edit?gid=984458430#gid=984458430"", ""'replication success'!A:K""), 11, FAlSE)"),"#N/A")</f>
        <v>#N/A</v>
      </c>
      <c r="AZ3396" s="61" t="str">
        <f>IFERROR(__xludf.DUMMYFUNCTION("vlookup(BB3396,importrange(""https://docs.google.com/spreadsheets/d/1d2vevQ_7D_v35q4wCQ4RpQ_IPoTwEMB9Yp6ymwlPqew/edit?gid=984458430#gid=984458430"", ""'replication success'!A:M""), 12, FAlSE)"),"#N/A")</f>
        <v>#N/A</v>
      </c>
      <c r="BA3396" s="61" t="str">
        <f>IFERROR(__xludf.DUMMYFUNCTION("vlookup(BB3396,importrange(""https://docs.google.com/spreadsheets/d/1d2vevQ_7D_v35q4wCQ4RpQ_IPoTwEMB9Yp6ymwlPqew/edit?gid=984458430#gid=984458430"", ""'replication success'!A:M""), 13, FAlSE)"),"#N/A")</f>
        <v>#N/A</v>
      </c>
      <c r="BB3396" s="61" t="str">
        <f>IFERROR(__xludf.DUMMYFUNCTION("REGEXREPLACE(G3396, ""_[a-z]{1,2}$"", """")"),"")</f>
        <v/>
      </c>
    </row>
    <row r="3397">
      <c r="A3397" s="44">
        <v>3397.0</v>
      </c>
      <c r="B3397" s="129"/>
      <c r="C3397" s="62"/>
      <c r="D3397" s="62"/>
      <c r="F3397" s="68"/>
      <c r="G3397" s="159"/>
      <c r="H3397" s="159"/>
      <c r="I3397" s="1287"/>
      <c r="J3397" s="152"/>
      <c r="K3397" s="68"/>
      <c r="L3397" s="68"/>
      <c r="M3397" s="159"/>
      <c r="N3397" s="159"/>
      <c r="O3397" s="68"/>
      <c r="P3397" s="382"/>
      <c r="Q3397" s="2418"/>
      <c r="R3397" s="159"/>
      <c r="S3397" s="159"/>
      <c r="T3397" s="68"/>
      <c r="U3397" s="68"/>
      <c r="V3397" s="382"/>
      <c r="W3397" s="1228"/>
      <c r="X3397" s="2419"/>
      <c r="Y3397" s="159"/>
      <c r="Z3397" s="159"/>
      <c r="AA3397" s="159"/>
      <c r="AB3397" s="159"/>
      <c r="AC3397" s="159"/>
      <c r="AD3397" s="68"/>
      <c r="AE3397" s="68"/>
      <c r="AF3397" s="156"/>
      <c r="AG3397" s="156"/>
      <c r="AH3397" s="159"/>
      <c r="AI3397" s="159"/>
      <c r="AJ3397" s="336"/>
      <c r="AK3397" s="159"/>
      <c r="AL3397" s="159"/>
      <c r="AM3397" s="159"/>
      <c r="AN3397" s="159"/>
      <c r="AO3397" s="156"/>
      <c r="AP3397" s="156"/>
      <c r="AQ3397" s="159"/>
      <c r="AR3397" s="159"/>
      <c r="AS3397" s="156"/>
      <c r="AT3397" s="159"/>
      <c r="AU3397" s="159"/>
      <c r="AV3397" s="159"/>
      <c r="AW3397" s="435"/>
      <c r="AX3397" s="159"/>
      <c r="AY3397" s="61" t="str">
        <f>IFERROR(__xludf.DUMMYFUNCTION("vlookup(BB3397,importrange(""https://docs.google.com/spreadsheets/d/1d2vevQ_7D_v35q4wCQ4RpQ_IPoTwEMB9Yp6ymwlPqew/edit?gid=984458430#gid=984458430"", ""'replication success'!A:K""), 11, FAlSE)"),"#N/A")</f>
        <v>#N/A</v>
      </c>
      <c r="AZ3397" s="61" t="str">
        <f>IFERROR(__xludf.DUMMYFUNCTION("vlookup(BB3397,importrange(""https://docs.google.com/spreadsheets/d/1d2vevQ_7D_v35q4wCQ4RpQ_IPoTwEMB9Yp6ymwlPqew/edit?gid=984458430#gid=984458430"", ""'replication success'!A:M""), 12, FAlSE)"),"#N/A")</f>
        <v>#N/A</v>
      </c>
      <c r="BA3397" s="61" t="str">
        <f>IFERROR(__xludf.DUMMYFUNCTION("vlookup(BB3397,importrange(""https://docs.google.com/spreadsheets/d/1d2vevQ_7D_v35q4wCQ4RpQ_IPoTwEMB9Yp6ymwlPqew/edit?gid=984458430#gid=984458430"", ""'replication success'!A:M""), 13, FAlSE)"),"#N/A")</f>
        <v>#N/A</v>
      </c>
      <c r="BB3397" s="61" t="str">
        <f>IFERROR(__xludf.DUMMYFUNCTION("REGEXREPLACE(G3397, ""_[a-z]{1,2}$"", """")"),"")</f>
        <v/>
      </c>
    </row>
    <row r="3398">
      <c r="A3398" s="44">
        <v>3398.0</v>
      </c>
      <c r="B3398" s="129"/>
      <c r="C3398" s="62"/>
      <c r="D3398" s="62"/>
      <c r="F3398" s="68"/>
      <c r="G3398" s="159"/>
      <c r="H3398" s="159"/>
      <c r="I3398" s="1287"/>
      <c r="J3398" s="152"/>
      <c r="K3398" s="68"/>
      <c r="L3398" s="68"/>
      <c r="M3398" s="159"/>
      <c r="N3398" s="159"/>
      <c r="O3398" s="68"/>
      <c r="P3398" s="382"/>
      <c r="Q3398" s="2418"/>
      <c r="R3398" s="159"/>
      <c r="S3398" s="159"/>
      <c r="T3398" s="68"/>
      <c r="U3398" s="68"/>
      <c r="V3398" s="382"/>
      <c r="W3398" s="1228"/>
      <c r="X3398" s="2419"/>
      <c r="Y3398" s="159"/>
      <c r="Z3398" s="159"/>
      <c r="AA3398" s="159"/>
      <c r="AB3398" s="159"/>
      <c r="AC3398" s="159"/>
      <c r="AD3398" s="68"/>
      <c r="AE3398" s="68"/>
      <c r="AF3398" s="156"/>
      <c r="AG3398" s="156"/>
      <c r="AH3398" s="159"/>
      <c r="AI3398" s="159"/>
      <c r="AJ3398" s="336"/>
      <c r="AK3398" s="159"/>
      <c r="AL3398" s="159"/>
      <c r="AM3398" s="159"/>
      <c r="AN3398" s="159"/>
      <c r="AO3398" s="156"/>
      <c r="AP3398" s="156"/>
      <c r="AQ3398" s="159"/>
      <c r="AR3398" s="159"/>
      <c r="AS3398" s="156"/>
      <c r="AT3398" s="159"/>
      <c r="AU3398" s="159"/>
      <c r="AV3398" s="159"/>
      <c r="AW3398" s="435"/>
      <c r="AX3398" s="159"/>
      <c r="AY3398" s="61" t="str">
        <f>IFERROR(__xludf.DUMMYFUNCTION("vlookup(BB3398,importrange(""https://docs.google.com/spreadsheets/d/1d2vevQ_7D_v35q4wCQ4RpQ_IPoTwEMB9Yp6ymwlPqew/edit?gid=984458430#gid=984458430"", ""'replication success'!A:K""), 11, FAlSE)"),"#N/A")</f>
        <v>#N/A</v>
      </c>
      <c r="AZ3398" s="61" t="str">
        <f>IFERROR(__xludf.DUMMYFUNCTION("vlookup(BB3398,importrange(""https://docs.google.com/spreadsheets/d/1d2vevQ_7D_v35q4wCQ4RpQ_IPoTwEMB9Yp6ymwlPqew/edit?gid=984458430#gid=984458430"", ""'replication success'!A:M""), 12, FAlSE)"),"#N/A")</f>
        <v>#N/A</v>
      </c>
      <c r="BA3398" s="61" t="str">
        <f>IFERROR(__xludf.DUMMYFUNCTION("vlookup(BB3398,importrange(""https://docs.google.com/spreadsheets/d/1d2vevQ_7D_v35q4wCQ4RpQ_IPoTwEMB9Yp6ymwlPqew/edit?gid=984458430#gid=984458430"", ""'replication success'!A:M""), 13, FAlSE)"),"#N/A")</f>
        <v>#N/A</v>
      </c>
      <c r="BB3398" s="61" t="str">
        <f>IFERROR(__xludf.DUMMYFUNCTION("REGEXREPLACE(G3398, ""_[a-z]{1,2}$"", """")"),"")</f>
        <v/>
      </c>
    </row>
  </sheetData>
  <autoFilter ref="$A$2:$BC$3398"/>
  <customSheetViews>
    <customSheetView guid="{CD2D01E7-BAE3-49E3-911E-C3AFEB46ACCA}" filter="1" showAutoFilter="1">
      <autoFilter ref="$B$2:$BH$1416"/>
    </customSheetView>
    <customSheetView guid="{5F8E0F78-F74C-4AE5-B2A7-C5B424DA63C7}" filter="1" showAutoFilter="1">
      <autoFilter ref="$B$2:$BD$1416">
        <filterColumn colId="15">
          <filters>
            <filter val="https://drive.google.com/file/d/1zRO2wTJdLmK-BV5hxThrZO8prUdJXbH2/view?usp=drivesdk"/>
            <filter val="https://drive.google.com/file/d/1VYqvNkQuJmP378cGj71lJ4JV-clMH0Yv/view?usp=drivesdk"/>
            <filter val="https://drive.google.com/file/d/1X5Fe2As7h--ByO5qoa79Jna-iqMIag53/view?usp=drivesdk"/>
            <filter val="https://drive.google.com/file/d/1SrRdwzLZMo2zK6deXcTRyDZ9oh1TesUR/view?usp=drivesdk"/>
            <filter val="https://drive.google.com/file/d/1YxSLKvJhCAZvjLwh2Dxi3CO9YKNSkWkP/view?usp=drivesdk"/>
            <filter val="https://drive.google.com/file/d/1QWFGg5y_FwCsYU4iJVkw7s0HZoH7av3y/view?usp=drivesdk"/>
            <filter val="https://drive.google.com/file/d/1bbOr5sJJaSFgt-aKadq5yMvKA8ywD97U/view?usp=drivesdk"/>
            <filter val="https://drive.google.com/file/d/1xo-D0d5xWZy_-HQc9CNuFVE8l1hYTkzr/view?usp=drivesdk"/>
            <filter val="https://drive.google.com/file/d/1GTnjtSM79S6hEZLXrpWxGtZd34NCBmBN/view?usp=drivesdk"/>
            <filter val="https://drive.google.com/file/d/1qeprGIAy7AN_pByPqzOUMvJ-k5SpkEYf/view?usp=drivesdk"/>
            <filter val="https://drive.google.com/file/d/14jCdpBA20GeEpZdlt1OEEDrVjc2kp6h7/view?usp=drivesdk"/>
            <filter val="https://drive.google.com/file/d/1tMrBtPVk07Vt3IgjI_4ese_KDvqQCuKK/view?usp=drivesdk"/>
            <filter val="https://drive.google.com/file/d/1ufFlEetCWZtYqMqTTptc07s2XdkD4E4c/view?usp=drivesdk"/>
            <filter val="https://drive.google.com/file/d/1oYbk_RfphQEQTiM6p882mmwIrb7aGJDY/view?usp=drivesdk"/>
            <filter val="https://drive.google.com/file/d/1Z9cXGn_9cINuuX5drvoG0YLH4tFIjcZ7/view?usp=drivesdk"/>
            <filter val="https://drive.google.com/file/d/1epyBwvNQIzhoIzncHzNCghI35bEcM7FS/view?usp=drivesdk"/>
            <filter val="https://drive.google.com/file/d/1pWRSPkrpkB4P8JrAypP4cdltGfovv0wT/view?usp=drivesdk"/>
            <filter val="https://drive.google.com/file/d/1VNZVfi392roXkffFia5wqQeCQjwEpyCc/view?usp=drivesdk"/>
            <filter val="https://drive.google.com/file/d/1ATJxg7zUvA3Wg_XCJFG6phaq9LgMmPHW/view?usp=drivesdk"/>
            <filter val="https://drive.google.com/file/d/1pCInedMgb6ub4Ncim1wJ4bHJ2ouwc85m/view?usp=drivesdk"/>
            <filter val="https://drive.google.com/file/d/1dyQ7iPpa5tauqQ87v1ICVpmTb96xwrHK/view?usp=drivesdk"/>
            <filter val="https://drive.google.com/file/d/15btD8-1-iJ6kKY4YOnmEB99Ty5jn30uV/view?usp=drivesdk"/>
            <filter val="https://drive.google.com/file/d/1eY8ustezkGTBEFCvn47T4iFMNEc9SoCR/view?usp=drivesdk"/>
            <filter val="https://drive.google.com/file/d/17KV68RT0MMeGKz0n7gj1Dsmt7YXSfvOC/view?usp=drivesdk"/>
            <filter val="https://drive.google.com/file/d/1LtoTK2zHVIYGFfb_cXHLXLWkOHpGikA0/view?usp=drivesdk"/>
            <filter val="https://drive.google.com/file/d/1vqDYyUya1hGxUO3xOXp-fS4z5QiC8jwH/view?usp=drivesdk"/>
            <filter val="https://drive.google.com/file/d/1KeSwecAaGUPly_0Khma5VYzCJyRIWBpt/view?usp=drivesdk"/>
            <filter val="https://drive.google.com/file/d/1dcM9NQdz9QH53PQ7hkiNVOhT5nBAY9Vn/view?usp=drivesdk"/>
            <filter val="https://drive.google.com/file/d/1OIEvCCJvM-_IxEbcHAL2vNkKmVoEHa3G/view?usp=drivesdk"/>
            <filter val="https://drive.google.com/file/d/1Mvv6lSbYDT3w1CNkuj_yKZJZyGVo8_wu/view?usp=drivesdk"/>
            <filter val="https://drive.google.com/file/d/1VCKoEhCkZgWeNPsAklTrHzvyEtDe0UpM/view?usp=drivesdk"/>
            <filter val="https://drive.google.com/file/d/1quS4MAYvEPtehwNPw-pIZVscM1NFoUOj/view?usp=drivesdk"/>
            <filter val="N/A"/>
            <filter val="https://drive.google.com/file/d/1fhnK_MpUTUYrtfdIB-pGhbkxyiXV1Wjs/view?usp=drivesdk"/>
            <filter val="https://drive.google.com/file/d/1a3fJ6JRdrPHSo50DdCUrYLisEZcHfG31/view?usp=drivesdk"/>
            <filter val="https://drive.google.com/file/d/1E9n7K_S1QjugzYn-rTEbb--ETbvudVse/view?usp=drivesdk"/>
            <filter val="https://drive.google.com/file/d/1e8g4jGrxeuAKV2niPFAdDVB88LKnVgdm/view?usp=drivesdk"/>
            <filter val="https://drive.google.com/file/d/1R_WL0AExjMKiypoB7mKpQqeDlLTVOzbM/view?usp=drivesdk"/>
            <filter val="https://drive.google.com/file/d/1noF0-gFXnE925nL0unfvsQ-ANlXov76A/view?usp=drivesdk"/>
            <filter val="https://drive.google.com/file/d/1zCYZDaOwE-K33Jkam-tMneBjxjoNVHza/view?usp=drivesdk"/>
            <filter val="https://drive.google.com/file/d/1kVWNkPYWfpPoaNfzdmDoKO9zV0jbI67W/view?usp=drivesdk"/>
            <filter val="https://drive.google.com/file/d/1dqZfs8CV4bFuIXsJrOSHM-_BKTXKhfGR/view?usp=drivesdk"/>
            <filter val="https://drive.google.com/file/d/11Av49SlCGKMhtLvS_jk4226riFKcyhNh/view?usp=drivesdk"/>
            <filter val="https://drive.google.com/file/d/13EC3dwbwBg7gIijxdeeANvWmpAfQ8_ke/view?usp=drivesdk"/>
            <filter val="https://drive.google.com/file/d/1ETLxNzxxAx38Kbjl_2clUvwzL5DDrTd8/view?usp=drivesdk"/>
            <filter val="https://drive.google.com/file/d/1Oz7Zj6fZnvvCizj-IHEQF-K0o27fi6QN/view?usp=drivesdk"/>
            <filter val="https://drive.google.com/file/d/1-BRDJtnfY2i7YBG-IeupwHTxHic0hQnP/view?usp=drivesdk"/>
            <filter val="https://drive.google.com/file/d/1OhQWWe3jm8WtNRylZvAGE-c4xHX8dswr/view?usp=drivesdk"/>
            <filter val="https://drive.google.com/file/d/13IdVrs_fFWj8hYxe5OVSE67tGuCcKPct/view?usp=drivesdk"/>
            <filter val="https://drive.google.com/file/d/1VohCyZYrYeQ8wnGKTyDD2fOk8y16yZw3/view?usp=drivesdk"/>
            <filter val="https://drive.google.com/file/d/1MpP2-43GqkWDRpuwJ-apCbzIk2GwSMn_/view?usp=drivesdk"/>
            <filter val="https://drive.google.com/file/d/10gwwst21XMDLdZDUQ3-UJKa2tLRTlO7K/view?usp=drivesdk"/>
            <filter val="https://drive.google.com/file/d/1wVhOcOsRL9M-ypPdSaPRTLv-PLlAWOf1/view?usp=drivesdk"/>
            <filter val="https://drive.google.com/file/d/1IK98kxqzXUKr6oiSy5Yh1iZIS2v8ZtnC/view?usp=drivesdk"/>
            <filter val="https://drive.google.com/file/d/1fqDwT6f6uPiUgL_jMbCxBCBzksaDNMma/view?usp=drivesdk"/>
            <filter val="https://drive.google.com/file/d/1XTFfWFGSOorXaSHUTepn_NywZP0WRrna/view?usp=drivesdk"/>
            <filter val="https://drive.google.com/file/d/1HfaoUy0n4jcmWWLSBXNhkyGIX4WbOU1n/view?usp=drivesdk"/>
            <filter val="https://drive.google.com/file/d/149vWpYz3xUBwjR-0Vi63Qa-y5jEghDmg/view?usp=drivesdk"/>
            <filter val="https://drive.google.com/file/d/104J0KhnQN8hx7uBldyQ1evQEW8N7petE/view?usp=drivesdk"/>
            <filter val="https://drive.google.com/file/d/1oLyXVFY64dU4qE6_b-iVXYa7asikLA1e/view?usp=drivesdk"/>
            <filter val="https://drive.google.com/file/d/1S2bnWMra5cT3jybiRMXQyyKgjUU5M3mP/view?usp=drivesdk"/>
            <filter val="https://drive.google.com/file/d/1mWjj8mxrG8UD8YXr2nZ-cGzIZBtUwLal/view?usp=drivesdk"/>
            <filter val="https://drive.google.com/file/d/1JoVItYnEA8vA70xzVLnQEC3dgxMW-0on/view?usp=drivesdk"/>
            <filter val="https://drive.google.com/file/d/1Q984rmQXqbwrrnMY-wB5jcpYKEpb-2Qg/view?usp=drivesdk"/>
            <filter val="https://drive.google.com/file/d/1-8hoTcDzN7GjN92fqlhu7SLhxRSQTUrd/view?usp=drivesdk"/>
            <filter val="https://drive.google.com/file/d/12tiBV9g0PDIUv5jLNU3H9ESLvqe3_su6/view?usp=drivesdk"/>
            <filter val="https://drive.google.com/file/d/1jx9eMAYbx0cHukSi87PadaXFTzz1n_mq/view?usp=drivesdk"/>
            <filter val="https://drive.google.com/file/d/1PBsIeDN2jr1Pq3CNrSLb1Xsyr21P2pXL/view?usp=drivesdk"/>
            <filter val="https://drive.google.com/file/d/1HsW-lUSPFaIpISHQ1bNk6CKMtH3z9rau/view?usp=drivesdk"/>
            <filter val="https://drive.google.com/file/d/1nanNymgjGLBTTIftwQHD0CPkPgFLXjko/view?usp=drivesdk"/>
            <filter val="https://drive.google.com/file/d/1HOf675tEXfG2bMnJOIiHzWGLlDbzEY3d/view?usp=drivesdk"/>
            <filter val="https://drive.google.com/file/d/1w5TanXJyS5YVblHirQgJO5zKr4e7CFnK/view?usp=drivesdk"/>
            <filter val="https://drive.google.com/file/d/1jZb-p-3Rc26saHcNX9fyKAs8ayXvLp_G/view?usp=drivesdk"/>
            <filter val="https://drive.google.com/file/d/1tNWBEIyqVAkKjP7KUoSu2t3rEj4DPo_A/view?usp=drivesdk"/>
            <filter val="https://drive.google.com/file/d/10j2TatiM7HXzQ8gGJAAToPEOpY8k8IgA/view?usp=drivesdk"/>
            <filter val="https://drive.google.com/file/d/1Ql7nMbQXZeIyS5tduYv7gRTiVRXJB9Dk/view?usp=drivesdk"/>
            <filter val="https://drive.google.com/file/d/1TVEae0arGcjXygxgVD8laFAM0LcnW7EM/view?usp=drivesdk"/>
            <filter val="https://drive.google.com/file/d/1gQEP5IJLffmqgeBD8cJqZD1njhiICXaO/view?usp=drivesdk"/>
            <filter val="https://drive.google.com/file/d/144ul3eCkiKHuL75LCKm6YabVN-pgBX8u/view?usp=drivesdk"/>
            <filter val="https://drive.google.com/file/d/1hlj_PiSmruASavYOS4OPpCrR4tKfol15/view?usp=drivesdk"/>
            <filter val="https://drive.google.com/file/d/16w-mzwoY4czOLW1CWtNqG_1fcM557vJf/view?usp=drivesdk"/>
            <filter val="#N/A"/>
            <filter val="NA"/>
            <filter val="https://drive.google.com/file/d/16TKGD5uIhjmxtnz9GYQUl5frMKkhZ7vE/view?usp=drivesdk"/>
            <filter val="https://drive.google.com/file/d/1OWk3W7aLK7NhvpfeOXWbAeYjSBS6on3O/view?usp=drivesdk"/>
            <filter val="https://drive.google.com/file/d/1M2npXIoOra27xHNDnCsNwFJwuHLFn-QY/view?usp=drivesdk"/>
            <filter val="https://drive.google.com/file/d/1Wo_ZWAFaujgNZeZ0tdEdLIIUT-PUrDAy/view?usp=drivesdk"/>
            <filter val="https://drive.google.com/file/d/1J0gXacFjwTY8lqoRS7-Ly_0MayhAFMtY/view?usp=drivesdk"/>
            <filter val="https://drive.google.com/file/d/1d70WNl03Y6R-FQ2zFUG_7JzLtb7KIhMn/view?usp=drivesdk"/>
            <filter val="https://drive.google.com/file/d/1ExZ7juOSUgumoSt5vCuDEvgISB_mT9vX/view?usp=drivesdk"/>
            <filter val="https://drive.google.com/file/d/1hgaLy7Pk7l8_uT0qzsdgGRA4OH5u_0hL/view?usp=drivesdk"/>
            <filter val="LINK"/>
            <filter val="https://drive.google.com/file/d/1Z0u77Ei4pPZsjR5reXLadM9xd0tgKrac/view?usp=drivesdk"/>
            <filter val="https://drive.google.com/file/d/1ITD043otUXSzSXwJBI77ZEGc7YfO0lXl/view?usp=drivesdk"/>
          </filters>
        </filterColumn>
      </autoFilter>
    </customSheetView>
  </customSheetViews>
  <mergeCells count="36">
    <mergeCell ref="S206:T206"/>
    <mergeCell ref="S207:T207"/>
    <mergeCell ref="N300:O300"/>
    <mergeCell ref="N318:O318"/>
    <mergeCell ref="S318:T318"/>
    <mergeCell ref="S497:T497"/>
    <mergeCell ref="Z497:AA497"/>
    <mergeCell ref="Z518:AA518"/>
    <mergeCell ref="AU518:AV518"/>
    <mergeCell ref="S519:T519"/>
    <mergeCell ref="Z519:AA519"/>
    <mergeCell ref="AC519:AD519"/>
    <mergeCell ref="AU519:AV519"/>
    <mergeCell ref="S520:T520"/>
    <mergeCell ref="Z520:AA520"/>
    <mergeCell ref="AU520:AV520"/>
    <mergeCell ref="Z521:AA521"/>
    <mergeCell ref="AC521:AD521"/>
    <mergeCell ref="AB497:AC497"/>
    <mergeCell ref="AD497:AE497"/>
    <mergeCell ref="S509:T509"/>
    <mergeCell ref="S512:T512"/>
    <mergeCell ref="Z514:AA514"/>
    <mergeCell ref="AC514:AD514"/>
    <mergeCell ref="S518:T518"/>
    <mergeCell ref="N1906:O1906"/>
    <mergeCell ref="N1907:O1907"/>
    <mergeCell ref="AU1910:AV1910"/>
    <mergeCell ref="AD1524:AE1524"/>
    <mergeCell ref="N1872:O1872"/>
    <mergeCell ref="N1873:O1873"/>
    <mergeCell ref="N1902:O1902"/>
    <mergeCell ref="AC1902:AE1902"/>
    <mergeCell ref="N1903:O1903"/>
    <mergeCell ref="AC1906:AE1906"/>
    <mergeCell ref="AB1937:AC1937"/>
  </mergeCells>
  <dataValidations>
    <dataValidation type="list" allowBlank="1" showErrorMessage="1" sqref="D2894:D2896 D2916:D2926">
      <formula1>"Mariem,Roksana,Thomas,Maria,Shruti,Antony,Radoslaw,Fabienne,Daniel,Ray,Nikolay,Hakile,Raul,Alisa,Teshome,Adira,Jyoti,Maureen,Nikita,Husnain,Sarah,Alexsandr,Vidhi,Mario,Diego,Corinna,Tafere,Kamran,Baha,Karolina"</formula1>
    </dataValidation>
    <dataValidation type="custom" allowBlank="1" showDropDown="1" sqref="S1864:T1864">
      <formula1>left(#REF!, 3)="10."</formula1>
    </dataValidation>
    <dataValidation type="custom" allowBlank="1" showDropDown="1" sqref="AG4:AG60 AG65:AG95 AP4:AP95 AQ96:AQ97 AG98:AG100 AP98:AP100 AG106:AG152 AG155:AG158 AG162:AG176 AP106:AP182 AG178:AG188 AP184:AP188 AP191:AP214 AG191:AG217 AP216:AP217 AG220 AP220 AP222:AP224 AP226:AP227 AG222:AG244 AP233:AP244 AG246:AG360 AP246:AP360 AG362:AG485 AG492 AG497:AG525 AP362:AP525 AG527 AP527 AG529:AG531 AP529:AP531 AG533:AG535 AG551 AG553 AG555 AG562 AG564 AG566 AG573:AG592 AP533:AP592 AO593:AO597 AG598:AG604 AG608 AG610:AG644 AG646:AG656 AP598:AP656 AG663:AG678 AG729:AG733 AG739 AG743:AG744 AG746 AG751:AG752 AG754 AG758:AG759 AG762:AG764 AG767:AG771 AG776:AG779 AG784:AG785 AG790:AG791 AG793:AG802 AG805:AG806 AP658:AP813 AG845:AG846 AG848 AG851 AG853 AG856 AP815:AP860 AP865:AP871 AP875:AP877 AP883:AP889 AP894:AP895 AP897:AP908 AP910:AP912 AP914:AP920 AP922:AP923 AP926:AP934 AP936:AP939 AP942:AP943 AP945:AP946 AP948:AP954 AP956 AP962:AP975 AP977:AP978 AP980 AP990:AP991 AP993 AP996:AP997 AP999:AP1001 AP1008:AP1015 AP1018:AP1021 AP1023:AP1034 AS1037 AS1041 AS1062 AS1071 AS1079 AP1036:AP1081 AS1081 AP1083:AP1101 AG1122 AG1125 AP1103:AP1130 AS1142 AS1147 AS1192 AG1198:AG1199 AG1201 AG1203 AG1205 AG1207:AG1209 AG1211 AG1213 AG1215 AG1217 AG1219 AG1221 AG1223 AG1225:AG1227 AG1229 AG1231:AG1233 AG1235 AP1132:AP1249 AP1251:AP1283 AP1284:AQ1284 AG1284:AG1294 AG1297:AG1320 AG1322:AG1323 AG1325 AG1327 AG1329:AG1338 AG1346:AG1347 AG1362:AG1363 AG1380:AG1384 AG1401 AG1403 AG1408:AG1410 AG1426:AG1430 AG1438:AG1439 AG1444 AG1447:AG1449 AG1451:AG1453 AG1455:AG1477 AG1501:AG1578 AG1582:AG1646 AP1285:AP1646 AG1648:AG1650 AP1648:AP1650 AG1652 AP1652 AG1654 AP1654 AG1656 AP1656 AG1862:AG1913 AP1658:AP1942 AS1950 AP1944:AP1972 AP1974:AP1983 AG2068:AG2071 AP1985:AP2071 AG2073:AG2074 AP2073:AP2090 AG2250:AG2251 AP2092:AP2252 AP2255:AP2257 AP2268:AP2270 AP2272:AP2274 AF2275:AF2296 AF2298 AP2299 AP2301 AP2304:AP2305 AP2307 AP2309 AP2322 AP2324 AP2327:AP2328 AP2330 AP2332 AO2334:AO2336 AP2337:AP2343 AP2345 AP2347:AP2349 AP2357 AP2359:AP2360 AP2362 AG2615 AP2381:AP2695 AO2696:AO2697 AP2698:AP2701 AO2702 AP2703:AP2704 AO2705 AP2706:AP2709 AO2710 AP2711:AP2715 AP2720:AP2723 AO2724 AP2725:AP2726 AP2727:AR2728 AO2729:AO2732 AP2733 AO2734 AP2735 AO2736 AP2737 AO2738:AO2739 AP2742:AP2749 AO2750 AP2751:AP2752 AO2753 AP2754 AO2755 AP2756 AO2757 AP2758 AO2759 AP2760 AO2761 AP2762 AO2763 AP2764 AO2765 AP2766 AO2767 AP2768 AO2769 AP2770 AO2771 AP2772 AO2773:AO2777 AP2778:AP2779 AO2780:AO2789 AP2790 AP2793 AP2796 AP2801 AP2804 AP2836:AP2837 AP2839:AP2840 AP2856 AP2859 AP2862 AO2867:AO2870 AP2871:AP2877 AO2878:AO2881 AO2883:AO2885 AP2886:AP2926 AP2928:AP3065 AP3067:AP3068 AG3123:AG3124 AP3073:AP3398">
      <formula1>isnumber(AF4)</formula1>
    </dataValidation>
    <dataValidation type="custom" allowBlank="1" showDropDown="1" sqref="N61:N64 N128:N129 N153:N154 S153:S154 N159:N161 S159:S161 N174:N177 N189:N190 S189:S190 N269:N270 N486:N491 S486:S491 N493:N496 S493:S496 N536:N550 S536:S550 N552 S552 S554 N556:N561 S556:S561 N563 S563 N565 S565 N567:N572 S567:S572 M593:M597 R593:R597 N605:N607 S605:S607 N609 S609 N645 S645 N658:N662 S658:S662 N679:N921 S679:S921 N923:N924 S923:S924 N926:N1034 N1036:N1197 S926:S1197 N1200 N1202 N1204 N1206 N1208 N1210 N1212 N1214 N1216 N1218 N1220 N1222 N1224 N1226 N1228 N1230 N1232 N1234 S1200:S1277 N1236:N1278 N1279:O1279 N1280:N1283 R1278:T1283 N1295:N1296 S1295:S1296 N1321 S1321 N1324 S1324 N1326 N1328 S1339:S1343 R1344:T1344 N1339:N1345 S1345 R1348:T1348 S1349:S1350 R1351:T1351 N1348:N1353 S1352:S1353 N1354:O1354 R1354:T1354 S1355:S1356 R1357:T1358 S1359:T1359 N1355:N1361 S1360:S1361 S1364:S1375 R1376:T1376 S1377 R1378:T1378 N1364:N1379 S1379 N1385:O1385 R1385:T1385 S1386 R1387:T1388 S1389 R1390:T1390 N1386:N1391 S1391 N1392:O1392 R1392:T1392 S1393 S1394:T1394 S1395 AC1394:AC1395 R1396:T1396 N1393:N1397 S1397 N1398:O1398 R1398:T1398 N1399:N1400 S1399:S1400 N1402 S1402 N1404:O1404 R1404:T1404 S1405 R1406:T1406 N1405:N1407 S1407 N1411:N1425 S1411:S1425 N1430:N1437 S1430:S1437 N1440:N1443 S1440:S1443 N1445:N1446 S1445:S1446 N1450 S1450 N1454 S1454 N1478 N1479:O1479 R1478:T1480 N1480:N1484 S1481:S1484 N1485:O1485 N1486 N1487:O1487 R1485:T1487 S1488:S1489 R1490:T1490 S1491 R1492:T1493 S1494 R1495:T1495 S1496 R1497:T1497 S1498 R1499:T1499 N1488:N1500 S1500 N1579:N1581 S1579:S1581 N1658:N1669 N1671:N1861 S1658:S1861 N1914:N1919 N1920:O1920 N1921:N1927 N1928:O1928 N1929:N1937 N1938:O1938 N1939 R1914:R1940 R1941:S1941 R1942:T1943 N1941:N1944 R1944:S1944 R1945:R1946 N1947:N1949 R1947:S1949 R1950:R1951 N1954:N1955 N1957:N1959 R1952:S1959 R1960 N1961:N1963 R1961:S1964 R1965 N1966 R1966:S1966 R1967 N1970 R1968:S1970 R1972:R1974 N1975:N1977 R1975:S1983 N1983:N1984 S1984 N1988 N1991 R1985:S1991 R1992 N1993:N1995 N1997:N1998 N2002:N2003 N2006 N2009:N2011 R1993:S2011 R2012 N2013:N2014 R2013:S2014 R2015 N2016 R2016:S2016 R2017 N2019:N2021 N2025 R2018:S2025 R2026 N2027 R2027:S2029 R2030:R2031 N2035 R2032:S2035 R2036:R2037 R2038:S2039 R2040 N2041 R2041:S2043 R2044 N2045 R2045:S2045 R2046:R2047 N2049:N2050 R2048:S2050 R2051 R2052:S2053 R2054 N2055 N2057 R2055:S2057 R2058 N2059 N2063 R2059:S2063 R2064:R2066 N2067 R2067:S2067 R2075:T2075 S2076:S2088 R2089:T2089 S2090:S2104 R2105:T2105 S2106 R2107:T2107 S2108:S2111 R2112:T2112 S2113:S2114 R2115:T2115 S2116 R2117:T2117 S2118:S2132 R2133:T2133 S2134 R2135:T2135 S2136 R2137:T2137 S2138:S2141 R2142:T2142 N2075:N2249 S2143:S2249 N2252 S2252 N2255:N2257 S2255:S2257 N2259 S2259 N2268 S2268 N2270 S2270 N2272:N2274 S2272:S2274 N2276:N2277 S2276:S2277 N2280 S2280 N2282 S2282 N2284 S2284 N2286 S2286 N2288 S2288 N2290 S2290 N2299 S2298:S2299 N2301 S2301 N2304:N2305 S2304:S2305 N2307 S2307 N2309 S2309 N2322 S2322 N2328 S2328 N2330 S2330 N2334 S2334 N2336 S2336 N2338 S2338 N2341 S2341 N2347 S2347 N2349 S2349 N2352 S2352 N2357 S2357 N2359:N2360 S2359:S2360 N2362 S2362 S2388:S2394 R2395:T2395 N2388:N2614 S2396:S2614 N2616:N2695 S2616:S2695 M2696:M2697 R2696:R2697 N2698:N2699 S2698:S2699 M2700:M2701 R2700:R2701 M2702:N2702 R2702:S2702 N2703:N2704 S2703:S2704 M2705:N2705 R2705:S2705 N2706:N2709 S2706:S2709 M2710:N2710 R2710:S2710 N2711:N2715 S2711:S2715 M2716:N2719 R2716:S2719 N2720:N2723 S2720:S2723 M2724:N2724 R2724:S2724 N2725:N2726 S2725:S2726 M2727:M2728 R2727:R2728 M2729:N2729 R2729:S2729 M2730:M2732 R2730:R2732 N2733 S2733 M2734:N2734 R2734:S2734 N2735 S2735 M2736:N2736 R2736:S2736 N2737 S2737 M2738:N2738 R2738:S2738 M2739 R2739 M2740:N2741 R2740:S2741 N2742:N2749 S2742:S2749 M2750:N2750 R2750:S2750 N2751:N2752 S2751:S2752 M2753:N2753 R2753:S2753 N2754 S2754 M2755:N2755 R2755:S2755 N2756 S2756 M2757:N2757 R2757:S2757 N2758 S2758 M2759:N2759 R2759:S2759 N2760 S2760 M2761:N2761 R2761:S2761 N2762 S2762 M2763:N2763 R2763:S2763 N2764 S2764 M2765:N2765 R2765:S2765 N2766 S2766 M2767:N2767 R2767:S2767 N2768 S2768 M2769:N2769 R2769:S2769 N2770 S2770 M2771:N2771 R2771:S2771 N2772 S2772 M2773:N2777 R2773:S2777 N2778:N2779 S2778:S2779 M2780:N2789 R2780:S2789 N2790:N2866 S2790:S2866 M2867:M2870 R2867:R2870 N2871:N2874 S2871:S2874 M2875:M2885 R2875:R2885 S2886:S3118 R3119:T3119 N2886:N3122 S3120:S3122 S3125 R3126:T3126 S3127:S3131 R3132:T3132 N3125:N3398 S3133:S3398">
      <formula1>LEFT(M61, 3) = "10."</formula1>
    </dataValidation>
    <dataValidation type="decimal" operator="lessThan" allowBlank="1" showDropDown="1" sqref="AJ61:AJ64 AS61:AS64 AJ128 AJ153:AJ154 AS153:AS154 AJ159:AJ161 AS159:AS161 AJ174:AJ177 AS177 AJ189:AJ190 AP189:AP190 AS269 AJ270 AJ486:AJ491 AS486:AS491 AJ493:AJ496 AS493:AS496 AS536:AS550 AJ552 AS552 AJ554 AJ556:AJ561 AS556:AS561 AJ563 AS563 AJ565 AS565 AJ567:AJ572 AS567:AS572 AI593:AI597 AR593:AS597 AJ605:AJ607 AJ609 AS609 AJ645 AS645 AJ657:AJ662 AS657:AS662 AJ679:AJ699 AI700:AJ700 AS679:AS701 AJ701:AJ728 AS703:AS728 AS736 AR737:AS737 AJ734:AJ738 AS738 AS740:AS741 AJ740:AJ742 AR742:AS742 AR743:AR744 AJ745 AS745 AJ747:AJ749 AI750:AJ750 AS747:AS750 AJ753 AS753 AJ755:AJ757 AS755:AS757 AJ761 AS760:AS761 AJ765:AJ766 AS765:AS766 AS772:AS775 AS777 AJ772:AJ783 AS779:AS783 AS786:AS789 AJ786:AJ792 AS792 AJ803:AJ804 AS803:AS813 AP814 AS815:AS843 AJ807:AJ844 AJ847 AS846:AS847 AJ849:AJ850 AS849:AS850 AJ852 AS852 AS854:AS857 AJ854:AJ860 AS859:AS860 AS865 AJ865:AJ871 AS867:AS871 AS875:AS877 AJ876:AJ879 AJ883:AJ889 AS883:AS889 AJ891 AJ894:AJ895 AS894:AS895 AS897:AS902 AS905:AS908 AJ897:AJ912 AS911:AS912 AJ914:AJ915 AS914:AS917 AJ919:AJ920 AS919:AS920 AJ923 AS923 AJ926:AJ934 AS926:AS934 AS936:AS939 AJ936:AJ940 AS942:AS946 AJ942:AJ954 AS948:AS954 AJ956:AJ975 AS956:AS975 AJ977:AJ978 AJ980 AS977:AS980 AJ989 AJ991 AS990:AS991 AS993 AJ994 AS996:AS997 AJ996:AJ1001 AS999:AS1001 AJ1008:AJ1011 AJ1013:AJ1015 AS1009:AS1015 AS1018:AS1021 AS1023:AS1024 AS1026:AS1029 AS1031 AJ1018:AJ1034 AS1036 AS1038 AJ1039 AS1040 AS1042 AS1044 AS1046:AS1051 AJ1045:AJ1052 AS1053:AS1058 AJ1054:AJ1061 AS1061 AJ1064:AJ1070 AS1063:AS1070 AJ1072 AS1072 AS1074 AJ1075:AJ1078 AS1076:AS1078 AS1080 AS1083:AS1086 AJ1083:AJ1088 AS1088 AJ1090:AJ1094 AJ1096:AJ1100 AS1090:AS1100 AS1104 AS1106:AS1110 AS1112 AS1117 AS1119:AS1129 AJ1103:AJ1140 AS1132:AS1141 AJ1144:AJ1146 AS1143:AS1146 AS1148:AS1155 AJ1149:AJ1156 AS1157:AS1189 AS1191 AJ1158:AJ1197 AS1193:AS1197 AJ1200 AS1200 AJ1202 AS1202 AJ1204 AS1204 AJ1206 AS1206 AS1208 AJ1210 AS1210 AS1212 AJ1214 AS1214 AS1216 AJ1218 AS1218 AJ1222 AJ1224 AJ1228 AJ1230 AJ1232 AJ1234 AJ1236:AJ1278 AI1279:AJ1283 AS1236:AS1283 AJ1295:AJ1296 AS1295:AS1296 AJ1321 AS1321 AJ1324 AS1324 AJ1326 AS1326 AJ1328 AS1328 AS1339:AS1340 AS1341:AT1341 AS1342 AS1343:AT1343 AJ1339:AJ1345 AS1344:AS1345 AI1348:AJ1348 AS1348:AS1352 AJ1349:AJ1353 AS1353:AT1353 AI1354:AJ1354 AJ1355 AS1354:AS1355 AJ1356:AK1356 AS1356:AT1356 AI1357:AJ1359 AJ1360 AS1357:AS1360 AJ1361:AK1361 AS1361:AT1361 AJ1364:AJ1365 AJ1366:AK1366 AJ1367:AJ1368 AJ1369:AK1369 AJ1370:AJ1372 AS1364:AS1372 AJ1373:AK1373 AS1373:AT1373 AJ1374:AJ1375 AI1376:AJ1376 AJ1377:AJ1379 AS1374:AS1379 AJ1385:AJ1386 AI1387:AJ1388 AJ1389 AI1390:AJ1390 AJ1391 AI1392:AJ1392 AJ1393:AJ1395 AI1396:AJ1396 AJ1397:AJ1400 AS1385:AS1400 AJ1402 AS1402 AI1404:AJ1404 AJ1405 AI1406:AJ1406 AJ1407 AS1404:AS1407 AJ1411:AJ1425 AS1411:AS1425 AJ1431:AJ1433 AS1431:AS1433 AJ1435:AJ1437 AS1435:AS1437 AJ1440:AJ1443 AS1440:AS1443 AJ1445:AJ1446 AS1445:AS1446 AJ1450 AS1450 AJ1454 AS1454 AE1478 AI1478:AJ1478 AJ1479 AI1480:AJ1480 AJ1481:AJ1485 AI1486:AJ1486 AJ1487:AJ1492 AI1493:AJ1493 AJ1494:AJ1496 AI1497:AJ1497 AJ1498 AI1499:AJ1499 AJ1500 AS1478:AS1500 AJ1579:AJ1581 AS1579:AS1581 BC1680 AS1658:AS1681 AJ1658:AJ1726 AJ1728:AJ1861 AS1684:AS1861 AE1915 AI1914:AI1915 AI1916:AJ1916 AI1917 AI1918:AJ1919 AJ1920:AJ1921 AI1922:AJ1923 AS1922:AS1923 AI1925 AI1926:AJ1927 AJ1928 AI1929:AJ1930 AJ1931:AJ1932 AI1933:AJ1935 AJ1936 AI1937:AJ1939 AI1940 AI1941:AJ1941 AJ1942 AI1943:AJ1944 AI1945 AI1946:AJ1946 AJ1947 AI1948:AJ1949 AS1926:AS1949 AJ1950:AJ1951 AI1952:AI1953 AJ1954 AI1955:AJ1955 AI1956 AJ1957 AI1958:AJ1958 AJ1959:AJ1960 AI1961:AJ1961 AJ1962:AJ1963 AI1964 AJ1965:AJ1966 AI1967:AJ1967 AI1968:AI1969 AJ1970:AJ1971 AI1972:AJ1972 AJ1973:AJ1974 AI1975:AJ1977 AI1978:AI1979 AI1980:AJ1980 AI1981:AI1982 AI1983:AJ1983 AJ1984 AI1985:AJ1985 AI1986:AI1987 AJ1988 AI1989:AJ1989 AI1990 AJ1991:AJ1992 AI1993:AJ1993 AJ1994:AJ1995 AI1996 AJ1997:AJ1998 AI1999:AJ1999 AI2000:AI2001 AJ2002:AJ2003 AI2004:AI2005 AI2006:AJ2006 AI2007 AJ2008 AI2009:AJ2011 AJ2012:AJ2013 AI2014:AJ2014 AJ2015:AJ2016 AI2017:AI2018 AI2019:AJ2019 AJ2020:AJ2021 AI2022:AI2023 AI2024:AJ2025 AJ2026:AJ2027 AI2028:AJ2029 AJ2030 AI2031 AI2032:AJ2032 AI2033:AI2034 AJ2035:AJ2036 AI2037:AJ2038 AI2039 AJ2040 AI2041:AJ2041 AI2042 AI2043:AJ2043 AJ2044 AI2045:AJ2045 AJ2046:AJ2047 AI2048:AJ2048 AJ2049 AI2050:AJ2050 AJ2051 AI2052:AJ2052 AI2053 AJ2054:AJ2055 AI2056 AI2057:AJ2057 AJ2058:AJ2059 AI2060:AI2061 AI2062:AJ2062 AJ2063:AJ2064 AI2065 AI2066:AJ2066 AJ2067 AS1951:AS2067 AI2075:AJ2075 AS2075:AS2084 AJ2076:AJ2088 AI2089:AJ2089 AS2086:AS2089 AS2090:AT2090 AJ2090:AJ2111 AI2112:AJ2112 AJ2113:AJ2116 AI2117:AJ2117 AJ2118:AJ2134 AI2135:AJ2135 AJ2136 AI2137:AJ2137 AJ2138:AJ2141 AI2142:AJ2142 AJ2143:AJ2249 AS2091:AS2249 AJ2252 AS2252 AJ2256:AJ2257 AS2255:AS2257 AS2259 AJ2259:AJ2266 AJ2268 AS2264:AS2268 AJ2270 AS2270 AJ2272:AJ2274 AS2272:AS2274 AJ2276:AJ2277 AS2276:AS2277 AJ2280 AS2280 AJ2282 AS2282 AJ2284 AS2284 AJ2286 AS2286 AJ2288 AS2288 AJ2290 AS2290:AS2291 AJ2298:AJ2299 AS2298:AS2299 AJ2301 AS2301 AJ2304:AJ2305 AS2304:AS2305 AJ2307 AS2307 AJ2309 AS2309 AJ2322 AS2322 AS2325 AJ2328 AS2328 AJ2330 AS2330 AJ2334 AS2334 AJ2336 AS2336 AJ2338 AS2338 AJ2341 AS2341 AJ2347 AS2347 AJ2349 AS2349 AJ2352 AS2352 AJ2356:AJ2357 AS2357 AS2359:AS2360 AJ2359:AJ2362 AS2362 AJ2381 AS2381 AS2388:AT2389 AJ2388:AJ2394 AI2395:AJ2395 AS2390:AS2395 AS2396:AT2400 AS2401:AS2404 AJ2396:AJ2406 AJ2407:AK2410 AS2405:AT2410 AS2411:AS2413 AS2414:AT2415 AS2416:AS2422 AS2423:AT2426 AS2427:AS2430 AJ2411:AJ2431 AS2431:AU2431 AJ2432:AK2434 AJ2435 AJ2436:AK2441 AJ2442:AJ2469 AJ2470:AK2472 AJ2473 AJ2474:AK2479 AS2432:AS2508 AJ2480:AJ2566 AS2511:AS2566 AJ2567:AK2569 AS2567:AT2569 AJ2570:AJ2614 AS2570:AS2614 AS2616:AS2631 AS2632:AT2632 AS2633:AS2658 AG2659:AG2660 AJ2616:AJ2669 AJ2670:AK2673 AM2670:AM2673 AS2659:AT2673 AS2674:AS2676 AS2677:AT2679 AS2680:AS2685 AS2686:AT2689 AS2690:AS2692 AS2693:AT2694 AJ2674:AJ2695 AS2695 AI2696:AI2697 AR2696:AR2697 AJ2698:AJ2699 AN2698:AN2699 AS2698:AS2699 AW2698:AW2699 AI2700:AJ2701 AR2700:AS2701 AI2702 AR2702 AJ2703:AJ2704 AN2703:AN2704 AS2703:AS2704 AW2703:AW2704 AI2705 AR2705 AJ2706:AJ2709 AN2706:AN2709 AS2706:AS2709 AW2706:AW2709 AI2710 AR2710 AJ2711:AJ2715 AN2711:AN2715 AS2711:AS2715 AI2716:AJ2719 AR2716:AS2719 AG2720:AG2723 AJ2720:AJ2723 AS2720:AS2723 AI2724 AR2724 AJ2725:AJ2726 AN2725:AN2726 AW2725:AW2726 AS2725:AS2728 AI2727:AI2732 AR2729:AR2732 AJ2733 AS2733 AI2734 AR2734 AJ2735 AN2735 AS2735 AW2735 AI2736 AR2736 AJ2737 AN2737 AS2737 AW2737 AI2738:AI2739 AR2738:AR2739 AI2740:AJ2741 AR2740:AS2741 AJ2742:AJ2743 AJ2744:AK2749 AS2742:AS2749 AI2750 AR2750 AJ2751:AJ2752 AN2751:AN2752 AS2751:AS2752 AW2751:AW2752 AI2753 AR2753 AJ2754 AN2754 AS2754 AW2754 AI2755 AR2755 AJ2756 AN2756 AS2756 AW2756 AI2757 AR2757 AJ2758 AN2758 AS2758 AW2758 AI2759 AR2759 AJ2760 AN2760 AS2760 AW2760 AI2761 AR2761 AJ2762 AN2762 AS2762 AW2762 AI2763 AR2763 AJ2764 AN2764 AS2764 AW2764 AI2765 AR2765 AJ2766 AN2766 AS2766 AW2766 AI2767 AR2767 AJ2768 AN2768 AS2768 AW2768 AI2769 AR2769 AJ2770 AN2770 AS2770 AW2770 AI2771 AR2771 AJ2772 AN2772 AS2772 AW2772 AI2773:AI2777 AR2773:AR2777 AJ2778:AJ2779 AN2778:AN2779 AS2778:AS2779 AI2780:AI2789 AR2780:AR2789 AJ2790:AJ2791 AS2790:AS2791 AJ2792:AK2792 AN2791:AN2792 AS2792:AT2792 AJ2793:AJ2794 AS2793:AS2794 AJ2795:AK2795 AN2794:AN2795 AS2795:AT2795 AJ2796:AJ2797 AS2796:AS2797 AJ2798:AK2798 AN2797:AN2798 AS2798:AT2798 AN2800:AN2801 AN2803:AN2804 AN2806:AN2807 AN2809:AN2810 AJ2799:AJ2811 AS2799:AS2811 AJ2812:AK2812 AS2812:AT2812 AN2812:AN2813 AJ2813:AJ2814 AS2813:AS2814 AJ2815:AK2815 AS2815:AT2815 AN2815:AN2816 AJ2816:AJ2817 AS2816:AS2817 AJ2818:AK2819 AN2818:AN2819 AS2818:AT2819 AJ2820 AS2820 AJ2821:AK2822 AN2821:AN2822 AS2821:AT2822 AJ2823 AS2823 AJ2824:AK2825 AN2824:AN2825 AS2824:AT2825 AJ2826 AS2826 AJ2827:AK2828 AN2827:AN2828 AS2827:AT2828 AJ2829 AS2829 AN2830:AN2831 AN2833:AN2834 AJ2830:AK2835 AS2830:AT2835 AJ2836:AJ2837 AN2836:AN2837 AS2836:AS2837 AJ2838:AK2838 AS2838:AT2838 AJ2839:AJ2840 AN2839:AN2840 AS2839:AS2840 AJ2841:AK2841 AS2841:AT2841 AJ2842:AJ2843 AN2842:AN2843 AS2842:AS2843 AJ2844:AK2844 AS2844:AT2844 AJ2845:AJ2846 AN2845:AN2846 AS2845:AS2846 AJ2847:AK2847 AS2847:AT2847 AJ2848 AS2848 AN2848:AN2849 AJ2849:AK2850 AS2849:AT2850 AJ2851 AS2851 AN2851:AN2852 AJ2852:AK2855 AS2852:AT2855 AJ2856 AS2856 AJ2857:AK2858 AS2857:AT2858 AJ2859 AS2859 AJ2860:AK2861 AS2860:AT2861 AJ2862 AS2862 AJ2863:AK2864 AS2863:AT2864 AJ2865 AS2865 AJ2866:AK2866 AN2854:AN2866 AS2866:AT2866 AW2790:AW2866 AI2867:AI2870 AR2867:AR2870 AG2872 AJ2871:AJ2874 AS2871:AS2874 AR2875:AS2876 AI2875:AJ2877 AR2877:AR2881 AI2878:AI2885 AR2883:AR2885 AJ2886:AJ3011 AJ3012:AL3012 AJ3013:AJ3016 AJ3017:AK3018 AJ3019:AJ3118 AI3119:AJ3119 AS2886:AS3119 AJ3120 AJ3121:AK3121 AS3120:AT3121 AJ3122 AS3122 AJ3125 AS3125:AT3125 AI3126:AJ3126 AJ3127:AJ3398 AS3126:AS3398">
      <formula1>1.1</formula1>
    </dataValidation>
    <dataValidation type="custom" allowBlank="1" showDropDown="1" sqref="AP183 AP657 AP1984 AP2091">
      <formula1>isnumber(#REF!)</formula1>
    </dataValidation>
    <dataValidation type="list" allowBlank="1" showErrorMessage="1" sqref="AX361 AX526 AX528 AX532 AX1647 AX1651 AX1653 AX1655 AX1657 AX2072 AX2363:AX2387">
      <formula1>#REF!</formula1>
    </dataValidation>
    <dataValidation type="list" allowBlank="1" showErrorMessage="1" sqref="AM1278:AM1283 AV1278:AV1283 AM1296 AV1296 AM1321 AV1321 AM1324 AV1324 AM1326 AV1326 AM1328 AV1328 AM1339:AM1345 AV1339:AV1345 AM1348:AM1361 AV1348:AV1361 AM1364:AM1379 AV1364:AV1379 AM1385:AM1400 AV1385:AV1400 AM1402 AV1402 AM1406 AV1404:AV1407 AM1423:AM1425 AV1423:AV1425 AM1431:AM1433 AV1431:AV1433 AM1435:AM1436 AV1435:AV1437 AM1441:AM1442 AV1441:AV1443 AM1478:AM1500 AV1478:AV1500 AM1579:AM1581 AV1579:AV1581 AM1739:AM1861 AV1739:AV1861 AM1914:AM1939 AV1914:AV1939 AM2075:AM2249 AV2075:AV2249 AM2388:AM2406 AV2388:AV2508 AU2509:AV2510 AM2411:AM2614 AV2511:AV2614 AM2616:AM2669 AM2674:AM2726 AL2727:AL2728 AM2729:AM2738 AV2616:AV2738 AL2739 AU2739 AM2740:AM2867 AV2740:AV2867 AL2868:AM2868 AU2868:AV2868 AL2869 AU2869 AV2870:AV3016 AM2870:AM3122 AV3018:AV3122 AM3125:AM3398 AV3125:AV3398">
      <formula1>#REF!</formula1>
    </dataValidation>
    <dataValidation type="list" allowBlank="1" showErrorMessage="1" sqref="D5:D6 D2125:D2136 D2514 D2522:D2523 D2608:D2609 D3185:D3193">
      <formula1>"Mariem,Roksana,Thomas,Maria,Shruti,Antony,Radoslaw,Fabienne,Daniel,Ray,Nikolay,Hakile,Raul,Alisa,Teshome,Adira,Jyoti,Maureen,Nikita,Husnain,Sarah,Alexsandr,Vidhi,Mario,Diego,Corinna,Tafere,Kamran"</formula1>
    </dataValidation>
    <dataValidation type="decimal" operator="lessThanOrEqual" allowBlank="1" showDropDown="1" sqref="AJ4:AJ60 AS4:AS60 AJ65:AJ95 AS65:AS95 AK96:AK97 AT96:AT97 AJ98:AJ123 AJ124:AK124 AJ125 AJ126:AK127 AJ129:AK129 AJ130:AJ152 AS98:AS152 AJ155:AJ158 AS155:AS158 AJ162:AJ173 AS162:AS176 AJ178:AJ188 AJ191:AJ217 AJ218:AM219 AJ220 AS178:AS220 AJ221:AM221 AS221:AV221 AS222:AS224 AS225:AV225 AJ222:AJ244 AS226:AS244 AJ245:AM245 AS245:AV245 AS246:AS247 AS248:AV248 AS249:AS266 AJ246:AJ268 AS267:AT268 AJ269:AM269 AJ271:AJ360 AS270:AS360 AS362:AS477 AS479 AJ362:AJ485 AS481:AS485 AJ492 AS492 AJ497:AJ525 AS497:AS525 AJ527 AS527 AJ529:AJ531 AS529:AS531 AJ533:AJ535 AS533:AS535 AJ538 AJ551 AS551 AJ553 AJ555 AS553:AS555 AJ562 AS562 AJ564 AS564 AJ566 AS566 AS573:AS592 AJ573:AJ604 AS598:AS604 AJ608 AS608 AJ610:AJ644 AS610:AS644 AJ646:AJ656 AS646:AS656 AJ663:AJ678 AS663:AS678 AS702 AJ729:AJ733 AS729:AS735 AJ739 AS739 AJ743:AJ744 AS743:AS744 AJ746 AS746 AJ751:AJ752 AS751:AS752 AJ754 AS754 AJ758:AJ759 AS758:AS759 AJ762:AJ764 AS762:AS764 AJ767:AJ771 AS767:AS771 AS776 AS778 AJ784:AJ785 AS784:AS785 AS790:AS791 AJ793:AJ802 AS793:AS802 AJ805:AJ806 AS814 AS844:AS845 AJ845:AJ846 AJ848 AS848 AJ851 AS851 AJ853 AS853 AS858 AR925:AR926 AS1030 AS1033:AS1034 AS1045 AS1075 AS1087 AS1089 AS1101 AS1103 AS1105 AS1111 AS1113:AS1116 AS1118 AS1130 AS1156 AS1190 AJ1198:AJ1199 AS1198:AS1199 AJ1201 AS1201 AJ1203 AS1203 AJ1205 AS1205 AS1207 AJ1207:AJ1209 AS1209 AS1211 AJ1211:AJ1213 AS1213 AS1215 AJ1215:AJ1217 AS1217 AJ1219:AJ1221 AJ1223 AJ1225:AJ1227 AJ1229 AJ1231 AJ1233 AJ1235 AS1219:AS1235 AJ1284:AJ1294 AS1284:AS1294 AJ1297:AJ1320 AS1297:AS1320 AJ1322:AJ1323 AS1322:AS1323 AJ1325 AS1325 AJ1327 AS1327 AJ1329:AJ1338 AS1329:AS1338 AJ1346:AJ1347 AS1346:AS1347 AJ1362:AJ1363 AS1362:AS1363 AJ1380:AJ1384 AS1380:AS1384 AJ1401 AS1401 AJ1403 AS1403 AW1408 AJ1408:AJ1410 AS1408:AS1410 AW1410 AJ1426:AJ1430 AS1426:AS1430 AJ1434 AS1434 AJ1438:AJ1439 AS1438:AS1439 AJ1444 AS1444 AJ1447:AJ1449 AS1447:AS1449 AJ1451:AJ1453 AS1451:AS1453 AJ1455:AJ1477 AS1455:AS1477 AJ1501:AJ1578 AS1501:AS1578 AJ1582:AJ1646 AS1582:AS1646 AJ1648:AJ1650 AS1648:AS1650 AJ1652 AS1652 AJ1654 AS1654 AJ1656 AS1656 AJ1862:AJ1913 AS1862:AS1919 AS1924:AS1925 AJ1940 AJ1945 AJ1952:AJ1953 AJ1956 AJ1964 AJ1968:AJ1969 AJ1978:AJ1979 AJ1981:AJ1982 AJ1986:AJ1987 AJ1990 AJ1996 AJ2000:AJ2001 AJ2004:AJ2005 AJ2007 AJ2017:AJ2018 AJ2022:AJ2023 AJ2031 AJ2033:AJ2034 AJ2039 AJ2042 AJ2053 AJ2056 AJ2060:AJ2061 AJ2065 AJ2068:AJ2071 AS2068:AS2071 AJ2073:AJ2074 AS2073:AS2074 AJ2250:AJ2251 AS2250:AS2251 AR2252:AR2274 AI2275:AI2296 AR2297 AI2298 AI2310:AI2320 AR2299:AR2326 AR2335 AR2337:AR2341 AR2343 AP2344 AP2352 AR2345:AR2362 AJ2615 AS2615 AJ3123:AJ3124 AS3123:AS3124">
      <formula1>1.0</formula1>
    </dataValidation>
    <dataValidation type="list" allowBlank="1" showErrorMessage="1" sqref="AL1278:AL1283 AU1278:AU1283 AL1296 AU1296 AL1321 AU1321 AL1324 AU1324 AL1326 AU1326 AL1328 AU1328 AL1339:AL1345 AU1339:AU1345 AL1348:AL1361 AU1348:AU1361 AL1364 AU1364 AL1366:AL1367 AU1366:AU1367 AL1369:AL1370 AU1369:AU1370 AL1373:AL1374 AU1373:AU1374 AL1376:AL1379 AU1376:AU1379 AL1385:AL1400 AU1385:AU1400 AL1402 AU1402 AL1406 AU1404:AU1407 AL1423:AL1425 AU1423:AU1425 AL1431:AL1433 AU1431:AU1433 AL1435:AL1437 AU1435:AU1437 AL1441:AL1443 AU1441:AU1443 AL1478:AL1480 AU1478:AU1480 AL1485:AL1487 AU1485:AU1487 AL1490 AU1490 AL1492:AL1493 AU1492:AU1493 AL1495 AU1495 AL1497 AU1497 AL1499 AU1499 AL1914:AL1939 AU1914:AU1939 AL2075 AU2075 AL2077:AL2090 AU2077:AU2090 AL2105 AU2105 AL2107 AU2107 AL2112 AU2112 AL2115 AU2115 AL2117:AL2133 AU2117:AU2133 AL2135 AU2135 AL2137:AL2138 AU2137:AU2138 AL2142 AU2142 AL2144:AL2145 AU2144:AU2145 AL2198 AU2198 AL2200 AU2200 AL2202 AU2202 AL2204 AU2204 AL2206 AU2206 AL2208 AU2208 AL2210 AU2210 AL2212 AU2212 AL2214 AU2214 AL2216 AU2216 AL2218 AU2218 AL2220 AU2220 AL2222 AU2222 AL2224 AU2224 AL2226 AU2226 AL2228 AU2228 AL2230 AU2230 AL2232 AU2232 AL2234 AU2234 AL2236 AU2236 AL2238 AU2238 AL2240 AU2240 AL2242 AU2242 AL2244 AU2244 AL2246 AU2246 AL2248 AU2248 AU2388:AU2430 AU2432:AU2508 AS2509:AT2510 AU2511:AU2612 AL2388:AL2614 AT2613:AU2614 AL2616:AL2726 AK2727:AK2728 AL2729:AL2738 AU2616:AU2738 AK2739 AT2739 AL2740:AL2867 AU2740:AU2867 AK2868:AK2869 AT2868:AT2869 AU2870:AU3002 AT3003:AU3003 AL2870:AL3004 AL3006:AL3011 AK3013:AL3013 AL3014:AL3121 AU3004:AU3121 AL3125:AL3398 AU3125:AU3398">
      <formula1>#REF!</formula1>
    </dataValidation>
    <dataValidation type="list" allowBlank="1" showErrorMessage="1" sqref="D2:D3 D7:D2124 D2137:D2513 D2515:D2521 D2524:D2607 D2610:D2893 D2927:D3184 D3194:D3398">
      <formula1>"Mariem,Roksana,Thomas,Maria,Shruti,Antony,Radoslaw,Fabienne,Daniel,Ray,Nikolay,Hakile,Raul,Alisa,Teshome,Adira,Jyoti,Maureen,Nikita,Husnain,Sarah,Alexsandr,Vidhi,Mario,Diego,Corinna,Tafere,Kamran,Baha"</formula1>
    </dataValidation>
    <dataValidation type="list" allowBlank="1" showErrorMessage="1" sqref="Z4:Z360 Z362:Z525 Z527 Z529:Z531 Z533:Z1277 Z1284:Z1295 Z1297:Z1320 Z1322:Z1323 Z1325 Z1327 Z1329:Z1338 Z1346:Z1347 Z1362:Z1363 Z1380:Z1384 Z1401 Z1403 Z1408:Z1422 Z1426:Z1430 Z1434 Z1438:Z1440 Z1444:Z1477 Z1501:Z1578 Z1582:Z1646 Z1648:Z1650 Z1652 Z1654 Z1656 Z1658:Z1738 Z1862:Z1913 Z1940:Z2071 Z2073:Z2074 Z2250:Z2362 Z2615 Z3123:Z3124">
      <formula1>'Data validation'!$G$2:$G$20</formula1>
    </dataValidation>
    <dataValidation type="list" allowBlank="1" showErrorMessage="1" sqref="AL4:AL95 AU4:AU95 AM96:AM97 AV96:AV97 AL98:AL217 AL220 AU98:AU220 AU222:AU224 AL222:AL244 AU226:AU244 AU246:AU247 AL246:AL268 AL270:AL360 AU249:AU360 AL362:AL525 AU362:AU525 AL527 AU527 AL529:AL531 AU529:AU531 AL533:AL1277 AU533:AU1277 AL1284:AL1295 AU1284:AU1295 AL1297:AL1320 AU1297:AU1320 AL1322:AL1323 AU1322:AU1323 AL1325 AU1325 AL1327 AU1327 AL1329:AL1338 AU1329:AU1338 AL1346:AL1347 AU1346:AU1347 AL1362:AL1363 AU1362:AU1363 AL1365 AU1365 AL1368 AU1368 AL1371:AL1372 AU1371:AU1372 AL1375 AU1375 AL1380:AL1384 AU1380:AU1384 AL1401 AU1401 AU1403 AL1403:AL1405 AL1407:AL1422 AU1408:AU1422 AL1426:AL1430 AU1426:AU1430 AL1434 AU1434 AL1438:AL1440 AU1438:AU1440 AL1444:AL1477 AU1444:AU1477 AL1481:AL1484 AU1481:AU1484 AL1488:AL1489 AU1488:AU1489 AL1491 AU1491 AL1494 AU1494 AL1496 AU1496 AL1498 AU1498 AL1500:AL1646 AU1500:AU1646 AL1648:AL1650 AU1648:AU1650 AL1652 AU1652 AL1654 AU1654 AL1656 AU1656 AL1658:AL1913 AU1658:AU1913 AL1940:AL2071 AU1940:AU2071 AL2073:AL2074 AU2073:AU2074 AL2076 AU2076 AL2091:AL2104 AU2091:AU2104 AL2106 AU2106 AL2108:AL2111 AU2108:AU2111 AL2113:AL2114 AU2113:AU2114 AL2116 AU2116 AL2134 AU2134 AL2136 AU2136 AL2139:AL2141 AU2139:AU2141 AL2143 AU2143 AL2146:AL2197 AU2146:AU2197 AL2199 AU2199 AL2201 AU2201 AL2203 AU2203 AL2205 AU2205 AL2207 AU2207 AL2209 AU2209 AL2211 AU2211 AL2213 AU2213 AL2215 AU2215 AL2217 AU2217 AL2219 AU2219 AL2221 AU2221 AL2223 AU2223 AL2225 AU2225 AL2227 AU2227 AL2229 AU2229 AL2231 AU2231 AL2233 AU2233 AL2235 AU2235 AL2237 AU2237 AL2239 AU2239 AL2241 AU2241 AL2243 AU2243 AL2245 AU2245 AL2247 AU2247 AL2249:AL2362 AU2249:AU2362 AL2615 AU2615 AL3005 AL3122:AL3124 AU3122:AU3124">
      <formula1>'Data validation'!$E$2:$E$4</formula1>
    </dataValidation>
    <dataValidation type="custom" allowBlank="1" showDropDown="1" sqref="N657 S657 R1359 R1971 R1984">
      <formula1>LEFT(#REF!, 3) = "10."</formula1>
    </dataValidation>
    <dataValidation type="list" allowBlank="1" showErrorMessage="1" sqref="C3:C3398">
      <formula1>'Data validation'!$O$2:$O$4</formula1>
    </dataValidation>
    <dataValidation type="list" allowBlank="1" sqref="Z361 Z526 Z528 Z532 Z1647 Z1651 Z1653 Z1655 Z1657 Z2072 Z2363:Z2387">
      <formula1>#REF!</formula1>
    </dataValidation>
    <dataValidation type="custom" allowBlank="1" showDropDown="1" showErrorMessage="1" sqref="I61:I64 I128:I129 I153:J154 I159:J161 I174:I177 I189:J190 J265:J266 I269:J269 I270 I486:J491 I493:J496 I536:J550 I552:J552 I554 I556:J561 I563:J563 I565 I567:I569 I570:J572 H593:I597 I605:J607 I609:J609 I645:J645 I657:J662 I679:J921 J922 I923:J924 J925 I926:J1197 I1200 I1202 I1204 I1206 I1208 I1210 I1212 I1214 I1216 I1218 I1220 I1222 I1224 I1226 I1228 I1230 I1232 I1234 I1236:J1277 I1295:J1296 I1321 I1324 I1326 I1328 I1339:I1343 I1345 I1349:I1350 I1352:I1353 I1355:I1356 I1360:I1361 I1364:I1375 I1386 I1389 I1391 I1393 I1395 I1397 I1399 I1400:J1400 I1402:J1402 I1405 I1407 I1411:I1413 I1414:J1422 I1423:I1425 I1430 I1431:J1433 I1434:I1437 I1440:I1443 I1445:I1446 I1450 I1454 I1481:I1484 I1488:I1489 I1491 I1494 I1496 I1498 I1500 I1579:I1581 I1658:J1738 I1739:I1861 I2076:I2088 I2090:I2104 I2106 I2108:I2111 I2113:I2114 I2116 I2118:I2132 I2134 I2136 I2138:I2141 I2143:I2249 I2252:J2252 J2253:J2254 I2255:J2257 J2258 I2259:J2260 J2261 I2262:J2262 J2263 I2264:J2264 J2265:J2267 I2268:J2268 J2269 I2270:J2270 J2271 I2272:J2274 J2275 I2276:J2277 J2279 I2280:J2280 J2281 I2282:J2282 J2283 I2284:J2284 J2285 I2286:J2286 J2287 I2288:J2288 J2289 I2290:J2290 J2291:J2297 I2298:J2299 J2300 I2301:J2301 J2302:J2303 I2304:J2309 I2321:J2322 J2323:J2326 I2327:J2330 J2333 I2334:J2334 J2335 I2336:J2336 J2337 I2338:J2338 J2339:J2340 I2341:J2342 J2343 I2344:J2344 J2345:J2346 I2347:J2347 J2348 I2349:J2349 J2350:J2351 I2352:J2352 J2353:J2356 I2357:J2357 J2358 I2359:J2360 J2361 I2362:J2362 I2388:I2394 I2396:I2614 I2616:I2695 H2696:H2697 I2698:I2699 H2700:H2701 H2702:I2702 I2703:I2704 H2705:J2705 I2706:I2709 H2710:J2710 I2711 I2712:J2712 I2713 I2714:J2714 I2715 H2716:J2719 I2720:J2723 H2724:J2724 I2725:I2726 H2727:H2728 H2729:J2729 H2730:H2732 I2733 H2734:J2734 I2735 H2736:J2736 I2737 H2738:J2738 H2739 H2740:J2741 I2742:I2749 H2750:J2750 I2751:J2752 H2753:J2753 I2754:J2754 H2755:J2755 I2756:J2756 H2757:J2757 I2758:J2758 H2759:J2759 I2760:J2760 H2761:J2761 I2762:J2762 H2763:J2763 I2764:J2764 H2765:J2765 I2766:J2766 H2767:J2767 I2768:J2768 H2769:J2769 I2770:J2770 H2771:J2771 I2772:J2772 H2773:J2777 I2778 I2779:J2779 H2780:I2780 H2781:J2781 H2782:I2782 H2783:J2783 H2784:I2784 H2785:J2785 H2786:I2786 H2787:J2787 H2788:I2788 H2789:J2789 I2790 I2791:J2791 I2792 I2793:J2793 I2794 I2795:J2795 I2796 I2797:J2797 I2798 I2799:J2799 I2800 I2801:J2801 I2802 I2803:J2803 I2804 I2805:J2805 I2806 I2807:J2807 I2808 I2809:J2809 I2810 I2811:J2811 I2812 I2813:J2813 I2814 I2815:J2815 I2816 I2817:J2817 I2818 I2819:J2819 I2820 I2821:J2821 I2822 I2823:J2823 I2824 I2825:J2825 I2826 I2827:J2827 I2828 I2829:J2829 I2830 I2831:J2831 I2832 I2833:J2833 I2834 I2835:J2835 I2836 I2837:J2837 I2838 I2839:J2839 I2840 I2841:J2841 I2842 I2843:J2843 I2844 I2845:J2845 I2846 I2847:J2847 I2848 I2849:J2849 I2850 I2851:J2851 I2852 I2853:J2853 I2854 I2855:J2855 I2856 I2857:J2857 I2858 I2859:J2859 I2860 I2861:J2861 I2862 I2863:J2863 I2864 I2865:J2865 I2866 J2867 H2867:H2870 I2871:I2874 H2875:H2885 I2886:I3118 I3120:I3122 I3127:I3131 I3133:I3398">
      <formula1>OR(NOT(ISERROR(DATEVALUE(H61))), AND(ISNUMBER(H61), LEFT(CELL("format", H61))="D"))</formula1>
    </dataValidation>
    <dataValidation type="list" allowBlank="1" sqref="AH1279 AH1281 AH1283 AH1340:AH1345 AH1348:AH1361 AH1364 AH1366:AH1367 AH1369:AH1370 AH1373:AH1374 AH1376:AH1379 AH1386 AH1388:AH1399 AH1404:AH1407 AH1478 AH1480 AH1485:AH1487 AH1490 AH1492:AH1493 AH1495 AH1497 AH1499 AH2075:AH2089 AH2105 AH2107 AH2115 AH2118:AH2133 AH2135 AH2137:AH2138 AH2142 AH2144:AH2145 AH2198 AQ2198 AH2200 AQ2200 AH2202 AQ2202 AH2204 AQ2204 AH2206 AQ2206 AH2208 AQ2208 AH2210 AQ2210 AH2212 AQ2212 AH2214 AQ2214 AH2216 AQ2216 AH2218 AQ2218 AH2220 AQ2220 AH2222 AQ2222 AH2224 AQ2224 AH2226 AQ2226 AH2228 AQ2228 AH2230 AQ2230 AQ2232 AQ2234 AH2236 AQ2236 AH2238 AQ2238 AH2240 AQ2240 AH2242 AQ2242 AH2244 AQ2244 AH2246 AQ2246 AH2248 AQ2248 AH2388:AH2440 AH2442:AH2478 AH2480:AH2510 AH2513:AH2514 AH2518:AH2523 AH2526:AH2538 AH2540 AH2542:AH2561 AH2563:AH2582 AH2585 AH2587:AH2604 AH2616:AH2695 AG2696:AH2697 AH2698:AH2699 AG2700:AH2702 AH2703:AH2704 AG2705:AH2705 AH2706:AH2709 AG2710:AH2710 AH2711:AH2715 AG2716:AH2719 AH2720:AH2723 AG2724:AH2724 AH2725:AH2726 AG2727:AG2728 AG2729:AH2732 AH2733 AG2734:AH2734 AH2735 AG2736:AH2736 AH2737 AG2738:AH2738 AG2739 AG2740:AH2741 AH2742:AH2749 AG2750:AH2750 AH2751:AH2752 AG2753:AH2753 AH2754 AG2755:AH2755 AH2756 AG2757:AH2757 AH2758 AG2759:AH2759 AH2760 AG2761:AH2761 AH2762 AG2763:AH2763 AH2764 AG2765:AH2765 AH2766 AG2767:AH2767 AH2768 AG2769:AH2769 AH2770 AG2771:AH2771 AH2772 AG2773:AH2777 AH2778:AH2779 AG2780:AH2789 AH2790:AH2866 AG2867:AH2868 AG2869 AG2870:AH2870 AH2871:AH2874 AG2875:AH2885 AQ2927 AH2886:AH2961 AH2963:AH2977 AH2979:AH3121 AH3125 AH3127:AH3132 AH3135:AH3398">
      <formula1>#REF!</formula1>
    </dataValidation>
    <dataValidation type="list" allowBlank="1" sqref="AR558 AR561 AP593:AP597 AH1296 AQ1296 AH1321 AH1324 AH1326 AQ1326 AH1328 AQ1328 AH1339 AQ1339 AQ1365 AQ1368 AQ1371:AQ1372 AQ1375 AQ1400 AQ1402 AQ1405 AQ1407 AQ1423:AQ1424 AH1432 AQ1431:AQ1433 AQ1435:AQ1437 AQ1441 AQ1481:AQ1484 AQ1488:AQ1492 AQ1494 AQ1496 AQ1498 AQ1500 AQ1579:AQ1581 AQ1739:AQ1861 AH1917 AH1920:AH1921 AH1924 AH1928 AH1931:AH1932 AH1936 AH1938 AQ1914:AQ1939 AQ2076 AQ2090:AQ2098 AQ2100:AQ2103 AQ2106 AQ2108:AQ2111 AQ2113:AQ2114 AQ2116 AQ2126 AQ2134 AQ2136 AQ2138:AQ2141 AQ2143 AQ2146:AQ2164 AQ2166:AQ2178 AQ2180:AQ2182 AQ2184:AQ2197 AQ2199 AQ2201 AQ2203 AQ2205 AQ2207 AQ2209 AQ2211 AQ2213 AQ2215 AQ2217 AQ2219 AQ2221 AQ2223 AQ2225 AQ2227 AQ2229 AQ2231 AQ2233 AQ2235 AQ2237 AQ2239 AQ2241 AQ2243 AQ2245 AQ2247 AQ2249 AR2328 AR2330 AR2334 AR2336 AQ2394 AQ3122">
      <formula1>#REF!</formula1>
    </dataValidation>
    <dataValidation type="decimal" operator="greaterThan" allowBlank="1" showDropDown="1" sqref="AF361:AI361 AO361 AF526:AI526 AO526 AF528:AI528 AO528 AF532:AI532 AO532 AF922:AG922 AI922 AO922 AG923 AF925:AG925 AI925 AO925 AG926 AF1647:AI1647 AO1647 AF1651:AI1651 AO1651 AF1653:AI1653 AO1653 AF1655:AI1655 AO1655 AF1657:AI1657 AF2072:AI2072 AN2072:AO2072 AF2253:AG2254 AI2253:AI2254 AN2253:AP2254 AG2255 AN2256:AN2257 AF2258:AG2258 AI2258 AO2258 AG2259 AN2260:AO2266 AF2260:AG2267 AI2260:AI2267 AO2267 AF2269:AG2269 AI2269 AO2269 AG2270 AF2271:AG2271 AI2271 AO2271 AO2275:AP2275 AR2275 AN2278:AP2278 AO2279:AP2279 AR2278:AR2279 AO2281:AP2281 AR2281 AN2283:AP2283 AR2283 AN2284 AO2285:AP2285 AR2285 AD2287 AN2287:AO2287 AR2287 AN2289:AP2289 AR2289 AN2291:AP2296 AR2291:AR2296 AF2297:AG2297 AI2297 AN2297:AO2297 AF2300 AI2300 AN2300:AO2300 AF2302 AF2303:AG2303 AI2302:AI2303 AN2302:AO2303 AG2304 AN2304:AN2305 AF2306:AG2306 AI2306 AN2306:AO2306 AN2307 AF2308:AG2308 AI2308 AN2308:AO2308 AN2309 AF2310:AG2321 AI2321 AN2310:AO2321 AN2322 AF2323:AG2326 AF2327 AI2323:AI2327 AN2323:AO2327 AN2328 AF2329:AG2329 AI2329 AN2329:AO2329 AN2330 AF2331:AG2332 AF2333 AI2331:AI2333 AN2331:AO2333 AF2335 AI2335 AN2334:AN2336 AF2337 AF2339:AG2339 AF2340 AI2339:AI2340 AN2337:AO2340 AN2341 AF2342:AF2345 AF2346:AG2346 AI2342:AI2346 AN2342:AO2346 AG2347 AN2347 AF2348 AI2348 AN2348:AO2348 AN2349 AF2350:AG2351 AI2350:AI2351 AN2350:AO2351 AF2353:AG2355 AI2353:AI2355 AF2356 AN2353:AO2356 AN2357 AF2358:AG2358 AI2358 AN2358:AO2358 AG2359 AN2359:AN2360 AF2361:AG2361 AN2361:AO2361 AI2361:AI2362 AF2363:AI2380 AF2381 AH2381:AI2381 AF2382:AI2387 AN2363:AO2387 AN2388:AN2392 AN2394">
      <formula1>0.0</formula1>
    </dataValidation>
    <dataValidation type="list" allowBlank="1" sqref="AQ1278:AQ1283 AQ1340:AQ1345 AQ1348:AQ1361 AQ1364 AQ1366:AQ1367 AQ1369:AQ1370 AQ1373:AQ1374 AQ1377 AQ1379 AQ1386 AQ1388:AQ1393 AQ1395 AQ1399 AQ1478:AQ1480 AQ1485:AQ1487 AQ1493 AQ1495 AQ1497 AQ1499 AQ2075 AQ2077:AQ2078 AQ2081:AQ2089 AQ2105 AQ2107 AQ2112 AQ2115 AQ2118:AQ2121 AQ2123:AQ2125 AQ2127:AQ2133 AQ2135 AQ2137 AQ2142 AQ2144:AQ2145 AQ2388:AQ2392 AQ2396:AQ2510 AQ2513:AQ2538 AQ2540 AQ2542:AQ2604 AQ2616:AQ2695 AP2696:AQ2697 AQ2698:AQ2701 AP2702:AQ2702 AQ2703:AQ2704 AP2705:AQ2705 AQ2706:AQ2709 AP2710:AQ2710 AQ2711:AQ2715 AP2716:AQ2719 AQ2720:AQ2723 AP2724:AQ2724 AQ2725:AQ2726 AP2729:AQ2731 AP2732 AQ2733 AP2734:AQ2734 AQ2735 AP2736:AQ2736 AQ2737 AP2738:AQ2738 AP2739 AP2740:AQ2741 AQ2742:AQ2749 AP2750:AQ2750 AQ2751:AQ2752 AP2753:AQ2753 AQ2754 AP2755:AQ2755 AQ2756 AP2757:AQ2757 AQ2758 AP2759:AQ2759 AQ2760 AP2761:AQ2761 AQ2762 AP2763:AQ2763 AQ2764 AP2765:AQ2765 AQ2766 AP2767:AQ2767 AQ2768 AP2769:AQ2769 AQ2770 AP2771:AQ2771 AQ2772 AP2773:AQ2777 AQ2778:AQ2779 AP2780:AQ2789 AQ2790:AQ2866 AP2867:AQ2868 AP2869 AP2870:AQ2870 AQ2871:AQ2877 AP2878:AQ2881 AQ2882 AP2883:AQ2885 AQ2886:AQ2926 AQ2928:AQ3065 AP3066:AQ3066 AQ3067:AQ3068 AP3069:AQ3072 AQ3073:AQ3121 AQ3125 AQ3127:AQ3398">
      <formula1>#REF!</formula1>
    </dataValidation>
    <dataValidation type="list" allowBlank="1" showErrorMessage="1" sqref="AX1278:AX1283 AX1296 AX1321 AX1324 AX1326 AX1328 AX1339:AX1345 AX1348:AX1361 AX1364:AX1379 AX1385:AX1400 AX1402 AX1404:AX1407 AX1423:AX1425 AX1431:AX1433 AX1435:AX1437 AX1441:AX1443 AX1478:AX1500 AX1579:AX1581 AX1739:AX1861 AX1914:AX1939 AX2075:AX2249 AX2388:AX2614 AX2616:AX2695 AW2696:AX2697 AX2698:AX2699 AW2700:AX2702 AX2703:AX2704 AW2705:AX2705 AX2706:AX2715 AW2716:AX2719 AX2720:AX2723 AW2724:AX2724 AX2725:AX2726 AW2727:AX2732 AX2733 AW2734:AX2734 AX2735 AW2736:AX2736 AX2737 AW2738:AX2741 AX2742:AX2749 AW2750:AX2750 AX2751:AX2752 AW2753:AX2753 AX2754 AW2755:AX2755 AX2756 AW2757:AX2757 AX2758 AW2759:AX2759 AX2760 AW2761:AX2761 AX2762 AW2763:AX2763 AX2764 AW2765:AX2765 AX2766 AW2767:AX2767 AX2768 AW2769:AX2769 AX2770 AW2771:AX2771 AX2772 AW2773:AX2777 AX2778:AX2779 AW2780:AX2789 AX2790:AX2866 AW2867:AX2870 AX2871:AX2874 AW2875:AX2885 AX2886:AX3122 AX3125:AX3398">
      <formula1>#REF!</formula1>
    </dataValidation>
    <dataValidation type="list" allowBlank="1" showErrorMessage="1" sqref="AM361 AV361 AM526 AV526 AM528 AV528 AM532 AV532 AM1647 AV1647 AM1651 AV1651 AM1653 AV1653 AM1655 AV1655 AM1657 AV1657 AM2072 AV2072 AM2363:AM2387 AV2363:AV2387">
      <formula1>#REF!</formula1>
    </dataValidation>
    <dataValidation type="list" allowBlank="1" sqref="AQ361 AQ526 AQ528 AQ532 AQ1647 AQ1651 AQ1653 AQ1655 AQ1657 AQ2072 AQ2363:AQ2380 AQ2382:AQ2387">
      <formula1>#REF!</formula1>
    </dataValidation>
    <dataValidation type="list" allowBlank="1" sqref="AQ1376 AQ1378 AQ1385 AQ1387 AQ1394 AQ1396:AQ1398 AQ1404 AQ2117 AQ2395 AQ2605:AQ2614 AQ3126">
      <formula1>#REF!</formula1>
    </dataValidation>
    <dataValidation type="custom" allowBlank="1" showDropDown="1" showErrorMessage="1" sqref="I361:J361 I526:J526 I528:J528 I532:J532 I922 I925 I1647:J1647 I1651:J1651 I1653:J1653 I1655:J1655 I1657:J1657 I2072:J2072 I2253:I2254 I2258 I2261 I2263 I2265:I2267 I2269 I2271 I2275 I2278:J2278 I2279 I2281 I2283 I2285 I2287 I2289 I2291:I2297 I2300 I2302:I2303 I2310:J2320 I2323:I2326 I2331:J2332 I2333 I2335 I2337 I2339:I2340 I2343 I2345:I2346 I2348 I2350:I2351 I2353:I2356 I2358 I2361 I2363:J2387">
      <formula1>OR(NOT(ISERROR(DATEVALUE(I361))), AND(ISNUMBER(I361), LEFT(CELL("format", I361))="D"))</formula1>
    </dataValidation>
    <dataValidation type="list" allowBlank="1" sqref="AH4:AH95 AQ4:AQ95 AH96:AI97 AR96:AR97 AH98:AH360 AQ98:AQ360 AH362:AH525 AQ362:AQ525 AH527 AQ527 AH529:AH531 AQ529:AQ531 AH533:AH1176 AQ533:AQ1277 AH1178:AH1278 AH1280 AH1282 AH1284:AH1295 AQ1285:AQ1295 AH1297:AH1320 AH1322:AH1323 AH1325 AQ1297:AQ1325 AH1327 AQ1327 AH1329:AH1338 AQ1329:AQ1338 AH1346:AH1347 AQ1346:AQ1347 AH1362:AH1363 AQ1362:AQ1363 AQ1380:AQ1384 AH1380:AH1385 AH1387 AH1401 AQ1401 AH1403 AQ1403 AQ1406 AQ1408:AQ1422 AQ1425:AQ1430 AH1408:AH1431 AQ1434 AQ1438:AQ1440 AH1433:AH1477 AQ1442:AQ1477 AH1479 AH1501:AH1578 AQ1501:AQ1578 AH1582:AH1646 AQ1582:AQ1646 AH1648:AH1650 AQ1648:AQ1650 AH1652 AQ1652 AH1654 AQ1654 AH1656 AQ1656 AH1658:AH1738 AQ1658:AQ1738 AH1807:AH1808 AH1810 AQ1862:AQ1913 AH1862:AH1916 AH1940:AH2071 AQ1940:AQ2071 AH2073:AH2074 AQ2073:AQ2074 AQ2079:AQ2080 AQ2099 AQ2104 AH2112:AH2114 AH2117 AQ2122 AQ2165 AQ2179 AQ2183 AH2232 AH2234 AH2250:AH2362 AQ2250:AQ2362 AQ2381 AQ2393 AH2511:AH2512 AQ2511:AQ2512 AH2515:AH2517 AH2524:AH2525 AH2539 AQ2539 AH2541 AQ2541 AH2562 AH2583:AH2584 AH2586 AH2615 AQ2615 AH2962 AH2978 AH3123:AH3124 AQ3123:AQ3124 AH3126 AH3133:AH3134">
      <formula1>'Data validation'!$A$2:$A$14</formula1>
    </dataValidation>
    <dataValidation type="list" allowBlank="1" sqref="Z1278:Z1283 Z1296 Z1321 Z1324 Z1326 Z1328 Z1339:Z1345 Z1348:Z1361 Z1364:Z1379 Z1385:Z1400 Z1402 Z1404:Z1407 Z1423:Z1425 Z1431:Z1433 Z1435:Z1437 Z1441:Z1443 Z1478:Z1500 Z1579:Z1581 Z1739:Z1861 Z1914:AA1914 Z1915:Z1931 Z1932:AA1932 Z1933:Z1939 Z2075:Z2249 Z2388:Z2614 Z2616:Z2695 Y2696:Z2697 Z2698:Z2699 Y2700:Z2702 Z2703:Z2704 Y2705:Z2705 Z2706:Z2709 Y2710:Z2710 Z2711:Z2715 Y2716:Z2719 Z2720:Z2723 Y2724:Z2724 Z2725:Z2726 Y2727:Z2732 Z2733 Y2734:Z2734 Z2735 Y2736:Z2736 Z2737 Y2738:Z2738 Y2739 Y2740:Z2741 Z2742:Z2749 Y2750:Z2750 Z2751:Z2752 Y2753:Z2753 Z2754 Y2755:Z2755 Z2756 Y2757:Z2757 Z2758 Y2759:Z2759 Z2760 Y2761:Z2761 Z2762 Y2763:Z2763 Z2764 Y2765:Z2765 Z2766 Y2767:Z2767 Z2768 Y2769:Z2769 Z2770 Y2771:Z2771 Z2772 Y2773:Z2777 Z2778:Z2779 Y2780:Z2789 Z2790:Z2866 Y2867:Z2870 Z2871:Z2874 Y2875:Z2885 Z2886:Z3122 Z3125:Z3398">
      <formula1>#REF!</formula1>
    </dataValidation>
    <dataValidation type="list" allowBlank="1" showErrorMessage="1" sqref="AK1278:AK1283 AT1278:AT1283 AK1296 AT1296 AK1321 AT1321 AK1324 AT1324 AK1326 AT1326 AK1328 AT1328 AT1339:AT1340 AT1344 AK1339:AK1345 AT1348:AT1351 AT1354 AK1348:AK1355 AT1357:AT1359 AK1357:AK1360 AK1364:AK1365 AK1367:AK1368 AK1370:AK1372 AT1364:AT1372 AK1374:AK1379 AT1374:AT1379 AK1385:AK1400 AT1385:AT1400 AK1402 AT1402 AK1404:AK1407 AT1404:AT1407 AK1423:AK1425 AT1423:AT1425 AK1431:AK1433 AT1431:AT1433 AK1435:AK1437 AT1435:AT1437 AK1441:AK1443 AT1441:AT1443 AK1478:AK1500 AT1478:AT1500 AK1579:AK1581 AT1579:AT1581 AK1739:AK1861 AT1739:AT1861 AK1914:AK1915 AK1917 AK1922:AK1925 AK1928:AK1939 AT1914:AT1939 AT2075:AT2084 AT2086:AT2089 AK2075:AK2249 AT2091:AT2249 AT2390:AT2395 AT2401:AT2404 AK2388:AK2406 AT2411:AT2413 AT2416:AT2422 AT2427:AT2430 AK2411:AK2431 AK2435 AK2442:AK2469 AK2473 AT2432:AT2508 AK2480:AK2566 AT2511:AT2566 AT2570:AT2612 AK2570:AK2614 AT2616:AT2631 AT2633:AT2658 AK2616:AK2669 AT2674:AT2676 AT2680:AT2685 AT2690:AT2692 AK2674:AK2695 AT2695 AJ2696:AK2697 AS2696:AT2697 AK2698:AK2701 AT2698:AT2701 AJ2702:AK2702 AS2702:AT2702 AK2703:AK2704 AT2703:AT2704 AJ2705:AK2705 AS2705:AT2705 AK2706:AK2709 AT2706:AT2709 AJ2710:AK2710 AS2710:AT2710 AK2711:AK2723 AT2711:AT2723 AJ2724:AK2724 AS2724:AT2724 AK2725:AK2726 AJ2727:AJ2728 AT2725:AT2728 AJ2729:AK2732 AS2729:AT2732 AK2733 AT2733 AJ2734:AK2734 AS2734:AT2734 AK2735 AT2735 AJ2736:AK2736 AS2736:AT2736 AK2737 AT2737 AJ2738:AK2738 AS2738:AT2738 AJ2739 AS2739 AK2740:AK2743 AT2740:AT2749 AJ2750:AK2750 AS2750:AT2750 AK2751:AK2752 AT2751:AT2752 AJ2753:AK2753 AS2753:AT2753 AK2754 AT2754 AJ2755:AK2755 AS2755:AT2755 AK2756 AT2756 AJ2757:AK2757 AS2757:AT2757 AK2758 AT2758 AJ2759:AK2759 AS2759:AT2759 AK2760 AT2760 AJ2761:AK2761 AS2761:AT2761 AK2762 AT2762 AJ2763:AK2763 AS2763:AT2763 AK2764 AT2764 AJ2765:AK2765 AS2765:AT2765 AK2766 AT2766 AJ2767:AK2767 AS2767:AT2767 AK2768 AT2768 AJ2769:AK2769 AS2769:AT2769 AK2770 AT2770 AJ2771:AK2771 AS2771:AT2771 AK2772 AT2772 AJ2773:AK2777 AS2773:AT2777 AK2778:AK2779 AT2778:AT2779 AJ2780:AK2789 AS2780:AT2789 AK2790:AK2791 AT2790:AT2791 AK2793:AK2794 AT2793:AT2794 AK2796:AK2797 AT2796:AT2797 AK2799:AK2811 AT2799:AT2811 AK2813:AK2814 AT2813:AT2814 AK2816:AK2817 AT2816:AT2817 AK2820 AT2820 AK2823 AT2823 AK2826 AT2826 AK2829 AT2829 AK2836:AK2837 AT2836:AT2837 AK2839:AK2840 AT2839:AT2840 AK2842:AK2843 AT2842:AT2843 AK2845:AK2846 AT2845:AT2846 AK2848 AT2848 AK2851 AT2851 AK2856 AT2856 AK2859 AT2859 AK2862 AT2862 AK2865 AT2865 AJ2867:AK2867 AS2867:AT2867 AJ2868:AJ2869 AS2868:AS2869 AJ2870:AK2870 AS2870:AT2870 AT2871:AT2876 AK2871:AK2877 AS2877:AT2881 AT2882 AJ2878:AK2885 AS2883:AT2885 AT2886:AT3002 AK2886:AK3011 AK3014:AK3016 AT3004:AT3119 AK3019:AK3120 AK3122 AT3122 AK3125:AK3398 AT3126:AT3398">
      <formula1>#REF!</formula1>
    </dataValidation>
    <dataValidation type="custom" allowBlank="1" showDropDown="1" sqref="AP361 AP526 AP528 AP532 AP925 AP1647 AP1651 AP1653 AP1655 AP1657 AP2072 AP2258:AP2267 AP2271 AP2297 AP2300 AP2302:AP2303 AP2306 AP2308 AP2310:AP2321 AP2323 AP2325:AP2326 AP2329 AP2331 AP2346 AP2350:AP2351 AP2353:AP2356 AP2358 AP2361 AP2363:AP2380">
      <formula1>ISNUMBER(AP361)</formula1>
    </dataValidation>
    <dataValidation type="list" allowBlank="1" showErrorMessage="1" sqref="AK361 AT361 AK526 AT526 AK528 AT528 AK532 AT532 AK1647 AT1647 AK1651 AT1651 AK1653 AT1653 AK1655 AT1655 AK1657 AT1657 AK2072 AT2072 AK2363:AK2380 AK2382:AK2387 AT2363:AT2387">
      <formula1>#REF!</formula1>
    </dataValidation>
    <dataValidation type="list" allowBlank="1" showErrorMessage="1" sqref="AX4:AX95 AX98:AX360 AX362:AX525 AX527 AX529:AX531 AX533:AX1277 AX1284:AX1295 AX1297:AX1320 AX1322:AX1323 AX1325 AX1327 AX1329:AX1338 AX1346:AX1347 AX1362:AX1363 AX1380:AX1384 AX1401 AX1403 AX1408:AX1422 AX1426:AX1430 AX1434 AX1438:AX1440 AX1444:AX1477 AX1501:AX1578 AX1582:AX1646 AX1648:AX1650 AX1652 AX1654 AX1656 AX1658:AX1738 AX1862:AX1913 AX1940:AX2071 AX2073:AX2074 AX2250:AX2362 AX2615 AX3123:AX3124">
      <formula1>'Data validation'!$Q$2:$Q$5</formula1>
    </dataValidation>
    <dataValidation type="list" allowBlank="1" showErrorMessage="1" sqref="AK4:AK95 AT4:AT95 AL96:AL97 AU96:AU97 AK98:AK123 AK125 AK128 AK130:AK217 AK220 AT98:AT220 AT222:AT224 AK222:AK244 AT226:AT244 AT246:AT247 AT249:AT266 AK246:AK268 AK270:AK360 AT269:AT360 AK362:AK525 AT362:AT525 AK527 AT527 AK529:AK531 AT529:AT531 AK533:AK1277 AT533:AT1277 AK1284:AK1295 AT1284:AT1295 AK1297:AK1320 AT1297:AT1320 AK1322:AK1323 AT1322:AT1323 AK1325 AT1325 AK1327 AT1327 AK1329:AK1338 AT1329:AT1338 AT1342 AK1346:AK1347 AT1345:AT1347 AT1352 AT1355 AT1360 AK1362:AK1363 AT1362:AT1363 AK1380:AK1384 AT1380:AT1384 AK1401 AT1401 AK1403 AT1403 AK1408:AK1422 AT1408:AT1422 AK1426:AK1430 AT1426:AT1430 AK1434 AT1434 AK1438:AK1440 AT1438:AT1440 AK1444:AK1477 AT1444:AT1477 AK1501:AK1578 AT1501:AT1578 AK1582:AK1646 AT1582:AT1646 AK1648:AK1650 AT1648:AT1650 AK1652 AT1652 AK1654 AT1654 AK1656 AT1656 AK1658:AK1738 AT1658:AT1738 AK1862:AK1913 AT1862:AT1913 AK1916 AK1918:AK1921 AK1926:AK1927 AK1940:AK2071 AT1940:AT2071 AK2073:AK2074 AT2073:AT2074 AT2085 AK2250:AK2362 AT2250:AT2362 AK2381 AK2615 AT2615 AK3123:AK3124 AT3123:AT3124">
      <formula1>'Data validation'!$C$2:$C$7</formula1>
    </dataValidation>
    <dataValidation type="list" allowBlank="1" sqref="AH1177">
      <formula1>'Data validation'!$A$2:$A$15</formula1>
    </dataValidation>
    <dataValidation type="list" allowBlank="1" sqref="AH2605:AH2614">
      <formula1>#REF!</formula1>
    </dataValidation>
    <dataValidation type="list" allowBlank="1" sqref="AG101">
      <formula1>#REF!</formula1>
    </dataValidation>
    <dataValidation type="list" allowBlank="1" showErrorMessage="1" sqref="AL361 AU361 AL526 AU526 AL528 AU528 AL532 AU532 AL1647 AU1647 AL1651 AU1651 AL1653 AU1653 AL1655 AU1655 AL1657 AU1657 AL2072 AU2072 AL2363:AL2387 AU2363:AU2387">
      <formula1>#REF!</formula1>
    </dataValidation>
    <dataValidation type="list" allowBlank="1" showErrorMessage="1" sqref="AM4:AM95 AV4:AV95 AN96:AN97 AW96:AW97 AM98:AM217 AM220 AV98:AV220 AV222:AV224 AM222:AM244 AV226:AV244 AV246:AV247 AM246:AM268 AM270:AM360 AV249:AV360 AV362:AV517 AM362:AM525 AV521:AV525 AM527 AV527 AM529:AM531 AV529:AV531 AM533:AM1277 AV533:AV1277 AM1284:AM1295 AV1284:AV1295 AM1297:AM1320 AV1297:AV1320 AM1322:AM1323 AV1322:AV1323 AM1325 AV1325 AM1327 AV1327 AM1329:AM1338 AV1329:AV1338 AM1346:AM1347 AV1346:AV1347 AM1362:AM1363 AV1362:AV1363 AM1380:AM1384 AV1380:AV1384 AM1401 AV1401 AV1403 AM1403:AM1405 AM1407:AM1422 AV1408:AV1422 AM1426:AM1430 AV1426:AV1430 AM1434 AV1434 AM1437:AM1440 AV1438:AV1440 AM1443:AM1477 AV1444:AV1477 AM1501:AM1578 AV1501:AV1578 AM1582:AM1646 AV1582:AV1646 AM1648:AM1650 AV1648:AV1650 AM1652 AV1652 AM1654 AV1654 AM1656 AV1656 AM1658:AM1738 AV1658:AV1738 AV1862:AV1909 AM1862:AM1913 AV1911:AV1913 AM1940:AM2071 AV1940:AV2071 AM2073:AM2074 AV2073:AV2074 AM2250:AM2362 AV2250:AV2362 AM2615 AV2615 AV3017 AM3123:AM3124 AV3123:AV3124">
      <formula1>'Data validation'!$J$2:$J$4</formula1>
    </dataValidation>
    <dataValidation type="list" allowBlank="1" showErrorMessage="1" sqref="D2897:D2915">
      <formula1>"Mariem,Roksana,Thomas,Maria,Shruti,Antony,Radoslaw,Fabienne,Daniel,Ray,Nikolay,Hakile,Raul,Alisa,Teshome,Adira,Jyoti,Maureen,Nikita,Husnain,Sarah,Alexsandr,Vidhi,Mario,Diego,Corinna,Tafere,Kamran,Baha,Marta"</formula1>
    </dataValidation>
    <dataValidation type="list" allowBlank="1" showErrorMessage="1" sqref="B4:B3398">
      <formula1>'Data validation'!$M$2:$M$9</formula1>
    </dataValidation>
    <dataValidation type="custom" allowBlank="1" showDropDown="1" sqref="N361 S361 N526 S526 N528 S528 N532 S532 N922 S922 N925 S925 N1647 S1647 N1651 S1651 N1653 S1653 N1655 S1655 N1657 S1657 N2072 S2072 N2253:N2254 S2253:S2254 N2258 S2258 N2260:N2267 S2260:S2267 N2269 S2269 N2271 S2271 N2275 S2275 N2278:N2279 S2278:S2279 N2281 S2281 N2283 S2283 N2285 S2285 N2287 S2287 N2289 S2289 S2291:S2297 N2291:N2298 N2300 S2300 N2302:N2303 S2302:S2303 N2306 S2306 N2308 S2308 N2310:N2321 S2310:S2321 N2323:N2327 S2323:S2327 N2329 S2329 N2331:N2333 S2331:S2333 N2335 S2335 N2337 S2337 N2339:N2340 S2339:S2340 N2342:N2346 S2342:S2346 N2348 S2348 N2350:N2351 S2350:S2351 N2353:N2356 S2353:S2356 N2358 S2358 N2361 S2361 N2363:N2387 S2363:S2387">
      <formula1>LEFT(N361, 3) = "10."</formula1>
    </dataValidation>
    <dataValidation type="decimal" operator="greaterThan" allowBlank="1" showDropDown="1" sqref="AF4:AF60 AO4:AO60 AF61:AG64 AI61:AI64 AN61:AO64 AF65:AF84 AF86:AF95 AO65:AO95 AG96:AG97 AP96:AP97 AO98:AO100 AI101 AO101:AP101 AO102:AO127 AN128:AO129 AW128:AW129 AF98:AF152 AO130:AO152 AF153:AG154 AI153:AI154 AN153:AO154 AF155:AF158 AF159:AG161 AI159:AI161 AO155:AO173 AF162:AF176 AF177:AG177 AI177 AN174:AO178 AF178:AF188 AF189:AG190 AI189:AI190 AO179:AO268 AI269 AD269:AD270 AN269:AO271 AF191:AF360 AO272:AO360 AF362:AF485 AF486:AG491 AI486:AI491 AF492 AF493:AG496 AI493:AI496 AF497:AF525 AO362:AO525 AF527 AO527 AF529:AF531 AO529:AO531 AF533:AF535 AO533:AO535 AI536:AJ537 AI538 AF536:AG550 AI539:AJ550 AF551 AF552:AG552 AI552 AN536:AO552 AF553 AF554:AG554 AO553:AO554 AF555 AF556:AG561 AI556:AI561 AF562 AF563:AG563 AI563 AF564 AF565:AG565 AI565 AN555:AO565 AF566 AO566:AO569 AF567:AG572 AI567:AI572 AW570:AW572 AF573:AF592 AN570:AO592 AE593:AG597 AN593:AN597 AF598:AF604 AF605:AG607 AS605:AS607 AF608 AF609:AG609 AI609 AF610:AF644 AF645:AG645 AI645 AF646:AF656 AF657:AG662 AI657:AI662 AN598:AO662 AF663:AF678 AO663:AO678 AF679:AG682 AE683:AG683 AI679:AI699 AI701:AI702 AF684:AG709 AE710:AG710 AW709:AW710 AF711:AG712 AE713:AG719 AF720:AG720 AE721:AG721 AI709:AI723 AF722:AG728 AI728 AF729:AF733 AF734:AG738 AI734:AI738 AF739 AF740:AG742 AI740:AI742 AN679:AO742 AF743:AF744 AO743:AO744 AF745:AG745 AN745:AO745 AF746 AO746 AI745:AI749 AF747:AG750 AF751:AF752 AF753:AG753 AI753 AF754 AF755:AG757 AI755:AI757 AF758:AF759 AD760 AI760:AJ760 AF760:AG761 AI761 AF762:AF764 AF765:AG766 AI765:AI766 AF767:AF771 AI772 AF772:AG775 AF776:AF779 AF780:AG783 AI774:AI784 AF784:AF785 AF786:AG789 AF790:AF791 AF792:AG792 AI786:AI792 AF793:AF802 AF803:AG804 AF805:AF806 AI803:AI817 AI819:AI822 AI824 AI826 AI830 AI832 AI834 AI836 AI838 AI840 AF807:AG844 AI842:AI844 AF845:AF846 AF847:AG847 AF848 AF849:AG850 AI847:AI850 AF851 AF852:AG852 AI852 AF853 AF854:AG855 AF856 AD859 AI854:AI859 AF857:AG860 AF861:AF864 AF865:AG871 AI865:AI871 AF872:AF874 AF875:AG877 AI875:AI877 AF878:AF882 AF883:AG889 AN747:AO889 AF890:AF893 AN890:AN893 AF894:AG895 AF896 AI883:AI901 AF897:AG902 AF903:AF904 AF905:AG908 AI905:AI908 AF909 AF910:AG912 AI910:AI912 AF913 AI914:AI915 AI916:AJ917 AF914:AG920 AI918:AI920 AF921 AN894:AO921 AE922 AN922 AE923:AF923 AI923 AF924 AN923:AO924 AE925 AN925 AE926:AF926 AF927:AG934 AI926:AI934 AF935 AF936:AG939 AF940:AF941 AN926:AO943 AN944:AP944 AF942:AG946 AF947 AF948:AG954 AF955 AN945:AO956 AN957:AP961 AF956:AG975 AF976 AF977:AG978 AI936:AI978 AF979 AF980:AG980 AF981:AF988 AI980:AI988 AI990:AJ990 AF989:AG991 AN962:AO991 AF992 AN992 AJ993 AF993:AG994 AI994 AF995 AF996:AG997 AI996:AI997 AD998 AF998 AF999:AG999 AG1000 AF1001:AG1001 AI999:AI1001 AF1002:AF1007 AI1009:AI1011 AI1012:AJ1012 AF1008:AG1015 AI1013:AI1015 AI1019:AI1021 AF1018:AG1030 AE1031:AG1031 AF1032:AG1034 AI1023:AI1034 AN993:AO1034 AD1035:AG1035 AN1035:AP1035 AS1035 AD1036 AD1038 AI1035:AJ1038 AI1039 AD1040 AD1042 AD1044 AI1040:AJ1044 AF1036:AG1045 AE1046:AG1046 AI1045:AI1052 AI1053:AJ1053 AI1054:AI1061 AD1063 AI1062:AJ1063 AI1064:AI1070 AI1071:AJ1071 AI1072 AD1074 AI1073:AJ1074 AI1075:AI1078 AI1079:AJ1079 AD1080 AJ1080 AF1047:AG1081 AN1036:AO1081 AD1082:AG1082 AI1081:AJ1082 AN1082:AP1082 AS1082 AI1083:AI1088 AI1089:AJ1089 AI1090:AI1094 AI1095:AJ1095 AI1096:AI1100 AN1083:AO1101 AD1102 AI1101:AJ1102 AN1102:AP1102 AS1102 AF1083:AG1121 AE1122:AF1122 AE1123:AG1124 AE1125:AF1125 AN1103:AO1130 AN1131:AP1131 AS1131 AI1103:AI1140 AD1142 AI1141:AJ1143 AI1144:AI1146 AI1147:AJ1148 AI1149:AI1156 AI1157:AJ1157 AF1126:AG1197 AI1158:AI1197 AN1132:AO1197 AO1198 AF1198:AF1199 AF1200:AG1200 AI1200 AF1201 AF1202:AG1202 AI1202 AF1203 AF1204:AG1204 AF1205 AF1206:AG1206 AI1206 AI1208 AF1207:AF1209 AF1210:AG1210 AI1210 AF1211 AF1212:AG1212 AI1212 AF1213 AF1214:AG1214 AI1214 AF1215 AF1216:AG1216 AI1216 AF1217 AF1218:AG1218 AI1218 AF1219 AF1220:AG1220 AI1220 AF1221 AF1222:AG1222 AI1222 AF1223 AF1224:AG1224 AI1224 AF1225:AF1227 AF1228:AG1228 AF1229 AF1230:AG1230 AI1230 AI1232 AF1231:AF1233 AF1234:AG1234 AI1234 AF1235 AF1236:AG1277 AE1278:AG1278 AI1236:AI1278 AF1279:AG1279 AE1280:AG1282 AF1283:AG1283 AN1199:AO1283 AF1284:AF1294 AO1284:AO1294 AN1295:AO1295 AF1295:AG1296 AI1295:AI1296 AF1297:AF1320 AF1321:AG1321 AI1321 AF1322:AF1323 AF1324:AG1324 AI1324 AF1325 AF1326:AG1326 AI1326 AF1327 AF1328:AG1328 AI1328 AF1329:AF1338 AO1296:AO1340 AN1341:AO1341 AO1342 AF1339:AG1343 AN1343:AO1343 AE1344:AG1344 AF1345:AG1345 AI1339:AI1345 AF1346:AF1347 AO1344:AO1347 AE1348:AG1348 AF1349:AG1350 AE1351:AG1351 AI1349:AI1353 AF1352:AG1356 AI1355:AI1356 AE1357:AG1359 AW1357:AW1359 AF1360:AG1361 AI1360:AI1361 AN1348:AO1361 AF1362:AF1363 AO1362:AO1363 AF1364:AG1364 AI1364 AF1365:AI1365 AF1366:AG1367 AI1366:AI1367 AF1368:AI1368 AF1369:AG1370 AI1369:AI1370 AF1371:AI1372 AF1373:AG1374 AI1373:AI1374 AF1375:AI1375 AE1376:AG1376 AF1377:AG1379 AI1377:AI1379 AN1364:AO1379 AF1380:AF1384 AO1380:AO1384 AF1385:AG1386 AI1385:AI1386 AE1387:AG1387 AI1389 AI1391 AF1388:AG1393 AE1394:AG1394 AI1393:AI1395 AF1395:AG1399 AI1397:AI1399 AF1400:AI1400 AN1385:AO1400 AF1401 AO1401 AF1402:AI1402 AN1402:AO1402 AF1403 AO1403 AF1404:AG1405 AI1405 AE1406:AG1406 AF1407:AG1407 AI1407 AN1404:AO1407 AF1408:AF1410 AO1408:AO1410 AF1411:AG1425 AI1411:AI1425 AN1411:AO1425 AF1426:AF1430 AI1431:AI1433 AF1431:AG1437 AI1435:AI1437 AF1438:AF1439 AO1426:AO1439 AF1440:AG1443 AI1440:AI1443 AF1444 AF1445:AG1446 AI1445:AI1446 AN1440:AO1446 AF1447:AF1449 AO1447:AO1449 AF1450:AG1450 AI1450 AF1451:AF1453 AF1454:AG1454 AI1454 AN1450:AO1454 AF1455:AF1477 AO1455:AO1477 AF1478:AG1479 AI1479 AE1480:AG1480 AF1481:AI1484 AI1485 AF1485:AG1487 AI1487 AF1488:AI1489 AE1490:AG1490 AI1490 AF1491:AI1491 AF1492:AG1492 AI1492 AE1493:AG1493 AF1494:AI1494 AF1495:AG1495 AI1495 AF1496:AI1496 AF1497:AG1497 AF1498:AI1498 AE1499:AG1499 AF1500:AI1500 AN1478:AO1500 AF1501:AF1578 AO1501:AO1578 AF1579:AI1581 AN1579:AO1581 AF1582:AF1646 AO1582:AO1646 AF1648:AF1650 AO1648:AO1650 AF1652 AO1652 AF1654 AO1654 AF1656 AI1658:AI1674 AI1676:AI1678 AI1685:AI1705 AF1658:AG1712 AE1713:AG1713 AI1707:AI1721 AI1723 AI1725:AI1726 AD1727 AI1727:AJ1727 AF1714:AG1738 AI1728:AI1738 AO1656:AO1738 AF1739:AI1806 AF1807:AG1808 AI1807:AI1808 AF1809:AI1809 AF1810:AG1810 AI1810 AF1811:AI1861 AN1739:AO1861 AF1862:AF1913 AE1914:AG1914 AJ1914:AJ1915 AF1915:AG1916 AE1917:AG1917 AJ1917 AF1918:AH1918 AE1919:AH1919 AE1920:AG1921 AI1920:AI1921 AO1862:AO1921 AS1920:AS1921 AE1922:AH1923 AF1924:AG1924 AI1924:AJ1924 AJ1925 AE1925:AH1927 AF1928:AG1928 AI1928 AE1929:AH1929 AF1930:AH1930 AE1931:AG1932 AI1931:AI1932 AE1933:AH1935 AF1936:AG1936 AI1936 AE1937:AH1937 AE1938:AG1938 AE1939:AH1939 AI1942 AN1922:AO1942 AN1943:AP1943 AI1947 AI1950:AI1951 AI1954 AI1957 AI1959:AI1960 AI1962:AI1963 AI1965:AI1966 AI1970:AI1971 AN1944:AO1972 AN1973:AP1973 AI1973:AI1974 AI1984 AI1988 AI1991:AI1992 AI1994:AI1995 AI1997:AI1998 AI2002:AI2003 AI2008 AI2012:AI2013 AI2015:AI2016 AI2020:AI2021 AI2026:AI2027 AI2030 AI2035:AI2036 AI2040 AI2044 AI2046:AI2047 AI2049 AI2051 AI2054:AI2055 AI2058:AI2059 AI2063:AI2064 AE1940:AG2067 AI2067 AN1974:AO2067 AF2068:AF2071 AO2068:AO2071 AF2073:AF2074 AO2073:AO2074 AE2075:AG2075 AF2076:AG2088 AI2076:AI2088 AE2089:AG2089 AF2090:AI2104 AE2105:AG2105 AI2105 AF2106:AI2106 AF2107:AG2107 AI2107 AF2108:AI2111 AE2112:AG2112 AF2113:AG2114 AE2115:AG2115 AI2113:AI2115 AF2116:AI2116 AE2117:AG2117 AF2118:AG2133 AI2118:AI2133 AF2134:AI2134 AE2135:AG2135 AF2136:AI2136 AE2137:AG2137 AF2138:AG2138 AI2138 AF2139:AI2141 AE2142:AG2142 AF2143:AI2143 AF2144:AG2145 AI2144:AI2145 AF2146:AI2197 AF2198:AG2198 AI2198 AF2199:AI2199 AF2200:AG2200 AI2200 AF2201:AI2201 AF2202:AG2202 AI2202 AF2203:AI2203 AF2204:AG2204 AI2204 AF2205:AI2205 AF2206:AG2206 AI2206 AF2207:AI2207 AF2208:AG2208 AI2208 AF2209:AI2209 AF2210:AG2210 AI2210 AF2211:AI2211 AF2212:AG2212 AI2212 AF2213:AI2213 AF2214:AG2214 AI2214 AF2215:AI2215 AF2216:AG2216 AI2216 AF2217:AI2217 AF2218:AG2218 AI2218 AF2219:AI2219 AF2220:AG2220 AI2220 AF2221:AI2221 AF2222:AG2222 AI2222 AF2223:AI2223 AF2224:AG2224 AI2224 AF2225:AI2225 AF2226:AG2226 AI2226 AF2227:AI2227 AF2228:AG2228 AI2228 AF2229:AI2229 AF2230:AG2230 AI2230 AF2231:AI2231 AF2232:AG2232 AI2232 AF2233:AI2233 AF2234:AG2234 AI2234 AF2235:AI2235 AF2236:AG2236 AI2236 AF2237:AI2237 AF2238:AG2238 AI2238 AF2239:AI2239 AF2240:AG2240 AI2240 AF2241:AI2241 AF2242:AG2242 AI2242 AF2243:AI2243 AF2244:AG2244 AI2244 AF2245:AI2245 AF2246:AG2246 AI2246 AF2247:AI2247 AF2248:AG2248 AI2248 AF2249:AI2249 AN2075:AO2249 AF2250:AF2251 AO2250:AO2251 AE2252:AG2252 AI2252 AN2252:AO2252 AE2253:AE2254 AE2255:AF2255 AN2255:AO2255 AE2256:AG2257 AI2255:AI2257 AO2256:AO2257 AE2258 AN2258 AE2259:AF2259 AI2259 AN2259:AO2259 AE2260:AE2267 AN2267 AE2268:AG2268 AI2268 AN2268:AO2268 AE2269 AN2269 AE2270:AF2270 AI2270 AN2270:AO2270 AE2271 AN2271 AE2272:AG2274 AI2272:AI2274 AN2272:AO2274 AN2275 AN2276:AP2277 AR2276:AR2277 AN2279 AN2280:AP2280 AR2280 AN2281 AN2282:AP2282 AR2282 AO2284:AP2284 AR2284 AN2285 AN2286:AP2286 AR2286 AP2287 AN2288:AP2288 AR2288 AN2290:AP2290 AR2290 AE2275:AE2298 AN2298:AP2298 AR2298 AE2299:AG2299 AI2299 AN2299:AO2299 AE2300 AG2300 AE2301:AG2301 AI2301 AN2301:AO2301 AG2302 AE2302:AE2303 AE2304:AF2304 AE2305:AG2305 AI2304:AI2305 AO2304:AO2305 AE2306 AE2307:AG2307 AI2307 AO2307 AE2308 AE2309:AG2309 AI2309 AO2309 AE2310:AE2321 AE2322:AG2322 AI2322 AO2322 AE2323:AE2327 AG2327 AE2328:AG2328 AI2328 AO2328 AE2329 AE2330:AG2330 AI2330 AO2330 AE2331:AE2333 AG2333 AE2334:AG2334 AI2334 AE2335 AG2335 AE2336:AG2336 AP2334:AP2336 AE2337 AG2337 AE2338:AG2338 AI2336:AI2338 AE2339:AE2340 AG2340 AE2341:AG2341 AI2341 AO2341 AG2342:AG2345 AE2342:AE2346 AE2347:AF2347 AI2347 AO2347 AE2348 AG2348 AE2349:AG2349 AI2349 AO2349 AE2350:AE2351 AE2352:AG2352 AI2352 AN2352:AO2352 AE2353:AE2356 AG2356 AE2357:AG2357 AI2356:AI2357 AO2357 AE2358 AE2359:AF2359 AE2360:AG2360 AI2359:AI2360 AO2359:AO2360 AE2361 AE2362:AG2362 AN2362:AO2362 AG2381 AO2388:AO2392 AN2393:AO2393 AF2388:AG2394 AI2388:AI2394 AO2394 AE2395:AG2395 AN2395:AO2406 AM2407:AO2410 AF2396:AG2440 AI2396:AI2440 AF2441:AI2441 AI2442:AI2457 AF2442:AG2458 AF2459 AF2460:AG2478 AI2459:AI2478 AF2479:AI2479 AF2480:AG2496 AF2497 AF2498:AG2614 AI2480:AI2614 AN2411:AO2614 AF2615 AO2615 AF2616:AG2658 AF2659:AF2660 AI2616:AI2673 AI2677:AI2679 AF2661:AG2695 AI2681:AI2695 AN2616:AO2695 AE2696:AF2697 AN2696:AN2697 AF2698:AG2699 AI2698:AI2699 AO2698:AO2699 AN2700:AO2701 AE2700:AF2702 AN2702 AF2703:AG2704 AI2703:AI2704 AO2703:AO2704 AE2705:AF2705 AN2705 AF2706:AG2709 AI2706:AI2709 AO2706:AO2709 AE2710:AF2710 AN2710 AF2711:AG2715 AI2711:AI2715 AO2711:AO2715 AE2716:AF2719 AF2720:AF2723 AI2720:AI2723 AN2716:AO2723 AE2724:AF2724 AN2724 AF2725:AG2726 AI2725:AI2726 AO2725:AO2726 AH2727:AH2728 AM2727:AO2728 AE2727:AF2732 AN2729:AN2732 AF2733:AG2733 AI2733 AN2733:AO2733 AE2734:AF2734 AN2734 AF2735:AG2735 AI2735 AO2735 AE2736:AF2736 AN2736 AF2737:AG2737 AI2737 AO2737 AN2738 AH2739 AM2739:AN2739 AE2738:AF2741 AF2742:AG2749 AI2742:AI2749 AN2740:AO2749 AE2750:AF2750 AN2750 AF2751:AG2752 AI2751:AI2752 AO2751:AO2752 AE2753:AF2753 AN2753 AF2754:AG2754 AI2754 AO2754 AE2755:AF2755 AN2755 AF2756:AG2756 AI2756 AO2756 AE2757:AF2757 AN2757 AF2758:AG2758 AI2758 AO2758 AE2759:AF2759 AN2759 AF2760:AG2760 AI2760 AO2760 AE2761:AF2761 AN2761 AF2762:AG2762 AI2762 AO2762 AE2763:AF2763 AN2763 AF2764:AG2764 AI2764 AO2764 AE2765:AF2765 AN2765 AF2766:AG2766 AI2766 AO2766 AE2767:AF2767 AN2767 AF2768:AG2768 AI2768 AO2768 AE2769:AF2769 AN2769 AF2770:AG2770 AI2770 AO2770 AE2771:AF2771 AN2771 AF2772:AG2772 AI2772 AO2772 AE2773:AF2777 AN2773:AN2777 AF2778:AG2779 AI2778:AI2779 AO2778:AO2779 AE2780:AF2789 AN2780:AN2789 AN2790:AO2790 AO2791:AP2792 AN2793:AO2793 AO2794:AP2795 AN2796:AO2796 AO2797:AP2798 AN2799:AP2799 AO2800:AP2800 AO2801 AN2802:AP2802 AO2803:AP2803 AO2804 AN2805:AP2805 AO2806:AP2807 AN2808:AP2808 AO2809:AP2810 AN2811:AP2811 AO2812:AP2813 AN2814:AP2814 AO2815:AP2816 AN2817:AP2817 AO2818:AP2819 AN2820:AP2820 AO2821:AP2822 AN2823:AP2823 AO2824:AP2825 AN2826:AP2826 AO2827:AP2828 AN2829:AP2829 AO2830:AP2831 AN2832:AP2832 AO2833:AP2834 AN2835:AP2835 AO2836:AO2837 AN2838:AP2838 AO2839:AO2840 AN2841:AP2841 AO2842:AP2843 AN2844:AP2844 AO2845:AP2846 AN2847:AP2847 AO2848:AP2849 AN2850:AP2850 AO2851:AP2852 AN2853:AP2853 AO2854:AP2855 AO2856 AO2857:AP2858 AO2859 AO2860:AP2861 AO2862 AF2790:AG2866 AI2790:AI2866 AO2863:AP2866 AN2867:AN2868 AH2869 AM2869:AN2869 AE2867:AF2870 AN2870 AF2871:AG2871 AF2872 AF2873:AG2874 AI2871:AI2874 AN2871:AO2877 AN2878:AN2881 AN2882:AP2882 AR2882:AS2882 AE2875:AF2885 AN2883:AN2885 AN2886:AO2926 AN2927:AP2927 AI2886:AI3081 AF2886:AG3118 AI3083:AI3118 AN2928:AO3118 AE3119:AG3119 AO3119 AF3120:AG3121 AI3120:AI3121 AF3122:AI3122 AN3120:AO3122 AF3123:AF3124 AO3123:AO3124 AF3125:AG3125 AI3125 AE3126:AG3126 AF3127:AG3131 AE3132:AG3132 AW3186:AW3191 AF3133:AG3398 AI3127:AI3398 AN3125:AO3398">
      <formula1>0.0</formula1>
    </dataValidation>
    <dataValidation type="list" allowBlank="1" sqref="AR2327 AR2329 AR2331:AR2332">
      <formula1>#REF!</formula1>
    </dataValidation>
    <dataValidation type="custom" allowBlank="1" showDropDown="1" sqref="N4:N60 N65:N127 N130:N152 S4:S152 N155:N158 S155:S158 N162:N173 N178:N188 S162:S188 N191:N268 S191:S298 S299:T299 N271:N360 S300:S360 S362:S480 N362:N485 N492 S492 N497:N525 S497:S525 N527 S527 N529:N531 S529:S531 N533:N535 S533:S535 N551 S551 S553 N553:N555 S555 N562 S562 N564 S564 N566 S566 N573:N604 S573:S604 N608 S608 N610:N644 S610:S644 N646:N656 S646:S656 N663:N678 S663:S678 M922:M923 R922:R923 M925:M926 R925:R926 N1035 N1198:N1199 S1198:S1199 N1201 N1203 N1205 N1207 N1209 N1211 N1213 N1215 N1217 N1219 N1221 N1223 N1225 N1227 N1229 N1231 N1233 N1235 N1284:N1294 S1284:S1294 N1297:N1320 S1297:S1320 N1322:N1323 S1322:S1323 N1325 N1327 N1329:N1338 S1325:S1338 N1346:N1347 S1346:S1347 N1362:N1363 S1362:S1363 N1380:N1384 S1380:S1384 N1401 S1401 N1403 S1403 N1408:N1410 S1408:S1410 N1426:N1429 S1426:S1429 N1438:N1439 S1438:S1439 N1444 S1444 N1447:N1449 S1447:S1449 N1451:N1453 S1451:S1453 N1455:N1477 S1455:S1477 N1501:N1578 S1501:S1578 N1582:N1646 S1582:S1646 N1648:N1650 S1648:S1650 N1652 S1652 N1654 S1654 N1656 S1656 S1862:T1863 S1865:T1877 S1878:S1886 S1887:T1889 N1862:N1913 N1940 S1890:S1940 N1945:N1946 S1945:S1946 S1950:S1951 N1950:N1953 N1956 N1960 S1960 N1964:N1965 S1965 S1967 N1967:N1969 N1971:N1974 S1971:S1974 N1978:N1982 N1985:N1987 N1989:N1990 N1992 S1992 N1996 N1999:N2001 N2004:N2005 N2007:N2008 N2012 S2012 N2015 S2015 S2017 N2017:N2018 N2022:N2024 N2026 S2026 S2030:S2031 N2028:N2034 S2036:S2037 N2036:N2040 S2040 N2042:N2044 S2044 S2046:S2047 N2046:N2048 S2051 N2051:N2054 S2054 N2056 N2058 S2058 N2060:N2062 N2064:N2066 S2064:S2066 N2068:N2071 S2068:S2071 N2073:N2074 S2073:S2074 N2250:N2251 S2250:S2251 M2252:M2362 R2252:R2362 N2615 S2615 N3123:N3124 S3123:S3124">
      <formula1>left(M4, 3)="10."</formula1>
    </dataValidation>
    <dataValidation type="custom" allowBlank="1" showDropDown="1" sqref="I4:J23 I24:I60 I65:J127 J128:J129 I130:J152 I155:J158 I162:J173 J174:J177 I178:J188 I191:J207 I208:I219 I220:J233 I234 I235:J235 I236:I242 I243:J264 I265:I266 I267:J268 J270 I271:J360 I362:J485 I492:J492 I497:J525 I527:J527 I529:J531 I533:J535 I551:J551 I553 I555:J555 I562:J562 I564 I566 I573:J592 J593:J597 I598:J604 I608:J608 I610:J644 I646:J656 I663:J678 H922:H923 H925:H926 I1198:J1199 I1201:J1201 I1203:J1203 I1205:J1205 I1207:J1207 I1209:J1209 I1211:J1211 I1213:J1213 I1215:J1215 I1217:J1217 I1219:J1219 I1221:J1221 I1223:J1223 I1225:J1225 I1227:J1227 I1229:J1229 I1231:J1231 I1233:J1233 I1235:J1235 I1278:J1294 I1297:J1320 J1321 I1322:J1323 J1324 I1325:J1325 J1326 I1327:J1327 J1328 I1329:J1338 J1339 J1342 I1344 I1346:J1347 I1348 I1351 I1354 I1357:I1359 I1362:J1363 I1376 I1378 I1380:J1385 I1387:J1388 J1389 I1390:J1390 J1391 I1392:J1392 J1393 I1394:J1394 J1395 I1396:J1396 J1397 I1398:J1398 J1399 I1401:J1401 I1403:J1404 J1405 I1406:J1406 J1407 I1408:J1410 J1411:J1413 J1423:J1425 I1426:J1429 J1430 J1434:J1437 I1438:J1439 J1440:J1443 I1444:J1444 J1445:J1446 I1447:J1449 J1450 I1451:J1453 J1454 I1455:J1480 I1485:J1487 I1490:J1490 I1492:J1493 I1495:J1495 I1497:J1497 I1499:J1499 I1501:J1578 I1582:J1646 I1648:J1650 I1652:J1652 I1654:J1654 I1656:J1656 I1862:I1913 I1914:J2071 I2073:J2075 I2089:J2089 J2090 I2105:J2105 I2107:J2107 I2112:J2112 I2115:J2115 I2117:J2117 J2118:J2120 J2123:J2124 J2127:J2132 I2133:J2133 I2135:J2135 I2137:J2137 J2138 I2142:J2142 I2250:J2251 H2252:H2362 I2395:J2395 I2615:J2615 I3119:J3119 I3123:J3124 I3126 I3132:J3132">
      <formula1>OR(NOT(ISERROR(DATEVALUE(H4))), AND(ISNUMBER(H4), LEFT(CELL("format", H4))="D"))</formula1>
    </dataValidation>
    <dataValidation type="decimal" operator="lessThan" allowBlank="1" showDropDown="1" sqref="AJ361 AS361 AJ526 AS526 AJ528 AS528 AJ532 AS532 AJ922 AS922 AJ925 AS925 AJ1647 AS1647 AJ1651 AS1651 AJ1653 AS1653 AJ1655 AS1655 AJ1657 AS1657 AJ2072 AS2072 AS2253:AS2254 AJ2253:AJ2255 AJ2258 AS2258 AS2260:AS2263 AJ2267 AJ2269 AS2269 AJ2271 AS2271 AJ2275 AS2275 AJ2278:AJ2279 AS2278:AS2279 AJ2281 AS2281 AJ2283 AS2283 AJ2285 AS2285 AJ2287 AS2287 AJ2289 AS2289 AJ2291:AJ2297 AS2292:AS2297 AJ2300 AS2300 AJ2302:AJ2303 AS2302:AS2303 AJ2306 AS2306 AJ2308 AS2308 AJ2310:AJ2321 AS2310:AS2321 AS2323:AS2324 AJ2323:AJ2327 AS2326:AS2327 AJ2329 AS2329 AJ2331:AJ2333 AS2331:AS2333 AJ2335 AS2335 AJ2337 AS2337 AJ2339:AJ2340 AS2339:AS2340 AJ2342:AJ2346 AS2342:AS2346 AJ2348 AS2348 AJ2350:AJ2351 AS2350:AS2351 AJ2353:AJ2355 AS2353:AS2356 AJ2358 AS2358 AS2361 AJ2363:AJ2380 AS2363:AS2380 AJ2382:AJ2387 AS2382:AS2387">
      <formula1>1.1</formula1>
    </dataValidation>
  </dataValidations>
  <hyperlinks>
    <hyperlink r:id="rId2" ref="AW4"/>
    <hyperlink r:id="rId3" ref="AX4"/>
    <hyperlink r:id="rId4" ref="AR6"/>
    <hyperlink r:id="rId5" ref="AW6"/>
    <hyperlink r:id="rId6" ref="AX6"/>
    <hyperlink r:id="rId7" ref="S7"/>
    <hyperlink r:id="rId8" ref="AW7"/>
    <hyperlink r:id="rId9" ref="AX7"/>
    <hyperlink r:id="rId10" ref="S8"/>
    <hyperlink r:id="rId11" ref="AW8"/>
    <hyperlink r:id="rId12" ref="AX8"/>
    <hyperlink r:id="rId13" ref="L10"/>
    <hyperlink r:id="rId14" ref="BC10"/>
    <hyperlink r:id="rId15" ref="R11"/>
    <hyperlink r:id="rId16" ref="AW11"/>
    <hyperlink r:id="rId17" ref="R12"/>
    <hyperlink r:id="rId18" ref="AW20"/>
    <hyperlink r:id="rId19" ref="AW21"/>
    <hyperlink r:id="rId20" ref="AW22"/>
    <hyperlink r:id="rId21" ref="AW23"/>
    <hyperlink r:id="rId22" ref="AW25"/>
    <hyperlink r:id="rId23" ref="AW26"/>
    <hyperlink r:id="rId24" ref="AW27"/>
    <hyperlink r:id="rId25" ref="S65"/>
    <hyperlink r:id="rId26" ref="S66"/>
    <hyperlink r:id="rId27" ref="S67"/>
    <hyperlink r:id="rId28" ref="S68"/>
    <hyperlink r:id="rId29" ref="S69"/>
    <hyperlink r:id="rId30" ref="K71"/>
    <hyperlink r:id="rId31" ref="R71"/>
    <hyperlink r:id="rId32" ref="S71"/>
    <hyperlink r:id="rId33" ref="AW71"/>
    <hyperlink r:id="rId34" ref="AX71"/>
    <hyperlink r:id="rId35" ref="K80"/>
    <hyperlink r:id="rId36" ref="AW80"/>
    <hyperlink r:id="rId37" ref="AX80"/>
    <hyperlink r:id="rId38" ref="K81"/>
    <hyperlink r:id="rId39" ref="M81"/>
    <hyperlink r:id="rId40" ref="AW81"/>
    <hyperlink r:id="rId41" ref="AX81"/>
    <hyperlink r:id="rId42" ref="S86"/>
    <hyperlink r:id="rId43" ref="S88"/>
    <hyperlink r:id="rId44" ref="S90"/>
    <hyperlink r:id="rId45" ref="S92"/>
    <hyperlink r:id="rId46" ref="S94"/>
    <hyperlink r:id="rId47" ref="S95"/>
    <hyperlink r:id="rId48" ref="K114"/>
    <hyperlink r:id="rId49" ref="R120"/>
    <hyperlink r:id="rId50" ref="S120"/>
    <hyperlink r:id="rId51" ref="R121"/>
    <hyperlink r:id="rId52" ref="S121"/>
    <hyperlink r:id="rId53" ref="R122"/>
    <hyperlink r:id="rId54" ref="S122"/>
    <hyperlink r:id="rId55" ref="R123"/>
    <hyperlink r:id="rId56" ref="S123"/>
    <hyperlink r:id="rId57" ref="AW130"/>
    <hyperlink r:id="rId58" ref="AX130"/>
    <hyperlink r:id="rId59" ref="R131"/>
    <hyperlink r:id="rId60" ref="S131"/>
    <hyperlink r:id="rId61" ref="AW131"/>
    <hyperlink r:id="rId62" ref="AX131"/>
    <hyperlink r:id="rId63" ref="R132"/>
    <hyperlink r:id="rId64" ref="S132"/>
    <hyperlink r:id="rId65" ref="AW132"/>
    <hyperlink r:id="rId66" ref="AX132"/>
    <hyperlink r:id="rId67" ref="R133"/>
    <hyperlink r:id="rId68" ref="S133"/>
    <hyperlink r:id="rId69" ref="AW133"/>
    <hyperlink r:id="rId70" ref="AX133"/>
    <hyperlink r:id="rId71" ref="R134"/>
    <hyperlink r:id="rId72" ref="S134"/>
    <hyperlink r:id="rId73" ref="AW134"/>
    <hyperlink r:id="rId74" ref="AX134"/>
    <hyperlink r:id="rId75" ref="AW135"/>
    <hyperlink r:id="rId76" ref="AX135"/>
    <hyperlink r:id="rId77" ref="AW136"/>
    <hyperlink r:id="rId78" ref="AX136"/>
    <hyperlink r:id="rId79" ref="AW137"/>
    <hyperlink r:id="rId80" ref="AX137"/>
    <hyperlink r:id="rId81" ref="AW138"/>
    <hyperlink r:id="rId82" ref="AX138"/>
    <hyperlink r:id="rId83" ref="S144"/>
    <hyperlink r:id="rId84" ref="R145"/>
    <hyperlink r:id="rId85" ref="S145"/>
    <hyperlink r:id="rId86" ref="AI145"/>
    <hyperlink r:id="rId87" ref="AJ145"/>
    <hyperlink r:id="rId88" ref="AK145"/>
    <hyperlink r:id="rId89" ref="AR145"/>
    <hyperlink r:id="rId90" ref="AS145"/>
    <hyperlink r:id="rId91" ref="AT145"/>
    <hyperlink r:id="rId92" ref="R146"/>
    <hyperlink r:id="rId93" ref="S146"/>
    <hyperlink r:id="rId94" ref="AW152"/>
    <hyperlink r:id="rId95" ref="AX152"/>
    <hyperlink r:id="rId96" ref="AW153"/>
    <hyperlink r:id="rId97" ref="AW154"/>
    <hyperlink r:id="rId98" ref="AW155"/>
    <hyperlink r:id="rId99" ref="AX155"/>
    <hyperlink r:id="rId100" ref="T156"/>
    <hyperlink r:id="rId101" ref="S158"/>
    <hyperlink r:id="rId102" ref="AW158"/>
    <hyperlink r:id="rId103" ref="AX158"/>
    <hyperlink r:id="rId104" ref="R159"/>
    <hyperlink r:id="rId105" ref="S162"/>
    <hyperlink r:id="rId106" ref="AW162"/>
    <hyperlink r:id="rId107" ref="AX162"/>
    <hyperlink r:id="rId108" ref="S163"/>
    <hyperlink r:id="rId109" ref="AW163"/>
    <hyperlink r:id="rId110" ref="AX163"/>
    <hyperlink r:id="rId111" ref="S164"/>
    <hyperlink r:id="rId112" ref="AW164"/>
    <hyperlink r:id="rId113" ref="AX164"/>
    <hyperlink r:id="rId114" ref="S165"/>
    <hyperlink r:id="rId115" ref="AW165"/>
    <hyperlink r:id="rId116" ref="AX165"/>
    <hyperlink r:id="rId117" ref="S166"/>
    <hyperlink r:id="rId118" ref="AW166"/>
    <hyperlink r:id="rId119" ref="AX166"/>
    <hyperlink r:id="rId120" ref="R167"/>
    <hyperlink r:id="rId121" ref="R168"/>
    <hyperlink r:id="rId122" ref="AW179"/>
    <hyperlink r:id="rId123" ref="AX179"/>
    <hyperlink r:id="rId124" ref="AW180"/>
    <hyperlink r:id="rId125" ref="AX180"/>
    <hyperlink r:id="rId126" ref="AW181"/>
    <hyperlink r:id="rId127" ref="AX181"/>
    <hyperlink r:id="rId128" ref="AW182"/>
    <hyperlink r:id="rId129" ref="AX182"/>
    <hyperlink r:id="rId130" ref="AW183"/>
    <hyperlink r:id="rId131" ref="AX183"/>
    <hyperlink r:id="rId132" ref="AW184"/>
    <hyperlink r:id="rId133" ref="AX184"/>
    <hyperlink r:id="rId134" ref="AW185"/>
    <hyperlink r:id="rId135" ref="AX185"/>
    <hyperlink r:id="rId136" ref="AW186"/>
    <hyperlink r:id="rId137" ref="AX186"/>
    <hyperlink r:id="rId138" ref="AW188"/>
    <hyperlink r:id="rId139" ref="AX188"/>
    <hyperlink r:id="rId140" ref="AW189"/>
    <hyperlink r:id="rId141" ref="AW190"/>
    <hyperlink r:id="rId142" ref="AW191"/>
    <hyperlink r:id="rId143" ref="AX191"/>
    <hyperlink r:id="rId144" ref="AW192"/>
    <hyperlink r:id="rId145" ref="AX192"/>
    <hyperlink r:id="rId146" ref="AW194"/>
    <hyperlink r:id="rId147" ref="AX194"/>
    <hyperlink r:id="rId148" ref="AW195"/>
    <hyperlink r:id="rId149" ref="AX195"/>
    <hyperlink r:id="rId150" ref="AW196"/>
    <hyperlink r:id="rId151" ref="AX196"/>
    <hyperlink r:id="rId152" ref="AW197"/>
    <hyperlink r:id="rId153" ref="AX197"/>
    <hyperlink r:id="rId154" ref="AW198"/>
    <hyperlink r:id="rId155" ref="AX198"/>
    <hyperlink r:id="rId156" ref="AW199"/>
    <hyperlink r:id="rId157" ref="AX199"/>
    <hyperlink r:id="rId158" ref="M207"/>
    <hyperlink r:id="rId159" ref="R207"/>
    <hyperlink r:id="rId160" ref="K250"/>
    <hyperlink r:id="rId161" ref="M250"/>
    <hyperlink r:id="rId162" ref="R250"/>
    <hyperlink r:id="rId163" ref="S250"/>
    <hyperlink r:id="rId164" ref="M252"/>
    <hyperlink r:id="rId165" ref="R252"/>
    <hyperlink r:id="rId166" ref="S252"/>
    <hyperlink r:id="rId167" ref="M254"/>
    <hyperlink r:id="rId168" ref="R254"/>
    <hyperlink r:id="rId169" ref="S254"/>
    <hyperlink r:id="rId170" ref="M256"/>
    <hyperlink r:id="rId171" ref="R256"/>
    <hyperlink r:id="rId172" ref="S256"/>
    <hyperlink r:id="rId173" ref="T259"/>
    <hyperlink r:id="rId174" ref="W259"/>
    <hyperlink r:id="rId175" ref="R260"/>
    <hyperlink r:id="rId176" ref="T260"/>
    <hyperlink r:id="rId177" ref="T261"/>
    <hyperlink r:id="rId178" ref="T262"/>
    <hyperlink r:id="rId179" ref="W263"/>
    <hyperlink r:id="rId180" ref="R264"/>
    <hyperlink r:id="rId181" ref="S264"/>
    <hyperlink r:id="rId182" ref="AW265"/>
    <hyperlink r:id="rId183" ref="AX265"/>
    <hyperlink r:id="rId184" ref="AW266"/>
    <hyperlink r:id="rId185" ref="AX266"/>
    <hyperlink r:id="rId186" ref="AW267"/>
    <hyperlink r:id="rId187" ref="AX267"/>
    <hyperlink r:id="rId188" ref="AW268"/>
    <hyperlink r:id="rId189" ref="AX268"/>
    <hyperlink r:id="rId190" ref="AW269"/>
    <hyperlink r:id="rId191" ref="AX269"/>
    <hyperlink r:id="rId192" ref="M270"/>
    <hyperlink r:id="rId193" ref="AW270"/>
    <hyperlink r:id="rId194" ref="AX270"/>
    <hyperlink r:id="rId195" ref="N271"/>
    <hyperlink r:id="rId196" ref="S271"/>
    <hyperlink r:id="rId197" ref="T271"/>
    <hyperlink r:id="rId198" ref="U271"/>
    <hyperlink r:id="rId199" ref="M272"/>
    <hyperlink r:id="rId200" ref="R272"/>
    <hyperlink r:id="rId201" ref="S272"/>
    <hyperlink r:id="rId202" ref="T272"/>
    <hyperlink r:id="rId203" ref="M273"/>
    <hyperlink r:id="rId204" ref="R273"/>
    <hyperlink r:id="rId205" ref="S273"/>
    <hyperlink r:id="rId206" ref="T273"/>
    <hyperlink r:id="rId207" ref="M274"/>
    <hyperlink r:id="rId208" ref="R274"/>
    <hyperlink r:id="rId209" ref="S274"/>
    <hyperlink r:id="rId210" ref="T274"/>
    <hyperlink r:id="rId211" ref="M275"/>
    <hyperlink r:id="rId212" ref="R275"/>
    <hyperlink r:id="rId213" ref="S275"/>
    <hyperlink r:id="rId214" ref="T275"/>
    <hyperlink r:id="rId215" ref="M276"/>
    <hyperlink r:id="rId216" ref="R276"/>
    <hyperlink r:id="rId217" ref="S276"/>
    <hyperlink r:id="rId218" ref="T276"/>
    <hyperlink r:id="rId219" ref="M277"/>
    <hyperlink r:id="rId220" ref="R277"/>
    <hyperlink r:id="rId221" ref="S277"/>
    <hyperlink r:id="rId222" ref="T277"/>
    <hyperlink r:id="rId223" ref="M278"/>
    <hyperlink r:id="rId224" ref="R278"/>
    <hyperlink r:id="rId225" ref="S278"/>
    <hyperlink r:id="rId226" ref="T278"/>
    <hyperlink r:id="rId227" ref="M279"/>
    <hyperlink r:id="rId228" ref="R279"/>
    <hyperlink r:id="rId229" ref="S279"/>
    <hyperlink r:id="rId230" ref="T279"/>
    <hyperlink r:id="rId231" ref="M280"/>
    <hyperlink r:id="rId232" ref="R280"/>
    <hyperlink r:id="rId233" ref="S280"/>
    <hyperlink r:id="rId234" ref="T280"/>
    <hyperlink r:id="rId235" ref="M281"/>
    <hyperlink r:id="rId236" ref="R281"/>
    <hyperlink r:id="rId237" ref="S281"/>
    <hyperlink r:id="rId238" ref="T281"/>
    <hyperlink r:id="rId239" ref="M282"/>
    <hyperlink r:id="rId240" ref="S282"/>
    <hyperlink r:id="rId241" ref="AW282"/>
    <hyperlink r:id="rId242" ref="W283"/>
    <hyperlink r:id="rId243" ref="AW283"/>
    <hyperlink r:id="rId244" ref="AX283"/>
    <hyperlink r:id="rId245" ref="S284"/>
    <hyperlink r:id="rId246" ref="AW284"/>
    <hyperlink r:id="rId247" ref="W285"/>
    <hyperlink r:id="rId248" ref="AW285"/>
    <hyperlink r:id="rId249" ref="M286"/>
    <hyperlink r:id="rId250" ref="AW286"/>
    <hyperlink r:id="rId251" ref="W287"/>
    <hyperlink r:id="rId252" ref="AW287"/>
    <hyperlink r:id="rId253" ref="M288"/>
    <hyperlink r:id="rId254" ref="AW288"/>
    <hyperlink r:id="rId255" ref="AX288"/>
    <hyperlink r:id="rId256" ref="W289"/>
    <hyperlink r:id="rId257" ref="AW289"/>
    <hyperlink r:id="rId258" ref="M290"/>
    <hyperlink r:id="rId259" ref="AW290"/>
    <hyperlink r:id="rId260" ref="AX290"/>
    <hyperlink r:id="rId261" ref="W291"/>
    <hyperlink r:id="rId262" ref="AW291"/>
    <hyperlink r:id="rId263" ref="M292"/>
    <hyperlink r:id="rId264" ref="AW292"/>
    <hyperlink r:id="rId265" ref="AX292"/>
    <hyperlink r:id="rId266" ref="W293"/>
    <hyperlink r:id="rId267" ref="AW293"/>
    <hyperlink r:id="rId268" ref="W294"/>
    <hyperlink r:id="rId269" ref="AW294"/>
    <hyperlink r:id="rId270" ref="W295"/>
    <hyperlink r:id="rId271" ref="AW295"/>
    <hyperlink r:id="rId272" ref="W296"/>
    <hyperlink r:id="rId273" ref="AW296"/>
    <hyperlink r:id="rId274" ref="W297"/>
    <hyperlink r:id="rId275" ref="AW297"/>
    <hyperlink r:id="rId276" ref="T298"/>
    <hyperlink r:id="rId277" ref="U298"/>
    <hyperlink r:id="rId278" ref="M299"/>
    <hyperlink r:id="rId279" ref="T299"/>
    <hyperlink r:id="rId280" ref="T300"/>
    <hyperlink r:id="rId281" ref="M301"/>
    <hyperlink r:id="rId282" ref="T301"/>
    <hyperlink r:id="rId283" ref="T302"/>
    <hyperlink r:id="rId284" ref="U302"/>
    <hyperlink r:id="rId285" ref="T303"/>
    <hyperlink r:id="rId286" ref="U303"/>
    <hyperlink r:id="rId287" ref="AW304"/>
    <hyperlink r:id="rId288" ref="AX304"/>
    <hyperlink r:id="rId289" ref="R305"/>
    <hyperlink r:id="rId290" ref="S305"/>
    <hyperlink r:id="rId291" ref="AW305"/>
    <hyperlink r:id="rId292" ref="AX305"/>
    <hyperlink r:id="rId293" ref="R307"/>
    <hyperlink r:id="rId294" ref="S307"/>
    <hyperlink r:id="rId295" ref="AW307"/>
    <hyperlink r:id="rId296" ref="AX307"/>
    <hyperlink r:id="rId297" ref="R309"/>
    <hyperlink r:id="rId298" ref="S309"/>
    <hyperlink r:id="rId299" ref="AW309"/>
    <hyperlink r:id="rId300" ref="AX309"/>
    <hyperlink r:id="rId301" ref="R311"/>
    <hyperlink r:id="rId302" ref="S311"/>
    <hyperlink r:id="rId303" ref="AW311"/>
    <hyperlink r:id="rId304" ref="AX311"/>
    <hyperlink r:id="rId305" ref="R312"/>
    <hyperlink r:id="rId306" ref="S312"/>
    <hyperlink r:id="rId307" ref="AW312"/>
    <hyperlink r:id="rId308" ref="W313"/>
    <hyperlink r:id="rId309" ref="Y313"/>
    <hyperlink r:id="rId310" ref="N318"/>
    <hyperlink r:id="rId311" ref="N319"/>
    <hyperlink r:id="rId312" ref="R319"/>
    <hyperlink r:id="rId313" ref="S319"/>
    <hyperlink r:id="rId314" ref="T329"/>
    <hyperlink r:id="rId315" ref="M330"/>
    <hyperlink r:id="rId316" ref="T330"/>
    <hyperlink r:id="rId317" ref="T331"/>
    <hyperlink r:id="rId318" ref="M332"/>
    <hyperlink r:id="rId319" ref="T332"/>
    <hyperlink r:id="rId320" ref="T333"/>
    <hyperlink r:id="rId321" ref="M334"/>
    <hyperlink r:id="rId322" ref="T334"/>
    <hyperlink r:id="rId323" ref="T335"/>
    <hyperlink r:id="rId324" ref="M336"/>
    <hyperlink r:id="rId325" ref="T336"/>
    <hyperlink r:id="rId326" ref="T337"/>
    <hyperlink r:id="rId327" ref="M338"/>
    <hyperlink r:id="rId328" ref="T338"/>
    <hyperlink r:id="rId329" ref="T339"/>
    <hyperlink r:id="rId330" ref="M340"/>
    <hyperlink r:id="rId331" ref="T340"/>
    <hyperlink r:id="rId332" ref="T341"/>
    <hyperlink r:id="rId333" ref="M342"/>
    <hyperlink r:id="rId334" ref="T342"/>
    <hyperlink r:id="rId335" ref="T343"/>
    <hyperlink r:id="rId336" ref="M344"/>
    <hyperlink r:id="rId337" ref="T344"/>
    <hyperlink r:id="rId338" ref="T345"/>
    <hyperlink r:id="rId339" ref="M346"/>
    <hyperlink r:id="rId340" ref="T346"/>
    <hyperlink r:id="rId341" ref="M347"/>
    <hyperlink r:id="rId342" ref="T347"/>
    <hyperlink r:id="rId343" ref="M353"/>
    <hyperlink r:id="rId344" ref="AW353"/>
    <hyperlink r:id="rId345" ref="N354"/>
    <hyperlink r:id="rId346" ref="N355"/>
    <hyperlink r:id="rId347" ref="T355"/>
    <hyperlink r:id="rId348" ref="AW359"/>
    <hyperlink r:id="rId349" ref="AX359"/>
    <hyperlink r:id="rId350" ref="T360"/>
    <hyperlink r:id="rId351" ref="L362"/>
    <hyperlink r:id="rId352" ref="R362"/>
    <hyperlink r:id="rId353" ref="W362"/>
    <hyperlink r:id="rId354" ref="Y362"/>
    <hyperlink r:id="rId355" ref="BC362"/>
    <hyperlink r:id="rId356" ref="W381"/>
    <hyperlink r:id="rId357" ref="W386"/>
    <hyperlink r:id="rId358" ref="W387"/>
    <hyperlink r:id="rId359" ref="W388"/>
    <hyperlink r:id="rId360" ref="W389"/>
    <hyperlink r:id="rId361" ref="W390"/>
    <hyperlink r:id="rId362" ref="W391"/>
    <hyperlink r:id="rId363" ref="W392"/>
    <hyperlink r:id="rId364" ref="W393"/>
    <hyperlink r:id="rId365" ref="W394"/>
    <hyperlink r:id="rId366" ref="W395"/>
    <hyperlink r:id="rId367" ref="W396"/>
    <hyperlink r:id="rId368" ref="W397"/>
    <hyperlink r:id="rId369" ref="R398"/>
    <hyperlink r:id="rId370" ref="R401"/>
    <hyperlink r:id="rId371" ref="S401"/>
    <hyperlink r:id="rId372" ref="R403"/>
    <hyperlink r:id="rId373" ref="S403"/>
    <hyperlink r:id="rId374" ref="R404"/>
    <hyperlink r:id="rId375" ref="S404"/>
    <hyperlink r:id="rId376" ref="AW425"/>
    <hyperlink r:id="rId377" ref="AX425"/>
    <hyperlink r:id="rId378" ref="AW426"/>
    <hyperlink r:id="rId379" ref="AX426"/>
    <hyperlink r:id="rId380" ref="AW427"/>
    <hyperlink r:id="rId381" ref="AX427"/>
    <hyperlink r:id="rId382" ref="AW428"/>
    <hyperlink r:id="rId383" ref="AX428"/>
    <hyperlink r:id="rId384" ref="AW429"/>
    <hyperlink r:id="rId385" ref="AX429"/>
    <hyperlink r:id="rId386" ref="AW430"/>
    <hyperlink r:id="rId387" ref="AX430"/>
    <hyperlink r:id="rId388" ref="K431"/>
    <hyperlink r:id="rId389" ref="R431"/>
    <hyperlink r:id="rId390" ref="K432"/>
    <hyperlink r:id="rId391" ref="R432"/>
    <hyperlink r:id="rId392" ref="R433"/>
    <hyperlink r:id="rId393" ref="AW433"/>
    <hyperlink r:id="rId394" ref="AX433"/>
    <hyperlink r:id="rId395" ref="R434"/>
    <hyperlink r:id="rId396" ref="AW434"/>
    <hyperlink r:id="rId397" ref="AX434"/>
    <hyperlink r:id="rId398" ref="R435"/>
    <hyperlink r:id="rId399" ref="AW435"/>
    <hyperlink r:id="rId400" ref="AX435"/>
    <hyperlink r:id="rId401" ref="R436"/>
    <hyperlink r:id="rId402" ref="AW436"/>
    <hyperlink r:id="rId403" ref="AX436"/>
    <hyperlink r:id="rId404" ref="R437"/>
    <hyperlink r:id="rId405" ref="AW437"/>
    <hyperlink r:id="rId406" ref="AX437"/>
    <hyperlink r:id="rId407" ref="AW439"/>
    <hyperlink r:id="rId408" ref="AX439"/>
    <hyperlink r:id="rId409" ref="AW440"/>
    <hyperlink r:id="rId410" ref="AX440"/>
    <hyperlink r:id="rId411" ref="AW441"/>
    <hyperlink r:id="rId412" ref="AX441"/>
    <hyperlink r:id="rId413" ref="AW442"/>
    <hyperlink r:id="rId414" ref="AX442"/>
    <hyperlink r:id="rId415" ref="AW443"/>
    <hyperlink r:id="rId416" ref="AX443"/>
    <hyperlink r:id="rId417" ref="AW444"/>
    <hyperlink r:id="rId418" ref="AX444"/>
    <hyperlink r:id="rId419" ref="M446"/>
    <hyperlink r:id="rId420" ref="M447"/>
    <hyperlink r:id="rId421" ref="AW448"/>
    <hyperlink r:id="rId422" ref="AX448"/>
    <hyperlink r:id="rId423" ref="AW449"/>
    <hyperlink r:id="rId424" ref="AX449"/>
    <hyperlink r:id="rId425" ref="T450"/>
    <hyperlink r:id="rId426" ref="R451"/>
    <hyperlink r:id="rId427" ref="T451"/>
    <hyperlink r:id="rId428" ref="T452"/>
    <hyperlink r:id="rId429" ref="R453"/>
    <hyperlink r:id="rId430" ref="T453"/>
    <hyperlink r:id="rId431" ref="T454"/>
    <hyperlink r:id="rId432" ref="R455"/>
    <hyperlink r:id="rId433" ref="S455"/>
    <hyperlink r:id="rId434" ref="R461"/>
    <hyperlink r:id="rId435" ref="L462"/>
    <hyperlink r:id="rId436" ref="M466"/>
    <hyperlink r:id="rId437" ref="R466"/>
    <hyperlink r:id="rId438" ref="S466"/>
    <hyperlink r:id="rId439" ref="AW466"/>
    <hyperlink r:id="rId440" ref="AX466"/>
    <hyperlink r:id="rId441" ref="AW468"/>
    <hyperlink r:id="rId442" ref="AW469"/>
    <hyperlink r:id="rId443" ref="AW470"/>
    <hyperlink r:id="rId444" ref="AW471"/>
    <hyperlink r:id="rId445" ref="AW472"/>
    <hyperlink r:id="rId446" ref="AW473"/>
    <hyperlink r:id="rId447" ref="AW474"/>
    <hyperlink r:id="rId448" ref="AW475"/>
    <hyperlink r:id="rId449" ref="AW476"/>
    <hyperlink r:id="rId450" ref="AW477"/>
    <hyperlink r:id="rId451" ref="M478"/>
    <hyperlink r:id="rId452" ref="M479"/>
    <hyperlink r:id="rId453" ref="M480"/>
    <hyperlink r:id="rId454" ref="M486"/>
    <hyperlink r:id="rId455" ref="AN497"/>
    <hyperlink r:id="rId456" ref="AO497"/>
    <hyperlink r:id="rId457" ref="AW497"/>
    <hyperlink r:id="rId458" ref="M498"/>
    <hyperlink r:id="rId459" ref="AN498"/>
    <hyperlink r:id="rId460" ref="AO498"/>
    <hyperlink r:id="rId461" ref="AP498"/>
    <hyperlink r:id="rId462" ref="AW498"/>
    <hyperlink r:id="rId463" ref="AX498"/>
    <hyperlink r:id="rId464" ref="M499"/>
    <hyperlink r:id="rId465" ref="AN499"/>
    <hyperlink r:id="rId466" ref="AO499"/>
    <hyperlink r:id="rId467" ref="AP499"/>
    <hyperlink r:id="rId468" ref="AW499"/>
    <hyperlink r:id="rId469" ref="AX499"/>
    <hyperlink r:id="rId470" ref="M500"/>
    <hyperlink r:id="rId471" ref="AN500"/>
    <hyperlink r:id="rId472" ref="AO500"/>
    <hyperlink r:id="rId473" ref="AP500"/>
    <hyperlink r:id="rId474" ref="AW500"/>
    <hyperlink r:id="rId475" ref="AX500"/>
    <hyperlink r:id="rId476" ref="M501"/>
    <hyperlink r:id="rId477" ref="AN501"/>
    <hyperlink r:id="rId478" ref="AO501"/>
    <hyperlink r:id="rId479" ref="AP501"/>
    <hyperlink r:id="rId480" ref="AW501"/>
    <hyperlink r:id="rId481" ref="AX501"/>
    <hyperlink r:id="rId482" ref="M502"/>
    <hyperlink r:id="rId483" ref="AN502"/>
    <hyperlink r:id="rId484" ref="AO502"/>
    <hyperlink r:id="rId485" ref="AP502"/>
    <hyperlink r:id="rId486" ref="AW502"/>
    <hyperlink r:id="rId487" ref="AX502"/>
    <hyperlink r:id="rId488" ref="M503"/>
    <hyperlink r:id="rId489" ref="AN503"/>
    <hyperlink r:id="rId490" ref="AO503"/>
    <hyperlink r:id="rId491" ref="AP503"/>
    <hyperlink r:id="rId492" ref="AW503"/>
    <hyperlink r:id="rId493" ref="AX503"/>
    <hyperlink r:id="rId494" ref="M504"/>
    <hyperlink r:id="rId495" ref="AN504"/>
    <hyperlink r:id="rId496" ref="AO504"/>
    <hyperlink r:id="rId497" ref="AP504"/>
    <hyperlink r:id="rId498" ref="AW504"/>
    <hyperlink r:id="rId499" ref="AX504"/>
    <hyperlink r:id="rId500" ref="M505"/>
    <hyperlink r:id="rId501" ref="AN505"/>
    <hyperlink r:id="rId502" ref="AO505"/>
    <hyperlink r:id="rId503" ref="AP505"/>
    <hyperlink r:id="rId504" ref="AW505"/>
    <hyperlink r:id="rId505" ref="AX505"/>
    <hyperlink r:id="rId506" ref="M506"/>
    <hyperlink r:id="rId507" ref="AN506"/>
    <hyperlink r:id="rId508" ref="AO506"/>
    <hyperlink r:id="rId509" ref="AP506"/>
    <hyperlink r:id="rId510" ref="AW506"/>
    <hyperlink r:id="rId511" ref="AX506"/>
    <hyperlink r:id="rId512" ref="M507"/>
    <hyperlink r:id="rId513" ref="AN507"/>
    <hyperlink r:id="rId514" ref="AO507"/>
    <hyperlink r:id="rId515" ref="AP507"/>
    <hyperlink r:id="rId516" ref="AW507"/>
    <hyperlink r:id="rId517" ref="AX507"/>
    <hyperlink r:id="rId518" ref="M508"/>
    <hyperlink r:id="rId519" ref="AN508"/>
    <hyperlink r:id="rId520" ref="AO508"/>
    <hyperlink r:id="rId521" ref="AP508"/>
    <hyperlink r:id="rId522" ref="AW508"/>
    <hyperlink r:id="rId523" ref="AX508"/>
    <hyperlink r:id="rId524" ref="AW509"/>
    <hyperlink r:id="rId525" ref="K510"/>
    <hyperlink r:id="rId526" ref="M510"/>
    <hyperlink r:id="rId527" ref="AN510"/>
    <hyperlink r:id="rId528" ref="AO510"/>
    <hyperlink r:id="rId529" ref="AP510"/>
    <hyperlink r:id="rId530" ref="AW510"/>
    <hyperlink r:id="rId531" ref="AX510"/>
    <hyperlink r:id="rId532" ref="BC510"/>
    <hyperlink r:id="rId533" ref="K511"/>
    <hyperlink r:id="rId534" ref="M511"/>
    <hyperlink r:id="rId535" ref="AN511"/>
    <hyperlink r:id="rId536" ref="AO511"/>
    <hyperlink r:id="rId537" ref="AP511"/>
    <hyperlink r:id="rId538" ref="AW511"/>
    <hyperlink r:id="rId539" ref="AX511"/>
    <hyperlink r:id="rId540" ref="AW512"/>
    <hyperlink r:id="rId541" ref="K513"/>
    <hyperlink r:id="rId542" ref="M513"/>
    <hyperlink r:id="rId543" ref="AN513"/>
    <hyperlink r:id="rId544" ref="AO513"/>
    <hyperlink r:id="rId545" ref="AW513"/>
    <hyperlink r:id="rId546" ref="AX513"/>
    <hyperlink r:id="rId547" ref="T514"/>
    <hyperlink r:id="rId548" ref="U514"/>
    <hyperlink r:id="rId549" ref="T515"/>
    <hyperlink r:id="rId550" ref="T516"/>
    <hyperlink r:id="rId551" ref="T517"/>
    <hyperlink r:id="rId552" ref="T521"/>
    <hyperlink r:id="rId553" ref="U521"/>
    <hyperlink r:id="rId554" ref="M526"/>
    <hyperlink r:id="rId555" ref="AW529"/>
    <hyperlink r:id="rId556" ref="AX529"/>
    <hyperlink r:id="rId557" ref="AW530"/>
    <hyperlink r:id="rId558" ref="AX530"/>
    <hyperlink r:id="rId559" ref="AW531"/>
    <hyperlink r:id="rId560" ref="AX531"/>
    <hyperlink r:id="rId561" ref="AW532"/>
    <hyperlink r:id="rId562" ref="AN533"/>
    <hyperlink r:id="rId563" ref="AN534"/>
    <hyperlink r:id="rId564" ref="AN535"/>
    <hyperlink r:id="rId565" ref="M538"/>
    <hyperlink r:id="rId566" ref="R538"/>
    <hyperlink r:id="rId567" ref="M553"/>
    <hyperlink r:id="rId568" ref="AN553"/>
    <hyperlink r:id="rId569" ref="AW553"/>
    <hyperlink r:id="rId570" ref="M554"/>
    <hyperlink r:id="rId571" ref="AN554"/>
    <hyperlink r:id="rId572" ref="AW554"/>
    <hyperlink r:id="rId573" ref="AW555"/>
    <hyperlink r:id="rId574" ref="AW556"/>
    <hyperlink r:id="rId575" ref="AW599"/>
    <hyperlink r:id="rId576" ref="AX599"/>
    <hyperlink r:id="rId577" ref="AW600"/>
    <hyperlink r:id="rId578" ref="AX600"/>
    <hyperlink r:id="rId579" ref="AW601"/>
    <hyperlink r:id="rId580" ref="AX601"/>
    <hyperlink r:id="rId581" ref="AW602"/>
    <hyperlink r:id="rId582" ref="AX602"/>
    <hyperlink r:id="rId583" ref="AW603"/>
    <hyperlink r:id="rId584" ref="AX603"/>
    <hyperlink r:id="rId585" ref="AW604"/>
    <hyperlink r:id="rId586" ref="AX604"/>
    <hyperlink r:id="rId587" ref="AW605"/>
    <hyperlink r:id="rId588" ref="AX605"/>
    <hyperlink r:id="rId589" ref="AW606"/>
    <hyperlink r:id="rId590" ref="AX606"/>
    <hyperlink r:id="rId591" ref="AW607"/>
    <hyperlink r:id="rId592" ref="AX607"/>
    <hyperlink r:id="rId593" ref="R609"/>
    <hyperlink r:id="rId594" ref="T647"/>
    <hyperlink r:id="rId595" ref="T648"/>
    <hyperlink r:id="rId596" ref="AW648"/>
    <hyperlink r:id="rId597" ref="R649"/>
    <hyperlink r:id="rId598" ref="T649"/>
    <hyperlink r:id="rId599" ref="AW649"/>
    <hyperlink r:id="rId600" ref="T650"/>
    <hyperlink r:id="rId601" ref="AW650"/>
    <hyperlink r:id="rId602" ref="T651"/>
    <hyperlink r:id="rId603" ref="AW651"/>
    <hyperlink r:id="rId604" ref="T652"/>
    <hyperlink r:id="rId605" ref="AW652"/>
    <hyperlink r:id="rId606" ref="T653"/>
    <hyperlink r:id="rId607" ref="AW653"/>
    <hyperlink r:id="rId608" ref="T654"/>
    <hyperlink r:id="rId609" ref="AW654"/>
    <hyperlink r:id="rId610" ref="T655"/>
    <hyperlink r:id="rId611" ref="AW655"/>
    <hyperlink r:id="rId612" ref="T656"/>
    <hyperlink r:id="rId613" ref="AW656"/>
    <hyperlink r:id="rId614" ref="T657"/>
    <hyperlink r:id="rId615" ref="AW657"/>
    <hyperlink r:id="rId616" ref="AX657"/>
    <hyperlink r:id="rId617" ref="T658"/>
    <hyperlink r:id="rId618" ref="AW658"/>
    <hyperlink r:id="rId619" ref="AX658"/>
    <hyperlink r:id="rId620" ref="T659"/>
    <hyperlink r:id="rId621" ref="AW659"/>
    <hyperlink r:id="rId622" ref="AX659"/>
    <hyperlink r:id="rId623" ref="T660"/>
    <hyperlink r:id="rId624" ref="AW660"/>
    <hyperlink r:id="rId625" ref="AX660"/>
    <hyperlink r:id="rId626" ref="T661"/>
    <hyperlink r:id="rId627" ref="AW661"/>
    <hyperlink r:id="rId628" ref="AX661"/>
    <hyperlink r:id="rId629" ref="T662"/>
    <hyperlink r:id="rId630" ref="AW662"/>
    <hyperlink r:id="rId631" ref="AX662"/>
    <hyperlink r:id="rId632" ref="AN663"/>
    <hyperlink r:id="rId633" ref="AO663"/>
    <hyperlink r:id="rId634" ref="AP663"/>
    <hyperlink r:id="rId635" ref="AW663"/>
    <hyperlink r:id="rId636" ref="AX663"/>
    <hyperlink r:id="rId637" ref="AN664"/>
    <hyperlink r:id="rId638" ref="AO664"/>
    <hyperlink r:id="rId639" ref="AP664"/>
    <hyperlink r:id="rId640" ref="AW664"/>
    <hyperlink r:id="rId641" ref="AX664"/>
    <hyperlink r:id="rId642" ref="AN665"/>
    <hyperlink r:id="rId643" ref="AO665"/>
    <hyperlink r:id="rId644" ref="AP665"/>
    <hyperlink r:id="rId645" ref="AW665"/>
    <hyperlink r:id="rId646" ref="AX665"/>
    <hyperlink r:id="rId647" ref="AN666"/>
    <hyperlink r:id="rId648" ref="AO666"/>
    <hyperlink r:id="rId649" ref="AP666"/>
    <hyperlink r:id="rId650" ref="AW666"/>
    <hyperlink r:id="rId651" ref="AX666"/>
    <hyperlink r:id="rId652" ref="AN667"/>
    <hyperlink r:id="rId653" ref="AO667"/>
    <hyperlink r:id="rId654" ref="AP667"/>
    <hyperlink r:id="rId655" ref="AW667"/>
    <hyperlink r:id="rId656" ref="AX667"/>
    <hyperlink r:id="rId657" ref="AN668"/>
    <hyperlink r:id="rId658" ref="AO668"/>
    <hyperlink r:id="rId659" ref="AP668"/>
    <hyperlink r:id="rId660" ref="AW668"/>
    <hyperlink r:id="rId661" ref="AX668"/>
    <hyperlink r:id="rId662" ref="AN669"/>
    <hyperlink r:id="rId663" ref="AO669"/>
    <hyperlink r:id="rId664" ref="AP669"/>
    <hyperlink r:id="rId665" ref="AW669"/>
    <hyperlink r:id="rId666" ref="AX669"/>
    <hyperlink r:id="rId667" ref="AN670"/>
    <hyperlink r:id="rId668" ref="AO670"/>
    <hyperlink r:id="rId669" ref="AP670"/>
    <hyperlink r:id="rId670" ref="AW670"/>
    <hyperlink r:id="rId671" ref="AX670"/>
    <hyperlink r:id="rId672" ref="AN671"/>
    <hyperlink r:id="rId673" ref="AO671"/>
    <hyperlink r:id="rId674" ref="AP671"/>
    <hyperlink r:id="rId675" ref="AW671"/>
    <hyperlink r:id="rId676" ref="AX671"/>
    <hyperlink r:id="rId677" ref="AN672"/>
    <hyperlink r:id="rId678" ref="AO672"/>
    <hyperlink r:id="rId679" ref="AP672"/>
    <hyperlink r:id="rId680" ref="AW672"/>
    <hyperlink r:id="rId681" ref="AX672"/>
    <hyperlink r:id="rId682" ref="AN673"/>
    <hyperlink r:id="rId683" ref="AO673"/>
    <hyperlink r:id="rId684" ref="AP673"/>
    <hyperlink r:id="rId685" ref="AW673"/>
    <hyperlink r:id="rId686" ref="AX673"/>
    <hyperlink r:id="rId687" ref="AN674"/>
    <hyperlink r:id="rId688" ref="AO674"/>
    <hyperlink r:id="rId689" ref="AP674"/>
    <hyperlink r:id="rId690" ref="AW674"/>
    <hyperlink r:id="rId691" ref="AX674"/>
    <hyperlink r:id="rId692" ref="AN675"/>
    <hyperlink r:id="rId693" ref="AO675"/>
    <hyperlink r:id="rId694" ref="AP675"/>
    <hyperlink r:id="rId695" ref="AW675"/>
    <hyperlink r:id="rId696" ref="AX675"/>
    <hyperlink r:id="rId697" ref="AN676"/>
    <hyperlink r:id="rId698" ref="AO676"/>
    <hyperlink r:id="rId699" ref="AP676"/>
    <hyperlink r:id="rId700" ref="AW676"/>
    <hyperlink r:id="rId701" ref="AX676"/>
    <hyperlink r:id="rId702" ref="AN677"/>
    <hyperlink r:id="rId703" ref="AO677"/>
    <hyperlink r:id="rId704" ref="AP677"/>
    <hyperlink r:id="rId705" ref="AW677"/>
    <hyperlink r:id="rId706" ref="AX677"/>
    <hyperlink r:id="rId707" ref="AN678"/>
    <hyperlink r:id="rId708" ref="AO678"/>
    <hyperlink r:id="rId709" ref="AP678"/>
    <hyperlink r:id="rId710" ref="AW678"/>
    <hyperlink r:id="rId711" ref="AX678"/>
    <hyperlink r:id="rId712" ref="K680"/>
    <hyperlink r:id="rId713" ref="AR682"/>
    <hyperlink r:id="rId714" ref="K688"/>
    <hyperlink r:id="rId715" ref="T688"/>
    <hyperlink r:id="rId716" ref="AW688"/>
    <hyperlink r:id="rId717" ref="K690"/>
    <hyperlink r:id="rId718" ref="R690"/>
    <hyperlink r:id="rId719" location="gid=288814287" ref="AR690"/>
    <hyperlink r:id="rId720" ref="AW690"/>
    <hyperlink r:id="rId721" ref="K691"/>
    <hyperlink r:id="rId722" ref="R691"/>
    <hyperlink r:id="rId723" location="Results" ref="AR691"/>
    <hyperlink r:id="rId724" ref="AW691"/>
    <hyperlink r:id="rId725" ref="K692"/>
    <hyperlink r:id="rId726" ref="R692"/>
    <hyperlink r:id="rId727" location="Results" ref="AR692"/>
    <hyperlink r:id="rId728" ref="AW692"/>
    <hyperlink r:id="rId729" ref="K693"/>
    <hyperlink r:id="rId730" ref="R693"/>
    <hyperlink r:id="rId731" location="Results" ref="AR693"/>
    <hyperlink r:id="rId732" ref="AW693"/>
    <hyperlink r:id="rId733" ref="K694"/>
    <hyperlink r:id="rId734" ref="R694"/>
    <hyperlink r:id="rId735" location="Results" ref="AR694"/>
    <hyperlink r:id="rId736" ref="AW694"/>
    <hyperlink r:id="rId737" ref="K695"/>
    <hyperlink r:id="rId738" ref="R695"/>
    <hyperlink r:id="rId739" location="Results" ref="AR695"/>
    <hyperlink r:id="rId740" ref="AW695"/>
    <hyperlink r:id="rId741" ref="K696"/>
    <hyperlink r:id="rId742" ref="R696"/>
    <hyperlink r:id="rId743" location="Results" ref="AR696"/>
    <hyperlink r:id="rId744" ref="AW696"/>
    <hyperlink r:id="rId745" ref="K698"/>
    <hyperlink r:id="rId746" ref="AW698"/>
    <hyperlink r:id="rId747" ref="K699"/>
    <hyperlink r:id="rId748" ref="AW699"/>
    <hyperlink r:id="rId749" ref="AW702"/>
    <hyperlink r:id="rId750" ref="K703"/>
    <hyperlink r:id="rId751" ref="AR703"/>
    <hyperlink r:id="rId752" ref="AW703"/>
    <hyperlink r:id="rId753" ref="K704"/>
    <hyperlink r:id="rId754" ref="AR704"/>
    <hyperlink r:id="rId755" ref="AW704"/>
    <hyperlink r:id="rId756" ref="K705"/>
    <hyperlink r:id="rId757" ref="AR705"/>
    <hyperlink r:id="rId758" ref="AW705"/>
    <hyperlink r:id="rId759" ref="AR706"/>
    <hyperlink r:id="rId760" ref="AW706"/>
    <hyperlink r:id="rId761" ref="K707"/>
    <hyperlink r:id="rId762" ref="AR707"/>
    <hyperlink r:id="rId763" ref="AW707"/>
    <hyperlink r:id="rId764" ref="K708"/>
    <hyperlink r:id="rId765" ref="AR708"/>
    <hyperlink r:id="rId766" ref="AW708"/>
    <hyperlink r:id="rId767" ref="AW709"/>
    <hyperlink r:id="rId768" ref="AR710"/>
    <hyperlink r:id="rId769" ref="AW710"/>
    <hyperlink r:id="rId770" ref="K714"/>
    <hyperlink r:id="rId771" ref="K715"/>
    <hyperlink r:id="rId772" ref="K716"/>
    <hyperlink r:id="rId773" ref="K717"/>
    <hyperlink r:id="rId774" ref="K718"/>
    <hyperlink r:id="rId775" ref="K719"/>
    <hyperlink r:id="rId776" ref="T721"/>
    <hyperlink r:id="rId777" ref="K722"/>
    <hyperlink r:id="rId778" ref="T728"/>
    <hyperlink r:id="rId779" ref="AR728"/>
    <hyperlink r:id="rId780" ref="T729"/>
    <hyperlink r:id="rId781" ref="AR729"/>
    <hyperlink r:id="rId782" ref="AW729"/>
    <hyperlink r:id="rId783" ref="T730"/>
    <hyperlink r:id="rId784" ref="AR730"/>
    <hyperlink r:id="rId785" ref="AW730"/>
    <hyperlink r:id="rId786" ref="T731"/>
    <hyperlink r:id="rId787" ref="AR731"/>
    <hyperlink r:id="rId788" ref="AW731"/>
    <hyperlink r:id="rId789" ref="T732"/>
    <hyperlink r:id="rId790" ref="AR732"/>
    <hyperlink r:id="rId791" ref="AW732"/>
    <hyperlink r:id="rId792" ref="T733"/>
    <hyperlink r:id="rId793" ref="AR733"/>
    <hyperlink r:id="rId794" ref="AW733"/>
    <hyperlink r:id="rId795" ref="T734"/>
    <hyperlink r:id="rId796" ref="AN734"/>
    <hyperlink r:id="rId797" ref="AW734"/>
    <hyperlink r:id="rId798" ref="T735"/>
    <hyperlink r:id="rId799" ref="AN735"/>
    <hyperlink r:id="rId800" ref="AW735"/>
    <hyperlink r:id="rId801" location="Anticipated_challenges" ref="K736"/>
    <hyperlink r:id="rId802" ref="AN736"/>
    <hyperlink r:id="rId803" ref="AW736"/>
    <hyperlink r:id="rId804" ref="K738"/>
    <hyperlink r:id="rId805" ref="AW738"/>
    <hyperlink r:id="rId806" ref="K739"/>
    <hyperlink r:id="rId807" ref="AW739"/>
    <hyperlink r:id="rId808" ref="L742"/>
    <hyperlink r:id="rId809" ref="AR742"/>
    <hyperlink r:id="rId810" ref="L743"/>
    <hyperlink r:id="rId811" ref="AR743"/>
    <hyperlink r:id="rId812" ref="L744"/>
    <hyperlink r:id="rId813" ref="AR744"/>
    <hyperlink r:id="rId814" ref="AI746"/>
    <hyperlink r:id="rId815" location="gid=288814287" ref="AR747"/>
    <hyperlink r:id="rId816" location="gid=288814287" ref="AR748"/>
    <hyperlink r:id="rId817" ref="AW748"/>
    <hyperlink r:id="rId818" location="gid=288814287" ref="AR749"/>
    <hyperlink r:id="rId819" ref="AW749"/>
    <hyperlink r:id="rId820" ref="K751"/>
    <hyperlink r:id="rId821" ref="AR751"/>
    <hyperlink r:id="rId822" ref="AW751"/>
    <hyperlink r:id="rId823" ref="K752"/>
    <hyperlink r:id="rId824" ref="AR752"/>
    <hyperlink r:id="rId825" ref="AW752"/>
    <hyperlink r:id="rId826" ref="AR753"/>
    <hyperlink r:id="rId827" ref="AW753"/>
    <hyperlink r:id="rId828" ref="K754"/>
    <hyperlink r:id="rId829" ref="AR754"/>
    <hyperlink r:id="rId830" ref="AW754"/>
    <hyperlink r:id="rId831" ref="K755"/>
    <hyperlink r:id="rId832" ref="L755"/>
    <hyperlink r:id="rId833" ref="K756"/>
    <hyperlink r:id="rId834" ref="L756"/>
    <hyperlink r:id="rId835" ref="K757"/>
    <hyperlink r:id="rId836" ref="L757"/>
    <hyperlink r:id="rId837" ref="K758"/>
    <hyperlink r:id="rId838" ref="AR758"/>
    <hyperlink r:id="rId839" ref="K759"/>
    <hyperlink r:id="rId840" ref="K762"/>
    <hyperlink r:id="rId841" ref="K763"/>
    <hyperlink r:id="rId842" ref="K764"/>
    <hyperlink r:id="rId843" ref="K766"/>
    <hyperlink r:id="rId844" ref="T766"/>
    <hyperlink r:id="rId845" ref="AR766"/>
    <hyperlink r:id="rId846" ref="K767"/>
    <hyperlink r:id="rId847" ref="T767"/>
    <hyperlink r:id="rId848" ref="AR767"/>
    <hyperlink r:id="rId849" ref="K768"/>
    <hyperlink r:id="rId850" ref="T768"/>
    <hyperlink r:id="rId851" ref="AR768"/>
    <hyperlink r:id="rId852" ref="K769"/>
    <hyperlink r:id="rId853" ref="T769"/>
    <hyperlink r:id="rId854" ref="AR769"/>
    <hyperlink r:id="rId855" ref="K770"/>
    <hyperlink r:id="rId856" ref="T770"/>
    <hyperlink r:id="rId857" ref="AR770"/>
    <hyperlink r:id="rId858" ref="K771"/>
    <hyperlink r:id="rId859" ref="T771"/>
    <hyperlink r:id="rId860" ref="AR771"/>
    <hyperlink r:id="rId861" ref="T774"/>
    <hyperlink r:id="rId862" ref="T775"/>
    <hyperlink r:id="rId863" ref="T776"/>
    <hyperlink r:id="rId864" ref="T777"/>
    <hyperlink r:id="rId865" ref="T778"/>
    <hyperlink r:id="rId866" ref="T779"/>
    <hyperlink r:id="rId867" ref="T783"/>
    <hyperlink r:id="rId868" ref="T789"/>
    <hyperlink r:id="rId869" ref="AR789"/>
    <hyperlink r:id="rId870" ref="T790"/>
    <hyperlink r:id="rId871" ref="AR790"/>
    <hyperlink r:id="rId872" ref="T791"/>
    <hyperlink r:id="rId873" ref="AR791"/>
    <hyperlink r:id="rId874" ref="T792"/>
    <hyperlink r:id="rId875" ref="AN792"/>
    <hyperlink r:id="rId876" ref="L793"/>
    <hyperlink r:id="rId877" ref="T793"/>
    <hyperlink r:id="rId878" ref="AR793"/>
    <hyperlink r:id="rId879" ref="L794"/>
    <hyperlink r:id="rId880" ref="T794"/>
    <hyperlink r:id="rId881" ref="L795"/>
    <hyperlink r:id="rId882" ref="T795"/>
    <hyperlink r:id="rId883" ref="L796"/>
    <hyperlink r:id="rId884" ref="T796"/>
    <hyperlink r:id="rId885" ref="L797"/>
    <hyperlink r:id="rId886" ref="T797"/>
    <hyperlink r:id="rId887" ref="L798"/>
    <hyperlink r:id="rId888" ref="T798"/>
    <hyperlink r:id="rId889" ref="L799"/>
    <hyperlink r:id="rId890" ref="T799"/>
    <hyperlink r:id="rId891" ref="L800"/>
    <hyperlink r:id="rId892" ref="T800"/>
    <hyperlink r:id="rId893" ref="L801"/>
    <hyperlink r:id="rId894" ref="T801"/>
    <hyperlink r:id="rId895" ref="L802"/>
    <hyperlink r:id="rId896" ref="T802"/>
    <hyperlink r:id="rId897" ref="T803"/>
    <hyperlink r:id="rId898" ref="AN803"/>
    <hyperlink r:id="rId899" ref="AR803"/>
    <hyperlink r:id="rId900" ref="K804"/>
    <hyperlink r:id="rId901" ref="T804"/>
    <hyperlink r:id="rId902" ref="AR804"/>
    <hyperlink r:id="rId903" ref="AW804"/>
    <hyperlink r:id="rId904" ref="K805"/>
    <hyperlink r:id="rId905" ref="T805"/>
    <hyperlink r:id="rId906" ref="AR805"/>
    <hyperlink r:id="rId907" ref="AW805"/>
    <hyperlink r:id="rId908" ref="K806"/>
    <hyperlink r:id="rId909" ref="T806"/>
    <hyperlink r:id="rId910" ref="AR806"/>
    <hyperlink r:id="rId911" ref="AW806"/>
    <hyperlink r:id="rId912" ref="T807"/>
    <hyperlink r:id="rId913" ref="T808"/>
    <hyperlink r:id="rId914" ref="AR809"/>
    <hyperlink r:id="rId915" ref="AR810"/>
    <hyperlink r:id="rId916" ref="AR811"/>
    <hyperlink r:id="rId917" ref="AR812"/>
    <hyperlink r:id="rId918" ref="AR813"/>
    <hyperlink r:id="rId919" ref="AR814"/>
    <hyperlink r:id="rId920" ref="AR815"/>
    <hyperlink r:id="rId921" ref="AR816"/>
    <hyperlink r:id="rId922" ref="AR817"/>
    <hyperlink r:id="rId923" ref="K818"/>
    <hyperlink r:id="rId924" ref="AR818"/>
    <hyperlink r:id="rId925" ref="AW818"/>
    <hyperlink r:id="rId926" ref="AR819"/>
    <hyperlink r:id="rId927" ref="AR820"/>
    <hyperlink r:id="rId928" ref="AR821"/>
    <hyperlink r:id="rId929" ref="AR822"/>
    <hyperlink r:id="rId930" ref="AR823"/>
    <hyperlink r:id="rId931" ref="K824"/>
    <hyperlink r:id="rId932" ref="AR824"/>
    <hyperlink r:id="rId933" ref="K825"/>
    <hyperlink r:id="rId934" ref="K827"/>
    <hyperlink r:id="rId935" ref="K828"/>
    <hyperlink r:id="rId936" ref="K829"/>
    <hyperlink r:id="rId937" ref="K831"/>
    <hyperlink r:id="rId938" ref="K833"/>
    <hyperlink r:id="rId939" ref="K835"/>
    <hyperlink r:id="rId940" ref="K837"/>
    <hyperlink r:id="rId941" ref="K839"/>
    <hyperlink r:id="rId942" ref="K841"/>
    <hyperlink r:id="rId943" ref="AN843"/>
    <hyperlink r:id="rId944" ref="K844"/>
    <hyperlink r:id="rId945" ref="T844"/>
    <hyperlink r:id="rId946" ref="AN844"/>
    <hyperlink r:id="rId947" ref="K845"/>
    <hyperlink r:id="rId948" ref="T845"/>
    <hyperlink r:id="rId949" ref="AN845"/>
    <hyperlink r:id="rId950" ref="K846"/>
    <hyperlink r:id="rId951" ref="T846"/>
    <hyperlink r:id="rId952" ref="AN846"/>
    <hyperlink r:id="rId953" ref="T847"/>
    <hyperlink r:id="rId954" ref="T848"/>
    <hyperlink r:id="rId955" ref="T849"/>
    <hyperlink r:id="rId956" ref="AR849"/>
    <hyperlink r:id="rId957" ref="T850"/>
    <hyperlink r:id="rId958" ref="T851"/>
    <hyperlink r:id="rId959" ref="AR851"/>
    <hyperlink r:id="rId960" ref="T852"/>
    <hyperlink r:id="rId961" ref="AR852"/>
    <hyperlink r:id="rId962" ref="T853"/>
    <hyperlink r:id="rId963" ref="AR853"/>
    <hyperlink r:id="rId964" ref="K855"/>
    <hyperlink r:id="rId965" ref="K856"/>
    <hyperlink r:id="rId966" ref="AR857"/>
    <hyperlink r:id="rId967" ref="AR858"/>
    <hyperlink r:id="rId968" ref="K860"/>
    <hyperlink r:id="rId969" ref="T860"/>
    <hyperlink r:id="rId970" ref="AW860"/>
    <hyperlink r:id="rId971" ref="K861"/>
    <hyperlink r:id="rId972" ref="T861"/>
    <hyperlink r:id="rId973" ref="AW861"/>
    <hyperlink r:id="rId974" ref="K862"/>
    <hyperlink r:id="rId975" ref="T862"/>
    <hyperlink r:id="rId976" ref="AW862"/>
    <hyperlink r:id="rId977" ref="K863"/>
    <hyperlink r:id="rId978" ref="T863"/>
    <hyperlink r:id="rId979" ref="AW863"/>
    <hyperlink r:id="rId980" ref="K864"/>
    <hyperlink r:id="rId981" ref="T864"/>
    <hyperlink r:id="rId982" ref="AW864"/>
    <hyperlink r:id="rId983" ref="AW866"/>
    <hyperlink r:id="rId984" ref="AR867"/>
    <hyperlink r:id="rId985" ref="T870"/>
    <hyperlink r:id="rId986" ref="AR870"/>
    <hyperlink r:id="rId987" ref="AW870"/>
    <hyperlink r:id="rId988" ref="K871"/>
    <hyperlink r:id="rId989" ref="T871"/>
    <hyperlink r:id="rId990" ref="AR871"/>
    <hyperlink r:id="rId991" ref="AW871"/>
    <hyperlink r:id="rId992" ref="K872"/>
    <hyperlink r:id="rId993" ref="T872"/>
    <hyperlink r:id="rId994" ref="AR872"/>
    <hyperlink r:id="rId995" ref="AW872"/>
    <hyperlink r:id="rId996" ref="K873"/>
    <hyperlink r:id="rId997" ref="T873"/>
    <hyperlink r:id="rId998" ref="AR873"/>
    <hyperlink r:id="rId999" ref="AW873"/>
    <hyperlink r:id="rId1000" ref="K874"/>
    <hyperlink r:id="rId1001" ref="T874"/>
    <hyperlink r:id="rId1002" ref="AR874"/>
    <hyperlink r:id="rId1003" ref="AW874"/>
    <hyperlink r:id="rId1004" ref="K875"/>
    <hyperlink r:id="rId1005" ref="AW875"/>
    <hyperlink r:id="rId1006" ref="AR877"/>
    <hyperlink r:id="rId1007" ref="AR878"/>
    <hyperlink r:id="rId1008" ref="AR879"/>
    <hyperlink r:id="rId1009" ref="AR880"/>
    <hyperlink r:id="rId1010" ref="AR881"/>
    <hyperlink r:id="rId1011" ref="AR882"/>
    <hyperlink r:id="rId1012" ref="AN883"/>
    <hyperlink r:id="rId1013" ref="AR883"/>
    <hyperlink r:id="rId1014" ref="AR884"/>
    <hyperlink r:id="rId1015" ref="AR888"/>
    <hyperlink r:id="rId1016" ref="K889"/>
    <hyperlink r:id="rId1017" ref="T889"/>
    <hyperlink r:id="rId1018" ref="K890"/>
    <hyperlink r:id="rId1019" ref="T890"/>
    <hyperlink r:id="rId1020" ref="K891"/>
    <hyperlink r:id="rId1021" ref="T891"/>
    <hyperlink r:id="rId1022" ref="K892"/>
    <hyperlink r:id="rId1023" ref="T892"/>
    <hyperlink r:id="rId1024" ref="K893"/>
    <hyperlink r:id="rId1025" ref="T893"/>
    <hyperlink r:id="rId1026" ref="AR894"/>
    <hyperlink r:id="rId1027" ref="K895"/>
    <hyperlink r:id="rId1028" ref="T895"/>
    <hyperlink r:id="rId1029" ref="AR895"/>
    <hyperlink r:id="rId1030" ref="K896"/>
    <hyperlink r:id="rId1031" ref="T896"/>
    <hyperlink r:id="rId1032" ref="AR896"/>
    <hyperlink r:id="rId1033" ref="AR899"/>
    <hyperlink r:id="rId1034" ref="AR900"/>
    <hyperlink r:id="rId1035" ref="K902"/>
    <hyperlink r:id="rId1036" ref="T902"/>
    <hyperlink r:id="rId1037" ref="AR902"/>
    <hyperlink r:id="rId1038" ref="K903"/>
    <hyperlink r:id="rId1039" ref="T903"/>
    <hyperlink r:id="rId1040" ref="AR903"/>
    <hyperlink r:id="rId1041" ref="K904"/>
    <hyperlink r:id="rId1042" ref="T904"/>
    <hyperlink r:id="rId1043" ref="AR904"/>
    <hyperlink r:id="rId1044" ref="K906"/>
    <hyperlink r:id="rId1045" ref="K908"/>
    <hyperlink r:id="rId1046" ref="T908"/>
    <hyperlink r:id="rId1047" ref="AR908"/>
    <hyperlink r:id="rId1048" ref="K909"/>
    <hyperlink r:id="rId1049" ref="T909"/>
    <hyperlink r:id="rId1050" ref="AR909"/>
    <hyperlink r:id="rId1051" ref="T911"/>
    <hyperlink r:id="rId1052" ref="AR911"/>
    <hyperlink r:id="rId1053" ref="K912"/>
    <hyperlink r:id="rId1054" ref="T912"/>
    <hyperlink r:id="rId1055" ref="AR912"/>
    <hyperlink r:id="rId1056" ref="K913"/>
    <hyperlink r:id="rId1057" ref="T913"/>
    <hyperlink r:id="rId1058" ref="AR913"/>
    <hyperlink r:id="rId1059" ref="AW913"/>
    <hyperlink r:id="rId1060" ref="K914"/>
    <hyperlink r:id="rId1061" ref="T914"/>
    <hyperlink r:id="rId1062" ref="AN914"/>
    <hyperlink r:id="rId1063" ref="AW914"/>
    <hyperlink r:id="rId1064" ref="K915"/>
    <hyperlink r:id="rId1065" ref="T915"/>
    <hyperlink r:id="rId1066" ref="T916"/>
    <hyperlink r:id="rId1067" ref="AR916"/>
    <hyperlink r:id="rId1068" ref="T917"/>
    <hyperlink r:id="rId1069" ref="AR917"/>
    <hyperlink r:id="rId1070" ref="T918"/>
    <hyperlink r:id="rId1071" ref="AR918"/>
    <hyperlink r:id="rId1072" ref="K920"/>
    <hyperlink r:id="rId1073" ref="T920"/>
    <hyperlink r:id="rId1074" ref="AR920"/>
    <hyperlink r:id="rId1075" ref="K921"/>
    <hyperlink r:id="rId1076" ref="T921"/>
    <hyperlink r:id="rId1077" ref="AR921"/>
    <hyperlink r:id="rId1078" ref="S922"/>
    <hyperlink r:id="rId1079" ref="T922"/>
    <hyperlink r:id="rId1080" ref="AR922"/>
    <hyperlink r:id="rId1081" ref="AR923"/>
    <hyperlink r:id="rId1082" ref="K924"/>
    <hyperlink r:id="rId1083" ref="T924"/>
    <hyperlink r:id="rId1084" ref="AR924"/>
    <hyperlink r:id="rId1085" ref="S925"/>
    <hyperlink r:id="rId1086" ref="T925"/>
    <hyperlink r:id="rId1087" ref="AW925"/>
    <hyperlink r:id="rId1088" ref="AW926"/>
    <hyperlink r:id="rId1089" ref="AR927"/>
    <hyperlink r:id="rId1090" ref="K928"/>
    <hyperlink r:id="rId1091" ref="AR928"/>
    <hyperlink r:id="rId1092" ref="AN929"/>
    <hyperlink r:id="rId1093" ref="K930"/>
    <hyperlink r:id="rId1094" ref="T930"/>
    <hyperlink r:id="rId1095" ref="AN930"/>
    <hyperlink r:id="rId1096" ref="AR930"/>
    <hyperlink r:id="rId1097" ref="AW930"/>
    <hyperlink r:id="rId1098" ref="K934"/>
    <hyperlink r:id="rId1099" ref="K935"/>
    <hyperlink r:id="rId1100" ref="K939"/>
    <hyperlink r:id="rId1101" ref="T939"/>
    <hyperlink r:id="rId1102" ref="AR939"/>
    <hyperlink r:id="rId1103" ref="AW939"/>
    <hyperlink r:id="rId1104" ref="K940"/>
    <hyperlink r:id="rId1105" ref="T940"/>
    <hyperlink r:id="rId1106" ref="AR940"/>
    <hyperlink r:id="rId1107" ref="AW940"/>
    <hyperlink r:id="rId1108" ref="K941"/>
    <hyperlink r:id="rId1109" ref="T941"/>
    <hyperlink r:id="rId1110" ref="AR941"/>
    <hyperlink r:id="rId1111" ref="AW941"/>
    <hyperlink r:id="rId1112" ref="K944"/>
    <hyperlink r:id="rId1113" ref="K946"/>
    <hyperlink r:id="rId1114" ref="T946"/>
    <hyperlink r:id="rId1115" ref="AR946"/>
    <hyperlink r:id="rId1116" ref="AW946"/>
    <hyperlink r:id="rId1117" ref="K947"/>
    <hyperlink r:id="rId1118" ref="T947"/>
    <hyperlink r:id="rId1119" ref="AR947"/>
    <hyperlink r:id="rId1120" ref="AW947"/>
    <hyperlink r:id="rId1121" ref="T948"/>
    <hyperlink r:id="rId1122" ref="AN949"/>
    <hyperlink r:id="rId1123" ref="AR949"/>
    <hyperlink r:id="rId1124" ref="AN950"/>
    <hyperlink r:id="rId1125" ref="K952"/>
    <hyperlink r:id="rId1126" ref="T952"/>
    <hyperlink r:id="rId1127" ref="AR952"/>
    <hyperlink r:id="rId1128" ref="AW952"/>
    <hyperlink r:id="rId1129" ref="AN953"/>
    <hyperlink r:id="rId1130" ref="K954"/>
    <hyperlink r:id="rId1131" ref="AN954"/>
    <hyperlink r:id="rId1132" ref="AW954"/>
    <hyperlink r:id="rId1133" ref="K955"/>
    <hyperlink r:id="rId1134" ref="AN955"/>
    <hyperlink r:id="rId1135" ref="AW955"/>
    <hyperlink r:id="rId1136" ref="K957"/>
    <hyperlink r:id="rId1137" ref="K958"/>
    <hyperlink r:id="rId1138" ref="K959"/>
    <hyperlink r:id="rId1139" ref="K960"/>
    <hyperlink r:id="rId1140" ref="K961"/>
    <hyperlink r:id="rId1141" ref="K962"/>
    <hyperlink r:id="rId1142" ref="K963"/>
    <hyperlink r:id="rId1143" ref="K964"/>
    <hyperlink r:id="rId1144" ref="K965"/>
    <hyperlink r:id="rId1145" ref="K966"/>
    <hyperlink r:id="rId1146" ref="K967"/>
    <hyperlink r:id="rId1147" ref="K968"/>
    <hyperlink r:id="rId1148" ref="K969"/>
    <hyperlink r:id="rId1149" ref="K970"/>
    <hyperlink r:id="rId1150" ref="K972"/>
    <hyperlink r:id="rId1151" ref="T972"/>
    <hyperlink r:id="rId1152" ref="AR972"/>
    <hyperlink r:id="rId1153" ref="K973"/>
    <hyperlink r:id="rId1154" ref="T973"/>
    <hyperlink r:id="rId1155" ref="AR973"/>
    <hyperlink r:id="rId1156" ref="K974"/>
    <hyperlink r:id="rId1157" ref="T974"/>
    <hyperlink r:id="rId1158" ref="AR974"/>
    <hyperlink r:id="rId1159" ref="K975"/>
    <hyperlink r:id="rId1160" ref="T975"/>
    <hyperlink r:id="rId1161" ref="AR975"/>
    <hyperlink r:id="rId1162" ref="K976"/>
    <hyperlink r:id="rId1163" ref="T976"/>
    <hyperlink r:id="rId1164" ref="AR976"/>
    <hyperlink r:id="rId1165" ref="T990"/>
    <hyperlink r:id="rId1166" ref="T991"/>
    <hyperlink r:id="rId1167" ref="AN991"/>
    <hyperlink r:id="rId1168" ref="AW991"/>
    <hyperlink r:id="rId1169" ref="T992"/>
    <hyperlink r:id="rId1170" ref="AN992"/>
    <hyperlink r:id="rId1171" ref="AW992"/>
    <hyperlink r:id="rId1172" ref="K993"/>
    <hyperlink r:id="rId1173" ref="T993"/>
    <hyperlink r:id="rId1174" ref="AR993"/>
    <hyperlink r:id="rId1175" ref="AW993"/>
    <hyperlink r:id="rId1176" ref="K994"/>
    <hyperlink r:id="rId1177" ref="T994"/>
    <hyperlink r:id="rId1178" ref="AR994"/>
    <hyperlink r:id="rId1179" ref="AW994"/>
    <hyperlink r:id="rId1180" ref="K995"/>
    <hyperlink r:id="rId1181" ref="T995"/>
    <hyperlink r:id="rId1182" ref="AR995"/>
    <hyperlink r:id="rId1183" ref="AW995"/>
    <hyperlink r:id="rId1184" ref="K997"/>
    <hyperlink r:id="rId1185" ref="L997"/>
    <hyperlink r:id="rId1186" ref="T997"/>
    <hyperlink r:id="rId1187" ref="T1000"/>
    <hyperlink r:id="rId1188" ref="T1001"/>
    <hyperlink r:id="rId1189" ref="AW1001"/>
    <hyperlink r:id="rId1190" ref="T1002"/>
    <hyperlink r:id="rId1191" ref="AW1002"/>
    <hyperlink r:id="rId1192" ref="T1003"/>
    <hyperlink r:id="rId1193" ref="AW1003"/>
    <hyperlink r:id="rId1194" ref="T1004"/>
    <hyperlink r:id="rId1195" ref="AW1004"/>
    <hyperlink r:id="rId1196" ref="T1005"/>
    <hyperlink r:id="rId1197" ref="AW1005"/>
    <hyperlink r:id="rId1198" ref="T1006"/>
    <hyperlink r:id="rId1199" ref="AW1006"/>
    <hyperlink r:id="rId1200" ref="T1007"/>
    <hyperlink r:id="rId1201" ref="AW1007"/>
    <hyperlink r:id="rId1202" ref="T1008"/>
    <hyperlink r:id="rId1203" ref="T1009"/>
    <hyperlink r:id="rId1204" ref="T1010"/>
    <hyperlink r:id="rId1205" ref="T1011"/>
    <hyperlink r:id="rId1206" ref="AW1011"/>
    <hyperlink r:id="rId1207" ref="T1012"/>
    <hyperlink r:id="rId1208" ref="T1013"/>
    <hyperlink r:id="rId1209" ref="T1014"/>
    <hyperlink r:id="rId1210" ref="AR1014"/>
    <hyperlink r:id="rId1211" ref="K1015"/>
    <hyperlink r:id="rId1212" ref="T1015"/>
    <hyperlink r:id="rId1213" ref="AR1015"/>
    <hyperlink r:id="rId1214" ref="K1016"/>
    <hyperlink r:id="rId1215" ref="T1016"/>
    <hyperlink r:id="rId1216" ref="AR1016"/>
    <hyperlink r:id="rId1217" ref="K1017"/>
    <hyperlink r:id="rId1218" ref="T1017"/>
    <hyperlink r:id="rId1219" ref="AR1017"/>
    <hyperlink r:id="rId1220" ref="T1018"/>
    <hyperlink r:id="rId1221" ref="AR1018"/>
    <hyperlink r:id="rId1222" ref="K1019"/>
    <hyperlink r:id="rId1223" ref="R1026"/>
    <hyperlink r:id="rId1224" ref="AN1027"/>
    <hyperlink r:id="rId1225" ref="K1028"/>
    <hyperlink r:id="rId1226" ref="AN1028"/>
    <hyperlink r:id="rId1227" ref="AR1028"/>
    <hyperlink r:id="rId1228" ref="AN1029"/>
    <hyperlink r:id="rId1229" ref="K1035"/>
    <hyperlink r:id="rId1230" ref="K1038"/>
    <hyperlink r:id="rId1231" ref="K1040"/>
    <hyperlink r:id="rId1232" ref="K1041"/>
    <hyperlink r:id="rId1233" ref="AN1043"/>
    <hyperlink r:id="rId1234" ref="K1053"/>
    <hyperlink r:id="rId1235" ref="T1054"/>
    <hyperlink r:id="rId1236" ref="T1055"/>
    <hyperlink r:id="rId1237" ref="K1063"/>
    <hyperlink r:id="rId1238" ref="K1064"/>
    <hyperlink r:id="rId1239" ref="K1067"/>
    <hyperlink r:id="rId1240" ref="AN1068"/>
    <hyperlink r:id="rId1241" ref="AN1069"/>
    <hyperlink r:id="rId1242" ref="AN1070"/>
    <hyperlink r:id="rId1243" ref="K1075"/>
    <hyperlink r:id="rId1244" ref="K1076"/>
    <hyperlink r:id="rId1245" ref="T1079"/>
    <hyperlink r:id="rId1246" ref="AX1079"/>
    <hyperlink r:id="rId1247" ref="T1080"/>
    <hyperlink r:id="rId1248" ref="AX1080"/>
    <hyperlink r:id="rId1249" ref="AX1081"/>
    <hyperlink r:id="rId1250" ref="R1083"/>
    <hyperlink r:id="rId1251" ref="AX1083"/>
    <hyperlink r:id="rId1252" ref="K1085"/>
    <hyperlink r:id="rId1253" ref="AX1085"/>
    <hyperlink r:id="rId1254" ref="AX1087"/>
    <hyperlink r:id="rId1255" ref="AX1088"/>
    <hyperlink r:id="rId1256" ref="AX1089"/>
    <hyperlink r:id="rId1257" ref="AX1090"/>
    <hyperlink r:id="rId1258" ref="AX1091"/>
    <hyperlink r:id="rId1259" ref="AX1092"/>
    <hyperlink r:id="rId1260" ref="AX1093"/>
    <hyperlink r:id="rId1261" ref="AX1094"/>
    <hyperlink r:id="rId1262" ref="AX1095"/>
    <hyperlink r:id="rId1263" ref="AX1096"/>
    <hyperlink r:id="rId1264" ref="AN1097"/>
    <hyperlink r:id="rId1265" ref="AX1097"/>
    <hyperlink r:id="rId1266" ref="AN1098"/>
    <hyperlink r:id="rId1267" ref="AS1098"/>
    <hyperlink r:id="rId1268" ref="AX1098"/>
    <hyperlink r:id="rId1269" ref="AX1099"/>
    <hyperlink r:id="rId1270" ref="AX1101"/>
    <hyperlink r:id="rId1271" ref="AX1102"/>
    <hyperlink r:id="rId1272" ref="AN1103"/>
    <hyperlink r:id="rId1273" ref="AX1103"/>
    <hyperlink r:id="rId1274" ref="AN1104"/>
    <hyperlink r:id="rId1275" ref="AX1104"/>
    <hyperlink r:id="rId1276" ref="AX1105"/>
    <hyperlink r:id="rId1277" ref="AX1106"/>
    <hyperlink r:id="rId1278" ref="AX1107"/>
    <hyperlink r:id="rId1279" ref="AX1108"/>
    <hyperlink r:id="rId1280" ref="AX1109"/>
    <hyperlink r:id="rId1281" ref="AX1111"/>
    <hyperlink r:id="rId1282" ref="AX1112"/>
    <hyperlink r:id="rId1283" ref="AN1113"/>
    <hyperlink r:id="rId1284" ref="AX1113"/>
    <hyperlink r:id="rId1285" ref="AN1114"/>
    <hyperlink r:id="rId1286" ref="AN1115"/>
    <hyperlink r:id="rId1287" ref="AX1115"/>
    <hyperlink r:id="rId1288" ref="AN1116"/>
    <hyperlink r:id="rId1289" ref="AN1117"/>
    <hyperlink r:id="rId1290" ref="AX1117"/>
    <hyperlink r:id="rId1291" ref="AN1118"/>
    <hyperlink r:id="rId1292" ref="AX1118"/>
    <hyperlink r:id="rId1293" ref="AN1119"/>
    <hyperlink r:id="rId1294" ref="AX1119"/>
    <hyperlink r:id="rId1295" ref="AX1120"/>
    <hyperlink r:id="rId1296" ref="AX1121"/>
    <hyperlink r:id="rId1297" ref="AX1122"/>
    <hyperlink r:id="rId1298" ref="AX1123"/>
    <hyperlink r:id="rId1299" ref="AX1124"/>
    <hyperlink r:id="rId1300" ref="AX1125"/>
    <hyperlink r:id="rId1301" ref="AX1126"/>
    <hyperlink r:id="rId1302" ref="N1127"/>
    <hyperlink r:id="rId1303" ref="AX1127"/>
    <hyperlink r:id="rId1304" ref="AX1128"/>
    <hyperlink r:id="rId1305" ref="AX1129"/>
    <hyperlink r:id="rId1306" ref="AX1130"/>
    <hyperlink r:id="rId1307" ref="AX1131"/>
    <hyperlink r:id="rId1308" ref="AX1132"/>
    <hyperlink r:id="rId1309" ref="AX1133"/>
    <hyperlink r:id="rId1310" ref="AX1134"/>
    <hyperlink r:id="rId1311" ref="AX1135"/>
    <hyperlink r:id="rId1312" ref="AX1136"/>
    <hyperlink r:id="rId1313" ref="AX1137"/>
    <hyperlink r:id="rId1314" ref="AX1138"/>
    <hyperlink r:id="rId1315" ref="AX1139"/>
    <hyperlink r:id="rId1316" ref="AX1140"/>
    <hyperlink r:id="rId1317" ref="AX1141"/>
    <hyperlink r:id="rId1318" ref="AN1142"/>
    <hyperlink r:id="rId1319" ref="AX1142"/>
    <hyperlink r:id="rId1320" ref="AN1143"/>
    <hyperlink r:id="rId1321" ref="AX1143"/>
    <hyperlink r:id="rId1322" ref="AX1144"/>
    <hyperlink r:id="rId1323" ref="AN1145"/>
    <hyperlink r:id="rId1324" ref="AX1145"/>
    <hyperlink r:id="rId1325" ref="AX1146"/>
    <hyperlink r:id="rId1326" ref="AX1147"/>
    <hyperlink r:id="rId1327" ref="AX1148"/>
    <hyperlink r:id="rId1328" ref="T1149"/>
    <hyperlink r:id="rId1329" ref="AX1149"/>
    <hyperlink r:id="rId1330" ref="T1150"/>
    <hyperlink r:id="rId1331" ref="AX1150"/>
    <hyperlink r:id="rId1332" ref="T1151"/>
    <hyperlink r:id="rId1333" ref="AX1151"/>
    <hyperlink r:id="rId1334" ref="T1152"/>
    <hyperlink r:id="rId1335" ref="AX1152"/>
    <hyperlink r:id="rId1336" ref="T1153"/>
    <hyperlink r:id="rId1337" ref="AX1153"/>
    <hyperlink r:id="rId1338" ref="T1154"/>
    <hyperlink r:id="rId1339" ref="AX1154"/>
    <hyperlink r:id="rId1340" ref="T1155"/>
    <hyperlink r:id="rId1341" ref="T1156"/>
    <hyperlink r:id="rId1342" ref="AN1156"/>
    <hyperlink r:id="rId1343" ref="T1157"/>
    <hyperlink r:id="rId1344" ref="AX1157"/>
    <hyperlink r:id="rId1345" ref="T1158"/>
    <hyperlink r:id="rId1346" ref="T1159"/>
    <hyperlink r:id="rId1347" ref="AX1159"/>
    <hyperlink r:id="rId1348" ref="T1160"/>
    <hyperlink r:id="rId1349" ref="AX1160"/>
    <hyperlink r:id="rId1350" ref="T1161"/>
    <hyperlink r:id="rId1351" ref="AX1161"/>
    <hyperlink r:id="rId1352" ref="T1162"/>
    <hyperlink r:id="rId1353" ref="AX1162"/>
    <hyperlink r:id="rId1354" ref="T1163"/>
    <hyperlink r:id="rId1355" ref="AX1163"/>
    <hyperlink r:id="rId1356" ref="T1164"/>
    <hyperlink r:id="rId1357" ref="AN1164"/>
    <hyperlink r:id="rId1358" ref="AX1164"/>
    <hyperlink r:id="rId1359" ref="T1165"/>
    <hyperlink r:id="rId1360" ref="AN1165"/>
    <hyperlink r:id="rId1361" ref="AX1165"/>
    <hyperlink r:id="rId1362" ref="T1166"/>
    <hyperlink r:id="rId1363" ref="AX1166"/>
    <hyperlink r:id="rId1364" ref="T1167"/>
    <hyperlink r:id="rId1365" ref="AX1167"/>
    <hyperlink r:id="rId1366" ref="T1168"/>
    <hyperlink r:id="rId1367" ref="T1169"/>
    <hyperlink r:id="rId1368" ref="AX1169"/>
    <hyperlink r:id="rId1369" ref="T1170"/>
    <hyperlink r:id="rId1370" ref="AX1170"/>
    <hyperlink r:id="rId1371" ref="T1171"/>
    <hyperlink r:id="rId1372" ref="AX1171"/>
    <hyperlink r:id="rId1373" ref="T1172"/>
    <hyperlink r:id="rId1374" ref="AX1172"/>
    <hyperlink r:id="rId1375" ref="T1173"/>
    <hyperlink r:id="rId1376" ref="AX1173"/>
    <hyperlink r:id="rId1377" ref="T1174"/>
    <hyperlink r:id="rId1378" ref="AX1174"/>
    <hyperlink r:id="rId1379" ref="T1175"/>
    <hyperlink r:id="rId1380" ref="AN1175"/>
    <hyperlink r:id="rId1381" ref="AX1175"/>
    <hyperlink r:id="rId1382" ref="T1176"/>
    <hyperlink r:id="rId1383" ref="AN1176"/>
    <hyperlink r:id="rId1384" ref="AX1176"/>
    <hyperlink r:id="rId1385" ref="T1177"/>
    <hyperlink r:id="rId1386" ref="AX1177"/>
    <hyperlink r:id="rId1387" ref="T1178"/>
    <hyperlink r:id="rId1388" ref="AS1178"/>
    <hyperlink r:id="rId1389" ref="AX1178"/>
    <hyperlink r:id="rId1390" ref="T1179"/>
    <hyperlink r:id="rId1391" ref="AX1179"/>
    <hyperlink r:id="rId1392" ref="T1180"/>
    <hyperlink r:id="rId1393" ref="AX1180"/>
    <hyperlink r:id="rId1394" ref="T1181"/>
    <hyperlink r:id="rId1395" ref="AX1181"/>
    <hyperlink r:id="rId1396" ref="T1182"/>
    <hyperlink r:id="rId1397" ref="AX1182"/>
    <hyperlink r:id="rId1398" ref="T1183"/>
    <hyperlink r:id="rId1399" ref="AX1183"/>
    <hyperlink r:id="rId1400" ref="T1184"/>
    <hyperlink r:id="rId1401" ref="AX1184"/>
    <hyperlink r:id="rId1402" ref="T1185"/>
    <hyperlink r:id="rId1403" ref="AX1185"/>
    <hyperlink r:id="rId1404" ref="T1186"/>
    <hyperlink r:id="rId1405" ref="AX1186"/>
    <hyperlink r:id="rId1406" ref="T1187"/>
    <hyperlink r:id="rId1407" ref="AX1187"/>
    <hyperlink r:id="rId1408" ref="T1188"/>
    <hyperlink r:id="rId1409" ref="AX1188"/>
    <hyperlink r:id="rId1410" ref="T1189"/>
    <hyperlink r:id="rId1411" ref="AX1189"/>
    <hyperlink r:id="rId1412" ref="L1190"/>
    <hyperlink r:id="rId1413" ref="T1190"/>
    <hyperlink r:id="rId1414" ref="AX1190"/>
    <hyperlink r:id="rId1415" ref="T1191"/>
    <hyperlink r:id="rId1416" ref="AN1191"/>
    <hyperlink r:id="rId1417" ref="AX1191"/>
    <hyperlink r:id="rId1418" ref="T1192"/>
    <hyperlink r:id="rId1419" ref="AW1192"/>
    <hyperlink r:id="rId1420" ref="AX1192"/>
    <hyperlink r:id="rId1421" ref="T1193"/>
    <hyperlink r:id="rId1422" ref="AX1193"/>
    <hyperlink r:id="rId1423" ref="T1194"/>
    <hyperlink r:id="rId1424" ref="AX1194"/>
    <hyperlink r:id="rId1425" ref="T1195"/>
    <hyperlink r:id="rId1426" ref="AX1195"/>
    <hyperlink r:id="rId1427" ref="BL1195"/>
    <hyperlink r:id="rId1428" ref="T1196"/>
    <hyperlink r:id="rId1429" ref="AX1196"/>
    <hyperlink r:id="rId1430" ref="T1197"/>
    <hyperlink r:id="rId1431" ref="AX1197"/>
    <hyperlink r:id="rId1432" ref="R1198"/>
    <hyperlink r:id="rId1433" ref="AW1198"/>
    <hyperlink r:id="rId1434" ref="AX1198"/>
    <hyperlink r:id="rId1435" ref="S1200"/>
    <hyperlink r:id="rId1436" ref="AW1200"/>
    <hyperlink r:id="rId1437" ref="S1201"/>
    <hyperlink r:id="rId1438" ref="S1202"/>
    <hyperlink r:id="rId1439" ref="AW1202"/>
    <hyperlink r:id="rId1440" ref="S1203"/>
    <hyperlink r:id="rId1441" ref="S1204"/>
    <hyperlink r:id="rId1442" ref="AW1204"/>
    <hyperlink r:id="rId1443" ref="S1205"/>
    <hyperlink r:id="rId1444" ref="S1206"/>
    <hyperlink r:id="rId1445" ref="AW1206"/>
    <hyperlink r:id="rId1446" ref="S1207"/>
    <hyperlink r:id="rId1447" ref="S1208"/>
    <hyperlink r:id="rId1448" ref="AW1208"/>
    <hyperlink r:id="rId1449" ref="S1209"/>
    <hyperlink r:id="rId1450" ref="S1210"/>
    <hyperlink r:id="rId1451" ref="AW1210"/>
    <hyperlink r:id="rId1452" ref="S1211"/>
    <hyperlink r:id="rId1453" ref="S1212"/>
    <hyperlink r:id="rId1454" ref="AW1212"/>
    <hyperlink r:id="rId1455" ref="S1213"/>
    <hyperlink r:id="rId1456" ref="S1214"/>
    <hyperlink r:id="rId1457" ref="AW1214"/>
    <hyperlink r:id="rId1458" ref="S1215"/>
    <hyperlink r:id="rId1459" ref="S1216"/>
    <hyperlink r:id="rId1460" ref="AW1216"/>
    <hyperlink r:id="rId1461" ref="S1217"/>
    <hyperlink r:id="rId1462" ref="S1218"/>
    <hyperlink r:id="rId1463" ref="AW1218"/>
    <hyperlink r:id="rId1464" ref="S1219"/>
    <hyperlink r:id="rId1465" ref="S1220"/>
    <hyperlink r:id="rId1466" ref="AW1220"/>
    <hyperlink r:id="rId1467" ref="S1221"/>
    <hyperlink r:id="rId1468" ref="S1222"/>
    <hyperlink r:id="rId1469" ref="AW1222"/>
    <hyperlink r:id="rId1470" ref="S1223"/>
    <hyperlink r:id="rId1471" ref="S1224"/>
    <hyperlink r:id="rId1472" ref="AW1224"/>
    <hyperlink r:id="rId1473" ref="S1225"/>
    <hyperlink r:id="rId1474" ref="S1226"/>
    <hyperlink r:id="rId1475" ref="AW1226"/>
    <hyperlink r:id="rId1476" ref="S1227"/>
    <hyperlink r:id="rId1477" ref="S1228"/>
    <hyperlink r:id="rId1478" ref="AW1228"/>
    <hyperlink r:id="rId1479" ref="S1229"/>
    <hyperlink r:id="rId1480" ref="S1230"/>
    <hyperlink r:id="rId1481" ref="AW1230"/>
    <hyperlink r:id="rId1482" ref="S1231"/>
    <hyperlink r:id="rId1483" ref="S1232"/>
    <hyperlink r:id="rId1484" ref="AW1232"/>
    <hyperlink r:id="rId1485" ref="S1233"/>
    <hyperlink r:id="rId1486" ref="S1234"/>
    <hyperlink r:id="rId1487" ref="AW1234"/>
    <hyperlink r:id="rId1488" ref="S1235"/>
    <hyperlink r:id="rId1489" ref="AW1236"/>
    <hyperlink r:id="rId1490" ref="AW1237"/>
    <hyperlink r:id="rId1491" ref="AW1238"/>
    <hyperlink r:id="rId1492" ref="AW1239"/>
    <hyperlink r:id="rId1493" ref="AW1240"/>
    <hyperlink r:id="rId1494" ref="AW1241"/>
    <hyperlink r:id="rId1495" ref="AW1242"/>
    <hyperlink r:id="rId1496" ref="AW1243"/>
    <hyperlink r:id="rId1497" ref="AW1244"/>
    <hyperlink r:id="rId1498" ref="AW1245"/>
    <hyperlink r:id="rId1499" ref="T1246"/>
    <hyperlink r:id="rId1500" ref="AW1246"/>
    <hyperlink r:id="rId1501" ref="AW1247"/>
    <hyperlink r:id="rId1502" ref="T1248"/>
    <hyperlink r:id="rId1503" ref="AW1248"/>
    <hyperlink r:id="rId1504" ref="AW1249"/>
    <hyperlink r:id="rId1505" ref="T1250"/>
    <hyperlink r:id="rId1506" ref="AW1250"/>
    <hyperlink r:id="rId1507" ref="AW1251"/>
    <hyperlink r:id="rId1508" ref="T1252"/>
    <hyperlink r:id="rId1509" ref="AW1252"/>
    <hyperlink r:id="rId1510" ref="AW1253"/>
    <hyperlink r:id="rId1511" ref="T1254"/>
    <hyperlink r:id="rId1512" ref="AW1254"/>
    <hyperlink r:id="rId1513" ref="AW1255"/>
    <hyperlink r:id="rId1514" ref="T1256"/>
    <hyperlink r:id="rId1515" ref="AW1256"/>
    <hyperlink r:id="rId1516" ref="AW1257"/>
    <hyperlink r:id="rId1517" ref="T1258"/>
    <hyperlink r:id="rId1518" ref="AW1258"/>
    <hyperlink r:id="rId1519" ref="AW1259"/>
    <hyperlink r:id="rId1520" ref="T1260"/>
    <hyperlink r:id="rId1521" ref="AW1260"/>
    <hyperlink r:id="rId1522" ref="AW1261"/>
    <hyperlink r:id="rId1523" ref="T1262"/>
    <hyperlink r:id="rId1524" ref="AW1262"/>
    <hyperlink r:id="rId1525" ref="AW1263"/>
    <hyperlink r:id="rId1526" ref="AW1264"/>
    <hyperlink r:id="rId1527" ref="AW1265"/>
    <hyperlink r:id="rId1528" ref="T1266"/>
    <hyperlink r:id="rId1529" ref="AW1266"/>
    <hyperlink r:id="rId1530" ref="AW1267"/>
    <hyperlink r:id="rId1531" ref="T1268"/>
    <hyperlink r:id="rId1532" ref="AW1268"/>
    <hyperlink r:id="rId1533" ref="AW1269"/>
    <hyperlink r:id="rId1534" ref="T1270"/>
    <hyperlink r:id="rId1535" ref="AW1270"/>
    <hyperlink r:id="rId1536" ref="AW1271"/>
    <hyperlink r:id="rId1537" ref="T1272"/>
    <hyperlink r:id="rId1538" ref="AW1272"/>
    <hyperlink r:id="rId1539" ref="AW1273"/>
    <hyperlink r:id="rId1540" ref="T1274"/>
    <hyperlink r:id="rId1541" ref="AW1274"/>
    <hyperlink r:id="rId1542" ref="AW1275"/>
    <hyperlink r:id="rId1543" ref="T1276"/>
    <hyperlink r:id="rId1544" ref="AW1276"/>
    <hyperlink r:id="rId1545" ref="AW1277"/>
    <hyperlink r:id="rId1546" ref="T1278"/>
    <hyperlink r:id="rId1547" ref="T1279"/>
    <hyperlink r:id="rId1548" ref="T1280"/>
    <hyperlink r:id="rId1549" ref="T1282"/>
    <hyperlink r:id="rId1550" ref="T1284"/>
    <hyperlink r:id="rId1551" ref="AW1284"/>
    <hyperlink r:id="rId1552" ref="T1285"/>
    <hyperlink r:id="rId1553" ref="AW1285"/>
    <hyperlink r:id="rId1554" ref="T1286"/>
    <hyperlink r:id="rId1555" ref="AW1286"/>
    <hyperlink r:id="rId1556" ref="T1287"/>
    <hyperlink r:id="rId1557" ref="AW1287"/>
    <hyperlink r:id="rId1558" ref="T1288"/>
    <hyperlink r:id="rId1559" ref="AW1288"/>
    <hyperlink r:id="rId1560" ref="T1289"/>
    <hyperlink r:id="rId1561" ref="AW1289"/>
    <hyperlink r:id="rId1562" ref="T1290"/>
    <hyperlink r:id="rId1563" ref="AW1290"/>
    <hyperlink r:id="rId1564" ref="T1291"/>
    <hyperlink r:id="rId1565" ref="AW1291"/>
    <hyperlink r:id="rId1566" ref="T1292"/>
    <hyperlink r:id="rId1567" ref="AW1292"/>
    <hyperlink r:id="rId1568" ref="T1293"/>
    <hyperlink r:id="rId1569" ref="AW1293"/>
    <hyperlink r:id="rId1570" ref="R1295"/>
    <hyperlink r:id="rId1571" ref="T1301"/>
    <hyperlink r:id="rId1572" ref="AW1310"/>
    <hyperlink r:id="rId1573" ref="AW1311"/>
    <hyperlink r:id="rId1574" ref="R1312"/>
    <hyperlink r:id="rId1575" ref="S1312"/>
    <hyperlink r:id="rId1576" ref="R1314"/>
    <hyperlink r:id="rId1577" ref="S1314"/>
    <hyperlink r:id="rId1578" ref="T1317"/>
    <hyperlink r:id="rId1579" ref="T1318"/>
    <hyperlink r:id="rId1580" ref="M1319"/>
    <hyperlink r:id="rId1581" ref="M1320"/>
    <hyperlink r:id="rId1582" ref="M1322"/>
    <hyperlink r:id="rId1583" ref="M1323"/>
    <hyperlink r:id="rId1584" ref="M1325"/>
    <hyperlink r:id="rId1585" ref="M1327"/>
    <hyperlink r:id="rId1586" ref="T1329"/>
    <hyperlink r:id="rId1587" ref="T1331"/>
    <hyperlink r:id="rId1588" ref="M1332"/>
    <hyperlink r:id="rId1589" ref="T1332"/>
    <hyperlink r:id="rId1590" ref="AW1332"/>
    <hyperlink r:id="rId1591" ref="M1333"/>
    <hyperlink r:id="rId1592" ref="M1334"/>
    <hyperlink r:id="rId1593" ref="M1335"/>
    <hyperlink r:id="rId1594" ref="M1336"/>
    <hyperlink r:id="rId1595" ref="M1337"/>
    <hyperlink r:id="rId1596" ref="M1338"/>
    <hyperlink r:id="rId1597" ref="T1340"/>
    <hyperlink r:id="rId1598" ref="Y1340"/>
    <hyperlink r:id="rId1599" ref="T1341"/>
    <hyperlink r:id="rId1600" ref="Y1341"/>
    <hyperlink r:id="rId1601" ref="AW1342"/>
    <hyperlink r:id="rId1602" ref="AW1343"/>
    <hyperlink r:id="rId1603" ref="AW1344"/>
    <hyperlink r:id="rId1604" ref="AW1345"/>
    <hyperlink r:id="rId1605" ref="T1346"/>
    <hyperlink r:id="rId1606" ref="T1347"/>
    <hyperlink r:id="rId1607" ref="AW1351"/>
    <hyperlink r:id="rId1608" ref="AW1352"/>
    <hyperlink r:id="rId1609" ref="AW1353"/>
    <hyperlink r:id="rId1610" ref="T1354"/>
    <hyperlink r:id="rId1611" ref="T1355"/>
    <hyperlink r:id="rId1612" ref="T1356"/>
    <hyperlink r:id="rId1613" ref="AW1357"/>
    <hyperlink r:id="rId1614" ref="AW1358"/>
    <hyperlink r:id="rId1615" ref="AW1359"/>
    <hyperlink r:id="rId1616" ref="AW1360"/>
    <hyperlink r:id="rId1617" ref="AW1361"/>
    <hyperlink r:id="rId1618" ref="T1362"/>
    <hyperlink r:id="rId1619" ref="T1380"/>
    <hyperlink r:id="rId1620" ref="AW1380"/>
    <hyperlink r:id="rId1621" ref="T1381"/>
    <hyperlink r:id="rId1622" ref="AW1381"/>
    <hyperlink r:id="rId1623" ref="T1382"/>
    <hyperlink r:id="rId1624" ref="AW1382"/>
    <hyperlink r:id="rId1625" ref="T1383"/>
    <hyperlink r:id="rId1626" ref="AW1383"/>
    <hyperlink r:id="rId1627" ref="T1384"/>
    <hyperlink r:id="rId1628" ref="AW1384"/>
    <hyperlink r:id="rId1629" ref="T1385"/>
    <hyperlink r:id="rId1630" ref="T1386"/>
    <hyperlink r:id="rId1631" ref="T1387"/>
    <hyperlink r:id="rId1632" ref="AW1400"/>
    <hyperlink r:id="rId1633" ref="AW1401"/>
    <hyperlink r:id="rId1634" ref="AX1401"/>
    <hyperlink r:id="rId1635" ref="AW1402"/>
    <hyperlink r:id="rId1636" ref="AW1403"/>
    <hyperlink r:id="rId1637" ref="AX1403"/>
    <hyperlink r:id="rId1638" ref="AW1407"/>
    <hyperlink r:id="rId1639" ref="L1408"/>
    <hyperlink r:id="rId1640" ref="L1410"/>
    <hyperlink r:id="rId1641" ref="T1426"/>
    <hyperlink r:id="rId1642" ref="T1427"/>
    <hyperlink r:id="rId1643" ref="T1428"/>
    <hyperlink r:id="rId1644" ref="T1429"/>
    <hyperlink r:id="rId1645" ref="R1430"/>
    <hyperlink r:id="rId1646" ref="T1438"/>
    <hyperlink r:id="rId1647" ref="T1439"/>
    <hyperlink r:id="rId1648" ref="AW1444"/>
    <hyperlink r:id="rId1649" ref="AX1444"/>
    <hyperlink r:id="rId1650" ref="AW1445"/>
    <hyperlink r:id="rId1651" ref="AW1446"/>
    <hyperlink r:id="rId1652" ref="T1447"/>
    <hyperlink r:id="rId1653" ref="T1448"/>
    <hyperlink r:id="rId1654" ref="AW1449"/>
    <hyperlink r:id="rId1655" ref="AX1449"/>
    <hyperlink r:id="rId1656" ref="R1451"/>
    <hyperlink r:id="rId1657" ref="S1451"/>
    <hyperlink r:id="rId1658" ref="R1452"/>
    <hyperlink r:id="rId1659" ref="S1452"/>
    <hyperlink r:id="rId1660" ref="R1453"/>
    <hyperlink r:id="rId1661" ref="S1453"/>
    <hyperlink r:id="rId1662" ref="R1454"/>
    <hyperlink r:id="rId1663" ref="T1455"/>
    <hyperlink r:id="rId1664" ref="T1456"/>
    <hyperlink r:id="rId1665" ref="T1457"/>
    <hyperlink r:id="rId1666" ref="T1458"/>
    <hyperlink r:id="rId1667" ref="AW1458"/>
    <hyperlink r:id="rId1668" ref="T1459"/>
    <hyperlink r:id="rId1669" ref="T1460"/>
    <hyperlink r:id="rId1670" ref="AW1460"/>
    <hyperlink r:id="rId1671" ref="T1461"/>
    <hyperlink r:id="rId1672" ref="T1462"/>
    <hyperlink r:id="rId1673" ref="AW1462"/>
    <hyperlink r:id="rId1674" ref="AW1463"/>
    <hyperlink r:id="rId1675" ref="AX1463"/>
    <hyperlink r:id="rId1676" ref="AW1464"/>
    <hyperlink r:id="rId1677" ref="AX1464"/>
    <hyperlink r:id="rId1678" ref="AW1465"/>
    <hyperlink r:id="rId1679" ref="AX1465"/>
    <hyperlink r:id="rId1680" ref="AW1466"/>
    <hyperlink r:id="rId1681" ref="AX1466"/>
    <hyperlink r:id="rId1682" ref="AW1467"/>
    <hyperlink r:id="rId1683" ref="T1468"/>
    <hyperlink r:id="rId1684" ref="T1469"/>
    <hyperlink r:id="rId1685" ref="T1470"/>
    <hyperlink r:id="rId1686" ref="T1471"/>
    <hyperlink r:id="rId1687" ref="AW1472"/>
    <hyperlink r:id="rId1688" ref="AX1472"/>
    <hyperlink r:id="rId1689" ref="AW1473"/>
    <hyperlink r:id="rId1690" ref="AX1473"/>
    <hyperlink r:id="rId1691" ref="AW1474"/>
    <hyperlink r:id="rId1692" ref="AX1474"/>
    <hyperlink r:id="rId1693" ref="AW1475"/>
    <hyperlink r:id="rId1694" ref="AX1475"/>
    <hyperlink r:id="rId1695" ref="T1476"/>
    <hyperlink r:id="rId1696" ref="T1477"/>
    <hyperlink r:id="rId1697" ref="T1478"/>
    <hyperlink r:id="rId1698" ref="T1479"/>
    <hyperlink r:id="rId1699" ref="T1480"/>
    <hyperlink r:id="rId1700" ref="T1481"/>
    <hyperlink r:id="rId1701" ref="T1482"/>
    <hyperlink r:id="rId1702" ref="T1483"/>
    <hyperlink r:id="rId1703" ref="T1484"/>
    <hyperlink r:id="rId1704" ref="T1485"/>
    <hyperlink r:id="rId1705" ref="T1486"/>
    <hyperlink r:id="rId1706" ref="T1487"/>
    <hyperlink r:id="rId1707" ref="T1488"/>
    <hyperlink r:id="rId1708" ref="AW1488"/>
    <hyperlink r:id="rId1709" ref="T1489"/>
    <hyperlink r:id="rId1710" ref="AW1489"/>
    <hyperlink r:id="rId1711" ref="T1490"/>
    <hyperlink r:id="rId1712" ref="AW1490"/>
    <hyperlink r:id="rId1713" ref="T1491"/>
    <hyperlink r:id="rId1714" ref="AW1491"/>
    <hyperlink r:id="rId1715" ref="T1492"/>
    <hyperlink r:id="rId1716" ref="AW1492"/>
    <hyperlink r:id="rId1717" ref="T1493"/>
    <hyperlink r:id="rId1718" ref="AW1493"/>
    <hyperlink r:id="rId1719" ref="T1494"/>
    <hyperlink r:id="rId1720" ref="AW1494"/>
    <hyperlink r:id="rId1721" ref="T1495"/>
    <hyperlink r:id="rId1722" ref="AW1495"/>
    <hyperlink r:id="rId1723" ref="T1496"/>
    <hyperlink r:id="rId1724" ref="AW1496"/>
    <hyperlink r:id="rId1725" ref="T1497"/>
    <hyperlink r:id="rId1726" ref="AW1497"/>
    <hyperlink r:id="rId1727" ref="T1498"/>
    <hyperlink r:id="rId1728" ref="AW1498"/>
    <hyperlink r:id="rId1729" ref="T1499"/>
    <hyperlink r:id="rId1730" ref="AW1499"/>
    <hyperlink r:id="rId1731" ref="T1500"/>
    <hyperlink r:id="rId1732" ref="AW1500"/>
    <hyperlink r:id="rId1733" ref="R1501"/>
    <hyperlink r:id="rId1734" ref="AR1501"/>
    <hyperlink r:id="rId1735" ref="AW1501"/>
    <hyperlink r:id="rId1736" ref="AX1501"/>
    <hyperlink r:id="rId1737" ref="AR1505"/>
    <hyperlink r:id="rId1738" ref="AW1505"/>
    <hyperlink r:id="rId1739" ref="AX1505"/>
    <hyperlink r:id="rId1740" ref="AR1506"/>
    <hyperlink r:id="rId1741" ref="AW1506"/>
    <hyperlink r:id="rId1742" ref="AX1506"/>
    <hyperlink r:id="rId1743" ref="AW1507"/>
    <hyperlink r:id="rId1744" ref="AX1507"/>
    <hyperlink r:id="rId1745" ref="AW1509"/>
    <hyperlink r:id="rId1746" ref="AX1509"/>
    <hyperlink r:id="rId1747" ref="AW1510"/>
    <hyperlink r:id="rId1748" ref="AX1510"/>
    <hyperlink r:id="rId1749" ref="AW1511"/>
    <hyperlink r:id="rId1750" ref="AX1511"/>
    <hyperlink r:id="rId1751" ref="AW1512"/>
    <hyperlink r:id="rId1752" ref="AX1512"/>
    <hyperlink r:id="rId1753" ref="AW1513"/>
    <hyperlink r:id="rId1754" ref="AX1513"/>
    <hyperlink r:id="rId1755" ref="AW1514"/>
    <hyperlink r:id="rId1756" ref="AX1514"/>
    <hyperlink r:id="rId1757" ref="AW1515"/>
    <hyperlink r:id="rId1758" ref="AX1515"/>
    <hyperlink r:id="rId1759" ref="AW1516"/>
    <hyperlink r:id="rId1760" ref="AX1516"/>
    <hyperlink r:id="rId1761" ref="AW1517"/>
    <hyperlink r:id="rId1762" ref="AX1517"/>
    <hyperlink r:id="rId1763" ref="AW1518"/>
    <hyperlink r:id="rId1764" ref="AX1518"/>
    <hyperlink r:id="rId1765" ref="AW1519"/>
    <hyperlink r:id="rId1766" ref="AX1519"/>
    <hyperlink r:id="rId1767" ref="AW1520"/>
    <hyperlink r:id="rId1768" ref="AX1520"/>
    <hyperlink r:id="rId1769" ref="R1521"/>
    <hyperlink r:id="rId1770" ref="S1521"/>
    <hyperlink r:id="rId1771" ref="AW1521"/>
    <hyperlink r:id="rId1772" ref="AX1521"/>
    <hyperlink r:id="rId1773" ref="AW1522"/>
    <hyperlink r:id="rId1774" ref="AX1522"/>
    <hyperlink r:id="rId1775" ref="AW1523"/>
    <hyperlink r:id="rId1776" ref="AX1523"/>
    <hyperlink r:id="rId1777" ref="AR1524"/>
    <hyperlink r:id="rId1778" ref="AS1524"/>
    <hyperlink r:id="rId1779" ref="AT1524"/>
    <hyperlink r:id="rId1780" ref="AW1524"/>
    <hyperlink r:id="rId1781" ref="AX1524"/>
    <hyperlink r:id="rId1782" ref="AW1525"/>
    <hyperlink r:id="rId1783" ref="AX1525"/>
    <hyperlink r:id="rId1784" ref="AW1526"/>
    <hyperlink r:id="rId1785" ref="AX1526"/>
    <hyperlink r:id="rId1786" ref="K1527"/>
    <hyperlink r:id="rId1787" ref="M1527"/>
    <hyperlink r:id="rId1788" ref="T1527"/>
    <hyperlink r:id="rId1789" ref="AW1527"/>
    <hyperlink r:id="rId1790" ref="M1528"/>
    <hyperlink r:id="rId1791" ref="T1528"/>
    <hyperlink r:id="rId1792" ref="M1529"/>
    <hyperlink r:id="rId1793" ref="T1529"/>
    <hyperlink r:id="rId1794" ref="AW1529"/>
    <hyperlink r:id="rId1795" ref="M1530"/>
    <hyperlink r:id="rId1796" ref="T1530"/>
    <hyperlink r:id="rId1797" ref="K1531"/>
    <hyperlink r:id="rId1798" ref="M1531"/>
    <hyperlink r:id="rId1799" ref="T1531"/>
    <hyperlink r:id="rId1800" ref="AW1531"/>
    <hyperlink r:id="rId1801" ref="M1532"/>
    <hyperlink r:id="rId1802" ref="T1532"/>
    <hyperlink r:id="rId1803" ref="M1533"/>
    <hyperlink r:id="rId1804" ref="T1533"/>
    <hyperlink r:id="rId1805" ref="AW1533"/>
    <hyperlink r:id="rId1806" ref="M1534"/>
    <hyperlink r:id="rId1807" ref="T1534"/>
    <hyperlink r:id="rId1808" ref="M1535"/>
    <hyperlink r:id="rId1809" ref="T1535"/>
    <hyperlink r:id="rId1810" ref="AW1535"/>
    <hyperlink r:id="rId1811" ref="M1536"/>
    <hyperlink r:id="rId1812" ref="T1536"/>
    <hyperlink r:id="rId1813" ref="M1537"/>
    <hyperlink r:id="rId1814" ref="T1537"/>
    <hyperlink r:id="rId1815" ref="AW1537"/>
    <hyperlink r:id="rId1816" ref="M1538"/>
    <hyperlink r:id="rId1817" ref="T1538"/>
    <hyperlink r:id="rId1818" ref="M1539"/>
    <hyperlink r:id="rId1819" ref="T1539"/>
    <hyperlink r:id="rId1820" ref="AW1539"/>
    <hyperlink r:id="rId1821" ref="M1540"/>
    <hyperlink r:id="rId1822" ref="T1540"/>
    <hyperlink r:id="rId1823" ref="M1541"/>
    <hyperlink r:id="rId1824" ref="T1541"/>
    <hyperlink r:id="rId1825" ref="AW1541"/>
    <hyperlink r:id="rId1826" ref="M1542"/>
    <hyperlink r:id="rId1827" ref="T1542"/>
    <hyperlink r:id="rId1828" ref="M1543"/>
    <hyperlink r:id="rId1829" ref="T1543"/>
    <hyperlink r:id="rId1830" ref="AN1543"/>
    <hyperlink r:id="rId1831" ref="AW1543"/>
    <hyperlink r:id="rId1832" ref="M1544"/>
    <hyperlink r:id="rId1833" ref="T1544"/>
    <hyperlink r:id="rId1834" ref="M1545"/>
    <hyperlink r:id="rId1835" ref="T1545"/>
    <hyperlink r:id="rId1836" ref="AN1545"/>
    <hyperlink r:id="rId1837" ref="AW1545"/>
    <hyperlink r:id="rId1838" ref="M1546"/>
    <hyperlink r:id="rId1839" ref="T1546"/>
    <hyperlink r:id="rId1840" ref="M1547"/>
    <hyperlink r:id="rId1841" ref="T1547"/>
    <hyperlink r:id="rId1842" ref="AW1547"/>
    <hyperlink r:id="rId1843" ref="M1548"/>
    <hyperlink r:id="rId1844" ref="T1548"/>
    <hyperlink r:id="rId1845" ref="K1549"/>
    <hyperlink r:id="rId1846" ref="M1549"/>
    <hyperlink r:id="rId1847" ref="T1549"/>
    <hyperlink r:id="rId1848" ref="AW1549"/>
    <hyperlink r:id="rId1849" ref="M1550"/>
    <hyperlink r:id="rId1850" ref="T1550"/>
    <hyperlink r:id="rId1851" ref="K1551"/>
    <hyperlink r:id="rId1852" ref="M1551"/>
    <hyperlink r:id="rId1853" ref="N1551"/>
    <hyperlink r:id="rId1854" ref="T1551"/>
    <hyperlink r:id="rId1855" ref="AW1551"/>
    <hyperlink r:id="rId1856" ref="M1552"/>
    <hyperlink r:id="rId1857" ref="N1552"/>
    <hyperlink r:id="rId1858" ref="T1552"/>
    <hyperlink r:id="rId1859" ref="M1553"/>
    <hyperlink r:id="rId1860" ref="T1553"/>
    <hyperlink r:id="rId1861" ref="AW1553"/>
    <hyperlink r:id="rId1862" ref="M1554"/>
    <hyperlink r:id="rId1863" ref="T1554"/>
    <hyperlink r:id="rId1864" ref="M1555"/>
    <hyperlink r:id="rId1865" ref="T1555"/>
    <hyperlink r:id="rId1866" ref="AW1555"/>
    <hyperlink r:id="rId1867" ref="M1556"/>
    <hyperlink r:id="rId1868" ref="T1556"/>
    <hyperlink r:id="rId1869" ref="K1557"/>
    <hyperlink r:id="rId1870" ref="M1557"/>
    <hyperlink r:id="rId1871" ref="T1557"/>
    <hyperlink r:id="rId1872" ref="AN1557"/>
    <hyperlink r:id="rId1873" ref="AW1557"/>
    <hyperlink r:id="rId1874" ref="M1558"/>
    <hyperlink r:id="rId1875" ref="T1558"/>
    <hyperlink r:id="rId1876" ref="K1559"/>
    <hyperlink r:id="rId1877" ref="M1559"/>
    <hyperlink r:id="rId1878" ref="T1559"/>
    <hyperlink r:id="rId1879" ref="AW1559"/>
    <hyperlink r:id="rId1880" ref="M1560"/>
    <hyperlink r:id="rId1881" ref="T1560"/>
    <hyperlink r:id="rId1882" ref="M1561"/>
    <hyperlink r:id="rId1883" ref="T1561"/>
    <hyperlink r:id="rId1884" ref="AN1561"/>
    <hyperlink r:id="rId1885" ref="AW1561"/>
    <hyperlink r:id="rId1886" ref="M1562"/>
    <hyperlink r:id="rId1887" ref="T1562"/>
    <hyperlink r:id="rId1888" ref="M1563"/>
    <hyperlink r:id="rId1889" ref="T1563"/>
    <hyperlink r:id="rId1890" ref="AW1563"/>
    <hyperlink r:id="rId1891" ref="M1564"/>
    <hyperlink r:id="rId1892" ref="T1564"/>
    <hyperlink r:id="rId1893" ref="M1565"/>
    <hyperlink r:id="rId1894" ref="T1565"/>
    <hyperlink r:id="rId1895" ref="AW1565"/>
    <hyperlink r:id="rId1896" ref="M1566"/>
    <hyperlink r:id="rId1897" ref="T1566"/>
    <hyperlink r:id="rId1898" ref="M1567"/>
    <hyperlink r:id="rId1899" ref="T1567"/>
    <hyperlink r:id="rId1900" ref="AW1567"/>
    <hyperlink r:id="rId1901" ref="M1568"/>
    <hyperlink r:id="rId1902" ref="T1568"/>
    <hyperlink r:id="rId1903" ref="M1569"/>
    <hyperlink r:id="rId1904" ref="T1569"/>
    <hyperlink r:id="rId1905" ref="AW1569"/>
    <hyperlink r:id="rId1906" ref="M1570"/>
    <hyperlink r:id="rId1907" ref="T1570"/>
    <hyperlink r:id="rId1908" ref="M1571"/>
    <hyperlink r:id="rId1909" ref="T1571"/>
    <hyperlink r:id="rId1910" ref="AW1571"/>
    <hyperlink r:id="rId1911" ref="M1572"/>
    <hyperlink r:id="rId1912" ref="T1572"/>
    <hyperlink r:id="rId1913" ref="M1573"/>
    <hyperlink r:id="rId1914" ref="T1573"/>
    <hyperlink r:id="rId1915" ref="AW1573"/>
    <hyperlink r:id="rId1916" ref="M1574"/>
    <hyperlink r:id="rId1917" ref="M1575"/>
    <hyperlink r:id="rId1918" ref="AW1575"/>
    <hyperlink r:id="rId1919" ref="M1576"/>
    <hyperlink r:id="rId1920" ref="M1577"/>
    <hyperlink r:id="rId1921" ref="AW1577"/>
    <hyperlink r:id="rId1922" ref="M1578"/>
    <hyperlink r:id="rId1923" ref="AW1579"/>
    <hyperlink r:id="rId1924" ref="AW1580"/>
    <hyperlink r:id="rId1925" ref="AW1581"/>
    <hyperlink r:id="rId1926" ref="AW1582"/>
    <hyperlink r:id="rId1927" ref="AX1582"/>
    <hyperlink r:id="rId1928" ref="K1583"/>
    <hyperlink r:id="rId1929" ref="R1583"/>
    <hyperlink r:id="rId1930" ref="S1583"/>
    <hyperlink r:id="rId1931" ref="AW1583"/>
    <hyperlink r:id="rId1932" ref="AX1583"/>
    <hyperlink r:id="rId1933" ref="K1584"/>
    <hyperlink r:id="rId1934" ref="R1584"/>
    <hyperlink r:id="rId1935" ref="S1584"/>
    <hyperlink r:id="rId1936" ref="AW1584"/>
    <hyperlink r:id="rId1937" ref="AX1584"/>
    <hyperlink r:id="rId1938" ref="K1585"/>
    <hyperlink r:id="rId1939" ref="R1585"/>
    <hyperlink r:id="rId1940" ref="S1585"/>
    <hyperlink r:id="rId1941" ref="AW1585"/>
    <hyperlink r:id="rId1942" ref="AX1585"/>
    <hyperlink r:id="rId1943" ref="K1586"/>
    <hyperlink r:id="rId1944" ref="R1586"/>
    <hyperlink r:id="rId1945" ref="S1586"/>
    <hyperlink r:id="rId1946" ref="AW1586"/>
    <hyperlink r:id="rId1947" ref="AX1586"/>
    <hyperlink r:id="rId1948" ref="K1587"/>
    <hyperlink r:id="rId1949" ref="R1587"/>
    <hyperlink r:id="rId1950" ref="S1587"/>
    <hyperlink r:id="rId1951" ref="AW1587"/>
    <hyperlink r:id="rId1952" ref="AX1587"/>
    <hyperlink r:id="rId1953" ref="K1588"/>
    <hyperlink r:id="rId1954" ref="R1588"/>
    <hyperlink r:id="rId1955" ref="S1588"/>
    <hyperlink r:id="rId1956" ref="AW1588"/>
    <hyperlink r:id="rId1957" ref="AX1588"/>
    <hyperlink r:id="rId1958" ref="K1589"/>
    <hyperlink r:id="rId1959" ref="R1589"/>
    <hyperlink r:id="rId1960" ref="S1589"/>
    <hyperlink r:id="rId1961" ref="AW1589"/>
    <hyperlink r:id="rId1962" ref="AX1589"/>
    <hyperlink r:id="rId1963" ref="Y1647"/>
    <hyperlink r:id="rId1964" ref="AW1658"/>
    <hyperlink r:id="rId1965" ref="M1659"/>
    <hyperlink r:id="rId1966" ref="AW1659"/>
    <hyperlink r:id="rId1967" ref="M1660"/>
    <hyperlink r:id="rId1968" ref="AW1660"/>
    <hyperlink r:id="rId1969" ref="M1661"/>
    <hyperlink r:id="rId1970" ref="AW1661"/>
    <hyperlink r:id="rId1971" ref="AW1662"/>
    <hyperlink r:id="rId1972" ref="AW1663"/>
    <hyperlink r:id="rId1973" ref="AW1664"/>
    <hyperlink r:id="rId1974" ref="AW1665"/>
    <hyperlink r:id="rId1975" ref="AW1666"/>
    <hyperlink r:id="rId1976" ref="AW1667"/>
    <hyperlink r:id="rId1977" ref="AW1668"/>
    <hyperlink r:id="rId1978" ref="AW1669"/>
    <hyperlink r:id="rId1979" ref="AW1670"/>
    <hyperlink r:id="rId1980" ref="AW1671"/>
    <hyperlink r:id="rId1981" ref="AW1672"/>
    <hyperlink r:id="rId1982" ref="AW1673"/>
    <hyperlink r:id="rId1983" ref="AW1674"/>
    <hyperlink r:id="rId1984" ref="AW1675"/>
    <hyperlink r:id="rId1985" ref="AW1676"/>
    <hyperlink r:id="rId1986" ref="AW1677"/>
    <hyperlink r:id="rId1987" ref="AW1678"/>
    <hyperlink r:id="rId1988" ref="AW1679"/>
    <hyperlink r:id="rId1989" ref="AW1680"/>
    <hyperlink r:id="rId1990" ref="AW1681"/>
    <hyperlink r:id="rId1991" ref="AW1682"/>
    <hyperlink r:id="rId1992" ref="AW1683"/>
    <hyperlink r:id="rId1993" ref="AW1684"/>
    <hyperlink r:id="rId1994" ref="AW1685"/>
    <hyperlink r:id="rId1995" ref="AW1686"/>
    <hyperlink r:id="rId1996" ref="AW1687"/>
    <hyperlink r:id="rId1997" ref="AW1688"/>
    <hyperlink r:id="rId1998" ref="AW1689"/>
    <hyperlink r:id="rId1999" ref="AW1690"/>
    <hyperlink r:id="rId2000" ref="AW1691"/>
    <hyperlink r:id="rId2001" ref="AW1692"/>
    <hyperlink r:id="rId2002" ref="AW1693"/>
    <hyperlink r:id="rId2003" ref="AW1694"/>
    <hyperlink r:id="rId2004" ref="AW1695"/>
    <hyperlink r:id="rId2005" ref="AW1696"/>
    <hyperlink r:id="rId2006" ref="AW1697"/>
    <hyperlink r:id="rId2007" ref="AW1698"/>
    <hyperlink r:id="rId2008" ref="AW1699"/>
    <hyperlink r:id="rId2009" ref="AW1700"/>
    <hyperlink r:id="rId2010" ref="AW1701"/>
    <hyperlink r:id="rId2011" ref="AW1702"/>
    <hyperlink r:id="rId2012" ref="AW1703"/>
    <hyperlink r:id="rId2013" ref="AW1704"/>
    <hyperlink r:id="rId2014" ref="AW1705"/>
    <hyperlink r:id="rId2015" ref="AW1706"/>
    <hyperlink r:id="rId2016" ref="AW1707"/>
    <hyperlink r:id="rId2017" ref="AW1708"/>
    <hyperlink r:id="rId2018" ref="AW1709"/>
    <hyperlink r:id="rId2019" ref="AW1710"/>
    <hyperlink r:id="rId2020" ref="AW1711"/>
    <hyperlink r:id="rId2021" ref="AW1712"/>
    <hyperlink r:id="rId2022" ref="AW1713"/>
    <hyperlink r:id="rId2023" ref="AW1714"/>
    <hyperlink r:id="rId2024" ref="AW1715"/>
    <hyperlink r:id="rId2025" ref="AW1716"/>
    <hyperlink r:id="rId2026" ref="AW1717"/>
    <hyperlink r:id="rId2027" ref="AW1718"/>
    <hyperlink r:id="rId2028" ref="AW1719"/>
    <hyperlink r:id="rId2029" ref="AW1720"/>
    <hyperlink r:id="rId2030" ref="AW1721"/>
    <hyperlink r:id="rId2031" ref="AW1722"/>
    <hyperlink r:id="rId2032" ref="AW1723"/>
    <hyperlink r:id="rId2033" ref="AW1724"/>
    <hyperlink r:id="rId2034" ref="AW1725"/>
    <hyperlink r:id="rId2035" ref="AW1726"/>
    <hyperlink r:id="rId2036" ref="AW1727"/>
    <hyperlink r:id="rId2037" ref="AW1728"/>
    <hyperlink r:id="rId2038" ref="AW1729"/>
    <hyperlink r:id="rId2039" ref="AW1730"/>
    <hyperlink r:id="rId2040" ref="AW1731"/>
    <hyperlink r:id="rId2041" ref="S1732"/>
    <hyperlink r:id="rId2042" ref="AW1732"/>
    <hyperlink r:id="rId2043" ref="AW1733"/>
    <hyperlink r:id="rId2044" ref="AW1734"/>
    <hyperlink r:id="rId2045" ref="AW1735"/>
    <hyperlink r:id="rId2046" ref="AW1736"/>
    <hyperlink r:id="rId2047" ref="AW1737"/>
    <hyperlink r:id="rId2048" ref="AW1738"/>
    <hyperlink r:id="rId2049" ref="AW1739"/>
    <hyperlink r:id="rId2050" ref="AW1740"/>
    <hyperlink r:id="rId2051" ref="AW1741"/>
    <hyperlink r:id="rId2052" ref="AW1742"/>
    <hyperlink r:id="rId2053" ref="AW1743"/>
    <hyperlink r:id="rId2054" ref="AW1744"/>
    <hyperlink r:id="rId2055" ref="AW1745"/>
    <hyperlink r:id="rId2056" ref="AW1746"/>
    <hyperlink r:id="rId2057" ref="AW1747"/>
    <hyperlink r:id="rId2058" ref="AW1748"/>
    <hyperlink r:id="rId2059" ref="AW1749"/>
    <hyperlink r:id="rId2060" ref="AW1750"/>
    <hyperlink r:id="rId2061" ref="AW1751"/>
    <hyperlink r:id="rId2062" ref="AW1752"/>
    <hyperlink r:id="rId2063" ref="AW1753"/>
    <hyperlink r:id="rId2064" ref="AW1754"/>
    <hyperlink r:id="rId2065" ref="AW1755"/>
    <hyperlink r:id="rId2066" ref="AW1756"/>
    <hyperlink r:id="rId2067" ref="AW1757"/>
    <hyperlink r:id="rId2068" ref="AW1758"/>
    <hyperlink r:id="rId2069" ref="AW1759"/>
    <hyperlink r:id="rId2070" ref="AW1760"/>
    <hyperlink r:id="rId2071" ref="AW1761"/>
    <hyperlink r:id="rId2072" ref="AW1762"/>
    <hyperlink r:id="rId2073" ref="AW1763"/>
    <hyperlink r:id="rId2074" ref="AW1764"/>
    <hyperlink r:id="rId2075" ref="AW1765"/>
    <hyperlink r:id="rId2076" ref="AW1766"/>
    <hyperlink r:id="rId2077" ref="AW1768"/>
    <hyperlink r:id="rId2078" ref="AW1769"/>
    <hyperlink r:id="rId2079" ref="AW1770"/>
    <hyperlink r:id="rId2080" ref="AW1771"/>
    <hyperlink r:id="rId2081" ref="AW1772"/>
    <hyperlink r:id="rId2082" ref="AW1773"/>
    <hyperlink r:id="rId2083" ref="AW1774"/>
    <hyperlink r:id="rId2084" ref="AW1775"/>
    <hyperlink r:id="rId2085" ref="AW1776"/>
    <hyperlink r:id="rId2086" ref="AW1777"/>
    <hyperlink r:id="rId2087" ref="AW1778"/>
    <hyperlink r:id="rId2088" ref="AW1779"/>
    <hyperlink r:id="rId2089" ref="AW1780"/>
    <hyperlink r:id="rId2090" ref="AW1781"/>
    <hyperlink r:id="rId2091" ref="AW1782"/>
    <hyperlink r:id="rId2092" ref="AW1783"/>
    <hyperlink r:id="rId2093" ref="AW1784"/>
    <hyperlink r:id="rId2094" ref="AW1785"/>
    <hyperlink r:id="rId2095" ref="AW1786"/>
    <hyperlink r:id="rId2096" ref="AW1787"/>
    <hyperlink r:id="rId2097" ref="AW1788"/>
    <hyperlink r:id="rId2098" ref="AW1789"/>
    <hyperlink r:id="rId2099" ref="AW1790"/>
    <hyperlink r:id="rId2100" ref="AW1791"/>
    <hyperlink r:id="rId2101" ref="AW1792"/>
    <hyperlink r:id="rId2102" ref="AW1793"/>
    <hyperlink r:id="rId2103" ref="AW1794"/>
    <hyperlink r:id="rId2104" ref="AW1795"/>
    <hyperlink r:id="rId2105" ref="AW1796"/>
    <hyperlink r:id="rId2106" ref="AW1797"/>
    <hyperlink r:id="rId2107" ref="AW1798"/>
    <hyperlink r:id="rId2108" ref="AW1799"/>
    <hyperlink r:id="rId2109" ref="AW1800"/>
    <hyperlink r:id="rId2110" ref="AW1801"/>
    <hyperlink r:id="rId2111" ref="AW1802"/>
    <hyperlink r:id="rId2112" ref="AW1803"/>
    <hyperlink r:id="rId2113" ref="AW1804"/>
    <hyperlink r:id="rId2114" ref="AW1805"/>
    <hyperlink r:id="rId2115" ref="AW1806"/>
    <hyperlink r:id="rId2116" ref="AW1807"/>
    <hyperlink r:id="rId2117" ref="AW1808"/>
    <hyperlink r:id="rId2118" ref="AW1809"/>
    <hyperlink r:id="rId2119" ref="AW1810"/>
    <hyperlink r:id="rId2120" ref="AW1811"/>
    <hyperlink r:id="rId2121" ref="AW1812"/>
    <hyperlink r:id="rId2122" ref="AW1813"/>
    <hyperlink r:id="rId2123" ref="AW1814"/>
    <hyperlink r:id="rId2124" ref="AW1815"/>
    <hyperlink r:id="rId2125" ref="AW1816"/>
    <hyperlink r:id="rId2126" ref="AW1817"/>
    <hyperlink r:id="rId2127" ref="AW1818"/>
    <hyperlink r:id="rId2128" ref="AW1819"/>
    <hyperlink r:id="rId2129" ref="AW1820"/>
    <hyperlink r:id="rId2130" ref="AW1821"/>
    <hyperlink r:id="rId2131" ref="AW1822"/>
    <hyperlink r:id="rId2132" ref="AW1823"/>
    <hyperlink r:id="rId2133" ref="AW1824"/>
    <hyperlink r:id="rId2134" ref="AW1825"/>
    <hyperlink r:id="rId2135" ref="AW1826"/>
    <hyperlink r:id="rId2136" ref="AW1827"/>
    <hyperlink r:id="rId2137" ref="AW1828"/>
    <hyperlink r:id="rId2138" ref="AW1829"/>
    <hyperlink r:id="rId2139" ref="AW1830"/>
    <hyperlink r:id="rId2140" ref="AW1831"/>
    <hyperlink r:id="rId2141" ref="AW1832"/>
    <hyperlink r:id="rId2142" ref="AW1833"/>
    <hyperlink r:id="rId2143" ref="AW1834"/>
    <hyperlink r:id="rId2144" ref="AW1835"/>
    <hyperlink r:id="rId2145" ref="AW1836"/>
    <hyperlink r:id="rId2146" ref="AW1837"/>
    <hyperlink r:id="rId2147" ref="AW1838"/>
    <hyperlink r:id="rId2148" ref="AW1839"/>
    <hyperlink r:id="rId2149" ref="AW1840"/>
    <hyperlink r:id="rId2150" ref="AW1841"/>
    <hyperlink r:id="rId2151" ref="AW1842"/>
    <hyperlink r:id="rId2152" ref="AW1843"/>
    <hyperlink r:id="rId2153" ref="AW1844"/>
    <hyperlink r:id="rId2154" ref="AW1845"/>
    <hyperlink r:id="rId2155" ref="AW1846"/>
    <hyperlink r:id="rId2156" ref="AW1847"/>
    <hyperlink r:id="rId2157" ref="AW1848"/>
    <hyperlink r:id="rId2158" ref="AW1849"/>
    <hyperlink r:id="rId2159" ref="AW1850"/>
    <hyperlink r:id="rId2160" ref="AW1851"/>
    <hyperlink r:id="rId2161" ref="AW1852"/>
    <hyperlink r:id="rId2162" ref="AW1853"/>
    <hyperlink r:id="rId2163" ref="AW1854"/>
    <hyperlink r:id="rId2164" ref="AW1855"/>
    <hyperlink r:id="rId2165" ref="AW1856"/>
    <hyperlink r:id="rId2166" ref="AW1857"/>
    <hyperlink r:id="rId2167" ref="AW1858"/>
    <hyperlink r:id="rId2168" ref="AW1859"/>
    <hyperlink r:id="rId2169" ref="AW1860"/>
    <hyperlink r:id="rId2170" ref="AW1861"/>
    <hyperlink r:id="rId2171" ref="R1862"/>
    <hyperlink r:id="rId2172" ref="T1862"/>
    <hyperlink r:id="rId2173" ref="AW1862"/>
    <hyperlink r:id="rId2174" ref="T1863"/>
    <hyperlink r:id="rId2175" ref="AW1863"/>
    <hyperlink r:id="rId2176" ref="T1864"/>
    <hyperlink r:id="rId2177" ref="AW1864"/>
    <hyperlink r:id="rId2178" ref="T1865"/>
    <hyperlink r:id="rId2179" ref="AW1865"/>
    <hyperlink r:id="rId2180" ref="T1866"/>
    <hyperlink r:id="rId2181" ref="AW1866"/>
    <hyperlink r:id="rId2182" ref="T1867"/>
    <hyperlink r:id="rId2183" ref="AW1867"/>
    <hyperlink r:id="rId2184" ref="R1868"/>
    <hyperlink r:id="rId2185" ref="T1868"/>
    <hyperlink r:id="rId2186" ref="AW1868"/>
    <hyperlink r:id="rId2187" ref="T1869"/>
    <hyperlink r:id="rId2188" ref="AW1869"/>
    <hyperlink r:id="rId2189" ref="T1870"/>
    <hyperlink r:id="rId2190" ref="AW1870"/>
    <hyperlink r:id="rId2191" ref="T1871"/>
    <hyperlink r:id="rId2192" ref="AW1871"/>
    <hyperlink r:id="rId2193" ref="T1874"/>
    <hyperlink r:id="rId2194" ref="AW1874"/>
    <hyperlink r:id="rId2195" ref="T1875"/>
    <hyperlink r:id="rId2196" ref="AW1875"/>
    <hyperlink r:id="rId2197" ref="T1876"/>
    <hyperlink r:id="rId2198" ref="AW1876"/>
    <hyperlink r:id="rId2199" ref="T1877"/>
    <hyperlink r:id="rId2200" ref="AW1877"/>
    <hyperlink r:id="rId2201" ref="AW1878"/>
    <hyperlink r:id="rId2202" ref="AW1879"/>
    <hyperlink r:id="rId2203" ref="AW1880"/>
    <hyperlink r:id="rId2204" ref="AW1881"/>
    <hyperlink r:id="rId2205" ref="AW1882"/>
    <hyperlink r:id="rId2206" ref="AW1883"/>
    <hyperlink r:id="rId2207" ref="AW1884"/>
    <hyperlink r:id="rId2208" ref="AW1885"/>
    <hyperlink r:id="rId2209" ref="AW1886"/>
    <hyperlink r:id="rId2210" ref="AW1887"/>
    <hyperlink r:id="rId2211" ref="AW1888"/>
    <hyperlink r:id="rId2212" ref="AW1889"/>
    <hyperlink r:id="rId2213" ref="AW1890"/>
    <hyperlink r:id="rId2214" ref="AW1891"/>
    <hyperlink r:id="rId2215" ref="AW1892"/>
    <hyperlink r:id="rId2216" ref="AW1893"/>
    <hyperlink r:id="rId2217" ref="AW1894"/>
    <hyperlink r:id="rId2218" ref="AW1895"/>
    <hyperlink r:id="rId2219" ref="AW1896"/>
    <hyperlink r:id="rId2220" ref="AW1897"/>
    <hyperlink r:id="rId2221" ref="AW1898"/>
    <hyperlink r:id="rId2222" ref="AW1899"/>
    <hyperlink r:id="rId2223" ref="AW1900"/>
    <hyperlink r:id="rId2224" ref="AW1901"/>
    <hyperlink r:id="rId2225" ref="AW1904"/>
    <hyperlink r:id="rId2226" ref="AW1905"/>
    <hyperlink r:id="rId2227" ref="L1908"/>
    <hyperlink r:id="rId2228" ref="T1908"/>
    <hyperlink r:id="rId2229" ref="AW1908"/>
    <hyperlink r:id="rId2230" ref="AW1909"/>
    <hyperlink r:id="rId2231" ref="R1910"/>
    <hyperlink r:id="rId2232" ref="AW1910"/>
    <hyperlink r:id="rId2233" ref="R1911"/>
    <hyperlink r:id="rId2234" ref="AW1911"/>
    <hyperlink r:id="rId2235" ref="AW1912"/>
    <hyperlink r:id="rId2236" ref="AW1913"/>
    <hyperlink r:id="rId2237" ref="AW1914"/>
    <hyperlink r:id="rId2238" ref="AW1915"/>
    <hyperlink r:id="rId2239" ref="AW1916"/>
    <hyperlink r:id="rId2240" ref="AW1917"/>
    <hyperlink r:id="rId2241" ref="AW1918"/>
    <hyperlink r:id="rId2242" ref="AW1919"/>
    <hyperlink r:id="rId2243" ref="AW1920"/>
    <hyperlink r:id="rId2244" ref="AW1921"/>
    <hyperlink r:id="rId2245" ref="AW1922"/>
    <hyperlink r:id="rId2246" ref="AW1923"/>
    <hyperlink r:id="rId2247" ref="AW1924"/>
    <hyperlink r:id="rId2248" ref="AW1925"/>
    <hyperlink r:id="rId2249" ref="AW1926"/>
    <hyperlink r:id="rId2250" ref="AW1927"/>
    <hyperlink r:id="rId2251" ref="AW1928"/>
    <hyperlink r:id="rId2252" ref="AW1929"/>
    <hyperlink r:id="rId2253" ref="AW1930"/>
    <hyperlink r:id="rId2254" ref="AW1931"/>
    <hyperlink r:id="rId2255" ref="AW1932"/>
    <hyperlink r:id="rId2256" ref="AW1933"/>
    <hyperlink r:id="rId2257" ref="AW1934"/>
    <hyperlink r:id="rId2258" ref="AW1935"/>
    <hyperlink r:id="rId2259" ref="AW1936"/>
    <hyperlink r:id="rId2260" ref="AW1937"/>
    <hyperlink r:id="rId2261" ref="AW1938"/>
    <hyperlink r:id="rId2262" ref="AW1939"/>
    <hyperlink r:id="rId2263" ref="AW1940"/>
    <hyperlink r:id="rId2264" ref="AW1941"/>
    <hyperlink r:id="rId2265" ref="T1942"/>
    <hyperlink r:id="rId2266" ref="AW1942"/>
    <hyperlink r:id="rId2267" ref="T1943"/>
    <hyperlink r:id="rId2268" ref="AW1943"/>
    <hyperlink r:id="rId2269" ref="K1944"/>
    <hyperlink r:id="rId2270" ref="R1944"/>
    <hyperlink r:id="rId2271" ref="AW1944"/>
    <hyperlink r:id="rId2272" ref="AW1945"/>
    <hyperlink r:id="rId2273" ref="AW1946"/>
    <hyperlink r:id="rId2274" ref="AW1947"/>
    <hyperlink r:id="rId2275" ref="AW1948"/>
    <hyperlink r:id="rId2276" ref="AW1949"/>
    <hyperlink r:id="rId2277" ref="AW1950"/>
    <hyperlink r:id="rId2278" ref="AW1951"/>
    <hyperlink r:id="rId2279" ref="AW1952"/>
    <hyperlink r:id="rId2280" ref="AW1953"/>
    <hyperlink r:id="rId2281" ref="AW1954"/>
    <hyperlink r:id="rId2282" ref="AW1955"/>
    <hyperlink r:id="rId2283" ref="AW1956"/>
    <hyperlink r:id="rId2284" ref="AW1957"/>
    <hyperlink r:id="rId2285" ref="AW1958"/>
    <hyperlink r:id="rId2286" ref="AW1959"/>
    <hyperlink r:id="rId2287" ref="AW1960"/>
    <hyperlink r:id="rId2288" ref="AW1961"/>
    <hyperlink r:id="rId2289" ref="AW1962"/>
    <hyperlink r:id="rId2290" ref="AW1963"/>
    <hyperlink r:id="rId2291" ref="AW1964"/>
    <hyperlink r:id="rId2292" ref="AW1965"/>
    <hyperlink r:id="rId2293" ref="AW1966"/>
    <hyperlink r:id="rId2294" ref="AW1967"/>
    <hyperlink r:id="rId2295" ref="AW1968"/>
    <hyperlink r:id="rId2296" ref="AW1969"/>
    <hyperlink r:id="rId2297" ref="AW1971"/>
    <hyperlink r:id="rId2298" ref="AW1972"/>
    <hyperlink r:id="rId2299" ref="AW1973"/>
    <hyperlink r:id="rId2300" ref="AW1975"/>
    <hyperlink r:id="rId2301" ref="AW1976"/>
    <hyperlink r:id="rId2302" ref="AW1977"/>
    <hyperlink r:id="rId2303" ref="AW1978"/>
    <hyperlink r:id="rId2304" ref="AW1979"/>
    <hyperlink r:id="rId2305" ref="AW1980"/>
    <hyperlink r:id="rId2306" ref="AW1981"/>
    <hyperlink r:id="rId2307" ref="AW1982"/>
    <hyperlink r:id="rId2308" ref="AW1983"/>
    <hyperlink r:id="rId2309" ref="AW1985"/>
    <hyperlink r:id="rId2310" ref="AW1987"/>
    <hyperlink r:id="rId2311" ref="AW1988"/>
    <hyperlink r:id="rId2312" ref="AW1989"/>
    <hyperlink r:id="rId2313" ref="AW1991"/>
    <hyperlink r:id="rId2314" ref="AW1992"/>
    <hyperlink r:id="rId2315" ref="AW1993"/>
    <hyperlink r:id="rId2316" ref="AW1994"/>
    <hyperlink r:id="rId2317" ref="AW1995"/>
    <hyperlink r:id="rId2318" ref="AW1997"/>
    <hyperlink r:id="rId2319" ref="AW1999"/>
    <hyperlink r:id="rId2320" ref="AW2000"/>
    <hyperlink r:id="rId2321" ref="AW2001"/>
    <hyperlink r:id="rId2322" ref="AW2003"/>
    <hyperlink r:id="rId2323" ref="K2004"/>
    <hyperlink r:id="rId2324" ref="AW2004"/>
    <hyperlink r:id="rId2325" ref="AW2005"/>
    <hyperlink r:id="rId2326" ref="AW2006"/>
    <hyperlink r:id="rId2327" ref="AW2007"/>
    <hyperlink r:id="rId2328" ref="AW2008"/>
    <hyperlink r:id="rId2329" ref="AW2009"/>
    <hyperlink r:id="rId2330" ref="K2010"/>
    <hyperlink r:id="rId2331" ref="AW2010"/>
    <hyperlink r:id="rId2332" ref="AW2011"/>
    <hyperlink r:id="rId2333" ref="AW2012"/>
    <hyperlink r:id="rId2334" ref="AW2013"/>
    <hyperlink r:id="rId2335" ref="AW2015"/>
    <hyperlink r:id="rId2336" ref="AW2017"/>
    <hyperlink r:id="rId2337" ref="AW2018"/>
    <hyperlink r:id="rId2338" ref="AW2019"/>
    <hyperlink r:id="rId2339" ref="AW2020"/>
    <hyperlink r:id="rId2340" ref="AW2021"/>
    <hyperlink r:id="rId2341" ref="AW2023"/>
    <hyperlink r:id="rId2342" ref="AW2025"/>
    <hyperlink r:id="rId2343" ref="AW2026"/>
    <hyperlink r:id="rId2344" ref="AW2027"/>
    <hyperlink r:id="rId2345" ref="AW2029"/>
    <hyperlink r:id="rId2346" ref="K2030"/>
    <hyperlink r:id="rId2347" ref="AW2031"/>
    <hyperlink r:id="rId2348" ref="AW2032"/>
    <hyperlink r:id="rId2349" ref="AW2033"/>
    <hyperlink r:id="rId2350" ref="AW2035"/>
    <hyperlink r:id="rId2351" ref="AW2036"/>
    <hyperlink r:id="rId2352" ref="AW2037"/>
    <hyperlink r:id="rId2353" ref="AW2039"/>
    <hyperlink r:id="rId2354" ref="AW2041"/>
    <hyperlink r:id="rId2355" ref="AW2042"/>
    <hyperlink r:id="rId2356" ref="AW2043"/>
    <hyperlink r:id="rId2357" ref="AW2044"/>
    <hyperlink r:id="rId2358" ref="AW2045"/>
    <hyperlink r:id="rId2359" ref="K2046"/>
    <hyperlink r:id="rId2360" ref="AW2046"/>
    <hyperlink r:id="rId2361" ref="AW2047"/>
    <hyperlink r:id="rId2362" ref="AW2048"/>
    <hyperlink r:id="rId2363" ref="AW2049"/>
    <hyperlink r:id="rId2364" ref="AW2051"/>
    <hyperlink r:id="rId2365" ref="AW2053"/>
    <hyperlink r:id="rId2366" ref="K2054"/>
    <hyperlink r:id="rId2367" ref="AW2055"/>
    <hyperlink r:id="rId2368" ref="AW2056"/>
    <hyperlink r:id="rId2369" ref="AW2057"/>
    <hyperlink r:id="rId2370" ref="AW2058"/>
    <hyperlink r:id="rId2371" ref="AW2059"/>
    <hyperlink r:id="rId2372" ref="AW2062"/>
    <hyperlink r:id="rId2373" ref="AW2063"/>
    <hyperlink r:id="rId2374" ref="AW2064"/>
    <hyperlink r:id="rId2375" ref="AW2065"/>
    <hyperlink r:id="rId2376" ref="AW2067"/>
    <hyperlink r:id="rId2377" ref="T2068"/>
    <hyperlink r:id="rId2378" ref="AW2068"/>
    <hyperlink r:id="rId2379" ref="AX2068"/>
    <hyperlink r:id="rId2380" ref="T2069"/>
    <hyperlink r:id="rId2381" ref="AW2069"/>
    <hyperlink r:id="rId2382" ref="AX2069"/>
    <hyperlink r:id="rId2383" ref="T2070"/>
    <hyperlink r:id="rId2384" ref="AW2070"/>
    <hyperlink r:id="rId2385" ref="AX2070"/>
    <hyperlink r:id="rId2386" ref="R2073"/>
    <hyperlink r:id="rId2387" ref="AW2073"/>
    <hyperlink r:id="rId2388" ref="AX2073"/>
    <hyperlink r:id="rId2389" ref="T2079"/>
    <hyperlink r:id="rId2390" ref="AN2079"/>
    <hyperlink r:id="rId2391" ref="AW2079"/>
    <hyperlink r:id="rId2392" ref="M2080"/>
    <hyperlink r:id="rId2393" ref="T2080"/>
    <hyperlink r:id="rId2394" ref="AN2080"/>
    <hyperlink r:id="rId2395" ref="AW2081"/>
    <hyperlink r:id="rId2396" ref="L2082"/>
    <hyperlink r:id="rId2397" ref="M2082"/>
    <hyperlink r:id="rId2398" ref="AW2082"/>
    <hyperlink r:id="rId2399" ref="AW2087"/>
    <hyperlink r:id="rId2400" ref="AW2088"/>
    <hyperlink r:id="rId2401" ref="AW2089"/>
    <hyperlink r:id="rId2402" ref="AW2090"/>
    <hyperlink r:id="rId2403" ref="AW2092"/>
    <hyperlink r:id="rId2404" ref="AW2112"/>
    <hyperlink r:id="rId2405" ref="AW2113"/>
    <hyperlink r:id="rId2406" ref="AW2114"/>
    <hyperlink r:id="rId2407" ref="AW2115"/>
    <hyperlink r:id="rId2408" ref="AW2116"/>
    <hyperlink r:id="rId2409" ref="AW2117"/>
    <hyperlink r:id="rId2410" ref="AW2118"/>
    <hyperlink r:id="rId2411" ref="AW2119"/>
    <hyperlink r:id="rId2412" ref="AW2121"/>
    <hyperlink r:id="rId2413" ref="AW2122"/>
    <hyperlink r:id="rId2414" ref="AW2123"/>
    <hyperlink r:id="rId2415" ref="M2124"/>
    <hyperlink r:id="rId2416" ref="AW2124"/>
    <hyperlink r:id="rId2417" ref="T2125"/>
    <hyperlink r:id="rId2418" ref="AR2125"/>
    <hyperlink r:id="rId2419" ref="AW2125"/>
    <hyperlink r:id="rId2420" ref="T2126"/>
    <hyperlink r:id="rId2421" ref="AR2126"/>
    <hyperlink r:id="rId2422" ref="AW2126"/>
    <hyperlink r:id="rId2423" ref="AW2127"/>
    <hyperlink r:id="rId2424" ref="M2128"/>
    <hyperlink r:id="rId2425" ref="R2128"/>
    <hyperlink r:id="rId2426" ref="AW2128"/>
    <hyperlink r:id="rId2427" ref="AW2129"/>
    <hyperlink r:id="rId2428" ref="M2130"/>
    <hyperlink r:id="rId2429" ref="R2130"/>
    <hyperlink r:id="rId2430" ref="AW2130"/>
    <hyperlink r:id="rId2431" ref="AW2131"/>
    <hyperlink r:id="rId2432" ref="M2132"/>
    <hyperlink r:id="rId2433" ref="R2132"/>
    <hyperlink r:id="rId2434" ref="AW2132"/>
    <hyperlink r:id="rId2435" ref="AW2137"/>
    <hyperlink r:id="rId2436" ref="AW2138"/>
    <hyperlink r:id="rId2437" ref="AW2139"/>
    <hyperlink r:id="rId2438" ref="AW2140"/>
    <hyperlink r:id="rId2439" ref="AW2141"/>
    <hyperlink r:id="rId2440" ref="K2146"/>
    <hyperlink r:id="rId2441" ref="AW2146"/>
    <hyperlink r:id="rId2442" ref="K2147"/>
    <hyperlink r:id="rId2443" ref="AW2147"/>
    <hyperlink r:id="rId2444" ref="AW2150"/>
    <hyperlink r:id="rId2445" ref="AW2151"/>
    <hyperlink r:id="rId2446" ref="AW2166"/>
    <hyperlink r:id="rId2447" ref="AW2167"/>
    <hyperlink r:id="rId2448" ref="AW2180"/>
    <hyperlink r:id="rId2449" ref="L2181"/>
    <hyperlink r:id="rId2450" ref="AW2181"/>
    <hyperlink r:id="rId2451" ref="AW2182"/>
    <hyperlink r:id="rId2452" ref="AW2184"/>
    <hyperlink r:id="rId2453" ref="AW2185"/>
    <hyperlink r:id="rId2454" ref="AW2200"/>
    <hyperlink r:id="rId2455" ref="AW2202"/>
    <hyperlink r:id="rId2456" ref="AW2204"/>
    <hyperlink r:id="rId2457" ref="AW2206"/>
    <hyperlink r:id="rId2458" ref="AW2208"/>
    <hyperlink r:id="rId2459" ref="AW2210"/>
    <hyperlink r:id="rId2460" ref="AW2212"/>
    <hyperlink r:id="rId2461" ref="AW2214"/>
    <hyperlink r:id="rId2462" ref="AW2216"/>
    <hyperlink r:id="rId2463" ref="AW2218"/>
    <hyperlink r:id="rId2464" ref="AW2220"/>
    <hyperlink r:id="rId2465" ref="AW2222"/>
    <hyperlink r:id="rId2466" ref="AW2224"/>
    <hyperlink r:id="rId2467" ref="AW2226"/>
    <hyperlink r:id="rId2468" ref="AW2228"/>
    <hyperlink r:id="rId2469" ref="AW2230"/>
    <hyperlink r:id="rId2470" ref="AW2232"/>
    <hyperlink r:id="rId2471" ref="AW2234"/>
    <hyperlink r:id="rId2472" ref="AW2236"/>
    <hyperlink r:id="rId2473" ref="AW2238"/>
    <hyperlink r:id="rId2474" ref="AW2240"/>
    <hyperlink r:id="rId2475" ref="AW2242"/>
    <hyperlink r:id="rId2476" ref="AW2244"/>
    <hyperlink r:id="rId2477" ref="AW2246"/>
    <hyperlink r:id="rId2478" ref="AW2248"/>
    <hyperlink r:id="rId2479" ref="K2250"/>
    <hyperlink r:id="rId2480" ref="AW2250"/>
    <hyperlink r:id="rId2481" ref="AX2250"/>
    <hyperlink r:id="rId2482" ref="AW2251"/>
    <hyperlink r:id="rId2483" ref="AW2252"/>
    <hyperlink r:id="rId2484" ref="S2253"/>
    <hyperlink r:id="rId2485" ref="T2253"/>
    <hyperlink r:id="rId2486" ref="AW2253"/>
    <hyperlink r:id="rId2487" ref="S2254"/>
    <hyperlink r:id="rId2488" ref="T2254"/>
    <hyperlink r:id="rId2489" ref="AW2254"/>
    <hyperlink r:id="rId2490" ref="T2255"/>
    <hyperlink r:id="rId2491" ref="AW2255"/>
    <hyperlink r:id="rId2492" ref="AW2256"/>
    <hyperlink r:id="rId2493" ref="AW2257"/>
    <hyperlink r:id="rId2494" ref="S2258"/>
    <hyperlink r:id="rId2495" ref="T2258"/>
    <hyperlink r:id="rId2496" ref="AW2258"/>
    <hyperlink r:id="rId2497" ref="T2259"/>
    <hyperlink r:id="rId2498" ref="AW2259"/>
    <hyperlink r:id="rId2499" ref="S2260"/>
    <hyperlink r:id="rId2500" ref="T2260"/>
    <hyperlink r:id="rId2501" ref="AW2260"/>
    <hyperlink r:id="rId2502" ref="S2261"/>
    <hyperlink r:id="rId2503" ref="T2261"/>
    <hyperlink r:id="rId2504" ref="AW2261"/>
    <hyperlink r:id="rId2505" ref="S2262"/>
    <hyperlink r:id="rId2506" ref="T2262"/>
    <hyperlink r:id="rId2507" ref="AW2262"/>
    <hyperlink r:id="rId2508" ref="S2263"/>
    <hyperlink r:id="rId2509" ref="T2263"/>
    <hyperlink r:id="rId2510" ref="AW2263"/>
    <hyperlink r:id="rId2511" ref="S2264"/>
    <hyperlink r:id="rId2512" ref="T2264"/>
    <hyperlink r:id="rId2513" ref="AW2264"/>
    <hyperlink r:id="rId2514" ref="S2265"/>
    <hyperlink r:id="rId2515" ref="T2265"/>
    <hyperlink r:id="rId2516" ref="AW2265"/>
    <hyperlink r:id="rId2517" ref="S2266"/>
    <hyperlink r:id="rId2518" ref="T2266"/>
    <hyperlink r:id="rId2519" ref="AW2266"/>
    <hyperlink r:id="rId2520" ref="S2267"/>
    <hyperlink r:id="rId2521" ref="T2267"/>
    <hyperlink r:id="rId2522" ref="AR2267"/>
    <hyperlink r:id="rId2523" ref="AW2267"/>
    <hyperlink r:id="rId2524" ref="AW2268"/>
    <hyperlink r:id="rId2525" ref="S2269"/>
    <hyperlink r:id="rId2526" ref="T2269"/>
    <hyperlink r:id="rId2527" ref="T2270"/>
    <hyperlink r:id="rId2528" ref="AW2270"/>
    <hyperlink r:id="rId2529" ref="S2271"/>
    <hyperlink r:id="rId2530" ref="T2271"/>
    <hyperlink r:id="rId2531" ref="AW2271"/>
    <hyperlink r:id="rId2532" ref="AW2272"/>
    <hyperlink r:id="rId2533" ref="AW2273"/>
    <hyperlink r:id="rId2534" ref="AW2274"/>
    <hyperlink r:id="rId2535" ref="M2275"/>
    <hyperlink r:id="rId2536" ref="S2275"/>
    <hyperlink r:id="rId2537" ref="T2275"/>
    <hyperlink r:id="rId2538" ref="AW2275"/>
    <hyperlink r:id="rId2539" ref="M2276"/>
    <hyperlink r:id="rId2540" ref="T2276"/>
    <hyperlink r:id="rId2541" ref="AR2276"/>
    <hyperlink r:id="rId2542" ref="AW2276"/>
    <hyperlink r:id="rId2543" ref="M2277"/>
    <hyperlink r:id="rId2544" ref="T2277"/>
    <hyperlink r:id="rId2545" ref="AR2277"/>
    <hyperlink r:id="rId2546" ref="AW2277"/>
    <hyperlink r:id="rId2547" ref="S2278"/>
    <hyperlink r:id="rId2548" ref="T2278"/>
    <hyperlink r:id="rId2549" ref="AW2278"/>
    <hyperlink r:id="rId2550" ref="M2279"/>
    <hyperlink r:id="rId2551" ref="S2279"/>
    <hyperlink r:id="rId2552" ref="T2279"/>
    <hyperlink r:id="rId2553" ref="AW2279"/>
    <hyperlink r:id="rId2554" ref="BC2279"/>
    <hyperlink r:id="rId2555" ref="T2280"/>
    <hyperlink r:id="rId2556" ref="AR2280"/>
    <hyperlink r:id="rId2557" ref="AW2280"/>
    <hyperlink r:id="rId2558" ref="S2281"/>
    <hyperlink r:id="rId2559" ref="T2281"/>
    <hyperlink r:id="rId2560" ref="T2282"/>
    <hyperlink r:id="rId2561" ref="AR2282"/>
    <hyperlink r:id="rId2562" ref="AW2282"/>
    <hyperlink r:id="rId2563" ref="S2283"/>
    <hyperlink r:id="rId2564" ref="T2283"/>
    <hyperlink r:id="rId2565" ref="AW2283"/>
    <hyperlink r:id="rId2566" ref="AW2284"/>
    <hyperlink r:id="rId2567" ref="S2285"/>
    <hyperlink r:id="rId2568" ref="T2285"/>
    <hyperlink r:id="rId2569" ref="T2286"/>
    <hyperlink r:id="rId2570" ref="AR2286"/>
    <hyperlink r:id="rId2571" ref="S2287"/>
    <hyperlink r:id="rId2572" ref="T2287"/>
    <hyperlink r:id="rId2573" ref="T2288"/>
    <hyperlink r:id="rId2574" ref="AR2288"/>
    <hyperlink r:id="rId2575" ref="S2289"/>
    <hyperlink r:id="rId2576" ref="T2289"/>
    <hyperlink r:id="rId2577" ref="AR2289"/>
    <hyperlink r:id="rId2578" ref="AW2289"/>
    <hyperlink r:id="rId2579" ref="T2290"/>
    <hyperlink r:id="rId2580" ref="AW2290"/>
    <hyperlink r:id="rId2581" ref="S2291"/>
    <hyperlink r:id="rId2582" ref="T2291"/>
    <hyperlink r:id="rId2583" ref="AW2291"/>
    <hyperlink r:id="rId2584" ref="K2292"/>
    <hyperlink r:id="rId2585" ref="S2292"/>
    <hyperlink r:id="rId2586" ref="T2292"/>
    <hyperlink r:id="rId2587" ref="AW2292"/>
    <hyperlink r:id="rId2588" ref="S2293"/>
    <hyperlink r:id="rId2589" ref="T2293"/>
    <hyperlink r:id="rId2590" ref="AW2293"/>
    <hyperlink r:id="rId2591" ref="K2294"/>
    <hyperlink r:id="rId2592" ref="S2294"/>
    <hyperlink r:id="rId2593" ref="T2294"/>
    <hyperlink r:id="rId2594" ref="AW2294"/>
    <hyperlink r:id="rId2595" ref="S2295"/>
    <hyperlink r:id="rId2596" ref="T2295"/>
    <hyperlink r:id="rId2597" ref="AW2295"/>
    <hyperlink r:id="rId2598" ref="S2296"/>
    <hyperlink r:id="rId2599" ref="T2296"/>
    <hyperlink r:id="rId2600" ref="AW2296"/>
    <hyperlink r:id="rId2601" ref="S2297"/>
    <hyperlink r:id="rId2602" ref="T2297"/>
    <hyperlink r:id="rId2603" ref="AW2297"/>
    <hyperlink r:id="rId2604" ref="T2298"/>
    <hyperlink r:id="rId2605" ref="AR2298"/>
    <hyperlink r:id="rId2606" ref="T2299"/>
    <hyperlink r:id="rId2607" ref="AW2299"/>
    <hyperlink r:id="rId2608" ref="S2300"/>
    <hyperlink r:id="rId2609" ref="T2300"/>
    <hyperlink r:id="rId2610" ref="AW2300"/>
    <hyperlink r:id="rId2611" ref="AW2301"/>
    <hyperlink r:id="rId2612" ref="K2302"/>
    <hyperlink r:id="rId2613" ref="S2302"/>
    <hyperlink r:id="rId2614" ref="T2302"/>
    <hyperlink r:id="rId2615" ref="AW2302"/>
    <hyperlink r:id="rId2616" ref="S2303"/>
    <hyperlink r:id="rId2617" ref="T2303"/>
    <hyperlink r:id="rId2618" ref="AW2303"/>
    <hyperlink r:id="rId2619" ref="AW2304"/>
    <hyperlink r:id="rId2620" ref="AW2305"/>
    <hyperlink r:id="rId2621" ref="S2306"/>
    <hyperlink r:id="rId2622" ref="T2306"/>
    <hyperlink r:id="rId2623" ref="T2307"/>
    <hyperlink r:id="rId2624" ref="AW2307"/>
    <hyperlink r:id="rId2625" ref="S2308"/>
    <hyperlink r:id="rId2626" ref="T2308"/>
    <hyperlink r:id="rId2627" ref="T2309"/>
    <hyperlink r:id="rId2628" ref="AW2309"/>
    <hyperlink r:id="rId2629" ref="S2310"/>
    <hyperlink r:id="rId2630" ref="T2310"/>
    <hyperlink r:id="rId2631" ref="AW2310"/>
    <hyperlink r:id="rId2632" ref="S2311"/>
    <hyperlink r:id="rId2633" ref="T2311"/>
    <hyperlink r:id="rId2634" ref="AW2311"/>
    <hyperlink r:id="rId2635" ref="S2312"/>
    <hyperlink r:id="rId2636" ref="T2312"/>
    <hyperlink r:id="rId2637" ref="AW2312"/>
    <hyperlink r:id="rId2638" ref="S2313"/>
    <hyperlink r:id="rId2639" ref="T2313"/>
    <hyperlink r:id="rId2640" ref="AR2313"/>
    <hyperlink r:id="rId2641" ref="AW2313"/>
    <hyperlink r:id="rId2642" ref="S2314"/>
    <hyperlink r:id="rId2643" ref="T2314"/>
    <hyperlink r:id="rId2644" ref="AW2314"/>
    <hyperlink r:id="rId2645" ref="S2315"/>
    <hyperlink r:id="rId2646" ref="T2315"/>
    <hyperlink r:id="rId2647" ref="AW2315"/>
    <hyperlink r:id="rId2648" ref="S2316"/>
    <hyperlink r:id="rId2649" ref="T2316"/>
    <hyperlink r:id="rId2650" ref="AW2316"/>
    <hyperlink r:id="rId2651" ref="S2317"/>
    <hyperlink r:id="rId2652" ref="T2317"/>
    <hyperlink r:id="rId2653" ref="AW2317"/>
    <hyperlink r:id="rId2654" ref="S2318"/>
    <hyperlink r:id="rId2655" ref="T2318"/>
    <hyperlink r:id="rId2656" ref="AW2318"/>
    <hyperlink r:id="rId2657" ref="S2319"/>
    <hyperlink r:id="rId2658" ref="T2319"/>
    <hyperlink r:id="rId2659" ref="AW2319"/>
    <hyperlink r:id="rId2660" ref="S2320"/>
    <hyperlink r:id="rId2661" ref="T2320"/>
    <hyperlink r:id="rId2662" ref="AW2320"/>
    <hyperlink r:id="rId2663" ref="S2321"/>
    <hyperlink r:id="rId2664" ref="T2321"/>
    <hyperlink r:id="rId2665" ref="AW2321"/>
    <hyperlink r:id="rId2666" ref="T2322"/>
    <hyperlink r:id="rId2667" ref="AW2322"/>
    <hyperlink r:id="rId2668" ref="S2323"/>
    <hyperlink r:id="rId2669" ref="T2323"/>
    <hyperlink r:id="rId2670" ref="AW2323"/>
    <hyperlink r:id="rId2671" ref="S2324"/>
    <hyperlink r:id="rId2672" ref="T2324"/>
    <hyperlink r:id="rId2673" ref="AW2324"/>
    <hyperlink r:id="rId2674" ref="S2325"/>
    <hyperlink r:id="rId2675" ref="T2325"/>
    <hyperlink r:id="rId2676" ref="AW2325"/>
    <hyperlink r:id="rId2677" ref="S2326"/>
    <hyperlink r:id="rId2678" ref="T2326"/>
    <hyperlink r:id="rId2679" ref="AW2326"/>
    <hyperlink r:id="rId2680" ref="S2327"/>
    <hyperlink r:id="rId2681" ref="T2327"/>
    <hyperlink r:id="rId2682" ref="AR2327"/>
    <hyperlink r:id="rId2683" ref="AW2327"/>
    <hyperlink r:id="rId2684" ref="T2328"/>
    <hyperlink r:id="rId2685" ref="AW2328"/>
    <hyperlink r:id="rId2686" ref="S2329"/>
    <hyperlink r:id="rId2687" ref="T2329"/>
    <hyperlink r:id="rId2688" ref="AR2329"/>
    <hyperlink r:id="rId2689" ref="AW2329"/>
    <hyperlink r:id="rId2690" ref="T2330"/>
    <hyperlink r:id="rId2691" ref="AW2330"/>
    <hyperlink r:id="rId2692" ref="S2331"/>
    <hyperlink r:id="rId2693" ref="T2331"/>
    <hyperlink r:id="rId2694" ref="AW2331"/>
    <hyperlink r:id="rId2695" ref="S2332"/>
    <hyperlink r:id="rId2696" ref="T2332"/>
    <hyperlink r:id="rId2697" ref="AW2332"/>
    <hyperlink r:id="rId2698" ref="S2333"/>
    <hyperlink r:id="rId2699" ref="T2333"/>
    <hyperlink r:id="rId2700" ref="AR2333"/>
    <hyperlink r:id="rId2701" ref="AW2333"/>
    <hyperlink r:id="rId2702" ref="T2334"/>
    <hyperlink r:id="rId2703" ref="AW2334"/>
    <hyperlink r:id="rId2704" ref="S2335"/>
    <hyperlink r:id="rId2705" ref="T2335"/>
    <hyperlink r:id="rId2706" ref="AW2335"/>
    <hyperlink r:id="rId2707" ref="T2336"/>
    <hyperlink r:id="rId2708" ref="AW2336"/>
    <hyperlink r:id="rId2709" ref="S2337"/>
    <hyperlink r:id="rId2710" ref="T2337"/>
    <hyperlink r:id="rId2711" ref="AW2337"/>
    <hyperlink r:id="rId2712" ref="T2338"/>
    <hyperlink r:id="rId2713" ref="AW2338"/>
    <hyperlink r:id="rId2714" ref="K2339"/>
    <hyperlink r:id="rId2715" ref="S2339"/>
    <hyperlink r:id="rId2716" ref="T2339"/>
    <hyperlink r:id="rId2717" ref="AW2339"/>
    <hyperlink r:id="rId2718" ref="S2340"/>
    <hyperlink r:id="rId2719" ref="T2340"/>
    <hyperlink r:id="rId2720" ref="AW2340"/>
    <hyperlink r:id="rId2721" ref="T2341"/>
    <hyperlink r:id="rId2722" ref="AW2341"/>
    <hyperlink r:id="rId2723" ref="S2342"/>
    <hyperlink r:id="rId2724" ref="AW2342"/>
    <hyperlink r:id="rId2725" ref="AW2343"/>
    <hyperlink r:id="rId2726" ref="AW2344"/>
    <hyperlink r:id="rId2727" ref="AW2345"/>
    <hyperlink r:id="rId2728" ref="S2346"/>
    <hyperlink r:id="rId2729" ref="T2346"/>
    <hyperlink r:id="rId2730" ref="AR2346"/>
    <hyperlink r:id="rId2731" ref="AW2346"/>
    <hyperlink r:id="rId2732" ref="T2347"/>
    <hyperlink r:id="rId2733" ref="AW2347"/>
    <hyperlink r:id="rId2734" ref="S2348"/>
    <hyperlink r:id="rId2735" ref="T2348"/>
    <hyperlink r:id="rId2736" ref="AR2348"/>
    <hyperlink r:id="rId2737" ref="AW2348"/>
    <hyperlink r:id="rId2738" ref="AW2349"/>
    <hyperlink r:id="rId2739" ref="S2350"/>
    <hyperlink r:id="rId2740" ref="T2350"/>
    <hyperlink r:id="rId2741" ref="AW2350"/>
    <hyperlink r:id="rId2742" ref="S2351"/>
    <hyperlink r:id="rId2743" ref="T2351"/>
    <hyperlink r:id="rId2744" ref="AR2351"/>
    <hyperlink r:id="rId2745" ref="AW2351"/>
    <hyperlink r:id="rId2746" ref="T2352"/>
    <hyperlink r:id="rId2747" ref="AR2352"/>
    <hyperlink r:id="rId2748" ref="AW2352"/>
    <hyperlink r:id="rId2749" ref="S2353"/>
    <hyperlink r:id="rId2750" ref="T2353"/>
    <hyperlink r:id="rId2751" ref="AW2353"/>
    <hyperlink r:id="rId2752" ref="S2354"/>
    <hyperlink r:id="rId2753" ref="T2354"/>
    <hyperlink r:id="rId2754" ref="AW2354"/>
    <hyperlink r:id="rId2755" ref="S2355"/>
    <hyperlink r:id="rId2756" ref="T2355"/>
    <hyperlink r:id="rId2757" ref="AR2355"/>
    <hyperlink r:id="rId2758" ref="AW2355"/>
    <hyperlink r:id="rId2759" ref="S2356"/>
    <hyperlink r:id="rId2760" ref="T2356"/>
    <hyperlink r:id="rId2761" ref="AR2356"/>
    <hyperlink r:id="rId2762" ref="AW2356"/>
    <hyperlink r:id="rId2763" ref="T2357"/>
    <hyperlink r:id="rId2764" ref="AW2357"/>
    <hyperlink r:id="rId2765" ref="S2358"/>
    <hyperlink r:id="rId2766" ref="T2358"/>
    <hyperlink r:id="rId2767" ref="AW2358"/>
    <hyperlink r:id="rId2768" ref="T2359"/>
    <hyperlink r:id="rId2769" ref="AW2359"/>
    <hyperlink r:id="rId2770" ref="AW2360"/>
    <hyperlink r:id="rId2771" ref="S2361"/>
    <hyperlink r:id="rId2772" ref="T2361"/>
    <hyperlink r:id="rId2773" ref="AW2361"/>
    <hyperlink r:id="rId2774" ref="L2362"/>
    <hyperlink r:id="rId2775" ref="AW2362"/>
    <hyperlink r:id="rId2776" ref="AW2363"/>
    <hyperlink r:id="rId2777" ref="AW2364"/>
    <hyperlink r:id="rId2778" ref="AW2388"/>
    <hyperlink r:id="rId2779" ref="AW2389"/>
    <hyperlink r:id="rId2780" ref="L2390"/>
    <hyperlink r:id="rId2781" ref="M2390"/>
    <hyperlink r:id="rId2782" ref="AW2390"/>
    <hyperlink r:id="rId2783" ref="M2393"/>
    <hyperlink r:id="rId2784" ref="T2393"/>
    <hyperlink r:id="rId2785" ref="AN2393"/>
    <hyperlink r:id="rId2786" ref="T2394"/>
    <hyperlink r:id="rId2787" ref="AR2394"/>
    <hyperlink r:id="rId2788" ref="AW2394"/>
    <hyperlink r:id="rId2789" ref="AW2396"/>
    <hyperlink r:id="rId2790" ref="AW2397"/>
    <hyperlink r:id="rId2791" ref="AW2398"/>
    <hyperlink r:id="rId2792" ref="AW2399"/>
    <hyperlink r:id="rId2793" ref="AW2400"/>
    <hyperlink r:id="rId2794" ref="AW2401"/>
    <hyperlink r:id="rId2795" ref="AW2402"/>
    <hyperlink r:id="rId2796" ref="AW2403"/>
    <hyperlink r:id="rId2797" ref="AW2404"/>
    <hyperlink r:id="rId2798" ref="AW2405"/>
    <hyperlink r:id="rId2799" ref="AW2406"/>
    <hyperlink r:id="rId2800" ref="AW2407"/>
    <hyperlink r:id="rId2801" ref="AW2408"/>
    <hyperlink r:id="rId2802" ref="AW2409"/>
    <hyperlink r:id="rId2803" ref="AW2410"/>
    <hyperlink r:id="rId2804" ref="AW2411"/>
    <hyperlink r:id="rId2805" ref="AW2412"/>
    <hyperlink r:id="rId2806" ref="AW2413"/>
    <hyperlink r:id="rId2807" ref="AW2414"/>
    <hyperlink r:id="rId2808" ref="AW2415"/>
    <hyperlink r:id="rId2809" ref="AW2416"/>
    <hyperlink r:id="rId2810" ref="L2417"/>
    <hyperlink r:id="rId2811" ref="AR2417"/>
    <hyperlink r:id="rId2812" ref="AW2417"/>
    <hyperlink r:id="rId2813" ref="AW2418"/>
    <hyperlink r:id="rId2814" ref="AW2419"/>
    <hyperlink r:id="rId2815" ref="AW2420"/>
    <hyperlink r:id="rId2816" ref="AW2421"/>
    <hyperlink r:id="rId2817" ref="AW2422"/>
    <hyperlink r:id="rId2818" ref="AW2423"/>
    <hyperlink r:id="rId2819" ref="AW2424"/>
    <hyperlink r:id="rId2820" ref="AW2425"/>
    <hyperlink r:id="rId2821" ref="AW2426"/>
    <hyperlink r:id="rId2822" ref="AW2427"/>
    <hyperlink r:id="rId2823" ref="AW2428"/>
    <hyperlink r:id="rId2824" ref="AW2429"/>
    <hyperlink r:id="rId2825" ref="AW2430"/>
    <hyperlink r:id="rId2826" ref="AW2431"/>
    <hyperlink r:id="rId2827" ref="AW2432"/>
    <hyperlink r:id="rId2828" ref="AW2433"/>
    <hyperlink r:id="rId2829" ref="AW2434"/>
    <hyperlink r:id="rId2830" ref="AW2435"/>
    <hyperlink r:id="rId2831" ref="AW2436"/>
    <hyperlink r:id="rId2832" ref="AW2437"/>
    <hyperlink r:id="rId2833" ref="AW2438"/>
    <hyperlink r:id="rId2834" ref="Q2439"/>
    <hyperlink r:id="rId2835" ref="AW2439"/>
    <hyperlink r:id="rId2836" ref="Q2440"/>
    <hyperlink r:id="rId2837" ref="AW2440"/>
    <hyperlink r:id="rId2838" ref="AW2441"/>
    <hyperlink r:id="rId2839" ref="AW2442"/>
    <hyperlink r:id="rId2840" ref="AW2443"/>
    <hyperlink r:id="rId2841" ref="AW2444"/>
    <hyperlink r:id="rId2842" ref="AW2445"/>
    <hyperlink r:id="rId2843" ref="AW2446"/>
    <hyperlink r:id="rId2844" ref="AW2447"/>
    <hyperlink r:id="rId2845" ref="AW2448"/>
    <hyperlink r:id="rId2846" ref="AW2449"/>
    <hyperlink r:id="rId2847" ref="AW2450"/>
    <hyperlink r:id="rId2848" ref="AW2451"/>
    <hyperlink r:id="rId2849" ref="AW2452"/>
    <hyperlink r:id="rId2850" ref="AW2453"/>
    <hyperlink r:id="rId2851" ref="AW2454"/>
    <hyperlink r:id="rId2852" ref="AW2455"/>
    <hyperlink r:id="rId2853" ref="AW2456"/>
    <hyperlink r:id="rId2854" ref="AW2457"/>
    <hyperlink r:id="rId2855" ref="AW2458"/>
    <hyperlink r:id="rId2856" ref="AW2459"/>
    <hyperlink r:id="rId2857" ref="AW2460"/>
    <hyperlink r:id="rId2858" ref="AW2461"/>
    <hyperlink r:id="rId2859" ref="AW2462"/>
    <hyperlink r:id="rId2860" ref="AW2463"/>
    <hyperlink r:id="rId2861" ref="AW2464"/>
    <hyperlink r:id="rId2862" ref="AW2465"/>
    <hyperlink r:id="rId2863" ref="AW2466"/>
    <hyperlink r:id="rId2864" ref="AW2467"/>
    <hyperlink r:id="rId2865" ref="AW2468"/>
    <hyperlink r:id="rId2866" ref="AW2469"/>
    <hyperlink r:id="rId2867" ref="AW2470"/>
    <hyperlink r:id="rId2868" ref="AW2471"/>
    <hyperlink r:id="rId2869" ref="AW2472"/>
    <hyperlink r:id="rId2870" ref="AW2473"/>
    <hyperlink r:id="rId2871" ref="AW2474"/>
    <hyperlink r:id="rId2872" ref="AW2475"/>
    <hyperlink r:id="rId2873" ref="AW2476"/>
    <hyperlink r:id="rId2874" ref="Q2477"/>
    <hyperlink r:id="rId2875" ref="AW2477"/>
    <hyperlink r:id="rId2876" ref="Q2478"/>
    <hyperlink r:id="rId2877" ref="AW2478"/>
    <hyperlink r:id="rId2878" ref="AW2479"/>
    <hyperlink r:id="rId2879" ref="AW2480"/>
    <hyperlink r:id="rId2880" ref="AW2481"/>
    <hyperlink r:id="rId2881" ref="AW2482"/>
    <hyperlink r:id="rId2882" ref="AW2483"/>
    <hyperlink r:id="rId2883" ref="AW2484"/>
    <hyperlink r:id="rId2884" ref="AW2485"/>
    <hyperlink r:id="rId2885" ref="AW2486"/>
    <hyperlink r:id="rId2886" ref="AW2487"/>
    <hyperlink r:id="rId2887" ref="AW2488"/>
    <hyperlink r:id="rId2888" ref="AW2489"/>
    <hyperlink r:id="rId2889" ref="AW2490"/>
    <hyperlink r:id="rId2890" ref="AW2491"/>
    <hyperlink r:id="rId2891" ref="AW2492"/>
    <hyperlink r:id="rId2892" ref="AW2493"/>
    <hyperlink r:id="rId2893" ref="AW2494"/>
    <hyperlink r:id="rId2894" ref="AW2495"/>
    <hyperlink r:id="rId2895" ref="AW2496"/>
    <hyperlink r:id="rId2896" ref="AW2497"/>
    <hyperlink r:id="rId2897" ref="AW2498"/>
    <hyperlink r:id="rId2898" ref="AW2499"/>
    <hyperlink r:id="rId2899" ref="AW2500"/>
    <hyperlink r:id="rId2900" ref="AW2501"/>
    <hyperlink r:id="rId2901" ref="AW2502"/>
    <hyperlink r:id="rId2902" ref="AW2503"/>
    <hyperlink r:id="rId2903" ref="AW2504"/>
    <hyperlink r:id="rId2904" ref="AW2505"/>
    <hyperlink r:id="rId2905" ref="AW2506"/>
    <hyperlink r:id="rId2906" ref="AW2507"/>
    <hyperlink r:id="rId2907" ref="T2508"/>
    <hyperlink r:id="rId2908" ref="AW2508"/>
    <hyperlink r:id="rId2909" ref="T2509"/>
    <hyperlink r:id="rId2910" ref="AW2509"/>
    <hyperlink r:id="rId2911" ref="T2510"/>
    <hyperlink r:id="rId2912" ref="AW2510"/>
    <hyperlink r:id="rId2913" ref="T2511"/>
    <hyperlink r:id="rId2914" ref="AW2511"/>
    <hyperlink r:id="rId2915" ref="T2512"/>
    <hyperlink r:id="rId2916" ref="AW2512"/>
    <hyperlink r:id="rId2917" ref="AW2518"/>
    <hyperlink r:id="rId2918" ref="AW2519"/>
    <hyperlink r:id="rId2919" ref="AW2520"/>
    <hyperlink r:id="rId2920" ref="AW2521"/>
    <hyperlink r:id="rId2921" ref="N2522"/>
    <hyperlink r:id="rId2922" ref="Q2522"/>
    <hyperlink r:id="rId2923" ref="AW2522"/>
    <hyperlink r:id="rId2924" ref="N2523"/>
    <hyperlink r:id="rId2925" ref="AW2523"/>
    <hyperlink r:id="rId2926" ref="AW2524"/>
    <hyperlink r:id="rId2927" ref="AW2525"/>
    <hyperlink r:id="rId2928" ref="AW2526"/>
    <hyperlink r:id="rId2929" ref="AW2527"/>
    <hyperlink r:id="rId2930" ref="AW2528"/>
    <hyperlink r:id="rId2931" ref="AW2529"/>
    <hyperlink r:id="rId2932" ref="AW2530"/>
    <hyperlink r:id="rId2933" ref="AW2531"/>
    <hyperlink r:id="rId2934" ref="AW2532"/>
    <hyperlink r:id="rId2935" ref="AW2533"/>
    <hyperlink r:id="rId2936" ref="AW2534"/>
    <hyperlink r:id="rId2937" ref="AW2535"/>
    <hyperlink r:id="rId2938" ref="AW2536"/>
    <hyperlink r:id="rId2939" ref="AW2537"/>
    <hyperlink r:id="rId2940" ref="AW2538"/>
    <hyperlink r:id="rId2941" ref="AW2539"/>
    <hyperlink r:id="rId2942" ref="AW2540"/>
    <hyperlink r:id="rId2943" ref="AW2541"/>
    <hyperlink r:id="rId2944" ref="AW2542"/>
    <hyperlink r:id="rId2945" ref="AW2543"/>
    <hyperlink r:id="rId2946" ref="AW2544"/>
    <hyperlink r:id="rId2947" ref="T2545"/>
    <hyperlink r:id="rId2948" ref="AW2545"/>
    <hyperlink r:id="rId2949" ref="T2546"/>
    <hyperlink r:id="rId2950" ref="AW2546"/>
    <hyperlink r:id="rId2951" ref="T2547"/>
    <hyperlink r:id="rId2952" ref="AW2547"/>
    <hyperlink r:id="rId2953" ref="T2548"/>
    <hyperlink r:id="rId2954" ref="AW2548"/>
    <hyperlink r:id="rId2955" ref="T2549"/>
    <hyperlink r:id="rId2956" ref="AW2549"/>
    <hyperlink r:id="rId2957" ref="T2550"/>
    <hyperlink r:id="rId2958" ref="AW2550"/>
    <hyperlink r:id="rId2959" ref="T2551"/>
    <hyperlink r:id="rId2960" ref="AW2551"/>
    <hyperlink r:id="rId2961" ref="T2552"/>
    <hyperlink r:id="rId2962" ref="AW2552"/>
    <hyperlink r:id="rId2963" ref="T2553"/>
    <hyperlink r:id="rId2964" ref="AW2553"/>
    <hyperlink r:id="rId2965" ref="T2554"/>
    <hyperlink r:id="rId2966" ref="AW2554"/>
    <hyperlink r:id="rId2967" ref="T2555"/>
    <hyperlink r:id="rId2968" ref="AW2555"/>
    <hyperlink r:id="rId2969" ref="T2556"/>
    <hyperlink r:id="rId2970" ref="AW2556"/>
    <hyperlink r:id="rId2971" ref="T2557"/>
    <hyperlink r:id="rId2972" ref="AW2557"/>
    <hyperlink r:id="rId2973" ref="T2558"/>
    <hyperlink r:id="rId2974" ref="AW2558"/>
    <hyperlink r:id="rId2975" ref="T2559"/>
    <hyperlink r:id="rId2976" ref="AW2559"/>
    <hyperlink r:id="rId2977" ref="T2560"/>
    <hyperlink r:id="rId2978" ref="AW2560"/>
    <hyperlink r:id="rId2979" ref="T2561"/>
    <hyperlink r:id="rId2980" ref="AW2561"/>
    <hyperlink r:id="rId2981" ref="T2562"/>
    <hyperlink r:id="rId2982" ref="AW2562"/>
    <hyperlink r:id="rId2983" ref="T2563"/>
    <hyperlink r:id="rId2984" ref="AW2563"/>
    <hyperlink r:id="rId2985" ref="T2564"/>
    <hyperlink r:id="rId2986" ref="AW2564"/>
    <hyperlink r:id="rId2987" ref="T2565"/>
    <hyperlink r:id="rId2988" ref="AW2565"/>
    <hyperlink r:id="rId2989" ref="T2566"/>
    <hyperlink r:id="rId2990" ref="AW2566"/>
    <hyperlink r:id="rId2991" ref="T2567"/>
    <hyperlink r:id="rId2992" ref="AW2567"/>
    <hyperlink r:id="rId2993" ref="T2568"/>
    <hyperlink r:id="rId2994" ref="AW2568"/>
    <hyperlink r:id="rId2995" ref="T2569"/>
    <hyperlink r:id="rId2996" ref="AW2569"/>
    <hyperlink r:id="rId2997" ref="T2570"/>
    <hyperlink r:id="rId2998" ref="AW2570"/>
    <hyperlink r:id="rId2999" ref="T2571"/>
    <hyperlink r:id="rId3000" ref="AW2571"/>
    <hyperlink r:id="rId3001" ref="T2572"/>
    <hyperlink r:id="rId3002" ref="AW2572"/>
    <hyperlink r:id="rId3003" ref="T2573"/>
    <hyperlink r:id="rId3004" ref="AW2573"/>
    <hyperlink r:id="rId3005" ref="T2574"/>
    <hyperlink r:id="rId3006" ref="AW2574"/>
    <hyperlink r:id="rId3007" ref="T2575"/>
    <hyperlink r:id="rId3008" ref="AW2575"/>
    <hyperlink r:id="rId3009" ref="T2576"/>
    <hyperlink r:id="rId3010" ref="AW2576"/>
    <hyperlink r:id="rId3011" ref="T2577"/>
    <hyperlink r:id="rId3012" ref="AW2577"/>
    <hyperlink r:id="rId3013" ref="T2578"/>
    <hyperlink r:id="rId3014" ref="AW2578"/>
    <hyperlink r:id="rId3015" ref="T2579"/>
    <hyperlink r:id="rId3016" ref="AW2579"/>
    <hyperlink r:id="rId3017" ref="T2580"/>
    <hyperlink r:id="rId3018" ref="AW2580"/>
    <hyperlink r:id="rId3019" ref="T2581"/>
    <hyperlink r:id="rId3020" ref="AW2581"/>
    <hyperlink r:id="rId3021" ref="T2582"/>
    <hyperlink r:id="rId3022" ref="AW2582"/>
    <hyperlink r:id="rId3023" ref="T2583"/>
    <hyperlink r:id="rId3024" ref="AW2583"/>
    <hyperlink r:id="rId3025" ref="T2584"/>
    <hyperlink r:id="rId3026" ref="AW2584"/>
    <hyperlink r:id="rId3027" ref="T2585"/>
    <hyperlink r:id="rId3028" ref="AW2585"/>
    <hyperlink r:id="rId3029" ref="T2586"/>
    <hyperlink r:id="rId3030" ref="AW2586"/>
    <hyperlink r:id="rId3031" ref="T2587"/>
    <hyperlink r:id="rId3032" ref="AW2587"/>
    <hyperlink r:id="rId3033" ref="T2588"/>
    <hyperlink r:id="rId3034" ref="AW2588"/>
    <hyperlink r:id="rId3035" ref="T2589"/>
    <hyperlink r:id="rId3036" ref="AW2589"/>
    <hyperlink r:id="rId3037" ref="T2590"/>
    <hyperlink r:id="rId3038" ref="AW2590"/>
    <hyperlink r:id="rId3039" ref="T2591"/>
    <hyperlink r:id="rId3040" ref="AW2591"/>
    <hyperlink r:id="rId3041" ref="T2592"/>
    <hyperlink r:id="rId3042" ref="AW2592"/>
    <hyperlink r:id="rId3043" ref="T2593"/>
    <hyperlink r:id="rId3044" ref="AW2593"/>
    <hyperlink r:id="rId3045" ref="T2594"/>
    <hyperlink r:id="rId3046" ref="AW2594"/>
    <hyperlink r:id="rId3047" ref="T2595"/>
    <hyperlink r:id="rId3048" ref="AW2595"/>
    <hyperlink r:id="rId3049" ref="T2596"/>
    <hyperlink r:id="rId3050" ref="AW2596"/>
    <hyperlink r:id="rId3051" ref="T2597"/>
    <hyperlink r:id="rId3052" ref="AW2597"/>
    <hyperlink r:id="rId3053" ref="T2598"/>
    <hyperlink r:id="rId3054" ref="AW2598"/>
    <hyperlink r:id="rId3055" ref="T2599"/>
    <hyperlink r:id="rId3056" ref="AW2599"/>
    <hyperlink r:id="rId3057" ref="T2600"/>
    <hyperlink r:id="rId3058" ref="AW2600"/>
    <hyperlink r:id="rId3059" ref="T2601"/>
    <hyperlink r:id="rId3060" ref="AW2601"/>
    <hyperlink r:id="rId3061" ref="T2602"/>
    <hyperlink r:id="rId3062" ref="AW2602"/>
    <hyperlink r:id="rId3063" ref="T2603"/>
    <hyperlink r:id="rId3064" ref="AW2603"/>
    <hyperlink r:id="rId3065" ref="AW2604"/>
    <hyperlink r:id="rId3066" ref="AW2605"/>
    <hyperlink r:id="rId3067" ref="AW2606"/>
    <hyperlink r:id="rId3068" ref="AW2607"/>
    <hyperlink r:id="rId3069" ref="N2608"/>
    <hyperlink r:id="rId3070" ref="AW2608"/>
    <hyperlink r:id="rId3071" ref="N2609"/>
    <hyperlink r:id="rId3072" ref="AW2609"/>
    <hyperlink r:id="rId3073" ref="AW2610"/>
    <hyperlink r:id="rId3074" ref="AW2611"/>
    <hyperlink r:id="rId3075" ref="AW2612"/>
    <hyperlink r:id="rId3076" ref="T2613"/>
    <hyperlink r:id="rId3077" ref="AW2613"/>
    <hyperlink r:id="rId3078" ref="T2614"/>
    <hyperlink r:id="rId3079" ref="AW2614"/>
    <hyperlink r:id="rId3080" ref="AW2616"/>
    <hyperlink r:id="rId3081" ref="AW2617"/>
    <hyperlink r:id="rId3082" ref="AW2618"/>
    <hyperlink r:id="rId3083" ref="AW2619"/>
    <hyperlink r:id="rId3084" ref="AW2620"/>
    <hyperlink r:id="rId3085" ref="AW2621"/>
    <hyperlink r:id="rId3086" ref="AW2622"/>
    <hyperlink r:id="rId3087" ref="AW2623"/>
    <hyperlink r:id="rId3088" ref="T2624"/>
    <hyperlink r:id="rId3089" ref="AW2624"/>
    <hyperlink r:id="rId3090" ref="T2625"/>
    <hyperlink r:id="rId3091" ref="AW2625"/>
    <hyperlink r:id="rId3092" ref="AW2626"/>
    <hyperlink r:id="rId3093" ref="AW2627"/>
    <hyperlink r:id="rId3094" ref="AW2628"/>
    <hyperlink r:id="rId3095" ref="AW2629"/>
    <hyperlink r:id="rId3096" ref="AW2630"/>
    <hyperlink r:id="rId3097" ref="AW2631"/>
    <hyperlink r:id="rId3098" ref="AW2632"/>
    <hyperlink r:id="rId3099" ref="T2633"/>
    <hyperlink r:id="rId3100" ref="AW2633"/>
    <hyperlink r:id="rId3101" ref="T2637"/>
    <hyperlink r:id="rId3102" ref="AW2637"/>
    <hyperlink r:id="rId3103" ref="AW2638"/>
    <hyperlink r:id="rId3104" ref="AW2639"/>
    <hyperlink r:id="rId3105" ref="AW2640"/>
    <hyperlink r:id="rId3106" ref="AW2642"/>
    <hyperlink r:id="rId3107" ref="AW2643"/>
    <hyperlink r:id="rId3108" ref="AW2644"/>
    <hyperlink r:id="rId3109" ref="AW2645"/>
    <hyperlink r:id="rId3110" ref="T2646"/>
    <hyperlink r:id="rId3111" ref="AW2646"/>
    <hyperlink r:id="rId3112" ref="T2647"/>
    <hyperlink r:id="rId3113" ref="AW2647"/>
    <hyperlink r:id="rId3114" ref="AW2651"/>
    <hyperlink r:id="rId3115" ref="AW2652"/>
    <hyperlink r:id="rId3116" ref="T2659"/>
    <hyperlink r:id="rId3117" ref="AW2659"/>
    <hyperlink r:id="rId3118" ref="T2660"/>
    <hyperlink r:id="rId3119" ref="AW2660"/>
    <hyperlink r:id="rId3120" ref="T2661"/>
    <hyperlink r:id="rId3121" ref="AW2661"/>
    <hyperlink r:id="rId3122" ref="T2662"/>
    <hyperlink r:id="rId3123" ref="AW2662"/>
    <hyperlink r:id="rId3124" ref="T2663"/>
    <hyperlink r:id="rId3125" ref="AW2663"/>
    <hyperlink r:id="rId3126" ref="T2664"/>
    <hyperlink r:id="rId3127" ref="AW2664"/>
    <hyperlink r:id="rId3128" ref="T2665"/>
    <hyperlink r:id="rId3129" ref="AW2665"/>
    <hyperlink r:id="rId3130" ref="T2666"/>
    <hyperlink r:id="rId3131" ref="AW2666"/>
    <hyperlink r:id="rId3132" ref="T2667"/>
    <hyperlink r:id="rId3133" ref="AW2667"/>
    <hyperlink r:id="rId3134" ref="T2668"/>
    <hyperlink r:id="rId3135" ref="AW2668"/>
    <hyperlink r:id="rId3136" ref="T2669"/>
    <hyperlink r:id="rId3137" ref="AW2669"/>
    <hyperlink r:id="rId3138" ref="T2670"/>
    <hyperlink r:id="rId3139" ref="AW2670"/>
    <hyperlink r:id="rId3140" ref="T2671"/>
    <hyperlink r:id="rId3141" ref="AW2671"/>
    <hyperlink r:id="rId3142" ref="T2672"/>
    <hyperlink r:id="rId3143" ref="AW2672"/>
    <hyperlink r:id="rId3144" ref="T2673"/>
    <hyperlink r:id="rId3145" ref="AW2673"/>
    <hyperlink r:id="rId3146" ref="T2674"/>
    <hyperlink r:id="rId3147" ref="AW2674"/>
    <hyperlink r:id="rId3148" ref="T2675"/>
    <hyperlink r:id="rId3149" ref="AW2675"/>
    <hyperlink r:id="rId3150" ref="T2676"/>
    <hyperlink r:id="rId3151" ref="AW2676"/>
    <hyperlink r:id="rId3152" ref="T2677"/>
    <hyperlink r:id="rId3153" ref="AW2677"/>
    <hyperlink r:id="rId3154" ref="T2678"/>
    <hyperlink r:id="rId3155" ref="AW2678"/>
    <hyperlink r:id="rId3156" ref="AW2679"/>
    <hyperlink r:id="rId3157" ref="T2680"/>
    <hyperlink r:id="rId3158" ref="AW2680"/>
    <hyperlink r:id="rId3159" ref="T2681"/>
    <hyperlink r:id="rId3160" ref="AW2681"/>
    <hyperlink r:id="rId3161" ref="T2682"/>
    <hyperlink r:id="rId3162" ref="AW2682"/>
    <hyperlink r:id="rId3163" ref="T2683"/>
    <hyperlink r:id="rId3164" ref="AW2683"/>
    <hyperlink r:id="rId3165" ref="T2684"/>
    <hyperlink r:id="rId3166" ref="AW2684"/>
    <hyperlink r:id="rId3167" ref="T2685"/>
    <hyperlink r:id="rId3168" ref="AW2685"/>
    <hyperlink r:id="rId3169" ref="T2686"/>
    <hyperlink r:id="rId3170" ref="AW2686"/>
    <hyperlink r:id="rId3171" ref="T2687"/>
    <hyperlink r:id="rId3172" ref="AW2687"/>
    <hyperlink r:id="rId3173" ref="T2688"/>
    <hyperlink r:id="rId3174" ref="AW2688"/>
    <hyperlink r:id="rId3175" ref="T2689"/>
    <hyperlink r:id="rId3176" ref="AW2689"/>
    <hyperlink r:id="rId3177" ref="T2690"/>
    <hyperlink r:id="rId3178" ref="AW2690"/>
    <hyperlink r:id="rId3179" ref="T2691"/>
    <hyperlink r:id="rId3180" ref="AW2691"/>
    <hyperlink r:id="rId3181" ref="T2692"/>
    <hyperlink r:id="rId3182" ref="AW2692"/>
    <hyperlink r:id="rId3183" ref="AW2693"/>
    <hyperlink r:id="rId3184" ref="T2694"/>
    <hyperlink r:id="rId3185" ref="AW2694"/>
    <hyperlink r:id="rId3186" ref="R2695"/>
    <hyperlink r:id="rId3187" ref="AN2700"/>
    <hyperlink r:id="rId3188" ref="AO2700"/>
    <hyperlink r:id="rId3189" ref="AW2700"/>
    <hyperlink r:id="rId3190" ref="AX2700"/>
    <hyperlink r:id="rId3191" ref="R2702"/>
    <hyperlink r:id="rId3192" ref="S2702"/>
    <hyperlink r:id="rId3193" ref="R2705"/>
    <hyperlink r:id="rId3194" ref="S2705"/>
    <hyperlink r:id="rId3195" ref="R2710"/>
    <hyperlink r:id="rId3196" ref="AW2710"/>
    <hyperlink r:id="rId3197" ref="AX2710"/>
    <hyperlink r:id="rId3198" ref="R2711"/>
    <hyperlink r:id="rId3199" ref="AW2711"/>
    <hyperlink r:id="rId3200" ref="AW2712"/>
    <hyperlink r:id="rId3201" ref="R2713"/>
    <hyperlink r:id="rId3202" ref="AW2713"/>
    <hyperlink r:id="rId3203" ref="AW2714"/>
    <hyperlink r:id="rId3204" ref="AW2715"/>
    <hyperlink r:id="rId3205" ref="AW2730"/>
    <hyperlink r:id="rId3206" ref="AX2730"/>
    <hyperlink r:id="rId3207" ref="AW2731"/>
    <hyperlink r:id="rId3208" ref="AX2731"/>
    <hyperlink r:id="rId3209" ref="K2732"/>
    <hyperlink r:id="rId3210" ref="R2736"/>
    <hyperlink r:id="rId3211" ref="S2736"/>
    <hyperlink r:id="rId3212" ref="R2738"/>
    <hyperlink r:id="rId3213" ref="S2738"/>
    <hyperlink r:id="rId3214" ref="AW2740"/>
    <hyperlink r:id="rId3215" ref="AX2740"/>
    <hyperlink r:id="rId3216" ref="AW2741"/>
    <hyperlink r:id="rId3217" ref="AX2741"/>
    <hyperlink r:id="rId3218" ref="AW2742"/>
    <hyperlink r:id="rId3219" ref="AW2743"/>
    <hyperlink r:id="rId3220" ref="AW2744"/>
    <hyperlink r:id="rId3221" ref="AW2745"/>
    <hyperlink r:id="rId3222" ref="AW2746"/>
    <hyperlink r:id="rId3223" ref="AW2747"/>
    <hyperlink r:id="rId3224" ref="AW2748"/>
    <hyperlink r:id="rId3225" ref="AW2749"/>
    <hyperlink r:id="rId3226" ref="Q2750"/>
    <hyperlink r:id="rId3227" ref="R2750"/>
    <hyperlink r:id="rId3228" ref="X2750"/>
    <hyperlink r:id="rId3229" ref="L2751"/>
    <hyperlink r:id="rId3230" ref="Q2751"/>
    <hyperlink r:id="rId3231" ref="X2751"/>
    <hyperlink r:id="rId3232" ref="Q2752"/>
    <hyperlink r:id="rId3233" ref="X2752"/>
    <hyperlink r:id="rId3234" ref="Q2753"/>
    <hyperlink r:id="rId3235" ref="X2753"/>
    <hyperlink r:id="rId3236" ref="L2754"/>
    <hyperlink r:id="rId3237" ref="Q2754"/>
    <hyperlink r:id="rId3238" ref="X2754"/>
    <hyperlink r:id="rId3239" ref="Q2755"/>
    <hyperlink r:id="rId3240" ref="X2755"/>
    <hyperlink r:id="rId3241" ref="Q2756"/>
    <hyperlink r:id="rId3242" ref="X2756"/>
    <hyperlink r:id="rId3243" ref="Q2757"/>
    <hyperlink r:id="rId3244" ref="X2757"/>
    <hyperlink r:id="rId3245" ref="Q2758"/>
    <hyperlink r:id="rId3246" ref="X2758"/>
    <hyperlink r:id="rId3247" ref="Q2759"/>
    <hyperlink r:id="rId3248" ref="X2759"/>
    <hyperlink r:id="rId3249" ref="Q2760"/>
    <hyperlink r:id="rId3250" ref="X2760"/>
    <hyperlink r:id="rId3251" ref="Q2761"/>
    <hyperlink r:id="rId3252" ref="X2761"/>
    <hyperlink r:id="rId3253" ref="Q2762"/>
    <hyperlink r:id="rId3254" ref="X2762"/>
    <hyperlink r:id="rId3255" ref="Q2763"/>
    <hyperlink r:id="rId3256" ref="X2763"/>
    <hyperlink r:id="rId3257" ref="Q2764"/>
    <hyperlink r:id="rId3258" ref="X2764"/>
    <hyperlink r:id="rId3259" ref="Q2765"/>
    <hyperlink r:id="rId3260" ref="X2765"/>
    <hyperlink r:id="rId3261" ref="Q2766"/>
    <hyperlink r:id="rId3262" ref="X2766"/>
    <hyperlink r:id="rId3263" ref="Q2767"/>
    <hyperlink r:id="rId3264" ref="X2767"/>
    <hyperlink r:id="rId3265" ref="Q2768"/>
    <hyperlink r:id="rId3266" ref="X2768"/>
    <hyperlink r:id="rId3267" ref="Q2769"/>
    <hyperlink r:id="rId3268" ref="X2769"/>
    <hyperlink r:id="rId3269" ref="Q2770"/>
    <hyperlink r:id="rId3270" ref="X2770"/>
    <hyperlink r:id="rId3271" ref="Q2771"/>
    <hyperlink r:id="rId3272" ref="X2771"/>
    <hyperlink r:id="rId3273" ref="Q2772"/>
    <hyperlink r:id="rId3274" ref="X2772"/>
    <hyperlink r:id="rId3275" ref="Q2773"/>
    <hyperlink r:id="rId3276" ref="X2773"/>
    <hyperlink r:id="rId3277" ref="Q2774"/>
    <hyperlink r:id="rId3278" ref="X2774"/>
    <hyperlink r:id="rId3279" ref="Q2775"/>
    <hyperlink r:id="rId3280" ref="X2775"/>
    <hyperlink r:id="rId3281" ref="Q2776"/>
    <hyperlink r:id="rId3282" ref="X2776"/>
    <hyperlink r:id="rId3283" ref="R2777"/>
    <hyperlink r:id="rId3284" ref="S2777"/>
    <hyperlink r:id="rId3285" ref="R2778"/>
    <hyperlink r:id="rId3286" ref="AW2778"/>
    <hyperlink r:id="rId3287" ref="AW2779"/>
    <hyperlink r:id="rId3288" ref="R2780"/>
    <hyperlink r:id="rId3289" ref="S2780"/>
    <hyperlink r:id="rId3290" ref="R2781"/>
    <hyperlink r:id="rId3291" ref="S2781"/>
    <hyperlink r:id="rId3292" ref="R2782"/>
    <hyperlink r:id="rId3293" ref="S2782"/>
    <hyperlink r:id="rId3294" ref="R2783"/>
    <hyperlink r:id="rId3295" ref="S2783"/>
    <hyperlink r:id="rId3296" ref="R2784"/>
    <hyperlink r:id="rId3297" ref="S2784"/>
    <hyperlink r:id="rId3298" ref="R2785"/>
    <hyperlink r:id="rId3299" ref="S2785"/>
    <hyperlink r:id="rId3300" ref="R2786"/>
    <hyperlink r:id="rId3301" ref="S2786"/>
    <hyperlink r:id="rId3302" ref="R2787"/>
    <hyperlink r:id="rId3303" ref="S2787"/>
    <hyperlink r:id="rId3304" ref="R2788"/>
    <hyperlink r:id="rId3305" ref="S2788"/>
    <hyperlink r:id="rId3306" ref="Q2789"/>
    <hyperlink r:id="rId3307" ref="R2789"/>
    <hyperlink r:id="rId3308" ref="S2789"/>
    <hyperlink r:id="rId3309" ref="Q2790"/>
    <hyperlink r:id="rId3310" ref="R2790"/>
    <hyperlink r:id="rId3311" ref="Q2791"/>
    <hyperlink r:id="rId3312" ref="R2791"/>
    <hyperlink r:id="rId3313" ref="Q2792"/>
    <hyperlink r:id="rId3314" ref="R2792"/>
    <hyperlink r:id="rId3315" ref="Q2793"/>
    <hyperlink r:id="rId3316" ref="Q2794"/>
    <hyperlink r:id="rId3317" ref="Q2795"/>
    <hyperlink r:id="rId3318" ref="Q2796"/>
    <hyperlink r:id="rId3319" ref="Q2797"/>
    <hyperlink r:id="rId3320" ref="Q2798"/>
    <hyperlink r:id="rId3321" ref="Q2799"/>
    <hyperlink r:id="rId3322" ref="Q2800"/>
    <hyperlink r:id="rId3323" ref="Q2801"/>
    <hyperlink r:id="rId3324" ref="Q2802"/>
    <hyperlink r:id="rId3325" ref="Q2803"/>
    <hyperlink r:id="rId3326" ref="Q2804"/>
    <hyperlink r:id="rId3327" ref="Q2805"/>
    <hyperlink r:id="rId3328" ref="Q2806"/>
    <hyperlink r:id="rId3329" ref="Q2807"/>
    <hyperlink r:id="rId3330" ref="Q2808"/>
    <hyperlink r:id="rId3331" ref="Q2809"/>
    <hyperlink r:id="rId3332" ref="Q2810"/>
    <hyperlink r:id="rId3333" ref="Q2811"/>
    <hyperlink r:id="rId3334" ref="Q2812"/>
    <hyperlink r:id="rId3335" ref="Q2813"/>
    <hyperlink r:id="rId3336" ref="Q2814"/>
    <hyperlink r:id="rId3337" ref="Q2815"/>
    <hyperlink r:id="rId3338" ref="Q2816"/>
    <hyperlink r:id="rId3339" ref="Q2817"/>
    <hyperlink r:id="rId3340" ref="Q2818"/>
    <hyperlink r:id="rId3341" ref="Q2819"/>
    <hyperlink r:id="rId3342" ref="Q2820"/>
    <hyperlink r:id="rId3343" ref="Q2821"/>
    <hyperlink r:id="rId3344" ref="Q2822"/>
    <hyperlink r:id="rId3345" ref="Q2823"/>
    <hyperlink r:id="rId3346" ref="Q2824"/>
    <hyperlink r:id="rId3347" ref="Q2825"/>
    <hyperlink r:id="rId3348" ref="Q2826"/>
    <hyperlink r:id="rId3349" ref="Q2827"/>
    <hyperlink r:id="rId3350" ref="Q2828"/>
    <hyperlink r:id="rId3351" ref="Q2829"/>
    <hyperlink r:id="rId3352" ref="Q2830"/>
    <hyperlink r:id="rId3353" ref="Q2831"/>
    <hyperlink r:id="rId3354" ref="Q2832"/>
    <hyperlink r:id="rId3355" ref="Q2833"/>
    <hyperlink r:id="rId3356" ref="Q2834"/>
    <hyperlink r:id="rId3357" ref="Q2835"/>
    <hyperlink r:id="rId3358" ref="Q2836"/>
    <hyperlink r:id="rId3359" ref="Q2837"/>
    <hyperlink r:id="rId3360" ref="Q2838"/>
    <hyperlink r:id="rId3361" ref="Q2839"/>
    <hyperlink r:id="rId3362" ref="Q2840"/>
    <hyperlink r:id="rId3363" ref="Q2841"/>
    <hyperlink r:id="rId3364" ref="Q2842"/>
    <hyperlink r:id="rId3365" ref="Q2843"/>
    <hyperlink r:id="rId3366" ref="Q2844"/>
    <hyperlink r:id="rId3367" ref="Q2845"/>
    <hyperlink r:id="rId3368" ref="Q2846"/>
    <hyperlink r:id="rId3369" ref="Q2847"/>
    <hyperlink r:id="rId3370" ref="Q2848"/>
    <hyperlink r:id="rId3371" ref="Q2849"/>
    <hyperlink r:id="rId3372" ref="Q2850"/>
    <hyperlink r:id="rId3373" ref="Q2851"/>
    <hyperlink r:id="rId3374" ref="Q2852"/>
    <hyperlink r:id="rId3375" ref="Q2853"/>
    <hyperlink r:id="rId3376" ref="Q2854"/>
    <hyperlink r:id="rId3377" ref="Q2855"/>
    <hyperlink r:id="rId3378" ref="Q2856"/>
    <hyperlink r:id="rId3379" ref="Q2857"/>
    <hyperlink r:id="rId3380" ref="Q2858"/>
    <hyperlink r:id="rId3381" ref="Q2859"/>
    <hyperlink r:id="rId3382" ref="Q2860"/>
    <hyperlink r:id="rId3383" ref="Q2861"/>
    <hyperlink r:id="rId3384" ref="Q2862"/>
    <hyperlink r:id="rId3385" ref="Q2863"/>
    <hyperlink r:id="rId3386" ref="Q2864"/>
    <hyperlink r:id="rId3387" ref="Q2865"/>
    <hyperlink r:id="rId3388" ref="Q2866"/>
    <hyperlink r:id="rId3389" ref="N2875"/>
    <hyperlink r:id="rId3390" ref="S2875"/>
    <hyperlink r:id="rId3391" ref="T2875"/>
    <hyperlink r:id="rId3392" ref="AN2875"/>
    <hyperlink r:id="rId3393" ref="AO2875"/>
    <hyperlink r:id="rId3394" ref="AW2875"/>
    <hyperlink r:id="rId3395" ref="AX2875"/>
    <hyperlink r:id="rId3396" ref="N2876"/>
    <hyperlink r:id="rId3397" ref="S2876"/>
    <hyperlink r:id="rId3398" ref="N2877"/>
    <hyperlink r:id="rId3399" ref="S2877"/>
    <hyperlink r:id="rId3400" ref="N2878"/>
    <hyperlink r:id="rId3401" ref="S2878"/>
    <hyperlink r:id="rId3402" ref="AW2878"/>
    <hyperlink r:id="rId3403" ref="AX2878"/>
    <hyperlink r:id="rId3404" ref="N2879"/>
    <hyperlink r:id="rId3405" ref="S2879"/>
    <hyperlink r:id="rId3406" ref="N2880"/>
    <hyperlink r:id="rId3407" ref="T2880"/>
    <hyperlink r:id="rId3408" ref="AN2880"/>
    <hyperlink r:id="rId3409" ref="AO2880"/>
    <hyperlink r:id="rId3410" ref="N2881"/>
    <hyperlink r:id="rId3411" ref="S2881"/>
    <hyperlink r:id="rId3412" ref="AW2881"/>
    <hyperlink r:id="rId3413" ref="AX2881"/>
    <hyperlink r:id="rId3414" ref="N2882"/>
    <hyperlink r:id="rId3415" ref="S2882"/>
    <hyperlink r:id="rId3416" ref="N2883"/>
    <hyperlink r:id="rId3417" ref="S2883"/>
    <hyperlink r:id="rId3418" ref="N2884"/>
    <hyperlink r:id="rId3419" ref="S2884"/>
    <hyperlink r:id="rId3420" ref="N2885"/>
    <hyperlink r:id="rId3421" ref="S2885"/>
    <hyperlink r:id="rId3422" ref="AW2885"/>
    <hyperlink r:id="rId3423" ref="AX2885"/>
    <hyperlink r:id="rId3424" ref="N2886"/>
    <hyperlink r:id="rId3425" ref="S2886"/>
    <hyperlink r:id="rId3426" ref="AW2886"/>
    <hyperlink r:id="rId3427" ref="N2887"/>
    <hyperlink r:id="rId3428" ref="S2887"/>
    <hyperlink r:id="rId3429" ref="N2888"/>
    <hyperlink r:id="rId3430" ref="S2888"/>
    <hyperlink r:id="rId3431" ref="S2889"/>
    <hyperlink r:id="rId3432" ref="S2890"/>
    <hyperlink r:id="rId3433" ref="AW2890"/>
    <hyperlink r:id="rId3434" ref="S2891"/>
    <hyperlink r:id="rId3435" ref="AW2891"/>
    <hyperlink r:id="rId3436" ref="S2892"/>
    <hyperlink r:id="rId3437" ref="K2893"/>
    <hyperlink r:id="rId3438" ref="S2893"/>
    <hyperlink r:id="rId3439" ref="AW2909"/>
    <hyperlink r:id="rId3440" ref="AW2910"/>
    <hyperlink r:id="rId3441" ref="AW2911"/>
    <hyperlink r:id="rId3442" ref="AW2912"/>
    <hyperlink r:id="rId3443" ref="AW2913"/>
    <hyperlink r:id="rId3444" ref="R2927"/>
    <hyperlink r:id="rId3445" ref="T2927"/>
    <hyperlink r:id="rId3446" ref="AW2927"/>
    <hyperlink r:id="rId3447" ref="AW2928"/>
    <hyperlink r:id="rId3448" ref="AW2929"/>
    <hyperlink r:id="rId3449" ref="AW2930"/>
    <hyperlink r:id="rId3450" ref="AW2931"/>
    <hyperlink r:id="rId3451" ref="AW2932"/>
    <hyperlink r:id="rId3452" ref="AW2933"/>
    <hyperlink r:id="rId3453" ref="AW2934"/>
    <hyperlink r:id="rId3454" ref="AW2935"/>
    <hyperlink r:id="rId3455" ref="AW2936"/>
    <hyperlink r:id="rId3456" ref="AW2937"/>
    <hyperlink r:id="rId3457" ref="AW2938"/>
    <hyperlink r:id="rId3458" ref="AW2939"/>
    <hyperlink r:id="rId3459" ref="AW2940"/>
    <hyperlink r:id="rId3460" ref="AW2941"/>
    <hyperlink r:id="rId3461" ref="AW2942"/>
    <hyperlink r:id="rId3462" ref="AW2943"/>
    <hyperlink r:id="rId3463" ref="AW2944"/>
    <hyperlink r:id="rId3464" ref="AW2945"/>
    <hyperlink r:id="rId3465" ref="AW2946"/>
    <hyperlink r:id="rId3466" ref="AW2947"/>
    <hyperlink r:id="rId3467" ref="AW2948"/>
    <hyperlink r:id="rId3468" ref="AW2949"/>
    <hyperlink r:id="rId3469" ref="AW2950"/>
    <hyperlink r:id="rId3470" ref="AW2951"/>
    <hyperlink r:id="rId3471" ref="AW2952"/>
    <hyperlink r:id="rId3472" ref="AW2953"/>
    <hyperlink r:id="rId3473" ref="AW2954"/>
    <hyperlink r:id="rId3474" ref="AW2955"/>
    <hyperlink r:id="rId3475" ref="AW2956"/>
    <hyperlink r:id="rId3476" ref="AW2957"/>
    <hyperlink r:id="rId3477" ref="AW2958"/>
    <hyperlink r:id="rId3478" ref="AW2959"/>
    <hyperlink r:id="rId3479" ref="AW2960"/>
    <hyperlink r:id="rId3480" ref="AW2961"/>
    <hyperlink r:id="rId3481" ref="AW2962"/>
    <hyperlink r:id="rId3482" ref="AW2963"/>
    <hyperlink r:id="rId3483" ref="AW2964"/>
    <hyperlink r:id="rId3484" ref="S2965"/>
    <hyperlink r:id="rId3485" ref="AW2965"/>
    <hyperlink r:id="rId3486" ref="AW2966"/>
    <hyperlink r:id="rId3487" ref="S2967"/>
    <hyperlink r:id="rId3488" ref="AW2967"/>
    <hyperlink r:id="rId3489" ref="AW2969"/>
    <hyperlink r:id="rId3490" ref="AW2970"/>
    <hyperlink r:id="rId3491" ref="AW2971"/>
    <hyperlink r:id="rId3492" ref="S2973"/>
    <hyperlink r:id="rId3493" ref="T2973"/>
    <hyperlink r:id="rId3494" ref="R2974"/>
    <hyperlink r:id="rId3495" ref="T2974"/>
    <hyperlink r:id="rId3496" ref="AW2974"/>
    <hyperlink r:id="rId3497" ref="T2975"/>
    <hyperlink r:id="rId3498" ref="AW2975"/>
    <hyperlink r:id="rId3499" ref="R2976"/>
    <hyperlink r:id="rId3500" ref="T2976"/>
    <hyperlink r:id="rId3501" ref="AW2976"/>
    <hyperlink r:id="rId3502" ref="S2977"/>
    <hyperlink r:id="rId3503" ref="T2977"/>
    <hyperlink r:id="rId3504" ref="AW2977"/>
    <hyperlink r:id="rId3505" ref="S2978"/>
    <hyperlink r:id="rId3506" ref="T2978"/>
    <hyperlink r:id="rId3507" ref="AW2978"/>
    <hyperlink r:id="rId3508" ref="S2979"/>
    <hyperlink r:id="rId3509" ref="T2979"/>
    <hyperlink r:id="rId3510" ref="AW2979"/>
    <hyperlink r:id="rId3511" ref="S2980"/>
    <hyperlink r:id="rId3512" ref="T2980"/>
    <hyperlink r:id="rId3513" ref="AW2980"/>
    <hyperlink r:id="rId3514" ref="T2981"/>
    <hyperlink r:id="rId3515" ref="X2981"/>
    <hyperlink r:id="rId3516" location="heading=h.9x21u9ixbezz" ref="AW2981"/>
    <hyperlink r:id="rId3517" ref="T2982"/>
    <hyperlink r:id="rId3518" ref="X2982"/>
    <hyperlink r:id="rId3519" location="heading=h.9x21u9ixbezz" ref="AW2982"/>
    <hyperlink r:id="rId3520" ref="T2983"/>
    <hyperlink r:id="rId3521" ref="X2983"/>
    <hyperlink r:id="rId3522" location="heading=h.9x21u9ixbezz" ref="AW2983"/>
    <hyperlink r:id="rId3523" ref="T2984"/>
    <hyperlink r:id="rId3524" ref="X2984"/>
    <hyperlink r:id="rId3525" location="heading=h.9x21u9ixbezz" ref="AW2984"/>
    <hyperlink r:id="rId3526" ref="T2985"/>
    <hyperlink r:id="rId3527" ref="X2985"/>
    <hyperlink r:id="rId3528" location="heading=h.9x21u9ixbezz" ref="AW2985"/>
    <hyperlink r:id="rId3529" ref="T2986"/>
    <hyperlink r:id="rId3530" ref="X2986"/>
    <hyperlink r:id="rId3531" location="heading=h.9x21u9ixbezz" ref="AW2986"/>
    <hyperlink r:id="rId3532" ref="T2987"/>
    <hyperlink r:id="rId3533" ref="X2987"/>
    <hyperlink r:id="rId3534" location="heading=h.9x21u9ixbezz" ref="AW2987"/>
    <hyperlink r:id="rId3535" ref="T2988"/>
    <hyperlink r:id="rId3536" ref="X2988"/>
    <hyperlink r:id="rId3537" location="heading=h.9x21u9ixbezz" ref="AW2988"/>
    <hyperlink r:id="rId3538" ref="T2989"/>
    <hyperlink r:id="rId3539" ref="X2989"/>
    <hyperlink r:id="rId3540" location="heading=h.9x21u9ixbezz" ref="AW2989"/>
    <hyperlink r:id="rId3541" ref="T2990"/>
    <hyperlink r:id="rId3542" ref="X2990"/>
    <hyperlink r:id="rId3543" location="heading=h.9x21u9ixbezz" ref="AW2990"/>
    <hyperlink r:id="rId3544" ref="T2991"/>
    <hyperlink r:id="rId3545" ref="X2991"/>
    <hyperlink r:id="rId3546" location="heading=h.9x21u9ixbezz" ref="AW2991"/>
    <hyperlink r:id="rId3547" ref="T2992"/>
    <hyperlink r:id="rId3548" ref="X2992"/>
    <hyperlink r:id="rId3549" location="heading=h.9x21u9ixbezz" ref="AW2992"/>
    <hyperlink r:id="rId3550" ref="T2993"/>
    <hyperlink r:id="rId3551" ref="S2995"/>
    <hyperlink r:id="rId3552" ref="T2995"/>
    <hyperlink r:id="rId3553" ref="T2996"/>
    <hyperlink r:id="rId3554" ref="N2998"/>
    <hyperlink r:id="rId3555" ref="S2998"/>
    <hyperlink r:id="rId3556" ref="AW2998"/>
    <hyperlink r:id="rId3557" ref="AW2999"/>
    <hyperlink r:id="rId3558" ref="AW3000"/>
    <hyperlink r:id="rId3559" ref="AW3001"/>
    <hyperlink r:id="rId3560" ref="AW3002"/>
    <hyperlink r:id="rId3561" ref="AW3003"/>
    <hyperlink r:id="rId3562" ref="AW3004"/>
    <hyperlink r:id="rId3563" ref="AW3005"/>
    <hyperlink r:id="rId3564" ref="AW3006"/>
    <hyperlink r:id="rId3565" ref="AW3007"/>
    <hyperlink r:id="rId3566" ref="AW3008"/>
    <hyperlink r:id="rId3567" ref="AW3009"/>
    <hyperlink r:id="rId3568" ref="AW3010"/>
    <hyperlink r:id="rId3569" ref="AW3011"/>
    <hyperlink r:id="rId3570" ref="AW3012"/>
    <hyperlink r:id="rId3571" ref="AW3013"/>
    <hyperlink r:id="rId3572" ref="AW3014"/>
    <hyperlink r:id="rId3573" ref="AW3015"/>
    <hyperlink r:id="rId3574" ref="AW3016"/>
    <hyperlink r:id="rId3575" ref="AW3017"/>
    <hyperlink r:id="rId3576" ref="AW3018"/>
    <hyperlink r:id="rId3577" ref="AW3019"/>
    <hyperlink r:id="rId3578" ref="AW3020"/>
    <hyperlink r:id="rId3579" ref="AW3021"/>
    <hyperlink r:id="rId3580" ref="AW3022"/>
    <hyperlink r:id="rId3581" ref="AW3023"/>
    <hyperlink r:id="rId3582" ref="AW3024"/>
    <hyperlink r:id="rId3583" ref="AW3025"/>
    <hyperlink r:id="rId3584" ref="AW3026"/>
    <hyperlink r:id="rId3585" ref="AW3027"/>
    <hyperlink r:id="rId3586" ref="AW3028"/>
    <hyperlink r:id="rId3587" ref="AW3029"/>
    <hyperlink r:id="rId3588" ref="AW3030"/>
    <hyperlink r:id="rId3589" ref="AW3031"/>
    <hyperlink r:id="rId3590" ref="AW3032"/>
    <hyperlink r:id="rId3591" ref="AW3033"/>
    <hyperlink r:id="rId3592" ref="AW3034"/>
    <hyperlink r:id="rId3593" ref="AW3035"/>
    <hyperlink r:id="rId3594" ref="AW3036"/>
    <hyperlink r:id="rId3595" ref="AW3037"/>
    <hyperlink r:id="rId3596" ref="AW3038"/>
    <hyperlink r:id="rId3597" ref="AW3039"/>
    <hyperlink r:id="rId3598" ref="AW3040"/>
    <hyperlink r:id="rId3599" ref="AW3041"/>
    <hyperlink r:id="rId3600" ref="AW3042"/>
    <hyperlink r:id="rId3601" ref="AW3043"/>
    <hyperlink r:id="rId3602" ref="AW3044"/>
    <hyperlink r:id="rId3603" ref="AW3045"/>
    <hyperlink r:id="rId3604" ref="AW3046"/>
    <hyperlink r:id="rId3605" ref="AW3047"/>
    <hyperlink r:id="rId3606" ref="AW3048"/>
    <hyperlink r:id="rId3607" ref="AW3049"/>
    <hyperlink r:id="rId3608" ref="AW3050"/>
    <hyperlink r:id="rId3609" ref="AW3051"/>
    <hyperlink r:id="rId3610" ref="AW3052"/>
    <hyperlink r:id="rId3611" ref="AW3053"/>
    <hyperlink r:id="rId3612" ref="AW3054"/>
    <hyperlink r:id="rId3613" ref="AW3055"/>
    <hyperlink r:id="rId3614" ref="AW3056"/>
    <hyperlink r:id="rId3615" ref="AW3057"/>
    <hyperlink r:id="rId3616" ref="AW3058"/>
    <hyperlink r:id="rId3617" ref="AW3059"/>
    <hyperlink r:id="rId3618" ref="AW3060"/>
    <hyperlink r:id="rId3619" ref="AW3061"/>
    <hyperlink r:id="rId3620" ref="AW3062"/>
    <hyperlink r:id="rId3621" ref="AW3063"/>
    <hyperlink r:id="rId3622" ref="AW3064"/>
    <hyperlink r:id="rId3623" ref="AW3065"/>
    <hyperlink r:id="rId3624" ref="AW3066"/>
    <hyperlink r:id="rId3625" ref="AW3067"/>
    <hyperlink r:id="rId3626" ref="AW3068"/>
    <hyperlink r:id="rId3627" ref="AW3069"/>
    <hyperlink r:id="rId3628" ref="AW3070"/>
    <hyperlink r:id="rId3629" ref="AW3071"/>
    <hyperlink r:id="rId3630" ref="AW3072"/>
    <hyperlink r:id="rId3631" ref="AW3074"/>
    <hyperlink r:id="rId3632" ref="AW3075"/>
    <hyperlink r:id="rId3633" ref="AW3076"/>
    <hyperlink r:id="rId3634" ref="AW3077"/>
    <hyperlink r:id="rId3635" ref="AW3078"/>
    <hyperlink r:id="rId3636" ref="AW3079"/>
    <hyperlink r:id="rId3637" ref="AW3080"/>
    <hyperlink r:id="rId3638" ref="AW3082"/>
    <hyperlink r:id="rId3639" ref="AW3083"/>
    <hyperlink r:id="rId3640" ref="AW3084"/>
    <hyperlink r:id="rId3641" ref="AW3085"/>
    <hyperlink r:id="rId3642" ref="AW3086"/>
    <hyperlink r:id="rId3643" ref="AW3087"/>
    <hyperlink r:id="rId3644" ref="AW3088"/>
    <hyperlink r:id="rId3645" ref="AW3089"/>
    <hyperlink r:id="rId3646" ref="AW3090"/>
    <hyperlink r:id="rId3647" ref="AW3091"/>
    <hyperlink r:id="rId3648" ref="AW3092"/>
    <hyperlink r:id="rId3649" ref="AW3093"/>
    <hyperlink r:id="rId3650" ref="AW3094"/>
    <hyperlink r:id="rId3651" ref="AW3095"/>
    <hyperlink r:id="rId3652" ref="AW3096"/>
    <hyperlink r:id="rId3653" ref="AW3097"/>
    <hyperlink r:id="rId3654" ref="AW3098"/>
    <hyperlink r:id="rId3655" ref="AW3099"/>
    <hyperlink r:id="rId3656" ref="AW3100"/>
    <hyperlink r:id="rId3657" ref="AW3101"/>
    <hyperlink r:id="rId3658" ref="AW3102"/>
    <hyperlink r:id="rId3659" ref="AW3103"/>
    <hyperlink r:id="rId3660" ref="AW3104"/>
    <hyperlink r:id="rId3661" ref="AW3105"/>
    <hyperlink r:id="rId3662" ref="AW3106"/>
    <hyperlink r:id="rId3663" ref="AW3107"/>
    <hyperlink r:id="rId3664" ref="AW3108"/>
    <hyperlink r:id="rId3665" ref="AW3109"/>
    <hyperlink r:id="rId3666" ref="AW3110"/>
    <hyperlink r:id="rId3667" ref="AW3111"/>
    <hyperlink r:id="rId3668" ref="AW3112"/>
    <hyperlink r:id="rId3669" ref="AW3113"/>
    <hyperlink r:id="rId3670" ref="AW3114"/>
    <hyperlink r:id="rId3671" ref="AW3115"/>
    <hyperlink r:id="rId3672" ref="AW3116"/>
    <hyperlink r:id="rId3673" ref="AW3117"/>
    <hyperlink r:id="rId3674" ref="AW3118"/>
    <hyperlink r:id="rId3675" ref="AW3119"/>
    <hyperlink r:id="rId3676" ref="AW3120"/>
    <hyperlink r:id="rId3677" ref="T3123"/>
    <hyperlink r:id="rId3678" ref="T3124"/>
    <hyperlink r:id="rId3679" ref="AW3124"/>
    <hyperlink r:id="rId3680" ref="T3127"/>
    <hyperlink r:id="rId3681" ref="T3129"/>
    <hyperlink r:id="rId3682" ref="T3130"/>
    <hyperlink r:id="rId3683" ref="T3131"/>
    <hyperlink r:id="rId3684" location=":~:text=d%20%3D%20.02%2C%20with%20a%2090%25%20confidence%20interval%20of%20%5B%2D.11%2C%20%2B.15%5D" ref="AR3131"/>
    <hyperlink r:id="rId3685" ref="AW3131"/>
    <hyperlink r:id="rId3686" ref="T3132"/>
    <hyperlink r:id="rId3687" ref="T3133"/>
    <hyperlink r:id="rId3688" location=":~:text=You%20really%20should,to%20study%20something" ref="AR3133"/>
    <hyperlink r:id="rId3689" ref="T3134"/>
    <hyperlink r:id="rId3690" location=":~:text=You%20really%20should,to%20study%20something" ref="AR3134"/>
    <hyperlink r:id="rId3691" ref="T3135"/>
    <hyperlink r:id="rId3692" location=":~:text=The%20effect%20size,d%20%3D%20%2D0.40" ref="AR3135"/>
    <hyperlink r:id="rId3693" ref="AW3135"/>
    <hyperlink r:id="rId3694" ref="AW3136"/>
    <hyperlink r:id="rId3695" ref="AW3137"/>
    <hyperlink r:id="rId3696" ref="K3138"/>
    <hyperlink r:id="rId3697" ref="AW3138"/>
    <hyperlink r:id="rId3698" ref="K3139"/>
    <hyperlink r:id="rId3699" ref="AW3139"/>
    <hyperlink r:id="rId3700" ref="AW3140"/>
    <hyperlink r:id="rId3701" ref="AW3141"/>
    <hyperlink r:id="rId3702" ref="K3142"/>
    <hyperlink r:id="rId3703" ref="AW3142"/>
    <hyperlink r:id="rId3704" ref="AW3143"/>
    <hyperlink r:id="rId3705" ref="AW3144"/>
    <hyperlink r:id="rId3706" ref="AW3145"/>
    <hyperlink r:id="rId3707" ref="K3146"/>
    <hyperlink r:id="rId3708" ref="AW3146"/>
    <hyperlink r:id="rId3709" ref="AW3147"/>
    <hyperlink r:id="rId3710" ref="AW3148"/>
    <hyperlink r:id="rId3711" ref="K3149"/>
    <hyperlink r:id="rId3712" ref="AW3149"/>
    <hyperlink r:id="rId3713" ref="K3150"/>
    <hyperlink r:id="rId3714" ref="AW3150"/>
    <hyperlink r:id="rId3715" ref="AW3151"/>
    <hyperlink r:id="rId3716" ref="K3152"/>
    <hyperlink r:id="rId3717" ref="AW3152"/>
    <hyperlink r:id="rId3718" ref="K3153"/>
    <hyperlink r:id="rId3719" ref="AW3153"/>
    <hyperlink r:id="rId3720" ref="K3154"/>
    <hyperlink r:id="rId3721" ref="AW3154"/>
    <hyperlink r:id="rId3722" ref="AW3155"/>
    <hyperlink r:id="rId3723" ref="K3156"/>
    <hyperlink r:id="rId3724" ref="AW3156"/>
    <hyperlink r:id="rId3725" ref="K3157"/>
    <hyperlink r:id="rId3726" ref="AW3157"/>
    <hyperlink r:id="rId3727" ref="K3158"/>
    <hyperlink r:id="rId3728" ref="AW3158"/>
    <hyperlink r:id="rId3729" ref="AW3159"/>
    <hyperlink r:id="rId3730" ref="AW3160"/>
    <hyperlink r:id="rId3731" ref="AW3161"/>
    <hyperlink r:id="rId3732" ref="AW3162"/>
    <hyperlink r:id="rId3733" ref="AW3163"/>
    <hyperlink r:id="rId3734" ref="AW3164"/>
    <hyperlink r:id="rId3735" ref="AW3165"/>
    <hyperlink r:id="rId3736" ref="AW3166"/>
    <hyperlink r:id="rId3737" ref="AW3167"/>
    <hyperlink r:id="rId3738" ref="AW3168"/>
    <hyperlink r:id="rId3739" ref="AW3169"/>
    <hyperlink r:id="rId3740" ref="AW3170"/>
    <hyperlink r:id="rId3741" ref="AW3171"/>
    <hyperlink r:id="rId3742" ref="AW3172"/>
    <hyperlink r:id="rId3743" ref="AW3173"/>
    <hyperlink r:id="rId3744" ref="AW3174"/>
    <hyperlink r:id="rId3745" ref="S3175"/>
    <hyperlink r:id="rId3746" ref="AW3175"/>
    <hyperlink r:id="rId3747" ref="S3176"/>
    <hyperlink r:id="rId3748" ref="AW3176"/>
    <hyperlink r:id="rId3749" ref="S3177"/>
    <hyperlink r:id="rId3750" ref="AW3177"/>
    <hyperlink r:id="rId3751" ref="S3178"/>
    <hyperlink r:id="rId3752" ref="AW3178"/>
    <hyperlink r:id="rId3753" ref="S3179"/>
    <hyperlink r:id="rId3754" ref="AW3179"/>
    <hyperlink r:id="rId3755" ref="S3180"/>
    <hyperlink r:id="rId3756" ref="AW3180"/>
    <hyperlink r:id="rId3757" ref="S3181"/>
    <hyperlink r:id="rId3758" ref="AW3181"/>
    <hyperlink r:id="rId3759" ref="S3182"/>
    <hyperlink r:id="rId3760" ref="AW3182"/>
    <hyperlink r:id="rId3761" ref="S3183"/>
    <hyperlink r:id="rId3762" ref="T3183"/>
    <hyperlink r:id="rId3763" ref="AW3183"/>
    <hyperlink r:id="rId3764" ref="S3184"/>
    <hyperlink r:id="rId3765" ref="T3184"/>
    <hyperlink r:id="rId3766" ref="AW3184"/>
    <hyperlink r:id="rId3767" ref="N3201"/>
    <hyperlink r:id="rId3768" ref="S3201"/>
    <hyperlink r:id="rId3769" ref="AW3201"/>
    <hyperlink r:id="rId3770" ref="AW3202"/>
    <hyperlink r:id="rId3771" ref="AW3203"/>
    <hyperlink r:id="rId3772" ref="AW3204"/>
    <hyperlink r:id="rId3773" ref="AW3205"/>
    <hyperlink r:id="rId3774" ref="AW3206"/>
    <hyperlink r:id="rId3775" ref="AW3207"/>
    <hyperlink r:id="rId3776" ref="AW3208"/>
    <hyperlink r:id="rId3777" ref="AW3209"/>
    <hyperlink r:id="rId3778" ref="AW3210"/>
    <hyperlink r:id="rId3779" ref="AW3211"/>
    <hyperlink r:id="rId3780" ref="AW3212"/>
    <hyperlink r:id="rId3781" ref="AW3213"/>
    <hyperlink r:id="rId3782" ref="AN3214"/>
    <hyperlink r:id="rId3783" ref="AW3214"/>
    <hyperlink r:id="rId3784" ref="AN3215"/>
    <hyperlink r:id="rId3785" ref="AW3215"/>
    <hyperlink r:id="rId3786" ref="AW3216"/>
    <hyperlink r:id="rId3787" ref="AN3217"/>
    <hyperlink r:id="rId3788" ref="AW3217"/>
    <hyperlink r:id="rId3789" ref="AN3219"/>
    <hyperlink r:id="rId3790" ref="AW3219"/>
    <hyperlink r:id="rId3791" location=":~:text=Section%204-,Results%20from%20the%20two%2Dway%20ANOVA%20did%20not%20substantially%20differ%20from,2%20and%20Supplemental%20material%201b%20for%20detailed%20results%20and%20error%20results).,-Download%3A%20Download" ref="AR3220"/>
    <hyperlink r:id="rId3792" ref="AW3220"/>
    <hyperlink r:id="rId3793" ref="AW3221"/>
    <hyperlink r:id="rId3794" ref="AW3222"/>
    <hyperlink r:id="rId3795" ref="N3223"/>
    <hyperlink r:id="rId3796" ref="AW3223"/>
    <hyperlink r:id="rId3797" ref="N3224"/>
    <hyperlink r:id="rId3798" ref="AW3224"/>
    <hyperlink r:id="rId3799" ref="N3225"/>
    <hyperlink r:id="rId3800" ref="AW3225"/>
    <hyperlink r:id="rId3801" ref="N3226"/>
    <hyperlink r:id="rId3802" ref="AW3226"/>
    <hyperlink r:id="rId3803" ref="N3227"/>
    <hyperlink r:id="rId3804" ref="S3227"/>
    <hyperlink r:id="rId3805" ref="AW3230"/>
    <hyperlink r:id="rId3806" ref="AW3231"/>
    <hyperlink r:id="rId3807" ref="AW3234"/>
    <hyperlink r:id="rId3808" ref="AW3235"/>
    <hyperlink r:id="rId3809" ref="M3238"/>
    <hyperlink r:id="rId3810" ref="M3239"/>
    <hyperlink r:id="rId3811" ref="AN3242"/>
    <hyperlink r:id="rId3812" ref="AW3242"/>
    <hyperlink r:id="rId3813" ref="AW3243"/>
    <hyperlink r:id="rId3814" ref="M3253"/>
    <hyperlink r:id="rId3815" ref="M3254"/>
    <hyperlink r:id="rId3816" ref="AW3254"/>
    <hyperlink r:id="rId3817" ref="M3255"/>
    <hyperlink r:id="rId3818" ref="AW3255"/>
    <hyperlink r:id="rId3819" ref="Q3270"/>
    <hyperlink r:id="rId3820" ref="X3270"/>
    <hyperlink r:id="rId3821" ref="Q3271"/>
    <hyperlink r:id="rId3822" ref="X3271"/>
    <hyperlink r:id="rId3823" ref="Q3272"/>
    <hyperlink r:id="rId3824" ref="X3272"/>
    <hyperlink r:id="rId3825" ref="Q3273"/>
    <hyperlink r:id="rId3826" ref="X3273"/>
    <hyperlink r:id="rId3827" ref="Q3274"/>
    <hyperlink r:id="rId3828" ref="X3274"/>
    <hyperlink r:id="rId3829" ref="Q3275"/>
    <hyperlink r:id="rId3830" ref="X3275"/>
    <hyperlink r:id="rId3831" ref="Q3276"/>
    <hyperlink r:id="rId3832" ref="X3276"/>
    <hyperlink r:id="rId3833" ref="Q3277"/>
    <hyperlink r:id="rId3834" ref="X3277"/>
    <hyperlink r:id="rId3835" ref="Q3278"/>
    <hyperlink r:id="rId3836" ref="X3278"/>
    <hyperlink r:id="rId3837" ref="Q3279"/>
    <hyperlink r:id="rId3838" ref="X3279"/>
    <hyperlink r:id="rId3839" ref="Q3280"/>
    <hyperlink r:id="rId3840" ref="X3280"/>
    <hyperlink r:id="rId3841" ref="Q3281"/>
    <hyperlink r:id="rId3842" ref="X3281"/>
    <hyperlink r:id="rId3843" ref="Q3282"/>
    <hyperlink r:id="rId3844" ref="X3282"/>
    <hyperlink r:id="rId3845" ref="Q3283"/>
    <hyperlink r:id="rId3846" ref="X3283"/>
    <hyperlink r:id="rId3847" ref="Q3284"/>
    <hyperlink r:id="rId3848" ref="X3284"/>
    <hyperlink r:id="rId3849" ref="Q3285"/>
    <hyperlink r:id="rId3850" ref="X3285"/>
    <hyperlink r:id="rId3851" ref="Q3286"/>
    <hyperlink r:id="rId3852" ref="X3286"/>
    <hyperlink r:id="rId3853" ref="Q3287"/>
    <hyperlink r:id="rId3854" ref="X3287"/>
    <hyperlink r:id="rId3855" ref="Q3288"/>
    <hyperlink r:id="rId3856" ref="X3288"/>
    <hyperlink r:id="rId3857" ref="Q3289"/>
    <hyperlink r:id="rId3858" ref="X3289"/>
    <hyperlink r:id="rId3859" ref="Q3290"/>
    <hyperlink r:id="rId3860" ref="X3290"/>
    <hyperlink r:id="rId3861" ref="Q3291"/>
    <hyperlink r:id="rId3862" ref="X3291"/>
    <hyperlink r:id="rId3863" ref="Q3292"/>
    <hyperlink r:id="rId3864" ref="X3292"/>
    <hyperlink r:id="rId3865" ref="Q3293"/>
    <hyperlink r:id="rId3866" ref="X3293"/>
    <hyperlink r:id="rId3867" ref="Q3294"/>
    <hyperlink r:id="rId3868" ref="X3294"/>
    <hyperlink r:id="rId3869" ref="AW3294"/>
    <hyperlink r:id="rId3870" ref="Q3295"/>
    <hyperlink r:id="rId3871" ref="X3295"/>
    <hyperlink r:id="rId3872" ref="AW3295"/>
    <hyperlink r:id="rId3873" ref="N3296"/>
    <hyperlink r:id="rId3874" ref="Q3296"/>
    <hyperlink r:id="rId3875" ref="X3296"/>
    <hyperlink r:id="rId3876" ref="AW3296"/>
    <hyperlink r:id="rId3877" ref="N3297"/>
    <hyperlink r:id="rId3878" ref="Q3297"/>
    <hyperlink r:id="rId3879" ref="X3297"/>
    <hyperlink r:id="rId3880" ref="AW3297"/>
    <hyperlink r:id="rId3881" ref="Q3298"/>
    <hyperlink r:id="rId3882" ref="X3298"/>
    <hyperlink r:id="rId3883" ref="AW3298"/>
    <hyperlink r:id="rId3884" ref="Q3299"/>
    <hyperlink r:id="rId3885" ref="X3299"/>
    <hyperlink r:id="rId3886" ref="AW3299"/>
    <hyperlink r:id="rId3887" ref="Q3300"/>
    <hyperlink r:id="rId3888" ref="X3300"/>
    <hyperlink r:id="rId3889" ref="AW3300"/>
    <hyperlink r:id="rId3890" ref="Q3301"/>
    <hyperlink r:id="rId3891" ref="X3301"/>
    <hyperlink r:id="rId3892" ref="AW3301"/>
    <hyperlink r:id="rId3893" ref="Q3302"/>
    <hyperlink r:id="rId3894" ref="X3302"/>
    <hyperlink r:id="rId3895" ref="AW3302"/>
    <hyperlink r:id="rId3896" ref="Q3303"/>
    <hyperlink r:id="rId3897" ref="X3303"/>
    <hyperlink r:id="rId3898" ref="AW3303"/>
    <hyperlink r:id="rId3899" ref="Q3304"/>
    <hyperlink r:id="rId3900" ref="X3304"/>
    <hyperlink r:id="rId3901" ref="AW3304"/>
    <hyperlink r:id="rId3902" ref="Q3305"/>
    <hyperlink r:id="rId3903" ref="X3305"/>
    <hyperlink r:id="rId3904" ref="AW3305"/>
    <hyperlink r:id="rId3905" ref="Q3306"/>
    <hyperlink r:id="rId3906" ref="X3306"/>
    <hyperlink r:id="rId3907" ref="AW3306"/>
    <hyperlink r:id="rId3908" ref="Q3307"/>
    <hyperlink r:id="rId3909" ref="X3307"/>
    <hyperlink r:id="rId3910" ref="AW3307"/>
    <hyperlink r:id="rId3911" ref="Q3308"/>
    <hyperlink r:id="rId3912" ref="X3308"/>
    <hyperlink r:id="rId3913" ref="AW3308"/>
    <hyperlink r:id="rId3914" ref="Q3309"/>
    <hyperlink r:id="rId3915" ref="X3309"/>
    <hyperlink r:id="rId3916" ref="AW3309"/>
    <hyperlink r:id="rId3917" ref="Q3310"/>
    <hyperlink r:id="rId3918" ref="X3310"/>
    <hyperlink r:id="rId3919" ref="AW3310"/>
    <hyperlink r:id="rId3920" ref="Q3311"/>
    <hyperlink r:id="rId3921" ref="X3311"/>
    <hyperlink r:id="rId3922" ref="AW3311"/>
    <hyperlink r:id="rId3923" ref="Q3312"/>
    <hyperlink r:id="rId3924" ref="X3312"/>
    <hyperlink r:id="rId3925" ref="AW3312"/>
    <hyperlink r:id="rId3926" ref="Q3313"/>
    <hyperlink r:id="rId3927" ref="X3313"/>
    <hyperlink r:id="rId3928" ref="AW3313"/>
  </hyperlinks>
  <drawing r:id="rId3929"/>
  <legacyDrawing r:id="rId39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38"/>
  </cols>
  <sheetData>
    <row r="1">
      <c r="A1" s="67" t="s">
        <v>33</v>
      </c>
      <c r="B1" s="67" t="s">
        <v>19861</v>
      </c>
      <c r="C1" s="67" t="s">
        <v>19862</v>
      </c>
    </row>
    <row r="2">
      <c r="A2" s="67" t="s">
        <v>72</v>
      </c>
      <c r="B2" s="67">
        <v>1.0</v>
      </c>
      <c r="C2" s="67">
        <v>1.0</v>
      </c>
    </row>
    <row r="3">
      <c r="A3" s="67" t="s">
        <v>285</v>
      </c>
      <c r="B3" s="67">
        <v>124.0</v>
      </c>
      <c r="C3" s="67">
        <v>39.0</v>
      </c>
    </row>
    <row r="4">
      <c r="A4" s="67" t="s">
        <v>523</v>
      </c>
      <c r="B4" s="67">
        <v>210.0</v>
      </c>
      <c r="C4" s="67">
        <v>38.0</v>
      </c>
    </row>
    <row r="5">
      <c r="A5" s="67" t="s">
        <v>590</v>
      </c>
      <c r="B5" s="67">
        <v>149.0</v>
      </c>
      <c r="C5" s="67">
        <v>60.0</v>
      </c>
    </row>
    <row r="6">
      <c r="A6" s="67" t="s">
        <v>7959</v>
      </c>
      <c r="B6" s="67">
        <v>1.0</v>
      </c>
      <c r="C6" s="67">
        <v>1.0</v>
      </c>
    </row>
    <row r="7">
      <c r="A7" s="67" t="s">
        <v>152</v>
      </c>
      <c r="B7" s="67">
        <v>979.0</v>
      </c>
      <c r="C7" s="67">
        <v>432.0</v>
      </c>
    </row>
    <row r="8">
      <c r="A8" s="67" t="s">
        <v>4523</v>
      </c>
      <c r="B8" s="67">
        <v>18.0</v>
      </c>
      <c r="C8" s="67">
        <v>5.0</v>
      </c>
    </row>
    <row r="9">
      <c r="A9" s="67" t="s">
        <v>114</v>
      </c>
      <c r="B9" s="67">
        <v>894.0</v>
      </c>
      <c r="C9" s="67">
        <v>484.0</v>
      </c>
    </row>
    <row r="10">
      <c r="A10" s="67" t="s">
        <v>2013</v>
      </c>
      <c r="B10" s="67">
        <v>19.0</v>
      </c>
      <c r="C10" s="67">
        <v>16.0</v>
      </c>
    </row>
    <row r="11">
      <c r="A11" s="67" t="s">
        <v>19863</v>
      </c>
      <c r="B11" s="67">
        <v>2395.0</v>
      </c>
      <c r="C11" s="67">
        <v>572.0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16.13"/>
  </cols>
  <sheetData>
    <row r="1">
      <c r="B1" s="2527" t="s">
        <v>19864</v>
      </c>
    </row>
    <row r="2">
      <c r="B2" s="2528" t="s">
        <v>19865</v>
      </c>
    </row>
    <row r="4">
      <c r="A4" s="246"/>
      <c r="B4" s="2529" t="s">
        <v>19866</v>
      </c>
      <c r="C4" s="246"/>
      <c r="D4" s="246"/>
      <c r="E4" s="246"/>
      <c r="F4" s="246"/>
      <c r="G4" s="246"/>
    </row>
    <row r="5">
      <c r="B5" s="62" t="s">
        <v>19867</v>
      </c>
      <c r="C5" s="1063">
        <v>57.24</v>
      </c>
    </row>
    <row r="6">
      <c r="B6" s="62" t="s">
        <v>19868</v>
      </c>
      <c r="C6" s="1063">
        <v>41.74</v>
      </c>
      <c r="D6" s="1063"/>
    </row>
    <row r="7">
      <c r="B7" s="62" t="s">
        <v>19869</v>
      </c>
      <c r="C7" s="1063">
        <v>41.0</v>
      </c>
      <c r="D7" s="1815" t="s">
        <v>19870</v>
      </c>
    </row>
    <row r="8">
      <c r="H8" s="62" t="s">
        <v>19871</v>
      </c>
    </row>
    <row r="9">
      <c r="B9" s="62" t="s">
        <v>19872</v>
      </c>
      <c r="C9" s="1063">
        <v>33.59</v>
      </c>
    </row>
    <row r="10">
      <c r="B10" s="62" t="s">
        <v>19873</v>
      </c>
      <c r="C10" s="1063">
        <v>22.21</v>
      </c>
      <c r="D10" s="1063"/>
    </row>
    <row r="11">
      <c r="B11" s="62" t="s">
        <v>19874</v>
      </c>
      <c r="C11" s="1063">
        <v>41.0</v>
      </c>
    </row>
    <row r="14">
      <c r="B14" s="62" t="s">
        <v>19875</v>
      </c>
      <c r="C14" s="2530" t="str">
        <f>IF(ISBLANK(C7), 
   "=(" &amp; C9 &amp; "-" &amp; C5 &amp; ")/SQRT((" &amp; C10 &amp; "^2+" &amp; C6 &amp; "^2)/2)", 
   "=(" &amp; C9 &amp; "-" &amp; C5 &amp; ")/SQRT(((" &amp; C7 &amp; "-1)*" &amp; C10 &amp; "^2+(" &amp; C11 &amp; "-1)*" &amp; C6 &amp; "^2)/(" &amp; C7 &amp; "+" &amp; C11 &amp; "-2)))"
)
</f>
        <v>=(33.59-57.24)/SQRT(((41-1)*22.21^2+(41-1)*41.74^2)/(41+41-2)))</v>
      </c>
    </row>
    <row r="15">
      <c r="B15" s="62" t="s">
        <v>19876</v>
      </c>
      <c r="C15" s="2531">
        <f>IF(ISBLANK(C7), 
   (C9-C5)/sqrt((C10^2+C6^2)/2), 
   (C9-C5)/SQRT(((C7-1)*C10^2+(C11-1)*C6^2)/(C7+C11-2))
)</f>
        <v>-0.7073879692</v>
      </c>
    </row>
    <row r="16">
      <c r="B16" s="27"/>
    </row>
    <row r="17">
      <c r="A17" s="246"/>
      <c r="B17" s="2529" t="s">
        <v>19877</v>
      </c>
      <c r="C17" s="246"/>
      <c r="D17" s="246"/>
      <c r="E17" s="246"/>
      <c r="F17" s="246"/>
      <c r="G17" s="246"/>
    </row>
    <row r="18">
      <c r="C18" s="62"/>
      <c r="D18" s="62"/>
    </row>
    <row r="19">
      <c r="B19" s="2532" t="s">
        <v>19878</v>
      </c>
      <c r="C19" s="538"/>
      <c r="D19" s="538"/>
      <c r="E19" s="539"/>
      <c r="F19" s="539"/>
      <c r="G19" s="539"/>
    </row>
    <row r="20">
      <c r="C20" s="62"/>
      <c r="D20" s="62"/>
    </row>
    <row r="21">
      <c r="C21" s="2533" t="s">
        <v>19879</v>
      </c>
      <c r="D21" s="2533" t="s">
        <v>19880</v>
      </c>
    </row>
    <row r="22">
      <c r="B22" s="62" t="s">
        <v>19881</v>
      </c>
      <c r="C22" s="1063">
        <v>6.25</v>
      </c>
      <c r="D22" s="1063">
        <f t="shared" ref="D22:D23" si="1">100-6.25</f>
        <v>93.75</v>
      </c>
    </row>
    <row r="23">
      <c r="B23" s="62" t="s">
        <v>19882</v>
      </c>
      <c r="C23" s="1063">
        <v>6.25</v>
      </c>
      <c r="D23" s="1063">
        <f t="shared" si="1"/>
        <v>93.75</v>
      </c>
    </row>
    <row r="25">
      <c r="B25" s="62" t="s">
        <v>19883</v>
      </c>
      <c r="C25" s="2530" t="str">
        <f> "=(" &amp; C22 &amp; "/" &amp; D22 &amp; ")/(" &amp; C23 &amp; "/" &amp; D23 &amp; ")"
</f>
        <v>=(6.25/93.75)/(6.25/93.75)</v>
      </c>
    </row>
    <row r="26">
      <c r="B26" s="62" t="s">
        <v>19884</v>
      </c>
      <c r="C26" s="2531">
        <f>(C22/D22)/(C23/D23)</f>
        <v>1</v>
      </c>
    </row>
    <row r="28">
      <c r="B28" s="2532" t="s">
        <v>19885</v>
      </c>
      <c r="C28" s="539"/>
      <c r="D28" s="539"/>
      <c r="E28" s="539"/>
      <c r="F28" s="539"/>
      <c r="G28" s="539"/>
    </row>
    <row r="30">
      <c r="B30" s="62" t="s">
        <v>19881</v>
      </c>
      <c r="C30" s="2534">
        <v>0.18</v>
      </c>
    </row>
    <row r="31">
      <c r="B31" s="62" t="s">
        <v>19882</v>
      </c>
      <c r="C31" s="2534">
        <v>0.82</v>
      </c>
    </row>
    <row r="33">
      <c r="B33" s="62" t="s">
        <v>19883</v>
      </c>
      <c r="C33" s="2530" t="str">
        <f> "=(" &amp; C30 &amp; "/(1-" &amp; C30 &amp; "))/(" &amp; C31 &amp; "/(1-" &amp; C31 &amp; "))"
</f>
        <v>=(0.18/(1-0.18))/(0.82/(1-0.82))</v>
      </c>
      <c r="K33" s="2535"/>
    </row>
    <row r="34">
      <c r="B34" s="62" t="s">
        <v>19884</v>
      </c>
      <c r="C34" s="2531">
        <f>(C30/(1-C30))/(C31/(1-C31))</f>
        <v>0.04818560381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19886</v>
      </c>
      <c r="C1" s="27" t="s">
        <v>19887</v>
      </c>
      <c r="E1" s="27" t="s">
        <v>19888</v>
      </c>
      <c r="G1" s="27" t="s">
        <v>19889</v>
      </c>
      <c r="J1" s="27" t="s">
        <v>19890</v>
      </c>
      <c r="M1" s="27" t="s">
        <v>33</v>
      </c>
      <c r="O1" s="27" t="s">
        <v>34</v>
      </c>
      <c r="Q1" s="2536" t="s">
        <v>19891</v>
      </c>
    </row>
    <row r="2">
      <c r="A2" s="62" t="s">
        <v>987</v>
      </c>
      <c r="C2" s="62" t="s">
        <v>172</v>
      </c>
      <c r="E2" s="62" t="s">
        <v>218</v>
      </c>
      <c r="G2" s="62" t="s">
        <v>148</v>
      </c>
      <c r="J2" s="62" t="s">
        <v>141</v>
      </c>
      <c r="M2" s="338" t="s">
        <v>285</v>
      </c>
      <c r="O2" s="62" t="s">
        <v>19892</v>
      </c>
      <c r="Q2" s="159" t="s">
        <v>438</v>
      </c>
    </row>
    <row r="3">
      <c r="A3" s="62" t="s">
        <v>361</v>
      </c>
      <c r="C3" s="62" t="s">
        <v>135</v>
      </c>
      <c r="E3" s="62" t="s">
        <v>136</v>
      </c>
      <c r="G3" s="62" t="s">
        <v>586</v>
      </c>
      <c r="J3" s="62" t="s">
        <v>137</v>
      </c>
      <c r="M3" s="338" t="s">
        <v>590</v>
      </c>
      <c r="O3" s="62" t="s">
        <v>115</v>
      </c>
      <c r="Q3" s="159" t="s">
        <v>143</v>
      </c>
    </row>
    <row r="4">
      <c r="A4" s="62" t="s">
        <v>2805</v>
      </c>
      <c r="C4" s="62" t="s">
        <v>335</v>
      </c>
      <c r="E4" s="62" t="s">
        <v>186</v>
      </c>
      <c r="G4" s="62" t="s">
        <v>1600</v>
      </c>
      <c r="J4" s="62" t="s">
        <v>1905</v>
      </c>
      <c r="M4" s="129" t="s">
        <v>152</v>
      </c>
      <c r="O4" s="62" t="s">
        <v>19893</v>
      </c>
      <c r="Q4" s="159" t="s">
        <v>151</v>
      </c>
    </row>
    <row r="5">
      <c r="A5" s="62" t="s">
        <v>1256</v>
      </c>
      <c r="C5" s="62" t="s">
        <v>2249</v>
      </c>
      <c r="G5" s="62" t="s">
        <v>1079</v>
      </c>
      <c r="M5" s="129" t="s">
        <v>4523</v>
      </c>
      <c r="Q5" s="62" t="s">
        <v>574</v>
      </c>
    </row>
    <row r="6">
      <c r="A6" s="62" t="s">
        <v>173</v>
      </c>
      <c r="C6" s="62" t="s">
        <v>18725</v>
      </c>
      <c r="G6" s="62" t="s">
        <v>1809</v>
      </c>
      <c r="M6" s="68" t="s">
        <v>114</v>
      </c>
    </row>
    <row r="7">
      <c r="A7" s="67" t="s">
        <v>139</v>
      </c>
      <c r="C7" s="62" t="s">
        <v>138</v>
      </c>
      <c r="G7" s="62" t="s">
        <v>241</v>
      </c>
      <c r="M7" s="62" t="s">
        <v>2013</v>
      </c>
    </row>
    <row r="8">
      <c r="A8" s="62" t="s">
        <v>3563</v>
      </c>
      <c r="G8" s="62" t="s">
        <v>2940</v>
      </c>
      <c r="M8" s="62" t="s">
        <v>7959</v>
      </c>
    </row>
    <row r="9">
      <c r="A9" s="67" t="s">
        <v>602</v>
      </c>
      <c r="G9" s="62" t="s">
        <v>165</v>
      </c>
      <c r="M9" s="62" t="s">
        <v>523</v>
      </c>
    </row>
    <row r="10">
      <c r="A10" s="62" t="s">
        <v>722</v>
      </c>
      <c r="G10" s="62" t="s">
        <v>210</v>
      </c>
    </row>
    <row r="11">
      <c r="A11" s="62" t="s">
        <v>215</v>
      </c>
      <c r="G11" s="62" t="s">
        <v>295</v>
      </c>
    </row>
    <row r="12">
      <c r="A12" s="62" t="s">
        <v>2619</v>
      </c>
      <c r="G12" s="62" t="s">
        <v>1679</v>
      </c>
    </row>
    <row r="13">
      <c r="A13" s="62" t="s">
        <v>134</v>
      </c>
      <c r="G13" s="62" t="s">
        <v>2079</v>
      </c>
    </row>
    <row r="14">
      <c r="A14" s="62" t="s">
        <v>271</v>
      </c>
      <c r="G14" s="62" t="s">
        <v>503</v>
      </c>
    </row>
    <row r="15">
      <c r="A15" s="62" t="s">
        <v>874</v>
      </c>
      <c r="G15" s="62" t="s">
        <v>838</v>
      </c>
    </row>
    <row r="16">
      <c r="A16" s="62" t="s">
        <v>329</v>
      </c>
      <c r="G16" s="62" t="s">
        <v>1576</v>
      </c>
    </row>
    <row r="17">
      <c r="G17" s="62" t="s">
        <v>2045</v>
      </c>
    </row>
    <row r="18">
      <c r="G18" s="62" t="s">
        <v>128</v>
      </c>
    </row>
    <row r="19">
      <c r="G19" s="62" t="s">
        <v>226</v>
      </c>
    </row>
    <row r="20">
      <c r="G20" s="62" t="s">
        <v>1011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7.75"/>
  </cols>
  <sheetData>
    <row r="1">
      <c r="A1" s="2537" t="str">
        <f>IFERROR(__xludf.DUMMYFUNCTION("IMPORTRANGE(""https://docs.google.com/spreadsheets/d/1x68oW2H_Xrdv44fIeycl4fegsmQgCa60GxeZZ_hAR90/edit?gid=1787592819#gid=1787592819"", ""'File links'!A:D"")"),"DOI")</f>
        <v>DOI</v>
      </c>
      <c r="B1" s="2537" t="str">
        <f>IFERROR(__xludf.DUMMYFUNCTION("""COMPUTED_VALUE"""),"URL")</f>
        <v>URL</v>
      </c>
      <c r="C1" s="159"/>
      <c r="D1" s="159"/>
      <c r="E1" s="2538"/>
    </row>
    <row r="2">
      <c r="A2" s="159" t="str">
        <f>IFERROR(__xludf.DUMMYFUNCTION("""COMPUTED_VALUE"""),"10.1037/0022-3514.81.2.220")</f>
        <v>10.1037/0022-3514.81.2.220</v>
      </c>
      <c r="B2" s="445" t="str">
        <f>IFERROR(__xludf.DUMMYFUNCTION("""COMPUTED_VALUE"""),"https://drive.google.com/file/d/15aPWJNls-PSqDezX-O4kJuFoYadqJdyq/view?usp=drivesdk")</f>
        <v>https://drive.google.com/file/d/15aPWJNls-PSqDezX-O4kJuFoYadqJdyq/view?usp=drivesdk</v>
      </c>
      <c r="C2" s="339" t="str">
        <f>IFERROR(__xludf.DUMMYFUNCTION("""COMPUTED_VALUE"""),"10.1037--0022-3514.81.2.220.pdf")</f>
        <v>10.1037--0022-3514.81.2.220.pdf</v>
      </c>
      <c r="D2" s="339" t="str">
        <f>IFERROR(__xludf.DUMMYFUNCTION("""COMPUTED_VALUE"""),"application/pdf")</f>
        <v>application/pdf</v>
      </c>
    </row>
    <row r="3">
      <c r="A3" s="159" t="str">
        <f>IFERROR(__xludf.DUMMYFUNCTION("""COMPUTED_VALUE"""),"10.1080/00207599408248175")</f>
        <v>10.1080/00207599408248175</v>
      </c>
      <c r="B3" s="445" t="str">
        <f>IFERROR(__xludf.DUMMYFUNCTION("""COMPUTED_VALUE"""),"https://drive.google.com/file/d/1DVe4EhHHMVXLTyDgNEKNgeTMnzvaimdn/view?usp=drivesdk")</f>
        <v>https://drive.google.com/file/d/1DVe4EhHHMVXLTyDgNEKNgeTMnzvaimdn/view?usp=drivesdk</v>
      </c>
      <c r="C3" s="339" t="str">
        <f>IFERROR(__xludf.DUMMYFUNCTION("""COMPUTED_VALUE"""),"10.1080--00207599408248175.pdf")</f>
        <v>10.1080--00207599408248175.pdf</v>
      </c>
      <c r="D3" s="339" t="str">
        <f>IFERROR(__xludf.DUMMYFUNCTION("""COMPUTED_VALUE"""),"application/pdf")</f>
        <v>application/pdf</v>
      </c>
    </row>
    <row r="4">
      <c r="A4" s="159" t="str">
        <f>IFERROR(__xludf.DUMMYFUNCTION("""COMPUTED_VALUE"""),"10.1016/j.eatbeh.2004.12.002")</f>
        <v>10.1016/j.eatbeh.2004.12.002</v>
      </c>
      <c r="B4" s="445" t="str">
        <f>IFERROR(__xludf.DUMMYFUNCTION("""COMPUTED_VALUE"""),"https://drive.google.com/file/d/1COUtyUT4UINH1auhByUj5eI8Sqc0Z2kl/view?usp=drivesdk")</f>
        <v>https://drive.google.com/file/d/1COUtyUT4UINH1auhByUj5eI8Sqc0Z2kl/view?usp=drivesdk</v>
      </c>
      <c r="C4" s="339" t="str">
        <f>IFERROR(__xludf.DUMMYFUNCTION("""COMPUTED_VALUE"""),"10.1016--j.eatbeh.2004.12.002.pdf")</f>
        <v>10.1016--j.eatbeh.2004.12.002.pdf</v>
      </c>
      <c r="D4" s="339" t="str">
        <f>IFERROR(__xludf.DUMMYFUNCTION("""COMPUTED_VALUE"""),"application/pdf")</f>
        <v>application/pdf</v>
      </c>
    </row>
    <row r="5">
      <c r="A5" s="159" t="str">
        <f>IFERROR(__xludf.DUMMYFUNCTION("""COMPUTED_VALUE"""),"hinton_1987")</f>
        <v>hinton_1987</v>
      </c>
      <c r="B5" s="445" t="str">
        <f>IFERROR(__xludf.DUMMYFUNCTION("""COMPUTED_VALUE"""),"https://drive.google.com/file/d/1HX1ARtKHkRzsnXTLOmCA3x7Ybj-EQpwG/view?usp=drivesdk")</f>
        <v>https://drive.google.com/file/d/1HX1ARtKHkRzsnXTLOmCA3x7Ybj-EQpwG/view?usp=drivesdk</v>
      </c>
      <c r="C5" s="339" t="str">
        <f>IFERROR(__xludf.DUMMYFUNCTION("""COMPUTED_VALUE"""),"hinton_1987.pdf")</f>
        <v>hinton_1987.pdf</v>
      </c>
      <c r="D5" s="339" t="str">
        <f>IFERROR(__xludf.DUMMYFUNCTION("""COMPUTED_VALUE"""),"application/pdf")</f>
        <v>application/pdf</v>
      </c>
    </row>
    <row r="6">
      <c r="A6" s="159" t="str">
        <f>IFERROR(__xludf.DUMMYFUNCTION("""COMPUTED_VALUE"""),"10.1086/716562")</f>
        <v>10.1086/716562</v>
      </c>
      <c r="B6" s="445" t="str">
        <f>IFERROR(__xludf.DUMMYFUNCTION("""COMPUTED_VALUE"""),"https://drive.google.com/file/d/1vuMTmk7la_BCoO2sa_r9EC9nRkth7cbJ/view?usp=drivesdk")</f>
        <v>https://drive.google.com/file/d/1vuMTmk7la_BCoO2sa_r9EC9nRkth7cbJ/view?usp=drivesdk</v>
      </c>
      <c r="C6" s="339" t="str">
        <f>IFERROR(__xludf.DUMMYFUNCTION("""COMPUTED_VALUE"""),"10.1086--716562.pdf")</f>
        <v>10.1086--716562.pdf</v>
      </c>
      <c r="D6" s="339" t="str">
        <f>IFERROR(__xludf.DUMMYFUNCTION("""COMPUTED_VALUE"""),"application/pdf")</f>
        <v>application/pdf</v>
      </c>
    </row>
    <row r="7">
      <c r="A7" s="159" t="str">
        <f>IFERROR(__xludf.DUMMYFUNCTION("""COMPUTED_VALUE"""),"10.1016/0042-6989(87)90016-2")</f>
        <v>10.1016/0042-6989(87)90016-2</v>
      </c>
      <c r="B7" s="445" t="str">
        <f>IFERROR(__xludf.DUMMYFUNCTION("""COMPUTED_VALUE"""),"https://drive.google.com/file/d/1T2DXm4LPyXvDbG4j5B789cST_yVY0Zex/view?usp=drivesdk")</f>
        <v>https://drive.google.com/file/d/1T2DXm4LPyXvDbG4j5B789cST_yVY0Zex/view?usp=drivesdk</v>
      </c>
      <c r="C7" s="339" t="str">
        <f>IFERROR(__xludf.DUMMYFUNCTION("""COMPUTED_VALUE"""),"10.1016--0042-6989(87)90016-2.pdf")</f>
        <v>10.1016--0042-6989(87)90016-2.pdf</v>
      </c>
      <c r="D7" s="339" t="str">
        <f>IFERROR(__xludf.DUMMYFUNCTION("""COMPUTED_VALUE"""),"application/pdf")</f>
        <v>application/pdf</v>
      </c>
    </row>
    <row r="8">
      <c r="A8" s="159" t="str">
        <f>IFERROR(__xludf.DUMMYFUNCTION("""COMPUTED_VALUE"""),"10.1162/rest.88.4.641")</f>
        <v>10.1162/rest.88.4.641</v>
      </c>
      <c r="B8" s="445" t="str">
        <f>IFERROR(__xludf.DUMMYFUNCTION("""COMPUTED_VALUE"""),"https://drive.google.com/file/d/1Ex6MOkxF8hNSbQe5EinrWsAJh4FAoOf4/view?usp=drivesdk")</f>
        <v>https://drive.google.com/file/d/1Ex6MOkxF8hNSbQe5EinrWsAJh4FAoOf4/view?usp=drivesdk</v>
      </c>
      <c r="C8" s="339" t="str">
        <f>IFERROR(__xludf.DUMMYFUNCTION("""COMPUTED_VALUE"""),"10.1162--rest.88.4.641.pdf")</f>
        <v>10.1162--rest.88.4.641.pdf</v>
      </c>
      <c r="D8" s="339" t="str">
        <f>IFERROR(__xludf.DUMMYFUNCTION("""COMPUTED_VALUE"""),"application/pdf")</f>
        <v>application/pdf</v>
      </c>
    </row>
    <row r="9">
      <c r="A9" s="159" t="str">
        <f>IFERROR(__xludf.DUMMYFUNCTION("""COMPUTED_VALUE"""),"10.1037/0022-006x.59.5.670")</f>
        <v>10.1037/0022-006x.59.5.670</v>
      </c>
      <c r="B9" s="445" t="str">
        <f>IFERROR(__xludf.DUMMYFUNCTION("""COMPUTED_VALUE"""),"https://drive.google.com/file/d/1FcARvzJmX0GjB75oWM-5l4BD7Zqxycyk/view?usp=drivesdk")</f>
        <v>https://drive.google.com/file/d/1FcARvzJmX0GjB75oWM-5l4BD7Zqxycyk/view?usp=drivesdk</v>
      </c>
      <c r="C9" s="339" t="str">
        <f>IFERROR(__xludf.DUMMYFUNCTION("""COMPUTED_VALUE"""),"10.1037--0022-006x.59.5.670.pdf")</f>
        <v>10.1037--0022-006x.59.5.670.pdf</v>
      </c>
      <c r="D9" s="339" t="str">
        <f>IFERROR(__xludf.DUMMYFUNCTION("""COMPUTED_VALUE"""),"application/pdf")</f>
        <v>application/pdf</v>
      </c>
    </row>
    <row r="10">
      <c r="A10" s="159" t="str">
        <f>IFERROR(__xludf.DUMMYFUNCTION("""COMPUTED_VALUE"""),"10.1037/h0025749")</f>
        <v>10.1037/h0025749</v>
      </c>
      <c r="B10" s="445" t="str">
        <f>IFERROR(__xludf.DUMMYFUNCTION("""COMPUTED_VALUE"""),"https://drive.google.com/file/d/13c2OXnbUHMlIGLoOEx_WdCtbRM7Xeaky/view?usp=drivesdk")</f>
        <v>https://drive.google.com/file/d/13c2OXnbUHMlIGLoOEx_WdCtbRM7Xeaky/view?usp=drivesdk</v>
      </c>
      <c r="C10" s="339" t="str">
        <f>IFERROR(__xludf.DUMMYFUNCTION("""COMPUTED_VALUE"""),"10.1037--h0025749.pdf")</f>
        <v>10.1037--h0025749.pdf</v>
      </c>
      <c r="D10" s="339" t="str">
        <f>IFERROR(__xludf.DUMMYFUNCTION("""COMPUTED_VALUE"""),"application/pdf")</f>
        <v>application/pdf</v>
      </c>
    </row>
    <row r="11">
      <c r="A11" s="159" t="str">
        <f>IFERROR(__xludf.DUMMYFUNCTION("""COMPUTED_VALUE"""),"10.2308/bria-51788")</f>
        <v>10.2308/bria-51788</v>
      </c>
      <c r="B11" s="445" t="str">
        <f>IFERROR(__xludf.DUMMYFUNCTION("""COMPUTED_VALUE"""),"https://drive.google.com/file/d/1SOy5zzLXLgv2mHZkwRySVltPKzINhcpl/view?usp=drivesdk")</f>
        <v>https://drive.google.com/file/d/1SOy5zzLXLgv2mHZkwRySVltPKzINhcpl/view?usp=drivesdk</v>
      </c>
      <c r="C11" s="339" t="str">
        <f>IFERROR(__xludf.DUMMYFUNCTION("""COMPUTED_VALUE"""),"10.2308--bria-51788.pdf")</f>
        <v>10.2308--bria-51788.pdf</v>
      </c>
      <c r="D11" s="339" t="str">
        <f>IFERROR(__xludf.DUMMYFUNCTION("""COMPUTED_VALUE"""),"application/pdf")</f>
        <v>application/pdf</v>
      </c>
    </row>
    <row r="12">
      <c r="A12" s="159" t="str">
        <f>IFERROR(__xludf.DUMMYFUNCTION("""COMPUTED_VALUE"""),"10.1101/2025.01.21.634150")</f>
        <v>10.1101/2025.01.21.634150</v>
      </c>
      <c r="B12" s="445" t="str">
        <f>IFERROR(__xludf.DUMMYFUNCTION("""COMPUTED_VALUE"""),"https://drive.google.com/file/d/1fT8DH5NqZeqqRIbkVqaGmoBU0CPMdbqc/view?usp=drivesdk")</f>
        <v>https://drive.google.com/file/d/1fT8DH5NqZeqqRIbkVqaGmoBU0CPMdbqc/view?usp=drivesdk</v>
      </c>
      <c r="C12" s="339" t="str">
        <f>IFERROR(__xludf.DUMMYFUNCTION("""COMPUTED_VALUE"""),"10.1101--2025.01.21.634150.pdf")</f>
        <v>10.1101--2025.01.21.634150.pdf</v>
      </c>
      <c r="D12" s="339" t="str">
        <f>IFERROR(__xludf.DUMMYFUNCTION("""COMPUTED_VALUE"""),"application/pdf")</f>
        <v>application/pdf</v>
      </c>
    </row>
    <row r="13">
      <c r="A13" s="159" t="str">
        <f>IFERROR(__xludf.DUMMYFUNCTION("""COMPUTED_VALUE"""),"10.1093/hcr/hqab019")</f>
        <v>10.1093/hcr/hqab019</v>
      </c>
      <c r="B13" s="445" t="str">
        <f>IFERROR(__xludf.DUMMYFUNCTION("""COMPUTED_VALUE"""),"https://drive.google.com/file/d/1F91knnvCGhhYFJs7Hyq0duWqlwp06o1G/view?usp=drivesdk")</f>
        <v>https://drive.google.com/file/d/1F91knnvCGhhYFJs7Hyq0duWqlwp06o1G/view?usp=drivesdk</v>
      </c>
      <c r="C13" s="339" t="str">
        <f>IFERROR(__xludf.DUMMYFUNCTION("""COMPUTED_VALUE"""),"10.1093--hcr--hqab019.pdf")</f>
        <v>10.1093--hcr--hqab019.pdf</v>
      </c>
      <c r="D13" s="339" t="str">
        <f>IFERROR(__xludf.DUMMYFUNCTION("""COMPUTED_VALUE"""),"application/pdf")</f>
        <v>application/pdf</v>
      </c>
    </row>
    <row r="14">
      <c r="A14" s="159" t="str">
        <f>IFERROR(__xludf.DUMMYFUNCTION("""COMPUTED_VALUE"""),"10.1111/spc3.12900")</f>
        <v>10.1111/spc3.12900</v>
      </c>
      <c r="B14" s="445" t="str">
        <f>IFERROR(__xludf.DUMMYFUNCTION("""COMPUTED_VALUE"""),"https://drive.google.com/file/d/1XQkK-fTHLVfjP9JSU2sRi5Ccqhof5fkf/view?usp=drivesdk")</f>
        <v>https://drive.google.com/file/d/1XQkK-fTHLVfjP9JSU2sRi5Ccqhof5fkf/view?usp=drivesdk</v>
      </c>
      <c r="C14" s="339" t="str">
        <f>IFERROR(__xludf.DUMMYFUNCTION("""COMPUTED_VALUE"""),"10.1111--spc3.12900.pdf")</f>
        <v>10.1111--spc3.12900.pdf</v>
      </c>
      <c r="D14" s="339" t="str">
        <f>IFERROR(__xludf.DUMMYFUNCTION("""COMPUTED_VALUE"""),"application/pdf")</f>
        <v>application/pdf</v>
      </c>
    </row>
    <row r="15">
      <c r="A15" s="159" t="str">
        <f>IFERROR(__xludf.DUMMYFUNCTION("""COMPUTED_VALUE"""),"10.1037/xge0000521")</f>
        <v>10.1037/xge0000521</v>
      </c>
      <c r="B15" s="445" t="str">
        <f>IFERROR(__xludf.DUMMYFUNCTION("""COMPUTED_VALUE"""),"https://drive.google.com/file/d/1cDRvVc4n07vgN69yG-BazdNhZjBEt_01/view?usp=drivesdk")</f>
        <v>https://drive.google.com/file/d/1cDRvVc4n07vgN69yG-BazdNhZjBEt_01/view?usp=drivesdk</v>
      </c>
      <c r="C15" s="339" t="str">
        <f>IFERROR(__xludf.DUMMYFUNCTION("""COMPUTED_VALUE"""),"10.1037--xge0000521.pdf")</f>
        <v>10.1037--xge0000521.pdf</v>
      </c>
      <c r="D15" s="339" t="str">
        <f>IFERROR(__xludf.DUMMYFUNCTION("""COMPUTED_VALUE"""),"application/pdf")</f>
        <v>application/pdf</v>
      </c>
    </row>
    <row r="16">
      <c r="A16" s="159" t="str">
        <f>IFERROR(__xludf.DUMMYFUNCTION("""COMPUTED_VALUE"""),"10.1177/2167702620921341")</f>
        <v>10.1177/2167702620921341</v>
      </c>
      <c r="B16" s="445" t="str">
        <f>IFERROR(__xludf.DUMMYFUNCTION("""COMPUTED_VALUE"""),"https://drive.google.com/file/d/1hBijp98Wmegj9rry3OfgtUWx2UZSxd3v/view?usp=drivesdk")</f>
        <v>https://drive.google.com/file/d/1hBijp98Wmegj9rry3OfgtUWx2UZSxd3v/view?usp=drivesdk</v>
      </c>
      <c r="C16" s="339" t="str">
        <f>IFERROR(__xludf.DUMMYFUNCTION("""COMPUTED_VALUE"""),"10.1177--2167702620921341.pdf")</f>
        <v>10.1177--2167702620921341.pdf</v>
      </c>
      <c r="D16" s="339" t="str">
        <f>IFERROR(__xludf.DUMMYFUNCTION("""COMPUTED_VALUE"""),"application/pdf")</f>
        <v>application/pdf</v>
      </c>
    </row>
    <row r="17">
      <c r="A17" s="159" t="str">
        <f>IFERROR(__xludf.DUMMYFUNCTION("""COMPUTED_VALUE"""),"10.1017/s0033291721000830")</f>
        <v>10.1017/s0033291721000830</v>
      </c>
      <c r="B17" s="445" t="str">
        <f>IFERROR(__xludf.DUMMYFUNCTION("""COMPUTED_VALUE"""),"https://drive.google.com/file/d/1y8y1xFxPFev2vlHE_s5m4owO6kLRaWza/view?usp=drivesdk")</f>
        <v>https://drive.google.com/file/d/1y8y1xFxPFev2vlHE_s5m4owO6kLRaWza/view?usp=drivesdk</v>
      </c>
      <c r="C17" s="339" t="str">
        <f>IFERROR(__xludf.DUMMYFUNCTION("""COMPUTED_VALUE"""),"10.1017--s0033291721000830.pdf")</f>
        <v>10.1017--s0033291721000830.pdf</v>
      </c>
      <c r="D17" s="339" t="str">
        <f>IFERROR(__xludf.DUMMYFUNCTION("""COMPUTED_VALUE"""),"application/pdf")</f>
        <v>application/pdf</v>
      </c>
    </row>
    <row r="18">
      <c r="A18" s="159" t="str">
        <f>IFERROR(__xludf.DUMMYFUNCTION("""COMPUTED_VALUE"""),"10.1017/s0033291721004244")</f>
        <v>10.1017/s0033291721004244</v>
      </c>
      <c r="B18" s="445" t="str">
        <f>IFERROR(__xludf.DUMMYFUNCTION("""COMPUTED_VALUE"""),"https://drive.google.com/file/d/1rgiT8MQco1ykapAZfxksPRtIzySveYLk/view?usp=drivesdk")</f>
        <v>https://drive.google.com/file/d/1rgiT8MQco1ykapAZfxksPRtIzySveYLk/view?usp=drivesdk</v>
      </c>
      <c r="C18" s="339" t="str">
        <f>IFERROR(__xludf.DUMMYFUNCTION("""COMPUTED_VALUE"""),"10.1017--s0033291721004244.pdf")</f>
        <v>10.1017--s0033291721004244.pdf</v>
      </c>
      <c r="D18" s="339" t="str">
        <f>IFERROR(__xludf.DUMMYFUNCTION("""COMPUTED_VALUE"""),"application/pdf")</f>
        <v>application/pdf</v>
      </c>
    </row>
    <row r="19">
      <c r="A19" s="159" t="str">
        <f>IFERROR(__xludf.DUMMYFUNCTION("""COMPUTED_VALUE"""),"10.1017/s0033291713000135")</f>
        <v>10.1017/s0033291713000135</v>
      </c>
      <c r="B19" s="445" t="str">
        <f>IFERROR(__xludf.DUMMYFUNCTION("""COMPUTED_VALUE"""),"https://drive.google.com/file/d/1oyHXJePnDrEGTSt4fFz73X-DD9Wa_fNT/view?usp=drivesdk")</f>
        <v>https://drive.google.com/file/d/1oyHXJePnDrEGTSt4fFz73X-DD9Wa_fNT/view?usp=drivesdk</v>
      </c>
      <c r="C19" s="339" t="str">
        <f>IFERROR(__xludf.DUMMYFUNCTION("""COMPUTED_VALUE"""),"10.1017--s0033291713000135.pdf")</f>
        <v>10.1017--s0033291713000135.pdf</v>
      </c>
      <c r="D19" s="339" t="str">
        <f>IFERROR(__xludf.DUMMYFUNCTION("""COMPUTED_VALUE"""),"application/pdf")</f>
        <v>application/pdf</v>
      </c>
    </row>
    <row r="20">
      <c r="A20" s="159" t="str">
        <f>IFERROR(__xludf.DUMMYFUNCTION("""COMPUTED_VALUE"""),"10.1177/0706743716686918")</f>
        <v>10.1177/0706743716686918</v>
      </c>
      <c r="B20" s="445" t="str">
        <f>IFERROR(__xludf.DUMMYFUNCTION("""COMPUTED_VALUE"""),"https://drive.google.com/file/d/1hAbQP9KZcmXqnOGAyiTqHbpMOG3_NYRs/view?usp=drivesdk")</f>
        <v>https://drive.google.com/file/d/1hAbQP9KZcmXqnOGAyiTqHbpMOG3_NYRs/view?usp=drivesdk</v>
      </c>
      <c r="C20" s="339" t="str">
        <f>IFERROR(__xludf.DUMMYFUNCTION("""COMPUTED_VALUE"""),"10.1177--0706743716686918.pdf")</f>
        <v>10.1177--0706743716686918.pdf</v>
      </c>
      <c r="D20" s="339" t="str">
        <f>IFERROR(__xludf.DUMMYFUNCTION("""COMPUTED_VALUE"""),"application/pdf")</f>
        <v>application/pdf</v>
      </c>
    </row>
    <row r="21">
      <c r="A21" s="159" t="str">
        <f>IFERROR(__xludf.DUMMYFUNCTION("""COMPUTED_VALUE"""),"10.1177/0706743721990310")</f>
        <v>10.1177/0706743721990310</v>
      </c>
      <c r="B21" s="445" t="str">
        <f>IFERROR(__xludf.DUMMYFUNCTION("""COMPUTED_VALUE"""),"https://drive.google.com/file/d/1KE4f8ZwW3FIlRc8-K1GiJCt1-5yAZWEr/view?usp=drivesdk")</f>
        <v>https://drive.google.com/file/d/1KE4f8ZwW3FIlRc8-K1GiJCt1-5yAZWEr/view?usp=drivesdk</v>
      </c>
      <c r="C21" s="339" t="str">
        <f>IFERROR(__xludf.DUMMYFUNCTION("""COMPUTED_VALUE"""),"10.1177--0706743721990310.pdf")</f>
        <v>10.1177--0706743721990310.pdf</v>
      </c>
      <c r="D21" s="339" t="str">
        <f>IFERROR(__xludf.DUMMYFUNCTION("""COMPUTED_VALUE"""),"application/pdf")</f>
        <v>application/pdf</v>
      </c>
    </row>
    <row r="22">
      <c r="A22" s="159" t="str">
        <f>IFERROR(__xludf.DUMMYFUNCTION("""COMPUTED_VALUE"""),"10.1037/a0027950")</f>
        <v>10.1037/a0027950</v>
      </c>
      <c r="B22" s="445" t="str">
        <f>IFERROR(__xludf.DUMMYFUNCTION("""COMPUTED_VALUE"""),"https://drive.google.com/file/d/132P_EDPNTVdaL2oRlgZvkP_toV8h3AEk/view?usp=drivesdk")</f>
        <v>https://drive.google.com/file/d/132P_EDPNTVdaL2oRlgZvkP_toV8h3AEk/view?usp=drivesdk</v>
      </c>
      <c r="C22" s="339" t="str">
        <f>IFERROR(__xludf.DUMMYFUNCTION("""COMPUTED_VALUE"""),"10.1037--a0027950.pdf")</f>
        <v>10.1037--a0027950.pdf</v>
      </c>
      <c r="D22" s="339" t="str">
        <f>IFERROR(__xludf.DUMMYFUNCTION("""COMPUTED_VALUE"""),"application/pdf")</f>
        <v>application/pdf</v>
      </c>
    </row>
    <row r="23">
      <c r="A23" s="159" t="str">
        <f>IFERROR(__xludf.DUMMYFUNCTION("""COMPUTED_VALUE"""),"10.1016/j/jbtep.2018.07.002")</f>
        <v>10.1016/j/jbtep.2018.07.002</v>
      </c>
      <c r="B23" s="445" t="str">
        <f>IFERROR(__xludf.DUMMYFUNCTION("""COMPUTED_VALUE"""),"https://drive.google.com/file/d/1EysERg3jP3ih98hhtrsrQilqPwvtZGUl/view?usp=drivesdk")</f>
        <v>https://drive.google.com/file/d/1EysERg3jP3ih98hhtrsrQilqPwvtZGUl/view?usp=drivesdk</v>
      </c>
      <c r="C23" s="339" t="str">
        <f>IFERROR(__xludf.DUMMYFUNCTION("""COMPUTED_VALUE"""),"10.1016--j--jbtep.2018.07.002.pdf")</f>
        <v>10.1016--j--jbtep.2018.07.002.pdf</v>
      </c>
      <c r="D23" s="339" t="str">
        <f>IFERROR(__xludf.DUMMYFUNCTION("""COMPUTED_VALUE"""),"application/pdf")</f>
        <v>application/pdf</v>
      </c>
    </row>
    <row r="24">
      <c r="A24" s="159" t="str">
        <f>IFERROR(__xludf.DUMMYFUNCTION("""COMPUTED_VALUE"""),"10.1038/s41380-019-0546-6")</f>
        <v>10.1038/s41380-019-0546-6</v>
      </c>
      <c r="B24" s="445" t="str">
        <f>IFERROR(__xludf.DUMMYFUNCTION("""COMPUTED_VALUE"""),"https://drive.google.com/file/d/19Pf_8TFD2WRfVT5Vjeersc6hKaYvTZw8/view?usp=drivesdk")</f>
        <v>https://drive.google.com/file/d/19Pf_8TFD2WRfVT5Vjeersc6hKaYvTZw8/view?usp=drivesdk</v>
      </c>
      <c r="C24" s="339" t="str">
        <f>IFERROR(__xludf.DUMMYFUNCTION("""COMPUTED_VALUE"""),"10.1038--s41380-019-0546-6.pdf")</f>
        <v>10.1038--s41380-019-0546-6.pdf</v>
      </c>
      <c r="D24" s="339" t="str">
        <f>IFERROR(__xludf.DUMMYFUNCTION("""COMPUTED_VALUE"""),"application/pdf")</f>
        <v>application/pdf</v>
      </c>
    </row>
    <row r="25">
      <c r="A25" s="159" t="str">
        <f>IFERROR(__xludf.DUMMYFUNCTION("""COMPUTED_VALUE"""),"10.1038/mp.2012.66")</f>
        <v>10.1038/mp.2012.66</v>
      </c>
      <c r="B25" s="445" t="str">
        <f>IFERROR(__xludf.DUMMYFUNCTION("""COMPUTED_VALUE"""),"https://drive.google.com/file/d/1DRVDxDLMfA3WtmM1-jURrqQ6Wqww82Dj/view?usp=drivesdk")</f>
        <v>https://drive.google.com/file/d/1DRVDxDLMfA3WtmM1-jURrqQ6Wqww82Dj/view?usp=drivesdk</v>
      </c>
      <c r="C25" s="339" t="str">
        <f>IFERROR(__xludf.DUMMYFUNCTION("""COMPUTED_VALUE"""),"10.1038--mp.2012.66.pdf")</f>
        <v>10.1038--mp.2012.66.pdf</v>
      </c>
      <c r="D25" s="339" t="str">
        <f>IFERROR(__xludf.DUMMYFUNCTION("""COMPUTED_VALUE"""),"application/pdf")</f>
        <v>application/pdf</v>
      </c>
    </row>
    <row r="26">
      <c r="A26" s="159" t="str">
        <f>IFERROR(__xludf.DUMMYFUNCTION("""COMPUTED_VALUE"""),"10.1038/mp.2012.127")</f>
        <v>10.1038/mp.2012.127</v>
      </c>
      <c r="B26" s="445" t="str">
        <f>IFERROR(__xludf.DUMMYFUNCTION("""COMPUTED_VALUE"""),"https://drive.google.com/file/d/1359sHy5rm2Ak1THJIPP7wGH5TYmXcJQ0/view?usp=drivesdk")</f>
        <v>https://drive.google.com/file/d/1359sHy5rm2Ak1THJIPP7wGH5TYmXcJQ0/view?usp=drivesdk</v>
      </c>
      <c r="C26" s="339" t="str">
        <f>IFERROR(__xludf.DUMMYFUNCTION("""COMPUTED_VALUE"""),"10.1038--mp.2012.127.pdf")</f>
        <v>10.1038--mp.2012.127.pdf</v>
      </c>
      <c r="D26" s="339" t="str">
        <f>IFERROR(__xludf.DUMMYFUNCTION("""COMPUTED_VALUE"""),"application/pdf")</f>
        <v>application/pdf</v>
      </c>
    </row>
    <row r="27">
      <c r="A27" s="159" t="str">
        <f>IFERROR(__xludf.DUMMYFUNCTION("""COMPUTED_VALUE"""),"10.1016/s0140-6736(07)61414-7")</f>
        <v>10.1016/s0140-6736(07)61414-7</v>
      </c>
      <c r="B27" s="445" t="str">
        <f>IFERROR(__xludf.DUMMYFUNCTION("""COMPUTED_VALUE"""),"https://drive.google.com/file/d/17wkmykAUDUondflx6KRczBU-WC1CgaKB/view?usp=drivesdk")</f>
        <v>https://drive.google.com/file/d/17wkmykAUDUondflx6KRczBU-WC1CgaKB/view?usp=drivesdk</v>
      </c>
      <c r="C27" s="339" t="str">
        <f>IFERROR(__xludf.DUMMYFUNCTION("""COMPUTED_VALUE"""),"10.1016--s0140-6736(07)61414-7.pdf")</f>
        <v>10.1016--s0140-6736(07)61414-7.pdf</v>
      </c>
      <c r="D27" s="339" t="str">
        <f>IFERROR(__xludf.DUMMYFUNCTION("""COMPUTED_VALUE"""),"application/pdf")</f>
        <v>application/pdf</v>
      </c>
    </row>
    <row r="28">
      <c r="A28" s="159" t="str">
        <f>IFERROR(__xludf.DUMMYFUNCTION("""COMPUTED_VALUE"""),"gagliardi_2012")</f>
        <v>gagliardi_2012</v>
      </c>
      <c r="B28" s="445" t="str">
        <f>IFERROR(__xludf.DUMMYFUNCTION("""COMPUTED_VALUE"""),"https://drive.google.com/file/d/1C313QaPKHFzPuSrSHvkVrBpGAJf3X4E5/view?usp=drivesdk")</f>
        <v>https://drive.google.com/file/d/1C313QaPKHFzPuSrSHvkVrBpGAJf3X4E5/view?usp=drivesdk</v>
      </c>
      <c r="C28" s="339" t="str">
        <f>IFERROR(__xludf.DUMMYFUNCTION("""COMPUTED_VALUE"""),"gagliardi_2012.pdf")</f>
        <v>gagliardi_2012.pdf</v>
      </c>
      <c r="D28" s="339" t="str">
        <f>IFERROR(__xludf.DUMMYFUNCTION("""COMPUTED_VALUE"""),"application/pdf")</f>
        <v>application/pdf</v>
      </c>
    </row>
    <row r="29">
      <c r="A29" s="159" t="str">
        <f>IFERROR(__xludf.DUMMYFUNCTION("""COMPUTED_VALUE"""),"10.1093/rheumatology/ken501")</f>
        <v>10.1093/rheumatology/ken501</v>
      </c>
      <c r="B29" s="445" t="str">
        <f>IFERROR(__xludf.DUMMYFUNCTION("""COMPUTED_VALUE"""),"https://drive.google.com/file/d/17ZJAXbyq3LHrIDU1bc2ddjKQh2dWyD5-/view?usp=drivesdk")</f>
        <v>https://drive.google.com/file/d/17ZJAXbyq3LHrIDU1bc2ddjKQh2dWyD5-/view?usp=drivesdk</v>
      </c>
      <c r="C29" s="339" t="str">
        <f>IFERROR(__xludf.DUMMYFUNCTION("""COMPUTED_VALUE"""),"10.1093--rheumatology--ken501.pdf")</f>
        <v>10.1093--rheumatology--ken501.pdf</v>
      </c>
      <c r="D29" s="339" t="str">
        <f>IFERROR(__xludf.DUMMYFUNCTION("""COMPUTED_VALUE"""),"application/pdf")</f>
        <v>application/pdf</v>
      </c>
    </row>
    <row r="30">
      <c r="A30" s="159" t="str">
        <f>IFERROR(__xludf.DUMMYFUNCTION("""COMPUTED_VALUE"""),"li_2019")</f>
        <v>li_2019</v>
      </c>
      <c r="B30" s="445" t="str">
        <f>IFERROR(__xludf.DUMMYFUNCTION("""COMPUTED_VALUE"""),"https://drive.google.com/file/d/1RG7dDuy1zmv0DdZqwg_Le47MKGnojeqd/view?usp=drivesdk")</f>
        <v>https://drive.google.com/file/d/1RG7dDuy1zmv0DdZqwg_Le47MKGnojeqd/view?usp=drivesdk</v>
      </c>
      <c r="C30" s="339" t="str">
        <f>IFERROR(__xludf.DUMMYFUNCTION("""COMPUTED_VALUE"""),"Li_2019.pdf")</f>
        <v>Li_2019.pdf</v>
      </c>
      <c r="D30" s="339" t="str">
        <f>IFERROR(__xludf.DUMMYFUNCTION("""COMPUTED_VALUE"""),"application/pdf")</f>
        <v>application/pdf</v>
      </c>
    </row>
    <row r="31">
      <c r="A31" s="159" t="str">
        <f>IFERROR(__xludf.DUMMYFUNCTION("""COMPUTED_VALUE"""),"10.1111/j.13652648.2005.03621.x")</f>
        <v>10.1111/j.13652648.2005.03621.x</v>
      </c>
      <c r="B31" s="445" t="str">
        <f>IFERROR(__xludf.DUMMYFUNCTION("""COMPUTED_VALUE"""),"https://drive.google.com/file/d/1tmE_4-Qz2nJagPA7ZiZlVQRV90RFDeBh/view?usp=drivesdk")</f>
        <v>https://drive.google.com/file/d/1tmE_4-Qz2nJagPA7ZiZlVQRV90RFDeBh/view?usp=drivesdk</v>
      </c>
      <c r="C31" s="339" t="str">
        <f>IFERROR(__xludf.DUMMYFUNCTION("""COMPUTED_VALUE"""),"10.1111--j.13652648.2005.03621.x.pdf")</f>
        <v>10.1111--j.13652648.2005.03621.x.pdf</v>
      </c>
      <c r="D31" s="339" t="str">
        <f>IFERROR(__xludf.DUMMYFUNCTION("""COMPUTED_VALUE"""),"application/pdf")</f>
        <v>application/pdf</v>
      </c>
    </row>
    <row r="32">
      <c r="A32" s="159" t="str">
        <f>IFERROR(__xludf.DUMMYFUNCTION("""COMPUTED_VALUE"""),"10.35335/ijafibs.v9i4.39")</f>
        <v>10.35335/ijafibs.v9i4.39</v>
      </c>
      <c r="B32" s="445" t="str">
        <f>IFERROR(__xludf.DUMMYFUNCTION("""COMPUTED_VALUE"""),"https://drive.google.com/file/d/1zw3bBnhk0sofxaXpBuSpsKvPI_JbETr5/view?usp=drivesdk")</f>
        <v>https://drive.google.com/file/d/1zw3bBnhk0sofxaXpBuSpsKvPI_JbETr5/view?usp=drivesdk</v>
      </c>
      <c r="C32" s="339" t="str">
        <f>IFERROR(__xludf.DUMMYFUNCTION("""COMPUTED_VALUE"""),"10.35335--ijafibs.v9i4.39.pdf")</f>
        <v>10.35335--ijafibs.v9i4.39.pdf</v>
      </c>
      <c r="D32" s="339" t="str">
        <f>IFERROR(__xludf.DUMMYFUNCTION("""COMPUTED_VALUE"""),"application/pdf")</f>
        <v>application/pdf</v>
      </c>
    </row>
    <row r="33">
      <c r="A33" s="159" t="str">
        <f>IFERROR(__xludf.DUMMYFUNCTION("""COMPUTED_VALUE"""),"10.1007/978-1-4757-5356-1_3")</f>
        <v>10.1007/978-1-4757-5356-1_3</v>
      </c>
      <c r="B33" s="445" t="str">
        <f>IFERROR(__xludf.DUMMYFUNCTION("""COMPUTED_VALUE"""),"https://drive.google.com/file/d/1pFoaEPfR-8EvIuMLqq1UWIBec0TegyPC/view?usp=drivesdk")</f>
        <v>https://drive.google.com/file/d/1pFoaEPfR-8EvIuMLqq1UWIBec0TegyPC/view?usp=drivesdk</v>
      </c>
      <c r="C33" s="339" t="str">
        <f>IFERROR(__xludf.DUMMYFUNCTION("""COMPUTED_VALUE"""),"10.1007--978-1-4757-5356-1_3.pdf")</f>
        <v>10.1007--978-1-4757-5356-1_3.pdf</v>
      </c>
      <c r="D33" s="339" t="str">
        <f>IFERROR(__xludf.DUMMYFUNCTION("""COMPUTED_VALUE"""),"application/pdf")</f>
        <v>application/pdf</v>
      </c>
    </row>
    <row r="34">
      <c r="A34" s="159" t="str">
        <f>IFERROR(__xludf.DUMMYFUNCTION("""COMPUTED_VALUE"""),"10.1038/nature14106")</f>
        <v>10.1038/nature14106</v>
      </c>
      <c r="B34" s="445" t="str">
        <f>IFERROR(__xludf.DUMMYFUNCTION("""COMPUTED_VALUE"""),"https://drive.google.com/file/d/1i_mz_HIrehLUjQbTmcPPrnc-n6oK-zNg/view?usp=drivesdk")</f>
        <v>https://drive.google.com/file/d/1i_mz_HIrehLUjQbTmcPPrnc-n6oK-zNg/view?usp=drivesdk</v>
      </c>
      <c r="C34" s="339" t="str">
        <f>IFERROR(__xludf.DUMMYFUNCTION("""COMPUTED_VALUE"""),"10.1038--nature14106.pdf")</f>
        <v>10.1038--nature14106.pdf</v>
      </c>
      <c r="D34" s="339" t="str">
        <f>IFERROR(__xludf.DUMMYFUNCTION("""COMPUTED_VALUE"""),"application/pdf")</f>
        <v>application/pdf</v>
      </c>
    </row>
    <row r="35">
      <c r="A35" s="159" t="str">
        <f>IFERROR(__xludf.DUMMYFUNCTION("""COMPUTED_VALUE"""),"10.14814/phy2.15359")</f>
        <v>10.14814/phy2.15359</v>
      </c>
      <c r="B35" s="445" t="str">
        <f>IFERROR(__xludf.DUMMYFUNCTION("""COMPUTED_VALUE"""),"https://drive.google.com/file/d/1E7NVvgOz1yyUJWhHKYsEzUqvJYW7aa0N/view?usp=drivesdk")</f>
        <v>https://drive.google.com/file/d/1E7NVvgOz1yyUJWhHKYsEzUqvJYW7aa0N/view?usp=drivesdk</v>
      </c>
      <c r="C35" s="339" t="str">
        <f>IFERROR(__xludf.DUMMYFUNCTION("""COMPUTED_VALUE"""),"10.14814--phy2.15359.pdf")</f>
        <v>10.14814--phy2.15359.pdf</v>
      </c>
      <c r="D35" s="339" t="str">
        <f>IFERROR(__xludf.DUMMYFUNCTION("""COMPUTED_VALUE"""),"application/pdf")</f>
        <v>application/pdf</v>
      </c>
    </row>
    <row r="36">
      <c r="A36" s="159" t="str">
        <f>IFERROR(__xludf.DUMMYFUNCTION("""COMPUTED_VALUE"""),"10.1136/jmg.37.10.766")</f>
        <v>10.1136/jmg.37.10.766</v>
      </c>
      <c r="B36" s="445" t="str">
        <f>IFERROR(__xludf.DUMMYFUNCTION("""COMPUTED_VALUE"""),"https://drive.google.com/file/d/1cyMShe-10BUUgq4F1QBHgP3awCDxjGVL/view?usp=drivesdk")</f>
        <v>https://drive.google.com/file/d/1cyMShe-10BUUgq4F1QBHgP3awCDxjGVL/view?usp=drivesdk</v>
      </c>
      <c r="C36" s="339" t="str">
        <f>IFERROR(__xludf.DUMMYFUNCTION("""COMPUTED_VALUE"""),"10.1136--jmg.37.10.766.pdf")</f>
        <v>10.1136--jmg.37.10.766.pdf</v>
      </c>
      <c r="D36" s="339" t="str">
        <f>IFERROR(__xludf.DUMMYFUNCTION("""COMPUTED_VALUE"""),"application/pdf")</f>
        <v>application/pdf</v>
      </c>
    </row>
    <row r="37">
      <c r="A37" s="159" t="str">
        <f>IFERROR(__xludf.DUMMYFUNCTION("""COMPUTED_VALUE"""),"10.3758/s13414-017-1339-0")</f>
        <v>10.3758/s13414-017-1339-0</v>
      </c>
      <c r="B37" s="445" t="str">
        <f>IFERROR(__xludf.DUMMYFUNCTION("""COMPUTED_VALUE"""),"https://drive.google.com/file/d/1h2aDld1fNLHZNW0zO4aOW-bA6viRvxB9/view?usp=drivesdk")</f>
        <v>https://drive.google.com/file/d/1h2aDld1fNLHZNW0zO4aOW-bA6viRvxB9/view?usp=drivesdk</v>
      </c>
      <c r="C37" s="339" t="str">
        <f>IFERROR(__xludf.DUMMYFUNCTION("""COMPUTED_VALUE"""),"10.3758--s13414-017-1339-0.pdf")</f>
        <v>10.3758--s13414-017-1339-0.pdf</v>
      </c>
      <c r="D37" s="339" t="str">
        <f>IFERROR(__xludf.DUMMYFUNCTION("""COMPUTED_VALUE"""),"application/pdf")</f>
        <v>application/pdf</v>
      </c>
    </row>
    <row r="38">
      <c r="A38" s="159" t="str">
        <f>IFERROR(__xludf.DUMMYFUNCTION("""COMPUTED_VALUE"""),"10.1145/3613450")</f>
        <v>10.1145/3613450</v>
      </c>
      <c r="B38" s="445" t="str">
        <f>IFERROR(__xludf.DUMMYFUNCTION("""COMPUTED_VALUE"""),"https://drive.google.com/file/d/13JuBp0ai53mtyx_lpA0A1XHwQ8C11A36/view?usp=drivesdk")</f>
        <v>https://drive.google.com/file/d/13JuBp0ai53mtyx_lpA0A1XHwQ8C11A36/view?usp=drivesdk</v>
      </c>
      <c r="C38" s="339" t="str">
        <f>IFERROR(__xludf.DUMMYFUNCTION("""COMPUTED_VALUE"""),"10.1145--3613450.pdf")</f>
        <v>10.1145--3613450.pdf</v>
      </c>
      <c r="D38" s="339" t="str">
        <f>IFERROR(__xludf.DUMMYFUNCTION("""COMPUTED_VALUE"""),"application/pdf")</f>
        <v>application/pdf</v>
      </c>
    </row>
    <row r="39">
      <c r="A39" s="159" t="str">
        <f>IFERROR(__xludf.DUMMYFUNCTION("""COMPUTED_VALUE"""),"10.1111/add.14403")</f>
        <v>10.1111/add.14403</v>
      </c>
      <c r="B39" s="445" t="str">
        <f>IFERROR(__xludf.DUMMYFUNCTION("""COMPUTED_VALUE"""),"https://drive.google.com/file/d/1t2OSTgxAHzg3ycbf3Y7nUyccXL2t1L6l/view?usp=drivesdk")</f>
        <v>https://drive.google.com/file/d/1t2OSTgxAHzg3ycbf3Y7nUyccXL2t1L6l/view?usp=drivesdk</v>
      </c>
      <c r="C39" s="339" t="str">
        <f>IFERROR(__xludf.DUMMYFUNCTION("""COMPUTED_VALUE"""),"10.1111--add.14403.pdf")</f>
        <v>10.1111--add.14403.pdf</v>
      </c>
      <c r="D39" s="339" t="str">
        <f>IFERROR(__xludf.DUMMYFUNCTION("""COMPUTED_VALUE"""),"application/pdf")</f>
        <v>application/pdf</v>
      </c>
    </row>
    <row r="40">
      <c r="A40" s="159" t="str">
        <f>IFERROR(__xludf.DUMMYFUNCTION("""COMPUTED_VALUE"""),"10.1037/0096-1523.19.4.744")</f>
        <v>10.1037/0096-1523.19.4.744</v>
      </c>
      <c r="B40" s="445" t="str">
        <f>IFERROR(__xludf.DUMMYFUNCTION("""COMPUTED_VALUE"""),"https://drive.google.com/file/d/1-qhL00OEoMgy52-uFuS6GKtg8_fcaTOY/view?usp=drivesdk")</f>
        <v>https://drive.google.com/file/d/1-qhL00OEoMgy52-uFuS6GKtg8_fcaTOY/view?usp=drivesdk</v>
      </c>
      <c r="C40" s="339" t="str">
        <f>IFERROR(__xludf.DUMMYFUNCTION("""COMPUTED_VALUE"""),"10.1037--0096-1523.19.4.744.pdf")</f>
        <v>10.1037--0096-1523.19.4.744.pdf</v>
      </c>
      <c r="D40" s="339" t="str">
        <f>IFERROR(__xludf.DUMMYFUNCTION("""COMPUTED_VALUE"""),"application/pdf")</f>
        <v>application/pdf</v>
      </c>
    </row>
    <row r="41">
      <c r="A41" s="159" t="str">
        <f>IFERROR(__xludf.DUMMYFUNCTION("""COMPUTED_VALUE"""),"10.1136/bmj.38782.575868.7c")</f>
        <v>10.1136/bmj.38782.575868.7c</v>
      </c>
      <c r="B41" s="445" t="str">
        <f>IFERROR(__xludf.DUMMYFUNCTION("""COMPUTED_VALUE"""),"https://drive.google.com/file/d/1Fn7-5HR2RH8paYnre_DX1s5JT9VjGe8M/view?usp=drivesdk")</f>
        <v>https://drive.google.com/file/d/1Fn7-5HR2RH8paYnre_DX1s5JT9VjGe8M/view?usp=drivesdk</v>
      </c>
      <c r="C41" s="339" t="str">
        <f>IFERROR(__xludf.DUMMYFUNCTION("""COMPUTED_VALUE"""),"10.1136--bmj.38782.575868.7c.pdf")</f>
        <v>10.1136--bmj.38782.575868.7c.pdf</v>
      </c>
      <c r="D41" s="339" t="str">
        <f>IFERROR(__xludf.DUMMYFUNCTION("""COMPUTED_VALUE"""),"application/pdf")</f>
        <v>application/pdf</v>
      </c>
    </row>
    <row r="42">
      <c r="A42" s="159" t="str">
        <f>IFERROR(__xludf.DUMMYFUNCTION("""COMPUTED_VALUE"""),"boring_1968")</f>
        <v>boring_1968</v>
      </c>
      <c r="B42" s="445" t="str">
        <f>IFERROR(__xludf.DUMMYFUNCTION("""COMPUTED_VALUE"""),"https://drive.google.com/file/d/1qIE0NYLJmmw9NC3wTyO6drepp686_B0m/view?usp=drivesdk")</f>
        <v>https://drive.google.com/file/d/1qIE0NYLJmmw9NC3wTyO6drepp686_B0m/view?usp=drivesdk</v>
      </c>
      <c r="C42" s="339" t="str">
        <f>IFERROR(__xludf.DUMMYFUNCTION("""COMPUTED_VALUE"""),"Boring_1968.pdf")</f>
        <v>Boring_1968.pdf</v>
      </c>
      <c r="D42" s="339" t="str">
        <f>IFERROR(__xludf.DUMMYFUNCTION("""COMPUTED_VALUE"""),"application/pdf")</f>
        <v>application/pdf</v>
      </c>
    </row>
    <row r="43">
      <c r="A43" s="159" t="str">
        <f>IFERROR(__xludf.DUMMYFUNCTION("""COMPUTED_VALUE"""),"10.2466/pr0.1975.36.2.492")</f>
        <v>10.2466/pr0.1975.36.2.492</v>
      </c>
      <c r="B43" s="445" t="str">
        <f>IFERROR(__xludf.DUMMYFUNCTION("""COMPUTED_VALUE"""),"https://drive.google.com/file/d/12mls6DO3rGQ2Rd--RckJhjjzuxvjZXsJ/view?usp=drivesdk")</f>
        <v>https://drive.google.com/file/d/12mls6DO3rGQ2Rd--RckJhjjzuxvjZXsJ/view?usp=drivesdk</v>
      </c>
      <c r="C43" s="339" t="str">
        <f>IFERROR(__xludf.DUMMYFUNCTION("""COMPUTED_VALUE"""),"10.2466--pr0.1975.36.2.492.pdf")</f>
        <v>10.2466--pr0.1975.36.2.492.pdf</v>
      </c>
      <c r="D43" s="339" t="str">
        <f>IFERROR(__xludf.DUMMYFUNCTION("""COMPUTED_VALUE"""),"application/pdf")</f>
        <v>application/pdf</v>
      </c>
    </row>
    <row r="44">
      <c r="A44" s="159" t="str">
        <f>IFERROR(__xludf.DUMMYFUNCTION("""COMPUTED_VALUE"""),"10.1038/ng1047")</f>
        <v>10.1038/ng1047</v>
      </c>
      <c r="B44" s="445" t="str">
        <f>IFERROR(__xludf.DUMMYFUNCTION("""COMPUTED_VALUE"""),"https://drive.google.com/file/d/1HeJXotlxwqF0JV-ZjZPl8OznoC91x1Nm/view?usp=drivesdk")</f>
        <v>https://drive.google.com/file/d/1HeJXotlxwqF0JV-ZjZPl8OznoC91x1Nm/view?usp=drivesdk</v>
      </c>
      <c r="C44" s="339" t="str">
        <f>IFERROR(__xludf.DUMMYFUNCTION("""COMPUTED_VALUE"""),"10.1038--ng1047.pdf")</f>
        <v>10.1038--ng1047.pdf</v>
      </c>
      <c r="D44" s="339" t="str">
        <f>IFERROR(__xludf.DUMMYFUNCTION("""COMPUTED_VALUE"""),"application/pdf")</f>
        <v>application/pdf</v>
      </c>
    </row>
    <row r="45">
      <c r="A45" s="159" t="str">
        <f>IFERROR(__xludf.DUMMYFUNCTION("""COMPUTED_VALUE"""),"10.1038/ng.314")</f>
        <v>10.1038/ng.314</v>
      </c>
      <c r="B45" s="445" t="str">
        <f>IFERROR(__xludf.DUMMYFUNCTION("""COMPUTED_VALUE"""),"https://drive.google.com/file/d/1e7lJ5drneMaOZEui8pmLk1629DBHoYPU/view?usp=drivesdk")</f>
        <v>https://drive.google.com/file/d/1e7lJ5drneMaOZEui8pmLk1629DBHoYPU/view?usp=drivesdk</v>
      </c>
      <c r="C45" s="339" t="str">
        <f>IFERROR(__xludf.DUMMYFUNCTION("""COMPUTED_VALUE"""),"10.1038--ng.314.pdf")</f>
        <v>10.1038--ng.314.pdf</v>
      </c>
      <c r="D45" s="339" t="str">
        <f>IFERROR(__xludf.DUMMYFUNCTION("""COMPUTED_VALUE"""),"application/pdf")</f>
        <v>application/pdf</v>
      </c>
    </row>
    <row r="46">
      <c r="A46" s="159" t="str">
        <f>IFERROR(__xludf.DUMMYFUNCTION("""COMPUTED_VALUE"""),"10.1038/ng.327")</f>
        <v>10.1038/ng.327</v>
      </c>
      <c r="B46" s="445" t="str">
        <f>IFERROR(__xludf.DUMMYFUNCTION("""COMPUTED_VALUE"""),"https://drive.google.com/file/d/1uYsDaLhcuVoYS0vCi_YlckyJa78VHhRx/view?usp=drivesdk")</f>
        <v>https://drive.google.com/file/d/1uYsDaLhcuVoYS0vCi_YlckyJa78VHhRx/view?usp=drivesdk</v>
      </c>
      <c r="C46" s="339" t="str">
        <f>IFERROR(__xludf.DUMMYFUNCTION("""COMPUTED_VALUE"""),"10.1038--ng.327.pdf")</f>
        <v>10.1038--ng.327.pdf</v>
      </c>
      <c r="D46" s="339" t="str">
        <f>IFERROR(__xludf.DUMMYFUNCTION("""COMPUTED_VALUE"""),"application/pdf")</f>
        <v>application/pdf</v>
      </c>
    </row>
    <row r="47">
      <c r="A47" s="159" t="str">
        <f>IFERROR(__xludf.DUMMYFUNCTION("""COMPUTED_VALUE"""),"10.1038/ng.323")</f>
        <v>10.1038/ng.323</v>
      </c>
      <c r="B47" s="445" t="str">
        <f>IFERROR(__xludf.DUMMYFUNCTION("""COMPUTED_VALUE"""),"https://drive.google.com/file/d/1aIdm4LNQ6nlxeZj2qyCbsCNGuv0p0uNW/view?usp=drivesdk")</f>
        <v>https://drive.google.com/file/d/1aIdm4LNQ6nlxeZj2qyCbsCNGuv0p0uNW/view?usp=drivesdk</v>
      </c>
      <c r="C47" s="339" t="str">
        <f>IFERROR(__xludf.DUMMYFUNCTION("""COMPUTED_VALUE"""),"10.1038--ng.323.pdf")</f>
        <v>10.1038--ng.323.pdf</v>
      </c>
      <c r="D47" s="339" t="str">
        <f>IFERROR(__xludf.DUMMYFUNCTION("""COMPUTED_VALUE"""),"application/pdf")</f>
        <v>application/pdf</v>
      </c>
    </row>
    <row r="48">
      <c r="A48" s="159" t="str">
        <f>IFERROR(__xludf.DUMMYFUNCTION("""COMPUTED_VALUE"""),"10.1037/xge0000734")</f>
        <v>10.1037/xge0000734</v>
      </c>
      <c r="B48" s="445" t="str">
        <f>IFERROR(__xludf.DUMMYFUNCTION("""COMPUTED_VALUE"""),"https://drive.google.com/file/d/1mCGFZbTMPLkyhAg-AoVu3eRQRBjVvYVS/view?usp=drivesdk")</f>
        <v>https://drive.google.com/file/d/1mCGFZbTMPLkyhAg-AoVu3eRQRBjVvYVS/view?usp=drivesdk</v>
      </c>
      <c r="C48" s="339" t="str">
        <f>IFERROR(__xludf.DUMMYFUNCTION("""COMPUTED_VALUE"""),"10.1037--xge0000734.pdf")</f>
        <v>10.1037--xge0000734.pdf</v>
      </c>
      <c r="D48" s="339" t="str">
        <f>IFERROR(__xludf.DUMMYFUNCTION("""COMPUTED_VALUE"""),"application/pdf")</f>
        <v>application/pdf</v>
      </c>
    </row>
    <row r="49">
      <c r="A49" s="159" t="str">
        <f>IFERROR(__xludf.DUMMYFUNCTION("""COMPUTED_VALUE"""),"legg_2013")</f>
        <v>legg_2013</v>
      </c>
      <c r="B49" s="445" t="str">
        <f>IFERROR(__xludf.DUMMYFUNCTION("""COMPUTED_VALUE"""),"https://drive.google.com/file/d/14uvmejsaRFGgeDqX_TJV7QbXaT5c4UIp/view?usp=drivesdk")</f>
        <v>https://drive.google.com/file/d/14uvmejsaRFGgeDqX_TJV7QbXaT5c4UIp/view?usp=drivesdk</v>
      </c>
      <c r="C49" s="339" t="str">
        <f>IFERROR(__xludf.DUMMYFUNCTION("""COMPUTED_VALUE"""),"legg_2013.pdf")</f>
        <v>legg_2013.pdf</v>
      </c>
      <c r="D49" s="339" t="str">
        <f>IFERROR(__xludf.DUMMYFUNCTION("""COMPUTED_VALUE"""),"application/pdf")</f>
        <v>application/pdf</v>
      </c>
    </row>
    <row r="50">
      <c r="A50" s="159" t="str">
        <f>IFERROR(__xludf.DUMMYFUNCTION("""COMPUTED_VALUE"""),"10.2307/1907242")</f>
        <v>10.2307/1907242</v>
      </c>
      <c r="B50" s="445" t="str">
        <f>IFERROR(__xludf.DUMMYFUNCTION("""COMPUTED_VALUE"""),"https://drive.google.com/file/d/12ATwlInsiBncfGSglmaguWQJEos0jONE/view?usp=drivesdk")</f>
        <v>https://drive.google.com/file/d/12ATwlInsiBncfGSglmaguWQJEos0jONE/view?usp=drivesdk</v>
      </c>
      <c r="C50" s="339" t="str">
        <f>IFERROR(__xludf.DUMMYFUNCTION("""COMPUTED_VALUE"""),"10.2307--1907242.pdf")</f>
        <v>10.2307--1907242.pdf</v>
      </c>
      <c r="D50" s="339" t="str">
        <f>IFERROR(__xludf.DUMMYFUNCTION("""COMPUTED_VALUE"""),"application/pdf")</f>
        <v>application/pdf</v>
      </c>
    </row>
    <row r="51">
      <c r="A51" s="159" t="str">
        <f>IFERROR(__xludf.DUMMYFUNCTION("""COMPUTED_VALUE"""),"10.1177/0265407596131001")</f>
        <v>10.1177/0265407596131001</v>
      </c>
      <c r="B51" s="445" t="str">
        <f>IFERROR(__xludf.DUMMYFUNCTION("""COMPUTED_VALUE"""),"https://drive.google.com/file/d/1IJ9yRYu9wEqgzaN-MIikGu9k6z76G1q5/view?usp=drivesdk")</f>
        <v>https://drive.google.com/file/d/1IJ9yRYu9wEqgzaN-MIikGu9k6z76G1q5/view?usp=drivesdk</v>
      </c>
      <c r="C51" s="339" t="str">
        <f>IFERROR(__xludf.DUMMYFUNCTION("""COMPUTED_VALUE"""),"10.1177--0265407596131001.pdf")</f>
        <v>10.1177--0265407596131001.pdf</v>
      </c>
      <c r="D51" s="339" t="str">
        <f>IFERROR(__xludf.DUMMYFUNCTION("""COMPUTED_VALUE"""),"application/pdf")</f>
        <v>application/pdf</v>
      </c>
    </row>
    <row r="52">
      <c r="A52" s="159" t="str">
        <f>IFERROR(__xludf.DUMMYFUNCTION("""COMPUTED_VALUE"""),"10.1017/s0022226700002966")</f>
        <v>10.1017/s0022226700002966</v>
      </c>
      <c r="B52" s="445" t="str">
        <f>IFERROR(__xludf.DUMMYFUNCTION("""COMPUTED_VALUE"""),"https://drive.google.com/file/d/1m0lNRTsurEc_uTg9wbfHOpCRE9-SJZfR/view?usp=drivesdk")</f>
        <v>https://drive.google.com/file/d/1m0lNRTsurEc_uTg9wbfHOpCRE9-SJZfR/view?usp=drivesdk</v>
      </c>
      <c r="C52" s="339" t="str">
        <f>IFERROR(__xludf.DUMMYFUNCTION("""COMPUTED_VALUE"""),"10.1017--s0022226700002966.pdf")</f>
        <v>10.1017--s0022226700002966.pdf</v>
      </c>
      <c r="D52" s="339" t="str">
        <f>IFERROR(__xludf.DUMMYFUNCTION("""COMPUTED_VALUE"""),"application/pdf")</f>
        <v>application/pdf</v>
      </c>
    </row>
    <row r="53">
      <c r="A53" s="159" t="str">
        <f>IFERROR(__xludf.DUMMYFUNCTION("""COMPUTED_VALUE"""),"10.1371/journal.pone.0063772")</f>
        <v>10.1371/journal.pone.0063772</v>
      </c>
      <c r="B53" s="445" t="str">
        <f>IFERROR(__xludf.DUMMYFUNCTION("""COMPUTED_VALUE"""),"https://drive.google.com/file/d/1QFAInyaQX4-OfBtMah43vSVKuQE7jk7b/view?usp=drivesdk")</f>
        <v>https://drive.google.com/file/d/1QFAInyaQX4-OfBtMah43vSVKuQE7jk7b/view?usp=drivesdk</v>
      </c>
      <c r="C53" s="339" t="str">
        <f>IFERROR(__xludf.DUMMYFUNCTION("""COMPUTED_VALUE"""),"10.1371--journal.pone.0063772.pdf")</f>
        <v>10.1371--journal.pone.0063772.pdf</v>
      </c>
      <c r="D53" s="339" t="str">
        <f>IFERROR(__xludf.DUMMYFUNCTION("""COMPUTED_VALUE"""),"application/pdf")</f>
        <v>application/pdf</v>
      </c>
    </row>
    <row r="54">
      <c r="A54" s="159" t="str">
        <f>IFERROR(__xludf.DUMMYFUNCTION("""COMPUTED_VALUE"""),"cichy_2022")</f>
        <v>cichy_2022</v>
      </c>
      <c r="B54" s="445" t="str">
        <f>IFERROR(__xludf.DUMMYFUNCTION("""COMPUTED_VALUE"""),"https://drive.google.com/file/d/1SohRZFfz0lPRTY74r6ulEzC2dWj7WZxO/view?usp=drivesdk")</f>
        <v>https://drive.google.com/file/d/1SohRZFfz0lPRTY74r6ulEzC2dWj7WZxO/view?usp=drivesdk</v>
      </c>
      <c r="C54" s="339" t="str">
        <f>IFERROR(__xludf.DUMMYFUNCTION("""COMPUTED_VALUE"""),"Cichy_2022.pdf")</f>
        <v>Cichy_2022.pdf</v>
      </c>
      <c r="D54" s="339" t="str">
        <f>IFERROR(__xludf.DUMMYFUNCTION("""COMPUTED_VALUE"""),"application/pdf")</f>
        <v>application/pdf</v>
      </c>
    </row>
    <row r="55">
      <c r="A55" s="159" t="str">
        <f>IFERROR(__xludf.DUMMYFUNCTION("""COMPUTED_VALUE"""),"barnett_1975")</f>
        <v>barnett_1975</v>
      </c>
      <c r="B55" s="445" t="str">
        <f>IFERROR(__xludf.DUMMYFUNCTION("""COMPUTED_VALUE"""),"https://drive.google.com/file/d/1A324I7-DcYwSAG_1QVLgz_zOZQrsgJ3v/view?usp=drivesdk")</f>
        <v>https://drive.google.com/file/d/1A324I7-DcYwSAG_1QVLgz_zOZQrsgJ3v/view?usp=drivesdk</v>
      </c>
      <c r="C55" s="339" t="str">
        <f>IFERROR(__xludf.DUMMYFUNCTION("""COMPUTED_VALUE"""),"Barnett_1975.pdf")</f>
        <v>Barnett_1975.pdf</v>
      </c>
      <c r="D55" s="339" t="str">
        <f>IFERROR(__xludf.DUMMYFUNCTION("""COMPUTED_VALUE"""),"application/pdf")</f>
        <v>application/pdf</v>
      </c>
    </row>
    <row r="56">
      <c r="A56" s="159" t="str">
        <f>IFERROR(__xludf.DUMMYFUNCTION("""COMPUTED_VALUE"""),"10.1111/j.1526-4610.2004.446003.x")</f>
        <v>10.1111/j.1526-4610.2004.446003.x</v>
      </c>
      <c r="B56" s="445" t="str">
        <f>IFERROR(__xludf.DUMMYFUNCTION("""COMPUTED_VALUE"""),"https://drive.google.com/file/d/1Xd1qqfKrLKHgdFkM4iKpvO6uQZKvNiSO/view?usp=drivesdk")</f>
        <v>https://drive.google.com/file/d/1Xd1qqfKrLKHgdFkM4iKpvO6uQZKvNiSO/view?usp=drivesdk</v>
      </c>
      <c r="C56" s="339" t="str">
        <f>IFERROR(__xludf.DUMMYFUNCTION("""COMPUTED_VALUE"""),"10.1111--j.1526-4610.2004.446003.x.pdf")</f>
        <v>10.1111--j.1526-4610.2004.446003.x.pdf</v>
      </c>
      <c r="D56" s="339" t="str">
        <f>IFERROR(__xludf.DUMMYFUNCTION("""COMPUTED_VALUE"""),"application/pdf")</f>
        <v>application/pdf</v>
      </c>
    </row>
    <row r="57">
      <c r="A57" s="159" t="str">
        <f>IFERROR(__xludf.DUMMYFUNCTION("""COMPUTED_VALUE"""),"10.1080/23273798.2020.1810292")</f>
        <v>10.1080/23273798.2020.1810292</v>
      </c>
      <c r="B57" s="445" t="str">
        <f>IFERROR(__xludf.DUMMYFUNCTION("""COMPUTED_VALUE"""),"https://drive.google.com/file/d/1HfaoUy0n4jcmWWLSBXNhkyGIX4WbOU1n/view?usp=drivesdk")</f>
        <v>https://drive.google.com/file/d/1HfaoUy0n4jcmWWLSBXNhkyGIX4WbOU1n/view?usp=drivesdk</v>
      </c>
      <c r="C57" s="339" t="str">
        <f>IFERROR(__xludf.DUMMYFUNCTION("""COMPUTED_VALUE"""),"10.1080--23273798.2020.1810292.pdf")</f>
        <v>10.1080--23273798.2020.1810292.pdf</v>
      </c>
      <c r="D57" s="339" t="str">
        <f>IFERROR(__xludf.DUMMYFUNCTION("""COMPUTED_VALUE"""),"application/pdf")</f>
        <v>application/pdf</v>
      </c>
    </row>
    <row r="58">
      <c r="A58" s="159" t="str">
        <f>IFERROR(__xludf.DUMMYFUNCTION("""COMPUTED_VALUE"""),"10.1080/23273798.2024.2337948")</f>
        <v>10.1080/23273798.2024.2337948</v>
      </c>
      <c r="B58" s="445" t="str">
        <f>IFERROR(__xludf.DUMMYFUNCTION("""COMPUTED_VALUE"""),"https://drive.google.com/file/d/1mEhjjjRgKQdJJEyOqsKa3dnm5uZRy5EI/view?usp=drivesdk")</f>
        <v>https://drive.google.com/file/d/1mEhjjjRgKQdJJEyOqsKa3dnm5uZRy5EI/view?usp=drivesdk</v>
      </c>
      <c r="C58" s="339" t="str">
        <f>IFERROR(__xludf.DUMMYFUNCTION("""COMPUTED_VALUE"""),"10.1080--23273798.2024.2337948.pdf")</f>
        <v>10.1080--23273798.2024.2337948.pdf</v>
      </c>
      <c r="D58" s="339" t="str">
        <f>IFERROR(__xludf.DUMMYFUNCTION("""COMPUTED_VALUE"""),"application/pdf")</f>
        <v>application/pdf</v>
      </c>
    </row>
    <row r="59">
      <c r="A59" s="159" t="str">
        <f>IFERROR(__xludf.DUMMYFUNCTION("""COMPUTED_VALUE"""),"10.1006/jmla.1997.2526")</f>
        <v>10.1006/jmla.1997.2526</v>
      </c>
      <c r="B59" s="445" t="str">
        <f>IFERROR(__xludf.DUMMYFUNCTION("""COMPUTED_VALUE"""),"https://drive.google.com/file/d/1O3vaUoowBWY0dYMIPISMKgj08ixYVCjs/view?usp=drivesdk")</f>
        <v>https://drive.google.com/file/d/1O3vaUoowBWY0dYMIPISMKgj08ixYVCjs/view?usp=drivesdk</v>
      </c>
      <c r="C59" s="339" t="str">
        <f>IFERROR(__xludf.DUMMYFUNCTION("""COMPUTED_VALUE"""),"10.1006--jmla.1997.2526.pdf")</f>
        <v>10.1006--jmla.1997.2526.pdf</v>
      </c>
      <c r="D59" s="339" t="str">
        <f>IFERROR(__xludf.DUMMYFUNCTION("""COMPUTED_VALUE"""),"application/pdf")</f>
        <v>application/pdf</v>
      </c>
    </row>
    <row r="60">
      <c r="A60" s="159" t="str">
        <f>IFERROR(__xludf.DUMMYFUNCTION("""COMPUTED_VALUE"""),"04_0002_000171")</f>
        <v>04_0002_000171</v>
      </c>
      <c r="B60" s="445" t="str">
        <f>IFERROR(__xludf.DUMMYFUNCTION("""COMPUTED_VALUE"""),"https://drive.google.com/file/d/1tDNQJFDpVv8BEileYpWLw9ob8Bw1GlCz/view?usp=drivesdk")</f>
        <v>https://drive.google.com/file/d/1tDNQJFDpVv8BEileYpWLw9ob8Bw1GlCz/view?usp=drivesdk</v>
      </c>
      <c r="C60" s="339" t="str">
        <f>IFERROR(__xludf.DUMMYFUNCTION("""COMPUTED_VALUE"""),"04_0002_000171.pdf")</f>
        <v>04_0002_000171.pdf</v>
      </c>
      <c r="D60" s="339" t="str">
        <f>IFERROR(__xludf.DUMMYFUNCTION("""COMPUTED_VALUE"""),"application/pdf")</f>
        <v>application/pdf</v>
      </c>
    </row>
    <row r="61">
      <c r="A61" s="159" t="str">
        <f>IFERROR(__xludf.DUMMYFUNCTION("""COMPUTED_VALUE"""),"10.26451/abc.08.02.08.2021")</f>
        <v>10.26451/abc.08.02.08.2021</v>
      </c>
      <c r="B61" s="445" t="str">
        <f>IFERROR(__xludf.DUMMYFUNCTION("""COMPUTED_VALUE"""),"https://drive.google.com/file/d/1RFrixM64aBF56JeLoChbNDHlgIVzlJuK/view?usp=drivesdk")</f>
        <v>https://drive.google.com/file/d/1RFrixM64aBF56JeLoChbNDHlgIVzlJuK/view?usp=drivesdk</v>
      </c>
      <c r="C61" s="339" t="str">
        <f>IFERROR(__xludf.DUMMYFUNCTION("""COMPUTED_VALUE"""),"10.26451--abc.08.02.08.2021.pdf")</f>
        <v>10.26451--abc.08.02.08.2021.pdf</v>
      </c>
      <c r="D61" s="339" t="str">
        <f>IFERROR(__xludf.DUMMYFUNCTION("""COMPUTED_VALUE"""),"application/pdf")</f>
        <v>application/pdf</v>
      </c>
    </row>
    <row r="62">
      <c r="A62" s="159" t="str">
        <f>IFERROR(__xludf.DUMMYFUNCTION("""COMPUTED_VALUE"""),"10.1186/1471-2474-14-190")</f>
        <v>10.1186/1471-2474-14-190</v>
      </c>
      <c r="B62" s="445" t="str">
        <f>IFERROR(__xludf.DUMMYFUNCTION("""COMPUTED_VALUE"""),"https://drive.google.com/file/d/19p3ryOcpAjTx3MMNG5NnT9-x-yLB1-T_/view?usp=drivesdk")</f>
        <v>https://drive.google.com/file/d/19p3ryOcpAjTx3MMNG5NnT9-x-yLB1-T_/view?usp=drivesdk</v>
      </c>
      <c r="C62" s="339" t="str">
        <f>IFERROR(__xludf.DUMMYFUNCTION("""COMPUTED_VALUE"""),"10.1186--1471-2474-14-190.pdf")</f>
        <v>10.1186--1471-2474-14-190.pdf</v>
      </c>
      <c r="D62" s="339" t="str">
        <f>IFERROR(__xludf.DUMMYFUNCTION("""COMPUTED_VALUE"""),"application/pdf")</f>
        <v>application/pdf</v>
      </c>
    </row>
    <row r="63">
      <c r="A63" s="159" t="str">
        <f>IFERROR(__xludf.DUMMYFUNCTION("""COMPUTED_VALUE"""),"10.1186/s41065-019-0095-7")</f>
        <v>10.1186/s41065-019-0095-7</v>
      </c>
      <c r="B63" s="445" t="str">
        <f>IFERROR(__xludf.DUMMYFUNCTION("""COMPUTED_VALUE"""),"https://drive.google.com/file/d/1qL5FTQ-_83n1_RXK5idklb9t_NuOgNPy/view?usp=drivesdk")</f>
        <v>https://drive.google.com/file/d/1qL5FTQ-_83n1_RXK5idklb9t_NuOgNPy/view?usp=drivesdk</v>
      </c>
      <c r="C63" s="339" t="str">
        <f>IFERROR(__xludf.DUMMYFUNCTION("""COMPUTED_VALUE"""),"10.1186--s41065-019-0095-7.pdf")</f>
        <v>10.1186--s41065-019-0095-7.pdf</v>
      </c>
      <c r="D63" s="339" t="str">
        <f>IFERROR(__xludf.DUMMYFUNCTION("""COMPUTED_VALUE"""),"application/pdf")</f>
        <v>application/pdf</v>
      </c>
    </row>
    <row r="64">
      <c r="A64" s="159" t="str">
        <f>IFERROR(__xludf.DUMMYFUNCTION("""COMPUTED_VALUE"""),"10.1097/jfn.0000000000000080")</f>
        <v>10.1097/jfn.0000000000000080</v>
      </c>
      <c r="B64" s="445" t="str">
        <f>IFERROR(__xludf.DUMMYFUNCTION("""COMPUTED_VALUE"""),"https://drive.google.com/file/d/1WFnNBnyMISqWhN3Ws_e4RC7z_GE3tHi2/view?usp=drivesdk")</f>
        <v>https://drive.google.com/file/d/1WFnNBnyMISqWhN3Ws_e4RC7z_GE3tHi2/view?usp=drivesdk</v>
      </c>
      <c r="C64" s="339" t="str">
        <f>IFERROR(__xludf.DUMMYFUNCTION("""COMPUTED_VALUE"""),"10.1097--jfn.0000000000000080.pdf")</f>
        <v>10.1097--jfn.0000000000000080.pdf</v>
      </c>
      <c r="D64" s="339" t="str">
        <f>IFERROR(__xludf.DUMMYFUNCTION("""COMPUTED_VALUE"""),"application/pdf")</f>
        <v>application/pdf</v>
      </c>
    </row>
    <row r="65">
      <c r="A65" s="159" t="str">
        <f>IFERROR(__xludf.DUMMYFUNCTION("""COMPUTED_VALUE"""),"10.1177/000312240507000405")</f>
        <v>10.1177/000312240507000405</v>
      </c>
      <c r="B65" s="445" t="str">
        <f>IFERROR(__xludf.DUMMYFUNCTION("""COMPUTED_VALUE"""),"https://drive.google.com/file/d/1nc4FYftzB4s0konP3bLnArlkl_FAo1s1/view?usp=drivesdk")</f>
        <v>https://drive.google.com/file/d/1nc4FYftzB4s0konP3bLnArlkl_FAo1s1/view?usp=drivesdk</v>
      </c>
      <c r="C65" s="339" t="str">
        <f>IFERROR(__xludf.DUMMYFUNCTION("""COMPUTED_VALUE"""),"10.1177--000312240507000405.pdf")</f>
        <v>10.1177--000312240507000405.pdf</v>
      </c>
      <c r="D65" s="339" t="str">
        <f>IFERROR(__xludf.DUMMYFUNCTION("""COMPUTED_VALUE"""),"application/pdf")</f>
        <v>application/pdf</v>
      </c>
    </row>
    <row r="66">
      <c r="A66" s="159" t="str">
        <f>IFERROR(__xludf.DUMMYFUNCTION("""COMPUTED_VALUE"""),"10.1080/02732173.2017.1287614")</f>
        <v>10.1080/02732173.2017.1287614</v>
      </c>
      <c r="B66" s="445" t="str">
        <f>IFERROR(__xludf.DUMMYFUNCTION("""COMPUTED_VALUE"""),"https://drive.google.com/file/d/1yGBNrEbFpUaGvUbjGiXc8S-V5MjUguFC/view?usp=drivesdk")</f>
        <v>https://drive.google.com/file/d/1yGBNrEbFpUaGvUbjGiXc8S-V5MjUguFC/view?usp=drivesdk</v>
      </c>
      <c r="C66" s="339" t="str">
        <f>IFERROR(__xludf.DUMMYFUNCTION("""COMPUTED_VALUE"""),"10.1080--02732173.2017.1287614.pdf")</f>
        <v>10.1080--02732173.2017.1287614.pdf</v>
      </c>
      <c r="D66" s="339" t="str">
        <f>IFERROR(__xludf.DUMMYFUNCTION("""COMPUTED_VALUE"""),"application/pdf")</f>
        <v>application/pdf</v>
      </c>
    </row>
    <row r="67">
      <c r="A67" s="159" t="str">
        <f>IFERROR(__xludf.DUMMYFUNCTION("""COMPUTED_VALUE"""),"10.1177/0022022110381127")</f>
        <v>10.1177/0022022110381127</v>
      </c>
      <c r="B67" s="445" t="str">
        <f>IFERROR(__xludf.DUMMYFUNCTION("""COMPUTED_VALUE"""),"https://drive.google.com/file/d/1Li61Ps9PtRxVo73Jgh9OcULOvL_uEl0P/view?usp=drivesdk")</f>
        <v>https://drive.google.com/file/d/1Li61Ps9PtRxVo73Jgh9OcULOvL_uEl0P/view?usp=drivesdk</v>
      </c>
      <c r="C67" s="339" t="str">
        <f>IFERROR(__xludf.DUMMYFUNCTION("""COMPUTED_VALUE"""),"10.1177--0022022110381127.pdf")</f>
        <v>10.1177--0022022110381127.pdf</v>
      </c>
      <c r="D67" s="339" t="str">
        <f>IFERROR(__xludf.DUMMYFUNCTION("""COMPUTED_VALUE"""),"application/pdf")</f>
        <v>application/pdf</v>
      </c>
    </row>
    <row r="68">
      <c r="A68" s="159" t="str">
        <f>IFERROR(__xludf.DUMMYFUNCTION("""COMPUTED_VALUE"""),"10.31234/osf.io/ewbzm")</f>
        <v>10.31234/osf.io/ewbzm</v>
      </c>
      <c r="B68" s="445" t="str">
        <f>IFERROR(__xludf.DUMMYFUNCTION("""COMPUTED_VALUE"""),"https://drive.google.com/file/d/1j7wFa_VLYDzKB_woKjYNl0yxmJ8NsLtu/view?usp=drivesdk")</f>
        <v>https://drive.google.com/file/d/1j7wFa_VLYDzKB_woKjYNl0yxmJ8NsLtu/view?usp=drivesdk</v>
      </c>
      <c r="C68" s="339" t="str">
        <f>IFERROR(__xludf.DUMMYFUNCTION("""COMPUTED_VALUE"""),"10.31234--osf.io--ewbzm.pdf")</f>
        <v>10.31234--osf.io--ewbzm.pdf</v>
      </c>
      <c r="D68" s="339" t="str">
        <f>IFERROR(__xludf.DUMMYFUNCTION("""COMPUTED_VALUE"""),"application/pdf")</f>
        <v>application/pdf</v>
      </c>
    </row>
    <row r="69">
      <c r="A69" s="159" t="str">
        <f>IFERROR(__xludf.DUMMYFUNCTION("""COMPUTED_VALUE"""),"10.1037/xge0001075")</f>
        <v>10.1037/xge0001075</v>
      </c>
      <c r="B69" s="445" t="str">
        <f>IFERROR(__xludf.DUMMYFUNCTION("""COMPUTED_VALUE"""),"https://drive.google.com/file/d/168Z8f-kmEZ54X38bBjQNEU2HR241tttv/view?usp=drivesdk")</f>
        <v>https://drive.google.com/file/d/168Z8f-kmEZ54X38bBjQNEU2HR241tttv/view?usp=drivesdk</v>
      </c>
      <c r="C69" s="339" t="str">
        <f>IFERROR(__xludf.DUMMYFUNCTION("""COMPUTED_VALUE"""),"10.1037--xge0001075.pdf")</f>
        <v>10.1037--xge0001075.pdf</v>
      </c>
      <c r="D69" s="339" t="str">
        <f>IFERROR(__xludf.DUMMYFUNCTION("""COMPUTED_VALUE"""),"application/pdf")</f>
        <v>application/pdf</v>
      </c>
    </row>
    <row r="70">
      <c r="A70" s="159" t="str">
        <f>IFERROR(__xludf.DUMMYFUNCTION("""COMPUTED_VALUE"""),"10.1002/hipo.10167")</f>
        <v>10.1002/hipo.10167</v>
      </c>
      <c r="B70" s="445" t="str">
        <f>IFERROR(__xludf.DUMMYFUNCTION("""COMPUTED_VALUE"""),"https://drive.google.com/file/d/1-TNSFH2N70ksSSRqYC7SFXcthaEIJ4R0/view?usp=drivesdk")</f>
        <v>https://drive.google.com/file/d/1-TNSFH2N70ksSSRqYC7SFXcthaEIJ4R0/view?usp=drivesdk</v>
      </c>
      <c r="C70" s="339" t="str">
        <f>IFERROR(__xludf.DUMMYFUNCTION("""COMPUTED_VALUE"""),"10.1002--hipo.10167.pdf")</f>
        <v>10.1002--hipo.10167.pdf</v>
      </c>
      <c r="D70" s="339" t="str">
        <f>IFERROR(__xludf.DUMMYFUNCTION("""COMPUTED_VALUE"""),"application/pdf")</f>
        <v>application/pdf</v>
      </c>
    </row>
    <row r="71">
      <c r="A71" s="159" t="str">
        <f>IFERROR(__xludf.DUMMYFUNCTION("""COMPUTED_VALUE"""),"10.1056/nejmoa0904327")</f>
        <v>10.1056/nejmoa0904327</v>
      </c>
      <c r="B71" s="445" t="str">
        <f>IFERROR(__xludf.DUMMYFUNCTION("""COMPUTED_VALUE"""),"https://drive.google.com/file/d/1-yf5vikxEQOrktorz9QW2UrCMhNjKdwM/view?usp=drivesdk")</f>
        <v>https://drive.google.com/file/d/1-yf5vikxEQOrktorz9QW2UrCMhNjKdwM/view?usp=drivesdk</v>
      </c>
      <c r="C71" s="339" t="str">
        <f>IFERROR(__xludf.DUMMYFUNCTION("""COMPUTED_VALUE"""),"10.1056--nejmoa0904327.pdf")</f>
        <v>10.1056--nejmoa0904327.pdf</v>
      </c>
      <c r="D71" s="339" t="str">
        <f>IFERROR(__xludf.DUMMYFUNCTION("""COMPUTED_VALUE"""),"application/pdf")</f>
        <v>application/pdf</v>
      </c>
    </row>
    <row r="72">
      <c r="A72" s="159" t="str">
        <f>IFERROR(__xludf.DUMMYFUNCTION("""COMPUTED_VALUE"""),"marlatt_1985")</f>
        <v>marlatt_1985</v>
      </c>
      <c r="B72" s="445" t="str">
        <f>IFERROR(__xludf.DUMMYFUNCTION("""COMPUTED_VALUE"""),"https://drive.google.com/file/d/15ohetGf9ivzhFMz2G-lCrYsTqA6LdpZK/view?usp=drivesdk")</f>
        <v>https://drive.google.com/file/d/15ohetGf9ivzhFMz2G-lCrYsTqA6LdpZK/view?usp=drivesdk</v>
      </c>
      <c r="C72" s="339" t="str">
        <f>IFERROR(__xludf.DUMMYFUNCTION("""COMPUTED_VALUE"""),"marlatt_1985.pdf")</f>
        <v>marlatt_1985.pdf</v>
      </c>
      <c r="D72" s="339" t="str">
        <f>IFERROR(__xludf.DUMMYFUNCTION("""COMPUTED_VALUE"""),"application/pdf")</f>
        <v>application/pdf</v>
      </c>
    </row>
    <row r="73">
      <c r="A73" s="159" t="str">
        <f>IFERROR(__xludf.DUMMYFUNCTION("""COMPUTED_VALUE"""),"10.1016/j.jbankfin.2015.01.013")</f>
        <v>10.1016/j.jbankfin.2015.01.013</v>
      </c>
      <c r="B73" s="445" t="str">
        <f>IFERROR(__xludf.DUMMYFUNCTION("""COMPUTED_VALUE"""),"https://drive.google.com/file/d/1YVxhFH5G1YYcByCk3hjuop_rxVF_Lz2S/view?usp=drivesdk")</f>
        <v>https://drive.google.com/file/d/1YVxhFH5G1YYcByCk3hjuop_rxVF_Lz2S/view?usp=drivesdk</v>
      </c>
      <c r="C73" s="339" t="str">
        <f>IFERROR(__xludf.DUMMYFUNCTION("""COMPUTED_VALUE"""),"10.1016--j.jbankfin.2015.01.013.pdf")</f>
        <v>10.1016--j.jbankfin.2015.01.013.pdf</v>
      </c>
      <c r="D73" s="339" t="str">
        <f>IFERROR(__xludf.DUMMYFUNCTION("""COMPUTED_VALUE"""),"application/pdf")</f>
        <v>application/pdf</v>
      </c>
    </row>
    <row r="74">
      <c r="A74" s="159" t="str">
        <f>IFERROR(__xludf.DUMMYFUNCTION("""COMPUTED_VALUE"""),"10.3109/00016487709128844")</f>
        <v>10.3109/00016487709128844</v>
      </c>
      <c r="B74" s="445" t="str">
        <f>IFERROR(__xludf.DUMMYFUNCTION("""COMPUTED_VALUE"""),"https://drive.google.com/file/d/1gbRA8WIZ33S3atwVRbeyHhIqayQO2Iko/view?usp=drivesdk")</f>
        <v>https://drive.google.com/file/d/1gbRA8WIZ33S3atwVRbeyHhIqayQO2Iko/view?usp=drivesdk</v>
      </c>
      <c r="C74" s="339" t="str">
        <f>IFERROR(__xludf.DUMMYFUNCTION("""COMPUTED_VALUE"""),"10.3109--00016487709128844.pdf")</f>
        <v>10.3109--00016487709128844.pdf</v>
      </c>
      <c r="D74" s="339" t="str">
        <f>IFERROR(__xludf.DUMMYFUNCTION("""COMPUTED_VALUE"""),"application/pdf")</f>
        <v>application/pdf</v>
      </c>
    </row>
    <row r="75">
      <c r="A75" s="159" t="str">
        <f>IFERROR(__xludf.DUMMYFUNCTION("""COMPUTED_VALUE"""),"10.1371/journal.pone.0204494")</f>
        <v>10.1371/journal.pone.0204494</v>
      </c>
      <c r="B75" s="680" t="str">
        <f>IFERROR(__xludf.DUMMYFUNCTION("""COMPUTED_VALUE"""),"https://drive.google.com/file/d/1KgzcPvrsWADx5PwvUW8nXgd4ZFisumDT/view?usp=drivesdk")</f>
        <v>https://drive.google.com/file/d/1KgzcPvrsWADx5PwvUW8nXgd4ZFisumDT/view?usp=drivesdk</v>
      </c>
      <c r="C75" s="159" t="str">
        <f>IFERROR(__xludf.DUMMYFUNCTION("""COMPUTED_VALUE"""),"10.1371--journal.pone.0204494.pdf")</f>
        <v>10.1371--journal.pone.0204494.pdf</v>
      </c>
      <c r="D75" s="159" t="str">
        <f>IFERROR(__xludf.DUMMYFUNCTION("""COMPUTED_VALUE"""),"application/pdf")</f>
        <v>application/pdf</v>
      </c>
    </row>
    <row r="76">
      <c r="A76" s="159" t="str">
        <f>IFERROR(__xludf.DUMMYFUNCTION("""COMPUTED_VALUE"""),"10.1111/jcc4.12173")</f>
        <v>10.1111/jcc4.12173</v>
      </c>
      <c r="B76" s="680" t="str">
        <f>IFERROR(__xludf.DUMMYFUNCTION("""COMPUTED_VALUE"""),"https://drive.google.com/file/d/1ISFi67bGJGra-77tvOm75yxWA8iKJDC-/view?usp=drivesdk")</f>
        <v>https://drive.google.com/file/d/1ISFi67bGJGra-77tvOm75yxWA8iKJDC-/view?usp=drivesdk</v>
      </c>
      <c r="C76" s="159" t="str">
        <f>IFERROR(__xludf.DUMMYFUNCTION("""COMPUTED_VALUE"""),"10.1111--jcc4.12173.pdf")</f>
        <v>10.1111--jcc4.12173.pdf</v>
      </c>
      <c r="D76" s="159" t="str">
        <f>IFERROR(__xludf.DUMMYFUNCTION("""COMPUTED_VALUE"""),"application/pdf")</f>
        <v>application/pdf</v>
      </c>
    </row>
    <row r="77">
      <c r="A77" s="159" t="str">
        <f>IFERROR(__xludf.DUMMYFUNCTION("""COMPUTED_VALUE"""),"10.1097/nmd.0b013e3181e07d66")</f>
        <v>10.1097/nmd.0b013e3181e07d66</v>
      </c>
      <c r="B77" s="680" t="str">
        <f>IFERROR(__xludf.DUMMYFUNCTION("""COMPUTED_VALUE"""),"https://drive.google.com/file/d/1pdFzOwRp0NKjwC9I7eWZG75DV5pL0WrX/view?usp=drivesdk")</f>
        <v>https://drive.google.com/file/d/1pdFzOwRp0NKjwC9I7eWZG75DV5pL0WrX/view?usp=drivesdk</v>
      </c>
      <c r="C77" s="159" t="str">
        <f>IFERROR(__xludf.DUMMYFUNCTION("""COMPUTED_VALUE"""),"10.1097--nmd.0b013e3181e07d66.pdf")</f>
        <v>10.1097--nmd.0b013e3181e07d66.pdf</v>
      </c>
      <c r="D77" s="159" t="str">
        <f>IFERROR(__xludf.DUMMYFUNCTION("""COMPUTED_VALUE"""),"application/pdf")</f>
        <v>application/pdf</v>
      </c>
    </row>
    <row r="78">
      <c r="A78" s="159" t="str">
        <f>IFERROR(__xludf.DUMMYFUNCTION("""COMPUTED_VALUE"""),"10.1097/00041444-200303000-00008")</f>
        <v>10.1097/00041444-200303000-00008</v>
      </c>
      <c r="B78" s="680" t="str">
        <f>IFERROR(__xludf.DUMMYFUNCTION("""COMPUTED_VALUE"""),"https://drive.google.com/file/d/14uaprvi5tTeWCMg4Avc8xCySQ8BikWYu/view?usp=drivesdk")</f>
        <v>https://drive.google.com/file/d/14uaprvi5tTeWCMg4Avc8xCySQ8BikWYu/view?usp=drivesdk</v>
      </c>
      <c r="C78" s="159" t="str">
        <f>IFERROR(__xludf.DUMMYFUNCTION("""COMPUTED_VALUE"""),"10.1097--00041444-200303000-00008.pdf")</f>
        <v>10.1097--00041444-200303000-00008.pdf</v>
      </c>
      <c r="D78" s="159" t="str">
        <f>IFERROR(__xludf.DUMMYFUNCTION("""COMPUTED_VALUE"""),"application/pdf")</f>
        <v>application/pdf</v>
      </c>
    </row>
    <row r="79">
      <c r="A79" s="159" t="str">
        <f>IFERROR(__xludf.DUMMYFUNCTION("""COMPUTED_VALUE"""),"10.1111/acer.14413")</f>
        <v>10.1111/acer.14413</v>
      </c>
      <c r="B79" s="680" t="str">
        <f>IFERROR(__xludf.DUMMYFUNCTION("""COMPUTED_VALUE"""),"https://drive.google.com/file/d/1ZQcn80r7JFxDz_vfp14_N5lHDeOP3rGb/view?usp=drivesdk")</f>
        <v>https://drive.google.com/file/d/1ZQcn80r7JFxDz_vfp14_N5lHDeOP3rGb/view?usp=drivesdk</v>
      </c>
      <c r="C79" s="159" t="str">
        <f>IFERROR(__xludf.DUMMYFUNCTION("""COMPUTED_VALUE"""),"10.1111--acer.14413.pdf")</f>
        <v>10.1111--acer.14413.pdf</v>
      </c>
      <c r="D79" s="159" t="str">
        <f>IFERROR(__xludf.DUMMYFUNCTION("""COMPUTED_VALUE"""),"application/pdf")</f>
        <v>application/pdf</v>
      </c>
    </row>
    <row r="80">
      <c r="A80" s="159" t="str">
        <f>IFERROR(__xludf.DUMMYFUNCTION("""COMPUTED_VALUE"""),"10.1037/a0020125")</f>
        <v>10.1037/a0020125</v>
      </c>
      <c r="B80" s="680" t="str">
        <f>IFERROR(__xludf.DUMMYFUNCTION("""COMPUTED_VALUE"""),"https://drive.google.com/file/d/1tC0GgXlqra7W6FG2v3RV0MSMunTghSmR/view?usp=drivesdk")</f>
        <v>https://drive.google.com/file/d/1tC0GgXlqra7W6FG2v3RV0MSMunTghSmR/view?usp=drivesdk</v>
      </c>
      <c r="C80" s="159" t="str">
        <f>IFERROR(__xludf.DUMMYFUNCTION("""COMPUTED_VALUE"""),"10.1037--a0020125.pdf")</f>
        <v>10.1037--a0020125.pdf</v>
      </c>
      <c r="D80" s="159" t="str">
        <f>IFERROR(__xludf.DUMMYFUNCTION("""COMPUTED_VALUE"""),"application/pdf")</f>
        <v>application/pdf</v>
      </c>
    </row>
    <row r="81">
      <c r="A81" s="159" t="str">
        <f>IFERROR(__xludf.DUMMYFUNCTION("""COMPUTED_VALUE"""),"10.12968/npre.2017.15.10.504")</f>
        <v>10.12968/npre.2017.15.10.504</v>
      </c>
      <c r="B81" s="680" t="str">
        <f>IFERROR(__xludf.DUMMYFUNCTION("""COMPUTED_VALUE"""),"https://drive.google.com/file/d/1sY3KpRB8AEOYFQQtM6vCAB38zbr-xysw/view?usp=drivesdk")</f>
        <v>https://drive.google.com/file/d/1sY3KpRB8AEOYFQQtM6vCAB38zbr-xysw/view?usp=drivesdk</v>
      </c>
      <c r="C81" s="159" t="str">
        <f>IFERROR(__xludf.DUMMYFUNCTION("""COMPUTED_VALUE"""),"10.12968--npre.2017.15.10.504.pdf")</f>
        <v>10.12968--npre.2017.15.10.504.pdf</v>
      </c>
      <c r="D81" s="159" t="str">
        <f>IFERROR(__xludf.DUMMYFUNCTION("""COMPUTED_VALUE"""),"application/pdf")</f>
        <v>application/pdf</v>
      </c>
    </row>
    <row r="82">
      <c r="A82" s="159" t="str">
        <f>IFERROR(__xludf.DUMMYFUNCTION("""COMPUTED_VALUE"""),"10.1371/journal.pone.0029427")</f>
        <v>10.1371/journal.pone.0029427</v>
      </c>
      <c r="B82" s="680" t="str">
        <f>IFERROR(__xludf.DUMMYFUNCTION("""COMPUTED_VALUE"""),"https://drive.google.com/file/d/1NV-4BIAIu2tMdeLn1TJbYHOc39_ZDEe2/view?usp=drivesdk")</f>
        <v>https://drive.google.com/file/d/1NV-4BIAIu2tMdeLn1TJbYHOc39_ZDEe2/view?usp=drivesdk</v>
      </c>
      <c r="C82" s="159" t="str">
        <f>IFERROR(__xludf.DUMMYFUNCTION("""COMPUTED_VALUE"""),"10.1371--journal.pone.0029427.pdf")</f>
        <v>10.1371--journal.pone.0029427.pdf</v>
      </c>
      <c r="D82" s="159" t="str">
        <f>IFERROR(__xludf.DUMMYFUNCTION("""COMPUTED_VALUE"""),"application/pdf")</f>
        <v>application/pdf</v>
      </c>
    </row>
    <row r="83">
      <c r="A83" s="159" t="str">
        <f>IFERROR(__xludf.DUMMYFUNCTION("""COMPUTED_VALUE"""),"10.1037/xan0000317")</f>
        <v>10.1037/xan0000317</v>
      </c>
      <c r="B83" s="680" t="str">
        <f>IFERROR(__xludf.DUMMYFUNCTION("""COMPUTED_VALUE"""),"https://drive.google.com/file/d/1VWVLf_j-Bai4sTwCmA9uuhdhhqd744Lz/view?usp=drivesdk")</f>
        <v>https://drive.google.com/file/d/1VWVLf_j-Bai4sTwCmA9uuhdhhqd744Lz/view?usp=drivesdk</v>
      </c>
      <c r="C83" s="159" t="str">
        <f>IFERROR(__xludf.DUMMYFUNCTION("""COMPUTED_VALUE"""),"10.1037--xan0000317.pdf")</f>
        <v>10.1037--xan0000317.pdf</v>
      </c>
      <c r="D83" s="159" t="str">
        <f>IFERROR(__xludf.DUMMYFUNCTION("""COMPUTED_VALUE"""),"application/pdf")</f>
        <v>application/pdf</v>
      </c>
    </row>
    <row r="84">
      <c r="A84" s="159" t="str">
        <f>IFERROR(__xludf.DUMMYFUNCTION("""COMPUTED_VALUE"""),"10.2478/jagi-2018-0001")</f>
        <v>10.2478/jagi-2018-0001</v>
      </c>
      <c r="B84" s="680" t="str">
        <f>IFERROR(__xludf.DUMMYFUNCTION("""COMPUTED_VALUE"""),"https://drive.google.com/file/d/1kR4Vcl-K89zZGLhGKNrkckYAIInS60BI/view?usp=drivesdk")</f>
        <v>https://drive.google.com/file/d/1kR4Vcl-K89zZGLhGKNrkckYAIInS60BI/view?usp=drivesdk</v>
      </c>
      <c r="C84" s="159" t="str">
        <f>IFERROR(__xludf.DUMMYFUNCTION("""COMPUTED_VALUE"""),"10.2478--jagi-2018-0001.pdf")</f>
        <v>10.2478--jagi-2018-0001.pdf</v>
      </c>
      <c r="D84" s="159" t="str">
        <f>IFERROR(__xludf.DUMMYFUNCTION("""COMPUTED_VALUE"""),"application/pdf")</f>
        <v>application/pdf</v>
      </c>
    </row>
    <row r="85">
      <c r="A85" s="159" t="str">
        <f>IFERROR(__xludf.DUMMYFUNCTION("""COMPUTED_VALUE"""),"10.3386/w29158")</f>
        <v>10.3386/w29158</v>
      </c>
      <c r="B85" s="680" t="str">
        <f>IFERROR(__xludf.DUMMYFUNCTION("""COMPUTED_VALUE"""),"https://drive.google.com/file/d/1INYDSfju9H3UirX1uPe5o13a2vxF0qcm/view?usp=drivesdk")</f>
        <v>https://drive.google.com/file/d/1INYDSfju9H3UirX1uPe5o13a2vxF0qcm/view?usp=drivesdk</v>
      </c>
      <c r="C85" s="159" t="str">
        <f>IFERROR(__xludf.DUMMYFUNCTION("""COMPUTED_VALUE"""),"10.3386--w29158.pdf")</f>
        <v>10.3386--w29158.pdf</v>
      </c>
      <c r="D85" s="159" t="str">
        <f>IFERROR(__xludf.DUMMYFUNCTION("""COMPUTED_VALUE"""),"application/pdf")</f>
        <v>application/pdf</v>
      </c>
    </row>
    <row r="86">
      <c r="A86" s="159" t="str">
        <f>IFERROR(__xludf.DUMMYFUNCTION("""COMPUTED_VALUE"""),"10.1080/00221325.2012.681326")</f>
        <v>10.1080/00221325.2012.681326</v>
      </c>
      <c r="B86" s="680" t="str">
        <f>IFERROR(__xludf.DUMMYFUNCTION("""COMPUTED_VALUE"""),"https://drive.google.com/file/d/15jawnDIuQbJRfRjUra-JhupHpT8p4Ay6/view?usp=drivesdk")</f>
        <v>https://drive.google.com/file/d/15jawnDIuQbJRfRjUra-JhupHpT8p4Ay6/view?usp=drivesdk</v>
      </c>
      <c r="C86" s="159" t="str">
        <f>IFERROR(__xludf.DUMMYFUNCTION("""COMPUTED_VALUE"""),"10.1080--00221325.2012.681326.pdf")</f>
        <v>10.1080--00221325.2012.681326.pdf</v>
      </c>
      <c r="D86" s="159" t="str">
        <f>IFERROR(__xludf.DUMMYFUNCTION("""COMPUTED_VALUE"""),"application/pdf")</f>
        <v>application/pdf</v>
      </c>
    </row>
    <row r="87">
      <c r="A87" s="159" t="str">
        <f>IFERROR(__xludf.DUMMYFUNCTION("""COMPUTED_VALUE"""),"10.1257/0002828054825691")</f>
        <v>10.1257/0002828054825691</v>
      </c>
      <c r="B87" s="680" t="str">
        <f>IFERROR(__xludf.DUMMYFUNCTION("""COMPUTED_VALUE"""),"https://drive.google.com/file/d/15dne_zeuxRC24gTBDS0dzs74bGq9Jyi1/view?usp=drivesdk")</f>
        <v>https://drive.google.com/file/d/15dne_zeuxRC24gTBDS0dzs74bGq9Jyi1/view?usp=drivesdk</v>
      </c>
      <c r="C87" s="159" t="str">
        <f>IFERROR(__xludf.DUMMYFUNCTION("""COMPUTED_VALUE"""),"10.1257--0002828054825691.pdf")</f>
        <v>10.1257--0002828054825691.pdf</v>
      </c>
      <c r="D87" s="159" t="str">
        <f>IFERROR(__xludf.DUMMYFUNCTION("""COMPUTED_VALUE"""),"application/pdf")</f>
        <v>application/pdf</v>
      </c>
    </row>
    <row r="88">
      <c r="A88" s="159" t="str">
        <f>IFERROR(__xludf.DUMMYFUNCTION("""COMPUTED_VALUE"""),"10.2139/ssrn.3542044")</f>
        <v>10.2139/ssrn.3542044</v>
      </c>
      <c r="B88" s="680" t="str">
        <f>IFERROR(__xludf.DUMMYFUNCTION("""COMPUTED_VALUE"""),"https://drive.google.com/file/d/1rYCNq0Z3O_0PakFZJ7p6Y0JXIl3ohuS-/view?usp=drivesdk")</f>
        <v>https://drive.google.com/file/d/1rYCNq0Z3O_0PakFZJ7p6Y0JXIl3ohuS-/view?usp=drivesdk</v>
      </c>
      <c r="C88" s="159" t="str">
        <f>IFERROR(__xludf.DUMMYFUNCTION("""COMPUTED_VALUE"""),"10.2139--ssrn.3542044.pdf")</f>
        <v>10.2139--ssrn.3542044.pdf</v>
      </c>
      <c r="D88" s="159" t="str">
        <f>IFERROR(__xludf.DUMMYFUNCTION("""COMPUTED_VALUE"""),"application/pdf")</f>
        <v>application/pdf</v>
      </c>
    </row>
    <row r="89">
      <c r="A89" s="159" t="str">
        <f>IFERROR(__xludf.DUMMYFUNCTION("""COMPUTED_VALUE"""),"10.1080/00207599108246856")</f>
        <v>10.1080/00207599108246856</v>
      </c>
      <c r="B89" s="680" t="str">
        <f>IFERROR(__xludf.DUMMYFUNCTION("""COMPUTED_VALUE"""),"https://drive.google.com/file/d/1KbAFyTjsCCZS3Duo_BriCKc2SWsIus7S/view?usp=drivesdk")</f>
        <v>https://drive.google.com/file/d/1KbAFyTjsCCZS3Duo_BriCKc2SWsIus7S/view?usp=drivesdk</v>
      </c>
      <c r="C89" s="159" t="str">
        <f>IFERROR(__xludf.DUMMYFUNCTION("""COMPUTED_VALUE"""),"10.1080--00207599108246856.pdf")</f>
        <v>10.1080--00207599108246856.pdf</v>
      </c>
      <c r="D89" s="159" t="str">
        <f>IFERROR(__xludf.DUMMYFUNCTION("""COMPUTED_VALUE"""),"application/pdf")</f>
        <v>application/pdf</v>
      </c>
    </row>
    <row r="90">
      <c r="A90" s="159" t="str">
        <f>IFERROR(__xludf.DUMMYFUNCTION("""COMPUTED_VALUE"""),"10.1111/gbb.12276")</f>
        <v>10.1111/gbb.12276</v>
      </c>
      <c r="B90" s="680" t="str">
        <f>IFERROR(__xludf.DUMMYFUNCTION("""COMPUTED_VALUE"""),"https://drive.google.com/file/d/1CKalc3ILUiR9bk6hdRpkqUXmtADzFZ3H/view?usp=drivesdk")</f>
        <v>https://drive.google.com/file/d/1CKalc3ILUiR9bk6hdRpkqUXmtADzFZ3H/view?usp=drivesdk</v>
      </c>
      <c r="C90" s="159" t="str">
        <f>IFERROR(__xludf.DUMMYFUNCTION("""COMPUTED_VALUE"""),"10.1111--gbb.12276.pdf")</f>
        <v>10.1111--gbb.12276.pdf</v>
      </c>
      <c r="D90" s="159" t="str">
        <f>IFERROR(__xludf.DUMMYFUNCTION("""COMPUTED_VALUE"""),"application/pdf")</f>
        <v>application/pdf</v>
      </c>
    </row>
    <row r="91">
      <c r="A91" s="159" t="str">
        <f>IFERROR(__xludf.DUMMYFUNCTION("""COMPUTED_VALUE"""),"10.1177/026839629400900306")</f>
        <v>10.1177/026839629400900306</v>
      </c>
      <c r="B91" s="680" t="str">
        <f>IFERROR(__xludf.DUMMYFUNCTION("""COMPUTED_VALUE"""),"https://drive.google.com/file/d/1m6154TwHSCHHUuLh7iQBk9c8MNGidb-w/view?usp=drivesdk")</f>
        <v>https://drive.google.com/file/d/1m6154TwHSCHHUuLh7iQBk9c8MNGidb-w/view?usp=drivesdk</v>
      </c>
      <c r="C91" s="159" t="str">
        <f>IFERROR(__xludf.DUMMYFUNCTION("""COMPUTED_VALUE"""),"10.1177--026839629400900306.pdf")</f>
        <v>10.1177--026839629400900306.pdf</v>
      </c>
      <c r="D91" s="159" t="str">
        <f>IFERROR(__xludf.DUMMYFUNCTION("""COMPUTED_VALUE"""),"application/pdf")</f>
        <v>application/pdf</v>
      </c>
    </row>
    <row r="92">
      <c r="A92" s="159" t="str">
        <f>IFERROR(__xludf.DUMMYFUNCTION("""COMPUTED_VALUE"""),"10.1080/1097198x.1998.10856221")</f>
        <v>10.1080/1097198x.1998.10856221</v>
      </c>
      <c r="B92" s="680" t="str">
        <f>IFERROR(__xludf.DUMMYFUNCTION("""COMPUTED_VALUE"""),"https://drive.google.com/file/d/1ij951sZhsgSs6ankP3VocD-1lau-pNul/view?usp=drivesdk")</f>
        <v>https://drive.google.com/file/d/1ij951sZhsgSs6ankP3VocD-1lau-pNul/view?usp=drivesdk</v>
      </c>
      <c r="C92" s="159" t="str">
        <f>IFERROR(__xludf.DUMMYFUNCTION("""COMPUTED_VALUE"""),"10.1080--1097198x.1998.10856221.pdf")</f>
        <v>10.1080--1097198x.1998.10856221.pdf</v>
      </c>
      <c r="D92" s="159" t="str">
        <f>IFERROR(__xludf.DUMMYFUNCTION("""COMPUTED_VALUE"""),"application/pdf")</f>
        <v>application/pdf</v>
      </c>
    </row>
    <row r="93">
      <c r="A93" s="159" t="str">
        <f>IFERROR(__xludf.DUMMYFUNCTION("""COMPUTED_VALUE"""),"10.3390/ijerph19031275")</f>
        <v>10.3390/ijerph19031275</v>
      </c>
      <c r="B93" s="680" t="str">
        <f>IFERROR(__xludf.DUMMYFUNCTION("""COMPUTED_VALUE"""),"https://drive.google.com/file/d/10IiVhKXZbrbhdx5I7Y0mIDfHXvviDZIu/view?usp=drivesdk")</f>
        <v>https://drive.google.com/file/d/10IiVhKXZbrbhdx5I7Y0mIDfHXvviDZIu/view?usp=drivesdk</v>
      </c>
      <c r="C93" s="159" t="str">
        <f>IFERROR(__xludf.DUMMYFUNCTION("""COMPUTED_VALUE"""),"10.3390--ijerph19031275.pdf")</f>
        <v>10.3390--ijerph19031275.pdf</v>
      </c>
      <c r="D93" s="159" t="str">
        <f>IFERROR(__xludf.DUMMYFUNCTION("""COMPUTED_VALUE"""),"application/pdf")</f>
        <v>application/pdf</v>
      </c>
    </row>
    <row r="94">
      <c r="A94" s="159" t="str">
        <f>IFERROR(__xludf.DUMMYFUNCTION("""COMPUTED_VALUE"""),"10.1353/lan.2019.0051")</f>
        <v>10.1353/lan.2019.0051</v>
      </c>
      <c r="B94" s="680" t="str">
        <f>IFERROR(__xludf.DUMMYFUNCTION("""COMPUTED_VALUE"""),"https://drive.google.com/file/d/1s-7Kfc3_txsFeG6Sz7mwLSkl2YlnYLi8/view?usp=drivesdk")</f>
        <v>https://drive.google.com/file/d/1s-7Kfc3_txsFeG6Sz7mwLSkl2YlnYLi8/view?usp=drivesdk</v>
      </c>
      <c r="C94" s="159" t="str">
        <f>IFERROR(__xludf.DUMMYFUNCTION("""COMPUTED_VALUE"""),"10.1353--lan.2019.0051.pdf")</f>
        <v>10.1353--lan.2019.0051.pdf</v>
      </c>
      <c r="D94" s="159" t="str">
        <f>IFERROR(__xludf.DUMMYFUNCTION("""COMPUTED_VALUE"""),"application/pdf")</f>
        <v>application/pdf</v>
      </c>
    </row>
    <row r="95">
      <c r="A95" s="159" t="str">
        <f>IFERROR(__xludf.DUMMYFUNCTION("""COMPUTED_VALUE"""),"10.1017/s0332586520000207")</f>
        <v>10.1017/s0332586520000207</v>
      </c>
      <c r="B95" s="680" t="str">
        <f>IFERROR(__xludf.DUMMYFUNCTION("""COMPUTED_VALUE"""),"https://drive.google.com/file/d/1ULj0xEYYt4PnGRhFh3tldi3OJj5NB26k/view?usp=drivesdk")</f>
        <v>https://drive.google.com/file/d/1ULj0xEYYt4PnGRhFh3tldi3OJj5NB26k/view?usp=drivesdk</v>
      </c>
      <c r="C95" s="159" t="str">
        <f>IFERROR(__xludf.DUMMYFUNCTION("""COMPUTED_VALUE"""),"10.1017--s0332586520000207.pdf")</f>
        <v>10.1017--s0332586520000207.pdf</v>
      </c>
      <c r="D95" s="159" t="str">
        <f>IFERROR(__xludf.DUMMYFUNCTION("""COMPUTED_VALUE"""),"application/pdf")</f>
        <v>application/pdf</v>
      </c>
    </row>
    <row r="96">
      <c r="A96" s="159" t="str">
        <f>IFERROR(__xludf.DUMMYFUNCTION("""COMPUTED_VALUE"""),"10.1037/0096-3445.123.4.354")</f>
        <v>10.1037/0096-3445.123.4.354</v>
      </c>
      <c r="B96" s="680" t="str">
        <f>IFERROR(__xludf.DUMMYFUNCTION("""COMPUTED_VALUE"""),"https://drive.google.com/file/d/1Cl_bhQK8v54MXWA0asHAVTOQsGBmVgeF/view?usp=drivesdk")</f>
        <v>https://drive.google.com/file/d/1Cl_bhQK8v54MXWA0asHAVTOQsGBmVgeF/view?usp=drivesdk</v>
      </c>
      <c r="C96" s="159" t="str">
        <f>IFERROR(__xludf.DUMMYFUNCTION("""COMPUTED_VALUE"""),"10.1037--0096-3445.123.4.354.pdf")</f>
        <v>10.1037--0096-3445.123.4.354.pdf</v>
      </c>
      <c r="D96" s="159" t="str">
        <f>IFERROR(__xludf.DUMMYFUNCTION("""COMPUTED_VALUE"""),"application/pdf")</f>
        <v>application/pdf</v>
      </c>
    </row>
    <row r="97">
      <c r="A97" s="159" t="str">
        <f>IFERROR(__xludf.DUMMYFUNCTION("""COMPUTED_VALUE"""),"10.1080/713752305")</f>
        <v>10.1080/713752305</v>
      </c>
      <c r="B97" s="680" t="str">
        <f>IFERROR(__xludf.DUMMYFUNCTION("""COMPUTED_VALUE"""),"https://drive.google.com/file/d/1WZWw_PikGWpe0UjzA-0YzGcUU1gaANlf/view?usp=drivesdk")</f>
        <v>https://drive.google.com/file/d/1WZWw_PikGWpe0UjzA-0YzGcUU1gaANlf/view?usp=drivesdk</v>
      </c>
      <c r="C97" s="159" t="str">
        <f>IFERROR(__xludf.DUMMYFUNCTION("""COMPUTED_VALUE"""),"10.1080--713752305.pdf")</f>
        <v>10.1080--713752305.pdf</v>
      </c>
      <c r="D97" s="159" t="str">
        <f>IFERROR(__xludf.DUMMYFUNCTION("""COMPUTED_VALUE"""),"application/pdf")</f>
        <v>application/pdf</v>
      </c>
    </row>
    <row r="98">
      <c r="A98" s="159" t="str">
        <f>IFERROR(__xludf.DUMMYFUNCTION("""COMPUTED_VALUE"""),"10.1207/s15327752jpa4102_3")</f>
        <v>10.1207/s15327752jpa4102_3</v>
      </c>
      <c r="B98" s="680" t="str">
        <f>IFERROR(__xludf.DUMMYFUNCTION("""COMPUTED_VALUE"""),"https://drive.google.com/file/d/1axaXT4rtzHBGD4wDXJRqh6moKKGzrQpk/view?usp=drivesdk")</f>
        <v>https://drive.google.com/file/d/1axaXT4rtzHBGD4wDXJRqh6moKKGzrQpk/view?usp=drivesdk</v>
      </c>
      <c r="C98" s="159" t="str">
        <f>IFERROR(__xludf.DUMMYFUNCTION("""COMPUTED_VALUE"""),"10.1207--s15327752jpa4102_3.pdf")</f>
        <v>10.1207--s15327752jpa4102_3.pdf</v>
      </c>
      <c r="D98" s="159" t="str">
        <f>IFERROR(__xludf.DUMMYFUNCTION("""COMPUTED_VALUE"""),"application/pdf")</f>
        <v>application/pdf</v>
      </c>
    </row>
    <row r="99">
      <c r="A99" s="159" t="str">
        <f>IFERROR(__xludf.DUMMYFUNCTION("""COMPUTED_VALUE"""),"10.48550/arxiv.2306.17193")</f>
        <v>10.48550/arxiv.2306.17193</v>
      </c>
      <c r="B99" s="680" t="str">
        <f>IFERROR(__xludf.DUMMYFUNCTION("""COMPUTED_VALUE"""),"https://drive.google.com/file/d/1VXyFU5WFfC1FO2psakTulc0z1izW81lJ/view?usp=drivesdk")</f>
        <v>https://drive.google.com/file/d/1VXyFU5WFfC1FO2psakTulc0z1izW81lJ/view?usp=drivesdk</v>
      </c>
      <c r="C99" s="159" t="str">
        <f>IFERROR(__xludf.DUMMYFUNCTION("""COMPUTED_VALUE"""),"10.48550--arxiv.2306.17193.pdf")</f>
        <v>10.48550--arxiv.2306.17193.pdf</v>
      </c>
      <c r="D99" s="159" t="str">
        <f>IFERROR(__xludf.DUMMYFUNCTION("""COMPUTED_VALUE"""),"application/pdf")</f>
        <v>application/pdf</v>
      </c>
    </row>
    <row r="100">
      <c r="A100" s="159" t="str">
        <f>IFERROR(__xludf.DUMMYFUNCTION("""COMPUTED_VALUE"""),"10.1111/j.1526-4610.2005.05026.x")</f>
        <v>10.1111/j.1526-4610.2005.05026.x</v>
      </c>
      <c r="B100" s="680" t="str">
        <f>IFERROR(__xludf.DUMMYFUNCTION("""COMPUTED_VALUE"""),"https://drive.google.com/file/d/1ayz59rYJXmoCKSgC2DibFJVBoRC4uLXE/view?usp=drivesdk")</f>
        <v>https://drive.google.com/file/d/1ayz59rYJXmoCKSgC2DibFJVBoRC4uLXE/view?usp=drivesdk</v>
      </c>
      <c r="C100" s="159" t="str">
        <f>IFERROR(__xludf.DUMMYFUNCTION("""COMPUTED_VALUE"""),"10.1111--j.1526-4610.2005.05026.x.pdf")</f>
        <v>10.1111--j.1526-4610.2005.05026.x.pdf</v>
      </c>
      <c r="D100" s="159" t="str">
        <f>IFERROR(__xludf.DUMMYFUNCTION("""COMPUTED_VALUE"""),"application/pdf")</f>
        <v>application/pdf</v>
      </c>
    </row>
    <row r="101">
      <c r="A101" s="159" t="str">
        <f>IFERROR(__xludf.DUMMYFUNCTION("""COMPUTED_VALUE"""),"10.1101/lm.246906")</f>
        <v>10.1101/lm.246906</v>
      </c>
      <c r="B101" s="680" t="str">
        <f>IFERROR(__xludf.DUMMYFUNCTION("""COMPUTED_VALUE"""),"https://drive.google.com/file/d/1r1YIMMGetvjFPWmRhqMbhCLgcuhpRowu/view?usp=drivesdk")</f>
        <v>https://drive.google.com/file/d/1r1YIMMGetvjFPWmRhqMbhCLgcuhpRowu/view?usp=drivesdk</v>
      </c>
      <c r="C101" s="159" t="str">
        <f>IFERROR(__xludf.DUMMYFUNCTION("""COMPUTED_VALUE"""),"10.1101--lm.246906.pdf")</f>
        <v>10.1101--lm.246906.pdf</v>
      </c>
      <c r="D101" s="159" t="str">
        <f>IFERROR(__xludf.DUMMYFUNCTION("""COMPUTED_VALUE"""),"application/pdf")</f>
        <v>application/pdf</v>
      </c>
    </row>
    <row r="102">
      <c r="A102" s="159" t="str">
        <f>IFERROR(__xludf.DUMMYFUNCTION("""COMPUTED_VALUE"""),"10.1038/s41598-021-93712-9")</f>
        <v>10.1038/s41598-021-93712-9</v>
      </c>
      <c r="B102" s="680" t="str">
        <f>IFERROR(__xludf.DUMMYFUNCTION("""COMPUTED_VALUE"""),"https://drive.google.com/file/d/1t79F8JODLXX8zjN4u-pVuQxyC30Co3C2/view?usp=drivesdk")</f>
        <v>https://drive.google.com/file/d/1t79F8JODLXX8zjN4u-pVuQxyC30Co3C2/view?usp=drivesdk</v>
      </c>
      <c r="C102" s="159" t="str">
        <f>IFERROR(__xludf.DUMMYFUNCTION("""COMPUTED_VALUE"""),"10.1038--s41598-021-93712-9.pdf")</f>
        <v>10.1038--s41598-021-93712-9.pdf</v>
      </c>
      <c r="D102" s="159" t="str">
        <f>IFERROR(__xludf.DUMMYFUNCTION("""COMPUTED_VALUE"""),"application/pdf")</f>
        <v>application/pdf</v>
      </c>
    </row>
    <row r="103">
      <c r="A103" s="159" t="str">
        <f>IFERROR(__xludf.DUMMYFUNCTION("""COMPUTED_VALUE"""),"10.1046/j.1360-0443.91.12s1.16.x")</f>
        <v>10.1046/j.1360-0443.91.12s1.16.x</v>
      </c>
      <c r="B103" s="680" t="str">
        <f>IFERROR(__xludf.DUMMYFUNCTION("""COMPUTED_VALUE"""),"https://drive.google.com/file/d/1-UOlW5XqV6MD2C_IhA-YCvzY1uowlniC/view?usp=drivesdk")</f>
        <v>https://drive.google.com/file/d/1-UOlW5XqV6MD2C_IhA-YCvzY1uowlniC/view?usp=drivesdk</v>
      </c>
      <c r="C103" s="159" t="str">
        <f>IFERROR(__xludf.DUMMYFUNCTION("""COMPUTED_VALUE"""),"10.1046--j.1360-0443.91.12s1.16.x.pdf")</f>
        <v>10.1046--j.1360-0443.91.12s1.16.x.pdf</v>
      </c>
      <c r="D103" s="159" t="str">
        <f>IFERROR(__xludf.DUMMYFUNCTION("""COMPUTED_VALUE"""),"application/pdf")</f>
        <v>application/pdf</v>
      </c>
    </row>
    <row r="104">
      <c r="A104" s="159" t="str">
        <f>IFERROR(__xludf.DUMMYFUNCTION("""COMPUTED_VALUE"""),"10.1364/josaa.26.000b84")</f>
        <v>10.1364/josaa.26.000b84</v>
      </c>
      <c r="B104" s="680" t="str">
        <f>IFERROR(__xludf.DUMMYFUNCTION("""COMPUTED_VALUE"""),"https://drive.google.com/file/d/1ytAmCn1ivvRleP1IxskSCrIaBjtXD88I/view?usp=drivesdk")</f>
        <v>https://drive.google.com/file/d/1ytAmCn1ivvRleP1IxskSCrIaBjtXD88I/view?usp=drivesdk</v>
      </c>
      <c r="C104" s="159" t="str">
        <f>IFERROR(__xludf.DUMMYFUNCTION("""COMPUTED_VALUE"""),"10.1364--josaa.26.000b84.pdf")</f>
        <v>10.1364--josaa.26.000b84.pdf</v>
      </c>
      <c r="D104" s="159" t="str">
        <f>IFERROR(__xludf.DUMMYFUNCTION("""COMPUTED_VALUE"""),"application/pdf")</f>
        <v>application/pdf</v>
      </c>
    </row>
    <row r="105">
      <c r="A105" s="159" t="str">
        <f>IFERROR(__xludf.DUMMYFUNCTION("""COMPUTED_VALUE"""),"10.1016/j.eneco.2018.02.016")</f>
        <v>10.1016/j.eneco.2018.02.016</v>
      </c>
      <c r="B105" s="680" t="str">
        <f>IFERROR(__xludf.DUMMYFUNCTION("""COMPUTED_VALUE"""),"https://drive.google.com/file/d/1oAqpBrrYQjA6vc2tae5AgAHj0e5j46KU/view?usp=drivesdk")</f>
        <v>https://drive.google.com/file/d/1oAqpBrrYQjA6vc2tae5AgAHj0e5j46KU/view?usp=drivesdk</v>
      </c>
      <c r="C105" s="159" t="str">
        <f>IFERROR(__xludf.DUMMYFUNCTION("""COMPUTED_VALUE"""),"10.1016--j.eneco.2018.02.016.pdf")</f>
        <v>10.1016--j.eneco.2018.02.016.pdf</v>
      </c>
      <c r="D105" s="159" t="str">
        <f>IFERROR(__xludf.DUMMYFUNCTION("""COMPUTED_VALUE"""),"application/pdf")</f>
        <v>application/pdf</v>
      </c>
    </row>
    <row r="106">
      <c r="A106" s="159" t="str">
        <f>IFERROR(__xludf.DUMMYFUNCTION("""COMPUTED_VALUE"""),"10.1159/000275398")</f>
        <v>10.1159/000275398</v>
      </c>
      <c r="B106" s="680" t="str">
        <f>IFERROR(__xludf.DUMMYFUNCTION("""COMPUTED_VALUE"""),"https://drive.google.com/file/d/1bmWrFqxL_O6PsEVGbUgJuu0COV-P_Bcb/view?usp=drivesdk")</f>
        <v>https://drive.google.com/file/d/1bmWrFqxL_O6PsEVGbUgJuu0COV-P_Bcb/view?usp=drivesdk</v>
      </c>
      <c r="C106" s="159" t="str">
        <f>IFERROR(__xludf.DUMMYFUNCTION("""COMPUTED_VALUE"""),"10.1159--000275398.pdf")</f>
        <v>10.1159--000275398.pdf</v>
      </c>
      <c r="D106" s="159" t="str">
        <f>IFERROR(__xludf.DUMMYFUNCTION("""COMPUTED_VALUE"""),"application/pdf")</f>
        <v>application/pdf</v>
      </c>
    </row>
    <row r="107">
      <c r="A107" s="159" t="str">
        <f>IFERROR(__xludf.DUMMYFUNCTION("""COMPUTED_VALUE"""),"10.1089/cyber.2020.0802")</f>
        <v>10.1089/cyber.2020.0802</v>
      </c>
      <c r="B107" s="680" t="str">
        <f>IFERROR(__xludf.DUMMYFUNCTION("""COMPUTED_VALUE"""),"https://drive.google.com/file/d/15JDWmhNvYl1CI_UINodvQ0hVISaOdPI1/view?usp=drivesdk")</f>
        <v>https://drive.google.com/file/d/15JDWmhNvYl1CI_UINodvQ0hVISaOdPI1/view?usp=drivesdk</v>
      </c>
      <c r="C107" s="159" t="str">
        <f>IFERROR(__xludf.DUMMYFUNCTION("""COMPUTED_VALUE"""),"10.1089--cyber.2020.0802.pdf")</f>
        <v>10.1089--cyber.2020.0802.pdf</v>
      </c>
      <c r="D107" s="159" t="str">
        <f>IFERROR(__xludf.DUMMYFUNCTION("""COMPUTED_VALUE"""),"application/pdf")</f>
        <v>application/pdf</v>
      </c>
    </row>
    <row r="108">
      <c r="A108" s="159" t="str">
        <f>IFERROR(__xludf.DUMMYFUNCTION("""COMPUTED_VALUE"""),"10.1029/rs014i06sp00141")</f>
        <v>10.1029/rs014i06sp00141</v>
      </c>
      <c r="B108" s="680" t="str">
        <f>IFERROR(__xludf.DUMMYFUNCTION("""COMPUTED_VALUE"""),"https://drive.google.com/file/d/1_r8Dl--P-nyGuFsvY6deTH575O8TxUd2/view?usp=drivesdk")</f>
        <v>https://drive.google.com/file/d/1_r8Dl--P-nyGuFsvY6deTH575O8TxUd2/view?usp=drivesdk</v>
      </c>
      <c r="C108" s="159" t="str">
        <f>IFERROR(__xludf.DUMMYFUNCTION("""COMPUTED_VALUE"""),"10.1029--rs014i06sp00141.pdf")</f>
        <v>10.1029--rs014i06sp00141.pdf</v>
      </c>
      <c r="D108" s="159" t="str">
        <f>IFERROR(__xludf.DUMMYFUNCTION("""COMPUTED_VALUE"""),"application/pdf")</f>
        <v>application/pdf</v>
      </c>
    </row>
    <row r="109">
      <c r="A109" s="159" t="str">
        <f>IFERROR(__xludf.DUMMYFUNCTION("""COMPUTED_VALUE"""),"10.1002/bem.2250010104")</f>
        <v>10.1002/bem.2250010104</v>
      </c>
      <c r="B109" s="680" t="str">
        <f>IFERROR(__xludf.DUMMYFUNCTION("""COMPUTED_VALUE"""),"https://drive.google.com/file/d/10uXckZVKbmBi2KfICIORMpixLvSDSaAu/view?usp=drivesdk")</f>
        <v>https://drive.google.com/file/d/10uXckZVKbmBi2KfICIORMpixLvSDSaAu/view?usp=drivesdk</v>
      </c>
      <c r="C109" s="159" t="str">
        <f>IFERROR(__xludf.DUMMYFUNCTION("""COMPUTED_VALUE"""),"10.1002--bem.2250010104.pdf")</f>
        <v>10.1002--bem.2250010104.pdf</v>
      </c>
      <c r="D109" s="159" t="str">
        <f>IFERROR(__xludf.DUMMYFUNCTION("""COMPUTED_VALUE"""),"application/pdf")</f>
        <v>application/pdf</v>
      </c>
    </row>
    <row r="110">
      <c r="A110" s="159" t="str">
        <f>IFERROR(__xludf.DUMMYFUNCTION("""COMPUTED_VALUE"""),"10.1037/h0076690")</f>
        <v>10.1037/h0076690</v>
      </c>
      <c r="B110" s="680" t="str">
        <f>IFERROR(__xludf.DUMMYFUNCTION("""COMPUTED_VALUE"""),"https://drive.google.com/file/d/12z0CbwHw-GDSZ5uK0gL2UnGz05VtNJoS/view?usp=drivesdk")</f>
        <v>https://drive.google.com/file/d/12z0CbwHw-GDSZ5uK0gL2UnGz05VtNJoS/view?usp=drivesdk</v>
      </c>
      <c r="C110" s="159" t="str">
        <f>IFERROR(__xludf.DUMMYFUNCTION("""COMPUTED_VALUE"""),"10.1037--h0076690.pdf")</f>
        <v>10.1037--h0076690.pdf</v>
      </c>
      <c r="D110" s="159" t="str">
        <f>IFERROR(__xludf.DUMMYFUNCTION("""COMPUTED_VALUE"""),"application/pdf")</f>
        <v>application/pdf</v>
      </c>
    </row>
    <row r="111">
      <c r="A111" s="159" t="str">
        <f>IFERROR(__xludf.DUMMYFUNCTION("""COMPUTED_VALUE"""),"10.2466/pr0.94.3.767-770")</f>
        <v>10.2466/pr0.94.3.767-770</v>
      </c>
      <c r="B111" s="680" t="str">
        <f>IFERROR(__xludf.DUMMYFUNCTION("""COMPUTED_VALUE"""),"https://drive.google.com/file/d/1h4tj6gs3cwdA7EmUn5eG6haLPzVx23z1/view?usp=drivesdk")</f>
        <v>https://drive.google.com/file/d/1h4tj6gs3cwdA7EmUn5eG6haLPzVx23z1/view?usp=drivesdk</v>
      </c>
      <c r="C111" s="159" t="str">
        <f>IFERROR(__xludf.DUMMYFUNCTION("""COMPUTED_VALUE"""),"10.2466--pr0.94.3.767-770.pdf")</f>
        <v>10.2466--pr0.94.3.767-770.pdf</v>
      </c>
      <c r="D111" s="159" t="str">
        <f>IFERROR(__xludf.DUMMYFUNCTION("""COMPUTED_VALUE"""),"application/pdf")</f>
        <v>application/pdf</v>
      </c>
    </row>
    <row r="112">
      <c r="A112" s="159" t="str">
        <f>IFERROR(__xludf.DUMMYFUNCTION("""COMPUTED_VALUE"""),"10.1016/s0277-9536(98)00442-0")</f>
        <v>10.1016/s0277-9536(98)00442-0</v>
      </c>
      <c r="B112" s="680" t="str">
        <f>IFERROR(__xludf.DUMMYFUNCTION("""COMPUTED_VALUE"""),"https://drive.google.com/file/d/1C5DkQ_r6mZDLeszv5zdshv1kswT2ZX3E/view?usp=drivesdk")</f>
        <v>https://drive.google.com/file/d/1C5DkQ_r6mZDLeszv5zdshv1kswT2ZX3E/view?usp=drivesdk</v>
      </c>
      <c r="C112" s="159" t="str">
        <f>IFERROR(__xludf.DUMMYFUNCTION("""COMPUTED_VALUE"""),"10.1016--s0277-9536(98)00442-0.pdf")</f>
        <v>10.1016--s0277-9536(98)00442-0.pdf</v>
      </c>
      <c r="D112" s="159" t="str">
        <f>IFERROR(__xludf.DUMMYFUNCTION("""COMPUTED_VALUE"""),"application/pdf")</f>
        <v>application/pdf</v>
      </c>
    </row>
    <row r="113">
      <c r="A113" s="159" t="str">
        <f>IFERROR(__xludf.DUMMYFUNCTION("""COMPUTED_VALUE"""),"10.3109/09638288.2012.760658")</f>
        <v>10.3109/09638288.2012.760658</v>
      </c>
      <c r="B113" s="680" t="str">
        <f>IFERROR(__xludf.DUMMYFUNCTION("""COMPUTED_VALUE"""),"https://drive.google.com/file/d/1UPTTtWzAtBP_-U-btm70m7_N0NftfSLH/view?usp=drivesdk")</f>
        <v>https://drive.google.com/file/d/1UPTTtWzAtBP_-U-btm70m7_N0NftfSLH/view?usp=drivesdk</v>
      </c>
      <c r="C113" s="159" t="str">
        <f>IFERROR(__xludf.DUMMYFUNCTION("""COMPUTED_VALUE"""),"10.3109--09638288.2012.760658.pdf")</f>
        <v>10.3109--09638288.2012.760658.pdf</v>
      </c>
      <c r="D113" s="159" t="str">
        <f>IFERROR(__xludf.DUMMYFUNCTION("""COMPUTED_VALUE"""),"application/pdf")</f>
        <v>application/pdf</v>
      </c>
    </row>
    <row r="114">
      <c r="A114" s="159" t="str">
        <f>IFERROR(__xludf.DUMMYFUNCTION("""COMPUTED_VALUE"""),"10.3390/educsci7030066")</f>
        <v>10.3390/educsci7030066</v>
      </c>
      <c r="B114" s="680" t="str">
        <f>IFERROR(__xludf.DUMMYFUNCTION("""COMPUTED_VALUE"""),"https://drive.google.com/file/d/1yl5sjfN0hm-cPqTcUhw0GllLsKcpyuEU/view?usp=drivesdk")</f>
        <v>https://drive.google.com/file/d/1yl5sjfN0hm-cPqTcUhw0GllLsKcpyuEU/view?usp=drivesdk</v>
      </c>
      <c r="C114" s="159" t="str">
        <f>IFERROR(__xludf.DUMMYFUNCTION("""COMPUTED_VALUE"""),"10.3390--educsci7030066.pdf")</f>
        <v>10.3390--educsci7030066.pdf</v>
      </c>
      <c r="D114" s="159" t="str">
        <f>IFERROR(__xludf.DUMMYFUNCTION("""COMPUTED_VALUE"""),"application/pdf")</f>
        <v>application/pdf</v>
      </c>
    </row>
    <row r="115">
      <c r="A115" s="159" t="str">
        <f>IFERROR(__xludf.DUMMYFUNCTION("""COMPUTED_VALUE"""),"10.2147/nss.s221472")</f>
        <v>10.2147/nss.s221472</v>
      </c>
      <c r="B115" s="680" t="str">
        <f>IFERROR(__xludf.DUMMYFUNCTION("""COMPUTED_VALUE"""),"https://drive.google.com/file/d/1aZZ0pO-8npqLlPjKBcAkFoT0g0Cpa256/view?usp=drivesdk")</f>
        <v>https://drive.google.com/file/d/1aZZ0pO-8npqLlPjKBcAkFoT0g0Cpa256/view?usp=drivesdk</v>
      </c>
      <c r="C115" s="159" t="str">
        <f>IFERROR(__xludf.DUMMYFUNCTION("""COMPUTED_VALUE"""),"10.2147--nss.s221472.pdf")</f>
        <v>10.2147--nss.s221472.pdf</v>
      </c>
      <c r="D115" s="159" t="str">
        <f>IFERROR(__xludf.DUMMYFUNCTION("""COMPUTED_VALUE"""),"application/pdf")</f>
        <v>application/pdf</v>
      </c>
    </row>
    <row r="116">
      <c r="A116" s="159" t="str">
        <f>IFERROR(__xludf.DUMMYFUNCTION("""COMPUTED_VALUE"""),"10.1207/s15327906mbr0102_10")</f>
        <v>10.1207/s15327906mbr0102_10</v>
      </c>
      <c r="B116" s="680" t="str">
        <f>IFERROR(__xludf.DUMMYFUNCTION("""COMPUTED_VALUE"""),"https://drive.google.com/file/d/1HV7Gy6rRVSXj6uNuUxSOsxU7bGb-tKkw/view?usp=drivesdk")</f>
        <v>https://drive.google.com/file/d/1HV7Gy6rRVSXj6uNuUxSOsxU7bGb-tKkw/view?usp=drivesdk</v>
      </c>
      <c r="C116" s="159" t="str">
        <f>IFERROR(__xludf.DUMMYFUNCTION("""COMPUTED_VALUE"""),"10.1207--s15327906mbr0102_10.pdf")</f>
        <v>10.1207--s15327906mbr0102_10.pdf</v>
      </c>
      <c r="D116" s="159" t="str">
        <f>IFERROR(__xludf.DUMMYFUNCTION("""COMPUTED_VALUE"""),"application/pdf")</f>
        <v>application/pdf</v>
      </c>
    </row>
    <row r="117">
      <c r="A117" s="159" t="str">
        <f>IFERROR(__xludf.DUMMYFUNCTION("""COMPUTED_VALUE"""),"10.1207/s15327906mbr0704_3")</f>
        <v>10.1207/s15327906mbr0704_3</v>
      </c>
      <c r="B117" s="680" t="str">
        <f>IFERROR(__xludf.DUMMYFUNCTION("""COMPUTED_VALUE"""),"https://drive.google.com/file/d/1xf-9W0t0IsYSmu1MJKhOE28red9OCaEH/view?usp=drivesdk")</f>
        <v>https://drive.google.com/file/d/1xf-9W0t0IsYSmu1MJKhOE28red9OCaEH/view?usp=drivesdk</v>
      </c>
      <c r="C117" s="159" t="str">
        <f>IFERROR(__xludf.DUMMYFUNCTION("""COMPUTED_VALUE"""),"10.1207--s15327906mbr0704_3.pdf")</f>
        <v>10.1207--s15327906mbr0704_3.pdf</v>
      </c>
      <c r="D117" s="159" t="str">
        <f>IFERROR(__xludf.DUMMYFUNCTION("""COMPUTED_VALUE"""),"application/pdf")</f>
        <v>application/pdf</v>
      </c>
    </row>
    <row r="118">
      <c r="A118" s="159" t="str">
        <f>IFERROR(__xludf.DUMMYFUNCTION("""COMPUTED_VALUE"""),"10.1016/j.chb.2017.05.023")</f>
        <v>10.1016/j.chb.2017.05.023</v>
      </c>
      <c r="B118" s="680" t="str">
        <f>IFERROR(__xludf.DUMMYFUNCTION("""COMPUTED_VALUE"""),"https://drive.google.com/file/d/1ntT2EAi57UdDMlC-AIndSlSXJYQCMY0i/view?usp=drivesdk")</f>
        <v>https://drive.google.com/file/d/1ntT2EAi57UdDMlC-AIndSlSXJYQCMY0i/view?usp=drivesdk</v>
      </c>
      <c r="C118" s="159" t="str">
        <f>IFERROR(__xludf.DUMMYFUNCTION("""COMPUTED_VALUE"""),"10.1016--j.chb.2017.05.023.pdf")</f>
        <v>10.1016--j.chb.2017.05.023.pdf</v>
      </c>
      <c r="D118" s="159" t="str">
        <f>IFERROR(__xludf.DUMMYFUNCTION("""COMPUTED_VALUE"""),"application/pdf")</f>
        <v>application/pdf</v>
      </c>
    </row>
    <row r="119">
      <c r="A119" s="159" t="str">
        <f>IFERROR(__xludf.DUMMYFUNCTION("""COMPUTED_VALUE"""),"10.15123/uel.883wy")</f>
        <v>10.15123/uel.883wy</v>
      </c>
      <c r="B119" s="680" t="str">
        <f>IFERROR(__xludf.DUMMYFUNCTION("""COMPUTED_VALUE"""),"https://drive.google.com/file/d/1xBMrGD1muxDf8zko05ptOV5VzgybNtZC/view?usp=drivesdk")</f>
        <v>https://drive.google.com/file/d/1xBMrGD1muxDf8zko05ptOV5VzgybNtZC/view?usp=drivesdk</v>
      </c>
      <c r="C119" s="159" t="str">
        <f>IFERROR(__xludf.DUMMYFUNCTION("""COMPUTED_VALUE"""),"10.15123--uel.883wy.pdf")</f>
        <v>10.15123--uel.883wy.pdf</v>
      </c>
      <c r="D119" s="159" t="str">
        <f>IFERROR(__xludf.DUMMYFUNCTION("""COMPUTED_VALUE"""),"application/pdf")</f>
        <v>application/pdf</v>
      </c>
    </row>
    <row r="120">
      <c r="A120" s="159" t="str">
        <f>IFERROR(__xludf.DUMMYFUNCTION("""COMPUTED_VALUE"""),"10.2308/accr.2007.82.5.1097")</f>
        <v>10.2308/accr.2007.82.5.1097</v>
      </c>
      <c r="B120" s="680" t="str">
        <f>IFERROR(__xludf.DUMMYFUNCTION("""COMPUTED_VALUE"""),"https://drive.google.com/file/d/193h763uT3URDbsrsWAZ3L9UwXrWs0l6Q/view?usp=drivesdk")</f>
        <v>https://drive.google.com/file/d/193h763uT3URDbsrsWAZ3L9UwXrWs0l6Q/view?usp=drivesdk</v>
      </c>
      <c r="C120" s="159" t="str">
        <f>IFERROR(__xludf.DUMMYFUNCTION("""COMPUTED_VALUE"""),"10.2308--accr.2007.82.5.1097.pdf")</f>
        <v>10.2308--accr.2007.82.5.1097.pdf</v>
      </c>
      <c r="D120" s="159" t="str">
        <f>IFERROR(__xludf.DUMMYFUNCTION("""COMPUTED_VALUE"""),"application/pdf")</f>
        <v>application/pdf</v>
      </c>
    </row>
    <row r="121">
      <c r="A121" s="159" t="str">
        <f>IFERROR(__xludf.DUMMYFUNCTION("""COMPUTED_VALUE"""),"10.1037/xlm0000198")</f>
        <v>10.1037/xlm0000198</v>
      </c>
      <c r="B121" s="680" t="str">
        <f>IFERROR(__xludf.DUMMYFUNCTION("""COMPUTED_VALUE"""),"https://drive.google.com/file/d/19nCdM9QKqKLXeT-RA3DcgdxgtlYB-Ve7/view?usp=drivesdk")</f>
        <v>https://drive.google.com/file/d/19nCdM9QKqKLXeT-RA3DcgdxgtlYB-Ve7/view?usp=drivesdk</v>
      </c>
      <c r="C121" s="159" t="str">
        <f>IFERROR(__xludf.DUMMYFUNCTION("""COMPUTED_VALUE"""),"10.1037--xlm0000198.pdf")</f>
        <v>10.1037--xlm0000198.pdf</v>
      </c>
      <c r="D121" s="159" t="str">
        <f>IFERROR(__xludf.DUMMYFUNCTION("""COMPUTED_VALUE"""),"application/pdf")</f>
        <v>application/pdf</v>
      </c>
    </row>
    <row r="122">
      <c r="A122" s="159" t="str">
        <f>IFERROR(__xludf.DUMMYFUNCTION("""COMPUTED_VALUE"""),"rajivan_2016")</f>
        <v>rajivan_2016</v>
      </c>
      <c r="B122" s="680" t="str">
        <f>IFERROR(__xludf.DUMMYFUNCTION("""COMPUTED_VALUE"""),"https://drive.google.com/file/d/1V2TV4amTynK9eVlBS23vd4B2tZ_G4yZc/view?usp=drivesdk")</f>
        <v>https://drive.google.com/file/d/1V2TV4amTynK9eVlBS23vd4B2tZ_G4yZc/view?usp=drivesdk</v>
      </c>
      <c r="C122" s="159" t="str">
        <f>IFERROR(__xludf.DUMMYFUNCTION("""COMPUTED_VALUE"""),"rajivan_2016.pdf")</f>
        <v>rajivan_2016.pdf</v>
      </c>
      <c r="D122" s="159" t="str">
        <f>IFERROR(__xludf.DUMMYFUNCTION("""COMPUTED_VALUE"""),"application/pdf")</f>
        <v>application/pdf</v>
      </c>
    </row>
    <row r="123">
      <c r="A123" s="159" t="str">
        <f>IFERROR(__xludf.DUMMYFUNCTION("""COMPUTED_VALUE"""),"10.3758/bf03203267")</f>
        <v>10.3758/bf03203267</v>
      </c>
      <c r="B123" s="680" t="str">
        <f>IFERROR(__xludf.DUMMYFUNCTION("""COMPUTED_VALUE"""),"https://drive.google.com/file/d/1m1-DpE_hThUjNmZ1zW35jURfmNfFfBTc/view?usp=drivesdk")</f>
        <v>https://drive.google.com/file/d/1m1-DpE_hThUjNmZ1zW35jURfmNfFfBTc/view?usp=drivesdk</v>
      </c>
      <c r="C123" s="159" t="str">
        <f>IFERROR(__xludf.DUMMYFUNCTION("""COMPUTED_VALUE"""),"10.3758--bf03203267.pdf")</f>
        <v>10.3758--bf03203267.pdf</v>
      </c>
      <c r="D123" s="159" t="str">
        <f>IFERROR(__xludf.DUMMYFUNCTION("""COMPUTED_VALUE"""),"application/pdf")</f>
        <v>application/pdf</v>
      </c>
    </row>
    <row r="124">
      <c r="A124" s="159" t="str">
        <f>IFERROR(__xludf.DUMMYFUNCTION("""COMPUTED_VALUE"""),"10.1007/s10804-012-9149-z")</f>
        <v>10.1007/s10804-012-9149-z</v>
      </c>
      <c r="B124" s="680" t="str">
        <f>IFERROR(__xludf.DUMMYFUNCTION("""COMPUTED_VALUE"""),"https://drive.google.com/file/d/1akTINvgw3VjFnf-4gJ3tqOBVu8bbjUdS/view?usp=drivesdk")</f>
        <v>https://drive.google.com/file/d/1akTINvgw3VjFnf-4gJ3tqOBVu8bbjUdS/view?usp=drivesdk</v>
      </c>
      <c r="C124" s="159" t="str">
        <f>IFERROR(__xludf.DUMMYFUNCTION("""COMPUTED_VALUE"""),"10.1007--s10804-012-9149-z.pdf")</f>
        <v>10.1007--s10804-012-9149-z.pdf</v>
      </c>
      <c r="D124" s="159" t="str">
        <f>IFERROR(__xludf.DUMMYFUNCTION("""COMPUTED_VALUE"""),"application/pdf")</f>
        <v>application/pdf</v>
      </c>
    </row>
    <row r="125">
      <c r="A125" s="159" t="str">
        <f>IFERROR(__xludf.DUMMYFUNCTION("""COMPUTED_VALUE"""),"10.1016/s0006-3223(01)01365-8")</f>
        <v>10.1016/s0006-3223(01)01365-8</v>
      </c>
      <c r="B125" s="680" t="str">
        <f>IFERROR(__xludf.DUMMYFUNCTION("""COMPUTED_VALUE"""),"https://drive.google.com/file/d/1Fa2tqyEQLnhy-bD4IF5qqvsIIMz57VT_/view?usp=drivesdk")</f>
        <v>https://drive.google.com/file/d/1Fa2tqyEQLnhy-bD4IF5qqvsIIMz57VT_/view?usp=drivesdk</v>
      </c>
      <c r="C125" s="159" t="str">
        <f>IFERROR(__xludf.DUMMYFUNCTION("""COMPUTED_VALUE"""),"10.1016--s0006-3223(01)01365-8.pdf")</f>
        <v>10.1016--s0006-3223(01)01365-8.pdf</v>
      </c>
      <c r="D125" s="159" t="str">
        <f>IFERROR(__xludf.DUMMYFUNCTION("""COMPUTED_VALUE"""),"application/pdf")</f>
        <v>application/pdf</v>
      </c>
    </row>
    <row r="126">
      <c r="A126" s="159" t="str">
        <f>IFERROR(__xludf.DUMMYFUNCTION("""COMPUTED_VALUE"""),"10.7287/peerj.preprints.226v1")</f>
        <v>10.7287/peerj.preprints.226v1</v>
      </c>
      <c r="B126" s="680" t="str">
        <f>IFERROR(__xludf.DUMMYFUNCTION("""COMPUTED_VALUE"""),"https://drive.google.com/file/d/1XASQSkL-FQgNTzpu5eGhvOEE1zmYwGK-/view?usp=drivesdk")</f>
        <v>https://drive.google.com/file/d/1XASQSkL-FQgNTzpu5eGhvOEE1zmYwGK-/view?usp=drivesdk</v>
      </c>
      <c r="C126" s="159" t="str">
        <f>IFERROR(__xludf.DUMMYFUNCTION("""COMPUTED_VALUE"""),"10.7287--peerj.preprints.226v1.pdf")</f>
        <v>10.7287--peerj.preprints.226v1.pdf</v>
      </c>
      <c r="D126" s="159" t="str">
        <f>IFERROR(__xludf.DUMMYFUNCTION("""COMPUTED_VALUE"""),"application/pdf")</f>
        <v>application/pdf</v>
      </c>
    </row>
    <row r="127">
      <c r="A127" s="159" t="str">
        <f>IFERROR(__xludf.DUMMYFUNCTION("""COMPUTED_VALUE"""),"10.1017/s1461145713000102")</f>
        <v>10.1017/s1461145713000102</v>
      </c>
      <c r="B127" s="680" t="str">
        <f>IFERROR(__xludf.DUMMYFUNCTION("""COMPUTED_VALUE"""),"https://drive.google.com/file/d/1tgWKJAiaqv_pD1JRdil6_s2keZY974Ww/view?usp=drivesdk")</f>
        <v>https://drive.google.com/file/d/1tgWKJAiaqv_pD1JRdil6_s2keZY974Ww/view?usp=drivesdk</v>
      </c>
      <c r="C127" s="159" t="str">
        <f>IFERROR(__xludf.DUMMYFUNCTION("""COMPUTED_VALUE"""),"10.1017--s1461145713000102.pdf")</f>
        <v>10.1017--s1461145713000102.pdf</v>
      </c>
      <c r="D127" s="159" t="str">
        <f>IFERROR(__xludf.DUMMYFUNCTION("""COMPUTED_VALUE"""),"application/pdf")</f>
        <v>application/pdf</v>
      </c>
    </row>
    <row r="128">
      <c r="A128" s="159" t="str">
        <f>IFERROR(__xludf.DUMMYFUNCTION("""COMPUTED_VALUE"""),"10.1017/s0954579407000600")</f>
        <v>10.1017/s0954579407000600</v>
      </c>
      <c r="B128" s="680" t="str">
        <f>IFERROR(__xludf.DUMMYFUNCTION("""COMPUTED_VALUE"""),"https://drive.google.com/file/d/1FO3sRWo8Zhkkp6rCrtESD2TC559uACed/view?usp=drivesdk")</f>
        <v>https://drive.google.com/file/d/1FO3sRWo8Zhkkp6rCrtESD2TC559uACed/view?usp=drivesdk</v>
      </c>
      <c r="C128" s="159" t="str">
        <f>IFERROR(__xludf.DUMMYFUNCTION("""COMPUTED_VALUE"""),"10.1017--s0954579407000600.pdf")</f>
        <v>10.1017--s0954579407000600.pdf</v>
      </c>
      <c r="D128" s="159" t="str">
        <f>IFERROR(__xludf.DUMMYFUNCTION("""COMPUTED_VALUE"""),"application/pdf")</f>
        <v>application/pdf</v>
      </c>
    </row>
    <row r="129">
      <c r="A129" s="159" t="str">
        <f>IFERROR(__xludf.DUMMYFUNCTION("""COMPUTED_VALUE"""),"10.1111/1469-8986.3920175")</f>
        <v>10.1111/1469-8986.3920175</v>
      </c>
      <c r="B129" s="680" t="str">
        <f>IFERROR(__xludf.DUMMYFUNCTION("""COMPUTED_VALUE"""),"https://drive.google.com/file/d/18ptYPoQXno9UferVISGOVHiyQPQM3BZ4/view?usp=drivesdk")</f>
        <v>https://drive.google.com/file/d/18ptYPoQXno9UferVISGOVHiyQPQM3BZ4/view?usp=drivesdk</v>
      </c>
      <c r="C129" s="159" t="str">
        <f>IFERROR(__xludf.DUMMYFUNCTION("""COMPUTED_VALUE"""),"10.1111--1469-8986.3920175.pdf")</f>
        <v>10.1111--1469-8986.3920175.pdf</v>
      </c>
      <c r="D129" s="159" t="str">
        <f>IFERROR(__xludf.DUMMYFUNCTION("""COMPUTED_VALUE"""),"application/pdf")</f>
        <v>application/pdf</v>
      </c>
    </row>
    <row r="130">
      <c r="A130" s="159" t="str">
        <f>IFERROR(__xludf.DUMMYFUNCTION("""COMPUTED_VALUE"""),"10.1038/nature07540")</f>
        <v>10.1038/nature07540</v>
      </c>
      <c r="B130" s="680" t="str">
        <f>IFERROR(__xludf.DUMMYFUNCTION("""COMPUTED_VALUE"""),"https://drive.google.com/file/d/1YNGGWPlq3EOw7KY9iIzlKEt9e2jVuJpr/view?usp=drivesdk")</f>
        <v>https://drive.google.com/file/d/1YNGGWPlq3EOw7KY9iIzlKEt9e2jVuJpr/view?usp=drivesdk</v>
      </c>
      <c r="C130" s="159" t="str">
        <f>IFERROR(__xludf.DUMMYFUNCTION("""COMPUTED_VALUE"""),"10.1038--nature07540.pdf")</f>
        <v>10.1038--nature07540.pdf</v>
      </c>
      <c r="D130" s="159" t="str">
        <f>IFERROR(__xludf.DUMMYFUNCTION("""COMPUTED_VALUE"""),"application/pdf")</f>
        <v>application/pdf</v>
      </c>
    </row>
    <row r="131">
      <c r="A131" s="159" t="str">
        <f>IFERROR(__xludf.DUMMYFUNCTION("""COMPUTED_VALUE"""),"10.1006/lmot.1996.0960")</f>
        <v>10.1006/lmot.1996.0960</v>
      </c>
      <c r="B131" s="680" t="str">
        <f>IFERROR(__xludf.DUMMYFUNCTION("""COMPUTED_VALUE"""),"https://drive.google.com/file/d/1r8wMO9hiyPE2sslwAH9hghvTFnujEcg1/view?usp=drivesdk")</f>
        <v>https://drive.google.com/file/d/1r8wMO9hiyPE2sslwAH9hghvTFnujEcg1/view?usp=drivesdk</v>
      </c>
      <c r="C131" s="159" t="str">
        <f>IFERROR(__xludf.DUMMYFUNCTION("""COMPUTED_VALUE"""),"10.1006--lmot.1996.0960.pdf")</f>
        <v>10.1006--lmot.1996.0960.pdf</v>
      </c>
      <c r="D131" s="159" t="str">
        <f>IFERROR(__xludf.DUMMYFUNCTION("""COMPUTED_VALUE"""),"application/pdf")</f>
        <v>application/pdf</v>
      </c>
    </row>
    <row r="132">
      <c r="A132" s="159" t="str">
        <f>IFERROR(__xludf.DUMMYFUNCTION("""COMPUTED_VALUE"""),"10.3758/bf03209840")</f>
        <v>10.3758/bf03209840</v>
      </c>
      <c r="B132" s="680" t="str">
        <f>IFERROR(__xludf.DUMMYFUNCTION("""COMPUTED_VALUE"""),"https://drive.google.com/file/d/1ZqZf1JWlUQIf5N74UTGwsFNqf_PH62V5/view?usp=drivesdk")</f>
        <v>https://drive.google.com/file/d/1ZqZf1JWlUQIf5N74UTGwsFNqf_PH62V5/view?usp=drivesdk</v>
      </c>
      <c r="C132" s="159" t="str">
        <f>IFERROR(__xludf.DUMMYFUNCTION("""COMPUTED_VALUE"""),"10.3758--bf03209840.pdf")</f>
        <v>10.3758--bf03209840.pdf</v>
      </c>
      <c r="D132" s="159" t="str">
        <f>IFERROR(__xludf.DUMMYFUNCTION("""COMPUTED_VALUE"""),"application/pdf")</f>
        <v>application/pdf</v>
      </c>
    </row>
    <row r="133">
      <c r="A133" s="159" t="str">
        <f>IFERROR(__xludf.DUMMYFUNCTION("""COMPUTED_VALUE"""),"10.1016/0023-9690(79)90057-2")</f>
        <v>10.1016/0023-9690(79)90057-2</v>
      </c>
      <c r="B133" s="680" t="str">
        <f>IFERROR(__xludf.DUMMYFUNCTION("""COMPUTED_VALUE"""),"https://drive.google.com/file/d/1yePqHvx_jdGaYv3agooyXALjn-i3ACuL/view?usp=drivesdk")</f>
        <v>https://drive.google.com/file/d/1yePqHvx_jdGaYv3agooyXALjn-i3ACuL/view?usp=drivesdk</v>
      </c>
      <c r="C133" s="159" t="str">
        <f>IFERROR(__xludf.DUMMYFUNCTION("""COMPUTED_VALUE"""),"10.1016--0023-9690(79)90057-2.pdf")</f>
        <v>10.1016--0023-9690(79)90057-2.pdf</v>
      </c>
      <c r="D133" s="159" t="str">
        <f>IFERROR(__xludf.DUMMYFUNCTION("""COMPUTED_VALUE"""),"application/pdf")</f>
        <v>application/pdf</v>
      </c>
    </row>
    <row r="134">
      <c r="A134" s="159" t="str">
        <f>IFERROR(__xludf.DUMMYFUNCTION("""COMPUTED_VALUE"""),"paredes_1999")</f>
        <v>paredes_1999</v>
      </c>
      <c r="B134" s="680" t="str">
        <f>IFERROR(__xludf.DUMMYFUNCTION("""COMPUTED_VALUE"""),"https://drive.google.com/file/d/1V_mEqyjyoaZRBUu9sHeeco-5r2wW4KVl/view?usp=drivesdk")</f>
        <v>https://drive.google.com/file/d/1V_mEqyjyoaZRBUu9sHeeco-5r2wW4KVl/view?usp=drivesdk</v>
      </c>
      <c r="C134" s="159" t="str">
        <f>IFERROR(__xludf.DUMMYFUNCTION("""COMPUTED_VALUE"""),"paredes_1999.pdf")</f>
        <v>paredes_1999.pdf</v>
      </c>
      <c r="D134" s="159" t="str">
        <f>IFERROR(__xludf.DUMMYFUNCTION("""COMPUTED_VALUE"""),"application/pdf")</f>
        <v>application/pdf</v>
      </c>
    </row>
    <row r="135">
      <c r="A135" s="159" t="str">
        <f>IFERROR(__xludf.DUMMYFUNCTION("""COMPUTED_VALUE"""),"10.1002/smj.4250160404")</f>
        <v>10.1002/smj.4250160404</v>
      </c>
      <c r="B135" s="680" t="str">
        <f>IFERROR(__xludf.DUMMYFUNCTION("""COMPUTED_VALUE"""),"https://drive.google.com/file/d/1G5Qviw8XtO41GX7dL24PkOvMmL8tph03/view?usp=drivesdk")</f>
        <v>https://drive.google.com/file/d/1G5Qviw8XtO41GX7dL24PkOvMmL8tph03/view?usp=drivesdk</v>
      </c>
      <c r="C135" s="159" t="str">
        <f>IFERROR(__xludf.DUMMYFUNCTION("""COMPUTED_VALUE"""),"10.1002--smj.4250160404.pdf")</f>
        <v>10.1002--smj.4250160404.pdf</v>
      </c>
      <c r="D135" s="159" t="str">
        <f>IFERROR(__xludf.DUMMYFUNCTION("""COMPUTED_VALUE"""),"application/pdf")</f>
        <v>application/pdf</v>
      </c>
    </row>
    <row r="136">
      <c r="A136" s="159" t="str">
        <f>IFERROR(__xludf.DUMMYFUNCTION("""COMPUTED_VALUE"""),"mohammadi_2015")</f>
        <v>mohammadi_2015</v>
      </c>
      <c r="B136" s="680" t="str">
        <f>IFERROR(__xludf.DUMMYFUNCTION("""COMPUTED_VALUE"""),"https://drive.google.com/file/d/10hNsDQfNQQHgcBiecBmwg1Tftn1ooNPb/view?usp=drivesdk")</f>
        <v>https://drive.google.com/file/d/10hNsDQfNQQHgcBiecBmwg1Tftn1ooNPb/view?usp=drivesdk</v>
      </c>
      <c r="C136" s="159" t="str">
        <f>IFERROR(__xludf.DUMMYFUNCTION("""COMPUTED_VALUE"""),"mohammadi_2015.pdf")</f>
        <v>mohammadi_2015.pdf</v>
      </c>
      <c r="D136" s="159" t="str">
        <f>IFERROR(__xludf.DUMMYFUNCTION("""COMPUTED_VALUE"""),"application/pdf")</f>
        <v>application/pdf</v>
      </c>
    </row>
    <row r="137">
      <c r="A137" s="159" t="str">
        <f>IFERROR(__xludf.DUMMYFUNCTION("""COMPUTED_VALUE"""),"10.1007/978-3-319-75596-0_10")</f>
        <v>10.1007/978-3-319-75596-0_10</v>
      </c>
      <c r="B137" s="680" t="str">
        <f>IFERROR(__xludf.DUMMYFUNCTION("""COMPUTED_VALUE"""),"https://drive.google.com/file/d/1hnnNGSKPjqAKc1DctPTLlnORNcOSTjyk/view?usp=drivesdk")</f>
        <v>https://drive.google.com/file/d/1hnnNGSKPjqAKc1DctPTLlnORNcOSTjyk/view?usp=drivesdk</v>
      </c>
      <c r="C137" s="159" t="str">
        <f>IFERROR(__xludf.DUMMYFUNCTION("""COMPUTED_VALUE"""),"10.1007--978-3-319-75596-0_10.pdf")</f>
        <v>10.1007--978-3-319-75596-0_10.pdf</v>
      </c>
      <c r="D137" s="159" t="str">
        <f>IFERROR(__xludf.DUMMYFUNCTION("""COMPUTED_VALUE"""),"application/pdf")</f>
        <v>application/pdf</v>
      </c>
    </row>
    <row r="138">
      <c r="A138" s="159" t="str">
        <f>IFERROR(__xludf.DUMMYFUNCTION("""COMPUTED_VALUE"""),"10.59720/20-132")</f>
        <v>10.59720/20-132</v>
      </c>
      <c r="B138" s="680" t="str">
        <f>IFERROR(__xludf.DUMMYFUNCTION("""COMPUTED_VALUE"""),"https://drive.google.com/file/d/1CYwgHNXPOtEkrV6hlVdBzNXsI9UjjZck/view?usp=drivesdk")</f>
        <v>https://drive.google.com/file/d/1CYwgHNXPOtEkrV6hlVdBzNXsI9UjjZck/view?usp=drivesdk</v>
      </c>
      <c r="C138" s="159" t="str">
        <f>IFERROR(__xludf.DUMMYFUNCTION("""COMPUTED_VALUE"""),"10.59720--20-132.pdf")</f>
        <v>10.59720--20-132.pdf</v>
      </c>
      <c r="D138" s="159" t="str">
        <f>IFERROR(__xludf.DUMMYFUNCTION("""COMPUTED_VALUE"""),"application/pdf")</f>
        <v>application/pdf</v>
      </c>
    </row>
    <row r="139">
      <c r="A139" s="159" t="str">
        <f>IFERROR(__xludf.DUMMYFUNCTION("""COMPUTED_VALUE"""),"10.1037/0022-006x.46.1.175")</f>
        <v>10.1037/0022-006x.46.1.175</v>
      </c>
      <c r="B139" s="680" t="str">
        <f>IFERROR(__xludf.DUMMYFUNCTION("""COMPUTED_VALUE"""),"https://drive.google.com/file/d/1TcYkwMS63A27yw5XV4K3HW1QwQUCFArI/view?usp=drivesdk")</f>
        <v>https://drive.google.com/file/d/1TcYkwMS63A27yw5XV4K3HW1QwQUCFArI/view?usp=drivesdk</v>
      </c>
      <c r="C139" s="159" t="str">
        <f>IFERROR(__xludf.DUMMYFUNCTION("""COMPUTED_VALUE"""),"10.1037--0022-006x.46.1.175.pdf")</f>
        <v>10.1037--0022-006x.46.1.175.pdf</v>
      </c>
      <c r="D139" s="159" t="str">
        <f>IFERROR(__xludf.DUMMYFUNCTION("""COMPUTED_VALUE"""),"application/pdf")</f>
        <v>application/pdf</v>
      </c>
    </row>
    <row r="140">
      <c r="A140" s="159" t="str">
        <f>IFERROR(__xludf.DUMMYFUNCTION("""COMPUTED_VALUE"""),"woods_1979")</f>
        <v>woods_1979</v>
      </c>
      <c r="B140" s="680" t="str">
        <f>IFERROR(__xludf.DUMMYFUNCTION("""COMPUTED_VALUE"""),"https://drive.google.com/file/d/1MXikMVt_qnEBoOkPPlKfeE-pEGIz-8Ps/view?usp=drivesdk")</f>
        <v>https://drive.google.com/file/d/1MXikMVt_qnEBoOkPPlKfeE-pEGIz-8Ps/view?usp=drivesdk</v>
      </c>
      <c r="C140" s="159" t="str">
        <f>IFERROR(__xludf.DUMMYFUNCTION("""COMPUTED_VALUE"""),"Woods_1979.pdf")</f>
        <v>Woods_1979.pdf</v>
      </c>
      <c r="D140" s="159" t="str">
        <f>IFERROR(__xludf.DUMMYFUNCTION("""COMPUTED_VALUE"""),"application/pdf")</f>
        <v>application/pdf</v>
      </c>
    </row>
    <row r="141">
      <c r="A141" s="159" t="str">
        <f>IFERROR(__xludf.DUMMYFUNCTION("""COMPUTED_VALUE"""),"10.1086/340780")</f>
        <v>10.1086/340780</v>
      </c>
      <c r="B141" s="680" t="str">
        <f>IFERROR(__xludf.DUMMYFUNCTION("""COMPUTED_VALUE"""),"https://drive.google.com/file/d/1pis5HDyutK6buUux_j_a4w1U3bntxqmQ/view?usp=drivesdk")</f>
        <v>https://drive.google.com/file/d/1pis5HDyutK6buUux_j_a4w1U3bntxqmQ/view?usp=drivesdk</v>
      </c>
      <c r="C141" s="159" t="str">
        <f>IFERROR(__xludf.DUMMYFUNCTION("""COMPUTED_VALUE"""),"10.1086--340780.pdf")</f>
        <v>10.1086--340780.pdf</v>
      </c>
      <c r="D141" s="159" t="str">
        <f>IFERROR(__xludf.DUMMYFUNCTION("""COMPUTED_VALUE"""),"application/pdf")</f>
        <v>application/pdf</v>
      </c>
    </row>
    <row r="142">
      <c r="A142" s="159" t="str">
        <f>IFERROR(__xludf.DUMMYFUNCTION("""COMPUTED_VALUE"""),"bryant, j _ 2003")</f>
        <v>bryant, j _ 2003</v>
      </c>
      <c r="B142" s="680" t="str">
        <f>IFERROR(__xludf.DUMMYFUNCTION("""COMPUTED_VALUE"""),"https://drive.google.com/file/d/1Wl5_YotezrRI9wtNdcR-qx0VHpzcxVxB/view?usp=drivesdk")</f>
        <v>https://drive.google.com/file/d/1Wl5_YotezrRI9wtNdcR-qx0VHpzcxVxB/view?usp=drivesdk</v>
      </c>
      <c r="C142" s="159" t="str">
        <f>IFERROR(__xludf.DUMMYFUNCTION("""COMPUTED_VALUE"""),"bryant, j _ 2003.pdf")</f>
        <v>bryant, j _ 2003.pdf</v>
      </c>
      <c r="D142" s="159" t="str">
        <f>IFERROR(__xludf.DUMMYFUNCTION("""COMPUTED_VALUE"""),"application/pdf")</f>
        <v>application/pdf</v>
      </c>
    </row>
    <row r="143">
      <c r="A143" s="159" t="str">
        <f>IFERROR(__xludf.DUMMYFUNCTION("""COMPUTED_VALUE"""),"10.1038/ng.299")</f>
        <v>10.1038/ng.299</v>
      </c>
      <c r="B143" s="680" t="str">
        <f>IFERROR(__xludf.DUMMYFUNCTION("""COMPUTED_VALUE"""),"https://drive.google.com/file/d/1j0051ydbJxXGyxm_I4AtSLXtv_eqVt4R/view?usp=drivesdk")</f>
        <v>https://drive.google.com/file/d/1j0051ydbJxXGyxm_I4AtSLXtv_eqVt4R/view?usp=drivesdk</v>
      </c>
      <c r="C143" s="159" t="str">
        <f>IFERROR(__xludf.DUMMYFUNCTION("""COMPUTED_VALUE"""),"10.1038--ng.299.pdf")</f>
        <v>10.1038--ng.299.pdf</v>
      </c>
      <c r="D143" s="159" t="str">
        <f>IFERROR(__xludf.DUMMYFUNCTION("""COMPUTED_VALUE"""),"application/pdf")</f>
        <v>application/pdf</v>
      </c>
    </row>
    <row r="144">
      <c r="A144" s="159" t="str">
        <f>IFERROR(__xludf.DUMMYFUNCTION("""COMPUTED_VALUE"""),"10.1016/j.dss.2008.11.010")</f>
        <v>10.1016/j.dss.2008.11.010</v>
      </c>
      <c r="B144" s="680" t="str">
        <f>IFERROR(__xludf.DUMMYFUNCTION("""COMPUTED_VALUE"""),"https://drive.google.com/file/d/1epsE3F38SKv3ikP0rrbj-olcBdYkgsd2/view?usp=drivesdk")</f>
        <v>https://drive.google.com/file/d/1epsE3F38SKv3ikP0rrbj-olcBdYkgsd2/view?usp=drivesdk</v>
      </c>
      <c r="C144" s="159" t="str">
        <f>IFERROR(__xludf.DUMMYFUNCTION("""COMPUTED_VALUE"""),"10.1016--j.dss.2008.11.010.pdf")</f>
        <v>10.1016--j.dss.2008.11.010.pdf</v>
      </c>
      <c r="D144" s="159" t="str">
        <f>IFERROR(__xludf.DUMMYFUNCTION("""COMPUTED_VALUE"""),"application/pdf")</f>
        <v>application/pdf</v>
      </c>
    </row>
    <row r="145">
      <c r="A145" s="159" t="str">
        <f>IFERROR(__xludf.DUMMYFUNCTION("""COMPUTED_VALUE"""),"10.1037/xlm0000469")</f>
        <v>10.1037/xlm0000469</v>
      </c>
      <c r="B145" s="680" t="str">
        <f>IFERROR(__xludf.DUMMYFUNCTION("""COMPUTED_VALUE"""),"https://drive.google.com/file/d/1Blx-vWWG1WcN67wYpSMF2Z-LJqLFMQKP/view?usp=drivesdk")</f>
        <v>https://drive.google.com/file/d/1Blx-vWWG1WcN67wYpSMF2Z-LJqLFMQKP/view?usp=drivesdk</v>
      </c>
      <c r="C145" s="159" t="str">
        <f>IFERROR(__xludf.DUMMYFUNCTION("""COMPUTED_VALUE"""),"10.1037--xlm0000469.pdf")</f>
        <v>10.1037--xlm0000469.pdf</v>
      </c>
      <c r="D145" s="159" t="str">
        <f>IFERROR(__xludf.DUMMYFUNCTION("""COMPUTED_VALUE"""),"application/pdf")</f>
        <v>application/pdf</v>
      </c>
    </row>
    <row r="146">
      <c r="A146" s="159" t="str">
        <f>IFERROR(__xludf.DUMMYFUNCTION("""COMPUTED_VALUE"""),"10.1177/1555343415570055")</f>
        <v>10.1177/1555343415570055</v>
      </c>
      <c r="B146" s="680" t="str">
        <f>IFERROR(__xludf.DUMMYFUNCTION("""COMPUTED_VALUE"""),"https://drive.google.com/file/d/1YvWTGpU69yjrijigm4Tg7uB-g8S99RQr/view?usp=drivesdk")</f>
        <v>https://drive.google.com/file/d/1YvWTGpU69yjrijigm4Tg7uB-g8S99RQr/view?usp=drivesdk</v>
      </c>
      <c r="C146" s="159" t="str">
        <f>IFERROR(__xludf.DUMMYFUNCTION("""COMPUTED_VALUE"""),"10.1177--1555343415570055.pdf")</f>
        <v>10.1177--1555343415570055.pdf</v>
      </c>
      <c r="D146" s="159" t="str">
        <f>IFERROR(__xludf.DUMMYFUNCTION("""COMPUTED_VALUE"""),"application/pdf")</f>
        <v>application/pdf</v>
      </c>
    </row>
    <row r="147">
      <c r="A147" s="159" t="str">
        <f>IFERROR(__xludf.DUMMYFUNCTION("""COMPUTED_VALUE"""),"10.1177/1541931213601691")</f>
        <v>10.1177/1541931213601691</v>
      </c>
      <c r="B147" s="680" t="str">
        <f>IFERROR(__xludf.DUMMYFUNCTION("""COMPUTED_VALUE"""),"https://drive.google.com/file/d/1NCgcv6bDMg5zpF-XCONliJ0kSaYfcaG-/view?usp=drivesdk")</f>
        <v>https://drive.google.com/file/d/1NCgcv6bDMg5zpF-XCONliJ0kSaYfcaG-/view?usp=drivesdk</v>
      </c>
      <c r="C147" s="159" t="str">
        <f>IFERROR(__xludf.DUMMYFUNCTION("""COMPUTED_VALUE"""),"10.1177--1541931213601691.pdf")</f>
        <v>10.1177--1541931213601691.pdf</v>
      </c>
      <c r="D147" s="159" t="str">
        <f>IFERROR(__xludf.DUMMYFUNCTION("""COMPUTED_VALUE"""),"application/pdf")</f>
        <v>application/pdf</v>
      </c>
    </row>
    <row r="148">
      <c r="A148" s="159" t="str">
        <f>IFERROR(__xludf.DUMMYFUNCTION("""COMPUTED_VALUE"""),"10.31234/osf.io/y9v2h")</f>
        <v>10.31234/osf.io/y9v2h</v>
      </c>
      <c r="B148" s="680" t="str">
        <f>IFERROR(__xludf.DUMMYFUNCTION("""COMPUTED_VALUE"""),"https://drive.google.com/file/d/1E7MZdZwf8AtTUPtQ8Jcbj6b63opuTF2K/view?usp=drivesdk")</f>
        <v>https://drive.google.com/file/d/1E7MZdZwf8AtTUPtQ8Jcbj6b63opuTF2K/view?usp=drivesdk</v>
      </c>
      <c r="C148" s="159" t="str">
        <f>IFERROR(__xludf.DUMMYFUNCTION("""COMPUTED_VALUE"""),"10.31234--osf.io--y9v2h.pdf")</f>
        <v>10.31234--osf.io--y9v2h.pdf</v>
      </c>
      <c r="D148" s="159" t="str">
        <f>IFERROR(__xludf.DUMMYFUNCTION("""COMPUTED_VALUE"""),"application/pdf")</f>
        <v>application/pdf</v>
      </c>
    </row>
    <row r="149">
      <c r="A149" s="159" t="str">
        <f>IFERROR(__xludf.DUMMYFUNCTION("""COMPUTED_VALUE"""),"10.1126/science.1239918")</f>
        <v>10.1126/science.1239918</v>
      </c>
      <c r="B149" s="680" t="str">
        <f>IFERROR(__xludf.DUMMYFUNCTION("""COMPUTED_VALUE"""),"https://drive.google.com/file/d/16w-mzwoY4czOLW1CWtNqG_1fcM557vJf/view?usp=drivesdk")</f>
        <v>https://drive.google.com/file/d/16w-mzwoY4czOLW1CWtNqG_1fcM557vJf/view?usp=drivesdk</v>
      </c>
      <c r="C149" s="159" t="str">
        <f>IFERROR(__xludf.DUMMYFUNCTION("""COMPUTED_VALUE"""),"10.1126--science.1239918.pdf")</f>
        <v>10.1126--science.1239918.pdf</v>
      </c>
      <c r="D149" s="159" t="str">
        <f>IFERROR(__xludf.DUMMYFUNCTION("""COMPUTED_VALUE"""),"application/pdf")</f>
        <v>application/pdf</v>
      </c>
    </row>
    <row r="150">
      <c r="A150" s="159" t="str">
        <f>IFERROR(__xludf.DUMMYFUNCTION("""COMPUTED_VALUE"""),"10.31234/osf.io/ht2ej")</f>
        <v>10.31234/osf.io/ht2ej</v>
      </c>
      <c r="B150" s="680" t="str">
        <f>IFERROR(__xludf.DUMMYFUNCTION("""COMPUTED_VALUE"""),"https://drive.google.com/file/d/1rKuBUEScIJ7rXUSapIlRHQUtL1xTiyM9/view?usp=drivesdk")</f>
        <v>https://drive.google.com/file/d/1rKuBUEScIJ7rXUSapIlRHQUtL1xTiyM9/view?usp=drivesdk</v>
      </c>
      <c r="C150" s="159" t="str">
        <f>IFERROR(__xludf.DUMMYFUNCTION("""COMPUTED_VALUE"""),"10.31234--osf.io--ht2ej.pdf")</f>
        <v>10.31234--osf.io--ht2ej.pdf</v>
      </c>
      <c r="D150" s="159" t="str">
        <f>IFERROR(__xludf.DUMMYFUNCTION("""COMPUTED_VALUE"""),"application/pdf")</f>
        <v>application/pdf</v>
      </c>
    </row>
    <row r="151">
      <c r="A151" s="159" t="str">
        <f>IFERROR(__xludf.DUMMYFUNCTION("""COMPUTED_VALUE"""),"10.1093/schbul/sbaa030.331")</f>
        <v>10.1093/schbul/sbaa030.331</v>
      </c>
      <c r="B151" s="680" t="str">
        <f>IFERROR(__xludf.DUMMYFUNCTION("""COMPUTED_VALUE"""),"https://drive.google.com/file/d/1Hk3ZIq6ws4oxMyfnuAZo0PwJMZLJvESM/view?usp=drivesdk")</f>
        <v>https://drive.google.com/file/d/1Hk3ZIq6ws4oxMyfnuAZo0PwJMZLJvESM/view?usp=drivesdk</v>
      </c>
      <c r="C151" s="159" t="str">
        <f>IFERROR(__xludf.DUMMYFUNCTION("""COMPUTED_VALUE"""),"10.1093--schbul--sbaa030.331.pdf")</f>
        <v>10.1093--schbul--sbaa030.331.pdf</v>
      </c>
      <c r="D151" s="159" t="str">
        <f>IFERROR(__xludf.DUMMYFUNCTION("""COMPUTED_VALUE"""),"application/pdf")</f>
        <v>application/pdf</v>
      </c>
    </row>
    <row r="152">
      <c r="A152" s="159" t="str">
        <f>IFERROR(__xludf.DUMMYFUNCTION("""COMPUTED_VALUE"""),"10.1111/j.2044-8295.1979.tb02137.x")</f>
        <v>10.1111/j.2044-8295.1979.tb02137.x</v>
      </c>
      <c r="B152" s="680" t="str">
        <f>IFERROR(__xludf.DUMMYFUNCTION("""COMPUTED_VALUE"""),"https://drive.google.com/file/d/19oxBMKNS9qCof9fd9KIMOAZbYSM-xeI6/view?usp=drivesdk")</f>
        <v>https://drive.google.com/file/d/19oxBMKNS9qCof9fd9KIMOAZbYSM-xeI6/view?usp=drivesdk</v>
      </c>
      <c r="C152" s="159" t="str">
        <f>IFERROR(__xludf.DUMMYFUNCTION("""COMPUTED_VALUE"""),"10.1111--j.2044-8295.1979.tb02137.x.pdf")</f>
        <v>10.1111--j.2044-8295.1979.tb02137.x.pdf</v>
      </c>
      <c r="D152" s="159" t="str">
        <f>IFERROR(__xludf.DUMMYFUNCTION("""COMPUTED_VALUE"""),"application/pdf")</f>
        <v>application/pdf</v>
      </c>
    </row>
    <row r="153">
      <c r="A153" s="159" t="str">
        <f>IFERROR(__xludf.DUMMYFUNCTION("""COMPUTED_VALUE"""),"10.1027/1614-0001.27.4.218")</f>
        <v>10.1027/1614-0001.27.4.218</v>
      </c>
      <c r="B153" s="680" t="str">
        <f>IFERROR(__xludf.DUMMYFUNCTION("""COMPUTED_VALUE"""),"https://drive.google.com/file/d/1Vc_D3k0PQUa8FKQ8tMUhY46UtrqFrXFd/view?usp=drivesdk")</f>
        <v>https://drive.google.com/file/d/1Vc_D3k0PQUa8FKQ8tMUhY46UtrqFrXFd/view?usp=drivesdk</v>
      </c>
      <c r="C153" s="159" t="str">
        <f>IFERROR(__xludf.DUMMYFUNCTION("""COMPUTED_VALUE"""),"10.1027--1614-0001.27.4.218.pdf")</f>
        <v>10.1027--1614-0001.27.4.218.pdf</v>
      </c>
      <c r="D153" s="159" t="str">
        <f>IFERROR(__xludf.DUMMYFUNCTION("""COMPUTED_VALUE"""),"application/pdf")</f>
        <v>application/pdf</v>
      </c>
    </row>
    <row r="154">
      <c r="A154" s="159" t="str">
        <f>IFERROR(__xludf.DUMMYFUNCTION("""COMPUTED_VALUE"""),"10.1080/14681994.2012.732262")</f>
        <v>10.1080/14681994.2012.732262</v>
      </c>
      <c r="B154" s="680" t="str">
        <f>IFERROR(__xludf.DUMMYFUNCTION("""COMPUTED_VALUE"""),"https://drive.google.com/file/d/1L3K6cyxwdoM_ElhMNZkpITUKreDDRz2J/view?usp=drivesdk")</f>
        <v>https://drive.google.com/file/d/1L3K6cyxwdoM_ElhMNZkpITUKreDDRz2J/view?usp=drivesdk</v>
      </c>
      <c r="C154" s="159" t="str">
        <f>IFERROR(__xludf.DUMMYFUNCTION("""COMPUTED_VALUE"""),"10.1080--14681994.2012.732262.pdf")</f>
        <v>10.1080--14681994.2012.732262.pdf</v>
      </c>
      <c r="D154" s="159" t="str">
        <f>IFERROR(__xludf.DUMMYFUNCTION("""COMPUTED_VALUE"""),"application/pdf")</f>
        <v>application/pdf</v>
      </c>
    </row>
    <row r="155">
      <c r="A155" s="159" t="str">
        <f>IFERROR(__xludf.DUMMYFUNCTION("""COMPUTED_VALUE"""),"10.1159/000499085")</f>
        <v>10.1159/000499085</v>
      </c>
      <c r="B155" s="680" t="str">
        <f>IFERROR(__xludf.DUMMYFUNCTION("""COMPUTED_VALUE"""),"https://drive.google.com/file/d/1kJ-E0Ox6RWOTIqmyX5aoD_9UfhIzgxu_/view?usp=drivesdk")</f>
        <v>https://drive.google.com/file/d/1kJ-E0Ox6RWOTIqmyX5aoD_9UfhIzgxu_/view?usp=drivesdk</v>
      </c>
      <c r="C155" s="159" t="str">
        <f>IFERROR(__xludf.DUMMYFUNCTION("""COMPUTED_VALUE"""),"10.1159--000499085.pdf")</f>
        <v>10.1159--000499085.pdf</v>
      </c>
      <c r="D155" s="159" t="str">
        <f>IFERROR(__xludf.DUMMYFUNCTION("""COMPUTED_VALUE"""),"application/pdf")</f>
        <v>application/pdf</v>
      </c>
    </row>
    <row r="156">
      <c r="A156" s="159" t="str">
        <f>IFERROR(__xludf.DUMMYFUNCTION("""COMPUTED_VALUE"""),"10.3758/bf03210977")</f>
        <v>10.3758/bf03210977</v>
      </c>
      <c r="B156" s="680" t="str">
        <f>IFERROR(__xludf.DUMMYFUNCTION("""COMPUTED_VALUE"""),"https://drive.google.com/file/d/1MQQg7eQGUW4ZH3CDYGhL5RWF3F4xeVWo/view?usp=drivesdk")</f>
        <v>https://drive.google.com/file/d/1MQQg7eQGUW4ZH3CDYGhL5RWF3F4xeVWo/view?usp=drivesdk</v>
      </c>
      <c r="C156" s="159" t="str">
        <f>IFERROR(__xludf.DUMMYFUNCTION("""COMPUTED_VALUE"""),"10.3758--bf03210977.pdf")</f>
        <v>10.3758--bf03210977.pdf</v>
      </c>
      <c r="D156" s="159" t="str">
        <f>IFERROR(__xludf.DUMMYFUNCTION("""COMPUTED_VALUE"""),"application/pdf")</f>
        <v>application/pdf</v>
      </c>
    </row>
    <row r="157">
      <c r="A157" s="159" t="str">
        <f>IFERROR(__xludf.DUMMYFUNCTION("""COMPUTED_VALUE"""),"10.1046/j.1467-9450.2003.00363.x")</f>
        <v>10.1046/j.1467-9450.2003.00363.x</v>
      </c>
      <c r="B157" s="680" t="str">
        <f>IFERROR(__xludf.DUMMYFUNCTION("""COMPUTED_VALUE"""),"https://drive.google.com/file/d/1N7nDgaBzk42hti9URRWIZ8mTZQWQuxwr/view?usp=drivesdk")</f>
        <v>https://drive.google.com/file/d/1N7nDgaBzk42hti9URRWIZ8mTZQWQuxwr/view?usp=drivesdk</v>
      </c>
      <c r="C157" s="159" t="str">
        <f>IFERROR(__xludf.DUMMYFUNCTION("""COMPUTED_VALUE"""),"10.1046--j.1467-9450.2003.00363.x.pdf")</f>
        <v>10.1046--j.1467-9450.2003.00363.x.pdf</v>
      </c>
      <c r="D157" s="159" t="str">
        <f>IFERROR(__xludf.DUMMYFUNCTION("""COMPUTED_VALUE"""),"application/pdf")</f>
        <v>application/pdf</v>
      </c>
    </row>
    <row r="158">
      <c r="A158" s="159" t="str">
        <f>IFERROR(__xludf.DUMMYFUNCTION("""COMPUTED_VALUE"""),"10.1037/h0055756")</f>
        <v>10.1037/h0055756</v>
      </c>
      <c r="B158" s="680" t="str">
        <f>IFERROR(__xludf.DUMMYFUNCTION("""COMPUTED_VALUE"""),"https://drive.google.com/file/d/1LLDMvfGDIHASGSzr2BgwNUBJ2q7JSt_z/view?usp=drivesdk")</f>
        <v>https://drive.google.com/file/d/1LLDMvfGDIHASGSzr2BgwNUBJ2q7JSt_z/view?usp=drivesdk</v>
      </c>
      <c r="C158" s="159" t="str">
        <f>IFERROR(__xludf.DUMMYFUNCTION("""COMPUTED_VALUE"""),"10.1037--h0055756.pdf")</f>
        <v>10.1037--h0055756.pdf</v>
      </c>
      <c r="D158" s="159" t="str">
        <f>IFERROR(__xludf.DUMMYFUNCTION("""COMPUTED_VALUE"""),"application/pdf")</f>
        <v>application/pdf</v>
      </c>
    </row>
    <row r="159">
      <c r="A159" s="159" t="str">
        <f>IFERROR(__xludf.DUMMYFUNCTION("""COMPUTED_VALUE"""),"10.1177/1948550618771003")</f>
        <v>10.1177/1948550618771003</v>
      </c>
      <c r="B159" s="680" t="str">
        <f>IFERROR(__xludf.DUMMYFUNCTION("""COMPUTED_VALUE"""),"https://drive.google.com/file/d/1iORUGWJ6uN1MPn4Te8nymn89Wwv8IC4X/view?usp=drivesdk")</f>
        <v>https://drive.google.com/file/d/1iORUGWJ6uN1MPn4Te8nymn89Wwv8IC4X/view?usp=drivesdk</v>
      </c>
      <c r="C159" s="159" t="str">
        <f>IFERROR(__xludf.DUMMYFUNCTION("""COMPUTED_VALUE"""),"10.1177--1948550618771003.pdf")</f>
        <v>10.1177--1948550618771003.pdf</v>
      </c>
      <c r="D159" s="159" t="str">
        <f>IFERROR(__xludf.DUMMYFUNCTION("""COMPUTED_VALUE"""),"application/pdf")</f>
        <v>application/pdf</v>
      </c>
    </row>
    <row r="160">
      <c r="A160" s="159" t="str">
        <f>IFERROR(__xludf.DUMMYFUNCTION("""COMPUTED_VALUE"""),"10.1097/wnp.0b013e3181727c95")</f>
        <v>10.1097/wnp.0b013e3181727c95</v>
      </c>
      <c r="B160" s="680" t="str">
        <f>IFERROR(__xludf.DUMMYFUNCTION("""COMPUTED_VALUE"""),"https://drive.google.com/file/d/1Q4tWNYAEmSd5oUv_H8sbaIDyNh6nvCOi/view?usp=drivesdk")</f>
        <v>https://drive.google.com/file/d/1Q4tWNYAEmSd5oUv_H8sbaIDyNh6nvCOi/view?usp=drivesdk</v>
      </c>
      <c r="C160" s="159" t="str">
        <f>IFERROR(__xludf.DUMMYFUNCTION("""COMPUTED_VALUE"""),"10.1097--wnp.0b013e3181727c95.pdf")</f>
        <v>10.1097--wnp.0b013e3181727c95.pdf</v>
      </c>
      <c r="D160" s="159" t="str">
        <f>IFERROR(__xludf.DUMMYFUNCTION("""COMPUTED_VALUE"""),"application/pdf")</f>
        <v>application/pdf</v>
      </c>
    </row>
    <row r="161">
      <c r="A161" s="159" t="str">
        <f>IFERROR(__xludf.DUMMYFUNCTION("""COMPUTED_VALUE"""),"10.1016/j.jecp.2016.07.001")</f>
        <v>10.1016/j.jecp.2016.07.001</v>
      </c>
      <c r="B161" s="680" t="str">
        <f>IFERROR(__xludf.DUMMYFUNCTION("""COMPUTED_VALUE"""),"https://drive.google.com/file/d/1Kx3HQWov5dqhoXoKcnW11Y8VDGMgvha1/view?usp=drivesdk")</f>
        <v>https://drive.google.com/file/d/1Kx3HQWov5dqhoXoKcnW11Y8VDGMgvha1/view?usp=drivesdk</v>
      </c>
      <c r="C161" s="159" t="str">
        <f>IFERROR(__xludf.DUMMYFUNCTION("""COMPUTED_VALUE"""),"10.1016--j.jecp.2016.07.001.pdf")</f>
        <v>10.1016--j.jecp.2016.07.001.pdf</v>
      </c>
      <c r="D161" s="159" t="str">
        <f>IFERROR(__xludf.DUMMYFUNCTION("""COMPUTED_VALUE"""),"application/pdf")</f>
        <v>application/pdf</v>
      </c>
    </row>
    <row r="162">
      <c r="A162" s="159" t="str">
        <f>IFERROR(__xludf.DUMMYFUNCTION("""COMPUTED_VALUE"""),"10.3389/fpsyg.2019.00441")</f>
        <v>10.3389/fpsyg.2019.00441</v>
      </c>
      <c r="B162" s="680" t="str">
        <f>IFERROR(__xludf.DUMMYFUNCTION("""COMPUTED_VALUE"""),"https://drive.google.com/file/d/1rqZZyyinJiaurCrPOaRT6RAn0ShPuKge/view?usp=drivesdk")</f>
        <v>https://drive.google.com/file/d/1rqZZyyinJiaurCrPOaRT6RAn0ShPuKge/view?usp=drivesdk</v>
      </c>
      <c r="C162" s="159" t="str">
        <f>IFERROR(__xludf.DUMMYFUNCTION("""COMPUTED_VALUE"""),"10.3389--fpsyg.2019.00441.pdf")</f>
        <v>10.3389--fpsyg.2019.00441.pdf</v>
      </c>
      <c r="D162" s="159" t="str">
        <f>IFERROR(__xludf.DUMMYFUNCTION("""COMPUTED_VALUE"""),"application/pdf")</f>
        <v>application/pdf</v>
      </c>
    </row>
    <row r="163">
      <c r="A163" s="159" t="str">
        <f>IFERROR(__xludf.DUMMYFUNCTION("""COMPUTED_VALUE"""),"10.1080/00344890600844780")</f>
        <v>10.1080/00344890600844780</v>
      </c>
      <c r="B163" s="680" t="str">
        <f>IFERROR(__xludf.DUMMYFUNCTION("""COMPUTED_VALUE"""),"https://drive.google.com/file/d/1avg5-7PhyPhRniShuf-ZoCyE-OnHjfrd/view?usp=drivesdk")</f>
        <v>https://drive.google.com/file/d/1avg5-7PhyPhRniShuf-ZoCyE-OnHjfrd/view?usp=drivesdk</v>
      </c>
      <c r="C163" s="159" t="str">
        <f>IFERROR(__xludf.DUMMYFUNCTION("""COMPUTED_VALUE"""),"10.1080--00344890600844780.pdf")</f>
        <v>10.1080--00344890600844780.pdf</v>
      </c>
      <c r="D163" s="159" t="str">
        <f>IFERROR(__xludf.DUMMYFUNCTION("""COMPUTED_VALUE"""),"application/pdf")</f>
        <v>application/pdf</v>
      </c>
    </row>
    <row r="164">
      <c r="A164" s="159" t="str">
        <f>IFERROR(__xludf.DUMMYFUNCTION("""COMPUTED_VALUE"""),"10.1186/s12866-014-0311-6")</f>
        <v>10.1186/s12866-014-0311-6</v>
      </c>
      <c r="B164" s="680" t="str">
        <f>IFERROR(__xludf.DUMMYFUNCTION("""COMPUTED_VALUE"""),"https://drive.google.com/file/d/11QjW5oKOXf8m7xflls94J-rfsOhzHuVk/view?usp=drivesdk")</f>
        <v>https://drive.google.com/file/d/11QjW5oKOXf8m7xflls94J-rfsOhzHuVk/view?usp=drivesdk</v>
      </c>
      <c r="C164" s="159" t="str">
        <f>IFERROR(__xludf.DUMMYFUNCTION("""COMPUTED_VALUE"""),"10.1186--s12866-014-0311-6.pdf")</f>
        <v>10.1186--s12866-014-0311-6.pdf</v>
      </c>
      <c r="D164" s="159" t="str">
        <f>IFERROR(__xludf.DUMMYFUNCTION("""COMPUTED_VALUE"""),"application/pdf")</f>
        <v>application/pdf</v>
      </c>
    </row>
    <row r="165">
      <c r="A165" s="159" t="str">
        <f>IFERROR(__xludf.DUMMYFUNCTION("""COMPUTED_VALUE"""),"10.1017/s0033291718002106")</f>
        <v>10.1017/s0033291718002106</v>
      </c>
      <c r="B165" s="680" t="str">
        <f>IFERROR(__xludf.DUMMYFUNCTION("""COMPUTED_VALUE"""),"https://drive.google.com/file/d/1TWOle5jZwF4mOpnWootwxqe8tRTjdKQq/view?usp=drivesdk")</f>
        <v>https://drive.google.com/file/d/1TWOle5jZwF4mOpnWootwxqe8tRTjdKQq/view?usp=drivesdk</v>
      </c>
      <c r="C165" s="159" t="str">
        <f>IFERROR(__xludf.DUMMYFUNCTION("""COMPUTED_VALUE"""),"10.1017--s0033291718002106.pdf")</f>
        <v>10.1017--s0033291718002106.pdf</v>
      </c>
      <c r="D165" s="159" t="str">
        <f>IFERROR(__xludf.DUMMYFUNCTION("""COMPUTED_VALUE"""),"application/pdf")</f>
        <v>application/pdf</v>
      </c>
    </row>
    <row r="166">
      <c r="A166" s="159" t="str">
        <f>IFERROR(__xludf.DUMMYFUNCTION("""COMPUTED_VALUE"""),"10.1007/s10608-024-10550-5")</f>
        <v>10.1007/s10608-024-10550-5</v>
      </c>
      <c r="B166" s="680" t="str">
        <f>IFERROR(__xludf.DUMMYFUNCTION("""COMPUTED_VALUE"""),"https://drive.google.com/file/d/1KfJWPGlenqI54sPbs5sq_AqblEnHdSY3/view?usp=drivesdk")</f>
        <v>https://drive.google.com/file/d/1KfJWPGlenqI54sPbs5sq_AqblEnHdSY3/view?usp=drivesdk</v>
      </c>
      <c r="C166" s="159" t="str">
        <f>IFERROR(__xludf.DUMMYFUNCTION("""COMPUTED_VALUE"""),"10.1007--s10608-024-10550-5.pdf")</f>
        <v>10.1007--s10608-024-10550-5.pdf</v>
      </c>
      <c r="D166" s="159" t="str">
        <f>IFERROR(__xludf.DUMMYFUNCTION("""COMPUTED_VALUE"""),"application/pdf")</f>
        <v>application/pdf</v>
      </c>
    </row>
    <row r="167">
      <c r="A167" s="159" t="str">
        <f>IFERROR(__xludf.DUMMYFUNCTION("""COMPUTED_VALUE"""),"10.2466/pms.1978.46.1.311")</f>
        <v>10.2466/pms.1978.46.1.311</v>
      </c>
      <c r="B167" s="680" t="str">
        <f>IFERROR(__xludf.DUMMYFUNCTION("""COMPUTED_VALUE"""),"https://drive.google.com/file/d/1UuBz2hxXUgsxBm2HBKh9q3O3b4sD1Fcg/view?usp=drivesdk")</f>
        <v>https://drive.google.com/file/d/1UuBz2hxXUgsxBm2HBKh9q3O3b4sD1Fcg/view?usp=drivesdk</v>
      </c>
      <c r="C167" s="159" t="str">
        <f>IFERROR(__xludf.DUMMYFUNCTION("""COMPUTED_VALUE"""),"10.2466--pms.1978.46.1.311.pdf")</f>
        <v>10.2466--pms.1978.46.1.311.pdf</v>
      </c>
      <c r="D167" s="159" t="str">
        <f>IFERROR(__xludf.DUMMYFUNCTION("""COMPUTED_VALUE"""),"application/pdf")</f>
        <v>application/pdf</v>
      </c>
    </row>
    <row r="168">
      <c r="A168" s="159" t="str">
        <f>IFERROR(__xludf.DUMMYFUNCTION("""COMPUTED_VALUE"""),"10.1207/s15327752jpa4305_2")</f>
        <v>10.1207/s15327752jpa4305_2</v>
      </c>
      <c r="B168" s="680" t="str">
        <f>IFERROR(__xludf.DUMMYFUNCTION("""COMPUTED_VALUE"""),"https://drive.google.com/file/d/1lHNTBQp12A45NMQfjKSi2RMvdNgLrNds/view?usp=drivesdk")</f>
        <v>https://drive.google.com/file/d/1lHNTBQp12A45NMQfjKSi2RMvdNgLrNds/view?usp=drivesdk</v>
      </c>
      <c r="C168" s="159" t="str">
        <f>IFERROR(__xludf.DUMMYFUNCTION("""COMPUTED_VALUE"""),"10.1207--s15327752jpa4305_2.pdf")</f>
        <v>10.1207--s15327752jpa4305_2.pdf</v>
      </c>
      <c r="D168" s="159" t="str">
        <f>IFERROR(__xludf.DUMMYFUNCTION("""COMPUTED_VALUE"""),"application/pdf")</f>
        <v>application/pdf</v>
      </c>
    </row>
    <row r="169">
      <c r="A169" s="159" t="str">
        <f>IFERROR(__xludf.DUMMYFUNCTION("""COMPUTED_VALUE"""),"10.1080/00036846.2019.1687838")</f>
        <v>10.1080/00036846.2019.1687838</v>
      </c>
      <c r="B169" s="680" t="str">
        <f>IFERROR(__xludf.DUMMYFUNCTION("""COMPUTED_VALUE"""),"https://drive.google.com/file/d/1QDwDxsBJX-4rWq9wiC5mRD5NSx0i1967/view?usp=drivesdk")</f>
        <v>https://drive.google.com/file/d/1QDwDxsBJX-4rWq9wiC5mRD5NSx0i1967/view?usp=drivesdk</v>
      </c>
      <c r="C169" s="159" t="str">
        <f>IFERROR(__xludf.DUMMYFUNCTION("""COMPUTED_VALUE"""),"10.1080--00036846.2019.1687838.pdf")</f>
        <v>10.1080--00036846.2019.1687838.pdf</v>
      </c>
      <c r="D169" s="159" t="str">
        <f>IFERROR(__xludf.DUMMYFUNCTION("""COMPUTED_VALUE"""),"application/pdf")</f>
        <v>application/pdf</v>
      </c>
    </row>
    <row r="170">
      <c r="A170" s="159" t="str">
        <f>IFERROR(__xludf.DUMMYFUNCTION("""COMPUTED_VALUE"""),"10.1111/j.1468-1331.2010.03251.x")</f>
        <v>10.1111/j.1468-1331.2010.03251.x</v>
      </c>
      <c r="B170" s="680" t="str">
        <f>IFERROR(__xludf.DUMMYFUNCTION("""COMPUTED_VALUE"""),"https://drive.google.com/file/d/1p2HVlW2MEPPRrDc6rba1Kcdv596SEGrz/view?usp=drivesdk")</f>
        <v>https://drive.google.com/file/d/1p2HVlW2MEPPRrDc6rba1Kcdv596SEGrz/view?usp=drivesdk</v>
      </c>
      <c r="C170" s="159" t="str">
        <f>IFERROR(__xludf.DUMMYFUNCTION("""COMPUTED_VALUE"""),"10.1111--j.1468-1331.2010.03251.x.pdf")</f>
        <v>10.1111--j.1468-1331.2010.03251.x.pdf</v>
      </c>
      <c r="D170" s="159" t="str">
        <f>IFERROR(__xludf.DUMMYFUNCTION("""COMPUTED_VALUE"""),"application/pdf")</f>
        <v>application/pdf</v>
      </c>
    </row>
    <row r="171">
      <c r="A171" s="159" t="str">
        <f>IFERROR(__xludf.DUMMYFUNCTION("""COMPUTED_VALUE"""),"10.1037/0096-1523.32.3.517")</f>
        <v>10.1037/0096-1523.32.3.517</v>
      </c>
      <c r="B171" s="680" t="str">
        <f>IFERROR(__xludf.DUMMYFUNCTION("""COMPUTED_VALUE"""),"https://drive.google.com/file/d/1ZdopqgK30uj2mX3BKIOp3BiuBSk4DNvw/view?usp=drivesdk")</f>
        <v>https://drive.google.com/file/d/1ZdopqgK30uj2mX3BKIOp3BiuBSk4DNvw/view?usp=drivesdk</v>
      </c>
      <c r="C171" s="159" t="str">
        <f>IFERROR(__xludf.DUMMYFUNCTION("""COMPUTED_VALUE"""),"10.1037--0096-1523.32.3.517.pdf")</f>
        <v>10.1037--0096-1523.32.3.517.pdf</v>
      </c>
      <c r="D171" s="159" t="str">
        <f>IFERROR(__xludf.DUMMYFUNCTION("""COMPUTED_VALUE"""),"application/pdf")</f>
        <v>application/pdf</v>
      </c>
    </row>
    <row r="172">
      <c r="A172" s="159" t="str">
        <f>IFERROR(__xludf.DUMMYFUNCTION("""COMPUTED_VALUE"""),"10.1037/0012-1649.22.4.562")</f>
        <v>10.1037/0012-1649.22.4.562</v>
      </c>
      <c r="B172" s="680" t="str">
        <f>IFERROR(__xludf.DUMMYFUNCTION("""COMPUTED_VALUE"""),"https://drive.google.com/file/d/1-AJEREsLEF5QsmLoFPB74T0mFzRMKxPy/view?usp=drivesdk")</f>
        <v>https://drive.google.com/file/d/1-AJEREsLEF5QsmLoFPB74T0mFzRMKxPy/view?usp=drivesdk</v>
      </c>
      <c r="C172" s="159" t="str">
        <f>IFERROR(__xludf.DUMMYFUNCTION("""COMPUTED_VALUE"""),"10.1037--0012-1649.22.4.562.pdf")</f>
        <v>10.1037--0012-1649.22.4.562.pdf</v>
      </c>
      <c r="D172" s="159" t="str">
        <f>IFERROR(__xludf.DUMMYFUNCTION("""COMPUTED_VALUE"""),"application/pdf")</f>
        <v>application/pdf</v>
      </c>
    </row>
    <row r="173">
      <c r="A173" s="159" t="str">
        <f>IFERROR(__xludf.DUMMYFUNCTION("""COMPUTED_VALUE"""),"10.1080/17470218.2011.645840")</f>
        <v>10.1080/17470218.2011.645840</v>
      </c>
      <c r="B173" s="680" t="str">
        <f>IFERROR(__xludf.DUMMYFUNCTION("""COMPUTED_VALUE"""),"https://drive.google.com/file/d/1KEXUiIYvvznwoIQwVZ2426vrZy8om463/view?usp=drivesdk")</f>
        <v>https://drive.google.com/file/d/1KEXUiIYvvznwoIQwVZ2426vrZy8om463/view?usp=drivesdk</v>
      </c>
      <c r="C173" s="159" t="str">
        <f>IFERROR(__xludf.DUMMYFUNCTION("""COMPUTED_VALUE"""),"10.1080--17470218.2011.645840.pdf")</f>
        <v>10.1080--17470218.2011.645840.pdf</v>
      </c>
      <c r="D173" s="159" t="str">
        <f>IFERROR(__xludf.DUMMYFUNCTION("""COMPUTED_VALUE"""),"application/pdf")</f>
        <v>application/pdf</v>
      </c>
    </row>
    <row r="174">
      <c r="A174" s="159" t="str">
        <f>IFERROR(__xludf.DUMMYFUNCTION("""COMPUTED_VALUE"""),"10.2139/ssrn.3336446")</f>
        <v>10.2139/ssrn.3336446</v>
      </c>
      <c r="B174" s="680" t="str">
        <f>IFERROR(__xludf.DUMMYFUNCTION("""COMPUTED_VALUE"""),"https://drive.google.com/file/d/1XnFT588PLi3BJSo7A3uZPv5olVqpt_GM/view?usp=drivesdk")</f>
        <v>https://drive.google.com/file/d/1XnFT588PLi3BJSo7A3uZPv5olVqpt_GM/view?usp=drivesdk</v>
      </c>
      <c r="C174" s="159" t="str">
        <f>IFERROR(__xludf.DUMMYFUNCTION("""COMPUTED_VALUE"""),"10.2139--ssrn.3336446.pdf")</f>
        <v>10.2139--ssrn.3336446.pdf</v>
      </c>
      <c r="D174" s="159" t="str">
        <f>IFERROR(__xludf.DUMMYFUNCTION("""COMPUTED_VALUE"""),"application/pdf")</f>
        <v>application/pdf</v>
      </c>
    </row>
    <row r="175">
      <c r="A175" s="159" t="str">
        <f>IFERROR(__xludf.DUMMYFUNCTION("""COMPUTED_VALUE"""),"10.1167/iovs.12-10268")</f>
        <v>10.1167/iovs.12-10268</v>
      </c>
      <c r="B175" s="680" t="str">
        <f>IFERROR(__xludf.DUMMYFUNCTION("""COMPUTED_VALUE"""),"https://drive.google.com/file/d/1MTo3ZY508K7Ad12ooGdShsuDz1BAve48/view?usp=drivesdk")</f>
        <v>https://drive.google.com/file/d/1MTo3ZY508K7Ad12ooGdShsuDz1BAve48/view?usp=drivesdk</v>
      </c>
      <c r="C175" s="159" t="str">
        <f>IFERROR(__xludf.DUMMYFUNCTION("""COMPUTED_VALUE"""),"10.1167--iovs.12-10268.pdf")</f>
        <v>10.1167--iovs.12-10268.pdf</v>
      </c>
      <c r="D175" s="159" t="str">
        <f>IFERROR(__xludf.DUMMYFUNCTION("""COMPUTED_VALUE"""),"application/pdf")</f>
        <v>application/pdf</v>
      </c>
    </row>
    <row r="176">
      <c r="A176" s="159" t="str">
        <f>IFERROR(__xludf.DUMMYFUNCTION("""COMPUTED_VALUE"""),"10.1109/cbms.2016.80")</f>
        <v>10.1109/cbms.2016.80</v>
      </c>
      <c r="B176" s="680" t="str">
        <f>IFERROR(__xludf.DUMMYFUNCTION("""COMPUTED_VALUE"""),"https://drive.google.com/file/d/108escJpqVIKi4ZLOsuLoYxiocGHOspZF/view?usp=drivesdk")</f>
        <v>https://drive.google.com/file/d/108escJpqVIKi4ZLOsuLoYxiocGHOspZF/view?usp=drivesdk</v>
      </c>
      <c r="C176" s="159" t="str">
        <f>IFERROR(__xludf.DUMMYFUNCTION("""COMPUTED_VALUE"""),"10.1109--cbms.2016.80.pdf")</f>
        <v>10.1109--cbms.2016.80.pdf</v>
      </c>
      <c r="D176" s="159" t="str">
        <f>IFERROR(__xludf.DUMMYFUNCTION("""COMPUTED_VALUE"""),"application/pdf")</f>
        <v>application/pdf</v>
      </c>
    </row>
    <row r="177">
      <c r="A177" s="159" t="str">
        <f>IFERROR(__xludf.DUMMYFUNCTION("""COMPUTED_VALUE"""),"10.1038/s41562-019-0725-0")</f>
        <v>10.1038/s41562-019-0725-0</v>
      </c>
      <c r="B177" s="680" t="str">
        <f>IFERROR(__xludf.DUMMYFUNCTION("""COMPUTED_VALUE"""),"https://drive.google.com/file/d/1SBAkEfUm_9PqmRtSg_dfYofaRzumUYlD/view?usp=drivesdk")</f>
        <v>https://drive.google.com/file/d/1SBAkEfUm_9PqmRtSg_dfYofaRzumUYlD/view?usp=drivesdk</v>
      </c>
      <c r="C177" s="159" t="str">
        <f>IFERROR(__xludf.DUMMYFUNCTION("""COMPUTED_VALUE"""),"10.1038--s41562-019-0725-0.pdf")</f>
        <v>10.1038--s41562-019-0725-0.pdf</v>
      </c>
      <c r="D177" s="159" t="str">
        <f>IFERROR(__xludf.DUMMYFUNCTION("""COMPUTED_VALUE"""),"application/pdf")</f>
        <v>application/pdf</v>
      </c>
    </row>
    <row r="178">
      <c r="A178" s="159" t="str">
        <f>IFERROR(__xludf.DUMMYFUNCTION("""COMPUTED_VALUE"""),"10.31219/osf.io/mdt4n")</f>
        <v>10.31219/osf.io/mdt4n</v>
      </c>
      <c r="B178" s="680" t="str">
        <f>IFERROR(__xludf.DUMMYFUNCTION("""COMPUTED_VALUE"""),"https://drive.google.com/file/d/1HikX9WdmLUfa-Ywn6hUppY9ll5oRKuuB/view?usp=drivesdk")</f>
        <v>https://drive.google.com/file/d/1HikX9WdmLUfa-Ywn6hUppY9ll5oRKuuB/view?usp=drivesdk</v>
      </c>
      <c r="C178" s="159" t="str">
        <f>IFERROR(__xludf.DUMMYFUNCTION("""COMPUTED_VALUE"""),"10.31219--osf.io--mdt4n.pdf")</f>
        <v>10.31219--osf.io--mdt4n.pdf</v>
      </c>
      <c r="D178" s="159" t="str">
        <f>IFERROR(__xludf.DUMMYFUNCTION("""COMPUTED_VALUE"""),"application/pdf")</f>
        <v>application/pdf</v>
      </c>
    </row>
    <row r="179">
      <c r="A179" s="159" t="str">
        <f>IFERROR(__xludf.DUMMYFUNCTION("""COMPUTED_VALUE"""),"10.1001/archpsyc.59.1.77")</f>
        <v>10.1001/archpsyc.59.1.77</v>
      </c>
      <c r="B179" s="680" t="str">
        <f>IFERROR(__xludf.DUMMYFUNCTION("""COMPUTED_VALUE"""),"https://drive.google.com/file/d/1mkXu7ycTGr6znhD-OYTyHsVbrfYDErli/view?usp=drivesdk")</f>
        <v>https://drive.google.com/file/d/1mkXu7ycTGr6znhD-OYTyHsVbrfYDErli/view?usp=drivesdk</v>
      </c>
      <c r="C179" s="159" t="str">
        <f>IFERROR(__xludf.DUMMYFUNCTION("""COMPUTED_VALUE"""),"10.1001--archpsyc.59.1.77.pdf")</f>
        <v>10.1001--archpsyc.59.1.77.pdf</v>
      </c>
      <c r="D179" s="159" t="str">
        <f>IFERROR(__xludf.DUMMYFUNCTION("""COMPUTED_VALUE"""),"application/pdf")</f>
        <v>application/pdf</v>
      </c>
    </row>
    <row r="180">
      <c r="A180" s="159" t="str">
        <f>IFERROR(__xludf.DUMMYFUNCTION("""COMPUTED_VALUE"""),"10.1097/01.nmd.0000165293.62537.c9")</f>
        <v>10.1097/01.nmd.0000165293.62537.c9</v>
      </c>
      <c r="B180" s="680" t="str">
        <f>IFERROR(__xludf.DUMMYFUNCTION("""COMPUTED_VALUE"""),"https://drive.google.com/file/d/1WdLepbA4QHmWf69wCgB9VJghkl3BMpEK/view?usp=drivesdk")</f>
        <v>https://drive.google.com/file/d/1WdLepbA4QHmWf69wCgB9VJghkl3BMpEK/view?usp=drivesdk</v>
      </c>
      <c r="C180" s="159" t="str">
        <f>IFERROR(__xludf.DUMMYFUNCTION("""COMPUTED_VALUE"""),"10.1097--01.nmd.0000165293.62537.c9.pdf")</f>
        <v>10.1097--01.nmd.0000165293.62537.c9.pdf</v>
      </c>
      <c r="D180" s="159" t="str">
        <f>IFERROR(__xludf.DUMMYFUNCTION("""COMPUTED_VALUE"""),"application/pdf")</f>
        <v>application/pdf</v>
      </c>
    </row>
    <row r="181">
      <c r="A181" s="159" t="str">
        <f>IFERROR(__xludf.DUMMYFUNCTION("""COMPUTED_VALUE"""),"10.1037/a0030655")</f>
        <v>10.1037/a0030655</v>
      </c>
      <c r="B181" s="680" t="str">
        <f>IFERROR(__xludf.DUMMYFUNCTION("""COMPUTED_VALUE"""),"https://drive.google.com/file/d/1Dx0yGF6buJNzWueuaVBB00p-6vLQu8gj/view?usp=drivesdk")</f>
        <v>https://drive.google.com/file/d/1Dx0yGF6buJNzWueuaVBB00p-6vLQu8gj/view?usp=drivesdk</v>
      </c>
      <c r="C181" s="159" t="str">
        <f>IFERROR(__xludf.DUMMYFUNCTION("""COMPUTED_VALUE"""),"10.1037--a0030655.pdf")</f>
        <v>10.1037--a0030655.pdf</v>
      </c>
      <c r="D181" s="159" t="str">
        <f>IFERROR(__xludf.DUMMYFUNCTION("""COMPUTED_VALUE"""),"application/pdf")</f>
        <v>application/pdf</v>
      </c>
    </row>
    <row r="182">
      <c r="A182" s="159" t="str">
        <f>IFERROR(__xludf.DUMMYFUNCTION("""COMPUTED_VALUE"""),"leister_2015")</f>
        <v>leister_2015</v>
      </c>
      <c r="B182" s="680" t="str">
        <f>IFERROR(__xludf.DUMMYFUNCTION("""COMPUTED_VALUE"""),"https://drive.google.com/file/d/1oQzG4SaGIoD7htUFgJpVkC642YWa4pE4/view?usp=drivesdk")</f>
        <v>https://drive.google.com/file/d/1oQzG4SaGIoD7htUFgJpVkC642YWa4pE4/view?usp=drivesdk</v>
      </c>
      <c r="C182" s="159" t="str">
        <f>IFERROR(__xludf.DUMMYFUNCTION("""COMPUTED_VALUE"""),"leister_2015.pdf")</f>
        <v>leister_2015.pdf</v>
      </c>
      <c r="D182" s="159" t="str">
        <f>IFERROR(__xludf.DUMMYFUNCTION("""COMPUTED_VALUE"""),"application/pdf")</f>
        <v>application/pdf</v>
      </c>
    </row>
    <row r="183">
      <c r="A183" s="159" t="str">
        <f>IFERROR(__xludf.DUMMYFUNCTION("""COMPUTED_VALUE"""),"10.1098/rsos.171208")</f>
        <v>10.1098/rsos.171208</v>
      </c>
      <c r="B183" s="680" t="str">
        <f>IFERROR(__xludf.DUMMYFUNCTION("""COMPUTED_VALUE"""),"https://drive.google.com/file/d/1D8MihRcGlFWexT1BoPcp1T6ccb_CjvIl/view?usp=drivesdk")</f>
        <v>https://drive.google.com/file/d/1D8MihRcGlFWexT1BoPcp1T6ccb_CjvIl/view?usp=drivesdk</v>
      </c>
      <c r="C183" s="159" t="str">
        <f>IFERROR(__xludf.DUMMYFUNCTION("""COMPUTED_VALUE"""),"10.1098--rsos.171208.pdf")</f>
        <v>10.1098--rsos.171208.pdf</v>
      </c>
      <c r="D183" s="159" t="str">
        <f>IFERROR(__xludf.DUMMYFUNCTION("""COMPUTED_VALUE"""),"application/pdf")</f>
        <v>application/pdf</v>
      </c>
    </row>
    <row r="184">
      <c r="A184" s="159" t="str">
        <f>IFERROR(__xludf.DUMMYFUNCTION("""COMPUTED_VALUE"""),"10.7287/peerj.preprints.27057")</f>
        <v>10.7287/peerj.preprints.27057</v>
      </c>
      <c r="B184" s="680" t="str">
        <f>IFERROR(__xludf.DUMMYFUNCTION("""COMPUTED_VALUE"""),"https://drive.google.com/file/d/1FG0oxVhiNWf1vOR1ldTnpWN_SByDykhC/view?usp=drivesdk")</f>
        <v>https://drive.google.com/file/d/1FG0oxVhiNWf1vOR1ldTnpWN_SByDykhC/view?usp=drivesdk</v>
      </c>
      <c r="C184" s="159" t="str">
        <f>IFERROR(__xludf.DUMMYFUNCTION("""COMPUTED_VALUE"""),"10.7287--peerj.preprints.27057.pdf")</f>
        <v>10.7287--peerj.preprints.27057.pdf</v>
      </c>
      <c r="D184" s="159" t="str">
        <f>IFERROR(__xludf.DUMMYFUNCTION("""COMPUTED_VALUE"""),"application/pdf")</f>
        <v>application/pdf</v>
      </c>
    </row>
    <row r="185">
      <c r="A185" s="159" t="str">
        <f>IFERROR(__xludf.DUMMYFUNCTION("""COMPUTED_VALUE"""),"10.1037/h0042782")</f>
        <v>10.1037/h0042782</v>
      </c>
      <c r="B185" s="680" t="str">
        <f>IFERROR(__xludf.DUMMYFUNCTION("""COMPUTED_VALUE"""),"https://drive.google.com/file/d/1uFyHyfiGT8ls6_L0Nrg8kUJVkGZFVZN5/view?usp=drivesdk")</f>
        <v>https://drive.google.com/file/d/1uFyHyfiGT8ls6_L0Nrg8kUJVkGZFVZN5/view?usp=drivesdk</v>
      </c>
      <c r="C185" s="159" t="str">
        <f>IFERROR(__xludf.DUMMYFUNCTION("""COMPUTED_VALUE"""),"10.1037--h0042782.pdf")</f>
        <v>10.1037--h0042782.pdf</v>
      </c>
      <c r="D185" s="159" t="str">
        <f>IFERROR(__xludf.DUMMYFUNCTION("""COMPUTED_VALUE"""),"application/pdf")</f>
        <v>application/pdf</v>
      </c>
    </row>
    <row r="186">
      <c r="A186" s="159" t="str">
        <f>IFERROR(__xludf.DUMMYFUNCTION("""COMPUTED_VALUE"""),"10.2466/pr0.1968.22.3.889")</f>
        <v>10.2466/pr0.1968.22.3.889</v>
      </c>
      <c r="B186" s="680" t="str">
        <f>IFERROR(__xludf.DUMMYFUNCTION("""COMPUTED_VALUE"""),"https://drive.google.com/file/d/1Wai537Bdksgo7NiPUQov2mJRlSxNs7CG/view?usp=drivesdk")</f>
        <v>https://drive.google.com/file/d/1Wai537Bdksgo7NiPUQov2mJRlSxNs7CG/view?usp=drivesdk</v>
      </c>
      <c r="C186" s="159" t="str">
        <f>IFERROR(__xludf.DUMMYFUNCTION("""COMPUTED_VALUE"""),"10.2466--pr0.1968.22.3.889.pdf")</f>
        <v>10.2466--pr0.1968.22.3.889.pdf</v>
      </c>
      <c r="D186" s="159" t="str">
        <f>IFERROR(__xludf.DUMMYFUNCTION("""COMPUTED_VALUE"""),"application/pdf")</f>
        <v>application/pdf</v>
      </c>
    </row>
    <row r="187">
      <c r="A187" s="159" t="str">
        <f>IFERROR(__xludf.DUMMYFUNCTION("""COMPUTED_VALUE"""),"10.1016/j.infsof.2017.10.009")</f>
        <v>10.1016/j.infsof.2017.10.009</v>
      </c>
      <c r="B187" s="680" t="str">
        <f>IFERROR(__xludf.DUMMYFUNCTION("""COMPUTED_VALUE"""),"https://drive.google.com/file/d/16vhAmKH7thiuelIE17pyY7D0wJtus73D/view?usp=drivesdk")</f>
        <v>https://drive.google.com/file/d/16vhAmKH7thiuelIE17pyY7D0wJtus73D/view?usp=drivesdk</v>
      </c>
      <c r="C187" s="159" t="str">
        <f>IFERROR(__xludf.DUMMYFUNCTION("""COMPUTED_VALUE"""),"10.1016--j.infsof.2017.10.009.pdf")</f>
        <v>10.1016--j.infsof.2017.10.009.pdf</v>
      </c>
      <c r="D187" s="159" t="str">
        <f>IFERROR(__xludf.DUMMYFUNCTION("""COMPUTED_VALUE"""),"application/pdf")</f>
        <v>application/pdf</v>
      </c>
    </row>
    <row r="188">
      <c r="A188" s="159" t="str">
        <f>IFERROR(__xludf.DUMMYFUNCTION("""COMPUTED_VALUE"""),"10.1145/2597073.2597117")</f>
        <v>10.1145/2597073.2597117</v>
      </c>
      <c r="B188" s="680" t="str">
        <f>IFERROR(__xludf.DUMMYFUNCTION("""COMPUTED_VALUE"""),"https://drive.google.com/file/d/1k7D8BLKI6VEvmKKukcnZMTcBQ7Iy77Z4/view?usp=drivesdk")</f>
        <v>https://drive.google.com/file/d/1k7D8BLKI6VEvmKKukcnZMTcBQ7Iy77Z4/view?usp=drivesdk</v>
      </c>
      <c r="C188" s="159" t="str">
        <f>IFERROR(__xludf.DUMMYFUNCTION("""COMPUTED_VALUE"""),"10.1145--2597073.2597117.pdf")</f>
        <v>10.1145--2597073.2597117.pdf</v>
      </c>
      <c r="D188" s="159" t="str">
        <f>IFERROR(__xludf.DUMMYFUNCTION("""COMPUTED_VALUE"""),"application/pdf")</f>
        <v>application/pdf</v>
      </c>
    </row>
    <row r="189">
      <c r="A189" s="159" t="str">
        <f>IFERROR(__xludf.DUMMYFUNCTION("""COMPUTED_VALUE"""),"10.1007/s10664-021-09960-w")</f>
        <v>10.1007/s10664-021-09960-w</v>
      </c>
      <c r="B189" s="680" t="str">
        <f>IFERROR(__xludf.DUMMYFUNCTION("""COMPUTED_VALUE"""),"https://drive.google.com/file/d/1GT-qaxeEb9JVoczdh_-dcnBUidPQi00r/view?usp=drivesdk")</f>
        <v>https://drive.google.com/file/d/1GT-qaxeEb9JVoczdh_-dcnBUidPQi00r/view?usp=drivesdk</v>
      </c>
      <c r="C189" s="159" t="str">
        <f>IFERROR(__xludf.DUMMYFUNCTION("""COMPUTED_VALUE"""),"10.1007--s10664-021-09960-w.pdf")</f>
        <v>10.1007--s10664-021-09960-w.pdf</v>
      </c>
      <c r="D189" s="159" t="str">
        <f>IFERROR(__xludf.DUMMYFUNCTION("""COMPUTED_VALUE"""),"application/pdf")</f>
        <v>application/pdf</v>
      </c>
    </row>
    <row r="190">
      <c r="A190" s="159" t="str">
        <f>IFERROR(__xludf.DUMMYFUNCTION("""COMPUTED_VALUE"""),"10.1016/j.jesp.2011.05.017")</f>
        <v>10.1016/j.jesp.2011.05.017</v>
      </c>
      <c r="B190" s="680" t="str">
        <f>IFERROR(__xludf.DUMMYFUNCTION("""COMPUTED_VALUE"""),"https://drive.google.com/file/d/1Qb6McwDZN1wvN2Xoee8F5MxcP6nr6orE/view?usp=drivesdk")</f>
        <v>https://drive.google.com/file/d/1Qb6McwDZN1wvN2Xoee8F5MxcP6nr6orE/view?usp=drivesdk</v>
      </c>
      <c r="C190" s="159" t="str">
        <f>IFERROR(__xludf.DUMMYFUNCTION("""COMPUTED_VALUE"""),"10.1016--j.jesp.2011.05.017.pdf")</f>
        <v>10.1016--j.jesp.2011.05.017.pdf</v>
      </c>
      <c r="D190" s="159" t="str">
        <f>IFERROR(__xludf.DUMMYFUNCTION("""COMPUTED_VALUE"""),"application/pdf")</f>
        <v>application/pdf</v>
      </c>
    </row>
    <row r="191">
      <c r="A191" s="159" t="str">
        <f>IFERROR(__xludf.DUMMYFUNCTION("""COMPUTED_VALUE"""),"10.5334/irsp.133")</f>
        <v>10.5334/irsp.133</v>
      </c>
      <c r="B191" s="680" t="str">
        <f>IFERROR(__xludf.DUMMYFUNCTION("""COMPUTED_VALUE"""),"https://drive.google.com/file/d/1YpnBYUq5-lyumtsW2UEAfVGd5idVcNk5/view?usp=drivesdk")</f>
        <v>https://drive.google.com/file/d/1YpnBYUq5-lyumtsW2UEAfVGd5idVcNk5/view?usp=drivesdk</v>
      </c>
      <c r="C191" s="159" t="str">
        <f>IFERROR(__xludf.DUMMYFUNCTION("""COMPUTED_VALUE"""),"10.5334--irsp.133.pdf")</f>
        <v>10.5334--irsp.133.pdf</v>
      </c>
      <c r="D191" s="159" t="str">
        <f>IFERROR(__xludf.DUMMYFUNCTION("""COMPUTED_VALUE"""),"application/pdf")</f>
        <v>application/pdf</v>
      </c>
    </row>
    <row r="192">
      <c r="A192" s="159" t="str">
        <f>IFERROR(__xludf.DUMMYFUNCTION("""COMPUTED_VALUE"""),"mutti_2007")</f>
        <v>mutti_2007</v>
      </c>
      <c r="B192" s="680" t="str">
        <f>IFERROR(__xludf.DUMMYFUNCTION("""COMPUTED_VALUE"""),"https://drive.google.com/file/d/1x0OrUY3f_uZA4N9WIGAtCGXXO_zE8J6X/view?usp=drivesdk")</f>
        <v>https://drive.google.com/file/d/1x0OrUY3f_uZA4N9WIGAtCGXXO_zE8J6X/view?usp=drivesdk</v>
      </c>
      <c r="C192" s="159" t="str">
        <f>IFERROR(__xludf.DUMMYFUNCTION("""COMPUTED_VALUE"""),"mutti_2007.pdf")</f>
        <v>mutti_2007.pdf</v>
      </c>
      <c r="D192" s="159" t="str">
        <f>IFERROR(__xludf.DUMMYFUNCTION("""COMPUTED_VALUE"""),"application/pdf")</f>
        <v>application/pdf</v>
      </c>
    </row>
    <row r="193">
      <c r="A193" s="159" t="str">
        <f>IFERROR(__xludf.DUMMYFUNCTION("""COMPUTED_VALUE"""),"10.1073/pnas.1908369116")</f>
        <v>10.1073/pnas.1908369116</v>
      </c>
      <c r="B193" s="680" t="str">
        <f>IFERROR(__xludf.DUMMYFUNCTION("""COMPUTED_VALUE"""),"https://drive.google.com/file/d/1ttGyqEjjV-98eagMAZ7fs7ApCqu23b27/view?usp=drivesdk")</f>
        <v>https://drive.google.com/file/d/1ttGyqEjjV-98eagMAZ7fs7ApCqu23b27/view?usp=drivesdk</v>
      </c>
      <c r="C193" s="159" t="str">
        <f>IFERROR(__xludf.DUMMYFUNCTION("""COMPUTED_VALUE"""),"10.1073--pnas.1908369116.pdf")</f>
        <v>10.1073--pnas.1908369116.pdf</v>
      </c>
      <c r="D193" s="159" t="str">
        <f>IFERROR(__xludf.DUMMYFUNCTION("""COMPUTED_VALUE"""),"application/pdf")</f>
        <v>application/pdf</v>
      </c>
    </row>
    <row r="194">
      <c r="A194" s="159" t="str">
        <f>IFERROR(__xludf.DUMMYFUNCTION("""COMPUTED_VALUE"""),"10.17645/mac.7807")</f>
        <v>10.17645/mac.7807</v>
      </c>
      <c r="B194" s="680" t="str">
        <f>IFERROR(__xludf.DUMMYFUNCTION("""COMPUTED_VALUE"""),"https://drive.google.com/file/d/1iPBwaXn12azH6_c4xao-GstJS4IDhzaA/view?usp=drivesdk")</f>
        <v>https://drive.google.com/file/d/1iPBwaXn12azH6_c4xao-GstJS4IDhzaA/view?usp=drivesdk</v>
      </c>
      <c r="C194" s="159" t="str">
        <f>IFERROR(__xludf.DUMMYFUNCTION("""COMPUTED_VALUE"""),"10.17645--mac.7807.pdf")</f>
        <v>10.17645--mac.7807.pdf</v>
      </c>
      <c r="D194" s="159" t="str">
        <f>IFERROR(__xludf.DUMMYFUNCTION("""COMPUTED_VALUE"""),"application/pdf")</f>
        <v>application/pdf</v>
      </c>
    </row>
    <row r="195">
      <c r="A195" s="159" t="str">
        <f>IFERROR(__xludf.DUMMYFUNCTION("""COMPUTED_VALUE"""),"10.1016/j.ijinfomgt.2018.03.001")</f>
        <v>10.1016/j.ijinfomgt.2018.03.001</v>
      </c>
      <c r="B195" s="680" t="str">
        <f>IFERROR(__xludf.DUMMYFUNCTION("""COMPUTED_VALUE"""),"https://drive.google.com/file/d/1o9LFgnQOxOWMbLhy5xq59Vl4kwI6felM/view?usp=drivesdk")</f>
        <v>https://drive.google.com/file/d/1o9LFgnQOxOWMbLhy5xq59Vl4kwI6felM/view?usp=drivesdk</v>
      </c>
      <c r="C195" s="159" t="str">
        <f>IFERROR(__xludf.DUMMYFUNCTION("""COMPUTED_VALUE"""),"10.1016--j.ijinfomgt.2018.03.001.pdf")</f>
        <v>10.1016--j.ijinfomgt.2018.03.001.pdf</v>
      </c>
      <c r="D195" s="159" t="str">
        <f>IFERROR(__xludf.DUMMYFUNCTION("""COMPUTED_VALUE"""),"application/pdf")</f>
        <v>application/pdf</v>
      </c>
    </row>
    <row r="196">
      <c r="A196" s="159" t="str">
        <f>IFERROR(__xludf.DUMMYFUNCTION("""COMPUTED_VALUE"""),"10.17645/mac.7666")</f>
        <v>10.17645/mac.7666</v>
      </c>
      <c r="B196" s="680" t="str">
        <f>IFERROR(__xludf.DUMMYFUNCTION("""COMPUTED_VALUE"""),"https://drive.google.com/file/d/1STHrs5t12prgYSc1TN8l_wPj0GlytkgS/view?usp=drivesdk")</f>
        <v>https://drive.google.com/file/d/1STHrs5t12prgYSc1TN8l_wPj0GlytkgS/view?usp=drivesdk</v>
      </c>
      <c r="C196" s="159" t="str">
        <f>IFERROR(__xludf.DUMMYFUNCTION("""COMPUTED_VALUE"""),"10.17645--mac.7666.pdf")</f>
        <v>10.17645--mac.7666.pdf</v>
      </c>
      <c r="D196" s="159" t="str">
        <f>IFERROR(__xludf.DUMMYFUNCTION("""COMPUTED_VALUE"""),"application/pdf")</f>
        <v>application/pdf</v>
      </c>
    </row>
    <row r="197">
      <c r="A197" s="159" t="str">
        <f>IFERROR(__xludf.DUMMYFUNCTION("""COMPUTED_VALUE"""),"10.2307/20650309")</f>
        <v>10.2307/20650309</v>
      </c>
      <c r="B197" s="680" t="str">
        <f>IFERROR(__xludf.DUMMYFUNCTION("""COMPUTED_VALUE"""),"https://drive.google.com/file/d/1eqDmH-dclTWnNxnAK_2qulmpcYeOnLRM/view?usp=drivesdk")</f>
        <v>https://drive.google.com/file/d/1eqDmH-dclTWnNxnAK_2qulmpcYeOnLRM/view?usp=drivesdk</v>
      </c>
      <c r="C197" s="159" t="str">
        <f>IFERROR(__xludf.DUMMYFUNCTION("""COMPUTED_VALUE"""),"10.2307--20650309.pdf")</f>
        <v>10.2307--20650309.pdf</v>
      </c>
      <c r="D197" s="159" t="str">
        <f>IFERROR(__xludf.DUMMYFUNCTION("""COMPUTED_VALUE"""),"application/pdf")</f>
        <v>application/pdf</v>
      </c>
    </row>
    <row r="198">
      <c r="A198" s="159" t="str">
        <f>IFERROR(__xludf.DUMMYFUNCTION("""COMPUTED_VALUE"""),"10.1287/isre.1040.0032")</f>
        <v>10.1287/isre.1040.0032</v>
      </c>
      <c r="B198" s="680" t="str">
        <f>IFERROR(__xludf.DUMMYFUNCTION("""COMPUTED_VALUE"""),"https://drive.google.com/file/d/17GZaYn-mP0DGYa0RIQ5uI-vh1vAD0hZc/view?usp=drivesdk")</f>
        <v>https://drive.google.com/file/d/17GZaYn-mP0DGYa0RIQ5uI-vh1vAD0hZc/view?usp=drivesdk</v>
      </c>
      <c r="C198" s="159" t="str">
        <f>IFERROR(__xludf.DUMMYFUNCTION("""COMPUTED_VALUE"""),"10.1287--isre.1040.0032.pdf")</f>
        <v>10.1287--isre.1040.0032.pdf</v>
      </c>
      <c r="D198" s="159" t="str">
        <f>IFERROR(__xludf.DUMMYFUNCTION("""COMPUTED_VALUE"""),"application/pdf")</f>
        <v>application/pdf</v>
      </c>
    </row>
    <row r="199">
      <c r="A199" s="159" t="str">
        <f>IFERROR(__xludf.DUMMYFUNCTION("""COMPUTED_VALUE"""),"10.1287/isre.1040.0032")</f>
        <v>10.1287/isre.1040.0032</v>
      </c>
      <c r="B199" s="680" t="str">
        <f>IFERROR(__xludf.DUMMYFUNCTION("""COMPUTED_VALUE"""),"https://drive.google.com/file/d/1l9mTkQDsziGfclWaiCq6pN22Nt3gjck9/view?usp=drivesdk")</f>
        <v>https://drive.google.com/file/d/1l9mTkQDsziGfclWaiCq6pN22Nt3gjck9/view?usp=drivesdk</v>
      </c>
      <c r="C199" s="159" t="str">
        <f>IFERROR(__xludf.DUMMYFUNCTION("""COMPUTED_VALUE"""),"10.1287--isre.1040.0032.pdf")</f>
        <v>10.1287--isre.1040.0032.pdf</v>
      </c>
      <c r="D199" s="159" t="str">
        <f>IFERROR(__xludf.DUMMYFUNCTION("""COMPUTED_VALUE"""),"application/pdf")</f>
        <v>application/pdf</v>
      </c>
    </row>
    <row r="200">
      <c r="A200" s="159" t="str">
        <f>IFERROR(__xludf.DUMMYFUNCTION("""COMPUTED_VALUE"""),"10.1080/07421222.2017.1394083")</f>
        <v>10.1080/07421222.2017.1394083</v>
      </c>
      <c r="B200" s="680" t="str">
        <f>IFERROR(__xludf.DUMMYFUNCTION("""COMPUTED_VALUE"""),"https://drive.google.com/file/d/1yiI0H2PpQpuOaLxjCkizKAnUX6WozMsa/view?usp=drivesdk")</f>
        <v>https://drive.google.com/file/d/1yiI0H2PpQpuOaLxjCkizKAnUX6WozMsa/view?usp=drivesdk</v>
      </c>
      <c r="C200" s="159" t="str">
        <f>IFERROR(__xludf.DUMMYFUNCTION("""COMPUTED_VALUE"""),"10.1080--07421222.2017.1394083.pdf")</f>
        <v>10.1080--07421222.2017.1394083.pdf</v>
      </c>
      <c r="D200" s="159" t="str">
        <f>IFERROR(__xludf.DUMMYFUNCTION("""COMPUTED_VALUE"""),"application/pdf")</f>
        <v>application/pdf</v>
      </c>
    </row>
    <row r="201">
      <c r="A201" s="159" t="str">
        <f>IFERROR(__xludf.DUMMYFUNCTION("""COMPUTED_VALUE"""),"10.2307/3250951")</f>
        <v>10.2307/3250951</v>
      </c>
      <c r="B201" s="680" t="str">
        <f>IFERROR(__xludf.DUMMYFUNCTION("""COMPUTED_VALUE"""),"https://drive.google.com/file/d/1-0CwmS25EyNm_XQ2PD2z2_yvNRtLZ9p8/view?usp=drivesdk")</f>
        <v>https://drive.google.com/file/d/1-0CwmS25EyNm_XQ2PD2z2_yvNRtLZ9p8/view?usp=drivesdk</v>
      </c>
      <c r="C201" s="159" t="str">
        <f>IFERROR(__xludf.DUMMYFUNCTION("""COMPUTED_VALUE"""),"10.2307--3250951.pdf")</f>
        <v>10.2307--3250951.pdf</v>
      </c>
      <c r="D201" s="159" t="str">
        <f>IFERROR(__xludf.DUMMYFUNCTION("""COMPUTED_VALUE"""),"application/pdf")</f>
        <v>application/pdf</v>
      </c>
    </row>
    <row r="202">
      <c r="A202" s="159" t="str">
        <f>IFERROR(__xludf.DUMMYFUNCTION("""COMPUTED_VALUE"""),"10.2307/25750691")</f>
        <v>10.2307/25750691</v>
      </c>
      <c r="B202" s="680" t="str">
        <f>IFERROR(__xludf.DUMMYFUNCTION("""COMPUTED_VALUE"""),"https://drive.google.com/file/d/1MR2uCAC98sQbMJfKpqvUbaxHYZ6ewQsP/view?usp=drivesdk")</f>
        <v>https://drive.google.com/file/d/1MR2uCAC98sQbMJfKpqvUbaxHYZ6ewQsP/view?usp=drivesdk</v>
      </c>
      <c r="C202" s="159" t="str">
        <f>IFERROR(__xludf.DUMMYFUNCTION("""COMPUTED_VALUE"""),"10.2307--25750691.pdf")</f>
        <v>10.2307--25750691.pdf</v>
      </c>
      <c r="D202" s="159" t="str">
        <f>IFERROR(__xludf.DUMMYFUNCTION("""COMPUTED_VALUE"""),"application/pdf")</f>
        <v>application/pdf</v>
      </c>
    </row>
    <row r="203">
      <c r="A203" s="159" t="str">
        <f>IFERROR(__xludf.DUMMYFUNCTION("""COMPUTED_VALUE"""),"10.1016/j.cose.2017.08.004")</f>
        <v>10.1016/j.cose.2017.08.004</v>
      </c>
      <c r="B203" s="680" t="str">
        <f>IFERROR(__xludf.DUMMYFUNCTION("""COMPUTED_VALUE"""),"https://drive.google.com/file/d/11fOoeCaKvAgreOvn5ew8iMGSOf8nkof-/view?usp=drivesdk")</f>
        <v>https://drive.google.com/file/d/11fOoeCaKvAgreOvn5ew8iMGSOf8nkof-/view?usp=drivesdk</v>
      </c>
      <c r="C203" s="159" t="str">
        <f>IFERROR(__xludf.DUMMYFUNCTION("""COMPUTED_VALUE"""),"10.1016--j.cose.2017.08.004.pdf")</f>
        <v>10.1016--j.cose.2017.08.004.pdf</v>
      </c>
      <c r="D203" s="159" t="str">
        <f>IFERROR(__xludf.DUMMYFUNCTION("""COMPUTED_VALUE"""),"application/pdf")</f>
        <v>application/pdf</v>
      </c>
    </row>
    <row r="204">
      <c r="A204" s="159" t="str">
        <f>IFERROR(__xludf.DUMMYFUNCTION("""COMPUTED_VALUE"""),"10.1287/isre.2016.0673")</f>
        <v>10.1287/isre.2016.0673</v>
      </c>
      <c r="B204" s="680" t="str">
        <f>IFERROR(__xludf.DUMMYFUNCTION("""COMPUTED_VALUE"""),"https://drive.google.com/file/d/13d6QW-Q0c3SBtHbjAdWFvqP77F3ORvq2/view?usp=drivesdk")</f>
        <v>https://drive.google.com/file/d/13d6QW-Q0c3SBtHbjAdWFvqP77F3ORvq2/view?usp=drivesdk</v>
      </c>
      <c r="C204" s="159" t="str">
        <f>IFERROR(__xludf.DUMMYFUNCTION("""COMPUTED_VALUE"""),"10.1287--isre.2016.0673.pdf")</f>
        <v>10.1287--isre.2016.0673.pdf</v>
      </c>
      <c r="D204" s="159" t="str">
        <f>IFERROR(__xludf.DUMMYFUNCTION("""COMPUTED_VALUE"""),"application/pdf")</f>
        <v>application/pdf</v>
      </c>
    </row>
    <row r="205">
      <c r="A205" s="159" t="str">
        <f>IFERROR(__xludf.DUMMYFUNCTION("""COMPUTED_VALUE"""),"10.1287/isre.2016.0673")</f>
        <v>10.1287/isre.2016.0673</v>
      </c>
      <c r="B205" s="680" t="str">
        <f>IFERROR(__xludf.DUMMYFUNCTION("""COMPUTED_VALUE"""),"https://drive.google.com/file/d/1aN7cgbPtNQjnedGqbDsK6hWsJMmMIOsY/view?usp=drivesdk")</f>
        <v>https://drive.google.com/file/d/1aN7cgbPtNQjnedGqbDsK6hWsJMmMIOsY/view?usp=drivesdk</v>
      </c>
      <c r="C205" s="159" t="str">
        <f>IFERROR(__xludf.DUMMYFUNCTION("""COMPUTED_VALUE"""),"10.1287--isre.2016.0673.pdf")</f>
        <v>10.1287--isre.2016.0673.pdf</v>
      </c>
      <c r="D205" s="159" t="str">
        <f>IFERROR(__xludf.DUMMYFUNCTION("""COMPUTED_VALUE"""),"application/pdf")</f>
        <v>application/pdf</v>
      </c>
    </row>
    <row r="206">
      <c r="A206" s="159" t="str">
        <f>IFERROR(__xludf.DUMMYFUNCTION("""COMPUTED_VALUE"""),"10.2307/25148745")</f>
        <v>10.2307/25148745</v>
      </c>
      <c r="B206" s="680" t="str">
        <f>IFERROR(__xludf.DUMMYFUNCTION("""COMPUTED_VALUE"""),"https://drive.google.com/file/d/1NJ_vZ5hNB1gJlcMx4lFyN2KWMRWqSbcN/view?usp=drivesdk")</f>
        <v>https://drive.google.com/file/d/1NJ_vZ5hNB1gJlcMx4lFyN2KWMRWqSbcN/view?usp=drivesdk</v>
      </c>
      <c r="C206" s="159" t="str">
        <f>IFERROR(__xludf.DUMMYFUNCTION("""COMPUTED_VALUE"""),"10.2307--25148745.pdf")</f>
        <v>10.2307--25148745.pdf</v>
      </c>
      <c r="D206" s="159" t="str">
        <f>IFERROR(__xludf.DUMMYFUNCTION("""COMPUTED_VALUE"""),"application/pdf")</f>
        <v>application/pdf</v>
      </c>
    </row>
    <row r="207">
      <c r="A207" s="159" t="str">
        <f>IFERROR(__xludf.DUMMYFUNCTION("""COMPUTED_VALUE"""),"10.1145/381641.381664")</f>
        <v>10.1145/381641.381664</v>
      </c>
      <c r="B207" s="680" t="str">
        <f>IFERROR(__xludf.DUMMYFUNCTION("""COMPUTED_VALUE"""),"https://drive.google.com/file/d/1kYHTKSUebgSmnIBLn2QI_S-JmT4TCPhA/view?usp=drivesdk")</f>
        <v>https://drive.google.com/file/d/1kYHTKSUebgSmnIBLn2QI_S-JmT4TCPhA/view?usp=drivesdk</v>
      </c>
      <c r="C207" s="159" t="str">
        <f>IFERROR(__xludf.DUMMYFUNCTION("""COMPUTED_VALUE"""),"10.1145--381641.381664.pdf")</f>
        <v>10.1145--381641.381664.pdf</v>
      </c>
      <c r="D207" s="159" t="str">
        <f>IFERROR(__xludf.DUMMYFUNCTION("""COMPUTED_VALUE"""),"application/pdf")</f>
        <v>application/pdf</v>
      </c>
    </row>
    <row r="208">
      <c r="A208" s="159" t="str">
        <f>IFERROR(__xludf.DUMMYFUNCTION("""COMPUTED_VALUE"""),"10.2307/25148859")</f>
        <v>10.2307/25148859</v>
      </c>
      <c r="B208" s="680" t="str">
        <f>IFERROR(__xludf.DUMMYFUNCTION("""COMPUTED_VALUE"""),"https://drive.google.com/file/d/1q91E_uID94ULf4e5uom-N4OFOzINSqS_/view?usp=drivesdk")</f>
        <v>https://drive.google.com/file/d/1q91E_uID94ULf4e5uom-N4OFOzINSqS_/view?usp=drivesdk</v>
      </c>
      <c r="C208" s="159" t="str">
        <f>IFERROR(__xludf.DUMMYFUNCTION("""COMPUTED_VALUE"""),"10.2307--25148859.pdf")</f>
        <v>10.2307--25148859.pdf</v>
      </c>
      <c r="D208" s="159" t="str">
        <f>IFERROR(__xludf.DUMMYFUNCTION("""COMPUTED_VALUE"""),"application/pdf")</f>
        <v>application/pdf</v>
      </c>
    </row>
    <row r="209">
      <c r="A209" s="159" t="str">
        <f>IFERROR(__xludf.DUMMYFUNCTION("""COMPUTED_VALUE"""),"10.1287/isre.2015.0602")</f>
        <v>10.1287/isre.2015.0602</v>
      </c>
      <c r="B209" s="680" t="str">
        <f>IFERROR(__xludf.DUMMYFUNCTION("""COMPUTED_VALUE"""),"https://drive.google.com/file/d/1Wxjr93hMzub3Xb8oW9GwJeHXpH01vUAi/view?usp=drivesdk")</f>
        <v>https://drive.google.com/file/d/1Wxjr93hMzub3Xb8oW9GwJeHXpH01vUAi/view?usp=drivesdk</v>
      </c>
      <c r="C209" s="159" t="str">
        <f>IFERROR(__xludf.DUMMYFUNCTION("""COMPUTED_VALUE"""),"10.1287--isre.2015.0602.pdf")</f>
        <v>10.1287--isre.2015.0602.pdf</v>
      </c>
      <c r="D209" s="159" t="str">
        <f>IFERROR(__xludf.DUMMYFUNCTION("""COMPUTED_VALUE"""),"application/pdf")</f>
        <v>application/pdf</v>
      </c>
    </row>
    <row r="210">
      <c r="A210" s="159" t="str">
        <f>IFERROR(__xludf.DUMMYFUNCTION("""COMPUTED_VALUE"""),"10.2307/25750708")</f>
        <v>10.2307/25750708</v>
      </c>
      <c r="B210" s="680" t="str">
        <f>IFERROR(__xludf.DUMMYFUNCTION("""COMPUTED_VALUE"""),"https://drive.google.com/file/d/1oLFo0nqsBa90HAF0wK5aIjrKuY-7lJbd/view?usp=drivesdk")</f>
        <v>https://drive.google.com/file/d/1oLFo0nqsBa90HAF0wK5aIjrKuY-7lJbd/view?usp=drivesdk</v>
      </c>
      <c r="C210" s="159" t="str">
        <f>IFERROR(__xludf.DUMMYFUNCTION("""COMPUTED_VALUE"""),"10.2307--25750708.pdf")</f>
        <v>10.2307--25750708.pdf</v>
      </c>
      <c r="D210" s="159" t="str">
        <f>IFERROR(__xludf.DUMMYFUNCTION("""COMPUTED_VALUE"""),"application/pdf")</f>
        <v>application/pdf</v>
      </c>
    </row>
    <row r="211">
      <c r="A211" s="159" t="str">
        <f>IFERROR(__xludf.DUMMYFUNCTION("""COMPUTED_VALUE"""),"10.17705/1atrr.00036")</f>
        <v>10.17705/1atrr.00036</v>
      </c>
      <c r="B211" s="680" t="str">
        <f>IFERROR(__xludf.DUMMYFUNCTION("""COMPUTED_VALUE"""),"https://drive.google.com/file/d/1AjUMsnBEXRNvQzM0StOqaOiz8_oZbRcI/view?usp=drivesdk")</f>
        <v>https://drive.google.com/file/d/1AjUMsnBEXRNvQzM0StOqaOiz8_oZbRcI/view?usp=drivesdk</v>
      </c>
      <c r="C211" s="159" t="str">
        <f>IFERROR(__xludf.DUMMYFUNCTION("""COMPUTED_VALUE"""),"10.17705--1atrr.00036.pdf")</f>
        <v>10.17705--1atrr.00036.pdf</v>
      </c>
      <c r="D211" s="159" t="str">
        <f>IFERROR(__xludf.DUMMYFUNCTION("""COMPUTED_VALUE"""),"application/pdf")</f>
        <v>application/pdf</v>
      </c>
    </row>
    <row r="212">
      <c r="A212" s="159" t="str">
        <f>IFERROR(__xludf.DUMMYFUNCTION("""COMPUTED_VALUE"""),"10.17705/1atrr.00036")</f>
        <v>10.17705/1atrr.00036</v>
      </c>
      <c r="B212" s="680" t="str">
        <f>IFERROR(__xludf.DUMMYFUNCTION("""COMPUTED_VALUE"""),"https://drive.google.com/file/d/1rVvBc3Fu9sdVEhvzeI8eUh0ER3yAEr9i/view?usp=drivesdk")</f>
        <v>https://drive.google.com/file/d/1rVvBc3Fu9sdVEhvzeI8eUh0ER3yAEr9i/view?usp=drivesdk</v>
      </c>
      <c r="C212" s="159" t="str">
        <f>IFERROR(__xludf.DUMMYFUNCTION("""COMPUTED_VALUE"""),"10.17705--1atrr.00036.pdf")</f>
        <v>10.17705--1atrr.00036.pdf</v>
      </c>
      <c r="D212" s="159" t="str">
        <f>IFERROR(__xludf.DUMMYFUNCTION("""COMPUTED_VALUE"""),"application/pdf")</f>
        <v>application/pdf</v>
      </c>
    </row>
    <row r="213">
      <c r="A213" s="159" t="str">
        <f>IFERROR(__xludf.DUMMYFUNCTION("""COMPUTED_VALUE"""),"10.17705/1atrr.00040")</f>
        <v>10.17705/1atrr.00040</v>
      </c>
      <c r="B213" s="680" t="str">
        <f>IFERROR(__xludf.DUMMYFUNCTION("""COMPUTED_VALUE"""),"https://drive.google.com/file/d/1dO_kjC_SMDFNOSMuYGv4k7gRLUnP3Z7x/view?usp=drivesdk")</f>
        <v>https://drive.google.com/file/d/1dO_kjC_SMDFNOSMuYGv4k7gRLUnP3Z7x/view?usp=drivesdk</v>
      </c>
      <c r="C213" s="159" t="str">
        <f>IFERROR(__xludf.DUMMYFUNCTION("""COMPUTED_VALUE"""),"10.17705--1atrr.00040.pdf")</f>
        <v>10.17705--1atrr.00040.pdf</v>
      </c>
      <c r="D213" s="159" t="str">
        <f>IFERROR(__xludf.DUMMYFUNCTION("""COMPUTED_VALUE"""),"application/pdf")</f>
        <v>application/pdf</v>
      </c>
    </row>
    <row r="214">
      <c r="A214" s="159" t="str">
        <f>IFERROR(__xludf.DUMMYFUNCTION("""COMPUTED_VALUE"""),"10.17705/1atrr.00040")</f>
        <v>10.17705/1atrr.00040</v>
      </c>
      <c r="B214" s="680" t="str">
        <f>IFERROR(__xludf.DUMMYFUNCTION("""COMPUTED_VALUE"""),"https://drive.google.com/file/d/1xZTi8qLAjOhZ0qUqMdKPFnSablZk1L8L/view?usp=drivesdk")</f>
        <v>https://drive.google.com/file/d/1xZTi8qLAjOhZ0qUqMdKPFnSablZk1L8L/view?usp=drivesdk</v>
      </c>
      <c r="C214" s="159" t="str">
        <f>IFERROR(__xludf.DUMMYFUNCTION("""COMPUTED_VALUE"""),"10.17705--1atrr.00040.pdf")</f>
        <v>10.17705--1atrr.00040.pdf</v>
      </c>
      <c r="D214" s="159" t="str">
        <f>IFERROR(__xludf.DUMMYFUNCTION("""COMPUTED_VALUE"""),"application/pdf")</f>
        <v>application/pdf</v>
      </c>
    </row>
    <row r="215">
      <c r="A215" s="159" t="str">
        <f>IFERROR(__xludf.DUMMYFUNCTION("""COMPUTED_VALUE"""),"10.17705/1atrr.00038")</f>
        <v>10.17705/1atrr.00038</v>
      </c>
      <c r="B215" s="680" t="str">
        <f>IFERROR(__xludf.DUMMYFUNCTION("""COMPUTED_VALUE"""),"https://drive.google.com/file/d/1cCsdcuDqEK1RM4UOHJ35AM9kuQBd8FGC/view?usp=drivesdk")</f>
        <v>https://drive.google.com/file/d/1cCsdcuDqEK1RM4UOHJ35AM9kuQBd8FGC/view?usp=drivesdk</v>
      </c>
      <c r="C215" s="159" t="str">
        <f>IFERROR(__xludf.DUMMYFUNCTION("""COMPUTED_VALUE"""),"10.17705--1atrr.00038.pdf")</f>
        <v>10.17705--1atrr.00038.pdf</v>
      </c>
      <c r="D215" s="159" t="str">
        <f>IFERROR(__xludf.DUMMYFUNCTION("""COMPUTED_VALUE"""),"application/pdf")</f>
        <v>application/pdf</v>
      </c>
    </row>
    <row r="216">
      <c r="A216" s="159" t="str">
        <f>IFERROR(__xludf.DUMMYFUNCTION("""COMPUTED_VALUE"""),"10.17705/1atrr.00037")</f>
        <v>10.17705/1atrr.00037</v>
      </c>
      <c r="B216" s="680" t="str">
        <f>IFERROR(__xludf.DUMMYFUNCTION("""COMPUTED_VALUE"""),"https://drive.google.com/file/d/1mqfieRzIaSrJwZCB_oYuduPCumYC7ZJA/view?usp=drivesdk")</f>
        <v>https://drive.google.com/file/d/1mqfieRzIaSrJwZCB_oYuduPCumYC7ZJA/view?usp=drivesdk</v>
      </c>
      <c r="C216" s="159" t="str">
        <f>IFERROR(__xludf.DUMMYFUNCTION("""COMPUTED_VALUE"""),"10.17705--1atrr.00037.pdf")</f>
        <v>10.17705--1atrr.00037.pdf</v>
      </c>
      <c r="D216" s="159" t="str">
        <f>IFERROR(__xludf.DUMMYFUNCTION("""COMPUTED_VALUE"""),"application/pdf")</f>
        <v>application/pdf</v>
      </c>
    </row>
    <row r="217">
      <c r="A217" s="159" t="str">
        <f>IFERROR(__xludf.DUMMYFUNCTION("""COMPUTED_VALUE"""),"10.17705/1atrr.00043")</f>
        <v>10.17705/1atrr.00043</v>
      </c>
      <c r="B217" s="680" t="str">
        <f>IFERROR(__xludf.DUMMYFUNCTION("""COMPUTED_VALUE"""),"https://drive.google.com/file/d/1Wx9nnOshJmZiU0ZAc_mK-LDQ0fTaXZ4-/view?usp=drivesdk")</f>
        <v>https://drive.google.com/file/d/1Wx9nnOshJmZiU0ZAc_mK-LDQ0fTaXZ4-/view?usp=drivesdk</v>
      </c>
      <c r="C217" s="159" t="str">
        <f>IFERROR(__xludf.DUMMYFUNCTION("""COMPUTED_VALUE"""),"10.17705--1atrr.00043.pdf")</f>
        <v>10.17705--1atrr.00043.pdf</v>
      </c>
      <c r="D217" s="159" t="str">
        <f>IFERROR(__xludf.DUMMYFUNCTION("""COMPUTED_VALUE"""),"application/pdf")</f>
        <v>application/pdf</v>
      </c>
    </row>
    <row r="218">
      <c r="A218" s="159" t="str">
        <f>IFERROR(__xludf.DUMMYFUNCTION("""COMPUTED_VALUE"""),"10.17705/1atrr.00042")</f>
        <v>10.17705/1atrr.00042</v>
      </c>
      <c r="B218" s="680" t="str">
        <f>IFERROR(__xludf.DUMMYFUNCTION("""COMPUTED_VALUE"""),"https://drive.google.com/file/d/1vlPejVKXrBFAGx-P8yY0Ztp9l9WkOdhq/view?usp=drivesdk")</f>
        <v>https://drive.google.com/file/d/1vlPejVKXrBFAGx-P8yY0Ztp9l9WkOdhq/view?usp=drivesdk</v>
      </c>
      <c r="C218" s="159" t="str">
        <f>IFERROR(__xludf.DUMMYFUNCTION("""COMPUTED_VALUE"""),"10.17705--1atrr.00042.pdf")</f>
        <v>10.17705--1atrr.00042.pdf</v>
      </c>
      <c r="D218" s="159" t="str">
        <f>IFERROR(__xludf.DUMMYFUNCTION("""COMPUTED_VALUE"""),"application/pdf")</f>
        <v>application/pdf</v>
      </c>
    </row>
    <row r="219">
      <c r="A219" s="159" t="str">
        <f>IFERROR(__xludf.DUMMYFUNCTION("""COMPUTED_VALUE"""),"10.17705/1atrr.00039")</f>
        <v>10.17705/1atrr.00039</v>
      </c>
      <c r="B219" s="680" t="str">
        <f>IFERROR(__xludf.DUMMYFUNCTION("""COMPUTED_VALUE"""),"https://drive.google.com/file/d/1BspUNR43VwLEIl3kKLzg-Hg4FUYnhJM5/view?usp=drivesdk")</f>
        <v>https://drive.google.com/file/d/1BspUNR43VwLEIl3kKLzg-Hg4FUYnhJM5/view?usp=drivesdk</v>
      </c>
      <c r="C219" s="159" t="str">
        <f>IFERROR(__xludf.DUMMYFUNCTION("""COMPUTED_VALUE"""),"10.17705--1atrr.00039.pdf")</f>
        <v>10.17705--1atrr.00039.pdf</v>
      </c>
      <c r="D219" s="159" t="str">
        <f>IFERROR(__xludf.DUMMYFUNCTION("""COMPUTED_VALUE"""),"application/pdf")</f>
        <v>application/pdf</v>
      </c>
    </row>
    <row r="220">
      <c r="A220" s="159" t="str">
        <f>IFERROR(__xludf.DUMMYFUNCTION("""COMPUTED_VALUE"""),"10.1167/jov.22.4.3")</f>
        <v>10.1167/jov.22.4.3</v>
      </c>
      <c r="B220" s="680" t="str">
        <f>IFERROR(__xludf.DUMMYFUNCTION("""COMPUTED_VALUE"""),"https://drive.google.com/file/d/1ArvcjWYbmdELkNm71z6v-ldNfaTGXoPi/view?usp=drivesdk")</f>
        <v>https://drive.google.com/file/d/1ArvcjWYbmdELkNm71z6v-ldNfaTGXoPi/view?usp=drivesdk</v>
      </c>
      <c r="C220" s="159" t="str">
        <f>IFERROR(__xludf.DUMMYFUNCTION("""COMPUTED_VALUE"""),"10.1167--jov.22.4.3.pdf")</f>
        <v>10.1167--jov.22.4.3.pdf</v>
      </c>
      <c r="D220" s="159" t="str">
        <f>IFERROR(__xludf.DUMMYFUNCTION("""COMPUTED_VALUE"""),"application/pdf")</f>
        <v>application/pdf</v>
      </c>
    </row>
    <row r="221">
      <c r="A221" s="159" t="str">
        <f>IFERROR(__xludf.DUMMYFUNCTION("""COMPUTED_VALUE"""),"10.1177/  0956797612452574")</f>
        <v>10.1177/  0956797612452574</v>
      </c>
      <c r="B221" s="680" t="str">
        <f>IFERROR(__xludf.DUMMYFUNCTION("""COMPUTED_VALUE"""),"https://drive.google.com/file/d/18DvKoJKsn2gXDw6nuOtq9etZ2s75TH_F/view?usp=drivesdk")</f>
        <v>https://drive.google.com/file/d/18DvKoJKsn2gXDw6nuOtq9etZ2s75TH_F/view?usp=drivesdk</v>
      </c>
      <c r="C221" s="159" t="str">
        <f>IFERROR(__xludf.DUMMYFUNCTION("""COMPUTED_VALUE"""),"10.1177--  0956797612452574.pdf")</f>
        <v>10.1177--  0956797612452574.pdf</v>
      </c>
      <c r="D221" s="159" t="str">
        <f>IFERROR(__xludf.DUMMYFUNCTION("""COMPUTED_VALUE"""),"application/pdf")</f>
        <v>application/pdf</v>
      </c>
    </row>
    <row r="222">
      <c r="A222" s="159" t="str">
        <f>IFERROR(__xludf.DUMMYFUNCTION("""COMPUTED_VALUE"""),"10.1177/0956797619896273")</f>
        <v>10.1177/0956797619896273</v>
      </c>
      <c r="B222" s="680" t="str">
        <f>IFERROR(__xludf.DUMMYFUNCTION("""COMPUTED_VALUE"""),"https://drive.google.com/file/d/1v7Vj2MNAMK5uPNGRV1KZ3tXFh60hjd1R/view?usp=drivesdk")</f>
        <v>https://drive.google.com/file/d/1v7Vj2MNAMK5uPNGRV1KZ3tXFh60hjd1R/view?usp=drivesdk</v>
      </c>
      <c r="C222" s="159" t="str">
        <f>IFERROR(__xludf.DUMMYFUNCTION("""COMPUTED_VALUE"""),"10.1177--0956797619896273.pdf")</f>
        <v>10.1177--0956797619896273.pdf</v>
      </c>
      <c r="D222" s="159" t="str">
        <f>IFERROR(__xludf.DUMMYFUNCTION("""COMPUTED_VALUE"""),"application/pdf")</f>
        <v>application/pdf</v>
      </c>
    </row>
    <row r="223">
      <c r="A223" s="159" t="str">
        <f>IFERROR(__xludf.DUMMYFUNCTION("""COMPUTED_VALUE"""),"10.1111/j.1467-9280.2008.02061.x")</f>
        <v>10.1111/j.1467-9280.2008.02061.x</v>
      </c>
      <c r="B223" s="680" t="str">
        <f>IFERROR(__xludf.DUMMYFUNCTION("""COMPUTED_VALUE"""),"https://drive.google.com/file/d/1HsW-lUSPFaIpISHQ1bNk6CKMtH3z9rau/view?usp=drivesdk")</f>
        <v>https://drive.google.com/file/d/1HsW-lUSPFaIpISHQ1bNk6CKMtH3z9rau/view?usp=drivesdk</v>
      </c>
      <c r="C223" s="159" t="str">
        <f>IFERROR(__xludf.DUMMYFUNCTION("""COMPUTED_VALUE"""),"10.1111--j.1467-9280.2008.02061.x.pdf")</f>
        <v>10.1111--j.1467-9280.2008.02061.x.pdf</v>
      </c>
      <c r="D223" s="159" t="str">
        <f>IFERROR(__xludf.DUMMYFUNCTION("""COMPUTED_VALUE"""),"application/pdf")</f>
        <v>application/pdf</v>
      </c>
    </row>
    <row r="224">
      <c r="A224" s="159" t="str">
        <f>IFERROR(__xludf.DUMMYFUNCTION("""COMPUTED_VALUE"""),"10.1037/h0028063")</f>
        <v>10.1037/h0028063</v>
      </c>
      <c r="B224" s="680" t="str">
        <f>IFERROR(__xludf.DUMMYFUNCTION("""COMPUTED_VALUE"""),"https://drive.google.com/file/d/1ALQ4n7baIshmeSLYutAM0bEOCABcKazK/view?usp=drivesdk")</f>
        <v>https://drive.google.com/file/d/1ALQ4n7baIshmeSLYutAM0bEOCABcKazK/view?usp=drivesdk</v>
      </c>
      <c r="C224" s="159" t="str">
        <f>IFERROR(__xludf.DUMMYFUNCTION("""COMPUTED_VALUE"""),"10.1037--h0028063.pdf")</f>
        <v>10.1037--h0028063.pdf</v>
      </c>
      <c r="D224" s="159" t="str">
        <f>IFERROR(__xludf.DUMMYFUNCTION("""COMPUTED_VALUE"""),"application/pdf")</f>
        <v>application/pdf</v>
      </c>
    </row>
    <row r="225">
      <c r="A225" s="159" t="str">
        <f>IFERROR(__xludf.DUMMYFUNCTION("""COMPUTED_VALUE"""),"10.1177/0956797620902101")</f>
        <v>10.1177/0956797620902101</v>
      </c>
      <c r="B225" s="680" t="str">
        <f>IFERROR(__xludf.DUMMYFUNCTION("""COMPUTED_VALUE"""),"https://drive.google.com/file/d/18ygOQ-rY83IljPfQwW92IIDLchJxkCH5/view?usp=drivesdk")</f>
        <v>https://drive.google.com/file/d/18ygOQ-rY83IljPfQwW92IIDLchJxkCH5/view?usp=drivesdk</v>
      </c>
      <c r="C225" s="159" t="str">
        <f>IFERROR(__xludf.DUMMYFUNCTION("""COMPUTED_VALUE"""),"10.1177--0956797620902101.pdf")</f>
        <v>10.1177--0956797620902101.pdf</v>
      </c>
      <c r="D225" s="159" t="str">
        <f>IFERROR(__xludf.DUMMYFUNCTION("""COMPUTED_VALUE"""),"application/pdf")</f>
        <v>application/pdf</v>
      </c>
    </row>
    <row r="226">
      <c r="A226" s="159" t="str">
        <f>IFERROR(__xludf.DUMMYFUNCTION("""COMPUTED_VALUE"""),"10.1177/0956797614564191")</f>
        <v>10.1177/0956797614564191</v>
      </c>
      <c r="B226" s="680" t="str">
        <f>IFERROR(__xludf.DUMMYFUNCTION("""COMPUTED_VALUE"""),"https://drive.google.com/file/d/1qlPCe9ADeBK915qP8g94FUQ_qmxSj9zL/view?usp=drivesdk")</f>
        <v>https://drive.google.com/file/d/1qlPCe9ADeBK915qP8g94FUQ_qmxSj9zL/view?usp=drivesdk</v>
      </c>
      <c r="C226" s="159" t="str">
        <f>IFERROR(__xludf.DUMMYFUNCTION("""COMPUTED_VALUE"""),"10.1177--0956797614564191.pdf")</f>
        <v>10.1177--0956797614564191.pdf</v>
      </c>
      <c r="D226" s="159" t="str">
        <f>IFERROR(__xludf.DUMMYFUNCTION("""COMPUTED_VALUE"""),"application/pdf")</f>
        <v>application/pdf</v>
      </c>
    </row>
    <row r="227">
      <c r="A227" s="159" t="str">
        <f>IFERROR(__xludf.DUMMYFUNCTION("""COMPUTED_VALUE"""),"10.17705/1atrr.00047")</f>
        <v>10.17705/1atrr.00047</v>
      </c>
      <c r="B227" s="680" t="str">
        <f>IFERROR(__xludf.DUMMYFUNCTION("""COMPUTED_VALUE"""),"https://drive.google.com/file/d/1Y1H6PG4OrpSbuYF3C1qofQDrfY3s9t9C/view?usp=drivesdk")</f>
        <v>https://drive.google.com/file/d/1Y1H6PG4OrpSbuYF3C1qofQDrfY3s9t9C/view?usp=drivesdk</v>
      </c>
      <c r="C227" s="159" t="str">
        <f>IFERROR(__xludf.DUMMYFUNCTION("""COMPUTED_VALUE"""),"10.17705--1atrr.00047.pdf")</f>
        <v>10.17705--1atrr.00047.pdf</v>
      </c>
      <c r="D227" s="159" t="str">
        <f>IFERROR(__xludf.DUMMYFUNCTION("""COMPUTED_VALUE"""),"application/pdf")</f>
        <v>application/pdf</v>
      </c>
    </row>
    <row r="228">
      <c r="A228" s="159" t="str">
        <f>IFERROR(__xludf.DUMMYFUNCTION("""COMPUTED_VALUE"""),"10.1177/0956797620904045")</f>
        <v>10.1177/0956797620904045</v>
      </c>
      <c r="B228" s="680" t="str">
        <f>IFERROR(__xludf.DUMMYFUNCTION("""COMPUTED_VALUE"""),"https://drive.google.com/file/d/1h54hpfovSs66l_4lJ3Vlod4fbIpwRZQ8/view?usp=drivesdk")</f>
        <v>https://drive.google.com/file/d/1h54hpfovSs66l_4lJ3Vlod4fbIpwRZQ8/view?usp=drivesdk</v>
      </c>
      <c r="C228" s="159" t="str">
        <f>IFERROR(__xludf.DUMMYFUNCTION("""COMPUTED_VALUE"""),"10.1177--0956797620904045.pdf")</f>
        <v>10.1177--0956797620904045.pdf</v>
      </c>
      <c r="D228" s="159" t="str">
        <f>IFERROR(__xludf.DUMMYFUNCTION("""COMPUTED_VALUE"""),"application/pdf")</f>
        <v>application/pdf</v>
      </c>
    </row>
    <row r="229">
      <c r="A229" s="159" t="str">
        <f>IFERROR(__xludf.DUMMYFUNCTION("""COMPUTED_VALUE"""),"10.1177/0956797616677313")</f>
        <v>10.1177/0956797616677313</v>
      </c>
      <c r="B229" s="680" t="str">
        <f>IFERROR(__xludf.DUMMYFUNCTION("""COMPUTED_VALUE"""),"https://drive.google.com/file/d/1A1NrbydZbzUgqByAukhw8E42FsMwmfff/view?usp=drivesdk")</f>
        <v>https://drive.google.com/file/d/1A1NrbydZbzUgqByAukhw8E42FsMwmfff/view?usp=drivesdk</v>
      </c>
      <c r="C229" s="159" t="str">
        <f>IFERROR(__xludf.DUMMYFUNCTION("""COMPUTED_VALUE"""),"10.1177--0956797616677313.pdf")</f>
        <v>10.1177--0956797616677313.pdf</v>
      </c>
      <c r="D229" s="159" t="str">
        <f>IFERROR(__xludf.DUMMYFUNCTION("""COMPUTED_VALUE"""),"application/pdf")</f>
        <v>application/pdf</v>
      </c>
    </row>
    <row r="230">
      <c r="A230" s="159" t="str">
        <f>IFERROR(__xludf.DUMMYFUNCTION("""COMPUTED_VALUE"""),"10.1177/0956797619875482")</f>
        <v>10.1177/0956797619875482</v>
      </c>
      <c r="B230" s="680" t="str">
        <f>IFERROR(__xludf.DUMMYFUNCTION("""COMPUTED_VALUE"""),"https://drive.google.com/file/d/1gdo6q4oLqJayMG9KvZM-Ra6q2gh75YI7/view?usp=drivesdk")</f>
        <v>https://drive.google.com/file/d/1gdo6q4oLqJayMG9KvZM-Ra6q2gh75YI7/view?usp=drivesdk</v>
      </c>
      <c r="C230" s="159" t="str">
        <f>IFERROR(__xludf.DUMMYFUNCTION("""COMPUTED_VALUE"""),"10.1177--0956797619875482.pdf")</f>
        <v>10.1177--0956797619875482.pdf</v>
      </c>
      <c r="D230" s="159" t="str">
        <f>IFERROR(__xludf.DUMMYFUNCTION("""COMPUTED_VALUE"""),"application/pdf")</f>
        <v>application/pdf</v>
      </c>
    </row>
    <row r="231">
      <c r="A231" s="159" t="str">
        <f>IFERROR(__xludf.DUMMYFUNCTION("""COMPUTED_VALUE"""),"10.5167/uzh-210002")</f>
        <v>10.5167/uzh-210002</v>
      </c>
      <c r="B231" s="680" t="str">
        <f>IFERROR(__xludf.DUMMYFUNCTION("""COMPUTED_VALUE"""),"https://drive.google.com/file/d/12flLqLGd4MgrfZp57eQ4JzXnpfR1XeUk/view?usp=drivesdk")</f>
        <v>https://drive.google.com/file/d/12flLqLGd4MgrfZp57eQ4JzXnpfR1XeUk/view?usp=drivesdk</v>
      </c>
      <c r="C231" s="159" t="str">
        <f>IFERROR(__xludf.DUMMYFUNCTION("""COMPUTED_VALUE"""),"10.5167--uzh-210002.pdf")</f>
        <v>10.5167--uzh-210002.pdf</v>
      </c>
      <c r="D231" s="159" t="str">
        <f>IFERROR(__xludf.DUMMYFUNCTION("""COMPUTED_VALUE"""),"application/pdf")</f>
        <v>application/pdf</v>
      </c>
    </row>
    <row r="232">
      <c r="A232" s="159" t="str">
        <f>IFERROR(__xludf.DUMMYFUNCTION("""COMPUTED_VALUE"""),"10.1037/pspp0000147")</f>
        <v>10.1037/pspp0000147</v>
      </c>
      <c r="B232" s="680" t="str">
        <f>IFERROR(__xludf.DUMMYFUNCTION("""COMPUTED_VALUE"""),"https://drive.google.com/file/d/1IarGUyhe26rloCsHHJ6hi0st2zvT2W-O/view?usp=drivesdk")</f>
        <v>https://drive.google.com/file/d/1IarGUyhe26rloCsHHJ6hi0st2zvT2W-O/view?usp=drivesdk</v>
      </c>
      <c r="C232" s="159" t="str">
        <f>IFERROR(__xludf.DUMMYFUNCTION("""COMPUTED_VALUE"""),"10.1037--pspp0000147.pdf")</f>
        <v>10.1037--pspp0000147.pdf</v>
      </c>
      <c r="D232" s="159" t="str">
        <f>IFERROR(__xludf.DUMMYFUNCTION("""COMPUTED_VALUE"""),"application/pdf")</f>
        <v>application/pdf</v>
      </c>
    </row>
    <row r="233">
      <c r="A233" s="159" t="str">
        <f>IFERROR(__xludf.DUMMYFUNCTION("""COMPUTED_VALUE"""),"10.1007/s10648-015-9330-6")</f>
        <v>10.1007/s10648-015-9330-6</v>
      </c>
      <c r="B233" s="680" t="str">
        <f>IFERROR(__xludf.DUMMYFUNCTION("""COMPUTED_VALUE"""),"https://drive.google.com/file/d/1ztYdIKI_8jjP6NRCt3lG0WtH48DjHqDH/view?usp=drivesdk")</f>
        <v>https://drive.google.com/file/d/1ztYdIKI_8jjP6NRCt3lG0WtH48DjHqDH/view?usp=drivesdk</v>
      </c>
      <c r="C233" s="159" t="str">
        <f>IFERROR(__xludf.DUMMYFUNCTION("""COMPUTED_VALUE"""),"10.1007--s10648-015-9330-6.pdf")</f>
        <v>10.1007--s10648-015-9330-6.pdf</v>
      </c>
      <c r="D233" s="159" t="str">
        <f>IFERROR(__xludf.DUMMYFUNCTION("""COMPUTED_VALUE"""),"application/pdf")</f>
        <v>application/pdf</v>
      </c>
    </row>
    <row r="234">
      <c r="A234" s="159" t="str">
        <f>IFERROR(__xludf.DUMMYFUNCTION("""COMPUTED_VALUE"""),"10.1177/0956797614524581")</f>
        <v>10.1177/0956797614524581</v>
      </c>
      <c r="B234" s="680" t="str">
        <f>IFERROR(__xludf.DUMMYFUNCTION("""COMPUTED_VALUE"""),"https://drive.google.com/file/d/15JdcgriZxS3q0ijJlGm5-aEN1XxmveSb/view?usp=drivesdk")</f>
        <v>https://drive.google.com/file/d/15JdcgriZxS3q0ijJlGm5-aEN1XxmveSb/view?usp=drivesdk</v>
      </c>
      <c r="C234" s="159" t="str">
        <f>IFERROR(__xludf.DUMMYFUNCTION("""COMPUTED_VALUE"""),"10.1177--0956797614524581.pdf")</f>
        <v>10.1177--0956797614524581.pdf</v>
      </c>
      <c r="D234" s="159" t="str">
        <f>IFERROR(__xludf.DUMMYFUNCTION("""COMPUTED_VALUE"""),"application/pdf")</f>
        <v>application/pdf</v>
      </c>
    </row>
    <row r="235">
      <c r="A235" s="159" t="str">
        <f>IFERROR(__xludf.DUMMYFUNCTION("""COMPUTED_VALUE"""),"10.1007/s10648-019-09468-2")</f>
        <v>10.1007/s10648-019-09468-2</v>
      </c>
      <c r="B235" s="680" t="str">
        <f>IFERROR(__xludf.DUMMYFUNCTION("""COMPUTED_VALUE"""),"https://drive.google.com/file/d/1pmtZO6fryY1ys1wSrzl-XXT3AbyzViZx/view?usp=drivesdk")</f>
        <v>https://drive.google.com/file/d/1pmtZO6fryY1ys1wSrzl-XXT3AbyzViZx/view?usp=drivesdk</v>
      </c>
      <c r="C235" s="159" t="str">
        <f>IFERROR(__xludf.DUMMYFUNCTION("""COMPUTED_VALUE"""),"10.1007--s10648-019-09468-2.pdf")</f>
        <v>10.1007--s10648-019-09468-2.pdf</v>
      </c>
      <c r="D235" s="159" t="str">
        <f>IFERROR(__xludf.DUMMYFUNCTION("""COMPUTED_VALUE"""),"application/pdf")</f>
        <v>application/pdf</v>
      </c>
    </row>
    <row r="236">
      <c r="A236" s="159" t="str">
        <f>IFERROR(__xludf.DUMMYFUNCTION("""COMPUTED_VALUE"""),"10.1002/rrq.039")</f>
        <v>10.1002/rrq.039</v>
      </c>
      <c r="B236" s="680" t="str">
        <f>IFERROR(__xludf.DUMMYFUNCTION("""COMPUTED_VALUE"""),"https://drive.google.com/file/d/1SEWwRrJP6-utCbKzbaL1rvBsgZwsbQOA/view?usp=drivesdk")</f>
        <v>https://drive.google.com/file/d/1SEWwRrJP6-utCbKzbaL1rvBsgZwsbQOA/view?usp=drivesdk</v>
      </c>
      <c r="C236" s="159" t="str">
        <f>IFERROR(__xludf.DUMMYFUNCTION("""COMPUTED_VALUE"""),"10.1002--rrq.039.pdf")</f>
        <v>10.1002--rrq.039.pdf</v>
      </c>
      <c r="D236" s="159" t="str">
        <f>IFERROR(__xludf.DUMMYFUNCTION("""COMPUTED_VALUE"""),"application/pdf")</f>
        <v>application/pdf</v>
      </c>
    </row>
    <row r="237">
      <c r="A237" s="159" t="str">
        <f>IFERROR(__xludf.DUMMYFUNCTION("""COMPUTED_VALUE"""),"10.1007/s10648-014-9274-2")</f>
        <v>10.1007/s10648-014-9274-2</v>
      </c>
      <c r="B237" s="680" t="str">
        <f>IFERROR(__xludf.DUMMYFUNCTION("""COMPUTED_VALUE"""),"https://drive.google.com/file/d/1np5ztwi6l5929YXEH-UXqEmF-_fHmQKk/view?usp=drivesdk")</f>
        <v>https://drive.google.com/file/d/1np5ztwi6l5929YXEH-UXqEmF-_fHmQKk/view?usp=drivesdk</v>
      </c>
      <c r="C237" s="159" t="str">
        <f>IFERROR(__xludf.DUMMYFUNCTION("""COMPUTED_VALUE"""),"10.1007--s10648-014-9274-2.pdf")</f>
        <v>10.1007--s10648-014-9274-2.pdf</v>
      </c>
      <c r="D237" s="159" t="str">
        <f>IFERROR(__xludf.DUMMYFUNCTION("""COMPUTED_VALUE"""),"application/pdf")</f>
        <v>application/pdf</v>
      </c>
    </row>
    <row r="238">
      <c r="A238" s="159" t="str">
        <f>IFERROR(__xludf.DUMMYFUNCTION("""COMPUTED_VALUE"""),"10.1037/0022-0663.98.4.777")</f>
        <v>10.1037/0022-0663.98.4.777</v>
      </c>
      <c r="B238" s="680" t="str">
        <f>IFERROR(__xludf.DUMMYFUNCTION("""COMPUTED_VALUE"""),"https://drive.google.com/file/d/10YYe6LmJleDzaZbhagpTh80kuVCUjdAb/view?usp=drivesdk")</f>
        <v>https://drive.google.com/file/d/10YYe6LmJleDzaZbhagpTh80kuVCUjdAb/view?usp=drivesdk</v>
      </c>
      <c r="C238" s="159" t="str">
        <f>IFERROR(__xludf.DUMMYFUNCTION("""COMPUTED_VALUE"""),"10.1037--0022-0663.98.4.777.pdf")</f>
        <v>10.1037--0022-0663.98.4.777.pdf</v>
      </c>
      <c r="D238" s="159" t="str">
        <f>IFERROR(__xludf.DUMMYFUNCTION("""COMPUTED_VALUE"""),"application/pdf")</f>
        <v>application/pdf</v>
      </c>
    </row>
    <row r="239">
      <c r="A239" s="159" t="str">
        <f>IFERROR(__xludf.DUMMYFUNCTION("""COMPUTED_VALUE"""),"10.1007/s10648-012-9193-z")</f>
        <v>10.1007/s10648-012-9193-z</v>
      </c>
      <c r="B239" s="680" t="str">
        <f>IFERROR(__xludf.DUMMYFUNCTION("""COMPUTED_VALUE"""),"https://drive.google.com/file/d/1l85VaWZmljVEoRZjoA3SnYrWdAKQ3t_g/view?usp=drivesdk")</f>
        <v>https://drive.google.com/file/d/1l85VaWZmljVEoRZjoA3SnYrWdAKQ3t_g/view?usp=drivesdk</v>
      </c>
      <c r="C239" s="159" t="str">
        <f>IFERROR(__xludf.DUMMYFUNCTION("""COMPUTED_VALUE"""),"10.1007--s10648-012-9193-z.pdf")</f>
        <v>10.1007--s10648-012-9193-z.pdf</v>
      </c>
      <c r="D239" s="159" t="str">
        <f>IFERROR(__xludf.DUMMYFUNCTION("""COMPUTED_VALUE"""),"application/pdf")</f>
        <v>application/pdf</v>
      </c>
    </row>
    <row r="240">
      <c r="A240" s="159" t="str">
        <f>IFERROR(__xludf.DUMMYFUNCTION("""COMPUTED_VALUE"""),"10.1037/0022-3514.77.4.785")</f>
        <v>10.1037/0022-3514.77.4.785</v>
      </c>
      <c r="B240" s="680" t="str">
        <f>IFERROR(__xludf.DUMMYFUNCTION("""COMPUTED_VALUE"""),"https://drive.google.com/file/d/19BYjzsMkYCiipD-HEqq4sHumZDCTO5SQ/view?usp=drivesdk")</f>
        <v>https://drive.google.com/file/d/19BYjzsMkYCiipD-HEqq4sHumZDCTO5SQ/view?usp=drivesdk</v>
      </c>
      <c r="C240" s="159" t="str">
        <f>IFERROR(__xludf.DUMMYFUNCTION("""COMPUTED_VALUE"""),"10.1037--0022-3514.77.4.785.pdf")</f>
        <v>10.1037--0022-3514.77.4.785.pdf</v>
      </c>
      <c r="D240" s="159" t="str">
        <f>IFERROR(__xludf.DUMMYFUNCTION("""COMPUTED_VALUE"""),"application/pdf")</f>
        <v>application/pdf</v>
      </c>
    </row>
    <row r="241">
      <c r="A241" s="159" t="str">
        <f>IFERROR(__xludf.DUMMYFUNCTION("""COMPUTED_VALUE"""),"10.1073/pnas.1523586113")</f>
        <v>10.1073/pnas.1523586113</v>
      </c>
      <c r="B241" s="680" t="str">
        <f>IFERROR(__xludf.DUMMYFUNCTION("""COMPUTED_VALUE"""),"https://drive.google.com/file/d/17CimGUvhLJDkg1bbuFUCRcNLQJR1151z/view?usp=drivesdk")</f>
        <v>https://drive.google.com/file/d/17CimGUvhLJDkg1bbuFUCRcNLQJR1151z/view?usp=drivesdk</v>
      </c>
      <c r="C241" s="159" t="str">
        <f>IFERROR(__xludf.DUMMYFUNCTION("""COMPUTED_VALUE"""),"10.1073--pnas.1523586113.pdf")</f>
        <v>10.1073--pnas.1523586113.pdf</v>
      </c>
      <c r="D241" s="159" t="str">
        <f>IFERROR(__xludf.DUMMYFUNCTION("""COMPUTED_VALUE"""),"application/pdf")</f>
        <v>application/pdf</v>
      </c>
    </row>
    <row r="242">
      <c r="A242" s="159" t="str">
        <f>IFERROR(__xludf.DUMMYFUNCTION("""COMPUTED_VALUE"""),"10.1086/661890")</f>
        <v>10.1086/661890</v>
      </c>
      <c r="B242" s="680" t="str">
        <f>IFERROR(__xludf.DUMMYFUNCTION("""COMPUTED_VALUE"""),"https://drive.google.com/file/d/1fcLB4lAMMhIYG5_xSfIxQZGpuZJ18Sdr/view?usp=drivesdk")</f>
        <v>https://drive.google.com/file/d/1fcLB4lAMMhIYG5_xSfIxQZGpuZJ18Sdr/view?usp=drivesdk</v>
      </c>
      <c r="C242" s="159" t="str">
        <f>IFERROR(__xludf.DUMMYFUNCTION("""COMPUTED_VALUE"""),"10.1086--661890.pdf")</f>
        <v>10.1086--661890.pdf</v>
      </c>
      <c r="D242" s="159" t="str">
        <f>IFERROR(__xludf.DUMMYFUNCTION("""COMPUTED_VALUE"""),"application/pdf")</f>
        <v>application/pdf</v>
      </c>
    </row>
    <row r="243">
      <c r="A243" s="159" t="str">
        <f>IFERROR(__xludf.DUMMYFUNCTION("""COMPUTED_VALUE"""),"10.1038/nature03701")</f>
        <v>10.1038/nature03701</v>
      </c>
      <c r="B243" s="680" t="str">
        <f>IFERROR(__xludf.DUMMYFUNCTION("""COMPUTED_VALUE"""),"https://drive.google.com/file/d/1nYYa0gLLgCvS_g2hsEjrlxwNp7S-dCCR/view?usp=drivesdk")</f>
        <v>https://drive.google.com/file/d/1nYYa0gLLgCvS_g2hsEjrlxwNp7S-dCCR/view?usp=drivesdk</v>
      </c>
      <c r="C243" s="159" t="str">
        <f>IFERROR(__xludf.DUMMYFUNCTION("""COMPUTED_VALUE"""),"10.1038--nature03701.pdf")</f>
        <v>10.1038--nature03701.pdf</v>
      </c>
      <c r="D243" s="159" t="str">
        <f>IFERROR(__xludf.DUMMYFUNCTION("""COMPUTED_VALUE"""),"application/pdf")</f>
        <v>application/pdf</v>
      </c>
    </row>
    <row r="244">
      <c r="A244" s="159" t="str">
        <f>IFERROR(__xludf.DUMMYFUNCTION("""COMPUTED_VALUE"""),"10.1016/j.bodyim.2012.05.004")</f>
        <v>10.1016/j.bodyim.2012.05.004</v>
      </c>
      <c r="B244" s="680" t="str">
        <f>IFERROR(__xludf.DUMMYFUNCTION("""COMPUTED_VALUE"""),"https://drive.google.com/file/d/1a2ZFACxecXhPcNg3kD_X6MTEHKfKYaHV/view?usp=drivesdk")</f>
        <v>https://drive.google.com/file/d/1a2ZFACxecXhPcNg3kD_X6MTEHKfKYaHV/view?usp=drivesdk</v>
      </c>
      <c r="C244" s="159" t="str">
        <f>IFERROR(__xludf.DUMMYFUNCTION("""COMPUTED_VALUE"""),"10.1016--j.bodyim.2012.05.004.pdf")</f>
        <v>10.1016--j.bodyim.2012.05.004.pdf</v>
      </c>
      <c r="D244" s="159" t="str">
        <f>IFERROR(__xludf.DUMMYFUNCTION("""COMPUTED_VALUE"""),"application/pdf")</f>
        <v>application/pdf</v>
      </c>
    </row>
    <row r="245">
      <c r="A245" s="159" t="str">
        <f>IFERROR(__xludf.DUMMYFUNCTION("""COMPUTED_VALUE"""),"10.1371/journal.pone.0137000")</f>
        <v>10.1371/journal.pone.0137000</v>
      </c>
      <c r="B245" s="680" t="str">
        <f>IFERROR(__xludf.DUMMYFUNCTION("""COMPUTED_VALUE"""),"https://drive.google.com/file/d/1IrVsmf4IOT-xeJS2Ek22hrWc6J-o834t/view?usp=drivesdk")</f>
        <v>https://drive.google.com/file/d/1IrVsmf4IOT-xeJS2Ek22hrWc6J-o834t/view?usp=drivesdk</v>
      </c>
      <c r="C245" s="159" t="str">
        <f>IFERROR(__xludf.DUMMYFUNCTION("""COMPUTED_VALUE"""),"10.1371--journal.pone.0137000.pdf")</f>
        <v>10.1371--journal.pone.0137000.pdf</v>
      </c>
      <c r="D245" s="159" t="str">
        <f>IFERROR(__xludf.DUMMYFUNCTION("""COMPUTED_VALUE"""),"application/pdf")</f>
        <v>application/pdf</v>
      </c>
    </row>
    <row r="246">
      <c r="A246" s="159" t="str">
        <f>IFERROR(__xludf.DUMMYFUNCTION("""COMPUTED_VALUE"""),"10.1177/0956797612458804")</f>
        <v>10.1177/0956797612458804</v>
      </c>
      <c r="B246" s="680" t="str">
        <f>IFERROR(__xludf.DUMMYFUNCTION("""COMPUTED_VALUE"""),"https://drive.google.com/file/d/1Jd9MsnQd6R5R3K3dP58TuRQ5p0v1jFBb/view?usp=drivesdk")</f>
        <v>https://drive.google.com/file/d/1Jd9MsnQd6R5R3K3dP58TuRQ5p0v1jFBb/view?usp=drivesdk</v>
      </c>
      <c r="C246" s="159" t="str">
        <f>IFERROR(__xludf.DUMMYFUNCTION("""COMPUTED_VALUE"""),"10.1177--0956797612458804.pdf")</f>
        <v>10.1177--0956797612458804.pdf</v>
      </c>
      <c r="D246" s="159" t="str">
        <f>IFERROR(__xludf.DUMMYFUNCTION("""COMPUTED_VALUE"""),"application/pdf")</f>
        <v>application/pdf</v>
      </c>
    </row>
    <row r="247">
      <c r="A247" s="159" t="str">
        <f>IFERROR(__xludf.DUMMYFUNCTION("""COMPUTED_VALUE"""),"10.3928/0048-5713-19951201-07")</f>
        <v>10.3928/0048-5713-19951201-07</v>
      </c>
      <c r="B247" s="680" t="str">
        <f>IFERROR(__xludf.DUMMYFUNCTION("""COMPUTED_VALUE"""),"https://drive.google.com/file/d/15ZZ9b0Pz3TA5Fk8pU9NM9W5STlvE7q_w/view?usp=drivesdk")</f>
        <v>https://drive.google.com/file/d/15ZZ9b0Pz3TA5Fk8pU9NM9W5STlvE7q_w/view?usp=drivesdk</v>
      </c>
      <c r="C247" s="159" t="str">
        <f>IFERROR(__xludf.DUMMYFUNCTION("""COMPUTED_VALUE"""),"10.3928--0048-5713-19951201-07.pdf")</f>
        <v>10.3928--0048-5713-19951201-07.pdf</v>
      </c>
      <c r="D247" s="159" t="str">
        <f>IFERROR(__xludf.DUMMYFUNCTION("""COMPUTED_VALUE"""),"application/pdf")</f>
        <v>application/pdf</v>
      </c>
    </row>
    <row r="248">
      <c r="A248" s="159" t="str">
        <f>IFERROR(__xludf.DUMMYFUNCTION("""COMPUTED_VALUE"""),"10.15626/mp.2020.2538")</f>
        <v>10.15626/mp.2020.2538</v>
      </c>
      <c r="B248" s="680" t="str">
        <f>IFERROR(__xludf.DUMMYFUNCTION("""COMPUTED_VALUE"""),"https://drive.google.com/file/d/1LUKsOQ0PBWeX-dWwj0M26kBRPbnX3UdU/view?usp=drivesdk")</f>
        <v>https://drive.google.com/file/d/1LUKsOQ0PBWeX-dWwj0M26kBRPbnX3UdU/view?usp=drivesdk</v>
      </c>
      <c r="C248" s="159" t="str">
        <f>IFERROR(__xludf.DUMMYFUNCTION("""COMPUTED_VALUE"""),"10.15626--MP.2020.2538.pdf")</f>
        <v>10.15626--MP.2020.2538.pdf</v>
      </c>
      <c r="D248" s="159" t="str">
        <f>IFERROR(__xludf.DUMMYFUNCTION("""COMPUTED_VALUE"""),"application/pdf")</f>
        <v>application/pdf</v>
      </c>
    </row>
    <row r="249">
      <c r="A249" s="159" t="str">
        <f>IFERROR(__xludf.DUMMYFUNCTION("""COMPUTED_VALUE"""),"10.1080/00224545.2022.2036670")</f>
        <v>10.1080/00224545.2022.2036670</v>
      </c>
      <c r="B249" s="680" t="str">
        <f>IFERROR(__xludf.DUMMYFUNCTION("""COMPUTED_VALUE"""),"https://drive.google.com/file/d/1-sPLPEF4sp3j_E7-v4v7o18jBkSnNWAQ/view?usp=drivesdk")</f>
        <v>https://drive.google.com/file/d/1-sPLPEF4sp3j_E7-v4v7o18jBkSnNWAQ/view?usp=drivesdk</v>
      </c>
      <c r="C249" s="159" t="str">
        <f>IFERROR(__xludf.DUMMYFUNCTION("""COMPUTED_VALUE"""),"10.1080--00224545.2022.2036670.pdf")</f>
        <v>10.1080--00224545.2022.2036670.pdf</v>
      </c>
      <c r="D249" s="159" t="str">
        <f>IFERROR(__xludf.DUMMYFUNCTION("""COMPUTED_VALUE"""),"application/pdf")</f>
        <v>application/pdf</v>
      </c>
    </row>
    <row r="250">
      <c r="A250" s="159" t="str">
        <f>IFERROR(__xludf.DUMMYFUNCTION("""COMPUTED_VALUE"""),"10.31234/osf.io/uhbk9")</f>
        <v>10.31234/osf.io/uhbk9</v>
      </c>
      <c r="B250" s="680" t="str">
        <f>IFERROR(__xludf.DUMMYFUNCTION("""COMPUTED_VALUE"""),"https://drive.google.com/file/d/1P6__eckbdkv4HtK-z5a0UTlnCMY2vp5O/view?usp=drivesdk")</f>
        <v>https://drive.google.com/file/d/1P6__eckbdkv4HtK-z5a0UTlnCMY2vp5O/view?usp=drivesdk</v>
      </c>
      <c r="C250" s="159" t="str">
        <f>IFERROR(__xludf.DUMMYFUNCTION("""COMPUTED_VALUE"""),"10.31234--osf.io--uhbk9.pdf")</f>
        <v>10.31234--osf.io--uhbk9.pdf</v>
      </c>
      <c r="D250" s="159" t="str">
        <f>IFERROR(__xludf.DUMMYFUNCTION("""COMPUTED_VALUE"""),"application/pdf")</f>
        <v>application/pdf</v>
      </c>
    </row>
    <row r="251">
      <c r="A251" s="159" t="str">
        <f>IFERROR(__xludf.DUMMYFUNCTION("""COMPUTED_VALUE"""),"10.1080/09658211.2023.2198327")</f>
        <v>10.1080/09658211.2023.2198327</v>
      </c>
      <c r="B251" s="680" t="str">
        <f>IFERROR(__xludf.DUMMYFUNCTION("""COMPUTED_VALUE"""),"https://drive.google.com/file/d/1BLm9m9zQbKmIQvYYdQuYw0qUzxfkwOrr/view?usp=drivesdk")</f>
        <v>https://drive.google.com/file/d/1BLm9m9zQbKmIQvYYdQuYw0qUzxfkwOrr/view?usp=drivesdk</v>
      </c>
      <c r="C251" s="159" t="str">
        <f>IFERROR(__xludf.DUMMYFUNCTION("""COMPUTED_VALUE"""),"10.1080--09658211.2023.2198327.pdf")</f>
        <v>10.1080--09658211.2023.2198327.pdf</v>
      </c>
      <c r="D251" s="159" t="str">
        <f>IFERROR(__xludf.DUMMYFUNCTION("""COMPUTED_VALUE"""),"application/pdf")</f>
        <v>application/pdf</v>
      </c>
    </row>
    <row r="252">
      <c r="A252" s="159" t="str">
        <f>IFERROR(__xludf.DUMMYFUNCTION("""COMPUTED_VALUE"""),"10.1016/j.cortex.2022.10.005")</f>
        <v>10.1016/j.cortex.2022.10.005</v>
      </c>
      <c r="B252" s="680" t="str">
        <f>IFERROR(__xludf.DUMMYFUNCTION("""COMPUTED_VALUE"""),"https://drive.google.com/file/d/1dLdBc3oYaUpmAkv8ifMPAnoUfM2wXSEc/view?usp=drivesdk")</f>
        <v>https://drive.google.com/file/d/1dLdBc3oYaUpmAkv8ifMPAnoUfM2wXSEc/view?usp=drivesdk</v>
      </c>
      <c r="C252" s="159" t="str">
        <f>IFERROR(__xludf.DUMMYFUNCTION("""COMPUTED_VALUE"""),"10.1016--j.cortex.2022.10.005.pdf")</f>
        <v>10.1016--j.cortex.2022.10.005.pdf</v>
      </c>
      <c r="D252" s="159" t="str">
        <f>IFERROR(__xludf.DUMMYFUNCTION("""COMPUTED_VALUE"""),"application/pdf")</f>
        <v>application/pdf</v>
      </c>
    </row>
    <row r="253">
      <c r="A253" s="159" t="str">
        <f>IFERROR(__xludf.DUMMYFUNCTION("""COMPUTED_VALUE"""),"10.1177/1091142117721739")</f>
        <v>10.1177/1091142117721739</v>
      </c>
      <c r="B253" s="680" t="str">
        <f>IFERROR(__xludf.DUMMYFUNCTION("""COMPUTED_VALUE"""),"https://drive.google.com/file/d/1LlyFdxum4y8lQ-J8ULEq4iY--wT0XEnX/view?usp=drivesdk")</f>
        <v>https://drive.google.com/file/d/1LlyFdxum4y8lQ-J8ULEq4iY--wT0XEnX/view?usp=drivesdk</v>
      </c>
      <c r="C253" s="159" t="str">
        <f>IFERROR(__xludf.DUMMYFUNCTION("""COMPUTED_VALUE"""),"10.1177--1091142117721739.pdf")</f>
        <v>10.1177--1091142117721739.pdf</v>
      </c>
      <c r="D253" s="159" t="str">
        <f>IFERROR(__xludf.DUMMYFUNCTION("""COMPUTED_VALUE"""),"application/pdf")</f>
        <v>application/pdf</v>
      </c>
    </row>
    <row r="254">
      <c r="A254" s="159" t="str">
        <f>IFERROR(__xludf.DUMMYFUNCTION("""COMPUTED_VALUE"""),"10.1111/j.1471-6402.1997.tb00120.x")</f>
        <v>10.1111/j.1471-6402.1997.tb00120.x</v>
      </c>
      <c r="B254" s="680" t="str">
        <f>IFERROR(__xludf.DUMMYFUNCTION("""COMPUTED_VALUE"""),"https://drive.google.com/file/d/12nsEg-XCgHkt5qqhUPjUiPb-0cgLFkuB/view?usp=drivesdk")</f>
        <v>https://drive.google.com/file/d/12nsEg-XCgHkt5qqhUPjUiPb-0cgLFkuB/view?usp=drivesdk</v>
      </c>
      <c r="C254" s="159" t="str">
        <f>IFERROR(__xludf.DUMMYFUNCTION("""COMPUTED_VALUE"""),"10.1111--j.1471-6402.1997.tb00120.x.pdf")</f>
        <v>10.1111--j.1471-6402.1997.tb00120.x.pdf</v>
      </c>
      <c r="D254" s="159" t="str">
        <f>IFERROR(__xludf.DUMMYFUNCTION("""COMPUTED_VALUE"""),"application/pdf")</f>
        <v>application/pdf</v>
      </c>
    </row>
    <row r="255">
      <c r="A255" s="159" t="str">
        <f>IFERROR(__xludf.DUMMYFUNCTION("""COMPUTED_VALUE"""),"10.1177/0956797619835768")</f>
        <v>10.1177/0956797619835768</v>
      </c>
      <c r="B255" s="680" t="str">
        <f>IFERROR(__xludf.DUMMYFUNCTION("""COMPUTED_VALUE"""),"https://drive.google.com/file/d/1saWLjS-kipdtKgZWmmOraj_vYJ5_c585/view?usp=drivesdk")</f>
        <v>https://drive.google.com/file/d/1saWLjS-kipdtKgZWmmOraj_vYJ5_c585/view?usp=drivesdk</v>
      </c>
      <c r="C255" s="159" t="str">
        <f>IFERROR(__xludf.DUMMYFUNCTION("""COMPUTED_VALUE"""),"10.1177--0956797619835768.pdf")</f>
        <v>10.1177--0956797619835768.pdf</v>
      </c>
      <c r="D255" s="159" t="str">
        <f>IFERROR(__xludf.DUMMYFUNCTION("""COMPUTED_VALUE"""),"application/pdf")</f>
        <v>application/pdf</v>
      </c>
    </row>
    <row r="256">
      <c r="A256" s="159" t="str">
        <f>IFERROR(__xludf.DUMMYFUNCTION("""COMPUTED_VALUE"""),"10.1111/pops.12505")</f>
        <v>10.1111/pops.12505</v>
      </c>
      <c r="B256" s="680" t="str">
        <f>IFERROR(__xludf.DUMMYFUNCTION("""COMPUTED_VALUE"""),"https://drive.google.com/file/d/1Ry6FucHklLIQeRbNX3Cjdl8al-P4HIWM/view?usp=drivesdk")</f>
        <v>https://drive.google.com/file/d/1Ry6FucHklLIQeRbNX3Cjdl8al-P4HIWM/view?usp=drivesdk</v>
      </c>
      <c r="C256" s="159" t="str">
        <f>IFERROR(__xludf.DUMMYFUNCTION("""COMPUTED_VALUE"""),"10.1111--pops.12505.pdf")</f>
        <v>10.1111--pops.12505.pdf</v>
      </c>
      <c r="D256" s="159" t="str">
        <f>IFERROR(__xludf.DUMMYFUNCTION("""COMPUTED_VALUE"""),"application/pdf")</f>
        <v>application/pdf</v>
      </c>
    </row>
    <row r="257">
      <c r="A257" s="159" t="str">
        <f>IFERROR(__xludf.DUMMYFUNCTION("""COMPUTED_VALUE"""),"10.1016/j.cortex.2017.03.007")</f>
        <v>10.1016/j.cortex.2017.03.007</v>
      </c>
      <c r="B257" s="680" t="str">
        <f>IFERROR(__xludf.DUMMYFUNCTION("""COMPUTED_VALUE"""),"https://drive.google.com/file/d/17k5CukbPIp4AD2KEcHMwWy7Nop_vLLeM/view?usp=drivesdk")</f>
        <v>https://drive.google.com/file/d/17k5CukbPIp4AD2KEcHMwWy7Nop_vLLeM/view?usp=drivesdk</v>
      </c>
      <c r="C257" s="159" t="str">
        <f>IFERROR(__xludf.DUMMYFUNCTION("""COMPUTED_VALUE"""),"10.1016--j.cortex.2017.03.007.pdf")</f>
        <v>10.1016--j.cortex.2017.03.007.pdf</v>
      </c>
      <c r="D257" s="159" t="str">
        <f>IFERROR(__xludf.DUMMYFUNCTION("""COMPUTED_VALUE"""),"application/pdf")</f>
        <v>application/pdf</v>
      </c>
    </row>
    <row r="258">
      <c r="A258" s="159" t="str">
        <f>IFERROR(__xludf.DUMMYFUNCTION("""COMPUTED_VALUE"""),"10.1098/rsos.171127")</f>
        <v>10.1098/rsos.171127</v>
      </c>
      <c r="B258" s="680" t="str">
        <f>IFERROR(__xludf.DUMMYFUNCTION("""COMPUTED_VALUE"""),"https://drive.google.com/file/d/1SB5hLHPsOGngwfGReki2o4frfyK_qamd/view?usp=drivesdk")</f>
        <v>https://drive.google.com/file/d/1SB5hLHPsOGngwfGReki2o4frfyK_qamd/view?usp=drivesdk</v>
      </c>
      <c r="C258" s="159" t="str">
        <f>IFERROR(__xludf.DUMMYFUNCTION("""COMPUTED_VALUE"""),"10.1098--rsos.171127.pdf")</f>
        <v>10.1098--rsos.171127.pdf</v>
      </c>
      <c r="D258" s="159" t="str">
        <f>IFERROR(__xludf.DUMMYFUNCTION("""COMPUTED_VALUE"""),"application/pdf")</f>
        <v>application/pdf</v>
      </c>
    </row>
    <row r="259">
      <c r="A259" s="159" t="str">
        <f>IFERROR(__xludf.DUMMYFUNCTION("""COMPUTED_VALUE"""),"10.1098/rsos.191795")</f>
        <v>10.1098/rsos.191795</v>
      </c>
      <c r="B259" s="680" t="str">
        <f>IFERROR(__xludf.DUMMYFUNCTION("""COMPUTED_VALUE"""),"https://drive.google.com/file/d/1SHt-8pn9bvsma7o8SjTFplcg2pFFbPAz/view?usp=drivesdk")</f>
        <v>https://drive.google.com/file/d/1SHt-8pn9bvsma7o8SjTFplcg2pFFbPAz/view?usp=drivesdk</v>
      </c>
      <c r="C259" s="159" t="str">
        <f>IFERROR(__xludf.DUMMYFUNCTION("""COMPUTED_VALUE"""),"10.1098--rsos.191795.pdf")</f>
        <v>10.1098--rsos.191795.pdf</v>
      </c>
      <c r="D259" s="159" t="str">
        <f>IFERROR(__xludf.DUMMYFUNCTION("""COMPUTED_VALUE"""),"application/pdf")</f>
        <v>application/pdf</v>
      </c>
    </row>
    <row r="260">
      <c r="A260" s="159" t="str">
        <f>IFERROR(__xludf.DUMMYFUNCTION("""COMPUTED_VALUE"""),"10.1177/09567976211024535")</f>
        <v>10.1177/09567976211024535</v>
      </c>
      <c r="B260" s="680" t="str">
        <f>IFERROR(__xludf.DUMMYFUNCTION("""COMPUTED_VALUE"""),"https://drive.google.com/file/d/1uabCd7tRzuYbMgMYfngWf8jyCb968QZU/view?usp=drivesdk")</f>
        <v>https://drive.google.com/file/d/1uabCd7tRzuYbMgMYfngWf8jyCb968QZU/view?usp=drivesdk</v>
      </c>
      <c r="C260" s="159" t="str">
        <f>IFERROR(__xludf.DUMMYFUNCTION("""COMPUTED_VALUE"""),"10.1177--09567976211024535.pdf")</f>
        <v>10.1177--09567976211024535.pdf</v>
      </c>
      <c r="D260" s="159" t="str">
        <f>IFERROR(__xludf.DUMMYFUNCTION("""COMPUTED_VALUE"""),"application/pdf")</f>
        <v>application/pdf</v>
      </c>
    </row>
    <row r="261">
      <c r="A261" s="159" t="str">
        <f>IFERROR(__xludf.DUMMYFUNCTION("""COMPUTED_VALUE"""),"10.1080/02699931.2018.1468732")</f>
        <v>10.1080/02699931.2018.1468732</v>
      </c>
      <c r="B261" s="680" t="str">
        <f>IFERROR(__xludf.DUMMYFUNCTION("""COMPUTED_VALUE"""),"https://drive.google.com/file/d/1vrK0UJ_8hyDpbgm2_MkPAqowaajwo8Pm/view?usp=drivesdk")</f>
        <v>https://drive.google.com/file/d/1vrK0UJ_8hyDpbgm2_MkPAqowaajwo8Pm/view?usp=drivesdk</v>
      </c>
      <c r="C261" s="159" t="str">
        <f>IFERROR(__xludf.DUMMYFUNCTION("""COMPUTED_VALUE"""),"10.1080--02699931.2018.1468732.pdf")</f>
        <v>10.1080--02699931.2018.1468732.pdf</v>
      </c>
      <c r="D261" s="159" t="str">
        <f>IFERROR(__xludf.DUMMYFUNCTION("""COMPUTED_VALUE"""),"application/pdf")</f>
        <v>application/pdf</v>
      </c>
    </row>
    <row r="262">
      <c r="A262" s="159" t="str">
        <f>IFERROR(__xludf.DUMMYFUNCTION("""COMPUTED_VALUE"""),"10.1177/2167702619859335")</f>
        <v>10.1177/2167702619859335</v>
      </c>
      <c r="B262" s="680" t="str">
        <f>IFERROR(__xludf.DUMMYFUNCTION("""COMPUTED_VALUE"""),"https://drive.google.com/file/d/1739jbksBFcYjKBdmZoaC7IXQS965DJ3J/view?usp=drivesdk")</f>
        <v>https://drive.google.com/file/d/1739jbksBFcYjKBdmZoaC7IXQS965DJ3J/view?usp=drivesdk</v>
      </c>
      <c r="C262" s="159" t="str">
        <f>IFERROR(__xludf.DUMMYFUNCTION("""COMPUTED_VALUE"""),"10.1177--2167702619859335.pdf")</f>
        <v>10.1177--2167702619859335.pdf</v>
      </c>
      <c r="D262" s="159" t="str">
        <f>IFERROR(__xludf.DUMMYFUNCTION("""COMPUTED_VALUE"""),"application/pdf")</f>
        <v>application/pdf</v>
      </c>
    </row>
    <row r="263">
      <c r="A263" s="159" t="str">
        <f>IFERROR(__xludf.DUMMYFUNCTION("""COMPUTED_VALUE"""),"10.1371/journal.pone.0051382")</f>
        <v>10.1371/journal.pone.0051382</v>
      </c>
      <c r="B263" s="680" t="str">
        <f>IFERROR(__xludf.DUMMYFUNCTION("""COMPUTED_VALUE"""),"https://drive.google.com/file/d/16HEvSk60ES-i1kvKDnwAGvkzVfGYfT-S/view?usp=drivesdk")</f>
        <v>https://drive.google.com/file/d/16HEvSk60ES-i1kvKDnwAGvkzVfGYfT-S/view?usp=drivesdk</v>
      </c>
      <c r="C263" s="159" t="str">
        <f>IFERROR(__xludf.DUMMYFUNCTION("""COMPUTED_VALUE"""),"10.1371--journal.pone.0051382.pdf")</f>
        <v>10.1371--journal.pone.0051382.pdf</v>
      </c>
      <c r="D263" s="159" t="str">
        <f>IFERROR(__xludf.DUMMYFUNCTION("""COMPUTED_VALUE"""),"application/pdf")</f>
        <v>application/pdf</v>
      </c>
    </row>
    <row r="264">
      <c r="A264" s="159" t="str">
        <f>IFERROR(__xludf.DUMMYFUNCTION("""COMPUTED_VALUE"""),"10.3758/s13421-018-0803-y")</f>
        <v>10.3758/s13421-018-0803-y</v>
      </c>
      <c r="B264" s="680" t="str">
        <f>IFERROR(__xludf.DUMMYFUNCTION("""COMPUTED_VALUE"""),"https://drive.google.com/file/d/1nTnzddYTwxxy0iyhnksJQNz8SimJnchv/view?usp=drivesdk")</f>
        <v>https://drive.google.com/file/d/1nTnzddYTwxxy0iyhnksJQNz8SimJnchv/view?usp=drivesdk</v>
      </c>
      <c r="C264" s="159" t="str">
        <f>IFERROR(__xludf.DUMMYFUNCTION("""COMPUTED_VALUE"""),"10.3758--s13421-018-0803-y.pdf")</f>
        <v>10.3758--s13421-018-0803-y.pdf</v>
      </c>
      <c r="D264" s="159" t="str">
        <f>IFERROR(__xludf.DUMMYFUNCTION("""COMPUTED_VALUE"""),"application/pdf")</f>
        <v>application/pdf</v>
      </c>
    </row>
    <row r="265">
      <c r="A265" s="159" t="str">
        <f>IFERROR(__xludf.DUMMYFUNCTION("""COMPUTED_VALUE"""),"10.1016/j.bodyim.2021.05.005")</f>
        <v>10.1016/j.bodyim.2021.05.005</v>
      </c>
      <c r="B265" s="680" t="str">
        <f>IFERROR(__xludf.DUMMYFUNCTION("""COMPUTED_VALUE"""),"https://drive.google.com/file/d/180QB6T6E8AomkzG_Et8jvS_s7FB-J01s/view?usp=drivesdk")</f>
        <v>https://drive.google.com/file/d/180QB6T6E8AomkzG_Et8jvS_s7FB-J01s/view?usp=drivesdk</v>
      </c>
      <c r="C265" s="159" t="str">
        <f>IFERROR(__xludf.DUMMYFUNCTION("""COMPUTED_VALUE"""),"10.1016--j.bodyim.2021.05.005.pdf")</f>
        <v>10.1016--j.bodyim.2021.05.005.pdf</v>
      </c>
      <c r="D265" s="159" t="str">
        <f>IFERROR(__xludf.DUMMYFUNCTION("""COMPUTED_VALUE"""),"application/pdf")</f>
        <v>application/pdf</v>
      </c>
    </row>
    <row r="266">
      <c r="A266" s="159" t="str">
        <f>IFERROR(__xludf.DUMMYFUNCTION("""COMPUTED_VALUE"""),"10.1162/0033553041502153")</f>
        <v>10.1162/0033553041502153</v>
      </c>
      <c r="B266" s="680" t="str">
        <f>IFERROR(__xludf.DUMMYFUNCTION("""COMPUTED_VALUE"""),"https://drive.google.com/file/d/186z10d8mVaYGccEPrM1n7UChuShJcEwS/view?usp=drivesdk")</f>
        <v>https://drive.google.com/file/d/186z10d8mVaYGccEPrM1n7UChuShJcEwS/view?usp=drivesdk</v>
      </c>
      <c r="C266" s="159" t="str">
        <f>IFERROR(__xludf.DUMMYFUNCTION("""COMPUTED_VALUE"""),"10.1162--0033553041502153.pdf")</f>
        <v>10.1162--0033553041502153.pdf</v>
      </c>
      <c r="D266" s="159" t="str">
        <f>IFERROR(__xludf.DUMMYFUNCTION("""COMPUTED_VALUE"""),"application/pdf")</f>
        <v>application/pdf</v>
      </c>
    </row>
    <row r="267">
      <c r="A267" s="159" t="str">
        <f>IFERROR(__xludf.DUMMYFUNCTION("""COMPUTED_VALUE"""),"10.1037/h0029611")</f>
        <v>10.1037/h0029611</v>
      </c>
      <c r="B267" s="680" t="str">
        <f>IFERROR(__xludf.DUMMYFUNCTION("""COMPUTED_VALUE"""),"https://drive.google.com/file/d/1GOfCc2jEzxfcB5NWPoKxmn-R6splM-mt/view?usp=drivesdk")</f>
        <v>https://drive.google.com/file/d/1GOfCc2jEzxfcB5NWPoKxmn-R6splM-mt/view?usp=drivesdk</v>
      </c>
      <c r="C267" s="159" t="str">
        <f>IFERROR(__xludf.DUMMYFUNCTION("""COMPUTED_VALUE"""),"10.1037--h0029611.pdf")</f>
        <v>10.1037--h0029611.pdf</v>
      </c>
      <c r="D267" s="159" t="str">
        <f>IFERROR(__xludf.DUMMYFUNCTION("""COMPUTED_VALUE"""),"application/pdf")</f>
        <v>application/pdf</v>
      </c>
    </row>
    <row r="268">
      <c r="A268" s="159" t="str">
        <f>IFERROR(__xludf.DUMMYFUNCTION("""COMPUTED_VALUE"""),"10.1177/0956797614548726")</f>
        <v>10.1177/0956797614548726</v>
      </c>
      <c r="B268" s="680" t="str">
        <f>IFERROR(__xludf.DUMMYFUNCTION("""COMPUTED_VALUE"""),"https://drive.google.com/file/d/1DV_bvC2F5r5Q7NYNgqE5RD615FWWumua/view?usp=drivesdk")</f>
        <v>https://drive.google.com/file/d/1DV_bvC2F5r5Q7NYNgqE5RD615FWWumua/view?usp=drivesdk</v>
      </c>
      <c r="C268" s="159" t="str">
        <f>IFERROR(__xludf.DUMMYFUNCTION("""COMPUTED_VALUE"""),"10.1177--0956797614548726.pdf")</f>
        <v>10.1177--0956797614548726.pdf</v>
      </c>
      <c r="D268" s="159" t="str">
        <f>IFERROR(__xludf.DUMMYFUNCTION("""COMPUTED_VALUE"""),"application/pdf")</f>
        <v>application/pdf</v>
      </c>
    </row>
    <row r="269">
      <c r="A269" s="159" t="str">
        <f>IFERROR(__xludf.DUMMYFUNCTION("""COMPUTED_VALUE"""),"10.2139/ssrn.1798773")</f>
        <v>10.2139/ssrn.1798773</v>
      </c>
      <c r="B269" s="680" t="str">
        <f>IFERROR(__xludf.DUMMYFUNCTION("""COMPUTED_VALUE"""),"https://drive.google.com/file/d/1Dtnm-IfcnVdYh2VDYnB8KTfjN5XbfR6U/view?usp=drivesdk")</f>
        <v>https://drive.google.com/file/d/1Dtnm-IfcnVdYh2VDYnB8KTfjN5XbfR6U/view?usp=drivesdk</v>
      </c>
      <c r="C269" s="159" t="str">
        <f>IFERROR(__xludf.DUMMYFUNCTION("""COMPUTED_VALUE"""),"10.2139--ssrn.1798773.pdf")</f>
        <v>10.2139--ssrn.1798773.pdf</v>
      </c>
      <c r="D269" s="159" t="str">
        <f>IFERROR(__xludf.DUMMYFUNCTION("""COMPUTED_VALUE"""),"application/pdf")</f>
        <v>application/pdf</v>
      </c>
    </row>
    <row r="270">
      <c r="A270" s="159" t="str">
        <f>IFERROR(__xludf.DUMMYFUNCTION("""COMPUTED_VALUE"""),"10.1016/j.neures.2010.07.428")</f>
        <v>10.1016/j.neures.2010.07.428</v>
      </c>
      <c r="B270" s="680" t="str">
        <f>IFERROR(__xludf.DUMMYFUNCTION("""COMPUTED_VALUE"""),"https://drive.google.com/file/d/1OJWgpK8N5khvg6csE4BjxQKlUwqJRoig/view?usp=drivesdk")</f>
        <v>https://drive.google.com/file/d/1OJWgpK8N5khvg6csE4BjxQKlUwqJRoig/view?usp=drivesdk</v>
      </c>
      <c r="C270" s="159" t="str">
        <f>IFERROR(__xludf.DUMMYFUNCTION("""COMPUTED_VALUE"""),"10.1016--j.neures.2010.07.428.pdf")</f>
        <v>10.1016--j.neures.2010.07.428.pdf</v>
      </c>
      <c r="D270" s="159" t="str">
        <f>IFERROR(__xludf.DUMMYFUNCTION("""COMPUTED_VALUE"""),"application/pdf")</f>
        <v>application/pdf</v>
      </c>
    </row>
    <row r="271">
      <c r="A271" s="159" t="str">
        <f>IFERROR(__xludf.DUMMYFUNCTION("""COMPUTED_VALUE"""),"10.1002/hbm.21275")</f>
        <v>10.1002/hbm.21275</v>
      </c>
      <c r="B271" s="680" t="str">
        <f>IFERROR(__xludf.DUMMYFUNCTION("""COMPUTED_VALUE"""),"https://drive.google.com/file/d/1c-3v_5fQZZav-toITpIWnrCKACtClmLM/view?usp=drivesdk")</f>
        <v>https://drive.google.com/file/d/1c-3v_5fQZZav-toITpIWnrCKACtClmLM/view?usp=drivesdk</v>
      </c>
      <c r="C271" s="159" t="str">
        <f>IFERROR(__xludf.DUMMYFUNCTION("""COMPUTED_VALUE"""),"10.1002--hbm.21275.pdf")</f>
        <v>10.1002--hbm.21275.pdf</v>
      </c>
      <c r="D271" s="159" t="str">
        <f>IFERROR(__xludf.DUMMYFUNCTION("""COMPUTED_VALUE"""),"application/pdf")</f>
        <v>application/pdf</v>
      </c>
    </row>
    <row r="272">
      <c r="A272" s="159" t="str">
        <f>IFERROR(__xludf.DUMMYFUNCTION("""COMPUTED_VALUE"""),"10.1086/678484")</f>
        <v>10.1086/678484</v>
      </c>
      <c r="B272" s="680" t="str">
        <f>IFERROR(__xludf.DUMMYFUNCTION("""COMPUTED_VALUE"""),"https://drive.google.com/file/d/1bt2sxnloXub_4dCp8ySCfMSk87PSKSGR/view?usp=drivesdk")</f>
        <v>https://drive.google.com/file/d/1bt2sxnloXub_4dCp8ySCfMSk87PSKSGR/view?usp=drivesdk</v>
      </c>
      <c r="C272" s="159" t="str">
        <f>IFERROR(__xludf.DUMMYFUNCTION("""COMPUTED_VALUE"""),"10.1086--678484.pdf")</f>
        <v>10.1086--678484.pdf</v>
      </c>
      <c r="D272" s="159" t="str">
        <f>IFERROR(__xludf.DUMMYFUNCTION("""COMPUTED_VALUE"""),"application/pdf")</f>
        <v>application/pdf</v>
      </c>
    </row>
    <row r="273">
      <c r="A273" s="159" t="str">
        <f>IFERROR(__xludf.DUMMYFUNCTION("""COMPUTED_VALUE"""),"10.1038/nature06288")</f>
        <v>10.1038/nature06288</v>
      </c>
      <c r="B273" s="680" t="str">
        <f>IFERROR(__xludf.DUMMYFUNCTION("""COMPUTED_VALUE"""),"https://drive.google.com/file/d/1DAF-1ME0Ox9xapd6Koii547l1xCiSYo6/view?usp=drivesdk")</f>
        <v>https://drive.google.com/file/d/1DAF-1ME0Ox9xapd6Koii547l1xCiSYo6/view?usp=drivesdk</v>
      </c>
      <c r="C273" s="159" t="str">
        <f>IFERROR(__xludf.DUMMYFUNCTION("""COMPUTED_VALUE"""),"10.1038--nature06288.pdf")</f>
        <v>10.1038--nature06288.pdf</v>
      </c>
      <c r="D273" s="159" t="str">
        <f>IFERROR(__xludf.DUMMYFUNCTION("""COMPUTED_VALUE"""),"application/pdf")</f>
        <v>application/pdf</v>
      </c>
    </row>
    <row r="274">
      <c r="A274" s="159" t="str">
        <f>IFERROR(__xludf.DUMMYFUNCTION("""COMPUTED_VALUE"""),"10.1080/87565649009540453")</f>
        <v>10.1080/87565649009540453</v>
      </c>
      <c r="B274" s="680" t="str">
        <f>IFERROR(__xludf.DUMMYFUNCTION("""COMPUTED_VALUE"""),"https://drive.google.com/file/d/1VU-u6hVIDmi3ktFEqPfK3I_RwWihJd_N/view?usp=drivesdk")</f>
        <v>https://drive.google.com/file/d/1VU-u6hVIDmi3ktFEqPfK3I_RwWihJd_N/view?usp=drivesdk</v>
      </c>
      <c r="C274" s="159" t="str">
        <f>IFERROR(__xludf.DUMMYFUNCTION("""COMPUTED_VALUE"""),"10.1080--87565649009540453.pdf")</f>
        <v>10.1080--87565649009540453.pdf</v>
      </c>
      <c r="D274" s="159" t="str">
        <f>IFERROR(__xludf.DUMMYFUNCTION("""COMPUTED_VALUE"""),"application/pdf")</f>
        <v>application/pdf</v>
      </c>
    </row>
    <row r="275">
      <c r="A275" s="159" t="str">
        <f>IFERROR(__xludf.DUMMYFUNCTION("""COMPUTED_VALUE"""),"10.1177/2167702618757658")</f>
        <v>10.1177/2167702618757658</v>
      </c>
      <c r="B275" s="680" t="str">
        <f>IFERROR(__xludf.DUMMYFUNCTION("""COMPUTED_VALUE"""),"https://drive.google.com/file/d/1JsE2aYLgg05Jy0CmD9Vn1upSh36fWFT4/view?usp=drivesdk")</f>
        <v>https://drive.google.com/file/d/1JsE2aYLgg05Jy0CmD9Vn1upSh36fWFT4/view?usp=drivesdk</v>
      </c>
      <c r="C275" s="159" t="str">
        <f>IFERROR(__xludf.DUMMYFUNCTION("""COMPUTED_VALUE"""),"10.1177--2167702618757658.pdf")</f>
        <v>10.1177--2167702618757658.pdf</v>
      </c>
      <c r="D275" s="159" t="str">
        <f>IFERROR(__xludf.DUMMYFUNCTION("""COMPUTED_VALUE"""),"application/pdf")</f>
        <v>application/pdf</v>
      </c>
    </row>
    <row r="276">
      <c r="A276" s="159" t="str">
        <f>IFERROR(__xludf.DUMMYFUNCTION("""COMPUTED_VALUE"""),"10.1111/1467-9280.00430")</f>
        <v>10.1111/1467-9280.00430</v>
      </c>
      <c r="B276" s="680" t="str">
        <f>IFERROR(__xludf.DUMMYFUNCTION("""COMPUTED_VALUE"""),"https://drive.google.com/file/d/1gclbS5ZAeFa_DfD6U3yiF5_e7_Yg90s0/view?usp=drivesdk")</f>
        <v>https://drive.google.com/file/d/1gclbS5ZAeFa_DfD6U3yiF5_e7_Yg90s0/view?usp=drivesdk</v>
      </c>
      <c r="C276" s="159" t="str">
        <f>IFERROR(__xludf.DUMMYFUNCTION("""COMPUTED_VALUE"""),"10.1111--1467-9280.00430.pdf")</f>
        <v>10.1111--1467-9280.00430.pdf</v>
      </c>
      <c r="D276" s="159" t="str">
        <f>IFERROR(__xludf.DUMMYFUNCTION("""COMPUTED_VALUE"""),"application/pdf")</f>
        <v>application/pdf</v>
      </c>
    </row>
    <row r="277">
      <c r="A277" s="159" t="str">
        <f>IFERROR(__xludf.DUMMYFUNCTION("""COMPUTED_VALUE"""),"10.1111/1467-9280.00326")</f>
        <v>10.1111/1467-9280.00326</v>
      </c>
      <c r="B277" s="680" t="str">
        <f>IFERROR(__xludf.DUMMYFUNCTION("""COMPUTED_VALUE"""),"https://drive.google.com/file/d/1ow140BOKO4jJKVAsaAC8hxqWGYkeuS6N/view?usp=drivesdk")</f>
        <v>https://drive.google.com/file/d/1ow140BOKO4jJKVAsaAC8hxqWGYkeuS6N/view?usp=drivesdk</v>
      </c>
      <c r="C277" s="159" t="str">
        <f>IFERROR(__xludf.DUMMYFUNCTION("""COMPUTED_VALUE"""),"10.1111--1467-9280.00326.pdf")</f>
        <v>10.1111--1467-9280.00326.pdf</v>
      </c>
      <c r="D277" s="159" t="str">
        <f>IFERROR(__xludf.DUMMYFUNCTION("""COMPUTED_VALUE"""),"application/pdf")</f>
        <v>application/pdf</v>
      </c>
    </row>
    <row r="278">
      <c r="A278" s="159" t="str">
        <f>IFERROR(__xludf.DUMMYFUNCTION("""COMPUTED_VALUE"""),"10.1016/j.edurev.2018.09.004")</f>
        <v>10.1016/j.edurev.2018.09.004</v>
      </c>
      <c r="B278" s="680" t="str">
        <f>IFERROR(__xludf.DUMMYFUNCTION("""COMPUTED_VALUE"""),"https://drive.google.com/file/d/1UP0BKDOHVV0mapnMroVTpnc5dVmnLsYP/view?usp=drivesdk")</f>
        <v>https://drive.google.com/file/d/1UP0BKDOHVV0mapnMroVTpnc5dVmnLsYP/view?usp=drivesdk</v>
      </c>
      <c r="C278" s="159" t="str">
        <f>IFERROR(__xludf.DUMMYFUNCTION("""COMPUTED_VALUE"""),"10.1016--j.edurev.2018.09.004.pdf")</f>
        <v>10.1016--j.edurev.2018.09.004.pdf</v>
      </c>
      <c r="D278" s="159" t="str">
        <f>IFERROR(__xludf.DUMMYFUNCTION("""COMPUTED_VALUE"""),"application/pdf")</f>
        <v>application/pdf</v>
      </c>
    </row>
    <row r="279">
      <c r="A279" s="159" t="str">
        <f>IFERROR(__xludf.DUMMYFUNCTION("""COMPUTED_VALUE"""),"10.1007/s10648-020-09545-x")</f>
        <v>10.1007/s10648-020-09545-x</v>
      </c>
      <c r="B279" s="680" t="str">
        <f>IFERROR(__xludf.DUMMYFUNCTION("""COMPUTED_VALUE"""),"https://drive.google.com/file/d/1FT_3JQrDmmG7e28_Q0VIhPg40rboKPBB/view?usp=drivesdk")</f>
        <v>https://drive.google.com/file/d/1FT_3JQrDmmG7e28_Q0VIhPg40rboKPBB/view?usp=drivesdk</v>
      </c>
      <c r="C279" s="159" t="str">
        <f>IFERROR(__xludf.DUMMYFUNCTION("""COMPUTED_VALUE"""),"10.1007--s10648-020-09545-x.pdf")</f>
        <v>10.1007--s10648-020-09545-x.pdf</v>
      </c>
      <c r="D279" s="159" t="str">
        <f>IFERROR(__xludf.DUMMYFUNCTION("""COMPUTED_VALUE"""),"application/pdf")</f>
        <v>application/pdf</v>
      </c>
    </row>
    <row r="280">
      <c r="A280" s="159" t="str">
        <f>IFERROR(__xludf.DUMMYFUNCTION("""COMPUTED_VALUE"""),"10.1037/edu0000395")</f>
        <v>10.1037/edu0000395</v>
      </c>
      <c r="B280" s="680" t="str">
        <f>IFERROR(__xludf.DUMMYFUNCTION("""COMPUTED_VALUE"""),"https://drive.google.com/file/d/1R6KUBcw1ilPMVdLvxEU4Hzj-XHCab7Us/view?usp=drivesdk")</f>
        <v>https://drive.google.com/file/d/1R6KUBcw1ilPMVdLvxEU4Hzj-XHCab7Us/view?usp=drivesdk</v>
      </c>
      <c r="C280" s="159" t="str">
        <f>IFERROR(__xludf.DUMMYFUNCTION("""COMPUTED_VALUE"""),"10.1037--edu0000395.pdf")</f>
        <v>10.1037--edu0000395.pdf</v>
      </c>
      <c r="D280" s="159" t="str">
        <f>IFERROR(__xludf.DUMMYFUNCTION("""COMPUTED_VALUE"""),"application/pdf")</f>
        <v>application/pdf</v>
      </c>
    </row>
    <row r="281">
      <c r="A281" s="159" t="str">
        <f>IFERROR(__xludf.DUMMYFUNCTION("""COMPUTED_VALUE"""),"10.1007/s10648-021-09596-8")</f>
        <v>10.1007/s10648-021-09596-8</v>
      </c>
      <c r="B281" s="680" t="str">
        <f>IFERROR(__xludf.DUMMYFUNCTION("""COMPUTED_VALUE"""),"https://drive.google.com/file/d/1sD3uQkK-TKSGRiSUZDunjeSw6zpZz3u7/view?usp=drivesdk")</f>
        <v>https://drive.google.com/file/d/1sD3uQkK-TKSGRiSUZDunjeSw6zpZz3u7/view?usp=drivesdk</v>
      </c>
      <c r="C281" s="159" t="str">
        <f>IFERROR(__xludf.DUMMYFUNCTION("""COMPUTED_VALUE"""),"10.1007--s10648-021-09596-8.pdf")</f>
        <v>10.1007--s10648-021-09596-8.pdf</v>
      </c>
      <c r="D281" s="159" t="str">
        <f>IFERROR(__xludf.DUMMYFUNCTION("""COMPUTED_VALUE"""),"application/pdf")</f>
        <v>application/pdf</v>
      </c>
    </row>
    <row r="282">
      <c r="A282" s="159" t="str">
        <f>IFERROR(__xludf.DUMMYFUNCTION("""COMPUTED_VALUE"""),"10.1037/xge0000293")</f>
        <v>10.1037/xge0000293</v>
      </c>
      <c r="B282" s="680" t="str">
        <f>IFERROR(__xludf.DUMMYFUNCTION("""COMPUTED_VALUE"""),"https://drive.google.com/file/d/1PZBT-dqRlU8nCFE8nyUseu3Af82Uuvp1/view?usp=drivesdk")</f>
        <v>https://drive.google.com/file/d/1PZBT-dqRlU8nCFE8nyUseu3Af82Uuvp1/view?usp=drivesdk</v>
      </c>
      <c r="C282" s="159" t="str">
        <f>IFERROR(__xludf.DUMMYFUNCTION("""COMPUTED_VALUE"""),"10.1037--xge0000293.pdf")</f>
        <v>10.1037--xge0000293.pdf</v>
      </c>
      <c r="D282" s="159" t="str">
        <f>IFERROR(__xludf.DUMMYFUNCTION("""COMPUTED_VALUE"""),"application/pdf")</f>
        <v>application/pdf</v>
      </c>
    </row>
    <row r="283">
      <c r="A283" s="159" t="str">
        <f>IFERROR(__xludf.DUMMYFUNCTION("""COMPUTED_VALUE"""),"10.1037/xge0000723")</f>
        <v>10.1037/xge0000723</v>
      </c>
      <c r="B283" s="680" t="str">
        <f>IFERROR(__xludf.DUMMYFUNCTION("""COMPUTED_VALUE"""),"https://drive.google.com/file/d/11j2QxbVRnbbhNcSTU_8Ukz0mC3zKVxEJ/view?usp=drivesdk")</f>
        <v>https://drive.google.com/file/d/11j2QxbVRnbbhNcSTU_8Ukz0mC3zKVxEJ/view?usp=drivesdk</v>
      </c>
      <c r="C283" s="159" t="str">
        <f>IFERROR(__xludf.DUMMYFUNCTION("""COMPUTED_VALUE"""),"10.1037--xge0000723.pdf")</f>
        <v>10.1037--xge0000723.pdf</v>
      </c>
      <c r="D283" s="159" t="str">
        <f>IFERROR(__xludf.DUMMYFUNCTION("""COMPUTED_VALUE"""),"application/pdf")</f>
        <v>application/pdf</v>
      </c>
    </row>
    <row r="284">
      <c r="A284" s="159" t="str">
        <f>IFERROR(__xludf.DUMMYFUNCTION("""COMPUTED_VALUE"""),"10.1037/xge0000411")</f>
        <v>10.1037/xge0000411</v>
      </c>
      <c r="B284" s="680" t="str">
        <f>IFERROR(__xludf.DUMMYFUNCTION("""COMPUTED_VALUE"""),"https://drive.google.com/file/d/1egIEEiIdjS8kDL0yM8QwXuS6BzuaRLeY/view?usp=drivesdk")</f>
        <v>https://drive.google.com/file/d/1egIEEiIdjS8kDL0yM8QwXuS6BzuaRLeY/view?usp=drivesdk</v>
      </c>
      <c r="C284" s="159" t="str">
        <f>IFERROR(__xludf.DUMMYFUNCTION("""COMPUTED_VALUE"""),"10.1037--xge0000411.pdf")</f>
        <v>10.1037--xge0000411.pdf</v>
      </c>
      <c r="D284" s="159" t="str">
        <f>IFERROR(__xludf.DUMMYFUNCTION("""COMPUTED_VALUE"""),"application/pdf")</f>
        <v>application/pdf</v>
      </c>
    </row>
    <row r="285">
      <c r="A285" s="159" t="str">
        <f>IFERROR(__xludf.DUMMYFUNCTION("""COMPUTED_VALUE"""),"10.1037/0022-3514.78.6.1038")</f>
        <v>10.1037/0022-3514.78.6.1038</v>
      </c>
      <c r="B285" s="680" t="str">
        <f>IFERROR(__xludf.DUMMYFUNCTION("""COMPUTED_VALUE"""),"https://drive.google.com/file/d/1Z8FCtSwd6TH0atAqEEHGH_VkvXSv5cQY/view?usp=drivesdk")</f>
        <v>https://drive.google.com/file/d/1Z8FCtSwd6TH0atAqEEHGH_VkvXSv5cQY/view?usp=drivesdk</v>
      </c>
      <c r="C285" s="159" t="str">
        <f>IFERROR(__xludf.DUMMYFUNCTION("""COMPUTED_VALUE"""),"10.1037--0022-3514.78.6.1038.pdf")</f>
        <v>10.1037--0022-3514.78.6.1038.pdf</v>
      </c>
      <c r="D285" s="159" t="str">
        <f>IFERROR(__xludf.DUMMYFUNCTION("""COMPUTED_VALUE"""),"application/pdf")</f>
        <v>application/pdf</v>
      </c>
    </row>
    <row r="286">
      <c r="A286" s="159" t="str">
        <f>IFERROR(__xludf.DUMMYFUNCTION("""COMPUTED_VALUE"""),"10.1037/xge0000644")</f>
        <v>10.1037/xge0000644</v>
      </c>
      <c r="B286" s="680" t="str">
        <f>IFERROR(__xludf.DUMMYFUNCTION("""COMPUTED_VALUE"""),"https://drive.google.com/file/d/1K09Trws35P0i80XfXLe6KkyHS-8QUwOv/view?usp=drivesdk")</f>
        <v>https://drive.google.com/file/d/1K09Trws35P0i80XfXLe6KkyHS-8QUwOv/view?usp=drivesdk</v>
      </c>
      <c r="C286" s="159" t="str">
        <f>IFERROR(__xludf.DUMMYFUNCTION("""COMPUTED_VALUE"""),"10.1037--xge0000644.pdf")</f>
        <v>10.1037--xge0000644.pdf</v>
      </c>
      <c r="D286" s="159" t="str">
        <f>IFERROR(__xludf.DUMMYFUNCTION("""COMPUTED_VALUE"""),"application/pdf")</f>
        <v>application/pdf</v>
      </c>
    </row>
    <row r="287">
      <c r="A287" s="159" t="str">
        <f>IFERROR(__xludf.DUMMYFUNCTION("""COMPUTED_VALUE"""),"10.1037/a0018144")</f>
        <v>10.1037/a0018144</v>
      </c>
      <c r="B287" s="680" t="str">
        <f>IFERROR(__xludf.DUMMYFUNCTION("""COMPUTED_VALUE"""),"https://drive.google.com/file/d/1pa7OIGAnni8wvDqtvDLum5kXPTJ3EccS/view?usp=drivesdk")</f>
        <v>https://drive.google.com/file/d/1pa7OIGAnni8wvDqtvDLum5kXPTJ3EccS/view?usp=drivesdk</v>
      </c>
      <c r="C287" s="159" t="str">
        <f>IFERROR(__xludf.DUMMYFUNCTION("""COMPUTED_VALUE"""),"10.1037--a0018144.pdf")</f>
        <v>10.1037--a0018144.pdf</v>
      </c>
      <c r="D287" s="159" t="str">
        <f>IFERROR(__xludf.DUMMYFUNCTION("""COMPUTED_VALUE"""),"application/pdf")</f>
        <v>application/pdf</v>
      </c>
    </row>
    <row r="288">
      <c r="A288" s="159" t="str">
        <f>IFERROR(__xludf.DUMMYFUNCTION("""COMPUTED_VALUE"""),"10.1037/xge0000124")</f>
        <v>10.1037/xge0000124</v>
      </c>
      <c r="B288" s="680" t="str">
        <f>IFERROR(__xludf.DUMMYFUNCTION("""COMPUTED_VALUE"""),"https://drive.google.com/file/d/1Z88MYogkcmEVsNB4CrfQdGlwVeD7Ny1J/view?usp=drivesdk")</f>
        <v>https://drive.google.com/file/d/1Z88MYogkcmEVsNB4CrfQdGlwVeD7Ny1J/view?usp=drivesdk</v>
      </c>
      <c r="C288" s="159" t="str">
        <f>IFERROR(__xludf.DUMMYFUNCTION("""COMPUTED_VALUE"""),"10.1037--xge0000124.pdf")</f>
        <v>10.1037--xge0000124.pdf</v>
      </c>
      <c r="D288" s="159" t="str">
        <f>IFERROR(__xludf.DUMMYFUNCTION("""COMPUTED_VALUE"""),"application/pdf")</f>
        <v>application/pdf</v>
      </c>
    </row>
    <row r="289">
      <c r="A289" s="159" t="str">
        <f>IFERROR(__xludf.DUMMYFUNCTION("""COMPUTED_VALUE"""),"10.1177/2167702618757658")</f>
        <v>10.1177/2167702618757658</v>
      </c>
      <c r="B289" s="680" t="str">
        <f>IFERROR(__xludf.DUMMYFUNCTION("""COMPUTED_VALUE"""),"https://drive.google.com/file/d/1WpzQSPvsM80juq05xrb1MqwX4AFwOczb/view?usp=drivesdk")</f>
        <v>https://drive.google.com/file/d/1WpzQSPvsM80juq05xrb1MqwX4AFwOczb/view?usp=drivesdk</v>
      </c>
      <c r="C289" s="159" t="str">
        <f>IFERROR(__xludf.DUMMYFUNCTION("""COMPUTED_VALUE"""),"10.1177--2167702618757658.pdf")</f>
        <v>10.1177--2167702618757658.pdf</v>
      </c>
      <c r="D289" s="159" t="str">
        <f>IFERROR(__xludf.DUMMYFUNCTION("""COMPUTED_VALUE"""),"application/pdf")</f>
        <v>application/pdf</v>
      </c>
    </row>
    <row r="290">
      <c r="A290" s="159" t="str">
        <f>IFERROR(__xludf.DUMMYFUNCTION("""COMPUTED_VALUE"""),"10.1177/2167702619859335")</f>
        <v>10.1177/2167702619859335</v>
      </c>
      <c r="B290" s="680" t="str">
        <f>IFERROR(__xludf.DUMMYFUNCTION("""COMPUTED_VALUE"""),"https://drive.google.com/file/d/1dFxqbNSk0O-WBun3U91vRmKRgjypSwCE/view?usp=drivesdk")</f>
        <v>https://drive.google.com/file/d/1dFxqbNSk0O-WBun3U91vRmKRgjypSwCE/view?usp=drivesdk</v>
      </c>
      <c r="C290" s="159" t="str">
        <f>IFERROR(__xludf.DUMMYFUNCTION("""COMPUTED_VALUE"""),"10.1177--2167702619859335.pdf")</f>
        <v>10.1177--2167702619859335.pdf</v>
      </c>
      <c r="D290" s="159" t="str">
        <f>IFERROR(__xludf.DUMMYFUNCTION("""COMPUTED_VALUE"""),"application/pdf")</f>
        <v>application/pdf</v>
      </c>
    </row>
    <row r="291">
      <c r="A291" s="159" t="str">
        <f>IFERROR(__xludf.DUMMYFUNCTION("""COMPUTED_VALUE"""),"10.1111/add.12839")</f>
        <v>10.1111/add.12839</v>
      </c>
      <c r="B291" s="680" t="str">
        <f>IFERROR(__xludf.DUMMYFUNCTION("""COMPUTED_VALUE"""),"https://drive.google.com/file/d/1KP7iJRuMH1WkQTxnGVfp46w7pZ0zAUB6/view?usp=drivesdk")</f>
        <v>https://drive.google.com/file/d/1KP7iJRuMH1WkQTxnGVfp46w7pZ0zAUB6/view?usp=drivesdk</v>
      </c>
      <c r="C291" s="159" t="str">
        <f>IFERROR(__xludf.DUMMYFUNCTION("""COMPUTED_VALUE"""),"10.1111--add.12839.pdf")</f>
        <v>10.1111--add.12839.pdf</v>
      </c>
      <c r="D291" s="159" t="str">
        <f>IFERROR(__xludf.DUMMYFUNCTION("""COMPUTED_VALUE"""),"application/pdf")</f>
        <v>application/pdf</v>
      </c>
    </row>
    <row r="292">
      <c r="A292" s="159" t="str">
        <f>IFERROR(__xludf.DUMMYFUNCTION("""COMPUTED_VALUE"""),"10.1017/s0033291720001373")</f>
        <v>10.1017/s0033291720001373</v>
      </c>
      <c r="B292" s="680" t="str">
        <f>IFERROR(__xludf.DUMMYFUNCTION("""COMPUTED_VALUE"""),"https://drive.google.com/file/d/1TnNIP3TZx0NUU_F75sA5aDaktZ8v02Sf/view?usp=drivesdk")</f>
        <v>https://drive.google.com/file/d/1TnNIP3TZx0NUU_F75sA5aDaktZ8v02Sf/view?usp=drivesdk</v>
      </c>
      <c r="C292" s="159" t="str">
        <f>IFERROR(__xludf.DUMMYFUNCTION("""COMPUTED_VALUE"""),"10.1017--s0033291720001373.pdf")</f>
        <v>10.1017--s0033291720001373.pdf</v>
      </c>
      <c r="D292" s="159" t="str">
        <f>IFERROR(__xludf.DUMMYFUNCTION("""COMPUTED_VALUE"""),"application/pdf")</f>
        <v>application/pdf</v>
      </c>
    </row>
    <row r="293">
      <c r="A293" s="159" t="str">
        <f>IFERROR(__xludf.DUMMYFUNCTION("""COMPUTED_VALUE"""),"10.1017/s0033291718004191")</f>
        <v>10.1017/s0033291718004191</v>
      </c>
      <c r="B293" s="680" t="str">
        <f>IFERROR(__xludf.DUMMYFUNCTION("""COMPUTED_VALUE"""),"https://drive.google.com/file/d/1qk8K77Qln6jTx3ut6st0gBWY8ObgWRP6/view?usp=drivesdk")</f>
        <v>https://drive.google.com/file/d/1qk8K77Qln6jTx3ut6st0gBWY8ObgWRP6/view?usp=drivesdk</v>
      </c>
      <c r="C293" s="159" t="str">
        <f>IFERROR(__xludf.DUMMYFUNCTION("""COMPUTED_VALUE"""),"10.1017--s0033291718004191.pdf")</f>
        <v>10.1017--s0033291718004191.pdf</v>
      </c>
      <c r="D293" s="159" t="str">
        <f>IFERROR(__xludf.DUMMYFUNCTION("""COMPUTED_VALUE"""),"application/pdf")</f>
        <v>application/pdf</v>
      </c>
    </row>
    <row r="294">
      <c r="A294" s="159" t="str">
        <f>IFERROR(__xludf.DUMMYFUNCTION("""COMPUTED_VALUE"""),"10.1375/twin.12.1.63")</f>
        <v>10.1375/twin.12.1.63</v>
      </c>
      <c r="B294" s="680" t="str">
        <f>IFERROR(__xludf.DUMMYFUNCTION("""COMPUTED_VALUE"""),"https://drive.google.com/file/d/14FSb3AIU3cGTavwwkCPb8QidbfttMzsP/view?usp=drivesdk")</f>
        <v>https://drive.google.com/file/d/14FSb3AIU3cGTavwwkCPb8QidbfttMzsP/view?usp=drivesdk</v>
      </c>
      <c r="C294" s="159" t="str">
        <f>IFERROR(__xludf.DUMMYFUNCTION("""COMPUTED_VALUE"""),"10.1375--twin.12.1.63.pdf")</f>
        <v>10.1375--twin.12.1.63.pdf</v>
      </c>
      <c r="D294" s="159" t="str">
        <f>IFERROR(__xludf.DUMMYFUNCTION("""COMPUTED_VALUE"""),"application/pdf")</f>
        <v>application/pdf</v>
      </c>
    </row>
    <row r="295">
      <c r="A295" s="159" t="str">
        <f>IFERROR(__xludf.DUMMYFUNCTION("""COMPUTED_VALUE"""),"10.1017/s0033291718002325")</f>
        <v>10.1017/s0033291718002325</v>
      </c>
      <c r="B295" s="680" t="str">
        <f>IFERROR(__xludf.DUMMYFUNCTION("""COMPUTED_VALUE"""),"https://drive.google.com/file/d/11a3GulMnL9I5DwtS8zZbYAPIsvTobEa9/view?usp=drivesdk")</f>
        <v>https://drive.google.com/file/d/11a3GulMnL9I5DwtS8zZbYAPIsvTobEa9/view?usp=drivesdk</v>
      </c>
      <c r="C295" s="159" t="str">
        <f>IFERROR(__xludf.DUMMYFUNCTION("""COMPUTED_VALUE"""),"10.1017--s0033291718002325.pdf")</f>
        <v>10.1017--s0033291718002325.pdf</v>
      </c>
      <c r="D295" s="159" t="str">
        <f>IFERROR(__xludf.DUMMYFUNCTION("""COMPUTED_VALUE"""),"application/pdf")</f>
        <v>application/pdf</v>
      </c>
    </row>
    <row r="296">
      <c r="A296" s="159" t="str">
        <f>IFERROR(__xludf.DUMMYFUNCTION("""COMPUTED_VALUE"""),"10.1037/abn0000242")</f>
        <v>10.1037/abn0000242</v>
      </c>
      <c r="B296" s="680" t="str">
        <f>IFERROR(__xludf.DUMMYFUNCTION("""COMPUTED_VALUE"""),"https://drive.google.com/file/d/1CQeDu-iAsUZDLoxdQim6K7uF-XxVhQ9A/view?usp=drivesdk")</f>
        <v>https://drive.google.com/file/d/1CQeDu-iAsUZDLoxdQim6K7uF-XxVhQ9A/view?usp=drivesdk</v>
      </c>
      <c r="C296" s="159" t="str">
        <f>IFERROR(__xludf.DUMMYFUNCTION("""COMPUTED_VALUE"""),"10.1037--abn0000242.pdf")</f>
        <v>10.1037--abn0000242.pdf</v>
      </c>
      <c r="D296" s="159" t="str">
        <f>IFERROR(__xludf.DUMMYFUNCTION("""COMPUTED_VALUE"""),"application/pdf")</f>
        <v>application/pdf</v>
      </c>
    </row>
    <row r="297">
      <c r="A297" s="159" t="str">
        <f>IFERROR(__xludf.DUMMYFUNCTION("""COMPUTED_VALUE"""),"10.1111/jcpp.12185")</f>
        <v>10.1111/jcpp.12185</v>
      </c>
      <c r="B297" s="680" t="str">
        <f>IFERROR(__xludf.DUMMYFUNCTION("""COMPUTED_VALUE"""),"https://drive.google.com/file/d/1JfRWrhBudpyah1NiRGhiEMvtEwqGceL6/view?usp=drivesdk")</f>
        <v>https://drive.google.com/file/d/1JfRWrhBudpyah1NiRGhiEMvtEwqGceL6/view?usp=drivesdk</v>
      </c>
      <c r="C297" s="159" t="str">
        <f>IFERROR(__xludf.DUMMYFUNCTION("""COMPUTED_VALUE"""),"10.1111--jcpp.12185.pdf")</f>
        <v>10.1111--jcpp.12185.pdf</v>
      </c>
      <c r="D297" s="159" t="str">
        <f>IFERROR(__xludf.DUMMYFUNCTION("""COMPUTED_VALUE"""),"application/pdf")</f>
        <v>application/pdf</v>
      </c>
    </row>
    <row r="298">
      <c r="A298" s="159" t="str">
        <f>IFERROR(__xludf.DUMMYFUNCTION("""COMPUTED_VALUE"""),"10.1111/jcpp.12581")</f>
        <v>10.1111/jcpp.12581</v>
      </c>
      <c r="B298" s="680" t="str">
        <f>IFERROR(__xludf.DUMMYFUNCTION("""COMPUTED_VALUE"""),"https://drive.google.com/file/d/1qO9u1Z418oURj7_u77RtGkk0v7ppM32w/view?usp=drivesdk")</f>
        <v>https://drive.google.com/file/d/1qO9u1Z418oURj7_u77RtGkk0v7ppM32w/view?usp=drivesdk</v>
      </c>
      <c r="C298" s="159" t="str">
        <f>IFERROR(__xludf.DUMMYFUNCTION("""COMPUTED_VALUE"""),"10.1111--jcpp.12581.pdf")</f>
        <v>10.1111--jcpp.12581.pdf</v>
      </c>
      <c r="D298" s="159" t="str">
        <f>IFERROR(__xludf.DUMMYFUNCTION("""COMPUTED_VALUE"""),"application/pdf")</f>
        <v>application/pdf</v>
      </c>
    </row>
    <row r="299">
      <c r="A299" s="159" t="str">
        <f>IFERROR(__xludf.DUMMYFUNCTION("""COMPUTED_VALUE"""),"10.1093/gerona/glw206")</f>
        <v>10.1093/gerona/glw206</v>
      </c>
      <c r="B299" s="680" t="str">
        <f>IFERROR(__xludf.DUMMYFUNCTION("""COMPUTED_VALUE"""),"https://drive.google.com/file/d/1t4QeGWPkQs6o8249RZz74mnEBs-VICHK/view?usp=drivesdk")</f>
        <v>https://drive.google.com/file/d/1t4QeGWPkQs6o8249RZz74mnEBs-VICHK/view?usp=drivesdk</v>
      </c>
      <c r="C299" s="159" t="str">
        <f>IFERROR(__xludf.DUMMYFUNCTION("""COMPUTED_VALUE"""),"10.1093--gerona--glw206.pdf")</f>
        <v>10.1093--gerona--glw206.pdf</v>
      </c>
      <c r="D299" s="159" t="str">
        <f>IFERROR(__xludf.DUMMYFUNCTION("""COMPUTED_VALUE"""),"application/pdf")</f>
        <v>application/pdf</v>
      </c>
    </row>
    <row r="300">
      <c r="A300" s="159" t="str">
        <f>IFERROR(__xludf.DUMMYFUNCTION("""COMPUTED_VALUE"""),"10.1093/gerona/glu121")</f>
        <v>10.1093/gerona/glu121</v>
      </c>
      <c r="B300" s="680" t="str">
        <f>IFERROR(__xludf.DUMMYFUNCTION("""COMPUTED_VALUE"""),"https://drive.google.com/file/d/1WI0kcGG2eDnjm6XRvzEYFd6GSnFvhsoh/view?usp=drivesdk")</f>
        <v>https://drive.google.com/file/d/1WI0kcGG2eDnjm6XRvzEYFd6GSnFvhsoh/view?usp=drivesdk</v>
      </c>
      <c r="C300" s="159" t="str">
        <f>IFERROR(__xludf.DUMMYFUNCTION("""COMPUTED_VALUE"""),"10.1093--gerona--glu121.pdf")</f>
        <v>10.1093--gerona--glu121.pdf</v>
      </c>
      <c r="D300" s="159" t="str">
        <f>IFERROR(__xludf.DUMMYFUNCTION("""COMPUTED_VALUE"""),"application/pdf")</f>
        <v>application/pdf</v>
      </c>
    </row>
    <row r="301">
      <c r="A301" s="159" t="str">
        <f>IFERROR(__xludf.DUMMYFUNCTION("""COMPUTED_VALUE"""),"10.3758/s13428-013-0442-y")</f>
        <v>10.3758/s13428-013-0442-y</v>
      </c>
      <c r="B301" s="680" t="str">
        <f>IFERROR(__xludf.DUMMYFUNCTION("""COMPUTED_VALUE"""),"https://drive.google.com/file/d/12ZOeKoS3A5tVa9xMPCYmtFMhEUS-4WPY/view?usp=drivesdk")</f>
        <v>https://drive.google.com/file/d/12ZOeKoS3A5tVa9xMPCYmtFMhEUS-4WPY/view?usp=drivesdk</v>
      </c>
      <c r="C301" s="159" t="str">
        <f>IFERROR(__xludf.DUMMYFUNCTION("""COMPUTED_VALUE"""),"10.3758--s13428-013-0442-y.pdf")</f>
        <v>10.3758--s13428-013-0442-y.pdf</v>
      </c>
      <c r="D301" s="159" t="str">
        <f>IFERROR(__xludf.DUMMYFUNCTION("""COMPUTED_VALUE"""),"application/pdf")</f>
        <v>application/pdf</v>
      </c>
    </row>
    <row r="302">
      <c r="A302" s="159" t="str">
        <f>IFERROR(__xludf.DUMMYFUNCTION("""COMPUTED_VALUE"""),"10.1192/bjp.bp.108.054775")</f>
        <v>10.1192/bjp.bp.108.054775</v>
      </c>
      <c r="B302" s="680" t="str">
        <f>IFERROR(__xludf.DUMMYFUNCTION("""COMPUTED_VALUE"""),"https://drive.google.com/file/d/1p4NVrvX_ueWLkOyGQR0ymT3SxUzh3dKj/view?usp=drivesdk")</f>
        <v>https://drive.google.com/file/d/1p4NVrvX_ueWLkOyGQR0ymT3SxUzh3dKj/view?usp=drivesdk</v>
      </c>
      <c r="C302" s="159" t="str">
        <f>IFERROR(__xludf.DUMMYFUNCTION("""COMPUTED_VALUE"""),"10.1192--bjp.bp.108.054775.pdf")</f>
        <v>10.1192--bjp.bp.108.054775.pdf</v>
      </c>
      <c r="D302" s="159" t="str">
        <f>IFERROR(__xludf.DUMMYFUNCTION("""COMPUTED_VALUE"""),"application/pdf")</f>
        <v>application/pdf</v>
      </c>
    </row>
    <row r="303">
      <c r="A303" s="159" t="str">
        <f>IFERROR(__xludf.DUMMYFUNCTION("""COMPUTED_VALUE"""),"10.1177/0956797611417632")</f>
        <v>10.1177/0956797611417632</v>
      </c>
      <c r="B303" s="680" t="str">
        <f>IFERROR(__xludf.DUMMYFUNCTION("""COMPUTED_VALUE"""),"https://drive.google.com/file/d/1Yde_2lcZXwihBlYoshcMU5UnySmXaQzv/view?usp=drivesdk")</f>
        <v>https://drive.google.com/file/d/1Yde_2lcZXwihBlYoshcMU5UnySmXaQzv/view?usp=drivesdk</v>
      </c>
      <c r="C303" s="159" t="str">
        <f>IFERROR(__xludf.DUMMYFUNCTION("""COMPUTED_VALUE"""),"10.1177--0956797611417632.pdf")</f>
        <v>10.1177--0956797611417632.pdf</v>
      </c>
      <c r="D303" s="159" t="str">
        <f>IFERROR(__xludf.DUMMYFUNCTION("""COMPUTED_VALUE"""),"application/pdf")</f>
        <v>application/pdf</v>
      </c>
    </row>
    <row r="304">
      <c r="A304" s="159" t="str">
        <f>IFERROR(__xludf.DUMMYFUNCTION("""COMPUTED_VALUE"""),"10.1037/t07624-000")</f>
        <v>10.1037/t07624-000</v>
      </c>
      <c r="B304" s="680" t="str">
        <f>IFERROR(__xludf.DUMMYFUNCTION("""COMPUTED_VALUE"""),"https://drive.google.com/file/d/15Vl2k3Plm90uZele1YyO0oikS7bl4XLu/view?usp=drivesdk")</f>
        <v>https://drive.google.com/file/d/15Vl2k3Plm90uZele1YyO0oikS7bl4XLu/view?usp=drivesdk</v>
      </c>
      <c r="C304" s="159" t="str">
        <f>IFERROR(__xludf.DUMMYFUNCTION("""COMPUTED_VALUE"""),"10.1037--t07624-000.pdf")</f>
        <v>10.1037--t07624-000.pdf</v>
      </c>
      <c r="D304" s="159" t="str">
        <f>IFERROR(__xludf.DUMMYFUNCTION("""COMPUTED_VALUE"""),"application/pdf")</f>
        <v>application/pdf</v>
      </c>
    </row>
    <row r="305">
      <c r="A305" s="159" t="str">
        <f>IFERROR(__xludf.DUMMYFUNCTION("""COMPUTED_VALUE"""),"10.1037/pspp0000047")</f>
        <v>10.1037/pspp0000047</v>
      </c>
      <c r="B305" s="680" t="str">
        <f>IFERROR(__xludf.DUMMYFUNCTION("""COMPUTED_VALUE"""),"https://drive.google.com/file/d/1JUNkh415YMup4UFC-ED21uW281XOEBm_/view?usp=drivesdk")</f>
        <v>https://drive.google.com/file/d/1JUNkh415YMup4UFC-ED21uW281XOEBm_/view?usp=drivesdk</v>
      </c>
      <c r="C305" s="159" t="str">
        <f>IFERROR(__xludf.DUMMYFUNCTION("""COMPUTED_VALUE"""),"10.1037--pspp0000047.pdf")</f>
        <v>10.1037--pspp0000047.pdf</v>
      </c>
      <c r="D305" s="159" t="str">
        <f>IFERROR(__xludf.DUMMYFUNCTION("""COMPUTED_VALUE"""),"application/pdf")</f>
        <v>application/pdf</v>
      </c>
    </row>
    <row r="306">
      <c r="A306" s="159" t="str">
        <f>IFERROR(__xludf.DUMMYFUNCTION("""COMPUTED_VALUE"""),"10.1093/gerona/glv081")</f>
        <v>10.1093/gerona/glv081</v>
      </c>
      <c r="B306" s="680" t="str">
        <f>IFERROR(__xludf.DUMMYFUNCTION("""COMPUTED_VALUE"""),"https://drive.google.com/file/d/1UlWpselIojHVnKEQbFB1JVmM667SwCBA/view?usp=drivesdk")</f>
        <v>https://drive.google.com/file/d/1UlWpselIojHVnKEQbFB1JVmM667SwCBA/view?usp=drivesdk</v>
      </c>
      <c r="C306" s="159" t="str">
        <f>IFERROR(__xludf.DUMMYFUNCTION("""COMPUTED_VALUE"""),"10.1093--gerona--glv081.pdf")</f>
        <v>10.1093--gerona--glv081.pdf</v>
      </c>
      <c r="D306" s="159" t="str">
        <f>IFERROR(__xludf.DUMMYFUNCTION("""COMPUTED_VALUE"""),"application/pdf")</f>
        <v>application/pdf</v>
      </c>
    </row>
    <row r="307">
      <c r="A307" s="159" t="str">
        <f>IFERROR(__xludf.DUMMYFUNCTION("""COMPUTED_VALUE"""),"10.1093/gerona/gly164")</f>
        <v>10.1093/gerona/gly164</v>
      </c>
      <c r="B307" s="680" t="str">
        <f>IFERROR(__xludf.DUMMYFUNCTION("""COMPUTED_VALUE"""),"https://drive.google.com/file/d/1cPJBqJcddPd4uj5K1coZ1KN-APwo68zj/view?usp=drivesdk")</f>
        <v>https://drive.google.com/file/d/1cPJBqJcddPd4uj5K1coZ1KN-APwo68zj/view?usp=drivesdk</v>
      </c>
      <c r="C307" s="159" t="str">
        <f>IFERROR(__xludf.DUMMYFUNCTION("""COMPUTED_VALUE"""),"10.1093--gerona--gly164.pdf")</f>
        <v>10.1093--gerona--gly164.pdf</v>
      </c>
      <c r="D307" s="159" t="str">
        <f>IFERROR(__xludf.DUMMYFUNCTION("""COMPUTED_VALUE"""),"application/pdf")</f>
        <v>application/pdf</v>
      </c>
    </row>
    <row r="308">
      <c r="A308" s="159" t="str">
        <f>IFERROR(__xludf.DUMMYFUNCTION("""COMPUTED_VALUE"""),"10.1093/gerona/glv083")</f>
        <v>10.1093/gerona/glv083</v>
      </c>
      <c r="B308" s="680" t="str">
        <f>IFERROR(__xludf.DUMMYFUNCTION("""COMPUTED_VALUE"""),"https://drive.google.com/file/d/1ZNF3a_iSxLpJJnydUQWRItlPGCV48I1L/view?usp=drivesdk")</f>
        <v>https://drive.google.com/file/d/1ZNF3a_iSxLpJJnydUQWRItlPGCV48I1L/view?usp=drivesdk</v>
      </c>
      <c r="C308" s="159" t="str">
        <f>IFERROR(__xludf.DUMMYFUNCTION("""COMPUTED_VALUE"""),"10.1093--gerona--glv083.pdf")</f>
        <v>10.1093--gerona--glv083.pdf</v>
      </c>
      <c r="D308" s="159" t="str">
        <f>IFERROR(__xludf.DUMMYFUNCTION("""COMPUTED_VALUE"""),"application/pdf")</f>
        <v>application/pdf</v>
      </c>
    </row>
    <row r="309">
      <c r="A309" s="159" t="str">
        <f>IFERROR(__xludf.DUMMYFUNCTION("""COMPUTED_VALUE"""),"10.1093/gerona/glaa238")</f>
        <v>10.1093/gerona/glaa238</v>
      </c>
      <c r="B309" s="680" t="str">
        <f>IFERROR(__xludf.DUMMYFUNCTION("""COMPUTED_VALUE"""),"https://drive.google.com/file/d/1tAzlD3X_Z4MFuJcs3V9FJpzilJw2yDek/view?usp=drivesdk")</f>
        <v>https://drive.google.com/file/d/1tAzlD3X_Z4MFuJcs3V9FJpzilJw2yDek/view?usp=drivesdk</v>
      </c>
      <c r="C309" s="159" t="str">
        <f>IFERROR(__xludf.DUMMYFUNCTION("""COMPUTED_VALUE"""),"10.1093--gerona--glaa238.pdf")</f>
        <v>10.1093--gerona--glaa238.pdf</v>
      </c>
      <c r="D309" s="159" t="str">
        <f>IFERROR(__xludf.DUMMYFUNCTION("""COMPUTED_VALUE"""),"application/pdf")</f>
        <v>application/pdf</v>
      </c>
    </row>
    <row r="310">
      <c r="A310" s="159" t="str">
        <f>IFERROR(__xludf.DUMMYFUNCTION("""COMPUTED_VALUE"""),"10.1093/gerona/glab115")</f>
        <v>10.1093/gerona/glab115</v>
      </c>
      <c r="B310" s="680" t="str">
        <f>IFERROR(__xludf.DUMMYFUNCTION("""COMPUTED_VALUE"""),"https://drive.google.com/file/d/16mg6FaF_Qqd-YXCVP4LWpVjFKlALx2Of/view?usp=drivesdk")</f>
        <v>https://drive.google.com/file/d/16mg6FaF_Qqd-YXCVP4LWpVjFKlALx2Of/view?usp=drivesdk</v>
      </c>
      <c r="C310" s="159" t="str">
        <f>IFERROR(__xludf.DUMMYFUNCTION("""COMPUTED_VALUE"""),"10.1093--gerona--glab115.pdf")</f>
        <v>10.1093--gerona--glab115.pdf</v>
      </c>
      <c r="D310" s="159" t="str">
        <f>IFERROR(__xludf.DUMMYFUNCTION("""COMPUTED_VALUE"""),"application/pdf")</f>
        <v>application/pdf</v>
      </c>
    </row>
    <row r="311">
      <c r="A311" s="159" t="str">
        <f>IFERROR(__xludf.DUMMYFUNCTION("""COMPUTED_VALUE"""),"10.1080/17439760.2020.1752780")</f>
        <v>10.1080/17439760.2020.1752780</v>
      </c>
      <c r="B311" s="680" t="str">
        <f>IFERROR(__xludf.DUMMYFUNCTION("""COMPUTED_VALUE"""),"https://drive.google.com/file/d/1t066xZvB2Qjc2cwxGzO2QJVZEluviFfB/view?usp=drivesdk")</f>
        <v>https://drive.google.com/file/d/1t066xZvB2Qjc2cwxGzO2QJVZEluviFfB/view?usp=drivesdk</v>
      </c>
      <c r="C311" s="159" t="str">
        <f>IFERROR(__xludf.DUMMYFUNCTION("""COMPUTED_VALUE"""),"10.1080--17439760.2020.1752780.pdf")</f>
        <v>10.1080--17439760.2020.1752780.pdf</v>
      </c>
      <c r="D311" s="159" t="str">
        <f>IFERROR(__xludf.DUMMYFUNCTION("""COMPUTED_VALUE"""),"application/pdf")</f>
        <v>application/pdf</v>
      </c>
    </row>
    <row r="312">
      <c r="A312" s="159" t="str">
        <f>IFERROR(__xludf.DUMMYFUNCTION("""COMPUTED_VALUE"""),"10.1002/da.22698")</f>
        <v>10.1002/da.22698</v>
      </c>
      <c r="B312" s="680" t="str">
        <f>IFERROR(__xludf.DUMMYFUNCTION("""COMPUTED_VALUE"""),"https://drive.google.com/file/d/1xLzfAUnK0H-QLCDKzrWQhxt1Oeb7ypTx/view?usp=drivesdk")</f>
        <v>https://drive.google.com/file/d/1xLzfAUnK0H-QLCDKzrWQhxt1Oeb7ypTx/view?usp=drivesdk</v>
      </c>
      <c r="C312" s="159" t="str">
        <f>IFERROR(__xludf.DUMMYFUNCTION("""COMPUTED_VALUE"""),"10.1002--da.22698.pdf")</f>
        <v>10.1002--da.22698.pdf</v>
      </c>
      <c r="D312" s="159" t="str">
        <f>IFERROR(__xludf.DUMMYFUNCTION("""COMPUTED_VALUE"""),"application/pdf")</f>
        <v>application/pdf</v>
      </c>
    </row>
    <row r="313">
      <c r="A313" s="159" t="str">
        <f>IFERROR(__xludf.DUMMYFUNCTION("""COMPUTED_VALUE"""),"10.1002/da.22484")</f>
        <v>10.1002/da.22484</v>
      </c>
      <c r="B313" s="680" t="str">
        <f>IFERROR(__xludf.DUMMYFUNCTION("""COMPUTED_VALUE"""),"https://drive.google.com/file/d/13upJ-VnIuVVrHiHUtqmhY0Kz5kRgeoiU/view?usp=drivesdk")</f>
        <v>https://drive.google.com/file/d/13upJ-VnIuVVrHiHUtqmhY0Kz5kRgeoiU/view?usp=drivesdk</v>
      </c>
      <c r="C313" s="159" t="str">
        <f>IFERROR(__xludf.DUMMYFUNCTION("""COMPUTED_VALUE"""),"10.1002--da.22484.pdf")</f>
        <v>10.1002--da.22484.pdf</v>
      </c>
      <c r="D313" s="159" t="str">
        <f>IFERROR(__xludf.DUMMYFUNCTION("""COMPUTED_VALUE"""),"application/pdf")</f>
        <v>application/pdf</v>
      </c>
    </row>
    <row r="314">
      <c r="A314" s="159" t="str">
        <f>IFERROR(__xludf.DUMMYFUNCTION("""COMPUTED_VALUE"""),"10.1002/da.22912")</f>
        <v>10.1002/da.22912</v>
      </c>
      <c r="B314" s="680" t="str">
        <f>IFERROR(__xludf.DUMMYFUNCTION("""COMPUTED_VALUE"""),"https://drive.google.com/file/d/1xRfmOYmS03ozE3McXTbE8J9_WE9Lwz2z/view?usp=drivesdk")</f>
        <v>https://drive.google.com/file/d/1xRfmOYmS03ozE3McXTbE8J9_WE9Lwz2z/view?usp=drivesdk</v>
      </c>
      <c r="C314" s="159" t="str">
        <f>IFERROR(__xludf.DUMMYFUNCTION("""COMPUTED_VALUE"""),"10.1002--da.22912.pdf")</f>
        <v>10.1002--da.22912.pdf</v>
      </c>
      <c r="D314" s="159" t="str">
        <f>IFERROR(__xludf.DUMMYFUNCTION("""COMPUTED_VALUE"""),"application/pdf")</f>
        <v>application/pdf</v>
      </c>
    </row>
    <row r="315">
      <c r="A315" s="159" t="str">
        <f>IFERROR(__xludf.DUMMYFUNCTION("""COMPUTED_VALUE"""),"10.1002/da.22234")</f>
        <v>10.1002/da.22234</v>
      </c>
      <c r="B315" s="680" t="str">
        <f>IFERROR(__xludf.DUMMYFUNCTION("""COMPUTED_VALUE"""),"https://drive.google.com/file/d/1IIYtO3sq07uilN67qTRKAM4KxmY_NrbZ/view?usp=drivesdk")</f>
        <v>https://drive.google.com/file/d/1IIYtO3sq07uilN67qTRKAM4KxmY_NrbZ/view?usp=drivesdk</v>
      </c>
      <c r="C315" s="159" t="str">
        <f>IFERROR(__xludf.DUMMYFUNCTION("""COMPUTED_VALUE"""),"10.1002--da.22234.pdf")</f>
        <v>10.1002--da.22234.pdf</v>
      </c>
      <c r="D315" s="159" t="str">
        <f>IFERROR(__xludf.DUMMYFUNCTION("""COMPUTED_VALUE"""),"application/pdf")</f>
        <v>application/pdf</v>
      </c>
    </row>
    <row r="316">
      <c r="A316" s="159" t="str">
        <f>IFERROR(__xludf.DUMMYFUNCTION("""COMPUTED_VALUE"""),"10.1002/da.23087")</f>
        <v>10.1002/da.23087</v>
      </c>
      <c r="B316" s="680" t="str">
        <f>IFERROR(__xludf.DUMMYFUNCTION("""COMPUTED_VALUE"""),"https://drive.google.com/file/d/1CTnjwqDUJ_hRI5yvkeP0DyrbEPsE3deE/view?usp=drivesdk")</f>
        <v>https://drive.google.com/file/d/1CTnjwqDUJ_hRI5yvkeP0DyrbEPsE3deE/view?usp=drivesdk</v>
      </c>
      <c r="C316" s="159" t="str">
        <f>IFERROR(__xludf.DUMMYFUNCTION("""COMPUTED_VALUE"""),"10.1002--da.23087.pdf")</f>
        <v>10.1002--da.23087.pdf</v>
      </c>
      <c r="D316" s="159" t="str">
        <f>IFERROR(__xludf.DUMMYFUNCTION("""COMPUTED_VALUE"""),"application/pdf")</f>
        <v>application/pdf</v>
      </c>
    </row>
    <row r="317">
      <c r="A317" s="159" t="str">
        <f>IFERROR(__xludf.DUMMYFUNCTION("""COMPUTED_VALUE"""),"10.1002/da.22899")</f>
        <v>10.1002/da.22899</v>
      </c>
      <c r="B317" s="680" t="str">
        <f>IFERROR(__xludf.DUMMYFUNCTION("""COMPUTED_VALUE"""),"https://drive.google.com/file/d/1dCQRLW9juYTKsUOeLTlL--iq9jH1ZeAX/view?usp=drivesdk")</f>
        <v>https://drive.google.com/file/d/1dCQRLW9juYTKsUOeLTlL--iq9jH1ZeAX/view?usp=drivesdk</v>
      </c>
      <c r="C317" s="159" t="str">
        <f>IFERROR(__xludf.DUMMYFUNCTION("""COMPUTED_VALUE"""),"10.1002--da.22899.pdf")</f>
        <v>10.1002--da.22899.pdf</v>
      </c>
      <c r="D317" s="159" t="str">
        <f>IFERROR(__xludf.DUMMYFUNCTION("""COMPUTED_VALUE"""),"application/pdf")</f>
        <v>application/pdf</v>
      </c>
    </row>
    <row r="318">
      <c r="A318" s="159" t="str">
        <f>IFERROR(__xludf.DUMMYFUNCTION("""COMPUTED_VALUE"""),"10.1037/a0033874")</f>
        <v>10.1037/a0033874</v>
      </c>
      <c r="B318" s="680" t="str">
        <f>IFERROR(__xludf.DUMMYFUNCTION("""COMPUTED_VALUE"""),"https://drive.google.com/file/d/1P8NAbO2dtYuEYTTi0z4TbVjRr_3pLcWG/view?usp=drivesdk")</f>
        <v>https://drive.google.com/file/d/1P8NAbO2dtYuEYTTi0z4TbVjRr_3pLcWG/view?usp=drivesdk</v>
      </c>
      <c r="C318" s="159" t="str">
        <f>IFERROR(__xludf.DUMMYFUNCTION("""COMPUTED_VALUE"""),"10.1037--a0033874.pdf")</f>
        <v>10.1037--a0033874.pdf</v>
      </c>
      <c r="D318" s="159" t="str">
        <f>IFERROR(__xludf.DUMMYFUNCTION("""COMPUTED_VALUE"""),"application/pdf")</f>
        <v>application/pdf</v>
      </c>
    </row>
    <row r="319">
      <c r="A319" s="159" t="str">
        <f>IFERROR(__xludf.DUMMYFUNCTION("""COMPUTED_VALUE"""),"10.1037/a0032275")</f>
        <v>10.1037/a0032275</v>
      </c>
      <c r="B319" s="680" t="str">
        <f>IFERROR(__xludf.DUMMYFUNCTION("""COMPUTED_VALUE"""),"https://drive.google.com/file/d/1dZhTtzgZg4exJQnxk3QA2Sc5TFfktEbw/view?usp=drivesdk")</f>
        <v>https://drive.google.com/file/d/1dZhTtzgZg4exJQnxk3QA2Sc5TFfktEbw/view?usp=drivesdk</v>
      </c>
      <c r="C319" s="159" t="str">
        <f>IFERROR(__xludf.DUMMYFUNCTION("""COMPUTED_VALUE"""),"10.1037--a0032275.pdf")</f>
        <v>10.1037--a0032275.pdf</v>
      </c>
      <c r="D319" s="159" t="str">
        <f>IFERROR(__xludf.DUMMYFUNCTION("""COMPUTED_VALUE"""),"application/pdf")</f>
        <v>application/pdf</v>
      </c>
    </row>
    <row r="320">
      <c r="A320" s="159" t="str">
        <f>IFERROR(__xludf.DUMMYFUNCTION("""COMPUTED_VALUE"""),"10.1037/pspi0000223")</f>
        <v>10.1037/pspi0000223</v>
      </c>
      <c r="B320" s="680" t="str">
        <f>IFERROR(__xludf.DUMMYFUNCTION("""COMPUTED_VALUE"""),"https://drive.google.com/file/d/1i452DQK3QfgLvHNrfrHtPXM7el2F_i5Q/view?usp=drivesdk")</f>
        <v>https://drive.google.com/file/d/1i452DQK3QfgLvHNrfrHtPXM7el2F_i5Q/view?usp=drivesdk</v>
      </c>
      <c r="C320" s="159" t="str">
        <f>IFERROR(__xludf.DUMMYFUNCTION("""COMPUTED_VALUE"""),"10.1037--pspi0000223.pdf")</f>
        <v>10.1037--pspi0000223.pdf</v>
      </c>
      <c r="D320" s="159" t="str">
        <f>IFERROR(__xludf.DUMMYFUNCTION("""COMPUTED_VALUE"""),"application/pdf")</f>
        <v>application/pdf</v>
      </c>
    </row>
    <row r="321">
      <c r="A321" s="159" t="str">
        <f>IFERROR(__xludf.DUMMYFUNCTION("""COMPUTED_VALUE"""),"10.1007/s10648-016-9396-9")</f>
        <v>10.1007/s10648-016-9396-9</v>
      </c>
      <c r="B321" s="680" t="str">
        <f>IFERROR(__xludf.DUMMYFUNCTION("""COMPUTED_VALUE"""),"https://drive.google.com/file/d/10vpVJ29B43Uf8OSVTQNH_Y4rZ-DCySS2/view?usp=drivesdk")</f>
        <v>https://drive.google.com/file/d/10vpVJ29B43Uf8OSVTQNH_Y4rZ-DCySS2/view?usp=drivesdk</v>
      </c>
      <c r="C321" s="159" t="str">
        <f>IFERROR(__xludf.DUMMYFUNCTION("""COMPUTED_VALUE"""),"10.1007--s10648-016-9396-9.pdf")</f>
        <v>10.1007--s10648-016-9396-9.pdf</v>
      </c>
      <c r="D321" s="159" t="str">
        <f>IFERROR(__xludf.DUMMYFUNCTION("""COMPUTED_VALUE"""),"application/pdf")</f>
        <v>application/pdf</v>
      </c>
    </row>
    <row r="322">
      <c r="A322" s="159" t="str">
        <f>IFERROR(__xludf.DUMMYFUNCTION("""COMPUTED_VALUE"""),"10.1007/s10648-018-9451-9")</f>
        <v>10.1007/s10648-018-9451-9</v>
      </c>
      <c r="B322" s="680" t="str">
        <f>IFERROR(__xludf.DUMMYFUNCTION("""COMPUTED_VALUE"""),"https://drive.google.com/file/d/1FzT7eC1ga1LxageIR_mQ07LPFCqv6F97/view?usp=drivesdk")</f>
        <v>https://drive.google.com/file/d/1FzT7eC1ga1LxageIR_mQ07LPFCqv6F97/view?usp=drivesdk</v>
      </c>
      <c r="C322" s="159" t="str">
        <f>IFERROR(__xludf.DUMMYFUNCTION("""COMPUTED_VALUE"""),"10.1007--s10648-018-9451-9.pdf")</f>
        <v>10.1007--s10648-018-9451-9.pdf</v>
      </c>
      <c r="D322" s="159" t="str">
        <f>IFERROR(__xludf.DUMMYFUNCTION("""COMPUTED_VALUE"""),"application/pdf")</f>
        <v>application/pdf</v>
      </c>
    </row>
    <row r="323">
      <c r="A323" s="159" t="str">
        <f>IFERROR(__xludf.DUMMYFUNCTION("""COMPUTED_VALUE"""),"10.1007/s10648-020-09553-x")</f>
        <v>10.1007/s10648-020-09553-x</v>
      </c>
      <c r="B323" s="680" t="str">
        <f>IFERROR(__xludf.DUMMYFUNCTION("""COMPUTED_VALUE"""),"https://drive.google.com/file/d/1kyEDcDhnjZUZROP9wa0a5m6VDKQB0pNn/view?usp=drivesdk")</f>
        <v>https://drive.google.com/file/d/1kyEDcDhnjZUZROP9wa0a5m6VDKQB0pNn/view?usp=drivesdk</v>
      </c>
      <c r="C323" s="159" t="str">
        <f>IFERROR(__xludf.DUMMYFUNCTION("""COMPUTED_VALUE"""),"10.1007--s10648-020-09553-x.pdf")</f>
        <v>10.1007--s10648-020-09553-x.pdf</v>
      </c>
      <c r="D323" s="159" t="str">
        <f>IFERROR(__xludf.DUMMYFUNCTION("""COMPUTED_VALUE"""),"application/pdf")</f>
        <v>application/pdf</v>
      </c>
    </row>
    <row r="324">
      <c r="A324" s="159" t="str">
        <f>IFERROR(__xludf.DUMMYFUNCTION("""COMPUTED_VALUE"""),"10.1037/amp0000427")</f>
        <v>10.1037/amp0000427</v>
      </c>
      <c r="B324" s="680" t="str">
        <f>IFERROR(__xludf.DUMMYFUNCTION("""COMPUTED_VALUE"""),"https://drive.google.com/file/d/1ZCTBXfYhvZZ3YCVVqCrk6tK-onHNaUGv/view?usp=drivesdk")</f>
        <v>https://drive.google.com/file/d/1ZCTBXfYhvZZ3YCVVqCrk6tK-onHNaUGv/view?usp=drivesdk</v>
      </c>
      <c r="C324" s="159" t="str">
        <f>IFERROR(__xludf.DUMMYFUNCTION("""COMPUTED_VALUE"""),"10.1037--amp0000427.pdf")</f>
        <v>10.1037--amp0000427.pdf</v>
      </c>
      <c r="D324" s="159" t="str">
        <f>IFERROR(__xludf.DUMMYFUNCTION("""COMPUTED_VALUE"""),"application/pdf")</f>
        <v>application/pdf</v>
      </c>
    </row>
    <row r="325">
      <c r="A325" s="159" t="str">
        <f>IFERROR(__xludf.DUMMYFUNCTION("""COMPUTED_VALUE"""),"10.1038/s41586-019-1466-y")</f>
        <v>10.1038/s41586-019-1466-y</v>
      </c>
      <c r="B325" s="680" t="str">
        <f>IFERROR(__xludf.DUMMYFUNCTION("""COMPUTED_VALUE"""),"https://drive.google.com/file/d/1J22UyIYf-p3Wv9OMEsvQ6lDRH3kcsVka/view?usp=drivesdk")</f>
        <v>https://drive.google.com/file/d/1J22UyIYf-p3Wv9OMEsvQ6lDRH3kcsVka/view?usp=drivesdk</v>
      </c>
      <c r="C325" s="159" t="str">
        <f>IFERROR(__xludf.DUMMYFUNCTION("""COMPUTED_VALUE"""),"10.1038--s41586-019-1466-y.pdf")</f>
        <v>10.1038--s41586-019-1466-y.pdf</v>
      </c>
      <c r="D325" s="159" t="str">
        <f>IFERROR(__xludf.DUMMYFUNCTION("""COMPUTED_VALUE"""),"application/pdf")</f>
        <v>application/pdf</v>
      </c>
    </row>
    <row r="326">
      <c r="A326" s="159" t="str">
        <f>IFERROR(__xludf.DUMMYFUNCTION("""COMPUTED_VALUE"""),"10.1037/amp0000647")</f>
        <v>10.1037/amp0000647</v>
      </c>
      <c r="B326" s="680" t="str">
        <f>IFERROR(__xludf.DUMMYFUNCTION("""COMPUTED_VALUE"""),"https://drive.google.com/file/d/1iw2Vmyap3WOVxDORbLKUwTaJcmzUuG4L/view?usp=drivesdk")</f>
        <v>https://drive.google.com/file/d/1iw2Vmyap3WOVxDORbLKUwTaJcmzUuG4L/view?usp=drivesdk</v>
      </c>
      <c r="C326" s="159" t="str">
        <f>IFERROR(__xludf.DUMMYFUNCTION("""COMPUTED_VALUE"""),"10.1037--amp0000647.pdf")</f>
        <v>10.1037--amp0000647.pdf</v>
      </c>
      <c r="D326" s="159" t="str">
        <f>IFERROR(__xludf.DUMMYFUNCTION("""COMPUTED_VALUE"""),"application/pdf")</f>
        <v>application/pdf</v>
      </c>
    </row>
    <row r="327">
      <c r="A327" s="159" t="str">
        <f>IFERROR(__xludf.DUMMYFUNCTION("""COMPUTED_VALUE"""),"10.1111/jgs.17313")</f>
        <v>10.1111/jgs.17313</v>
      </c>
      <c r="B327" s="680" t="str">
        <f>IFERROR(__xludf.DUMMYFUNCTION("""COMPUTED_VALUE"""),"https://drive.google.com/file/d/1cCXaHYjuZXiL6iaMx9kIxN1dJZc9xHfX/view?usp=drivesdk")</f>
        <v>https://drive.google.com/file/d/1cCXaHYjuZXiL6iaMx9kIxN1dJZc9xHfX/view?usp=drivesdk</v>
      </c>
      <c r="C327" s="159" t="str">
        <f>IFERROR(__xludf.DUMMYFUNCTION("""COMPUTED_VALUE"""),"10.1111--jgs.17313.pdf")</f>
        <v>10.1111--jgs.17313.pdf</v>
      </c>
      <c r="D327" s="159" t="str">
        <f>IFERROR(__xludf.DUMMYFUNCTION("""COMPUTED_VALUE"""),"application/pdf")</f>
        <v>application/pdf</v>
      </c>
    </row>
    <row r="328">
      <c r="A328" s="159" t="str">
        <f>IFERROR(__xludf.DUMMYFUNCTION("""COMPUTED_VALUE"""),"10.1016/j.genhosppsych.2007.02.005")</f>
        <v>10.1016/j.genhosppsych.2007.02.005</v>
      </c>
      <c r="B328" s="680" t="str">
        <f>IFERROR(__xludf.DUMMYFUNCTION("""COMPUTED_VALUE"""),"https://drive.google.com/file/d/1QEFCwBkuzp2PmoAwm_k9USeHh_ToT-MP/view?usp=drivesdk")</f>
        <v>https://drive.google.com/file/d/1QEFCwBkuzp2PmoAwm_k9USeHh_ToT-MP/view?usp=drivesdk</v>
      </c>
      <c r="C328" s="159" t="str">
        <f>IFERROR(__xludf.DUMMYFUNCTION("""COMPUTED_VALUE"""),"10.1016--j.genhosppsych.2007.02.005.pdf")</f>
        <v>10.1016--j.genhosppsych.2007.02.005.pdf</v>
      </c>
      <c r="D328" s="159" t="str">
        <f>IFERROR(__xludf.DUMMYFUNCTION("""COMPUTED_VALUE"""),"application/pdf")</f>
        <v>application/pdf</v>
      </c>
    </row>
    <row r="329">
      <c r="A329" s="159" t="str">
        <f>IFERROR(__xludf.DUMMYFUNCTION("""COMPUTED_VALUE"""),"10.1177/0706743717702076")</f>
        <v>10.1177/0706743717702076</v>
      </c>
      <c r="B329" s="680" t="str">
        <f>IFERROR(__xludf.DUMMYFUNCTION("""COMPUTED_VALUE"""),"https://drive.google.com/file/d/1DOOvTXZ9DHMbvE1VlImzeboVfIYwHlIx/view?usp=drivesdk")</f>
        <v>https://drive.google.com/file/d/1DOOvTXZ9DHMbvE1VlImzeboVfIYwHlIx/view?usp=drivesdk</v>
      </c>
      <c r="C329" s="159" t="str">
        <f>IFERROR(__xludf.DUMMYFUNCTION("""COMPUTED_VALUE"""),"10.1177--0706743717702076.pdf")</f>
        <v>10.1177--0706743717702076.pdf</v>
      </c>
      <c r="D329" s="159" t="str">
        <f>IFERROR(__xludf.DUMMYFUNCTION("""COMPUTED_VALUE"""),"application/pdf")</f>
        <v>application/pdf</v>
      </c>
    </row>
    <row r="330">
      <c r="A330" s="159" t="str">
        <f>IFERROR(__xludf.DUMMYFUNCTION("""COMPUTED_VALUE"""),"10.1002/hrm.21467")</f>
        <v>10.1002/hrm.21467</v>
      </c>
      <c r="B330" s="680" t="str">
        <f>IFERROR(__xludf.DUMMYFUNCTION("""COMPUTED_VALUE"""),"https://drive.google.com/file/d/1U1DU0p6cvGBjO3D7a4pmLBrWXzsnISMz/view?usp=drivesdk")</f>
        <v>https://drive.google.com/file/d/1U1DU0p6cvGBjO3D7a4pmLBrWXzsnISMz/view?usp=drivesdk</v>
      </c>
      <c r="C330" s="159" t="str">
        <f>IFERROR(__xludf.DUMMYFUNCTION("""COMPUTED_VALUE"""),"10.1002--hrm.21467.pdf")</f>
        <v>10.1002--hrm.21467.pdf</v>
      </c>
      <c r="D330" s="159" t="str">
        <f>IFERROR(__xludf.DUMMYFUNCTION("""COMPUTED_VALUE"""),"application/pdf")</f>
        <v>application/pdf</v>
      </c>
    </row>
    <row r="331">
      <c r="A331" s="159" t="str">
        <f>IFERROR(__xludf.DUMMYFUNCTION("""COMPUTED_VALUE"""),"10.1016/0163-6383(91)90059-2")</f>
        <v>10.1016/0163-6383(91)90059-2</v>
      </c>
      <c r="B331" s="680" t="str">
        <f>IFERROR(__xludf.DUMMYFUNCTION("""COMPUTED_VALUE"""),"https://drive.google.com/file/d/1-YJr9W1vGj3TdrXvgTFj-MqzyQM7iAHQ/view?usp=drivesdk")</f>
        <v>https://drive.google.com/file/d/1-YJr9W1vGj3TdrXvgTFj-MqzyQM7iAHQ/view?usp=drivesdk</v>
      </c>
      <c r="C331" s="159" t="str">
        <f>IFERROR(__xludf.DUMMYFUNCTION("""COMPUTED_VALUE"""),"10.1016--0163-6383(91)90059-2.pdf")</f>
        <v>10.1016--0163-6383(91)90059-2.pdf</v>
      </c>
      <c r="D331" s="159" t="str">
        <f>IFERROR(__xludf.DUMMYFUNCTION("""COMPUTED_VALUE"""),"application/pdf")</f>
        <v>application/pdf</v>
      </c>
    </row>
    <row r="332">
      <c r="A332" s="159" t="str">
        <f>IFERROR(__xludf.DUMMYFUNCTION("""COMPUTED_VALUE"""),"10.1111/cdev.12381")</f>
        <v>10.1111/cdev.12381</v>
      </c>
      <c r="B332" s="680" t="str">
        <f>IFERROR(__xludf.DUMMYFUNCTION("""COMPUTED_VALUE"""),"https://drive.google.com/file/d/1HndIb7GS0vWb1FyBJwx7dU6hrShjoKp-/view?usp=drivesdk")</f>
        <v>https://drive.google.com/file/d/1HndIb7GS0vWb1FyBJwx7dU6hrShjoKp-/view?usp=drivesdk</v>
      </c>
      <c r="C332" s="159" t="str">
        <f>IFERROR(__xludf.DUMMYFUNCTION("""COMPUTED_VALUE"""),"10.1111--cdev.12381.pdf")</f>
        <v>10.1111--cdev.12381.pdf</v>
      </c>
      <c r="D332" s="159" t="str">
        <f>IFERROR(__xludf.DUMMYFUNCTION("""COMPUTED_VALUE"""),"application/pdf")</f>
        <v>application/pdf</v>
      </c>
    </row>
    <row r="333">
      <c r="A333" s="159" t="str">
        <f>IFERROR(__xludf.DUMMYFUNCTION("""COMPUTED_VALUE"""),"10.1016/j.dcn.2017.02.007")</f>
        <v>10.1016/j.dcn.2017.02.007</v>
      </c>
      <c r="B333" s="680" t="str">
        <f>IFERROR(__xludf.DUMMYFUNCTION("""COMPUTED_VALUE"""),"https://drive.google.com/file/d/1oUXoMFA7Z0d1k1WTE8xUleRiJSWNMphz/view?usp=drivesdk")</f>
        <v>https://drive.google.com/file/d/1oUXoMFA7Z0d1k1WTE8xUleRiJSWNMphz/view?usp=drivesdk</v>
      </c>
      <c r="C333" s="159" t="str">
        <f>IFERROR(__xludf.DUMMYFUNCTION("""COMPUTED_VALUE"""),"10.1016--j.dcn.2017.02.007.pdf")</f>
        <v>10.1016--j.dcn.2017.02.007.pdf</v>
      </c>
      <c r="D333" s="159" t="str">
        <f>IFERROR(__xludf.DUMMYFUNCTION("""COMPUTED_VALUE"""),"application/pdf")</f>
        <v>application/pdf</v>
      </c>
    </row>
    <row r="334">
      <c r="A334" s="159" t="str">
        <f>IFERROR(__xludf.DUMMYFUNCTION("""COMPUTED_VALUE"""),"10.1016/j.dcn.2019.100706")</f>
        <v>10.1016/j.dcn.2019.100706</v>
      </c>
      <c r="B334" s="680" t="str">
        <f>IFERROR(__xludf.DUMMYFUNCTION("""COMPUTED_VALUE"""),"https://drive.google.com/file/d/1Hu6zVkA4Jk-7dnWz-YrXhGa_yW76KXEd/view?usp=drivesdk")</f>
        <v>https://drive.google.com/file/d/1Hu6zVkA4Jk-7dnWz-YrXhGa_yW76KXEd/view?usp=drivesdk</v>
      </c>
      <c r="C334" s="159" t="str">
        <f>IFERROR(__xludf.DUMMYFUNCTION("""COMPUTED_VALUE"""),"10.1016--j.dcn.2019.100706.pdf")</f>
        <v>10.1016--j.dcn.2019.100706.pdf</v>
      </c>
      <c r="D334" s="159" t="str">
        <f>IFERROR(__xludf.DUMMYFUNCTION("""COMPUTED_VALUE"""),"application/pdf")</f>
        <v>application/pdf</v>
      </c>
    </row>
    <row r="335">
      <c r="A335" s="159" t="str">
        <f>IFERROR(__xludf.DUMMYFUNCTION("""COMPUTED_VALUE"""),"10.1177/13623613211007319")</f>
        <v>10.1177/13623613211007319</v>
      </c>
      <c r="B335" s="680" t="str">
        <f>IFERROR(__xludf.DUMMYFUNCTION("""COMPUTED_VALUE"""),"https://drive.google.com/file/d/1QgXFMb0RJN0xkUEKbSFQrDSurIjtE2nU/view?usp=drivesdk")</f>
        <v>https://drive.google.com/file/d/1QgXFMb0RJN0xkUEKbSFQrDSurIjtE2nU/view?usp=drivesdk</v>
      </c>
      <c r="C335" s="159" t="str">
        <f>IFERROR(__xludf.DUMMYFUNCTION("""COMPUTED_VALUE"""),"10.1177--13623613211007319.pdf")</f>
        <v>10.1177--13623613211007319.pdf</v>
      </c>
      <c r="D335" s="159" t="str">
        <f>IFERROR(__xludf.DUMMYFUNCTION("""COMPUTED_VALUE"""),"application/pdf")</f>
        <v>application/pdf</v>
      </c>
    </row>
    <row r="336">
      <c r="A336" s="159" t="str">
        <f>IFERROR(__xludf.DUMMYFUNCTION("""COMPUTED_VALUE"""),"10.1093/schbul/sbaa097")</f>
        <v>10.1093/schbul/sbaa097</v>
      </c>
      <c r="B336" s="680" t="str">
        <f>IFERROR(__xludf.DUMMYFUNCTION("""COMPUTED_VALUE"""),"https://drive.google.com/file/d/1pOj8QfMi2iR0NkH3tNUbv7w6LGyxo7HV/view?usp=drivesdk")</f>
        <v>https://drive.google.com/file/d/1pOj8QfMi2iR0NkH3tNUbv7w6LGyxo7HV/view?usp=drivesdk</v>
      </c>
      <c r="C336" s="159" t="str">
        <f>IFERROR(__xludf.DUMMYFUNCTION("""COMPUTED_VALUE"""),"10.1093--schbul--sbaa097.pdf")</f>
        <v>10.1093--schbul--sbaa097.pdf</v>
      </c>
      <c r="D336" s="159" t="str">
        <f>IFERROR(__xludf.DUMMYFUNCTION("""COMPUTED_VALUE"""),"application/pdf")</f>
        <v>application/pdf</v>
      </c>
    </row>
    <row r="337">
      <c r="A337" s="159" t="str">
        <f>IFERROR(__xludf.DUMMYFUNCTION("""COMPUTED_VALUE"""),"10.1093/schbul/sbs063")</f>
        <v>10.1093/schbul/sbs063</v>
      </c>
      <c r="B337" s="680" t="str">
        <f>IFERROR(__xludf.DUMMYFUNCTION("""COMPUTED_VALUE"""),"https://drive.google.com/file/d/1v3pUcbTfmdlTlTMUfrL-k3REqiJZ96wb/view?usp=drivesdk")</f>
        <v>https://drive.google.com/file/d/1v3pUcbTfmdlTlTMUfrL-k3REqiJZ96wb/view?usp=drivesdk</v>
      </c>
      <c r="C337" s="159" t="str">
        <f>IFERROR(__xludf.DUMMYFUNCTION("""COMPUTED_VALUE"""),"10.1093--schbul--sbs063.pdf")</f>
        <v>10.1093--schbul--sbs063.pdf</v>
      </c>
      <c r="D337" s="159" t="str">
        <f>IFERROR(__xludf.DUMMYFUNCTION("""COMPUTED_VALUE"""),"application/pdf")</f>
        <v>application/pdf</v>
      </c>
    </row>
    <row r="338">
      <c r="A338" s="159" t="str">
        <f>IFERROR(__xludf.DUMMYFUNCTION("""COMPUTED_VALUE"""),"10.1093/schbul/sby010")</f>
        <v>10.1093/schbul/sby010</v>
      </c>
      <c r="B338" s="680" t="str">
        <f>IFERROR(__xludf.DUMMYFUNCTION("""COMPUTED_VALUE"""),"https://drive.google.com/file/d/1x1KHoZCAM_FUz-0I_pkq3P8xca0b-PAH/view?usp=drivesdk")</f>
        <v>https://drive.google.com/file/d/1x1KHoZCAM_FUz-0I_pkq3P8xca0b-PAH/view?usp=drivesdk</v>
      </c>
      <c r="C338" s="159" t="str">
        <f>IFERROR(__xludf.DUMMYFUNCTION("""COMPUTED_VALUE"""),"10.1093--schbul--sby010.pdf")</f>
        <v>10.1093--schbul--sby010.pdf</v>
      </c>
      <c r="D338" s="159" t="str">
        <f>IFERROR(__xludf.DUMMYFUNCTION("""COMPUTED_VALUE"""),"application/pdf")</f>
        <v>application/pdf</v>
      </c>
    </row>
    <row r="339">
      <c r="A339" s="159" t="str">
        <f>IFERROR(__xludf.DUMMYFUNCTION("""COMPUTED_VALUE"""),"10.1093/schbul/sby140")</f>
        <v>10.1093/schbul/sby140</v>
      </c>
      <c r="B339" s="680" t="str">
        <f>IFERROR(__xludf.DUMMYFUNCTION("""COMPUTED_VALUE"""),"https://drive.google.com/file/d/1xo5qkUPzPDhmJQZCQm-x6pEUGJZwu5B5/view?usp=drivesdk")</f>
        <v>https://drive.google.com/file/d/1xo5qkUPzPDhmJQZCQm-x6pEUGJZwu5B5/view?usp=drivesdk</v>
      </c>
      <c r="C339" s="159" t="str">
        <f>IFERROR(__xludf.DUMMYFUNCTION("""COMPUTED_VALUE"""),"10.1093--schbul--sby140.pdf")</f>
        <v>10.1093--schbul--sby140.pdf</v>
      </c>
      <c r="D339" s="159" t="str">
        <f>IFERROR(__xludf.DUMMYFUNCTION("""COMPUTED_VALUE"""),"application/pdf")</f>
        <v>application/pdf</v>
      </c>
    </row>
    <row r="340">
      <c r="A340" s="159" t="str">
        <f>IFERROR(__xludf.DUMMYFUNCTION("""COMPUTED_VALUE"""),"10.1093/schbul/sbz137")</f>
        <v>10.1093/schbul/sbz137</v>
      </c>
      <c r="B340" s="680" t="str">
        <f>IFERROR(__xludf.DUMMYFUNCTION("""COMPUTED_VALUE"""),"https://drive.google.com/file/d/15dyT6Qw5Dj4UMIS1jxHbL57NNJTrxQGF/view?usp=drivesdk")</f>
        <v>https://drive.google.com/file/d/15dyT6Qw5Dj4UMIS1jxHbL57NNJTrxQGF/view?usp=drivesdk</v>
      </c>
      <c r="C340" s="159" t="str">
        <f>IFERROR(__xludf.DUMMYFUNCTION("""COMPUTED_VALUE"""),"10.1093--schbul--sbz137.pdf")</f>
        <v>10.1093--schbul--sbz137.pdf</v>
      </c>
      <c r="D340" s="159" t="str">
        <f>IFERROR(__xludf.DUMMYFUNCTION("""COMPUTED_VALUE"""),"application/pdf")</f>
        <v>application/pdf</v>
      </c>
    </row>
    <row r="341">
      <c r="A341" s="159" t="str">
        <f>IFERROR(__xludf.DUMMYFUNCTION("""COMPUTED_VALUE"""),"10.1093/schbul/sbab036")</f>
        <v>10.1093/schbul/sbab036</v>
      </c>
      <c r="B341" s="680" t="str">
        <f>IFERROR(__xludf.DUMMYFUNCTION("""COMPUTED_VALUE"""),"https://drive.google.com/file/d/1BKLfC6O4Qrz2tDbC1EObdB8jCi72MwzB/view?usp=drivesdk")</f>
        <v>https://drive.google.com/file/d/1BKLfC6O4Qrz2tDbC1EObdB8jCi72MwzB/view?usp=drivesdk</v>
      </c>
      <c r="C341" s="159" t="str">
        <f>IFERROR(__xludf.DUMMYFUNCTION("""COMPUTED_VALUE"""),"10.1093--schbul--sbab036.pdf")</f>
        <v>10.1093--schbul--sbab036.pdf</v>
      </c>
      <c r="D341" s="159" t="str">
        <f>IFERROR(__xludf.DUMMYFUNCTION("""COMPUTED_VALUE"""),"application/pdf")</f>
        <v>application/pdf</v>
      </c>
    </row>
    <row r="342">
      <c r="A342" s="159" t="str">
        <f>IFERROR(__xludf.DUMMYFUNCTION("""COMPUTED_VALUE"""),"10.1093/schbul/sby077")</f>
        <v>10.1093/schbul/sby077</v>
      </c>
      <c r="B342" s="680" t="str">
        <f>IFERROR(__xludf.DUMMYFUNCTION("""COMPUTED_VALUE"""),"https://drive.google.com/file/d/1hJt-iAs-B8L2mxJFzyIClb5QVDbl09N3/view?usp=drivesdk")</f>
        <v>https://drive.google.com/file/d/1hJt-iAs-B8L2mxJFzyIClb5QVDbl09N3/view?usp=drivesdk</v>
      </c>
      <c r="C342" s="159" t="str">
        <f>IFERROR(__xludf.DUMMYFUNCTION("""COMPUTED_VALUE"""),"10.1093--schbul--sby077.pdf")</f>
        <v>10.1093--schbul--sby077.pdf</v>
      </c>
      <c r="D342" s="159" t="str">
        <f>IFERROR(__xludf.DUMMYFUNCTION("""COMPUTED_VALUE"""),"application/pdf")</f>
        <v>application/pdf</v>
      </c>
    </row>
    <row r="343">
      <c r="A343" s="159" t="str">
        <f>IFERROR(__xludf.DUMMYFUNCTION("""COMPUTED_VALUE"""),"10.1093/schbul/sbaa079")</f>
        <v>10.1093/schbul/sbaa079</v>
      </c>
      <c r="B343" s="680" t="str">
        <f>IFERROR(__xludf.DUMMYFUNCTION("""COMPUTED_VALUE"""),"https://drive.google.com/file/d/1APy3BxuFdeYrw-5mHIvrlEMcFxM7BwdA/view?usp=drivesdk")</f>
        <v>https://drive.google.com/file/d/1APy3BxuFdeYrw-5mHIvrlEMcFxM7BwdA/view?usp=drivesdk</v>
      </c>
      <c r="C343" s="159" t="str">
        <f>IFERROR(__xludf.DUMMYFUNCTION("""COMPUTED_VALUE"""),"10.1093--schbul--sbaa079.pdf")</f>
        <v>10.1093--schbul--sbaa079.pdf</v>
      </c>
      <c r="D343" s="159" t="str">
        <f>IFERROR(__xludf.DUMMYFUNCTION("""COMPUTED_VALUE"""),"application/pdf")</f>
        <v>application/pdf</v>
      </c>
    </row>
    <row r="344">
      <c r="A344" s="159" t="str">
        <f>IFERROR(__xludf.DUMMYFUNCTION("""COMPUTED_VALUE"""),"10.1093/schbul/sby007")</f>
        <v>10.1093/schbul/sby007</v>
      </c>
      <c r="B344" s="680" t="str">
        <f>IFERROR(__xludf.DUMMYFUNCTION("""COMPUTED_VALUE"""),"https://drive.google.com/file/d/1CQhgZF6tLO5EfEzE-bG1U79FopNMLC1Z/view?usp=drivesdk")</f>
        <v>https://drive.google.com/file/d/1CQhgZF6tLO5EfEzE-bG1U79FopNMLC1Z/view?usp=drivesdk</v>
      </c>
      <c r="C344" s="159" t="str">
        <f>IFERROR(__xludf.DUMMYFUNCTION("""COMPUTED_VALUE"""),"10.1093--schbul--sby007.pdf")</f>
        <v>10.1093--schbul--sby007.pdf</v>
      </c>
      <c r="D344" s="159" t="str">
        <f>IFERROR(__xludf.DUMMYFUNCTION("""COMPUTED_VALUE"""),"application/pdf")</f>
        <v>application/pdf</v>
      </c>
    </row>
    <row r="345">
      <c r="A345" s="159" t="str">
        <f>IFERROR(__xludf.DUMMYFUNCTION("""COMPUTED_VALUE"""),"10.1093/schbul/sbx169")</f>
        <v>10.1093/schbul/sbx169</v>
      </c>
      <c r="B345" s="680" t="str">
        <f>IFERROR(__xludf.DUMMYFUNCTION("""COMPUTED_VALUE"""),"https://drive.google.com/file/d/1O-mP41-orGXLl4HEnujHTkXhVVxuIbPl/view?usp=drivesdk")</f>
        <v>https://drive.google.com/file/d/1O-mP41-orGXLl4HEnujHTkXhVVxuIbPl/view?usp=drivesdk</v>
      </c>
      <c r="C345" s="159" t="str">
        <f>IFERROR(__xludf.DUMMYFUNCTION("""COMPUTED_VALUE"""),"10.1093--schbul--sbx169.pdf")</f>
        <v>10.1093--schbul--sbx169.pdf</v>
      </c>
      <c r="D345" s="159" t="str">
        <f>IFERROR(__xludf.DUMMYFUNCTION("""COMPUTED_VALUE"""),"application/pdf")</f>
        <v>application/pdf</v>
      </c>
    </row>
    <row r="346">
      <c r="A346" s="159" t="str">
        <f>IFERROR(__xludf.DUMMYFUNCTION("""COMPUTED_VALUE"""),"10.1093/schbul/sby045")</f>
        <v>10.1093/schbul/sby045</v>
      </c>
      <c r="B346" s="680" t="str">
        <f>IFERROR(__xludf.DUMMYFUNCTION("""COMPUTED_VALUE"""),"https://drive.google.com/file/d/1vHoyzd8vXID9JyGhMb7dl1wJ2hE1Ml_T/view?usp=drivesdk")</f>
        <v>https://drive.google.com/file/d/1vHoyzd8vXID9JyGhMb7dl1wJ2hE1Ml_T/view?usp=drivesdk</v>
      </c>
      <c r="C346" s="159" t="str">
        <f>IFERROR(__xludf.DUMMYFUNCTION("""COMPUTED_VALUE"""),"10.1093--schbul--sby045.pdf")</f>
        <v>10.1093--schbul--sby045.pdf</v>
      </c>
      <c r="D346" s="159" t="str">
        <f>IFERROR(__xludf.DUMMYFUNCTION("""COMPUTED_VALUE"""),"application/pdf")</f>
        <v>application/pdf</v>
      </c>
    </row>
    <row r="347">
      <c r="A347" s="159" t="str">
        <f>IFERROR(__xludf.DUMMYFUNCTION("""COMPUTED_VALUE"""),"10.1093/schbul/sbaa200")</f>
        <v>10.1093/schbul/sbaa200</v>
      </c>
      <c r="B347" s="680" t="str">
        <f>IFERROR(__xludf.DUMMYFUNCTION("""COMPUTED_VALUE"""),"https://drive.google.com/file/d/1HwA3b0bsyps3GpuX_XbdwBv2GdUgHBrJ/view?usp=drivesdk")</f>
        <v>https://drive.google.com/file/d/1HwA3b0bsyps3GpuX_XbdwBv2GdUgHBrJ/view?usp=drivesdk</v>
      </c>
      <c r="C347" s="159" t="str">
        <f>IFERROR(__xludf.DUMMYFUNCTION("""COMPUTED_VALUE"""),"10.1093--schbul--sbaa200.pdf")</f>
        <v>10.1093--schbul--sbaa200.pdf</v>
      </c>
      <c r="D347" s="159" t="str">
        <f>IFERROR(__xludf.DUMMYFUNCTION("""COMPUTED_VALUE"""),"application/pdf")</f>
        <v>application/pdf</v>
      </c>
    </row>
    <row r="348">
      <c r="A348" s="159" t="str">
        <f>IFERROR(__xludf.DUMMYFUNCTION("""COMPUTED_VALUE"""),"10.1093/schbul/sbaa157")</f>
        <v>10.1093/schbul/sbaa157</v>
      </c>
      <c r="B348" s="680" t="str">
        <f>IFERROR(__xludf.DUMMYFUNCTION("""COMPUTED_VALUE"""),"https://drive.google.com/file/d/1zjKGdaaf8d8wuXyMPq-0MCrcct8kkMJL/view?usp=drivesdk")</f>
        <v>https://drive.google.com/file/d/1zjKGdaaf8d8wuXyMPq-0MCrcct8kkMJL/view?usp=drivesdk</v>
      </c>
      <c r="C348" s="159" t="str">
        <f>IFERROR(__xludf.DUMMYFUNCTION("""COMPUTED_VALUE"""),"10.1093--schbul--sbaa157.pdf")</f>
        <v>10.1093--schbul--sbaa157.pdf</v>
      </c>
      <c r="D348" s="159" t="str">
        <f>IFERROR(__xludf.DUMMYFUNCTION("""COMPUTED_VALUE"""),"application/pdf")</f>
        <v>application/pdf</v>
      </c>
    </row>
    <row r="349">
      <c r="A349" s="159" t="str">
        <f>IFERROR(__xludf.DUMMYFUNCTION("""COMPUTED_VALUE"""),"10.1093/schbul/sbv017")</f>
        <v>10.1093/schbul/sbv017</v>
      </c>
      <c r="B349" s="680" t="str">
        <f>IFERROR(__xludf.DUMMYFUNCTION("""COMPUTED_VALUE"""),"https://drive.google.com/file/d/1UUZjDwVEPT6GPty04X-usSnU-_GgAnkf/view?usp=drivesdk")</f>
        <v>https://drive.google.com/file/d/1UUZjDwVEPT6GPty04X-usSnU-_GgAnkf/view?usp=drivesdk</v>
      </c>
      <c r="C349" s="159" t="str">
        <f>IFERROR(__xludf.DUMMYFUNCTION("""COMPUTED_VALUE"""),"10.1093--schbul--sbv017.pdf")</f>
        <v>10.1093--schbul--sbv017.pdf</v>
      </c>
      <c r="D349" s="159" t="str">
        <f>IFERROR(__xludf.DUMMYFUNCTION("""COMPUTED_VALUE"""),"application/pdf")</f>
        <v>application/pdf</v>
      </c>
    </row>
    <row r="350">
      <c r="A350" s="159" t="str">
        <f>IFERROR(__xludf.DUMMYFUNCTION("""COMPUTED_VALUE"""),"10.1093/schbul/sbw051")</f>
        <v>10.1093/schbul/sbw051</v>
      </c>
      <c r="B350" s="680" t="str">
        <f>IFERROR(__xludf.DUMMYFUNCTION("""COMPUTED_VALUE"""),"https://drive.google.com/file/d/1hKYtkZTFS6ejHGge_CicBXFbFBHtKLN-/view?usp=drivesdk")</f>
        <v>https://drive.google.com/file/d/1hKYtkZTFS6ejHGge_CicBXFbFBHtKLN-/view?usp=drivesdk</v>
      </c>
      <c r="C350" s="159" t="str">
        <f>IFERROR(__xludf.DUMMYFUNCTION("""COMPUTED_VALUE"""),"10.1093--schbul--sbw051.pdf")</f>
        <v>10.1093--schbul--sbw051.pdf</v>
      </c>
      <c r="D350" s="159" t="str">
        <f>IFERROR(__xludf.DUMMYFUNCTION("""COMPUTED_VALUE"""),"application/pdf")</f>
        <v>application/pdf</v>
      </c>
    </row>
    <row r="351">
      <c r="A351" s="159" t="str">
        <f>IFERROR(__xludf.DUMMYFUNCTION("""COMPUTED_VALUE"""),"10.1093/schbul/sbz035")</f>
        <v>10.1093/schbul/sbz035</v>
      </c>
      <c r="B351" s="680" t="str">
        <f>IFERROR(__xludf.DUMMYFUNCTION("""COMPUTED_VALUE"""),"https://drive.google.com/file/d/1w1eiIobDOC89Fm8cwJ7OhDkvo14PYI9T/view?usp=drivesdk")</f>
        <v>https://drive.google.com/file/d/1w1eiIobDOC89Fm8cwJ7OhDkvo14PYI9T/view?usp=drivesdk</v>
      </c>
      <c r="C351" s="159" t="str">
        <f>IFERROR(__xludf.DUMMYFUNCTION("""COMPUTED_VALUE"""),"10.1093--schbul--sbz035.pdf")</f>
        <v>10.1093--schbul--sbz035.pdf</v>
      </c>
      <c r="D351" s="159" t="str">
        <f>IFERROR(__xludf.DUMMYFUNCTION("""COMPUTED_VALUE"""),"application/pdf")</f>
        <v>application/pdf</v>
      </c>
    </row>
    <row r="352">
      <c r="A352" s="159" t="str">
        <f>IFERROR(__xludf.DUMMYFUNCTION("""COMPUTED_VALUE"""),"10.1093/schbul/sby139")</f>
        <v>10.1093/schbul/sby139</v>
      </c>
      <c r="B352" s="680" t="str">
        <f>IFERROR(__xludf.DUMMYFUNCTION("""COMPUTED_VALUE"""),"https://drive.google.com/file/d/1PceCYp-sM9NhOiXonYzbSJPmjCIKd7j2/view?usp=drivesdk")</f>
        <v>https://drive.google.com/file/d/1PceCYp-sM9NhOiXonYzbSJPmjCIKd7j2/view?usp=drivesdk</v>
      </c>
      <c r="C352" s="159" t="str">
        <f>IFERROR(__xludf.DUMMYFUNCTION("""COMPUTED_VALUE"""),"10.1093--schbul--sby139.pdf")</f>
        <v>10.1093--schbul--sby139.pdf</v>
      </c>
      <c r="D352" s="159" t="str">
        <f>IFERROR(__xludf.DUMMYFUNCTION("""COMPUTED_VALUE"""),"application/pdf")</f>
        <v>application/pdf</v>
      </c>
    </row>
    <row r="353">
      <c r="A353" s="159" t="str">
        <f>IFERROR(__xludf.DUMMYFUNCTION("""COMPUTED_VALUE"""),"10.1093/schbul/sbaa078")</f>
        <v>10.1093/schbul/sbaa078</v>
      </c>
      <c r="B353" s="680" t="str">
        <f>IFERROR(__xludf.DUMMYFUNCTION("""COMPUTED_VALUE"""),"https://drive.google.com/file/d/12r0mfRoffoTmcGWn-9xzBAWhPAtLh6Rt/view?usp=drivesdk")</f>
        <v>https://drive.google.com/file/d/12r0mfRoffoTmcGWn-9xzBAWhPAtLh6Rt/view?usp=drivesdk</v>
      </c>
      <c r="C353" s="159" t="str">
        <f>IFERROR(__xludf.DUMMYFUNCTION("""COMPUTED_VALUE"""),"10.1093--schbul--sbaa078.pdf")</f>
        <v>10.1093--schbul--sbaa078.pdf</v>
      </c>
      <c r="D353" s="159" t="str">
        <f>IFERROR(__xludf.DUMMYFUNCTION("""COMPUTED_VALUE"""),"application/pdf")</f>
        <v>application/pdf</v>
      </c>
    </row>
    <row r="354">
      <c r="A354" s="159" t="str">
        <f>IFERROR(__xludf.DUMMYFUNCTION("""COMPUTED_VALUE"""),"10.1093/schbul/sbz014")</f>
        <v>10.1093/schbul/sbz014</v>
      </c>
      <c r="B354" s="680" t="str">
        <f>IFERROR(__xludf.DUMMYFUNCTION("""COMPUTED_VALUE"""),"https://drive.google.com/file/d/1mqjQER9Wmov7Avk75ADRCMcRQifYe_jK/view?usp=drivesdk")</f>
        <v>https://drive.google.com/file/d/1mqjQER9Wmov7Avk75ADRCMcRQifYe_jK/view?usp=drivesdk</v>
      </c>
      <c r="C354" s="159" t="str">
        <f>IFERROR(__xludf.DUMMYFUNCTION("""COMPUTED_VALUE"""),"10.1093--schbul--sbz014.pdf")</f>
        <v>10.1093--schbul--sbz014.pdf</v>
      </c>
      <c r="D354" s="159" t="str">
        <f>IFERROR(__xludf.DUMMYFUNCTION("""COMPUTED_VALUE"""),"application/pdf")</f>
        <v>application/pdf</v>
      </c>
    </row>
    <row r="355">
      <c r="A355" s="159" t="str">
        <f>IFERROR(__xludf.DUMMYFUNCTION("""COMPUTED_VALUE"""),"10.1093/schbul/sbaa160")</f>
        <v>10.1093/schbul/sbaa160</v>
      </c>
      <c r="B355" s="680" t="str">
        <f>IFERROR(__xludf.DUMMYFUNCTION("""COMPUTED_VALUE"""),"https://drive.google.com/file/d/1fK-46BUCgCuHLrWfRWxp3uNVkuTf84xt/view?usp=drivesdk")</f>
        <v>https://drive.google.com/file/d/1fK-46BUCgCuHLrWfRWxp3uNVkuTf84xt/view?usp=drivesdk</v>
      </c>
      <c r="C355" s="159" t="str">
        <f>IFERROR(__xludf.DUMMYFUNCTION("""COMPUTED_VALUE"""),"10.1093--schbul--sbaa160.pdf")</f>
        <v>10.1093--schbul--sbaa160.pdf</v>
      </c>
      <c r="D355" s="159" t="str">
        <f>IFERROR(__xludf.DUMMYFUNCTION("""COMPUTED_VALUE"""),"application/pdf")</f>
        <v>application/pdf</v>
      </c>
    </row>
    <row r="356">
      <c r="A356" s="159" t="str">
        <f>IFERROR(__xludf.DUMMYFUNCTION("""COMPUTED_VALUE"""),"10.1093/schbul/sbaa185")</f>
        <v>10.1093/schbul/sbaa185</v>
      </c>
      <c r="B356" s="680" t="str">
        <f>IFERROR(__xludf.DUMMYFUNCTION("""COMPUTED_VALUE"""),"https://drive.google.com/file/d/1qgCS-H292u8TdBcfhpf8jVi9L5mfmGkX/view?usp=drivesdk")</f>
        <v>https://drive.google.com/file/d/1qgCS-H292u8TdBcfhpf8jVi9L5mfmGkX/view?usp=drivesdk</v>
      </c>
      <c r="C356" s="159" t="str">
        <f>IFERROR(__xludf.DUMMYFUNCTION("""COMPUTED_VALUE"""),"10.1093--schbul--sbaa185.pdf")</f>
        <v>10.1093--schbul--sbaa185.pdf</v>
      </c>
      <c r="D356" s="159" t="str">
        <f>IFERROR(__xludf.DUMMYFUNCTION("""COMPUTED_VALUE"""),"application/pdf")</f>
        <v>application/pdf</v>
      </c>
    </row>
    <row r="357">
      <c r="A357" s="159" t="str">
        <f>IFERROR(__xludf.DUMMYFUNCTION("""COMPUTED_VALUE"""),"10.1093/schbul/sbaa179")</f>
        <v>10.1093/schbul/sbaa179</v>
      </c>
      <c r="B357" s="680" t="str">
        <f>IFERROR(__xludf.DUMMYFUNCTION("""COMPUTED_VALUE"""),"https://drive.google.com/file/d/14Otbmb1wGLmU3wU4vWPnWaNg4k75Bmia/view?usp=drivesdk")</f>
        <v>https://drive.google.com/file/d/14Otbmb1wGLmU3wU4vWPnWaNg4k75Bmia/view?usp=drivesdk</v>
      </c>
      <c r="C357" s="159" t="str">
        <f>IFERROR(__xludf.DUMMYFUNCTION("""COMPUTED_VALUE"""),"10.1093--schbul--sbaa179.pdf")</f>
        <v>10.1093--schbul--sbaa179.pdf</v>
      </c>
      <c r="D357" s="159" t="str">
        <f>IFERROR(__xludf.DUMMYFUNCTION("""COMPUTED_VALUE"""),"application/pdf")</f>
        <v>application/pdf</v>
      </c>
    </row>
    <row r="358">
      <c r="A358" s="159" t="str">
        <f>IFERROR(__xludf.DUMMYFUNCTION("""COMPUTED_VALUE"""),"10.1177/014920639001600102")</f>
        <v>10.1177/014920639001600102</v>
      </c>
      <c r="B358" s="680" t="str">
        <f>IFERROR(__xludf.DUMMYFUNCTION("""COMPUTED_VALUE"""),"https://drive.google.com/file/d/1HMBJR2Ai0Lw9Cby0omAkdxIpUaBYGZsx/view?usp=drivesdk")</f>
        <v>https://drive.google.com/file/d/1HMBJR2Ai0Lw9Cby0omAkdxIpUaBYGZsx/view?usp=drivesdk</v>
      </c>
      <c r="C358" s="159" t="str">
        <f>IFERROR(__xludf.DUMMYFUNCTION("""COMPUTED_VALUE"""),"10.1177--014920639001600102.pdf")</f>
        <v>10.1177--014920639001600102.pdf</v>
      </c>
      <c r="D358" s="159" t="str">
        <f>IFERROR(__xludf.DUMMYFUNCTION("""COMPUTED_VALUE"""),"application/pdf")</f>
        <v>application/pdf</v>
      </c>
    </row>
    <row r="359">
      <c r="A359" s="159" t="str">
        <f>IFERROR(__xludf.DUMMYFUNCTION("""COMPUTED_VALUE"""),"10.1177/1094428112470847")</f>
        <v>10.1177/1094428112470847</v>
      </c>
      <c r="B359" s="680" t="str">
        <f>IFERROR(__xludf.DUMMYFUNCTION("""COMPUTED_VALUE"""),"https://drive.google.com/file/d/1Xws2-V0QfxIbH7J4q-3RZAnk1dsbh0d2/view?usp=drivesdk")</f>
        <v>https://drive.google.com/file/d/1Xws2-V0QfxIbH7J4q-3RZAnk1dsbh0d2/view?usp=drivesdk</v>
      </c>
      <c r="C359" s="159" t="str">
        <f>IFERROR(__xludf.DUMMYFUNCTION("""COMPUTED_VALUE"""),"10.1177--1094428112470847.pdf")</f>
        <v>10.1177--1094428112470847.pdf</v>
      </c>
      <c r="D359" s="159" t="str">
        <f>IFERROR(__xludf.DUMMYFUNCTION("""COMPUTED_VALUE"""),"application/pdf")</f>
        <v>application/pdf</v>
      </c>
    </row>
    <row r="360">
      <c r="A360" s="159" t="str">
        <f>IFERROR(__xludf.DUMMYFUNCTION("""COMPUTED_VALUE"""),"10.1038/s41562-018-0509-y")</f>
        <v>10.1038/s41562-018-0509-y</v>
      </c>
      <c r="B360" s="680" t="str">
        <f>IFERROR(__xludf.DUMMYFUNCTION("""COMPUTED_VALUE"""),"https://drive.google.com/file/d/1O8o7T-BmbnPQktmuo44d2s9j2GASarTH/view?usp=drivesdk")</f>
        <v>https://drive.google.com/file/d/1O8o7T-BmbnPQktmuo44d2s9j2GASarTH/view?usp=drivesdk</v>
      </c>
      <c r="C360" s="159" t="str">
        <f>IFERROR(__xludf.DUMMYFUNCTION("""COMPUTED_VALUE"""),"10.1038--s41562-018-0509-y.pdf")</f>
        <v>10.1038--s41562-018-0509-y.pdf</v>
      </c>
      <c r="D360" s="159" t="str">
        <f>IFERROR(__xludf.DUMMYFUNCTION("""COMPUTED_VALUE"""),"application/pdf")</f>
        <v>application/pdf</v>
      </c>
    </row>
    <row r="361">
      <c r="A361" s="159" t="str">
        <f>IFERROR(__xludf.DUMMYFUNCTION("""COMPUTED_VALUE"""),"10.1038/s41562-021-01127-3")</f>
        <v>10.1038/s41562-021-01127-3</v>
      </c>
      <c r="B361" s="680" t="str">
        <f>IFERROR(__xludf.DUMMYFUNCTION("""COMPUTED_VALUE"""),"https://drive.google.com/file/d/19Jzef7FtFsZ5qvkil90arulbere6rm5-/view?usp=drivesdk")</f>
        <v>https://drive.google.com/file/d/19Jzef7FtFsZ5qvkil90arulbere6rm5-/view?usp=drivesdk</v>
      </c>
      <c r="C361" s="159" t="str">
        <f>IFERROR(__xludf.DUMMYFUNCTION("""COMPUTED_VALUE"""),"10.1038--s41562-021-01127-3.pdf")</f>
        <v>10.1038--s41562-021-01127-3.pdf</v>
      </c>
      <c r="D361" s="159" t="str">
        <f>IFERROR(__xludf.DUMMYFUNCTION("""COMPUTED_VALUE"""),"application/pdf")</f>
        <v>application/pdf</v>
      </c>
    </row>
    <row r="362">
      <c r="A362" s="159" t="str">
        <f>IFERROR(__xludf.DUMMYFUNCTION("""COMPUTED_VALUE"""),"10.1038/s41562-019-0747-7")</f>
        <v>10.1038/s41562-019-0747-7</v>
      </c>
      <c r="B362" s="680" t="str">
        <f>IFERROR(__xludf.DUMMYFUNCTION("""COMPUTED_VALUE"""),"https://drive.google.com/file/d/1T-Y81hQH-m3mJREYNJJ-_fvxA37rN1Vr/view?usp=drivesdk")</f>
        <v>https://drive.google.com/file/d/1T-Y81hQH-m3mJREYNJJ-_fvxA37rN1Vr/view?usp=drivesdk</v>
      </c>
      <c r="C362" s="159" t="str">
        <f>IFERROR(__xludf.DUMMYFUNCTION("""COMPUTED_VALUE"""),"10.1038--s41562-019-0747-7.pdf")</f>
        <v>10.1038--s41562-019-0747-7.pdf</v>
      </c>
      <c r="D362" s="159" t="str">
        <f>IFERROR(__xludf.DUMMYFUNCTION("""COMPUTED_VALUE"""),"application/pdf")</f>
        <v>application/pdf</v>
      </c>
    </row>
    <row r="363">
      <c r="A363" s="159" t="str">
        <f>IFERROR(__xludf.DUMMYFUNCTION("""COMPUTED_VALUE"""),"10.1038/s41562-018-0399-z")</f>
        <v>10.1038/s41562-018-0399-z</v>
      </c>
      <c r="B363" s="680" t="str">
        <f>IFERROR(__xludf.DUMMYFUNCTION("""COMPUTED_VALUE"""),"https://drive.google.com/file/d/1XgVMa01TtKbRfWaCjSCwCg4zPwJV_vw6/view?usp=drivesdk")</f>
        <v>https://drive.google.com/file/d/1XgVMa01TtKbRfWaCjSCwCg4zPwJV_vw6/view?usp=drivesdk</v>
      </c>
      <c r="C363" s="159" t="str">
        <f>IFERROR(__xludf.DUMMYFUNCTION("""COMPUTED_VALUE"""),"10.1038--s41562-018-0399-z.pdf")</f>
        <v>10.1038--s41562-018-0399-z.pdf</v>
      </c>
      <c r="D363" s="159" t="str">
        <f>IFERROR(__xludf.DUMMYFUNCTION("""COMPUTED_VALUE"""),"application/pdf")</f>
        <v>application/pdf</v>
      </c>
    </row>
    <row r="364">
      <c r="A364" s="159" t="str">
        <f>IFERROR(__xludf.DUMMYFUNCTION("""COMPUTED_VALUE"""),"10.1126/science.1157627")</f>
        <v>10.1126/science.1157627</v>
      </c>
      <c r="B364" s="680" t="str">
        <f>IFERROR(__xludf.DUMMYFUNCTION("""COMPUTED_VALUE"""),"https://drive.google.com/file/d/1x4i7V7n-ZjHsJByLAIX9V_H3jBk3HQmn/view?usp=drivesdk")</f>
        <v>https://drive.google.com/file/d/1x4i7V7n-ZjHsJByLAIX9V_H3jBk3HQmn/view?usp=drivesdk</v>
      </c>
      <c r="C364" s="159" t="str">
        <f>IFERROR(__xludf.DUMMYFUNCTION("""COMPUTED_VALUE"""),"10.1126--science.1157627.pdf")</f>
        <v>10.1126--science.1157627.pdf</v>
      </c>
      <c r="D364" s="159" t="str">
        <f>IFERROR(__xludf.DUMMYFUNCTION("""COMPUTED_VALUE"""),"application/pdf")</f>
        <v>application/pdf</v>
      </c>
    </row>
    <row r="365">
      <c r="A365" s="159" t="str">
        <f>IFERROR(__xludf.DUMMYFUNCTION("""COMPUTED_VALUE"""),"10.1038/s41562-020-0823-z")</f>
        <v>10.1038/s41562-020-0823-z</v>
      </c>
      <c r="B365" s="680" t="str">
        <f>IFERROR(__xludf.DUMMYFUNCTION("""COMPUTED_VALUE"""),"https://drive.google.com/file/d/1drMd6Ym4rk46wtDjrzcBsbtJ2Da2ww61/view?usp=drivesdk")</f>
        <v>https://drive.google.com/file/d/1drMd6Ym4rk46wtDjrzcBsbtJ2Da2ww61/view?usp=drivesdk</v>
      </c>
      <c r="C365" s="159" t="str">
        <f>IFERROR(__xludf.DUMMYFUNCTION("""COMPUTED_VALUE"""),"10.1038--s41562-020-0823-z.pdf")</f>
        <v>10.1038--s41562-020-0823-z.pdf</v>
      </c>
      <c r="D365" s="159" t="str">
        <f>IFERROR(__xludf.DUMMYFUNCTION("""COMPUTED_VALUE"""),"application/pdf")</f>
        <v>application/pdf</v>
      </c>
    </row>
    <row r="366">
      <c r="A366" s="159" t="str">
        <f>IFERROR(__xludf.DUMMYFUNCTION("""COMPUTED_VALUE"""),"10.1001/jamapsychiatry.2019.4079")</f>
        <v>10.1001/jamapsychiatry.2019.4079</v>
      </c>
      <c r="B366" s="680" t="str">
        <f>IFERROR(__xludf.DUMMYFUNCTION("""COMPUTED_VALUE"""),"https://drive.google.com/file/d/1UuBKR_hoIV-X-Lut9dWZvIAQeo5Sp8nG/view?usp=drivesdk")</f>
        <v>https://drive.google.com/file/d/1UuBKR_hoIV-X-Lut9dWZvIAQeo5Sp8nG/view?usp=drivesdk</v>
      </c>
      <c r="C366" s="159" t="str">
        <f>IFERROR(__xludf.DUMMYFUNCTION("""COMPUTED_VALUE"""),"10.1001--jamapsychiatry.2019.4079.pdf")</f>
        <v>10.1001--jamapsychiatry.2019.4079.pdf</v>
      </c>
      <c r="D366" s="159" t="str">
        <f>IFERROR(__xludf.DUMMYFUNCTION("""COMPUTED_VALUE"""),"application/pdf")</f>
        <v>application/pdf</v>
      </c>
    </row>
    <row r="367">
      <c r="A367" s="159" t="str">
        <f>IFERROR(__xludf.DUMMYFUNCTION("""COMPUTED_VALUE"""),"10.1001/jamapsychiatry.2019.4910")</f>
        <v>10.1001/jamapsychiatry.2019.4910</v>
      </c>
      <c r="B367" s="680" t="str">
        <f>IFERROR(__xludf.DUMMYFUNCTION("""COMPUTED_VALUE"""),"https://drive.google.com/file/d/146Xj8BuUAzVZ0xXkDju2ghykIW_qNzwU/view?usp=drivesdk")</f>
        <v>https://drive.google.com/file/d/146Xj8BuUAzVZ0xXkDju2ghykIW_qNzwU/view?usp=drivesdk</v>
      </c>
      <c r="C367" s="159" t="str">
        <f>IFERROR(__xludf.DUMMYFUNCTION("""COMPUTED_VALUE"""),"10.1001--jamapsychiatry.2019.4910.pdf")</f>
        <v>10.1001--jamapsychiatry.2019.4910.pdf</v>
      </c>
      <c r="D367" s="159" t="str">
        <f>IFERROR(__xludf.DUMMYFUNCTION("""COMPUTED_VALUE"""),"application/pdf")</f>
        <v>application/pdf</v>
      </c>
    </row>
    <row r="368">
      <c r="A368" s="159" t="str">
        <f>IFERROR(__xludf.DUMMYFUNCTION("""COMPUTED_VALUE"""),"10.1126/science.1167748")</f>
        <v>10.1126/science.1167748</v>
      </c>
      <c r="B368" s="680" t="str">
        <f>IFERROR(__xludf.DUMMYFUNCTION("""COMPUTED_VALUE"""),"https://drive.google.com/file/d/1FQJpaH7J3eF5IWX4mQZvn4hmYURhxGaG/view?usp=drivesdk")</f>
        <v>https://drive.google.com/file/d/1FQJpaH7J3eF5IWX4mQZvn4hmYURhxGaG/view?usp=drivesdk</v>
      </c>
      <c r="C368" s="159" t="str">
        <f>IFERROR(__xludf.DUMMYFUNCTION("""COMPUTED_VALUE"""),"10.1126--science.1167748.pdf")</f>
        <v>10.1126--science.1167748.pdf</v>
      </c>
      <c r="D368" s="159" t="str">
        <f>IFERROR(__xludf.DUMMYFUNCTION("""COMPUTED_VALUE"""),"application/pdf")</f>
        <v>application/pdf</v>
      </c>
    </row>
    <row r="369">
      <c r="A369" s="159" t="str">
        <f>IFERROR(__xludf.DUMMYFUNCTION("""COMPUTED_VALUE"""),"10.1111/j.1467-9280.1992.tb00678.x")</f>
        <v>10.1111/j.1467-9280.1992.tb00678.x</v>
      </c>
      <c r="B369" s="680" t="str">
        <f>IFERROR(__xludf.DUMMYFUNCTION("""COMPUTED_VALUE"""),"https://drive.google.com/file/d/1A7IQYIfVS1sTYZUl5_NoD4Q6b1T3hSOE/view?usp=drivesdk")</f>
        <v>https://drive.google.com/file/d/1A7IQYIfVS1sTYZUl5_NoD4Q6b1T3hSOE/view?usp=drivesdk</v>
      </c>
      <c r="C369" s="159" t="str">
        <f>IFERROR(__xludf.DUMMYFUNCTION("""COMPUTED_VALUE"""),"10.1111--j.1467-9280.1992.tb00678.x.pdf")</f>
        <v>10.1111--j.1467-9280.1992.tb00678.x.pdf</v>
      </c>
      <c r="D369" s="159" t="str">
        <f>IFERROR(__xludf.DUMMYFUNCTION("""COMPUTED_VALUE"""),"application/pdf")</f>
        <v>application/pdf</v>
      </c>
    </row>
    <row r="370">
      <c r="A370" s="159" t="str">
        <f>IFERROR(__xludf.DUMMYFUNCTION("""COMPUTED_VALUE"""),"10.1126/science.1121629")</f>
        <v>10.1126/science.1121629</v>
      </c>
      <c r="B370" s="680" t="str">
        <f>IFERROR(__xludf.DUMMYFUNCTION("""COMPUTED_VALUE"""),"https://drive.google.com/file/d/1BZtRJ02shFZjYSEcLvnyj0pKcfmvcWZd/view?usp=drivesdk")</f>
        <v>https://drive.google.com/file/d/1BZtRJ02shFZjYSEcLvnyj0pKcfmvcWZd/view?usp=drivesdk</v>
      </c>
      <c r="C370" s="159" t="str">
        <f>IFERROR(__xludf.DUMMYFUNCTION("""COMPUTED_VALUE"""),"10.1126--science.1121629.pdf")</f>
        <v>10.1126--science.1121629.pdf</v>
      </c>
      <c r="D370" s="159" t="str">
        <f>IFERROR(__xludf.DUMMYFUNCTION("""COMPUTED_VALUE"""),"application/pdf")</f>
        <v>application/pdf</v>
      </c>
    </row>
    <row r="371">
      <c r="A371" s="159" t="str">
        <f>IFERROR(__xludf.DUMMYFUNCTION("""COMPUTED_VALUE"""),"10.1037/apl0000183")</f>
        <v>10.1037/apl0000183</v>
      </c>
      <c r="B371" s="680" t="str">
        <f>IFERROR(__xludf.DUMMYFUNCTION("""COMPUTED_VALUE"""),"https://drive.google.com/file/d/1pLcsY8nK1FeQHu1LdzUR0lJkukmwZ3Vb/view?usp=drivesdk")</f>
        <v>https://drive.google.com/file/d/1pLcsY8nK1FeQHu1LdzUR0lJkukmwZ3Vb/view?usp=drivesdk</v>
      </c>
      <c r="C371" s="159" t="str">
        <f>IFERROR(__xludf.DUMMYFUNCTION("""COMPUTED_VALUE"""),"10.1037--apl0000183.pdf")</f>
        <v>10.1037--apl0000183.pdf</v>
      </c>
      <c r="D371" s="159" t="str">
        <f>IFERROR(__xludf.DUMMYFUNCTION("""COMPUTED_VALUE"""),"application/pdf")</f>
        <v>application/pdf</v>
      </c>
    </row>
    <row r="372">
      <c r="A372" s="159" t="str">
        <f>IFERROR(__xludf.DUMMYFUNCTION("""COMPUTED_VALUE"""),"10.1037/0033-2909.130.5.813")</f>
        <v>10.1037/0033-2909.130.5.813</v>
      </c>
      <c r="B372" s="680" t="str">
        <f>IFERROR(__xludf.DUMMYFUNCTION("""COMPUTED_VALUE"""),"https://drive.google.com/file/d/19OvezacVtq5E6qdJTGr77RwUV8By58ds/view?usp=drivesdk")</f>
        <v>https://drive.google.com/file/d/19OvezacVtq5E6qdJTGr77RwUV8By58ds/view?usp=drivesdk</v>
      </c>
      <c r="C372" s="159" t="str">
        <f>IFERROR(__xludf.DUMMYFUNCTION("""COMPUTED_VALUE"""),"10.1037--0033-2909.130.5.813.pdf")</f>
        <v>10.1037--0033-2909.130.5.813.pdf</v>
      </c>
      <c r="D372" s="159" t="str">
        <f>IFERROR(__xludf.DUMMYFUNCTION("""COMPUTED_VALUE"""),"application/pdf")</f>
        <v>application/pdf</v>
      </c>
    </row>
    <row r="373">
      <c r="A373" s="159" t="str">
        <f>IFERROR(__xludf.DUMMYFUNCTION("""COMPUTED_VALUE"""),"10.1016/j.obhdp.2013.05.001")</f>
        <v>10.1016/j.obhdp.2013.05.001</v>
      </c>
      <c r="B373" s="680" t="str">
        <f>IFERROR(__xludf.DUMMYFUNCTION("""COMPUTED_VALUE"""),"https://drive.google.com/file/d/1IsAxrHbWXTYQA-yUQNXr1hgjkCfnrOnZ/view?usp=drivesdk")</f>
        <v>https://drive.google.com/file/d/1IsAxrHbWXTYQA-yUQNXr1hgjkCfnrOnZ/view?usp=drivesdk</v>
      </c>
      <c r="C373" s="159" t="str">
        <f>IFERROR(__xludf.DUMMYFUNCTION("""COMPUTED_VALUE"""),"10.1016--j.obhdp.2013.05.001.pdf")</f>
        <v>10.1016--j.obhdp.2013.05.001.pdf</v>
      </c>
      <c r="D373" s="159" t="str">
        <f>IFERROR(__xludf.DUMMYFUNCTION("""COMPUTED_VALUE"""),"application/pdf")</f>
        <v>application/pdf</v>
      </c>
    </row>
    <row r="374">
      <c r="A374" s="159" t="str">
        <f>IFERROR(__xludf.DUMMYFUNCTION("""COMPUTED_VALUE"""),"10.1111/j.1467-9280.2008.02100.x")</f>
        <v>10.1111/j.1467-9280.2008.02100.x</v>
      </c>
      <c r="B374" s="680" t="str">
        <f>IFERROR(__xludf.DUMMYFUNCTION("""COMPUTED_VALUE"""),"https://drive.google.com/file/d/1xSVM7VMKatYnl6XkKdkAikq6Hru3wdAI/view?usp=drivesdk")</f>
        <v>https://drive.google.com/file/d/1xSVM7VMKatYnl6XkKdkAikq6Hru3wdAI/view?usp=drivesdk</v>
      </c>
      <c r="C374" s="159" t="str">
        <f>IFERROR(__xludf.DUMMYFUNCTION("""COMPUTED_VALUE"""),"10.1111--j.1467-9280.2008.02100.x.pdf")</f>
        <v>10.1111--j.1467-9280.2008.02100.x.pdf</v>
      </c>
      <c r="D374" s="159" t="str">
        <f>IFERROR(__xludf.DUMMYFUNCTION("""COMPUTED_VALUE"""),"application/pdf")</f>
        <v>application/pdf</v>
      </c>
    </row>
    <row r="375">
      <c r="A375" s="159" t="str">
        <f>IFERROR(__xludf.DUMMYFUNCTION("""COMPUTED_VALUE"""),"10.1037/a0035789")</f>
        <v>10.1037/a0035789</v>
      </c>
      <c r="B375" s="680" t="str">
        <f>IFERROR(__xludf.DUMMYFUNCTION("""COMPUTED_VALUE"""),"https://drive.google.com/file/d/1FjE8oIOE36cyAL422NDi-LLlJCe5NrRU/view?usp=drivesdk")</f>
        <v>https://drive.google.com/file/d/1FjE8oIOE36cyAL422NDi-LLlJCe5NrRU/view?usp=drivesdk</v>
      </c>
      <c r="C375" s="159" t="str">
        <f>IFERROR(__xludf.DUMMYFUNCTION("""COMPUTED_VALUE"""),"10.1037--a0035789.pdf")</f>
        <v>10.1037--a0035789.pdf</v>
      </c>
      <c r="D375" s="159" t="str">
        <f>IFERROR(__xludf.DUMMYFUNCTION("""COMPUTED_VALUE"""),"application/pdf")</f>
        <v>application/pdf</v>
      </c>
    </row>
    <row r="376">
      <c r="A376" s="159" t="str">
        <f>IFERROR(__xludf.DUMMYFUNCTION("""COMPUTED_VALUE"""),"10.1016/j.obhdp.2009.01.001")</f>
        <v>10.1016/j.obhdp.2009.01.001</v>
      </c>
      <c r="B376" s="680" t="str">
        <f>IFERROR(__xludf.DUMMYFUNCTION("""COMPUTED_VALUE"""),"https://drive.google.com/file/d/15BF8OmP5jtaEWWYkqexESPGYmO6G2k5L/view?usp=drivesdk")</f>
        <v>https://drive.google.com/file/d/15BF8OmP5jtaEWWYkqexESPGYmO6G2k5L/view?usp=drivesdk</v>
      </c>
      <c r="C376" s="159" t="str">
        <f>IFERROR(__xludf.DUMMYFUNCTION("""COMPUTED_VALUE"""),"10.1016--j.obhdp.2009.01.001.pdf")</f>
        <v>10.1016--j.obhdp.2009.01.001.pdf</v>
      </c>
      <c r="D376" s="159" t="str">
        <f>IFERROR(__xludf.DUMMYFUNCTION("""COMPUTED_VALUE"""),"application/pdf")</f>
        <v>application/pdf</v>
      </c>
    </row>
    <row r="377">
      <c r="A377" s="159" t="str">
        <f>IFERROR(__xludf.DUMMYFUNCTION("""COMPUTED_VALUE"""),"10.1016/j.leaqua.2018.01.002")</f>
        <v>10.1016/j.leaqua.2018.01.002</v>
      </c>
      <c r="B377" s="680" t="str">
        <f>IFERROR(__xludf.DUMMYFUNCTION("""COMPUTED_VALUE"""),"https://drive.google.com/file/d/1vRtCivn2QapXmNi8PUTnUFWZoQNn1ghS/view?usp=drivesdk")</f>
        <v>https://drive.google.com/file/d/1vRtCivn2QapXmNi8PUTnUFWZoQNn1ghS/view?usp=drivesdk</v>
      </c>
      <c r="C377" s="159" t="str">
        <f>IFERROR(__xludf.DUMMYFUNCTION("""COMPUTED_VALUE"""),"10.1016--j.leaqua.2018.01.002.pdf")</f>
        <v>10.1016--j.leaqua.2018.01.002.pdf</v>
      </c>
      <c r="D377" s="159" t="str">
        <f>IFERROR(__xludf.DUMMYFUNCTION("""COMPUTED_VALUE"""),"application/pdf")</f>
        <v>application/pdf</v>
      </c>
    </row>
    <row r="378">
      <c r="A378" s="159" t="str">
        <f>IFERROR(__xludf.DUMMYFUNCTION("""COMPUTED_VALUE"""),"10.1016/j.beth.2006.03.002")</f>
        <v>10.1016/j.beth.2006.03.002</v>
      </c>
      <c r="B378" s="680" t="str">
        <f>IFERROR(__xludf.DUMMYFUNCTION("""COMPUTED_VALUE"""),"https://drive.google.com/file/d/1xQVLBf9H_-09jP0kpgMWEGuyFupTFBor/view?usp=drivesdk")</f>
        <v>https://drive.google.com/file/d/1xQVLBf9H_-09jP0kpgMWEGuyFupTFBor/view?usp=drivesdk</v>
      </c>
      <c r="C378" s="159" t="str">
        <f>IFERROR(__xludf.DUMMYFUNCTION("""COMPUTED_VALUE"""),"10.1016--j.beth.2006.03.002.pdf")</f>
        <v>10.1016--j.beth.2006.03.002.pdf</v>
      </c>
      <c r="D378" s="159" t="str">
        <f>IFERROR(__xludf.DUMMYFUNCTION("""COMPUTED_VALUE"""),"application/pdf")</f>
        <v>application/pdf</v>
      </c>
    </row>
    <row r="379">
      <c r="A379" s="159" t="str">
        <f>IFERROR(__xludf.DUMMYFUNCTION("""COMPUTED_VALUE"""),"10.1002/job.1992")</f>
        <v>10.1002/job.1992</v>
      </c>
      <c r="B379" s="680" t="str">
        <f>IFERROR(__xludf.DUMMYFUNCTION("""COMPUTED_VALUE"""),"https://drive.google.com/file/d/1jEiCM4amu7q5InbrvHMBqZ8T4x_jz3D3/view?usp=drivesdk")</f>
        <v>https://drive.google.com/file/d/1jEiCM4amu7q5InbrvHMBqZ8T4x_jz3D3/view?usp=drivesdk</v>
      </c>
      <c r="C379" s="159" t="str">
        <f>IFERROR(__xludf.DUMMYFUNCTION("""COMPUTED_VALUE"""),"10.1002--job.1992.pdf")</f>
        <v>10.1002--job.1992.pdf</v>
      </c>
      <c r="D379" s="159" t="str">
        <f>IFERROR(__xludf.DUMMYFUNCTION("""COMPUTED_VALUE"""),"application/pdf")</f>
        <v>application/pdf</v>
      </c>
    </row>
    <row r="380">
      <c r="A380" s="159" t="str">
        <f>IFERROR(__xludf.DUMMYFUNCTION("""COMPUTED_VALUE"""),"10.1037/0021-9010.64.6.648")</f>
        <v>10.1037/0021-9010.64.6.648</v>
      </c>
      <c r="B380" s="680" t="str">
        <f>IFERROR(__xludf.DUMMYFUNCTION("""COMPUTED_VALUE"""),"https://drive.google.com/file/d/1DPC7kTGAKWOdHVuSDS9Kti6H9UiJyVdE/view?usp=drivesdk")</f>
        <v>https://drive.google.com/file/d/1DPC7kTGAKWOdHVuSDS9Kti6H9UiJyVdE/view?usp=drivesdk</v>
      </c>
      <c r="C380" s="159" t="str">
        <f>IFERROR(__xludf.DUMMYFUNCTION("""COMPUTED_VALUE"""),"10.1037--0021-9010.64.6.648.pdf")</f>
        <v>10.1037--0021-9010.64.6.648.pdf</v>
      </c>
      <c r="D380" s="159" t="str">
        <f>IFERROR(__xludf.DUMMYFUNCTION("""COMPUTED_VALUE"""),"application/pdf")</f>
        <v>application/pdf</v>
      </c>
    </row>
    <row r="381">
      <c r="A381" s="159" t="str">
        <f>IFERROR(__xludf.DUMMYFUNCTION("""COMPUTED_VALUE"""),"10.1037/h0027407")</f>
        <v>10.1037/h0027407</v>
      </c>
      <c r="B381" s="680" t="str">
        <f>IFERROR(__xludf.DUMMYFUNCTION("""COMPUTED_VALUE"""),"https://drive.google.com/file/d/1Go4wBGbJgkNpz4Gzrp-0kVVsoMRrHmrZ/view?usp=drivesdk")</f>
        <v>https://drive.google.com/file/d/1Go4wBGbJgkNpz4Gzrp-0kVVsoMRrHmrZ/view?usp=drivesdk</v>
      </c>
      <c r="C381" s="159" t="str">
        <f>IFERROR(__xludf.DUMMYFUNCTION("""COMPUTED_VALUE"""),"10.1037--h0027407.pdf")</f>
        <v>10.1037--h0027407.pdf</v>
      </c>
      <c r="D381" s="159" t="str">
        <f>IFERROR(__xludf.DUMMYFUNCTION("""COMPUTED_VALUE"""),"application/pdf")</f>
        <v>application/pdf</v>
      </c>
    </row>
    <row r="382">
      <c r="A382" s="159" t="str">
        <f>IFERROR(__xludf.DUMMYFUNCTION("""COMPUTED_VALUE"""),"10.1037/apl0000383")</f>
        <v>10.1037/apl0000383</v>
      </c>
      <c r="B382" s="680" t="str">
        <f>IFERROR(__xludf.DUMMYFUNCTION("""COMPUTED_VALUE"""),"https://drive.google.com/file/d/1NCYWY28mySlW6r1Ce1EmPIxlxJnXKEeA/view?usp=drivesdk")</f>
        <v>https://drive.google.com/file/d/1NCYWY28mySlW6r1Ce1EmPIxlxJnXKEeA/view?usp=drivesdk</v>
      </c>
      <c r="C382" s="159" t="str">
        <f>IFERROR(__xludf.DUMMYFUNCTION("""COMPUTED_VALUE"""),"10.1037--apl0000383.pdf")</f>
        <v>10.1037--apl0000383.pdf</v>
      </c>
      <c r="D382" s="159" t="str">
        <f>IFERROR(__xludf.DUMMYFUNCTION("""COMPUTED_VALUE"""),"application/pdf")</f>
        <v>application/pdf</v>
      </c>
    </row>
    <row r="383">
      <c r="A383" s="159" t="str">
        <f>IFERROR(__xludf.DUMMYFUNCTION("""COMPUTED_VALUE"""),"10.1037/pac0000446")</f>
        <v>10.1037/pac0000446</v>
      </c>
      <c r="B383" s="680" t="str">
        <f>IFERROR(__xludf.DUMMYFUNCTION("""COMPUTED_VALUE"""),"https://drive.google.com/file/d/1VWVBxo0R_uSQmNqltg1Izp_wQqjadDat/view?usp=drivesdk")</f>
        <v>https://drive.google.com/file/d/1VWVBxo0R_uSQmNqltg1Izp_wQqjadDat/view?usp=drivesdk</v>
      </c>
      <c r="C383" s="159" t="str">
        <f>IFERROR(__xludf.DUMMYFUNCTION("""COMPUTED_VALUE"""),"10.1037--pac0000446.pdf")</f>
        <v>10.1037--pac0000446.pdf</v>
      </c>
      <c r="D383" s="159" t="str">
        <f>IFERROR(__xludf.DUMMYFUNCTION("""COMPUTED_VALUE"""),"application/pdf")</f>
        <v>application/pdf</v>
      </c>
    </row>
    <row r="384">
      <c r="A384" s="159" t="str">
        <f>IFERROR(__xludf.DUMMYFUNCTION("""COMPUTED_VALUE"""),"10.1037//0021-9010.82.2.247")</f>
        <v>10.1037//0021-9010.82.2.247</v>
      </c>
      <c r="B384" s="680" t="str">
        <f>IFERROR(__xludf.DUMMYFUNCTION("""COMPUTED_VALUE"""),"https://drive.google.com/file/d/1Xg0YhEf3_C2G1OdCppRlgLW9ZMxNhTFk/view?usp=drivesdk")</f>
        <v>https://drive.google.com/file/d/1Xg0YhEf3_C2G1OdCppRlgLW9ZMxNhTFk/view?usp=drivesdk</v>
      </c>
      <c r="C384" s="159" t="str">
        <f>IFERROR(__xludf.DUMMYFUNCTION("""COMPUTED_VALUE"""),"10.1037----0021-9010.82.2.247.pdf")</f>
        <v>10.1037----0021-9010.82.2.247.pdf</v>
      </c>
      <c r="D384" s="159" t="str">
        <f>IFERROR(__xludf.DUMMYFUNCTION("""COMPUTED_VALUE"""),"application/pdf")</f>
        <v>application/pdf</v>
      </c>
    </row>
    <row r="385">
      <c r="A385" s="159" t="str">
        <f>IFERROR(__xludf.DUMMYFUNCTION("""COMPUTED_VALUE"""),"10.1037/apl0000254")</f>
        <v>10.1037/apl0000254</v>
      </c>
      <c r="B385" s="680" t="str">
        <f>IFERROR(__xludf.DUMMYFUNCTION("""COMPUTED_VALUE"""),"https://drive.google.com/file/d/1WRSouUQ1esEyS3H9QQHF6VP3pyZTYfbe/view?usp=drivesdk")</f>
        <v>https://drive.google.com/file/d/1WRSouUQ1esEyS3H9QQHF6VP3pyZTYfbe/view?usp=drivesdk</v>
      </c>
      <c r="C385" s="159" t="str">
        <f>IFERROR(__xludf.DUMMYFUNCTION("""COMPUTED_VALUE"""),"10.1037--apl0000254.pdf")</f>
        <v>10.1037--apl0000254.pdf</v>
      </c>
      <c r="D385" s="159" t="str">
        <f>IFERROR(__xludf.DUMMYFUNCTION("""COMPUTED_VALUE"""),"application/pdf")</f>
        <v>application/pdf</v>
      </c>
    </row>
    <row r="386">
      <c r="A386" s="159" t="str">
        <f>IFERROR(__xludf.DUMMYFUNCTION("""COMPUTED_VALUE"""),"10.1037/bul0000135")</f>
        <v>10.1037/bul0000135</v>
      </c>
      <c r="B386" s="680" t="str">
        <f>IFERROR(__xludf.DUMMYFUNCTION("""COMPUTED_VALUE"""),"https://drive.google.com/file/d/1i-jn6ySTfcPpur-eEzNLl9eDUu63SbrF/view?usp=drivesdk")</f>
        <v>https://drive.google.com/file/d/1i-jn6ySTfcPpur-eEzNLl9eDUu63SbrF/view?usp=drivesdk</v>
      </c>
      <c r="C386" s="159" t="str">
        <f>IFERROR(__xludf.DUMMYFUNCTION("""COMPUTED_VALUE"""),"10.1037--bul0000135.pdf")</f>
        <v>10.1037--bul0000135.pdf</v>
      </c>
      <c r="D386" s="159" t="str">
        <f>IFERROR(__xludf.DUMMYFUNCTION("""COMPUTED_VALUE"""),"application/pdf")</f>
        <v>application/pdf</v>
      </c>
    </row>
    <row r="387">
      <c r="A387" s="159" t="str">
        <f>IFERROR(__xludf.DUMMYFUNCTION("""COMPUTED_VALUE"""),"10.1037/10165-004")</f>
        <v>10.1037/10165-004</v>
      </c>
      <c r="B387" s="680" t="str">
        <f>IFERROR(__xludf.DUMMYFUNCTION("""COMPUTED_VALUE"""),"https://drive.google.com/file/d/1HEFgf5WprkOtnlg5CuC2TbyvztdSsHXA/view?usp=drivesdk")</f>
        <v>https://drive.google.com/file/d/1HEFgf5WprkOtnlg5CuC2TbyvztdSsHXA/view?usp=drivesdk</v>
      </c>
      <c r="C387" s="159" t="str">
        <f>IFERROR(__xludf.DUMMYFUNCTION("""COMPUTED_VALUE"""),"10.1037--10165-004.pdf")</f>
        <v>10.1037--10165-004.pdf</v>
      </c>
      <c r="D387" s="159" t="str">
        <f>IFERROR(__xludf.DUMMYFUNCTION("""COMPUTED_VALUE"""),"application/pdf")</f>
        <v>application/pdf</v>
      </c>
    </row>
    <row r="388">
      <c r="A388" s="159" t="str">
        <f>IFERROR(__xludf.DUMMYFUNCTION("""COMPUTED_VALUE"""),"10.1287/mnsc.2021.4219")</f>
        <v>10.1287/mnsc.2021.4219</v>
      </c>
      <c r="B388" s="680" t="str">
        <f>IFERROR(__xludf.DUMMYFUNCTION("""COMPUTED_VALUE"""),"https://drive.google.com/file/d/1XMQIhbvCTxrEJDpxqZBfVzAvcKmPsrBZ/view?usp=drivesdk")</f>
        <v>https://drive.google.com/file/d/1XMQIhbvCTxrEJDpxqZBfVzAvcKmPsrBZ/view?usp=drivesdk</v>
      </c>
      <c r="C388" s="159" t="str">
        <f>IFERROR(__xludf.DUMMYFUNCTION("""COMPUTED_VALUE"""),"10.1287--mnsc.2021.4219.pdf")</f>
        <v>10.1287--mnsc.2021.4219.pdf</v>
      </c>
      <c r="D388" s="159" t="str">
        <f>IFERROR(__xludf.DUMMYFUNCTION("""COMPUTED_VALUE"""),"application/pdf")</f>
        <v>application/pdf</v>
      </c>
    </row>
    <row r="389">
      <c r="A389" s="159" t="str">
        <f>IFERROR(__xludf.DUMMYFUNCTION("""COMPUTED_VALUE"""),"10.34891/20211105-533")</f>
        <v>10.34891/20211105-533</v>
      </c>
      <c r="B389" s="680" t="str">
        <f>IFERROR(__xludf.DUMMYFUNCTION("""COMPUTED_VALUE"""),"https://drive.google.com/file/d/19YmABhdDCIpdhfD7204UorAKJcVFmGyB/view?usp=drivesdk")</f>
        <v>https://drive.google.com/file/d/19YmABhdDCIpdhfD7204UorAKJcVFmGyB/view?usp=drivesdk</v>
      </c>
      <c r="C389" s="159" t="str">
        <f>IFERROR(__xludf.DUMMYFUNCTION("""COMPUTED_VALUE"""),"10.34891--20211105-533.pdf")</f>
        <v>10.34891--20211105-533.pdf</v>
      </c>
      <c r="D389" s="159" t="str">
        <f>IFERROR(__xludf.DUMMYFUNCTION("""COMPUTED_VALUE"""),"application/pdf")</f>
        <v>application/pdf</v>
      </c>
    </row>
    <row r="390">
      <c r="A390" s="159" t="str">
        <f>IFERROR(__xludf.DUMMYFUNCTION("""COMPUTED_VALUE"""),"10.1111/ijsa.12344")</f>
        <v>10.1111/ijsa.12344</v>
      </c>
      <c r="B390" s="680" t="str">
        <f>IFERROR(__xludf.DUMMYFUNCTION("""COMPUTED_VALUE"""),"https://drive.google.com/file/d/1SOPs2GJBcgw_G0bKtPC4Th7eG_ManoJd/view?usp=drivesdk")</f>
        <v>https://drive.google.com/file/d/1SOPs2GJBcgw_G0bKtPC4Th7eG_ManoJd/view?usp=drivesdk</v>
      </c>
      <c r="C390" s="159" t="str">
        <f>IFERROR(__xludf.DUMMYFUNCTION("""COMPUTED_VALUE"""),"10.1111--ijsa.12344.pdf")</f>
        <v>10.1111--ijsa.12344.pdf</v>
      </c>
      <c r="D390" s="159" t="str">
        <f>IFERROR(__xludf.DUMMYFUNCTION("""COMPUTED_VALUE"""),"application/pdf")</f>
        <v>application/pdf</v>
      </c>
    </row>
    <row r="391">
      <c r="A391" s="159" t="str">
        <f>IFERROR(__xludf.DUMMYFUNCTION("""COMPUTED_VALUE"""),"10.1108/cdi-04-2022-0100")</f>
        <v>10.1108/cdi-04-2022-0100</v>
      </c>
      <c r="B391" s="680" t="str">
        <f>IFERROR(__xludf.DUMMYFUNCTION("""COMPUTED_VALUE"""),"https://drive.google.com/file/d/1yl0jhBdumRyzmMIzcloa9sKFHPhKF8OK/view?usp=drivesdk")</f>
        <v>https://drive.google.com/file/d/1yl0jhBdumRyzmMIzcloa9sKFHPhKF8OK/view?usp=drivesdk</v>
      </c>
      <c r="C391" s="159" t="str">
        <f>IFERROR(__xludf.DUMMYFUNCTION("""COMPUTED_VALUE"""),"10.1108--CDI-04-2022-0100.pdf")</f>
        <v>10.1108--CDI-04-2022-0100.pdf</v>
      </c>
      <c r="D391" s="159" t="str">
        <f>IFERROR(__xludf.DUMMYFUNCTION("""COMPUTED_VALUE"""),"application/pdf")</f>
        <v>application/pdf</v>
      </c>
    </row>
    <row r="392">
      <c r="A392" s="159" t="str">
        <f>IFERROR(__xludf.DUMMYFUNCTION("""COMPUTED_VALUE"""),"10.1108/jocm-10-2020-0332")</f>
        <v>10.1108/jocm-10-2020-0332</v>
      </c>
      <c r="B392" s="680" t="str">
        <f>IFERROR(__xludf.DUMMYFUNCTION("""COMPUTED_VALUE"""),"https://drive.google.com/file/d/1wITfbFPTbRTzHFkX871k1T9s08S1avdD/view?usp=drivesdk")</f>
        <v>https://drive.google.com/file/d/1wITfbFPTbRTzHFkX871k1T9s08S1avdD/view?usp=drivesdk</v>
      </c>
      <c r="C392" s="159" t="str">
        <f>IFERROR(__xludf.DUMMYFUNCTION("""COMPUTED_VALUE"""),"10.1108--JOCM-10-2020-0332.pdf")</f>
        <v>10.1108--JOCM-10-2020-0332.pdf</v>
      </c>
      <c r="D392" s="159" t="str">
        <f>IFERROR(__xludf.DUMMYFUNCTION("""COMPUTED_VALUE"""),"application/pdf")</f>
        <v>application/pdf</v>
      </c>
    </row>
    <row r="393">
      <c r="A393" s="159" t="str">
        <f>IFERROR(__xludf.DUMMYFUNCTION("""COMPUTED_VALUE"""),"10.1038/s41562-020-0886-x")</f>
        <v>10.1038/s41562-020-0886-x</v>
      </c>
      <c r="B393" s="680" t="str">
        <f>IFERROR(__xludf.DUMMYFUNCTION("""COMPUTED_VALUE"""),"https://drive.google.com/file/d/17lKJd0XgXJUPLVAz1c4Ug8sjxVde__kN/view?usp=drivesdk")</f>
        <v>https://drive.google.com/file/d/17lKJd0XgXJUPLVAz1c4Ug8sjxVde__kN/view?usp=drivesdk</v>
      </c>
      <c r="C393" s="159" t="str">
        <f>IFERROR(__xludf.DUMMYFUNCTION("""COMPUTED_VALUE"""),"10.1038--s41562-020-0886-x.pdf")</f>
        <v>10.1038--s41562-020-0886-x.pdf</v>
      </c>
      <c r="D393" s="159" t="str">
        <f>IFERROR(__xludf.DUMMYFUNCTION("""COMPUTED_VALUE"""),"application/pdf")</f>
        <v>application/pdf</v>
      </c>
    </row>
    <row r="394">
      <c r="A394" s="159" t="str">
        <f>IFERROR(__xludf.DUMMYFUNCTION("""COMPUTED_VALUE"""),"10.1142/9789814417358_0006")</f>
        <v>10.1142/9789814417358_0006</v>
      </c>
      <c r="B394" s="680" t="str">
        <f>IFERROR(__xludf.DUMMYFUNCTION("""COMPUTED_VALUE"""),"https://drive.google.com/file/d/1Ci1l1ZfhUyKds6-dhiSxuDdsEG2c0oM9/view?usp=drivesdk")</f>
        <v>https://drive.google.com/file/d/1Ci1l1ZfhUyKds6-dhiSxuDdsEG2c0oM9/view?usp=drivesdk</v>
      </c>
      <c r="C394" s="159" t="str">
        <f>IFERROR(__xludf.DUMMYFUNCTION("""COMPUTED_VALUE"""),"10.1142--9789814417358_0006.pdf")</f>
        <v>10.1142--9789814417358_0006.pdf</v>
      </c>
      <c r="D394" s="159" t="str">
        <f>IFERROR(__xludf.DUMMYFUNCTION("""COMPUTED_VALUE"""),"application/pdf")</f>
        <v>application/pdf</v>
      </c>
    </row>
    <row r="395">
      <c r="A395" s="159" t="str">
        <f>IFERROR(__xludf.DUMMYFUNCTION("""COMPUTED_VALUE"""),"10.1038/nature03701")</f>
        <v>10.1038/nature03701</v>
      </c>
      <c r="B395" s="680" t="str">
        <f>IFERROR(__xludf.DUMMYFUNCTION("""COMPUTED_VALUE"""),"https://drive.google.com/file/d/12h1le2Y9eBk96sBXvHfC4rsFg5-PRvQx/view?usp=drivesdk")</f>
        <v>https://drive.google.com/file/d/12h1le2Y9eBk96sBXvHfC4rsFg5-PRvQx/view?usp=drivesdk</v>
      </c>
      <c r="C395" s="159" t="str">
        <f>IFERROR(__xludf.DUMMYFUNCTION("""COMPUTED_VALUE"""),"10.1038--nature03701.pdf")</f>
        <v>10.1038--nature03701.pdf</v>
      </c>
      <c r="D395" s="159" t="str">
        <f>IFERROR(__xludf.DUMMYFUNCTION("""COMPUTED_VALUE"""),"application/pdf")</f>
        <v>application/pdf</v>
      </c>
    </row>
    <row r="396">
      <c r="A396" s="159" t="str">
        <f>IFERROR(__xludf.DUMMYFUNCTION("""COMPUTED_VALUE"""),"10.1038/s41562-020-0878-x")</f>
        <v>10.1038/s41562-020-0878-x</v>
      </c>
      <c r="B396" s="680" t="str">
        <f>IFERROR(__xludf.DUMMYFUNCTION("""COMPUTED_VALUE"""),"https://drive.google.com/file/d/1E-fPFWPp1C038ilr4G4ya5W89cdrxAfI/view?usp=drivesdk")</f>
        <v>https://drive.google.com/file/d/1E-fPFWPp1C038ilr4G4ya5W89cdrxAfI/view?usp=drivesdk</v>
      </c>
      <c r="C396" s="159" t="str">
        <f>IFERROR(__xludf.DUMMYFUNCTION("""COMPUTED_VALUE"""),"10.1038--s41562-020-0878-x.pdf")</f>
        <v>10.1038--s41562-020-0878-x.pdf</v>
      </c>
      <c r="D396" s="159" t="str">
        <f>IFERROR(__xludf.DUMMYFUNCTION("""COMPUTED_VALUE"""),"application/pdf")</f>
        <v>application/pdf</v>
      </c>
    </row>
    <row r="397">
      <c r="A397" s="159" t="str">
        <f>IFERROR(__xludf.DUMMYFUNCTION("""COMPUTED_VALUE"""),"10.1038/s41562-020-01027-y")</f>
        <v>10.1038/s41562-020-01027-y</v>
      </c>
      <c r="B397" s="680" t="str">
        <f>IFERROR(__xludf.DUMMYFUNCTION("""COMPUTED_VALUE"""),"https://drive.google.com/file/d/1duH290lp3KCv-GVIL7wrS-wGm3yvm8TY/view?usp=drivesdk")</f>
        <v>https://drive.google.com/file/d/1duH290lp3KCv-GVIL7wrS-wGm3yvm8TY/view?usp=drivesdk</v>
      </c>
      <c r="C397" s="159" t="str">
        <f>IFERROR(__xludf.DUMMYFUNCTION("""COMPUTED_VALUE"""),"10.1038--s41562-020-01027-y.pdf")</f>
        <v>10.1038--s41562-020-01027-y.pdf</v>
      </c>
      <c r="D397" s="159" t="str">
        <f>IFERROR(__xludf.DUMMYFUNCTION("""COMPUTED_VALUE"""),"application/pdf")</f>
        <v>application/pdf</v>
      </c>
    </row>
    <row r="398">
      <c r="A398" s="159" t="str">
        <f>IFERROR(__xludf.DUMMYFUNCTION("""COMPUTED_VALUE"""),"10.1038/s41562-020-0913-y")</f>
        <v>10.1038/s41562-020-0913-y</v>
      </c>
      <c r="B398" s="680" t="str">
        <f>IFERROR(__xludf.DUMMYFUNCTION("""COMPUTED_VALUE"""),"https://drive.google.com/file/d/1ORC0US37c_A2_wb21UzdXbTV2d_G8xmB/view?usp=drivesdk")</f>
        <v>https://drive.google.com/file/d/1ORC0US37c_A2_wb21UzdXbTV2d_G8xmB/view?usp=drivesdk</v>
      </c>
      <c r="C398" s="159" t="str">
        <f>IFERROR(__xludf.DUMMYFUNCTION("""COMPUTED_VALUE"""),"10.1038--s41562-020-0913-y.pdf")</f>
        <v>10.1038--s41562-020-0913-y.pdf</v>
      </c>
      <c r="D398" s="159" t="str">
        <f>IFERROR(__xludf.DUMMYFUNCTION("""COMPUTED_VALUE"""),"application/pdf")</f>
        <v>application/pdf</v>
      </c>
    </row>
    <row r="399">
      <c r="A399" s="159" t="str">
        <f>IFERROR(__xludf.DUMMYFUNCTION("""COMPUTED_VALUE"""),"10.1001/jamapsychiatry.2013.1328")</f>
        <v>10.1001/jamapsychiatry.2013.1328</v>
      </c>
      <c r="B399" s="680" t="str">
        <f>IFERROR(__xludf.DUMMYFUNCTION("""COMPUTED_VALUE"""),"https://drive.google.com/file/d/1A5EiY3xMwex4UfMe36TeR6tsb1_VlWR4/view?usp=drivesdk")</f>
        <v>https://drive.google.com/file/d/1A5EiY3xMwex4UfMe36TeR6tsb1_VlWR4/view?usp=drivesdk</v>
      </c>
      <c r="C399" s="159" t="str">
        <f>IFERROR(__xludf.DUMMYFUNCTION("""COMPUTED_VALUE"""),"10.1001--jamapsychiatry.2013.1328.pdf")</f>
        <v>10.1001--jamapsychiatry.2013.1328.pdf</v>
      </c>
      <c r="D399" s="159" t="str">
        <f>IFERROR(__xludf.DUMMYFUNCTION("""COMPUTED_VALUE"""),"application/pdf")</f>
        <v>application/pdf</v>
      </c>
    </row>
    <row r="400">
      <c r="A400" s="159" t="str">
        <f>IFERROR(__xludf.DUMMYFUNCTION("""COMPUTED_VALUE"""),"10.1001/jamapsychiatry.2019.3779")</f>
        <v>10.1001/jamapsychiatry.2019.3779</v>
      </c>
      <c r="B400" s="680" t="str">
        <f>IFERROR(__xludf.DUMMYFUNCTION("""COMPUTED_VALUE"""),"https://drive.google.com/file/d/1WAAoKU7l6ISaEuZiAYojm6hGOTCMW_ta/view?usp=drivesdk")</f>
        <v>https://drive.google.com/file/d/1WAAoKU7l6ISaEuZiAYojm6hGOTCMW_ta/view?usp=drivesdk</v>
      </c>
      <c r="C400" s="159" t="str">
        <f>IFERROR(__xludf.DUMMYFUNCTION("""COMPUTED_VALUE"""),"10.1001--jamapsychiatry.2019.3779.pdf")</f>
        <v>10.1001--jamapsychiatry.2019.3779.pdf</v>
      </c>
      <c r="D400" s="159" t="str">
        <f>IFERROR(__xludf.DUMMYFUNCTION("""COMPUTED_VALUE"""),"application/pdf")</f>
        <v>application/pdf</v>
      </c>
    </row>
    <row r="401">
      <c r="A401" s="159" t="str">
        <f>IFERROR(__xludf.DUMMYFUNCTION("""COMPUTED_VALUE"""),"10.1001/jamapsychiatry.2020.3738")</f>
        <v>10.1001/jamapsychiatry.2020.3738</v>
      </c>
      <c r="B401" s="680" t="str">
        <f>IFERROR(__xludf.DUMMYFUNCTION("""COMPUTED_VALUE"""),"https://drive.google.com/file/d/1GSMvbF9yde0jPLoOSU-nggLf1RFSScR3/view?usp=drivesdk")</f>
        <v>https://drive.google.com/file/d/1GSMvbF9yde0jPLoOSU-nggLf1RFSScR3/view?usp=drivesdk</v>
      </c>
      <c r="C401" s="159" t="str">
        <f>IFERROR(__xludf.DUMMYFUNCTION("""COMPUTED_VALUE"""),"10.1001--jamapsychiatry.2020.3738.pdf")</f>
        <v>10.1001--jamapsychiatry.2020.3738.pdf</v>
      </c>
      <c r="D401" s="159" t="str">
        <f>IFERROR(__xludf.DUMMYFUNCTION("""COMPUTED_VALUE"""),"application/pdf")</f>
        <v>application/pdf</v>
      </c>
    </row>
    <row r="402">
      <c r="A402" s="159" t="str">
        <f>IFERROR(__xludf.DUMMYFUNCTION("""COMPUTED_VALUE"""),"10.1001/jamapsychiatry.2021.2959")</f>
        <v>10.1001/jamapsychiatry.2021.2959</v>
      </c>
      <c r="B402" s="680" t="str">
        <f>IFERROR(__xludf.DUMMYFUNCTION("""COMPUTED_VALUE"""),"https://drive.google.com/file/d/1PNXWRn-6YufsfaeWut-YLt5JbOJt6Y0d/view?usp=drivesdk")</f>
        <v>https://drive.google.com/file/d/1PNXWRn-6YufsfaeWut-YLt5JbOJt6Y0d/view?usp=drivesdk</v>
      </c>
      <c r="C402" s="159" t="str">
        <f>IFERROR(__xludf.DUMMYFUNCTION("""COMPUTED_VALUE"""),"10.1001--jamapsychiatry.2021.2959.pdf")</f>
        <v>10.1001--jamapsychiatry.2021.2959.pdf</v>
      </c>
      <c r="D402" s="159" t="str">
        <f>IFERROR(__xludf.DUMMYFUNCTION("""COMPUTED_VALUE"""),"application/pdf")</f>
        <v>application/pdf</v>
      </c>
    </row>
    <row r="403">
      <c r="A403" s="159" t="str">
        <f>IFERROR(__xludf.DUMMYFUNCTION("""COMPUTED_VALUE"""),"10.1001/jamapsychiatry.2013.187")</f>
        <v>10.1001/jamapsychiatry.2013.187</v>
      </c>
      <c r="B403" s="680" t="str">
        <f>IFERROR(__xludf.DUMMYFUNCTION("""COMPUTED_VALUE"""),"https://drive.google.com/file/d/1fG1ncjsV1px0tnbUjyRBo0It8MeOI82A/view?usp=drivesdk")</f>
        <v>https://drive.google.com/file/d/1fG1ncjsV1px0tnbUjyRBo0It8MeOI82A/view?usp=drivesdk</v>
      </c>
      <c r="C403" s="159" t="str">
        <f>IFERROR(__xludf.DUMMYFUNCTION("""COMPUTED_VALUE"""),"10.1001--jamapsychiatry.2013.187.pdf")</f>
        <v>10.1001--jamapsychiatry.2013.187.pdf</v>
      </c>
      <c r="D403" s="159" t="str">
        <f>IFERROR(__xludf.DUMMYFUNCTION("""COMPUTED_VALUE"""),"application/pdf")</f>
        <v>application/pdf</v>
      </c>
    </row>
    <row r="404">
      <c r="A404" s="159" t="str">
        <f>IFERROR(__xludf.DUMMYFUNCTION("""COMPUTED_VALUE"""),"10.1001/jamapsychiatry.2018.1725")</f>
        <v>10.1001/jamapsychiatry.2018.1725</v>
      </c>
      <c r="B404" s="680" t="str">
        <f>IFERROR(__xludf.DUMMYFUNCTION("""COMPUTED_VALUE"""),"https://drive.google.com/file/d/1QbPb2pmfgJ310jccLQD6cqh_NodgL_h8/view?usp=drivesdk")</f>
        <v>https://drive.google.com/file/d/1QbPb2pmfgJ310jccLQD6cqh_NodgL_h8/view?usp=drivesdk</v>
      </c>
      <c r="C404" s="159" t="str">
        <f>IFERROR(__xludf.DUMMYFUNCTION("""COMPUTED_VALUE"""),"10.1001--jamapsychiatry.2018.1725.pdf")</f>
        <v>10.1001--jamapsychiatry.2018.1725.pdf</v>
      </c>
      <c r="D404" s="159" t="str">
        <f>IFERROR(__xludf.DUMMYFUNCTION("""COMPUTED_VALUE"""),"application/pdf")</f>
        <v>application/pdf</v>
      </c>
    </row>
    <row r="405">
      <c r="A405" s="159" t="str">
        <f>IFERROR(__xludf.DUMMYFUNCTION("""COMPUTED_VALUE"""),"10.1001/jamapsychiatry.2017.3951")</f>
        <v>10.1001/jamapsychiatry.2017.3951</v>
      </c>
      <c r="B405" s="680" t="str">
        <f>IFERROR(__xludf.DUMMYFUNCTION("""COMPUTED_VALUE"""),"https://drive.google.com/file/d/1DfU2qHueh31FWQpUAUJbZkj08BtlZoUK/view?usp=drivesdk")</f>
        <v>https://drive.google.com/file/d/1DfU2qHueh31FWQpUAUJbZkj08BtlZoUK/view?usp=drivesdk</v>
      </c>
      <c r="C405" s="159" t="str">
        <f>IFERROR(__xludf.DUMMYFUNCTION("""COMPUTED_VALUE"""),"10.1001--jamapsychiatry.2017.3951.pdf")</f>
        <v>10.1001--jamapsychiatry.2017.3951.pdf</v>
      </c>
      <c r="D405" s="159" t="str">
        <f>IFERROR(__xludf.DUMMYFUNCTION("""COMPUTED_VALUE"""),"application/pdf")</f>
        <v>application/pdf</v>
      </c>
    </row>
    <row r="406">
      <c r="A406" s="159" t="str">
        <f>IFERROR(__xludf.DUMMYFUNCTION("""COMPUTED_VALUE"""),"10.1001/jamapsychiatry.2016.0219")</f>
        <v>10.1001/jamapsychiatry.2016.0219</v>
      </c>
      <c r="B406" s="680" t="str">
        <f>IFERROR(__xludf.DUMMYFUNCTION("""COMPUTED_VALUE"""),"https://drive.google.com/file/d/1xUS51fi-3QepL6mmKb2e4JuF0C1GN8J5/view?usp=drivesdk")</f>
        <v>https://drive.google.com/file/d/1xUS51fi-3QepL6mmKb2e4JuF0C1GN8J5/view?usp=drivesdk</v>
      </c>
      <c r="C406" s="159" t="str">
        <f>IFERROR(__xludf.DUMMYFUNCTION("""COMPUTED_VALUE"""),"10.1001--jamapsychiatry.2016.0219.pdf")</f>
        <v>10.1001--jamapsychiatry.2016.0219.pdf</v>
      </c>
      <c r="D406" s="159" t="str">
        <f>IFERROR(__xludf.DUMMYFUNCTION("""COMPUTED_VALUE"""),"application/pdf")</f>
        <v>application/pdf</v>
      </c>
    </row>
    <row r="407">
      <c r="A407" s="159" t="str">
        <f>IFERROR(__xludf.DUMMYFUNCTION("""COMPUTED_VALUE"""),"10.1038/mp.2014.33")</f>
        <v>10.1038/mp.2014.33</v>
      </c>
      <c r="B407" s="680" t="str">
        <f>IFERROR(__xludf.DUMMYFUNCTION("""COMPUTED_VALUE"""),"https://drive.google.com/file/d/140FDYd2SazD891O8bBGXcNk0O9RfITEW/view?usp=drivesdk")</f>
        <v>https://drive.google.com/file/d/140FDYd2SazD891O8bBGXcNk0O9RfITEW/view?usp=drivesdk</v>
      </c>
      <c r="C407" s="159" t="str">
        <f>IFERROR(__xludf.DUMMYFUNCTION("""COMPUTED_VALUE"""),"10.1038--mp.2014.33.pdf")</f>
        <v>10.1038--mp.2014.33.pdf</v>
      </c>
      <c r="D407" s="159" t="str">
        <f>IFERROR(__xludf.DUMMYFUNCTION("""COMPUTED_VALUE"""),"application/pdf")</f>
        <v>application/pdf</v>
      </c>
    </row>
    <row r="408">
      <c r="A408" s="159" t="str">
        <f>IFERROR(__xludf.DUMMYFUNCTION("""COMPUTED_VALUE"""),"10.1001/archpsyc.65.8.955")</f>
        <v>10.1001/archpsyc.65.8.955</v>
      </c>
      <c r="B408" s="680" t="str">
        <f>IFERROR(__xludf.DUMMYFUNCTION("""COMPUTED_VALUE"""),"https://drive.google.com/file/d/1x_52_q4I3k6XKAIHJLO_lhx1tO4X95fc/view?usp=drivesdk")</f>
        <v>https://drive.google.com/file/d/1x_52_q4I3k6XKAIHJLO_lhx1tO4X95fc/view?usp=drivesdk</v>
      </c>
      <c r="C408" s="159" t="str">
        <f>IFERROR(__xludf.DUMMYFUNCTION("""COMPUTED_VALUE"""),"10.1001--archpsyc.65.8.955.pdf")</f>
        <v>10.1001--archpsyc.65.8.955.pdf</v>
      </c>
      <c r="D408" s="159" t="str">
        <f>IFERROR(__xludf.DUMMYFUNCTION("""COMPUTED_VALUE"""),"application/pdf")</f>
        <v>application/pdf</v>
      </c>
    </row>
    <row r="409">
      <c r="A409" s="159" t="str">
        <f>IFERROR(__xludf.DUMMYFUNCTION("""COMPUTED_VALUE"""),"10.1007/s00737-002-0001-5")</f>
        <v>10.1007/s00737-002-0001-5</v>
      </c>
      <c r="B409" s="680" t="str">
        <f>IFERROR(__xludf.DUMMYFUNCTION("""COMPUTED_VALUE"""),"https://drive.google.com/file/d/1UT4zxLmJwbAjt-orpizuQy3TwK0eLkoS/view?usp=drivesdk")</f>
        <v>https://drive.google.com/file/d/1UT4zxLmJwbAjt-orpizuQy3TwK0eLkoS/view?usp=drivesdk</v>
      </c>
      <c r="C409" s="159" t="str">
        <f>IFERROR(__xludf.DUMMYFUNCTION("""COMPUTED_VALUE"""),"10.1007--s00737-002-0001-5.pdf")</f>
        <v>10.1007--s00737-002-0001-5.pdf</v>
      </c>
      <c r="D409" s="159" t="str">
        <f>IFERROR(__xludf.DUMMYFUNCTION("""COMPUTED_VALUE"""),"application/pdf")</f>
        <v>application/pdf</v>
      </c>
    </row>
    <row r="410">
      <c r="A410" s="159" t="str">
        <f>IFERROR(__xludf.DUMMYFUNCTION("""COMPUTED_VALUE"""),"10.1001/jamapsychiatry.2019.1842")</f>
        <v>10.1001/jamapsychiatry.2019.1842</v>
      </c>
      <c r="B410" s="680" t="str">
        <f>IFERROR(__xludf.DUMMYFUNCTION("""COMPUTED_VALUE"""),"https://drive.google.com/file/d/1SE0TNwpM6-HI7JzrDTDOkYIl4sErchjT/view?usp=drivesdk")</f>
        <v>https://drive.google.com/file/d/1SE0TNwpM6-HI7JzrDTDOkYIl4sErchjT/view?usp=drivesdk</v>
      </c>
      <c r="C410" s="159" t="str">
        <f>IFERROR(__xludf.DUMMYFUNCTION("""COMPUTED_VALUE"""),"10.1001--jamapsychiatry.2019.1842.pdf")</f>
        <v>10.1001--jamapsychiatry.2019.1842.pdf</v>
      </c>
      <c r="D410" s="159" t="str">
        <f>IFERROR(__xludf.DUMMYFUNCTION("""COMPUTED_VALUE"""),"application/pdf")</f>
        <v>application/pdf</v>
      </c>
    </row>
    <row r="411">
      <c r="A411" s="159" t="str">
        <f>IFERROR(__xludf.DUMMYFUNCTION("""COMPUTED_VALUE"""),"10.1038/nature08689")</f>
        <v>10.1038/nature08689</v>
      </c>
      <c r="B411" s="680" t="str">
        <f>IFERROR(__xludf.DUMMYFUNCTION("""COMPUTED_VALUE"""),"https://drive.google.com/file/d/1PtFqSEFuwzm0sqzJJDRFBCrgYx0VU7QF/view?usp=drivesdk")</f>
        <v>https://drive.google.com/file/d/1PtFqSEFuwzm0sqzJJDRFBCrgYx0VU7QF/view?usp=drivesdk</v>
      </c>
      <c r="C411" s="159" t="str">
        <f>IFERROR(__xludf.DUMMYFUNCTION("""COMPUTED_VALUE"""),"10.1038--nature08689.pdf")</f>
        <v>10.1038--nature08689.pdf</v>
      </c>
      <c r="D411" s="159" t="str">
        <f>IFERROR(__xludf.DUMMYFUNCTION("""COMPUTED_VALUE"""),"application/pdf")</f>
        <v>application/pdf</v>
      </c>
    </row>
    <row r="412">
      <c r="A412" s="159" t="str">
        <f>IFERROR(__xludf.DUMMYFUNCTION("""COMPUTED_VALUE"""),"10.1001/2013.jamapsychiatry.71")</f>
        <v>10.1001/2013.jamapsychiatry.71</v>
      </c>
      <c r="B412" s="680" t="str">
        <f>IFERROR(__xludf.DUMMYFUNCTION("""COMPUTED_VALUE"""),"https://drive.google.com/file/d/11D_JV9fY9JfgqmmGrdHfkgmiKcZmNkPF/view?usp=drivesdk")</f>
        <v>https://drive.google.com/file/d/11D_JV9fY9JfgqmmGrdHfkgmiKcZmNkPF/view?usp=drivesdk</v>
      </c>
      <c r="C412" s="159" t="str">
        <f>IFERROR(__xludf.DUMMYFUNCTION("""COMPUTED_VALUE"""),"10.1001--2013.jamapsychiatry.71.pdf")</f>
        <v>10.1001--2013.jamapsychiatry.71.pdf</v>
      </c>
      <c r="D412" s="159" t="str">
        <f>IFERROR(__xludf.DUMMYFUNCTION("""COMPUTED_VALUE"""),"application/pdf")</f>
        <v>application/pdf</v>
      </c>
    </row>
    <row r="413">
      <c r="A413" s="159" t="str">
        <f>IFERROR(__xludf.DUMMYFUNCTION("""COMPUTED_VALUE"""),"10.2307/257060")</f>
        <v>10.2307/257060</v>
      </c>
      <c r="B413" s="680" t="str">
        <f>IFERROR(__xludf.DUMMYFUNCTION("""COMPUTED_VALUE"""),"https://drive.google.com/file/d/1398bbdesLVQD_blh-JVEzern2utYk9f5/view?usp=drivesdk")</f>
        <v>https://drive.google.com/file/d/1398bbdesLVQD_blh-JVEzern2utYk9f5/view?usp=drivesdk</v>
      </c>
      <c r="C413" s="159" t="str">
        <f>IFERROR(__xludf.DUMMYFUNCTION("""COMPUTED_VALUE"""),"10.2307--257060.pdf")</f>
        <v>10.2307--257060.pdf</v>
      </c>
      <c r="D413" s="159" t="str">
        <f>IFERROR(__xludf.DUMMYFUNCTION("""COMPUTED_VALUE"""),"application/pdf")</f>
        <v>application/pdf</v>
      </c>
    </row>
    <row r="414">
      <c r="A414" s="159" t="str">
        <f>IFERROR(__xludf.DUMMYFUNCTION("""COMPUTED_VALUE"""),"10.1177/1742715011429588")</f>
        <v>10.1177/1742715011429588</v>
      </c>
      <c r="B414" s="680" t="str">
        <f>IFERROR(__xludf.DUMMYFUNCTION("""COMPUTED_VALUE"""),"https://drive.google.com/file/d/1guPuG4Yot2C3n3INqBLJT2SUuL7OEVqb/view?usp=drivesdk")</f>
        <v>https://drive.google.com/file/d/1guPuG4Yot2C3n3INqBLJT2SUuL7OEVqb/view?usp=drivesdk</v>
      </c>
      <c r="C414" s="159" t="str">
        <f>IFERROR(__xludf.DUMMYFUNCTION("""COMPUTED_VALUE"""),"10.1177--1742715011429588.pdf")</f>
        <v>10.1177--1742715011429588.pdf</v>
      </c>
      <c r="D414" s="159" t="str">
        <f>IFERROR(__xludf.DUMMYFUNCTION("""COMPUTED_VALUE"""),"application/pdf")</f>
        <v>application/pdf</v>
      </c>
    </row>
    <row r="415">
      <c r="A415" s="159" t="str">
        <f>IFERROR(__xludf.DUMMYFUNCTION("""COMPUTED_VALUE"""),"10.1002/job.336")</f>
        <v>10.1002/job.336</v>
      </c>
      <c r="B415" s="680" t="str">
        <f>IFERROR(__xludf.DUMMYFUNCTION("""COMPUTED_VALUE"""),"https://drive.google.com/file/d/1Ejtm_QBqdgPmIq91-p0tkBvSKLlu6s1b/view?usp=drivesdk")</f>
        <v>https://drive.google.com/file/d/1Ejtm_QBqdgPmIq91-p0tkBvSKLlu6s1b/view?usp=drivesdk</v>
      </c>
      <c r="C415" s="159" t="str">
        <f>IFERROR(__xludf.DUMMYFUNCTION("""COMPUTED_VALUE"""),"10.1002--job.336.pdf")</f>
        <v>10.1002--job.336.pdf</v>
      </c>
      <c r="D415" s="159" t="str">
        <f>IFERROR(__xludf.DUMMYFUNCTION("""COMPUTED_VALUE"""),"application/pdf")</f>
        <v>application/pdf</v>
      </c>
    </row>
    <row r="416">
      <c r="A416" s="159" t="str">
        <f>IFERROR(__xludf.DUMMYFUNCTION("""COMPUTED_VALUE"""),"10.1016/0749-5978(92)90069-j")</f>
        <v>10.1016/0749-5978(92)90069-j</v>
      </c>
      <c r="B416" s="680" t="str">
        <f>IFERROR(__xludf.DUMMYFUNCTION("""COMPUTED_VALUE"""),"https://drive.google.com/file/d/1CebArmOyvhk6TS7GUk7KioJhsZEYW5MG/view?usp=drivesdk")</f>
        <v>https://drive.google.com/file/d/1CebArmOyvhk6TS7GUk7KioJhsZEYW5MG/view?usp=drivesdk</v>
      </c>
      <c r="C416" s="159" t="str">
        <f>IFERROR(__xludf.DUMMYFUNCTION("""COMPUTED_VALUE"""),"10.1016--0749-5978(92)90069-J.pdf")</f>
        <v>10.1016--0749-5978(92)90069-J.pdf</v>
      </c>
      <c r="D416" s="159" t="str">
        <f>IFERROR(__xludf.DUMMYFUNCTION("""COMPUTED_VALUE"""),"application/pdf")</f>
        <v>application/pdf</v>
      </c>
    </row>
    <row r="417">
      <c r="A417" s="159" t="str">
        <f>IFERROR(__xludf.DUMMYFUNCTION("""COMPUTED_VALUE"""),"10.1177/1046496406291560")</f>
        <v>10.1177/1046496406291560</v>
      </c>
      <c r="B417" s="680" t="str">
        <f>IFERROR(__xludf.DUMMYFUNCTION("""COMPUTED_VALUE"""),"https://drive.google.com/file/d/1figCFS9-689vIdjMd__cksJc4UwyJJDs/view?usp=drivesdk")</f>
        <v>https://drive.google.com/file/d/1figCFS9-689vIdjMd__cksJc4UwyJJDs/view?usp=drivesdk</v>
      </c>
      <c r="C417" s="159" t="str">
        <f>IFERROR(__xludf.DUMMYFUNCTION("""COMPUTED_VALUE"""),"10.1177--1046496406291560.pdf")</f>
        <v>10.1177--1046496406291560.pdf</v>
      </c>
      <c r="D417" s="159" t="str">
        <f>IFERROR(__xludf.DUMMYFUNCTION("""COMPUTED_VALUE"""),"application/pdf")</f>
        <v>application/pdf</v>
      </c>
    </row>
    <row r="418">
      <c r="A418" s="159" t="str">
        <f>IFERROR(__xludf.DUMMYFUNCTION("""COMPUTED_VALUE"""),"10.1111/j.1744-6570.2005.00716.x")</f>
        <v>10.1111/j.1744-6570.2005.00716.x</v>
      </c>
      <c r="B418" s="680" t="str">
        <f>IFERROR(__xludf.DUMMYFUNCTION("""COMPUTED_VALUE"""),"https://drive.google.com/file/d/19hXfxJd8AsSuQIlFNb6NcdzuO6Ix_aVZ/view?usp=drivesdk")</f>
        <v>https://drive.google.com/file/d/19hXfxJd8AsSuQIlFNb6NcdzuO6Ix_aVZ/view?usp=drivesdk</v>
      </c>
      <c r="C418" s="159" t="str">
        <f>IFERROR(__xludf.DUMMYFUNCTION("""COMPUTED_VALUE"""),"10.1111--j.1744-6570.2005.00716.x.pdf")</f>
        <v>10.1111--j.1744-6570.2005.00716.x.pdf</v>
      </c>
      <c r="D418" s="159" t="str">
        <f>IFERROR(__xludf.DUMMYFUNCTION("""COMPUTED_VALUE"""),"application/pdf")</f>
        <v>application/pdf</v>
      </c>
    </row>
    <row r="419">
      <c r="A419" s="159" t="str">
        <f>IFERROR(__xludf.DUMMYFUNCTION("""COMPUTED_VALUE"""),"10.1037/0021-9010.93.5.1118")</f>
        <v>10.1037/0021-9010.93.5.1118</v>
      </c>
      <c r="B419" s="680" t="str">
        <f>IFERROR(__xludf.DUMMYFUNCTION("""COMPUTED_VALUE"""),"https://drive.google.com/file/d/1OqNP32KOc_YSqFHpjz4nNvLXQ6zte2pY/view?usp=drivesdk")</f>
        <v>https://drive.google.com/file/d/1OqNP32KOc_YSqFHpjz4nNvLXQ6zte2pY/view?usp=drivesdk</v>
      </c>
      <c r="C419" s="159" t="str">
        <f>IFERROR(__xludf.DUMMYFUNCTION("""COMPUTED_VALUE"""),"10.1037--0021-9010.93.5.1118.pdf")</f>
        <v>10.1037--0021-9010.93.5.1118.pdf</v>
      </c>
      <c r="D419" s="159" t="str">
        <f>IFERROR(__xludf.DUMMYFUNCTION("""COMPUTED_VALUE"""),"application/pdf")</f>
        <v>application/pdf</v>
      </c>
    </row>
    <row r="420">
      <c r="A420" s="159" t="str">
        <f>IFERROR(__xludf.DUMMYFUNCTION("""COMPUTED_VALUE"""),"10.1006/obhd.1997.2743")</f>
        <v>10.1006/obhd.1997.2743</v>
      </c>
      <c r="B420" s="680" t="str">
        <f>IFERROR(__xludf.DUMMYFUNCTION("""COMPUTED_VALUE"""),"https://drive.google.com/file/d/1hqMzD5PLs2nBo4O4BRt_pfkmBBPQxY8A/view?usp=drivesdk")</f>
        <v>https://drive.google.com/file/d/1hqMzD5PLs2nBo4O4BRt_pfkmBBPQxY8A/view?usp=drivesdk</v>
      </c>
      <c r="C420" s="159" t="str">
        <f>IFERROR(__xludf.DUMMYFUNCTION("""COMPUTED_VALUE"""),"10.1006--obhd.1997.2743.pdf")</f>
        <v>10.1006--obhd.1997.2743.pdf</v>
      </c>
      <c r="D420" s="159" t="str">
        <f>IFERROR(__xludf.DUMMYFUNCTION("""COMPUTED_VALUE"""),"application/pdf")</f>
        <v>application/pdf</v>
      </c>
    </row>
    <row r="421">
      <c r="A421" s="159" t="str">
        <f>IFERROR(__xludf.DUMMYFUNCTION("""COMPUTED_VALUE"""),"10.1016/j.leaqua.2010.03.005")</f>
        <v>10.1016/j.leaqua.2010.03.005</v>
      </c>
      <c r="B421" s="680" t="str">
        <f>IFERROR(__xludf.DUMMYFUNCTION("""COMPUTED_VALUE"""),"https://drive.google.com/file/d/1fC5A-rrpNu2GlFxzohOA6Pqyg4sPbju4/view?usp=drivesdk")</f>
        <v>https://drive.google.com/file/d/1fC5A-rrpNu2GlFxzohOA6Pqyg4sPbju4/view?usp=drivesdk</v>
      </c>
      <c r="C421" s="159" t="str">
        <f>IFERROR(__xludf.DUMMYFUNCTION("""COMPUTED_VALUE"""),"10.1016--j.leaqua.2010.03.005.pdf")</f>
        <v>10.1016--j.leaqua.2010.03.005.pdf</v>
      </c>
      <c r="D421" s="159" t="str">
        <f>IFERROR(__xludf.DUMMYFUNCTION("""COMPUTED_VALUE"""),"application/pdf")</f>
        <v>application/pdf</v>
      </c>
    </row>
    <row r="422">
      <c r="A422" s="159" t="str">
        <f>IFERROR(__xludf.DUMMYFUNCTION("""COMPUTED_VALUE"""),"10.1006/obhd.1995.1027")</f>
        <v>10.1006/obhd.1995.1027</v>
      </c>
      <c r="B422" s="680" t="str">
        <f>IFERROR(__xludf.DUMMYFUNCTION("""COMPUTED_VALUE"""),"https://drive.google.com/file/d/1btZJeLpOgMwnUvkiVPW8mNcBNS33N-Jp/view?usp=drivesdk")</f>
        <v>https://drive.google.com/file/d/1btZJeLpOgMwnUvkiVPW8mNcBNS33N-Jp/view?usp=drivesdk</v>
      </c>
      <c r="C422" s="159" t="str">
        <f>IFERROR(__xludf.DUMMYFUNCTION("""COMPUTED_VALUE"""),"10.1006--obhd.1995.1027.pdf")</f>
        <v>10.1006--obhd.1995.1027.pdf</v>
      </c>
      <c r="D422" s="159" t="str">
        <f>IFERROR(__xludf.DUMMYFUNCTION("""COMPUTED_VALUE"""),"application/pdf")</f>
        <v>application/pdf</v>
      </c>
    </row>
    <row r="423">
      <c r="A423" s="159" t="str">
        <f>IFERROR(__xludf.DUMMYFUNCTION("""COMPUTED_VALUE"""),"10.1177/1059601192173010")</f>
        <v>10.1177/1059601192173010</v>
      </c>
      <c r="B423" s="680" t="str">
        <f>IFERROR(__xludf.DUMMYFUNCTION("""COMPUTED_VALUE"""),"https://drive.google.com/file/d/1xO1eFcN3Fyao_5pjlwQOOuiTfEBVgOfl/view?usp=drivesdk")</f>
        <v>https://drive.google.com/file/d/1xO1eFcN3Fyao_5pjlwQOOuiTfEBVgOfl/view?usp=drivesdk</v>
      </c>
      <c r="C423" s="159" t="str">
        <f>IFERROR(__xludf.DUMMYFUNCTION("""COMPUTED_VALUE"""),"10.1177--1059601192173010.pdf")</f>
        <v>10.1177--1059601192173010.pdf</v>
      </c>
      <c r="D423" s="159" t="str">
        <f>IFERROR(__xludf.DUMMYFUNCTION("""COMPUTED_VALUE"""),"application/pdf")</f>
        <v>application/pdf</v>
      </c>
    </row>
    <row r="424">
      <c r="A424" s="159" t="str">
        <f>IFERROR(__xludf.DUMMYFUNCTION("""COMPUTED_VALUE"""),"10.1348/096317907x180360")</f>
        <v>10.1348/096317907x180360</v>
      </c>
      <c r="B424" s="680" t="str">
        <f>IFERROR(__xludf.DUMMYFUNCTION("""COMPUTED_VALUE"""),"https://drive.google.com/file/d/1NY_Mp13alUyeeU19O4R8tHyA3dZA_RqB/view?usp=drivesdk")</f>
        <v>https://drive.google.com/file/d/1NY_Mp13alUyeeU19O4R8tHyA3dZA_RqB/view?usp=drivesdk</v>
      </c>
      <c r="C424" s="159" t="str">
        <f>IFERROR(__xludf.DUMMYFUNCTION("""COMPUTED_VALUE"""),"10.1348--096317907X180360.pdf")</f>
        <v>10.1348--096317907X180360.pdf</v>
      </c>
      <c r="D424" s="159" t="str">
        <f>IFERROR(__xludf.DUMMYFUNCTION("""COMPUTED_VALUE"""),"application/pdf")</f>
        <v>application/pdf</v>
      </c>
    </row>
    <row r="425">
      <c r="A425" s="159" t="str">
        <f>IFERROR(__xludf.DUMMYFUNCTION("""COMPUTED_VALUE"""),"10.5465/amj.2007.25525781")</f>
        <v>10.5465/amj.2007.25525781</v>
      </c>
      <c r="B425" s="680" t="str">
        <f>IFERROR(__xludf.DUMMYFUNCTION("""COMPUTED_VALUE"""),"https://drive.google.com/file/d/14hGv6YTpkiL88RVOElEz602di2Omzr7f/view?usp=drivesdk")</f>
        <v>https://drive.google.com/file/d/14hGv6YTpkiL88RVOElEz602di2Omzr7f/view?usp=drivesdk</v>
      </c>
      <c r="C425" s="159" t="str">
        <f>IFERROR(__xludf.DUMMYFUNCTION("""COMPUTED_VALUE"""),"10.5465--amj.2007.25525781.pdf")</f>
        <v>10.5465--amj.2007.25525781.pdf</v>
      </c>
      <c r="D425" s="159" t="str">
        <f>IFERROR(__xludf.DUMMYFUNCTION("""COMPUTED_VALUE"""),"application/pdf")</f>
        <v>application/pdf</v>
      </c>
    </row>
    <row r="426">
      <c r="A426" s="159" t="str">
        <f>IFERROR(__xludf.DUMMYFUNCTION("""COMPUTED_VALUE"""),"10.1016/j.obhdp.2021.04.001")</f>
        <v>10.1016/j.obhdp.2021.04.001</v>
      </c>
      <c r="B426" s="680" t="str">
        <f>IFERROR(__xludf.DUMMYFUNCTION("""COMPUTED_VALUE"""),"https://drive.google.com/file/d/1gJaw8VmCsIpql6YNiaEbtlS9i9ZvnI4j/view?usp=drivesdk")</f>
        <v>https://drive.google.com/file/d/1gJaw8VmCsIpql6YNiaEbtlS9i9ZvnI4j/view?usp=drivesdk</v>
      </c>
      <c r="C426" s="159" t="str">
        <f>IFERROR(__xludf.DUMMYFUNCTION("""COMPUTED_VALUE"""),"10.1016--j.obhdp.2021.04.001.pdf")</f>
        <v>10.1016--j.obhdp.2021.04.001.pdf</v>
      </c>
      <c r="D426" s="159" t="str">
        <f>IFERROR(__xludf.DUMMYFUNCTION("""COMPUTED_VALUE"""),"application/pdf")</f>
        <v>application/pdf</v>
      </c>
    </row>
    <row r="427">
      <c r="A427" s="159" t="str">
        <f>IFERROR(__xludf.DUMMYFUNCTION("""COMPUTED_VALUE"""),"10.1108/cdi-07-2017-0117")</f>
        <v>10.1108/cdi-07-2017-0117</v>
      </c>
      <c r="B427" s="680" t="str">
        <f>IFERROR(__xludf.DUMMYFUNCTION("""COMPUTED_VALUE"""),"https://drive.google.com/file/d/1lxNyrut30LtG_T4vh_0nc19pFOLnkqB_/view?usp=drivesdk")</f>
        <v>https://drive.google.com/file/d/1lxNyrut30LtG_T4vh_0nc19pFOLnkqB_/view?usp=drivesdk</v>
      </c>
      <c r="C427" s="159" t="str">
        <f>IFERROR(__xludf.DUMMYFUNCTION("""COMPUTED_VALUE"""),"10.1108--CDI-07-2017-0117.pdf")</f>
        <v>10.1108--CDI-07-2017-0117.pdf</v>
      </c>
      <c r="D427" s="159" t="str">
        <f>IFERROR(__xludf.DUMMYFUNCTION("""COMPUTED_VALUE"""),"application/pdf")</f>
        <v>application/pdf</v>
      </c>
    </row>
    <row r="428">
      <c r="A428" s="159" t="str">
        <f>IFERROR(__xludf.DUMMYFUNCTION("""COMPUTED_VALUE"""),"10.1108/02683941111164508")</f>
        <v>10.1108/02683941111164508</v>
      </c>
      <c r="B428" s="680" t="str">
        <f>IFERROR(__xludf.DUMMYFUNCTION("""COMPUTED_VALUE"""),"https://drive.google.com/file/d/1IT9oNkAZ6FDjr30hAo06liqM6KgbzmZ4/view?usp=drivesdk")</f>
        <v>https://drive.google.com/file/d/1IT9oNkAZ6FDjr30hAo06liqM6KgbzmZ4/view?usp=drivesdk</v>
      </c>
      <c r="C428" s="159" t="str">
        <f>IFERROR(__xludf.DUMMYFUNCTION("""COMPUTED_VALUE"""),"10.1108--02683941111164508.pdf")</f>
        <v>10.1108--02683941111164508.pdf</v>
      </c>
      <c r="D428" s="159" t="str">
        <f>IFERROR(__xludf.DUMMYFUNCTION("""COMPUTED_VALUE"""),"application/pdf")</f>
        <v>application/pdf</v>
      </c>
    </row>
    <row r="429">
      <c r="A429" s="159" t="str">
        <f>IFERROR(__xludf.DUMMYFUNCTION("""COMPUTED_VALUE"""),"10.1080/1359432x.2012.673280")</f>
        <v>10.1080/1359432x.2012.673280</v>
      </c>
      <c r="B429" s="680" t="str">
        <f>IFERROR(__xludf.DUMMYFUNCTION("""COMPUTED_VALUE"""),"https://drive.google.com/file/d/1CTMitGghA7LzumLb0G1bazQ0Tn14Zqw7/view?usp=drivesdk")</f>
        <v>https://drive.google.com/file/d/1CTMitGghA7LzumLb0G1bazQ0Tn14Zqw7/view?usp=drivesdk</v>
      </c>
      <c r="C429" s="159" t="str">
        <f>IFERROR(__xludf.DUMMYFUNCTION("""COMPUTED_VALUE"""),"10.1080--1359432X.2012.673280.pdf")</f>
        <v>10.1080--1359432X.2012.673280.pdf</v>
      </c>
      <c r="D429" s="159" t="str">
        <f>IFERROR(__xludf.DUMMYFUNCTION("""COMPUTED_VALUE"""),"application/pdf")</f>
        <v>application/pdf</v>
      </c>
    </row>
    <row r="430">
      <c r="A430" s="159" t="str">
        <f>IFERROR(__xludf.DUMMYFUNCTION("""COMPUTED_VALUE"""),"10.1006/obhd.1999.2828")</f>
        <v>10.1006/obhd.1999.2828</v>
      </c>
      <c r="B430" s="680" t="str">
        <f>IFERROR(__xludf.DUMMYFUNCTION("""COMPUTED_VALUE"""),"https://drive.google.com/file/d/1zfUf9igyV4JLZQHMfABoA7bxu_wA8Z6Z/view?usp=drivesdk")</f>
        <v>https://drive.google.com/file/d/1zfUf9igyV4JLZQHMfABoA7bxu_wA8Z6Z/view?usp=drivesdk</v>
      </c>
      <c r="C430" s="159" t="str">
        <f>IFERROR(__xludf.DUMMYFUNCTION("""COMPUTED_VALUE"""),"10.1006--obhd.1999.2828.pdf")</f>
        <v>10.1006--obhd.1999.2828.pdf</v>
      </c>
      <c r="D430" s="159" t="str">
        <f>IFERROR(__xludf.DUMMYFUNCTION("""COMPUTED_VALUE"""),"application/pdf")</f>
        <v>application/pdf</v>
      </c>
    </row>
    <row r="431">
      <c r="A431" s="159" t="str">
        <f>IFERROR(__xludf.DUMMYFUNCTION("""COMPUTED_VALUE"""),"10.1177/1059601111423532")</f>
        <v>10.1177/1059601111423532</v>
      </c>
      <c r="B431" s="680" t="str">
        <f>IFERROR(__xludf.DUMMYFUNCTION("""COMPUTED_VALUE"""),"https://drive.google.com/file/d/1SdwnFHhjN0wtZdJb1CsMjDk96JOA-3qX/view?usp=drivesdk")</f>
        <v>https://drive.google.com/file/d/1SdwnFHhjN0wtZdJb1CsMjDk96JOA-3qX/view?usp=drivesdk</v>
      </c>
      <c r="C431" s="159" t="str">
        <f>IFERROR(__xludf.DUMMYFUNCTION("""COMPUTED_VALUE"""),"10.1177--1059601111423532.pdf")</f>
        <v>10.1177--1059601111423532.pdf</v>
      </c>
      <c r="D431" s="159" t="str">
        <f>IFERROR(__xludf.DUMMYFUNCTION("""COMPUTED_VALUE"""),"application/pdf")</f>
        <v>application/pdf</v>
      </c>
    </row>
    <row r="432">
      <c r="A432" s="159" t="str">
        <f>IFERROR(__xludf.DUMMYFUNCTION("""COMPUTED_VALUE"""),"10.1037/h0023542")</f>
        <v>10.1037/h0023542</v>
      </c>
      <c r="B432" s="680" t="str">
        <f>IFERROR(__xludf.DUMMYFUNCTION("""COMPUTED_VALUE"""),"https://drive.google.com/file/d/1ThSCbcm9NT9u5rjmqEXoygC-NEFFbBy2/view?usp=drivesdk")</f>
        <v>https://drive.google.com/file/d/1ThSCbcm9NT9u5rjmqEXoygC-NEFFbBy2/view?usp=drivesdk</v>
      </c>
      <c r="C432" s="159" t="str">
        <f>IFERROR(__xludf.DUMMYFUNCTION("""COMPUTED_VALUE"""),"10.1037--h0023542.pdf")</f>
        <v>10.1037--h0023542.pdf</v>
      </c>
      <c r="D432" s="159" t="str">
        <f>IFERROR(__xludf.DUMMYFUNCTION("""COMPUTED_VALUE"""),"application/pdf")</f>
        <v>application/pdf</v>
      </c>
    </row>
    <row r="433">
      <c r="A433" s="159" t="str">
        <f>IFERROR(__xludf.DUMMYFUNCTION("""COMPUTED_VALUE"""),"10.1037/0021-9010.85.6.860")</f>
        <v>10.1037/0021-9010.85.6.860</v>
      </c>
      <c r="B433" s="680" t="str">
        <f>IFERROR(__xludf.DUMMYFUNCTION("""COMPUTED_VALUE"""),"https://drive.google.com/file/d/1YOnZXeIyBoFQpqvd6yBrqbMmDNtPl_I7/view?usp=drivesdk")</f>
        <v>https://drive.google.com/file/d/1YOnZXeIyBoFQpqvd6yBrqbMmDNtPl_I7/view?usp=drivesdk</v>
      </c>
      <c r="C433" s="159" t="str">
        <f>IFERROR(__xludf.DUMMYFUNCTION("""COMPUTED_VALUE"""),"10.1037--0021-9010.85.6.860.pdf")</f>
        <v>10.1037--0021-9010.85.6.860.pdf</v>
      </c>
      <c r="D433" s="159" t="str">
        <f>IFERROR(__xludf.DUMMYFUNCTION("""COMPUTED_VALUE"""),"application/pdf")</f>
        <v>application/pdf</v>
      </c>
    </row>
    <row r="434">
      <c r="A434" s="159" t="str">
        <f>IFERROR(__xludf.DUMMYFUNCTION("""COMPUTED_VALUE"""),"10.1037/0021-9010.69.2.349")</f>
        <v>10.1037/0021-9010.69.2.349</v>
      </c>
      <c r="B434" s="680" t="str">
        <f>IFERROR(__xludf.DUMMYFUNCTION("""COMPUTED_VALUE"""),"https://drive.google.com/file/d/19zetYy8nodSdbgFCvhMoDdfh_hhFri5m/view?usp=drivesdk")</f>
        <v>https://drive.google.com/file/d/19zetYy8nodSdbgFCvhMoDdfh_hhFri5m/view?usp=drivesdk</v>
      </c>
      <c r="C434" s="159" t="str">
        <f>IFERROR(__xludf.DUMMYFUNCTION("""COMPUTED_VALUE"""),"10.1037--0021-9010.69.2.349.pdf")</f>
        <v>10.1037--0021-9010.69.2.349.pdf</v>
      </c>
      <c r="D434" s="159" t="str">
        <f>IFERROR(__xludf.DUMMYFUNCTION("""COMPUTED_VALUE"""),"application/pdf")</f>
        <v>application/pdf</v>
      </c>
    </row>
    <row r="435">
      <c r="A435" s="159" t="str">
        <f>IFERROR(__xludf.DUMMYFUNCTION("""COMPUTED_VALUE"""),"10.1037/apl0000096")</f>
        <v>10.1037/apl0000096</v>
      </c>
      <c r="B435" s="680" t="str">
        <f>IFERROR(__xludf.DUMMYFUNCTION("""COMPUTED_VALUE"""),"https://drive.google.com/file/d/1HgWfF6B0qOcSs0NXi6mXulVTd8c1tH-1/view?usp=drivesdk")</f>
        <v>https://drive.google.com/file/d/1HgWfF6B0qOcSs0NXi6mXulVTd8c1tH-1/view?usp=drivesdk</v>
      </c>
      <c r="C435" s="159" t="str">
        <f>IFERROR(__xludf.DUMMYFUNCTION("""COMPUTED_VALUE"""),"10.1037--apl0000096.pdf")</f>
        <v>10.1037--apl0000096.pdf</v>
      </c>
      <c r="D435" s="159" t="str">
        <f>IFERROR(__xludf.DUMMYFUNCTION("""COMPUTED_VALUE"""),"application/pdf")</f>
        <v>application/pdf</v>
      </c>
    </row>
    <row r="436">
      <c r="A436" s="159" t="str">
        <f>IFERROR(__xludf.DUMMYFUNCTION("""COMPUTED_VALUE"""),"10.1002/job.4030100108")</f>
        <v>10.1002/job.4030100108</v>
      </c>
      <c r="B436" s="680" t="str">
        <f>IFERROR(__xludf.DUMMYFUNCTION("""COMPUTED_VALUE"""),"https://drive.google.com/file/d/194Jg8h9cA9uB0VBCFjZon7jCcE4l0eye/view?usp=drivesdk")</f>
        <v>https://drive.google.com/file/d/194Jg8h9cA9uB0VBCFjZon7jCcE4l0eye/view?usp=drivesdk</v>
      </c>
      <c r="C436" s="159" t="str">
        <f>IFERROR(__xludf.DUMMYFUNCTION("""COMPUTED_VALUE"""),"10.1002--job.4030100108.pdf")</f>
        <v>10.1002--job.4030100108.pdf</v>
      </c>
      <c r="D436" s="159" t="str">
        <f>IFERROR(__xludf.DUMMYFUNCTION("""COMPUTED_VALUE"""),"application/pdf")</f>
        <v>application/pdf</v>
      </c>
    </row>
    <row r="437">
      <c r="A437" s="159" t="str">
        <f>IFERROR(__xludf.DUMMYFUNCTION("""COMPUTED_VALUE"""),"10.1037/0021-9010.66.5.582")</f>
        <v>10.1037/0021-9010.66.5.582</v>
      </c>
      <c r="B437" s="680" t="str">
        <f>IFERROR(__xludf.DUMMYFUNCTION("""COMPUTED_VALUE"""),"https://drive.google.com/file/d/1HKJhYQRUf6q_nkNYE6sPv-RURWvjZEbc/view?usp=drivesdk")</f>
        <v>https://drive.google.com/file/d/1HKJhYQRUf6q_nkNYE6sPv-RURWvjZEbc/view?usp=drivesdk</v>
      </c>
      <c r="C437" s="159" t="str">
        <f>IFERROR(__xludf.DUMMYFUNCTION("""COMPUTED_VALUE"""),"10.1037--0021-9010.66.5.582.pdf")</f>
        <v>10.1037--0021-9010.66.5.582.pdf</v>
      </c>
      <c r="D437" s="159" t="str">
        <f>IFERROR(__xludf.DUMMYFUNCTION("""COMPUTED_VALUE"""),"application/pdf")</f>
        <v>application/pdf</v>
      </c>
    </row>
    <row r="438">
      <c r="A438" s="159" t="str">
        <f>IFERROR(__xludf.DUMMYFUNCTION("""COMPUTED_VALUE"""),"10.1037/0021-9010.70.3.423")</f>
        <v>10.1037/0021-9010.70.3.423</v>
      </c>
      <c r="B438" s="680" t="str">
        <f>IFERROR(__xludf.DUMMYFUNCTION("""COMPUTED_VALUE"""),"https://drive.google.com/file/d/10fDogv4EY5jJW4yYJcCgApBtNRd_p5Zs/view?usp=drivesdk")</f>
        <v>https://drive.google.com/file/d/10fDogv4EY5jJW4yYJcCgApBtNRd_p5Zs/view?usp=drivesdk</v>
      </c>
      <c r="C438" s="159" t="str">
        <f>IFERROR(__xludf.DUMMYFUNCTION("""COMPUTED_VALUE"""),"10.1037--0021-9010.70.3.423.pdf")</f>
        <v>10.1037--0021-9010.70.3.423.pdf</v>
      </c>
      <c r="D438" s="159" t="str">
        <f>IFERROR(__xludf.DUMMYFUNCTION("""COMPUTED_VALUE"""),"application/pdf")</f>
        <v>application/pdf</v>
      </c>
    </row>
    <row r="439">
      <c r="A439" s="159" t="str">
        <f>IFERROR(__xludf.DUMMYFUNCTION("""COMPUTED_VALUE"""),"10.1016/j.obhdp.2003.10.001")</f>
        <v>10.1016/j.obhdp.2003.10.001</v>
      </c>
      <c r="B439" s="680" t="str">
        <f>IFERROR(__xludf.DUMMYFUNCTION("""COMPUTED_VALUE"""),"https://drive.google.com/file/d/1L0JEBu9wmTn9ipTdZ9As779WByZN23cS/view?usp=drivesdk")</f>
        <v>https://drive.google.com/file/d/1L0JEBu9wmTn9ipTdZ9As779WByZN23cS/view?usp=drivesdk</v>
      </c>
      <c r="C439" s="159" t="str">
        <f>IFERROR(__xludf.DUMMYFUNCTION("""COMPUTED_VALUE"""),"10.1016--j.obhdp.2003.10.001.pdf")</f>
        <v>10.1016--j.obhdp.2003.10.001.pdf</v>
      </c>
      <c r="D439" s="159" t="str">
        <f>IFERROR(__xludf.DUMMYFUNCTION("""COMPUTED_VALUE"""),"application/pdf")</f>
        <v>application/pdf</v>
      </c>
    </row>
    <row r="440">
      <c r="A440" s="159" t="str">
        <f>IFERROR(__xludf.DUMMYFUNCTION("""COMPUTED_VALUE"""),"10.1002/job.4030130405")</f>
        <v>10.1002/job.4030130405</v>
      </c>
      <c r="B440" s="680" t="str">
        <f>IFERROR(__xludf.DUMMYFUNCTION("""COMPUTED_VALUE"""),"https://drive.google.com/file/d/12V5ucoeNi9G0bo4IptMdfSpBs3hOz0nf/view?usp=drivesdk")</f>
        <v>https://drive.google.com/file/d/12V5ucoeNi9G0bo4IptMdfSpBs3hOz0nf/view?usp=drivesdk</v>
      </c>
      <c r="C440" s="159" t="str">
        <f>IFERROR(__xludf.DUMMYFUNCTION("""COMPUTED_VALUE"""),"10.1002--job.4030130405.pdf")</f>
        <v>10.1002--job.4030130405.pdf</v>
      </c>
      <c r="D440" s="159" t="str">
        <f>IFERROR(__xludf.DUMMYFUNCTION("""COMPUTED_VALUE"""),"application/pdf")</f>
        <v>application/pdf</v>
      </c>
    </row>
    <row r="441">
      <c r="A441" s="159" t="str">
        <f>IFERROR(__xludf.DUMMYFUNCTION("""COMPUTED_VALUE"""),"10.1016/s1048-9843(97)90031-x")</f>
        <v>10.1016/s1048-9843(97)90031-x</v>
      </c>
      <c r="B441" s="680" t="str">
        <f>IFERROR(__xludf.DUMMYFUNCTION("""COMPUTED_VALUE"""),"https://drive.google.com/file/d/1k1X3bQV9TzCCD4IlqxqPYfdo83h0OHmP/view?usp=drivesdk")</f>
        <v>https://drive.google.com/file/d/1k1X3bQV9TzCCD4IlqxqPYfdo83h0OHmP/view?usp=drivesdk</v>
      </c>
      <c r="C441" s="159" t="str">
        <f>IFERROR(__xludf.DUMMYFUNCTION("""COMPUTED_VALUE"""),"10.1016--S1048-9843(97)90031-X.pdf")</f>
        <v>10.1016--S1048-9843(97)90031-X.pdf</v>
      </c>
      <c r="D441" s="159" t="str">
        <f>IFERROR(__xludf.DUMMYFUNCTION("""COMPUTED_VALUE"""),"application/pdf")</f>
        <v>application/pdf</v>
      </c>
    </row>
    <row r="442">
      <c r="A442" s="159" t="str">
        <f>IFERROR(__xludf.DUMMYFUNCTION("""COMPUTED_VALUE"""),"10.2307/3069445")</f>
        <v>10.2307/3069445</v>
      </c>
      <c r="B442" s="680" t="str">
        <f>IFERROR(__xludf.DUMMYFUNCTION("""COMPUTED_VALUE"""),"https://drive.google.com/file/d/17rBKvr-zjXs3WfrE37F92ZbymbliUh4A/view?usp=drivesdk")</f>
        <v>https://drive.google.com/file/d/17rBKvr-zjXs3WfrE37F92ZbymbliUh4A/view?usp=drivesdk</v>
      </c>
      <c r="C442" s="159" t="str">
        <f>IFERROR(__xludf.DUMMYFUNCTION("""COMPUTED_VALUE"""),"10.2307--3069445.pdf")</f>
        <v>10.2307--3069445.pdf</v>
      </c>
      <c r="D442" s="159" t="str">
        <f>IFERROR(__xludf.DUMMYFUNCTION("""COMPUTED_VALUE"""),"application/pdf")</f>
        <v>application/pdf</v>
      </c>
    </row>
    <row r="443">
      <c r="A443" s="159" t="str">
        <f>IFERROR(__xludf.DUMMYFUNCTION("""COMPUTED_VALUE"""),"10.1002/1099-1379(200008)21:5&lt;487::aid-job57&gt;3.0.co;2-p")</f>
        <v>10.1002/1099-1379(200008)21:5&lt;487::aid-job57&gt;3.0.co;2-p</v>
      </c>
      <c r="B443" s="680" t="str">
        <f>IFERROR(__xludf.DUMMYFUNCTION("""COMPUTED_VALUE"""),"https://drive.google.com/file/d/1QJ1QA_hGVAO4cg0FHDazvy-0h4f5kcZH/view?usp=drivesdk")</f>
        <v>https://drive.google.com/file/d/1QJ1QA_hGVAO4cg0FHDazvy-0h4f5kcZH/view?usp=drivesdk</v>
      </c>
      <c r="C443" s="159" t="str">
        <f>IFERROR(__xludf.DUMMYFUNCTION("""COMPUTED_VALUE"""),"10.1002--1099-1379(200008)21:5&lt;487::AID-JOB57&gt;3.0.CO;2-P.pdf")</f>
        <v>10.1002--1099-1379(200008)21:5&lt;487::AID-JOB57&gt;3.0.CO;2-P.pdf</v>
      </c>
      <c r="D443" s="159" t="str">
        <f>IFERROR(__xludf.DUMMYFUNCTION("""COMPUTED_VALUE"""),"application/pdf")</f>
        <v>application/pdf</v>
      </c>
    </row>
    <row r="444">
      <c r="A444" s="159" t="str">
        <f>IFERROR(__xludf.DUMMYFUNCTION("""COMPUTED_VALUE"""),"10.1002/job.231")</f>
        <v>10.1002/job.231</v>
      </c>
      <c r="B444" s="680" t="str">
        <f>IFERROR(__xludf.DUMMYFUNCTION("""COMPUTED_VALUE"""),"https://drive.google.com/file/d/1Wl-Ma8TYbbwvnivHK1k9fScESSLzvo7E/view?usp=drivesdk")</f>
        <v>https://drive.google.com/file/d/1Wl-Ma8TYbbwvnivHK1k9fScESSLzvo7E/view?usp=drivesdk</v>
      </c>
      <c r="C444" s="159" t="str">
        <f>IFERROR(__xludf.DUMMYFUNCTION("""COMPUTED_VALUE"""),"10.1002--job.231.pdf")</f>
        <v>10.1002--job.231.pdf</v>
      </c>
      <c r="D444" s="159" t="str">
        <f>IFERROR(__xludf.DUMMYFUNCTION("""COMPUTED_VALUE"""),"application/pdf")</f>
        <v>application/pdf</v>
      </c>
    </row>
    <row r="445">
      <c r="A445" s="159" t="str">
        <f>IFERROR(__xludf.DUMMYFUNCTION("""COMPUTED_VALUE"""),"10.1006/obhd.1994.1048")</f>
        <v>10.1006/obhd.1994.1048</v>
      </c>
      <c r="B445" s="680" t="str">
        <f>IFERROR(__xludf.DUMMYFUNCTION("""COMPUTED_VALUE"""),"https://drive.google.com/file/d/1FU29SOZM23s_7QTSoXduUnSJvebTWVgd/view?usp=drivesdk")</f>
        <v>https://drive.google.com/file/d/1FU29SOZM23s_7QTSoXduUnSJvebTWVgd/view?usp=drivesdk</v>
      </c>
      <c r="C445" s="159" t="str">
        <f>IFERROR(__xludf.DUMMYFUNCTION("""COMPUTED_VALUE"""),"10.1006--obhd.1994.1048.pdf")</f>
        <v>10.1006--obhd.1994.1048.pdf</v>
      </c>
      <c r="D445" s="159" t="str">
        <f>IFERROR(__xludf.DUMMYFUNCTION("""COMPUTED_VALUE"""),"application/pdf")</f>
        <v>application/pdf</v>
      </c>
    </row>
    <row r="446">
      <c r="A446" s="159" t="str">
        <f>IFERROR(__xludf.DUMMYFUNCTION("""COMPUTED_VALUE"""),"10.1111/j.1468-2389.2011.00561.x")</f>
        <v>10.1111/j.1468-2389.2011.00561.x</v>
      </c>
      <c r="B446" s="680" t="str">
        <f>IFERROR(__xludf.DUMMYFUNCTION("""COMPUTED_VALUE"""),"https://drive.google.com/file/d/1yJlrubd5xqo8Y46IKMA08QC9JgFEarjo/view?usp=drivesdk")</f>
        <v>https://drive.google.com/file/d/1yJlrubd5xqo8Y46IKMA08QC9JgFEarjo/view?usp=drivesdk</v>
      </c>
      <c r="C446" s="159" t="str">
        <f>IFERROR(__xludf.DUMMYFUNCTION("""COMPUTED_VALUE"""),"10.1111--j.1468-2389.2011.00561.x.pdf")</f>
        <v>10.1111--j.1468-2389.2011.00561.x.pdf</v>
      </c>
      <c r="D446" s="159" t="str">
        <f>IFERROR(__xludf.DUMMYFUNCTION("""COMPUTED_VALUE"""),"application/pdf")</f>
        <v>application/pdf</v>
      </c>
    </row>
    <row r="447">
      <c r="A447" s="159" t="str">
        <f>IFERROR(__xludf.DUMMYFUNCTION("""COMPUTED_VALUE"""),"10.1111/j.1744-6570.1969.tb02301.x")</f>
        <v>10.1111/j.1744-6570.1969.tb02301.x</v>
      </c>
      <c r="B447" s="680" t="str">
        <f>IFERROR(__xludf.DUMMYFUNCTION("""COMPUTED_VALUE"""),"https://drive.google.com/file/d/1mNMSYELyVuOU6TMtfY3_SU3eElANuRCq/view?usp=drivesdk")</f>
        <v>https://drive.google.com/file/d/1mNMSYELyVuOU6TMtfY3_SU3eElANuRCq/view?usp=drivesdk</v>
      </c>
      <c r="C447" s="159" t="str">
        <f>IFERROR(__xludf.DUMMYFUNCTION("""COMPUTED_VALUE"""),"10.1111--j.1744-6570.1969.tb02301.x.pdf")</f>
        <v>10.1111--j.1744-6570.1969.tb02301.x.pdf</v>
      </c>
      <c r="D447" s="159" t="str">
        <f>IFERROR(__xludf.DUMMYFUNCTION("""COMPUTED_VALUE"""),"application/pdf")</f>
        <v>application/pdf</v>
      </c>
    </row>
    <row r="448">
      <c r="A448" s="159" t="str">
        <f>IFERROR(__xludf.DUMMYFUNCTION("""COMPUTED_VALUE"""),"10.1006/obhd.1996.2672")</f>
        <v>10.1006/obhd.1996.2672</v>
      </c>
      <c r="B448" s="680" t="str">
        <f>IFERROR(__xludf.DUMMYFUNCTION("""COMPUTED_VALUE"""),"https://drive.google.com/file/d/1XHwantHHXjvqUA4h_kjIvPYd2kD5Jyx3/view?usp=drivesdk")</f>
        <v>https://drive.google.com/file/d/1XHwantHHXjvqUA4h_kjIvPYd2kD5Jyx3/view?usp=drivesdk</v>
      </c>
      <c r="C448" s="159" t="str">
        <f>IFERROR(__xludf.DUMMYFUNCTION("""COMPUTED_VALUE"""),"10.1006--obhd.1996.2672.pdf")</f>
        <v>10.1006--obhd.1996.2672.pdf</v>
      </c>
      <c r="D448" s="159" t="str">
        <f>IFERROR(__xludf.DUMMYFUNCTION("""COMPUTED_VALUE"""),"application/pdf")</f>
        <v>application/pdf</v>
      </c>
    </row>
    <row r="449">
      <c r="A449" s="159" t="str">
        <f>IFERROR(__xludf.DUMMYFUNCTION("""COMPUTED_VALUE"""),"10.1016/j.leaqua.2020.101423")</f>
        <v>10.1016/j.leaqua.2020.101423</v>
      </c>
      <c r="B449" s="680" t="str">
        <f>IFERROR(__xludf.DUMMYFUNCTION("""COMPUTED_VALUE"""),"https://drive.google.com/file/d/1nUo9WjTZnbERPPJGJ92wTHHh-N_Go9gv/view?usp=drivesdk")</f>
        <v>https://drive.google.com/file/d/1nUo9WjTZnbERPPJGJ92wTHHh-N_Go9gv/view?usp=drivesdk</v>
      </c>
      <c r="C449" s="159" t="str">
        <f>IFERROR(__xludf.DUMMYFUNCTION("""COMPUTED_VALUE"""),"10.1016--j.leaqua.2020.101423.pdf")</f>
        <v>10.1016--j.leaqua.2020.101423.pdf</v>
      </c>
      <c r="D449" s="159" t="str">
        <f>IFERROR(__xludf.DUMMYFUNCTION("""COMPUTED_VALUE"""),"application/pdf")</f>
        <v>application/pdf</v>
      </c>
    </row>
    <row r="450">
      <c r="A450" s="159" t="str">
        <f>IFERROR(__xludf.DUMMYFUNCTION("""COMPUTED_VALUE"""),"10.1108/cdi-12-2018-0327")</f>
        <v>10.1108/cdi-12-2018-0327</v>
      </c>
      <c r="B450" s="680" t="str">
        <f>IFERROR(__xludf.DUMMYFUNCTION("""COMPUTED_VALUE"""),"https://drive.google.com/file/d/1RmoCMP8is9P9i3jndJQRRTlgReQ98ZSI/view?usp=drivesdk")</f>
        <v>https://drive.google.com/file/d/1RmoCMP8is9P9i3jndJQRRTlgReQ98ZSI/view?usp=drivesdk</v>
      </c>
      <c r="C450" s="159" t="str">
        <f>IFERROR(__xludf.DUMMYFUNCTION("""COMPUTED_VALUE"""),"10.1108--CDI-12-2018-0327.pdf")</f>
        <v>10.1108--CDI-12-2018-0327.pdf</v>
      </c>
      <c r="D450" s="159" t="str">
        <f>IFERROR(__xludf.DUMMYFUNCTION("""COMPUTED_VALUE"""),"application/pdf")</f>
        <v>application/pdf</v>
      </c>
    </row>
    <row r="451">
      <c r="A451" s="159" t="str">
        <f>IFERROR(__xludf.DUMMYFUNCTION("""COMPUTED_VALUE"""),"10.1037/0021-9010.88.1.6")</f>
        <v>10.1037/0021-9010.88.1.6</v>
      </c>
      <c r="B451" s="680" t="str">
        <f>IFERROR(__xludf.DUMMYFUNCTION("""COMPUTED_VALUE"""),"https://drive.google.com/file/d/1DfO2lyfbdPCjlRMrEXIYJK5gJAswYfO0/view?usp=drivesdk")</f>
        <v>https://drive.google.com/file/d/1DfO2lyfbdPCjlRMrEXIYJK5gJAswYfO0/view?usp=drivesdk</v>
      </c>
      <c r="C451" s="159" t="str">
        <f>IFERROR(__xludf.DUMMYFUNCTION("""COMPUTED_VALUE"""),"10.1037--0021-9010.88.1.6.pdf")</f>
        <v>10.1037--0021-9010.88.1.6.pdf</v>
      </c>
      <c r="D451" s="159" t="str">
        <f>IFERROR(__xludf.DUMMYFUNCTION("""COMPUTED_VALUE"""),"application/pdf")</f>
        <v>application/pdf</v>
      </c>
    </row>
    <row r="452">
      <c r="A452" s="159" t="str">
        <f>IFERROR(__xludf.DUMMYFUNCTION("""COMPUTED_VALUE"""),"10.1006/obhd.2001.2953")</f>
        <v>10.1006/obhd.2001.2953</v>
      </c>
      <c r="B452" s="680" t="str">
        <f>IFERROR(__xludf.DUMMYFUNCTION("""COMPUTED_VALUE"""),"https://drive.google.com/file/d/1UV1_g6L3rog7I0tTFqXL0l-1RDbnPRHY/view?usp=drivesdk")</f>
        <v>https://drive.google.com/file/d/1UV1_g6L3rog7I0tTFqXL0l-1RDbnPRHY/view?usp=drivesdk</v>
      </c>
      <c r="C452" s="159" t="str">
        <f>IFERROR(__xludf.DUMMYFUNCTION("""COMPUTED_VALUE"""),"10.1006--obhd.2001.2953.pdf")</f>
        <v>10.1006--obhd.2001.2953.pdf</v>
      </c>
      <c r="D452" s="159" t="str">
        <f>IFERROR(__xludf.DUMMYFUNCTION("""COMPUTED_VALUE"""),"application/pdf")</f>
        <v>application/pdf</v>
      </c>
    </row>
    <row r="453">
      <c r="A453" s="159" t="str">
        <f>IFERROR(__xludf.DUMMYFUNCTION("""COMPUTED_VALUE"""),"10.1111/ijsa.12341")</f>
        <v>10.1111/ijsa.12341</v>
      </c>
      <c r="B453" s="680" t="str">
        <f>IFERROR(__xludf.DUMMYFUNCTION("""COMPUTED_VALUE"""),"https://drive.google.com/file/d/1GZc38L64kTG8nJmMzERvJXrILaTjP0DW/view?usp=drivesdk")</f>
        <v>https://drive.google.com/file/d/1GZc38L64kTG8nJmMzERvJXrILaTjP0DW/view?usp=drivesdk</v>
      </c>
      <c r="C453" s="159" t="str">
        <f>IFERROR(__xludf.DUMMYFUNCTION("""COMPUTED_VALUE"""),"10.1111--ijsa.12341.pdf")</f>
        <v>10.1111--ijsa.12341.pdf</v>
      </c>
      <c r="D453" s="159" t="str">
        <f>IFERROR(__xludf.DUMMYFUNCTION("""COMPUTED_VALUE"""),"application/pdf")</f>
        <v>application/pdf</v>
      </c>
    </row>
    <row r="454">
      <c r="A454" s="159" t="str">
        <f>IFERROR(__xludf.DUMMYFUNCTION("""COMPUTED_VALUE"""),"10.1111/j.1744-6570.1997.tb00707.x")</f>
        <v>10.1111/j.1744-6570.1997.tb00707.x</v>
      </c>
      <c r="B454" s="680" t="str">
        <f>IFERROR(__xludf.DUMMYFUNCTION("""COMPUTED_VALUE"""),"https://drive.google.com/file/d/1Tzj9Sha3iMsDcqkoXxX7sF0Tuc0VnEe4/view?usp=drivesdk")</f>
        <v>https://drive.google.com/file/d/1Tzj9Sha3iMsDcqkoXxX7sF0Tuc0VnEe4/view?usp=drivesdk</v>
      </c>
      <c r="C454" s="159" t="str">
        <f>IFERROR(__xludf.DUMMYFUNCTION("""COMPUTED_VALUE"""),"10.1111--j.1744-6570.1997.tb00707.x.pdf")</f>
        <v>10.1111--j.1744-6570.1997.tb00707.x.pdf</v>
      </c>
      <c r="D454" s="159" t="str">
        <f>IFERROR(__xludf.DUMMYFUNCTION("""COMPUTED_VALUE"""),"application/pdf")</f>
        <v>application/pdf</v>
      </c>
    </row>
    <row r="455">
      <c r="A455" s="159" t="str">
        <f>IFERROR(__xludf.DUMMYFUNCTION("""COMPUTED_VALUE"""),"10.1006/obhd.1994.1042")</f>
        <v>10.1006/obhd.1994.1042</v>
      </c>
      <c r="B455" s="680" t="str">
        <f>IFERROR(__xludf.DUMMYFUNCTION("""COMPUTED_VALUE"""),"https://drive.google.com/file/d/1sOq0Q6Aa8an8MKQ0o3Ciqtm1cl3BE9Lh/view?usp=drivesdk")</f>
        <v>https://drive.google.com/file/d/1sOq0Q6Aa8an8MKQ0o3Ciqtm1cl3BE9Lh/view?usp=drivesdk</v>
      </c>
      <c r="C455" s="159" t="str">
        <f>IFERROR(__xludf.DUMMYFUNCTION("""COMPUTED_VALUE"""),"10.1006--obhd.1994.1042.pdf")</f>
        <v>10.1006--obhd.1994.1042.pdf</v>
      </c>
      <c r="D455" s="159" t="str">
        <f>IFERROR(__xludf.DUMMYFUNCTION("""COMPUTED_VALUE"""),"application/pdf")</f>
        <v>application/pdf</v>
      </c>
    </row>
    <row r="456">
      <c r="A456" s="159" t="str">
        <f>IFERROR(__xludf.DUMMYFUNCTION("""COMPUTED_VALUE"""),"10.1016/j.obhdp.2004.03.002")</f>
        <v>10.1016/j.obhdp.2004.03.002</v>
      </c>
      <c r="B456" s="680" t="str">
        <f>IFERROR(__xludf.DUMMYFUNCTION("""COMPUTED_VALUE"""),"https://drive.google.com/file/d/1ZkY7DMQQzu1g1IUTURnCgY3CZCEc0cdK/view?usp=drivesdk")</f>
        <v>https://drive.google.com/file/d/1ZkY7DMQQzu1g1IUTURnCgY3CZCEc0cdK/view?usp=drivesdk</v>
      </c>
      <c r="C456" s="159" t="str">
        <f>IFERROR(__xludf.DUMMYFUNCTION("""COMPUTED_VALUE"""),"10.1016--j.obhdp.2004.03.002.pdf")</f>
        <v>10.1016--j.obhdp.2004.03.002.pdf</v>
      </c>
      <c r="D456" s="159" t="str">
        <f>IFERROR(__xludf.DUMMYFUNCTION("""COMPUTED_VALUE"""),"application/pdf")</f>
        <v>application/pdf</v>
      </c>
    </row>
    <row r="457">
      <c r="A457" s="159" t="str">
        <f>IFERROR(__xludf.DUMMYFUNCTION("""COMPUTED_VALUE"""),"10.1016/j.obhdp.2004.03.002")</f>
        <v>10.1016/j.obhdp.2004.03.002</v>
      </c>
      <c r="B457" s="680" t="str">
        <f>IFERROR(__xludf.DUMMYFUNCTION("""COMPUTED_VALUE"""),"https://drive.google.com/file/d/1fSoLHhIRisJI9mDZEG0MomhXlWLFD1WK/view?usp=drivesdk")</f>
        <v>https://drive.google.com/file/d/1fSoLHhIRisJI9mDZEG0MomhXlWLFD1WK/view?usp=drivesdk</v>
      </c>
      <c r="C457" s="159" t="str">
        <f>IFERROR(__xludf.DUMMYFUNCTION("""COMPUTED_VALUE"""),"10.1016--j.obhdp.2004.03.002.pdf")</f>
        <v>10.1016--j.obhdp.2004.03.002.pdf</v>
      </c>
      <c r="D457" s="159" t="str">
        <f>IFERROR(__xludf.DUMMYFUNCTION("""COMPUTED_VALUE"""),"application/pdf")</f>
        <v>application/pdf</v>
      </c>
    </row>
    <row r="458">
      <c r="A458" s="159" t="str">
        <f>IFERROR(__xludf.DUMMYFUNCTION("""COMPUTED_VALUE"""),"10.1016/j.obhdp.2006.04.004")</f>
        <v>10.1016/j.obhdp.2006.04.004</v>
      </c>
      <c r="B458" s="680" t="str">
        <f>IFERROR(__xludf.DUMMYFUNCTION("""COMPUTED_VALUE"""),"https://drive.google.com/file/d/1K9zfhpj64C1Ct8oqomjeuIl8Jvddu8mU/view?usp=drivesdk")</f>
        <v>https://drive.google.com/file/d/1K9zfhpj64C1Ct8oqomjeuIl8Jvddu8mU/view?usp=drivesdk</v>
      </c>
      <c r="C458" s="159" t="str">
        <f>IFERROR(__xludf.DUMMYFUNCTION("""COMPUTED_VALUE"""),"10.1016--j.obhdp.2006.04.004.pdf")</f>
        <v>10.1016--j.obhdp.2006.04.004.pdf</v>
      </c>
      <c r="D458" s="159" t="str">
        <f>IFERROR(__xludf.DUMMYFUNCTION("""COMPUTED_VALUE"""),"application/pdf")</f>
        <v>application/pdf</v>
      </c>
    </row>
    <row r="459">
      <c r="A459" s="159" t="str">
        <f>IFERROR(__xludf.DUMMYFUNCTION("""COMPUTED_VALUE"""),"10.1037/0021-9010.86.4.684")</f>
        <v>10.1037/0021-9010.86.4.684</v>
      </c>
      <c r="B459" s="680" t="str">
        <f>IFERROR(__xludf.DUMMYFUNCTION("""COMPUTED_VALUE"""),"https://drive.google.com/file/d/13zteTAPC4nEPrpKHGXyU7SOLm8BHT4pt/view?usp=drivesdk")</f>
        <v>https://drive.google.com/file/d/13zteTAPC4nEPrpKHGXyU7SOLm8BHT4pt/view?usp=drivesdk</v>
      </c>
      <c r="C459" s="159" t="str">
        <f>IFERROR(__xludf.DUMMYFUNCTION("""COMPUTED_VALUE"""),"10.1037--0021-9010.86.4.684.pdf")</f>
        <v>10.1037--0021-9010.86.4.684.pdf</v>
      </c>
      <c r="D459" s="159" t="str">
        <f>IFERROR(__xludf.DUMMYFUNCTION("""COMPUTED_VALUE"""),"application/pdf")</f>
        <v>application/pdf</v>
      </c>
    </row>
    <row r="460">
      <c r="A460" s="159" t="str">
        <f>IFERROR(__xludf.DUMMYFUNCTION("""COMPUTED_VALUE"""),"10.1177/001872677402700704")</f>
        <v>10.1177/001872677402700704</v>
      </c>
      <c r="B460" s="680" t="str">
        <f>IFERROR(__xludf.DUMMYFUNCTION("""COMPUTED_VALUE"""),"https://drive.google.com/file/d/1SkBPvLptzBp6Le-HNxUcOPq3JDLbAV8C/view?usp=drivesdk")</f>
        <v>https://drive.google.com/file/d/1SkBPvLptzBp6Le-HNxUcOPq3JDLbAV8C/view?usp=drivesdk</v>
      </c>
      <c r="C460" s="159" t="str">
        <f>IFERROR(__xludf.DUMMYFUNCTION("""COMPUTED_VALUE"""),"10.1177--001872677402700704.pdf")</f>
        <v>10.1177--001872677402700704.pdf</v>
      </c>
      <c r="D460" s="159" t="str">
        <f>IFERROR(__xludf.DUMMYFUNCTION("""COMPUTED_VALUE"""),"application/pdf")</f>
        <v>application/pdf</v>
      </c>
    </row>
    <row r="461">
      <c r="A461" s="159" t="str">
        <f>IFERROR(__xludf.DUMMYFUNCTION("""COMPUTED_VALUE"""),"10.1177/1742715011407386")</f>
        <v>10.1177/1742715011407386</v>
      </c>
      <c r="B461" s="680" t="str">
        <f>IFERROR(__xludf.DUMMYFUNCTION("""COMPUTED_VALUE"""),"https://drive.google.com/file/d/1d3GHtXA-PyNAhFEfmESdyl6NNfjeEBF-/view?usp=drivesdk")</f>
        <v>https://drive.google.com/file/d/1d3GHtXA-PyNAhFEfmESdyl6NNfjeEBF-/view?usp=drivesdk</v>
      </c>
      <c r="C461" s="159" t="str">
        <f>IFERROR(__xludf.DUMMYFUNCTION("""COMPUTED_VALUE"""),"10.1177--1742715011407386.pdf")</f>
        <v>10.1177--1742715011407386.pdf</v>
      </c>
      <c r="D461" s="159" t="str">
        <f>IFERROR(__xludf.DUMMYFUNCTION("""COMPUTED_VALUE"""),"application/pdf")</f>
        <v>application/pdf</v>
      </c>
    </row>
    <row r="462">
      <c r="A462" s="159" t="str">
        <f>IFERROR(__xludf.DUMMYFUNCTION("""COMPUTED_VALUE"""),"10.1037/h0076916")</f>
        <v>10.1037/h0076916</v>
      </c>
      <c r="B462" s="680" t="str">
        <f>IFERROR(__xludf.DUMMYFUNCTION("""COMPUTED_VALUE"""),"https://drive.google.com/file/d/1nF1FuGmRSfPkOfvJoFANBQd2NY3iysUg/view?usp=drivesdk")</f>
        <v>https://drive.google.com/file/d/1nF1FuGmRSfPkOfvJoFANBQd2NY3iysUg/view?usp=drivesdk</v>
      </c>
      <c r="C462" s="159" t="str">
        <f>IFERROR(__xludf.DUMMYFUNCTION("""COMPUTED_VALUE"""),"10.1037--h0076916.pdf")</f>
        <v>10.1037--h0076916.pdf</v>
      </c>
      <c r="D462" s="159" t="str">
        <f>IFERROR(__xludf.DUMMYFUNCTION("""COMPUTED_VALUE"""),"application/pdf")</f>
        <v>application/pdf</v>
      </c>
    </row>
    <row r="463">
      <c r="A463" s="159" t="str">
        <f>IFERROR(__xludf.DUMMYFUNCTION("""COMPUTED_VALUE"""),"10.1037/0021-9010.79.1.77")</f>
        <v>10.1037/0021-9010.79.1.77</v>
      </c>
      <c r="B463" s="680" t="str">
        <f>IFERROR(__xludf.DUMMYFUNCTION("""COMPUTED_VALUE"""),"https://drive.google.com/file/d/1wEhASX6cLcnXw48U7_dF8rsyCNBIxSx1/view?usp=drivesdk")</f>
        <v>https://drive.google.com/file/d/1wEhASX6cLcnXw48U7_dF8rsyCNBIxSx1/view?usp=drivesdk</v>
      </c>
      <c r="C463" s="159" t="str">
        <f>IFERROR(__xludf.DUMMYFUNCTION("""COMPUTED_VALUE"""),"10.1037--0021-9010.79.1.77.pdf")</f>
        <v>10.1037--0021-9010.79.1.77.pdf</v>
      </c>
      <c r="D463" s="159" t="str">
        <f>IFERROR(__xludf.DUMMYFUNCTION("""COMPUTED_VALUE"""),"application/pdf")</f>
        <v>application/pdf</v>
      </c>
    </row>
    <row r="464">
      <c r="A464" s="159" t="str">
        <f>IFERROR(__xludf.DUMMYFUNCTION("""COMPUTED_VALUE"""),"10.1177/001872678103400704")</f>
        <v>10.1177/001872678103400704</v>
      </c>
      <c r="B464" s="680" t="str">
        <f>IFERROR(__xludf.DUMMYFUNCTION("""COMPUTED_VALUE"""),"https://drive.google.com/file/d/16t_ug3CaNusaKCLWcRAMt3OWtKvwyRks/view?usp=drivesdk")</f>
        <v>https://drive.google.com/file/d/16t_ug3CaNusaKCLWcRAMt3OWtKvwyRks/view?usp=drivesdk</v>
      </c>
      <c r="C464" s="159" t="str">
        <f>IFERROR(__xludf.DUMMYFUNCTION("""COMPUTED_VALUE"""),"10.1177--001872678103400704.pdf")</f>
        <v>10.1177--001872678103400704.pdf</v>
      </c>
      <c r="D464" s="159" t="str">
        <f>IFERROR(__xludf.DUMMYFUNCTION("""COMPUTED_VALUE"""),"application/pdf")</f>
        <v>application/pdf</v>
      </c>
    </row>
    <row r="465">
      <c r="A465" s="159" t="str">
        <f>IFERROR(__xludf.DUMMYFUNCTION("""COMPUTED_VALUE"""),"10.1037/0021-9010.74.6.869")</f>
        <v>10.1037/0021-9010.74.6.869</v>
      </c>
      <c r="B465" s="680" t="str">
        <f>IFERROR(__xludf.DUMMYFUNCTION("""COMPUTED_VALUE"""),"https://drive.google.com/file/d/1NGwiQE7OCeLgst8X2rXUXP21dq9Q518c/view?usp=drivesdk")</f>
        <v>https://drive.google.com/file/d/1NGwiQE7OCeLgst8X2rXUXP21dq9Q518c/view?usp=drivesdk</v>
      </c>
      <c r="C465" s="159" t="str">
        <f>IFERROR(__xludf.DUMMYFUNCTION("""COMPUTED_VALUE"""),"10.1037--0021-9010.74.6.869.pdf")</f>
        <v>10.1037--0021-9010.74.6.869.pdf</v>
      </c>
      <c r="D465" s="159" t="str">
        <f>IFERROR(__xludf.DUMMYFUNCTION("""COMPUTED_VALUE"""),"application/pdf")</f>
        <v>application/pdf</v>
      </c>
    </row>
    <row r="466">
      <c r="A466" s="159" t="str">
        <f>IFERROR(__xludf.DUMMYFUNCTION("""COMPUTED_VALUE"""),"10.1177/1059601115625155")</f>
        <v>10.1177/1059601115625155</v>
      </c>
      <c r="B466" s="680" t="str">
        <f>IFERROR(__xludf.DUMMYFUNCTION("""COMPUTED_VALUE"""),"https://drive.google.com/file/d/1S5OEsfFrjvDWZg2UxXrLf8CsebFririY/view?usp=drivesdk")</f>
        <v>https://drive.google.com/file/d/1S5OEsfFrjvDWZg2UxXrLf8CsebFririY/view?usp=drivesdk</v>
      </c>
      <c r="C466" s="159" t="str">
        <f>IFERROR(__xludf.DUMMYFUNCTION("""COMPUTED_VALUE"""),"10.1177--1059601115625155.pdf")</f>
        <v>10.1177--1059601115625155.pdf</v>
      </c>
      <c r="D466" s="159" t="str">
        <f>IFERROR(__xludf.DUMMYFUNCTION("""COMPUTED_VALUE"""),"application/pdf")</f>
        <v>application/pdf</v>
      </c>
    </row>
    <row r="467">
      <c r="A467" s="159" t="str">
        <f>IFERROR(__xludf.DUMMYFUNCTION("""COMPUTED_VALUE"""),"10.1177/001872677002300104")</f>
        <v>10.1177/001872677002300104</v>
      </c>
      <c r="B467" s="680" t="str">
        <f>IFERROR(__xludf.DUMMYFUNCTION("""COMPUTED_VALUE"""),"https://drive.google.com/file/d/17x4KDwm1lZHkbqNrhLMwggDyslBkX0rc/view?usp=drivesdk")</f>
        <v>https://drive.google.com/file/d/17x4KDwm1lZHkbqNrhLMwggDyslBkX0rc/view?usp=drivesdk</v>
      </c>
      <c r="C467" s="159" t="str">
        <f>IFERROR(__xludf.DUMMYFUNCTION("""COMPUTED_VALUE"""),"10.1177--001872677002300104.pdf")</f>
        <v>10.1177--001872677002300104.pdf</v>
      </c>
      <c r="D467" s="159" t="str">
        <f>IFERROR(__xludf.DUMMYFUNCTION("""COMPUTED_VALUE"""),"application/pdf")</f>
        <v>application/pdf</v>
      </c>
    </row>
    <row r="468">
      <c r="A468" s="159" t="str">
        <f>IFERROR(__xludf.DUMMYFUNCTION("""COMPUTED_VALUE"""),"10.2307/256034")</f>
        <v>10.2307/256034</v>
      </c>
      <c r="B468" s="680" t="str">
        <f>IFERROR(__xludf.DUMMYFUNCTION("""COMPUTED_VALUE"""),"https://drive.google.com/file/d/1-MKPgE5eeH2iuqZqvWkLfwVBo0d0nk8p/view?usp=drivesdk")</f>
        <v>https://drive.google.com/file/d/1-MKPgE5eeH2iuqZqvWkLfwVBo0d0nk8p/view?usp=drivesdk</v>
      </c>
      <c r="C468" s="159" t="str">
        <f>IFERROR(__xludf.DUMMYFUNCTION("""COMPUTED_VALUE"""),"10.2307--256034.pdf")</f>
        <v>10.2307--256034.pdf</v>
      </c>
      <c r="D468" s="159" t="str">
        <f>IFERROR(__xludf.DUMMYFUNCTION("""COMPUTED_VALUE"""),"application/pdf")</f>
        <v>application/pdf</v>
      </c>
    </row>
    <row r="469">
      <c r="A469" s="159" t="str">
        <f>IFERROR(__xludf.DUMMYFUNCTION("""COMPUTED_VALUE"""),"10.1037/0021-9010.67.2.245")</f>
        <v>10.1037/0021-9010.67.2.245</v>
      </c>
      <c r="B469" s="680" t="str">
        <f>IFERROR(__xludf.DUMMYFUNCTION("""COMPUTED_VALUE"""),"https://drive.google.com/file/d/15TviLeO9381ETQsop9lJxKkt_zGJpXCM/view?usp=drivesdk")</f>
        <v>https://drive.google.com/file/d/15TviLeO9381ETQsop9lJxKkt_zGJpXCM/view?usp=drivesdk</v>
      </c>
      <c r="C469" s="159" t="str">
        <f>IFERROR(__xludf.DUMMYFUNCTION("""COMPUTED_VALUE"""),"10.1037--0021-9010.67.2.245.pdf")</f>
        <v>10.1037--0021-9010.67.2.245.pdf</v>
      </c>
      <c r="D469" s="159" t="str">
        <f>IFERROR(__xludf.DUMMYFUNCTION("""COMPUTED_VALUE"""),"application/pdf")</f>
        <v>application/pdf</v>
      </c>
    </row>
    <row r="470">
      <c r="A470" s="159" t="str">
        <f>IFERROR(__xludf.DUMMYFUNCTION("""COMPUTED_VALUE"""),"10.2307/255436")</f>
        <v>10.2307/255436</v>
      </c>
      <c r="B470" s="680" t="str">
        <f>IFERROR(__xludf.DUMMYFUNCTION("""COMPUTED_VALUE"""),"https://drive.google.com/file/d/1_C8YFj82OxTlfEGn6_JqVOrerb3Wk9JZ/view?usp=drivesdk")</f>
        <v>https://drive.google.com/file/d/1_C8YFj82OxTlfEGn6_JqVOrerb3Wk9JZ/view?usp=drivesdk</v>
      </c>
      <c r="C470" s="159" t="str">
        <f>IFERROR(__xludf.DUMMYFUNCTION("""COMPUTED_VALUE"""),"10.2307--255436.pdf")</f>
        <v>10.2307--255436.pdf</v>
      </c>
      <c r="D470" s="159" t="str">
        <f>IFERROR(__xludf.DUMMYFUNCTION("""COMPUTED_VALUE"""),"application/pdf")</f>
        <v>application/pdf</v>
      </c>
    </row>
    <row r="471">
      <c r="A471" s="159" t="str">
        <f>IFERROR(__xludf.DUMMYFUNCTION("""COMPUTED_VALUE"""),"10.1037/h0076590")</f>
        <v>10.1037/h0076590</v>
      </c>
      <c r="B471" s="680" t="str">
        <f>IFERROR(__xludf.DUMMYFUNCTION("""COMPUTED_VALUE"""),"https://drive.google.com/file/d/1FJAN3eyWVY5MdaWnh5B4QdBTAYbOGwHg/view?usp=drivesdk")</f>
        <v>https://drive.google.com/file/d/1FJAN3eyWVY5MdaWnh5B4QdBTAYbOGwHg/view?usp=drivesdk</v>
      </c>
      <c r="C471" s="159" t="str">
        <f>IFERROR(__xludf.DUMMYFUNCTION("""COMPUTED_VALUE"""),"10.1037--h0076590.pdf")</f>
        <v>10.1037--h0076590.pdf</v>
      </c>
      <c r="D471" s="159" t="str">
        <f>IFERROR(__xludf.DUMMYFUNCTION("""COMPUTED_VALUE"""),"application/pdf")</f>
        <v>application/pdf</v>
      </c>
    </row>
    <row r="472">
      <c r="A472" s="159" t="str">
        <f>IFERROR(__xludf.DUMMYFUNCTION("""COMPUTED_VALUE"""),"10.2307/256866")</f>
        <v>10.2307/256866</v>
      </c>
      <c r="B472" s="680" t="str">
        <f>IFERROR(__xludf.DUMMYFUNCTION("""COMPUTED_VALUE"""),"https://drive.google.com/file/d/1tGQy62qBemNRdv1CCoRwhShVTPgdpX17/view?usp=drivesdk")</f>
        <v>https://drive.google.com/file/d/1tGQy62qBemNRdv1CCoRwhShVTPgdpX17/view?usp=drivesdk</v>
      </c>
      <c r="C472" s="159" t="str">
        <f>IFERROR(__xludf.DUMMYFUNCTION("""COMPUTED_VALUE"""),"10.2307--256866.pdf")</f>
        <v>10.2307--256866.pdf</v>
      </c>
      <c r="D472" s="159" t="str">
        <f>IFERROR(__xludf.DUMMYFUNCTION("""COMPUTED_VALUE"""),"application/pdf")</f>
        <v>application/pdf</v>
      </c>
    </row>
    <row r="473">
      <c r="A473" s="159" t="str">
        <f>IFERROR(__xludf.DUMMYFUNCTION("""COMPUTED_VALUE"""),"10.1177/001872679905200305")</f>
        <v>10.1177/001872679905200305</v>
      </c>
      <c r="B473" s="680" t="str">
        <f>IFERROR(__xludf.DUMMYFUNCTION("""COMPUTED_VALUE"""),"https://drive.google.com/file/d/12ayHKrk8dWjTGdvI_EykU4V7gASAwsSF/view?usp=drivesdk")</f>
        <v>https://drive.google.com/file/d/12ayHKrk8dWjTGdvI_EykU4V7gASAwsSF/view?usp=drivesdk</v>
      </c>
      <c r="C473" s="159" t="str">
        <f>IFERROR(__xludf.DUMMYFUNCTION("""COMPUTED_VALUE"""),"10.1177--001872679905200305.pdf")</f>
        <v>10.1177--001872679905200305.pdf</v>
      </c>
      <c r="D473" s="159" t="str">
        <f>IFERROR(__xludf.DUMMYFUNCTION("""COMPUTED_VALUE"""),"application/pdf")</f>
        <v>application/pdf</v>
      </c>
    </row>
    <row r="474">
      <c r="A474" s="159" t="str">
        <f>IFERROR(__xludf.DUMMYFUNCTION("""COMPUTED_VALUE"""),"10.2307/20159601")</f>
        <v>10.2307/20159601</v>
      </c>
      <c r="B474" s="680" t="str">
        <f>IFERROR(__xludf.DUMMYFUNCTION("""COMPUTED_VALUE"""),"https://drive.google.com/file/d/1NEjz6HMIxfkz_ig2cAptyyww2c-9xxH2/view?usp=drivesdk")</f>
        <v>https://drive.google.com/file/d/1NEjz6HMIxfkz_ig2cAptyyww2c-9xxH2/view?usp=drivesdk</v>
      </c>
      <c r="C474" s="159" t="str">
        <f>IFERROR(__xludf.DUMMYFUNCTION("""COMPUTED_VALUE"""),"10.2307--20159601.pdf")</f>
        <v>10.2307--20159601.pdf</v>
      </c>
      <c r="D474" s="159" t="str">
        <f>IFERROR(__xludf.DUMMYFUNCTION("""COMPUTED_VALUE"""),"application/pdf")</f>
        <v>application/pdf</v>
      </c>
    </row>
    <row r="475">
      <c r="A475" s="159" t="str">
        <f>IFERROR(__xludf.DUMMYFUNCTION("""COMPUTED_VALUE"""),"10.1177/014920630202800106")</f>
        <v>10.1177/014920630202800106</v>
      </c>
      <c r="B475" s="680" t="str">
        <f>IFERROR(__xludf.DUMMYFUNCTION("""COMPUTED_VALUE"""),"https://drive.google.com/file/d/17xRisFaEdb8sQ_Jnp07PmJvPm3L2ogKT/view?usp=drivesdk")</f>
        <v>https://drive.google.com/file/d/17xRisFaEdb8sQ_Jnp07PmJvPm3L2ogKT/view?usp=drivesdk</v>
      </c>
      <c r="C475" s="159" t="str">
        <f>IFERROR(__xludf.DUMMYFUNCTION("""COMPUTED_VALUE"""),"10.1177--014920630202800106.pdf")</f>
        <v>10.1177--014920630202800106.pdf</v>
      </c>
      <c r="D475" s="159" t="str">
        <f>IFERROR(__xludf.DUMMYFUNCTION("""COMPUTED_VALUE"""),"application/pdf")</f>
        <v>application/pdf</v>
      </c>
    </row>
    <row r="476">
      <c r="A476" s="159" t="str">
        <f>IFERROR(__xludf.DUMMYFUNCTION("""COMPUTED_VALUE"""),"10.1177/0149206312443557")</f>
        <v>10.1177/0149206312443557</v>
      </c>
      <c r="B476" s="680" t="str">
        <f>IFERROR(__xludf.DUMMYFUNCTION("""COMPUTED_VALUE"""),"https://drive.google.com/file/d/1qcpZmyQfWGKyAKm6cAOG429DdPFkwXR1/view?usp=drivesdk")</f>
        <v>https://drive.google.com/file/d/1qcpZmyQfWGKyAKm6cAOG429DdPFkwXR1/view?usp=drivesdk</v>
      </c>
      <c r="C476" s="159" t="str">
        <f>IFERROR(__xludf.DUMMYFUNCTION("""COMPUTED_VALUE"""),"10.1177--0149206312443557.pdf")</f>
        <v>10.1177--0149206312443557.pdf</v>
      </c>
      <c r="D476" s="159" t="str">
        <f>IFERROR(__xludf.DUMMYFUNCTION("""COMPUTED_VALUE"""),"application/pdf")</f>
        <v>application/pdf</v>
      </c>
    </row>
    <row r="477">
      <c r="A477" s="159" t="str">
        <f>IFERROR(__xludf.DUMMYFUNCTION("""COMPUTED_VALUE"""),"10.1111/1467-6486.t01-1-00378")</f>
        <v>10.1111/1467-6486.t01-1-00378</v>
      </c>
      <c r="B477" s="680" t="str">
        <f>IFERROR(__xludf.DUMMYFUNCTION("""COMPUTED_VALUE"""),"https://drive.google.com/file/d/1JPn1_M8M9Ak5XFqjxy1ZwUFV1I8DEUXs/view?usp=drivesdk")</f>
        <v>https://drive.google.com/file/d/1JPn1_M8M9Ak5XFqjxy1ZwUFV1I8DEUXs/view?usp=drivesdk</v>
      </c>
      <c r="C477" s="159" t="str">
        <f>IFERROR(__xludf.DUMMYFUNCTION("""COMPUTED_VALUE"""),"10.1111--1467-6486.t01-1-00378.pdf")</f>
        <v>10.1111--1467-6486.t01-1-00378.pdf</v>
      </c>
      <c r="D477" s="159" t="str">
        <f>IFERROR(__xludf.DUMMYFUNCTION("""COMPUTED_VALUE"""),"application/pdf")</f>
        <v>application/pdf</v>
      </c>
    </row>
    <row r="478">
      <c r="A478" s="159" t="str">
        <f>IFERROR(__xludf.DUMMYFUNCTION("""COMPUTED_VALUE"""),"10.1037/h0032457")</f>
        <v>10.1037/h0032457</v>
      </c>
      <c r="B478" s="680" t="str">
        <f>IFERROR(__xludf.DUMMYFUNCTION("""COMPUTED_VALUE"""),"https://drive.google.com/file/d/1sr1ugEfrG06nBhUzhH_Gqa1HJpQlSeVs/view?usp=drivesdk")</f>
        <v>https://drive.google.com/file/d/1sr1ugEfrG06nBhUzhH_Gqa1HJpQlSeVs/view?usp=drivesdk</v>
      </c>
      <c r="C478" s="159" t="str">
        <f>IFERROR(__xludf.DUMMYFUNCTION("""COMPUTED_VALUE"""),"10.1037--h0032457.pdf")</f>
        <v>10.1037--h0032457.pdf</v>
      </c>
      <c r="D478" s="159" t="str">
        <f>IFERROR(__xludf.DUMMYFUNCTION("""COMPUTED_VALUE"""),"application/pdf")</f>
        <v>application/pdf</v>
      </c>
    </row>
    <row r="479">
      <c r="A479" s="159" t="str">
        <f>IFERROR(__xludf.DUMMYFUNCTION("""COMPUTED_VALUE"""),"10.1016/j.obhdp.2008.02.005")</f>
        <v>10.1016/j.obhdp.2008.02.005</v>
      </c>
      <c r="B479" s="680" t="str">
        <f>IFERROR(__xludf.DUMMYFUNCTION("""COMPUTED_VALUE"""),"https://drive.google.com/file/d/1XFLe1Hj1cy4ps0wY68AyaWppg9yQzf_h/view?usp=drivesdk")</f>
        <v>https://drive.google.com/file/d/1XFLe1Hj1cy4ps0wY68AyaWppg9yQzf_h/view?usp=drivesdk</v>
      </c>
      <c r="C479" s="159" t="str">
        <f>IFERROR(__xludf.DUMMYFUNCTION("""COMPUTED_VALUE"""),"10.1016--j.obhdp.2008.02.005.pdf")</f>
        <v>10.1016--j.obhdp.2008.02.005.pdf</v>
      </c>
      <c r="D479" s="159" t="str">
        <f>IFERROR(__xludf.DUMMYFUNCTION("""COMPUTED_VALUE"""),"application/pdf")</f>
        <v>application/pdf</v>
      </c>
    </row>
    <row r="480">
      <c r="A480" s="159" t="str">
        <f>IFERROR(__xludf.DUMMYFUNCTION("""COMPUTED_VALUE"""),"10.1111/1748-8583.12362")</f>
        <v>10.1111/1748-8583.12362</v>
      </c>
      <c r="B480" s="680" t="str">
        <f>IFERROR(__xludf.DUMMYFUNCTION("""COMPUTED_VALUE"""),"https://drive.google.com/file/d/1y5xcHYwlqQSG-RdbIPIaV7xSFJKHxpCy/view?usp=drivesdk")</f>
        <v>https://drive.google.com/file/d/1y5xcHYwlqQSG-RdbIPIaV7xSFJKHxpCy/view?usp=drivesdk</v>
      </c>
      <c r="C480" s="159" t="str">
        <f>IFERROR(__xludf.DUMMYFUNCTION("""COMPUTED_VALUE"""),"10.1111--1748-8583.12362.pdf")</f>
        <v>10.1111--1748-8583.12362.pdf</v>
      </c>
      <c r="D480" s="159" t="str">
        <f>IFERROR(__xludf.DUMMYFUNCTION("""COMPUTED_VALUE"""),"application/pdf")</f>
        <v>application/pdf</v>
      </c>
    </row>
    <row r="481">
      <c r="A481" s="159" t="str">
        <f>IFERROR(__xludf.DUMMYFUNCTION("""COMPUTED_VALUE"""),"10.2307/256213")</f>
        <v>10.2307/256213</v>
      </c>
      <c r="B481" s="680" t="str">
        <f>IFERROR(__xludf.DUMMYFUNCTION("""COMPUTED_VALUE"""),"https://drive.google.com/file/d/1IeQmY-CX4cnN_NDX35YWzh3kUQPqF8vm/view?usp=drivesdk")</f>
        <v>https://drive.google.com/file/d/1IeQmY-CX4cnN_NDX35YWzh3kUQPqF8vm/view?usp=drivesdk</v>
      </c>
      <c r="C481" s="159" t="str">
        <f>IFERROR(__xludf.DUMMYFUNCTION("""COMPUTED_VALUE"""),"10.2307--256213.pdf")</f>
        <v>10.2307--256213.pdf</v>
      </c>
      <c r="D481" s="159" t="str">
        <f>IFERROR(__xludf.DUMMYFUNCTION("""COMPUTED_VALUE"""),"application/pdf")</f>
        <v>application/pdf</v>
      </c>
    </row>
    <row r="482">
      <c r="A482" s="159" t="str">
        <f>IFERROR(__xludf.DUMMYFUNCTION("""COMPUTED_VALUE"""),"10.1002/job.577")</f>
        <v>10.1002/job.577</v>
      </c>
      <c r="B482" s="680" t="str">
        <f>IFERROR(__xludf.DUMMYFUNCTION("""COMPUTED_VALUE"""),"https://drive.google.com/file/d/16ziL8jSZBvjfI3zCy6I2ljsBrbIOrEm_/view?usp=drivesdk")</f>
        <v>https://drive.google.com/file/d/16ziL8jSZBvjfI3zCy6I2ljsBrbIOrEm_/view?usp=drivesdk</v>
      </c>
      <c r="C482" s="159" t="str">
        <f>IFERROR(__xludf.DUMMYFUNCTION("""COMPUTED_VALUE"""),"10.1002--job.577.pdf")</f>
        <v>10.1002--job.577.pdf</v>
      </c>
      <c r="D482" s="159" t="str">
        <f>IFERROR(__xludf.DUMMYFUNCTION("""COMPUTED_VALUE"""),"application/pdf")</f>
        <v>application/pdf</v>
      </c>
    </row>
    <row r="483">
      <c r="A483" s="159" t="str">
        <f>IFERROR(__xludf.DUMMYFUNCTION("""COMPUTED_VALUE"""),"10.1111/j.1744-6570.1958.tb00037.x")</f>
        <v>10.1111/j.1744-6570.1958.tb00037.x</v>
      </c>
      <c r="B483" s="680" t="str">
        <f>IFERROR(__xludf.DUMMYFUNCTION("""COMPUTED_VALUE"""),"https://drive.google.com/file/d/1dsxU30DbINO2amgF3uqgjlh8wnopIaai/view?usp=drivesdk")</f>
        <v>https://drive.google.com/file/d/1dsxU30DbINO2amgF3uqgjlh8wnopIaai/view?usp=drivesdk</v>
      </c>
      <c r="C483" s="159" t="str">
        <f>IFERROR(__xludf.DUMMYFUNCTION("""COMPUTED_VALUE"""),"10.1111--j.1744-6570.1958.tb00037.x.pdf")</f>
        <v>10.1111--j.1744-6570.1958.tb00037.x.pdf</v>
      </c>
      <c r="D483" s="159" t="str">
        <f>IFERROR(__xludf.DUMMYFUNCTION("""COMPUTED_VALUE"""),"application/pdf")</f>
        <v>application/pdf</v>
      </c>
    </row>
    <row r="484">
      <c r="A484" s="159" t="str">
        <f>IFERROR(__xludf.DUMMYFUNCTION("""COMPUTED_VALUE"""),"10.1037/0021-9010.92.3.786")</f>
        <v>10.1037/0021-9010.92.3.786</v>
      </c>
      <c r="B484" s="680" t="str">
        <f>IFERROR(__xludf.DUMMYFUNCTION("""COMPUTED_VALUE"""),"https://drive.google.com/file/d/1gm7Xp1zy8mbzruAdJsZv3pgRXwVS7RdV/view?usp=drivesdk")</f>
        <v>https://drive.google.com/file/d/1gm7Xp1zy8mbzruAdJsZv3pgRXwVS7RdV/view?usp=drivesdk</v>
      </c>
      <c r="C484" s="159" t="str">
        <f>IFERROR(__xludf.DUMMYFUNCTION("""COMPUTED_VALUE"""),"10.1037--0021-9010.92.3.786.pdf")</f>
        <v>10.1037--0021-9010.92.3.786.pdf</v>
      </c>
      <c r="D484" s="159" t="str">
        <f>IFERROR(__xludf.DUMMYFUNCTION("""COMPUTED_VALUE"""),"application/pdf")</f>
        <v>application/pdf</v>
      </c>
    </row>
    <row r="485">
      <c r="A485" s="159" t="str">
        <f>IFERROR(__xludf.DUMMYFUNCTION("""COMPUTED_VALUE"""),"10.1037/0021-9010.74.3.411")</f>
        <v>10.1037/0021-9010.74.3.411</v>
      </c>
      <c r="B485" s="680" t="str">
        <f>IFERROR(__xludf.DUMMYFUNCTION("""COMPUTED_VALUE"""),"https://drive.google.com/file/d/1A48Wp2HllRYF2gNX5IVcNWg7jEVHx9gz/view?usp=drivesdk")</f>
        <v>https://drive.google.com/file/d/1A48Wp2HllRYF2gNX5IVcNWg7jEVHx9gz/view?usp=drivesdk</v>
      </c>
      <c r="C485" s="159" t="str">
        <f>IFERROR(__xludf.DUMMYFUNCTION("""COMPUTED_VALUE"""),"10.1037--0021-9010.74.3.411.pdf")</f>
        <v>10.1037--0021-9010.74.3.411.pdf</v>
      </c>
      <c r="D485" s="159" t="str">
        <f>IFERROR(__xludf.DUMMYFUNCTION("""COMPUTED_VALUE"""),"application/pdf")</f>
        <v>application/pdf</v>
      </c>
    </row>
    <row r="486">
      <c r="A486" s="159" t="str">
        <f>IFERROR(__xludf.DUMMYFUNCTION("""COMPUTED_VALUE"""),"10.1037/0021-9010.90.3.553")</f>
        <v>10.1037/0021-9010.90.3.553</v>
      </c>
      <c r="B486" s="680" t="str">
        <f>IFERROR(__xludf.DUMMYFUNCTION("""COMPUTED_VALUE"""),"https://drive.google.com/file/d/1yzOy5RyHtPTqW9q46XTc1TaSrjr4Yyrq/view?usp=drivesdk")</f>
        <v>https://drive.google.com/file/d/1yzOy5RyHtPTqW9q46XTc1TaSrjr4Yyrq/view?usp=drivesdk</v>
      </c>
      <c r="C486" s="159" t="str">
        <f>IFERROR(__xludf.DUMMYFUNCTION("""COMPUTED_VALUE"""),"10.1037--0021-9010.90.3.553.pdf")</f>
        <v>10.1037--0021-9010.90.3.553.pdf</v>
      </c>
      <c r="D486" s="159" t="str">
        <f>IFERROR(__xludf.DUMMYFUNCTION("""COMPUTED_VALUE"""),"application/pdf")</f>
        <v>application/pdf</v>
      </c>
    </row>
    <row r="487">
      <c r="A487" s="159" t="str">
        <f>IFERROR(__xludf.DUMMYFUNCTION("""COMPUTED_VALUE"""),"10.1037/0021-9010.86.2.293")</f>
        <v>10.1037/0021-9010.86.2.293</v>
      </c>
      <c r="B487" s="680" t="str">
        <f>IFERROR(__xludf.DUMMYFUNCTION("""COMPUTED_VALUE"""),"https://drive.google.com/file/d/18AFmwQ0RlXza0cLo2LTlHuC2iCQHOPVC/view?usp=drivesdk")</f>
        <v>https://drive.google.com/file/d/18AFmwQ0RlXza0cLo2LTlHuC2iCQHOPVC/view?usp=drivesdk</v>
      </c>
      <c r="C487" s="159" t="str">
        <f>IFERROR(__xludf.DUMMYFUNCTION("""COMPUTED_VALUE"""),"10.1037--0021-9010.86.2.293.pdf")</f>
        <v>10.1037--0021-9010.86.2.293.pdf</v>
      </c>
      <c r="D487" s="159" t="str">
        <f>IFERROR(__xludf.DUMMYFUNCTION("""COMPUTED_VALUE"""),"application/pdf")</f>
        <v>application/pdf</v>
      </c>
    </row>
    <row r="488">
      <c r="A488" s="159" t="str">
        <f>IFERROR(__xludf.DUMMYFUNCTION("""COMPUTED_VALUE"""),"10.1111/1467-6486.00282")</f>
        <v>10.1111/1467-6486.00282</v>
      </c>
      <c r="B488" s="680" t="str">
        <f>IFERROR(__xludf.DUMMYFUNCTION("""COMPUTED_VALUE"""),"https://drive.google.com/file/d/1ENHPOfgO3OSx5WytuJbD2wsrjBNmb2gB/view?usp=drivesdk")</f>
        <v>https://drive.google.com/file/d/1ENHPOfgO3OSx5WytuJbD2wsrjBNmb2gB/view?usp=drivesdk</v>
      </c>
      <c r="C488" s="159" t="str">
        <f>IFERROR(__xludf.DUMMYFUNCTION("""COMPUTED_VALUE"""),"10.1111--1467-6486.00282.pdf")</f>
        <v>10.1111--1467-6486.00282.pdf</v>
      </c>
      <c r="D488" s="159" t="str">
        <f>IFERROR(__xludf.DUMMYFUNCTION("""COMPUTED_VALUE"""),"application/pdf")</f>
        <v>application/pdf</v>
      </c>
    </row>
    <row r="489">
      <c r="A489" s="159" t="str">
        <f>IFERROR(__xludf.DUMMYFUNCTION("""COMPUTED_VALUE"""),"10.1037/0021-9010.70.1.108")</f>
        <v>10.1037/0021-9010.70.1.108</v>
      </c>
      <c r="B489" s="680" t="str">
        <f>IFERROR(__xludf.DUMMYFUNCTION("""COMPUTED_VALUE"""),"https://drive.google.com/file/d/1hNuT-TdVM50Dh3IHVqyLCjDHgLL97kGq/view?usp=drivesdk")</f>
        <v>https://drive.google.com/file/d/1hNuT-TdVM50Dh3IHVqyLCjDHgLL97kGq/view?usp=drivesdk</v>
      </c>
      <c r="C489" s="159" t="str">
        <f>IFERROR(__xludf.DUMMYFUNCTION("""COMPUTED_VALUE"""),"10.1037--0021-9010.70.1.108.pdf")</f>
        <v>10.1037--0021-9010.70.1.108.pdf</v>
      </c>
      <c r="D489" s="159" t="str">
        <f>IFERROR(__xludf.DUMMYFUNCTION("""COMPUTED_VALUE"""),"application/pdf")</f>
        <v>application/pdf</v>
      </c>
    </row>
    <row r="490">
      <c r="A490" s="159" t="str">
        <f>IFERROR(__xludf.DUMMYFUNCTION("""COMPUTED_VALUE"""),"10.1111/peps.12357")</f>
        <v>10.1111/peps.12357</v>
      </c>
      <c r="B490" s="680" t="str">
        <f>IFERROR(__xludf.DUMMYFUNCTION("""COMPUTED_VALUE"""),"https://drive.google.com/file/d/1FqeY0JUGHc4A6lgyu2gPAMkhgeaGNaW-/view?usp=drivesdk")</f>
        <v>https://drive.google.com/file/d/1FqeY0JUGHc4A6lgyu2gPAMkhgeaGNaW-/view?usp=drivesdk</v>
      </c>
      <c r="C490" s="159" t="str">
        <f>IFERROR(__xludf.DUMMYFUNCTION("""COMPUTED_VALUE"""),"10.1111--peps.12357.pdf")</f>
        <v>10.1111--peps.12357.pdf</v>
      </c>
      <c r="D490" s="159" t="str">
        <f>IFERROR(__xludf.DUMMYFUNCTION("""COMPUTED_VALUE"""),"application/pdf")</f>
        <v>application/pdf</v>
      </c>
    </row>
    <row r="491">
      <c r="A491" s="159" t="str">
        <f>IFERROR(__xludf.DUMMYFUNCTION("""COMPUTED_VALUE"""),"10.1037/0021-9010.89.1.150")</f>
        <v>10.1037/0021-9010.89.1.150</v>
      </c>
      <c r="B491" s="680" t="str">
        <f>IFERROR(__xludf.DUMMYFUNCTION("""COMPUTED_VALUE"""),"https://drive.google.com/file/d/1VxSs8rlsmqSHxoyDH3TrPm0jSxVW1uzL/view?usp=drivesdk")</f>
        <v>https://drive.google.com/file/d/1VxSs8rlsmqSHxoyDH3TrPm0jSxVW1uzL/view?usp=drivesdk</v>
      </c>
      <c r="C491" s="159" t="str">
        <f>IFERROR(__xludf.DUMMYFUNCTION("""COMPUTED_VALUE"""),"10.1037--0021-9010.89.1.150.pdf")</f>
        <v>10.1037--0021-9010.89.1.150.pdf</v>
      </c>
      <c r="D491" s="159" t="str">
        <f>IFERROR(__xludf.DUMMYFUNCTION("""COMPUTED_VALUE"""),"application/pdf")</f>
        <v>application/pdf</v>
      </c>
    </row>
    <row r="492">
      <c r="A492" s="159" t="str">
        <f>IFERROR(__xludf.DUMMYFUNCTION("""COMPUTED_VALUE"""),"10.1006/obhd.2001.2956")</f>
        <v>10.1006/obhd.2001.2956</v>
      </c>
      <c r="B492" s="680" t="str">
        <f>IFERROR(__xludf.DUMMYFUNCTION("""COMPUTED_VALUE"""),"https://drive.google.com/file/d/1AxDN1lO8aGVYVkqwStoqiIBEcLZ3tBjh/view?usp=drivesdk")</f>
        <v>https://drive.google.com/file/d/1AxDN1lO8aGVYVkqwStoqiIBEcLZ3tBjh/view?usp=drivesdk</v>
      </c>
      <c r="C492" s="159" t="str">
        <f>IFERROR(__xludf.DUMMYFUNCTION("""COMPUTED_VALUE"""),"10.1006--obhd.2001.2956.pdf")</f>
        <v>10.1006--obhd.2001.2956.pdf</v>
      </c>
      <c r="D492" s="159" t="str">
        <f>IFERROR(__xludf.DUMMYFUNCTION("""COMPUTED_VALUE"""),"application/pdf")</f>
        <v>application/pdf</v>
      </c>
    </row>
    <row r="493">
      <c r="A493" s="159" t="str">
        <f>IFERROR(__xludf.DUMMYFUNCTION("""COMPUTED_VALUE"""),"10.1111/ijsa.12095")</f>
        <v>10.1111/ijsa.12095</v>
      </c>
      <c r="B493" s="680" t="str">
        <f>IFERROR(__xludf.DUMMYFUNCTION("""COMPUTED_VALUE"""),"https://drive.google.com/file/d/1n_Kdh3QRrMvpN-x2XFBVnDzGh9xRcqNM/view?usp=drivesdk")</f>
        <v>https://drive.google.com/file/d/1n_Kdh3QRrMvpN-x2XFBVnDzGh9xRcqNM/view?usp=drivesdk</v>
      </c>
      <c r="C493" s="159" t="str">
        <f>IFERROR(__xludf.DUMMYFUNCTION("""COMPUTED_VALUE"""),"10.1111--ijsa.12095.pdf")</f>
        <v>10.1111--ijsa.12095.pdf</v>
      </c>
      <c r="D493" s="159" t="str">
        <f>IFERROR(__xludf.DUMMYFUNCTION("""COMPUTED_VALUE"""),"application/pdf")</f>
        <v>application/pdf</v>
      </c>
    </row>
    <row r="494">
      <c r="A494" s="159" t="str">
        <f>IFERROR(__xludf.DUMMYFUNCTION("""COMPUTED_VALUE"""),"10.1037/0021-9010.70.3.540")</f>
        <v>10.1037/0021-9010.70.3.540</v>
      </c>
      <c r="B494" s="680" t="str">
        <f>IFERROR(__xludf.DUMMYFUNCTION("""COMPUTED_VALUE"""),"https://drive.google.com/file/d/1JIS73Lg2BDMm6c52zcPRO3mJzXbelLUy/view?usp=drivesdk")</f>
        <v>https://drive.google.com/file/d/1JIS73Lg2BDMm6c52zcPRO3mJzXbelLUy/view?usp=drivesdk</v>
      </c>
      <c r="C494" s="159" t="str">
        <f>IFERROR(__xludf.DUMMYFUNCTION("""COMPUTED_VALUE"""),"10.1037--0021-9010.70.3.540.pdf")</f>
        <v>10.1037--0021-9010.70.3.540.pdf</v>
      </c>
      <c r="D494" s="159" t="str">
        <f>IFERROR(__xludf.DUMMYFUNCTION("""COMPUTED_VALUE"""),"application/pdf")</f>
        <v>application/pdf</v>
      </c>
    </row>
    <row r="495">
      <c r="A495" s="159" t="str">
        <f>IFERROR(__xludf.DUMMYFUNCTION("""COMPUTED_VALUE"""),"10.1037/0021-9010.90.5.1002")</f>
        <v>10.1037/0021-9010.90.5.1002</v>
      </c>
      <c r="B495" s="680" t="str">
        <f>IFERROR(__xludf.DUMMYFUNCTION("""COMPUTED_VALUE"""),"https://drive.google.com/file/d/1AvzMsyrLDlXR5sYqv4e7W5gNCldzc4Az/view?usp=drivesdk")</f>
        <v>https://drive.google.com/file/d/1AvzMsyrLDlXR5sYqv4e7W5gNCldzc4Az/view?usp=drivesdk</v>
      </c>
      <c r="C495" s="159" t="str">
        <f>IFERROR(__xludf.DUMMYFUNCTION("""COMPUTED_VALUE"""),"10.1037--0021-9010.90.5.1002.pdf")</f>
        <v>10.1037--0021-9010.90.5.1002.pdf</v>
      </c>
      <c r="D495" s="159" t="str">
        <f>IFERROR(__xludf.DUMMYFUNCTION("""COMPUTED_VALUE"""),"application/pdf")</f>
        <v>application/pdf</v>
      </c>
    </row>
    <row r="496">
      <c r="A496" s="159" t="str">
        <f>IFERROR(__xludf.DUMMYFUNCTION("""COMPUTED_VALUE"""),"10.1002/(sici)1099-1379(199903)20:2&lt;175::aid-job882&gt;3.0.co;2-e")</f>
        <v>10.1002/(sici)1099-1379(199903)20:2&lt;175::aid-job882&gt;3.0.co;2-e</v>
      </c>
      <c r="B496" s="680" t="str">
        <f>IFERROR(__xludf.DUMMYFUNCTION("""COMPUTED_VALUE"""),"https://drive.google.com/file/d/1Tek4QKDewflsXjmUSyzDZRI8EeKeRVM6/view?usp=drivesdk")</f>
        <v>https://drive.google.com/file/d/1Tek4QKDewflsXjmUSyzDZRI8EeKeRVM6/view?usp=drivesdk</v>
      </c>
      <c r="C496" s="159" t="str">
        <f>IFERROR(__xludf.DUMMYFUNCTION("""COMPUTED_VALUE"""),"10.1002--(SICI)1099-1379(199903)20:2&lt;175::AID-JOB882&gt;3.0.CO;2-E.pdf")</f>
        <v>10.1002--(SICI)1099-1379(199903)20:2&lt;175::AID-JOB882&gt;3.0.CO;2-E.pdf</v>
      </c>
      <c r="D496" s="159" t="str">
        <f>IFERROR(__xludf.DUMMYFUNCTION("""COMPUTED_VALUE"""),"application/pdf")</f>
        <v>application/pdf</v>
      </c>
    </row>
    <row r="497">
      <c r="A497" s="159" t="str">
        <f>IFERROR(__xludf.DUMMYFUNCTION("""COMPUTED_VALUE"""),"10.1111/j.1744-6570.1997.tb01490.x")</f>
        <v>10.1111/j.1744-6570.1997.tb01490.x</v>
      </c>
      <c r="B497" s="680" t="str">
        <f>IFERROR(__xludf.DUMMYFUNCTION("""COMPUTED_VALUE"""),"https://drive.google.com/file/d/15xe_V5k9RTQpZVqg1qKFhmJ1oawQecuS/view?usp=drivesdk")</f>
        <v>https://drive.google.com/file/d/15xe_V5k9RTQpZVqg1qKFhmJ1oawQecuS/view?usp=drivesdk</v>
      </c>
      <c r="C497" s="159" t="str">
        <f>IFERROR(__xludf.DUMMYFUNCTION("""COMPUTED_VALUE"""),"10.1111--j.1744-6570.1997.tb01490.x.pdf")</f>
        <v>10.1111--j.1744-6570.1997.tb01490.x.pdf</v>
      </c>
      <c r="D497" s="159" t="str">
        <f>IFERROR(__xludf.DUMMYFUNCTION("""COMPUTED_VALUE"""),"application/pdf")</f>
        <v>application/pdf</v>
      </c>
    </row>
    <row r="498">
      <c r="A498" s="159" t="str">
        <f>IFERROR(__xludf.DUMMYFUNCTION("""COMPUTED_VALUE"""),"10.1037/0021-9010.85.6.996")</f>
        <v>10.1037/0021-9010.85.6.996</v>
      </c>
      <c r="B498" s="680" t="str">
        <f>IFERROR(__xludf.DUMMYFUNCTION("""COMPUTED_VALUE"""),"https://drive.google.com/file/d/1LTLAR0sx1VhEPiuPBd4cXSmF9Om2NCRO/view?usp=drivesdk")</f>
        <v>https://drive.google.com/file/d/1LTLAR0sx1VhEPiuPBd4cXSmF9Om2NCRO/view?usp=drivesdk</v>
      </c>
      <c r="C498" s="159" t="str">
        <f>IFERROR(__xludf.DUMMYFUNCTION("""COMPUTED_VALUE"""),"10.1037--0021-9010.85.6.996.pdf")</f>
        <v>10.1037--0021-9010.85.6.996.pdf</v>
      </c>
      <c r="D498" s="159" t="str">
        <f>IFERROR(__xludf.DUMMYFUNCTION("""COMPUTED_VALUE"""),"application/pdf")</f>
        <v>application/pdf</v>
      </c>
    </row>
    <row r="499">
      <c r="A499" s="159" t="str">
        <f>IFERROR(__xludf.DUMMYFUNCTION("""COMPUTED_VALUE"""),"10.1111/1468-2389.00132")</f>
        <v>10.1111/1468-2389.00132</v>
      </c>
      <c r="B499" s="680" t="str">
        <f>IFERROR(__xludf.DUMMYFUNCTION("""COMPUTED_VALUE"""),"https://drive.google.com/file/d/1bsa9ewTKv6aoDFvv5XO6HEaALNY6zd6o/view?usp=drivesdk")</f>
        <v>https://drive.google.com/file/d/1bsa9ewTKv6aoDFvv5XO6HEaALNY6zd6o/view?usp=drivesdk</v>
      </c>
      <c r="C499" s="159" t="str">
        <f>IFERROR(__xludf.DUMMYFUNCTION("""COMPUTED_VALUE"""),"10.1111--1468-2389.00132.pdf")</f>
        <v>10.1111--1468-2389.00132.pdf</v>
      </c>
      <c r="D499" s="159" t="str">
        <f>IFERROR(__xludf.DUMMYFUNCTION("""COMPUTED_VALUE"""),"application/pdf")</f>
        <v>application/pdf</v>
      </c>
    </row>
    <row r="500">
      <c r="A500" s="159" t="str">
        <f>IFERROR(__xludf.DUMMYFUNCTION("""COMPUTED_VALUE"""),"10.1037/0021-9010.67.5.640")</f>
        <v>10.1037/0021-9010.67.5.640</v>
      </c>
      <c r="B500" s="680" t="str">
        <f>IFERROR(__xludf.DUMMYFUNCTION("""COMPUTED_VALUE"""),"https://drive.google.com/file/d/1i1CbRERxyKW1FFbhZ8l_KsOGenombCL-/view?usp=drivesdk")</f>
        <v>https://drive.google.com/file/d/1i1CbRERxyKW1FFbhZ8l_KsOGenombCL-/view?usp=drivesdk</v>
      </c>
      <c r="C500" s="159" t="str">
        <f>IFERROR(__xludf.DUMMYFUNCTION("""COMPUTED_VALUE"""),"10.1037--0021-9010.67.5.640.pdf")</f>
        <v>10.1037--0021-9010.67.5.640.pdf</v>
      </c>
      <c r="D500" s="159" t="str">
        <f>IFERROR(__xludf.DUMMYFUNCTION("""COMPUTED_VALUE"""),"application/pdf")</f>
        <v>application/pdf</v>
      </c>
    </row>
    <row r="501">
      <c r="A501" s="159" t="str">
        <f>IFERROR(__xludf.DUMMYFUNCTION("""COMPUTED_VALUE"""),"10.1037/0021-9010.73.3.467")</f>
        <v>10.1037/0021-9010.73.3.467</v>
      </c>
      <c r="B501" s="680" t="str">
        <f>IFERROR(__xludf.DUMMYFUNCTION("""COMPUTED_VALUE"""),"https://drive.google.com/file/d/1V6v17XrOALAlZel_ce1TcDO3tA9wxzSO/view?usp=drivesdk")</f>
        <v>https://drive.google.com/file/d/1V6v17XrOALAlZel_ce1TcDO3tA9wxzSO/view?usp=drivesdk</v>
      </c>
      <c r="C501" s="159" t="str">
        <f>IFERROR(__xludf.DUMMYFUNCTION("""COMPUTED_VALUE"""),"10.1037--0021-9010.73.3.467.pdf")</f>
        <v>10.1037--0021-9010.73.3.467.pdf</v>
      </c>
      <c r="D501" s="159" t="str">
        <f>IFERROR(__xludf.DUMMYFUNCTION("""COMPUTED_VALUE"""),"application/pdf")</f>
        <v>application/pdf</v>
      </c>
    </row>
    <row r="502">
      <c r="A502" s="159" t="str">
        <f>IFERROR(__xludf.DUMMYFUNCTION("""COMPUTED_VALUE"""),"10.1037/0021-9010.87.4.715")</f>
        <v>10.1037/0021-9010.87.4.715</v>
      </c>
      <c r="B502" s="680" t="str">
        <f>IFERROR(__xludf.DUMMYFUNCTION("""COMPUTED_VALUE"""),"https://drive.google.com/file/d/1_EzHR9pcK0ngqgMik_fV8GDpObIK8wd2/view?usp=drivesdk")</f>
        <v>https://drive.google.com/file/d/1_EzHR9pcK0ngqgMik_fV8GDpObIK8wd2/view?usp=drivesdk</v>
      </c>
      <c r="C502" s="159" t="str">
        <f>IFERROR(__xludf.DUMMYFUNCTION("""COMPUTED_VALUE"""),"10.1037--0021-9010.87.4.715.pdf")</f>
        <v>10.1037--0021-9010.87.4.715.pdf</v>
      </c>
      <c r="D502" s="159" t="str">
        <f>IFERROR(__xludf.DUMMYFUNCTION("""COMPUTED_VALUE"""),"application/pdf")</f>
        <v>application/pdf</v>
      </c>
    </row>
    <row r="503">
      <c r="A503" s="159" t="str">
        <f>IFERROR(__xludf.DUMMYFUNCTION("""COMPUTED_VALUE"""),"10.1037/0021-9010.88.3.404")</f>
        <v>10.1037/0021-9010.88.3.404</v>
      </c>
      <c r="B503" s="680" t="str">
        <f>IFERROR(__xludf.DUMMYFUNCTION("""COMPUTED_VALUE"""),"https://drive.google.com/file/d/1mCjJEa0zEdrLp7xaVHvS-ueqh5_YiyPt/view?usp=drivesdk")</f>
        <v>https://drive.google.com/file/d/1mCjJEa0zEdrLp7xaVHvS-ueqh5_YiyPt/view?usp=drivesdk</v>
      </c>
      <c r="C503" s="159" t="str">
        <f>IFERROR(__xludf.DUMMYFUNCTION("""COMPUTED_VALUE"""),"10.1037--0021-9010.88.3.404.pdf")</f>
        <v>10.1037--0021-9010.88.3.404.pdf</v>
      </c>
      <c r="D503" s="159" t="str">
        <f>IFERROR(__xludf.DUMMYFUNCTION("""COMPUTED_VALUE"""),"application/pdf")</f>
        <v>application/pdf</v>
      </c>
    </row>
    <row r="504">
      <c r="A504" s="159" t="str">
        <f>IFERROR(__xludf.DUMMYFUNCTION("""COMPUTED_VALUE"""),"10.1177/0018726707080078")</f>
        <v>10.1177/0018726707080078</v>
      </c>
      <c r="B504" s="680" t="str">
        <f>IFERROR(__xludf.DUMMYFUNCTION("""COMPUTED_VALUE"""),"https://drive.google.com/file/d/1_MG2hCFLSC3hK9JN_Vd97ScYOFkmCeNB/view?usp=drivesdk")</f>
        <v>https://drive.google.com/file/d/1_MG2hCFLSC3hK9JN_Vd97ScYOFkmCeNB/view?usp=drivesdk</v>
      </c>
      <c r="C504" s="159" t="str">
        <f>IFERROR(__xludf.DUMMYFUNCTION("""COMPUTED_VALUE"""),"10.1177--0018726707080078.pdf")</f>
        <v>10.1177--0018726707080078.pdf</v>
      </c>
      <c r="D504" s="159" t="str">
        <f>IFERROR(__xludf.DUMMYFUNCTION("""COMPUTED_VALUE"""),"application/pdf")</f>
        <v>application/pdf</v>
      </c>
    </row>
    <row r="505">
      <c r="A505" s="159" t="str">
        <f>IFERROR(__xludf.DUMMYFUNCTION("""COMPUTED_VALUE"""),"10.1108/lodj-09-2012-0121")</f>
        <v>10.1108/lodj-09-2012-0121</v>
      </c>
      <c r="B505" s="680" t="str">
        <f>IFERROR(__xludf.DUMMYFUNCTION("""COMPUTED_VALUE"""),"https://drive.google.com/file/d/1nLVCcdv_66nYF2sRvhid60_rUR9xBJTg/view?usp=drivesdk")</f>
        <v>https://drive.google.com/file/d/1nLVCcdv_66nYF2sRvhid60_rUR9xBJTg/view?usp=drivesdk</v>
      </c>
      <c r="C505" s="159" t="str">
        <f>IFERROR(__xludf.DUMMYFUNCTION("""COMPUTED_VALUE"""),"10.1108--LODJ-09-2012-0121.pdf")</f>
        <v>10.1108--LODJ-09-2012-0121.pdf</v>
      </c>
      <c r="D505" s="159" t="str">
        <f>IFERROR(__xludf.DUMMYFUNCTION("""COMPUTED_VALUE"""),"application/pdf")</f>
        <v>application/pdf</v>
      </c>
    </row>
    <row r="506">
      <c r="A506" s="159" t="str">
        <f>IFERROR(__xludf.DUMMYFUNCTION("""COMPUTED_VALUE"""),"10.1080/1359432x.2019.1677609")</f>
        <v>10.1080/1359432x.2019.1677609</v>
      </c>
      <c r="B506" s="680" t="str">
        <f>IFERROR(__xludf.DUMMYFUNCTION("""COMPUTED_VALUE"""),"https://drive.google.com/file/d/15reetxk-u0hOy-vfR2jI4B4Tpns5w20E/view?usp=drivesdk")</f>
        <v>https://drive.google.com/file/d/15reetxk-u0hOy-vfR2jI4B4Tpns5w20E/view?usp=drivesdk</v>
      </c>
      <c r="C506" s="159" t="str">
        <f>IFERROR(__xludf.DUMMYFUNCTION("""COMPUTED_VALUE"""),"10.1080--1359432X.2019.1677609.pdf")</f>
        <v>10.1080--1359432X.2019.1677609.pdf</v>
      </c>
      <c r="D506" s="159" t="str">
        <f>IFERROR(__xludf.DUMMYFUNCTION("""COMPUTED_VALUE"""),"application/pdf")</f>
        <v>application/pdf</v>
      </c>
    </row>
    <row r="507">
      <c r="A507" s="159" t="str">
        <f>IFERROR(__xludf.DUMMYFUNCTION("""COMPUTED_VALUE"""),"10.1348/096317908x280935")</f>
        <v>10.1348/096317908x280935</v>
      </c>
      <c r="B507" s="680" t="str">
        <f>IFERROR(__xludf.DUMMYFUNCTION("""COMPUTED_VALUE"""),"https://drive.google.com/file/d/1IpWFLyUE9G-tAeYRc1SQmc72yXV_hf4B/view?usp=drivesdk")</f>
        <v>https://drive.google.com/file/d/1IpWFLyUE9G-tAeYRc1SQmc72yXV_hf4B/view?usp=drivesdk</v>
      </c>
      <c r="C507" s="159" t="str">
        <f>IFERROR(__xludf.DUMMYFUNCTION("""COMPUTED_VALUE"""),"10.1348--096317908X280935.pdf")</f>
        <v>10.1348--096317908X280935.pdf</v>
      </c>
      <c r="D507" s="159" t="str">
        <f>IFERROR(__xludf.DUMMYFUNCTION("""COMPUTED_VALUE"""),"application/pdf")</f>
        <v>application/pdf</v>
      </c>
    </row>
    <row r="508">
      <c r="A508" s="159" t="str">
        <f>IFERROR(__xludf.DUMMYFUNCTION("""COMPUTED_VALUE"""),"10.1177/001872679404700703")</f>
        <v>10.1177/001872679404700703</v>
      </c>
      <c r="B508" s="680" t="str">
        <f>IFERROR(__xludf.DUMMYFUNCTION("""COMPUTED_VALUE"""),"https://drive.google.com/file/d/1Vy08NiNuTh9JYWcF1W2Vf2axFtKh4drW/view?usp=drivesdk")</f>
        <v>https://drive.google.com/file/d/1Vy08NiNuTh9JYWcF1W2Vf2axFtKh4drW/view?usp=drivesdk</v>
      </c>
      <c r="C508" s="159" t="str">
        <f>IFERROR(__xludf.DUMMYFUNCTION("""COMPUTED_VALUE"""),"10.1177--001872679404700703.pdf")</f>
        <v>10.1177--001872679404700703.pdf</v>
      </c>
      <c r="D508" s="159" t="str">
        <f>IFERROR(__xludf.DUMMYFUNCTION("""COMPUTED_VALUE"""),"application/pdf")</f>
        <v>application/pdf</v>
      </c>
    </row>
    <row r="509">
      <c r="A509" s="159" t="str">
        <f>IFERROR(__xludf.DUMMYFUNCTION("""COMPUTED_VALUE"""),"10.1111/j.2044-8325.2011.02046.x")</f>
        <v>10.1111/j.2044-8325.2011.02046.x</v>
      </c>
      <c r="B509" s="680" t="str">
        <f>IFERROR(__xludf.DUMMYFUNCTION("""COMPUTED_VALUE"""),"https://drive.google.com/file/d/16T75K2ElhxvGzIP1ipvvQWXWcnxAXrX5/view?usp=drivesdk")</f>
        <v>https://drive.google.com/file/d/16T75K2ElhxvGzIP1ipvvQWXWcnxAXrX5/view?usp=drivesdk</v>
      </c>
      <c r="C509" s="159" t="str">
        <f>IFERROR(__xludf.DUMMYFUNCTION("""COMPUTED_VALUE"""),"10.1111--j.2044-8325.2011.02046.x.pdf")</f>
        <v>10.1111--j.2044-8325.2011.02046.x.pdf</v>
      </c>
      <c r="D509" s="159" t="str">
        <f>IFERROR(__xludf.DUMMYFUNCTION("""COMPUTED_VALUE"""),"application/pdf")</f>
        <v>application/pdf</v>
      </c>
    </row>
    <row r="510">
      <c r="A510" s="159" t="str">
        <f>IFERROR(__xludf.DUMMYFUNCTION("""COMPUTED_VALUE"""),"10.1111/1467-6486.00108")</f>
        <v>10.1111/1467-6486.00108</v>
      </c>
      <c r="B510" s="680" t="str">
        <f>IFERROR(__xludf.DUMMYFUNCTION("""COMPUTED_VALUE"""),"https://drive.google.com/file/d/12kl7B_gN5NAhDlyqunW2AObCMtswBLHg/view?usp=drivesdk")</f>
        <v>https://drive.google.com/file/d/12kl7B_gN5NAhDlyqunW2AObCMtswBLHg/view?usp=drivesdk</v>
      </c>
      <c r="C510" s="159" t="str">
        <f>IFERROR(__xludf.DUMMYFUNCTION("""COMPUTED_VALUE"""),"10.1111--1467-6486.00108.pdf")</f>
        <v>10.1111--1467-6486.00108.pdf</v>
      </c>
      <c r="D510" s="159" t="str">
        <f>IFERROR(__xludf.DUMMYFUNCTION("""COMPUTED_VALUE"""),"application/pdf")</f>
        <v>application/pdf</v>
      </c>
    </row>
    <row r="511">
      <c r="A511" s="159" t="str">
        <f>IFERROR(__xludf.DUMMYFUNCTION("""COMPUTED_VALUE"""),"10.1108/02683941011048373")</f>
        <v>10.1108/02683941011048373</v>
      </c>
      <c r="B511" s="680" t="str">
        <f>IFERROR(__xludf.DUMMYFUNCTION("""COMPUTED_VALUE"""),"https://drive.google.com/file/d/1y6WGFS3SYXDWhx4DUfRNBiJJJw0zcU9I/view?usp=drivesdk")</f>
        <v>https://drive.google.com/file/d/1y6WGFS3SYXDWhx4DUfRNBiJJJw0zcU9I/view?usp=drivesdk</v>
      </c>
      <c r="C511" s="159" t="str">
        <f>IFERROR(__xludf.DUMMYFUNCTION("""COMPUTED_VALUE"""),"10.1108--02683941011048373.pdf")</f>
        <v>10.1108--02683941011048373.pdf</v>
      </c>
      <c r="D511" s="159" t="str">
        <f>IFERROR(__xludf.DUMMYFUNCTION("""COMPUTED_VALUE"""),"application/pdf")</f>
        <v>application/pdf</v>
      </c>
    </row>
    <row r="512">
      <c r="A512" s="159" t="str">
        <f>IFERROR(__xludf.DUMMYFUNCTION("""COMPUTED_VALUE"""),"10.1002/hrm.20418")</f>
        <v>10.1002/hrm.20418</v>
      </c>
      <c r="B512" s="680" t="str">
        <f>IFERROR(__xludf.DUMMYFUNCTION("""COMPUTED_VALUE"""),"https://drive.google.com/file/d/1ao4tQCyXI8ZxraKax0MLjjmpUVIrrFTd/view?usp=drivesdk")</f>
        <v>https://drive.google.com/file/d/1ao4tQCyXI8ZxraKax0MLjjmpUVIrrFTd/view?usp=drivesdk</v>
      </c>
      <c r="C512" s="159" t="str">
        <f>IFERROR(__xludf.DUMMYFUNCTION("""COMPUTED_VALUE"""),"10.1002--hrm.20418.pdf")</f>
        <v>10.1002--hrm.20418.pdf</v>
      </c>
      <c r="D512" s="159" t="str">
        <f>IFERROR(__xludf.DUMMYFUNCTION("""COMPUTED_VALUE"""),"application/pdf")</f>
        <v>application/pdf</v>
      </c>
    </row>
    <row r="513">
      <c r="A513" s="159" t="str">
        <f>IFERROR(__xludf.DUMMYFUNCTION("""COMPUTED_VALUE"""),"10.1016/j.leaqua.2014.11.005")</f>
        <v>10.1016/j.leaqua.2014.11.005</v>
      </c>
      <c r="B513" s="680" t="str">
        <f>IFERROR(__xludf.DUMMYFUNCTION("""COMPUTED_VALUE"""),"https://drive.google.com/file/d/1EG5ZqNiwCNQczFoJvA0qgtnaMaJN7DjJ/view?usp=drivesdk")</f>
        <v>https://drive.google.com/file/d/1EG5ZqNiwCNQczFoJvA0qgtnaMaJN7DjJ/view?usp=drivesdk</v>
      </c>
      <c r="C513" s="159" t="str">
        <f>IFERROR(__xludf.DUMMYFUNCTION("""COMPUTED_VALUE"""),"10.1016--j.leaqua.2014.11.005.pdf")</f>
        <v>10.1016--j.leaqua.2014.11.005.pdf</v>
      </c>
      <c r="D513" s="159" t="str">
        <f>IFERROR(__xludf.DUMMYFUNCTION("""COMPUTED_VALUE"""),"application/pdf")</f>
        <v>application/pdf</v>
      </c>
    </row>
    <row r="514">
      <c r="A514" s="159" t="str">
        <f>IFERROR(__xludf.DUMMYFUNCTION("""COMPUTED_VALUE"""),"10.1037/a0024739")</f>
        <v>10.1037/a0024739</v>
      </c>
      <c r="B514" s="680" t="str">
        <f>IFERROR(__xludf.DUMMYFUNCTION("""COMPUTED_VALUE"""),"https://drive.google.com/file/d/1A-wGvCZNEQ7az_ALsu-ACa_3AsMfQT49/view?usp=drivesdk")</f>
        <v>https://drive.google.com/file/d/1A-wGvCZNEQ7az_ALsu-ACa_3AsMfQT49/view?usp=drivesdk</v>
      </c>
      <c r="C514" s="159" t="str">
        <f>IFERROR(__xludf.DUMMYFUNCTION("""COMPUTED_VALUE"""),"10.1037--a0024739.pdf")</f>
        <v>10.1037--a0024739.pdf</v>
      </c>
      <c r="D514" s="159" t="str">
        <f>IFERROR(__xludf.DUMMYFUNCTION("""COMPUTED_VALUE"""),"application/pdf")</f>
        <v>application/pdf</v>
      </c>
    </row>
    <row r="515">
      <c r="A515" s="159" t="str">
        <f>IFERROR(__xludf.DUMMYFUNCTION("""COMPUTED_VALUE"""),"10.1108/lodj-08-2012-0097")</f>
        <v>10.1108/lodj-08-2012-0097</v>
      </c>
      <c r="B515" s="680" t="str">
        <f>IFERROR(__xludf.DUMMYFUNCTION("""COMPUTED_VALUE"""),"https://drive.google.com/file/d/1oHwAEcQrTCmOHPcPPh29idBejLo5Zg6Y/view?usp=drivesdk")</f>
        <v>https://drive.google.com/file/d/1oHwAEcQrTCmOHPcPPh29idBejLo5Zg6Y/view?usp=drivesdk</v>
      </c>
      <c r="C515" s="159" t="str">
        <f>IFERROR(__xludf.DUMMYFUNCTION("""COMPUTED_VALUE"""),"10.1108--LODJ-08-2012-0097.pdf")</f>
        <v>10.1108--LODJ-08-2012-0097.pdf</v>
      </c>
      <c r="D515" s="159" t="str">
        <f>IFERROR(__xludf.DUMMYFUNCTION("""COMPUTED_VALUE"""),"application/pdf")</f>
        <v>application/pdf</v>
      </c>
    </row>
    <row r="516">
      <c r="A516" s="159" t="str">
        <f>IFERROR(__xludf.DUMMYFUNCTION("""COMPUTED_VALUE"""),"10.1348/0963179041752691")</f>
        <v>10.1348/0963179041752691</v>
      </c>
      <c r="B516" s="680" t="str">
        <f>IFERROR(__xludf.DUMMYFUNCTION("""COMPUTED_VALUE"""),"https://drive.google.com/file/d/1LTsn9mOcJwq9UJlCnngwgrmXQJ2qTkCy/view?usp=drivesdk")</f>
        <v>https://drive.google.com/file/d/1LTsn9mOcJwq9UJlCnngwgrmXQJ2qTkCy/view?usp=drivesdk</v>
      </c>
      <c r="C516" s="159" t="str">
        <f>IFERROR(__xludf.DUMMYFUNCTION("""COMPUTED_VALUE"""),"10.1348--0963179041752691.pdf")</f>
        <v>10.1348--0963179041752691.pdf</v>
      </c>
      <c r="D516" s="159" t="str">
        <f>IFERROR(__xludf.DUMMYFUNCTION("""COMPUTED_VALUE"""),"application/pdf")</f>
        <v>application/pdf</v>
      </c>
    </row>
    <row r="517">
      <c r="A517" s="159" t="str">
        <f>IFERROR(__xludf.DUMMYFUNCTION("""COMPUTED_VALUE"""),"10.1177/001872679004300806")</f>
        <v>10.1177/001872679004300806</v>
      </c>
      <c r="B517" s="680" t="str">
        <f>IFERROR(__xludf.DUMMYFUNCTION("""COMPUTED_VALUE"""),"https://drive.google.com/file/d/1iOArfd24jMuY_j52dasZjZYJSXGlA86T/view?usp=drivesdk")</f>
        <v>https://drive.google.com/file/d/1iOArfd24jMuY_j52dasZjZYJSXGlA86T/view?usp=drivesdk</v>
      </c>
      <c r="C517" s="159" t="str">
        <f>IFERROR(__xludf.DUMMYFUNCTION("""COMPUTED_VALUE"""),"10.1177--001872679004300806.pdf")</f>
        <v>10.1177--001872679004300806.pdf</v>
      </c>
      <c r="D517" s="159" t="str">
        <f>IFERROR(__xludf.DUMMYFUNCTION("""COMPUTED_VALUE"""),"application/pdf")</f>
        <v>application/pdf</v>
      </c>
    </row>
    <row r="518">
      <c r="A518" s="159" t="str">
        <f>IFERROR(__xludf.DUMMYFUNCTION("""COMPUTED_VALUE"""),"10.1348/096317905x55271")</f>
        <v>10.1348/096317905x55271</v>
      </c>
      <c r="B518" s="680" t="str">
        <f>IFERROR(__xludf.DUMMYFUNCTION("""COMPUTED_VALUE"""),"https://drive.google.com/file/d/1eP-M3h6_zyo74P4oZEhe0Pekzs-jOTaD/view?usp=drivesdk")</f>
        <v>https://drive.google.com/file/d/1eP-M3h6_zyo74P4oZEhe0Pekzs-jOTaD/view?usp=drivesdk</v>
      </c>
      <c r="C518" s="159" t="str">
        <f>IFERROR(__xludf.DUMMYFUNCTION("""COMPUTED_VALUE"""),"10.1348--096317905X55271.pdf")</f>
        <v>10.1348--096317905X55271.pdf</v>
      </c>
      <c r="D518" s="159" t="str">
        <f>IFERROR(__xludf.DUMMYFUNCTION("""COMPUTED_VALUE"""),"application/pdf")</f>
        <v>application/pdf</v>
      </c>
    </row>
    <row r="519">
      <c r="A519" s="159" t="str">
        <f>IFERROR(__xludf.DUMMYFUNCTION("""COMPUTED_VALUE"""),"10.2307/256206")</f>
        <v>10.2307/256206</v>
      </c>
      <c r="B519" s="680" t="str">
        <f>IFERROR(__xludf.DUMMYFUNCTION("""COMPUTED_VALUE"""),"https://drive.google.com/file/d/1fI6e235X1MrHdE453S_n5OyxOGIe0pC7/view?usp=drivesdk")</f>
        <v>https://drive.google.com/file/d/1fI6e235X1MrHdE453S_n5OyxOGIe0pC7/view?usp=drivesdk</v>
      </c>
      <c r="C519" s="159" t="str">
        <f>IFERROR(__xludf.DUMMYFUNCTION("""COMPUTED_VALUE"""),"10.2307--256206.pdf")</f>
        <v>10.2307--256206.pdf</v>
      </c>
      <c r="D519" s="159" t="str">
        <f>IFERROR(__xludf.DUMMYFUNCTION("""COMPUTED_VALUE"""),"application/pdf")</f>
        <v>application/pdf</v>
      </c>
    </row>
    <row r="520">
      <c r="A520" s="159" t="str">
        <f>IFERROR(__xludf.DUMMYFUNCTION("""COMPUTED_VALUE"""),"10.1037/a0034376")</f>
        <v>10.1037/a0034376</v>
      </c>
      <c r="B520" s="680" t="str">
        <f>IFERROR(__xludf.DUMMYFUNCTION("""COMPUTED_VALUE"""),"https://drive.google.com/file/d/1slyzIANWOU2lMl4r2vJg06ZJ4rYtveRp/view?usp=drivesdk")</f>
        <v>https://drive.google.com/file/d/1slyzIANWOU2lMl4r2vJg06ZJ4rYtveRp/view?usp=drivesdk</v>
      </c>
      <c r="C520" s="159" t="str">
        <f>IFERROR(__xludf.DUMMYFUNCTION("""COMPUTED_VALUE"""),"10.1037--a0034376.pdf")</f>
        <v>10.1037--a0034376.pdf</v>
      </c>
      <c r="D520" s="159" t="str">
        <f>IFERROR(__xludf.DUMMYFUNCTION("""COMPUTED_VALUE"""),"application/pdf")</f>
        <v>application/pdf</v>
      </c>
    </row>
    <row r="521">
      <c r="A521" s="159" t="str">
        <f>IFERROR(__xludf.DUMMYFUNCTION("""COMPUTED_VALUE"""),"10.1177/1094428112470847")</f>
        <v>10.1177/1094428112470847</v>
      </c>
      <c r="B521" s="680" t="str">
        <f>IFERROR(__xludf.DUMMYFUNCTION("""COMPUTED_VALUE"""),"https://drive.google.com/file/d/18wJfMB-nV9D257bRuTcXr-nnlem7sCQF/view?usp=drivesdk")</f>
        <v>https://drive.google.com/file/d/18wJfMB-nV9D257bRuTcXr-nnlem7sCQF/view?usp=drivesdk</v>
      </c>
      <c r="C521" s="159" t="str">
        <f>IFERROR(__xludf.DUMMYFUNCTION("""COMPUTED_VALUE"""),"10.1177--1094428112470847.pdf")</f>
        <v>10.1177--1094428112470847.pdf</v>
      </c>
      <c r="D521" s="159" t="str">
        <f>IFERROR(__xludf.DUMMYFUNCTION("""COMPUTED_VALUE"""),"application/pdf")</f>
        <v>application/pdf</v>
      </c>
    </row>
    <row r="522">
      <c r="A522" s="159" t="str">
        <f>IFERROR(__xludf.DUMMYFUNCTION("""COMPUTED_VALUE"""),"10.1177/001872679404700302")</f>
        <v>10.1177/001872679404700302</v>
      </c>
      <c r="B522" s="680" t="str">
        <f>IFERROR(__xludf.DUMMYFUNCTION("""COMPUTED_VALUE"""),"https://drive.google.com/file/d/1OwZhS2fmqyYYe-YhCkxVALPGlvTcbg5D/view?usp=drivesdk")</f>
        <v>https://drive.google.com/file/d/1OwZhS2fmqyYYe-YhCkxVALPGlvTcbg5D/view?usp=drivesdk</v>
      </c>
      <c r="C522" s="159" t="str">
        <f>IFERROR(__xludf.DUMMYFUNCTION("""COMPUTED_VALUE"""),"10.1177--001872679404700302.pdf")</f>
        <v>10.1177--001872679404700302.pdf</v>
      </c>
      <c r="D522" s="159" t="str">
        <f>IFERROR(__xludf.DUMMYFUNCTION("""COMPUTED_VALUE"""),"application/pdf")</f>
        <v>application/pdf</v>
      </c>
    </row>
    <row r="523">
      <c r="A523" s="680" t="str">
        <f>IFERROR(__xludf.DUMMYFUNCTION("""COMPUTED_VALUE"""),"10.1108/02683941211199545")</f>
        <v>10.1108/02683941211199545</v>
      </c>
      <c r="B523" s="680" t="str">
        <f>IFERROR(__xludf.DUMMYFUNCTION("""COMPUTED_VALUE"""),"https://drive.google.com/file/d/10g95i5zYVr4kpjtg6Swyx9SzRRGKLhF3/view?usp=drivesdk")</f>
        <v>https://drive.google.com/file/d/10g95i5zYVr4kpjtg6Swyx9SzRRGKLhF3/view?usp=drivesdk</v>
      </c>
      <c r="C523" s="159" t="str">
        <f>IFERROR(__xludf.DUMMYFUNCTION("""COMPUTED_VALUE"""),"10.1108--02683941211199545.pdf")</f>
        <v>10.1108--02683941211199545.pdf</v>
      </c>
      <c r="D523" s="159" t="str">
        <f>IFERROR(__xludf.DUMMYFUNCTION("""COMPUTED_VALUE"""),"application/pdf")</f>
        <v>application/pdf</v>
      </c>
    </row>
    <row r="524">
      <c r="A524" s="680" t="str">
        <f>IFERROR(__xludf.DUMMYFUNCTION("""COMPUTED_VALUE"""),"10.1177/1742715018807042")</f>
        <v>10.1177/1742715018807042</v>
      </c>
      <c r="B524" s="680" t="str">
        <f>IFERROR(__xludf.DUMMYFUNCTION("""COMPUTED_VALUE"""),"https://drive.google.com/file/d/1wyG44SWGaM29EN9VtmyTx0MPhfE3nuk9/view?usp=drivesdk")</f>
        <v>https://drive.google.com/file/d/1wyG44SWGaM29EN9VtmyTx0MPhfE3nuk9/view?usp=drivesdk</v>
      </c>
      <c r="C524" s="159" t="str">
        <f>IFERROR(__xludf.DUMMYFUNCTION("""COMPUTED_VALUE"""),"10.1177--1742715018807042.pdf")</f>
        <v>10.1177--1742715018807042.pdf</v>
      </c>
      <c r="D524" s="159" t="str">
        <f>IFERROR(__xludf.DUMMYFUNCTION("""COMPUTED_VALUE"""),"application/pdf")</f>
        <v>application/pdf</v>
      </c>
    </row>
    <row r="525">
      <c r="A525" s="680" t="str">
        <f>IFERROR(__xludf.DUMMYFUNCTION("""COMPUTED_VALUE"""),"10.1037/0021-9010.79.2.260")</f>
        <v>10.1037/0021-9010.79.2.260</v>
      </c>
      <c r="B525" s="680" t="str">
        <f>IFERROR(__xludf.DUMMYFUNCTION("""COMPUTED_VALUE"""),"https://drive.google.com/file/d/1A2IBAnIa5QedmGrWZzWEWoKhNdX0jk22/view?usp=drivesdk")</f>
        <v>https://drive.google.com/file/d/1A2IBAnIa5QedmGrWZzWEWoKhNdX0jk22/view?usp=drivesdk</v>
      </c>
      <c r="C525" s="159" t="str">
        <f>IFERROR(__xludf.DUMMYFUNCTION("""COMPUTED_VALUE"""),"10.1037--0021-9010.79.2.260.pdf")</f>
        <v>10.1037--0021-9010.79.2.260.pdf</v>
      </c>
      <c r="D525" s="159" t="str">
        <f>IFERROR(__xludf.DUMMYFUNCTION("""COMPUTED_VALUE"""),"application/pdf")</f>
        <v>application/pdf</v>
      </c>
    </row>
    <row r="526">
      <c r="A526" s="159" t="str">
        <f>IFERROR(__xludf.DUMMYFUNCTION("""COMPUTED_VALUE"""),"10.1006/obhd.2000.2903")</f>
        <v>10.1006/obhd.2000.2903</v>
      </c>
      <c r="B526" s="680" t="str">
        <f>IFERROR(__xludf.DUMMYFUNCTION("""COMPUTED_VALUE"""),"https://drive.google.com/file/d/1PDKERSaijFk0sW1VC1p_BF25zrFUsBWF/view?usp=drivesdk")</f>
        <v>https://drive.google.com/file/d/1PDKERSaijFk0sW1VC1p_BF25zrFUsBWF/view?usp=drivesdk</v>
      </c>
      <c r="C526" s="159" t="str">
        <f>IFERROR(__xludf.DUMMYFUNCTION("""COMPUTED_VALUE"""),"10.1006--obhd.2000.2903.pdf")</f>
        <v>10.1006--obhd.2000.2903.pdf</v>
      </c>
      <c r="D526" s="159" t="str">
        <f>IFERROR(__xludf.DUMMYFUNCTION("""COMPUTED_VALUE"""),"application/pdf")</f>
        <v>application/pdf</v>
      </c>
    </row>
    <row r="527">
      <c r="A527" s="159" t="str">
        <f>IFERROR(__xludf.DUMMYFUNCTION("""COMPUTED_VALUE"""),"10.1111/j.2044-8325.1994.tb00549.x")</f>
        <v>10.1111/j.2044-8325.1994.tb00549.x</v>
      </c>
      <c r="B527" s="680" t="str">
        <f>IFERROR(__xludf.DUMMYFUNCTION("""COMPUTED_VALUE"""),"https://drive.google.com/file/d/1ctYTXs6Tw9u4JAPLAampTUTytHBWIcQE/view?usp=drivesdk")</f>
        <v>https://drive.google.com/file/d/1ctYTXs6Tw9u4JAPLAampTUTytHBWIcQE/view?usp=drivesdk</v>
      </c>
      <c r="C527" s="159" t="str">
        <f>IFERROR(__xludf.DUMMYFUNCTION("""COMPUTED_VALUE"""),"10.1111--j.2044-8325.1994.tb00549.x.pdf")</f>
        <v>10.1111--j.2044-8325.1994.tb00549.x.pdf</v>
      </c>
      <c r="D527" s="159" t="str">
        <f>IFERROR(__xludf.DUMMYFUNCTION("""COMPUTED_VALUE"""),"application/pdf")</f>
        <v>application/pdf</v>
      </c>
    </row>
    <row r="528">
      <c r="A528" s="680" t="str">
        <f>IFERROR(__xludf.DUMMYFUNCTION("""COMPUTED_VALUE"""),"10.1348/096317908x360684")</f>
        <v>10.1348/096317908x360684</v>
      </c>
      <c r="B528" s="680" t="str">
        <f>IFERROR(__xludf.DUMMYFUNCTION("""COMPUTED_VALUE"""),"https://drive.google.com/file/d/1hIHtLmoN85-zIunFoLkucLiUMrcrZ4kO/view?usp=drivesdk")</f>
        <v>https://drive.google.com/file/d/1hIHtLmoN85-zIunFoLkucLiUMrcrZ4kO/view?usp=drivesdk</v>
      </c>
      <c r="C528" s="159" t="str">
        <f>IFERROR(__xludf.DUMMYFUNCTION("""COMPUTED_VALUE"""),"10.1348--096317908X360684.pdf")</f>
        <v>10.1348--096317908X360684.pdf</v>
      </c>
      <c r="D528" s="159" t="str">
        <f>IFERROR(__xludf.DUMMYFUNCTION("""COMPUTED_VALUE"""),"application/pdf")</f>
        <v>application/pdf</v>
      </c>
    </row>
    <row r="529">
      <c r="A529" s="159" t="str">
        <f>IFERROR(__xludf.DUMMYFUNCTION("""COMPUTED_VALUE"""),"10.1111/ijsa.12265")</f>
        <v>10.1111/ijsa.12265</v>
      </c>
      <c r="B529" s="680" t="str">
        <f>IFERROR(__xludf.DUMMYFUNCTION("""COMPUTED_VALUE"""),"https://drive.google.com/file/d/1casmF63d6UCd8ePLuQsDUJR03xbf_vj-/view?usp=drivesdk")</f>
        <v>https://drive.google.com/file/d/1casmF63d6UCd8ePLuQsDUJR03xbf_vj-/view?usp=drivesdk</v>
      </c>
      <c r="C529" s="159" t="str">
        <f>IFERROR(__xludf.DUMMYFUNCTION("""COMPUTED_VALUE"""),"10.1111--ijsa.12265.pdf")</f>
        <v>10.1111--ijsa.12265.pdf</v>
      </c>
      <c r="D529" s="159" t="str">
        <f>IFERROR(__xludf.DUMMYFUNCTION("""COMPUTED_VALUE"""),"application/pdf")</f>
        <v>application/pdf</v>
      </c>
    </row>
    <row r="530">
      <c r="A530" s="159" t="str">
        <f>IFERROR(__xludf.DUMMYFUNCTION("""COMPUTED_VALUE"""),"10.1177/0149206307302551")</f>
        <v>10.1177/0149206307302551</v>
      </c>
      <c r="B530" s="680" t="str">
        <f>IFERROR(__xludf.DUMMYFUNCTION("""COMPUTED_VALUE"""),"https://drive.google.com/file/d/10zjtQMXw_mVBTcksrWYO3-WHZDh5PhtU/view?usp=drivesdk")</f>
        <v>https://drive.google.com/file/d/10zjtQMXw_mVBTcksrWYO3-WHZDh5PhtU/view?usp=drivesdk</v>
      </c>
      <c r="C530" s="159" t="str">
        <f>IFERROR(__xludf.DUMMYFUNCTION("""COMPUTED_VALUE"""),"10.1177--0149206307302551.pdf")</f>
        <v>10.1177--0149206307302551.pdf</v>
      </c>
      <c r="D530" s="159" t="str">
        <f>IFERROR(__xludf.DUMMYFUNCTION("""COMPUTED_VALUE"""),"application/pdf")</f>
        <v>application/pdf</v>
      </c>
    </row>
    <row r="531">
      <c r="A531" s="159" t="str">
        <f>IFERROR(__xludf.DUMMYFUNCTION("""COMPUTED_VALUE"""),"10.1177/0149206309345019")</f>
        <v>10.1177/0149206309345019</v>
      </c>
      <c r="B531" s="680" t="str">
        <f>IFERROR(__xludf.DUMMYFUNCTION("""COMPUTED_VALUE"""),"https://drive.google.com/file/d/1INrYgOm8wfcMzqBNbAQZt3Ri3ZSuSpJ1/view?usp=drivesdk")</f>
        <v>https://drive.google.com/file/d/1INrYgOm8wfcMzqBNbAQZt3Ri3ZSuSpJ1/view?usp=drivesdk</v>
      </c>
      <c r="C531" s="159" t="str">
        <f>IFERROR(__xludf.DUMMYFUNCTION("""COMPUTED_VALUE"""),"10.1177--0149206309345019.pdf")</f>
        <v>10.1177--0149206309345019.pdf</v>
      </c>
      <c r="D531" s="159" t="str">
        <f>IFERROR(__xludf.DUMMYFUNCTION("""COMPUTED_VALUE"""),"application/pdf")</f>
        <v>application/pdf</v>
      </c>
    </row>
    <row r="532">
      <c r="A532" s="680" t="str">
        <f>IFERROR(__xludf.DUMMYFUNCTION("""COMPUTED_VALUE"""),"10.1177/1046496491221004")</f>
        <v>10.1177/1046496491221004</v>
      </c>
      <c r="B532" s="680" t="str">
        <f>IFERROR(__xludf.DUMMYFUNCTION("""COMPUTED_VALUE"""),"https://drive.google.com/file/d/1_8LuLjeXmn9z8_he_OHlfUHjZJ7pyxJk/view?usp=drivesdk")</f>
        <v>https://drive.google.com/file/d/1_8LuLjeXmn9z8_he_OHlfUHjZJ7pyxJk/view?usp=drivesdk</v>
      </c>
      <c r="C532" s="159" t="str">
        <f>IFERROR(__xludf.DUMMYFUNCTION("""COMPUTED_VALUE"""),"10.1177--1046496491221004.pdf")</f>
        <v>10.1177--1046496491221004.pdf</v>
      </c>
      <c r="D532" s="159" t="str">
        <f>IFERROR(__xludf.DUMMYFUNCTION("""COMPUTED_VALUE"""),"application/pdf")</f>
        <v>application/pdf</v>
      </c>
    </row>
    <row r="533">
      <c r="A533" s="680" t="str">
        <f>IFERROR(__xludf.DUMMYFUNCTION("""COMPUTED_VALUE"""),"10.1037/0021-9010.85.2.219")</f>
        <v>10.1037/0021-9010.85.2.219</v>
      </c>
      <c r="B533" s="680" t="str">
        <f>IFERROR(__xludf.DUMMYFUNCTION("""COMPUTED_VALUE"""),"https://drive.google.com/file/d/1rFt4mm_xpIAlONL-Q0W7ajrXVkxbYYyz/view?usp=drivesdk")</f>
        <v>https://drive.google.com/file/d/1rFt4mm_xpIAlONL-Q0W7ajrXVkxbYYyz/view?usp=drivesdk</v>
      </c>
      <c r="C533" s="159" t="str">
        <f>IFERROR(__xludf.DUMMYFUNCTION("""COMPUTED_VALUE"""),"10.1037--0021-9010.85.2.219.pdf")</f>
        <v>10.1037--0021-9010.85.2.219.pdf</v>
      </c>
      <c r="D533" s="159" t="str">
        <f>IFERROR(__xludf.DUMMYFUNCTION("""COMPUTED_VALUE"""),"application/pdf")</f>
        <v>application/pdf</v>
      </c>
    </row>
    <row r="534">
      <c r="A534" s="159" t="str">
        <f>IFERROR(__xludf.DUMMYFUNCTION("""COMPUTED_VALUE"""),"10.1177/014920639702300403")</f>
        <v>10.1177/014920639702300403</v>
      </c>
      <c r="B534" s="680" t="str">
        <f>IFERROR(__xludf.DUMMYFUNCTION("""COMPUTED_VALUE"""),"https://drive.google.com/file/d/1-s9bMvlhmlKFsiRLDFI3bl4L2X7mIKeh/view?usp=drivesdk")</f>
        <v>https://drive.google.com/file/d/1-s9bMvlhmlKFsiRLDFI3bl4L2X7mIKeh/view?usp=drivesdk</v>
      </c>
      <c r="C534" s="159" t="str">
        <f>IFERROR(__xludf.DUMMYFUNCTION("""COMPUTED_VALUE"""),"10.1177--014920639702300403.pdf")</f>
        <v>10.1177--014920639702300403.pdf</v>
      </c>
      <c r="D534" s="159" t="str">
        <f>IFERROR(__xludf.DUMMYFUNCTION("""COMPUTED_VALUE"""),"application/pdf")</f>
        <v>application/pdf</v>
      </c>
    </row>
    <row r="535">
      <c r="A535" s="159" t="str">
        <f>IFERROR(__xludf.DUMMYFUNCTION("""COMPUTED_VALUE"""),"10.1006/obhd.1999.2834")</f>
        <v>10.1006/obhd.1999.2834</v>
      </c>
      <c r="B535" s="680" t="str">
        <f>IFERROR(__xludf.DUMMYFUNCTION("""COMPUTED_VALUE"""),"https://drive.google.com/file/d/1JwbbTtqp1CeQGjjwKLHnx5YCvp0y-b2Y/view?usp=drivesdk")</f>
        <v>https://drive.google.com/file/d/1JwbbTtqp1CeQGjjwKLHnx5YCvp0y-b2Y/view?usp=drivesdk</v>
      </c>
      <c r="C535" s="159" t="str">
        <f>IFERROR(__xludf.DUMMYFUNCTION("""COMPUTED_VALUE"""),"10.1006--obhd.1999.2834.pdf")</f>
        <v>10.1006--obhd.1999.2834.pdf</v>
      </c>
      <c r="D535" s="159" t="str">
        <f>IFERROR(__xludf.DUMMYFUNCTION("""COMPUTED_VALUE"""),"application/pdf")</f>
        <v>application/pdf</v>
      </c>
    </row>
    <row r="536">
      <c r="A536" s="159" t="str">
        <f>IFERROR(__xludf.DUMMYFUNCTION("""COMPUTED_VALUE"""),"10.1111/j.0965-075x.2005.00297.x")</f>
        <v>10.1111/j.0965-075x.2005.00297.x</v>
      </c>
      <c r="B536" s="680" t="str">
        <f>IFERROR(__xludf.DUMMYFUNCTION("""COMPUTED_VALUE"""),"https://drive.google.com/file/d/1_-oK1kgN0rqGzgqKOEopXZA_aycerClh/view?usp=drivesdk")</f>
        <v>https://drive.google.com/file/d/1_-oK1kgN0rqGzgqKOEopXZA_aycerClh/view?usp=drivesdk</v>
      </c>
      <c r="C536" s="159" t="str">
        <f>IFERROR(__xludf.DUMMYFUNCTION("""COMPUTED_VALUE"""),"10.1111--j.0965-075X.2005.00297.x.pdf")</f>
        <v>10.1111--j.0965-075X.2005.00297.x.pdf</v>
      </c>
      <c r="D536" s="159" t="str">
        <f>IFERROR(__xludf.DUMMYFUNCTION("""COMPUTED_VALUE"""),"application/pdf")</f>
        <v>application/pdf</v>
      </c>
    </row>
    <row r="537">
      <c r="A537" s="159" t="str">
        <f>IFERROR(__xludf.DUMMYFUNCTION("""COMPUTED_VALUE"""),"10.1006/obhd.1999.2822")</f>
        <v>10.1006/obhd.1999.2822</v>
      </c>
      <c r="B537" s="680" t="str">
        <f>IFERROR(__xludf.DUMMYFUNCTION("""COMPUTED_VALUE"""),"https://drive.google.com/file/d/1rgxOiziQddWT9NZ68KsqMwaKsYAxGwY5/view?usp=drivesdk")</f>
        <v>https://drive.google.com/file/d/1rgxOiziQddWT9NZ68KsqMwaKsYAxGwY5/view?usp=drivesdk</v>
      </c>
      <c r="C537" s="159" t="str">
        <f>IFERROR(__xludf.DUMMYFUNCTION("""COMPUTED_VALUE"""),"10.1006--obhd.1999.2822.pdf")</f>
        <v>10.1006--obhd.1999.2822.pdf</v>
      </c>
      <c r="D537" s="159" t="str">
        <f>IFERROR(__xludf.DUMMYFUNCTION("""COMPUTED_VALUE"""),"application/pdf")</f>
        <v>application/pdf</v>
      </c>
    </row>
    <row r="538">
      <c r="A538" s="159" t="str">
        <f>IFERROR(__xludf.DUMMYFUNCTION("""COMPUTED_VALUE"""),"10.1037/0021-9010.70.4.777")</f>
        <v>10.1037/0021-9010.70.4.777</v>
      </c>
      <c r="B538" s="680" t="str">
        <f>IFERROR(__xludf.DUMMYFUNCTION("""COMPUTED_VALUE"""),"https://drive.google.com/file/d/1pIIG0ZQBb46cqDdsTz5tB3FytjK5h1Hi/view?usp=drivesdk")</f>
        <v>https://drive.google.com/file/d/1pIIG0ZQBb46cqDdsTz5tB3FytjK5h1Hi/view?usp=drivesdk</v>
      </c>
      <c r="C538" s="159" t="str">
        <f>IFERROR(__xludf.DUMMYFUNCTION("""COMPUTED_VALUE"""),"10.1037--0021-9010.70.4.777.pdf")</f>
        <v>10.1037--0021-9010.70.4.777.pdf</v>
      </c>
      <c r="D538" s="159" t="str">
        <f>IFERROR(__xludf.DUMMYFUNCTION("""COMPUTED_VALUE"""),"application/pdf")</f>
        <v>application/pdf</v>
      </c>
    </row>
    <row r="539">
      <c r="A539" s="159" t="str">
        <f>IFERROR(__xludf.DUMMYFUNCTION("""COMPUTED_VALUE"""),"10.1016/j.obhdp.2006.04.001")</f>
        <v>10.1016/j.obhdp.2006.04.001</v>
      </c>
      <c r="B539" s="680" t="str">
        <f>IFERROR(__xludf.DUMMYFUNCTION("""COMPUTED_VALUE"""),"https://drive.google.com/file/d/1kRAZv8AQgJWtv6psSuoq4TlL6AlstG91/view?usp=drivesdk")</f>
        <v>https://drive.google.com/file/d/1kRAZv8AQgJWtv6psSuoq4TlL6AlstG91/view?usp=drivesdk</v>
      </c>
      <c r="C539" s="159" t="str">
        <f>IFERROR(__xludf.DUMMYFUNCTION("""COMPUTED_VALUE"""),"10.1016--j.obhdp.2006.04.001.pdf")</f>
        <v>10.1016--j.obhdp.2006.04.001.pdf</v>
      </c>
      <c r="D539" s="159" t="str">
        <f>IFERROR(__xludf.DUMMYFUNCTION("""COMPUTED_VALUE"""),"application/pdf")</f>
        <v>application/pdf</v>
      </c>
    </row>
    <row r="540">
      <c r="A540" s="159" t="str">
        <f>IFERROR(__xludf.DUMMYFUNCTION("""COMPUTED_VALUE"""),"10.1006/obhd.2000.2890")</f>
        <v>10.1006/obhd.2000.2890</v>
      </c>
      <c r="B540" s="680" t="str">
        <f>IFERROR(__xludf.DUMMYFUNCTION("""COMPUTED_VALUE"""),"https://drive.google.com/file/d/12Grha0IblEDRDsru1sBT-e5WAtsgYAtY/view?usp=drivesdk")</f>
        <v>https://drive.google.com/file/d/12Grha0IblEDRDsru1sBT-e5WAtsgYAtY/view?usp=drivesdk</v>
      </c>
      <c r="C540" s="159" t="str">
        <f>IFERROR(__xludf.DUMMYFUNCTION("""COMPUTED_VALUE"""),"10.1006--obhd.2000.2890.pdf")</f>
        <v>10.1006--obhd.2000.2890.pdf</v>
      </c>
      <c r="D540" s="159" t="str">
        <f>IFERROR(__xludf.DUMMYFUNCTION("""COMPUTED_VALUE"""),"application/pdf")</f>
        <v>application/pdf</v>
      </c>
    </row>
    <row r="541">
      <c r="A541" s="159" t="str">
        <f>IFERROR(__xludf.DUMMYFUNCTION("""COMPUTED_VALUE"""),"10.1111/j.1744-6570.1996.tb01806.x")</f>
        <v>10.1111/j.1744-6570.1996.tb01806.x</v>
      </c>
      <c r="B541" s="680" t="str">
        <f>IFERROR(__xludf.DUMMYFUNCTION("""COMPUTED_VALUE"""),"https://drive.google.com/file/d/1JiCpM3GBMboleEO7mO1cyDcLD7k6QP8D/view?usp=drivesdk")</f>
        <v>https://drive.google.com/file/d/1JiCpM3GBMboleEO7mO1cyDcLD7k6QP8D/view?usp=drivesdk</v>
      </c>
      <c r="C541" s="159" t="str">
        <f>IFERROR(__xludf.DUMMYFUNCTION("""COMPUTED_VALUE"""),"10.1111--j.1744-6570.1996.tb01806.x.pdf")</f>
        <v>10.1111--j.1744-6570.1996.tb01806.x.pdf</v>
      </c>
      <c r="D541" s="159" t="str">
        <f>IFERROR(__xludf.DUMMYFUNCTION("""COMPUTED_VALUE"""),"application/pdf")</f>
        <v>application/pdf</v>
      </c>
    </row>
    <row r="542">
      <c r="A542" s="159" t="str">
        <f>IFERROR(__xludf.DUMMYFUNCTION("""COMPUTED_VALUE"""),"10.1016/s1048-9843(03)00008-0")</f>
        <v>10.1016/s1048-9843(03)00008-0</v>
      </c>
      <c r="B542" s="680" t="str">
        <f>IFERROR(__xludf.DUMMYFUNCTION("""COMPUTED_VALUE"""),"https://drive.google.com/file/d/1-_nqeFaAjH1Om4M9pTrpOXbibw2HMm81/view?usp=drivesdk")</f>
        <v>https://drive.google.com/file/d/1-_nqeFaAjH1Om4M9pTrpOXbibw2HMm81/view?usp=drivesdk</v>
      </c>
      <c r="C542" s="159" t="str">
        <f>IFERROR(__xludf.DUMMYFUNCTION("""COMPUTED_VALUE"""),"10.1016--S1048-9843(03)00008-0.pdf")</f>
        <v>10.1016--S1048-9843(03)00008-0.pdf</v>
      </c>
      <c r="D542" s="159" t="str">
        <f>IFERROR(__xludf.DUMMYFUNCTION("""COMPUTED_VALUE"""),"application/pdf")</f>
        <v>application/pdf</v>
      </c>
    </row>
    <row r="543">
      <c r="A543" s="159" t="str">
        <f>IFERROR(__xludf.DUMMYFUNCTION("""COMPUTED_VALUE"""),"10.1177/001872679604900404")</f>
        <v>10.1177/001872679604900404</v>
      </c>
      <c r="B543" s="680" t="str">
        <f>IFERROR(__xludf.DUMMYFUNCTION("""COMPUTED_VALUE"""),"https://drive.google.com/file/d/1V7UFaNoVrI2M_g0YAfROloNHMwkg59IN/view?usp=drivesdk")</f>
        <v>https://drive.google.com/file/d/1V7UFaNoVrI2M_g0YAfROloNHMwkg59IN/view?usp=drivesdk</v>
      </c>
      <c r="C543" s="159" t="str">
        <f>IFERROR(__xludf.DUMMYFUNCTION("""COMPUTED_VALUE"""),"10.1177--001872679604900404.pdf")</f>
        <v>10.1177--001872679604900404.pdf</v>
      </c>
      <c r="D543" s="159" t="str">
        <f>IFERROR(__xludf.DUMMYFUNCTION("""COMPUTED_VALUE"""),"application/pdf")</f>
        <v>application/pdf</v>
      </c>
    </row>
    <row r="544">
      <c r="A544" s="159" t="str">
        <f>IFERROR(__xludf.DUMMYFUNCTION("""COMPUTED_VALUE"""),"10.2307/255600")</f>
        <v>10.2307/255600</v>
      </c>
      <c r="B544" s="680" t="str">
        <f>IFERROR(__xludf.DUMMYFUNCTION("""COMPUTED_VALUE"""),"https://drive.google.com/file/d/1Ma4Ik60HmA5Wd8aZgjVgbueJGW8edvaX/view?usp=drivesdk")</f>
        <v>https://drive.google.com/file/d/1Ma4Ik60HmA5Wd8aZgjVgbueJGW8edvaX/view?usp=drivesdk</v>
      </c>
      <c r="C544" s="159" t="str">
        <f>IFERROR(__xludf.DUMMYFUNCTION("""COMPUTED_VALUE"""),"10.2307--255600.pdf")</f>
        <v>10.2307--255600.pdf</v>
      </c>
      <c r="D544" s="159" t="str">
        <f>IFERROR(__xludf.DUMMYFUNCTION("""COMPUTED_VALUE"""),"application/pdf")</f>
        <v>application/pdf</v>
      </c>
    </row>
    <row r="545">
      <c r="A545" s="159" t="str">
        <f>IFERROR(__xludf.DUMMYFUNCTION("""COMPUTED_VALUE"""),"10.1016/j.obhdp.2009.02.001")</f>
        <v>10.1016/j.obhdp.2009.02.001</v>
      </c>
      <c r="B545" s="680" t="str">
        <f>IFERROR(__xludf.DUMMYFUNCTION("""COMPUTED_VALUE"""),"https://drive.google.com/file/d/1MLqE41WBXXBhu7YLW0Zv0oPbdd9eeBce/view?usp=drivesdk")</f>
        <v>https://drive.google.com/file/d/1MLqE41WBXXBhu7YLW0Zv0oPbdd9eeBce/view?usp=drivesdk</v>
      </c>
      <c r="C545" s="159" t="str">
        <f>IFERROR(__xludf.DUMMYFUNCTION("""COMPUTED_VALUE"""),"10.1016--j.obhdp.2009.02.001.pdf")</f>
        <v>10.1016--j.obhdp.2009.02.001.pdf</v>
      </c>
      <c r="D545" s="159" t="str">
        <f>IFERROR(__xludf.DUMMYFUNCTION("""COMPUTED_VALUE"""),"application/pdf")</f>
        <v>application/pdf</v>
      </c>
    </row>
    <row r="546">
      <c r="A546" s="159" t="str">
        <f>IFERROR(__xludf.DUMMYFUNCTION("""COMPUTED_VALUE"""),"10.1177/0149206320908630")</f>
        <v>10.1177/0149206320908630</v>
      </c>
      <c r="B546" s="680" t="str">
        <f>IFERROR(__xludf.DUMMYFUNCTION("""COMPUTED_VALUE"""),"https://drive.google.com/file/d/1tO6CTx_0r41JlP8AINGS6eNVMLtJKTue/view?usp=drivesdk")</f>
        <v>https://drive.google.com/file/d/1tO6CTx_0r41JlP8AINGS6eNVMLtJKTue/view?usp=drivesdk</v>
      </c>
      <c r="C546" s="159" t="str">
        <f>IFERROR(__xludf.DUMMYFUNCTION("""COMPUTED_VALUE"""),"10.1177--0149206320908630.pdf")</f>
        <v>10.1177--0149206320908630.pdf</v>
      </c>
      <c r="D546" s="159" t="str">
        <f>IFERROR(__xludf.DUMMYFUNCTION("""COMPUTED_VALUE"""),"application/pdf")</f>
        <v>application/pdf</v>
      </c>
    </row>
    <row r="547">
      <c r="A547" s="159" t="str">
        <f>IFERROR(__xludf.DUMMYFUNCTION("""COMPUTED_VALUE"""),"10.1348/096317999166789")</f>
        <v>10.1348/096317999166789</v>
      </c>
      <c r="B547" s="680" t="str">
        <f>IFERROR(__xludf.DUMMYFUNCTION("""COMPUTED_VALUE"""),"https://drive.google.com/file/d/1dXG8OJ-s5Uzs24mWLcN6FVS3RtfNb9p2/view?usp=drivesdk")</f>
        <v>https://drive.google.com/file/d/1dXG8OJ-s5Uzs24mWLcN6FVS3RtfNb9p2/view?usp=drivesdk</v>
      </c>
      <c r="C547" s="159" t="str">
        <f>IFERROR(__xludf.DUMMYFUNCTION("""COMPUTED_VALUE"""),"10.1348--096317999166789.pdf")</f>
        <v>10.1348--096317999166789.pdf</v>
      </c>
      <c r="D547" s="159" t="str">
        <f>IFERROR(__xludf.DUMMYFUNCTION("""COMPUTED_VALUE"""),"application/pdf")</f>
        <v>application/pdf</v>
      </c>
    </row>
    <row r="548">
      <c r="A548" s="159" t="str">
        <f>IFERROR(__xludf.DUMMYFUNCTION("""COMPUTED_VALUE"""),"10.1111/j.2044-8325.1995.tb00584.x")</f>
        <v>10.1111/j.2044-8325.1995.tb00584.x</v>
      </c>
      <c r="B548" s="680" t="str">
        <f>IFERROR(__xludf.DUMMYFUNCTION("""COMPUTED_VALUE"""),"https://drive.google.com/file/d/1A13UMziu1Wx1cewaRi5PBRW15UovHrui/view?usp=drivesdk")</f>
        <v>https://drive.google.com/file/d/1A13UMziu1Wx1cewaRi5PBRW15UovHrui/view?usp=drivesdk</v>
      </c>
      <c r="C548" s="159" t="str">
        <f>IFERROR(__xludf.DUMMYFUNCTION("""COMPUTED_VALUE"""),"10.1111--j.2044-8325.1995.tb00584.x.pdf")</f>
        <v>10.1111--j.2044-8325.1995.tb00584.x.pdf</v>
      </c>
      <c r="D548" s="159" t="str">
        <f>IFERROR(__xludf.DUMMYFUNCTION("""COMPUTED_VALUE"""),"application/pdf")</f>
        <v>application/pdf</v>
      </c>
    </row>
    <row r="549">
      <c r="A549" s="159" t="str">
        <f>IFERROR(__xludf.DUMMYFUNCTION("""COMPUTED_VALUE"""),"10.1177/109442810144003")</f>
        <v>10.1177/109442810144003</v>
      </c>
      <c r="B549" s="680" t="str">
        <f>IFERROR(__xludf.DUMMYFUNCTION("""COMPUTED_VALUE"""),"https://drive.google.com/file/d/1yEdX6zFFS9G5xecy3Zj5_9wVwftMV2UE/view?usp=drivesdk")</f>
        <v>https://drive.google.com/file/d/1yEdX6zFFS9G5xecy3Zj5_9wVwftMV2UE/view?usp=drivesdk</v>
      </c>
      <c r="C549" s="159" t="str">
        <f>IFERROR(__xludf.DUMMYFUNCTION("""COMPUTED_VALUE"""),"10.1177--109442810144003.pdf")</f>
        <v>10.1177--109442810144003.pdf</v>
      </c>
      <c r="D549" s="159" t="str">
        <f>IFERROR(__xludf.DUMMYFUNCTION("""COMPUTED_VALUE"""),"application/pdf")</f>
        <v>application/pdf</v>
      </c>
    </row>
    <row r="550">
      <c r="A550" s="159" t="str">
        <f>IFERROR(__xludf.DUMMYFUNCTION("""COMPUTED_VALUE"""),"10.1016/0749-5978(91)90034-q")</f>
        <v>10.1016/0749-5978(91)90034-q</v>
      </c>
      <c r="B550" s="680" t="str">
        <f>IFERROR(__xludf.DUMMYFUNCTION("""COMPUTED_VALUE"""),"https://drive.google.com/file/d/1bOhNXQijxEgh4Kj7dhi6wRucTS5G6xbO/view?usp=drivesdk")</f>
        <v>https://drive.google.com/file/d/1bOhNXQijxEgh4Kj7dhi6wRucTS5G6xbO/view?usp=drivesdk</v>
      </c>
      <c r="C550" s="159" t="str">
        <f>IFERROR(__xludf.DUMMYFUNCTION("""COMPUTED_VALUE"""),"10.1016--0749-5978(91)90034-Q.pdf")</f>
        <v>10.1016--0749-5978(91)90034-Q.pdf</v>
      </c>
      <c r="D550" s="159" t="str">
        <f>IFERROR(__xludf.DUMMYFUNCTION("""COMPUTED_VALUE"""),"application/pdf")</f>
        <v>application/pdf</v>
      </c>
    </row>
    <row r="551">
      <c r="A551" s="159" t="str">
        <f>IFERROR(__xludf.DUMMYFUNCTION("""COMPUTED_VALUE"""),"10.2307/257015")</f>
        <v>10.2307/257015</v>
      </c>
      <c r="B551" s="680" t="str">
        <f>IFERROR(__xludf.DUMMYFUNCTION("""COMPUTED_VALUE"""),"https://drive.google.com/file/d/14sTTUHHxEAS5sWrJSedLBys_hOOx7kwl/view?usp=drivesdk")</f>
        <v>https://drive.google.com/file/d/14sTTUHHxEAS5sWrJSedLBys_hOOx7kwl/view?usp=drivesdk</v>
      </c>
      <c r="C551" s="159" t="str">
        <f>IFERROR(__xludf.DUMMYFUNCTION("""COMPUTED_VALUE"""),"10.2307--257015.pdf")</f>
        <v>10.2307--257015.pdf</v>
      </c>
      <c r="D551" s="159" t="str">
        <f>IFERROR(__xludf.DUMMYFUNCTION("""COMPUTED_VALUE"""),"application/pdf")</f>
        <v>application/pdf</v>
      </c>
    </row>
    <row r="552">
      <c r="A552" s="159" t="str">
        <f>IFERROR(__xludf.DUMMYFUNCTION("""COMPUTED_VALUE"""),"10.2307/255423")</f>
        <v>10.2307/255423</v>
      </c>
      <c r="B552" s="680" t="str">
        <f>IFERROR(__xludf.DUMMYFUNCTION("""COMPUTED_VALUE"""),"https://drive.google.com/file/d/19VutC3kb75QkZ31e54mWSOZVCDxwToZf/view?usp=drivesdk")</f>
        <v>https://drive.google.com/file/d/19VutC3kb75QkZ31e54mWSOZVCDxwToZf/view?usp=drivesdk</v>
      </c>
      <c r="C552" s="159" t="str">
        <f>IFERROR(__xludf.DUMMYFUNCTION("""COMPUTED_VALUE"""),"10.2307--255423.pdf")</f>
        <v>10.2307--255423.pdf</v>
      </c>
      <c r="D552" s="159" t="str">
        <f>IFERROR(__xludf.DUMMYFUNCTION("""COMPUTED_VALUE"""),"application/pdf")</f>
        <v>application/pdf</v>
      </c>
    </row>
    <row r="553">
      <c r="A553" s="159" t="str">
        <f>IFERROR(__xludf.DUMMYFUNCTION("""COMPUTED_VALUE"""),"10.1111/j.1744-6570.1978.tb02130.x")</f>
        <v>10.1111/j.1744-6570.1978.tb02130.x</v>
      </c>
      <c r="B553" s="680" t="str">
        <f>IFERROR(__xludf.DUMMYFUNCTION("""COMPUTED_VALUE"""),"https://drive.google.com/file/d/1rRa5Ov_4KH959CW4vVY3vtN9KAqvjbYg/view?usp=drivesdk")</f>
        <v>https://drive.google.com/file/d/1rRa5Ov_4KH959CW4vVY3vtN9KAqvjbYg/view?usp=drivesdk</v>
      </c>
      <c r="C553" s="159" t="str">
        <f>IFERROR(__xludf.DUMMYFUNCTION("""COMPUTED_VALUE"""),"10.1111--j.1744-6570.1978.tb02130.x.pdf")</f>
        <v>10.1111--j.1744-6570.1978.tb02130.x.pdf</v>
      </c>
      <c r="D553" s="159" t="str">
        <f>IFERROR(__xludf.DUMMYFUNCTION("""COMPUTED_VALUE"""),"application/pdf")</f>
        <v>application/pdf</v>
      </c>
    </row>
    <row r="554">
      <c r="A554" s="159" t="str">
        <f>IFERROR(__xludf.DUMMYFUNCTION("""COMPUTED_VALUE"""),"10.1002/job.4030110202")</f>
        <v>10.1002/job.4030110202</v>
      </c>
      <c r="B554" s="680" t="str">
        <f>IFERROR(__xludf.DUMMYFUNCTION("""COMPUTED_VALUE"""),"https://drive.google.com/file/d/1lMYMyTdUxng9kA4vr7ZafvBPZQntsVeE/view?usp=drivesdk")</f>
        <v>https://drive.google.com/file/d/1lMYMyTdUxng9kA4vr7ZafvBPZQntsVeE/view?usp=drivesdk</v>
      </c>
      <c r="C554" s="159" t="str">
        <f>IFERROR(__xludf.DUMMYFUNCTION("""COMPUTED_VALUE"""),"10.1002--job.4030110202.pdf")</f>
        <v>10.1002--job.4030110202.pdf</v>
      </c>
      <c r="D554" s="159" t="str">
        <f>IFERROR(__xludf.DUMMYFUNCTION("""COMPUTED_VALUE"""),"application/pdf")</f>
        <v>application/pdf</v>
      </c>
    </row>
    <row r="555">
      <c r="A555" s="159" t="str">
        <f>IFERROR(__xludf.DUMMYFUNCTION("""COMPUTED_VALUE"""),"10.1006/obhd.1995.1059")</f>
        <v>10.1006/obhd.1995.1059</v>
      </c>
      <c r="B555" s="680" t="str">
        <f>IFERROR(__xludf.DUMMYFUNCTION("""COMPUTED_VALUE"""),"https://drive.google.com/file/d/13kMd5gdnNjeV3i4RLjgrwxu2N97r8sr9/view?usp=drivesdk")</f>
        <v>https://drive.google.com/file/d/13kMd5gdnNjeV3i4RLjgrwxu2N97r8sr9/view?usp=drivesdk</v>
      </c>
      <c r="C555" s="159" t="str">
        <f>IFERROR(__xludf.DUMMYFUNCTION("""COMPUTED_VALUE"""),"10.1006--obhd.1995.1059.pdf")</f>
        <v>10.1006--obhd.1995.1059.pdf</v>
      </c>
      <c r="D555" s="159" t="str">
        <f>IFERROR(__xludf.DUMMYFUNCTION("""COMPUTED_VALUE"""),"application/pdf")</f>
        <v>application/pdf</v>
      </c>
    </row>
    <row r="556">
      <c r="A556" s="159" t="str">
        <f>IFERROR(__xludf.DUMMYFUNCTION("""COMPUTED_VALUE"""),"10.1037/h0076548")</f>
        <v>10.1037/h0076548</v>
      </c>
      <c r="B556" s="680" t="str">
        <f>IFERROR(__xludf.DUMMYFUNCTION("""COMPUTED_VALUE"""),"https://drive.google.com/file/d/1iM0MJgBUo18pVKWRJM13y7ZbOSMAZKhn/view?usp=drivesdk")</f>
        <v>https://drive.google.com/file/d/1iM0MJgBUo18pVKWRJM13y7ZbOSMAZKhn/view?usp=drivesdk</v>
      </c>
      <c r="C556" s="159" t="str">
        <f>IFERROR(__xludf.DUMMYFUNCTION("""COMPUTED_VALUE"""),"10.1037--h0076548.pdf")</f>
        <v>10.1037--h0076548.pdf</v>
      </c>
      <c r="D556" s="159" t="str">
        <f>IFERROR(__xludf.DUMMYFUNCTION("""COMPUTED_VALUE"""),"application/pdf")</f>
        <v>application/pdf</v>
      </c>
    </row>
    <row r="557">
      <c r="A557" s="159" t="str">
        <f>IFERROR(__xludf.DUMMYFUNCTION("""COMPUTED_VALUE"""),"10.1037/0021-9010.74.5.823")</f>
        <v>10.1037/0021-9010.74.5.823</v>
      </c>
      <c r="B557" s="680" t="str">
        <f>IFERROR(__xludf.DUMMYFUNCTION("""COMPUTED_VALUE"""),"https://drive.google.com/file/d/1Rxggnxz-MwIiSQIguFknoJI7JLzCagao/view?usp=drivesdk")</f>
        <v>https://drive.google.com/file/d/1Rxggnxz-MwIiSQIguFknoJI7JLzCagao/view?usp=drivesdk</v>
      </c>
      <c r="C557" s="159" t="str">
        <f>IFERROR(__xludf.DUMMYFUNCTION("""COMPUTED_VALUE"""),"10.1037--0021-9010.74.5.823.pdf")</f>
        <v>10.1037--0021-9010.74.5.823.pdf</v>
      </c>
      <c r="D557" s="159" t="str">
        <f>IFERROR(__xludf.DUMMYFUNCTION("""COMPUTED_VALUE"""),"application/pdf")</f>
        <v>application/pdf</v>
      </c>
    </row>
    <row r="558">
      <c r="A558" s="159" t="str">
        <f>IFERROR(__xludf.DUMMYFUNCTION("""COMPUTED_VALUE"""),"10.1111/j.1744-6570.1993.tb00878.x")</f>
        <v>10.1111/j.1744-6570.1993.tb00878.x</v>
      </c>
      <c r="B558" s="680" t="str">
        <f>IFERROR(__xludf.DUMMYFUNCTION("""COMPUTED_VALUE"""),"https://drive.google.com/file/d/1p1qfqsqSynrvTPerVD4NgQH8Y6mqaXU6/view?usp=drivesdk")</f>
        <v>https://drive.google.com/file/d/1p1qfqsqSynrvTPerVD4NgQH8Y6mqaXU6/view?usp=drivesdk</v>
      </c>
      <c r="C558" s="159" t="str">
        <f>IFERROR(__xludf.DUMMYFUNCTION("""COMPUTED_VALUE"""),"10.1111--j.1744-6570.1993.tb00878.x.pdf")</f>
        <v>10.1111--j.1744-6570.1993.tb00878.x.pdf</v>
      </c>
      <c r="D558" s="159" t="str">
        <f>IFERROR(__xludf.DUMMYFUNCTION("""COMPUTED_VALUE"""),"application/pdf")</f>
        <v>application/pdf</v>
      </c>
    </row>
    <row r="559">
      <c r="A559" s="159" t="str">
        <f>IFERROR(__xludf.DUMMYFUNCTION("""COMPUTED_VALUE"""),"10.1016/j.obhdp.2014.11.003")</f>
        <v>10.1016/j.obhdp.2014.11.003</v>
      </c>
      <c r="B559" s="680" t="str">
        <f>IFERROR(__xludf.DUMMYFUNCTION("""COMPUTED_VALUE"""),"https://drive.google.com/file/d/11N_qm1jefvRJTpRoz1H_fDC9T9Uo_MYM/view?usp=drivesdk")</f>
        <v>https://drive.google.com/file/d/11N_qm1jefvRJTpRoz1H_fDC9T9Uo_MYM/view?usp=drivesdk</v>
      </c>
      <c r="C559" s="159" t="str">
        <f>IFERROR(__xludf.DUMMYFUNCTION("""COMPUTED_VALUE"""),"10.1016--j.obhdp.2014.11.003.pdf")</f>
        <v>10.1016--j.obhdp.2014.11.003.pdf</v>
      </c>
      <c r="D559" s="159" t="str">
        <f>IFERROR(__xludf.DUMMYFUNCTION("""COMPUTED_VALUE"""),"application/pdf")</f>
        <v>application/pdf</v>
      </c>
    </row>
    <row r="560">
      <c r="A560" s="159" t="str">
        <f>IFERROR(__xludf.DUMMYFUNCTION("""COMPUTED_VALUE"""),"10.1037/0021-9010.86.3.451")</f>
        <v>10.1037/0021-9010.86.3.451</v>
      </c>
      <c r="B560" s="680" t="str">
        <f>IFERROR(__xludf.DUMMYFUNCTION("""COMPUTED_VALUE"""),"https://drive.google.com/file/d/1MBbG4NwhRszoEhvA9UqTK9LCJGAbEDxB/view?usp=drivesdk")</f>
        <v>https://drive.google.com/file/d/1MBbG4NwhRszoEhvA9UqTK9LCJGAbEDxB/view?usp=drivesdk</v>
      </c>
      <c r="C560" s="159" t="str">
        <f>IFERROR(__xludf.DUMMYFUNCTION("""COMPUTED_VALUE"""),"10.1037--0021-9010.86.3.451.pdf")</f>
        <v>10.1037--0021-9010.86.3.451.pdf</v>
      </c>
      <c r="D560" s="159" t="str">
        <f>IFERROR(__xludf.DUMMYFUNCTION("""COMPUTED_VALUE"""),"application/pdf")</f>
        <v>application/pdf</v>
      </c>
    </row>
    <row r="561">
      <c r="A561" s="159" t="str">
        <f>IFERROR(__xludf.DUMMYFUNCTION("""COMPUTED_VALUE"""),"10.1111/ncmr.12153")</f>
        <v>10.1111/ncmr.12153</v>
      </c>
      <c r="B561" s="680" t="str">
        <f>IFERROR(__xludf.DUMMYFUNCTION("""COMPUTED_VALUE"""),"https://drive.google.com/file/d/1tYc1ZJj5RRIeL4CGwDnRflS6fcpKfnpZ/view?usp=drivesdk")</f>
        <v>https://drive.google.com/file/d/1tYc1ZJj5RRIeL4CGwDnRflS6fcpKfnpZ/view?usp=drivesdk</v>
      </c>
      <c r="C561" s="159" t="str">
        <f>IFERROR(__xludf.DUMMYFUNCTION("""COMPUTED_VALUE"""),"10.1111--ncmr.12153.pdf")</f>
        <v>10.1111--ncmr.12153.pdf</v>
      </c>
      <c r="D561" s="159" t="str">
        <f>IFERROR(__xludf.DUMMYFUNCTION("""COMPUTED_VALUE"""),"application/pdf")</f>
        <v>application/pdf</v>
      </c>
    </row>
    <row r="562">
      <c r="A562" s="159" t="str">
        <f>IFERROR(__xludf.DUMMYFUNCTION("""COMPUTED_VALUE"""),"10.1111/ijsa.12227")</f>
        <v>10.1111/ijsa.12227</v>
      </c>
      <c r="B562" s="680" t="str">
        <f>IFERROR(__xludf.DUMMYFUNCTION("""COMPUTED_VALUE"""),"https://drive.google.com/file/d/1_KRn5c6ILT1V6OnrHEFHw_R_vd9Ymlbc/view?usp=drivesdk")</f>
        <v>https://drive.google.com/file/d/1_KRn5c6ILT1V6OnrHEFHw_R_vd9Ymlbc/view?usp=drivesdk</v>
      </c>
      <c r="C562" s="159" t="str">
        <f>IFERROR(__xludf.DUMMYFUNCTION("""COMPUTED_VALUE"""),"10.1111--ijsa.12227.pdf")</f>
        <v>10.1111--ijsa.12227.pdf</v>
      </c>
      <c r="D562" s="159" t="str">
        <f>IFERROR(__xludf.DUMMYFUNCTION("""COMPUTED_VALUE"""),"application/pdf")</f>
        <v>application/pdf</v>
      </c>
    </row>
    <row r="563">
      <c r="A563" s="159" t="str">
        <f>IFERROR(__xludf.DUMMYFUNCTION("""COMPUTED_VALUE"""),"10.1006/obhd.2000.2934")</f>
        <v>10.1006/obhd.2000.2934</v>
      </c>
      <c r="B563" s="680" t="str">
        <f>IFERROR(__xludf.DUMMYFUNCTION("""COMPUTED_VALUE"""),"https://drive.google.com/file/d/1w73SBsRo3_tt8THmjDfToeYcZ00h7otm/view?usp=drivesdk")</f>
        <v>https://drive.google.com/file/d/1w73SBsRo3_tt8THmjDfToeYcZ00h7otm/view?usp=drivesdk</v>
      </c>
      <c r="C563" s="159" t="str">
        <f>IFERROR(__xludf.DUMMYFUNCTION("""COMPUTED_VALUE"""),"10.1006--obhd.2000.2934.pdf")</f>
        <v>10.1006--obhd.2000.2934.pdf</v>
      </c>
      <c r="D563" s="159" t="str">
        <f>IFERROR(__xludf.DUMMYFUNCTION("""COMPUTED_VALUE"""),"application/pdf")</f>
        <v>application/pdf</v>
      </c>
    </row>
    <row r="564">
      <c r="A564" s="159" t="str">
        <f>IFERROR(__xludf.DUMMYFUNCTION("""COMPUTED_VALUE"""),"10.1037/h0027796")</f>
        <v>10.1037/h0027796</v>
      </c>
      <c r="B564" s="680" t="str">
        <f>IFERROR(__xludf.DUMMYFUNCTION("""COMPUTED_VALUE"""),"https://drive.google.com/file/d/12iphP7b9Dy_cRnYWgcnh0NSggqkB0b_Q/view?usp=drivesdk")</f>
        <v>https://drive.google.com/file/d/12iphP7b9Dy_cRnYWgcnh0NSggqkB0b_Q/view?usp=drivesdk</v>
      </c>
      <c r="C564" s="159" t="str">
        <f>IFERROR(__xludf.DUMMYFUNCTION("""COMPUTED_VALUE"""),"10.1037--h0027796.pdf")</f>
        <v>10.1037--h0027796.pdf</v>
      </c>
      <c r="D564" s="159" t="str">
        <f>IFERROR(__xludf.DUMMYFUNCTION("""COMPUTED_VALUE"""),"application/pdf")</f>
        <v>application/pdf</v>
      </c>
    </row>
    <row r="565">
      <c r="A565" s="159" t="str">
        <f>IFERROR(__xludf.DUMMYFUNCTION("""COMPUTED_VALUE"""),"10.1348/096317906x118685")</f>
        <v>10.1348/096317906x118685</v>
      </c>
      <c r="B565" s="680" t="str">
        <f>IFERROR(__xludf.DUMMYFUNCTION("""COMPUTED_VALUE"""),"https://drive.google.com/file/d/1aUnL3AC6Lag2YL3jIv0MCpVVEJexlUqN/view?usp=drivesdk")</f>
        <v>https://drive.google.com/file/d/1aUnL3AC6Lag2YL3jIv0MCpVVEJexlUqN/view?usp=drivesdk</v>
      </c>
      <c r="C565" s="159" t="str">
        <f>IFERROR(__xludf.DUMMYFUNCTION("""COMPUTED_VALUE"""),"10.1348--096317906X118685.pdf")</f>
        <v>10.1348--096317906X118685.pdf</v>
      </c>
      <c r="D565" s="159" t="str">
        <f>IFERROR(__xludf.DUMMYFUNCTION("""COMPUTED_VALUE"""),"application/pdf")</f>
        <v>application/pdf</v>
      </c>
    </row>
    <row r="566">
      <c r="A566" s="159" t="str">
        <f>IFERROR(__xludf.DUMMYFUNCTION("""COMPUTED_VALUE"""),"10.1111/j.1467-6486.2004.00456.x")</f>
        <v>10.1111/j.1467-6486.2004.00456.x</v>
      </c>
      <c r="B566" s="680" t="str">
        <f>IFERROR(__xludf.DUMMYFUNCTION("""COMPUTED_VALUE"""),"https://drive.google.com/file/d/1MTGbOPuWU5Zdtv0IQhwqEFpK1vBJ2LLn/view?usp=drivesdk")</f>
        <v>https://drive.google.com/file/d/1MTGbOPuWU5Zdtv0IQhwqEFpK1vBJ2LLn/view?usp=drivesdk</v>
      </c>
      <c r="C566" s="159" t="str">
        <f>IFERROR(__xludf.DUMMYFUNCTION("""COMPUTED_VALUE"""),"10.1111--j.1467-6486.2004.00456.x.pdf")</f>
        <v>10.1111--j.1467-6486.2004.00456.x.pdf</v>
      </c>
      <c r="D566" s="159" t="str">
        <f>IFERROR(__xludf.DUMMYFUNCTION("""COMPUTED_VALUE"""),"application/pdf")</f>
        <v>application/pdf</v>
      </c>
    </row>
    <row r="567">
      <c r="A567" s="159" t="str">
        <f>IFERROR(__xludf.DUMMYFUNCTION("""COMPUTED_VALUE"""),"10.1016/j.leaqua.2015.08.005")</f>
        <v>10.1016/j.leaqua.2015.08.005</v>
      </c>
      <c r="B567" s="680" t="str">
        <f>IFERROR(__xludf.DUMMYFUNCTION("""COMPUTED_VALUE"""),"https://drive.google.com/file/d/15Lqbo2RhHIDgeHQ67dSIbTmFtVTyHit4/view?usp=drivesdk")</f>
        <v>https://drive.google.com/file/d/15Lqbo2RhHIDgeHQ67dSIbTmFtVTyHit4/view?usp=drivesdk</v>
      </c>
      <c r="C567" s="159" t="str">
        <f>IFERROR(__xludf.DUMMYFUNCTION("""COMPUTED_VALUE"""),"10.1016--j.leaqua.2015.08.005.pdf")</f>
        <v>10.1016--j.leaqua.2015.08.005.pdf</v>
      </c>
      <c r="D567" s="159" t="str">
        <f>IFERROR(__xludf.DUMMYFUNCTION("""COMPUTED_VALUE"""),"application/pdf")</f>
        <v>application/pdf</v>
      </c>
    </row>
    <row r="568">
      <c r="A568" s="159" t="str">
        <f>IFERROR(__xludf.DUMMYFUNCTION("""COMPUTED_VALUE"""),"10.1037/h0036457")</f>
        <v>10.1037/h0036457</v>
      </c>
      <c r="B568" s="680" t="str">
        <f>IFERROR(__xludf.DUMMYFUNCTION("""COMPUTED_VALUE"""),"https://drive.google.com/file/d/1OVX2qQByWg6mFZduAzvtJmyFYI6v1OI-/view?usp=drivesdk")</f>
        <v>https://drive.google.com/file/d/1OVX2qQByWg6mFZduAzvtJmyFYI6v1OI-/view?usp=drivesdk</v>
      </c>
      <c r="C568" s="159" t="str">
        <f>IFERROR(__xludf.DUMMYFUNCTION("""COMPUTED_VALUE"""),"10.1037--h0036457.pdf")</f>
        <v>10.1037--h0036457.pdf</v>
      </c>
      <c r="D568" s="159" t="str">
        <f>IFERROR(__xludf.DUMMYFUNCTION("""COMPUTED_VALUE"""),"application/pdf")</f>
        <v>application/pdf</v>
      </c>
    </row>
    <row r="569">
      <c r="A569" s="159" t="str">
        <f>IFERROR(__xludf.DUMMYFUNCTION("""COMPUTED_VALUE"""),"10.1080/13594320701473065")</f>
        <v>10.1080/13594320701473065</v>
      </c>
      <c r="B569" s="680" t="str">
        <f>IFERROR(__xludf.DUMMYFUNCTION("""COMPUTED_VALUE"""),"https://drive.google.com/file/d/1xG0iV_PsqzgoLeqw0r757PVu76I-ewez/view?usp=drivesdk")</f>
        <v>https://drive.google.com/file/d/1xG0iV_PsqzgoLeqw0r757PVu76I-ewez/view?usp=drivesdk</v>
      </c>
      <c r="C569" s="159" t="str">
        <f>IFERROR(__xludf.DUMMYFUNCTION("""COMPUTED_VALUE"""),"10.1080--13594320701473065.pdf")</f>
        <v>10.1080--13594320701473065.pdf</v>
      </c>
      <c r="D569" s="159" t="str">
        <f>IFERROR(__xludf.DUMMYFUNCTION("""COMPUTED_VALUE"""),"application/pdf")</f>
        <v>application/pdf</v>
      </c>
    </row>
    <row r="570">
      <c r="A570" s="159" t="str">
        <f>IFERROR(__xludf.DUMMYFUNCTION("""COMPUTED_VALUE"""),"10.1177/0149206320948602")</f>
        <v>10.1177/0149206320948602</v>
      </c>
      <c r="B570" s="680" t="str">
        <f>IFERROR(__xludf.DUMMYFUNCTION("""COMPUTED_VALUE"""),"https://drive.google.com/file/d/1hWi3x-TCNfd-F1_H_mFJPH6IWPCclXrx/view?usp=drivesdk")</f>
        <v>https://drive.google.com/file/d/1hWi3x-TCNfd-F1_H_mFJPH6IWPCclXrx/view?usp=drivesdk</v>
      </c>
      <c r="C570" s="159" t="str">
        <f>IFERROR(__xludf.DUMMYFUNCTION("""COMPUTED_VALUE"""),"10.1177--0149206320948602.pdf")</f>
        <v>10.1177--0149206320948602.pdf</v>
      </c>
      <c r="D570" s="159" t="str">
        <f>IFERROR(__xludf.DUMMYFUNCTION("""COMPUTED_VALUE"""),"application/pdf")</f>
        <v>application/pdf</v>
      </c>
    </row>
    <row r="571">
      <c r="A571" s="159" t="str">
        <f>IFERROR(__xludf.DUMMYFUNCTION("""COMPUTED_VALUE"""),"10.1037/0021-9010.84.1.14")</f>
        <v>10.1037/0021-9010.84.1.14</v>
      </c>
      <c r="B571" s="680" t="str">
        <f>IFERROR(__xludf.DUMMYFUNCTION("""COMPUTED_VALUE"""),"https://drive.google.com/file/d/1uBgGQtZ5oK8SqKSUBr3hMygngs0gWnpa/view?usp=drivesdk")</f>
        <v>https://drive.google.com/file/d/1uBgGQtZ5oK8SqKSUBr3hMygngs0gWnpa/view?usp=drivesdk</v>
      </c>
      <c r="C571" s="159" t="str">
        <f>IFERROR(__xludf.DUMMYFUNCTION("""COMPUTED_VALUE"""),"10.1037--0021-9010.84.1.14.pdf")</f>
        <v>10.1037--0021-9010.84.1.14.pdf</v>
      </c>
      <c r="D571" s="159" t="str">
        <f>IFERROR(__xludf.DUMMYFUNCTION("""COMPUTED_VALUE"""),"application/pdf")</f>
        <v>application/pdf</v>
      </c>
    </row>
    <row r="572">
      <c r="A572" s="159" t="str">
        <f>IFERROR(__xludf.DUMMYFUNCTION("""COMPUTED_VALUE"""),"10.1111/joop.12339")</f>
        <v>10.1111/joop.12339</v>
      </c>
      <c r="B572" s="680" t="str">
        <f>IFERROR(__xludf.DUMMYFUNCTION("""COMPUTED_VALUE"""),"https://drive.google.com/file/d/1E_6b4zZ-omtmOjjj8-XeF45BcnWI7vyy/view?usp=drivesdk")</f>
        <v>https://drive.google.com/file/d/1E_6b4zZ-omtmOjjj8-XeF45BcnWI7vyy/view?usp=drivesdk</v>
      </c>
      <c r="C572" s="159" t="str">
        <f>IFERROR(__xludf.DUMMYFUNCTION("""COMPUTED_VALUE"""),"10.1111--joop.12339.pdf")</f>
        <v>10.1111--joop.12339.pdf</v>
      </c>
      <c r="D572" s="159" t="str">
        <f>IFERROR(__xludf.DUMMYFUNCTION("""COMPUTED_VALUE"""),"application/pdf")</f>
        <v>application/pdf</v>
      </c>
    </row>
    <row r="573">
      <c r="A573" s="159" t="str">
        <f>IFERROR(__xludf.DUMMYFUNCTION("""COMPUTED_VALUE"""),"10.1037/0021-9010.66.5.646")</f>
        <v>10.1037/0021-9010.66.5.646</v>
      </c>
      <c r="B573" s="680" t="str">
        <f>IFERROR(__xludf.DUMMYFUNCTION("""COMPUTED_VALUE"""),"https://drive.google.com/file/d/1pG-Y5xMIaPafDnkZr7vDsn-8REMTA2Kx/view?usp=drivesdk")</f>
        <v>https://drive.google.com/file/d/1pG-Y5xMIaPafDnkZr7vDsn-8REMTA2Kx/view?usp=drivesdk</v>
      </c>
      <c r="C573" s="159" t="str">
        <f>IFERROR(__xludf.DUMMYFUNCTION("""COMPUTED_VALUE"""),"10.1037--0021-9010.66.5.646.pdf")</f>
        <v>10.1037--0021-9010.66.5.646.pdf</v>
      </c>
      <c r="D573" s="159" t="str">
        <f>IFERROR(__xludf.DUMMYFUNCTION("""COMPUTED_VALUE"""),"application/pdf")</f>
        <v>application/pdf</v>
      </c>
    </row>
    <row r="574">
      <c r="A574" s="159" t="str">
        <f>IFERROR(__xludf.DUMMYFUNCTION("""COMPUTED_VALUE"""),"10.1348/096317901167415")</f>
        <v>10.1348/096317901167415</v>
      </c>
      <c r="B574" s="680" t="str">
        <f>IFERROR(__xludf.DUMMYFUNCTION("""COMPUTED_VALUE"""),"https://drive.google.com/file/d/1F3QGAzryYQVpOPZCE3yB3UL0B50sD5Qh/view?usp=drivesdk")</f>
        <v>https://drive.google.com/file/d/1F3QGAzryYQVpOPZCE3yB3UL0B50sD5Qh/view?usp=drivesdk</v>
      </c>
      <c r="C574" s="159" t="str">
        <f>IFERROR(__xludf.DUMMYFUNCTION("""COMPUTED_VALUE"""),"10.1348--096317901167415.pdf")</f>
        <v>10.1348--096317901167415.pdf</v>
      </c>
      <c r="D574" s="159" t="str">
        <f>IFERROR(__xludf.DUMMYFUNCTION("""COMPUTED_VALUE"""),"application/pdf")</f>
        <v>application/pdf</v>
      </c>
    </row>
    <row r="575">
      <c r="A575" s="159" t="str">
        <f>IFERROR(__xludf.DUMMYFUNCTION("""COMPUTED_VALUE"""),"10.1037/0021-9010.82.5.783")</f>
        <v>10.1037/0021-9010.82.5.783</v>
      </c>
      <c r="B575" s="680" t="str">
        <f>IFERROR(__xludf.DUMMYFUNCTION("""COMPUTED_VALUE"""),"https://drive.google.com/file/d/10anZGhjlOvO7aQbMT3QNUTGFyzMK1wgg/view?usp=drivesdk")</f>
        <v>https://drive.google.com/file/d/10anZGhjlOvO7aQbMT3QNUTGFyzMK1wgg/view?usp=drivesdk</v>
      </c>
      <c r="C575" s="159" t="str">
        <f>IFERROR(__xludf.DUMMYFUNCTION("""COMPUTED_VALUE"""),"10.1037--0021-9010.82.5.783.pdf")</f>
        <v>10.1037--0021-9010.82.5.783.pdf</v>
      </c>
      <c r="D575" s="159" t="str">
        <f>IFERROR(__xludf.DUMMYFUNCTION("""COMPUTED_VALUE"""),"application/pdf")</f>
        <v>application/pdf</v>
      </c>
    </row>
    <row r="576">
      <c r="A576" s="159" t="str">
        <f>IFERROR(__xludf.DUMMYFUNCTION("""COMPUTED_VALUE"""),"10.1016/j.leaqua.2013.03.005")</f>
        <v>10.1016/j.leaqua.2013.03.005</v>
      </c>
      <c r="B576" s="680" t="str">
        <f>IFERROR(__xludf.DUMMYFUNCTION("""COMPUTED_VALUE"""),"https://drive.google.com/file/d/1afj3FrBsNoCIkF325jw9kpZNtSxdsFWv/view?usp=drivesdk")</f>
        <v>https://drive.google.com/file/d/1afj3FrBsNoCIkF325jw9kpZNtSxdsFWv/view?usp=drivesdk</v>
      </c>
      <c r="C576" s="159" t="str">
        <f>IFERROR(__xludf.DUMMYFUNCTION("""COMPUTED_VALUE"""),"10.1016--j.leaqua.2013.03.005.pdf")</f>
        <v>10.1016--j.leaqua.2013.03.005.pdf</v>
      </c>
      <c r="D576" s="159" t="str">
        <f>IFERROR(__xludf.DUMMYFUNCTION("""COMPUTED_VALUE"""),"application/pdf")</f>
        <v>application/pdf</v>
      </c>
    </row>
    <row r="577">
      <c r="A577" s="159" t="str">
        <f>IFERROR(__xludf.DUMMYFUNCTION("""COMPUTED_VALUE"""),"10.1037/0021-9010.79.4.631")</f>
        <v>10.1037/0021-9010.79.4.631</v>
      </c>
      <c r="B577" s="680" t="str">
        <f>IFERROR(__xludf.DUMMYFUNCTION("""COMPUTED_VALUE"""),"https://drive.google.com/file/d/1GruSYQTYj27hi7nYv76yP2TA5pAQWpdz/view?usp=drivesdk")</f>
        <v>https://drive.google.com/file/d/1GruSYQTYj27hi7nYv76yP2TA5pAQWpdz/view?usp=drivesdk</v>
      </c>
      <c r="C577" s="159" t="str">
        <f>IFERROR(__xludf.DUMMYFUNCTION("""COMPUTED_VALUE"""),"10.1037--0021-9010.79.4.631.pdf")</f>
        <v>10.1037--0021-9010.79.4.631.pdf</v>
      </c>
      <c r="D577" s="159" t="str">
        <f>IFERROR(__xludf.DUMMYFUNCTION("""COMPUTED_VALUE"""),"application/pdf")</f>
        <v>application/pdf</v>
      </c>
    </row>
    <row r="578">
      <c r="A578" s="159" t="str">
        <f>IFERROR(__xludf.DUMMYFUNCTION("""COMPUTED_VALUE"""),"10.1037/0021-9010.77.1.55")</f>
        <v>10.1037/0021-9010.77.1.55</v>
      </c>
      <c r="B578" s="680" t="str">
        <f>IFERROR(__xludf.DUMMYFUNCTION("""COMPUTED_VALUE"""),"https://drive.google.com/file/d/1Af3oU7fMCAkPCXAmt2AH4pAZ2pYtymoW/view?usp=drivesdk")</f>
        <v>https://drive.google.com/file/d/1Af3oU7fMCAkPCXAmt2AH4pAZ2pYtymoW/view?usp=drivesdk</v>
      </c>
      <c r="C578" s="159" t="str">
        <f>IFERROR(__xludf.DUMMYFUNCTION("""COMPUTED_VALUE"""),"10.1037--0021-9010.77.1.55.pdf")</f>
        <v>10.1037--0021-9010.77.1.55.pdf</v>
      </c>
      <c r="D578" s="159" t="str">
        <f>IFERROR(__xludf.DUMMYFUNCTION("""COMPUTED_VALUE"""),"application/pdf")</f>
        <v>application/pdf</v>
      </c>
    </row>
    <row r="579">
      <c r="A579" s="159" t="str">
        <f>IFERROR(__xludf.DUMMYFUNCTION("""COMPUTED_VALUE"""),"10.1016/j.obhdp.2011.11.010")</f>
        <v>10.1016/j.obhdp.2011.11.010</v>
      </c>
      <c r="B579" s="680" t="str">
        <f>IFERROR(__xludf.DUMMYFUNCTION("""COMPUTED_VALUE"""),"https://drive.google.com/file/d/1QJ6DIHVjj7eu454NMl7cg_hqGVXGr2SH/view?usp=drivesdk")</f>
        <v>https://drive.google.com/file/d/1QJ6DIHVjj7eu454NMl7cg_hqGVXGr2SH/view?usp=drivesdk</v>
      </c>
      <c r="C579" s="159" t="str">
        <f>IFERROR(__xludf.DUMMYFUNCTION("""COMPUTED_VALUE"""),"10.1016--j.obhdp.2011.11.010.pdf")</f>
        <v>10.1016--j.obhdp.2011.11.010.pdf</v>
      </c>
      <c r="D579" s="159" t="str">
        <f>IFERROR(__xludf.DUMMYFUNCTION("""COMPUTED_VALUE"""),"application/pdf")</f>
        <v>application/pdf</v>
      </c>
    </row>
    <row r="580">
      <c r="A580" s="159" t="str">
        <f>IFERROR(__xludf.DUMMYFUNCTION("""COMPUTED_VALUE"""),"10.2307/256307")</f>
        <v>10.2307/256307</v>
      </c>
      <c r="B580" s="680" t="str">
        <f>IFERROR(__xludf.DUMMYFUNCTION("""COMPUTED_VALUE"""),"https://drive.google.com/file/d/1rIXV-wnGDKvubdUQQxmdU_Wv0qPz-V-F/view?usp=drivesdk")</f>
        <v>https://drive.google.com/file/d/1rIXV-wnGDKvubdUQQxmdU_Wv0qPz-V-F/view?usp=drivesdk</v>
      </c>
      <c r="C580" s="159" t="str">
        <f>IFERROR(__xludf.DUMMYFUNCTION("""COMPUTED_VALUE"""),"10.2307--256307.pdf")</f>
        <v>10.2307--256307.pdf</v>
      </c>
      <c r="D580" s="159" t="str">
        <f>IFERROR(__xludf.DUMMYFUNCTION("""COMPUTED_VALUE"""),"application/pdf")</f>
        <v>application/pdf</v>
      </c>
    </row>
    <row r="581">
      <c r="A581" s="159" t="str">
        <f>IFERROR(__xludf.DUMMYFUNCTION("""COMPUTED_VALUE"""),"10.5465/amle.2014.0146")</f>
        <v>10.5465/amle.2014.0146</v>
      </c>
      <c r="B581" s="680" t="str">
        <f>IFERROR(__xludf.DUMMYFUNCTION("""COMPUTED_VALUE"""),"https://drive.google.com/file/d/12BclVbSEH8zh6pi7DamlMGRa-usp4H1t/view?usp=drivesdk")</f>
        <v>https://drive.google.com/file/d/12BclVbSEH8zh6pi7DamlMGRa-usp4H1t/view?usp=drivesdk</v>
      </c>
      <c r="C581" s="159" t="str">
        <f>IFERROR(__xludf.DUMMYFUNCTION("""COMPUTED_VALUE"""),"10.5465--amle.2014.0146.pdf")</f>
        <v>10.5465--amle.2014.0146.pdf</v>
      </c>
      <c r="D581" s="159" t="str">
        <f>IFERROR(__xludf.DUMMYFUNCTION("""COMPUTED_VALUE"""),"application/pdf")</f>
        <v>application/pdf</v>
      </c>
    </row>
    <row r="582">
      <c r="A582" s="159" t="str">
        <f>IFERROR(__xludf.DUMMYFUNCTION("""COMPUTED_VALUE"""),"10.1177/001872679004300501")</f>
        <v>10.1177/001872679004300501</v>
      </c>
      <c r="B582" s="680" t="str">
        <f>IFERROR(__xludf.DUMMYFUNCTION("""COMPUTED_VALUE"""),"https://drive.google.com/file/d/1ECkWjwYiI0lv6dn19X2mEO2nCPJ9mlE6/view?usp=drivesdk")</f>
        <v>https://drive.google.com/file/d/1ECkWjwYiI0lv6dn19X2mEO2nCPJ9mlE6/view?usp=drivesdk</v>
      </c>
      <c r="C582" s="159" t="str">
        <f>IFERROR(__xludf.DUMMYFUNCTION("""COMPUTED_VALUE"""),"10.1177--001872679004300501.pdf")</f>
        <v>10.1177--001872679004300501.pdf</v>
      </c>
      <c r="D582" s="159" t="str">
        <f>IFERROR(__xludf.DUMMYFUNCTION("""COMPUTED_VALUE"""),"application/pdf")</f>
        <v>application/pdf</v>
      </c>
    </row>
    <row r="583">
      <c r="A583" s="159" t="str">
        <f>IFERROR(__xludf.DUMMYFUNCTION("""COMPUTED_VALUE"""),"10.1016/j.obhdp.2019.05.005")</f>
        <v>10.1016/j.obhdp.2019.05.005</v>
      </c>
      <c r="B583" s="680" t="str">
        <f>IFERROR(__xludf.DUMMYFUNCTION("""COMPUTED_VALUE"""),"https://drive.google.com/file/d/1_xduvacj438WLVUcuNu4qKwuAkTb-F9l/view?usp=drivesdk")</f>
        <v>https://drive.google.com/file/d/1_xduvacj438WLVUcuNu4qKwuAkTb-F9l/view?usp=drivesdk</v>
      </c>
      <c r="C583" s="159" t="str">
        <f>IFERROR(__xludf.DUMMYFUNCTION("""COMPUTED_VALUE"""),"10.1016--j.obhdp.2019.05.005.pdf")</f>
        <v>10.1016--j.obhdp.2019.05.005.pdf</v>
      </c>
      <c r="D583" s="159" t="str">
        <f>IFERROR(__xludf.DUMMYFUNCTION("""COMPUTED_VALUE"""),"application/pdf")</f>
        <v>application/pdf</v>
      </c>
    </row>
    <row r="584">
      <c r="A584" s="159" t="str">
        <f>IFERROR(__xludf.DUMMYFUNCTION("""COMPUTED_VALUE"""),"10.1177/001872678103400404")</f>
        <v>10.1177/001872678103400404</v>
      </c>
      <c r="B584" s="680" t="str">
        <f>IFERROR(__xludf.DUMMYFUNCTION("""COMPUTED_VALUE"""),"https://drive.google.com/file/d/15TBBAgRRQJjXyZotluDbDiTdoC7yIa7z/view?usp=drivesdk")</f>
        <v>https://drive.google.com/file/d/15TBBAgRRQJjXyZotluDbDiTdoC7yIa7z/view?usp=drivesdk</v>
      </c>
      <c r="C584" s="159" t="str">
        <f>IFERROR(__xludf.DUMMYFUNCTION("""COMPUTED_VALUE"""),"10.1177--001872678103400404.pdf")</f>
        <v>10.1177--001872678103400404.pdf</v>
      </c>
      <c r="D584" s="159" t="str">
        <f>IFERROR(__xludf.DUMMYFUNCTION("""COMPUTED_VALUE"""),"application/pdf")</f>
        <v>application/pdf</v>
      </c>
    </row>
    <row r="585">
      <c r="A585" s="159" t="str">
        <f>IFERROR(__xludf.DUMMYFUNCTION("""COMPUTED_VALUE"""),"10.1348/096317902321119574")</f>
        <v>10.1348/096317902321119574</v>
      </c>
      <c r="B585" s="680" t="str">
        <f>IFERROR(__xludf.DUMMYFUNCTION("""COMPUTED_VALUE"""),"https://drive.google.com/file/d/1sPCaP_tZ0rEs6A2e34Hp1ZNmLEvenXSK/view?usp=drivesdk")</f>
        <v>https://drive.google.com/file/d/1sPCaP_tZ0rEs6A2e34Hp1ZNmLEvenXSK/view?usp=drivesdk</v>
      </c>
      <c r="C585" s="159" t="str">
        <f>IFERROR(__xludf.DUMMYFUNCTION("""COMPUTED_VALUE"""),"10.1348--096317902321119574.pdf")</f>
        <v>10.1348--096317902321119574.pdf</v>
      </c>
      <c r="D585" s="159" t="str">
        <f>IFERROR(__xludf.DUMMYFUNCTION("""COMPUTED_VALUE"""),"application/pdf")</f>
        <v>application/pdf</v>
      </c>
    </row>
    <row r="586">
      <c r="A586" s="159" t="str">
        <f>IFERROR(__xludf.DUMMYFUNCTION("""COMPUTED_VALUE"""),"10.1006/obhd.1995.1095")</f>
        <v>10.1006/obhd.1995.1095</v>
      </c>
      <c r="B586" s="680" t="str">
        <f>IFERROR(__xludf.DUMMYFUNCTION("""COMPUTED_VALUE"""),"https://drive.google.com/file/d/1wgnG6Soqh9ROCizK12VPMpOolrnD6nej/view?usp=drivesdk")</f>
        <v>https://drive.google.com/file/d/1wgnG6Soqh9ROCizK12VPMpOolrnD6nej/view?usp=drivesdk</v>
      </c>
      <c r="C586" s="159" t="str">
        <f>IFERROR(__xludf.DUMMYFUNCTION("""COMPUTED_VALUE"""),"10.1006--obhd.1995.1095.pdf")</f>
        <v>10.1006--obhd.1995.1095.pdf</v>
      </c>
      <c r="D586" s="159" t="str">
        <f>IFERROR(__xludf.DUMMYFUNCTION("""COMPUTED_VALUE"""),"application/pdf")</f>
        <v>application/pdf</v>
      </c>
    </row>
    <row r="587">
      <c r="A587" s="159" t="str">
        <f>IFERROR(__xludf.DUMMYFUNCTION("""COMPUTED_VALUE"""),"10.1177/001872679504801003")</f>
        <v>10.1177/001872679504801003</v>
      </c>
      <c r="B587" s="680" t="str">
        <f>IFERROR(__xludf.DUMMYFUNCTION("""COMPUTED_VALUE"""),"https://drive.google.com/file/d/1FSedrQvB_-Rc2v4sl8L6pi6TxGR6LfrB/view?usp=drivesdk")</f>
        <v>https://drive.google.com/file/d/1FSedrQvB_-Rc2v4sl8L6pi6TxGR6LfrB/view?usp=drivesdk</v>
      </c>
      <c r="C587" s="159" t="str">
        <f>IFERROR(__xludf.DUMMYFUNCTION("""COMPUTED_VALUE"""),"10.1177--001872679504801003.pdf")</f>
        <v>10.1177--001872679504801003.pdf</v>
      </c>
      <c r="D587" s="159" t="str">
        <f>IFERROR(__xludf.DUMMYFUNCTION("""COMPUTED_VALUE"""),"application/pdf")</f>
        <v>application/pdf</v>
      </c>
    </row>
    <row r="588">
      <c r="A588" s="159" t="str">
        <f>IFERROR(__xludf.DUMMYFUNCTION("""COMPUTED_VALUE"""),"10.1111/j.1467-6486.1990.tb00250.x")</f>
        <v>10.1111/j.1467-6486.1990.tb00250.x</v>
      </c>
      <c r="B588" s="680" t="str">
        <f>IFERROR(__xludf.DUMMYFUNCTION("""COMPUTED_VALUE"""),"https://drive.google.com/file/d/1Vx6-t5JTOQEvSnRpBNp2R_O-Zebg0dSZ/view?usp=drivesdk")</f>
        <v>https://drive.google.com/file/d/1Vx6-t5JTOQEvSnRpBNp2R_O-Zebg0dSZ/view?usp=drivesdk</v>
      </c>
      <c r="C588" s="159" t="str">
        <f>IFERROR(__xludf.DUMMYFUNCTION("""COMPUTED_VALUE"""),"10.1111--j.1467-6486.1990.tb00250.x.pdf")</f>
        <v>10.1111--j.1467-6486.1990.tb00250.x.pdf</v>
      </c>
      <c r="D588" s="159" t="str">
        <f>IFERROR(__xludf.DUMMYFUNCTION("""COMPUTED_VALUE"""),"application/pdf")</f>
        <v>application/pdf</v>
      </c>
    </row>
    <row r="589">
      <c r="A589" s="159" t="str">
        <f>IFERROR(__xludf.DUMMYFUNCTION("""COMPUTED_VALUE"""),"10.1037/h0036771")</f>
        <v>10.1037/h0036771</v>
      </c>
      <c r="B589" s="680" t="str">
        <f>IFERROR(__xludf.DUMMYFUNCTION("""COMPUTED_VALUE"""),"https://drive.google.com/file/d/1FK8U1l_sec0nw2maZFzrfgyfc_jssV4R/view?usp=drivesdk")</f>
        <v>https://drive.google.com/file/d/1FK8U1l_sec0nw2maZFzrfgyfc_jssV4R/view?usp=drivesdk</v>
      </c>
      <c r="C589" s="159" t="str">
        <f>IFERROR(__xludf.DUMMYFUNCTION("""COMPUTED_VALUE"""),"10.1037--h0036771.pdf")</f>
        <v>10.1037--h0036771.pdf</v>
      </c>
      <c r="D589" s="159" t="str">
        <f>IFERROR(__xludf.DUMMYFUNCTION("""COMPUTED_VALUE"""),"application/pdf")</f>
        <v>application/pdf</v>
      </c>
    </row>
    <row r="590">
      <c r="A590" s="159" t="str">
        <f>IFERROR(__xludf.DUMMYFUNCTION("""COMPUTED_VALUE"""),"10.1037/0021-9010.83.1.84")</f>
        <v>10.1037/0021-9010.83.1.84</v>
      </c>
      <c r="B590" s="680" t="str">
        <f>IFERROR(__xludf.DUMMYFUNCTION("""COMPUTED_VALUE"""),"https://drive.google.com/file/d/16QRcoc2qYP1rPo-RZHr3IXE1JFR_nCwl/view?usp=drivesdk")</f>
        <v>https://drive.google.com/file/d/16QRcoc2qYP1rPo-RZHr3IXE1JFR_nCwl/view?usp=drivesdk</v>
      </c>
      <c r="C590" s="159" t="str">
        <f>IFERROR(__xludf.DUMMYFUNCTION("""COMPUTED_VALUE"""),"10.1037--0021-9010.83.1.84.pdf")</f>
        <v>10.1037--0021-9010.83.1.84.pdf</v>
      </c>
      <c r="D590" s="159" t="str">
        <f>IFERROR(__xludf.DUMMYFUNCTION("""COMPUTED_VALUE"""),"application/pdf")</f>
        <v>application/pdf</v>
      </c>
    </row>
    <row r="591">
      <c r="A591" s="159" t="str">
        <f>IFERROR(__xludf.DUMMYFUNCTION("""COMPUTED_VALUE"""),"10.1177/1046496405281768")</f>
        <v>10.1177/1046496405281768</v>
      </c>
      <c r="B591" s="680" t="str">
        <f>IFERROR(__xludf.DUMMYFUNCTION("""COMPUTED_VALUE"""),"https://drive.google.com/file/d/125oW-Yy66IiXYKhOycj3l8EvyroOpztd/view?usp=drivesdk")</f>
        <v>https://drive.google.com/file/d/125oW-Yy66IiXYKhOycj3l8EvyroOpztd/view?usp=drivesdk</v>
      </c>
      <c r="C591" s="159" t="str">
        <f>IFERROR(__xludf.DUMMYFUNCTION("""COMPUTED_VALUE"""),"10.1177--1046496405281768.pdf")</f>
        <v>10.1177--1046496405281768.pdf</v>
      </c>
      <c r="D591" s="159" t="str">
        <f>IFERROR(__xludf.DUMMYFUNCTION("""COMPUTED_VALUE"""),"application/pdf")</f>
        <v>application/pdf</v>
      </c>
    </row>
    <row r="592">
      <c r="A592" s="159" t="str">
        <f>IFERROR(__xludf.DUMMYFUNCTION("""COMPUTED_VALUE"""),"10.1037/0021-9010.90.6.1204")</f>
        <v>10.1037/0021-9010.90.6.1204</v>
      </c>
      <c r="B592" s="680" t="str">
        <f>IFERROR(__xludf.DUMMYFUNCTION("""COMPUTED_VALUE"""),"https://drive.google.com/file/d/1eVE-lCxbUlNH7-YGgiUbyQXMysi4YxYm/view?usp=drivesdk")</f>
        <v>https://drive.google.com/file/d/1eVE-lCxbUlNH7-YGgiUbyQXMysi4YxYm/view?usp=drivesdk</v>
      </c>
      <c r="C592" s="159" t="str">
        <f>IFERROR(__xludf.DUMMYFUNCTION("""COMPUTED_VALUE"""),"10.1037--0021-9010.90.6.1204.pdf")</f>
        <v>10.1037--0021-9010.90.6.1204.pdf</v>
      </c>
      <c r="D592" s="159" t="str">
        <f>IFERROR(__xludf.DUMMYFUNCTION("""COMPUTED_VALUE"""),"application/pdf")</f>
        <v>application/pdf</v>
      </c>
    </row>
    <row r="593">
      <c r="A593" s="159" t="str">
        <f>IFERROR(__xludf.DUMMYFUNCTION("""COMPUTED_VALUE"""),"10.1037/0021-9010.77.4.562")</f>
        <v>10.1037/0021-9010.77.4.562</v>
      </c>
      <c r="B593" s="680" t="str">
        <f>IFERROR(__xludf.DUMMYFUNCTION("""COMPUTED_VALUE"""),"https://drive.google.com/file/d/1CrPXnG4uuv89aHq13TGsUNP-O4delOv5/view?usp=drivesdk")</f>
        <v>https://drive.google.com/file/d/1CrPXnG4uuv89aHq13TGsUNP-O4delOv5/view?usp=drivesdk</v>
      </c>
      <c r="C593" s="159" t="str">
        <f>IFERROR(__xludf.DUMMYFUNCTION("""COMPUTED_VALUE"""),"10.1037--0021-9010.77.4.562.pdf")</f>
        <v>10.1037--0021-9010.77.4.562.pdf</v>
      </c>
      <c r="D593" s="159" t="str">
        <f>IFERROR(__xludf.DUMMYFUNCTION("""COMPUTED_VALUE"""),"application/pdf")</f>
        <v>application/pdf</v>
      </c>
    </row>
    <row r="594">
      <c r="A594" s="159" t="str">
        <f>IFERROR(__xludf.DUMMYFUNCTION("""COMPUTED_VALUE"""),"10.2307/2785898")</f>
        <v>10.2307/2785898</v>
      </c>
      <c r="B594" s="680" t="str">
        <f>IFERROR(__xludf.DUMMYFUNCTION("""COMPUTED_VALUE"""),"https://drive.google.com/file/d/1BtiJ11K5eqpsqlj5PQJbG7xfO8pM9oMv/view?usp=drivesdk")</f>
        <v>https://drive.google.com/file/d/1BtiJ11K5eqpsqlj5PQJbG7xfO8pM9oMv/view?usp=drivesdk</v>
      </c>
      <c r="C594" s="159" t="str">
        <f>IFERROR(__xludf.DUMMYFUNCTION("""COMPUTED_VALUE"""),"10.2307--2785898.pdf")</f>
        <v>10.2307--2785898.pdf</v>
      </c>
      <c r="D594" s="159" t="str">
        <f>IFERROR(__xludf.DUMMYFUNCTION("""COMPUTED_VALUE"""),"application/pdf")</f>
        <v>application/pdf</v>
      </c>
    </row>
    <row r="595">
      <c r="A595" s="159" t="str">
        <f>IFERROR(__xludf.DUMMYFUNCTION("""COMPUTED_VALUE"""),"10.1080/13594320701693225")</f>
        <v>10.1080/13594320701693225</v>
      </c>
      <c r="B595" s="680" t="str">
        <f>IFERROR(__xludf.DUMMYFUNCTION("""COMPUTED_VALUE"""),"https://drive.google.com/file/d/1EbDqteZKjOCKGj59-S4EWDLxkuXjzhaL/view?usp=drivesdk")</f>
        <v>https://drive.google.com/file/d/1EbDqteZKjOCKGj59-S4EWDLxkuXjzhaL/view?usp=drivesdk</v>
      </c>
      <c r="C595" s="159" t="str">
        <f>IFERROR(__xludf.DUMMYFUNCTION("""COMPUTED_VALUE"""),"10.1080--13594320701693225.pdf")</f>
        <v>10.1080--13594320701693225.pdf</v>
      </c>
      <c r="D595" s="159" t="str">
        <f>IFERROR(__xludf.DUMMYFUNCTION("""COMPUTED_VALUE"""),"application/pdf")</f>
        <v>application/pdf</v>
      </c>
    </row>
    <row r="596">
      <c r="A596" s="159" t="str">
        <f>IFERROR(__xludf.DUMMYFUNCTION("""COMPUTED_VALUE"""),"10.1016/0030-5073(83)90120-4")</f>
        <v>10.1016/0030-5073(83)90120-4</v>
      </c>
      <c r="B596" s="680" t="str">
        <f>IFERROR(__xludf.DUMMYFUNCTION("""COMPUTED_VALUE"""),"https://drive.google.com/file/d/1t_1Ta5v64ZRnXNjpz_IhVas3VlhZn4fQ/view?usp=drivesdk")</f>
        <v>https://drive.google.com/file/d/1t_1Ta5v64ZRnXNjpz_IhVas3VlhZn4fQ/view?usp=drivesdk</v>
      </c>
      <c r="C596" s="159" t="str">
        <f>IFERROR(__xludf.DUMMYFUNCTION("""COMPUTED_VALUE"""),"10.1016--0030-5073(83)90120-4.pdf")</f>
        <v>10.1016--0030-5073(83)90120-4.pdf</v>
      </c>
      <c r="D596" s="159" t="str">
        <f>IFERROR(__xludf.DUMMYFUNCTION("""COMPUTED_VALUE"""),"application/pdf")</f>
        <v>application/pdf</v>
      </c>
    </row>
    <row r="597">
      <c r="A597" s="159" t="str">
        <f>IFERROR(__xludf.DUMMYFUNCTION("""COMPUTED_VALUE"""),"10.1037/0021-9010.91.5.1013")</f>
        <v>10.1037/0021-9010.91.5.1013</v>
      </c>
      <c r="B597" s="680" t="str">
        <f>IFERROR(__xludf.DUMMYFUNCTION("""COMPUTED_VALUE"""),"https://drive.google.com/file/d/1Wu37bIilIEhyFAd60cmUu4U-LvXfjohq/view?usp=drivesdk")</f>
        <v>https://drive.google.com/file/d/1Wu37bIilIEhyFAd60cmUu4U-LvXfjohq/view?usp=drivesdk</v>
      </c>
      <c r="C597" s="159" t="str">
        <f>IFERROR(__xludf.DUMMYFUNCTION("""COMPUTED_VALUE"""),"10.1037--0021-9010.91.5.1013.pdf")</f>
        <v>10.1037--0021-9010.91.5.1013.pdf</v>
      </c>
      <c r="D597" s="159" t="str">
        <f>IFERROR(__xludf.DUMMYFUNCTION("""COMPUTED_VALUE"""),"application/pdf")</f>
        <v>application/pdf</v>
      </c>
    </row>
    <row r="598">
      <c r="A598" s="159" t="str">
        <f>IFERROR(__xludf.DUMMYFUNCTION("""COMPUTED_VALUE"""),"10.1037/0033-2909.126.4.530")</f>
        <v>10.1037/0033-2909.126.4.530</v>
      </c>
      <c r="B598" s="680" t="str">
        <f>IFERROR(__xludf.DUMMYFUNCTION("""COMPUTED_VALUE"""),"https://drive.google.com/file/d/1kC_R-_InTxLi72opkKV_tpg8fncE4hcZ/view?usp=drivesdk")</f>
        <v>https://drive.google.com/file/d/1kC_R-_InTxLi72opkKV_tpg8fncE4hcZ/view?usp=drivesdk</v>
      </c>
      <c r="C598" s="159" t="str">
        <f>IFERROR(__xludf.DUMMYFUNCTION("""COMPUTED_VALUE"""),"10.1037--0033-2909.126.4.530.pdf")</f>
        <v>10.1037--0033-2909.126.4.530.pdf</v>
      </c>
      <c r="D598" s="159" t="str">
        <f>IFERROR(__xludf.DUMMYFUNCTION("""COMPUTED_VALUE"""),"application/pdf")</f>
        <v>application/pdf</v>
      </c>
    </row>
    <row r="599">
      <c r="A599" s="159" t="str">
        <f>IFERROR(__xludf.DUMMYFUNCTION("""COMPUTED_VALUE"""),"10.1037/0022-3514.70.1.66")</f>
        <v>10.1037/0022-3514.70.1.66</v>
      </c>
      <c r="B599" s="680" t="str">
        <f>IFERROR(__xludf.DUMMYFUNCTION("""COMPUTED_VALUE"""),"https://drive.google.com/file/d/1b5id8Z2_uP76pWjVUJRT44mCTshhg-_7/view?usp=drivesdk")</f>
        <v>https://drive.google.com/file/d/1b5id8Z2_uP76pWjVUJRT44mCTshhg-_7/view?usp=drivesdk</v>
      </c>
      <c r="C599" s="159" t="str">
        <f>IFERROR(__xludf.DUMMYFUNCTION("""COMPUTED_VALUE"""),"10.1037--0022-3514.70.1.66.pdf")</f>
        <v>10.1037--0022-3514.70.1.66.pdf</v>
      </c>
      <c r="D599" s="159" t="str">
        <f>IFERROR(__xludf.DUMMYFUNCTION("""COMPUTED_VALUE"""),"application/pdf")</f>
        <v>application/pdf</v>
      </c>
    </row>
    <row r="600">
      <c r="A600" s="159" t="str">
        <f>IFERROR(__xludf.DUMMYFUNCTION("""COMPUTED_VALUE"""),"10.1016/j.obhdp.2005.09.002")</f>
        <v>10.1016/j.obhdp.2005.09.002</v>
      </c>
      <c r="B600" s="680" t="str">
        <f>IFERROR(__xludf.DUMMYFUNCTION("""COMPUTED_VALUE"""),"https://drive.google.com/file/d/1gXPYlXRF5WvLBhevKmNpXKayL_LwNiy7/view?usp=drivesdk")</f>
        <v>https://drive.google.com/file/d/1gXPYlXRF5WvLBhevKmNpXKayL_LwNiy7/view?usp=drivesdk</v>
      </c>
      <c r="C600" s="159" t="str">
        <f>IFERROR(__xludf.DUMMYFUNCTION("""COMPUTED_VALUE"""),"10.1016--j.obhdp.2005.09.002.pdf")</f>
        <v>10.1016--j.obhdp.2005.09.002.pdf</v>
      </c>
      <c r="D600" s="159" t="str">
        <f>IFERROR(__xludf.DUMMYFUNCTION("""COMPUTED_VALUE"""),"application/pdf")</f>
        <v>application/pdf</v>
      </c>
    </row>
    <row r="601">
      <c r="A601" s="159" t="str">
        <f>IFERROR(__xludf.DUMMYFUNCTION("""COMPUTED_VALUE"""),"10.1037/0021-9010.91.3.636")</f>
        <v>10.1037/0021-9010.91.3.636</v>
      </c>
      <c r="B601" s="680" t="str">
        <f>IFERROR(__xludf.DUMMYFUNCTION("""COMPUTED_VALUE"""),"https://drive.google.com/file/d/1SFKJngNaXEig3hdDO4p6wklI3cupf_yz/view?usp=drivesdk")</f>
        <v>https://drive.google.com/file/d/1SFKJngNaXEig3hdDO4p6wklI3cupf_yz/view?usp=drivesdk</v>
      </c>
      <c r="C601" s="159" t="str">
        <f>IFERROR(__xludf.DUMMYFUNCTION("""COMPUTED_VALUE"""),"10.1037--0021-9010.91.3.636.pdf")</f>
        <v>10.1037--0021-9010.91.3.636.pdf</v>
      </c>
      <c r="D601" s="159" t="str">
        <f>IFERROR(__xludf.DUMMYFUNCTION("""COMPUTED_VALUE"""),"application/pdf")</f>
        <v>application/pdf</v>
      </c>
    </row>
    <row r="602">
      <c r="A602" s="159" t="str">
        <f>IFERROR(__xludf.DUMMYFUNCTION("""COMPUTED_VALUE"""),"10.1037/0021-9010.88.6.989")</f>
        <v>10.1037/0021-9010.88.6.989</v>
      </c>
      <c r="B602" s="680" t="str">
        <f>IFERROR(__xludf.DUMMYFUNCTION("""COMPUTED_VALUE"""),"https://drive.google.com/file/d/1iIxek-inhm9WSs05oxEzZikjb_99YErj/view?usp=drivesdk")</f>
        <v>https://drive.google.com/file/d/1iIxek-inhm9WSs05oxEzZikjb_99YErj/view?usp=drivesdk</v>
      </c>
      <c r="C602" s="159" t="str">
        <f>IFERROR(__xludf.DUMMYFUNCTION("""COMPUTED_VALUE"""),"10.1037--0021-9010.88.6.989.pdf")</f>
        <v>10.1037--0021-9010.88.6.989.pdf</v>
      </c>
      <c r="D602" s="159" t="str">
        <f>IFERROR(__xludf.DUMMYFUNCTION("""COMPUTED_VALUE"""),"application/pdf")</f>
        <v>application/pdf</v>
      </c>
    </row>
    <row r="603">
      <c r="A603" s="159" t="str">
        <f>IFERROR(__xludf.DUMMYFUNCTION("""COMPUTED_VALUE"""),"10.1108/cdi-05-2013-0063")</f>
        <v>10.1108/cdi-05-2013-0063</v>
      </c>
      <c r="B603" s="680" t="str">
        <f>IFERROR(__xludf.DUMMYFUNCTION("""COMPUTED_VALUE"""),"https://drive.google.com/file/d/1D-gx9_DJR6Y8nE3CXK_4SkpcjTBkkore/view?usp=drivesdk")</f>
        <v>https://drive.google.com/file/d/1D-gx9_DJR6Y8nE3CXK_4SkpcjTBkkore/view?usp=drivesdk</v>
      </c>
      <c r="C603" s="159" t="str">
        <f>IFERROR(__xludf.DUMMYFUNCTION("""COMPUTED_VALUE"""),"10.1108--CDI-05-2013-0063.pdf")</f>
        <v>10.1108--CDI-05-2013-0063.pdf</v>
      </c>
      <c r="D603" s="159" t="str">
        <f>IFERROR(__xludf.DUMMYFUNCTION("""COMPUTED_VALUE"""),"application/pdf")</f>
        <v>application/pdf</v>
      </c>
    </row>
    <row r="604">
      <c r="A604" s="159" t="str">
        <f>IFERROR(__xludf.DUMMYFUNCTION("""COMPUTED_VALUE"""),"10.1037/a0012981")</f>
        <v>10.1037/a0012981</v>
      </c>
      <c r="B604" s="680" t="str">
        <f>IFERROR(__xludf.DUMMYFUNCTION("""COMPUTED_VALUE"""),"https://drive.google.com/file/d/1TkKAz9ljo3bjXZxQT4NYRm51bs1H53VS/view?usp=drivesdk")</f>
        <v>https://drive.google.com/file/d/1TkKAz9ljo3bjXZxQT4NYRm51bs1H53VS/view?usp=drivesdk</v>
      </c>
      <c r="C604" s="159" t="str">
        <f>IFERROR(__xludf.DUMMYFUNCTION("""COMPUTED_VALUE"""),"10.1037--a0012981.pdf")</f>
        <v>10.1037--a0012981.pdf</v>
      </c>
      <c r="D604" s="159" t="str">
        <f>IFERROR(__xludf.DUMMYFUNCTION("""COMPUTED_VALUE"""),"application/pdf")</f>
        <v>application/pdf</v>
      </c>
    </row>
    <row r="605">
      <c r="A605" s="159" t="str">
        <f>IFERROR(__xludf.DUMMYFUNCTION("""COMPUTED_VALUE"""),"10.1037/0021-9010.90.6.1241")</f>
        <v>10.1037/0021-9010.90.6.1241</v>
      </c>
      <c r="B605" s="680" t="str">
        <f>IFERROR(__xludf.DUMMYFUNCTION("""COMPUTED_VALUE"""),"https://drive.google.com/file/d/1k1DJhy2X3Nv4xlnIcIJYFR0kSmaMcgXD/view?usp=drivesdk")</f>
        <v>https://drive.google.com/file/d/1k1DJhy2X3Nv4xlnIcIJYFR0kSmaMcgXD/view?usp=drivesdk</v>
      </c>
      <c r="C605" s="159" t="str">
        <f>IFERROR(__xludf.DUMMYFUNCTION("""COMPUTED_VALUE"""),"10.1037--0021-9010.90.6.1241.pdf")</f>
        <v>10.1037--0021-9010.90.6.1241.pdf</v>
      </c>
      <c r="D605" s="159" t="str">
        <f>IFERROR(__xludf.DUMMYFUNCTION("""COMPUTED_VALUE"""),"application/pdf")</f>
        <v>application/pdf</v>
      </c>
    </row>
    <row r="606">
      <c r="A606" s="159" t="str">
        <f>IFERROR(__xludf.DUMMYFUNCTION("""COMPUTED_VALUE"""),"10.1111/j.1744-6570.2007.00087.x")</f>
        <v>10.1111/j.1744-6570.2007.00087.x</v>
      </c>
      <c r="B606" s="680" t="str">
        <f>IFERROR(__xludf.DUMMYFUNCTION("""COMPUTED_VALUE"""),"https://drive.google.com/file/d/1BDNupSttqVO-yRP9PRoNI-IgtI8b71aQ/view?usp=drivesdk")</f>
        <v>https://drive.google.com/file/d/1BDNupSttqVO-yRP9PRoNI-IgtI8b71aQ/view?usp=drivesdk</v>
      </c>
      <c r="C606" s="159" t="str">
        <f>IFERROR(__xludf.DUMMYFUNCTION("""COMPUTED_VALUE"""),"10.1111--j.1744-6570.2007.00087.x.pdf")</f>
        <v>10.1111--j.1744-6570.2007.00087.x.pdf</v>
      </c>
      <c r="D606" s="159" t="str">
        <f>IFERROR(__xludf.DUMMYFUNCTION("""COMPUTED_VALUE"""),"application/pdf")</f>
        <v>application/pdf</v>
      </c>
    </row>
    <row r="607">
      <c r="A607" s="159" t="str">
        <f>IFERROR(__xludf.DUMMYFUNCTION("""COMPUTED_VALUE"""),"10.1177/001316445401400407")</f>
        <v>10.1177/001316445401400407</v>
      </c>
      <c r="B607" s="680" t="str">
        <f>IFERROR(__xludf.DUMMYFUNCTION("""COMPUTED_VALUE"""),"https://drive.google.com/file/d/1FH6CpgRwWdADxlzZhDP6QyZlgA6XX3S1/view?usp=drivesdk")</f>
        <v>https://drive.google.com/file/d/1FH6CpgRwWdADxlzZhDP6QyZlgA6XX3S1/view?usp=drivesdk</v>
      </c>
      <c r="C607" s="159" t="str">
        <f>IFERROR(__xludf.DUMMYFUNCTION("""COMPUTED_VALUE"""),"10.1177--001316445401400407.pdf")</f>
        <v>10.1177--001316445401400407.pdf</v>
      </c>
      <c r="D607" s="159" t="str">
        <f>IFERROR(__xludf.DUMMYFUNCTION("""COMPUTED_VALUE"""),"application/pdf")</f>
        <v>application/pdf</v>
      </c>
    </row>
    <row r="608">
      <c r="A608" s="159" t="str">
        <f>IFERROR(__xludf.DUMMYFUNCTION("""COMPUTED_VALUE"""),"10.1111/j.1744-6570.1999.tb00163.x")</f>
        <v>10.1111/j.1744-6570.1999.tb00163.x</v>
      </c>
      <c r="B608" s="680" t="str">
        <f>IFERROR(__xludf.DUMMYFUNCTION("""COMPUTED_VALUE"""),"https://drive.google.com/file/d/1Okch4CdpQseHg6V3zCFb8EZ13ZiRjRip/view?usp=drivesdk")</f>
        <v>https://drive.google.com/file/d/1Okch4CdpQseHg6V3zCFb8EZ13ZiRjRip/view?usp=drivesdk</v>
      </c>
      <c r="C608" s="159" t="str">
        <f>IFERROR(__xludf.DUMMYFUNCTION("""COMPUTED_VALUE"""),"10.1111--j.1744-6570.1999.tb00163.x.pdf")</f>
        <v>10.1111--j.1744-6570.1999.tb00163.x.pdf</v>
      </c>
      <c r="D608" s="159" t="str">
        <f>IFERROR(__xludf.DUMMYFUNCTION("""COMPUTED_VALUE"""),"application/pdf")</f>
        <v>application/pdf</v>
      </c>
    </row>
    <row r="609">
      <c r="A609" s="159" t="str">
        <f>IFERROR(__xludf.DUMMYFUNCTION("""COMPUTED_VALUE"""),"10.2307/256083")</f>
        <v>10.2307/256083</v>
      </c>
      <c r="B609" s="680" t="str">
        <f>IFERROR(__xludf.DUMMYFUNCTION("""COMPUTED_VALUE"""),"https://drive.google.com/file/d/1jwIV77IGytt0vdCVn85l2Ck7J0Xxuzty/view?usp=drivesdk")</f>
        <v>https://drive.google.com/file/d/1jwIV77IGytt0vdCVn85l2Ck7J0Xxuzty/view?usp=drivesdk</v>
      </c>
      <c r="C609" s="159" t="str">
        <f>IFERROR(__xludf.DUMMYFUNCTION("""COMPUTED_VALUE"""),"10.2307--256083.pdf")</f>
        <v>10.2307--256083.pdf</v>
      </c>
      <c r="D609" s="159" t="str">
        <f>IFERROR(__xludf.DUMMYFUNCTION("""COMPUTED_VALUE"""),"application/pdf")</f>
        <v>application/pdf</v>
      </c>
    </row>
    <row r="610">
      <c r="A610" s="159" t="str">
        <f>IFERROR(__xludf.DUMMYFUNCTION("""COMPUTED_VALUE"""),"10.1006/obhd.1996.0062")</f>
        <v>10.1006/obhd.1996.0062</v>
      </c>
      <c r="B610" s="680" t="str">
        <f>IFERROR(__xludf.DUMMYFUNCTION("""COMPUTED_VALUE"""),"https://drive.google.com/file/d/1MUeEaq8UQodJfzv8dgpiDvz5tgiTMCld/view?usp=drivesdk")</f>
        <v>https://drive.google.com/file/d/1MUeEaq8UQodJfzv8dgpiDvz5tgiTMCld/view?usp=drivesdk</v>
      </c>
      <c r="C610" s="159" t="str">
        <f>IFERROR(__xludf.DUMMYFUNCTION("""COMPUTED_VALUE"""),"10.1006--obhd.1996.0062.pdf")</f>
        <v>10.1006--obhd.1996.0062.pdf</v>
      </c>
      <c r="D610" s="159" t="str">
        <f>IFERROR(__xludf.DUMMYFUNCTION("""COMPUTED_VALUE"""),"application/pdf")</f>
        <v>application/pdf</v>
      </c>
    </row>
    <row r="611">
      <c r="A611" s="159" t="str">
        <f>IFERROR(__xludf.DUMMYFUNCTION("""COMPUTED_VALUE"""),"10.1080/01449298708901855")</f>
        <v>10.1080/01449298708901855</v>
      </c>
      <c r="B611" s="680" t="str">
        <f>IFERROR(__xludf.DUMMYFUNCTION("""COMPUTED_VALUE"""),"https://drive.google.com/file/d/1IYnrX5aD6i8wchcuh0awE3qvnuaVBJbF/view?usp=drivesdk")</f>
        <v>https://drive.google.com/file/d/1IYnrX5aD6i8wchcuh0awE3qvnuaVBJbF/view?usp=drivesdk</v>
      </c>
      <c r="C611" s="159" t="str">
        <f>IFERROR(__xludf.DUMMYFUNCTION("""COMPUTED_VALUE"""),"10.1080--01449298708901855.pdf")</f>
        <v>10.1080--01449298708901855.pdf</v>
      </c>
      <c r="D611" s="159" t="str">
        <f>IFERROR(__xludf.DUMMYFUNCTION("""COMPUTED_VALUE"""),"application/pdf")</f>
        <v>application/pdf</v>
      </c>
    </row>
    <row r="612">
      <c r="A612" s="159" t="str">
        <f>IFERROR(__xludf.DUMMYFUNCTION("""COMPUTED_VALUE"""),"10.1037/0021-9010.63.2.228")</f>
        <v>10.1037/0021-9010.63.2.228</v>
      </c>
      <c r="B612" s="680" t="str">
        <f>IFERROR(__xludf.DUMMYFUNCTION("""COMPUTED_VALUE"""),"https://drive.google.com/file/d/1VLvHZtMfM11_FVSV9-MtpVicGoGnQHpg/view?usp=drivesdk")</f>
        <v>https://drive.google.com/file/d/1VLvHZtMfM11_FVSV9-MtpVicGoGnQHpg/view?usp=drivesdk</v>
      </c>
      <c r="C612" s="159" t="str">
        <f>IFERROR(__xludf.DUMMYFUNCTION("""COMPUTED_VALUE"""),"10.1037--0021-9010.63.2.228.pdf")</f>
        <v>10.1037--0021-9010.63.2.228.pdf</v>
      </c>
      <c r="D612" s="159" t="str">
        <f>IFERROR(__xludf.DUMMYFUNCTION("""COMPUTED_VALUE"""),"application/pdf")</f>
        <v>application/pdf</v>
      </c>
    </row>
    <row r="613">
      <c r="A613" s="159" t="str">
        <f>IFERROR(__xludf.DUMMYFUNCTION("""COMPUTED_VALUE"""),"10.2307/2392454")</f>
        <v>10.2307/2392454</v>
      </c>
      <c r="B613" s="680" t="str">
        <f>IFERROR(__xludf.DUMMYFUNCTION("""COMPUTED_VALUE"""),"https://drive.google.com/file/d/1By_gwM-tIIz6Ru3DTPnNc_dIysGLSSGp/view?usp=drivesdk")</f>
        <v>https://drive.google.com/file/d/1By_gwM-tIIz6Ru3DTPnNc_dIysGLSSGp/view?usp=drivesdk</v>
      </c>
      <c r="C613" s="159" t="str">
        <f>IFERROR(__xludf.DUMMYFUNCTION("""COMPUTED_VALUE"""),"10.2307--2392454.pdf")</f>
        <v>10.2307--2392454.pdf</v>
      </c>
      <c r="D613" s="159" t="str">
        <f>IFERROR(__xludf.DUMMYFUNCTION("""COMPUTED_VALUE"""),"application/pdf")</f>
        <v>application/pdf</v>
      </c>
    </row>
    <row r="614">
      <c r="A614" s="159" t="str">
        <f>IFERROR(__xludf.DUMMYFUNCTION("""COMPUTED_VALUE"""),"10.1207/s15324834basp1802_1")</f>
        <v>10.1207/s15324834basp1802_1</v>
      </c>
      <c r="B614" s="680" t="str">
        <f>IFERROR(__xludf.DUMMYFUNCTION("""COMPUTED_VALUE"""),"https://drive.google.com/file/d/1FXttfmbPjL67WUzdvG7g0eM_rqlHCtLg/view?usp=drivesdk")</f>
        <v>https://drive.google.com/file/d/1FXttfmbPjL67WUzdvG7g0eM_rqlHCtLg/view?usp=drivesdk</v>
      </c>
      <c r="C614" s="159" t="str">
        <f>IFERROR(__xludf.DUMMYFUNCTION("""COMPUTED_VALUE"""),"10.1207--s15324834basp1802_1.pdf")</f>
        <v>10.1207--s15324834basp1802_1.pdf</v>
      </c>
      <c r="D614" s="159" t="str">
        <f>IFERROR(__xludf.DUMMYFUNCTION("""COMPUTED_VALUE"""),"application/pdf")</f>
        <v>application/pdf</v>
      </c>
    </row>
    <row r="615">
      <c r="A615" s="159" t="str">
        <f>IFERROR(__xludf.DUMMYFUNCTION("""COMPUTED_VALUE"""),"10.1037/0021-9010.72.4.522")</f>
        <v>10.1037/0021-9010.72.4.522</v>
      </c>
      <c r="B615" s="680" t="str">
        <f>IFERROR(__xludf.DUMMYFUNCTION("""COMPUTED_VALUE"""),"https://drive.google.com/file/d/1nBZAexBcFDwwKyytvOGDx82XpIytW9lp/view?usp=drivesdk")</f>
        <v>https://drive.google.com/file/d/1nBZAexBcFDwwKyytvOGDx82XpIytW9lp/view?usp=drivesdk</v>
      </c>
      <c r="C615" s="159" t="str">
        <f>IFERROR(__xludf.DUMMYFUNCTION("""COMPUTED_VALUE"""),"10.1037--0021-9010.72.4.522.pdf")</f>
        <v>10.1037--0021-9010.72.4.522.pdf</v>
      </c>
      <c r="D615" s="159" t="str">
        <f>IFERROR(__xludf.DUMMYFUNCTION("""COMPUTED_VALUE"""),"application/pdf")</f>
        <v>application/pdf</v>
      </c>
    </row>
    <row r="616">
      <c r="A616" s="159" t="str">
        <f>IFERROR(__xludf.DUMMYFUNCTION("""COMPUTED_VALUE"""),"10.1037/0021-9010.72.3.444")</f>
        <v>10.1037/0021-9010.72.3.444</v>
      </c>
      <c r="B616" s="680" t="str">
        <f>IFERROR(__xludf.DUMMYFUNCTION("""COMPUTED_VALUE"""),"https://drive.google.com/file/d/1IljoOGZ-HUpTLTwH3iIX3f8RbbZMpIsD/view?usp=drivesdk")</f>
        <v>https://drive.google.com/file/d/1IljoOGZ-HUpTLTwH3iIX3f8RbbZMpIsD/view?usp=drivesdk</v>
      </c>
      <c r="C616" s="159" t="str">
        <f>IFERROR(__xludf.DUMMYFUNCTION("""COMPUTED_VALUE"""),"10.1037--0021-9010.72.3.444.pdf")</f>
        <v>10.1037--0021-9010.72.3.444.pdf</v>
      </c>
      <c r="D616" s="159" t="str">
        <f>IFERROR(__xludf.DUMMYFUNCTION("""COMPUTED_VALUE"""),"application/pdf")</f>
        <v>application/pdf</v>
      </c>
    </row>
    <row r="617">
      <c r="A617" s="159" t="str">
        <f>IFERROR(__xludf.DUMMYFUNCTION("""COMPUTED_VALUE"""),"10.1006/obhd.1996.0049")</f>
        <v>10.1006/obhd.1996.0049</v>
      </c>
      <c r="B617" s="680" t="str">
        <f>IFERROR(__xludf.DUMMYFUNCTION("""COMPUTED_VALUE"""),"https://drive.google.com/file/d/1n6_hQ20znAbm4NDSyc3vZJdM4JMIuTMi/view?usp=drivesdk")</f>
        <v>https://drive.google.com/file/d/1n6_hQ20znAbm4NDSyc3vZJdM4JMIuTMi/view?usp=drivesdk</v>
      </c>
      <c r="C617" s="159" t="str">
        <f>IFERROR(__xludf.DUMMYFUNCTION("""COMPUTED_VALUE"""),"10.1006--obhd.1996.0049.pdf")</f>
        <v>10.1006--obhd.1996.0049.pdf</v>
      </c>
      <c r="D617" s="159" t="str">
        <f>IFERROR(__xludf.DUMMYFUNCTION("""COMPUTED_VALUE"""),"application/pdf")</f>
        <v>application/pdf</v>
      </c>
    </row>
    <row r="618">
      <c r="A618" s="159" t="str">
        <f>IFERROR(__xludf.DUMMYFUNCTION("""COMPUTED_VALUE"""),"10.2307/256584")</f>
        <v>10.2307/256584</v>
      </c>
      <c r="B618" s="680" t="str">
        <f>IFERROR(__xludf.DUMMYFUNCTION("""COMPUTED_VALUE"""),"https://drive.google.com/file/d/1wgTGpXIh5XlRUTxUzQRZuRuv1CTMeUIB/view?usp=drivesdk")</f>
        <v>https://drive.google.com/file/d/1wgTGpXIh5XlRUTxUzQRZuRuv1CTMeUIB/view?usp=drivesdk</v>
      </c>
      <c r="C618" s="159" t="str">
        <f>IFERROR(__xludf.DUMMYFUNCTION("""COMPUTED_VALUE"""),"10.2307--256584.pdf")</f>
        <v>10.2307--256584.pdf</v>
      </c>
      <c r="D618" s="159" t="str">
        <f>IFERROR(__xludf.DUMMYFUNCTION("""COMPUTED_VALUE"""),"application/pdf")</f>
        <v>application/pdf</v>
      </c>
    </row>
    <row r="619">
      <c r="A619" s="159" t="str">
        <f>IFERROR(__xludf.DUMMYFUNCTION("""COMPUTED_VALUE"""),"10.1037/0033-295x.95.3.371")</f>
        <v>10.1037/0033-295x.95.3.371</v>
      </c>
      <c r="B619" s="680" t="str">
        <f>IFERROR(__xludf.DUMMYFUNCTION("""COMPUTED_VALUE"""),"https://drive.google.com/file/d/1wfPA0fmENt-tXV4XaCTB_AwPr9RmUvNH/view?usp=drivesdk")</f>
        <v>https://drive.google.com/file/d/1wfPA0fmENt-tXV4XaCTB_AwPr9RmUvNH/view?usp=drivesdk</v>
      </c>
      <c r="C619" s="159" t="str">
        <f>IFERROR(__xludf.DUMMYFUNCTION("""COMPUTED_VALUE"""),"10.1037--0033-295X.95.3.371.pdf")</f>
        <v>10.1037--0033-295X.95.3.371.pdf</v>
      </c>
      <c r="D619" s="159" t="str">
        <f>IFERROR(__xludf.DUMMYFUNCTION("""COMPUTED_VALUE"""),"application/pdf")</f>
        <v>application/pdf</v>
      </c>
    </row>
    <row r="620">
      <c r="A620" s="159" t="str">
        <f>IFERROR(__xludf.DUMMYFUNCTION("""COMPUTED_VALUE"""),"10.1037/0021-9010.87.1.164")</f>
        <v>10.1037/0021-9010.87.1.164</v>
      </c>
      <c r="B620" s="680" t="str">
        <f>IFERROR(__xludf.DUMMYFUNCTION("""COMPUTED_VALUE"""),"https://drive.google.com/file/d/1DkbIC4OUAbkUdfr8DLk4gtUOeZoou4Qx/view?usp=drivesdk")</f>
        <v>https://drive.google.com/file/d/1DkbIC4OUAbkUdfr8DLk4gtUOeZoou4Qx/view?usp=drivesdk</v>
      </c>
      <c r="C620" s="159" t="str">
        <f>IFERROR(__xludf.DUMMYFUNCTION("""COMPUTED_VALUE"""),"10.1037--0021-9010.87.1.164.pdf")</f>
        <v>10.1037--0021-9010.87.1.164.pdf</v>
      </c>
      <c r="D620" s="159" t="str">
        <f>IFERROR(__xludf.DUMMYFUNCTION("""COMPUTED_VALUE"""),"application/pdf")</f>
        <v>application/pdf</v>
      </c>
    </row>
    <row r="621">
      <c r="A621" s="159" t="str">
        <f>IFERROR(__xludf.DUMMYFUNCTION("""COMPUTED_VALUE"""),"10.1111/j.1744-6570.1966.tb02028.x")</f>
        <v>10.1111/j.1744-6570.1966.tb02028.x</v>
      </c>
      <c r="B621" s="680" t="str">
        <f>IFERROR(__xludf.DUMMYFUNCTION("""COMPUTED_VALUE"""),"https://drive.google.com/file/d/1Oyx0pc8ZVlTprGgUt7_fOBA87xjOPHOd/view?usp=drivesdk")</f>
        <v>https://drive.google.com/file/d/1Oyx0pc8ZVlTprGgUt7_fOBA87xjOPHOd/view?usp=drivesdk</v>
      </c>
      <c r="C621" s="159" t="str">
        <f>IFERROR(__xludf.DUMMYFUNCTION("""COMPUTED_VALUE"""),"10.1111--j.1744-6570.1966.tb02028.x.pdf")</f>
        <v>10.1111--j.1744-6570.1966.tb02028.x.pdf</v>
      </c>
      <c r="D621" s="159" t="str">
        <f>IFERROR(__xludf.DUMMYFUNCTION("""COMPUTED_VALUE"""),"application/pdf")</f>
        <v>application/pdf</v>
      </c>
    </row>
    <row r="622">
      <c r="A622" s="159" t="str">
        <f>IFERROR(__xludf.DUMMYFUNCTION("""COMPUTED_VALUE"""),"10.1037/h0024237")</f>
        <v>10.1037/h0024237</v>
      </c>
      <c r="B622" s="680" t="str">
        <f>IFERROR(__xludf.DUMMYFUNCTION("""COMPUTED_VALUE"""),"https://drive.google.com/file/d/1_QxdHmD6p0LMdFFkPDlXNxwaCVmyY8Ws/view?usp=drivesdk")</f>
        <v>https://drive.google.com/file/d/1_QxdHmD6p0LMdFFkPDlXNxwaCVmyY8Ws/view?usp=drivesdk</v>
      </c>
      <c r="C622" s="159" t="str">
        <f>IFERROR(__xludf.DUMMYFUNCTION("""COMPUTED_VALUE"""),"10.1037--h0024237.pdf")</f>
        <v>10.1037--h0024237.pdf</v>
      </c>
      <c r="D622" s="159" t="str">
        <f>IFERROR(__xludf.DUMMYFUNCTION("""COMPUTED_VALUE"""),"application/pdf")</f>
        <v>application/pdf</v>
      </c>
    </row>
    <row r="623">
      <c r="A623" s="159" t="str">
        <f>IFERROR(__xludf.DUMMYFUNCTION("""COMPUTED_VALUE"""),"10.1111/j.1467-9280.1993.tb00471.x")</f>
        <v>10.1111/j.1467-9280.1993.tb00471.x</v>
      </c>
      <c r="B623" s="680" t="str">
        <f>IFERROR(__xludf.DUMMYFUNCTION("""COMPUTED_VALUE"""),"https://drive.google.com/file/d/15E2a1NUuWmWK9ru9qEUqy-mh-BWvSM-V/view?usp=drivesdk")</f>
        <v>https://drive.google.com/file/d/15E2a1NUuWmWK9ru9qEUqy-mh-BWvSM-V/view?usp=drivesdk</v>
      </c>
      <c r="C623" s="159" t="str">
        <f>IFERROR(__xludf.DUMMYFUNCTION("""COMPUTED_VALUE"""),"10.1111--j.1467-9280.1993.tb00471.x.pdf")</f>
        <v>10.1111--j.1467-9280.1993.tb00471.x.pdf</v>
      </c>
      <c r="D623" s="159" t="str">
        <f>IFERROR(__xludf.DUMMYFUNCTION("""COMPUTED_VALUE"""),"application/pdf")</f>
        <v>application/pdf</v>
      </c>
    </row>
    <row r="624">
      <c r="A624" s="159" t="str">
        <f>IFERROR(__xludf.DUMMYFUNCTION("""COMPUTED_VALUE"""),"10.1080/14768320600941814")</f>
        <v>10.1080/14768320600941814</v>
      </c>
      <c r="B624" s="680" t="str">
        <f>IFERROR(__xludf.DUMMYFUNCTION("""COMPUTED_VALUE"""),"https://drive.google.com/file/d/19N8pwZMy0LVwDbLIUF-zXafkfJMueuzz/view?usp=drivesdk")</f>
        <v>https://drive.google.com/file/d/19N8pwZMy0LVwDbLIUF-zXafkfJMueuzz/view?usp=drivesdk</v>
      </c>
      <c r="C624" s="159" t="str">
        <f>IFERROR(__xludf.DUMMYFUNCTION("""COMPUTED_VALUE"""),"10.1080--14768320600941814.pdf")</f>
        <v>10.1080--14768320600941814.pdf</v>
      </c>
      <c r="D624" s="159" t="str">
        <f>IFERROR(__xludf.DUMMYFUNCTION("""COMPUTED_VALUE"""),"application/pdf")</f>
        <v>application/pdf</v>
      </c>
    </row>
    <row r="625">
      <c r="A625" s="159" t="str">
        <f>IFERROR(__xludf.DUMMYFUNCTION("""COMPUTED_VALUE"""),"10.1006/obhd.1998.2779")</f>
        <v>10.1006/obhd.1998.2779</v>
      </c>
      <c r="B625" s="680" t="str">
        <f>IFERROR(__xludf.DUMMYFUNCTION("""COMPUTED_VALUE"""),"https://drive.google.com/file/d/1EYj-AJ9FNNmlYCeK1jXlxcdlU8yoEf8U/view?usp=drivesdk")</f>
        <v>https://drive.google.com/file/d/1EYj-AJ9FNNmlYCeK1jXlxcdlU8yoEf8U/view?usp=drivesdk</v>
      </c>
      <c r="C625" s="159" t="str">
        <f>IFERROR(__xludf.DUMMYFUNCTION("""COMPUTED_VALUE"""),"10.1006--obhd.1998.2779.pdf")</f>
        <v>10.1006--obhd.1998.2779.pdf</v>
      </c>
      <c r="D625" s="159" t="str">
        <f>IFERROR(__xludf.DUMMYFUNCTION("""COMPUTED_VALUE"""),"application/pdf")</f>
        <v>application/pdf</v>
      </c>
    </row>
    <row r="626">
      <c r="A626" s="159" t="str">
        <f>IFERROR(__xludf.DUMMYFUNCTION("""COMPUTED_VALUE"""),"10.1006/obhd.1996.0077")</f>
        <v>10.1006/obhd.1996.0077</v>
      </c>
      <c r="B626" s="680" t="str">
        <f>IFERROR(__xludf.DUMMYFUNCTION("""COMPUTED_VALUE"""),"https://drive.google.com/file/d/1H5kmXn2jT9V_CTV9u2e0PVKO4jeKLaHx/view?usp=drivesdk")</f>
        <v>https://drive.google.com/file/d/1H5kmXn2jT9V_CTV9u2e0PVKO4jeKLaHx/view?usp=drivesdk</v>
      </c>
      <c r="C626" s="159" t="str">
        <f>IFERROR(__xludf.DUMMYFUNCTION("""COMPUTED_VALUE"""),"10.1006--obhd.1996.0077.pdf")</f>
        <v>10.1006--obhd.1996.0077.pdf</v>
      </c>
      <c r="D626" s="159" t="str">
        <f>IFERROR(__xludf.DUMMYFUNCTION("""COMPUTED_VALUE"""),"application/pdf")</f>
        <v>application/pdf</v>
      </c>
    </row>
    <row r="627">
      <c r="A627" s="159" t="str">
        <f>IFERROR(__xludf.DUMMYFUNCTION("""COMPUTED_VALUE"""),"10.1016/j.hrmr.2020.100789")</f>
        <v>10.1016/j.hrmr.2020.100789</v>
      </c>
      <c r="B627" s="680" t="str">
        <f>IFERROR(__xludf.DUMMYFUNCTION("""COMPUTED_VALUE"""),"https://drive.google.com/file/d/1TYOhaEz5YA4ymkP4vRgmQmI2Gpkyh7kI/view?usp=drivesdk")</f>
        <v>https://drive.google.com/file/d/1TYOhaEz5YA4ymkP4vRgmQmI2Gpkyh7kI/view?usp=drivesdk</v>
      </c>
      <c r="C627" s="159" t="str">
        <f>IFERROR(__xludf.DUMMYFUNCTION("""COMPUTED_VALUE"""),"10.1016--j.hrmr.2020.100789.pdf")</f>
        <v>10.1016--j.hrmr.2020.100789.pdf</v>
      </c>
      <c r="D627" s="159" t="str">
        <f>IFERROR(__xludf.DUMMYFUNCTION("""COMPUTED_VALUE"""),"application/pdf")</f>
        <v>application/pdf</v>
      </c>
    </row>
    <row r="628">
      <c r="A628" s="159" t="str">
        <f>IFERROR(__xludf.DUMMYFUNCTION("""COMPUTED_VALUE"""),"10.1037/0021-9010.81.2.161")</f>
        <v>10.1037/0021-9010.81.2.161</v>
      </c>
      <c r="B628" s="680" t="str">
        <f>IFERROR(__xludf.DUMMYFUNCTION("""COMPUTED_VALUE"""),"https://drive.google.com/file/d/1eC3ImDX6vCsruBUdhf-InV8MxKa86ca9/view?usp=drivesdk")</f>
        <v>https://drive.google.com/file/d/1eC3ImDX6vCsruBUdhf-InV8MxKa86ca9/view?usp=drivesdk</v>
      </c>
      <c r="C628" s="159" t="str">
        <f>IFERROR(__xludf.DUMMYFUNCTION("""COMPUTED_VALUE"""),"10.1037--0021-9010.81.2.161.pdf")</f>
        <v>10.1037--0021-9010.81.2.161.pdf</v>
      </c>
      <c r="D628" s="159" t="str">
        <f>IFERROR(__xludf.DUMMYFUNCTION("""COMPUTED_VALUE"""),"application/pdf")</f>
        <v>application/pdf</v>
      </c>
    </row>
    <row r="629">
      <c r="A629" s="159" t="str">
        <f>IFERROR(__xludf.DUMMYFUNCTION("""COMPUTED_VALUE"""),"10.1177/1069072717723095")</f>
        <v>10.1177/1069072717723095</v>
      </c>
      <c r="B629" s="680" t="str">
        <f>IFERROR(__xludf.DUMMYFUNCTION("""COMPUTED_VALUE"""),"https://drive.google.com/file/d/17U9RMLqGCEBrogjDtefhjwPoPQI0EHQS/view?usp=drivesdk")</f>
        <v>https://drive.google.com/file/d/17U9RMLqGCEBrogjDtefhjwPoPQI0EHQS/view?usp=drivesdk</v>
      </c>
      <c r="C629" s="159" t="str">
        <f>IFERROR(__xludf.DUMMYFUNCTION("""COMPUTED_VALUE"""),"10.1177--1069072717723095.pdf")</f>
        <v>10.1177--1069072717723095.pdf</v>
      </c>
      <c r="D629" s="159" t="str">
        <f>IFERROR(__xludf.DUMMYFUNCTION("""COMPUTED_VALUE"""),"application/pdf")</f>
        <v>application/pdf</v>
      </c>
    </row>
    <row r="630">
      <c r="A630" s="159" t="str">
        <f>IFERROR(__xludf.DUMMYFUNCTION("""COMPUTED_VALUE"""),"10.1016/0749-5978(92)90053-a")</f>
        <v>10.1016/0749-5978(92)90053-a</v>
      </c>
      <c r="B630" s="680" t="str">
        <f>IFERROR(__xludf.DUMMYFUNCTION("""COMPUTED_VALUE"""),"https://drive.google.com/file/d/1-AYmO0YcwlXM4iwg187p4Ut7JCPIAcHu/view?usp=drivesdk")</f>
        <v>https://drive.google.com/file/d/1-AYmO0YcwlXM4iwg187p4Ut7JCPIAcHu/view?usp=drivesdk</v>
      </c>
      <c r="C630" s="159" t="str">
        <f>IFERROR(__xludf.DUMMYFUNCTION("""COMPUTED_VALUE"""),"10.1016--0749-5978(92)90053-A.pdf")</f>
        <v>10.1016--0749-5978(92)90053-A.pdf</v>
      </c>
      <c r="D630" s="159" t="str">
        <f>IFERROR(__xludf.DUMMYFUNCTION("""COMPUTED_VALUE"""),"application/pdf")</f>
        <v>application/pdf</v>
      </c>
    </row>
    <row r="631">
      <c r="A631" s="159" t="str">
        <f>IFERROR(__xludf.DUMMYFUNCTION("""COMPUTED_VALUE"""),"10.1002/job.92")</f>
        <v>10.1002/job.92</v>
      </c>
      <c r="B631" s="680" t="str">
        <f>IFERROR(__xludf.DUMMYFUNCTION("""COMPUTED_VALUE"""),"https://drive.google.com/file/d/1lPIN90Oxm68BObKRk2JvLMusl4eYjWaV/view?usp=drivesdk")</f>
        <v>https://drive.google.com/file/d/1lPIN90Oxm68BObKRk2JvLMusl4eYjWaV/view?usp=drivesdk</v>
      </c>
      <c r="C631" s="159" t="str">
        <f>IFERROR(__xludf.DUMMYFUNCTION("""COMPUTED_VALUE"""),"10.1002--job.92.pdf")</f>
        <v>10.1002--job.92.pdf</v>
      </c>
      <c r="D631" s="159" t="str">
        <f>IFERROR(__xludf.DUMMYFUNCTION("""COMPUTED_VALUE"""),"application/pdf")</f>
        <v>application/pdf</v>
      </c>
    </row>
    <row r="632">
      <c r="A632" s="159" t="str">
        <f>IFERROR(__xludf.DUMMYFUNCTION("""COMPUTED_VALUE"""),"10.1016/j.jmp.2004.01.001")</f>
        <v>10.1016/j.jmp.2004.01.001</v>
      </c>
      <c r="B632" s="680" t="str">
        <f>IFERROR(__xludf.DUMMYFUNCTION("""COMPUTED_VALUE"""),"https://drive.google.com/file/d/1U4En_0sRIgGMtR_aeXkIGVEdeF7aDoTt/view?usp=drivesdk")</f>
        <v>https://drive.google.com/file/d/1U4En_0sRIgGMtR_aeXkIGVEdeF7aDoTt/view?usp=drivesdk</v>
      </c>
      <c r="C632" s="159" t="str">
        <f>IFERROR(__xludf.DUMMYFUNCTION("""COMPUTED_VALUE"""),"10.1016--j.jmp.2004.01.001.pdf")</f>
        <v>10.1016--j.jmp.2004.01.001.pdf</v>
      </c>
      <c r="D632" s="159" t="str">
        <f>IFERROR(__xludf.DUMMYFUNCTION("""COMPUTED_VALUE"""),"application/pdf")</f>
        <v>application/pdf</v>
      </c>
    </row>
    <row r="633">
      <c r="A633" s="159" t="str">
        <f>IFERROR(__xludf.DUMMYFUNCTION("""COMPUTED_VALUE"""),"10.1037/0021-9010.81.4.331")</f>
        <v>10.1037/0021-9010.81.4.331</v>
      </c>
      <c r="B633" s="680" t="str">
        <f>IFERROR(__xludf.DUMMYFUNCTION("""COMPUTED_VALUE"""),"https://drive.google.com/file/d/1nzuwT8bxt2R4p9dSgyGk2nA_IyFvM8mx/view?usp=drivesdk")</f>
        <v>https://drive.google.com/file/d/1nzuwT8bxt2R4p9dSgyGk2nA_IyFvM8mx/view?usp=drivesdk</v>
      </c>
      <c r="C633" s="159" t="str">
        <f>IFERROR(__xludf.DUMMYFUNCTION("""COMPUTED_VALUE"""),"10.1037--0021-9010.81.4.331.pdf")</f>
        <v>10.1037--0021-9010.81.4.331.pdf</v>
      </c>
      <c r="D633" s="159" t="str">
        <f>IFERROR(__xludf.DUMMYFUNCTION("""COMPUTED_VALUE"""),"application/pdf")</f>
        <v>application/pdf</v>
      </c>
    </row>
    <row r="634">
      <c r="A634" s="159" t="str">
        <f>IFERROR(__xludf.DUMMYFUNCTION("""COMPUTED_VALUE"""),"10.1177/001872677302600206")</f>
        <v>10.1177/001872677302600206</v>
      </c>
      <c r="B634" s="680" t="str">
        <f>IFERROR(__xludf.DUMMYFUNCTION("""COMPUTED_VALUE"""),"https://drive.google.com/file/d/1v1Ke66IwX2Opi8e30nt9-JKJg55ehgW6/view?usp=drivesdk")</f>
        <v>https://drive.google.com/file/d/1v1Ke66IwX2Opi8e30nt9-JKJg55ehgW6/view?usp=drivesdk</v>
      </c>
      <c r="C634" s="159" t="str">
        <f>IFERROR(__xludf.DUMMYFUNCTION("""COMPUTED_VALUE"""),"10.1177--001872677302600206.pdf")</f>
        <v>10.1177--001872677302600206.pdf</v>
      </c>
      <c r="D634" s="159" t="str">
        <f>IFERROR(__xludf.DUMMYFUNCTION("""COMPUTED_VALUE"""),"application/pdf")</f>
        <v>application/pdf</v>
      </c>
    </row>
    <row r="635">
      <c r="A635" s="159" t="str">
        <f>IFERROR(__xludf.DUMMYFUNCTION("""COMPUTED_VALUE"""),"10.1002/job.4030150508")</f>
        <v>10.1002/job.4030150508</v>
      </c>
      <c r="B635" s="680" t="str">
        <f>IFERROR(__xludf.DUMMYFUNCTION("""COMPUTED_VALUE"""),"https://drive.google.com/file/d/1zM8dzZzToiGYepDqSVoRfRTAj0xB2uoz/view?usp=drivesdk")</f>
        <v>https://drive.google.com/file/d/1zM8dzZzToiGYepDqSVoRfRTAj0xB2uoz/view?usp=drivesdk</v>
      </c>
      <c r="C635" s="159" t="str">
        <f>IFERROR(__xludf.DUMMYFUNCTION("""COMPUTED_VALUE"""),"10.1002--job.4030150508.pdf")</f>
        <v>10.1002--job.4030150508.pdf</v>
      </c>
      <c r="D635" s="159" t="str">
        <f>IFERROR(__xludf.DUMMYFUNCTION("""COMPUTED_VALUE"""),"application/pdf")</f>
        <v>application/pdf</v>
      </c>
    </row>
    <row r="636">
      <c r="A636" s="159" t="str">
        <f>IFERROR(__xludf.DUMMYFUNCTION("""COMPUTED_VALUE"""),"10.1016/0030-5073(67)90021-9")</f>
        <v>10.1016/0030-5073(67)90021-9</v>
      </c>
      <c r="B636" s="680" t="str">
        <f>IFERROR(__xludf.DUMMYFUNCTION("""COMPUTED_VALUE"""),"https://drive.google.com/file/d/1NhqsWF1BsSsBVIu4_fRaegF1rny4CPsS/view?usp=drivesdk")</f>
        <v>https://drive.google.com/file/d/1NhqsWF1BsSsBVIu4_fRaegF1rny4CPsS/view?usp=drivesdk</v>
      </c>
      <c r="C636" s="159" t="str">
        <f>IFERROR(__xludf.DUMMYFUNCTION("""COMPUTED_VALUE"""),"10.1016--0030-5073(67)90021-9.pdf")</f>
        <v>10.1016--0030-5073(67)90021-9.pdf</v>
      </c>
      <c r="D636" s="159" t="str">
        <f>IFERROR(__xludf.DUMMYFUNCTION("""COMPUTED_VALUE"""),"application/pdf")</f>
        <v>application/pdf</v>
      </c>
    </row>
    <row r="637">
      <c r="A637" s="159" t="str">
        <f>IFERROR(__xludf.DUMMYFUNCTION("""COMPUTED_VALUE"""),"10.1037/0021-9010.76.1.137")</f>
        <v>10.1037/0021-9010.76.1.137</v>
      </c>
      <c r="B637" s="680" t="str">
        <f>IFERROR(__xludf.DUMMYFUNCTION("""COMPUTED_VALUE"""),"https://drive.google.com/file/d/1NXncVzKi4au9cliVWtR6PiThfUO3JXlu/view?usp=drivesdk")</f>
        <v>https://drive.google.com/file/d/1NXncVzKi4au9cliVWtR6PiThfUO3JXlu/view?usp=drivesdk</v>
      </c>
      <c r="C637" s="159" t="str">
        <f>IFERROR(__xludf.DUMMYFUNCTION("""COMPUTED_VALUE"""),"10.1037--0021-9010.76.1.137.pdf")</f>
        <v>10.1037--0021-9010.76.1.137.pdf</v>
      </c>
      <c r="D637" s="159" t="str">
        <f>IFERROR(__xludf.DUMMYFUNCTION("""COMPUTED_VALUE"""),"application/pdf")</f>
        <v>application/pdf</v>
      </c>
    </row>
    <row r="638">
      <c r="A638" s="159" t="str">
        <f>IFERROR(__xludf.DUMMYFUNCTION("""COMPUTED_VALUE"""),"10.1177/001872677903200503")</f>
        <v>10.1177/001872677903200503</v>
      </c>
      <c r="B638" s="680" t="str">
        <f>IFERROR(__xludf.DUMMYFUNCTION("""COMPUTED_VALUE"""),"https://drive.google.com/file/d/1Iri-BlPzXpppvedBgL332wuNWoKl3GBi/view?usp=drivesdk")</f>
        <v>https://drive.google.com/file/d/1Iri-BlPzXpppvedBgL332wuNWoKl3GBi/view?usp=drivesdk</v>
      </c>
      <c r="C638" s="159" t="str">
        <f>IFERROR(__xludf.DUMMYFUNCTION("""COMPUTED_VALUE"""),"10.1177--001872677903200503.pdf")</f>
        <v>10.1177--001872677903200503.pdf</v>
      </c>
      <c r="D638" s="159" t="str">
        <f>IFERROR(__xludf.DUMMYFUNCTION("""COMPUTED_VALUE"""),"application/pdf")</f>
        <v>application/pdf</v>
      </c>
    </row>
    <row r="639">
      <c r="A639" s="159" t="str">
        <f>IFERROR(__xludf.DUMMYFUNCTION("""COMPUTED_VALUE"""),"10.1080/13594320903223839")</f>
        <v>10.1080/13594320903223839</v>
      </c>
      <c r="B639" s="680" t="str">
        <f>IFERROR(__xludf.DUMMYFUNCTION("""COMPUTED_VALUE"""),"https://drive.google.com/file/d/1Sf8fr80rdM2vDylr3ynXaY7lG38m55Lb/view?usp=drivesdk")</f>
        <v>https://drive.google.com/file/d/1Sf8fr80rdM2vDylr3ynXaY7lG38m55Lb/view?usp=drivesdk</v>
      </c>
      <c r="C639" s="159" t="str">
        <f>IFERROR(__xludf.DUMMYFUNCTION("""COMPUTED_VALUE"""),"10.1080--13594320903223839.pdf")</f>
        <v>10.1080--13594320903223839.pdf</v>
      </c>
      <c r="D639" s="159" t="str">
        <f>IFERROR(__xludf.DUMMYFUNCTION("""COMPUTED_VALUE"""),"application/pdf")</f>
        <v>application/pdf</v>
      </c>
    </row>
    <row r="640">
      <c r="A640" s="159" t="str">
        <f>IFERROR(__xludf.DUMMYFUNCTION("""COMPUTED_VALUE"""),"10.2307/1126958")</f>
        <v>10.2307/1126958</v>
      </c>
      <c r="B640" s="680" t="str">
        <f>IFERROR(__xludf.DUMMYFUNCTION("""COMPUTED_VALUE"""),"https://drive.google.com/file/d/1vpqXtXD2DmRq57y0qe-bZumNIuktnNc8/view?usp=drivesdk")</f>
        <v>https://drive.google.com/file/d/1vpqXtXD2DmRq57y0qe-bZumNIuktnNc8/view?usp=drivesdk</v>
      </c>
      <c r="C640" s="159" t="str">
        <f>IFERROR(__xludf.DUMMYFUNCTION("""COMPUTED_VALUE"""),"10.2307--1126958.pdf")</f>
        <v>10.2307--1126958.pdf</v>
      </c>
      <c r="D640" s="159" t="str">
        <f>IFERROR(__xludf.DUMMYFUNCTION("""COMPUTED_VALUE"""),"application/pdf")</f>
        <v>application/pdf</v>
      </c>
    </row>
    <row r="641">
      <c r="A641" s="159" t="str">
        <f>IFERROR(__xludf.DUMMYFUNCTION("""COMPUTED_VALUE"""),"10.2307/2391786")</f>
        <v>10.2307/2391786</v>
      </c>
      <c r="B641" s="680" t="str">
        <f>IFERROR(__xludf.DUMMYFUNCTION("""COMPUTED_VALUE"""),"https://drive.google.com/file/d/1K58B4V5Ou9RiaXJ1Ce9vgK1rUcyszuQm/view?usp=drivesdk")</f>
        <v>https://drive.google.com/file/d/1K58B4V5Ou9RiaXJ1Ce9vgK1rUcyszuQm/view?usp=drivesdk</v>
      </c>
      <c r="C641" s="159" t="str">
        <f>IFERROR(__xludf.DUMMYFUNCTION("""COMPUTED_VALUE"""),"10.2307--2391786.pdf")</f>
        <v>10.2307--2391786.pdf</v>
      </c>
      <c r="D641" s="159" t="str">
        <f>IFERROR(__xludf.DUMMYFUNCTION("""COMPUTED_VALUE"""),"application/pdf")</f>
        <v>application/pdf</v>
      </c>
    </row>
    <row r="642">
      <c r="A642" s="159" t="str">
        <f>IFERROR(__xludf.DUMMYFUNCTION("""COMPUTED_VALUE"""),"10.1037/h0022937")</f>
        <v>10.1037/h0022937</v>
      </c>
      <c r="B642" s="680" t="str">
        <f>IFERROR(__xludf.DUMMYFUNCTION("""COMPUTED_VALUE"""),"https://drive.google.com/file/d/1A5kY0NZUcTDsUX0GIYmEQu9DloCIrtOV/view?usp=drivesdk")</f>
        <v>https://drive.google.com/file/d/1A5kY0NZUcTDsUX0GIYmEQu9DloCIrtOV/view?usp=drivesdk</v>
      </c>
      <c r="C642" s="159" t="str">
        <f>IFERROR(__xludf.DUMMYFUNCTION("""COMPUTED_VALUE"""),"10.1037--h0022937.pdf")</f>
        <v>10.1037--h0022937.pdf</v>
      </c>
      <c r="D642" s="159" t="str">
        <f>IFERROR(__xludf.DUMMYFUNCTION("""COMPUTED_VALUE"""),"application/pdf")</f>
        <v>application/pdf</v>
      </c>
    </row>
    <row r="643">
      <c r="A643" s="159" t="str">
        <f>IFERROR(__xludf.DUMMYFUNCTION("""COMPUTED_VALUE"""),"10.2307/2392436")</f>
        <v>10.2307/2392436</v>
      </c>
      <c r="B643" s="680" t="str">
        <f>IFERROR(__xludf.DUMMYFUNCTION("""COMPUTED_VALUE"""),"https://drive.google.com/file/d/1lFSpRq1xHgoM0q1hb9HwfhqHZUWDBJI2/view?usp=drivesdk")</f>
        <v>https://drive.google.com/file/d/1lFSpRq1xHgoM0q1hb9HwfhqHZUWDBJI2/view?usp=drivesdk</v>
      </c>
      <c r="C643" s="159" t="str">
        <f>IFERROR(__xludf.DUMMYFUNCTION("""COMPUTED_VALUE"""),"10.2307--2392436.pdf")</f>
        <v>10.2307--2392436.pdf</v>
      </c>
      <c r="D643" s="159" t="str">
        <f>IFERROR(__xludf.DUMMYFUNCTION("""COMPUTED_VALUE"""),"application/pdf")</f>
        <v>application/pdf</v>
      </c>
    </row>
    <row r="644">
      <c r="A644" s="159" t="str">
        <f>IFERROR(__xludf.DUMMYFUNCTION("""COMPUTED_VALUE"""),"10.1037/h0035791")</f>
        <v>10.1037/h0035791</v>
      </c>
      <c r="B644" s="680" t="str">
        <f>IFERROR(__xludf.DUMMYFUNCTION("""COMPUTED_VALUE"""),"https://drive.google.com/file/d/1eLjPcdaaph61B69dnjf7n3TPsp3pQImO/view?usp=drivesdk")</f>
        <v>https://drive.google.com/file/d/1eLjPcdaaph61B69dnjf7n3TPsp3pQImO/view?usp=drivesdk</v>
      </c>
      <c r="C644" s="159" t="str">
        <f>IFERROR(__xludf.DUMMYFUNCTION("""COMPUTED_VALUE"""),"10.1037--h0035791.pdf")</f>
        <v>10.1037--h0035791.pdf</v>
      </c>
      <c r="D644" s="159" t="str">
        <f>IFERROR(__xludf.DUMMYFUNCTION("""COMPUTED_VALUE"""),"application/pdf")</f>
        <v>application/pdf</v>
      </c>
    </row>
    <row r="645">
      <c r="A645" s="159" t="str">
        <f>IFERROR(__xludf.DUMMYFUNCTION("""COMPUTED_VALUE"""),"10.2307/256833")</f>
        <v>10.2307/256833</v>
      </c>
      <c r="B645" s="680" t="str">
        <f>IFERROR(__xludf.DUMMYFUNCTION("""COMPUTED_VALUE"""),"https://drive.google.com/file/d/1VqbgfPvzolVGqgwodZvMt3H9Gv5veDzP/view?usp=drivesdk")</f>
        <v>https://drive.google.com/file/d/1VqbgfPvzolVGqgwodZvMt3H9Gv5veDzP/view?usp=drivesdk</v>
      </c>
      <c r="C645" s="159" t="str">
        <f>IFERROR(__xludf.DUMMYFUNCTION("""COMPUTED_VALUE"""),"10.2307--256833.pdf")</f>
        <v>10.2307--256833.pdf</v>
      </c>
      <c r="D645" s="159" t="str">
        <f>IFERROR(__xludf.DUMMYFUNCTION("""COMPUTED_VALUE"""),"application/pdf")</f>
        <v>application/pdf</v>
      </c>
    </row>
    <row r="646">
      <c r="A646" s="159" t="str">
        <f>IFERROR(__xludf.DUMMYFUNCTION("""COMPUTED_VALUE"""),"10.1037/0021-9010.80.5.628")</f>
        <v>10.1037/0021-9010.80.5.628</v>
      </c>
      <c r="B646" s="680" t="str">
        <f>IFERROR(__xludf.DUMMYFUNCTION("""COMPUTED_VALUE"""),"https://drive.google.com/file/d/1hWitN9UHyWx3G-z2BBqNPGwMWtgm8Fkb/view?usp=drivesdk")</f>
        <v>https://drive.google.com/file/d/1hWitN9UHyWx3G-z2BBqNPGwMWtgm8Fkb/view?usp=drivesdk</v>
      </c>
      <c r="C646" s="159" t="str">
        <f>IFERROR(__xludf.DUMMYFUNCTION("""COMPUTED_VALUE"""),"10.1037--0021-9010.80.5.628.pdf")</f>
        <v>10.1037--0021-9010.80.5.628.pdf</v>
      </c>
      <c r="D646" s="159" t="str">
        <f>IFERROR(__xludf.DUMMYFUNCTION("""COMPUTED_VALUE"""),"application/pdf")</f>
        <v>application/pdf</v>
      </c>
    </row>
    <row r="647">
      <c r="A647" s="159" t="str">
        <f>IFERROR(__xludf.DUMMYFUNCTION("""COMPUTED_VALUE"""),"10.1037/0021-9010.79.4.592")</f>
        <v>10.1037/0021-9010.79.4.592</v>
      </c>
      <c r="B647" s="680" t="str">
        <f>IFERROR(__xludf.DUMMYFUNCTION("""COMPUTED_VALUE"""),"https://drive.google.com/file/d/1Q4HqMQUdO5fVqviBWpcKBVsk1Q0ud_BJ/view?usp=drivesdk")</f>
        <v>https://drive.google.com/file/d/1Q4HqMQUdO5fVqviBWpcKBVsk1Q0ud_BJ/view?usp=drivesdk</v>
      </c>
      <c r="C647" s="159" t="str">
        <f>IFERROR(__xludf.DUMMYFUNCTION("""COMPUTED_VALUE"""),"10.1037--0021-9010.79.4.592.pdf")</f>
        <v>10.1037--0021-9010.79.4.592.pdf</v>
      </c>
      <c r="D647" s="159" t="str">
        <f>IFERROR(__xludf.DUMMYFUNCTION("""COMPUTED_VALUE"""),"application/pdf")</f>
        <v>application/pdf</v>
      </c>
    </row>
    <row r="648">
      <c r="A648" s="159" t="str">
        <f>IFERROR(__xludf.DUMMYFUNCTION("""COMPUTED_VALUE"""),"10.1037/0021-9010.93.5.1104")</f>
        <v>10.1037/0021-9010.93.5.1104</v>
      </c>
      <c r="B648" s="680" t="str">
        <f>IFERROR(__xludf.DUMMYFUNCTION("""COMPUTED_VALUE"""),"https://drive.google.com/file/d/1WsxDtrRFRkWrCQttfA5OLOTbWi_mcyNb/view?usp=drivesdk")</f>
        <v>https://drive.google.com/file/d/1WsxDtrRFRkWrCQttfA5OLOTbWi_mcyNb/view?usp=drivesdk</v>
      </c>
      <c r="C648" s="159" t="str">
        <f>IFERROR(__xludf.DUMMYFUNCTION("""COMPUTED_VALUE"""),"10.1037--0021-9010.93.5.1104.pdf")</f>
        <v>10.1037--0021-9010.93.5.1104.pdf</v>
      </c>
      <c r="D648" s="159" t="str">
        <f>IFERROR(__xludf.DUMMYFUNCTION("""COMPUTED_VALUE"""),"application/pdf")</f>
        <v>application/pdf</v>
      </c>
    </row>
    <row r="649">
      <c r="A649" s="159" t="str">
        <f>IFERROR(__xludf.DUMMYFUNCTION("""COMPUTED_VALUE"""),"10.1016/0001-8791(71)90010-8")</f>
        <v>10.1016/0001-8791(71)90010-8</v>
      </c>
      <c r="B649" s="680" t="str">
        <f>IFERROR(__xludf.DUMMYFUNCTION("""COMPUTED_VALUE"""),"https://drive.google.com/file/d/1aWYLmux0U20GhHvoLidD-4y0F8MW8Bjc/view?usp=drivesdk")</f>
        <v>https://drive.google.com/file/d/1aWYLmux0U20GhHvoLidD-4y0F8MW8Bjc/view?usp=drivesdk</v>
      </c>
      <c r="C649" s="159" t="str">
        <f>IFERROR(__xludf.DUMMYFUNCTION("""COMPUTED_VALUE"""),"10.1016--0001-8791(71)90010-8.pdf")</f>
        <v>10.1016--0001-8791(71)90010-8.pdf</v>
      </c>
      <c r="D649" s="159" t="str">
        <f>IFERROR(__xludf.DUMMYFUNCTION("""COMPUTED_VALUE"""),"application/pdf")</f>
        <v>application/pdf</v>
      </c>
    </row>
    <row r="650">
      <c r="A650" s="159" t="str">
        <f>IFERROR(__xludf.DUMMYFUNCTION("""COMPUTED_VALUE"""),"10.1037/0022-3514.85.6.1121")</f>
        <v>10.1037/0022-3514.85.6.1121</v>
      </c>
      <c r="B650" s="680" t="str">
        <f>IFERROR(__xludf.DUMMYFUNCTION("""COMPUTED_VALUE"""),"https://drive.google.com/file/d/1o_gi-Pat05RlZE8GgtC5-4xu1505dF8Y/view?usp=drivesdk")</f>
        <v>https://drive.google.com/file/d/1o_gi-Pat05RlZE8GgtC5-4xu1505dF8Y/view?usp=drivesdk</v>
      </c>
      <c r="C650" s="159" t="str">
        <f>IFERROR(__xludf.DUMMYFUNCTION("""COMPUTED_VALUE"""),"10.1037--0022-3514.85.6.1121.pdf")</f>
        <v>10.1037--0022-3514.85.6.1121.pdf</v>
      </c>
      <c r="D650" s="159" t="str">
        <f>IFERROR(__xludf.DUMMYFUNCTION("""COMPUTED_VALUE"""),"application/pdf")</f>
        <v>application/pdf</v>
      </c>
    </row>
    <row r="651">
      <c r="A651" s="159" t="str">
        <f>IFERROR(__xludf.DUMMYFUNCTION("""COMPUTED_VALUE"""),"10.1037/a0027983")</f>
        <v>10.1037/a0027983</v>
      </c>
      <c r="B651" s="680" t="str">
        <f>IFERROR(__xludf.DUMMYFUNCTION("""COMPUTED_VALUE"""),"https://drive.google.com/file/d/1F0sZGq5X_UbY_KQwRgvQwUT6SLIMLzZK/view?usp=drivesdk")</f>
        <v>https://drive.google.com/file/d/1F0sZGq5X_UbY_KQwRgvQwUT6SLIMLzZK/view?usp=drivesdk</v>
      </c>
      <c r="C651" s="159" t="str">
        <f>IFERROR(__xludf.DUMMYFUNCTION("""COMPUTED_VALUE"""),"10.1037--a0027983.pdf")</f>
        <v>10.1037--a0027983.pdf</v>
      </c>
      <c r="D651" s="159" t="str">
        <f>IFERROR(__xludf.DUMMYFUNCTION("""COMPUTED_VALUE"""),"application/pdf")</f>
        <v>application/pdf</v>
      </c>
    </row>
    <row r="652">
      <c r="A652" s="159" t="str">
        <f>IFERROR(__xludf.DUMMYFUNCTION("""COMPUTED_VALUE"""),"10.1037/a0013203")</f>
        <v>10.1037/a0013203</v>
      </c>
      <c r="B652" s="680" t="str">
        <f>IFERROR(__xludf.DUMMYFUNCTION("""COMPUTED_VALUE"""),"https://drive.google.com/file/d/1-Lhzzq9KjrRv22Rr_HTvtYU2IyQQela2/view?usp=drivesdk")</f>
        <v>https://drive.google.com/file/d/1-Lhzzq9KjrRv22Rr_HTvtYU2IyQQela2/view?usp=drivesdk</v>
      </c>
      <c r="C652" s="159" t="str">
        <f>IFERROR(__xludf.DUMMYFUNCTION("""COMPUTED_VALUE"""),"10.1037--a0013203.pdf")</f>
        <v>10.1037--a0013203.pdf</v>
      </c>
      <c r="D652" s="159" t="str">
        <f>IFERROR(__xludf.DUMMYFUNCTION("""COMPUTED_VALUE"""),"application/pdf")</f>
        <v>application/pdf</v>
      </c>
    </row>
    <row r="653">
      <c r="A653" s="159" t="str">
        <f>IFERROR(__xludf.DUMMYFUNCTION("""COMPUTED_VALUE"""),"10.1037/h0044544")</f>
        <v>10.1037/h0044544</v>
      </c>
      <c r="B653" s="680" t="str">
        <f>IFERROR(__xludf.DUMMYFUNCTION("""COMPUTED_VALUE"""),"https://drive.google.com/file/d/1lJX_uLqQTFzl3Dr9EVAYC6OFLvyy8w5u/view?usp=drivesdk")</f>
        <v>https://drive.google.com/file/d/1lJX_uLqQTFzl3Dr9EVAYC6OFLvyy8w5u/view?usp=drivesdk</v>
      </c>
      <c r="C653" s="159" t="str">
        <f>IFERROR(__xludf.DUMMYFUNCTION("""COMPUTED_VALUE"""),"10.1037--h0044544.pdf")</f>
        <v>10.1037--h0044544.pdf</v>
      </c>
      <c r="D653" s="159" t="str">
        <f>IFERROR(__xludf.DUMMYFUNCTION("""COMPUTED_VALUE"""),"application/pdf")</f>
        <v>application/pdf</v>
      </c>
    </row>
    <row r="654">
      <c r="A654" s="159" t="str">
        <f>IFERROR(__xludf.DUMMYFUNCTION("""COMPUTED_VALUE"""),"10.1037/0022-3514.57.3.388")</f>
        <v>10.1037/0022-3514.57.3.388</v>
      </c>
      <c r="B654" s="680" t="str">
        <f>IFERROR(__xludf.DUMMYFUNCTION("""COMPUTED_VALUE"""),"https://drive.google.com/file/d/1oGYeh9V0nFH0wwp11viZxGidPq5oejO2/view?usp=drivesdk")</f>
        <v>https://drive.google.com/file/d/1oGYeh9V0nFH0wwp11viZxGidPq5oejO2/view?usp=drivesdk</v>
      </c>
      <c r="C654" s="159" t="str">
        <f>IFERROR(__xludf.DUMMYFUNCTION("""COMPUTED_VALUE"""),"10.1037--0022-3514.57.3.388.pdf")</f>
        <v>10.1037--0022-3514.57.3.388.pdf</v>
      </c>
      <c r="D654" s="159" t="str">
        <f>IFERROR(__xludf.DUMMYFUNCTION("""COMPUTED_VALUE"""),"application/pdf")</f>
        <v>application/pdf</v>
      </c>
    </row>
    <row r="655">
      <c r="A655" s="159" t="str">
        <f>IFERROR(__xludf.DUMMYFUNCTION("""COMPUTED_VALUE"""),"10.1037/0021-9010.89.6.991")</f>
        <v>10.1037/0021-9010.89.6.991</v>
      </c>
      <c r="B655" s="680" t="str">
        <f>IFERROR(__xludf.DUMMYFUNCTION("""COMPUTED_VALUE"""),"https://drive.google.com/file/d/1X-6b6C2jqCLlB69Z0urRtA1EhjNXHCzQ/view?usp=drivesdk")</f>
        <v>https://drive.google.com/file/d/1X-6b6C2jqCLlB69Z0urRtA1EhjNXHCzQ/view?usp=drivesdk</v>
      </c>
      <c r="C655" s="159" t="str">
        <f>IFERROR(__xludf.DUMMYFUNCTION("""COMPUTED_VALUE"""),"10.1037--0021-9010.89.6.991.pdf")</f>
        <v>10.1037--0021-9010.89.6.991.pdf</v>
      </c>
      <c r="D655" s="159" t="str">
        <f>IFERROR(__xludf.DUMMYFUNCTION("""COMPUTED_VALUE"""),"application/pdf")</f>
        <v>application/pdf</v>
      </c>
    </row>
    <row r="656">
      <c r="A656" s="159" t="str">
        <f>IFERROR(__xludf.DUMMYFUNCTION("""COMPUTED_VALUE"""),"10.1037/0021-9010.72.3.387")</f>
        <v>10.1037/0021-9010.72.3.387</v>
      </c>
      <c r="B656" s="680" t="str">
        <f>IFERROR(__xludf.DUMMYFUNCTION("""COMPUTED_VALUE"""),"https://drive.google.com/file/d/1XTk0Dj79cVp0cUkpk-g11B8k5bVu1aRp/view?usp=drivesdk")</f>
        <v>https://drive.google.com/file/d/1XTk0Dj79cVp0cUkpk-g11B8k5bVu1aRp/view?usp=drivesdk</v>
      </c>
      <c r="C656" s="159" t="str">
        <f>IFERROR(__xludf.DUMMYFUNCTION("""COMPUTED_VALUE"""),"10.1037--0021-9010.72.3.387.pdf")</f>
        <v>10.1037--0021-9010.72.3.387.pdf</v>
      </c>
      <c r="D656" s="159" t="str">
        <f>IFERROR(__xludf.DUMMYFUNCTION("""COMPUTED_VALUE"""),"application/pdf")</f>
        <v>application/pdf</v>
      </c>
    </row>
    <row r="657">
      <c r="A657" s="159" t="str">
        <f>IFERROR(__xludf.DUMMYFUNCTION("""COMPUTED_VALUE"""),"10.1006/obhd.1999.2867")</f>
        <v>10.1006/obhd.1999.2867</v>
      </c>
      <c r="B657" s="680" t="str">
        <f>IFERROR(__xludf.DUMMYFUNCTION("""COMPUTED_VALUE"""),"https://drive.google.com/file/d/1xDh1FZEI5wPBK7K_THUMUiu2sVx9jg-D/view?usp=drivesdk")</f>
        <v>https://drive.google.com/file/d/1xDh1FZEI5wPBK7K_THUMUiu2sVx9jg-D/view?usp=drivesdk</v>
      </c>
      <c r="C657" s="159" t="str">
        <f>IFERROR(__xludf.DUMMYFUNCTION("""COMPUTED_VALUE"""),"10.1006--obhd.1999.2867.pdf")</f>
        <v>10.1006--obhd.1999.2867.pdf</v>
      </c>
      <c r="D657" s="159" t="str">
        <f>IFERROR(__xludf.DUMMYFUNCTION("""COMPUTED_VALUE"""),"application/pdf")</f>
        <v>application/pdf</v>
      </c>
    </row>
    <row r="658">
      <c r="A658" s="159" t="str">
        <f>IFERROR(__xludf.DUMMYFUNCTION("""COMPUTED_VALUE"""),"10.1037/0021-9010.84.3.390")</f>
        <v>10.1037/0021-9010.84.3.390</v>
      </c>
      <c r="B658" s="680" t="str">
        <f>IFERROR(__xludf.DUMMYFUNCTION("""COMPUTED_VALUE"""),"https://drive.google.com/file/d/1lE_G5W7x7KUXTWGKisDTd3tKAHM9mZYV/view?usp=drivesdk")</f>
        <v>https://drive.google.com/file/d/1lE_G5W7x7KUXTWGKisDTd3tKAHM9mZYV/view?usp=drivesdk</v>
      </c>
      <c r="C658" s="159" t="str">
        <f>IFERROR(__xludf.DUMMYFUNCTION("""COMPUTED_VALUE"""),"10.1037--0021-9010.84.3.390.pdf")</f>
        <v>10.1037--0021-9010.84.3.390.pdf</v>
      </c>
      <c r="D658" s="159" t="str">
        <f>IFERROR(__xludf.DUMMYFUNCTION("""COMPUTED_VALUE"""),"application/pdf")</f>
        <v>application/pdf</v>
      </c>
    </row>
    <row r="659">
      <c r="A659" s="159" t="str">
        <f>IFERROR(__xludf.DUMMYFUNCTION("""COMPUTED_VALUE"""),"10.2307/2392616")</f>
        <v>10.2307/2392616</v>
      </c>
      <c r="B659" s="680" t="str">
        <f>IFERROR(__xludf.DUMMYFUNCTION("""COMPUTED_VALUE"""),"https://drive.google.com/file/d/12qCiKv6J4SgfX_pd5fuvCVNxmM3skl1d/view?usp=drivesdk")</f>
        <v>https://drive.google.com/file/d/12qCiKv6J4SgfX_pd5fuvCVNxmM3skl1d/view?usp=drivesdk</v>
      </c>
      <c r="C659" s="159" t="str">
        <f>IFERROR(__xludf.DUMMYFUNCTION("""COMPUTED_VALUE"""),"10.2307--2392616.pdf")</f>
        <v>10.2307--2392616.pdf</v>
      </c>
      <c r="D659" s="159" t="str">
        <f>IFERROR(__xludf.DUMMYFUNCTION("""COMPUTED_VALUE"""),"application/pdf")</f>
        <v>application/pdf</v>
      </c>
    </row>
    <row r="660">
      <c r="A660" s="159" t="str">
        <f>IFERROR(__xludf.DUMMYFUNCTION("""COMPUTED_VALUE"""),"10.1037/0021-9010.66.5.541")</f>
        <v>10.1037/0021-9010.66.5.541</v>
      </c>
      <c r="B660" s="680" t="str">
        <f>IFERROR(__xludf.DUMMYFUNCTION("""COMPUTED_VALUE"""),"https://drive.google.com/file/d/1s26m-98VmwIJwxMC-Tm7qt1TA0dRKbhZ/view?usp=drivesdk")</f>
        <v>https://drive.google.com/file/d/1s26m-98VmwIJwxMC-Tm7qt1TA0dRKbhZ/view?usp=drivesdk</v>
      </c>
      <c r="C660" s="159" t="str">
        <f>IFERROR(__xludf.DUMMYFUNCTION("""COMPUTED_VALUE"""),"10.1037--0021-9010.66.5.541.pdf")</f>
        <v>10.1037--0021-9010.66.5.541.pdf</v>
      </c>
      <c r="D660" s="159" t="str">
        <f>IFERROR(__xludf.DUMMYFUNCTION("""COMPUTED_VALUE"""),"application/pdf")</f>
        <v>application/pdf</v>
      </c>
    </row>
    <row r="661">
      <c r="A661" s="159" t="str">
        <f>IFERROR(__xludf.DUMMYFUNCTION("""COMPUTED_VALUE"""),"10.5465/amj.2015.0195")</f>
        <v>10.5465/amj.2015.0195</v>
      </c>
      <c r="B661" s="680" t="str">
        <f>IFERROR(__xludf.DUMMYFUNCTION("""COMPUTED_VALUE"""),"https://drive.google.com/file/d/1IT7jjcf9J3PwVo0SiLbD1-_kgao0Lls3/view?usp=drivesdk")</f>
        <v>https://drive.google.com/file/d/1IT7jjcf9J3PwVo0SiLbD1-_kgao0Lls3/view?usp=drivesdk</v>
      </c>
      <c r="C661" s="159" t="str">
        <f>IFERROR(__xludf.DUMMYFUNCTION("""COMPUTED_VALUE"""),"10.5465--amj.2015.0195.pdf")</f>
        <v>10.5465--amj.2015.0195.pdf</v>
      </c>
      <c r="D661" s="159" t="str">
        <f>IFERROR(__xludf.DUMMYFUNCTION("""COMPUTED_VALUE"""),"application/pdf")</f>
        <v>application/pdf</v>
      </c>
    </row>
    <row r="662">
      <c r="A662" s="159" t="str">
        <f>IFERROR(__xludf.DUMMYFUNCTION("""COMPUTED_VALUE"""),"10.1037/0021-9010.80.5.607")</f>
        <v>10.1037/0021-9010.80.5.607</v>
      </c>
      <c r="B662" s="680" t="str">
        <f>IFERROR(__xludf.DUMMYFUNCTION("""COMPUTED_VALUE"""),"https://drive.google.com/file/d/1OEKtffSTFiXq5s3wLrvuxat7FMfx2aB4/view?usp=drivesdk")</f>
        <v>https://drive.google.com/file/d/1OEKtffSTFiXq5s3wLrvuxat7FMfx2aB4/view?usp=drivesdk</v>
      </c>
      <c r="C662" s="159" t="str">
        <f>IFERROR(__xludf.DUMMYFUNCTION("""COMPUTED_VALUE"""),"10.1037--0021-9010.80.5.607.pdf")</f>
        <v>10.1037--0021-9010.80.5.607.pdf</v>
      </c>
      <c r="D662" s="159" t="str">
        <f>IFERROR(__xludf.DUMMYFUNCTION("""COMPUTED_VALUE"""),"application/pdf")</f>
        <v>application/pdf</v>
      </c>
    </row>
    <row r="663">
      <c r="A663" s="159" t="str">
        <f>IFERROR(__xludf.DUMMYFUNCTION("""COMPUTED_VALUE"""),"10.1037/0096-3445.126.1.45")</f>
        <v>10.1037/0096-3445.126.1.45</v>
      </c>
      <c r="B663" s="680" t="str">
        <f>IFERROR(__xludf.DUMMYFUNCTION("""COMPUTED_VALUE"""),"https://drive.google.com/file/d/1wWXyXYtJ4DQfvQnS8MOu18ThLCF7elMp/view?usp=drivesdk")</f>
        <v>https://drive.google.com/file/d/1wWXyXYtJ4DQfvQnS8MOu18ThLCF7elMp/view?usp=drivesdk</v>
      </c>
      <c r="C663" s="159" t="str">
        <f>IFERROR(__xludf.DUMMYFUNCTION("""COMPUTED_VALUE"""),"10.1037--0096-3445.126.1.45.pdf")</f>
        <v>10.1037--0096-3445.126.1.45.pdf</v>
      </c>
      <c r="D663" s="159" t="str">
        <f>IFERROR(__xludf.DUMMYFUNCTION("""COMPUTED_VALUE"""),"application/pdf")</f>
        <v>application/pdf</v>
      </c>
    </row>
    <row r="664">
      <c r="A664" s="159" t="str">
        <f>IFERROR(__xludf.DUMMYFUNCTION("""COMPUTED_VALUE"""),"10.1080/08959285.2014.929692")</f>
        <v>10.1080/08959285.2014.929692</v>
      </c>
      <c r="B664" s="680" t="str">
        <f>IFERROR(__xludf.DUMMYFUNCTION("""COMPUTED_VALUE"""),"https://drive.google.com/file/d/1kFuZ0XixFtPIX9hTbUTTCzKnnWeeZYDf/view?usp=drivesdk")</f>
        <v>https://drive.google.com/file/d/1kFuZ0XixFtPIX9hTbUTTCzKnnWeeZYDf/view?usp=drivesdk</v>
      </c>
      <c r="C664" s="159" t="str">
        <f>IFERROR(__xludf.DUMMYFUNCTION("""COMPUTED_VALUE"""),"10.1080--08959285.2014.929692.pdf")</f>
        <v>10.1080--08959285.2014.929692.pdf</v>
      </c>
      <c r="D664" s="159" t="str">
        <f>IFERROR(__xludf.DUMMYFUNCTION("""COMPUTED_VALUE"""),"application/pdf")</f>
        <v>application/pdf</v>
      </c>
    </row>
    <row r="665">
      <c r="A665" s="159" t="str">
        <f>IFERROR(__xludf.DUMMYFUNCTION("""COMPUTED_VALUE"""),"10.1037/0021-9010.61.4.446")</f>
        <v>10.1037/0021-9010.61.4.446</v>
      </c>
      <c r="B665" s="680" t="str">
        <f>IFERROR(__xludf.DUMMYFUNCTION("""COMPUTED_VALUE"""),"https://drive.google.com/file/d/1RPVjb6dAsE-e8x9z9QTHxbx-zkpvNcIg/view?usp=drivesdk")</f>
        <v>https://drive.google.com/file/d/1RPVjb6dAsE-e8x9z9QTHxbx-zkpvNcIg/view?usp=drivesdk</v>
      </c>
      <c r="C665" s="159" t="str">
        <f>IFERROR(__xludf.DUMMYFUNCTION("""COMPUTED_VALUE"""),"10.1037--0021-9010.61.4.446.pdf")</f>
        <v>10.1037--0021-9010.61.4.446.pdf</v>
      </c>
      <c r="D665" s="159" t="str">
        <f>IFERROR(__xludf.DUMMYFUNCTION("""COMPUTED_VALUE"""),"application/pdf")</f>
        <v>application/pdf</v>
      </c>
    </row>
    <row r="666">
      <c r="A666" s="159" t="str">
        <f>IFERROR(__xludf.DUMMYFUNCTION("""COMPUTED_VALUE"""),"10.1037/0021-9010.83.3.462")</f>
        <v>10.1037/0021-9010.83.3.462</v>
      </c>
      <c r="B666" s="680" t="str">
        <f>IFERROR(__xludf.DUMMYFUNCTION("""COMPUTED_VALUE"""),"https://drive.google.com/file/d/1xTXT5XPhZrilG-fLyyYegJ8wHBpiban_/view?usp=drivesdk")</f>
        <v>https://drive.google.com/file/d/1xTXT5XPhZrilG-fLyyYegJ8wHBpiban_/view?usp=drivesdk</v>
      </c>
      <c r="C666" s="159" t="str">
        <f>IFERROR(__xludf.DUMMYFUNCTION("""COMPUTED_VALUE"""),"10.1037--0021-9010.83.3.462.pdf")</f>
        <v>10.1037--0021-9010.83.3.462.pdf</v>
      </c>
      <c r="D666" s="159" t="str">
        <f>IFERROR(__xludf.DUMMYFUNCTION("""COMPUTED_VALUE"""),"application/pdf")</f>
        <v>application/pdf</v>
      </c>
    </row>
    <row r="667">
      <c r="A667" s="159" t="str">
        <f>IFERROR(__xludf.DUMMYFUNCTION("""COMPUTED_VALUE"""),"10.2307/256404")</f>
        <v>10.2307/256404</v>
      </c>
      <c r="B667" s="680" t="str">
        <f>IFERROR(__xludf.DUMMYFUNCTION("""COMPUTED_VALUE"""),"https://drive.google.com/file/d/1W0xu5YzAKPDJ2AuD8Ik22civDGZ0Q6VX/view?usp=drivesdk")</f>
        <v>https://drive.google.com/file/d/1W0xu5YzAKPDJ2AuD8Ik22civDGZ0Q6VX/view?usp=drivesdk</v>
      </c>
      <c r="C667" s="159" t="str">
        <f>IFERROR(__xludf.DUMMYFUNCTION("""COMPUTED_VALUE"""),"10.2307--256404.pdf")</f>
        <v>10.2307--256404.pdf</v>
      </c>
      <c r="D667" s="159" t="str">
        <f>IFERROR(__xludf.DUMMYFUNCTION("""COMPUTED_VALUE"""),"application/pdf")</f>
        <v>application/pdf</v>
      </c>
    </row>
    <row r="668">
      <c r="A668" s="159" t="str">
        <f>IFERROR(__xludf.DUMMYFUNCTION("""COMPUTED_VALUE"""),"10.1111/j.1744-6570.1991.tb00701.x")</f>
        <v>10.1111/j.1744-6570.1991.tb00701.x</v>
      </c>
      <c r="B668" s="680" t="str">
        <f>IFERROR(__xludf.DUMMYFUNCTION("""COMPUTED_VALUE"""),"https://drive.google.com/file/d/17e6qF1_VMvgfLa4Xv9IPbs5MFwrhjmSP/view?usp=drivesdk")</f>
        <v>https://drive.google.com/file/d/17e6qF1_VMvgfLa4Xv9IPbs5MFwrhjmSP/view?usp=drivesdk</v>
      </c>
      <c r="C668" s="159" t="str">
        <f>IFERROR(__xludf.DUMMYFUNCTION("""COMPUTED_VALUE"""),"10.1111--j.1744-6570.1991.tb00701.x.pdf")</f>
        <v>10.1111--j.1744-6570.1991.tb00701.x.pdf</v>
      </c>
      <c r="D668" s="159" t="str">
        <f>IFERROR(__xludf.DUMMYFUNCTION("""COMPUTED_VALUE"""),"application/pdf")</f>
        <v>application/pdf</v>
      </c>
    </row>
    <row r="669">
      <c r="A669" s="159" t="str">
        <f>IFERROR(__xludf.DUMMYFUNCTION("""COMPUTED_VALUE"""),"10.1037/0021-9010.82.3.390")</f>
        <v>10.1037/0021-9010.82.3.390</v>
      </c>
      <c r="B669" s="680" t="str">
        <f>IFERROR(__xludf.DUMMYFUNCTION("""COMPUTED_VALUE"""),"https://drive.google.com/file/d/1QtfRoYfCEgN8kW9kfpa9E4HE5zVA3kwh/view?usp=drivesdk")</f>
        <v>https://drive.google.com/file/d/1QtfRoYfCEgN8kW9kfpa9E4HE5zVA3kwh/view?usp=drivesdk</v>
      </c>
      <c r="C669" s="159" t="str">
        <f>IFERROR(__xludf.DUMMYFUNCTION("""COMPUTED_VALUE"""),"10.1037--0021-9010.82.3.390.pdf")</f>
        <v>10.1037--0021-9010.82.3.390.pdf</v>
      </c>
      <c r="D669" s="159" t="str">
        <f>IFERROR(__xludf.DUMMYFUNCTION("""COMPUTED_VALUE"""),"application/pdf")</f>
        <v>application/pdf</v>
      </c>
    </row>
    <row r="670">
      <c r="A670" s="159" t="str">
        <f>IFERROR(__xludf.DUMMYFUNCTION("""COMPUTED_VALUE"""),"10.1177/103841629800700106")</f>
        <v>10.1177/103841629800700106</v>
      </c>
      <c r="B670" s="680" t="str">
        <f>IFERROR(__xludf.DUMMYFUNCTION("""COMPUTED_VALUE"""),"https://drive.google.com/file/d/1518u5815iOo80zbyuz9-kHkquWxNxpad/view?usp=drivesdk")</f>
        <v>https://drive.google.com/file/d/1518u5815iOo80zbyuz9-kHkquWxNxpad/view?usp=drivesdk</v>
      </c>
      <c r="C670" s="159" t="str">
        <f>IFERROR(__xludf.DUMMYFUNCTION("""COMPUTED_VALUE"""),"10.1177--103841629800700106.pdf")</f>
        <v>10.1177--103841629800700106.pdf</v>
      </c>
      <c r="D670" s="159" t="str">
        <f>IFERROR(__xludf.DUMMYFUNCTION("""COMPUTED_VALUE"""),"application/pdf")</f>
        <v>application/pdf</v>
      </c>
    </row>
    <row r="671">
      <c r="A671" s="159" t="str">
        <f>IFERROR(__xludf.DUMMYFUNCTION("""COMPUTED_VALUE"""),"10.1037/0021-9010.65.4.479")</f>
        <v>10.1037/0021-9010.65.4.479</v>
      </c>
      <c r="B671" s="680" t="str">
        <f>IFERROR(__xludf.DUMMYFUNCTION("""COMPUTED_VALUE"""),"https://drive.google.com/file/d/1P_pRgTFBMoidfvsn5tY3n7SBVWvENXXn/view?usp=drivesdk")</f>
        <v>https://drive.google.com/file/d/1P_pRgTFBMoidfvsn5tY3n7SBVWvENXXn/view?usp=drivesdk</v>
      </c>
      <c r="C671" s="159" t="str">
        <f>IFERROR(__xludf.DUMMYFUNCTION("""COMPUTED_VALUE"""),"10.1037--0021-9010.65.4.479.pdf")</f>
        <v>10.1037--0021-9010.65.4.479.pdf</v>
      </c>
      <c r="D671" s="159" t="str">
        <f>IFERROR(__xludf.DUMMYFUNCTION("""COMPUTED_VALUE"""),"application/pdf")</f>
        <v>application/pdf</v>
      </c>
    </row>
    <row r="672">
      <c r="A672" s="159" t="str">
        <f>IFERROR(__xludf.DUMMYFUNCTION("""COMPUTED_VALUE"""),"10.1037/0021-9010.70.1.29")</f>
        <v>10.1037/0021-9010.70.1.29</v>
      </c>
      <c r="B672" s="680" t="str">
        <f>IFERROR(__xludf.DUMMYFUNCTION("""COMPUTED_VALUE"""),"https://drive.google.com/file/d/1v7zu6XbXRHoXs-7JSP25VGVnsNP6A_jX/view?usp=drivesdk")</f>
        <v>https://drive.google.com/file/d/1v7zu6XbXRHoXs-7JSP25VGVnsNP6A_jX/view?usp=drivesdk</v>
      </c>
      <c r="C672" s="159" t="str">
        <f>IFERROR(__xludf.DUMMYFUNCTION("""COMPUTED_VALUE"""),"10.1037--0021-9010.70.1.29.pdf")</f>
        <v>10.1037--0021-9010.70.1.29.pdf</v>
      </c>
      <c r="D672" s="159" t="str">
        <f>IFERROR(__xludf.DUMMYFUNCTION("""COMPUTED_VALUE"""),"application/pdf")</f>
        <v>application/pdf</v>
      </c>
    </row>
    <row r="673">
      <c r="A673" s="159" t="str">
        <f>IFERROR(__xludf.DUMMYFUNCTION("""COMPUTED_VALUE"""),"10.2307/256921")</f>
        <v>10.2307/256921</v>
      </c>
      <c r="B673" s="680" t="str">
        <f>IFERROR(__xludf.DUMMYFUNCTION("""COMPUTED_VALUE"""),"https://drive.google.com/file/d/1mBzFBCsE1vm3CKMKVrFptlCXm7WZIBky/view?usp=drivesdk")</f>
        <v>https://drive.google.com/file/d/1mBzFBCsE1vm3CKMKVrFptlCXm7WZIBky/view?usp=drivesdk</v>
      </c>
      <c r="C673" s="159" t="str">
        <f>IFERROR(__xludf.DUMMYFUNCTION("""COMPUTED_VALUE"""),"10.2307--256921.pdf")</f>
        <v>10.2307--256921.pdf</v>
      </c>
      <c r="D673" s="159" t="str">
        <f>IFERROR(__xludf.DUMMYFUNCTION("""COMPUTED_VALUE"""),"application/pdf")</f>
        <v>application/pdf</v>
      </c>
    </row>
    <row r="674">
      <c r="A674" s="159" t="str">
        <f>IFERROR(__xludf.DUMMYFUNCTION("""COMPUTED_VALUE"""),"10.1016/0001-4575(80)90018-4")</f>
        <v>10.1016/0001-4575(80)90018-4</v>
      </c>
      <c r="B674" s="680" t="str">
        <f>IFERROR(__xludf.DUMMYFUNCTION("""COMPUTED_VALUE"""),"https://drive.google.com/file/d/1s69aQI-0IM0vLTu3bML2mU_QbATlOmhu/view?usp=drivesdk")</f>
        <v>https://drive.google.com/file/d/1s69aQI-0IM0vLTu3bML2mU_QbATlOmhu/view?usp=drivesdk</v>
      </c>
      <c r="C674" s="159" t="str">
        <f>IFERROR(__xludf.DUMMYFUNCTION("""COMPUTED_VALUE"""),"10.1016--0001-4575(80)90018-4.pdf")</f>
        <v>10.1016--0001-4575(80)90018-4.pdf</v>
      </c>
      <c r="D674" s="159" t="str">
        <f>IFERROR(__xludf.DUMMYFUNCTION("""COMPUTED_VALUE"""),"application/pdf")</f>
        <v>application/pdf</v>
      </c>
    </row>
    <row r="675">
      <c r="A675" s="159" t="str">
        <f>IFERROR(__xludf.DUMMYFUNCTION("""COMPUTED_VALUE"""),"10.5465/amj.2006.20785670")</f>
        <v>10.5465/amj.2006.20785670</v>
      </c>
      <c r="B675" s="680" t="str">
        <f>IFERROR(__xludf.DUMMYFUNCTION("""COMPUTED_VALUE"""),"https://drive.google.com/file/d/15mQBh3vsD8URQi3Ev_kwyXaqmnl0cao8/view?usp=drivesdk")</f>
        <v>https://drive.google.com/file/d/15mQBh3vsD8URQi3Ev_kwyXaqmnl0cao8/view?usp=drivesdk</v>
      </c>
      <c r="C675" s="159" t="str">
        <f>IFERROR(__xludf.DUMMYFUNCTION("""COMPUTED_VALUE"""),"10.5465--amj.2006.20785670.pdf")</f>
        <v>10.5465--amj.2006.20785670.pdf</v>
      </c>
      <c r="D675" s="159" t="str">
        <f>IFERROR(__xludf.DUMMYFUNCTION("""COMPUTED_VALUE"""),"application/pdf")</f>
        <v>application/pdf</v>
      </c>
    </row>
    <row r="676">
      <c r="A676" s="159" t="str">
        <f>IFERROR(__xludf.DUMMYFUNCTION("""COMPUTED_VALUE"""),"10.1002/hrm.21464")</f>
        <v>10.1002/hrm.21464</v>
      </c>
      <c r="B676" s="680" t="str">
        <f>IFERROR(__xludf.DUMMYFUNCTION("""COMPUTED_VALUE"""),"https://drive.google.com/file/d/1chHae6x11SjPt64gW5U6i3iq8hgn5ATd/view?usp=drivesdk")</f>
        <v>https://drive.google.com/file/d/1chHae6x11SjPt64gW5U6i3iq8hgn5ATd/view?usp=drivesdk</v>
      </c>
      <c r="C676" s="159" t="str">
        <f>IFERROR(__xludf.DUMMYFUNCTION("""COMPUTED_VALUE"""),"10.1002--hrm.21464.pdf")</f>
        <v>10.1002--hrm.21464.pdf</v>
      </c>
      <c r="D676" s="159" t="str">
        <f>IFERROR(__xludf.DUMMYFUNCTION("""COMPUTED_VALUE"""),"application/pdf")</f>
        <v>application/pdf</v>
      </c>
    </row>
    <row r="677">
      <c r="A677" s="159" t="str">
        <f>IFERROR(__xludf.DUMMYFUNCTION("""COMPUTED_VALUE"""),"10.1080/1359432x.2019.1584183")</f>
        <v>10.1080/1359432x.2019.1584183</v>
      </c>
      <c r="B677" s="680" t="str">
        <f>IFERROR(__xludf.DUMMYFUNCTION("""COMPUTED_VALUE"""),"https://drive.google.com/file/d/1zVTWq7I8TIS6eGJya2U5gMvyWW0Wq_nK/view?usp=drivesdk")</f>
        <v>https://drive.google.com/file/d/1zVTWq7I8TIS6eGJya2U5gMvyWW0Wq_nK/view?usp=drivesdk</v>
      </c>
      <c r="C677" s="159" t="str">
        <f>IFERROR(__xludf.DUMMYFUNCTION("""COMPUTED_VALUE"""),"10.1080--1359432X.2019.1584183.pdf")</f>
        <v>10.1080--1359432X.2019.1584183.pdf</v>
      </c>
      <c r="D677" s="159" t="str">
        <f>IFERROR(__xludf.DUMMYFUNCTION("""COMPUTED_VALUE"""),"application/pdf")</f>
        <v>application/pdf</v>
      </c>
    </row>
    <row r="678">
      <c r="A678" s="159" t="str">
        <f>IFERROR(__xludf.DUMMYFUNCTION("""COMPUTED_VALUE"""),"10.1177/014920639502100608")</f>
        <v>10.1177/014920639502100608</v>
      </c>
      <c r="B678" s="680" t="str">
        <f>IFERROR(__xludf.DUMMYFUNCTION("""COMPUTED_VALUE"""),"https://drive.google.com/file/d/1T6MI-QrvVvuxvpPRZQnRn0ZOT5mfcASs/view?usp=drivesdk")</f>
        <v>https://drive.google.com/file/d/1T6MI-QrvVvuxvpPRZQnRn0ZOT5mfcASs/view?usp=drivesdk</v>
      </c>
      <c r="C678" s="159" t="str">
        <f>IFERROR(__xludf.DUMMYFUNCTION("""COMPUTED_VALUE"""),"10.1177--014920639502100608.pdf")</f>
        <v>10.1177--014920639502100608.pdf</v>
      </c>
      <c r="D678" s="159" t="str">
        <f>IFERROR(__xludf.DUMMYFUNCTION("""COMPUTED_VALUE"""),"application/pdf")</f>
        <v>application/pdf</v>
      </c>
    </row>
    <row r="679">
      <c r="A679" s="159" t="str">
        <f>IFERROR(__xludf.DUMMYFUNCTION("""COMPUTED_VALUE"""),"10.1006/obhd.1997.2695")</f>
        <v>10.1006/obhd.1997.2695</v>
      </c>
      <c r="B679" s="680" t="str">
        <f>IFERROR(__xludf.DUMMYFUNCTION("""COMPUTED_VALUE"""),"https://drive.google.com/file/d/1QKSVrVs3ToVlnjO6iEoxwGCX6epTjmVZ/view?usp=drivesdk")</f>
        <v>https://drive.google.com/file/d/1QKSVrVs3ToVlnjO6iEoxwGCX6epTjmVZ/view?usp=drivesdk</v>
      </c>
      <c r="C679" s="159" t="str">
        <f>IFERROR(__xludf.DUMMYFUNCTION("""COMPUTED_VALUE"""),"10.1006--obhd.1997.2695.pdf")</f>
        <v>10.1006--obhd.1997.2695.pdf</v>
      </c>
      <c r="D679" s="159" t="str">
        <f>IFERROR(__xludf.DUMMYFUNCTION("""COMPUTED_VALUE"""),"application/pdf")</f>
        <v>application/pdf</v>
      </c>
    </row>
    <row r="680">
      <c r="A680" s="159" t="str">
        <f>IFERROR(__xludf.DUMMYFUNCTION("""COMPUTED_VALUE"""),"10.1080/13594320600989583")</f>
        <v>10.1080/13594320600989583</v>
      </c>
      <c r="B680" s="680" t="str">
        <f>IFERROR(__xludf.DUMMYFUNCTION("""COMPUTED_VALUE"""),"https://drive.google.com/file/d/1CXMF_prLulQt9TmDj8jXynwOKdLqsKcv/view?usp=drivesdk")</f>
        <v>https://drive.google.com/file/d/1CXMF_prLulQt9TmDj8jXynwOKdLqsKcv/view?usp=drivesdk</v>
      </c>
      <c r="C680" s="159" t="str">
        <f>IFERROR(__xludf.DUMMYFUNCTION("""COMPUTED_VALUE"""),"10.1080--13594320600989583.pdf")</f>
        <v>10.1080--13594320600989583.pdf</v>
      </c>
      <c r="D680" s="159" t="str">
        <f>IFERROR(__xludf.DUMMYFUNCTION("""COMPUTED_VALUE"""),"application/pdf")</f>
        <v>application/pdf</v>
      </c>
    </row>
    <row r="681">
      <c r="A681" s="159" t="str">
        <f>IFERROR(__xludf.DUMMYFUNCTION("""COMPUTED_VALUE"""),"10.1080/002075997400629")</f>
        <v>10.1080/002075997400629</v>
      </c>
      <c r="B681" s="680" t="str">
        <f>IFERROR(__xludf.DUMMYFUNCTION("""COMPUTED_VALUE"""),"https://drive.google.com/file/d/1r5ovnhAzHBaCUudZn50hc3NoyL8jZAmC/view?usp=drivesdk")</f>
        <v>https://drive.google.com/file/d/1r5ovnhAzHBaCUudZn50hc3NoyL8jZAmC/view?usp=drivesdk</v>
      </c>
      <c r="C681" s="159" t="str">
        <f>IFERROR(__xludf.DUMMYFUNCTION("""COMPUTED_VALUE"""),"10.1080--002075997400629.pdf")</f>
        <v>10.1080--002075997400629.pdf</v>
      </c>
      <c r="D681" s="159" t="str">
        <f>IFERROR(__xludf.DUMMYFUNCTION("""COMPUTED_VALUE"""),"application/pdf")</f>
        <v>application/pdf</v>
      </c>
    </row>
    <row r="682">
      <c r="A682" s="159" t="str">
        <f>IFERROR(__xludf.DUMMYFUNCTION("""COMPUTED_VALUE"""),"10.5465/amj.2010.0441")</f>
        <v>10.5465/amj.2010.0441</v>
      </c>
      <c r="B682" s="680" t="str">
        <f>IFERROR(__xludf.DUMMYFUNCTION("""COMPUTED_VALUE"""),"https://drive.google.com/file/d/1gmNjtyz5pPZ4yXAlGbkikOo202Q8OE2f/view?usp=drivesdk")</f>
        <v>https://drive.google.com/file/d/1gmNjtyz5pPZ4yXAlGbkikOo202Q8OE2f/view?usp=drivesdk</v>
      </c>
      <c r="C682" s="159" t="str">
        <f>IFERROR(__xludf.DUMMYFUNCTION("""COMPUTED_VALUE"""),"10.5465--amj.2010.0441.pdf")</f>
        <v>10.5465--amj.2010.0441.pdf</v>
      </c>
      <c r="D682" s="159" t="str">
        <f>IFERROR(__xludf.DUMMYFUNCTION("""COMPUTED_VALUE"""),"application/pdf")</f>
        <v>application/pdf</v>
      </c>
    </row>
    <row r="683">
      <c r="A683" s="159" t="str">
        <f>IFERROR(__xludf.DUMMYFUNCTION("""COMPUTED_VALUE"""),"10.1037/0021-9010.72.3.344")</f>
        <v>10.1037/0021-9010.72.3.344</v>
      </c>
      <c r="B683" s="680" t="str">
        <f>IFERROR(__xludf.DUMMYFUNCTION("""COMPUTED_VALUE"""),"https://drive.google.com/file/d/1kxkyKkDKE_f6tUlJtBg2iiCz8l4PaTXq/view?usp=drivesdk")</f>
        <v>https://drive.google.com/file/d/1kxkyKkDKE_f6tUlJtBg2iiCz8l4PaTXq/view?usp=drivesdk</v>
      </c>
      <c r="C683" s="159" t="str">
        <f>IFERROR(__xludf.DUMMYFUNCTION("""COMPUTED_VALUE"""),"10.1037--0021-9010.72.3.344.pdf")</f>
        <v>10.1037--0021-9010.72.3.344.pdf</v>
      </c>
      <c r="D683" s="159" t="str">
        <f>IFERROR(__xludf.DUMMYFUNCTION("""COMPUTED_VALUE"""),"application/pdf")</f>
        <v>application/pdf</v>
      </c>
    </row>
    <row r="684">
      <c r="A684" s="159" t="str">
        <f>IFERROR(__xludf.DUMMYFUNCTION("""COMPUTED_VALUE"""),"10.1108/01437730410544755")</f>
        <v>10.1108/01437730410544755</v>
      </c>
      <c r="B684" s="680" t="str">
        <f>IFERROR(__xludf.DUMMYFUNCTION("""COMPUTED_VALUE"""),"https://drive.google.com/file/d/191wNcdlu6WSjOiLz6ynsrrPs-OvHpvBb/view?usp=drivesdk")</f>
        <v>https://drive.google.com/file/d/191wNcdlu6WSjOiLz6ynsrrPs-OvHpvBb/view?usp=drivesdk</v>
      </c>
      <c r="C684" s="159" t="str">
        <f>IFERROR(__xludf.DUMMYFUNCTION("""COMPUTED_VALUE"""),"10.1108--01437730410544755.pdf")</f>
        <v>10.1108--01437730410544755.pdf</v>
      </c>
      <c r="D684" s="159" t="str">
        <f>IFERROR(__xludf.DUMMYFUNCTION("""COMPUTED_VALUE"""),"application/pdf")</f>
        <v>application/pdf</v>
      </c>
    </row>
    <row r="685">
      <c r="A685" s="159" t="str">
        <f>IFERROR(__xludf.DUMMYFUNCTION("""COMPUTED_VALUE"""),"10.1002/job.4030020205")</f>
        <v>10.1002/job.4030020205</v>
      </c>
      <c r="B685" s="680" t="str">
        <f>IFERROR(__xludf.DUMMYFUNCTION("""COMPUTED_VALUE"""),"https://drive.google.com/file/d/1S6q42zMajW3e56q4dEzSxwGeaOEtme7A/view?usp=drivesdk")</f>
        <v>https://drive.google.com/file/d/1S6q42zMajW3e56q4dEzSxwGeaOEtme7A/view?usp=drivesdk</v>
      </c>
      <c r="C685" s="159" t="str">
        <f>IFERROR(__xludf.DUMMYFUNCTION("""COMPUTED_VALUE"""),"10.1002--job.4030020205.pdf")</f>
        <v>10.1002--job.4030020205.pdf</v>
      </c>
      <c r="D685" s="159" t="str">
        <f>IFERROR(__xludf.DUMMYFUNCTION("""COMPUTED_VALUE"""),"application/pdf")</f>
        <v>application/pdf</v>
      </c>
    </row>
    <row r="686">
      <c r="A686" s="159" t="str">
        <f>IFERROR(__xludf.DUMMYFUNCTION("""COMPUTED_VALUE"""),"10.1348/096317901167217")</f>
        <v>10.1348/096317901167217</v>
      </c>
      <c r="B686" s="680" t="str">
        <f>IFERROR(__xludf.DUMMYFUNCTION("""COMPUTED_VALUE"""),"https://drive.google.com/file/d/1bEaoql3JPo9kr-cVBMicceFggwTMTsuH/view?usp=drivesdk")</f>
        <v>https://drive.google.com/file/d/1bEaoql3JPo9kr-cVBMicceFggwTMTsuH/view?usp=drivesdk</v>
      </c>
      <c r="C686" s="159" t="str">
        <f>IFERROR(__xludf.DUMMYFUNCTION("""COMPUTED_VALUE"""),"10.1348--096317901167217.pdf")</f>
        <v>10.1348--096317901167217.pdf</v>
      </c>
      <c r="D686" s="159" t="str">
        <f>IFERROR(__xludf.DUMMYFUNCTION("""COMPUTED_VALUE"""),"application/pdf")</f>
        <v>application/pdf</v>
      </c>
    </row>
    <row r="687">
      <c r="A687" s="159" t="str">
        <f>IFERROR(__xludf.DUMMYFUNCTION("""COMPUTED_VALUE"""),"10.2307/255852")</f>
        <v>10.2307/255852</v>
      </c>
      <c r="B687" s="680" t="str">
        <f>IFERROR(__xludf.DUMMYFUNCTION("""COMPUTED_VALUE"""),"https://drive.google.com/file/d/17_tDs0eYV7L5-i0jFrbeoHaRBrcSQ9-9/view?usp=drivesdk")</f>
        <v>https://drive.google.com/file/d/17_tDs0eYV7L5-i0jFrbeoHaRBrcSQ9-9/view?usp=drivesdk</v>
      </c>
      <c r="C687" s="159" t="str">
        <f>IFERROR(__xludf.DUMMYFUNCTION("""COMPUTED_VALUE"""),"10.2307--255852.pdf")</f>
        <v>10.2307--255852.pdf</v>
      </c>
      <c r="D687" s="159" t="str">
        <f>IFERROR(__xludf.DUMMYFUNCTION("""COMPUTED_VALUE"""),"application/pdf")</f>
        <v>application/pdf</v>
      </c>
    </row>
    <row r="688">
      <c r="A688" s="159" t="str">
        <f>IFERROR(__xludf.DUMMYFUNCTION("""COMPUTED_VALUE"""),"10.1037/a0023222")</f>
        <v>10.1037/a0023222</v>
      </c>
      <c r="B688" s="680" t="str">
        <f>IFERROR(__xludf.DUMMYFUNCTION("""COMPUTED_VALUE"""),"https://drive.google.com/file/d/1dRy6uzp7aqKlyDxCgKtUe6SdqAcqJcFb/view?usp=drivesdk")</f>
        <v>https://drive.google.com/file/d/1dRy6uzp7aqKlyDxCgKtUe6SdqAcqJcFb/view?usp=drivesdk</v>
      </c>
      <c r="C688" s="159" t="str">
        <f>IFERROR(__xludf.DUMMYFUNCTION("""COMPUTED_VALUE"""),"10.1037--a0023222.pdf")</f>
        <v>10.1037--a0023222.pdf</v>
      </c>
      <c r="D688" s="159" t="str">
        <f>IFERROR(__xludf.DUMMYFUNCTION("""COMPUTED_VALUE"""),"application/pdf")</f>
        <v>application/pdf</v>
      </c>
    </row>
    <row r="689">
      <c r="A689" s="159" t="str">
        <f>IFERROR(__xludf.DUMMYFUNCTION("""COMPUTED_VALUE"""),"10.1177/014920639001600102")</f>
        <v>10.1177/014920639001600102</v>
      </c>
      <c r="B689" s="680" t="str">
        <f>IFERROR(__xludf.DUMMYFUNCTION("""COMPUTED_VALUE"""),"https://drive.google.com/file/d/1Chh6vBl85oVtpr9-puQubPDNnbZkh7KZ/view?usp=drivesdk")</f>
        <v>https://drive.google.com/file/d/1Chh6vBl85oVtpr9-puQubPDNnbZkh7KZ/view?usp=drivesdk</v>
      </c>
      <c r="C689" s="159" t="str">
        <f>IFERROR(__xludf.DUMMYFUNCTION("""COMPUTED_VALUE"""),"10.1177--014920639001600102.pdf")</f>
        <v>10.1177--014920639001600102.pdf</v>
      </c>
      <c r="D689" s="159" t="str">
        <f>IFERROR(__xludf.DUMMYFUNCTION("""COMPUTED_VALUE"""),"application/pdf")</f>
        <v>application/pdf</v>
      </c>
    </row>
    <row r="690">
      <c r="A690" s="159" t="str">
        <f>IFERROR(__xludf.DUMMYFUNCTION("""COMPUTED_VALUE"""),"10.1037/0022-3514.59.2.270")</f>
        <v>10.1037/0022-3514.59.2.270</v>
      </c>
      <c r="B690" s="680" t="str">
        <f>IFERROR(__xludf.DUMMYFUNCTION("""COMPUTED_VALUE"""),"https://drive.google.com/file/d/1DYmdntblIulNRsPyyrm5x22gnHhoY8pq/view?usp=drivesdk")</f>
        <v>https://drive.google.com/file/d/1DYmdntblIulNRsPyyrm5x22gnHhoY8pq/view?usp=drivesdk</v>
      </c>
      <c r="C690" s="159" t="str">
        <f>IFERROR(__xludf.DUMMYFUNCTION("""COMPUTED_VALUE"""),"10.1037--0022-3514.59.2.270.pdf")</f>
        <v>10.1037--0022-3514.59.2.270.pdf</v>
      </c>
      <c r="D690" s="159" t="str">
        <f>IFERROR(__xludf.DUMMYFUNCTION("""COMPUTED_VALUE"""),"application/pdf")</f>
        <v>application/pdf</v>
      </c>
    </row>
    <row r="691">
      <c r="A691" s="159" t="str">
        <f>IFERROR(__xludf.DUMMYFUNCTION("""COMPUTED_VALUE"""),"10.1108/02683940910952697")</f>
        <v>10.1108/02683940910952697</v>
      </c>
      <c r="B691" s="680" t="str">
        <f>IFERROR(__xludf.DUMMYFUNCTION("""COMPUTED_VALUE"""),"https://drive.google.com/file/d/1WwOkola1OT6nmGNnVySUNIkgQCDn8G1O/view?usp=drivesdk")</f>
        <v>https://drive.google.com/file/d/1WwOkola1OT6nmGNnVySUNIkgQCDn8G1O/view?usp=drivesdk</v>
      </c>
      <c r="C691" s="159" t="str">
        <f>IFERROR(__xludf.DUMMYFUNCTION("""COMPUTED_VALUE"""),"10.1108--02683940910952697.pdf")</f>
        <v>10.1108--02683940910952697.pdf</v>
      </c>
      <c r="D691" s="159" t="str">
        <f>IFERROR(__xludf.DUMMYFUNCTION("""COMPUTED_VALUE"""),"application/pdf")</f>
        <v>application/pdf</v>
      </c>
    </row>
    <row r="692">
      <c r="A692" s="159" t="str">
        <f>IFERROR(__xludf.DUMMYFUNCTION("""COMPUTED_VALUE"""),"10.1016/j.leaqua.2016.09.001")</f>
        <v>10.1016/j.leaqua.2016.09.001</v>
      </c>
      <c r="B692" s="680" t="str">
        <f>IFERROR(__xludf.DUMMYFUNCTION("""COMPUTED_VALUE"""),"https://drive.google.com/file/d/12BgAmyTUM9zXROL8EJBSKj47rzdgie8X/view?usp=drivesdk")</f>
        <v>https://drive.google.com/file/d/12BgAmyTUM9zXROL8EJBSKj47rzdgie8X/view?usp=drivesdk</v>
      </c>
      <c r="C692" s="159" t="str">
        <f>IFERROR(__xludf.DUMMYFUNCTION("""COMPUTED_VALUE"""),"10.1016--j.leaqua.2016.09.001.pdf")</f>
        <v>10.1016--j.leaqua.2016.09.001.pdf</v>
      </c>
      <c r="D692" s="159" t="str">
        <f>IFERROR(__xludf.DUMMYFUNCTION("""COMPUTED_VALUE"""),"application/pdf")</f>
        <v>application/pdf</v>
      </c>
    </row>
    <row r="693">
      <c r="A693" s="159" t="str">
        <f>IFERROR(__xludf.DUMMYFUNCTION("""COMPUTED_VALUE"""),"10.1037/0021-9010.73.3.371")</f>
        <v>10.1037/0021-9010.73.3.371</v>
      </c>
      <c r="B693" s="680" t="str">
        <f>IFERROR(__xludf.DUMMYFUNCTION("""COMPUTED_VALUE"""),"https://drive.google.com/file/d/1wD5K7vGl237GSVx_g7ZuNDVuTVXH6WuK/view?usp=drivesdk")</f>
        <v>https://drive.google.com/file/d/1wD5K7vGl237GSVx_g7ZuNDVuTVXH6WuK/view?usp=drivesdk</v>
      </c>
      <c r="C693" s="159" t="str">
        <f>IFERROR(__xludf.DUMMYFUNCTION("""COMPUTED_VALUE"""),"10.1037--0021-9010.73.3.371.pdf")</f>
        <v>10.1037--0021-9010.73.3.371.pdf</v>
      </c>
      <c r="D693" s="159" t="str">
        <f>IFERROR(__xludf.DUMMYFUNCTION("""COMPUTED_VALUE"""),"application/pdf")</f>
        <v>application/pdf</v>
      </c>
    </row>
    <row r="694">
      <c r="A694" s="159" t="str">
        <f>IFERROR(__xludf.DUMMYFUNCTION("""COMPUTED_VALUE"""),"10.1111/j.1464-0597.1991.tb01002.x")</f>
        <v>10.1111/j.1464-0597.1991.tb01002.x</v>
      </c>
      <c r="B694" s="680" t="str">
        <f>IFERROR(__xludf.DUMMYFUNCTION("""COMPUTED_VALUE"""),"https://drive.google.com/file/d/1EkBM9C5Mvo2bILgH28D18nu6tfMH-AQM/view?usp=drivesdk")</f>
        <v>https://drive.google.com/file/d/1EkBM9C5Mvo2bILgH28D18nu6tfMH-AQM/view?usp=drivesdk</v>
      </c>
      <c r="C694" s="159" t="str">
        <f>IFERROR(__xludf.DUMMYFUNCTION("""COMPUTED_VALUE"""),"10.1111--j.1464-0597.1991.tb01002.x.pdf")</f>
        <v>10.1111--j.1464-0597.1991.tb01002.x.pdf</v>
      </c>
      <c r="D694" s="159" t="str">
        <f>IFERROR(__xludf.DUMMYFUNCTION("""COMPUTED_VALUE"""),"application/pdf")</f>
        <v>application/pdf</v>
      </c>
    </row>
    <row r="695">
      <c r="A695" s="159" t="str">
        <f>IFERROR(__xludf.DUMMYFUNCTION("""COMPUTED_VALUE"""),"10.1002/(sici)1099-0771(199909)12:3&lt;207::aid-bdm322&gt;3.0.co;2-p")</f>
        <v>10.1002/(sici)1099-0771(199909)12:3&lt;207::aid-bdm322&gt;3.0.co;2-p</v>
      </c>
      <c r="B695" s="680" t="str">
        <f>IFERROR(__xludf.DUMMYFUNCTION("""COMPUTED_VALUE"""),"https://drive.google.com/file/d/1tWXH9wN-LAm3w7fnnjQxnR4HsGwal6Kx/view?usp=drivesdk")</f>
        <v>https://drive.google.com/file/d/1tWXH9wN-LAm3w7fnnjQxnR4HsGwal6Kx/view?usp=drivesdk</v>
      </c>
      <c r="C695" s="159" t="str">
        <f>IFERROR(__xludf.DUMMYFUNCTION("""COMPUTED_VALUE"""),"10.1002--(SICI)1099-0771(199909)12:3&lt;207::AID-BDM322&gt;3.0.CO;2-P.pdf")</f>
        <v>10.1002--(SICI)1099-0771(199909)12:3&lt;207::AID-BDM322&gt;3.0.CO;2-P.pdf</v>
      </c>
      <c r="D695" s="159" t="str">
        <f>IFERROR(__xludf.DUMMYFUNCTION("""COMPUTED_VALUE"""),"application/pdf")</f>
        <v>application/pdf</v>
      </c>
    </row>
    <row r="696">
      <c r="A696" s="159" t="str">
        <f>IFERROR(__xludf.DUMMYFUNCTION("""COMPUTED_VALUE"""),"10.1016/s0001-8791(03)00038-1")</f>
        <v>10.1016/s0001-8791(03)00038-1</v>
      </c>
      <c r="B696" s="680" t="str">
        <f>IFERROR(__xludf.DUMMYFUNCTION("""COMPUTED_VALUE"""),"https://drive.google.com/file/d/1_8pCZB3pw8U1_io8whrbB1Gwpr26Wcew/view?usp=drivesdk")</f>
        <v>https://drive.google.com/file/d/1_8pCZB3pw8U1_io8whrbB1Gwpr26Wcew/view?usp=drivesdk</v>
      </c>
      <c r="C696" s="159" t="str">
        <f>IFERROR(__xludf.DUMMYFUNCTION("""COMPUTED_VALUE"""),"10.1016--S0001-8791(03)00038-1.pdf")</f>
        <v>10.1016--S0001-8791(03)00038-1.pdf</v>
      </c>
      <c r="D696" s="159" t="str">
        <f>IFERROR(__xludf.DUMMYFUNCTION("""COMPUTED_VALUE"""),"application/pdf")</f>
        <v>application/pdf</v>
      </c>
    </row>
    <row r="697">
      <c r="A697" s="159" t="str">
        <f>IFERROR(__xludf.DUMMYFUNCTION("""COMPUTED_VALUE"""),"10.1037/a0026655")</f>
        <v>10.1037/a0026655</v>
      </c>
      <c r="B697" s="680" t="str">
        <f>IFERROR(__xludf.DUMMYFUNCTION("""COMPUTED_VALUE"""),"https://drive.google.com/file/d/1qLQqiOwiE_r8bWR1z8K85zTLukbEGBUS/view?usp=drivesdk")</f>
        <v>https://drive.google.com/file/d/1qLQqiOwiE_r8bWR1z8K85zTLukbEGBUS/view?usp=drivesdk</v>
      </c>
      <c r="C697" s="159" t="str">
        <f>IFERROR(__xludf.DUMMYFUNCTION("""COMPUTED_VALUE"""),"10.1037--a0026655.pdf")</f>
        <v>10.1037--a0026655.pdf</v>
      </c>
      <c r="D697" s="159" t="str">
        <f>IFERROR(__xludf.DUMMYFUNCTION("""COMPUTED_VALUE"""),"application/pdf")</f>
        <v>application/pdf</v>
      </c>
    </row>
    <row r="698">
      <c r="A698" s="159" t="str">
        <f>IFERROR(__xludf.DUMMYFUNCTION("""COMPUTED_VALUE"""),"10.2307/30040664")</f>
        <v>10.2307/30040664</v>
      </c>
      <c r="B698" s="680" t="str">
        <f>IFERROR(__xludf.DUMMYFUNCTION("""COMPUTED_VALUE"""),"https://drive.google.com/file/d/1bYfm5MH4oAijzOFnIThP8bgDImV713jA/view?usp=drivesdk")</f>
        <v>https://drive.google.com/file/d/1bYfm5MH4oAijzOFnIThP8bgDImV713jA/view?usp=drivesdk</v>
      </c>
      <c r="C698" s="159" t="str">
        <f>IFERROR(__xludf.DUMMYFUNCTION("""COMPUTED_VALUE"""),"10.2307--30040664.pdf")</f>
        <v>10.2307--30040664.pdf</v>
      </c>
      <c r="D698" s="159" t="str">
        <f>IFERROR(__xludf.DUMMYFUNCTION("""COMPUTED_VALUE"""),"application/pdf")</f>
        <v>application/pdf</v>
      </c>
    </row>
    <row r="699">
      <c r="A699" s="159" t="str">
        <f>IFERROR(__xludf.DUMMYFUNCTION("""COMPUTED_VALUE"""),"10.1002/smj.4250140602")</f>
        <v>10.1002/smj.4250140602</v>
      </c>
      <c r="B699" s="680" t="str">
        <f>IFERROR(__xludf.DUMMYFUNCTION("""COMPUTED_VALUE"""),"https://drive.google.com/file/d/1lAJWl23b0fzfqClyvqCvmz4aSdKIgGIL/view?usp=drivesdk")</f>
        <v>https://drive.google.com/file/d/1lAJWl23b0fzfqClyvqCvmz4aSdKIgGIL/view?usp=drivesdk</v>
      </c>
      <c r="C699" s="159" t="str">
        <f>IFERROR(__xludf.DUMMYFUNCTION("""COMPUTED_VALUE"""),"10.1002--smj.4250140602.pdf")</f>
        <v>10.1002--smj.4250140602.pdf</v>
      </c>
      <c r="D699" s="159" t="str">
        <f>IFERROR(__xludf.DUMMYFUNCTION("""COMPUTED_VALUE"""),"application/pdf")</f>
        <v>application/pdf</v>
      </c>
    </row>
    <row r="700">
      <c r="A700" s="159" t="str">
        <f>IFERROR(__xludf.DUMMYFUNCTION("""COMPUTED_VALUE"""),"10.1111/j.1540-4560.1951.tb02240.x")</f>
        <v>10.1111/j.1540-4560.1951.tb02240.x</v>
      </c>
      <c r="B700" s="680" t="str">
        <f>IFERROR(__xludf.DUMMYFUNCTION("""COMPUTED_VALUE"""),"https://drive.google.com/file/d/1Q4utWCMJXBj1rVJAIVm1NjQYRp_ZZD7Y/view?usp=drivesdk")</f>
        <v>https://drive.google.com/file/d/1Q4utWCMJXBj1rVJAIVm1NjQYRp_ZZD7Y/view?usp=drivesdk</v>
      </c>
      <c r="C700" s="159" t="str">
        <f>IFERROR(__xludf.DUMMYFUNCTION("""COMPUTED_VALUE"""),"10.1111--j.1540-4560.1951.tb02240.x.pdf")</f>
        <v>10.1111--j.1540-4560.1951.tb02240.x.pdf</v>
      </c>
      <c r="D700" s="159" t="str">
        <f>IFERROR(__xludf.DUMMYFUNCTION("""COMPUTED_VALUE"""),"application/pdf")</f>
        <v>application/pdf</v>
      </c>
    </row>
    <row r="701">
      <c r="A701" s="159" t="str">
        <f>IFERROR(__xludf.DUMMYFUNCTION("""COMPUTED_VALUE"""),"10.1037/0021-9010.72.1.62")</f>
        <v>10.1037/0021-9010.72.1.62</v>
      </c>
      <c r="B701" s="680" t="str">
        <f>IFERROR(__xludf.DUMMYFUNCTION("""COMPUTED_VALUE"""),"https://drive.google.com/file/d/1gI81Kj1u0dCWvY9mBZIdcFeqtg9ldYF2/view?usp=drivesdk")</f>
        <v>https://drive.google.com/file/d/1gI81Kj1u0dCWvY9mBZIdcFeqtg9ldYF2/view?usp=drivesdk</v>
      </c>
      <c r="C701" s="159" t="str">
        <f>IFERROR(__xludf.DUMMYFUNCTION("""COMPUTED_VALUE"""),"10.1037--0021-9010.72.1.62.pdf")</f>
        <v>10.1037--0021-9010.72.1.62.pdf</v>
      </c>
      <c r="D701" s="159" t="str">
        <f>IFERROR(__xludf.DUMMYFUNCTION("""COMPUTED_VALUE"""),"application/pdf")</f>
        <v>application/pdf</v>
      </c>
    </row>
    <row r="702">
      <c r="A702" s="159" t="str">
        <f>IFERROR(__xludf.DUMMYFUNCTION("""COMPUTED_VALUE"""),"10.1037/0021-9010.66.5.598")</f>
        <v>10.1037/0021-9010.66.5.598</v>
      </c>
      <c r="B702" s="680" t="str">
        <f>IFERROR(__xludf.DUMMYFUNCTION("""COMPUTED_VALUE"""),"https://drive.google.com/file/d/1vArcbKAgEmEWejRnakWUfomGnsH5tn4W/view?usp=drivesdk")</f>
        <v>https://drive.google.com/file/d/1vArcbKAgEmEWejRnakWUfomGnsH5tn4W/view?usp=drivesdk</v>
      </c>
      <c r="C702" s="159" t="str">
        <f>IFERROR(__xludf.DUMMYFUNCTION("""COMPUTED_VALUE"""),"10.1037--0021-9010.66.5.598.pdf")</f>
        <v>10.1037--0021-9010.66.5.598.pdf</v>
      </c>
      <c r="D702" s="159" t="str">
        <f>IFERROR(__xludf.DUMMYFUNCTION("""COMPUTED_VALUE"""),"application/pdf")</f>
        <v>application/pdf</v>
      </c>
    </row>
    <row r="703">
      <c r="A703" s="159" t="str">
        <f>IFERROR(__xludf.DUMMYFUNCTION("""COMPUTED_VALUE"""),"10.1111/j.1744-6570.1998.tb00252.x")</f>
        <v>10.1111/j.1744-6570.1998.tb00252.x</v>
      </c>
      <c r="B703" s="680" t="str">
        <f>IFERROR(__xludf.DUMMYFUNCTION("""COMPUTED_VALUE"""),"https://drive.google.com/file/d/1UHWACn9Nb4VelPRgXSIGlDkAUk_C2XrY/view?usp=drivesdk")</f>
        <v>https://drive.google.com/file/d/1UHWACn9Nb4VelPRgXSIGlDkAUk_C2XrY/view?usp=drivesdk</v>
      </c>
      <c r="C703" s="159" t="str">
        <f>IFERROR(__xludf.DUMMYFUNCTION("""COMPUTED_VALUE"""),"10.1111--j.1744-6570.1998.tb00252.x.pdf")</f>
        <v>10.1111--j.1744-6570.1998.tb00252.x.pdf</v>
      </c>
      <c r="D703" s="159" t="str">
        <f>IFERROR(__xludf.DUMMYFUNCTION("""COMPUTED_VALUE"""),"application/pdf")</f>
        <v>application/pdf</v>
      </c>
    </row>
    <row r="704">
      <c r="A704" s="159" t="str">
        <f>IFERROR(__xludf.DUMMYFUNCTION("""COMPUTED_VALUE"""),"10.1006/obhd.1998.2780")</f>
        <v>10.1006/obhd.1998.2780</v>
      </c>
      <c r="B704" s="680" t="str">
        <f>IFERROR(__xludf.DUMMYFUNCTION("""COMPUTED_VALUE"""),"https://drive.google.com/file/d/1S69otxyEHHYfHasqVFCFLrpq9qfre1cG/view?usp=drivesdk")</f>
        <v>https://drive.google.com/file/d/1S69otxyEHHYfHasqVFCFLrpq9qfre1cG/view?usp=drivesdk</v>
      </c>
      <c r="C704" s="159" t="str">
        <f>IFERROR(__xludf.DUMMYFUNCTION("""COMPUTED_VALUE"""),"10.1006--obhd.1998.2780.pdf")</f>
        <v>10.1006--obhd.1998.2780.pdf</v>
      </c>
      <c r="D704" s="159" t="str">
        <f>IFERROR(__xludf.DUMMYFUNCTION("""COMPUTED_VALUE"""),"application/pdf")</f>
        <v>application/pdf</v>
      </c>
    </row>
    <row r="705">
      <c r="A705" s="159" t="str">
        <f>IFERROR(__xludf.DUMMYFUNCTION("""COMPUTED_VALUE"""),"10.1006/jesp.1994.1003")</f>
        <v>10.1006/jesp.1994.1003</v>
      </c>
      <c r="B705" s="680" t="str">
        <f>IFERROR(__xludf.DUMMYFUNCTION("""COMPUTED_VALUE"""),"https://drive.google.com/file/d/1G4fER-msQOprc8Y6XVSOHNwysw1dsz_M/view?usp=drivesdk")</f>
        <v>https://drive.google.com/file/d/1G4fER-msQOprc8Y6XVSOHNwysw1dsz_M/view?usp=drivesdk</v>
      </c>
      <c r="C705" s="159" t="str">
        <f>IFERROR(__xludf.DUMMYFUNCTION("""COMPUTED_VALUE"""),"10.1006--jesp.1994.1003.pdf")</f>
        <v>10.1006--jesp.1994.1003.pdf</v>
      </c>
      <c r="D705" s="159" t="str">
        <f>IFERROR(__xludf.DUMMYFUNCTION("""COMPUTED_VALUE"""),"application/pdf")</f>
        <v>application/pdf</v>
      </c>
    </row>
    <row r="706">
      <c r="A706" s="159" t="str">
        <f>IFERROR(__xludf.DUMMYFUNCTION("""COMPUTED_VALUE"""),"10.1037/0021-9010.67.6.868")</f>
        <v>10.1037/0021-9010.67.6.868</v>
      </c>
      <c r="B706" s="680" t="str">
        <f>IFERROR(__xludf.DUMMYFUNCTION("""COMPUTED_VALUE"""),"https://drive.google.com/file/d/1_IBV79wnvdxg0ewozQfTeEifd97WXkBt/view?usp=drivesdk")</f>
        <v>https://drive.google.com/file/d/1_IBV79wnvdxg0ewozQfTeEifd97WXkBt/view?usp=drivesdk</v>
      </c>
      <c r="C706" s="159" t="str">
        <f>IFERROR(__xludf.DUMMYFUNCTION("""COMPUTED_VALUE"""),"10.1037--0021-9010.67.6.868.pdf")</f>
        <v>10.1037--0021-9010.67.6.868.pdf</v>
      </c>
      <c r="D706" s="159" t="str">
        <f>IFERROR(__xludf.DUMMYFUNCTION("""COMPUTED_VALUE"""),"application/pdf")</f>
        <v>application/pdf</v>
      </c>
    </row>
    <row r="707">
      <c r="A707" s="159" t="str">
        <f>IFERROR(__xludf.DUMMYFUNCTION("""COMPUTED_VALUE"""),"10.1006/jesp.1995.1012")</f>
        <v>10.1006/jesp.1995.1012</v>
      </c>
      <c r="B707" s="680" t="str">
        <f>IFERROR(__xludf.DUMMYFUNCTION("""COMPUTED_VALUE"""),"https://drive.google.com/file/d/1Znz2cysuzqGLY68gM36qcVMDtzSrRBhU/view?usp=drivesdk")</f>
        <v>https://drive.google.com/file/d/1Znz2cysuzqGLY68gM36qcVMDtzSrRBhU/view?usp=drivesdk</v>
      </c>
      <c r="C707" s="159" t="str">
        <f>IFERROR(__xludf.DUMMYFUNCTION("""COMPUTED_VALUE"""),"10.1006--jesp.1995.1012.pdf")</f>
        <v>10.1006--jesp.1995.1012.pdf</v>
      </c>
      <c r="D707" s="159" t="str">
        <f>IFERROR(__xludf.DUMMYFUNCTION("""COMPUTED_VALUE"""),"application/pdf")</f>
        <v>application/pdf</v>
      </c>
    </row>
    <row r="708">
      <c r="A708" s="159" t="str">
        <f>IFERROR(__xludf.DUMMYFUNCTION("""COMPUTED_VALUE"""),"10.1111/j.1744-6570.1993.tb01571.x")</f>
        <v>10.1111/j.1744-6570.1993.tb01571.x</v>
      </c>
      <c r="B708" s="680" t="str">
        <f>IFERROR(__xludf.DUMMYFUNCTION("""COMPUTED_VALUE"""),"https://drive.google.com/file/d/1Xb6r5Sg08ie-70ZRarJLJ0HXZhA8pR-k/view?usp=drivesdk")</f>
        <v>https://drive.google.com/file/d/1Xb6r5Sg08ie-70ZRarJLJ0HXZhA8pR-k/view?usp=drivesdk</v>
      </c>
      <c r="C708" s="159" t="str">
        <f>IFERROR(__xludf.DUMMYFUNCTION("""COMPUTED_VALUE"""),"10.1111--j.1744-6570.1993.tb01571.x.pdf")</f>
        <v>10.1111--j.1744-6570.1993.tb01571.x.pdf</v>
      </c>
      <c r="D708" s="159" t="str">
        <f>IFERROR(__xludf.DUMMYFUNCTION("""COMPUTED_VALUE"""),"application/pdf")</f>
        <v>application/pdf</v>
      </c>
    </row>
    <row r="709">
      <c r="A709" s="159" t="str">
        <f>IFERROR(__xludf.DUMMYFUNCTION("""COMPUTED_VALUE"""),"10.1016/s1048-9843(98)90038-8")</f>
        <v>10.1016/s1048-9843(98)90038-8</v>
      </c>
      <c r="B709" s="680" t="str">
        <f>IFERROR(__xludf.DUMMYFUNCTION("""COMPUTED_VALUE"""),"https://drive.google.com/file/d/1SiUbejtLMZIlgDDNSY37EhfU5KVeOIOp/view?usp=drivesdk")</f>
        <v>https://drive.google.com/file/d/1SiUbejtLMZIlgDDNSY37EhfU5KVeOIOp/view?usp=drivesdk</v>
      </c>
      <c r="C709" s="159" t="str">
        <f>IFERROR(__xludf.DUMMYFUNCTION("""COMPUTED_VALUE"""),"10.1016--S1048-9843(98)90038-8.pdf")</f>
        <v>10.1016--S1048-9843(98)90038-8.pdf</v>
      </c>
      <c r="D709" s="159" t="str">
        <f>IFERROR(__xludf.DUMMYFUNCTION("""COMPUTED_VALUE"""),"application/pdf")</f>
        <v>application/pdf</v>
      </c>
    </row>
    <row r="710">
      <c r="A710" s="159" t="str">
        <f>IFERROR(__xludf.DUMMYFUNCTION("""COMPUTED_VALUE"""),"10.2307/2117753")</f>
        <v>10.2307/2117753</v>
      </c>
      <c r="B710" s="680" t="str">
        <f>IFERROR(__xludf.DUMMYFUNCTION("""COMPUTED_VALUE"""),"https://drive.google.com/file/d/1Pml0NZRsfOysQAMn6JrlwAgAx1237UbE/view?usp=drivesdk")</f>
        <v>https://drive.google.com/file/d/1Pml0NZRsfOysQAMn6JrlwAgAx1237UbE/view?usp=drivesdk</v>
      </c>
      <c r="C710" s="159" t="str">
        <f>IFERROR(__xludf.DUMMYFUNCTION("""COMPUTED_VALUE"""),"10.2307--2117753.pdf")</f>
        <v>10.2307--2117753.pdf</v>
      </c>
      <c r="D710" s="159" t="str">
        <f>IFERROR(__xludf.DUMMYFUNCTION("""COMPUTED_VALUE"""),"application/pdf")</f>
        <v>application/pdf</v>
      </c>
    </row>
    <row r="711">
      <c r="A711" s="159" t="str">
        <f>IFERROR(__xludf.DUMMYFUNCTION("""COMPUTED_VALUE"""),"10.2307/255784")</f>
        <v>10.2307/255784</v>
      </c>
      <c r="B711" s="680" t="str">
        <f>IFERROR(__xludf.DUMMYFUNCTION("""COMPUTED_VALUE"""),"https://drive.google.com/file/d/1RPAwEFx8I1R74xrEoSoTRg1lJQG9P5CL/view?usp=drivesdk")</f>
        <v>https://drive.google.com/file/d/1RPAwEFx8I1R74xrEoSoTRg1lJQG9P5CL/view?usp=drivesdk</v>
      </c>
      <c r="C711" s="159" t="str">
        <f>IFERROR(__xludf.DUMMYFUNCTION("""COMPUTED_VALUE"""),"10.2307--255784.pdf")</f>
        <v>10.2307--255784.pdf</v>
      </c>
      <c r="D711" s="159" t="str">
        <f>IFERROR(__xludf.DUMMYFUNCTION("""COMPUTED_VALUE"""),"application/pdf")</f>
        <v>application/pdf</v>
      </c>
    </row>
    <row r="712">
      <c r="A712" s="159" t="str">
        <f>IFERROR(__xludf.DUMMYFUNCTION("""COMPUTED_VALUE"""),"10.1002/1099-0771(200007/09)13:3&lt;329::aid-bdm356&gt;3.0.co;2-q")</f>
        <v>10.1002/1099-0771(200007/09)13:3&lt;329::aid-bdm356&gt;3.0.co;2-q</v>
      </c>
      <c r="B712" s="680" t="str">
        <f>IFERROR(__xludf.DUMMYFUNCTION("""COMPUTED_VALUE"""),"https://drive.google.com/file/d/1ev72IDNl2mCWJhTasc1EYGJO6GTUrmqa/view?usp=drivesdk")</f>
        <v>https://drive.google.com/file/d/1ev72IDNl2mCWJhTasc1EYGJO6GTUrmqa/view?usp=drivesdk</v>
      </c>
      <c r="C712" s="159" t="str">
        <f>IFERROR(__xludf.DUMMYFUNCTION("""COMPUTED_VALUE"""),"10.1002--1099-0771(200007--09)13:3&lt;329::AID-BDM356&gt;3.0.CO;2-Q.pdf")</f>
        <v>10.1002--1099-0771(200007--09)13:3&lt;329::AID-BDM356&gt;3.0.CO;2-Q.pdf</v>
      </c>
      <c r="D712" s="159" t="str">
        <f>IFERROR(__xludf.DUMMYFUNCTION("""COMPUTED_VALUE"""),"application/pdf")</f>
        <v>application/pdf</v>
      </c>
    </row>
    <row r="713">
      <c r="A713" s="159" t="str">
        <f>IFERROR(__xludf.DUMMYFUNCTION("""COMPUTED_VALUE"""),"10.1007/bf01126707")</f>
        <v>10.1007/bf01126707</v>
      </c>
      <c r="B713" s="680" t="str">
        <f>IFERROR(__xludf.DUMMYFUNCTION("""COMPUTED_VALUE"""),"https://drive.google.com/file/d/1y-ClKplSDZbSDj9JICuN8NS0Mjk6NunL/view?usp=drivesdk")</f>
        <v>https://drive.google.com/file/d/1y-ClKplSDZbSDj9JICuN8NS0Mjk6NunL/view?usp=drivesdk</v>
      </c>
      <c r="C713" s="159" t="str">
        <f>IFERROR(__xludf.DUMMYFUNCTION("""COMPUTED_VALUE"""),"10.1007--BF01126707.pdf")</f>
        <v>10.1007--BF01126707.pdf</v>
      </c>
      <c r="D713" s="159" t="str">
        <f>IFERROR(__xludf.DUMMYFUNCTION("""COMPUTED_VALUE"""),"application/pdf")</f>
        <v>application/pdf</v>
      </c>
    </row>
    <row r="714">
      <c r="A714" s="159" t="str">
        <f>IFERROR(__xludf.DUMMYFUNCTION("""COMPUTED_VALUE"""),"10.5465/amj.2005.18803920")</f>
        <v>10.5465/amj.2005.18803920</v>
      </c>
      <c r="B714" s="680" t="str">
        <f>IFERROR(__xludf.DUMMYFUNCTION("""COMPUTED_VALUE"""),"https://drive.google.com/file/d/19Fl-39IlzoCfmIEOsnY6JKwu2bUiX3MO/view?usp=drivesdk")</f>
        <v>https://drive.google.com/file/d/19Fl-39IlzoCfmIEOsnY6JKwu2bUiX3MO/view?usp=drivesdk</v>
      </c>
      <c r="C714" s="159" t="str">
        <f>IFERROR(__xludf.DUMMYFUNCTION("""COMPUTED_VALUE"""),"10.5465--amj.2005.18803920.pdf")</f>
        <v>10.5465--amj.2005.18803920.pdf</v>
      </c>
      <c r="D714" s="159" t="str">
        <f>IFERROR(__xludf.DUMMYFUNCTION("""COMPUTED_VALUE"""),"application/pdf")</f>
        <v>application/pdf</v>
      </c>
    </row>
    <row r="715">
      <c r="A715" s="159" t="str">
        <f>IFERROR(__xludf.DUMMYFUNCTION("""COMPUTED_VALUE"""),"10.1037/0021-9010.72.3.416")</f>
        <v>10.1037/0021-9010.72.3.416</v>
      </c>
      <c r="B715" s="680" t="str">
        <f>IFERROR(__xludf.DUMMYFUNCTION("""COMPUTED_VALUE"""),"https://drive.google.com/file/d/1-HbB1R9rUkZyBA6k76KWaAbDsT1gjxYO/view?usp=drivesdk")</f>
        <v>https://drive.google.com/file/d/1-HbB1R9rUkZyBA6k76KWaAbDsT1gjxYO/view?usp=drivesdk</v>
      </c>
      <c r="C715" s="159" t="str">
        <f>IFERROR(__xludf.DUMMYFUNCTION("""COMPUTED_VALUE"""),"10.1037--0021-9010.72.3.416.pdf")</f>
        <v>10.1037--0021-9010.72.3.416.pdf</v>
      </c>
      <c r="D715" s="159" t="str">
        <f>IFERROR(__xludf.DUMMYFUNCTION("""COMPUTED_VALUE"""),"application/pdf")</f>
        <v>application/pdf</v>
      </c>
    </row>
    <row r="716">
      <c r="A716" s="159" t="str">
        <f>IFERROR(__xludf.DUMMYFUNCTION("""COMPUTED_VALUE"""),"10.1016/0749-5978(86)90056-7")</f>
        <v>10.1016/0749-5978(86)90056-7</v>
      </c>
      <c r="B716" s="680" t="str">
        <f>IFERROR(__xludf.DUMMYFUNCTION("""COMPUTED_VALUE"""),"https://drive.google.com/file/d/1F49REiDAYzMubDAe3MtDbOAzdlry6s6_/view?usp=drivesdk")</f>
        <v>https://drive.google.com/file/d/1F49REiDAYzMubDAe3MtDbOAzdlry6s6_/view?usp=drivesdk</v>
      </c>
      <c r="C716" s="159" t="str">
        <f>IFERROR(__xludf.DUMMYFUNCTION("""COMPUTED_VALUE"""),"10.1016--0749-5978(86)90056-7.pdf")</f>
        <v>10.1016--0749-5978(86)90056-7.pdf</v>
      </c>
      <c r="D716" s="159" t="str">
        <f>IFERROR(__xludf.DUMMYFUNCTION("""COMPUTED_VALUE"""),"application/pdf")</f>
        <v>application/pdf</v>
      </c>
    </row>
    <row r="717">
      <c r="A717" s="159" t="str">
        <f>IFERROR(__xludf.DUMMYFUNCTION("""COMPUTED_VALUE"""),"10.2307/258835")</f>
        <v>10.2307/258835</v>
      </c>
      <c r="B717" s="680" t="str">
        <f>IFERROR(__xludf.DUMMYFUNCTION("""COMPUTED_VALUE"""),"https://drive.google.com/file/d/1-mRX6-K14MRBPbv70jcqjI6pFDDlkp6f/view?usp=drivesdk")</f>
        <v>https://drive.google.com/file/d/1-mRX6-K14MRBPbv70jcqjI6pFDDlkp6f/view?usp=drivesdk</v>
      </c>
      <c r="C717" s="159" t="str">
        <f>IFERROR(__xludf.DUMMYFUNCTION("""COMPUTED_VALUE"""),"10.2307--258835.pdf")</f>
        <v>10.2307--258835.pdf</v>
      </c>
      <c r="D717" s="159" t="str">
        <f>IFERROR(__xludf.DUMMYFUNCTION("""COMPUTED_VALUE"""),"application/pdf")</f>
        <v>application/pdf</v>
      </c>
    </row>
    <row r="718">
      <c r="A718" s="159" t="str">
        <f>IFERROR(__xludf.DUMMYFUNCTION("""COMPUTED_VALUE"""),"10.2307/254774")</f>
        <v>10.2307/254774</v>
      </c>
      <c r="B718" s="680" t="str">
        <f>IFERROR(__xludf.DUMMYFUNCTION("""COMPUTED_VALUE"""),"https://drive.google.com/file/d/13JuK8F5cAr0NcgdQMexknkEUN1Pt55HM/view?usp=drivesdk")</f>
        <v>https://drive.google.com/file/d/13JuK8F5cAr0NcgdQMexknkEUN1Pt55HM/view?usp=drivesdk</v>
      </c>
      <c r="C718" s="159" t="str">
        <f>IFERROR(__xludf.DUMMYFUNCTION("""COMPUTED_VALUE"""),"10.2307--254774.pdf")</f>
        <v>10.2307--254774.pdf</v>
      </c>
      <c r="D718" s="159" t="str">
        <f>IFERROR(__xludf.DUMMYFUNCTION("""COMPUTED_VALUE"""),"application/pdf")</f>
        <v>application/pdf</v>
      </c>
    </row>
    <row r="719">
      <c r="A719" s="159" t="str">
        <f>IFERROR(__xludf.DUMMYFUNCTION("""COMPUTED_VALUE"""),"10.1111/j.1744-6570.1969.tb00334.x")</f>
        <v>10.1111/j.1744-6570.1969.tb00334.x</v>
      </c>
      <c r="B719" s="680" t="str">
        <f>IFERROR(__xludf.DUMMYFUNCTION("""COMPUTED_VALUE"""),"https://drive.google.com/file/d/1gHx96vgOr6oOtWOX-PMyHSBX1iz_spTQ/view?usp=drivesdk")</f>
        <v>https://drive.google.com/file/d/1gHx96vgOr6oOtWOX-PMyHSBX1iz_spTQ/view?usp=drivesdk</v>
      </c>
      <c r="C719" s="159" t="str">
        <f>IFERROR(__xludf.DUMMYFUNCTION("""COMPUTED_VALUE"""),"10.1111--j.1744-6570.1969.tb00334.x.pdf")</f>
        <v>10.1111--j.1744-6570.1969.tb00334.x.pdf</v>
      </c>
      <c r="D719" s="159" t="str">
        <f>IFERROR(__xludf.DUMMYFUNCTION("""COMPUTED_VALUE"""),"application/pdf")</f>
        <v>application/pdf</v>
      </c>
    </row>
    <row r="720">
      <c r="A720" s="159" t="str">
        <f>IFERROR(__xludf.DUMMYFUNCTION("""COMPUTED_VALUE"""),"10.2307/255435")</f>
        <v>10.2307/255435</v>
      </c>
      <c r="B720" s="680" t="str">
        <f>IFERROR(__xludf.DUMMYFUNCTION("""COMPUTED_VALUE"""),"https://drive.google.com/file/d/1qzoJ5NDPk8c3zhlYn9hfymGZcTrf4iJO/view?usp=drivesdk")</f>
        <v>https://drive.google.com/file/d/1qzoJ5NDPk8c3zhlYn9hfymGZcTrf4iJO/view?usp=drivesdk</v>
      </c>
      <c r="C720" s="159" t="str">
        <f>IFERROR(__xludf.DUMMYFUNCTION("""COMPUTED_VALUE"""),"10.2307--255435.pdf")</f>
        <v>10.2307--255435.pdf</v>
      </c>
      <c r="D720" s="159" t="str">
        <f>IFERROR(__xludf.DUMMYFUNCTION("""COMPUTED_VALUE"""),"application/pdf")</f>
        <v>application/pdf</v>
      </c>
    </row>
    <row r="721">
      <c r="A721" s="159" t="str">
        <f>IFERROR(__xludf.DUMMYFUNCTION("""COMPUTED_VALUE"""),"10.1037/0033-2909.106.3.410")</f>
        <v>10.1037/0033-2909.106.3.410</v>
      </c>
      <c r="B721" s="680" t="str">
        <f>IFERROR(__xludf.DUMMYFUNCTION("""COMPUTED_VALUE"""),"https://drive.google.com/file/d/1_MeAdzsFfNvLrCQ3sSFDdCr8HpTmq2IU/view?usp=drivesdk")</f>
        <v>https://drive.google.com/file/d/1_MeAdzsFfNvLrCQ3sSFDdCr8HpTmq2IU/view?usp=drivesdk</v>
      </c>
      <c r="C721" s="159" t="str">
        <f>IFERROR(__xludf.DUMMYFUNCTION("""COMPUTED_VALUE"""),"10.1037--0033-2909.106.3.410.pdf")</f>
        <v>10.1037--0033-2909.106.3.410.pdf</v>
      </c>
      <c r="D721" s="159" t="str">
        <f>IFERROR(__xludf.DUMMYFUNCTION("""COMPUTED_VALUE"""),"application/pdf")</f>
        <v>application/pdf</v>
      </c>
    </row>
    <row r="722">
      <c r="A722" s="159" t="str">
        <f>IFERROR(__xludf.DUMMYFUNCTION("""COMPUTED_VALUE"""),"10.1037/h0031152")</f>
        <v>10.1037/h0031152</v>
      </c>
      <c r="B722" s="680" t="str">
        <f>IFERROR(__xludf.DUMMYFUNCTION("""COMPUTED_VALUE"""),"https://drive.google.com/file/d/1WGzOmcgtGFQYRA6wT5mHhQdNCmOSx2CQ/view?usp=drivesdk")</f>
        <v>https://drive.google.com/file/d/1WGzOmcgtGFQYRA6wT5mHhQdNCmOSx2CQ/view?usp=drivesdk</v>
      </c>
      <c r="C722" s="159" t="str">
        <f>IFERROR(__xludf.DUMMYFUNCTION("""COMPUTED_VALUE"""),"10.1037--h0031152.pdf")</f>
        <v>10.1037--h0031152.pdf</v>
      </c>
      <c r="D722" s="159" t="str">
        <f>IFERROR(__xludf.DUMMYFUNCTION("""COMPUTED_VALUE"""),"application/pdf")</f>
        <v>application/pdf</v>
      </c>
    </row>
    <row r="723">
      <c r="A723" s="159" t="str">
        <f>IFERROR(__xludf.DUMMYFUNCTION("""COMPUTED_VALUE"""),"10.1037/0021-9010.72.4.573")</f>
        <v>10.1037/0021-9010.72.4.573</v>
      </c>
      <c r="B723" s="680" t="str">
        <f>IFERROR(__xludf.DUMMYFUNCTION("""COMPUTED_VALUE"""),"https://drive.google.com/file/d/1ajxvIZjaHlczZK9kLas3Htg_Gnc-BrFU/view?usp=drivesdk")</f>
        <v>https://drive.google.com/file/d/1ajxvIZjaHlczZK9kLas3Htg_Gnc-BrFU/view?usp=drivesdk</v>
      </c>
      <c r="C723" s="159" t="str">
        <f>IFERROR(__xludf.DUMMYFUNCTION("""COMPUTED_VALUE"""),"10.1037--0021-9010.72.4.573.pdf")</f>
        <v>10.1037--0021-9010.72.4.573.pdf</v>
      </c>
      <c r="D723" s="159" t="str">
        <f>IFERROR(__xludf.DUMMYFUNCTION("""COMPUTED_VALUE"""),"application/pdf")</f>
        <v>application/pdf</v>
      </c>
    </row>
    <row r="724">
      <c r="A724" s="159" t="str">
        <f>IFERROR(__xludf.DUMMYFUNCTION("""COMPUTED_VALUE"""),"10.1111/j.1744-6570.1991.tb00693.x")</f>
        <v>10.1111/j.1744-6570.1991.tb00693.x</v>
      </c>
      <c r="B724" s="680" t="str">
        <f>IFERROR(__xludf.DUMMYFUNCTION("""COMPUTED_VALUE"""),"https://drive.google.com/file/d/1WK3WM5pGKaiswbdg2yZvRvtRHwa01GsY/view?usp=drivesdk")</f>
        <v>https://drive.google.com/file/d/1WK3WM5pGKaiswbdg2yZvRvtRHwa01GsY/view?usp=drivesdk</v>
      </c>
      <c r="C724" s="159" t="str">
        <f>IFERROR(__xludf.DUMMYFUNCTION("""COMPUTED_VALUE"""),"10.1111--j.1744-6570.1991.tb00693.x.pdf")</f>
        <v>10.1111--j.1744-6570.1991.tb00693.x.pdf</v>
      </c>
      <c r="D724" s="159" t="str">
        <f>IFERROR(__xludf.DUMMYFUNCTION("""COMPUTED_VALUE"""),"application/pdf")</f>
        <v>application/pdf</v>
      </c>
    </row>
    <row r="725">
      <c r="A725" s="159" t="str">
        <f>IFERROR(__xludf.DUMMYFUNCTION("""COMPUTED_VALUE"""),"10.1002/bdm.1789")</f>
        <v>10.1002/bdm.1789</v>
      </c>
      <c r="B725" s="680" t="str">
        <f>IFERROR(__xludf.DUMMYFUNCTION("""COMPUTED_VALUE"""),"https://drive.google.com/file/d/1BmwJYklXp9TW8kIsj_AjHhg4J8Xscsn6/view?usp=drivesdk")</f>
        <v>https://drive.google.com/file/d/1BmwJYklXp9TW8kIsj_AjHhg4J8Xscsn6/view?usp=drivesdk</v>
      </c>
      <c r="C725" s="159" t="str">
        <f>IFERROR(__xludf.DUMMYFUNCTION("""COMPUTED_VALUE"""),"10.1002--bdm.1789.pdf")</f>
        <v>10.1002--bdm.1789.pdf</v>
      </c>
      <c r="D725" s="159" t="str">
        <f>IFERROR(__xludf.DUMMYFUNCTION("""COMPUTED_VALUE"""),"application/pdf")</f>
        <v>application/pdf</v>
      </c>
    </row>
    <row r="726">
      <c r="A726" s="159" t="str">
        <f>IFERROR(__xludf.DUMMYFUNCTION("""COMPUTED_VALUE"""),"10.1037/0021-9010.82.1.143")</f>
        <v>10.1037/0021-9010.82.1.143</v>
      </c>
      <c r="B726" s="680" t="str">
        <f>IFERROR(__xludf.DUMMYFUNCTION("""COMPUTED_VALUE"""),"https://drive.google.com/file/d/1u46I-xh_B-isC9Tx3RbD1ZJVW6wbiq8H/view?usp=drivesdk")</f>
        <v>https://drive.google.com/file/d/1u46I-xh_B-isC9Tx3RbD1ZJVW6wbiq8H/view?usp=drivesdk</v>
      </c>
      <c r="C726" s="159" t="str">
        <f>IFERROR(__xludf.DUMMYFUNCTION("""COMPUTED_VALUE"""),"10.1037--0021-9010.82.1.143.pdf")</f>
        <v>10.1037--0021-9010.82.1.143.pdf</v>
      </c>
      <c r="D726" s="159" t="str">
        <f>IFERROR(__xludf.DUMMYFUNCTION("""COMPUTED_VALUE"""),"application/pdf")</f>
        <v>application/pdf</v>
      </c>
    </row>
    <row r="727">
      <c r="A727" s="159" t="str">
        <f>IFERROR(__xludf.DUMMYFUNCTION("""COMPUTED_VALUE"""),"10.1080/1359432x.2019.1590337")</f>
        <v>10.1080/1359432x.2019.1590337</v>
      </c>
      <c r="B727" s="680" t="str">
        <f>IFERROR(__xludf.DUMMYFUNCTION("""COMPUTED_VALUE"""),"https://drive.google.com/file/d/12qf1qrJScepeuumFFj5t9dzpLohKg-Ip/view?usp=drivesdk")</f>
        <v>https://drive.google.com/file/d/12qf1qrJScepeuumFFj5t9dzpLohKg-Ip/view?usp=drivesdk</v>
      </c>
      <c r="C727" s="159" t="str">
        <f>IFERROR(__xludf.DUMMYFUNCTION("""COMPUTED_VALUE"""),"10.1080--1359432X.2019.1590337.pdf")</f>
        <v>10.1080--1359432X.2019.1590337.pdf</v>
      </c>
      <c r="D727" s="159" t="str">
        <f>IFERROR(__xludf.DUMMYFUNCTION("""COMPUTED_VALUE"""),"application/pdf")</f>
        <v>application/pdf</v>
      </c>
    </row>
    <row r="728">
      <c r="A728" s="159" t="str">
        <f>IFERROR(__xludf.DUMMYFUNCTION("""COMPUTED_VALUE"""),"10.1111/ijsa.12144")</f>
        <v>10.1111/ijsa.12144</v>
      </c>
      <c r="B728" s="680" t="str">
        <f>IFERROR(__xludf.DUMMYFUNCTION("""COMPUTED_VALUE"""),"https://drive.google.com/file/d/1U3Nz5it4F6r6cJWegYctppAbeltRi0AZ/view?usp=drivesdk")</f>
        <v>https://drive.google.com/file/d/1U3Nz5it4F6r6cJWegYctppAbeltRi0AZ/view?usp=drivesdk</v>
      </c>
      <c r="C728" s="159" t="str">
        <f>IFERROR(__xludf.DUMMYFUNCTION("""COMPUTED_VALUE"""),"10.1111--ijsa.12144.pdf")</f>
        <v>10.1111--ijsa.12144.pdf</v>
      </c>
      <c r="D728" s="159" t="str">
        <f>IFERROR(__xludf.DUMMYFUNCTION("""COMPUTED_VALUE"""),"application/pdf")</f>
        <v>application/pdf</v>
      </c>
    </row>
    <row r="729">
      <c r="A729" s="159" t="str">
        <f>IFERROR(__xludf.DUMMYFUNCTION("""COMPUTED_VALUE"""),"10.1037/0022-3514.75.6.1411")</f>
        <v>10.1037/0022-3514.75.6.1411</v>
      </c>
      <c r="B729" s="680" t="str">
        <f>IFERROR(__xludf.DUMMYFUNCTION("""COMPUTED_VALUE"""),"https://drive.google.com/file/d/14SkGd-WcSFt9ITiBBhXxR_j-ctYySuv3/view?usp=drivesdk")</f>
        <v>https://drive.google.com/file/d/14SkGd-WcSFt9ITiBBhXxR_j-ctYySuv3/view?usp=drivesdk</v>
      </c>
      <c r="C729" s="159" t="str">
        <f>IFERROR(__xludf.DUMMYFUNCTION("""COMPUTED_VALUE"""),"10.1037--0022-3514.75.6.1411.pdf")</f>
        <v>10.1037--0022-3514.75.6.1411.pdf</v>
      </c>
      <c r="D729" s="159" t="str">
        <f>IFERROR(__xludf.DUMMYFUNCTION("""COMPUTED_VALUE"""),"application/pdf")</f>
        <v>application/pdf</v>
      </c>
    </row>
    <row r="730">
      <c r="A730" s="159" t="str">
        <f>IFERROR(__xludf.DUMMYFUNCTION("""COMPUTED_VALUE"""),"10.2466/pr0.1965.17.2.519")</f>
        <v>10.2466/pr0.1965.17.2.519</v>
      </c>
      <c r="B730" s="680" t="str">
        <f>IFERROR(__xludf.DUMMYFUNCTION("""COMPUTED_VALUE"""),"https://drive.google.com/file/d/1OZ9MnwnUuWekhkQB2WKkdOcf8LDn0YBs/view?usp=drivesdk")</f>
        <v>https://drive.google.com/file/d/1OZ9MnwnUuWekhkQB2WKkdOcf8LDn0YBs/view?usp=drivesdk</v>
      </c>
      <c r="C730" s="159" t="str">
        <f>IFERROR(__xludf.DUMMYFUNCTION("""COMPUTED_VALUE"""),"10.2466--pr0.1965.17.2.519.pdf")</f>
        <v>10.2466--pr0.1965.17.2.519.pdf</v>
      </c>
      <c r="D730" s="159" t="str">
        <f>IFERROR(__xludf.DUMMYFUNCTION("""COMPUTED_VALUE"""),"application/pdf")</f>
        <v>application/pdf</v>
      </c>
    </row>
    <row r="731">
      <c r="A731" s="159" t="str">
        <f>IFERROR(__xludf.DUMMYFUNCTION("""COMPUTED_VALUE"""),"10.2307/2393080")</f>
        <v>10.2307/2393080</v>
      </c>
      <c r="B731" s="680" t="str">
        <f>IFERROR(__xludf.DUMMYFUNCTION("""COMPUTED_VALUE"""),"https://drive.google.com/file/d/16qbYRwBZRWoP9nuFmEGk94iJ8VHsg3Le/view?usp=drivesdk")</f>
        <v>https://drive.google.com/file/d/16qbYRwBZRWoP9nuFmEGk94iJ8VHsg3Le/view?usp=drivesdk</v>
      </c>
      <c r="C731" s="159" t="str">
        <f>IFERROR(__xludf.DUMMYFUNCTION("""COMPUTED_VALUE"""),"10.2307--2393080.pdf")</f>
        <v>10.2307--2393080.pdf</v>
      </c>
      <c r="D731" s="159" t="str">
        <f>IFERROR(__xludf.DUMMYFUNCTION("""COMPUTED_VALUE"""),"application/pdf")</f>
        <v>application/pdf</v>
      </c>
    </row>
    <row r="732">
      <c r="A732" s="159" t="str">
        <f>IFERROR(__xludf.DUMMYFUNCTION("""COMPUTED_VALUE"""),"10.1037/0021-9010.87.3.474")</f>
        <v>10.1037/0021-9010.87.3.474</v>
      </c>
      <c r="B732" s="680" t="str">
        <f>IFERROR(__xludf.DUMMYFUNCTION("""COMPUTED_VALUE"""),"https://drive.google.com/file/d/1MJqXbTH4bS9C4HfJZRVQDmRqUd8H5lNe/view?usp=drivesdk")</f>
        <v>https://drive.google.com/file/d/1MJqXbTH4bS9C4HfJZRVQDmRqUd8H5lNe/view?usp=drivesdk</v>
      </c>
      <c r="C732" s="159" t="str">
        <f>IFERROR(__xludf.DUMMYFUNCTION("""COMPUTED_VALUE"""),"10.1037--0021-9010.87.3.474.pdf")</f>
        <v>10.1037--0021-9010.87.3.474.pdf</v>
      </c>
      <c r="D732" s="159" t="str">
        <f>IFERROR(__xludf.DUMMYFUNCTION("""COMPUTED_VALUE"""),"application/pdf")</f>
        <v>application/pdf</v>
      </c>
    </row>
    <row r="733">
      <c r="A733" s="159" t="str">
        <f>IFERROR(__xludf.DUMMYFUNCTION("""COMPUTED_VALUE"""),"10.1037/0021-9010.91.1.97")</f>
        <v>10.1037/0021-9010.91.1.97</v>
      </c>
      <c r="B733" s="680" t="str">
        <f>IFERROR(__xludf.DUMMYFUNCTION("""COMPUTED_VALUE"""),"https://drive.google.com/file/d/146vQI6PoR6JlkbKc0wZxo-vTLeoXdBuy/view?usp=drivesdk")</f>
        <v>https://drive.google.com/file/d/146vQI6PoR6JlkbKc0wZxo-vTLeoXdBuy/view?usp=drivesdk</v>
      </c>
      <c r="C733" s="159" t="str">
        <f>IFERROR(__xludf.DUMMYFUNCTION("""COMPUTED_VALUE"""),"10.1037--0021-9010.91.1.97.pdf")</f>
        <v>10.1037--0021-9010.91.1.97.pdf</v>
      </c>
      <c r="D733" s="159" t="str">
        <f>IFERROR(__xludf.DUMMYFUNCTION("""COMPUTED_VALUE"""),"application/pdf")</f>
        <v>application/pdf</v>
      </c>
    </row>
    <row r="734">
      <c r="A734" s="159" t="str">
        <f>IFERROR(__xludf.DUMMYFUNCTION("""COMPUTED_VALUE"""),"10.1037/0021-9010.87.2.220")</f>
        <v>10.1037/0021-9010.87.2.220</v>
      </c>
      <c r="B734" s="680" t="str">
        <f>IFERROR(__xludf.DUMMYFUNCTION("""COMPUTED_VALUE"""),"https://drive.google.com/file/d/1f9C_c2sCZCZd7IhO62zi-zNVnBS790ZT/view?usp=drivesdk")</f>
        <v>https://drive.google.com/file/d/1f9C_c2sCZCZd7IhO62zi-zNVnBS790ZT/view?usp=drivesdk</v>
      </c>
      <c r="C734" s="159" t="str">
        <f>IFERROR(__xludf.DUMMYFUNCTION("""COMPUTED_VALUE"""),"10.1037--0021-9010.87.2.220.pdf")</f>
        <v>10.1037--0021-9010.87.2.220.pdf</v>
      </c>
      <c r="D734" s="159" t="str">
        <f>IFERROR(__xludf.DUMMYFUNCTION("""COMPUTED_VALUE"""),"application/pdf")</f>
        <v>application/pdf</v>
      </c>
    </row>
    <row r="735">
      <c r="A735" s="159" t="str">
        <f>IFERROR(__xludf.DUMMYFUNCTION("""COMPUTED_VALUE"""),"10.1086/266773")</f>
        <v>10.1086/266773</v>
      </c>
      <c r="B735" s="680" t="str">
        <f>IFERROR(__xludf.DUMMYFUNCTION("""COMPUTED_VALUE"""),"https://drive.google.com/file/d/16LQMkyLPu_oL8Ui5radejqve_0DUtVlQ/view?usp=drivesdk")</f>
        <v>https://drive.google.com/file/d/16LQMkyLPu_oL8Ui5radejqve_0DUtVlQ/view?usp=drivesdk</v>
      </c>
      <c r="C735" s="159" t="str">
        <f>IFERROR(__xludf.DUMMYFUNCTION("""COMPUTED_VALUE"""),"10.1086--266773.pdf")</f>
        <v>10.1086--266773.pdf</v>
      </c>
      <c r="D735" s="159" t="str">
        <f>IFERROR(__xludf.DUMMYFUNCTION("""COMPUTED_VALUE"""),"application/pdf")</f>
        <v>application/pdf</v>
      </c>
    </row>
    <row r="736">
      <c r="A736" s="159" t="str">
        <f>IFERROR(__xludf.DUMMYFUNCTION("""COMPUTED_VALUE"""),"10.1016/j.jvb.2018.05.003")</f>
        <v>10.1016/j.jvb.2018.05.003</v>
      </c>
      <c r="B736" s="680" t="str">
        <f>IFERROR(__xludf.DUMMYFUNCTION("""COMPUTED_VALUE"""),"https://drive.google.com/file/d/11pACMmHjE0HDAbYn6PC_v4_Yw-SX2yZh/view?usp=drivesdk")</f>
        <v>https://drive.google.com/file/d/11pACMmHjE0HDAbYn6PC_v4_Yw-SX2yZh/view?usp=drivesdk</v>
      </c>
      <c r="C736" s="159" t="str">
        <f>IFERROR(__xludf.DUMMYFUNCTION("""COMPUTED_VALUE"""),"10.1016--j.jvb.2018.05.003.pdf")</f>
        <v>10.1016--j.jvb.2018.05.003.pdf</v>
      </c>
      <c r="D736" s="159" t="str">
        <f>IFERROR(__xludf.DUMMYFUNCTION("""COMPUTED_VALUE"""),"application/pdf")</f>
        <v>application/pdf</v>
      </c>
    </row>
    <row r="737">
      <c r="A737" s="159" t="str">
        <f>IFERROR(__xludf.DUMMYFUNCTION("""COMPUTED_VALUE"""),"10.1016/j.jvb.2012.04.003")</f>
        <v>10.1016/j.jvb.2012.04.003</v>
      </c>
      <c r="B737" s="680" t="str">
        <f>IFERROR(__xludf.DUMMYFUNCTION("""COMPUTED_VALUE"""),"https://drive.google.com/file/d/1lqzf678nINDmNV9ncRFVe0fWUy5LAiwL/view?usp=drivesdk")</f>
        <v>https://drive.google.com/file/d/1lqzf678nINDmNV9ncRFVe0fWUy5LAiwL/view?usp=drivesdk</v>
      </c>
      <c r="C737" s="159" t="str">
        <f>IFERROR(__xludf.DUMMYFUNCTION("""COMPUTED_VALUE"""),"10.1016--j.jvb.2012.04.003.pdf")</f>
        <v>10.1016--j.jvb.2012.04.003.pdf</v>
      </c>
      <c r="D737" s="159" t="str">
        <f>IFERROR(__xludf.DUMMYFUNCTION("""COMPUTED_VALUE"""),"application/pdf")</f>
        <v>application/pdf</v>
      </c>
    </row>
    <row r="738">
      <c r="A738" s="159" t="str">
        <f>IFERROR(__xludf.DUMMYFUNCTION("""COMPUTED_VALUE"""),"10.1111/j.2044-8325.1997.tb00634.x")</f>
        <v>10.1111/j.2044-8325.1997.tb00634.x</v>
      </c>
      <c r="B738" s="680" t="str">
        <f>IFERROR(__xludf.DUMMYFUNCTION("""COMPUTED_VALUE"""),"https://drive.google.com/file/d/1sGHSm7nnh9zV9Qod3V-PuSGgCKbMNeR5/view?usp=drivesdk")</f>
        <v>https://drive.google.com/file/d/1sGHSm7nnh9zV9Qod3V-PuSGgCKbMNeR5/view?usp=drivesdk</v>
      </c>
      <c r="C738" s="159" t="str">
        <f>IFERROR(__xludf.DUMMYFUNCTION("""COMPUTED_VALUE"""),"10.1111--j.2044-8325.1997.tb00634.x.pdf")</f>
        <v>10.1111--j.2044-8325.1997.tb00634.x.pdf</v>
      </c>
      <c r="D738" s="159" t="str">
        <f>IFERROR(__xludf.DUMMYFUNCTION("""COMPUTED_VALUE"""),"application/pdf")</f>
        <v>application/pdf</v>
      </c>
    </row>
    <row r="739">
      <c r="A739" s="159" t="str">
        <f>IFERROR(__xludf.DUMMYFUNCTION("""COMPUTED_VALUE"""),"10.1016/j.leaqua.2009.04.009")</f>
        <v>10.1016/j.leaqua.2009.04.009</v>
      </c>
      <c r="B739" s="680" t="str">
        <f>IFERROR(__xludf.DUMMYFUNCTION("""COMPUTED_VALUE"""),"https://drive.google.com/file/d/1qTL6PKBSthtYdj48L7Dk62yERqPqKBnq/view?usp=drivesdk")</f>
        <v>https://drive.google.com/file/d/1qTL6PKBSthtYdj48L7Dk62yERqPqKBnq/view?usp=drivesdk</v>
      </c>
      <c r="C739" s="159" t="str">
        <f>IFERROR(__xludf.DUMMYFUNCTION("""COMPUTED_VALUE"""),"10.1016--j.leaqua.2009.04.009.pdf")</f>
        <v>10.1016--j.leaqua.2009.04.009.pdf</v>
      </c>
      <c r="D739" s="159" t="str">
        <f>IFERROR(__xludf.DUMMYFUNCTION("""COMPUTED_VALUE"""),"application/pdf")</f>
        <v>application/pdf</v>
      </c>
    </row>
    <row r="740">
      <c r="A740" s="159" t="str">
        <f>IFERROR(__xludf.DUMMYFUNCTION("""COMPUTED_VALUE"""),"10.1177/001872089203400309")</f>
        <v>10.1177/001872089203400309</v>
      </c>
      <c r="B740" s="680" t="str">
        <f>IFERROR(__xludf.DUMMYFUNCTION("""COMPUTED_VALUE"""),"https://drive.google.com/file/d/1PF-ONVan29qVkvxeDu57WWyCBOMY5gc6/view?usp=drivesdk")</f>
        <v>https://drive.google.com/file/d/1PF-ONVan29qVkvxeDu57WWyCBOMY5gc6/view?usp=drivesdk</v>
      </c>
      <c r="C740" s="159" t="str">
        <f>IFERROR(__xludf.DUMMYFUNCTION("""COMPUTED_VALUE"""),"10.1177--001872089203400309.pdf")</f>
        <v>10.1177--001872089203400309.pdf</v>
      </c>
      <c r="D740" s="159" t="str">
        <f>IFERROR(__xludf.DUMMYFUNCTION("""COMPUTED_VALUE"""),"application/pdf")</f>
        <v>application/pdf</v>
      </c>
    </row>
    <row r="741">
      <c r="A741" s="159" t="str">
        <f>IFERROR(__xludf.DUMMYFUNCTION("""COMPUTED_VALUE"""),"10.1037/0021-9010.76.5.725")</f>
        <v>10.1037/0021-9010.76.5.725</v>
      </c>
      <c r="B741" s="680" t="str">
        <f>IFERROR(__xludf.DUMMYFUNCTION("""COMPUTED_VALUE"""),"https://drive.google.com/file/d/1YbpWhweIEsKiS7GFHm3nLJg56Zl96x9a/view?usp=drivesdk")</f>
        <v>https://drive.google.com/file/d/1YbpWhweIEsKiS7GFHm3nLJg56Zl96x9a/view?usp=drivesdk</v>
      </c>
      <c r="C741" s="159" t="str">
        <f>IFERROR(__xludf.DUMMYFUNCTION("""COMPUTED_VALUE"""),"10.1037--0021-9010.76.5.725.pdf")</f>
        <v>10.1037--0021-9010.76.5.725.pdf</v>
      </c>
      <c r="D741" s="159" t="str">
        <f>IFERROR(__xludf.DUMMYFUNCTION("""COMPUTED_VALUE"""),"application/pdf")</f>
        <v>application/pdf</v>
      </c>
    </row>
    <row r="742">
      <c r="A742" s="159" t="str">
        <f>IFERROR(__xludf.DUMMYFUNCTION("""COMPUTED_VALUE"""),"10.1111/j.1469-8986.1984.tb00257.x")</f>
        <v>10.1111/j.1469-8986.1984.tb00257.x</v>
      </c>
      <c r="B742" s="680" t="str">
        <f>IFERROR(__xludf.DUMMYFUNCTION("""COMPUTED_VALUE"""),"https://drive.google.com/file/d/1rXfUsq0xVvORWF5g0tFbfUqqoi3e3Sg8/view?usp=drivesdk")</f>
        <v>https://drive.google.com/file/d/1rXfUsq0xVvORWF5g0tFbfUqqoi3e3Sg8/view?usp=drivesdk</v>
      </c>
      <c r="C742" s="159" t="str">
        <f>IFERROR(__xludf.DUMMYFUNCTION("""COMPUTED_VALUE"""),"10.1111--j.1469-8986.1984.tb00257.x.pdf")</f>
        <v>10.1111--j.1469-8986.1984.tb00257.x.pdf</v>
      </c>
      <c r="D742" s="159" t="str">
        <f>IFERROR(__xludf.DUMMYFUNCTION("""COMPUTED_VALUE"""),"application/pdf")</f>
        <v>application/pdf</v>
      </c>
    </row>
    <row r="743">
      <c r="A743" s="159" t="str">
        <f>IFERROR(__xludf.DUMMYFUNCTION("""COMPUTED_VALUE"""),"10.2307/2392342")</f>
        <v>10.2307/2392342</v>
      </c>
      <c r="B743" s="680" t="str">
        <f>IFERROR(__xludf.DUMMYFUNCTION("""COMPUTED_VALUE"""),"https://drive.google.com/file/d/1Jas-alh7WgK3Ar1zirKWgeqjudJ2dlCs/view?usp=drivesdk")</f>
        <v>https://drive.google.com/file/d/1Jas-alh7WgK3Ar1zirKWgeqjudJ2dlCs/view?usp=drivesdk</v>
      </c>
      <c r="C743" s="159" t="str">
        <f>IFERROR(__xludf.DUMMYFUNCTION("""COMPUTED_VALUE"""),"10.2307--2392342.pdf")</f>
        <v>10.2307--2392342.pdf</v>
      </c>
      <c r="D743" s="159" t="str">
        <f>IFERROR(__xludf.DUMMYFUNCTION("""COMPUTED_VALUE"""),"application/pdf")</f>
        <v>application/pdf</v>
      </c>
    </row>
    <row r="744">
      <c r="A744" s="159" t="str">
        <f>IFERROR(__xludf.DUMMYFUNCTION("""COMPUTED_VALUE"""),"10.5465/amle.2009.41788843")</f>
        <v>10.5465/amle.2009.41788843</v>
      </c>
      <c r="B744" s="680" t="str">
        <f>IFERROR(__xludf.DUMMYFUNCTION("""COMPUTED_VALUE"""),"https://drive.google.com/file/d/1_nUCNz7ppfweUNUw1lew4XekOyVhvToR/view?usp=drivesdk")</f>
        <v>https://drive.google.com/file/d/1_nUCNz7ppfweUNUw1lew4XekOyVhvToR/view?usp=drivesdk</v>
      </c>
      <c r="C744" s="159" t="str">
        <f>IFERROR(__xludf.DUMMYFUNCTION("""COMPUTED_VALUE"""),"10.5465--amle.2009.41788843.pdf")</f>
        <v>10.5465--amle.2009.41788843.pdf</v>
      </c>
      <c r="D744" s="159" t="str">
        <f>IFERROR(__xludf.DUMMYFUNCTION("""COMPUTED_VALUE"""),"application/pdf")</f>
        <v>application/pdf</v>
      </c>
    </row>
    <row r="745">
      <c r="A745" s="159" t="str">
        <f>IFERROR(__xludf.DUMMYFUNCTION("""COMPUTED_VALUE"""),"10.1016/0030-5073(83)90153-8")</f>
        <v>10.1016/0030-5073(83)90153-8</v>
      </c>
      <c r="B745" s="680" t="str">
        <f>IFERROR(__xludf.DUMMYFUNCTION("""COMPUTED_VALUE"""),"https://drive.google.com/file/d/1XUqYDvRfVyGRhvXM6kcpOzp7DX3UJ0Is/view?usp=drivesdk")</f>
        <v>https://drive.google.com/file/d/1XUqYDvRfVyGRhvXM6kcpOzp7DX3UJ0Is/view?usp=drivesdk</v>
      </c>
      <c r="C745" s="159" t="str">
        <f>IFERROR(__xludf.DUMMYFUNCTION("""COMPUTED_VALUE"""),"10.1016--0030-5073(83)90153-8.pdf")</f>
        <v>10.1016--0030-5073(83)90153-8.pdf</v>
      </c>
      <c r="D745" s="159" t="str">
        <f>IFERROR(__xludf.DUMMYFUNCTION("""COMPUTED_VALUE"""),"application/pdf")</f>
        <v>application/pdf</v>
      </c>
    </row>
    <row r="746">
      <c r="A746" s="159" t="str">
        <f>IFERROR(__xludf.DUMMYFUNCTION("""COMPUTED_VALUE"""),"10.1016/j.jpubeco.2014.06.014")</f>
        <v>10.1016/j.jpubeco.2014.06.014</v>
      </c>
      <c r="B746" s="680" t="str">
        <f>IFERROR(__xludf.DUMMYFUNCTION("""COMPUTED_VALUE"""),"https://drive.google.com/file/d/1Br8t8IiiC_exSZq1ZnqPalLUyH8BPsld/view?usp=drivesdk")</f>
        <v>https://drive.google.com/file/d/1Br8t8IiiC_exSZq1ZnqPalLUyH8BPsld/view?usp=drivesdk</v>
      </c>
      <c r="C746" s="159" t="str">
        <f>IFERROR(__xludf.DUMMYFUNCTION("""COMPUTED_VALUE"""),"10.1016--j.jpubeco.2014.06.014.pdf")</f>
        <v>10.1016--j.jpubeco.2014.06.014.pdf</v>
      </c>
      <c r="D746" s="159" t="str">
        <f>IFERROR(__xludf.DUMMYFUNCTION("""COMPUTED_VALUE"""),"application/pdf")</f>
        <v>application/pdf</v>
      </c>
    </row>
    <row r="747">
      <c r="A747" s="159" t="str">
        <f>IFERROR(__xludf.DUMMYFUNCTION("""COMPUTED_VALUE"""),"10.1348/096317900167029")</f>
        <v>10.1348/096317900167029</v>
      </c>
      <c r="B747" s="680" t="str">
        <f>IFERROR(__xludf.DUMMYFUNCTION("""COMPUTED_VALUE"""),"https://drive.google.com/file/d/16EhPJV1HvGMKnVDFJVva89oMexd28xVE/view?usp=drivesdk")</f>
        <v>https://drive.google.com/file/d/16EhPJV1HvGMKnVDFJVva89oMexd28xVE/view?usp=drivesdk</v>
      </c>
      <c r="C747" s="159" t="str">
        <f>IFERROR(__xludf.DUMMYFUNCTION("""COMPUTED_VALUE"""),"10.1348--096317900167029.pdf")</f>
        <v>10.1348--096317900167029.pdf</v>
      </c>
      <c r="D747" s="159" t="str">
        <f>IFERROR(__xludf.DUMMYFUNCTION("""COMPUTED_VALUE"""),"application/pdf")</f>
        <v>application/pdf</v>
      </c>
    </row>
    <row r="748">
      <c r="A748" s="159" t="str">
        <f>IFERROR(__xludf.DUMMYFUNCTION("""COMPUTED_VALUE"""),"10.1007/bf00057884")</f>
        <v>10.1007/bf00057884</v>
      </c>
      <c r="B748" s="680" t="str">
        <f>IFERROR(__xludf.DUMMYFUNCTION("""COMPUTED_VALUE"""),"https://drive.google.com/file/d/1ztojVCVNJN7SCFW388op8xlaeK_Vw1xf/view?usp=drivesdk")</f>
        <v>https://drive.google.com/file/d/1ztojVCVNJN7SCFW388op8xlaeK_Vw1xf/view?usp=drivesdk</v>
      </c>
      <c r="C748" s="159" t="str">
        <f>IFERROR(__xludf.DUMMYFUNCTION("""COMPUTED_VALUE"""),"10.1007--BF00057884.pdf")</f>
        <v>10.1007--BF00057884.pdf</v>
      </c>
      <c r="D748" s="159" t="str">
        <f>IFERROR(__xludf.DUMMYFUNCTION("""COMPUTED_VALUE"""),"application/pdf")</f>
        <v>application/pdf</v>
      </c>
    </row>
    <row r="749">
      <c r="A749" s="159" t="str">
        <f>IFERROR(__xludf.DUMMYFUNCTION("""COMPUTED_VALUE"""),"10.1111/j.1744-6570.1994.tb02408.x")</f>
        <v>10.1111/j.1744-6570.1994.tb02408.x</v>
      </c>
      <c r="B749" s="680" t="str">
        <f>IFERROR(__xludf.DUMMYFUNCTION("""COMPUTED_VALUE"""),"https://drive.google.com/file/d/1XwKhsZb5ScuKKX0YhptYMvxsBVJ_4owE/view?usp=drivesdk")</f>
        <v>https://drive.google.com/file/d/1XwKhsZb5ScuKKX0YhptYMvxsBVJ_4owE/view?usp=drivesdk</v>
      </c>
      <c r="C749" s="159" t="str">
        <f>IFERROR(__xludf.DUMMYFUNCTION("""COMPUTED_VALUE"""),"10.1111--j.1744-6570.1994.tb02408.x.pdf")</f>
        <v>10.1111--j.1744-6570.1994.tb02408.x.pdf</v>
      </c>
      <c r="D749" s="159" t="str">
        <f>IFERROR(__xludf.DUMMYFUNCTION("""COMPUTED_VALUE"""),"application/pdf")</f>
        <v>application/pdf</v>
      </c>
    </row>
    <row r="750">
      <c r="A750" s="159" t="str">
        <f>IFERROR(__xludf.DUMMYFUNCTION("""COMPUTED_VALUE"""),"10.1037/0022-3514.58.1.48")</f>
        <v>10.1037/0022-3514.58.1.48</v>
      </c>
      <c r="B750" s="680" t="str">
        <f>IFERROR(__xludf.DUMMYFUNCTION("""COMPUTED_VALUE"""),"https://drive.google.com/file/d/1PEf9rED297kwhsS0ya9FjTDJGhP2QID8/view?usp=drivesdk")</f>
        <v>https://drive.google.com/file/d/1PEf9rED297kwhsS0ya9FjTDJGhP2QID8/view?usp=drivesdk</v>
      </c>
      <c r="C750" s="159" t="str">
        <f>IFERROR(__xludf.DUMMYFUNCTION("""COMPUTED_VALUE"""),"10.1037--0022-3514.58.1.48.pdf")</f>
        <v>10.1037--0022-3514.58.1.48.pdf</v>
      </c>
      <c r="D750" s="159" t="str">
        <f>IFERROR(__xludf.DUMMYFUNCTION("""COMPUTED_VALUE"""),"application/pdf")</f>
        <v>application/pdf</v>
      </c>
    </row>
    <row r="751">
      <c r="A751" s="159" t="str">
        <f>IFERROR(__xludf.DUMMYFUNCTION("""COMPUTED_VALUE"""),"10.1037/0021-9010.82.1.44")</f>
        <v>10.1037/0021-9010.82.1.44</v>
      </c>
      <c r="B751" s="680" t="str">
        <f>IFERROR(__xludf.DUMMYFUNCTION("""COMPUTED_VALUE"""),"https://drive.google.com/file/d/1eT9mW-qU416CviL_IYrjtqKQfZPk282G/view?usp=drivesdk")</f>
        <v>https://drive.google.com/file/d/1eT9mW-qU416CviL_IYrjtqKQfZPk282G/view?usp=drivesdk</v>
      </c>
      <c r="C751" s="159" t="str">
        <f>IFERROR(__xludf.DUMMYFUNCTION("""COMPUTED_VALUE"""),"10.1037--0021-9010.82.1.44.pdf")</f>
        <v>10.1037--0021-9010.82.1.44.pdf</v>
      </c>
      <c r="D751" s="159" t="str">
        <f>IFERROR(__xludf.DUMMYFUNCTION("""COMPUTED_VALUE"""),"application/pdf")</f>
        <v>application/pdf</v>
      </c>
    </row>
    <row r="752">
      <c r="A752" s="159" t="str">
        <f>IFERROR(__xludf.DUMMYFUNCTION("""COMPUTED_VALUE"""),"10.1037/0021-9010.75.3.310")</f>
        <v>10.1037/0021-9010.75.3.310</v>
      </c>
      <c r="B752" s="680" t="str">
        <f>IFERROR(__xludf.DUMMYFUNCTION("""COMPUTED_VALUE"""),"https://drive.google.com/file/d/1-1olBFiltjIpsFSPUQ1V-CD1CKd8YLSA/view?usp=drivesdk")</f>
        <v>https://drive.google.com/file/d/1-1olBFiltjIpsFSPUQ1V-CD1CKd8YLSA/view?usp=drivesdk</v>
      </c>
      <c r="C752" s="159" t="str">
        <f>IFERROR(__xludf.DUMMYFUNCTION("""COMPUTED_VALUE"""),"10.1037--0021-9010.75.3.310.pdf")</f>
        <v>10.1037--0021-9010.75.3.310.pdf</v>
      </c>
      <c r="D752" s="159" t="str">
        <f>IFERROR(__xludf.DUMMYFUNCTION("""COMPUTED_VALUE"""),"application/pdf")</f>
        <v>application/pdf</v>
      </c>
    </row>
    <row r="753">
      <c r="A753" s="159" t="str">
        <f>IFERROR(__xludf.DUMMYFUNCTION("""COMPUTED_VALUE"""),"10.1086/518530")</f>
        <v>10.1086/518530</v>
      </c>
      <c r="B753" s="680" t="str">
        <f>IFERROR(__xludf.DUMMYFUNCTION("""COMPUTED_VALUE"""),"https://drive.google.com/file/d/1pMHd4_lQly3t85Dyvg53ympM8yF1sqGQ/view?usp=drivesdk")</f>
        <v>https://drive.google.com/file/d/1pMHd4_lQly3t85Dyvg53ympM8yF1sqGQ/view?usp=drivesdk</v>
      </c>
      <c r="C753" s="159" t="str">
        <f>IFERROR(__xludf.DUMMYFUNCTION("""COMPUTED_VALUE"""),"10.1086--518530.pdf")</f>
        <v>10.1086--518530.pdf</v>
      </c>
      <c r="D753" s="159" t="str">
        <f>IFERROR(__xludf.DUMMYFUNCTION("""COMPUTED_VALUE"""),"application/pdf")</f>
        <v>application/pdf</v>
      </c>
    </row>
    <row r="754">
      <c r="A754" s="159" t="str">
        <f>IFERROR(__xludf.DUMMYFUNCTION("""COMPUTED_VALUE"""),"10.1159/000156207")</f>
        <v>10.1159/000156207</v>
      </c>
      <c r="B754" s="680" t="str">
        <f>IFERROR(__xludf.DUMMYFUNCTION("""COMPUTED_VALUE"""),"https://drive.google.com/file/d/1a_5wbVJI9A_Uy_SxC8Lbt63VzCpm_2D8/view?usp=drivesdk")</f>
        <v>https://drive.google.com/file/d/1a_5wbVJI9A_Uy_SxC8Lbt63VzCpm_2D8/view?usp=drivesdk</v>
      </c>
      <c r="C754" s="159" t="str">
        <f>IFERROR(__xludf.DUMMYFUNCTION("""COMPUTED_VALUE"""),"10.1159--000156207.pdf")</f>
        <v>10.1159--000156207.pdf</v>
      </c>
      <c r="D754" s="159" t="str">
        <f>IFERROR(__xludf.DUMMYFUNCTION("""COMPUTED_VALUE"""),"application/pdf")</f>
        <v>application/pdf</v>
      </c>
    </row>
    <row r="755">
      <c r="A755" s="159" t="str">
        <f>IFERROR(__xludf.DUMMYFUNCTION("""COMPUTED_VALUE"""),"10.1093/geronj/34.3.396")</f>
        <v>10.1093/geronj/34.3.396</v>
      </c>
      <c r="B755" s="680" t="str">
        <f>IFERROR(__xludf.DUMMYFUNCTION("""COMPUTED_VALUE"""),"https://drive.google.com/file/d/1OkKAXxMTnSD63Wk4j6M8g0DqomeLvy1x/view?usp=drivesdk")</f>
        <v>https://drive.google.com/file/d/1OkKAXxMTnSD63Wk4j6M8g0DqomeLvy1x/view?usp=drivesdk</v>
      </c>
      <c r="C755" s="159" t="str">
        <f>IFERROR(__xludf.DUMMYFUNCTION("""COMPUTED_VALUE"""),"10.1093--geronj--34.3.396.pdf")</f>
        <v>10.1093--geronj--34.3.396.pdf</v>
      </c>
      <c r="D755" s="159" t="str">
        <f>IFERROR(__xludf.DUMMYFUNCTION("""COMPUTED_VALUE"""),"application/pdf")</f>
        <v>application/pdf</v>
      </c>
    </row>
    <row r="756">
      <c r="A756" s="159" t="str">
        <f>IFERROR(__xludf.DUMMYFUNCTION("""COMPUTED_VALUE"""),"10.1093/geronj/30.6.674")</f>
        <v>10.1093/geronj/30.6.674</v>
      </c>
      <c r="B756" s="680" t="str">
        <f>IFERROR(__xludf.DUMMYFUNCTION("""COMPUTED_VALUE"""),"https://drive.google.com/file/d/1aRNibxPyaRyPULkgOum_utWMo8VCcjCB/view?usp=drivesdk")</f>
        <v>https://drive.google.com/file/d/1aRNibxPyaRyPULkgOum_utWMo8VCcjCB/view?usp=drivesdk</v>
      </c>
      <c r="C756" s="159" t="str">
        <f>IFERROR(__xludf.DUMMYFUNCTION("""COMPUTED_VALUE"""),"10.1093--geronj--30.6.674.pdf")</f>
        <v>10.1093--geronj--30.6.674.pdf</v>
      </c>
      <c r="D756" s="159" t="str">
        <f>IFERROR(__xludf.DUMMYFUNCTION("""COMPUTED_VALUE"""),"application/pdf")</f>
        <v>application/pdf</v>
      </c>
    </row>
    <row r="757">
      <c r="A757" s="159" t="str">
        <f>IFERROR(__xludf.DUMMYFUNCTION("""COMPUTED_VALUE"""),"10.1136/bmj.e5900")</f>
        <v>10.1136/bmj.e5900</v>
      </c>
      <c r="B757" s="680" t="str">
        <f>IFERROR(__xludf.DUMMYFUNCTION("""COMPUTED_VALUE"""),"https://drive.google.com/file/d/1C_PHeUEBxhjEcrC_bofPF8Wy8gbyhXOB/view?usp=drivesdk")</f>
        <v>https://drive.google.com/file/d/1C_PHeUEBxhjEcrC_bofPF8Wy8gbyhXOB/view?usp=drivesdk</v>
      </c>
      <c r="C757" s="159" t="str">
        <f>IFERROR(__xludf.DUMMYFUNCTION("""COMPUTED_VALUE"""),"10.1136--bmj.e5900.pdf")</f>
        <v>10.1136--bmj.e5900.pdf</v>
      </c>
      <c r="D757" s="159" t="str">
        <f>IFERROR(__xludf.DUMMYFUNCTION("""COMPUTED_VALUE"""),"application/pdf")</f>
        <v>application/pdf</v>
      </c>
    </row>
    <row r="758">
      <c r="A758" s="159" t="str">
        <f>IFERROR(__xludf.DUMMYFUNCTION("""COMPUTED_VALUE"""),"10.1007/s12402-014-0149-7")</f>
        <v>10.1007/s12402-014-0149-7</v>
      </c>
      <c r="B758" s="680" t="str">
        <f>IFERROR(__xludf.DUMMYFUNCTION("""COMPUTED_VALUE"""),"https://drive.google.com/file/d/1FtwQqmXKpesmwkpmvPFJZFvf7tUVJ0bh/view?usp=drivesdk")</f>
        <v>https://drive.google.com/file/d/1FtwQqmXKpesmwkpmvPFJZFvf7tUVJ0bh/view?usp=drivesdk</v>
      </c>
      <c r="C758" s="159" t="str">
        <f>IFERROR(__xludf.DUMMYFUNCTION("""COMPUTED_VALUE"""),"10.1007--s12402-014-0149-7.pdf")</f>
        <v>10.1007--s12402-014-0149-7.pdf</v>
      </c>
      <c r="D758" s="159" t="str">
        <f>IFERROR(__xludf.DUMMYFUNCTION("""COMPUTED_VALUE"""),"application/pdf")</f>
        <v>application/pdf</v>
      </c>
    </row>
    <row r="759">
      <c r="A759" s="159" t="str">
        <f>IFERROR(__xludf.DUMMYFUNCTION("""COMPUTED_VALUE"""),"10.1371/journal.pone.0100506")</f>
        <v>10.1371/journal.pone.0100506</v>
      </c>
      <c r="B759" s="680" t="str">
        <f>IFERROR(__xludf.DUMMYFUNCTION("""COMPUTED_VALUE"""),"https://drive.google.com/file/d/1pxuIkPZ1Y7e_AzOVBWHrD-8ahl37Dr4i/view?usp=drivesdk")</f>
        <v>https://drive.google.com/file/d/1pxuIkPZ1Y7e_AzOVBWHrD-8ahl37Dr4i/view?usp=drivesdk</v>
      </c>
      <c r="C759" s="159" t="str">
        <f>IFERROR(__xludf.DUMMYFUNCTION("""COMPUTED_VALUE"""),"10.1371--journal.pone.0100506.pdf")</f>
        <v>10.1371--journal.pone.0100506.pdf</v>
      </c>
      <c r="D759" s="159" t="str">
        <f>IFERROR(__xludf.DUMMYFUNCTION("""COMPUTED_VALUE"""),"application/pdf")</f>
        <v>application/pdf</v>
      </c>
    </row>
    <row r="760">
      <c r="A760" s="159" t="str">
        <f>IFERROR(__xludf.DUMMYFUNCTION("""COMPUTED_VALUE"""),"10.1002/ajmg.b.31194")</f>
        <v>10.1002/ajmg.b.31194</v>
      </c>
      <c r="B760" s="680" t="str">
        <f>IFERROR(__xludf.DUMMYFUNCTION("""COMPUTED_VALUE"""),"https://drive.google.com/file/d/1hImNSN8BKFhUur1k5a3KAz4xCJWGtJvT/view?usp=drivesdk")</f>
        <v>https://drive.google.com/file/d/1hImNSN8BKFhUur1k5a3KAz4xCJWGtJvT/view?usp=drivesdk</v>
      </c>
      <c r="C760" s="159" t="str">
        <f>IFERROR(__xludf.DUMMYFUNCTION("""COMPUTED_VALUE"""),"10.1002--ajmg.b.31194.pdf")</f>
        <v>10.1002--ajmg.b.31194.pdf</v>
      </c>
      <c r="D760" s="159" t="str">
        <f>IFERROR(__xludf.DUMMYFUNCTION("""COMPUTED_VALUE"""),"application/pdf")</f>
        <v>application/pdf</v>
      </c>
    </row>
    <row r="761">
      <c r="A761" s="159" t="str">
        <f>IFERROR(__xludf.DUMMYFUNCTION("""COMPUTED_VALUE"""),"10.1002/ijc.31536")</f>
        <v>10.1002/ijc.31536</v>
      </c>
      <c r="B761" s="680" t="str">
        <f>IFERROR(__xludf.DUMMYFUNCTION("""COMPUTED_VALUE"""),"https://drive.google.com/file/d/1dZhEjyHuknv6NWnTUKDEMrzO8qMhIMze/view?usp=drivesdk")</f>
        <v>https://drive.google.com/file/d/1dZhEjyHuknv6NWnTUKDEMrzO8qMhIMze/view?usp=drivesdk</v>
      </c>
      <c r="C761" s="159" t="str">
        <f>IFERROR(__xludf.DUMMYFUNCTION("""COMPUTED_VALUE"""),"10.1002--ijc.31536.pdf")</f>
        <v>10.1002--ijc.31536.pdf</v>
      </c>
      <c r="D761" s="159" t="str">
        <f>IFERROR(__xludf.DUMMYFUNCTION("""COMPUTED_VALUE"""),"application/pdf")</f>
        <v>application/pdf</v>
      </c>
    </row>
    <row r="762">
      <c r="A762" s="159" t="str">
        <f>IFERROR(__xludf.DUMMYFUNCTION("""COMPUTED_VALUE"""),"10.1111/sltb.12603")</f>
        <v>10.1111/sltb.12603</v>
      </c>
      <c r="B762" s="680" t="str">
        <f>IFERROR(__xludf.DUMMYFUNCTION("""COMPUTED_VALUE"""),"https://drive.google.com/file/d/1zQMuON3k0VJxo26pOuz9c7JIB74DnNZS/view?usp=drivesdk")</f>
        <v>https://drive.google.com/file/d/1zQMuON3k0VJxo26pOuz9c7JIB74DnNZS/view?usp=drivesdk</v>
      </c>
      <c r="C762" s="159" t="str">
        <f>IFERROR(__xludf.DUMMYFUNCTION("""COMPUTED_VALUE"""),"10.1111--sltb.12603.pdf")</f>
        <v>10.1111--sltb.12603.pdf</v>
      </c>
      <c r="D762" s="159" t="str">
        <f>IFERROR(__xludf.DUMMYFUNCTION("""COMPUTED_VALUE"""),"application/pdf")</f>
        <v>application/pdf</v>
      </c>
    </row>
    <row r="763">
      <c r="A763" s="159" t="str">
        <f>IFERROR(__xludf.DUMMYFUNCTION("""COMPUTED_VALUE"""),"10.1037/abn0000074")</f>
        <v>10.1037/abn0000074</v>
      </c>
      <c r="B763" s="680" t="str">
        <f>IFERROR(__xludf.DUMMYFUNCTION("""COMPUTED_VALUE"""),"https://drive.google.com/file/d/1EeW99WGRe7l9yyIocyrku0wXNCMoCNIE/view?usp=drivesdk")</f>
        <v>https://drive.google.com/file/d/1EeW99WGRe7l9yyIocyrku0wXNCMoCNIE/view?usp=drivesdk</v>
      </c>
      <c r="C763" s="159" t="str">
        <f>IFERROR(__xludf.DUMMYFUNCTION("""COMPUTED_VALUE"""),"10.1037--abn0000074.pdf")</f>
        <v>10.1037--abn0000074.pdf</v>
      </c>
      <c r="D763" s="159" t="str">
        <f>IFERROR(__xludf.DUMMYFUNCTION("""COMPUTED_VALUE"""),"application/pdf")</f>
        <v>application/pdf</v>
      </c>
    </row>
    <row r="764">
      <c r="A764" s="159" t="str">
        <f>IFERROR(__xludf.DUMMYFUNCTION("""COMPUTED_VALUE"""),"10.1016/j.evolhumbehav.2010.12.002")</f>
        <v>10.1016/j.evolhumbehav.2010.12.002</v>
      </c>
      <c r="B764" s="680" t="str">
        <f>IFERROR(__xludf.DUMMYFUNCTION("""COMPUTED_VALUE"""),"https://drive.google.com/file/d/1C0bLndU2B9h0aoL452LPrhkcRop4BAHV/view?usp=drivesdk")</f>
        <v>https://drive.google.com/file/d/1C0bLndU2B9h0aoL452LPrhkcRop4BAHV/view?usp=drivesdk</v>
      </c>
      <c r="C764" s="159" t="str">
        <f>IFERROR(__xludf.DUMMYFUNCTION("""COMPUTED_VALUE"""),"10.1016--j.evolhumbehav.2010.12.002.pdf")</f>
        <v>10.1016--j.evolhumbehav.2010.12.002.pdf</v>
      </c>
      <c r="D764" s="159" t="str">
        <f>IFERROR(__xludf.DUMMYFUNCTION("""COMPUTED_VALUE"""),"application/pdf")</f>
        <v>application/pdf</v>
      </c>
    </row>
    <row r="765">
      <c r="A765" s="159" t="str">
        <f>IFERROR(__xludf.DUMMYFUNCTION("""COMPUTED_VALUE"""),"10.1080/02687030600631827")</f>
        <v>10.1080/02687030600631827</v>
      </c>
      <c r="B765" s="680" t="str">
        <f>IFERROR(__xludf.DUMMYFUNCTION("""COMPUTED_VALUE"""),"https://drive.google.com/file/d/1zTMlOFWNTfGXuxYg38c1Rclwf7vMtQVs/view?usp=drivesdk")</f>
        <v>https://drive.google.com/file/d/1zTMlOFWNTfGXuxYg38c1Rclwf7vMtQVs/view?usp=drivesdk</v>
      </c>
      <c r="C765" s="159" t="str">
        <f>IFERROR(__xludf.DUMMYFUNCTION("""COMPUTED_VALUE"""),"10.1080--02687030600631827.pdf")</f>
        <v>10.1080--02687030600631827.pdf</v>
      </c>
      <c r="D765" s="159" t="str">
        <f>IFERROR(__xludf.DUMMYFUNCTION("""COMPUTED_VALUE"""),"application/pdf")</f>
        <v>application/pdf</v>
      </c>
    </row>
    <row r="766">
      <c r="A766" s="159" t="str">
        <f>IFERROR(__xludf.DUMMYFUNCTION("""COMPUTED_VALUE"""),"10.1016/j.jneuroling.2010.05.001")</f>
        <v>10.1016/j.jneuroling.2010.05.001</v>
      </c>
      <c r="B766" s="680" t="str">
        <f>IFERROR(__xludf.DUMMYFUNCTION("""COMPUTED_VALUE"""),"https://drive.google.com/file/d/1zlIibgTl_xuo-gJvDI1iuFuL7MwgpJud/view?usp=drivesdk")</f>
        <v>https://drive.google.com/file/d/1zlIibgTl_xuo-gJvDI1iuFuL7MwgpJud/view?usp=drivesdk</v>
      </c>
      <c r="C766" s="159" t="str">
        <f>IFERROR(__xludf.DUMMYFUNCTION("""COMPUTED_VALUE"""),"10.1016--j.jneuroling.2010.05.001.pdf")</f>
        <v>10.1016--j.jneuroling.2010.05.001.pdf</v>
      </c>
      <c r="D766" s="159" t="str">
        <f>IFERROR(__xludf.DUMMYFUNCTION("""COMPUTED_VALUE"""),"application/pdf")</f>
        <v>application/pdf</v>
      </c>
    </row>
    <row r="767">
      <c r="A767" s="159" t="str">
        <f>IFERROR(__xludf.DUMMYFUNCTION("""COMPUTED_VALUE"""),"10.1037/a0029288")</f>
        <v>10.1037/a0029288</v>
      </c>
      <c r="B767" s="680" t="str">
        <f>IFERROR(__xludf.DUMMYFUNCTION("""COMPUTED_VALUE"""),"https://drive.google.com/file/d/1vcCVkrjNwZHH8glmh9tGMygAb5DPf3dE/view?usp=drivesdk")</f>
        <v>https://drive.google.com/file/d/1vcCVkrjNwZHH8glmh9tGMygAb5DPf3dE/view?usp=drivesdk</v>
      </c>
      <c r="C767" s="159" t="str">
        <f>IFERROR(__xludf.DUMMYFUNCTION("""COMPUTED_VALUE"""),"10.1037--a0029288.pdf")</f>
        <v>10.1037--a0029288.pdf</v>
      </c>
      <c r="D767" s="159" t="str">
        <f>IFERROR(__xludf.DUMMYFUNCTION("""COMPUTED_VALUE"""),"application/pdf")</f>
        <v>application/pdf</v>
      </c>
    </row>
    <row r="768">
      <c r="A768" s="159" t="str">
        <f>IFERROR(__xludf.DUMMYFUNCTION("""COMPUTED_VALUE"""),"10.1037/0022-3514.54.5.768")</f>
        <v>10.1037/0022-3514.54.5.768</v>
      </c>
      <c r="B768" s="680" t="str">
        <f>IFERROR(__xludf.DUMMYFUNCTION("""COMPUTED_VALUE"""),"https://drive.google.com/file/d/1o7gUPIWlsZsKfDZUwMPrcvteUhl63aT7/view?usp=drivesdk")</f>
        <v>https://drive.google.com/file/d/1o7gUPIWlsZsKfDZUwMPrcvteUhl63aT7/view?usp=drivesdk</v>
      </c>
      <c r="C768" s="159" t="str">
        <f>IFERROR(__xludf.DUMMYFUNCTION("""COMPUTED_VALUE"""),"10.1037--0022-3514.54.5.768.pdf")</f>
        <v>10.1037--0022-3514.54.5.768.pdf</v>
      </c>
      <c r="D768" s="159" t="str">
        <f>IFERROR(__xludf.DUMMYFUNCTION("""COMPUTED_VALUE"""),"application/pdf")</f>
        <v>application/pdf</v>
      </c>
    </row>
    <row r="769">
      <c r="A769" s="159" t="str">
        <f>IFERROR(__xludf.DUMMYFUNCTION("""COMPUTED_VALUE"""),"10.3758/s13423-014-0757-4")</f>
        <v>10.3758/s13423-014-0757-4</v>
      </c>
      <c r="B769" s="680" t="str">
        <f>IFERROR(__xludf.DUMMYFUNCTION("""COMPUTED_VALUE"""),"https://drive.google.com/file/d/1p5ydRsZ4brAO2FqzQtlUbRAhPkcmRVgm/view?usp=drivesdk")</f>
        <v>https://drive.google.com/file/d/1p5ydRsZ4brAO2FqzQtlUbRAhPkcmRVgm/view?usp=drivesdk</v>
      </c>
      <c r="C769" s="159" t="str">
        <f>IFERROR(__xludf.DUMMYFUNCTION("""COMPUTED_VALUE"""),"10.3758--s13423-014-0757-4.pdf")</f>
        <v>10.3758--s13423-014-0757-4.pdf</v>
      </c>
      <c r="D769" s="159" t="str">
        <f>IFERROR(__xludf.DUMMYFUNCTION("""COMPUTED_VALUE"""),"application/pdf")</f>
        <v>application/pdf</v>
      </c>
    </row>
    <row r="770">
      <c r="A770" s="159" t="str">
        <f>IFERROR(__xludf.DUMMYFUNCTION("""COMPUTED_VALUE"""),"10.1126/science.1239918")</f>
        <v>10.1126/science.1239918</v>
      </c>
      <c r="B770" s="680" t="str">
        <f>IFERROR(__xludf.DUMMYFUNCTION("""COMPUTED_VALUE"""),"https://drive.google.com/file/d/1r4PVlL83grqiq4UZ0to7L57VLrbdB9hi/view?usp=drivesdk")</f>
        <v>https://drive.google.com/file/d/1r4PVlL83grqiq4UZ0to7L57VLrbdB9hi/view?usp=drivesdk</v>
      </c>
      <c r="C770" s="159" t="str">
        <f>IFERROR(__xludf.DUMMYFUNCTION("""COMPUTED_VALUE"""),"10.1126--science.1239918.pdf")</f>
        <v>10.1126--science.1239918.pdf</v>
      </c>
      <c r="D770" s="159" t="str">
        <f>IFERROR(__xludf.DUMMYFUNCTION("""COMPUTED_VALUE"""),"application/pdf")</f>
        <v>application/pdf</v>
      </c>
    </row>
    <row r="771">
      <c r="A771" s="159" t="str">
        <f>IFERROR(__xludf.DUMMYFUNCTION("""COMPUTED_VALUE"""),"10.1162/qjec.122.3.1067")</f>
        <v>10.1162/qjec.122.3.1067</v>
      </c>
      <c r="B771" s="680" t="str">
        <f>IFERROR(__xludf.DUMMYFUNCTION("""COMPUTED_VALUE"""),"https://drive.google.com/file/d/1twhY2w0ctG7Af9H6UOJm8wdSXyXO8TAo/view?usp=drivesdk")</f>
        <v>https://drive.google.com/file/d/1twhY2w0ctG7Af9H6UOJm8wdSXyXO8TAo/view?usp=drivesdk</v>
      </c>
      <c r="C771" s="159" t="str">
        <f>IFERROR(__xludf.DUMMYFUNCTION("""COMPUTED_VALUE"""),"10.1162--qjec.122.3.1067.pdf")</f>
        <v>10.1162--qjec.122.3.1067.pdf</v>
      </c>
      <c r="D771" s="159" t="str">
        <f>IFERROR(__xludf.DUMMYFUNCTION("""COMPUTED_VALUE"""),"application/pdf")</f>
        <v>application/pdf</v>
      </c>
    </row>
    <row r="772">
      <c r="A772" s="159" t="str">
        <f>IFERROR(__xludf.DUMMYFUNCTION("""COMPUTED_VALUE"""),"10.1126/science.1222426")</f>
        <v>10.1126/science.1222426</v>
      </c>
      <c r="B772" s="680" t="str">
        <f>IFERROR(__xludf.DUMMYFUNCTION("""COMPUTED_VALUE"""),"https://drive.google.com/file/d/1wNBIYZ5dm9n9bSFCAgoMnPNgBJBMSCyH/view?usp=drivesdk")</f>
        <v>https://drive.google.com/file/d/1wNBIYZ5dm9n9bSFCAgoMnPNgBJBMSCyH/view?usp=drivesdk</v>
      </c>
      <c r="C772" s="159" t="str">
        <f>IFERROR(__xludf.DUMMYFUNCTION("""COMPUTED_VALUE"""),"10.1126--science.1222426.pdf")</f>
        <v>10.1126--science.1222426.pdf</v>
      </c>
      <c r="D772" s="159" t="str">
        <f>IFERROR(__xludf.DUMMYFUNCTION("""COMPUTED_VALUE"""),"application/pdf")</f>
        <v>application/pdf</v>
      </c>
    </row>
    <row r="773">
      <c r="A773" s="159" t="str">
        <f>IFERROR(__xludf.DUMMYFUNCTION("""COMPUTED_VALUE"""),"10.1037/0022-3514.94.4.600")</f>
        <v>10.1037/0022-3514.94.4.600</v>
      </c>
      <c r="B773" s="680" t="str">
        <f>IFERROR(__xludf.DUMMYFUNCTION("""COMPUTED_VALUE"""),"https://drive.google.com/file/d/1UTh20eT7TkvvPfQekHv-og8JNZ7R1WP8/view?usp=drivesdk")</f>
        <v>https://drive.google.com/file/d/1UTh20eT7TkvvPfQekHv-og8JNZ7R1WP8/view?usp=drivesdk</v>
      </c>
      <c r="C773" s="159" t="str">
        <f>IFERROR(__xludf.DUMMYFUNCTION("""COMPUTED_VALUE"""),"10.1037--0022-3514.94.4.600.pdf")</f>
        <v>10.1037--0022-3514.94.4.600.pdf</v>
      </c>
      <c r="D773" s="159" t="str">
        <f>IFERROR(__xludf.DUMMYFUNCTION("""COMPUTED_VALUE"""),"application/pdf")</f>
        <v>application/pdf</v>
      </c>
    </row>
    <row r="774">
      <c r="A774" s="159" t="str">
        <f>IFERROR(__xludf.DUMMYFUNCTION("""COMPUTED_VALUE"""),"10.1037/0022-3514.94.1.116")</f>
        <v>10.1037/0022-3514.94.1.116</v>
      </c>
      <c r="B774" s="680" t="str">
        <f>IFERROR(__xludf.DUMMYFUNCTION("""COMPUTED_VALUE"""),"https://drive.google.com/file/d/1je9cw-vS4o0h7s6-W5SXMCb_uEat2QOt/view?usp=drivesdk")</f>
        <v>https://drive.google.com/file/d/1je9cw-vS4o0h7s6-W5SXMCb_uEat2QOt/view?usp=drivesdk</v>
      </c>
      <c r="C774" s="159" t="str">
        <f>IFERROR(__xludf.DUMMYFUNCTION("""COMPUTED_VALUE"""),"10.1037--0022-3514.94.1.116.pdf")</f>
        <v>10.1037--0022-3514.94.1.116.pdf</v>
      </c>
      <c r="D774" s="159" t="str">
        <f>IFERROR(__xludf.DUMMYFUNCTION("""COMPUTED_VALUE"""),"application/pdf")</f>
        <v>application/pdf</v>
      </c>
    </row>
    <row r="775">
      <c r="A775" s="159" t="str">
        <f>IFERROR(__xludf.DUMMYFUNCTION("""COMPUTED_VALUE"""),"10.1037/0022-3514.94.1.48")</f>
        <v>10.1037/0022-3514.94.1.48</v>
      </c>
      <c r="B775" s="680" t="str">
        <f>IFERROR(__xludf.DUMMYFUNCTION("""COMPUTED_VALUE"""),"https://drive.google.com/file/d/12hPE3_ROkrr-EwAg8DQR8e8OYrtwuoYT/view?usp=drivesdk")</f>
        <v>https://drive.google.com/file/d/12hPE3_ROkrr-EwAg8DQR8e8OYrtwuoYT/view?usp=drivesdk</v>
      </c>
      <c r="C775" s="159" t="str">
        <f>IFERROR(__xludf.DUMMYFUNCTION("""COMPUTED_VALUE"""),"10.1037--0022-3514.94.1.48.pdf")</f>
        <v>10.1037--0022-3514.94.1.48.pdf</v>
      </c>
      <c r="D775" s="159" t="str">
        <f>IFERROR(__xludf.DUMMYFUNCTION("""COMPUTED_VALUE"""),"application/pdf")</f>
        <v>application/pdf</v>
      </c>
    </row>
    <row r="776">
      <c r="A776" s="159" t="str">
        <f>IFERROR(__xludf.DUMMYFUNCTION("""COMPUTED_VALUE"""),"10.1016/j.jesp.2016.11.003")</f>
        <v>10.1016/j.jesp.2016.11.003</v>
      </c>
      <c r="B776" s="680" t="str">
        <f>IFERROR(__xludf.DUMMYFUNCTION("""COMPUTED_VALUE"""),"https://drive.google.com/file/d/1ZkYyI9Xh0T6WySPVfqp6p62lMTtr4-4Z/view?usp=drivesdk")</f>
        <v>https://drive.google.com/file/d/1ZkYyI9Xh0T6WySPVfqp6p62lMTtr4-4Z/view?usp=drivesdk</v>
      </c>
      <c r="C776" s="159" t="str">
        <f>IFERROR(__xludf.DUMMYFUNCTION("""COMPUTED_VALUE"""),"10.1016--j.jesp.2016.11.003.pdf")</f>
        <v>10.1016--j.jesp.2016.11.003.pdf</v>
      </c>
      <c r="D776" s="159" t="str">
        <f>IFERROR(__xludf.DUMMYFUNCTION("""COMPUTED_VALUE"""),"application/pdf")</f>
        <v>application/pdf</v>
      </c>
    </row>
    <row r="777">
      <c r="A777" s="159" t="str">
        <f>IFERROR(__xludf.DUMMYFUNCTION("""COMPUTED_VALUE"""),"10.1016/j.cub.2004.01.029")</f>
        <v>10.1016/j.cub.2004.01.029</v>
      </c>
      <c r="B777" s="680" t="str">
        <f>IFERROR(__xludf.DUMMYFUNCTION("""COMPUTED_VALUE"""),"https://drive.google.com/file/d/1oLyXVFY64dU4qE6_b-iVXYa7asikLA1e/view?usp=drivesdk")</f>
        <v>https://drive.google.com/file/d/1oLyXVFY64dU4qE6_b-iVXYa7asikLA1e/view?usp=drivesdk</v>
      </c>
      <c r="C777" s="159" t="str">
        <f>IFERROR(__xludf.DUMMYFUNCTION("""COMPUTED_VALUE"""),"10.1016--j.cub.2004.01.029.pdf")</f>
        <v>10.1016--j.cub.2004.01.029.pdf</v>
      </c>
      <c r="D777" s="159" t="str">
        <f>IFERROR(__xludf.DUMMYFUNCTION("""COMPUTED_VALUE"""),"application/pdf")</f>
        <v>application/pdf</v>
      </c>
    </row>
    <row r="778">
      <c r="A778" s="159" t="str">
        <f>IFERROR(__xludf.DUMMYFUNCTION("""COMPUTED_VALUE"""),"10.1016/0022-1031(89)90010-3")</f>
        <v>10.1016/0022-1031(89)90010-3</v>
      </c>
      <c r="B778" s="680" t="str">
        <f>IFERROR(__xludf.DUMMYFUNCTION("""COMPUTED_VALUE"""),"https://drive.google.com/file/d/1C1_WdM4KBfxxYh8OlSnsd2WhUKw-IYkW/view?usp=drivesdk")</f>
        <v>https://drive.google.com/file/d/1C1_WdM4KBfxxYh8OlSnsd2WhUKw-IYkW/view?usp=drivesdk</v>
      </c>
      <c r="C778" s="159" t="str">
        <f>IFERROR(__xludf.DUMMYFUNCTION("""COMPUTED_VALUE"""),"10.1016--0022-1031(89)90010-3.pdf")</f>
        <v>10.1016--0022-1031(89)90010-3.pdf</v>
      </c>
      <c r="D778" s="159" t="str">
        <f>IFERROR(__xludf.DUMMYFUNCTION("""COMPUTED_VALUE"""),"application/pdf")</f>
        <v>application/pdf</v>
      </c>
    </row>
    <row r="779">
      <c r="A779" s="159" t="str">
        <f>IFERROR(__xludf.DUMMYFUNCTION("""COMPUTED_VALUE"""),"10.1016/j.cognition.2013.09.001")</f>
        <v>10.1016/j.cognition.2013.09.001</v>
      </c>
      <c r="B779" s="680" t="str">
        <f>IFERROR(__xludf.DUMMYFUNCTION("""COMPUTED_VALUE"""),"https://drive.google.com/file/d/1Q1ahJAjmoMnVd-4_yOjQiQ_6STDFGEiQ/view?usp=drivesdk")</f>
        <v>https://drive.google.com/file/d/1Q1ahJAjmoMnVd-4_yOjQiQ_6STDFGEiQ/view?usp=drivesdk</v>
      </c>
      <c r="C779" s="159" t="str">
        <f>IFERROR(__xludf.DUMMYFUNCTION("""COMPUTED_VALUE"""),"10.1016--j.cognition.2013.09.001.pdf")</f>
        <v>10.1016--j.cognition.2013.09.001.pdf</v>
      </c>
      <c r="D779" s="159" t="str">
        <f>IFERROR(__xludf.DUMMYFUNCTION("""COMPUTED_VALUE"""),"application/pdf")</f>
        <v>application/pdf</v>
      </c>
    </row>
    <row r="780">
      <c r="A780" s="159" t="str">
        <f>IFERROR(__xludf.DUMMYFUNCTION("""COMPUTED_VALUE"""),"10.1037/xlm0000377")</f>
        <v>10.1037/xlm0000377</v>
      </c>
      <c r="B780" s="680" t="str">
        <f>IFERROR(__xludf.DUMMYFUNCTION("""COMPUTED_VALUE"""),"https://drive.google.com/file/d/1n43nCIdzroDCA5ShXF2in5DWlH9WAzYn/view?usp=drivesdk")</f>
        <v>https://drive.google.com/file/d/1n43nCIdzroDCA5ShXF2in5DWlH9WAzYn/view?usp=drivesdk</v>
      </c>
      <c r="C780" s="159" t="str">
        <f>IFERROR(__xludf.DUMMYFUNCTION("""COMPUTED_VALUE"""),"10.1037--xlm0000377.pdf")</f>
        <v>10.1037--xlm0000377.pdf</v>
      </c>
      <c r="D780" s="159" t="str">
        <f>IFERROR(__xludf.DUMMYFUNCTION("""COMPUTED_VALUE"""),"application/pdf")</f>
        <v>application/pdf</v>
      </c>
    </row>
    <row r="781">
      <c r="A781" s="159" t="str">
        <f>IFERROR(__xludf.DUMMYFUNCTION("""COMPUTED_VALUE"""),"10.1037/neu0000624")</f>
        <v>10.1037/neu0000624</v>
      </c>
      <c r="B781" s="680" t="str">
        <f>IFERROR(__xludf.DUMMYFUNCTION("""COMPUTED_VALUE"""),"https://drive.google.com/file/d/1bSv72xFyxGw7YEFRKwAnEoZvhaoLs3rS/view?usp=drivesdk")</f>
        <v>https://drive.google.com/file/d/1bSv72xFyxGw7YEFRKwAnEoZvhaoLs3rS/view?usp=drivesdk</v>
      </c>
      <c r="C781" s="159" t="str">
        <f>IFERROR(__xludf.DUMMYFUNCTION("""COMPUTED_VALUE"""),"10.1037--neu0000624.pdf")</f>
        <v>10.1037--neu0000624.pdf</v>
      </c>
      <c r="D781" s="159" t="str">
        <f>IFERROR(__xludf.DUMMYFUNCTION("""COMPUTED_VALUE"""),"application/pdf")</f>
        <v>application/pdf</v>
      </c>
    </row>
    <row r="782">
      <c r="A782" s="159" t="str">
        <f>IFERROR(__xludf.DUMMYFUNCTION("""COMPUTED_VALUE"""),"10.1037/pas0000828")</f>
        <v>10.1037/pas0000828</v>
      </c>
      <c r="B782" s="680" t="str">
        <f>IFERROR(__xludf.DUMMYFUNCTION("""COMPUTED_VALUE"""),"https://drive.google.com/file/d/1YinBEFlPWlfEH_bG8z4XkTlvx0nzgfXp/view?usp=drivesdk")</f>
        <v>https://drive.google.com/file/d/1YinBEFlPWlfEH_bG8z4XkTlvx0nzgfXp/view?usp=drivesdk</v>
      </c>
      <c r="C782" s="159" t="str">
        <f>IFERROR(__xludf.DUMMYFUNCTION("""COMPUTED_VALUE"""),"10.1037--pas0000828.pdf")</f>
        <v>10.1037--pas0000828.pdf</v>
      </c>
      <c r="D782" s="159" t="str">
        <f>IFERROR(__xludf.DUMMYFUNCTION("""COMPUTED_VALUE"""),"application/pdf")</f>
        <v>application/pdf</v>
      </c>
    </row>
    <row r="783">
      <c r="A783" s="159" t="str">
        <f>IFERROR(__xludf.DUMMYFUNCTION("""COMPUTED_VALUE"""),"10.1037/cdp0000160")</f>
        <v>10.1037/cdp0000160</v>
      </c>
      <c r="B783" s="680" t="str">
        <f>IFERROR(__xludf.DUMMYFUNCTION("""COMPUTED_VALUE"""),"https://drive.google.com/file/d/1MQ3w3WfQxZ6ToVmZ173hLxaon51AX3aW/view?usp=drivesdk")</f>
        <v>https://drive.google.com/file/d/1MQ3w3WfQxZ6ToVmZ173hLxaon51AX3aW/view?usp=drivesdk</v>
      </c>
      <c r="C783" s="159" t="str">
        <f>IFERROR(__xludf.DUMMYFUNCTION("""COMPUTED_VALUE"""),"10.1037--cdp0000160.pdf")</f>
        <v>10.1037--cdp0000160.pdf</v>
      </c>
      <c r="D783" s="159" t="str">
        <f>IFERROR(__xludf.DUMMYFUNCTION("""COMPUTED_VALUE"""),"application/pdf")</f>
        <v>application/pdf</v>
      </c>
    </row>
    <row r="784">
      <c r="A784" s="159" t="str">
        <f>IFERROR(__xludf.DUMMYFUNCTION("""COMPUTED_VALUE"""),"10.1037/pspa0000238")</f>
        <v>10.1037/pspa0000238</v>
      </c>
      <c r="B784" s="680" t="str">
        <f>IFERROR(__xludf.DUMMYFUNCTION("""COMPUTED_VALUE"""),"https://drive.google.com/file/d/1dHBucRJRw0IVd0McFp9a2a53k2pQgcVy/view?usp=drivesdk")</f>
        <v>https://drive.google.com/file/d/1dHBucRJRw0IVd0McFp9a2a53k2pQgcVy/view?usp=drivesdk</v>
      </c>
      <c r="C784" s="159" t="str">
        <f>IFERROR(__xludf.DUMMYFUNCTION("""COMPUTED_VALUE"""),"10.1037--pspa0000238.pdf")</f>
        <v>10.1037--pspa0000238.pdf</v>
      </c>
      <c r="D784" s="159" t="str">
        <f>IFERROR(__xludf.DUMMYFUNCTION("""COMPUTED_VALUE"""),"application/pdf")</f>
        <v>application/pdf</v>
      </c>
    </row>
    <row r="785">
      <c r="A785" s="159" t="str">
        <f>IFERROR(__xludf.DUMMYFUNCTION("""COMPUTED_VALUE"""),"10.1037/xhp0000489")</f>
        <v>10.1037/xhp0000489</v>
      </c>
      <c r="B785" s="680" t="str">
        <f>IFERROR(__xludf.DUMMYFUNCTION("""COMPUTED_VALUE"""),"https://drive.google.com/file/d/1ztV4sm_g7GaGIn0FBAq6FBAAcURkmtLU/view?usp=drivesdk")</f>
        <v>https://drive.google.com/file/d/1ztV4sm_g7GaGIn0FBAq6FBAAcURkmtLU/view?usp=drivesdk</v>
      </c>
      <c r="C785" s="159" t="str">
        <f>IFERROR(__xludf.DUMMYFUNCTION("""COMPUTED_VALUE"""),"10.1037--xhp0000489.pdf")</f>
        <v>10.1037--xhp0000489.pdf</v>
      </c>
      <c r="D785" s="159" t="str">
        <f>IFERROR(__xludf.DUMMYFUNCTION("""COMPUTED_VALUE"""),"application/pdf")</f>
        <v>application/pdf</v>
      </c>
    </row>
    <row r="786">
      <c r="A786" s="159" t="str">
        <f>IFERROR(__xludf.DUMMYFUNCTION("""COMPUTED_VALUE"""),"10.1037/xlm0000832")</f>
        <v>10.1037/xlm0000832</v>
      </c>
      <c r="B786" s="680" t="str">
        <f>IFERROR(__xludf.DUMMYFUNCTION("""COMPUTED_VALUE"""),"https://drive.google.com/file/d/1Q_AQkWrzJPOWXXQGTT-RjNguCxhF1jt2/view?usp=drivesdk")</f>
        <v>https://drive.google.com/file/d/1Q_AQkWrzJPOWXXQGTT-RjNguCxhF1jt2/view?usp=drivesdk</v>
      </c>
      <c r="C786" s="159" t="str">
        <f>IFERROR(__xludf.DUMMYFUNCTION("""COMPUTED_VALUE"""),"10.1037--xlm0000832.pdf")</f>
        <v>10.1037--xlm0000832.pdf</v>
      </c>
      <c r="D786" s="159" t="str">
        <f>IFERROR(__xludf.DUMMYFUNCTION("""COMPUTED_VALUE"""),"application/pdf")</f>
        <v>application/pdf</v>
      </c>
    </row>
    <row r="787">
      <c r="A787" s="159" t="str">
        <f>IFERROR(__xludf.DUMMYFUNCTION("""COMPUTED_VALUE"""),"10.1037/dev0000499")</f>
        <v>10.1037/dev0000499</v>
      </c>
      <c r="B787" s="680" t="str">
        <f>IFERROR(__xludf.DUMMYFUNCTION("""COMPUTED_VALUE"""),"https://drive.google.com/file/d/189Sb48CFms1NmdjM2wTIeW9XVaeVeMls/view?usp=drivesdk")</f>
        <v>https://drive.google.com/file/d/189Sb48CFms1NmdjM2wTIeW9XVaeVeMls/view?usp=drivesdk</v>
      </c>
      <c r="C787" s="159" t="str">
        <f>IFERROR(__xludf.DUMMYFUNCTION("""COMPUTED_VALUE"""),"10.1037--dev0000499.pdf")</f>
        <v>10.1037--dev0000499.pdf</v>
      </c>
      <c r="D787" s="159" t="str">
        <f>IFERROR(__xludf.DUMMYFUNCTION("""COMPUTED_VALUE"""),"application/pdf")</f>
        <v>application/pdf</v>
      </c>
    </row>
    <row r="788">
      <c r="A788" s="159" t="str">
        <f>IFERROR(__xludf.DUMMYFUNCTION("""COMPUTED_VALUE"""),"10.1037/xhp0000383")</f>
        <v>10.1037/xhp0000383</v>
      </c>
      <c r="B788" s="680" t="str">
        <f>IFERROR(__xludf.DUMMYFUNCTION("""COMPUTED_VALUE"""),"https://drive.google.com/file/d/10hurbl9nS6fmXkrg4GlKo2phFHobMFbe/view?usp=drivesdk")</f>
        <v>https://drive.google.com/file/d/10hurbl9nS6fmXkrg4GlKo2phFHobMFbe/view?usp=drivesdk</v>
      </c>
      <c r="C788" s="159" t="str">
        <f>IFERROR(__xludf.DUMMYFUNCTION("""COMPUTED_VALUE"""),"10.1037--xhp0000383.pdf")</f>
        <v>10.1037--xhp0000383.pdf</v>
      </c>
      <c r="D788" s="159" t="str">
        <f>IFERROR(__xludf.DUMMYFUNCTION("""COMPUTED_VALUE"""),"application/pdf")</f>
        <v>application/pdf</v>
      </c>
    </row>
    <row r="789">
      <c r="A789" s="159" t="str">
        <f>IFERROR(__xludf.DUMMYFUNCTION("""COMPUTED_VALUE"""),"10.1037/xhp0000605")</f>
        <v>10.1037/xhp0000605</v>
      </c>
      <c r="B789" s="680" t="str">
        <f>IFERROR(__xludf.DUMMYFUNCTION("""COMPUTED_VALUE"""),"https://drive.google.com/file/d/1hfQPaevumxJWY4X3_PpHaWP-ePxFpP8K/view?usp=drivesdk")</f>
        <v>https://drive.google.com/file/d/1hfQPaevumxJWY4X3_PpHaWP-ePxFpP8K/view?usp=drivesdk</v>
      </c>
      <c r="C789" s="159" t="str">
        <f>IFERROR(__xludf.DUMMYFUNCTION("""COMPUTED_VALUE"""),"10.1037--xhp0000605.pdf")</f>
        <v>10.1037--xhp0000605.pdf</v>
      </c>
      <c r="D789" s="159" t="str">
        <f>IFERROR(__xludf.DUMMYFUNCTION("""COMPUTED_VALUE"""),"application/pdf")</f>
        <v>application/pdf</v>
      </c>
    </row>
    <row r="790">
      <c r="A790" s="159" t="str">
        <f>IFERROR(__xludf.DUMMYFUNCTION("""COMPUTED_VALUE"""),"10.1037/pst0000133")</f>
        <v>10.1037/pst0000133</v>
      </c>
      <c r="B790" s="680" t="str">
        <f>IFERROR(__xludf.DUMMYFUNCTION("""COMPUTED_VALUE"""),"https://drive.google.com/file/d/1NJ-8RgiOIK0KrPabafmBQ8LbMZ8hxtzJ/view?usp=drivesdk")</f>
        <v>https://drive.google.com/file/d/1NJ-8RgiOIK0KrPabafmBQ8LbMZ8hxtzJ/view?usp=drivesdk</v>
      </c>
      <c r="C790" s="159" t="str">
        <f>IFERROR(__xludf.DUMMYFUNCTION("""COMPUTED_VALUE"""),"10.1037--pst0000133.pdf")</f>
        <v>10.1037--pst0000133.pdf</v>
      </c>
      <c r="D790" s="159" t="str">
        <f>IFERROR(__xludf.DUMMYFUNCTION("""COMPUTED_VALUE"""),"application/pdf")</f>
        <v>application/pdf</v>
      </c>
    </row>
    <row r="791">
      <c r="A791" s="159" t="str">
        <f>IFERROR(__xludf.DUMMYFUNCTION("""COMPUTED_VALUE"""),"10.1037/xge0000595")</f>
        <v>10.1037/xge0000595</v>
      </c>
      <c r="B791" s="680" t="str">
        <f>IFERROR(__xludf.DUMMYFUNCTION("""COMPUTED_VALUE"""),"https://drive.google.com/file/d/1EL43ztfF_feMGsgKOFTG1SJrxpDl4-af/view?usp=drivesdk")</f>
        <v>https://drive.google.com/file/d/1EL43ztfF_feMGsgKOFTG1SJrxpDl4-af/view?usp=drivesdk</v>
      </c>
      <c r="C791" s="159" t="str">
        <f>IFERROR(__xludf.DUMMYFUNCTION("""COMPUTED_VALUE"""),"10.1037--xge0000595.pdf")</f>
        <v>10.1037--xge0000595.pdf</v>
      </c>
      <c r="D791" s="159" t="str">
        <f>IFERROR(__xludf.DUMMYFUNCTION("""COMPUTED_VALUE"""),"application/pdf")</f>
        <v>application/pdf</v>
      </c>
    </row>
    <row r="792">
      <c r="A792" s="159" t="str">
        <f>IFERROR(__xludf.DUMMYFUNCTION("""COMPUTED_VALUE"""),"10.1037/0096-1523.3.3.444")</f>
        <v>10.1037/0096-1523.3.3.444</v>
      </c>
      <c r="B792" s="680" t="str">
        <f>IFERROR(__xludf.DUMMYFUNCTION("""COMPUTED_VALUE"""),"https://drive.google.com/file/d/1e_cR2GlFgY2aeZapqCHrM2KPmJZfyRw7/view?usp=drivesdk")</f>
        <v>https://drive.google.com/file/d/1e_cR2GlFgY2aeZapqCHrM2KPmJZfyRw7/view?usp=drivesdk</v>
      </c>
      <c r="C792" s="159" t="str">
        <f>IFERROR(__xludf.DUMMYFUNCTION("""COMPUTED_VALUE"""),"10.1037--0096-1523.3.3.444.pdf")</f>
        <v>10.1037--0096-1523.3.3.444.pdf</v>
      </c>
      <c r="D792" s="159" t="str">
        <f>IFERROR(__xludf.DUMMYFUNCTION("""COMPUTED_VALUE"""),"application/pdf")</f>
        <v>application/pdf</v>
      </c>
    </row>
    <row r="793">
      <c r="A793" s="159" t="str">
        <f>IFERROR(__xludf.DUMMYFUNCTION("""COMPUTED_VALUE"""),"10.1037/lhb0000295")</f>
        <v>10.1037/lhb0000295</v>
      </c>
      <c r="B793" s="680" t="str">
        <f>IFERROR(__xludf.DUMMYFUNCTION("""COMPUTED_VALUE"""),"https://drive.google.com/file/d/1jPfVZ0dMwxbbwFVj65Khoc7JUkP-pmhI/view?usp=drivesdk")</f>
        <v>https://drive.google.com/file/d/1jPfVZ0dMwxbbwFVj65Khoc7JUkP-pmhI/view?usp=drivesdk</v>
      </c>
      <c r="C793" s="159" t="str">
        <f>IFERROR(__xludf.DUMMYFUNCTION("""COMPUTED_VALUE"""),"10.1037--lhb0000295.pdf")</f>
        <v>10.1037--lhb0000295.pdf</v>
      </c>
      <c r="D793" s="159" t="str">
        <f>IFERROR(__xludf.DUMMYFUNCTION("""COMPUTED_VALUE"""),"application/pdf")</f>
        <v>application/pdf</v>
      </c>
    </row>
    <row r="794">
      <c r="A794" s="159" t="str">
        <f>IFERROR(__xludf.DUMMYFUNCTION("""COMPUTED_VALUE"""),"10.1037/0022-3514.58.2.308")</f>
        <v>10.1037/0022-3514.58.2.308</v>
      </c>
      <c r="B794" s="680" t="str">
        <f>IFERROR(__xludf.DUMMYFUNCTION("""COMPUTED_VALUE"""),"https://drive.google.com/file/d/1U9dS52LdC9ZgN6m7GNmer6EnAXMNkLSU/view?usp=drivesdk")</f>
        <v>https://drive.google.com/file/d/1U9dS52LdC9ZgN6m7GNmer6EnAXMNkLSU/view?usp=drivesdk</v>
      </c>
      <c r="C794" s="159" t="str">
        <f>IFERROR(__xludf.DUMMYFUNCTION("""COMPUTED_VALUE"""),"10.1037--0022-3514.58.2.308.pdf")</f>
        <v>10.1037--0022-3514.58.2.308.pdf</v>
      </c>
      <c r="D794" s="159" t="str">
        <f>IFERROR(__xludf.DUMMYFUNCTION("""COMPUTED_VALUE"""),"application/pdf")</f>
        <v>application/pdf</v>
      </c>
    </row>
    <row r="795">
      <c r="A795" s="159" t="str">
        <f>IFERROR(__xludf.DUMMYFUNCTION("""COMPUTED_VALUE"""),"10.1016/j.jsp.2011.09.003")</f>
        <v>10.1016/j.jsp.2011.09.003</v>
      </c>
      <c r="B795" s="680" t="str">
        <f>IFERROR(__xludf.DUMMYFUNCTION("""COMPUTED_VALUE"""),"https://drive.google.com/file/d/10DDGp2B8Yn0wieAlLCpE3O3FmPIwTkH0/view?usp=drivesdk")</f>
        <v>https://drive.google.com/file/d/10DDGp2B8Yn0wieAlLCpE3O3FmPIwTkH0/view?usp=drivesdk</v>
      </c>
      <c r="C795" s="159" t="str">
        <f>IFERROR(__xludf.DUMMYFUNCTION("""COMPUTED_VALUE"""),"10.1016--j.jsp.2011.09.003.pdf")</f>
        <v>10.1016--j.jsp.2011.09.003.pdf</v>
      </c>
      <c r="D795" s="159" t="str">
        <f>IFERROR(__xludf.DUMMYFUNCTION("""COMPUTED_VALUE"""),"application/pdf")</f>
        <v>application/pdf</v>
      </c>
    </row>
    <row r="796">
      <c r="A796" s="159" t="str">
        <f>IFERROR(__xludf.DUMMYFUNCTION("""COMPUTED_VALUE"""),"10.1007/s10071-012-0510-1")</f>
        <v>10.1007/s10071-012-0510-1</v>
      </c>
      <c r="B796" s="680" t="str">
        <f>IFERROR(__xludf.DUMMYFUNCTION("""COMPUTED_VALUE"""),"https://drive.google.com/file/d/16m76DC9Npc0jCnGwsQ8nKrupD4QgliOl/view?usp=drivesdk")</f>
        <v>https://drive.google.com/file/d/16m76DC9Npc0jCnGwsQ8nKrupD4QgliOl/view?usp=drivesdk</v>
      </c>
      <c r="C796" s="159" t="str">
        <f>IFERROR(__xludf.DUMMYFUNCTION("""COMPUTED_VALUE"""),"10.1007--s10071-012-0510-1.pdf")</f>
        <v>10.1007--s10071-012-0510-1.pdf</v>
      </c>
      <c r="D796" s="159" t="str">
        <f>IFERROR(__xludf.DUMMYFUNCTION("""COMPUTED_VALUE"""),"application/pdf")</f>
        <v>application/pdf</v>
      </c>
    </row>
    <row r="797">
      <c r="A797" s="159" t="str">
        <f>IFERROR(__xludf.DUMMYFUNCTION("""COMPUTED_VALUE"""),"10.1016/j.cognition.2009.07.009")</f>
        <v>10.1016/j.cognition.2009.07.009</v>
      </c>
      <c r="B797" s="680" t="str">
        <f>IFERROR(__xludf.DUMMYFUNCTION("""COMPUTED_VALUE"""),"https://drive.google.com/file/d/1z_volmrfjJgRJnliCY1m7ue3JMQRWwlm/view?usp=drivesdk")</f>
        <v>https://drive.google.com/file/d/1z_volmrfjJgRJnliCY1m7ue3JMQRWwlm/view?usp=drivesdk</v>
      </c>
      <c r="C797" s="159" t="str">
        <f>IFERROR(__xludf.DUMMYFUNCTION("""COMPUTED_VALUE"""),"10.1016--j.cognition.2009.07.009.pdf")</f>
        <v>10.1016--j.cognition.2009.07.009.pdf</v>
      </c>
      <c r="D797" s="159" t="str">
        <f>IFERROR(__xludf.DUMMYFUNCTION("""COMPUTED_VALUE"""),"application/pdf")</f>
        <v>application/pdf</v>
      </c>
    </row>
    <row r="798">
      <c r="A798" s="159" t="str">
        <f>IFERROR(__xludf.DUMMYFUNCTION("""COMPUTED_VALUE"""),"10.1016/j.jrp.2017.02.004")</f>
        <v>10.1016/j.jrp.2017.02.004</v>
      </c>
      <c r="B798" s="680" t="str">
        <f>IFERROR(__xludf.DUMMYFUNCTION("""COMPUTED_VALUE"""),"https://drive.google.com/file/d/1zS_Iy8h521FYFiLZIvUKu37nU4BTMQ5h/view?usp=drivesdk")</f>
        <v>https://drive.google.com/file/d/1zS_Iy8h521FYFiLZIvUKu37nU4BTMQ5h/view?usp=drivesdk</v>
      </c>
      <c r="C798" s="159" t="str">
        <f>IFERROR(__xludf.DUMMYFUNCTION("""COMPUTED_VALUE"""),"10.1016--j.jrp.2017.02.004.pdf")</f>
        <v>10.1016--j.jrp.2017.02.004.pdf</v>
      </c>
      <c r="D798" s="159" t="str">
        <f>IFERROR(__xludf.DUMMYFUNCTION("""COMPUTED_VALUE"""),"application/pdf")</f>
        <v>application/pdf</v>
      </c>
    </row>
    <row r="799">
      <c r="A799" s="159" t="str">
        <f>IFERROR(__xludf.DUMMYFUNCTION("""COMPUTED_VALUE"""),"10.1080/02699931.2017.1394817")</f>
        <v>10.1080/02699931.2017.1394817</v>
      </c>
      <c r="B799" s="680" t="str">
        <f>IFERROR(__xludf.DUMMYFUNCTION("""COMPUTED_VALUE"""),"https://drive.google.com/file/d/1s0WlRsrZ01TxBU3MnX3vrQ0wV9s2gaGo/view?usp=drivesdk")</f>
        <v>https://drive.google.com/file/d/1s0WlRsrZ01TxBU3MnX3vrQ0wV9s2gaGo/view?usp=drivesdk</v>
      </c>
      <c r="C799" s="159" t="str">
        <f>IFERROR(__xludf.DUMMYFUNCTION("""COMPUTED_VALUE"""),"10.1080--02699931.2017.1394817.pdf")</f>
        <v>10.1080--02699931.2017.1394817.pdf</v>
      </c>
      <c r="D799" s="159" t="str">
        <f>IFERROR(__xludf.DUMMYFUNCTION("""COMPUTED_VALUE"""),"application/pdf")</f>
        <v>application/pdf</v>
      </c>
    </row>
    <row r="800">
      <c r="A800" s="159" t="str">
        <f>IFERROR(__xludf.DUMMYFUNCTION("""COMPUTED_VALUE"""),"10.1016/j.chiabu.2005.11.004")</f>
        <v>10.1016/j.chiabu.2005.11.004</v>
      </c>
      <c r="B800" s="680" t="str">
        <f>IFERROR(__xludf.DUMMYFUNCTION("""COMPUTED_VALUE"""),"https://drive.google.com/file/d/19nCVIQ6VnGPLHlanb3AKs-nW87NY5F3-/view?usp=drivesdk")</f>
        <v>https://drive.google.com/file/d/19nCVIQ6VnGPLHlanb3AKs-nW87NY5F3-/view?usp=drivesdk</v>
      </c>
      <c r="C800" s="159" t="str">
        <f>IFERROR(__xludf.DUMMYFUNCTION("""COMPUTED_VALUE"""),"10.1016--j.chiabu.2005.11.004.pdf")</f>
        <v>10.1016--j.chiabu.2005.11.004.pdf</v>
      </c>
      <c r="D800" s="159" t="str">
        <f>IFERROR(__xludf.DUMMYFUNCTION("""COMPUTED_VALUE"""),"application/pdf")</f>
        <v>application/pdf</v>
      </c>
    </row>
    <row r="801">
      <c r="A801" s="159" t="str">
        <f>IFERROR(__xludf.DUMMYFUNCTION("""COMPUTED_VALUE"""),"10.1027/1614-0001.27.2.87")</f>
        <v>10.1027/1614-0001.27.2.87</v>
      </c>
      <c r="B801" s="680" t="str">
        <f>IFERROR(__xludf.DUMMYFUNCTION("""COMPUTED_VALUE"""),"https://drive.google.com/file/d/1iNlAXnWfTRozYu1XlZqHS-gDutQkaC9V/view?usp=drivesdk")</f>
        <v>https://drive.google.com/file/d/1iNlAXnWfTRozYu1XlZqHS-gDutQkaC9V/view?usp=drivesdk</v>
      </c>
      <c r="C801" s="159" t="str">
        <f>IFERROR(__xludf.DUMMYFUNCTION("""COMPUTED_VALUE"""),"10.1027--1614-0001.27.2.87.pdf")</f>
        <v>10.1027--1614-0001.27.2.87.pdf</v>
      </c>
      <c r="D801" s="159" t="str">
        <f>IFERROR(__xludf.DUMMYFUNCTION("""COMPUTED_VALUE"""),"application/pdf")</f>
        <v>application/pdf</v>
      </c>
    </row>
    <row r="802">
      <c r="A802" s="159" t="str">
        <f>IFERROR(__xludf.DUMMYFUNCTION("""COMPUTED_VALUE"""),"10.21091/mppa.2008.1002")</f>
        <v>10.21091/mppa.2008.1002</v>
      </c>
      <c r="B802" s="680" t="str">
        <f>IFERROR(__xludf.DUMMYFUNCTION("""COMPUTED_VALUE"""),"https://drive.google.com/file/d/1JgZNoOa9FybjOpshO0wGXBOF8pwPjwiz/view?usp=drivesdk")</f>
        <v>https://drive.google.com/file/d/1JgZNoOa9FybjOpshO0wGXBOF8pwPjwiz/view?usp=drivesdk</v>
      </c>
      <c r="C802" s="159" t="str">
        <f>IFERROR(__xludf.DUMMYFUNCTION("""COMPUTED_VALUE"""),"10.21091--mppa.2008.1002.pdf")</f>
        <v>10.21091--mppa.2008.1002.pdf</v>
      </c>
      <c r="D802" s="159" t="str">
        <f>IFERROR(__xludf.DUMMYFUNCTION("""COMPUTED_VALUE"""),"application/pdf")</f>
        <v>application/pdf</v>
      </c>
    </row>
    <row r="803">
      <c r="A803" s="159" t="str">
        <f>IFERROR(__xludf.DUMMYFUNCTION("""COMPUTED_VALUE"""),"10.2196/jmir.2551")</f>
        <v>10.2196/jmir.2551</v>
      </c>
      <c r="B803" s="680" t="str">
        <f>IFERROR(__xludf.DUMMYFUNCTION("""COMPUTED_VALUE"""),"https://drive.google.com/file/d/1NI7K1hH--xMpo2uHfi_Wrqoa2SB84m9Z/view?usp=drivesdk")</f>
        <v>https://drive.google.com/file/d/1NI7K1hH--xMpo2uHfi_Wrqoa2SB84m9Z/view?usp=drivesdk</v>
      </c>
      <c r="C803" s="159" t="str">
        <f>IFERROR(__xludf.DUMMYFUNCTION("""COMPUTED_VALUE"""),"10.2196--jmir.2551.pdf")</f>
        <v>10.2196--jmir.2551.pdf</v>
      </c>
      <c r="D803" s="159" t="str">
        <f>IFERROR(__xludf.DUMMYFUNCTION("""COMPUTED_VALUE"""),"application/pdf")</f>
        <v>application/pdf</v>
      </c>
    </row>
    <row r="804">
      <c r="A804" s="159" t="str">
        <f>IFERROR(__xludf.DUMMYFUNCTION("""COMPUTED_VALUE"""),"10.1037/0022-3514.78.1.81")</f>
        <v>10.1037/0022-3514.78.1.81</v>
      </c>
      <c r="B804" s="680" t="str">
        <f>IFERROR(__xludf.DUMMYFUNCTION("""COMPUTED_VALUE"""),"https://drive.google.com/file/d/11hl35AxJdih8-lFEGgzscJ_yujZE6nkt/view?usp=drivesdk")</f>
        <v>https://drive.google.com/file/d/11hl35AxJdih8-lFEGgzscJ_yujZE6nkt/view?usp=drivesdk</v>
      </c>
      <c r="C804" s="159" t="str">
        <f>IFERROR(__xludf.DUMMYFUNCTION("""COMPUTED_VALUE"""),"10.1037--0022-3514.78.1.81.pdf")</f>
        <v>10.1037--0022-3514.78.1.81.pdf</v>
      </c>
      <c r="D804" s="159" t="str">
        <f>IFERROR(__xludf.DUMMYFUNCTION("""COMPUTED_VALUE"""),"application/pdf")</f>
        <v>application/pdf</v>
      </c>
    </row>
    <row r="805">
      <c r="A805" s="159" t="str">
        <f>IFERROR(__xludf.DUMMYFUNCTION("""COMPUTED_VALUE"""),"10.1016/j.appet.2016.07.009")</f>
        <v>10.1016/j.appet.2016.07.009</v>
      </c>
      <c r="B805" s="680" t="str">
        <f>IFERROR(__xludf.DUMMYFUNCTION("""COMPUTED_VALUE"""),"https://drive.google.com/file/d/1vBjyyS7jNQVYoeGReboKa5xH42VPt2sw/view?usp=drivesdk")</f>
        <v>https://drive.google.com/file/d/1vBjyyS7jNQVYoeGReboKa5xH42VPt2sw/view?usp=drivesdk</v>
      </c>
      <c r="C805" s="159" t="str">
        <f>IFERROR(__xludf.DUMMYFUNCTION("""COMPUTED_VALUE"""),"10.1016--j.appet.2016.07.009.pdf")</f>
        <v>10.1016--j.appet.2016.07.009.pdf</v>
      </c>
      <c r="D805" s="159" t="str">
        <f>IFERROR(__xludf.DUMMYFUNCTION("""COMPUTED_VALUE"""),"application/pdf")</f>
        <v>application/pdf</v>
      </c>
    </row>
    <row r="806">
      <c r="A806" s="159" t="str">
        <f>IFERROR(__xludf.DUMMYFUNCTION("""COMPUTED_VALUE"""),"10.1037/0096-3445.136.3.430")</f>
        <v>10.1037/0096-3445.136.3.430</v>
      </c>
      <c r="B806" s="680" t="str">
        <f>IFERROR(__xludf.DUMMYFUNCTION("""COMPUTED_VALUE"""),"https://drive.google.com/file/d/1SpxlykDLCl7RMd3XR0sk2MzBTckndlaS/view?usp=drivesdk")</f>
        <v>https://drive.google.com/file/d/1SpxlykDLCl7RMd3XR0sk2MzBTckndlaS/view?usp=drivesdk</v>
      </c>
      <c r="C806" s="159" t="str">
        <f>IFERROR(__xludf.DUMMYFUNCTION("""COMPUTED_VALUE"""),"10.1037--0096-3445.136.3.430.pdf")</f>
        <v>10.1037--0096-3445.136.3.430.pdf</v>
      </c>
      <c r="D806" s="159" t="str">
        <f>IFERROR(__xludf.DUMMYFUNCTION("""COMPUTED_VALUE"""),"application/pdf")</f>
        <v>application/pdf</v>
      </c>
    </row>
    <row r="807">
      <c r="A807" s="159" t="str">
        <f>IFERROR(__xludf.DUMMYFUNCTION("""COMPUTED_VALUE"""),"10.1037/xhp0000331")</f>
        <v>10.1037/xhp0000331</v>
      </c>
      <c r="B807" s="680" t="str">
        <f>IFERROR(__xludf.DUMMYFUNCTION("""COMPUTED_VALUE"""),"https://drive.google.com/file/d/1tnrtY2AGZh3sxH7hAyNkGXrh3VXkllfn/view?usp=drivesdk")</f>
        <v>https://drive.google.com/file/d/1tnrtY2AGZh3sxH7hAyNkGXrh3VXkllfn/view?usp=drivesdk</v>
      </c>
      <c r="C807" s="159" t="str">
        <f>IFERROR(__xludf.DUMMYFUNCTION("""COMPUTED_VALUE"""),"10.1037--xhp0000331.pdf")</f>
        <v>10.1037--xhp0000331.pdf</v>
      </c>
      <c r="D807" s="159" t="str">
        <f>IFERROR(__xludf.DUMMYFUNCTION("""COMPUTED_VALUE"""),"application/pdf")</f>
        <v>application/pdf</v>
      </c>
    </row>
    <row r="808">
      <c r="A808" s="159" t="str">
        <f>IFERROR(__xludf.DUMMYFUNCTION("""COMPUTED_VALUE"""),"10.3758/s13414-014-0802-4")</f>
        <v>10.3758/s13414-014-0802-4</v>
      </c>
      <c r="B808" s="680" t="str">
        <f>IFERROR(__xludf.DUMMYFUNCTION("""COMPUTED_VALUE"""),"https://drive.google.com/file/d/1TdZCuKlnyQMdvVEQilVLFtG0dCtKm22E/view?usp=drivesdk")</f>
        <v>https://drive.google.com/file/d/1TdZCuKlnyQMdvVEQilVLFtG0dCtKm22E/view?usp=drivesdk</v>
      </c>
      <c r="C808" s="159" t="str">
        <f>IFERROR(__xludf.DUMMYFUNCTION("""COMPUTED_VALUE"""),"10.3758--s13414-014-0802-4.pdf")</f>
        <v>10.3758--s13414-014-0802-4.pdf</v>
      </c>
      <c r="D808" s="159" t="str">
        <f>IFERROR(__xludf.DUMMYFUNCTION("""COMPUTED_VALUE"""),"application/pdf")</f>
        <v>application/pdf</v>
      </c>
    </row>
    <row r="809">
      <c r="A809" s="159" t="str">
        <f>IFERROR(__xludf.DUMMYFUNCTION("""COMPUTED_VALUE"""),"10.1037/xhp0000180")</f>
        <v>10.1037/xhp0000180</v>
      </c>
      <c r="B809" s="680" t="str">
        <f>IFERROR(__xludf.DUMMYFUNCTION("""COMPUTED_VALUE"""),"https://drive.google.com/file/d/1CaxkyK-Tso63dZIngc3kC3aS7PPxTe9j/view?usp=drivesdk")</f>
        <v>https://drive.google.com/file/d/1CaxkyK-Tso63dZIngc3kC3aS7PPxTe9j/view?usp=drivesdk</v>
      </c>
      <c r="C809" s="159" t="str">
        <f>IFERROR(__xludf.DUMMYFUNCTION("""COMPUTED_VALUE"""),"10.1037--xhp0000180.pdf")</f>
        <v>10.1037--xhp0000180.pdf</v>
      </c>
      <c r="D809" s="159" t="str">
        <f>IFERROR(__xludf.DUMMYFUNCTION("""COMPUTED_VALUE"""),"application/pdf")</f>
        <v>application/pdf</v>
      </c>
    </row>
    <row r="810">
      <c r="A810" s="159" t="str">
        <f>IFERROR(__xludf.DUMMYFUNCTION("""COMPUTED_VALUE"""),"10.1037/xge0000067")</f>
        <v>10.1037/xge0000067</v>
      </c>
      <c r="B810" s="680" t="str">
        <f>IFERROR(__xludf.DUMMYFUNCTION("""COMPUTED_VALUE"""),"https://drive.google.com/file/d/1pjJ_mexej_HCDWJOoBg_-5Xnqe2I7BQP/view?usp=drivesdk")</f>
        <v>https://drive.google.com/file/d/1pjJ_mexej_HCDWJOoBg_-5Xnqe2I7BQP/view?usp=drivesdk</v>
      </c>
      <c r="C810" s="159" t="str">
        <f>IFERROR(__xludf.DUMMYFUNCTION("""COMPUTED_VALUE"""),"10.1037--xge0000067.pdf")</f>
        <v>10.1037--xge0000067.pdf</v>
      </c>
      <c r="D810" s="159" t="str">
        <f>IFERROR(__xludf.DUMMYFUNCTION("""COMPUTED_VALUE"""),"application/pdf")</f>
        <v>application/pdf</v>
      </c>
    </row>
    <row r="811">
      <c r="A811" s="159" t="str">
        <f>IFERROR(__xludf.DUMMYFUNCTION("""COMPUTED_VALUE"""),"10.1027/1864-9335/a000188")</f>
        <v>10.1027/1864-9335/a000188</v>
      </c>
      <c r="B811" s="680" t="str">
        <f>IFERROR(__xludf.DUMMYFUNCTION("""COMPUTED_VALUE"""),"https://drive.google.com/file/d/1gIFaH8XjdZA95I3TztAnPRHTUvE4NZf9/view?usp=drivesdk")</f>
        <v>https://drive.google.com/file/d/1gIFaH8XjdZA95I3TztAnPRHTUvE4NZf9/view?usp=drivesdk</v>
      </c>
      <c r="C811" s="159" t="str">
        <f>IFERROR(__xludf.DUMMYFUNCTION("""COMPUTED_VALUE"""),"10.1027--1864-9335--a000188.pdf")</f>
        <v>10.1027--1864-9335--a000188.pdf</v>
      </c>
      <c r="D811" s="159" t="str">
        <f>IFERROR(__xludf.DUMMYFUNCTION("""COMPUTED_VALUE"""),"application/pdf")</f>
        <v>application/pdf</v>
      </c>
    </row>
    <row r="812">
      <c r="A812" s="159" t="str">
        <f>IFERROR(__xludf.DUMMYFUNCTION("""COMPUTED_VALUE"""),"10.1037/cep0000225")</f>
        <v>10.1037/cep0000225</v>
      </c>
      <c r="B812" s="680" t="str">
        <f>IFERROR(__xludf.DUMMYFUNCTION("""COMPUTED_VALUE"""),"https://drive.google.com/file/d/1uU-gCjIDWi8WD9XqUkSZVmwfEbyUznW8/view?usp=drivesdk")</f>
        <v>https://drive.google.com/file/d/1uU-gCjIDWi8WD9XqUkSZVmwfEbyUznW8/view?usp=drivesdk</v>
      </c>
      <c r="C812" s="159" t="str">
        <f>IFERROR(__xludf.DUMMYFUNCTION("""COMPUTED_VALUE"""),"10.1037--cep0000225.pdf")</f>
        <v>10.1037--cep0000225.pdf</v>
      </c>
      <c r="D812" s="159" t="str">
        <f>IFERROR(__xludf.DUMMYFUNCTION("""COMPUTED_VALUE"""),"application/pdf")</f>
        <v>application/pdf</v>
      </c>
    </row>
    <row r="813">
      <c r="A813" s="159" t="str">
        <f>IFERROR(__xludf.DUMMYFUNCTION("""COMPUTED_VALUE"""),"10.1027/1015-5759/a000481")</f>
        <v>10.1027/1015-5759/a000481</v>
      </c>
      <c r="B813" s="680" t="str">
        <f>IFERROR(__xludf.DUMMYFUNCTION("""COMPUTED_VALUE"""),"https://drive.google.com/file/d/1RpVITN8ah7IwxTNwb99QdNd3R25KYLqZ/view?usp=drivesdk")</f>
        <v>https://drive.google.com/file/d/1RpVITN8ah7IwxTNwb99QdNd3R25KYLqZ/view?usp=drivesdk</v>
      </c>
      <c r="C813" s="159" t="str">
        <f>IFERROR(__xludf.DUMMYFUNCTION("""COMPUTED_VALUE"""),"10.1027--1015-5759--a000481.pdf")</f>
        <v>10.1027--1015-5759--a000481.pdf</v>
      </c>
      <c r="D813" s="159" t="str">
        <f>IFERROR(__xludf.DUMMYFUNCTION("""COMPUTED_VALUE"""),"application/pdf")</f>
        <v>application/pdf</v>
      </c>
    </row>
    <row r="814">
      <c r="A814" s="159" t="str">
        <f>IFERROR(__xludf.DUMMYFUNCTION("""COMPUTED_VALUE"""),"10.1037/gdn0000121")</f>
        <v>10.1037/gdn0000121</v>
      </c>
      <c r="B814" s="680" t="str">
        <f>IFERROR(__xludf.DUMMYFUNCTION("""COMPUTED_VALUE"""),"https://drive.google.com/file/d/1GXFYL_KXrCpINA-p_KVupwToPo9ENZoH/view?usp=drivesdk")</f>
        <v>https://drive.google.com/file/d/1GXFYL_KXrCpINA-p_KVupwToPo9ENZoH/view?usp=drivesdk</v>
      </c>
      <c r="C814" s="159" t="str">
        <f>IFERROR(__xludf.DUMMYFUNCTION("""COMPUTED_VALUE"""),"10.1037--gdn0000121.pdf")</f>
        <v>10.1037--gdn0000121.pdf</v>
      </c>
      <c r="D814" s="159" t="str">
        <f>IFERROR(__xludf.DUMMYFUNCTION("""COMPUTED_VALUE"""),"application/pdf")</f>
        <v>application/pdf</v>
      </c>
    </row>
    <row r="815">
      <c r="A815" s="159" t="str">
        <f>IFERROR(__xludf.DUMMYFUNCTION("""COMPUTED_VALUE"""),"10.1525/collabra.337")</f>
        <v>10.1525/collabra.337</v>
      </c>
      <c r="B815" s="680" t="str">
        <f>IFERROR(__xludf.DUMMYFUNCTION("""COMPUTED_VALUE"""),"https://drive.google.com/file/d/1DQavlL_rW2Y3VYQP1kVKsj2ntiUNQWxZ/view?usp=drivesdk")</f>
        <v>https://drive.google.com/file/d/1DQavlL_rW2Y3VYQP1kVKsj2ntiUNQWxZ/view?usp=drivesdk</v>
      </c>
      <c r="C815" s="159" t="str">
        <f>IFERROR(__xludf.DUMMYFUNCTION("""COMPUTED_VALUE"""),"10.1525--collabra.337.pdf")</f>
        <v>10.1525--collabra.337.pdf</v>
      </c>
      <c r="D815" s="159" t="str">
        <f>IFERROR(__xludf.DUMMYFUNCTION("""COMPUTED_VALUE"""),"application/pdf")</f>
        <v>application/pdf</v>
      </c>
    </row>
    <row r="816">
      <c r="A816" s="159" t="str">
        <f>IFERROR(__xludf.DUMMYFUNCTION("""COMPUTED_VALUE"""),"10.1525/mp.2019.37.1.26")</f>
        <v>10.1525/mp.2019.37.1.26</v>
      </c>
      <c r="B816" s="680" t="str">
        <f>IFERROR(__xludf.DUMMYFUNCTION("""COMPUTED_VALUE"""),"https://drive.google.com/file/d/1GqaKToOKvlz6zi858wJ3zfKrsajcb-35/view?usp=drivesdk")</f>
        <v>https://drive.google.com/file/d/1GqaKToOKvlz6zi858wJ3zfKrsajcb-35/view?usp=drivesdk</v>
      </c>
      <c r="C816" s="159" t="str">
        <f>IFERROR(__xludf.DUMMYFUNCTION("""COMPUTED_VALUE"""),"10.1525--mp.2019.37.1.26.pdf")</f>
        <v>10.1525--mp.2019.37.1.26.pdf</v>
      </c>
      <c r="D816" s="159" t="str">
        <f>IFERROR(__xludf.DUMMYFUNCTION("""COMPUTED_VALUE"""),"application/pdf")</f>
        <v>application/pdf</v>
      </c>
    </row>
    <row r="817">
      <c r="A817" s="159" t="str">
        <f>IFERROR(__xludf.DUMMYFUNCTION("""COMPUTED_VALUE"""),"10.5334/pb-53-2-33")</f>
        <v>10.5334/pb-53-2-33</v>
      </c>
      <c r="B817" s="680" t="str">
        <f>IFERROR(__xludf.DUMMYFUNCTION("""COMPUTED_VALUE"""),"https://drive.google.com/file/d/1x4NI56w21VapyXcuGgFNdGv8DmkbYyIm/view?usp=drivesdk")</f>
        <v>https://drive.google.com/file/d/1x4NI56w21VapyXcuGgFNdGv8DmkbYyIm/view?usp=drivesdk</v>
      </c>
      <c r="C817" s="159" t="str">
        <f>IFERROR(__xludf.DUMMYFUNCTION("""COMPUTED_VALUE"""),"10.5334--pb-53-2-33.pdf")</f>
        <v>10.5334--pb-53-2-33.pdf</v>
      </c>
      <c r="D817" s="159" t="str">
        <f>IFERROR(__xludf.DUMMYFUNCTION("""COMPUTED_VALUE"""),"application/pdf")</f>
        <v>application/pdf</v>
      </c>
    </row>
    <row r="818">
      <c r="A818" s="159" t="str">
        <f>IFERROR(__xludf.DUMMYFUNCTION("""COMPUTED_VALUE"""),"10.1037/pspi0000218")</f>
        <v>10.1037/pspi0000218</v>
      </c>
      <c r="B818" s="680" t="str">
        <f>IFERROR(__xludf.DUMMYFUNCTION("""COMPUTED_VALUE"""),"https://drive.google.com/file/d/1vR06FdNyEytssJNLngm20V8kUMiVw3DY/view?usp=drivesdk")</f>
        <v>https://drive.google.com/file/d/1vR06FdNyEytssJNLngm20V8kUMiVw3DY/view?usp=drivesdk</v>
      </c>
      <c r="C818" s="159" t="str">
        <f>IFERROR(__xludf.DUMMYFUNCTION("""COMPUTED_VALUE"""),"10.1037--pspi0000218.pdf")</f>
        <v>10.1037--pspi0000218.pdf</v>
      </c>
      <c r="D818" s="159" t="str">
        <f>IFERROR(__xludf.DUMMYFUNCTION("""COMPUTED_VALUE"""),"application/pdf")</f>
        <v>application/pdf</v>
      </c>
    </row>
    <row r="819">
      <c r="A819" s="159" t="str">
        <f>IFERROR(__xludf.DUMMYFUNCTION("""COMPUTED_VALUE"""),"10.1027/1864-9335/a000236")</f>
        <v>10.1027/1864-9335/a000236</v>
      </c>
      <c r="B819" s="680" t="str">
        <f>IFERROR(__xludf.DUMMYFUNCTION("""COMPUTED_VALUE"""),"https://drive.google.com/file/d/1Cu-1t8OJNGvBi0AOJZIW6H8v58ySmuGI/view?usp=drivesdk")</f>
        <v>https://drive.google.com/file/d/1Cu-1t8OJNGvBi0AOJZIW6H8v58ySmuGI/view?usp=drivesdk</v>
      </c>
      <c r="C819" s="159" t="str">
        <f>IFERROR(__xludf.DUMMYFUNCTION("""COMPUTED_VALUE"""),"10.1027--1864-9335--a000236.pdf")</f>
        <v>10.1027--1864-9335--a000236.pdf</v>
      </c>
      <c r="D819" s="159" t="str">
        <f>IFERROR(__xludf.DUMMYFUNCTION("""COMPUTED_VALUE"""),"application/pdf")</f>
        <v>application/pdf</v>
      </c>
    </row>
    <row r="820">
      <c r="A820" s="159" t="str">
        <f>IFERROR(__xludf.DUMMYFUNCTION("""COMPUTED_VALUE"""),"10.1016/j.paid.2018.11.030")</f>
        <v>10.1016/j.paid.2018.11.030</v>
      </c>
      <c r="B820" s="680" t="str">
        <f>IFERROR(__xludf.DUMMYFUNCTION("""COMPUTED_VALUE"""),"https://drive.google.com/file/d/1Jj1O8c_9L34nAOJtKso9nfPa4g3Mfysr/view?usp=drivesdk")</f>
        <v>https://drive.google.com/file/d/1Jj1O8c_9L34nAOJtKso9nfPa4g3Mfysr/view?usp=drivesdk</v>
      </c>
      <c r="C820" s="159" t="str">
        <f>IFERROR(__xludf.DUMMYFUNCTION("""COMPUTED_VALUE"""),"10.1016--j.paid.2018.11.030.pdf")</f>
        <v>10.1016--j.paid.2018.11.030.pdf</v>
      </c>
      <c r="D820" s="159" t="str">
        <f>IFERROR(__xludf.DUMMYFUNCTION("""COMPUTED_VALUE"""),"application/pdf")</f>
        <v>application/pdf</v>
      </c>
    </row>
    <row r="821">
      <c r="A821" s="159" t="str">
        <f>IFERROR(__xludf.DUMMYFUNCTION("""COMPUTED_VALUE"""),"10.1037/xge0000363")</f>
        <v>10.1037/xge0000363</v>
      </c>
      <c r="B821" s="680" t="str">
        <f>IFERROR(__xludf.DUMMYFUNCTION("""COMPUTED_VALUE"""),"https://drive.google.com/file/d/1lEv0bZRjokbgXTUNzSA0h6exnegNkQSO/view?usp=drivesdk")</f>
        <v>https://drive.google.com/file/d/1lEv0bZRjokbgXTUNzSA0h6exnegNkQSO/view?usp=drivesdk</v>
      </c>
      <c r="C821" s="159" t="str">
        <f>IFERROR(__xludf.DUMMYFUNCTION("""COMPUTED_VALUE"""),"10.1037--xge0000363.pdf")</f>
        <v>10.1037--xge0000363.pdf</v>
      </c>
      <c r="D821" s="159" t="str">
        <f>IFERROR(__xludf.DUMMYFUNCTION("""COMPUTED_VALUE"""),"application/pdf")</f>
        <v>application/pdf</v>
      </c>
    </row>
    <row r="822">
      <c r="A822" s="159" t="str">
        <f>IFERROR(__xludf.DUMMYFUNCTION("""COMPUTED_VALUE"""),"10.1037/hea0000339")</f>
        <v>10.1037/hea0000339</v>
      </c>
      <c r="B822" s="680" t="str">
        <f>IFERROR(__xludf.DUMMYFUNCTION("""COMPUTED_VALUE"""),"https://drive.google.com/file/d/1pU-ErY9_5d1luT5mq4sd3ClC-Qp4_FmB/view?usp=drivesdk")</f>
        <v>https://drive.google.com/file/d/1pU-ErY9_5d1luT5mq4sd3ClC-Qp4_FmB/view?usp=drivesdk</v>
      </c>
      <c r="C822" s="159" t="str">
        <f>IFERROR(__xludf.DUMMYFUNCTION("""COMPUTED_VALUE"""),"10.1037--hea0000339.pdf")</f>
        <v>10.1037--hea0000339.pdf</v>
      </c>
      <c r="D822" s="159" t="str">
        <f>IFERROR(__xludf.DUMMYFUNCTION("""COMPUTED_VALUE"""),"application/pdf")</f>
        <v>application/pdf</v>
      </c>
    </row>
    <row r="823">
      <c r="A823" s="159" t="str">
        <f>IFERROR(__xludf.DUMMYFUNCTION("""COMPUTED_VALUE"""),"10.1027/1618-3169/a000272")</f>
        <v>10.1027/1618-3169/a000272</v>
      </c>
      <c r="B823" s="680" t="str">
        <f>IFERROR(__xludf.DUMMYFUNCTION("""COMPUTED_VALUE"""),"https://drive.google.com/file/d/1SHo9uaRoUt61BTr0U3JEHdYkT0-VW3By/view?usp=drivesdk")</f>
        <v>https://drive.google.com/file/d/1SHo9uaRoUt61BTr0U3JEHdYkT0-VW3By/view?usp=drivesdk</v>
      </c>
      <c r="C823" s="159" t="str">
        <f>IFERROR(__xludf.DUMMYFUNCTION("""COMPUTED_VALUE"""),"10.1027--1618-3169--a000272.pdf")</f>
        <v>10.1027--1618-3169--a000272.pdf</v>
      </c>
      <c r="D823" s="159" t="str">
        <f>IFERROR(__xludf.DUMMYFUNCTION("""COMPUTED_VALUE"""),"application/pdf")</f>
        <v>application/pdf</v>
      </c>
    </row>
    <row r="824">
      <c r="A824" s="159" t="str">
        <f>IFERROR(__xludf.DUMMYFUNCTION("""COMPUTED_VALUE"""),"10.1037/neu0000606")</f>
        <v>10.1037/neu0000606</v>
      </c>
      <c r="B824" s="680" t="str">
        <f>IFERROR(__xludf.DUMMYFUNCTION("""COMPUTED_VALUE"""),"https://drive.google.com/file/d/1qzW5JqJRzeu9m6gesSUyqoAmlStjA43I/view?usp=drivesdk")</f>
        <v>https://drive.google.com/file/d/1qzW5JqJRzeu9m6gesSUyqoAmlStjA43I/view?usp=drivesdk</v>
      </c>
      <c r="C824" s="159" t="str">
        <f>IFERROR(__xludf.DUMMYFUNCTION("""COMPUTED_VALUE"""),"10.1037--neu0000606.pdf")</f>
        <v>10.1037--neu0000606.pdf</v>
      </c>
      <c r="D824" s="159" t="str">
        <f>IFERROR(__xludf.DUMMYFUNCTION("""COMPUTED_VALUE"""),"application/pdf")</f>
        <v>application/pdf</v>
      </c>
    </row>
    <row r="825">
      <c r="A825" s="159" t="str">
        <f>IFERROR(__xludf.DUMMYFUNCTION("""COMPUTED_VALUE"""),"10.1037/xlm0000399")</f>
        <v>10.1037/xlm0000399</v>
      </c>
      <c r="B825" s="680" t="str">
        <f>IFERROR(__xludf.DUMMYFUNCTION("""COMPUTED_VALUE"""),"https://drive.google.com/file/d/1DqbmCE0koXHnNxn-CiJlr6S89vFA1rei/view?usp=drivesdk")</f>
        <v>https://drive.google.com/file/d/1DqbmCE0koXHnNxn-CiJlr6S89vFA1rei/view?usp=drivesdk</v>
      </c>
      <c r="C825" s="159" t="str">
        <f>IFERROR(__xludf.DUMMYFUNCTION("""COMPUTED_VALUE"""),"10.1037--xlm0000399.pdf")</f>
        <v>10.1037--xlm0000399.pdf</v>
      </c>
      <c r="D825" s="159" t="str">
        <f>IFERROR(__xludf.DUMMYFUNCTION("""COMPUTED_VALUE"""),"application/pdf")</f>
        <v>application/pdf</v>
      </c>
    </row>
    <row r="826">
      <c r="A826" s="159" t="str">
        <f>IFERROR(__xludf.DUMMYFUNCTION("""COMPUTED_VALUE"""),"10.1037/xhp0000483")</f>
        <v>10.1037/xhp0000483</v>
      </c>
      <c r="B826" s="680" t="str">
        <f>IFERROR(__xludf.DUMMYFUNCTION("""COMPUTED_VALUE"""),"https://drive.google.com/file/d/1i97cxJsLqvPvidMfhm1pdXUQaUG58YLH/view?usp=drivesdk")</f>
        <v>https://drive.google.com/file/d/1i97cxJsLqvPvidMfhm1pdXUQaUG58YLH/view?usp=drivesdk</v>
      </c>
      <c r="C826" s="159" t="str">
        <f>IFERROR(__xludf.DUMMYFUNCTION("""COMPUTED_VALUE"""),"10.1037--xhp0000483.pdf")</f>
        <v>10.1037--xhp0000483.pdf</v>
      </c>
      <c r="D826" s="159" t="str">
        <f>IFERROR(__xludf.DUMMYFUNCTION("""COMPUTED_VALUE"""),"application/pdf")</f>
        <v>application/pdf</v>
      </c>
    </row>
    <row r="827">
      <c r="A827" s="159" t="str">
        <f>IFERROR(__xludf.DUMMYFUNCTION("""COMPUTED_VALUE"""),"10.1016/j.infbeh.2011.09.007")</f>
        <v>10.1016/j.infbeh.2011.09.007</v>
      </c>
      <c r="B827" s="680" t="str">
        <f>IFERROR(__xludf.DUMMYFUNCTION("""COMPUTED_VALUE"""),"https://drive.google.com/file/d/1GrzwoPy_KXCYzere0iGBOB5QpMo0QXHW/view?usp=drivesdk")</f>
        <v>https://drive.google.com/file/d/1GrzwoPy_KXCYzere0iGBOB5QpMo0QXHW/view?usp=drivesdk</v>
      </c>
      <c r="C827" s="159" t="str">
        <f>IFERROR(__xludf.DUMMYFUNCTION("""COMPUTED_VALUE"""),"10.1016--j.infbeh.2011.09.007.pdf")</f>
        <v>10.1016--j.infbeh.2011.09.007.pdf</v>
      </c>
      <c r="D827" s="159" t="str">
        <f>IFERROR(__xludf.DUMMYFUNCTION("""COMPUTED_VALUE"""),"application/pdf")</f>
        <v>application/pdf</v>
      </c>
    </row>
    <row r="828">
      <c r="A828" s="159" t="str">
        <f>IFERROR(__xludf.DUMMYFUNCTION("""COMPUTED_VALUE"""),"10.3758/s13423-018-1503-0")</f>
        <v>10.3758/s13423-018-1503-0</v>
      </c>
      <c r="B828" s="680" t="str">
        <f>IFERROR(__xludf.DUMMYFUNCTION("""COMPUTED_VALUE"""),"https://drive.google.com/file/d/1nD3-iZ1nWk84gxQauX1rwDy2vl4lzHy1/view?usp=drivesdk")</f>
        <v>https://drive.google.com/file/d/1nD3-iZ1nWk84gxQauX1rwDy2vl4lzHy1/view?usp=drivesdk</v>
      </c>
      <c r="C828" s="159" t="str">
        <f>IFERROR(__xludf.DUMMYFUNCTION("""COMPUTED_VALUE"""),"10.3758--s13423-018-1503-0.pdf")</f>
        <v>10.3758--s13423-018-1503-0.pdf</v>
      </c>
      <c r="D828" s="159" t="str">
        <f>IFERROR(__xludf.DUMMYFUNCTION("""COMPUTED_VALUE"""),"application/pdf")</f>
        <v>application/pdf</v>
      </c>
    </row>
    <row r="829">
      <c r="A829" s="159" t="str">
        <f>IFERROR(__xludf.DUMMYFUNCTION("""COMPUTED_VALUE"""),"10.3758/s13423-020-01834-4")</f>
        <v>10.3758/s13423-020-01834-4</v>
      </c>
      <c r="B829" s="680" t="str">
        <f>IFERROR(__xludf.DUMMYFUNCTION("""COMPUTED_VALUE"""),"https://drive.google.com/file/d/1qERJwV5I4kjdIq5NbjsYgn1oZuQ5u6py/view?usp=drivesdk")</f>
        <v>https://drive.google.com/file/d/1qERJwV5I4kjdIq5NbjsYgn1oZuQ5u6py/view?usp=drivesdk</v>
      </c>
      <c r="C829" s="159" t="str">
        <f>IFERROR(__xludf.DUMMYFUNCTION("""COMPUTED_VALUE"""),"10.3758--s13423-020-01834-4.pdf")</f>
        <v>10.3758--s13423-020-01834-4.pdf</v>
      </c>
      <c r="D829" s="159" t="str">
        <f>IFERROR(__xludf.DUMMYFUNCTION("""COMPUTED_VALUE"""),"application/pdf")</f>
        <v>application/pdf</v>
      </c>
    </row>
    <row r="830">
      <c r="A830" s="159" t="str">
        <f>IFERROR(__xludf.DUMMYFUNCTION("""COMPUTED_VALUE"""),"10.3758/s13423-012-0250-x")</f>
        <v>10.3758/s13423-012-0250-x</v>
      </c>
      <c r="B830" s="680" t="str">
        <f>IFERROR(__xludf.DUMMYFUNCTION("""COMPUTED_VALUE"""),"https://drive.google.com/file/d/14M7-IkyWVfj3eY4hw0qFelu5WsEpipeb/view?usp=drivesdk")</f>
        <v>https://drive.google.com/file/d/14M7-IkyWVfj3eY4hw0qFelu5WsEpipeb/view?usp=drivesdk</v>
      </c>
      <c r="C830" s="159" t="str">
        <f>IFERROR(__xludf.DUMMYFUNCTION("""COMPUTED_VALUE"""),"10.3758--s13423-012-0250-x.pdf")</f>
        <v>10.3758--s13423-012-0250-x.pdf</v>
      </c>
      <c r="D830" s="159" t="str">
        <f>IFERROR(__xludf.DUMMYFUNCTION("""COMPUTED_VALUE"""),"application/pdf")</f>
        <v>application/pdf</v>
      </c>
    </row>
    <row r="831">
      <c r="A831" s="159" t="str">
        <f>IFERROR(__xludf.DUMMYFUNCTION("""COMPUTED_VALUE"""),"10.3758/s13423-014-0645-y")</f>
        <v>10.3758/s13423-014-0645-y</v>
      </c>
      <c r="B831" s="680" t="str">
        <f>IFERROR(__xludf.DUMMYFUNCTION("""COMPUTED_VALUE"""),"https://drive.google.com/file/d/1qJeSoowwY1PmRvutkQhS4ULIY3SaG9Pw/view?usp=drivesdk")</f>
        <v>https://drive.google.com/file/d/1qJeSoowwY1PmRvutkQhS4ULIY3SaG9Pw/view?usp=drivesdk</v>
      </c>
      <c r="C831" s="159" t="str">
        <f>IFERROR(__xludf.DUMMYFUNCTION("""COMPUTED_VALUE"""),"10.3758--s13423-014-0645-y.pdf")</f>
        <v>10.3758--s13423-014-0645-y.pdf</v>
      </c>
      <c r="D831" s="159" t="str">
        <f>IFERROR(__xludf.DUMMYFUNCTION("""COMPUTED_VALUE"""),"application/pdf")</f>
        <v>application/pdf</v>
      </c>
    </row>
    <row r="832">
      <c r="A832" s="159" t="str">
        <f>IFERROR(__xludf.DUMMYFUNCTION("""COMPUTED_VALUE"""),"10.3758/s13414-019-01715-6")</f>
        <v>10.3758/s13414-019-01715-6</v>
      </c>
      <c r="B832" s="680" t="str">
        <f>IFERROR(__xludf.DUMMYFUNCTION("""COMPUTED_VALUE"""),"https://drive.google.com/file/d/1LIpAnCD_qY_nhb2Uv3KtimlebkZZRxuB/view?usp=drivesdk")</f>
        <v>https://drive.google.com/file/d/1LIpAnCD_qY_nhb2Uv3KtimlebkZZRxuB/view?usp=drivesdk</v>
      </c>
      <c r="C832" s="159" t="str">
        <f>IFERROR(__xludf.DUMMYFUNCTION("""COMPUTED_VALUE"""),"10.3758--s13414-019-01715-6.pdf")</f>
        <v>10.3758--s13414-019-01715-6.pdf</v>
      </c>
      <c r="D832" s="159" t="str">
        <f>IFERROR(__xludf.DUMMYFUNCTION("""COMPUTED_VALUE"""),"application/pdf")</f>
        <v>application/pdf</v>
      </c>
    </row>
    <row r="833">
      <c r="A833" s="159" t="str">
        <f>IFERROR(__xludf.DUMMYFUNCTION("""COMPUTED_VALUE"""),"10.3758/s13414-018-01655-7")</f>
        <v>10.3758/s13414-018-01655-7</v>
      </c>
      <c r="B833" s="680" t="str">
        <f>IFERROR(__xludf.DUMMYFUNCTION("""COMPUTED_VALUE"""),"https://drive.google.com/file/d/1P7wYUg2mdfDHpizyWR-Lc6NmlbIvnsOb/view?usp=drivesdk")</f>
        <v>https://drive.google.com/file/d/1P7wYUg2mdfDHpizyWR-Lc6NmlbIvnsOb/view?usp=drivesdk</v>
      </c>
      <c r="C833" s="159" t="str">
        <f>IFERROR(__xludf.DUMMYFUNCTION("""COMPUTED_VALUE"""),"10.3758--s13414-018-01655-7.pdf")</f>
        <v>10.3758--s13414-018-01655-7.pdf</v>
      </c>
      <c r="D833" s="159" t="str">
        <f>IFERROR(__xludf.DUMMYFUNCTION("""COMPUTED_VALUE"""),"application/pdf")</f>
        <v>application/pdf</v>
      </c>
    </row>
    <row r="834">
      <c r="A834" s="159" t="str">
        <f>IFERROR(__xludf.DUMMYFUNCTION("""COMPUTED_VALUE"""),"10.3758/s13414-017-1360-3")</f>
        <v>10.3758/s13414-017-1360-3</v>
      </c>
      <c r="B834" s="680" t="str">
        <f>IFERROR(__xludf.DUMMYFUNCTION("""COMPUTED_VALUE"""),"https://drive.google.com/file/d/1_OW7cSGipialnxLe9tmXZ4efVfbQhbOh/view?usp=drivesdk")</f>
        <v>https://drive.google.com/file/d/1_OW7cSGipialnxLe9tmXZ4efVfbQhbOh/view?usp=drivesdk</v>
      </c>
      <c r="C834" s="159" t="str">
        <f>IFERROR(__xludf.DUMMYFUNCTION("""COMPUTED_VALUE"""),"10.3758--s13414-017-1360-3.pdf")</f>
        <v>10.3758--s13414-017-1360-3.pdf</v>
      </c>
      <c r="D834" s="159" t="str">
        <f>IFERROR(__xludf.DUMMYFUNCTION("""COMPUTED_VALUE"""),"application/pdf")</f>
        <v>application/pdf</v>
      </c>
    </row>
    <row r="835">
      <c r="A835" s="159" t="str">
        <f>IFERROR(__xludf.DUMMYFUNCTION("""COMPUTED_VALUE"""),"10.3758/s13414-017-1288-7")</f>
        <v>10.3758/s13414-017-1288-7</v>
      </c>
      <c r="B835" s="680" t="str">
        <f>IFERROR(__xludf.DUMMYFUNCTION("""COMPUTED_VALUE"""),"https://drive.google.com/file/d/1-cJaQM_AmenLnu0hUtdh3LIE6NGYHPlz/view?usp=drivesdk")</f>
        <v>https://drive.google.com/file/d/1-cJaQM_AmenLnu0hUtdh3LIE6NGYHPlz/view?usp=drivesdk</v>
      </c>
      <c r="C835" s="159" t="str">
        <f>IFERROR(__xludf.DUMMYFUNCTION("""COMPUTED_VALUE"""),"10.3758--s13414-017-1288-7.pdf")</f>
        <v>10.3758--s13414-017-1288-7.pdf</v>
      </c>
      <c r="D835" s="159" t="str">
        <f>IFERROR(__xludf.DUMMYFUNCTION("""COMPUTED_VALUE"""),"application/pdf")</f>
        <v>application/pdf</v>
      </c>
    </row>
    <row r="836">
      <c r="A836" s="159" t="str">
        <f>IFERROR(__xludf.DUMMYFUNCTION("""COMPUTED_VALUE"""),"10.3758/s13414-015-1036-9")</f>
        <v>10.3758/s13414-015-1036-9</v>
      </c>
      <c r="B836" s="680" t="str">
        <f>IFERROR(__xludf.DUMMYFUNCTION("""COMPUTED_VALUE"""),"https://drive.google.com/file/d/1_OMEmK-xGGxIcxXMudVcgb287sBrfI-c/view?usp=drivesdk")</f>
        <v>https://drive.google.com/file/d/1_OMEmK-xGGxIcxXMudVcgb287sBrfI-c/view?usp=drivesdk</v>
      </c>
      <c r="C836" s="159" t="str">
        <f>IFERROR(__xludf.DUMMYFUNCTION("""COMPUTED_VALUE"""),"10.3758--s13414-015-1036-9.pdf")</f>
        <v>10.3758--s13414-015-1036-9.pdf</v>
      </c>
      <c r="D836" s="159" t="str">
        <f>IFERROR(__xludf.DUMMYFUNCTION("""COMPUTED_VALUE"""),"application/pdf")</f>
        <v>application/pdf</v>
      </c>
    </row>
    <row r="837">
      <c r="A837" s="159" t="str">
        <f>IFERROR(__xludf.DUMMYFUNCTION("""COMPUTED_VALUE"""),"10.3758/s13414-014-0641-3")</f>
        <v>10.3758/s13414-014-0641-3</v>
      </c>
      <c r="B837" s="680" t="str">
        <f>IFERROR(__xludf.DUMMYFUNCTION("""COMPUTED_VALUE"""),"https://drive.google.com/file/d/1G0OoyvhuYrU7WZDuNhWFZwWlUOOVmyOv/view?usp=drivesdk")</f>
        <v>https://drive.google.com/file/d/1G0OoyvhuYrU7WZDuNhWFZwWlUOOVmyOv/view?usp=drivesdk</v>
      </c>
      <c r="C837" s="159" t="str">
        <f>IFERROR(__xludf.DUMMYFUNCTION("""COMPUTED_VALUE"""),"10.3758--s13414-014-0641-3.pdf")</f>
        <v>10.3758--s13414-014-0641-3.pdf</v>
      </c>
      <c r="D837" s="159" t="str">
        <f>IFERROR(__xludf.DUMMYFUNCTION("""COMPUTED_VALUE"""),"application/pdf")</f>
        <v>application/pdf</v>
      </c>
    </row>
    <row r="838">
      <c r="A838" s="159" t="str">
        <f>IFERROR(__xludf.DUMMYFUNCTION("""COMPUTED_VALUE"""),"10.3758/s13414-015-0950-1")</f>
        <v>10.3758/s13414-015-0950-1</v>
      </c>
      <c r="B838" s="680" t="str">
        <f>IFERROR(__xludf.DUMMYFUNCTION("""COMPUTED_VALUE"""),"https://drive.google.com/file/d/1pH8UjTqHvQA54nGuFmjvM5i_7vzv3rDT/view?usp=drivesdk")</f>
        <v>https://drive.google.com/file/d/1pH8UjTqHvQA54nGuFmjvM5i_7vzv3rDT/view?usp=drivesdk</v>
      </c>
      <c r="C838" s="159" t="str">
        <f>IFERROR(__xludf.DUMMYFUNCTION("""COMPUTED_VALUE"""),"10.3758--s13414-015-0950-1.pdf")</f>
        <v>10.3758--s13414-015-0950-1.pdf</v>
      </c>
      <c r="D838" s="159" t="str">
        <f>IFERROR(__xludf.DUMMYFUNCTION("""COMPUTED_VALUE"""),"application/pdf")</f>
        <v>application/pdf</v>
      </c>
    </row>
    <row r="839">
      <c r="A839" s="159" t="str">
        <f>IFERROR(__xludf.DUMMYFUNCTION("""COMPUTED_VALUE"""),"10.3389/fpsyg.2020.00551")</f>
        <v>10.3389/fpsyg.2020.00551</v>
      </c>
      <c r="B839" s="680" t="str">
        <f>IFERROR(__xludf.DUMMYFUNCTION("""COMPUTED_VALUE"""),"https://drive.google.com/file/d/1IrNVyMTx_bTlf5Hqc4VqZVke3TI05zBF/view?usp=drivesdk")</f>
        <v>https://drive.google.com/file/d/1IrNVyMTx_bTlf5Hqc4VqZVke3TI05zBF/view?usp=drivesdk</v>
      </c>
      <c r="C839" s="159" t="str">
        <f>IFERROR(__xludf.DUMMYFUNCTION("""COMPUTED_VALUE"""),"10.3389--fpsyg.2020.00551.pdf")</f>
        <v>10.3389--fpsyg.2020.00551.pdf</v>
      </c>
      <c r="D839" s="159" t="str">
        <f>IFERROR(__xludf.DUMMYFUNCTION("""COMPUTED_VALUE"""),"application/pdf")</f>
        <v>application/pdf</v>
      </c>
    </row>
    <row r="840">
      <c r="A840" s="159" t="str">
        <f>IFERROR(__xludf.DUMMYFUNCTION("""COMPUTED_VALUE"""),"10.3758/s13414-011-0183-x")</f>
        <v>10.3758/s13414-011-0183-x</v>
      </c>
      <c r="B840" s="680" t="str">
        <f>IFERROR(__xludf.DUMMYFUNCTION("""COMPUTED_VALUE"""),"https://drive.google.com/file/d/1fUw7SZkD_uHIUTBQKndZvh3FJSh0Nusj/view?usp=drivesdk")</f>
        <v>https://drive.google.com/file/d/1fUw7SZkD_uHIUTBQKndZvh3FJSh0Nusj/view?usp=drivesdk</v>
      </c>
      <c r="C840" s="159" t="str">
        <f>IFERROR(__xludf.DUMMYFUNCTION("""COMPUTED_VALUE"""),"10.3758--s13414-011-0183-x.pdf")</f>
        <v>10.3758--s13414-011-0183-x.pdf</v>
      </c>
      <c r="D840" s="159" t="str">
        <f>IFERROR(__xludf.DUMMYFUNCTION("""COMPUTED_VALUE"""),"application/pdf")</f>
        <v>application/pdf</v>
      </c>
    </row>
    <row r="841">
      <c r="A841" s="159" t="str">
        <f>IFERROR(__xludf.DUMMYFUNCTION("""COMPUTED_VALUE"""),"10.3389/fpsyg.2020.00079")</f>
        <v>10.3389/fpsyg.2020.00079</v>
      </c>
      <c r="B841" s="680" t="str">
        <f>IFERROR(__xludf.DUMMYFUNCTION("""COMPUTED_VALUE"""),"https://drive.google.com/file/d/1hFr4-jgHTEmYr7YSzBifQ5IOHWa7Pl9E/view?usp=drivesdk")</f>
        <v>https://drive.google.com/file/d/1hFr4-jgHTEmYr7YSzBifQ5IOHWa7Pl9E/view?usp=drivesdk</v>
      </c>
      <c r="C841" s="159" t="str">
        <f>IFERROR(__xludf.DUMMYFUNCTION("""COMPUTED_VALUE"""),"10.3389--fpsyg.2020.00079.pdf")</f>
        <v>10.3389--fpsyg.2020.00079.pdf</v>
      </c>
      <c r="D841" s="159" t="str">
        <f>IFERROR(__xludf.DUMMYFUNCTION("""COMPUTED_VALUE"""),"application/pdf")</f>
        <v>application/pdf</v>
      </c>
    </row>
    <row r="842">
      <c r="A842" s="159" t="str">
        <f>IFERROR(__xludf.DUMMYFUNCTION("""COMPUTED_VALUE"""),"10.3389/fpsyg.2016.01003")</f>
        <v>10.3389/fpsyg.2016.01003</v>
      </c>
      <c r="B842" s="680" t="str">
        <f>IFERROR(__xludf.DUMMYFUNCTION("""COMPUTED_VALUE"""),"https://drive.google.com/file/d/1VdIdLWVxUUUtmOmE-vgm5rpR4GCXm-ok/view?usp=drivesdk")</f>
        <v>https://drive.google.com/file/d/1VdIdLWVxUUUtmOmE-vgm5rpR4GCXm-ok/view?usp=drivesdk</v>
      </c>
      <c r="C842" s="159" t="str">
        <f>IFERROR(__xludf.DUMMYFUNCTION("""COMPUTED_VALUE"""),"10.3389--fpsyg.2016.01003.pdf")</f>
        <v>10.3389--fpsyg.2016.01003.pdf</v>
      </c>
      <c r="D842" s="159" t="str">
        <f>IFERROR(__xludf.DUMMYFUNCTION("""COMPUTED_VALUE"""),"application/pdf")</f>
        <v>application/pdf</v>
      </c>
    </row>
    <row r="843">
      <c r="A843" s="159" t="str">
        <f>IFERROR(__xludf.DUMMYFUNCTION("""COMPUTED_VALUE"""),"10.1177/1948550620937937")</f>
        <v>10.1177/1948550620937937</v>
      </c>
      <c r="B843" s="680" t="str">
        <f>IFERROR(__xludf.DUMMYFUNCTION("""COMPUTED_VALUE"""),"https://drive.google.com/file/d/1WUtQQHrljf7PtfBYdUBTJMxRn8sxQk7E/view?usp=drivesdk")</f>
        <v>https://drive.google.com/file/d/1WUtQQHrljf7PtfBYdUBTJMxRn8sxQk7E/view?usp=drivesdk</v>
      </c>
      <c r="C843" s="159" t="str">
        <f>IFERROR(__xludf.DUMMYFUNCTION("""COMPUTED_VALUE"""),"10.1177--1948550620937937.pdf")</f>
        <v>10.1177--1948550620937937.pdf</v>
      </c>
      <c r="D843" s="159" t="str">
        <f>IFERROR(__xludf.DUMMYFUNCTION("""COMPUTED_VALUE"""),"application/pdf")</f>
        <v>application/pdf</v>
      </c>
    </row>
    <row r="844">
      <c r="A844" s="159" t="str">
        <f>IFERROR(__xludf.DUMMYFUNCTION("""COMPUTED_VALUE"""),"10.1177/0301006620915421")</f>
        <v>10.1177/0301006620915421</v>
      </c>
      <c r="B844" s="680" t="str">
        <f>IFERROR(__xludf.DUMMYFUNCTION("""COMPUTED_VALUE"""),"https://drive.google.com/file/d/11vXVXqTk1ZS0xTI6dzcKs2EolcAACvMR/view?usp=drivesdk")</f>
        <v>https://drive.google.com/file/d/11vXVXqTk1ZS0xTI6dzcKs2EolcAACvMR/view?usp=drivesdk</v>
      </c>
      <c r="C844" s="159" t="str">
        <f>IFERROR(__xludf.DUMMYFUNCTION("""COMPUTED_VALUE"""),"10.1177--0301006620915421.pdf")</f>
        <v>10.1177--0301006620915421.pdf</v>
      </c>
      <c r="D844" s="159" t="str">
        <f>IFERROR(__xludf.DUMMYFUNCTION("""COMPUTED_VALUE"""),"application/pdf")</f>
        <v>application/pdf</v>
      </c>
    </row>
    <row r="845">
      <c r="A845" s="159" t="str">
        <f>IFERROR(__xludf.DUMMYFUNCTION("""COMPUTED_VALUE"""),"10.1177/1073191112450907")</f>
        <v>10.1177/1073191112450907</v>
      </c>
      <c r="B845" s="680" t="str">
        <f>IFERROR(__xludf.DUMMYFUNCTION("""COMPUTED_VALUE"""),"https://drive.google.com/file/d/1ZoZ7bFy8e_oROY1OPQFaJYZF56-kK6IF/view?usp=drivesdk")</f>
        <v>https://drive.google.com/file/d/1ZoZ7bFy8e_oROY1OPQFaJYZF56-kK6IF/view?usp=drivesdk</v>
      </c>
      <c r="C845" s="159" t="str">
        <f>IFERROR(__xludf.DUMMYFUNCTION("""COMPUTED_VALUE"""),"10.1177--1073191112450907.pdf")</f>
        <v>10.1177--1073191112450907.pdf</v>
      </c>
      <c r="D845" s="159" t="str">
        <f>IFERROR(__xludf.DUMMYFUNCTION("""COMPUTED_VALUE"""),"application/pdf")</f>
        <v>application/pdf</v>
      </c>
    </row>
    <row r="846">
      <c r="A846" s="159" t="str">
        <f>IFERROR(__xludf.DUMMYFUNCTION("""COMPUTED_VALUE"""),"10.1111/jcpp.13224")</f>
        <v>10.1111/jcpp.13224</v>
      </c>
      <c r="B846" s="680" t="str">
        <f>IFERROR(__xludf.DUMMYFUNCTION("""COMPUTED_VALUE"""),"https://drive.google.com/file/d/1dn1a4gLg5PLdy712BbJGJhezT0TYMsrc/view?usp=drivesdk")</f>
        <v>https://drive.google.com/file/d/1dn1a4gLg5PLdy712BbJGJhezT0TYMsrc/view?usp=drivesdk</v>
      </c>
      <c r="C846" s="159" t="str">
        <f>IFERROR(__xludf.DUMMYFUNCTION("""COMPUTED_VALUE"""),"10.1111--jcpp.13224.pdf")</f>
        <v>10.1111--jcpp.13224.pdf</v>
      </c>
      <c r="D846" s="159" t="str">
        <f>IFERROR(__xludf.DUMMYFUNCTION("""COMPUTED_VALUE"""),"application/pdf")</f>
        <v>application/pdf</v>
      </c>
    </row>
    <row r="847">
      <c r="A847" s="159" t="str">
        <f>IFERROR(__xludf.DUMMYFUNCTION("""COMPUTED_VALUE"""),"10.1111/j.2044-8295.2012.02107.x")</f>
        <v>10.1111/j.2044-8295.2012.02107.x</v>
      </c>
      <c r="B847" s="680" t="str">
        <f>IFERROR(__xludf.DUMMYFUNCTION("""COMPUTED_VALUE"""),"https://drive.google.com/file/d/1d0J439HUZYCCa5KilnSLacdTm3lD93Si/view?usp=drivesdk")</f>
        <v>https://drive.google.com/file/d/1d0J439HUZYCCa5KilnSLacdTm3lD93Si/view?usp=drivesdk</v>
      </c>
      <c r="C847" s="159" t="str">
        <f>IFERROR(__xludf.DUMMYFUNCTION("""COMPUTED_VALUE"""),"10.1111--j.2044-8295.2012.02107.x.pdf")</f>
        <v>10.1111--j.2044-8295.2012.02107.x.pdf</v>
      </c>
      <c r="D847" s="159" t="str">
        <f>IFERROR(__xludf.DUMMYFUNCTION("""COMPUTED_VALUE"""),"application/pdf")</f>
        <v>application/pdf</v>
      </c>
    </row>
    <row r="848">
      <c r="A848" s="159" t="str">
        <f>IFERROR(__xludf.DUMMYFUNCTION("""COMPUTED_VALUE"""),"10.1111/cdev.12381")</f>
        <v>10.1111/cdev.12381</v>
      </c>
      <c r="B848" s="680" t="str">
        <f>IFERROR(__xludf.DUMMYFUNCTION("""COMPUTED_VALUE"""),"https://drive.google.com/file/d/1gDoDULeuVLOPrKx75VM5XT6J6o-QuO9x/view?usp=drivesdk")</f>
        <v>https://drive.google.com/file/d/1gDoDULeuVLOPrKx75VM5XT6J6o-QuO9x/view?usp=drivesdk</v>
      </c>
      <c r="C848" s="159" t="str">
        <f>IFERROR(__xludf.DUMMYFUNCTION("""COMPUTED_VALUE"""),"10.1111--cdev.12381.pdf")</f>
        <v>10.1111--cdev.12381.pdf</v>
      </c>
      <c r="D848" s="159" t="str">
        <f>IFERROR(__xludf.DUMMYFUNCTION("""COMPUTED_VALUE"""),"application/pdf")</f>
        <v>application/pdf</v>
      </c>
    </row>
    <row r="849">
      <c r="A849" s="159" t="str">
        <f>IFERROR(__xludf.DUMMYFUNCTION("""COMPUTED_VALUE"""),"10.1097/psy.0b013e318227a9bc")</f>
        <v>10.1097/psy.0b013e318227a9bc</v>
      </c>
      <c r="B849" s="680" t="str">
        <f>IFERROR(__xludf.DUMMYFUNCTION("""COMPUTED_VALUE"""),"https://drive.google.com/file/d/1B-klQ6VcjFDo5YSJOyapoB7mniiHyJM-/view?usp=drivesdk")</f>
        <v>https://drive.google.com/file/d/1B-klQ6VcjFDo5YSJOyapoB7mniiHyJM-/view?usp=drivesdk</v>
      </c>
      <c r="C849" s="159" t="str">
        <f>IFERROR(__xludf.DUMMYFUNCTION("""COMPUTED_VALUE"""),"10.1097--PSY.0b013e318227a9bc.pdf")</f>
        <v>10.1097--PSY.0b013e318227a9bc.pdf</v>
      </c>
      <c r="D849" s="159" t="str">
        <f>IFERROR(__xludf.DUMMYFUNCTION("""COMPUTED_VALUE"""),"application/pdf")</f>
        <v>application/pdf</v>
      </c>
    </row>
    <row r="850">
      <c r="A850" s="159" t="str">
        <f>IFERROR(__xludf.DUMMYFUNCTION("""COMPUTED_VALUE"""),"10.1080/17470218.2017.1307427")</f>
        <v>10.1080/17470218.2017.1307427</v>
      </c>
      <c r="B850" s="680" t="str">
        <f>IFERROR(__xludf.DUMMYFUNCTION("""COMPUTED_VALUE"""),"https://drive.google.com/file/d/1BJJnDqtGCA2RwvFM6nYRkjOjGvKuVPie/view?usp=drivesdk")</f>
        <v>https://drive.google.com/file/d/1BJJnDqtGCA2RwvFM6nYRkjOjGvKuVPie/view?usp=drivesdk</v>
      </c>
      <c r="C850" s="159" t="str">
        <f>IFERROR(__xludf.DUMMYFUNCTION("""COMPUTED_VALUE"""),"10.1080--17470218.2017.1307427.pdf")</f>
        <v>10.1080--17470218.2017.1307427.pdf</v>
      </c>
      <c r="D850" s="159" t="str">
        <f>IFERROR(__xludf.DUMMYFUNCTION("""COMPUTED_VALUE"""),"application/pdf")</f>
        <v>application/pdf</v>
      </c>
    </row>
    <row r="851">
      <c r="A851" s="159" t="str">
        <f>IFERROR(__xludf.DUMMYFUNCTION("""COMPUTED_VALUE"""),"10.1111/apps.12176")</f>
        <v>10.1111/apps.12176</v>
      </c>
      <c r="B851" s="680" t="str">
        <f>IFERROR(__xludf.DUMMYFUNCTION("""COMPUTED_VALUE"""),"https://drive.google.com/file/d/1kZIid5fynCnPwgUntQz2bOZyjP3neLUq/view?usp=drivesdk")</f>
        <v>https://drive.google.com/file/d/1kZIid5fynCnPwgUntQz2bOZyjP3neLUq/view?usp=drivesdk</v>
      </c>
      <c r="C851" s="159" t="str">
        <f>IFERROR(__xludf.DUMMYFUNCTION("""COMPUTED_VALUE"""),"10.1111--apps.12176.pdf")</f>
        <v>10.1111--apps.12176.pdf</v>
      </c>
      <c r="D851" s="159" t="str">
        <f>IFERROR(__xludf.DUMMYFUNCTION("""COMPUTED_VALUE"""),"application/pdf")</f>
        <v>application/pdf</v>
      </c>
    </row>
    <row r="852">
      <c r="A852" s="159" t="str">
        <f>IFERROR(__xludf.DUMMYFUNCTION("""COMPUTED_VALUE"""),"10.1080/17470218.2015.1049624")</f>
        <v>10.1080/17470218.2015.1049624</v>
      </c>
      <c r="B852" s="680" t="str">
        <f>IFERROR(__xludf.DUMMYFUNCTION("""COMPUTED_VALUE"""),"https://drive.google.com/file/d/14u7Em6PY2XtQDFetT5115-mZHxqTv21F/view?usp=drivesdk")</f>
        <v>https://drive.google.com/file/d/14u7Em6PY2XtQDFetT5115-mZHxqTv21F/view?usp=drivesdk</v>
      </c>
      <c r="C852" s="159" t="str">
        <f>IFERROR(__xludf.DUMMYFUNCTION("""COMPUTED_VALUE"""),"10.1080--17470218.2015.1049624.pdf")</f>
        <v>10.1080--17470218.2015.1049624.pdf</v>
      </c>
      <c r="D852" s="159" t="str">
        <f>IFERROR(__xludf.DUMMYFUNCTION("""COMPUTED_VALUE"""),"application/pdf")</f>
        <v>application/pdf</v>
      </c>
    </row>
    <row r="853">
      <c r="A853" s="159" t="str">
        <f>IFERROR(__xludf.DUMMYFUNCTION("""COMPUTED_VALUE"""),"10.1080/17470218.2011.582126")</f>
        <v>10.1080/17470218.2011.582126</v>
      </c>
      <c r="B853" s="680" t="str">
        <f>IFERROR(__xludf.DUMMYFUNCTION("""COMPUTED_VALUE"""),"https://drive.google.com/file/d/1IgKtD8jabQllXituIofroEOo9fB9Orqh/view?usp=drivesdk")</f>
        <v>https://drive.google.com/file/d/1IgKtD8jabQllXituIofroEOo9fB9Orqh/view?usp=drivesdk</v>
      </c>
      <c r="C853" s="159" t="str">
        <f>IFERROR(__xludf.DUMMYFUNCTION("""COMPUTED_VALUE"""),"10.1080--17470218.2011.582126.pdf")</f>
        <v>10.1080--17470218.2011.582126.pdf</v>
      </c>
      <c r="D853" s="159" t="str">
        <f>IFERROR(__xludf.DUMMYFUNCTION("""COMPUTED_VALUE"""),"application/pdf")</f>
        <v>application/pdf</v>
      </c>
    </row>
    <row r="854">
      <c r="A854" s="159" t="str">
        <f>IFERROR(__xludf.DUMMYFUNCTION("""COMPUTED_VALUE"""),"10.1080/17470218.2010.533440")</f>
        <v>10.1080/17470218.2010.533440</v>
      </c>
      <c r="B854" s="680" t="str">
        <f>IFERROR(__xludf.DUMMYFUNCTION("""COMPUTED_VALUE"""),"https://drive.google.com/file/d/1aTwCR34zsNrEqVnS5Rpcc2VFXM5ds4FM/view?usp=drivesdk")</f>
        <v>https://drive.google.com/file/d/1aTwCR34zsNrEqVnS5Rpcc2VFXM5ds4FM/view?usp=drivesdk</v>
      </c>
      <c r="C854" s="159" t="str">
        <f>IFERROR(__xludf.DUMMYFUNCTION("""COMPUTED_VALUE"""),"10.1080--17470218.2010.533440.pdf")</f>
        <v>10.1080--17470218.2010.533440.pdf</v>
      </c>
      <c r="D854" s="159" t="str">
        <f>IFERROR(__xludf.DUMMYFUNCTION("""COMPUTED_VALUE"""),"application/pdf")</f>
        <v>application/pdf</v>
      </c>
    </row>
    <row r="855">
      <c r="A855" s="159" t="str">
        <f>IFERROR(__xludf.DUMMYFUNCTION("""COMPUTED_VALUE"""),"10.1080/17439760.2011.570367")</f>
        <v>10.1080/17439760.2011.570367</v>
      </c>
      <c r="B855" s="680" t="str">
        <f>IFERROR(__xludf.DUMMYFUNCTION("""COMPUTED_VALUE"""),"https://drive.google.com/file/d/1omR1E_287y0ccIGES_pkcPdSBWMVOwau/view?usp=drivesdk")</f>
        <v>https://drive.google.com/file/d/1omR1E_287y0ccIGES_pkcPdSBWMVOwau/view?usp=drivesdk</v>
      </c>
      <c r="C855" s="159" t="str">
        <f>IFERROR(__xludf.DUMMYFUNCTION("""COMPUTED_VALUE"""),"10.1080--17439760.2011.570367.pdf")</f>
        <v>10.1080--17439760.2011.570367.pdf</v>
      </c>
      <c r="D855" s="159" t="str">
        <f>IFERROR(__xludf.DUMMYFUNCTION("""COMPUTED_VALUE"""),"application/pdf")</f>
        <v>application/pdf</v>
      </c>
    </row>
    <row r="856">
      <c r="A856" s="159" t="str">
        <f>IFERROR(__xludf.DUMMYFUNCTION("""COMPUTED_VALUE"""),"10.1080/13506285.2012.663416")</f>
        <v>10.1080/13506285.2012.663416</v>
      </c>
      <c r="B856" s="680" t="str">
        <f>IFERROR(__xludf.DUMMYFUNCTION("""COMPUTED_VALUE"""),"https://drive.google.com/file/d/1Z3j-GYmYTaTznFvifGqn7i6RJJ1lfSuV/view?usp=drivesdk")</f>
        <v>https://drive.google.com/file/d/1Z3j-GYmYTaTznFvifGqn7i6RJJ1lfSuV/view?usp=drivesdk</v>
      </c>
      <c r="C856" s="159" t="str">
        <f>IFERROR(__xludf.DUMMYFUNCTION("""COMPUTED_VALUE"""),"10.1080--13506285.2012.663416.pdf")</f>
        <v>10.1080--13506285.2012.663416.pdf</v>
      </c>
      <c r="D856" s="159" t="str">
        <f>IFERROR(__xludf.DUMMYFUNCTION("""COMPUTED_VALUE"""),"application/pdf")</f>
        <v>application/pdf</v>
      </c>
    </row>
    <row r="857">
      <c r="A857" s="159" t="str">
        <f>IFERROR(__xludf.DUMMYFUNCTION("""COMPUTED_VALUE"""),"10.1080/1357650x.2010.506690")</f>
        <v>10.1080/1357650x.2010.506690</v>
      </c>
      <c r="B857" s="680" t="str">
        <f>IFERROR(__xludf.DUMMYFUNCTION("""COMPUTED_VALUE"""),"https://drive.google.com/file/d/1fCISpYasktPoFRN0Myss5J4MijpvlwTW/view?usp=drivesdk")</f>
        <v>https://drive.google.com/file/d/1fCISpYasktPoFRN0Myss5J4MijpvlwTW/view?usp=drivesdk</v>
      </c>
      <c r="C857" s="159" t="str">
        <f>IFERROR(__xludf.DUMMYFUNCTION("""COMPUTED_VALUE"""),"10.1080--1357650X.2010.506690.pdf")</f>
        <v>10.1080--1357650X.2010.506690.pdf</v>
      </c>
      <c r="D857" s="159" t="str">
        <f>IFERROR(__xludf.DUMMYFUNCTION("""COMPUTED_VALUE"""),"application/pdf")</f>
        <v>application/pdf</v>
      </c>
    </row>
    <row r="858">
      <c r="A858" s="159" t="str">
        <f>IFERROR(__xludf.DUMMYFUNCTION("""COMPUTED_VALUE"""),"10.1080/15298868.2018.1465846")</f>
        <v>10.1080/15298868.2018.1465846</v>
      </c>
      <c r="B858" s="680" t="str">
        <f>IFERROR(__xludf.DUMMYFUNCTION("""COMPUTED_VALUE"""),"https://drive.google.com/file/d/1jqQLxaW0DJnb5Ilyxo3zqAwagggjh2pL/view?usp=drivesdk")</f>
        <v>https://drive.google.com/file/d/1jqQLxaW0DJnb5Ilyxo3zqAwagggjh2pL/view?usp=drivesdk</v>
      </c>
      <c r="C858" s="159" t="str">
        <f>IFERROR(__xludf.DUMMYFUNCTION("""COMPUTED_VALUE"""),"10.1080--15298868.2018.1465846.pdf")</f>
        <v>10.1080--15298868.2018.1465846.pdf</v>
      </c>
      <c r="D858" s="159" t="str">
        <f>IFERROR(__xludf.DUMMYFUNCTION("""COMPUTED_VALUE"""),"application/pdf")</f>
        <v>application/pdf</v>
      </c>
    </row>
    <row r="859">
      <c r="A859" s="159" t="str">
        <f>IFERROR(__xludf.DUMMYFUNCTION("""COMPUTED_VALUE"""),"10.1080/0163853x.2018.1515556")</f>
        <v>10.1080/0163853x.2018.1515556</v>
      </c>
      <c r="B859" s="680" t="str">
        <f>IFERROR(__xludf.DUMMYFUNCTION("""COMPUTED_VALUE"""),"https://drive.google.com/file/d/1UGC3b7krG3oJ8u8s822kpJoBygN9UGhC/view?usp=drivesdk")</f>
        <v>https://drive.google.com/file/d/1UGC3b7krG3oJ8u8s822kpJoBygN9UGhC/view?usp=drivesdk</v>
      </c>
      <c r="C859" s="159" t="str">
        <f>IFERROR(__xludf.DUMMYFUNCTION("""COMPUTED_VALUE"""),"10.1080--0163853X.2018.1515556.pdf")</f>
        <v>10.1080--0163853X.2018.1515556.pdf</v>
      </c>
      <c r="D859" s="159" t="str">
        <f>IFERROR(__xludf.DUMMYFUNCTION("""COMPUTED_VALUE"""),"application/pdf")</f>
        <v>application/pdf</v>
      </c>
    </row>
    <row r="860">
      <c r="A860" s="159" t="str">
        <f>IFERROR(__xludf.DUMMYFUNCTION("""COMPUTED_VALUE"""),"10.1080/00224545.2018.1491470")</f>
        <v>10.1080/00224545.2018.1491470</v>
      </c>
      <c r="B860" s="680" t="str">
        <f>IFERROR(__xludf.DUMMYFUNCTION("""COMPUTED_VALUE"""),"https://drive.google.com/file/d/1hMvLSTpx8nWLZWeysIdJuwN0X9hkRuiz/view?usp=drivesdk")</f>
        <v>https://drive.google.com/file/d/1hMvLSTpx8nWLZWeysIdJuwN0X9hkRuiz/view?usp=drivesdk</v>
      </c>
      <c r="C860" s="159" t="str">
        <f>IFERROR(__xludf.DUMMYFUNCTION("""COMPUTED_VALUE"""),"10.1080--00224545.2018.1491470.pdf")</f>
        <v>10.1080--00224545.2018.1491470.pdf</v>
      </c>
      <c r="D860" s="159" t="str">
        <f>IFERROR(__xludf.DUMMYFUNCTION("""COMPUTED_VALUE"""),"application/pdf")</f>
        <v>application/pdf</v>
      </c>
    </row>
    <row r="861">
      <c r="A861" s="159" t="str">
        <f>IFERROR(__xludf.DUMMYFUNCTION("""COMPUTED_VALUE"""),"10.1080/09658211.2019.1661494")</f>
        <v>10.1080/09658211.2019.1661494</v>
      </c>
      <c r="B861" s="680" t="str">
        <f>IFERROR(__xludf.DUMMYFUNCTION("""COMPUTED_VALUE"""),"https://drive.google.com/file/d/1pjbdT8T05B8fcfdSmmw3QKOoALt3a8U3/view?usp=drivesdk")</f>
        <v>https://drive.google.com/file/d/1pjbdT8T05B8fcfdSmmw3QKOoALt3a8U3/view?usp=drivesdk</v>
      </c>
      <c r="C861" s="159" t="str">
        <f>IFERROR(__xludf.DUMMYFUNCTION("""COMPUTED_VALUE"""),"10.1080--09658211.2019.1661494.pdf")</f>
        <v>10.1080--09658211.2019.1661494.pdf</v>
      </c>
      <c r="D861" s="159" t="str">
        <f>IFERROR(__xludf.DUMMYFUNCTION("""COMPUTED_VALUE"""),"application/pdf")</f>
        <v>application/pdf</v>
      </c>
    </row>
    <row r="862">
      <c r="A862" s="159" t="str">
        <f>IFERROR(__xludf.DUMMYFUNCTION("""COMPUTED_VALUE"""),"10.1037/a0039508")</f>
        <v>10.1037/a0039508</v>
      </c>
      <c r="B862" s="680" t="str">
        <f>IFERROR(__xludf.DUMMYFUNCTION("""COMPUTED_VALUE"""),"https://drive.google.com/file/d/1GRTqbCWAEBCV2QfRHU13UrkkwGZPmzAG/view?usp=drivesdk")</f>
        <v>https://drive.google.com/file/d/1GRTqbCWAEBCV2QfRHU13UrkkwGZPmzAG/view?usp=drivesdk</v>
      </c>
      <c r="C862" s="159" t="str">
        <f>IFERROR(__xludf.DUMMYFUNCTION("""COMPUTED_VALUE"""),"10.1037--a0039508.pdf")</f>
        <v>10.1037--a0039508.pdf</v>
      </c>
      <c r="D862" s="159" t="str">
        <f>IFERROR(__xludf.DUMMYFUNCTION("""COMPUTED_VALUE"""),"application/pdf")</f>
        <v>application/pdf</v>
      </c>
    </row>
    <row r="863">
      <c r="A863" s="159" t="str">
        <f>IFERROR(__xludf.DUMMYFUNCTION("""COMPUTED_VALUE"""),"10.1037/a0028585")</f>
        <v>10.1037/a0028585</v>
      </c>
      <c r="B863" s="680" t="str">
        <f>IFERROR(__xludf.DUMMYFUNCTION("""COMPUTED_VALUE"""),"https://drive.google.com/file/d/1b_OxExSYYVolsLS5Yqo5u_ej_T6vY1eh/view?usp=drivesdk")</f>
        <v>https://drive.google.com/file/d/1b_OxExSYYVolsLS5Yqo5u_ej_T6vY1eh/view?usp=drivesdk</v>
      </c>
      <c r="C863" s="159" t="str">
        <f>IFERROR(__xludf.DUMMYFUNCTION("""COMPUTED_VALUE"""),"10.1037--a0028585.pdf")</f>
        <v>10.1037--a0028585.pdf</v>
      </c>
      <c r="D863" s="159" t="str">
        <f>IFERROR(__xludf.DUMMYFUNCTION("""COMPUTED_VALUE"""),"application/pdf")</f>
        <v>application/pdf</v>
      </c>
    </row>
    <row r="864">
      <c r="A864" s="159" t="str">
        <f>IFERROR(__xludf.DUMMYFUNCTION("""COMPUTED_VALUE"""),"10.1037/a0027210")</f>
        <v>10.1037/a0027210</v>
      </c>
      <c r="B864" s="680" t="str">
        <f>IFERROR(__xludf.DUMMYFUNCTION("""COMPUTED_VALUE"""),"https://drive.google.com/file/d/169Td0Bt44wDGjDK_tDhgAEVPDzq0e4Q0/view?usp=drivesdk")</f>
        <v>https://drive.google.com/file/d/169Td0Bt44wDGjDK_tDhgAEVPDzq0e4Q0/view?usp=drivesdk</v>
      </c>
      <c r="C864" s="159" t="str">
        <f>IFERROR(__xludf.DUMMYFUNCTION("""COMPUTED_VALUE"""),"10.1037--a0027210.pdf")</f>
        <v>10.1037--a0027210.pdf</v>
      </c>
      <c r="D864" s="159" t="str">
        <f>IFERROR(__xludf.DUMMYFUNCTION("""COMPUTED_VALUE"""),"application/pdf")</f>
        <v>application/pdf</v>
      </c>
    </row>
    <row r="865">
      <c r="A865" s="159" t="str">
        <f>IFERROR(__xludf.DUMMYFUNCTION("""COMPUTED_VALUE"""),"10.1017/sjp.2016.81")</f>
        <v>10.1017/sjp.2016.81</v>
      </c>
      <c r="B865" s="680" t="str">
        <f>IFERROR(__xludf.DUMMYFUNCTION("""COMPUTED_VALUE"""),"https://drive.google.com/file/d/1YtEOvcyALNN7Ic8BmqCXlWtWsWTo9fEx/view?usp=drivesdk")</f>
        <v>https://drive.google.com/file/d/1YtEOvcyALNN7Ic8BmqCXlWtWsWTo9fEx/view?usp=drivesdk</v>
      </c>
      <c r="C865" s="159" t="str">
        <f>IFERROR(__xludf.DUMMYFUNCTION("""COMPUTED_VALUE"""),"10.1017--sjp.2016.81.pdf")</f>
        <v>10.1017--sjp.2016.81.pdf</v>
      </c>
      <c r="D865" s="159" t="str">
        <f>IFERROR(__xludf.DUMMYFUNCTION("""COMPUTED_VALUE"""),"application/pdf")</f>
        <v>application/pdf</v>
      </c>
    </row>
    <row r="866">
      <c r="A866" s="159" t="str">
        <f>IFERROR(__xludf.DUMMYFUNCTION("""COMPUTED_VALUE"""),"10.1017/s0033291714002359")</f>
        <v>10.1017/s0033291714002359</v>
      </c>
      <c r="B866" s="680" t="str">
        <f>IFERROR(__xludf.DUMMYFUNCTION("""COMPUTED_VALUE"""),"https://drive.google.com/file/d/1m41Y5bRbRKdsEa0ih_pOIVBMGSOx1a50/view?usp=drivesdk")</f>
        <v>https://drive.google.com/file/d/1m41Y5bRbRKdsEa0ih_pOIVBMGSOx1a50/view?usp=drivesdk</v>
      </c>
      <c r="C866" s="159" t="str">
        <f>IFERROR(__xludf.DUMMYFUNCTION("""COMPUTED_VALUE"""),"10.1017--S0033291714002359.pdf")</f>
        <v>10.1017--S0033291714002359.pdf</v>
      </c>
      <c r="D866" s="159" t="str">
        <f>IFERROR(__xludf.DUMMYFUNCTION("""COMPUTED_VALUE"""),"application/pdf")</f>
        <v>application/pdf</v>
      </c>
    </row>
    <row r="867">
      <c r="A867" s="159" t="str">
        <f>IFERROR(__xludf.DUMMYFUNCTION("""COMPUTED_VALUE"""),"10.1016/j.visres.2020.04.011")</f>
        <v>10.1016/j.visres.2020.04.011</v>
      </c>
      <c r="B867" s="680" t="str">
        <f>IFERROR(__xludf.DUMMYFUNCTION("""COMPUTED_VALUE"""),"https://drive.google.com/file/d/1qimrxh5RX2KBUiWE73XYLKpOASqxDvje/view?usp=drivesdk")</f>
        <v>https://drive.google.com/file/d/1qimrxh5RX2KBUiWE73XYLKpOASqxDvje/view?usp=drivesdk</v>
      </c>
      <c r="C867" s="159" t="str">
        <f>IFERROR(__xludf.DUMMYFUNCTION("""COMPUTED_VALUE"""),"10.1016--j.visres.2020.04.011.pdf")</f>
        <v>10.1016--j.visres.2020.04.011.pdf</v>
      </c>
      <c r="D867" s="159" t="str">
        <f>IFERROR(__xludf.DUMMYFUNCTION("""COMPUTED_VALUE"""),"application/pdf")</f>
        <v>application/pdf</v>
      </c>
    </row>
    <row r="868">
      <c r="A868" s="159" t="str">
        <f>IFERROR(__xludf.DUMMYFUNCTION("""COMPUTED_VALUE"""),"10.1016/j.jecp.2020.104841")</f>
        <v>10.1016/j.jecp.2020.104841</v>
      </c>
      <c r="B868" s="680" t="str">
        <f>IFERROR(__xludf.DUMMYFUNCTION("""COMPUTED_VALUE"""),"https://drive.google.com/file/d/1HAngOCE4WSvbqx5DD0Lqg7L3PnH2Gb09/view?usp=drivesdk")</f>
        <v>https://drive.google.com/file/d/1HAngOCE4WSvbqx5DD0Lqg7L3PnH2Gb09/view?usp=drivesdk</v>
      </c>
      <c r="C868" s="159" t="str">
        <f>IFERROR(__xludf.DUMMYFUNCTION("""COMPUTED_VALUE"""),"10.1016--j.jecp.2020.104841.pdf")</f>
        <v>10.1016--j.jecp.2020.104841.pdf</v>
      </c>
      <c r="D868" s="159" t="str">
        <f>IFERROR(__xludf.DUMMYFUNCTION("""COMPUTED_VALUE"""),"application/pdf")</f>
        <v>application/pdf</v>
      </c>
    </row>
    <row r="869">
      <c r="A869" s="159" t="str">
        <f>IFERROR(__xludf.DUMMYFUNCTION("""COMPUTED_VALUE"""),"10.1016/j.jml.2015.05.003")</f>
        <v>10.1016/j.jml.2015.05.003</v>
      </c>
      <c r="B869" s="680" t="str">
        <f>IFERROR(__xludf.DUMMYFUNCTION("""COMPUTED_VALUE"""),"https://drive.google.com/file/d/1K38objbDYZJKUFI_vcMUgt0u-BJM-8lV/view?usp=drivesdk")</f>
        <v>https://drive.google.com/file/d/1K38objbDYZJKUFI_vcMUgt0u-BJM-8lV/view?usp=drivesdk</v>
      </c>
      <c r="C869" s="159" t="str">
        <f>IFERROR(__xludf.DUMMYFUNCTION("""COMPUTED_VALUE"""),"10.1016--j.jml.2015.05.003.pdf")</f>
        <v>10.1016--j.jml.2015.05.003.pdf</v>
      </c>
      <c r="D869" s="159" t="str">
        <f>IFERROR(__xludf.DUMMYFUNCTION("""COMPUTED_VALUE"""),"application/pdf")</f>
        <v>application/pdf</v>
      </c>
    </row>
    <row r="870">
      <c r="A870" s="159" t="str">
        <f>IFERROR(__xludf.DUMMYFUNCTION("""COMPUTED_VALUE"""),"10.1016/j.lindif.2014.11.026")</f>
        <v>10.1016/j.lindif.2014.11.026</v>
      </c>
      <c r="B870" s="680" t="str">
        <f>IFERROR(__xludf.DUMMYFUNCTION("""COMPUTED_VALUE"""),"https://drive.google.com/file/d/1nyrPYEAEmOV0l8BBZ-TwjZscIO47pCqu/view?usp=drivesdk")</f>
        <v>https://drive.google.com/file/d/1nyrPYEAEmOV0l8BBZ-TwjZscIO47pCqu/view?usp=drivesdk</v>
      </c>
      <c r="C870" s="159" t="str">
        <f>IFERROR(__xludf.DUMMYFUNCTION("""COMPUTED_VALUE"""),"10.1016--j.lindif.2014.11.026.pdf")</f>
        <v>10.1016--j.lindif.2014.11.026.pdf</v>
      </c>
      <c r="D870" s="159" t="str">
        <f>IFERROR(__xludf.DUMMYFUNCTION("""COMPUTED_VALUE"""),"application/pdf")</f>
        <v>application/pdf</v>
      </c>
    </row>
    <row r="871">
      <c r="A871" s="159" t="str">
        <f>IFERROR(__xludf.DUMMYFUNCTION("""COMPUTED_VALUE"""),"10.1016/j.jecp.2017.02.010")</f>
        <v>10.1016/j.jecp.2017.02.010</v>
      </c>
      <c r="B871" s="680" t="str">
        <f>IFERROR(__xludf.DUMMYFUNCTION("""COMPUTED_VALUE"""),"https://drive.google.com/file/d/17gn-vcqDbhUFsbNZTF0tOFBHOJmDDGJv/view?usp=drivesdk")</f>
        <v>https://drive.google.com/file/d/17gn-vcqDbhUFsbNZTF0tOFBHOJmDDGJv/view?usp=drivesdk</v>
      </c>
      <c r="C871" s="159" t="str">
        <f>IFERROR(__xludf.DUMMYFUNCTION("""COMPUTED_VALUE"""),"10.1016--j.jecp.2017.02.010.pdf")</f>
        <v>10.1016--j.jecp.2017.02.010.pdf</v>
      </c>
      <c r="D871" s="159" t="str">
        <f>IFERROR(__xludf.DUMMYFUNCTION("""COMPUTED_VALUE"""),"application/pdf")</f>
        <v>application/pdf</v>
      </c>
    </row>
    <row r="872">
      <c r="A872" s="159" t="str">
        <f>IFERROR(__xludf.DUMMYFUNCTION("""COMPUTED_VALUE"""),"10.1016/j.jecp.2015.01.015")</f>
        <v>10.1016/j.jecp.2015.01.015</v>
      </c>
      <c r="B872" s="680" t="str">
        <f>IFERROR(__xludf.DUMMYFUNCTION("""COMPUTED_VALUE"""),"https://drive.google.com/file/d/1RypXVnQqW3pRLSNY4ebD5lNE_Zztv4Qi/view?usp=drivesdk")</f>
        <v>https://drive.google.com/file/d/1RypXVnQqW3pRLSNY4ebD5lNE_Zztv4Qi/view?usp=drivesdk</v>
      </c>
      <c r="C872" s="159" t="str">
        <f>IFERROR(__xludf.DUMMYFUNCTION("""COMPUTED_VALUE"""),"10.1016--j.jecp.2015.01.015.pdf")</f>
        <v>10.1016--j.jecp.2015.01.015.pdf</v>
      </c>
      <c r="D872" s="159" t="str">
        <f>IFERROR(__xludf.DUMMYFUNCTION("""COMPUTED_VALUE"""),"application/pdf")</f>
        <v>application/pdf</v>
      </c>
    </row>
    <row r="873">
      <c r="A873" s="159" t="str">
        <f>IFERROR(__xludf.DUMMYFUNCTION("""COMPUTED_VALUE"""),"10.1016/j.jecp.2011.10.007")</f>
        <v>10.1016/j.jecp.2011.10.007</v>
      </c>
      <c r="B873" s="680" t="str">
        <f>IFERROR(__xludf.DUMMYFUNCTION("""COMPUTED_VALUE"""),"https://drive.google.com/file/d/1nchNDy-IQ-ZK5BBUQFkc8o7NlheQuY9g/view?usp=drivesdk")</f>
        <v>https://drive.google.com/file/d/1nchNDy-IQ-ZK5BBUQFkc8o7NlheQuY9g/view?usp=drivesdk</v>
      </c>
      <c r="C873" s="159" t="str">
        <f>IFERROR(__xludf.DUMMYFUNCTION("""COMPUTED_VALUE"""),"10.1016--j.jecp.2011.10.007.pdf")</f>
        <v>10.1016--j.jecp.2011.10.007.pdf</v>
      </c>
      <c r="D873" s="159" t="str">
        <f>IFERROR(__xludf.DUMMYFUNCTION("""COMPUTED_VALUE"""),"application/pdf")</f>
        <v>application/pdf</v>
      </c>
    </row>
    <row r="874">
      <c r="A874" s="159" t="str">
        <f>IFERROR(__xludf.DUMMYFUNCTION("""COMPUTED_VALUE"""),"10.1016/j.cognition.2014.07.002")</f>
        <v>10.1016/j.cognition.2014.07.002</v>
      </c>
      <c r="B874" s="680" t="str">
        <f>IFERROR(__xludf.DUMMYFUNCTION("""COMPUTED_VALUE"""),"https://drive.google.com/file/d/1H_h0BB3KtaOPeHAYT11_e1uwW5wNfgZ8/view?usp=drivesdk")</f>
        <v>https://drive.google.com/file/d/1H_h0BB3KtaOPeHAYT11_e1uwW5wNfgZ8/view?usp=drivesdk</v>
      </c>
      <c r="C874" s="159" t="str">
        <f>IFERROR(__xludf.DUMMYFUNCTION("""COMPUTED_VALUE"""),"10.1016--j.cognition.2014.07.002.pdf")</f>
        <v>10.1016--j.cognition.2014.07.002.pdf</v>
      </c>
      <c r="D874" s="159" t="str">
        <f>IFERROR(__xludf.DUMMYFUNCTION("""COMPUTED_VALUE"""),"application/pdf")</f>
        <v>application/pdf</v>
      </c>
    </row>
    <row r="875">
      <c r="A875" s="159" t="str">
        <f>IFERROR(__xludf.DUMMYFUNCTION("""COMPUTED_VALUE"""),"10.3389/fpsyg.2014.00875")</f>
        <v>10.3389/fpsyg.2014.00875</v>
      </c>
      <c r="B875" s="680" t="str">
        <f>IFERROR(__xludf.DUMMYFUNCTION("""COMPUTED_VALUE"""),"https://drive.google.com/file/d/1sZVg5bDmS-U_sBg8ykLltDjaMY4kIFwz/view?usp=drivesdk")</f>
        <v>https://drive.google.com/file/d/1sZVg5bDmS-U_sBg8ykLltDjaMY4kIFwz/view?usp=drivesdk</v>
      </c>
      <c r="C875" s="159" t="str">
        <f>IFERROR(__xludf.DUMMYFUNCTION("""COMPUTED_VALUE"""),"10.3389--fpsyg.2014.00875.pdf")</f>
        <v>10.3389--fpsyg.2014.00875.pdf</v>
      </c>
      <c r="D875" s="159" t="str">
        <f>IFERROR(__xludf.DUMMYFUNCTION("""COMPUTED_VALUE"""),"application/pdf")</f>
        <v>application/pdf</v>
      </c>
    </row>
    <row r="876">
      <c r="A876" s="159" t="str">
        <f>IFERROR(__xludf.DUMMYFUNCTION("""COMPUTED_VALUE"""),"10.1002/bdm.2149")</f>
        <v>10.1002/bdm.2149</v>
      </c>
      <c r="B876" s="680" t="str">
        <f>IFERROR(__xludf.DUMMYFUNCTION("""COMPUTED_VALUE"""),"https://drive.google.com/file/d/1u9U_3wFQZTo72O0qCGz8MT2oRO7HpyxX/view?usp=drivesdk")</f>
        <v>https://drive.google.com/file/d/1u9U_3wFQZTo72O0qCGz8MT2oRO7HpyxX/view?usp=drivesdk</v>
      </c>
      <c r="C876" s="159" t="str">
        <f>IFERROR(__xludf.DUMMYFUNCTION("""COMPUTED_VALUE"""),"10.1002--bdm.2149.pdf")</f>
        <v>10.1002--bdm.2149.pdf</v>
      </c>
      <c r="D876" s="159" t="str">
        <f>IFERROR(__xludf.DUMMYFUNCTION("""COMPUTED_VALUE"""),"application/pdf")</f>
        <v>application/pdf</v>
      </c>
    </row>
    <row r="877">
      <c r="A877" s="159" t="str">
        <f>IFERROR(__xludf.DUMMYFUNCTION("""COMPUTED_VALUE"""),"10.1177/0748175614522268")</f>
        <v>10.1177/0748175614522268</v>
      </c>
      <c r="B877" s="680" t="str">
        <f>IFERROR(__xludf.DUMMYFUNCTION("""COMPUTED_VALUE"""),"https://drive.google.com/file/d/1tZsSYNtItNyVWS0GzUOR8pz9_K6HDsaE/view?usp=drivesdk")</f>
        <v>https://drive.google.com/file/d/1tZsSYNtItNyVWS0GzUOR8pz9_K6HDsaE/view?usp=drivesdk</v>
      </c>
      <c r="C877" s="159" t="str">
        <f>IFERROR(__xludf.DUMMYFUNCTION("""COMPUTED_VALUE"""),"10.1177--0748175614522268.pdf")</f>
        <v>10.1177--0748175614522268.pdf</v>
      </c>
      <c r="D877" s="159" t="str">
        <f>IFERROR(__xludf.DUMMYFUNCTION("""COMPUTED_VALUE"""),"application/pdf")</f>
        <v>application/pdf</v>
      </c>
    </row>
    <row r="878">
      <c r="A878" s="159" t="str">
        <f>IFERROR(__xludf.DUMMYFUNCTION("""COMPUTED_VALUE"""),"10.1037/a0027965")</f>
        <v>10.1037/a0027965</v>
      </c>
      <c r="B878" s="680" t="str">
        <f>IFERROR(__xludf.DUMMYFUNCTION("""COMPUTED_VALUE"""),"https://drive.google.com/file/d/1TCvzGX_QjTDawYGcwuyL1guQ97gyDqDK/view?usp=drivesdk")</f>
        <v>https://drive.google.com/file/d/1TCvzGX_QjTDawYGcwuyL1guQ97gyDqDK/view?usp=drivesdk</v>
      </c>
      <c r="C878" s="159" t="str">
        <f>IFERROR(__xludf.DUMMYFUNCTION("""COMPUTED_VALUE"""),"10.1037--a0027965.pdf")</f>
        <v>10.1037--a0027965.pdf</v>
      </c>
      <c r="D878" s="159" t="str">
        <f>IFERROR(__xludf.DUMMYFUNCTION("""COMPUTED_VALUE"""),"application/pdf")</f>
        <v>application/pdf</v>
      </c>
    </row>
    <row r="879">
      <c r="A879" s="159" t="str">
        <f>IFERROR(__xludf.DUMMYFUNCTION("""COMPUTED_VALUE"""),"10.1007/s12310-016-9205-0")</f>
        <v>10.1007/s12310-016-9205-0</v>
      </c>
      <c r="B879" s="680" t="str">
        <f>IFERROR(__xludf.DUMMYFUNCTION("""COMPUTED_VALUE"""),"https://drive.google.com/file/d/1kYtmHv99YL8-QMGH8Bs0TfxUkoSjE305/view?usp=drivesdk")</f>
        <v>https://drive.google.com/file/d/1kYtmHv99YL8-QMGH8Bs0TfxUkoSjE305/view?usp=drivesdk</v>
      </c>
      <c r="C879" s="159" t="str">
        <f>IFERROR(__xludf.DUMMYFUNCTION("""COMPUTED_VALUE"""),"10.1007--s12310-016-9205-0.pdf")</f>
        <v>10.1007--s12310-016-9205-0.pdf</v>
      </c>
      <c r="D879" s="159" t="str">
        <f>IFERROR(__xludf.DUMMYFUNCTION("""COMPUTED_VALUE"""),"application/pdf")</f>
        <v>application/pdf</v>
      </c>
    </row>
    <row r="880">
      <c r="A880" s="159" t="str">
        <f>IFERROR(__xludf.DUMMYFUNCTION("""COMPUTED_VALUE"""),"10.1002/da.21946")</f>
        <v>10.1002/da.21946</v>
      </c>
      <c r="B880" s="680" t="str">
        <f>IFERROR(__xludf.DUMMYFUNCTION("""COMPUTED_VALUE"""),"https://drive.google.com/file/d/1DGNX57WrXHNmnuB7Kj7_IVzs3mhivTqV/view?usp=drivesdk")</f>
        <v>https://drive.google.com/file/d/1DGNX57WrXHNmnuB7Kj7_IVzs3mhivTqV/view?usp=drivesdk</v>
      </c>
      <c r="C880" s="159" t="str">
        <f>IFERROR(__xludf.DUMMYFUNCTION("""COMPUTED_VALUE"""),"10.1002--da.21946.pdf")</f>
        <v>10.1002--da.21946.pdf</v>
      </c>
      <c r="D880" s="159" t="str">
        <f>IFERROR(__xludf.DUMMYFUNCTION("""COMPUTED_VALUE"""),"application/pdf")</f>
        <v>application/pdf</v>
      </c>
    </row>
    <row r="881">
      <c r="A881" s="159" t="str">
        <f>IFERROR(__xludf.DUMMYFUNCTION("""COMPUTED_VALUE"""),"10.1002/bin.1707")</f>
        <v>10.1002/bin.1707</v>
      </c>
      <c r="B881" s="680" t="str">
        <f>IFERROR(__xludf.DUMMYFUNCTION("""COMPUTED_VALUE"""),"https://drive.google.com/file/d/1pYSMRfkiWxfvT3vwpJ2NpW6jjkIHGvcA/view?usp=drivesdk")</f>
        <v>https://drive.google.com/file/d/1pYSMRfkiWxfvT3vwpJ2NpW6jjkIHGvcA/view?usp=drivesdk</v>
      </c>
      <c r="C881" s="159" t="str">
        <f>IFERROR(__xludf.DUMMYFUNCTION("""COMPUTED_VALUE"""),"10.1002--bin.1707.pdf")</f>
        <v>10.1002--bin.1707.pdf</v>
      </c>
      <c r="D881" s="159" t="str">
        <f>IFERROR(__xludf.DUMMYFUNCTION("""COMPUTED_VALUE"""),"application/pdf")</f>
        <v>application/pdf</v>
      </c>
    </row>
    <row r="882">
      <c r="A882" s="159" t="str">
        <f>IFERROR(__xludf.DUMMYFUNCTION("""COMPUTED_VALUE"""),"10.1016/j.concog.2015.07.003")</f>
        <v>10.1016/j.concog.2015.07.003</v>
      </c>
      <c r="B882" s="680" t="str">
        <f>IFERROR(__xludf.DUMMYFUNCTION("""COMPUTED_VALUE"""),"https://drive.google.com/file/d/1N0YzCVxYTyKgh2PiwI2otcSjy-8S615o/view?usp=drivesdk")</f>
        <v>https://drive.google.com/file/d/1N0YzCVxYTyKgh2PiwI2otcSjy-8S615o/view?usp=drivesdk</v>
      </c>
      <c r="C882" s="159" t="str">
        <f>IFERROR(__xludf.DUMMYFUNCTION("""COMPUTED_VALUE"""),"10.1016--j.concog.2015.07.003.pdf")</f>
        <v>10.1016--j.concog.2015.07.003.pdf</v>
      </c>
      <c r="D882" s="159" t="str">
        <f>IFERROR(__xludf.DUMMYFUNCTION("""COMPUTED_VALUE"""),"application/pdf")</f>
        <v>application/pdf</v>
      </c>
    </row>
    <row r="883">
      <c r="A883" s="159" t="str">
        <f>IFERROR(__xludf.DUMMYFUNCTION("""COMPUTED_VALUE"""),"10.1002/casp.2412")</f>
        <v>10.1002/casp.2412</v>
      </c>
      <c r="B883" s="680" t="str">
        <f>IFERROR(__xludf.DUMMYFUNCTION("""COMPUTED_VALUE"""),"https://drive.google.com/file/d/1rDpeTmFeblvvCYONCJJEj-DVK7SMA0iz/view?usp=drivesdk")</f>
        <v>https://drive.google.com/file/d/1rDpeTmFeblvvCYONCJJEj-DVK7SMA0iz/view?usp=drivesdk</v>
      </c>
      <c r="C883" s="159" t="str">
        <f>IFERROR(__xludf.DUMMYFUNCTION("""COMPUTED_VALUE"""),"10.1002--casp.2412.pdf")</f>
        <v>10.1002--casp.2412.pdf</v>
      </c>
      <c r="D883" s="159" t="str">
        <f>IFERROR(__xludf.DUMMYFUNCTION("""COMPUTED_VALUE"""),"application/pdf")</f>
        <v>application/pdf</v>
      </c>
    </row>
    <row r="884">
      <c r="A884" s="159" t="str">
        <f>IFERROR(__xludf.DUMMYFUNCTION("""COMPUTED_VALUE"""),"10.3389/fpsyg.2019.01095")</f>
        <v>10.3389/fpsyg.2019.01095</v>
      </c>
      <c r="B884" s="680" t="str">
        <f>IFERROR(__xludf.DUMMYFUNCTION("""COMPUTED_VALUE"""),"https://drive.google.com/file/d/1B8hhxVlq7cnNDBLJ9shwPam-B15NJmeg/view?usp=drivesdk")</f>
        <v>https://drive.google.com/file/d/1B8hhxVlq7cnNDBLJ9shwPam-B15NJmeg/view?usp=drivesdk</v>
      </c>
      <c r="C884" s="159" t="str">
        <f>IFERROR(__xludf.DUMMYFUNCTION("""COMPUTED_VALUE"""),"10.3389--fpsyg.2019.01095.pdf")</f>
        <v>10.3389--fpsyg.2019.01095.pdf</v>
      </c>
      <c r="D884" s="159" t="str">
        <f>IFERROR(__xludf.DUMMYFUNCTION("""COMPUTED_VALUE"""),"application/pdf")</f>
        <v>application/pdf</v>
      </c>
    </row>
    <row r="885">
      <c r="A885" s="159" t="str">
        <f>IFERROR(__xludf.DUMMYFUNCTION("""COMPUTED_VALUE"""),"10.3389/fpsyg.2017.00971")</f>
        <v>10.3389/fpsyg.2017.00971</v>
      </c>
      <c r="B885" s="680" t="str">
        <f>IFERROR(__xludf.DUMMYFUNCTION("""COMPUTED_VALUE"""),"https://drive.google.com/file/d/1czfjL33TgYf4q2u9VCi5Xq7X99EOUVWb/view?usp=drivesdk")</f>
        <v>https://drive.google.com/file/d/1czfjL33TgYf4q2u9VCi5Xq7X99EOUVWb/view?usp=drivesdk</v>
      </c>
      <c r="C885" s="159" t="str">
        <f>IFERROR(__xludf.DUMMYFUNCTION("""COMPUTED_VALUE"""),"10.3389--fpsyg.2017.00971.pdf")</f>
        <v>10.3389--fpsyg.2017.00971.pdf</v>
      </c>
      <c r="D885" s="159" t="str">
        <f>IFERROR(__xludf.DUMMYFUNCTION("""COMPUTED_VALUE"""),"application/pdf")</f>
        <v>application/pdf</v>
      </c>
    </row>
    <row r="886">
      <c r="A886" s="159" t="str">
        <f>IFERROR(__xludf.DUMMYFUNCTION("""COMPUTED_VALUE"""),"10.3389/fpsyg.2015.01337")</f>
        <v>10.3389/fpsyg.2015.01337</v>
      </c>
      <c r="B886" s="680" t="str">
        <f>IFERROR(__xludf.DUMMYFUNCTION("""COMPUTED_VALUE"""),"https://drive.google.com/file/d/1yR9cZml3hQ6T4MOjIUa34kloKZbkx3-C/view?usp=drivesdk")</f>
        <v>https://drive.google.com/file/d/1yR9cZml3hQ6T4MOjIUa34kloKZbkx3-C/view?usp=drivesdk</v>
      </c>
      <c r="C886" s="159" t="str">
        <f>IFERROR(__xludf.DUMMYFUNCTION("""COMPUTED_VALUE"""),"10.3389--fpsyg.2015.01337.pdf")</f>
        <v>10.3389--fpsyg.2015.01337.pdf</v>
      </c>
      <c r="D886" s="159" t="str">
        <f>IFERROR(__xludf.DUMMYFUNCTION("""COMPUTED_VALUE"""),"application/pdf")</f>
        <v>application/pdf</v>
      </c>
    </row>
    <row r="887">
      <c r="A887" s="159" t="str">
        <f>IFERROR(__xludf.DUMMYFUNCTION("""COMPUTED_VALUE"""),"10.3389/fpsyg.2014.01555")</f>
        <v>10.3389/fpsyg.2014.01555</v>
      </c>
      <c r="B887" s="680" t="str">
        <f>IFERROR(__xludf.DUMMYFUNCTION("""COMPUTED_VALUE"""),"https://drive.google.com/file/d/1_FGRZjXjzcqQ7WnfRV3bnK84pUSZVMOj/view?usp=drivesdk")</f>
        <v>https://drive.google.com/file/d/1_FGRZjXjzcqQ7WnfRV3bnK84pUSZVMOj/view?usp=drivesdk</v>
      </c>
      <c r="C887" s="159" t="str">
        <f>IFERROR(__xludf.DUMMYFUNCTION("""COMPUTED_VALUE"""),"10.3389--fpsyg.2014.01555.pdf")</f>
        <v>10.3389--fpsyg.2014.01555.pdf</v>
      </c>
      <c r="D887" s="159" t="str">
        <f>IFERROR(__xludf.DUMMYFUNCTION("""COMPUTED_VALUE"""),"application/pdf")</f>
        <v>application/pdf</v>
      </c>
    </row>
    <row r="888">
      <c r="A888" s="159" t="str">
        <f>IFERROR(__xludf.DUMMYFUNCTION("""COMPUTED_VALUE"""),"10.1177/1354067x19871197")</f>
        <v>10.1177/1354067x19871197</v>
      </c>
      <c r="B888" s="680" t="str">
        <f>IFERROR(__xludf.DUMMYFUNCTION("""COMPUTED_VALUE"""),"https://drive.google.com/file/d/1FctWG5fFtd9swb7nf5clhW4ybriZAiax/view?usp=drivesdk")</f>
        <v>https://drive.google.com/file/d/1FctWG5fFtd9swb7nf5clhW4ybriZAiax/view?usp=drivesdk</v>
      </c>
      <c r="C888" s="159" t="str">
        <f>IFERROR(__xludf.DUMMYFUNCTION("""COMPUTED_VALUE"""),"10.1177--1354067X19871197.pdf")</f>
        <v>10.1177--1354067X19871197.pdf</v>
      </c>
      <c r="D888" s="159" t="str">
        <f>IFERROR(__xludf.DUMMYFUNCTION("""COMPUTED_VALUE"""),"application/pdf")</f>
        <v>application/pdf</v>
      </c>
    </row>
    <row r="889">
      <c r="A889" s="159" t="str">
        <f>IFERROR(__xludf.DUMMYFUNCTION("""COMPUTED_VALUE"""),"10.1177/1948550616628608")</f>
        <v>10.1177/1948550616628608</v>
      </c>
      <c r="B889" s="680" t="str">
        <f>IFERROR(__xludf.DUMMYFUNCTION("""COMPUTED_VALUE"""),"https://drive.google.com/file/d/1ZWX5KE0H0RPR24ghjhKYXvWGtyhSD23_/view?usp=drivesdk")</f>
        <v>https://drive.google.com/file/d/1ZWX5KE0H0RPR24ghjhKYXvWGtyhSD23_/view?usp=drivesdk</v>
      </c>
      <c r="C889" s="159" t="str">
        <f>IFERROR(__xludf.DUMMYFUNCTION("""COMPUTED_VALUE"""),"10.1177--1948550616628608.pdf")</f>
        <v>10.1177--1948550616628608.pdf</v>
      </c>
      <c r="D889" s="159" t="str">
        <f>IFERROR(__xludf.DUMMYFUNCTION("""COMPUTED_VALUE"""),"application/pdf")</f>
        <v>application/pdf</v>
      </c>
    </row>
    <row r="890">
      <c r="A890" s="159" t="str">
        <f>IFERROR(__xludf.DUMMYFUNCTION("""COMPUTED_VALUE"""),"10.1177/1948550618775410")</f>
        <v>10.1177/1948550618775410</v>
      </c>
      <c r="B890" s="680" t="str">
        <f>IFERROR(__xludf.DUMMYFUNCTION("""COMPUTED_VALUE"""),"https://drive.google.com/file/d/1n-YFdWO33LCJLrsGwdf6SUcNCcJ53BpW/view?usp=drivesdk")</f>
        <v>https://drive.google.com/file/d/1n-YFdWO33LCJLrsGwdf6SUcNCcJ53BpW/view?usp=drivesdk</v>
      </c>
      <c r="C890" s="159" t="str">
        <f>IFERROR(__xludf.DUMMYFUNCTION("""COMPUTED_VALUE"""),"10.1177--1948550618775410.pdf")</f>
        <v>10.1177--1948550618775410.pdf</v>
      </c>
      <c r="D890" s="159" t="str">
        <f>IFERROR(__xludf.DUMMYFUNCTION("""COMPUTED_VALUE"""),"application/pdf")</f>
        <v>application/pdf</v>
      </c>
    </row>
    <row r="891">
      <c r="A891" s="159" t="str">
        <f>IFERROR(__xludf.DUMMYFUNCTION("""COMPUTED_VALUE"""),"10.1177/0956797614555727")</f>
        <v>10.1177/0956797614555727</v>
      </c>
      <c r="B891" s="680" t="str">
        <f>IFERROR(__xludf.DUMMYFUNCTION("""COMPUTED_VALUE"""),"https://drive.google.com/file/d/1O9M0CA6B7G5i7npjjN1LKo5jBTjt5NOW/view?usp=drivesdk")</f>
        <v>https://drive.google.com/file/d/1O9M0CA6B7G5i7npjjN1LKo5jBTjt5NOW/view?usp=drivesdk</v>
      </c>
      <c r="C891" s="159" t="str">
        <f>IFERROR(__xludf.DUMMYFUNCTION("""COMPUTED_VALUE"""),"10.1177--0956797614555727.pdf")</f>
        <v>10.1177--0956797614555727.pdf</v>
      </c>
      <c r="D891" s="159" t="str">
        <f>IFERROR(__xludf.DUMMYFUNCTION("""COMPUTED_VALUE"""),"application/pdf")</f>
        <v>application/pdf</v>
      </c>
    </row>
    <row r="892">
      <c r="A892" s="159" t="str">
        <f>IFERROR(__xludf.DUMMYFUNCTION("""COMPUTED_VALUE"""),"10.1080/20445911.2017.1282489")</f>
        <v>10.1080/20445911.2017.1282489</v>
      </c>
      <c r="B892" s="680" t="str">
        <f>IFERROR(__xludf.DUMMYFUNCTION("""COMPUTED_VALUE"""),"https://drive.google.com/file/d/19SmX_tapJY3aFhmBJ2wCA9JR7-zTq3Im/view?usp=drivesdk")</f>
        <v>https://drive.google.com/file/d/19SmX_tapJY3aFhmBJ2wCA9JR7-zTq3Im/view?usp=drivesdk</v>
      </c>
      <c r="C892" s="159" t="str">
        <f>IFERROR(__xludf.DUMMYFUNCTION("""COMPUTED_VALUE"""),"10.1080--20445911.2017.1282489.pdf")</f>
        <v>10.1080--20445911.2017.1282489.pdf</v>
      </c>
      <c r="D892" s="159" t="str">
        <f>IFERROR(__xludf.DUMMYFUNCTION("""COMPUTED_VALUE"""),"application/pdf")</f>
        <v>application/pdf</v>
      </c>
    </row>
    <row r="893">
      <c r="A893" s="159" t="str">
        <f>IFERROR(__xludf.DUMMYFUNCTION("""COMPUTED_VALUE"""),"10.1080/02699931.2019.1591345")</f>
        <v>10.1080/02699931.2019.1591345</v>
      </c>
      <c r="B893" s="680" t="str">
        <f>IFERROR(__xludf.DUMMYFUNCTION("""COMPUTED_VALUE"""),"https://drive.google.com/file/d/1HJMB1bI2CWhZOO3borrGfJOymzupaxok/view?usp=drivesdk")</f>
        <v>https://drive.google.com/file/d/1HJMB1bI2CWhZOO3borrGfJOymzupaxok/view?usp=drivesdk</v>
      </c>
      <c r="C893" s="159" t="str">
        <f>IFERROR(__xludf.DUMMYFUNCTION("""COMPUTED_VALUE"""),"10.1080--02699931.2019.1591345.pdf")</f>
        <v>10.1080--02699931.2019.1591345.pdf</v>
      </c>
      <c r="D893" s="159" t="str">
        <f>IFERROR(__xludf.DUMMYFUNCTION("""COMPUTED_VALUE"""),"application/pdf")</f>
        <v>application/pdf</v>
      </c>
    </row>
    <row r="894">
      <c r="A894" s="159" t="str">
        <f>IFERROR(__xludf.DUMMYFUNCTION("""COMPUTED_VALUE"""),"10.1016/j.jesp.2017.12.008")</f>
        <v>10.1016/j.jesp.2017.12.008</v>
      </c>
      <c r="B894" s="680" t="str">
        <f>IFERROR(__xludf.DUMMYFUNCTION("""COMPUTED_VALUE"""),"https://drive.google.com/file/d/1LowDJBDZp2XUkp6htHz84wR3I5Aby3WN/view?usp=drivesdk")</f>
        <v>https://drive.google.com/file/d/1LowDJBDZp2XUkp6htHz84wR3I5Aby3WN/view?usp=drivesdk</v>
      </c>
      <c r="C894" s="159" t="str">
        <f>IFERROR(__xludf.DUMMYFUNCTION("""COMPUTED_VALUE"""),"10.1016--j.jesp.2017.12.008.pdf")</f>
        <v>10.1016--j.jesp.2017.12.008.pdf</v>
      </c>
      <c r="D894" s="159" t="str">
        <f>IFERROR(__xludf.DUMMYFUNCTION("""COMPUTED_VALUE"""),"application/pdf")</f>
        <v>application/pdf</v>
      </c>
    </row>
    <row r="895">
      <c r="A895" s="159" t="str">
        <f>IFERROR(__xludf.DUMMYFUNCTION("""COMPUTED_VALUE"""),"10.1016/j.cognition.2016.07.008")</f>
        <v>10.1016/j.cognition.2016.07.008</v>
      </c>
      <c r="B895" s="680" t="str">
        <f>IFERROR(__xludf.DUMMYFUNCTION("""COMPUTED_VALUE"""),"https://drive.google.com/file/d/1S03bY4QGzb_LsniulJX2-t2kmpPxhMWP/view?usp=drivesdk")</f>
        <v>https://drive.google.com/file/d/1S03bY4QGzb_LsniulJX2-t2kmpPxhMWP/view?usp=drivesdk</v>
      </c>
      <c r="C895" s="159" t="str">
        <f>IFERROR(__xludf.DUMMYFUNCTION("""COMPUTED_VALUE"""),"10.1016--j.cognition.2016.07.008.pdf")</f>
        <v>10.1016--j.cognition.2016.07.008.pdf</v>
      </c>
      <c r="D895" s="159" t="str">
        <f>IFERROR(__xludf.DUMMYFUNCTION("""COMPUTED_VALUE"""),"application/pdf")</f>
        <v>application/pdf</v>
      </c>
    </row>
    <row r="896">
      <c r="A896" s="159" t="str">
        <f>IFERROR(__xludf.DUMMYFUNCTION("""COMPUTED_VALUE"""),"10.1007/s00426-018-1001-z")</f>
        <v>10.1007/s00426-018-1001-z</v>
      </c>
      <c r="B896" s="680" t="str">
        <f>IFERROR(__xludf.DUMMYFUNCTION("""COMPUTED_VALUE"""),"https://drive.google.com/file/d/12Y4-F1R64ahc-IfJWR9onKydaREtjT5Z/view?usp=drivesdk")</f>
        <v>https://drive.google.com/file/d/12Y4-F1R64ahc-IfJWR9onKydaREtjT5Z/view?usp=drivesdk</v>
      </c>
      <c r="C896" s="159" t="str">
        <f>IFERROR(__xludf.DUMMYFUNCTION("""COMPUTED_VALUE"""),"10.1007--s00426-018-1001-z.pdf")</f>
        <v>10.1007--s00426-018-1001-z.pdf</v>
      </c>
      <c r="D896" s="159" t="str">
        <f>IFERROR(__xludf.DUMMYFUNCTION("""COMPUTED_VALUE"""),"application/pdf")</f>
        <v>application/pdf</v>
      </c>
    </row>
    <row r="897">
      <c r="A897" s="159" t="str">
        <f>IFERROR(__xludf.DUMMYFUNCTION("""COMPUTED_VALUE"""),"10.1016/j.actpsy.2016.08.008")</f>
        <v>10.1016/j.actpsy.2016.08.008</v>
      </c>
      <c r="B897" s="680" t="str">
        <f>IFERROR(__xludf.DUMMYFUNCTION("""COMPUTED_VALUE"""),"https://drive.google.com/file/d/1gqsiRL3uWmF0FYynu5VpRmj0rQrNvKAW/view?usp=drivesdk")</f>
        <v>https://drive.google.com/file/d/1gqsiRL3uWmF0FYynu5VpRmj0rQrNvKAW/view?usp=drivesdk</v>
      </c>
      <c r="C897" s="159" t="str">
        <f>IFERROR(__xludf.DUMMYFUNCTION("""COMPUTED_VALUE"""),"10.1016--j.actpsy.2016.08.008.pdf")</f>
        <v>10.1016--j.actpsy.2016.08.008.pdf</v>
      </c>
      <c r="D897" s="159" t="str">
        <f>IFERROR(__xludf.DUMMYFUNCTION("""COMPUTED_VALUE"""),"application/pdf")</f>
        <v>application/pdf</v>
      </c>
    </row>
    <row r="898">
      <c r="A898" s="159" t="str">
        <f>IFERROR(__xludf.DUMMYFUNCTION("""COMPUTED_VALUE"""),"10.1002/acp.3254")</f>
        <v>10.1002/acp.3254</v>
      </c>
      <c r="B898" s="680" t="str">
        <f>IFERROR(__xludf.DUMMYFUNCTION("""COMPUTED_VALUE"""),"https://drive.google.com/file/d/1_4bsoNftxzrYgW0LoOb8o7nEpbEykoBX/view?usp=drivesdk")</f>
        <v>https://drive.google.com/file/d/1_4bsoNftxzrYgW0LoOb8o7nEpbEykoBX/view?usp=drivesdk</v>
      </c>
      <c r="C898" s="159" t="str">
        <f>IFERROR(__xludf.DUMMYFUNCTION("""COMPUTED_VALUE"""),"10.1002--acp.3254.pdf")</f>
        <v>10.1002--acp.3254.pdf</v>
      </c>
      <c r="D898" s="159" t="str">
        <f>IFERROR(__xludf.DUMMYFUNCTION("""COMPUTED_VALUE"""),"application/pdf")</f>
        <v>application/pdf</v>
      </c>
    </row>
    <row r="899">
      <c r="A899" s="159" t="str">
        <f>IFERROR(__xludf.DUMMYFUNCTION("""COMPUTED_VALUE"""),"10.3758/s13421-018-0833-5")</f>
        <v>10.3758/s13421-018-0833-5</v>
      </c>
      <c r="B899" s="680" t="str">
        <f>IFERROR(__xludf.DUMMYFUNCTION("""COMPUTED_VALUE"""),"https://drive.google.com/file/d/1-xDngnZCU1Q30JZaNakmMeial4_1JeC4/view?usp=drivesdk")</f>
        <v>https://drive.google.com/file/d/1-xDngnZCU1Q30JZaNakmMeial4_1JeC4/view?usp=drivesdk</v>
      </c>
      <c r="C899" s="159" t="str">
        <f>IFERROR(__xludf.DUMMYFUNCTION("""COMPUTED_VALUE"""),"10.3758--s13421-018-0833-5.pdf")</f>
        <v>10.3758--s13421-018-0833-5.pdf</v>
      </c>
      <c r="D899" s="159" t="str">
        <f>IFERROR(__xludf.DUMMYFUNCTION("""COMPUTED_VALUE"""),"application/pdf")</f>
        <v>application/pdf</v>
      </c>
    </row>
    <row r="900">
      <c r="A900" s="159" t="str">
        <f>IFERROR(__xludf.DUMMYFUNCTION("""COMPUTED_VALUE"""),"10.3389/fpsyg.2014.01511")</f>
        <v>10.3389/fpsyg.2014.01511</v>
      </c>
      <c r="B900" s="680" t="str">
        <f>IFERROR(__xludf.DUMMYFUNCTION("""COMPUTED_VALUE"""),"https://drive.google.com/file/d/192u6FsPH0dfUlR5C4F3pu39u_VTTNdUA/view?usp=drivesdk")</f>
        <v>https://drive.google.com/file/d/192u6FsPH0dfUlR5C4F3pu39u_VTTNdUA/view?usp=drivesdk</v>
      </c>
      <c r="C900" s="159" t="str">
        <f>IFERROR(__xludf.DUMMYFUNCTION("""COMPUTED_VALUE"""),"10.3389--fpsyg.2014.01511.pdf")</f>
        <v>10.3389--fpsyg.2014.01511.pdf</v>
      </c>
      <c r="D900" s="159" t="str">
        <f>IFERROR(__xludf.DUMMYFUNCTION("""COMPUTED_VALUE"""),"application/pdf")</f>
        <v>application/pdf</v>
      </c>
    </row>
    <row r="901">
      <c r="A901" s="159" t="str">
        <f>IFERROR(__xludf.DUMMYFUNCTION("""COMPUTED_VALUE"""),"10.3389/fpsyg.2014.00362")</f>
        <v>10.3389/fpsyg.2014.00362</v>
      </c>
      <c r="B901" s="680" t="str">
        <f>IFERROR(__xludf.DUMMYFUNCTION("""COMPUTED_VALUE"""),"https://drive.google.com/file/d/1HIgqnSklfRU_KSuAKqwCjemBDMJZRLug/view?usp=drivesdk")</f>
        <v>https://drive.google.com/file/d/1HIgqnSklfRU_KSuAKqwCjemBDMJZRLug/view?usp=drivesdk</v>
      </c>
      <c r="C901" s="159" t="str">
        <f>IFERROR(__xludf.DUMMYFUNCTION("""COMPUTED_VALUE"""),"10.3389--fpsyg.2014.00362.pdf")</f>
        <v>10.3389--fpsyg.2014.00362.pdf</v>
      </c>
      <c r="D901" s="159" t="str">
        <f>IFERROR(__xludf.DUMMYFUNCTION("""COMPUTED_VALUE"""),"application/pdf")</f>
        <v>application/pdf</v>
      </c>
    </row>
    <row r="902">
      <c r="A902" s="159" t="str">
        <f>IFERROR(__xludf.DUMMYFUNCTION("""COMPUTED_VALUE"""),"10.3389/fpsyg.2016.00994")</f>
        <v>10.3389/fpsyg.2016.00994</v>
      </c>
      <c r="B902" s="680" t="str">
        <f>IFERROR(__xludf.DUMMYFUNCTION("""COMPUTED_VALUE"""),"https://drive.google.com/file/d/1-pDeEfPAf_mQH8ArTtwNV5-DRSSLbAeW/view?usp=drivesdk")</f>
        <v>https://drive.google.com/file/d/1-pDeEfPAf_mQH8ArTtwNV5-DRSSLbAeW/view?usp=drivesdk</v>
      </c>
      <c r="C902" s="159" t="str">
        <f>IFERROR(__xludf.DUMMYFUNCTION("""COMPUTED_VALUE"""),"10.3389--fpsyg.2016.00994.pdf")</f>
        <v>10.3389--fpsyg.2016.00994.pdf</v>
      </c>
      <c r="D902" s="159" t="str">
        <f>IFERROR(__xludf.DUMMYFUNCTION("""COMPUTED_VALUE"""),"application/pdf")</f>
        <v>application/pdf</v>
      </c>
    </row>
    <row r="903">
      <c r="A903" s="159" t="str">
        <f>IFERROR(__xludf.DUMMYFUNCTION("""COMPUTED_VALUE"""),"10.3389/fpsyg.2013.00571")</f>
        <v>10.3389/fpsyg.2013.00571</v>
      </c>
      <c r="B903" s="680" t="str">
        <f>IFERROR(__xludf.DUMMYFUNCTION("""COMPUTED_VALUE"""),"https://drive.google.com/file/d/1ZZkjNeDnTCzxLDzikYrUDBxDsz5cDS5n/view?usp=drivesdk")</f>
        <v>https://drive.google.com/file/d/1ZZkjNeDnTCzxLDzikYrUDBxDsz5cDS5n/view?usp=drivesdk</v>
      </c>
      <c r="C903" s="159" t="str">
        <f>IFERROR(__xludf.DUMMYFUNCTION("""COMPUTED_VALUE"""),"10.3389--fpsyg.2013.00571.pdf")</f>
        <v>10.3389--fpsyg.2013.00571.pdf</v>
      </c>
      <c r="D903" s="159" t="str">
        <f>IFERROR(__xludf.DUMMYFUNCTION("""COMPUTED_VALUE"""),"application/pdf")</f>
        <v>application/pdf</v>
      </c>
    </row>
    <row r="904">
      <c r="A904" s="159" t="str">
        <f>IFERROR(__xludf.DUMMYFUNCTION("""COMPUTED_VALUE"""),"10.2224/sbp.2013.41.2.335")</f>
        <v>10.2224/sbp.2013.41.2.335</v>
      </c>
      <c r="B904" s="680" t="str">
        <f>IFERROR(__xludf.DUMMYFUNCTION("""COMPUTED_VALUE"""),"https://drive.google.com/file/d/1D0Fsvp14jMjK3rw8vwMmZaVNx40ve7Hq/view?usp=drivesdk")</f>
        <v>https://drive.google.com/file/d/1D0Fsvp14jMjK3rw8vwMmZaVNx40ve7Hq/view?usp=drivesdk</v>
      </c>
      <c r="C904" s="159" t="str">
        <f>IFERROR(__xludf.DUMMYFUNCTION("""COMPUTED_VALUE"""),"10.2224--sbp.2013.41.2.335.pdf")</f>
        <v>10.2224--sbp.2013.41.2.335.pdf</v>
      </c>
      <c r="D904" s="159" t="str">
        <f>IFERROR(__xludf.DUMMYFUNCTION("""COMPUTED_VALUE"""),"application/pdf")</f>
        <v>application/pdf</v>
      </c>
    </row>
    <row r="905">
      <c r="A905" s="159" t="str">
        <f>IFERROR(__xludf.DUMMYFUNCTION("""COMPUTED_VALUE"""),"10.1186/s41155-017-0074-8")</f>
        <v>10.1186/s41155-017-0074-8</v>
      </c>
      <c r="B905" s="680" t="str">
        <f>IFERROR(__xludf.DUMMYFUNCTION("""COMPUTED_VALUE"""),"https://drive.google.com/file/d/1Y1VIRvIVjTRFsw_vfCRlae-RuBBKW-9z/view?usp=drivesdk")</f>
        <v>https://drive.google.com/file/d/1Y1VIRvIVjTRFsw_vfCRlae-RuBBKW-9z/view?usp=drivesdk</v>
      </c>
      <c r="C905" s="159" t="str">
        <f>IFERROR(__xludf.DUMMYFUNCTION("""COMPUTED_VALUE"""),"10.1186--s41155-017-0074-8.pdf")</f>
        <v>10.1186--s41155-017-0074-8.pdf</v>
      </c>
      <c r="D905" s="159" t="str">
        <f>IFERROR(__xludf.DUMMYFUNCTION("""COMPUTED_VALUE"""),"application/pdf")</f>
        <v>application/pdf</v>
      </c>
    </row>
    <row r="906">
      <c r="A906" s="159" t="str">
        <f>IFERROR(__xludf.DUMMYFUNCTION("""COMPUTED_VALUE"""),"10.1080/02699931.2014.935297")</f>
        <v>10.1080/02699931.2014.935297</v>
      </c>
      <c r="B906" s="680" t="str">
        <f>IFERROR(__xludf.DUMMYFUNCTION("""COMPUTED_VALUE"""),"https://drive.google.com/file/d/1dXPNsLLzR8QFXaAf9TTMn-6H4Ab51Cr8/view?usp=drivesdk")</f>
        <v>https://drive.google.com/file/d/1dXPNsLLzR8QFXaAf9TTMn-6H4Ab51Cr8/view?usp=drivesdk</v>
      </c>
      <c r="C906" s="159" t="str">
        <f>IFERROR(__xludf.DUMMYFUNCTION("""COMPUTED_VALUE"""),"10.1080--02699931.2014.935297.pdf")</f>
        <v>10.1080--02699931.2014.935297.pdf</v>
      </c>
      <c r="D906" s="159" t="str">
        <f>IFERROR(__xludf.DUMMYFUNCTION("""COMPUTED_VALUE"""),"application/pdf")</f>
        <v>application/pdf</v>
      </c>
    </row>
    <row r="907">
      <c r="A907" s="159" t="str">
        <f>IFERROR(__xludf.DUMMYFUNCTION("""COMPUTED_VALUE"""),"10.1111/ajsp.12080")</f>
        <v>10.1111/ajsp.12080</v>
      </c>
      <c r="B907" s="680" t="str">
        <f>IFERROR(__xludf.DUMMYFUNCTION("""COMPUTED_VALUE"""),"https://drive.google.com/file/d/1kusUe8iFNhGsEDBWV6t4bCbXbSVs7CFx/view?usp=drivesdk")</f>
        <v>https://drive.google.com/file/d/1kusUe8iFNhGsEDBWV6t4bCbXbSVs7CFx/view?usp=drivesdk</v>
      </c>
      <c r="C907" s="159" t="str">
        <f>IFERROR(__xludf.DUMMYFUNCTION("""COMPUTED_VALUE"""),"10.1111--ajsp.12080.pdf")</f>
        <v>10.1111--ajsp.12080.pdf</v>
      </c>
      <c r="D907" s="159" t="str">
        <f>IFERROR(__xludf.DUMMYFUNCTION("""COMPUTED_VALUE"""),"application/pdf")</f>
        <v>application/pdf</v>
      </c>
    </row>
    <row r="908">
      <c r="A908" s="159" t="str">
        <f>IFERROR(__xludf.DUMMYFUNCTION("""COMPUTED_VALUE"""),"10.1037/a0025169")</f>
        <v>10.1037/a0025169</v>
      </c>
      <c r="B908" s="680" t="str">
        <f>IFERROR(__xludf.DUMMYFUNCTION("""COMPUTED_VALUE"""),"https://drive.google.com/file/d/1TH7LBpo-Ac8cTpIy_dacnVAx8ZxTtUDX/view?usp=drivesdk")</f>
        <v>https://drive.google.com/file/d/1TH7LBpo-Ac8cTpIy_dacnVAx8ZxTtUDX/view?usp=drivesdk</v>
      </c>
      <c r="C908" s="159" t="str">
        <f>IFERROR(__xludf.DUMMYFUNCTION("""COMPUTED_VALUE"""),"10.1037--a0025169.pdf")</f>
        <v>10.1037--a0025169.pdf</v>
      </c>
      <c r="D908" s="159" t="str">
        <f>IFERROR(__xludf.DUMMYFUNCTION("""COMPUTED_VALUE"""),"application/pdf")</f>
        <v>application/pdf</v>
      </c>
    </row>
    <row r="909">
      <c r="A909" s="159" t="str">
        <f>IFERROR(__xludf.DUMMYFUNCTION("""COMPUTED_VALUE"""),"10.1016/j.jsp.2017.07.006")</f>
        <v>10.1016/j.jsp.2017.07.006</v>
      </c>
      <c r="B909" s="680" t="str">
        <f>IFERROR(__xludf.DUMMYFUNCTION("""COMPUTED_VALUE"""),"https://drive.google.com/file/d/14XkXU9N9T4t6rk1hW0sFQDIe_r8yOUU3/view?usp=drivesdk")</f>
        <v>https://drive.google.com/file/d/14XkXU9N9T4t6rk1hW0sFQDIe_r8yOUU3/view?usp=drivesdk</v>
      </c>
      <c r="C909" s="159" t="str">
        <f>IFERROR(__xludf.DUMMYFUNCTION("""COMPUTED_VALUE"""),"10.1016--j.jsp.2017.07.006.pdf")</f>
        <v>10.1016--j.jsp.2017.07.006.pdf</v>
      </c>
      <c r="D909" s="159" t="str">
        <f>IFERROR(__xludf.DUMMYFUNCTION("""COMPUTED_VALUE"""),"application/pdf")</f>
        <v>application/pdf</v>
      </c>
    </row>
    <row r="910">
      <c r="A910" s="159" t="str">
        <f>IFERROR(__xludf.DUMMYFUNCTION("""COMPUTED_VALUE"""),"10.1017/sjp.2015.104")</f>
        <v>10.1017/sjp.2015.104</v>
      </c>
      <c r="B910" s="680" t="str">
        <f>IFERROR(__xludf.DUMMYFUNCTION("""COMPUTED_VALUE"""),"https://drive.google.com/file/d/1Rcz8eIa2iwIWWS_Mb8fhOtD6LJW1eld-/view?usp=drivesdk")</f>
        <v>https://drive.google.com/file/d/1Rcz8eIa2iwIWWS_Mb8fhOtD6LJW1eld-/view?usp=drivesdk</v>
      </c>
      <c r="C910" s="159" t="str">
        <f>IFERROR(__xludf.DUMMYFUNCTION("""COMPUTED_VALUE"""),"10.1017--sjp.2015.104.pdf")</f>
        <v>10.1017--sjp.2015.104.pdf</v>
      </c>
      <c r="D910" s="159" t="str">
        <f>IFERROR(__xludf.DUMMYFUNCTION("""COMPUTED_VALUE"""),"application/pdf")</f>
        <v>application/pdf</v>
      </c>
    </row>
    <row r="911">
      <c r="A911" s="159" t="str">
        <f>IFERROR(__xludf.DUMMYFUNCTION("""COMPUTED_VALUE"""),"10.1016/j.paid.2017.02.069")</f>
        <v>10.1016/j.paid.2017.02.069</v>
      </c>
      <c r="B911" s="680" t="str">
        <f>IFERROR(__xludf.DUMMYFUNCTION("""COMPUTED_VALUE"""),"https://drive.google.com/file/d/1iHQUXLdlV_DEJMQ_aq_cC-SvgIHVAaqI/view?usp=drivesdk")</f>
        <v>https://drive.google.com/file/d/1iHQUXLdlV_DEJMQ_aq_cC-SvgIHVAaqI/view?usp=drivesdk</v>
      </c>
      <c r="C911" s="159" t="str">
        <f>IFERROR(__xludf.DUMMYFUNCTION("""COMPUTED_VALUE"""),"10.1016--j.paid.2017.02.069.pdf")</f>
        <v>10.1016--j.paid.2017.02.069.pdf</v>
      </c>
      <c r="D911" s="159" t="str">
        <f>IFERROR(__xludf.DUMMYFUNCTION("""COMPUTED_VALUE"""),"application/pdf")</f>
        <v>application/pdf</v>
      </c>
    </row>
    <row r="912">
      <c r="A912" s="159" t="str">
        <f>IFERROR(__xludf.DUMMYFUNCTION("""COMPUTED_VALUE"""),"10.1016/j.jrp.2014.09.005")</f>
        <v>10.1016/j.jrp.2014.09.005</v>
      </c>
      <c r="B912" s="680" t="str">
        <f>IFERROR(__xludf.DUMMYFUNCTION("""COMPUTED_VALUE"""),"https://drive.google.com/file/d/1eM7v8ojRHGwFe8FJpWvWsC2hDfCEau6K/view?usp=drivesdk")</f>
        <v>https://drive.google.com/file/d/1eM7v8ojRHGwFe8FJpWvWsC2hDfCEau6K/view?usp=drivesdk</v>
      </c>
      <c r="C912" s="159" t="str">
        <f>IFERROR(__xludf.DUMMYFUNCTION("""COMPUTED_VALUE"""),"10.1016--j.jrp.2014.09.005.pdf")</f>
        <v>10.1016--j.jrp.2014.09.005.pdf</v>
      </c>
      <c r="D912" s="159" t="str">
        <f>IFERROR(__xludf.DUMMYFUNCTION("""COMPUTED_VALUE"""),"application/pdf")</f>
        <v>application/pdf</v>
      </c>
    </row>
    <row r="913">
      <c r="A913" s="159" t="str">
        <f>IFERROR(__xludf.DUMMYFUNCTION("""COMPUTED_VALUE"""),"10.1016/j.actpsy.2013.11.004")</f>
        <v>10.1016/j.actpsy.2013.11.004</v>
      </c>
      <c r="B913" s="680" t="str">
        <f>IFERROR(__xludf.DUMMYFUNCTION("""COMPUTED_VALUE"""),"https://drive.google.com/file/d/14GeTuuDcvGnyFN0009dd6R1-OtK24ZAP/view?usp=drivesdk")</f>
        <v>https://drive.google.com/file/d/14GeTuuDcvGnyFN0009dd6R1-OtK24ZAP/view?usp=drivesdk</v>
      </c>
      <c r="C913" s="159" t="str">
        <f>IFERROR(__xludf.DUMMYFUNCTION("""COMPUTED_VALUE"""),"10.1016--j.actpsy.2013.11.004.pdf")</f>
        <v>10.1016--j.actpsy.2013.11.004.pdf</v>
      </c>
      <c r="D913" s="159" t="str">
        <f>IFERROR(__xludf.DUMMYFUNCTION("""COMPUTED_VALUE"""),"application/pdf")</f>
        <v>application/pdf</v>
      </c>
    </row>
    <row r="914">
      <c r="A914" s="159" t="str">
        <f>IFERROR(__xludf.DUMMYFUNCTION("""COMPUTED_VALUE"""),"10.1016/j.actpsy.2011.07.007")</f>
        <v>10.1016/j.actpsy.2011.07.007</v>
      </c>
      <c r="B914" s="680" t="str">
        <f>IFERROR(__xludf.DUMMYFUNCTION("""COMPUTED_VALUE"""),"https://drive.google.com/file/d/11LA3heiN90GGDiax7QtguujQjiwyu9kD/view?usp=drivesdk")</f>
        <v>https://drive.google.com/file/d/11LA3heiN90GGDiax7QtguujQjiwyu9kD/view?usp=drivesdk</v>
      </c>
      <c r="C914" s="159" t="str">
        <f>IFERROR(__xludf.DUMMYFUNCTION("""COMPUTED_VALUE"""),"10.1016--j.actpsy.2011.07.007.pdf")</f>
        <v>10.1016--j.actpsy.2011.07.007.pdf</v>
      </c>
      <c r="D914" s="159" t="str">
        <f>IFERROR(__xludf.DUMMYFUNCTION("""COMPUTED_VALUE"""),"application/pdf")</f>
        <v>application/pdf</v>
      </c>
    </row>
    <row r="915">
      <c r="A915" s="159" t="str">
        <f>IFERROR(__xludf.DUMMYFUNCTION("""COMPUTED_VALUE"""),"10.1007/s10865-015-9647-0")</f>
        <v>10.1007/s10865-015-9647-0</v>
      </c>
      <c r="B915" s="680" t="str">
        <f>IFERROR(__xludf.DUMMYFUNCTION("""COMPUTED_VALUE"""),"https://drive.google.com/file/d/1ZVhYZp01PzxL_VPWUZGFJTNT6bK258ax/view?usp=drivesdk")</f>
        <v>https://drive.google.com/file/d/1ZVhYZp01PzxL_VPWUZGFJTNT6bK258ax/view?usp=drivesdk</v>
      </c>
      <c r="C915" s="159" t="str">
        <f>IFERROR(__xludf.DUMMYFUNCTION("""COMPUTED_VALUE"""),"10.1007--s10865-015-9647-0.pdf")</f>
        <v>10.1007--s10865-015-9647-0.pdf</v>
      </c>
      <c r="D915" s="159" t="str">
        <f>IFERROR(__xludf.DUMMYFUNCTION("""COMPUTED_VALUE"""),"application/pdf")</f>
        <v>application/pdf</v>
      </c>
    </row>
    <row r="916">
      <c r="A916" s="159" t="str">
        <f>IFERROR(__xludf.DUMMYFUNCTION("""COMPUTED_VALUE"""),"10.1007/s10803-013-1900-1")</f>
        <v>10.1007/s10803-013-1900-1</v>
      </c>
      <c r="B916" s="680" t="str">
        <f>IFERROR(__xludf.DUMMYFUNCTION("""COMPUTED_VALUE"""),"https://drive.google.com/file/d/1cTS_L14IMe69spwJnjmmtddzn9eVdb4W/view?usp=drivesdk")</f>
        <v>https://drive.google.com/file/d/1cTS_L14IMe69spwJnjmmtddzn9eVdb4W/view?usp=drivesdk</v>
      </c>
      <c r="C916" s="159" t="str">
        <f>IFERROR(__xludf.DUMMYFUNCTION("""COMPUTED_VALUE"""),"10.1007--s10803-013-1900-1.pdf")</f>
        <v>10.1007--s10803-013-1900-1.pdf</v>
      </c>
      <c r="D916" s="159" t="str">
        <f>IFERROR(__xludf.DUMMYFUNCTION("""COMPUTED_VALUE"""),"application/pdf")</f>
        <v>application/pdf</v>
      </c>
    </row>
    <row r="917">
      <c r="A917" s="159" t="str">
        <f>IFERROR(__xludf.DUMMYFUNCTION("""COMPUTED_VALUE"""),"10.1007/s00426-017-0921-3")</f>
        <v>10.1007/s00426-017-0921-3</v>
      </c>
      <c r="B917" s="680" t="str">
        <f>IFERROR(__xludf.DUMMYFUNCTION("""COMPUTED_VALUE"""),"https://drive.google.com/file/d/1eTT-z3W59HCeZCSxkMv9ObSn8ZxR7bgl/view?usp=drivesdk")</f>
        <v>https://drive.google.com/file/d/1eTT-z3W59HCeZCSxkMv9ObSn8ZxR7bgl/view?usp=drivesdk</v>
      </c>
      <c r="C917" s="159" t="str">
        <f>IFERROR(__xludf.DUMMYFUNCTION("""COMPUTED_VALUE"""),"10.1007--s00426-017-0921-3.pdf")</f>
        <v>10.1007--s00426-017-0921-3.pdf</v>
      </c>
      <c r="D917" s="159" t="str">
        <f>IFERROR(__xludf.DUMMYFUNCTION("""COMPUTED_VALUE"""),"application/pdf")</f>
        <v>application/pdf</v>
      </c>
    </row>
    <row r="918">
      <c r="A918" s="159" t="str">
        <f>IFERROR(__xludf.DUMMYFUNCTION("""COMPUTED_VALUE"""),"10.1007/s10862-013-9379-9")</f>
        <v>10.1007/s10862-013-9379-9</v>
      </c>
      <c r="B918" s="680" t="str">
        <f>IFERROR(__xludf.DUMMYFUNCTION("""COMPUTED_VALUE"""),"https://drive.google.com/file/d/1vqZS6YvnVP7WM3ColgxpdhNh_-LNaWT0/view?usp=drivesdk")</f>
        <v>https://drive.google.com/file/d/1vqZS6YvnVP7WM3ColgxpdhNh_-LNaWT0/view?usp=drivesdk</v>
      </c>
      <c r="C918" s="159" t="str">
        <f>IFERROR(__xludf.DUMMYFUNCTION("""COMPUTED_VALUE"""),"10.1007--s10862-013-9379-9.pdf")</f>
        <v>10.1007--s10862-013-9379-9.pdf</v>
      </c>
      <c r="D918" s="159" t="str">
        <f>IFERROR(__xludf.DUMMYFUNCTION("""COMPUTED_VALUE"""),"application/pdf")</f>
        <v>application/pdf</v>
      </c>
    </row>
    <row r="919">
      <c r="A919" s="159" t="str">
        <f>IFERROR(__xludf.DUMMYFUNCTION("""COMPUTED_VALUE"""),"10.1007/s10803-014-2139-1")</f>
        <v>10.1007/s10803-014-2139-1</v>
      </c>
      <c r="B919" s="680" t="str">
        <f>IFERROR(__xludf.DUMMYFUNCTION("""COMPUTED_VALUE"""),"https://drive.google.com/file/d/1ysVp3Vk_Bm-kgrT2l1h9mJDlMwC7toGK/view?usp=drivesdk")</f>
        <v>https://drive.google.com/file/d/1ysVp3Vk_Bm-kgrT2l1h9mJDlMwC7toGK/view?usp=drivesdk</v>
      </c>
      <c r="C919" s="159" t="str">
        <f>IFERROR(__xludf.DUMMYFUNCTION("""COMPUTED_VALUE"""),"10.1007--s10803-014-2139-1.pdf")</f>
        <v>10.1007--s10803-014-2139-1.pdf</v>
      </c>
      <c r="D919" s="159" t="str">
        <f>IFERROR(__xludf.DUMMYFUNCTION("""COMPUTED_VALUE"""),"application/pdf")</f>
        <v>application/pdf</v>
      </c>
    </row>
    <row r="920">
      <c r="A920" s="159" t="str">
        <f>IFERROR(__xludf.DUMMYFUNCTION("""COMPUTED_VALUE"""),"10.1002/pits.21953")</f>
        <v>10.1002/pits.21953</v>
      </c>
      <c r="B920" s="680" t="str">
        <f>IFERROR(__xludf.DUMMYFUNCTION("""COMPUTED_VALUE"""),"https://drive.google.com/file/d/1rehvP0kDldNOg4rLY0VGFiwvPM2zft3H/view?usp=drivesdk")</f>
        <v>https://drive.google.com/file/d/1rehvP0kDldNOg4rLY0VGFiwvPM2zft3H/view?usp=drivesdk</v>
      </c>
      <c r="C920" s="159" t="str">
        <f>IFERROR(__xludf.DUMMYFUNCTION("""COMPUTED_VALUE"""),"10.1002--pits.21953.pdf")</f>
        <v>10.1002--pits.21953.pdf</v>
      </c>
      <c r="D920" s="159" t="str">
        <f>IFERROR(__xludf.DUMMYFUNCTION("""COMPUTED_VALUE"""),"application/pdf")</f>
        <v>application/pdf</v>
      </c>
    </row>
    <row r="921">
      <c r="A921" s="159" t="str">
        <f>IFERROR(__xludf.DUMMYFUNCTION("""COMPUTED_VALUE"""),"10.1002/jaba.237")</f>
        <v>10.1002/jaba.237</v>
      </c>
      <c r="B921" s="680" t="str">
        <f>IFERROR(__xludf.DUMMYFUNCTION("""COMPUTED_VALUE"""),"https://drive.google.com/file/d/1EwsF0pnLu0pGACJr3ju1dbwNB6CV2Y9L/view?usp=drivesdk")</f>
        <v>https://drive.google.com/file/d/1EwsF0pnLu0pGACJr3ju1dbwNB6CV2Y9L/view?usp=drivesdk</v>
      </c>
      <c r="C921" s="159" t="str">
        <f>IFERROR(__xludf.DUMMYFUNCTION("""COMPUTED_VALUE"""),"10.1002--jaba.237.pdf")</f>
        <v>10.1002--jaba.237.pdf</v>
      </c>
      <c r="D921" s="159" t="str">
        <f>IFERROR(__xludf.DUMMYFUNCTION("""COMPUTED_VALUE"""),"application/pdf")</f>
        <v>application/pdf</v>
      </c>
    </row>
    <row r="922">
      <c r="A922" s="159" t="str">
        <f>IFERROR(__xludf.DUMMYFUNCTION("""COMPUTED_VALUE"""),"10.1002/jclp.23049")</f>
        <v>10.1002/jclp.23049</v>
      </c>
      <c r="B922" s="680" t="str">
        <f>IFERROR(__xludf.DUMMYFUNCTION("""COMPUTED_VALUE"""),"https://drive.google.com/file/d/1Y_EpmCGK_8GrQO61cfo7567_OUWQW7vY/view?usp=drivesdk")</f>
        <v>https://drive.google.com/file/d/1Y_EpmCGK_8GrQO61cfo7567_OUWQW7vY/view?usp=drivesdk</v>
      </c>
      <c r="C922" s="159" t="str">
        <f>IFERROR(__xludf.DUMMYFUNCTION("""COMPUTED_VALUE"""),"10.1002--jclp.23049.pdf")</f>
        <v>10.1002--jclp.23049.pdf</v>
      </c>
      <c r="D922" s="159" t="str">
        <f>IFERROR(__xludf.DUMMYFUNCTION("""COMPUTED_VALUE"""),"application/pdf")</f>
        <v>application/pdf</v>
      </c>
    </row>
    <row r="923">
      <c r="A923" s="159" t="str">
        <f>IFERROR(__xludf.DUMMYFUNCTION("""COMPUTED_VALUE"""),"10.1002/jaba.554")</f>
        <v>10.1002/jaba.554</v>
      </c>
      <c r="B923" s="680" t="str">
        <f>IFERROR(__xludf.DUMMYFUNCTION("""COMPUTED_VALUE"""),"https://drive.google.com/file/d/1nDrRbUYA46OyT_UiAcU2qmsoDAB6UA-A/view?usp=drivesdk")</f>
        <v>https://drive.google.com/file/d/1nDrRbUYA46OyT_UiAcU2qmsoDAB6UA-A/view?usp=drivesdk</v>
      </c>
      <c r="C923" s="159" t="str">
        <f>IFERROR(__xludf.DUMMYFUNCTION("""COMPUTED_VALUE"""),"10.1002--jaba.554.pdf")</f>
        <v>10.1002--jaba.554.pdf</v>
      </c>
      <c r="D923" s="159" t="str">
        <f>IFERROR(__xludf.DUMMYFUNCTION("""COMPUTED_VALUE"""),"application/pdf")</f>
        <v>application/pdf</v>
      </c>
    </row>
    <row r="924">
      <c r="A924" s="159" t="str">
        <f>IFERROR(__xludf.DUMMYFUNCTION("""COMPUTED_VALUE"""),"10.1002/erv.2569")</f>
        <v>10.1002/erv.2569</v>
      </c>
      <c r="B924" s="680" t="str">
        <f>IFERROR(__xludf.DUMMYFUNCTION("""COMPUTED_VALUE"""),"https://drive.google.com/file/d/1kAx4QgQTtcia-MvI5rRWYKB2z3n665tZ/view?usp=drivesdk")</f>
        <v>https://drive.google.com/file/d/1kAx4QgQTtcia-MvI5rRWYKB2z3n665tZ/view?usp=drivesdk</v>
      </c>
      <c r="C924" s="159" t="str">
        <f>IFERROR(__xludf.DUMMYFUNCTION("""COMPUTED_VALUE"""),"10.1002--erv.2569.pdf")</f>
        <v>10.1002--erv.2569.pdf</v>
      </c>
      <c r="D924" s="159" t="str">
        <f>IFERROR(__xludf.DUMMYFUNCTION("""COMPUTED_VALUE"""),"application/pdf")</f>
        <v>application/pdf</v>
      </c>
    </row>
    <row r="925">
      <c r="A925" s="159" t="str">
        <f>IFERROR(__xludf.DUMMYFUNCTION("""COMPUTED_VALUE"""),"10.1002/bin.1411")</f>
        <v>10.1002/bin.1411</v>
      </c>
      <c r="B925" s="680" t="str">
        <f>IFERROR(__xludf.DUMMYFUNCTION("""COMPUTED_VALUE"""),"https://drive.google.com/file/d/1nsz8SSPJ4Z_KpxpqXeVCe6NFPGxdyDUu/view?usp=drivesdk")</f>
        <v>https://drive.google.com/file/d/1nsz8SSPJ4Z_KpxpqXeVCe6NFPGxdyDUu/view?usp=drivesdk</v>
      </c>
      <c r="C925" s="159" t="str">
        <f>IFERROR(__xludf.DUMMYFUNCTION("""COMPUTED_VALUE"""),"10.1002--bin.1411.pdf")</f>
        <v>10.1002--bin.1411.pdf</v>
      </c>
      <c r="D925" s="159" t="str">
        <f>IFERROR(__xludf.DUMMYFUNCTION("""COMPUTED_VALUE"""),"application/pdf")</f>
        <v>application/pdf</v>
      </c>
    </row>
    <row r="926">
      <c r="A926" s="159" t="str">
        <f>IFERROR(__xludf.DUMMYFUNCTION("""COMPUTED_VALUE"""),"10.1177/0145445518786463")</f>
        <v>10.1177/0145445518786463</v>
      </c>
      <c r="B926" s="680" t="str">
        <f>IFERROR(__xludf.DUMMYFUNCTION("""COMPUTED_VALUE"""),"https://drive.google.com/file/d/1CIbkQesjQVKAtLNB3N7o4aZKLXHDZRky/view?usp=drivesdk")</f>
        <v>https://drive.google.com/file/d/1CIbkQesjQVKAtLNB3N7o4aZKLXHDZRky/view?usp=drivesdk</v>
      </c>
      <c r="C926" s="159" t="str">
        <f>IFERROR(__xludf.DUMMYFUNCTION("""COMPUTED_VALUE"""),"10.1177--0145445518786463.pdf")</f>
        <v>10.1177--0145445518786463.pdf</v>
      </c>
      <c r="D926" s="159" t="str">
        <f>IFERROR(__xludf.DUMMYFUNCTION("""COMPUTED_VALUE"""),"application/pdf")</f>
        <v>application/pdf</v>
      </c>
    </row>
    <row r="927">
      <c r="A927" s="159" t="str">
        <f>IFERROR(__xludf.DUMMYFUNCTION("""COMPUTED_VALUE"""),"10.1177/1948550619866187")</f>
        <v>10.1177/1948550619866187</v>
      </c>
      <c r="B927" s="680" t="str">
        <f>IFERROR(__xludf.DUMMYFUNCTION("""COMPUTED_VALUE"""),"https://drive.google.com/file/d/1CYyKHdz5t84W1sLTpB2JiwKkJfGqmCNm/view?usp=drivesdk")</f>
        <v>https://drive.google.com/file/d/1CYyKHdz5t84W1sLTpB2JiwKkJfGqmCNm/view?usp=drivesdk</v>
      </c>
      <c r="C927" s="159" t="str">
        <f>IFERROR(__xludf.DUMMYFUNCTION("""COMPUTED_VALUE"""),"10.1177--1948550619866187.pdf")</f>
        <v>10.1177--1948550619866187.pdf</v>
      </c>
      <c r="D927" s="159" t="str">
        <f>IFERROR(__xludf.DUMMYFUNCTION("""COMPUTED_VALUE"""),"application/pdf")</f>
        <v>application/pdf</v>
      </c>
    </row>
    <row r="928">
      <c r="A928" s="159" t="str">
        <f>IFERROR(__xludf.DUMMYFUNCTION("""COMPUTED_VALUE"""),"10.1177/1073191111415365")</f>
        <v>10.1177/1073191111415365</v>
      </c>
      <c r="B928" s="680" t="str">
        <f>IFERROR(__xludf.DUMMYFUNCTION("""COMPUTED_VALUE"""),"https://drive.google.com/file/d/1YLHlRVO4zMTD5FBk42S7nbccUGUSdMfC/view?usp=drivesdk")</f>
        <v>https://drive.google.com/file/d/1YLHlRVO4zMTD5FBk42S7nbccUGUSdMfC/view?usp=drivesdk</v>
      </c>
      <c r="C928" s="159" t="str">
        <f>IFERROR(__xludf.DUMMYFUNCTION("""COMPUTED_VALUE"""),"10.1177--1073191111415365.pdf")</f>
        <v>10.1177--1073191111415365.pdf</v>
      </c>
      <c r="D928" s="159" t="str">
        <f>IFERROR(__xludf.DUMMYFUNCTION("""COMPUTED_VALUE"""),"application/pdf")</f>
        <v>application/pdf</v>
      </c>
    </row>
    <row r="929">
      <c r="A929" s="159" t="str">
        <f>IFERROR(__xludf.DUMMYFUNCTION("""COMPUTED_VALUE"""),"10.1016/j.jrp.2014.04.009")</f>
        <v>10.1016/j.jrp.2014.04.009</v>
      </c>
      <c r="B929" s="680" t="str">
        <f>IFERROR(__xludf.DUMMYFUNCTION("""COMPUTED_VALUE"""),"https://drive.google.com/file/d/1UtoGZpomIGzea_7hOnR-61jrm2F9PfBb/view?usp=drivesdk")</f>
        <v>https://drive.google.com/file/d/1UtoGZpomIGzea_7hOnR-61jrm2F9PfBb/view?usp=drivesdk</v>
      </c>
      <c r="C929" s="159" t="str">
        <f>IFERROR(__xludf.DUMMYFUNCTION("""COMPUTED_VALUE"""),"10.1016--j.jrp.2014.04.009.pdf")</f>
        <v>10.1016--j.jrp.2014.04.009.pdf</v>
      </c>
      <c r="D929" s="159" t="str">
        <f>IFERROR(__xludf.DUMMYFUNCTION("""COMPUTED_VALUE"""),"application/pdf")</f>
        <v>application/pdf</v>
      </c>
    </row>
    <row r="930">
      <c r="A930" s="159" t="str">
        <f>IFERROR(__xludf.DUMMYFUNCTION("""COMPUTED_VALUE"""),"10.3389/fpsyg.2019.00209")</f>
        <v>10.3389/fpsyg.2019.00209</v>
      </c>
      <c r="B930" s="680" t="str">
        <f>IFERROR(__xludf.DUMMYFUNCTION("""COMPUTED_VALUE"""),"https://drive.google.com/file/d/1M19iPSon4hZri_TBOGH_WpyLcx3HcCL1/view?usp=drivesdk")</f>
        <v>https://drive.google.com/file/d/1M19iPSon4hZri_TBOGH_WpyLcx3HcCL1/view?usp=drivesdk</v>
      </c>
      <c r="C930" s="159" t="str">
        <f>IFERROR(__xludf.DUMMYFUNCTION("""COMPUTED_VALUE"""),"10.3389--fpsyg.2019.00209.pdf")</f>
        <v>10.3389--fpsyg.2019.00209.pdf</v>
      </c>
      <c r="D930" s="159" t="str">
        <f>IFERROR(__xludf.DUMMYFUNCTION("""COMPUTED_VALUE"""),"application/pdf")</f>
        <v>application/pdf</v>
      </c>
    </row>
    <row r="931">
      <c r="A931" s="159" t="str">
        <f>IFERROR(__xludf.DUMMYFUNCTION("""COMPUTED_VALUE"""),"10.1016/j.brat.2017.07.012")</f>
        <v>10.1016/j.brat.2017.07.012</v>
      </c>
      <c r="B931" s="680" t="str">
        <f>IFERROR(__xludf.DUMMYFUNCTION("""COMPUTED_VALUE"""),"https://drive.google.com/file/d/1ut_39xjWXzZfdC-mooi3K8eOOTVCtLi4/view?usp=drivesdk")</f>
        <v>https://drive.google.com/file/d/1ut_39xjWXzZfdC-mooi3K8eOOTVCtLi4/view?usp=drivesdk</v>
      </c>
      <c r="C931" s="159" t="str">
        <f>IFERROR(__xludf.DUMMYFUNCTION("""COMPUTED_VALUE"""),"10.1016--j.brat.2017.07.012.pdf")</f>
        <v>10.1016--j.brat.2017.07.012.pdf</v>
      </c>
      <c r="D931" s="159" t="str">
        <f>IFERROR(__xludf.DUMMYFUNCTION("""COMPUTED_VALUE"""),"application/pdf")</f>
        <v>application/pdf</v>
      </c>
    </row>
    <row r="932">
      <c r="A932" s="159" t="str">
        <f>IFERROR(__xludf.DUMMYFUNCTION("""COMPUTED_VALUE"""),"10.1111/bjhp.12422")</f>
        <v>10.1111/bjhp.12422</v>
      </c>
      <c r="B932" s="680" t="str">
        <f>IFERROR(__xludf.DUMMYFUNCTION("""COMPUTED_VALUE"""),"https://drive.google.com/file/d/1f3VX1OLfQmn8JftTcrO7GsaKuGD3i0sF/view?usp=drivesdk")</f>
        <v>https://drive.google.com/file/d/1f3VX1OLfQmn8JftTcrO7GsaKuGD3i0sF/view?usp=drivesdk</v>
      </c>
      <c r="C932" s="159" t="str">
        <f>IFERROR(__xludf.DUMMYFUNCTION("""COMPUTED_VALUE"""),"10.1111--bjhp.12422.pdf")</f>
        <v>10.1111--bjhp.12422.pdf</v>
      </c>
      <c r="D932" s="159" t="str">
        <f>IFERROR(__xludf.DUMMYFUNCTION("""COMPUTED_VALUE"""),"application/pdf")</f>
        <v>application/pdf</v>
      </c>
    </row>
    <row r="933">
      <c r="A933" s="159" t="str">
        <f>IFERROR(__xludf.DUMMYFUNCTION("""COMPUTED_VALUE"""),"10.1080/00221309.2013.831804")</f>
        <v>10.1080/00221309.2013.831804</v>
      </c>
      <c r="B933" s="680" t="str">
        <f>IFERROR(__xludf.DUMMYFUNCTION("""COMPUTED_VALUE"""),"https://drive.google.com/file/d/1fG17Xjgz4obfXcnkblykNgpNL9XPrpo0/view?usp=drivesdk")</f>
        <v>https://drive.google.com/file/d/1fG17Xjgz4obfXcnkblykNgpNL9XPrpo0/view?usp=drivesdk</v>
      </c>
      <c r="C933" s="159" t="str">
        <f>IFERROR(__xludf.DUMMYFUNCTION("""COMPUTED_VALUE"""),"10.1080--00221309.2013.831804.pdf")</f>
        <v>10.1080--00221309.2013.831804.pdf</v>
      </c>
      <c r="D933" s="159" t="str">
        <f>IFERROR(__xludf.DUMMYFUNCTION("""COMPUTED_VALUE"""),"application/pdf")</f>
        <v>application/pdf</v>
      </c>
    </row>
    <row r="934">
      <c r="A934" s="159" t="str">
        <f>IFERROR(__xludf.DUMMYFUNCTION("""COMPUTED_VALUE"""),"10.1080/02699931.2016.1168779")</f>
        <v>10.1080/02699931.2016.1168779</v>
      </c>
      <c r="B934" s="680" t="str">
        <f>IFERROR(__xludf.DUMMYFUNCTION("""COMPUTED_VALUE"""),"https://drive.google.com/file/d/1gPGnEbDjqg2vBIKsJCJcHa5KsIEH-XUh/view?usp=drivesdk")</f>
        <v>https://drive.google.com/file/d/1gPGnEbDjqg2vBIKsJCJcHa5KsIEH-XUh/view?usp=drivesdk</v>
      </c>
      <c r="C934" s="159" t="str">
        <f>IFERROR(__xludf.DUMMYFUNCTION("""COMPUTED_VALUE"""),"10.1080--02699931.2016.1168779.pdf")</f>
        <v>10.1080--02699931.2016.1168779.pdf</v>
      </c>
      <c r="D934" s="159" t="str">
        <f>IFERROR(__xludf.DUMMYFUNCTION("""COMPUTED_VALUE"""),"application/pdf")</f>
        <v>application/pdf</v>
      </c>
    </row>
    <row r="935">
      <c r="A935" s="159" t="str">
        <f>IFERROR(__xludf.DUMMYFUNCTION("""COMPUTED_VALUE"""),"10.1037/a0022822")</f>
        <v>10.1037/a0022822</v>
      </c>
      <c r="B935" s="680" t="str">
        <f>IFERROR(__xludf.DUMMYFUNCTION("""COMPUTED_VALUE"""),"https://drive.google.com/file/d/1U_ShHWq38K7Bj_BiFcoNDh9B-h-W_OJr/view?usp=drivesdk")</f>
        <v>https://drive.google.com/file/d/1U_ShHWq38K7Bj_BiFcoNDh9B-h-W_OJr/view?usp=drivesdk</v>
      </c>
      <c r="C935" s="159" t="str">
        <f>IFERROR(__xludf.DUMMYFUNCTION("""COMPUTED_VALUE"""),"10.1037--a0022822.pdf")</f>
        <v>10.1037--a0022822.pdf</v>
      </c>
      <c r="D935" s="159" t="str">
        <f>IFERROR(__xludf.DUMMYFUNCTION("""COMPUTED_VALUE"""),"application/pdf")</f>
        <v>application/pdf</v>
      </c>
    </row>
    <row r="936">
      <c r="A936" s="159" t="str">
        <f>IFERROR(__xludf.DUMMYFUNCTION("""COMPUTED_VALUE"""),"10.1016/j.paid.2019.06.012")</f>
        <v>10.1016/j.paid.2019.06.012</v>
      </c>
      <c r="B936" s="680" t="str">
        <f>IFERROR(__xludf.DUMMYFUNCTION("""COMPUTED_VALUE"""),"https://drive.google.com/file/d/1wyBTkcn_GE4mfO1uGUr7qem3oLNBUJa_/view?usp=drivesdk")</f>
        <v>https://drive.google.com/file/d/1wyBTkcn_GE4mfO1uGUr7qem3oLNBUJa_/view?usp=drivesdk</v>
      </c>
      <c r="C936" s="159" t="str">
        <f>IFERROR(__xludf.DUMMYFUNCTION("""COMPUTED_VALUE"""),"10.1016--j.paid.2019.06.012.pdf")</f>
        <v>10.1016--j.paid.2019.06.012.pdf</v>
      </c>
      <c r="D936" s="159" t="str">
        <f>IFERROR(__xludf.DUMMYFUNCTION("""COMPUTED_VALUE"""),"application/pdf")</f>
        <v>application/pdf</v>
      </c>
    </row>
    <row r="937">
      <c r="A937" s="159" t="str">
        <f>IFERROR(__xludf.DUMMYFUNCTION("""COMPUTED_VALUE"""),"10.1016/j.paid.2015.08.031")</f>
        <v>10.1016/j.paid.2015.08.031</v>
      </c>
      <c r="B937" s="680" t="str">
        <f>IFERROR(__xludf.DUMMYFUNCTION("""COMPUTED_VALUE"""),"https://drive.google.com/file/d/16JQNoO8JQulQ1kvBIF9ooglN6nvnOKwR/view?usp=drivesdk")</f>
        <v>https://drive.google.com/file/d/16JQNoO8JQulQ1kvBIF9ooglN6nvnOKwR/view?usp=drivesdk</v>
      </c>
      <c r="C937" s="159" t="str">
        <f>IFERROR(__xludf.DUMMYFUNCTION("""COMPUTED_VALUE"""),"10.1016--j.paid.2015.08.031.pdf")</f>
        <v>10.1016--j.paid.2015.08.031.pdf</v>
      </c>
      <c r="D937" s="159" t="str">
        <f>IFERROR(__xludf.DUMMYFUNCTION("""COMPUTED_VALUE"""),"application/pdf")</f>
        <v>application/pdf</v>
      </c>
    </row>
    <row r="938">
      <c r="A938" s="159" t="str">
        <f>IFERROR(__xludf.DUMMYFUNCTION("""COMPUTED_VALUE"""),"10.1007/s10566-014-9293-7")</f>
        <v>10.1007/s10566-014-9293-7</v>
      </c>
      <c r="B938" s="680" t="str">
        <f>IFERROR(__xludf.DUMMYFUNCTION("""COMPUTED_VALUE"""),"https://drive.google.com/file/d/1Czc5aZ-JQl9Ze5sayp-QbkKeN2bHe1gk/view?usp=drivesdk")</f>
        <v>https://drive.google.com/file/d/1Czc5aZ-JQl9Ze5sayp-QbkKeN2bHe1gk/view?usp=drivesdk</v>
      </c>
      <c r="C938" s="159" t="str">
        <f>IFERROR(__xludf.DUMMYFUNCTION("""COMPUTED_VALUE"""),"10.1007--s10566-014-9293-7.pdf")</f>
        <v>10.1007--s10566-014-9293-7.pdf</v>
      </c>
      <c r="D938" s="159" t="str">
        <f>IFERROR(__xludf.DUMMYFUNCTION("""COMPUTED_VALUE"""),"application/pdf")</f>
        <v>application/pdf</v>
      </c>
    </row>
    <row r="939">
      <c r="A939" s="159" t="str">
        <f>IFERROR(__xludf.DUMMYFUNCTION("""COMPUTED_VALUE"""),"10.1002/pchj.339")</f>
        <v>10.1002/pchj.339</v>
      </c>
      <c r="B939" s="680" t="str">
        <f>IFERROR(__xludf.DUMMYFUNCTION("""COMPUTED_VALUE"""),"https://drive.google.com/file/d/1INr3r-uiHA_8jbfY-cR2T050CvniVkN7/view?usp=drivesdk")</f>
        <v>https://drive.google.com/file/d/1INr3r-uiHA_8jbfY-cR2T050CvniVkN7/view?usp=drivesdk</v>
      </c>
      <c r="C939" s="159" t="str">
        <f>IFERROR(__xludf.DUMMYFUNCTION("""COMPUTED_VALUE"""),"10.1002--pchj.339.pdf")</f>
        <v>10.1002--pchj.339.pdf</v>
      </c>
      <c r="D939" s="159" t="str">
        <f>IFERROR(__xludf.DUMMYFUNCTION("""COMPUTED_VALUE"""),"application/pdf")</f>
        <v>application/pdf</v>
      </c>
    </row>
    <row r="940">
      <c r="A940" s="159" t="str">
        <f>IFERROR(__xludf.DUMMYFUNCTION("""COMPUTED_VALUE"""),"10.1016/j.jrp.2010.11.010")</f>
        <v>10.1016/j.jrp.2010.11.010</v>
      </c>
      <c r="B940" s="680" t="str">
        <f>IFERROR(__xludf.DUMMYFUNCTION("""COMPUTED_VALUE"""),"https://drive.google.com/file/d/1RyN83mHGTApKt6B6S4Jlo5fQbPQSk-_h/view?usp=drivesdk")</f>
        <v>https://drive.google.com/file/d/1RyN83mHGTApKt6B6S4Jlo5fQbPQSk-_h/view?usp=drivesdk</v>
      </c>
      <c r="C940" s="159" t="str">
        <f>IFERROR(__xludf.DUMMYFUNCTION("""COMPUTED_VALUE"""),"10.1016--j.jrp.2010.11.010.pdf")</f>
        <v>10.1016--j.jrp.2010.11.010.pdf</v>
      </c>
      <c r="D940" s="159" t="str">
        <f>IFERROR(__xludf.DUMMYFUNCTION("""COMPUTED_VALUE"""),"application/pdf")</f>
        <v>application/pdf</v>
      </c>
    </row>
    <row r="941">
      <c r="A941" s="159" t="str">
        <f>IFERROR(__xludf.DUMMYFUNCTION("""COMPUTED_VALUE"""),"10.3758/s13421-019-00899-4")</f>
        <v>10.3758/s13421-019-00899-4</v>
      </c>
      <c r="B941" s="680" t="str">
        <f>IFERROR(__xludf.DUMMYFUNCTION("""COMPUTED_VALUE"""),"https://drive.google.com/file/d/1O4Z3E8WDBEBZlyUl5ki0754W75nCVFl9/view?usp=drivesdk")</f>
        <v>https://drive.google.com/file/d/1O4Z3E8WDBEBZlyUl5ki0754W75nCVFl9/view?usp=drivesdk</v>
      </c>
      <c r="C941" s="159" t="str">
        <f>IFERROR(__xludf.DUMMYFUNCTION("""COMPUTED_VALUE"""),"10.3758--s13421-019-00899-4.pdf")</f>
        <v>10.3758--s13421-019-00899-4.pdf</v>
      </c>
      <c r="D941" s="159" t="str">
        <f>IFERROR(__xludf.DUMMYFUNCTION("""COMPUTED_VALUE"""),"application/pdf")</f>
        <v>application/pdf</v>
      </c>
    </row>
    <row r="942">
      <c r="A942" s="159" t="str">
        <f>IFERROR(__xludf.DUMMYFUNCTION("""COMPUTED_VALUE"""),"10.7334/psicothema2019.405")</f>
        <v>10.7334/psicothema2019.405</v>
      </c>
      <c r="B942" s="680" t="str">
        <f>IFERROR(__xludf.DUMMYFUNCTION("""COMPUTED_VALUE"""),"https://drive.google.com/file/d/1hscDuQECm52P5exUVaXPVs51ZzXtuRaT/view?usp=drivesdk")</f>
        <v>https://drive.google.com/file/d/1hscDuQECm52P5exUVaXPVs51ZzXtuRaT/view?usp=drivesdk</v>
      </c>
      <c r="C942" s="159" t="str">
        <f>IFERROR(__xludf.DUMMYFUNCTION("""COMPUTED_VALUE"""),"10.7334--psicothema2019.405.pdf")</f>
        <v>10.7334--psicothema2019.405.pdf</v>
      </c>
      <c r="D942" s="159" t="str">
        <f>IFERROR(__xludf.DUMMYFUNCTION("""COMPUTED_VALUE"""),"application/pdf")</f>
        <v>application/pdf</v>
      </c>
    </row>
    <row r="943">
      <c r="A943" s="159" t="str">
        <f>IFERROR(__xludf.DUMMYFUNCTION("""COMPUTED_VALUE"""),"10.1177/0033294120957242")</f>
        <v>10.1177/0033294120957242</v>
      </c>
      <c r="B943" s="680" t="str">
        <f>IFERROR(__xludf.DUMMYFUNCTION("""COMPUTED_VALUE"""),"https://drive.google.com/file/d/1uqKCBjjsBLLP9R1cY7CSscLngEMlvgsZ/view?usp=drivesdk")</f>
        <v>https://drive.google.com/file/d/1uqKCBjjsBLLP9R1cY7CSscLngEMlvgsZ/view?usp=drivesdk</v>
      </c>
      <c r="C943" s="159" t="str">
        <f>IFERROR(__xludf.DUMMYFUNCTION("""COMPUTED_VALUE"""),"10.1177--0033294120957242.pdf")</f>
        <v>10.1177--0033294120957242.pdf</v>
      </c>
      <c r="D943" s="159" t="str">
        <f>IFERROR(__xludf.DUMMYFUNCTION("""COMPUTED_VALUE"""),"application/pdf")</f>
        <v>application/pdf</v>
      </c>
    </row>
    <row r="944">
      <c r="A944" s="159" t="str">
        <f>IFERROR(__xludf.DUMMYFUNCTION("""COMPUTED_VALUE"""),"10.3758/s13420-011-0022-x")</f>
        <v>10.3758/s13420-011-0022-x</v>
      </c>
      <c r="B944" s="680" t="str">
        <f>IFERROR(__xludf.DUMMYFUNCTION("""COMPUTED_VALUE"""),"https://drive.google.com/file/d/1AuNAf7lnOvo7QrZ-J4vwc9f1vUg542gd/view?usp=drivesdk")</f>
        <v>https://drive.google.com/file/d/1AuNAf7lnOvo7QrZ-J4vwc9f1vUg542gd/view?usp=drivesdk</v>
      </c>
      <c r="C944" s="159" t="str">
        <f>IFERROR(__xludf.DUMMYFUNCTION("""COMPUTED_VALUE"""),"10.3758--s13420-011-0022-x.pdf")</f>
        <v>10.3758--s13420-011-0022-x.pdf</v>
      </c>
      <c r="D944" s="159" t="str">
        <f>IFERROR(__xludf.DUMMYFUNCTION("""COMPUTED_VALUE"""),"application/pdf")</f>
        <v>application/pdf</v>
      </c>
    </row>
    <row r="945">
      <c r="A945" s="159" t="str">
        <f>IFERROR(__xludf.DUMMYFUNCTION("""COMPUTED_VALUE"""),"10.3758/s13420-019-00400-w")</f>
        <v>10.3758/s13420-019-00400-w</v>
      </c>
      <c r="B945" s="680" t="str">
        <f>IFERROR(__xludf.DUMMYFUNCTION("""COMPUTED_VALUE"""),"https://drive.google.com/file/d/1Onjhzt6DwoZrjGjz6X61baw4m0bp-7E_/view?usp=drivesdk")</f>
        <v>https://drive.google.com/file/d/1Onjhzt6DwoZrjGjz6X61baw4m0bp-7E_/view?usp=drivesdk</v>
      </c>
      <c r="C945" s="159" t="str">
        <f>IFERROR(__xludf.DUMMYFUNCTION("""COMPUTED_VALUE"""),"10.3758--s13420-019-00400-w.pdf")</f>
        <v>10.3758--s13420-019-00400-w.pdf</v>
      </c>
      <c r="D945" s="159" t="str">
        <f>IFERROR(__xludf.DUMMYFUNCTION("""COMPUTED_VALUE"""),"application/pdf")</f>
        <v>application/pdf</v>
      </c>
    </row>
    <row r="946">
      <c r="A946" s="159" t="str">
        <f>IFERROR(__xludf.DUMMYFUNCTION("""COMPUTED_VALUE"""),"10.3389/fpsyg.2018.02374")</f>
        <v>10.3389/fpsyg.2018.02374</v>
      </c>
      <c r="B946" s="680" t="str">
        <f>IFERROR(__xludf.DUMMYFUNCTION("""COMPUTED_VALUE"""),"https://drive.google.com/file/d/18TggGlWkXeSu5bk_69IJ9x2PmMxVkhua/view?usp=drivesdk")</f>
        <v>https://drive.google.com/file/d/18TggGlWkXeSu5bk_69IJ9x2PmMxVkhua/view?usp=drivesdk</v>
      </c>
      <c r="C946" s="159" t="str">
        <f>IFERROR(__xludf.DUMMYFUNCTION("""COMPUTED_VALUE"""),"10.3389--fpsyg.2018.02374.pdf")</f>
        <v>10.3389--fpsyg.2018.02374.pdf</v>
      </c>
      <c r="D946" s="159" t="str">
        <f>IFERROR(__xludf.DUMMYFUNCTION("""COMPUTED_VALUE"""),"application/pdf")</f>
        <v>application/pdf</v>
      </c>
    </row>
    <row r="947">
      <c r="A947" s="159" t="str">
        <f>IFERROR(__xludf.DUMMYFUNCTION("""COMPUTED_VALUE"""),"10.3389/fpsyg.2013.00858")</f>
        <v>10.3389/fpsyg.2013.00858</v>
      </c>
      <c r="B947" s="680" t="str">
        <f>IFERROR(__xludf.DUMMYFUNCTION("""COMPUTED_VALUE"""),"https://drive.google.com/file/d/1tER524eY1Pm4waC522tn1TKATaBAcIdy/view?usp=drivesdk")</f>
        <v>https://drive.google.com/file/d/1tER524eY1Pm4waC522tn1TKATaBAcIdy/view?usp=drivesdk</v>
      </c>
      <c r="C947" s="159" t="str">
        <f>IFERROR(__xludf.DUMMYFUNCTION("""COMPUTED_VALUE"""),"10.3389--fpsyg.2013.00858.pdf")</f>
        <v>10.3389--fpsyg.2013.00858.pdf</v>
      </c>
      <c r="D947" s="159" t="str">
        <f>IFERROR(__xludf.DUMMYFUNCTION("""COMPUTED_VALUE"""),"application/pdf")</f>
        <v>application/pdf</v>
      </c>
    </row>
    <row r="948">
      <c r="A948" s="159" t="str">
        <f>IFERROR(__xludf.DUMMYFUNCTION("""COMPUTED_VALUE"""),"10.3389/fnhum.2019.00119")</f>
        <v>10.3389/fnhum.2019.00119</v>
      </c>
      <c r="B948" s="680" t="str">
        <f>IFERROR(__xludf.DUMMYFUNCTION("""COMPUTED_VALUE"""),"https://drive.google.com/file/d/1xZ5HwISaypm-rAliUK4bTLRksYd6Ggmp/view?usp=drivesdk")</f>
        <v>https://drive.google.com/file/d/1xZ5HwISaypm-rAliUK4bTLRksYd6Ggmp/view?usp=drivesdk</v>
      </c>
      <c r="C948" s="159" t="str">
        <f>IFERROR(__xludf.DUMMYFUNCTION("""COMPUTED_VALUE"""),"10.3389--fnhum.2019.00119.pdf")</f>
        <v>10.3389--fnhum.2019.00119.pdf</v>
      </c>
      <c r="D948" s="159" t="str">
        <f>IFERROR(__xludf.DUMMYFUNCTION("""COMPUTED_VALUE"""),"application/pdf")</f>
        <v>application/pdf</v>
      </c>
    </row>
    <row r="949">
      <c r="A949" s="159" t="str">
        <f>IFERROR(__xludf.DUMMYFUNCTION("""COMPUTED_VALUE"""),"10.1901/jeab.2011.96-243")</f>
        <v>10.1901/jeab.2011.96-243</v>
      </c>
      <c r="B949" s="680" t="str">
        <f>IFERROR(__xludf.DUMMYFUNCTION("""COMPUTED_VALUE"""),"https://drive.google.com/file/d/1-wdncb2cO0VeOs6J7tH6tKqbYdC4tKJa/view?usp=drivesdk")</f>
        <v>https://drive.google.com/file/d/1-wdncb2cO0VeOs6J7tH6tKqbYdC4tKJa/view?usp=drivesdk</v>
      </c>
      <c r="C949" s="159" t="str">
        <f>IFERROR(__xludf.DUMMYFUNCTION("""COMPUTED_VALUE"""),"10.1901--jeab.2011.96-243.pdf")</f>
        <v>10.1901--jeab.2011.96-243.pdf</v>
      </c>
      <c r="D949" s="159" t="str">
        <f>IFERROR(__xludf.DUMMYFUNCTION("""COMPUTED_VALUE"""),"application/pdf")</f>
        <v>application/pdf</v>
      </c>
    </row>
    <row r="950">
      <c r="A950" s="159" t="str">
        <f>IFERROR(__xludf.DUMMYFUNCTION("""COMPUTED_VALUE"""),"10.1177/1368430219861848")</f>
        <v>10.1177/1368430219861848</v>
      </c>
      <c r="B950" s="680" t="str">
        <f>IFERROR(__xludf.DUMMYFUNCTION("""COMPUTED_VALUE"""),"https://drive.google.com/file/d/1iaViZsT5wDy5G8zBeOeH6DEs-CR3Ac5P/view?usp=drivesdk")</f>
        <v>https://drive.google.com/file/d/1iaViZsT5wDy5G8zBeOeH6DEs-CR3Ac5P/view?usp=drivesdk</v>
      </c>
      <c r="C950" s="159" t="str">
        <f>IFERROR(__xludf.DUMMYFUNCTION("""COMPUTED_VALUE"""),"10.1177--1368430219861848.pdf")</f>
        <v>10.1177--1368430219861848.pdf</v>
      </c>
      <c r="D950" s="159" t="str">
        <f>IFERROR(__xludf.DUMMYFUNCTION("""COMPUTED_VALUE"""),"application/pdf")</f>
        <v>application/pdf</v>
      </c>
    </row>
    <row r="951">
      <c r="A951" s="159" t="str">
        <f>IFERROR(__xludf.DUMMYFUNCTION("""COMPUTED_VALUE"""),"10.1093/geronb/gbt044")</f>
        <v>10.1093/geronb/gbt044</v>
      </c>
      <c r="B951" s="680" t="str">
        <f>IFERROR(__xludf.DUMMYFUNCTION("""COMPUTED_VALUE"""),"https://drive.google.com/file/d/1aNzKHnUJIxhkPSrHpYsD3L4dSNXQ-vB-/view?usp=drivesdk")</f>
        <v>https://drive.google.com/file/d/1aNzKHnUJIxhkPSrHpYsD3L4dSNXQ-vB-/view?usp=drivesdk</v>
      </c>
      <c r="C951" s="159" t="str">
        <f>IFERROR(__xludf.DUMMYFUNCTION("""COMPUTED_VALUE"""),"10.1093--geronb--gbt044.pdf")</f>
        <v>10.1093--geronb--gbt044.pdf</v>
      </c>
      <c r="D951" s="159" t="str">
        <f>IFERROR(__xludf.DUMMYFUNCTION("""COMPUTED_VALUE"""),"application/pdf")</f>
        <v>application/pdf</v>
      </c>
    </row>
    <row r="952">
      <c r="A952" s="159" t="str">
        <f>IFERROR(__xludf.DUMMYFUNCTION("""COMPUTED_VALUE"""),"10.1111/bjso.12217")</f>
        <v>10.1111/bjso.12217</v>
      </c>
      <c r="B952" s="680" t="str">
        <f>IFERROR(__xludf.DUMMYFUNCTION("""COMPUTED_VALUE"""),"https://drive.google.com/file/d/1xrLs1VeE6z1N0rhUYb4xMyLvV1mRyn-h/view?usp=drivesdk")</f>
        <v>https://drive.google.com/file/d/1xrLs1VeE6z1N0rhUYb4xMyLvV1mRyn-h/view?usp=drivesdk</v>
      </c>
      <c r="C952" s="159" t="str">
        <f>IFERROR(__xludf.DUMMYFUNCTION("""COMPUTED_VALUE"""),"10.1111--bjso.12217.pdf")</f>
        <v>10.1111--bjso.12217.pdf</v>
      </c>
      <c r="D952" s="159" t="str">
        <f>IFERROR(__xludf.DUMMYFUNCTION("""COMPUTED_VALUE"""),"application/pdf")</f>
        <v>application/pdf</v>
      </c>
    </row>
    <row r="953">
      <c r="A953" s="159" t="str">
        <f>IFERROR(__xludf.DUMMYFUNCTION("""COMPUTED_VALUE"""),"10.1080/10409289.2011.616134")</f>
        <v>10.1080/10409289.2011.616134</v>
      </c>
      <c r="B953" s="680" t="str">
        <f>IFERROR(__xludf.DUMMYFUNCTION("""COMPUTED_VALUE"""),"https://drive.google.com/file/d/16J07lShWNnRCs5jdoy3kElpIS8XbsQTz/view?usp=drivesdk")</f>
        <v>https://drive.google.com/file/d/16J07lShWNnRCs5jdoy3kElpIS8XbsQTz/view?usp=drivesdk</v>
      </c>
      <c r="C953" s="159" t="str">
        <f>IFERROR(__xludf.DUMMYFUNCTION("""COMPUTED_VALUE"""),"10.1080--10409289.2011.616134.pdf")</f>
        <v>10.1080--10409289.2011.616134.pdf</v>
      </c>
      <c r="D953" s="159" t="str">
        <f>IFERROR(__xludf.DUMMYFUNCTION("""COMPUTED_VALUE"""),"application/pdf")</f>
        <v>application/pdf</v>
      </c>
    </row>
    <row r="954">
      <c r="A954" s="159" t="str">
        <f>IFERROR(__xludf.DUMMYFUNCTION("""COMPUTED_VALUE"""),"10.1080/00222895.2014.898608")</f>
        <v>10.1080/00222895.2014.898608</v>
      </c>
      <c r="B954" s="680" t="str">
        <f>IFERROR(__xludf.DUMMYFUNCTION("""COMPUTED_VALUE"""),"https://drive.google.com/file/d/1LxeevgLjyT8AkjlH4E6MYnCp9eeL2d8B/view?usp=drivesdk")</f>
        <v>https://drive.google.com/file/d/1LxeevgLjyT8AkjlH4E6MYnCp9eeL2d8B/view?usp=drivesdk</v>
      </c>
      <c r="C954" s="159" t="str">
        <f>IFERROR(__xludf.DUMMYFUNCTION("""COMPUTED_VALUE"""),"10.1080--00222895.2014.898608.pdf")</f>
        <v>10.1080--00222895.2014.898608.pdf</v>
      </c>
      <c r="D954" s="159" t="str">
        <f>IFERROR(__xludf.DUMMYFUNCTION("""COMPUTED_VALUE"""),"application/pdf")</f>
        <v>application/pdf</v>
      </c>
    </row>
    <row r="955">
      <c r="A955" s="159" t="str">
        <f>IFERROR(__xludf.DUMMYFUNCTION("""COMPUTED_VALUE"""),"10.1068/i0484")</f>
        <v>10.1068/i0484</v>
      </c>
      <c r="B955" s="680" t="str">
        <f>IFERROR(__xludf.DUMMYFUNCTION("""COMPUTED_VALUE"""),"https://drive.google.com/file/d/1gjjSTXPvy0oA6FE6LBYps63-uCAoPuvQ/view?usp=drivesdk")</f>
        <v>https://drive.google.com/file/d/1gjjSTXPvy0oA6FE6LBYps63-uCAoPuvQ/view?usp=drivesdk</v>
      </c>
      <c r="C955" s="159" t="str">
        <f>IFERROR(__xludf.DUMMYFUNCTION("""COMPUTED_VALUE"""),"10.1068--i0484.pdf")</f>
        <v>10.1068--i0484.pdf</v>
      </c>
      <c r="D955" s="159" t="str">
        <f>IFERROR(__xludf.DUMMYFUNCTION("""COMPUTED_VALUE"""),"application/pdf")</f>
        <v>application/pdf</v>
      </c>
    </row>
    <row r="956">
      <c r="A956" s="159" t="str">
        <f>IFERROR(__xludf.DUMMYFUNCTION("""COMPUTED_VALUE"""),"10.1080/00222895.2012.746635")</f>
        <v>10.1080/00222895.2012.746635</v>
      </c>
      <c r="B956" s="680" t="str">
        <f>IFERROR(__xludf.DUMMYFUNCTION("""COMPUTED_VALUE"""),"https://drive.google.com/file/d/1uH-moXpKZkoW06G-uMIqMrMsOgICxhxK/view?usp=drivesdk")</f>
        <v>https://drive.google.com/file/d/1uH-moXpKZkoW06G-uMIqMrMsOgICxhxK/view?usp=drivesdk</v>
      </c>
      <c r="C956" s="159" t="str">
        <f>IFERROR(__xludf.DUMMYFUNCTION("""COMPUTED_VALUE"""),"10.1080--00222895.2012.746635.pdf")</f>
        <v>10.1080--00222895.2012.746635.pdf</v>
      </c>
      <c r="D956" s="159" t="str">
        <f>IFERROR(__xludf.DUMMYFUNCTION("""COMPUTED_VALUE"""),"application/pdf")</f>
        <v>application/pdf</v>
      </c>
    </row>
    <row r="957">
      <c r="A957" s="159" t="str">
        <f>IFERROR(__xludf.DUMMYFUNCTION("""COMPUTED_VALUE"""),"10.1016/j.psym.2016.03.006")</f>
        <v>10.1016/j.psym.2016.03.006</v>
      </c>
      <c r="B957" s="680" t="str">
        <f>IFERROR(__xludf.DUMMYFUNCTION("""COMPUTED_VALUE"""),"https://drive.google.com/file/d/1E0ejpct5a7_vB178iahBwAL_i2oxz72N/view?usp=drivesdk")</f>
        <v>https://drive.google.com/file/d/1E0ejpct5a7_vB178iahBwAL_i2oxz72N/view?usp=drivesdk</v>
      </c>
      <c r="C957" s="159" t="str">
        <f>IFERROR(__xludf.DUMMYFUNCTION("""COMPUTED_VALUE"""),"10.1016--j.psym.2016.03.006.pdf")</f>
        <v>10.1016--j.psym.2016.03.006.pdf</v>
      </c>
      <c r="D957" s="159" t="str">
        <f>IFERROR(__xludf.DUMMYFUNCTION("""COMPUTED_VALUE"""),"application/pdf")</f>
        <v>application/pdf</v>
      </c>
    </row>
    <row r="958">
      <c r="A958" s="159" t="str">
        <f>IFERROR(__xludf.DUMMYFUNCTION("""COMPUTED_VALUE"""),"10.3758/s13421-018-0888-3")</f>
        <v>10.3758/s13421-018-0888-3</v>
      </c>
      <c r="B958" s="680" t="str">
        <f>IFERROR(__xludf.DUMMYFUNCTION("""COMPUTED_VALUE"""),"https://drive.google.com/file/d/1StamO0swYfk-wAy_lOvSoSp4ZqzBiRbh/view?usp=drivesdk")</f>
        <v>https://drive.google.com/file/d/1StamO0swYfk-wAy_lOvSoSp4ZqzBiRbh/view?usp=drivesdk</v>
      </c>
      <c r="C958" s="159" t="str">
        <f>IFERROR(__xludf.DUMMYFUNCTION("""COMPUTED_VALUE"""),"10.3758--s13421-018-0888-3.pdf")</f>
        <v>10.3758--s13421-018-0888-3.pdf</v>
      </c>
      <c r="D958" s="159" t="str">
        <f>IFERROR(__xludf.DUMMYFUNCTION("""COMPUTED_VALUE"""),"application/pdf")</f>
        <v>application/pdf</v>
      </c>
    </row>
    <row r="959">
      <c r="A959" s="159" t="str">
        <f>IFERROR(__xludf.DUMMYFUNCTION("""COMPUTED_VALUE"""),"10.5406/amerjpsyc.126.2.0213")</f>
        <v>10.5406/amerjpsyc.126.2.0213</v>
      </c>
      <c r="B959" s="680" t="str">
        <f>IFERROR(__xludf.DUMMYFUNCTION("""COMPUTED_VALUE"""),"https://drive.google.com/file/d/1ULXsAIovWTEPQuG4O21N-Lh-v1ny-4DE/view?usp=drivesdk")</f>
        <v>https://drive.google.com/file/d/1ULXsAIovWTEPQuG4O21N-Lh-v1ny-4DE/view?usp=drivesdk</v>
      </c>
      <c r="C959" s="159" t="str">
        <f>IFERROR(__xludf.DUMMYFUNCTION("""COMPUTED_VALUE"""),"10.5406--amerjpsyc.126.2.0213.pdf")</f>
        <v>10.5406--amerjpsyc.126.2.0213.pdf</v>
      </c>
      <c r="D959" s="159" t="str">
        <f>IFERROR(__xludf.DUMMYFUNCTION("""COMPUTED_VALUE"""),"application/pdf")</f>
        <v>application/pdf</v>
      </c>
    </row>
    <row r="960">
      <c r="A960" s="159" t="str">
        <f>IFERROR(__xludf.DUMMYFUNCTION("""COMPUTED_VALUE"""),"10.3389/fpsyg.2019.01764")</f>
        <v>10.3389/fpsyg.2019.01764</v>
      </c>
      <c r="B960" s="680" t="str">
        <f>IFERROR(__xludf.DUMMYFUNCTION("""COMPUTED_VALUE"""),"https://drive.google.com/file/d/1JPaP_f2HLFWbr6dF63wyeT5vTMKoOwU9/view?usp=drivesdk")</f>
        <v>https://drive.google.com/file/d/1JPaP_f2HLFWbr6dF63wyeT5vTMKoOwU9/view?usp=drivesdk</v>
      </c>
      <c r="C960" s="159" t="str">
        <f>IFERROR(__xludf.DUMMYFUNCTION("""COMPUTED_VALUE"""),"10.3389--fpsyg.2019.01764.pdf")</f>
        <v>10.3389--fpsyg.2019.01764.pdf</v>
      </c>
      <c r="D960" s="159" t="str">
        <f>IFERROR(__xludf.DUMMYFUNCTION("""COMPUTED_VALUE"""),"application/pdf")</f>
        <v>application/pdf</v>
      </c>
    </row>
    <row r="961">
      <c r="A961" s="159" t="str">
        <f>IFERROR(__xludf.DUMMYFUNCTION("""COMPUTED_VALUE"""),"10.3389/fpsyg.2019.02871")</f>
        <v>10.3389/fpsyg.2019.02871</v>
      </c>
      <c r="B961" s="680" t="str">
        <f>IFERROR(__xludf.DUMMYFUNCTION("""COMPUTED_VALUE"""),"https://drive.google.com/file/d/1OKGSbjtkK7WMQzhNE_1dy7jpQ8WERmvS/view?usp=drivesdk")</f>
        <v>https://drive.google.com/file/d/1OKGSbjtkK7WMQzhNE_1dy7jpQ8WERmvS/view?usp=drivesdk</v>
      </c>
      <c r="C961" s="159" t="str">
        <f>IFERROR(__xludf.DUMMYFUNCTION("""COMPUTED_VALUE"""),"10.3389--fpsyg.2019.02871.pdf")</f>
        <v>10.3389--fpsyg.2019.02871.pdf</v>
      </c>
      <c r="D961" s="159" t="str">
        <f>IFERROR(__xludf.DUMMYFUNCTION("""COMPUTED_VALUE"""),"application/pdf")</f>
        <v>application/pdf</v>
      </c>
    </row>
    <row r="962">
      <c r="A962" s="159" t="str">
        <f>IFERROR(__xludf.DUMMYFUNCTION("""COMPUTED_VALUE"""),"10.3390/jintelligence7030020")</f>
        <v>10.3390/jintelligence7030020</v>
      </c>
      <c r="B962" s="680" t="str">
        <f>IFERROR(__xludf.DUMMYFUNCTION("""COMPUTED_VALUE"""),"https://drive.google.com/file/d/1uT-eWn5IJIikqJUZyuqDaofuNttOkErM/view?usp=drivesdk")</f>
        <v>https://drive.google.com/file/d/1uT-eWn5IJIikqJUZyuqDaofuNttOkErM/view?usp=drivesdk</v>
      </c>
      <c r="C962" s="159" t="str">
        <f>IFERROR(__xludf.DUMMYFUNCTION("""COMPUTED_VALUE"""),"10.3390--jintelligence7030020.pdf")</f>
        <v>10.3390--jintelligence7030020.pdf</v>
      </c>
      <c r="D962" s="159" t="str">
        <f>IFERROR(__xludf.DUMMYFUNCTION("""COMPUTED_VALUE"""),"application/pdf")</f>
        <v>application/pdf</v>
      </c>
    </row>
    <row r="963">
      <c r="A963" s="159" t="str">
        <f>IFERROR(__xludf.DUMMYFUNCTION("""COMPUTED_VALUE"""),"10.3389/fpsyg.2016.01977")</f>
        <v>10.3389/fpsyg.2016.01977</v>
      </c>
      <c r="B963" s="680" t="str">
        <f>IFERROR(__xludf.DUMMYFUNCTION("""COMPUTED_VALUE"""),"https://drive.google.com/file/d/1RIoU1EHXXToXQVufwn8hsLnT0Ption0D/view?usp=drivesdk")</f>
        <v>https://drive.google.com/file/d/1RIoU1EHXXToXQVufwn8hsLnT0Ption0D/view?usp=drivesdk</v>
      </c>
      <c r="C963" s="159" t="str">
        <f>IFERROR(__xludf.DUMMYFUNCTION("""COMPUTED_VALUE"""),"10.3389--fpsyg.2016.01977.pdf")</f>
        <v>10.3389--fpsyg.2016.01977.pdf</v>
      </c>
      <c r="D963" s="159" t="str">
        <f>IFERROR(__xludf.DUMMYFUNCTION("""COMPUTED_VALUE"""),"application/pdf")</f>
        <v>application/pdf</v>
      </c>
    </row>
    <row r="964">
      <c r="A964" s="159" t="str">
        <f>IFERROR(__xludf.DUMMYFUNCTION("""COMPUTED_VALUE"""),"10.3389/fpsyg.2016.01508")</f>
        <v>10.3389/fpsyg.2016.01508</v>
      </c>
      <c r="B964" s="680" t="str">
        <f>IFERROR(__xludf.DUMMYFUNCTION("""COMPUTED_VALUE"""),"https://drive.google.com/file/d/1zRyA0n0mfr52RrXmAL0tnAw25PS4iHLF/view?usp=drivesdk")</f>
        <v>https://drive.google.com/file/d/1zRyA0n0mfr52RrXmAL0tnAw25PS4iHLF/view?usp=drivesdk</v>
      </c>
      <c r="C964" s="159" t="str">
        <f>IFERROR(__xludf.DUMMYFUNCTION("""COMPUTED_VALUE"""),"10.3389--fpsyg.2016.01508.pdf")</f>
        <v>10.3389--fpsyg.2016.01508.pdf</v>
      </c>
      <c r="D964" s="159" t="str">
        <f>IFERROR(__xludf.DUMMYFUNCTION("""COMPUTED_VALUE"""),"application/pdf")</f>
        <v>application/pdf</v>
      </c>
    </row>
    <row r="965">
      <c r="A965" s="159" t="str">
        <f>IFERROR(__xludf.DUMMYFUNCTION("""COMPUTED_VALUE"""),"10.3389/fpsyg.2016.00986")</f>
        <v>10.3389/fpsyg.2016.00986</v>
      </c>
      <c r="B965" s="680" t="str">
        <f>IFERROR(__xludf.DUMMYFUNCTION("""COMPUTED_VALUE"""),"https://drive.google.com/file/d/1es5MVutCL3UqvrvKc9-kSyBmXThLwaQq/view?usp=drivesdk")</f>
        <v>https://drive.google.com/file/d/1es5MVutCL3UqvrvKc9-kSyBmXThLwaQq/view?usp=drivesdk</v>
      </c>
      <c r="C965" s="159" t="str">
        <f>IFERROR(__xludf.DUMMYFUNCTION("""COMPUTED_VALUE"""),"10.3389--fpsyg.2016.00986.pdf")</f>
        <v>10.3389--fpsyg.2016.00986.pdf</v>
      </c>
      <c r="D965" s="159" t="str">
        <f>IFERROR(__xludf.DUMMYFUNCTION("""COMPUTED_VALUE"""),"application/pdf")</f>
        <v>application/pdf</v>
      </c>
    </row>
    <row r="966">
      <c r="A966" s="159" t="str">
        <f>IFERROR(__xludf.DUMMYFUNCTION("""COMPUTED_VALUE"""),"10.3389/fpsyg.2015.01744")</f>
        <v>10.3389/fpsyg.2015.01744</v>
      </c>
      <c r="B966" s="680" t="str">
        <f>IFERROR(__xludf.DUMMYFUNCTION("""COMPUTED_VALUE"""),"https://drive.google.com/file/d/1yZJyIjffRAiS9fHpR-tpr5bBSGvnCr5y/view?usp=drivesdk")</f>
        <v>https://drive.google.com/file/d/1yZJyIjffRAiS9fHpR-tpr5bBSGvnCr5y/view?usp=drivesdk</v>
      </c>
      <c r="C966" s="159" t="str">
        <f>IFERROR(__xludf.DUMMYFUNCTION("""COMPUTED_VALUE"""),"10.3389--fpsyg.2015.01744.pdf")</f>
        <v>10.3389--fpsyg.2015.01744.pdf</v>
      </c>
      <c r="D966" s="159" t="str">
        <f>IFERROR(__xludf.DUMMYFUNCTION("""COMPUTED_VALUE"""),"application/pdf")</f>
        <v>application/pdf</v>
      </c>
    </row>
    <row r="967">
      <c r="A967" s="159" t="str">
        <f>IFERROR(__xludf.DUMMYFUNCTION("""COMPUTED_VALUE"""),"10.3389/fpsyg.2015.01040")</f>
        <v>10.3389/fpsyg.2015.01040</v>
      </c>
      <c r="B967" s="680" t="str">
        <f>IFERROR(__xludf.DUMMYFUNCTION("""COMPUTED_VALUE"""),"https://drive.google.com/file/d/12kQse8I8kXtJaKBNg-Gmo9WbpuHi6FYd/view?usp=drivesdk")</f>
        <v>https://drive.google.com/file/d/12kQse8I8kXtJaKBNg-Gmo9WbpuHi6FYd/view?usp=drivesdk</v>
      </c>
      <c r="C967" s="159" t="str">
        <f>IFERROR(__xludf.DUMMYFUNCTION("""COMPUTED_VALUE"""),"10.3389--fpsyg.2015.01040.pdf")</f>
        <v>10.3389--fpsyg.2015.01040.pdf</v>
      </c>
      <c r="D967" s="159" t="str">
        <f>IFERROR(__xludf.DUMMYFUNCTION("""COMPUTED_VALUE"""),"application/pdf")</f>
        <v>application/pdf</v>
      </c>
    </row>
    <row r="968">
      <c r="A968" s="159" t="str">
        <f>IFERROR(__xludf.DUMMYFUNCTION("""COMPUTED_VALUE"""),"10.3389/fpsyg.2014.00309")</f>
        <v>10.3389/fpsyg.2014.00309</v>
      </c>
      <c r="B968" s="680" t="str">
        <f>IFERROR(__xludf.DUMMYFUNCTION("""COMPUTED_VALUE"""),"https://drive.google.com/file/d/1usJJGqcL3p5ZN10txY2RkWXs6pnx6Fj8/view?usp=drivesdk")</f>
        <v>https://drive.google.com/file/d/1usJJGqcL3p5ZN10txY2RkWXs6pnx6Fj8/view?usp=drivesdk</v>
      </c>
      <c r="C968" s="159" t="str">
        <f>IFERROR(__xludf.DUMMYFUNCTION("""COMPUTED_VALUE"""),"10.3389--fpsyg.2014.00309.pdf")</f>
        <v>10.3389--fpsyg.2014.00309.pdf</v>
      </c>
      <c r="D968" s="159" t="str">
        <f>IFERROR(__xludf.DUMMYFUNCTION("""COMPUTED_VALUE"""),"application/pdf")</f>
        <v>application/pdf</v>
      </c>
    </row>
    <row r="969">
      <c r="A969" s="159" t="str">
        <f>IFERROR(__xludf.DUMMYFUNCTION("""COMPUTED_VALUE"""),"10.17105/spr45-1.73-92")</f>
        <v>10.17105/spr45-1.73-92</v>
      </c>
      <c r="B969" s="680" t="str">
        <f>IFERROR(__xludf.DUMMYFUNCTION("""COMPUTED_VALUE"""),"https://drive.google.com/file/d/1SIjm2JssM2EZ_NwGent9c3diUYGEo_3c/view?usp=drivesdk")</f>
        <v>https://drive.google.com/file/d/1SIjm2JssM2EZ_NwGent9c3diUYGEo_3c/view?usp=drivesdk</v>
      </c>
      <c r="C969" s="159" t="str">
        <f>IFERROR(__xludf.DUMMYFUNCTION("""COMPUTED_VALUE"""),"10.17105--SPR45-1.73-92.pdf")</f>
        <v>10.17105--SPR45-1.73-92.pdf</v>
      </c>
      <c r="D969" s="159" t="str">
        <f>IFERROR(__xludf.DUMMYFUNCTION("""COMPUTED_VALUE"""),"application/pdf")</f>
        <v>application/pdf</v>
      </c>
    </row>
    <row r="970">
      <c r="A970" s="159" t="str">
        <f>IFERROR(__xludf.DUMMYFUNCTION("""COMPUTED_VALUE"""),"10.15288/jsad.2015.76.872")</f>
        <v>10.15288/jsad.2015.76.872</v>
      </c>
      <c r="B970" s="680" t="str">
        <f>IFERROR(__xludf.DUMMYFUNCTION("""COMPUTED_VALUE"""),"https://drive.google.com/file/d/19v1x1uCamcKrhdrugNTwZ3pF4Tf5RH7Q/view?usp=drivesdk")</f>
        <v>https://drive.google.com/file/d/19v1x1uCamcKrhdrugNTwZ3pF4Tf5RH7Q/view?usp=drivesdk</v>
      </c>
      <c r="C970" s="159" t="str">
        <f>IFERROR(__xludf.DUMMYFUNCTION("""COMPUTED_VALUE"""),"10.15288--jsad.2015.76.872.pdf")</f>
        <v>10.15288--jsad.2015.76.872.pdf</v>
      </c>
      <c r="D970" s="159" t="str">
        <f>IFERROR(__xludf.DUMMYFUNCTION("""COMPUTED_VALUE"""),"application/pdf")</f>
        <v>application/pdf</v>
      </c>
    </row>
    <row r="971">
      <c r="A971" s="159" t="str">
        <f>IFERROR(__xludf.DUMMYFUNCTION("""COMPUTED_VALUE"""),"10.15288/jsad.2019.80.86")</f>
        <v>10.15288/jsad.2019.80.86</v>
      </c>
      <c r="B971" s="680" t="str">
        <f>IFERROR(__xludf.DUMMYFUNCTION("""COMPUTED_VALUE"""),"https://drive.google.com/file/d/1wqk0p6y8yDLhB-aQWBS8U3ZdkGM0zp91/view?usp=drivesdk")</f>
        <v>https://drive.google.com/file/d/1wqk0p6y8yDLhB-aQWBS8U3ZdkGM0zp91/view?usp=drivesdk</v>
      </c>
      <c r="C971" s="159" t="str">
        <f>IFERROR(__xludf.DUMMYFUNCTION("""COMPUTED_VALUE"""),"10.15288--jsad.2019.80.86.pdf")</f>
        <v>10.15288--jsad.2019.80.86.pdf</v>
      </c>
      <c r="D971" s="159" t="str">
        <f>IFERROR(__xludf.DUMMYFUNCTION("""COMPUTED_VALUE"""),"application/pdf")</f>
        <v>application/pdf</v>
      </c>
    </row>
    <row r="972">
      <c r="A972" s="159" t="str">
        <f>IFERROR(__xludf.DUMMYFUNCTION("""COMPUTED_VALUE"""),"10.1525/collabra.181")</f>
        <v>10.1525/collabra.181</v>
      </c>
      <c r="B972" s="680" t="str">
        <f>IFERROR(__xludf.DUMMYFUNCTION("""COMPUTED_VALUE"""),"https://drive.google.com/file/d/1DeclU8bo_EajHy62KBulDJsICNIpaU6S/view?usp=drivesdk")</f>
        <v>https://drive.google.com/file/d/1DeclU8bo_EajHy62KBulDJsICNIpaU6S/view?usp=drivesdk</v>
      </c>
      <c r="C972" s="159" t="str">
        <f>IFERROR(__xludf.DUMMYFUNCTION("""COMPUTED_VALUE"""),"10.1525--collabra.181.pdf")</f>
        <v>10.1525--collabra.181.pdf</v>
      </c>
      <c r="D972" s="159" t="str">
        <f>IFERROR(__xludf.DUMMYFUNCTION("""COMPUTED_VALUE"""),"application/pdf")</f>
        <v>application/pdf</v>
      </c>
    </row>
    <row r="973">
      <c r="A973" s="159" t="str">
        <f>IFERROR(__xludf.DUMMYFUNCTION("""COMPUTED_VALUE"""),"10.1177/1359105315624748")</f>
        <v>10.1177/1359105315624748</v>
      </c>
      <c r="B973" s="680" t="str">
        <f>IFERROR(__xludf.DUMMYFUNCTION("""COMPUTED_VALUE"""),"https://drive.google.com/file/d/10Eo0J82R8-lNLugaP3ioLGuZiHR_YMqz/view?usp=drivesdk")</f>
        <v>https://drive.google.com/file/d/10Eo0J82R8-lNLugaP3ioLGuZiHR_YMqz/view?usp=drivesdk</v>
      </c>
      <c r="C973" s="159" t="str">
        <f>IFERROR(__xludf.DUMMYFUNCTION("""COMPUTED_VALUE"""),"10.1177--1359105315624748.pdf")</f>
        <v>10.1177--1359105315624748.pdf</v>
      </c>
      <c r="D973" s="159" t="str">
        <f>IFERROR(__xludf.DUMMYFUNCTION("""COMPUTED_VALUE"""),"application/pdf")</f>
        <v>application/pdf</v>
      </c>
    </row>
    <row r="974">
      <c r="A974" s="159" t="str">
        <f>IFERROR(__xludf.DUMMYFUNCTION("""COMPUTED_VALUE"""),"10.1177/1029864915613390")</f>
        <v>10.1177/1029864915613390</v>
      </c>
      <c r="B974" s="680" t="str">
        <f>IFERROR(__xludf.DUMMYFUNCTION("""COMPUTED_VALUE"""),"https://drive.google.com/file/d/1CLr5l61PoH31HwCXvlDRMJaZxMs3bl4x/view?usp=drivesdk")</f>
        <v>https://drive.google.com/file/d/1CLr5l61PoH31HwCXvlDRMJaZxMs3bl4x/view?usp=drivesdk</v>
      </c>
      <c r="C974" s="159" t="str">
        <f>IFERROR(__xludf.DUMMYFUNCTION("""COMPUTED_VALUE"""),"10.1177--1029864915613390.pdf")</f>
        <v>10.1177--1029864915613390.pdf</v>
      </c>
      <c r="D974" s="159" t="str">
        <f>IFERROR(__xludf.DUMMYFUNCTION("""COMPUTED_VALUE"""),"application/pdf")</f>
        <v>application/pdf</v>
      </c>
    </row>
    <row r="975">
      <c r="A975" s="159" t="str">
        <f>IFERROR(__xludf.DUMMYFUNCTION("""COMPUTED_VALUE"""),"10.1177/2041669517698149")</f>
        <v>10.1177/2041669517698149</v>
      </c>
      <c r="B975" s="680" t="str">
        <f>IFERROR(__xludf.DUMMYFUNCTION("""COMPUTED_VALUE"""),"https://drive.google.com/file/d/1pnU3f55XAHee41gNCwU5Ym5cdfkRRfQB/view?usp=drivesdk")</f>
        <v>https://drive.google.com/file/d/1pnU3f55XAHee41gNCwU5Ym5cdfkRRfQB/view?usp=drivesdk</v>
      </c>
      <c r="C975" s="159" t="str">
        <f>IFERROR(__xludf.DUMMYFUNCTION("""COMPUTED_VALUE"""),"10.1177--2041669517698149.pdf")</f>
        <v>10.1177--2041669517698149.pdf</v>
      </c>
      <c r="D975" s="159" t="str">
        <f>IFERROR(__xludf.DUMMYFUNCTION("""COMPUTED_VALUE"""),"application/pdf")</f>
        <v>application/pdf</v>
      </c>
    </row>
    <row r="976">
      <c r="A976" s="159" t="str">
        <f>IFERROR(__xludf.DUMMYFUNCTION("""COMPUTED_VALUE"""),"10.1177/0145445515616105")</f>
        <v>10.1177/0145445515616105</v>
      </c>
      <c r="B976" s="680" t="str">
        <f>IFERROR(__xludf.DUMMYFUNCTION("""COMPUTED_VALUE"""),"https://drive.google.com/file/d/12_eolJBnsG2YR9WEI-mbEdpO0V6IV8kg/view?usp=drivesdk")</f>
        <v>https://drive.google.com/file/d/12_eolJBnsG2YR9WEI-mbEdpO0V6IV8kg/view?usp=drivesdk</v>
      </c>
      <c r="C976" s="159" t="str">
        <f>IFERROR(__xludf.DUMMYFUNCTION("""COMPUTED_VALUE"""),"10.1177--0145445515616105.pdf")</f>
        <v>10.1177--0145445515616105.pdf</v>
      </c>
      <c r="D976" s="159" t="str">
        <f>IFERROR(__xludf.DUMMYFUNCTION("""COMPUTED_VALUE"""),"application/pdf")</f>
        <v>application/pdf</v>
      </c>
    </row>
    <row r="977">
      <c r="A977" s="159" t="str">
        <f>IFERROR(__xludf.DUMMYFUNCTION("""COMPUTED_VALUE"""),"10.1177/0886260516653550")</f>
        <v>10.1177/0886260516653550</v>
      </c>
      <c r="B977" s="680" t="str">
        <f>IFERROR(__xludf.DUMMYFUNCTION("""COMPUTED_VALUE"""),"https://drive.google.com/file/d/1Q0nfazCXWUWVxmiel0DDbVNdHI60PGO5/view?usp=drivesdk")</f>
        <v>https://drive.google.com/file/d/1Q0nfazCXWUWVxmiel0DDbVNdHI60PGO5/view?usp=drivesdk</v>
      </c>
      <c r="C977" s="159" t="str">
        <f>IFERROR(__xludf.DUMMYFUNCTION("""COMPUTED_VALUE"""),"10.1177--0886260516653550.pdf")</f>
        <v>10.1177--0886260516653550.pdf</v>
      </c>
      <c r="D977" s="159" t="str">
        <f>IFERROR(__xludf.DUMMYFUNCTION("""COMPUTED_VALUE"""),"application/pdf")</f>
        <v>application/pdf</v>
      </c>
    </row>
    <row r="978">
      <c r="A978" s="159" t="str">
        <f>IFERROR(__xludf.DUMMYFUNCTION("""COMPUTED_VALUE"""),"10.1177/0305735614535829")</f>
        <v>10.1177/0305735614535829</v>
      </c>
      <c r="B978" s="680" t="str">
        <f>IFERROR(__xludf.DUMMYFUNCTION("""COMPUTED_VALUE"""),"https://drive.google.com/file/d/1UDemnLRW6k-u9Q9FNFrVZu-v1MeMsHKy/view?usp=drivesdk")</f>
        <v>https://drive.google.com/file/d/1UDemnLRW6k-u9Q9FNFrVZu-v1MeMsHKy/view?usp=drivesdk</v>
      </c>
      <c r="C978" s="159" t="str">
        <f>IFERROR(__xludf.DUMMYFUNCTION("""COMPUTED_VALUE"""),"10.1177--0305735614535829.pdf")</f>
        <v>10.1177--0305735614535829.pdf</v>
      </c>
      <c r="D978" s="159" t="str">
        <f>IFERROR(__xludf.DUMMYFUNCTION("""COMPUTED_VALUE"""),"application/pdf")</f>
        <v>application/pdf</v>
      </c>
    </row>
    <row r="979">
      <c r="A979" s="159" t="str">
        <f>IFERROR(__xludf.DUMMYFUNCTION("""COMPUTED_VALUE"""),"10.1177/0018720818784803")</f>
        <v>10.1177/0018720818784803</v>
      </c>
      <c r="B979" s="680" t="str">
        <f>IFERROR(__xludf.DUMMYFUNCTION("""COMPUTED_VALUE"""),"https://drive.google.com/file/d/12StMxdPEO6VdXacH_ArIrFUGxvJIXW5L/view?usp=drivesdk")</f>
        <v>https://drive.google.com/file/d/12StMxdPEO6VdXacH_ArIrFUGxvJIXW5L/view?usp=drivesdk</v>
      </c>
      <c r="C979" s="159" t="str">
        <f>IFERROR(__xludf.DUMMYFUNCTION("""COMPUTED_VALUE"""),"10.1177--0018720818784803.pdf")</f>
        <v>10.1177--0018720818784803.pdf</v>
      </c>
      <c r="D979" s="159" t="str">
        <f>IFERROR(__xludf.DUMMYFUNCTION("""COMPUTED_VALUE"""),"application/pdf")</f>
        <v>application/pdf</v>
      </c>
    </row>
    <row r="980">
      <c r="A980" s="159" t="str">
        <f>IFERROR(__xludf.DUMMYFUNCTION("""COMPUTED_VALUE"""),"10.1162/jocn_a_01337")</f>
        <v>10.1162/jocn_a_01337</v>
      </c>
      <c r="B980" s="680" t="str">
        <f>IFERROR(__xludf.DUMMYFUNCTION("""COMPUTED_VALUE"""),"https://drive.google.com/file/d/1AtlOizVLsTw3FbzyWGHaHArqEWm3mte2/view?usp=drivesdk")</f>
        <v>https://drive.google.com/file/d/1AtlOizVLsTw3FbzyWGHaHArqEWm3mte2/view?usp=drivesdk</v>
      </c>
      <c r="C980" s="159" t="str">
        <f>IFERROR(__xludf.DUMMYFUNCTION("""COMPUTED_VALUE"""),"10.1162--jocn_a_01337.pdf")</f>
        <v>10.1162--jocn_a_01337.pdf</v>
      </c>
      <c r="D980" s="159" t="str">
        <f>IFERROR(__xludf.DUMMYFUNCTION("""COMPUTED_VALUE"""),"application/pdf")</f>
        <v>application/pdf</v>
      </c>
    </row>
    <row r="981">
      <c r="A981" s="159" t="str">
        <f>IFERROR(__xludf.DUMMYFUNCTION("""COMPUTED_VALUE"""),"10.1111/psyp.13458")</f>
        <v>10.1111/psyp.13458</v>
      </c>
      <c r="B981" s="680" t="str">
        <f>IFERROR(__xludf.DUMMYFUNCTION("""COMPUTED_VALUE"""),"https://drive.google.com/file/d/1AKrYbOAGpqmfFKElJaUfo2joQDe9OqAk/view?usp=drivesdk")</f>
        <v>https://drive.google.com/file/d/1AKrYbOAGpqmfFKElJaUfo2joQDe9OqAk/view?usp=drivesdk</v>
      </c>
      <c r="C981" s="159" t="str">
        <f>IFERROR(__xludf.DUMMYFUNCTION("""COMPUTED_VALUE"""),"10.1111--psyp.13458.pdf")</f>
        <v>10.1111--psyp.13458.pdf</v>
      </c>
      <c r="D981" s="159" t="str">
        <f>IFERROR(__xludf.DUMMYFUNCTION("""COMPUTED_VALUE"""),"application/pdf")</f>
        <v>application/pdf</v>
      </c>
    </row>
    <row r="982">
      <c r="A982" s="159" t="str">
        <f>IFERROR(__xludf.DUMMYFUNCTION("""COMPUTED_VALUE"""),"10.1111/jpr.12243")</f>
        <v>10.1111/jpr.12243</v>
      </c>
      <c r="B982" s="680" t="str">
        <f>IFERROR(__xludf.DUMMYFUNCTION("""COMPUTED_VALUE"""),"https://drive.google.com/file/d/1RQaA1WkzztLmftYsu4yTXc3vSvbUktPY/view?usp=drivesdk")</f>
        <v>https://drive.google.com/file/d/1RQaA1WkzztLmftYsu4yTXc3vSvbUktPY/view?usp=drivesdk</v>
      </c>
      <c r="C982" s="159" t="str">
        <f>IFERROR(__xludf.DUMMYFUNCTION("""COMPUTED_VALUE"""),"10.1111--jpr.12243.pdf")</f>
        <v>10.1111--jpr.12243.pdf</v>
      </c>
      <c r="D982" s="159" t="str">
        <f>IFERROR(__xludf.DUMMYFUNCTION("""COMPUTED_VALUE"""),"application/pdf")</f>
        <v>application/pdf</v>
      </c>
    </row>
    <row r="983">
      <c r="A983" s="159" t="str">
        <f>IFERROR(__xludf.DUMMYFUNCTION("""COMPUTED_VALUE"""),"10.1111/mbe.12253")</f>
        <v>10.1111/mbe.12253</v>
      </c>
      <c r="B983" s="680" t="str">
        <f>IFERROR(__xludf.DUMMYFUNCTION("""COMPUTED_VALUE"""),"https://drive.google.com/file/d/1apyZdvi_KdCBzEGB6R0bH0S0reFtNw19/view?usp=drivesdk")</f>
        <v>https://drive.google.com/file/d/1apyZdvi_KdCBzEGB6R0bH0S0reFtNw19/view?usp=drivesdk</v>
      </c>
      <c r="C983" s="159" t="str">
        <f>IFERROR(__xludf.DUMMYFUNCTION("""COMPUTED_VALUE"""),"10.1111--mbe.12253.pdf")</f>
        <v>10.1111--mbe.12253.pdf</v>
      </c>
      <c r="D983" s="159" t="str">
        <f>IFERROR(__xludf.DUMMYFUNCTION("""COMPUTED_VALUE"""),"application/pdf")</f>
        <v>application/pdf</v>
      </c>
    </row>
    <row r="984">
      <c r="A984" s="159" t="str">
        <f>IFERROR(__xludf.DUMMYFUNCTION("""COMPUTED_VALUE"""),"10.1093/abm/kay043")</f>
        <v>10.1093/abm/kay043</v>
      </c>
      <c r="B984" s="680" t="str">
        <f>IFERROR(__xludf.DUMMYFUNCTION("""COMPUTED_VALUE"""),"https://drive.google.com/file/d/1GDEwZJBqf8FRNMdXoAoZM_BXmdXfHvpU/view?usp=drivesdk")</f>
        <v>https://drive.google.com/file/d/1GDEwZJBqf8FRNMdXoAoZM_BXmdXfHvpU/view?usp=drivesdk</v>
      </c>
      <c r="C984" s="159" t="str">
        <f>IFERROR(__xludf.DUMMYFUNCTION("""COMPUTED_VALUE"""),"10.1093--abm--kay043.pdf")</f>
        <v>10.1093--abm--kay043.pdf</v>
      </c>
      <c r="D984" s="159" t="str">
        <f>IFERROR(__xludf.DUMMYFUNCTION("""COMPUTED_VALUE"""),"application/pdf")</f>
        <v>application/pdf</v>
      </c>
    </row>
    <row r="985">
      <c r="A985" s="159" t="str">
        <f>IFERROR(__xludf.DUMMYFUNCTION("""COMPUTED_VALUE"""),"10.1101/lm.050211.119")</f>
        <v>10.1101/lm.050211.119</v>
      </c>
      <c r="B985" s="680" t="str">
        <f>IFERROR(__xludf.DUMMYFUNCTION("""COMPUTED_VALUE"""),"https://drive.google.com/file/d/1jHST9MnMjr0HQlGDLp_Lm9-snMiFjuTq/view?usp=drivesdk")</f>
        <v>https://drive.google.com/file/d/1jHST9MnMjr0HQlGDLp_Lm9-snMiFjuTq/view?usp=drivesdk</v>
      </c>
      <c r="C985" s="159" t="str">
        <f>IFERROR(__xludf.DUMMYFUNCTION("""COMPUTED_VALUE"""),"10.1101--lm.050211.119.pdf")</f>
        <v>10.1101--lm.050211.119.pdf</v>
      </c>
      <c r="D985" s="159" t="str">
        <f>IFERROR(__xludf.DUMMYFUNCTION("""COMPUTED_VALUE"""),"application/pdf")</f>
        <v>application/pdf</v>
      </c>
    </row>
    <row r="986">
      <c r="A986" s="159" t="str">
        <f>IFERROR(__xludf.DUMMYFUNCTION("""COMPUTED_VALUE"""),"10.1080/23273798.2016.1197954")</f>
        <v>10.1080/23273798.2016.1197954</v>
      </c>
      <c r="B986" s="680" t="str">
        <f>IFERROR(__xludf.DUMMYFUNCTION("""COMPUTED_VALUE"""),"https://drive.google.com/file/d/1jYBd2YRtSaav13uk6GeH-7S7mA1J-0Z3/view?usp=drivesdk")</f>
        <v>https://drive.google.com/file/d/1jYBd2YRtSaav13uk6GeH-7S7mA1J-0Z3/view?usp=drivesdk</v>
      </c>
      <c r="C986" s="159" t="str">
        <f>IFERROR(__xludf.DUMMYFUNCTION("""COMPUTED_VALUE"""),"10.1080--23273798.2016.1197954.pdf")</f>
        <v>10.1080--23273798.2016.1197954.pdf</v>
      </c>
      <c r="D986" s="159" t="str">
        <f>IFERROR(__xludf.DUMMYFUNCTION("""COMPUTED_VALUE"""),"application/pdf")</f>
        <v>application/pdf</v>
      </c>
    </row>
    <row r="987">
      <c r="A987" s="159" t="str">
        <f>IFERROR(__xludf.DUMMYFUNCTION("""COMPUTED_VALUE"""),"10.1080/1612197x.2016.1199580")</f>
        <v>10.1080/1612197x.2016.1199580</v>
      </c>
      <c r="B987" s="680" t="str">
        <f>IFERROR(__xludf.DUMMYFUNCTION("""COMPUTED_VALUE"""),"https://drive.google.com/file/d/1F04B6dgvTIlH1n-nzOIG6l50zrdV35YY/view?usp=drivesdk")</f>
        <v>https://drive.google.com/file/d/1F04B6dgvTIlH1n-nzOIG6l50zrdV35YY/view?usp=drivesdk</v>
      </c>
      <c r="C987" s="159" t="str">
        <f>IFERROR(__xludf.DUMMYFUNCTION("""COMPUTED_VALUE"""),"10.1080--1612197X.2016.1199580.pdf")</f>
        <v>10.1080--1612197X.2016.1199580.pdf</v>
      </c>
      <c r="D987" s="159" t="str">
        <f>IFERROR(__xludf.DUMMYFUNCTION("""COMPUTED_VALUE"""),"application/pdf")</f>
        <v>application/pdf</v>
      </c>
    </row>
    <row r="988">
      <c r="A988" s="159" t="str">
        <f>IFERROR(__xludf.DUMMYFUNCTION("""COMPUTED_VALUE"""),"10.1080/13218719.2018.1482570")</f>
        <v>10.1080/13218719.2018.1482570</v>
      </c>
      <c r="B988" s="680" t="str">
        <f>IFERROR(__xludf.DUMMYFUNCTION("""COMPUTED_VALUE"""),"https://drive.google.com/file/d/1BpZpFkqq5-xNfg3lGkVTJj3m72zefLqx/view?usp=drivesdk")</f>
        <v>https://drive.google.com/file/d/1BpZpFkqq5-xNfg3lGkVTJj3m72zefLqx/view?usp=drivesdk</v>
      </c>
      <c r="C988" s="159" t="str">
        <f>IFERROR(__xludf.DUMMYFUNCTION("""COMPUTED_VALUE"""),"10.1080--13218719.2018.1482570.pdf")</f>
        <v>10.1080--13218719.2018.1482570.pdf</v>
      </c>
      <c r="D988" s="159" t="str">
        <f>IFERROR(__xludf.DUMMYFUNCTION("""COMPUTED_VALUE"""),"application/pdf")</f>
        <v>application/pdf</v>
      </c>
    </row>
    <row r="989">
      <c r="A989" s="159" t="str">
        <f>IFERROR(__xludf.DUMMYFUNCTION("""COMPUTED_VALUE"""),"10.1080/1068316x.2019.1588970")</f>
        <v>10.1080/1068316x.2019.1588970</v>
      </c>
      <c r="B989" s="680" t="str">
        <f>IFERROR(__xludf.DUMMYFUNCTION("""COMPUTED_VALUE"""),"https://drive.google.com/file/d/1--7A_PcHgPiq9QMwhQCk-n6c_Az0uhy8/view?usp=drivesdk")</f>
        <v>https://drive.google.com/file/d/1--7A_PcHgPiq9QMwhQCk-n6c_Az0uhy8/view?usp=drivesdk</v>
      </c>
      <c r="C989" s="159" t="str">
        <f>IFERROR(__xludf.DUMMYFUNCTION("""COMPUTED_VALUE"""),"10.1080--1068316X.2019.1588970.pdf")</f>
        <v>10.1080--1068316X.2019.1588970.pdf</v>
      </c>
      <c r="D989" s="159" t="str">
        <f>IFERROR(__xludf.DUMMYFUNCTION("""COMPUTED_VALUE"""),"application/pdf")</f>
        <v>application/pdf</v>
      </c>
    </row>
    <row r="990">
      <c r="A990" s="159" t="str">
        <f>IFERROR(__xludf.DUMMYFUNCTION("""COMPUTED_VALUE"""),"10.1080/09658211.2011.590505")</f>
        <v>10.1080/09658211.2011.590505</v>
      </c>
      <c r="B990" s="680" t="str">
        <f>IFERROR(__xludf.DUMMYFUNCTION("""COMPUTED_VALUE"""),"https://drive.google.com/file/d/1zVdSJYf5rSapO3wb9lv8752WOX3UCAWR/view?usp=drivesdk")</f>
        <v>https://drive.google.com/file/d/1zVdSJYf5rSapO3wb9lv8752WOX3UCAWR/view?usp=drivesdk</v>
      </c>
      <c r="C990" s="159" t="str">
        <f>IFERROR(__xludf.DUMMYFUNCTION("""COMPUTED_VALUE"""),"10.1080--09658211.2011.590505.pdf")</f>
        <v>10.1080--09658211.2011.590505.pdf</v>
      </c>
      <c r="D990" s="159" t="str">
        <f>IFERROR(__xludf.DUMMYFUNCTION("""COMPUTED_VALUE"""),"application/pdf")</f>
        <v>application/pdf</v>
      </c>
    </row>
    <row r="991">
      <c r="A991" s="159" t="str">
        <f>IFERROR(__xludf.DUMMYFUNCTION("""COMPUTED_VALUE"""),"10.1080/02699931.2020.1863187")</f>
        <v>10.1080/02699931.2020.1863187</v>
      </c>
      <c r="B991" s="680" t="str">
        <f>IFERROR(__xludf.DUMMYFUNCTION("""COMPUTED_VALUE"""),"https://drive.google.com/file/d/110c7IPGGRfsNZhl6BVp-RH7A1oIVMpv2/view?usp=drivesdk")</f>
        <v>https://drive.google.com/file/d/110c7IPGGRfsNZhl6BVp-RH7A1oIVMpv2/view?usp=drivesdk</v>
      </c>
      <c r="C991" s="159" t="str">
        <f>IFERROR(__xludf.DUMMYFUNCTION("""COMPUTED_VALUE"""),"10.1080--02699931.2020.1863187.pdf")</f>
        <v>10.1080--02699931.2020.1863187.pdf</v>
      </c>
      <c r="D991" s="159" t="str">
        <f>IFERROR(__xludf.DUMMYFUNCTION("""COMPUTED_VALUE"""),"application/pdf")</f>
        <v>application/pdf</v>
      </c>
    </row>
    <row r="992">
      <c r="A992" s="159" t="str">
        <f>IFERROR(__xludf.DUMMYFUNCTION("""COMPUTED_VALUE"""),"10.1080/09540121.2011.630348")</f>
        <v>10.1080/09540121.2011.630348</v>
      </c>
      <c r="B992" s="680" t="str">
        <f>IFERROR(__xludf.DUMMYFUNCTION("""COMPUTED_VALUE"""),"https://drive.google.com/file/d/1HNurG-H_ZjwqqrmpEKeY-5mlDAUZ_pFB/view?usp=drivesdk")</f>
        <v>https://drive.google.com/file/d/1HNurG-H_ZjwqqrmpEKeY-5mlDAUZ_pFB/view?usp=drivesdk</v>
      </c>
      <c r="C992" s="159" t="str">
        <f>IFERROR(__xludf.DUMMYFUNCTION("""COMPUTED_VALUE"""),"10.1080--09540121.2011.630348.pdf")</f>
        <v>10.1080--09540121.2011.630348.pdf</v>
      </c>
      <c r="D992" s="159" t="str">
        <f>IFERROR(__xludf.DUMMYFUNCTION("""COMPUTED_VALUE"""),"application/pdf")</f>
        <v>application/pdf</v>
      </c>
    </row>
    <row r="993">
      <c r="A993" s="159" t="str">
        <f>IFERROR(__xludf.DUMMYFUNCTION("""COMPUTED_VALUE"""),"10.1080/02703149.2018.1425030")</f>
        <v>10.1080/02703149.2018.1425030</v>
      </c>
      <c r="B993" s="680" t="str">
        <f>IFERROR(__xludf.DUMMYFUNCTION("""COMPUTED_VALUE"""),"https://drive.google.com/file/d/1QbV55BXTdXq861LSw4L_QCApvMmN5RXS/view?usp=drivesdk")</f>
        <v>https://drive.google.com/file/d/1QbV55BXTdXq861LSw4L_QCApvMmN5RXS/view?usp=drivesdk</v>
      </c>
      <c r="C993" s="159" t="str">
        <f>IFERROR(__xludf.DUMMYFUNCTION("""COMPUTED_VALUE"""),"10.1080--02703149.2018.1425030.pdf")</f>
        <v>10.1080--02703149.2018.1425030.pdf</v>
      </c>
      <c r="D993" s="159" t="str">
        <f>IFERROR(__xludf.DUMMYFUNCTION("""COMPUTED_VALUE"""),"application/pdf")</f>
        <v>application/pdf</v>
      </c>
    </row>
    <row r="994">
      <c r="A994" s="159" t="str">
        <f>IFERROR(__xludf.DUMMYFUNCTION("""COMPUTED_VALUE"""),"10.1080/01639625.2014.924362")</f>
        <v>10.1080/01639625.2014.924362</v>
      </c>
      <c r="B994" s="680" t="str">
        <f>IFERROR(__xludf.DUMMYFUNCTION("""COMPUTED_VALUE"""),"https://drive.google.com/file/d/13EH3_geUqJVoe24H_0LbuQcBynxcBzsz/view?usp=drivesdk")</f>
        <v>https://drive.google.com/file/d/13EH3_geUqJVoe24H_0LbuQcBynxcBzsz/view?usp=drivesdk</v>
      </c>
      <c r="C994" s="159" t="str">
        <f>IFERROR(__xludf.DUMMYFUNCTION("""COMPUTED_VALUE"""),"10.1080--01639625.2014.924362.pdf")</f>
        <v>10.1080--01639625.2014.924362.pdf</v>
      </c>
      <c r="D994" s="159" t="str">
        <f>IFERROR(__xludf.DUMMYFUNCTION("""COMPUTED_VALUE"""),"application/pdf")</f>
        <v>application/pdf</v>
      </c>
    </row>
    <row r="995">
      <c r="A995" s="159" t="str">
        <f>IFERROR(__xludf.DUMMYFUNCTION("""COMPUTED_VALUE"""),"10.1080/02699931.2019.1710110")</f>
        <v>10.1080/02699931.2019.1710110</v>
      </c>
      <c r="B995" s="680" t="str">
        <f>IFERROR(__xludf.DUMMYFUNCTION("""COMPUTED_VALUE"""),"https://drive.google.com/file/d/155fnpYfibKoGlcB0MBwGNw4p5XMAHKcd/view?usp=drivesdk")</f>
        <v>https://drive.google.com/file/d/155fnpYfibKoGlcB0MBwGNw4p5XMAHKcd/view?usp=drivesdk</v>
      </c>
      <c r="C995" s="159" t="str">
        <f>IFERROR(__xludf.DUMMYFUNCTION("""COMPUTED_VALUE"""),"10.1080--02699931.2019.1710110.pdf")</f>
        <v>10.1080--02699931.2019.1710110.pdf</v>
      </c>
      <c r="D995" s="159" t="str">
        <f>IFERROR(__xludf.DUMMYFUNCTION("""COMPUTED_VALUE"""),"application/pdf")</f>
        <v>application/pdf</v>
      </c>
    </row>
    <row r="996">
      <c r="A996" s="159" t="str">
        <f>IFERROR(__xludf.DUMMYFUNCTION("""COMPUTED_VALUE"""),"10.1080/01608061.2020.1792027")</f>
        <v>10.1080/01608061.2020.1792027</v>
      </c>
      <c r="B996" s="680" t="str">
        <f>IFERROR(__xludf.DUMMYFUNCTION("""COMPUTED_VALUE"""),"https://drive.google.com/file/d/180UnCIEpRW3MLMjfsHZjeOnlogXsbneH/view?usp=drivesdk")</f>
        <v>https://drive.google.com/file/d/180UnCIEpRW3MLMjfsHZjeOnlogXsbneH/view?usp=drivesdk</v>
      </c>
      <c r="C996" s="159" t="str">
        <f>IFERROR(__xludf.DUMMYFUNCTION("""COMPUTED_VALUE"""),"10.1080--01608061.2020.1792027.pdf")</f>
        <v>10.1080--01608061.2020.1792027.pdf</v>
      </c>
      <c r="D996" s="159" t="str">
        <f>IFERROR(__xludf.DUMMYFUNCTION("""COMPUTED_VALUE"""),"application/pdf")</f>
        <v>application/pdf</v>
      </c>
    </row>
    <row r="997">
      <c r="A997" s="159" t="str">
        <f>IFERROR(__xludf.DUMMYFUNCTION("""COMPUTED_VALUE"""),"10.1080/00224545.2015.1129306")</f>
        <v>10.1080/00224545.2015.1129306</v>
      </c>
      <c r="B997" s="680" t="str">
        <f>IFERROR(__xludf.DUMMYFUNCTION("""COMPUTED_VALUE"""),"https://drive.google.com/file/d/1ksnyAQYIZqyXMBwht0zZREnRY54-JevG/view?usp=drivesdk")</f>
        <v>https://drive.google.com/file/d/1ksnyAQYIZqyXMBwht0zZREnRY54-JevG/view?usp=drivesdk</v>
      </c>
      <c r="C997" s="159" t="str">
        <f>IFERROR(__xludf.DUMMYFUNCTION("""COMPUTED_VALUE"""),"10.1080--00224545.2015.1129306.pdf")</f>
        <v>10.1080--00224545.2015.1129306.pdf</v>
      </c>
      <c r="D997" s="159" t="str">
        <f>IFERROR(__xludf.DUMMYFUNCTION("""COMPUTED_VALUE"""),"application/pdf")</f>
        <v>application/pdf</v>
      </c>
    </row>
    <row r="998">
      <c r="A998" s="159" t="str">
        <f>IFERROR(__xludf.DUMMYFUNCTION("""COMPUTED_VALUE"""),"10.1037/per0000041")</f>
        <v>10.1037/per0000041</v>
      </c>
      <c r="B998" s="680" t="str">
        <f>IFERROR(__xludf.DUMMYFUNCTION("""COMPUTED_VALUE"""),"https://drive.google.com/file/d/1oPfRpEBTF84OycOBd7uRQMJivVB-m2oP/view?usp=drivesdk")</f>
        <v>https://drive.google.com/file/d/1oPfRpEBTF84OycOBd7uRQMJivVB-m2oP/view?usp=drivesdk</v>
      </c>
      <c r="C998" s="159" t="str">
        <f>IFERROR(__xludf.DUMMYFUNCTION("""COMPUTED_VALUE"""),"10.1037--per0000041.pdf")</f>
        <v>10.1037--per0000041.pdf</v>
      </c>
      <c r="D998" s="159" t="str">
        <f>IFERROR(__xludf.DUMMYFUNCTION("""COMPUTED_VALUE"""),"application/pdf")</f>
        <v>application/pdf</v>
      </c>
    </row>
    <row r="999">
      <c r="A999" s="159" t="str">
        <f>IFERROR(__xludf.DUMMYFUNCTION("""COMPUTED_VALUE"""),"10.1037/a0029513")</f>
        <v>10.1037/a0029513</v>
      </c>
      <c r="B999" s="680" t="str">
        <f>IFERROR(__xludf.DUMMYFUNCTION("""COMPUTED_VALUE"""),"https://drive.google.com/file/d/10gCAiRaTpYw50HfVvJb2qrR3LIeoZoNW/view?usp=drivesdk")</f>
        <v>https://drive.google.com/file/d/10gCAiRaTpYw50HfVvJb2qrR3LIeoZoNW/view?usp=drivesdk</v>
      </c>
      <c r="C999" s="159" t="str">
        <f>IFERROR(__xludf.DUMMYFUNCTION("""COMPUTED_VALUE"""),"10.1037--a0029513.pdf")</f>
        <v>10.1037--a0029513.pdf</v>
      </c>
      <c r="D999" s="159" t="str">
        <f>IFERROR(__xludf.DUMMYFUNCTION("""COMPUTED_VALUE"""),"application/pdf")</f>
        <v>application/pdf</v>
      </c>
    </row>
    <row r="1000">
      <c r="A1000" s="159" t="str">
        <f>IFERROR(__xludf.DUMMYFUNCTION("""COMPUTED_VALUE"""),"10.1037/a0024923")</f>
        <v>10.1037/a0024923</v>
      </c>
      <c r="B1000" s="680" t="str">
        <f>IFERROR(__xludf.DUMMYFUNCTION("""COMPUTED_VALUE"""),"https://drive.google.com/file/d/13pqSs0UYFvLdiEJKx3meLSOT91LeUSuh/view?usp=drivesdk")</f>
        <v>https://drive.google.com/file/d/13pqSs0UYFvLdiEJKx3meLSOT91LeUSuh/view?usp=drivesdk</v>
      </c>
      <c r="C1000" s="159" t="str">
        <f>IFERROR(__xludf.DUMMYFUNCTION("""COMPUTED_VALUE"""),"10.1037--a0024923.pdf")</f>
        <v>10.1037--a0024923.pdf</v>
      </c>
      <c r="D1000" s="159" t="str">
        <f>IFERROR(__xludf.DUMMYFUNCTION("""COMPUTED_VALUE"""),"application/pdf")</f>
        <v>application/pdf</v>
      </c>
    </row>
    <row r="1001">
      <c r="A1001" s="159" t="str">
        <f>IFERROR(__xludf.DUMMYFUNCTION("""COMPUTED_VALUE"""),"10.1016/j.trf.2014.05.005")</f>
        <v>10.1016/j.trf.2014.05.005</v>
      </c>
      <c r="B1001" s="680" t="str">
        <f>IFERROR(__xludf.DUMMYFUNCTION("""COMPUTED_VALUE"""),"https://drive.google.com/file/d/1RSHItVa-oZV7AbCQ0eh9-ehBv58e4eDc/view?usp=drivesdk")</f>
        <v>https://drive.google.com/file/d/1RSHItVa-oZV7AbCQ0eh9-ehBv58e4eDc/view?usp=drivesdk</v>
      </c>
      <c r="C1001" s="159" t="str">
        <f>IFERROR(__xludf.DUMMYFUNCTION("""COMPUTED_VALUE"""),"10.1016--j.trf.2014.05.005.pdf")</f>
        <v>10.1016--j.trf.2014.05.005.pdf</v>
      </c>
      <c r="D1001" s="159" t="str">
        <f>IFERROR(__xludf.DUMMYFUNCTION("""COMPUTED_VALUE"""),"application/pdf")</f>
        <v>application/pdf</v>
      </c>
    </row>
    <row r="1002">
      <c r="A1002" s="159" t="str">
        <f>IFERROR(__xludf.DUMMYFUNCTION("""COMPUTED_VALUE"""),"10.1016/j.paid.2018.07.021")</f>
        <v>10.1016/j.paid.2018.07.021</v>
      </c>
      <c r="B1002" s="680" t="str">
        <f>IFERROR(__xludf.DUMMYFUNCTION("""COMPUTED_VALUE"""),"https://drive.google.com/file/d/1nlya6kQZ-aeXOdWln6eOPTSENrc8Tux5/view?usp=drivesdk")</f>
        <v>https://drive.google.com/file/d/1nlya6kQZ-aeXOdWln6eOPTSENrc8Tux5/view?usp=drivesdk</v>
      </c>
      <c r="C1002" s="159" t="str">
        <f>IFERROR(__xludf.DUMMYFUNCTION("""COMPUTED_VALUE"""),"10.1016--j.paid.2018.07.021.pdf")</f>
        <v>10.1016--j.paid.2018.07.021.pdf</v>
      </c>
      <c r="D1002" s="159" t="str">
        <f>IFERROR(__xludf.DUMMYFUNCTION("""COMPUTED_VALUE"""),"application/pdf")</f>
        <v>application/pdf</v>
      </c>
    </row>
    <row r="1003">
      <c r="A1003" s="159" t="str">
        <f>IFERROR(__xludf.DUMMYFUNCTION("""COMPUTED_VALUE"""),"10.1016/j.physbeh.2010.12.015")</f>
        <v>10.1016/j.physbeh.2010.12.015</v>
      </c>
      <c r="B1003" s="680" t="str">
        <f>IFERROR(__xludf.DUMMYFUNCTION("""COMPUTED_VALUE"""),"https://drive.google.com/file/d/1zmRYTfOS6kDGIcUEEFyIw6hwkmLbLd2C/view?usp=drivesdk")</f>
        <v>https://drive.google.com/file/d/1zmRYTfOS6kDGIcUEEFyIw6hwkmLbLd2C/view?usp=drivesdk</v>
      </c>
      <c r="C1003" s="159" t="str">
        <f>IFERROR(__xludf.DUMMYFUNCTION("""COMPUTED_VALUE"""),"10.1016--j.physbeh.2010.12.015.pdf")</f>
        <v>10.1016--j.physbeh.2010.12.015.pdf</v>
      </c>
      <c r="D1003" s="159" t="str">
        <f>IFERROR(__xludf.DUMMYFUNCTION("""COMPUTED_VALUE"""),"application/pdf")</f>
        <v>application/pdf</v>
      </c>
    </row>
    <row r="1004">
      <c r="A1004" s="159" t="str">
        <f>IFERROR(__xludf.DUMMYFUNCTION("""COMPUTED_VALUE"""),"10.1016/j.neuropsychologia.2018.05.004")</f>
        <v>10.1016/j.neuropsychologia.2018.05.004</v>
      </c>
      <c r="B1004" s="680" t="str">
        <f>IFERROR(__xludf.DUMMYFUNCTION("""COMPUTED_VALUE"""),"https://drive.google.com/file/d/1CE9z8pHdkOjBn6Ba6fM2Ik4nyVZdmm26/view?usp=drivesdk")</f>
        <v>https://drive.google.com/file/d/1CE9z8pHdkOjBn6Ba6fM2Ik4nyVZdmm26/view?usp=drivesdk</v>
      </c>
      <c r="C1004" s="159" t="str">
        <f>IFERROR(__xludf.DUMMYFUNCTION("""COMPUTED_VALUE"""),"10.1016--j.neuropsychologia.2018.05.004.pdf")</f>
        <v>10.1016--j.neuropsychologia.2018.05.004.pdf</v>
      </c>
      <c r="D1004" s="159" t="str">
        <f>IFERROR(__xludf.DUMMYFUNCTION("""COMPUTED_VALUE"""),"application/pdf")</f>
        <v>application/pdf</v>
      </c>
    </row>
    <row r="1005">
      <c r="A1005" s="159" t="str">
        <f>IFERROR(__xludf.DUMMYFUNCTION("""COMPUTED_VALUE"""),"10.1016/j.lindif.2015.12.026")</f>
        <v>10.1016/j.lindif.2015.12.026</v>
      </c>
      <c r="B1005" s="680" t="str">
        <f>IFERROR(__xludf.DUMMYFUNCTION("""COMPUTED_VALUE"""),"https://drive.google.com/file/d/1Q9oL16iBjr8m6fB26vJ4sk61IKjHHCIo/view?usp=drivesdk")</f>
        <v>https://drive.google.com/file/d/1Q9oL16iBjr8m6fB26vJ4sk61IKjHHCIo/view?usp=drivesdk</v>
      </c>
      <c r="C1005" s="159" t="str">
        <f>IFERROR(__xludf.DUMMYFUNCTION("""COMPUTED_VALUE"""),"10.1016--j.lindif.2015.12.026.pdf")</f>
        <v>10.1016--j.lindif.2015.12.026.pdf</v>
      </c>
      <c r="D1005" s="159" t="str">
        <f>IFERROR(__xludf.DUMMYFUNCTION("""COMPUTED_VALUE"""),"application/pdf")</f>
        <v>application/pdf</v>
      </c>
    </row>
    <row r="1006">
      <c r="A1006" s="159" t="str">
        <f>IFERROR(__xludf.DUMMYFUNCTION("""COMPUTED_VALUE"""),"10.1016/j.jbtep.2020.101569")</f>
        <v>10.1016/j.jbtep.2020.101569</v>
      </c>
      <c r="B1006" s="680" t="str">
        <f>IFERROR(__xludf.DUMMYFUNCTION("""COMPUTED_VALUE"""),"https://drive.google.com/file/d/1L9WmKWrJmdY3WhFd6IJ3w3z20Yu8p5PM/view?usp=drivesdk")</f>
        <v>https://drive.google.com/file/d/1L9WmKWrJmdY3WhFd6IJ3w3z20Yu8p5PM/view?usp=drivesdk</v>
      </c>
      <c r="C1006" s="159" t="str">
        <f>IFERROR(__xludf.DUMMYFUNCTION("""COMPUTED_VALUE"""),"10.1016--j.jbtep.2020.101569.pdf")</f>
        <v>10.1016--j.jbtep.2020.101569.pdf</v>
      </c>
      <c r="D1006" s="159" t="str">
        <f>IFERROR(__xludf.DUMMYFUNCTION("""COMPUTED_VALUE"""),"application/pdf")</f>
        <v>application/pdf</v>
      </c>
    </row>
    <row r="1007">
      <c r="A1007" s="159" t="str">
        <f>IFERROR(__xludf.DUMMYFUNCTION("""COMPUTED_VALUE"""),"10.1016/j.joep.2018.11.004")</f>
        <v>10.1016/j.joep.2018.11.004</v>
      </c>
      <c r="B1007" s="680" t="str">
        <f>IFERROR(__xludf.DUMMYFUNCTION("""COMPUTED_VALUE"""),"https://drive.google.com/file/d/1jU4WVLVIMVjLbndmd1oIglQw1NjeWuN8/view?usp=drivesdk")</f>
        <v>https://drive.google.com/file/d/1jU4WVLVIMVjLbndmd1oIglQw1NjeWuN8/view?usp=drivesdk</v>
      </c>
      <c r="C1007" s="159" t="str">
        <f>IFERROR(__xludf.DUMMYFUNCTION("""COMPUTED_VALUE"""),"10.1016--j.joep.2018.11.004.pdf")</f>
        <v>10.1016--j.joep.2018.11.004.pdf</v>
      </c>
      <c r="D1007" s="159" t="str">
        <f>IFERROR(__xludf.DUMMYFUNCTION("""COMPUTED_VALUE"""),"application/pdf")</f>
        <v>application/pdf</v>
      </c>
    </row>
    <row r="1008">
      <c r="A1008" s="159" t="str">
        <f>IFERROR(__xludf.DUMMYFUNCTION("""COMPUTED_VALUE"""),"10.1016/j.jbtep.2020.101573")</f>
        <v>10.1016/j.jbtep.2020.101573</v>
      </c>
      <c r="B1008" s="680" t="str">
        <f>IFERROR(__xludf.DUMMYFUNCTION("""COMPUTED_VALUE"""),"https://drive.google.com/file/d/1prx_SpmUyRZ5cDfirHGKUdutRkrszFZA/view?usp=drivesdk")</f>
        <v>https://drive.google.com/file/d/1prx_SpmUyRZ5cDfirHGKUdutRkrszFZA/view?usp=drivesdk</v>
      </c>
      <c r="C1008" s="159" t="str">
        <f>IFERROR(__xludf.DUMMYFUNCTION("""COMPUTED_VALUE"""),"10.1016--j.jbtep.2020.101573.pdf")</f>
        <v>10.1016--j.jbtep.2020.101573.pdf</v>
      </c>
      <c r="D1008" s="159" t="str">
        <f>IFERROR(__xludf.DUMMYFUNCTION("""COMPUTED_VALUE"""),"application/pdf")</f>
        <v>application/pdf</v>
      </c>
    </row>
    <row r="1009">
      <c r="A1009" s="159" t="str">
        <f>IFERROR(__xludf.DUMMYFUNCTION("""COMPUTED_VALUE"""),"10.1016/j.jbtep.2014.11.009")</f>
        <v>10.1016/j.jbtep.2014.11.009</v>
      </c>
      <c r="B1009" s="680" t="str">
        <f>IFERROR(__xludf.DUMMYFUNCTION("""COMPUTED_VALUE"""),"https://drive.google.com/file/d/11rfoLU9N-33GZVUpkuSdLbsksE9UUrtg/view?usp=drivesdk")</f>
        <v>https://drive.google.com/file/d/11rfoLU9N-33GZVUpkuSdLbsksE9UUrtg/view?usp=drivesdk</v>
      </c>
      <c r="C1009" s="159" t="str">
        <f>IFERROR(__xludf.DUMMYFUNCTION("""COMPUTED_VALUE"""),"10.1016--j.jbtep.2014.11.009.pdf")</f>
        <v>10.1016--j.jbtep.2014.11.009.pdf</v>
      </c>
      <c r="D1009" s="159" t="str">
        <f>IFERROR(__xludf.DUMMYFUNCTION("""COMPUTED_VALUE"""),"application/pdf")</f>
        <v>application/pdf</v>
      </c>
    </row>
    <row r="1010">
      <c r="A1010" s="159" t="str">
        <f>IFERROR(__xludf.DUMMYFUNCTION("""COMPUTED_VALUE"""),"10.1016/j.eatbeh.2018.05.001")</f>
        <v>10.1016/j.eatbeh.2018.05.001</v>
      </c>
      <c r="B1010" s="680" t="str">
        <f>IFERROR(__xludf.DUMMYFUNCTION("""COMPUTED_VALUE"""),"https://drive.google.com/file/d/1VFDrVPJ16syKmJZ9a-IOJ8lIGkiblhZN/view?usp=drivesdk")</f>
        <v>https://drive.google.com/file/d/1VFDrVPJ16syKmJZ9a-IOJ8lIGkiblhZN/view?usp=drivesdk</v>
      </c>
      <c r="C1010" s="159" t="str">
        <f>IFERROR(__xludf.DUMMYFUNCTION("""COMPUTED_VALUE"""),"10.1016--j.eatbeh.2018.05.001.pdf")</f>
        <v>10.1016--j.eatbeh.2018.05.001.pdf</v>
      </c>
      <c r="D1010" s="159" t="str">
        <f>IFERROR(__xludf.DUMMYFUNCTION("""COMPUTED_VALUE"""),"application/pdf")</f>
        <v>application/pdf</v>
      </c>
    </row>
    <row r="1011">
      <c r="A1011" s="159" t="str">
        <f>IFERROR(__xludf.DUMMYFUNCTION("""COMPUTED_VALUE"""),"10.1016/j.ijpsycho.2015.12.004")</f>
        <v>10.1016/j.ijpsycho.2015.12.004</v>
      </c>
      <c r="B1011" s="680" t="str">
        <f>IFERROR(__xludf.DUMMYFUNCTION("""COMPUTED_VALUE"""),"https://drive.google.com/file/d/1n-aH1cl_KhJ5tAKkZfGd3huJb6qDvH71/view?usp=drivesdk")</f>
        <v>https://drive.google.com/file/d/1n-aH1cl_KhJ5tAKkZfGd3huJb6qDvH71/view?usp=drivesdk</v>
      </c>
      <c r="C1011" s="159" t="str">
        <f>IFERROR(__xludf.DUMMYFUNCTION("""COMPUTED_VALUE"""),"10.1016--j.ijpsycho.2015.12.004.pdf")</f>
        <v>10.1016--j.ijpsycho.2015.12.004.pdf</v>
      </c>
      <c r="D1011" s="159" t="str">
        <f>IFERROR(__xludf.DUMMYFUNCTION("""COMPUTED_VALUE"""),"application/pdf")</f>
        <v>application/pdf</v>
      </c>
    </row>
    <row r="1012">
      <c r="A1012" s="159" t="str">
        <f>IFERROR(__xludf.DUMMYFUNCTION("""COMPUTED_VALUE"""),"10.1016/j.dcn.2017.12.003")</f>
        <v>10.1016/j.dcn.2017.12.003</v>
      </c>
      <c r="B1012" s="680" t="str">
        <f>IFERROR(__xludf.DUMMYFUNCTION("""COMPUTED_VALUE"""),"https://drive.google.com/file/d/1kQS-kx1jV-RoRamFPKT5qlhq7hXEXmwX/view?usp=drivesdk")</f>
        <v>https://drive.google.com/file/d/1kQS-kx1jV-RoRamFPKT5qlhq7hXEXmwX/view?usp=drivesdk</v>
      </c>
      <c r="C1012" s="159" t="str">
        <f>IFERROR(__xludf.DUMMYFUNCTION("""COMPUTED_VALUE"""),"10.1016--j.dcn.2017.12.003.pdf")</f>
        <v>10.1016--j.dcn.2017.12.003.pdf</v>
      </c>
      <c r="D1012" s="159" t="str">
        <f>IFERROR(__xludf.DUMMYFUNCTION("""COMPUTED_VALUE"""),"application/pdf")</f>
        <v>application/pdf</v>
      </c>
    </row>
    <row r="1013">
      <c r="A1013" s="159" t="str">
        <f>IFERROR(__xludf.DUMMYFUNCTION("""COMPUTED_VALUE"""),"10.1016/j.cortex.2020.07.013")</f>
        <v>10.1016/j.cortex.2020.07.013</v>
      </c>
      <c r="B1013" s="680" t="str">
        <f>IFERROR(__xludf.DUMMYFUNCTION("""COMPUTED_VALUE"""),"https://drive.google.com/file/d/1xUncwZ0DyBC_gphDS3a8q-bzLEZylXdj/view?usp=drivesdk")</f>
        <v>https://drive.google.com/file/d/1xUncwZ0DyBC_gphDS3a8q-bzLEZylXdj/view?usp=drivesdk</v>
      </c>
      <c r="C1013" s="159" t="str">
        <f>IFERROR(__xludf.DUMMYFUNCTION("""COMPUTED_VALUE"""),"10.1016--j.cortex.2020.07.013.pdf")</f>
        <v>10.1016--j.cortex.2020.07.013.pdf</v>
      </c>
      <c r="D1013" s="159" t="str">
        <f>IFERROR(__xludf.DUMMYFUNCTION("""COMPUTED_VALUE"""),"application/pdf")</f>
        <v>application/pdf</v>
      </c>
    </row>
    <row r="1014">
      <c r="A1014" s="159" t="str">
        <f>IFERROR(__xludf.DUMMYFUNCTION("""COMPUTED_VALUE"""),"10.1016/j.cortex.2018.03.026")</f>
        <v>10.1016/j.cortex.2018.03.026</v>
      </c>
      <c r="B1014" s="680" t="str">
        <f>IFERROR(__xludf.DUMMYFUNCTION("""COMPUTED_VALUE"""),"https://drive.google.com/file/d/12BNoLabno_WqWzR-kvInVbBatCRAfrPZ/view?usp=drivesdk")</f>
        <v>https://drive.google.com/file/d/12BNoLabno_WqWzR-kvInVbBatCRAfrPZ/view?usp=drivesdk</v>
      </c>
      <c r="C1014" s="159" t="str">
        <f>IFERROR(__xludf.DUMMYFUNCTION("""COMPUTED_VALUE"""),"10.1016--j.cortex.2018.03.026.pdf")</f>
        <v>10.1016--j.cortex.2018.03.026.pdf</v>
      </c>
      <c r="D1014" s="159" t="str">
        <f>IFERROR(__xludf.DUMMYFUNCTION("""COMPUTED_VALUE"""),"application/pdf")</f>
        <v>application/pdf</v>
      </c>
    </row>
    <row r="1015">
      <c r="A1015" s="159" t="str">
        <f>IFERROR(__xludf.DUMMYFUNCTION("""COMPUTED_VALUE"""),"10.1016/j.cortex.2019.03.026")</f>
        <v>10.1016/j.cortex.2019.03.026</v>
      </c>
      <c r="B1015" s="680" t="str">
        <f>IFERROR(__xludf.DUMMYFUNCTION("""COMPUTED_VALUE"""),"https://drive.google.com/file/d/1MyRiEtlfJYAUVeQO0NToJp0ZjN8uffrl/view?usp=drivesdk")</f>
        <v>https://drive.google.com/file/d/1MyRiEtlfJYAUVeQO0NToJp0ZjN8uffrl/view?usp=drivesdk</v>
      </c>
      <c r="C1015" s="159" t="str">
        <f>IFERROR(__xludf.DUMMYFUNCTION("""COMPUTED_VALUE"""),"10.1016--j.cortex.2019.03.026.pdf")</f>
        <v>10.1016--j.cortex.2019.03.026.pdf</v>
      </c>
      <c r="D1015" s="159" t="str">
        <f>IFERROR(__xludf.DUMMYFUNCTION("""COMPUTED_VALUE"""),"application/pdf")</f>
        <v>application/pdf</v>
      </c>
    </row>
    <row r="1016">
      <c r="A1016" s="159" t="str">
        <f>IFERROR(__xludf.DUMMYFUNCTION("""COMPUTED_VALUE"""),"10.1016/j.cognition.2017.09.005")</f>
        <v>10.1016/j.cognition.2017.09.005</v>
      </c>
      <c r="B1016" s="680" t="str">
        <f>IFERROR(__xludf.DUMMYFUNCTION("""COMPUTED_VALUE"""),"https://drive.google.com/file/d/18l1u9WldKybMsycKcX5hDqGJIpRCJcJg/view?usp=drivesdk")</f>
        <v>https://drive.google.com/file/d/18l1u9WldKybMsycKcX5hDqGJIpRCJcJg/view?usp=drivesdk</v>
      </c>
      <c r="C1016" s="159" t="str">
        <f>IFERROR(__xludf.DUMMYFUNCTION("""COMPUTED_VALUE"""),"10.1016--j.cognition.2017.09.005.pdf")</f>
        <v>10.1016--j.cognition.2017.09.005.pdf</v>
      </c>
      <c r="D1016" s="159" t="str">
        <f>IFERROR(__xludf.DUMMYFUNCTION("""COMPUTED_VALUE"""),"application/pdf")</f>
        <v>application/pdf</v>
      </c>
    </row>
    <row r="1017">
      <c r="A1017" s="159" t="str">
        <f>IFERROR(__xludf.DUMMYFUNCTION("""COMPUTED_VALUE"""),"10.1016/j.beproc.2017.03.017")</f>
        <v>10.1016/j.beproc.2017.03.017</v>
      </c>
      <c r="B1017" s="680" t="str">
        <f>IFERROR(__xludf.DUMMYFUNCTION("""COMPUTED_VALUE"""),"https://drive.google.com/file/d/18A-XkqCG4rLDKbmUuabq3z5jBo-_eF76/view?usp=drivesdk")</f>
        <v>https://drive.google.com/file/d/18A-XkqCG4rLDKbmUuabq3z5jBo-_eF76/view?usp=drivesdk</v>
      </c>
      <c r="C1017" s="159" t="str">
        <f>IFERROR(__xludf.DUMMYFUNCTION("""COMPUTED_VALUE"""),"10.1016--j.beproc.2017.03.017.pdf")</f>
        <v>10.1016--j.beproc.2017.03.017.pdf</v>
      </c>
      <c r="D1017" s="159" t="str">
        <f>IFERROR(__xludf.DUMMYFUNCTION("""COMPUTED_VALUE"""),"application/pdf")</f>
        <v>application/pdf</v>
      </c>
    </row>
    <row r="1018">
      <c r="A1018" s="159" t="str">
        <f>IFERROR(__xludf.DUMMYFUNCTION("""COMPUTED_VALUE"""),"10.1016/j.cognition.2014.09.003")</f>
        <v>10.1016/j.cognition.2014.09.003</v>
      </c>
      <c r="B1018" s="680" t="str">
        <f>IFERROR(__xludf.DUMMYFUNCTION("""COMPUTED_VALUE"""),"https://drive.google.com/file/d/1oK-_u713Q6fX6dkgvkAlMIXsdLA243yv/view?usp=drivesdk")</f>
        <v>https://drive.google.com/file/d/1oK-_u713Q6fX6dkgvkAlMIXsdLA243yv/view?usp=drivesdk</v>
      </c>
      <c r="C1018" s="159" t="str">
        <f>IFERROR(__xludf.DUMMYFUNCTION("""COMPUTED_VALUE"""),"10.1016--j.cognition.2014.09.003.pdf")</f>
        <v>10.1016--j.cognition.2014.09.003.pdf</v>
      </c>
      <c r="D1018" s="159" t="str">
        <f>IFERROR(__xludf.DUMMYFUNCTION("""COMPUTED_VALUE"""),"application/pdf")</f>
        <v>application/pdf</v>
      </c>
    </row>
    <row r="1019">
      <c r="A1019" s="159" t="str">
        <f>IFERROR(__xludf.DUMMYFUNCTION("""COMPUTED_VALUE"""),"10.1016/j.beproc.2014.10.005")</f>
        <v>10.1016/j.beproc.2014.10.005</v>
      </c>
      <c r="B1019" s="680" t="str">
        <f>IFERROR(__xludf.DUMMYFUNCTION("""COMPUTED_VALUE"""),"https://drive.google.com/file/d/17wiSKvjYrvXNe8RjsNZ_QkmrEGxMPxq_/view?usp=drivesdk")</f>
        <v>https://drive.google.com/file/d/17wiSKvjYrvXNe8RjsNZ_QkmrEGxMPxq_/view?usp=drivesdk</v>
      </c>
      <c r="C1019" s="159" t="str">
        <f>IFERROR(__xludf.DUMMYFUNCTION("""COMPUTED_VALUE"""),"10.1016--j.beproc.2014.10.005.pdf")</f>
        <v>10.1016--j.beproc.2014.10.005.pdf</v>
      </c>
      <c r="D1019" s="159" t="str">
        <f>IFERROR(__xludf.DUMMYFUNCTION("""COMPUTED_VALUE"""),"application/pdf")</f>
        <v>application/pdf</v>
      </c>
    </row>
    <row r="1020">
      <c r="A1020" s="159" t="str">
        <f>IFERROR(__xludf.DUMMYFUNCTION("""COMPUTED_VALUE"""),"10.1016/j.bandc.2015.02.002")</f>
        <v>10.1016/j.bandc.2015.02.002</v>
      </c>
      <c r="B1020" s="680" t="str">
        <f>IFERROR(__xludf.DUMMYFUNCTION("""COMPUTED_VALUE"""),"https://drive.google.com/file/d/1Z1rpz2vQ1UnJBGhW3MRBqbnI3-9YIE7P/view?usp=drivesdk")</f>
        <v>https://drive.google.com/file/d/1Z1rpz2vQ1UnJBGhW3MRBqbnI3-9YIE7P/view?usp=drivesdk</v>
      </c>
      <c r="C1020" s="159" t="str">
        <f>IFERROR(__xludf.DUMMYFUNCTION("""COMPUTED_VALUE"""),"10.1016--j.bandc.2015.02.002.pdf")</f>
        <v>10.1016--j.bandc.2015.02.002.pdf</v>
      </c>
      <c r="D1020" s="159" t="str">
        <f>IFERROR(__xludf.DUMMYFUNCTION("""COMPUTED_VALUE"""),"application/pdf")</f>
        <v>application/pdf</v>
      </c>
    </row>
    <row r="1021">
      <c r="A1021" s="159" t="str">
        <f>IFERROR(__xludf.DUMMYFUNCTION("""COMPUTED_VALUE"""),"10.1016/j.addbeh.2019.01.035")</f>
        <v>10.1016/j.addbeh.2019.01.035</v>
      </c>
      <c r="B1021" s="680" t="str">
        <f>IFERROR(__xludf.DUMMYFUNCTION("""COMPUTED_VALUE"""),"https://drive.google.com/file/d/1SPPwXl3EN9zetSmA-e3Z644z35ulTeZ3/view?usp=drivesdk")</f>
        <v>https://drive.google.com/file/d/1SPPwXl3EN9zetSmA-e3Z644z35ulTeZ3/view?usp=drivesdk</v>
      </c>
      <c r="C1021" s="159" t="str">
        <f>IFERROR(__xludf.DUMMYFUNCTION("""COMPUTED_VALUE"""),"10.1016--j.addbeh.2019.01.035.pdf")</f>
        <v>10.1016--j.addbeh.2019.01.035.pdf</v>
      </c>
      <c r="D1021" s="159" t="str">
        <f>IFERROR(__xludf.DUMMYFUNCTION("""COMPUTED_VALUE"""),"application/pdf")</f>
        <v>application/pdf</v>
      </c>
    </row>
    <row r="1022">
      <c r="A1022" s="159" t="str">
        <f>IFERROR(__xludf.DUMMYFUNCTION("""COMPUTED_VALUE"""),"10.1016/j.addbeh.2013.11.008")</f>
        <v>10.1016/j.addbeh.2013.11.008</v>
      </c>
      <c r="B1022" s="680" t="str">
        <f>IFERROR(__xludf.DUMMYFUNCTION("""COMPUTED_VALUE"""),"https://drive.google.com/file/d/1TOJYdFZuCFZ6A-6WUNAnOwXUFPx1LKjL/view?usp=drivesdk")</f>
        <v>https://drive.google.com/file/d/1TOJYdFZuCFZ6A-6WUNAnOwXUFPx1LKjL/view?usp=drivesdk</v>
      </c>
      <c r="C1022" s="159" t="str">
        <f>IFERROR(__xludf.DUMMYFUNCTION("""COMPUTED_VALUE"""),"10.1016--j.addbeh.2013.11.008.pdf")</f>
        <v>10.1016--j.addbeh.2013.11.008.pdf</v>
      </c>
      <c r="D1022" s="159" t="str">
        <f>IFERROR(__xludf.DUMMYFUNCTION("""COMPUTED_VALUE"""),"application/pdf")</f>
        <v>application/pdf</v>
      </c>
    </row>
    <row r="1023">
      <c r="A1023" s="159" t="str">
        <f>IFERROR(__xludf.DUMMYFUNCTION("""COMPUTED_VALUE"""),"10.1007/s12671-017-0729-7")</f>
        <v>10.1007/s12671-017-0729-7</v>
      </c>
      <c r="B1023" s="680" t="str">
        <f>IFERROR(__xludf.DUMMYFUNCTION("""COMPUTED_VALUE"""),"https://drive.google.com/file/d/13hQx91DnpYAhqX2PDuFS8C7yUaeYoSMB/view?usp=drivesdk")</f>
        <v>https://drive.google.com/file/d/13hQx91DnpYAhqX2PDuFS8C7yUaeYoSMB/view?usp=drivesdk</v>
      </c>
      <c r="C1023" s="159" t="str">
        <f>IFERROR(__xludf.DUMMYFUNCTION("""COMPUTED_VALUE"""),"10.1007--s12671-017-0729-7.pdf")</f>
        <v>10.1007--s12671-017-0729-7.pdf</v>
      </c>
      <c r="D1023" s="159" t="str">
        <f>IFERROR(__xludf.DUMMYFUNCTION("""COMPUTED_VALUE"""),"application/pdf")</f>
        <v>application/pdf</v>
      </c>
    </row>
    <row r="1024">
      <c r="A1024" s="159" t="str">
        <f>IFERROR(__xludf.DUMMYFUNCTION("""COMPUTED_VALUE"""),"10.1007/s10882-014-9400-6")</f>
        <v>10.1007/s10882-014-9400-6</v>
      </c>
      <c r="B1024" s="680" t="str">
        <f>IFERROR(__xludf.DUMMYFUNCTION("""COMPUTED_VALUE"""),"https://drive.google.com/file/d/1QA7YAwgg5b8YsqnwWC4ZDvDqVn4dmSLL/view?usp=drivesdk")</f>
        <v>https://drive.google.com/file/d/1QA7YAwgg5b8YsqnwWC4ZDvDqVn4dmSLL/view?usp=drivesdk</v>
      </c>
      <c r="C1024" s="159" t="str">
        <f>IFERROR(__xludf.DUMMYFUNCTION("""COMPUTED_VALUE"""),"10.1007--s10882-014-9400-6.pdf")</f>
        <v>10.1007--s10882-014-9400-6.pdf</v>
      </c>
      <c r="D1024" s="159" t="str">
        <f>IFERROR(__xludf.DUMMYFUNCTION("""COMPUTED_VALUE"""),"application/pdf")</f>
        <v>application/pdf</v>
      </c>
    </row>
    <row r="1025">
      <c r="A1025" s="159" t="str">
        <f>IFERROR(__xludf.DUMMYFUNCTION("""COMPUTED_VALUE"""),"10.1016/j.addbeh.2011.07.020")</f>
        <v>10.1016/j.addbeh.2011.07.020</v>
      </c>
      <c r="B1025" s="680" t="str">
        <f>IFERROR(__xludf.DUMMYFUNCTION("""COMPUTED_VALUE"""),"https://drive.google.com/file/d/1qecxJdtawJYZmBtkcoMEpwDPo65HDsq2/view?usp=drivesdk")</f>
        <v>https://drive.google.com/file/d/1qecxJdtawJYZmBtkcoMEpwDPo65HDsq2/view?usp=drivesdk</v>
      </c>
      <c r="C1025" s="159" t="str">
        <f>IFERROR(__xludf.DUMMYFUNCTION("""COMPUTED_VALUE"""),"10.1016--j.addbeh.2011.07.020.pdf")</f>
        <v>10.1016--j.addbeh.2011.07.020.pdf</v>
      </c>
      <c r="D1025" s="159" t="str">
        <f>IFERROR(__xludf.DUMMYFUNCTION("""COMPUTED_VALUE"""),"application/pdf")</f>
        <v>application/pdf</v>
      </c>
    </row>
    <row r="1026">
      <c r="A1026" s="159" t="str">
        <f>IFERROR(__xludf.DUMMYFUNCTION("""COMPUTED_VALUE"""),"10.1007/s10578-018-0818-4")</f>
        <v>10.1007/s10578-018-0818-4</v>
      </c>
      <c r="B1026" s="680" t="str">
        <f>IFERROR(__xludf.DUMMYFUNCTION("""COMPUTED_VALUE"""),"https://drive.google.com/file/d/1K7P5oYfEmH71kcaOfP7Dmjql5yh28Dm7/view?usp=drivesdk")</f>
        <v>https://drive.google.com/file/d/1K7P5oYfEmH71kcaOfP7Dmjql5yh28Dm7/view?usp=drivesdk</v>
      </c>
      <c r="C1026" s="159" t="str">
        <f>IFERROR(__xludf.DUMMYFUNCTION("""COMPUTED_VALUE"""),"10.1007--s10578-018-0818-4.pdf")</f>
        <v>10.1007--s10578-018-0818-4.pdf</v>
      </c>
      <c r="D1026" s="159" t="str">
        <f>IFERROR(__xludf.DUMMYFUNCTION("""COMPUTED_VALUE"""),"application/pdf")</f>
        <v>application/pdf</v>
      </c>
    </row>
    <row r="1027">
      <c r="A1027" s="159" t="str">
        <f>IFERROR(__xludf.DUMMYFUNCTION("""COMPUTED_VALUE"""),"10.1007/s10508-018-1286-4")</f>
        <v>10.1007/s10508-018-1286-4</v>
      </c>
      <c r="B1027" s="680" t="str">
        <f>IFERROR(__xludf.DUMMYFUNCTION("""COMPUTED_VALUE"""),"https://drive.google.com/file/d/1Qtqc8Y9nO0A_exYgizsLO37Iiop8gtyI/view?usp=drivesdk")</f>
        <v>https://drive.google.com/file/d/1Qtqc8Y9nO0A_exYgizsLO37Iiop8gtyI/view?usp=drivesdk</v>
      </c>
      <c r="C1027" s="159" t="str">
        <f>IFERROR(__xludf.DUMMYFUNCTION("""COMPUTED_VALUE"""),"10.1007--s10508-018-1286-4.pdf")</f>
        <v>10.1007--s10508-018-1286-4.pdf</v>
      </c>
      <c r="D1027" s="159" t="str">
        <f>IFERROR(__xludf.DUMMYFUNCTION("""COMPUTED_VALUE"""),"application/pdf")</f>
        <v>application/pdf</v>
      </c>
    </row>
    <row r="1028">
      <c r="A1028" s="159" t="str">
        <f>IFERROR(__xludf.DUMMYFUNCTION("""COMPUTED_VALUE"""),"10.1007/s10508-014-0329-8")</f>
        <v>10.1007/s10508-014-0329-8</v>
      </c>
      <c r="B1028" s="680" t="str">
        <f>IFERROR(__xludf.DUMMYFUNCTION("""COMPUTED_VALUE"""),"https://drive.google.com/file/d/1PrXhDjMftmVVXPIzlR26bEkV-SjGoPKc/view?usp=drivesdk")</f>
        <v>https://drive.google.com/file/d/1PrXhDjMftmVVXPIzlR26bEkV-SjGoPKc/view?usp=drivesdk</v>
      </c>
      <c r="C1028" s="159" t="str">
        <f>IFERROR(__xludf.DUMMYFUNCTION("""COMPUTED_VALUE"""),"10.1007--s10508-014-0329-8.pdf")</f>
        <v>10.1007--s10508-014-0329-8.pdf</v>
      </c>
      <c r="D1028" s="159" t="str">
        <f>IFERROR(__xludf.DUMMYFUNCTION("""COMPUTED_VALUE"""),"application/pdf")</f>
        <v>application/pdf</v>
      </c>
    </row>
    <row r="1029">
      <c r="A1029" s="159" t="str">
        <f>IFERROR(__xludf.DUMMYFUNCTION("""COMPUTED_VALUE"""),"10.1002/jaba.606")</f>
        <v>10.1002/jaba.606</v>
      </c>
      <c r="B1029" s="680" t="str">
        <f>IFERROR(__xludf.DUMMYFUNCTION("""COMPUTED_VALUE"""),"https://drive.google.com/file/d/1o6O-7mzih7pLbXI0LvgHAGTHdrcsdwPO/view?usp=drivesdk")</f>
        <v>https://drive.google.com/file/d/1o6O-7mzih7pLbXI0LvgHAGTHdrcsdwPO/view?usp=drivesdk</v>
      </c>
      <c r="C1029" s="159" t="str">
        <f>IFERROR(__xludf.DUMMYFUNCTION("""COMPUTED_VALUE"""),"10.1002--jaba.606.pdf")</f>
        <v>10.1002--jaba.606.pdf</v>
      </c>
      <c r="D1029" s="159" t="str">
        <f>IFERROR(__xludf.DUMMYFUNCTION("""COMPUTED_VALUE"""),"application/pdf")</f>
        <v>application/pdf</v>
      </c>
    </row>
    <row r="1030">
      <c r="A1030" s="159" t="str">
        <f>IFERROR(__xludf.DUMMYFUNCTION("""COMPUTED_VALUE"""),"10.1007/s10508-014-0428-6")</f>
        <v>10.1007/s10508-014-0428-6</v>
      </c>
      <c r="B1030" s="680" t="str">
        <f>IFERROR(__xludf.DUMMYFUNCTION("""COMPUTED_VALUE"""),"https://drive.google.com/file/d/1usYtsHIoTKO8531DjDrxK0BeT1l_LPz6/view?usp=drivesdk")</f>
        <v>https://drive.google.com/file/d/1usYtsHIoTKO8531DjDrxK0BeT1l_LPz6/view?usp=drivesdk</v>
      </c>
      <c r="C1030" s="159" t="str">
        <f>IFERROR(__xludf.DUMMYFUNCTION("""COMPUTED_VALUE"""),"10.1007--s10508-014-0428-6.pdf")</f>
        <v>10.1007--s10508-014-0428-6.pdf</v>
      </c>
      <c r="D1030" s="159" t="str">
        <f>IFERROR(__xludf.DUMMYFUNCTION("""COMPUTED_VALUE"""),"application/pdf")</f>
        <v>application/pdf</v>
      </c>
    </row>
    <row r="1031">
      <c r="A1031" s="159" t="str">
        <f>IFERROR(__xludf.DUMMYFUNCTION("""COMPUTED_VALUE"""),"10.1002/erv.2344")</f>
        <v>10.1002/erv.2344</v>
      </c>
      <c r="B1031" s="680" t="str">
        <f>IFERROR(__xludf.DUMMYFUNCTION("""COMPUTED_VALUE"""),"https://drive.google.com/file/d/1sdsQjWafNvJsqiOokdecPrifBQu9p9Px/view?usp=drivesdk")</f>
        <v>https://drive.google.com/file/d/1sdsQjWafNvJsqiOokdecPrifBQu9p9Px/view?usp=drivesdk</v>
      </c>
      <c r="C1031" s="159" t="str">
        <f>IFERROR(__xludf.DUMMYFUNCTION("""COMPUTED_VALUE"""),"10.1002--erv.2344.pdf")</f>
        <v>10.1002--erv.2344.pdf</v>
      </c>
      <c r="D1031" s="159" t="str">
        <f>IFERROR(__xludf.DUMMYFUNCTION("""COMPUTED_VALUE"""),"application/pdf")</f>
        <v>application/pdf</v>
      </c>
    </row>
    <row r="1032">
      <c r="A1032" s="159" t="str">
        <f>IFERROR(__xludf.DUMMYFUNCTION("""COMPUTED_VALUE"""),"10.1002/ejsp.850")</f>
        <v>10.1002/ejsp.850</v>
      </c>
      <c r="B1032" s="680" t="str">
        <f>IFERROR(__xludf.DUMMYFUNCTION("""COMPUTED_VALUE"""),"https://drive.google.com/file/d/1JIio9dD942E8dACgVVdAKxTirhGvnXYU/view?usp=drivesdk")</f>
        <v>https://drive.google.com/file/d/1JIio9dD942E8dACgVVdAKxTirhGvnXYU/view?usp=drivesdk</v>
      </c>
      <c r="C1032" s="159" t="str">
        <f>IFERROR(__xludf.DUMMYFUNCTION("""COMPUTED_VALUE"""),"10.1002--ejsp.850.pdf")</f>
        <v>10.1002--ejsp.850.pdf</v>
      </c>
      <c r="D1032" s="159" t="str">
        <f>IFERROR(__xludf.DUMMYFUNCTION("""COMPUTED_VALUE"""),"application/pdf")</f>
        <v>application/pdf</v>
      </c>
    </row>
    <row r="1033">
      <c r="A1033" s="159" t="str">
        <f>IFERROR(__xludf.DUMMYFUNCTION("""COMPUTED_VALUE"""),"10.1016/j.paid.2015.08.050")</f>
        <v>10.1016/j.paid.2015.08.050</v>
      </c>
      <c r="B1033" s="680" t="str">
        <f>IFERROR(__xludf.DUMMYFUNCTION("""COMPUTED_VALUE"""),"https://drive.google.com/file/d/1UP7ZYzMzV0FosoKq3xKtP3jqY-RWWp6q/view?usp=drivesdk")</f>
        <v>https://drive.google.com/file/d/1UP7ZYzMzV0FosoKq3xKtP3jqY-RWWp6q/view?usp=drivesdk</v>
      </c>
      <c r="C1033" s="159" t="str">
        <f>IFERROR(__xludf.DUMMYFUNCTION("""COMPUTED_VALUE"""),"10.1016--j.paid.2015.08.050.pdf")</f>
        <v>10.1016--j.paid.2015.08.050.pdf</v>
      </c>
      <c r="D1033" s="159" t="str">
        <f>IFERROR(__xludf.DUMMYFUNCTION("""COMPUTED_VALUE"""),"application/pdf")</f>
        <v>application/pdf</v>
      </c>
    </row>
    <row r="1034">
      <c r="A1034" s="159" t="str">
        <f>IFERROR(__xludf.DUMMYFUNCTION("""COMPUTED_VALUE"""),"10.1007/s10464-013-9587-1")</f>
        <v>10.1007/s10464-013-9587-1</v>
      </c>
      <c r="B1034" s="680" t="str">
        <f>IFERROR(__xludf.DUMMYFUNCTION("""COMPUTED_VALUE"""),"https://drive.google.com/file/d/1oxrBEjfF17yXVvaokTD0u5RL_sgkSMgx/view?usp=drivesdk")</f>
        <v>https://drive.google.com/file/d/1oxrBEjfF17yXVvaokTD0u5RL_sgkSMgx/view?usp=drivesdk</v>
      </c>
      <c r="C1034" s="159" t="str">
        <f>IFERROR(__xludf.DUMMYFUNCTION("""COMPUTED_VALUE"""),"10.1007--s10464-013-9587-1.pdf")</f>
        <v>10.1007--s10464-013-9587-1.pdf</v>
      </c>
      <c r="D1034" s="159" t="str">
        <f>IFERROR(__xludf.DUMMYFUNCTION("""COMPUTED_VALUE"""),"application/pdf")</f>
        <v>application/pdf</v>
      </c>
    </row>
    <row r="1035">
      <c r="A1035" s="159" t="str">
        <f>IFERROR(__xludf.DUMMYFUNCTION("""COMPUTED_VALUE"""),"10.3389/fpsyg.2015.01221")</f>
        <v>10.3389/fpsyg.2015.01221</v>
      </c>
      <c r="B1035" s="680" t="str">
        <f>IFERROR(__xludf.DUMMYFUNCTION("""COMPUTED_VALUE"""),"https://drive.google.com/file/d/1palPBkJHCvYlPBUeKlt_R0vV70lzSnDX/view?usp=drivesdk")</f>
        <v>https://drive.google.com/file/d/1palPBkJHCvYlPBUeKlt_R0vV70lzSnDX/view?usp=drivesdk</v>
      </c>
      <c r="C1035" s="159" t="str">
        <f>IFERROR(__xludf.DUMMYFUNCTION("""COMPUTED_VALUE"""),"10.3389--fpsyg.2015.01221.pdf")</f>
        <v>10.3389--fpsyg.2015.01221.pdf</v>
      </c>
      <c r="D1035" s="159" t="str">
        <f>IFERROR(__xludf.DUMMYFUNCTION("""COMPUTED_VALUE"""),"application/pdf")</f>
        <v>application/pdf</v>
      </c>
    </row>
    <row r="1036">
      <c r="A1036" s="159" t="str">
        <f>IFERROR(__xludf.DUMMYFUNCTION("""COMPUTED_VALUE"""),"10.1080/20445911.2013.817413")</f>
        <v>10.1080/20445911.2013.817413</v>
      </c>
      <c r="B1036" s="680" t="str">
        <f>IFERROR(__xludf.DUMMYFUNCTION("""COMPUTED_VALUE"""),"https://drive.google.com/file/d/1nPKtIVln8V26-2TlelyxSIDrW9DB2IY4/view?usp=drivesdk")</f>
        <v>https://drive.google.com/file/d/1nPKtIVln8V26-2TlelyxSIDrW9DB2IY4/view?usp=drivesdk</v>
      </c>
      <c r="C1036" s="159" t="str">
        <f>IFERROR(__xludf.DUMMYFUNCTION("""COMPUTED_VALUE"""),"10.1080--20445911.2013.817413.pdf")</f>
        <v>10.1080--20445911.2013.817413.pdf</v>
      </c>
      <c r="D1036" s="159" t="str">
        <f>IFERROR(__xludf.DUMMYFUNCTION("""COMPUTED_VALUE"""),"application/pdf")</f>
        <v>application/pdf</v>
      </c>
    </row>
    <row r="1037">
      <c r="A1037" s="159" t="str">
        <f>IFERROR(__xludf.DUMMYFUNCTION("""COMPUTED_VALUE"""),"10.1177/0145445520920813")</f>
        <v>10.1177/0145445520920813</v>
      </c>
      <c r="B1037" s="680" t="str">
        <f>IFERROR(__xludf.DUMMYFUNCTION("""COMPUTED_VALUE"""),"https://drive.google.com/file/d/1q-aYNt3MoOQkBO6zo6Y4QjY5op6bsWLz/view?usp=drivesdk")</f>
        <v>https://drive.google.com/file/d/1q-aYNt3MoOQkBO6zo6Y4QjY5op6bsWLz/view?usp=drivesdk</v>
      </c>
      <c r="C1037" s="159" t="str">
        <f>IFERROR(__xludf.DUMMYFUNCTION("""COMPUTED_VALUE"""),"10.1177--0145445520920813.pdf")</f>
        <v>10.1177--0145445520920813.pdf</v>
      </c>
      <c r="D1037" s="159" t="str">
        <f>IFERROR(__xludf.DUMMYFUNCTION("""COMPUTED_VALUE"""),"application/pdf")</f>
        <v>application/pdf</v>
      </c>
    </row>
    <row r="1038">
      <c r="A1038" s="159" t="str">
        <f>IFERROR(__xludf.DUMMYFUNCTION("""COMPUTED_VALUE"""),"10.1037/adb0000155")</f>
        <v>10.1037/adb0000155</v>
      </c>
      <c r="B1038" s="680" t="str">
        <f>IFERROR(__xludf.DUMMYFUNCTION("""COMPUTED_VALUE"""),"https://drive.google.com/file/d/1EK70voCEjQThFwJv8w0XAfJnswIJGsgT/view?usp=drivesdk")</f>
        <v>https://drive.google.com/file/d/1EK70voCEjQThFwJv8w0XAfJnswIJGsgT/view?usp=drivesdk</v>
      </c>
      <c r="C1038" s="159" t="str">
        <f>IFERROR(__xludf.DUMMYFUNCTION("""COMPUTED_VALUE"""),"10.1037--adb0000155.pdf")</f>
        <v>10.1037--adb0000155.pdf</v>
      </c>
      <c r="D1038" s="159" t="str">
        <f>IFERROR(__xludf.DUMMYFUNCTION("""COMPUTED_VALUE"""),"application/pdf")</f>
        <v>application/pdf</v>
      </c>
    </row>
    <row r="1039">
      <c r="A1039" s="159" t="str">
        <f>IFERROR(__xludf.DUMMYFUNCTION("""COMPUTED_VALUE"""),"10.1037/abn0000144")</f>
        <v>10.1037/abn0000144</v>
      </c>
      <c r="B1039" s="680" t="str">
        <f>IFERROR(__xludf.DUMMYFUNCTION("""COMPUTED_VALUE"""),"https://drive.google.com/file/d/1E9vjsTCQu9mBa51YODe8l3tjx7J7jUs5/view?usp=drivesdk")</f>
        <v>https://drive.google.com/file/d/1E9vjsTCQu9mBa51YODe8l3tjx7J7jUs5/view?usp=drivesdk</v>
      </c>
      <c r="C1039" s="159" t="str">
        <f>IFERROR(__xludf.DUMMYFUNCTION("""COMPUTED_VALUE"""),"10.1037--abn0000144.pdf")</f>
        <v>10.1037--abn0000144.pdf</v>
      </c>
      <c r="D1039" s="159" t="str">
        <f>IFERROR(__xludf.DUMMYFUNCTION("""COMPUTED_VALUE"""),"application/pdf")</f>
        <v>application/pdf</v>
      </c>
    </row>
    <row r="1040">
      <c r="A1040" s="159" t="str">
        <f>IFERROR(__xludf.DUMMYFUNCTION("""COMPUTED_VALUE"""),"10.1037/a0033303")</f>
        <v>10.1037/a0033303</v>
      </c>
      <c r="B1040" s="680" t="str">
        <f>IFERROR(__xludf.DUMMYFUNCTION("""COMPUTED_VALUE"""),"https://drive.google.com/file/d/1lekgV_7d1Wb3Sleyh_r5jBNlDgkh0Qle/view?usp=drivesdk")</f>
        <v>https://drive.google.com/file/d/1lekgV_7d1Wb3Sleyh_r5jBNlDgkh0Qle/view?usp=drivesdk</v>
      </c>
      <c r="C1040" s="159" t="str">
        <f>IFERROR(__xludf.DUMMYFUNCTION("""COMPUTED_VALUE"""),"10.1037--a0033303.pdf")</f>
        <v>10.1037--a0033303.pdf</v>
      </c>
      <c r="D1040" s="159" t="str">
        <f>IFERROR(__xludf.DUMMYFUNCTION("""COMPUTED_VALUE"""),"application/pdf")</f>
        <v>application/pdf</v>
      </c>
    </row>
    <row r="1041">
      <c r="A1041" s="159" t="str">
        <f>IFERROR(__xludf.DUMMYFUNCTION("""COMPUTED_VALUE"""),"10.1016/j.psychsport.2015.08.007")</f>
        <v>10.1016/j.psychsport.2015.08.007</v>
      </c>
      <c r="B1041" s="680" t="str">
        <f>IFERROR(__xludf.DUMMYFUNCTION("""COMPUTED_VALUE"""),"https://drive.google.com/file/d/1ChnTp3WwnI7GsVilMB_0xUxJVRcijITh/view?usp=drivesdk")</f>
        <v>https://drive.google.com/file/d/1ChnTp3WwnI7GsVilMB_0xUxJVRcijITh/view?usp=drivesdk</v>
      </c>
      <c r="C1041" s="159" t="str">
        <f>IFERROR(__xludf.DUMMYFUNCTION("""COMPUTED_VALUE"""),"10.1016--j.psychsport.2015.08.007.pdf")</f>
        <v>10.1016--j.psychsport.2015.08.007.pdf</v>
      </c>
      <c r="D1041" s="159" t="str">
        <f>IFERROR(__xludf.DUMMYFUNCTION("""COMPUTED_VALUE"""),"application/pdf")</f>
        <v>application/pdf</v>
      </c>
    </row>
    <row r="1042">
      <c r="A1042" s="159" t="str">
        <f>IFERROR(__xludf.DUMMYFUNCTION("""COMPUTED_VALUE"""),"10.1016/j.jbtep.2012.07.011")</f>
        <v>10.1016/j.jbtep.2012.07.011</v>
      </c>
      <c r="B1042" s="680" t="str">
        <f>IFERROR(__xludf.DUMMYFUNCTION("""COMPUTED_VALUE"""),"https://drive.google.com/file/d/1xFzDm4S7_QQw1esjWmqi7nhg48Yqym3N/view?usp=drivesdk")</f>
        <v>https://drive.google.com/file/d/1xFzDm4S7_QQw1esjWmqi7nhg48Yqym3N/view?usp=drivesdk</v>
      </c>
      <c r="C1042" s="159" t="str">
        <f>IFERROR(__xludf.DUMMYFUNCTION("""COMPUTED_VALUE"""),"10.1016--j.jbtep.2012.07.011.pdf")</f>
        <v>10.1016--j.jbtep.2012.07.011.pdf</v>
      </c>
      <c r="D1042" s="159" t="str">
        <f>IFERROR(__xludf.DUMMYFUNCTION("""COMPUTED_VALUE"""),"application/pdf")</f>
        <v>application/pdf</v>
      </c>
    </row>
    <row r="1043">
      <c r="A1043" s="159" t="str">
        <f>IFERROR(__xludf.DUMMYFUNCTION("""COMPUTED_VALUE"""),"10.1016/j.janxdis.2014.01.004")</f>
        <v>10.1016/j.janxdis.2014.01.004</v>
      </c>
      <c r="B1043" s="680" t="str">
        <f>IFERROR(__xludf.DUMMYFUNCTION("""COMPUTED_VALUE"""),"https://drive.google.com/file/d/1wwnFr3pqPX_LothYiI13vAF9BHLBTgr5/view?usp=drivesdk")</f>
        <v>https://drive.google.com/file/d/1wwnFr3pqPX_LothYiI13vAF9BHLBTgr5/view?usp=drivesdk</v>
      </c>
      <c r="C1043" s="159" t="str">
        <f>IFERROR(__xludf.DUMMYFUNCTION("""COMPUTED_VALUE"""),"10.1016--j.janxdis.2014.01.004.pdf")</f>
        <v>10.1016--j.janxdis.2014.01.004.pdf</v>
      </c>
      <c r="D1043" s="159" t="str">
        <f>IFERROR(__xludf.DUMMYFUNCTION("""COMPUTED_VALUE"""),"application/pdf")</f>
        <v>application/pdf</v>
      </c>
    </row>
    <row r="1044">
      <c r="A1044" s="159" t="str">
        <f>IFERROR(__xludf.DUMMYFUNCTION("""COMPUTED_VALUE"""),"10.1016/j.cognition.2013.11.014")</f>
        <v>10.1016/j.cognition.2013.11.014</v>
      </c>
      <c r="B1044" s="680" t="str">
        <f>IFERROR(__xludf.DUMMYFUNCTION("""COMPUTED_VALUE"""),"https://drive.google.com/file/d/1AqmI6Zq6KP_U_Vn6pbBLW6XQLM1e2E2G/view?usp=drivesdk")</f>
        <v>https://drive.google.com/file/d/1AqmI6Zq6KP_U_Vn6pbBLW6XQLM1e2E2G/view?usp=drivesdk</v>
      </c>
      <c r="C1044" s="159" t="str">
        <f>IFERROR(__xludf.DUMMYFUNCTION("""COMPUTED_VALUE"""),"10.1016--j.cognition.2013.11.014.pdf")</f>
        <v>10.1016--j.cognition.2013.11.014.pdf</v>
      </c>
      <c r="D1044" s="159" t="str">
        <f>IFERROR(__xludf.DUMMYFUNCTION("""COMPUTED_VALUE"""),"application/pdf")</f>
        <v>application/pdf</v>
      </c>
    </row>
    <row r="1045">
      <c r="A1045" s="159" t="str">
        <f>IFERROR(__xludf.DUMMYFUNCTION("""COMPUTED_VALUE"""),"10.1016/j.actpsy.2014.11.008")</f>
        <v>10.1016/j.actpsy.2014.11.008</v>
      </c>
      <c r="B1045" s="680" t="str">
        <f>IFERROR(__xludf.DUMMYFUNCTION("""COMPUTED_VALUE"""),"https://drive.google.com/file/d/1Ugkth0to_cNGmZpi0M4S3HNxgArz_XtF/view?usp=drivesdk")</f>
        <v>https://drive.google.com/file/d/1Ugkth0to_cNGmZpi0M4S3HNxgArz_XtF/view?usp=drivesdk</v>
      </c>
      <c r="C1045" s="159" t="str">
        <f>IFERROR(__xludf.DUMMYFUNCTION("""COMPUTED_VALUE"""),"10.1016--j.actpsy.2014.11.008.pdf")</f>
        <v>10.1016--j.actpsy.2014.11.008.pdf</v>
      </c>
      <c r="D1045" s="159" t="str">
        <f>IFERROR(__xludf.DUMMYFUNCTION("""COMPUTED_VALUE"""),"application/pdf")</f>
        <v>application/pdf</v>
      </c>
    </row>
    <row r="1046">
      <c r="A1046" s="159" t="str">
        <f>IFERROR(__xludf.DUMMYFUNCTION("""COMPUTED_VALUE"""),"10.1007/s10519-012-9570-x")</f>
        <v>10.1007/s10519-012-9570-x</v>
      </c>
      <c r="B1046" s="680" t="str">
        <f>IFERROR(__xludf.DUMMYFUNCTION("""COMPUTED_VALUE"""),"https://drive.google.com/file/d/1P_5NDbaodkN-AqumONn0hzTVzSTSM4y7/view?usp=drivesdk")</f>
        <v>https://drive.google.com/file/d/1P_5NDbaodkN-AqumONn0hzTVzSTSM4y7/view?usp=drivesdk</v>
      </c>
      <c r="C1046" s="159" t="str">
        <f>IFERROR(__xludf.DUMMYFUNCTION("""COMPUTED_VALUE"""),"10.1007--s10519-012-9570-x.pdf")</f>
        <v>10.1007--s10519-012-9570-x.pdf</v>
      </c>
      <c r="D1046" s="159" t="str">
        <f>IFERROR(__xludf.DUMMYFUNCTION("""COMPUTED_VALUE"""),"application/pdf")</f>
        <v>application/pdf</v>
      </c>
    </row>
    <row r="1047">
      <c r="A1047" s="159" t="str">
        <f>IFERROR(__xludf.DUMMYFUNCTION("""COMPUTED_VALUE"""),"10.1007/s12144-018-9810-1")</f>
        <v>10.1007/s12144-018-9810-1</v>
      </c>
      <c r="B1047" s="680" t="str">
        <f>IFERROR(__xludf.DUMMYFUNCTION("""COMPUTED_VALUE"""),"https://drive.google.com/file/d/1z_BdgeDAlPoyJc0uEwv-1ASySLTcgiv-/view?usp=drivesdk")</f>
        <v>https://drive.google.com/file/d/1z_BdgeDAlPoyJc0uEwv-1ASySLTcgiv-/view?usp=drivesdk</v>
      </c>
      <c r="C1047" s="159" t="str">
        <f>IFERROR(__xludf.DUMMYFUNCTION("""COMPUTED_VALUE"""),"10.1007--s12144-018-9810-1.pdf")</f>
        <v>10.1007--s12144-018-9810-1.pdf</v>
      </c>
      <c r="D1047" s="159" t="str">
        <f>IFERROR(__xludf.DUMMYFUNCTION("""COMPUTED_VALUE"""),"application/pdf")</f>
        <v>application/pdf</v>
      </c>
    </row>
    <row r="1048">
      <c r="A1048" s="159" t="str">
        <f>IFERROR(__xludf.DUMMYFUNCTION("""COMPUTED_VALUE"""),"10.1177/0886260514563833")</f>
        <v>10.1177/0886260514563833</v>
      </c>
      <c r="B1048" s="680" t="str">
        <f>IFERROR(__xludf.DUMMYFUNCTION("""COMPUTED_VALUE"""),"https://drive.google.com/file/d/1pfk6NhLqZUxSC72HE5zA09nmkXL8bh3f/view?usp=drivesdk")</f>
        <v>https://drive.google.com/file/d/1pfk6NhLqZUxSC72HE5zA09nmkXL8bh3f/view?usp=drivesdk</v>
      </c>
      <c r="C1048" s="159" t="str">
        <f>IFERROR(__xludf.DUMMYFUNCTION("""COMPUTED_VALUE"""),"10.1177--0886260514563833.pdf")</f>
        <v>10.1177--0886260514563833.pdf</v>
      </c>
      <c r="D1048" s="159" t="str">
        <f>IFERROR(__xludf.DUMMYFUNCTION("""COMPUTED_VALUE"""),"application/pdf")</f>
        <v>application/pdf</v>
      </c>
    </row>
    <row r="1049">
      <c r="A1049" s="159" t="str">
        <f>IFERROR(__xludf.DUMMYFUNCTION("""COMPUTED_VALUE"""),"10.1016/j.jbtep.2018.01.005")</f>
        <v>10.1016/j.jbtep.2018.01.005</v>
      </c>
      <c r="B1049" s="680" t="str">
        <f>IFERROR(__xludf.DUMMYFUNCTION("""COMPUTED_VALUE"""),"https://drive.google.com/file/d/17ketAgQS20_F9LvYc05suSn063Yk2r0z/view?usp=drivesdk")</f>
        <v>https://drive.google.com/file/d/17ketAgQS20_F9LvYc05suSn063Yk2r0z/view?usp=drivesdk</v>
      </c>
      <c r="C1049" s="159" t="str">
        <f>IFERROR(__xludf.DUMMYFUNCTION("""COMPUTED_VALUE"""),"10.1016--j.jbtep.2018.01.005.pdf")</f>
        <v>10.1016--j.jbtep.2018.01.005.pdf</v>
      </c>
      <c r="D1049" s="159" t="str">
        <f>IFERROR(__xludf.DUMMYFUNCTION("""COMPUTED_VALUE"""),"application/pdf")</f>
        <v>application/pdf</v>
      </c>
    </row>
    <row r="1050">
      <c r="A1050" s="159" t="str">
        <f>IFERROR(__xludf.DUMMYFUNCTION("""COMPUTED_VALUE"""),"10.1037/a0024313")</f>
        <v>10.1037/a0024313</v>
      </c>
      <c r="B1050" s="680" t="str">
        <f>IFERROR(__xludf.DUMMYFUNCTION("""COMPUTED_VALUE"""),"https://drive.google.com/file/d/1_KL9OSscMIfIh3Xklw7COJgoijUC206n/view?usp=drivesdk")</f>
        <v>https://drive.google.com/file/d/1_KL9OSscMIfIh3Xklw7COJgoijUC206n/view?usp=drivesdk</v>
      </c>
      <c r="C1050" s="159" t="str">
        <f>IFERROR(__xludf.DUMMYFUNCTION("""COMPUTED_VALUE"""),"10.1037--a0024313.pdf")</f>
        <v>10.1037--a0024313.pdf</v>
      </c>
      <c r="D1050" s="159" t="str">
        <f>IFERROR(__xludf.DUMMYFUNCTION("""COMPUTED_VALUE"""),"application/pdf")</f>
        <v>application/pdf</v>
      </c>
    </row>
    <row r="1051">
      <c r="A1051" s="159" t="str">
        <f>IFERROR(__xludf.DUMMYFUNCTION("""COMPUTED_VALUE"""),"10.1016/j.cortex.2018.10.021")</f>
        <v>10.1016/j.cortex.2018.10.021</v>
      </c>
      <c r="B1051" s="680" t="str">
        <f>IFERROR(__xludf.DUMMYFUNCTION("""COMPUTED_VALUE"""),"https://drive.google.com/file/d/1u1b7WcdpQ093xj3P4kbtxkfZbNQToggr/view?usp=drivesdk")</f>
        <v>https://drive.google.com/file/d/1u1b7WcdpQ093xj3P4kbtxkfZbNQToggr/view?usp=drivesdk</v>
      </c>
      <c r="C1051" s="159" t="str">
        <f>IFERROR(__xludf.DUMMYFUNCTION("""COMPUTED_VALUE"""),"10.1016--j.cortex.2018.10.021.pdf")</f>
        <v>10.1016--j.cortex.2018.10.021.pdf</v>
      </c>
      <c r="D1051" s="159" t="str">
        <f>IFERROR(__xludf.DUMMYFUNCTION("""COMPUTED_VALUE"""),"application/pdf")</f>
        <v>application/pdf</v>
      </c>
    </row>
    <row r="1052">
      <c r="A1052" s="159" t="str">
        <f>IFERROR(__xludf.DUMMYFUNCTION("""COMPUTED_VALUE"""),"10.1016/j.biopsycho.2014.07.005")</f>
        <v>10.1016/j.biopsycho.2014.07.005</v>
      </c>
      <c r="B1052" s="680" t="str">
        <f>IFERROR(__xludf.DUMMYFUNCTION("""COMPUTED_VALUE"""),"https://drive.google.com/file/d/1PpT_-ZbMQ_UCSJ9H796om0Jjm1kvQ4Ai/view?usp=drivesdk")</f>
        <v>https://drive.google.com/file/d/1PpT_-ZbMQ_UCSJ9H796om0Jjm1kvQ4Ai/view?usp=drivesdk</v>
      </c>
      <c r="C1052" s="159" t="str">
        <f>IFERROR(__xludf.DUMMYFUNCTION("""COMPUTED_VALUE"""),"10.1016--j.biopsycho.2014.07.005.pdf")</f>
        <v>10.1016--j.biopsycho.2014.07.005.pdf</v>
      </c>
      <c r="D1052" s="159" t="str">
        <f>IFERROR(__xludf.DUMMYFUNCTION("""COMPUTED_VALUE"""),"application/pdf")</f>
        <v>application/pdf</v>
      </c>
    </row>
    <row r="1053">
      <c r="A1053" s="159" t="str">
        <f>IFERROR(__xludf.DUMMYFUNCTION("""COMPUTED_VALUE"""),"10.1016/j.beth.2019.12.006")</f>
        <v>10.1016/j.beth.2019.12.006</v>
      </c>
      <c r="B1053" s="680" t="str">
        <f>IFERROR(__xludf.DUMMYFUNCTION("""COMPUTED_VALUE"""),"https://drive.google.com/file/d/1CbG1VOBApKmxZL6eX8yUgVdTUMTfuwuS/view?usp=drivesdk")</f>
        <v>https://drive.google.com/file/d/1CbG1VOBApKmxZL6eX8yUgVdTUMTfuwuS/view?usp=drivesdk</v>
      </c>
      <c r="C1053" s="159" t="str">
        <f>IFERROR(__xludf.DUMMYFUNCTION("""COMPUTED_VALUE"""),"10.1016--j.beth.2019.12.006.pdf")</f>
        <v>10.1016--j.beth.2019.12.006.pdf</v>
      </c>
      <c r="D1053" s="159" t="str">
        <f>IFERROR(__xludf.DUMMYFUNCTION("""COMPUTED_VALUE"""),"application/pdf")</f>
        <v>application/pdf</v>
      </c>
    </row>
    <row r="1054">
      <c r="A1054" s="159" t="str">
        <f>IFERROR(__xludf.DUMMYFUNCTION("""COMPUTED_VALUE"""),"10.1002/rrq.62")</f>
        <v>10.1002/rrq.62</v>
      </c>
      <c r="B1054" s="680" t="str">
        <f>IFERROR(__xludf.DUMMYFUNCTION("""COMPUTED_VALUE"""),"https://drive.google.com/file/d/1yKVtmrrokbnG8vYzIP64Hzag1IRdVdz4/view?usp=drivesdk")</f>
        <v>https://drive.google.com/file/d/1yKVtmrrokbnG8vYzIP64Hzag1IRdVdz4/view?usp=drivesdk</v>
      </c>
      <c r="C1054" s="159" t="str">
        <f>IFERROR(__xludf.DUMMYFUNCTION("""COMPUTED_VALUE"""),"10.1002--rrq.62.pdf")</f>
        <v>10.1002--rrq.62.pdf</v>
      </c>
      <c r="D1054" s="159" t="str">
        <f>IFERROR(__xludf.DUMMYFUNCTION("""COMPUTED_VALUE"""),"application/pdf")</f>
        <v>application/pdf</v>
      </c>
    </row>
    <row r="1055">
      <c r="A1055" s="159" t="str">
        <f>IFERROR(__xludf.DUMMYFUNCTION("""COMPUTED_VALUE"""),"10.1016/j.cortex.2020.08.002")</f>
        <v>10.1016/j.cortex.2020.08.002</v>
      </c>
      <c r="B1055" s="680" t="str">
        <f>IFERROR(__xludf.DUMMYFUNCTION("""COMPUTED_VALUE"""),"https://drive.google.com/file/d/1lxCGafMDrYAsyUwujfL4sNxOpaj27_ZL/view?usp=drivesdk")</f>
        <v>https://drive.google.com/file/d/1lxCGafMDrYAsyUwujfL4sNxOpaj27_ZL/view?usp=drivesdk</v>
      </c>
      <c r="C1055" s="159" t="str">
        <f>IFERROR(__xludf.DUMMYFUNCTION("""COMPUTED_VALUE"""),"10.1016--j.cortex.2020.08.002.pdf")</f>
        <v>10.1016--j.cortex.2020.08.002.pdf</v>
      </c>
      <c r="D1055" s="159" t="str">
        <f>IFERROR(__xludf.DUMMYFUNCTION("""COMPUTED_VALUE"""),"application/pdf")</f>
        <v>application/pdf</v>
      </c>
    </row>
    <row r="1056">
      <c r="A1056" s="159" t="str">
        <f>IFERROR(__xludf.DUMMYFUNCTION("""COMPUTED_VALUE"""),"10.1177/1073191111398314")</f>
        <v>10.1177/1073191111398314</v>
      </c>
      <c r="B1056" s="680" t="str">
        <f>IFERROR(__xludf.DUMMYFUNCTION("""COMPUTED_VALUE"""),"https://drive.google.com/file/d/13MA74eS7DrujLk_XxKEwnhT26DlnYs97/view?usp=drivesdk")</f>
        <v>https://drive.google.com/file/d/13MA74eS7DrujLk_XxKEwnhT26DlnYs97/view?usp=drivesdk</v>
      </c>
      <c r="C1056" s="159" t="str">
        <f>IFERROR(__xludf.DUMMYFUNCTION("""COMPUTED_VALUE"""),"10.1177--1073191111398314.pdf")</f>
        <v>10.1177--1073191111398314.pdf</v>
      </c>
      <c r="D1056" s="159" t="str">
        <f>IFERROR(__xludf.DUMMYFUNCTION("""COMPUTED_VALUE"""),"application/pdf")</f>
        <v>application/pdf</v>
      </c>
    </row>
    <row r="1057">
      <c r="A1057" s="159" t="str">
        <f>IFERROR(__xludf.DUMMYFUNCTION("""COMPUTED_VALUE"""),"10.1016/j.cogdev.2017.08.006")</f>
        <v>10.1016/j.cogdev.2017.08.006</v>
      </c>
      <c r="B1057" s="680" t="str">
        <f>IFERROR(__xludf.DUMMYFUNCTION("""COMPUTED_VALUE"""),"https://drive.google.com/file/d/1r8elKgOPwwO_4J-4uUv7we9zsgWV58SW/view?usp=drivesdk")</f>
        <v>https://drive.google.com/file/d/1r8elKgOPwwO_4J-4uUv7we9zsgWV58SW/view?usp=drivesdk</v>
      </c>
      <c r="C1057" s="159" t="str">
        <f>IFERROR(__xludf.DUMMYFUNCTION("""COMPUTED_VALUE"""),"10.1016--j.cogdev.2017.08.006.pdf")</f>
        <v>10.1016--j.cogdev.2017.08.006.pdf</v>
      </c>
      <c r="D1057" s="159" t="str">
        <f>IFERROR(__xludf.DUMMYFUNCTION("""COMPUTED_VALUE"""),"application/pdf")</f>
        <v>application/pdf</v>
      </c>
    </row>
    <row r="1058">
      <c r="A1058" s="159" t="str">
        <f>IFERROR(__xludf.DUMMYFUNCTION("""COMPUTED_VALUE"""),"10.1037/a0021682")</f>
        <v>10.1037/a0021682</v>
      </c>
      <c r="B1058" s="680" t="str">
        <f>IFERROR(__xludf.DUMMYFUNCTION("""COMPUTED_VALUE"""),"https://drive.google.com/file/d/1r5DhKWjYUvxIKeRhA9vdGXw0vBkuFsPC/view?usp=drivesdk")</f>
        <v>https://drive.google.com/file/d/1r5DhKWjYUvxIKeRhA9vdGXw0vBkuFsPC/view?usp=drivesdk</v>
      </c>
      <c r="C1058" s="159" t="str">
        <f>IFERROR(__xludf.DUMMYFUNCTION("""COMPUTED_VALUE"""),"10.1037--a0021682.pdf")</f>
        <v>10.1037--a0021682.pdf</v>
      </c>
      <c r="D1058" s="159" t="str">
        <f>IFERROR(__xludf.DUMMYFUNCTION("""COMPUTED_VALUE"""),"application/pdf")</f>
        <v>application/pdf</v>
      </c>
    </row>
    <row r="1059">
      <c r="A1059" s="159" t="str">
        <f>IFERROR(__xludf.DUMMYFUNCTION("""COMPUTED_VALUE"""),"10.3758/s13428-020-01454-9")</f>
        <v>10.3758/s13428-020-01454-9</v>
      </c>
      <c r="B1059" s="680" t="str">
        <f>IFERROR(__xludf.DUMMYFUNCTION("""COMPUTED_VALUE"""),"https://drive.google.com/file/d/1wsPvmROGursS4XKsLxJycBv3ribXTR4w/view?usp=drivesdk")</f>
        <v>https://drive.google.com/file/d/1wsPvmROGursS4XKsLxJycBv3ribXTR4w/view?usp=drivesdk</v>
      </c>
      <c r="C1059" s="159" t="str">
        <f>IFERROR(__xludf.DUMMYFUNCTION("""COMPUTED_VALUE"""),"10.3758--s13428-020-01454-9.pdf")</f>
        <v>10.3758--s13428-020-01454-9.pdf</v>
      </c>
      <c r="D1059" s="159" t="str">
        <f>IFERROR(__xludf.DUMMYFUNCTION("""COMPUTED_VALUE"""),"application/pdf")</f>
        <v>application/pdf</v>
      </c>
    </row>
    <row r="1060">
      <c r="A1060" s="159" t="str">
        <f>IFERROR(__xludf.DUMMYFUNCTION("""COMPUTED_VALUE"""),"10.1093/scan/nsz017")</f>
        <v>10.1093/scan/nsz017</v>
      </c>
      <c r="B1060" s="680" t="str">
        <f>IFERROR(__xludf.DUMMYFUNCTION("""COMPUTED_VALUE"""),"https://drive.google.com/file/d/1au2hR22GOvMeETjwJ3lTlqjcWaBvzEum/view?usp=drivesdk")</f>
        <v>https://drive.google.com/file/d/1au2hR22GOvMeETjwJ3lTlqjcWaBvzEum/view?usp=drivesdk</v>
      </c>
      <c r="C1060" s="159" t="str">
        <f>IFERROR(__xludf.DUMMYFUNCTION("""COMPUTED_VALUE"""),"10.1093--scan--nsz017.pdf")</f>
        <v>10.1093--scan--nsz017.pdf</v>
      </c>
      <c r="D1060" s="159" t="str">
        <f>IFERROR(__xludf.DUMMYFUNCTION("""COMPUTED_VALUE"""),"application/pdf")</f>
        <v>application/pdf</v>
      </c>
    </row>
    <row r="1061">
      <c r="A1061" s="159" t="str">
        <f>IFERROR(__xludf.DUMMYFUNCTION("""COMPUTED_VALUE"""),"10.1111/psyp.12825")</f>
        <v>10.1111/psyp.12825</v>
      </c>
      <c r="B1061" s="680" t="str">
        <f>IFERROR(__xludf.DUMMYFUNCTION("""COMPUTED_VALUE"""),"https://drive.google.com/file/d/1flry8FBKDxDv0ajq7hLaS4b12HuDR4Wh/view?usp=drivesdk")</f>
        <v>https://drive.google.com/file/d/1flry8FBKDxDv0ajq7hLaS4b12HuDR4Wh/view?usp=drivesdk</v>
      </c>
      <c r="C1061" s="159" t="str">
        <f>IFERROR(__xludf.DUMMYFUNCTION("""COMPUTED_VALUE"""),"10.1111--psyp.12825.pdf")</f>
        <v>10.1111--psyp.12825.pdf</v>
      </c>
      <c r="D1061" s="159" t="str">
        <f>IFERROR(__xludf.DUMMYFUNCTION("""COMPUTED_VALUE"""),"application/pdf")</f>
        <v>application/pdf</v>
      </c>
    </row>
    <row r="1062">
      <c r="A1062" s="159" t="str">
        <f>IFERROR(__xludf.DUMMYFUNCTION("""COMPUTED_VALUE"""),"10.1093/scan/nst154")</f>
        <v>10.1093/scan/nst154</v>
      </c>
      <c r="B1062" s="680" t="str">
        <f>IFERROR(__xludf.DUMMYFUNCTION("""COMPUTED_VALUE"""),"https://drive.google.com/file/d/1kxPXoPxh1B_dQ6wBIvAGOLqJkpzkqj_N/view?usp=drivesdk")</f>
        <v>https://drive.google.com/file/d/1kxPXoPxh1B_dQ6wBIvAGOLqJkpzkqj_N/view?usp=drivesdk</v>
      </c>
      <c r="C1062" s="159" t="str">
        <f>IFERROR(__xludf.DUMMYFUNCTION("""COMPUTED_VALUE"""),"10.1093--scan--nst154.pdf")</f>
        <v>10.1093--scan--nst154.pdf</v>
      </c>
      <c r="D1062" s="159" t="str">
        <f>IFERROR(__xludf.DUMMYFUNCTION("""COMPUTED_VALUE"""),"application/pdf")</f>
        <v>application/pdf</v>
      </c>
    </row>
    <row r="1063">
      <c r="A1063" s="159" t="str">
        <f>IFERROR(__xludf.DUMMYFUNCTION("""COMPUTED_VALUE"""),"10.1016/j.jecp.2015.12.009")</f>
        <v>10.1016/j.jecp.2015.12.009</v>
      </c>
      <c r="B1063" s="680" t="str">
        <f>IFERROR(__xludf.DUMMYFUNCTION("""COMPUTED_VALUE"""),"https://drive.google.com/file/d/10gteTCzwgF2BcALs53_sWbQIe6tWd8-O/view?usp=drivesdk")</f>
        <v>https://drive.google.com/file/d/10gteTCzwgF2BcALs53_sWbQIe6tWd8-O/view?usp=drivesdk</v>
      </c>
      <c r="C1063" s="159" t="str">
        <f>IFERROR(__xludf.DUMMYFUNCTION("""COMPUTED_VALUE"""),"10.1016--j.jecp.2015.12.009.pdf")</f>
        <v>10.1016--j.jecp.2015.12.009.pdf</v>
      </c>
      <c r="D1063" s="159" t="str">
        <f>IFERROR(__xludf.DUMMYFUNCTION("""COMPUTED_VALUE"""),"application/pdf")</f>
        <v>application/pdf</v>
      </c>
    </row>
    <row r="1064">
      <c r="A1064" s="159" t="str">
        <f>IFERROR(__xludf.DUMMYFUNCTION("""COMPUTED_VALUE"""),"10.1080/1357650x.2012.660164")</f>
        <v>10.1080/1357650x.2012.660164</v>
      </c>
      <c r="B1064" s="680" t="str">
        <f>IFERROR(__xludf.DUMMYFUNCTION("""COMPUTED_VALUE"""),"https://drive.google.com/file/d/1qpBiKLV2mnRoKRlWX9cFNYnviuEXxigI/view?usp=drivesdk")</f>
        <v>https://drive.google.com/file/d/1qpBiKLV2mnRoKRlWX9cFNYnviuEXxigI/view?usp=drivesdk</v>
      </c>
      <c r="C1064" s="159" t="str">
        <f>IFERROR(__xludf.DUMMYFUNCTION("""COMPUTED_VALUE"""),"10.1080--1357650X.2012.660164.pdf")</f>
        <v>10.1080--1357650X.2012.660164.pdf</v>
      </c>
      <c r="D1064" s="159" t="str">
        <f>IFERROR(__xludf.DUMMYFUNCTION("""COMPUTED_VALUE"""),"application/pdf")</f>
        <v>application/pdf</v>
      </c>
    </row>
    <row r="1065">
      <c r="A1065" s="159" t="str">
        <f>IFERROR(__xludf.DUMMYFUNCTION("""COMPUTED_VALUE"""),"10.1016/j.biopsycho.2013.09.012")</f>
        <v>10.1016/j.biopsycho.2013.09.012</v>
      </c>
      <c r="B1065" s="680" t="str">
        <f>IFERROR(__xludf.DUMMYFUNCTION("""COMPUTED_VALUE"""),"https://drive.google.com/file/d/1lTLmVi8ZhvcuffGz2MuWL8Db2NqCAEPn/view?usp=drivesdk")</f>
        <v>https://drive.google.com/file/d/1lTLmVi8ZhvcuffGz2MuWL8Db2NqCAEPn/view?usp=drivesdk</v>
      </c>
      <c r="C1065" s="159" t="str">
        <f>IFERROR(__xludf.DUMMYFUNCTION("""COMPUTED_VALUE"""),"10.1016--j.biopsycho.2013.09.012.pdf")</f>
        <v>10.1016--j.biopsycho.2013.09.012.pdf</v>
      </c>
      <c r="D1065" s="159" t="str">
        <f>IFERROR(__xludf.DUMMYFUNCTION("""COMPUTED_VALUE"""),"application/pdf")</f>
        <v>application/pdf</v>
      </c>
    </row>
    <row r="1066">
      <c r="A1066" s="159" t="str">
        <f>IFERROR(__xludf.DUMMYFUNCTION("""COMPUTED_VALUE"""),"10.1037/a0033323")</f>
        <v>10.1037/a0033323</v>
      </c>
      <c r="B1066" s="680" t="str">
        <f>IFERROR(__xludf.DUMMYFUNCTION("""COMPUTED_VALUE"""),"https://drive.google.com/file/d/1nB-Z2mpxjqhJEcov3ZXKmYq-qUKUV3HO/view?usp=drivesdk")</f>
        <v>https://drive.google.com/file/d/1nB-Z2mpxjqhJEcov3ZXKmYq-qUKUV3HO/view?usp=drivesdk</v>
      </c>
      <c r="C1066" s="159" t="str">
        <f>IFERROR(__xludf.DUMMYFUNCTION("""COMPUTED_VALUE"""),"10.1037--a0033323.pdf")</f>
        <v>10.1037--a0033323.pdf</v>
      </c>
      <c r="D1066" s="159" t="str">
        <f>IFERROR(__xludf.DUMMYFUNCTION("""COMPUTED_VALUE"""),"application/pdf")</f>
        <v>application/pdf</v>
      </c>
    </row>
    <row r="1067">
      <c r="A1067" s="159" t="str">
        <f>IFERROR(__xludf.DUMMYFUNCTION("""COMPUTED_VALUE"""),"10.1016/j.actpsy.2014.05.008")</f>
        <v>10.1016/j.actpsy.2014.05.008</v>
      </c>
      <c r="B1067" s="680" t="str">
        <f>IFERROR(__xludf.DUMMYFUNCTION("""COMPUTED_VALUE"""),"https://drive.google.com/file/d/1vok2QQdbGU6HD1pVNR7T1Kro746lt03X/view?usp=drivesdk")</f>
        <v>https://drive.google.com/file/d/1vok2QQdbGU6HD1pVNR7T1Kro746lt03X/view?usp=drivesdk</v>
      </c>
      <c r="C1067" s="159" t="str">
        <f>IFERROR(__xludf.DUMMYFUNCTION("""COMPUTED_VALUE"""),"10.1016--j.actpsy.2014.05.008.pdf")</f>
        <v>10.1016--j.actpsy.2014.05.008.pdf</v>
      </c>
      <c r="D1067" s="159" t="str">
        <f>IFERROR(__xludf.DUMMYFUNCTION("""COMPUTED_VALUE"""),"application/pdf")</f>
        <v>application/pdf</v>
      </c>
    </row>
    <row r="1068">
      <c r="A1068" s="159" t="str">
        <f>IFERROR(__xludf.DUMMYFUNCTION("""COMPUTED_VALUE"""),"10.1093/scan/nsx012")</f>
        <v>10.1093/scan/nsx012</v>
      </c>
      <c r="B1068" s="680" t="str">
        <f>IFERROR(__xludf.DUMMYFUNCTION("""COMPUTED_VALUE"""),"https://drive.google.com/file/d/1i5P9CYU3PwRpo0jr51XfLdPcCDi36gaV/view?usp=drivesdk")</f>
        <v>https://drive.google.com/file/d/1i5P9CYU3PwRpo0jr51XfLdPcCDi36gaV/view?usp=drivesdk</v>
      </c>
      <c r="C1068" s="159" t="str">
        <f>IFERROR(__xludf.DUMMYFUNCTION("""COMPUTED_VALUE"""),"10.1093--scan--nsx012.pdf")</f>
        <v>10.1093--scan--nsx012.pdf</v>
      </c>
      <c r="D1068" s="159" t="str">
        <f>IFERROR(__xludf.DUMMYFUNCTION("""COMPUTED_VALUE"""),"application/pdf")</f>
        <v>application/pdf</v>
      </c>
    </row>
    <row r="1069">
      <c r="A1069" s="159" t="str">
        <f>IFERROR(__xludf.DUMMYFUNCTION("""COMPUTED_VALUE"""),"10.1080/00223891.2012.718303")</f>
        <v>10.1080/00223891.2012.718303</v>
      </c>
      <c r="B1069" s="680" t="str">
        <f>IFERROR(__xludf.DUMMYFUNCTION("""COMPUTED_VALUE"""),"https://drive.google.com/file/d/1jYOkQfP3TGYDwEwf1sTOwhRaEOQGrkMp/view?usp=drivesdk")</f>
        <v>https://drive.google.com/file/d/1jYOkQfP3TGYDwEwf1sTOwhRaEOQGrkMp/view?usp=drivesdk</v>
      </c>
      <c r="C1069" s="159" t="str">
        <f>IFERROR(__xludf.DUMMYFUNCTION("""COMPUTED_VALUE"""),"10.1080--00223891.2012.718303.pdf")</f>
        <v>10.1080--00223891.2012.718303.pdf</v>
      </c>
      <c r="D1069" s="159" t="str">
        <f>IFERROR(__xludf.DUMMYFUNCTION("""COMPUTED_VALUE"""),"application/pdf")</f>
        <v>application/pdf</v>
      </c>
    </row>
    <row r="1070">
      <c r="A1070" s="159" t="str">
        <f>IFERROR(__xludf.DUMMYFUNCTION("""COMPUTED_VALUE"""),"10.1037/a0034748")</f>
        <v>10.1037/a0034748</v>
      </c>
      <c r="B1070" s="680" t="str">
        <f>IFERROR(__xludf.DUMMYFUNCTION("""COMPUTED_VALUE"""),"https://drive.google.com/file/d/1S96rD1HxVDruOI5KJ_oKUBtEE9eHwU22/view?usp=drivesdk")</f>
        <v>https://drive.google.com/file/d/1S96rD1HxVDruOI5KJ_oKUBtEE9eHwU22/view?usp=drivesdk</v>
      </c>
      <c r="C1070" s="159" t="str">
        <f>IFERROR(__xludf.DUMMYFUNCTION("""COMPUTED_VALUE"""),"10.1037--a0034748.pdf")</f>
        <v>10.1037--a0034748.pdf</v>
      </c>
      <c r="D1070" s="159" t="str">
        <f>IFERROR(__xludf.DUMMYFUNCTION("""COMPUTED_VALUE"""),"application/pdf")</f>
        <v>application/pdf</v>
      </c>
    </row>
    <row r="1071">
      <c r="A1071" s="159" t="str">
        <f>IFERROR(__xludf.DUMMYFUNCTION("""COMPUTED_VALUE"""),"10.3758/s13414-015-0849-x")</f>
        <v>10.3758/s13414-015-0849-x</v>
      </c>
      <c r="B1071" s="680" t="str">
        <f>IFERROR(__xludf.DUMMYFUNCTION("""COMPUTED_VALUE"""),"https://drive.google.com/file/d/1bp_2nclYAxMrWWnYQbE2xcFn9tbXNZYk/view?usp=drivesdk")</f>
        <v>https://drive.google.com/file/d/1bp_2nclYAxMrWWnYQbE2xcFn9tbXNZYk/view?usp=drivesdk</v>
      </c>
      <c r="C1071" s="159" t="str">
        <f>IFERROR(__xludf.DUMMYFUNCTION("""COMPUTED_VALUE"""),"10.3758--s13414-015-0849-x.pdf")</f>
        <v>10.3758--s13414-015-0849-x.pdf</v>
      </c>
      <c r="D1071" s="159" t="str">
        <f>IFERROR(__xludf.DUMMYFUNCTION("""COMPUTED_VALUE"""),"application/pdf")</f>
        <v>application/pdf</v>
      </c>
    </row>
    <row r="1072">
      <c r="A1072" s="159" t="str">
        <f>IFERROR(__xludf.DUMMYFUNCTION("""COMPUTED_VALUE"""),"10.1080/17470218.2012.699077")</f>
        <v>10.1080/17470218.2012.699077</v>
      </c>
      <c r="B1072" s="680" t="str">
        <f>IFERROR(__xludf.DUMMYFUNCTION("""COMPUTED_VALUE"""),"https://drive.google.com/file/d/1G50bi0M3DPOF0ssclFtSLrS2Iko73KC5/view?usp=drivesdk")</f>
        <v>https://drive.google.com/file/d/1G50bi0M3DPOF0ssclFtSLrS2Iko73KC5/view?usp=drivesdk</v>
      </c>
      <c r="C1072" s="159" t="str">
        <f>IFERROR(__xludf.DUMMYFUNCTION("""COMPUTED_VALUE"""),"10.1080--17470218.2012.699077.pdf")</f>
        <v>10.1080--17470218.2012.699077.pdf</v>
      </c>
      <c r="D1072" s="159" t="str">
        <f>IFERROR(__xludf.DUMMYFUNCTION("""COMPUTED_VALUE"""),"application/pdf")</f>
        <v>application/pdf</v>
      </c>
    </row>
    <row r="1073">
      <c r="A1073" s="159" t="str">
        <f>IFERROR(__xludf.DUMMYFUNCTION("""COMPUTED_VALUE"""),"10.1037/a0030530")</f>
        <v>10.1037/a0030530</v>
      </c>
      <c r="B1073" s="680" t="str">
        <f>IFERROR(__xludf.DUMMYFUNCTION("""COMPUTED_VALUE"""),"https://drive.google.com/file/d/1Zg2miz5ZfGSxRDRdlvEB-3_GocuUdLig/view?usp=drivesdk")</f>
        <v>https://drive.google.com/file/d/1Zg2miz5ZfGSxRDRdlvEB-3_GocuUdLig/view?usp=drivesdk</v>
      </c>
      <c r="C1073" s="159" t="str">
        <f>IFERROR(__xludf.DUMMYFUNCTION("""COMPUTED_VALUE"""),"10.1037--a0030530.pdf")</f>
        <v>10.1037--a0030530.pdf</v>
      </c>
      <c r="D1073" s="159" t="str">
        <f>IFERROR(__xludf.DUMMYFUNCTION("""COMPUTED_VALUE"""),"application/pdf")</f>
        <v>application/pdf</v>
      </c>
    </row>
    <row r="1074">
      <c r="A1074" s="159" t="str">
        <f>IFERROR(__xludf.DUMMYFUNCTION("""COMPUTED_VALUE"""),"10.1016/j.jecp.2018.11.005")</f>
        <v>10.1016/j.jecp.2018.11.005</v>
      </c>
      <c r="B1074" s="680" t="str">
        <f>IFERROR(__xludf.DUMMYFUNCTION("""COMPUTED_VALUE"""),"https://drive.google.com/file/d/1_XYq2gzNMtOz4EDVMTniazopvckfGzjJ/view?usp=drivesdk")</f>
        <v>https://drive.google.com/file/d/1_XYq2gzNMtOz4EDVMTniazopvckfGzjJ/view?usp=drivesdk</v>
      </c>
      <c r="C1074" s="159" t="str">
        <f>IFERROR(__xludf.DUMMYFUNCTION("""COMPUTED_VALUE"""),"10.1016--j.jecp.2018.11.005.pdf")</f>
        <v>10.1016--j.jecp.2018.11.005.pdf</v>
      </c>
      <c r="D1074" s="159" t="str">
        <f>IFERROR(__xludf.DUMMYFUNCTION("""COMPUTED_VALUE"""),"application/pdf")</f>
        <v>application/pdf</v>
      </c>
    </row>
    <row r="1075">
      <c r="A1075" s="159" t="str">
        <f>IFERROR(__xludf.DUMMYFUNCTION("""COMPUTED_VALUE"""),"10.1016/j.infbeh.2012.07.022")</f>
        <v>10.1016/j.infbeh.2012.07.022</v>
      </c>
      <c r="B1075" s="680" t="str">
        <f>IFERROR(__xludf.DUMMYFUNCTION("""COMPUTED_VALUE"""),"https://drive.google.com/file/d/1j_qr6psHEYuHUR2RWKIYTovcBcRUsxnq/view?usp=drivesdk")</f>
        <v>https://drive.google.com/file/d/1j_qr6psHEYuHUR2RWKIYTovcBcRUsxnq/view?usp=drivesdk</v>
      </c>
      <c r="C1075" s="159" t="str">
        <f>IFERROR(__xludf.DUMMYFUNCTION("""COMPUTED_VALUE"""),"10.1016--j.infbeh.2012.07.022.pdf")</f>
        <v>10.1016--j.infbeh.2012.07.022.pdf</v>
      </c>
      <c r="D1075" s="159" t="str">
        <f>IFERROR(__xludf.DUMMYFUNCTION("""COMPUTED_VALUE"""),"application/pdf")</f>
        <v>application/pdf</v>
      </c>
    </row>
    <row r="1076">
      <c r="A1076" s="159" t="str">
        <f>IFERROR(__xludf.DUMMYFUNCTION("""COMPUTED_VALUE"""),"10.1111/j.1467-6494.2012.00799.x")</f>
        <v>10.1111/j.1467-6494.2012.00799.x</v>
      </c>
      <c r="B1076" s="680" t="str">
        <f>IFERROR(__xludf.DUMMYFUNCTION("""COMPUTED_VALUE"""),"https://drive.google.com/file/d/1vH3DP8zfMG4shuiJCF_9y7Cw0ICOezrn/view?usp=drivesdk")</f>
        <v>https://drive.google.com/file/d/1vH3DP8zfMG4shuiJCF_9y7Cw0ICOezrn/view?usp=drivesdk</v>
      </c>
      <c r="C1076" s="159" t="str">
        <f>IFERROR(__xludf.DUMMYFUNCTION("""COMPUTED_VALUE"""),"10.1111--j.1467-6494.2012.00799.x.pdf")</f>
        <v>10.1111--j.1467-6494.2012.00799.x.pdf</v>
      </c>
      <c r="D1076" s="159" t="str">
        <f>IFERROR(__xludf.DUMMYFUNCTION("""COMPUTED_VALUE"""),"application/pdf")</f>
        <v>application/pdf</v>
      </c>
    </row>
    <row r="1077">
      <c r="A1077" s="159" t="str">
        <f>IFERROR(__xludf.DUMMYFUNCTION("""COMPUTED_VALUE"""),"10.1080/20445911.2020.1805453")</f>
        <v>10.1080/20445911.2020.1805453</v>
      </c>
      <c r="B1077" s="680" t="str">
        <f>IFERROR(__xludf.DUMMYFUNCTION("""COMPUTED_VALUE"""),"https://drive.google.com/file/d/1BF0dJSO5c8knpLNfVVuu_sfiQjFXxYT3/view?usp=drivesdk")</f>
        <v>https://drive.google.com/file/d/1BF0dJSO5c8knpLNfVVuu_sfiQjFXxYT3/view?usp=drivesdk</v>
      </c>
      <c r="C1077" s="159" t="str">
        <f>IFERROR(__xludf.DUMMYFUNCTION("""COMPUTED_VALUE"""),"10.1080--20445911.2020.1805453.pdf")</f>
        <v>10.1080--20445911.2020.1805453.pdf</v>
      </c>
      <c r="D1077" s="159" t="str">
        <f>IFERROR(__xludf.DUMMYFUNCTION("""COMPUTED_VALUE"""),"application/pdf")</f>
        <v>application/pdf</v>
      </c>
    </row>
    <row r="1078">
      <c r="A1078" s="159" t="str">
        <f>IFERROR(__xludf.DUMMYFUNCTION("""COMPUTED_VALUE"""),"10.1002/per.1938")</f>
        <v>10.1002/per.1938</v>
      </c>
      <c r="B1078" s="680" t="str">
        <f>IFERROR(__xludf.DUMMYFUNCTION("""COMPUTED_VALUE"""),"https://drive.google.com/file/d/1CjM559EbUiNEptGp6Glgoplx3X8RjSlS/view?usp=drivesdk")</f>
        <v>https://drive.google.com/file/d/1CjM559EbUiNEptGp6Glgoplx3X8RjSlS/view?usp=drivesdk</v>
      </c>
      <c r="C1078" s="159" t="str">
        <f>IFERROR(__xludf.DUMMYFUNCTION("""COMPUTED_VALUE"""),"10.1002--per.1938.pdf")</f>
        <v>10.1002--per.1938.pdf</v>
      </c>
      <c r="D1078" s="159" t="str">
        <f>IFERROR(__xludf.DUMMYFUNCTION("""COMPUTED_VALUE"""),"application/pdf")</f>
        <v>application/pdf</v>
      </c>
    </row>
    <row r="1079">
      <c r="A1079" s="159" t="str">
        <f>IFERROR(__xludf.DUMMYFUNCTION("""COMPUTED_VALUE"""),"10.1016/j.cognition.2019.104116")</f>
        <v>10.1016/j.cognition.2019.104116</v>
      </c>
      <c r="B1079" s="680" t="str">
        <f>IFERROR(__xludf.DUMMYFUNCTION("""COMPUTED_VALUE"""),"https://drive.google.com/file/d/1YtT623psftHels9o6FSH2YcTpXR8wPzc/view?usp=drivesdk")</f>
        <v>https://drive.google.com/file/d/1YtT623psftHels9o6FSH2YcTpXR8wPzc/view?usp=drivesdk</v>
      </c>
      <c r="C1079" s="159" t="str">
        <f>IFERROR(__xludf.DUMMYFUNCTION("""COMPUTED_VALUE"""),"10.1016--j.cognition.2019.104116.pdf")</f>
        <v>10.1016--j.cognition.2019.104116.pdf</v>
      </c>
      <c r="D1079" s="159" t="str">
        <f>IFERROR(__xludf.DUMMYFUNCTION("""COMPUTED_VALUE"""),"application/pdf")</f>
        <v>application/pdf</v>
      </c>
    </row>
    <row r="1080">
      <c r="A1080" s="159" t="str">
        <f>IFERROR(__xludf.DUMMYFUNCTION("""COMPUTED_VALUE"""),"10.1177/0886260512447579")</f>
        <v>10.1177/0886260512447579</v>
      </c>
      <c r="B1080" s="680" t="str">
        <f>IFERROR(__xludf.DUMMYFUNCTION("""COMPUTED_VALUE"""),"https://drive.google.com/file/d/1H1yNOpX5qYdyxL3EO7YnKSYdsCP5nedi/view?usp=drivesdk")</f>
        <v>https://drive.google.com/file/d/1H1yNOpX5qYdyxL3EO7YnKSYdsCP5nedi/view?usp=drivesdk</v>
      </c>
      <c r="C1080" s="159" t="str">
        <f>IFERROR(__xludf.DUMMYFUNCTION("""COMPUTED_VALUE"""),"10.1177--0886260512447579.pdf")</f>
        <v>10.1177--0886260512447579.pdf</v>
      </c>
      <c r="D1080" s="159" t="str">
        <f>IFERROR(__xludf.DUMMYFUNCTION("""COMPUTED_VALUE"""),"application/pdf")</f>
        <v>application/pdf</v>
      </c>
    </row>
    <row r="1081">
      <c r="A1081" s="159" t="str">
        <f>IFERROR(__xludf.DUMMYFUNCTION("""COMPUTED_VALUE"""),"10.3389/fpsyg.2020.02107")</f>
        <v>10.3389/fpsyg.2020.02107</v>
      </c>
      <c r="B1081" s="680" t="str">
        <f>IFERROR(__xludf.DUMMYFUNCTION("""COMPUTED_VALUE"""),"https://drive.google.com/file/d/1tQOX31Z0STAmSL7mq-TBOSYXoTyXP6U2/view?usp=drivesdk")</f>
        <v>https://drive.google.com/file/d/1tQOX31Z0STAmSL7mq-TBOSYXoTyXP6U2/view?usp=drivesdk</v>
      </c>
      <c r="C1081" s="159" t="str">
        <f>IFERROR(__xludf.DUMMYFUNCTION("""COMPUTED_VALUE"""),"10.3389--fpsyg.2020.02107.pdf")</f>
        <v>10.3389--fpsyg.2020.02107.pdf</v>
      </c>
      <c r="D1081" s="159" t="str">
        <f>IFERROR(__xludf.DUMMYFUNCTION("""COMPUTED_VALUE"""),"application/pdf")</f>
        <v>application/pdf</v>
      </c>
    </row>
    <row r="1082">
      <c r="A1082" s="159" t="str">
        <f>IFERROR(__xludf.DUMMYFUNCTION("""COMPUTED_VALUE"""),"10.1111/psyp.13432")</f>
        <v>10.1111/psyp.13432</v>
      </c>
      <c r="B1082" s="680" t="str">
        <f>IFERROR(__xludf.DUMMYFUNCTION("""COMPUTED_VALUE"""),"https://drive.google.com/file/d/1pc4nc1BCgN81Y8IDVcxe7maUCWkOXmja/view?usp=drivesdk")</f>
        <v>https://drive.google.com/file/d/1pc4nc1BCgN81Y8IDVcxe7maUCWkOXmja/view?usp=drivesdk</v>
      </c>
      <c r="C1082" s="159" t="str">
        <f>IFERROR(__xludf.DUMMYFUNCTION("""COMPUTED_VALUE"""),"10.1111--psyp.13432.pdf")</f>
        <v>10.1111--psyp.13432.pdf</v>
      </c>
      <c r="D1082" s="159" t="str">
        <f>IFERROR(__xludf.DUMMYFUNCTION("""COMPUTED_VALUE"""),"application/pdf")</f>
        <v>application/pdf</v>
      </c>
    </row>
    <row r="1083">
      <c r="A1083" s="159" t="str">
        <f>IFERROR(__xludf.DUMMYFUNCTION("""COMPUTED_VALUE"""),"10.1111/jpr.12158")</f>
        <v>10.1111/jpr.12158</v>
      </c>
      <c r="B1083" s="680" t="str">
        <f>IFERROR(__xludf.DUMMYFUNCTION("""COMPUTED_VALUE"""),"https://drive.google.com/file/d/1svdZaj_7y9fS8pedH0ijhA_SznLz_9zc/view?usp=drivesdk")</f>
        <v>https://drive.google.com/file/d/1svdZaj_7y9fS8pedH0ijhA_SznLz_9zc/view?usp=drivesdk</v>
      </c>
      <c r="C1083" s="159" t="str">
        <f>IFERROR(__xludf.DUMMYFUNCTION("""COMPUTED_VALUE"""),"10.1111--jpr.12158.pdf")</f>
        <v>10.1111--jpr.12158.pdf</v>
      </c>
      <c r="D1083" s="159" t="str">
        <f>IFERROR(__xludf.DUMMYFUNCTION("""COMPUTED_VALUE"""),"application/pdf")</f>
        <v>application/pdf</v>
      </c>
    </row>
    <row r="1084">
      <c r="A1084" s="159" t="str">
        <f>IFERROR(__xludf.DUMMYFUNCTION("""COMPUTED_VALUE"""),"10.1080/08870446.2013.841911")</f>
        <v>10.1080/08870446.2013.841911</v>
      </c>
      <c r="B1084" s="680" t="str">
        <f>IFERROR(__xludf.DUMMYFUNCTION("""COMPUTED_VALUE"""),"https://drive.google.com/file/d/1K14nL3svQS6xWcpuI0cuQ6ubJYuuzAt0/view?usp=drivesdk")</f>
        <v>https://drive.google.com/file/d/1K14nL3svQS6xWcpuI0cuQ6ubJYuuzAt0/view?usp=drivesdk</v>
      </c>
      <c r="C1084" s="159" t="str">
        <f>IFERROR(__xludf.DUMMYFUNCTION("""COMPUTED_VALUE"""),"10.1080--08870446.2013.841911.pdf")</f>
        <v>10.1080--08870446.2013.841911.pdf</v>
      </c>
      <c r="D1084" s="159" t="str">
        <f>IFERROR(__xludf.DUMMYFUNCTION("""COMPUTED_VALUE"""),"application/pdf")</f>
        <v>application/pdf</v>
      </c>
    </row>
    <row r="1085">
      <c r="A1085" s="159" t="str">
        <f>IFERROR(__xludf.DUMMYFUNCTION("""COMPUTED_VALUE"""),"10.1080/1068316x.2014.951647")</f>
        <v>10.1080/1068316x.2014.951647</v>
      </c>
      <c r="B1085" s="680" t="str">
        <f>IFERROR(__xludf.DUMMYFUNCTION("""COMPUTED_VALUE"""),"https://drive.google.com/file/d/1tXqiMH5JE4gum5NypylhS1eR4ERQrsUW/view?usp=drivesdk")</f>
        <v>https://drive.google.com/file/d/1tXqiMH5JE4gum5NypylhS1eR4ERQrsUW/view?usp=drivesdk</v>
      </c>
      <c r="C1085" s="159" t="str">
        <f>IFERROR(__xludf.DUMMYFUNCTION("""COMPUTED_VALUE"""),"10.1080--1068316X.2014.951647.pdf")</f>
        <v>10.1080--1068316X.2014.951647.pdf</v>
      </c>
      <c r="D1085" s="159" t="str">
        <f>IFERROR(__xludf.DUMMYFUNCTION("""COMPUTED_VALUE"""),"application/pdf")</f>
        <v>application/pdf</v>
      </c>
    </row>
    <row r="1086">
      <c r="A1086" s="159" t="str">
        <f>IFERROR(__xludf.DUMMYFUNCTION("""COMPUTED_VALUE"""),"10.1016/j.paid.2015.04.020")</f>
        <v>10.1016/j.paid.2015.04.020</v>
      </c>
      <c r="B1086" s="680" t="str">
        <f>IFERROR(__xludf.DUMMYFUNCTION("""COMPUTED_VALUE"""),"https://drive.google.com/file/d/1RK2oKtV1Gyr7SWeCPNX-eKlkzav9LMrY/view?usp=drivesdk")</f>
        <v>https://drive.google.com/file/d/1RK2oKtV1Gyr7SWeCPNX-eKlkzav9LMrY/view?usp=drivesdk</v>
      </c>
      <c r="C1086" s="159" t="str">
        <f>IFERROR(__xludf.DUMMYFUNCTION("""COMPUTED_VALUE"""),"10.1016--j.paid.2015.04.020.pdf")</f>
        <v>10.1016--j.paid.2015.04.020.pdf</v>
      </c>
      <c r="D1086" s="159" t="str">
        <f>IFERROR(__xludf.DUMMYFUNCTION("""COMPUTED_VALUE"""),"application/pdf")</f>
        <v>application/pdf</v>
      </c>
    </row>
    <row r="1087">
      <c r="A1087" s="159" t="str">
        <f>IFERROR(__xludf.DUMMYFUNCTION("""COMPUTED_VALUE"""),"10.3758/s13421-019-00958-w")</f>
        <v>10.3758/s13421-019-00958-w</v>
      </c>
      <c r="B1087" s="680" t="str">
        <f>IFERROR(__xludf.DUMMYFUNCTION("""COMPUTED_VALUE"""),"https://drive.google.com/file/d/1tIAGg_xu-FbshgCqRYXbob9d6h9xwTbE/view?usp=drivesdk")</f>
        <v>https://drive.google.com/file/d/1tIAGg_xu-FbshgCqRYXbob9d6h9xwTbE/view?usp=drivesdk</v>
      </c>
      <c r="C1087" s="159" t="str">
        <f>IFERROR(__xludf.DUMMYFUNCTION("""COMPUTED_VALUE"""),"10.3758--s13421-019-00958-w.pdf")</f>
        <v>10.3758--s13421-019-00958-w.pdf</v>
      </c>
      <c r="D1087" s="159" t="str">
        <f>IFERROR(__xludf.DUMMYFUNCTION("""COMPUTED_VALUE"""),"application/pdf")</f>
        <v>application/pdf</v>
      </c>
    </row>
    <row r="1088">
      <c r="A1088" s="159" t="str">
        <f>IFERROR(__xludf.DUMMYFUNCTION("""COMPUTED_VALUE"""),"10.3758/s13421-018-0805-9")</f>
        <v>10.3758/s13421-018-0805-9</v>
      </c>
      <c r="B1088" s="680" t="str">
        <f>IFERROR(__xludf.DUMMYFUNCTION("""COMPUTED_VALUE"""),"https://drive.google.com/file/d/1GUi9PGmMS7Gtbf_FkIRgFe9od0B98yHT/view?usp=drivesdk")</f>
        <v>https://drive.google.com/file/d/1GUi9PGmMS7Gtbf_FkIRgFe9od0B98yHT/view?usp=drivesdk</v>
      </c>
      <c r="C1088" s="159" t="str">
        <f>IFERROR(__xludf.DUMMYFUNCTION("""COMPUTED_VALUE"""),"10.3758--s13421-018-0805-9.pdf")</f>
        <v>10.3758--s13421-018-0805-9.pdf</v>
      </c>
      <c r="D1088" s="159" t="str">
        <f>IFERROR(__xludf.DUMMYFUNCTION("""COMPUTED_VALUE"""),"application/pdf")</f>
        <v>application/pdf</v>
      </c>
    </row>
    <row r="1089">
      <c r="A1089" s="159" t="str">
        <f>IFERROR(__xludf.DUMMYFUNCTION("""COMPUTED_VALUE"""),"10.3389/fpsyg.2019.01863")</f>
        <v>10.3389/fpsyg.2019.01863</v>
      </c>
      <c r="B1089" s="680" t="str">
        <f>IFERROR(__xludf.DUMMYFUNCTION("""COMPUTED_VALUE"""),"https://drive.google.com/file/d/1CYD24jISw8ep7FvRbGYJvaUNG9PIp-9g/view?usp=drivesdk")</f>
        <v>https://drive.google.com/file/d/1CYD24jISw8ep7FvRbGYJvaUNG9PIp-9g/view?usp=drivesdk</v>
      </c>
      <c r="C1089" s="159" t="str">
        <f>IFERROR(__xludf.DUMMYFUNCTION("""COMPUTED_VALUE"""),"10.3389--fpsyg.2019.01863.pdf")</f>
        <v>10.3389--fpsyg.2019.01863.pdf</v>
      </c>
      <c r="D1089" s="159" t="str">
        <f>IFERROR(__xludf.DUMMYFUNCTION("""COMPUTED_VALUE"""),"application/pdf")</f>
        <v>application/pdf</v>
      </c>
    </row>
    <row r="1090">
      <c r="A1090" s="159" t="str">
        <f>IFERROR(__xludf.DUMMYFUNCTION("""COMPUTED_VALUE"""),"10.2466/20.22.pms.114.1.185-188")</f>
        <v>10.2466/20.22.pms.114.1.185-188</v>
      </c>
      <c r="B1090" s="680" t="str">
        <f>IFERROR(__xludf.DUMMYFUNCTION("""COMPUTED_VALUE"""),"https://drive.google.com/file/d/19wmJxGTBjUjFYD3wWH-3wyZBpZdWuDFa/view?usp=drivesdk")</f>
        <v>https://drive.google.com/file/d/19wmJxGTBjUjFYD3wWH-3wyZBpZdWuDFa/view?usp=drivesdk</v>
      </c>
      <c r="C1090" s="159" t="str">
        <f>IFERROR(__xludf.DUMMYFUNCTION("""COMPUTED_VALUE"""),"10.2466--20.22.PMS.114.1.185-188.pdf")</f>
        <v>10.2466--20.22.PMS.114.1.185-188.pdf</v>
      </c>
      <c r="D1090" s="159" t="str">
        <f>IFERROR(__xludf.DUMMYFUNCTION("""COMPUTED_VALUE"""),"application/pdf")</f>
        <v>application/pdf</v>
      </c>
    </row>
    <row r="1091">
      <c r="A1091" s="159" t="str">
        <f>IFERROR(__xludf.DUMMYFUNCTION("""COMPUTED_VALUE"""),"10.1177/1948550618808863")</f>
        <v>10.1177/1948550618808863</v>
      </c>
      <c r="B1091" s="680" t="str">
        <f>IFERROR(__xludf.DUMMYFUNCTION("""COMPUTED_VALUE"""),"https://drive.google.com/file/d/1DV7EYoG14q6yEKU-j4L4Yr58W5W37NJa/view?usp=drivesdk")</f>
        <v>https://drive.google.com/file/d/1DV7EYoG14q6yEKU-j4L4Yr58W5W37NJa/view?usp=drivesdk</v>
      </c>
      <c r="C1091" s="159" t="str">
        <f>IFERROR(__xludf.DUMMYFUNCTION("""COMPUTED_VALUE"""),"10.1177--1948550618808863.pdf")</f>
        <v>10.1177--1948550618808863.pdf</v>
      </c>
      <c r="D1091" s="159" t="str">
        <f>IFERROR(__xludf.DUMMYFUNCTION("""COMPUTED_VALUE"""),"application/pdf")</f>
        <v>application/pdf</v>
      </c>
    </row>
    <row r="1092">
      <c r="A1092" s="159" t="str">
        <f>IFERROR(__xludf.DUMMYFUNCTION("""COMPUTED_VALUE"""),"10.1177/2515245920927643")</f>
        <v>10.1177/2515245920927643</v>
      </c>
      <c r="B1092" s="680" t="str">
        <f>IFERROR(__xludf.DUMMYFUNCTION("""COMPUTED_VALUE"""),"https://drive.google.com/file/d/1TRcOw82zINnVGPZODLYBn7wB0bohVPCn/view?usp=drivesdk")</f>
        <v>https://drive.google.com/file/d/1TRcOw82zINnVGPZODLYBn7wB0bohVPCn/view?usp=drivesdk</v>
      </c>
      <c r="C1092" s="159" t="str">
        <f>IFERROR(__xludf.DUMMYFUNCTION("""COMPUTED_VALUE"""),"10.1177--2515245920927643.pdf")</f>
        <v>10.1177--2515245920927643.pdf</v>
      </c>
      <c r="D1092" s="159" t="str">
        <f>IFERROR(__xludf.DUMMYFUNCTION("""COMPUTED_VALUE"""),"application/pdf")</f>
        <v>application/pdf</v>
      </c>
    </row>
    <row r="1093">
      <c r="A1093" s="159" t="str">
        <f>IFERROR(__xludf.DUMMYFUNCTION("""COMPUTED_VALUE"""),"10.1080/07347332.2015.1082169")</f>
        <v>10.1080/07347332.2015.1082169</v>
      </c>
      <c r="B1093" s="680" t="str">
        <f>IFERROR(__xludf.DUMMYFUNCTION("""COMPUTED_VALUE"""),"https://drive.google.com/file/d/1qZR_Iebw6hcHhVN17GWzDkr-XMum0Mo6/view?usp=drivesdk")</f>
        <v>https://drive.google.com/file/d/1qZR_Iebw6hcHhVN17GWzDkr-XMum0Mo6/view?usp=drivesdk</v>
      </c>
      <c r="C1093" s="159" t="str">
        <f>IFERROR(__xludf.DUMMYFUNCTION("""COMPUTED_VALUE"""),"10.1080--07347332.2015.1082169.pdf")</f>
        <v>10.1080--07347332.2015.1082169.pdf</v>
      </c>
      <c r="D1093" s="159" t="str">
        <f>IFERROR(__xludf.DUMMYFUNCTION("""COMPUTED_VALUE"""),"application/pdf")</f>
        <v>application/pdf</v>
      </c>
    </row>
    <row r="1094">
      <c r="A1094" s="159" t="str">
        <f>IFERROR(__xludf.DUMMYFUNCTION("""COMPUTED_VALUE"""),"10.1177/0146167213490963")</f>
        <v>10.1177/0146167213490963</v>
      </c>
      <c r="B1094" s="680" t="str">
        <f>IFERROR(__xludf.DUMMYFUNCTION("""COMPUTED_VALUE"""),"https://drive.google.com/file/d/1z_35AIPiXek3PFjOOuDmdkQoF2wUxda5/view?usp=drivesdk")</f>
        <v>https://drive.google.com/file/d/1z_35AIPiXek3PFjOOuDmdkQoF2wUxda5/view?usp=drivesdk</v>
      </c>
      <c r="C1094" s="159" t="str">
        <f>IFERROR(__xludf.DUMMYFUNCTION("""COMPUTED_VALUE"""),"10.1177--0146167213490963.pdf")</f>
        <v>10.1177--0146167213490963.pdf</v>
      </c>
      <c r="D1094" s="159" t="str">
        <f>IFERROR(__xludf.DUMMYFUNCTION("""COMPUTED_VALUE"""),"application/pdf")</f>
        <v>application/pdf</v>
      </c>
    </row>
    <row r="1095">
      <c r="A1095" s="159" t="str">
        <f>IFERROR(__xludf.DUMMYFUNCTION("""COMPUTED_VALUE"""),"10.1037/a0038159")</f>
        <v>10.1037/a0038159</v>
      </c>
      <c r="B1095" s="680" t="str">
        <f>IFERROR(__xludf.DUMMYFUNCTION("""COMPUTED_VALUE"""),"https://drive.google.com/file/d/1xp50Bkg-yRDZycvgmgYrHpJtXj7H2YJ-/view?usp=drivesdk")</f>
        <v>https://drive.google.com/file/d/1xp50Bkg-yRDZycvgmgYrHpJtXj7H2YJ-/view?usp=drivesdk</v>
      </c>
      <c r="C1095" s="159" t="str">
        <f>IFERROR(__xludf.DUMMYFUNCTION("""COMPUTED_VALUE"""),"10.1037--a0038159.pdf")</f>
        <v>10.1037--a0038159.pdf</v>
      </c>
      <c r="D1095" s="159" t="str">
        <f>IFERROR(__xludf.DUMMYFUNCTION("""COMPUTED_VALUE"""),"application/pdf")</f>
        <v>application/pdf</v>
      </c>
    </row>
    <row r="1096">
      <c r="A1096" s="159" t="str">
        <f>IFERROR(__xludf.DUMMYFUNCTION("""COMPUTED_VALUE"""),"10.1016/j.lindif.2015.03.029")</f>
        <v>10.1016/j.lindif.2015.03.029</v>
      </c>
      <c r="B1096" s="680" t="str">
        <f>IFERROR(__xludf.DUMMYFUNCTION("""COMPUTED_VALUE"""),"https://drive.google.com/file/d/1AVV6-Q7D8JA_P53Os1-NpbSAM12e2oGQ/view?usp=drivesdk")</f>
        <v>https://drive.google.com/file/d/1AVV6-Q7D8JA_P53Os1-NpbSAM12e2oGQ/view?usp=drivesdk</v>
      </c>
      <c r="C1096" s="159" t="str">
        <f>IFERROR(__xludf.DUMMYFUNCTION("""COMPUTED_VALUE"""),"10.1016--j.lindif.2015.03.029.pdf")</f>
        <v>10.1016--j.lindif.2015.03.029.pdf</v>
      </c>
      <c r="D1096" s="159" t="str">
        <f>IFERROR(__xludf.DUMMYFUNCTION("""COMPUTED_VALUE"""),"application/pdf")</f>
        <v>application/pdf</v>
      </c>
    </row>
    <row r="1097">
      <c r="A1097" s="159" t="str">
        <f>IFERROR(__xludf.DUMMYFUNCTION("""COMPUTED_VALUE"""),"10.1016/j.paid.2014.12.045")</f>
        <v>10.1016/j.paid.2014.12.045</v>
      </c>
      <c r="B1097" s="680" t="str">
        <f>IFERROR(__xludf.DUMMYFUNCTION("""COMPUTED_VALUE"""),"https://drive.google.com/file/d/1PUIy03yto_1SPuGImDvq6xf2WbqVDRPJ/view?usp=drivesdk")</f>
        <v>https://drive.google.com/file/d/1PUIy03yto_1SPuGImDvq6xf2WbqVDRPJ/view?usp=drivesdk</v>
      </c>
      <c r="C1097" s="159" t="str">
        <f>IFERROR(__xludf.DUMMYFUNCTION("""COMPUTED_VALUE"""),"10.1016--j.paid.2014.12.045.pdf")</f>
        <v>10.1016--j.paid.2014.12.045.pdf</v>
      </c>
      <c r="D1097" s="159" t="str">
        <f>IFERROR(__xludf.DUMMYFUNCTION("""COMPUTED_VALUE"""),"application/pdf")</f>
        <v>application/pdf</v>
      </c>
    </row>
    <row r="1098">
      <c r="A1098" s="159" t="str">
        <f>IFERROR(__xludf.DUMMYFUNCTION("""COMPUTED_VALUE"""),"10.1007/s40732-019-00358-1")</f>
        <v>10.1007/s40732-019-00358-1</v>
      </c>
      <c r="B1098" s="680" t="str">
        <f>IFERROR(__xludf.DUMMYFUNCTION("""COMPUTED_VALUE"""),"https://drive.google.com/file/d/1ay9nixEy-e_JZrGaJ0O0utLjDBfwCO1N/view?usp=drivesdk")</f>
        <v>https://drive.google.com/file/d/1ay9nixEy-e_JZrGaJ0O0utLjDBfwCO1N/view?usp=drivesdk</v>
      </c>
      <c r="C1098" s="159" t="str">
        <f>IFERROR(__xludf.DUMMYFUNCTION("""COMPUTED_VALUE"""),"10.1007--s40732-019-00358-1.pdf")</f>
        <v>10.1007--s40732-019-00358-1.pdf</v>
      </c>
      <c r="D1098" s="159" t="str">
        <f>IFERROR(__xludf.DUMMYFUNCTION("""COMPUTED_VALUE"""),"application/pdf")</f>
        <v>application/pdf</v>
      </c>
    </row>
    <row r="1099">
      <c r="A1099" s="159" t="str">
        <f>IFERROR(__xludf.DUMMYFUNCTION("""COMPUTED_VALUE"""),"10.1007/s10608-020-10099-z")</f>
        <v>10.1007/s10608-020-10099-z</v>
      </c>
      <c r="B1099" s="680" t="str">
        <f>IFERROR(__xludf.DUMMYFUNCTION("""COMPUTED_VALUE"""),"https://drive.google.com/file/d/1RySpFPc0eRHzms6sd6jkNeYgRvNmnjf9/view?usp=drivesdk")</f>
        <v>https://drive.google.com/file/d/1RySpFPc0eRHzms6sd6jkNeYgRvNmnjf9/view?usp=drivesdk</v>
      </c>
      <c r="C1099" s="159" t="str">
        <f>IFERROR(__xludf.DUMMYFUNCTION("""COMPUTED_VALUE"""),"10.1007--s10608-020-10099-z.pdf")</f>
        <v>10.1007--s10608-020-10099-z.pdf</v>
      </c>
      <c r="D1099" s="159" t="str">
        <f>IFERROR(__xludf.DUMMYFUNCTION("""COMPUTED_VALUE"""),"application/pdf")</f>
        <v>application/pdf</v>
      </c>
    </row>
    <row r="1100">
      <c r="A1100" s="159" t="str">
        <f>IFERROR(__xludf.DUMMYFUNCTION("""COMPUTED_VALUE"""),"10.1002/jaba.593")</f>
        <v>10.1002/jaba.593</v>
      </c>
      <c r="B1100" s="680" t="str">
        <f>IFERROR(__xludf.DUMMYFUNCTION("""COMPUTED_VALUE"""),"https://drive.google.com/file/d/1vZfwwsrrwxCWk1DVduqI02M5iRoBi-bW/view?usp=drivesdk")</f>
        <v>https://drive.google.com/file/d/1vZfwwsrrwxCWk1DVduqI02M5iRoBi-bW/view?usp=drivesdk</v>
      </c>
      <c r="C1100" s="159" t="str">
        <f>IFERROR(__xludf.DUMMYFUNCTION("""COMPUTED_VALUE"""),"10.1002--jaba.593.pdf")</f>
        <v>10.1002--jaba.593.pdf</v>
      </c>
      <c r="D1100" s="159" t="str">
        <f>IFERROR(__xludf.DUMMYFUNCTION("""COMPUTED_VALUE"""),"application/pdf")</f>
        <v>application/pdf</v>
      </c>
    </row>
    <row r="1101">
      <c r="A1101" s="159" t="str">
        <f>IFERROR(__xludf.DUMMYFUNCTION("""COMPUTED_VALUE"""),"10.1002/ejsp.2172")</f>
        <v>10.1002/ejsp.2172</v>
      </c>
      <c r="B1101" s="680" t="str">
        <f>IFERROR(__xludf.DUMMYFUNCTION("""COMPUTED_VALUE"""),"https://drive.google.com/file/d/1CvM7xnkkkbeaE-fXoQSrG0lcN_3ZfOWP/view?usp=drivesdk")</f>
        <v>https://drive.google.com/file/d/1CvM7xnkkkbeaE-fXoQSrG0lcN_3ZfOWP/view?usp=drivesdk</v>
      </c>
      <c r="C1101" s="159" t="str">
        <f>IFERROR(__xludf.DUMMYFUNCTION("""COMPUTED_VALUE"""),"10.1002--ejsp.2172.pdf")</f>
        <v>10.1002--ejsp.2172.pdf</v>
      </c>
      <c r="D1101" s="159" t="str">
        <f>IFERROR(__xludf.DUMMYFUNCTION("""COMPUTED_VALUE"""),"application/pdf")</f>
        <v>application/pdf</v>
      </c>
    </row>
    <row r="1102">
      <c r="A1102" s="159" t="str">
        <f>IFERROR(__xludf.DUMMYFUNCTION("""COMPUTED_VALUE"""),"10.1016/j.paid.2019.04.001")</f>
        <v>10.1016/j.paid.2019.04.001</v>
      </c>
      <c r="B1102" s="680" t="str">
        <f>IFERROR(__xludf.DUMMYFUNCTION("""COMPUTED_VALUE"""),"https://drive.google.com/file/d/10cy62BuKk3ZsJEI6KY-SKtbl8hBswkhC/view?usp=drivesdk")</f>
        <v>https://drive.google.com/file/d/10cy62BuKk3ZsJEI6KY-SKtbl8hBswkhC/view?usp=drivesdk</v>
      </c>
      <c r="C1102" s="159" t="str">
        <f>IFERROR(__xludf.DUMMYFUNCTION("""COMPUTED_VALUE"""),"10.1016--j.paid.2019.04.001.pdf")</f>
        <v>10.1016--j.paid.2019.04.001.pdf</v>
      </c>
      <c r="D1102" s="159" t="str">
        <f>IFERROR(__xludf.DUMMYFUNCTION("""COMPUTED_VALUE"""),"application/pdf")</f>
        <v>application/pdf</v>
      </c>
    </row>
    <row r="1103">
      <c r="A1103" s="159" t="str">
        <f>IFERROR(__xludf.DUMMYFUNCTION("""COMPUTED_VALUE"""),"10.1002/ijop.12632")</f>
        <v>10.1002/ijop.12632</v>
      </c>
      <c r="B1103" s="680" t="str">
        <f>IFERROR(__xludf.DUMMYFUNCTION("""COMPUTED_VALUE"""),"https://drive.google.com/file/d/1KPkGhJ36SscDhiJY_xrs9MK5rlZ-LdFN/view?usp=drivesdk")</f>
        <v>https://drive.google.com/file/d/1KPkGhJ36SscDhiJY_xrs9MK5rlZ-LdFN/view?usp=drivesdk</v>
      </c>
      <c r="C1103" s="159" t="str">
        <f>IFERROR(__xludf.DUMMYFUNCTION("""COMPUTED_VALUE"""),"10.1002--ijop.12632.pdf")</f>
        <v>10.1002--ijop.12632.pdf</v>
      </c>
      <c r="D1103" s="159" t="str">
        <f>IFERROR(__xludf.DUMMYFUNCTION("""COMPUTED_VALUE"""),"application/pdf")</f>
        <v>application/pdf</v>
      </c>
    </row>
    <row r="1104">
      <c r="A1104" s="159" t="str">
        <f>IFERROR(__xludf.DUMMYFUNCTION("""COMPUTED_VALUE"""),"10.1002/ejsp.2005")</f>
        <v>10.1002/ejsp.2005</v>
      </c>
      <c r="B1104" s="680" t="str">
        <f>IFERROR(__xludf.DUMMYFUNCTION("""COMPUTED_VALUE"""),"https://drive.google.com/file/d/1_-jYWchTjICQBAa7ThgQUUY17j_-OYjh/view?usp=drivesdk")</f>
        <v>https://drive.google.com/file/d/1_-jYWchTjICQBAa7ThgQUUY17j_-OYjh/view?usp=drivesdk</v>
      </c>
      <c r="C1104" s="159" t="str">
        <f>IFERROR(__xludf.DUMMYFUNCTION("""COMPUTED_VALUE"""),"10.1002--ejsp.2005.pdf")</f>
        <v>10.1002--ejsp.2005.pdf</v>
      </c>
      <c r="D1104" s="159" t="str">
        <f>IFERROR(__xludf.DUMMYFUNCTION("""COMPUTED_VALUE"""),"application/pdf")</f>
        <v>application/pdf</v>
      </c>
    </row>
    <row r="1105">
      <c r="A1105" s="159" t="str">
        <f>IFERROR(__xludf.DUMMYFUNCTION("""COMPUTED_VALUE"""),"10.1177/2041669518755806")</f>
        <v>10.1177/2041669518755806</v>
      </c>
      <c r="B1105" s="680" t="str">
        <f>IFERROR(__xludf.DUMMYFUNCTION("""COMPUTED_VALUE"""),"https://drive.google.com/file/d/1GTXEdJUuJb21E7LHdMQXoipETCucGvJb/view?usp=drivesdk")</f>
        <v>https://drive.google.com/file/d/1GTXEdJUuJb21E7LHdMQXoipETCucGvJb/view?usp=drivesdk</v>
      </c>
      <c r="C1105" s="159" t="str">
        <f>IFERROR(__xludf.DUMMYFUNCTION("""COMPUTED_VALUE"""),"10.1177--2041669518755806.pdf")</f>
        <v>10.1177--2041669518755806.pdf</v>
      </c>
      <c r="D1105" s="159" t="str">
        <f>IFERROR(__xludf.DUMMYFUNCTION("""COMPUTED_VALUE"""),"application/pdf")</f>
        <v>application/pdf</v>
      </c>
    </row>
    <row r="1106">
      <c r="A1106" s="159" t="str">
        <f>IFERROR(__xludf.DUMMYFUNCTION("""COMPUTED_VALUE"""),"10.1016/j.cogdev.2017.10.004")</f>
        <v>10.1016/j.cogdev.2017.10.004</v>
      </c>
      <c r="B1106" s="680" t="str">
        <f>IFERROR(__xludf.DUMMYFUNCTION("""COMPUTED_VALUE"""),"https://drive.google.com/file/d/1ocNZeMn9M_WZa1vXf02DG5U03OQ_aZtw/view?usp=drivesdk")</f>
        <v>https://drive.google.com/file/d/1ocNZeMn9M_WZa1vXf02DG5U03OQ_aZtw/view?usp=drivesdk</v>
      </c>
      <c r="C1106" s="159" t="str">
        <f>IFERROR(__xludf.DUMMYFUNCTION("""COMPUTED_VALUE"""),"10.1016--j.cogdev.2017.10.004.pdf")</f>
        <v>10.1016--j.cogdev.2017.10.004.pdf</v>
      </c>
      <c r="D1106" s="159" t="str">
        <f>IFERROR(__xludf.DUMMYFUNCTION("""COMPUTED_VALUE"""),"application/pdf")</f>
        <v>application/pdf</v>
      </c>
    </row>
    <row r="1107">
      <c r="A1107" s="159" t="str">
        <f>IFERROR(__xludf.DUMMYFUNCTION("""COMPUTED_VALUE"""),"10.1097/psy.0b013e3181fdd074")</f>
        <v>10.1097/psy.0b013e3181fdd074</v>
      </c>
      <c r="B1107" s="680" t="str">
        <f>IFERROR(__xludf.DUMMYFUNCTION("""COMPUTED_VALUE"""),"https://drive.google.com/file/d/1d9hveUFzxbKToR4lm23SLZP00kGrsbaz/view?usp=drivesdk")</f>
        <v>https://drive.google.com/file/d/1d9hveUFzxbKToR4lm23SLZP00kGrsbaz/view?usp=drivesdk</v>
      </c>
      <c r="C1107" s="159" t="str">
        <f>IFERROR(__xludf.DUMMYFUNCTION("""COMPUTED_VALUE"""),"10.1097--PSY.0b013e3181fdd074.pdf")</f>
        <v>10.1097--PSY.0b013e3181fdd074.pdf</v>
      </c>
      <c r="D1107" s="159" t="str">
        <f>IFERROR(__xludf.DUMMYFUNCTION("""COMPUTED_VALUE"""),"application/pdf")</f>
        <v>application/pdf</v>
      </c>
    </row>
    <row r="1108">
      <c r="A1108" s="159" t="str">
        <f>IFERROR(__xludf.DUMMYFUNCTION("""COMPUTED_VALUE"""),"10.1080/00223891.2012.700465")</f>
        <v>10.1080/00223891.2012.700465</v>
      </c>
      <c r="B1108" s="680" t="str">
        <f>IFERROR(__xludf.DUMMYFUNCTION("""COMPUTED_VALUE"""),"https://drive.google.com/file/d/1Ij9uqCjnLFPAxCNOIiEjRrqXsGdqUerY/view?usp=drivesdk")</f>
        <v>https://drive.google.com/file/d/1Ij9uqCjnLFPAxCNOIiEjRrqXsGdqUerY/view?usp=drivesdk</v>
      </c>
      <c r="C1108" s="159" t="str">
        <f>IFERROR(__xludf.DUMMYFUNCTION("""COMPUTED_VALUE"""),"10.1080--00223891.2012.700465.pdf")</f>
        <v>10.1080--00223891.2012.700465.pdf</v>
      </c>
      <c r="D1108" s="159" t="str">
        <f>IFERROR(__xludf.DUMMYFUNCTION("""COMPUTED_VALUE"""),"application/pdf")</f>
        <v>application/pdf</v>
      </c>
    </row>
    <row r="1109">
      <c r="A1109" s="159" t="str">
        <f>IFERROR(__xludf.DUMMYFUNCTION("""COMPUTED_VALUE"""),"10.1111/psyp.12452")</f>
        <v>10.1111/psyp.12452</v>
      </c>
      <c r="B1109" s="680" t="str">
        <f>IFERROR(__xludf.DUMMYFUNCTION("""COMPUTED_VALUE"""),"https://drive.google.com/file/d/1U5T2MAj5_QQykM-pybdbnGHkCMfgC2Ip/view?usp=drivesdk")</f>
        <v>https://drive.google.com/file/d/1U5T2MAj5_QQykM-pybdbnGHkCMfgC2Ip/view?usp=drivesdk</v>
      </c>
      <c r="C1109" s="159" t="str">
        <f>IFERROR(__xludf.DUMMYFUNCTION("""COMPUTED_VALUE"""),"10.1111--psyp.12452.pdf")</f>
        <v>10.1111--psyp.12452.pdf</v>
      </c>
      <c r="D1109" s="159" t="str">
        <f>IFERROR(__xludf.DUMMYFUNCTION("""COMPUTED_VALUE"""),"application/pdf")</f>
        <v>application/pdf</v>
      </c>
    </row>
    <row r="1110">
      <c r="A1110" s="159" t="str">
        <f>IFERROR(__xludf.DUMMYFUNCTION("""COMPUTED_VALUE"""),"10.1111/psyp.13061")</f>
        <v>10.1111/psyp.13061</v>
      </c>
      <c r="B1110" s="680" t="str">
        <f>IFERROR(__xludf.DUMMYFUNCTION("""COMPUTED_VALUE"""),"https://drive.google.com/file/d/1m7NCe1rITz2NaoxpTRj7yj9gwrw-G2Cg/view?usp=drivesdk")</f>
        <v>https://drive.google.com/file/d/1m7NCe1rITz2NaoxpTRj7yj9gwrw-G2Cg/view?usp=drivesdk</v>
      </c>
      <c r="C1110" s="159" t="str">
        <f>IFERROR(__xludf.DUMMYFUNCTION("""COMPUTED_VALUE"""),"10.1111--psyp.13061.pdf")</f>
        <v>10.1111--psyp.13061.pdf</v>
      </c>
      <c r="D1110" s="159" t="str">
        <f>IFERROR(__xludf.DUMMYFUNCTION("""COMPUTED_VALUE"""),"application/pdf")</f>
        <v>application/pdf</v>
      </c>
    </row>
    <row r="1111">
      <c r="A1111" s="159" t="str">
        <f>IFERROR(__xludf.DUMMYFUNCTION("""COMPUTED_VALUE"""),"10.1101/lm.047282.117")</f>
        <v>10.1101/lm.047282.117</v>
      </c>
      <c r="B1111" s="680" t="str">
        <f>IFERROR(__xludf.DUMMYFUNCTION("""COMPUTED_VALUE"""),"https://drive.google.com/file/d/1KweztB2AqdouHTLTx3ynCIVvh2Xd1bRn/view?usp=drivesdk")</f>
        <v>https://drive.google.com/file/d/1KweztB2AqdouHTLTx3ynCIVvh2Xd1bRn/view?usp=drivesdk</v>
      </c>
      <c r="C1111" s="159" t="str">
        <f>IFERROR(__xludf.DUMMYFUNCTION("""COMPUTED_VALUE"""),"10.1101--lm.047282.117.pdf")</f>
        <v>10.1101--lm.047282.117.pdf</v>
      </c>
      <c r="D1111" s="159" t="str">
        <f>IFERROR(__xludf.DUMMYFUNCTION("""COMPUTED_VALUE"""),"application/pdf")</f>
        <v>application/pdf</v>
      </c>
    </row>
    <row r="1112">
      <c r="A1112" s="159" t="str">
        <f>IFERROR(__xludf.DUMMYFUNCTION("""COMPUTED_VALUE"""),"10.1080/10720537.2017.1351013")</f>
        <v>10.1080/10720537.2017.1351013</v>
      </c>
      <c r="B1112" s="680" t="str">
        <f>IFERROR(__xludf.DUMMYFUNCTION("""COMPUTED_VALUE"""),"https://drive.google.com/file/d/1NTKp4-GsdbGfJAQ5HINv60Kli5U7BPFK/view?usp=drivesdk")</f>
        <v>https://drive.google.com/file/d/1NTKp4-GsdbGfJAQ5HINv60Kli5U7BPFK/view?usp=drivesdk</v>
      </c>
      <c r="C1112" s="159" t="str">
        <f>IFERROR(__xludf.DUMMYFUNCTION("""COMPUTED_VALUE"""),"10.1080--10720537.2017.1351013.pdf")</f>
        <v>10.1080--10720537.2017.1351013.pdf</v>
      </c>
      <c r="D1112" s="159" t="str">
        <f>IFERROR(__xludf.DUMMYFUNCTION("""COMPUTED_VALUE"""),"application/pdf")</f>
        <v>application/pdf</v>
      </c>
    </row>
    <row r="1113">
      <c r="A1113" s="159" t="str">
        <f>IFERROR(__xludf.DUMMYFUNCTION("""COMPUTED_VALUE"""),"10.1080/10615806.2020.1763140")</f>
        <v>10.1080/10615806.2020.1763140</v>
      </c>
      <c r="B1113" s="680" t="str">
        <f>IFERROR(__xludf.DUMMYFUNCTION("""COMPUTED_VALUE"""),"https://drive.google.com/file/d/16N0plOadQAJX7YbKVm1wHb5IuJ9Cf9kY/view?usp=drivesdk")</f>
        <v>https://drive.google.com/file/d/16N0plOadQAJX7YbKVm1wHb5IuJ9Cf9kY/view?usp=drivesdk</v>
      </c>
      <c r="C1113" s="159" t="str">
        <f>IFERROR(__xludf.DUMMYFUNCTION("""COMPUTED_VALUE"""),"10.1080--10615806.2020.1763140.pdf")</f>
        <v>10.1080--10615806.2020.1763140.pdf</v>
      </c>
      <c r="D1113" s="159" t="str">
        <f>IFERROR(__xludf.DUMMYFUNCTION("""COMPUTED_VALUE"""),"application/pdf")</f>
        <v>application/pdf</v>
      </c>
    </row>
    <row r="1114">
      <c r="A1114" s="159" t="str">
        <f>IFERROR(__xludf.DUMMYFUNCTION("""COMPUTED_VALUE"""),"10.1016/j.neuropsychologia.2012.03.012")</f>
        <v>10.1016/j.neuropsychologia.2012.03.012</v>
      </c>
      <c r="B1114" s="680" t="str">
        <f>IFERROR(__xludf.DUMMYFUNCTION("""COMPUTED_VALUE"""),"https://drive.google.com/file/d/1Dr_J3dtP3MtuYZdf99UULUa0JK3uFgeC/view?usp=drivesdk")</f>
        <v>https://drive.google.com/file/d/1Dr_J3dtP3MtuYZdf99UULUa0JK3uFgeC/view?usp=drivesdk</v>
      </c>
      <c r="C1114" s="159" t="str">
        <f>IFERROR(__xludf.DUMMYFUNCTION("""COMPUTED_VALUE"""),"10.1016--j.neuropsychologia.2012.03.012.pdf")</f>
        <v>10.1016--j.neuropsychologia.2012.03.012.pdf</v>
      </c>
      <c r="D1114" s="159" t="str">
        <f>IFERROR(__xludf.DUMMYFUNCTION("""COMPUTED_VALUE"""),"application/pdf")</f>
        <v>application/pdf</v>
      </c>
    </row>
    <row r="1115">
      <c r="A1115" s="159" t="str">
        <f>IFERROR(__xludf.DUMMYFUNCTION("""COMPUTED_VALUE"""),"10.1016/j.joep.2020.102312")</f>
        <v>10.1016/j.joep.2020.102312</v>
      </c>
      <c r="B1115" s="680" t="str">
        <f>IFERROR(__xludf.DUMMYFUNCTION("""COMPUTED_VALUE"""),"https://drive.google.com/file/d/1JWjkln9CJu8dWWG13eCkUEPE81p-_bbI/view?usp=drivesdk")</f>
        <v>https://drive.google.com/file/d/1JWjkln9CJu8dWWG13eCkUEPE81p-_bbI/view?usp=drivesdk</v>
      </c>
      <c r="C1115" s="159" t="str">
        <f>IFERROR(__xludf.DUMMYFUNCTION("""COMPUTED_VALUE"""),"10.1016--j.joep.2020.102312.pdf")</f>
        <v>10.1016--j.joep.2020.102312.pdf</v>
      </c>
      <c r="D1115" s="159" t="str">
        <f>IFERROR(__xludf.DUMMYFUNCTION("""COMPUTED_VALUE"""),"application/pdf")</f>
        <v>application/pdf</v>
      </c>
    </row>
    <row r="1116">
      <c r="A1116" s="159" t="str">
        <f>IFERROR(__xludf.DUMMYFUNCTION("""COMPUTED_VALUE"""),"10.1016/j.jesp.2020.104010")</f>
        <v>10.1016/j.jesp.2020.104010</v>
      </c>
      <c r="B1116" s="680" t="str">
        <f>IFERROR(__xludf.DUMMYFUNCTION("""COMPUTED_VALUE"""),"https://drive.google.com/file/d/1BaJrMUMQAZQcIwW-WrR9NXs9CM0N1SkX/view?usp=drivesdk")</f>
        <v>https://drive.google.com/file/d/1BaJrMUMQAZQcIwW-WrR9NXs9CM0N1SkX/view?usp=drivesdk</v>
      </c>
      <c r="C1116" s="159" t="str">
        <f>IFERROR(__xludf.DUMMYFUNCTION("""COMPUTED_VALUE"""),"10.1016--j.jesp.2020.104010.pdf")</f>
        <v>10.1016--j.jesp.2020.104010.pdf</v>
      </c>
      <c r="D1116" s="159" t="str">
        <f>IFERROR(__xludf.DUMMYFUNCTION("""COMPUTED_VALUE"""),"application/pdf")</f>
        <v>application/pdf</v>
      </c>
    </row>
    <row r="1117">
      <c r="A1117" s="159" t="str">
        <f>IFERROR(__xludf.DUMMYFUNCTION("""COMPUTED_VALUE"""),"10.1016/j.joep.2018.12.001")</f>
        <v>10.1016/j.joep.2018.12.001</v>
      </c>
      <c r="B1117" s="680" t="str">
        <f>IFERROR(__xludf.DUMMYFUNCTION("""COMPUTED_VALUE"""),"https://drive.google.com/file/d/1_b8mOSAsOMzbJVPB86zc3Ev432ugw-N0/view?usp=drivesdk")</f>
        <v>https://drive.google.com/file/d/1_b8mOSAsOMzbJVPB86zc3Ev432ugw-N0/view?usp=drivesdk</v>
      </c>
      <c r="C1117" s="159" t="str">
        <f>IFERROR(__xludf.DUMMYFUNCTION("""COMPUTED_VALUE"""),"10.1016--j.joep.2018.12.001.pdf")</f>
        <v>10.1016--j.joep.2018.12.001.pdf</v>
      </c>
      <c r="D1117" s="159" t="str">
        <f>IFERROR(__xludf.DUMMYFUNCTION("""COMPUTED_VALUE"""),"application/pdf")</f>
        <v>application/pdf</v>
      </c>
    </row>
    <row r="1118">
      <c r="A1118" s="159" t="str">
        <f>IFERROR(__xludf.DUMMYFUNCTION("""COMPUTED_VALUE"""),"10.1016/j.ijpsycho.2018.01.015")</f>
        <v>10.1016/j.ijpsycho.2018.01.015</v>
      </c>
      <c r="B1118" s="680" t="str">
        <f>IFERROR(__xludf.DUMMYFUNCTION("""COMPUTED_VALUE"""),"https://drive.google.com/file/d/1ZyLeWcONfT3Lmf9dHHJqtgrU-MZcF3Ph/view?usp=drivesdk")</f>
        <v>https://drive.google.com/file/d/1ZyLeWcONfT3Lmf9dHHJqtgrU-MZcF3Ph/view?usp=drivesdk</v>
      </c>
      <c r="C1118" s="159" t="str">
        <f>IFERROR(__xludf.DUMMYFUNCTION("""COMPUTED_VALUE"""),"10.1016--j.ijpsycho.2018.01.015.pdf")</f>
        <v>10.1016--j.ijpsycho.2018.01.015.pdf</v>
      </c>
      <c r="D1118" s="159" t="str">
        <f>IFERROR(__xludf.DUMMYFUNCTION("""COMPUTED_VALUE"""),"application/pdf")</f>
        <v>application/pdf</v>
      </c>
    </row>
    <row r="1119">
      <c r="A1119" s="159" t="str">
        <f>IFERROR(__xludf.DUMMYFUNCTION("""COMPUTED_VALUE"""),"10.1016/j.bodyim.2017.07.003")</f>
        <v>10.1016/j.bodyim.2017.07.003</v>
      </c>
      <c r="B1119" s="680" t="str">
        <f>IFERROR(__xludf.DUMMYFUNCTION("""COMPUTED_VALUE"""),"https://drive.google.com/file/d/1-U4mWEm3vaiLvomX0Ch-4HKs8d-LVX5-/view?usp=drivesdk")</f>
        <v>https://drive.google.com/file/d/1-U4mWEm3vaiLvomX0Ch-4HKs8d-LVX5-/view?usp=drivesdk</v>
      </c>
      <c r="C1119" s="159" t="str">
        <f>IFERROR(__xludf.DUMMYFUNCTION("""COMPUTED_VALUE"""),"10.1016--j.bodyim.2017.07.003.pdf")</f>
        <v>10.1016--j.bodyim.2017.07.003.pdf</v>
      </c>
      <c r="D1119" s="159" t="str">
        <f>IFERROR(__xludf.DUMMYFUNCTION("""COMPUTED_VALUE"""),"application/pdf")</f>
        <v>application/pdf</v>
      </c>
    </row>
    <row r="1120">
      <c r="A1120" s="159" t="str">
        <f>IFERROR(__xludf.DUMMYFUNCTION("""COMPUTED_VALUE"""),"10.1016/j.concog.2016.11.011")</f>
        <v>10.1016/j.concog.2016.11.011</v>
      </c>
      <c r="B1120" s="680" t="str">
        <f>IFERROR(__xludf.DUMMYFUNCTION("""COMPUTED_VALUE"""),"https://drive.google.com/file/d/1mruXmvH2Pouq7XcDsaReJoumHS3Ak_BK/view?usp=drivesdk")</f>
        <v>https://drive.google.com/file/d/1mruXmvH2Pouq7XcDsaReJoumHS3Ak_BK/view?usp=drivesdk</v>
      </c>
      <c r="C1120" s="159" t="str">
        <f>IFERROR(__xludf.DUMMYFUNCTION("""COMPUTED_VALUE"""),"10.1016--j.concog.2016.11.011.pdf")</f>
        <v>10.1016--j.concog.2016.11.011.pdf</v>
      </c>
      <c r="D1120" s="159" t="str">
        <f>IFERROR(__xludf.DUMMYFUNCTION("""COMPUTED_VALUE"""),"application/pdf")</f>
        <v>application/pdf</v>
      </c>
    </row>
    <row r="1121">
      <c r="A1121" s="159" t="str">
        <f>IFERROR(__xludf.DUMMYFUNCTION("""COMPUTED_VALUE"""),"10.1016/j.beth.2016.11.011")</f>
        <v>10.1016/j.beth.2016.11.011</v>
      </c>
      <c r="B1121" s="680" t="str">
        <f>IFERROR(__xludf.DUMMYFUNCTION("""COMPUTED_VALUE"""),"https://drive.google.com/file/d/145d_CA8T5qtTk-xcEGngNcczxZO4b9ij/view?usp=drivesdk")</f>
        <v>https://drive.google.com/file/d/145d_CA8T5qtTk-xcEGngNcczxZO4b9ij/view?usp=drivesdk</v>
      </c>
      <c r="C1121" s="159" t="str">
        <f>IFERROR(__xludf.DUMMYFUNCTION("""COMPUTED_VALUE"""),"10.1016--j.beth.2016.11.011.pdf")</f>
        <v>10.1016--j.beth.2016.11.011.pdf</v>
      </c>
      <c r="D1121" s="159" t="str">
        <f>IFERROR(__xludf.DUMMYFUNCTION("""COMPUTED_VALUE"""),"application/pdf")</f>
        <v>application/pdf</v>
      </c>
    </row>
    <row r="1122">
      <c r="A1122" s="159" t="str">
        <f>IFERROR(__xludf.DUMMYFUNCTION("""COMPUTED_VALUE"""),"10.1016/j.actpsy.2013.07.016")</f>
        <v>10.1016/j.actpsy.2013.07.016</v>
      </c>
      <c r="B1122" s="680" t="str">
        <f>IFERROR(__xludf.DUMMYFUNCTION("""COMPUTED_VALUE"""),"https://drive.google.com/file/d/16fIu9vCQlb-Liuv0d6QNpzUH_0j6Wszs/view?usp=drivesdk")</f>
        <v>https://drive.google.com/file/d/16fIu9vCQlb-Liuv0d6QNpzUH_0j6Wszs/view?usp=drivesdk</v>
      </c>
      <c r="C1122" s="159" t="str">
        <f>IFERROR(__xludf.DUMMYFUNCTION("""COMPUTED_VALUE"""),"10.1016--j.actpsy.2013.07.016.pdf")</f>
        <v>10.1016--j.actpsy.2013.07.016.pdf</v>
      </c>
      <c r="D1122" s="159" t="str">
        <f>IFERROR(__xludf.DUMMYFUNCTION("""COMPUTED_VALUE"""),"application/pdf")</f>
        <v>application/pdf</v>
      </c>
    </row>
    <row r="1123">
      <c r="A1123" s="159" t="str">
        <f>IFERROR(__xludf.DUMMYFUNCTION("""COMPUTED_VALUE"""),"10.1016/j.bandc.2018.01.007")</f>
        <v>10.1016/j.bandc.2018.01.007</v>
      </c>
      <c r="B1123" s="680" t="str">
        <f>IFERROR(__xludf.DUMMYFUNCTION("""COMPUTED_VALUE"""),"https://drive.google.com/file/d/1sG4y8zj0eD26U_-ccB6XYJYyLcy9IIAU/view?usp=drivesdk")</f>
        <v>https://drive.google.com/file/d/1sG4y8zj0eD26U_-ccB6XYJYyLcy9IIAU/view?usp=drivesdk</v>
      </c>
      <c r="C1123" s="159" t="str">
        <f>IFERROR(__xludf.DUMMYFUNCTION("""COMPUTED_VALUE"""),"10.1016--j.bandc.2018.01.007.pdf")</f>
        <v>10.1016--j.bandc.2018.01.007.pdf</v>
      </c>
      <c r="D1123" s="159" t="str">
        <f>IFERROR(__xludf.DUMMYFUNCTION("""COMPUTED_VALUE"""),"application/pdf")</f>
        <v>application/pdf</v>
      </c>
    </row>
    <row r="1124">
      <c r="A1124" s="159" t="str">
        <f>IFERROR(__xludf.DUMMYFUNCTION("""COMPUTED_VALUE"""),"10.1007/s10899-020-09932-7")</f>
        <v>10.1007/s10899-020-09932-7</v>
      </c>
      <c r="B1124" s="680" t="str">
        <f>IFERROR(__xludf.DUMMYFUNCTION("""COMPUTED_VALUE"""),"https://drive.google.com/file/d/1IvnhnRqpaQxDIW6jkeFJ2j-TXawb-FQX/view?usp=drivesdk")</f>
        <v>https://drive.google.com/file/d/1IvnhnRqpaQxDIW6jkeFJ2j-TXawb-FQX/view?usp=drivesdk</v>
      </c>
      <c r="C1124" s="159" t="str">
        <f>IFERROR(__xludf.DUMMYFUNCTION("""COMPUTED_VALUE"""),"10.1007--s10899-020-09932-7.pdf")</f>
        <v>10.1007--s10899-020-09932-7.pdf</v>
      </c>
      <c r="D1124" s="159" t="str">
        <f>IFERROR(__xludf.DUMMYFUNCTION("""COMPUTED_VALUE"""),"application/pdf")</f>
        <v>application/pdf</v>
      </c>
    </row>
    <row r="1125">
      <c r="A1125" s="159" t="str">
        <f>IFERROR(__xludf.DUMMYFUNCTION("""COMPUTED_VALUE"""),"10.3389/fpsyg.2019.00632")</f>
        <v>10.3389/fpsyg.2019.00632</v>
      </c>
      <c r="B1125" s="680" t="str">
        <f>IFERROR(__xludf.DUMMYFUNCTION("""COMPUTED_VALUE"""),"https://drive.google.com/file/d/1oUiWiRTeF5NO9j1I0dU-MesXSg3OdZcD/view?usp=drivesdk")</f>
        <v>https://drive.google.com/file/d/1oUiWiRTeF5NO9j1I0dU-MesXSg3OdZcD/view?usp=drivesdk</v>
      </c>
      <c r="C1125" s="159" t="str">
        <f>IFERROR(__xludf.DUMMYFUNCTION("""COMPUTED_VALUE"""),"10.3389--fpsyg.2019.00632.pdf")</f>
        <v>10.3389--fpsyg.2019.00632.pdf</v>
      </c>
      <c r="D1125" s="159" t="str">
        <f>IFERROR(__xludf.DUMMYFUNCTION("""COMPUTED_VALUE"""),"application/pdf")</f>
        <v>application/pdf</v>
      </c>
    </row>
    <row r="1126">
      <c r="A1126" s="159" t="str">
        <f>IFERROR(__xludf.DUMMYFUNCTION("""COMPUTED_VALUE"""),"10.1177/0146167213510746")</f>
        <v>10.1177/0146167213510746</v>
      </c>
      <c r="B1126" s="680" t="str">
        <f>IFERROR(__xludf.DUMMYFUNCTION("""COMPUTED_VALUE"""),"https://drive.google.com/file/d/1-h4AeCKF0tncBY8p2kgJjJ4CQezmJNtx/view?usp=drivesdk")</f>
        <v>https://drive.google.com/file/d/1-h4AeCKF0tncBY8p2kgJjJ4CQezmJNtx/view?usp=drivesdk</v>
      </c>
      <c r="C1126" s="159" t="str">
        <f>IFERROR(__xludf.DUMMYFUNCTION("""COMPUTED_VALUE"""),"10.1177--0146167213510746.pdf")</f>
        <v>10.1177--0146167213510746.pdf</v>
      </c>
      <c r="D1126" s="159" t="str">
        <f>IFERROR(__xludf.DUMMYFUNCTION("""COMPUTED_VALUE"""),"application/pdf")</f>
        <v>application/pdf</v>
      </c>
    </row>
    <row r="1127">
      <c r="A1127" s="159" t="str">
        <f>IFERROR(__xludf.DUMMYFUNCTION("""COMPUTED_VALUE"""),"10.1037/a0013082")</f>
        <v>10.1037/a0013082</v>
      </c>
      <c r="B1127" s="680" t="str">
        <f>IFERROR(__xludf.DUMMYFUNCTION("""COMPUTED_VALUE"""),"https://drive.google.com/file/d/1PTd-ayx-9XGJUc0TnmfMMQzyVDrmLsrS/view?usp=drivesdk")</f>
        <v>https://drive.google.com/file/d/1PTd-ayx-9XGJUc0TnmfMMQzyVDrmLsrS/view?usp=drivesdk</v>
      </c>
      <c r="C1127" s="159" t="str">
        <f>IFERROR(__xludf.DUMMYFUNCTION("""COMPUTED_VALUE"""),"10.1037--a0013082.pdf")</f>
        <v>10.1037--a0013082.pdf</v>
      </c>
      <c r="D1127" s="159" t="str">
        <f>IFERROR(__xludf.DUMMYFUNCTION("""COMPUTED_VALUE"""),"application/pdf")</f>
        <v>application/pdf</v>
      </c>
    </row>
    <row r="1128">
      <c r="A1128" s="159" t="str">
        <f>IFERROR(__xludf.DUMMYFUNCTION("""COMPUTED_VALUE"""),"10.1016/j.infbeh.2006.03.001")</f>
        <v>10.1016/j.infbeh.2006.03.001</v>
      </c>
      <c r="B1128" s="680" t="str">
        <f>IFERROR(__xludf.DUMMYFUNCTION("""COMPUTED_VALUE"""),"https://drive.google.com/file/d/14g9vEqBZ-E5DAr0zFvoj5a0l_QKf7HEo/view?usp=drivesdk")</f>
        <v>https://drive.google.com/file/d/14g9vEqBZ-E5DAr0zFvoj5a0l_QKf7HEo/view?usp=drivesdk</v>
      </c>
      <c r="C1128" s="159" t="str">
        <f>IFERROR(__xludf.DUMMYFUNCTION("""COMPUTED_VALUE"""),"10.1016--j.infbeh.2006.03.001.pdf")</f>
        <v>10.1016--j.infbeh.2006.03.001.pdf</v>
      </c>
      <c r="D1128" s="159" t="str">
        <f>IFERROR(__xludf.DUMMYFUNCTION("""COMPUTED_VALUE"""),"application/pdf")</f>
        <v>application/pdf</v>
      </c>
    </row>
    <row r="1129">
      <c r="A1129" s="159" t="str">
        <f>IFERROR(__xludf.DUMMYFUNCTION("""COMPUTED_VALUE"""),"10.1073/pnas.1712757114")</f>
        <v>10.1073/pnas.1712757114</v>
      </c>
      <c r="B1129" s="680" t="str">
        <f>IFERROR(__xludf.DUMMYFUNCTION("""COMPUTED_VALUE"""),"https://drive.google.com/file/d/1MNI9F_b-INeCuIQLWmRv_4mFyoF1dA8l/view?usp=drivesdk")</f>
        <v>https://drive.google.com/file/d/1MNI9F_b-INeCuIQLWmRv_4mFyoF1dA8l/view?usp=drivesdk</v>
      </c>
      <c r="C1129" s="159" t="str">
        <f>IFERROR(__xludf.DUMMYFUNCTION("""COMPUTED_VALUE"""),"10.1073--pnas.1712757114.pdf")</f>
        <v>10.1073--pnas.1712757114.pdf</v>
      </c>
      <c r="D1129" s="159" t="str">
        <f>IFERROR(__xludf.DUMMYFUNCTION("""COMPUTED_VALUE"""),"application/pdf")</f>
        <v>application/pdf</v>
      </c>
    </row>
    <row r="1130">
      <c r="A1130" s="159" t="str">
        <f>IFERROR(__xludf.DUMMYFUNCTION("""COMPUTED_VALUE"""),"10.1080/09541440143000113")</f>
        <v>10.1080/09541440143000113</v>
      </c>
      <c r="B1130" s="680" t="str">
        <f>IFERROR(__xludf.DUMMYFUNCTION("""COMPUTED_VALUE"""),"https://drive.google.com/file/d/1ELJ2rVWHlx9zJRsE_POcYvkhc00dGKdv/view?usp=drivesdk")</f>
        <v>https://drive.google.com/file/d/1ELJ2rVWHlx9zJRsE_POcYvkhc00dGKdv/view?usp=drivesdk</v>
      </c>
      <c r="C1130" s="159" t="str">
        <f>IFERROR(__xludf.DUMMYFUNCTION("""COMPUTED_VALUE"""),"10.1080--09541440143000113.pdf")</f>
        <v>10.1080--09541440143000113.pdf</v>
      </c>
      <c r="D1130" s="159" t="str">
        <f>IFERROR(__xludf.DUMMYFUNCTION("""COMPUTED_VALUE"""),"application/pdf")</f>
        <v>application/pdf</v>
      </c>
    </row>
    <row r="1131">
      <c r="A1131" s="159" t="str">
        <f>IFERROR(__xludf.DUMMYFUNCTION("""COMPUTED_VALUE"""),"10.3758/pbr.16.4.684")</f>
        <v>10.3758/pbr.16.4.684</v>
      </c>
      <c r="B1131" s="680" t="str">
        <f>IFERROR(__xludf.DUMMYFUNCTION("""COMPUTED_VALUE"""),"https://drive.google.com/file/d/11HHY1DhMIw5Jt3ifNiw2FSzGZAlHaTWc/view?usp=drivesdk")</f>
        <v>https://drive.google.com/file/d/11HHY1DhMIw5Jt3ifNiw2FSzGZAlHaTWc/view?usp=drivesdk</v>
      </c>
      <c r="C1131" s="159" t="str">
        <f>IFERROR(__xludf.DUMMYFUNCTION("""COMPUTED_VALUE"""),"10.3758--PBR.16.4.684.pdf")</f>
        <v>10.3758--PBR.16.4.684.pdf</v>
      </c>
      <c r="D1131" s="159" t="str">
        <f>IFERROR(__xludf.DUMMYFUNCTION("""COMPUTED_VALUE"""),"application/pdf")</f>
        <v>application/pdf</v>
      </c>
    </row>
    <row r="1132">
      <c r="A1132" s="159" t="str">
        <f>IFERROR(__xludf.DUMMYFUNCTION("""COMPUTED_VALUE"""),"10.1016/j.cognition.2013.02.010")</f>
        <v>10.1016/j.cognition.2013.02.010</v>
      </c>
      <c r="B1132" s="680" t="str">
        <f>IFERROR(__xludf.DUMMYFUNCTION("""COMPUTED_VALUE"""),"https://drive.google.com/file/d/1i22pNvJdOKil2YjUFRJsbzihIjBDwr0D/view?usp=drivesdk")</f>
        <v>https://drive.google.com/file/d/1i22pNvJdOKil2YjUFRJsbzihIjBDwr0D/view?usp=drivesdk</v>
      </c>
      <c r="C1132" s="159" t="str">
        <f>IFERROR(__xludf.DUMMYFUNCTION("""COMPUTED_VALUE"""),"10.1016--j.cognition.2013.02.010.pdf")</f>
        <v>10.1016--j.cognition.2013.02.010.pdf</v>
      </c>
      <c r="D1132" s="159" t="str">
        <f>IFERROR(__xludf.DUMMYFUNCTION("""COMPUTED_VALUE"""),"application/pdf")</f>
        <v>application/pdf</v>
      </c>
    </row>
    <row r="1133">
      <c r="A1133" s="159" t="str">
        <f>IFERROR(__xludf.DUMMYFUNCTION("""COMPUTED_VALUE"""),"10.3389/fpsyg.2015.01213")</f>
        <v>10.3389/fpsyg.2015.01213</v>
      </c>
      <c r="B1133" s="680" t="str">
        <f>IFERROR(__xludf.DUMMYFUNCTION("""COMPUTED_VALUE"""),"https://drive.google.com/file/d/16jE_US35YKNPq7V9h_dnE4HPYPThP32o/view?usp=drivesdk")</f>
        <v>https://drive.google.com/file/d/16jE_US35YKNPq7V9h_dnE4HPYPThP32o/view?usp=drivesdk</v>
      </c>
      <c r="C1133" s="159" t="str">
        <f>IFERROR(__xludf.DUMMYFUNCTION("""COMPUTED_VALUE"""),"10.3389--fpsyg.2015.01213.pdf")</f>
        <v>10.3389--fpsyg.2015.01213.pdf</v>
      </c>
      <c r="D1133" s="159" t="str">
        <f>IFERROR(__xludf.DUMMYFUNCTION("""COMPUTED_VALUE"""),"application/pdf")</f>
        <v>application/pdf</v>
      </c>
    </row>
    <row r="1134">
      <c r="A1134" s="159" t="str">
        <f>IFERROR(__xludf.DUMMYFUNCTION("""COMPUTED_VALUE"""),"10.3758/s13421-011-0157-1")</f>
        <v>10.3758/s13421-011-0157-1</v>
      </c>
      <c r="B1134" s="680" t="str">
        <f>IFERROR(__xludf.DUMMYFUNCTION("""COMPUTED_VALUE"""),"https://drive.google.com/file/d/1S2RFw6xaGsXFBbQ_5G_loaBiDBP_KRy9/view?usp=drivesdk")</f>
        <v>https://drive.google.com/file/d/1S2RFw6xaGsXFBbQ_5G_loaBiDBP_KRy9/view?usp=drivesdk</v>
      </c>
      <c r="C1134" s="159" t="str">
        <f>IFERROR(__xludf.DUMMYFUNCTION("""COMPUTED_VALUE"""),"10.3758--s13421-011-0157-1.pdf")</f>
        <v>10.3758--s13421-011-0157-1.pdf</v>
      </c>
      <c r="D1134" s="159" t="str">
        <f>IFERROR(__xludf.DUMMYFUNCTION("""COMPUTED_VALUE"""),"application/pdf")</f>
        <v>application/pdf</v>
      </c>
    </row>
    <row r="1135">
      <c r="A1135" s="159" t="str">
        <f>IFERROR(__xludf.DUMMYFUNCTION("""COMPUTED_VALUE"""),"10.1007/s00221-010-2510-1")</f>
        <v>10.1007/s00221-010-2510-1</v>
      </c>
      <c r="B1135" s="680" t="str">
        <f>IFERROR(__xludf.DUMMYFUNCTION("""COMPUTED_VALUE"""),"https://drive.google.com/file/d/10Lx18Hb5C_MI7gzdQ3xa-7WyCAueO4Vw/view?usp=drivesdk")</f>
        <v>https://drive.google.com/file/d/10Lx18Hb5C_MI7gzdQ3xa-7WyCAueO4Vw/view?usp=drivesdk</v>
      </c>
      <c r="C1135" s="159" t="str">
        <f>IFERROR(__xludf.DUMMYFUNCTION("""COMPUTED_VALUE"""),"10.1007--s00221-010-2510-1.pdf")</f>
        <v>10.1007--s00221-010-2510-1.pdf</v>
      </c>
      <c r="D1135" s="159" t="str">
        <f>IFERROR(__xludf.DUMMYFUNCTION("""COMPUTED_VALUE"""),"application/pdf")</f>
        <v>application/pdf</v>
      </c>
    </row>
    <row r="1136">
      <c r="A1136" s="159" t="str">
        <f>IFERROR(__xludf.DUMMYFUNCTION("""COMPUTED_VALUE"""),"10.1016/j.cub.2006.10.012")</f>
        <v>10.1016/j.cub.2006.10.012</v>
      </c>
      <c r="B1136" s="680" t="str">
        <f>IFERROR(__xludf.DUMMYFUNCTION("""COMPUTED_VALUE"""),"https://drive.google.com/file/d/1aCDmZZ8H9clPp2gVRNCCngQDTDo1R9s5/view?usp=drivesdk")</f>
        <v>https://drive.google.com/file/d/1aCDmZZ8H9clPp2gVRNCCngQDTDo1R9s5/view?usp=drivesdk</v>
      </c>
      <c r="C1136" s="159" t="str">
        <f>IFERROR(__xludf.DUMMYFUNCTION("""COMPUTED_VALUE"""),"10.1016--j.cub.2006.10.012.pdf")</f>
        <v>10.1016--j.cub.2006.10.012.pdf</v>
      </c>
      <c r="D1136" s="159" t="str">
        <f>IFERROR(__xludf.DUMMYFUNCTION("""COMPUTED_VALUE"""),"application/pdf")</f>
        <v>application/pdf</v>
      </c>
    </row>
    <row r="1137">
      <c r="A1137" s="159" t="str">
        <f>IFERROR(__xludf.DUMMYFUNCTION("""COMPUTED_VALUE"""),"10.1111/j.1467-9280.2008.02143.x")</f>
        <v>10.1111/j.1467-9280.2008.02143.x</v>
      </c>
      <c r="B1137" s="680" t="str">
        <f>IFERROR(__xludf.DUMMYFUNCTION("""COMPUTED_VALUE"""),"https://drive.google.com/file/d/1Xd95UC9a8EypRwXNiA8-mQL16juPYOUX/view?usp=drivesdk")</f>
        <v>https://drive.google.com/file/d/1Xd95UC9a8EypRwXNiA8-mQL16juPYOUX/view?usp=drivesdk</v>
      </c>
      <c r="C1137" s="159" t="str">
        <f>IFERROR(__xludf.DUMMYFUNCTION("""COMPUTED_VALUE"""),"10.1111--j.1467-9280.2008.02143.x.pdf")</f>
        <v>10.1111--j.1467-9280.2008.02143.x.pdf</v>
      </c>
      <c r="D1137" s="159" t="str">
        <f>IFERROR(__xludf.DUMMYFUNCTION("""COMPUTED_VALUE"""),"application/pdf")</f>
        <v>application/pdf</v>
      </c>
    </row>
    <row r="1138">
      <c r="A1138" s="159" t="str">
        <f>IFERROR(__xludf.DUMMYFUNCTION("""COMPUTED_VALUE"""),"10.1016/j.cognition.2011.12.006")</f>
        <v>10.1016/j.cognition.2011.12.006</v>
      </c>
      <c r="B1138" s="680" t="str">
        <f>IFERROR(__xludf.DUMMYFUNCTION("""COMPUTED_VALUE"""),"https://drive.google.com/file/d/1JJZqD0s4reGHNz-ea1R4J-gV8vE42oJu/view?usp=drivesdk")</f>
        <v>https://drive.google.com/file/d/1JJZqD0s4reGHNz-ea1R4J-gV8vE42oJu/view?usp=drivesdk</v>
      </c>
      <c r="C1138" s="159" t="str">
        <f>IFERROR(__xludf.DUMMYFUNCTION("""COMPUTED_VALUE"""),"10.1016--j.cognition.2011.12.006.pdf")</f>
        <v>10.1016--j.cognition.2011.12.006.pdf</v>
      </c>
      <c r="D1138" s="159" t="str">
        <f>IFERROR(__xludf.DUMMYFUNCTION("""COMPUTED_VALUE"""),"application/pdf")</f>
        <v>application/pdf</v>
      </c>
    </row>
    <row r="1139">
      <c r="A1139" s="159" t="str">
        <f>IFERROR(__xludf.DUMMYFUNCTION("""COMPUTED_VALUE"""),"10.3758/bf03206462")</f>
        <v>10.3758/bf03206462</v>
      </c>
      <c r="B1139" s="680" t="str">
        <f>IFERROR(__xludf.DUMMYFUNCTION("""COMPUTED_VALUE"""),"https://drive.google.com/file/d/16jeWCrE7AO_UDEe7e7alW4QHOsuvFwnV/view?usp=drivesdk")</f>
        <v>https://drive.google.com/file/d/16jeWCrE7AO_UDEe7e7alW4QHOsuvFwnV/view?usp=drivesdk</v>
      </c>
      <c r="C1139" s="159" t="str">
        <f>IFERROR(__xludf.DUMMYFUNCTION("""COMPUTED_VALUE"""),"10.3758--bf03206462.pdf")</f>
        <v>10.3758--bf03206462.pdf</v>
      </c>
      <c r="D1139" s="159" t="str">
        <f>IFERROR(__xludf.DUMMYFUNCTION("""COMPUTED_VALUE"""),"application/pdf")</f>
        <v>application/pdf</v>
      </c>
    </row>
    <row r="1140">
      <c r="A1140" s="159" t="str">
        <f>IFERROR(__xludf.DUMMYFUNCTION("""COMPUTED_VALUE"""),"10.1016/s0926-6410(02)00068-x")</f>
        <v>10.1016/s0926-6410(02)00068-x</v>
      </c>
      <c r="B1140" s="680" t="str">
        <f>IFERROR(__xludf.DUMMYFUNCTION("""COMPUTED_VALUE"""),"https://drive.google.com/file/d/17KOW6DnkEyn_l_a8fa5ND--4kSpBVYsG/view?usp=drivesdk")</f>
        <v>https://drive.google.com/file/d/17KOW6DnkEyn_l_a8fa5ND--4kSpBVYsG/view?usp=drivesdk</v>
      </c>
      <c r="C1140" s="159" t="str">
        <f>IFERROR(__xludf.DUMMYFUNCTION("""COMPUTED_VALUE"""),"10.1016--S0926-6410(02)00068-X.pdf")</f>
        <v>10.1016--S0926-6410(02)00068-X.pdf</v>
      </c>
      <c r="D1140" s="159" t="str">
        <f>IFERROR(__xludf.DUMMYFUNCTION("""COMPUTED_VALUE"""),"application/pdf")</f>
        <v>application/pdf</v>
      </c>
    </row>
    <row r="1141">
      <c r="A1141" s="159" t="str">
        <f>IFERROR(__xludf.DUMMYFUNCTION("""COMPUTED_VALUE"""),"10.1038/4600")</f>
        <v>10.1038/4600</v>
      </c>
      <c r="B1141" s="680" t="str">
        <f>IFERROR(__xludf.DUMMYFUNCTION("""COMPUTED_VALUE"""),"https://drive.google.com/file/d/1crXppj_Se6wfgmCYxKpUqaTE6iVzytcy/view?usp=drivesdk")</f>
        <v>https://drive.google.com/file/d/1crXppj_Se6wfgmCYxKpUqaTE6iVzytcy/view?usp=drivesdk</v>
      </c>
      <c r="C1141" s="159" t="str">
        <f>IFERROR(__xludf.DUMMYFUNCTION("""COMPUTED_VALUE"""),"10.1038--4600.pdf")</f>
        <v>10.1038--4600.pdf</v>
      </c>
      <c r="D1141" s="159" t="str">
        <f>IFERROR(__xludf.DUMMYFUNCTION("""COMPUTED_VALUE"""),"application/pdf")</f>
        <v>application/pdf</v>
      </c>
    </row>
    <row r="1142">
      <c r="A1142" s="159" t="str">
        <f>IFERROR(__xludf.DUMMYFUNCTION("""COMPUTED_VALUE"""),"10.1037/0022-3514.61.2.226")</f>
        <v>10.1037/0022-3514.61.2.226</v>
      </c>
      <c r="B1142" s="680" t="str">
        <f>IFERROR(__xludf.DUMMYFUNCTION("""COMPUTED_VALUE"""),"https://drive.google.com/file/d/1XjGCxNCS_Qrfviw5gVJTm9-fhlfhnMNp/view?usp=drivesdk")</f>
        <v>https://drive.google.com/file/d/1XjGCxNCS_Qrfviw5gVJTm9-fhlfhnMNp/view?usp=drivesdk</v>
      </c>
      <c r="C1142" s="159" t="str">
        <f>IFERROR(__xludf.DUMMYFUNCTION("""COMPUTED_VALUE"""),"10.1037--0022-3514.61.2.226.pdf")</f>
        <v>10.1037--0022-3514.61.2.226.pdf</v>
      </c>
      <c r="D1142" s="159" t="str">
        <f>IFERROR(__xludf.DUMMYFUNCTION("""COMPUTED_VALUE"""),"application/pdf")</f>
        <v>application/pdf</v>
      </c>
    </row>
    <row r="1143">
      <c r="A1143" s="159" t="str">
        <f>IFERROR(__xludf.DUMMYFUNCTION("""COMPUTED_VALUE"""),"10.3389/fpsyg.2015.01311")</f>
        <v>10.3389/fpsyg.2015.01311</v>
      </c>
      <c r="B1143" s="680" t="str">
        <f>IFERROR(__xludf.DUMMYFUNCTION("""COMPUTED_VALUE"""),"https://drive.google.com/file/d/1cQQSFE193cNSHxz7lNvmOP6Ik5q6z_D6/view?usp=drivesdk")</f>
        <v>https://drive.google.com/file/d/1cQQSFE193cNSHxz7lNvmOP6Ik5q6z_D6/view?usp=drivesdk</v>
      </c>
      <c r="C1143" s="159" t="str">
        <f>IFERROR(__xludf.DUMMYFUNCTION("""COMPUTED_VALUE"""),"10.3389--fpsyg.2015.01311.pdf")</f>
        <v>10.3389--fpsyg.2015.01311.pdf</v>
      </c>
      <c r="D1143" s="159" t="str">
        <f>IFERROR(__xludf.DUMMYFUNCTION("""COMPUTED_VALUE"""),"application/pdf")</f>
        <v>application/pdf</v>
      </c>
    </row>
    <row r="1144">
      <c r="A1144" s="159" t="str">
        <f>IFERROR(__xludf.DUMMYFUNCTION("""COMPUTED_VALUE"""),"10.1098/rstl.1824.0016")</f>
        <v>10.1098/rstl.1824.0016</v>
      </c>
      <c r="B1144" s="680" t="str">
        <f>IFERROR(__xludf.DUMMYFUNCTION("""COMPUTED_VALUE"""),"https://drive.google.com/file/d/1qGttIW2KGjC3SBLZXz-N2CqkyCqCDBVw/view?usp=drivesdk")</f>
        <v>https://drive.google.com/file/d/1qGttIW2KGjC3SBLZXz-N2CqkyCqCDBVw/view?usp=drivesdk</v>
      </c>
      <c r="C1144" s="159" t="str">
        <f>IFERROR(__xludf.DUMMYFUNCTION("""COMPUTED_VALUE"""),"10.1098--rstl.1824.0016.pdf")</f>
        <v>10.1098--rstl.1824.0016.pdf</v>
      </c>
      <c r="D1144" s="159" t="str">
        <f>IFERROR(__xludf.DUMMYFUNCTION("""COMPUTED_VALUE"""),"application/pdf")</f>
        <v>application/pdf</v>
      </c>
    </row>
    <row r="1145">
      <c r="A1145" s="159" t="str">
        <f>IFERROR(__xludf.DUMMYFUNCTION("""COMPUTED_VALUE"""),"10.1016/s0005-7967(99)00130-8")</f>
        <v>10.1016/s0005-7967(99)00130-8</v>
      </c>
      <c r="B1145" s="680" t="str">
        <f>IFERROR(__xludf.DUMMYFUNCTION("""COMPUTED_VALUE"""),"https://drive.google.com/file/d/1ruVWfjrff_H_DfXOgpfSBRkjv8wk0WMg/view?usp=drivesdk")</f>
        <v>https://drive.google.com/file/d/1ruVWfjrff_H_DfXOgpfSBRkjv8wk0WMg/view?usp=drivesdk</v>
      </c>
      <c r="C1145" s="159" t="str">
        <f>IFERROR(__xludf.DUMMYFUNCTION("""COMPUTED_VALUE"""),"10.1016--s0005-7967(99)00130-8.pdf")</f>
        <v>10.1016--s0005-7967(99)00130-8.pdf</v>
      </c>
      <c r="D1145" s="159" t="str">
        <f>IFERROR(__xludf.DUMMYFUNCTION("""COMPUTED_VALUE"""),"application/pdf")</f>
        <v>application/pdf</v>
      </c>
    </row>
    <row r="1146">
      <c r="A1146" s="159" t="str">
        <f>IFERROR(__xludf.DUMMYFUNCTION("""COMPUTED_VALUE"""),"10.1038/ng.3698")</f>
        <v>10.1038/ng.3698</v>
      </c>
      <c r="B1146" s="680" t="str">
        <f>IFERROR(__xludf.DUMMYFUNCTION("""COMPUTED_VALUE"""),"https://drive.google.com/file/d/1dGYOB34NEJuNyBs1vIB2Uku-65g4BkQt/view?usp=drivesdk")</f>
        <v>https://drive.google.com/file/d/1dGYOB34NEJuNyBs1vIB2Uku-65g4BkQt/view?usp=drivesdk</v>
      </c>
      <c r="C1146" s="159" t="str">
        <f>IFERROR(__xludf.DUMMYFUNCTION("""COMPUTED_VALUE"""),"10.1038--ng.3698.pdf")</f>
        <v>10.1038--ng.3698.pdf</v>
      </c>
      <c r="D1146" s="159" t="str">
        <f>IFERROR(__xludf.DUMMYFUNCTION("""COMPUTED_VALUE"""),"application/pdf")</f>
        <v>application/pdf</v>
      </c>
    </row>
    <row r="1147">
      <c r="A1147" s="159" t="str">
        <f>IFERROR(__xludf.DUMMYFUNCTION("""COMPUTED_VALUE"""),"10.1037/0278-7393.32.4.935")</f>
        <v>10.1037/0278-7393.32.4.935</v>
      </c>
      <c r="B1147" s="680" t="str">
        <f>IFERROR(__xludf.DUMMYFUNCTION("""COMPUTED_VALUE"""),"https://drive.google.com/file/d/1vadNfsWrki4ArFW08K47TxkquoK64dJU/view?usp=drivesdk")</f>
        <v>https://drive.google.com/file/d/1vadNfsWrki4ArFW08K47TxkquoK64dJU/view?usp=drivesdk</v>
      </c>
      <c r="C1147" s="159" t="str">
        <f>IFERROR(__xludf.DUMMYFUNCTION("""COMPUTED_VALUE"""),"10.1037--0278-7393.32.4.935.pdf")</f>
        <v>10.1037--0278-7393.32.4.935.pdf</v>
      </c>
      <c r="D1147" s="159" t="str">
        <f>IFERROR(__xludf.DUMMYFUNCTION("""COMPUTED_VALUE"""),"application/pdf")</f>
        <v>application/pdf</v>
      </c>
    </row>
    <row r="1148">
      <c r="A1148" s="159" t="str">
        <f>IFERROR(__xludf.DUMMYFUNCTION("""COMPUTED_VALUE"""),"10.1111/apps.12087")</f>
        <v>10.1111/apps.12087</v>
      </c>
      <c r="B1148" s="680" t="str">
        <f>IFERROR(__xludf.DUMMYFUNCTION("""COMPUTED_VALUE"""),"https://drive.google.com/file/d/1mOzkLmNERiEw01oa1MU1cWAnNNyStAiJ/view?usp=drivesdk")</f>
        <v>https://drive.google.com/file/d/1mOzkLmNERiEw01oa1MU1cWAnNNyStAiJ/view?usp=drivesdk</v>
      </c>
      <c r="C1148" s="159" t="str">
        <f>IFERROR(__xludf.DUMMYFUNCTION("""COMPUTED_VALUE"""),"10.1111--apps.12087.pdf")</f>
        <v>10.1111--apps.12087.pdf</v>
      </c>
      <c r="D1148" s="159" t="str">
        <f>IFERROR(__xludf.DUMMYFUNCTION("""COMPUTED_VALUE"""),"application/pdf")</f>
        <v>application/pdf</v>
      </c>
    </row>
    <row r="1149">
      <c r="A1149" s="159" t="str">
        <f>IFERROR(__xludf.DUMMYFUNCTION("""COMPUTED_VALUE"""),"10.1016/0163-6383(91)90059-2")</f>
        <v>10.1016/0163-6383(91)90059-2</v>
      </c>
      <c r="B1149" s="680" t="str">
        <f>IFERROR(__xludf.DUMMYFUNCTION("""COMPUTED_VALUE"""),"https://drive.google.com/file/d/1qnQiM7kFMXwYbP2TJAp3_kCcCqvEjKr-/view?usp=drivesdk")</f>
        <v>https://drive.google.com/file/d/1qnQiM7kFMXwYbP2TJAp3_kCcCqvEjKr-/view?usp=drivesdk</v>
      </c>
      <c r="C1149" s="159" t="str">
        <f>IFERROR(__xludf.DUMMYFUNCTION("""COMPUTED_VALUE"""),"10.1016--0163-6383(91)90059-2.pdf")</f>
        <v>10.1016--0163-6383(91)90059-2.pdf</v>
      </c>
      <c r="D1149" s="159" t="str">
        <f>IFERROR(__xludf.DUMMYFUNCTION("""COMPUTED_VALUE"""),"application/pdf")</f>
        <v>application/pdf</v>
      </c>
    </row>
    <row r="1150">
      <c r="A1150" s="159" t="str">
        <f>IFERROR(__xludf.DUMMYFUNCTION("""COMPUTED_VALUE"""),"10.1111/1467-9280.03432")</f>
        <v>10.1111/1467-9280.03432</v>
      </c>
      <c r="B1150" s="680" t="str">
        <f>IFERROR(__xludf.DUMMYFUNCTION("""COMPUTED_VALUE"""),"https://drive.google.com/file/d/1UEXi-T2t0RdRKECqQyaRCiaq-UXwCJiC/view?usp=drivesdk")</f>
        <v>https://drive.google.com/file/d/1UEXi-T2t0RdRKECqQyaRCiaq-UXwCJiC/view?usp=drivesdk</v>
      </c>
      <c r="C1150" s="159" t="str">
        <f>IFERROR(__xludf.DUMMYFUNCTION("""COMPUTED_VALUE"""),"10.1111--1467-9280.03432.pdf")</f>
        <v>10.1111--1467-9280.03432.pdf</v>
      </c>
      <c r="D1150" s="159" t="str">
        <f>IFERROR(__xludf.DUMMYFUNCTION("""COMPUTED_VALUE"""),"application/pdf")</f>
        <v>application/pdf</v>
      </c>
    </row>
    <row r="1151">
      <c r="A1151" s="159" t="str">
        <f>IFERROR(__xludf.DUMMYFUNCTION("""COMPUTED_VALUE"""),"10.1007/s12160-009-9105-8")</f>
        <v>10.1007/s12160-009-9105-8</v>
      </c>
      <c r="B1151" s="680" t="str">
        <f>IFERROR(__xludf.DUMMYFUNCTION("""COMPUTED_VALUE"""),"https://drive.google.com/file/d/1w0IU_kNe8U18EzEhF64mMZHAkk4IC1X5/view?usp=drivesdk")</f>
        <v>https://drive.google.com/file/d/1w0IU_kNe8U18EzEhF64mMZHAkk4IC1X5/view?usp=drivesdk</v>
      </c>
      <c r="C1151" s="159" t="str">
        <f>IFERROR(__xludf.DUMMYFUNCTION("""COMPUTED_VALUE"""),"10.1007--s12160-009-9105-8.pdf")</f>
        <v>10.1007--s12160-009-9105-8.pdf</v>
      </c>
      <c r="D1151" s="159" t="str">
        <f>IFERROR(__xludf.DUMMYFUNCTION("""COMPUTED_VALUE"""),"application/pdf")</f>
        <v>application/pdf</v>
      </c>
    </row>
    <row r="1152">
      <c r="A1152" s="159" t="str">
        <f>IFERROR(__xludf.DUMMYFUNCTION("""COMPUTED_VALUE"""),"10.3758/s13423-013-0531-z")</f>
        <v>10.3758/s13423-013-0531-z</v>
      </c>
      <c r="B1152" s="680" t="str">
        <f>IFERROR(__xludf.DUMMYFUNCTION("""COMPUTED_VALUE"""),"https://drive.google.com/file/d/1_T2Mj56V6qmxm9CR0TYRyRQDmxxgQQ6o/view?usp=drivesdk")</f>
        <v>https://drive.google.com/file/d/1_T2Mj56V6qmxm9CR0TYRyRQDmxxgQQ6o/view?usp=drivesdk</v>
      </c>
      <c r="C1152" s="159" t="str">
        <f>IFERROR(__xludf.DUMMYFUNCTION("""COMPUTED_VALUE"""),"10.3758--s13423-013-0531-z.pdf")</f>
        <v>10.3758--s13423-013-0531-z.pdf</v>
      </c>
      <c r="D1152" s="159" t="str">
        <f>IFERROR(__xludf.DUMMYFUNCTION("""COMPUTED_VALUE"""),"application/pdf")</f>
        <v>application/pdf</v>
      </c>
    </row>
    <row r="1153">
      <c r="A1153" s="159" t="str">
        <f>IFERROR(__xludf.DUMMYFUNCTION("""COMPUTED_VALUE"""),"10.1080/713755604")</f>
        <v>10.1080/713755604</v>
      </c>
      <c r="B1153" s="680" t="str">
        <f>IFERROR(__xludf.DUMMYFUNCTION("""COMPUTED_VALUE"""),"https://drive.google.com/file/d/13M2wvNnqLsmGIaIfTlBUWKDzXDBZoOym/view?usp=drivesdk")</f>
        <v>https://drive.google.com/file/d/13M2wvNnqLsmGIaIfTlBUWKDzXDBZoOym/view?usp=drivesdk</v>
      </c>
      <c r="C1153" s="159" t="str">
        <f>IFERROR(__xludf.DUMMYFUNCTION("""COMPUTED_VALUE"""),"10.1080--713755604.pdf")</f>
        <v>10.1080--713755604.pdf</v>
      </c>
      <c r="D1153" s="159" t="str">
        <f>IFERROR(__xludf.DUMMYFUNCTION("""COMPUTED_VALUE"""),"application/pdf")</f>
        <v>application/pdf</v>
      </c>
    </row>
    <row r="1154">
      <c r="A1154" s="159" t="str">
        <f>IFERROR(__xludf.DUMMYFUNCTION("""COMPUTED_VALUE"""),"10.1093/geronb/gbp041")</f>
        <v>10.1093/geronb/gbp041</v>
      </c>
      <c r="B1154" s="680" t="str">
        <f>IFERROR(__xludf.DUMMYFUNCTION("""COMPUTED_VALUE"""),"https://drive.google.com/file/d/1WHTsvI8cXTsHTMzEARtyQibIRkXP6qPR/view?usp=drivesdk")</f>
        <v>https://drive.google.com/file/d/1WHTsvI8cXTsHTMzEARtyQibIRkXP6qPR/view?usp=drivesdk</v>
      </c>
      <c r="C1154" s="159" t="str">
        <f>IFERROR(__xludf.DUMMYFUNCTION("""COMPUTED_VALUE"""),"10.1093--geronb--gbp041.pdf")</f>
        <v>10.1093--geronb--gbp041.pdf</v>
      </c>
      <c r="D1154" s="159" t="str">
        <f>IFERROR(__xludf.DUMMYFUNCTION("""COMPUTED_VALUE"""),"application/pdf")</f>
        <v>application/pdf</v>
      </c>
    </row>
    <row r="1155">
      <c r="A1155" s="159" t="str">
        <f>IFERROR(__xludf.DUMMYFUNCTION("""COMPUTED_VALUE"""),"10.1348/000712608x386810")</f>
        <v>10.1348/000712608x386810</v>
      </c>
      <c r="B1155" s="680" t="str">
        <f>IFERROR(__xludf.DUMMYFUNCTION("""COMPUTED_VALUE"""),"https://drive.google.com/file/d/1n1-6IIrMR1Ro9OHDYaG2T252mQaAxD4l/view?usp=drivesdk")</f>
        <v>https://drive.google.com/file/d/1n1-6IIrMR1Ro9OHDYaG2T252mQaAxD4l/view?usp=drivesdk</v>
      </c>
      <c r="C1155" s="159" t="str">
        <f>IFERROR(__xludf.DUMMYFUNCTION("""COMPUTED_VALUE"""),"10.1348--000712608X386810.pdf")</f>
        <v>10.1348--000712608X386810.pdf</v>
      </c>
      <c r="D1155" s="159" t="str">
        <f>IFERROR(__xludf.DUMMYFUNCTION("""COMPUTED_VALUE"""),"application/pdf")</f>
        <v>application/pdf</v>
      </c>
    </row>
    <row r="1156">
      <c r="A1156" s="159" t="str">
        <f>IFERROR(__xludf.DUMMYFUNCTION("""COMPUTED_VALUE"""),"10.1016/0022-1031(82)90083-x")</f>
        <v>10.1016/0022-1031(82)90083-x</v>
      </c>
      <c r="B1156" s="680" t="str">
        <f>IFERROR(__xludf.DUMMYFUNCTION("""COMPUTED_VALUE"""),"https://drive.google.com/file/d/1SO2NgOMKNAEqNm3qpHy0seNyhM-OCyRn/view?usp=drivesdk")</f>
        <v>https://drive.google.com/file/d/1SO2NgOMKNAEqNm3qpHy0seNyhM-OCyRn/view?usp=drivesdk</v>
      </c>
      <c r="C1156" s="159" t="str">
        <f>IFERROR(__xludf.DUMMYFUNCTION("""COMPUTED_VALUE"""),"10.1016--0022-1031(82)90083-X.pdf")</f>
        <v>10.1016--0022-1031(82)90083-X.pdf</v>
      </c>
      <c r="D1156" s="159" t="str">
        <f>IFERROR(__xludf.DUMMYFUNCTION("""COMPUTED_VALUE"""),"application/pdf")</f>
        <v>application/pdf</v>
      </c>
    </row>
    <row r="1157">
      <c r="A1157" s="159" t="str">
        <f>IFERROR(__xludf.DUMMYFUNCTION("""COMPUTED_VALUE"""),"10.1038/87490")</f>
        <v>10.1038/87490</v>
      </c>
      <c r="B1157" s="680" t="str">
        <f>IFERROR(__xludf.DUMMYFUNCTION("""COMPUTED_VALUE"""),"https://drive.google.com/file/d/1nkNVboN9bTFC6MiGQ5olQygyRQ-tqNPO/view?usp=drivesdk")</f>
        <v>https://drive.google.com/file/d/1nkNVboN9bTFC6MiGQ5olQygyRQ-tqNPO/view?usp=drivesdk</v>
      </c>
      <c r="C1157" s="159" t="str">
        <f>IFERROR(__xludf.DUMMYFUNCTION("""COMPUTED_VALUE"""),"10.1038--87490.pdf")</f>
        <v>10.1038--87490.pdf</v>
      </c>
      <c r="D1157" s="159" t="str">
        <f>IFERROR(__xludf.DUMMYFUNCTION("""COMPUTED_VALUE"""),"application/pdf")</f>
        <v>application/pdf</v>
      </c>
    </row>
    <row r="1158">
      <c r="A1158" s="159" t="str">
        <f>IFERROR(__xludf.DUMMYFUNCTION("""COMPUTED_VALUE"""),"10.1080/13803390701550110")</f>
        <v>10.1080/13803390701550110</v>
      </c>
      <c r="B1158" s="680" t="str">
        <f>IFERROR(__xludf.DUMMYFUNCTION("""COMPUTED_VALUE"""),"https://drive.google.com/file/d/1sigMeAZiOAXFjIsNrKvpBxuAh_CbDGu3/view?usp=drivesdk")</f>
        <v>https://drive.google.com/file/d/1sigMeAZiOAXFjIsNrKvpBxuAh_CbDGu3/view?usp=drivesdk</v>
      </c>
      <c r="C1158" s="159" t="str">
        <f>IFERROR(__xludf.DUMMYFUNCTION("""COMPUTED_VALUE"""),"10.1080--13803390701550110.pdf")</f>
        <v>10.1080--13803390701550110.pdf</v>
      </c>
      <c r="D1158" s="159" t="str">
        <f>IFERROR(__xludf.DUMMYFUNCTION("""COMPUTED_VALUE"""),"application/pdf")</f>
        <v>application/pdf</v>
      </c>
    </row>
    <row r="1159">
      <c r="A1159" s="159" t="str">
        <f>IFERROR(__xludf.DUMMYFUNCTION("""COMPUTED_VALUE"""),"10.1080/09658211.2015.1019890")</f>
        <v>10.1080/09658211.2015.1019890</v>
      </c>
      <c r="B1159" s="680" t="str">
        <f>IFERROR(__xludf.DUMMYFUNCTION("""COMPUTED_VALUE"""),"https://drive.google.com/file/d/1K1WaixSpclO_JCGx4Upc_1N4qwCDS3ZM/view?usp=drivesdk")</f>
        <v>https://drive.google.com/file/d/1K1WaixSpclO_JCGx4Upc_1N4qwCDS3ZM/view?usp=drivesdk</v>
      </c>
      <c r="C1159" s="159" t="str">
        <f>IFERROR(__xludf.DUMMYFUNCTION("""COMPUTED_VALUE"""),"10.1080--09658211.2015.1019890.pdf")</f>
        <v>10.1080--09658211.2015.1019890.pdf</v>
      </c>
      <c r="D1159" s="159" t="str">
        <f>IFERROR(__xludf.DUMMYFUNCTION("""COMPUTED_VALUE"""),"application/pdf")</f>
        <v>application/pdf</v>
      </c>
    </row>
    <row r="1160">
      <c r="A1160" s="159" t="str">
        <f>IFERROR(__xludf.DUMMYFUNCTION("""COMPUTED_VALUE"""),"10.1016/0010-0285(82)90005-6")</f>
        <v>10.1016/0010-0285(82)90005-6</v>
      </c>
      <c r="B1160" s="680" t="str">
        <f>IFERROR(__xludf.DUMMYFUNCTION("""COMPUTED_VALUE"""),"https://drive.google.com/file/d/1qkc9JQ29jHCDBeBixkt3JV0SvVijPHtf/view?usp=drivesdk")</f>
        <v>https://drive.google.com/file/d/1qkc9JQ29jHCDBeBixkt3JV0SvVijPHtf/view?usp=drivesdk</v>
      </c>
      <c r="C1160" s="159" t="str">
        <f>IFERROR(__xludf.DUMMYFUNCTION("""COMPUTED_VALUE"""),"10.1016--0010-0285(82)90005-6.pdf")</f>
        <v>10.1016--0010-0285(82)90005-6.pdf</v>
      </c>
      <c r="D1160" s="159" t="str">
        <f>IFERROR(__xludf.DUMMYFUNCTION("""COMPUTED_VALUE"""),"application/pdf")</f>
        <v>application/pdf</v>
      </c>
    </row>
    <row r="1161">
      <c r="A1161" s="159" t="str">
        <f>IFERROR(__xludf.DUMMYFUNCTION("""COMPUTED_VALUE"""),"10.1016/j.jml.2014.05.003")</f>
        <v>10.1016/j.jml.2014.05.003</v>
      </c>
      <c r="B1161" s="680" t="str">
        <f>IFERROR(__xludf.DUMMYFUNCTION("""COMPUTED_VALUE"""),"https://drive.google.com/file/d/1DqQftbza8azYmIDM9NPZMklghUGJscys/view?usp=drivesdk")</f>
        <v>https://drive.google.com/file/d/1DqQftbza8azYmIDM9NPZMklghUGJscys/view?usp=drivesdk</v>
      </c>
      <c r="C1161" s="159" t="str">
        <f>IFERROR(__xludf.DUMMYFUNCTION("""COMPUTED_VALUE"""),"10.1016--j.jml.2014.05.003.pdf")</f>
        <v>10.1016--j.jml.2014.05.003.pdf</v>
      </c>
      <c r="D1161" s="159" t="str">
        <f>IFERROR(__xludf.DUMMYFUNCTION("""COMPUTED_VALUE"""),"application/pdf")</f>
        <v>application/pdf</v>
      </c>
    </row>
    <row r="1162">
      <c r="A1162" s="159" t="str">
        <f>IFERROR(__xludf.DUMMYFUNCTION("""COMPUTED_VALUE"""),"10.1111/bjso.12231")</f>
        <v>10.1111/bjso.12231</v>
      </c>
      <c r="B1162" s="680" t="str">
        <f>IFERROR(__xludf.DUMMYFUNCTION("""COMPUTED_VALUE"""),"https://drive.google.com/file/d/1by0UW5BJHCUfVKRFiok9qpkQTl_xBS3X/view?usp=drivesdk")</f>
        <v>https://drive.google.com/file/d/1by0UW5BJHCUfVKRFiok9qpkQTl_xBS3X/view?usp=drivesdk</v>
      </c>
      <c r="C1162" s="159" t="str">
        <f>IFERROR(__xludf.DUMMYFUNCTION("""COMPUTED_VALUE"""),"10.1111--bjso.12231.pdf")</f>
        <v>10.1111--bjso.12231.pdf</v>
      </c>
      <c r="D1162" s="159" t="str">
        <f>IFERROR(__xludf.DUMMYFUNCTION("""COMPUTED_VALUE"""),"application/pdf")</f>
        <v>application/pdf</v>
      </c>
    </row>
    <row r="1163">
      <c r="A1163" s="159" t="str">
        <f>IFERROR(__xludf.DUMMYFUNCTION("""COMPUTED_VALUE"""),"10.1016/0001-6918(91)90028-x")</f>
        <v>10.1016/0001-6918(91)90028-x</v>
      </c>
      <c r="B1163" s="680" t="str">
        <f>IFERROR(__xludf.DUMMYFUNCTION("""COMPUTED_VALUE"""),"https://drive.google.com/file/d/10nt7oOcfXcuML9cN0iVRkjJVV6jijpFw/view?usp=drivesdk")</f>
        <v>https://drive.google.com/file/d/10nt7oOcfXcuML9cN0iVRkjJVV6jijpFw/view?usp=drivesdk</v>
      </c>
      <c r="C1163" s="159" t="str">
        <f>IFERROR(__xludf.DUMMYFUNCTION("""COMPUTED_VALUE"""),"10.1016--0001-6918(91)90028-X.pdf")</f>
        <v>10.1016--0001-6918(91)90028-X.pdf</v>
      </c>
      <c r="D1163" s="159" t="str">
        <f>IFERROR(__xludf.DUMMYFUNCTION("""COMPUTED_VALUE"""),"application/pdf")</f>
        <v>application/pdf</v>
      </c>
    </row>
    <row r="1164">
      <c r="A1164" s="159" t="str">
        <f>IFERROR(__xludf.DUMMYFUNCTION("""COMPUTED_VALUE"""),"10.1037/xhp0000084")</f>
        <v>10.1037/xhp0000084</v>
      </c>
      <c r="B1164" s="680" t="str">
        <f>IFERROR(__xludf.DUMMYFUNCTION("""COMPUTED_VALUE"""),"https://drive.google.com/file/d/1I22saxpbc1EHGecBqpT-fXSJhkjweNTY/view?usp=drivesdk")</f>
        <v>https://drive.google.com/file/d/1I22saxpbc1EHGecBqpT-fXSJhkjweNTY/view?usp=drivesdk</v>
      </c>
      <c r="C1164" s="159" t="str">
        <f>IFERROR(__xludf.DUMMYFUNCTION("""COMPUTED_VALUE"""),"10.1037--xhp0000084.pdf")</f>
        <v>10.1037--xhp0000084.pdf</v>
      </c>
      <c r="D1164" s="159" t="str">
        <f>IFERROR(__xludf.DUMMYFUNCTION("""COMPUTED_VALUE"""),"application/pdf")</f>
        <v>application/pdf</v>
      </c>
    </row>
    <row r="1165">
      <c r="A1165" s="159" t="str">
        <f>IFERROR(__xludf.DUMMYFUNCTION("""COMPUTED_VALUE"""),"10.1016/j.neurobiolaging.2016.06.011")</f>
        <v>10.1016/j.neurobiolaging.2016.06.011</v>
      </c>
      <c r="B1165" s="680" t="str">
        <f>IFERROR(__xludf.DUMMYFUNCTION("""COMPUTED_VALUE"""),"https://drive.google.com/file/d/1OXTMiHbkgJLp_KK1zFuYZ0jHT5c4tMmJ/view?usp=drivesdk")</f>
        <v>https://drive.google.com/file/d/1OXTMiHbkgJLp_KK1zFuYZ0jHT5c4tMmJ/view?usp=drivesdk</v>
      </c>
      <c r="C1165" s="159" t="str">
        <f>IFERROR(__xludf.DUMMYFUNCTION("""COMPUTED_VALUE"""),"10.1016--j.neurobiolaging.2016.06.011.pdf")</f>
        <v>10.1016--j.neurobiolaging.2016.06.011.pdf</v>
      </c>
      <c r="D1165" s="159" t="str">
        <f>IFERROR(__xludf.DUMMYFUNCTION("""COMPUTED_VALUE"""),"application/pdf")</f>
        <v>application/pdf</v>
      </c>
    </row>
    <row r="1166">
      <c r="A1166" s="159" t="str">
        <f>IFERROR(__xludf.DUMMYFUNCTION("""COMPUTED_VALUE"""),"10.1037/a0014747")</f>
        <v>10.1037/a0014747</v>
      </c>
      <c r="B1166" s="680" t="str">
        <f>IFERROR(__xludf.DUMMYFUNCTION("""COMPUTED_VALUE"""),"https://drive.google.com/file/d/1_TP0Wa0yXbq86Xa2Y4btjURi-Y9mFjR_/view?usp=drivesdk")</f>
        <v>https://drive.google.com/file/d/1_TP0Wa0yXbq86Xa2Y4btjURi-Y9mFjR_/view?usp=drivesdk</v>
      </c>
      <c r="C1166" s="159" t="str">
        <f>IFERROR(__xludf.DUMMYFUNCTION("""COMPUTED_VALUE"""),"10.1037--a0014747.pdf")</f>
        <v>10.1037--a0014747.pdf</v>
      </c>
      <c r="D1166" s="159" t="str">
        <f>IFERROR(__xludf.DUMMYFUNCTION("""COMPUTED_VALUE"""),"application/pdf")</f>
        <v>application/pdf</v>
      </c>
    </row>
    <row r="1167">
      <c r="A1167" s="159" t="str">
        <f>IFERROR(__xludf.DUMMYFUNCTION("""COMPUTED_VALUE"""),"10.1037/a0017400")</f>
        <v>10.1037/a0017400</v>
      </c>
      <c r="B1167" s="680" t="str">
        <f>IFERROR(__xludf.DUMMYFUNCTION("""COMPUTED_VALUE"""),"https://drive.google.com/file/d/1uEj_Q_UT0YXivXf3SOQHbic6SSKOP5Wo/view?usp=drivesdk")</f>
        <v>https://drive.google.com/file/d/1uEj_Q_UT0YXivXf3SOQHbic6SSKOP5Wo/view?usp=drivesdk</v>
      </c>
      <c r="C1167" s="159" t="str">
        <f>IFERROR(__xludf.DUMMYFUNCTION("""COMPUTED_VALUE"""),"10.1037--a0017400.pdf")</f>
        <v>10.1037--a0017400.pdf</v>
      </c>
      <c r="D1167" s="159" t="str">
        <f>IFERROR(__xludf.DUMMYFUNCTION("""COMPUTED_VALUE"""),"application/pdf")</f>
        <v>application/pdf</v>
      </c>
    </row>
    <row r="1168">
      <c r="A1168" s="159" t="str">
        <f>IFERROR(__xludf.DUMMYFUNCTION("""COMPUTED_VALUE"""),"10.1207/s15327752jpa8701_10")</f>
        <v>10.1207/s15327752jpa8701_10</v>
      </c>
      <c r="B1168" s="680" t="str">
        <f>IFERROR(__xludf.DUMMYFUNCTION("""COMPUTED_VALUE"""),"https://drive.google.com/file/d/1dm4HHoXNo8_SdBZJx-lq8iR_0SiURHVb/view?usp=drivesdk")</f>
        <v>https://drive.google.com/file/d/1dm4HHoXNo8_SdBZJx-lq8iR_0SiURHVb/view?usp=drivesdk</v>
      </c>
      <c r="C1168" s="159" t="str">
        <f>IFERROR(__xludf.DUMMYFUNCTION("""COMPUTED_VALUE"""),"10.1207--s15327752jpa8701_10.pdf")</f>
        <v>10.1207--s15327752jpa8701_10.pdf</v>
      </c>
      <c r="D1168" s="159" t="str">
        <f>IFERROR(__xludf.DUMMYFUNCTION("""COMPUTED_VALUE"""),"application/pdf")</f>
        <v>application/pdf</v>
      </c>
    </row>
    <row r="1169">
      <c r="A1169" s="159" t="str">
        <f>IFERROR(__xludf.DUMMYFUNCTION("""COMPUTED_VALUE"""),"10.1016/j.neulet.2009.06.030")</f>
        <v>10.1016/j.neulet.2009.06.030</v>
      </c>
      <c r="B1169" s="680" t="str">
        <f>IFERROR(__xludf.DUMMYFUNCTION("""COMPUTED_VALUE"""),"https://drive.google.com/file/d/1hmdhIHSa7EL6Z9nObEoIfsJkwqlb-ff4/view?usp=drivesdk")</f>
        <v>https://drive.google.com/file/d/1hmdhIHSa7EL6Z9nObEoIfsJkwqlb-ff4/view?usp=drivesdk</v>
      </c>
      <c r="C1169" s="159" t="str">
        <f>IFERROR(__xludf.DUMMYFUNCTION("""COMPUTED_VALUE"""),"10.1016--j.neulet.2009.06.030.pdf")</f>
        <v>10.1016--j.neulet.2009.06.030.pdf</v>
      </c>
      <c r="D1169" s="159" t="str">
        <f>IFERROR(__xludf.DUMMYFUNCTION("""COMPUTED_VALUE"""),"application/pdf")</f>
        <v>application/pdf</v>
      </c>
    </row>
    <row r="1170">
      <c r="A1170" s="159" t="str">
        <f>IFERROR(__xludf.DUMMYFUNCTION("""COMPUTED_VALUE"""),"10.1037/0021-9010.93.3.513")</f>
        <v>10.1037/0021-9010.93.3.513</v>
      </c>
      <c r="B1170" s="680" t="str">
        <f>IFERROR(__xludf.DUMMYFUNCTION("""COMPUTED_VALUE"""),"https://drive.google.com/file/d/11pMvJ_CVfDeFL9ZeNZJUUEduMVPAFsyi/view?usp=drivesdk")</f>
        <v>https://drive.google.com/file/d/11pMvJ_CVfDeFL9ZeNZJUUEduMVPAFsyi/view?usp=drivesdk</v>
      </c>
      <c r="C1170" s="159" t="str">
        <f>IFERROR(__xludf.DUMMYFUNCTION("""COMPUTED_VALUE"""),"10.1037--0021-9010.93.3.513.pdf")</f>
        <v>10.1037--0021-9010.93.3.513.pdf</v>
      </c>
      <c r="D1170" s="159" t="str">
        <f>IFERROR(__xludf.DUMMYFUNCTION("""COMPUTED_VALUE"""),"application/pdf")</f>
        <v>application/pdf</v>
      </c>
    </row>
    <row r="1171">
      <c r="A1171" s="159" t="str">
        <f>IFERROR(__xludf.DUMMYFUNCTION("""COMPUTED_VALUE"""),"10.1016/s0960-9822(00)00672-2")</f>
        <v>10.1016/s0960-9822(00)00672-2</v>
      </c>
      <c r="B1171" s="680" t="str">
        <f>IFERROR(__xludf.DUMMYFUNCTION("""COMPUTED_VALUE"""),"https://drive.google.com/file/d/1K0eJKcnQRt66lAmIESx0PMwKg8V3iAfG/view?usp=drivesdk")</f>
        <v>https://drive.google.com/file/d/1K0eJKcnQRt66lAmIESx0PMwKg8V3iAfG/view?usp=drivesdk</v>
      </c>
      <c r="C1171" s="159" t="str">
        <f>IFERROR(__xludf.DUMMYFUNCTION("""COMPUTED_VALUE"""),"10.1016--S0960-9822(00)00672-2.pdf")</f>
        <v>10.1016--S0960-9822(00)00672-2.pdf</v>
      </c>
      <c r="D1171" s="159" t="str">
        <f>IFERROR(__xludf.DUMMYFUNCTION("""COMPUTED_VALUE"""),"application/pdf")</f>
        <v>application/pdf</v>
      </c>
    </row>
    <row r="1172">
      <c r="A1172" s="159" t="str">
        <f>IFERROR(__xludf.DUMMYFUNCTION("""COMPUTED_VALUE"""),"10.1080/14640748808402300")</f>
        <v>10.1080/14640748808402300</v>
      </c>
      <c r="B1172" s="680" t="str">
        <f>IFERROR(__xludf.DUMMYFUNCTION("""COMPUTED_VALUE"""),"https://drive.google.com/file/d/1n6o1Qp7PKqqbb7iGxwiWf9eTzY31KZxU/view?usp=drivesdk")</f>
        <v>https://drive.google.com/file/d/1n6o1Qp7PKqqbb7iGxwiWf9eTzY31KZxU/view?usp=drivesdk</v>
      </c>
      <c r="C1172" s="159" t="str">
        <f>IFERROR(__xludf.DUMMYFUNCTION("""COMPUTED_VALUE"""),"10.1080--14640748808402300.pdf")</f>
        <v>10.1080--14640748808402300.pdf</v>
      </c>
      <c r="D1172" s="159" t="str">
        <f>IFERROR(__xludf.DUMMYFUNCTION("""COMPUTED_VALUE"""),"application/pdf")</f>
        <v>application/pdf</v>
      </c>
    </row>
    <row r="1173">
      <c r="A1173" s="159" t="str">
        <f>IFERROR(__xludf.DUMMYFUNCTION("""COMPUTED_VALUE"""),"10.3758/s13421-010-0023-6")</f>
        <v>10.3758/s13421-010-0023-6</v>
      </c>
      <c r="B1173" s="680" t="str">
        <f>IFERROR(__xludf.DUMMYFUNCTION("""COMPUTED_VALUE"""),"https://drive.google.com/file/d/18ac5266QZEasrJychSNi7jb-OpL3x40W/view?usp=drivesdk")</f>
        <v>https://drive.google.com/file/d/18ac5266QZEasrJychSNi7jb-OpL3x40W/view?usp=drivesdk</v>
      </c>
      <c r="C1173" s="159" t="str">
        <f>IFERROR(__xludf.DUMMYFUNCTION("""COMPUTED_VALUE"""),"10.3758--s13421-010-0023-6.pdf")</f>
        <v>10.3758--s13421-010-0023-6.pdf</v>
      </c>
      <c r="D1173" s="159" t="str">
        <f>IFERROR(__xludf.DUMMYFUNCTION("""COMPUTED_VALUE"""),"application/pdf")</f>
        <v>application/pdf</v>
      </c>
    </row>
    <row r="1174">
      <c r="A1174" s="159" t="str">
        <f>IFERROR(__xludf.DUMMYFUNCTION("""COMPUTED_VALUE"""),"10.1111/j.1467-8624.2010.01512.x")</f>
        <v>10.1111/j.1467-8624.2010.01512.x</v>
      </c>
      <c r="B1174" s="680" t="str">
        <f>IFERROR(__xludf.DUMMYFUNCTION("""COMPUTED_VALUE"""),"https://drive.google.com/file/d/1Sefz-Q7mz41kQmRmnDvSwg5gqIK0WBnG/view?usp=drivesdk")</f>
        <v>https://drive.google.com/file/d/1Sefz-Q7mz41kQmRmnDvSwg5gqIK0WBnG/view?usp=drivesdk</v>
      </c>
      <c r="C1174" s="159" t="str">
        <f>IFERROR(__xludf.DUMMYFUNCTION("""COMPUTED_VALUE"""),"10.1111--j.1467-8624.2010.01512.x.pdf")</f>
        <v>10.1111--j.1467-8624.2010.01512.x.pdf</v>
      </c>
      <c r="D1174" s="159" t="str">
        <f>IFERROR(__xludf.DUMMYFUNCTION("""COMPUTED_VALUE"""),"application/pdf")</f>
        <v>application/pdf</v>
      </c>
    </row>
    <row r="1175">
      <c r="A1175" s="159" t="str">
        <f>IFERROR(__xludf.DUMMYFUNCTION("""COMPUTED_VALUE"""),"10.1016/j.paid.2010.09.021.")</f>
        <v>10.1016/j.paid.2010.09.021.</v>
      </c>
      <c r="B1175" s="680" t="str">
        <f>IFERROR(__xludf.DUMMYFUNCTION("""COMPUTED_VALUE"""),"https://drive.google.com/file/d/1jbq11eIFm8vAYC4_yXfmwl9MB3vGb54_/view?usp=drivesdk")</f>
        <v>https://drive.google.com/file/d/1jbq11eIFm8vAYC4_yXfmwl9MB3vGb54_/view?usp=drivesdk</v>
      </c>
      <c r="C1175" s="159" t="str">
        <f>IFERROR(__xludf.DUMMYFUNCTION("""COMPUTED_VALUE"""),"10.1016--j.paid.2010.09.021..pdf")</f>
        <v>10.1016--j.paid.2010.09.021..pdf</v>
      </c>
      <c r="D1175" s="159" t="str">
        <f>IFERROR(__xludf.DUMMYFUNCTION("""COMPUTED_VALUE"""),"application/pdf")</f>
        <v>application/pdf</v>
      </c>
    </row>
    <row r="1176">
      <c r="A1176" s="159" t="str">
        <f>IFERROR(__xludf.DUMMYFUNCTION("""COMPUTED_VALUE"""),"10.1016/j.lingua.2013.05.004")</f>
        <v>10.1016/j.lingua.2013.05.004</v>
      </c>
      <c r="B1176" s="680" t="str">
        <f>IFERROR(__xludf.DUMMYFUNCTION("""COMPUTED_VALUE"""),"https://drive.google.com/file/d/19jcT2kBbSLBsA8f-ZU3m1rUwFWGPTEWO/view?usp=drivesdk")</f>
        <v>https://drive.google.com/file/d/19jcT2kBbSLBsA8f-ZU3m1rUwFWGPTEWO/view?usp=drivesdk</v>
      </c>
      <c r="C1176" s="159" t="str">
        <f>IFERROR(__xludf.DUMMYFUNCTION("""COMPUTED_VALUE"""),"10.1016--j.lingua.2013.05.004.pdf")</f>
        <v>10.1016--j.lingua.2013.05.004.pdf</v>
      </c>
      <c r="D1176" s="159" t="str">
        <f>IFERROR(__xludf.DUMMYFUNCTION("""COMPUTED_VALUE"""),"application/pdf")</f>
        <v>application/pdf</v>
      </c>
    </row>
    <row r="1177">
      <c r="A1177" s="159" t="str">
        <f>IFERROR(__xludf.DUMMYFUNCTION("""COMPUTED_VALUE"""),"10.1080/17470218.2013.859714")</f>
        <v>10.1080/17470218.2013.859714</v>
      </c>
      <c r="B1177" s="680" t="str">
        <f>IFERROR(__xludf.DUMMYFUNCTION("""COMPUTED_VALUE"""),"https://drive.google.com/file/d/1qpys0s9nBCJzlrBNa7f6gyySvyXL7MXJ/view?usp=drivesdk")</f>
        <v>https://drive.google.com/file/d/1qpys0s9nBCJzlrBNa7f6gyySvyXL7MXJ/view?usp=drivesdk</v>
      </c>
      <c r="C1177" s="159" t="str">
        <f>IFERROR(__xludf.DUMMYFUNCTION("""COMPUTED_VALUE"""),"10.1080--17470218.2013.859714.pdf")</f>
        <v>10.1080--17470218.2013.859714.pdf</v>
      </c>
      <c r="D1177" s="159" t="str">
        <f>IFERROR(__xludf.DUMMYFUNCTION("""COMPUTED_VALUE"""),"application/pdf")</f>
        <v>application/pdf</v>
      </c>
    </row>
    <row r="1178">
      <c r="A1178" s="159" t="str">
        <f>IFERROR(__xludf.DUMMYFUNCTION("""COMPUTED_VALUE"""),"10.1121/1.3629144")</f>
        <v>10.1121/1.3629144</v>
      </c>
      <c r="B1178" s="680" t="str">
        <f>IFERROR(__xludf.DUMMYFUNCTION("""COMPUTED_VALUE"""),"https://drive.google.com/file/d/1MvZu5qo0pPQcoL6SAizgSBHhn4-T6jfM/view?usp=drivesdk")</f>
        <v>https://drive.google.com/file/d/1MvZu5qo0pPQcoL6SAizgSBHhn4-T6jfM/view?usp=drivesdk</v>
      </c>
      <c r="C1178" s="159" t="str">
        <f>IFERROR(__xludf.DUMMYFUNCTION("""COMPUTED_VALUE"""),"10.1121--1.3629144.pdf")</f>
        <v>10.1121--1.3629144.pdf</v>
      </c>
      <c r="D1178" s="159" t="str">
        <f>IFERROR(__xludf.DUMMYFUNCTION("""COMPUTED_VALUE"""),"application/pdf")</f>
        <v>application/pdf</v>
      </c>
    </row>
    <row r="1179">
      <c r="A1179" s="159" t="str">
        <f>IFERROR(__xludf.DUMMYFUNCTION("""COMPUTED_VALUE"""),"10.1016/j.jecp.2006.03.009")</f>
        <v>10.1016/j.jecp.2006.03.009</v>
      </c>
      <c r="B1179" s="680" t="str">
        <f>IFERROR(__xludf.DUMMYFUNCTION("""COMPUTED_VALUE"""),"https://drive.google.com/file/d/1c1k1gKJ0KBPYv5VRXYOoGS_3bgJfnTwd/view?usp=drivesdk")</f>
        <v>https://drive.google.com/file/d/1c1k1gKJ0KBPYv5VRXYOoGS_3bgJfnTwd/view?usp=drivesdk</v>
      </c>
      <c r="C1179" s="159" t="str">
        <f>IFERROR(__xludf.DUMMYFUNCTION("""COMPUTED_VALUE"""),"10.1016--j.jecp.2006.03.009.pdf")</f>
        <v>10.1016--j.jecp.2006.03.009.pdf</v>
      </c>
      <c r="D1179" s="159" t="str">
        <f>IFERROR(__xludf.DUMMYFUNCTION("""COMPUTED_VALUE"""),"application/pdf")</f>
        <v>application/pdf</v>
      </c>
    </row>
    <row r="1180">
      <c r="A1180" s="159" t="str">
        <f>IFERROR(__xludf.DUMMYFUNCTION("""COMPUTED_VALUE"""),"10.1037/0033-295x.84.4.327")</f>
        <v>10.1037/0033-295x.84.4.327</v>
      </c>
      <c r="B1180" s="680" t="str">
        <f>IFERROR(__xludf.DUMMYFUNCTION("""COMPUTED_VALUE"""),"https://drive.google.com/file/d/10TV0T46B7cqSe0DuBNj6RYiSrqG-eO8l/view?usp=drivesdk")</f>
        <v>https://drive.google.com/file/d/10TV0T46B7cqSe0DuBNj6RYiSrqG-eO8l/view?usp=drivesdk</v>
      </c>
      <c r="C1180" s="159" t="str">
        <f>IFERROR(__xludf.DUMMYFUNCTION("""COMPUTED_VALUE"""),"10.1037--0033-295X.84.4.327.pdf")</f>
        <v>10.1037--0033-295X.84.4.327.pdf</v>
      </c>
      <c r="D1180" s="159" t="str">
        <f>IFERROR(__xludf.DUMMYFUNCTION("""COMPUTED_VALUE"""),"application/pdf")</f>
        <v>application/pdf</v>
      </c>
    </row>
    <row r="1181">
      <c r="A1181" s="159" t="str">
        <f>IFERROR(__xludf.DUMMYFUNCTION("""COMPUTED_VALUE"""),"10.1007/s00213-012-2745-6")</f>
        <v>10.1007/s00213-012-2745-6</v>
      </c>
      <c r="B1181" s="680" t="str">
        <f>IFERROR(__xludf.DUMMYFUNCTION("""COMPUTED_VALUE"""),"https://drive.google.com/file/d/17RrMQtMr27FGUV7R-pVdPn87s05UNWWl/view?usp=drivesdk")</f>
        <v>https://drive.google.com/file/d/17RrMQtMr27FGUV7R-pVdPn87s05UNWWl/view?usp=drivesdk</v>
      </c>
      <c r="C1181" s="159" t="str">
        <f>IFERROR(__xludf.DUMMYFUNCTION("""COMPUTED_VALUE"""),"10.1007--s00213-012-2745-6.pdf")</f>
        <v>10.1007--s00213-012-2745-6.pdf</v>
      </c>
      <c r="D1181" s="159" t="str">
        <f>IFERROR(__xludf.DUMMYFUNCTION("""COMPUTED_VALUE"""),"application/pdf")</f>
        <v>application/pdf</v>
      </c>
    </row>
    <row r="1182">
      <c r="A1182" s="159" t="str">
        <f>IFERROR(__xludf.DUMMYFUNCTION("""COMPUTED_VALUE"""),"10.1037/a0019187")</f>
        <v>10.1037/a0019187</v>
      </c>
      <c r="B1182" s="680" t="str">
        <f>IFERROR(__xludf.DUMMYFUNCTION("""COMPUTED_VALUE"""),"https://drive.google.com/file/d/1EJi1y_1ouX9AqIRv0DPgc0QP6Rskbwgf/view?usp=drivesdk")</f>
        <v>https://drive.google.com/file/d/1EJi1y_1ouX9AqIRv0DPgc0QP6Rskbwgf/view?usp=drivesdk</v>
      </c>
      <c r="C1182" s="159" t="str">
        <f>IFERROR(__xludf.DUMMYFUNCTION("""COMPUTED_VALUE"""),"10.1037--a0019187.pdf")</f>
        <v>10.1037--a0019187.pdf</v>
      </c>
      <c r="D1182" s="159" t="str">
        <f>IFERROR(__xludf.DUMMYFUNCTION("""COMPUTED_VALUE"""),"application/pdf")</f>
        <v>application/pdf</v>
      </c>
    </row>
    <row r="1183">
      <c r="A1183" s="159" t="str">
        <f>IFERROR(__xludf.DUMMYFUNCTION("""COMPUTED_VALUE"""),"10.1523/jneurosci.2513-09.2009")</f>
        <v>10.1523/jneurosci.2513-09.2009</v>
      </c>
      <c r="B1183" s="680" t="str">
        <f>IFERROR(__xludf.DUMMYFUNCTION("""COMPUTED_VALUE"""),"https://drive.google.com/file/d/1KN1EWniqjNl4OnLIFMrGRR63JlQklVIO/view?usp=drivesdk")</f>
        <v>https://drive.google.com/file/d/1KN1EWniqjNl4OnLIFMrGRR63JlQklVIO/view?usp=drivesdk</v>
      </c>
      <c r="C1183" s="159" t="str">
        <f>IFERROR(__xludf.DUMMYFUNCTION("""COMPUTED_VALUE"""),"10.1523--JNEUROSCI.2513-09.2009.pdf")</f>
        <v>10.1523--JNEUROSCI.2513-09.2009.pdf</v>
      </c>
      <c r="D1183" s="159" t="str">
        <f>IFERROR(__xludf.DUMMYFUNCTION("""COMPUTED_VALUE"""),"application/pdf")</f>
        <v>application/pdf</v>
      </c>
    </row>
    <row r="1184">
      <c r="A1184" s="159" t="str">
        <f>IFERROR(__xludf.DUMMYFUNCTION("""COMPUTED_VALUE"""),"10.1037/0022-0167.53.2.151")</f>
        <v>10.1037/0022-0167.53.2.151</v>
      </c>
      <c r="B1184" s="680" t="str">
        <f>IFERROR(__xludf.DUMMYFUNCTION("""COMPUTED_VALUE"""),"https://drive.google.com/file/d/11TkjjlIy0l1_VcddPFY6PZdNPWLNgYgp/view?usp=drivesdk")</f>
        <v>https://drive.google.com/file/d/11TkjjlIy0l1_VcddPFY6PZdNPWLNgYgp/view?usp=drivesdk</v>
      </c>
      <c r="C1184" s="159" t="str">
        <f>IFERROR(__xludf.DUMMYFUNCTION("""COMPUTED_VALUE"""),"10.1037--0022-0167.53.2.151.pdf")</f>
        <v>10.1037--0022-0167.53.2.151.pdf</v>
      </c>
      <c r="D1184" s="159" t="str">
        <f>IFERROR(__xludf.DUMMYFUNCTION("""COMPUTED_VALUE"""),"application/pdf")</f>
        <v>application/pdf</v>
      </c>
    </row>
    <row r="1185">
      <c r="A1185" s="159" t="str">
        <f>IFERROR(__xludf.DUMMYFUNCTION("""COMPUTED_VALUE"""),"10.1001/archgenpsychiatry.2011.1574")</f>
        <v>10.1001/archgenpsychiatry.2011.1574</v>
      </c>
      <c r="B1185" s="680" t="str">
        <f>IFERROR(__xludf.DUMMYFUNCTION("""COMPUTED_VALUE"""),"https://drive.google.com/file/d/1MA-4Wk9ULU29KzmGixLnWU7Vpj89d19H/view?usp=drivesdk")</f>
        <v>https://drive.google.com/file/d/1MA-4Wk9ULU29KzmGixLnWU7Vpj89d19H/view?usp=drivesdk</v>
      </c>
      <c r="C1185" s="159" t="str">
        <f>IFERROR(__xludf.DUMMYFUNCTION("""COMPUTED_VALUE"""),"10.1001--archgenpsychiatry.2011.1574.pdf")</f>
        <v>10.1001--archgenpsychiatry.2011.1574.pdf</v>
      </c>
      <c r="D1185" s="159" t="str">
        <f>IFERROR(__xludf.DUMMYFUNCTION("""COMPUTED_VALUE"""),"application/pdf")</f>
        <v>application/pdf</v>
      </c>
    </row>
    <row r="1186">
      <c r="A1186" s="159" t="str">
        <f>IFERROR(__xludf.DUMMYFUNCTION("""COMPUTED_VALUE"""),"10.1016/j.pain.2004.07.022")</f>
        <v>10.1016/j.pain.2004.07.022</v>
      </c>
      <c r="B1186" s="680" t="str">
        <f>IFERROR(__xludf.DUMMYFUNCTION("""COMPUTED_VALUE"""),"https://drive.google.com/file/d/11i_Elby3e5vg0K4oxYHAqkgbsyXT0wuh/view?usp=drivesdk")</f>
        <v>https://drive.google.com/file/d/11i_Elby3e5vg0K4oxYHAqkgbsyXT0wuh/view?usp=drivesdk</v>
      </c>
      <c r="C1186" s="159" t="str">
        <f>IFERROR(__xludf.DUMMYFUNCTION("""COMPUTED_VALUE"""),"10.1016--j.pain.2004.07.022.pdf")</f>
        <v>10.1016--j.pain.2004.07.022.pdf</v>
      </c>
      <c r="D1186" s="159" t="str">
        <f>IFERROR(__xludf.DUMMYFUNCTION("""COMPUTED_VALUE"""),"application/pdf")</f>
        <v>application/pdf</v>
      </c>
    </row>
    <row r="1187">
      <c r="A1187" s="159" t="str">
        <f>IFERROR(__xludf.DUMMYFUNCTION("""COMPUTED_VALUE"""),"10.1002/bin.269")</f>
        <v>10.1002/bin.269</v>
      </c>
      <c r="B1187" s="680" t="str">
        <f>IFERROR(__xludf.DUMMYFUNCTION("""COMPUTED_VALUE"""),"https://drive.google.com/file/d/1oCYIZ3A3h_Atk2WmT9epdXO3AdLdzZn6/view?usp=drivesdk")</f>
        <v>https://drive.google.com/file/d/1oCYIZ3A3h_Atk2WmT9epdXO3AdLdzZn6/view?usp=drivesdk</v>
      </c>
      <c r="C1187" s="159" t="str">
        <f>IFERROR(__xludf.DUMMYFUNCTION("""COMPUTED_VALUE"""),"10.1002--bin.269.pdf")</f>
        <v>10.1002--bin.269.pdf</v>
      </c>
      <c r="D1187" s="159" t="str">
        <f>IFERROR(__xludf.DUMMYFUNCTION("""COMPUTED_VALUE"""),"application/pdf")</f>
        <v>application/pdf</v>
      </c>
    </row>
    <row r="1188">
      <c r="A1188" s="159" t="str">
        <f>IFERROR(__xludf.DUMMYFUNCTION("""COMPUTED_VALUE"""),"10.1068/p7140")</f>
        <v>10.1068/p7140</v>
      </c>
      <c r="B1188" s="680" t="str">
        <f>IFERROR(__xludf.DUMMYFUNCTION("""COMPUTED_VALUE"""),"https://drive.google.com/file/d/11sWex7jKveQZeyuHutPSEfoLLG3wPuUJ/view?usp=drivesdk")</f>
        <v>https://drive.google.com/file/d/11sWex7jKveQZeyuHutPSEfoLLG3wPuUJ/view?usp=drivesdk</v>
      </c>
      <c r="C1188" s="159" t="str">
        <f>IFERROR(__xludf.DUMMYFUNCTION("""COMPUTED_VALUE"""),"10.1068--p7140.pdf")</f>
        <v>10.1068--p7140.pdf</v>
      </c>
      <c r="D1188" s="159" t="str">
        <f>IFERROR(__xludf.DUMMYFUNCTION("""COMPUTED_VALUE"""),"application/pdf")</f>
        <v>application/pdf</v>
      </c>
    </row>
    <row r="1189">
      <c r="A1189" s="159" t="str">
        <f>IFERROR(__xludf.DUMMYFUNCTION("""COMPUTED_VALUE"""),"10.1037/0022-3514.88.6.1029")</f>
        <v>10.1037/0022-3514.88.6.1029</v>
      </c>
      <c r="B1189" s="680" t="str">
        <f>IFERROR(__xludf.DUMMYFUNCTION("""COMPUTED_VALUE"""),"https://drive.google.com/file/d/15-fNv-w_EYbUj3hP_RrWjmQtKmIxjNcl/view?usp=drivesdk")</f>
        <v>https://drive.google.com/file/d/15-fNv-w_EYbUj3hP_RrWjmQtKmIxjNcl/view?usp=drivesdk</v>
      </c>
      <c r="C1189" s="159" t="str">
        <f>IFERROR(__xludf.DUMMYFUNCTION("""COMPUTED_VALUE"""),"10.1037--0022-3514.88.6.1029.pdf")</f>
        <v>10.1037--0022-3514.88.6.1029.pdf</v>
      </c>
      <c r="D1189" s="159" t="str">
        <f>IFERROR(__xludf.DUMMYFUNCTION("""COMPUTED_VALUE"""),"application/pdf")</f>
        <v>application/pdf</v>
      </c>
    </row>
    <row r="1190">
      <c r="A1190" s="159" t="str">
        <f>IFERROR(__xludf.DUMMYFUNCTION("""COMPUTED_VALUE"""),"10.1016/j.cognition.2006.07.003")</f>
        <v>10.1016/j.cognition.2006.07.003</v>
      </c>
      <c r="B1190" s="680" t="str">
        <f>IFERROR(__xludf.DUMMYFUNCTION("""COMPUTED_VALUE"""),"https://drive.google.com/file/d/1WRp-XKYuoC--ZzptdZHr_Zl2Y1f41l8M/view?usp=drivesdk")</f>
        <v>https://drive.google.com/file/d/1WRp-XKYuoC--ZzptdZHr_Zl2Y1f41l8M/view?usp=drivesdk</v>
      </c>
      <c r="C1190" s="159" t="str">
        <f>IFERROR(__xludf.DUMMYFUNCTION("""COMPUTED_VALUE"""),"10.1016--j.cognition.2006.07.003.pdf")</f>
        <v>10.1016--j.cognition.2006.07.003.pdf</v>
      </c>
      <c r="D1190" s="159" t="str">
        <f>IFERROR(__xludf.DUMMYFUNCTION("""COMPUTED_VALUE"""),"application/pdf")</f>
        <v>application/pdf</v>
      </c>
    </row>
    <row r="1191">
      <c r="A1191" s="159" t="str">
        <f>IFERROR(__xludf.DUMMYFUNCTION("""COMPUTED_VALUE"""),"10.1080/17470218.2013.836232")</f>
        <v>10.1080/17470218.2013.836232</v>
      </c>
      <c r="B1191" s="680" t="str">
        <f>IFERROR(__xludf.DUMMYFUNCTION("""COMPUTED_VALUE"""),"https://drive.google.com/file/d/1J_cS1D8HkOdqvBmQsXHjL1FZDmJs7lqQ/view?usp=drivesdk")</f>
        <v>https://drive.google.com/file/d/1J_cS1D8HkOdqvBmQsXHjL1FZDmJs7lqQ/view?usp=drivesdk</v>
      </c>
      <c r="C1191" s="159" t="str">
        <f>IFERROR(__xludf.DUMMYFUNCTION("""COMPUTED_VALUE"""),"10.1080--17470218.2013.836232.pdf")</f>
        <v>10.1080--17470218.2013.836232.pdf</v>
      </c>
      <c r="D1191" s="159" t="str">
        <f>IFERROR(__xludf.DUMMYFUNCTION("""COMPUTED_VALUE"""),"application/pdf")</f>
        <v>application/pdf</v>
      </c>
    </row>
    <row r="1192">
      <c r="A1192" s="159" t="str">
        <f>IFERROR(__xludf.DUMMYFUNCTION("""COMPUTED_VALUE"""),"10.1080/0015587x.1920.9719123")</f>
        <v>10.1080/0015587x.1920.9719123</v>
      </c>
      <c r="B1192" s="680" t="str">
        <f>IFERROR(__xludf.DUMMYFUNCTION("""COMPUTED_VALUE"""),"https://drive.google.com/file/d/1u_OXA8JrcF5gJWXF7Ba95PFAVzQEQmQK/view?usp=drivesdk")</f>
        <v>https://drive.google.com/file/d/1u_OXA8JrcF5gJWXF7Ba95PFAVzQEQmQK/view?usp=drivesdk</v>
      </c>
      <c r="C1192" s="159" t="str">
        <f>IFERROR(__xludf.DUMMYFUNCTION("""COMPUTED_VALUE"""),"10.1080--0015587X.1920.9719123.pdf")</f>
        <v>10.1080--0015587X.1920.9719123.pdf</v>
      </c>
      <c r="D1192" s="159" t="str">
        <f>IFERROR(__xludf.DUMMYFUNCTION("""COMPUTED_VALUE"""),"application/pdf")</f>
        <v>application/pdf</v>
      </c>
    </row>
    <row r="1193">
      <c r="A1193" s="159" t="str">
        <f>IFERROR(__xludf.DUMMYFUNCTION("""COMPUTED_VALUE"""),"10.3389/fpsyg.2011.00183")</f>
        <v>10.3389/fpsyg.2011.00183</v>
      </c>
      <c r="B1193" s="680" t="str">
        <f>IFERROR(__xludf.DUMMYFUNCTION("""COMPUTED_VALUE"""),"https://drive.google.com/file/d/1Hg5VDszXlRVdNjTivLuNrhGtcNgJY6YO/view?usp=drivesdk")</f>
        <v>https://drive.google.com/file/d/1Hg5VDszXlRVdNjTivLuNrhGtcNgJY6YO/view?usp=drivesdk</v>
      </c>
      <c r="C1193" s="159" t="str">
        <f>IFERROR(__xludf.DUMMYFUNCTION("""COMPUTED_VALUE"""),"10.3389--fpsyg.2011.00183.pdf")</f>
        <v>10.3389--fpsyg.2011.00183.pdf</v>
      </c>
      <c r="D1193" s="159" t="str">
        <f>IFERROR(__xludf.DUMMYFUNCTION("""COMPUTED_VALUE"""),"application/pdf")</f>
        <v>application/pdf</v>
      </c>
    </row>
    <row r="1194">
      <c r="A1194" s="159" t="str">
        <f>IFERROR(__xludf.DUMMYFUNCTION("""COMPUTED_VALUE"""),"10.3389/fpsyg.2015.00786")</f>
        <v>10.3389/fpsyg.2015.00786</v>
      </c>
      <c r="B1194" s="680" t="str">
        <f>IFERROR(__xludf.DUMMYFUNCTION("""COMPUTED_VALUE"""),"https://drive.google.com/file/d/1njR1v7uD-9OdwkjARV_BDFPe9y6XzZrq/view?usp=drivesdk")</f>
        <v>https://drive.google.com/file/d/1njR1v7uD-9OdwkjARV_BDFPe9y6XzZrq/view?usp=drivesdk</v>
      </c>
      <c r="C1194" s="159" t="str">
        <f>IFERROR(__xludf.DUMMYFUNCTION("""COMPUTED_VALUE"""),"10.3389--fpsyg.2015.00786.pdf")</f>
        <v>10.3389--fpsyg.2015.00786.pdf</v>
      </c>
      <c r="D1194" s="159" t="str">
        <f>IFERROR(__xludf.DUMMYFUNCTION("""COMPUTED_VALUE"""),"application/pdf")</f>
        <v>application/pdf</v>
      </c>
    </row>
    <row r="1195">
      <c r="A1195" s="159" t="str">
        <f>IFERROR(__xludf.DUMMYFUNCTION("""COMPUTED_VALUE"""),"10.1073/pnas.1103880109")</f>
        <v>10.1073/pnas.1103880109</v>
      </c>
      <c r="B1195" s="680" t="str">
        <f>IFERROR(__xludf.DUMMYFUNCTION("""COMPUTED_VALUE"""),"https://drive.google.com/file/d/1PNJ6Sq6xUR5S96FFpdedDGYdBuw5Vlgi/view?usp=drivesdk")</f>
        <v>https://drive.google.com/file/d/1PNJ6Sq6xUR5S96FFpdedDGYdBuw5Vlgi/view?usp=drivesdk</v>
      </c>
      <c r="C1195" s="159" t="str">
        <f>IFERROR(__xludf.DUMMYFUNCTION("""COMPUTED_VALUE"""),"10.1073--pnas.1103880109.pdf")</f>
        <v>10.1073--pnas.1103880109.pdf</v>
      </c>
      <c r="D1195" s="159" t="str">
        <f>IFERROR(__xludf.DUMMYFUNCTION("""COMPUTED_VALUE"""),"application/pdf")</f>
        <v>application/pdf</v>
      </c>
    </row>
    <row r="1196">
      <c r="A1196" s="159" t="str">
        <f>IFERROR(__xludf.DUMMYFUNCTION("""COMPUTED_VALUE"""),"10.1207/s15327752jpa5001_2")</f>
        <v>10.1207/s15327752jpa5001_2</v>
      </c>
      <c r="B1196" s="680" t="str">
        <f>IFERROR(__xludf.DUMMYFUNCTION("""COMPUTED_VALUE"""),"https://drive.google.com/file/d/1eDsfpS9ncg_hzBoWlvGMZS-Hf0PsqpOE/view?usp=drivesdk")</f>
        <v>https://drive.google.com/file/d/1eDsfpS9ncg_hzBoWlvGMZS-Hf0PsqpOE/view?usp=drivesdk</v>
      </c>
      <c r="C1196" s="159" t="str">
        <f>IFERROR(__xludf.DUMMYFUNCTION("""COMPUTED_VALUE"""),"10.1207--s15327752jpa5001_2.pdf")</f>
        <v>10.1207--s15327752jpa5001_2.pdf</v>
      </c>
      <c r="D1196" s="159" t="str">
        <f>IFERROR(__xludf.DUMMYFUNCTION("""COMPUTED_VALUE"""),"application/pdf")</f>
        <v>application/pdf</v>
      </c>
    </row>
    <row r="1197">
      <c r="A1197" s="159" t="str">
        <f>IFERROR(__xludf.DUMMYFUNCTION("""COMPUTED_VALUE"""),"10.1016/j.jesp.2015.08.003")</f>
        <v>10.1016/j.jesp.2015.08.003</v>
      </c>
      <c r="B1197" s="680" t="str">
        <f>IFERROR(__xludf.DUMMYFUNCTION("""COMPUTED_VALUE"""),"https://drive.google.com/file/d/1bJIGLwb4bdVh3NCmJ_LifUgUpf-LPNMA/view?usp=drivesdk")</f>
        <v>https://drive.google.com/file/d/1bJIGLwb4bdVh3NCmJ_LifUgUpf-LPNMA/view?usp=drivesdk</v>
      </c>
      <c r="C1197" s="159" t="str">
        <f>IFERROR(__xludf.DUMMYFUNCTION("""COMPUTED_VALUE"""),"10.1016--j.jesp.2015.08.003.pdf")</f>
        <v>10.1016--j.jesp.2015.08.003.pdf</v>
      </c>
      <c r="D1197" s="159" t="str">
        <f>IFERROR(__xludf.DUMMYFUNCTION("""COMPUTED_VALUE"""),"application/pdf")</f>
        <v>application/pdf</v>
      </c>
    </row>
    <row r="1198">
      <c r="A1198" s="159" t="str">
        <f>IFERROR(__xludf.DUMMYFUNCTION("""COMPUTED_VALUE"""),"10.1016/j.cogpsych.2006.08.003")</f>
        <v>10.1016/j.cogpsych.2006.08.003</v>
      </c>
      <c r="B1198" s="680" t="str">
        <f>IFERROR(__xludf.DUMMYFUNCTION("""COMPUTED_VALUE"""),"https://drive.google.com/file/d/1_D7dDcYpEcjt0TABN_n3mvFBdupCvcz-/view?usp=drivesdk")</f>
        <v>https://drive.google.com/file/d/1_D7dDcYpEcjt0TABN_n3mvFBdupCvcz-/view?usp=drivesdk</v>
      </c>
      <c r="C1198" s="159" t="str">
        <f>IFERROR(__xludf.DUMMYFUNCTION("""COMPUTED_VALUE"""),"10.1016--j.cogpsych.2006.08.003.pdf")</f>
        <v>10.1016--j.cogpsych.2006.08.003.pdf</v>
      </c>
      <c r="D1198" s="159" t="str">
        <f>IFERROR(__xludf.DUMMYFUNCTION("""COMPUTED_VALUE"""),"application/pdf")</f>
        <v>application/pdf</v>
      </c>
    </row>
    <row r="1199">
      <c r="A1199" s="159" t="str">
        <f>IFERROR(__xludf.DUMMYFUNCTION("""COMPUTED_VALUE"""),"10.1177/0956797613502983")</f>
        <v>10.1177/0956797613502983</v>
      </c>
      <c r="B1199" s="680" t="str">
        <f>IFERROR(__xludf.DUMMYFUNCTION("""COMPUTED_VALUE"""),"https://drive.google.com/file/d/1auGVLZR0n037iFBsRbne3R0KY424YsRI/view?usp=drivesdk")</f>
        <v>https://drive.google.com/file/d/1auGVLZR0n037iFBsRbne3R0KY424YsRI/view?usp=drivesdk</v>
      </c>
      <c r="C1199" s="159" t="str">
        <f>IFERROR(__xludf.DUMMYFUNCTION("""COMPUTED_VALUE"""),"10.1177--0956797613502983.pdf")</f>
        <v>10.1177--0956797613502983.pdf</v>
      </c>
      <c r="D1199" s="159" t="str">
        <f>IFERROR(__xludf.DUMMYFUNCTION("""COMPUTED_VALUE"""),"application/pdf")</f>
        <v>application/pdf</v>
      </c>
    </row>
    <row r="1200">
      <c r="A1200" s="159" t="str">
        <f>IFERROR(__xludf.DUMMYFUNCTION("""COMPUTED_VALUE"""),"10.1111/j.1745-6916.2006.00012.x")</f>
        <v>10.1111/j.1745-6916.2006.00012.x</v>
      </c>
      <c r="B1200" s="680" t="str">
        <f>IFERROR(__xludf.DUMMYFUNCTION("""COMPUTED_VALUE"""),"https://drive.google.com/file/d/1PGEaJgHDsHhADyJeYzYrF31UgvXK8IfG/view?usp=drivesdk")</f>
        <v>https://drive.google.com/file/d/1PGEaJgHDsHhADyJeYzYrF31UgvXK8IfG/view?usp=drivesdk</v>
      </c>
      <c r="C1200" s="159" t="str">
        <f>IFERROR(__xludf.DUMMYFUNCTION("""COMPUTED_VALUE"""),"10.1111--j.1745-6916.2006.00012.x.pdf")</f>
        <v>10.1111--j.1745-6916.2006.00012.x.pdf</v>
      </c>
      <c r="D1200" s="159" t="str">
        <f>IFERROR(__xludf.DUMMYFUNCTION("""COMPUTED_VALUE"""),"application/pdf")</f>
        <v>application/pdf</v>
      </c>
    </row>
    <row r="1201">
      <c r="A1201" s="159" t="str">
        <f>IFERROR(__xludf.DUMMYFUNCTION("""COMPUTED_VALUE"""),"10.1177/0956797610385359")</f>
        <v>10.1177/0956797610385359</v>
      </c>
      <c r="B1201" s="680" t="str">
        <f>IFERROR(__xludf.DUMMYFUNCTION("""COMPUTED_VALUE"""),"https://drive.google.com/file/d/1bcy2yLZUiBLB8eUlwWkUTcGjCG9MFNcL/view?usp=drivesdk")</f>
        <v>https://drive.google.com/file/d/1bcy2yLZUiBLB8eUlwWkUTcGjCG9MFNcL/view?usp=drivesdk</v>
      </c>
      <c r="C1201" s="159" t="str">
        <f>IFERROR(__xludf.DUMMYFUNCTION("""COMPUTED_VALUE"""),"10.1177--0956797610385359.pdf")</f>
        <v>10.1177--0956797610385359.pdf</v>
      </c>
      <c r="D1201" s="159" t="str">
        <f>IFERROR(__xludf.DUMMYFUNCTION("""COMPUTED_VALUE"""),"application/pdf")</f>
        <v>application/pdf</v>
      </c>
    </row>
    <row r="1202">
      <c r="A1202" s="159" t="str">
        <f>IFERROR(__xludf.DUMMYFUNCTION("""COMPUTED_VALUE"""),"10.1016/j.brat.2008.02.002")</f>
        <v>10.1016/j.brat.2008.02.002</v>
      </c>
      <c r="B1202" s="680" t="str">
        <f>IFERROR(__xludf.DUMMYFUNCTION("""COMPUTED_VALUE"""),"https://drive.google.com/file/d/1qw37pozIjd4mLcy-zn6fU2Q9jLVW_qRq/view?usp=drivesdk")</f>
        <v>https://drive.google.com/file/d/1qw37pozIjd4mLcy-zn6fU2Q9jLVW_qRq/view?usp=drivesdk</v>
      </c>
      <c r="C1202" s="159" t="str">
        <f>IFERROR(__xludf.DUMMYFUNCTION("""COMPUTED_VALUE"""),"10.1016--j.brat.2008.02.002.pdf")</f>
        <v>10.1016--j.brat.2008.02.002.pdf</v>
      </c>
      <c r="D1202" s="159" t="str">
        <f>IFERROR(__xludf.DUMMYFUNCTION("""COMPUTED_VALUE"""),"application/pdf")</f>
        <v>application/pdf</v>
      </c>
    </row>
    <row r="1203">
      <c r="A1203" s="159" t="str">
        <f>IFERROR(__xludf.DUMMYFUNCTION("""COMPUTED_VALUE"""),"10.1016/j.cogbrainres.2005.02.020")</f>
        <v>10.1016/j.cogbrainres.2005.02.020</v>
      </c>
      <c r="B1203" s="680" t="str">
        <f>IFERROR(__xludf.DUMMYFUNCTION("""COMPUTED_VALUE"""),"https://drive.google.com/file/d/1WmGYm8bmezybTYwOXDheDPWCgdUPI7lg/view?usp=drivesdk")</f>
        <v>https://drive.google.com/file/d/1WmGYm8bmezybTYwOXDheDPWCgdUPI7lg/view?usp=drivesdk</v>
      </c>
      <c r="C1203" s="159" t="str">
        <f>IFERROR(__xludf.DUMMYFUNCTION("""COMPUTED_VALUE"""),"10.1016--j.cogbrainres.2005.02.020.pdf")</f>
        <v>10.1016--j.cogbrainres.2005.02.020.pdf</v>
      </c>
      <c r="D1203" s="159" t="str">
        <f>IFERROR(__xludf.DUMMYFUNCTION("""COMPUTED_VALUE"""),"application/pdf")</f>
        <v>application/pdf</v>
      </c>
    </row>
    <row r="1204">
      <c r="A1204" s="159" t="str">
        <f>IFERROR(__xludf.DUMMYFUNCTION("""COMPUTED_VALUE"""),"10.1016/j.neuroimage.2012.05.063")</f>
        <v>10.1016/j.neuroimage.2012.05.063</v>
      </c>
      <c r="B1204" s="680" t="str">
        <f>IFERROR(__xludf.DUMMYFUNCTION("""COMPUTED_VALUE"""),"https://drive.google.com/file/d/1ag8IXyFczoKJ7ihPxLKU-kUP8cnoRylc/view?usp=drivesdk")</f>
        <v>https://drive.google.com/file/d/1ag8IXyFczoKJ7ihPxLKU-kUP8cnoRylc/view?usp=drivesdk</v>
      </c>
      <c r="C1204" s="159" t="str">
        <f>IFERROR(__xludf.DUMMYFUNCTION("""COMPUTED_VALUE"""),"10.1016--j.neuroimage.2012.05.063.pdf")</f>
        <v>10.1016--j.neuroimage.2012.05.063.pdf</v>
      </c>
      <c r="D1204" s="159" t="str">
        <f>IFERROR(__xludf.DUMMYFUNCTION("""COMPUTED_VALUE"""),"application/pdf")</f>
        <v>application/pdf</v>
      </c>
    </row>
    <row r="1205">
      <c r="A1205" s="159" t="str">
        <f>IFERROR(__xludf.DUMMYFUNCTION("""COMPUTED_VALUE"""),"10.3758/bf03211385")</f>
        <v>10.3758/bf03211385</v>
      </c>
      <c r="B1205" s="680" t="str">
        <f>IFERROR(__xludf.DUMMYFUNCTION("""COMPUTED_VALUE"""),"https://drive.google.com/file/d/1lA4UI28Jqzqe_ZSGG4TgwJ328VP7e947/view?usp=drivesdk")</f>
        <v>https://drive.google.com/file/d/1lA4UI28Jqzqe_ZSGG4TgwJ328VP7e947/view?usp=drivesdk</v>
      </c>
      <c r="C1205" s="159" t="str">
        <f>IFERROR(__xludf.DUMMYFUNCTION("""COMPUTED_VALUE"""),"10.3758--BF03211385.pdf")</f>
        <v>10.3758--BF03211385.pdf</v>
      </c>
      <c r="D1205" s="159" t="str">
        <f>IFERROR(__xludf.DUMMYFUNCTION("""COMPUTED_VALUE"""),"application/pdf")</f>
        <v>application/pdf</v>
      </c>
    </row>
    <row r="1206">
      <c r="A1206" s="159" t="str">
        <f>IFERROR(__xludf.DUMMYFUNCTION("""COMPUTED_VALUE"""),"10.1177/0022022105282295")</f>
        <v>10.1177/0022022105282295</v>
      </c>
      <c r="B1206" s="680" t="str">
        <f>IFERROR(__xludf.DUMMYFUNCTION("""COMPUTED_VALUE"""),"https://drive.google.com/file/d/1FRbv1v1I0OUeGQkPuarDhIH9taHMOH3h/view?usp=drivesdk")</f>
        <v>https://drive.google.com/file/d/1FRbv1v1I0OUeGQkPuarDhIH9taHMOH3h/view?usp=drivesdk</v>
      </c>
      <c r="C1206" s="159" t="str">
        <f>IFERROR(__xludf.DUMMYFUNCTION("""COMPUTED_VALUE"""),"10.1177--0022022105282295.pdf")</f>
        <v>10.1177--0022022105282295.pdf</v>
      </c>
      <c r="D1206" s="159" t="str">
        <f>IFERROR(__xludf.DUMMYFUNCTION("""COMPUTED_VALUE"""),"application/pdf")</f>
        <v>application/pdf</v>
      </c>
    </row>
    <row r="1207">
      <c r="A1207" s="159" t="str">
        <f>IFERROR(__xludf.DUMMYFUNCTION("""COMPUTED_VALUE"""),"10.1016/j.obhdp.2014.11.001")</f>
        <v>10.1016/j.obhdp.2014.11.001</v>
      </c>
      <c r="B1207" s="680" t="str">
        <f>IFERROR(__xludf.DUMMYFUNCTION("""COMPUTED_VALUE"""),"https://drive.google.com/file/d/1R4-3MnXpBFLnaFfopGZaKgR1uruR-dxQ/view?usp=drivesdk")</f>
        <v>https://drive.google.com/file/d/1R4-3MnXpBFLnaFfopGZaKgR1uruR-dxQ/view?usp=drivesdk</v>
      </c>
      <c r="C1207" s="159" t="str">
        <f>IFERROR(__xludf.DUMMYFUNCTION("""COMPUTED_VALUE"""),"10.1016--j.obhdp.2014.11.001.pdf")</f>
        <v>10.1016--j.obhdp.2014.11.001.pdf</v>
      </c>
      <c r="D1207" s="159" t="str">
        <f>IFERROR(__xludf.DUMMYFUNCTION("""COMPUTED_VALUE"""),"application/pdf")</f>
        <v>application/pdf</v>
      </c>
    </row>
    <row r="1208">
      <c r="A1208" s="159" t="str">
        <f>IFERROR(__xludf.DUMMYFUNCTION("""COMPUTED_VALUE"""),"10.1177/0956797612450891")</f>
        <v>10.1177/0956797612450891</v>
      </c>
      <c r="B1208" s="680" t="str">
        <f>IFERROR(__xludf.DUMMYFUNCTION("""COMPUTED_VALUE"""),"https://drive.google.com/file/d/1Sy1ihAE89SYtgBZr56ysR28e1nhYxpdQ/view?usp=drivesdk")</f>
        <v>https://drive.google.com/file/d/1Sy1ihAE89SYtgBZr56ysR28e1nhYxpdQ/view?usp=drivesdk</v>
      </c>
      <c r="C1208" s="159" t="str">
        <f>IFERROR(__xludf.DUMMYFUNCTION("""COMPUTED_VALUE"""),"10.1177--0956797612450891.pdf")</f>
        <v>10.1177--0956797612450891.pdf</v>
      </c>
      <c r="D1208" s="159" t="str">
        <f>IFERROR(__xludf.DUMMYFUNCTION("""COMPUTED_VALUE"""),"application/pdf")</f>
        <v>application/pdf</v>
      </c>
    </row>
    <row r="1209">
      <c r="A1209" s="159" t="str">
        <f>IFERROR(__xludf.DUMMYFUNCTION("""COMPUTED_VALUE"""),"10.1177/0956797616678930")</f>
        <v>10.1177/0956797616678930</v>
      </c>
      <c r="B1209" s="680" t="str">
        <f>IFERROR(__xludf.DUMMYFUNCTION("""COMPUTED_VALUE"""),"https://drive.google.com/file/d/1mfFx-ra7fJxqzzmU05XGz2J0H-6If5Hq/view?usp=drivesdk")</f>
        <v>https://drive.google.com/file/d/1mfFx-ra7fJxqzzmU05XGz2J0H-6If5Hq/view?usp=drivesdk</v>
      </c>
      <c r="C1209" s="159" t="str">
        <f>IFERROR(__xludf.DUMMYFUNCTION("""COMPUTED_VALUE"""),"10.1177--0956797616678930.pdf")</f>
        <v>10.1177--0956797616678930.pdf</v>
      </c>
      <c r="D1209" s="159" t="str">
        <f>IFERROR(__xludf.DUMMYFUNCTION("""COMPUTED_VALUE"""),"application/pdf")</f>
        <v>application/pdf</v>
      </c>
    </row>
    <row r="1210">
      <c r="A1210" s="159" t="str">
        <f>IFERROR(__xludf.DUMMYFUNCTION("""COMPUTED_VALUE"""),"10.1080/13546800601051847")</f>
        <v>10.1080/13546800601051847</v>
      </c>
      <c r="B1210" s="680" t="str">
        <f>IFERROR(__xludf.DUMMYFUNCTION("""COMPUTED_VALUE"""),"https://drive.google.com/file/d/1rppP1YUM-HanqbmmsqsQ-GJCI5kHEX4N/view?usp=drivesdk")</f>
        <v>https://drive.google.com/file/d/1rppP1YUM-HanqbmmsqsQ-GJCI5kHEX4N/view?usp=drivesdk</v>
      </c>
      <c r="C1210" s="159" t="str">
        <f>IFERROR(__xludf.DUMMYFUNCTION("""COMPUTED_VALUE"""),"10.1080--13546800601051847.pdf")</f>
        <v>10.1080--13546800601051847.pdf</v>
      </c>
      <c r="D1210" s="159" t="str">
        <f>IFERROR(__xludf.DUMMYFUNCTION("""COMPUTED_VALUE"""),"application/pdf")</f>
        <v>application/pdf</v>
      </c>
    </row>
    <row r="1211">
      <c r="A1211" s="159" t="str">
        <f>IFERROR(__xludf.DUMMYFUNCTION("""COMPUTED_VALUE"""),"10.1186/1747-597x-1-22")</f>
        <v>10.1186/1747-597x-1-22</v>
      </c>
      <c r="B1211" s="680" t="str">
        <f>IFERROR(__xludf.DUMMYFUNCTION("""COMPUTED_VALUE"""),"https://drive.google.com/file/d/1tjQTVO3JUK2yQQiLpX4DGhu7m8VZy5c2/view?usp=drivesdk")</f>
        <v>https://drive.google.com/file/d/1tjQTVO3JUK2yQQiLpX4DGhu7m8VZy5c2/view?usp=drivesdk</v>
      </c>
      <c r="C1211" s="159" t="str">
        <f>IFERROR(__xludf.DUMMYFUNCTION("""COMPUTED_VALUE"""),"10.1186--1747-597X-1-22.pdf")</f>
        <v>10.1186--1747-597X-1-22.pdf</v>
      </c>
      <c r="D1211" s="159" t="str">
        <f>IFERROR(__xludf.DUMMYFUNCTION("""COMPUTED_VALUE"""),"application/pdf")</f>
        <v>application/pdf</v>
      </c>
    </row>
    <row r="1212">
      <c r="A1212" s="159" t="str">
        <f>IFERROR(__xludf.DUMMYFUNCTION("""COMPUTED_VALUE"""),"10.1037/0022-3514.83.6.1409")</f>
        <v>10.1037/0022-3514.83.6.1409</v>
      </c>
      <c r="B1212" s="680" t="str">
        <f>IFERROR(__xludf.DUMMYFUNCTION("""COMPUTED_VALUE"""),"https://drive.google.com/file/d/1fVXjEJ1Pit3On7l531q_ubSf6_c1HT_w/view?usp=drivesdk")</f>
        <v>https://drive.google.com/file/d/1fVXjEJ1Pit3On7l531q_ubSf6_c1HT_w/view?usp=drivesdk</v>
      </c>
      <c r="C1212" s="159" t="str">
        <f>IFERROR(__xludf.DUMMYFUNCTION("""COMPUTED_VALUE"""),"10.1037--0022-3514.83.6.1409.pdf")</f>
        <v>10.1037--0022-3514.83.6.1409.pdf</v>
      </c>
      <c r="D1212" s="159" t="str">
        <f>IFERROR(__xludf.DUMMYFUNCTION("""COMPUTED_VALUE"""),"application/pdf")</f>
        <v>application/pdf</v>
      </c>
    </row>
    <row r="1213">
      <c r="A1213" s="159" t="str">
        <f>IFERROR(__xludf.DUMMYFUNCTION("""COMPUTED_VALUE"""),"10.1111/j.0963-7214.2004.01502002.x")</f>
        <v>10.1111/j.0963-7214.2004.01502002.x</v>
      </c>
      <c r="B1213" s="680" t="str">
        <f>IFERROR(__xludf.DUMMYFUNCTION("""COMPUTED_VALUE"""),"https://drive.google.com/file/d/1IHcTncSGzrFn9EPWQvoacI731tq-FbM-/view?usp=drivesdk")</f>
        <v>https://drive.google.com/file/d/1IHcTncSGzrFn9EPWQvoacI731tq-FbM-/view?usp=drivesdk</v>
      </c>
      <c r="C1213" s="159" t="str">
        <f>IFERROR(__xludf.DUMMYFUNCTION("""COMPUTED_VALUE"""),"10.1111--j.0963-7214.2004.01502002.x.pdf")</f>
        <v>10.1111--j.0963-7214.2004.01502002.x.pdf</v>
      </c>
      <c r="D1213" s="159" t="str">
        <f>IFERROR(__xludf.DUMMYFUNCTION("""COMPUTED_VALUE"""),"application/pdf")</f>
        <v>application/pdf</v>
      </c>
    </row>
    <row r="1214">
      <c r="A1214" s="159" t="str">
        <f>IFERROR(__xludf.DUMMYFUNCTION("""COMPUTED_VALUE"""),"10.1080/00223890902936264")</f>
        <v>10.1080/00223890902936264</v>
      </c>
      <c r="B1214" s="680" t="str">
        <f>IFERROR(__xludf.DUMMYFUNCTION("""COMPUTED_VALUE"""),"https://drive.google.com/file/d/1e7jNnjKp7t9RRU85sdreGlwdO9-zUoov/view?usp=drivesdk")</f>
        <v>https://drive.google.com/file/d/1e7jNnjKp7t9RRU85sdreGlwdO9-zUoov/view?usp=drivesdk</v>
      </c>
      <c r="C1214" s="159" t="str">
        <f>IFERROR(__xludf.DUMMYFUNCTION("""COMPUTED_VALUE"""),"10.1080--00223890902936264.pdf")</f>
        <v>10.1080--00223890902936264.pdf</v>
      </c>
      <c r="D1214" s="159" t="str">
        <f>IFERROR(__xludf.DUMMYFUNCTION("""COMPUTED_VALUE"""),"application/pdf")</f>
        <v>application/pdf</v>
      </c>
    </row>
    <row r="1215">
      <c r="A1215" s="159" t="str">
        <f>IFERROR(__xludf.DUMMYFUNCTION("""COMPUTED_VALUE"""),"10.1521/jscp.2005.24.4.580")</f>
        <v>10.1521/jscp.2005.24.4.580</v>
      </c>
      <c r="B1215" s="680" t="str">
        <f>IFERROR(__xludf.DUMMYFUNCTION("""COMPUTED_VALUE"""),"https://drive.google.com/file/d/1vK9eteQJx_WNipJLXtsRzQgB6bupyk0J/view?usp=drivesdk")</f>
        <v>https://drive.google.com/file/d/1vK9eteQJx_WNipJLXtsRzQgB6bupyk0J/view?usp=drivesdk</v>
      </c>
      <c r="C1215" s="159" t="str">
        <f>IFERROR(__xludf.DUMMYFUNCTION("""COMPUTED_VALUE"""),"10.1521--jscp.2005.24.4.580.pdf")</f>
        <v>10.1521--jscp.2005.24.4.580.pdf</v>
      </c>
      <c r="D1215" s="159" t="str">
        <f>IFERROR(__xludf.DUMMYFUNCTION("""COMPUTED_VALUE"""),"application/pdf")</f>
        <v>application/pdf</v>
      </c>
    </row>
    <row r="1216">
      <c r="A1216" s="159" t="str">
        <f>IFERROR(__xludf.DUMMYFUNCTION("""COMPUTED_VALUE"""),"10.1177/1088357615618941")</f>
        <v>10.1177/1088357615618941</v>
      </c>
      <c r="B1216" s="680" t="str">
        <f>IFERROR(__xludf.DUMMYFUNCTION("""COMPUTED_VALUE"""),"https://drive.google.com/file/d/1vUT8wamDg9jdRv_NNs2V8z425TC6e-LD/view?usp=drivesdk")</f>
        <v>https://drive.google.com/file/d/1vUT8wamDg9jdRv_NNs2V8z425TC6e-LD/view?usp=drivesdk</v>
      </c>
      <c r="C1216" s="159" t="str">
        <f>IFERROR(__xludf.DUMMYFUNCTION("""COMPUTED_VALUE"""),"10.1177--1088357615618941.pdf")</f>
        <v>10.1177--1088357615618941.pdf</v>
      </c>
      <c r="D1216" s="159" t="str">
        <f>IFERROR(__xludf.DUMMYFUNCTION("""COMPUTED_VALUE"""),"application/pdf")</f>
        <v>application/pdf</v>
      </c>
    </row>
    <row r="1217">
      <c r="A1217" s="159" t="str">
        <f>IFERROR(__xludf.DUMMYFUNCTION("""COMPUTED_VALUE"""),"10.1016/j.jrp.2011.05.002")</f>
        <v>10.1016/j.jrp.2011.05.002</v>
      </c>
      <c r="B1217" s="680" t="str">
        <f>IFERROR(__xludf.DUMMYFUNCTION("""COMPUTED_VALUE"""),"https://drive.google.com/file/d/1z15pAQPZrPjJXCgao8gc5kzh4LXy8why/view?usp=drivesdk")</f>
        <v>https://drive.google.com/file/d/1z15pAQPZrPjJXCgao8gc5kzh4LXy8why/view?usp=drivesdk</v>
      </c>
      <c r="C1217" s="159" t="str">
        <f>IFERROR(__xludf.DUMMYFUNCTION("""COMPUTED_VALUE"""),"10.1016--j.jrp.2011.05.002.pdf")</f>
        <v>10.1016--j.jrp.2011.05.002.pdf</v>
      </c>
      <c r="D1217" s="159" t="str">
        <f>IFERROR(__xludf.DUMMYFUNCTION("""COMPUTED_VALUE"""),"application/pdf")</f>
        <v>application/pdf</v>
      </c>
    </row>
    <row r="1218">
      <c r="A1218" s="159" t="str">
        <f>IFERROR(__xludf.DUMMYFUNCTION("""COMPUTED_VALUE"""),"10.1016/j.visres.2005.11.018")</f>
        <v>10.1016/j.visres.2005.11.018</v>
      </c>
      <c r="B1218" s="680" t="str">
        <f>IFERROR(__xludf.DUMMYFUNCTION("""COMPUTED_VALUE"""),"https://drive.google.com/file/d/1bFKx0A_XY92I_DOhIBXS1E-EV1cvW5VJ/view?usp=drivesdk")</f>
        <v>https://drive.google.com/file/d/1bFKx0A_XY92I_DOhIBXS1E-EV1cvW5VJ/view?usp=drivesdk</v>
      </c>
      <c r="C1218" s="159" t="str">
        <f>IFERROR(__xludf.DUMMYFUNCTION("""COMPUTED_VALUE"""),"10.1016--j.visres.2005.11.018.pdf")</f>
        <v>10.1016--j.visres.2005.11.018.pdf</v>
      </c>
      <c r="D1218" s="159" t="str">
        <f>IFERROR(__xludf.DUMMYFUNCTION("""COMPUTED_VALUE"""),"application/pdf")</f>
        <v>application/pdf</v>
      </c>
    </row>
    <row r="1219">
      <c r="A1219" s="159" t="str">
        <f>IFERROR(__xludf.DUMMYFUNCTION("""COMPUTED_VALUE"""),"10.1037/0022-006x.76.3.397")</f>
        <v>10.1037/0022-006x.76.3.397</v>
      </c>
      <c r="B1219" s="680" t="str">
        <f>IFERROR(__xludf.DUMMYFUNCTION("""COMPUTED_VALUE"""),"https://drive.google.com/file/d/18U713TF3KVj5t2d2p2OvTOWGGbdjF50i/view?usp=drivesdk")</f>
        <v>https://drive.google.com/file/d/18U713TF3KVj5t2d2p2OvTOWGGbdjF50i/view?usp=drivesdk</v>
      </c>
      <c r="C1219" s="159" t="str">
        <f>IFERROR(__xludf.DUMMYFUNCTION("""COMPUTED_VALUE"""),"10.1037--0022-006X.76.3.397.pdf")</f>
        <v>10.1037--0022-006X.76.3.397.pdf</v>
      </c>
      <c r="D1219" s="159" t="str">
        <f>IFERROR(__xludf.DUMMYFUNCTION("""COMPUTED_VALUE"""),"application/pdf")</f>
        <v>application/pdf</v>
      </c>
    </row>
    <row r="1220">
      <c r="A1220" s="159" t="str">
        <f>IFERROR(__xludf.DUMMYFUNCTION("""COMPUTED_VALUE"""),"10.1007/s10862-010-9195-4")</f>
        <v>10.1007/s10862-010-9195-4</v>
      </c>
      <c r="B1220" s="680" t="str">
        <f>IFERROR(__xludf.DUMMYFUNCTION("""COMPUTED_VALUE"""),"https://drive.google.com/file/d/1sNUaYKnm_4_Uy2ItWaxo-M-4_PKtcb3f/view?usp=drivesdk")</f>
        <v>https://drive.google.com/file/d/1sNUaYKnm_4_Uy2ItWaxo-M-4_PKtcb3f/view?usp=drivesdk</v>
      </c>
      <c r="C1220" s="159" t="str">
        <f>IFERROR(__xludf.DUMMYFUNCTION("""COMPUTED_VALUE"""),"10.1007--s10862-010-9195-4.pdf")</f>
        <v>10.1007--s10862-010-9195-4.pdf</v>
      </c>
      <c r="D1220" s="159" t="str">
        <f>IFERROR(__xludf.DUMMYFUNCTION("""COMPUTED_VALUE"""),"application/pdf")</f>
        <v>application/pdf</v>
      </c>
    </row>
    <row r="1221">
      <c r="A1221" s="159" t="str">
        <f>IFERROR(__xludf.DUMMYFUNCTION("""COMPUTED_VALUE"""),"10.1007/s10803-008-0664-5")</f>
        <v>10.1007/s10803-008-0664-5</v>
      </c>
      <c r="B1221" s="680" t="str">
        <f>IFERROR(__xludf.DUMMYFUNCTION("""COMPUTED_VALUE"""),"https://drive.google.com/file/d/1LCbNLaBznR2swTcM5D8nA5onvypAos0Z/view?usp=drivesdk")</f>
        <v>https://drive.google.com/file/d/1LCbNLaBznR2swTcM5D8nA5onvypAos0Z/view?usp=drivesdk</v>
      </c>
      <c r="C1221" s="159" t="str">
        <f>IFERROR(__xludf.DUMMYFUNCTION("""COMPUTED_VALUE"""),"10.1007--s10803-008-0664-5.pdf")</f>
        <v>10.1007--s10803-008-0664-5.pdf</v>
      </c>
      <c r="D1221" s="159" t="str">
        <f>IFERROR(__xludf.DUMMYFUNCTION("""COMPUTED_VALUE"""),"application/pdf")</f>
        <v>application/pdf</v>
      </c>
    </row>
    <row r="1222">
      <c r="A1222" s="159" t="str">
        <f>IFERROR(__xludf.DUMMYFUNCTION("""COMPUTED_VALUE"""),"10.1007/s10803-013-1829-4")</f>
        <v>10.1007/s10803-013-1829-4</v>
      </c>
      <c r="B1222" s="680" t="str">
        <f>IFERROR(__xludf.DUMMYFUNCTION("""COMPUTED_VALUE"""),"https://drive.google.com/file/d/1NndaOqVABMnFoYLlx_pdrEkIl1hF8ZDe/view?usp=drivesdk")</f>
        <v>https://drive.google.com/file/d/1NndaOqVABMnFoYLlx_pdrEkIl1hF8ZDe/view?usp=drivesdk</v>
      </c>
      <c r="C1222" s="159" t="str">
        <f>IFERROR(__xludf.DUMMYFUNCTION("""COMPUTED_VALUE"""),"10.1007--s10803-013-1829-4.pdf")</f>
        <v>10.1007--s10803-013-1829-4.pdf</v>
      </c>
      <c r="D1222" s="159" t="str">
        <f>IFERROR(__xludf.DUMMYFUNCTION("""COMPUTED_VALUE"""),"application/pdf")</f>
        <v>application/pdf</v>
      </c>
    </row>
    <row r="1223">
      <c r="A1223" s="159" t="str">
        <f>IFERROR(__xludf.DUMMYFUNCTION("""COMPUTED_VALUE"""),"10.1016/j.actpsy.2009.07.012")</f>
        <v>10.1016/j.actpsy.2009.07.012</v>
      </c>
      <c r="B1223" s="680" t="str">
        <f>IFERROR(__xludf.DUMMYFUNCTION("""COMPUTED_VALUE"""),"https://drive.google.com/file/d/1eSg_S7Z1YJQbEy2b5xr8uPr_WGL8tpTK/view?usp=drivesdk")</f>
        <v>https://drive.google.com/file/d/1eSg_S7Z1YJQbEy2b5xr8uPr_WGL8tpTK/view?usp=drivesdk</v>
      </c>
      <c r="C1223" s="159" t="str">
        <f>IFERROR(__xludf.DUMMYFUNCTION("""COMPUTED_VALUE"""),"10.1016--j.actpsy.2009.07.012.pdf")</f>
        <v>10.1016--j.actpsy.2009.07.012.pdf</v>
      </c>
      <c r="D1223" s="159" t="str">
        <f>IFERROR(__xludf.DUMMYFUNCTION("""COMPUTED_VALUE"""),"application/pdf")</f>
        <v>application/pdf</v>
      </c>
    </row>
    <row r="1224">
      <c r="A1224" s="159" t="str">
        <f>IFERROR(__xludf.DUMMYFUNCTION("""COMPUTED_VALUE"""),"10.1016/j.ecresq.2013.07.001")</f>
        <v>10.1016/j.ecresq.2013.07.001</v>
      </c>
      <c r="B1224" s="680" t="str">
        <f>IFERROR(__xludf.DUMMYFUNCTION("""COMPUTED_VALUE"""),"https://drive.google.com/file/d/1gAQlWfkloh0ve11dgicg_ouScuddDWVx/view?usp=drivesdk")</f>
        <v>https://drive.google.com/file/d/1gAQlWfkloh0ve11dgicg_ouScuddDWVx/view?usp=drivesdk</v>
      </c>
      <c r="C1224" s="159" t="str">
        <f>IFERROR(__xludf.DUMMYFUNCTION("""COMPUTED_VALUE"""),"10.1016--j.ecresq.2013.07.001.pdf")</f>
        <v>10.1016--j.ecresq.2013.07.001.pdf</v>
      </c>
      <c r="D1224" s="159" t="str">
        <f>IFERROR(__xludf.DUMMYFUNCTION("""COMPUTED_VALUE"""),"application/pdf")</f>
        <v>application/pdf</v>
      </c>
    </row>
    <row r="1225">
      <c r="A1225" s="159" t="str">
        <f>IFERROR(__xludf.DUMMYFUNCTION("""COMPUTED_VALUE"""),"10.1001/jamapsychiatry.2015.2146")</f>
        <v>10.1001/jamapsychiatry.2015.2146</v>
      </c>
      <c r="B1225" s="680" t="str">
        <f>IFERROR(__xludf.DUMMYFUNCTION("""COMPUTED_VALUE"""),"https://drive.google.com/file/d/1GeKflgXvTcXB8oJi0TP1vpLg2kS38zZW/view?usp=drivesdk")</f>
        <v>https://drive.google.com/file/d/1GeKflgXvTcXB8oJi0TP1vpLg2kS38zZW/view?usp=drivesdk</v>
      </c>
      <c r="C1225" s="159" t="str">
        <f>IFERROR(__xludf.DUMMYFUNCTION("""COMPUTED_VALUE"""),"10.1001--jamapsychiatry.2015.2146.pdf")</f>
        <v>10.1001--jamapsychiatry.2015.2146.pdf</v>
      </c>
      <c r="D1225" s="159" t="str">
        <f>IFERROR(__xludf.DUMMYFUNCTION("""COMPUTED_VALUE"""),"application/pdf")</f>
        <v>application/pdf</v>
      </c>
    </row>
    <row r="1226">
      <c r="A1226" s="159" t="str">
        <f>IFERROR(__xludf.DUMMYFUNCTION("""COMPUTED_VALUE"""),"10.1002/jaba.270")</f>
        <v>10.1002/jaba.270</v>
      </c>
      <c r="B1226" s="680" t="str">
        <f>IFERROR(__xludf.DUMMYFUNCTION("""COMPUTED_VALUE"""),"https://drive.google.com/file/d/1HSSSUVFslr73XKkLRACiudLPlv5TVsma/view?usp=drivesdk")</f>
        <v>https://drive.google.com/file/d/1HSSSUVFslr73XKkLRACiudLPlv5TVsma/view?usp=drivesdk</v>
      </c>
      <c r="C1226" s="159" t="str">
        <f>IFERROR(__xludf.DUMMYFUNCTION("""COMPUTED_VALUE"""),"10.1002--jaba.270.pdf")</f>
        <v>10.1002--jaba.270.pdf</v>
      </c>
      <c r="D1226" s="159" t="str">
        <f>IFERROR(__xludf.DUMMYFUNCTION("""COMPUTED_VALUE"""),"application/pdf")</f>
        <v>application/pdf</v>
      </c>
    </row>
    <row r="1227">
      <c r="A1227" s="159" t="str">
        <f>IFERROR(__xludf.DUMMYFUNCTION("""COMPUTED_VALUE"""),"10.1016/j.ridd.2013.02.012")</f>
        <v>10.1016/j.ridd.2013.02.012</v>
      </c>
      <c r="B1227" s="680" t="str">
        <f>IFERROR(__xludf.DUMMYFUNCTION("""COMPUTED_VALUE"""),"https://drive.google.com/file/d/1BMP7byNCGSWS7fgxNcx79SHM-IdVZaKn/view?usp=drivesdk")</f>
        <v>https://drive.google.com/file/d/1BMP7byNCGSWS7fgxNcx79SHM-IdVZaKn/view?usp=drivesdk</v>
      </c>
      <c r="C1227" s="159" t="str">
        <f>IFERROR(__xludf.DUMMYFUNCTION("""COMPUTED_VALUE"""),"10.1016--j.ridd.2013.02.012.pdf")</f>
        <v>10.1016--j.ridd.2013.02.012.pdf</v>
      </c>
      <c r="D1227" s="159" t="str">
        <f>IFERROR(__xludf.DUMMYFUNCTION("""COMPUTED_VALUE"""),"application/pdf")</f>
        <v>application/pdf</v>
      </c>
    </row>
    <row r="1228">
      <c r="A1228" s="159" t="str">
        <f>IFERROR(__xludf.DUMMYFUNCTION("""COMPUTED_VALUE"""),"10.1002/1098-108x(199412)16:4&lt;363::aid-eat2260160405&gt;3.0.co;2-%23")</f>
        <v>10.1002/1098-108x(199412)16:4&lt;363::aid-eat2260160405&gt;3.0.co;2-%23</v>
      </c>
      <c r="B1228" s="680" t="str">
        <f>IFERROR(__xludf.DUMMYFUNCTION("""COMPUTED_VALUE"""),"https://drive.google.com/file/d/1MDnUULp2n6-FnmJqg7yO4qcONfENz0ZN/view?usp=drivesdk")</f>
        <v>https://drive.google.com/file/d/1MDnUULp2n6-FnmJqg7yO4qcONfENz0ZN/view?usp=drivesdk</v>
      </c>
      <c r="C1228" s="159" t="str">
        <f>IFERROR(__xludf.DUMMYFUNCTION("""COMPUTED_VALUE"""),"10.1002--1098-108X(199412)16:4&lt;363::AID-EAT2260160405&gt;3.0.CO;2-%23.pdf")</f>
        <v>10.1002--1098-108X(199412)16:4&lt;363::AID-EAT2260160405&gt;3.0.CO;2-%23.pdf</v>
      </c>
      <c r="D1228" s="159" t="str">
        <f>IFERROR(__xludf.DUMMYFUNCTION("""COMPUTED_VALUE"""),"application/pdf")</f>
        <v>application/pdf</v>
      </c>
    </row>
    <row r="1229">
      <c r="A1229" s="159" t="str">
        <f>IFERROR(__xludf.DUMMYFUNCTION("""COMPUTED_VALUE"""),"10.1901/jaba.2012.45-473")</f>
        <v>10.1901/jaba.2012.45-473</v>
      </c>
      <c r="B1229" s="680" t="str">
        <f>IFERROR(__xludf.DUMMYFUNCTION("""COMPUTED_VALUE"""),"https://drive.google.com/file/d/1QRZutMF67vAfgCZi_E5eATJgn-QCO4IK/view?usp=drivesdk")</f>
        <v>https://drive.google.com/file/d/1QRZutMF67vAfgCZi_E5eATJgn-QCO4IK/view?usp=drivesdk</v>
      </c>
      <c r="C1229" s="159" t="str">
        <f>IFERROR(__xludf.DUMMYFUNCTION("""COMPUTED_VALUE"""),"10.1901--jaba.2012.45-473.pdf")</f>
        <v>10.1901--jaba.2012.45-473.pdf</v>
      </c>
      <c r="D1229" s="159" t="str">
        <f>IFERROR(__xludf.DUMMYFUNCTION("""COMPUTED_VALUE"""),"application/pdf")</f>
        <v>application/pdf</v>
      </c>
    </row>
    <row r="1230">
      <c r="A1230" s="159" t="str">
        <f>IFERROR(__xludf.DUMMYFUNCTION("""COMPUTED_VALUE"""),"10.1177/1474704917702459")</f>
        <v>10.1177/1474704917702459</v>
      </c>
      <c r="B1230" s="680" t="str">
        <f>IFERROR(__xludf.DUMMYFUNCTION("""COMPUTED_VALUE"""),"https://drive.google.com/file/d/13HXL6bBHEeobJ0atlXPiiTYTAvwneQ8X/view?usp=drivesdk")</f>
        <v>https://drive.google.com/file/d/13HXL6bBHEeobJ0atlXPiiTYTAvwneQ8X/view?usp=drivesdk</v>
      </c>
      <c r="C1230" s="159" t="str">
        <f>IFERROR(__xludf.DUMMYFUNCTION("""COMPUTED_VALUE"""),"10.1177--1474704917702459.pdf")</f>
        <v>10.1177--1474704917702459.pdf</v>
      </c>
      <c r="D1230" s="159" t="str">
        <f>IFERROR(__xludf.DUMMYFUNCTION("""COMPUTED_VALUE"""),"application/pdf")</f>
        <v>application/pdf</v>
      </c>
    </row>
    <row r="1231">
      <c r="A1231" s="159" t="str">
        <f>IFERROR(__xludf.DUMMYFUNCTION("""COMPUTED_VALUE"""),"10.1097/00004703-200604002-00013")</f>
        <v>10.1097/00004703-200604002-00013</v>
      </c>
      <c r="B1231" s="680" t="str">
        <f>IFERROR(__xludf.DUMMYFUNCTION("""COMPUTED_VALUE"""),"https://drive.google.com/file/d/1DpRthxOkoc5ttT6b0_Ddsnml6y-xfOZB/view?usp=drivesdk")</f>
        <v>https://drive.google.com/file/d/1DpRthxOkoc5ttT6b0_Ddsnml6y-xfOZB/view?usp=drivesdk</v>
      </c>
      <c r="C1231" s="159" t="str">
        <f>IFERROR(__xludf.DUMMYFUNCTION("""COMPUTED_VALUE"""),"10.1097--00004703-200604002-00013.pdf")</f>
        <v>10.1097--00004703-200604002-00013.pdf</v>
      </c>
      <c r="D1231" s="159" t="str">
        <f>IFERROR(__xludf.DUMMYFUNCTION("""COMPUTED_VALUE"""),"application/pdf")</f>
        <v>application/pdf</v>
      </c>
    </row>
    <row r="1232">
      <c r="A1232" s="159" t="str">
        <f>IFERROR(__xludf.DUMMYFUNCTION("""COMPUTED_VALUE"""),"10.1037/0022-3514.84.4.822")</f>
        <v>10.1037/0022-3514.84.4.822</v>
      </c>
      <c r="B1232" s="680" t="str">
        <f>IFERROR(__xludf.DUMMYFUNCTION("""COMPUTED_VALUE"""),"https://drive.google.com/file/d/1fcQEFr_21wbt3K30-PTO-trKe-ZhF58q/view?usp=drivesdk")</f>
        <v>https://drive.google.com/file/d/1fcQEFr_21wbt3K30-PTO-trKe-ZhF58q/view?usp=drivesdk</v>
      </c>
      <c r="C1232" s="159" t="str">
        <f>IFERROR(__xludf.DUMMYFUNCTION("""COMPUTED_VALUE"""),"10.1037--0022-3514.84.4.822.pdf")</f>
        <v>10.1037--0022-3514.84.4.822.pdf</v>
      </c>
      <c r="D1232" s="159" t="str">
        <f>IFERROR(__xludf.DUMMYFUNCTION("""COMPUTED_VALUE"""),"application/pdf")</f>
        <v>application/pdf</v>
      </c>
    </row>
    <row r="1233">
      <c r="A1233" s="159" t="str">
        <f>IFERROR(__xludf.DUMMYFUNCTION("""COMPUTED_VALUE"""),"10.1016/j.jrp.2012.05.005")</f>
        <v>10.1016/j.jrp.2012.05.005</v>
      </c>
      <c r="B1233" s="680" t="str">
        <f>IFERROR(__xludf.DUMMYFUNCTION("""COMPUTED_VALUE"""),"https://drive.google.com/file/d/1X-YLxJ1nryt6k9oHzCfNCJla4hIrRiYy/view?usp=drivesdk")</f>
        <v>https://drive.google.com/file/d/1X-YLxJ1nryt6k9oHzCfNCJla4hIrRiYy/view?usp=drivesdk</v>
      </c>
      <c r="C1233" s="159" t="str">
        <f>IFERROR(__xludf.DUMMYFUNCTION("""COMPUTED_VALUE"""),"10.1016--j.jrp.2012.05.005.pdf")</f>
        <v>10.1016--j.jrp.2012.05.005.pdf</v>
      </c>
      <c r="D1233" s="159" t="str">
        <f>IFERROR(__xludf.DUMMYFUNCTION("""COMPUTED_VALUE"""),"application/pdf")</f>
        <v>application/pdf</v>
      </c>
    </row>
    <row r="1234">
      <c r="A1234" s="159" t="str">
        <f>IFERROR(__xludf.DUMMYFUNCTION("""COMPUTED_VALUE"""),"10.1037/0894-4105.22.3.383")</f>
        <v>10.1037/0894-4105.22.3.383</v>
      </c>
      <c r="B1234" s="680" t="str">
        <f>IFERROR(__xludf.DUMMYFUNCTION("""COMPUTED_VALUE"""),"https://drive.google.com/file/d/1XZOrXuHICMrlamIW-ybqQ_ICjkxfdP95/view?usp=drivesdk")</f>
        <v>https://drive.google.com/file/d/1XZOrXuHICMrlamIW-ybqQ_ICjkxfdP95/view?usp=drivesdk</v>
      </c>
      <c r="C1234" s="159" t="str">
        <f>IFERROR(__xludf.DUMMYFUNCTION("""COMPUTED_VALUE"""),"10.1037--0894-4105.22.3.383.pdf")</f>
        <v>10.1037--0894-4105.22.3.383.pdf</v>
      </c>
      <c r="D1234" s="159" t="str">
        <f>IFERROR(__xludf.DUMMYFUNCTION("""COMPUTED_VALUE"""),"application/pdf")</f>
        <v>application/pdf</v>
      </c>
    </row>
    <row r="1235">
      <c r="A1235" s="159" t="str">
        <f>IFERROR(__xludf.DUMMYFUNCTION("""COMPUTED_VALUE"""),"10.1007/bf03325066")</f>
        <v>10.1007/bf03325066</v>
      </c>
      <c r="B1235" s="680" t="str">
        <f>IFERROR(__xludf.DUMMYFUNCTION("""COMPUTED_VALUE"""),"https://drive.google.com/file/d/1rIcc23FDkVwYNZ5qQqM8pMLBJWDlN_-3/view?usp=drivesdk")</f>
        <v>https://drive.google.com/file/d/1rIcc23FDkVwYNZ5qQqM8pMLBJWDlN_-3/view?usp=drivesdk</v>
      </c>
      <c r="C1235" s="159" t="str">
        <f>IFERROR(__xludf.DUMMYFUNCTION("""COMPUTED_VALUE"""),"10.1007--BF03325066.pdf")</f>
        <v>10.1007--BF03325066.pdf</v>
      </c>
      <c r="D1235" s="159" t="str">
        <f>IFERROR(__xludf.DUMMYFUNCTION("""COMPUTED_VALUE"""),"application/pdf")</f>
        <v>application/pdf</v>
      </c>
    </row>
    <row r="1236">
      <c r="A1236" s="159" t="str">
        <f>IFERROR(__xludf.DUMMYFUNCTION("""COMPUTED_VALUE"""),"10.3389/fgene.2013.00246")</f>
        <v>10.3389/fgene.2013.00246</v>
      </c>
      <c r="B1236" s="680" t="str">
        <f>IFERROR(__xludf.DUMMYFUNCTION("""COMPUTED_VALUE"""),"https://drive.google.com/file/d/1PK9zW01oolAe1aObtWLuxmXRodjxTP7R/view?usp=drivesdk")</f>
        <v>https://drive.google.com/file/d/1PK9zW01oolAe1aObtWLuxmXRodjxTP7R/view?usp=drivesdk</v>
      </c>
      <c r="C1236" s="159" t="str">
        <f>IFERROR(__xludf.DUMMYFUNCTION("""COMPUTED_VALUE"""),"10.3389--fgene.2013.00246.pdf")</f>
        <v>10.3389--fgene.2013.00246.pdf</v>
      </c>
      <c r="D1236" s="159" t="str">
        <f>IFERROR(__xludf.DUMMYFUNCTION("""COMPUTED_VALUE"""),"application/pdf")</f>
        <v>application/pdf</v>
      </c>
    </row>
    <row r="1237">
      <c r="A1237" s="159" t="str">
        <f>IFERROR(__xludf.DUMMYFUNCTION("""COMPUTED_VALUE"""),"10.1080/00207594.2013.778414")</f>
        <v>10.1080/00207594.2013.778414</v>
      </c>
      <c r="B1237" s="680" t="str">
        <f>IFERROR(__xludf.DUMMYFUNCTION("""COMPUTED_VALUE"""),"https://drive.google.com/file/d/1Up5KpUA2Nhbb7B9TOjXSX1dkhH3dHx60/view?usp=drivesdk")</f>
        <v>https://drive.google.com/file/d/1Up5KpUA2Nhbb7B9TOjXSX1dkhH3dHx60/view?usp=drivesdk</v>
      </c>
      <c r="C1237" s="159" t="str">
        <f>IFERROR(__xludf.DUMMYFUNCTION("""COMPUTED_VALUE"""),"10.1080--00207594.2013.778414.pdf")</f>
        <v>10.1080--00207594.2013.778414.pdf</v>
      </c>
      <c r="D1237" s="159" t="str">
        <f>IFERROR(__xludf.DUMMYFUNCTION("""COMPUTED_VALUE"""),"application/pdf")</f>
        <v>application/pdf</v>
      </c>
    </row>
    <row r="1238">
      <c r="A1238" s="159" t="str">
        <f>IFERROR(__xludf.DUMMYFUNCTION("""COMPUTED_VALUE"""),"10.1007/s12529-016-9607-2")</f>
        <v>10.1007/s12529-016-9607-2</v>
      </c>
      <c r="B1238" s="680" t="str">
        <f>IFERROR(__xludf.DUMMYFUNCTION("""COMPUTED_VALUE"""),"https://drive.google.com/file/d/1gGqQ1FNoFCMCQmeYkORa95CE47KJX9DX/view?usp=drivesdk")</f>
        <v>https://drive.google.com/file/d/1gGqQ1FNoFCMCQmeYkORa95CE47KJX9DX/view?usp=drivesdk</v>
      </c>
      <c r="C1238" s="159" t="str">
        <f>IFERROR(__xludf.DUMMYFUNCTION("""COMPUTED_VALUE"""),"10.1007--s12529-016-9607-2.pdf")</f>
        <v>10.1007--s12529-016-9607-2.pdf</v>
      </c>
      <c r="D1238" s="159" t="str">
        <f>IFERROR(__xludf.DUMMYFUNCTION("""COMPUTED_VALUE"""),"application/pdf")</f>
        <v>application/pdf</v>
      </c>
    </row>
    <row r="1239">
      <c r="A1239" s="159" t="str">
        <f>IFERROR(__xludf.DUMMYFUNCTION("""COMPUTED_VALUE"""),"10.1080/02699930143000374")</f>
        <v>10.1080/02699930143000374</v>
      </c>
      <c r="B1239" s="680" t="str">
        <f>IFERROR(__xludf.DUMMYFUNCTION("""COMPUTED_VALUE"""),"https://drive.google.com/file/d/1Kk8JGlLS_VipK-XcBlqpiX-P55HO2JmV/view?usp=drivesdk")</f>
        <v>https://drive.google.com/file/d/1Kk8JGlLS_VipK-XcBlqpiX-P55HO2JmV/view?usp=drivesdk</v>
      </c>
      <c r="C1239" s="159" t="str">
        <f>IFERROR(__xludf.DUMMYFUNCTION("""COMPUTED_VALUE"""),"10.1080--02699930143000374.pdf")</f>
        <v>10.1080--02699930143000374.pdf</v>
      </c>
      <c r="D1239" s="159" t="str">
        <f>IFERROR(__xludf.DUMMYFUNCTION("""COMPUTED_VALUE"""),"application/pdf")</f>
        <v>application/pdf</v>
      </c>
    </row>
    <row r="1240">
      <c r="A1240" s="159" t="str">
        <f>IFERROR(__xludf.DUMMYFUNCTION("""COMPUTED_VALUE"""),"10.1080/23311908.2016.1199294")</f>
        <v>10.1080/23311908.2016.1199294</v>
      </c>
      <c r="B1240" s="680" t="str">
        <f>IFERROR(__xludf.DUMMYFUNCTION("""COMPUTED_VALUE"""),"https://drive.google.com/file/d/1kdPR5vcnadM910rDTrcuMSi5ztRwehDP/view?usp=drivesdk")</f>
        <v>https://drive.google.com/file/d/1kdPR5vcnadM910rDTrcuMSi5ztRwehDP/view?usp=drivesdk</v>
      </c>
      <c r="C1240" s="159" t="str">
        <f>IFERROR(__xludf.DUMMYFUNCTION("""COMPUTED_VALUE"""),"10.1080--23311908.2016.1199294.pdf")</f>
        <v>10.1080--23311908.2016.1199294.pdf</v>
      </c>
      <c r="D1240" s="159" t="str">
        <f>IFERROR(__xludf.DUMMYFUNCTION("""COMPUTED_VALUE"""),"application/pdf")</f>
        <v>application/pdf</v>
      </c>
    </row>
    <row r="1241">
      <c r="A1241" s="159" t="str">
        <f>IFERROR(__xludf.DUMMYFUNCTION("""COMPUTED_VALUE"""),"10.1016/j.paid.2014.11.040")</f>
        <v>10.1016/j.paid.2014.11.040</v>
      </c>
      <c r="B1241" s="680" t="str">
        <f>IFERROR(__xludf.DUMMYFUNCTION("""COMPUTED_VALUE"""),"https://drive.google.com/file/d/1alfL4rXzwhSOjwVbljRPqMEDJD1p_bH_/view?usp=drivesdk")</f>
        <v>https://drive.google.com/file/d/1alfL4rXzwhSOjwVbljRPqMEDJD1p_bH_/view?usp=drivesdk</v>
      </c>
      <c r="C1241" s="159" t="str">
        <f>IFERROR(__xludf.DUMMYFUNCTION("""COMPUTED_VALUE"""),"10.1016--j.paid.2014.11.040.pdf")</f>
        <v>10.1016--j.paid.2014.11.040.pdf</v>
      </c>
      <c r="D1241" s="159" t="str">
        <f>IFERROR(__xludf.DUMMYFUNCTION("""COMPUTED_VALUE"""),"application/pdf")</f>
        <v>application/pdf</v>
      </c>
    </row>
    <row r="1242">
      <c r="A1242" s="159" t="str">
        <f>IFERROR(__xludf.DUMMYFUNCTION("""COMPUTED_VALUE"""),"10.1016/j.paid.2009.11.002")</f>
        <v>10.1016/j.paid.2009.11.002</v>
      </c>
      <c r="B1242" s="680" t="str">
        <f>IFERROR(__xludf.DUMMYFUNCTION("""COMPUTED_VALUE"""),"https://drive.google.com/file/d/1tDcOxq4h_QB7r--zun0YfiYhBgzXidMZ/view?usp=drivesdk")</f>
        <v>https://drive.google.com/file/d/1tDcOxq4h_QB7r--zun0YfiYhBgzXidMZ/view?usp=drivesdk</v>
      </c>
      <c r="C1242" s="159" t="str">
        <f>IFERROR(__xludf.DUMMYFUNCTION("""COMPUTED_VALUE"""),"10.1016--j.paid.2009.11.002.pdf")</f>
        <v>10.1016--j.paid.2009.11.002.pdf</v>
      </c>
      <c r="D1242" s="159" t="str">
        <f>IFERROR(__xludf.DUMMYFUNCTION("""COMPUTED_VALUE"""),"application/pdf")</f>
        <v>application/pdf</v>
      </c>
    </row>
    <row r="1243">
      <c r="A1243" s="159" t="str">
        <f>IFERROR(__xludf.DUMMYFUNCTION("""COMPUTED_VALUE"""),"10.1016/j.psychres.2013.11.009")</f>
        <v>10.1016/j.psychres.2013.11.009</v>
      </c>
      <c r="B1243" s="680" t="str">
        <f>IFERROR(__xludf.DUMMYFUNCTION("""COMPUTED_VALUE"""),"https://drive.google.com/file/d/1aas7piVJyfMlXDfZVcy2BNATmn7OrUT5/view?usp=drivesdk")</f>
        <v>https://drive.google.com/file/d/1aas7piVJyfMlXDfZVcy2BNATmn7OrUT5/view?usp=drivesdk</v>
      </c>
      <c r="C1243" s="159" t="str">
        <f>IFERROR(__xludf.DUMMYFUNCTION("""COMPUTED_VALUE"""),"10.1016--j.psychres.2013.11.009.pdf")</f>
        <v>10.1016--j.psychres.2013.11.009.pdf</v>
      </c>
      <c r="D1243" s="159" t="str">
        <f>IFERROR(__xludf.DUMMYFUNCTION("""COMPUTED_VALUE"""),"application/pdf")</f>
        <v>application/pdf</v>
      </c>
    </row>
    <row r="1244">
      <c r="A1244" s="159" t="str">
        <f>IFERROR(__xludf.DUMMYFUNCTION("""COMPUTED_VALUE"""),"10.1002/ejsp.446")</f>
        <v>10.1002/ejsp.446</v>
      </c>
      <c r="B1244" s="680" t="str">
        <f>IFERROR(__xludf.DUMMYFUNCTION("""COMPUTED_VALUE"""),"https://drive.google.com/file/d/1gG02tv3PWyQz_Ib3EeWspGFEQD7yZJ4S/view?usp=drivesdk")</f>
        <v>https://drive.google.com/file/d/1gG02tv3PWyQz_Ib3EeWspGFEQD7yZJ4S/view?usp=drivesdk</v>
      </c>
      <c r="C1244" s="159" t="str">
        <f>IFERROR(__xludf.DUMMYFUNCTION("""COMPUTED_VALUE"""),"10.1002--ejsp.446.pdf")</f>
        <v>10.1002--ejsp.446.pdf</v>
      </c>
      <c r="D1244" s="159" t="str">
        <f>IFERROR(__xludf.DUMMYFUNCTION("""COMPUTED_VALUE"""),"application/pdf")</f>
        <v>application/pdf</v>
      </c>
    </row>
    <row r="1245">
      <c r="A1245" s="159" t="str">
        <f>IFERROR(__xludf.DUMMYFUNCTION("""COMPUTED_VALUE"""),"10.1177/0886260512436386")</f>
        <v>10.1177/0886260512436386</v>
      </c>
      <c r="B1245" s="680" t="str">
        <f>IFERROR(__xludf.DUMMYFUNCTION("""COMPUTED_VALUE"""),"https://drive.google.com/file/d/1tZqiX4yaCWNZp0VBksEuDisPC0QorBFC/view?usp=drivesdk")</f>
        <v>https://drive.google.com/file/d/1tZqiX4yaCWNZp0VBksEuDisPC0QorBFC/view?usp=drivesdk</v>
      </c>
      <c r="C1245" s="159" t="str">
        <f>IFERROR(__xludf.DUMMYFUNCTION("""COMPUTED_VALUE"""),"10.1177--0886260512436386.pdf")</f>
        <v>10.1177--0886260512436386.pdf</v>
      </c>
      <c r="D1245" s="159" t="str">
        <f>IFERROR(__xludf.DUMMYFUNCTION("""COMPUTED_VALUE"""),"application/pdf")</f>
        <v>application/pdf</v>
      </c>
    </row>
    <row r="1246">
      <c r="A1246" s="159" t="str">
        <f>IFERROR(__xludf.DUMMYFUNCTION("""COMPUTED_VALUE"""),"10.1111/jcom.12135")</f>
        <v>10.1111/jcom.12135</v>
      </c>
      <c r="B1246" s="680" t="str">
        <f>IFERROR(__xludf.DUMMYFUNCTION("""COMPUTED_VALUE"""),"https://drive.google.com/file/d/1A0ji2boMvIVfZW9YqaNx_sESaCqIAN8o/view?usp=drivesdk")</f>
        <v>https://drive.google.com/file/d/1A0ji2boMvIVfZW9YqaNx_sESaCqIAN8o/view?usp=drivesdk</v>
      </c>
      <c r="C1246" s="159" t="str">
        <f>IFERROR(__xludf.DUMMYFUNCTION("""COMPUTED_VALUE"""),"10.1111--jcom.12135.pdf")</f>
        <v>10.1111--jcom.12135.pdf</v>
      </c>
      <c r="D1246" s="159" t="str">
        <f>IFERROR(__xludf.DUMMYFUNCTION("""COMPUTED_VALUE"""),"application/pdf")</f>
        <v>application/pdf</v>
      </c>
    </row>
    <row r="1247">
      <c r="A1247" s="159" t="str">
        <f>IFERROR(__xludf.DUMMYFUNCTION("""COMPUTED_VALUE"""),"10.1016/j.jml.2010.11.002")</f>
        <v>10.1016/j.jml.2010.11.002</v>
      </c>
      <c r="B1247" s="680" t="str">
        <f>IFERROR(__xludf.DUMMYFUNCTION("""COMPUTED_VALUE"""),"https://drive.google.com/file/d/1Iq2exajG-TDJLBR_-7xMUUfWxSTwJWDV/view?usp=drivesdk")</f>
        <v>https://drive.google.com/file/d/1Iq2exajG-TDJLBR_-7xMUUfWxSTwJWDV/view?usp=drivesdk</v>
      </c>
      <c r="C1247" s="159" t="str">
        <f>IFERROR(__xludf.DUMMYFUNCTION("""COMPUTED_VALUE"""),"10.1016--j.jml.2010.11.002.pdf")</f>
        <v>10.1016--j.jml.2010.11.002.pdf</v>
      </c>
      <c r="D1247" s="159" t="str">
        <f>IFERROR(__xludf.DUMMYFUNCTION("""COMPUTED_VALUE"""),"application/pdf")</f>
        <v>application/pdf</v>
      </c>
    </row>
    <row r="1248">
      <c r="A1248" s="159" t="str">
        <f>IFERROR(__xludf.DUMMYFUNCTION("""COMPUTED_VALUE"""),"10.3758/s13420-018-0336-z")</f>
        <v>10.3758/s13420-018-0336-z</v>
      </c>
      <c r="B1248" s="680" t="str">
        <f>IFERROR(__xludf.DUMMYFUNCTION("""COMPUTED_VALUE"""),"https://drive.google.com/file/d/1QohAMMPIG9bNDxF5TO_ctDY-bzJUlb_y/view?usp=drivesdk")</f>
        <v>https://drive.google.com/file/d/1QohAMMPIG9bNDxF5TO_ctDY-bzJUlb_y/view?usp=drivesdk</v>
      </c>
      <c r="C1248" s="159" t="str">
        <f>IFERROR(__xludf.DUMMYFUNCTION("""COMPUTED_VALUE"""),"10.3758--s13420-018-0336-z.pdf")</f>
        <v>10.3758--s13420-018-0336-z.pdf</v>
      </c>
      <c r="D1248" s="159" t="str">
        <f>IFERROR(__xludf.DUMMYFUNCTION("""COMPUTED_VALUE"""),"application/pdf")</f>
        <v>application/pdf</v>
      </c>
    </row>
    <row r="1249">
      <c r="A1249" s="159" t="str">
        <f>IFERROR(__xludf.DUMMYFUNCTION("""COMPUTED_VALUE"""),"10.1016/j.beproc.2005.09.002")</f>
        <v>10.1016/j.beproc.2005.09.002</v>
      </c>
      <c r="B1249" s="680" t="str">
        <f>IFERROR(__xludf.DUMMYFUNCTION("""COMPUTED_VALUE"""),"https://drive.google.com/file/d/1UM8vlzbWtWJPbRgufyRQ5udR9qVzuZSK/view?usp=drivesdk")</f>
        <v>https://drive.google.com/file/d/1UM8vlzbWtWJPbRgufyRQ5udR9qVzuZSK/view?usp=drivesdk</v>
      </c>
      <c r="C1249" s="159" t="str">
        <f>IFERROR(__xludf.DUMMYFUNCTION("""COMPUTED_VALUE"""),"10.1016--j.beproc.2005.09.002.pdf")</f>
        <v>10.1016--j.beproc.2005.09.002.pdf</v>
      </c>
      <c r="D1249" s="159" t="str">
        <f>IFERROR(__xludf.DUMMYFUNCTION("""COMPUTED_VALUE"""),"application/pdf")</f>
        <v>application/pdf</v>
      </c>
    </row>
    <row r="1250">
      <c r="A1250" s="159" t="str">
        <f>IFERROR(__xludf.DUMMYFUNCTION("""COMPUTED_VALUE"""),"10.1177/1754073908100432")</f>
        <v>10.1177/1754073908100432</v>
      </c>
      <c r="B1250" s="680" t="str">
        <f>IFERROR(__xludf.DUMMYFUNCTION("""COMPUTED_VALUE"""),"https://drive.google.com/file/d/14dpPfnnGxxoMpSv9KbJv_DGRBbGGNcej/view?usp=drivesdk")</f>
        <v>https://drive.google.com/file/d/14dpPfnnGxxoMpSv9KbJv_DGRBbGGNcej/view?usp=drivesdk</v>
      </c>
      <c r="C1250" s="159" t="str">
        <f>IFERROR(__xludf.DUMMYFUNCTION("""COMPUTED_VALUE"""),"10.1177--1754073908100432.pdf")</f>
        <v>10.1177--1754073908100432.pdf</v>
      </c>
      <c r="D1250" s="159" t="str">
        <f>IFERROR(__xludf.DUMMYFUNCTION("""COMPUTED_VALUE"""),"application/pdf")</f>
        <v>application/pdf</v>
      </c>
    </row>
    <row r="1251">
      <c r="A1251" s="159" t="str">
        <f>IFERROR(__xludf.DUMMYFUNCTION("""COMPUTED_VALUE"""),"10.1038/nn1979")</f>
        <v>10.1038/nn1979</v>
      </c>
      <c r="B1251" s="680" t="str">
        <f>IFERROR(__xludf.DUMMYFUNCTION("""COMPUTED_VALUE"""),"https://drive.google.com/file/d/1YPPJtv3xDHwJ3jEdQAjDOFSRUnuq15hb/view?usp=drivesdk")</f>
        <v>https://drive.google.com/file/d/1YPPJtv3xDHwJ3jEdQAjDOFSRUnuq15hb/view?usp=drivesdk</v>
      </c>
      <c r="C1251" s="159" t="str">
        <f>IFERROR(__xludf.DUMMYFUNCTION("""COMPUTED_VALUE"""),"10.1038--nn1979.pdf")</f>
        <v>10.1038--nn1979.pdf</v>
      </c>
      <c r="D1251" s="159" t="str">
        <f>IFERROR(__xludf.DUMMYFUNCTION("""COMPUTED_VALUE"""),"application/pdf")</f>
        <v>application/pdf</v>
      </c>
    </row>
    <row r="1252">
      <c r="A1252" s="159" t="str">
        <f>IFERROR(__xludf.DUMMYFUNCTION("""COMPUTED_VALUE"""),"10.1016/j.cognition.2007.09.006")</f>
        <v>10.1016/j.cognition.2007.09.006</v>
      </c>
      <c r="B1252" s="680" t="str">
        <f>IFERROR(__xludf.DUMMYFUNCTION("""COMPUTED_VALUE"""),"https://drive.google.com/file/d/1bLrBDqjkPMmEx6FX59L8orwnDLu8WIXb/view?usp=drivesdk")</f>
        <v>https://drive.google.com/file/d/1bLrBDqjkPMmEx6FX59L8orwnDLu8WIXb/view?usp=drivesdk</v>
      </c>
      <c r="C1252" s="159" t="str">
        <f>IFERROR(__xludf.DUMMYFUNCTION("""COMPUTED_VALUE"""),"10.1016--j.cognition.2007.09.006.pdf")</f>
        <v>10.1016--j.cognition.2007.09.006.pdf</v>
      </c>
      <c r="D1252" s="159" t="str">
        <f>IFERROR(__xludf.DUMMYFUNCTION("""COMPUTED_VALUE"""),"application/pdf")</f>
        <v>application/pdf</v>
      </c>
    </row>
    <row r="1253">
      <c r="A1253" s="159" t="str">
        <f>IFERROR(__xludf.DUMMYFUNCTION("""COMPUTED_VALUE"""),"10.1068/p5098")</f>
        <v>10.1068/p5098</v>
      </c>
      <c r="B1253" s="680" t="str">
        <f>IFERROR(__xludf.DUMMYFUNCTION("""COMPUTED_VALUE"""),"https://drive.google.com/file/d/1EKIaHTuti7XKw2mQk08MnnJylEMMAcKd/view?usp=drivesdk")</f>
        <v>https://drive.google.com/file/d/1EKIaHTuti7XKw2mQk08MnnJylEMMAcKd/view?usp=drivesdk</v>
      </c>
      <c r="C1253" s="159" t="str">
        <f>IFERROR(__xludf.DUMMYFUNCTION("""COMPUTED_VALUE"""),"10.1068--p5098.pdf")</f>
        <v>10.1068--p5098.pdf</v>
      </c>
      <c r="D1253" s="159" t="str">
        <f>IFERROR(__xludf.DUMMYFUNCTION("""COMPUTED_VALUE"""),"application/pdf")</f>
        <v>application/pdf</v>
      </c>
    </row>
    <row r="1254">
      <c r="A1254" s="159" t="str">
        <f>IFERROR(__xludf.DUMMYFUNCTION("""COMPUTED_VALUE"""),"10.1901/jeab.2002.78-433")</f>
        <v>10.1901/jeab.2002.78-433</v>
      </c>
      <c r="B1254" s="680" t="str">
        <f>IFERROR(__xludf.DUMMYFUNCTION("""COMPUTED_VALUE"""),"https://drive.google.com/file/d/1UfgwGKxa_5AvpC76256uuBjZknlA8ib3/view?usp=drivesdk")</f>
        <v>https://drive.google.com/file/d/1UfgwGKxa_5AvpC76256uuBjZknlA8ib3/view?usp=drivesdk</v>
      </c>
      <c r="C1254" s="159" t="str">
        <f>IFERROR(__xludf.DUMMYFUNCTION("""COMPUTED_VALUE"""),"10.1901--jeab.2002.78-433.pdf")</f>
        <v>10.1901--jeab.2002.78-433.pdf</v>
      </c>
      <c r="D1254" s="159" t="str">
        <f>IFERROR(__xludf.DUMMYFUNCTION("""COMPUTED_VALUE"""),"application/pdf")</f>
        <v>application/pdf</v>
      </c>
    </row>
    <row r="1255">
      <c r="A1255" s="159" t="str">
        <f>IFERROR(__xludf.DUMMYFUNCTION("""COMPUTED_VALUE"""),"10.1037/0022-3514.89.3.277")</f>
        <v>10.1037/0022-3514.89.3.277</v>
      </c>
      <c r="B1255" s="680" t="str">
        <f>IFERROR(__xludf.DUMMYFUNCTION("""COMPUTED_VALUE"""),"https://drive.google.com/file/d/1AB61jwhOBItiyDw3TIyUHNiUPtTkAH3o/view?usp=drivesdk")</f>
        <v>https://drive.google.com/file/d/1AB61jwhOBItiyDw3TIyUHNiUPtTkAH3o/view?usp=drivesdk</v>
      </c>
      <c r="C1255" s="159" t="str">
        <f>IFERROR(__xludf.DUMMYFUNCTION("""COMPUTED_VALUE"""),"10.1037--0022-3514.89.3.277.pdf")</f>
        <v>10.1037--0022-3514.89.3.277.pdf</v>
      </c>
      <c r="D1255" s="159" t="str">
        <f>IFERROR(__xludf.DUMMYFUNCTION("""COMPUTED_VALUE"""),"application/pdf")</f>
        <v>application/pdf</v>
      </c>
    </row>
    <row r="1256">
      <c r="A1256" s="159" t="str">
        <f>IFERROR(__xludf.DUMMYFUNCTION("""COMPUTED_VALUE"""),"10.2307/1129656")</f>
        <v>10.2307/1129656</v>
      </c>
      <c r="B1256" s="680" t="str">
        <f>IFERROR(__xludf.DUMMYFUNCTION("""COMPUTED_VALUE"""),"https://drive.google.com/file/d/1aCMImaLjby_90bueWUVFldrnuxIgw5Vu/view?usp=drivesdk")</f>
        <v>https://drive.google.com/file/d/1aCMImaLjby_90bueWUVFldrnuxIgw5Vu/view?usp=drivesdk</v>
      </c>
      <c r="C1256" s="159" t="str">
        <f>IFERROR(__xludf.DUMMYFUNCTION("""COMPUTED_VALUE"""),"10.2307--1129656.pdf")</f>
        <v>10.2307--1129656.pdf</v>
      </c>
      <c r="D1256" s="159" t="str">
        <f>IFERROR(__xludf.DUMMYFUNCTION("""COMPUTED_VALUE"""),"application/pdf")</f>
        <v>application/pdf</v>
      </c>
    </row>
    <row r="1257">
      <c r="A1257" s="159" t="str">
        <f>IFERROR(__xludf.DUMMYFUNCTION("""COMPUTED_VALUE"""),"10.1016/j.neuron.2006.03.036")</f>
        <v>10.1016/j.neuron.2006.03.036</v>
      </c>
      <c r="B1257" s="680" t="str">
        <f>IFERROR(__xludf.DUMMYFUNCTION("""COMPUTED_VALUE"""),"https://drive.google.com/file/d/1biGY06VhgNDEMTqCeocAd-YrLIfNNqce/view?usp=drivesdk")</f>
        <v>https://drive.google.com/file/d/1biGY06VhgNDEMTqCeocAd-YrLIfNNqce/view?usp=drivesdk</v>
      </c>
      <c r="C1257" s="159" t="str">
        <f>IFERROR(__xludf.DUMMYFUNCTION("""COMPUTED_VALUE"""),"10.1016--j.neuron.2006.03.036.pdf")</f>
        <v>10.1016--j.neuron.2006.03.036.pdf</v>
      </c>
      <c r="D1257" s="159" t="str">
        <f>IFERROR(__xludf.DUMMYFUNCTION("""COMPUTED_VALUE"""),"application/pdf")</f>
        <v>application/pdf</v>
      </c>
    </row>
    <row r="1258">
      <c r="A1258" s="159" t="str">
        <f>IFERROR(__xludf.DUMMYFUNCTION("""COMPUTED_VALUE"""),"10.1123/jmld.2015-0016")</f>
        <v>10.1123/jmld.2015-0016</v>
      </c>
      <c r="B1258" s="680" t="str">
        <f>IFERROR(__xludf.DUMMYFUNCTION("""COMPUTED_VALUE"""),"https://drive.google.com/file/d/1qQUY8YHaLjS8I9L_7uxGtCjZZSiaFSNM/view?usp=drivesdk")</f>
        <v>https://drive.google.com/file/d/1qQUY8YHaLjS8I9L_7uxGtCjZZSiaFSNM/view?usp=drivesdk</v>
      </c>
      <c r="C1258" s="159" t="str">
        <f>IFERROR(__xludf.DUMMYFUNCTION("""COMPUTED_VALUE"""),"10.1123--jmld.2015-0016.pdf")</f>
        <v>10.1123--jmld.2015-0016.pdf</v>
      </c>
      <c r="D1258" s="159" t="str">
        <f>IFERROR(__xludf.DUMMYFUNCTION("""COMPUTED_VALUE"""),"application/pdf")</f>
        <v>application/pdf</v>
      </c>
    </row>
    <row r="1259">
      <c r="A1259" s="159" t="str">
        <f>IFERROR(__xludf.DUMMYFUNCTION("""COMPUTED_VALUE"""),"10.1016/j.cognition.2009.10.008")</f>
        <v>10.1016/j.cognition.2009.10.008</v>
      </c>
      <c r="B1259" s="680" t="str">
        <f>IFERROR(__xludf.DUMMYFUNCTION("""COMPUTED_VALUE"""),"https://drive.google.com/file/d/1g_kGujRhG4yuqeSHWQzK9DVDR5v8g2iz/view?usp=drivesdk")</f>
        <v>https://drive.google.com/file/d/1g_kGujRhG4yuqeSHWQzK9DVDR5v8g2iz/view?usp=drivesdk</v>
      </c>
      <c r="C1259" s="159" t="str">
        <f>IFERROR(__xludf.DUMMYFUNCTION("""COMPUTED_VALUE"""),"10.1016--j.cognition.2009.10.008.pdf")</f>
        <v>10.1016--j.cognition.2009.10.008.pdf</v>
      </c>
      <c r="D1259" s="159" t="str">
        <f>IFERROR(__xludf.DUMMYFUNCTION("""COMPUTED_VALUE"""),"application/pdf")</f>
        <v>application/pdf</v>
      </c>
    </row>
    <row r="1260">
      <c r="A1260" s="159" t="str">
        <f>IFERROR(__xludf.DUMMYFUNCTION("""COMPUTED_VALUE"""),"10.1037/h0058574")</f>
        <v>10.1037/h0058574</v>
      </c>
      <c r="B1260" s="680" t="str">
        <f>IFERROR(__xludf.DUMMYFUNCTION("""COMPUTED_VALUE"""),"https://drive.google.com/file/d/1WpZdktvJ6RxBIomnQHJ1hEl8lM_CnZ7M/view?usp=drivesdk")</f>
        <v>https://drive.google.com/file/d/1WpZdktvJ6RxBIomnQHJ1hEl8lM_CnZ7M/view?usp=drivesdk</v>
      </c>
      <c r="C1260" s="159" t="str">
        <f>IFERROR(__xludf.DUMMYFUNCTION("""COMPUTED_VALUE"""),"10.1037--h0058574.pdf")</f>
        <v>10.1037--h0058574.pdf</v>
      </c>
      <c r="D1260" s="159" t="str">
        <f>IFERROR(__xludf.DUMMYFUNCTION("""COMPUTED_VALUE"""),"application/pdf")</f>
        <v>application/pdf</v>
      </c>
    </row>
    <row r="1261">
      <c r="A1261" s="159" t="str">
        <f>IFERROR(__xludf.DUMMYFUNCTION("""COMPUTED_VALUE"""),"10.1080/09658210601109144")</f>
        <v>10.1080/09658210601109144</v>
      </c>
      <c r="B1261" s="680" t="str">
        <f>IFERROR(__xludf.DUMMYFUNCTION("""COMPUTED_VALUE"""),"https://drive.google.com/file/d/1CxG-Cb4wELF92f_ys9jzDE8EZiCJEIZ8/view?usp=drivesdk")</f>
        <v>https://drive.google.com/file/d/1CxG-Cb4wELF92f_ys9jzDE8EZiCJEIZ8/view?usp=drivesdk</v>
      </c>
      <c r="C1261" s="159" t="str">
        <f>IFERROR(__xludf.DUMMYFUNCTION("""COMPUTED_VALUE"""),"10.1080--09658210601109144.pdf")</f>
        <v>10.1080--09658210601109144.pdf</v>
      </c>
      <c r="D1261" s="159" t="str">
        <f>IFERROR(__xludf.DUMMYFUNCTION("""COMPUTED_VALUE"""),"application/pdf")</f>
        <v>application/pdf</v>
      </c>
    </row>
    <row r="1262">
      <c r="A1262" s="159" t="str">
        <f>IFERROR(__xludf.DUMMYFUNCTION("""COMPUTED_VALUE"""),"10.1111/j.1478-3231.2010.02246.x")</f>
        <v>10.1111/j.1478-3231.2010.02246.x</v>
      </c>
      <c r="B1262" s="680" t="str">
        <f>IFERROR(__xludf.DUMMYFUNCTION("""COMPUTED_VALUE"""),"https://drive.google.com/file/d/1KRlikjkVG75-FF5ffUuGXNlDAUsJr6wo/view?usp=drivesdk")</f>
        <v>https://drive.google.com/file/d/1KRlikjkVG75-FF5ffUuGXNlDAUsJr6wo/view?usp=drivesdk</v>
      </c>
      <c r="C1262" s="159" t="str">
        <f>IFERROR(__xludf.DUMMYFUNCTION("""COMPUTED_VALUE"""),"10.1111--j.1478-3231.2010.02246.x.pdf")</f>
        <v>10.1111--j.1478-3231.2010.02246.x.pdf</v>
      </c>
      <c r="D1262" s="159" t="str">
        <f>IFERROR(__xludf.DUMMYFUNCTION("""COMPUTED_VALUE"""),"application/pdf")</f>
        <v>application/pdf</v>
      </c>
    </row>
    <row r="1263">
      <c r="A1263" s="159" t="str">
        <f>IFERROR(__xludf.DUMMYFUNCTION("""COMPUTED_VALUE"""),"10.3390/jintelligence5030029")</f>
        <v>10.3390/jintelligence5030029</v>
      </c>
      <c r="B1263" s="680" t="str">
        <f>IFERROR(__xludf.DUMMYFUNCTION("""COMPUTED_VALUE"""),"https://drive.google.com/file/d/1Be_qME2koKxgagVI5BC_oPnTbMgtgsZN/view?usp=drivesdk")</f>
        <v>https://drive.google.com/file/d/1Be_qME2koKxgagVI5BC_oPnTbMgtgsZN/view?usp=drivesdk</v>
      </c>
      <c r="C1263" s="159" t="str">
        <f>IFERROR(__xludf.DUMMYFUNCTION("""COMPUTED_VALUE"""),"10.3390--jintelligence5030029.pdf")</f>
        <v>10.3390--jintelligence5030029.pdf</v>
      </c>
      <c r="D1263" s="159" t="str">
        <f>IFERROR(__xludf.DUMMYFUNCTION("""COMPUTED_VALUE"""),"application/pdf")</f>
        <v>application/pdf</v>
      </c>
    </row>
    <row r="1264">
      <c r="A1264" s="159" t="str">
        <f>IFERROR(__xludf.DUMMYFUNCTION("""COMPUTED_VALUE"""),"10.1037/h0087446")</f>
        <v>10.1037/h0087446</v>
      </c>
      <c r="B1264" s="680" t="str">
        <f>IFERROR(__xludf.DUMMYFUNCTION("""COMPUTED_VALUE"""),"https://drive.google.com/file/d/1xDn5W5pV2itl-dOXJa19g7AL0c3gYynB/view?usp=drivesdk")</f>
        <v>https://drive.google.com/file/d/1xDn5W5pV2itl-dOXJa19g7AL0c3gYynB/view?usp=drivesdk</v>
      </c>
      <c r="C1264" s="159" t="str">
        <f>IFERROR(__xludf.DUMMYFUNCTION("""COMPUTED_VALUE"""),"10.1037--h0087446.pdf")</f>
        <v>10.1037--h0087446.pdf</v>
      </c>
      <c r="D1264" s="159" t="str">
        <f>IFERROR(__xludf.DUMMYFUNCTION("""COMPUTED_VALUE"""),"application/pdf")</f>
        <v>application/pdf</v>
      </c>
    </row>
    <row r="1265">
      <c r="A1265" s="159" t="str">
        <f>IFERROR(__xludf.DUMMYFUNCTION("""COMPUTED_VALUE"""),"10.1037/a0019902")</f>
        <v>10.1037/a0019902</v>
      </c>
      <c r="B1265" s="680" t="str">
        <f>IFERROR(__xludf.DUMMYFUNCTION("""COMPUTED_VALUE"""),"https://drive.google.com/file/d/1GJ-rXBCF8E0-A44JYRsWY-O-OBQ3Ccc_/view?usp=drivesdk")</f>
        <v>https://drive.google.com/file/d/1GJ-rXBCF8E0-A44JYRsWY-O-OBQ3Ccc_/view?usp=drivesdk</v>
      </c>
      <c r="C1265" s="159" t="str">
        <f>IFERROR(__xludf.DUMMYFUNCTION("""COMPUTED_VALUE"""),"10.1037--a0019902.pdf")</f>
        <v>10.1037--a0019902.pdf</v>
      </c>
      <c r="D1265" s="159" t="str">
        <f>IFERROR(__xludf.DUMMYFUNCTION("""COMPUTED_VALUE"""),"application/pdf")</f>
        <v>application/pdf</v>
      </c>
    </row>
    <row r="1266">
      <c r="A1266" s="159" t="str">
        <f>IFERROR(__xludf.DUMMYFUNCTION("""COMPUTED_VALUE"""),"10.1515/cog-2012-0021")</f>
        <v>10.1515/cog-2012-0021</v>
      </c>
      <c r="B1266" s="680" t="str">
        <f>IFERROR(__xludf.DUMMYFUNCTION("""COMPUTED_VALUE"""),"https://drive.google.com/file/d/1yetzCKztWccCP2nPhPWW57xnsq5SQ9ks/view?usp=drivesdk")</f>
        <v>https://drive.google.com/file/d/1yetzCKztWccCP2nPhPWW57xnsq5SQ9ks/view?usp=drivesdk</v>
      </c>
      <c r="C1266" s="159" t="str">
        <f>IFERROR(__xludf.DUMMYFUNCTION("""COMPUTED_VALUE"""),"10.1515--cog-2012-0021.pdf")</f>
        <v>10.1515--cog-2012-0021.pdf</v>
      </c>
      <c r="D1266" s="159" t="str">
        <f>IFERROR(__xludf.DUMMYFUNCTION("""COMPUTED_VALUE"""),"application/pdf")</f>
        <v>application/pdf</v>
      </c>
    </row>
    <row r="1267">
      <c r="A1267" s="159" t="str">
        <f>IFERROR(__xludf.DUMMYFUNCTION("""COMPUTED_VALUE"""),"10.1037/0882-7974.2.1.64")</f>
        <v>10.1037/0882-7974.2.1.64</v>
      </c>
      <c r="B1267" s="680" t="str">
        <f>IFERROR(__xludf.DUMMYFUNCTION("""COMPUTED_VALUE"""),"https://drive.google.com/file/d/1FNKK4q4VtFH1B7xBgyBkKpv3rI_nfsxd/view?usp=drivesdk")</f>
        <v>https://drive.google.com/file/d/1FNKK4q4VtFH1B7xBgyBkKpv3rI_nfsxd/view?usp=drivesdk</v>
      </c>
      <c r="C1267" s="159" t="str">
        <f>IFERROR(__xludf.DUMMYFUNCTION("""COMPUTED_VALUE"""),"10.1037--0882-7974.2.1.64.pdf")</f>
        <v>10.1037--0882-7974.2.1.64.pdf</v>
      </c>
      <c r="D1267" s="159" t="str">
        <f>IFERROR(__xludf.DUMMYFUNCTION("""COMPUTED_VALUE"""),"application/pdf")</f>
        <v>application/pdf</v>
      </c>
    </row>
    <row r="1268">
      <c r="A1268" s="159" t="str">
        <f>IFERROR(__xludf.DUMMYFUNCTION("""COMPUTED_VALUE"""),"10.1037/0278-7393.19.3.561")</f>
        <v>10.1037/0278-7393.19.3.561</v>
      </c>
      <c r="B1268" s="680" t="str">
        <f>IFERROR(__xludf.DUMMYFUNCTION("""COMPUTED_VALUE"""),"https://drive.google.com/file/d/1SbyHKBwQDmPXmv9TAEH0QrAg5CJR3YqL/view?usp=drivesdk")</f>
        <v>https://drive.google.com/file/d/1SbyHKBwQDmPXmv9TAEH0QrAg5CJR3YqL/view?usp=drivesdk</v>
      </c>
      <c r="C1268" s="159" t="str">
        <f>IFERROR(__xludf.DUMMYFUNCTION("""COMPUTED_VALUE"""),"10.1037--0278-7393.19.3.561.pdf")</f>
        <v>10.1037--0278-7393.19.3.561.pdf</v>
      </c>
      <c r="D1268" s="159" t="str">
        <f>IFERROR(__xludf.DUMMYFUNCTION("""COMPUTED_VALUE"""),"application/pdf")</f>
        <v>application/pdf</v>
      </c>
    </row>
    <row r="1269">
      <c r="A1269" s="159" t="str">
        <f>IFERROR(__xludf.DUMMYFUNCTION("""COMPUTED_VALUE"""),"10.1093/cercor/bhi060")</f>
        <v>10.1093/cercor/bhi060</v>
      </c>
      <c r="B1269" s="680" t="str">
        <f>IFERROR(__xludf.DUMMYFUNCTION("""COMPUTED_VALUE"""),"https://drive.google.com/file/d/19sCJoMNpomOzWNKZEVij6_AZEcmdnoQm/view?usp=drivesdk")</f>
        <v>https://drive.google.com/file/d/19sCJoMNpomOzWNKZEVij6_AZEcmdnoQm/view?usp=drivesdk</v>
      </c>
      <c r="C1269" s="159" t="str">
        <f>IFERROR(__xludf.DUMMYFUNCTION("""COMPUTED_VALUE"""),"10.1093--cercor--bhi060.pdf")</f>
        <v>10.1093--cercor--bhi060.pdf</v>
      </c>
      <c r="D1269" s="159" t="str">
        <f>IFERROR(__xludf.DUMMYFUNCTION("""COMPUTED_VALUE"""),"application/pdf")</f>
        <v>application/pdf</v>
      </c>
    </row>
    <row r="1270">
      <c r="A1270" s="159" t="str">
        <f>IFERROR(__xludf.DUMMYFUNCTION("""COMPUTED_VALUE"""),"10.1080/13506285.2010.503946")</f>
        <v>10.1080/13506285.2010.503946</v>
      </c>
      <c r="B1270" s="680" t="str">
        <f>IFERROR(__xludf.DUMMYFUNCTION("""COMPUTED_VALUE"""),"https://drive.google.com/file/d/1tZwdX18X7iGLQ9AGbLtmDExPZqA-qkSh/view?usp=drivesdk")</f>
        <v>https://drive.google.com/file/d/1tZwdX18X7iGLQ9AGbLtmDExPZqA-qkSh/view?usp=drivesdk</v>
      </c>
      <c r="C1270" s="159" t="str">
        <f>IFERROR(__xludf.DUMMYFUNCTION("""COMPUTED_VALUE"""),"10.1080--13506285.2010.503946.pdf")</f>
        <v>10.1080--13506285.2010.503946.pdf</v>
      </c>
      <c r="D1270" s="159" t="str">
        <f>IFERROR(__xludf.DUMMYFUNCTION("""COMPUTED_VALUE"""),"application/pdf")</f>
        <v>application/pdf</v>
      </c>
    </row>
    <row r="1271">
      <c r="A1271" s="159" t="str">
        <f>IFERROR(__xludf.DUMMYFUNCTION("""COMPUTED_VALUE"""),"10.15288/jsad.2014.75.870")</f>
        <v>10.15288/jsad.2014.75.870</v>
      </c>
      <c r="B1271" s="680" t="str">
        <f>IFERROR(__xludf.DUMMYFUNCTION("""COMPUTED_VALUE"""),"https://drive.google.com/file/d/1CgP_knty2ctHaRtfuvVOqytvHjIpQv1H/view?usp=drivesdk")</f>
        <v>https://drive.google.com/file/d/1CgP_knty2ctHaRtfuvVOqytvHjIpQv1H/view?usp=drivesdk</v>
      </c>
      <c r="C1271" s="159" t="str">
        <f>IFERROR(__xludf.DUMMYFUNCTION("""COMPUTED_VALUE"""),"10.15288--jsad.2014.75.870.pdf")</f>
        <v>10.15288--jsad.2014.75.870.pdf</v>
      </c>
      <c r="D1271" s="159" t="str">
        <f>IFERROR(__xludf.DUMMYFUNCTION("""COMPUTED_VALUE"""),"application/pdf")</f>
        <v>application/pdf</v>
      </c>
    </row>
    <row r="1272">
      <c r="A1272" s="159" t="str">
        <f>IFERROR(__xludf.DUMMYFUNCTION("""COMPUTED_VALUE"""),"10.1016/j.addbeh.2010.12.013")</f>
        <v>10.1016/j.addbeh.2010.12.013</v>
      </c>
      <c r="B1272" s="680" t="str">
        <f>IFERROR(__xludf.DUMMYFUNCTION("""COMPUTED_VALUE"""),"https://drive.google.com/file/d/1xYH64jm6q1s8GQfgVLcJXhZd0QMbRWZK/view?usp=drivesdk")</f>
        <v>https://drive.google.com/file/d/1xYH64jm6q1s8GQfgVLcJXhZd0QMbRWZK/view?usp=drivesdk</v>
      </c>
      <c r="C1272" s="159" t="str">
        <f>IFERROR(__xludf.DUMMYFUNCTION("""COMPUTED_VALUE"""),"10.1016--j.addbeh.2010.12.013.pdf")</f>
        <v>10.1016--j.addbeh.2010.12.013.pdf</v>
      </c>
      <c r="D1272" s="159" t="str">
        <f>IFERROR(__xludf.DUMMYFUNCTION("""COMPUTED_VALUE"""),"application/pdf")</f>
        <v>application/pdf</v>
      </c>
    </row>
    <row r="1273">
      <c r="A1273" s="159" t="str">
        <f>IFERROR(__xludf.DUMMYFUNCTION("""COMPUTED_VALUE"""),"10.1177/1059601118807784")</f>
        <v>10.1177/1059601118807784</v>
      </c>
      <c r="B1273" s="680" t="str">
        <f>IFERROR(__xludf.DUMMYFUNCTION("""COMPUTED_VALUE"""),"https://drive.google.com/file/d/1G_91tbuPrGF6wAXnKCh07PH4ssjgu5OS/view?usp=drivesdk")</f>
        <v>https://drive.google.com/file/d/1G_91tbuPrGF6wAXnKCh07PH4ssjgu5OS/view?usp=drivesdk</v>
      </c>
      <c r="C1273" s="159" t="str">
        <f>IFERROR(__xludf.DUMMYFUNCTION("""COMPUTED_VALUE"""),"10.1177--1059601118807784.pdf")</f>
        <v>10.1177--1059601118807784.pdf</v>
      </c>
      <c r="D1273" s="159" t="str">
        <f>IFERROR(__xludf.DUMMYFUNCTION("""COMPUTED_VALUE"""),"application/pdf")</f>
        <v>application/pdf</v>
      </c>
    </row>
    <row r="1274">
      <c r="A1274" s="159" t="str">
        <f>IFERROR(__xludf.DUMMYFUNCTION("""COMPUTED_VALUE"""),"10.1016/j.actpsy.2015.12.005")</f>
        <v>10.1016/j.actpsy.2015.12.005</v>
      </c>
      <c r="B1274" s="680" t="str">
        <f>IFERROR(__xludf.DUMMYFUNCTION("""COMPUTED_VALUE"""),"https://drive.google.com/file/d/1k_KYfMXhB7VMJVA3nBm3aPdzDsf07QY7/view?usp=drivesdk")</f>
        <v>https://drive.google.com/file/d/1k_KYfMXhB7VMJVA3nBm3aPdzDsf07QY7/view?usp=drivesdk</v>
      </c>
      <c r="C1274" s="159" t="str">
        <f>IFERROR(__xludf.DUMMYFUNCTION("""COMPUTED_VALUE"""),"10.1016--j.actpsy.2015.12.005.pdf")</f>
        <v>10.1016--j.actpsy.2015.12.005.pdf</v>
      </c>
      <c r="D1274" s="159" t="str">
        <f>IFERROR(__xludf.DUMMYFUNCTION("""COMPUTED_VALUE"""),"application/pdf")</f>
        <v>application/pdf</v>
      </c>
    </row>
    <row r="1275">
      <c r="A1275" s="159" t="str">
        <f>IFERROR(__xludf.DUMMYFUNCTION("""COMPUTED_VALUE"""),"10.1167/10.2.16")</f>
        <v>10.1167/10.2.16</v>
      </c>
      <c r="B1275" s="680" t="str">
        <f>IFERROR(__xludf.DUMMYFUNCTION("""COMPUTED_VALUE"""),"https://drive.google.com/file/d/1dVFvxccujpVUcOAcGaYwPVguwxu90UA0/view?usp=drivesdk")</f>
        <v>https://drive.google.com/file/d/1dVFvxccujpVUcOAcGaYwPVguwxu90UA0/view?usp=drivesdk</v>
      </c>
      <c r="C1275" s="159" t="str">
        <f>IFERROR(__xludf.DUMMYFUNCTION("""COMPUTED_VALUE"""),"10.1167--10.2.16.pdf")</f>
        <v>10.1167--10.2.16.pdf</v>
      </c>
      <c r="D1275" s="159" t="str">
        <f>IFERROR(__xludf.DUMMYFUNCTION("""COMPUTED_VALUE"""),"application/pdf")</f>
        <v>application/pdf</v>
      </c>
    </row>
    <row r="1276">
      <c r="A1276" s="159" t="str">
        <f>IFERROR(__xludf.DUMMYFUNCTION("""COMPUTED_VALUE"""),"10.1006/jmla.1996.0032")</f>
        <v>10.1006/jmla.1996.0032</v>
      </c>
      <c r="B1276" s="680" t="str">
        <f>IFERROR(__xludf.DUMMYFUNCTION("""COMPUTED_VALUE"""),"https://drive.google.com/file/d/1tl6HDgdz9ZeSjaCrgT1tClKQYDgLfJX2/view?usp=drivesdk")</f>
        <v>https://drive.google.com/file/d/1tl6HDgdz9ZeSjaCrgT1tClKQYDgLfJX2/view?usp=drivesdk</v>
      </c>
      <c r="C1276" s="159" t="str">
        <f>IFERROR(__xludf.DUMMYFUNCTION("""COMPUTED_VALUE"""),"10.1006--jmla.1996.0032.pdf")</f>
        <v>10.1006--jmla.1996.0032.pdf</v>
      </c>
      <c r="D1276" s="159" t="str">
        <f>IFERROR(__xludf.DUMMYFUNCTION("""COMPUTED_VALUE"""),"application/pdf")</f>
        <v>application/pdf</v>
      </c>
    </row>
    <row r="1277">
      <c r="A1277" s="159" t="str">
        <f>IFERROR(__xludf.DUMMYFUNCTION("""COMPUTED_VALUE"""),"10.1177/1359105314567207")</f>
        <v>10.1177/1359105314567207</v>
      </c>
      <c r="B1277" s="680" t="str">
        <f>IFERROR(__xludf.DUMMYFUNCTION("""COMPUTED_VALUE"""),"https://drive.google.com/file/d/1AtO9UFTooj8jsZ-bMrbVdlKA178_-UWZ/view?usp=drivesdk")</f>
        <v>https://drive.google.com/file/d/1AtO9UFTooj8jsZ-bMrbVdlKA178_-UWZ/view?usp=drivesdk</v>
      </c>
      <c r="C1277" s="159" t="str">
        <f>IFERROR(__xludf.DUMMYFUNCTION("""COMPUTED_VALUE"""),"10.1177--1359105314567207.pdf")</f>
        <v>10.1177--1359105314567207.pdf</v>
      </c>
      <c r="D1277" s="159" t="str">
        <f>IFERROR(__xludf.DUMMYFUNCTION("""COMPUTED_VALUE"""),"application/pdf")</f>
        <v>application/pdf</v>
      </c>
    </row>
    <row r="1278">
      <c r="A1278" s="159" t="str">
        <f>IFERROR(__xludf.DUMMYFUNCTION("""COMPUTED_VALUE"""),"10.1037/1196-1961.49.2.211")</f>
        <v>10.1037/1196-1961.49.2.211</v>
      </c>
      <c r="B1278" s="680" t="str">
        <f>IFERROR(__xludf.DUMMYFUNCTION("""COMPUTED_VALUE"""),"https://drive.google.com/file/d/1TWmS4cxX6FXLDRZDqttHr1wWONTb1Wwn/view?usp=drivesdk")</f>
        <v>https://drive.google.com/file/d/1TWmS4cxX6FXLDRZDqttHr1wWONTb1Wwn/view?usp=drivesdk</v>
      </c>
      <c r="C1278" s="159" t="str">
        <f>IFERROR(__xludf.DUMMYFUNCTION("""COMPUTED_VALUE"""),"10.1037--1196-1961.49.2.211.pdf")</f>
        <v>10.1037--1196-1961.49.2.211.pdf</v>
      </c>
      <c r="D1278" s="159" t="str">
        <f>IFERROR(__xludf.DUMMYFUNCTION("""COMPUTED_VALUE"""),"application/pdf")</f>
        <v>application/pdf</v>
      </c>
    </row>
    <row r="1279">
      <c r="A1279" s="159" t="str">
        <f>IFERROR(__xludf.DUMMYFUNCTION("""COMPUTED_VALUE"""),"10.1007/978-1-4899-0915-2_3")</f>
        <v>10.1007/978-1-4899-0915-2_3</v>
      </c>
      <c r="B1279" s="680" t="str">
        <f>IFERROR(__xludf.DUMMYFUNCTION("""COMPUTED_VALUE"""),"https://drive.google.com/file/d/1b7oFtJnFWCU-6PsinPO-TRX8uEQLgYae/view?usp=drivesdk")</f>
        <v>https://drive.google.com/file/d/1b7oFtJnFWCU-6PsinPO-TRX8uEQLgYae/view?usp=drivesdk</v>
      </c>
      <c r="C1279" s="159" t="str">
        <f>IFERROR(__xludf.DUMMYFUNCTION("""COMPUTED_VALUE"""),"10.1007--978-1-4899-0915-2_3.pdf")</f>
        <v>10.1007--978-1-4899-0915-2_3.pdf</v>
      </c>
      <c r="D1279" s="159" t="str">
        <f>IFERROR(__xludf.DUMMYFUNCTION("""COMPUTED_VALUE"""),"application/pdf")</f>
        <v>application/pdf</v>
      </c>
    </row>
    <row r="1280">
      <c r="A1280" s="159" t="str">
        <f>IFERROR(__xludf.DUMMYFUNCTION("""COMPUTED_VALUE"""),"10.1016/j.chb.2012.07.031")</f>
        <v>10.1016/j.chb.2012.07.031</v>
      </c>
      <c r="B1280" s="680" t="str">
        <f>IFERROR(__xludf.DUMMYFUNCTION("""COMPUTED_VALUE"""),"https://drive.google.com/file/d/18Wf2cvLd4DRCjLzwtJ_krjgE7W5bfG-W/view?usp=drivesdk")</f>
        <v>https://drive.google.com/file/d/18Wf2cvLd4DRCjLzwtJ_krjgE7W5bfG-W/view?usp=drivesdk</v>
      </c>
      <c r="C1280" s="159" t="str">
        <f>IFERROR(__xludf.DUMMYFUNCTION("""COMPUTED_VALUE"""),"10.1016--j.chb.2012.07.031.pdf")</f>
        <v>10.1016--j.chb.2012.07.031.pdf</v>
      </c>
      <c r="D1280" s="159" t="str">
        <f>IFERROR(__xludf.DUMMYFUNCTION("""COMPUTED_VALUE"""),"application/pdf")</f>
        <v>application/pdf</v>
      </c>
    </row>
    <row r="1281">
      <c r="A1281" s="159" t="str">
        <f>IFERROR(__xludf.DUMMYFUNCTION("""COMPUTED_VALUE"""),"10.1177/154193129003400110")</f>
        <v>10.1177/154193129003400110</v>
      </c>
      <c r="B1281" s="680" t="str">
        <f>IFERROR(__xludf.DUMMYFUNCTION("""COMPUTED_VALUE"""),"https://drive.google.com/file/d/1hCaE5JTe5zb3Azp1p-BLkxmyCaGmRUTw/view?usp=drivesdk")</f>
        <v>https://drive.google.com/file/d/1hCaE5JTe5zb3Azp1p-BLkxmyCaGmRUTw/view?usp=drivesdk</v>
      </c>
      <c r="C1281" s="159" t="str">
        <f>IFERROR(__xludf.DUMMYFUNCTION("""COMPUTED_VALUE"""),"10.1177--154193129003400110.pdf")</f>
        <v>10.1177--154193129003400110.pdf</v>
      </c>
      <c r="D1281" s="159" t="str">
        <f>IFERROR(__xludf.DUMMYFUNCTION("""COMPUTED_VALUE"""),"application/pdf")</f>
        <v>application/pdf</v>
      </c>
    </row>
    <row r="1282">
      <c r="A1282" s="159" t="str">
        <f>IFERROR(__xludf.DUMMYFUNCTION("""COMPUTED_VALUE"""),"10.1016/j.lindif.2008.10.009")</f>
        <v>10.1016/j.lindif.2008.10.009</v>
      </c>
      <c r="B1282" s="680" t="str">
        <f>IFERROR(__xludf.DUMMYFUNCTION("""COMPUTED_VALUE"""),"https://drive.google.com/file/d/1E4GYmrZP9ttvAZgUfCjWrv4HnB_ubBtZ/view?usp=drivesdk")</f>
        <v>https://drive.google.com/file/d/1E4GYmrZP9ttvAZgUfCjWrv4HnB_ubBtZ/view?usp=drivesdk</v>
      </c>
      <c r="C1282" s="159" t="str">
        <f>IFERROR(__xludf.DUMMYFUNCTION("""COMPUTED_VALUE"""),"10.1016--j.lindif.2008.10.009.pdf")</f>
        <v>10.1016--j.lindif.2008.10.009.pdf</v>
      </c>
      <c r="D1282" s="159" t="str">
        <f>IFERROR(__xludf.DUMMYFUNCTION("""COMPUTED_VALUE"""),"application/pdf")</f>
        <v>application/pdf</v>
      </c>
    </row>
    <row r="1283">
      <c r="A1283" s="159" t="str">
        <f>IFERROR(__xludf.DUMMYFUNCTION("""COMPUTED_VALUE"""),"10.1016/j.bandl.2016.04.007")</f>
        <v>10.1016/j.bandl.2016.04.007</v>
      </c>
      <c r="B1283" s="680" t="str">
        <f>IFERROR(__xludf.DUMMYFUNCTION("""COMPUTED_VALUE"""),"https://drive.google.com/file/d/1EZLGfH9-TfGs0npz4zo9Q8hBGxNmL9_8/view?usp=drivesdk")</f>
        <v>https://drive.google.com/file/d/1EZLGfH9-TfGs0npz4zo9Q8hBGxNmL9_8/view?usp=drivesdk</v>
      </c>
      <c r="C1283" s="159" t="str">
        <f>IFERROR(__xludf.DUMMYFUNCTION("""COMPUTED_VALUE"""),"10.1016--j.bandl.2016.04.007.pdf")</f>
        <v>10.1016--j.bandl.2016.04.007.pdf</v>
      </c>
      <c r="D1283" s="159" t="str">
        <f>IFERROR(__xludf.DUMMYFUNCTION("""COMPUTED_VALUE"""),"application/pdf")</f>
        <v>application/pdf</v>
      </c>
    </row>
    <row r="1284">
      <c r="A1284" s="159" t="str">
        <f>IFERROR(__xludf.DUMMYFUNCTION("""COMPUTED_VALUE"""),"10.1177/0956797615620784")</f>
        <v>10.1177/0956797615620784</v>
      </c>
      <c r="B1284" s="680" t="str">
        <f>IFERROR(__xludf.DUMMYFUNCTION("""COMPUTED_VALUE"""),"https://drive.google.com/file/d/1nSKHlLdgFXIRA0ZzkBVYTEpX7vbXXpwZ/view?usp=drivesdk")</f>
        <v>https://drive.google.com/file/d/1nSKHlLdgFXIRA0ZzkBVYTEpX7vbXXpwZ/view?usp=drivesdk</v>
      </c>
      <c r="C1284" s="159" t="str">
        <f>IFERROR(__xludf.DUMMYFUNCTION("""COMPUTED_VALUE"""),"10.1177--0956797615620784.pdf")</f>
        <v>10.1177--0956797615620784.pdf</v>
      </c>
      <c r="D1284" s="159" t="str">
        <f>IFERROR(__xludf.DUMMYFUNCTION("""COMPUTED_VALUE"""),"application/pdf")</f>
        <v>application/pdf</v>
      </c>
    </row>
    <row r="1285">
      <c r="A1285" s="159" t="str">
        <f>IFERROR(__xludf.DUMMYFUNCTION("""COMPUTED_VALUE"""),"10.1016/j.beproc.2016.06.015")</f>
        <v>10.1016/j.beproc.2016.06.015</v>
      </c>
      <c r="B1285" s="680" t="str">
        <f>IFERROR(__xludf.DUMMYFUNCTION("""COMPUTED_VALUE"""),"https://drive.google.com/file/d/1JzBltD15-8CXBJMqzgsU1K6RxPQwnZ6D/view?usp=drivesdk")</f>
        <v>https://drive.google.com/file/d/1JzBltD15-8CXBJMqzgsU1K6RxPQwnZ6D/view?usp=drivesdk</v>
      </c>
      <c r="C1285" s="159" t="str">
        <f>IFERROR(__xludf.DUMMYFUNCTION("""COMPUTED_VALUE"""),"10.1016--j.beproc.2016.06.015.pdf")</f>
        <v>10.1016--j.beproc.2016.06.015.pdf</v>
      </c>
      <c r="D1285" s="159" t="str">
        <f>IFERROR(__xludf.DUMMYFUNCTION("""COMPUTED_VALUE"""),"application/pdf")</f>
        <v>application/pdf</v>
      </c>
    </row>
    <row r="1286">
      <c r="A1286" s="159" t="str">
        <f>IFERROR(__xludf.DUMMYFUNCTION("""COMPUTED_VALUE"""),"10.1038/nature08637")</f>
        <v>10.1038/nature08637</v>
      </c>
      <c r="B1286" s="680" t="str">
        <f>IFERROR(__xludf.DUMMYFUNCTION("""COMPUTED_VALUE"""),"https://drive.google.com/file/d/1RYL3tt6tRTFoJjHQdtA0A71DrNxC3K6m/view?usp=drivesdk")</f>
        <v>https://drive.google.com/file/d/1RYL3tt6tRTFoJjHQdtA0A71DrNxC3K6m/view?usp=drivesdk</v>
      </c>
      <c r="C1286" s="159" t="str">
        <f>IFERROR(__xludf.DUMMYFUNCTION("""COMPUTED_VALUE"""),"10.1038--nature08637.pdf")</f>
        <v>10.1038--nature08637.pdf</v>
      </c>
      <c r="D1286" s="159" t="str">
        <f>IFERROR(__xludf.DUMMYFUNCTION("""COMPUTED_VALUE"""),"application/pdf")</f>
        <v>application/pdf</v>
      </c>
    </row>
    <row r="1287">
      <c r="A1287" s="159" t="str">
        <f>IFERROR(__xludf.DUMMYFUNCTION("""COMPUTED_VALUE"""),"10.1007/s12160-017-9888-y")</f>
        <v>10.1007/s12160-017-9888-y</v>
      </c>
      <c r="B1287" s="680" t="str">
        <f>IFERROR(__xludf.DUMMYFUNCTION("""COMPUTED_VALUE"""),"https://drive.google.com/file/d/1sZNK9FJ-_p2fges4mG2KcuNFkHZlE95D/view?usp=drivesdk")</f>
        <v>https://drive.google.com/file/d/1sZNK9FJ-_p2fges4mG2KcuNFkHZlE95D/view?usp=drivesdk</v>
      </c>
      <c r="C1287" s="159" t="str">
        <f>IFERROR(__xludf.DUMMYFUNCTION("""COMPUTED_VALUE"""),"10.1007--s12160-017-9888-y.pdf")</f>
        <v>10.1007--s12160-017-9888-y.pdf</v>
      </c>
      <c r="D1287" s="159" t="str">
        <f>IFERROR(__xludf.DUMMYFUNCTION("""COMPUTED_VALUE"""),"application/pdf")</f>
        <v>application/pdf</v>
      </c>
    </row>
    <row r="1288">
      <c r="A1288" s="159" t="str">
        <f>IFERROR(__xludf.DUMMYFUNCTION("""COMPUTED_VALUE"""),"10.1007/s11145-010-9282-7")</f>
        <v>10.1007/s11145-010-9282-7</v>
      </c>
      <c r="B1288" s="680" t="str">
        <f>IFERROR(__xludf.DUMMYFUNCTION("""COMPUTED_VALUE"""),"https://drive.google.com/file/d/1bDss24jXOe7FhkSOopEj0WqUmGKKXsLR/view?usp=drivesdk")</f>
        <v>https://drive.google.com/file/d/1bDss24jXOe7FhkSOopEj0WqUmGKKXsLR/view?usp=drivesdk</v>
      </c>
      <c r="C1288" s="159" t="str">
        <f>IFERROR(__xludf.DUMMYFUNCTION("""COMPUTED_VALUE"""),"10.1007--s11145-010-9282-7.pdf")</f>
        <v>10.1007--s11145-010-9282-7.pdf</v>
      </c>
      <c r="D1288" s="159" t="str">
        <f>IFERROR(__xludf.DUMMYFUNCTION("""COMPUTED_VALUE"""),"application/pdf")</f>
        <v>application/pdf</v>
      </c>
    </row>
    <row r="1289">
      <c r="A1289" s="159" t="str">
        <f>IFERROR(__xludf.DUMMYFUNCTION("""COMPUTED_VALUE"""),"10.1080/13218719.2012.729018")</f>
        <v>10.1080/13218719.2012.729018</v>
      </c>
      <c r="B1289" s="680" t="str">
        <f>IFERROR(__xludf.DUMMYFUNCTION("""COMPUTED_VALUE"""),"https://drive.google.com/file/d/13zB4VPjcUf-Y5ulxFk_nrnahv0Fgi9UN/view?usp=drivesdk")</f>
        <v>https://drive.google.com/file/d/13zB4VPjcUf-Y5ulxFk_nrnahv0Fgi9UN/view?usp=drivesdk</v>
      </c>
      <c r="C1289" s="159" t="str">
        <f>IFERROR(__xludf.DUMMYFUNCTION("""COMPUTED_VALUE"""),"10.1080--13218719.2012.729018.pdf")</f>
        <v>10.1080--13218719.2012.729018.pdf</v>
      </c>
      <c r="D1289" s="159" t="str">
        <f>IFERROR(__xludf.DUMMYFUNCTION("""COMPUTED_VALUE"""),"application/pdf")</f>
        <v>application/pdf</v>
      </c>
    </row>
    <row r="1290">
      <c r="A1290" s="159" t="str">
        <f>IFERROR(__xludf.DUMMYFUNCTION("""COMPUTED_VALUE"""),"10.1097/chi.0b013e31816407f1")</f>
        <v>10.1097/chi.0b013e31816407f1</v>
      </c>
      <c r="B1290" s="680" t="str">
        <f>IFERROR(__xludf.DUMMYFUNCTION("""COMPUTED_VALUE"""),"https://drive.google.com/file/d/1AZm79o6Tomre8O9xToATZHdk1A7nxAC9/view?usp=drivesdk")</f>
        <v>https://drive.google.com/file/d/1AZm79o6Tomre8O9xToATZHdk1A7nxAC9/view?usp=drivesdk</v>
      </c>
      <c r="C1290" s="159" t="str">
        <f>IFERROR(__xludf.DUMMYFUNCTION("""COMPUTED_VALUE"""),"10.1097--CHI.0b013e31816407f1.pdf")</f>
        <v>10.1097--CHI.0b013e31816407f1.pdf</v>
      </c>
      <c r="D1290" s="159" t="str">
        <f>IFERROR(__xludf.DUMMYFUNCTION("""COMPUTED_VALUE"""),"application/pdf")</f>
        <v>application/pdf</v>
      </c>
    </row>
    <row r="1291">
      <c r="A1291" s="159" t="str">
        <f>IFERROR(__xludf.DUMMYFUNCTION("""COMPUTED_VALUE"""),"10.1016/j.socscimed.2010.04.026")</f>
        <v>10.1016/j.socscimed.2010.04.026</v>
      </c>
      <c r="B1291" s="680" t="str">
        <f>IFERROR(__xludf.DUMMYFUNCTION("""COMPUTED_VALUE"""),"https://drive.google.com/file/d/1CKtIRM2vM0l1uwrMgW1JIiKEZTioliGI/view?usp=drivesdk")</f>
        <v>https://drive.google.com/file/d/1CKtIRM2vM0l1uwrMgW1JIiKEZTioliGI/view?usp=drivesdk</v>
      </c>
      <c r="C1291" s="159" t="str">
        <f>IFERROR(__xludf.DUMMYFUNCTION("""COMPUTED_VALUE"""),"10.1016--j.socscimed.2010.04.026.pdf")</f>
        <v>10.1016--j.socscimed.2010.04.026.pdf</v>
      </c>
      <c r="D1291" s="159" t="str">
        <f>IFERROR(__xludf.DUMMYFUNCTION("""COMPUTED_VALUE"""),"application/pdf")</f>
        <v>application/pdf</v>
      </c>
    </row>
    <row r="1292">
      <c r="A1292" s="159" t="str">
        <f>IFERROR(__xludf.DUMMYFUNCTION("""COMPUTED_VALUE"""),"10.1037/0021-843x.108.3.511")</f>
        <v>10.1037/0021-843x.108.3.511</v>
      </c>
      <c r="B1292" s="680" t="str">
        <f>IFERROR(__xludf.DUMMYFUNCTION("""COMPUTED_VALUE"""),"https://drive.google.com/file/d/1mbtq5jswQXIL9vt6RisTXxGtG4hKwT7c/view?usp=drivesdk")</f>
        <v>https://drive.google.com/file/d/1mbtq5jswQXIL9vt6RisTXxGtG4hKwT7c/view?usp=drivesdk</v>
      </c>
      <c r="C1292" s="159" t="str">
        <f>IFERROR(__xludf.DUMMYFUNCTION("""COMPUTED_VALUE"""),"10.1037--0021-843X.108.3.511.pdf")</f>
        <v>10.1037--0021-843X.108.3.511.pdf</v>
      </c>
      <c r="D1292" s="159" t="str">
        <f>IFERROR(__xludf.DUMMYFUNCTION("""COMPUTED_VALUE"""),"application/pdf")</f>
        <v>application/pdf</v>
      </c>
    </row>
    <row r="1293">
      <c r="A1293" s="159" t="str">
        <f>IFERROR(__xludf.DUMMYFUNCTION("""COMPUTED_VALUE"""),"10.1207/s15324834basp1704_2")</f>
        <v>10.1207/s15324834basp1704_2</v>
      </c>
      <c r="B1293" s="680" t="str">
        <f>IFERROR(__xludf.DUMMYFUNCTION("""COMPUTED_VALUE"""),"https://drive.google.com/file/d/1Iv6a3AM_rRVR-LhQjuquoIiq60oy5s_L/view?usp=drivesdk")</f>
        <v>https://drive.google.com/file/d/1Iv6a3AM_rRVR-LhQjuquoIiq60oy5s_L/view?usp=drivesdk</v>
      </c>
      <c r="C1293" s="159" t="str">
        <f>IFERROR(__xludf.DUMMYFUNCTION("""COMPUTED_VALUE"""),"10.1207--s15324834basp1704_2.pdf")</f>
        <v>10.1207--s15324834basp1704_2.pdf</v>
      </c>
      <c r="D1293" s="159" t="str">
        <f>IFERROR(__xludf.DUMMYFUNCTION("""COMPUTED_VALUE"""),"application/pdf")</f>
        <v>application/pdf</v>
      </c>
    </row>
    <row r="1294">
      <c r="A1294" s="159" t="str">
        <f>IFERROR(__xludf.DUMMYFUNCTION("""COMPUTED_VALUE"""),"10.1080/02699931.2015.1059317")</f>
        <v>10.1080/02699931.2015.1059317</v>
      </c>
      <c r="B1294" s="680" t="str">
        <f>IFERROR(__xludf.DUMMYFUNCTION("""COMPUTED_VALUE"""),"https://drive.google.com/file/d/1PVMFqgHdvbnVpvU4ToBmZGB1bJ783Vq7/view?usp=drivesdk")</f>
        <v>https://drive.google.com/file/d/1PVMFqgHdvbnVpvU4ToBmZGB1bJ783Vq7/view?usp=drivesdk</v>
      </c>
      <c r="C1294" s="159" t="str">
        <f>IFERROR(__xludf.DUMMYFUNCTION("""COMPUTED_VALUE"""),"10.1080--02699931.2015.1059317.pdf")</f>
        <v>10.1080--02699931.2015.1059317.pdf</v>
      </c>
      <c r="D1294" s="159" t="str">
        <f>IFERROR(__xludf.DUMMYFUNCTION("""COMPUTED_VALUE"""),"application/pdf")</f>
        <v>application/pdf</v>
      </c>
    </row>
    <row r="1295">
      <c r="A1295" s="159" t="str">
        <f>IFERROR(__xludf.DUMMYFUNCTION("""COMPUTED_VALUE"""),"10.1177/0022427898035003001")</f>
        <v>10.1177/0022427898035003001</v>
      </c>
      <c r="B1295" s="680" t="str">
        <f>IFERROR(__xludf.DUMMYFUNCTION("""COMPUTED_VALUE"""),"https://drive.google.com/file/d/1adcFTPRAtl3gR0yo5WZxxabcpq1tSugV/view?usp=drivesdk")</f>
        <v>https://drive.google.com/file/d/1adcFTPRAtl3gR0yo5WZxxabcpq1tSugV/view?usp=drivesdk</v>
      </c>
      <c r="C1295" s="159" t="str">
        <f>IFERROR(__xludf.DUMMYFUNCTION("""COMPUTED_VALUE"""),"10.1177--0022427898035003001.pdf")</f>
        <v>10.1177--0022427898035003001.pdf</v>
      </c>
      <c r="D1295" s="159" t="str">
        <f>IFERROR(__xludf.DUMMYFUNCTION("""COMPUTED_VALUE"""),"application/pdf")</f>
        <v>application/pdf</v>
      </c>
    </row>
    <row r="1296">
      <c r="A1296" s="159" t="str">
        <f>IFERROR(__xludf.DUMMYFUNCTION("""COMPUTED_VALUE"""),"10.1080/01608061.2019.1666772")</f>
        <v>10.1080/01608061.2019.1666772</v>
      </c>
      <c r="B1296" s="680" t="str">
        <f>IFERROR(__xludf.DUMMYFUNCTION("""COMPUTED_VALUE"""),"https://drive.google.com/file/d/1l5rAN3nynply4uG3__V0nrbpU47BulsE/view?usp=drivesdk")</f>
        <v>https://drive.google.com/file/d/1l5rAN3nynply4uG3__V0nrbpU47BulsE/view?usp=drivesdk</v>
      </c>
      <c r="C1296" s="159" t="str">
        <f>IFERROR(__xludf.DUMMYFUNCTION("""COMPUTED_VALUE"""),"10.1080--01608061.2019.1666772.pdf")</f>
        <v>10.1080--01608061.2019.1666772.pdf</v>
      </c>
      <c r="D1296" s="159" t="str">
        <f>IFERROR(__xludf.DUMMYFUNCTION("""COMPUTED_VALUE"""),"application/pdf")</f>
        <v>application/pdf</v>
      </c>
    </row>
    <row r="1297">
      <c r="A1297" s="159" t="str">
        <f>IFERROR(__xludf.DUMMYFUNCTION("""COMPUTED_VALUE"""),"10.1016/0049-089x(76)90003-x")</f>
        <v>10.1016/0049-089x(76)90003-x</v>
      </c>
      <c r="B1297" s="680" t="str">
        <f>IFERROR(__xludf.DUMMYFUNCTION("""COMPUTED_VALUE"""),"https://drive.google.com/file/d/1ScCst8dIY0rvEyMcggQS1g5luMuFO5EM/view?usp=drivesdk")</f>
        <v>https://drive.google.com/file/d/1ScCst8dIY0rvEyMcggQS1g5luMuFO5EM/view?usp=drivesdk</v>
      </c>
      <c r="C1297" s="159" t="str">
        <f>IFERROR(__xludf.DUMMYFUNCTION("""COMPUTED_VALUE"""),"10.1016--0049-089X(76)90003-X.pdf")</f>
        <v>10.1016--0049-089X(76)90003-X.pdf</v>
      </c>
      <c r="D1297" s="159" t="str">
        <f>IFERROR(__xludf.DUMMYFUNCTION("""COMPUTED_VALUE"""),"application/pdf")</f>
        <v>application/pdf</v>
      </c>
    </row>
    <row r="1298">
      <c r="A1298" s="159" t="str">
        <f>IFERROR(__xludf.DUMMYFUNCTION("""COMPUTED_VALUE"""),"10.1177/0956797611402514")</f>
        <v>10.1177/0956797611402514</v>
      </c>
      <c r="B1298" s="680" t="str">
        <f>IFERROR(__xludf.DUMMYFUNCTION("""COMPUTED_VALUE"""),"https://drive.google.com/file/d/1zu3s4vzu5KvXwkxCk3_Jbtg6fuw8-MNg/view?usp=drivesdk")</f>
        <v>https://drive.google.com/file/d/1zu3s4vzu5KvXwkxCk3_Jbtg6fuw8-MNg/view?usp=drivesdk</v>
      </c>
      <c r="C1298" s="159" t="str">
        <f>IFERROR(__xludf.DUMMYFUNCTION("""COMPUTED_VALUE"""),"10.1177--0956797611402514.pdf")</f>
        <v>10.1177--0956797611402514.pdf</v>
      </c>
      <c r="D1298" s="159" t="str">
        <f>IFERROR(__xludf.DUMMYFUNCTION("""COMPUTED_VALUE"""),"application/pdf")</f>
        <v>application/pdf</v>
      </c>
    </row>
    <row r="1299">
      <c r="A1299" s="159" t="str">
        <f>IFERROR(__xludf.DUMMYFUNCTION("""COMPUTED_VALUE"""),"10.1521/pedi.2010.24.4.516")</f>
        <v>10.1521/pedi.2010.24.4.516</v>
      </c>
      <c r="B1299" s="680" t="str">
        <f>IFERROR(__xludf.DUMMYFUNCTION("""COMPUTED_VALUE"""),"https://drive.google.com/file/d/1byufMCO_vLIF-bt7e5aZN3xGXC1vRs_C/view?usp=drivesdk")</f>
        <v>https://drive.google.com/file/d/1byufMCO_vLIF-bt7e5aZN3xGXC1vRs_C/view?usp=drivesdk</v>
      </c>
      <c r="C1299" s="159" t="str">
        <f>IFERROR(__xludf.DUMMYFUNCTION("""COMPUTED_VALUE"""),"10.1521--pedi.2010.24.4.516.pdf")</f>
        <v>10.1521--pedi.2010.24.4.516.pdf</v>
      </c>
      <c r="D1299" s="159" t="str">
        <f>IFERROR(__xludf.DUMMYFUNCTION("""COMPUTED_VALUE"""),"application/pdf")</f>
        <v>application/pdf</v>
      </c>
    </row>
    <row r="1300">
      <c r="A1300" s="159" t="str">
        <f>IFERROR(__xludf.DUMMYFUNCTION("""COMPUTED_VALUE"""),"10.1111/j.1467-7687.2009.00859.x")</f>
        <v>10.1111/j.1467-7687.2009.00859.x</v>
      </c>
      <c r="B1300" s="680" t="str">
        <f>IFERROR(__xludf.DUMMYFUNCTION("""COMPUTED_VALUE"""),"https://drive.google.com/file/d/1NI0OwWuG3iBxN7UXcgaBi6OYUsoeeB6I/view?usp=drivesdk")</f>
        <v>https://drive.google.com/file/d/1NI0OwWuG3iBxN7UXcgaBi6OYUsoeeB6I/view?usp=drivesdk</v>
      </c>
      <c r="C1300" s="159" t="str">
        <f>IFERROR(__xludf.DUMMYFUNCTION("""COMPUTED_VALUE"""),"10.1111--j.1467-7687.2009.00859.x.pdf")</f>
        <v>10.1111--j.1467-7687.2009.00859.x.pdf</v>
      </c>
      <c r="D1300" s="159" t="str">
        <f>IFERROR(__xludf.DUMMYFUNCTION("""COMPUTED_VALUE"""),"application/pdf")</f>
        <v>application/pdf</v>
      </c>
    </row>
    <row r="1301">
      <c r="A1301" s="159" t="str">
        <f>IFERROR(__xludf.DUMMYFUNCTION("""COMPUTED_VALUE"""),"10.1111/1468-0475.t01-1-00007")</f>
        <v>10.1111/1468-0475.t01-1-00007</v>
      </c>
      <c r="B1301" s="680" t="str">
        <f>IFERROR(__xludf.DUMMYFUNCTION("""COMPUTED_VALUE"""),"https://drive.google.com/file/d/1uOLIg5UkHYJcCaWaznedB-kkD-6Ojsoj/view?usp=drivesdk")</f>
        <v>https://drive.google.com/file/d/1uOLIg5UkHYJcCaWaznedB-kkD-6Ojsoj/view?usp=drivesdk</v>
      </c>
      <c r="C1301" s="159" t="str">
        <f>IFERROR(__xludf.DUMMYFUNCTION("""COMPUTED_VALUE"""),"10.1111--1468-0475.t01-1-00007.pdf")</f>
        <v>10.1111--1468-0475.t01-1-00007.pdf</v>
      </c>
      <c r="D1301" s="159" t="str">
        <f>IFERROR(__xludf.DUMMYFUNCTION("""COMPUTED_VALUE"""),"application/pdf")</f>
        <v>application/pdf</v>
      </c>
    </row>
    <row r="1302">
      <c r="A1302" s="159" t="str">
        <f>IFERROR(__xludf.DUMMYFUNCTION("""COMPUTED_VALUE"""),"10.1016/j.aap.2010.05.014")</f>
        <v>10.1016/j.aap.2010.05.014</v>
      </c>
      <c r="B1302" s="680" t="str">
        <f>IFERROR(__xludf.DUMMYFUNCTION("""COMPUTED_VALUE"""),"https://drive.google.com/file/d/1P-Sqvp0mCqZvJz4lzBzfJpU7sLsIcHpG/view?usp=drivesdk")</f>
        <v>https://drive.google.com/file/d/1P-Sqvp0mCqZvJz4lzBzfJpU7sLsIcHpG/view?usp=drivesdk</v>
      </c>
      <c r="C1302" s="159" t="str">
        <f>IFERROR(__xludf.DUMMYFUNCTION("""COMPUTED_VALUE"""),"10.1016--j.aap.2010.05.014.pdf")</f>
        <v>10.1016--j.aap.2010.05.014.pdf</v>
      </c>
      <c r="D1302" s="159" t="str">
        <f>IFERROR(__xludf.DUMMYFUNCTION("""COMPUTED_VALUE"""),"application/pdf")</f>
        <v>application/pdf</v>
      </c>
    </row>
    <row r="1303">
      <c r="A1303" s="159" t="str">
        <f>IFERROR(__xludf.DUMMYFUNCTION("""COMPUTED_VALUE"""),"10.1016/j.intell.2013.11.004")</f>
        <v>10.1016/j.intell.2013.11.004</v>
      </c>
      <c r="B1303" s="680" t="str">
        <f>IFERROR(__xludf.DUMMYFUNCTION("""COMPUTED_VALUE"""),"https://drive.google.com/file/d/1EHwdKOPywXiHT8ufx2T99v8YRbHGnFwU/view?usp=drivesdk")</f>
        <v>https://drive.google.com/file/d/1EHwdKOPywXiHT8ufx2T99v8YRbHGnFwU/view?usp=drivesdk</v>
      </c>
      <c r="C1303" s="159" t="str">
        <f>IFERROR(__xludf.DUMMYFUNCTION("""COMPUTED_VALUE"""),"10.1016--j.intell.2013.11.004.pdf")</f>
        <v>10.1016--j.intell.2013.11.004.pdf</v>
      </c>
      <c r="D1303" s="159" t="str">
        <f>IFERROR(__xludf.DUMMYFUNCTION("""COMPUTED_VALUE"""),"application/pdf")</f>
        <v>application/pdf</v>
      </c>
    </row>
    <row r="1304">
      <c r="A1304" s="159" t="str">
        <f>IFERROR(__xludf.DUMMYFUNCTION("""COMPUTED_VALUE"""),"10.1016/j.devbrainres.2005.06.014")</f>
        <v>10.1016/j.devbrainres.2005.06.014</v>
      </c>
      <c r="B1304" s="680" t="str">
        <f>IFERROR(__xludf.DUMMYFUNCTION("""COMPUTED_VALUE"""),"https://drive.google.com/file/d/1Ogf-uOfDl9Mk4NYZqw4y5cD5TJuVREfw/view?usp=drivesdk")</f>
        <v>https://drive.google.com/file/d/1Ogf-uOfDl9Mk4NYZqw4y5cD5TJuVREfw/view?usp=drivesdk</v>
      </c>
      <c r="C1304" s="159" t="str">
        <f>IFERROR(__xludf.DUMMYFUNCTION("""COMPUTED_VALUE"""),"10.1016--j.devbrainres.2005.06.014.pdf")</f>
        <v>10.1016--j.devbrainres.2005.06.014.pdf</v>
      </c>
      <c r="D1304" s="159" t="str">
        <f>IFERROR(__xludf.DUMMYFUNCTION("""COMPUTED_VALUE"""),"application/pdf")</f>
        <v>application/pdf</v>
      </c>
    </row>
    <row r="1305">
      <c r="A1305" s="159" t="str">
        <f>IFERROR(__xludf.DUMMYFUNCTION("""COMPUTED_VALUE"""),"10.1016/j.paid.2012.04.040")</f>
        <v>10.1016/j.paid.2012.04.040</v>
      </c>
      <c r="B1305" s="680" t="str">
        <f>IFERROR(__xludf.DUMMYFUNCTION("""COMPUTED_VALUE"""),"https://drive.google.com/file/d/1v3GntFT3_pm4ajRzH6JPM18Chi14Z430/view?usp=drivesdk")</f>
        <v>https://drive.google.com/file/d/1v3GntFT3_pm4ajRzH6JPM18Chi14Z430/view?usp=drivesdk</v>
      </c>
      <c r="C1305" s="159" t="str">
        <f>IFERROR(__xludf.DUMMYFUNCTION("""COMPUTED_VALUE"""),"10.1016--J.PAID.2012.04.040.pdf")</f>
        <v>10.1016--J.PAID.2012.04.040.pdf</v>
      </c>
      <c r="D1305" s="159" t="str">
        <f>IFERROR(__xludf.DUMMYFUNCTION("""COMPUTED_VALUE"""),"application/pdf")</f>
        <v>application/pdf</v>
      </c>
    </row>
    <row r="1306">
      <c r="A1306" s="159" t="str">
        <f>IFERROR(__xludf.DUMMYFUNCTION("""COMPUTED_VALUE"""),"10.1016/j.tourman.2016.01.013")</f>
        <v>10.1016/j.tourman.2016.01.013</v>
      </c>
      <c r="B1306" s="680" t="str">
        <f>IFERROR(__xludf.DUMMYFUNCTION("""COMPUTED_VALUE"""),"https://drive.google.com/file/d/17bs3vl2FzsWhzVlfBOdauYWC7F9KyJMy/view?usp=drivesdk")</f>
        <v>https://drive.google.com/file/d/17bs3vl2FzsWhzVlfBOdauYWC7F9KyJMy/view?usp=drivesdk</v>
      </c>
      <c r="C1306" s="159" t="str">
        <f>IFERROR(__xludf.DUMMYFUNCTION("""COMPUTED_VALUE"""),"10.1016--j.tourman.2016.01.013.pdf")</f>
        <v>10.1016--j.tourman.2016.01.013.pdf</v>
      </c>
      <c r="D1306" s="159" t="str">
        <f>IFERROR(__xludf.DUMMYFUNCTION("""COMPUTED_VALUE"""),"application/pdf")</f>
        <v>application/pdf</v>
      </c>
    </row>
    <row r="1307">
      <c r="A1307" s="159" t="str">
        <f>IFERROR(__xludf.DUMMYFUNCTION("""COMPUTED_VALUE"""),"10.1016/j.neuropsychologia.2012.04.015")</f>
        <v>10.1016/j.neuropsychologia.2012.04.015</v>
      </c>
      <c r="B1307" s="680" t="str">
        <f>IFERROR(__xludf.DUMMYFUNCTION("""COMPUTED_VALUE"""),"https://drive.google.com/file/d/1Ngt6UrsD91-8z3o5nPQYSC1uXd0ekwYw/view?usp=drivesdk")</f>
        <v>https://drive.google.com/file/d/1Ngt6UrsD91-8z3o5nPQYSC1uXd0ekwYw/view?usp=drivesdk</v>
      </c>
      <c r="C1307" s="159" t="str">
        <f>IFERROR(__xludf.DUMMYFUNCTION("""COMPUTED_VALUE"""),"10.1016--j.neuropsychologia.2012.04.015.pdf")</f>
        <v>10.1016--j.neuropsychologia.2012.04.015.pdf</v>
      </c>
      <c r="D1307" s="159" t="str">
        <f>IFERROR(__xludf.DUMMYFUNCTION("""COMPUTED_VALUE"""),"application/pdf")</f>
        <v>application/pdf</v>
      </c>
    </row>
    <row r="1308">
      <c r="A1308" s="159" t="str">
        <f>IFERROR(__xludf.DUMMYFUNCTION("""COMPUTED_VALUE"""),"10.1037/0022-0663.67.6.882")</f>
        <v>10.1037/0022-0663.67.6.882</v>
      </c>
      <c r="B1308" s="680" t="str">
        <f>IFERROR(__xludf.DUMMYFUNCTION("""COMPUTED_VALUE"""),"https://drive.google.com/file/d/1gKjvQmfx19e3auGXpZdGBxQqVuGU6AX7/view?usp=drivesdk")</f>
        <v>https://drive.google.com/file/d/1gKjvQmfx19e3auGXpZdGBxQqVuGU6AX7/view?usp=drivesdk</v>
      </c>
      <c r="C1308" s="159" t="str">
        <f>IFERROR(__xludf.DUMMYFUNCTION("""COMPUTED_VALUE"""),"10.1037--0022-0663.67.6.882.pdf")</f>
        <v>10.1037--0022-0663.67.6.882.pdf</v>
      </c>
      <c r="D1308" s="159" t="str">
        <f>IFERROR(__xludf.DUMMYFUNCTION("""COMPUTED_VALUE"""),"application/pdf")</f>
        <v>application/pdf</v>
      </c>
    </row>
    <row r="1309">
      <c r="A1309" s="159" t="str">
        <f>IFERROR(__xludf.DUMMYFUNCTION("""COMPUTED_VALUE"""),"10.1017/bec.2013.16.")</f>
        <v>10.1017/bec.2013.16.</v>
      </c>
      <c r="B1309" s="680" t="str">
        <f>IFERROR(__xludf.DUMMYFUNCTION("""COMPUTED_VALUE"""),"https://drive.google.com/file/d/1U5Ogm827ucDFdocOpwNAGccaapijRR4J/view?usp=drivesdk")</f>
        <v>https://drive.google.com/file/d/1U5Ogm827ucDFdocOpwNAGccaapijRR4J/view?usp=drivesdk</v>
      </c>
      <c r="C1309" s="159" t="str">
        <f>IFERROR(__xludf.DUMMYFUNCTION("""COMPUTED_VALUE"""),"10.1017--bec.2013.16..pdf")</f>
        <v>10.1017--bec.2013.16..pdf</v>
      </c>
      <c r="D1309" s="159" t="str">
        <f>IFERROR(__xludf.DUMMYFUNCTION("""COMPUTED_VALUE"""),"application/pdf")</f>
        <v>application/pdf</v>
      </c>
    </row>
    <row r="1310">
      <c r="A1310" s="159" t="str">
        <f>IFERROR(__xludf.DUMMYFUNCTION("""COMPUTED_VALUE"""),"10.1101/lm.032409.113")</f>
        <v>10.1101/lm.032409.113</v>
      </c>
      <c r="B1310" s="680" t="str">
        <f>IFERROR(__xludf.DUMMYFUNCTION("""COMPUTED_VALUE"""),"https://drive.google.com/file/d/1QBVpAdQi9cHTv94j8sfKY45av11XBK9u/view?usp=drivesdk")</f>
        <v>https://drive.google.com/file/d/1QBVpAdQi9cHTv94j8sfKY45av11XBK9u/view?usp=drivesdk</v>
      </c>
      <c r="C1310" s="159" t="str">
        <f>IFERROR(__xludf.DUMMYFUNCTION("""COMPUTED_VALUE"""),"10.1101--lm.032409.113.pdf")</f>
        <v>10.1101--lm.032409.113.pdf</v>
      </c>
      <c r="D1310" s="159" t="str">
        <f>IFERROR(__xludf.DUMMYFUNCTION("""COMPUTED_VALUE"""),"application/pdf")</f>
        <v>application/pdf</v>
      </c>
    </row>
    <row r="1311">
      <c r="A1311" s="159" t="str">
        <f>IFERROR(__xludf.DUMMYFUNCTION("""COMPUTED_VALUE"""),"10.1016/0165-1781(93)90104-o")</f>
        <v>10.1016/0165-1781(93)90104-o</v>
      </c>
      <c r="B1311" s="680" t="str">
        <f>IFERROR(__xludf.DUMMYFUNCTION("""COMPUTED_VALUE"""),"https://drive.google.com/file/d/1c51xoclCygYjc2PSAWNPbFAZMhbv3-6j/view?usp=drivesdk")</f>
        <v>https://drive.google.com/file/d/1c51xoclCygYjc2PSAWNPbFAZMhbv3-6j/view?usp=drivesdk</v>
      </c>
      <c r="C1311" s="159" t="str">
        <f>IFERROR(__xludf.DUMMYFUNCTION("""COMPUTED_VALUE"""),"10.1016--0165-1781(93)90104-O.pdf")</f>
        <v>10.1016--0165-1781(93)90104-O.pdf</v>
      </c>
      <c r="D1311" s="159" t="str">
        <f>IFERROR(__xludf.DUMMYFUNCTION("""COMPUTED_VALUE"""),"application/pdf")</f>
        <v>application/pdf</v>
      </c>
    </row>
    <row r="1312">
      <c r="A1312" s="159" t="str">
        <f>IFERROR(__xludf.DUMMYFUNCTION("""COMPUTED_VALUE"""),"10.1097/00006842-200103000-00012")</f>
        <v>10.1097/00006842-200103000-00012</v>
      </c>
      <c r="B1312" s="680" t="str">
        <f>IFERROR(__xludf.DUMMYFUNCTION("""COMPUTED_VALUE"""),"https://drive.google.com/file/d/1kNAE-ye78RDsNealbMDlJ6VM6UzOgd-b/view?usp=drivesdk")</f>
        <v>https://drive.google.com/file/d/1kNAE-ye78RDsNealbMDlJ6VM6UzOgd-b/view?usp=drivesdk</v>
      </c>
      <c r="C1312" s="159" t="str">
        <f>IFERROR(__xludf.DUMMYFUNCTION("""COMPUTED_VALUE"""),"10.1097--00006842-200103000-00012.pdf")</f>
        <v>10.1097--00006842-200103000-00012.pdf</v>
      </c>
      <c r="D1312" s="159" t="str">
        <f>IFERROR(__xludf.DUMMYFUNCTION("""COMPUTED_VALUE"""),"application/pdf")</f>
        <v>application/pdf</v>
      </c>
    </row>
    <row r="1313">
      <c r="A1313" s="159" t="str">
        <f>IFERROR(__xludf.DUMMYFUNCTION("""COMPUTED_VALUE"""),"10.1016/j.foodqual.2016.06.012")</f>
        <v>10.1016/j.foodqual.2016.06.012</v>
      </c>
      <c r="B1313" s="680" t="str">
        <f>IFERROR(__xludf.DUMMYFUNCTION("""COMPUTED_VALUE"""),"https://drive.google.com/file/d/1QceQIPpudwHNts6ozVsewpPDcHxsEEG6/view?usp=drivesdk")</f>
        <v>https://drive.google.com/file/d/1QceQIPpudwHNts6ozVsewpPDcHxsEEG6/view?usp=drivesdk</v>
      </c>
      <c r="C1313" s="159" t="str">
        <f>IFERROR(__xludf.DUMMYFUNCTION("""COMPUTED_VALUE"""),"10.1016--j.foodqual.2016.06.012.pdf")</f>
        <v>10.1016--j.foodqual.2016.06.012.pdf</v>
      </c>
      <c r="D1313" s="159" t="str">
        <f>IFERROR(__xludf.DUMMYFUNCTION("""COMPUTED_VALUE"""),"application/pdf")</f>
        <v>application/pdf</v>
      </c>
    </row>
    <row r="1314">
      <c r="A1314" s="159" t="str">
        <f>IFERROR(__xludf.DUMMYFUNCTION("""COMPUTED_VALUE"""),"10.1111/j.1467-8624.2009.01312.x")</f>
        <v>10.1111/j.1467-8624.2009.01312.x</v>
      </c>
      <c r="B1314" s="680" t="str">
        <f>IFERROR(__xludf.DUMMYFUNCTION("""COMPUTED_VALUE"""),"https://drive.google.com/file/d/1CxCoM86qacNNUYpFhAyF1rtXgYBs-9mH/view?usp=drivesdk")</f>
        <v>https://drive.google.com/file/d/1CxCoM86qacNNUYpFhAyF1rtXgYBs-9mH/view?usp=drivesdk</v>
      </c>
      <c r="C1314" s="159" t="str">
        <f>IFERROR(__xludf.DUMMYFUNCTION("""COMPUTED_VALUE"""),"10.1111--j.1467-8624.2009.01312.x.pdf")</f>
        <v>10.1111--j.1467-8624.2009.01312.x.pdf</v>
      </c>
      <c r="D1314" s="159" t="str">
        <f>IFERROR(__xludf.DUMMYFUNCTION("""COMPUTED_VALUE"""),"application/pdf")</f>
        <v>application/pdf</v>
      </c>
    </row>
    <row r="1315">
      <c r="A1315" s="159" t="str">
        <f>IFERROR(__xludf.DUMMYFUNCTION("""COMPUTED_VALUE"""),"10.1038/nn.3973")</f>
        <v>10.1038/nn.3973</v>
      </c>
      <c r="B1315" s="680" t="str">
        <f>IFERROR(__xludf.DUMMYFUNCTION("""COMPUTED_VALUE"""),"https://drive.google.com/file/d/18asQxQidaLeAiNYj7n-uzRk_sjGDMuCH/view?usp=drivesdk")</f>
        <v>https://drive.google.com/file/d/18asQxQidaLeAiNYj7n-uzRk_sjGDMuCH/view?usp=drivesdk</v>
      </c>
      <c r="C1315" s="159" t="str">
        <f>IFERROR(__xludf.DUMMYFUNCTION("""COMPUTED_VALUE"""),"10.1038--nn.3973.pdf")</f>
        <v>10.1038--nn.3973.pdf</v>
      </c>
      <c r="D1315" s="159" t="str">
        <f>IFERROR(__xludf.DUMMYFUNCTION("""COMPUTED_VALUE"""),"application/pdf")</f>
        <v>application/pdf</v>
      </c>
    </row>
    <row r="1316">
      <c r="A1316" s="159" t="str">
        <f>IFERROR(__xludf.DUMMYFUNCTION("""COMPUTED_VALUE"""),"10.1080/02724990244000106")</f>
        <v>10.1080/02724990244000106</v>
      </c>
      <c r="B1316" s="680" t="str">
        <f>IFERROR(__xludf.DUMMYFUNCTION("""COMPUTED_VALUE"""),"https://drive.google.com/file/d/12WWB5hrjAYMH03HeqtvEyVUcJGk2Newf/view?usp=drivesdk")</f>
        <v>https://drive.google.com/file/d/12WWB5hrjAYMH03HeqtvEyVUcJGk2Newf/view?usp=drivesdk</v>
      </c>
      <c r="C1316" s="159" t="str">
        <f>IFERROR(__xludf.DUMMYFUNCTION("""COMPUTED_VALUE"""),"10.1080--02724990244000106.pdf")</f>
        <v>10.1080--02724990244000106.pdf</v>
      </c>
      <c r="D1316" s="159" t="str">
        <f>IFERROR(__xludf.DUMMYFUNCTION("""COMPUTED_VALUE"""),"application/pdf")</f>
        <v>application/pdf</v>
      </c>
    </row>
    <row r="1317">
      <c r="A1317" s="159" t="str">
        <f>IFERROR(__xludf.DUMMYFUNCTION("""COMPUTED_VALUE"""),"10.1016/j.drugalcdep.2016.10.014")</f>
        <v>10.1016/j.drugalcdep.2016.10.014</v>
      </c>
      <c r="B1317" s="680" t="str">
        <f>IFERROR(__xludf.DUMMYFUNCTION("""COMPUTED_VALUE"""),"https://drive.google.com/file/d/12ib7HG9oP33Ws90XAlqI-QpneflUF2fh/view?usp=drivesdk")</f>
        <v>https://drive.google.com/file/d/12ib7HG9oP33Ws90XAlqI-QpneflUF2fh/view?usp=drivesdk</v>
      </c>
      <c r="C1317" s="159" t="str">
        <f>IFERROR(__xludf.DUMMYFUNCTION("""COMPUTED_VALUE"""),"10.1016--j.drugalcdep.2016.10.014.pdf")</f>
        <v>10.1016--j.drugalcdep.2016.10.014.pdf</v>
      </c>
      <c r="D1317" s="159" t="str">
        <f>IFERROR(__xludf.DUMMYFUNCTION("""COMPUTED_VALUE"""),"application/pdf")</f>
        <v>application/pdf</v>
      </c>
    </row>
    <row r="1318">
      <c r="A1318" s="159" t="str">
        <f>IFERROR(__xludf.DUMMYFUNCTION("""COMPUTED_VALUE"""),"10.1177/0956797611434748")</f>
        <v>10.1177/0956797611434748</v>
      </c>
      <c r="B1318" s="680" t="str">
        <f>IFERROR(__xludf.DUMMYFUNCTION("""COMPUTED_VALUE"""),"https://drive.google.com/file/d/1j-kE2YVtXl2exB2ak9yvvebl17hGXDPf/view?usp=drivesdk")</f>
        <v>https://drive.google.com/file/d/1j-kE2YVtXl2exB2ak9yvvebl17hGXDPf/view?usp=drivesdk</v>
      </c>
      <c r="C1318" s="159" t="str">
        <f>IFERROR(__xludf.DUMMYFUNCTION("""COMPUTED_VALUE"""),"10.1177--0956797611434748.pdf")</f>
        <v>10.1177--0956797611434748.pdf</v>
      </c>
      <c r="D1318" s="159" t="str">
        <f>IFERROR(__xludf.DUMMYFUNCTION("""COMPUTED_VALUE"""),"application/pdf")</f>
        <v>application/pdf</v>
      </c>
    </row>
    <row r="1319">
      <c r="A1319" s="159" t="str">
        <f>IFERROR(__xludf.DUMMYFUNCTION("""COMPUTED_VALUE"""),"10.1016/j.cognition.2010.12.009")</f>
        <v>10.1016/j.cognition.2010.12.009</v>
      </c>
      <c r="B1319" s="680" t="str">
        <f>IFERROR(__xludf.DUMMYFUNCTION("""COMPUTED_VALUE"""),"https://drive.google.com/file/d/1ogcd8fxbNQ1z_SWg8tZ0FtFNsrzg8BnZ/view?usp=drivesdk")</f>
        <v>https://drive.google.com/file/d/1ogcd8fxbNQ1z_SWg8tZ0FtFNsrzg8BnZ/view?usp=drivesdk</v>
      </c>
      <c r="C1319" s="159" t="str">
        <f>IFERROR(__xludf.DUMMYFUNCTION("""COMPUTED_VALUE"""),"10.1016--j.cognition.2010.12.009.pdf")</f>
        <v>10.1016--j.cognition.2010.12.009.pdf</v>
      </c>
      <c r="D1319" s="159" t="str">
        <f>IFERROR(__xludf.DUMMYFUNCTION("""COMPUTED_VALUE"""),"application/pdf")</f>
        <v>application/pdf</v>
      </c>
    </row>
    <row r="1320">
      <c r="A1320" s="159" t="str">
        <f>IFERROR(__xludf.DUMMYFUNCTION("""COMPUTED_VALUE"""),"10.3758/pbr.15.3.543")</f>
        <v>10.3758/pbr.15.3.543</v>
      </c>
      <c r="B1320" s="680" t="str">
        <f>IFERROR(__xludf.DUMMYFUNCTION("""COMPUTED_VALUE"""),"https://drive.google.com/file/d/1VIyaKTrHkcnvx6X2Vzbcsabqr1_r_F9C/view?usp=drivesdk")</f>
        <v>https://drive.google.com/file/d/1VIyaKTrHkcnvx6X2Vzbcsabqr1_r_F9C/view?usp=drivesdk</v>
      </c>
      <c r="C1320" s="159" t="str">
        <f>IFERROR(__xludf.DUMMYFUNCTION("""COMPUTED_VALUE"""),"10.3758--PBR.15.3.543.pdf")</f>
        <v>10.3758--PBR.15.3.543.pdf</v>
      </c>
      <c r="D1320" s="159" t="str">
        <f>IFERROR(__xludf.DUMMYFUNCTION("""COMPUTED_VALUE"""),"application/pdf")</f>
        <v>application/pdf</v>
      </c>
    </row>
    <row r="1321">
      <c r="A1321" s="159" t="str">
        <f>IFERROR(__xludf.DUMMYFUNCTION("""COMPUTED_VALUE"""),"10.1002/1097-4679(199511)51:6&lt;768::aid-jclp2270510607&gt;3.0.co;2-1")</f>
        <v>10.1002/1097-4679(199511)51:6&lt;768::aid-jclp2270510607&gt;3.0.co;2-1</v>
      </c>
      <c r="B1321" s="680" t="str">
        <f>IFERROR(__xludf.DUMMYFUNCTION("""COMPUTED_VALUE"""),"https://drive.google.com/file/d/1tchwxQTTre_0NysY7Uqn1J1fTAm0FTaN/view?usp=drivesdk")</f>
        <v>https://drive.google.com/file/d/1tchwxQTTre_0NysY7Uqn1J1fTAm0FTaN/view?usp=drivesdk</v>
      </c>
      <c r="C1321" s="159" t="str">
        <f>IFERROR(__xludf.DUMMYFUNCTION("""COMPUTED_VALUE"""),"10.1002--1097-4679(199511)51:6&lt;768::AID-JCLP2270510607&gt;3.0.CO;2-1.pdf")</f>
        <v>10.1002--1097-4679(199511)51:6&lt;768::AID-JCLP2270510607&gt;3.0.CO;2-1.pdf</v>
      </c>
      <c r="D1321" s="159" t="str">
        <f>IFERROR(__xludf.DUMMYFUNCTION("""COMPUTED_VALUE"""),"application/pdf")</f>
        <v>application/pdf</v>
      </c>
    </row>
    <row r="1322">
      <c r="A1322" s="159" t="str">
        <f>IFERROR(__xludf.DUMMYFUNCTION("""COMPUTED_VALUE"""),"10.1111/acer.12601")</f>
        <v>10.1111/acer.12601</v>
      </c>
      <c r="B1322" s="680" t="str">
        <f>IFERROR(__xludf.DUMMYFUNCTION("""COMPUTED_VALUE"""),"https://drive.google.com/file/d/1yIa2ATsvmJ39BhPndLcWZzUGLYLgDDgY/view?usp=drivesdk")</f>
        <v>https://drive.google.com/file/d/1yIa2ATsvmJ39BhPndLcWZzUGLYLgDDgY/view?usp=drivesdk</v>
      </c>
      <c r="C1322" s="159" t="str">
        <f>IFERROR(__xludf.DUMMYFUNCTION("""COMPUTED_VALUE"""),"10.1111--acer.12601.pdf")</f>
        <v>10.1111--acer.12601.pdf</v>
      </c>
      <c r="D1322" s="159" t="str">
        <f>IFERROR(__xludf.DUMMYFUNCTION("""COMPUTED_VALUE"""),"application/pdf")</f>
        <v>application/pdf</v>
      </c>
    </row>
    <row r="1323">
      <c r="A1323" s="159" t="str">
        <f>IFERROR(__xludf.DUMMYFUNCTION("""COMPUTED_VALUE"""),"10.1037/0022-3514.69.5.990")</f>
        <v>10.1037/0022-3514.69.5.990</v>
      </c>
      <c r="B1323" s="680" t="str">
        <f>IFERROR(__xludf.DUMMYFUNCTION("""COMPUTED_VALUE"""),"https://drive.google.com/file/d/1CMXFeghrtXa1dbj5j7fAh8HA1u4J3t99/view?usp=drivesdk")</f>
        <v>https://drive.google.com/file/d/1CMXFeghrtXa1dbj5j7fAh8HA1u4J3t99/view?usp=drivesdk</v>
      </c>
      <c r="C1323" s="159" t="str">
        <f>IFERROR(__xludf.DUMMYFUNCTION("""COMPUTED_VALUE"""),"10.1037--0022-3514.69.5.990.pdf")</f>
        <v>10.1037--0022-3514.69.5.990.pdf</v>
      </c>
      <c r="D1323" s="159" t="str">
        <f>IFERROR(__xludf.DUMMYFUNCTION("""COMPUTED_VALUE"""),"application/pdf")</f>
        <v>application/pdf</v>
      </c>
    </row>
    <row r="1324">
      <c r="A1324" s="159" t="str">
        <f>IFERROR(__xludf.DUMMYFUNCTION("""COMPUTED_VALUE"""),"10.1177/0956797615593705")</f>
        <v>10.1177/0956797615593705</v>
      </c>
      <c r="B1324" s="680" t="str">
        <f>IFERROR(__xludf.DUMMYFUNCTION("""COMPUTED_VALUE"""),"https://drive.google.com/file/d/1Kwvnn-NajKuwsJ_Pj-OVT9cMWkVJPQtN/view?usp=drivesdk")</f>
        <v>https://drive.google.com/file/d/1Kwvnn-NajKuwsJ_Pj-OVT9cMWkVJPQtN/view?usp=drivesdk</v>
      </c>
      <c r="C1324" s="159" t="str">
        <f>IFERROR(__xludf.DUMMYFUNCTION("""COMPUTED_VALUE"""),"10.1177--0956797615593705.pdf")</f>
        <v>10.1177--0956797615593705.pdf</v>
      </c>
      <c r="D1324" s="159" t="str">
        <f>IFERROR(__xludf.DUMMYFUNCTION("""COMPUTED_VALUE"""),"application/pdf")</f>
        <v>application/pdf</v>
      </c>
    </row>
    <row r="1325">
      <c r="A1325" s="159" t="str">
        <f>IFERROR(__xludf.DUMMYFUNCTION("""COMPUTED_VALUE"""),"10.1016/j.ridd.2011.07.018")</f>
        <v>10.1016/j.ridd.2011.07.018</v>
      </c>
      <c r="B1325" s="680" t="str">
        <f>IFERROR(__xludf.DUMMYFUNCTION("""COMPUTED_VALUE"""),"https://drive.google.com/file/d/1VIUw3gsv5o9NRh-GJTzV3NZWNknBAmD8/view?usp=drivesdk")</f>
        <v>https://drive.google.com/file/d/1VIUw3gsv5o9NRh-GJTzV3NZWNknBAmD8/view?usp=drivesdk</v>
      </c>
      <c r="C1325" s="159" t="str">
        <f>IFERROR(__xludf.DUMMYFUNCTION("""COMPUTED_VALUE"""),"10.1016--j.ridd.2011.07.018.pdf")</f>
        <v>10.1016--j.ridd.2011.07.018.pdf</v>
      </c>
      <c r="D1325" s="159" t="str">
        <f>IFERROR(__xludf.DUMMYFUNCTION("""COMPUTED_VALUE"""),"application/pdf")</f>
        <v>application/pdf</v>
      </c>
    </row>
    <row r="1326">
      <c r="A1326" s="159" t="str">
        <f>IFERROR(__xludf.DUMMYFUNCTION("""COMPUTED_VALUE"""),"10.1023/a:1022684520514.")</f>
        <v>10.1023/a:1022684520514.</v>
      </c>
      <c r="B1326" s="680" t="str">
        <f>IFERROR(__xludf.DUMMYFUNCTION("""COMPUTED_VALUE"""),"https://drive.google.com/file/d/1ZqZyWmZbvn_DnisBW2mKp-yT2_-M8xNu/view?usp=drivesdk")</f>
        <v>https://drive.google.com/file/d/1ZqZyWmZbvn_DnisBW2mKp-yT2_-M8xNu/view?usp=drivesdk</v>
      </c>
      <c r="C1326" s="159" t="str">
        <f>IFERROR(__xludf.DUMMYFUNCTION("""COMPUTED_VALUE"""),"10.1023--a:1022684520514..pdf")</f>
        <v>10.1023--a:1022684520514..pdf</v>
      </c>
      <c r="D1326" s="159" t="str">
        <f>IFERROR(__xludf.DUMMYFUNCTION("""COMPUTED_VALUE"""),"application/pdf")</f>
        <v>application/pdf</v>
      </c>
    </row>
    <row r="1327">
      <c r="A1327" s="159" t="str">
        <f>IFERROR(__xludf.DUMMYFUNCTION("""COMPUTED_VALUE"""),"10.1007/s10508-015-0658-2")</f>
        <v>10.1007/s10508-015-0658-2</v>
      </c>
      <c r="B1327" s="680" t="str">
        <f>IFERROR(__xludf.DUMMYFUNCTION("""COMPUTED_VALUE"""),"https://drive.google.com/file/d/1_u8aYwvuyDtBconPL_MaiUxPk1Lq8pVF/view?usp=drivesdk")</f>
        <v>https://drive.google.com/file/d/1_u8aYwvuyDtBconPL_MaiUxPk1Lq8pVF/view?usp=drivesdk</v>
      </c>
      <c r="C1327" s="159" t="str">
        <f>IFERROR(__xludf.DUMMYFUNCTION("""COMPUTED_VALUE"""),"10.1007--s10508-015-0658-2.pdf")</f>
        <v>10.1007--s10508-015-0658-2.pdf</v>
      </c>
      <c r="D1327" s="159" t="str">
        <f>IFERROR(__xludf.DUMMYFUNCTION("""COMPUTED_VALUE"""),"application/pdf")</f>
        <v>application/pdf</v>
      </c>
    </row>
    <row r="1328">
      <c r="A1328" s="159" t="str">
        <f>IFERROR(__xludf.DUMMYFUNCTION("""COMPUTED_VALUE"""),"10.1023/a:1023465601718")</f>
        <v>10.1023/a:1023465601718</v>
      </c>
      <c r="B1328" s="680" t="str">
        <f>IFERROR(__xludf.DUMMYFUNCTION("""COMPUTED_VALUE"""),"https://drive.google.com/file/d/14nctpJxv51A70mGgKF8E78PDRnn05iry/view?usp=drivesdk")</f>
        <v>https://drive.google.com/file/d/14nctpJxv51A70mGgKF8E78PDRnn05iry/view?usp=drivesdk</v>
      </c>
      <c r="C1328" s="159" t="str">
        <f>IFERROR(__xludf.DUMMYFUNCTION("""COMPUTED_VALUE"""),"10.1023--A:1023465601718.pdf")</f>
        <v>10.1023--A:1023465601718.pdf</v>
      </c>
      <c r="D1328" s="159" t="str">
        <f>IFERROR(__xludf.DUMMYFUNCTION("""COMPUTED_VALUE"""),"application/pdf")</f>
        <v>application/pdf</v>
      </c>
    </row>
    <row r="1329">
      <c r="A1329" s="159" t="str">
        <f>IFERROR(__xludf.DUMMYFUNCTION("""COMPUTED_VALUE"""),"10.1002/bdm.501")</f>
        <v>10.1002/bdm.501</v>
      </c>
      <c r="B1329" s="680" t="str">
        <f>IFERROR(__xludf.DUMMYFUNCTION("""COMPUTED_VALUE"""),"https://drive.google.com/file/d/1WIrQsClyf_Gdbj9O7cEdMR-dTqqRFJak/view?usp=drivesdk")</f>
        <v>https://drive.google.com/file/d/1WIrQsClyf_Gdbj9O7cEdMR-dTqqRFJak/view?usp=drivesdk</v>
      </c>
      <c r="C1329" s="159" t="str">
        <f>IFERROR(__xludf.DUMMYFUNCTION("""COMPUTED_VALUE"""),"10.1002--bdm.501.pdf")</f>
        <v>10.1002--bdm.501.pdf</v>
      </c>
      <c r="D1329" s="159" t="str">
        <f>IFERROR(__xludf.DUMMYFUNCTION("""COMPUTED_VALUE"""),"application/pdf")</f>
        <v>application/pdf</v>
      </c>
    </row>
    <row r="1330">
      <c r="A1330" s="159" t="str">
        <f>IFERROR(__xludf.DUMMYFUNCTION("""COMPUTED_VALUE"""),"10.1901/jaba.2012.45-657")</f>
        <v>10.1901/jaba.2012.45-657</v>
      </c>
      <c r="B1330" s="680" t="str">
        <f>IFERROR(__xludf.DUMMYFUNCTION("""COMPUTED_VALUE"""),"https://drive.google.com/file/d/1_1pDXdnb6Bds0sMaiO2wxybulx5xbtV-/view?usp=drivesdk")</f>
        <v>https://drive.google.com/file/d/1_1pDXdnb6Bds0sMaiO2wxybulx5xbtV-/view?usp=drivesdk</v>
      </c>
      <c r="C1330" s="159" t="str">
        <f>IFERROR(__xludf.DUMMYFUNCTION("""COMPUTED_VALUE"""),"10.1901--jaba.2012.45-657.pdf")</f>
        <v>10.1901--jaba.2012.45-657.pdf</v>
      </c>
      <c r="D1330" s="159" t="str">
        <f>IFERROR(__xludf.DUMMYFUNCTION("""COMPUTED_VALUE"""),"application/pdf")</f>
        <v>application/pdf</v>
      </c>
    </row>
    <row r="1331">
      <c r="A1331" s="159" t="str">
        <f>IFERROR(__xludf.DUMMYFUNCTION("""COMPUTED_VALUE"""),"10.1002/eat.20897")</f>
        <v>10.1002/eat.20897</v>
      </c>
      <c r="B1331" s="680" t="str">
        <f>IFERROR(__xludf.DUMMYFUNCTION("""COMPUTED_VALUE"""),"https://drive.google.com/file/d/1oK0OIZ6pDqbMWCKw0QCU7amZiJYcSkjE/view?usp=drivesdk")</f>
        <v>https://drive.google.com/file/d/1oK0OIZ6pDqbMWCKw0QCU7amZiJYcSkjE/view?usp=drivesdk</v>
      </c>
      <c r="C1331" s="159" t="str">
        <f>IFERROR(__xludf.DUMMYFUNCTION("""COMPUTED_VALUE"""),"10.1002--eat.20897.pdf")</f>
        <v>10.1002--eat.20897.pdf</v>
      </c>
      <c r="D1331" s="159" t="str">
        <f>IFERROR(__xludf.DUMMYFUNCTION("""COMPUTED_VALUE"""),"application/pdf")</f>
        <v>application/pdf</v>
      </c>
    </row>
    <row r="1332">
      <c r="A1332" s="159" t="str">
        <f>IFERROR(__xludf.DUMMYFUNCTION("""COMPUTED_VALUE"""),"10.1037/0022-3514.79.5.701")</f>
        <v>10.1037/0022-3514.79.5.701</v>
      </c>
      <c r="B1332" s="680" t="str">
        <f>IFERROR(__xludf.DUMMYFUNCTION("""COMPUTED_VALUE"""),"https://drive.google.com/file/d/1qgk9QP8u0zEOwOidroqBExUrLqjknIW0/view?usp=drivesdk")</f>
        <v>https://drive.google.com/file/d/1qgk9QP8u0zEOwOidroqBExUrLqjknIW0/view?usp=drivesdk</v>
      </c>
      <c r="C1332" s="159" t="str">
        <f>IFERROR(__xludf.DUMMYFUNCTION("""COMPUTED_VALUE"""),"10.1037--0022-3514.79.5.701.pdf")</f>
        <v>10.1037--0022-3514.79.5.701.pdf</v>
      </c>
      <c r="D1332" s="159" t="str">
        <f>IFERROR(__xludf.DUMMYFUNCTION("""COMPUTED_VALUE"""),"application/pdf")</f>
        <v>application/pdf</v>
      </c>
    </row>
    <row r="1333">
      <c r="A1333" s="159" t="str">
        <f>IFERROR(__xludf.DUMMYFUNCTION("""COMPUTED_VALUE"""),"10.1016/0191-8869(85)90026-1")</f>
        <v>10.1016/0191-8869(85)90026-1</v>
      </c>
      <c r="B1333" s="680" t="str">
        <f>IFERROR(__xludf.DUMMYFUNCTION("""COMPUTED_VALUE"""),"https://drive.google.com/file/d/1T_JmUnBnQ1o3wORwxwD5PFiQeWIMcIDV/view?usp=drivesdk")</f>
        <v>https://drive.google.com/file/d/1T_JmUnBnQ1o3wORwxwD5PFiQeWIMcIDV/view?usp=drivesdk</v>
      </c>
      <c r="C1333" s="159" t="str">
        <f>IFERROR(__xludf.DUMMYFUNCTION("""COMPUTED_VALUE"""),"10.1016--0191-8869(85)90026-1.pdf")</f>
        <v>10.1016--0191-8869(85)90026-1.pdf</v>
      </c>
      <c r="D1333" s="159" t="str">
        <f>IFERROR(__xludf.DUMMYFUNCTION("""COMPUTED_VALUE"""),"application/pdf")</f>
        <v>application/pdf</v>
      </c>
    </row>
    <row r="1334">
      <c r="A1334" s="159" t="str">
        <f>IFERROR(__xludf.DUMMYFUNCTION("""COMPUTED_VALUE"""),"10.1007/s10903-012-9623-5")</f>
        <v>10.1007/s10903-012-9623-5</v>
      </c>
      <c r="B1334" s="680" t="str">
        <f>IFERROR(__xludf.DUMMYFUNCTION("""COMPUTED_VALUE"""),"https://drive.google.com/file/d/1yGGU6rCymS599BooTVh3w1yf7oyictn2/view?usp=drivesdk")</f>
        <v>https://drive.google.com/file/d/1yGGU6rCymS599BooTVh3w1yf7oyictn2/view?usp=drivesdk</v>
      </c>
      <c r="C1334" s="159" t="str">
        <f>IFERROR(__xludf.DUMMYFUNCTION("""COMPUTED_VALUE"""),"10.1007--s10903-012-9623-5.pdf")</f>
        <v>10.1007--s10903-012-9623-5.pdf</v>
      </c>
      <c r="D1334" s="159" t="str">
        <f>IFERROR(__xludf.DUMMYFUNCTION("""COMPUTED_VALUE"""),"application/pdf")</f>
        <v>application/pdf</v>
      </c>
    </row>
    <row r="1335">
      <c r="A1335" s="159" t="str">
        <f>IFERROR(__xludf.DUMMYFUNCTION("""COMPUTED_VALUE"""),"10.1037/a0034352")</f>
        <v>10.1037/a0034352</v>
      </c>
      <c r="B1335" s="680" t="str">
        <f>IFERROR(__xludf.DUMMYFUNCTION("""COMPUTED_VALUE"""),"https://drive.google.com/file/d/1czFxhkGZqxRX0MtMQtZJvfgMQ_qNtop2/view?usp=drivesdk")</f>
        <v>https://drive.google.com/file/d/1czFxhkGZqxRX0MtMQtZJvfgMQ_qNtop2/view?usp=drivesdk</v>
      </c>
      <c r="C1335" s="159" t="str">
        <f>IFERROR(__xludf.DUMMYFUNCTION("""COMPUTED_VALUE"""),"10.1037--a0034352.pdf")</f>
        <v>10.1037--a0034352.pdf</v>
      </c>
      <c r="D1335" s="159" t="str">
        <f>IFERROR(__xludf.DUMMYFUNCTION("""COMPUTED_VALUE"""),"application/pdf")</f>
        <v>application/pdf</v>
      </c>
    </row>
    <row r="1336">
      <c r="A1336" s="159" t="str">
        <f>IFERROR(__xludf.DUMMYFUNCTION("""COMPUTED_VALUE"""),"10.1002/jaba.514")</f>
        <v>10.1002/jaba.514</v>
      </c>
      <c r="B1336" s="680" t="str">
        <f>IFERROR(__xludf.DUMMYFUNCTION("""COMPUTED_VALUE"""),"https://drive.google.com/file/d/1GiZd3FwasIasQYuvAsopka0SfQWJSsXL/view?usp=drivesdk")</f>
        <v>https://drive.google.com/file/d/1GiZd3FwasIasQYuvAsopka0SfQWJSsXL/view?usp=drivesdk</v>
      </c>
      <c r="C1336" s="159" t="str">
        <f>IFERROR(__xludf.DUMMYFUNCTION("""COMPUTED_VALUE"""),"10.1002--jaba.514.pdf")</f>
        <v>10.1002--jaba.514.pdf</v>
      </c>
      <c r="D1336" s="159" t="str">
        <f>IFERROR(__xludf.DUMMYFUNCTION("""COMPUTED_VALUE"""),"application/pdf")</f>
        <v>application/pdf</v>
      </c>
    </row>
    <row r="1337">
      <c r="A1337" s="159" t="str">
        <f>IFERROR(__xludf.DUMMYFUNCTION("""COMPUTED_VALUE"""),"10.1016/j.brat.2011.06.005")</f>
        <v>10.1016/j.brat.2011.06.005</v>
      </c>
      <c r="B1337" s="680" t="str">
        <f>IFERROR(__xludf.DUMMYFUNCTION("""COMPUTED_VALUE"""),"https://drive.google.com/file/d/1z5U43MH5KGR-z62VJDWjyZpP3MFy5qgA/view?usp=drivesdk")</f>
        <v>https://drive.google.com/file/d/1z5U43MH5KGR-z62VJDWjyZpP3MFy5qgA/view?usp=drivesdk</v>
      </c>
      <c r="C1337" s="159" t="str">
        <f>IFERROR(__xludf.DUMMYFUNCTION("""COMPUTED_VALUE"""),"10.1016--j.brat.2011.06.005.pdf")</f>
        <v>10.1016--j.brat.2011.06.005.pdf</v>
      </c>
      <c r="D1337" s="159" t="str">
        <f>IFERROR(__xludf.DUMMYFUNCTION("""COMPUTED_VALUE"""),"application/pdf")</f>
        <v>application/pdf</v>
      </c>
    </row>
    <row r="1338">
      <c r="A1338" s="159" t="str">
        <f>IFERROR(__xludf.DUMMYFUNCTION("""COMPUTED_VALUE"""),"10.1016/j.cpr.2006.10.004")</f>
        <v>10.1016/j.cpr.2006.10.004</v>
      </c>
      <c r="B1338" s="680" t="str">
        <f>IFERROR(__xludf.DUMMYFUNCTION("""COMPUTED_VALUE"""),"https://drive.google.com/file/d/1o4o_52CV60Q4sbc7ekwEZ4dhaV3DkMS1/view?usp=drivesdk")</f>
        <v>https://drive.google.com/file/d/1o4o_52CV60Q4sbc7ekwEZ4dhaV3DkMS1/view?usp=drivesdk</v>
      </c>
      <c r="C1338" s="159" t="str">
        <f>IFERROR(__xludf.DUMMYFUNCTION("""COMPUTED_VALUE"""),"10.1016--j.cpr.2006.10.004.pdf")</f>
        <v>10.1016--j.cpr.2006.10.004.pdf</v>
      </c>
      <c r="D1338" s="159" t="str">
        <f>IFERROR(__xludf.DUMMYFUNCTION("""COMPUTED_VALUE"""),"application/pdf")</f>
        <v>application/pdf</v>
      </c>
    </row>
    <row r="1339">
      <c r="A1339" s="159" t="str">
        <f>IFERROR(__xludf.DUMMYFUNCTION("""COMPUTED_VALUE"""),"10.1016/j.drugalcdep.2008.03.031")</f>
        <v>10.1016/j.drugalcdep.2008.03.031</v>
      </c>
      <c r="B1339" s="680" t="str">
        <f>IFERROR(__xludf.DUMMYFUNCTION("""COMPUTED_VALUE"""),"https://drive.google.com/file/d/1HdgXTuDD1zfYfbijauGrXF0G29cOLyIQ/view?usp=drivesdk")</f>
        <v>https://drive.google.com/file/d/1HdgXTuDD1zfYfbijauGrXF0G29cOLyIQ/view?usp=drivesdk</v>
      </c>
      <c r="C1339" s="159" t="str">
        <f>IFERROR(__xludf.DUMMYFUNCTION("""COMPUTED_VALUE"""),"10.1016--j.drugalcdep.2008.03.031.pdf")</f>
        <v>10.1016--j.drugalcdep.2008.03.031.pdf</v>
      </c>
      <c r="D1339" s="159" t="str">
        <f>IFERROR(__xludf.DUMMYFUNCTION("""COMPUTED_VALUE"""),"application/pdf")</f>
        <v>application/pdf</v>
      </c>
    </row>
    <row r="1340">
      <c r="A1340" s="159" t="str">
        <f>IFERROR(__xludf.DUMMYFUNCTION("""COMPUTED_VALUE"""),"10.1037/0021-843x.115.4.798")</f>
        <v>10.1037/0021-843x.115.4.798</v>
      </c>
      <c r="B1340" s="680" t="str">
        <f>IFERROR(__xludf.DUMMYFUNCTION("""COMPUTED_VALUE"""),"https://drive.google.com/file/d/1GD5XljdxR2ykwWKm1MPAKrJoabHxm8Lt/view?usp=drivesdk")</f>
        <v>https://drive.google.com/file/d/1GD5XljdxR2ykwWKm1MPAKrJoabHxm8Lt/view?usp=drivesdk</v>
      </c>
      <c r="C1340" s="159" t="str">
        <f>IFERROR(__xludf.DUMMYFUNCTION("""COMPUTED_VALUE"""),"10.1037--0021-843X.115.4.798.pdf")</f>
        <v>10.1037--0021-843X.115.4.798.pdf</v>
      </c>
      <c r="D1340" s="159" t="str">
        <f>IFERROR(__xludf.DUMMYFUNCTION("""COMPUTED_VALUE"""),"application/pdf")</f>
        <v>application/pdf</v>
      </c>
    </row>
    <row r="1341">
      <c r="A1341" s="159" t="str">
        <f>IFERROR(__xludf.DUMMYFUNCTION("""COMPUTED_VALUE"""),"10.1521/pedi.2012.26.5.704")</f>
        <v>10.1521/pedi.2012.26.5.704</v>
      </c>
      <c r="B1341" s="680" t="str">
        <f>IFERROR(__xludf.DUMMYFUNCTION("""COMPUTED_VALUE"""),"https://drive.google.com/file/d/1_5YNK50PekihPYdiUNy1aTprQx2d1h3l/view?usp=drivesdk")</f>
        <v>https://drive.google.com/file/d/1_5YNK50PekihPYdiUNy1aTprQx2d1h3l/view?usp=drivesdk</v>
      </c>
      <c r="C1341" s="159" t="str">
        <f>IFERROR(__xludf.DUMMYFUNCTION("""COMPUTED_VALUE"""),"10.1521--pedi.2012.26.5.704.pdf")</f>
        <v>10.1521--pedi.2012.26.5.704.pdf</v>
      </c>
      <c r="D1341" s="159" t="str">
        <f>IFERROR(__xludf.DUMMYFUNCTION("""COMPUTED_VALUE"""),"application/pdf")</f>
        <v>application/pdf</v>
      </c>
    </row>
    <row r="1342">
      <c r="A1342" s="159" t="str">
        <f>IFERROR(__xludf.DUMMYFUNCTION("""COMPUTED_VALUE"""),"10.1016/j.janxdis.2010.03.008")</f>
        <v>10.1016/j.janxdis.2010.03.008</v>
      </c>
      <c r="B1342" s="680" t="str">
        <f>IFERROR(__xludf.DUMMYFUNCTION("""COMPUTED_VALUE"""),"https://drive.google.com/file/d/10lKB5hdGwD2rdpXoeGEzTshwHM2ol5Fp/view?usp=drivesdk")</f>
        <v>https://drive.google.com/file/d/10lKB5hdGwD2rdpXoeGEzTshwHM2ol5Fp/view?usp=drivesdk</v>
      </c>
      <c r="C1342" s="159" t="str">
        <f>IFERROR(__xludf.DUMMYFUNCTION("""COMPUTED_VALUE"""),"10.1016--j.janxdis.2010.03.008.pdf")</f>
        <v>10.1016--j.janxdis.2010.03.008.pdf</v>
      </c>
      <c r="D1342" s="159" t="str">
        <f>IFERROR(__xludf.DUMMYFUNCTION("""COMPUTED_VALUE"""),"application/pdf")</f>
        <v>application/pdf</v>
      </c>
    </row>
    <row r="1343">
      <c r="A1343" s="159" t="str">
        <f>IFERROR(__xludf.DUMMYFUNCTION("""COMPUTED_VALUE"""),"10.1123/jsp.1.4.320")</f>
        <v>10.1123/jsp.1.4.320</v>
      </c>
      <c r="B1343" s="680" t="str">
        <f>IFERROR(__xludf.DUMMYFUNCTION("""COMPUTED_VALUE"""),"https://drive.google.com/file/d/1otZ4upwg6OdS4INAxYmEHVP1Lz52NmvV/view?usp=drivesdk")</f>
        <v>https://drive.google.com/file/d/1otZ4upwg6OdS4INAxYmEHVP1Lz52NmvV/view?usp=drivesdk</v>
      </c>
      <c r="C1343" s="159" t="str">
        <f>IFERROR(__xludf.DUMMYFUNCTION("""COMPUTED_VALUE"""),"10.1123--jsp.1.4.320.pdf")</f>
        <v>10.1123--jsp.1.4.320.pdf</v>
      </c>
      <c r="D1343" s="159" t="str">
        <f>IFERROR(__xludf.DUMMYFUNCTION("""COMPUTED_VALUE"""),"application/pdf")</f>
        <v>application/pdf</v>
      </c>
    </row>
    <row r="1344">
      <c r="A1344" s="159" t="str">
        <f>IFERROR(__xludf.DUMMYFUNCTION("""COMPUTED_VALUE"""),"10.1016/j.cognition.2010.11.004")</f>
        <v>10.1016/j.cognition.2010.11.004</v>
      </c>
      <c r="B1344" s="680" t="str">
        <f>IFERROR(__xludf.DUMMYFUNCTION("""COMPUTED_VALUE"""),"https://drive.google.com/file/d/1-e44GPxL5eJw3oSDX6Z78jijaovnBQeQ/view?usp=drivesdk")</f>
        <v>https://drive.google.com/file/d/1-e44GPxL5eJw3oSDX6Z78jijaovnBQeQ/view?usp=drivesdk</v>
      </c>
      <c r="C1344" s="159" t="str">
        <f>IFERROR(__xludf.DUMMYFUNCTION("""COMPUTED_VALUE"""),"10.1016--j.cognition.2010.11.004.pdf")</f>
        <v>10.1016--j.cognition.2010.11.004.pdf</v>
      </c>
      <c r="D1344" s="159" t="str">
        <f>IFERROR(__xludf.DUMMYFUNCTION("""COMPUTED_VALUE"""),"application/pdf")</f>
        <v>application/pdf</v>
      </c>
    </row>
    <row r="1345">
      <c r="A1345" s="159" t="str">
        <f>IFERROR(__xludf.DUMMYFUNCTION("""COMPUTED_VALUE"""),"10.1007/s10519-009-9318-4")</f>
        <v>10.1007/s10519-009-9318-4</v>
      </c>
      <c r="B1345" s="680" t="str">
        <f>IFERROR(__xludf.DUMMYFUNCTION("""COMPUTED_VALUE"""),"https://drive.google.com/file/d/1GuHxJScwgTchcLiTjR0FvznWHBZZzfTw/view?usp=drivesdk")</f>
        <v>https://drive.google.com/file/d/1GuHxJScwgTchcLiTjR0FvznWHBZZzfTw/view?usp=drivesdk</v>
      </c>
      <c r="C1345" s="159" t="str">
        <f>IFERROR(__xludf.DUMMYFUNCTION("""COMPUTED_VALUE"""),"10.1007--s10519-009-9318-4.pdf")</f>
        <v>10.1007--s10519-009-9318-4.pdf</v>
      </c>
      <c r="D1345" s="159" t="str">
        <f>IFERROR(__xludf.DUMMYFUNCTION("""COMPUTED_VALUE"""),"application/pdf")</f>
        <v>application/pdf</v>
      </c>
    </row>
    <row r="1346">
      <c r="A1346" s="159" t="str">
        <f>IFERROR(__xludf.DUMMYFUNCTION("""COMPUTED_VALUE"""),"10.1007/s10608-008-9214-x")</f>
        <v>10.1007/s10608-008-9214-x</v>
      </c>
      <c r="B1346" s="680" t="str">
        <f>IFERROR(__xludf.DUMMYFUNCTION("""COMPUTED_VALUE"""),"https://drive.google.com/file/d/1jOA-TNreTdA7I34dlR5bhFsbZkyPsAgE/view?usp=drivesdk")</f>
        <v>https://drive.google.com/file/d/1jOA-TNreTdA7I34dlR5bhFsbZkyPsAgE/view?usp=drivesdk</v>
      </c>
      <c r="C1346" s="159" t="str">
        <f>IFERROR(__xludf.DUMMYFUNCTION("""COMPUTED_VALUE"""),"10.1007--s10608-008-9214-x.pdf")</f>
        <v>10.1007--s10608-008-9214-x.pdf</v>
      </c>
      <c r="D1346" s="159" t="str">
        <f>IFERROR(__xludf.DUMMYFUNCTION("""COMPUTED_VALUE"""),"application/pdf")</f>
        <v>application/pdf</v>
      </c>
    </row>
    <row r="1347">
      <c r="A1347" s="159" t="str">
        <f>IFERROR(__xludf.DUMMYFUNCTION("""COMPUTED_VALUE"""),"10.1037/a0029608")</f>
        <v>10.1037/a0029608</v>
      </c>
      <c r="B1347" s="680" t="str">
        <f>IFERROR(__xludf.DUMMYFUNCTION("""COMPUTED_VALUE"""),"https://drive.google.com/file/d/1NuXVN8mp-l_4aoe9k29tUEXCtbKB5nvC/view?usp=drivesdk")</f>
        <v>https://drive.google.com/file/d/1NuXVN8mp-l_4aoe9k29tUEXCtbKB5nvC/view?usp=drivesdk</v>
      </c>
      <c r="C1347" s="159" t="str">
        <f>IFERROR(__xludf.DUMMYFUNCTION("""COMPUTED_VALUE"""),"10.1037--a0029608.pdf")</f>
        <v>10.1037--a0029608.pdf</v>
      </c>
      <c r="D1347" s="159" t="str">
        <f>IFERROR(__xludf.DUMMYFUNCTION("""COMPUTED_VALUE"""),"application/pdf")</f>
        <v>application/pdf</v>
      </c>
    </row>
    <row r="1348">
      <c r="A1348" s="159" t="str">
        <f>IFERROR(__xludf.DUMMYFUNCTION("""COMPUTED_VALUE"""),"10.1016/0028-3932(73)90049-3")</f>
        <v>10.1016/0028-3932(73)90049-3</v>
      </c>
      <c r="B1348" s="680" t="str">
        <f>IFERROR(__xludf.DUMMYFUNCTION("""COMPUTED_VALUE"""),"https://drive.google.com/file/d/18eCD4c0IMT6bc_VAnZ8weNQfQtYz5Cjw/view?usp=drivesdk")</f>
        <v>https://drive.google.com/file/d/18eCD4c0IMT6bc_VAnZ8weNQfQtYz5Cjw/view?usp=drivesdk</v>
      </c>
      <c r="C1348" s="159" t="str">
        <f>IFERROR(__xludf.DUMMYFUNCTION("""COMPUTED_VALUE"""),"10.1016--0028-3932(73)90049-3.pdf")</f>
        <v>10.1016--0028-3932(73)90049-3.pdf</v>
      </c>
      <c r="D1348" s="159" t="str">
        <f>IFERROR(__xludf.DUMMYFUNCTION("""COMPUTED_VALUE"""),"application/pdf")</f>
        <v>application/pdf</v>
      </c>
    </row>
    <row r="1349">
      <c r="A1349" s="159" t="str">
        <f>IFERROR(__xludf.DUMMYFUNCTION("""COMPUTED_VALUE"""),"10.1007/s10608-015-9716-2")</f>
        <v>10.1007/s10608-015-9716-2</v>
      </c>
      <c r="B1349" s="680" t="str">
        <f>IFERROR(__xludf.DUMMYFUNCTION("""COMPUTED_VALUE"""),"https://drive.google.com/file/d/1WhiWzn4A8rwXlB59hzCghMQ610mT93CT/view?usp=drivesdk")</f>
        <v>https://drive.google.com/file/d/1WhiWzn4A8rwXlB59hzCghMQ610mT93CT/view?usp=drivesdk</v>
      </c>
      <c r="C1349" s="159" t="str">
        <f>IFERROR(__xludf.DUMMYFUNCTION("""COMPUTED_VALUE"""),"10.1007--s10608-015-9716-2.pdf")</f>
        <v>10.1007--s10608-015-9716-2.pdf</v>
      </c>
      <c r="D1349" s="159" t="str">
        <f>IFERROR(__xludf.DUMMYFUNCTION("""COMPUTED_VALUE"""),"application/pdf")</f>
        <v>application/pdf</v>
      </c>
    </row>
    <row r="1350">
      <c r="A1350" s="159" t="str">
        <f>IFERROR(__xludf.DUMMYFUNCTION("""COMPUTED_VALUE"""),"10.1093/oxfordhb/9780195394399.013.0010")</f>
        <v>10.1093/oxfordhb/9780195394399.013.0010</v>
      </c>
      <c r="B1350" s="680" t="str">
        <f>IFERROR(__xludf.DUMMYFUNCTION("""COMPUTED_VALUE"""),"https://drive.google.com/file/d/1GH0-GTw97RlHFA5olTAMgkF2LDuBWtkB/view?usp=drivesdk")</f>
        <v>https://drive.google.com/file/d/1GH0-GTw97RlHFA5olTAMgkF2LDuBWtkB/view?usp=drivesdk</v>
      </c>
      <c r="C1350" s="159" t="str">
        <f>IFERROR(__xludf.DUMMYFUNCTION("""COMPUTED_VALUE"""),"10.1093--oxfordhb--9780195394399.013.0010.pdf")</f>
        <v>10.1093--oxfordhb--9780195394399.013.0010.pdf</v>
      </c>
      <c r="D1350" s="159" t="str">
        <f>IFERROR(__xludf.DUMMYFUNCTION("""COMPUTED_VALUE"""),"application/pdf")</f>
        <v>application/pdf</v>
      </c>
    </row>
    <row r="1351">
      <c r="A1351" s="159" t="str">
        <f>IFERROR(__xludf.DUMMYFUNCTION("""COMPUTED_VALUE"""),"10.1016/j.janxdis.2015.12.001")</f>
        <v>10.1016/j.janxdis.2015.12.001</v>
      </c>
      <c r="B1351" s="680" t="str">
        <f>IFERROR(__xludf.DUMMYFUNCTION("""COMPUTED_VALUE"""),"https://drive.google.com/file/d/12WUpqRA8vllClBxv1BdZOa5-ANNs2qW7/view?usp=drivesdk")</f>
        <v>https://drive.google.com/file/d/12WUpqRA8vllClBxv1BdZOa5-ANNs2qW7/view?usp=drivesdk</v>
      </c>
      <c r="C1351" s="159" t="str">
        <f>IFERROR(__xludf.DUMMYFUNCTION("""COMPUTED_VALUE"""),"10.1016--j.janxdis.2015.12.001.pdf")</f>
        <v>10.1016--j.janxdis.2015.12.001.pdf</v>
      </c>
      <c r="D1351" s="159" t="str">
        <f>IFERROR(__xludf.DUMMYFUNCTION("""COMPUTED_VALUE"""),"application/pdf")</f>
        <v>application/pdf</v>
      </c>
    </row>
    <row r="1352">
      <c r="A1352" s="159" t="str">
        <f>IFERROR(__xludf.DUMMYFUNCTION("""COMPUTED_VALUE"""),"10.1080/10888430701746849")</f>
        <v>10.1080/10888430701746849</v>
      </c>
      <c r="B1352" s="680" t="str">
        <f>IFERROR(__xludf.DUMMYFUNCTION("""COMPUTED_VALUE"""),"https://drive.google.com/file/d/1K3uDJAZAlGYyqTk5JqOt7qojCJpOj7Xg/view?usp=drivesdk")</f>
        <v>https://drive.google.com/file/d/1K3uDJAZAlGYyqTk5JqOt7qojCJpOj7Xg/view?usp=drivesdk</v>
      </c>
      <c r="C1352" s="159" t="str">
        <f>IFERROR(__xludf.DUMMYFUNCTION("""COMPUTED_VALUE"""),"10.1080--10888430701746849.pdf")</f>
        <v>10.1080--10888430701746849.pdf</v>
      </c>
      <c r="D1352" s="159" t="str">
        <f>IFERROR(__xludf.DUMMYFUNCTION("""COMPUTED_VALUE"""),"application/pdf")</f>
        <v>application/pdf</v>
      </c>
    </row>
    <row r="1353">
      <c r="A1353" s="159" t="str">
        <f>IFERROR(__xludf.DUMMYFUNCTION("""COMPUTED_VALUE"""),"10.1037/a0039737")</f>
        <v>10.1037/a0039737</v>
      </c>
      <c r="B1353" s="680" t="str">
        <f>IFERROR(__xludf.DUMMYFUNCTION("""COMPUTED_VALUE"""),"https://drive.google.com/file/d/1fwgPBv2sUceSWub7L1rc7wljbmLYbdBI/view?usp=drivesdk")</f>
        <v>https://drive.google.com/file/d/1fwgPBv2sUceSWub7L1rc7wljbmLYbdBI/view?usp=drivesdk</v>
      </c>
      <c r="C1353" s="159" t="str">
        <f>IFERROR(__xludf.DUMMYFUNCTION("""COMPUTED_VALUE"""),"10.1037--a0039737.pdf")</f>
        <v>10.1037--a0039737.pdf</v>
      </c>
      <c r="D1353" s="159" t="str">
        <f>IFERROR(__xludf.DUMMYFUNCTION("""COMPUTED_VALUE"""),"application/pdf")</f>
        <v>application/pdf</v>
      </c>
    </row>
    <row r="1354">
      <c r="A1354" s="159" t="str">
        <f>IFERROR(__xludf.DUMMYFUNCTION("""COMPUTED_VALUE"""),"10.1177/1362361314526004")</f>
        <v>10.1177/1362361314526004</v>
      </c>
      <c r="B1354" s="680" t="str">
        <f>IFERROR(__xludf.DUMMYFUNCTION("""COMPUTED_VALUE"""),"https://drive.google.com/file/d/1GVBqgyuDLoRWYiX__KiiE9-6b7stT8IT/view?usp=drivesdk")</f>
        <v>https://drive.google.com/file/d/1GVBqgyuDLoRWYiX__KiiE9-6b7stT8IT/view?usp=drivesdk</v>
      </c>
      <c r="C1354" s="159" t="str">
        <f>IFERROR(__xludf.DUMMYFUNCTION("""COMPUTED_VALUE"""),"10.1177--1362361314526004.pdf")</f>
        <v>10.1177--1362361314526004.pdf</v>
      </c>
      <c r="D1354" s="159" t="str">
        <f>IFERROR(__xludf.DUMMYFUNCTION("""COMPUTED_VALUE"""),"application/pdf")</f>
        <v>application/pdf</v>
      </c>
    </row>
    <row r="1355">
      <c r="A1355" s="159" t="str">
        <f>IFERROR(__xludf.DUMMYFUNCTION("""COMPUTED_VALUE"""),"10.1177/1073191108314788")</f>
        <v>10.1177/1073191108314788</v>
      </c>
      <c r="B1355" s="680" t="str">
        <f>IFERROR(__xludf.DUMMYFUNCTION("""COMPUTED_VALUE"""),"https://drive.google.com/file/d/1SVjF8ubObSqPDALimt0IDBXcn12XB-8i/view?usp=drivesdk")</f>
        <v>https://drive.google.com/file/d/1SVjF8ubObSqPDALimt0IDBXcn12XB-8i/view?usp=drivesdk</v>
      </c>
      <c r="C1355" s="159" t="str">
        <f>IFERROR(__xludf.DUMMYFUNCTION("""COMPUTED_VALUE"""),"10.1177--1073191108314788.pdf")</f>
        <v>10.1177--1073191108314788.pdf</v>
      </c>
      <c r="D1355" s="159" t="str">
        <f>IFERROR(__xludf.DUMMYFUNCTION("""COMPUTED_VALUE"""),"application/pdf")</f>
        <v>application/pdf</v>
      </c>
    </row>
    <row r="1356">
      <c r="A1356" s="159" t="str">
        <f>IFERROR(__xludf.DUMMYFUNCTION("""COMPUTED_VALUE"""),"10.1016/j.jml.2003.10.003")</f>
        <v>10.1016/j.jml.2003.10.003</v>
      </c>
      <c r="B1356" s="680" t="str">
        <f>IFERROR(__xludf.DUMMYFUNCTION("""COMPUTED_VALUE"""),"https://drive.google.com/file/d/1IM4CBGtk-uBexLOjWnTivV4WzNvwBH8E/view?usp=drivesdk")</f>
        <v>https://drive.google.com/file/d/1IM4CBGtk-uBexLOjWnTivV4WzNvwBH8E/view?usp=drivesdk</v>
      </c>
      <c r="C1356" s="159" t="str">
        <f>IFERROR(__xludf.DUMMYFUNCTION("""COMPUTED_VALUE"""),"10.1016--j.jml.2003.10.003.pdf")</f>
        <v>10.1016--j.jml.2003.10.003.pdf</v>
      </c>
      <c r="D1356" s="159" t="str">
        <f>IFERROR(__xludf.DUMMYFUNCTION("""COMPUTED_VALUE"""),"application/pdf")</f>
        <v>application/pdf</v>
      </c>
    </row>
    <row r="1357">
      <c r="A1357" s="159" t="str">
        <f>IFERROR(__xludf.DUMMYFUNCTION("""COMPUTED_VALUE"""),"10.1037/0894-4105.20.6.633")</f>
        <v>10.1037/0894-4105.20.6.633</v>
      </c>
      <c r="B1357" s="680" t="str">
        <f>IFERROR(__xludf.DUMMYFUNCTION("""COMPUTED_VALUE"""),"https://drive.google.com/file/d/1lJVrOaRZiyfxA803nV3ux-TzNSeeMurV/view?usp=drivesdk")</f>
        <v>https://drive.google.com/file/d/1lJVrOaRZiyfxA803nV3ux-TzNSeeMurV/view?usp=drivesdk</v>
      </c>
      <c r="C1357" s="159" t="str">
        <f>IFERROR(__xludf.DUMMYFUNCTION("""COMPUTED_VALUE"""),"10.1037--0894-4105.20.6.633.pdf")</f>
        <v>10.1037--0894-4105.20.6.633.pdf</v>
      </c>
      <c r="D1357" s="159" t="str">
        <f>IFERROR(__xludf.DUMMYFUNCTION("""COMPUTED_VALUE"""),"application/pdf")</f>
        <v>application/pdf</v>
      </c>
    </row>
    <row r="1358">
      <c r="A1358" s="159" t="str">
        <f>IFERROR(__xludf.DUMMYFUNCTION("""COMPUTED_VALUE"""),"10.1111/psyp.12583")</f>
        <v>10.1111/psyp.12583</v>
      </c>
      <c r="B1358" s="680" t="str">
        <f>IFERROR(__xludf.DUMMYFUNCTION("""COMPUTED_VALUE"""),"https://drive.google.com/file/d/1VPB0ZWiVsJ01n-Tfay2g-vWX9tReIPew/view?usp=drivesdk")</f>
        <v>https://drive.google.com/file/d/1VPB0ZWiVsJ01n-Tfay2g-vWX9tReIPew/view?usp=drivesdk</v>
      </c>
      <c r="C1358" s="159" t="str">
        <f>IFERROR(__xludf.DUMMYFUNCTION("""COMPUTED_VALUE"""),"10.1111--psyp.12583.pdf")</f>
        <v>10.1111--psyp.12583.pdf</v>
      </c>
      <c r="D1358" s="159" t="str">
        <f>IFERROR(__xludf.DUMMYFUNCTION("""COMPUTED_VALUE"""),"application/pdf")</f>
        <v>application/pdf</v>
      </c>
    </row>
    <row r="1359">
      <c r="A1359" s="159" t="str">
        <f>IFERROR(__xludf.DUMMYFUNCTION("""COMPUTED_VALUE"""),"10.1016/s0896-6273(01)00225-2")</f>
        <v>10.1016/s0896-6273(01)00225-2</v>
      </c>
      <c r="B1359" s="680" t="str">
        <f>IFERROR(__xludf.DUMMYFUNCTION("""COMPUTED_VALUE"""),"https://drive.google.com/file/d/1ATHUtBOTxTCxt8N_eQSAezVDleH5UyRj/view?usp=drivesdk")</f>
        <v>https://drive.google.com/file/d/1ATHUtBOTxTCxt8N_eQSAezVDleH5UyRj/view?usp=drivesdk</v>
      </c>
      <c r="C1359" s="159" t="str">
        <f>IFERROR(__xludf.DUMMYFUNCTION("""COMPUTED_VALUE"""),"10.1016--S0896-6273(01)00225-2.pdf")</f>
        <v>10.1016--S0896-6273(01)00225-2.pdf</v>
      </c>
      <c r="D1359" s="159" t="str">
        <f>IFERROR(__xludf.DUMMYFUNCTION("""COMPUTED_VALUE"""),"application/pdf")</f>
        <v>application/pdf</v>
      </c>
    </row>
    <row r="1360">
      <c r="A1360" s="159" t="str">
        <f>IFERROR(__xludf.DUMMYFUNCTION("""COMPUTED_VALUE"""),"10.1093/scan/nsw175")</f>
        <v>10.1093/scan/nsw175</v>
      </c>
      <c r="B1360" s="680" t="str">
        <f>IFERROR(__xludf.DUMMYFUNCTION("""COMPUTED_VALUE"""),"https://drive.google.com/file/d/1Pit1tJn2cHakV8BX43PIdKZnSVoZQcmn/view?usp=drivesdk")</f>
        <v>https://drive.google.com/file/d/1Pit1tJn2cHakV8BX43PIdKZnSVoZQcmn/view?usp=drivesdk</v>
      </c>
      <c r="C1360" s="159" t="str">
        <f>IFERROR(__xludf.DUMMYFUNCTION("""COMPUTED_VALUE"""),"10.1093--scan--nsw175.pdf")</f>
        <v>10.1093--scan--nsw175.pdf</v>
      </c>
      <c r="D1360" s="159" t="str">
        <f>IFERROR(__xludf.DUMMYFUNCTION("""COMPUTED_VALUE"""),"application/pdf")</f>
        <v>application/pdf</v>
      </c>
    </row>
    <row r="1361">
      <c r="A1361" s="159" t="str">
        <f>IFERROR(__xludf.DUMMYFUNCTION("""COMPUTED_VALUE"""),"10.1016/j.jrp.2009.10.005")</f>
        <v>10.1016/j.jrp.2009.10.005</v>
      </c>
      <c r="B1361" s="680" t="str">
        <f>IFERROR(__xludf.DUMMYFUNCTION("""COMPUTED_VALUE"""),"https://drive.google.com/file/d/1Jf6EV88Oh74edX72FBD60dqKXlMdn6Mc/view?usp=drivesdk")</f>
        <v>https://drive.google.com/file/d/1Jf6EV88Oh74edX72FBD60dqKXlMdn6Mc/view?usp=drivesdk</v>
      </c>
      <c r="C1361" s="159" t="str">
        <f>IFERROR(__xludf.DUMMYFUNCTION("""COMPUTED_VALUE"""),"10.1016--j.jrp.2009.10.005.pdf")</f>
        <v>10.1016--j.jrp.2009.10.005.pdf</v>
      </c>
      <c r="D1361" s="159" t="str">
        <f>IFERROR(__xludf.DUMMYFUNCTION("""COMPUTED_VALUE"""),"application/pdf")</f>
        <v>application/pdf</v>
      </c>
    </row>
    <row r="1362">
      <c r="A1362" s="159" t="str">
        <f>IFERROR(__xludf.DUMMYFUNCTION("""COMPUTED_VALUE"""),"10.3758/s13423-014-0663-9")</f>
        <v>10.3758/s13423-014-0663-9</v>
      </c>
      <c r="B1362" s="680" t="str">
        <f>IFERROR(__xludf.DUMMYFUNCTION("""COMPUTED_VALUE"""),"https://drive.google.com/file/d/1K9Z2QoAfUp3wZZ9r-TdCgcxRW8O4g__4/view?usp=drivesdk")</f>
        <v>https://drive.google.com/file/d/1K9Z2QoAfUp3wZZ9r-TdCgcxRW8O4g__4/view?usp=drivesdk</v>
      </c>
      <c r="C1362" s="159" t="str">
        <f>IFERROR(__xludf.DUMMYFUNCTION("""COMPUTED_VALUE"""),"10.3758--s13423-014-0663-9.pdf")</f>
        <v>10.3758--s13423-014-0663-9.pdf</v>
      </c>
      <c r="D1362" s="159" t="str">
        <f>IFERROR(__xludf.DUMMYFUNCTION("""COMPUTED_VALUE"""),"application/pdf")</f>
        <v>application/pdf</v>
      </c>
    </row>
    <row r="1363">
      <c r="A1363" s="159" t="str">
        <f>IFERROR(__xludf.DUMMYFUNCTION("""COMPUTED_VALUE"""),"10.1080/135467996387534")</f>
        <v>10.1080/135467996387534</v>
      </c>
      <c r="B1363" s="680" t="str">
        <f>IFERROR(__xludf.DUMMYFUNCTION("""COMPUTED_VALUE"""),"https://drive.google.com/file/d/1Lg9AAKPrBnclSilQCr3AJ9Utx61yJZ10/view?usp=drivesdk")</f>
        <v>https://drive.google.com/file/d/1Lg9AAKPrBnclSilQCr3AJ9Utx61yJZ10/view?usp=drivesdk</v>
      </c>
      <c r="C1363" s="159" t="str">
        <f>IFERROR(__xludf.DUMMYFUNCTION("""COMPUTED_VALUE"""),"10.1080--135467996387534.pdf")</f>
        <v>10.1080--135467996387534.pdf</v>
      </c>
      <c r="D1363" s="159" t="str">
        <f>IFERROR(__xludf.DUMMYFUNCTION("""COMPUTED_VALUE"""),"application/pdf")</f>
        <v>application/pdf</v>
      </c>
    </row>
    <row r="1364">
      <c r="A1364" s="159" t="str">
        <f>IFERROR(__xludf.DUMMYFUNCTION("""COMPUTED_VALUE"""),"10.1177/0956797611413935")</f>
        <v>10.1177/0956797611413935</v>
      </c>
      <c r="B1364" s="680" t="str">
        <f>IFERROR(__xludf.DUMMYFUNCTION("""COMPUTED_VALUE"""),"https://drive.google.com/file/d/14v_JHQxzI9HtJDJs6iZ8fRNus_f5UAGe/view?usp=drivesdk")</f>
        <v>https://drive.google.com/file/d/14v_JHQxzI9HtJDJs6iZ8fRNus_f5UAGe/view?usp=drivesdk</v>
      </c>
      <c r="C1364" s="159" t="str">
        <f>IFERROR(__xludf.DUMMYFUNCTION("""COMPUTED_VALUE"""),"10.1177--0956797611413935.pdf")</f>
        <v>10.1177--0956797611413935.pdf</v>
      </c>
      <c r="D1364" s="159" t="str">
        <f>IFERROR(__xludf.DUMMYFUNCTION("""COMPUTED_VALUE"""),"application/pdf")</f>
        <v>application/pdf</v>
      </c>
    </row>
    <row r="1365">
      <c r="A1365" s="159" t="str">
        <f>IFERROR(__xludf.DUMMYFUNCTION("""COMPUTED_VALUE"""),"10.1073/pnas.0306408101")</f>
        <v>10.1073/pnas.0306408101</v>
      </c>
      <c r="B1365" s="680" t="str">
        <f>IFERROR(__xludf.DUMMYFUNCTION("""COMPUTED_VALUE"""),"https://drive.google.com/file/d/19RQ-PRp6aFWHVejOVQdpZjrTQXf65Kmd/view?usp=drivesdk")</f>
        <v>https://drive.google.com/file/d/19RQ-PRp6aFWHVejOVQdpZjrTQXf65Kmd/view?usp=drivesdk</v>
      </c>
      <c r="C1365" s="159" t="str">
        <f>IFERROR(__xludf.DUMMYFUNCTION("""COMPUTED_VALUE"""),"10.1073--pnas.0306408101.pdf")</f>
        <v>10.1073--pnas.0306408101.pdf</v>
      </c>
      <c r="D1365" s="159" t="str">
        <f>IFERROR(__xludf.DUMMYFUNCTION("""COMPUTED_VALUE"""),"application/pdf")</f>
        <v>application/pdf</v>
      </c>
    </row>
    <row r="1366">
      <c r="A1366" s="159" t="str">
        <f>IFERROR(__xludf.DUMMYFUNCTION("""COMPUTED_VALUE"""),"10.1037/a0016530")</f>
        <v>10.1037/a0016530</v>
      </c>
      <c r="B1366" s="680" t="str">
        <f>IFERROR(__xludf.DUMMYFUNCTION("""COMPUTED_VALUE"""),"https://drive.google.com/file/d/1aIlL0O9aFXrMnRdJ-XsZw8Bw0-HaZzOp/view?usp=drivesdk")</f>
        <v>https://drive.google.com/file/d/1aIlL0O9aFXrMnRdJ-XsZw8Bw0-HaZzOp/view?usp=drivesdk</v>
      </c>
      <c r="C1366" s="159" t="str">
        <f>IFERROR(__xludf.DUMMYFUNCTION("""COMPUTED_VALUE"""),"10.1037--a0016530.pdf")</f>
        <v>10.1037--a0016530.pdf</v>
      </c>
      <c r="D1366" s="159" t="str">
        <f>IFERROR(__xludf.DUMMYFUNCTION("""COMPUTED_VALUE"""),"application/pdf")</f>
        <v>application/pdf</v>
      </c>
    </row>
    <row r="1367">
      <c r="A1367" s="159" t="str">
        <f>IFERROR(__xludf.DUMMYFUNCTION("""COMPUTED_VALUE"""),"10.1037/a0018937")</f>
        <v>10.1037/a0018937</v>
      </c>
      <c r="B1367" s="680" t="str">
        <f>IFERROR(__xludf.DUMMYFUNCTION("""COMPUTED_VALUE"""),"https://drive.google.com/file/d/154Qx30hu0D7Aoa9Ey8wHl-TtywNQTU8I/view?usp=drivesdk")</f>
        <v>https://drive.google.com/file/d/154Qx30hu0D7Aoa9Ey8wHl-TtywNQTU8I/view?usp=drivesdk</v>
      </c>
      <c r="C1367" s="159" t="str">
        <f>IFERROR(__xludf.DUMMYFUNCTION("""COMPUTED_VALUE"""),"10.1037--a0018937.pdf")</f>
        <v>10.1037--a0018937.pdf</v>
      </c>
      <c r="D1367" s="159" t="str">
        <f>IFERROR(__xludf.DUMMYFUNCTION("""COMPUTED_VALUE"""),"application/pdf")</f>
        <v>application/pdf</v>
      </c>
    </row>
    <row r="1368">
      <c r="A1368" s="159" t="str">
        <f>IFERROR(__xludf.DUMMYFUNCTION("""COMPUTED_VALUE"""),"10.3758/app.71.1.9")</f>
        <v>10.3758/app.71.1.9</v>
      </c>
      <c r="B1368" s="680" t="str">
        <f>IFERROR(__xludf.DUMMYFUNCTION("""COMPUTED_VALUE"""),"https://drive.google.com/file/d/1jYrtjqdTXxiTSvmuqNs5CLYjl3bDx57e/view?usp=drivesdk")</f>
        <v>https://drive.google.com/file/d/1jYrtjqdTXxiTSvmuqNs5CLYjl3bDx57e/view?usp=drivesdk</v>
      </c>
      <c r="C1368" s="159" t="str">
        <f>IFERROR(__xludf.DUMMYFUNCTION("""COMPUTED_VALUE"""),"10.3758--APP.71.1.9.pdf")</f>
        <v>10.3758--APP.71.1.9.pdf</v>
      </c>
      <c r="D1368" s="159" t="str">
        <f>IFERROR(__xludf.DUMMYFUNCTION("""COMPUTED_VALUE"""),"application/pdf")</f>
        <v>application/pdf</v>
      </c>
    </row>
    <row r="1369">
      <c r="A1369" s="159" t="str">
        <f>IFERROR(__xludf.DUMMYFUNCTION("""COMPUTED_VALUE"""),"10.1080/135062899395000")</f>
        <v>10.1080/135062899395000</v>
      </c>
      <c r="B1369" s="680" t="str">
        <f>IFERROR(__xludf.DUMMYFUNCTION("""COMPUTED_VALUE"""),"https://drive.google.com/file/d/10wvPjUj2j-bwDFwvB9-zbS4M8yI4QzKU/view?usp=drivesdk")</f>
        <v>https://drive.google.com/file/d/10wvPjUj2j-bwDFwvB9-zbS4M8yI4QzKU/view?usp=drivesdk</v>
      </c>
      <c r="C1369" s="159" t="str">
        <f>IFERROR(__xludf.DUMMYFUNCTION("""COMPUTED_VALUE"""),"10.1080--135062899395000.pdf")</f>
        <v>10.1080--135062899395000.pdf</v>
      </c>
      <c r="D1369" s="159" t="str">
        <f>IFERROR(__xludf.DUMMYFUNCTION("""COMPUTED_VALUE"""),"application/pdf")</f>
        <v>application/pdf</v>
      </c>
    </row>
    <row r="1370">
      <c r="A1370" s="159" t="str">
        <f>IFERROR(__xludf.DUMMYFUNCTION("""COMPUTED_VALUE"""),"10.3758/bf03193824")</f>
        <v>10.3758/bf03193824</v>
      </c>
      <c r="B1370" s="680" t="str">
        <f>IFERROR(__xludf.DUMMYFUNCTION("""COMPUTED_VALUE"""),"https://drive.google.com/file/d/1VF2iIIdXF6qLbjeKewCq5bYS5NAFXwix/view?usp=drivesdk")</f>
        <v>https://drive.google.com/file/d/1VF2iIIdXF6qLbjeKewCq5bYS5NAFXwix/view?usp=drivesdk</v>
      </c>
      <c r="C1370" s="159" t="str">
        <f>IFERROR(__xludf.DUMMYFUNCTION("""COMPUTED_VALUE"""),"10.3758--BF03193824.pdf")</f>
        <v>10.3758--BF03193824.pdf</v>
      </c>
      <c r="D1370" s="159" t="str">
        <f>IFERROR(__xludf.DUMMYFUNCTION("""COMPUTED_VALUE"""),"application/pdf")</f>
        <v>application/pdf</v>
      </c>
    </row>
    <row r="1371">
      <c r="A1371" s="159" t="str">
        <f>IFERROR(__xludf.DUMMYFUNCTION("""COMPUTED_VALUE"""),"10.1016/j.infbeh.2008.04.004")</f>
        <v>10.1016/j.infbeh.2008.04.004</v>
      </c>
      <c r="B1371" s="680" t="str">
        <f>IFERROR(__xludf.DUMMYFUNCTION("""COMPUTED_VALUE"""),"https://drive.google.com/file/d/1Amq0DbPEbXg_ROiaz5QdIHPuE1kVAXKd/view?usp=drivesdk")</f>
        <v>https://drive.google.com/file/d/1Amq0DbPEbXg_ROiaz5QdIHPuE1kVAXKd/view?usp=drivesdk</v>
      </c>
      <c r="C1371" s="159" t="str">
        <f>IFERROR(__xludf.DUMMYFUNCTION("""COMPUTED_VALUE"""),"10.1016--j.infbeh.2008.04.004.pdf")</f>
        <v>10.1016--j.infbeh.2008.04.004.pdf</v>
      </c>
      <c r="D1371" s="159" t="str">
        <f>IFERROR(__xludf.DUMMYFUNCTION("""COMPUTED_VALUE"""),"application/pdf")</f>
        <v>application/pdf</v>
      </c>
    </row>
    <row r="1372">
      <c r="A1372" s="159" t="str">
        <f>IFERROR(__xludf.DUMMYFUNCTION("""COMPUTED_VALUE"""),"10.1080/02699930701541542")</f>
        <v>10.1080/02699930701541542</v>
      </c>
      <c r="B1372" s="680" t="str">
        <f>IFERROR(__xludf.DUMMYFUNCTION("""COMPUTED_VALUE"""),"https://drive.google.com/file/d/1KgiYpauF6pahonPzLyqq8JP29NqyrdWK/view?usp=drivesdk")</f>
        <v>https://drive.google.com/file/d/1KgiYpauF6pahonPzLyqq8JP29NqyrdWK/view?usp=drivesdk</v>
      </c>
      <c r="C1372" s="159" t="str">
        <f>IFERROR(__xludf.DUMMYFUNCTION("""COMPUTED_VALUE"""),"10.1080--02699930701541542.pdf")</f>
        <v>10.1080--02699930701541542.pdf</v>
      </c>
      <c r="D1372" s="159" t="str">
        <f>IFERROR(__xludf.DUMMYFUNCTION("""COMPUTED_VALUE"""),"application/pdf")</f>
        <v>application/pdf</v>
      </c>
    </row>
    <row r="1373">
      <c r="A1373" s="159" t="str">
        <f>IFERROR(__xludf.DUMMYFUNCTION("""COMPUTED_VALUE"""),"10.1037/a0026099")</f>
        <v>10.1037/a0026099</v>
      </c>
      <c r="B1373" s="680" t="str">
        <f>IFERROR(__xludf.DUMMYFUNCTION("""COMPUTED_VALUE"""),"https://drive.google.com/file/d/1RT5r2kB5DzfZk3U5OHnmlhZai4CIg7Pz/view?usp=drivesdk")</f>
        <v>https://drive.google.com/file/d/1RT5r2kB5DzfZk3U5OHnmlhZai4CIg7Pz/view?usp=drivesdk</v>
      </c>
      <c r="C1373" s="159" t="str">
        <f>IFERROR(__xludf.DUMMYFUNCTION("""COMPUTED_VALUE"""),"10.1037--a0026099.pdf")</f>
        <v>10.1037--a0026099.pdf</v>
      </c>
      <c r="D1373" s="159" t="str">
        <f>IFERROR(__xludf.DUMMYFUNCTION("""COMPUTED_VALUE"""),"application/pdf")</f>
        <v>application/pdf</v>
      </c>
    </row>
    <row r="1374">
      <c r="A1374" s="159" t="str">
        <f>IFERROR(__xludf.DUMMYFUNCTION("""COMPUTED_VALUE"""),"10.1080/00223891.2010.528483")</f>
        <v>10.1080/00223891.2010.528483</v>
      </c>
      <c r="B1374" s="680" t="str">
        <f>IFERROR(__xludf.DUMMYFUNCTION("""COMPUTED_VALUE"""),"https://drive.google.com/file/d/1rYNCRo-ZwvSOd5UEu0Krnh8FkNJXcQuF/view?usp=drivesdk")</f>
        <v>https://drive.google.com/file/d/1rYNCRo-ZwvSOd5UEu0Krnh8FkNJXcQuF/view?usp=drivesdk</v>
      </c>
      <c r="C1374" s="159" t="str">
        <f>IFERROR(__xludf.DUMMYFUNCTION("""COMPUTED_VALUE"""),"10.1080--00223891.2010.528483.pdf")</f>
        <v>10.1080--00223891.2010.528483.pdf</v>
      </c>
      <c r="D1374" s="159" t="str">
        <f>IFERROR(__xludf.DUMMYFUNCTION("""COMPUTED_VALUE"""),"application/pdf")</f>
        <v>application/pdf</v>
      </c>
    </row>
    <row r="1375">
      <c r="A1375" s="159" t="str">
        <f>IFERROR(__xludf.DUMMYFUNCTION("""COMPUTED_VALUE"""),"10.1371/journal.pone.0001295")</f>
        <v>10.1371/journal.pone.0001295</v>
      </c>
      <c r="B1375" s="680" t="str">
        <f>IFERROR(__xludf.DUMMYFUNCTION("""COMPUTED_VALUE"""),"https://drive.google.com/file/d/1M8UVsxR3jq5AzuD_vn-lzNb4Kp0RdPVc/view?usp=drivesdk")</f>
        <v>https://drive.google.com/file/d/1M8UVsxR3jq5AzuD_vn-lzNb4Kp0RdPVc/view?usp=drivesdk</v>
      </c>
      <c r="C1375" s="159" t="str">
        <f>IFERROR(__xludf.DUMMYFUNCTION("""COMPUTED_VALUE"""),"10.1371--journal.pone.0001295.pdf")</f>
        <v>10.1371--journal.pone.0001295.pdf</v>
      </c>
      <c r="D1375" s="159" t="str">
        <f>IFERROR(__xludf.DUMMYFUNCTION("""COMPUTED_VALUE"""),"application/pdf")</f>
        <v>application/pdf</v>
      </c>
    </row>
    <row r="1376">
      <c r="A1376" s="159" t="str">
        <f>IFERROR(__xludf.DUMMYFUNCTION("""COMPUTED_VALUE"""),"10.1016/j.actpsy.2019.04.006")</f>
        <v>10.1016/j.actpsy.2019.04.006</v>
      </c>
      <c r="B1376" s="680" t="str">
        <f>IFERROR(__xludf.DUMMYFUNCTION("""COMPUTED_VALUE"""),"https://drive.google.com/file/d/1RwkWgjf-DoSD-HZoZyd12J4vV3hARTsD/view?usp=drivesdk")</f>
        <v>https://drive.google.com/file/d/1RwkWgjf-DoSD-HZoZyd12J4vV3hARTsD/view?usp=drivesdk</v>
      </c>
      <c r="C1376" s="159" t="str">
        <f>IFERROR(__xludf.DUMMYFUNCTION("""COMPUTED_VALUE"""),"10.1016--j.actpsy.2019.04.006.pdf")</f>
        <v>10.1016--j.actpsy.2019.04.006.pdf</v>
      </c>
      <c r="D1376" s="159" t="str">
        <f>IFERROR(__xludf.DUMMYFUNCTION("""COMPUTED_VALUE"""),"application/pdf")</f>
        <v>application/pdf</v>
      </c>
    </row>
    <row r="1377">
      <c r="A1377" s="159" t="str">
        <f>IFERROR(__xludf.DUMMYFUNCTION("""COMPUTED_VALUE"""),"10.1353/mpq.2008.0005")</f>
        <v>10.1353/mpq.2008.0005</v>
      </c>
      <c r="B1377" s="680" t="str">
        <f>IFERROR(__xludf.DUMMYFUNCTION("""COMPUTED_VALUE"""),"https://drive.google.com/file/d/1Xd_wBIaQgTe2oxUzCPl6o84zZP50xJKX/view?usp=drivesdk")</f>
        <v>https://drive.google.com/file/d/1Xd_wBIaQgTe2oxUzCPl6o84zZP50xJKX/view?usp=drivesdk</v>
      </c>
      <c r="C1377" s="159" t="str">
        <f>IFERROR(__xludf.DUMMYFUNCTION("""COMPUTED_VALUE"""),"10.1353--mpq.2008.0005.pdf")</f>
        <v>10.1353--mpq.2008.0005.pdf</v>
      </c>
      <c r="D1377" s="159" t="str">
        <f>IFERROR(__xludf.DUMMYFUNCTION("""COMPUTED_VALUE"""),"application/pdf")</f>
        <v>application/pdf</v>
      </c>
    </row>
    <row r="1378">
      <c r="A1378" s="159" t="str">
        <f>IFERROR(__xludf.DUMMYFUNCTION("""COMPUTED_VALUE"""),"10.3758/s13415-016-0492-6")</f>
        <v>10.3758/s13415-016-0492-6</v>
      </c>
      <c r="B1378" s="680" t="str">
        <f>IFERROR(__xludf.DUMMYFUNCTION("""COMPUTED_VALUE"""),"https://drive.google.com/file/d/14kya-Z4L7YEIKEeaP4BLyVpWecgfa2AH/view?usp=drivesdk")</f>
        <v>https://drive.google.com/file/d/14kya-Z4L7YEIKEeaP4BLyVpWecgfa2AH/view?usp=drivesdk</v>
      </c>
      <c r="C1378" s="159" t="str">
        <f>IFERROR(__xludf.DUMMYFUNCTION("""COMPUTED_VALUE"""),"10.3758--s13415-016-0492-6.pdf")</f>
        <v>10.3758--s13415-016-0492-6.pdf</v>
      </c>
      <c r="D1378" s="159" t="str">
        <f>IFERROR(__xludf.DUMMYFUNCTION("""COMPUTED_VALUE"""),"application/pdf")</f>
        <v>application/pdf</v>
      </c>
    </row>
    <row r="1379">
      <c r="A1379" s="159" t="str">
        <f>IFERROR(__xludf.DUMMYFUNCTION("""COMPUTED_VALUE"""),"10.1891/0886-6708.26.6.703")</f>
        <v>10.1891/0886-6708.26.6.703</v>
      </c>
      <c r="B1379" s="680" t="str">
        <f>IFERROR(__xludf.DUMMYFUNCTION("""COMPUTED_VALUE"""),"https://drive.google.com/file/d/1C8zZ6TuGxCbTpecEm81GhxukgWVAQhWN/view?usp=drivesdk")</f>
        <v>https://drive.google.com/file/d/1C8zZ6TuGxCbTpecEm81GhxukgWVAQhWN/view?usp=drivesdk</v>
      </c>
      <c r="C1379" s="159" t="str">
        <f>IFERROR(__xludf.DUMMYFUNCTION("""COMPUTED_VALUE"""),"10.1891--0886-6708.26.6.703.pdf")</f>
        <v>10.1891--0886-6708.26.6.703.pdf</v>
      </c>
      <c r="D1379" s="159" t="str">
        <f>IFERROR(__xludf.DUMMYFUNCTION("""COMPUTED_VALUE"""),"application/pdf")</f>
        <v>application/pdf</v>
      </c>
    </row>
    <row r="1380">
      <c r="A1380" s="159" t="str">
        <f>IFERROR(__xludf.DUMMYFUNCTION("""COMPUTED_VALUE"""),"10.1016/j.jesp.2017.02.005")</f>
        <v>10.1016/j.jesp.2017.02.005</v>
      </c>
      <c r="B1380" s="680" t="str">
        <f>IFERROR(__xludf.DUMMYFUNCTION("""COMPUTED_VALUE"""),"https://drive.google.com/file/d/1LHcEpq_EhwnoPUoqWbj3eqbIn5Z7TG1E/view?usp=drivesdk")</f>
        <v>https://drive.google.com/file/d/1LHcEpq_EhwnoPUoqWbj3eqbIn5Z7TG1E/view?usp=drivesdk</v>
      </c>
      <c r="C1380" s="159" t="str">
        <f>IFERROR(__xludf.DUMMYFUNCTION("""COMPUTED_VALUE"""),"10.1016--j.jesp.2017.02.005.pdf")</f>
        <v>10.1016--j.jesp.2017.02.005.pdf</v>
      </c>
      <c r="D1380" s="159" t="str">
        <f>IFERROR(__xludf.DUMMYFUNCTION("""COMPUTED_VALUE"""),"application/pdf")</f>
        <v>application/pdf</v>
      </c>
    </row>
    <row r="1381">
      <c r="A1381" s="159" t="str">
        <f>IFERROR(__xludf.DUMMYFUNCTION("""COMPUTED_VALUE"""),"10.1002/acp.2874")</f>
        <v>10.1002/acp.2874</v>
      </c>
      <c r="B1381" s="680" t="str">
        <f>IFERROR(__xludf.DUMMYFUNCTION("""COMPUTED_VALUE"""),"https://drive.google.com/file/d/13cernki-w4HxOqbSrQnezFigASKGjmjf/view?usp=drivesdk")</f>
        <v>https://drive.google.com/file/d/13cernki-w4HxOqbSrQnezFigASKGjmjf/view?usp=drivesdk</v>
      </c>
      <c r="C1381" s="159" t="str">
        <f>IFERROR(__xludf.DUMMYFUNCTION("""COMPUTED_VALUE"""),"10.1002--acp.2874.pdf")</f>
        <v>10.1002--acp.2874.pdf</v>
      </c>
      <c r="D1381" s="159" t="str">
        <f>IFERROR(__xludf.DUMMYFUNCTION("""COMPUTED_VALUE"""),"application/pdf")</f>
        <v>application/pdf</v>
      </c>
    </row>
    <row r="1382">
      <c r="A1382" s="159" t="str">
        <f>IFERROR(__xludf.DUMMYFUNCTION("""COMPUTED_VALUE"""),"10.1177/1948550611410890")</f>
        <v>10.1177/1948550611410890</v>
      </c>
      <c r="B1382" s="680" t="str">
        <f>IFERROR(__xludf.DUMMYFUNCTION("""COMPUTED_VALUE"""),"https://drive.google.com/file/d/1OUQAxojwX1c54i8Xf-JG5e-R-UwagkwQ/view?usp=drivesdk")</f>
        <v>https://drive.google.com/file/d/1OUQAxojwX1c54i8Xf-JG5e-R-UwagkwQ/view?usp=drivesdk</v>
      </c>
      <c r="C1382" s="159" t="str">
        <f>IFERROR(__xludf.DUMMYFUNCTION("""COMPUTED_VALUE"""),"10.1177--1948550611410890.pdf")</f>
        <v>10.1177--1948550611410890.pdf</v>
      </c>
      <c r="D1382" s="159" t="str">
        <f>IFERROR(__xludf.DUMMYFUNCTION("""COMPUTED_VALUE"""),"application/pdf")</f>
        <v>application/pdf</v>
      </c>
    </row>
    <row r="1383">
      <c r="A1383" s="159" t="str">
        <f>IFERROR(__xludf.DUMMYFUNCTION("""COMPUTED_VALUE"""),"10.1037/0021-9010.86.6.1280")</f>
        <v>10.1037/0021-9010.86.6.1280</v>
      </c>
      <c r="B1383" s="680" t="str">
        <f>IFERROR(__xludf.DUMMYFUNCTION("""COMPUTED_VALUE"""),"https://drive.google.com/file/d/1uryryHboJTj07Vv5ZtkqCjbX7CKzuq8s/view?usp=drivesdk")</f>
        <v>https://drive.google.com/file/d/1uryryHboJTj07Vv5ZtkqCjbX7CKzuq8s/view?usp=drivesdk</v>
      </c>
      <c r="C1383" s="159" t="str">
        <f>IFERROR(__xludf.DUMMYFUNCTION("""COMPUTED_VALUE"""),"10.1037--0021-9010.86.6.1280.pdf")</f>
        <v>10.1037--0021-9010.86.6.1280.pdf</v>
      </c>
      <c r="D1383" s="159" t="str">
        <f>IFERROR(__xludf.DUMMYFUNCTION("""COMPUTED_VALUE"""),"application/pdf")</f>
        <v>application/pdf</v>
      </c>
    </row>
    <row r="1384">
      <c r="A1384" s="159" t="str">
        <f>IFERROR(__xludf.DUMMYFUNCTION("""COMPUTED_VALUE"""),"10.1093/her/cyl160")</f>
        <v>10.1093/her/cyl160</v>
      </c>
      <c r="B1384" s="680" t="str">
        <f>IFERROR(__xludf.DUMMYFUNCTION("""COMPUTED_VALUE"""),"https://drive.google.com/file/d/1yNtIFE6LZsvr0HS6BJvescbVrw2Cqi6l/view?usp=drivesdk")</f>
        <v>https://drive.google.com/file/d/1yNtIFE6LZsvr0HS6BJvescbVrw2Cqi6l/view?usp=drivesdk</v>
      </c>
      <c r="C1384" s="159" t="str">
        <f>IFERROR(__xludf.DUMMYFUNCTION("""COMPUTED_VALUE"""),"10.1093--her--cyl160.pdf")</f>
        <v>10.1093--her--cyl160.pdf</v>
      </c>
      <c r="D1384" s="159" t="str">
        <f>IFERROR(__xludf.DUMMYFUNCTION("""COMPUTED_VALUE"""),"application/pdf")</f>
        <v>application/pdf</v>
      </c>
    </row>
    <row r="1385">
      <c r="A1385" s="159" t="str">
        <f>IFERROR(__xludf.DUMMYFUNCTION("""COMPUTED_VALUE"""),"10.1016/j.jesp.2008.03.012")</f>
        <v>10.1016/j.jesp.2008.03.012</v>
      </c>
      <c r="B1385" s="680" t="str">
        <f>IFERROR(__xludf.DUMMYFUNCTION("""COMPUTED_VALUE"""),"https://drive.google.com/file/d/1CMk60qvEA6Ld_Nc7whNmqy7G48xeDJsh/view?usp=drivesdk")</f>
        <v>https://drive.google.com/file/d/1CMk60qvEA6Ld_Nc7whNmqy7G48xeDJsh/view?usp=drivesdk</v>
      </c>
      <c r="C1385" s="159" t="str">
        <f>IFERROR(__xludf.DUMMYFUNCTION("""COMPUTED_VALUE"""),"10.1016--j.jesp.2008.03.012.pdf")</f>
        <v>10.1016--j.jesp.2008.03.012.pdf</v>
      </c>
      <c r="D1385" s="159" t="str">
        <f>IFERROR(__xludf.DUMMYFUNCTION("""COMPUTED_VALUE"""),"application/pdf")</f>
        <v>application/pdf</v>
      </c>
    </row>
    <row r="1386">
      <c r="A1386" s="159" t="str">
        <f>IFERROR(__xludf.DUMMYFUNCTION("""COMPUTED_VALUE"""),"10.1016/j.paid.2012.04.036")</f>
        <v>10.1016/j.paid.2012.04.036</v>
      </c>
      <c r="B1386" s="680" t="str">
        <f>IFERROR(__xludf.DUMMYFUNCTION("""COMPUTED_VALUE"""),"https://drive.google.com/file/d/1F3qjPt2BJqhonx8CV54hT5CGCc6OKwjP/view?usp=drivesdk")</f>
        <v>https://drive.google.com/file/d/1F3qjPt2BJqhonx8CV54hT5CGCc6OKwjP/view?usp=drivesdk</v>
      </c>
      <c r="C1386" s="159" t="str">
        <f>IFERROR(__xludf.DUMMYFUNCTION("""COMPUTED_VALUE"""),"10.1016--j.paid.2012.04.036.pdf")</f>
        <v>10.1016--j.paid.2012.04.036.pdf</v>
      </c>
      <c r="D1386" s="159" t="str">
        <f>IFERROR(__xludf.DUMMYFUNCTION("""COMPUTED_VALUE"""),"application/pdf")</f>
        <v>application/pdf</v>
      </c>
    </row>
    <row r="1387">
      <c r="A1387" s="159" t="str">
        <f>IFERROR(__xludf.DUMMYFUNCTION("""COMPUTED_VALUE"""),"10.1037/a0019337")</f>
        <v>10.1037/a0019337</v>
      </c>
      <c r="B1387" s="680" t="str">
        <f>IFERROR(__xludf.DUMMYFUNCTION("""COMPUTED_VALUE"""),"https://drive.google.com/file/d/1T7RX4ua13jzIUjcNdvPnw9g1mk0x1-0w/view?usp=drivesdk")</f>
        <v>https://drive.google.com/file/d/1T7RX4ua13jzIUjcNdvPnw9g1mk0x1-0w/view?usp=drivesdk</v>
      </c>
      <c r="C1387" s="159" t="str">
        <f>IFERROR(__xludf.DUMMYFUNCTION("""COMPUTED_VALUE"""),"10.1037--a0019337.pdf")</f>
        <v>10.1037--a0019337.pdf</v>
      </c>
      <c r="D1387" s="159" t="str">
        <f>IFERROR(__xludf.DUMMYFUNCTION("""COMPUTED_VALUE"""),"application/pdf")</f>
        <v>application/pdf</v>
      </c>
    </row>
    <row r="1388">
      <c r="A1388" s="159" t="str">
        <f>IFERROR(__xludf.DUMMYFUNCTION("""COMPUTED_VALUE"""),"10.1037/a0034252")</f>
        <v>10.1037/a0034252</v>
      </c>
      <c r="B1388" s="680" t="str">
        <f>IFERROR(__xludf.DUMMYFUNCTION("""COMPUTED_VALUE"""),"https://drive.google.com/file/d/16dqLrRlTUnMDOhUpWnK1bJtZoMd-smSS/view?usp=drivesdk")</f>
        <v>https://drive.google.com/file/d/16dqLrRlTUnMDOhUpWnK1bJtZoMd-smSS/view?usp=drivesdk</v>
      </c>
      <c r="C1388" s="159" t="str">
        <f>IFERROR(__xludf.DUMMYFUNCTION("""COMPUTED_VALUE"""),"10.1037--a0034252.pdf")</f>
        <v>10.1037--a0034252.pdf</v>
      </c>
      <c r="D1388" s="159" t="str">
        <f>IFERROR(__xludf.DUMMYFUNCTION("""COMPUTED_VALUE"""),"application/pdf")</f>
        <v>application/pdf</v>
      </c>
    </row>
    <row r="1389">
      <c r="A1389" s="159" t="str">
        <f>IFERROR(__xludf.DUMMYFUNCTION("""COMPUTED_VALUE"""),"10.1111/1467-9280.00411")</f>
        <v>10.1111/1467-9280.00411</v>
      </c>
      <c r="B1389" s="680" t="str">
        <f>IFERROR(__xludf.DUMMYFUNCTION("""COMPUTED_VALUE"""),"https://drive.google.com/file/d/1NYMFiONwB8KS4xkqHLur5HoiQ_OK2Nnx/view?usp=drivesdk")</f>
        <v>https://drive.google.com/file/d/1NYMFiONwB8KS4xkqHLur5HoiQ_OK2Nnx/view?usp=drivesdk</v>
      </c>
      <c r="C1389" s="159" t="str">
        <f>IFERROR(__xludf.DUMMYFUNCTION("""COMPUTED_VALUE"""),"10.1111--1467-9280.00411.pdf")</f>
        <v>10.1111--1467-9280.00411.pdf</v>
      </c>
      <c r="D1389" s="159" t="str">
        <f>IFERROR(__xludf.DUMMYFUNCTION("""COMPUTED_VALUE"""),"application/pdf")</f>
        <v>application/pdf</v>
      </c>
    </row>
    <row r="1390">
      <c r="A1390" s="159" t="str">
        <f>IFERROR(__xludf.DUMMYFUNCTION("""COMPUTED_VALUE"""),"10.2466/pms.109.2.577-580")</f>
        <v>10.2466/pms.109.2.577-580</v>
      </c>
      <c r="B1390" s="680" t="str">
        <f>IFERROR(__xludf.DUMMYFUNCTION("""COMPUTED_VALUE"""),"https://drive.google.com/file/d/1ukcMhpTVncdvnh_xTzyAm8kLCEeBcdPq/view?usp=drivesdk")</f>
        <v>https://drive.google.com/file/d/1ukcMhpTVncdvnh_xTzyAm8kLCEeBcdPq/view?usp=drivesdk</v>
      </c>
      <c r="C1390" s="159" t="str">
        <f>IFERROR(__xludf.DUMMYFUNCTION("""COMPUTED_VALUE"""),"10.2466--pms.109.2.577-580.pdf")</f>
        <v>10.2466--pms.109.2.577-580.pdf</v>
      </c>
      <c r="D1390" s="159" t="str">
        <f>IFERROR(__xludf.DUMMYFUNCTION("""COMPUTED_VALUE"""),"application/pdf")</f>
        <v>application/pdf</v>
      </c>
    </row>
    <row r="1391">
      <c r="A1391" s="159" t="str">
        <f>IFERROR(__xludf.DUMMYFUNCTION("""COMPUTED_VALUE"""),"10.1177/1948550617751583")</f>
        <v>10.1177/1948550617751583</v>
      </c>
      <c r="B1391" s="680" t="str">
        <f>IFERROR(__xludf.DUMMYFUNCTION("""COMPUTED_VALUE"""),"https://drive.google.com/file/d/1QqsZUjbe7ojmX7FiAvHh1tFZVzadHEr4/view?usp=drivesdk")</f>
        <v>https://drive.google.com/file/d/1QqsZUjbe7ojmX7FiAvHh1tFZVzadHEr4/view?usp=drivesdk</v>
      </c>
      <c r="C1391" s="159" t="str">
        <f>IFERROR(__xludf.DUMMYFUNCTION("""COMPUTED_VALUE"""),"10.1177--1948550617751583.pdf")</f>
        <v>10.1177--1948550617751583.pdf</v>
      </c>
      <c r="D1391" s="159" t="str">
        <f>IFERROR(__xludf.DUMMYFUNCTION("""COMPUTED_VALUE"""),"application/pdf")</f>
        <v>application/pdf</v>
      </c>
    </row>
    <row r="1392">
      <c r="A1392" s="159" t="str">
        <f>IFERROR(__xludf.DUMMYFUNCTION("""COMPUTED_VALUE"""),"10.1111/j.1475-6811.2005.00126.x")</f>
        <v>10.1111/j.1475-6811.2005.00126.x</v>
      </c>
      <c r="B1392" s="680" t="str">
        <f>IFERROR(__xludf.DUMMYFUNCTION("""COMPUTED_VALUE"""),"https://drive.google.com/file/d/1c-gDl6O5ZW0j0e9UJ-3VaFyQslJA20R2/view?usp=drivesdk")</f>
        <v>https://drive.google.com/file/d/1c-gDl6O5ZW0j0e9UJ-3VaFyQslJA20R2/view?usp=drivesdk</v>
      </c>
      <c r="C1392" s="159" t="str">
        <f>IFERROR(__xludf.DUMMYFUNCTION("""COMPUTED_VALUE"""),"10.1111--j.1475-6811.2005.00126.x.pdf")</f>
        <v>10.1111--j.1475-6811.2005.00126.x.pdf</v>
      </c>
      <c r="D1392" s="159" t="str">
        <f>IFERROR(__xludf.DUMMYFUNCTION("""COMPUTED_VALUE"""),"application/pdf")</f>
        <v>application/pdf</v>
      </c>
    </row>
    <row r="1393">
      <c r="A1393" s="159" t="str">
        <f>IFERROR(__xludf.DUMMYFUNCTION("""COMPUTED_VALUE"""),"10.1300/j077v12n03_03")</f>
        <v>10.1300/j077v12n03_03</v>
      </c>
      <c r="B1393" s="680" t="str">
        <f>IFERROR(__xludf.DUMMYFUNCTION("""COMPUTED_VALUE"""),"https://drive.google.com/file/d/1xdTxmJEwjz5ttfDJoCwjvWfHsl5g3jP6/view?usp=drivesdk")</f>
        <v>https://drive.google.com/file/d/1xdTxmJEwjz5ttfDJoCwjvWfHsl5g3jP6/view?usp=drivesdk</v>
      </c>
      <c r="C1393" s="159" t="str">
        <f>IFERROR(__xludf.DUMMYFUNCTION("""COMPUTED_VALUE"""),"10.1300--J077V12N03_03.pdf")</f>
        <v>10.1300--J077V12N03_03.pdf</v>
      </c>
      <c r="D1393" s="159" t="str">
        <f>IFERROR(__xludf.DUMMYFUNCTION("""COMPUTED_VALUE"""),"application/pdf")</f>
        <v>application/pdf</v>
      </c>
    </row>
    <row r="1394">
      <c r="A1394" s="159" t="str">
        <f>IFERROR(__xludf.DUMMYFUNCTION("""COMPUTED_VALUE"""),"10.1111/j.1467-9280.2009.02447.x")</f>
        <v>10.1111/j.1467-9280.2009.02447.x</v>
      </c>
      <c r="B1394" s="680" t="str">
        <f>IFERROR(__xludf.DUMMYFUNCTION("""COMPUTED_VALUE"""),"https://drive.google.com/file/d/1JZdybc90Q7eGpP_Mc7E1LX2-th3aGKSW/view?usp=drivesdk")</f>
        <v>https://drive.google.com/file/d/1JZdybc90Q7eGpP_Mc7E1LX2-th3aGKSW/view?usp=drivesdk</v>
      </c>
      <c r="C1394" s="159" t="str">
        <f>IFERROR(__xludf.DUMMYFUNCTION("""COMPUTED_VALUE"""),"10.1111--j.1467-9280.2009.02447.x.pdf")</f>
        <v>10.1111--j.1467-9280.2009.02447.x.pdf</v>
      </c>
      <c r="D1394" s="159" t="str">
        <f>IFERROR(__xludf.DUMMYFUNCTION("""COMPUTED_VALUE"""),"application/pdf")</f>
        <v>application/pdf</v>
      </c>
    </row>
    <row r="1395">
      <c r="A1395" s="159" t="str">
        <f>IFERROR(__xludf.DUMMYFUNCTION("""COMPUTED_VALUE"""),"10.1111/j.1467-7687.2009.00807.x")</f>
        <v>10.1111/j.1467-7687.2009.00807.x</v>
      </c>
      <c r="B1395" s="680" t="str">
        <f>IFERROR(__xludf.DUMMYFUNCTION("""COMPUTED_VALUE"""),"https://drive.google.com/file/d/1jtVZv1IA3xs7rfJ1gJSADkOpH1Na53Sg/view?usp=drivesdk")</f>
        <v>https://drive.google.com/file/d/1jtVZv1IA3xs7rfJ1gJSADkOpH1Na53Sg/view?usp=drivesdk</v>
      </c>
      <c r="C1395" s="159" t="str">
        <f>IFERROR(__xludf.DUMMYFUNCTION("""COMPUTED_VALUE"""),"10.1111--j.1467-7687.2009.00807.x.pdf")</f>
        <v>10.1111--j.1467-7687.2009.00807.x.pdf</v>
      </c>
      <c r="D1395" s="159" t="str">
        <f>IFERROR(__xludf.DUMMYFUNCTION("""COMPUTED_VALUE"""),"application/pdf")</f>
        <v>application/pdf</v>
      </c>
    </row>
    <row r="1396">
      <c r="A1396" s="159" t="str">
        <f>IFERROR(__xludf.DUMMYFUNCTION("""COMPUTED_VALUE"""),"10.1037/a0019219")</f>
        <v>10.1037/a0019219</v>
      </c>
      <c r="B1396" s="680" t="str">
        <f>IFERROR(__xludf.DUMMYFUNCTION("""COMPUTED_VALUE"""),"https://drive.google.com/file/d/19g6pZT9kaxiPgPiLGlrOivbLQ9y5uZY9/view?usp=drivesdk")</f>
        <v>https://drive.google.com/file/d/19g6pZT9kaxiPgPiLGlrOivbLQ9y5uZY9/view?usp=drivesdk</v>
      </c>
      <c r="C1396" s="159" t="str">
        <f>IFERROR(__xludf.DUMMYFUNCTION("""COMPUTED_VALUE"""),"10.1037--a0019219.pdf")</f>
        <v>10.1037--a0019219.pdf</v>
      </c>
      <c r="D1396" s="159" t="str">
        <f>IFERROR(__xludf.DUMMYFUNCTION("""COMPUTED_VALUE"""),"application/pdf")</f>
        <v>application/pdf</v>
      </c>
    </row>
    <row r="1397">
      <c r="A1397" s="159" t="str">
        <f>IFERROR(__xludf.DUMMYFUNCTION("""COMPUTED_VALUE"""),"10.1111/j.1467-6494.2011.00742.x")</f>
        <v>10.1111/j.1467-6494.2011.00742.x</v>
      </c>
      <c r="B1397" s="680" t="str">
        <f>IFERROR(__xludf.DUMMYFUNCTION("""COMPUTED_VALUE"""),"https://drive.google.com/file/d/1xMbKbQfdPqU0iS2wFaLptwiJCUUVT4xB/view?usp=drivesdk")</f>
        <v>https://drive.google.com/file/d/1xMbKbQfdPqU0iS2wFaLptwiJCUUVT4xB/view?usp=drivesdk</v>
      </c>
      <c r="C1397" s="159" t="str">
        <f>IFERROR(__xludf.DUMMYFUNCTION("""COMPUTED_VALUE"""),"10.1111--j.1467-6494.2011.00742.x.pdf")</f>
        <v>10.1111--j.1467-6494.2011.00742.x.pdf</v>
      </c>
      <c r="D1397" s="159" t="str">
        <f>IFERROR(__xludf.DUMMYFUNCTION("""COMPUTED_VALUE"""),"application/pdf")</f>
        <v>application/pdf</v>
      </c>
    </row>
    <row r="1398">
      <c r="A1398" s="159" t="str">
        <f>IFERROR(__xludf.DUMMYFUNCTION("""COMPUTED_VALUE"""),"10.1037/0022-0663.72.1.21")</f>
        <v>10.1037/0022-0663.72.1.21</v>
      </c>
      <c r="B1398" s="680" t="str">
        <f>IFERROR(__xludf.DUMMYFUNCTION("""COMPUTED_VALUE"""),"https://drive.google.com/file/d/12weF0EhaOitLk2jX9Wqhq2KT8gkO8Ino/view?usp=drivesdk")</f>
        <v>https://drive.google.com/file/d/12weF0EhaOitLk2jX9Wqhq2KT8gkO8Ino/view?usp=drivesdk</v>
      </c>
      <c r="C1398" s="159" t="str">
        <f>IFERROR(__xludf.DUMMYFUNCTION("""COMPUTED_VALUE"""),"10.1037--0022-0663.72.1.21.pdf")</f>
        <v>10.1037--0022-0663.72.1.21.pdf</v>
      </c>
      <c r="D1398" s="159" t="str">
        <f>IFERROR(__xludf.DUMMYFUNCTION("""COMPUTED_VALUE"""),"application/pdf")</f>
        <v>application/pdf</v>
      </c>
    </row>
    <row r="1399">
      <c r="A1399" s="159" t="str">
        <f>IFERROR(__xludf.DUMMYFUNCTION("""COMPUTED_VALUE"""),"10.1007/bf03395528")</f>
        <v>10.1007/bf03395528</v>
      </c>
      <c r="B1399" s="680" t="str">
        <f>IFERROR(__xludf.DUMMYFUNCTION("""COMPUTED_VALUE"""),"https://drive.google.com/file/d/1AzlV-ZL-HIiPhvSDQhHgQ1szgl83AKcE/view?usp=drivesdk")</f>
        <v>https://drive.google.com/file/d/1AzlV-ZL-HIiPhvSDQhHgQ1szgl83AKcE/view?usp=drivesdk</v>
      </c>
      <c r="C1399" s="159" t="str">
        <f>IFERROR(__xludf.DUMMYFUNCTION("""COMPUTED_VALUE"""),"10.1007--BF03395528.pdf")</f>
        <v>10.1007--BF03395528.pdf</v>
      </c>
      <c r="D1399" s="159" t="str">
        <f>IFERROR(__xludf.DUMMYFUNCTION("""COMPUTED_VALUE"""),"application/pdf")</f>
        <v>application/pdf</v>
      </c>
    </row>
    <row r="1400">
      <c r="A1400" s="159" t="str">
        <f>IFERROR(__xludf.DUMMYFUNCTION("""COMPUTED_VALUE"""),"10.1016/j.janxdis.2014.03.005")</f>
        <v>10.1016/j.janxdis.2014.03.005</v>
      </c>
      <c r="B1400" s="680" t="str">
        <f>IFERROR(__xludf.DUMMYFUNCTION("""COMPUTED_VALUE"""),"https://drive.google.com/file/d/1Fgr9JqHP_7TUbdWUGqER3XZBhzoV3lME/view?usp=drivesdk")</f>
        <v>https://drive.google.com/file/d/1Fgr9JqHP_7TUbdWUGqER3XZBhzoV3lME/view?usp=drivesdk</v>
      </c>
      <c r="C1400" s="159" t="str">
        <f>IFERROR(__xludf.DUMMYFUNCTION("""COMPUTED_VALUE"""),"10.1016--j.janxdis.2014.03.005.pdf")</f>
        <v>10.1016--j.janxdis.2014.03.005.pdf</v>
      </c>
      <c r="D1400" s="159" t="str">
        <f>IFERROR(__xludf.DUMMYFUNCTION("""COMPUTED_VALUE"""),"application/pdf")</f>
        <v>application/pdf</v>
      </c>
    </row>
    <row r="1401">
      <c r="A1401" s="159" t="str">
        <f>IFERROR(__xludf.DUMMYFUNCTION("""COMPUTED_VALUE"""),"10.1007/s40617-018-0210-7")</f>
        <v>10.1007/s40617-018-0210-7</v>
      </c>
      <c r="B1401" s="680" t="str">
        <f>IFERROR(__xludf.DUMMYFUNCTION("""COMPUTED_VALUE"""),"https://drive.google.com/file/d/1y8T5zhW_IOSBMzN9nvYSYbgcIcn96YYZ/view?usp=drivesdk")</f>
        <v>https://drive.google.com/file/d/1y8T5zhW_IOSBMzN9nvYSYbgcIcn96YYZ/view?usp=drivesdk</v>
      </c>
      <c r="C1401" s="159" t="str">
        <f>IFERROR(__xludf.DUMMYFUNCTION("""COMPUTED_VALUE"""),"10.1007--s40617-018-0210-7.pdf")</f>
        <v>10.1007--s40617-018-0210-7.pdf</v>
      </c>
      <c r="D1401" s="159" t="str">
        <f>IFERROR(__xludf.DUMMYFUNCTION("""COMPUTED_VALUE"""),"application/pdf")</f>
        <v>application/pdf</v>
      </c>
    </row>
    <row r="1402">
      <c r="A1402" s="159" t="str">
        <f>IFERROR(__xludf.DUMMYFUNCTION("""COMPUTED_VALUE"""),"10.1037/a0036477")</f>
        <v>10.1037/a0036477</v>
      </c>
      <c r="B1402" s="680" t="str">
        <f>IFERROR(__xludf.DUMMYFUNCTION("""COMPUTED_VALUE"""),"https://drive.google.com/file/d/1Qaij8kztnVCohlJltt2zu7U-21ZW-Ec8/view?usp=drivesdk")</f>
        <v>https://drive.google.com/file/d/1Qaij8kztnVCohlJltt2zu7U-21ZW-Ec8/view?usp=drivesdk</v>
      </c>
      <c r="C1402" s="159" t="str">
        <f>IFERROR(__xludf.DUMMYFUNCTION("""COMPUTED_VALUE"""),"10.1037--a0036477.pdf")</f>
        <v>10.1037--a0036477.pdf</v>
      </c>
      <c r="D1402" s="159" t="str">
        <f>IFERROR(__xludf.DUMMYFUNCTION("""COMPUTED_VALUE"""),"application/pdf")</f>
        <v>application/pdf</v>
      </c>
    </row>
    <row r="1403">
      <c r="A1403" s="159" t="str">
        <f>IFERROR(__xludf.DUMMYFUNCTION("""COMPUTED_VALUE"""),"10.1177/1073191115609996")</f>
        <v>10.1177/1073191115609996</v>
      </c>
      <c r="B1403" s="680" t="str">
        <f>IFERROR(__xludf.DUMMYFUNCTION("""COMPUTED_VALUE"""),"https://drive.google.com/file/d/1MwQ4HjBKMAsmoWQyYi-2t5QAgR1vcgEw/view?usp=drivesdk")</f>
        <v>https://drive.google.com/file/d/1MwQ4HjBKMAsmoWQyYi-2t5QAgR1vcgEw/view?usp=drivesdk</v>
      </c>
      <c r="C1403" s="159" t="str">
        <f>IFERROR(__xludf.DUMMYFUNCTION("""COMPUTED_VALUE"""),"10.1177--1073191115609996.pdf")</f>
        <v>10.1177--1073191115609996.pdf</v>
      </c>
      <c r="D1403" s="159" t="str">
        <f>IFERROR(__xludf.DUMMYFUNCTION("""COMPUTED_VALUE"""),"application/pdf")</f>
        <v>application/pdf</v>
      </c>
    </row>
    <row r="1404">
      <c r="A1404" s="159" t="str">
        <f>IFERROR(__xludf.DUMMYFUNCTION("""COMPUTED_VALUE"""),"10.1093/scan/nsu007")</f>
        <v>10.1093/scan/nsu007</v>
      </c>
      <c r="B1404" s="680" t="str">
        <f>IFERROR(__xludf.DUMMYFUNCTION("""COMPUTED_VALUE"""),"https://drive.google.com/file/d/1SmGCndifwHBNTg0xWJD6VgLZPsUl5-GC/view?usp=drivesdk")</f>
        <v>https://drive.google.com/file/d/1SmGCndifwHBNTg0xWJD6VgLZPsUl5-GC/view?usp=drivesdk</v>
      </c>
      <c r="C1404" s="159" t="str">
        <f>IFERROR(__xludf.DUMMYFUNCTION("""COMPUTED_VALUE"""),"10.1093--scan--nsu007.pdf")</f>
        <v>10.1093--scan--nsu007.pdf</v>
      </c>
      <c r="D1404" s="159" t="str">
        <f>IFERROR(__xludf.DUMMYFUNCTION("""COMPUTED_VALUE"""),"application/pdf")</f>
        <v>application/pdf</v>
      </c>
    </row>
    <row r="1405">
      <c r="A1405" s="159" t="str">
        <f>IFERROR(__xludf.DUMMYFUNCTION("""COMPUTED_VALUE"""),"10.1016/j.jesp.2005.10.003")</f>
        <v>10.1016/j.jesp.2005.10.003</v>
      </c>
      <c r="B1405" s="680" t="str">
        <f>IFERROR(__xludf.DUMMYFUNCTION("""COMPUTED_VALUE"""),"https://drive.google.com/file/d/1ZKZyLn5uW6CoYELDHd11gKh5Sn3YZYr4/view?usp=drivesdk")</f>
        <v>https://drive.google.com/file/d/1ZKZyLn5uW6CoYELDHd11gKh5Sn3YZYr4/view?usp=drivesdk</v>
      </c>
      <c r="C1405" s="159" t="str">
        <f>IFERROR(__xludf.DUMMYFUNCTION("""COMPUTED_VALUE"""),"10.1016--j.jesp.2005.10.003.pdf")</f>
        <v>10.1016--j.jesp.2005.10.003.pdf</v>
      </c>
      <c r="D1405" s="159" t="str">
        <f>IFERROR(__xludf.DUMMYFUNCTION("""COMPUTED_VALUE"""),"application/pdf")</f>
        <v>application/pdf</v>
      </c>
    </row>
    <row r="1406">
      <c r="A1406" s="159" t="str">
        <f>IFERROR(__xludf.DUMMYFUNCTION("""COMPUTED_VALUE"""),"10.1371/journal.pone.0172792")</f>
        <v>10.1371/journal.pone.0172792</v>
      </c>
      <c r="B1406" s="680" t="str">
        <f>IFERROR(__xludf.DUMMYFUNCTION("""COMPUTED_VALUE"""),"https://drive.google.com/file/d/1ar2F98iBLtf-JFVJPBm4fuWn29s_pcVP/view?usp=drivesdk")</f>
        <v>https://drive.google.com/file/d/1ar2F98iBLtf-JFVJPBm4fuWn29s_pcVP/view?usp=drivesdk</v>
      </c>
      <c r="C1406" s="159" t="str">
        <f>IFERROR(__xludf.DUMMYFUNCTION("""COMPUTED_VALUE"""),"10.1371--journal.pone.0172792.pdf")</f>
        <v>10.1371--journal.pone.0172792.pdf</v>
      </c>
      <c r="D1406" s="159" t="str">
        <f>IFERROR(__xludf.DUMMYFUNCTION("""COMPUTED_VALUE"""),"application/pdf")</f>
        <v>application/pdf</v>
      </c>
    </row>
    <row r="1407">
      <c r="A1407" s="159" t="str">
        <f>IFERROR(__xludf.DUMMYFUNCTION("""COMPUTED_VALUE"""),"10.1111/j.1467-7687.2011.01098.x")</f>
        <v>10.1111/j.1467-7687.2011.01098.x</v>
      </c>
      <c r="B1407" s="680" t="str">
        <f>IFERROR(__xludf.DUMMYFUNCTION("""COMPUTED_VALUE"""),"https://drive.google.com/file/d/1RzS1OyKSTfThCBgJp5wJu8rDLSNxvAtP/view?usp=drivesdk")</f>
        <v>https://drive.google.com/file/d/1RzS1OyKSTfThCBgJp5wJu8rDLSNxvAtP/view?usp=drivesdk</v>
      </c>
      <c r="C1407" s="159" t="str">
        <f>IFERROR(__xludf.DUMMYFUNCTION("""COMPUTED_VALUE"""),"10.1111--j.1467-7687.2011.01098.x.pdf")</f>
        <v>10.1111--j.1467-7687.2011.01098.x.pdf</v>
      </c>
      <c r="D1407" s="159" t="str">
        <f>IFERROR(__xludf.DUMMYFUNCTION("""COMPUTED_VALUE"""),"application/pdf")</f>
        <v>application/pdf</v>
      </c>
    </row>
    <row r="1408">
      <c r="A1408" s="159" t="str">
        <f>IFERROR(__xludf.DUMMYFUNCTION("""COMPUTED_VALUE"""),"10.1002/ajmg.b.31028")</f>
        <v>10.1002/ajmg.b.31028</v>
      </c>
      <c r="B1408" s="680" t="str">
        <f>IFERROR(__xludf.DUMMYFUNCTION("""COMPUTED_VALUE"""),"https://drive.google.com/file/d/1qardjgWNIfATo9TExx6z8Cl-6w1MJ0zV/view?usp=drivesdk")</f>
        <v>https://drive.google.com/file/d/1qardjgWNIfATo9TExx6z8Cl-6w1MJ0zV/view?usp=drivesdk</v>
      </c>
      <c r="C1408" s="159" t="str">
        <f>IFERROR(__xludf.DUMMYFUNCTION("""COMPUTED_VALUE"""),"10.1002--ajmg.b.31028.pdf")</f>
        <v>10.1002--ajmg.b.31028.pdf</v>
      </c>
      <c r="D1408" s="159" t="str">
        <f>IFERROR(__xludf.DUMMYFUNCTION("""COMPUTED_VALUE"""),"application/pdf")</f>
        <v>application/pdf</v>
      </c>
    </row>
    <row r="1409">
      <c r="A1409" s="159" t="str">
        <f>IFERROR(__xludf.DUMMYFUNCTION("""COMPUTED_VALUE"""),"10.1073/pnas.0706273104")</f>
        <v>10.1073/pnas.0706273104</v>
      </c>
      <c r="B1409" s="680" t="str">
        <f>IFERROR(__xludf.DUMMYFUNCTION("""COMPUTED_VALUE"""),"https://drive.google.com/file/d/1eX88tgHDS5GmezfJFVpJbNeHaK94JCdm/view?usp=drivesdk")</f>
        <v>https://drive.google.com/file/d/1eX88tgHDS5GmezfJFVpJbNeHaK94JCdm/view?usp=drivesdk</v>
      </c>
      <c r="C1409" s="159" t="str">
        <f>IFERROR(__xludf.DUMMYFUNCTION("""COMPUTED_VALUE"""),"10.1073--pnas.0706273104.pdf")</f>
        <v>10.1073--pnas.0706273104.pdf</v>
      </c>
      <c r="D1409" s="159" t="str">
        <f>IFERROR(__xludf.DUMMYFUNCTION("""COMPUTED_VALUE"""),"application/pdf")</f>
        <v>application/pdf</v>
      </c>
    </row>
    <row r="1410">
      <c r="A1410" s="159" t="str">
        <f>IFERROR(__xludf.DUMMYFUNCTION("""COMPUTED_VALUE"""),"10.1016/j.nlm.2017.12.007")</f>
        <v>10.1016/j.nlm.2017.12.007</v>
      </c>
      <c r="B1410" s="680" t="str">
        <f>IFERROR(__xludf.DUMMYFUNCTION("""COMPUTED_VALUE"""),"https://drive.google.com/file/d/1pD7SRPlQIEKp35ByImnjxuZ0eZpx_nWr/view?usp=drivesdk")</f>
        <v>https://drive.google.com/file/d/1pD7SRPlQIEKp35ByImnjxuZ0eZpx_nWr/view?usp=drivesdk</v>
      </c>
      <c r="C1410" s="159" t="str">
        <f>IFERROR(__xludf.DUMMYFUNCTION("""COMPUTED_VALUE"""),"10.1016--j.nlm.2017.12.007.pdf")</f>
        <v>10.1016--j.nlm.2017.12.007.pdf</v>
      </c>
      <c r="D1410" s="159" t="str">
        <f>IFERROR(__xludf.DUMMYFUNCTION("""COMPUTED_VALUE"""),"application/pdf")</f>
        <v>application/pdf</v>
      </c>
    </row>
    <row r="1411">
      <c r="A1411" s="159" t="str">
        <f>IFERROR(__xludf.DUMMYFUNCTION("""COMPUTED_VALUE"""),"10.1016/j.brat.2015.01.001")</f>
        <v>10.1016/j.brat.2015.01.001</v>
      </c>
      <c r="B1411" s="680" t="str">
        <f>IFERROR(__xludf.DUMMYFUNCTION("""COMPUTED_VALUE"""),"https://drive.google.com/file/d/1z6ELpIML_iAO-oWGJcwZv48NcaICpQG4/view?usp=drivesdk")</f>
        <v>https://drive.google.com/file/d/1z6ELpIML_iAO-oWGJcwZv48NcaICpQG4/view?usp=drivesdk</v>
      </c>
      <c r="C1411" s="159" t="str">
        <f>IFERROR(__xludf.DUMMYFUNCTION("""COMPUTED_VALUE"""),"10.1016--j.brat.2015.01.001.pdf")</f>
        <v>10.1016--j.brat.2015.01.001.pdf</v>
      </c>
      <c r="D1411" s="159" t="str">
        <f>IFERROR(__xludf.DUMMYFUNCTION("""COMPUTED_VALUE"""),"application/pdf")</f>
        <v>application/pdf</v>
      </c>
    </row>
    <row r="1412">
      <c r="A1412" s="159" t="str">
        <f>IFERROR(__xludf.DUMMYFUNCTION("""COMPUTED_VALUE"""),"10.1177/1073191116686685")</f>
        <v>10.1177/1073191116686685</v>
      </c>
      <c r="B1412" s="680" t="str">
        <f>IFERROR(__xludf.DUMMYFUNCTION("""COMPUTED_VALUE"""),"https://drive.google.com/file/d/15F-RfkvkqMn0E0c709IKN80dAN2fRqHx/view?usp=drivesdk")</f>
        <v>https://drive.google.com/file/d/15F-RfkvkqMn0E0c709IKN80dAN2fRqHx/view?usp=drivesdk</v>
      </c>
      <c r="C1412" s="159" t="str">
        <f>IFERROR(__xludf.DUMMYFUNCTION("""COMPUTED_VALUE"""),"10.1177--1073191116686685.pdf")</f>
        <v>10.1177--1073191116686685.pdf</v>
      </c>
      <c r="D1412" s="159" t="str">
        <f>IFERROR(__xludf.DUMMYFUNCTION("""COMPUTED_VALUE"""),"application/pdf")</f>
        <v>application/pdf</v>
      </c>
    </row>
    <row r="1413">
      <c r="A1413" s="159" t="str">
        <f>IFERROR(__xludf.DUMMYFUNCTION("""COMPUTED_VALUE"""),"10.2224/sbp.1987.15.1.81")</f>
        <v>10.2224/sbp.1987.15.1.81</v>
      </c>
      <c r="B1413" s="680" t="str">
        <f>IFERROR(__xludf.DUMMYFUNCTION("""COMPUTED_VALUE"""),"https://drive.google.com/file/d/1jgj9lJ14X0DKbqnH68IADwQDBHmsItVZ/view?usp=drivesdk")</f>
        <v>https://drive.google.com/file/d/1jgj9lJ14X0DKbqnH68IADwQDBHmsItVZ/view?usp=drivesdk</v>
      </c>
      <c r="C1413" s="159" t="str">
        <f>IFERROR(__xludf.DUMMYFUNCTION("""COMPUTED_VALUE"""),"10.2224--sbp.1987.15.1.81.pdf")</f>
        <v>10.2224--sbp.1987.15.1.81.pdf</v>
      </c>
      <c r="D1413" s="159" t="str">
        <f>IFERROR(__xludf.DUMMYFUNCTION("""COMPUTED_VALUE"""),"application/pdf")</f>
        <v>application/pdf</v>
      </c>
    </row>
    <row r="1414">
      <c r="A1414" s="159" t="str">
        <f>IFERROR(__xludf.DUMMYFUNCTION("""COMPUTED_VALUE"""),"10.1016/j.neuroimage.2010.11.036")</f>
        <v>10.1016/j.neuroimage.2010.11.036</v>
      </c>
      <c r="B1414" s="680" t="str">
        <f>IFERROR(__xludf.DUMMYFUNCTION("""COMPUTED_VALUE"""),"https://drive.google.com/file/d/1zsR3h_cf78A7_eV_EOfnTXPskd55yEGk/view?usp=drivesdk")</f>
        <v>https://drive.google.com/file/d/1zsR3h_cf78A7_eV_EOfnTXPskd55yEGk/view?usp=drivesdk</v>
      </c>
      <c r="C1414" s="159" t="str">
        <f>IFERROR(__xludf.DUMMYFUNCTION("""COMPUTED_VALUE"""),"10.1016--j.neuroimage.2010.11.036.pdf")</f>
        <v>10.1016--j.neuroimage.2010.11.036.pdf</v>
      </c>
      <c r="D1414" s="159" t="str">
        <f>IFERROR(__xludf.DUMMYFUNCTION("""COMPUTED_VALUE"""),"application/pdf")</f>
        <v>application/pdf</v>
      </c>
    </row>
    <row r="1415">
      <c r="A1415" s="159" t="str">
        <f>IFERROR(__xludf.DUMMYFUNCTION("""COMPUTED_VALUE"""),"10.1016/0167-8760(95)00028-q")</f>
        <v>10.1016/0167-8760(95)00028-q</v>
      </c>
      <c r="B1415" s="680" t="str">
        <f>IFERROR(__xludf.DUMMYFUNCTION("""COMPUTED_VALUE"""),"https://drive.google.com/file/d/1zk8XV0oqsBL-XM_2SsNIQXgO5SAexD5u/view?usp=drivesdk")</f>
        <v>https://drive.google.com/file/d/1zk8XV0oqsBL-XM_2SsNIQXgO5SAexD5u/view?usp=drivesdk</v>
      </c>
      <c r="C1415" s="159" t="str">
        <f>IFERROR(__xludf.DUMMYFUNCTION("""COMPUTED_VALUE"""),"10.1016--0167-8760(95)00028-q.pdf")</f>
        <v>10.1016--0167-8760(95)00028-q.pdf</v>
      </c>
      <c r="D1415" s="159" t="str">
        <f>IFERROR(__xludf.DUMMYFUNCTION("""COMPUTED_VALUE"""),"application/pdf")</f>
        <v>application/pdf</v>
      </c>
    </row>
    <row r="1416">
      <c r="A1416" s="159" t="str">
        <f>IFERROR(__xludf.DUMMYFUNCTION("""COMPUTED_VALUE"""),"10.1016/j.bodyim.2015.04.007")</f>
        <v>10.1016/j.bodyim.2015.04.007</v>
      </c>
      <c r="B1416" s="680" t="str">
        <f>IFERROR(__xludf.DUMMYFUNCTION("""COMPUTED_VALUE"""),"https://drive.google.com/file/d/1RhsHrHnzN8KzykhbZDPEKUxMAHgo0iQl/view?usp=drivesdk")</f>
        <v>https://drive.google.com/file/d/1RhsHrHnzN8KzykhbZDPEKUxMAHgo0iQl/view?usp=drivesdk</v>
      </c>
      <c r="C1416" s="159" t="str">
        <f>IFERROR(__xludf.DUMMYFUNCTION("""COMPUTED_VALUE"""),"10.1016--j.bodyim.2015.04.007.pdf")</f>
        <v>10.1016--j.bodyim.2015.04.007.pdf</v>
      </c>
      <c r="D1416" s="159" t="str">
        <f>IFERROR(__xludf.DUMMYFUNCTION("""COMPUTED_VALUE"""),"application/pdf")</f>
        <v>application/pdf</v>
      </c>
    </row>
    <row r="1417">
      <c r="A1417" s="159" t="str">
        <f>IFERROR(__xludf.DUMMYFUNCTION("""COMPUTED_VALUE"""),"10.1037/a0035994")</f>
        <v>10.1037/a0035994</v>
      </c>
      <c r="B1417" s="680" t="str">
        <f>IFERROR(__xludf.DUMMYFUNCTION("""COMPUTED_VALUE"""),"https://drive.google.com/file/d/1s-o92xrjY8qNFs578jYHlwgg3sJ-NP6W/view?usp=drivesdk")</f>
        <v>https://drive.google.com/file/d/1s-o92xrjY8qNFs578jYHlwgg3sJ-NP6W/view?usp=drivesdk</v>
      </c>
      <c r="C1417" s="159" t="str">
        <f>IFERROR(__xludf.DUMMYFUNCTION("""COMPUTED_VALUE"""),"10.1037--a0035994.pdf")</f>
        <v>10.1037--a0035994.pdf</v>
      </c>
      <c r="D1417" s="159" t="str">
        <f>IFERROR(__xludf.DUMMYFUNCTION("""COMPUTED_VALUE"""),"application/pdf")</f>
        <v>application/pdf</v>
      </c>
    </row>
    <row r="1418">
      <c r="A1418" s="159" t="str">
        <f>IFERROR(__xludf.DUMMYFUNCTION("""COMPUTED_VALUE"""),"10.1016/j.bandc.2010.08.001")</f>
        <v>10.1016/j.bandc.2010.08.001</v>
      </c>
      <c r="B1418" s="680" t="str">
        <f>IFERROR(__xludf.DUMMYFUNCTION("""COMPUTED_VALUE"""),"https://drive.google.com/file/d/1cYILhdMj6twb1okZTG4CcNmFRUz8TsRN/view?usp=drivesdk")</f>
        <v>https://drive.google.com/file/d/1cYILhdMj6twb1okZTG4CcNmFRUz8TsRN/view?usp=drivesdk</v>
      </c>
      <c r="C1418" s="159" t="str">
        <f>IFERROR(__xludf.DUMMYFUNCTION("""COMPUTED_VALUE"""),"10.1016--j.bandc.2010.08.001.pdf")</f>
        <v>10.1016--j.bandc.2010.08.001.pdf</v>
      </c>
      <c r="D1418" s="159" t="str">
        <f>IFERROR(__xludf.DUMMYFUNCTION("""COMPUTED_VALUE"""),"application/pdf")</f>
        <v>application/pdf</v>
      </c>
    </row>
    <row r="1419">
      <c r="A1419" s="159" t="str">
        <f>IFERROR(__xludf.DUMMYFUNCTION("""COMPUTED_VALUE"""),"10.1037/a0018106")</f>
        <v>10.1037/a0018106</v>
      </c>
      <c r="B1419" s="680" t="str">
        <f>IFERROR(__xludf.DUMMYFUNCTION("""COMPUTED_VALUE"""),"https://drive.google.com/file/d/1SlXcrYTi_ohTzOExmYweSBSZDmujKUAK/view?usp=drivesdk")</f>
        <v>https://drive.google.com/file/d/1SlXcrYTi_ohTzOExmYweSBSZDmujKUAK/view?usp=drivesdk</v>
      </c>
      <c r="C1419" s="159" t="str">
        <f>IFERROR(__xludf.DUMMYFUNCTION("""COMPUTED_VALUE"""),"10.1037--a0018106.pdf")</f>
        <v>10.1037--a0018106.pdf</v>
      </c>
      <c r="D1419" s="159" t="str">
        <f>IFERROR(__xludf.DUMMYFUNCTION("""COMPUTED_VALUE"""),"application/pdf")</f>
        <v>application/pdf</v>
      </c>
    </row>
    <row r="1420">
      <c r="A1420" s="159" t="str">
        <f>IFERROR(__xludf.DUMMYFUNCTION("""COMPUTED_VALUE"""),"10.1007/s10899-016-9662-2")</f>
        <v>10.1007/s10899-016-9662-2</v>
      </c>
      <c r="B1420" s="680" t="str">
        <f>IFERROR(__xludf.DUMMYFUNCTION("""COMPUTED_VALUE"""),"https://drive.google.com/file/d/1r8LaHO1oagj-xznnyFGoL1fDY_X8-HJK/view?usp=drivesdk")</f>
        <v>https://drive.google.com/file/d/1r8LaHO1oagj-xznnyFGoL1fDY_X8-HJK/view?usp=drivesdk</v>
      </c>
      <c r="C1420" s="159" t="str">
        <f>IFERROR(__xludf.DUMMYFUNCTION("""COMPUTED_VALUE"""),"10.1007--s10899-016-9662-2.pdf")</f>
        <v>10.1007--s10899-016-9662-2.pdf</v>
      </c>
      <c r="D1420" s="159" t="str">
        <f>IFERROR(__xludf.DUMMYFUNCTION("""COMPUTED_VALUE"""),"application/pdf")</f>
        <v>application/pdf</v>
      </c>
    </row>
    <row r="1421">
      <c r="A1421" s="159" t="str">
        <f>IFERROR(__xludf.DUMMYFUNCTION("""COMPUTED_VALUE"""),"10.3389/fpsyg.2015.01186")</f>
        <v>10.3389/fpsyg.2015.01186</v>
      </c>
      <c r="B1421" s="680" t="str">
        <f>IFERROR(__xludf.DUMMYFUNCTION("""COMPUTED_VALUE"""),"https://drive.google.com/file/d/1VZGylbI98WjytpbwdjhMo7z2hjuGU4hN/view?usp=drivesdk")</f>
        <v>https://drive.google.com/file/d/1VZGylbI98WjytpbwdjhMo7z2hjuGU4hN/view?usp=drivesdk</v>
      </c>
      <c r="C1421" s="159" t="str">
        <f>IFERROR(__xludf.DUMMYFUNCTION("""COMPUTED_VALUE"""),"10.3389--fpsyg.2015.01186.pdf")</f>
        <v>10.3389--fpsyg.2015.01186.pdf</v>
      </c>
      <c r="D1421" s="159" t="str">
        <f>IFERROR(__xludf.DUMMYFUNCTION("""COMPUTED_VALUE"""),"application/pdf")</f>
        <v>application/pdf</v>
      </c>
    </row>
    <row r="1422">
      <c r="A1422" s="159" t="str">
        <f>IFERROR(__xludf.DUMMYFUNCTION("""COMPUTED_VALUE"""),"10.1017/s1930297500007774")</f>
        <v>10.1017/s1930297500007774</v>
      </c>
      <c r="B1422" s="680" t="str">
        <f>IFERROR(__xludf.DUMMYFUNCTION("""COMPUTED_VALUE"""),"https://drive.google.com/file/d/1GjhhZbbb8mAaVRt9zKR7GVU3Igrbxt67/view?usp=drivesdk")</f>
        <v>https://drive.google.com/file/d/1GjhhZbbb8mAaVRt9zKR7GVU3Igrbxt67/view?usp=drivesdk</v>
      </c>
      <c r="C1422" s="159" t="str">
        <f>IFERROR(__xludf.DUMMYFUNCTION("""COMPUTED_VALUE"""),"10.1017--s1930297500007774.pdf")</f>
        <v>10.1017--s1930297500007774.pdf</v>
      </c>
      <c r="D1422" s="159" t="str">
        <f>IFERROR(__xludf.DUMMYFUNCTION("""COMPUTED_VALUE"""),"application/pdf")</f>
        <v>application/pdf</v>
      </c>
    </row>
    <row r="1423">
      <c r="A1423" s="159" t="str">
        <f>IFERROR(__xludf.DUMMYFUNCTION("""COMPUTED_VALUE"""),"10.1037/pspa0000032")</f>
        <v>10.1037/pspa0000032</v>
      </c>
      <c r="B1423" s="680" t="str">
        <f>IFERROR(__xludf.DUMMYFUNCTION("""COMPUTED_VALUE"""),"https://drive.google.com/file/d/1Fz4gwoFVZ61QsVuQAy1Miyk_5TnN811X/view?usp=drivesdk")</f>
        <v>https://drive.google.com/file/d/1Fz4gwoFVZ61QsVuQAy1Miyk_5TnN811X/view?usp=drivesdk</v>
      </c>
      <c r="C1423" s="159" t="str">
        <f>IFERROR(__xludf.DUMMYFUNCTION("""COMPUTED_VALUE"""),"10.1037--pspa0000032.pdf")</f>
        <v>10.1037--pspa0000032.pdf</v>
      </c>
      <c r="D1423" s="159" t="str">
        <f>IFERROR(__xludf.DUMMYFUNCTION("""COMPUTED_VALUE"""),"application/pdf")</f>
        <v>application/pdf</v>
      </c>
    </row>
    <row r="1424">
      <c r="A1424" s="159" t="str">
        <f>IFERROR(__xludf.DUMMYFUNCTION("""COMPUTED_VALUE"""),"10.5018/economics-ejournal.ja.2018-3")</f>
        <v>10.5018/economics-ejournal.ja.2018-3</v>
      </c>
      <c r="B1424" s="680" t="str">
        <f>IFERROR(__xludf.DUMMYFUNCTION("""COMPUTED_VALUE"""),"https://drive.google.com/file/d/18k1ykE5KGu6_zuNz9VCrn4DkEVOO1LJH/view?usp=drivesdk")</f>
        <v>https://drive.google.com/file/d/18k1ykE5KGu6_zuNz9VCrn4DkEVOO1LJH/view?usp=drivesdk</v>
      </c>
      <c r="C1424" s="159" t="str">
        <f>IFERROR(__xludf.DUMMYFUNCTION("""COMPUTED_VALUE"""),"10.5018--economics-ejournal.ja.2018-3.pdf")</f>
        <v>10.5018--economics-ejournal.ja.2018-3.pdf</v>
      </c>
      <c r="D1424" s="159" t="str">
        <f>IFERROR(__xludf.DUMMYFUNCTION("""COMPUTED_VALUE"""),"application/pdf")</f>
        <v>application/pdf</v>
      </c>
    </row>
    <row r="1425">
      <c r="A1425" s="159" t="str">
        <f>IFERROR(__xludf.DUMMYFUNCTION("""COMPUTED_VALUE"""),"10.1002/pros.21320")</f>
        <v>10.1002/pros.21320</v>
      </c>
      <c r="B1425" s="680" t="str">
        <f>IFERROR(__xludf.DUMMYFUNCTION("""COMPUTED_VALUE"""),"https://drive.google.com/file/d/1km2L9DNVunqU05rc4Kd_J4czp3x6Xkk1/view?usp=drivesdk")</f>
        <v>https://drive.google.com/file/d/1km2L9DNVunqU05rc4Kd_J4czp3x6Xkk1/view?usp=drivesdk</v>
      </c>
      <c r="C1425" s="159" t="str">
        <f>IFERROR(__xludf.DUMMYFUNCTION("""COMPUTED_VALUE"""),"10.1002--pros.21320.pdf")</f>
        <v>10.1002--pros.21320.pdf</v>
      </c>
      <c r="D1425" s="159" t="str">
        <f>IFERROR(__xludf.DUMMYFUNCTION("""COMPUTED_VALUE"""),"application/pdf")</f>
        <v>application/pdf</v>
      </c>
    </row>
    <row r="1426">
      <c r="A1426" s="159" t="str">
        <f>IFERROR(__xludf.DUMMYFUNCTION("""COMPUTED_VALUE"""),"10.1257/mac.3.3.92")</f>
        <v>10.1257/mac.3.3.92</v>
      </c>
      <c r="B1426" s="680" t="str">
        <f>IFERROR(__xludf.DUMMYFUNCTION("""COMPUTED_VALUE"""),"https://drive.google.com/file/d/1pIS8rz3Zhsg-K0XmlUgVtJjkBAX-gomL/view?usp=drivesdk")</f>
        <v>https://drive.google.com/file/d/1pIS8rz3Zhsg-K0XmlUgVtJjkBAX-gomL/view?usp=drivesdk</v>
      </c>
      <c r="C1426" s="159" t="str">
        <f>IFERROR(__xludf.DUMMYFUNCTION("""COMPUTED_VALUE"""),"10.1257--mac.3.3.92.pdf")</f>
        <v>10.1257--mac.3.3.92.pdf</v>
      </c>
      <c r="D1426" s="159" t="str">
        <f>IFERROR(__xludf.DUMMYFUNCTION("""COMPUTED_VALUE"""),"application/pdf")</f>
        <v>application/pdf</v>
      </c>
    </row>
    <row r="1427">
      <c r="A1427" s="159" t="str">
        <f>IFERROR(__xludf.DUMMYFUNCTION("""COMPUTED_VALUE"""),"10.1038/ng1808")</f>
        <v>10.1038/ng1808</v>
      </c>
      <c r="B1427" s="680" t="str">
        <f>IFERROR(__xludf.DUMMYFUNCTION("""COMPUTED_VALUE"""),"https://drive.google.com/file/d/1j7kIz9DbHMuhgAFVzylwX6Yt8UYxbKVm/view?usp=drivesdk")</f>
        <v>https://drive.google.com/file/d/1j7kIz9DbHMuhgAFVzylwX6Yt8UYxbKVm/view?usp=drivesdk</v>
      </c>
      <c r="C1427" s="159" t="str">
        <f>IFERROR(__xludf.DUMMYFUNCTION("""COMPUTED_VALUE"""),"10.1038--ng1808.pdf")</f>
        <v>10.1038--ng1808.pdf</v>
      </c>
      <c r="D1427" s="159" t="str">
        <f>IFERROR(__xludf.DUMMYFUNCTION("""COMPUTED_VALUE"""),"application/pdf")</f>
        <v>application/pdf</v>
      </c>
    </row>
    <row r="1428">
      <c r="A1428" s="159" t="str">
        <f>IFERROR(__xludf.DUMMYFUNCTION("""COMPUTED_VALUE"""),"10.1017/xps.2017.8")</f>
        <v>10.1017/xps.2017.8</v>
      </c>
      <c r="B1428" s="680" t="str">
        <f>IFERROR(__xludf.DUMMYFUNCTION("""COMPUTED_VALUE"""),"https://drive.google.com/file/d/1aV3ccn2w0Qw9IRbsqbByGUHxTunteFgK/view?usp=drivesdk")</f>
        <v>https://drive.google.com/file/d/1aV3ccn2w0Qw9IRbsqbByGUHxTunteFgK/view?usp=drivesdk</v>
      </c>
      <c r="C1428" s="159" t="str">
        <f>IFERROR(__xludf.DUMMYFUNCTION("""COMPUTED_VALUE"""),"10.1017--xps.2017.8.pdf")</f>
        <v>10.1017--xps.2017.8.pdf</v>
      </c>
      <c r="D1428" s="159" t="str">
        <f>IFERROR(__xludf.DUMMYFUNCTION("""COMPUTED_VALUE"""),"application/pdf")</f>
        <v>application/pdf</v>
      </c>
    </row>
    <row r="1429">
      <c r="A1429" s="159" t="str">
        <f>IFERROR(__xludf.DUMMYFUNCTION("""COMPUTED_VALUE"""),"10.3758/s13423-024-02602-4")</f>
        <v>10.3758/s13423-024-02602-4</v>
      </c>
      <c r="B1429" s="680" t="str">
        <f>IFERROR(__xludf.DUMMYFUNCTION("""COMPUTED_VALUE"""),"https://drive.google.com/file/d/1vN437k1uq3kRGPmKBi6jr-KfvJ0C_JhT/view?usp=drivesdk")</f>
        <v>https://drive.google.com/file/d/1vN437k1uq3kRGPmKBi6jr-KfvJ0C_JhT/view?usp=drivesdk</v>
      </c>
      <c r="C1429" s="159" t="str">
        <f>IFERROR(__xludf.DUMMYFUNCTION("""COMPUTED_VALUE"""),"10.3758--s13423-024-02602-4.pdf")</f>
        <v>10.3758--s13423-024-02602-4.pdf</v>
      </c>
      <c r="D1429" s="159" t="str">
        <f>IFERROR(__xludf.DUMMYFUNCTION("""COMPUTED_VALUE"""),"application/pdf")</f>
        <v>application/pdf</v>
      </c>
    </row>
    <row r="1430">
      <c r="A1430" s="159" t="str">
        <f>IFERROR(__xludf.DUMMYFUNCTION("""COMPUTED_VALUE"""),"10.1371/journal.pone.0313619")</f>
        <v>10.1371/journal.pone.0313619</v>
      </c>
      <c r="B1430" s="680" t="str">
        <f>IFERROR(__xludf.DUMMYFUNCTION("""COMPUTED_VALUE"""),"https://drive.google.com/file/d/1BP4_zT4-cr6_-LVpCLyDKXo4tlduP3B2/view?usp=drivesdk")</f>
        <v>https://drive.google.com/file/d/1BP4_zT4-cr6_-LVpCLyDKXo4tlduP3B2/view?usp=drivesdk</v>
      </c>
      <c r="C1430" s="159" t="str">
        <f>IFERROR(__xludf.DUMMYFUNCTION("""COMPUTED_VALUE"""),"10.1371--journal.pone.0313619.pdf")</f>
        <v>10.1371--journal.pone.0313619.pdf</v>
      </c>
      <c r="D1430" s="159" t="str">
        <f>IFERROR(__xludf.DUMMYFUNCTION("""COMPUTED_VALUE"""),"application/pdf")</f>
        <v>application/pdf</v>
      </c>
    </row>
    <row r="1431">
      <c r="A1431" s="159" t="str">
        <f>IFERROR(__xludf.DUMMYFUNCTION("""COMPUTED_VALUE"""),"10.1007/s10899-024-10363-x")</f>
        <v>10.1007/s10899-024-10363-x</v>
      </c>
      <c r="B1431" s="680" t="str">
        <f>IFERROR(__xludf.DUMMYFUNCTION("""COMPUTED_VALUE"""),"https://drive.google.com/file/d/1lCXOxpLZfHui3z9Y08bqmYzBZmcr5eG0/view?usp=drivesdk")</f>
        <v>https://drive.google.com/file/d/1lCXOxpLZfHui3z9Y08bqmYzBZmcr5eG0/view?usp=drivesdk</v>
      </c>
      <c r="C1431" s="159" t="str">
        <f>IFERROR(__xludf.DUMMYFUNCTION("""COMPUTED_VALUE"""),"10.1007--s10899-024-10363-x.pdf")</f>
        <v>10.1007--s10899-024-10363-x.pdf</v>
      </c>
      <c r="D1431" s="159" t="str">
        <f>IFERROR(__xludf.DUMMYFUNCTION("""COMPUTED_VALUE"""),"application/pdf")</f>
        <v>application/pdf</v>
      </c>
    </row>
    <row r="1432">
      <c r="A1432" s="159" t="str">
        <f>IFERROR(__xludf.DUMMYFUNCTION("""COMPUTED_VALUE"""),"10.1177/19485506241298340")</f>
        <v>10.1177/19485506241298340</v>
      </c>
      <c r="B1432" s="680" t="str">
        <f>IFERROR(__xludf.DUMMYFUNCTION("""COMPUTED_VALUE"""),"https://drive.google.com/file/d/1rRD-Bh8mPPRN_LewNcfZj4uMszp6KoK9/view?usp=drivesdk")</f>
        <v>https://drive.google.com/file/d/1rRD-Bh8mPPRN_LewNcfZj4uMszp6KoK9/view?usp=drivesdk</v>
      </c>
      <c r="C1432" s="159" t="str">
        <f>IFERROR(__xludf.DUMMYFUNCTION("""COMPUTED_VALUE"""),"10.1177--19485506241298340.pdf")</f>
        <v>10.1177--19485506241298340.pdf</v>
      </c>
      <c r="D1432" s="159" t="str">
        <f>IFERROR(__xludf.DUMMYFUNCTION("""COMPUTED_VALUE"""),"application/pdf")</f>
        <v>application/pdf</v>
      </c>
    </row>
    <row r="1433">
      <c r="A1433" s="159" t="str">
        <f>IFERROR(__xludf.DUMMYFUNCTION("""COMPUTED_VALUE"""),"10.1111/pops.12446")</f>
        <v>10.1111/pops.12446</v>
      </c>
      <c r="B1433" s="680" t="str">
        <f>IFERROR(__xludf.DUMMYFUNCTION("""COMPUTED_VALUE"""),"https://drive.google.com/file/d/1v_yatdIaf9ah85hvTiT_i87-ZZKgyw8z/view?usp=drivesdk")</f>
        <v>https://drive.google.com/file/d/1v_yatdIaf9ah85hvTiT_i87-ZZKgyw8z/view?usp=drivesdk</v>
      </c>
      <c r="C1433" s="159" t="str">
        <f>IFERROR(__xludf.DUMMYFUNCTION("""COMPUTED_VALUE"""),"10.1111--pops.12446.pdf")</f>
        <v>10.1111--pops.12446.pdf</v>
      </c>
      <c r="D1433" s="159" t="str">
        <f>IFERROR(__xludf.DUMMYFUNCTION("""COMPUTED_VALUE"""),"application/pdf")</f>
        <v>application/pdf</v>
      </c>
    </row>
    <row r="1434">
      <c r="A1434" s="159" t="str">
        <f>IFERROR(__xludf.DUMMYFUNCTION("""COMPUTED_VALUE"""),"10.1016/j.psychsport.2024.102761")</f>
        <v>10.1016/j.psychsport.2024.102761</v>
      </c>
      <c r="B1434" s="680" t="str">
        <f>IFERROR(__xludf.DUMMYFUNCTION("""COMPUTED_VALUE"""),"https://drive.google.com/file/d/1T3kdw0-wjlu0E53OdEHLTRxSL1WV4GD2/view?usp=drivesdk")</f>
        <v>https://drive.google.com/file/d/1T3kdw0-wjlu0E53OdEHLTRxSL1WV4GD2/view?usp=drivesdk</v>
      </c>
      <c r="C1434" s="159" t="str">
        <f>IFERROR(__xludf.DUMMYFUNCTION("""COMPUTED_VALUE"""),"10.1016--j.psychsport.2024.102761.pdf")</f>
        <v>10.1016--j.psychsport.2024.102761.pdf</v>
      </c>
      <c r="D1434" s="159" t="str">
        <f>IFERROR(__xludf.DUMMYFUNCTION("""COMPUTED_VALUE"""),"application/pdf")</f>
        <v>application/pdf</v>
      </c>
    </row>
    <row r="1435">
      <c r="A1435" s="159" t="str">
        <f>IFERROR(__xludf.DUMMYFUNCTION("""COMPUTED_VALUE"""),"10.1037/0022-3514.46.4.778")</f>
        <v>10.1037/0022-3514.46.4.778</v>
      </c>
      <c r="B1435" s="680" t="str">
        <f>IFERROR(__xludf.DUMMYFUNCTION("""COMPUTED_VALUE"""),"https://drive.google.com/file/d/1g6q8nISpnYmmIa0tHGFco-Q0-mH9P8P_/view?usp=drivesdk")</f>
        <v>https://drive.google.com/file/d/1g6q8nISpnYmmIa0tHGFco-Q0-mH9P8P_/view?usp=drivesdk</v>
      </c>
      <c r="C1435" s="159" t="str">
        <f>IFERROR(__xludf.DUMMYFUNCTION("""COMPUTED_VALUE"""),"10.1037--0022-3514.46.4.778.pdf")</f>
        <v>10.1037--0022-3514.46.4.778.pdf</v>
      </c>
      <c r="D1435" s="159" t="str">
        <f>IFERROR(__xludf.DUMMYFUNCTION("""COMPUTED_VALUE"""),"application/pdf")</f>
        <v>application/pdf</v>
      </c>
    </row>
    <row r="1436">
      <c r="A1436" s="159" t="str">
        <f>IFERROR(__xludf.DUMMYFUNCTION("""COMPUTED_VALUE"""),"10.3758/bf03194043")</f>
        <v>10.3758/bf03194043</v>
      </c>
      <c r="B1436" s="680" t="str">
        <f>IFERROR(__xludf.DUMMYFUNCTION("""COMPUTED_VALUE"""),"https://drive.google.com/file/d/1YQ-aufbsCC9hO3yxbHG5yT1hC8gC2Zwm/view?usp=drivesdk")</f>
        <v>https://drive.google.com/file/d/1YQ-aufbsCC9hO3yxbHG5yT1hC8gC2Zwm/view?usp=drivesdk</v>
      </c>
      <c r="C1436" s="159" t="str">
        <f>IFERROR(__xludf.DUMMYFUNCTION("""COMPUTED_VALUE"""),"10.3758--bf03194043.pdf")</f>
        <v>10.3758--bf03194043.pdf</v>
      </c>
      <c r="D1436" s="159" t="str">
        <f>IFERROR(__xludf.DUMMYFUNCTION("""COMPUTED_VALUE"""),"application/pdf")</f>
        <v>application/pdf</v>
      </c>
    </row>
    <row r="1437">
      <c r="A1437" s="159" t="str">
        <f>IFERROR(__xludf.DUMMYFUNCTION("""COMPUTED_VALUE"""),"10.3389/fpsyg.2024.1495812")</f>
        <v>10.3389/fpsyg.2024.1495812</v>
      </c>
      <c r="B1437" s="680" t="str">
        <f>IFERROR(__xludf.DUMMYFUNCTION("""COMPUTED_VALUE"""),"https://drive.google.com/file/d/1zSkXvd_SQ8Y3SFR5dbVcX3nOQXjwNUgz/view?usp=drivesdk")</f>
        <v>https://drive.google.com/file/d/1zSkXvd_SQ8Y3SFR5dbVcX3nOQXjwNUgz/view?usp=drivesdk</v>
      </c>
      <c r="C1437" s="159" t="str">
        <f>IFERROR(__xludf.DUMMYFUNCTION("""COMPUTED_VALUE"""),"10.3389--fpsyg.2024.1495812.pdf")</f>
        <v>10.3389--fpsyg.2024.1495812.pdf</v>
      </c>
      <c r="D1437" s="159" t="str">
        <f>IFERROR(__xludf.DUMMYFUNCTION("""COMPUTED_VALUE"""),"application/pdf")</f>
        <v>application/pdf</v>
      </c>
    </row>
    <row r="1438">
      <c r="A1438" s="159" t="str">
        <f>IFERROR(__xludf.DUMMYFUNCTION("""COMPUTED_VALUE"""),"10.1111/bjhp.12185")</f>
        <v>10.1111/bjhp.12185</v>
      </c>
      <c r="B1438" s="680" t="str">
        <f>IFERROR(__xludf.DUMMYFUNCTION("""COMPUTED_VALUE"""),"https://drive.google.com/file/d/1cYa6N0WKe6Bh2MCHkEqipe4p1Bb3ENLu/view?usp=drivesdk")</f>
        <v>https://drive.google.com/file/d/1cYa6N0WKe6Bh2MCHkEqipe4p1Bb3ENLu/view?usp=drivesdk</v>
      </c>
      <c r="C1438" s="159" t="str">
        <f>IFERROR(__xludf.DUMMYFUNCTION("""COMPUTED_VALUE"""),"10.1111--bjhp.12185.pdf")</f>
        <v>10.1111--bjhp.12185.pdf</v>
      </c>
      <c r="D1438" s="159" t="str">
        <f>IFERROR(__xludf.DUMMYFUNCTION("""COMPUTED_VALUE"""),"application/pdf")</f>
        <v>application/pdf</v>
      </c>
    </row>
    <row r="1439">
      <c r="A1439" s="159" t="str">
        <f>IFERROR(__xludf.DUMMYFUNCTION("""COMPUTED_VALUE"""),"10.1177/09567976221082941")</f>
        <v>10.1177/09567976221082941</v>
      </c>
      <c r="B1439" s="680" t="str">
        <f>IFERROR(__xludf.DUMMYFUNCTION("""COMPUTED_VALUE"""),"https://drive.google.com/file/d/1U_OpKcnH3vqA_sZl7r6oivPzFbw81e8Y/view?usp=drivesdk")</f>
        <v>https://drive.google.com/file/d/1U_OpKcnH3vqA_sZl7r6oivPzFbw81e8Y/view?usp=drivesdk</v>
      </c>
      <c r="C1439" s="159" t="str">
        <f>IFERROR(__xludf.DUMMYFUNCTION("""COMPUTED_VALUE"""),"10.1177--09567976221082941.pdf")</f>
        <v>10.1177--09567976221082941.pdf</v>
      </c>
      <c r="D1439" s="159" t="str">
        <f>IFERROR(__xludf.DUMMYFUNCTION("""COMPUTED_VALUE"""),"application/pdf")</f>
        <v>application/pdf</v>
      </c>
    </row>
    <row r="1440">
      <c r="A1440" s="159" t="str">
        <f>IFERROR(__xludf.DUMMYFUNCTION("""COMPUTED_VALUE"""),"10.1007/s11469-023-01060-8")</f>
        <v>10.1007/s11469-023-01060-8</v>
      </c>
      <c r="B1440" s="680" t="str">
        <f>IFERROR(__xludf.DUMMYFUNCTION("""COMPUTED_VALUE"""),"https://drive.google.com/file/d/1KFt0oWL0PlCdDAF8vfAu0PFIKhDUEvZv/view?usp=drivesdk")</f>
        <v>https://drive.google.com/file/d/1KFt0oWL0PlCdDAF8vfAu0PFIKhDUEvZv/view?usp=drivesdk</v>
      </c>
      <c r="C1440" s="159" t="str">
        <f>IFERROR(__xludf.DUMMYFUNCTION("""COMPUTED_VALUE"""),"10.1007--s11469-023-01060-8.pdf")</f>
        <v>10.1007--s11469-023-01060-8.pdf</v>
      </c>
      <c r="D1440" s="159" t="str">
        <f>IFERROR(__xludf.DUMMYFUNCTION("""COMPUTED_VALUE"""),"application/pdf")</f>
        <v>application/pdf</v>
      </c>
    </row>
    <row r="1441">
      <c r="A1441" s="159" t="str">
        <f>IFERROR(__xludf.DUMMYFUNCTION("""COMPUTED_VALUE"""),"10.1177/1948550609360261")</f>
        <v>10.1177/1948550609360261</v>
      </c>
      <c r="B1441" s="680" t="str">
        <f>IFERROR(__xludf.DUMMYFUNCTION("""COMPUTED_VALUE"""),"https://drive.google.com/file/d/1Jb35JMuBKlW_Crt2jnY84fYUKJOvW-Xt/view?usp=drivesdk")</f>
        <v>https://drive.google.com/file/d/1Jb35JMuBKlW_Crt2jnY84fYUKJOvW-Xt/view?usp=drivesdk</v>
      </c>
      <c r="C1441" s="159" t="str">
        <f>IFERROR(__xludf.DUMMYFUNCTION("""COMPUTED_VALUE"""),"10.1177--1948550609360261.pdf")</f>
        <v>10.1177--1948550609360261.pdf</v>
      </c>
      <c r="D1441" s="159" t="str">
        <f>IFERROR(__xludf.DUMMYFUNCTION("""COMPUTED_VALUE"""),"application/pdf")</f>
        <v>application/pdf</v>
      </c>
    </row>
    <row r="1442">
      <c r="A1442" s="159" t="str">
        <f>IFERROR(__xludf.DUMMYFUNCTION("""COMPUTED_VALUE"""),"10.1073/pnas.1103343108")</f>
        <v>10.1073/pnas.1103343108</v>
      </c>
      <c r="B1442" s="680" t="str">
        <f>IFERROR(__xludf.DUMMYFUNCTION("""COMPUTED_VALUE"""),"https://drive.google.com/file/d/1OaJmWFXauHybaSnK3xBih8ufOu_tMwAw/view?usp=drivesdk")</f>
        <v>https://drive.google.com/file/d/1OaJmWFXauHybaSnK3xBih8ufOu_tMwAw/view?usp=drivesdk</v>
      </c>
      <c r="C1442" s="159" t="str">
        <f>IFERROR(__xludf.DUMMYFUNCTION("""COMPUTED_VALUE"""),"10.1073--pnas.1103343108.pdf")</f>
        <v>10.1073--pnas.1103343108.pdf</v>
      </c>
      <c r="D1442" s="159" t="str">
        <f>IFERROR(__xludf.DUMMYFUNCTION("""COMPUTED_VALUE"""),"application/pdf")</f>
        <v>application/pdf</v>
      </c>
    </row>
    <row r="1443">
      <c r="A1443" s="159" t="str">
        <f>IFERROR(__xludf.DUMMYFUNCTION("""COMPUTED_VALUE"""),"10.1016/j.psychsport.2021.102099")</f>
        <v>10.1016/j.psychsport.2021.102099</v>
      </c>
      <c r="B1443" s="680" t="str">
        <f>IFERROR(__xludf.DUMMYFUNCTION("""COMPUTED_VALUE"""),"https://drive.google.com/file/d/1Z7Mw90AXLBMdNZVe8RaBy_TczXxKhAUs/view?usp=drivesdk")</f>
        <v>https://drive.google.com/file/d/1Z7Mw90AXLBMdNZVe8RaBy_TczXxKhAUs/view?usp=drivesdk</v>
      </c>
      <c r="C1443" s="159" t="str">
        <f>IFERROR(__xludf.DUMMYFUNCTION("""COMPUTED_VALUE"""),"10.1016--j.psychsport.2021.102099.pdf")</f>
        <v>10.1016--j.psychsport.2021.102099.pdf</v>
      </c>
      <c r="D1443" s="159" t="str">
        <f>IFERROR(__xludf.DUMMYFUNCTION("""COMPUTED_VALUE"""),"application/pdf")</f>
        <v>application/pdf</v>
      </c>
    </row>
    <row r="1444">
      <c r="A1444" s="159" t="str">
        <f>IFERROR(__xludf.DUMMYFUNCTION("""COMPUTED_VALUE"""),"10.1098/rspb.2022.0128")</f>
        <v>10.1098/rspb.2022.0128</v>
      </c>
      <c r="B1444" s="680" t="str">
        <f>IFERROR(__xludf.DUMMYFUNCTION("""COMPUTED_VALUE"""),"https://drive.google.com/file/d/1sy0BYf3Kt-bi9Lq7noXFBWEXaByZqdU-/view?usp=drivesdk")</f>
        <v>https://drive.google.com/file/d/1sy0BYf3Kt-bi9Lq7noXFBWEXaByZqdU-/view?usp=drivesdk</v>
      </c>
      <c r="C1444" s="159" t="str">
        <f>IFERROR(__xludf.DUMMYFUNCTION("""COMPUTED_VALUE"""),"10.1098--rspb.2022.0128.pdf")</f>
        <v>10.1098--rspb.2022.0128.pdf</v>
      </c>
      <c r="D1444" s="159" t="str">
        <f>IFERROR(__xludf.DUMMYFUNCTION("""COMPUTED_VALUE"""),"application/pdf")</f>
        <v>application/pdf</v>
      </c>
    </row>
    <row r="1445">
      <c r="A1445" s="159" t="str">
        <f>IFERROR(__xludf.DUMMYFUNCTION("""COMPUTED_VALUE"""),"10.1177/0040517514566112")</f>
        <v>10.1177/0040517514566112</v>
      </c>
      <c r="B1445" s="680" t="str">
        <f>IFERROR(__xludf.DUMMYFUNCTION("""COMPUTED_VALUE"""),"https://drive.google.com/file/d/10DvzKx5_AtQgdNCp-OqcVn-oYv8mv5n4/view?usp=drivesdk")</f>
        <v>https://drive.google.com/file/d/10DvzKx5_AtQgdNCp-OqcVn-oYv8mv5n4/view?usp=drivesdk</v>
      </c>
      <c r="C1445" s="159" t="str">
        <f>IFERROR(__xludf.DUMMYFUNCTION("""COMPUTED_VALUE"""),"10.1177--0040517514566112.pdf")</f>
        <v>10.1177--0040517514566112.pdf</v>
      </c>
      <c r="D1445" s="159" t="str">
        <f>IFERROR(__xludf.DUMMYFUNCTION("""COMPUTED_VALUE"""),"application/pdf")</f>
        <v>application/pdf</v>
      </c>
    </row>
    <row r="1446">
      <c r="A1446" s="159" t="str">
        <f>IFERROR(__xludf.DUMMYFUNCTION("""COMPUTED_VALUE"""),"10.1007/s12110-002-1002-9")</f>
        <v>10.1007/s12110-002-1002-9</v>
      </c>
      <c r="B1446" s="680" t="str">
        <f>IFERROR(__xludf.DUMMYFUNCTION("""COMPUTED_VALUE"""),"https://drive.google.com/file/d/1NywfARb9tLnl3LTq3K32BFOrLVIlJrvM/view?usp=drivesdk")</f>
        <v>https://drive.google.com/file/d/1NywfARb9tLnl3LTq3K32BFOrLVIlJrvM/view?usp=drivesdk</v>
      </c>
      <c r="C1446" s="159" t="str">
        <f>IFERROR(__xludf.DUMMYFUNCTION("""COMPUTED_VALUE"""),"10.1007--s12110-002-1002-9.pdf")</f>
        <v>10.1007--s12110-002-1002-9.pdf</v>
      </c>
      <c r="D1446" s="159" t="str">
        <f>IFERROR(__xludf.DUMMYFUNCTION("""COMPUTED_VALUE"""),"application/pdf")</f>
        <v>application/pdf</v>
      </c>
    </row>
    <row r="1447">
      <c r="A1447" s="159" t="str">
        <f>IFERROR(__xludf.DUMMYFUNCTION("""COMPUTED_VALUE"""),"10.1177/147470490700500101")</f>
        <v>10.1177/147470490700500101</v>
      </c>
      <c r="B1447" s="680" t="str">
        <f>IFERROR(__xludf.DUMMYFUNCTION("""COMPUTED_VALUE"""),"https://drive.google.com/file/d/1gGEwJhSZgMAeSg61dFEDgR4qLjpQpTyL/view?usp=drivesdk")</f>
        <v>https://drive.google.com/file/d/1gGEwJhSZgMAeSg61dFEDgR4qLjpQpTyL/view?usp=drivesdk</v>
      </c>
      <c r="C1447" s="159" t="str">
        <f>IFERROR(__xludf.DUMMYFUNCTION("""COMPUTED_VALUE"""),"10.1177--147470490700500101.pdf")</f>
        <v>10.1177--147470490700500101.pdf</v>
      </c>
      <c r="D1447" s="159" t="str">
        <f>IFERROR(__xludf.DUMMYFUNCTION("""COMPUTED_VALUE"""),"application/pdf")</f>
        <v>application/pdf</v>
      </c>
    </row>
    <row r="1448">
      <c r="A1448" s="159" t="str">
        <f>IFERROR(__xludf.DUMMYFUNCTION("""COMPUTED_VALUE"""),"10.1136/annrheumdis-2014-206530")</f>
        <v>10.1136/annrheumdis-2014-206530</v>
      </c>
      <c r="B1448" s="680" t="str">
        <f>IFERROR(__xludf.DUMMYFUNCTION("""COMPUTED_VALUE"""),"https://drive.google.com/file/d/1sa-B2GFNTR89a5vrIAS6MvsPmdEGmbM1/view?usp=drivesdk")</f>
        <v>https://drive.google.com/file/d/1sa-B2GFNTR89a5vrIAS6MvsPmdEGmbM1/view?usp=drivesdk</v>
      </c>
      <c r="C1448" s="159" t="str">
        <f>IFERROR(__xludf.DUMMYFUNCTION("""COMPUTED_VALUE"""),"10.1136--annrheumdis-2014-206530.pdf")</f>
        <v>10.1136--annrheumdis-2014-206530.pdf</v>
      </c>
      <c r="D1448" s="159" t="str">
        <f>IFERROR(__xludf.DUMMYFUNCTION("""COMPUTED_VALUE"""),"application/pdf")</f>
        <v>application/pdf</v>
      </c>
    </row>
    <row r="1449">
      <c r="A1449" s="159" t="str">
        <f>IFERROR(__xludf.DUMMYFUNCTION("""COMPUTED_VALUE"""),"10.1016/s1471-0153(03)00026-6")</f>
        <v>10.1016/s1471-0153(03)00026-6</v>
      </c>
      <c r="B1449" s="680" t="str">
        <f>IFERROR(__xludf.DUMMYFUNCTION("""COMPUTED_VALUE"""),"https://drive.google.com/file/d/1IErZ2j0jhcuIPlatjs9z8pCjgSl2S3h6/view?usp=drivesdk")</f>
        <v>https://drive.google.com/file/d/1IErZ2j0jhcuIPlatjs9z8pCjgSl2S3h6/view?usp=drivesdk</v>
      </c>
      <c r="C1449" s="159" t="str">
        <f>IFERROR(__xludf.DUMMYFUNCTION("""COMPUTED_VALUE"""),"10.1016--s1471-0153(03)00026-6.pdf")</f>
        <v>10.1016--s1471-0153(03)00026-6.pdf</v>
      </c>
      <c r="D1449" s="159" t="str">
        <f>IFERROR(__xludf.DUMMYFUNCTION("""COMPUTED_VALUE"""),"application/pdf")</f>
        <v>application/pdf</v>
      </c>
    </row>
    <row r="1450">
      <c r="A1450" s="159" t="str">
        <f>IFERROR(__xludf.DUMMYFUNCTION("""COMPUTED_VALUE"""),"10.1002/eat.20103")</f>
        <v>10.1002/eat.20103</v>
      </c>
      <c r="B1450" s="680" t="str">
        <f>IFERROR(__xludf.DUMMYFUNCTION("""COMPUTED_VALUE"""),"https://drive.google.com/file/d/1G6JZEmMMLRIrURxc_dyXrBDTAScOMjVZ/view?usp=drivesdk")</f>
        <v>https://drive.google.com/file/d/1G6JZEmMMLRIrURxc_dyXrBDTAScOMjVZ/view?usp=drivesdk</v>
      </c>
      <c r="C1450" s="159" t="str">
        <f>IFERROR(__xludf.DUMMYFUNCTION("""COMPUTED_VALUE"""),"10.1002--eat.20103.pdf")</f>
        <v>10.1002--eat.20103.pdf</v>
      </c>
      <c r="D1450" s="159" t="str">
        <f>IFERROR(__xludf.DUMMYFUNCTION("""COMPUTED_VALUE"""),"application/pdf")</f>
        <v>application/pdf</v>
      </c>
    </row>
    <row r="1451">
      <c r="A1451" s="159" t="str">
        <f>IFERROR(__xludf.DUMMYFUNCTION("""COMPUTED_VALUE"""),"10.1177/0956797617698226")</f>
        <v>10.1177/0956797617698226</v>
      </c>
      <c r="B1451" s="680" t="str">
        <f>IFERROR(__xludf.DUMMYFUNCTION("""COMPUTED_VALUE"""),"https://drive.google.com/file/d/1jsNmpUGc3SFKNCTcPasDCerwyIwsLECm/view?usp=drivesdk")</f>
        <v>https://drive.google.com/file/d/1jsNmpUGc3SFKNCTcPasDCerwyIwsLECm/view?usp=drivesdk</v>
      </c>
      <c r="C1451" s="159" t="str">
        <f>IFERROR(__xludf.DUMMYFUNCTION("""COMPUTED_VALUE"""),"10.1177--0956797617698226.pdf")</f>
        <v>10.1177--0956797617698226.pdf</v>
      </c>
      <c r="D1451" s="159" t="str">
        <f>IFERROR(__xludf.DUMMYFUNCTION("""COMPUTED_VALUE"""),"application/pdf")</f>
        <v>application/pdf</v>
      </c>
    </row>
    <row r="1452">
      <c r="A1452" s="159" t="str">
        <f>IFERROR(__xludf.DUMMYFUNCTION("""COMPUTED_VALUE"""),"10.7554/elife.95761.1.sa1")</f>
        <v>10.7554/elife.95761.1.sa1</v>
      </c>
      <c r="B1452" s="680" t="str">
        <f>IFERROR(__xludf.DUMMYFUNCTION("""COMPUTED_VALUE"""),"https://drive.google.com/file/d/1f01MLy6zbw6-VJPmNKRVLrtvILHtu0My/view?usp=drivesdk")</f>
        <v>https://drive.google.com/file/d/1f01MLy6zbw6-VJPmNKRVLrtvILHtu0My/view?usp=drivesdk</v>
      </c>
      <c r="C1452" s="159" t="str">
        <f>IFERROR(__xludf.DUMMYFUNCTION("""COMPUTED_VALUE"""),"10.7554--elife.95761.1.sa1.pdf")</f>
        <v>10.7554--elife.95761.1.sa1.pdf</v>
      </c>
      <c r="D1452" s="159" t="str">
        <f>IFERROR(__xludf.DUMMYFUNCTION("""COMPUTED_VALUE"""),"application/pdf")</f>
        <v>application/pdf</v>
      </c>
    </row>
    <row r="1453">
      <c r="A1453" s="159" t="str">
        <f>IFERROR(__xludf.DUMMYFUNCTION("""COMPUTED_VALUE"""),"10.1080/00207594.2012.693182")</f>
        <v>10.1080/00207594.2012.693182</v>
      </c>
      <c r="B1453" s="680" t="str">
        <f>IFERROR(__xludf.DUMMYFUNCTION("""COMPUTED_VALUE"""),"https://drive.google.com/file/d/1COGouC-xqEw_GUeUnwirdjR0F1KHHUjx/view?usp=drivesdk")</f>
        <v>https://drive.google.com/file/d/1COGouC-xqEw_GUeUnwirdjR0F1KHHUjx/view?usp=drivesdk</v>
      </c>
      <c r="C1453" s="159" t="str">
        <f>IFERROR(__xludf.DUMMYFUNCTION("""COMPUTED_VALUE"""),"10.1080--00207594.2012.693182.pdf")</f>
        <v>10.1080--00207594.2012.693182.pdf</v>
      </c>
      <c r="D1453" s="159" t="str">
        <f>IFERROR(__xludf.DUMMYFUNCTION("""COMPUTED_VALUE"""),"application/pdf")</f>
        <v>application/pdf</v>
      </c>
    </row>
    <row r="1454">
      <c r="A1454" s="159" t="str">
        <f>IFERROR(__xludf.DUMMYFUNCTION("""COMPUTED_VALUE"""),"10.2139/ssrn.3962227")</f>
        <v>10.2139/ssrn.3962227</v>
      </c>
      <c r="B1454" s="680" t="str">
        <f>IFERROR(__xludf.DUMMYFUNCTION("""COMPUTED_VALUE"""),"https://drive.google.com/file/d/1jjOa79SSxJXVxFQ6Ptpl2jGWWNFrmVW1/view?usp=drivesdk")</f>
        <v>https://drive.google.com/file/d/1jjOa79SSxJXVxFQ6Ptpl2jGWWNFrmVW1/view?usp=drivesdk</v>
      </c>
      <c r="C1454" s="159" t="str">
        <f>IFERROR(__xludf.DUMMYFUNCTION("""COMPUTED_VALUE"""),"10.2139--ssrn.3962227.pdf")</f>
        <v>10.2139--ssrn.3962227.pdf</v>
      </c>
      <c r="D1454" s="159" t="str">
        <f>IFERROR(__xludf.DUMMYFUNCTION("""COMPUTED_VALUE"""),"application/pdf")</f>
        <v>application/pdf</v>
      </c>
    </row>
    <row r="1455">
      <c r="A1455" s="159" t="str">
        <f>IFERROR(__xludf.DUMMYFUNCTION("""COMPUTED_VALUE"""),"10.1371/journal.pone.0205903")</f>
        <v>10.1371/journal.pone.0205903</v>
      </c>
      <c r="B1455" s="680" t="str">
        <f>IFERROR(__xludf.DUMMYFUNCTION("""COMPUTED_VALUE"""),"https://drive.google.com/file/d/1wWVXJt8OgHsvJo5EXNr8Zg0-7n0JZLrI/view?usp=drivesdk")</f>
        <v>https://drive.google.com/file/d/1wWVXJt8OgHsvJo5EXNr8Zg0-7n0JZLrI/view?usp=drivesdk</v>
      </c>
      <c r="C1455" s="159" t="str">
        <f>IFERROR(__xludf.DUMMYFUNCTION("""COMPUTED_VALUE"""),"10.1371--journal.pone.0205903.pdf")</f>
        <v>10.1371--journal.pone.0205903.pdf</v>
      </c>
      <c r="D1455" s="159" t="str">
        <f>IFERROR(__xludf.DUMMYFUNCTION("""COMPUTED_VALUE"""),"application/pdf")</f>
        <v>application/pdf</v>
      </c>
    </row>
    <row r="1456">
      <c r="A1456" s="159" t="str">
        <f>IFERROR(__xludf.DUMMYFUNCTION("""COMPUTED_VALUE"""),"10.31234/osf.io/84sf7")</f>
        <v>10.31234/osf.io/84sf7</v>
      </c>
      <c r="B1456" s="680" t="str">
        <f>IFERROR(__xludf.DUMMYFUNCTION("""COMPUTED_VALUE"""),"https://drive.google.com/file/d/1Cvp7ioBETJteuOeY7B9lMkDoA8rj9suJ/view?usp=drivesdk")</f>
        <v>https://drive.google.com/file/d/1Cvp7ioBETJteuOeY7B9lMkDoA8rj9suJ/view?usp=drivesdk</v>
      </c>
      <c r="C1456" s="159" t="str">
        <f>IFERROR(__xludf.DUMMYFUNCTION("""COMPUTED_VALUE"""),"10.31234--osf.io--84sf7.pdf")</f>
        <v>10.31234--osf.io--84sf7.pdf</v>
      </c>
      <c r="D1456" s="159" t="str">
        <f>IFERROR(__xludf.DUMMYFUNCTION("""COMPUTED_VALUE"""),"application/pdf")</f>
        <v>application/pdf</v>
      </c>
    </row>
    <row r="1457">
      <c r="A1457" s="159" t="str">
        <f>IFERROR(__xludf.DUMMYFUNCTION("""COMPUTED_VALUE"""),"10.1080/02650487.1997.11104674")</f>
        <v>10.1080/02650487.1997.11104674</v>
      </c>
      <c r="B1457" s="680" t="str">
        <f>IFERROR(__xludf.DUMMYFUNCTION("""COMPUTED_VALUE"""),"https://drive.google.com/file/d/1rNf-Y1TmjvC1M6QAQKYo0RIiESN71ZT1/view?usp=drivesdk")</f>
        <v>https://drive.google.com/file/d/1rNf-Y1TmjvC1M6QAQKYo0RIiESN71ZT1/view?usp=drivesdk</v>
      </c>
      <c r="C1457" s="159" t="str">
        <f>IFERROR(__xludf.DUMMYFUNCTION("""COMPUTED_VALUE"""),"10.1080--02650487.1997.11104674.pdf")</f>
        <v>10.1080--02650487.1997.11104674.pdf</v>
      </c>
      <c r="D1457" s="159" t="str">
        <f>IFERROR(__xludf.DUMMYFUNCTION("""COMPUTED_VALUE"""),"application/pdf")</f>
        <v>application/pdf</v>
      </c>
    </row>
    <row r="1458">
      <c r="A1458" s="159" t="str">
        <f>IFERROR(__xludf.DUMMYFUNCTION("""COMPUTED_VALUE"""),"10.1186/1471-2350-8-s1-s18")</f>
        <v>10.1186/1471-2350-8-s1-s18</v>
      </c>
      <c r="B1458" s="680" t="str">
        <f>IFERROR(__xludf.DUMMYFUNCTION("""COMPUTED_VALUE"""),"https://drive.google.com/file/d/1bTh3Gg3u9nZZv3JaUOuI6n6wpv6cdUn4/view?usp=drivesdk")</f>
        <v>https://drive.google.com/file/d/1bTh3Gg3u9nZZv3JaUOuI6n6wpv6cdUn4/view?usp=drivesdk</v>
      </c>
      <c r="C1458" s="159" t="str">
        <f>IFERROR(__xludf.DUMMYFUNCTION("""COMPUTED_VALUE"""),"10.1186--1471-2350-8-s1-s18.pdf")</f>
        <v>10.1186--1471-2350-8-s1-s18.pdf</v>
      </c>
      <c r="D1458" s="159" t="str">
        <f>IFERROR(__xludf.DUMMYFUNCTION("""COMPUTED_VALUE"""),"application/pdf")</f>
        <v>application/pdf</v>
      </c>
    </row>
    <row r="1459">
      <c r="A1459" s="159" t="str">
        <f>IFERROR(__xludf.DUMMYFUNCTION("""COMPUTED_VALUE"""),"10.1159/000319453")</f>
        <v>10.1159/000319453</v>
      </c>
      <c r="B1459" s="680" t="str">
        <f>IFERROR(__xludf.DUMMYFUNCTION("""COMPUTED_VALUE"""),"https://drive.google.com/file/d/1mcR3bDSjhT8S9pNuhAv3nsNzNUHQHcrK/view?usp=drivesdk")</f>
        <v>https://drive.google.com/file/d/1mcR3bDSjhT8S9pNuhAv3nsNzNUHQHcrK/view?usp=drivesdk</v>
      </c>
      <c r="C1459" s="159" t="str">
        <f>IFERROR(__xludf.DUMMYFUNCTION("""COMPUTED_VALUE"""),"10.1159--000319453.pdf")</f>
        <v>10.1159--000319453.pdf</v>
      </c>
      <c r="D1459" s="159" t="str">
        <f>IFERROR(__xludf.DUMMYFUNCTION("""COMPUTED_VALUE"""),"application/pdf")</f>
        <v>application/pdf</v>
      </c>
    </row>
    <row r="1460">
      <c r="A1460" s="159" t="str">
        <f>IFERROR(__xludf.DUMMYFUNCTION("""COMPUTED_VALUE"""),"10.2307/2977633")</f>
        <v>10.2307/2977633</v>
      </c>
      <c r="B1460" s="680" t="str">
        <f>IFERROR(__xludf.DUMMYFUNCTION("""COMPUTED_VALUE"""),"https://drive.google.com/file/d/1QP9zRqd-iZRXOX1VCHtMb7McvyxRnSgl/view?usp=drivesdk")</f>
        <v>https://drive.google.com/file/d/1QP9zRqd-iZRXOX1VCHtMb7McvyxRnSgl/view?usp=drivesdk</v>
      </c>
      <c r="C1460" s="159" t="str">
        <f>IFERROR(__xludf.DUMMYFUNCTION("""COMPUTED_VALUE"""),"10.2307--2977633.pdf")</f>
        <v>10.2307--2977633.pdf</v>
      </c>
      <c r="D1460" s="159" t="str">
        <f>IFERROR(__xludf.DUMMYFUNCTION("""COMPUTED_VALUE"""),"application/pdf")</f>
        <v>application/pdf</v>
      </c>
    </row>
    <row r="1461">
      <c r="A1461" s="159" t="str">
        <f>IFERROR(__xludf.DUMMYFUNCTION("""COMPUTED_VALUE"""),"10.1177/1091142106292776")</f>
        <v>10.1177/1091142106292776</v>
      </c>
      <c r="B1461" s="680" t="str">
        <f>IFERROR(__xludf.DUMMYFUNCTION("""COMPUTED_VALUE"""),"https://drive.google.com/file/d/17BaGkIzz2E5EF12yCt13C1W4UgPygVCx/view?usp=drivesdk")</f>
        <v>https://drive.google.com/file/d/17BaGkIzz2E5EF12yCt13C1W4UgPygVCx/view?usp=drivesdk</v>
      </c>
      <c r="C1461" s="159" t="str">
        <f>IFERROR(__xludf.DUMMYFUNCTION("""COMPUTED_VALUE"""),"10.1177--1091142106292776.pdf")</f>
        <v>10.1177--1091142106292776.pdf</v>
      </c>
      <c r="D1461" s="159" t="str">
        <f>IFERROR(__xludf.DUMMYFUNCTION("""COMPUTED_VALUE"""),"application/pdf")</f>
        <v>application/pdf</v>
      </c>
    </row>
    <row r="1462">
      <c r="A1462" s="159" t="str">
        <f>IFERROR(__xludf.DUMMYFUNCTION("""COMPUTED_VALUE"""),"10.1177/1474704916678217.")</f>
        <v>10.1177/1474704916678217.</v>
      </c>
      <c r="B1462" s="680" t="str">
        <f>IFERROR(__xludf.DUMMYFUNCTION("""COMPUTED_VALUE"""),"https://drive.google.com/file/d/17KBWbm37kzMHZZItLrkVI0TTy58Aihyg/view?usp=drivesdk")</f>
        <v>https://drive.google.com/file/d/17KBWbm37kzMHZZItLrkVI0TTy58Aihyg/view?usp=drivesdk</v>
      </c>
      <c r="C1462" s="159" t="str">
        <f>IFERROR(__xludf.DUMMYFUNCTION("""COMPUTED_VALUE"""),"10.1177--1474704916678217..pdf")</f>
        <v>10.1177--1474704916678217..pdf</v>
      </c>
      <c r="D1462" s="159" t="str">
        <f>IFERROR(__xludf.DUMMYFUNCTION("""COMPUTED_VALUE"""),"application/pdf")</f>
        <v>application/pdf</v>
      </c>
    </row>
    <row r="1463">
      <c r="A1463" s="159" t="str">
        <f>IFERROR(__xludf.DUMMYFUNCTION("""COMPUTED_VALUE"""),"10.21203/rs.3.rs-3136501/v1")</f>
        <v>10.21203/rs.3.rs-3136501/v1</v>
      </c>
      <c r="B1463" s="680" t="str">
        <f>IFERROR(__xludf.DUMMYFUNCTION("""COMPUTED_VALUE"""),"https://drive.google.com/file/d/1sAjkDhpCHb3BXcACv1kU8MHq-ItQvoJ3/view?usp=drivesdk")</f>
        <v>https://drive.google.com/file/d/1sAjkDhpCHb3BXcACv1kU8MHq-ItQvoJ3/view?usp=drivesdk</v>
      </c>
      <c r="C1463" s="159" t="str">
        <f>IFERROR(__xludf.DUMMYFUNCTION("""COMPUTED_VALUE"""),"10.21203--rs.3.rs-3136501--v1.pdf")</f>
        <v>10.21203--rs.3.rs-3136501--v1.pdf</v>
      </c>
      <c r="D1463" s="159" t="str">
        <f>IFERROR(__xludf.DUMMYFUNCTION("""COMPUTED_VALUE"""),"application/pdf")</f>
        <v>application/pdf</v>
      </c>
    </row>
    <row r="1464">
      <c r="A1464" s="159" t="str">
        <f>IFERROR(__xludf.DUMMYFUNCTION("""COMPUTED_VALUE"""),"10.1016/j.neuroimage.2012.04.024")</f>
        <v>10.1016/j.neuroimage.2012.04.024</v>
      </c>
      <c r="B1464" s="680" t="str">
        <f>IFERROR(__xludf.DUMMYFUNCTION("""COMPUTED_VALUE"""),"https://drive.google.com/file/d/1yhIngauefSEKl73_p7xAergh0ApQKu_P/view?usp=drivesdk")</f>
        <v>https://drive.google.com/file/d/1yhIngauefSEKl73_p7xAergh0ApQKu_P/view?usp=drivesdk</v>
      </c>
      <c r="C1464" s="159" t="str">
        <f>IFERROR(__xludf.DUMMYFUNCTION("""COMPUTED_VALUE"""),"10.1016--j.neuroimage.2012.04.024.pdf")</f>
        <v>10.1016--j.neuroimage.2012.04.024.pdf</v>
      </c>
      <c r="D1464" s="159" t="str">
        <f>IFERROR(__xludf.DUMMYFUNCTION("""COMPUTED_VALUE"""),"application/pdf")</f>
        <v>application/pdf</v>
      </c>
    </row>
    <row r="1465">
      <c r="A1465" s="159" t="str">
        <f>IFERROR(__xludf.DUMMYFUNCTION("""COMPUTED_VALUE"""),"10.1098/rsos.230447")</f>
        <v>10.1098/rsos.230447</v>
      </c>
      <c r="B1465" s="680" t="str">
        <f>IFERROR(__xludf.DUMMYFUNCTION("""COMPUTED_VALUE"""),"https://drive.google.com/file/d/1Zs7RaoW7B0k_7gqWV_THzhYMxPihBvFg/view?usp=drivesdk")</f>
        <v>https://drive.google.com/file/d/1Zs7RaoW7B0k_7gqWV_THzhYMxPihBvFg/view?usp=drivesdk</v>
      </c>
      <c r="C1465" s="159" t="str">
        <f>IFERROR(__xludf.DUMMYFUNCTION("""COMPUTED_VALUE"""),"10.1098--rsos.230447.pdf")</f>
        <v>10.1098--rsos.230447.pdf</v>
      </c>
      <c r="D1465" s="159" t="str">
        <f>IFERROR(__xludf.DUMMYFUNCTION("""COMPUTED_VALUE"""),"application/pdf")</f>
        <v>application/pdf</v>
      </c>
    </row>
    <row r="1466">
      <c r="A1466" s="159" t="str">
        <f>IFERROR(__xludf.DUMMYFUNCTION("""COMPUTED_VALUE"""),"10.1093/scan/nsae054")</f>
        <v>10.1093/scan/nsae054</v>
      </c>
      <c r="B1466" s="680" t="str">
        <f>IFERROR(__xludf.DUMMYFUNCTION("""COMPUTED_VALUE"""),"https://drive.google.com/file/d/1iKkC-jZ2W_bEnOs7KtsQibqPEML7w-Cy/view?usp=drivesdk")</f>
        <v>https://drive.google.com/file/d/1iKkC-jZ2W_bEnOs7KtsQibqPEML7w-Cy/view?usp=drivesdk</v>
      </c>
      <c r="C1466" s="159" t="str">
        <f>IFERROR(__xludf.DUMMYFUNCTION("""COMPUTED_VALUE"""),"10.1093--scan--nsae054.pdf")</f>
        <v>10.1093--scan--nsae054.pdf</v>
      </c>
      <c r="D1466" s="159" t="str">
        <f>IFERROR(__xludf.DUMMYFUNCTION("""COMPUTED_VALUE"""),"application/pdf")</f>
        <v>application/pdf</v>
      </c>
    </row>
    <row r="1467">
      <c r="A1467" s="159" t="str">
        <f>IFERROR(__xludf.DUMMYFUNCTION("""COMPUTED_VALUE"""),"10.2196/cardio.8301")</f>
        <v>10.2196/cardio.8301</v>
      </c>
      <c r="B1467" s="680" t="str">
        <f>IFERROR(__xludf.DUMMYFUNCTION("""COMPUTED_VALUE"""),"https://drive.google.com/file/d/16ccVSTaeQPPqQrA-zYek-rcbKck3H0BF/view?usp=drivesdk")</f>
        <v>https://drive.google.com/file/d/16ccVSTaeQPPqQrA-zYek-rcbKck3H0BF/view?usp=drivesdk</v>
      </c>
      <c r="C1467" s="159" t="str">
        <f>IFERROR(__xludf.DUMMYFUNCTION("""COMPUTED_VALUE"""),"10.2196--cardio.8301.pdf")</f>
        <v>10.2196--cardio.8301.pdf</v>
      </c>
      <c r="D1467" s="159" t="str">
        <f>IFERROR(__xludf.DUMMYFUNCTION("""COMPUTED_VALUE"""),"application/pdf")</f>
        <v>application/pdf</v>
      </c>
    </row>
    <row r="1468">
      <c r="A1468" s="159" t="str">
        <f>IFERROR(__xludf.DUMMYFUNCTION("""COMPUTED_VALUE"""),"10.2196/12122")</f>
        <v>10.2196/12122</v>
      </c>
      <c r="B1468" s="680" t="str">
        <f>IFERROR(__xludf.DUMMYFUNCTION("""COMPUTED_VALUE"""),"https://drive.google.com/file/d/1CT7UMmOhKw6gVwYN6XhwmdPQcPAWSYp3/view?usp=drivesdk")</f>
        <v>https://drive.google.com/file/d/1CT7UMmOhKw6gVwYN6XhwmdPQcPAWSYp3/view?usp=drivesdk</v>
      </c>
      <c r="C1468" s="159" t="str">
        <f>IFERROR(__xludf.DUMMYFUNCTION("""COMPUTED_VALUE"""),"10.2196--12122.pdf")</f>
        <v>10.2196--12122.pdf</v>
      </c>
      <c r="D1468" s="159" t="str">
        <f>IFERROR(__xludf.DUMMYFUNCTION("""COMPUTED_VALUE"""),"application/pdf")</f>
        <v>application/pdf</v>
      </c>
    </row>
    <row r="1469">
      <c r="A1469" s="159" t="str">
        <f>IFERROR(__xludf.DUMMYFUNCTION("""COMPUTED_VALUE"""),"10.5964/ejop.v12i3.1160")</f>
        <v>10.5964/ejop.v12i3.1160</v>
      </c>
      <c r="B1469" s="680" t="str">
        <f>IFERROR(__xludf.DUMMYFUNCTION("""COMPUTED_VALUE"""),"https://drive.google.com/file/d/1B4cQ6yQJFzSTTEHV87JLjqxhrQfVniB0/view?usp=drivesdk")</f>
        <v>https://drive.google.com/file/d/1B4cQ6yQJFzSTTEHV87JLjqxhrQfVniB0/view?usp=drivesdk</v>
      </c>
      <c r="C1469" s="159" t="str">
        <f>IFERROR(__xludf.DUMMYFUNCTION("""COMPUTED_VALUE"""),"10.5964--ejop.v12i3.1160.pdf")</f>
        <v>10.5964--ejop.v12i3.1160.pdf</v>
      </c>
      <c r="D1469" s="159" t="str">
        <f>IFERROR(__xludf.DUMMYFUNCTION("""COMPUTED_VALUE"""),"application/pdf")</f>
        <v>application/pdf</v>
      </c>
    </row>
    <row r="1470">
      <c r="A1470" s="159" t="str">
        <f>IFERROR(__xludf.DUMMYFUNCTION("""COMPUTED_VALUE"""),"10.1038/358749a0")</f>
        <v>10.1038/358749a0</v>
      </c>
      <c r="B1470" s="680" t="str">
        <f>IFERROR(__xludf.DUMMYFUNCTION("""COMPUTED_VALUE"""),"https://drive.google.com/file/d/1k4Mw7yZRNlIOk3AktnNVBniMD_Ppf_ce/view?usp=drivesdk")</f>
        <v>https://drive.google.com/file/d/1k4Mw7yZRNlIOk3AktnNVBniMD_Ppf_ce/view?usp=drivesdk</v>
      </c>
      <c r="C1470" s="159" t="str">
        <f>IFERROR(__xludf.DUMMYFUNCTION("""COMPUTED_VALUE"""),"10.1038--358749a0.pdf")</f>
        <v>10.1038--358749a0.pdf</v>
      </c>
      <c r="D1470" s="159" t="str">
        <f>IFERROR(__xludf.DUMMYFUNCTION("""COMPUTED_VALUE"""),"application/pdf")</f>
        <v>application/pdf</v>
      </c>
    </row>
    <row r="1471">
      <c r="A1471" s="159" t="str">
        <f>IFERROR(__xludf.DUMMYFUNCTION("""COMPUTED_VALUE"""),"10.1037/0012-1649.42.4.666")</f>
        <v>10.1037/0012-1649.42.4.666</v>
      </c>
      <c r="B1471" s="680" t="str">
        <f>IFERROR(__xludf.DUMMYFUNCTION("""COMPUTED_VALUE"""),"https://drive.google.com/file/d/1NB8SEOcrW-fS2BNAMsaZGN0LtaNhCCFx/view?usp=drivesdk")</f>
        <v>https://drive.google.com/file/d/1NB8SEOcrW-fS2BNAMsaZGN0LtaNhCCFx/view?usp=drivesdk</v>
      </c>
      <c r="C1471" s="159" t="str">
        <f>IFERROR(__xludf.DUMMYFUNCTION("""COMPUTED_VALUE"""),"10.1037--0012-1649.42.4.666.pdf")</f>
        <v>10.1037--0012-1649.42.4.666.pdf</v>
      </c>
      <c r="D1471" s="159" t="str">
        <f>IFERROR(__xludf.DUMMYFUNCTION("""COMPUTED_VALUE"""),"application/pdf")</f>
        <v>application/pdf</v>
      </c>
    </row>
    <row r="1472">
      <c r="A1472" s="159" t="str">
        <f>IFERROR(__xludf.DUMMYFUNCTION("""COMPUTED_VALUE"""),"bollinger_1994")</f>
        <v>bollinger_1994</v>
      </c>
      <c r="B1472" s="680" t="str">
        <f>IFERROR(__xludf.DUMMYFUNCTION("""COMPUTED_VALUE"""),"https://drive.google.com/file/d/1y1clH06IEou9voxiR9wEEPTzz-xfRC_Z/view?usp=drivesdk")</f>
        <v>https://drive.google.com/file/d/1y1clH06IEou9voxiR9wEEPTzz-xfRC_Z/view?usp=drivesdk</v>
      </c>
      <c r="C1472" s="159" t="str">
        <f>IFERROR(__xludf.DUMMYFUNCTION("""COMPUTED_VALUE"""),"bollinger_1994.pdf")</f>
        <v>bollinger_1994.pdf</v>
      </c>
      <c r="D1472" s="159" t="str">
        <f>IFERROR(__xludf.DUMMYFUNCTION("""COMPUTED_VALUE"""),"application/pdf")</f>
        <v>application/pdf</v>
      </c>
    </row>
    <row r="1473">
      <c r="A1473" s="159" t="str">
        <f>IFERROR(__xludf.DUMMYFUNCTION("""COMPUTED_VALUE"""),"10.1007/s00221-023-06644-3")</f>
        <v>10.1007/s00221-023-06644-3</v>
      </c>
      <c r="B1473" s="680" t="str">
        <f>IFERROR(__xludf.DUMMYFUNCTION("""COMPUTED_VALUE"""),"https://drive.google.com/file/d/1FXLFT6SJ9aw3QI_USojxQDvz_YOkzfG9/view?usp=drivesdk")</f>
        <v>https://drive.google.com/file/d/1FXLFT6SJ9aw3QI_USojxQDvz_YOkzfG9/view?usp=drivesdk</v>
      </c>
      <c r="C1473" s="159" t="str">
        <f>IFERROR(__xludf.DUMMYFUNCTION("""COMPUTED_VALUE"""),"10.1007--s00221-023-06644-3.pdf")</f>
        <v>10.1007--s00221-023-06644-3.pdf</v>
      </c>
      <c r="D1473" s="159" t="str">
        <f>IFERROR(__xludf.DUMMYFUNCTION("""COMPUTED_VALUE"""),"application/pdf")</f>
        <v>application/pdf</v>
      </c>
      <c r="H1473" s="2539"/>
    </row>
    <row r="1474">
      <c r="A1474" s="159" t="str">
        <f>IFERROR(__xludf.DUMMYFUNCTION("""COMPUTED_VALUE"""),"10.31234/osf.io/bvqma")</f>
        <v>10.31234/osf.io/bvqma</v>
      </c>
      <c r="B1474" s="680" t="str">
        <f>IFERROR(__xludf.DUMMYFUNCTION("""COMPUTED_VALUE"""),"https://drive.google.com/file/d/16DVt8Y5GxXdggRvwtpyp_jimvdwf4XxL/view?usp=drivesdk")</f>
        <v>https://drive.google.com/file/d/16DVt8Y5GxXdggRvwtpyp_jimvdwf4XxL/view?usp=drivesdk</v>
      </c>
      <c r="C1474" s="159" t="str">
        <f>IFERROR(__xludf.DUMMYFUNCTION("""COMPUTED_VALUE"""),"10.31234--osf.io--bvqma.pdf")</f>
        <v>10.31234--osf.io--bvqma.pdf</v>
      </c>
      <c r="D1474" s="159" t="str">
        <f>IFERROR(__xludf.DUMMYFUNCTION("""COMPUTED_VALUE"""),"application/pdf")</f>
        <v>application/pdf</v>
      </c>
    </row>
    <row r="1475">
      <c r="A1475" s="159" t="str">
        <f>IFERROR(__xludf.DUMMYFUNCTION("""COMPUTED_VALUE"""),"10.1093/schbul/sbz019.346")</f>
        <v>10.1093/schbul/sbz019.346</v>
      </c>
      <c r="B1475" s="680" t="str">
        <f>IFERROR(__xludf.DUMMYFUNCTION("""COMPUTED_VALUE"""),"https://drive.google.com/file/d/1tvai3n1EOGKH_K0iyRzl5y4TKqtAjF9e/view?usp=drivesdk")</f>
        <v>https://drive.google.com/file/d/1tvai3n1EOGKH_K0iyRzl5y4TKqtAjF9e/view?usp=drivesdk</v>
      </c>
      <c r="C1475" s="159" t="str">
        <f>IFERROR(__xludf.DUMMYFUNCTION("""COMPUTED_VALUE"""),"10.1093--schbul--sbz019.346.pdf")</f>
        <v>10.1093--schbul--sbz019.346.pdf</v>
      </c>
      <c r="D1475" s="159" t="str">
        <f>IFERROR(__xludf.DUMMYFUNCTION("""COMPUTED_VALUE"""),"application/pdf")</f>
        <v>application/pdf</v>
      </c>
    </row>
    <row r="1476">
      <c r="A1476" s="159" t="str">
        <f>IFERROR(__xludf.DUMMYFUNCTION("""COMPUTED_VALUE"""),"10.1068/p5484")</f>
        <v>10.1068/p5484</v>
      </c>
      <c r="B1476" s="680" t="str">
        <f>IFERROR(__xludf.DUMMYFUNCTION("""COMPUTED_VALUE"""),"https://drive.google.com/file/d/1yW0ZszGrPKRFuLx0-9iwjn42FP-08DtF/view?usp=drivesdk")</f>
        <v>https://drive.google.com/file/d/1yW0ZszGrPKRFuLx0-9iwjn42FP-08DtF/view?usp=drivesdk</v>
      </c>
      <c r="C1476" s="159" t="str">
        <f>IFERROR(__xludf.DUMMYFUNCTION("""COMPUTED_VALUE"""),"10.1068--p5484.pdf")</f>
        <v>10.1068--p5484.pdf</v>
      </c>
      <c r="D1476" s="159" t="str">
        <f>IFERROR(__xludf.DUMMYFUNCTION("""COMPUTED_VALUE"""),"application/pdf")</f>
        <v>application/pdf</v>
      </c>
    </row>
    <row r="1477">
      <c r="A1477" s="159" t="str">
        <f>IFERROR(__xludf.DUMMYFUNCTION("""COMPUTED_VALUE"""),"10.1172/jci200317491")</f>
        <v>10.1172/jci200317491</v>
      </c>
      <c r="B1477" s="680" t="str">
        <f>IFERROR(__xludf.DUMMYFUNCTION("""COMPUTED_VALUE"""),"https://drive.google.com/file/d/1jPGVtz84rIUK_7ToCPnFIOYXNK7RCyc4/view?usp=drivesdk")</f>
        <v>https://drive.google.com/file/d/1jPGVtz84rIUK_7ToCPnFIOYXNK7RCyc4/view?usp=drivesdk</v>
      </c>
      <c r="C1477" s="159" t="str">
        <f>IFERROR(__xludf.DUMMYFUNCTION("""COMPUTED_VALUE"""),"10.1172--jci200317491.pdf")</f>
        <v>10.1172--jci200317491.pdf</v>
      </c>
      <c r="D1477" s="159" t="str">
        <f>IFERROR(__xludf.DUMMYFUNCTION("""COMPUTED_VALUE"""),"application/pdf")</f>
        <v>application/pdf</v>
      </c>
    </row>
    <row r="1478">
      <c r="A1478" s="159" t="str">
        <f>IFERROR(__xludf.DUMMYFUNCTION("""COMPUTED_VALUE"""),"10.1177/003151259407800321")</f>
        <v>10.1177/003151259407800321</v>
      </c>
      <c r="B1478" s="680" t="str">
        <f>IFERROR(__xludf.DUMMYFUNCTION("""COMPUTED_VALUE"""),"https://drive.google.com/file/d/1Y3HKCtakqT83piJTpjdATW96pYoS4_Hc/view?usp=drivesdk")</f>
        <v>https://drive.google.com/file/d/1Y3HKCtakqT83piJTpjdATW96pYoS4_Hc/view?usp=drivesdk</v>
      </c>
      <c r="C1478" s="159" t="str">
        <f>IFERROR(__xludf.DUMMYFUNCTION("""COMPUTED_VALUE"""),"10.1177--003151259407800321.pdf")</f>
        <v>10.1177--003151259407800321.pdf</v>
      </c>
      <c r="D1478" s="159" t="str">
        <f>IFERROR(__xludf.DUMMYFUNCTION("""COMPUTED_VALUE"""),"application/pdf")</f>
        <v>application/pdf</v>
      </c>
    </row>
    <row r="1479">
      <c r="A1479" s="159" t="str">
        <f>IFERROR(__xludf.DUMMYFUNCTION("""COMPUTED_VALUE"""),"10.1007/s10389-023-01905-5")</f>
        <v>10.1007/s10389-023-01905-5</v>
      </c>
      <c r="B1479" s="680" t="str">
        <f>IFERROR(__xludf.DUMMYFUNCTION("""COMPUTED_VALUE"""),"https://drive.google.com/file/d/14Q3iNW3UaaSIH4rDe6uxO8qOw5GqbCuG/view?usp=drivesdk")</f>
        <v>https://drive.google.com/file/d/14Q3iNW3UaaSIH4rDe6uxO8qOw5GqbCuG/view?usp=drivesdk</v>
      </c>
      <c r="C1479" s="159" t="str">
        <f>IFERROR(__xludf.DUMMYFUNCTION("""COMPUTED_VALUE"""),"10.1007--s10389-023-01905-5.pdf")</f>
        <v>10.1007--s10389-023-01905-5.pdf</v>
      </c>
      <c r="D1479" s="159" t="str">
        <f>IFERROR(__xludf.DUMMYFUNCTION("""COMPUTED_VALUE"""),"application/pdf")</f>
        <v>application/pdf</v>
      </c>
    </row>
    <row r="1480">
      <c r="A1480" s="159" t="str">
        <f>IFERROR(__xludf.DUMMYFUNCTION("""COMPUTED_VALUE"""),"10.1037/0096-3445.126.3.278")</f>
        <v>10.1037/0096-3445.126.3.278</v>
      </c>
      <c r="B1480" s="680" t="str">
        <f>IFERROR(__xludf.DUMMYFUNCTION("""COMPUTED_VALUE"""),"https://drive.google.com/file/d/1d7arudtV6IA6iBGNc5b_f_0k8-S4iohv/view?usp=drivesdk")</f>
        <v>https://drive.google.com/file/d/1d7arudtV6IA6iBGNc5b_f_0k8-S4iohv/view?usp=drivesdk</v>
      </c>
      <c r="C1480" s="159" t="str">
        <f>IFERROR(__xludf.DUMMYFUNCTION("""COMPUTED_VALUE"""),"10.1037--0096-3445.126.3.278.pdf")</f>
        <v>10.1037--0096-3445.126.3.278.pdf</v>
      </c>
      <c r="D1480" s="159" t="str">
        <f>IFERROR(__xludf.DUMMYFUNCTION("""COMPUTED_VALUE"""),"application/pdf")</f>
        <v>application/pdf</v>
      </c>
    </row>
    <row r="1481">
      <c r="A1481" s="159" t="str">
        <f>IFERROR(__xludf.DUMMYFUNCTION("""COMPUTED_VALUE"""),"10.17918/00008271")</f>
        <v>10.17918/00008271</v>
      </c>
      <c r="B1481" s="680" t="str">
        <f>IFERROR(__xludf.DUMMYFUNCTION("""COMPUTED_VALUE"""),"https://drive.google.com/file/d/1zEEzJorm4NMOaAzqz9h9s5GOlIb1YVQo/view?usp=drivesdk")</f>
        <v>https://drive.google.com/file/d/1zEEzJorm4NMOaAzqz9h9s5GOlIb1YVQo/view?usp=drivesdk</v>
      </c>
      <c r="C1481" s="159" t="str">
        <f>IFERROR(__xludf.DUMMYFUNCTION("""COMPUTED_VALUE"""),"10.17918--00008271.pdf")</f>
        <v>10.17918--00008271.pdf</v>
      </c>
      <c r="D1481" s="159" t="str">
        <f>IFERROR(__xludf.DUMMYFUNCTION("""COMPUTED_VALUE"""),"application/pdf")</f>
        <v>application/pdf</v>
      </c>
    </row>
    <row r="1482">
      <c r="A1482" s="159" t="str">
        <f>IFERROR(__xludf.DUMMYFUNCTION("""COMPUTED_VALUE"""),"gaissmaier_2005")</f>
        <v>gaissmaier_2005</v>
      </c>
      <c r="B1482" s="680" t="str">
        <f>IFERROR(__xludf.DUMMYFUNCTION("""COMPUTED_VALUE"""),"https://drive.google.com/file/d/1imAx6dmQtWiS5VnDT7LM1Pv-7Fmv4q0t/view?usp=drivesdk")</f>
        <v>https://drive.google.com/file/d/1imAx6dmQtWiS5VnDT7LM1Pv-7Fmv4q0t/view?usp=drivesdk</v>
      </c>
      <c r="C1482" s="159" t="str">
        <f>IFERROR(__xludf.DUMMYFUNCTION("""COMPUTED_VALUE"""),"gaissmaier_2005.pdf")</f>
        <v>gaissmaier_2005.pdf</v>
      </c>
      <c r="D1482" s="159" t="str">
        <f>IFERROR(__xludf.DUMMYFUNCTION("""COMPUTED_VALUE"""),"application/pdf")</f>
        <v>application/pdf</v>
      </c>
    </row>
    <row r="1483">
      <c r="A1483" s="159" t="str">
        <f>IFERROR(__xludf.DUMMYFUNCTION("""COMPUTED_VALUE"""),"10.1016/j.paid.2017.04.024")</f>
        <v>10.1016/j.paid.2017.04.024</v>
      </c>
      <c r="B1483" s="680" t="str">
        <f>IFERROR(__xludf.DUMMYFUNCTION("""COMPUTED_VALUE"""),"https://drive.google.com/file/d/1byz7AyfteF1u_a68HEvom3Mwh6rXoXi0/view?usp=drivesdk")</f>
        <v>https://drive.google.com/file/d/1byz7AyfteF1u_a68HEvom3Mwh6rXoXi0/view?usp=drivesdk</v>
      </c>
      <c r="C1483" s="159" t="str">
        <f>IFERROR(__xludf.DUMMYFUNCTION("""COMPUTED_VALUE"""),"10.1016--j.paid.2017.04.024.pdf")</f>
        <v>10.1016--j.paid.2017.04.024.pdf</v>
      </c>
      <c r="D1483" s="159" t="str">
        <f>IFERROR(__xludf.DUMMYFUNCTION("""COMPUTED_VALUE"""),"application/pdf")</f>
        <v>application/pdf</v>
      </c>
    </row>
    <row r="1484">
      <c r="A1484" s="159" t="str">
        <f>IFERROR(__xludf.DUMMYFUNCTION("""COMPUTED_VALUE"""),"10.31234/osf.io/zwbpu")</f>
        <v>10.31234/osf.io/zwbpu</v>
      </c>
      <c r="B1484" s="680" t="str">
        <f>IFERROR(__xludf.DUMMYFUNCTION("""COMPUTED_VALUE"""),"https://drive.google.com/file/d/1cB5xfmf3D3sljVZf__EYR64QA5_6sxKl/view?usp=drivesdk")</f>
        <v>https://drive.google.com/file/d/1cB5xfmf3D3sljVZf__EYR64QA5_6sxKl/view?usp=drivesdk</v>
      </c>
      <c r="C1484" s="159" t="str">
        <f>IFERROR(__xludf.DUMMYFUNCTION("""COMPUTED_VALUE"""),"10.31234--osf.io--zwbpu.pdf")</f>
        <v>10.31234--osf.io--zwbpu.pdf</v>
      </c>
      <c r="D1484" s="159" t="str">
        <f>IFERROR(__xludf.DUMMYFUNCTION("""COMPUTED_VALUE"""),"application/pdf")</f>
        <v>application/pdf</v>
      </c>
    </row>
    <row r="1485">
      <c r="A1485" s="159" t="str">
        <f>IFERROR(__xludf.DUMMYFUNCTION("""COMPUTED_VALUE"""),"coletta_2007")</f>
        <v>coletta_2007</v>
      </c>
      <c r="B1485" s="680" t="str">
        <f>IFERROR(__xludf.DUMMYFUNCTION("""COMPUTED_VALUE"""),"https://drive.google.com/file/d/1IPiiPzd-m44_afOzCS7QvMES8_oBEhvq/view?usp=drivesdk")</f>
        <v>https://drive.google.com/file/d/1IPiiPzd-m44_afOzCS7QvMES8_oBEhvq/view?usp=drivesdk</v>
      </c>
      <c r="C1485" s="159" t="str">
        <f>IFERROR(__xludf.DUMMYFUNCTION("""COMPUTED_VALUE"""),"coletta_2007.pdf")</f>
        <v>coletta_2007.pdf</v>
      </c>
      <c r="D1485" s="159" t="str">
        <f>IFERROR(__xludf.DUMMYFUNCTION("""COMPUTED_VALUE"""),"application/pdf")</f>
        <v>application/pdf</v>
      </c>
    </row>
    <row r="1486">
      <c r="A1486" s="159" t="str">
        <f>IFERROR(__xludf.DUMMYFUNCTION("""COMPUTED_VALUE"""),"10.1002/acp.70012")</f>
        <v>10.1002/acp.70012</v>
      </c>
      <c r="B1486" s="680" t="str">
        <f>IFERROR(__xludf.DUMMYFUNCTION("""COMPUTED_VALUE"""),"https://drive.google.com/file/d/1-mh2DYKKpcAoRtp_P-ryesrulkz7jlbu/view?usp=drivesdk")</f>
        <v>https://drive.google.com/file/d/1-mh2DYKKpcAoRtp_P-ryesrulkz7jlbu/view?usp=drivesdk</v>
      </c>
      <c r="C1486" s="159" t="str">
        <f>IFERROR(__xludf.DUMMYFUNCTION("""COMPUTED_VALUE"""),"10.1002--acp.70012.pdf")</f>
        <v>10.1002--acp.70012.pdf</v>
      </c>
      <c r="D1486" s="159" t="str">
        <f>IFERROR(__xludf.DUMMYFUNCTION("""COMPUTED_VALUE"""),"application/pdf")</f>
        <v>application/pdf</v>
      </c>
    </row>
    <row r="1487">
      <c r="A1487" s="159" t="str">
        <f>IFERROR(__xludf.DUMMYFUNCTION("""COMPUTED_VALUE"""),"10.1108/07363761111181509")</f>
        <v>10.1108/07363761111181509</v>
      </c>
      <c r="B1487" s="680" t="str">
        <f>IFERROR(__xludf.DUMMYFUNCTION("""COMPUTED_VALUE"""),"https://drive.google.com/file/d/1ymOhc8W3MaYfXbeHuX_6UGKrtqUQmHlD/view?usp=drivesdk")</f>
        <v>https://drive.google.com/file/d/1ymOhc8W3MaYfXbeHuX_6UGKrtqUQmHlD/view?usp=drivesdk</v>
      </c>
      <c r="C1487" s="159" t="str">
        <f>IFERROR(__xludf.DUMMYFUNCTION("""COMPUTED_VALUE"""),"10.1108--07363761111181509.pdf")</f>
        <v>10.1108--07363761111181509.pdf</v>
      </c>
      <c r="D1487" s="159" t="str">
        <f>IFERROR(__xludf.DUMMYFUNCTION("""COMPUTED_VALUE"""),"application/pdf")</f>
        <v>application/pdf</v>
      </c>
    </row>
    <row r="1488">
      <c r="A1488" s="159" t="str">
        <f>IFERROR(__xludf.DUMMYFUNCTION("""COMPUTED_VALUE"""),"osf.ions26x")</f>
        <v>osf.ions26x</v>
      </c>
      <c r="B1488" s="680" t="str">
        <f>IFERROR(__xludf.DUMMYFUNCTION("""COMPUTED_VALUE"""),"https://drive.google.com/file/d/1-9Fcmt4OS-LDChgj2l27HGaNzy4UZ_SN/view?usp=drivesdk")</f>
        <v>https://drive.google.com/file/d/1-9Fcmt4OS-LDChgj2l27HGaNzy4UZ_SN/view?usp=drivesdk</v>
      </c>
      <c r="C1488" s="159" t="str">
        <f>IFERROR(__xludf.DUMMYFUNCTION("""COMPUTED_VALUE"""),"osf.ions26x.pdf")</f>
        <v>osf.ions26x.pdf</v>
      </c>
      <c r="D1488" s="159" t="str">
        <f>IFERROR(__xludf.DUMMYFUNCTION("""COMPUTED_VALUE"""),"application/pdf")</f>
        <v>application/pdf</v>
      </c>
    </row>
    <row r="1489">
      <c r="A1489" s="159" t="str">
        <f>IFERROR(__xludf.DUMMYFUNCTION("""COMPUTED_VALUE"""),"10.1207/s15327795jra0303_2")</f>
        <v>10.1207/s15327795jra0303_2</v>
      </c>
      <c r="B1489" s="680" t="str">
        <f>IFERROR(__xludf.DUMMYFUNCTION("""COMPUTED_VALUE"""),"https://drive.google.com/file/d/1Jok6c7VCZtMN99P6fMSmmpu_xIq7tlFM/view?usp=drivesdk")</f>
        <v>https://drive.google.com/file/d/1Jok6c7VCZtMN99P6fMSmmpu_xIq7tlFM/view?usp=drivesdk</v>
      </c>
      <c r="C1489" s="159" t="str">
        <f>IFERROR(__xludf.DUMMYFUNCTION("""COMPUTED_VALUE"""),"10.1207--s15327795jra0303_2.pdf")</f>
        <v>10.1207--s15327795jra0303_2.pdf</v>
      </c>
      <c r="D1489" s="159" t="str">
        <f>IFERROR(__xludf.DUMMYFUNCTION("""COMPUTED_VALUE"""),"application/pdf")</f>
        <v>application/pdf</v>
      </c>
    </row>
    <row r="1490">
      <c r="A1490" s="159" t="str">
        <f>IFERROR(__xludf.DUMMYFUNCTION("""COMPUTED_VALUE"""),"10.1093/oxfordjournals.jpart.a037145")</f>
        <v>10.1093/oxfordjournals.jpart.a037145</v>
      </c>
      <c r="B1490" s="680" t="str">
        <f>IFERROR(__xludf.DUMMYFUNCTION("""COMPUTED_VALUE"""),"https://drive.google.com/file/d/1fKBpFNzmzvS091UTRO9kCoAM5okQyhs0/view?usp=drivesdk")</f>
        <v>https://drive.google.com/file/d/1fKBpFNzmzvS091UTRO9kCoAM5okQyhs0/view?usp=drivesdk</v>
      </c>
      <c r="C1490" s="159" t="str">
        <f>IFERROR(__xludf.DUMMYFUNCTION("""COMPUTED_VALUE"""),"10.1093--oxfordjournals.jpart.a037145.pdf")</f>
        <v>10.1093--oxfordjournals.jpart.a037145.pdf</v>
      </c>
      <c r="D1490" s="159" t="str">
        <f>IFERROR(__xludf.DUMMYFUNCTION("""COMPUTED_VALUE"""),"application/pdf")</f>
        <v>application/pdf</v>
      </c>
    </row>
    <row r="1491">
      <c r="A1491" s="159" t="str">
        <f>IFERROR(__xludf.DUMMYFUNCTION("""COMPUTED_VALUE"""),"10.1037/h0033973")</f>
        <v>10.1037/h0033973</v>
      </c>
      <c r="B1491" s="680" t="str">
        <f>IFERROR(__xludf.DUMMYFUNCTION("""COMPUTED_VALUE"""),"https://drive.google.com/file/d/1hcj-x2XoWUnUV1obCIB65yNgQ3kylZiW/view?usp=drivesdk")</f>
        <v>https://drive.google.com/file/d/1hcj-x2XoWUnUV1obCIB65yNgQ3kylZiW/view?usp=drivesdk</v>
      </c>
      <c r="C1491" s="159" t="str">
        <f>IFERROR(__xludf.DUMMYFUNCTION("""COMPUTED_VALUE"""),"10.1037--h0033973.pdf")</f>
        <v>10.1037--h0033973.pdf</v>
      </c>
      <c r="D1491" s="159" t="str">
        <f>IFERROR(__xludf.DUMMYFUNCTION("""COMPUTED_VALUE"""),"application/pdf")</f>
        <v>application/pdf</v>
      </c>
    </row>
    <row r="1492">
      <c r="A1492" s="159" t="str">
        <f>IFERROR(__xludf.DUMMYFUNCTION("""COMPUTED_VALUE"""),"10.2466/pr0.1973.32.3c.1338")</f>
        <v>10.2466/pr0.1973.32.3c.1338</v>
      </c>
      <c r="B1492" s="680" t="str">
        <f>IFERROR(__xludf.DUMMYFUNCTION("""COMPUTED_VALUE"""),"https://drive.google.com/file/d/1O2CZV1333YM3N87LfUtFqqnihWJQmnIF/view?usp=drivesdk")</f>
        <v>https://drive.google.com/file/d/1O2CZV1333YM3N87LfUtFqqnihWJQmnIF/view?usp=drivesdk</v>
      </c>
      <c r="C1492" s="159" t="str">
        <f>IFERROR(__xludf.DUMMYFUNCTION("""COMPUTED_VALUE"""),"10.2466--pr0.1973.32.3c.1338.pdf")</f>
        <v>10.2466--pr0.1973.32.3c.1338.pdf</v>
      </c>
      <c r="D1492" s="159" t="str">
        <f>IFERROR(__xludf.DUMMYFUNCTION("""COMPUTED_VALUE"""),"application/pdf")</f>
        <v>application/pdf</v>
      </c>
    </row>
    <row r="1493">
      <c r="A1493" s="159" t="str">
        <f>IFERROR(__xludf.DUMMYFUNCTION("""COMPUTED_VALUE"""),"10.1038/nature05616")</f>
        <v>10.1038/nature05616</v>
      </c>
      <c r="B1493" s="680" t="str">
        <f>IFERROR(__xludf.DUMMYFUNCTION("""COMPUTED_VALUE"""),"https://drive.google.com/file/d/1vyd20DgcGhqoD6cc-h0G2LzFi4lvuJMz/view?usp=drivesdk")</f>
        <v>https://drive.google.com/file/d/1vyd20DgcGhqoD6cc-h0G2LzFi4lvuJMz/view?usp=drivesdk</v>
      </c>
      <c r="C1493" s="159" t="str">
        <f>IFERROR(__xludf.DUMMYFUNCTION("""COMPUTED_VALUE"""),"10.1038--nature05616.pdf")</f>
        <v>10.1038--nature05616.pdf</v>
      </c>
      <c r="D1493" s="159" t="str">
        <f>IFERROR(__xludf.DUMMYFUNCTION("""COMPUTED_VALUE"""),"application/pdf")</f>
        <v>application/pdf</v>
      </c>
    </row>
    <row r="1494">
      <c r="A1494" s="159" t="str">
        <f>IFERROR(__xludf.DUMMYFUNCTION("""COMPUTED_VALUE"""),"10.2337/db10-0067")</f>
        <v>10.2337/db10-0067</v>
      </c>
      <c r="B1494" s="680" t="str">
        <f>IFERROR(__xludf.DUMMYFUNCTION("""COMPUTED_VALUE"""),"https://drive.google.com/file/d/13GwyX_AqHkr5pGpIGCX8AgfUHB7-jG-M/view?usp=drivesdk")</f>
        <v>https://drive.google.com/file/d/13GwyX_AqHkr5pGpIGCX8AgfUHB7-jG-M/view?usp=drivesdk</v>
      </c>
      <c r="C1494" s="159" t="str">
        <f>IFERROR(__xludf.DUMMYFUNCTION("""COMPUTED_VALUE"""),"10.2337--db10-0067.pdf")</f>
        <v>10.2337--db10-0067.pdf</v>
      </c>
      <c r="D1494" s="159" t="str">
        <f>IFERROR(__xludf.DUMMYFUNCTION("""COMPUTED_VALUE"""),"application/pdf")</f>
        <v>application/pdf</v>
      </c>
    </row>
    <row r="1495">
      <c r="A1495" s="159" t="str">
        <f>IFERROR(__xludf.DUMMYFUNCTION("""COMPUTED_VALUE"""),"10.1177/0956797611418350")</f>
        <v>10.1177/0956797611418350</v>
      </c>
      <c r="B1495" s="680" t="str">
        <f>IFERROR(__xludf.DUMMYFUNCTION("""COMPUTED_VALUE"""),"https://drive.google.com/file/d/1R_WL0AExjMKiypoB7mKpQqeDlLTVOzbM/view?usp=drivesdk")</f>
        <v>https://drive.google.com/file/d/1R_WL0AExjMKiypoB7mKpQqeDlLTVOzbM/view?usp=drivesdk</v>
      </c>
      <c r="C1495" s="159" t="str">
        <f>IFERROR(__xludf.DUMMYFUNCTION("""COMPUTED_VALUE"""),"10.1177--0956797611418350.pdf")</f>
        <v>10.1177--0956797611418350.pdf</v>
      </c>
      <c r="D1495" s="159" t="str">
        <f>IFERROR(__xludf.DUMMYFUNCTION("""COMPUTED_VALUE"""),"application/pdf")</f>
        <v>application/pdf</v>
      </c>
    </row>
    <row r="1496">
      <c r="A1496" s="159" t="str">
        <f>IFERROR(__xludf.DUMMYFUNCTION("""COMPUTED_VALUE"""),"10.31234/osf.io/abvr9")</f>
        <v>10.31234/osf.io/abvr9</v>
      </c>
      <c r="B1496" s="680" t="str">
        <f>IFERROR(__xludf.DUMMYFUNCTION("""COMPUTED_VALUE"""),"https://drive.google.com/file/d/1a0KZN3faHzg9F-zfanMvaOOqzIUfYSps/view?usp=drivesdk")</f>
        <v>https://drive.google.com/file/d/1a0KZN3faHzg9F-zfanMvaOOqzIUfYSps/view?usp=drivesdk</v>
      </c>
      <c r="C1496" s="159" t="str">
        <f>IFERROR(__xludf.DUMMYFUNCTION("""COMPUTED_VALUE"""),"10.31234--osf.io--abvr9.pdf")</f>
        <v>10.31234--osf.io--abvr9.pdf</v>
      </c>
      <c r="D1496" s="159" t="str">
        <f>IFERROR(__xludf.DUMMYFUNCTION("""COMPUTED_VALUE"""),"application/pdf")</f>
        <v>application/pdf</v>
      </c>
    </row>
    <row r="1497">
      <c r="A1497" s="159" t="str">
        <f>IFERROR(__xludf.DUMMYFUNCTION("""COMPUTED_VALUE"""),"10.1016/s0010-0277(99)00081-5")</f>
        <v>10.1016/s0010-0277(99)00081-5</v>
      </c>
      <c r="B1497" s="680" t="str">
        <f>IFERROR(__xludf.DUMMYFUNCTION("""COMPUTED_VALUE"""),"https://drive.google.com/file/d/1s0Gca9Qvx7ijKzxmbQcSgzYCW4yidQrc/view?usp=drivesdk")</f>
        <v>https://drive.google.com/file/d/1s0Gca9Qvx7ijKzxmbQcSgzYCW4yidQrc/view?usp=drivesdk</v>
      </c>
      <c r="C1497" s="159" t="str">
        <f>IFERROR(__xludf.DUMMYFUNCTION("""COMPUTED_VALUE"""),"10.1016--s0010-0277(99)00081-5.pdf")</f>
        <v>10.1016--s0010-0277(99)00081-5.pdf</v>
      </c>
      <c r="D1497" s="159" t="str">
        <f>IFERROR(__xludf.DUMMYFUNCTION("""COMPUTED_VALUE"""),"application/pdf")</f>
        <v>application/pdf</v>
      </c>
    </row>
    <row r="1498">
      <c r="A1498" s="159" t="str">
        <f>IFERROR(__xludf.DUMMYFUNCTION("""COMPUTED_VALUE"""),"nilsenova_2010")</f>
        <v>nilsenova_2010</v>
      </c>
      <c r="B1498" s="680" t="str">
        <f>IFERROR(__xludf.DUMMYFUNCTION("""COMPUTED_VALUE"""),"https://drive.google.com/file/d/1WQwMc7WBq3XYp2r6wGttPcunx25B42e4/view?usp=drivesdk")</f>
        <v>https://drive.google.com/file/d/1WQwMc7WBq3XYp2r6wGttPcunx25B42e4/view?usp=drivesdk</v>
      </c>
      <c r="C1498" s="159" t="str">
        <f>IFERROR(__xludf.DUMMYFUNCTION("""COMPUTED_VALUE"""),"nilsenova_2010.pdf")</f>
        <v>nilsenova_2010.pdf</v>
      </c>
      <c r="D1498" s="159" t="str">
        <f>IFERROR(__xludf.DUMMYFUNCTION("""COMPUTED_VALUE"""),"application/pdf")</f>
        <v>application/pdf</v>
      </c>
    </row>
    <row r="1499">
      <c r="A1499" s="159" t="str">
        <f>IFERROR(__xludf.DUMMYFUNCTION("""COMPUTED_VALUE"""),"10.1177/001872677703000503")</f>
        <v>10.1177/001872677703000503</v>
      </c>
      <c r="B1499" s="680" t="str">
        <f>IFERROR(__xludf.DUMMYFUNCTION("""COMPUTED_VALUE"""),"https://drive.google.com/file/d/1vGibcuDl4SNlCVY66zeSA19ohCEYy9kK/view?usp=drivesdk")</f>
        <v>https://drive.google.com/file/d/1vGibcuDl4SNlCVY66zeSA19ohCEYy9kK/view?usp=drivesdk</v>
      </c>
      <c r="C1499" s="159" t="str">
        <f>IFERROR(__xludf.DUMMYFUNCTION("""COMPUTED_VALUE"""),"10.1177--001872677703000503.pdf")</f>
        <v>10.1177--001872677703000503.pdf</v>
      </c>
      <c r="D1499" s="159" t="str">
        <f>IFERROR(__xludf.DUMMYFUNCTION("""COMPUTED_VALUE"""),"application/pdf")</f>
        <v>application/pdf</v>
      </c>
    </row>
    <row r="1500">
      <c r="A1500" s="159" t="str">
        <f>IFERROR(__xludf.DUMMYFUNCTION("""COMPUTED_VALUE"""),"armstrong_2005")</f>
        <v>armstrong_2005</v>
      </c>
      <c r="B1500" s="680" t="str">
        <f>IFERROR(__xludf.DUMMYFUNCTION("""COMPUTED_VALUE"""),"https://drive.google.com/file/d/1BC-A-X_Dj4qTKMb-Rv02mFYzq5i21bEC/view?usp=drivesdk")</f>
        <v>https://drive.google.com/file/d/1BC-A-X_Dj4qTKMb-Rv02mFYzq5i21bEC/view?usp=drivesdk</v>
      </c>
      <c r="C1500" s="159" t="str">
        <f>IFERROR(__xludf.DUMMYFUNCTION("""COMPUTED_VALUE"""),"armstrong_2005.pdf")</f>
        <v>armstrong_2005.pdf</v>
      </c>
      <c r="D1500" s="159" t="str">
        <f>IFERROR(__xludf.DUMMYFUNCTION("""COMPUTED_VALUE"""),"application/pdf")</f>
        <v>application/pdf</v>
      </c>
    </row>
    <row r="1501">
      <c r="A1501" s="159" t="str">
        <f>IFERROR(__xludf.DUMMYFUNCTION("""COMPUTED_VALUE"""),"10.1037/0096-1523.15.4.673")</f>
        <v>10.1037/0096-1523.15.4.673</v>
      </c>
      <c r="B1501" s="680" t="str">
        <f>IFERROR(__xludf.DUMMYFUNCTION("""COMPUTED_VALUE"""),"https://drive.google.com/file/d/1ch_-inlYyV8qkExj_s9xuSTF3o4bZ-_k/view?usp=drivesdk")</f>
        <v>https://drive.google.com/file/d/1ch_-inlYyV8qkExj_s9xuSTF3o4bZ-_k/view?usp=drivesdk</v>
      </c>
      <c r="C1501" s="159" t="str">
        <f>IFERROR(__xludf.DUMMYFUNCTION("""COMPUTED_VALUE"""),"10.1037--0096-1523.15.4.673.pdf")</f>
        <v>10.1037--0096-1523.15.4.673.pdf</v>
      </c>
      <c r="D1501" s="159" t="str">
        <f>IFERROR(__xludf.DUMMYFUNCTION("""COMPUTED_VALUE"""),"application/pdf")</f>
        <v>application/pdf</v>
      </c>
    </row>
    <row r="1502">
      <c r="A1502" s="159" t="str">
        <f>IFERROR(__xludf.DUMMYFUNCTION("""COMPUTED_VALUE"""),"10.1037/a0019951")</f>
        <v>10.1037/a0019951</v>
      </c>
      <c r="B1502" s="680" t="str">
        <f>IFERROR(__xludf.DUMMYFUNCTION("""COMPUTED_VALUE"""),"https://drive.google.com/file/d/1pn3UbyMIcAB5k7byyloKQcf2-culw8iu/view?usp=drivesdk")</f>
        <v>https://drive.google.com/file/d/1pn3UbyMIcAB5k7byyloKQcf2-culw8iu/view?usp=drivesdk</v>
      </c>
      <c r="C1502" s="159" t="str">
        <f>IFERROR(__xludf.DUMMYFUNCTION("""COMPUTED_VALUE"""),"10.1037--a0019951.pdf")</f>
        <v>10.1037--a0019951.pdf</v>
      </c>
      <c r="D1502" s="159" t="str">
        <f>IFERROR(__xludf.DUMMYFUNCTION("""COMPUTED_VALUE"""),"application/pdf")</f>
        <v>application/pdf</v>
      </c>
    </row>
    <row r="1503">
      <c r="A1503" s="159" t="str">
        <f>IFERROR(__xludf.DUMMYFUNCTION("""COMPUTED_VALUE"""),"10.1002/bem.2250070402")</f>
        <v>10.1002/bem.2250070402</v>
      </c>
      <c r="B1503" s="680" t="str">
        <f>IFERROR(__xludf.DUMMYFUNCTION("""COMPUTED_VALUE"""),"https://drive.google.com/file/d/1T_aCuxqIsWfrq6BUxxMV69tTtmduc0u1/view?usp=drivesdk")</f>
        <v>https://drive.google.com/file/d/1T_aCuxqIsWfrq6BUxxMV69tTtmduc0u1/view?usp=drivesdk</v>
      </c>
      <c r="C1503" s="159" t="str">
        <f>IFERROR(__xludf.DUMMYFUNCTION("""COMPUTED_VALUE"""),"10.1002--bem.2250070402.pdf")</f>
        <v>10.1002--bem.2250070402.pdf</v>
      </c>
      <c r="D1503" s="159" t="str">
        <f>IFERROR(__xludf.DUMMYFUNCTION("""COMPUTED_VALUE"""),"application/pdf")</f>
        <v>application/pdf</v>
      </c>
    </row>
    <row r="1504">
      <c r="A1504" s="159" t="str">
        <f>IFERROR(__xludf.DUMMYFUNCTION("""COMPUTED_VALUE"""),"stern_1996")</f>
        <v>stern_1996</v>
      </c>
      <c r="B1504" s="680" t="str">
        <f>IFERROR(__xludf.DUMMYFUNCTION("""COMPUTED_VALUE"""),"https://drive.google.com/file/d/12uQ6_WgmEPiyYX3TMGDt7C9BzPvwbJ5C/view?usp=drivesdk")</f>
        <v>https://drive.google.com/file/d/12uQ6_WgmEPiyYX3TMGDt7C9BzPvwbJ5C/view?usp=drivesdk</v>
      </c>
      <c r="C1504" s="159" t="str">
        <f>IFERROR(__xludf.DUMMYFUNCTION("""COMPUTED_VALUE"""),"Stern_1996.pdf")</f>
        <v>Stern_1996.pdf</v>
      </c>
      <c r="D1504" s="159" t="str">
        <f>IFERROR(__xludf.DUMMYFUNCTION("""COMPUTED_VALUE"""),"application/pdf")</f>
        <v>application/pdf</v>
      </c>
    </row>
    <row r="1505">
      <c r="A1505" s="159" t="str">
        <f>IFERROR(__xludf.DUMMYFUNCTION("""COMPUTED_VALUE"""),"10.1037//0022-006x.55.1.3")</f>
        <v>10.1037//0022-006x.55.1.3</v>
      </c>
      <c r="B1505" s="680" t="str">
        <f>IFERROR(__xludf.DUMMYFUNCTION("""COMPUTED_VALUE"""),"https://drive.google.com/file/d/1lwLXNWTUAH-QYdJcqD66ciRQ-w3_fMd4/view?usp=drivesdk")</f>
        <v>https://drive.google.com/file/d/1lwLXNWTUAH-QYdJcqD66ciRQ-w3_fMd4/view?usp=drivesdk</v>
      </c>
      <c r="C1505" s="159" t="str">
        <f>IFERROR(__xludf.DUMMYFUNCTION("""COMPUTED_VALUE"""),"10.1037----0022-006x.55.1.3.pdf")</f>
        <v>10.1037----0022-006x.55.1.3.pdf</v>
      </c>
      <c r="D1505" s="159" t="str">
        <f>IFERROR(__xludf.DUMMYFUNCTION("""COMPUTED_VALUE"""),"application/pdf")</f>
        <v>application/pdf</v>
      </c>
    </row>
    <row r="1506">
      <c r="A1506" s="159" t="str">
        <f>IFERROR(__xludf.DUMMYFUNCTION("""COMPUTED_VALUE"""),"10.1097/00004703-200604002-00013")</f>
        <v>10.1097/00004703-200604002-00013</v>
      </c>
      <c r="B1506" s="680" t="str">
        <f>IFERROR(__xludf.DUMMYFUNCTION("""COMPUTED_VALUE"""),"https://drive.google.com/file/d/1lnXuJn8swk68UJVUN3KV08Xy3-G0mGc8/view?usp=drivesdk")</f>
        <v>https://drive.google.com/file/d/1lnXuJn8swk68UJVUN3KV08Xy3-G0mGc8/view?usp=drivesdk</v>
      </c>
      <c r="C1506" s="159" t="str">
        <f>IFERROR(__xludf.DUMMYFUNCTION("""COMPUTED_VALUE"""),"10.1097--00004703-200604002-00013.pdf")</f>
        <v>10.1097--00004703-200604002-00013.pdf</v>
      </c>
      <c r="D1506" s="159" t="str">
        <f>IFERROR(__xludf.DUMMYFUNCTION("""COMPUTED_VALUE"""),"application/pdf")</f>
        <v>application/pdf</v>
      </c>
    </row>
    <row r="1507">
      <c r="A1507" s="159" t="str">
        <f>IFERROR(__xludf.DUMMYFUNCTION("""COMPUTED_VALUE"""),"10.1177/1525740113518342")</f>
        <v>10.1177/1525740113518342</v>
      </c>
      <c r="B1507" s="680" t="str">
        <f>IFERROR(__xludf.DUMMYFUNCTION("""COMPUTED_VALUE"""),"https://drive.google.com/file/d/1BY4RzaOsItn5ZWxN-vc7Zjy--T2GR2Nf/view?usp=drivesdk")</f>
        <v>https://drive.google.com/file/d/1BY4RzaOsItn5ZWxN-vc7Zjy--T2GR2Nf/view?usp=drivesdk</v>
      </c>
      <c r="C1507" s="159" t="str">
        <f>IFERROR(__xludf.DUMMYFUNCTION("""COMPUTED_VALUE"""),"10.1177--1525740113518342.pdf")</f>
        <v>10.1177--1525740113518342.pdf</v>
      </c>
      <c r="D1507" s="159" t="str">
        <f>IFERROR(__xludf.DUMMYFUNCTION("""COMPUTED_VALUE"""),"application/pdf")</f>
        <v>application/pdf</v>
      </c>
    </row>
    <row r="1508">
      <c r="A1508" s="159" t="str">
        <f>IFERROR(__xludf.DUMMYFUNCTION("""COMPUTED_VALUE"""),"10.7202/002884ar")</f>
        <v>10.7202/002884ar</v>
      </c>
      <c r="B1508" s="680" t="str">
        <f>IFERROR(__xludf.DUMMYFUNCTION("""COMPUTED_VALUE"""),"https://drive.google.com/file/d/1HOI_egpn44HA2sgfmv698tGFQhjwJS_7/view?usp=drivesdk")</f>
        <v>https://drive.google.com/file/d/1HOI_egpn44HA2sgfmv698tGFQhjwJS_7/view?usp=drivesdk</v>
      </c>
      <c r="C1508" s="159" t="str">
        <f>IFERROR(__xludf.DUMMYFUNCTION("""COMPUTED_VALUE"""),"10.7202--002884ar.pdf")</f>
        <v>10.7202--002884ar.pdf</v>
      </c>
      <c r="D1508" s="159" t="str">
        <f>IFERROR(__xludf.DUMMYFUNCTION("""COMPUTED_VALUE"""),"application/pdf")</f>
        <v>application/pdf</v>
      </c>
    </row>
    <row r="1509">
      <c r="A1509" s="159" t="str">
        <f>IFERROR(__xludf.DUMMYFUNCTION("""COMPUTED_VALUE"""),"salaets_2009")</f>
        <v>salaets_2009</v>
      </c>
      <c r="B1509" s="680" t="str">
        <f>IFERROR(__xludf.DUMMYFUNCTION("""COMPUTED_VALUE"""),"https://drive.google.com/file/d/1HpZ6JyWpnnIhnQjSRBMxyxGlBPe_mb_f/view?usp=drivesdk")</f>
        <v>https://drive.google.com/file/d/1HpZ6JyWpnnIhnQjSRBMxyxGlBPe_mb_f/view?usp=drivesdk</v>
      </c>
      <c r="C1509" s="159" t="str">
        <f>IFERROR(__xludf.DUMMYFUNCTION("""COMPUTED_VALUE"""),"salaets_2009.pdf")</f>
        <v>salaets_2009.pdf</v>
      </c>
      <c r="D1509" s="159" t="str">
        <f>IFERROR(__xludf.DUMMYFUNCTION("""COMPUTED_VALUE"""),"application/pdf")</f>
        <v>application/pdf</v>
      </c>
    </row>
    <row r="1510">
      <c r="A1510" s="339" t="str">
        <f>IFERROR(__xludf.DUMMYFUNCTION("""COMPUTED_VALUE"""),"10.1177/074873048700200101")</f>
        <v>10.1177/074873048700200101</v>
      </c>
      <c r="B1510" s="445" t="str">
        <f>IFERROR(__xludf.DUMMYFUNCTION("""COMPUTED_VALUE"""),"https://drive.google.com/file/d/1aYkSUCZu-Fv9FMbWWLVvWlRm1TkYjpep/view?usp=drivesdk")</f>
        <v>https://drive.google.com/file/d/1aYkSUCZu-Fv9FMbWWLVvWlRm1TkYjpep/view?usp=drivesdk</v>
      </c>
      <c r="C1510" s="339" t="str">
        <f>IFERROR(__xludf.DUMMYFUNCTION("""COMPUTED_VALUE"""),"10.1177--074873048700200101.pdf")</f>
        <v>10.1177--074873048700200101.pdf</v>
      </c>
      <c r="D1510" s="159" t="str">
        <f>IFERROR(__xludf.DUMMYFUNCTION("""COMPUTED_VALUE"""),"application/pdf")</f>
        <v>application/pdf</v>
      </c>
    </row>
    <row r="1511">
      <c r="A1511" s="339" t="str">
        <f>IFERROR(__xludf.DUMMYFUNCTION("""COMPUTED_VALUE"""),"10.1001/archophthalmol.2012.827")</f>
        <v>10.1001/archophthalmol.2012.827</v>
      </c>
      <c r="B1511" s="445" t="str">
        <f>IFERROR(__xludf.DUMMYFUNCTION("""COMPUTED_VALUE"""),"https://drive.google.com/file/d/1v5JUQLEDmWy4BdiCGTg1cMx4-nEilCjE/view?usp=drivesdk")</f>
        <v>https://drive.google.com/file/d/1v5JUQLEDmWy4BdiCGTg1cMx4-nEilCjE/view?usp=drivesdk</v>
      </c>
      <c r="C1511" s="339" t="str">
        <f>IFERROR(__xludf.DUMMYFUNCTION("""COMPUTED_VALUE"""),"10.1001--archophthalmol.2012.827.pdf")</f>
        <v>10.1001--archophthalmol.2012.827.pdf</v>
      </c>
      <c r="D1511" s="159" t="str">
        <f>IFERROR(__xludf.DUMMYFUNCTION("""COMPUTED_VALUE"""),"application/pdf")</f>
        <v>application/pdf</v>
      </c>
    </row>
    <row r="1512">
      <c r="A1512" s="339" t="str">
        <f>IFERROR(__xludf.DUMMYFUNCTION("""COMPUTED_VALUE"""),"brin_2018")</f>
        <v>brin_2018</v>
      </c>
      <c r="B1512" s="445" t="str">
        <f>IFERROR(__xludf.DUMMYFUNCTION("""COMPUTED_VALUE"""),"https://drive.google.com/file/d/1Ftq3K9ryKeeo3poWka8yOXvqE2XTCKB_/view?usp=drivesdk")</f>
        <v>https://drive.google.com/file/d/1Ftq3K9ryKeeo3poWka8yOXvqE2XTCKB_/view?usp=drivesdk</v>
      </c>
      <c r="C1512" s="339" t="str">
        <f>IFERROR(__xludf.DUMMYFUNCTION("""COMPUTED_VALUE"""),"brin_2018.pdf")</f>
        <v>brin_2018.pdf</v>
      </c>
      <c r="D1512" s="159" t="str">
        <f>IFERROR(__xludf.DUMMYFUNCTION("""COMPUTED_VALUE"""),"application/pdf")</f>
        <v>application/pdf</v>
      </c>
    </row>
    <row r="1513">
      <c r="A1513" s="339" t="str">
        <f>IFERROR(__xludf.DUMMYFUNCTION("""COMPUTED_VALUE"""),"10.1523/jneurosci.1770-13.2013")</f>
        <v>10.1523/jneurosci.1770-13.2013</v>
      </c>
      <c r="B1513" s="445" t="str">
        <f>IFERROR(__xludf.DUMMYFUNCTION("""COMPUTED_VALUE"""),"https://drive.google.com/file/d/1DzpPz0VTbBR6ciyjMeI7eqZ0yS3hk5bu/view?usp=drivesdk")</f>
        <v>https://drive.google.com/file/d/1DzpPz0VTbBR6ciyjMeI7eqZ0yS3hk5bu/view?usp=drivesdk</v>
      </c>
      <c r="C1513" s="339" t="str">
        <f>IFERROR(__xludf.DUMMYFUNCTION("""COMPUTED_VALUE"""),"10.1523--jneurosci.1770-13.2013.pdf")</f>
        <v>10.1523--jneurosci.1770-13.2013.pdf</v>
      </c>
      <c r="D1513" s="159" t="str">
        <f>IFERROR(__xludf.DUMMYFUNCTION("""COMPUTED_VALUE"""),"application/pdf")</f>
        <v>application/pdf</v>
      </c>
    </row>
    <row r="1514">
      <c r="A1514" s="339" t="str">
        <f>IFERROR(__xludf.DUMMYFUNCTION("""COMPUTED_VALUE"""),"10.3389/fnins.2017.00594")</f>
        <v>10.3389/fnins.2017.00594</v>
      </c>
      <c r="B1514" s="445" t="str">
        <f>IFERROR(__xludf.DUMMYFUNCTION("""COMPUTED_VALUE"""),"https://drive.google.com/file/d/1_WInKYRHCFua0SJw_otCPeSD2KEBum9p/view?usp=drivesdk")</f>
        <v>https://drive.google.com/file/d/1_WInKYRHCFua0SJw_otCPeSD2KEBum9p/view?usp=drivesdk</v>
      </c>
      <c r="C1514" s="339" t="str">
        <f>IFERROR(__xludf.DUMMYFUNCTION("""COMPUTED_VALUE"""),"10.3389--fnins.2017.00594.pdf")</f>
        <v>10.3389--fnins.2017.00594.pdf</v>
      </c>
      <c r="D1514" s="159" t="str">
        <f>IFERROR(__xludf.DUMMYFUNCTION("""COMPUTED_VALUE"""),"application/pdf")</f>
        <v>application/pdf</v>
      </c>
    </row>
    <row r="1515">
      <c r="A1515" s="339" t="str">
        <f>IFERROR(__xludf.DUMMYFUNCTION("""COMPUTED_VALUE"""),"10.1002/ajp.1350080306")</f>
        <v>10.1002/ajp.1350080306</v>
      </c>
      <c r="B1515" s="445" t="str">
        <f>IFERROR(__xludf.DUMMYFUNCTION("""COMPUTED_VALUE"""),"https://drive.google.com/file/d/1hcOdaZqhnPhIbm6y2zTf_4JpMlceNmBd/view?usp=drivesdk")</f>
        <v>https://drive.google.com/file/d/1hcOdaZqhnPhIbm6y2zTf_4JpMlceNmBd/view?usp=drivesdk</v>
      </c>
      <c r="C1515" s="339" t="str">
        <f>IFERROR(__xludf.DUMMYFUNCTION("""COMPUTED_VALUE"""),"10.1002--ajp.1350080306.pdf")</f>
        <v>10.1002--ajp.1350080306.pdf</v>
      </c>
      <c r="D1515" s="159" t="str">
        <f>IFERROR(__xludf.DUMMYFUNCTION("""COMPUTED_VALUE"""),"application/pdf")</f>
        <v>application/pdf</v>
      </c>
    </row>
    <row r="1516">
      <c r="A1516" s="339" t="str">
        <f>IFERROR(__xludf.DUMMYFUNCTION("""COMPUTED_VALUE"""),"10.1163/18759866-07001003")</f>
        <v>10.1163/18759866-07001003</v>
      </c>
      <c r="B1516" s="445" t="str">
        <f>IFERROR(__xludf.DUMMYFUNCTION("""COMPUTED_VALUE"""),"https://drive.google.com/file/d/1zB-JAzOaSbXc8xv_rWJjiogI9Aqa60CC/view?usp=drivesdk")</f>
        <v>https://drive.google.com/file/d/1zB-JAzOaSbXc8xv_rWJjiogI9Aqa60CC/view?usp=drivesdk</v>
      </c>
      <c r="C1516" s="339" t="str">
        <f>IFERROR(__xludf.DUMMYFUNCTION("""COMPUTED_VALUE"""),"10.1163--18759866-07001003.pdf")</f>
        <v>10.1163--18759866-07001003.pdf</v>
      </c>
      <c r="D1516" s="159" t="str">
        <f>IFERROR(__xludf.DUMMYFUNCTION("""COMPUTED_VALUE"""),"application/pdf")</f>
        <v>application/pdf</v>
      </c>
    </row>
    <row r="1517">
      <c r="A1517" s="339" t="str">
        <f>IFERROR(__xludf.DUMMYFUNCTION("""COMPUTED_VALUE"""),"10.1371/journal.pone.0109035")</f>
        <v>10.1371/journal.pone.0109035</v>
      </c>
      <c r="B1517" s="445" t="str">
        <f>IFERROR(__xludf.DUMMYFUNCTION("""COMPUTED_VALUE"""),"https://drive.google.com/file/d/1u1Lunf38THaLvC3OTlx1zJcTXblCNVYp/view?usp=drivesdk")</f>
        <v>https://drive.google.com/file/d/1u1Lunf38THaLvC3OTlx1zJcTXblCNVYp/view?usp=drivesdk</v>
      </c>
      <c r="C1517" s="339" t="str">
        <f>IFERROR(__xludf.DUMMYFUNCTION("""COMPUTED_VALUE"""),"10.1371--journal.pone.0109035.pdf")</f>
        <v>10.1371--journal.pone.0109035.pdf</v>
      </c>
      <c r="D1517" s="159" t="str">
        <f>IFERROR(__xludf.DUMMYFUNCTION("""COMPUTED_VALUE"""),"application/pdf")</f>
        <v>application/pdf</v>
      </c>
    </row>
    <row r="1518">
      <c r="A1518" s="339" t="str">
        <f>IFERROR(__xludf.DUMMYFUNCTION("""COMPUTED_VALUE"""),"10.1212/wnl.0000000000004382")</f>
        <v>10.1212/wnl.0000000000004382</v>
      </c>
      <c r="B1518" s="445" t="str">
        <f>IFERROR(__xludf.DUMMYFUNCTION("""COMPUTED_VALUE"""),"https://drive.google.com/file/d/1vJcSl8FvTRpCyphX747o_pJ8vHdzIDvP/view?usp=drivesdk")</f>
        <v>https://drive.google.com/file/d/1vJcSl8FvTRpCyphX747o_pJ8vHdzIDvP/view?usp=drivesdk</v>
      </c>
      <c r="C1518" s="339" t="str">
        <f>IFERROR(__xludf.DUMMYFUNCTION("""COMPUTED_VALUE"""),"10.1212--wnl.0000000000004382.pdf")</f>
        <v>10.1212--wnl.0000000000004382.pdf</v>
      </c>
      <c r="D1518" s="159" t="str">
        <f>IFERROR(__xludf.DUMMYFUNCTION("""COMPUTED_VALUE"""),"application/pdf")</f>
        <v>application/pdf</v>
      </c>
    </row>
    <row r="1519">
      <c r="A1519" s="339" t="str">
        <f>IFERROR(__xludf.DUMMYFUNCTION("""COMPUTED_VALUE"""),"10.1212/wnl.0000000000005533")</f>
        <v>10.1212/wnl.0000000000005533</v>
      </c>
      <c r="B1519" s="445" t="str">
        <f>IFERROR(__xludf.DUMMYFUNCTION("""COMPUTED_VALUE"""),"https://drive.google.com/file/d/10gGt0-aSqjq4jYX1nu6vmRkvCpUmbXwz/view?usp=drivesdk")</f>
        <v>https://drive.google.com/file/d/10gGt0-aSqjq4jYX1nu6vmRkvCpUmbXwz/view?usp=drivesdk</v>
      </c>
      <c r="C1519" s="339" t="str">
        <f>IFERROR(__xludf.DUMMYFUNCTION("""COMPUTED_VALUE"""),"10.1212--wnl.0000000000005533.pdf")</f>
        <v>10.1212--wnl.0000000000005533.pdf</v>
      </c>
      <c r="D1519" s="159" t="str">
        <f>IFERROR(__xludf.DUMMYFUNCTION("""COMPUTED_VALUE"""),"application/pdf")</f>
        <v>application/pdf</v>
      </c>
    </row>
    <row r="1520">
      <c r="A1520" s="339" t="str">
        <f>IFERROR(__xludf.DUMMYFUNCTION("""COMPUTED_VALUE"""),"10.1093/geronj/42.1.86")</f>
        <v>10.1093/geronj/42.1.86</v>
      </c>
      <c r="B1520" s="445" t="str">
        <f>IFERROR(__xludf.DUMMYFUNCTION("""COMPUTED_VALUE"""),"https://drive.google.com/file/d/1iXYQpBRSEHRY-r3zNDfO5tYBmsg2f4E2/view?usp=drivesdk")</f>
        <v>https://drive.google.com/file/d/1iXYQpBRSEHRY-r3zNDfO5tYBmsg2f4E2/view?usp=drivesdk</v>
      </c>
      <c r="C1520" s="339" t="str">
        <f>IFERROR(__xludf.DUMMYFUNCTION("""COMPUTED_VALUE"""),"10.1093--geronj--42.1.86.pdf")</f>
        <v>10.1093--geronj--42.1.86.pdf</v>
      </c>
      <c r="D1520" s="159" t="str">
        <f>IFERROR(__xludf.DUMMYFUNCTION("""COMPUTED_VALUE"""),"application/pdf")</f>
        <v>application/pdf</v>
      </c>
    </row>
    <row r="1521">
      <c r="A1521" s="339" t="str">
        <f>IFERROR(__xludf.DUMMYFUNCTION("""COMPUTED_VALUE"""),"10.1080/10410236.2017.1283563")</f>
        <v>10.1080/10410236.2017.1283563</v>
      </c>
      <c r="B1521" s="445" t="str">
        <f>IFERROR(__xludf.DUMMYFUNCTION("""COMPUTED_VALUE"""),"https://drive.google.com/file/d/1oBLT6yfoROZ3xtUrP9tAg8S02Aam9WQa/view?usp=drivesdk")</f>
        <v>https://drive.google.com/file/d/1oBLT6yfoROZ3xtUrP9tAg8S02Aam9WQa/view?usp=drivesdk</v>
      </c>
      <c r="C1521" s="339" t="str">
        <f>IFERROR(__xludf.DUMMYFUNCTION("""COMPUTED_VALUE"""),"10.1080--10410236.2017.1283563.pdf")</f>
        <v>10.1080--10410236.2017.1283563.pdf</v>
      </c>
      <c r="D1521" s="159" t="str">
        <f>IFERROR(__xludf.DUMMYFUNCTION("""COMPUTED_VALUE"""),"application/pdf")</f>
        <v>application/pdf</v>
      </c>
    </row>
    <row r="1522">
      <c r="A1522" s="339" t="str">
        <f>IFERROR(__xludf.DUMMYFUNCTION("""COMPUTED_VALUE"""),"10.1038/s41386-021-00998-4")</f>
        <v>10.1038/s41386-021-00998-4</v>
      </c>
      <c r="B1522" s="445" t="str">
        <f>IFERROR(__xludf.DUMMYFUNCTION("""COMPUTED_VALUE"""),"https://drive.google.com/file/d/1bIwtlq8mBoQuM6xpr7xegbYJrV9gU1Xp/view?usp=drivesdk")</f>
        <v>https://drive.google.com/file/d/1bIwtlq8mBoQuM6xpr7xegbYJrV9gU1Xp/view?usp=drivesdk</v>
      </c>
      <c r="C1522" s="339" t="str">
        <f>IFERROR(__xludf.DUMMYFUNCTION("""COMPUTED_VALUE"""),"10.1038--s41386-021-00998-4.pdf")</f>
        <v>10.1038--s41386-021-00998-4.pdf</v>
      </c>
      <c r="D1522" s="159" t="str">
        <f>IFERROR(__xludf.DUMMYFUNCTION("""COMPUTED_VALUE"""),"application/pdf")</f>
        <v>application/pdf</v>
      </c>
    </row>
    <row r="1523">
      <c r="A1523" s="339" t="str">
        <f>IFERROR(__xludf.DUMMYFUNCTION("""COMPUTED_VALUE"""),"10.1093/ijnp/pyae050")</f>
        <v>10.1093/ijnp/pyae050</v>
      </c>
      <c r="B1523" s="445" t="str">
        <f>IFERROR(__xludf.DUMMYFUNCTION("""COMPUTED_VALUE"""),"https://drive.google.com/file/d/1Y4hFjfpXFMzsnkTcryqZ2EUSudhD7zLZ/view?usp=drivesdk")</f>
        <v>https://drive.google.com/file/d/1Y4hFjfpXFMzsnkTcryqZ2EUSudhD7zLZ/view?usp=drivesdk</v>
      </c>
      <c r="C1523" s="339" t="str">
        <f>IFERROR(__xludf.DUMMYFUNCTION("""COMPUTED_VALUE"""),"10.1093--ijnp--pyae050.pdf")</f>
        <v>10.1093--ijnp--pyae050.pdf</v>
      </c>
      <c r="D1523" s="159" t="str">
        <f>IFERROR(__xludf.DUMMYFUNCTION("""COMPUTED_VALUE"""),"application/pdf")</f>
        <v>application/pdf</v>
      </c>
    </row>
    <row r="1524">
      <c r="A1524" s="339" t="str">
        <f>IFERROR(__xludf.DUMMYFUNCTION("""COMPUTED_VALUE"""),"10.1111/j.1460-9568.2006.05130.x")</f>
        <v>10.1111/j.1460-9568.2006.05130.x</v>
      </c>
      <c r="B1524" s="445" t="str">
        <f>IFERROR(__xludf.DUMMYFUNCTION("""COMPUTED_VALUE"""),"https://drive.google.com/file/d/1rlhoetdj8sPMSkHl3ZjKyPKCBUb-_ZwS/view?usp=drivesdk")</f>
        <v>https://drive.google.com/file/d/1rlhoetdj8sPMSkHl3ZjKyPKCBUb-_ZwS/view?usp=drivesdk</v>
      </c>
      <c r="C1524" s="339" t="str">
        <f>IFERROR(__xludf.DUMMYFUNCTION("""COMPUTED_VALUE"""),"10.1111--j.1460-9568.2006.05130.x.pdf")</f>
        <v>10.1111--j.1460-9568.2006.05130.x.pdf</v>
      </c>
      <c r="D1524" s="159" t="str">
        <f>IFERROR(__xludf.DUMMYFUNCTION("""COMPUTED_VALUE"""),"application/pdf")</f>
        <v>application/pdf</v>
      </c>
    </row>
    <row r="1525">
      <c r="A1525" s="339" t="str">
        <f>IFERROR(__xludf.DUMMYFUNCTION("""COMPUTED_VALUE"""),"10.1046/j.1360-0443.1998.93710439.x")</f>
        <v>10.1046/j.1360-0443.1998.93710439.x</v>
      </c>
      <c r="B1525" s="445" t="str">
        <f>IFERROR(__xludf.DUMMYFUNCTION("""COMPUTED_VALUE"""),"https://drive.google.com/file/d/1LLJqJSc4g9NLRQRocuZFA38o3pb6mK4w/view?usp=drivesdk")</f>
        <v>https://drive.google.com/file/d/1LLJqJSc4g9NLRQRocuZFA38o3pb6mK4w/view?usp=drivesdk</v>
      </c>
      <c r="C1525" s="339" t="str">
        <f>IFERROR(__xludf.DUMMYFUNCTION("""COMPUTED_VALUE"""),"10.1046--j.1360-0443.1998.93710439.x.pdf")</f>
        <v>10.1046--j.1360-0443.1998.93710439.x.pdf</v>
      </c>
      <c r="D1525" s="159" t="str">
        <f>IFERROR(__xludf.DUMMYFUNCTION("""COMPUTED_VALUE"""),"application/pdf")</f>
        <v>application/pdf</v>
      </c>
    </row>
    <row r="1526">
      <c r="A1526" s="339" t="str">
        <f>IFERROR(__xludf.DUMMYFUNCTION("""COMPUTED_VALUE"""),"10.1080/13501760701314417")</f>
        <v>10.1080/13501760701314417</v>
      </c>
      <c r="B1526" s="445" t="str">
        <f>IFERROR(__xludf.DUMMYFUNCTION("""COMPUTED_VALUE"""),"https://drive.google.com/file/d/1t3WxAixub032pJVF7rHWs_Z44vQ546Mx/view?usp=drivesdk")</f>
        <v>https://drive.google.com/file/d/1t3WxAixub032pJVF7rHWs_Z44vQ546Mx/view?usp=drivesdk</v>
      </c>
      <c r="C1526" s="339" t="str">
        <f>IFERROR(__xludf.DUMMYFUNCTION("""COMPUTED_VALUE"""),"10.1080--13501760701314417.pdf")</f>
        <v>10.1080--13501760701314417.pdf</v>
      </c>
      <c r="D1526" s="159" t="str">
        <f>IFERROR(__xludf.DUMMYFUNCTION("""COMPUTED_VALUE"""),"application/pdf")</f>
        <v>application/pdf</v>
      </c>
    </row>
    <row r="1527">
      <c r="A1527" s="339" t="str">
        <f>IFERROR(__xludf.DUMMYFUNCTION("""COMPUTED_VALUE"""),"10.1016/s0022-5371(84)90442-0")</f>
        <v>10.1016/s0022-5371(84)90442-0</v>
      </c>
      <c r="B1527" s="445" t="str">
        <f>IFERROR(__xludf.DUMMYFUNCTION("""COMPUTED_VALUE"""),"https://drive.google.com/file/d/11YG8AmJIcAGerqioI6ykXoclMzdx8P4U/view?usp=drivesdk")</f>
        <v>https://drive.google.com/file/d/11YG8AmJIcAGerqioI6ykXoclMzdx8P4U/view?usp=drivesdk</v>
      </c>
      <c r="C1527" s="339" t="str">
        <f>IFERROR(__xludf.DUMMYFUNCTION("""COMPUTED_VALUE"""),"10.1016--s0022-5371(84)90442-0.pdf")</f>
        <v>10.1016--s0022-5371(84)90442-0.pdf</v>
      </c>
      <c r="D1527" s="159" t="str">
        <f>IFERROR(__xludf.DUMMYFUNCTION("""COMPUTED_VALUE"""),"application/pdf")</f>
        <v>application/pdf</v>
      </c>
    </row>
    <row r="1528">
      <c r="A1528" s="339" t="str">
        <f>IFERROR(__xludf.DUMMYFUNCTION("""COMPUTED_VALUE"""),"10.1037/a0016748")</f>
        <v>10.1037/a0016748</v>
      </c>
      <c r="B1528" s="445" t="str">
        <f>IFERROR(__xludf.DUMMYFUNCTION("""COMPUTED_VALUE"""),"https://drive.google.com/file/d/1w0Ukt6Jz-vwjr4Mtzh-G9ShRuIn3gBML/view?usp=drivesdk")</f>
        <v>https://drive.google.com/file/d/1w0Ukt6Jz-vwjr4Mtzh-G9ShRuIn3gBML/view?usp=drivesdk</v>
      </c>
      <c r="C1528" s="339" t="str">
        <f>IFERROR(__xludf.DUMMYFUNCTION("""COMPUTED_VALUE"""),"10.1037--a0016748.pdf")</f>
        <v>10.1037--a0016748.pdf</v>
      </c>
      <c r="D1528" s="159" t="str">
        <f>IFERROR(__xludf.DUMMYFUNCTION("""COMPUTED_VALUE"""),"application/pdf")</f>
        <v>application/pdf</v>
      </c>
    </row>
    <row r="1529">
      <c r="A1529" s="339" t="str">
        <f>IFERROR(__xludf.DUMMYFUNCTION("""COMPUTED_VALUE"""),"10.21203/rs.3.rs-341457/v1")</f>
        <v>10.21203/rs.3.rs-341457/v1</v>
      </c>
      <c r="B1529" s="445" t="str">
        <f>IFERROR(__xludf.DUMMYFUNCTION("""COMPUTED_VALUE"""),"https://drive.google.com/file/d/1JNPw9ZAp9-DaK2z09F0Dsco7If3AAr0U/view?usp=drivesdk")</f>
        <v>https://drive.google.com/file/d/1JNPw9ZAp9-DaK2z09F0Dsco7If3AAr0U/view?usp=drivesdk</v>
      </c>
      <c r="C1529" s="339" t="str">
        <f>IFERROR(__xludf.DUMMYFUNCTION("""COMPUTED_VALUE"""),"10.21203--rs.3.rs-341457--v1.pdf")</f>
        <v>10.21203--rs.3.rs-341457--v1.pdf</v>
      </c>
      <c r="D1529" s="159" t="str">
        <f>IFERROR(__xludf.DUMMYFUNCTION("""COMPUTED_VALUE"""),"application/pdf")</f>
        <v>application/pdf</v>
      </c>
    </row>
    <row r="1530">
      <c r="A1530" s="339" t="str">
        <f>IFERROR(__xludf.DUMMYFUNCTION("""COMPUTED_VALUE"""),"harnish_1988")</f>
        <v>harnish_1988</v>
      </c>
      <c r="B1530" s="445" t="str">
        <f>IFERROR(__xludf.DUMMYFUNCTION("""COMPUTED_VALUE"""),"https://drive.google.com/file/d/1NeEyeAJ5u7ccp3SYCz4IfycEw7Ir67DB/view?usp=drivesdk")</f>
        <v>https://drive.google.com/file/d/1NeEyeAJ5u7ccp3SYCz4IfycEw7Ir67DB/view?usp=drivesdk</v>
      </c>
      <c r="C1530" s="339" t="str">
        <f>IFERROR(__xludf.DUMMYFUNCTION("""COMPUTED_VALUE"""),"harnish_1988.pdf")</f>
        <v>harnish_1988.pdf</v>
      </c>
      <c r="D1530" s="159" t="str">
        <f>IFERROR(__xludf.DUMMYFUNCTION("""COMPUTED_VALUE"""),"application/pdf")</f>
        <v>application/pdf</v>
      </c>
    </row>
    <row r="1531">
      <c r="A1531" s="339" t="str">
        <f>IFERROR(__xludf.DUMMYFUNCTION("""COMPUTED_VALUE"""),"10.31274/ans_air-180814-1055")</f>
        <v>10.31274/ans_air-180814-1055</v>
      </c>
      <c r="B1531" s="445" t="str">
        <f>IFERROR(__xludf.DUMMYFUNCTION("""COMPUTED_VALUE"""),"https://drive.google.com/file/d/1xADYefUAkI7XpKlC5V0i1nuEkVY4aW87/view?usp=drivesdk")</f>
        <v>https://drive.google.com/file/d/1xADYefUAkI7XpKlC5V0i1nuEkVY4aW87/view?usp=drivesdk</v>
      </c>
      <c r="C1531" s="339" t="str">
        <f>IFERROR(__xludf.DUMMYFUNCTION("""COMPUTED_VALUE"""),"10.31274--ans_air-180814-1055.pdf")</f>
        <v>10.31274--ans_air-180814-1055.pdf</v>
      </c>
      <c r="D1531" s="159" t="str">
        <f>IFERROR(__xludf.DUMMYFUNCTION("""COMPUTED_VALUE"""),"application/pdf")</f>
        <v>application/pdf</v>
      </c>
    </row>
    <row r="1532">
      <c r="A1532" s="339" t="str">
        <f>IFERROR(__xludf.DUMMYFUNCTION("""COMPUTED_VALUE"""),"10.31274/ans_air-180814-1217")</f>
        <v>10.31274/ans_air-180814-1217</v>
      </c>
      <c r="B1532" s="445" t="str">
        <f>IFERROR(__xludf.DUMMYFUNCTION("""COMPUTED_VALUE"""),"https://drive.google.com/file/d/1TdsTQ9pKfGi_mZLZzpTZMOXBOf7ok9Ej/view?usp=drivesdk")</f>
        <v>https://drive.google.com/file/d/1TdsTQ9pKfGi_mZLZzpTZMOXBOf7ok9Ej/view?usp=drivesdk</v>
      </c>
      <c r="C1532" s="339" t="str">
        <f>IFERROR(__xludf.DUMMYFUNCTION("""COMPUTED_VALUE"""),"10.31274--ans_air-180814-1217.pdf")</f>
        <v>10.31274--ans_air-180814-1217.pdf</v>
      </c>
      <c r="D1532" s="159" t="str">
        <f>IFERROR(__xludf.DUMMYFUNCTION("""COMPUTED_VALUE"""),"application/pdf")</f>
        <v>application/pdf</v>
      </c>
    </row>
    <row r="1533">
      <c r="A1533" s="339" t="str">
        <f>IFERROR(__xludf.DUMMYFUNCTION("""COMPUTED_VALUE"""),"10.1177/1073191103010002007")</f>
        <v>10.1177/1073191103010002007</v>
      </c>
      <c r="B1533" s="445" t="str">
        <f>IFERROR(__xludf.DUMMYFUNCTION("""COMPUTED_VALUE"""),"https://drive.google.com/file/d/1ZSTAWCIDWO7co9SVs7lJJVsY-pOksJXk/view?usp=drivesdk")</f>
        <v>https://drive.google.com/file/d/1ZSTAWCIDWO7co9SVs7lJJVsY-pOksJXk/view?usp=drivesdk</v>
      </c>
      <c r="C1533" s="339" t="str">
        <f>IFERROR(__xludf.DUMMYFUNCTION("""COMPUTED_VALUE"""),"10.1177--1073191103010002007.pdf")</f>
        <v>10.1177--1073191103010002007.pdf</v>
      </c>
      <c r="D1533" s="159" t="str">
        <f>IFERROR(__xludf.DUMMYFUNCTION("""COMPUTED_VALUE"""),"application/pdf")</f>
        <v>application/pdf</v>
      </c>
    </row>
    <row r="1534">
      <c r="A1534" s="339" t="str">
        <f>IFERROR(__xludf.DUMMYFUNCTION("""COMPUTED_VALUE"""),"10.1207/s15327752jpa8702_03")</f>
        <v>10.1207/s15327752jpa8702_03</v>
      </c>
      <c r="B1534" s="445" t="str">
        <f>IFERROR(__xludf.DUMMYFUNCTION("""COMPUTED_VALUE"""),"https://drive.google.com/file/d/1Rf8IlGencUyLrG0EADQrh4qiOhgDPDm0/view?usp=drivesdk")</f>
        <v>https://drive.google.com/file/d/1Rf8IlGencUyLrG0EADQrh4qiOhgDPDm0/view?usp=drivesdk</v>
      </c>
      <c r="C1534" s="339" t="str">
        <f>IFERROR(__xludf.DUMMYFUNCTION("""COMPUTED_VALUE"""),"10.1207--s15327752jpa8702_03.pdf")</f>
        <v>10.1207--s15327752jpa8702_03.pdf</v>
      </c>
      <c r="D1534" s="159" t="str">
        <f>IFERROR(__xludf.DUMMYFUNCTION("""COMPUTED_VALUE"""),"application/pdf")</f>
        <v>application/pdf</v>
      </c>
    </row>
    <row r="1535">
      <c r="A1535" s="339" t="str">
        <f>IFERROR(__xludf.DUMMYFUNCTION("""COMPUTED_VALUE"""),"10.1177/0146167204271713")</f>
        <v>10.1177/0146167204271713</v>
      </c>
      <c r="B1535" s="445" t="str">
        <f>IFERROR(__xludf.DUMMYFUNCTION("""COMPUTED_VALUE"""),"https://drive.google.com/file/d/1f7wM6Wv-5IZdMlvVixTX9XQGKehRmSbd/view?usp=drivesdk")</f>
        <v>https://drive.google.com/file/d/1f7wM6Wv-5IZdMlvVixTX9XQGKehRmSbd/view?usp=drivesdk</v>
      </c>
      <c r="C1535" s="339" t="str">
        <f>IFERROR(__xludf.DUMMYFUNCTION("""COMPUTED_VALUE"""),"10.1177--0146167204271713.pdf")</f>
        <v>10.1177--0146167204271713.pdf</v>
      </c>
      <c r="D1535" s="159" t="str">
        <f>IFERROR(__xludf.DUMMYFUNCTION("""COMPUTED_VALUE"""),"application/pdf")</f>
        <v>application/pdf</v>
      </c>
    </row>
    <row r="1536">
      <c r="A1536" s="339" t="str">
        <f>IFERROR(__xludf.DUMMYFUNCTION("""COMPUTED_VALUE"""),"10.1111/jasp.12482")</f>
        <v>10.1111/jasp.12482</v>
      </c>
      <c r="B1536" s="445" t="str">
        <f>IFERROR(__xludf.DUMMYFUNCTION("""COMPUTED_VALUE"""),"https://drive.google.com/file/d/13LS9QB_9LznWzEPtxRzswFa02VspDfHm/view?usp=drivesdk")</f>
        <v>https://drive.google.com/file/d/13LS9QB_9LznWzEPtxRzswFa02VspDfHm/view?usp=drivesdk</v>
      </c>
      <c r="C1536" s="339" t="str">
        <f>IFERROR(__xludf.DUMMYFUNCTION("""COMPUTED_VALUE"""),"10.1111--jasp.12482.pdf")</f>
        <v>10.1111--jasp.12482.pdf</v>
      </c>
      <c r="D1536" s="159" t="str">
        <f>IFERROR(__xludf.DUMMYFUNCTION("""COMPUTED_VALUE"""),"application/pdf")</f>
        <v>application/pdf</v>
      </c>
    </row>
    <row r="1537">
      <c r="A1537" s="339" t="str">
        <f>IFERROR(__xludf.DUMMYFUNCTION("""COMPUTED_VALUE"""),"10.1111/j.1471-6402.1988.tb00949.x")</f>
        <v>10.1111/j.1471-6402.1988.tb00949.x</v>
      </c>
      <c r="B1537" s="445" t="str">
        <f>IFERROR(__xludf.DUMMYFUNCTION("""COMPUTED_VALUE"""),"https://drive.google.com/file/d/1xmVQIT1E4bEl3FVGwzITeNrPYKzhpkUX/view?usp=drivesdk")</f>
        <v>https://drive.google.com/file/d/1xmVQIT1E4bEl3FVGwzITeNrPYKzhpkUX/view?usp=drivesdk</v>
      </c>
      <c r="C1537" s="339" t="str">
        <f>IFERROR(__xludf.DUMMYFUNCTION("""COMPUTED_VALUE"""),"10.1111--j.1471-6402.1988.tb00949.x.pdf")</f>
        <v>10.1111--j.1471-6402.1988.tb00949.x.pdf</v>
      </c>
      <c r="D1537" s="159" t="str">
        <f>IFERROR(__xludf.DUMMYFUNCTION("""COMPUTED_VALUE"""),"application/pdf")</f>
        <v>application/pdf</v>
      </c>
    </row>
    <row r="1538">
      <c r="A1538" s="339" t="str">
        <f>IFERROR(__xludf.DUMMYFUNCTION("""COMPUTED_VALUE"""),"10.1007/s00181-019-01708-2")</f>
        <v>10.1007/s00181-019-01708-2</v>
      </c>
      <c r="B1538" s="445" t="str">
        <f>IFERROR(__xludf.DUMMYFUNCTION("""COMPUTED_VALUE"""),"https://drive.google.com/file/d/127InPI2FO18-CVjeYWAw45OeGlbJsLgS/view?usp=drivesdk")</f>
        <v>https://drive.google.com/file/d/127InPI2FO18-CVjeYWAw45OeGlbJsLgS/view?usp=drivesdk</v>
      </c>
      <c r="C1538" s="339" t="str">
        <f>IFERROR(__xludf.DUMMYFUNCTION("""COMPUTED_VALUE"""),"10.1007--s00181-019-01708-2.pdf")</f>
        <v>10.1007--s00181-019-01708-2.pdf</v>
      </c>
      <c r="D1538" s="159" t="str">
        <f>IFERROR(__xludf.DUMMYFUNCTION("""COMPUTED_VALUE"""),"application/pdf")</f>
        <v>application/pdf</v>
      </c>
    </row>
    <row r="1539">
      <c r="A1539" s="339" t="str">
        <f>IFERROR(__xludf.DUMMYFUNCTION("""COMPUTED_VALUE"""),"10.1001/jamapediatrics.2013.4914")</f>
        <v>10.1001/jamapediatrics.2013.4914</v>
      </c>
      <c r="B1539" s="445" t="str">
        <f>IFERROR(__xludf.DUMMYFUNCTION("""COMPUTED_VALUE"""),"https://drive.google.com/file/d/1n7eSOCdAOIxngYQmTmTBMScbN48i49el/view?usp=drivesdk")</f>
        <v>https://drive.google.com/file/d/1n7eSOCdAOIxngYQmTmTBMScbN48i49el/view?usp=drivesdk</v>
      </c>
      <c r="C1539" s="339" t="str">
        <f>IFERROR(__xludf.DUMMYFUNCTION("""COMPUTED_VALUE"""),"10.1001--jamapediatrics.2013.4914.pdf")</f>
        <v>10.1001--jamapediatrics.2013.4914.pdf</v>
      </c>
      <c r="D1539" s="159" t="str">
        <f>IFERROR(__xludf.DUMMYFUNCTION("""COMPUTED_VALUE"""),"application/pdf")</f>
        <v>application/pdf</v>
      </c>
    </row>
    <row r="1540">
      <c r="A1540" s="339" t="str">
        <f>IFERROR(__xludf.DUMMYFUNCTION("""COMPUTED_VALUE"""),"10.1371/journal.pone.0108210")</f>
        <v>10.1371/journal.pone.0108210</v>
      </c>
      <c r="B1540" s="445" t="str">
        <f>IFERROR(__xludf.DUMMYFUNCTION("""COMPUTED_VALUE"""),"https://drive.google.com/file/d/1lVtzVUT1NgdL2Q4oDjvyy4DdPuRWzM6h/view?usp=drivesdk")</f>
        <v>https://drive.google.com/file/d/1lVtzVUT1NgdL2Q4oDjvyy4DdPuRWzM6h/view?usp=drivesdk</v>
      </c>
      <c r="C1540" s="339" t="str">
        <f>IFERROR(__xludf.DUMMYFUNCTION("""COMPUTED_VALUE"""),"10.1371--journal.pone.0108210.pdf")</f>
        <v>10.1371--journal.pone.0108210.pdf</v>
      </c>
      <c r="D1540" s="159" t="str">
        <f>IFERROR(__xludf.DUMMYFUNCTION("""COMPUTED_VALUE"""),"application/pdf")</f>
        <v>application/pdf</v>
      </c>
    </row>
    <row r="1541">
      <c r="A1541" s="339" t="str">
        <f>IFERROR(__xludf.DUMMYFUNCTION("""COMPUTED_VALUE"""),"10.1016/j.neuroimage.2010.06.074")</f>
        <v>10.1016/j.neuroimage.2010.06.074</v>
      </c>
      <c r="B1541" s="445" t="str">
        <f>IFERROR(__xludf.DUMMYFUNCTION("""COMPUTED_VALUE"""),"https://drive.google.com/file/d/1lzTDbGlZufj5mi3D2aXxSbSojMv0kS-e/view?usp=drivesdk")</f>
        <v>https://drive.google.com/file/d/1lzTDbGlZufj5mi3D2aXxSbSojMv0kS-e/view?usp=drivesdk</v>
      </c>
      <c r="C1541" s="339" t="str">
        <f>IFERROR(__xludf.DUMMYFUNCTION("""COMPUTED_VALUE"""),"10.1016--j.neuroimage.2010.06.074.pdf")</f>
        <v>10.1016--j.neuroimage.2010.06.074.pdf</v>
      </c>
      <c r="D1541" s="159" t="str">
        <f>IFERROR(__xludf.DUMMYFUNCTION("""COMPUTED_VALUE"""),"application/pdf")</f>
        <v>application/pdf</v>
      </c>
    </row>
    <row r="1542">
      <c r="A1542" s="339" t="str">
        <f>IFERROR(__xludf.DUMMYFUNCTION("""COMPUTED_VALUE"""),"10.26686/wgtn.17142398.v1")</f>
        <v>10.26686/wgtn.17142398.v1</v>
      </c>
      <c r="B1542" s="445" t="str">
        <f>IFERROR(__xludf.DUMMYFUNCTION("""COMPUTED_VALUE"""),"https://drive.google.com/file/d/1Xp-Wx90hQiFZ-ft_BG9vLWpCriMyIKdO/view?usp=drivesdk")</f>
        <v>https://drive.google.com/file/d/1Xp-Wx90hQiFZ-ft_BG9vLWpCriMyIKdO/view?usp=drivesdk</v>
      </c>
      <c r="C1542" s="339" t="str">
        <f>IFERROR(__xludf.DUMMYFUNCTION("""COMPUTED_VALUE"""),"10.26686--wgtn.17142398.v1.pdf")</f>
        <v>10.26686--wgtn.17142398.v1.pdf</v>
      </c>
      <c r="D1542" s="159" t="str">
        <f>IFERROR(__xludf.DUMMYFUNCTION("""COMPUTED_VALUE"""),"application/pdf")</f>
        <v>application/pdf</v>
      </c>
    </row>
    <row r="1543">
      <c r="A1543" s="339" t="str">
        <f>IFERROR(__xludf.DUMMYFUNCTION("""COMPUTED_VALUE"""),"10.1518/107118109x12524443345032")</f>
        <v>10.1518/107118109x12524443345032</v>
      </c>
      <c r="B1543" s="445" t="str">
        <f>IFERROR(__xludf.DUMMYFUNCTION("""COMPUTED_VALUE"""),"https://drive.google.com/file/d/1qxU3cdSdxUfw23Y0g2e9OIRMToTmzwEA/view?usp=drivesdk")</f>
        <v>https://drive.google.com/file/d/1qxU3cdSdxUfw23Y0g2e9OIRMToTmzwEA/view?usp=drivesdk</v>
      </c>
      <c r="C1543" s="339" t="str">
        <f>IFERROR(__xludf.DUMMYFUNCTION("""COMPUTED_VALUE"""),"10.1518--107118109x12524443345032.pdf")</f>
        <v>10.1518--107118109x12524443345032.pdf</v>
      </c>
      <c r="D1543" s="159" t="str">
        <f>IFERROR(__xludf.DUMMYFUNCTION("""COMPUTED_VALUE"""),"application/pdf")</f>
        <v>application/pdf</v>
      </c>
    </row>
    <row r="1544">
      <c r="A1544" s="339" t="str">
        <f>IFERROR(__xludf.DUMMYFUNCTION("""COMPUTED_VALUE"""),"tomek_1979")</f>
        <v>tomek_1979</v>
      </c>
      <c r="B1544" s="445" t="str">
        <f>IFERROR(__xludf.DUMMYFUNCTION("""COMPUTED_VALUE"""),"https://drive.google.com/file/d/1KgQgttNPdkMmm7CB8nzJBBWwUWhh9abf/view?usp=drivesdk")</f>
        <v>https://drive.google.com/file/d/1KgQgttNPdkMmm7CB8nzJBBWwUWhh9abf/view?usp=drivesdk</v>
      </c>
      <c r="C1544" s="339" t="str">
        <f>IFERROR(__xludf.DUMMYFUNCTION("""COMPUTED_VALUE"""),"tomek_1979.pdf")</f>
        <v>tomek_1979.pdf</v>
      </c>
      <c r="D1544" s="159" t="str">
        <f>IFERROR(__xludf.DUMMYFUNCTION("""COMPUTED_VALUE"""),"application/pdf")</f>
        <v>application/pdf</v>
      </c>
    </row>
    <row r="1545">
      <c r="A1545" s="339" t="str">
        <f>IFERROR(__xludf.DUMMYFUNCTION("""COMPUTED_VALUE"""),"10.1121/1.1448339")</f>
        <v>10.1121/1.1448339</v>
      </c>
      <c r="B1545" s="445" t="str">
        <f>IFERROR(__xludf.DUMMYFUNCTION("""COMPUTED_VALUE"""),"https://drive.google.com/file/d/1_B0etuOtVovqkPUYLfjA74_Cx0mBNpF1/view?usp=drivesdk")</f>
        <v>https://drive.google.com/file/d/1_B0etuOtVovqkPUYLfjA74_Cx0mBNpF1/view?usp=drivesdk</v>
      </c>
      <c r="C1545" s="339" t="str">
        <f>IFERROR(__xludf.DUMMYFUNCTION("""COMPUTED_VALUE"""),"10.1121--1.1448339.pdf")</f>
        <v>10.1121--1.1448339.pdf</v>
      </c>
      <c r="D1545" s="159" t="str">
        <f>IFERROR(__xludf.DUMMYFUNCTION("""COMPUTED_VALUE"""),"application/pdf")</f>
        <v>application/pdf</v>
      </c>
    </row>
    <row r="1546">
      <c r="A1546" s="339" t="str">
        <f>IFERROR(__xludf.DUMMYFUNCTION("""COMPUTED_VALUE"""),"10.3109/00016486409137078")</f>
        <v>10.3109/00016486409137078</v>
      </c>
      <c r="B1546" s="445" t="str">
        <f>IFERROR(__xludf.DUMMYFUNCTION("""COMPUTED_VALUE"""),"https://drive.google.com/file/d/1gKRv7R4O1mKjubsU8VA40ifjwbzvLBdc/view?usp=drivesdk")</f>
        <v>https://drive.google.com/file/d/1gKRv7R4O1mKjubsU8VA40ifjwbzvLBdc/view?usp=drivesdk</v>
      </c>
      <c r="C1546" s="339" t="str">
        <f>IFERROR(__xludf.DUMMYFUNCTION("""COMPUTED_VALUE"""),"10.3109--00016486409137078.pdf")</f>
        <v>10.3109--00016486409137078.pdf</v>
      </c>
      <c r="D1546" s="159" t="str">
        <f>IFERROR(__xludf.DUMMYFUNCTION("""COMPUTED_VALUE"""),"application/pdf")</f>
        <v>application/pdf</v>
      </c>
    </row>
    <row r="1547">
      <c r="A1547" s="339" t="str">
        <f>IFERROR(__xludf.DUMMYFUNCTION("""COMPUTED_VALUE"""),"10.1121/1.409273")</f>
        <v>10.1121/1.409273</v>
      </c>
      <c r="B1547" s="445" t="str">
        <f>IFERROR(__xludf.DUMMYFUNCTION("""COMPUTED_VALUE"""),"https://drive.google.com/file/d/1PP03RMQJJgJl0Az3_taHYEhfZuSAqQdA/view?usp=drivesdk")</f>
        <v>https://drive.google.com/file/d/1PP03RMQJJgJl0Az3_taHYEhfZuSAqQdA/view?usp=drivesdk</v>
      </c>
      <c r="C1547" s="339" t="str">
        <f>IFERROR(__xludf.DUMMYFUNCTION("""COMPUTED_VALUE"""),"10.1121--1.409273.pdf")</f>
        <v>10.1121--1.409273.pdf</v>
      </c>
      <c r="D1547" s="159" t="str">
        <f>IFERROR(__xludf.DUMMYFUNCTION("""COMPUTED_VALUE"""),"application/pdf")</f>
        <v>application/pdf</v>
      </c>
    </row>
    <row r="1548">
      <c r="A1548" s="339" t="str">
        <f>IFERROR(__xludf.DUMMYFUNCTION("""COMPUTED_VALUE"""),"10.1017/s1041610222000898")</f>
        <v>10.1017/s1041610222000898</v>
      </c>
      <c r="B1548" s="445" t="str">
        <f>IFERROR(__xludf.DUMMYFUNCTION("""COMPUTED_VALUE"""),"https://drive.google.com/file/d/12EZIhWdIWfim4jNO5E-Nh5Y5cyCThZdj/view?usp=drivesdk")</f>
        <v>https://drive.google.com/file/d/12EZIhWdIWfim4jNO5E-Nh5Y5cyCThZdj/view?usp=drivesdk</v>
      </c>
      <c r="C1548" s="339" t="str">
        <f>IFERROR(__xludf.DUMMYFUNCTION("""COMPUTED_VALUE"""),"10.1017--s1041610222000898.pdf")</f>
        <v>10.1017--s1041610222000898.pdf</v>
      </c>
      <c r="D1548" s="159" t="str">
        <f>IFERROR(__xludf.DUMMYFUNCTION("""COMPUTED_VALUE"""),"application/pdf")</f>
        <v>application/pdf</v>
      </c>
    </row>
    <row r="1549">
      <c r="A1549" s="339" t="str">
        <f>IFERROR(__xludf.DUMMYFUNCTION("""COMPUTED_VALUE"""),"10.2466/pr0.1987.61.1.166")</f>
        <v>10.2466/pr0.1987.61.1.166</v>
      </c>
      <c r="B1549" s="445" t="str">
        <f>IFERROR(__xludf.DUMMYFUNCTION("""COMPUTED_VALUE"""),"https://drive.google.com/file/d/1Me69vYYHR9myCXb7EG0PfACQs-mbZZsT/view?usp=drivesdk")</f>
        <v>https://drive.google.com/file/d/1Me69vYYHR9myCXb7EG0PfACQs-mbZZsT/view?usp=drivesdk</v>
      </c>
      <c r="C1549" s="339" t="str">
        <f>IFERROR(__xludf.DUMMYFUNCTION("""COMPUTED_VALUE"""),"10.2466--pr0.1987.61.1.166.pdf")</f>
        <v>10.2466--pr0.1987.61.1.166.pdf</v>
      </c>
      <c r="D1549" s="159" t="str">
        <f>IFERROR(__xludf.DUMMYFUNCTION("""COMPUTED_VALUE"""),"application/pdf")</f>
        <v>application/pdf</v>
      </c>
    </row>
    <row r="1550">
      <c r="A1550" s="339" t="str">
        <f>IFERROR(__xludf.DUMMYFUNCTION("""COMPUTED_VALUE"""),"10.1300/j001v13n02_10")</f>
        <v>10.1300/j001v13n02_10</v>
      </c>
      <c r="B1550" s="445" t="str">
        <f>IFERROR(__xludf.DUMMYFUNCTION("""COMPUTED_VALUE"""),"https://drive.google.com/file/d/1E_Y-eSL7cOIC2Pl2Q5-JmDYPBxV3Yuqm/view?usp=drivesdk")</f>
        <v>https://drive.google.com/file/d/1E_Y-eSL7cOIC2Pl2Q5-JmDYPBxV3Yuqm/view?usp=drivesdk</v>
      </c>
      <c r="C1550" s="339" t="str">
        <f>IFERROR(__xludf.DUMMYFUNCTION("""COMPUTED_VALUE"""),"10.1300--j001v13n02_10.pdf")</f>
        <v>10.1300--j001v13n02_10.pdf</v>
      </c>
      <c r="D1550" s="159" t="str">
        <f>IFERROR(__xludf.DUMMYFUNCTION("""COMPUTED_VALUE"""),"application/pdf")</f>
        <v>application/pdf</v>
      </c>
    </row>
    <row r="1551">
      <c r="A1551" s="339" t="str">
        <f>IFERROR(__xludf.DUMMYFUNCTION("""COMPUTED_VALUE"""),"10.1348/026151005x70094")</f>
        <v>10.1348/026151005x70094</v>
      </c>
      <c r="B1551" s="445" t="str">
        <f>IFERROR(__xludf.DUMMYFUNCTION("""COMPUTED_VALUE"""),"https://drive.google.com/file/d/1ISBwKbDzt_JupXKVHE0LvgeL2jQzxAJl/view?usp=drivesdk")</f>
        <v>https://drive.google.com/file/d/1ISBwKbDzt_JupXKVHE0LvgeL2jQzxAJl/view?usp=drivesdk</v>
      </c>
      <c r="C1551" s="339" t="str">
        <f>IFERROR(__xludf.DUMMYFUNCTION("""COMPUTED_VALUE"""),"10.1348--026151005x70094.pdf")</f>
        <v>10.1348--026151005x70094.pdf</v>
      </c>
      <c r="D1551" s="159" t="str">
        <f>IFERROR(__xludf.DUMMYFUNCTION("""COMPUTED_VALUE"""),"application/pdf")</f>
        <v>application/pdf</v>
      </c>
    </row>
    <row r="1552">
      <c r="A1552" s="339" t="str">
        <f>IFERROR(__xludf.DUMMYFUNCTION("""COMPUTED_VALUE"""),"downie_2012")</f>
        <v>downie_2012</v>
      </c>
      <c r="B1552" s="445" t="str">
        <f>IFERROR(__xludf.DUMMYFUNCTION("""COMPUTED_VALUE"""),"https://drive.google.com/file/d/1ZW6D4hcOBZ21zKN0viyVwEOCQXfooh0m/view?usp=drivesdk")</f>
        <v>https://drive.google.com/file/d/1ZW6D4hcOBZ21zKN0viyVwEOCQXfooh0m/view?usp=drivesdk</v>
      </c>
      <c r="C1552" s="339" t="str">
        <f>IFERROR(__xludf.DUMMYFUNCTION("""COMPUTED_VALUE"""),"downie_2012.pdf")</f>
        <v>downie_2012.pdf</v>
      </c>
      <c r="D1552" s="159" t="str">
        <f>IFERROR(__xludf.DUMMYFUNCTION("""COMPUTED_VALUE"""),"application/pdf")</f>
        <v>application/pdf</v>
      </c>
    </row>
    <row r="1553">
      <c r="A1553" s="339" t="str">
        <f>IFERROR(__xludf.DUMMYFUNCTION("""COMPUTED_VALUE"""),"10.1016/s0022-4405(01)00085-1")</f>
        <v>10.1016/s0022-4405(01)00085-1</v>
      </c>
      <c r="B1553" s="445" t="str">
        <f>IFERROR(__xludf.DUMMYFUNCTION("""COMPUTED_VALUE"""),"https://drive.google.com/file/d/1y6P3-l4hPuf5Hc-Q9WIYE0ei6sMbc_k6/view?usp=drivesdk")</f>
        <v>https://drive.google.com/file/d/1y6P3-l4hPuf5Hc-Q9WIYE0ei6sMbc_k6/view?usp=drivesdk</v>
      </c>
      <c r="C1553" s="339" t="str">
        <f>IFERROR(__xludf.DUMMYFUNCTION("""COMPUTED_VALUE"""),"10.1016--s0022-4405(01)00085-1.pdf")</f>
        <v>10.1016--s0022-4405(01)00085-1.pdf</v>
      </c>
      <c r="D1553" s="159" t="str">
        <f>IFERROR(__xludf.DUMMYFUNCTION("""COMPUTED_VALUE"""),"application/pdf")</f>
        <v>application/pdf</v>
      </c>
    </row>
    <row r="1554">
      <c r="A1554" s="339" t="str">
        <f>IFERROR(__xludf.DUMMYFUNCTION("""COMPUTED_VALUE"""),"10.1080/10474412.2016.1275649")</f>
        <v>10.1080/10474412.2016.1275649</v>
      </c>
      <c r="B1554" s="445" t="str">
        <f>IFERROR(__xludf.DUMMYFUNCTION("""COMPUTED_VALUE"""),"https://drive.google.com/file/d/1hqjsgFT2CMKMncMNyt68bWb6G_tv_dSC/view?usp=drivesdk")</f>
        <v>https://drive.google.com/file/d/1hqjsgFT2CMKMncMNyt68bWb6G_tv_dSC/view?usp=drivesdk</v>
      </c>
      <c r="C1554" s="339" t="str">
        <f>IFERROR(__xludf.DUMMYFUNCTION("""COMPUTED_VALUE"""),"10.1080--10474412.2016.1275649.pdf")</f>
        <v>10.1080--10474412.2016.1275649.pdf</v>
      </c>
      <c r="D1554" s="159" t="str">
        <f>IFERROR(__xludf.DUMMYFUNCTION("""COMPUTED_VALUE"""),"application/pdf")</f>
        <v>application/pdf</v>
      </c>
    </row>
    <row r="1555">
      <c r="A1555" s="339" t="str">
        <f>IFERROR(__xludf.DUMMYFUNCTION("""COMPUTED_VALUE"""),"10.1177/074193259001100206")</f>
        <v>10.1177/074193259001100206</v>
      </c>
      <c r="B1555" s="445" t="str">
        <f>IFERROR(__xludf.DUMMYFUNCTION("""COMPUTED_VALUE"""),"https://drive.google.com/file/d/17QZRE3en3oQzW03F7fCg49SKarFoDr3Z/view?usp=drivesdk")</f>
        <v>https://drive.google.com/file/d/17QZRE3en3oQzW03F7fCg49SKarFoDr3Z/view?usp=drivesdk</v>
      </c>
      <c r="C1555" s="339" t="str">
        <f>IFERROR(__xludf.DUMMYFUNCTION("""COMPUTED_VALUE"""),"10.1177--074193259001100206.pdf")</f>
        <v>10.1177--074193259001100206.pdf</v>
      </c>
      <c r="D1555" s="159" t="str">
        <f>IFERROR(__xludf.DUMMYFUNCTION("""COMPUTED_VALUE"""),"application/pdf")</f>
        <v>application/pdf</v>
      </c>
    </row>
    <row r="1556">
      <c r="A1556" s="339" t="str">
        <f>IFERROR(__xludf.DUMMYFUNCTION("""COMPUTED_VALUE"""),"10.1177/106342669400200201")</f>
        <v>10.1177/106342669400200201</v>
      </c>
      <c r="B1556" s="445" t="str">
        <f>IFERROR(__xludf.DUMMYFUNCTION("""COMPUTED_VALUE"""),"https://drive.google.com/file/d/1REXZFn51VG-EsropX7lsEKyqCXA3Plag/view?usp=drivesdk")</f>
        <v>https://drive.google.com/file/d/1REXZFn51VG-EsropX7lsEKyqCXA3Plag/view?usp=drivesdk</v>
      </c>
      <c r="C1556" s="339" t="str">
        <f>IFERROR(__xludf.DUMMYFUNCTION("""COMPUTED_VALUE"""),"10.1177--106342669400200201.pdf")</f>
        <v>10.1177--106342669400200201.pdf</v>
      </c>
      <c r="D1556" s="159" t="str">
        <f>IFERROR(__xludf.DUMMYFUNCTION("""COMPUTED_VALUE"""),"application/pdf")</f>
        <v>application/pdf</v>
      </c>
    </row>
    <row r="1557">
      <c r="A1557" s="339" t="str">
        <f>IFERROR(__xludf.DUMMYFUNCTION("""COMPUTED_VALUE"""),"10.1002/cpp.333")</f>
        <v>10.1002/cpp.333</v>
      </c>
      <c r="B1557" s="445" t="str">
        <f>IFERROR(__xludf.DUMMYFUNCTION("""COMPUTED_VALUE"""),"https://drive.google.com/file/d/1T8o2VZGWgfsl2q6cDK0pbAregJ89zOX1/view?usp=drivesdk")</f>
        <v>https://drive.google.com/file/d/1T8o2VZGWgfsl2q6cDK0pbAregJ89zOX1/view?usp=drivesdk</v>
      </c>
      <c r="C1557" s="339" t="str">
        <f>IFERROR(__xludf.DUMMYFUNCTION("""COMPUTED_VALUE"""),"10.1002--cpp.333.pdf")</f>
        <v>10.1002--cpp.333.pdf</v>
      </c>
      <c r="D1557" s="159" t="str">
        <f>IFERROR(__xludf.DUMMYFUNCTION("""COMPUTED_VALUE"""),"application/pdf")</f>
        <v>application/pdf</v>
      </c>
    </row>
    <row r="1558">
      <c r="A1558" s="339" t="str">
        <f>IFERROR(__xludf.DUMMYFUNCTION("""COMPUTED_VALUE"""),"10.1002/cpp.491")</f>
        <v>10.1002/cpp.491</v>
      </c>
      <c r="B1558" s="445" t="str">
        <f>IFERROR(__xludf.DUMMYFUNCTION("""COMPUTED_VALUE"""),"https://drive.google.com/file/d/1lkR9fjBAKPGcxcX9cfbb_YQLNac74Jrz/view?usp=drivesdk")</f>
        <v>https://drive.google.com/file/d/1lkR9fjBAKPGcxcX9cfbb_YQLNac74Jrz/view?usp=drivesdk</v>
      </c>
      <c r="C1558" s="339" t="str">
        <f>IFERROR(__xludf.DUMMYFUNCTION("""COMPUTED_VALUE"""),"10.1002--cpp.491.pdf")</f>
        <v>10.1002--cpp.491.pdf</v>
      </c>
      <c r="D1558" s="159" t="str">
        <f>IFERROR(__xludf.DUMMYFUNCTION("""COMPUTED_VALUE"""),"application/pdf")</f>
        <v>application/pdf</v>
      </c>
    </row>
    <row r="1559">
      <c r="A1559" s="339" t="str">
        <f>IFERROR(__xludf.DUMMYFUNCTION("""COMPUTED_VALUE"""),"10.1001/archgenpsychiatry.2012.124")</f>
        <v>10.1001/archgenpsychiatry.2012.124</v>
      </c>
      <c r="B1559" s="445" t="str">
        <f>IFERROR(__xludf.DUMMYFUNCTION("""COMPUTED_VALUE"""),"https://drive.google.com/file/d/1JAQlffWyxBpm9pp-c3OwivUz-5jJ5QTR/view?usp=drivesdk")</f>
        <v>https://drive.google.com/file/d/1JAQlffWyxBpm9pp-c3OwivUz-5jJ5QTR/view?usp=drivesdk</v>
      </c>
      <c r="C1559" s="339" t="str">
        <f>IFERROR(__xludf.DUMMYFUNCTION("""COMPUTED_VALUE"""),"10.1001--archgenpsychiatry.2012.124.pdf")</f>
        <v>10.1001--archgenpsychiatry.2012.124.pdf</v>
      </c>
      <c r="D1559" s="159" t="str">
        <f>IFERROR(__xludf.DUMMYFUNCTION("""COMPUTED_VALUE"""),"application/pdf")</f>
        <v>application/pdf</v>
      </c>
    </row>
    <row r="1560">
      <c r="A1560" s="339" t="str">
        <f>IFERROR(__xludf.DUMMYFUNCTION("""COMPUTED_VALUE"""),"10.1093/ntr/ntaa229")</f>
        <v>10.1093/ntr/ntaa229</v>
      </c>
      <c r="B1560" s="445" t="str">
        <f>IFERROR(__xludf.DUMMYFUNCTION("""COMPUTED_VALUE"""),"https://drive.google.com/file/d/1u1RiBM_bgytH8CRFrls8sW7aPirtAKhG/view?usp=drivesdk")</f>
        <v>https://drive.google.com/file/d/1u1RiBM_bgytH8CRFrls8sW7aPirtAKhG/view?usp=drivesdk</v>
      </c>
      <c r="C1560" s="339" t="str">
        <f>IFERROR(__xludf.DUMMYFUNCTION("""COMPUTED_VALUE"""),"10.1093--ntr--ntaa229.pdf")</f>
        <v>10.1093--ntr--ntaa229.pdf</v>
      </c>
      <c r="D1560" s="159" t="str">
        <f>IFERROR(__xludf.DUMMYFUNCTION("""COMPUTED_VALUE"""),"application/pdf")</f>
        <v>application/pdf</v>
      </c>
    </row>
    <row r="1561">
      <c r="A1561" s="339" t="str">
        <f>IFERROR(__xludf.DUMMYFUNCTION("""COMPUTED_VALUE"""),"10.1177/0023830911404958")</f>
        <v>10.1177/0023830911404958</v>
      </c>
      <c r="B1561" s="445" t="str">
        <f>IFERROR(__xludf.DUMMYFUNCTION("""COMPUTED_VALUE"""),"https://drive.google.com/file/d/1tGE1AQT1ou7SNYSwWTfHtvNY1XvQNIq2/view?usp=drivesdk")</f>
        <v>https://drive.google.com/file/d/1tGE1AQT1ou7SNYSwWTfHtvNY1XvQNIq2/view?usp=drivesdk</v>
      </c>
      <c r="C1561" s="339" t="str">
        <f>IFERROR(__xludf.DUMMYFUNCTION("""COMPUTED_VALUE"""),"10.1177--0023830911404958.pdf")</f>
        <v>10.1177--0023830911404958.pdf</v>
      </c>
      <c r="D1561" s="159" t="str">
        <f>IFERROR(__xludf.DUMMYFUNCTION("""COMPUTED_VALUE"""),"application/pdf")</f>
        <v>application/pdf</v>
      </c>
    </row>
    <row r="1562">
      <c r="A1562" s="339" t="str">
        <f>IFERROR(__xludf.DUMMYFUNCTION("""COMPUTED_VALUE"""),"10.1044/2021_jslhr-21-00106")</f>
        <v>10.1044/2021_jslhr-21-00106</v>
      </c>
      <c r="B1562" s="445" t="str">
        <f>IFERROR(__xludf.DUMMYFUNCTION("""COMPUTED_VALUE"""),"https://drive.google.com/file/d/1BSYDsRVsOlhve2jx0_E7IbMF1CuUMPa_/view?usp=drivesdk")</f>
        <v>https://drive.google.com/file/d/1BSYDsRVsOlhve2jx0_E7IbMF1CuUMPa_/view?usp=drivesdk</v>
      </c>
      <c r="C1562" s="339" t="str">
        <f>IFERROR(__xludf.DUMMYFUNCTION("""COMPUTED_VALUE"""),"10.1044--2021_jslhr-21-00106.pdf")</f>
        <v>10.1044--2021_jslhr-21-00106.pdf</v>
      </c>
      <c r="D1562" s="159" t="str">
        <f>IFERROR(__xludf.DUMMYFUNCTION("""COMPUTED_VALUE"""),"application/pdf")</f>
        <v>application/pdf</v>
      </c>
    </row>
    <row r="1563">
      <c r="A1563" s="339" t="str">
        <f>IFERROR(__xludf.DUMMYFUNCTION("""COMPUTED_VALUE"""),"10.1371/journal.pone.0090747")</f>
        <v>10.1371/journal.pone.0090747</v>
      </c>
      <c r="B1563" s="445" t="str">
        <f>IFERROR(__xludf.DUMMYFUNCTION("""COMPUTED_VALUE"""),"https://drive.google.com/file/d/19v9FT5hEYrEw3mMDMtE-ea3-0Gvk3PE8/view?usp=drivesdk")</f>
        <v>https://drive.google.com/file/d/19v9FT5hEYrEw3mMDMtE-ea3-0Gvk3PE8/view?usp=drivesdk</v>
      </c>
      <c r="C1563" s="339" t="str">
        <f>IFERROR(__xludf.DUMMYFUNCTION("""COMPUTED_VALUE"""),"10.1371--journal.pone.0090747.pdf")</f>
        <v>10.1371--journal.pone.0090747.pdf</v>
      </c>
      <c r="D1563" s="159" t="str">
        <f>IFERROR(__xludf.DUMMYFUNCTION("""COMPUTED_VALUE"""),"application/pdf")</f>
        <v>application/pdf</v>
      </c>
    </row>
    <row r="1564">
      <c r="A1564" s="339" t="str">
        <f>IFERROR(__xludf.DUMMYFUNCTION("""COMPUTED_VALUE"""),"10.1371/journal.pone.0140665")</f>
        <v>10.1371/journal.pone.0140665</v>
      </c>
      <c r="B1564" s="445" t="str">
        <f>IFERROR(__xludf.DUMMYFUNCTION("""COMPUTED_VALUE"""),"https://drive.google.com/file/d/1jEP71nTne5bOCeZqCjtYTROX9jL1HJcs/view?usp=drivesdk")</f>
        <v>https://drive.google.com/file/d/1jEP71nTne5bOCeZqCjtYTROX9jL1HJcs/view?usp=drivesdk</v>
      </c>
      <c r="C1564" s="339" t="str">
        <f>IFERROR(__xludf.DUMMYFUNCTION("""COMPUTED_VALUE"""),"10.1371--journal.pone.0140665.pdf")</f>
        <v>10.1371--journal.pone.0140665.pdf</v>
      </c>
      <c r="D1564" s="159" t="str">
        <f>IFERROR(__xludf.DUMMYFUNCTION("""COMPUTED_VALUE"""),"application/pdf")</f>
        <v>application/pdf</v>
      </c>
    </row>
    <row r="1565">
      <c r="A1565" s="339" t="str">
        <f>IFERROR(__xludf.DUMMYFUNCTION("""COMPUTED_VALUE"""),"10.3822/ijtmb.v6i4.227")</f>
        <v>10.3822/ijtmb.v6i4.227</v>
      </c>
      <c r="B1565" s="445" t="str">
        <f>IFERROR(__xludf.DUMMYFUNCTION("""COMPUTED_VALUE"""),"https://drive.google.com/file/d/1wWqFpWow0CoOu7fTSdUXCGJ9UigZpMEn/view?usp=drivesdk")</f>
        <v>https://drive.google.com/file/d/1wWqFpWow0CoOu7fTSdUXCGJ9UigZpMEn/view?usp=drivesdk</v>
      </c>
      <c r="C1565" s="339" t="str">
        <f>IFERROR(__xludf.DUMMYFUNCTION("""COMPUTED_VALUE"""),"10.3822--ijtmb.v6i4.227.pdf")</f>
        <v>10.3822--ijtmb.v6i4.227.pdf</v>
      </c>
      <c r="D1565" s="159" t="str">
        <f>IFERROR(__xludf.DUMMYFUNCTION("""COMPUTED_VALUE"""),"application/pdf")</f>
        <v>application/pdf</v>
      </c>
    </row>
    <row r="1566">
      <c r="A1566" s="339" t="str">
        <f>IFERROR(__xludf.DUMMYFUNCTION("""COMPUTED_VALUE"""),"10.1155/2015/904585")</f>
        <v>10.1155/2015/904585</v>
      </c>
      <c r="B1566" s="445" t="str">
        <f>IFERROR(__xludf.DUMMYFUNCTION("""COMPUTED_VALUE"""),"https://drive.google.com/file/d/1lVnHCyiXYvGRYGX-V0ZvvK_VLIwJw3nd/view?usp=drivesdk")</f>
        <v>https://drive.google.com/file/d/1lVnHCyiXYvGRYGX-V0ZvvK_VLIwJw3nd/view?usp=drivesdk</v>
      </c>
      <c r="C1566" s="339" t="str">
        <f>IFERROR(__xludf.DUMMYFUNCTION("""COMPUTED_VALUE"""),"10.1155--2015--904585.pdf")</f>
        <v>10.1155--2015--904585.pdf</v>
      </c>
      <c r="D1566" s="159" t="str">
        <f>IFERROR(__xludf.DUMMYFUNCTION("""COMPUTED_VALUE"""),"application/pdf")</f>
        <v>application/pdf</v>
      </c>
    </row>
    <row r="1567">
      <c r="A1567" s="339" t="str">
        <f>IFERROR(__xludf.DUMMYFUNCTION("""COMPUTED_VALUE"""),"10.1016/j.jfineco.2004.06.007")</f>
        <v>10.1016/j.jfineco.2004.06.007</v>
      </c>
      <c r="B1567" s="445" t="str">
        <f>IFERROR(__xludf.DUMMYFUNCTION("""COMPUTED_VALUE"""),"https://drive.google.com/file/d/1sVLQXjpjnzfZ-SS6nD2F4MG703YHZCWx/view?usp=drivesdk")</f>
        <v>https://drive.google.com/file/d/1sVLQXjpjnzfZ-SS6nD2F4MG703YHZCWx/view?usp=drivesdk</v>
      </c>
      <c r="C1567" s="339" t="str">
        <f>IFERROR(__xludf.DUMMYFUNCTION("""COMPUTED_VALUE"""),"10.1016--j.jfineco.2004.06.007.pdf")</f>
        <v>10.1016--j.jfineco.2004.06.007.pdf</v>
      </c>
      <c r="D1567" s="159" t="str">
        <f>IFERROR(__xludf.DUMMYFUNCTION("""COMPUTED_VALUE"""),"application/pdf")</f>
        <v>application/pdf</v>
      </c>
    </row>
    <row r="1568">
      <c r="A1568" s="339" t="str">
        <f>IFERROR(__xludf.DUMMYFUNCTION("""COMPUTED_VALUE"""),"holden_2016")</f>
        <v>holden_2016</v>
      </c>
      <c r="B1568" s="445" t="str">
        <f>IFERROR(__xludf.DUMMYFUNCTION("""COMPUTED_VALUE"""),"https://drive.google.com/file/d/11F4P0w9ysNZf8bkwYNu5LRdP2868Y4Mz/view?usp=drivesdk")</f>
        <v>https://drive.google.com/file/d/11F4P0w9ysNZf8bkwYNu5LRdP2868Y4Mz/view?usp=drivesdk</v>
      </c>
      <c r="C1568" s="339" t="str">
        <f>IFERROR(__xludf.DUMMYFUNCTION("""COMPUTED_VALUE"""),"holden_2016.pdf")</f>
        <v>holden_2016.pdf</v>
      </c>
      <c r="D1568" s="159" t="str">
        <f>IFERROR(__xludf.DUMMYFUNCTION("""COMPUTED_VALUE"""),"application/pdf")</f>
        <v>application/pdf</v>
      </c>
    </row>
    <row r="1569">
      <c r="A1569" s="339" t="str">
        <f>IFERROR(__xludf.DUMMYFUNCTION("""COMPUTED_VALUE"""),"10.1177/2167702612472487")</f>
        <v>10.1177/2167702612472487</v>
      </c>
      <c r="B1569" s="445" t="str">
        <f>IFERROR(__xludf.DUMMYFUNCTION("""COMPUTED_VALUE"""),"https://drive.google.com/file/d/10-QBr8uK18i-lu6Jhs2ZJePBrvjOnQ4R/view?usp=drivesdk")</f>
        <v>https://drive.google.com/file/d/10-QBr8uK18i-lu6Jhs2ZJePBrvjOnQ4R/view?usp=drivesdk</v>
      </c>
      <c r="C1569" s="339" t="str">
        <f>IFERROR(__xludf.DUMMYFUNCTION("""COMPUTED_VALUE"""),"10.1177--2167702612472487.pdf")</f>
        <v>10.1177--2167702612472487.pdf</v>
      </c>
      <c r="D1569" s="159" t="str">
        <f>IFERROR(__xludf.DUMMYFUNCTION("""COMPUTED_VALUE"""),"application/pdf")</f>
        <v>application/pdf</v>
      </c>
    </row>
    <row r="1570">
      <c r="A1570" s="339" t="str">
        <f>IFERROR(__xludf.DUMMYFUNCTION("""COMPUTED_VALUE"""),"10.1177/21677026241258380")</f>
        <v>10.1177/21677026241258380</v>
      </c>
      <c r="B1570" s="445" t="str">
        <f>IFERROR(__xludf.DUMMYFUNCTION("""COMPUTED_VALUE"""),"https://drive.google.com/file/d/1zExMmFv5R6hJUYAtHUdMag1uYCROM6Q3/view?usp=drivesdk")</f>
        <v>https://drive.google.com/file/d/1zExMmFv5R6hJUYAtHUdMag1uYCROM6Q3/view?usp=drivesdk</v>
      </c>
      <c r="C1570" s="339" t="str">
        <f>IFERROR(__xludf.DUMMYFUNCTION("""COMPUTED_VALUE"""),"10.1177--21677026241258380.pdf")</f>
        <v>10.1177--21677026241258380.pdf</v>
      </c>
      <c r="D1570" s="159" t="str">
        <f>IFERROR(__xludf.DUMMYFUNCTION("""COMPUTED_VALUE"""),"application/pdf")</f>
        <v>application/pdf</v>
      </c>
    </row>
    <row r="1571">
      <c r="A1571" s="339" t="str">
        <f>IFERROR(__xludf.DUMMYFUNCTION("""COMPUTED_VALUE"""),"10.1111/cogs.13202")</f>
        <v>10.1111/cogs.13202</v>
      </c>
      <c r="B1571" s="445" t="str">
        <f>IFERROR(__xludf.DUMMYFUNCTION("""COMPUTED_VALUE"""),"https://drive.google.com/file/d/1PABk6dOEUIskaUeYUtB5qxBLd9hsWSnQ/view?usp=drivesdk")</f>
        <v>https://drive.google.com/file/d/1PABk6dOEUIskaUeYUtB5qxBLd9hsWSnQ/view?usp=drivesdk</v>
      </c>
      <c r="C1571" s="339" t="str">
        <f>IFERROR(__xludf.DUMMYFUNCTION("""COMPUTED_VALUE"""),"10.1111--cogs.13202.pdf")</f>
        <v>10.1111--cogs.13202.pdf</v>
      </c>
      <c r="D1571" s="159" t="str">
        <f>IFERROR(__xludf.DUMMYFUNCTION("""COMPUTED_VALUE"""),"application/pdf")</f>
        <v>application/pdf</v>
      </c>
    </row>
    <row r="1572">
      <c r="A1572" s="339" t="str">
        <f>IFERROR(__xludf.DUMMYFUNCTION("""COMPUTED_VALUE"""),"10.2466/pr0.1985.57.3f.1091")</f>
        <v>10.2466/pr0.1985.57.3f.1091</v>
      </c>
      <c r="B1572" s="445" t="str">
        <f>IFERROR(__xludf.DUMMYFUNCTION("""COMPUTED_VALUE"""),"https://drive.google.com/file/d/1VT0yrBLuaT1_Tc0_YQd_-3K6v5mi_TBf/view?usp=drivesdk")</f>
        <v>https://drive.google.com/file/d/1VT0yrBLuaT1_Tc0_YQd_-3K6v5mi_TBf/view?usp=drivesdk</v>
      </c>
      <c r="C1572" s="339" t="str">
        <f>IFERROR(__xludf.DUMMYFUNCTION("""COMPUTED_VALUE"""),"10.2466--pr0.1985.57.3f.1091.pdf")</f>
        <v>10.2466--pr0.1985.57.3f.1091.pdf</v>
      </c>
      <c r="D1572" s="159" t="str">
        <f>IFERROR(__xludf.DUMMYFUNCTION("""COMPUTED_VALUE"""),"application/pdf")</f>
        <v>application/pdf</v>
      </c>
    </row>
    <row r="1573">
      <c r="A1573" s="339" t="str">
        <f>IFERROR(__xludf.DUMMYFUNCTION("""COMPUTED_VALUE"""),"10.2466/pr0.1989.64.3.833")</f>
        <v>10.2466/pr0.1989.64.3.833</v>
      </c>
      <c r="B1573" s="445" t="str">
        <f>IFERROR(__xludf.DUMMYFUNCTION("""COMPUTED_VALUE"""),"https://drive.google.com/file/d/1mjL3xHfsn80mQGGB8usjdzsZqlLh5eOl/view?usp=drivesdk")</f>
        <v>https://drive.google.com/file/d/1mjL3xHfsn80mQGGB8usjdzsZqlLh5eOl/view?usp=drivesdk</v>
      </c>
      <c r="C1573" s="339" t="str">
        <f>IFERROR(__xludf.DUMMYFUNCTION("""COMPUTED_VALUE"""),"10.2466--pr0.1989.64.3.833.pdf")</f>
        <v>10.2466--pr0.1989.64.3.833.pdf</v>
      </c>
      <c r="D1573" s="159" t="str">
        <f>IFERROR(__xludf.DUMMYFUNCTION("""COMPUTED_VALUE"""),"application/pdf")</f>
        <v>application/pdf</v>
      </c>
    </row>
    <row r="1574">
      <c r="A1574" s="339" t="str">
        <f>IFERROR(__xludf.DUMMYFUNCTION("""COMPUTED_VALUE"""),"10.31234/osf.io/jktnv")</f>
        <v>10.31234/osf.io/jktnv</v>
      </c>
      <c r="B1574" s="445" t="str">
        <f>IFERROR(__xludf.DUMMYFUNCTION("""COMPUTED_VALUE"""),"https://drive.google.com/file/d/11ZOehRycTTYUoqzxcsdNL9YzFiz9bT7C/view?usp=drivesdk")</f>
        <v>https://drive.google.com/file/d/11ZOehRycTTYUoqzxcsdNL9YzFiz9bT7C/view?usp=drivesdk</v>
      </c>
      <c r="C1574" s="339" t="str">
        <f>IFERROR(__xludf.DUMMYFUNCTION("""COMPUTED_VALUE"""),"10.31234--osf.io--jktnv.pdf")</f>
        <v>10.31234--osf.io--jktnv.pdf</v>
      </c>
      <c r="D1574" s="159" t="str">
        <f>IFERROR(__xludf.DUMMYFUNCTION("""COMPUTED_VALUE"""),"application/pdf")</f>
        <v>application/pdf</v>
      </c>
    </row>
    <row r="1575">
      <c r="A1575" s="339" t="str">
        <f>IFERROR(__xludf.DUMMYFUNCTION("""COMPUTED_VALUE"""),"10.1016/j.jalz.2017.06.305")</f>
        <v>10.1016/j.jalz.2017.06.305</v>
      </c>
      <c r="B1575" s="445" t="str">
        <f>IFERROR(__xludf.DUMMYFUNCTION("""COMPUTED_VALUE"""),"https://drive.google.com/file/d/1QYv-gK2Dttqrba8EgqIPZqUog3R00vXd/view?usp=drivesdk")</f>
        <v>https://drive.google.com/file/d/1QYv-gK2Dttqrba8EgqIPZqUog3R00vXd/view?usp=drivesdk</v>
      </c>
      <c r="C1575" s="339" t="str">
        <f>IFERROR(__xludf.DUMMYFUNCTION("""COMPUTED_VALUE"""),"10.1016--j.jalz.2017.06.305.pdf")</f>
        <v>10.1016--j.jalz.2017.06.305.pdf</v>
      </c>
      <c r="D1575" s="159" t="str">
        <f>IFERROR(__xludf.DUMMYFUNCTION("""COMPUTED_VALUE"""),"application/pdf")</f>
        <v>application/pdf</v>
      </c>
    </row>
    <row r="1576">
      <c r="A1576" s="339" t="str">
        <f>IFERROR(__xludf.DUMMYFUNCTION("""COMPUTED_VALUE"""),"10.1371/journal.pbio.0050138")</f>
        <v>10.1371/journal.pbio.0050138</v>
      </c>
      <c r="B1576" s="445" t="str">
        <f>IFERROR(__xludf.DUMMYFUNCTION("""COMPUTED_VALUE"""),"https://drive.google.com/file/d/1twEJKFkmqDVg7ydyvzzUrZCrJ2Kg2igY/view?usp=drivesdk")</f>
        <v>https://drive.google.com/file/d/1twEJKFkmqDVg7ydyvzzUrZCrJ2Kg2igY/view?usp=drivesdk</v>
      </c>
      <c r="C1576" s="339" t="str">
        <f>IFERROR(__xludf.DUMMYFUNCTION("""COMPUTED_VALUE"""),"10.1371--journal.pbio.0050138.pdf")</f>
        <v>10.1371--journal.pbio.0050138.pdf</v>
      </c>
      <c r="D1576" s="159" t="str">
        <f>IFERROR(__xludf.DUMMYFUNCTION("""COMPUTED_VALUE"""),"application/pdf")</f>
        <v>application/pdf</v>
      </c>
    </row>
    <row r="1577">
      <c r="A1577" s="339" t="str">
        <f>IFERROR(__xludf.DUMMYFUNCTION("""COMPUTED_VALUE"""),"10.1101/2023.02.10.527999")</f>
        <v>10.1101/2023.02.10.527999</v>
      </c>
      <c r="B1577" s="445" t="str">
        <f>IFERROR(__xludf.DUMMYFUNCTION("""COMPUTED_VALUE"""),"https://drive.google.com/file/d/1RBdZw8NUJuyFGKbvpLvb0CcLQ27eBZ41/view?usp=drivesdk")</f>
        <v>https://drive.google.com/file/d/1RBdZw8NUJuyFGKbvpLvb0CcLQ27eBZ41/view?usp=drivesdk</v>
      </c>
      <c r="C1577" s="339" t="str">
        <f>IFERROR(__xludf.DUMMYFUNCTION("""COMPUTED_VALUE"""),"10.1101--2023.02.10.527999.pdf")</f>
        <v>10.1101--2023.02.10.527999.pdf</v>
      </c>
      <c r="D1577" s="159" t="str">
        <f>IFERROR(__xludf.DUMMYFUNCTION("""COMPUTED_VALUE"""),"application/pdf")</f>
        <v>application/pdf</v>
      </c>
    </row>
    <row r="1578">
      <c r="A1578" s="339" t="str">
        <f>IFERROR(__xludf.DUMMYFUNCTION("""COMPUTED_VALUE"""),"10.1016/j.jdeveco.2013.11.009")</f>
        <v>10.1016/j.jdeveco.2013.11.009</v>
      </c>
      <c r="B1578" s="445" t="str">
        <f>IFERROR(__xludf.DUMMYFUNCTION("""COMPUTED_VALUE"""),"https://drive.google.com/file/d/1xCKi2jIhgFLNFXIh1tqbsVNy4b1X0ORl/view?usp=drivesdk")</f>
        <v>https://drive.google.com/file/d/1xCKi2jIhgFLNFXIh1tqbsVNy4b1X0ORl/view?usp=drivesdk</v>
      </c>
      <c r="C1578" s="339" t="str">
        <f>IFERROR(__xludf.DUMMYFUNCTION("""COMPUTED_VALUE"""),"10.1016--j.jdeveco.2013.11.009.pdf")</f>
        <v>10.1016--j.jdeveco.2013.11.009.pdf</v>
      </c>
      <c r="D1578" s="159" t="str">
        <f>IFERROR(__xludf.DUMMYFUNCTION("""COMPUTED_VALUE"""),"application/pdf")</f>
        <v>application/pdf</v>
      </c>
    </row>
    <row r="1579">
      <c r="A1579" s="339" t="str">
        <f>IFERROR(__xludf.DUMMYFUNCTION("""COMPUTED_VALUE"""),"10.1080/19439342.2019.1666901")</f>
        <v>10.1080/19439342.2019.1666901</v>
      </c>
      <c r="B1579" s="445" t="str">
        <f>IFERROR(__xludf.DUMMYFUNCTION("""COMPUTED_VALUE"""),"https://drive.google.com/file/d/1zweuCuQGTBFymJYP-C9po7Nx2FC79uLU/view?usp=drivesdk")</f>
        <v>https://drive.google.com/file/d/1zweuCuQGTBFymJYP-C9po7Nx2FC79uLU/view?usp=drivesdk</v>
      </c>
      <c r="C1579" s="339" t="str">
        <f>IFERROR(__xludf.DUMMYFUNCTION("""COMPUTED_VALUE"""),"10.1080--19439342.2019.1666901.pdf")</f>
        <v>10.1080--19439342.2019.1666901.pdf</v>
      </c>
      <c r="D1579" s="159" t="str">
        <f>IFERROR(__xludf.DUMMYFUNCTION("""COMPUTED_VALUE"""),"application/pdf")</f>
        <v>application/pdf</v>
      </c>
    </row>
    <row r="1580">
      <c r="A1580" s="339" t="str">
        <f>IFERROR(__xludf.DUMMYFUNCTION("""COMPUTED_VALUE"""),"sutskever_2011")</f>
        <v>sutskever_2011</v>
      </c>
      <c r="B1580" s="445" t="str">
        <f>IFERROR(__xludf.DUMMYFUNCTION("""COMPUTED_VALUE"""),"https://drive.google.com/file/d/14pB7xxjJA7lmLI2wB8pu1YBdMJzEzfVa/view?usp=drivesdk")</f>
        <v>https://drive.google.com/file/d/14pB7xxjJA7lmLI2wB8pu1YBdMJzEzfVa/view?usp=drivesdk</v>
      </c>
      <c r="C1580" s="339" t="str">
        <f>IFERROR(__xludf.DUMMYFUNCTION("""COMPUTED_VALUE"""),"sutskever_2011.pdf")</f>
        <v>sutskever_2011.pdf</v>
      </c>
      <c r="D1580" s="159" t="str">
        <f>IFERROR(__xludf.DUMMYFUNCTION("""COMPUTED_VALUE"""),"application/pdf")</f>
        <v>application/pdf</v>
      </c>
    </row>
    <row r="1581">
      <c r="A1581" s="339" t="str">
        <f>IFERROR(__xludf.DUMMYFUNCTION("""COMPUTED_VALUE"""),"10.48550/arxiv.1508.02091")</f>
        <v>10.48550/arxiv.1508.02091</v>
      </c>
      <c r="B1581" s="445" t="str">
        <f>IFERROR(__xludf.DUMMYFUNCTION("""COMPUTED_VALUE"""),"https://drive.google.com/file/d/1UBmpFvlacrp-ogNwAoQBLnhl3X2ya4tY/view?usp=drivesdk")</f>
        <v>https://drive.google.com/file/d/1UBmpFvlacrp-ogNwAoQBLnhl3X2ya4tY/view?usp=drivesdk</v>
      </c>
      <c r="C1581" s="339" t="str">
        <f>IFERROR(__xludf.DUMMYFUNCTION("""COMPUTED_VALUE"""),"10.48550--arxiv.1508.02091.pdf")</f>
        <v>10.48550--arxiv.1508.02091.pdf</v>
      </c>
      <c r="D1581" s="159" t="str">
        <f>IFERROR(__xludf.DUMMYFUNCTION("""COMPUTED_VALUE"""),"application/pdf")</f>
        <v>application/pdf</v>
      </c>
    </row>
    <row r="1582">
      <c r="A1582" s="339" t="str">
        <f>IFERROR(__xludf.DUMMYFUNCTION("""COMPUTED_VALUE"""),"10.1044/2018_jslhr-l-17-0186")</f>
        <v>10.1044/2018_jslhr-l-17-0186</v>
      </c>
      <c r="B1582" s="445" t="str">
        <f>IFERROR(__xludf.DUMMYFUNCTION("""COMPUTED_VALUE"""),"https://drive.google.com/file/d/1ztaNCTNMcic9832FkFVbWcikX6ViaRc1/view?usp=drivesdk")</f>
        <v>https://drive.google.com/file/d/1ztaNCTNMcic9832FkFVbWcikX6ViaRc1/view?usp=drivesdk</v>
      </c>
      <c r="C1582" s="339" t="str">
        <f>IFERROR(__xludf.DUMMYFUNCTION("""COMPUTED_VALUE"""),"10.1044--2018_jslhr-l-17-0186.pdf")</f>
        <v>10.1044--2018_jslhr-l-17-0186.pdf</v>
      </c>
      <c r="D1582" s="159" t="str">
        <f>IFERROR(__xludf.DUMMYFUNCTION("""COMPUTED_VALUE"""),"application/pdf")</f>
        <v>application/pdf</v>
      </c>
    </row>
    <row r="1583">
      <c r="A1583" s="339" t="str">
        <f>IFERROR(__xludf.DUMMYFUNCTION("""COMPUTED_VALUE"""),"olrich_2012")</f>
        <v>olrich_2012</v>
      </c>
      <c r="B1583" s="445" t="str">
        <f>IFERROR(__xludf.DUMMYFUNCTION("""COMPUTED_VALUE"""),"https://drive.google.com/file/d/1lVsU-JQQjMJpRQ_W-tX5W1KVGylC124L/view?usp=drivesdk")</f>
        <v>https://drive.google.com/file/d/1lVsU-JQQjMJpRQ_W-tX5W1KVGylC124L/view?usp=drivesdk</v>
      </c>
      <c r="C1583" s="339" t="str">
        <f>IFERROR(__xludf.DUMMYFUNCTION("""COMPUTED_VALUE"""),"olrich_2012.pdf")</f>
        <v>olrich_2012.pdf</v>
      </c>
      <c r="D1583" s="159" t="str">
        <f>IFERROR(__xludf.DUMMYFUNCTION("""COMPUTED_VALUE"""),"application/pdf")</f>
        <v>application/pdf</v>
      </c>
    </row>
    <row r="1584">
      <c r="A1584" s="339" t="str">
        <f>IFERROR(__xludf.DUMMYFUNCTION("""COMPUTED_VALUE"""),"10.1080/08824090309388831")</f>
        <v>10.1080/08824090309388831</v>
      </c>
      <c r="B1584" s="445" t="str">
        <f>IFERROR(__xludf.DUMMYFUNCTION("""COMPUTED_VALUE"""),"https://drive.google.com/file/d/1fxEvxEPUqtzx_KQxVKAZ8Vc1YLWKHPNw/view?usp=drivesdk")</f>
        <v>https://drive.google.com/file/d/1fxEvxEPUqtzx_KQxVKAZ8Vc1YLWKHPNw/view?usp=drivesdk</v>
      </c>
      <c r="C1584" s="339" t="str">
        <f>IFERROR(__xludf.DUMMYFUNCTION("""COMPUTED_VALUE"""),"10.1080--08824090309388831.pdf")</f>
        <v>10.1080--08824090309388831.pdf</v>
      </c>
      <c r="D1584" s="159" t="str">
        <f>IFERROR(__xludf.DUMMYFUNCTION("""COMPUTED_VALUE"""),"application/pdf")</f>
        <v>application/pdf</v>
      </c>
    </row>
    <row r="1585">
      <c r="A1585" s="339" t="str">
        <f>IFERROR(__xludf.DUMMYFUNCTION("""COMPUTED_VALUE"""),"10.1037/0096-3445.123.2.161")</f>
        <v>10.1037/0096-3445.123.2.161</v>
      </c>
      <c r="B1585" s="445" t="str">
        <f>IFERROR(__xludf.DUMMYFUNCTION("""COMPUTED_VALUE"""),"https://drive.google.com/file/d/1YeRAiUUoJn7JCWOFxz_uEtiLNujMVQoD/view?usp=drivesdk")</f>
        <v>https://drive.google.com/file/d/1YeRAiUUoJn7JCWOFxz_uEtiLNujMVQoD/view?usp=drivesdk</v>
      </c>
      <c r="C1585" s="339" t="str">
        <f>IFERROR(__xludf.DUMMYFUNCTION("""COMPUTED_VALUE"""),"10.1037--0096-3445.123.2.161.pdf")</f>
        <v>10.1037--0096-3445.123.2.161.pdf</v>
      </c>
      <c r="D1585" s="159" t="str">
        <f>IFERROR(__xludf.DUMMYFUNCTION("""COMPUTED_VALUE"""),"application/pdf")</f>
        <v>application/pdf</v>
      </c>
    </row>
    <row r="1586">
      <c r="A1586" s="339" t="str">
        <f>IFERROR(__xludf.DUMMYFUNCTION("""COMPUTED_VALUE"""),"10.1167/8.13.8")</f>
        <v>10.1167/8.13.8</v>
      </c>
      <c r="B1586" s="445" t="str">
        <f>IFERROR(__xludf.DUMMYFUNCTION("""COMPUTED_VALUE"""),"https://drive.google.com/file/d/1x4O6JIJfcmXJ5BRF71cUgtg-OkebBvlf/view?usp=drivesdk")</f>
        <v>https://drive.google.com/file/d/1x4O6JIJfcmXJ5BRF71cUgtg-OkebBvlf/view?usp=drivesdk</v>
      </c>
      <c r="C1586" s="339" t="str">
        <f>IFERROR(__xludf.DUMMYFUNCTION("""COMPUTED_VALUE"""),"10.1167--8.13.8.pdf")</f>
        <v>10.1167--8.13.8.pdf</v>
      </c>
      <c r="D1586" s="159" t="str">
        <f>IFERROR(__xludf.DUMMYFUNCTION("""COMPUTED_VALUE"""),"application/pdf")</f>
        <v>application/pdf</v>
      </c>
    </row>
    <row r="1587">
      <c r="A1587" s="339" t="str">
        <f>IFERROR(__xludf.DUMMYFUNCTION("""COMPUTED_VALUE"""),"10.1212/01.wnl.0000336923.29538.5b")</f>
        <v>10.1212/01.wnl.0000336923.29538.5b</v>
      </c>
      <c r="B1587" s="445" t="str">
        <f>IFERROR(__xludf.DUMMYFUNCTION("""COMPUTED_VALUE"""),"https://drive.google.com/file/d/1KmQPl69kUJYhxJK5n4XPahjqicia4PJt/view?usp=drivesdk")</f>
        <v>https://drive.google.com/file/d/1KmQPl69kUJYhxJK5n4XPahjqicia4PJt/view?usp=drivesdk</v>
      </c>
      <c r="C1587" s="339" t="str">
        <f>IFERROR(__xludf.DUMMYFUNCTION("""COMPUTED_VALUE"""),"10.1212--01.wnl.0000336923.29538.5b.pdf")</f>
        <v>10.1212--01.wnl.0000336923.29538.5b.pdf</v>
      </c>
      <c r="D1587" s="159" t="str">
        <f>IFERROR(__xludf.DUMMYFUNCTION("""COMPUTED_VALUE"""),"application/pdf")</f>
        <v>application/pdf</v>
      </c>
    </row>
    <row r="1588">
      <c r="A1588" s="339" t="str">
        <f>IFERROR(__xludf.DUMMYFUNCTION("""COMPUTED_VALUE"""),"10.1037/0735-7028.12.5.621")</f>
        <v>10.1037/0735-7028.12.5.621</v>
      </c>
      <c r="B1588" s="445" t="str">
        <f>IFERROR(__xludf.DUMMYFUNCTION("""COMPUTED_VALUE"""),"https://drive.google.com/file/d/1fgshuTAp5EYASvbjyVwjxvaYJqATcoxX/view?usp=drivesdk")</f>
        <v>https://drive.google.com/file/d/1fgshuTAp5EYASvbjyVwjxvaYJqATcoxX/view?usp=drivesdk</v>
      </c>
      <c r="C1588" s="339" t="str">
        <f>IFERROR(__xludf.DUMMYFUNCTION("""COMPUTED_VALUE"""),"10.1037--0735-7028.12.5.621.pdf")</f>
        <v>10.1037--0735-7028.12.5.621.pdf</v>
      </c>
      <c r="D1588" s="159" t="str">
        <f>IFERROR(__xludf.DUMMYFUNCTION("""COMPUTED_VALUE"""),"application/pdf")</f>
        <v>application/pdf</v>
      </c>
    </row>
    <row r="1589">
      <c r="A1589" s="339" t="str">
        <f>IFERROR(__xludf.DUMMYFUNCTION("""COMPUTED_VALUE"""),"hellman_1986")</f>
        <v>hellman_1986</v>
      </c>
      <c r="B1589" s="445" t="str">
        <f>IFERROR(__xludf.DUMMYFUNCTION("""COMPUTED_VALUE"""),"https://drive.google.com/file/d/1VKVh8oYZVMF7ogxMCYAq5TkZD-YIXRTo/view?usp=drivesdk")</f>
        <v>https://drive.google.com/file/d/1VKVh8oYZVMF7ogxMCYAq5TkZD-YIXRTo/view?usp=drivesdk</v>
      </c>
      <c r="C1589" s="339" t="str">
        <f>IFERROR(__xludf.DUMMYFUNCTION("""COMPUTED_VALUE"""),"Hellman_1986.pdf")</f>
        <v>Hellman_1986.pdf</v>
      </c>
      <c r="D1589" s="159" t="str">
        <f>IFERROR(__xludf.DUMMYFUNCTION("""COMPUTED_VALUE"""),"application/pdf")</f>
        <v>application/pdf</v>
      </c>
    </row>
    <row r="1590">
      <c r="A1590" s="339" t="str">
        <f>IFERROR(__xludf.DUMMYFUNCTION("""COMPUTED_VALUE"""),"moafian_2009")</f>
        <v>moafian_2009</v>
      </c>
      <c r="B1590" s="445" t="str">
        <f>IFERROR(__xludf.DUMMYFUNCTION("""COMPUTED_VALUE"""),"https://drive.google.com/file/d/1Fqtra9klmDMHU-cOQUvjhrkdy3xHwuuz/view?usp=drivesdk")</f>
        <v>https://drive.google.com/file/d/1Fqtra9klmDMHU-cOQUvjhrkdy3xHwuuz/view?usp=drivesdk</v>
      </c>
      <c r="C1590" s="339" t="str">
        <f>IFERROR(__xludf.DUMMYFUNCTION("""COMPUTED_VALUE"""),"moafian_2009.pdf")</f>
        <v>moafian_2009.pdf</v>
      </c>
      <c r="D1590" s="159" t="str">
        <f>IFERROR(__xludf.DUMMYFUNCTION("""COMPUTED_VALUE"""),"application/pdf")</f>
        <v>application/pdf</v>
      </c>
    </row>
    <row r="1591">
      <c r="A1591" s="339" t="str">
        <f>IFERROR(__xludf.DUMMYFUNCTION("""COMPUTED_VALUE"""),"khodadady_2010")</f>
        <v>khodadady_2010</v>
      </c>
      <c r="B1591" s="445" t="str">
        <f>IFERROR(__xludf.DUMMYFUNCTION("""COMPUTED_VALUE"""),"https://drive.google.com/file/d/1etb_ZFpybANJqZz2MCBhjrlqErHm_Xss/view?usp=drivesdk")</f>
        <v>https://drive.google.com/file/d/1etb_ZFpybANJqZz2MCBhjrlqErHm_Xss/view?usp=drivesdk</v>
      </c>
      <c r="C1591" s="339" t="str">
        <f>IFERROR(__xludf.DUMMYFUNCTION("""COMPUTED_VALUE"""),"khodadady_2010.pdf")</f>
        <v>khodadady_2010.pdf</v>
      </c>
      <c r="D1591" s="159" t="str">
        <f>IFERROR(__xludf.DUMMYFUNCTION("""COMPUTED_VALUE"""),"application/pdf")</f>
        <v>application/pdf</v>
      </c>
    </row>
    <row r="1592">
      <c r="A1592" s="339" t="str">
        <f>IFERROR(__xludf.DUMMYFUNCTION("""COMPUTED_VALUE"""),"10.1002/pchj.165")</f>
        <v>10.1002/pchj.165</v>
      </c>
      <c r="B1592" s="445" t="str">
        <f>IFERROR(__xludf.DUMMYFUNCTION("""COMPUTED_VALUE"""),"https://drive.google.com/file/d/1fcT-_41UBP0nPM79dXTm3kIIFXZ-CwU_/view?usp=drivesdk")</f>
        <v>https://drive.google.com/file/d/1fcT-_41UBP0nPM79dXTm3kIIFXZ-CwU_/view?usp=drivesdk</v>
      </c>
      <c r="C1592" s="339" t="str">
        <f>IFERROR(__xludf.DUMMYFUNCTION("""COMPUTED_VALUE"""),"10.1002--pchj.165.pdf")</f>
        <v>10.1002--pchj.165.pdf</v>
      </c>
      <c r="D1592" s="159" t="str">
        <f>IFERROR(__xludf.DUMMYFUNCTION("""COMPUTED_VALUE"""),"application/pdf")</f>
        <v>application/pdf</v>
      </c>
    </row>
    <row r="1593">
      <c r="A1593" s="339" t="str">
        <f>IFERROR(__xludf.DUMMYFUNCTION("""COMPUTED_VALUE"""),"10.1002/pchj.330")</f>
        <v>10.1002/pchj.330</v>
      </c>
      <c r="B1593" s="445" t="str">
        <f>IFERROR(__xludf.DUMMYFUNCTION("""COMPUTED_VALUE"""),"https://drive.google.com/file/d/1ux9Vk8iRdCh3nUw1THQcPgKIWYpD9xmZ/view?usp=drivesdk")</f>
        <v>https://drive.google.com/file/d/1ux9Vk8iRdCh3nUw1THQcPgKIWYpD9xmZ/view?usp=drivesdk</v>
      </c>
      <c r="C1593" s="339" t="str">
        <f>IFERROR(__xludf.DUMMYFUNCTION("""COMPUTED_VALUE"""),"10.1002--pchj.330.pdf")</f>
        <v>10.1002--pchj.330.pdf</v>
      </c>
      <c r="D1593" s="159" t="str">
        <f>IFERROR(__xludf.DUMMYFUNCTION("""COMPUTED_VALUE"""),"application/pdf")</f>
        <v>application/pdf</v>
      </c>
    </row>
    <row r="1594">
      <c r="A1594" s="339" t="str">
        <f>IFERROR(__xludf.DUMMYFUNCTION("""COMPUTED_VALUE"""),"10.3324/haematol.2019.216895")</f>
        <v>10.3324/haematol.2019.216895</v>
      </c>
      <c r="B1594" s="445" t="str">
        <f>IFERROR(__xludf.DUMMYFUNCTION("""COMPUTED_VALUE"""),"https://drive.google.com/file/d/1OcQULkxzM7RO5zkJ2Cvo5E25LQm4ZJnc/view?usp=drivesdk")</f>
        <v>https://drive.google.com/file/d/1OcQULkxzM7RO5zkJ2Cvo5E25LQm4ZJnc/view?usp=drivesdk</v>
      </c>
      <c r="C1594" s="339" t="str">
        <f>IFERROR(__xludf.DUMMYFUNCTION("""COMPUTED_VALUE"""),"10.3324--haematol.2019.216895.pdf")</f>
        <v>10.3324--haematol.2019.216895.pdf</v>
      </c>
      <c r="D1594" s="159" t="str">
        <f>IFERROR(__xludf.DUMMYFUNCTION("""COMPUTED_VALUE"""),"application/pdf")</f>
        <v>application/pdf</v>
      </c>
    </row>
    <row r="1595">
      <c r="A1595" s="339" t="str">
        <f>IFERROR(__xludf.DUMMYFUNCTION("""COMPUTED_VALUE"""),"10.1177/2329488415613338")</f>
        <v>10.1177/2329488415613338</v>
      </c>
      <c r="B1595" s="445" t="str">
        <f>IFERROR(__xludf.DUMMYFUNCTION("""COMPUTED_VALUE"""),"https://drive.google.com/file/d/1I4I0m_pHjR5-S87Awq5L-P8ViNsdN0P2/view?usp=drivesdk")</f>
        <v>https://drive.google.com/file/d/1I4I0m_pHjR5-S87Awq5L-P8ViNsdN0P2/view?usp=drivesdk</v>
      </c>
      <c r="C1595" s="339" t="str">
        <f>IFERROR(__xludf.DUMMYFUNCTION("""COMPUTED_VALUE"""),"10.1177--2329488415613338.pdf")</f>
        <v>10.1177--2329488415613338.pdf</v>
      </c>
      <c r="D1595" s="159" t="str">
        <f>IFERROR(__xludf.DUMMYFUNCTION("""COMPUTED_VALUE"""),"application/pdf")</f>
        <v>application/pdf</v>
      </c>
    </row>
    <row r="1596">
      <c r="A1596" s="339" t="str">
        <f>IFERROR(__xludf.DUMMYFUNCTION("""COMPUTED_VALUE"""),"10.1016/s0749-596x(03)00096-2")</f>
        <v>10.1016/s0749-596x(03)00096-2</v>
      </c>
      <c r="B1596" s="445" t="str">
        <f>IFERROR(__xludf.DUMMYFUNCTION("""COMPUTED_VALUE"""),"https://drive.google.com/file/d/113T5iFthusQwAPJ1Sc6kGoz9Q2tKz_Fz/view?usp=drivesdk")</f>
        <v>https://drive.google.com/file/d/113T5iFthusQwAPJ1Sc6kGoz9Q2tKz_Fz/view?usp=drivesdk</v>
      </c>
      <c r="C1596" s="339" t="str">
        <f>IFERROR(__xludf.DUMMYFUNCTION("""COMPUTED_VALUE"""),"10.1016--s0749-596x(03)00096-2.pdf")</f>
        <v>10.1016--s0749-596x(03)00096-2.pdf</v>
      </c>
      <c r="D1596" s="159" t="str">
        <f>IFERROR(__xludf.DUMMYFUNCTION("""COMPUTED_VALUE"""),"application/pdf")</f>
        <v>application/pdf</v>
      </c>
    </row>
    <row r="1597">
      <c r="A1597" s="339" t="str">
        <f>IFERROR(__xludf.DUMMYFUNCTION("""COMPUTED_VALUE"""),"10.18178/ijssh.2023.v13.1164")</f>
        <v>10.18178/ijssh.2023.v13.1164</v>
      </c>
      <c r="B1597" s="445" t="str">
        <f>IFERROR(__xludf.DUMMYFUNCTION("""COMPUTED_VALUE"""),"https://drive.google.com/file/d/1x7tu9K23ldFYkVgD6uS9kCTbWp7l185U/view?usp=drivesdk")</f>
        <v>https://drive.google.com/file/d/1x7tu9K23ldFYkVgD6uS9kCTbWp7l185U/view?usp=drivesdk</v>
      </c>
      <c r="C1597" s="339" t="str">
        <f>IFERROR(__xludf.DUMMYFUNCTION("""COMPUTED_VALUE"""),"10.18178--ijssh.2023.v13.1164.pdf")</f>
        <v>10.18178--ijssh.2023.v13.1164.pdf</v>
      </c>
      <c r="D1597" s="159" t="str">
        <f>IFERROR(__xludf.DUMMYFUNCTION("""COMPUTED_VALUE"""),"application/pdf")</f>
        <v>application/pdf</v>
      </c>
    </row>
    <row r="1598">
      <c r="A1598" s="339" t="str">
        <f>IFERROR(__xludf.DUMMYFUNCTION("""COMPUTED_VALUE"""),"10.1257/aer.100.5.2548")</f>
        <v>10.1257/aer.100.5.2548</v>
      </c>
      <c r="B1598" s="445" t="str">
        <f>IFERROR(__xludf.DUMMYFUNCTION("""COMPUTED_VALUE"""),"https://drive.google.com/file/d/1VQnkProdvpIkmlBgJxAJkdrXgfio2KWT/view?usp=drivesdk")</f>
        <v>https://drive.google.com/file/d/1VQnkProdvpIkmlBgJxAJkdrXgfio2KWT/view?usp=drivesdk</v>
      </c>
      <c r="C1598" s="339" t="str">
        <f>IFERROR(__xludf.DUMMYFUNCTION("""COMPUTED_VALUE"""),"10.1257--aer.100.5.2548.pdf")</f>
        <v>10.1257--aer.100.5.2548.pdf</v>
      </c>
      <c r="D1598" s="159" t="str">
        <f>IFERROR(__xludf.DUMMYFUNCTION("""COMPUTED_VALUE"""),"application/pdf")</f>
        <v>application/pdf</v>
      </c>
    </row>
    <row r="1599">
      <c r="A1599" s="339" t="str">
        <f>IFERROR(__xludf.DUMMYFUNCTION("""COMPUTED_VALUE"""),"kocher_2010")</f>
        <v>kocher_2010</v>
      </c>
      <c r="B1599" s="445" t="str">
        <f>IFERROR(__xludf.DUMMYFUNCTION("""COMPUTED_VALUE"""),"https://drive.google.com/file/d/1B3NfSMdVcBJCqudkJmRWgjNxwcpwkhUF/view?usp=drivesdk")</f>
        <v>https://drive.google.com/file/d/1B3NfSMdVcBJCqudkJmRWgjNxwcpwkhUF/view?usp=drivesdk</v>
      </c>
      <c r="C1599" s="339" t="str">
        <f>IFERROR(__xludf.DUMMYFUNCTION("""COMPUTED_VALUE"""),"kocher_2010.pdf")</f>
        <v>kocher_2010.pdf</v>
      </c>
      <c r="D1599" s="159" t="str">
        <f>IFERROR(__xludf.DUMMYFUNCTION("""COMPUTED_VALUE"""),"application/pdf")</f>
        <v>application/pdf</v>
      </c>
    </row>
    <row r="1600">
      <c r="A1600" s="339" t="str">
        <f>IFERROR(__xludf.DUMMYFUNCTION("""COMPUTED_VALUE"""),"10.1037/lhb0000468")</f>
        <v>10.1037/lhb0000468</v>
      </c>
      <c r="B1600" s="445" t="str">
        <f>IFERROR(__xludf.DUMMYFUNCTION("""COMPUTED_VALUE"""),"https://drive.google.com/file/d/1HAJ1ns2XbdVKQaQ3XuUzmgPWg7aVeMSd/view?usp=drivesdk")</f>
        <v>https://drive.google.com/file/d/1HAJ1ns2XbdVKQaQ3XuUzmgPWg7aVeMSd/view?usp=drivesdk</v>
      </c>
      <c r="C1600" s="339" t="str">
        <f>IFERROR(__xludf.DUMMYFUNCTION("""COMPUTED_VALUE"""),"10.1037--lhb0000468.pdf")</f>
        <v>10.1037--lhb0000468.pdf</v>
      </c>
      <c r="D1600" s="159" t="str">
        <f>IFERROR(__xludf.DUMMYFUNCTION("""COMPUTED_VALUE"""),"application/pdf")</f>
        <v>application/pdf</v>
      </c>
    </row>
    <row r="1601">
      <c r="A1601" s="339" t="str">
        <f>IFERROR(__xludf.DUMMYFUNCTION("""COMPUTED_VALUE"""),"10.1177/0091552108322631")</f>
        <v>10.1177/0091552108322631</v>
      </c>
      <c r="B1601" s="445" t="str">
        <f>IFERROR(__xludf.DUMMYFUNCTION("""COMPUTED_VALUE"""),"https://drive.google.com/file/d/14jH9052Y-B39txmZqE_UcOwE4vP5gfEU/view?usp=drivesdk")</f>
        <v>https://drive.google.com/file/d/14jH9052Y-B39txmZqE_UcOwE4vP5gfEU/view?usp=drivesdk</v>
      </c>
      <c r="C1601" s="339" t="str">
        <f>IFERROR(__xludf.DUMMYFUNCTION("""COMPUTED_VALUE"""),"10.1177--0091552108322631.pdf")</f>
        <v>10.1177--0091552108322631.pdf</v>
      </c>
      <c r="D1601" s="159" t="str">
        <f>IFERROR(__xludf.DUMMYFUNCTION("""COMPUTED_VALUE"""),"application/pdf")</f>
        <v>application/pdf</v>
      </c>
    </row>
    <row r="1602">
      <c r="A1602" s="339" t="str">
        <f>IFERROR(__xludf.DUMMYFUNCTION("""COMPUTED_VALUE"""),"10.1080/10668926.2016.1179606")</f>
        <v>10.1080/10668926.2016.1179606</v>
      </c>
      <c r="B1602" s="445" t="str">
        <f>IFERROR(__xludf.DUMMYFUNCTION("""COMPUTED_VALUE"""),"https://drive.google.com/file/d/1KOj1T7OWEN93jSsxymEmGAuwZA2RLwG9/view?usp=drivesdk")</f>
        <v>https://drive.google.com/file/d/1KOj1T7OWEN93jSsxymEmGAuwZA2RLwG9/view?usp=drivesdk</v>
      </c>
      <c r="C1602" s="339" t="str">
        <f>IFERROR(__xludf.DUMMYFUNCTION("""COMPUTED_VALUE"""),"10.1080--10668926.2016.1179606.pdf")</f>
        <v>10.1080--10668926.2016.1179606.pdf</v>
      </c>
      <c r="D1602" s="159" t="str">
        <f>IFERROR(__xludf.DUMMYFUNCTION("""COMPUTED_VALUE"""),"application/pdf")</f>
        <v>application/pdf</v>
      </c>
    </row>
    <row r="1603">
      <c r="A1603" s="339" t="str">
        <f>IFERROR(__xludf.DUMMYFUNCTION("""COMPUTED_VALUE"""),"10.3758/bf03193744")</f>
        <v>10.3758/bf03193744</v>
      </c>
      <c r="B1603" s="445" t="str">
        <f>IFERROR(__xludf.DUMMYFUNCTION("""COMPUTED_VALUE"""),"https://drive.google.com/file/d/1IUaUpHapf3YDvm4IAsn2GR3rwIWKk8-u/view?usp=drivesdk")</f>
        <v>https://drive.google.com/file/d/1IUaUpHapf3YDvm4IAsn2GR3rwIWKk8-u/view?usp=drivesdk</v>
      </c>
      <c r="C1603" s="339" t="str">
        <f>IFERROR(__xludf.DUMMYFUNCTION("""COMPUTED_VALUE"""),"10.3758--bf03193744.pdf")</f>
        <v>10.3758--bf03193744.pdf</v>
      </c>
      <c r="D1603" s="159" t="str">
        <f>IFERROR(__xludf.DUMMYFUNCTION("""COMPUTED_VALUE"""),"application/pdf")</f>
        <v>application/pdf</v>
      </c>
    </row>
    <row r="1604">
      <c r="A1604" s="339" t="str">
        <f>IFERROR(__xludf.DUMMYFUNCTION("""COMPUTED_VALUE"""),"ronquest_2007")</f>
        <v>ronquest_2007</v>
      </c>
      <c r="B1604" s="445" t="str">
        <f>IFERROR(__xludf.DUMMYFUNCTION("""COMPUTED_VALUE"""),"https://drive.google.com/file/d/1aq_GhJDsarVdykJeXwEQt85WtSoOjtt-/view?usp=drivesdk")</f>
        <v>https://drive.google.com/file/d/1aq_GhJDsarVdykJeXwEQt85WtSoOjtt-/view?usp=drivesdk</v>
      </c>
      <c r="C1604" s="339" t="str">
        <f>IFERROR(__xludf.DUMMYFUNCTION("""COMPUTED_VALUE"""),"ronquest_2007.pdf")</f>
        <v>ronquest_2007.pdf</v>
      </c>
      <c r="D1604" s="159" t="str">
        <f>IFERROR(__xludf.DUMMYFUNCTION("""COMPUTED_VALUE"""),"application/pdf")</f>
        <v>application/pdf</v>
      </c>
    </row>
    <row r="1605">
      <c r="A1605" s="339" t="str">
        <f>IFERROR(__xludf.DUMMYFUNCTION("""COMPUTED_VALUE"""),"10.1038/ng.2520")</f>
        <v>10.1038/ng.2520</v>
      </c>
      <c r="B1605" s="445" t="str">
        <f>IFERROR(__xludf.DUMMYFUNCTION("""COMPUTED_VALUE"""),"https://drive.google.com/file/d/1nwwSpxsRv8h1nEfNq5dP5jW5w7hGyB76/view?usp=drivesdk")</f>
        <v>https://drive.google.com/file/d/1nwwSpxsRv8h1nEfNq5dP5jW5w7hGyB76/view?usp=drivesdk</v>
      </c>
      <c r="C1605" s="339" t="str">
        <f>IFERROR(__xludf.DUMMYFUNCTION("""COMPUTED_VALUE"""),"10.1038--ng.2520.pdf")</f>
        <v>10.1038--ng.2520.pdf</v>
      </c>
      <c r="D1605" s="159" t="str">
        <f>IFERROR(__xludf.DUMMYFUNCTION("""COMPUTED_VALUE"""),"application/pdf")</f>
        <v>application/pdf</v>
      </c>
    </row>
    <row r="1606">
      <c r="A1606" s="339" t="str">
        <f>IFERROR(__xludf.DUMMYFUNCTION("""COMPUTED_VALUE"""),"10.1371/journal.pone.0102100")</f>
        <v>10.1371/journal.pone.0102100</v>
      </c>
      <c r="B1606" s="445" t="str">
        <f>IFERROR(__xludf.DUMMYFUNCTION("""COMPUTED_VALUE"""),"https://drive.google.com/file/d/1hgBL2V_rjvQryQv61QIxzGsOEn1dgFih/view?usp=drivesdk")</f>
        <v>https://drive.google.com/file/d/1hgBL2V_rjvQryQv61QIxzGsOEn1dgFih/view?usp=drivesdk</v>
      </c>
      <c r="C1606" s="339" t="str">
        <f>IFERROR(__xludf.DUMMYFUNCTION("""COMPUTED_VALUE"""),"10.1371--journal.pone.0102100.pdf")</f>
        <v>10.1371--journal.pone.0102100.pdf</v>
      </c>
      <c r="D1606" s="159" t="str">
        <f>IFERROR(__xludf.DUMMYFUNCTION("""COMPUTED_VALUE"""),"application/pdf")</f>
        <v>application/pdf</v>
      </c>
    </row>
    <row r="1607">
      <c r="A1607" s="339" t="str">
        <f>IFERROR(__xludf.DUMMYFUNCTION("""COMPUTED_VALUE"""),"riveron_2011")</f>
        <v>riveron_2011</v>
      </c>
      <c r="B1607" s="445" t="str">
        <f>IFERROR(__xludf.DUMMYFUNCTION("""COMPUTED_VALUE"""),"https://drive.google.com/file/d/1O-sKBfMGvOeBhLDMh6guDnAcUYeLkWMN/view?usp=drivesdk")</f>
        <v>https://drive.google.com/file/d/1O-sKBfMGvOeBhLDMh6guDnAcUYeLkWMN/view?usp=drivesdk</v>
      </c>
      <c r="C1607" s="339" t="str">
        <f>IFERROR(__xludf.DUMMYFUNCTION("""COMPUTED_VALUE"""),"riveron_2011.pdf")</f>
        <v>riveron_2011.pdf</v>
      </c>
      <c r="D1607" s="159" t="str">
        <f>IFERROR(__xludf.DUMMYFUNCTION("""COMPUTED_VALUE"""),"application/pdf")</f>
        <v>application/pdf</v>
      </c>
    </row>
    <row r="1608">
      <c r="A1608" s="339" t="str">
        <f>IFERROR(__xludf.DUMMYFUNCTION("""COMPUTED_VALUE"""),"10.1080/13218719.2024.2346719")</f>
        <v>10.1080/13218719.2024.2346719</v>
      </c>
      <c r="B1608" s="445" t="str">
        <f>IFERROR(__xludf.DUMMYFUNCTION("""COMPUTED_VALUE"""),"https://drive.google.com/file/d/1SW6QIWVb63IrcrZA_J0ZrV_2sVVIW3fd/view?usp=drivesdk")</f>
        <v>https://drive.google.com/file/d/1SW6QIWVb63IrcrZA_J0ZrV_2sVVIW3fd/view?usp=drivesdk</v>
      </c>
      <c r="C1608" s="339" t="str">
        <f>IFERROR(__xludf.DUMMYFUNCTION("""COMPUTED_VALUE"""),"10.1080--13218719.2024.2346719.pdf")</f>
        <v>10.1080--13218719.2024.2346719.pdf</v>
      </c>
      <c r="D1608" s="159" t="str">
        <f>IFERROR(__xludf.DUMMYFUNCTION("""COMPUTED_VALUE"""),"application/pdf")</f>
        <v>application/pdf</v>
      </c>
    </row>
    <row r="1609">
      <c r="A1609" s="339" t="str">
        <f>IFERROR(__xludf.DUMMYFUNCTION("""COMPUTED_VALUE"""),"10.3233/jvr-140722")</f>
        <v>10.3233/jvr-140722</v>
      </c>
      <c r="B1609" s="445" t="str">
        <f>IFERROR(__xludf.DUMMYFUNCTION("""COMPUTED_VALUE"""),"https://drive.google.com/file/d/15s7XZ2w8McXrD_Mrsb3xv87PaPPdWjHp/view?usp=drivesdk")</f>
        <v>https://drive.google.com/file/d/15s7XZ2w8McXrD_Mrsb3xv87PaPPdWjHp/view?usp=drivesdk</v>
      </c>
      <c r="C1609" s="339" t="str">
        <f>IFERROR(__xludf.DUMMYFUNCTION("""COMPUTED_VALUE"""),"10.3233--jvr-140722.pdf")</f>
        <v>10.3233--jvr-140722.pdf</v>
      </c>
      <c r="D1609" s="159" t="str">
        <f>IFERROR(__xludf.DUMMYFUNCTION("""COMPUTED_VALUE"""),"application/pdf")</f>
        <v>application/pdf</v>
      </c>
    </row>
    <row r="1610">
      <c r="A1610" s="339" t="str">
        <f>IFERROR(__xludf.DUMMYFUNCTION("""COMPUTED_VALUE"""),"10.3233/jvr-180933")</f>
        <v>10.3233/jvr-180933</v>
      </c>
      <c r="B1610" s="445" t="str">
        <f>IFERROR(__xludf.DUMMYFUNCTION("""COMPUTED_VALUE"""),"https://drive.google.com/file/d/1L1CY2uNEtVAZ2M1wtnkW5opNKE3od0dD/view?usp=drivesdk")</f>
        <v>https://drive.google.com/file/d/1L1CY2uNEtVAZ2M1wtnkW5opNKE3od0dD/view?usp=drivesdk</v>
      </c>
      <c r="C1610" s="339" t="str">
        <f>IFERROR(__xludf.DUMMYFUNCTION("""COMPUTED_VALUE"""),"10.3233--jvr-180933.pdf")</f>
        <v>10.3233--jvr-180933.pdf</v>
      </c>
      <c r="D1610" s="159" t="str">
        <f>IFERROR(__xludf.DUMMYFUNCTION("""COMPUTED_VALUE"""),"application/pdf")</f>
        <v>application/pdf</v>
      </c>
    </row>
    <row r="1611">
      <c r="A1611" s="339" t="str">
        <f>IFERROR(__xludf.DUMMYFUNCTION("""COMPUTED_VALUE"""),"10.1080/15332960802125973")</f>
        <v>10.1080/15332960802125973</v>
      </c>
      <c r="B1611" s="445" t="str">
        <f>IFERROR(__xludf.DUMMYFUNCTION("""COMPUTED_VALUE"""),"https://drive.google.com/file/d/1kUkgnAiPA_CTZPxGTEMJYgoAThjAiJUc/view?usp=drivesdk")</f>
        <v>https://drive.google.com/file/d/1kUkgnAiPA_CTZPxGTEMJYgoAThjAiJUc/view?usp=drivesdk</v>
      </c>
      <c r="C1611" s="339" t="str">
        <f>IFERROR(__xludf.DUMMYFUNCTION("""COMPUTED_VALUE"""),"10.1080--15332960802125973.pdf")</f>
        <v>10.1080--15332960802125973.pdf</v>
      </c>
      <c r="D1611" s="159" t="str">
        <f>IFERROR(__xludf.DUMMYFUNCTION("""COMPUTED_VALUE"""),"application/pdf")</f>
        <v>application/pdf</v>
      </c>
    </row>
    <row r="1612">
      <c r="A1612" s="339" t="str">
        <f>IFERROR(__xludf.DUMMYFUNCTION("""COMPUTED_VALUE"""),"10.2466/pr0.1972.31.2.577")</f>
        <v>10.2466/pr0.1972.31.2.577</v>
      </c>
      <c r="B1612" s="445" t="str">
        <f>IFERROR(__xludf.DUMMYFUNCTION("""COMPUTED_VALUE"""),"https://drive.google.com/file/d/14KPB8AgtcbBvaWLCb-_Yq8xJg0lt0AUZ/view?usp=drivesdk")</f>
        <v>https://drive.google.com/file/d/14KPB8AgtcbBvaWLCb-_Yq8xJg0lt0AUZ/view?usp=drivesdk</v>
      </c>
      <c r="C1612" s="339" t="str">
        <f>IFERROR(__xludf.DUMMYFUNCTION("""COMPUTED_VALUE"""),"10.2466--pr0.1972.31.2.577.pdf")</f>
        <v>10.2466--pr0.1972.31.2.577.pdf</v>
      </c>
      <c r="D1612" s="159" t="str">
        <f>IFERROR(__xludf.DUMMYFUNCTION("""COMPUTED_VALUE"""),"application/pdf")</f>
        <v>application/pdf</v>
      </c>
    </row>
    <row r="1613">
      <c r="A1613" s="339" t="str">
        <f>IFERROR(__xludf.DUMMYFUNCTION("""COMPUTED_VALUE"""),"10.2466/pms.1996.83.2.489")</f>
        <v>10.2466/pms.1996.83.2.489</v>
      </c>
      <c r="B1613" s="445" t="str">
        <f>IFERROR(__xludf.DUMMYFUNCTION("""COMPUTED_VALUE"""),"https://drive.google.com/file/d/1MY_dSeo7VLaXc9MOczDS807AopQO4R3o/view?usp=drivesdk")</f>
        <v>https://drive.google.com/file/d/1MY_dSeo7VLaXc9MOczDS807AopQO4R3o/view?usp=drivesdk</v>
      </c>
      <c r="C1613" s="339" t="str">
        <f>IFERROR(__xludf.DUMMYFUNCTION("""COMPUTED_VALUE"""),"10.2466--pms.1996.83.2.489.pdf")</f>
        <v>10.2466--pms.1996.83.2.489.pdf</v>
      </c>
      <c r="D1613" s="159" t="str">
        <f>IFERROR(__xludf.DUMMYFUNCTION("""COMPUTED_VALUE"""),"application/pdf")</f>
        <v>application/pdf</v>
      </c>
    </row>
    <row r="1614">
      <c r="A1614" s="339" t="str">
        <f>IFERROR(__xludf.DUMMYFUNCTION("""COMPUTED_VALUE"""),"10.1194/jlr.m600184-jlr200")</f>
        <v>10.1194/jlr.m600184-jlr200</v>
      </c>
      <c r="B1614" s="445" t="str">
        <f>IFERROR(__xludf.DUMMYFUNCTION("""COMPUTED_VALUE"""),"https://drive.google.com/file/d/1t1HQxtIATv0J1laVCwZjp1toOO9JWLzJ/view?usp=drivesdk")</f>
        <v>https://drive.google.com/file/d/1t1HQxtIATv0J1laVCwZjp1toOO9JWLzJ/view?usp=drivesdk</v>
      </c>
      <c r="C1614" s="339" t="str">
        <f>IFERROR(__xludf.DUMMYFUNCTION("""COMPUTED_VALUE"""),"10.1194--jlr.m600184-jlr200.pdf")</f>
        <v>10.1194--jlr.m600184-jlr200.pdf</v>
      </c>
      <c r="D1614" s="159" t="str">
        <f>IFERROR(__xludf.DUMMYFUNCTION("""COMPUTED_VALUE"""),"application/pdf")</f>
        <v>application/pdf</v>
      </c>
    </row>
    <row r="1615">
      <c r="A1615" s="339" t="str">
        <f>IFERROR(__xludf.DUMMYFUNCTION("""COMPUTED_VALUE"""),"10.1080/17470218.2016.1206130")</f>
        <v>10.1080/17470218.2016.1206130</v>
      </c>
      <c r="B1615" s="445" t="str">
        <f>IFERROR(__xludf.DUMMYFUNCTION("""COMPUTED_VALUE"""),"https://drive.google.com/file/d/19cpcq3ezvypZIsaAin8XO8Aa1VSsx2HR/view?usp=drivesdk")</f>
        <v>https://drive.google.com/file/d/19cpcq3ezvypZIsaAin8XO8Aa1VSsx2HR/view?usp=drivesdk</v>
      </c>
      <c r="C1615" s="339" t="str">
        <f>IFERROR(__xludf.DUMMYFUNCTION("""COMPUTED_VALUE"""),"10.1080--17470218.2016.1206130.pdf")</f>
        <v>10.1080--17470218.2016.1206130.pdf</v>
      </c>
      <c r="D1615" s="159" t="str">
        <f>IFERROR(__xludf.DUMMYFUNCTION("""COMPUTED_VALUE"""),"application/pdf")</f>
        <v>application/pdf</v>
      </c>
    </row>
    <row r="1616">
      <c r="A1616" s="339" t="str">
        <f>IFERROR(__xludf.DUMMYFUNCTION("""COMPUTED_VALUE"""),"10.1525/eth.1984.12.2.02a00040")</f>
        <v>10.1525/eth.1984.12.2.02a00040</v>
      </c>
      <c r="B1616" s="445" t="str">
        <f>IFERROR(__xludf.DUMMYFUNCTION("""COMPUTED_VALUE"""),"https://drive.google.com/file/d/1KSmDzoCH8UOb5PPH4HVVWk0R_iEqvXiq/view?usp=drivesdk")</f>
        <v>https://drive.google.com/file/d/1KSmDzoCH8UOb5PPH4HVVWk0R_iEqvXiq/view?usp=drivesdk</v>
      </c>
      <c r="C1616" s="339" t="str">
        <f>IFERROR(__xludf.DUMMYFUNCTION("""COMPUTED_VALUE"""),"10.1525--eth.1984.12.2.02a00040.pdf")</f>
        <v>10.1525--eth.1984.12.2.02a00040.pdf</v>
      </c>
      <c r="D1616" s="159" t="str">
        <f>IFERROR(__xludf.DUMMYFUNCTION("""COMPUTED_VALUE"""),"application/pdf")</f>
        <v>application/pdf</v>
      </c>
    </row>
    <row r="1617">
      <c r="A1617" s="339" t="str">
        <f>IFERROR(__xludf.DUMMYFUNCTION("""COMPUTED_VALUE"""),"10.1177/106939719502900203")</f>
        <v>10.1177/106939719502900203</v>
      </c>
      <c r="B1617" s="445" t="str">
        <f>IFERROR(__xludf.DUMMYFUNCTION("""COMPUTED_VALUE"""),"https://drive.google.com/file/d/1EiZgMw2qP3p2Nl8KNZdPlnqAh-NzSUGq/view?usp=drivesdk")</f>
        <v>https://drive.google.com/file/d/1EiZgMw2qP3p2Nl8KNZdPlnqAh-NzSUGq/view?usp=drivesdk</v>
      </c>
      <c r="C1617" s="339" t="str">
        <f>IFERROR(__xludf.DUMMYFUNCTION("""COMPUTED_VALUE"""),"10.1177--106939719502900203.pdf")</f>
        <v>10.1177--106939719502900203.pdf</v>
      </c>
      <c r="D1617" s="159" t="str">
        <f>IFERROR(__xludf.DUMMYFUNCTION("""COMPUTED_VALUE"""),"application/pdf")</f>
        <v>application/pdf</v>
      </c>
    </row>
    <row r="1618">
      <c r="A1618" s="339" t="str">
        <f>IFERROR(__xludf.DUMMYFUNCTION("""COMPUTED_VALUE"""),"10.1901/jaba.1996.29-201")</f>
        <v>10.1901/jaba.1996.29-201</v>
      </c>
      <c r="B1618" s="445" t="str">
        <f>IFERROR(__xludf.DUMMYFUNCTION("""COMPUTED_VALUE"""),"https://drive.google.com/file/d/1pF30Q42RIER3XJUtsQhHQ9S4ZW72pLMZ/view?usp=drivesdk")</f>
        <v>https://drive.google.com/file/d/1pF30Q42RIER3XJUtsQhHQ9S4ZW72pLMZ/view?usp=drivesdk</v>
      </c>
      <c r="C1618" s="339" t="str">
        <f>IFERROR(__xludf.DUMMYFUNCTION("""COMPUTED_VALUE"""),"10.1901--jaba.1996.29-201.pdf")</f>
        <v>10.1901--jaba.1996.29-201.pdf</v>
      </c>
      <c r="D1618" s="159" t="str">
        <f>IFERROR(__xludf.DUMMYFUNCTION("""COMPUTED_VALUE"""),"application/pdf")</f>
        <v>application/pdf</v>
      </c>
    </row>
    <row r="1619">
      <c r="A1619" s="339" t="str">
        <f>IFERROR(__xludf.DUMMYFUNCTION("""COMPUTED_VALUE"""),"10.1901/jaba.2000.33-335")</f>
        <v>10.1901/jaba.2000.33-335</v>
      </c>
      <c r="B1619" s="445" t="str">
        <f>IFERROR(__xludf.DUMMYFUNCTION("""COMPUTED_VALUE"""),"https://drive.google.com/file/d/1NgKwMpaMntmxKioBNsVEEMKCvR7DC-5T/view?usp=drivesdk")</f>
        <v>https://drive.google.com/file/d/1NgKwMpaMntmxKioBNsVEEMKCvR7DC-5T/view?usp=drivesdk</v>
      </c>
      <c r="C1619" s="339" t="str">
        <f>IFERROR(__xludf.DUMMYFUNCTION("""COMPUTED_VALUE"""),"10.1901--jaba.2000.33-335.pdf")</f>
        <v>10.1901--jaba.2000.33-335.pdf</v>
      </c>
      <c r="D1619" s="159" t="str">
        <f>IFERROR(__xludf.DUMMYFUNCTION("""COMPUTED_VALUE"""),"application/pdf")</f>
        <v>application/pdf</v>
      </c>
    </row>
    <row r="1620">
      <c r="A1620" s="339" t="str">
        <f>IFERROR(__xludf.DUMMYFUNCTION("""COMPUTED_VALUE"""),"10.1207/s15374424jccp2501_10")</f>
        <v>10.1207/s15374424jccp2501_10</v>
      </c>
      <c r="B1620" s="445" t="str">
        <f>IFERROR(__xludf.DUMMYFUNCTION("""COMPUTED_VALUE"""),"https://drive.google.com/file/d/1wX8xyOPCKq3gKvrftl23eb3vJeRwT0Q4/view?usp=drivesdk")</f>
        <v>https://drive.google.com/file/d/1wX8xyOPCKq3gKvrftl23eb3vJeRwT0Q4/view?usp=drivesdk</v>
      </c>
      <c r="C1620" s="339" t="str">
        <f>IFERROR(__xludf.DUMMYFUNCTION("""COMPUTED_VALUE"""),"10.1207--s15374424jccp2501_10.pdf")</f>
        <v>10.1207--s15374424jccp2501_10.pdf</v>
      </c>
      <c r="D1620" s="159" t="str">
        <f>IFERROR(__xludf.DUMMYFUNCTION("""COMPUTED_VALUE"""),"application/pdf")</f>
        <v>application/pdf</v>
      </c>
    </row>
    <row r="1621">
      <c r="A1621" s="339" t="str">
        <f>IFERROR(__xludf.DUMMYFUNCTION("""COMPUTED_VALUE"""),"10.1044/1092-4388(2002/032)")</f>
        <v>10.1044/1092-4388(2002/032)</v>
      </c>
      <c r="B1621" s="445" t="str">
        <f>IFERROR(__xludf.DUMMYFUNCTION("""COMPUTED_VALUE"""),"https://drive.google.com/file/d/18Bq0KEHC9Y1vBB5CDqiFz9LxFIcSMxoo/view?usp=drivesdk")</f>
        <v>https://drive.google.com/file/d/18Bq0KEHC9Y1vBB5CDqiFz9LxFIcSMxoo/view?usp=drivesdk</v>
      </c>
      <c r="C1621" s="339" t="str">
        <f>IFERROR(__xludf.DUMMYFUNCTION("""COMPUTED_VALUE"""),"10.1044--1092-4388(2002--032).pdf")</f>
        <v>10.1044--1092-4388(2002--032).pdf</v>
      </c>
      <c r="D1621" s="159" t="str">
        <f>IFERROR(__xludf.DUMMYFUNCTION("""COMPUTED_VALUE"""),"application/pdf")</f>
        <v>application/pdf</v>
      </c>
    </row>
    <row r="1622">
      <c r="A1622" s="339" t="str">
        <f>IFERROR(__xludf.DUMMYFUNCTION("""COMPUTED_VALUE"""),"10.3758/bf03212422")</f>
        <v>10.3758/bf03212422</v>
      </c>
      <c r="B1622" s="445" t="str">
        <f>IFERROR(__xludf.DUMMYFUNCTION("""COMPUTED_VALUE"""),"https://drive.google.com/file/d/1nKP77qNWzLLcSfMWCbgvBvetnXaYWfOt/view?usp=drivesdk")</f>
        <v>https://drive.google.com/file/d/1nKP77qNWzLLcSfMWCbgvBvetnXaYWfOt/view?usp=drivesdk</v>
      </c>
      <c r="C1622" s="339" t="str">
        <f>IFERROR(__xludf.DUMMYFUNCTION("""COMPUTED_VALUE"""),"10.3758--bf03212422.pdf")</f>
        <v>10.3758--bf03212422.pdf</v>
      </c>
      <c r="D1622" s="159" t="str">
        <f>IFERROR(__xludf.DUMMYFUNCTION("""COMPUTED_VALUE"""),"application/pdf")</f>
        <v>application/pdf</v>
      </c>
    </row>
    <row r="1623">
      <c r="A1623" s="339" t="str">
        <f>IFERROR(__xludf.DUMMYFUNCTION("""COMPUTED_VALUE"""),"10.1037/xlm0001118")</f>
        <v>10.1037/xlm0001118</v>
      </c>
      <c r="B1623" s="445" t="str">
        <f>IFERROR(__xludf.DUMMYFUNCTION("""COMPUTED_VALUE"""),"https://drive.google.com/file/d/1c56waWyqn3utU8jZ3Vc-2lXssN3Xmndc/view?usp=drivesdk")</f>
        <v>https://drive.google.com/file/d/1c56waWyqn3utU8jZ3Vc-2lXssN3Xmndc/view?usp=drivesdk</v>
      </c>
      <c r="C1623" s="339" t="str">
        <f>IFERROR(__xludf.DUMMYFUNCTION("""COMPUTED_VALUE"""),"10.1037--xlm0001118.pdf")</f>
        <v>10.1037--xlm0001118.pdf</v>
      </c>
      <c r="D1623" s="159" t="str">
        <f>IFERROR(__xludf.DUMMYFUNCTION("""COMPUTED_VALUE"""),"application/pdf")</f>
        <v>application/pdf</v>
      </c>
    </row>
    <row r="1624">
      <c r="A1624" s="339" t="str">
        <f>IFERROR(__xludf.DUMMYFUNCTION("""COMPUTED_VALUE"""),"10.1287/orsc.2016.1065")</f>
        <v>10.1287/orsc.2016.1065</v>
      </c>
      <c r="B1624" s="445" t="str">
        <f>IFERROR(__xludf.DUMMYFUNCTION("""COMPUTED_VALUE"""),"https://drive.google.com/file/d/1hWFZB-IBEX7EnBpEtUZPw_HkLkFh5UM1/view?usp=drivesdk")</f>
        <v>https://drive.google.com/file/d/1hWFZB-IBEX7EnBpEtUZPw_HkLkFh5UM1/view?usp=drivesdk</v>
      </c>
      <c r="C1624" s="339" t="str">
        <f>IFERROR(__xludf.DUMMYFUNCTION("""COMPUTED_VALUE"""),"10.1287--orsc.2016.1065.pdf")</f>
        <v>10.1287--orsc.2016.1065.pdf</v>
      </c>
      <c r="D1624" s="159" t="str">
        <f>IFERROR(__xludf.DUMMYFUNCTION("""COMPUTED_VALUE"""),"application/pdf")</f>
        <v>application/pdf</v>
      </c>
    </row>
    <row r="1625">
      <c r="A1625" s="339" t="str">
        <f>IFERROR(__xludf.DUMMYFUNCTION("""COMPUTED_VALUE"""),"10.1001/archneur.1990.00530080033007")</f>
        <v>10.1001/archneur.1990.00530080033007</v>
      </c>
      <c r="B1625" s="445" t="str">
        <f>IFERROR(__xludf.DUMMYFUNCTION("""COMPUTED_VALUE"""),"https://drive.google.com/file/d/1sq3AXQm0IUoBTPjf2sPdUikF4Q9P0v9W/view?usp=drivesdk")</f>
        <v>https://drive.google.com/file/d/1sq3AXQm0IUoBTPjf2sPdUikF4Q9P0v9W/view?usp=drivesdk</v>
      </c>
      <c r="C1625" s="339" t="str">
        <f>IFERROR(__xludf.DUMMYFUNCTION("""COMPUTED_VALUE"""),"10.1001--archneur.1990.00530080033007.pdf")</f>
        <v>10.1001--archneur.1990.00530080033007.pdf</v>
      </c>
      <c r="D1625" s="159" t="str">
        <f>IFERROR(__xludf.DUMMYFUNCTION("""COMPUTED_VALUE"""),"application/pdf")</f>
        <v>application/pdf</v>
      </c>
    </row>
    <row r="1626">
      <c r="A1626" s="339" t="str">
        <f>IFERROR(__xludf.DUMMYFUNCTION("""COMPUTED_VALUE"""),"10.1001/archneur.1994.00540150069019")</f>
        <v>10.1001/archneur.1994.00540150069019</v>
      </c>
      <c r="B1626" s="445" t="str">
        <f>IFERROR(__xludf.DUMMYFUNCTION("""COMPUTED_VALUE"""),"https://drive.google.com/file/d/1TQqvGi0Elauw4pgiZ2IBN_WbEzMQJvXs/view?usp=drivesdk")</f>
        <v>https://drive.google.com/file/d/1TQqvGi0Elauw4pgiZ2IBN_WbEzMQJvXs/view?usp=drivesdk</v>
      </c>
      <c r="C1626" s="339" t="str">
        <f>IFERROR(__xludf.DUMMYFUNCTION("""COMPUTED_VALUE"""),"10.1001--archneur.1994.00540150069019.pdf")</f>
        <v>10.1001--archneur.1994.00540150069019.pdf</v>
      </c>
      <c r="D1626" s="159" t="str">
        <f>IFERROR(__xludf.DUMMYFUNCTION("""COMPUTED_VALUE"""),"application/pdf")</f>
        <v>application/pdf</v>
      </c>
    </row>
    <row r="1627">
      <c r="A1627" s="339" t="str">
        <f>IFERROR(__xludf.DUMMYFUNCTION("""COMPUTED_VALUE"""),"10.1111/exd.13114")</f>
        <v>10.1111/exd.13114</v>
      </c>
      <c r="B1627" s="445" t="str">
        <f>IFERROR(__xludf.DUMMYFUNCTION("""COMPUTED_VALUE"""),"https://drive.google.com/file/d/1b1y9mVBQpd37FvUqW3preqGjlvo-D3gp/view?usp=drivesdk")</f>
        <v>https://drive.google.com/file/d/1b1y9mVBQpd37FvUqW3preqGjlvo-D3gp/view?usp=drivesdk</v>
      </c>
      <c r="C1627" s="339" t="str">
        <f>IFERROR(__xludf.DUMMYFUNCTION("""COMPUTED_VALUE"""),"10.1111--exd.13114.pdf")</f>
        <v>10.1111--exd.13114.pdf</v>
      </c>
      <c r="D1627" s="159" t="str">
        <f>IFERROR(__xludf.DUMMYFUNCTION("""COMPUTED_VALUE"""),"application/pdf")</f>
        <v>application/pdf</v>
      </c>
    </row>
    <row r="1628">
      <c r="A1628" s="339" t="str">
        <f>IFERROR(__xludf.DUMMYFUNCTION("""COMPUTED_VALUE"""),"10.1176/appi.ps.003622012")</f>
        <v>10.1176/appi.ps.003622012</v>
      </c>
      <c r="B1628" s="445" t="str">
        <f>IFERROR(__xludf.DUMMYFUNCTION("""COMPUTED_VALUE"""),"https://drive.google.com/file/d/1y-k5khutAUOv7A8Kt3hM3pM50MmiJ3Se/view?usp=drivesdk")</f>
        <v>https://drive.google.com/file/d/1y-k5khutAUOv7A8Kt3hM3pM50MmiJ3Se/view?usp=drivesdk</v>
      </c>
      <c r="C1628" s="339" t="str">
        <f>IFERROR(__xludf.DUMMYFUNCTION("""COMPUTED_VALUE"""),"10.1176--appi.ps.003622012.pdf")</f>
        <v>10.1176--appi.ps.003622012.pdf</v>
      </c>
      <c r="D1628" s="159" t="str">
        <f>IFERROR(__xludf.DUMMYFUNCTION("""COMPUTED_VALUE"""),"application/pdf")</f>
        <v>application/pdf</v>
      </c>
    </row>
    <row r="1629">
      <c r="A1629" s="339" t="str">
        <f>IFERROR(__xludf.DUMMYFUNCTION("""COMPUTED_VALUE"""),"10.1136/eb-2015-102141")</f>
        <v>10.1136/eb-2015-102141</v>
      </c>
      <c r="B1629" s="445" t="str">
        <f>IFERROR(__xludf.DUMMYFUNCTION("""COMPUTED_VALUE"""),"https://drive.google.com/file/d/1Rm2TUPOokBMS57pKkqeRCvykqAT6FxIC/view?usp=drivesdk")</f>
        <v>https://drive.google.com/file/d/1Rm2TUPOokBMS57pKkqeRCvykqAT6FxIC/view?usp=drivesdk</v>
      </c>
      <c r="C1629" s="339" t="str">
        <f>IFERROR(__xludf.DUMMYFUNCTION("""COMPUTED_VALUE"""),"10.1136--eb-2015-102141.pdf")</f>
        <v>10.1136--eb-2015-102141.pdf</v>
      </c>
      <c r="D1629" s="159" t="str">
        <f>IFERROR(__xludf.DUMMYFUNCTION("""COMPUTED_VALUE"""),"application/pdf")</f>
        <v>application/pdf</v>
      </c>
    </row>
    <row r="1630">
      <c r="A1630" s="339" t="str">
        <f>IFERROR(__xludf.DUMMYFUNCTION("""COMPUTED_VALUE"""),"10.48550/arxiv.2012.03849")</f>
        <v>10.48550/arxiv.2012.03849</v>
      </c>
      <c r="B1630" s="445" t="str">
        <f>IFERROR(__xludf.DUMMYFUNCTION("""COMPUTED_VALUE"""),"https://drive.google.com/file/d/1g7sa4vkIN9PD4Rv9C-NvKrjWXKE2Sszt/view?usp=drivesdk")</f>
        <v>https://drive.google.com/file/d/1g7sa4vkIN9PD4Rv9C-NvKrjWXKE2Sszt/view?usp=drivesdk</v>
      </c>
      <c r="C1630" s="339" t="str">
        <f>IFERROR(__xludf.DUMMYFUNCTION("""COMPUTED_VALUE"""),"10.48550--arxiv.2012.03849.pdf")</f>
        <v>10.48550--arxiv.2012.03849.pdf</v>
      </c>
      <c r="D1630" s="159" t="str">
        <f>IFERROR(__xludf.DUMMYFUNCTION("""COMPUTED_VALUE"""),"application/pdf")</f>
        <v>application/pdf</v>
      </c>
    </row>
    <row r="1631">
      <c r="A1631" s="339" t="str">
        <f>IFERROR(__xludf.DUMMYFUNCTION("""COMPUTED_VALUE"""),"10.1177/0013164415593777")</f>
        <v>10.1177/0013164415593777</v>
      </c>
      <c r="B1631" s="445" t="str">
        <f>IFERROR(__xludf.DUMMYFUNCTION("""COMPUTED_VALUE"""),"https://drive.google.com/file/d/1kZO7TU5APcSmUh1Ll3JPWfymN4IssyWZ/view?usp=drivesdk")</f>
        <v>https://drive.google.com/file/d/1kZO7TU5APcSmUh1Ll3JPWfymN4IssyWZ/view?usp=drivesdk</v>
      </c>
      <c r="C1631" s="339" t="str">
        <f>IFERROR(__xludf.DUMMYFUNCTION("""COMPUTED_VALUE"""),"10.1177--0013164415593777.pdf")</f>
        <v>10.1177--0013164415593777.pdf</v>
      </c>
      <c r="D1631" s="159" t="str">
        <f>IFERROR(__xludf.DUMMYFUNCTION("""COMPUTED_VALUE"""),"application/pdf")</f>
        <v>application/pdf</v>
      </c>
    </row>
    <row r="1632">
      <c r="A1632" s="339" t="str">
        <f>IFERROR(__xludf.DUMMYFUNCTION("""COMPUTED_VALUE"""),"10.1177/0013164415618992")</f>
        <v>10.1177/0013164415618992</v>
      </c>
      <c r="B1632" s="445" t="str">
        <f>IFERROR(__xludf.DUMMYFUNCTION("""COMPUTED_VALUE"""),"https://drive.google.com/file/d/1oyKo7fk7IQxnatWBvNKZUfexHFe3WDWY/view?usp=drivesdk")</f>
        <v>https://drive.google.com/file/d/1oyKo7fk7IQxnatWBvNKZUfexHFe3WDWY/view?usp=drivesdk</v>
      </c>
      <c r="C1632" s="339" t="str">
        <f>IFERROR(__xludf.DUMMYFUNCTION("""COMPUTED_VALUE"""),"10.1177--0013164415618992.pdf")</f>
        <v>10.1177--0013164415618992.pdf</v>
      </c>
      <c r="D1632" s="159" t="str">
        <f>IFERROR(__xludf.DUMMYFUNCTION("""COMPUTED_VALUE"""),"application/pdf")</f>
        <v>application/pdf</v>
      </c>
    </row>
    <row r="1633">
      <c r="A1633" s="339" t="str">
        <f>IFERROR(__xludf.DUMMYFUNCTION("""COMPUTED_VALUE"""),"10.2307/3053285")</f>
        <v>10.2307/3053285</v>
      </c>
      <c r="B1633" s="445" t="str">
        <f>IFERROR(__xludf.DUMMYFUNCTION("""COMPUTED_VALUE"""),"https://drive.google.com/file/d/1v-1mbmpmXerAQ72WA9aOa0J6MKURP5N4/view?usp=drivesdk")</f>
        <v>https://drive.google.com/file/d/1v-1mbmpmXerAQ72WA9aOa0J6MKURP5N4/view?usp=drivesdk</v>
      </c>
      <c r="C1633" s="339" t="str">
        <f>IFERROR(__xludf.DUMMYFUNCTION("""COMPUTED_VALUE"""),"10.2307--3053285.pdf")</f>
        <v>10.2307--3053285.pdf</v>
      </c>
      <c r="D1633" s="159" t="str">
        <f>IFERROR(__xludf.DUMMYFUNCTION("""COMPUTED_VALUE"""),"application/pdf")</f>
        <v>application/pdf</v>
      </c>
    </row>
    <row r="1634">
      <c r="A1634" s="339" t="str">
        <f>IFERROR(__xludf.DUMMYFUNCTION("""COMPUTED_VALUE"""),"10.2307/3053565")</f>
        <v>10.2307/3053565</v>
      </c>
      <c r="B1634" s="445" t="str">
        <f>IFERROR(__xludf.DUMMYFUNCTION("""COMPUTED_VALUE"""),"https://drive.google.com/file/d/1RC7tGdIwh2BFShkeaxfPHee8yPx3SLjQ/view?usp=drivesdk")</f>
        <v>https://drive.google.com/file/d/1RC7tGdIwh2BFShkeaxfPHee8yPx3SLjQ/view?usp=drivesdk</v>
      </c>
      <c r="C1634" s="339" t="str">
        <f>IFERROR(__xludf.DUMMYFUNCTION("""COMPUTED_VALUE"""),"10.2307--3053565.pdf")</f>
        <v>10.2307--3053565.pdf</v>
      </c>
      <c r="D1634" s="159" t="str">
        <f>IFERROR(__xludf.DUMMYFUNCTION("""COMPUTED_VALUE"""),"application/pdf")</f>
        <v>application/pdf</v>
      </c>
    </row>
    <row r="1635">
      <c r="A1635" s="339" t="str">
        <f>IFERROR(__xludf.DUMMYFUNCTION("""COMPUTED_VALUE"""),"10.1037/pas0000120")</f>
        <v>10.1037/pas0000120</v>
      </c>
      <c r="B1635" s="445" t="str">
        <f>IFERROR(__xludf.DUMMYFUNCTION("""COMPUTED_VALUE"""),"https://drive.google.com/file/d/14CVfItoN94gmZTMwThSWgBWR6Gr6zqpB/view?usp=drivesdk")</f>
        <v>https://drive.google.com/file/d/14CVfItoN94gmZTMwThSWgBWR6Gr6zqpB/view?usp=drivesdk</v>
      </c>
      <c r="C1635" s="339" t="str">
        <f>IFERROR(__xludf.DUMMYFUNCTION("""COMPUTED_VALUE"""),"10.1037--pas0000120.pdf")</f>
        <v>10.1037--pas0000120.pdf</v>
      </c>
      <c r="D1635" s="159" t="str">
        <f>IFERROR(__xludf.DUMMYFUNCTION("""COMPUTED_VALUE"""),"application/pdf")</f>
        <v>application/pdf</v>
      </c>
    </row>
    <row r="1636">
      <c r="A1636" s="339" t="str">
        <f>IFERROR(__xludf.DUMMYFUNCTION("""COMPUTED_VALUE"""),"10.1027/1015-5759/a000552")</f>
        <v>10.1027/1015-5759/a000552</v>
      </c>
      <c r="B1636" s="445" t="str">
        <f>IFERROR(__xludf.DUMMYFUNCTION("""COMPUTED_VALUE"""),"https://drive.google.com/file/d/1rss63Au_wnRAvMu2v1IeFB6Z9miyPwmY/view?usp=drivesdk")</f>
        <v>https://drive.google.com/file/d/1rss63Au_wnRAvMu2v1IeFB6Z9miyPwmY/view?usp=drivesdk</v>
      </c>
      <c r="C1636" s="339" t="str">
        <f>IFERROR(__xludf.DUMMYFUNCTION("""COMPUTED_VALUE"""),"10.1027--1015-5759--a000552.pdf")</f>
        <v>10.1027--1015-5759--a000552.pdf</v>
      </c>
      <c r="D1636" s="159" t="str">
        <f>IFERROR(__xludf.DUMMYFUNCTION("""COMPUTED_VALUE"""),"application/pdf")</f>
        <v>application/pdf</v>
      </c>
    </row>
    <row r="1637">
      <c r="A1637" s="339" t="str">
        <f>IFERROR(__xludf.DUMMYFUNCTION("""COMPUTED_VALUE"""),"10.1089/107555304322849057")</f>
        <v>10.1089/107555304322849057</v>
      </c>
      <c r="B1637" s="445" t="str">
        <f>IFERROR(__xludf.DUMMYFUNCTION("""COMPUTED_VALUE"""),"https://drive.google.com/file/d/15g-43jhmRb2fMGoTNN1fePPXwt6aobWO/view?usp=drivesdk")</f>
        <v>https://drive.google.com/file/d/15g-43jhmRb2fMGoTNN1fePPXwt6aobWO/view?usp=drivesdk</v>
      </c>
      <c r="C1637" s="339" t="str">
        <f>IFERROR(__xludf.DUMMYFUNCTION("""COMPUTED_VALUE"""),"10.1089--107555304322849057.pdf")</f>
        <v>10.1089--107555304322849057.pdf</v>
      </c>
      <c r="D1637" s="159" t="str">
        <f>IFERROR(__xludf.DUMMYFUNCTION("""COMPUTED_VALUE"""),"application/pdf")</f>
        <v>application/pdf</v>
      </c>
    </row>
    <row r="1638">
      <c r="A1638" s="339" t="str">
        <f>IFERROR(__xludf.DUMMYFUNCTION("""COMPUTED_VALUE"""),"10.1037/e445022005-001")</f>
        <v>10.1037/e445022005-001</v>
      </c>
      <c r="B1638" s="445" t="str">
        <f>IFERROR(__xludf.DUMMYFUNCTION("""COMPUTED_VALUE"""),"https://drive.google.com/file/d/1iC0QvQsH5ABb1VH0D8FRGRv5X_RvXW6B/view?usp=drivesdk")</f>
        <v>https://drive.google.com/file/d/1iC0QvQsH5ABb1VH0D8FRGRv5X_RvXW6B/view?usp=drivesdk</v>
      </c>
      <c r="C1638" s="339" t="str">
        <f>IFERROR(__xludf.DUMMYFUNCTION("""COMPUTED_VALUE"""),"10.1037--e445022005-001.pdf")</f>
        <v>10.1037--e445022005-001.pdf</v>
      </c>
      <c r="D1638" s="159" t="str">
        <f>IFERROR(__xludf.DUMMYFUNCTION("""COMPUTED_VALUE"""),"application/pdf")</f>
        <v>application/pdf</v>
      </c>
    </row>
    <row r="1639">
      <c r="A1639" s="339" t="str">
        <f>IFERROR(__xludf.DUMMYFUNCTION("""COMPUTED_VALUE"""),"10.1001/archpsyc.1993.01820190043005")</f>
        <v>10.1001/archpsyc.1993.01820190043005</v>
      </c>
      <c r="B1639" s="445" t="str">
        <f>IFERROR(__xludf.DUMMYFUNCTION("""COMPUTED_VALUE"""),"https://drive.google.com/file/d/1xmgRxYDzYjkZ9p1HDxC88dxSzWbazkwh/view?usp=drivesdk")</f>
        <v>https://drive.google.com/file/d/1xmgRxYDzYjkZ9p1HDxC88dxSzWbazkwh/view?usp=drivesdk</v>
      </c>
      <c r="C1639" s="339" t="str">
        <f>IFERROR(__xludf.DUMMYFUNCTION("""COMPUTED_VALUE"""),"10.1001--archpsyc.1993.01820190043005.pdf")</f>
        <v>10.1001--archpsyc.1993.01820190043005.pdf</v>
      </c>
      <c r="D1639" s="159" t="str">
        <f>IFERROR(__xludf.DUMMYFUNCTION("""COMPUTED_VALUE"""),"application/pdf")</f>
        <v>application/pdf</v>
      </c>
    </row>
    <row r="1640">
      <c r="A1640" s="339" t="str">
        <f>IFERROR(__xludf.DUMMYFUNCTION("""COMPUTED_VALUE"""),"10.1017/s0033291703001715")</f>
        <v>10.1017/s0033291703001715</v>
      </c>
      <c r="B1640" s="445" t="str">
        <f>IFERROR(__xludf.DUMMYFUNCTION("""COMPUTED_VALUE"""),"https://drive.google.com/file/d/1WysEW9NFRsU0pIPUIftUwQOxnpalzzvY/view?usp=drivesdk")</f>
        <v>https://drive.google.com/file/d/1WysEW9NFRsU0pIPUIftUwQOxnpalzzvY/view?usp=drivesdk</v>
      </c>
      <c r="C1640" s="339" t="str">
        <f>IFERROR(__xludf.DUMMYFUNCTION("""COMPUTED_VALUE"""),"10.1017--s0033291703001715.pdf")</f>
        <v>10.1017--s0033291703001715.pdf</v>
      </c>
      <c r="D1640" s="159" t="str">
        <f>IFERROR(__xludf.DUMMYFUNCTION("""COMPUTED_VALUE"""),"application/pdf")</f>
        <v>application/pdf</v>
      </c>
    </row>
    <row r="1641">
      <c r="A1641" s="339" t="str">
        <f>IFERROR(__xludf.DUMMYFUNCTION("""COMPUTED_VALUE"""),"10.1037/1040-3590.8.4.398")</f>
        <v>10.1037/1040-3590.8.4.398</v>
      </c>
      <c r="B1641" s="445" t="str">
        <f>IFERROR(__xludf.DUMMYFUNCTION("""COMPUTED_VALUE"""),"https://drive.google.com/file/d/1RMH1QHCfwceThZBhNxJzWriOscH_9Moa/view?usp=drivesdk")</f>
        <v>https://drive.google.com/file/d/1RMH1QHCfwceThZBhNxJzWriOscH_9Moa/view?usp=drivesdk</v>
      </c>
      <c r="C1641" s="339" t="str">
        <f>IFERROR(__xludf.DUMMYFUNCTION("""COMPUTED_VALUE"""),"10.1037--1040-3590.8.4.398.pdf")</f>
        <v>10.1037--1040-3590.8.4.398.pdf</v>
      </c>
      <c r="D1641" s="159" t="str">
        <f>IFERROR(__xludf.DUMMYFUNCTION("""COMPUTED_VALUE"""),"application/pdf")</f>
        <v>application/pdf</v>
      </c>
    </row>
    <row r="1642">
      <c r="A1642" s="339" t="str">
        <f>IFERROR(__xludf.DUMMYFUNCTION("""COMPUTED_VALUE"""),"10.1371/journal.pone.0251448")</f>
        <v>10.1371/journal.pone.0251448</v>
      </c>
      <c r="B1642" s="445" t="str">
        <f>IFERROR(__xludf.DUMMYFUNCTION("""COMPUTED_VALUE"""),"https://drive.google.com/file/d/11A-iuIS4Kk_EIgYI14egGNJG6Dn7Rmzc/view?usp=drivesdk")</f>
        <v>https://drive.google.com/file/d/11A-iuIS4Kk_EIgYI14egGNJG6Dn7Rmzc/view?usp=drivesdk</v>
      </c>
      <c r="C1642" s="339" t="str">
        <f>IFERROR(__xludf.DUMMYFUNCTION("""COMPUTED_VALUE"""),"10.1371--journal.pone.0251448.pdf")</f>
        <v>10.1371--journal.pone.0251448.pdf</v>
      </c>
      <c r="D1642" s="159" t="str">
        <f>IFERROR(__xludf.DUMMYFUNCTION("""COMPUTED_VALUE"""),"application/pdf")</f>
        <v>application/pdf</v>
      </c>
    </row>
    <row r="1643">
      <c r="A1643" s="339" t="str">
        <f>IFERROR(__xludf.DUMMYFUNCTION("""COMPUTED_VALUE"""),"10.1017/jwe.2022.55")</f>
        <v>10.1017/jwe.2022.55</v>
      </c>
      <c r="B1643" s="445" t="str">
        <f>IFERROR(__xludf.DUMMYFUNCTION("""COMPUTED_VALUE"""),"https://drive.google.com/file/d/1tidiEHmGyDuh1g8MpeILLnnbxbHz8_7f/view?usp=drivesdk")</f>
        <v>https://drive.google.com/file/d/1tidiEHmGyDuh1g8MpeILLnnbxbHz8_7f/view?usp=drivesdk</v>
      </c>
      <c r="C1643" s="339" t="str">
        <f>IFERROR(__xludf.DUMMYFUNCTION("""COMPUTED_VALUE"""),"10.1017--jwe.2022.55.pdf")</f>
        <v>10.1017--jwe.2022.55.pdf</v>
      </c>
      <c r="D1643" s="159" t="str">
        <f>IFERROR(__xludf.DUMMYFUNCTION("""COMPUTED_VALUE"""),"application/pdf")</f>
        <v>application/pdf</v>
      </c>
    </row>
    <row r="1644">
      <c r="A1644" s="339" t="str">
        <f>IFERROR(__xludf.DUMMYFUNCTION("""COMPUTED_VALUE"""),"10.1080/09571264.2024.2310323")</f>
        <v>10.1080/09571264.2024.2310323</v>
      </c>
      <c r="B1644" s="445" t="str">
        <f>IFERROR(__xludf.DUMMYFUNCTION("""COMPUTED_VALUE"""),"https://drive.google.com/file/d/1zDpJdnNNWQy5ej-KqssO307FI0_rG3xJ/view?usp=drivesdk")</f>
        <v>https://drive.google.com/file/d/1zDpJdnNNWQy5ej-KqssO307FI0_rG3xJ/view?usp=drivesdk</v>
      </c>
      <c r="C1644" s="339" t="str">
        <f>IFERROR(__xludf.DUMMYFUNCTION("""COMPUTED_VALUE"""),"10.1080--09571264.2024.2310323.pdf")</f>
        <v>10.1080--09571264.2024.2310323.pdf</v>
      </c>
      <c r="D1644" s="159" t="str">
        <f>IFERROR(__xludf.DUMMYFUNCTION("""COMPUTED_VALUE"""),"application/pdf")</f>
        <v>application/pdf</v>
      </c>
    </row>
    <row r="1645">
      <c r="A1645" s="339" t="str">
        <f>IFERROR(__xludf.DUMMYFUNCTION("""COMPUTED_VALUE"""),"10.1016/j.radonc.2015.10.019")</f>
        <v>10.1016/j.radonc.2015.10.019</v>
      </c>
      <c r="B1645" s="445" t="str">
        <f>IFERROR(__xludf.DUMMYFUNCTION("""COMPUTED_VALUE"""),"https://drive.google.com/file/d/1x1HIxasPYVDWiMoijsVEmEFkL-ma4-ZN/view?usp=drivesdk")</f>
        <v>https://drive.google.com/file/d/1x1HIxasPYVDWiMoijsVEmEFkL-ma4-ZN/view?usp=drivesdk</v>
      </c>
      <c r="C1645" s="339" t="str">
        <f>IFERROR(__xludf.DUMMYFUNCTION("""COMPUTED_VALUE"""),"10.1016--j.radonc.2015.10.019.pdf")</f>
        <v>10.1016--j.radonc.2015.10.019.pdf</v>
      </c>
      <c r="D1645" s="159" t="str">
        <f>IFERROR(__xludf.DUMMYFUNCTION("""COMPUTED_VALUE"""),"application/pdf")</f>
        <v>application/pdf</v>
      </c>
    </row>
    <row r="1646">
      <c r="A1646" s="339" t="str">
        <f>IFERROR(__xludf.DUMMYFUNCTION("""COMPUTED_VALUE"""),"10.1002/alz.042402")</f>
        <v>10.1002/alz.042402</v>
      </c>
      <c r="B1646" s="445" t="str">
        <f>IFERROR(__xludf.DUMMYFUNCTION("""COMPUTED_VALUE"""),"https://drive.google.com/file/d/1W0LT1j0LwNvex6d3_G8PdYjfd_nBMGCI/view?usp=drivesdk")</f>
        <v>https://drive.google.com/file/d/1W0LT1j0LwNvex6d3_G8PdYjfd_nBMGCI/view?usp=drivesdk</v>
      </c>
      <c r="C1646" s="339" t="str">
        <f>IFERROR(__xludf.DUMMYFUNCTION("""COMPUTED_VALUE"""),"10.1002--alz.042402.pdf")</f>
        <v>10.1002--alz.042402.pdf</v>
      </c>
      <c r="D1646" s="159" t="str">
        <f>IFERROR(__xludf.DUMMYFUNCTION("""COMPUTED_VALUE"""),"application/pdf")</f>
        <v>application/pdf</v>
      </c>
    </row>
    <row r="1647">
      <c r="A1647" s="339" t="str">
        <f>IFERROR(__xludf.DUMMYFUNCTION("""COMPUTED_VALUE"""),"10.1101/2022.04.14.488400")</f>
        <v>10.1101/2022.04.14.488400</v>
      </c>
      <c r="B1647" s="445" t="str">
        <f>IFERROR(__xludf.DUMMYFUNCTION("""COMPUTED_VALUE"""),"https://drive.google.com/file/d/1KadZVSRQiGIfK4lhfu1eJLxSHlP8YPtH/view?usp=drivesdk")</f>
        <v>https://drive.google.com/file/d/1KadZVSRQiGIfK4lhfu1eJLxSHlP8YPtH/view?usp=drivesdk</v>
      </c>
      <c r="C1647" s="339" t="str">
        <f>IFERROR(__xludf.DUMMYFUNCTION("""COMPUTED_VALUE"""),"10.1101--2022.04.14.488400.pdf")</f>
        <v>10.1101--2022.04.14.488400.pdf</v>
      </c>
      <c r="D1647" s="159" t="str">
        <f>IFERROR(__xludf.DUMMYFUNCTION("""COMPUTED_VALUE"""),"application/pdf")</f>
        <v>application/pdf</v>
      </c>
    </row>
    <row r="1648">
      <c r="A1648" s="339" t="str">
        <f>IFERROR(__xludf.DUMMYFUNCTION("""COMPUTED_VALUE"""),"10.16875/stem.2011.12.2.263")</f>
        <v>10.16875/stem.2011.12.2.263</v>
      </c>
      <c r="B1648" s="445" t="str">
        <f>IFERROR(__xludf.DUMMYFUNCTION("""COMPUTED_VALUE"""),"https://drive.google.com/file/d/1gPGZG8c7TkvCBQ6b9AKYA-7EGKuWyNbk/view?usp=drivesdk")</f>
        <v>https://drive.google.com/file/d/1gPGZG8c7TkvCBQ6b9AKYA-7EGKuWyNbk/view?usp=drivesdk</v>
      </c>
      <c r="C1648" s="339" t="str">
        <f>IFERROR(__xludf.DUMMYFUNCTION("""COMPUTED_VALUE"""),"10.16875--stem.2011.12.2.263.pdf")</f>
        <v>10.16875--stem.2011.12.2.263.pdf</v>
      </c>
      <c r="D1648" s="159" t="str">
        <f>IFERROR(__xludf.DUMMYFUNCTION("""COMPUTED_VALUE"""),"application/pdf")</f>
        <v>application/pdf</v>
      </c>
    </row>
    <row r="1649">
      <c r="A1649" s="339" t="str">
        <f>IFERROR(__xludf.DUMMYFUNCTION("""COMPUTED_VALUE"""),"10.1037/0022-006x.72.3.500")</f>
        <v>10.1037/0022-006x.72.3.500</v>
      </c>
      <c r="B1649" s="445" t="str">
        <f>IFERROR(__xludf.DUMMYFUNCTION("""COMPUTED_VALUE"""),"https://drive.google.com/file/d/1eWeGnbOVxeeWnGYntSt6RQpPsGVPNsM_/view?usp=drivesdk")</f>
        <v>https://drive.google.com/file/d/1eWeGnbOVxeeWnGYntSt6RQpPsGVPNsM_/view?usp=drivesdk</v>
      </c>
      <c r="C1649" s="339" t="str">
        <f>IFERROR(__xludf.DUMMYFUNCTION("""COMPUTED_VALUE"""),"10.1037--0022-006x.72.3.500.pdf")</f>
        <v>10.1037--0022-006x.72.3.500.pdf</v>
      </c>
      <c r="D1649" s="159" t="str">
        <f>IFERROR(__xludf.DUMMYFUNCTION("""COMPUTED_VALUE"""),"application/pdf")</f>
        <v>application/pdf</v>
      </c>
    </row>
    <row r="1650">
      <c r="A1650" s="339" t="str">
        <f>IFERROR(__xludf.DUMMYFUNCTION("""COMPUTED_VALUE"""),"10.1037/a0021227")</f>
        <v>10.1037/a0021227</v>
      </c>
      <c r="B1650" s="445" t="str">
        <f>IFERROR(__xludf.DUMMYFUNCTION("""COMPUTED_VALUE"""),"https://drive.google.com/file/d/1g4htArQlRMN73gPPvVW4eUSVBYivRP3l/view?usp=drivesdk")</f>
        <v>https://drive.google.com/file/d/1g4htArQlRMN73gPPvVW4eUSVBYivRP3l/view?usp=drivesdk</v>
      </c>
      <c r="C1650" s="339" t="str">
        <f>IFERROR(__xludf.DUMMYFUNCTION("""COMPUTED_VALUE"""),"10.1037--a0021227.pdf")</f>
        <v>10.1037--a0021227.pdf</v>
      </c>
      <c r="D1650" s="159" t="str">
        <f>IFERROR(__xludf.DUMMYFUNCTION("""COMPUTED_VALUE"""),"application/pdf")</f>
        <v>application/pdf</v>
      </c>
    </row>
    <row r="1651">
      <c r="A1651" s="339" t="str">
        <f>IFERROR(__xludf.DUMMYFUNCTION("""COMPUTED_VALUE"""),"10.16875/stem.2012.13.3.105")</f>
        <v>10.16875/stem.2012.13.3.105</v>
      </c>
      <c r="B1651" s="445" t="str">
        <f>IFERROR(__xludf.DUMMYFUNCTION("""COMPUTED_VALUE"""),"https://drive.google.com/file/d/1H7SW_j1HalYgx4MPG5ZDEcVEO0Zr4meZ/view?usp=drivesdk")</f>
        <v>https://drive.google.com/file/d/1H7SW_j1HalYgx4MPG5ZDEcVEO0Zr4meZ/view?usp=drivesdk</v>
      </c>
      <c r="C1651" s="339" t="str">
        <f>IFERROR(__xludf.DUMMYFUNCTION("""COMPUTED_VALUE"""),"10.16875--stem.2012.13.3.105.pdf")</f>
        <v>10.16875--stem.2012.13.3.105.pdf</v>
      </c>
      <c r="D1651" s="159" t="str">
        <f>IFERROR(__xludf.DUMMYFUNCTION("""COMPUTED_VALUE"""),"application/pdf")</f>
        <v>application/pdf</v>
      </c>
    </row>
    <row r="1652">
      <c r="A1652" s="339" t="str">
        <f>IFERROR(__xludf.DUMMYFUNCTION("""COMPUTED_VALUE"""),"salamon_1992")</f>
        <v>salamon_1992</v>
      </c>
      <c r="B1652" s="445" t="str">
        <f>IFERROR(__xludf.DUMMYFUNCTION("""COMPUTED_VALUE"""),"https://drive.google.com/file/d/1zjgdQzaE1FGs582TKYCM8QK1jHSasa0D/view?usp=drivesdk")</f>
        <v>https://drive.google.com/file/d/1zjgdQzaE1FGs582TKYCM8QK1jHSasa0D/view?usp=drivesdk</v>
      </c>
      <c r="C1652" s="339" t="str">
        <f>IFERROR(__xludf.DUMMYFUNCTION("""COMPUTED_VALUE"""),"salamon_1992.pdf")</f>
        <v>salamon_1992.pdf</v>
      </c>
      <c r="D1652" s="159" t="str">
        <f>IFERROR(__xludf.DUMMYFUNCTION("""COMPUTED_VALUE"""),"application/pdf")</f>
        <v>application/pdf</v>
      </c>
    </row>
    <row r="1653">
      <c r="A1653" s="339" t="str">
        <f>IFERROR(__xludf.DUMMYFUNCTION("""COMPUTED_VALUE"""),"maroney_2004")</f>
        <v>maroney_2004</v>
      </c>
      <c r="B1653" s="445" t="str">
        <f>IFERROR(__xludf.DUMMYFUNCTION("""COMPUTED_VALUE"""),"https://drive.google.com/file/d/1pPUIG-tV6QPEOgVX-N5xoUwijszpxV-q/view?usp=drivesdk")</f>
        <v>https://drive.google.com/file/d/1pPUIG-tV6QPEOgVX-N5xoUwijszpxV-q/view?usp=drivesdk</v>
      </c>
      <c r="C1653" s="339" t="str">
        <f>IFERROR(__xludf.DUMMYFUNCTION("""COMPUTED_VALUE"""),"maroney_2004.pdf")</f>
        <v>maroney_2004.pdf</v>
      </c>
      <c r="D1653" s="159" t="str">
        <f>IFERROR(__xludf.DUMMYFUNCTION("""COMPUTED_VALUE"""),"application/pdf")</f>
        <v>application/pdf</v>
      </c>
    </row>
    <row r="1654">
      <c r="A1654" s="339" t="str">
        <f>IFERROR(__xludf.DUMMYFUNCTION("""COMPUTED_VALUE"""),"10.1111/bjd.20093")</f>
        <v>10.1111/bjd.20093</v>
      </c>
      <c r="B1654" s="445" t="str">
        <f>IFERROR(__xludf.DUMMYFUNCTION("""COMPUTED_VALUE"""),"https://drive.google.com/file/d/1nGEFRfqInF5qm86vl7__3-8qIzREYfZk/view?usp=drivesdk")</f>
        <v>https://drive.google.com/file/d/1nGEFRfqInF5qm86vl7__3-8qIzREYfZk/view?usp=drivesdk</v>
      </c>
      <c r="C1654" s="339" t="str">
        <f>IFERROR(__xludf.DUMMYFUNCTION("""COMPUTED_VALUE"""),"10.1111--bjd.20093.pdf")</f>
        <v>10.1111--bjd.20093.pdf</v>
      </c>
      <c r="D1654" s="159" t="str">
        <f>IFERROR(__xludf.DUMMYFUNCTION("""COMPUTED_VALUE"""),"application/pdf")</f>
        <v>application/pdf</v>
      </c>
    </row>
    <row r="1655">
      <c r="A1655" s="339" t="str">
        <f>IFERROR(__xludf.DUMMYFUNCTION("""COMPUTED_VALUE"""),"10.1002/j.2330-8516.1989.tb00154.x")</f>
        <v>10.1002/j.2330-8516.1989.tb00154.x</v>
      </c>
      <c r="B1655" s="445" t="str">
        <f>IFERROR(__xludf.DUMMYFUNCTION("""COMPUTED_VALUE"""),"https://drive.google.com/file/d/1Amt9PFHVd7cb69huGnFbxyKWsIQSjV3D/view?usp=drivesdk")</f>
        <v>https://drive.google.com/file/d/1Amt9PFHVd7cb69huGnFbxyKWsIQSjV3D/view?usp=drivesdk</v>
      </c>
      <c r="C1655" s="339" t="str">
        <f>IFERROR(__xludf.DUMMYFUNCTION("""COMPUTED_VALUE"""),"10.1002--j.2330-8516.1989.tb00154.x.pdf")</f>
        <v>10.1002--j.2330-8516.1989.tb00154.x.pdf</v>
      </c>
      <c r="D1655" s="159" t="str">
        <f>IFERROR(__xludf.DUMMYFUNCTION("""COMPUTED_VALUE"""),"application/pdf")</f>
        <v>application/pdf</v>
      </c>
    </row>
    <row r="1656">
      <c r="A1656" s="339" t="str">
        <f>IFERROR(__xludf.DUMMYFUNCTION("""COMPUTED_VALUE"""),"10.1002/jclp.22191")</f>
        <v>10.1002/jclp.22191</v>
      </c>
      <c r="B1656" s="445" t="str">
        <f>IFERROR(__xludf.DUMMYFUNCTION("""COMPUTED_VALUE"""),"https://drive.google.com/file/d/18NuOr2zv-DPSWE76ik20X1RWQCrIu5_W/view?usp=drivesdk")</f>
        <v>https://drive.google.com/file/d/18NuOr2zv-DPSWE76ik20X1RWQCrIu5_W/view?usp=drivesdk</v>
      </c>
      <c r="C1656" s="339" t="str">
        <f>IFERROR(__xludf.DUMMYFUNCTION("""COMPUTED_VALUE"""),"10.1002--jclp.22191.pdf")</f>
        <v>10.1002--jclp.22191.pdf</v>
      </c>
      <c r="D1656" s="159" t="str">
        <f>IFERROR(__xludf.DUMMYFUNCTION("""COMPUTED_VALUE"""),"application/pdf")</f>
        <v>application/pdf</v>
      </c>
    </row>
    <row r="1657">
      <c r="A1657" s="339" t="str">
        <f>IFERROR(__xludf.DUMMYFUNCTION("""COMPUTED_VALUE"""),"10.1080/10503307.2020.1757175")</f>
        <v>10.1080/10503307.2020.1757175</v>
      </c>
      <c r="B1657" s="445" t="str">
        <f>IFERROR(__xludf.DUMMYFUNCTION("""COMPUTED_VALUE"""),"https://drive.google.com/file/d/1WBDqA_BZehc7Sz5HnIH2Bt-pPoD-QiMO/view?usp=drivesdk")</f>
        <v>https://drive.google.com/file/d/1WBDqA_BZehc7Sz5HnIH2Bt-pPoD-QiMO/view?usp=drivesdk</v>
      </c>
      <c r="C1657" s="339" t="str">
        <f>IFERROR(__xludf.DUMMYFUNCTION("""COMPUTED_VALUE"""),"10.1080--10503307.2020.1757175.pdf")</f>
        <v>10.1080--10503307.2020.1757175.pdf</v>
      </c>
      <c r="D1657" s="159" t="str">
        <f>IFERROR(__xludf.DUMMYFUNCTION("""COMPUTED_VALUE"""),"application/pdf")</f>
        <v>application/pdf</v>
      </c>
    </row>
    <row r="1658">
      <c r="A1658" s="339" t="str">
        <f>IFERROR(__xludf.DUMMYFUNCTION("""COMPUTED_VALUE"""),"h10.3386/w0781")</f>
        <v>h10.3386/w0781</v>
      </c>
      <c r="B1658" s="445" t="str">
        <f>IFERROR(__xludf.DUMMYFUNCTION("""COMPUTED_VALUE"""),"https://drive.google.com/file/d/1BFIvapTqlHpbHQvqjZnWZ-7ae5fZLhkO/view?usp=drivesdk")</f>
        <v>https://drive.google.com/file/d/1BFIvapTqlHpbHQvqjZnWZ-7ae5fZLhkO/view?usp=drivesdk</v>
      </c>
      <c r="C1658" s="339" t="str">
        <f>IFERROR(__xludf.DUMMYFUNCTION("""COMPUTED_VALUE"""),"h10.3386--w0781.pdf")</f>
        <v>h10.3386--w0781.pdf</v>
      </c>
      <c r="D1658" s="159" t="str">
        <f>IFERROR(__xludf.DUMMYFUNCTION("""COMPUTED_VALUE"""),"application/pdf")</f>
        <v>application/pdf</v>
      </c>
    </row>
    <row r="1659">
      <c r="A1659" s="339" t="str">
        <f>IFERROR(__xludf.DUMMYFUNCTION("""COMPUTED_VALUE"""),"10.2139/ssrn.473592")</f>
        <v>10.2139/ssrn.473592</v>
      </c>
      <c r="B1659" s="445" t="str">
        <f>IFERROR(__xludf.DUMMYFUNCTION("""COMPUTED_VALUE"""),"https://drive.google.com/file/d/1MDQ6M58EZ8oNCvRr11RaJsivppSQNH47/view?usp=drivesdk")</f>
        <v>https://drive.google.com/file/d/1MDQ6M58EZ8oNCvRr11RaJsivppSQNH47/view?usp=drivesdk</v>
      </c>
      <c r="C1659" s="339" t="str">
        <f>IFERROR(__xludf.DUMMYFUNCTION("""COMPUTED_VALUE"""),"10.2139--ssrn.473592.pdf")</f>
        <v>10.2139--ssrn.473592.pdf</v>
      </c>
      <c r="D1659" s="159" t="str">
        <f>IFERROR(__xludf.DUMMYFUNCTION("""COMPUTED_VALUE"""),"application/pdf")</f>
        <v>application/pdf</v>
      </c>
    </row>
    <row r="1660">
      <c r="A1660" s="339" t="str">
        <f>IFERROR(__xludf.DUMMYFUNCTION("""COMPUTED_VALUE"""),"10.1097/fpc.0b013e32831367f0")</f>
        <v>10.1097/fpc.0b013e32831367f0</v>
      </c>
      <c r="B1660" s="445" t="str">
        <f>IFERROR(__xludf.DUMMYFUNCTION("""COMPUTED_VALUE"""),"https://drive.google.com/file/d/19w9ic82B3o6eQIl3FyT2OT-5QM9FXLnu/view?usp=drivesdk")</f>
        <v>https://drive.google.com/file/d/19w9ic82B3o6eQIl3FyT2OT-5QM9FXLnu/view?usp=drivesdk</v>
      </c>
      <c r="C1660" s="339" t="str">
        <f>IFERROR(__xludf.DUMMYFUNCTION("""COMPUTED_VALUE"""),"10.1097--fpc.0b013e32831367f0.pdf")</f>
        <v>10.1097--fpc.0b013e32831367f0.pdf</v>
      </c>
      <c r="D1660" s="159" t="str">
        <f>IFERROR(__xludf.DUMMYFUNCTION("""COMPUTED_VALUE"""),"application/pdf")</f>
        <v>application/pdf</v>
      </c>
    </row>
    <row r="1661">
      <c r="A1661" s="339" t="str">
        <f>IFERROR(__xludf.DUMMYFUNCTION("""COMPUTED_VALUE"""),"10.1016/j.anbehav.2007.03.011")</f>
        <v>10.1016/j.anbehav.2007.03.011</v>
      </c>
      <c r="B1661" s="445" t="str">
        <f>IFERROR(__xludf.DUMMYFUNCTION("""COMPUTED_VALUE"""),"https://drive.google.com/file/d/1KUQcqsK-r5AfbdzIkCakBZzGlFUtRtAB/view?usp=drivesdk")</f>
        <v>https://drive.google.com/file/d/1KUQcqsK-r5AfbdzIkCakBZzGlFUtRtAB/view?usp=drivesdk</v>
      </c>
      <c r="C1661" s="339" t="str">
        <f>IFERROR(__xludf.DUMMYFUNCTION("""COMPUTED_VALUE"""),"10.1016--j.anbehav.2007.03.011.pdf")</f>
        <v>10.1016--j.anbehav.2007.03.011.pdf</v>
      </c>
      <c r="D1661" s="159" t="str">
        <f>IFERROR(__xludf.DUMMYFUNCTION("""COMPUTED_VALUE"""),"application/pdf")</f>
        <v>application/pdf</v>
      </c>
    </row>
    <row r="1662">
      <c r="A1662" s="339" t="str">
        <f>IFERROR(__xludf.DUMMYFUNCTION("""COMPUTED_VALUE"""),"10.1111/j.1439-0310.2008.01513.x")</f>
        <v>10.1111/j.1439-0310.2008.01513.x</v>
      </c>
      <c r="B1662" s="445" t="str">
        <f>IFERROR(__xludf.DUMMYFUNCTION("""COMPUTED_VALUE"""),"https://drive.google.com/file/d/10U_h3GRWlK3nNIqq6UMnE9fs0R1sihM3/view?usp=drivesdk")</f>
        <v>https://drive.google.com/file/d/10U_h3GRWlK3nNIqq6UMnE9fs0R1sihM3/view?usp=drivesdk</v>
      </c>
      <c r="C1662" s="339" t="str">
        <f>IFERROR(__xludf.DUMMYFUNCTION("""COMPUTED_VALUE"""),"10.1111--j.1439-0310.2008.01513.x.pdf")</f>
        <v>10.1111--j.1439-0310.2008.01513.x.pdf</v>
      </c>
      <c r="D1662" s="159" t="str">
        <f>IFERROR(__xludf.DUMMYFUNCTION("""COMPUTED_VALUE"""),"application/pdf")</f>
        <v>application/pdf</v>
      </c>
    </row>
    <row r="1663">
      <c r="A1663" s="339" t="str">
        <f>IFERROR(__xludf.DUMMYFUNCTION("""COMPUTED_VALUE"""),"10.1111/j.1467-9280.2007.01876.x")</f>
        <v>10.1111/j.1467-9280.2007.01876.x</v>
      </c>
      <c r="B1663" s="445" t="str">
        <f>IFERROR(__xludf.DUMMYFUNCTION("""COMPUTED_VALUE"""),"https://drive.google.com/file/d/1UxdcBZ-3RJc_ZWRiOUG2OgzApwZoezAz/view?usp=drivesdk")</f>
        <v>https://drive.google.com/file/d/1UxdcBZ-3RJc_ZWRiOUG2OgzApwZoezAz/view?usp=drivesdk</v>
      </c>
      <c r="C1663" s="339" t="str">
        <f>IFERROR(__xludf.DUMMYFUNCTION("""COMPUTED_VALUE"""),"10.1111--j.1467-9280.2007.01876.x.pdf")</f>
        <v>10.1111--j.1467-9280.2007.01876.x.pdf</v>
      </c>
      <c r="D1663" s="159" t="str">
        <f>IFERROR(__xludf.DUMMYFUNCTION("""COMPUTED_VALUE"""),"application/pdf")</f>
        <v>application/pdf</v>
      </c>
    </row>
    <row r="1664">
      <c r="A1664" s="339" t="str">
        <f>IFERROR(__xludf.DUMMYFUNCTION("""COMPUTED_VALUE"""),"10.2307/2096363")</f>
        <v>10.2307/2096363</v>
      </c>
      <c r="B1664" s="445" t="str">
        <f>IFERROR(__xludf.DUMMYFUNCTION("""COMPUTED_VALUE"""),"https://drive.google.com/file/d/1ZBRIboiJcvNJkaHQes2SUyzxdc-3M7a3/view?usp=drivesdk")</f>
        <v>https://drive.google.com/file/d/1ZBRIboiJcvNJkaHQes2SUyzxdc-3M7a3/view?usp=drivesdk</v>
      </c>
      <c r="C1664" s="339" t="str">
        <f>IFERROR(__xludf.DUMMYFUNCTION("""COMPUTED_VALUE"""),"10.2307--2096363.pdf")</f>
        <v>10.2307--2096363.pdf</v>
      </c>
      <c r="D1664" s="159" t="str">
        <f>IFERROR(__xludf.DUMMYFUNCTION("""COMPUTED_VALUE"""),"application/pdf")</f>
        <v>application/pdf</v>
      </c>
    </row>
    <row r="1665">
      <c r="A1665" s="339" t="str">
        <f>IFERROR(__xludf.DUMMYFUNCTION("""COMPUTED_VALUE"""),"10.1093/ptj/65.7.1034")</f>
        <v>10.1093/ptj/65.7.1034</v>
      </c>
      <c r="B1665" s="445" t="str">
        <f>IFERROR(__xludf.DUMMYFUNCTION("""COMPUTED_VALUE"""),"https://drive.google.com/file/d/1-mfV1-1-7LtD_ymHa4L9A8meO_iq-9CV/view?usp=drivesdk")</f>
        <v>https://drive.google.com/file/d/1-mfV1-1-7LtD_ymHa4L9A8meO_iq-9CV/view?usp=drivesdk</v>
      </c>
      <c r="C1665" s="339" t="str">
        <f>IFERROR(__xludf.DUMMYFUNCTION("""COMPUTED_VALUE"""),"10.1093--ptj--65.7.1034.pdf")</f>
        <v>10.1093--ptj--65.7.1034.pdf</v>
      </c>
      <c r="D1665" s="159" t="str">
        <f>IFERROR(__xludf.DUMMYFUNCTION("""COMPUTED_VALUE"""),"application/pdf")</f>
        <v>application/pdf</v>
      </c>
    </row>
    <row r="1666">
      <c r="A1666" s="339" t="str">
        <f>IFERROR(__xludf.DUMMYFUNCTION("""COMPUTED_VALUE"""),"10.1037//0021-843x.111.4.620")</f>
        <v>10.1037//0021-843x.111.4.620</v>
      </c>
      <c r="B1666" s="445" t="str">
        <f>IFERROR(__xludf.DUMMYFUNCTION("""COMPUTED_VALUE"""),"https://drive.google.com/file/d/1qD19JwWxOgtJrbj888hdQtvkc50WxKik/view?usp=drivesdk")</f>
        <v>https://drive.google.com/file/d/1qD19JwWxOgtJrbj888hdQtvkc50WxKik/view?usp=drivesdk</v>
      </c>
      <c r="C1666" s="339" t="str">
        <f>IFERROR(__xludf.DUMMYFUNCTION("""COMPUTED_VALUE"""),"10.1037----0021-843x.111.4.620.pdf")</f>
        <v>10.1037----0021-843x.111.4.620.pdf</v>
      </c>
      <c r="D1666" s="159" t="str">
        <f>IFERROR(__xludf.DUMMYFUNCTION("""COMPUTED_VALUE"""),"application/pdf")</f>
        <v>application/pdf</v>
      </c>
    </row>
    <row r="1667">
      <c r="A1667" s="339" t="str">
        <f>IFERROR(__xludf.DUMMYFUNCTION("""COMPUTED_VALUE"""),"10.1037/0021-843x.115.3.636")</f>
        <v>10.1037/0021-843x.115.3.636</v>
      </c>
      <c r="B1667" s="445" t="str">
        <f>IFERROR(__xludf.DUMMYFUNCTION("""COMPUTED_VALUE"""),"https://drive.google.com/file/d/1VstYRkLs_vHWMyJ0_FYFPw0TXdeyt03z/view?usp=drivesdk")</f>
        <v>https://drive.google.com/file/d/1VstYRkLs_vHWMyJ0_FYFPw0TXdeyt03z/view?usp=drivesdk</v>
      </c>
      <c r="C1667" s="339" t="str">
        <f>IFERROR(__xludf.DUMMYFUNCTION("""COMPUTED_VALUE"""),"10.1037--0021-843x.115.3.636.pdf")</f>
        <v>10.1037--0021-843x.115.3.636.pdf</v>
      </c>
      <c r="D1667" s="159" t="str">
        <f>IFERROR(__xludf.DUMMYFUNCTION("""COMPUTED_VALUE"""),"application/pdf")</f>
        <v>application/pdf</v>
      </c>
    </row>
    <row r="1668">
      <c r="A1668" s="339" t="str">
        <f>IFERROR(__xludf.DUMMYFUNCTION("""COMPUTED_VALUE"""),"10.1016/j.inteco.2024.100525")</f>
        <v>10.1016/j.inteco.2024.100525</v>
      </c>
      <c r="B1668" s="445" t="str">
        <f>IFERROR(__xludf.DUMMYFUNCTION("""COMPUTED_VALUE"""),"https://drive.google.com/file/d/1wEmOt7x5Pv9MsatTAfDanNliY0qJ3UXp/view?usp=drivesdk")</f>
        <v>https://drive.google.com/file/d/1wEmOt7x5Pv9MsatTAfDanNliY0qJ3UXp/view?usp=drivesdk</v>
      </c>
      <c r="C1668" s="339" t="str">
        <f>IFERROR(__xludf.DUMMYFUNCTION("""COMPUTED_VALUE"""),"10.1016--j.inteco.2024.100525.pdf")</f>
        <v>10.1016--j.inteco.2024.100525.pdf</v>
      </c>
      <c r="D1668" s="159" t="str">
        <f>IFERROR(__xludf.DUMMYFUNCTION("""COMPUTED_VALUE"""),"application/pdf")</f>
        <v>application/pdf</v>
      </c>
    </row>
    <row r="1669">
      <c r="A1669" s="339" t="str">
        <f>IFERROR(__xludf.DUMMYFUNCTION("""COMPUTED_VALUE"""),"10.1016/j.cognition.2014.12.001")</f>
        <v>10.1016/j.cognition.2014.12.001</v>
      </c>
      <c r="B1669" s="445" t="str">
        <f>IFERROR(__xludf.DUMMYFUNCTION("""COMPUTED_VALUE"""),"https://drive.google.com/file/d/1lfCch3QzOUDKCMr20GGdq4Az5l52IHw_/view?usp=drivesdk")</f>
        <v>https://drive.google.com/file/d/1lfCch3QzOUDKCMr20GGdq4Az5l52IHw_/view?usp=drivesdk</v>
      </c>
      <c r="C1669" s="339" t="str">
        <f>IFERROR(__xludf.DUMMYFUNCTION("""COMPUTED_VALUE"""),"10.1016--j.cognition.2014.12.001.pdf")</f>
        <v>10.1016--j.cognition.2014.12.001.pdf</v>
      </c>
      <c r="D1669" s="159" t="str">
        <f>IFERROR(__xludf.DUMMYFUNCTION("""COMPUTED_VALUE"""),"application/pdf")</f>
        <v>application/pdf</v>
      </c>
    </row>
    <row r="1670">
      <c r="A1670" s="339" t="str">
        <f>IFERROR(__xludf.DUMMYFUNCTION("""COMPUTED_VALUE"""),"kessler_2021")</f>
        <v>kessler_2021</v>
      </c>
      <c r="B1670" s="445" t="str">
        <f>IFERROR(__xludf.DUMMYFUNCTION("""COMPUTED_VALUE"""),"https://drive.google.com/file/d/1HWm_w6YekPul5ovas5Qo4pPAlIx_0O9Y/view?usp=drivesdk")</f>
        <v>https://drive.google.com/file/d/1HWm_w6YekPul5ovas5Qo4pPAlIx_0O9Y/view?usp=drivesdk</v>
      </c>
      <c r="C1670" s="339" t="str">
        <f>IFERROR(__xludf.DUMMYFUNCTION("""COMPUTED_VALUE"""),"kessler_2021.pdf")</f>
        <v>kessler_2021.pdf</v>
      </c>
      <c r="D1670" s="159" t="str">
        <f>IFERROR(__xludf.DUMMYFUNCTION("""COMPUTED_VALUE"""),"application/pdf")</f>
        <v>application/pdf</v>
      </c>
    </row>
    <row r="1671">
      <c r="A1671" s="339" t="str">
        <f>IFERROR(__xludf.DUMMYFUNCTION("""COMPUTED_VALUE"""),"10.1177/0022343398035003003")</f>
        <v>10.1177/0022343398035003003</v>
      </c>
      <c r="B1671" s="445" t="str">
        <f>IFERROR(__xludf.DUMMYFUNCTION("""COMPUTED_VALUE"""),"https://drive.google.com/file/d/1qUbMPC11wkQ35T92TpesLnKKmlSMPwLj/view?usp=drivesdk")</f>
        <v>https://drive.google.com/file/d/1qUbMPC11wkQ35T92TpesLnKKmlSMPwLj/view?usp=drivesdk</v>
      </c>
      <c r="C1671" s="339" t="str">
        <f>IFERROR(__xludf.DUMMYFUNCTION("""COMPUTED_VALUE"""),"10.1177--0022343398035003003.pdf")</f>
        <v>10.1177--0022343398035003003.pdf</v>
      </c>
      <c r="D1671" s="159" t="str">
        <f>IFERROR(__xludf.DUMMYFUNCTION("""COMPUTED_VALUE"""),"application/pdf")</f>
        <v>application/pdf</v>
      </c>
    </row>
    <row r="1672">
      <c r="A1672" s="339" t="str">
        <f>IFERROR(__xludf.DUMMYFUNCTION("""COMPUTED_VALUE"""),"10.1177/0022343308096157")</f>
        <v>10.1177/0022343308096157</v>
      </c>
      <c r="B1672" s="445" t="str">
        <f>IFERROR(__xludf.DUMMYFUNCTION("""COMPUTED_VALUE"""),"https://drive.google.com/file/d/1h6u2VQ0LR0hPmmdn04oQT-pK3GBBNrdW/view?usp=drivesdk")</f>
        <v>https://drive.google.com/file/d/1h6u2VQ0LR0hPmmdn04oQT-pK3GBBNrdW/view?usp=drivesdk</v>
      </c>
      <c r="C1672" s="339" t="str">
        <f>IFERROR(__xludf.DUMMYFUNCTION("""COMPUTED_VALUE"""),"10.1177--0022343308096157.pdf")</f>
        <v>10.1177--0022343308096157.pdf</v>
      </c>
      <c r="D1672" s="159" t="str">
        <f>IFERROR(__xludf.DUMMYFUNCTION("""COMPUTED_VALUE"""),"application/pdf")</f>
        <v>application/pdf</v>
      </c>
    </row>
    <row r="1673">
      <c r="A1673" s="339" t="str">
        <f>IFERROR(__xludf.DUMMYFUNCTION("""COMPUTED_VALUE"""),"10.1186/gb-2010-11-s1-p37")</f>
        <v>10.1186/gb-2010-11-s1-p37</v>
      </c>
      <c r="B1673" s="445" t="str">
        <f>IFERROR(__xludf.DUMMYFUNCTION("""COMPUTED_VALUE"""),"https://drive.google.com/file/d/1dBJyDWqgZiLyD6LwmisNe4nXwuBfOhpL/view?usp=drivesdk")</f>
        <v>https://drive.google.com/file/d/1dBJyDWqgZiLyD6LwmisNe4nXwuBfOhpL/view?usp=drivesdk</v>
      </c>
      <c r="C1673" s="339" t="str">
        <f>IFERROR(__xludf.DUMMYFUNCTION("""COMPUTED_VALUE"""),"10.1186--gb-2010-11-s1-p37.pdf")</f>
        <v>10.1186--gb-2010-11-s1-p37.pdf</v>
      </c>
      <c r="D1673" s="159" t="str">
        <f>IFERROR(__xludf.DUMMYFUNCTION("""COMPUTED_VALUE"""),"application/pdf")</f>
        <v>application/pdf</v>
      </c>
    </row>
    <row r="1674">
      <c r="A1674" s="339" t="str">
        <f>IFERROR(__xludf.DUMMYFUNCTION("""COMPUTED_VALUE"""),"10.7554/elife.11566.002")</f>
        <v>10.7554/elife.11566.002</v>
      </c>
      <c r="B1674" s="445" t="str">
        <f>IFERROR(__xludf.DUMMYFUNCTION("""COMPUTED_VALUE"""),"https://drive.google.com/file/d/1lmPuhIbcH-1rcIDjqkw34HcSU2O6c2ue/view?usp=drivesdk")</f>
        <v>https://drive.google.com/file/d/1lmPuhIbcH-1rcIDjqkw34HcSU2O6c2ue/view?usp=drivesdk</v>
      </c>
      <c r="C1674" s="339" t="str">
        <f>IFERROR(__xludf.DUMMYFUNCTION("""COMPUTED_VALUE"""),"10.7554--elife.11566.002.pdf")</f>
        <v>10.7554--elife.11566.002.pdf</v>
      </c>
      <c r="D1674" s="159" t="str">
        <f>IFERROR(__xludf.DUMMYFUNCTION("""COMPUTED_VALUE"""),"application/pdf")</f>
        <v>application/pdf</v>
      </c>
    </row>
    <row r="1675">
      <c r="A1675" s="339" t="str">
        <f>IFERROR(__xludf.DUMMYFUNCTION("""COMPUTED_VALUE"""),"10.1177/0093854807300758")</f>
        <v>10.1177/0093854807300758</v>
      </c>
      <c r="B1675" s="445" t="str">
        <f>IFERROR(__xludf.DUMMYFUNCTION("""COMPUTED_VALUE"""),"https://drive.google.com/file/d/1uqjSAQTztfrE6WhTBJq5beR6Eq5T80AH/view?usp=drivesdk")</f>
        <v>https://drive.google.com/file/d/1uqjSAQTztfrE6WhTBJq5beR6Eq5T80AH/view?usp=drivesdk</v>
      </c>
      <c r="C1675" s="339" t="str">
        <f>IFERROR(__xludf.DUMMYFUNCTION("""COMPUTED_VALUE"""),"10.1177--0093854807300758.pdf")</f>
        <v>10.1177--0093854807300758.pdf</v>
      </c>
      <c r="D1675" s="159" t="str">
        <f>IFERROR(__xludf.DUMMYFUNCTION("""COMPUTED_VALUE"""),"application/pdf")</f>
        <v>application/pdf</v>
      </c>
    </row>
    <row r="1676">
      <c r="A1676" s="339" t="str">
        <f>IFERROR(__xludf.DUMMYFUNCTION("""COMPUTED_VALUE"""),"10.1016/0305-4179(94)90016-7")</f>
        <v>10.1016/0305-4179(94)90016-7</v>
      </c>
      <c r="B1676" s="445" t="str">
        <f>IFERROR(__xludf.DUMMYFUNCTION("""COMPUTED_VALUE"""),"https://drive.google.com/file/d/14xPFZ4HHJvQfdaqlQgpTJvulMISesY6F/view?usp=drivesdk")</f>
        <v>https://drive.google.com/file/d/14xPFZ4HHJvQfdaqlQgpTJvulMISesY6F/view?usp=drivesdk</v>
      </c>
      <c r="C1676" s="339" t="str">
        <f>IFERROR(__xludf.DUMMYFUNCTION("""COMPUTED_VALUE"""),"10.1016--0305-4179(94)90016-7.pdf")</f>
        <v>10.1016--0305-4179(94)90016-7.pdf</v>
      </c>
      <c r="D1676" s="159" t="str">
        <f>IFERROR(__xludf.DUMMYFUNCTION("""COMPUTED_VALUE"""),"application/pdf")</f>
        <v>application/pdf</v>
      </c>
    </row>
    <row r="1677">
      <c r="A1677" s="339" t="str">
        <f>IFERROR(__xludf.DUMMYFUNCTION("""COMPUTED_VALUE"""),"10.3390/ebj6010008")</f>
        <v>10.3390/ebj6010008</v>
      </c>
      <c r="B1677" s="445" t="str">
        <f>IFERROR(__xludf.DUMMYFUNCTION("""COMPUTED_VALUE"""),"https://drive.google.com/file/d/1j4hujUpxDdiZOOz_iIcSNsQxGnF8LS3U/view?usp=drivesdk")</f>
        <v>https://drive.google.com/file/d/1j4hujUpxDdiZOOz_iIcSNsQxGnF8LS3U/view?usp=drivesdk</v>
      </c>
      <c r="C1677" s="339" t="str">
        <f>IFERROR(__xludf.DUMMYFUNCTION("""COMPUTED_VALUE"""),"10.3390--ebj6010008.pdf")</f>
        <v>10.3390--ebj6010008.pdf</v>
      </c>
      <c r="D1677" s="159" t="str">
        <f>IFERROR(__xludf.DUMMYFUNCTION("""COMPUTED_VALUE"""),"application/pdf")</f>
        <v>application/pdf</v>
      </c>
    </row>
    <row r="1678">
      <c r="A1678" s="339" t="str">
        <f>IFERROR(__xludf.DUMMYFUNCTION("""COMPUTED_VALUE"""),"10.1002/jclp.10207")</f>
        <v>10.1002/jclp.10207</v>
      </c>
      <c r="B1678" s="445" t="str">
        <f>IFERROR(__xludf.DUMMYFUNCTION("""COMPUTED_VALUE"""),"https://drive.google.com/file/d/1HQul4SsDY7kfhjNRo0e8g6nXnnrbKsyY/view?usp=drivesdk")</f>
        <v>https://drive.google.com/file/d/1HQul4SsDY7kfhjNRo0e8g6nXnnrbKsyY/view?usp=drivesdk</v>
      </c>
      <c r="C1678" s="339" t="str">
        <f>IFERROR(__xludf.DUMMYFUNCTION("""COMPUTED_VALUE"""),"10.1002--jclp.10207.pdf")</f>
        <v>10.1002--jclp.10207.pdf</v>
      </c>
      <c r="D1678" s="159" t="str">
        <f>IFERROR(__xludf.DUMMYFUNCTION("""COMPUTED_VALUE"""),"application/pdf")</f>
        <v>application/pdf</v>
      </c>
    </row>
    <row r="1679">
      <c r="A1679" s="339" t="str">
        <f>IFERROR(__xludf.DUMMYFUNCTION("""COMPUTED_VALUE"""),"10.1097/01.nmd.0000254675.52952.e5")</f>
        <v>10.1097/01.nmd.0000254675.52952.e5</v>
      </c>
      <c r="B1679" s="445" t="str">
        <f>IFERROR(__xludf.DUMMYFUNCTION("""COMPUTED_VALUE"""),"https://drive.google.com/file/d/1oVe6PPMxKaflBLEv7M_Old2XSyuAAwUe/view?usp=drivesdk")</f>
        <v>https://drive.google.com/file/d/1oVe6PPMxKaflBLEv7M_Old2XSyuAAwUe/view?usp=drivesdk</v>
      </c>
      <c r="C1679" s="339" t="str">
        <f>IFERROR(__xludf.DUMMYFUNCTION("""COMPUTED_VALUE"""),"10.1097--01.nmd.0000254675.52952.e5.pdf")</f>
        <v>10.1097--01.nmd.0000254675.52952.e5.pdf</v>
      </c>
      <c r="D1679" s="159" t="str">
        <f>IFERROR(__xludf.DUMMYFUNCTION("""COMPUTED_VALUE"""),"application/pdf")</f>
        <v>application/pdf</v>
      </c>
    </row>
    <row r="1680">
      <c r="A1680" s="339" t="str">
        <f>IFERROR(__xludf.DUMMYFUNCTION("""COMPUTED_VALUE"""),"10.1016/j.neuroimage.2021.118247")</f>
        <v>10.1016/j.neuroimage.2021.118247</v>
      </c>
      <c r="B1680" s="445" t="str">
        <f>IFERROR(__xludf.DUMMYFUNCTION("""COMPUTED_VALUE"""),"https://drive.google.com/file/d/1XxblkueQgl6YsWD8BaUFT6_Y-LKwY6AV/view?usp=drivesdk")</f>
        <v>https://drive.google.com/file/d/1XxblkueQgl6YsWD8BaUFT6_Y-LKwY6AV/view?usp=drivesdk</v>
      </c>
      <c r="C1680" s="339" t="str">
        <f>IFERROR(__xludf.DUMMYFUNCTION("""COMPUTED_VALUE"""),"10.1016--j.neuroimage.2021.118247.pdf")</f>
        <v>10.1016--j.neuroimage.2021.118247.pdf</v>
      </c>
      <c r="D1680" s="159" t="str">
        <f>IFERROR(__xludf.DUMMYFUNCTION("""COMPUTED_VALUE"""),"application/pdf")</f>
        <v>application/pdf</v>
      </c>
    </row>
    <row r="1681">
      <c r="A1681" s="339" t="str">
        <f>IFERROR(__xludf.DUMMYFUNCTION("""COMPUTED_VALUE"""),"10.2139/ssrn.3680648")</f>
        <v>10.2139/ssrn.3680648</v>
      </c>
      <c r="B1681" s="445" t="str">
        <f>IFERROR(__xludf.DUMMYFUNCTION("""COMPUTED_VALUE"""),"https://drive.google.com/file/d/1izPHhUHB0NYR95DM9dudqdToqve9cScm/view?usp=drivesdk")</f>
        <v>https://drive.google.com/file/d/1izPHhUHB0NYR95DM9dudqdToqve9cScm/view?usp=drivesdk</v>
      </c>
      <c r="C1681" s="339" t="str">
        <f>IFERROR(__xludf.DUMMYFUNCTION("""COMPUTED_VALUE"""),"10.2139--ssrn.3680648.pdf")</f>
        <v>10.2139--ssrn.3680648.pdf</v>
      </c>
      <c r="D1681" s="159" t="str">
        <f>IFERROR(__xludf.DUMMYFUNCTION("""COMPUTED_VALUE"""),"application/pdf")</f>
        <v>application/pdf</v>
      </c>
    </row>
    <row r="1682">
      <c r="A1682" s="339" t="str">
        <f>IFERROR(__xludf.DUMMYFUNCTION("""COMPUTED_VALUE"""),"mays_2013")</f>
        <v>mays_2013</v>
      </c>
      <c r="B1682" s="445" t="str">
        <f>IFERROR(__xludf.DUMMYFUNCTION("""COMPUTED_VALUE"""),"https://drive.google.com/file/d/1cV_YaRdgiWnpFXbjHG5VY2xsHhOD81BN/view?usp=drivesdk")</f>
        <v>https://drive.google.com/file/d/1cV_YaRdgiWnpFXbjHG5VY2xsHhOD81BN/view?usp=drivesdk</v>
      </c>
      <c r="C1682" s="339" t="str">
        <f>IFERROR(__xludf.DUMMYFUNCTION("""COMPUTED_VALUE"""),"mays_2013.pdf")</f>
        <v>mays_2013.pdf</v>
      </c>
      <c r="D1682" s="159" t="str">
        <f>IFERROR(__xludf.DUMMYFUNCTION("""COMPUTED_VALUE"""),"application/pdf")</f>
        <v>application/pdf</v>
      </c>
    </row>
    <row r="1683">
      <c r="A1683" s="339" t="str">
        <f>IFERROR(__xludf.DUMMYFUNCTION("""COMPUTED_VALUE"""),"10.1037/pspa0000032")</f>
        <v>10.1037/pspa0000032</v>
      </c>
      <c r="B1683" s="445" t="str">
        <f>IFERROR(__xludf.DUMMYFUNCTION("""COMPUTED_VALUE"""),"https://drive.google.com/file/d/1odsdUkdbYWGK_Y3-6GwgXk3fruzb8K5B/view?usp=drivesdk")</f>
        <v>https://drive.google.com/file/d/1odsdUkdbYWGK_Y3-6GwgXk3fruzb8K5B/view?usp=drivesdk</v>
      </c>
      <c r="C1683" s="339" t="str">
        <f>IFERROR(__xludf.DUMMYFUNCTION("""COMPUTED_VALUE"""),"10.1037--pspa0000032.pdf")</f>
        <v>10.1037--pspa0000032.pdf</v>
      </c>
      <c r="D1683" s="159" t="str">
        <f>IFERROR(__xludf.DUMMYFUNCTION("""COMPUTED_VALUE"""),"application/pdf")</f>
        <v>application/pdf</v>
      </c>
    </row>
    <row r="1684">
      <c r="A1684" s="339" t="str">
        <f>IFERROR(__xludf.DUMMYFUNCTION("""COMPUTED_VALUE"""),"10.1017/s1930297500007774")</f>
        <v>10.1017/s1930297500007774</v>
      </c>
      <c r="B1684" s="445" t="str">
        <f>IFERROR(__xludf.DUMMYFUNCTION("""COMPUTED_VALUE"""),"https://drive.google.com/file/d/1-LOs6iJWqH6J7LkZbxx9IKK68sIQYm15/view?usp=drivesdk")</f>
        <v>https://drive.google.com/file/d/1-LOs6iJWqH6J7LkZbxx9IKK68sIQYm15/view?usp=drivesdk</v>
      </c>
      <c r="C1684" s="339" t="str">
        <f>IFERROR(__xludf.DUMMYFUNCTION("""COMPUTED_VALUE"""),"10.1017--s1930297500007774.pdf")</f>
        <v>10.1017--s1930297500007774.pdf</v>
      </c>
      <c r="D1684" s="159" t="str">
        <f>IFERROR(__xludf.DUMMYFUNCTION("""COMPUTED_VALUE"""),"application/pdf")</f>
        <v>application/pdf</v>
      </c>
    </row>
    <row r="1685">
      <c r="A1685" s="339" t="str">
        <f>IFERROR(__xludf.DUMMYFUNCTION("""COMPUTED_VALUE"""),"10.1038/ng1808")</f>
        <v>10.1038/ng1808</v>
      </c>
      <c r="B1685" s="445" t="str">
        <f>IFERROR(__xludf.DUMMYFUNCTION("""COMPUTED_VALUE"""),"https://drive.google.com/file/d/1HQQqaXQ2aDOZT_SNuEKfrgklxfV96f2p/view?usp=drivesdk")</f>
        <v>https://drive.google.com/file/d/1HQQqaXQ2aDOZT_SNuEKfrgklxfV96f2p/view?usp=drivesdk</v>
      </c>
      <c r="C1685" s="339" t="str">
        <f>IFERROR(__xludf.DUMMYFUNCTION("""COMPUTED_VALUE"""),"10.1038--ng1808.pdf")</f>
        <v>10.1038--ng1808.pdf</v>
      </c>
      <c r="D1685" s="159" t="str">
        <f>IFERROR(__xludf.DUMMYFUNCTION("""COMPUTED_VALUE"""),"application/pdf")</f>
        <v>application/pdf</v>
      </c>
    </row>
    <row r="1686">
      <c r="A1686" s="339" t="str">
        <f>IFERROR(__xludf.DUMMYFUNCTION("""COMPUTED_VALUE"""),"10.1002/pros.21320")</f>
        <v>10.1002/pros.21320</v>
      </c>
      <c r="B1686" s="445" t="str">
        <f>IFERROR(__xludf.DUMMYFUNCTION("""COMPUTED_VALUE"""),"https://drive.google.com/file/d/1prOSvEeiUcrPtWVtWvPaBacGuq5Uw8Qi/view?usp=drivesdk")</f>
        <v>https://drive.google.com/file/d/1prOSvEeiUcrPtWVtWvPaBacGuq5Uw8Qi/view?usp=drivesdk</v>
      </c>
      <c r="C1686" s="339" t="str">
        <f>IFERROR(__xludf.DUMMYFUNCTION("""COMPUTED_VALUE"""),"10.1002--pros.21320.pdf")</f>
        <v>10.1002--pros.21320.pdf</v>
      </c>
      <c r="D1686" s="159" t="str">
        <f>IFERROR(__xludf.DUMMYFUNCTION("""COMPUTED_VALUE"""),"application/pdf")</f>
        <v>application/pdf</v>
      </c>
    </row>
    <row r="1687">
      <c r="A1687" s="339" t="str">
        <f>IFERROR(__xludf.DUMMYFUNCTION("""COMPUTED_VALUE"""),"10.1016/s0005-7894(03)80035-7")</f>
        <v>10.1016/s0005-7894(03)80035-7</v>
      </c>
      <c r="B1687" s="445" t="str">
        <f>IFERROR(__xludf.DUMMYFUNCTION("""COMPUTED_VALUE"""),"https://drive.google.com/file/d/1A5tjQy7ttMX3sBzRYaD1uCZ6TKDCsqUH/view?usp=drivesdk")</f>
        <v>https://drive.google.com/file/d/1A5tjQy7ttMX3sBzRYaD1uCZ6TKDCsqUH/view?usp=drivesdk</v>
      </c>
      <c r="C1687" s="339" t="str">
        <f>IFERROR(__xludf.DUMMYFUNCTION("""COMPUTED_VALUE"""),"10.1016--s0005-7894(03)80035-7.pdf")</f>
        <v>10.1016--s0005-7894(03)80035-7.pdf</v>
      </c>
      <c r="D1687" s="159" t="str">
        <f>IFERROR(__xludf.DUMMYFUNCTION("""COMPUTED_VALUE"""),"application/pdf")</f>
        <v>application/pdf</v>
      </c>
    </row>
    <row r="1688">
      <c r="A1688" s="339" t="str">
        <f>IFERROR(__xludf.DUMMYFUNCTION("""COMPUTED_VALUE"""),"10.1037/fam0000147")</f>
        <v>10.1037/fam0000147</v>
      </c>
      <c r="B1688" s="445" t="str">
        <f>IFERROR(__xludf.DUMMYFUNCTION("""COMPUTED_VALUE"""),"https://drive.google.com/file/d/1fmq7pBZR5fn4yvsXd6FhDdYn8kchkDm4/view?usp=drivesdk")</f>
        <v>https://drive.google.com/file/d/1fmq7pBZR5fn4yvsXd6FhDdYn8kchkDm4/view?usp=drivesdk</v>
      </c>
      <c r="C1688" s="339" t="str">
        <f>IFERROR(__xludf.DUMMYFUNCTION("""COMPUTED_VALUE"""),"10.1037--fam0000147.pdf")</f>
        <v>10.1037--fam0000147.pdf</v>
      </c>
      <c r="D1688" s="159" t="str">
        <f>IFERROR(__xludf.DUMMYFUNCTION("""COMPUTED_VALUE"""),"application/pdf")</f>
        <v>application/pdf</v>
      </c>
    </row>
    <row r="1689">
      <c r="A1689" s="339" t="str">
        <f>IFERROR(__xludf.DUMMYFUNCTION("""COMPUTED_VALUE"""),"10.1057/palgrave.bm.2540112")</f>
        <v>10.1057/palgrave.bm.2540112</v>
      </c>
      <c r="B1689" s="445" t="str">
        <f>IFERROR(__xludf.DUMMYFUNCTION("""COMPUTED_VALUE"""),"https://drive.google.com/file/d/1x8ChbGRnQosFWpLO6ivg0Gru6QydF7SG/view?usp=drivesdk")</f>
        <v>https://drive.google.com/file/d/1x8ChbGRnQosFWpLO6ivg0Gru6QydF7SG/view?usp=drivesdk</v>
      </c>
      <c r="C1689" s="339" t="str">
        <f>IFERROR(__xludf.DUMMYFUNCTION("""COMPUTED_VALUE"""),"10.1057--palgrave.bm.2540112.pdf")</f>
        <v>10.1057--palgrave.bm.2540112.pdf</v>
      </c>
      <c r="D1689" s="159" t="str">
        <f>IFERROR(__xludf.DUMMYFUNCTION("""COMPUTED_VALUE"""),"application/pdf")</f>
        <v>application/pdf</v>
      </c>
    </row>
    <row r="1690">
      <c r="A1690" s="339" t="str">
        <f>IFERROR(__xludf.DUMMYFUNCTION("""COMPUTED_VALUE"""),"10.1504/ijesb.2007.014983")</f>
        <v>10.1504/ijesb.2007.014983</v>
      </c>
      <c r="B1690" s="445" t="str">
        <f>IFERROR(__xludf.DUMMYFUNCTION("""COMPUTED_VALUE"""),"https://drive.google.com/file/d/17sVwjrDS913Gts1JisHt0r2QxjDzr5lB/view?usp=drivesdk")</f>
        <v>https://drive.google.com/file/d/17sVwjrDS913Gts1JisHt0r2QxjDzr5lB/view?usp=drivesdk</v>
      </c>
      <c r="C1690" s="339" t="str">
        <f>IFERROR(__xludf.DUMMYFUNCTION("""COMPUTED_VALUE"""),"10.1504--ijesb.2007.014983.pdf")</f>
        <v>10.1504--ijesb.2007.014983.pdf</v>
      </c>
      <c r="D1690" s="159" t="str">
        <f>IFERROR(__xludf.DUMMYFUNCTION("""COMPUTED_VALUE"""),"application/pdf")</f>
        <v>application/pdf</v>
      </c>
    </row>
    <row r="1691">
      <c r="A1691" s="339" t="str">
        <f>IFERROR(__xludf.DUMMYFUNCTION("""COMPUTED_VALUE"""),"10.3389/fpsyg.2021.618343")</f>
        <v>10.3389/fpsyg.2021.618343</v>
      </c>
      <c r="B1691" s="445" t="str">
        <f>IFERROR(__xludf.DUMMYFUNCTION("""COMPUTED_VALUE"""),"https://drive.google.com/file/d/1OHrkMTqW-CDqr555bgbohaOi5pda3ONA/view?usp=drivesdk")</f>
        <v>https://drive.google.com/file/d/1OHrkMTqW-CDqr555bgbohaOi5pda3ONA/view?usp=drivesdk</v>
      </c>
      <c r="C1691" s="339" t="str">
        <f>IFERROR(__xludf.DUMMYFUNCTION("""COMPUTED_VALUE"""),"10.3389--fpsyg.2021.618343.pdf")</f>
        <v>10.3389--fpsyg.2021.618343.pdf</v>
      </c>
      <c r="D1691" s="159" t="str">
        <f>IFERROR(__xludf.DUMMYFUNCTION("""COMPUTED_VALUE"""),"application/pdf")</f>
        <v>application/pdf</v>
      </c>
    </row>
    <row r="1692">
      <c r="A1692" s="339" t="str">
        <f>IFERROR(__xludf.DUMMYFUNCTION("""COMPUTED_VALUE"""),"10.1300/j075v10n01_07")</f>
        <v>10.1300/j075v10n01_07</v>
      </c>
      <c r="B1692" s="445" t="str">
        <f>IFERROR(__xludf.DUMMYFUNCTION("""COMPUTED_VALUE"""),"https://drive.google.com/file/d/1Sa8c1fB3Y2JY9ckKOsg1YCH2Mp5uSOKG/view?usp=drivesdk")</f>
        <v>https://drive.google.com/file/d/1Sa8c1fB3Y2JY9ckKOsg1YCH2Mp5uSOKG/view?usp=drivesdk</v>
      </c>
      <c r="C1692" s="339" t="str">
        <f>IFERROR(__xludf.DUMMYFUNCTION("""COMPUTED_VALUE"""),"10.1300--j075v10n01_07.pdf")</f>
        <v>10.1300--j075v10n01_07.pdf</v>
      </c>
      <c r="D1692" s="159" t="str">
        <f>IFERROR(__xludf.DUMMYFUNCTION("""COMPUTED_VALUE"""),"application/pdf")</f>
        <v>application/pdf</v>
      </c>
    </row>
    <row r="1693">
      <c r="A1693" s="339" t="str">
        <f>IFERROR(__xludf.DUMMYFUNCTION("""COMPUTED_VALUE"""),"10.1300/j075v12n01_04")</f>
        <v>10.1300/j075v12n01_04</v>
      </c>
      <c r="B1693" s="445" t="str">
        <f>IFERROR(__xludf.DUMMYFUNCTION("""COMPUTED_VALUE"""),"https://drive.google.com/file/d/1-DrIsl5xE-ma7IF983DqJ9ziYsMByA9u/view?usp=drivesdk")</f>
        <v>https://drive.google.com/file/d/1-DrIsl5xE-ma7IF983DqJ9ziYsMByA9u/view?usp=drivesdk</v>
      </c>
      <c r="C1693" s="339" t="str">
        <f>IFERROR(__xludf.DUMMYFUNCTION("""COMPUTED_VALUE"""),"10.1300--j075v12n01_04.pdf")</f>
        <v>10.1300--j075v12n01_04.pdf</v>
      </c>
      <c r="D1693" s="159" t="str">
        <f>IFERROR(__xludf.DUMMYFUNCTION("""COMPUTED_VALUE"""),"application/pdf")</f>
        <v>application/pdf</v>
      </c>
    </row>
    <row r="1694">
      <c r="A1694" s="339" t="str">
        <f>IFERROR(__xludf.DUMMYFUNCTION("""COMPUTED_VALUE"""),"10.1016/j.visres.2005.11.013")</f>
        <v>10.1016/j.visres.2005.11.013</v>
      </c>
      <c r="B1694" s="445" t="str">
        <f>IFERROR(__xludf.DUMMYFUNCTION("""COMPUTED_VALUE"""),"https://drive.google.com/file/d/1jrq_rB-Oin-Vjz0-Heyq3RdGFIwfdpVX/view?usp=drivesdk")</f>
        <v>https://drive.google.com/file/d/1jrq_rB-Oin-Vjz0-Heyq3RdGFIwfdpVX/view?usp=drivesdk</v>
      </c>
      <c r="C1694" s="339" t="str">
        <f>IFERROR(__xludf.DUMMYFUNCTION("""COMPUTED_VALUE"""),"10.1016--j.visres.2005.11.013.pdf")</f>
        <v>10.1016--j.visres.2005.11.013.pdf</v>
      </c>
      <c r="D1694" s="159" t="str">
        <f>IFERROR(__xludf.DUMMYFUNCTION("""COMPUTED_VALUE"""),"application/pdf")</f>
        <v>application/pdf</v>
      </c>
    </row>
    <row r="1695">
      <c r="A1695" s="339" t="str">
        <f>IFERROR(__xludf.DUMMYFUNCTION("""COMPUTED_VALUE"""),"10.3389/fnhum.2014.00019")</f>
        <v>10.3389/fnhum.2014.00019</v>
      </c>
      <c r="B1695" s="445" t="str">
        <f>IFERROR(__xludf.DUMMYFUNCTION("""COMPUTED_VALUE"""),"https://drive.google.com/file/d/1YPe33ofHhAUwjKqWyKcx7n5n-dL3gHG4/view?usp=drivesdk")</f>
        <v>https://drive.google.com/file/d/1YPe33ofHhAUwjKqWyKcx7n5n-dL3gHG4/view?usp=drivesdk</v>
      </c>
      <c r="C1695" s="339" t="str">
        <f>IFERROR(__xludf.DUMMYFUNCTION("""COMPUTED_VALUE"""),"10.3389--fnhum.2014.00019.pdf")</f>
        <v>10.3389--fnhum.2014.00019.pdf</v>
      </c>
      <c r="D1695" s="159" t="str">
        <f>IFERROR(__xludf.DUMMYFUNCTION("""COMPUTED_VALUE"""),"application/pdf")</f>
        <v>application/pdf</v>
      </c>
    </row>
    <row r="1696">
      <c r="A1696" s="339" t="str">
        <f>IFERROR(__xludf.DUMMYFUNCTION("""COMPUTED_VALUE"""),"10.1016/j.cortex.2020.12.017")</f>
        <v>10.1016/j.cortex.2020.12.017</v>
      </c>
      <c r="B1696" s="445" t="str">
        <f>IFERROR(__xludf.DUMMYFUNCTION("""COMPUTED_VALUE"""),"https://drive.google.com/file/d/10bfFtsRpVGs1UGeHloAJRS0Qkl9gb2u5/view?usp=drivesdk")</f>
        <v>https://drive.google.com/file/d/10bfFtsRpVGs1UGeHloAJRS0Qkl9gb2u5/view?usp=drivesdk</v>
      </c>
      <c r="C1696" s="339" t="str">
        <f>IFERROR(__xludf.DUMMYFUNCTION("""COMPUTED_VALUE"""),"10.1016--j.cortex.2020.12.017.pdf")</f>
        <v>10.1016--j.cortex.2020.12.017.pdf</v>
      </c>
      <c r="D1696" s="159" t="str">
        <f>IFERROR(__xludf.DUMMYFUNCTION("""COMPUTED_VALUE"""),"application/pdf")</f>
        <v>application/pdf</v>
      </c>
    </row>
    <row r="1697">
      <c r="A1697" s="339" t="str">
        <f>IFERROR(__xludf.DUMMYFUNCTION("""COMPUTED_VALUE"""),"10.1038/s41598-022-04997-3")</f>
        <v>10.1038/s41598-022-04997-3</v>
      </c>
      <c r="B1697" s="445" t="str">
        <f>IFERROR(__xludf.DUMMYFUNCTION("""COMPUTED_VALUE"""),"https://drive.google.com/file/d/1jwFLKdF0byi7hon5GCbVvBleRSu-vK6j/view?usp=drivesdk")</f>
        <v>https://drive.google.com/file/d/1jwFLKdF0byi7hon5GCbVvBleRSu-vK6j/view?usp=drivesdk</v>
      </c>
      <c r="C1697" s="339" t="str">
        <f>IFERROR(__xludf.DUMMYFUNCTION("""COMPUTED_VALUE"""),"10.1038--s41598-022-04997-3.pdf")</f>
        <v>10.1038--s41598-022-04997-3.pdf</v>
      </c>
      <c r="D1697" s="159" t="str">
        <f>IFERROR(__xludf.DUMMYFUNCTION("""COMPUTED_VALUE"""),"application/pdf")</f>
        <v>application/pdf</v>
      </c>
    </row>
    <row r="1698">
      <c r="A1698" s="339" t="str">
        <f>IFERROR(__xludf.DUMMYFUNCTION("""COMPUTED_VALUE"""),"10.1093/schbul/sby017.650")</f>
        <v>10.1093/schbul/sby017.650</v>
      </c>
      <c r="B1698" s="445" t="str">
        <f>IFERROR(__xludf.DUMMYFUNCTION("""COMPUTED_VALUE"""),"https://drive.google.com/file/d/11ogde26aroINSig4eTT9lBULIn1KJP76/view?usp=drivesdk")</f>
        <v>https://drive.google.com/file/d/11ogde26aroINSig4eTT9lBULIn1KJP76/view?usp=drivesdk</v>
      </c>
      <c r="C1698" s="339" t="str">
        <f>IFERROR(__xludf.DUMMYFUNCTION("""COMPUTED_VALUE"""),"10.1093--schbul--sby017.650.pdf")</f>
        <v>10.1093--schbul--sby017.650.pdf</v>
      </c>
      <c r="D1698" s="159" t="str">
        <f>IFERROR(__xludf.DUMMYFUNCTION("""COMPUTED_VALUE"""),"application/pdf")</f>
        <v>application/pdf</v>
      </c>
    </row>
    <row r="1699">
      <c r="A1699" s="339" t="str">
        <f>IFERROR(__xludf.DUMMYFUNCTION("""COMPUTED_VALUE"""),"10.1177/074171367102100201")</f>
        <v>10.1177/074171367102100201</v>
      </c>
      <c r="B1699" s="445" t="str">
        <f>IFERROR(__xludf.DUMMYFUNCTION("""COMPUTED_VALUE"""),"https://drive.google.com/file/d/1w2s1nlT6t57-GqT3Tqhw810u0jmjYutX/view?usp=drivesdk")</f>
        <v>https://drive.google.com/file/d/1w2s1nlT6t57-GqT3Tqhw810u0jmjYutX/view?usp=drivesdk</v>
      </c>
      <c r="C1699" s="339" t="str">
        <f>IFERROR(__xludf.DUMMYFUNCTION("""COMPUTED_VALUE"""),"10.1177--074171367102100201.pdf")</f>
        <v>10.1177--074171367102100201.pdf</v>
      </c>
      <c r="D1699" s="159" t="str">
        <f>IFERROR(__xludf.DUMMYFUNCTION("""COMPUTED_VALUE"""),"application/pdf")</f>
        <v>application/pdf</v>
      </c>
    </row>
    <row r="1700">
      <c r="A1700" s="339" t="str">
        <f>IFERROR(__xludf.DUMMYFUNCTION("""COMPUTED_VALUE"""),"10.1177/074171367402400201")</f>
        <v>10.1177/074171367402400201</v>
      </c>
      <c r="B1700" s="445" t="str">
        <f>IFERROR(__xludf.DUMMYFUNCTION("""COMPUTED_VALUE"""),"https://drive.google.com/file/d/1NUBAl6Yl2Ll3r0YlezoDr1DQkJrRA7AB/view?usp=drivesdk")</f>
        <v>https://drive.google.com/file/d/1NUBAl6Yl2Ll3r0YlezoDr1DQkJrRA7AB/view?usp=drivesdk</v>
      </c>
      <c r="C1700" s="339" t="str">
        <f>IFERROR(__xludf.DUMMYFUNCTION("""COMPUTED_VALUE"""),"10.1177--074171367402400201.pdf")</f>
        <v>10.1177--074171367402400201.pdf</v>
      </c>
      <c r="D1700" s="159" t="str">
        <f>IFERROR(__xludf.DUMMYFUNCTION("""COMPUTED_VALUE"""),"application/pdf")</f>
        <v>application/pdf</v>
      </c>
    </row>
    <row r="1701">
      <c r="A1701" s="339" t="str">
        <f>IFERROR(__xludf.DUMMYFUNCTION("""COMPUTED_VALUE"""),"10.1057/s41599- 019-0279-9")</f>
        <v>10.1057/s41599- 019-0279-9</v>
      </c>
      <c r="B1701" s="445" t="str">
        <f>IFERROR(__xludf.DUMMYFUNCTION("""COMPUTED_VALUE"""),"https://drive.google.com/file/d/1ReLnNKT3otxTw6D_oW90adnGpa23jIV9/view?usp=drivesdk")</f>
        <v>https://drive.google.com/file/d/1ReLnNKT3otxTw6D_oW90adnGpa23jIV9/view?usp=drivesdk</v>
      </c>
      <c r="C1701" s="339" t="str">
        <f>IFERROR(__xludf.DUMMYFUNCTION("""COMPUTED_VALUE"""),"10.1057--s41599- 019-0279-9.pdf")</f>
        <v>10.1057--s41599- 019-0279-9.pdf</v>
      </c>
      <c r="D1701" s="159" t="str">
        <f>IFERROR(__xludf.DUMMYFUNCTION("""COMPUTED_VALUE"""),"application/pdf")</f>
        <v>application/pdf</v>
      </c>
    </row>
    <row r="1702">
      <c r="A1702" s="339" t="str">
        <f>IFERROR(__xludf.DUMMYFUNCTION("""COMPUTED_VALUE"""),"10.5334/joc.91")</f>
        <v>10.5334/joc.91</v>
      </c>
      <c r="B1702" s="445" t="str">
        <f>IFERROR(__xludf.DUMMYFUNCTION("""COMPUTED_VALUE"""),"https://drive.google.com/file/d/1Bv6xeD7qLRzi3rNU4XCCAm1NSWSbY4N0/view?usp=drivesdk")</f>
        <v>https://drive.google.com/file/d/1Bv6xeD7qLRzi3rNU4XCCAm1NSWSbY4N0/view?usp=drivesdk</v>
      </c>
      <c r="C1702" s="339" t="str">
        <f>IFERROR(__xludf.DUMMYFUNCTION("""COMPUTED_VALUE"""),"10.5334--joc.91.pdf")</f>
        <v>10.5334--joc.91.pdf</v>
      </c>
      <c r="D1702" s="159" t="str">
        <f>IFERROR(__xludf.DUMMYFUNCTION("""COMPUTED_VALUE"""),"application/pdf")</f>
        <v>application/pdf</v>
      </c>
    </row>
    <row r="1703">
      <c r="A1703" s="339" t="str">
        <f>IFERROR(__xludf.DUMMYFUNCTION("""COMPUTED_VALUE"""),"10.1037//0097-7403.22.3.265")</f>
        <v>10.1037//0097-7403.22.3.265</v>
      </c>
      <c r="B1703" s="445" t="str">
        <f>IFERROR(__xludf.DUMMYFUNCTION("""COMPUTED_VALUE"""),"https://drive.google.com/file/d/1yzF06dubSFNksXYnjJCAAAsJgcxyj8hy/view?usp=drivesdk")</f>
        <v>https://drive.google.com/file/d/1yzF06dubSFNksXYnjJCAAAsJgcxyj8hy/view?usp=drivesdk</v>
      </c>
      <c r="C1703" s="339" t="str">
        <f>IFERROR(__xludf.DUMMYFUNCTION("""COMPUTED_VALUE"""),"10.1037----0097-7403.22.3.265.pdf")</f>
        <v>10.1037----0097-7403.22.3.265.pdf</v>
      </c>
      <c r="D1703" s="159" t="str">
        <f>IFERROR(__xludf.DUMMYFUNCTION("""COMPUTED_VALUE"""),"application/pdf")</f>
        <v>application/pdf</v>
      </c>
    </row>
    <row r="1704">
      <c r="A1704" s="339" t="str">
        <f>IFERROR(__xludf.DUMMYFUNCTION("""COMPUTED_VALUE"""),"10.1016/0920-9964(93)90019-f")</f>
        <v>10.1016/0920-9964(93)90019-f</v>
      </c>
      <c r="B1704" s="445" t="str">
        <f>IFERROR(__xludf.DUMMYFUNCTION("""COMPUTED_VALUE"""),"https://drive.google.com/file/d/1-_IAeJQGEiQsYhiQm3h1Ynd7akOOHNRt/view?usp=drivesdk")</f>
        <v>https://drive.google.com/file/d/1-_IAeJQGEiQsYhiQm3h1Ynd7akOOHNRt/view?usp=drivesdk</v>
      </c>
      <c r="C1704" s="339" t="str">
        <f>IFERROR(__xludf.DUMMYFUNCTION("""COMPUTED_VALUE"""),"10.1016--0920-9964(93)90019-f.pdf")</f>
        <v>10.1016--0920-9964(93)90019-f.pdf</v>
      </c>
      <c r="D1704" s="159" t="str">
        <f>IFERROR(__xludf.DUMMYFUNCTION("""COMPUTED_VALUE"""),"application/pdf")</f>
        <v>application/pdf</v>
      </c>
    </row>
    <row r="1705">
      <c r="A1705" s="339" t="str">
        <f>IFERROR(__xludf.DUMMYFUNCTION("""COMPUTED_VALUE"""),"10.1097/00041444-199322000-00006")</f>
        <v>10.1097/00041444-199322000-00006</v>
      </c>
      <c r="B1705" s="445" t="str">
        <f>IFERROR(__xludf.DUMMYFUNCTION("""COMPUTED_VALUE"""),"https://drive.google.com/file/d/1erhmlFnLisnNRgExZrpha1VooGxYyHWc/view?usp=drivesdk")</f>
        <v>https://drive.google.com/file/d/1erhmlFnLisnNRgExZrpha1VooGxYyHWc/view?usp=drivesdk</v>
      </c>
      <c r="C1705" s="339" t="str">
        <f>IFERROR(__xludf.DUMMYFUNCTION("""COMPUTED_VALUE"""),"10.1097--00041444-199322000-00006.pdf")</f>
        <v>10.1097--00041444-199322000-00006.pdf</v>
      </c>
      <c r="D1705" s="159" t="str">
        <f>IFERROR(__xludf.DUMMYFUNCTION("""COMPUTED_VALUE"""),"application/pdf")</f>
        <v>application/pdf</v>
      </c>
    </row>
    <row r="1706">
      <c r="A1706" s="339" t="str">
        <f>IFERROR(__xludf.DUMMYFUNCTION("""COMPUTED_VALUE"""),"10.1177/153331759200700405")</f>
        <v>10.1177/153331759200700405</v>
      </c>
      <c r="B1706" s="445" t="str">
        <f>IFERROR(__xludf.DUMMYFUNCTION("""COMPUTED_VALUE"""),"https://drive.google.com/file/d/1IkSssIeTLHWxSvtmGBCCJ6S6SCxaue_O/view?usp=drivesdk")</f>
        <v>https://drive.google.com/file/d/1IkSssIeTLHWxSvtmGBCCJ6S6SCxaue_O/view?usp=drivesdk</v>
      </c>
      <c r="C1706" s="339" t="str">
        <f>IFERROR(__xludf.DUMMYFUNCTION("""COMPUTED_VALUE"""),"10.1177--153331759200700405.pdf")</f>
        <v>10.1177--153331759200700405.pdf</v>
      </c>
      <c r="D1706" s="159" t="str">
        <f>IFERROR(__xludf.DUMMYFUNCTION("""COMPUTED_VALUE"""),"application/pdf")</f>
        <v>application/pdf</v>
      </c>
    </row>
    <row r="1707">
      <c r="A1707" s="339" t="str">
        <f>IFERROR(__xludf.DUMMYFUNCTION("""COMPUTED_VALUE"""),"10.1002/smj.2477")</f>
        <v>10.1002/smj.2477</v>
      </c>
      <c r="B1707" s="445" t="str">
        <f>IFERROR(__xludf.DUMMYFUNCTION("""COMPUTED_VALUE"""),"https://drive.google.com/file/d/1n0nfZdzHQc5t0L5s6hRVF-VIJODBR9NQ/view?usp=drivesdk")</f>
        <v>https://drive.google.com/file/d/1n0nfZdzHQc5t0L5s6hRVF-VIJODBR9NQ/view?usp=drivesdk</v>
      </c>
      <c r="C1707" s="339" t="str">
        <f>IFERROR(__xludf.DUMMYFUNCTION("""COMPUTED_VALUE"""),"10.1002--smj.2477.pdf")</f>
        <v>10.1002--smj.2477.pdf</v>
      </c>
      <c r="D1707" s="159" t="str">
        <f>IFERROR(__xludf.DUMMYFUNCTION("""COMPUTED_VALUE"""),"application/pdf")</f>
        <v>application/pdf</v>
      </c>
    </row>
    <row r="1708">
      <c r="A1708" s="339" t="str">
        <f>IFERROR(__xludf.DUMMYFUNCTION("""COMPUTED_VALUE"""),"10.1002/smj.2571")</f>
        <v>10.1002/smj.2571</v>
      </c>
      <c r="B1708" s="445" t="str">
        <f>IFERROR(__xludf.DUMMYFUNCTION("""COMPUTED_VALUE"""),"https://drive.google.com/file/d/10N2GphtISECImbmZiH9vnFKAukkBYpHi/view?usp=drivesdk")</f>
        <v>https://drive.google.com/file/d/10N2GphtISECImbmZiH9vnFKAukkBYpHi/view?usp=drivesdk</v>
      </c>
      <c r="C1708" s="339" t="str">
        <f>IFERROR(__xludf.DUMMYFUNCTION("""COMPUTED_VALUE"""),"10.1002--smj.2571.pdf")</f>
        <v>10.1002--smj.2571.pdf</v>
      </c>
      <c r="D1708" s="159" t="str">
        <f>IFERROR(__xludf.DUMMYFUNCTION("""COMPUTED_VALUE"""),"application/pdf")</f>
        <v>application/pdf</v>
      </c>
    </row>
    <row r="1709">
      <c r="A1709" s="339" t="str">
        <f>IFERROR(__xludf.DUMMYFUNCTION("""COMPUTED_VALUE"""),"10.1037/0022-3514.86.5.680")</f>
        <v>10.1037/0022-3514.86.5.680</v>
      </c>
      <c r="B1709" s="445" t="str">
        <f>IFERROR(__xludf.DUMMYFUNCTION("""COMPUTED_VALUE"""),"https://drive.google.com/file/d/1qkgRpPqM04QWFjfsZxtrxnh_hJEoAetY/view?usp=drivesdk")</f>
        <v>https://drive.google.com/file/d/1qkgRpPqM04QWFjfsZxtrxnh_hJEoAetY/view?usp=drivesdk</v>
      </c>
      <c r="C1709" s="339" t="str">
        <f>IFERROR(__xludf.DUMMYFUNCTION("""COMPUTED_VALUE"""),"10.1037--0022-3514.86.5.680.pdf")</f>
        <v>10.1037--0022-3514.86.5.680.pdf</v>
      </c>
      <c r="D1709" s="159" t="str">
        <f>IFERROR(__xludf.DUMMYFUNCTION("""COMPUTED_VALUE"""),"application/pdf")</f>
        <v>application/pdf</v>
      </c>
    </row>
    <row r="1710">
      <c r="A1710" s="339" t="str">
        <f>IFERROR(__xludf.DUMMYFUNCTION("""COMPUTED_VALUE"""),"10.1016/j.jesp.2020.104052")</f>
        <v>10.1016/j.jesp.2020.104052</v>
      </c>
      <c r="B1710" s="445" t="str">
        <f>IFERROR(__xludf.DUMMYFUNCTION("""COMPUTED_VALUE"""),"https://drive.google.com/file/d/1niuyVn35u_z6REkObYjKmy6938AMNnYV/view?usp=drivesdk")</f>
        <v>https://drive.google.com/file/d/1niuyVn35u_z6REkObYjKmy6938AMNnYV/view?usp=drivesdk</v>
      </c>
      <c r="C1710" s="339" t="str">
        <f>IFERROR(__xludf.DUMMYFUNCTION("""COMPUTED_VALUE"""),"10.1016--j.jesp.2020.104052.pdf")</f>
        <v>10.1016--j.jesp.2020.104052.pdf</v>
      </c>
      <c r="D1710" s="159" t="str">
        <f>IFERROR(__xludf.DUMMYFUNCTION("""COMPUTED_VALUE"""),"application/pdf")</f>
        <v>application/pdf</v>
      </c>
    </row>
    <row r="1711">
      <c r="A1711" s="339" t="str">
        <f>IFERROR(__xludf.DUMMYFUNCTION("""COMPUTED_VALUE"""),"10.1037/0278-7393.20.4.824")</f>
        <v>10.1037/0278-7393.20.4.824</v>
      </c>
      <c r="B1711" s="445" t="str">
        <f>IFERROR(__xludf.DUMMYFUNCTION("""COMPUTED_VALUE"""),"https://drive.google.com/file/d/1wrEmYZaqStPGpYgSENfI25UV-wyT1sPl/view?usp=drivesdk")</f>
        <v>https://drive.google.com/file/d/1wrEmYZaqStPGpYgSENfI25UV-wyT1sPl/view?usp=drivesdk</v>
      </c>
      <c r="C1711" s="339" t="str">
        <f>IFERROR(__xludf.DUMMYFUNCTION("""COMPUTED_VALUE"""),"10.1037--0278-7393.20.4.824.pdf")</f>
        <v>10.1037--0278-7393.20.4.824.pdf</v>
      </c>
      <c r="D1711" s="159" t="str">
        <f>IFERROR(__xludf.DUMMYFUNCTION("""COMPUTED_VALUE"""),"application/pdf")</f>
        <v>application/pdf</v>
      </c>
    </row>
    <row r="1712">
      <c r="A1712" s="339" t="str">
        <f>IFERROR(__xludf.DUMMYFUNCTION("""COMPUTED_VALUE"""),"10.1016/j.actpsy.2023.104073")</f>
        <v>10.1016/j.actpsy.2023.104073</v>
      </c>
      <c r="B1712" s="445" t="str">
        <f>IFERROR(__xludf.DUMMYFUNCTION("""COMPUTED_VALUE"""),"https://drive.google.com/file/d/1M4kBsm7y5eUYTZpUDZukkrP6yNa3FWcp/view?usp=drivesdk")</f>
        <v>https://drive.google.com/file/d/1M4kBsm7y5eUYTZpUDZukkrP6yNa3FWcp/view?usp=drivesdk</v>
      </c>
      <c r="C1712" s="339" t="str">
        <f>IFERROR(__xludf.DUMMYFUNCTION("""COMPUTED_VALUE"""),"10.1016--j.actpsy.2023.104073.pdf")</f>
        <v>10.1016--j.actpsy.2023.104073.pdf</v>
      </c>
      <c r="D1712" s="159" t="str">
        <f>IFERROR(__xludf.DUMMYFUNCTION("""COMPUTED_VALUE"""),"application/pdf")</f>
        <v>application/pdf</v>
      </c>
    </row>
    <row r="1713">
      <c r="A1713" s="339" t="str">
        <f>IFERROR(__xludf.DUMMYFUNCTION("""COMPUTED_VALUE"""),"10.1080/00036848800000113")</f>
        <v>10.1080/00036848800000113</v>
      </c>
      <c r="B1713" s="445" t="str">
        <f>IFERROR(__xludf.DUMMYFUNCTION("""COMPUTED_VALUE"""),"https://drive.google.com/file/d/10t17ZEAtd-zDNdQX5y51ZVTWQVio_2jm/view?usp=drivesdk")</f>
        <v>https://drive.google.com/file/d/10t17ZEAtd-zDNdQX5y51ZVTWQVio_2jm/view?usp=drivesdk</v>
      </c>
      <c r="C1713" s="339" t="str">
        <f>IFERROR(__xludf.DUMMYFUNCTION("""COMPUTED_VALUE"""),"10.1080--00036848800000113.pdf")</f>
        <v>10.1080--00036848800000113.pdf</v>
      </c>
      <c r="D1713" s="159" t="str">
        <f>IFERROR(__xludf.DUMMYFUNCTION("""COMPUTED_VALUE"""),"application/pdf")</f>
        <v>application/pdf</v>
      </c>
    </row>
    <row r="1714">
      <c r="A1714" s="339" t="str">
        <f>IFERROR(__xludf.DUMMYFUNCTION("""COMPUTED_VALUE"""),"10.2139/ssrn.722264")</f>
        <v>10.2139/ssrn.722264</v>
      </c>
      <c r="B1714" s="445" t="str">
        <f>IFERROR(__xludf.DUMMYFUNCTION("""COMPUTED_VALUE"""),"https://drive.google.com/file/d/1e1y2Zdu1rYp8QdgqQjIYZ3tiUSS2QgHC/view?usp=drivesdk")</f>
        <v>https://drive.google.com/file/d/1e1y2Zdu1rYp8QdgqQjIYZ3tiUSS2QgHC/view?usp=drivesdk</v>
      </c>
      <c r="C1714" s="339" t="str">
        <f>IFERROR(__xludf.DUMMYFUNCTION("""COMPUTED_VALUE"""),"10.2139--ssrn.722264.pdf")</f>
        <v>10.2139--ssrn.722264.pdf</v>
      </c>
      <c r="D1714" s="159" t="str">
        <f>IFERROR(__xludf.DUMMYFUNCTION("""COMPUTED_VALUE"""),"application/pdf")</f>
        <v>application/pdf</v>
      </c>
    </row>
    <row r="1715">
      <c r="A1715" s="339" t="str">
        <f>IFERROR(__xludf.DUMMYFUNCTION("""COMPUTED_VALUE"""),"10.1002/bin.1786")</f>
        <v>10.1002/bin.1786</v>
      </c>
      <c r="B1715" s="445" t="str">
        <f>IFERROR(__xludf.DUMMYFUNCTION("""COMPUTED_VALUE"""),"https://drive.google.com/file/d/1dl6-fcdsrwDM2d8QvGFrwa2hm4krVEGw/view?usp=drivesdk")</f>
        <v>https://drive.google.com/file/d/1dl6-fcdsrwDM2d8QvGFrwa2hm4krVEGw/view?usp=drivesdk</v>
      </c>
      <c r="C1715" s="339" t="str">
        <f>IFERROR(__xludf.DUMMYFUNCTION("""COMPUTED_VALUE"""),"10.1002--bin.1786.pdf")</f>
        <v>10.1002--bin.1786.pdf</v>
      </c>
      <c r="D1715" s="159" t="str">
        <f>IFERROR(__xludf.DUMMYFUNCTION("""COMPUTED_VALUE"""),"application/pdf")</f>
        <v>application/pdf</v>
      </c>
    </row>
    <row r="1716">
      <c r="A1716" s="339" t="str">
        <f>IFERROR(__xludf.DUMMYFUNCTION("""COMPUTED_VALUE"""),"10.1177/0193723504273121")</f>
        <v>10.1177/0193723504273121</v>
      </c>
      <c r="B1716" s="445" t="str">
        <f>IFERROR(__xludf.DUMMYFUNCTION("""COMPUTED_VALUE"""),"https://drive.google.com/file/d/1oDi7iTkefS7MUDs-XYNELGeEjEdDTZ2D/view?usp=drivesdk")</f>
        <v>https://drive.google.com/file/d/1oDi7iTkefS7MUDs-XYNELGeEjEdDTZ2D/view?usp=drivesdk</v>
      </c>
      <c r="C1716" s="339" t="str">
        <f>IFERROR(__xludf.DUMMYFUNCTION("""COMPUTED_VALUE"""),"10.1177--0193723504273121.pdf")</f>
        <v>10.1177--0193723504273121.pdf</v>
      </c>
      <c r="D1716" s="159" t="str">
        <f>IFERROR(__xludf.DUMMYFUNCTION("""COMPUTED_VALUE"""),"application/pdf")</f>
        <v>application/pdf</v>
      </c>
    </row>
    <row r="1717">
      <c r="A1717" s="339" t="str">
        <f>IFERROR(__xludf.DUMMYFUNCTION("""COMPUTED_VALUE"""),"findlay_2012")</f>
        <v>findlay_2012</v>
      </c>
      <c r="B1717" s="445" t="str">
        <f>IFERROR(__xludf.DUMMYFUNCTION("""COMPUTED_VALUE"""),"https://drive.google.com/file/d/1zzJqjPseaj8tYnvrCjrC4mDOV4pF9weU/view?usp=drivesdk")</f>
        <v>https://drive.google.com/file/d/1zzJqjPseaj8tYnvrCjrC4mDOV4pF9weU/view?usp=drivesdk</v>
      </c>
      <c r="C1717" s="339" t="str">
        <f>IFERROR(__xludf.DUMMYFUNCTION("""COMPUTED_VALUE"""),"findlay_2012.pdf")</f>
        <v>findlay_2012.pdf</v>
      </c>
      <c r="D1717" s="159" t="str">
        <f>IFERROR(__xludf.DUMMYFUNCTION("""COMPUTED_VALUE"""),"application/pdf")</f>
        <v>application/pdf</v>
      </c>
    </row>
    <row r="1718">
      <c r="A1718" s="339" t="str">
        <f>IFERROR(__xludf.DUMMYFUNCTION("""COMPUTED_VALUE"""),"10.1016/j.pnpbp.2009.02.004")</f>
        <v>10.1016/j.pnpbp.2009.02.004</v>
      </c>
      <c r="B1718" s="445" t="str">
        <f>IFERROR(__xludf.DUMMYFUNCTION("""COMPUTED_VALUE"""),"https://drive.google.com/file/d/18gCsN5cIPX_p4rJjf07ttFNg3GFzg3si/view?usp=drivesdk")</f>
        <v>https://drive.google.com/file/d/18gCsN5cIPX_p4rJjf07ttFNg3GFzg3si/view?usp=drivesdk</v>
      </c>
      <c r="C1718" s="339" t="str">
        <f>IFERROR(__xludf.DUMMYFUNCTION("""COMPUTED_VALUE"""),"10.1016--j.pnpbp.2009.02.004.pdf")</f>
        <v>10.1016--j.pnpbp.2009.02.004.pdf</v>
      </c>
      <c r="D1718" s="159" t="str">
        <f>IFERROR(__xludf.DUMMYFUNCTION("""COMPUTED_VALUE"""),"application/pdf")</f>
        <v>application/pdf</v>
      </c>
    </row>
    <row r="1719">
      <c r="A1719" s="339" t="str">
        <f>IFERROR(__xludf.DUMMYFUNCTION("""COMPUTED_VALUE"""),"10.1016/j.schres.2010.01.028")</f>
        <v>10.1016/j.schres.2010.01.028</v>
      </c>
      <c r="B1719" s="445" t="str">
        <f>IFERROR(__xludf.DUMMYFUNCTION("""COMPUTED_VALUE"""),"https://drive.google.com/file/d/148eU9rgHx5hpUFzLyqGIu0aBpg_7SlmF/view?usp=drivesdk")</f>
        <v>https://drive.google.com/file/d/148eU9rgHx5hpUFzLyqGIu0aBpg_7SlmF/view?usp=drivesdk</v>
      </c>
      <c r="C1719" s="339" t="str">
        <f>IFERROR(__xludf.DUMMYFUNCTION("""COMPUTED_VALUE"""),"10.1016--j.schres.2010.01.028.pdf")</f>
        <v>10.1016--j.schres.2010.01.028.pdf</v>
      </c>
      <c r="D1719" s="159" t="str">
        <f>IFERROR(__xludf.DUMMYFUNCTION("""COMPUTED_VALUE"""),"application/pdf")</f>
        <v>application/pdf</v>
      </c>
    </row>
    <row r="1720">
      <c r="A1720" s="339" t="str">
        <f>IFERROR(__xludf.DUMMYFUNCTION("""COMPUTED_VALUE"""),"10.1080/14992020701883224")</f>
        <v>10.1080/14992020701883224</v>
      </c>
      <c r="B1720" s="445" t="str">
        <f>IFERROR(__xludf.DUMMYFUNCTION("""COMPUTED_VALUE"""),"https://drive.google.com/file/d/1xJCzKuNB61D_lYyvo5qgmiVu8_S4jB2t/view?usp=drivesdk")</f>
        <v>https://drive.google.com/file/d/1xJCzKuNB61D_lYyvo5qgmiVu8_S4jB2t/view?usp=drivesdk</v>
      </c>
      <c r="C1720" s="339" t="str">
        <f>IFERROR(__xludf.DUMMYFUNCTION("""COMPUTED_VALUE"""),"10.1080--14992020701883224.pdf")</f>
        <v>10.1080--14992020701883224.pdf</v>
      </c>
      <c r="D1720" s="159" t="str">
        <f>IFERROR(__xludf.DUMMYFUNCTION("""COMPUTED_VALUE"""),"application/pdf")</f>
        <v>application/pdf</v>
      </c>
    </row>
    <row r="1721">
      <c r="A1721" s="339" t="str">
        <f>IFERROR(__xludf.DUMMYFUNCTION("""COMPUTED_VALUE"""),"10.1016/j.ajhg.2016.03.008")</f>
        <v>10.1016/j.ajhg.2016.03.008</v>
      </c>
      <c r="B1721" s="445" t="str">
        <f>IFERROR(__xludf.DUMMYFUNCTION("""COMPUTED_VALUE"""),"https://drive.google.com/file/d/1Zjhue6jnv9AcXUeh5Bc9kyN2vkQgKrJc/view?usp=drivesdk")</f>
        <v>https://drive.google.com/file/d/1Zjhue6jnv9AcXUeh5Bc9kyN2vkQgKrJc/view?usp=drivesdk</v>
      </c>
      <c r="C1721" s="339" t="str">
        <f>IFERROR(__xludf.DUMMYFUNCTION("""COMPUTED_VALUE"""),"10.1016--j.ajhg.2016.03.008.pdf")</f>
        <v>10.1016--j.ajhg.2016.03.008.pdf</v>
      </c>
      <c r="D1721" s="159" t="str">
        <f>IFERROR(__xludf.DUMMYFUNCTION("""COMPUTED_VALUE"""),"application/pdf")</f>
        <v>application/pdf</v>
      </c>
    </row>
    <row r="1722">
      <c r="A1722" s="339" t="str">
        <f>IFERROR(__xludf.DUMMYFUNCTION("""COMPUTED_VALUE"""),"10.1017/thg.2023.45")</f>
        <v>10.1017/thg.2023.45</v>
      </c>
      <c r="B1722" s="445" t="str">
        <f>IFERROR(__xludf.DUMMYFUNCTION("""COMPUTED_VALUE"""),"https://drive.google.com/file/d/1pFOJCDoWrTB-5q797AzVWEzqi74zu3D3/view?usp=drivesdk")</f>
        <v>https://drive.google.com/file/d/1pFOJCDoWrTB-5q797AzVWEzqi74zu3D3/view?usp=drivesdk</v>
      </c>
      <c r="C1722" s="339" t="str">
        <f>IFERROR(__xludf.DUMMYFUNCTION("""COMPUTED_VALUE"""),"10.1017--thg.2023.45.pdf")</f>
        <v>10.1017--thg.2023.45.pdf</v>
      </c>
      <c r="D1722" s="159" t="str">
        <f>IFERROR(__xludf.DUMMYFUNCTION("""COMPUTED_VALUE"""),"application/pdf")</f>
        <v>application/pdf</v>
      </c>
    </row>
    <row r="1723">
      <c r="A1723" s="339" t="str">
        <f>IFERROR(__xludf.DUMMYFUNCTION("""COMPUTED_VALUE"""),"10.1016/s0272-6963(97)00033-8")</f>
        <v>10.1016/s0272-6963(97)00033-8</v>
      </c>
      <c r="B1723" s="445" t="str">
        <f>IFERROR(__xludf.DUMMYFUNCTION("""COMPUTED_VALUE"""),"https://drive.google.com/file/d/1D5xW9DsPph5s0bUKFKsmaGST3y2HupAr/view?usp=drivesdk")</f>
        <v>https://drive.google.com/file/d/1D5xW9DsPph5s0bUKFKsmaGST3y2HupAr/view?usp=drivesdk</v>
      </c>
      <c r="C1723" s="339" t="str">
        <f>IFERROR(__xludf.DUMMYFUNCTION("""COMPUTED_VALUE"""),"10.1016--s0272-6963(97)00033-8.pdf")</f>
        <v>10.1016--s0272-6963(97)00033-8.pdf</v>
      </c>
      <c r="D1723" s="159" t="str">
        <f>IFERROR(__xludf.DUMMYFUNCTION("""COMPUTED_VALUE"""),"application/pdf")</f>
        <v>application/pdf</v>
      </c>
    </row>
    <row r="1724">
      <c r="A1724" s="339" t="str">
        <f>IFERROR(__xludf.DUMMYFUNCTION("""COMPUTED_VALUE"""),"10.1016/j.jom.2005.11.004")</f>
        <v>10.1016/j.jom.2005.11.004</v>
      </c>
      <c r="B1724" s="445" t="str">
        <f>IFERROR(__xludf.DUMMYFUNCTION("""COMPUTED_VALUE"""),"https://drive.google.com/file/d/16V6fX6zed8MKZ53zcmG18UMG8cS5fmS4/view?usp=drivesdk")</f>
        <v>https://drive.google.com/file/d/16V6fX6zed8MKZ53zcmG18UMG8cS5fmS4/view?usp=drivesdk</v>
      </c>
      <c r="C1724" s="339" t="str">
        <f>IFERROR(__xludf.DUMMYFUNCTION("""COMPUTED_VALUE"""),"10.1016--j.jom.2005.11.004.pdf")</f>
        <v>10.1016--j.jom.2005.11.004.pdf</v>
      </c>
      <c r="D1724" s="159" t="str">
        <f>IFERROR(__xludf.DUMMYFUNCTION("""COMPUTED_VALUE"""),"application/pdf")</f>
        <v>application/pdf</v>
      </c>
    </row>
    <row r="1725">
      <c r="A1725" s="339" t="str">
        <f>IFERROR(__xludf.DUMMYFUNCTION("""COMPUTED_VALUE"""),"10.1080/09658211.2016.1219750")</f>
        <v>10.1080/09658211.2016.1219750</v>
      </c>
      <c r="B1725" s="445" t="str">
        <f>IFERROR(__xludf.DUMMYFUNCTION("""COMPUTED_VALUE"""),"https://drive.google.com/file/d/1-bzS3A3Wvshqbm27njuWbUnWVqIcT4vo/view?usp=drivesdk")</f>
        <v>https://drive.google.com/file/d/1-bzS3A3Wvshqbm27njuWbUnWVqIcT4vo/view?usp=drivesdk</v>
      </c>
      <c r="C1725" s="339" t="str">
        <f>IFERROR(__xludf.DUMMYFUNCTION("""COMPUTED_VALUE"""),"10.1080--09658211.2016.1219750.pdf")</f>
        <v>10.1080--09658211.2016.1219750.pdf</v>
      </c>
      <c r="D1725" s="159" t="str">
        <f>IFERROR(__xludf.DUMMYFUNCTION("""COMPUTED_VALUE"""),"application/pdf")</f>
        <v>application/pdf</v>
      </c>
    </row>
    <row r="1726">
      <c r="A1726" s="339" t="str">
        <f>IFERROR(__xludf.DUMMYFUNCTION("""COMPUTED_VALUE"""),"10.1007/s11166-007-9005-x")</f>
        <v>10.1007/s11166-007-9005-x</v>
      </c>
      <c r="B1726" s="445" t="str">
        <f>IFERROR(__xludf.DUMMYFUNCTION("""COMPUTED_VALUE"""),"https://drive.google.com/file/d/1JzqYi6MxeM0TgQlkA79oih2m5mtsG3-G/view?usp=drivesdk")</f>
        <v>https://drive.google.com/file/d/1JzqYi6MxeM0TgQlkA79oih2m5mtsG3-G/view?usp=drivesdk</v>
      </c>
      <c r="C1726" s="339" t="str">
        <f>IFERROR(__xludf.DUMMYFUNCTION("""COMPUTED_VALUE"""),"10.1007--s11166-007-9005-x.pdf")</f>
        <v>10.1007--s11166-007-9005-x.pdf</v>
      </c>
      <c r="D1726" s="159" t="str">
        <f>IFERROR(__xludf.DUMMYFUNCTION("""COMPUTED_VALUE"""),"application/pdf")</f>
        <v>application/pdf</v>
      </c>
    </row>
    <row r="1727">
      <c r="A1727" s="339" t="str">
        <f>IFERROR(__xludf.DUMMYFUNCTION("""COMPUTED_VALUE"""),"10.31234/osf.io/grwye")</f>
        <v>10.31234/osf.io/grwye</v>
      </c>
      <c r="B1727" s="445" t="str">
        <f>IFERROR(__xludf.DUMMYFUNCTION("""COMPUTED_VALUE"""),"https://drive.google.com/file/d/1AM6rF8DA6dQf729yJdMNKRcFrXOf_ZKe/view?usp=drivesdk")</f>
        <v>https://drive.google.com/file/d/1AM6rF8DA6dQf729yJdMNKRcFrXOf_ZKe/view?usp=drivesdk</v>
      </c>
      <c r="C1727" s="339" t="str">
        <f>IFERROR(__xludf.DUMMYFUNCTION("""COMPUTED_VALUE"""),"10.31234--osf.io--grwye.pdf")</f>
        <v>10.31234--osf.io--grwye.pdf</v>
      </c>
      <c r="D1727" s="159" t="str">
        <f>IFERROR(__xludf.DUMMYFUNCTION("""COMPUTED_VALUE"""),"application/pdf")</f>
        <v>application/pdf</v>
      </c>
    </row>
    <row r="1728">
      <c r="A1728" s="339" t="str">
        <f>IFERROR(__xludf.DUMMYFUNCTION("""COMPUTED_VALUE"""),"10.1037/0003-066x.54.6.408")</f>
        <v>10.1037/0003-066x.54.6.408</v>
      </c>
      <c r="B1728" s="445" t="str">
        <f>IFERROR(__xludf.DUMMYFUNCTION("""COMPUTED_VALUE"""),"https://drive.google.com/file/d/1niJ4qqlQ3w06lrmI_sfZvqDMPlcLvX7Z/view?usp=drivesdk")</f>
        <v>https://drive.google.com/file/d/1niJ4qqlQ3w06lrmI_sfZvqDMPlcLvX7Z/view?usp=drivesdk</v>
      </c>
      <c r="C1728" s="339" t="str">
        <f>IFERROR(__xludf.DUMMYFUNCTION("""COMPUTED_VALUE"""),"10.1037--0003-066x.54.6.408.pdf")</f>
        <v>10.1037--0003-066x.54.6.408.pdf</v>
      </c>
      <c r="D1728" s="159" t="str">
        <f>IFERROR(__xludf.DUMMYFUNCTION("""COMPUTED_VALUE"""),"application/pdf")</f>
        <v>application/pdf</v>
      </c>
    </row>
    <row r="1729">
      <c r="A1729" s="339" t="str">
        <f>IFERROR(__xludf.DUMMYFUNCTION("""COMPUTED_VALUE"""),"10.31234/osf.io/mtsx8")</f>
        <v>10.31234/osf.io/mtsx8</v>
      </c>
      <c r="B1729" s="445" t="str">
        <f>IFERROR(__xludf.DUMMYFUNCTION("""COMPUTED_VALUE"""),"https://drive.google.com/file/d/1PchnSZs-XbYmB-ZYLgQBFosMAZs-ybjf/view?usp=drivesdk")</f>
        <v>https://drive.google.com/file/d/1PchnSZs-XbYmB-ZYLgQBFosMAZs-ybjf/view?usp=drivesdk</v>
      </c>
      <c r="C1729" s="339" t="str">
        <f>IFERROR(__xludf.DUMMYFUNCTION("""COMPUTED_VALUE"""),"10.31234--osf.io--mtsx8.pdf.pdf")</f>
        <v>10.31234--osf.io--mtsx8.pdf.pdf</v>
      </c>
      <c r="D1729" s="159" t="str">
        <f>IFERROR(__xludf.DUMMYFUNCTION("""COMPUTED_VALUE"""),"application/pdf")</f>
        <v>application/pdf</v>
      </c>
    </row>
    <row r="1730">
      <c r="A1730" s="339" t="str">
        <f>IFERROR(__xludf.DUMMYFUNCTION("""COMPUTED_VALUE"""),"10.1007/s11002-025-09771-9")</f>
        <v>10.1007/s11002-025-09771-9</v>
      </c>
      <c r="B1730" s="445" t="str">
        <f>IFERROR(__xludf.DUMMYFUNCTION("""COMPUTED_VALUE"""),"https://drive.google.com/file/d/1OR84YuEVQQKBxF8zP9UhRWoOxsPHzhts/view?usp=drivesdk")</f>
        <v>https://drive.google.com/file/d/1OR84YuEVQQKBxF8zP9UhRWoOxsPHzhts/view?usp=drivesdk</v>
      </c>
      <c r="C1730" s="339" t="str">
        <f>IFERROR(__xludf.DUMMYFUNCTION("""COMPUTED_VALUE"""),"10.1007--s11002-025-09771-9.pdf")</f>
        <v>10.1007--s11002-025-09771-9.pdf</v>
      </c>
      <c r="D1730" s="159" t="str">
        <f>IFERROR(__xludf.DUMMYFUNCTION("""COMPUTED_VALUE"""),"application/pdf")</f>
        <v>application/pdf</v>
      </c>
    </row>
    <row r="1731">
      <c r="A1731" s="339" t="str">
        <f>IFERROR(__xludf.DUMMYFUNCTION("""COMPUTED_VALUE"""),"10.1037/lhb0000596")</f>
        <v>10.1037/lhb0000596</v>
      </c>
      <c r="B1731" s="445" t="str">
        <f>IFERROR(__xludf.DUMMYFUNCTION("""COMPUTED_VALUE"""),"https://drive.google.com/file/d/1hrjq49iHuQoSRGioesy0jSqroL6cW18U/view?usp=drivesdk")</f>
        <v>https://drive.google.com/file/d/1hrjq49iHuQoSRGioesy0jSqroL6cW18U/view?usp=drivesdk</v>
      </c>
      <c r="C1731" s="339" t="str">
        <f>IFERROR(__xludf.DUMMYFUNCTION("""COMPUTED_VALUE"""),"10.1037--lhb0000596.pdf")</f>
        <v>10.1037--lhb0000596.pdf</v>
      </c>
      <c r="D1731" s="159" t="str">
        <f>IFERROR(__xludf.DUMMYFUNCTION("""COMPUTED_VALUE"""),"application/pdf")</f>
        <v>application/pdf</v>
      </c>
    </row>
    <row r="1732">
      <c r="A1732" s="339" t="str">
        <f>IFERROR(__xludf.DUMMYFUNCTION("""COMPUTED_VALUE"""),"10.1177/27550311251323281")</f>
        <v>10.1177/27550311251323281</v>
      </c>
      <c r="B1732" s="445" t="str">
        <f>IFERROR(__xludf.DUMMYFUNCTION("""COMPUTED_VALUE"""),"https://drive.google.com/file/d/1y3sRTJwFZvZWkaak_jBiIRn-heMkKgGW/view?usp=drivesdk")</f>
        <v>https://drive.google.com/file/d/1y3sRTJwFZvZWkaak_jBiIRn-heMkKgGW/view?usp=drivesdk</v>
      </c>
      <c r="C1732" s="339" t="str">
        <f>IFERROR(__xludf.DUMMYFUNCTION("""COMPUTED_VALUE"""),"10.1177--27550311251323281.pdf")</f>
        <v>10.1177--27550311251323281.pdf</v>
      </c>
      <c r="D1732" s="159" t="str">
        <f>IFERROR(__xludf.DUMMYFUNCTION("""COMPUTED_VALUE"""),"application/pdf")</f>
        <v>application/pdf</v>
      </c>
    </row>
    <row r="1733">
      <c r="A1733" s="339" t="str">
        <f>IFERROR(__xludf.DUMMYFUNCTION("""COMPUTED_VALUE"""),"10.1037/pspa0000444")</f>
        <v>10.1037/pspa0000444</v>
      </c>
      <c r="B1733" s="445" t="str">
        <f>IFERROR(__xludf.DUMMYFUNCTION("""COMPUTED_VALUE"""),"https://drive.google.com/file/d/1zi55xKNg0XlQ-gw-ZWTYe-f5qZhyuGbp/view?usp=drivesdk")</f>
        <v>https://drive.google.com/file/d/1zi55xKNg0XlQ-gw-ZWTYe-f5qZhyuGbp/view?usp=drivesdk</v>
      </c>
      <c r="C1733" s="339" t="str">
        <f>IFERROR(__xludf.DUMMYFUNCTION("""COMPUTED_VALUE"""),"10.1037--pspa0000444.pdf")</f>
        <v>10.1037--pspa0000444.pdf</v>
      </c>
      <c r="D1733" s="159" t="str">
        <f>IFERROR(__xludf.DUMMYFUNCTION("""COMPUTED_VALUE"""),"application/pdf")</f>
        <v>application/pdf</v>
      </c>
    </row>
    <row r="1734">
      <c r="A1734" s="339" t="str">
        <f>IFERROR(__xludf.DUMMYFUNCTION("""COMPUTED_VALUE"""),"10.1002/cpp.70057")</f>
        <v>10.1002/cpp.70057</v>
      </c>
      <c r="B1734" s="445" t="str">
        <f>IFERROR(__xludf.DUMMYFUNCTION("""COMPUTED_VALUE"""),"https://drive.google.com/file/d/1wPwOH5E4CwdZoDiN5YiWFKr2SNldtQuX/view?usp=drivesdk")</f>
        <v>https://drive.google.com/file/d/1wPwOH5E4CwdZoDiN5YiWFKr2SNldtQuX/view?usp=drivesdk</v>
      </c>
      <c r="C1734" s="339" t="str">
        <f>IFERROR(__xludf.DUMMYFUNCTION("""COMPUTED_VALUE"""),"10.1002--cpp.70057.pdf")</f>
        <v>10.1002--cpp.70057.pdf</v>
      </c>
      <c r="D1734" s="159" t="str">
        <f>IFERROR(__xludf.DUMMYFUNCTION("""COMPUTED_VALUE"""),"application/pdf")</f>
        <v>application/pdf</v>
      </c>
    </row>
    <row r="1735">
      <c r="A1735" s="339" t="str">
        <f>IFERROR(__xludf.DUMMYFUNCTION("""COMPUTED_VALUE"""),"10.1016/s0005-7967(98)00158-2")</f>
        <v>10.1016/s0005-7967(98)00158-2</v>
      </c>
      <c r="B1735" s="445" t="str">
        <f>IFERROR(__xludf.DUMMYFUNCTION("""COMPUTED_VALUE"""),"https://drive.google.com/file/d/173wjPB-w4227Qt_2AeTSJnpxH3XOJnPD/view?usp=drivesdk")</f>
        <v>https://drive.google.com/file/d/173wjPB-w4227Qt_2AeTSJnpxH3XOJnPD/view?usp=drivesdk</v>
      </c>
      <c r="C1735" s="339" t="str">
        <f>IFERROR(__xludf.DUMMYFUNCTION("""COMPUTED_VALUE"""),"10.1016--s0005-7967(98)00158-2.pdf")</f>
        <v>10.1016--s0005-7967(98)00158-2.pdf</v>
      </c>
      <c r="D1735" s="159" t="str">
        <f>IFERROR(__xludf.DUMMYFUNCTION("""COMPUTED_VALUE"""),"application/pdf")</f>
        <v>application/pdf</v>
      </c>
    </row>
    <row r="1736">
      <c r="A1736" s="339" t="str">
        <f>IFERROR(__xludf.DUMMYFUNCTION("""COMPUTED_VALUE"""),"10.1016/j.jesp.2024.104712")</f>
        <v>10.1016/j.jesp.2024.104712</v>
      </c>
      <c r="B1736" s="445" t="str">
        <f>IFERROR(__xludf.DUMMYFUNCTION("""COMPUTED_VALUE"""),"https://drive.google.com/file/d/1iv9JTpntlFhMXwLYV4LTNwMx0MZlg-K-/view?usp=drivesdk")</f>
        <v>https://drive.google.com/file/d/1iv9JTpntlFhMXwLYV4LTNwMx0MZlg-K-/view?usp=drivesdk</v>
      </c>
      <c r="C1736" s="339" t="str">
        <f>IFERROR(__xludf.DUMMYFUNCTION("""COMPUTED_VALUE"""),"10.1016--j.jesp.2024.104712.pdf")</f>
        <v>10.1016--j.jesp.2024.104712.pdf</v>
      </c>
      <c r="D1736" s="159" t="str">
        <f>IFERROR(__xludf.DUMMYFUNCTION("""COMPUTED_VALUE"""),"application/pdf")</f>
        <v>application/pdf</v>
      </c>
    </row>
    <row r="1737">
      <c r="A1737" s="339" t="str">
        <f>IFERROR(__xludf.DUMMYFUNCTION("""COMPUTED_VALUE"""),"10.70252/nkky8370")</f>
        <v>10.70252/nkky8370</v>
      </c>
      <c r="B1737" s="445" t="str">
        <f>IFERROR(__xludf.DUMMYFUNCTION("""COMPUTED_VALUE"""),"https://drive.google.com/file/d/19o32dUXbxyEodcifYHl2eff55yANpVbY/view?usp=drivesdk")</f>
        <v>https://drive.google.com/file/d/19o32dUXbxyEodcifYHl2eff55yANpVbY/view?usp=drivesdk</v>
      </c>
      <c r="C1737" s="339" t="str">
        <f>IFERROR(__xludf.DUMMYFUNCTION("""COMPUTED_VALUE"""),"10.70252--nkky8370.pdf")</f>
        <v>10.70252--nkky8370.pdf</v>
      </c>
      <c r="D1737" s="159" t="str">
        <f>IFERROR(__xludf.DUMMYFUNCTION("""COMPUTED_VALUE"""),"application/pdf")</f>
        <v>application/pdf</v>
      </c>
    </row>
    <row r="1738">
      <c r="A1738" s="339" t="str">
        <f>IFERROR(__xludf.DUMMYFUNCTION("""COMPUTED_VALUE"""),"10.1177/25152459231213375")</f>
        <v>10.1177/25152459231213375</v>
      </c>
      <c r="B1738" s="445" t="str">
        <f>IFERROR(__xludf.DUMMYFUNCTION("""COMPUTED_VALUE"""),"https://drive.google.com/file/d/1xI2-EVnvclddhMWBb87TC_aCajttiAtt/view?usp=drivesdk")</f>
        <v>https://drive.google.com/file/d/1xI2-EVnvclddhMWBb87TC_aCajttiAtt/view?usp=drivesdk</v>
      </c>
      <c r="C1738" s="339" t="str">
        <f>IFERROR(__xludf.DUMMYFUNCTION("""COMPUTED_VALUE"""),"10.1177--25152459231213375.pdf")</f>
        <v>10.1177--25152459231213375.pdf</v>
      </c>
      <c r="D1738" s="159" t="str">
        <f>IFERROR(__xludf.DUMMYFUNCTION("""COMPUTED_VALUE"""),"application/pdf")</f>
        <v>application/pdf</v>
      </c>
    </row>
    <row r="1739">
      <c r="A1739" s="339" t="str">
        <f>IFERROR(__xludf.DUMMYFUNCTION("""COMPUTED_VALUE"""),"10.1038/s41598-020-66915-9")</f>
        <v>10.1038/s41598-020-66915-9</v>
      </c>
      <c r="B1739" s="445" t="str">
        <f>IFERROR(__xludf.DUMMYFUNCTION("""COMPUTED_VALUE"""),"https://drive.google.com/file/d/12GrUmwafEd6wwtYBQ9gYZoQAsg3wZO61/view?usp=drivesdk")</f>
        <v>https://drive.google.com/file/d/12GrUmwafEd6wwtYBQ9gYZoQAsg3wZO61/view?usp=drivesdk</v>
      </c>
      <c r="C1739" s="339" t="str">
        <f>IFERROR(__xludf.DUMMYFUNCTION("""COMPUTED_VALUE"""),"10.1038--s41598-020-66915-9.pdf")</f>
        <v>10.1038--s41598-020-66915-9.pdf</v>
      </c>
      <c r="D1739" s="159" t="str">
        <f>IFERROR(__xludf.DUMMYFUNCTION("""COMPUTED_VALUE"""),"application/pdf")</f>
        <v>application/pdf</v>
      </c>
    </row>
    <row r="1740">
      <c r="A1740" s="339" t="str">
        <f>IFERROR(__xludf.DUMMYFUNCTION("""COMPUTED_VALUE"""),"10.1037/pspa0000214")</f>
        <v>10.1037/pspa0000214</v>
      </c>
      <c r="B1740" s="445" t="str">
        <f>IFERROR(__xludf.DUMMYFUNCTION("""COMPUTED_VALUE"""),"https://drive.google.com/file/d/1LpMZFwLmgIKPjzXBB9rbhzfaZHzARaIZ/view?usp=drivesdk")</f>
        <v>https://drive.google.com/file/d/1LpMZFwLmgIKPjzXBB9rbhzfaZHzARaIZ/view?usp=drivesdk</v>
      </c>
      <c r="C1740" s="339" t="str">
        <f>IFERROR(__xludf.DUMMYFUNCTION("""COMPUTED_VALUE"""),"10.1037--pspa0000214.pdf")</f>
        <v>10.1037--pspa0000214.pdf</v>
      </c>
      <c r="D1740" s="159" t="str">
        <f>IFERROR(__xludf.DUMMYFUNCTION("""COMPUTED_VALUE"""),"application/pdf")</f>
        <v>application/pdf</v>
      </c>
    </row>
    <row r="1741">
      <c r="A1741" s="339" t="str">
        <f>IFERROR(__xludf.DUMMYFUNCTION("""COMPUTED_VALUE"""),"10.31234/osf.io/dca65")</f>
        <v>10.31234/osf.io/dca65</v>
      </c>
      <c r="B1741" s="445" t="str">
        <f>IFERROR(__xludf.DUMMYFUNCTION("""COMPUTED_VALUE"""),"https://drive.google.com/file/d/13k-6W5oZ6U3WQkZoEKezu_MnW0QMPGsr/view?usp=drivesdk")</f>
        <v>https://drive.google.com/file/d/13k-6W5oZ6U3WQkZoEKezu_MnW0QMPGsr/view?usp=drivesdk</v>
      </c>
      <c r="C1741" s="339" t="str">
        <f>IFERROR(__xludf.DUMMYFUNCTION("""COMPUTED_VALUE"""),"10.31234--osf.io--dca65.pdf")</f>
        <v>10.31234--osf.io--dca65.pdf</v>
      </c>
      <c r="D1741" s="159" t="str">
        <f>IFERROR(__xludf.DUMMYFUNCTION("""COMPUTED_VALUE"""),"application/pdf")</f>
        <v>application/pdf</v>
      </c>
    </row>
    <row r="1742">
      <c r="A1742" s="339" t="str">
        <f>IFERROR(__xludf.DUMMYFUNCTION("""COMPUTED_VALUE"""),"10.1080/10503307.2012.731088")</f>
        <v>10.1080/10503307.2012.731088</v>
      </c>
      <c r="B1742" s="445" t="str">
        <f>IFERROR(__xludf.DUMMYFUNCTION("""COMPUTED_VALUE"""),"https://drive.google.com/file/d/1Lphf3yMdKIgV1G03njMPNoyG5IJB3ZQh/view?usp=drivesdk")</f>
        <v>https://drive.google.com/file/d/1Lphf3yMdKIgV1G03njMPNoyG5IJB3ZQh/view?usp=drivesdk</v>
      </c>
      <c r="C1742" s="339" t="str">
        <f>IFERROR(__xludf.DUMMYFUNCTION("""COMPUTED_VALUE"""),"10.1080--10503307.2012.731088.pdf")</f>
        <v>10.1080--10503307.2012.731088.pdf</v>
      </c>
      <c r="D1742" s="159" t="str">
        <f>IFERROR(__xludf.DUMMYFUNCTION("""COMPUTED_VALUE"""),"application/pdf")</f>
        <v>application/pdf</v>
      </c>
    </row>
    <row r="1743">
      <c r="A1743" s="339" t="str">
        <f>IFERROR(__xludf.DUMMYFUNCTION("""COMPUTED_VALUE"""),"110.1007/s11002-005-0457-y")</f>
        <v>110.1007/s11002-005-0457-y</v>
      </c>
      <c r="B1743" s="445" t="str">
        <f>IFERROR(__xludf.DUMMYFUNCTION("""COMPUTED_VALUE"""),"https://drive.google.com/file/d/1kTdMAIDouy5eX5cjgmnRrB_DLoFqX8oi/view?usp=drivesdk")</f>
        <v>https://drive.google.com/file/d/1kTdMAIDouy5eX5cjgmnRrB_DLoFqX8oi/view?usp=drivesdk</v>
      </c>
      <c r="C1743" s="339" t="str">
        <f>IFERROR(__xludf.DUMMYFUNCTION("""COMPUTED_VALUE"""),"110.1007--s11002-005-0457-y.pdf")</f>
        <v>110.1007--s11002-005-0457-y.pdf</v>
      </c>
      <c r="D1743" s="159" t="str">
        <f>IFERROR(__xludf.DUMMYFUNCTION("""COMPUTED_VALUE"""),"application/pdf")</f>
        <v>application/pdf</v>
      </c>
    </row>
    <row r="1744">
      <c r="A1744" s="339" t="str">
        <f>IFERROR(__xludf.DUMMYFUNCTION("""COMPUTED_VALUE"""),"110.1002/smj.2585")</f>
        <v>110.1002/smj.2585</v>
      </c>
      <c r="B1744" s="445" t="str">
        <f>IFERROR(__xludf.DUMMYFUNCTION("""COMPUTED_VALUE"""),"https://drive.google.com/file/d/1u6ITjVATW7S3W5qai6dW9q7YsocMoslx/view?usp=drivesdk")</f>
        <v>https://drive.google.com/file/d/1u6ITjVATW7S3W5qai6dW9q7YsocMoslx/view?usp=drivesdk</v>
      </c>
      <c r="C1744" s="339" t="str">
        <f>IFERROR(__xludf.DUMMYFUNCTION("""COMPUTED_VALUE"""),"110.1002--smj.2585.pdf")</f>
        <v>110.1002--smj.2585.pdf</v>
      </c>
      <c r="D1744" s="159" t="str">
        <f>IFERROR(__xludf.DUMMYFUNCTION("""COMPUTED_VALUE"""),"application/pdf")</f>
        <v>application/pdf</v>
      </c>
    </row>
    <row r="1745">
      <c r="A1745" s="339" t="str">
        <f>IFERROR(__xludf.DUMMYFUNCTION("""COMPUTED_VALUE"""),"110.1037/h0093929")</f>
        <v>110.1037/h0093929</v>
      </c>
      <c r="B1745" s="445" t="str">
        <f>IFERROR(__xludf.DUMMYFUNCTION("""COMPUTED_VALUE"""),"https://drive.google.com/file/d/1W31uQMsYv39t68R2qlHA_FBX2eKbxkOT/view?usp=drivesdk")</f>
        <v>https://drive.google.com/file/d/1W31uQMsYv39t68R2qlHA_FBX2eKbxkOT/view?usp=drivesdk</v>
      </c>
      <c r="C1745" s="339" t="str">
        <f>IFERROR(__xludf.DUMMYFUNCTION("""COMPUTED_VALUE"""),"110.1037--h0093929.pdf")</f>
        <v>110.1037--h0093929.pdf</v>
      </c>
      <c r="D1745" s="159" t="str">
        <f>IFERROR(__xludf.DUMMYFUNCTION("""COMPUTED_VALUE"""),"application/pdf")</f>
        <v>application/pdf</v>
      </c>
    </row>
    <row r="1746">
      <c r="A1746" s="339" t="str">
        <f>IFERROR(__xludf.DUMMYFUNCTION("""COMPUTED_VALUE"""),"110.1037/a0029395")</f>
        <v>110.1037/a0029395</v>
      </c>
      <c r="B1746" s="445" t="str">
        <f>IFERROR(__xludf.DUMMYFUNCTION("""COMPUTED_VALUE"""),"https://drive.google.com/file/d/1eOml-H55hYUmJk_WTJLwIVaqRIQkFf_6/view?usp=drivesdk")</f>
        <v>https://drive.google.com/file/d/1eOml-H55hYUmJk_WTJLwIVaqRIQkFf_6/view?usp=drivesdk</v>
      </c>
      <c r="C1746" s="339" t="str">
        <f>IFERROR(__xludf.DUMMYFUNCTION("""COMPUTED_VALUE"""),"110.1037--a0029395.pdf")</f>
        <v>110.1037--a0029395.pdf</v>
      </c>
      <c r="D1746" s="159" t="str">
        <f>IFERROR(__xludf.DUMMYFUNCTION("""COMPUTED_VALUE"""),"application/pdf")</f>
        <v>application/pdf</v>
      </c>
    </row>
    <row r="1747">
      <c r="A1747" s="339" t="str">
        <f>IFERROR(__xludf.DUMMYFUNCTION("""COMPUTED_VALUE"""),"10.1080/026999398379411")</f>
        <v>10.1080/026999398379411</v>
      </c>
      <c r="B1747" s="445" t="str">
        <f>IFERROR(__xludf.DUMMYFUNCTION("""COMPUTED_VALUE"""),"https://drive.google.com/file/d/15eRaF6X8vIsGsZANrGMmTDs12Kx317Dc/view?usp=drivesdk")</f>
        <v>https://drive.google.com/file/d/15eRaF6X8vIsGsZANrGMmTDs12Kx317Dc/view?usp=drivesdk</v>
      </c>
      <c r="C1747" s="339" t="str">
        <f>IFERROR(__xludf.DUMMYFUNCTION("""COMPUTED_VALUE"""),"10.1080--026999398379411.pdf")</f>
        <v>10.1080--026999398379411.pdf</v>
      </c>
      <c r="D1747" s="159" t="str">
        <f>IFERROR(__xludf.DUMMYFUNCTION("""COMPUTED_VALUE"""),"application/pdf")</f>
        <v>application/pdf</v>
      </c>
    </row>
    <row r="1748">
      <c r="A1748" s="339" t="str">
        <f>IFERROR(__xludf.DUMMYFUNCTION("""COMPUTED_VALUE"""),"10.1249/mss.0000000000000818")</f>
        <v>10.1249/mss.0000000000000818</v>
      </c>
      <c r="B1748" s="445" t="str">
        <f>IFERROR(__xludf.DUMMYFUNCTION("""COMPUTED_VALUE"""),"https://drive.google.com/file/d/103Ebj97IuzP1L3cFe7YF23EbpkhBwg6u/view?usp=drivesdk")</f>
        <v>https://drive.google.com/file/d/103Ebj97IuzP1L3cFe7YF23EbpkhBwg6u/view?usp=drivesdk</v>
      </c>
      <c r="C1748" s="339" t="str">
        <f>IFERROR(__xludf.DUMMYFUNCTION("""COMPUTED_VALUE"""),"10.1249--mss.0000000000000818.pdf")</f>
        <v>10.1249--mss.0000000000000818.pdf</v>
      </c>
      <c r="D1748" s="159" t="str">
        <f>IFERROR(__xludf.DUMMYFUNCTION("""COMPUTED_VALUE"""),"application/pdf")</f>
        <v>application/pdf</v>
      </c>
    </row>
    <row r="1749">
      <c r="A1749" s="339" t="str">
        <f>IFERROR(__xludf.DUMMYFUNCTION("""COMPUTED_VALUE"""),"10.1016/j.jesp.2012.11.012")</f>
        <v>10.1016/j.jesp.2012.11.012</v>
      </c>
      <c r="B1749" s="445" t="str">
        <f>IFERROR(__xludf.DUMMYFUNCTION("""COMPUTED_VALUE"""),"https://drive.google.com/file/d/19fS2Dkdga2C_6zZIZ_MIxbIljMEp9Wpb/view?usp=drivesdk")</f>
        <v>https://drive.google.com/file/d/19fS2Dkdga2C_6zZIZ_MIxbIljMEp9Wpb/view?usp=drivesdk</v>
      </c>
      <c r="C1749" s="339" t="str">
        <f>IFERROR(__xludf.DUMMYFUNCTION("""COMPUTED_VALUE"""),"10.1016--j.jesp.2012.11.012.pdf")</f>
        <v>10.1016--j.jesp.2012.11.012.pdf</v>
      </c>
      <c r="D1749" s="159" t="str">
        <f>IFERROR(__xludf.DUMMYFUNCTION("""COMPUTED_VALUE"""),"application/pdf")</f>
        <v>application/pdf</v>
      </c>
    </row>
    <row r="1750">
      <c r="A1750" s="339" t="str">
        <f>IFERROR(__xludf.DUMMYFUNCTION("""COMPUTED_VALUE"""),"10.1093/humrep/13.11.3000")</f>
        <v>10.1093/humrep/13.11.3000</v>
      </c>
      <c r="B1750" s="445" t="str">
        <f>IFERROR(__xludf.DUMMYFUNCTION("""COMPUTED_VALUE"""),"https://drive.google.com/file/d/1hxKVhFtGlkiCZFx-llt9toTLKUbVbC68/view?usp=drivesdk")</f>
        <v>https://drive.google.com/file/d/1hxKVhFtGlkiCZFx-llt9toTLKUbVbC68/view?usp=drivesdk</v>
      </c>
      <c r="C1750" s="339" t="str">
        <f>IFERROR(__xludf.DUMMYFUNCTION("""COMPUTED_VALUE"""),"10.1093--humrep--13.11.3000.pdf")</f>
        <v>10.1093--humrep--13.11.3000.pdf</v>
      </c>
      <c r="D1750" s="159" t="str">
        <f>IFERROR(__xludf.DUMMYFUNCTION("""COMPUTED_VALUE"""),"application/pdf")</f>
        <v>application/pdf</v>
      </c>
    </row>
    <row r="1751">
      <c r="A1751" s="445" t="str">
        <f>IFERROR(__xludf.DUMMYFUNCTION("""COMPUTED_VALUE"""),"osf.io/y2emk")</f>
        <v>osf.io/y2emk</v>
      </c>
      <c r="B1751" s="445" t="str">
        <f>IFERROR(__xludf.DUMMYFUNCTION("""COMPUTED_VALUE"""),"https://drive.google.com/file/d/1ggKrnyXVCp5QeHOFppoj-cawSQrJMuJs/view?usp=drivesdk")</f>
        <v>https://drive.google.com/file/d/1ggKrnyXVCp5QeHOFppoj-cawSQrJMuJs/view?usp=drivesdk</v>
      </c>
      <c r="C1751" s="339" t="str">
        <f>IFERROR(__xludf.DUMMYFUNCTION("""COMPUTED_VALUE"""),"osf.io--y2emk.pdf")</f>
        <v>osf.io--y2emk.pdf</v>
      </c>
      <c r="D1751" s="159" t="str">
        <f>IFERROR(__xludf.DUMMYFUNCTION("""COMPUTED_VALUE"""),"application/pdf")</f>
        <v>application/pdf</v>
      </c>
    </row>
    <row r="1752">
      <c r="A1752" s="339" t="str">
        <f>IFERROR(__xludf.DUMMYFUNCTION("""COMPUTED_VALUE"""),"10.17605/osf.io/xszk6")</f>
        <v>10.17605/osf.io/xszk6</v>
      </c>
      <c r="B1752" s="445" t="str">
        <f>IFERROR(__xludf.DUMMYFUNCTION("""COMPUTED_VALUE"""),"https://drive.google.com/file/d/1guI1nGSynzf6fvHwOnJ5YyyE5CaX1-QJ/view?usp=drivesdk")</f>
        <v>https://drive.google.com/file/d/1guI1nGSynzf6fvHwOnJ5YyyE5CaX1-QJ/view?usp=drivesdk</v>
      </c>
      <c r="C1752" s="339" t="str">
        <f>IFERROR(__xludf.DUMMYFUNCTION("""COMPUTED_VALUE"""),"10.17605--osf.io--xszk6.pdf")</f>
        <v>10.17605--osf.io--xszk6.pdf</v>
      </c>
      <c r="D1752" s="159" t="str">
        <f>IFERROR(__xludf.DUMMYFUNCTION("""COMPUTED_VALUE"""),"application/pdf")</f>
        <v>application/pdf</v>
      </c>
    </row>
    <row r="1753">
      <c r="A1753" s="339" t="str">
        <f>IFERROR(__xludf.DUMMYFUNCTION("""COMPUTED_VALUE"""),"10.1525/collabra.90195")</f>
        <v>10.1525/collabra.90195</v>
      </c>
      <c r="B1753" s="445" t="str">
        <f>IFERROR(__xludf.DUMMYFUNCTION("""COMPUTED_VALUE"""),"https://drive.google.com/file/d/1zJ3IIX26CyEcHOzgjGdLzzyONBKjM3Eo/view?usp=drivesdk")</f>
        <v>https://drive.google.com/file/d/1zJ3IIX26CyEcHOzgjGdLzzyONBKjM3Eo/view?usp=drivesdk</v>
      </c>
      <c r="C1753" s="339" t="str">
        <f>IFERROR(__xludf.DUMMYFUNCTION("""COMPUTED_VALUE"""),"10.1525--collabra.90195.pdf")</f>
        <v>10.1525--collabra.90195.pdf</v>
      </c>
      <c r="D1753" s="159" t="str">
        <f>IFERROR(__xludf.DUMMYFUNCTION("""COMPUTED_VALUE"""),"application/pdf")</f>
        <v>application/pdf</v>
      </c>
    </row>
    <row r="1754">
      <c r="A1754" s="339" t="str">
        <f>IFERROR(__xludf.DUMMYFUNCTION("""COMPUTED_VALUE"""),"10.17605/osf.io/rge23")</f>
        <v>10.17605/osf.io/rge23</v>
      </c>
      <c r="B1754" s="445" t="str">
        <f>IFERROR(__xludf.DUMMYFUNCTION("""COMPUTED_VALUE"""),"https://drive.google.com/file/d/1MU_8Il0xQzGs1_f54NK-Zrd4eZW93ir0/view?usp=drivesdk")</f>
        <v>https://drive.google.com/file/d/1MU_8Il0xQzGs1_f54NK-Zrd4eZW93ir0/view?usp=drivesdk</v>
      </c>
      <c r="C1754" s="339" t="str">
        <f>IFERROR(__xludf.DUMMYFUNCTION("""COMPUTED_VALUE"""),"10.17605--OSF.IO--RGE23.pdf")</f>
        <v>10.17605--OSF.IO--RGE23.pdf</v>
      </c>
      <c r="D1754" s="159" t="str">
        <f>IFERROR(__xludf.DUMMYFUNCTION("""COMPUTED_VALUE"""),"application/pdf")</f>
        <v>application/pdf</v>
      </c>
    </row>
    <row r="1755">
      <c r="A1755" s="339" t="str">
        <f>IFERROR(__xludf.DUMMYFUNCTION("""COMPUTED_VALUE"""),"10.31219/osf.io/q56rk")</f>
        <v>10.31219/osf.io/q56rk</v>
      </c>
      <c r="B1755" s="445" t="str">
        <f>IFERROR(__xludf.DUMMYFUNCTION("""COMPUTED_VALUE"""),"https://drive.google.com/file/d/1yocFVBuv9XJU51vARnUZQsxKqupCbK_0/view?usp=drivesdk")</f>
        <v>https://drive.google.com/file/d/1yocFVBuv9XJU51vARnUZQsxKqupCbK_0/view?usp=drivesdk</v>
      </c>
      <c r="C1755" s="339" t="str">
        <f>IFERROR(__xludf.DUMMYFUNCTION("""COMPUTED_VALUE"""),"10.31219--osf.io--q56rk.pdf")</f>
        <v>10.31219--osf.io--q56rk.pdf</v>
      </c>
      <c r="D1755" s="159" t="str">
        <f>IFERROR(__xludf.DUMMYFUNCTION("""COMPUTED_VALUE"""),"application/pdf")</f>
        <v>application/pdf</v>
      </c>
    </row>
    <row r="1756">
      <c r="A1756" s="339" t="str">
        <f>IFERROR(__xludf.DUMMYFUNCTION("""COMPUTED_VALUE"""),"10.31234/osf.io/fmdqe")</f>
        <v>10.31234/osf.io/fmdqe</v>
      </c>
      <c r="B1756" s="445" t="str">
        <f>IFERROR(__xludf.DUMMYFUNCTION("""COMPUTED_VALUE"""),"https://drive.google.com/file/d/1E8ftV9CM3P94L7a22AIu7lnoeVPVf27T/view?usp=drivesdk")</f>
        <v>https://drive.google.com/file/d/1E8ftV9CM3P94L7a22AIu7lnoeVPVf27T/view?usp=drivesdk</v>
      </c>
      <c r="C1756" s="339" t="str">
        <f>IFERROR(__xludf.DUMMYFUNCTION("""COMPUTED_VALUE"""),"10.31234--osf.io--fmdqe.pdf")</f>
        <v>10.31234--osf.io--fmdqe.pdf</v>
      </c>
      <c r="D1756" s="159" t="str">
        <f>IFERROR(__xludf.DUMMYFUNCTION("""COMPUTED_VALUE"""),"application/pdf")</f>
        <v>application/pdf</v>
      </c>
    </row>
    <row r="1757">
      <c r="A1757" s="339" t="str">
        <f>IFERROR(__xludf.DUMMYFUNCTION("""COMPUTED_VALUE"""),"10.17605/osf.io/w34fb")</f>
        <v>10.17605/osf.io/w34fb</v>
      </c>
      <c r="B1757" s="445" t="str">
        <f>IFERROR(__xludf.DUMMYFUNCTION("""COMPUTED_VALUE"""),"https://drive.google.com/file/d/1kuZMXucDUjsuAZIHhRprBpqylwerd6Dn/view?usp=drivesdk")</f>
        <v>https://drive.google.com/file/d/1kuZMXucDUjsuAZIHhRprBpqylwerd6Dn/view?usp=drivesdk</v>
      </c>
      <c r="C1757" s="339" t="str">
        <f>IFERROR(__xludf.DUMMYFUNCTION("""COMPUTED_VALUE"""),"10.17605--OSF.IO--W34FB.pdf")</f>
        <v>10.17605--OSF.IO--W34FB.pdf</v>
      </c>
      <c r="D1757" s="159" t="str">
        <f>IFERROR(__xludf.DUMMYFUNCTION("""COMPUTED_VALUE"""),"application/pdf")</f>
        <v>application/pdf</v>
      </c>
    </row>
    <row r="1758">
      <c r="A1758" s="339" t="str">
        <f>IFERROR(__xludf.DUMMYFUNCTION("""COMPUTED_VALUE"""),"10.17605/osf.io/ahcpw")</f>
        <v>10.17605/osf.io/ahcpw</v>
      </c>
      <c r="B1758" s="445" t="str">
        <f>IFERROR(__xludf.DUMMYFUNCTION("""COMPUTED_VALUE"""),"https://drive.google.com/file/d/1W0CUphORn0RFZC7vPbiY_o1c0-1VZraH/view?usp=drivesdk")</f>
        <v>https://drive.google.com/file/d/1W0CUphORn0RFZC7vPbiY_o1c0-1VZraH/view?usp=drivesdk</v>
      </c>
      <c r="C1758" s="339" t="str">
        <f>IFERROR(__xludf.DUMMYFUNCTION("""COMPUTED_VALUE"""),"10.17605--OSF.IO--AHCPW.pdf")</f>
        <v>10.17605--OSF.IO--AHCPW.pdf</v>
      </c>
      <c r="D1758" s="159" t="str">
        <f>IFERROR(__xludf.DUMMYFUNCTION("""COMPUTED_VALUE"""),"application/pdf")</f>
        <v>application/pdf</v>
      </c>
    </row>
    <row r="1759">
      <c r="A1759" s="339" t="str">
        <f>IFERROR(__xludf.DUMMYFUNCTION("""COMPUTED_VALUE"""),"10.17605/osf.io/wmqtb")</f>
        <v>10.17605/osf.io/wmqtb</v>
      </c>
      <c r="B1759" s="445" t="str">
        <f>IFERROR(__xludf.DUMMYFUNCTION("""COMPUTED_VALUE"""),"https://drive.google.com/file/d/1PDKoHtQZCcgd680LTG8t4vrEuAzIz9ad/view?usp=drivesdk")</f>
        <v>https://drive.google.com/file/d/1PDKoHtQZCcgd680LTG8t4vrEuAzIz9ad/view?usp=drivesdk</v>
      </c>
      <c r="C1759" s="339" t="str">
        <f>IFERROR(__xludf.DUMMYFUNCTION("""COMPUTED_VALUE"""),"10.17605--OSF.IO--WMQTB.pdf")</f>
        <v>10.17605--OSF.IO--WMQTB.pdf</v>
      </c>
      <c r="D1759" s="159" t="str">
        <f>IFERROR(__xludf.DUMMYFUNCTION("""COMPUTED_VALUE"""),"application/pdf")</f>
        <v>application/pdf</v>
      </c>
    </row>
    <row r="1760">
      <c r="A1760" s="339" t="str">
        <f>IFERROR(__xludf.DUMMYFUNCTION("""COMPUTED_VALUE"""),"10.17605/osf.io/qswe3")</f>
        <v>10.17605/osf.io/qswe3</v>
      </c>
      <c r="B1760" s="445" t="str">
        <f>IFERROR(__xludf.DUMMYFUNCTION("""COMPUTED_VALUE"""),"https://drive.google.com/file/d/11RiWnq8pFq46fCmi2IyjWnAfJQKfNnhw/view?usp=drivesdk")</f>
        <v>https://drive.google.com/file/d/11RiWnq8pFq46fCmi2IyjWnAfJQKfNnhw/view?usp=drivesdk</v>
      </c>
      <c r="C1760" s="339" t="str">
        <f>IFERROR(__xludf.DUMMYFUNCTION("""COMPUTED_VALUE"""),"10.17605--osf.io--qswe3.pdf")</f>
        <v>10.17605--osf.io--qswe3.pdf</v>
      </c>
      <c r="D1760" s="159" t="str">
        <f>IFERROR(__xludf.DUMMYFUNCTION("""COMPUTED_VALUE"""),"application/pdf")</f>
        <v>application/pdf</v>
      </c>
    </row>
    <row r="1761">
      <c r="A1761" s="339" t="str">
        <f>IFERROR(__xludf.DUMMYFUNCTION("""COMPUTED_VALUE"""),"10.17605/osf.io/j9mfn")</f>
        <v>10.17605/osf.io/j9mfn</v>
      </c>
      <c r="B1761" s="445" t="str">
        <f>IFERROR(__xludf.DUMMYFUNCTION("""COMPUTED_VALUE"""),"https://drive.google.com/file/d/1bDJ3pwRi1ppkk2s4X1b8y4ek_Sslv5NN/view?usp=drivesdk")</f>
        <v>https://drive.google.com/file/d/1bDJ3pwRi1ppkk2s4X1b8y4ek_Sslv5NN/view?usp=drivesdk</v>
      </c>
      <c r="C1761" s="339" t="str">
        <f>IFERROR(__xludf.DUMMYFUNCTION("""COMPUTED_VALUE"""),"10.17605--osf.io--j9mfn.pdf")</f>
        <v>10.17605--osf.io--j9mfn.pdf</v>
      </c>
      <c r="D1761" s="159" t="str">
        <f>IFERROR(__xludf.DUMMYFUNCTION("""COMPUTED_VALUE"""),"application/pdf")</f>
        <v>application/pdf</v>
      </c>
    </row>
    <row r="1762">
      <c r="A1762" s="339" t="str">
        <f>IFERROR(__xludf.DUMMYFUNCTION("""COMPUTED_VALUE"""),"10.1006/cogp.1998.0708 ")</f>
        <v>10.1006/cogp.1998.0708 </v>
      </c>
      <c r="B1762" s="445" t="str">
        <f>IFERROR(__xludf.DUMMYFUNCTION("""COMPUTED_VALUE"""),"https://drive.google.com/file/d/1NPlZP4bn4bZ8vzkLAPzQSx9k0p8LfsrH/view?usp=drivesdk")</f>
        <v>https://drive.google.com/file/d/1NPlZP4bn4bZ8vzkLAPzQSx9k0p8LfsrH/view?usp=drivesdk</v>
      </c>
      <c r="C1762" s="339" t="str">
        <f>IFERROR(__xludf.DUMMYFUNCTION("""COMPUTED_VALUE"""),"10.1006--cogp.1998.0708 .pdf")</f>
        <v>10.1006--cogp.1998.0708 .pdf</v>
      </c>
      <c r="D1762" s="159" t="str">
        <f>IFERROR(__xludf.DUMMYFUNCTION("""COMPUTED_VALUE"""),"application/pdf")</f>
        <v>application/pdf</v>
      </c>
    </row>
    <row r="1763">
      <c r="A1763" s="339" t="str">
        <f>IFERROR(__xludf.DUMMYFUNCTION("""COMPUTED_VALUE"""),"10.17605/osf.io/g2zv6")</f>
        <v>10.17605/osf.io/g2zv6</v>
      </c>
      <c r="B1763" s="445" t="str">
        <f>IFERROR(__xludf.DUMMYFUNCTION("""COMPUTED_VALUE"""),"https://drive.google.com/file/d/1QCtMPgPaK1vRobFSTRf0XLLASYR6qVht/view?usp=drivesdk")</f>
        <v>https://drive.google.com/file/d/1QCtMPgPaK1vRobFSTRf0XLLASYR6qVht/view?usp=drivesdk</v>
      </c>
      <c r="C1763" s="339" t="str">
        <f>IFERROR(__xludf.DUMMYFUNCTION("""COMPUTED_VALUE"""),"10.17605--osf.io--g2zv6.pdf")</f>
        <v>10.17605--osf.io--g2zv6.pdf</v>
      </c>
      <c r="D1763" s="159" t="str">
        <f>IFERROR(__xludf.DUMMYFUNCTION("""COMPUTED_VALUE"""),"application/pdf")</f>
        <v>application/pdf</v>
      </c>
    </row>
    <row r="1764">
      <c r="A1764" s="339" t="str">
        <f>IFERROR(__xludf.DUMMYFUNCTION("""COMPUTED_VALUE"""),"10.1525/collabra.90203")</f>
        <v>10.1525/collabra.90203</v>
      </c>
      <c r="B1764" s="445" t="str">
        <f>IFERROR(__xludf.DUMMYFUNCTION("""COMPUTED_VALUE"""),"https://drive.google.com/file/d/1JoIbJ4bMgr0MnpZG6ldfkjP1GD2XKao-/view?usp=drivesdk")</f>
        <v>https://drive.google.com/file/d/1JoIbJ4bMgr0MnpZG6ldfkjP1GD2XKao-/view?usp=drivesdk</v>
      </c>
      <c r="C1764" s="339" t="str">
        <f>IFERROR(__xludf.DUMMYFUNCTION("""COMPUTED_VALUE"""),"10.1525--collabra.90203.pdf")</f>
        <v>10.1525--collabra.90203.pdf</v>
      </c>
      <c r="D1764" s="159" t="str">
        <f>IFERROR(__xludf.DUMMYFUNCTION("""COMPUTED_VALUE"""),"application/pdf")</f>
        <v>application/pdf</v>
      </c>
    </row>
    <row r="1765">
      <c r="A1765" s="339" t="str">
        <f>IFERROR(__xludf.DUMMYFUNCTION("""COMPUTED_VALUE"""),"10.1525/collabra.77859")</f>
        <v>10.1525/collabra.77859</v>
      </c>
      <c r="B1765" s="445" t="str">
        <f>IFERROR(__xludf.DUMMYFUNCTION("""COMPUTED_VALUE"""),"https://drive.google.com/file/d/1WXWZjoJuCokLmlH9bIcycOTiPT_Yg1j7/view?usp=drivesdk")</f>
        <v>https://drive.google.com/file/d/1WXWZjoJuCokLmlH9bIcycOTiPT_Yg1j7/view?usp=drivesdk</v>
      </c>
      <c r="C1765" s="339" t="str">
        <f>IFERROR(__xludf.DUMMYFUNCTION("""COMPUTED_VALUE"""),"10.1525--collabra.77859.pdf")</f>
        <v>10.1525--collabra.77859.pdf</v>
      </c>
      <c r="D1765" s="159" t="str">
        <f>IFERROR(__xludf.DUMMYFUNCTION("""COMPUTED_VALUE"""),"application/pdf")</f>
        <v>application/pdf</v>
      </c>
    </row>
    <row r="1766">
      <c r="A1766" s="339" t="str">
        <f>IFERROR(__xludf.DUMMYFUNCTION("""COMPUTED_VALUE"""),"10.1017/jdm.2024.31")</f>
        <v>10.1017/jdm.2024.31</v>
      </c>
      <c r="B1766" s="445" t="str">
        <f>IFERROR(__xludf.DUMMYFUNCTION("""COMPUTED_VALUE"""),"https://drive.google.com/file/d/1wu43s4B3jFXzDqV2LFAy4XLqlQEsmSc4/view?usp=drivesdk")</f>
        <v>https://drive.google.com/file/d/1wu43s4B3jFXzDqV2LFAy4XLqlQEsmSc4/view?usp=drivesdk</v>
      </c>
      <c r="C1766" s="339" t="str">
        <f>IFERROR(__xludf.DUMMYFUNCTION("""COMPUTED_VALUE"""),"10.1017--jdm.2024.31.pdf")</f>
        <v>10.1017--jdm.2024.31.pdf</v>
      </c>
      <c r="D1766" s="159" t="str">
        <f>IFERROR(__xludf.DUMMYFUNCTION("""COMPUTED_VALUE"""),"application/pdf")</f>
        <v>application/pdf</v>
      </c>
    </row>
    <row r="1767">
      <c r="A1767" s="339" t="str">
        <f>IFERROR(__xludf.DUMMYFUNCTION("""COMPUTED_VALUE"""),"10.31234/osf.io/bgp3m")</f>
        <v>10.31234/osf.io/bgp3m</v>
      </c>
      <c r="B1767" s="445" t="str">
        <f>IFERROR(__xludf.DUMMYFUNCTION("""COMPUTED_VALUE"""),"https://drive.google.com/file/d/1hVwbIyW3epWRQsMMft62XMBr_6n68gLn/view?usp=drivesdk")</f>
        <v>https://drive.google.com/file/d/1hVwbIyW3epWRQsMMft62XMBr_6n68gLn/view?usp=drivesdk</v>
      </c>
      <c r="C1767" s="339" t="str">
        <f>IFERROR(__xludf.DUMMYFUNCTION("""COMPUTED_VALUE"""),"10.31234--osf.io--bgp3m.pdf")</f>
        <v>10.31234--osf.io--bgp3m.pdf</v>
      </c>
      <c r="D1767" s="159" t="str">
        <f>IFERROR(__xludf.DUMMYFUNCTION("""COMPUTED_VALUE"""),"application/pdf")</f>
        <v>application/pdf</v>
      </c>
    </row>
    <row r="1768">
      <c r="A1768" s="339" t="str">
        <f>IFERROR(__xludf.DUMMYFUNCTION("""COMPUTED_VALUE"""),"10.1525/collabra.87489")</f>
        <v>10.1525/collabra.87489</v>
      </c>
      <c r="B1768" s="445" t="str">
        <f>IFERROR(__xludf.DUMMYFUNCTION("""COMPUTED_VALUE"""),"https://drive.google.com/file/d/1LiwZlG2IZrVOJUW6jAvbA4ha8g_h2NIZ/view?usp=drivesdk")</f>
        <v>https://drive.google.com/file/d/1LiwZlG2IZrVOJUW6jAvbA4ha8g_h2NIZ/view?usp=drivesdk</v>
      </c>
      <c r="C1768" s="339" t="str">
        <f>IFERROR(__xludf.DUMMYFUNCTION("""COMPUTED_VALUE"""),"10.1525--collabra.87489.pdf")</f>
        <v>10.1525--collabra.87489.pdf</v>
      </c>
      <c r="D1768" s="159" t="str">
        <f>IFERROR(__xludf.DUMMYFUNCTION("""COMPUTED_VALUE"""),"application/pdf")</f>
        <v>application/pdf</v>
      </c>
    </row>
    <row r="1769">
      <c r="A1769" s="339" t="str">
        <f>IFERROR(__xludf.DUMMYFUNCTION("""COMPUTED_VALUE"""),"10.17605/osf.io/knjhu")</f>
        <v>10.17605/osf.io/knjhu</v>
      </c>
      <c r="B1769" s="445" t="str">
        <f>IFERROR(__xludf.DUMMYFUNCTION("""COMPUTED_VALUE"""),"https://drive.google.com/file/d/1rJA29LnGvbhxw8zfcr7Wgg8rIAjK2KiH/view?usp=drivesdk")</f>
        <v>https://drive.google.com/file/d/1rJA29LnGvbhxw8zfcr7Wgg8rIAjK2KiH/view?usp=drivesdk</v>
      </c>
      <c r="C1769" s="339" t="str">
        <f>IFERROR(__xludf.DUMMYFUNCTION("""COMPUTED_VALUE"""),"10.17605--osf.io--knjhu.pdf")</f>
        <v>10.17605--osf.io--knjhu.pdf</v>
      </c>
      <c r="D1769" s="159" t="str">
        <f>IFERROR(__xludf.DUMMYFUNCTION("""COMPUTED_VALUE"""),"application/pdf")</f>
        <v>application/pdf</v>
      </c>
    </row>
    <row r="1770">
      <c r="A1770" s="339" t="str">
        <f>IFERROR(__xludf.DUMMYFUNCTION("""COMPUTED_VALUE"""),"10.17605/osf.io/j3ue4")</f>
        <v>10.17605/osf.io/j3ue4</v>
      </c>
      <c r="B1770" s="445" t="str">
        <f>IFERROR(__xludf.DUMMYFUNCTION("""COMPUTED_VALUE"""),"https://drive.google.com/file/d/1M3Kcp-hJiTCZoge7BWs2lQExUWb9tCTn/view?usp=drivesdk")</f>
        <v>https://drive.google.com/file/d/1M3Kcp-hJiTCZoge7BWs2lQExUWb9tCTn/view?usp=drivesdk</v>
      </c>
      <c r="C1770" s="339" t="str">
        <f>IFERROR(__xludf.DUMMYFUNCTION("""COMPUTED_VALUE"""),"10.17605--OSF.IO--J3UE4.pdf")</f>
        <v>10.17605--OSF.IO--J3UE4.pdf</v>
      </c>
      <c r="D1770" s="159" t="str">
        <f>IFERROR(__xludf.DUMMYFUNCTION("""COMPUTED_VALUE"""),"application/pdf")</f>
        <v>application/pdf</v>
      </c>
    </row>
    <row r="1771">
      <c r="A1771" s="339" t="str">
        <f>IFERROR(__xludf.DUMMYFUNCTION("""COMPUTED_VALUE"""),"10.1 037/0022-3514.83.1.138 ")</f>
        <v>10.1 037/0022-3514.83.1.138 </v>
      </c>
      <c r="B1771" s="445" t="str">
        <f>IFERROR(__xludf.DUMMYFUNCTION("""COMPUTED_VALUE"""),"https://drive.google.com/file/d/1XPocD-WcJY0ehPEGHc6H2GH8HD_rE_5b/view?usp=drivesdk")</f>
        <v>https://drive.google.com/file/d/1XPocD-WcJY0ehPEGHc6H2GH8HD_rE_5b/view?usp=drivesdk</v>
      </c>
      <c r="C1771" s="339" t="str">
        <f>IFERROR(__xludf.DUMMYFUNCTION("""COMPUTED_VALUE"""),"10.1 037--0022-3514.83.1.138 .pdf")</f>
        <v>10.1 037--0022-3514.83.1.138 .pdf</v>
      </c>
      <c r="D1771" s="159" t="str">
        <f>IFERROR(__xludf.DUMMYFUNCTION("""COMPUTED_VALUE"""),"application/pdf")</f>
        <v>application/pdf</v>
      </c>
    </row>
    <row r="1772">
      <c r="A1772" s="339" t="str">
        <f>IFERROR(__xludf.DUMMYFUNCTION("""COMPUTED_VALUE"""),"10.1017/s1930297500008299")</f>
        <v>10.1017/s1930297500008299</v>
      </c>
      <c r="B1772" s="445" t="str">
        <f>IFERROR(__xludf.DUMMYFUNCTION("""COMPUTED_VALUE"""),"https://drive.google.com/file/d/1r29pQfWkFgN2tABwJBE-wIp01T7N_7Qd/view?usp=drivesdk")</f>
        <v>https://drive.google.com/file/d/1r29pQfWkFgN2tABwJBE-wIp01T7N_7Qd/view?usp=drivesdk</v>
      </c>
      <c r="C1772" s="339" t="str">
        <f>IFERROR(__xludf.DUMMYFUNCTION("""COMPUTED_VALUE"""),"10.1017--S1930297500008299.pdf")</f>
        <v>10.1017--S1930297500008299.pdf</v>
      </c>
      <c r="D1772" s="159" t="str">
        <f>IFERROR(__xludf.DUMMYFUNCTION("""COMPUTED_VALUE"""),"application/pdf")</f>
        <v>application/pdf</v>
      </c>
    </row>
    <row r="1773">
      <c r="A1773" s="339" t="str">
        <f>IFERROR(__xludf.DUMMYFUNCTION("""COMPUTED_VALUE"""),"10.1016/j.joep.2022.102509")</f>
        <v>10.1016/j.joep.2022.102509</v>
      </c>
      <c r="B1773" s="445" t="str">
        <f>IFERROR(__xludf.DUMMYFUNCTION("""COMPUTED_VALUE"""),"https://drive.google.com/file/d/1IbnFcdqYKa94CoZ4waDe9EtSGfDeu_ZI/view?usp=drivesdk")</f>
        <v>https://drive.google.com/file/d/1IbnFcdqYKa94CoZ4waDe9EtSGfDeu_ZI/view?usp=drivesdk</v>
      </c>
      <c r="C1773" s="339" t="str">
        <f>IFERROR(__xludf.DUMMYFUNCTION("""COMPUTED_VALUE"""),"10.1016--j.joep.2022.102509.pdf")</f>
        <v>10.1016--j.joep.2022.102509.pdf</v>
      </c>
      <c r="D1773" s="159" t="str">
        <f>IFERROR(__xludf.DUMMYFUNCTION("""COMPUTED_VALUE"""),"application/pdf")</f>
        <v>application/pdf</v>
      </c>
    </row>
    <row r="1774">
      <c r="A1774" s="339" t="str">
        <f>IFERROR(__xludf.DUMMYFUNCTION("""COMPUTED_VALUE"""),"10.5334/irsp.571")</f>
        <v>10.5334/irsp.571</v>
      </c>
      <c r="B1774" s="445" t="str">
        <f>IFERROR(__xludf.DUMMYFUNCTION("""COMPUTED_VALUE"""),"https://drive.google.com/file/d/1fUwh6tES6nWfjFhphXedkoplbyeu2PNp/view?usp=drivesdk")</f>
        <v>https://drive.google.com/file/d/1fUwh6tES6nWfjFhphXedkoplbyeu2PNp/view?usp=drivesdk</v>
      </c>
      <c r="C1774" s="339" t="str">
        <f>IFERROR(__xludf.DUMMYFUNCTION("""COMPUTED_VALUE"""),"10.5334--irsp.571.pdf")</f>
        <v>10.5334--irsp.571.pdf</v>
      </c>
      <c r="D1774" s="159" t="str">
        <f>IFERROR(__xludf.DUMMYFUNCTION("""COMPUTED_VALUE"""),"application/pdf")</f>
        <v>application/pdf</v>
      </c>
    </row>
    <row r="1775">
      <c r="A1775" s="339" t="str">
        <f>IFERROR(__xludf.DUMMYFUNCTION("""COMPUTED_VALUE"""),"10.1177/1948550619900570")</f>
        <v>10.1177/1948550619900570</v>
      </c>
      <c r="B1775" s="445" t="str">
        <f>IFERROR(__xludf.DUMMYFUNCTION("""COMPUTED_VALUE"""),"https://drive.google.com/file/d/1Xx6QgIva8p6mSGTBtG0DO_L1XUGiEdOy/view?usp=drivesdk")</f>
        <v>https://drive.google.com/file/d/1Xx6QgIva8p6mSGTBtG0DO_L1XUGiEdOy/view?usp=drivesdk</v>
      </c>
      <c r="C1775" s="339" t="str">
        <f>IFERROR(__xludf.DUMMYFUNCTION("""COMPUTED_VALUE"""),"10.1177--1948550619900570.pdf")</f>
        <v>10.1177--1948550619900570.pdf</v>
      </c>
      <c r="D1775" s="159" t="str">
        <f>IFERROR(__xludf.DUMMYFUNCTION("""COMPUTED_VALUE"""),"application/pdf")</f>
        <v>application/pdf</v>
      </c>
    </row>
    <row r="1776">
      <c r="A1776" s="339" t="str">
        <f>IFERROR(__xludf.DUMMYFUNCTION("""COMPUTED_VALUE"""),"10.1016/j.joep.2020.102350")</f>
        <v>10.1016/j.joep.2020.102350</v>
      </c>
      <c r="B1776" s="445" t="str">
        <f>IFERROR(__xludf.DUMMYFUNCTION("""COMPUTED_VALUE"""),"https://drive.google.com/file/d/1vaRFC32s5FmX83iCFD1S-NraPnbz5YKp/view?usp=drivesdk")</f>
        <v>https://drive.google.com/file/d/1vaRFC32s5FmX83iCFD1S-NraPnbz5YKp/view?usp=drivesdk</v>
      </c>
      <c r="C1776" s="339" t="str">
        <f>IFERROR(__xludf.DUMMYFUNCTION("""COMPUTED_VALUE"""),"10.1016--j.joep.2020.102350.pdf")</f>
        <v>10.1016--j.joep.2020.102350.pdf</v>
      </c>
      <c r="D1776" s="159" t="str">
        <f>IFERROR(__xludf.DUMMYFUNCTION("""COMPUTED_VALUE"""),"application/pdf")</f>
        <v>application/pdf</v>
      </c>
    </row>
    <row r="1777">
      <c r="A1777" s="339" t="str">
        <f>IFERROR(__xludf.DUMMYFUNCTION("""COMPUTED_VALUE"""),"10.15626/mp.2020.2474")</f>
        <v>10.15626/mp.2020.2474</v>
      </c>
      <c r="B1777" s="445" t="str">
        <f>IFERROR(__xludf.DUMMYFUNCTION("""COMPUTED_VALUE"""),"https://drive.google.com/file/d/1sWZqmEkkeXGatLwg-tGBCoL6noJqcIMJ/view?usp=drivesdk")</f>
        <v>https://drive.google.com/file/d/1sWZqmEkkeXGatLwg-tGBCoL6noJqcIMJ/view?usp=drivesdk</v>
      </c>
      <c r="C1777" s="339" t="str">
        <f>IFERROR(__xludf.DUMMYFUNCTION("""COMPUTED_VALUE"""),"10.15626--mp.2020.2474.pdf")</f>
        <v>10.15626--mp.2020.2474.pdf</v>
      </c>
      <c r="D1777" s="159" t="str">
        <f>IFERROR(__xludf.DUMMYFUNCTION("""COMPUTED_VALUE"""),"application/pdf")</f>
        <v>application/pdf</v>
      </c>
    </row>
    <row r="1778">
      <c r="A1778" s="339" t="str">
        <f>IFERROR(__xludf.DUMMYFUNCTION("""COMPUTED_VALUE"""),"10.31234/osf.io/nymh2")</f>
        <v>10.31234/osf.io/nymh2</v>
      </c>
      <c r="B1778" s="445" t="str">
        <f>IFERROR(__xludf.DUMMYFUNCTION("""COMPUTED_VALUE"""),"https://drive.google.com/file/d/1zWO3Te4TYOczF9AdKeKNNPy_EgmrEhFQ/view?usp=drivesdk")</f>
        <v>https://drive.google.com/file/d/1zWO3Te4TYOczF9AdKeKNNPy_EgmrEhFQ/view?usp=drivesdk</v>
      </c>
      <c r="C1778" s="339" t="str">
        <f>IFERROR(__xludf.DUMMYFUNCTION("""COMPUTED_VALUE"""),"10.31234--osf.io--nymh2.pdf")</f>
        <v>10.31234--osf.io--nymh2.pdf</v>
      </c>
      <c r="D1778" s="159" t="str">
        <f>IFERROR(__xludf.DUMMYFUNCTION("""COMPUTED_VALUE"""),"application/pdf")</f>
        <v>application/pdf</v>
      </c>
    </row>
    <row r="1779">
      <c r="A1779" s="339" t="str">
        <f>IFERROR(__xludf.DUMMYFUNCTION("""COMPUTED_VALUE"""),"10.1111/j.1467-9280.2006.01704")</f>
        <v>10.1111/j.1467-9280.2006.01704</v>
      </c>
      <c r="B1779" s="445" t="str">
        <f>IFERROR(__xludf.DUMMYFUNCTION("""COMPUTED_VALUE"""),"https://drive.google.com/file/d/17YCUYLdK2bmKj2dFytg-3Hcav7hORmjF/view?usp=drivesdk")</f>
        <v>https://drive.google.com/file/d/17YCUYLdK2bmKj2dFytg-3Hcav7hORmjF/view?usp=drivesdk</v>
      </c>
      <c r="C1779" s="339" t="str">
        <f>IFERROR(__xludf.DUMMYFUNCTION("""COMPUTED_VALUE"""),"10.1111--j.1467-9280.2006.01704.pdf")</f>
        <v>10.1111--j.1467-9280.2006.01704.pdf</v>
      </c>
      <c r="D1779" s="159" t="str">
        <f>IFERROR(__xludf.DUMMYFUNCTION("""COMPUTED_VALUE"""),"application/pdf")</f>
        <v>application/pdf</v>
      </c>
    </row>
    <row r="1780">
      <c r="A1780" s="339" t="str">
        <f>IFERROR(__xludf.DUMMYFUNCTION("""COMPUTED_VALUE"""),"10.1037/0022-3514.80.4.572")</f>
        <v>10.1037/0022-3514.80.4.572</v>
      </c>
      <c r="B1780" s="445" t="str">
        <f>IFERROR(__xludf.DUMMYFUNCTION("""COMPUTED_VALUE"""),"https://drive.google.com/file/d/1QvUfdkDMI3SPlbbwVXLbTp8M6pfamBMY/view?usp=drivesdk")</f>
        <v>https://drive.google.com/file/d/1QvUfdkDMI3SPlbbwVXLbTp8M6pfamBMY/view?usp=drivesdk</v>
      </c>
      <c r="C1780" s="339" t="str">
        <f>IFERROR(__xludf.DUMMYFUNCTION("""COMPUTED_VALUE"""),"10.1037--0022-3514.80.4.572.pdf")</f>
        <v>10.1037--0022-3514.80.4.572.pdf</v>
      </c>
      <c r="D1780" s="159" t="str">
        <f>IFERROR(__xludf.DUMMYFUNCTION("""COMPUTED_VALUE"""),"application/pdf")</f>
        <v>application/pdf</v>
      </c>
    </row>
    <row r="1781">
      <c r="A1781" s="339" t="str">
        <f>IFERROR(__xludf.DUMMYFUNCTION("""COMPUTED_VALUE"""),"10.1037/0022-3514.80.4.557 ")</f>
        <v>10.1037/0022-3514.80.4.557 </v>
      </c>
      <c r="B1781" s="445" t="str">
        <f>IFERROR(__xludf.DUMMYFUNCTION("""COMPUTED_VALUE"""),"https://drive.google.com/file/d/1m-p97HFQo5qMQ15DhKUlIxthzr2Db59Q/view?usp=drivesdk")</f>
        <v>https://drive.google.com/file/d/1m-p97HFQo5qMQ15DhKUlIxthzr2Db59Q/view?usp=drivesdk</v>
      </c>
      <c r="C1781" s="339" t="str">
        <f>IFERROR(__xludf.DUMMYFUNCTION("""COMPUTED_VALUE"""),"10.1037--0022-3514.80.4.557 .pdf")</f>
        <v>10.1037--0022-3514.80.4.557 .pdf</v>
      </c>
      <c r="D1781" s="159" t="str">
        <f>IFERROR(__xludf.DUMMYFUNCTION("""COMPUTED_VALUE"""),"application/pdf")</f>
        <v>application/pdf</v>
      </c>
    </row>
    <row r="1782">
      <c r="A1782" s="339" t="str">
        <f>IFERROR(__xludf.DUMMYFUNCTION("""COMPUTED_VALUE"""),"10.1037/0096-3445.136.2.28")</f>
        <v>10.1037/0096-3445.136.2.28</v>
      </c>
      <c r="B1782" s="445" t="str">
        <f>IFERROR(__xludf.DUMMYFUNCTION("""COMPUTED_VALUE"""),"https://drive.google.com/file/d/1dUxvMZjgQ7MdwLSzjaV-9rtrhizY73Qq/view?usp=drivesdk")</f>
        <v>https://drive.google.com/file/d/1dUxvMZjgQ7MdwLSzjaV-9rtrhizY73Qq/view?usp=drivesdk</v>
      </c>
      <c r="C1782" s="339" t="str">
        <f>IFERROR(__xludf.DUMMYFUNCTION("""COMPUTED_VALUE"""),"10.1037--0096-3445.136.2.28.pdf")</f>
        <v>10.1037--0096-3445.136.2.28.pdf</v>
      </c>
      <c r="D1782" s="159" t="str">
        <f>IFERROR(__xludf.DUMMYFUNCTION("""COMPUTED_VALUE"""),"application/pdf")</f>
        <v>application/pdf</v>
      </c>
    </row>
    <row r="1783">
      <c r="A1783" s="339" t="str">
        <f>IFERROR(__xludf.DUMMYFUNCTION("""COMPUTED_VALUE"""),"ssrn-1079969")</f>
        <v>ssrn-1079969</v>
      </c>
      <c r="B1783" s="445" t="str">
        <f>IFERROR(__xludf.DUMMYFUNCTION("""COMPUTED_VALUE"""),"https://drive.google.com/file/d/1JLlKlCuSQlmgo2DzVVO1nOLTtvV40xkm/view?usp=drivesdk")</f>
        <v>https://drive.google.com/file/d/1JLlKlCuSQlmgo2DzVVO1nOLTtvV40xkm/view?usp=drivesdk</v>
      </c>
      <c r="C1783" s="339" t="str">
        <f>IFERROR(__xludf.DUMMYFUNCTION("""COMPUTED_VALUE"""),"ssrn-1079969.pdf")</f>
        <v>ssrn-1079969.pdf</v>
      </c>
      <c r="D1783" s="159" t="str">
        <f>IFERROR(__xludf.DUMMYFUNCTION("""COMPUTED_VALUE"""),"application/pdf")</f>
        <v>application/pdf</v>
      </c>
    </row>
    <row r="1784">
      <c r="A1784" s="339" t="str">
        <f>IFERROR(__xludf.DUMMYFUNCTION("""COMPUTED_VALUE"""),"10.15626/mp.2020.2470")</f>
        <v>10.15626/mp.2020.2470</v>
      </c>
      <c r="B1784" s="445" t="str">
        <f>IFERROR(__xludf.DUMMYFUNCTION("""COMPUTED_VALUE"""),"https://drive.google.com/file/d/1_pOqDTU5epsX-idKhrkkAxlKE653TmOR/view?usp=drivesdk")</f>
        <v>https://drive.google.com/file/d/1_pOqDTU5epsX-idKhrkkAxlKE653TmOR/view?usp=drivesdk</v>
      </c>
      <c r="C1784" s="339" t="str">
        <f>IFERROR(__xludf.DUMMYFUNCTION("""COMPUTED_VALUE"""),"10.15626--mp.2020.2470.pdf")</f>
        <v>10.15626--mp.2020.2470.pdf</v>
      </c>
      <c r="D1784" s="159" t="str">
        <f>IFERROR(__xludf.DUMMYFUNCTION("""COMPUTED_VALUE"""),"application/pdf")</f>
        <v>application/pdf</v>
      </c>
    </row>
    <row r="1785">
      <c r="A1785" s="339" t="str">
        <f>IFERROR(__xludf.DUMMYFUNCTION("""COMPUTED_VALUE"""),"10.15626/mp.2019.2134")</f>
        <v>10.15626/mp.2019.2134</v>
      </c>
      <c r="B1785" s="445" t="str">
        <f>IFERROR(__xludf.DUMMYFUNCTION("""COMPUTED_VALUE"""),"https://drive.google.com/file/d/1d2fLvnplh_NO2a1uAGhqpM65R0uTLv82/view?usp=drivesdk")</f>
        <v>https://drive.google.com/file/d/1d2fLvnplh_NO2a1uAGhqpM65R0uTLv82/view?usp=drivesdk</v>
      </c>
      <c r="C1785" s="339" t="str">
        <f>IFERROR(__xludf.DUMMYFUNCTION("""COMPUTED_VALUE"""),"10.15626--mp.2019.2134.pdf")</f>
        <v>10.15626--mp.2019.2134.pdf</v>
      </c>
      <c r="D1785" s="159" t="str">
        <f>IFERROR(__xludf.DUMMYFUNCTION("""COMPUTED_VALUE"""),"application/pdf")</f>
        <v>application/pdf</v>
      </c>
    </row>
    <row r="1786">
      <c r="A1786" s="339" t="str">
        <f>IFERROR(__xludf.DUMMYFUNCTION("""COMPUTED_VALUE"""),"10.17605/osf.io/4hjck")</f>
        <v>10.17605/osf.io/4hjck</v>
      </c>
      <c r="B1786" s="445" t="str">
        <f>IFERROR(__xludf.DUMMYFUNCTION("""COMPUTED_VALUE"""),"https://drive.google.com/file/d/1MxLG3K_pacLhCrOW7msCJcgwusz4dOsU/view?usp=drivesdk")</f>
        <v>https://drive.google.com/file/d/1MxLG3K_pacLhCrOW7msCJcgwusz4dOsU/view?usp=drivesdk</v>
      </c>
      <c r="C1786" s="339" t="str">
        <f>IFERROR(__xludf.DUMMYFUNCTION("""COMPUTED_VALUE"""),"10.17605--OSF.IO--4HJCK.pdf")</f>
        <v>10.17605--OSF.IO--4HJCK.pdf</v>
      </c>
      <c r="D1786" s="159" t="str">
        <f>IFERROR(__xludf.DUMMYFUNCTION("""COMPUTED_VALUE"""),"application/pdf")</f>
        <v>application/pdf</v>
      </c>
    </row>
    <row r="1787">
      <c r="A1787" s="339" t="str">
        <f>IFERROR(__xludf.DUMMYFUNCTION("""COMPUTED_VALUE"""),"10.1017/s1930297500008470")</f>
        <v>10.1017/s1930297500008470</v>
      </c>
      <c r="B1787" s="445" t="str">
        <f>IFERROR(__xludf.DUMMYFUNCTION("""COMPUTED_VALUE"""),"https://drive.google.com/file/d/1to80T71Y9i6WJ0JPLv5eu4jV5Hm38qQ7/view?usp=drivesdk")</f>
        <v>https://drive.google.com/file/d/1to80T71Y9i6WJ0JPLv5eu4jV5Hm38qQ7/view?usp=drivesdk</v>
      </c>
      <c r="C1787" s="339" t="str">
        <f>IFERROR(__xludf.DUMMYFUNCTION("""COMPUTED_VALUE"""),"10.1017--S1930297500008470.pdf")</f>
        <v>10.1017--S1930297500008470.pdf</v>
      </c>
      <c r="D1787" s="159" t="str">
        <f>IFERROR(__xludf.DUMMYFUNCTION("""COMPUTED_VALUE"""),"application/pdf")</f>
        <v>application/pdf</v>
      </c>
    </row>
    <row r="1788">
      <c r="A1788" s="339" t="str">
        <f>IFERROR(__xludf.DUMMYFUNCTION("""COMPUTED_VALUE"""),"latham_2012")</f>
        <v>latham_2012</v>
      </c>
      <c r="B1788" s="445" t="str">
        <f>IFERROR(__xludf.DUMMYFUNCTION("""COMPUTED_VALUE"""),"https://drive.google.com/file/d/1HRPyXT_yPMMj7S90no28KiC05Fv8dG4x/view?usp=drivesdk")</f>
        <v>https://drive.google.com/file/d/1HRPyXT_yPMMj7S90no28KiC05Fv8dG4x/view?usp=drivesdk</v>
      </c>
      <c r="C1788" s="339" t="str">
        <f>IFERROR(__xludf.DUMMYFUNCTION("""COMPUTED_VALUE"""),"latham_2012.pdf")</f>
        <v>latham_2012.pdf</v>
      </c>
      <c r="D1788" s="159" t="str">
        <f>IFERROR(__xludf.DUMMYFUNCTION("""COMPUTED_VALUE"""),"application/pdf")</f>
        <v>application/pdf</v>
      </c>
    </row>
    <row r="1789">
      <c r="A1789" s="339" t="str">
        <f>IFERROR(__xludf.DUMMYFUNCTION("""COMPUTED_VALUE"""),"ramsay_2013")</f>
        <v>ramsay_2013</v>
      </c>
      <c r="B1789" s="445" t="str">
        <f>IFERROR(__xludf.DUMMYFUNCTION("""COMPUTED_VALUE"""),"https://drive.google.com/file/d/13utbybgNxGWl4f76AOUTFpqbbUPXSuno/view?usp=drivesdk")</f>
        <v>https://drive.google.com/file/d/13utbybgNxGWl4f76AOUTFpqbbUPXSuno/view?usp=drivesdk</v>
      </c>
      <c r="C1789" s="339" t="str">
        <f>IFERROR(__xludf.DUMMYFUNCTION("""COMPUTED_VALUE"""),"ramsay_2013.pdf")</f>
        <v>ramsay_2013.pdf</v>
      </c>
      <c r="D1789" s="159" t="str">
        <f>IFERROR(__xludf.DUMMYFUNCTION("""COMPUTED_VALUE"""),"application/pdf")</f>
        <v>application/pdf</v>
      </c>
    </row>
    <row r="1790">
      <c r="A1790" s="339" t="str">
        <f>IFERROR(__xludf.DUMMYFUNCTION("""COMPUTED_VALUE"""),"10.1111/spc3.12557")</f>
        <v>10.1111/spc3.12557</v>
      </c>
      <c r="B1790" s="445" t="str">
        <f>IFERROR(__xludf.DUMMYFUNCTION("""COMPUTED_VALUE"""),"https://drive.google.com/file/d/1EpEjTLrdBVZGDIrD2HvyE-VeuCqCQJDX/view?usp=drivesdk")</f>
        <v>https://drive.google.com/file/d/1EpEjTLrdBVZGDIrD2HvyE-VeuCqCQJDX/view?usp=drivesdk</v>
      </c>
      <c r="C1790" s="339" t="str">
        <f>IFERROR(__xludf.DUMMYFUNCTION("""COMPUTED_VALUE"""),"10.1111--spc3.12557.pdf")</f>
        <v>10.1111--spc3.12557.pdf</v>
      </c>
      <c r="D1790" s="159" t="str">
        <f>IFERROR(__xludf.DUMMYFUNCTION("""COMPUTED_VALUE"""),"application/pdf")</f>
        <v>application/pdf</v>
      </c>
    </row>
    <row r="1791">
      <c r="A1791" s="339" t="str">
        <f>IFERROR(__xludf.DUMMYFUNCTION("""COMPUTED_VALUE"""),"10.1016/j.joep.2020.102349")</f>
        <v>10.1016/j.joep.2020.102349</v>
      </c>
      <c r="B1791" s="445" t="str">
        <f>IFERROR(__xludf.DUMMYFUNCTION("""COMPUTED_VALUE"""),"https://drive.google.com/file/d/1MTa7xK-r7d1ef7k6raOd4y1vTp0LnH4q/view?usp=drivesdk")</f>
        <v>https://drive.google.com/file/d/1MTa7xK-r7d1ef7k6raOd4y1vTp0LnH4q/view?usp=drivesdk</v>
      </c>
      <c r="C1791" s="339" t="str">
        <f>IFERROR(__xludf.DUMMYFUNCTION("""COMPUTED_VALUE"""),"10.1016--j.joep.2020.102349.pdf")</f>
        <v>10.1016--j.joep.2020.102349.pdf</v>
      </c>
      <c r="D1791" s="159" t="str">
        <f>IFERROR(__xludf.DUMMYFUNCTION("""COMPUTED_VALUE"""),"application/pdf")</f>
        <v>application/pdf</v>
      </c>
    </row>
    <row r="1792">
      <c r="A1792" s="339" t="str">
        <f>IFERROR(__xludf.DUMMYFUNCTION("""COMPUTED_VALUE"""),"10.1016/j.jesp.2020.103977")</f>
        <v>10.1016/j.jesp.2020.103977</v>
      </c>
      <c r="B1792" s="445" t="str">
        <f>IFERROR(__xludf.DUMMYFUNCTION("""COMPUTED_VALUE"""),"https://drive.google.com/file/d/1be9ymxv-Fkrrvnq4Mm-DqTXhMqG48Ril/view?usp=drivesdk")</f>
        <v>https://drive.google.com/file/d/1be9ymxv-Fkrrvnq4Mm-DqTXhMqG48Ril/view?usp=drivesdk</v>
      </c>
      <c r="C1792" s="339" t="str">
        <f>IFERROR(__xludf.DUMMYFUNCTION("""COMPUTED_VALUE"""),"10.1016--j.jesp.2020.103977.pdf")</f>
        <v>10.1016--j.jesp.2020.103977.pdf</v>
      </c>
      <c r="D1792" s="159" t="str">
        <f>IFERROR(__xludf.DUMMYFUNCTION("""COMPUTED_VALUE"""),"application/pdf")</f>
        <v>application/pdf</v>
      </c>
    </row>
    <row r="1793">
      <c r="A1793" s="339" t="str">
        <f>IFERROR(__xludf.DUMMYFUNCTION("""COMPUTED_VALUE"""),"10.1093/toxsci/kfx105")</f>
        <v>10.1093/toxsci/kfx105</v>
      </c>
      <c r="B1793" s="445" t="str">
        <f>IFERROR(__xludf.DUMMYFUNCTION("""COMPUTED_VALUE"""),"https://drive.google.com/file/d/1atCBbn-6dORvI420ON2DmFYVVq7sNgy0/view?usp=drivesdk")</f>
        <v>https://drive.google.com/file/d/1atCBbn-6dORvI420ON2DmFYVVq7sNgy0/view?usp=drivesdk</v>
      </c>
      <c r="C1793" s="339" t="str">
        <f>IFERROR(__xludf.DUMMYFUNCTION("""COMPUTED_VALUE"""),"10.1093--toxsci--kfx105.pdf")</f>
        <v>10.1093--toxsci--kfx105.pdf</v>
      </c>
      <c r="D1793" s="159" t="str">
        <f>IFERROR(__xludf.DUMMYFUNCTION("""COMPUTED_VALUE"""),"application/pdf")</f>
        <v>application/pdf</v>
      </c>
    </row>
    <row r="1794">
      <c r="A1794" s="339" t="str">
        <f>IFERROR(__xludf.DUMMYFUNCTION("""COMPUTED_VALUE"""),"10.1001/archpsyc.1992.01820110040006")</f>
        <v>10.1001/archpsyc.1992.01820110040006</v>
      </c>
      <c r="B1794" s="445" t="str">
        <f>IFERROR(__xludf.DUMMYFUNCTION("""COMPUTED_VALUE"""),"https://drive.google.com/file/d/1zrk21d0vxwQo53XJ4YWlG4yVtiIB_MOn/view?usp=drivesdk")</f>
        <v>https://drive.google.com/file/d/1zrk21d0vxwQo53XJ4YWlG4yVtiIB_MOn/view?usp=drivesdk</v>
      </c>
      <c r="C1794" s="339" t="str">
        <f>IFERROR(__xludf.DUMMYFUNCTION("""COMPUTED_VALUE"""),"10.1001--archpsyc.1992.01820110040006.pdf")</f>
        <v>10.1001--archpsyc.1992.01820110040006.pdf</v>
      </c>
      <c r="D1794" s="159" t="str">
        <f>IFERROR(__xludf.DUMMYFUNCTION("""COMPUTED_VALUE"""),"application/pdf")</f>
        <v>application/pdf</v>
      </c>
    </row>
    <row r="1795">
      <c r="A1795" s="339" t="str">
        <f>IFERROR(__xludf.DUMMYFUNCTION("""COMPUTED_VALUE"""),"10.15626/mp.2021.2932")</f>
        <v>10.15626/mp.2021.2932</v>
      </c>
      <c r="B1795" s="445" t="str">
        <f>IFERROR(__xludf.DUMMYFUNCTION("""COMPUTED_VALUE"""),"https://drive.google.com/file/d/1eStHrGzruiZ8ryNoUKYA8v_Tc8cC-DTi/view?usp=drivesdk")</f>
        <v>https://drive.google.com/file/d/1eStHrGzruiZ8ryNoUKYA8v_Tc8cC-DTi/view?usp=drivesdk</v>
      </c>
      <c r="C1795" s="339" t="str">
        <f>IFERROR(__xludf.DUMMYFUNCTION("""COMPUTED_VALUE"""),"10.15626--mp.2021.2932.pdf")</f>
        <v>10.15626--mp.2021.2932.pdf</v>
      </c>
      <c r="D1795" s="159" t="str">
        <f>IFERROR(__xludf.DUMMYFUNCTION("""COMPUTED_VALUE"""),"application/pdf")</f>
        <v>application/pdf</v>
      </c>
    </row>
    <row r="1796">
      <c r="A1796" s="339" t="str">
        <f>IFERROR(__xludf.DUMMYFUNCTION("""COMPUTED_VALUE"""),"10.1016/j.jesp.2020.104052")</f>
        <v>10.1016/j.jesp.2020.104052</v>
      </c>
      <c r="B1796" s="445" t="str">
        <f>IFERROR(__xludf.DUMMYFUNCTION("""COMPUTED_VALUE"""),"https://drive.google.com/file/d/1tMb1Ea-HC-XRIGcZuk29Ws50CLwlqwRX/view?usp=drivesdk")</f>
        <v>https://drive.google.com/file/d/1tMb1Ea-HC-XRIGcZuk29Ws50CLwlqwRX/view?usp=drivesdk</v>
      </c>
      <c r="C1796" s="339" t="str">
        <f>IFERROR(__xludf.DUMMYFUNCTION("""COMPUTED_VALUE"""),"10.1016--j.jesp.2020.104052.pdf")</f>
        <v>10.1016--j.jesp.2020.104052.pdf</v>
      </c>
      <c r="D1796" s="159" t="str">
        <f>IFERROR(__xludf.DUMMYFUNCTION("""COMPUTED_VALUE"""),"application/pdf")</f>
        <v>application/pdf</v>
      </c>
    </row>
    <row r="1797">
      <c r="A1797" s="339" t="str">
        <f>IFERROR(__xludf.DUMMYFUNCTION("""COMPUTED_VALUE"""),"10.1016/j.jesp.2022.104372")</f>
        <v>10.1016/j.jesp.2022.104372</v>
      </c>
      <c r="B1797" s="445" t="str">
        <f>IFERROR(__xludf.DUMMYFUNCTION("""COMPUTED_VALUE"""),"https://drive.google.com/file/d/1rlRS2BG3uBAxtBduyMTZfa_qtnK6Z2-J/view?usp=drivesdk")</f>
        <v>https://drive.google.com/file/d/1rlRS2BG3uBAxtBduyMTZfa_qtnK6Z2-J/view?usp=drivesdk</v>
      </c>
      <c r="C1797" s="339" t="str">
        <f>IFERROR(__xludf.DUMMYFUNCTION("""COMPUTED_VALUE"""),"10.1016--j.jesp.2022.104372.pdf")</f>
        <v>10.1016--j.jesp.2022.104372.pdf</v>
      </c>
      <c r="D1797" s="159" t="str">
        <f>IFERROR(__xludf.DUMMYFUNCTION("""COMPUTED_VALUE"""),"application/pdf")</f>
        <v>application/pdf</v>
      </c>
    </row>
    <row r="1798">
      <c r="A1798" s="339" t="str">
        <f>IFERROR(__xludf.DUMMYFUNCTION("""COMPUTED_VALUE"""),"10.1080/23743603.2021.1878340")</f>
        <v>10.1080/23743603.2021.1878340</v>
      </c>
      <c r="B1798" s="445" t="str">
        <f>IFERROR(__xludf.DUMMYFUNCTION("""COMPUTED_VALUE"""),"https://drive.google.com/file/d/1oIvSNrGQWhA_jLE1RRPe9hevRCdjKoPZ/view?usp=drivesdk")</f>
        <v>https://drive.google.com/file/d/1oIvSNrGQWhA_jLE1RRPe9hevRCdjKoPZ/view?usp=drivesdk</v>
      </c>
      <c r="C1798" s="339" t="str">
        <f>IFERROR(__xludf.DUMMYFUNCTION("""COMPUTED_VALUE"""),"10.1080--23743603.2021.1878340.pdf")</f>
        <v>10.1080--23743603.2021.1878340.pdf</v>
      </c>
      <c r="D1798" s="159" t="str">
        <f>IFERROR(__xludf.DUMMYFUNCTION("""COMPUTED_VALUE"""),"application/pdf")</f>
        <v>application/pdf</v>
      </c>
    </row>
    <row r="1799">
      <c r="A1799" s="339" t="str">
        <f>IFERROR(__xludf.DUMMYFUNCTION("""COMPUTED_VALUE"""),"10.1097/jcp.0b013e3181ac5213")</f>
        <v>10.1097/jcp.0b013e3181ac5213</v>
      </c>
      <c r="B1799" s="445" t="str">
        <f>IFERROR(__xludf.DUMMYFUNCTION("""COMPUTED_VALUE"""),"https://drive.google.com/file/d/1plD-vyel8Zy5rqv3uNVNICZNG4gkKTwk/view?usp=drivesdk")</f>
        <v>https://drive.google.com/file/d/1plD-vyel8Zy5rqv3uNVNICZNG4gkKTwk/view?usp=drivesdk</v>
      </c>
      <c r="C1799" s="339" t="str">
        <f>IFERROR(__xludf.DUMMYFUNCTION("""COMPUTED_VALUE"""),"10.1097--jcp.0b013e3181ac5213.pdf")</f>
        <v>10.1097--jcp.0b013e3181ac5213.pdf</v>
      </c>
      <c r="D1799" s="159" t="str">
        <f>IFERROR(__xludf.DUMMYFUNCTION("""COMPUTED_VALUE"""),"application/pdf")</f>
        <v>application/pdf</v>
      </c>
    </row>
    <row r="1800">
      <c r="A1800" s="339" t="str">
        <f>IFERROR(__xludf.DUMMYFUNCTION("""COMPUTED_VALUE"""),"10.1016/j.jesp.2020.103972")</f>
        <v>10.1016/j.jesp.2020.103972</v>
      </c>
      <c r="B1800" s="445" t="str">
        <f>IFERROR(__xludf.DUMMYFUNCTION("""COMPUTED_VALUE"""),"https://drive.google.com/file/d/1uNRS_PKR04NJqpfF8RT8TGjnZf5pWTW7/view?usp=drivesdk")</f>
        <v>https://drive.google.com/file/d/1uNRS_PKR04NJqpfF8RT8TGjnZf5pWTW7/view?usp=drivesdk</v>
      </c>
      <c r="C1800" s="339" t="str">
        <f>IFERROR(__xludf.DUMMYFUNCTION("""COMPUTED_VALUE"""),"10.1016--j.jesp.2020.103972.pdf")</f>
        <v>10.1016--j.jesp.2020.103972.pdf</v>
      </c>
      <c r="D1800" s="159" t="str">
        <f>IFERROR(__xludf.DUMMYFUNCTION("""COMPUTED_VALUE"""),"application/pdf")</f>
        <v>application/pdf</v>
      </c>
    </row>
    <row r="1801">
      <c r="A1801" s="339" t="str">
        <f>IFERROR(__xludf.DUMMYFUNCTION("""COMPUTED_VALUE"""),"10.1525/collabra.23443")</f>
        <v>10.1525/collabra.23443</v>
      </c>
      <c r="B1801" s="445" t="str">
        <f>IFERROR(__xludf.DUMMYFUNCTION("""COMPUTED_VALUE"""),"https://drive.google.com/file/d/16qXucG-y6NLesFNLtXKxNxVb-p-zDAcP/view?usp=drivesdk")</f>
        <v>https://drive.google.com/file/d/16qXucG-y6NLesFNLtXKxNxVb-p-zDAcP/view?usp=drivesdk</v>
      </c>
      <c r="C1801" s="339" t="str">
        <f>IFERROR(__xludf.DUMMYFUNCTION("""COMPUTED_VALUE"""),"10.1525--collabra.23443.pdf")</f>
        <v>10.1525--collabra.23443.pdf</v>
      </c>
      <c r="D1801" s="159" t="str">
        <f>IFERROR(__xludf.DUMMYFUNCTION("""COMPUTED_VALUE"""),"application/pdf")</f>
        <v>application/pdf</v>
      </c>
    </row>
    <row r="1802">
      <c r="A1802" s="339" t="str">
        <f>IFERROR(__xludf.DUMMYFUNCTION("""COMPUTED_VALUE"""),"10.1016/j.jesp.2016.07.009")</f>
        <v>10.1016/j.jesp.2016.07.009</v>
      </c>
      <c r="B1802" s="445" t="str">
        <f>IFERROR(__xludf.DUMMYFUNCTION("""COMPUTED_VALUE"""),"https://drive.google.com/file/d/1jwPO5hG912h_deQ_mA5qrEO6Un7ly-w5/view?usp=drivesdk")</f>
        <v>https://drive.google.com/file/d/1jwPO5hG912h_deQ_mA5qrEO6Un7ly-w5/view?usp=drivesdk</v>
      </c>
      <c r="C1802" s="339" t="str">
        <f>IFERROR(__xludf.DUMMYFUNCTION("""COMPUTED_VALUE"""),"10.1016--j.jesp.2016.07.009.pdf")</f>
        <v>10.1016--j.jesp.2016.07.009.pdf</v>
      </c>
      <c r="D1802" s="159" t="str">
        <f>IFERROR(__xludf.DUMMYFUNCTION("""COMPUTED_VALUE"""),"application/pdf")</f>
        <v>application/pdf</v>
      </c>
    </row>
    <row r="1803">
      <c r="A1803" s="339" t="str">
        <f>IFERROR(__xludf.DUMMYFUNCTION("""COMPUTED_VALUE"""),"10.1080/02699931.2018.1504747")</f>
        <v>10.1080/02699931.2018.1504747</v>
      </c>
      <c r="B1803" s="445" t="str">
        <f>IFERROR(__xludf.DUMMYFUNCTION("""COMPUTED_VALUE"""),"https://drive.google.com/file/d/17_e2y6T62ZS1d75D_vEqe2Fq-GHz40dH/view?usp=drivesdk")</f>
        <v>https://drive.google.com/file/d/17_e2y6T62ZS1d75D_vEqe2Fq-GHz40dH/view?usp=drivesdk</v>
      </c>
      <c r="C1803" s="339" t="str">
        <f>IFERROR(__xludf.DUMMYFUNCTION("""COMPUTED_VALUE"""),"10.1080--02699931.2018.1504747.pdf")</f>
        <v>10.1080--02699931.2018.1504747.pdf</v>
      </c>
      <c r="D1803" s="159" t="str">
        <f>IFERROR(__xludf.DUMMYFUNCTION("""COMPUTED_VALUE"""),"application/pdf")</f>
        <v>application/pdf</v>
      </c>
    </row>
    <row r="1804">
      <c r="A1804" s="339" t="str">
        <f>IFERROR(__xludf.DUMMYFUNCTION("""COMPUTED_VALUE"""),"10.1111/j.2044-835x.1985.tb00980.x")</f>
        <v>10.1111/j.2044-835x.1985.tb00980.x</v>
      </c>
      <c r="B1804" s="445" t="str">
        <f>IFERROR(__xludf.DUMMYFUNCTION("""COMPUTED_VALUE"""),"https://drive.google.com/file/d/1QJfPmltqzudUVKXbh3e1i3gjjwbZ261D/view?usp=drivesdk")</f>
        <v>https://drive.google.com/file/d/1QJfPmltqzudUVKXbh3e1i3gjjwbZ261D/view?usp=drivesdk</v>
      </c>
      <c r="C1804" s="339" t="str">
        <f>IFERROR(__xludf.DUMMYFUNCTION("""COMPUTED_VALUE"""),"10.1111--j.2044-835x.1985.tb00980.x.pdf")</f>
        <v>10.1111--j.2044-835x.1985.tb00980.x.pdf</v>
      </c>
      <c r="D1804" s="159" t="str">
        <f>IFERROR(__xludf.DUMMYFUNCTION("""COMPUTED_VALUE"""),"application/pdf")</f>
        <v>application/pdf</v>
      </c>
    </row>
    <row r="1805">
      <c r="A1805" s="339" t="str">
        <f>IFERROR(__xludf.DUMMYFUNCTION("""COMPUTED_VALUE"""),"10.1192/bjp.138.4.321")</f>
        <v>10.1192/bjp.138.4.321</v>
      </c>
      <c r="B1805" s="445" t="str">
        <f>IFERROR(__xludf.DUMMYFUNCTION("""COMPUTED_VALUE"""),"https://drive.google.com/file/d/142q6igd0Z6bO3OY9f37fbyB7dbT7gFpM/view?usp=drivesdk")</f>
        <v>https://drive.google.com/file/d/142q6igd0Z6bO3OY9f37fbyB7dbT7gFpM/view?usp=drivesdk</v>
      </c>
      <c r="C1805" s="339" t="str">
        <f>IFERROR(__xludf.DUMMYFUNCTION("""COMPUTED_VALUE"""),"10.1192--bjp.138.4.321.pdf")</f>
        <v>10.1192--bjp.138.4.321.pdf</v>
      </c>
      <c r="D1805" s="159" t="str">
        <f>IFERROR(__xludf.DUMMYFUNCTION("""COMPUTED_VALUE"""),"application/pdf")</f>
        <v>application/pdf</v>
      </c>
    </row>
    <row r="1806">
      <c r="A1806" s="339" t="str">
        <f>IFERROR(__xludf.DUMMYFUNCTION("""COMPUTED_VALUE"""),"10.1192/bjp.153.1.115")</f>
        <v>10.1192/bjp.153.1.115</v>
      </c>
      <c r="B1806" s="445" t="str">
        <f>IFERROR(__xludf.DUMMYFUNCTION("""COMPUTED_VALUE"""),"https://drive.google.com/file/d/19mE8tBv4yX9W0ZxzhRHab0Uc2JHfphPO/view?usp=drivesdk")</f>
        <v>https://drive.google.com/file/d/19mE8tBv4yX9W0ZxzhRHab0Uc2JHfphPO/view?usp=drivesdk</v>
      </c>
      <c r="C1806" s="339" t="str">
        <f>IFERROR(__xludf.DUMMYFUNCTION("""COMPUTED_VALUE"""),"10.1192--bjp.153.1.115.pdf")</f>
        <v>10.1192--bjp.153.1.115.pdf</v>
      </c>
      <c r="D1806" s="159" t="str">
        <f>IFERROR(__xludf.DUMMYFUNCTION("""COMPUTED_VALUE"""),"application/pdf")</f>
        <v>application/pdf</v>
      </c>
    </row>
    <row r="1807">
      <c r="A1807" s="339" t="str">
        <f>IFERROR(__xludf.DUMMYFUNCTION("""COMPUTED_VALUE"""),"10.1080/10584609.1994.9963030")</f>
        <v>10.1080/10584609.1994.9963030</v>
      </c>
      <c r="B1807" s="445" t="str">
        <f>IFERROR(__xludf.DUMMYFUNCTION("""COMPUTED_VALUE"""),"https://drive.google.com/file/d/1ltrjhhYhuy7c2jXEz5hZpsmM93ZHoyBQ/view?usp=drivesdk")</f>
        <v>https://drive.google.com/file/d/1ltrjhhYhuy7c2jXEz5hZpsmM93ZHoyBQ/view?usp=drivesdk</v>
      </c>
      <c r="C1807" s="339" t="str">
        <f>IFERROR(__xludf.DUMMYFUNCTION("""COMPUTED_VALUE"""),"10.1080--10584609.1994.9963030.pdf")</f>
        <v>10.1080--10584609.1994.9963030.pdf</v>
      </c>
      <c r="D1807" s="159" t="str">
        <f>IFERROR(__xludf.DUMMYFUNCTION("""COMPUTED_VALUE"""),"application/pdf")</f>
        <v>application/pdf</v>
      </c>
    </row>
    <row r="1808">
      <c r="A1808" s="339" t="str">
        <f>IFERROR(__xludf.DUMMYFUNCTION("""COMPUTED_VALUE"""),"korbmacher_2022")</f>
        <v>korbmacher_2022</v>
      </c>
      <c r="B1808" s="445" t="str">
        <f>IFERROR(__xludf.DUMMYFUNCTION("""COMPUTED_VALUE"""),"https://drive.google.com/file/d/1Pa04ha1QPdwzQRxkAmjcqeTTakxa_4-A/view?usp=drivesdk")</f>
        <v>https://drive.google.com/file/d/1Pa04ha1QPdwzQRxkAmjcqeTTakxa_4-A/view?usp=drivesdk</v>
      </c>
      <c r="C1808" s="339" t="str">
        <f>IFERROR(__xludf.DUMMYFUNCTION("""COMPUTED_VALUE"""),"korbmacher_2022.pdf")</f>
        <v>korbmacher_2022.pdf</v>
      </c>
      <c r="D1808" s="159" t="str">
        <f>IFERROR(__xludf.DUMMYFUNCTION("""COMPUTED_VALUE"""),"application/pdf")</f>
        <v>application/pdf</v>
      </c>
    </row>
    <row r="1809">
      <c r="A1809" s="339" t="str">
        <f>IFERROR(__xludf.DUMMYFUNCTION("""COMPUTED_VALUE"""),"10.15/626/mp.2022.3108")</f>
        <v>10.15/626/mp.2022.3108</v>
      </c>
      <c r="B1809" s="445" t="str">
        <f>IFERROR(__xludf.DUMMYFUNCTION("""COMPUTED_VALUE"""),"https://drive.google.com/file/d/1f4b7CUsFcwOX-Klgh9LjeLzeZWCh9wRO/view?usp=drivesdk")</f>
        <v>https://drive.google.com/file/d/1f4b7CUsFcwOX-Klgh9LjeLzeZWCh9wRO/view?usp=drivesdk</v>
      </c>
      <c r="C1809" s="339" t="str">
        <f>IFERROR(__xludf.DUMMYFUNCTION("""COMPUTED_VALUE"""),"10.15--626--mp.2022.3108.pdf")</f>
        <v>10.15--626--mp.2022.3108.pdf</v>
      </c>
      <c r="D1809" s="159" t="str">
        <f>IFERROR(__xludf.DUMMYFUNCTION("""COMPUTED_VALUE"""),"application/pdf")</f>
        <v>application/pdf</v>
      </c>
    </row>
    <row r="1810">
      <c r="A1810" s="339" t="str">
        <f>IFERROR(__xludf.DUMMYFUNCTION("""COMPUTED_VALUE"""),"10.1525/collabra.37122")</f>
        <v>10.1525/collabra.37122</v>
      </c>
      <c r="B1810" s="445" t="str">
        <f>IFERROR(__xludf.DUMMYFUNCTION("""COMPUTED_VALUE"""),"https://drive.google.com/file/d/1eoWS9jdc53wyHszo4c8Ge2gzlwq30DvI/view?usp=drivesdk")</f>
        <v>https://drive.google.com/file/d/1eoWS9jdc53wyHszo4c8Ge2gzlwq30DvI/view?usp=drivesdk</v>
      </c>
      <c r="C1810" s="339" t="str">
        <f>IFERROR(__xludf.DUMMYFUNCTION("""COMPUTED_VALUE"""),"10.1525--collabra.37122.pdf")</f>
        <v>10.1525--collabra.37122.pdf</v>
      </c>
      <c r="D1810" s="159" t="str">
        <f>IFERROR(__xludf.DUMMYFUNCTION("""COMPUTED_VALUE"""),"application/pdf")</f>
        <v>application/pdf</v>
      </c>
    </row>
    <row r="1811">
      <c r="A1811" s="339" t="str">
        <f>IFERROR(__xludf.DUMMYFUNCTION("""COMPUTED_VALUE"""),"10.1177/19485506211056761")</f>
        <v>10.1177/19485506211056761</v>
      </c>
      <c r="B1811" s="445" t="str">
        <f>IFERROR(__xludf.DUMMYFUNCTION("""COMPUTED_VALUE"""),"https://drive.google.com/file/d/1e5JPVizcHOsgKK4xXV265ST-ZX_9ks9e/view?usp=drivesdk")</f>
        <v>https://drive.google.com/file/d/1e5JPVizcHOsgKK4xXV265ST-ZX_9ks9e/view?usp=drivesdk</v>
      </c>
      <c r="C1811" s="339" t="str">
        <f>IFERROR(__xludf.DUMMYFUNCTION("""COMPUTED_VALUE"""),"10.1177--19485506211056761.pdf")</f>
        <v>10.1177--19485506211056761.pdf</v>
      </c>
      <c r="D1811" s="159" t="str">
        <f>IFERROR(__xludf.DUMMYFUNCTION("""COMPUTED_VALUE"""),"application/pdf")</f>
        <v>application/pdf</v>
      </c>
    </row>
    <row r="1812">
      <c r="A1812" s="339" t="str">
        <f>IFERROR(__xludf.DUMMYFUNCTION("""COMPUTED_VALUE"""),"10.1525/collabra.57789")</f>
        <v>10.1525/collabra.57789</v>
      </c>
      <c r="B1812" s="445" t="str">
        <f>IFERROR(__xludf.DUMMYFUNCTION("""COMPUTED_VALUE"""),"https://drive.google.com/file/d/1fRrMg1hubhuUHffJB3cZMOiGJueeEHu7/view?usp=drivesdk")</f>
        <v>https://drive.google.com/file/d/1fRrMg1hubhuUHffJB3cZMOiGJueeEHu7/view?usp=drivesdk</v>
      </c>
      <c r="C1812" s="339" t="str">
        <f>IFERROR(__xludf.DUMMYFUNCTION("""COMPUTED_VALUE"""),"10.1525--collabra.57789.pdf")</f>
        <v>10.1525--collabra.57789.pdf</v>
      </c>
      <c r="D1812" s="159" t="str">
        <f>IFERROR(__xludf.DUMMYFUNCTION("""COMPUTED_VALUE"""),"application/pdf")</f>
        <v>application/pdf</v>
      </c>
    </row>
    <row r="1813">
      <c r="A1813" s="339" t="str">
        <f>IFERROR(__xludf.DUMMYFUNCTION("""COMPUTED_VALUE"""),"10.1177/1948550620948973")</f>
        <v>10.1177/1948550620948973</v>
      </c>
      <c r="B1813" s="445" t="str">
        <f>IFERROR(__xludf.DUMMYFUNCTION("""COMPUTED_VALUE"""),"https://drive.google.com/file/d/1Pvsc-C-C29zmoFMIKpIOITEdpRvM4BqL/view?usp=drivesdk")</f>
        <v>https://drive.google.com/file/d/1Pvsc-C-C29zmoFMIKpIOITEdpRvM4BqL/view?usp=drivesdk</v>
      </c>
      <c r="C1813" s="339" t="str">
        <f>IFERROR(__xludf.DUMMYFUNCTION("""COMPUTED_VALUE"""),"10.1177--1948550620948973.pdf")</f>
        <v>10.1177--1948550620948973.pdf</v>
      </c>
      <c r="D1813" s="159" t="str">
        <f>IFERROR(__xludf.DUMMYFUNCTION("""COMPUTED_VALUE"""),"application/pdf")</f>
        <v>application/pdf</v>
      </c>
    </row>
    <row r="1814">
      <c r="A1814" s="339" t="str">
        <f>IFERROR(__xludf.DUMMYFUNCTION("""COMPUTED_VALUE"""),"10.1080/10584609809342367")</f>
        <v>10.1080/10584609809342367</v>
      </c>
      <c r="B1814" s="445" t="str">
        <f>IFERROR(__xludf.DUMMYFUNCTION("""COMPUTED_VALUE"""),"https://drive.google.com/file/d/1P0pW0DggWoKIyN9DhYHRvTg9fHcRwN7v/view?usp=drivesdk")</f>
        <v>https://drive.google.com/file/d/1P0pW0DggWoKIyN9DhYHRvTg9fHcRwN7v/view?usp=drivesdk</v>
      </c>
      <c r="C1814" s="339" t="str">
        <f>IFERROR(__xludf.DUMMYFUNCTION("""COMPUTED_VALUE"""),"10.1080--10584609809342367.pdf")</f>
        <v>10.1080--10584609809342367.pdf</v>
      </c>
      <c r="D1814" s="159" t="str">
        <f>IFERROR(__xludf.DUMMYFUNCTION("""COMPUTED_VALUE"""),"application/pdf")</f>
        <v>application/pdf</v>
      </c>
    </row>
    <row r="1815">
      <c r="A1815" s="339" t="str">
        <f>IFERROR(__xludf.DUMMYFUNCTION("""COMPUTED_VALUE"""),"10.1007/s11199-011-0036-z")</f>
        <v>10.1007/s11199-011-0036-z</v>
      </c>
      <c r="B1815" s="445" t="str">
        <f>IFERROR(__xludf.DUMMYFUNCTION("""COMPUTED_VALUE"""),"https://drive.google.com/file/d/1ma6-dAi4-ueCPgAnsDzm7mGt7sF_HJXB/view?usp=drivesdk")</f>
        <v>https://drive.google.com/file/d/1ma6-dAi4-ueCPgAnsDzm7mGt7sF_HJXB/view?usp=drivesdk</v>
      </c>
      <c r="C1815" s="339" t="str">
        <f>IFERROR(__xludf.DUMMYFUNCTION("""COMPUTED_VALUE"""),"10.1007--s11199-011-0036-z.pdf")</f>
        <v>10.1007--s11199-011-0036-z.pdf</v>
      </c>
      <c r="D1815" s="159" t="str">
        <f>IFERROR(__xludf.DUMMYFUNCTION("""COMPUTED_VALUE"""),"application/pdf")</f>
        <v>application/pdf</v>
      </c>
    </row>
    <row r="1816">
      <c r="A1816" s="339" t="str">
        <f>IFERROR(__xludf.DUMMYFUNCTION("""COMPUTED_VALUE"""),"10.1525/collabra.32572")</f>
        <v>10.1525/collabra.32572</v>
      </c>
      <c r="B1816" s="445" t="str">
        <f>IFERROR(__xludf.DUMMYFUNCTION("""COMPUTED_VALUE"""),"https://drive.google.com/file/d/1i0bCNvCfo6OSjU80G4ILg4LMaQt55loT/view?usp=drivesdk")</f>
        <v>https://drive.google.com/file/d/1i0bCNvCfo6OSjU80G4ILg4LMaQt55loT/view?usp=drivesdk</v>
      </c>
      <c r="C1816" s="339" t="str">
        <f>IFERROR(__xludf.DUMMYFUNCTION("""COMPUTED_VALUE"""),"10.1525--collabra.32572.pdf")</f>
        <v>10.1525--collabra.32572.pdf</v>
      </c>
      <c r="D1816" s="159" t="str">
        <f>IFERROR(__xludf.DUMMYFUNCTION("""COMPUTED_VALUE"""),"application/pdf")</f>
        <v>application/pdf</v>
      </c>
    </row>
    <row r="1817">
      <c r="A1817" s="339" t="str">
        <f>IFERROR(__xludf.DUMMYFUNCTION("""COMPUTED_VALUE"""),"10.1177/1948550616683017")</f>
        <v>10.1177/1948550616683017</v>
      </c>
      <c r="B1817" s="445" t="str">
        <f>IFERROR(__xludf.DUMMYFUNCTION("""COMPUTED_VALUE"""),"https://drive.google.com/file/d/1fpZJLgIaE1sc6D3Ao9WYY-2RnjQ24Ey8/view?usp=drivesdk")</f>
        <v>https://drive.google.com/file/d/1fpZJLgIaE1sc6D3Ao9WYY-2RnjQ24Ey8/view?usp=drivesdk</v>
      </c>
      <c r="C1817" s="339" t="str">
        <f>IFERROR(__xludf.DUMMYFUNCTION("""COMPUTED_VALUE"""),"10.1177--1948550616683017.pdf")</f>
        <v>10.1177--1948550616683017.pdf</v>
      </c>
      <c r="D1817" s="159" t="str">
        <f>IFERROR(__xludf.DUMMYFUNCTION("""COMPUTED_VALUE"""),"application/pdf")</f>
        <v>application/pdf</v>
      </c>
    </row>
    <row r="1818">
      <c r="A1818" s="339" t="str">
        <f>IFERROR(__xludf.DUMMYFUNCTION("""COMPUTED_VALUE"""),"10.1038/s41467-018-08250-2")</f>
        <v>10.1038/s41467-018-08250-2</v>
      </c>
      <c r="B1818" s="445" t="str">
        <f>IFERROR(__xludf.DUMMYFUNCTION("""COMPUTED_VALUE"""),"https://drive.google.com/file/d/1AMpF3dCTaGRtKAW4uDl20NZ94oGS-IrJ/view?usp=drivesdk")</f>
        <v>https://drive.google.com/file/d/1AMpF3dCTaGRtKAW4uDl20NZ94oGS-IrJ/view?usp=drivesdk</v>
      </c>
      <c r="C1818" s="339" t="str">
        <f>IFERROR(__xludf.DUMMYFUNCTION("""COMPUTED_VALUE"""),"10.1038--s41467-018-08250-2.pdf")</f>
        <v>10.1038--s41467-018-08250-2.pdf</v>
      </c>
      <c r="D1818" s="159" t="str">
        <f>IFERROR(__xludf.DUMMYFUNCTION("""COMPUTED_VALUE"""),"application/pdf")</f>
        <v>application/pdf</v>
      </c>
    </row>
    <row r="1819">
      <c r="A1819" s="339" t="str">
        <f>IFERROR(__xludf.DUMMYFUNCTION("""COMPUTED_VALUE"""),"10.15626/mp.2019.2289")</f>
        <v>10.15626/mp.2019.2289</v>
      </c>
      <c r="B1819" s="445" t="str">
        <f>IFERROR(__xludf.DUMMYFUNCTION("""COMPUTED_VALUE"""),"https://drive.google.com/file/d/1vaP6T4GI5EG6QfiY7faW4sxmJhrkKcVJ/view?usp=drivesdk")</f>
        <v>https://drive.google.com/file/d/1vaP6T4GI5EG6QfiY7faW4sxmJhrkKcVJ/view?usp=drivesdk</v>
      </c>
      <c r="C1819" s="339" t="str">
        <f>IFERROR(__xludf.DUMMYFUNCTION("""COMPUTED_VALUE"""),"10.15626--mp.2019.2289.pdf")</f>
        <v>10.15626--mp.2019.2289.pdf</v>
      </c>
      <c r="D1819" s="159" t="str">
        <f>IFERROR(__xludf.DUMMYFUNCTION("""COMPUTED_VALUE"""),"application/pdf")</f>
        <v>application/pdf</v>
      </c>
    </row>
    <row r="1820">
      <c r="A1820" s="339" t="str">
        <f>IFERROR(__xludf.DUMMYFUNCTION("""COMPUTED_VALUE"""),"10.1075/arcl.7.07gri")</f>
        <v>10.1075/arcl.7.07gri</v>
      </c>
      <c r="B1820" s="445" t="str">
        <f>IFERROR(__xludf.DUMMYFUNCTION("""COMPUTED_VALUE"""),"https://drive.google.com/file/d/1xzLvdgc-M6xgRxS1XPmZCMV1KJ6e91RS/view?usp=drivesdk")</f>
        <v>https://drive.google.com/file/d/1xzLvdgc-M6xgRxS1XPmZCMV1KJ6e91RS/view?usp=drivesdk</v>
      </c>
      <c r="C1820" s="339" t="str">
        <f>IFERROR(__xludf.DUMMYFUNCTION("""COMPUTED_VALUE"""),"10.1075--arcl.7.07gri.pdf")</f>
        <v>10.1075--arcl.7.07gri.pdf</v>
      </c>
      <c r="D1820" s="159" t="str">
        <f>IFERROR(__xludf.DUMMYFUNCTION("""COMPUTED_VALUE"""),"application/pdf")</f>
        <v>application/pdf</v>
      </c>
    </row>
    <row r="1821">
      <c r="A1821" s="339" t="str">
        <f>IFERROR(__xludf.DUMMYFUNCTION("""COMPUTED_VALUE"""),"10.32714/ricl.10.01.08")</f>
        <v>10.32714/ricl.10.01.08</v>
      </c>
      <c r="B1821" s="445" t="str">
        <f>IFERROR(__xludf.DUMMYFUNCTION("""COMPUTED_VALUE"""),"https://drive.google.com/file/d/1P2HkNQwXMDHx-bxDaQ0QetAgbUaJlYq7/view?usp=drivesdk")</f>
        <v>https://drive.google.com/file/d/1P2HkNQwXMDHx-bxDaQ0QetAgbUaJlYq7/view?usp=drivesdk</v>
      </c>
      <c r="C1821" s="339" t="str">
        <f>IFERROR(__xludf.DUMMYFUNCTION("""COMPUTED_VALUE"""),"10.32714--ricl.10.01.08.pdf")</f>
        <v>10.32714--ricl.10.01.08.pdf</v>
      </c>
      <c r="D1821" s="159" t="str">
        <f>IFERROR(__xludf.DUMMYFUNCTION("""COMPUTED_VALUE"""),"application/pdf")</f>
        <v>application/pdf</v>
      </c>
    </row>
    <row r="1822">
      <c r="A1822" s="339" t="str">
        <f>IFERROR(__xludf.DUMMYFUNCTION("""COMPUTED_VALUE"""),"10.1109/tse.2020.2976920")</f>
        <v>10.1109/tse.2020.2976920</v>
      </c>
      <c r="B1822" s="445" t="str">
        <f>IFERROR(__xludf.DUMMYFUNCTION("""COMPUTED_VALUE"""),"https://drive.google.com/file/d/1D5KouvqlIJwsDCgn3ccM349xsg2h_lLc/view?usp=drivesdk")</f>
        <v>https://drive.google.com/file/d/1D5KouvqlIJwsDCgn3ccM349xsg2h_lLc/view?usp=drivesdk</v>
      </c>
      <c r="C1822" s="339" t="str">
        <f>IFERROR(__xludf.DUMMYFUNCTION("""COMPUTED_VALUE"""),"10.1109--tse.2020.2976920.pdf")</f>
        <v>10.1109--tse.2020.2976920.pdf</v>
      </c>
      <c r="D1822" s="159" t="str">
        <f>IFERROR(__xludf.DUMMYFUNCTION("""COMPUTED_VALUE"""),"application/pdf")</f>
        <v>application/pdf</v>
      </c>
    </row>
    <row r="1823">
      <c r="A1823" s="339" t="str">
        <f>IFERROR(__xludf.DUMMYFUNCTION("""COMPUTED_VALUE"""),"10.48550/arxiv.2103.08701")</f>
        <v>10.48550/arxiv.2103.08701</v>
      </c>
      <c r="B1823" s="445" t="str">
        <f>IFERROR(__xludf.DUMMYFUNCTION("""COMPUTED_VALUE"""),"https://drive.google.com/file/d/1Ocpr95kOyFZwuINmIl1HrSazLpP5IR0A/view?usp=drivesdk")</f>
        <v>https://drive.google.com/file/d/1Ocpr95kOyFZwuINmIl1HrSazLpP5IR0A/view?usp=drivesdk</v>
      </c>
      <c r="C1823" s="339" t="str">
        <f>IFERROR(__xludf.DUMMYFUNCTION("""COMPUTED_VALUE"""),"10.48550--arxiv.2103.08701.pdf")</f>
        <v>10.48550--arxiv.2103.08701.pdf</v>
      </c>
      <c r="D1823" s="159" t="str">
        <f>IFERROR(__xludf.DUMMYFUNCTION("""COMPUTED_VALUE"""),"application/pdf")</f>
        <v>application/pdf</v>
      </c>
    </row>
    <row r="1824">
      <c r="A1824" s="339" t="str">
        <f>IFERROR(__xludf.DUMMYFUNCTION("""COMPUTED_VALUE"""),"10.1016/j.euroneuro.2012.01.006")</f>
        <v>10.1016/j.euroneuro.2012.01.006</v>
      </c>
      <c r="B1824" s="445" t="str">
        <f>IFERROR(__xludf.DUMMYFUNCTION("""COMPUTED_VALUE"""),"https://drive.google.com/file/d/1SNZ1mkDnR8DG5EiPz1pP9wPEbPOfROdO/view?usp=drivesdk")</f>
        <v>https://drive.google.com/file/d/1SNZ1mkDnR8DG5EiPz1pP9wPEbPOfROdO/view?usp=drivesdk</v>
      </c>
      <c r="C1824" s="339" t="str">
        <f>IFERROR(__xludf.DUMMYFUNCTION("""COMPUTED_VALUE"""),"10.1016--j.euroneuro.2012.01.006.pdf")</f>
        <v>10.1016--j.euroneuro.2012.01.006.pdf</v>
      </c>
      <c r="D1824" s="159" t="str">
        <f>IFERROR(__xludf.DUMMYFUNCTION("""COMPUTED_VALUE"""),"application/pdf")</f>
        <v>application/pdf</v>
      </c>
    </row>
    <row r="1825">
      <c r="A1825" s="339" t="str">
        <f>IFERROR(__xludf.DUMMYFUNCTION("""COMPUTED_VALUE"""),"o'connor, c.e_2013")</f>
        <v>o'connor, c.e_2013</v>
      </c>
      <c r="B1825" s="445" t="str">
        <f>IFERROR(__xludf.DUMMYFUNCTION("""COMPUTED_VALUE"""),"https://drive.google.com/file/d/1eqYtN1LhEz2cMkVEZbYZlrYaNb2z-MuF/view?usp=drivesdk")</f>
        <v>https://drive.google.com/file/d/1eqYtN1LhEz2cMkVEZbYZlrYaNb2z-MuF/view?usp=drivesdk</v>
      </c>
      <c r="C1825" s="339" t="str">
        <f>IFERROR(__xludf.DUMMYFUNCTION("""COMPUTED_VALUE"""),"O'Connor, C.E_2013.pdf")</f>
        <v>O'Connor, C.E_2013.pdf</v>
      </c>
      <c r="D1825" s="159" t="str">
        <f>IFERROR(__xludf.DUMMYFUNCTION("""COMPUTED_VALUE"""),"application/pdf")</f>
        <v>application/pdf</v>
      </c>
    </row>
    <row r="1826">
      <c r="A1826" s="339" t="str">
        <f>IFERROR(__xludf.DUMMYFUNCTION("""COMPUTED_VALUE"""),"10.1061/(asce)co.1943-7862.0000732")</f>
        <v>10.1061/(asce)co.1943-7862.0000732</v>
      </c>
      <c r="B1826" s="445" t="str">
        <f>IFERROR(__xludf.DUMMYFUNCTION("""COMPUTED_VALUE"""),"https://drive.google.com/file/d/1Jg63xHFND2S5MVMDJVIMN8NaVkKscrMO/view?usp=drivesdk")</f>
        <v>https://drive.google.com/file/d/1Jg63xHFND2S5MVMDJVIMN8NaVkKscrMO/view?usp=drivesdk</v>
      </c>
      <c r="C1826" s="339" t="str">
        <f>IFERROR(__xludf.DUMMYFUNCTION("""COMPUTED_VALUE"""),"10.1061--(asce)co.1943-7862.0000732.pdf")</f>
        <v>10.1061--(asce)co.1943-7862.0000732.pdf</v>
      </c>
      <c r="D1826" s="159" t="str">
        <f>IFERROR(__xludf.DUMMYFUNCTION("""COMPUTED_VALUE"""),"application/pdf")</f>
        <v>application/pdf</v>
      </c>
    </row>
    <row r="1827">
      <c r="A1827" s="339" t="str">
        <f>IFERROR(__xludf.DUMMYFUNCTION("""COMPUTED_VALUE"""),"10.1061/(asce)co.1943-7862.0001285")</f>
        <v>10.1061/(asce)co.1943-7862.0001285</v>
      </c>
      <c r="B1827" s="445" t="str">
        <f>IFERROR(__xludf.DUMMYFUNCTION("""COMPUTED_VALUE"""),"https://drive.google.com/file/d/1xvzkyQny0zJdjHfNvm5NYahO_NxplmbJ/view?usp=drivesdk")</f>
        <v>https://drive.google.com/file/d/1xvzkyQny0zJdjHfNvm5NYahO_NxplmbJ/view?usp=drivesdk</v>
      </c>
      <c r="C1827" s="339" t="str">
        <f>IFERROR(__xludf.DUMMYFUNCTION("""COMPUTED_VALUE"""),"10.1061--(asce)co.1943-7862.0001285.pdf")</f>
        <v>10.1061--(asce)co.1943-7862.0001285.pdf</v>
      </c>
      <c r="D1827" s="159" t="str">
        <f>IFERROR(__xludf.DUMMYFUNCTION("""COMPUTED_VALUE"""),"application/pdf")</f>
        <v>application/pdf</v>
      </c>
    </row>
    <row r="1828">
      <c r="A1828" s="339" t="str">
        <f>IFERROR(__xludf.DUMMYFUNCTION("""COMPUTED_VALUE"""),"10.1037/aca0000031")</f>
        <v>10.1037/aca0000031</v>
      </c>
      <c r="B1828" s="445" t="str">
        <f>IFERROR(__xludf.DUMMYFUNCTION("""COMPUTED_VALUE"""),"https://drive.google.com/file/d/1LJBcuUB-1LSu2INXB7EcSdI9cC8lr-qR/view?usp=drivesdk")</f>
        <v>https://drive.google.com/file/d/1LJBcuUB-1LSu2INXB7EcSdI9cC8lr-qR/view?usp=drivesdk</v>
      </c>
      <c r="C1828" s="339" t="str">
        <f>IFERROR(__xludf.DUMMYFUNCTION("""COMPUTED_VALUE"""),"10.1037--aca0000031.pdf")</f>
        <v>10.1037--aca0000031.pdf</v>
      </c>
      <c r="D1828" s="159" t="str">
        <f>IFERROR(__xludf.DUMMYFUNCTION("""COMPUTED_VALUE"""),"application/pdf")</f>
        <v>application/pdf</v>
      </c>
    </row>
    <row r="1829">
      <c r="A1829" s="339" t="str">
        <f>IFERROR(__xludf.DUMMYFUNCTION("""COMPUTED_VALUE"""),"10.24839/2325-7342.jn26.4.422")</f>
        <v>10.24839/2325-7342.jn26.4.422</v>
      </c>
      <c r="B1829" s="445" t="str">
        <f>IFERROR(__xludf.DUMMYFUNCTION("""COMPUTED_VALUE"""),"https://drive.google.com/file/d/1eOwIQbIkrHsQvdXq-eYfL5pNKC_uHX0V/view?usp=drivesdk")</f>
        <v>https://drive.google.com/file/d/1eOwIQbIkrHsQvdXq-eYfL5pNKC_uHX0V/view?usp=drivesdk</v>
      </c>
      <c r="C1829" s="339" t="str">
        <f>IFERROR(__xludf.DUMMYFUNCTION("""COMPUTED_VALUE"""),"10.24839--2325-7342.jn26.4.422.pdf")</f>
        <v>10.24839--2325-7342.jn26.4.422.pdf</v>
      </c>
      <c r="D1829" s="159" t="str">
        <f>IFERROR(__xludf.DUMMYFUNCTION("""COMPUTED_VALUE"""),"application/pdf")</f>
        <v>application/pdf</v>
      </c>
    </row>
    <row r="1830">
      <c r="A1830" s="339" t="str">
        <f>IFERROR(__xludf.DUMMYFUNCTION("""COMPUTED_VALUE"""),"10.1111/j.1474-9726.2009.00533.x")</f>
        <v>10.1111/j.1474-9726.2009.00533.x</v>
      </c>
      <c r="B1830" s="445" t="str">
        <f>IFERROR(__xludf.DUMMYFUNCTION("""COMPUTED_VALUE"""),"https://drive.google.com/file/d/1VfmM9m7HvpDn73F1hw9uJNQ084gQeprY/view?usp=drivesdk")</f>
        <v>https://drive.google.com/file/d/1VfmM9m7HvpDn73F1hw9uJNQ084gQeprY/view?usp=drivesdk</v>
      </c>
      <c r="C1830" s="339" t="str">
        <f>IFERROR(__xludf.DUMMYFUNCTION("""COMPUTED_VALUE"""),"10.1111--j.1474-9726.2009.00533.x.pdf")</f>
        <v>10.1111--j.1474-9726.2009.00533.x.pdf</v>
      </c>
      <c r="D1830" s="159" t="str">
        <f>IFERROR(__xludf.DUMMYFUNCTION("""COMPUTED_VALUE"""),"application/pdf")</f>
        <v>application/pdf</v>
      </c>
    </row>
    <row r="1831">
      <c r="A1831" s="339" t="str">
        <f>IFERROR(__xludf.DUMMYFUNCTION("""COMPUTED_VALUE"""),"10.1101/2021.06.25.449984")</f>
        <v>10.1101/2021.06.25.449984</v>
      </c>
      <c r="B1831" s="445" t="str">
        <f>IFERROR(__xludf.DUMMYFUNCTION("""COMPUTED_VALUE"""),"https://drive.google.com/file/d/1OOgKX982Ng8tydvQqqxiG0UsYnabnRTG/view?usp=drivesdk")</f>
        <v>https://drive.google.com/file/d/1OOgKX982Ng8tydvQqqxiG0UsYnabnRTG/view?usp=drivesdk</v>
      </c>
      <c r="C1831" s="339" t="str">
        <f>IFERROR(__xludf.DUMMYFUNCTION("""COMPUTED_VALUE"""),"10.1101--2021.06.25.449984.pdf")</f>
        <v>10.1101--2021.06.25.449984.pdf</v>
      </c>
      <c r="D1831" s="159" t="str">
        <f>IFERROR(__xludf.DUMMYFUNCTION("""COMPUTED_VALUE"""),"application/pdf")</f>
        <v>application/pdf</v>
      </c>
    </row>
    <row r="1832">
      <c r="A1832" s="339" t="str">
        <f>IFERROR(__xludf.DUMMYFUNCTION("""COMPUTED_VALUE"""),"10.2307/2094300")</f>
        <v>10.2307/2094300</v>
      </c>
      <c r="B1832" s="445" t="str">
        <f>IFERROR(__xludf.DUMMYFUNCTION("""COMPUTED_VALUE"""),"https://drive.google.com/file/d/1v1ps4ZXyeuA6oh-dBBHP40l4Xpza5N7a/view?usp=drivesdk")</f>
        <v>https://drive.google.com/file/d/1v1ps4ZXyeuA6oh-dBBHP40l4Xpza5N7a/view?usp=drivesdk</v>
      </c>
      <c r="C1832" s="339" t="str">
        <f>IFERROR(__xludf.DUMMYFUNCTION("""COMPUTED_VALUE"""),"10.2307--2094300.pdf")</f>
        <v>10.2307--2094300.pdf</v>
      </c>
      <c r="D1832" s="159" t="str">
        <f>IFERROR(__xludf.DUMMYFUNCTION("""COMPUTED_VALUE"""),"application/pdf")</f>
        <v>application/pdf</v>
      </c>
    </row>
    <row r="1833">
      <c r="A1833" s="339" t="str">
        <f>IFERROR(__xludf.DUMMYFUNCTION("""COMPUTED_VALUE"""),"10.1177/2156869320949598")</f>
        <v>10.1177/2156869320949598</v>
      </c>
      <c r="B1833" s="445" t="str">
        <f>IFERROR(__xludf.DUMMYFUNCTION("""COMPUTED_VALUE"""),"https://drive.google.com/file/d/1nYfwtg7LOkwbDyblaFjUtaNGyJeVa2t6/view?usp=drivesdk")</f>
        <v>https://drive.google.com/file/d/1nYfwtg7LOkwbDyblaFjUtaNGyJeVa2t6/view?usp=drivesdk</v>
      </c>
      <c r="C1833" s="339" t="str">
        <f>IFERROR(__xludf.DUMMYFUNCTION("""COMPUTED_VALUE"""),"10.1177--2156869320949598.pdf")</f>
        <v>10.1177--2156869320949598.pdf</v>
      </c>
      <c r="D1833" s="159" t="str">
        <f>IFERROR(__xludf.DUMMYFUNCTION("""COMPUTED_VALUE"""),"application/pdf")</f>
        <v>application/pdf</v>
      </c>
    </row>
    <row r="1834">
      <c r="A1834" s="339" t="str">
        <f>IFERROR(__xludf.DUMMYFUNCTION("""COMPUTED_VALUE"""),"10.3758/s13414-017-1309-6")</f>
        <v>10.3758/s13414-017-1309-6</v>
      </c>
      <c r="B1834" s="445" t="str">
        <f>IFERROR(__xludf.DUMMYFUNCTION("""COMPUTED_VALUE"""),"https://drive.google.com/file/d/14DoZhXh5CpIYiGXFur--kAAsi_gMfaSY/view?usp=drivesdk")</f>
        <v>https://drive.google.com/file/d/14DoZhXh5CpIYiGXFur--kAAsi_gMfaSY/view?usp=drivesdk</v>
      </c>
      <c r="C1834" s="339" t="str">
        <f>IFERROR(__xludf.DUMMYFUNCTION("""COMPUTED_VALUE"""),"10.3758--s13414-017-1309-6.pdf")</f>
        <v>10.3758--s13414-017-1309-6.pdf</v>
      </c>
      <c r="D1834" s="159" t="str">
        <f>IFERROR(__xludf.DUMMYFUNCTION("""COMPUTED_VALUE"""),"application/pdf")</f>
        <v>application/pdf</v>
      </c>
    </row>
    <row r="1835">
      <c r="A1835" s="339" t="str">
        <f>IFERROR(__xludf.DUMMYFUNCTION("""COMPUTED_VALUE"""),"10.3758/s13414-023-02696-3")</f>
        <v>10.3758/s13414-023-02696-3</v>
      </c>
      <c r="B1835" s="445" t="str">
        <f>IFERROR(__xludf.DUMMYFUNCTION("""COMPUTED_VALUE"""),"https://drive.google.com/file/d/1jK0NLsKWV8FX2gaf2LEa7FXjL-RPXOAT/view?usp=drivesdk")</f>
        <v>https://drive.google.com/file/d/1jK0NLsKWV8FX2gaf2LEa7FXjL-RPXOAT/view?usp=drivesdk</v>
      </c>
      <c r="C1835" s="339" t="str">
        <f>IFERROR(__xludf.DUMMYFUNCTION("""COMPUTED_VALUE"""),"10.3758--s13414-023-02696-3.pdf")</f>
        <v>10.3758--s13414-023-02696-3.pdf</v>
      </c>
      <c r="D1835" s="159" t="str">
        <f>IFERROR(__xludf.DUMMYFUNCTION("""COMPUTED_VALUE"""),"application/pdf")</f>
        <v>application/pdf</v>
      </c>
    </row>
    <row r="1836">
      <c r="A1836" s="339" t="str">
        <f>IFERROR(__xludf.DUMMYFUNCTION("""COMPUTED_VALUE"""),"10.1002/dev.420050403")</f>
        <v>10.1002/dev.420050403</v>
      </c>
      <c r="B1836" s="445" t="str">
        <f>IFERROR(__xludf.DUMMYFUNCTION("""COMPUTED_VALUE"""),"https://drive.google.com/file/d/1Dqew43Y8v38P1r4gR5u_w-Qmg53Bl1k5/view?usp=drivesdk")</f>
        <v>https://drive.google.com/file/d/1Dqew43Y8v38P1r4gR5u_w-Qmg53Bl1k5/view?usp=drivesdk</v>
      </c>
      <c r="C1836" s="339" t="str">
        <f>IFERROR(__xludf.DUMMYFUNCTION("""COMPUTED_VALUE"""),"10.1002--dev.420050403.pdf")</f>
        <v>10.1002--dev.420050403.pdf</v>
      </c>
      <c r="D1836" s="159" t="str">
        <f>IFERROR(__xludf.DUMMYFUNCTION("""COMPUTED_VALUE"""),"application/pdf")</f>
        <v>application/pdf</v>
      </c>
    </row>
    <row r="1837">
      <c r="A1837" s="339" t="str">
        <f>IFERROR(__xludf.DUMMYFUNCTION("""COMPUTED_VALUE"""),"10.1177/0022022110381114")</f>
        <v>10.1177/0022022110381114</v>
      </c>
      <c r="B1837" s="445" t="str">
        <f>IFERROR(__xludf.DUMMYFUNCTION("""COMPUTED_VALUE"""),"https://drive.google.com/file/d/1E7eIQbprHd2AUw9X5A-g5L9xxHpTZ0P1/view?usp=drivesdk")</f>
        <v>https://drive.google.com/file/d/1E7eIQbprHd2AUw9X5A-g5L9xxHpTZ0P1/view?usp=drivesdk</v>
      </c>
      <c r="C1837" s="339" t="str">
        <f>IFERROR(__xludf.DUMMYFUNCTION("""COMPUTED_VALUE"""),"10.1177--0022022110381114.pdf")</f>
        <v>10.1177--0022022110381114.pdf</v>
      </c>
      <c r="D1837" s="159" t="str">
        <f>IFERROR(__xludf.DUMMYFUNCTION("""COMPUTED_VALUE"""),"application/pdf")</f>
        <v>application/pdf</v>
      </c>
    </row>
    <row r="1838">
      <c r="A1838" s="339" t="str">
        <f>IFERROR(__xludf.DUMMYFUNCTION("""COMPUTED_VALUE"""),"10.1111/j.2044-8295.1963.tb00861.x")</f>
        <v>10.1111/j.2044-8295.1963.tb00861.x</v>
      </c>
      <c r="B1838" s="445" t="str">
        <f>IFERROR(__xludf.DUMMYFUNCTION("""COMPUTED_VALUE"""),"https://drive.google.com/file/d/1UAZP-7EFUjtBAC0eRgBKAvSYCJnbPMpz/view?usp=drivesdk")</f>
        <v>https://drive.google.com/file/d/1UAZP-7EFUjtBAC0eRgBKAvSYCJnbPMpz/view?usp=drivesdk</v>
      </c>
      <c r="C1838" s="339" t="str">
        <f>IFERROR(__xludf.DUMMYFUNCTION("""COMPUTED_VALUE"""),"10.1111--j.2044-8295.1963.tb00861.x.pdf")</f>
        <v>10.1111--j.2044-8295.1963.tb00861.x.pdf</v>
      </c>
      <c r="D1838" s="159" t="str">
        <f>IFERROR(__xludf.DUMMYFUNCTION("""COMPUTED_VALUE"""),"application/pdf")</f>
        <v>application/pdf</v>
      </c>
    </row>
    <row r="1839">
      <c r="A1839" s="339" t="str">
        <f>IFERROR(__xludf.DUMMYFUNCTION("""COMPUTED_VALUE"""),"10.2466/pr0.1968.22.3.706")</f>
        <v>10.2466/pr0.1968.22.3.706</v>
      </c>
      <c r="B1839" s="445" t="str">
        <f>IFERROR(__xludf.DUMMYFUNCTION("""COMPUTED_VALUE"""),"https://drive.google.com/file/d/16uoJ6bzNUexR0mdpdovXBeytBzvN_136/view?usp=drivesdk")</f>
        <v>https://drive.google.com/file/d/16uoJ6bzNUexR0mdpdovXBeytBzvN_136/view?usp=drivesdk</v>
      </c>
      <c r="C1839" s="339" t="str">
        <f>IFERROR(__xludf.DUMMYFUNCTION("""COMPUTED_VALUE"""),"10.2466--pr0.1968.22.3.706.pdf")</f>
        <v>10.2466--pr0.1968.22.3.706.pdf</v>
      </c>
      <c r="D1839" s="159" t="str">
        <f>IFERROR(__xludf.DUMMYFUNCTION("""COMPUTED_VALUE"""),"application/pdf")</f>
        <v>application/pdf</v>
      </c>
    </row>
    <row r="1840">
      <c r="A1840" s="339" t="str">
        <f>IFERROR(__xludf.DUMMYFUNCTION("""COMPUTED_VALUE"""),"10.1038/ng0595-41")</f>
        <v>10.1038/ng0595-41</v>
      </c>
      <c r="B1840" s="445" t="str">
        <f>IFERROR(__xludf.DUMMYFUNCTION("""COMPUTED_VALUE"""),"https://drive.google.com/file/d/1eC9LWTi7YGd4cLPQx-GgSHAWh6LWXcw0/view?usp=drivesdk")</f>
        <v>https://drive.google.com/file/d/1eC9LWTi7YGd4cLPQx-GgSHAWh6LWXcw0/view?usp=drivesdk</v>
      </c>
      <c r="C1840" s="339" t="str">
        <f>IFERROR(__xludf.DUMMYFUNCTION("""COMPUTED_VALUE"""),"10.1038--ng0595-41.pdf")</f>
        <v>10.1038--ng0595-41.pdf</v>
      </c>
      <c r="D1840" s="159" t="str">
        <f>IFERROR(__xludf.DUMMYFUNCTION("""COMPUTED_VALUE"""),"application/pdf")</f>
        <v>application/pdf</v>
      </c>
    </row>
    <row r="1841">
      <c r="A1841" s="339" t="str">
        <f>IFERROR(__xludf.DUMMYFUNCTION("""COMPUTED_VALUE"""),"hwu et al_2000")</f>
        <v>hwu et al_2000</v>
      </c>
      <c r="B1841" s="445" t="str">
        <f>IFERROR(__xludf.DUMMYFUNCTION("""COMPUTED_VALUE"""),"https://drive.google.com/file/d/1MXWB81Rob2UjJLFBo2t7YyrxJqF6xc7k/view?usp=drivesdk")</f>
        <v>https://drive.google.com/file/d/1MXWB81Rob2UjJLFBo2t7YyrxJqF6xc7k/view?usp=drivesdk</v>
      </c>
      <c r="C1841" s="339" t="str">
        <f>IFERROR(__xludf.DUMMYFUNCTION("""COMPUTED_VALUE"""),"hwu et al_2000.pdf")</f>
        <v>hwu et al_2000.pdf</v>
      </c>
      <c r="D1841" s="159" t="str">
        <f>IFERROR(__xludf.DUMMYFUNCTION("""COMPUTED_VALUE"""),"application/pdf")</f>
        <v>application/pdf</v>
      </c>
    </row>
    <row r="1842">
      <c r="A1842" s="339" t="str">
        <f>IFERROR(__xludf.DUMMYFUNCTION("""COMPUTED_VALUE"""),"10.1111/j.2044-8333.1998.tb00352.x")</f>
        <v>10.1111/j.2044-8333.1998.tb00352.x</v>
      </c>
      <c r="B1842" s="445" t="str">
        <f>IFERROR(__xludf.DUMMYFUNCTION("""COMPUTED_VALUE"""),"https://drive.google.com/file/d/1k662Z55nvL6fVuQppJtmXmZEAg6B8OlN/view?usp=drivesdk")</f>
        <v>https://drive.google.com/file/d/1k662Z55nvL6fVuQppJtmXmZEAg6B8OlN/view?usp=drivesdk</v>
      </c>
      <c r="C1842" s="339" t="str">
        <f>IFERROR(__xludf.DUMMYFUNCTION("""COMPUTED_VALUE"""),"10.1111--j.2044-8333.1998.tb00352.x.pdf")</f>
        <v>10.1111--j.2044-8333.1998.tb00352.x.pdf</v>
      </c>
      <c r="D1842" s="159" t="str">
        <f>IFERROR(__xludf.DUMMYFUNCTION("""COMPUTED_VALUE"""),"application/pdf")</f>
        <v>application/pdf</v>
      </c>
    </row>
    <row r="1843">
      <c r="A1843" s="339" t="str">
        <f>IFERROR(__xludf.DUMMYFUNCTION("""COMPUTED_VALUE"""),"10.1080/1068316031009634287")</f>
        <v>10.1080/1068316031009634287</v>
      </c>
      <c r="B1843" s="445" t="str">
        <f>IFERROR(__xludf.DUMMYFUNCTION("""COMPUTED_VALUE"""),"https://drive.google.com/file/d/1JY6wiPwPcUGEqQWiVBUp46lcizQn8Xp6/view?usp=drivesdk")</f>
        <v>https://drive.google.com/file/d/1JY6wiPwPcUGEqQWiVBUp46lcizQn8Xp6/view?usp=drivesdk</v>
      </c>
      <c r="C1843" s="339" t="str">
        <f>IFERROR(__xludf.DUMMYFUNCTION("""COMPUTED_VALUE"""),"10.1080--1068316031009634287.pdf")</f>
        <v>10.1080--1068316031009634287.pdf</v>
      </c>
      <c r="D1843" s="159" t="str">
        <f>IFERROR(__xludf.DUMMYFUNCTION("""COMPUTED_VALUE"""),"application/pdf")</f>
        <v>application/pdf</v>
      </c>
    </row>
    <row r="1844">
      <c r="A1844" s="339" t="str">
        <f>IFERROR(__xludf.DUMMYFUNCTION("""COMPUTED_VALUE"""),"10.1073/pnas.78.1.382")</f>
        <v>10.1073/pnas.78.1.382</v>
      </c>
      <c r="B1844" s="445" t="str">
        <f>IFERROR(__xludf.DUMMYFUNCTION("""COMPUTED_VALUE"""),"https://drive.google.com/file/d/1l4Fyzl8ODP-J6QNdf6BMZKEzjr7T1jrc/view?usp=drivesdk")</f>
        <v>https://drive.google.com/file/d/1l4Fyzl8ODP-J6QNdf6BMZKEzjr7T1jrc/view?usp=drivesdk</v>
      </c>
      <c r="C1844" s="339" t="str">
        <f>IFERROR(__xludf.DUMMYFUNCTION("""COMPUTED_VALUE"""),"10.1073--pnas.78.1.382.pdf")</f>
        <v>10.1073--pnas.78.1.382.pdf</v>
      </c>
      <c r="D1844" s="159" t="str">
        <f>IFERROR(__xludf.DUMMYFUNCTION("""COMPUTED_VALUE"""),"application/pdf")</f>
        <v>application/pdf</v>
      </c>
    </row>
    <row r="1845">
      <c r="A1845" s="339" t="str">
        <f>IFERROR(__xludf.DUMMYFUNCTION("""COMPUTED_VALUE"""),"10.1007/bf02298289")</f>
        <v>10.1007/bf02298289</v>
      </c>
      <c r="B1845" s="445" t="str">
        <f>IFERROR(__xludf.DUMMYFUNCTION("""COMPUTED_VALUE"""),"https://drive.google.com/file/d/1sRIqgi7llJfc0bXcAYeY1xU6h8cjQM7L/view?usp=drivesdk")</f>
        <v>https://drive.google.com/file/d/1sRIqgi7llJfc0bXcAYeY1xU6h8cjQM7L/view?usp=drivesdk</v>
      </c>
      <c r="C1845" s="339" t="str">
        <f>IFERROR(__xludf.DUMMYFUNCTION("""COMPUTED_VALUE"""),"10.1007--bf02298289.pdf")</f>
        <v>10.1007--bf02298289.pdf</v>
      </c>
      <c r="D1845" s="159" t="str">
        <f>IFERROR(__xludf.DUMMYFUNCTION("""COMPUTED_VALUE"""),"application/pdf")</f>
        <v>application/pdf</v>
      </c>
    </row>
    <row r="1846">
      <c r="A1846" s="339" t="str">
        <f>IFERROR(__xludf.DUMMYFUNCTION("""COMPUTED_VALUE"""),"10.1111/pai.14044")</f>
        <v>10.1111/pai.14044</v>
      </c>
      <c r="B1846" s="445" t="str">
        <f>IFERROR(__xludf.DUMMYFUNCTION("""COMPUTED_VALUE"""),"https://drive.google.com/file/d/10-gsNwK6KvqX9tOCflNeUW-zWnKtl0JV/view?usp=drivesdk")</f>
        <v>https://drive.google.com/file/d/10-gsNwK6KvqX9tOCflNeUW-zWnKtl0JV/view?usp=drivesdk</v>
      </c>
      <c r="C1846" s="339" t="str">
        <f>IFERROR(__xludf.DUMMYFUNCTION("""COMPUTED_VALUE"""),"10.1111--pai.14044.pdf")</f>
        <v>10.1111--pai.14044.pdf</v>
      </c>
      <c r="D1846" s="159" t="str">
        <f>IFERROR(__xludf.DUMMYFUNCTION("""COMPUTED_VALUE"""),"application/pdf")</f>
        <v>application/pdf</v>
      </c>
    </row>
    <row r="1847">
      <c r="A1847" s="339" t="str">
        <f>IFERROR(__xludf.DUMMYFUNCTION("""COMPUTED_VALUE"""),"10.1016/j.appet.2011.12.023")</f>
        <v>10.1016/j.appet.2011.12.023</v>
      </c>
      <c r="B1847" s="445" t="str">
        <f>IFERROR(__xludf.DUMMYFUNCTION("""COMPUTED_VALUE"""),"https://drive.google.com/file/d/1zwo0Z9c95_nMMyR8_YF91_12LgVySkVG/view?usp=drivesdk")</f>
        <v>https://drive.google.com/file/d/1zwo0Z9c95_nMMyR8_YF91_12LgVySkVG/view?usp=drivesdk</v>
      </c>
      <c r="C1847" s="339" t="str">
        <f>IFERROR(__xludf.DUMMYFUNCTION("""COMPUTED_VALUE"""),"10.1016--j.appet.2011.12.023.pdf")</f>
        <v>10.1016--j.appet.2011.12.023.pdf</v>
      </c>
      <c r="D1847" s="159" t="str">
        <f>IFERROR(__xludf.DUMMYFUNCTION("""COMPUTED_VALUE"""),"application/pdf")</f>
        <v>application/pdf</v>
      </c>
    </row>
    <row r="1848">
      <c r="A1848" s="339" t="str">
        <f>IFERROR(__xludf.DUMMYFUNCTION("""COMPUTED_VALUE"""),"10.1016/j.appet.2021.105619")</f>
        <v>10.1016/j.appet.2021.105619</v>
      </c>
      <c r="B1848" s="445" t="str">
        <f>IFERROR(__xludf.DUMMYFUNCTION("""COMPUTED_VALUE"""),"https://drive.google.com/file/d/1QuBW1YTzJmF7ZZ5KLsu8m14qTEgfOrf4/view?usp=drivesdk")</f>
        <v>https://drive.google.com/file/d/1QuBW1YTzJmF7ZZ5KLsu8m14qTEgfOrf4/view?usp=drivesdk</v>
      </c>
      <c r="C1848" s="339" t="str">
        <f>IFERROR(__xludf.DUMMYFUNCTION("""COMPUTED_VALUE"""),"10.1016--j.appet.2021.105619.pdf")</f>
        <v>10.1016--j.appet.2021.105619.pdf</v>
      </c>
      <c r="D1848" s="159" t="str">
        <f>IFERROR(__xludf.DUMMYFUNCTION("""COMPUTED_VALUE"""),"application/pdf")</f>
        <v>application/pdf</v>
      </c>
    </row>
    <row r="1849">
      <c r="A1849" s="339" t="str">
        <f>IFERROR(__xludf.DUMMYFUNCTION("""COMPUTED_VALUE"""),"10.1037/h0074049")</f>
        <v>10.1037/h0074049</v>
      </c>
      <c r="B1849" s="445" t="str">
        <f>IFERROR(__xludf.DUMMYFUNCTION("""COMPUTED_VALUE"""),"https://drive.google.com/file/d/1jLPe3BMjMoGusQT0KkiegKkiGsIIVazO/view?usp=drivesdk")</f>
        <v>https://drive.google.com/file/d/1jLPe3BMjMoGusQT0KkiegKkiGsIIVazO/view?usp=drivesdk</v>
      </c>
      <c r="C1849" s="339" t="str">
        <f>IFERROR(__xludf.DUMMYFUNCTION("""COMPUTED_VALUE"""),"10.1037--h0074049.pdf")</f>
        <v>10.1037--h0074049.pdf</v>
      </c>
      <c r="D1849" s="159" t="str">
        <f>IFERROR(__xludf.DUMMYFUNCTION("""COMPUTED_VALUE"""),"application/pdf")</f>
        <v>application/pdf</v>
      </c>
    </row>
    <row r="1850">
      <c r="A1850" s="339" t="str">
        <f>IFERROR(__xludf.DUMMYFUNCTION("""COMPUTED_VALUE"""),"10.1080/02732173.1991.9981978")</f>
        <v>10.1080/02732173.1991.9981978</v>
      </c>
      <c r="B1850" s="445" t="str">
        <f>IFERROR(__xludf.DUMMYFUNCTION("""COMPUTED_VALUE"""),"https://drive.google.com/file/d/13-aZvvhwSjgBjdZB9gIwxJT4-D-JgM4Y/view?usp=drivesdk")</f>
        <v>https://drive.google.com/file/d/13-aZvvhwSjgBjdZB9gIwxJT4-D-JgM4Y/view?usp=drivesdk</v>
      </c>
      <c r="C1850" s="339" t="str">
        <f>IFERROR(__xludf.DUMMYFUNCTION("""COMPUTED_VALUE"""),"10.1080--02732173.1991.9981978.pdf.pdf")</f>
        <v>10.1080--02732173.1991.9981978.pdf.pdf</v>
      </c>
      <c r="D1850" s="159" t="str">
        <f>IFERROR(__xludf.DUMMYFUNCTION("""COMPUTED_VALUE"""),"application/pdf")</f>
        <v>application/pdf</v>
      </c>
    </row>
    <row r="1851">
      <c r="A1851" s="339" t="str">
        <f>IFERROR(__xludf.DUMMYFUNCTION("""COMPUTED_VALUE"""),"10.1068/ic321")</f>
        <v>10.1068/ic321</v>
      </c>
      <c r="B1851" s="445" t="str">
        <f>IFERROR(__xludf.DUMMYFUNCTION("""COMPUTED_VALUE"""),"https://drive.google.com/file/d/1qDn01UYSY7IzWnRuxG_gHrcvE620ctpS/view?usp=drivesdk")</f>
        <v>https://drive.google.com/file/d/1qDn01UYSY7IzWnRuxG_gHrcvE620ctpS/view?usp=drivesdk</v>
      </c>
      <c r="C1851" s="339" t="str">
        <f>IFERROR(__xludf.DUMMYFUNCTION("""COMPUTED_VALUE"""),"10.1068--ic321.pdf")</f>
        <v>10.1068--ic321.pdf</v>
      </c>
      <c r="D1851" s="159" t="str">
        <f>IFERROR(__xludf.DUMMYFUNCTION("""COMPUTED_VALUE"""),"application/pdf")</f>
        <v>application/pdf</v>
      </c>
    </row>
    <row r="1852">
      <c r="A1852" s="339" t="str">
        <f>IFERROR(__xludf.DUMMYFUNCTION("""COMPUTED_VALUE"""),"10.1007/s11577-001-0040-3")</f>
        <v>10.1007/s11577-001-0040-3</v>
      </c>
      <c r="B1852" s="445" t="str">
        <f>IFERROR(__xludf.DUMMYFUNCTION("""COMPUTED_VALUE"""),"https://drive.google.com/file/d/11weNHLGnxj4KDY_B4C5ruXp3HlO5mWfo/view?usp=drivesdk")</f>
        <v>https://drive.google.com/file/d/11weNHLGnxj4KDY_B4C5ruXp3HlO5mWfo/view?usp=drivesdk</v>
      </c>
      <c r="C1852" s="339" t="str">
        <f>IFERROR(__xludf.DUMMYFUNCTION("""COMPUTED_VALUE"""),"10.1007--s11577-001-0040-3.pdf")</f>
        <v>10.1007--s11577-001-0040-3.pdf</v>
      </c>
      <c r="D1852" s="159" t="str">
        <f>IFERROR(__xludf.DUMMYFUNCTION("""COMPUTED_VALUE"""),"application/pdf")</f>
        <v>application/pdf</v>
      </c>
    </row>
    <row r="1853">
      <c r="A1853" s="339" t="str">
        <f>IFERROR(__xludf.DUMMYFUNCTION("""COMPUTED_VALUE"""),"10.7892/boris.69488")</f>
        <v>10.7892/boris.69488</v>
      </c>
      <c r="B1853" s="445" t="str">
        <f>IFERROR(__xludf.DUMMYFUNCTION("""COMPUTED_VALUE"""),"https://drive.google.com/file/d/1_iZrTUyZXaycbPsVfM-74FyaJ3MB4oLV/view?usp=drivesdk")</f>
        <v>https://drive.google.com/file/d/1_iZrTUyZXaycbPsVfM-74FyaJ3MB4oLV/view?usp=drivesdk</v>
      </c>
      <c r="C1853" s="339" t="str">
        <f>IFERROR(__xludf.DUMMYFUNCTION("""COMPUTED_VALUE"""),"10.7892--boris.69488.pdf")</f>
        <v>10.7892--boris.69488.pdf</v>
      </c>
      <c r="D1853" s="159" t="str">
        <f>IFERROR(__xludf.DUMMYFUNCTION("""COMPUTED_VALUE"""),"application/pdf")</f>
        <v>application/pdf</v>
      </c>
    </row>
    <row r="1854">
      <c r="A1854" s="339" t="str">
        <f>IFERROR(__xludf.DUMMYFUNCTION("""COMPUTED_VALUE"""),"10.1109/vlhcc.2011.6070387")</f>
        <v>10.1109/vlhcc.2011.6070387</v>
      </c>
      <c r="B1854" s="445" t="str">
        <f>IFERROR(__xludf.DUMMYFUNCTION("""COMPUTED_VALUE"""),"https://drive.google.com/file/d/148xaPdnZbWevywVmo1SOyFW7IsxxfEnq/view?usp=drivesdk")</f>
        <v>https://drive.google.com/file/d/148xaPdnZbWevywVmo1SOyFW7IsxxfEnq/view?usp=drivesdk</v>
      </c>
      <c r="C1854" s="339" t="str">
        <f>IFERROR(__xludf.DUMMYFUNCTION("""COMPUTED_VALUE"""),"10.1109--vlhcc.2011.6070387.pdf")</f>
        <v>10.1109--vlhcc.2011.6070387.pdf</v>
      </c>
      <c r="D1854" s="159" t="str">
        <f>IFERROR(__xludf.DUMMYFUNCTION("""COMPUTED_VALUE"""),"application/pdf")</f>
        <v>application/pdf</v>
      </c>
    </row>
    <row r="1855">
      <c r="A1855" s="339" t="str">
        <f>IFERROR(__xludf.DUMMYFUNCTION("""COMPUTED_VALUE"""),"10.1109/icsme.2016.84")</f>
        <v>10.1109/icsme.2016.84</v>
      </c>
      <c r="B1855" s="445" t="str">
        <f>IFERROR(__xludf.DUMMYFUNCTION("""COMPUTED_VALUE"""),"https://drive.google.com/file/d/1N4P_NBhEekeEeel35srG3dNXuEVg7MVW/view?usp=drivesdk")</f>
        <v>https://drive.google.com/file/d/1N4P_NBhEekeEeel35srG3dNXuEVg7MVW/view?usp=drivesdk</v>
      </c>
      <c r="C1855" s="339" t="str">
        <f>IFERROR(__xludf.DUMMYFUNCTION("""COMPUTED_VALUE"""),"10.1109--icsme.2016.84.pdf")</f>
        <v>10.1109--icsme.2016.84.pdf</v>
      </c>
      <c r="D1855" s="159" t="str">
        <f>IFERROR(__xludf.DUMMYFUNCTION("""COMPUTED_VALUE"""),"application/pdf")</f>
        <v>application/pdf</v>
      </c>
    </row>
    <row r="1856">
      <c r="A1856" s="339" t="str">
        <f>IFERROR(__xludf.DUMMYFUNCTION("""COMPUTED_VALUE"""),"10.1002/mds.29077")</f>
        <v>10.1002/mds.29077</v>
      </c>
      <c r="B1856" s="445" t="str">
        <f>IFERROR(__xludf.DUMMYFUNCTION("""COMPUTED_VALUE"""),"https://drive.google.com/file/d/1r7_BjSj4NLXFSWuoZF1QDn_Pt_2F0sIX/view?usp=drivesdk")</f>
        <v>https://drive.google.com/file/d/1r7_BjSj4NLXFSWuoZF1QDn_Pt_2F0sIX/view?usp=drivesdk</v>
      </c>
      <c r="C1856" s="339" t="str">
        <f>IFERROR(__xludf.DUMMYFUNCTION("""COMPUTED_VALUE"""),"10.1002--mds.29077.pdf")</f>
        <v>10.1002--mds.29077.pdf</v>
      </c>
      <c r="D1856" s="159" t="str">
        <f>IFERROR(__xludf.DUMMYFUNCTION("""COMPUTED_VALUE"""),"application/pdf")</f>
        <v>application/pdf</v>
      </c>
    </row>
    <row r="1857">
      <c r="A1857" s="339" t="str">
        <f>IFERROR(__xludf.DUMMYFUNCTION("""COMPUTED_VALUE"""),"10.1002/mds.29534")</f>
        <v>10.1002/mds.29534</v>
      </c>
      <c r="B1857" s="445" t="str">
        <f>IFERROR(__xludf.DUMMYFUNCTION("""COMPUTED_VALUE"""),"https://drive.google.com/file/d/1yvH2WRaGuCEiDaRRoX5rvYKm_W_kFR7a/view?usp=drivesdk")</f>
        <v>https://drive.google.com/file/d/1yvH2WRaGuCEiDaRRoX5rvYKm_W_kFR7a/view?usp=drivesdk</v>
      </c>
      <c r="C1857" s="339" t="str">
        <f>IFERROR(__xludf.DUMMYFUNCTION("""COMPUTED_VALUE"""),"10.1002--mds.29534.pdf")</f>
        <v>10.1002--mds.29534.pdf</v>
      </c>
      <c r="D1857" s="159" t="str">
        <f>IFERROR(__xludf.DUMMYFUNCTION("""COMPUTED_VALUE"""),"application/pdf")</f>
        <v>application/pdf</v>
      </c>
    </row>
    <row r="1858">
      <c r="A1858" s="339" t="str">
        <f>IFERROR(__xludf.DUMMYFUNCTION("""COMPUTED_VALUE"""),"10.1080/07418820200095361")</f>
        <v>10.1080/07418820200095361</v>
      </c>
      <c r="B1858" s="445" t="str">
        <f>IFERROR(__xludf.DUMMYFUNCTION("""COMPUTED_VALUE"""),"https://drive.google.com/file/d/1MOJGhbdJjCgBlRPFc3R0unH7ZXYqk_S2/view?usp=drivesdk")</f>
        <v>https://drive.google.com/file/d/1MOJGhbdJjCgBlRPFc3R0unH7ZXYqk_S2/view?usp=drivesdk</v>
      </c>
      <c r="C1858" s="339" t="str">
        <f>IFERROR(__xludf.DUMMYFUNCTION("""COMPUTED_VALUE"""),"10.1080--07418820200095361.pdf.pdf")</f>
        <v>10.1080--07418820200095361.pdf.pdf</v>
      </c>
      <c r="D1858" s="159" t="str">
        <f>IFERROR(__xludf.DUMMYFUNCTION("""COMPUTED_VALUE"""),"application/pdf")</f>
        <v>application/pdf</v>
      </c>
    </row>
    <row r="1859">
      <c r="A1859" s="339" t="str">
        <f>IFERROR(__xludf.DUMMYFUNCTION("""COMPUTED_VALUE"""),"10.1080/10511253.2017.1373135")</f>
        <v>10.1080/10511253.2017.1373135</v>
      </c>
      <c r="B1859" s="445" t="str">
        <f>IFERROR(__xludf.DUMMYFUNCTION("""COMPUTED_VALUE"""),"https://drive.google.com/file/d/1h5w_3Nl7GIiq_vm_TbDZdgHnl_-wIl_M/view?usp=drivesdk")</f>
        <v>https://drive.google.com/file/d/1h5w_3Nl7GIiq_vm_TbDZdgHnl_-wIl_M/view?usp=drivesdk</v>
      </c>
      <c r="C1859" s="339" t="str">
        <f>IFERROR(__xludf.DUMMYFUNCTION("""COMPUTED_VALUE"""),"10.1080--10511253.2017.1373135.pdf")</f>
        <v>10.1080--10511253.2017.1373135.pdf</v>
      </c>
      <c r="D1859" s="159" t="str">
        <f>IFERROR(__xludf.DUMMYFUNCTION("""COMPUTED_VALUE"""),"application/pdf")</f>
        <v>application/pdf</v>
      </c>
    </row>
    <row r="1860">
      <c r="A1860" s="339" t="str">
        <f>IFERROR(__xludf.DUMMYFUNCTION("""COMPUTED_VALUE"""),"10.1111/exd.12809")</f>
        <v>10.1111/exd.12809</v>
      </c>
      <c r="B1860" s="445" t="str">
        <f>IFERROR(__xludf.DUMMYFUNCTION("""COMPUTED_VALUE"""),"https://drive.google.com/file/d/1fg9zcwScO67WBgZXvC6XlR_kL7yzXpXy/view?usp=drivesdk")</f>
        <v>https://drive.google.com/file/d/1fg9zcwScO67WBgZXvC6XlR_kL7yzXpXy/view?usp=drivesdk</v>
      </c>
      <c r="C1860" s="339" t="str">
        <f>IFERROR(__xludf.DUMMYFUNCTION("""COMPUTED_VALUE"""),"10.1111--exd.12809.pdf")</f>
        <v>10.1111--exd.12809.pdf</v>
      </c>
      <c r="D1860" s="159" t="str">
        <f>IFERROR(__xludf.DUMMYFUNCTION("""COMPUTED_VALUE"""),"application/pdf")</f>
        <v>application/pdf</v>
      </c>
    </row>
    <row r="1861">
      <c r="A1861" s="339" t="str">
        <f>IFERROR(__xludf.DUMMYFUNCTION("""COMPUTED_VALUE"""),"10.1037/a0012840")</f>
        <v>10.1037/a0012840</v>
      </c>
      <c r="B1861" s="445" t="str">
        <f>IFERROR(__xludf.DUMMYFUNCTION("""COMPUTED_VALUE"""),"https://drive.google.com/file/d/1q2gVwa1rOQ8WWfdq3nW3rbh2NM0UA3nR/view?usp=drivesdk")</f>
        <v>https://drive.google.com/file/d/1q2gVwa1rOQ8WWfdq3nW3rbh2NM0UA3nR/view?usp=drivesdk</v>
      </c>
      <c r="C1861" s="339" t="str">
        <f>IFERROR(__xludf.DUMMYFUNCTION("""COMPUTED_VALUE"""),"10.1037--a0012840.pdf")</f>
        <v>10.1037--a0012840.pdf</v>
      </c>
      <c r="D1861" s="159" t="str">
        <f>IFERROR(__xludf.DUMMYFUNCTION("""COMPUTED_VALUE"""),"application/pdf")</f>
        <v>application/pdf</v>
      </c>
    </row>
    <row r="1862">
      <c r="A1862" s="339" t="str">
        <f>IFERROR(__xludf.DUMMYFUNCTION("""COMPUTED_VALUE"""),"10.1002/pits.22027")</f>
        <v>10.1002/pits.22027</v>
      </c>
      <c r="B1862" s="445" t="str">
        <f>IFERROR(__xludf.DUMMYFUNCTION("""COMPUTED_VALUE"""),"https://drive.google.com/file/d/1DsODP8YLjFDZ-RPgM2IJvC2B0oBq4PLX/view?usp=drivesdk")</f>
        <v>https://drive.google.com/file/d/1DsODP8YLjFDZ-RPgM2IJvC2B0oBq4PLX/view?usp=drivesdk</v>
      </c>
      <c r="C1862" s="339" t="str">
        <f>IFERROR(__xludf.DUMMYFUNCTION("""COMPUTED_VALUE"""),"10.1002--pits.22027.pdf")</f>
        <v>10.1002--pits.22027.pdf</v>
      </c>
      <c r="D1862" s="159" t="str">
        <f>IFERROR(__xludf.DUMMYFUNCTION("""COMPUTED_VALUE"""),"application/pdf")</f>
        <v>application/pdf</v>
      </c>
    </row>
    <row r="1863">
      <c r="A1863" s="339" t="str">
        <f>IFERROR(__xludf.DUMMYFUNCTION("""COMPUTED_VALUE"""),"10.1038/s41398-019-0439-0")</f>
        <v>10.1038/s41398-019-0439-0</v>
      </c>
      <c r="B1863" s="445" t="str">
        <f>IFERROR(__xludf.DUMMYFUNCTION("""COMPUTED_VALUE"""),"https://drive.google.com/file/d/17ZEzUuXHixyudMb6cJV15e7wnM4cCqCh/view?usp=drivesdk")</f>
        <v>https://drive.google.com/file/d/17ZEzUuXHixyudMb6cJV15e7wnM4cCqCh/view?usp=drivesdk</v>
      </c>
      <c r="C1863" s="339" t="str">
        <f>IFERROR(__xludf.DUMMYFUNCTION("""COMPUTED_VALUE"""),"10.1038--s41398-019-0439-0.pdf")</f>
        <v>10.1038--s41398-019-0439-0.pdf</v>
      </c>
      <c r="D1863" s="159" t="str">
        <f>IFERROR(__xludf.DUMMYFUNCTION("""COMPUTED_VALUE"""),"application/pdf")</f>
        <v>application/pdf</v>
      </c>
    </row>
    <row r="1864">
      <c r="A1864" s="339" t="str">
        <f>IFERROR(__xludf.DUMMYFUNCTION("""COMPUTED_VALUE"""),"10.1101/2021.06.17.21258764")</f>
        <v>10.1101/2021.06.17.21258764</v>
      </c>
      <c r="B1864" s="445" t="str">
        <f>IFERROR(__xludf.DUMMYFUNCTION("""COMPUTED_VALUE"""),"https://drive.google.com/file/d/1lsnR2vyytLKoStGhel4Zy_F4FB1RdvbN/view?usp=drivesdk")</f>
        <v>https://drive.google.com/file/d/1lsnR2vyytLKoStGhel4Zy_F4FB1RdvbN/view?usp=drivesdk</v>
      </c>
      <c r="C1864" s="339" t="str">
        <f>IFERROR(__xludf.DUMMYFUNCTION("""COMPUTED_VALUE"""),"10.1101--2021.06.17.21258764.pdf")</f>
        <v>10.1101--2021.06.17.21258764.pdf</v>
      </c>
      <c r="D1864" s="159" t="str">
        <f>IFERROR(__xludf.DUMMYFUNCTION("""COMPUTED_VALUE"""),"application/pdf")</f>
        <v>application/pdf</v>
      </c>
    </row>
    <row r="1865">
      <c r="A1865" s="339" t="str">
        <f>IFERROR(__xludf.DUMMYFUNCTION("""COMPUTED_VALUE"""),"10.1002/da.20389")</f>
        <v>10.1002/da.20389</v>
      </c>
      <c r="B1865" s="445" t="str">
        <f>IFERROR(__xludf.DUMMYFUNCTION("""COMPUTED_VALUE"""),"https://drive.google.com/file/d/1nVu17ycBo3lJ5PEXQ4Yf8Y0H6__hEqHF/view?usp=drivesdk")</f>
        <v>https://drive.google.com/file/d/1nVu17ycBo3lJ5PEXQ4Yf8Y0H6__hEqHF/view?usp=drivesdk</v>
      </c>
      <c r="C1865" s="339" t="str">
        <f>IFERROR(__xludf.DUMMYFUNCTION("""COMPUTED_VALUE"""),"10.1002--da.20389.pdf")</f>
        <v>10.1002--da.20389.pdf</v>
      </c>
      <c r="D1865" s="159" t="str">
        <f>IFERROR(__xludf.DUMMYFUNCTION("""COMPUTED_VALUE"""),"application/pdf")</f>
        <v>application/pdf</v>
      </c>
    </row>
    <row r="1866">
      <c r="A1866" s="339" t="str">
        <f>IFERROR(__xludf.DUMMYFUNCTION("""COMPUTED_VALUE"""),"10.1177/1077559513483002")</f>
        <v>10.1177/1077559513483002</v>
      </c>
      <c r="B1866" s="445" t="str">
        <f>IFERROR(__xludf.DUMMYFUNCTION("""COMPUTED_VALUE"""),"https://drive.google.com/file/d/1GhKZHeRd47v5xBxhTavq5L9gXUNYt8aA/view?usp=drivesdk")</f>
        <v>https://drive.google.com/file/d/1GhKZHeRd47v5xBxhTavq5L9gXUNYt8aA/view?usp=drivesdk</v>
      </c>
      <c r="C1866" s="339" t="str">
        <f>IFERROR(__xludf.DUMMYFUNCTION("""COMPUTED_VALUE"""),"10.1177--1077559513483002.pdf")</f>
        <v>10.1177--1077559513483002.pdf</v>
      </c>
      <c r="D1866" s="159" t="str">
        <f>IFERROR(__xludf.DUMMYFUNCTION("""COMPUTED_VALUE"""),"application/pdf")</f>
        <v>application/pdf</v>
      </c>
    </row>
    <row r="1867">
      <c r="A1867" s="339" t="str">
        <f>IFERROR(__xludf.DUMMYFUNCTION("""COMPUTED_VALUE"""),"10.1080/10926771.2022.2038753")</f>
        <v>10.1080/10926771.2022.2038753</v>
      </c>
      <c r="B1867" s="445" t="str">
        <f>IFERROR(__xludf.DUMMYFUNCTION("""COMPUTED_VALUE"""),"https://drive.google.com/file/d/1qD4WA9U-UCZHa3o07wjyZ9l8fP7hm9lA/view?usp=drivesdk")</f>
        <v>https://drive.google.com/file/d/1qD4WA9U-UCZHa3o07wjyZ9l8fP7hm9lA/view?usp=drivesdk</v>
      </c>
      <c r="C1867" s="339" t="str">
        <f>IFERROR(__xludf.DUMMYFUNCTION("""COMPUTED_VALUE"""),"10.1080--10926771.2022.2038753.pdf")</f>
        <v>10.1080--10926771.2022.2038753.pdf</v>
      </c>
      <c r="D1867" s="159" t="str">
        <f>IFERROR(__xludf.DUMMYFUNCTION("""COMPUTED_VALUE"""),"application/pdf")</f>
        <v>application/pdf</v>
      </c>
    </row>
    <row r="1868">
      <c r="A1868" s="339" t="str">
        <f>IFERROR(__xludf.DUMMYFUNCTION("""COMPUTED_VALUE"""),"10.3389/fpsyt.2012.00045")</f>
        <v>10.3389/fpsyt.2012.00045</v>
      </c>
      <c r="B1868" s="445" t="str">
        <f>IFERROR(__xludf.DUMMYFUNCTION("""COMPUTED_VALUE"""),"https://drive.google.com/file/d/1aRrIEYkTBN8n1Sgn3O-yporbXSHz9WO9/view?usp=drivesdk")</f>
        <v>https://drive.google.com/file/d/1aRrIEYkTBN8n1Sgn3O-yporbXSHz9WO9/view?usp=drivesdk</v>
      </c>
      <c r="C1868" s="339" t="str">
        <f>IFERROR(__xludf.DUMMYFUNCTION("""COMPUTED_VALUE"""),"10.3389--fpsyt.2012.00045.pdf")</f>
        <v>10.3389--fpsyt.2012.00045.pdf</v>
      </c>
      <c r="D1868" s="159" t="str">
        <f>IFERROR(__xludf.DUMMYFUNCTION("""COMPUTED_VALUE"""),"application/pdf")</f>
        <v>application/pdf</v>
      </c>
    </row>
    <row r="1869">
      <c r="A1869" s="339" t="str">
        <f>IFERROR(__xludf.DUMMYFUNCTION("""COMPUTED_VALUE"""),"10.1016/s0749- 596x(02)00515-6")</f>
        <v>10.1016/s0749- 596x(02)00515-6</v>
      </c>
      <c r="B1869" s="445" t="str">
        <f>IFERROR(__xludf.DUMMYFUNCTION("""COMPUTED_VALUE"""),"https://drive.google.com/file/d/1KP8GrgUwNPDp8IB_LkFZY49Vt1IvtVdu/view?usp=drivesdk")</f>
        <v>https://drive.google.com/file/d/1KP8GrgUwNPDp8IB_LkFZY49Vt1IvtVdu/view?usp=drivesdk</v>
      </c>
      <c r="C1869" s="339" t="str">
        <f>IFERROR(__xludf.DUMMYFUNCTION("""COMPUTED_VALUE"""),"10.1016--s0749- 596x(02)00515-6.pdf")</f>
        <v>10.1016--s0749- 596x(02)00515-6.pdf</v>
      </c>
      <c r="D1869" s="159" t="str">
        <f>IFERROR(__xludf.DUMMYFUNCTION("""COMPUTED_VALUE"""),"application/pdf")</f>
        <v>application/pdf</v>
      </c>
    </row>
    <row r="1870">
      <c r="A1870" s="339" t="str">
        <f>IFERROR(__xludf.DUMMYFUNCTION("""COMPUTED_VALUE"""),"10.3389/fpsyg.2015.01552")</f>
        <v>10.3389/fpsyg.2015.01552</v>
      </c>
      <c r="B1870" s="445" t="str">
        <f>IFERROR(__xludf.DUMMYFUNCTION("""COMPUTED_VALUE"""),"https://drive.google.com/file/d/1qMJM9_CEzjXsRTVa3qE0XoThl6ByL8_R/view?usp=drivesdk")</f>
        <v>https://drive.google.com/file/d/1qMJM9_CEzjXsRTVa3qE0XoThl6ByL8_R/view?usp=drivesdk</v>
      </c>
      <c r="C1870" s="339" t="str">
        <f>IFERROR(__xludf.DUMMYFUNCTION("""COMPUTED_VALUE"""),"10.3389--fpsyg.2015.01552.pdf")</f>
        <v>10.3389--fpsyg.2015.01552.pdf</v>
      </c>
      <c r="D1870" s="159" t="str">
        <f>IFERROR(__xludf.DUMMYFUNCTION("""COMPUTED_VALUE"""),"application/pdf")</f>
        <v>application/pdf</v>
      </c>
    </row>
    <row r="1871">
      <c r="A1871" s="339" t="str">
        <f>IFERROR(__xludf.DUMMYFUNCTION("""COMPUTED_VALUE"""),"10.1086/339272")</f>
        <v>10.1086/339272</v>
      </c>
      <c r="B1871" s="445" t="str">
        <f>IFERROR(__xludf.DUMMYFUNCTION("""COMPUTED_VALUE"""),"https://drive.google.com/file/d/1vvezkz5zWeT6u6dIfF269SD9kYogBCP9/view?usp=drivesdk")</f>
        <v>https://drive.google.com/file/d/1vvezkz5zWeT6u6dIfF269SD9kYogBCP9/view?usp=drivesdk</v>
      </c>
      <c r="C1871" s="339" t="str">
        <f>IFERROR(__xludf.DUMMYFUNCTION("""COMPUTED_VALUE"""),"10.1086--339272.pdf")</f>
        <v>10.1086--339272.pdf</v>
      </c>
      <c r="D1871" s="159" t="str">
        <f>IFERROR(__xludf.DUMMYFUNCTION("""COMPUTED_VALUE"""),"application/pdf")</f>
        <v>application/pdf</v>
      </c>
    </row>
    <row r="1872">
      <c r="A1872" s="339" t="str">
        <f>IFERROR(__xludf.DUMMYFUNCTION("""COMPUTED_VALUE"""),"10.2500/aap.2007.28.3056")</f>
        <v>10.2500/aap.2007.28.3056</v>
      </c>
      <c r="B1872" s="445" t="str">
        <f>IFERROR(__xludf.DUMMYFUNCTION("""COMPUTED_VALUE"""),"https://drive.google.com/file/d/1jQjSRx3kSj2ilW3KmwxAru8D96j3i8Y7/view?usp=drivesdk")</f>
        <v>https://drive.google.com/file/d/1jQjSRx3kSj2ilW3KmwxAru8D96j3i8Y7/view?usp=drivesdk</v>
      </c>
      <c r="C1872" s="339" t="str">
        <f>IFERROR(__xludf.DUMMYFUNCTION("""COMPUTED_VALUE"""),"10.2500--aap.2007.28.3056.pdf")</f>
        <v>10.2500--aap.2007.28.3056.pdf</v>
      </c>
      <c r="D1872" s="159" t="str">
        <f>IFERROR(__xludf.DUMMYFUNCTION("""COMPUTED_VALUE"""),"application/pdf")</f>
        <v>application/pdf</v>
      </c>
    </row>
    <row r="1873">
      <c r="A1873" s="339" t="str">
        <f>IFERROR(__xludf.DUMMYFUNCTION("""COMPUTED_VALUE"""),"10.2514/6.1998-4333")</f>
        <v>10.2514/6.1998-4333</v>
      </c>
      <c r="B1873" s="445" t="str">
        <f>IFERROR(__xludf.DUMMYFUNCTION("""COMPUTED_VALUE"""),"https://drive.google.com/file/d/1Lep74aOGY2HTUfjOH1sRJGskkNnhcT9R/view?usp=drivesdk")</f>
        <v>https://drive.google.com/file/d/1Lep74aOGY2HTUfjOH1sRJGskkNnhcT9R/view?usp=drivesdk</v>
      </c>
      <c r="C1873" s="339" t="str">
        <f>IFERROR(__xludf.DUMMYFUNCTION("""COMPUTED_VALUE"""),"10.2514--6.1998-4333.pdf")</f>
        <v>10.2514--6.1998-4333.pdf</v>
      </c>
      <c r="D1873" s="159" t="str">
        <f>IFERROR(__xludf.DUMMYFUNCTION("""COMPUTED_VALUE"""),"application/pdf")</f>
        <v>application/pdf</v>
      </c>
    </row>
    <row r="1874">
      <c r="A1874" s="339" t="str">
        <f>IFERROR(__xludf.DUMMYFUNCTION("""COMPUTED_VALUE"""),"10.2307/1128199")</f>
        <v>10.2307/1128199</v>
      </c>
      <c r="B1874" s="445" t="str">
        <f>IFERROR(__xludf.DUMMYFUNCTION("""COMPUTED_VALUE"""),"https://drive.google.com/file/d/1mopdcftXz_M_O--Fgwij9iA3MHwAEogr/view?usp=drivesdk")</f>
        <v>https://drive.google.com/file/d/1mopdcftXz_M_O--Fgwij9iA3MHwAEogr/view?usp=drivesdk</v>
      </c>
      <c r="C1874" s="339" t="str">
        <f>IFERROR(__xludf.DUMMYFUNCTION("""COMPUTED_VALUE"""),"10.2307--1128199.pdf")</f>
        <v>10.2307--1128199.pdf</v>
      </c>
      <c r="D1874" s="159" t="str">
        <f>IFERROR(__xludf.DUMMYFUNCTION("""COMPUTED_VALUE"""),"application/pdf")</f>
        <v>application/pdf</v>
      </c>
    </row>
    <row r="1875">
      <c r="A1875" s="339" t="str">
        <f>IFERROR(__xludf.DUMMYFUNCTION("""COMPUTED_VALUE"""),"10.31979/etd.eh36-m2wx")</f>
        <v>10.31979/etd.eh36-m2wx</v>
      </c>
      <c r="B1875" s="445" t="str">
        <f>IFERROR(__xludf.DUMMYFUNCTION("""COMPUTED_VALUE"""),"https://drive.google.com/file/d/1RdD1ka1AcuuAkIp42PaRdSSjjGkIdVnj/view?usp=drivesdk")</f>
        <v>https://drive.google.com/file/d/1RdD1ka1AcuuAkIp42PaRdSSjjGkIdVnj/view?usp=drivesdk</v>
      </c>
      <c r="C1875" s="339" t="str">
        <f>IFERROR(__xludf.DUMMYFUNCTION("""COMPUTED_VALUE"""),"10.31979--etd.eh36-m2wx.pdf")</f>
        <v>10.31979--etd.eh36-m2wx.pdf</v>
      </c>
      <c r="D1875" s="159" t="str">
        <f>IFERROR(__xludf.DUMMYFUNCTION("""COMPUTED_VALUE"""),"application/pdf")</f>
        <v>application/pdf</v>
      </c>
    </row>
    <row r="1876">
      <c r="A1876" s="339" t="str">
        <f>IFERROR(__xludf.DUMMYFUNCTION("""COMPUTED_VALUE"""),"10.2501/jar-40-1-2-29-34")</f>
        <v>10.2501/jar-40-1-2-29-34</v>
      </c>
      <c r="B1876" s="445" t="str">
        <f>IFERROR(__xludf.DUMMYFUNCTION("""COMPUTED_VALUE"""),"https://drive.google.com/file/d/1elqGGq82WZNQe0OBkz3QxE7uAO28LFy7/view?usp=drivesdk")</f>
        <v>https://drive.google.com/file/d/1elqGGq82WZNQe0OBkz3QxE7uAO28LFy7/view?usp=drivesdk</v>
      </c>
      <c r="C1876" s="339" t="str">
        <f>IFERROR(__xludf.DUMMYFUNCTION("""COMPUTED_VALUE"""),"10.2501--jar-40-1-2-29-34.pdf")</f>
        <v>10.2501--jar-40-1-2-29-34.pdf</v>
      </c>
      <c r="D1876" s="159" t="str">
        <f>IFERROR(__xludf.DUMMYFUNCTION("""COMPUTED_VALUE"""),"application/pdf")</f>
        <v>application/pdf</v>
      </c>
    </row>
    <row r="1877">
      <c r="A1877" s="339" t="str">
        <f>IFERROR(__xludf.DUMMYFUNCTION("""COMPUTED_VALUE"""),"10.2501/jar-40-1-2-35-42")</f>
        <v>10.2501/jar-40-1-2-35-42</v>
      </c>
      <c r="B1877" s="445" t="str">
        <f>IFERROR(__xludf.DUMMYFUNCTION("""COMPUTED_VALUE"""),"https://drive.google.com/file/d/1gfXx0u2lXDnbw7niG14VKCEGM1cPJ8ga/view?usp=drivesdk")</f>
        <v>https://drive.google.com/file/d/1gfXx0u2lXDnbw7niG14VKCEGM1cPJ8ga/view?usp=drivesdk</v>
      </c>
      <c r="C1877" s="339" t="str">
        <f>IFERROR(__xludf.DUMMYFUNCTION("""COMPUTED_VALUE"""),"10.2501--jar-40-1-2-35-42.pdf")</f>
        <v>10.2501--jar-40-1-2-35-42.pdf</v>
      </c>
      <c r="D1877" s="159" t="str">
        <f>IFERROR(__xludf.DUMMYFUNCTION("""COMPUTED_VALUE"""),"application/pdf")</f>
        <v>application/pdf</v>
      </c>
    </row>
    <row r="1878">
      <c r="A1878" s="339" t="str">
        <f>IFERROR(__xludf.DUMMYFUNCTION("""COMPUTED_VALUE"""),"10.1016/j.rasd.2010.10.001")</f>
        <v>10.1016/j.rasd.2010.10.001</v>
      </c>
      <c r="B1878" s="445" t="str">
        <f>IFERROR(__xludf.DUMMYFUNCTION("""COMPUTED_VALUE"""),"https://drive.google.com/file/d/1CG--V-pTBF9sRiuxA8a5ueI8v8h5jmPV/view?usp=drivesdk")</f>
        <v>https://drive.google.com/file/d/1CG--V-pTBF9sRiuxA8a5ueI8v8h5jmPV/view?usp=drivesdk</v>
      </c>
      <c r="C1878" s="339" t="str">
        <f>IFERROR(__xludf.DUMMYFUNCTION("""COMPUTED_VALUE"""),"10.1016--j.rasd.2010.10.001.pdf")</f>
        <v>10.1016--j.rasd.2010.10.001.pdf</v>
      </c>
      <c r="D1878" s="159" t="str">
        <f>IFERROR(__xludf.DUMMYFUNCTION("""COMPUTED_VALUE"""),"application/pdf")</f>
        <v>application/pdf</v>
      </c>
    </row>
    <row r="1879">
      <c r="A1879" s="339" t="str">
        <f>IFERROR(__xludf.DUMMYFUNCTION("""COMPUTED_VALUE"""),"johnson, k.j_2011")</f>
        <v>johnson, k.j_2011</v>
      </c>
      <c r="B1879" s="445" t="str">
        <f>IFERROR(__xludf.DUMMYFUNCTION("""COMPUTED_VALUE"""),"https://drive.google.com/file/d/1_jB99hESUavCRb8jKze8JwQ0Zoh-pbj4/view?usp=drivesdk")</f>
        <v>https://drive.google.com/file/d/1_jB99hESUavCRb8jKze8JwQ0Zoh-pbj4/view?usp=drivesdk</v>
      </c>
      <c r="C1879" s="339" t="str">
        <f>IFERROR(__xludf.DUMMYFUNCTION("""COMPUTED_VALUE"""),"johnson, k.j_2011.pdf")</f>
        <v>johnson, k.j_2011.pdf</v>
      </c>
      <c r="D1879" s="159" t="str">
        <f>IFERROR(__xludf.DUMMYFUNCTION("""COMPUTED_VALUE"""),"application/pdf")</f>
        <v>application/pdf</v>
      </c>
    </row>
    <row r="1880">
      <c r="A1880" s="339" t="str">
        <f>IFERROR(__xludf.DUMMYFUNCTION("""COMPUTED_VALUE"""),"10.1002/acp.1376")</f>
        <v>10.1002/acp.1376</v>
      </c>
      <c r="B1880" s="445" t="str">
        <f>IFERROR(__xludf.DUMMYFUNCTION("""COMPUTED_VALUE"""),"https://drive.google.com/file/d/1T6hsnIKF27lKap8NPnTMuBaw-W9pLzdm/view?usp=drivesdk")</f>
        <v>https://drive.google.com/file/d/1T6hsnIKF27lKap8NPnTMuBaw-W9pLzdm/view?usp=drivesdk</v>
      </c>
      <c r="C1880" s="339" t="str">
        <f>IFERROR(__xludf.DUMMYFUNCTION("""COMPUTED_VALUE"""),"10.1002--acp.1376.pdf")</f>
        <v>10.1002--acp.1376.pdf</v>
      </c>
      <c r="D1880" s="159" t="str">
        <f>IFERROR(__xludf.DUMMYFUNCTION("""COMPUTED_VALUE"""),"application/pdf")</f>
        <v>application/pdf</v>
      </c>
    </row>
    <row r="1881">
      <c r="A1881" s="339" t="str">
        <f>IFERROR(__xludf.DUMMYFUNCTION("""COMPUTED_VALUE"""),"10.31234/osf.io/w87yr")</f>
        <v>10.31234/osf.io/w87yr</v>
      </c>
      <c r="B1881" s="445" t="str">
        <f>IFERROR(__xludf.DUMMYFUNCTION("""COMPUTED_VALUE"""),"https://drive.google.com/file/d/1ew0OSVU876rPzVsDvpN47BF_OOdkLKHm/view?usp=drivesdk")</f>
        <v>https://drive.google.com/file/d/1ew0OSVU876rPzVsDvpN47BF_OOdkLKHm/view?usp=drivesdk</v>
      </c>
      <c r="C1881" s="339" t="str">
        <f>IFERROR(__xludf.DUMMYFUNCTION("""COMPUTED_VALUE"""),"10.31234--osf.io--w87yr.pdf")</f>
        <v>10.31234--osf.io--w87yr.pdf</v>
      </c>
      <c r="D1881" s="159" t="str">
        <f>IFERROR(__xludf.DUMMYFUNCTION("""COMPUTED_VALUE"""),"application/pdf")</f>
        <v>application/pdf</v>
      </c>
    </row>
    <row r="1882">
      <c r="A1882" s="339" t="str">
        <f>IFERROR(__xludf.DUMMYFUNCTION("""COMPUTED_VALUE"""),"10.1037/h0101833")</f>
        <v>10.1037/h0101833</v>
      </c>
      <c r="B1882" s="445" t="str">
        <f>IFERROR(__xludf.DUMMYFUNCTION("""COMPUTED_VALUE"""),"https://drive.google.com/file/d/1vWIai5r3XTGViLrUpJz9c7jALgaW6Fv0/view?usp=drivesdk")</f>
        <v>https://drive.google.com/file/d/1vWIai5r3XTGViLrUpJz9c7jALgaW6Fv0/view?usp=drivesdk</v>
      </c>
      <c r="C1882" s="339" t="str">
        <f>IFERROR(__xludf.DUMMYFUNCTION("""COMPUTED_VALUE"""),"10.1037--h0101833.pdf.pdf")</f>
        <v>10.1037--h0101833.pdf.pdf</v>
      </c>
      <c r="D1882" s="159" t="str">
        <f>IFERROR(__xludf.DUMMYFUNCTION("""COMPUTED_VALUE"""),"application/pdf")</f>
        <v>application/pdf</v>
      </c>
    </row>
    <row r="1883">
      <c r="A1883" s="339" t="str">
        <f>IFERROR(__xludf.DUMMYFUNCTION("""COMPUTED_VALUE"""),"10.1037/h0076284")</f>
        <v>10.1037/h0076284</v>
      </c>
      <c r="B1883" s="445" t="str">
        <f>IFERROR(__xludf.DUMMYFUNCTION("""COMPUTED_VALUE"""),"https://drive.google.com/file/d/1LFgNyzLqTELlP9tfS2pwZ6Egg431WCHQ/view?usp=drivesdk")</f>
        <v>https://drive.google.com/file/d/1LFgNyzLqTELlP9tfS2pwZ6Egg431WCHQ/view?usp=drivesdk</v>
      </c>
      <c r="C1883" s="339" t="str">
        <f>IFERROR(__xludf.DUMMYFUNCTION("""COMPUTED_VALUE"""),"10.1037--h0076284.pdf")</f>
        <v>10.1037--h0076284.pdf</v>
      </c>
      <c r="D1883" s="159" t="str">
        <f>IFERROR(__xludf.DUMMYFUNCTION("""COMPUTED_VALUE"""),"application/pdf")</f>
        <v>application/pdf</v>
      </c>
    </row>
    <row r="1884">
      <c r="A1884" s="339" t="str">
        <f>IFERROR(__xludf.DUMMYFUNCTION("""COMPUTED_VALUE"""),"10.1037/a0038647")</f>
        <v>10.1037/a0038647</v>
      </c>
      <c r="B1884" s="445" t="str">
        <f>IFERROR(__xludf.DUMMYFUNCTION("""COMPUTED_VALUE"""),"https://drive.google.com/file/d/1BC-oHAJXZR8gA58TQ6CMLhGk49j_kbel/view?usp=drivesdk")</f>
        <v>https://drive.google.com/file/d/1BC-oHAJXZR8gA58TQ6CMLhGk49j_kbel/view?usp=drivesdk</v>
      </c>
      <c r="C1884" s="339" t="str">
        <f>IFERROR(__xludf.DUMMYFUNCTION("""COMPUTED_VALUE"""),"10.1037--a0038647.pdf")</f>
        <v>10.1037--a0038647.pdf</v>
      </c>
      <c r="D1884" s="159" t="str">
        <f>IFERROR(__xludf.DUMMYFUNCTION("""COMPUTED_VALUE"""),"application/pdf")</f>
        <v>application/pdf</v>
      </c>
    </row>
    <row r="1885">
      <c r="A1885" s="339" t="str">
        <f>IFERROR(__xludf.DUMMYFUNCTION("""COMPUTED_VALUE"""),"10.31234/osf.io/3bhja")</f>
        <v>10.31234/osf.io/3bhja</v>
      </c>
      <c r="B1885" s="445" t="str">
        <f>IFERROR(__xludf.DUMMYFUNCTION("""COMPUTED_VALUE"""),"https://drive.google.com/file/d/1dmnYF_LdumtlLrWnSIsUGU1iL2iYWytg/view?usp=drivesdk")</f>
        <v>https://drive.google.com/file/d/1dmnYF_LdumtlLrWnSIsUGU1iL2iYWytg/view?usp=drivesdk</v>
      </c>
      <c r="C1885" s="339" t="str">
        <f>IFERROR(__xludf.DUMMYFUNCTION("""COMPUTED_VALUE"""),"10.31234--osf.io--3bhja.pdf.pdf")</f>
        <v>10.31234--osf.io--3bhja.pdf.pdf</v>
      </c>
      <c r="D1885" s="159" t="str">
        <f>IFERROR(__xludf.DUMMYFUNCTION("""COMPUTED_VALUE"""),"application/pdf")</f>
        <v>application/pdf</v>
      </c>
    </row>
    <row r="1886">
      <c r="A1886" s="339" t="str">
        <f>IFERROR(__xludf.DUMMYFUNCTION("""COMPUTED_VALUE"""),"10.1016/j.jneuroling.2010.05.001")</f>
        <v>10.1016/j.jneuroling.2010.05.001</v>
      </c>
      <c r="B1886" s="445" t="str">
        <f>IFERROR(__xludf.DUMMYFUNCTION("""COMPUTED_VALUE"""),"https://drive.google.com/file/d/1RXr4niDiphL73XxS0Bwi1s8J9FebE3vQ/view?usp=drivesdk")</f>
        <v>https://drive.google.com/file/d/1RXr4niDiphL73XxS0Bwi1s8J9FebE3vQ/view?usp=drivesdk</v>
      </c>
      <c r="C1886" s="339" t="str">
        <f>IFERROR(__xludf.DUMMYFUNCTION("""COMPUTED_VALUE"""),"10.1016--j.jneuroling.2010.05.001.pdf")</f>
        <v>10.1016--j.jneuroling.2010.05.001.pdf</v>
      </c>
      <c r="D1886" s="159" t="str">
        <f>IFERROR(__xludf.DUMMYFUNCTION("""COMPUTED_VALUE"""),"application/pdf")</f>
        <v>application/pdf</v>
      </c>
    </row>
    <row r="1887">
      <c r="A1887" s="339" t="str">
        <f>IFERROR(__xludf.DUMMYFUNCTION("""COMPUTED_VALUE"""),"10.1093/jos/ffr009")</f>
        <v>10.1093/jos/ffr009</v>
      </c>
      <c r="B1887" s="445" t="str">
        <f>IFERROR(__xludf.DUMMYFUNCTION("""COMPUTED_VALUE"""),"https://drive.google.com/file/d/1vjTPB2e8eFUfMpUaaQIq0i5OQfJ_VGgE/view?usp=drivesdk")</f>
        <v>https://drive.google.com/file/d/1vjTPB2e8eFUfMpUaaQIq0i5OQfJ_VGgE/view?usp=drivesdk</v>
      </c>
      <c r="C1887" s="339" t="str">
        <f>IFERROR(__xludf.DUMMYFUNCTION("""COMPUTED_VALUE"""),"10.1093--jos--ffr009.pdf.pdf")</f>
        <v>10.1093--jos--ffr009.pdf.pdf</v>
      </c>
      <c r="D1887" s="159" t="str">
        <f>IFERROR(__xludf.DUMMYFUNCTION("""COMPUTED_VALUE"""),"application/pdf")</f>
        <v>application/pdf</v>
      </c>
    </row>
    <row r="1888">
      <c r="A1888" s="339" t="str">
        <f>IFERROR(__xludf.DUMMYFUNCTION("""COMPUTED_VALUE"""),"10.48550/arxiv.1605.00178")</f>
        <v>10.48550/arxiv.1605.00178</v>
      </c>
      <c r="B1888" s="445" t="str">
        <f>IFERROR(__xludf.DUMMYFUNCTION("""COMPUTED_VALUE"""),"https://drive.google.com/file/d/1P2zn4PcN0aqLYF2XBELOAc2yrRgjp1ds/view?usp=drivesdk")</f>
        <v>https://drive.google.com/file/d/1P2zn4PcN0aqLYF2XBELOAc2yrRgjp1ds/view?usp=drivesdk</v>
      </c>
      <c r="C1888" s="339" t="str">
        <f>IFERROR(__xludf.DUMMYFUNCTION("""COMPUTED_VALUE"""),"10.48550--arxiv.1605.00178.pdf.pdf")</f>
        <v>10.48550--arxiv.1605.00178.pdf.pdf</v>
      </c>
      <c r="D1888" s="159" t="str">
        <f>IFERROR(__xludf.DUMMYFUNCTION("""COMPUTED_VALUE"""),"application/pdf")</f>
        <v>application/pdf</v>
      </c>
    </row>
    <row r="1889">
      <c r="A1889" s="339" t="str">
        <f>IFERROR(__xludf.DUMMYFUNCTION("""COMPUTED_VALUE"""),"10.1257mac.3.3.92")</f>
        <v>10.1257mac.3.3.92</v>
      </c>
      <c r="B1889" s="445" t="str">
        <f>IFERROR(__xludf.DUMMYFUNCTION("""COMPUTED_VALUE"""),"https://drive.google.com/file/d/14awjn7KavtlsGCWS_CDu13NW9TkedTNM/view?usp=drivesdk")</f>
        <v>https://drive.google.com/file/d/14awjn7KavtlsGCWS_CDu13NW9TkedTNM/view?usp=drivesdk</v>
      </c>
      <c r="C1889" s="339" t="str">
        <f>IFERROR(__xludf.DUMMYFUNCTION("""COMPUTED_VALUE"""),"10.1257mac.3.3.92.pdf.pdf")</f>
        <v>10.1257mac.3.3.92.pdf.pdf</v>
      </c>
      <c r="D1889" s="159" t="str">
        <f>IFERROR(__xludf.DUMMYFUNCTION("""COMPUTED_VALUE"""),"application/pdf")</f>
        <v>application/pdf</v>
      </c>
    </row>
    <row r="1890">
      <c r="A1890" s="339" t="str">
        <f>IFERROR(__xludf.DUMMYFUNCTION("""COMPUTED_VALUE"""),"10.5018_economics-ejournal.ja.2018-3")</f>
        <v>10.5018_economics-ejournal.ja.2018-3</v>
      </c>
      <c r="B1890" s="445" t="str">
        <f>IFERROR(__xludf.DUMMYFUNCTION("""COMPUTED_VALUE"""),"https://drive.google.com/file/d/1gp-1MicqKg7Iri7W_3LdqykLKrrOTgI4/view?usp=drivesdk")</f>
        <v>https://drive.google.com/file/d/1gp-1MicqKg7Iri7W_3LdqykLKrrOTgI4/view?usp=drivesdk</v>
      </c>
      <c r="C1890" s="339" t="str">
        <f>IFERROR(__xludf.DUMMYFUNCTION("""COMPUTED_VALUE"""),"10.5018_economics-ejournal.ja.2018-3.pdf.pdf")</f>
        <v>10.5018_economics-ejournal.ja.2018-3.pdf.pdf</v>
      </c>
      <c r="D1890" s="159" t="str">
        <f>IFERROR(__xludf.DUMMYFUNCTION("""COMPUTED_VALUE"""),"application/pdf")</f>
        <v>application/pdf</v>
      </c>
    </row>
    <row r="1891">
      <c r="A1891" s="339" t="str">
        <f>IFERROR(__xludf.DUMMYFUNCTION("""COMPUTED_VALUE"""),"10.31234/osf.io/drfht")</f>
        <v>10.31234/osf.io/drfht</v>
      </c>
      <c r="B1891" s="445" t="str">
        <f>IFERROR(__xludf.DUMMYFUNCTION("""COMPUTED_VALUE"""),"https://drive.google.com/file/d/17kiDPObhzV5Il1PydikjPEZC1kqKaML2/view?usp=drivesdk")</f>
        <v>https://drive.google.com/file/d/17kiDPObhzV5Il1PydikjPEZC1kqKaML2/view?usp=drivesdk</v>
      </c>
      <c r="C1891" s="339" t="str">
        <f>IFERROR(__xludf.DUMMYFUNCTION("""COMPUTED_VALUE"""),"10.31234--osf.io--drfht.pdf")</f>
        <v>10.31234--osf.io--drfht.pdf</v>
      </c>
      <c r="D1891" s="159" t="str">
        <f>IFERROR(__xludf.DUMMYFUNCTION("""COMPUTED_VALUE"""),"application/pdf")</f>
        <v>application/pdf</v>
      </c>
    </row>
    <row r="1892">
      <c r="A1892" s="339" t="str">
        <f>IFERROR(__xludf.DUMMYFUNCTION("""COMPUTED_VALUE"""),"10.1016/j.cogdev.2017.09.001")</f>
        <v>10.1016/j.cogdev.2017.09.001</v>
      </c>
      <c r="B1892" s="445" t="str">
        <f>IFERROR(__xludf.DUMMYFUNCTION("""COMPUTED_VALUE"""),"https://drive.google.com/file/d/131RKu4fsqV-7PMeG8SQAM6g-0HeDYvmM/view?usp=drivesdk")</f>
        <v>https://drive.google.com/file/d/131RKu4fsqV-7PMeG8SQAM6g-0HeDYvmM/view?usp=drivesdk</v>
      </c>
      <c r="C1892" s="339" t="str">
        <f>IFERROR(__xludf.DUMMYFUNCTION("""COMPUTED_VALUE"""),"10.1016--j.cogdev.2017.09.001.pdf")</f>
        <v>10.1016--j.cogdev.2017.09.001.pdf</v>
      </c>
      <c r="D1892" s="159" t="str">
        <f>IFERROR(__xludf.DUMMYFUNCTION("""COMPUTED_VALUE"""),"application/pdf")</f>
        <v>application/pdf</v>
      </c>
    </row>
    <row r="1893">
      <c r="A1893" s="339" t="str">
        <f>IFERROR(__xludf.DUMMYFUNCTION("""COMPUTED_VALUE"""),"10.1002/jae.2886")</f>
        <v>10.1002/jae.2886</v>
      </c>
      <c r="B1893" s="445" t="str">
        <f>IFERROR(__xludf.DUMMYFUNCTION("""COMPUTED_VALUE"""),"https://drive.google.com/file/d/1bP7XuC-i8pHafhrjZL7LqwnyOo_nYb1Z/view?usp=drivesdk")</f>
        <v>https://drive.google.com/file/d/1bP7XuC-i8pHafhrjZL7LqwnyOo_nYb1Z/view?usp=drivesdk</v>
      </c>
      <c r="C1893" s="339" t="str">
        <f>IFERROR(__xludf.DUMMYFUNCTION("""COMPUTED_VALUE"""),"10.1002--jae.2886.pdf")</f>
        <v>10.1002--jae.2886.pdf</v>
      </c>
      <c r="D1893" s="159" t="str">
        <f>IFERROR(__xludf.DUMMYFUNCTION("""COMPUTED_VALUE"""),"application/pdf")</f>
        <v>application/pdf</v>
      </c>
    </row>
    <row r="1894">
      <c r="A1894" s="339" t="str">
        <f>IFERROR(__xludf.DUMMYFUNCTION("""COMPUTED_VALUE"""),"10.1016/j.nlm.2017.09.009")</f>
        <v>10.1016/j.nlm.2017.09.009</v>
      </c>
      <c r="B1894" s="445" t="str">
        <f>IFERROR(__xludf.DUMMYFUNCTION("""COMPUTED_VALUE"""),"https://drive.google.com/file/d/1Ls7enSwQEn27qHRCH_5Coj2XrGQZjobj/view?usp=drivesdk")</f>
        <v>https://drive.google.com/file/d/1Ls7enSwQEn27qHRCH_5Coj2XrGQZjobj/view?usp=drivesdk</v>
      </c>
      <c r="C1894" s="339" t="str">
        <f>IFERROR(__xludf.DUMMYFUNCTION("""COMPUTED_VALUE"""),"10.1016--j.nlm.2017.09.009.pdf")</f>
        <v>10.1016--j.nlm.2017.09.009.pdf</v>
      </c>
      <c r="D1894" s="159" t="str">
        <f>IFERROR(__xludf.DUMMYFUNCTION("""COMPUTED_VALUE"""),"application/pdf")</f>
        <v>application/pdf</v>
      </c>
    </row>
    <row r="1895">
      <c r="A1895" s="339" t="str">
        <f>IFERROR(__xludf.DUMMYFUNCTION("""COMPUTED_VALUE"""),"10.1080/15248372.2018.1544140")</f>
        <v>10.1080/15248372.2018.1544140</v>
      </c>
      <c r="B1895" s="445" t="str">
        <f>IFERROR(__xludf.DUMMYFUNCTION("""COMPUTED_VALUE"""),"https://drive.google.com/file/d/10Ld1Nivm3OIC43nW0JIiWZhrLO6OXhBr/view?usp=drivesdk")</f>
        <v>https://drive.google.com/file/d/10Ld1Nivm3OIC43nW0JIiWZhrLO6OXhBr/view?usp=drivesdk</v>
      </c>
      <c r="C1895" s="339" t="str">
        <f>IFERROR(__xludf.DUMMYFUNCTION("""COMPUTED_VALUE"""),"10.1080--15248372.2018.1544140.pdf")</f>
        <v>10.1080--15248372.2018.1544140.pdf</v>
      </c>
      <c r="D1895" s="159" t="str">
        <f>IFERROR(__xludf.DUMMYFUNCTION("""COMPUTED_VALUE"""),"application/pdf")</f>
        <v>application/pdf</v>
      </c>
    </row>
    <row r="1896">
      <c r="A1896" s="339" t="str">
        <f>IFERROR(__xludf.DUMMYFUNCTION("""COMPUTED_VALUE"""),"10.1037/xge0001503")</f>
        <v>10.1037/xge0001503</v>
      </c>
      <c r="B1896" s="445" t="str">
        <f>IFERROR(__xludf.DUMMYFUNCTION("""COMPUTED_VALUE"""),"https://drive.google.com/file/d/1enJo63drmDH3LiCKXFS8g3-psbOxwDuR/view?usp=drivesdk")</f>
        <v>https://drive.google.com/file/d/1enJo63drmDH3LiCKXFS8g3-psbOxwDuR/view?usp=drivesdk</v>
      </c>
      <c r="C1896" s="339" t="str">
        <f>IFERROR(__xludf.DUMMYFUNCTION("""COMPUTED_VALUE"""),"10.1037--xge0001503.pdf")</f>
        <v>10.1037--xge0001503.pdf</v>
      </c>
      <c r="D1896" s="159" t="str">
        <f>IFERROR(__xludf.DUMMYFUNCTION("""COMPUTED_VALUE"""),"application/pdf")</f>
        <v>application/pdf</v>
      </c>
    </row>
    <row r="1897">
      <c r="A1897" s="339" t="str">
        <f>IFERROR(__xludf.DUMMYFUNCTION("""COMPUTED_VALUE"""),"10.1017/xps.2022.35")</f>
        <v>10.1017/xps.2022.35</v>
      </c>
      <c r="B1897" s="445" t="str">
        <f>IFERROR(__xludf.DUMMYFUNCTION("""COMPUTED_VALUE"""),"https://drive.google.com/file/d/14s_w3a6gZTtw0E26e1AJ654qkObMia4e/view?usp=drivesdk")</f>
        <v>https://drive.google.com/file/d/14s_w3a6gZTtw0E26e1AJ654qkObMia4e/view?usp=drivesdk</v>
      </c>
      <c r="C1897" s="339" t="str">
        <f>IFERROR(__xludf.DUMMYFUNCTION("""COMPUTED_VALUE"""),"10.1017--xps.2022.35.pdf")</f>
        <v>10.1017--xps.2022.35.pdf</v>
      </c>
      <c r="D1897" s="159" t="str">
        <f>IFERROR(__xludf.DUMMYFUNCTION("""COMPUTED_VALUE"""),"application/pdf")</f>
        <v>application/pdf</v>
      </c>
    </row>
    <row r="1898">
      <c r="A1898" s="339" t="str">
        <f>IFERROR(__xludf.DUMMYFUNCTION("""COMPUTED_VALUE"""),"10.1002/jae.3007")</f>
        <v>10.1002/jae.3007</v>
      </c>
      <c r="B1898" s="445" t="str">
        <f>IFERROR(__xludf.DUMMYFUNCTION("""COMPUTED_VALUE"""),"https://drive.google.com/file/d/1kVH_VKOGojuQbivdjZ7Is2SblWIFs0M7/view?usp=drivesdk")</f>
        <v>https://drive.google.com/file/d/1kVH_VKOGojuQbivdjZ7Is2SblWIFs0M7/view?usp=drivesdk</v>
      </c>
      <c r="C1898" s="339" t="str">
        <f>IFERROR(__xludf.DUMMYFUNCTION("""COMPUTED_VALUE"""),"10.1002--jae.3007.pdf")</f>
        <v>10.1002--jae.3007.pdf</v>
      </c>
      <c r="D1898" s="159" t="str">
        <f>IFERROR(__xludf.DUMMYFUNCTION("""COMPUTED_VALUE"""),"application/pdf")</f>
        <v>application/pdf</v>
      </c>
    </row>
    <row r="1899">
      <c r="A1899" s="339" t="str">
        <f>IFERROR(__xludf.DUMMYFUNCTION("""COMPUTED_VALUE"""),"10.1111/desc.13244")</f>
        <v>10.1111/desc.13244</v>
      </c>
      <c r="B1899" s="445" t="str">
        <f>IFERROR(__xludf.DUMMYFUNCTION("""COMPUTED_VALUE"""),"https://drive.google.com/file/d/1p6gI2cN5UJ165JXGw5A-NDRQ1yEvL2O-/view?usp=drivesdk")</f>
        <v>https://drive.google.com/file/d/1p6gI2cN5UJ165JXGw5A-NDRQ1yEvL2O-/view?usp=drivesdk</v>
      </c>
      <c r="C1899" s="339" t="str">
        <f>IFERROR(__xludf.DUMMYFUNCTION("""COMPUTED_VALUE"""),"10.1111--desc.13244.pdf")</f>
        <v>10.1111--desc.13244.pdf</v>
      </c>
      <c r="D1899" s="159" t="str">
        <f>IFERROR(__xludf.DUMMYFUNCTION("""COMPUTED_VALUE"""),"application/pdf")</f>
        <v>application/pdf</v>
      </c>
    </row>
    <row r="1900">
      <c r="A1900" s="339" t="str">
        <f>IFERROR(__xludf.DUMMYFUNCTION("""COMPUTED_VALUE"""),"10.1037/ebs0000279")</f>
        <v>10.1037/ebs0000279</v>
      </c>
      <c r="B1900" s="445" t="str">
        <f>IFERROR(__xludf.DUMMYFUNCTION("""COMPUTED_VALUE"""),"https://drive.google.com/file/d/1wcNLyGRa4gXByWTxj5jatSzrFvsBvEOa/view?usp=drivesdk")</f>
        <v>https://drive.google.com/file/d/1wcNLyGRa4gXByWTxj5jatSzrFvsBvEOa/view?usp=drivesdk</v>
      </c>
      <c r="C1900" s="339" t="str">
        <f>IFERROR(__xludf.DUMMYFUNCTION("""COMPUTED_VALUE"""),"10.1037--ebs0000279.pdf")</f>
        <v>10.1037--ebs0000279.pdf</v>
      </c>
      <c r="D1900" s="159" t="str">
        <f>IFERROR(__xludf.DUMMYFUNCTION("""COMPUTED_VALUE"""),"application/pdf")</f>
        <v>application/pdf</v>
      </c>
    </row>
    <row r="1901">
      <c r="A1901" s="339" t="str">
        <f>IFERROR(__xludf.DUMMYFUNCTION("""COMPUTED_VALUE"""),"10.1016/j.actpsy.2022.103497")</f>
        <v>10.1016/j.actpsy.2022.103497</v>
      </c>
      <c r="B1901" s="445" t="str">
        <f>IFERROR(__xludf.DUMMYFUNCTION("""COMPUTED_VALUE"""),"https://drive.google.com/file/d/16jKwdpMjv9iC7Mu_8eP1ZQM-NCwIIMLR/view?usp=drivesdk")</f>
        <v>https://drive.google.com/file/d/16jKwdpMjv9iC7Mu_8eP1ZQM-NCwIIMLR/view?usp=drivesdk</v>
      </c>
      <c r="C1901" s="339" t="str">
        <f>IFERROR(__xludf.DUMMYFUNCTION("""COMPUTED_VALUE"""),"10.1016--j.actpsy.2022.103497.pdf")</f>
        <v>10.1016--j.actpsy.2022.103497.pdf</v>
      </c>
      <c r="D1901" s="159" t="str">
        <f>IFERROR(__xludf.DUMMYFUNCTION("""COMPUTED_VALUE"""),"application/pdf")</f>
        <v>application/pdf</v>
      </c>
    </row>
    <row r="1902">
      <c r="A1902" s="339" t="str">
        <f>IFERROR(__xludf.DUMMYFUNCTION("""COMPUTED_VALUE"""),"10.1027/1618-3169/a000567")</f>
        <v>10.1027/1618-3169/a000567</v>
      </c>
      <c r="B1902" s="445" t="str">
        <f>IFERROR(__xludf.DUMMYFUNCTION("""COMPUTED_VALUE"""),"https://drive.google.com/file/d/1M_QRPQwfBMR3RZaCJW-QHGxqNlm5L1OL/view?usp=drivesdk")</f>
        <v>https://drive.google.com/file/d/1M_QRPQwfBMR3RZaCJW-QHGxqNlm5L1OL/view?usp=drivesdk</v>
      </c>
      <c r="C1902" s="339" t="str">
        <f>IFERROR(__xludf.DUMMYFUNCTION("""COMPUTED_VALUE"""),"10.1027--1618-3169--a000567.pdf")</f>
        <v>10.1027--1618-3169--a000567.pdf</v>
      </c>
      <c r="D1902" s="159" t="str">
        <f>IFERROR(__xludf.DUMMYFUNCTION("""COMPUTED_VALUE"""),"application/pdf")</f>
        <v>application/pdf</v>
      </c>
    </row>
    <row r="1903">
      <c r="A1903" s="339" t="str">
        <f>IFERROR(__xludf.DUMMYFUNCTION("""COMPUTED_VALUE"""),"10.3389/fped.2021.590040")</f>
        <v>10.3389/fped.2021.590040</v>
      </c>
      <c r="B1903" s="445" t="str">
        <f>IFERROR(__xludf.DUMMYFUNCTION("""COMPUTED_VALUE"""),"https://drive.google.com/file/d/1xaH1AdTN7K_tpV_fPvFUmkfl3Wi38a_0/view?usp=drivesdk")</f>
        <v>https://drive.google.com/file/d/1xaH1AdTN7K_tpV_fPvFUmkfl3Wi38a_0/view?usp=drivesdk</v>
      </c>
      <c r="C1903" s="339" t="str">
        <f>IFERROR(__xludf.DUMMYFUNCTION("""COMPUTED_VALUE"""),"10.3389--fped.2021.590040.pdf")</f>
        <v>10.3389--fped.2021.590040.pdf</v>
      </c>
      <c r="D1903" s="159" t="str">
        <f>IFERROR(__xludf.DUMMYFUNCTION("""COMPUTED_VALUE"""),"application/pdf")</f>
        <v>application/pdf</v>
      </c>
    </row>
    <row r="1904">
      <c r="A1904" s="339" t="str">
        <f>IFERROR(__xludf.DUMMYFUNCTION("""COMPUTED_VALUE"""),"10.18718/81781.3")</f>
        <v>10.18718/81781.3</v>
      </c>
      <c r="B1904" s="445" t="str">
        <f>IFERROR(__xludf.DUMMYFUNCTION("""COMPUTED_VALUE"""),"https://drive.google.com/file/d/1eTjP2xjPMHt_psL0IRiVE0uqN0eKYr25/view?usp=drivesdk")</f>
        <v>https://drive.google.com/file/d/1eTjP2xjPMHt_psL0IRiVE0uqN0eKYr25/view?usp=drivesdk</v>
      </c>
      <c r="C1904" s="339" t="str">
        <f>IFERROR(__xludf.DUMMYFUNCTION("""COMPUTED_VALUE"""),"10.18718--81781.3.pdf")</f>
        <v>10.18718--81781.3.pdf</v>
      </c>
      <c r="D1904" s="159" t="str">
        <f>IFERROR(__xludf.DUMMYFUNCTION("""COMPUTED_VALUE"""),"application/pdf")</f>
        <v>application/pdf</v>
      </c>
    </row>
    <row r="1905">
      <c r="A1905" s="339" t="str">
        <f>IFERROR(__xludf.DUMMYFUNCTION("""COMPUTED_VALUE"""),"10.1073/pnas.2103313118")</f>
        <v>10.1073/pnas.2103313118</v>
      </c>
      <c r="B1905" s="445" t="str">
        <f>IFERROR(__xludf.DUMMYFUNCTION("""COMPUTED_VALUE"""),"https://drive.google.com/file/d/1Irbmig3rfLDvz-G09jDAVwJvv1drYEqO/view?usp=drivesdk")</f>
        <v>https://drive.google.com/file/d/1Irbmig3rfLDvz-G09jDAVwJvv1drYEqO/view?usp=drivesdk</v>
      </c>
      <c r="C1905" s="339" t="str">
        <f>IFERROR(__xludf.DUMMYFUNCTION("""COMPUTED_VALUE"""),"10.1073--pnas.2103313118.pdf")</f>
        <v>10.1073--pnas.2103313118.pdf</v>
      </c>
      <c r="D1905" s="159" t="str">
        <f>IFERROR(__xludf.DUMMYFUNCTION("""COMPUTED_VALUE"""),"application/pdf")</f>
        <v>application/pdf</v>
      </c>
    </row>
    <row r="1906">
      <c r="A1906" s="339" t="str">
        <f>IFERROR(__xludf.DUMMYFUNCTION("""COMPUTED_VALUE"""),"appendix01-updated")</f>
        <v>appendix01-updated</v>
      </c>
      <c r="B1906" s="445" t="str">
        <f>IFERROR(__xludf.DUMMYFUNCTION("""COMPUTED_VALUE"""),"https://drive.google.com/file/d/1Oyf6phoxDUGiryzACmCI2gdTcVIQO0rE/view?usp=drivesdk")</f>
        <v>https://drive.google.com/file/d/1Oyf6phoxDUGiryzACmCI2gdTcVIQO0rE/view?usp=drivesdk</v>
      </c>
      <c r="C1906" s="339" t="str">
        <f>IFERROR(__xludf.DUMMYFUNCTION("""COMPUTED_VALUE"""),"appendix01-updated.pdf")</f>
        <v>appendix01-updated.pdf</v>
      </c>
      <c r="D1906" s="159" t="str">
        <f>IFERROR(__xludf.DUMMYFUNCTION("""COMPUTED_VALUE"""),"application/pdf")</f>
        <v>application/pdf</v>
      </c>
    </row>
    <row r="1907">
      <c r="A1907" s="339" t="str">
        <f>IFERROR(__xludf.DUMMYFUNCTION("""COMPUTED_VALUE"""),"10.1037/10423-008")</f>
        <v>10.1037/10423-008</v>
      </c>
      <c r="B1907" s="445" t="str">
        <f>IFERROR(__xludf.DUMMYFUNCTION("""COMPUTED_VALUE"""),"https://drive.google.com/file/d/1JU5kJv0kHYoKBDth2j7wQsjJ1BK_HiIh/view?usp=drivesdk")</f>
        <v>https://drive.google.com/file/d/1JU5kJv0kHYoKBDth2j7wQsjJ1BK_HiIh/view?usp=drivesdk</v>
      </c>
      <c r="C1907" s="339" t="str">
        <f>IFERROR(__xludf.DUMMYFUNCTION("""COMPUTED_VALUE"""),"10.1037--10423-008.pdf")</f>
        <v>10.1037--10423-008.pdf</v>
      </c>
      <c r="D1907" s="159" t="str">
        <f>IFERROR(__xludf.DUMMYFUNCTION("""COMPUTED_VALUE"""),"application/pdf")</f>
        <v>application/pdf</v>
      </c>
    </row>
    <row r="1908">
      <c r="A1908" s="339" t="str">
        <f>IFERROR(__xludf.DUMMYFUNCTION("""COMPUTED_VALUE"""),"wiebe_2004")</f>
        <v>wiebe_2004</v>
      </c>
      <c r="B1908" s="445" t="str">
        <f>IFERROR(__xludf.DUMMYFUNCTION("""COMPUTED_VALUE"""),"https://drive.google.com/file/d/1dhF34wzocQXuQuO5C6a-2Ah86pPkgSjw/view?usp=drivesdk")</f>
        <v>https://drive.google.com/file/d/1dhF34wzocQXuQuO5C6a-2Ah86pPkgSjw/view?usp=drivesdk</v>
      </c>
      <c r="C1908" s="339" t="str">
        <f>IFERROR(__xludf.DUMMYFUNCTION("""COMPUTED_VALUE"""),"wiebe_2004.pdf")</f>
        <v>wiebe_2004.pdf</v>
      </c>
      <c r="D1908" s="159" t="str">
        <f>IFERROR(__xludf.DUMMYFUNCTION("""COMPUTED_VALUE"""),"application/pdf")</f>
        <v>application/pdf</v>
      </c>
    </row>
    <row r="1909">
      <c r="A1909" s="339" t="str">
        <f>IFERROR(__xludf.DUMMYFUNCTION("""COMPUTED_VALUE"""),"10.1016/j.actpsy.2022.103717")</f>
        <v>10.1016/j.actpsy.2022.103717</v>
      </c>
      <c r="B1909" s="445" t="str">
        <f>IFERROR(__xludf.DUMMYFUNCTION("""COMPUTED_VALUE"""),"https://drive.google.com/file/d/1JqR213ecE6dYmcQzX1WidGxm2UimuKxl/view?usp=drivesdk")</f>
        <v>https://drive.google.com/file/d/1JqR213ecE6dYmcQzX1WidGxm2UimuKxl/view?usp=drivesdk</v>
      </c>
      <c r="C1909" s="339" t="str">
        <f>IFERROR(__xludf.DUMMYFUNCTION("""COMPUTED_VALUE"""),"10.1016--j.actpsy.2022.103717.pdf")</f>
        <v>10.1016--j.actpsy.2022.103717.pdf</v>
      </c>
      <c r="D1909" s="159" t="str">
        <f>IFERROR(__xludf.DUMMYFUNCTION("""COMPUTED_VALUE"""),"application/pdf")</f>
        <v>application/pdf</v>
      </c>
    </row>
    <row r="1910">
      <c r="A1910" s="339" t="str">
        <f>IFERROR(__xludf.DUMMYFUNCTION("""COMPUTED_VALUE"""),"10.3389/fcomm-07-1048896")</f>
        <v>10.3389/fcomm-07-1048896</v>
      </c>
      <c r="B1910" s="445" t="str">
        <f>IFERROR(__xludf.DUMMYFUNCTION("""COMPUTED_VALUE"""),"https://drive.google.com/file/d/1UmxI7FadSp2BSEkh5BER_Spt-84l_EZ4/view?usp=drivesdk")</f>
        <v>https://drive.google.com/file/d/1UmxI7FadSp2BSEkh5BER_Spt-84l_EZ4/view?usp=drivesdk</v>
      </c>
      <c r="C1910" s="339" t="str">
        <f>IFERROR(__xludf.DUMMYFUNCTION("""COMPUTED_VALUE"""),"10.3389--fcomm-07-1048896.pdf")</f>
        <v>10.3389--fcomm-07-1048896.pdf</v>
      </c>
      <c r="D1910" s="159" t="str">
        <f>IFERROR(__xludf.DUMMYFUNCTION("""COMPUTED_VALUE"""),"application/pdf")</f>
        <v>application/pdf</v>
      </c>
    </row>
    <row r="1911">
      <c r="A1911" s="339" t="str">
        <f>IFERROR(__xludf.DUMMYFUNCTION("""COMPUTED_VALUE"""),"10.1080/02699931.2016.1273201")</f>
        <v>10.1080/02699931.2016.1273201</v>
      </c>
      <c r="B1911" s="445" t="str">
        <f>IFERROR(__xludf.DUMMYFUNCTION("""COMPUTED_VALUE"""),"https://drive.google.com/file/d/1RNny0IG7SjWvCfMF8M1draCA9I3tK7lj/view?usp=drivesdk")</f>
        <v>https://drive.google.com/file/d/1RNny0IG7SjWvCfMF8M1draCA9I3tK7lj/view?usp=drivesdk</v>
      </c>
      <c r="C1911" s="339" t="str">
        <f>IFERROR(__xludf.DUMMYFUNCTION("""COMPUTED_VALUE"""),"10.1080--02699931.2016.1273201.pdf")</f>
        <v>10.1080--02699931.2016.1273201.pdf</v>
      </c>
      <c r="D1911" s="159" t="str">
        <f>IFERROR(__xludf.DUMMYFUNCTION("""COMPUTED_VALUE"""),"application/pdf")</f>
        <v>application/pdf</v>
      </c>
    </row>
    <row r="1912">
      <c r="A1912" s="339" t="str">
        <f>IFERROR(__xludf.DUMMYFUNCTION("""COMPUTED_VALUE"""),"10.31234/osf.io/ntukz")</f>
        <v>10.31234/osf.io/ntukz</v>
      </c>
      <c r="B1912" s="445" t="str">
        <f>IFERROR(__xludf.DUMMYFUNCTION("""COMPUTED_VALUE"""),"https://drive.google.com/file/d/1AetBiDxEiDABROgFar_KCyTHXjrAYAyC/view?usp=drivesdk")</f>
        <v>https://drive.google.com/file/d/1AetBiDxEiDABROgFar_KCyTHXjrAYAyC/view?usp=drivesdk</v>
      </c>
      <c r="C1912" s="339" t="str">
        <f>IFERROR(__xludf.DUMMYFUNCTION("""COMPUTED_VALUE"""),"10.31234--osf.io--ntukz.pdf")</f>
        <v>10.31234--osf.io--ntukz.pdf</v>
      </c>
      <c r="D1912" s="159" t="str">
        <f>IFERROR(__xludf.DUMMYFUNCTION("""COMPUTED_VALUE"""),"application/pdf")</f>
        <v>application/pdf</v>
      </c>
    </row>
    <row r="1913">
      <c r="A1913" s="339" t="str">
        <f>IFERROR(__xludf.DUMMYFUNCTION("""COMPUTED_VALUE"""),"10.1027/1864-1105/a000334")</f>
        <v>10.1027/1864-1105/a000334</v>
      </c>
      <c r="B1913" s="445" t="str">
        <f>IFERROR(__xludf.DUMMYFUNCTION("""COMPUTED_VALUE"""),"https://drive.google.com/file/d/15PNrZmOOUmljg2u3ulDQT64Zk426YNiM/view?usp=drivesdk")</f>
        <v>https://drive.google.com/file/d/15PNrZmOOUmljg2u3ulDQT64Zk426YNiM/view?usp=drivesdk</v>
      </c>
      <c r="C1913" s="339" t="str">
        <f>IFERROR(__xludf.DUMMYFUNCTION("""COMPUTED_VALUE"""),"10.1027--1864-1105--a000334.pdf")</f>
        <v>10.1027--1864-1105--a000334.pdf</v>
      </c>
      <c r="D1913" s="159" t="str">
        <f>IFERROR(__xludf.DUMMYFUNCTION("""COMPUTED_VALUE"""),"application/pdf")</f>
        <v>application/pdf</v>
      </c>
    </row>
    <row r="1914">
      <c r="A1914" s="339" t="str">
        <f>IFERROR(__xludf.DUMMYFUNCTION("""COMPUTED_VALUE"""),"10.1177/08902070221094216")</f>
        <v>10.1177/08902070221094216</v>
      </c>
      <c r="B1914" s="445" t="str">
        <f>IFERROR(__xludf.DUMMYFUNCTION("""COMPUTED_VALUE"""),"https://drive.google.com/file/d/1hYNUJrx3yjyMoTgcG7Qz4pix-8ruWFMC/view?usp=drivesdk")</f>
        <v>https://drive.google.com/file/d/1hYNUJrx3yjyMoTgcG7Qz4pix-8ruWFMC/view?usp=drivesdk</v>
      </c>
      <c r="C1914" s="339" t="str">
        <f>IFERROR(__xludf.DUMMYFUNCTION("""COMPUTED_VALUE"""),"10.1177--08902070221094216.pdf")</f>
        <v>10.1177--08902070221094216.pdf</v>
      </c>
      <c r="D1914" s="159" t="str">
        <f>IFERROR(__xludf.DUMMYFUNCTION("""COMPUTED_VALUE"""),"application/pdf")</f>
        <v>application/pdf</v>
      </c>
    </row>
    <row r="1915">
      <c r="A1915" s="339" t="str">
        <f>IFERROR(__xludf.DUMMYFUNCTION("""COMPUTED_VALUE"""),"10.1027/1864-9335/a000178")</f>
        <v>10.1027/1864-9335/a000178</v>
      </c>
      <c r="B1915" s="445" t="str">
        <f>IFERROR(__xludf.DUMMYFUNCTION("""COMPUTED_VALUE"""),"https://docs.google.com/document/d/1w93qsRx1KanCQtLtIAvcmPUp0OswXZJrVd4ghqfN_Xo/edit?usp=drivesdk")</f>
        <v>https://docs.google.com/document/d/1w93qsRx1KanCQtLtIAvcmPUp0OswXZJrVd4ghqfN_Xo/edit?usp=drivesdk</v>
      </c>
      <c r="C1915" s="339" t="str">
        <f>IFERROR(__xludf.DUMMYFUNCTION("""COMPUTED_VALUE"""),"10.1027--1864-9335--a000178")</f>
        <v>10.1027--1864-9335--a000178</v>
      </c>
      <c r="D1915" s="159" t="str">
        <f>IFERROR(__xludf.DUMMYFUNCTION("""COMPUTED_VALUE"""),"application/vnd.google-apps.document")</f>
        <v>application/vnd.google-apps.document</v>
      </c>
    </row>
    <row r="1916">
      <c r="A1916" s="339" t="str">
        <f>IFERROR(__xludf.DUMMYFUNCTION("""COMPUTED_VALUE"""),"lee_2013")</f>
        <v>lee_2013</v>
      </c>
      <c r="B1916" s="445" t="str">
        <f>IFERROR(__xludf.DUMMYFUNCTION("""COMPUTED_VALUE"""),"https://drive.google.com/file/d/1DDCuEgQah24QordxkRGO0EIt6Q681jyL/view?usp=drivesdk")</f>
        <v>https://drive.google.com/file/d/1DDCuEgQah24QordxkRGO0EIt6Q681jyL/view?usp=drivesdk</v>
      </c>
      <c r="C1916" s="339" t="str">
        <f>IFERROR(__xludf.DUMMYFUNCTION("""COMPUTED_VALUE"""),"lee_2013.pdf")</f>
        <v>lee_2013.pdf</v>
      </c>
      <c r="D1916" s="159" t="str">
        <f>IFERROR(__xludf.DUMMYFUNCTION("""COMPUTED_VALUE"""),"application/pdf")</f>
        <v>application/pdf</v>
      </c>
    </row>
    <row r="1917">
      <c r="A1917" s="339" t="str">
        <f>IFERROR(__xludf.DUMMYFUNCTION("""COMPUTED_VALUE"""),"10.1016/j.jesp.2004.07.001")</f>
        <v>10.1016/j.jesp.2004.07.001</v>
      </c>
      <c r="B1917" s="445" t="str">
        <f>IFERROR(__xludf.DUMMYFUNCTION("""COMPUTED_VALUE"""),"https://drive.google.com/file/d/13IdVrs_fFWj8hYxe5OVSE67tGuCcKPct/view?usp=drivesdk")</f>
        <v>https://drive.google.com/file/d/13IdVrs_fFWj8hYxe5OVSE67tGuCcKPct/view?usp=drivesdk</v>
      </c>
      <c r="C1917" s="339" t="str">
        <f>IFERROR(__xludf.DUMMYFUNCTION("""COMPUTED_VALUE"""),"10.1016--j.jesp.2004.07.001.pdf")</f>
        <v>10.1016--j.jesp.2004.07.001.pdf</v>
      </c>
      <c r="D1917" s="159" t="str">
        <f>IFERROR(__xludf.DUMMYFUNCTION("""COMPUTED_VALUE"""),"application/pdf")</f>
        <v>application/pdf</v>
      </c>
    </row>
    <row r="1918">
      <c r="A1918" s="339" t="str">
        <f>IFERROR(__xludf.DUMMYFUNCTION("""COMPUTED_VALUE"""),"10.3758/s13428-022-01879-4")</f>
        <v>10.3758/s13428-022-01879-4</v>
      </c>
      <c r="B1918" s="445" t="str">
        <f>IFERROR(__xludf.DUMMYFUNCTION("""COMPUTED_VALUE"""),"https://drive.google.com/file/d/1yMYVS-DUlP_U3zcoWL7wKPwZrYzyiImV/view?usp=drivesdk")</f>
        <v>https://drive.google.com/file/d/1yMYVS-DUlP_U3zcoWL7wKPwZrYzyiImV/view?usp=drivesdk</v>
      </c>
      <c r="C1918" s="339" t="str">
        <f>IFERROR(__xludf.DUMMYFUNCTION("""COMPUTED_VALUE"""),"10.3758--s13428-022-01879-4.pdf")</f>
        <v>10.3758--s13428-022-01879-4.pdf</v>
      </c>
      <c r="D1918" s="159" t="str">
        <f>IFERROR(__xludf.DUMMYFUNCTION("""COMPUTED_VALUE"""),"application/pdf")</f>
        <v>application/pdf</v>
      </c>
    </row>
    <row r="1919">
      <c r="A1919" s="339" t="str">
        <f>IFERROR(__xludf.DUMMYFUNCTION("""COMPUTED_VALUE"""),"10.1177/2167702613485565")</f>
        <v>10.1177/2167702613485565</v>
      </c>
      <c r="B1919" s="445" t="str">
        <f>IFERROR(__xludf.DUMMYFUNCTION("""COMPUTED_VALUE"""),"https://drive.google.com/file/d/1_Adjy9YHg45Gx42zRW_GMddJujIpRnLp/view?usp=drivesdk")</f>
        <v>https://drive.google.com/file/d/1_Adjy9YHg45Gx42zRW_GMddJujIpRnLp/view?usp=drivesdk</v>
      </c>
      <c r="C1919" s="339" t="str">
        <f>IFERROR(__xludf.DUMMYFUNCTION("""COMPUTED_VALUE"""),"10.1177--2167702613485565.pdf")</f>
        <v>10.1177--2167702613485565.pdf</v>
      </c>
      <c r="D1919" s="159" t="str">
        <f>IFERROR(__xludf.DUMMYFUNCTION("""COMPUTED_VALUE"""),"application/pdf")</f>
        <v>application/pdf</v>
      </c>
    </row>
    <row r="1920">
      <c r="A1920" s="339" t="str">
        <f>IFERROR(__xludf.DUMMYFUNCTION("""COMPUTED_VALUE"""),"10.1080/01973533.2013.856792")</f>
        <v>10.1080/01973533.2013.856792</v>
      </c>
      <c r="B1920" s="445" t="str">
        <f>IFERROR(__xludf.DUMMYFUNCTION("""COMPUTED_VALUE"""),"https://drive.google.com/file/d/1grC_-CjFVn77v-PGNS3-UDB1Sv0gUwum/view?usp=drivesdk")</f>
        <v>https://drive.google.com/file/d/1grC_-CjFVn77v-PGNS3-UDB1Sv0gUwum/view?usp=drivesdk</v>
      </c>
      <c r="C1920" s="339" t="str">
        <f>IFERROR(__xludf.DUMMYFUNCTION("""COMPUTED_VALUE"""),"10.1080--01973533.2013.856792.pdf")</f>
        <v>10.1080--01973533.2013.856792.pdf</v>
      </c>
      <c r="D1920" s="159" t="str">
        <f>IFERROR(__xludf.DUMMYFUNCTION("""COMPUTED_VALUE"""),"application/pdf")</f>
        <v>application/pdf</v>
      </c>
    </row>
    <row r="1921">
      <c r="A1921" s="339" t="str">
        <f>IFERROR(__xludf.DUMMYFUNCTION("""COMPUTED_VALUE"""),"10.5209/rev_sjop.2011.v14.n1.13")</f>
        <v>10.5209/rev_sjop.2011.v14.n1.13</v>
      </c>
      <c r="B1921" s="445" t="str">
        <f>IFERROR(__xludf.DUMMYFUNCTION("""COMPUTED_VALUE"""),"https://drive.google.com/file/d/1G4tP3z0FT61HHKi1B51ImyPr28TywEAv/view?usp=drivesdk")</f>
        <v>https://drive.google.com/file/d/1G4tP3z0FT61HHKi1B51ImyPr28TywEAv/view?usp=drivesdk</v>
      </c>
      <c r="C1921" s="339" t="str">
        <f>IFERROR(__xludf.DUMMYFUNCTION("""COMPUTED_VALUE"""),"10.5209--rev_SJOP.2011.v14.n1.13.pdf")</f>
        <v>10.5209--rev_SJOP.2011.v14.n1.13.pdf</v>
      </c>
      <c r="D1921" s="159" t="str">
        <f>IFERROR(__xludf.DUMMYFUNCTION("""COMPUTED_VALUE"""),"application/pdf")</f>
        <v>application/pdf</v>
      </c>
    </row>
    <row r="1922">
      <c r="A1922" s="339" t="str">
        <f>IFERROR(__xludf.DUMMYFUNCTION("""COMPUTED_VALUE"""),"fayard_2009")</f>
        <v>fayard_2009</v>
      </c>
      <c r="B1922" s="445" t="str">
        <f>IFERROR(__xludf.DUMMYFUNCTION("""COMPUTED_VALUE"""),"https://drive.google.com/file/d/1TZ4v__dPOmI3xNzFpnJFIk9lq8TKq6BL/view?usp=drivesdk")</f>
        <v>https://drive.google.com/file/d/1TZ4v__dPOmI3xNzFpnJFIk9lq8TKq6BL/view?usp=drivesdk</v>
      </c>
      <c r="C1922" s="339" t="str">
        <f>IFERROR(__xludf.DUMMYFUNCTION("""COMPUTED_VALUE"""),"fayard_2009.pdf")</f>
        <v>fayard_2009.pdf</v>
      </c>
      <c r="D1922" s="159" t="str">
        <f>IFERROR(__xludf.DUMMYFUNCTION("""COMPUTED_VALUE"""),"application/pdf")</f>
        <v>application/pdf</v>
      </c>
    </row>
    <row r="1923">
      <c r="A1923" s="339" t="str">
        <f>IFERROR(__xludf.DUMMYFUNCTION("""COMPUTED_VALUE"""),"10.31236/osf.io/tzn6d")</f>
        <v>10.31236/osf.io/tzn6d</v>
      </c>
      <c r="B1923" s="445" t="str">
        <f>IFERROR(__xludf.DUMMYFUNCTION("""COMPUTED_VALUE"""),"https://drive.google.com/file/d/1M6Ltzqhoq6i38u_uKwWyzNhrrtQbazWq/view?usp=drivesdk")</f>
        <v>https://drive.google.com/file/d/1M6Ltzqhoq6i38u_uKwWyzNhrrtQbazWq/view?usp=drivesdk</v>
      </c>
      <c r="C1923" s="339" t="str">
        <f>IFERROR(__xludf.DUMMYFUNCTION("""COMPUTED_VALUE"""),"10.31236--osf.io--tzn6d.pdf")</f>
        <v>10.31236--osf.io--tzn6d.pdf</v>
      </c>
      <c r="D1923" s="159" t="str">
        <f>IFERROR(__xludf.DUMMYFUNCTION("""COMPUTED_VALUE"""),"application/pdf")</f>
        <v>application/pdf</v>
      </c>
    </row>
    <row r="1924">
      <c r="A1924" s="339" t="str">
        <f>IFERROR(__xludf.DUMMYFUNCTION("""COMPUTED_VALUE"""),"10.1177/0956797617747090")</f>
        <v>10.1177/0956797617747090</v>
      </c>
      <c r="B1924" s="445" t="str">
        <f>IFERROR(__xludf.DUMMYFUNCTION("""COMPUTED_VALUE"""),"https://drive.google.com/file/d/1CVrT0V-MeqSfZShwoRY6MMjJJXISWk02/view?usp=drivesdk")</f>
        <v>https://drive.google.com/file/d/1CVrT0V-MeqSfZShwoRY6MMjJJXISWk02/view?usp=drivesdk</v>
      </c>
      <c r="C1924" s="339" t="str">
        <f>IFERROR(__xludf.DUMMYFUNCTION("""COMPUTED_VALUE"""),"10.1177--0956797617747090.pdf")</f>
        <v>10.1177--0956797617747090.pdf</v>
      </c>
      <c r="D1924" s="159" t="str">
        <f>IFERROR(__xludf.DUMMYFUNCTION("""COMPUTED_VALUE"""),"application/pdf")</f>
        <v>application/pdf</v>
      </c>
    </row>
    <row r="1925">
      <c r="A1925" s="339" t="str">
        <f>IFERROR(__xludf.DUMMYFUNCTION("""COMPUTED_VALUE"""),"10.1016/j.intell.2020.101471")</f>
        <v>10.1016/j.intell.2020.101471</v>
      </c>
      <c r="B1925" s="445" t="str">
        <f>IFERROR(__xludf.DUMMYFUNCTION("""COMPUTED_VALUE"""),"https://drive.google.com/file/d/12vr4IdpuKGHum4clozdFiyxIbQP3jx5f/view?usp=drivesdk")</f>
        <v>https://drive.google.com/file/d/12vr4IdpuKGHum4clozdFiyxIbQP3jx5f/view?usp=drivesdk</v>
      </c>
      <c r="C1925" s="339" t="str">
        <f>IFERROR(__xludf.DUMMYFUNCTION("""COMPUTED_VALUE"""),"10.1016--j.intell.2020.101471.pdf")</f>
        <v>10.1016--j.intell.2020.101471.pdf</v>
      </c>
      <c r="D1925" s="159" t="str">
        <f>IFERROR(__xludf.DUMMYFUNCTION("""COMPUTED_VALUE"""),"application/pdf")</f>
        <v>application/pdf</v>
      </c>
    </row>
    <row r="1926">
      <c r="A1926" s="339" t="str">
        <f>IFERROR(__xludf.DUMMYFUNCTION("""COMPUTED_VALUE"""),"10.31234/osf.io/kavx4")</f>
        <v>10.31234/osf.io/kavx4</v>
      </c>
      <c r="B1926" s="445" t="str">
        <f>IFERROR(__xludf.DUMMYFUNCTION("""COMPUTED_VALUE"""),"https://drive.google.com/file/d/1tBea1xcrmrgSGVymZfDDDZH7SLB5aF-6/view?usp=drivesdk")</f>
        <v>https://drive.google.com/file/d/1tBea1xcrmrgSGVymZfDDDZH7SLB5aF-6/view?usp=drivesdk</v>
      </c>
      <c r="C1926" s="339" t="str">
        <f>IFERROR(__xludf.DUMMYFUNCTION("""COMPUTED_VALUE"""),"10.31234--osf.io--kavx4.pdf")</f>
        <v>10.31234--osf.io--kavx4.pdf</v>
      </c>
      <c r="D1926" s="159" t="str">
        <f>IFERROR(__xludf.DUMMYFUNCTION("""COMPUTED_VALUE"""),"application/pdf")</f>
        <v>application/pdf</v>
      </c>
    </row>
    <row r="1927">
      <c r="A1927" s="339" t="str">
        <f>IFERROR(__xludf.DUMMYFUNCTION("""COMPUTED_VALUE"""),"10.1525/collabra.68054")</f>
        <v>10.1525/collabra.68054</v>
      </c>
      <c r="B1927" s="445" t="str">
        <f>IFERROR(__xludf.DUMMYFUNCTION("""COMPUTED_VALUE"""),"https://drive.google.com/file/d/1rBJAGWTtBimqdJkF-7AeLyVrGIG8EBnW/view?usp=drivesdk")</f>
        <v>https://drive.google.com/file/d/1rBJAGWTtBimqdJkF-7AeLyVrGIG8EBnW/view?usp=drivesdk</v>
      </c>
      <c r="C1927" s="339" t="str">
        <f>IFERROR(__xludf.DUMMYFUNCTION("""COMPUTED_VALUE"""),"10.1525--collabra.68054.pdf")</f>
        <v>10.1525--collabra.68054.pdf</v>
      </c>
      <c r="D1927" s="159" t="str">
        <f>IFERROR(__xludf.DUMMYFUNCTION("""COMPUTED_VALUE"""),"application/pdf")</f>
        <v>application/pdf</v>
      </c>
    </row>
    <row r="1928">
      <c r="A1928" s="339" t="str">
        <f>IFERROR(__xludf.DUMMYFUNCTION("""COMPUTED_VALUE"""),"10.31234/osf.io/v643q")</f>
        <v>10.31234/osf.io/v643q</v>
      </c>
      <c r="B1928" s="445" t="str">
        <f>IFERROR(__xludf.DUMMYFUNCTION("""COMPUTED_VALUE"""),"https://drive.google.com/file/d/1FM8L4aEO4RUDs49kJAJIdOCQaOMgYN0P/view?usp=drivesdk")</f>
        <v>https://drive.google.com/file/d/1FM8L4aEO4RUDs49kJAJIdOCQaOMgYN0P/view?usp=drivesdk</v>
      </c>
      <c r="C1928" s="339" t="str">
        <f>IFERROR(__xludf.DUMMYFUNCTION("""COMPUTED_VALUE"""),"10.31234--osf.io--v643q.pdf")</f>
        <v>10.31234--osf.io--v643q.pdf</v>
      </c>
      <c r="D1928" s="159" t="str">
        <f>IFERROR(__xludf.DUMMYFUNCTION("""COMPUTED_VALUE"""),"application/pdf")</f>
        <v>application/pdf</v>
      </c>
    </row>
    <row r="1929">
      <c r="A1929" s="339" t="str">
        <f>IFERROR(__xludf.DUMMYFUNCTION("""COMPUTED_VALUE"""),"10.1037/0022-3514.76.6.893")</f>
        <v>10.1037/0022-3514.76.6.893</v>
      </c>
      <c r="B1929" s="445" t="str">
        <f>IFERROR(__xludf.DUMMYFUNCTION("""COMPUTED_VALUE"""),"https://drive.google.com/file/d/1OyJsePQ8uL-fdEQollfx14Y7XOGBJ7YL/view?usp=drivesdk")</f>
        <v>https://drive.google.com/file/d/1OyJsePQ8uL-fdEQollfx14Y7XOGBJ7YL/view?usp=drivesdk</v>
      </c>
      <c r="C1929" s="339" t="str">
        <f>IFERROR(__xludf.DUMMYFUNCTION("""COMPUTED_VALUE"""),"10.1037--0022-3514.76.6.893.pdf")</f>
        <v>10.1037--0022-3514.76.6.893.pdf</v>
      </c>
      <c r="D1929" s="159" t="str">
        <f>IFERROR(__xludf.DUMMYFUNCTION("""COMPUTED_VALUE"""),"application/pdf")</f>
        <v>application/pdf</v>
      </c>
    </row>
    <row r="1930">
      <c r="A1930" s="339" t="str">
        <f>IFERROR(__xludf.DUMMYFUNCTION("""COMPUTED_VALUE"""),"10.1016/j.evolhumbehav.2015.04.002")</f>
        <v>10.1016/j.evolhumbehav.2015.04.002</v>
      </c>
      <c r="B1930" s="445" t="str">
        <f>IFERROR(__xludf.DUMMYFUNCTION("""COMPUTED_VALUE"""),"https://drive.google.com/file/d/1hmrY9lsX4LBR0hPx0EBCXocgeL7ArKp6/view?usp=drivesdk")</f>
        <v>https://drive.google.com/file/d/1hmrY9lsX4LBR0hPx0EBCXocgeL7ArKp6/view?usp=drivesdk</v>
      </c>
      <c r="C1930" s="339" t="str">
        <f>IFERROR(__xludf.DUMMYFUNCTION("""COMPUTED_VALUE"""),"10.1016--j.evolhumbehav.2015.04.002.pdf")</f>
        <v>10.1016--j.evolhumbehav.2015.04.002.pdf</v>
      </c>
      <c r="D1930" s="159" t="str">
        <f>IFERROR(__xludf.DUMMYFUNCTION("""COMPUTED_VALUE"""),"application/pdf")</f>
        <v>application/pdf</v>
      </c>
    </row>
    <row r="1931">
      <c r="A1931" s="339" t="str">
        <f>IFERROR(__xludf.DUMMYFUNCTION("""COMPUTED_VALUE"""),"10.1037/a0023527")</f>
        <v>10.1037/a0023527</v>
      </c>
      <c r="B1931" s="445" t="str">
        <f>IFERROR(__xludf.DUMMYFUNCTION("""COMPUTED_VALUE"""),"https://drive.google.com/file/d/1QDNRrzD1VCOwR4bsx3QJgYLm2e6VV-no/view?usp=drivesdk")</f>
        <v>https://drive.google.com/file/d/1QDNRrzD1VCOwR4bsx3QJgYLm2e6VV-no/view?usp=drivesdk</v>
      </c>
      <c r="C1931" s="339" t="str">
        <f>IFERROR(__xludf.DUMMYFUNCTION("""COMPUTED_VALUE"""),"10.1037--a0023527.pdf")</f>
        <v>10.1037--a0023527.pdf</v>
      </c>
      <c r="D1931" s="159" t="str">
        <f>IFERROR(__xludf.DUMMYFUNCTION("""COMPUTED_VALUE"""),"application/pdf")</f>
        <v>application/pdf</v>
      </c>
    </row>
    <row r="1932">
      <c r="A1932" s="339" t="str">
        <f>IFERROR(__xludf.DUMMYFUNCTION("""COMPUTED_VALUE"""),"10.1037/a0027598")</f>
        <v>10.1037/a0027598</v>
      </c>
      <c r="B1932" s="445" t="str">
        <f>IFERROR(__xludf.DUMMYFUNCTION("""COMPUTED_VALUE"""),"https://drive.google.com/file/d/1-8hoTcDzN7GjN92fqlhu7SLhxRSQTUrd/view?usp=drivesdk")</f>
        <v>https://drive.google.com/file/d/1-8hoTcDzN7GjN92fqlhu7SLhxRSQTUrd/view?usp=drivesdk</v>
      </c>
      <c r="C1932" s="339" t="str">
        <f>IFERROR(__xludf.DUMMYFUNCTION("""COMPUTED_VALUE"""),"10.1037--a0027598.pdf")</f>
        <v>10.1037--a0027598.pdf</v>
      </c>
      <c r="D1932" s="159" t="str">
        <f>IFERROR(__xludf.DUMMYFUNCTION("""COMPUTED_VALUE"""),"application/pdf")</f>
        <v>application/pdf</v>
      </c>
    </row>
    <row r="1933">
      <c r="A1933" s="339" t="str">
        <f>IFERROR(__xludf.DUMMYFUNCTION("""COMPUTED_VALUE"""),"ferrell_2013")</f>
        <v>ferrell_2013</v>
      </c>
      <c r="B1933" s="445" t="str">
        <f>IFERROR(__xludf.DUMMYFUNCTION("""COMPUTED_VALUE"""),"https://drive.google.com/file/d/1XsfKzqBh-rbhyVubt-56zgPU_Ak2yFU6/view?usp=drivesdk")</f>
        <v>https://drive.google.com/file/d/1XsfKzqBh-rbhyVubt-56zgPU_Ak2yFU6/view?usp=drivesdk</v>
      </c>
      <c r="C1933" s="339" t="str">
        <f>IFERROR(__xludf.DUMMYFUNCTION("""COMPUTED_VALUE"""),"ferrell_2013.pdf")</f>
        <v>ferrell_2013.pdf</v>
      </c>
      <c r="D1933" s="159" t="str">
        <f>IFERROR(__xludf.DUMMYFUNCTION("""COMPUTED_VALUE"""),"application/pdf")</f>
        <v>application/pdf</v>
      </c>
    </row>
    <row r="1934">
      <c r="A1934" s="339" t="str">
        <f>IFERROR(__xludf.DUMMYFUNCTION("""COMPUTED_VALUE"""),"10.1037/a0036079")</f>
        <v>10.1037/a0036079</v>
      </c>
      <c r="B1934" s="445" t="str">
        <f>IFERROR(__xludf.DUMMYFUNCTION("""COMPUTED_VALUE"""),"https://drive.google.com/file/d/1qciw5bAxDFe8UHI_osvmJAtB2c2Hc5Mv/view?usp=drivesdk")</f>
        <v>https://drive.google.com/file/d/1qciw5bAxDFe8UHI_osvmJAtB2c2Hc5Mv/view?usp=drivesdk</v>
      </c>
      <c r="C1934" s="339" t="str">
        <f>IFERROR(__xludf.DUMMYFUNCTION("""COMPUTED_VALUE"""),"10.1037--a0036079.pdf")</f>
        <v>10.1037--a0036079.pdf</v>
      </c>
      <c r="D1934" s="159" t="str">
        <f>IFERROR(__xludf.DUMMYFUNCTION("""COMPUTED_VALUE"""),"application/pdf")</f>
        <v>application/pdf</v>
      </c>
    </row>
    <row r="1935">
      <c r="A1935" s="339" t="str">
        <f>IFERROR(__xludf.DUMMYFUNCTION("""COMPUTED_VALUE"""),"10.1016/j.jesp.2009.06.003")</f>
        <v>10.1016/j.jesp.2009.06.003</v>
      </c>
      <c r="B1935" s="445" t="str">
        <f>IFERROR(__xludf.DUMMYFUNCTION("""COMPUTED_VALUE"""),"https://drive.google.com/file/d/1qBoMlGJSxfD9Le6GQLq29-E2xuX5NtUI/view?usp=drivesdk")</f>
        <v>https://drive.google.com/file/d/1qBoMlGJSxfD9Le6GQLq29-E2xuX5NtUI/view?usp=drivesdk</v>
      </c>
      <c r="C1935" s="339" t="str">
        <f>IFERROR(__xludf.DUMMYFUNCTION("""COMPUTED_VALUE"""),"10.1016--j.jesp.2009.06.003.pdf")</f>
        <v>10.1016--j.jesp.2009.06.003.pdf</v>
      </c>
      <c r="D1935" s="159" t="str">
        <f>IFERROR(__xludf.DUMMYFUNCTION("""COMPUTED_VALUE"""),"application/pdf")</f>
        <v>application/pdf</v>
      </c>
    </row>
    <row r="1936">
      <c r="A1936" s="339" t="str">
        <f>IFERROR(__xludf.DUMMYFUNCTION("""COMPUTED_VALUE"""),"10.1016/j.cognition.2014.09.006")</f>
        <v>10.1016/j.cognition.2014.09.006</v>
      </c>
      <c r="B1936" s="445" t="str">
        <f>IFERROR(__xludf.DUMMYFUNCTION("""COMPUTED_VALUE"""),"https://drive.google.com/file/d/1kMj9bYJrk8644y4gPjpgYXSikwfmuYTS/view?usp=drivesdk")</f>
        <v>https://drive.google.com/file/d/1kMj9bYJrk8644y4gPjpgYXSikwfmuYTS/view?usp=drivesdk</v>
      </c>
      <c r="C1936" s="339" t="str">
        <f>IFERROR(__xludf.DUMMYFUNCTION("""COMPUTED_VALUE"""),"10.1016--j.cognition.2014.09.006.pdf")</f>
        <v>10.1016--j.cognition.2014.09.006.pdf</v>
      </c>
      <c r="D1936" s="159" t="str">
        <f>IFERROR(__xludf.DUMMYFUNCTION("""COMPUTED_VALUE"""),"application/pdf")</f>
        <v>application/pdf</v>
      </c>
    </row>
    <row r="1937">
      <c r="A1937" s="339" t="str">
        <f>IFERROR(__xludf.DUMMYFUNCTION("""COMPUTED_VALUE"""),"10.1525/collabra.185")</f>
        <v>10.1525/collabra.185</v>
      </c>
      <c r="B1937" s="445" t="str">
        <f>IFERROR(__xludf.DUMMYFUNCTION("""COMPUTED_VALUE"""),"https://drive.google.com/file/d/1Xoam7f13E5M2EddKf56QMnzGorZg_Rlu/view?usp=drivesdk")</f>
        <v>https://drive.google.com/file/d/1Xoam7f13E5M2EddKf56QMnzGorZg_Rlu/view?usp=drivesdk</v>
      </c>
      <c r="C1937" s="339" t="str">
        <f>IFERROR(__xludf.DUMMYFUNCTION("""COMPUTED_VALUE"""),"10.1525--collabra.185.pdf")</f>
        <v>10.1525--collabra.185.pdf</v>
      </c>
      <c r="D1937" s="159" t="str">
        <f>IFERROR(__xludf.DUMMYFUNCTION("""COMPUTED_VALUE"""),"application/pdf")</f>
        <v>application/pdf</v>
      </c>
    </row>
    <row r="1938">
      <c r="A1938" s="339" t="str">
        <f>IFERROR(__xludf.DUMMYFUNCTION("""COMPUTED_VALUE"""),"10.1098/rsos.210641")</f>
        <v>10.1098/rsos.210641</v>
      </c>
      <c r="B1938" s="445" t="str">
        <f>IFERROR(__xludf.DUMMYFUNCTION("""COMPUTED_VALUE"""),"https://drive.google.com/file/d/1YzEqH7QTG95vm-E-CJt-CI-rq6sFA3bV/view?usp=drivesdk")</f>
        <v>https://drive.google.com/file/d/1YzEqH7QTG95vm-E-CJt-CI-rq6sFA3bV/view?usp=drivesdk</v>
      </c>
      <c r="C1938" s="339" t="str">
        <f>IFERROR(__xludf.DUMMYFUNCTION("""COMPUTED_VALUE"""),"10.1098--rsos.210641.pdf")</f>
        <v>10.1098--rsos.210641.pdf</v>
      </c>
      <c r="D1938" s="159" t="str">
        <f>IFERROR(__xludf.DUMMYFUNCTION("""COMPUTED_VALUE"""),"application/pdf")</f>
        <v>application/pdf</v>
      </c>
    </row>
    <row r="1939">
      <c r="A1939" s="339" t="str">
        <f>IFERROR(__xludf.DUMMYFUNCTION("""COMPUTED_VALUE"""),"10.1037/pspa0000261")</f>
        <v>10.1037/pspa0000261</v>
      </c>
      <c r="B1939" s="445" t="str">
        <f>IFERROR(__xludf.DUMMYFUNCTION("""COMPUTED_VALUE"""),"https://drive.google.com/file/d/1yu5hD1Fq1gaQ5iAk9Sy1oujO3qnlBxsm/view?usp=drivesdk")</f>
        <v>https://drive.google.com/file/d/1yu5hD1Fq1gaQ5iAk9Sy1oujO3qnlBxsm/view?usp=drivesdk</v>
      </c>
      <c r="C1939" s="339" t="str">
        <f>IFERROR(__xludf.DUMMYFUNCTION("""COMPUTED_VALUE"""),"10.1037--pspa0000261.pdf")</f>
        <v>10.1037--pspa0000261.pdf</v>
      </c>
      <c r="D1939" s="159" t="str">
        <f>IFERROR(__xludf.DUMMYFUNCTION("""COMPUTED_VALUE"""),"application/pdf")</f>
        <v>application/pdf</v>
      </c>
    </row>
    <row r="1940">
      <c r="A1940" s="339" t="str">
        <f>IFERROR(__xludf.DUMMYFUNCTION("""COMPUTED_VALUE"""),"10.1525/collabra.277")</f>
        <v>10.1525/collabra.277</v>
      </c>
      <c r="B1940" s="445" t="str">
        <f>IFERROR(__xludf.DUMMYFUNCTION("""COMPUTED_VALUE"""),"https://drive.google.com/file/d/1gqkCLQ8YLn27JACJIv51ycR1U6cUfNAJ/view?usp=drivesdk")</f>
        <v>https://drive.google.com/file/d/1gqkCLQ8YLn27JACJIv51ycR1U6cUfNAJ/view?usp=drivesdk</v>
      </c>
      <c r="C1940" s="339" t="str">
        <f>IFERROR(__xludf.DUMMYFUNCTION("""COMPUTED_VALUE"""),"10.1525--collabra.277.pdf")</f>
        <v>10.1525--collabra.277.pdf</v>
      </c>
      <c r="D1940" s="159" t="str">
        <f>IFERROR(__xludf.DUMMYFUNCTION("""COMPUTED_VALUE"""),"application/pdf")</f>
        <v>application/pdf</v>
      </c>
    </row>
    <row r="1941">
      <c r="A1941" s="339" t="str">
        <f>IFERROR(__xludf.DUMMYFUNCTION("""COMPUTED_VALUE"""),"10.1177/01461672211052120")</f>
        <v>10.1177/01461672211052120</v>
      </c>
      <c r="B1941" s="445" t="str">
        <f>IFERROR(__xludf.DUMMYFUNCTION("""COMPUTED_VALUE"""),"https://drive.google.com/file/d/1qykbPSroz40PGKkag9WEI54L9tC55d5r/view?usp=drivesdk")</f>
        <v>https://drive.google.com/file/d/1qykbPSroz40PGKkag9WEI54L9tC55d5r/view?usp=drivesdk</v>
      </c>
      <c r="C1941" s="339" t="str">
        <f>IFERROR(__xludf.DUMMYFUNCTION("""COMPUTED_VALUE"""),"10.1177--01461672211052120.pdf")</f>
        <v>10.1177--01461672211052120.pdf</v>
      </c>
      <c r="D1941" s="159" t="str">
        <f>IFERROR(__xludf.DUMMYFUNCTION("""COMPUTED_VALUE"""),"application/pdf")</f>
        <v>application/pdf</v>
      </c>
    </row>
    <row r="1942">
      <c r="A1942" s="339" t="str">
        <f>IFERROR(__xludf.DUMMYFUNCTION("""COMPUTED_VALUE"""),"10.1002/(sici)1099-0771(199806)11_2_3c107_aid-bdm292_3e3.0.co_2-y")</f>
        <v>10.1002/(sici)1099-0771(199806)11_2_3c107_aid-bdm292_3e3.0.co_2-y</v>
      </c>
      <c r="B1942" s="445" t="str">
        <f>IFERROR(__xludf.DUMMYFUNCTION("""COMPUTED_VALUE"""),"https://drive.google.com/file/d/1ZIjUGgM0ZNJMwX1YUqhWIb-i5jgS1Cmy/view?usp=drivesdk")</f>
        <v>https://drive.google.com/file/d/1ZIjUGgM0ZNJMwX1YUqhWIb-i5jgS1Cmy/view?usp=drivesdk</v>
      </c>
      <c r="C1942" s="339" t="str">
        <f>IFERROR(__xludf.DUMMYFUNCTION("""COMPUTED_VALUE"""),"10.1002--(SICI)1099-0771(199806)11_2_3C107_AID-BDM292_3E3.0.CO_2-Y.pdf.pdf")</f>
        <v>10.1002--(SICI)1099-0771(199806)11_2_3C107_AID-BDM292_3E3.0.CO_2-Y.pdf.pdf</v>
      </c>
      <c r="D1942" s="159" t="str">
        <f>IFERROR(__xludf.DUMMYFUNCTION("""COMPUTED_VALUE"""),"application/pdf")</f>
        <v>application/pdf</v>
      </c>
    </row>
    <row r="1943">
      <c r="A1943" s="339" t="str">
        <f>IFERROR(__xludf.DUMMYFUNCTION("""COMPUTED_VALUE"""),"osf_68m2c")</f>
        <v>osf_68m2c</v>
      </c>
      <c r="B1943" s="445" t="str">
        <f>IFERROR(__xludf.DUMMYFUNCTION("""COMPUTED_VALUE"""),"https://drive.google.com/file/d/1fXdEI1kl0lQt_4qWiP91lWgenOEsMrKg/view?usp=drivesdk")</f>
        <v>https://drive.google.com/file/d/1fXdEI1kl0lQt_4qWiP91lWgenOEsMrKg/view?usp=drivesdk</v>
      </c>
      <c r="C1943" s="339" t="str">
        <f>IFERROR(__xludf.DUMMYFUNCTION("""COMPUTED_VALUE"""),"osf_68m2c.pdf")</f>
        <v>osf_68m2c.pdf</v>
      </c>
      <c r="D1943" s="159" t="str">
        <f>IFERROR(__xludf.DUMMYFUNCTION("""COMPUTED_VALUE"""),"application/pdf")</f>
        <v>application/pdf</v>
      </c>
    </row>
    <row r="1944">
      <c r="A1944" s="339" t="str">
        <f>IFERROR(__xludf.DUMMYFUNCTION("""COMPUTED_VALUE"""),"fred_papers-20250213t101115z-001.zip")</f>
        <v>fred_papers-20250213t101115z-001.zip</v>
      </c>
      <c r="B1944" s="445" t="str">
        <f>IFERROR(__xludf.DUMMYFUNCTION("""COMPUTED_VALUE"""),"https://drive.google.com/file/d/10DQLGJZonXtZosc0iBs5LKbP4uoONS18/view?usp=drivesdk")</f>
        <v>https://drive.google.com/file/d/10DQLGJZonXtZosc0iBs5LKbP4uoONS18/view?usp=drivesdk</v>
      </c>
      <c r="C1944" s="339" t="str">
        <f>IFERROR(__xludf.DUMMYFUNCTION("""COMPUTED_VALUE"""),"fred_papers-20250213T101115Z-001.zip")</f>
        <v>fred_papers-20250213T101115Z-001.zip</v>
      </c>
      <c r="D1944" s="159" t="str">
        <f>IFERROR(__xludf.DUMMYFUNCTION("""COMPUTED_VALUE"""),"application/zip")</f>
        <v>application/zip</v>
      </c>
    </row>
    <row r="1945">
      <c r="A1945" s="339" t="str">
        <f>IFERROR(__xludf.DUMMYFUNCTION("""COMPUTED_VALUE"""),"10.1177/1745691613513470")</f>
        <v>10.1177/1745691613513470</v>
      </c>
      <c r="B1945" s="445" t="str">
        <f>IFERROR(__xludf.DUMMYFUNCTION("""COMPUTED_VALUE"""),"https://drive.google.com/file/d/1I8FOJusplVycfM59FMbxsbyzq7e1ojke/view?usp=drivesdk")</f>
        <v>https://drive.google.com/file/d/1I8FOJusplVycfM59FMbxsbyzq7e1ojke/view?usp=drivesdk</v>
      </c>
      <c r="C1945" s="339" t="str">
        <f>IFERROR(__xludf.DUMMYFUNCTION("""COMPUTED_VALUE"""),"10.1177--1745691613513470.pdf")</f>
        <v>10.1177--1745691613513470.pdf</v>
      </c>
      <c r="D1945" s="159" t="str">
        <f>IFERROR(__xludf.DUMMYFUNCTION("""COMPUTED_VALUE"""),"application/pdf")</f>
        <v>application/pdf</v>
      </c>
    </row>
    <row r="1946">
      <c r="A1946" s="339" t="str">
        <f>IFERROR(__xludf.DUMMYFUNCTION("""COMPUTED_VALUE"""),"10.17605/osf.io/nxp9w")</f>
        <v>10.17605/osf.io/nxp9w</v>
      </c>
      <c r="B1946" s="445" t="str">
        <f>IFERROR(__xludf.DUMMYFUNCTION("""COMPUTED_VALUE"""),"https://drive.google.com/file/d/1yS8koYLoBzTIOnY0Iveg0atwD_kYj-_v/view?usp=drivesdk")</f>
        <v>https://drive.google.com/file/d/1yS8koYLoBzTIOnY0Iveg0atwD_kYj-_v/view?usp=drivesdk</v>
      </c>
      <c r="C1946" s="339" t="str">
        <f>IFERROR(__xludf.DUMMYFUNCTION("""COMPUTED_VALUE"""),"10.17605--osf.io--nxp9w.pdf")</f>
        <v>10.17605--osf.io--nxp9w.pdf</v>
      </c>
      <c r="D1946" s="159" t="str">
        <f>IFERROR(__xludf.DUMMYFUNCTION("""COMPUTED_VALUE"""),"application/pdf")</f>
        <v>application/pdf</v>
      </c>
    </row>
    <row r="1947">
      <c r="A1947" s="339" t="str">
        <f>IFERROR(__xludf.DUMMYFUNCTION("""COMPUTED_VALUE"""),"10.17605/osf.io/82bwv")</f>
        <v>10.17605/osf.io/82bwv</v>
      </c>
      <c r="B1947" s="445" t="str">
        <f>IFERROR(__xludf.DUMMYFUNCTION("""COMPUTED_VALUE"""),"https://drive.google.com/file/d/1NW_w2zDU8T7DWf98R3BXNjHeH_EWmdiE/view?usp=drivesdk")</f>
        <v>https://drive.google.com/file/d/1NW_w2zDU8T7DWf98R3BXNjHeH_EWmdiE/view?usp=drivesdk</v>
      </c>
      <c r="C1947" s="339" t="str">
        <f>IFERROR(__xludf.DUMMYFUNCTION("""COMPUTED_VALUE"""),"10.17605--osf.io--82bwv.pdf")</f>
        <v>10.17605--osf.io--82bwv.pdf</v>
      </c>
      <c r="D1947" s="159" t="str">
        <f>IFERROR(__xludf.DUMMYFUNCTION("""COMPUTED_VALUE"""),"application/pdf")</f>
        <v>application/pdf</v>
      </c>
    </row>
    <row r="1948">
      <c r="A1948" s="339" t="str">
        <f>IFERROR(__xludf.DUMMYFUNCTION("""COMPUTED_VALUE"""),"10.3389/fpsyg.2014.00786")</f>
        <v>10.3389/fpsyg.2014.00786</v>
      </c>
      <c r="B1948" s="445" t="str">
        <f>IFERROR(__xludf.DUMMYFUNCTION("""COMPUTED_VALUE"""),"https://drive.google.com/file/d/1X8xl-ktO34rqHxXEr72Dhva7VBCdkSZl/view?usp=drivesdk")</f>
        <v>https://drive.google.com/file/d/1X8xl-ktO34rqHxXEr72Dhva7VBCdkSZl/view?usp=drivesdk</v>
      </c>
      <c r="C1948" s="339" t="str">
        <f>IFERROR(__xludf.DUMMYFUNCTION("""COMPUTED_VALUE"""),"10.3389--fpsyg.2014.00786.pdf")</f>
        <v>10.3389--fpsyg.2014.00786.pdf</v>
      </c>
      <c r="D1948" s="159" t="str">
        <f>IFERROR(__xludf.DUMMYFUNCTION("""COMPUTED_VALUE"""),"application/pdf")</f>
        <v>application/pdf</v>
      </c>
    </row>
    <row r="1949">
      <c r="A1949" s="339" t="str">
        <f>IFERROR(__xludf.DUMMYFUNCTION("""COMPUTED_VALUE"""),"10.17605/osf.io/ictp5")</f>
        <v>10.17605/osf.io/ictp5</v>
      </c>
      <c r="B1949" s="445" t="str">
        <f>IFERROR(__xludf.DUMMYFUNCTION("""COMPUTED_VALUE"""),"https://drive.google.com/file/d/1aZbByDdOVHRhBNFrVHpONghJoQFgQzen/view?usp=drivesdk")</f>
        <v>https://drive.google.com/file/d/1aZbByDdOVHRhBNFrVHpONghJoQFgQzen/view?usp=drivesdk</v>
      </c>
      <c r="C1949" s="339" t="str">
        <f>IFERROR(__xludf.DUMMYFUNCTION("""COMPUTED_VALUE"""),"10.17605--osf.io--ictp5.pdf")</f>
        <v>10.17605--osf.io--ictp5.pdf</v>
      </c>
      <c r="D1949" s="159" t="str">
        <f>IFERROR(__xludf.DUMMYFUNCTION("""COMPUTED_VALUE"""),"application/pdf")</f>
        <v>application/pdf</v>
      </c>
    </row>
    <row r="1950">
      <c r="A1950" s="339" t="str">
        <f>IFERROR(__xludf.DUMMYFUNCTION("""COMPUTED_VALUE"""),"10.1027/1864-9335/a000186")</f>
        <v>10.1027/1864-9335/a000186</v>
      </c>
      <c r="B1950" s="445" t="str">
        <f>IFERROR(__xludf.DUMMYFUNCTION("""COMPUTED_VALUE"""),"https://drive.google.com/file/d/1tKM1PILFcJ_p1wV0Jul0zI6ZVlWSKpjf/view?usp=drivesdk")</f>
        <v>https://drive.google.com/file/d/1tKM1PILFcJ_p1wV0Jul0zI6ZVlWSKpjf/view?usp=drivesdk</v>
      </c>
      <c r="C1950" s="339" t="str">
        <f>IFERROR(__xludf.DUMMYFUNCTION("""COMPUTED_VALUE"""),"10.1027--1864-9335--a000186.pdf")</f>
        <v>10.1027--1864-9335--a000186.pdf</v>
      </c>
      <c r="D1950" s="159" t="str">
        <f>IFERROR(__xludf.DUMMYFUNCTION("""COMPUTED_VALUE"""),"application/pdf")</f>
        <v>application/pdf</v>
      </c>
    </row>
    <row r="1951">
      <c r="A1951" s="339" t="str">
        <f>IFERROR(__xludf.DUMMYFUNCTION("""COMPUTED_VALUE"""),"10.17605/osf.io/ehjdm")</f>
        <v>10.17605/osf.io/ehjdm</v>
      </c>
      <c r="B1951" s="445" t="str">
        <f>IFERROR(__xludf.DUMMYFUNCTION("""COMPUTED_VALUE"""),"https://drive.google.com/file/d/1GV4zWU9q5kR-RIu3cmHk_E669d6rWRsW/view?usp=drivesdk")</f>
        <v>https://drive.google.com/file/d/1GV4zWU9q5kR-RIu3cmHk_E669d6rWRsW/view?usp=drivesdk</v>
      </c>
      <c r="C1951" s="339" t="str">
        <f>IFERROR(__xludf.DUMMYFUNCTION("""COMPUTED_VALUE"""),"10.17605--osf.io--ehjdm.pdf")</f>
        <v>10.17605--osf.io--ehjdm.pdf</v>
      </c>
      <c r="D1951" s="159" t="str">
        <f>IFERROR(__xludf.DUMMYFUNCTION("""COMPUTED_VALUE"""),"application/pdf")</f>
        <v>application/pdf</v>
      </c>
    </row>
    <row r="1952">
      <c r="A1952" s="339" t="str">
        <f>IFERROR(__xludf.DUMMYFUNCTION("""COMPUTED_VALUE"""),"10.1037/pspa0000064")</f>
        <v>10.1037/pspa0000064</v>
      </c>
      <c r="B1952" s="445" t="str">
        <f>IFERROR(__xludf.DUMMYFUNCTION("""COMPUTED_VALUE"""),"https://drive.google.com/file/d/1RF-nEXDyW9UWyQIuqmtLdTtTuTs-52JT/view?usp=drivesdk")</f>
        <v>https://drive.google.com/file/d/1RF-nEXDyW9UWyQIuqmtLdTtTuTs-52JT/view?usp=drivesdk</v>
      </c>
      <c r="C1952" s="339" t="str">
        <f>IFERROR(__xludf.DUMMYFUNCTION("""COMPUTED_VALUE"""),"10.1037--pspa0000064.pdf")</f>
        <v>10.1037--pspa0000064.pdf</v>
      </c>
      <c r="D1952" s="159" t="str">
        <f>IFERROR(__xludf.DUMMYFUNCTION("""COMPUTED_VALUE"""),"application/pdf")</f>
        <v>application/pdf</v>
      </c>
    </row>
    <row r="1953">
      <c r="A1953" s="339" t="str">
        <f>IFERROR(__xludf.DUMMYFUNCTION("""COMPUTED_VALUE"""),"10.17605/osf.io/etg7c")</f>
        <v>10.17605/osf.io/etg7c</v>
      </c>
      <c r="B1953" s="445" t="str">
        <f>IFERROR(__xludf.DUMMYFUNCTION("""COMPUTED_VALUE"""),"https://drive.google.com/file/d/1LNTqrRGiajQW8AmTfTYGS-EuhKSBbzXe/view?usp=drivesdk")</f>
        <v>https://drive.google.com/file/d/1LNTqrRGiajQW8AmTfTYGS-EuhKSBbzXe/view?usp=drivesdk</v>
      </c>
      <c r="C1953" s="339" t="str">
        <f>IFERROR(__xludf.DUMMYFUNCTION("""COMPUTED_VALUE"""),"10.17605--osf.io--etg7c.pdf")</f>
        <v>10.17605--osf.io--etg7c.pdf</v>
      </c>
      <c r="D1953" s="159" t="str">
        <f>IFERROR(__xludf.DUMMYFUNCTION("""COMPUTED_VALUE"""),"application/pdf")</f>
        <v>application/pdf</v>
      </c>
    </row>
    <row r="1954">
      <c r="A1954" s="339" t="str">
        <f>IFERROR(__xludf.DUMMYFUNCTION("""COMPUTED_VALUE"""),"10.1037/0022-3514.94.3.429")</f>
        <v>10.1037/0022-3514.94.3.429</v>
      </c>
      <c r="B1954" s="445" t="str">
        <f>IFERROR(__xludf.DUMMYFUNCTION("""COMPUTED_VALUE"""),"https://drive.google.com/file/d/1oih40CT0uXiqw7e6vWDoDVi8-0MewGVn/view?usp=drivesdk")</f>
        <v>https://drive.google.com/file/d/1oih40CT0uXiqw7e6vWDoDVi8-0MewGVn/view?usp=drivesdk</v>
      </c>
      <c r="C1954" s="339" t="str">
        <f>IFERROR(__xludf.DUMMYFUNCTION("""COMPUTED_VALUE"""),"10.1037--0022-3514.94.3.429.pdf")</f>
        <v>10.1037--0022-3514.94.3.429.pdf</v>
      </c>
      <c r="D1954" s="159" t="str">
        <f>IFERROR(__xludf.DUMMYFUNCTION("""COMPUTED_VALUE"""),"application/pdf")</f>
        <v>application/pdf</v>
      </c>
    </row>
    <row r="1955">
      <c r="A1955" s="339" t="str">
        <f>IFERROR(__xludf.DUMMYFUNCTION("""COMPUTED_VALUE"""),"10.1098/rsos.231240")</f>
        <v>10.1098/rsos.231240</v>
      </c>
      <c r="B1955" s="445" t="str">
        <f>IFERROR(__xludf.DUMMYFUNCTION("""COMPUTED_VALUE"""),"https://drive.google.com/file/d/17gaf2Zy_ljFfcAEDk5L8GBnTl5i7RGJE/view?usp=drivesdk")</f>
        <v>https://drive.google.com/file/d/17gaf2Zy_ljFfcAEDk5L8GBnTl5i7RGJE/view?usp=drivesdk</v>
      </c>
      <c r="C1955" s="339" t="str">
        <f>IFERROR(__xludf.DUMMYFUNCTION("""COMPUTED_VALUE"""),"10.1098--rsos.231240.pdf")</f>
        <v>10.1098--rsos.231240.pdf</v>
      </c>
      <c r="D1955" s="159" t="str">
        <f>IFERROR(__xludf.DUMMYFUNCTION("""COMPUTED_VALUE"""),"application/pdf")</f>
        <v>application/pdf</v>
      </c>
    </row>
    <row r="1956">
      <c r="A1956" s="339" t="str">
        <f>IFERROR(__xludf.DUMMYFUNCTION("""COMPUTED_VALUE"""),"10.31234/osf.io/bgp3m")</f>
        <v>10.31234/osf.io/bgp3m</v>
      </c>
      <c r="B1956" s="445" t="str">
        <f>IFERROR(__xludf.DUMMYFUNCTION("""COMPUTED_VALUE"""),"https://drive.google.com/file/d/1ZPxYmeo-qbLmZwPazFQAlwgbjV6F3CIv/view?usp=drivesdk")</f>
        <v>https://drive.google.com/file/d/1ZPxYmeo-qbLmZwPazFQAlwgbjV6F3CIv/view?usp=drivesdk</v>
      </c>
      <c r="C1956" s="339" t="str">
        <f>IFERROR(__xludf.DUMMYFUNCTION("""COMPUTED_VALUE"""),"10.31234--osf.io--bgp3m.pdf")</f>
        <v>10.31234--osf.io--bgp3m.pdf</v>
      </c>
      <c r="D1956" s="159" t="str">
        <f>IFERROR(__xludf.DUMMYFUNCTION("""COMPUTED_VALUE"""),"application/pdf")</f>
        <v>application/pdf</v>
      </c>
    </row>
    <row r="1957">
      <c r="A1957" s="339" t="str">
        <f>IFERROR(__xludf.DUMMYFUNCTION("""COMPUTED_VALUE"""),"10.18718/81781.29")</f>
        <v>10.18718/81781.29</v>
      </c>
      <c r="B1957" s="445" t="str">
        <f>IFERROR(__xludf.DUMMYFUNCTION("""COMPUTED_VALUE"""),"https://drive.google.com/file/d/1al8eDyU6ngpVrQ3pelC_b0wECY353CCu/view?usp=drivesdk")</f>
        <v>https://drive.google.com/file/d/1al8eDyU6ngpVrQ3pelC_b0wECY353CCu/view?usp=drivesdk</v>
      </c>
      <c r="C1957" s="339" t="str">
        <f>IFERROR(__xludf.DUMMYFUNCTION("""COMPUTED_VALUE"""),"10.18718--81781.29.pdf")</f>
        <v>10.18718--81781.29.pdf</v>
      </c>
      <c r="D1957" s="159" t="str">
        <f>IFERROR(__xludf.DUMMYFUNCTION("""COMPUTED_VALUE"""),"application/pdf")</f>
        <v>application/pdf</v>
      </c>
    </row>
    <row r="1958">
      <c r="A1958" s="339" t="str">
        <f>IFERROR(__xludf.DUMMYFUNCTION("""COMPUTED_VALUE"""),"10.18718/81781.28")</f>
        <v>10.18718/81781.28</v>
      </c>
      <c r="B1958" s="445" t="str">
        <f>IFERROR(__xludf.DUMMYFUNCTION("""COMPUTED_VALUE"""),"https://drive.google.com/file/d/10OfxM8Xr_vLp1xZdWVqasjH0oVNLXD6c/view?usp=drivesdk")</f>
        <v>https://drive.google.com/file/d/10OfxM8Xr_vLp1xZdWVqasjH0oVNLXD6c/view?usp=drivesdk</v>
      </c>
      <c r="C1958" s="339" t="str">
        <f>IFERROR(__xludf.DUMMYFUNCTION("""COMPUTED_VALUE"""),"10.18718--81781.28.pdf")</f>
        <v>10.18718--81781.28.pdf</v>
      </c>
      <c r="D1958" s="159" t="str">
        <f>IFERROR(__xludf.DUMMYFUNCTION("""COMPUTED_VALUE"""),"application/pdf")</f>
        <v>application/pdf</v>
      </c>
    </row>
    <row r="1959">
      <c r="A1959" s="339" t="str">
        <f>IFERROR(__xludf.DUMMYFUNCTION("""COMPUTED_VALUE"""),"10.18718/81781.27")</f>
        <v>10.18718/81781.27</v>
      </c>
      <c r="B1959" s="445" t="str">
        <f>IFERROR(__xludf.DUMMYFUNCTION("""COMPUTED_VALUE"""),"https://drive.google.com/file/d/1B0bpIVPknZVh5AfVAO6FnFkgh37GF9dx/view?usp=drivesdk")</f>
        <v>https://drive.google.com/file/d/1B0bpIVPknZVh5AfVAO6FnFkgh37GF9dx/view?usp=drivesdk</v>
      </c>
      <c r="C1959" s="339" t="str">
        <f>IFERROR(__xludf.DUMMYFUNCTION("""COMPUTED_VALUE"""),"10.18718--81781.27.pdf")</f>
        <v>10.18718--81781.27.pdf</v>
      </c>
      <c r="D1959" s="159" t="str">
        <f>IFERROR(__xludf.DUMMYFUNCTION("""COMPUTED_VALUE"""),"application/pdf")</f>
        <v>application/pdf</v>
      </c>
    </row>
    <row r="1960">
      <c r="A1960" s="339" t="str">
        <f>IFERROR(__xludf.DUMMYFUNCTION("""COMPUTED_VALUE"""),"10.18718/81781.24")</f>
        <v>10.18718/81781.24</v>
      </c>
      <c r="B1960" s="445" t="str">
        <f>IFERROR(__xludf.DUMMYFUNCTION("""COMPUTED_VALUE"""),"https://drive.google.com/file/d/12vw9kcWfNgIH1QJC1wzCOEbjp_P3Df3W/view?usp=drivesdk")</f>
        <v>https://drive.google.com/file/d/12vw9kcWfNgIH1QJC1wzCOEbjp_P3Df3W/view?usp=drivesdk</v>
      </c>
      <c r="C1960" s="339" t="str">
        <f>IFERROR(__xludf.DUMMYFUNCTION("""COMPUTED_VALUE"""),"10.18718--81781.24.pdf")</f>
        <v>10.18718--81781.24.pdf</v>
      </c>
      <c r="D1960" s="159" t="str">
        <f>IFERROR(__xludf.DUMMYFUNCTION("""COMPUTED_VALUE"""),"application/pdf")</f>
        <v>application/pdf</v>
      </c>
    </row>
    <row r="1961">
      <c r="A1961" s="339" t="str">
        <f>IFERROR(__xludf.DUMMYFUNCTION("""COMPUTED_VALUE"""),"10.1038/s41562-024-02062-9")</f>
        <v>10.1038/s41562-024-02062-9</v>
      </c>
      <c r="B1961" s="445" t="str">
        <f>IFERROR(__xludf.DUMMYFUNCTION("""COMPUTED_VALUE"""),"https://drive.google.com/file/d/1w8pcOEpgkXG4574TMp8vmQlQVMYXLL8c/view?usp=drivesdk")</f>
        <v>https://drive.google.com/file/d/1w8pcOEpgkXG4574TMp8vmQlQVMYXLL8c/view?usp=drivesdk</v>
      </c>
      <c r="C1961" s="339" t="str">
        <f>IFERROR(__xludf.DUMMYFUNCTION("""COMPUTED_VALUE"""),"10.1038--s41562-024-02062-9.pdf")</f>
        <v>10.1038--s41562-024-02062-9.pdf</v>
      </c>
      <c r="D1961" s="159" t="str">
        <f>IFERROR(__xludf.DUMMYFUNCTION("""COMPUTED_VALUE"""),"application/pdf")</f>
        <v>application/pdf</v>
      </c>
    </row>
    <row r="1962">
      <c r="A1962" s="339" t="str">
        <f>IFERROR(__xludf.DUMMYFUNCTION("""COMPUTED_VALUE"""),"10.1525/collabra.177")</f>
        <v>10.1525/collabra.177</v>
      </c>
      <c r="B1962" s="445" t="str">
        <f>IFERROR(__xludf.DUMMYFUNCTION("""COMPUTED_VALUE"""),"https://drive.google.com/file/d/1SNviYFYkLPApLDE4sxFOX_wRepMI0nnI/view?usp=drivesdk")</f>
        <v>https://drive.google.com/file/d/1SNviYFYkLPApLDE4sxFOX_wRepMI0nnI/view?usp=drivesdk</v>
      </c>
      <c r="C1962" s="339" t="str">
        <f>IFERROR(__xludf.DUMMYFUNCTION("""COMPUTED_VALUE"""),"10.1525--collabra.177.pdf")</f>
        <v>10.1525--collabra.177.pdf</v>
      </c>
      <c r="D1962" s="159" t="str">
        <f>IFERROR(__xludf.DUMMYFUNCTION("""COMPUTED_VALUE"""),"application/pdf")</f>
        <v>application/pdf</v>
      </c>
    </row>
    <row r="1963">
      <c r="A1963" s="339" t="str">
        <f>IFERROR(__xludf.DUMMYFUNCTION("""COMPUTED_VALUE"""),"10.1080/15614263.2023.2185241")</f>
        <v>10.1080/15614263.2023.2185241</v>
      </c>
      <c r="B1963" s="445" t="str">
        <f>IFERROR(__xludf.DUMMYFUNCTION("""COMPUTED_VALUE"""),"https://drive.google.com/file/d/15ZlJQ8dYoTyaoh7HgVjWxbumKbhPC9XU/view?usp=drivesdk")</f>
        <v>https://drive.google.com/file/d/15ZlJQ8dYoTyaoh7HgVjWxbumKbhPC9XU/view?usp=drivesdk</v>
      </c>
      <c r="C1963" s="339" t="str">
        <f>IFERROR(__xludf.DUMMYFUNCTION("""COMPUTED_VALUE"""),"10.1080--15614263.2023.2185241.pdf")</f>
        <v>10.1080--15614263.2023.2185241.pdf</v>
      </c>
      <c r="D1963" s="159" t="str">
        <f>IFERROR(__xludf.DUMMYFUNCTION("""COMPUTED_VALUE"""),"application/pdf")</f>
        <v>application/pdf</v>
      </c>
    </row>
    <row r="1964">
      <c r="A1964" s="339" t="str">
        <f>IFERROR(__xludf.DUMMYFUNCTION("""COMPUTED_VALUE"""),"pashler_2011")</f>
        <v>pashler_2011</v>
      </c>
      <c r="B1964" s="445" t="str">
        <f>IFERROR(__xludf.DUMMYFUNCTION("""COMPUTED_VALUE"""),"https://drive.google.com/file/d/1i2aa1erQ9i9knP8Z5bgGiSt6DXX7U7Fa/view?usp=drivesdk")</f>
        <v>https://drive.google.com/file/d/1i2aa1erQ9i9knP8Z5bgGiSt6DXX7U7Fa/view?usp=drivesdk</v>
      </c>
      <c r="C1964" s="339" t="str">
        <f>IFERROR(__xludf.DUMMYFUNCTION("""COMPUTED_VALUE"""),"pashler_2011.pdf")</f>
        <v>pashler_2011.pdf</v>
      </c>
      <c r="D1964" s="159" t="str">
        <f>IFERROR(__xludf.DUMMYFUNCTION("""COMPUTED_VALUE"""),"application/pdf")</f>
        <v>application/pdf</v>
      </c>
    </row>
    <row r="1965">
      <c r="A1965" s="339" t="str">
        <f>IFERROR(__xludf.DUMMYFUNCTION("""COMPUTED_VALUE"""),"10.1037/0022-3514.90.6.893")</f>
        <v>10.1037/0022-3514.90.6.893</v>
      </c>
      <c r="B1965" s="445" t="str">
        <f>IFERROR(__xludf.DUMMYFUNCTION("""COMPUTED_VALUE"""),"https://drive.google.com/file/d/1TGcGbqDcsz1Kyb3oCU4EoWJQ9dp-E7q6/view?usp=drivesdk")</f>
        <v>https://drive.google.com/file/d/1TGcGbqDcsz1Kyb3oCU4EoWJQ9dp-E7q6/view?usp=drivesdk</v>
      </c>
      <c r="C1965" s="339" t="str">
        <f>IFERROR(__xludf.DUMMYFUNCTION("""COMPUTED_VALUE"""),"10.1037--0022-3514.90.6.893.pdf")</f>
        <v>10.1037--0022-3514.90.6.893.pdf</v>
      </c>
      <c r="D1965" s="159" t="str">
        <f>IFERROR(__xludf.DUMMYFUNCTION("""COMPUTED_VALUE"""),"application/pdf")</f>
        <v>application/pdf</v>
      </c>
    </row>
    <row r="1966">
      <c r="A1966" s="339" t="str">
        <f>IFERROR(__xludf.DUMMYFUNCTION("""COMPUTED_VALUE"""),"murtagh_2004")</f>
        <v>murtagh_2004</v>
      </c>
      <c r="B1966" s="445" t="str">
        <f>IFERROR(__xludf.DUMMYFUNCTION("""COMPUTED_VALUE"""),"https://drive.google.com/file/d/1y0uavGuuD3FfKExlt9hI-j32m6j_RxXx/view?usp=drivesdk")</f>
        <v>https://drive.google.com/file/d/1y0uavGuuD3FfKExlt9hI-j32m6j_RxXx/view?usp=drivesdk</v>
      </c>
      <c r="C1966" s="339" t="str">
        <f>IFERROR(__xludf.DUMMYFUNCTION("""COMPUTED_VALUE"""),"murtagh_2004.pdf")</f>
        <v>murtagh_2004.pdf</v>
      </c>
      <c r="D1966" s="159" t="str">
        <f>IFERROR(__xludf.DUMMYFUNCTION("""COMPUTED_VALUE"""),"application/pdf")</f>
        <v>application/pdf</v>
      </c>
    </row>
    <row r="1967">
      <c r="A1967" s="339" t="str">
        <f>IFERROR(__xludf.DUMMYFUNCTION("""COMPUTED_VALUE"""),"10.1177/0956797617719730")</f>
        <v>10.1177/0956797617719730</v>
      </c>
      <c r="B1967" s="445" t="str">
        <f>IFERROR(__xludf.DUMMYFUNCTION("""COMPUTED_VALUE"""),"https://drive.google.com/file/d/1_tN97pqKnfamGcztRzQHZ9UG0A8Hag_0/view?usp=drivesdk")</f>
        <v>https://drive.google.com/file/d/1_tN97pqKnfamGcztRzQHZ9UG0A8Hag_0/view?usp=drivesdk</v>
      </c>
      <c r="C1967" s="339" t="str">
        <f>IFERROR(__xludf.DUMMYFUNCTION("""COMPUTED_VALUE"""),"10.1177--0956797617719730.pdf")</f>
        <v>10.1177--0956797617719730.pdf</v>
      </c>
      <c r="D1967" s="159" t="str">
        <f>IFERROR(__xludf.DUMMYFUNCTION("""COMPUTED_VALUE"""),"application/pdf")</f>
        <v>application/pdf</v>
      </c>
    </row>
    <row r="1968">
      <c r="A1968" s="339" t="str">
        <f>IFERROR(__xludf.DUMMYFUNCTION("""COMPUTED_VALUE"""),"vonpruski_2024")</f>
        <v>vonpruski_2024</v>
      </c>
      <c r="B1968" s="445" t="str">
        <f>IFERROR(__xludf.DUMMYFUNCTION("""COMPUTED_VALUE"""),"https://drive.google.com/file/d/1QDSkRCnuunpKbwNck3pYI8NlktZFtjZd/view?usp=drivesdk")</f>
        <v>https://drive.google.com/file/d/1QDSkRCnuunpKbwNck3pYI8NlktZFtjZd/view?usp=drivesdk</v>
      </c>
      <c r="C1968" s="339" t="str">
        <f>IFERROR(__xludf.DUMMYFUNCTION("""COMPUTED_VALUE"""),"vonpruski_2024.pdf")</f>
        <v>vonpruski_2024.pdf</v>
      </c>
      <c r="D1968" s="159" t="str">
        <f>IFERROR(__xludf.DUMMYFUNCTION("""COMPUTED_VALUE"""),"application/pdf")</f>
        <v>application/pdf</v>
      </c>
    </row>
    <row r="1969">
      <c r="A1969" s="339" t="str">
        <f>IFERROR(__xludf.DUMMYFUNCTION("""COMPUTED_VALUE"""),"10.1080/15614263.2022.2102494")</f>
        <v>10.1080/15614263.2022.2102494</v>
      </c>
      <c r="B1969" s="445" t="str">
        <f>IFERROR(__xludf.DUMMYFUNCTION("""COMPUTED_VALUE"""),"https://drive.google.com/file/d/1fq5OO2numDQgQa5kWKk3UimuJGG6cyLq/view?usp=drivesdk")</f>
        <v>https://drive.google.com/file/d/1fq5OO2numDQgQa5kWKk3UimuJGG6cyLq/view?usp=drivesdk</v>
      </c>
      <c r="C1969" s="339" t="str">
        <f>IFERROR(__xludf.DUMMYFUNCTION("""COMPUTED_VALUE"""),"10.1080--15614263.2022.2102494.pdf")</f>
        <v>10.1080--15614263.2022.2102494.pdf</v>
      </c>
      <c r="D1969" s="159" t="str">
        <f>IFERROR(__xludf.DUMMYFUNCTION("""COMPUTED_VALUE"""),"application/pdf")</f>
        <v>application/pdf</v>
      </c>
    </row>
    <row r="1970">
      <c r="A1970" s="339" t="str">
        <f>IFERROR(__xludf.DUMMYFUNCTION("""COMPUTED_VALUE"""),"10.1371/journal.pone.0292576")</f>
        <v>10.1371/journal.pone.0292576</v>
      </c>
      <c r="B1970" s="445" t="str">
        <f>IFERROR(__xludf.DUMMYFUNCTION("""COMPUTED_VALUE"""),"https://drive.google.com/file/d/1ldrzAt88fRJBOsSbplqW2NG4M3-xxKlP/view?usp=drivesdk")</f>
        <v>https://drive.google.com/file/d/1ldrzAt88fRJBOsSbplqW2NG4M3-xxKlP/view?usp=drivesdk</v>
      </c>
      <c r="C1970" s="339" t="str">
        <f>IFERROR(__xludf.DUMMYFUNCTION("""COMPUTED_VALUE"""),"10.1371--journal.pone.0292576.pdf")</f>
        <v>10.1371--journal.pone.0292576.pdf</v>
      </c>
      <c r="D1970" s="159" t="str">
        <f>IFERROR(__xludf.DUMMYFUNCTION("""COMPUTED_VALUE"""),"application/pdf")</f>
        <v>application/pdf</v>
      </c>
    </row>
    <row r="1971">
      <c r="A1971" s="339" t="str">
        <f>IFERROR(__xludf.DUMMYFUNCTION("""COMPUTED_VALUE"""),"10.1038/s41598-024-63724-2")</f>
        <v>10.1038/s41598-024-63724-2</v>
      </c>
      <c r="B1971" s="445" t="str">
        <f>IFERROR(__xludf.DUMMYFUNCTION("""COMPUTED_VALUE"""),"https://drive.google.com/file/d/10CU4FiXsOc216jLudNBinSLadjKnYzKg/view?usp=drivesdk")</f>
        <v>https://drive.google.com/file/d/10CU4FiXsOc216jLudNBinSLadjKnYzKg/view?usp=drivesdk</v>
      </c>
      <c r="C1971" s="339" t="str">
        <f>IFERROR(__xludf.DUMMYFUNCTION("""COMPUTED_VALUE"""),"10.1038--s41598-024-63724-2.pdf")</f>
        <v>10.1038--s41598-024-63724-2.pdf</v>
      </c>
      <c r="D1971" s="159" t="str">
        <f>IFERROR(__xludf.DUMMYFUNCTION("""COMPUTED_VALUE"""),"application/pdf")</f>
        <v>application/pdf</v>
      </c>
    </row>
    <row r="1972">
      <c r="A1972" s="339" t="str">
        <f>IFERROR(__xludf.DUMMYFUNCTION("""COMPUTED_VALUE"""),"patt_2024")</f>
        <v>patt_2024</v>
      </c>
      <c r="B1972" s="445" t="str">
        <f>IFERROR(__xludf.DUMMYFUNCTION("""COMPUTED_VALUE"""),"https://drive.google.com/file/d/1ThlzA-VvGBDO4Se-yoayt4Mn-HEfjYUo/view?usp=drivesdk")</f>
        <v>https://drive.google.com/file/d/1ThlzA-VvGBDO4Se-yoayt4Mn-HEfjYUo/view?usp=drivesdk</v>
      </c>
      <c r="C1972" s="339" t="str">
        <f>IFERROR(__xludf.DUMMYFUNCTION("""COMPUTED_VALUE"""),"patt_2024.pdf")</f>
        <v>patt_2024.pdf</v>
      </c>
      <c r="D1972" s="159" t="str">
        <f>IFERROR(__xludf.DUMMYFUNCTION("""COMPUTED_VALUE"""),"application/pdf")</f>
        <v>application/pdf</v>
      </c>
    </row>
    <row r="1973">
      <c r="A1973" s="339" t="str">
        <f>IFERROR(__xludf.DUMMYFUNCTION("""COMPUTED_VALUE"""),"10.1177/19485506241257971")</f>
        <v>10.1177/19485506241257971</v>
      </c>
      <c r="B1973" s="445" t="str">
        <f>IFERROR(__xludf.DUMMYFUNCTION("""COMPUTED_VALUE"""),"https://drive.google.com/file/d/1xNvXepqsFVWYkeFXaOCdP5f6pkQO7e5j/view?usp=drivesdk")</f>
        <v>https://drive.google.com/file/d/1xNvXepqsFVWYkeFXaOCdP5f6pkQO7e5j/view?usp=drivesdk</v>
      </c>
      <c r="C1973" s="339" t="str">
        <f>IFERROR(__xludf.DUMMYFUNCTION("""COMPUTED_VALUE"""),"10.1177--19485506241257971.pdf")</f>
        <v>10.1177--19485506241257971.pdf</v>
      </c>
      <c r="D1973" s="159" t="str">
        <f>IFERROR(__xludf.DUMMYFUNCTION("""COMPUTED_VALUE"""),"application/pdf")</f>
        <v>application/pdf</v>
      </c>
    </row>
    <row r="1974">
      <c r="A1974" s="339" t="str">
        <f>IFERROR(__xludf.DUMMYFUNCTION("""COMPUTED_VALUE"""),"10.1016/j.eatbeh.2024.101899")</f>
        <v>10.1016/j.eatbeh.2024.101899</v>
      </c>
      <c r="B1974" s="445" t="str">
        <f>IFERROR(__xludf.DUMMYFUNCTION("""COMPUTED_VALUE"""),"https://drive.google.com/file/d/1WGY3X69XpAQRsdLRgO8nrxWGp5CpwgZF/view?usp=drivesdk")</f>
        <v>https://drive.google.com/file/d/1WGY3X69XpAQRsdLRgO8nrxWGp5CpwgZF/view?usp=drivesdk</v>
      </c>
      <c r="C1974" s="339" t="str">
        <f>IFERROR(__xludf.DUMMYFUNCTION("""COMPUTED_VALUE"""),"10.1016--j.eatbeh.2024.101899.pdf")</f>
        <v>10.1016--j.eatbeh.2024.101899.pdf</v>
      </c>
      <c r="D1974" s="159" t="str">
        <f>IFERROR(__xludf.DUMMYFUNCTION("""COMPUTED_VALUE"""),"application/pdf")</f>
        <v>application/pdf</v>
      </c>
    </row>
    <row r="1975">
      <c r="A1975" s="339" t="str">
        <f>IFERROR(__xludf.DUMMYFUNCTION("""COMPUTED_VALUE"""),"10.1016/j.jrp.2024.104511")</f>
        <v>10.1016/j.jrp.2024.104511</v>
      </c>
      <c r="B1975" s="445" t="str">
        <f>IFERROR(__xludf.DUMMYFUNCTION("""COMPUTED_VALUE"""),"https://drive.google.com/file/d/1_wLROYuywRItyX2cFnsLf0N4QfaR5Z8L/view?usp=drivesdk")</f>
        <v>https://drive.google.com/file/d/1_wLROYuywRItyX2cFnsLf0N4QfaR5Z8L/view?usp=drivesdk</v>
      </c>
      <c r="C1975" s="339" t="str">
        <f>IFERROR(__xludf.DUMMYFUNCTION("""COMPUTED_VALUE"""),"10.1016--j.jrp.2024.104511.pdf")</f>
        <v>10.1016--j.jrp.2024.104511.pdf</v>
      </c>
      <c r="D1975" s="159" t="str">
        <f>IFERROR(__xludf.DUMMYFUNCTION("""COMPUTED_VALUE"""),"application/pdf")</f>
        <v>application/pdf</v>
      </c>
    </row>
    <row r="1976">
      <c r="A1976" s="339" t="str">
        <f>IFERROR(__xludf.DUMMYFUNCTION("""COMPUTED_VALUE"""),"10.1016/j.appet.2023.106554")</f>
        <v>10.1016/j.appet.2023.106554</v>
      </c>
      <c r="B1976" s="445" t="str">
        <f>IFERROR(__xludf.DUMMYFUNCTION("""COMPUTED_VALUE"""),"https://drive.google.com/file/d/16j_GiBODVfACftG20Niq4aIRC_kU8qsZ/view?usp=drivesdk")</f>
        <v>https://drive.google.com/file/d/16j_GiBODVfACftG20Niq4aIRC_kU8qsZ/view?usp=drivesdk</v>
      </c>
      <c r="C1976" s="339" t="str">
        <f>IFERROR(__xludf.DUMMYFUNCTION("""COMPUTED_VALUE"""),"10.1016--j.appet.2023.106554.pdf")</f>
        <v>10.1016--j.appet.2023.106554.pdf</v>
      </c>
      <c r="D1976" s="159" t="str">
        <f>IFERROR(__xludf.DUMMYFUNCTION("""COMPUTED_VALUE"""),"application/pdf")</f>
        <v>application/pdf</v>
      </c>
    </row>
    <row r="1977">
      <c r="A1977" s="339" t="str">
        <f>IFERROR(__xludf.DUMMYFUNCTION("""COMPUTED_VALUE"""),"10.1007/s40732-024-00601-4.pdf")</f>
        <v>10.1007/s40732-024-00601-4.pdf</v>
      </c>
      <c r="B1977" s="445" t="str">
        <f>IFERROR(__xludf.DUMMYFUNCTION("""COMPUTED_VALUE"""),"https://drive.google.com/file/d/1AxhabG9V7_RjgC05iqRfwY_LBYsC-1Lv/view?usp=drivesdk")</f>
        <v>https://drive.google.com/file/d/1AxhabG9V7_RjgC05iqRfwY_LBYsC-1Lv/view?usp=drivesdk</v>
      </c>
      <c r="C1977" s="339" t="str">
        <f>IFERROR(__xludf.DUMMYFUNCTION("""COMPUTED_VALUE"""),"10.1007--s40732-024-00601-4.PDF")</f>
        <v>10.1007--s40732-024-00601-4.PDF</v>
      </c>
      <c r="D1977" s="159" t="str">
        <f>IFERROR(__xludf.DUMMYFUNCTION("""COMPUTED_VALUE"""),"application/pdf")</f>
        <v>application/pdf</v>
      </c>
    </row>
    <row r="1978">
      <c r="A1978" s="339" t="str">
        <f>IFERROR(__xludf.DUMMYFUNCTION("""COMPUTED_VALUE"""),"10.1007/s40732-024-00597-x")</f>
        <v>10.1007/s40732-024-00597-x</v>
      </c>
      <c r="B1978" s="445" t="str">
        <f>IFERROR(__xludf.DUMMYFUNCTION("""COMPUTED_VALUE"""),"https://drive.google.com/file/d/1BuhIf3isP0KQXBW8CveCqOhEBWMkWgvl/view?usp=drivesdk")</f>
        <v>https://drive.google.com/file/d/1BuhIf3isP0KQXBW8CveCqOhEBWMkWgvl/view?usp=drivesdk</v>
      </c>
      <c r="C1978" s="339" t="str">
        <f>IFERROR(__xludf.DUMMYFUNCTION("""COMPUTED_VALUE"""),"10.1007--s40732-024-00597-x.pdf")</f>
        <v>10.1007--s40732-024-00597-x.pdf</v>
      </c>
      <c r="D1978" s="159" t="str">
        <f>IFERROR(__xludf.DUMMYFUNCTION("""COMPUTED_VALUE"""),"application/pdf")</f>
        <v>application/pdf</v>
      </c>
    </row>
    <row r="1979">
      <c r="A1979" s="339" t="str">
        <f>IFERROR(__xludf.DUMMYFUNCTION("""COMPUTED_VALUE"""),"10.1016/j.jesp.2024.104619")</f>
        <v>10.1016/j.jesp.2024.104619</v>
      </c>
      <c r="B1979" s="445" t="str">
        <f>IFERROR(__xludf.DUMMYFUNCTION("""COMPUTED_VALUE"""),"https://drive.google.com/file/d/1CclKKmhEg4wBmEAHmGyg_rBfw2qqAy8s/view?usp=drivesdk")</f>
        <v>https://drive.google.com/file/d/1CclKKmhEg4wBmEAHmGyg_rBfw2qqAy8s/view?usp=drivesdk</v>
      </c>
      <c r="C1979" s="339" t="str">
        <f>IFERROR(__xludf.DUMMYFUNCTION("""COMPUTED_VALUE"""),"10.1016--j.jesp.2024.104619.pdf")</f>
        <v>10.1016--j.jesp.2024.104619.pdf</v>
      </c>
      <c r="D1979" s="159" t="str">
        <f>IFERROR(__xludf.DUMMYFUNCTION("""COMPUTED_VALUE"""),"application/pdf")</f>
        <v>application/pdf</v>
      </c>
    </row>
    <row r="1980">
      <c r="A1980" s="339" t="str">
        <f>IFERROR(__xludf.DUMMYFUNCTION("""COMPUTED_VALUE"""),"10.1016/j.xjmad.2024.100075")</f>
        <v>10.1016/j.xjmad.2024.100075</v>
      </c>
      <c r="B1980" s="445" t="str">
        <f>IFERROR(__xludf.DUMMYFUNCTION("""COMPUTED_VALUE"""),"https://drive.google.com/file/d/1VUyjspRteJ5gkjs-fbYxT0CLPJf7x2H-/view?usp=drivesdk")</f>
        <v>https://drive.google.com/file/d/1VUyjspRteJ5gkjs-fbYxT0CLPJf7x2H-/view?usp=drivesdk</v>
      </c>
      <c r="C1980" s="339" t="str">
        <f>IFERROR(__xludf.DUMMYFUNCTION("""COMPUTED_VALUE"""),"10.1016--j.xjmad.2024.100075.pdf")</f>
        <v>10.1016--j.xjmad.2024.100075.pdf</v>
      </c>
      <c r="D1980" s="159" t="str">
        <f>IFERROR(__xludf.DUMMYFUNCTION("""COMPUTED_VALUE"""),"application/pdf")</f>
        <v>application/pdf</v>
      </c>
    </row>
    <row r="1981">
      <c r="A1981" s="339" t="str">
        <f>IFERROR(__xludf.DUMMYFUNCTION("""COMPUTED_VALUE"""),"bischoff_ma_bms")</f>
        <v>bischoff_ma_bms</v>
      </c>
      <c r="B1981" s="445" t="str">
        <f>IFERROR(__xludf.DUMMYFUNCTION("""COMPUTED_VALUE"""),"https://drive.google.com/file/d/11I9BYw-LgWPOfVM-roaK7IeDdor9cI5n/view?usp=drivesdk")</f>
        <v>https://drive.google.com/file/d/11I9BYw-LgWPOfVM-roaK7IeDdor9cI5n/view?usp=drivesdk</v>
      </c>
      <c r="C1981" s="339" t="str">
        <f>IFERROR(__xludf.DUMMYFUNCTION("""COMPUTED_VALUE"""),"Bischoff_MA_BMS.pdf")</f>
        <v>Bischoff_MA_BMS.pdf</v>
      </c>
      <c r="D1981" s="159" t="str">
        <f>IFERROR(__xludf.DUMMYFUNCTION("""COMPUTED_VALUE"""),"application/pdf")</f>
        <v>application/pdf</v>
      </c>
    </row>
    <row r="1982">
      <c r="A1982" s="339" t="str">
        <f>IFERROR(__xludf.DUMMYFUNCTION("""COMPUTED_VALUE"""),"10.31234/osf.io/esu9z")</f>
        <v>10.31234/osf.io/esu9z</v>
      </c>
      <c r="B1982" s="445" t="str">
        <f>IFERROR(__xludf.DUMMYFUNCTION("""COMPUTED_VALUE"""),"https://drive.google.com/file/d/1dsS2Zz_SrKiR1Wr9BLFEXM-_iHqMxxPd/view?usp=drivesdk")</f>
        <v>https://drive.google.com/file/d/1dsS2Zz_SrKiR1Wr9BLFEXM-_iHqMxxPd/view?usp=drivesdk</v>
      </c>
      <c r="C1982" s="339" t="str">
        <f>IFERROR(__xludf.DUMMYFUNCTION("""COMPUTED_VALUE"""),"10.31234--osf.io--esu9z.pdf")</f>
        <v>10.31234--osf.io--esu9z.pdf</v>
      </c>
      <c r="D1982" s="159" t="str">
        <f>IFERROR(__xludf.DUMMYFUNCTION("""COMPUTED_VALUE"""),"application/pdf")</f>
        <v>application/pdf</v>
      </c>
    </row>
    <row r="1983">
      <c r="A1983" s="339" t="str">
        <f>IFERROR(__xludf.DUMMYFUNCTION("""COMPUTED_VALUE"""),"10.1016/j.jmathb.2024.101174")</f>
        <v>10.1016/j.jmathb.2024.101174</v>
      </c>
      <c r="B1983" s="445" t="str">
        <f>IFERROR(__xludf.DUMMYFUNCTION("""COMPUTED_VALUE"""),"https://drive.google.com/file/d/1BxRopi0OntYhPQcXKMEC5xqZoDEptVYd/view?usp=drivesdk")</f>
        <v>https://drive.google.com/file/d/1BxRopi0OntYhPQcXKMEC5xqZoDEptVYd/view?usp=drivesdk</v>
      </c>
      <c r="C1983" s="339" t="str">
        <f>IFERROR(__xludf.DUMMYFUNCTION("""COMPUTED_VALUE"""),"10.1016--j.jmathb.2024.101174.pdf")</f>
        <v>10.1016--j.jmathb.2024.101174.pdf</v>
      </c>
      <c r="D1983" s="159" t="str">
        <f>IFERROR(__xludf.DUMMYFUNCTION("""COMPUTED_VALUE"""),"application/pdf")</f>
        <v>application/pdf</v>
      </c>
    </row>
    <row r="1984">
      <c r="A1984" s="339" t="str">
        <f>IFERROR(__xludf.DUMMYFUNCTION("""COMPUTED_VALUE"""),"10.17605/osf.io/b25tr")</f>
        <v>10.17605/osf.io/b25tr</v>
      </c>
      <c r="B1984" s="445" t="str">
        <f>IFERROR(__xludf.DUMMYFUNCTION("""COMPUTED_VALUE"""),"https://drive.google.com/file/d/1Z88YOxFUdjB_N8RWvlHzVruajODQTnic/view?usp=drivesdk")</f>
        <v>https://drive.google.com/file/d/1Z88YOxFUdjB_N8RWvlHzVruajODQTnic/view?usp=drivesdk</v>
      </c>
      <c r="C1984" s="339" t="str">
        <f>IFERROR(__xludf.DUMMYFUNCTION("""COMPUTED_VALUE"""),"10.17605--osf.io--b25tr.pdf")</f>
        <v>10.17605--osf.io--b25tr.pdf</v>
      </c>
      <c r="D1984" s="159" t="str">
        <f>IFERROR(__xludf.DUMMYFUNCTION("""COMPUTED_VALUE"""),"application/pdf")</f>
        <v>application/pdf</v>
      </c>
    </row>
    <row r="1985">
      <c r="A1985" s="339" t="str">
        <f>IFERROR(__xludf.DUMMYFUNCTION("""COMPUTED_VALUE"""),"10.1037/xap0000366")</f>
        <v>10.1037/xap0000366</v>
      </c>
      <c r="B1985" s="445" t="str">
        <f>IFERROR(__xludf.DUMMYFUNCTION("""COMPUTED_VALUE"""),"https://drive.google.com/file/d/1SZWqK44IKYVvgeBO_YR6iREgVqKc9hl7/view?usp=drivesdk")</f>
        <v>https://drive.google.com/file/d/1SZWqK44IKYVvgeBO_YR6iREgVqKc9hl7/view?usp=drivesdk</v>
      </c>
      <c r="C1985" s="339" t="str">
        <f>IFERROR(__xludf.DUMMYFUNCTION("""COMPUTED_VALUE"""),"10.1037--xap0000366.pdf")</f>
        <v>10.1037--xap0000366.pdf</v>
      </c>
      <c r="D1985" s="159" t="str">
        <f>IFERROR(__xludf.DUMMYFUNCTION("""COMPUTED_VALUE"""),"application/pdf")</f>
        <v>application/pdf</v>
      </c>
    </row>
    <row r="1986">
      <c r="A1986" s="339" t="str">
        <f>IFERROR(__xludf.DUMMYFUNCTION("""COMPUTED_VALUE"""),"10.1037/xap0000321")</f>
        <v>10.1037/xap0000321</v>
      </c>
      <c r="B1986" s="445" t="str">
        <f>IFERROR(__xludf.DUMMYFUNCTION("""COMPUTED_VALUE"""),"https://drive.google.com/file/d/13DjN87PTnd1gRVtF4FDN_PrjD6syLFtl/view?usp=drivesdk")</f>
        <v>https://drive.google.com/file/d/13DjN87PTnd1gRVtF4FDN_PrjD6syLFtl/view?usp=drivesdk</v>
      </c>
      <c r="C1986" s="339" t="str">
        <f>IFERROR(__xludf.DUMMYFUNCTION("""COMPUTED_VALUE"""),"10.1037--xap0000321.pdf")</f>
        <v>10.1037--xap0000321.pdf</v>
      </c>
      <c r="D1986" s="159" t="str">
        <f>IFERROR(__xludf.DUMMYFUNCTION("""COMPUTED_VALUE"""),"application/pdf")</f>
        <v>application/pdf</v>
      </c>
    </row>
    <row r="1987">
      <c r="A1987" s="339" t="str">
        <f>IFERROR(__xludf.DUMMYFUNCTION("""COMPUTED_VALUE"""),"10.1016/j.bbr.2024.115096")</f>
        <v>10.1016/j.bbr.2024.115096</v>
      </c>
      <c r="B1987" s="445" t="str">
        <f>IFERROR(__xludf.DUMMYFUNCTION("""COMPUTED_VALUE"""),"https://drive.google.com/file/d/1mK6ddl6CbjItWRFtU_KkouJP0UM3gV-6/view?usp=drivesdk")</f>
        <v>https://drive.google.com/file/d/1mK6ddl6CbjItWRFtU_KkouJP0UM3gV-6/view?usp=drivesdk</v>
      </c>
      <c r="C1987" s="339" t="str">
        <f>IFERROR(__xludf.DUMMYFUNCTION("""COMPUTED_VALUE"""),"10.1016--j.bbr.2024.115096.pdf")</f>
        <v>10.1016--j.bbr.2024.115096.pdf</v>
      </c>
      <c r="D1987" s="159" t="str">
        <f>IFERROR(__xludf.DUMMYFUNCTION("""COMPUTED_VALUE"""),"application/pdf")</f>
        <v>application/pdf</v>
      </c>
    </row>
    <row r="1988">
      <c r="A1988" s="339" t="str">
        <f>IFERROR(__xludf.DUMMYFUNCTION("""COMPUTED_VALUE"""),"10.5281/zenodo.6426882")</f>
        <v>10.5281/zenodo.6426882</v>
      </c>
      <c r="B1988" s="445" t="str">
        <f>IFERROR(__xludf.DUMMYFUNCTION("""COMPUTED_VALUE"""),"https://drive.google.com/file/d/1jvhXrkXP500Hc10PhmlgwF_pIcWK0diq/view?usp=drivesdk")</f>
        <v>https://drive.google.com/file/d/1jvhXrkXP500Hc10PhmlgwF_pIcWK0diq/view?usp=drivesdk</v>
      </c>
      <c r="C1988" s="339" t="str">
        <f>IFERROR(__xludf.DUMMYFUNCTION("""COMPUTED_VALUE"""),"10.5281--zenodo.6426882.pdf")</f>
        <v>10.5281--zenodo.6426882.pdf</v>
      </c>
      <c r="D1988" s="159" t="str">
        <f>IFERROR(__xludf.DUMMYFUNCTION("""COMPUTED_VALUE"""),"application/pdf")</f>
        <v>application/pdf</v>
      </c>
    </row>
    <row r="1989">
      <c r="A1989" s="339" t="str">
        <f>IFERROR(__xludf.DUMMYFUNCTION("""COMPUTED_VALUE"""),"qt8p5673qn")</f>
        <v>qt8p5673qn</v>
      </c>
      <c r="B1989" s="445" t="str">
        <f>IFERROR(__xludf.DUMMYFUNCTION("""COMPUTED_VALUE"""),"https://drive.google.com/file/d/1cCkHaNWOPS3ds7SCRQ2FwENlloP5Ay-l/view?usp=drivesdk")</f>
        <v>https://drive.google.com/file/d/1cCkHaNWOPS3ds7SCRQ2FwENlloP5Ay-l/view?usp=drivesdk</v>
      </c>
      <c r="C1989" s="339" t="str">
        <f>IFERROR(__xludf.DUMMYFUNCTION("""COMPUTED_VALUE"""),"qt8p5673qn.pdf")</f>
        <v>qt8p5673qn.pdf</v>
      </c>
      <c r="D1989" s="159" t="str">
        <f>IFERROR(__xludf.DUMMYFUNCTION("""COMPUTED_VALUE"""),"application/pdf")</f>
        <v>application/pdf</v>
      </c>
    </row>
    <row r="1990">
      <c r="A1990" s="339" t="str">
        <f>IFERROR(__xludf.DUMMYFUNCTION("""COMPUTED_VALUE"""),"kontkanen_jaakko_thesis_2024")</f>
        <v>kontkanen_jaakko_thesis_2024</v>
      </c>
      <c r="B1990" s="445" t="str">
        <f>IFERROR(__xludf.DUMMYFUNCTION("""COMPUTED_VALUE"""),"https://drive.google.com/file/d/1AUxxuZsTugos0bfw5gX9jMDqt7bWDrfc/view?usp=drivesdk")</f>
        <v>https://drive.google.com/file/d/1AUxxuZsTugos0bfw5gX9jMDqt7bWDrfc/view?usp=drivesdk</v>
      </c>
      <c r="C1990" s="339" t="str">
        <f>IFERROR(__xludf.DUMMYFUNCTION("""COMPUTED_VALUE"""),"Kontkanen_Jaakko_thesis_2024.pdf")</f>
        <v>Kontkanen_Jaakko_thesis_2024.pdf</v>
      </c>
      <c r="D1990" s="159" t="str">
        <f>IFERROR(__xludf.DUMMYFUNCTION("""COMPUTED_VALUE"""),"application/pdf")</f>
        <v>application/pdf</v>
      </c>
    </row>
    <row r="1991">
      <c r="A1991" s="339" t="str">
        <f>IFERROR(__xludf.DUMMYFUNCTION("""COMPUTED_VALUE"""),"10.1017/s0272263124000378")</f>
        <v>10.1017/s0272263124000378</v>
      </c>
      <c r="B1991" s="445" t="str">
        <f>IFERROR(__xludf.DUMMYFUNCTION("""COMPUTED_VALUE"""),"https://drive.google.com/file/d/19bZUP_N4YxLTtw7Y4tZumU1mxVv8t29B/view?usp=drivesdk")</f>
        <v>https://drive.google.com/file/d/19bZUP_N4YxLTtw7Y4tZumU1mxVv8t29B/view?usp=drivesdk</v>
      </c>
      <c r="C1991" s="339" t="str">
        <f>IFERROR(__xludf.DUMMYFUNCTION("""COMPUTED_VALUE"""),"10.1017--s0272263124000378.pdf")</f>
        <v>10.1017--s0272263124000378.pdf</v>
      </c>
      <c r="D1991" s="159" t="str">
        <f>IFERROR(__xludf.DUMMYFUNCTION("""COMPUTED_VALUE"""),"application/pdf")</f>
        <v>application/pdf</v>
      </c>
    </row>
    <row r="1992">
      <c r="A1992" s="339" t="str">
        <f>IFERROR(__xludf.DUMMYFUNCTION("""COMPUTED_VALUE"""),"10.18718/81781.34")</f>
        <v>10.18718/81781.34</v>
      </c>
      <c r="B1992" s="445" t="str">
        <f>IFERROR(__xludf.DUMMYFUNCTION("""COMPUTED_VALUE"""),"https://drive.google.com/file/d/1Y24HtovNy5BwKos6_FsV4A_pE93bEfUv/view?usp=drivesdk")</f>
        <v>https://drive.google.com/file/d/1Y24HtovNy5BwKos6_FsV4A_pE93bEfUv/view?usp=drivesdk</v>
      </c>
      <c r="C1992" s="339" t="str">
        <f>IFERROR(__xludf.DUMMYFUNCTION("""COMPUTED_VALUE"""),"10.18718--81781.34.pdf")</f>
        <v>10.18718--81781.34.pdf</v>
      </c>
      <c r="D1992" s="159" t="str">
        <f>IFERROR(__xludf.DUMMYFUNCTION("""COMPUTED_VALUE"""),"application/pdf")</f>
        <v>application/pdf</v>
      </c>
    </row>
    <row r="1993">
      <c r="A1993" s="339" t="str">
        <f>IFERROR(__xludf.DUMMYFUNCTION("""COMPUTED_VALUE"""),"10.31234/osf.io/cf4xz")</f>
        <v>10.31234/osf.io/cf4xz</v>
      </c>
      <c r="B1993" s="445" t="str">
        <f>IFERROR(__xludf.DUMMYFUNCTION("""COMPUTED_VALUE"""),"https://drive.google.com/file/d/1Tsg1BvUDYPZ40L5izJMMYH7m3hZ-Z2QJ/view?usp=drivesdk")</f>
        <v>https://drive.google.com/file/d/1Tsg1BvUDYPZ40L5izJMMYH7m3hZ-Z2QJ/view?usp=drivesdk</v>
      </c>
      <c r="C1993" s="339" t="str">
        <f>IFERROR(__xludf.DUMMYFUNCTION("""COMPUTED_VALUE"""),"10.31234--osf.io--cf4xz.pdf")</f>
        <v>10.31234--osf.io--cf4xz.pdf</v>
      </c>
      <c r="D1993" s="159" t="str">
        <f>IFERROR(__xludf.DUMMYFUNCTION("""COMPUTED_VALUE"""),"application/pdf")</f>
        <v>application/pdf</v>
      </c>
    </row>
    <row r="1994">
      <c r="A1994" s="339" t="str">
        <f>IFERROR(__xludf.DUMMYFUNCTION("""COMPUTED_VALUE"""),"2024.lrec-main.91")</f>
        <v>2024.lrec-main.91</v>
      </c>
      <c r="B1994" s="445" t="str">
        <f>IFERROR(__xludf.DUMMYFUNCTION("""COMPUTED_VALUE"""),"https://drive.google.com/file/d/1NIjwBw1HSQxLQI9DGPXfoBeD-8Wnntz5/view?usp=drivesdk")</f>
        <v>https://drive.google.com/file/d/1NIjwBw1HSQxLQI9DGPXfoBeD-8Wnntz5/view?usp=drivesdk</v>
      </c>
      <c r="C1994" s="339" t="str">
        <f>IFERROR(__xludf.DUMMYFUNCTION("""COMPUTED_VALUE"""),"2024.lrec-main.91.pdf")</f>
        <v>2024.lrec-main.91.pdf</v>
      </c>
      <c r="D1994" s="159" t="str">
        <f>IFERROR(__xludf.DUMMYFUNCTION("""COMPUTED_VALUE"""),"application/pdf")</f>
        <v>application/pdf</v>
      </c>
    </row>
    <row r="1995">
      <c r="A1995" s="339" t="str">
        <f>IFERROR(__xludf.DUMMYFUNCTION("""COMPUTED_VALUE"""),"10.31234/osf.io/68jft")</f>
        <v>10.31234/osf.io/68jft</v>
      </c>
      <c r="B1995" s="445" t="str">
        <f>IFERROR(__xludf.DUMMYFUNCTION("""COMPUTED_VALUE"""),"https://drive.google.com/file/d/1TqbYPD6TfJF6VjNMngYfnoD5Y8nHUi0O/view?usp=drivesdk")</f>
        <v>https://drive.google.com/file/d/1TqbYPD6TfJF6VjNMngYfnoD5Y8nHUi0O/view?usp=drivesdk</v>
      </c>
      <c r="C1995" s="339" t="str">
        <f>IFERROR(__xludf.DUMMYFUNCTION("""COMPUTED_VALUE"""),"10.31234--osf.io--68jft.pdf")</f>
        <v>10.31234--osf.io--68jft.pdf</v>
      </c>
      <c r="D1995" s="159" t="str">
        <f>IFERROR(__xludf.DUMMYFUNCTION("""COMPUTED_VALUE"""),"application/pdf")</f>
        <v>application/pdf</v>
      </c>
    </row>
    <row r="1996">
      <c r="A1996" s="339" t="str">
        <f>IFERROR(__xludf.DUMMYFUNCTION("""COMPUTED_VALUE"""),"10.1002/erv.3103")</f>
        <v>10.1002/erv.3103</v>
      </c>
      <c r="B1996" s="445" t="str">
        <f>IFERROR(__xludf.DUMMYFUNCTION("""COMPUTED_VALUE"""),"https://drive.google.com/file/d/1bJ0BC-Xy_bNt41DXHAjv1ms0mnz9Vq86/view?usp=drivesdk")</f>
        <v>https://drive.google.com/file/d/1bJ0BC-Xy_bNt41DXHAjv1ms0mnz9Vq86/view?usp=drivesdk</v>
      </c>
      <c r="C1996" s="339" t="str">
        <f>IFERROR(__xludf.DUMMYFUNCTION("""COMPUTED_VALUE"""),"10.1002--erv.3103.pdf")</f>
        <v>10.1002--erv.3103.pdf</v>
      </c>
      <c r="D1996" s="159" t="str">
        <f>IFERROR(__xludf.DUMMYFUNCTION("""COMPUTED_VALUE"""),"application/pdf")</f>
        <v>application/pdf</v>
      </c>
    </row>
    <row r="1997">
      <c r="A1997" s="339" t="str">
        <f>IFERROR(__xludf.DUMMYFUNCTION("""COMPUTED_VALUE"""),"10.1017/s0261444824000120")</f>
        <v>10.1017/s0261444824000120</v>
      </c>
      <c r="B1997" s="445" t="str">
        <f>IFERROR(__xludf.DUMMYFUNCTION("""COMPUTED_VALUE"""),"https://drive.google.com/file/d/1sSSGJnEV4E18FQJXK-1-tt9r58Mi889H/view?usp=drivesdk")</f>
        <v>https://drive.google.com/file/d/1sSSGJnEV4E18FQJXK-1-tt9r58Mi889H/view?usp=drivesdk</v>
      </c>
      <c r="C1997" s="339" t="str">
        <f>IFERROR(__xludf.DUMMYFUNCTION("""COMPUTED_VALUE"""),"10.1017--S0261444824000120.pdf")</f>
        <v>10.1017--S0261444824000120.pdf</v>
      </c>
      <c r="D1997" s="159" t="str">
        <f>IFERROR(__xludf.DUMMYFUNCTION("""COMPUTED_VALUE"""),"application/pdf")</f>
        <v>application/pdf</v>
      </c>
    </row>
    <row r="1998">
      <c r="A1998" s="339" t="str">
        <f>IFERROR(__xludf.DUMMYFUNCTION("""COMPUTED_VALUE"""),"10.1080/0163853x.2024.2339738")</f>
        <v>10.1080/0163853x.2024.2339738</v>
      </c>
      <c r="B1998" s="445" t="str">
        <f>IFERROR(__xludf.DUMMYFUNCTION("""COMPUTED_VALUE"""),"https://drive.google.com/file/d/1qKtm6cJaGp1OYT52DZ-rdF0umAGshXgk/view?usp=drivesdk")</f>
        <v>https://drive.google.com/file/d/1qKtm6cJaGp1OYT52DZ-rdF0umAGshXgk/view?usp=drivesdk</v>
      </c>
      <c r="C1998" s="339" t="str">
        <f>IFERROR(__xludf.DUMMYFUNCTION("""COMPUTED_VALUE"""),"10.1080--0163853X.2024.2339738.pdf")</f>
        <v>10.1080--0163853X.2024.2339738.pdf</v>
      </c>
      <c r="D1998" s="159" t="str">
        <f>IFERROR(__xludf.DUMMYFUNCTION("""COMPUTED_VALUE"""),"application/pdf")</f>
        <v>application/pdf</v>
      </c>
    </row>
    <row r="1999">
      <c r="A1999" s="339" t="str">
        <f>IFERROR(__xludf.DUMMYFUNCTION("""COMPUTED_VALUE"""),"10.1016/j.drugalcdep.2024.111323")</f>
        <v>10.1016/j.drugalcdep.2024.111323</v>
      </c>
      <c r="B1999" s="445" t="str">
        <f>IFERROR(__xludf.DUMMYFUNCTION("""COMPUTED_VALUE"""),"https://drive.google.com/file/d/1hw6VxSN8dF8WIp6LhbqOOmsEo0dTvdbu/view?usp=drivesdk")</f>
        <v>https://drive.google.com/file/d/1hw6VxSN8dF8WIp6LhbqOOmsEo0dTvdbu/view?usp=drivesdk</v>
      </c>
      <c r="C1999" s="339" t="str">
        <f>IFERROR(__xludf.DUMMYFUNCTION("""COMPUTED_VALUE"""),"10.1016--j.drugalcdep.2024.111323.pdf")</f>
        <v>10.1016--j.drugalcdep.2024.111323.pdf</v>
      </c>
      <c r="D1999" s="159" t="str">
        <f>IFERROR(__xludf.DUMMYFUNCTION("""COMPUTED_VALUE"""),"application/pdf")</f>
        <v>application/pdf</v>
      </c>
    </row>
    <row r="2000">
      <c r="A2000" s="339" t="str">
        <f>IFERROR(__xludf.DUMMYFUNCTION("""COMPUTED_VALUE"""),"mendoza_2024")</f>
        <v>mendoza_2024</v>
      </c>
      <c r="B2000" s="445" t="str">
        <f>IFERROR(__xludf.DUMMYFUNCTION("""COMPUTED_VALUE"""),"https://drive.google.com/file/d/1uqPYsQnG8eSYcKJ1Tcphemj3KvGd0mXp/view?usp=drivesdk")</f>
        <v>https://drive.google.com/file/d/1uqPYsQnG8eSYcKJ1Tcphemj3KvGd0mXp/view?usp=drivesdk</v>
      </c>
      <c r="C2000" s="339" t="str">
        <f>IFERROR(__xludf.DUMMYFUNCTION("""COMPUTED_VALUE"""),"mendoza_2024.pdf")</f>
        <v>mendoza_2024.pdf</v>
      </c>
      <c r="D2000" s="159" t="str">
        <f>IFERROR(__xludf.DUMMYFUNCTION("""COMPUTED_VALUE"""),"application/pdf")</f>
        <v>application/pdf</v>
      </c>
    </row>
    <row r="2001">
      <c r="A2001" s="339" t="str">
        <f>IFERROR(__xludf.DUMMYFUNCTION("""COMPUTED_VALUE"""),"10.1093/schbul/sbae058")</f>
        <v>10.1093/schbul/sbae058</v>
      </c>
      <c r="B2001" s="445" t="str">
        <f>IFERROR(__xludf.DUMMYFUNCTION("""COMPUTED_VALUE"""),"https://drive.google.com/file/d/1WNCE1BHqI-1JTQSuMkdiS2Xt4dckCPmq/view?usp=drivesdk")</f>
        <v>https://drive.google.com/file/d/1WNCE1BHqI-1JTQSuMkdiS2Xt4dckCPmq/view?usp=drivesdk</v>
      </c>
      <c r="C2001" s="339" t="str">
        <f>IFERROR(__xludf.DUMMYFUNCTION("""COMPUTED_VALUE"""),"10.1093--schbul--sbae058.pdf")</f>
        <v>10.1093--schbul--sbae058.pdf</v>
      </c>
      <c r="D2001" s="159" t="str">
        <f>IFERROR(__xludf.DUMMYFUNCTION("""COMPUTED_VALUE"""),"application/pdf")</f>
        <v>application/pdf</v>
      </c>
    </row>
    <row r="2002">
      <c r="A2002" s="339" t="str">
        <f>IFERROR(__xludf.DUMMYFUNCTION("""COMPUTED_VALUE"""),"10.1017/s027226312400010x")</f>
        <v>10.1017/s027226312400010x</v>
      </c>
      <c r="B2002" s="445" t="str">
        <f>IFERROR(__xludf.DUMMYFUNCTION("""COMPUTED_VALUE"""),"https://drive.google.com/file/d/1gKS9Z0txNmobZApdh403VlFeWnSEs1mA/view?usp=drivesdk")</f>
        <v>https://drive.google.com/file/d/1gKS9Z0txNmobZApdh403VlFeWnSEs1mA/view?usp=drivesdk</v>
      </c>
      <c r="C2002" s="339" t="str">
        <f>IFERROR(__xludf.DUMMYFUNCTION("""COMPUTED_VALUE"""),"10.1017--S027226312400010X.pdf")</f>
        <v>10.1017--S027226312400010X.pdf</v>
      </c>
      <c r="D2002" s="159" t="str">
        <f>IFERROR(__xludf.DUMMYFUNCTION("""COMPUTED_VALUE"""),"application/pdf")</f>
        <v>application/pdf</v>
      </c>
    </row>
    <row r="2003">
      <c r="A2003" s="339" t="str">
        <f>IFERROR(__xludf.DUMMYFUNCTION("""COMPUTED_VALUE"""),"10.1177/07419325241240067")</f>
        <v>10.1177/07419325241240067</v>
      </c>
      <c r="B2003" s="445" t="str">
        <f>IFERROR(__xludf.DUMMYFUNCTION("""COMPUTED_VALUE"""),"https://drive.google.com/file/d/1gy34Rj2zubnsdFDxbY0YzwrhmT7eVu5B/view?usp=drivesdk")</f>
        <v>https://drive.google.com/file/d/1gy34Rj2zubnsdFDxbY0YzwrhmT7eVu5B/view?usp=drivesdk</v>
      </c>
      <c r="C2003" s="339" t="str">
        <f>IFERROR(__xludf.DUMMYFUNCTION("""COMPUTED_VALUE"""),"10.1177--07419325241240067.pdf")</f>
        <v>10.1177--07419325241240067.pdf</v>
      </c>
      <c r="D2003" s="159" t="str">
        <f>IFERROR(__xludf.DUMMYFUNCTION("""COMPUTED_VALUE"""),"application/pdf")</f>
        <v>application/pdf</v>
      </c>
    </row>
    <row r="2004">
      <c r="A2004" s="339" t="str">
        <f>IFERROR(__xludf.DUMMYFUNCTION("""COMPUTED_VALUE"""),"10.1080/19345747.2024.2333734")</f>
        <v>10.1080/19345747.2024.2333734</v>
      </c>
      <c r="B2004" s="445" t="str">
        <f>IFERROR(__xludf.DUMMYFUNCTION("""COMPUTED_VALUE"""),"https://drive.google.com/file/d/1Rle6yo3utupMLtWPIY-izoAHwsC7-l3z/view?usp=drivesdk")</f>
        <v>https://drive.google.com/file/d/1Rle6yo3utupMLtWPIY-izoAHwsC7-l3z/view?usp=drivesdk</v>
      </c>
      <c r="C2004" s="339" t="str">
        <f>IFERROR(__xludf.DUMMYFUNCTION("""COMPUTED_VALUE"""),"10.1080--19345747.2024.2333734.pdf")</f>
        <v>10.1080--19345747.2024.2333734.pdf</v>
      </c>
      <c r="D2004" s="159" t="str">
        <f>IFERROR(__xludf.DUMMYFUNCTION("""COMPUTED_VALUE"""),"application/pdf")</f>
        <v>application/pdf</v>
      </c>
    </row>
    <row r="2005">
      <c r="A2005" s="339" t="str">
        <f>IFERROR(__xludf.DUMMYFUNCTION("""COMPUTED_VALUE"""),"10.2139/ssrn.3816626")</f>
        <v>10.2139/ssrn.3816626</v>
      </c>
      <c r="B2005" s="445" t="str">
        <f>IFERROR(__xludf.DUMMYFUNCTION("""COMPUTED_VALUE"""),"https://drive.google.com/file/d/15dFaGlw5PiU4FQdHXfm-MBl-bSuobzO2/view?usp=drivesdk")</f>
        <v>https://drive.google.com/file/d/15dFaGlw5PiU4FQdHXfm-MBl-bSuobzO2/view?usp=drivesdk</v>
      </c>
      <c r="C2005" s="339" t="str">
        <f>IFERROR(__xludf.DUMMYFUNCTION("""COMPUTED_VALUE"""),"10.2139--ssrn.3816626.pdf")</f>
        <v>10.2139--ssrn.3816626.pdf</v>
      </c>
      <c r="D2005" s="159" t="str">
        <f>IFERROR(__xludf.DUMMYFUNCTION("""COMPUTED_VALUE"""),"application/pdf")</f>
        <v>application/pdf</v>
      </c>
    </row>
    <row r="2006">
      <c r="A2006" s="339" t="str">
        <f>IFERROR(__xludf.DUMMYFUNCTION("""COMPUTED_VALUE"""),"10.1017/s0272263124000238")</f>
        <v>10.1017/s0272263124000238</v>
      </c>
      <c r="B2006" s="445" t="str">
        <f>IFERROR(__xludf.DUMMYFUNCTION("""COMPUTED_VALUE"""),"https://drive.google.com/file/d/1KQ2h_KjNuvgQPQ443vS97noydUJbOuPG/view?usp=drivesdk")</f>
        <v>https://drive.google.com/file/d/1KQ2h_KjNuvgQPQ443vS97noydUJbOuPG/view?usp=drivesdk</v>
      </c>
      <c r="C2006" s="339" t="str">
        <f>IFERROR(__xludf.DUMMYFUNCTION("""COMPUTED_VALUE"""),"10.1017--s0272263124000238.pdf")</f>
        <v>10.1017--s0272263124000238.pdf</v>
      </c>
      <c r="D2006" s="159" t="str">
        <f>IFERROR(__xludf.DUMMYFUNCTION("""COMPUTED_VALUE"""),"application/pdf")</f>
        <v>application/pdf</v>
      </c>
    </row>
    <row r="2007">
      <c r="A2007" s="339" t="str">
        <f>IFERROR(__xludf.DUMMYFUNCTION("""COMPUTED_VALUE"""),"10.1163/26670127-bja10017")</f>
        <v>10.1163/26670127-bja10017</v>
      </c>
      <c r="B2007" s="445" t="str">
        <f>IFERROR(__xludf.DUMMYFUNCTION("""COMPUTED_VALUE"""),"https://drive.google.com/file/d/1u_oSZ0fEx8q87XxieN1axHREEr_kiGBE/view?usp=drivesdk")</f>
        <v>https://drive.google.com/file/d/1u_oSZ0fEx8q87XxieN1axHREEr_kiGBE/view?usp=drivesdk</v>
      </c>
      <c r="C2007" s="339" t="str">
        <f>IFERROR(__xludf.DUMMYFUNCTION("""COMPUTED_VALUE"""),"10.1163--26670127-bja10017.pdf")</f>
        <v>10.1163--26670127-bja10017.pdf</v>
      </c>
      <c r="D2007" s="159" t="str">
        <f>IFERROR(__xludf.DUMMYFUNCTION("""COMPUTED_VALUE"""),"application/pdf")</f>
        <v>application/pdf</v>
      </c>
    </row>
    <row r="2008">
      <c r="A2008" s="339" t="str">
        <f>IFERROR(__xludf.DUMMYFUNCTION("""COMPUTED_VALUE"""),"10.1016/j.jesp.2020104066")</f>
        <v>10.1016/j.jesp.2020104066</v>
      </c>
      <c r="B2008" s="445" t="str">
        <f>IFERROR(__xludf.DUMMYFUNCTION("""COMPUTED_VALUE"""),"https://drive.google.com/file/d/1SlGQ-MMWoaYjG2PzJ2FZTEPcMTkqTVn9/view?usp=drivesdk")</f>
        <v>https://drive.google.com/file/d/1SlGQ-MMWoaYjG2PzJ2FZTEPcMTkqTVn9/view?usp=drivesdk</v>
      </c>
      <c r="C2008" s="339" t="str">
        <f>IFERROR(__xludf.DUMMYFUNCTION("""COMPUTED_VALUE"""),"10.1016--j.jesp.2020104066.pdf")</f>
        <v>10.1016--j.jesp.2020104066.pdf</v>
      </c>
      <c r="D2008" s="159" t="str">
        <f>IFERROR(__xludf.DUMMYFUNCTION("""COMPUTED_VALUE"""),"application/pdf")</f>
        <v>application/pdf</v>
      </c>
    </row>
    <row r="2009">
      <c r="A2009" s="445" t="str">
        <f>IFERROR(__xludf.DUMMYFUNCTION("""COMPUTED_VALUE"""),"osf.io/x4v53")</f>
        <v>osf.io/x4v53</v>
      </c>
      <c r="B2009" s="445" t="str">
        <f>IFERROR(__xludf.DUMMYFUNCTION("""COMPUTED_VALUE"""),"https://drive.google.com/file/d/101OwdNXwjKk-CSJMDDNBxSMU_jnE0JGh/view?usp=drivesdk")</f>
        <v>https://drive.google.com/file/d/101OwdNXwjKk-CSJMDDNBxSMU_jnE0JGh/view?usp=drivesdk</v>
      </c>
      <c r="C2009" s="339" t="str">
        <f>IFERROR(__xludf.DUMMYFUNCTION("""COMPUTED_VALUE"""),"osf.io--x4v53.pdf")</f>
        <v>osf.io--x4v53.pdf</v>
      </c>
      <c r="D2009" s="159" t="str">
        <f>IFERROR(__xludf.DUMMYFUNCTION("""COMPUTED_VALUE"""),"application/pdf")</f>
        <v>application/pdf</v>
      </c>
    </row>
    <row r="2010">
      <c r="A2010" s="445" t="str">
        <f>IFERROR(__xludf.DUMMYFUNCTION("""COMPUTED_VALUE"""),"osf.io/wru8c")</f>
        <v>osf.io/wru8c</v>
      </c>
      <c r="B2010" s="445" t="str">
        <f>IFERROR(__xludf.DUMMYFUNCTION("""COMPUTED_VALUE"""),"https://drive.google.com/file/d/1Oux4UBwSd26986fxRHjyI5XNtU-07DOs/view?usp=drivesdk")</f>
        <v>https://drive.google.com/file/d/1Oux4UBwSd26986fxRHjyI5XNtU-07DOs/view?usp=drivesdk</v>
      </c>
      <c r="C2010" s="339" t="str">
        <f>IFERROR(__xludf.DUMMYFUNCTION("""COMPUTED_VALUE"""),"osf.io--wru8c.pdf")</f>
        <v>osf.io--wru8c.pdf</v>
      </c>
      <c r="D2010" s="159" t="str">
        <f>IFERROR(__xludf.DUMMYFUNCTION("""COMPUTED_VALUE"""),"application/pdf")</f>
        <v>application/pdf</v>
      </c>
    </row>
    <row r="2011">
      <c r="A2011" s="339" t="str">
        <f>IFERROR(__xludf.DUMMYFUNCTION("""COMPUTED_VALUE"""),"10.1027/1864-9335/a000178")</f>
        <v>10.1027/1864-9335/a000178</v>
      </c>
      <c r="B2011" s="445" t="str">
        <f>IFERROR(__xludf.DUMMYFUNCTION("""COMPUTED_VALUE"""),"https://drive.google.com/file/d/1fIqa3RxgdnsQkWwGnLkF4XAbM2g_WN4q/view?usp=drivesdk")</f>
        <v>https://drive.google.com/file/d/1fIqa3RxgdnsQkWwGnLkF4XAbM2g_WN4q/view?usp=drivesdk</v>
      </c>
      <c r="C2011" s="339" t="str">
        <f>IFERROR(__xludf.DUMMYFUNCTION("""COMPUTED_VALUE"""),"10.1027--1864-9335--a000178.pdf")</f>
        <v>10.1027--1864-9335--a000178.pdf</v>
      </c>
      <c r="D2011" s="159" t="str">
        <f>IFERROR(__xludf.DUMMYFUNCTION("""COMPUTED_VALUE"""),"application/pdf")</f>
        <v>application/pdf</v>
      </c>
    </row>
    <row r="2012">
      <c r="A2012" s="339" t="str">
        <f>IFERROR(__xludf.DUMMYFUNCTION("""COMPUTED_VALUE"""),"10.1257/mac.1.1.146")</f>
        <v>10.1257/mac.1.1.146</v>
      </c>
      <c r="B2012" s="445" t="str">
        <f>IFERROR(__xludf.DUMMYFUNCTION("""COMPUTED_VALUE"""),"https://drive.google.com/file/d/18u8UZGmq2oMFWhXRxe2eL3wAp7RT1WdE/view?usp=drivesdk")</f>
        <v>https://drive.google.com/file/d/18u8UZGmq2oMFWhXRxe2eL3wAp7RT1WdE/view?usp=drivesdk</v>
      </c>
      <c r="C2012" s="339" t="str">
        <f>IFERROR(__xludf.DUMMYFUNCTION("""COMPUTED_VALUE"""),"10.1257--mac.1.1.146.pdf")</f>
        <v>10.1257--mac.1.1.146.pdf</v>
      </c>
      <c r="D2012" s="159" t="str">
        <f>IFERROR(__xludf.DUMMYFUNCTION("""COMPUTED_VALUE"""),"application/pdf")</f>
        <v>application/pdf</v>
      </c>
    </row>
    <row r="2013">
      <c r="A2013" s="339" t="str">
        <f>IFERROR(__xludf.DUMMYFUNCTION("""COMPUTED_VALUE"""),"9781032633275")</f>
        <v>9781032633275</v>
      </c>
      <c r="B2013" s="445" t="str">
        <f>IFERROR(__xludf.DUMMYFUNCTION("""COMPUTED_VALUE"""),"https://drive.google.com/file/d/1BpLhL82hbuMif1ihzgQr3rblWCHhGl8w/view?usp=drivesdk")</f>
        <v>https://drive.google.com/file/d/1BpLhL82hbuMif1ihzgQr3rblWCHhGl8w/view?usp=drivesdk</v>
      </c>
      <c r="C2013" s="339" t="str">
        <f>IFERROR(__xludf.DUMMYFUNCTION("""COMPUTED_VALUE"""),"9781032633275.pdf")</f>
        <v>9781032633275.pdf</v>
      </c>
      <c r="D2013" s="159" t="str">
        <f>IFERROR(__xludf.DUMMYFUNCTION("""COMPUTED_VALUE"""),"application/pdf")</f>
        <v>application/pdf</v>
      </c>
    </row>
    <row r="2014">
      <c r="A2014" s="339" t="str">
        <f>IFERROR(__xludf.DUMMYFUNCTION("""COMPUTED_VALUE"""),"10.1037a0028216")</f>
        <v>10.1037a0028216</v>
      </c>
      <c r="B2014" s="445" t="str">
        <f>IFERROR(__xludf.DUMMYFUNCTION("""COMPUTED_VALUE"""),"https://drive.google.com/file/d/1zL5lM_V9MRmmO1m3jB_xWJI2GGBttwNy/view?usp=drivesdk")</f>
        <v>https://drive.google.com/file/d/1zL5lM_V9MRmmO1m3jB_xWJI2GGBttwNy/view?usp=drivesdk</v>
      </c>
      <c r="C2014" s="339" t="str">
        <f>IFERROR(__xludf.DUMMYFUNCTION("""COMPUTED_VALUE"""),"10.1037a0028216.pdf")</f>
        <v>10.1037a0028216.pdf</v>
      </c>
      <c r="D2014" s="159" t="str">
        <f>IFERROR(__xludf.DUMMYFUNCTION("""COMPUTED_VALUE"""),"application/pdf")</f>
        <v>application/pdf</v>
      </c>
    </row>
    <row r="2015">
      <c r="A2015" s="339" t="str">
        <f>IFERROR(__xludf.DUMMYFUNCTION("""COMPUTED_VALUE"""),"10.1037xge0000064")</f>
        <v>10.1037xge0000064</v>
      </c>
      <c r="B2015" s="445" t="str">
        <f>IFERROR(__xludf.DUMMYFUNCTION("""COMPUTED_VALUE"""),"https://drive.google.com/file/d/17l2cYRmcEAZZdreqrkMvPBM2wIaTNLJ5/view?usp=drivesdk")</f>
        <v>https://drive.google.com/file/d/17l2cYRmcEAZZdreqrkMvPBM2wIaTNLJ5/view?usp=drivesdk</v>
      </c>
      <c r="C2015" s="339" t="str">
        <f>IFERROR(__xludf.DUMMYFUNCTION("""COMPUTED_VALUE"""),"10.1037xge0000064.pdf")</f>
        <v>10.1037xge0000064.pdf</v>
      </c>
      <c r="D2015" s="159" t="str">
        <f>IFERROR(__xludf.DUMMYFUNCTION("""COMPUTED_VALUE"""),"application/pdf")</f>
        <v>application/pdf</v>
      </c>
    </row>
    <row r="2016">
      <c r="A2016" s="339" t="str">
        <f>IFERROR(__xludf.DUMMYFUNCTION("""COMPUTED_VALUE"""),"10.1016j.ecresq.2019.10.004")</f>
        <v>10.1016j.ecresq.2019.10.004</v>
      </c>
      <c r="B2016" s="445" t="str">
        <f>IFERROR(__xludf.DUMMYFUNCTION("""COMPUTED_VALUE"""),"https://drive.google.com/file/d/1C-qoEDIS5dt9gmEbHdXyUHBQ2cKsSFFl/view?usp=drivesdk")</f>
        <v>https://drive.google.com/file/d/1C-qoEDIS5dt9gmEbHdXyUHBQ2cKsSFFl/view?usp=drivesdk</v>
      </c>
      <c r="C2016" s="339" t="str">
        <f>IFERROR(__xludf.DUMMYFUNCTION("""COMPUTED_VALUE"""),"10.1016j.ecresq.2019.10.004.pdf")</f>
        <v>10.1016j.ecresq.2019.10.004.pdf</v>
      </c>
      <c r="D2016" s="159" t="str">
        <f>IFERROR(__xludf.DUMMYFUNCTION("""COMPUTED_VALUE"""),"application/pdf")</f>
        <v>application/pdf</v>
      </c>
    </row>
    <row r="2017">
      <c r="A2017" s="339" t="str">
        <f>IFERROR(__xludf.DUMMYFUNCTION("""COMPUTED_VALUE"""),"escholarship.orgucitem39d347bk")</f>
        <v>escholarship.orgucitem39d347bk</v>
      </c>
      <c r="B2017" s="445" t="str">
        <f>IFERROR(__xludf.DUMMYFUNCTION("""COMPUTED_VALUE"""),"https://drive.google.com/file/d/1S2bnWMra5cT3jybiRMXQyyKgjUU5M3mP/view?usp=drivesdk")</f>
        <v>https://drive.google.com/file/d/1S2bnWMra5cT3jybiRMXQyyKgjUU5M3mP/view?usp=drivesdk</v>
      </c>
      <c r="C2017" s="339" t="str">
        <f>IFERROR(__xludf.DUMMYFUNCTION("""COMPUTED_VALUE"""),"escholarship.orgucitem39d347bk.pdf")</f>
        <v>escholarship.orgucitem39d347bk.pdf</v>
      </c>
      <c r="D2017" s="159" t="str">
        <f>IFERROR(__xludf.DUMMYFUNCTION("""COMPUTED_VALUE"""),"application/pdf")</f>
        <v>application/pdf</v>
      </c>
    </row>
    <row r="2018">
      <c r="A2018" s="339" t="str">
        <f>IFERROR(__xludf.DUMMYFUNCTION("""COMPUTED_VALUE"""),"10.1037xge0000263")</f>
        <v>10.1037xge0000263</v>
      </c>
      <c r="B2018" s="445" t="str">
        <f>IFERROR(__xludf.DUMMYFUNCTION("""COMPUTED_VALUE"""),"https://drive.google.com/file/d/1Y86fP_KKYPZSw0MLyhclNzE54yAOJHFx/view?usp=drivesdk")</f>
        <v>https://drive.google.com/file/d/1Y86fP_KKYPZSw0MLyhclNzE54yAOJHFx/view?usp=drivesdk</v>
      </c>
      <c r="C2018" s="339" t="str">
        <f>IFERROR(__xludf.DUMMYFUNCTION("""COMPUTED_VALUE"""),"10.1037xge0000263.pdf")</f>
        <v>10.1037xge0000263.pdf</v>
      </c>
      <c r="D2018" s="159" t="str">
        <f>IFERROR(__xludf.DUMMYFUNCTION("""COMPUTED_VALUE"""),"application/pdf")</f>
        <v>application/pdf</v>
      </c>
    </row>
    <row r="2019">
      <c r="A2019" s="339" t="str">
        <f>IFERROR(__xludf.DUMMYFUNCTION("""COMPUTED_VALUE"""),"10.1038s41467-021-27323-3")</f>
        <v>10.1038s41467-021-27323-3</v>
      </c>
      <c r="B2019" s="445" t="str">
        <f>IFERROR(__xludf.DUMMYFUNCTION("""COMPUTED_VALUE"""),"https://drive.google.com/file/d/1jkeeRtUcRwjVBTQ0tt7a6BWEC7M63p3O/view?usp=drivesdk")</f>
        <v>https://drive.google.com/file/d/1jkeeRtUcRwjVBTQ0tt7a6BWEC7M63p3O/view?usp=drivesdk</v>
      </c>
      <c r="C2019" s="339" t="str">
        <f>IFERROR(__xludf.DUMMYFUNCTION("""COMPUTED_VALUE"""),"10.1038s41467-021-27323-3.pdf")</f>
        <v>10.1038s41467-021-27323-3.pdf</v>
      </c>
      <c r="D2019" s="159" t="str">
        <f>IFERROR(__xludf.DUMMYFUNCTION("""COMPUTED_VALUE"""),"application/pdf")</f>
        <v>application/pdf</v>
      </c>
    </row>
    <row r="2020">
      <c r="A2020" s="339" t="str">
        <f>IFERROR(__xludf.DUMMYFUNCTION("""COMPUTED_VALUE"""),"10.1037xge0000738")</f>
        <v>10.1037xge0000738</v>
      </c>
      <c r="B2020" s="445" t="str">
        <f>IFERROR(__xludf.DUMMYFUNCTION("""COMPUTED_VALUE"""),"https://drive.google.com/file/d/1vqDYyUya1hGxUO3xOXp-fS4z5QiC8jwH/view?usp=drivesdk")</f>
        <v>https://drive.google.com/file/d/1vqDYyUya1hGxUO3xOXp-fS4z5QiC8jwH/view?usp=drivesdk</v>
      </c>
      <c r="C2020" s="339" t="str">
        <f>IFERROR(__xludf.DUMMYFUNCTION("""COMPUTED_VALUE"""),"10.1037xge0000738.pdf")</f>
        <v>10.1037xge0000738.pdf</v>
      </c>
      <c r="D2020" s="159" t="str">
        <f>IFERROR(__xludf.DUMMYFUNCTION("""COMPUTED_VALUE"""),"application/pdf")</f>
        <v>application/pdf</v>
      </c>
    </row>
    <row r="2021">
      <c r="A2021" s="339" t="str">
        <f>IFERROR(__xludf.DUMMYFUNCTION("""COMPUTED_VALUE"""),"10.1515ling.2011.016")</f>
        <v>10.1515ling.2011.016</v>
      </c>
      <c r="B2021" s="445" t="str">
        <f>IFERROR(__xludf.DUMMYFUNCTION("""COMPUTED_VALUE"""),"https://drive.google.com/file/d/1wLLLetzLeWlO9t4gOOpQ_OFAsZ2KduSR/view?usp=drivesdk")</f>
        <v>https://drive.google.com/file/d/1wLLLetzLeWlO9t4gOOpQ_OFAsZ2KduSR/view?usp=drivesdk</v>
      </c>
      <c r="C2021" s="339" t="str">
        <f>IFERROR(__xludf.DUMMYFUNCTION("""COMPUTED_VALUE"""),"10.1515ling.2011.016.pdf")</f>
        <v>10.1515ling.2011.016.pdf</v>
      </c>
      <c r="D2021" s="159" t="str">
        <f>IFERROR(__xludf.DUMMYFUNCTION("""COMPUTED_VALUE"""),"application/pdf")</f>
        <v>application/pdf</v>
      </c>
    </row>
    <row r="2022">
      <c r="A2022" s="339" t="str">
        <f>IFERROR(__xludf.DUMMYFUNCTION("""COMPUTED_VALUE"""),"10.1037pspi0000081")</f>
        <v>10.1037pspi0000081</v>
      </c>
      <c r="B2022" s="445" t="str">
        <f>IFERROR(__xludf.DUMMYFUNCTION("""COMPUTED_VALUE"""),"https://drive.google.com/file/d/11QqLgmbtbwaBdxksMvgSN9fgjgPLwWKg/view?usp=drivesdk")</f>
        <v>https://drive.google.com/file/d/11QqLgmbtbwaBdxksMvgSN9fgjgPLwWKg/view?usp=drivesdk</v>
      </c>
      <c r="C2022" s="339" t="str">
        <f>IFERROR(__xludf.DUMMYFUNCTION("""COMPUTED_VALUE"""),"10.1037pspi0000081.pdf")</f>
        <v>10.1037pspi0000081.pdf</v>
      </c>
      <c r="D2022" s="159" t="str">
        <f>IFERROR(__xludf.DUMMYFUNCTION("""COMPUTED_VALUE"""),"application/pdf")</f>
        <v>application/pdf</v>
      </c>
    </row>
    <row r="2023">
      <c r="A2023" s="339" t="str">
        <f>IFERROR(__xludf.DUMMYFUNCTION("""COMPUTED_VALUE"""),"10.10370022-3514.95.2.293")</f>
        <v>10.10370022-3514.95.2.293</v>
      </c>
      <c r="B2023" s="445" t="str">
        <f>IFERROR(__xludf.DUMMYFUNCTION("""COMPUTED_VALUE"""),"https://drive.google.com/file/d/17twQHZSbQZuzxu21pY3l2ZnhkEsj_cpp/view?usp=drivesdk")</f>
        <v>https://drive.google.com/file/d/17twQHZSbQZuzxu21pY3l2ZnhkEsj_cpp/view?usp=drivesdk</v>
      </c>
      <c r="C2023" s="339" t="str">
        <f>IFERROR(__xludf.DUMMYFUNCTION("""COMPUTED_VALUE"""),"10.10370022-3514.95.2.293.pdf")</f>
        <v>10.10370022-3514.95.2.293.pdf</v>
      </c>
      <c r="D2023" s="159" t="str">
        <f>IFERROR(__xludf.DUMMYFUNCTION("""COMPUTED_VALUE"""),"application/pdf")</f>
        <v>application/pdf</v>
      </c>
    </row>
    <row r="2024">
      <c r="A2024" s="339" t="str">
        <f>IFERROR(__xludf.DUMMYFUNCTION("""COMPUTED_VALUE"""),"10.1093workarwaac024")</f>
        <v>10.1093workarwaac024</v>
      </c>
      <c r="B2024" s="445" t="str">
        <f>IFERROR(__xludf.DUMMYFUNCTION("""COMPUTED_VALUE"""),"https://drive.google.com/file/d/1BG48fszSoz7SPJL3VTBFDjPh5xPhn4Tw/view?usp=drivesdk")</f>
        <v>https://drive.google.com/file/d/1BG48fszSoz7SPJL3VTBFDjPh5xPhn4Tw/view?usp=drivesdk</v>
      </c>
      <c r="C2024" s="339" t="str">
        <f>IFERROR(__xludf.DUMMYFUNCTION("""COMPUTED_VALUE"""),"10.1093workarwaac024.pdf")</f>
        <v>10.1093workarwaac024.pdf</v>
      </c>
      <c r="D2024" s="159" t="str">
        <f>IFERROR(__xludf.DUMMYFUNCTION("""COMPUTED_VALUE"""),"application/pdf")</f>
        <v>application/pdf</v>
      </c>
    </row>
    <row r="2025">
      <c r="A2025" s="339" t="str">
        <f>IFERROR(__xludf.DUMMYFUNCTION("""COMPUTED_VALUE"""),"10.3758s13428-021-01694-3")</f>
        <v>10.3758s13428-021-01694-3</v>
      </c>
      <c r="B2025" s="445" t="str">
        <f>IFERROR(__xludf.DUMMYFUNCTION("""COMPUTED_VALUE"""),"https://drive.google.com/file/d/1I59CACDclrDvPqzUHhjKPAd6ARoVU1ob/view?usp=drivesdk")</f>
        <v>https://drive.google.com/file/d/1I59CACDclrDvPqzUHhjKPAd6ARoVU1ob/view?usp=drivesdk</v>
      </c>
      <c r="C2025" s="339" t="str">
        <f>IFERROR(__xludf.DUMMYFUNCTION("""COMPUTED_VALUE"""),"10.3758s13428-021-01694-3.pdf")</f>
        <v>10.3758s13428-021-01694-3.pdf</v>
      </c>
      <c r="D2025" s="159" t="str">
        <f>IFERROR(__xludf.DUMMYFUNCTION("""COMPUTED_VALUE"""),"application/pdf")</f>
        <v>application/pdf</v>
      </c>
    </row>
    <row r="2026">
      <c r="A2026" s="339" t="str">
        <f>IFERROR(__xludf.DUMMYFUNCTION("""COMPUTED_VALUE"""),"10.1016j.neuropsychologia.2009.05.011")</f>
        <v>10.1016j.neuropsychologia.2009.05.011</v>
      </c>
      <c r="B2026" s="445" t="str">
        <f>IFERROR(__xludf.DUMMYFUNCTION("""COMPUTED_VALUE"""),"https://drive.google.com/file/d/1QfiTBSa2fyJng0crQ9A2ZypwYEiEyu5j/view?usp=drivesdk")</f>
        <v>https://drive.google.com/file/d/1QfiTBSa2fyJng0crQ9A2ZypwYEiEyu5j/view?usp=drivesdk</v>
      </c>
      <c r="C2026" s="339" t="str">
        <f>IFERROR(__xludf.DUMMYFUNCTION("""COMPUTED_VALUE"""),"10.1016j.neuropsychologia.2009.05.011.pdf")</f>
        <v>10.1016j.neuropsychologia.2009.05.011.pdf</v>
      </c>
      <c r="D2026" s="159" t="str">
        <f>IFERROR(__xludf.DUMMYFUNCTION("""COMPUTED_VALUE"""),"application/pdf")</f>
        <v>application/pdf</v>
      </c>
    </row>
    <row r="2027">
      <c r="A2027" s="339" t="str">
        <f>IFERROR(__xludf.DUMMYFUNCTION("""COMPUTED_VALUE"""),"10.1162jocn_a_00709")</f>
        <v>10.1162jocn_a_00709</v>
      </c>
      <c r="B2027" s="445" t="str">
        <f>IFERROR(__xludf.DUMMYFUNCTION("""COMPUTED_VALUE"""),"https://drive.google.com/file/d/1TyCdC_5-8LwmulldzelJwvSIe6zRLTv3/view?usp=drivesdk")</f>
        <v>https://drive.google.com/file/d/1TyCdC_5-8LwmulldzelJwvSIe6zRLTv3/view?usp=drivesdk</v>
      </c>
      <c r="C2027" s="339" t="str">
        <f>IFERROR(__xludf.DUMMYFUNCTION("""COMPUTED_VALUE"""),"10.1162jocn_a_00709.pdf")</f>
        <v>10.1162jocn_a_00709.pdf</v>
      </c>
      <c r="D2027" s="159" t="str">
        <f>IFERROR(__xludf.DUMMYFUNCTION("""COMPUTED_VALUE"""),"application/pdf")</f>
        <v>application/pdf</v>
      </c>
    </row>
    <row r="2028">
      <c r="A2028" s="339" t="str">
        <f>IFERROR(__xludf.DUMMYFUNCTION("""COMPUTED_VALUE"""),"10.1016j.obhdp.2010.10.001")</f>
        <v>10.1016j.obhdp.2010.10.001</v>
      </c>
      <c r="B2028" s="445" t="str">
        <f>IFERROR(__xludf.DUMMYFUNCTION("""COMPUTED_VALUE"""),"https://drive.google.com/file/d/1bgDqkxennRmohAykLaeVfBKHnwj2hy4X/view?usp=drivesdk")</f>
        <v>https://drive.google.com/file/d/1bgDqkxennRmohAykLaeVfBKHnwj2hy4X/view?usp=drivesdk</v>
      </c>
      <c r="C2028" s="339" t="str">
        <f>IFERROR(__xludf.DUMMYFUNCTION("""COMPUTED_VALUE"""),"10.1016j.obhdp.2010.10.001.pdf")</f>
        <v>10.1016j.obhdp.2010.10.001.pdf</v>
      </c>
      <c r="D2028" s="159" t="str">
        <f>IFERROR(__xludf.DUMMYFUNCTION("""COMPUTED_VALUE"""),"application/pdf")</f>
        <v>application/pdf</v>
      </c>
    </row>
    <row r="2029">
      <c r="A2029" s="339" t="str">
        <f>IFERROR(__xludf.DUMMYFUNCTION("""COMPUTED_VALUE"""),"10.1038nature03390")</f>
        <v>10.1038nature03390</v>
      </c>
      <c r="B2029" s="445" t="str">
        <f>IFERROR(__xludf.DUMMYFUNCTION("""COMPUTED_VALUE"""),"https://drive.google.com/file/d/1jPiuYDESv0ZoX3sIwP44HDgH0VG3hswL/view?usp=drivesdk")</f>
        <v>https://drive.google.com/file/d/1jPiuYDESv0ZoX3sIwP44HDgH0VG3hswL/view?usp=drivesdk</v>
      </c>
      <c r="C2029" s="339" t="str">
        <f>IFERROR(__xludf.DUMMYFUNCTION("""COMPUTED_VALUE"""),"10.1038nature03390.pdf")</f>
        <v>10.1038nature03390.pdf</v>
      </c>
      <c r="D2029" s="159" t="str">
        <f>IFERROR(__xludf.DUMMYFUNCTION("""COMPUTED_VALUE"""),"application/pdf")</f>
        <v>application/pdf</v>
      </c>
    </row>
    <row r="2030">
      <c r="A2030" s="339" t="str">
        <f>IFERROR(__xludf.DUMMYFUNCTION("""COMPUTED_VALUE"""),"art00005")</f>
        <v>art00005</v>
      </c>
      <c r="B2030" s="445" t="str">
        <f>IFERROR(__xludf.DUMMYFUNCTION("""COMPUTED_VALUE"""),"https://drive.google.com/file/d/1_mm78I7fP7y2ESrJlwaIrN7h22W30B5K/view?usp=drivesdk")</f>
        <v>https://drive.google.com/file/d/1_mm78I7fP7y2ESrJlwaIrN7h22W30B5K/view?usp=drivesdk</v>
      </c>
      <c r="C2030" s="339" t="str">
        <f>IFERROR(__xludf.DUMMYFUNCTION("""COMPUTED_VALUE"""),"art00005.pdf")</f>
        <v>art00005.pdf</v>
      </c>
      <c r="D2030" s="159" t="str">
        <f>IFERROR(__xludf.DUMMYFUNCTION("""COMPUTED_VALUE"""),"application/pdf")</f>
        <v>application/pdf</v>
      </c>
    </row>
    <row r="2031">
      <c r="A2031" s="339" t="str">
        <f>IFERROR(__xludf.DUMMYFUNCTION("""COMPUTED_VALUE"""),"10.1126/science.aaf0918")</f>
        <v>10.1126/science.aaf0918</v>
      </c>
      <c r="B2031" s="445" t="str">
        <f>IFERROR(__xludf.DUMMYFUNCTION("""COMPUTED_VALUE"""),"https://drive.google.com/file/d/1g2LUlGntoVWUQi433rats2xlfqkwajdf/view?usp=drivesdk")</f>
        <v>https://drive.google.com/file/d/1g2LUlGntoVWUQi433rats2xlfqkwajdf/view?usp=drivesdk</v>
      </c>
      <c r="C2031" s="339" t="str">
        <f>IFERROR(__xludf.DUMMYFUNCTION("""COMPUTED_VALUE"""),"10.1126--science.aaf0918.pdf")</f>
        <v>10.1126--science.aaf0918.pdf</v>
      </c>
      <c r="D2031" s="159" t="str">
        <f>IFERROR(__xludf.DUMMYFUNCTION("""COMPUTED_VALUE"""),"application/pdf")</f>
        <v>application/pdf</v>
      </c>
    </row>
    <row r="2032">
      <c r="A2032" s="339" t="str">
        <f>IFERROR(__xludf.DUMMYFUNCTION("""COMPUTED_VALUE"""),"10.1016/0022-1031(77)90049-x")</f>
        <v>10.1016/0022-1031(77)90049-x</v>
      </c>
      <c r="B2032" s="445" t="str">
        <f>IFERROR(__xludf.DUMMYFUNCTION("""COMPUTED_VALUE"""),"https://drive.google.com/file/d/16b2RhNig_5iqWitXUKqz28-xsE4N6txd/view?usp=drivesdk")</f>
        <v>https://drive.google.com/file/d/16b2RhNig_5iqWitXUKqz28-xsE4N6txd/view?usp=drivesdk</v>
      </c>
      <c r="C2032" s="339" t="str">
        <f>IFERROR(__xludf.DUMMYFUNCTION("""COMPUTED_VALUE"""),"10.1016--0022-1031(77)90049-x.pdf")</f>
        <v>10.1016--0022-1031(77)90049-x.pdf</v>
      </c>
      <c r="D2032" s="159" t="str">
        <f>IFERROR(__xludf.DUMMYFUNCTION("""COMPUTED_VALUE"""),"application/pdf")</f>
        <v>application/pdf</v>
      </c>
    </row>
    <row r="2033">
      <c r="A2033" s="339" t="str">
        <f>IFERROR(__xludf.DUMMYFUNCTION("""COMPUTED_VALUE"""),"3329308")</f>
        <v>3329308</v>
      </c>
      <c r="B2033" s="445" t="str">
        <f>IFERROR(__xludf.DUMMYFUNCTION("""COMPUTED_VALUE"""),"https://drive.google.com/file/d/1tin9nciEOGqNUz2Yx-ZnwQtqTwJGFR6v/view?usp=drivesdk")</f>
        <v>https://drive.google.com/file/d/1tin9nciEOGqNUz2Yx-ZnwQtqTwJGFR6v/view?usp=drivesdk</v>
      </c>
      <c r="C2033" s="339" t="str">
        <f>IFERROR(__xludf.DUMMYFUNCTION("""COMPUTED_VALUE"""),"3329308.pdf")</f>
        <v>3329308.pdf</v>
      </c>
      <c r="D2033" s="159" t="str">
        <f>IFERROR(__xludf.DUMMYFUNCTION("""COMPUTED_VALUE"""),"application/pdf")</f>
        <v>application/pdf</v>
      </c>
    </row>
    <row r="2034">
      <c r="A2034" s="339" t="str">
        <f>IFERROR(__xludf.DUMMYFUNCTION("""COMPUTED_VALUE"""),"10.1038/nature13530")</f>
        <v>10.1038/nature13530</v>
      </c>
      <c r="B2034" s="445" t="str">
        <f>IFERROR(__xludf.DUMMYFUNCTION("""COMPUTED_VALUE"""),"https://docs.google.com/document/d/15ukjAVIprceHouxCDvFr3DO3hAQxWGyoAXtWMm3JZas/edit?usp=drivesdk")</f>
        <v>https://docs.google.com/document/d/15ukjAVIprceHouxCDvFr3DO3hAQxWGyoAXtWMm3JZas/edit?usp=drivesdk</v>
      </c>
      <c r="C2034" s="339" t="str">
        <f>IFERROR(__xludf.DUMMYFUNCTION("""COMPUTED_VALUE"""),"10.1038--nature13530")</f>
        <v>10.1038--nature13530</v>
      </c>
      <c r="D2034" s="159" t="str">
        <f>IFERROR(__xludf.DUMMYFUNCTION("""COMPUTED_VALUE"""),"application/vnd.google-apps.document")</f>
        <v>application/vnd.google-apps.document</v>
      </c>
    </row>
    <row r="2035">
      <c r="A2035" s="339" t="str">
        <f>IFERROR(__xludf.DUMMYFUNCTION("""COMPUTED_VALUE"""),"10.1109/iccq60895.2024.10576941")</f>
        <v>10.1109/iccq60895.2024.10576941</v>
      </c>
      <c r="B2035" s="445" t="str">
        <f>IFERROR(__xludf.DUMMYFUNCTION("""COMPUTED_VALUE"""),"https://drive.google.com/file/d/1ljVoDtYBz0iPIIVFLmoGyAGWDfVCncq9/view?usp=drivesdk")</f>
        <v>https://drive.google.com/file/d/1ljVoDtYBz0iPIIVFLmoGyAGWDfVCncq9/view?usp=drivesdk</v>
      </c>
      <c r="C2035" s="339" t="str">
        <f>IFERROR(__xludf.DUMMYFUNCTION("""COMPUTED_VALUE"""),"10.1109--iccq60895.2024.10576941.pdf")</f>
        <v>10.1109--iccq60895.2024.10576941.pdf</v>
      </c>
      <c r="D2035" s="159" t="str">
        <f>IFERROR(__xludf.DUMMYFUNCTION("""COMPUTED_VALUE"""),"application/pdf")</f>
        <v>application/pdf</v>
      </c>
    </row>
    <row r="2036">
      <c r="A2036" s="339" t="str">
        <f>IFERROR(__xludf.DUMMYFUNCTION("""COMPUTED_VALUE"""),"10.1037/emo0001389")</f>
        <v>10.1037/emo0001389</v>
      </c>
      <c r="B2036" s="445" t="str">
        <f>IFERROR(__xludf.DUMMYFUNCTION("""COMPUTED_VALUE"""),"https://drive.google.com/file/d/1EK0iig6kRzrCroz49dDEP_mf3A-HoVQR/view?usp=drivesdk")</f>
        <v>https://drive.google.com/file/d/1EK0iig6kRzrCroz49dDEP_mf3A-HoVQR/view?usp=drivesdk</v>
      </c>
      <c r="C2036" s="339" t="str">
        <f>IFERROR(__xludf.DUMMYFUNCTION("""COMPUTED_VALUE"""),"10.1037--emo0001389.pdf")</f>
        <v>10.1037--emo0001389.pdf</v>
      </c>
      <c r="D2036" s="159" t="str">
        <f>IFERROR(__xludf.DUMMYFUNCTION("""COMPUTED_VALUE"""),"application/pdf")</f>
        <v>application/pdf</v>
      </c>
    </row>
    <row r="2037">
      <c r="A2037" s="339" t="str">
        <f>IFERROR(__xludf.DUMMYFUNCTION("""COMPUTED_VALUE"""),"10.1037/0096-3445.135.4.641 (1)")</f>
        <v>10.1037/0096-3445.135.4.641 (1)</v>
      </c>
      <c r="B2037" s="445" t="str">
        <f>IFERROR(__xludf.DUMMYFUNCTION("""COMPUTED_VALUE"""),"https://drive.google.com/file/d/1zwRoxz5Sn0X6IsPbbi0ZGnyNqMlsqV_i/view?usp=drivesdk")</f>
        <v>https://drive.google.com/file/d/1zwRoxz5Sn0X6IsPbbi0ZGnyNqMlsqV_i/view?usp=drivesdk</v>
      </c>
      <c r="C2037" s="339" t="str">
        <f>IFERROR(__xludf.DUMMYFUNCTION("""COMPUTED_VALUE"""),"10.1037--0096-3445.135.4.641 (1).pdf")</f>
        <v>10.1037--0096-3445.135.4.641 (1).pdf</v>
      </c>
      <c r="D2037" s="159" t="str">
        <f>IFERROR(__xludf.DUMMYFUNCTION("""COMPUTED_VALUE"""),"application/pdf")</f>
        <v>application/pdf</v>
      </c>
    </row>
    <row r="2038">
      <c r="A2038" s="339" t="str">
        <f>IFERROR(__xludf.DUMMYFUNCTION("""COMPUTED_VALUE"""),"10.1016/j.cognition.2009.02.001")</f>
        <v>10.1016/j.cognition.2009.02.001</v>
      </c>
      <c r="B2038" s="445" t="str">
        <f>IFERROR(__xludf.DUMMYFUNCTION("""COMPUTED_VALUE"""),"https://drive.google.com/file/d/14dOJ5ND4VtF3gZcZWTmHDAh5mU0QkdYy/view?usp=drivesdk")</f>
        <v>https://drive.google.com/file/d/14dOJ5ND4VtF3gZcZWTmHDAh5mU0QkdYy/view?usp=drivesdk</v>
      </c>
      <c r="C2038" s="339" t="str">
        <f>IFERROR(__xludf.DUMMYFUNCTION("""COMPUTED_VALUE"""),"10.1016--j.cognition.2009.02.001.pdf")</f>
        <v>10.1016--j.cognition.2009.02.001.pdf</v>
      </c>
      <c r="D2038" s="159" t="str">
        <f>IFERROR(__xludf.DUMMYFUNCTION("""COMPUTED_VALUE"""),"application/pdf")</f>
        <v>application/pdf</v>
      </c>
    </row>
    <row r="2039">
      <c r="A2039" s="339" t="str">
        <f>IFERROR(__xludf.DUMMYFUNCTION("""COMPUTED_VALUE"""),"10.1038/nn1504 (1)")</f>
        <v>10.1038/nn1504 (1)</v>
      </c>
      <c r="B2039" s="445" t="str">
        <f>IFERROR(__xludf.DUMMYFUNCTION("""COMPUTED_VALUE"""),"https://drive.google.com/file/d/1VZDnfEGeyJj49a66gDRh43UDo7SaB9Cn/view?usp=drivesdk")</f>
        <v>https://drive.google.com/file/d/1VZDnfEGeyJj49a66gDRh43UDo7SaB9Cn/view?usp=drivesdk</v>
      </c>
      <c r="C2039" s="339" t="str">
        <f>IFERROR(__xludf.DUMMYFUNCTION("""COMPUTED_VALUE"""),"10.1038--nn1504 (1).pdf")</f>
        <v>10.1038--nn1504 (1).pdf</v>
      </c>
      <c r="D2039" s="159" t="str">
        <f>IFERROR(__xludf.DUMMYFUNCTION("""COMPUTED_VALUE"""),"application/pdf")</f>
        <v>application/pdf</v>
      </c>
    </row>
    <row r="2040">
      <c r="A2040" s="339" t="str">
        <f>IFERROR(__xludf.DUMMYFUNCTION("""COMPUTED_VALUE"""),"10.1037/0278-7393.34.2.302 (1)")</f>
        <v>10.1037/0278-7393.34.2.302 (1)</v>
      </c>
      <c r="B2040" s="445" t="str">
        <f>IFERROR(__xludf.DUMMYFUNCTION("""COMPUTED_VALUE"""),"https://drive.google.com/file/d/1pN298dROLwX3oulVt9Wn2-PIOt25aqoR/view?usp=drivesdk")</f>
        <v>https://drive.google.com/file/d/1pN298dROLwX3oulVt9Wn2-PIOt25aqoR/view?usp=drivesdk</v>
      </c>
      <c r="C2040" s="339" t="str">
        <f>IFERROR(__xludf.DUMMYFUNCTION("""COMPUTED_VALUE"""),"10.1037--0278-7393.34.2.302 (1).pdf")</f>
        <v>10.1037--0278-7393.34.2.302 (1).pdf</v>
      </c>
      <c r="D2040" s="159" t="str">
        <f>IFERROR(__xludf.DUMMYFUNCTION("""COMPUTED_VALUE"""),"application/pdf")</f>
        <v>application/pdf</v>
      </c>
    </row>
    <row r="2041">
      <c r="A2041" s="339" t="str">
        <f>IFERROR(__xludf.DUMMYFUNCTION("""COMPUTED_VALUE"""),"10.1006/jmla.1998.2602 (1)")</f>
        <v>10.1006/jmla.1998.2602 (1)</v>
      </c>
      <c r="B2041" s="445" t="str">
        <f>IFERROR(__xludf.DUMMYFUNCTION("""COMPUTED_VALUE"""),"https://drive.google.com/file/d/19a3lbO9orvIn9kSVhTa4wHPIOE8aXVyn/view?usp=drivesdk")</f>
        <v>https://drive.google.com/file/d/19a3lbO9orvIn9kSVhTa4wHPIOE8aXVyn/view?usp=drivesdk</v>
      </c>
      <c r="C2041" s="339" t="str">
        <f>IFERROR(__xludf.DUMMYFUNCTION("""COMPUTED_VALUE"""),"10.1006--jmla.1998.2602 (1).pdf")</f>
        <v>10.1006--jmla.1998.2602 (1).pdf</v>
      </c>
      <c r="D2041" s="159" t="str">
        <f>IFERROR(__xludf.DUMMYFUNCTION("""COMPUTED_VALUE"""),"application/pdf")</f>
        <v>application/pdf</v>
      </c>
    </row>
    <row r="2042">
      <c r="A2042" s="339" t="str">
        <f>IFERROR(__xludf.DUMMYFUNCTION("""COMPUTED_VALUE"""),"10.1007/s13752-015-0219-x")</f>
        <v>10.1007/s13752-015-0219-x</v>
      </c>
      <c r="B2042" s="445" t="str">
        <f>IFERROR(__xludf.DUMMYFUNCTION("""COMPUTED_VALUE"""),"https://drive.google.com/file/d/1Vzq0za2tbbXf0MOd29FuWvFP-2e12RCg/view?usp=drivesdk")</f>
        <v>https://drive.google.com/file/d/1Vzq0za2tbbXf0MOd29FuWvFP-2e12RCg/view?usp=drivesdk</v>
      </c>
      <c r="C2042" s="339" t="str">
        <f>IFERROR(__xludf.DUMMYFUNCTION("""COMPUTED_VALUE"""),"10.1007--s13752-015-0219-x.pdf")</f>
        <v>10.1007--s13752-015-0219-x.pdf</v>
      </c>
      <c r="D2042" s="159" t="str">
        <f>IFERROR(__xludf.DUMMYFUNCTION("""COMPUTED_VALUE"""),"application/pdf")</f>
        <v>application/pdf</v>
      </c>
    </row>
    <row r="2043">
      <c r="A2043" s="339" t="str">
        <f>IFERROR(__xludf.DUMMYFUNCTION("""COMPUTED_VALUE"""),"10.1037/h0032317 (1)")</f>
        <v>10.1037/h0032317 (1)</v>
      </c>
      <c r="B2043" s="445" t="str">
        <f>IFERROR(__xludf.DUMMYFUNCTION("""COMPUTED_VALUE"""),"https://drive.google.com/file/d/1gH5vScUQpI_fyA6bvJhOrh1BXm6M7wuu/view?usp=drivesdk")</f>
        <v>https://drive.google.com/file/d/1gH5vScUQpI_fyA6bvJhOrh1BXm6M7wuu/view?usp=drivesdk</v>
      </c>
      <c r="C2043" s="339" t="str">
        <f>IFERROR(__xludf.DUMMYFUNCTION("""COMPUTED_VALUE"""),"10.1037--h0032317 (1).pdf")</f>
        <v>10.1037--h0032317 (1).pdf</v>
      </c>
      <c r="D2043" s="159" t="str">
        <f>IFERROR(__xludf.DUMMYFUNCTION("""COMPUTED_VALUE"""),"application/pdf")</f>
        <v>application/pdf</v>
      </c>
    </row>
    <row r="2044">
      <c r="A2044" s="339" t="str">
        <f>IFERROR(__xludf.DUMMYFUNCTION("""COMPUTED_VALUE"""),"10.1037/0096-3445.108.4.441 (1)")</f>
        <v>10.1037/0096-3445.108.4.441 (1)</v>
      </c>
      <c r="B2044" s="445" t="str">
        <f>IFERROR(__xludf.DUMMYFUNCTION("""COMPUTED_VALUE"""),"https://drive.google.com/file/d/1tZIfJB058zdF5aUmxzNo3WGNtaIxEYBi/view?usp=drivesdk")</f>
        <v>https://drive.google.com/file/d/1tZIfJB058zdF5aUmxzNo3WGNtaIxEYBi/view?usp=drivesdk</v>
      </c>
      <c r="C2044" s="339" t="str">
        <f>IFERROR(__xludf.DUMMYFUNCTION("""COMPUTED_VALUE"""),"10.1037--0096-3445.108.4.441 (1).pdf")</f>
        <v>10.1037--0096-3445.108.4.441 (1).pdf</v>
      </c>
      <c r="D2044" s="159" t="str">
        <f>IFERROR(__xludf.DUMMYFUNCTION("""COMPUTED_VALUE"""),"application/pdf")</f>
        <v>application/pdf</v>
      </c>
    </row>
    <row r="2045">
      <c r="A2045" s="339" t="str">
        <f>IFERROR(__xludf.DUMMYFUNCTION("""COMPUTED_VALUE"""),"10.1038/365611a0 (1)")</f>
        <v>10.1038/365611a0 (1)</v>
      </c>
      <c r="B2045" s="445" t="str">
        <f>IFERROR(__xludf.DUMMYFUNCTION("""COMPUTED_VALUE"""),"https://drive.google.com/file/d/1zwhQmNxjp14soK3-40ryikikjujtIUBo/view?usp=drivesdk")</f>
        <v>https://drive.google.com/file/d/1zwhQmNxjp14soK3-40ryikikjujtIUBo/view?usp=drivesdk</v>
      </c>
      <c r="C2045" s="339" t="str">
        <f>IFERROR(__xludf.DUMMYFUNCTION("""COMPUTED_VALUE"""),"10.1038--365611a0 (1).pdf")</f>
        <v>10.1038--365611a0 (1).pdf</v>
      </c>
      <c r="D2045" s="159" t="str">
        <f>IFERROR(__xludf.DUMMYFUNCTION("""COMPUTED_VALUE"""),"application/pdf")</f>
        <v>application/pdf</v>
      </c>
    </row>
    <row r="2046">
      <c r="A2046" s="339" t="str">
        <f>IFERROR(__xludf.DUMMYFUNCTION("""COMPUTED_VALUE"""),"10.1037/0012-1649.27.5.703 (1)")</f>
        <v>10.1037/0012-1649.27.5.703 (1)</v>
      </c>
      <c r="B2046" s="445" t="str">
        <f>IFERROR(__xludf.DUMMYFUNCTION("""COMPUTED_VALUE"""),"https://drive.google.com/file/d/1OFquFaz47F3N7YxYEZs3N0lm43AFUxqH/view?usp=drivesdk")</f>
        <v>https://drive.google.com/file/d/1OFquFaz47F3N7YxYEZs3N0lm43AFUxqH/view?usp=drivesdk</v>
      </c>
      <c r="C2046" s="339" t="str">
        <f>IFERROR(__xludf.DUMMYFUNCTION("""COMPUTED_VALUE"""),"10.1037--0012-1649.27.5.703 (1).pdf")</f>
        <v>10.1037--0012-1649.27.5.703 (1).pdf</v>
      </c>
      <c r="D2046" s="159" t="str">
        <f>IFERROR(__xludf.DUMMYFUNCTION("""COMPUTED_VALUE"""),"application/pdf")</f>
        <v>application/pdf</v>
      </c>
    </row>
    <row r="2047">
      <c r="A2047" s="339" t="str">
        <f>IFERROR(__xludf.DUMMYFUNCTION("""COMPUTED_VALUE"""),"10.3758/pbr.15.1.70")</f>
        <v>10.3758/pbr.15.1.70</v>
      </c>
      <c r="B2047" s="445" t="str">
        <f>IFERROR(__xludf.DUMMYFUNCTION("""COMPUTED_VALUE"""),"https://drive.google.com/file/d/1kHUPZx3h_B6XPvWiwIKYjyxxXAvuCZky/view?usp=drivesdk")</f>
        <v>https://drive.google.com/file/d/1kHUPZx3h_B6XPvWiwIKYjyxxXAvuCZky/view?usp=drivesdk</v>
      </c>
      <c r="C2047" s="339" t="str">
        <f>IFERROR(__xludf.DUMMYFUNCTION("""COMPUTED_VALUE"""),"10.3758--pbr.15.1.70.pdf")</f>
        <v>10.3758--pbr.15.1.70.pdf</v>
      </c>
      <c r="D2047" s="159" t="str">
        <f>IFERROR(__xludf.DUMMYFUNCTION("""COMPUTED_VALUE"""),"application/pdf")</f>
        <v>application/pdf</v>
      </c>
    </row>
    <row r="2048">
      <c r="A2048" s="339" t="str">
        <f>IFERROR(__xludf.DUMMYFUNCTION("""COMPUTED_VALUE"""),"10.1016/j.cognition.2014.08.007")</f>
        <v>10.1016/j.cognition.2014.08.007</v>
      </c>
      <c r="B2048" s="445" t="str">
        <f>IFERROR(__xludf.DUMMYFUNCTION("""COMPUTED_VALUE"""),"https://drive.google.com/file/d/1wLaBoP1xnyM5YvhTbp0wBKftvxK6iXtN/view?usp=drivesdk")</f>
        <v>https://drive.google.com/file/d/1wLaBoP1xnyM5YvhTbp0wBKftvxK6iXtN/view?usp=drivesdk</v>
      </c>
      <c r="C2048" s="339" t="str">
        <f>IFERROR(__xludf.DUMMYFUNCTION("""COMPUTED_VALUE"""),"10.1016--j.cognition.2014.08.007.pdf")</f>
        <v>10.1016--j.cognition.2014.08.007.pdf</v>
      </c>
      <c r="D2048" s="159" t="str">
        <f>IFERROR(__xludf.DUMMYFUNCTION("""COMPUTED_VALUE"""),"application/pdf")</f>
        <v>application/pdf</v>
      </c>
    </row>
    <row r="2049">
      <c r="A2049" s="339" t="str">
        <f>IFERROR(__xludf.DUMMYFUNCTION("""COMPUTED_VALUE"""),"10.1080/17470210903380830 (1)")</f>
        <v>10.1080/17470210903380830 (1)</v>
      </c>
      <c r="B2049" s="445" t="str">
        <f>IFERROR(__xludf.DUMMYFUNCTION("""COMPUTED_VALUE"""),"https://drive.google.com/file/d/1k4G770E5hE0owoWvblXVTUu0uvORD8Qa/view?usp=drivesdk")</f>
        <v>https://drive.google.com/file/d/1k4G770E5hE0owoWvblXVTUu0uvORD8Qa/view?usp=drivesdk</v>
      </c>
      <c r="C2049" s="339" t="str">
        <f>IFERROR(__xludf.DUMMYFUNCTION("""COMPUTED_VALUE"""),"10.1080--17470210903380830 (1).pdf")</f>
        <v>10.1080--17470210903380830 (1).pdf</v>
      </c>
      <c r="D2049" s="159" t="str">
        <f>IFERROR(__xludf.DUMMYFUNCTION("""COMPUTED_VALUE"""),"application/pdf")</f>
        <v>application/pdf</v>
      </c>
    </row>
    <row r="2050">
      <c r="A2050" s="339" t="str">
        <f>IFERROR(__xludf.DUMMYFUNCTION("""COMPUTED_VALUE"""),"10.1080/713755779 (1)")</f>
        <v>10.1080/713755779 (1)</v>
      </c>
      <c r="B2050" s="445" t="str">
        <f>IFERROR(__xludf.DUMMYFUNCTION("""COMPUTED_VALUE"""),"https://drive.google.com/file/d/1tJdhVk4Vn-qFJw4c7_lMMTliT5FjiQyV/view?usp=drivesdk")</f>
        <v>https://drive.google.com/file/d/1tJdhVk4Vn-qFJw4c7_lMMTliT5FjiQyV/view?usp=drivesdk</v>
      </c>
      <c r="C2050" s="339" t="str">
        <f>IFERROR(__xludf.DUMMYFUNCTION("""COMPUTED_VALUE"""),"10.1080--713755779 (1).pdf")</f>
        <v>10.1080--713755779 (1).pdf</v>
      </c>
      <c r="D2050" s="159" t="str">
        <f>IFERROR(__xludf.DUMMYFUNCTION("""COMPUTED_VALUE"""),"application/pdf")</f>
        <v>application/pdf</v>
      </c>
    </row>
    <row r="2051">
      <c r="A2051" s="339" t="str">
        <f>IFERROR(__xludf.DUMMYFUNCTION("""COMPUTED_VALUE"""),"10.1080/17470218.2016.1253756 (1)")</f>
        <v>10.1080/17470218.2016.1253756 (1)</v>
      </c>
      <c r="B2051" s="445" t="str">
        <f>IFERROR(__xludf.DUMMYFUNCTION("""COMPUTED_VALUE"""),"https://drive.google.com/file/d/1RsHwxVTBzUNFBPZhCDdGTcSVgCrwTTK7/view?usp=drivesdk")</f>
        <v>https://drive.google.com/file/d/1RsHwxVTBzUNFBPZhCDdGTcSVgCrwTTK7/view?usp=drivesdk</v>
      </c>
      <c r="C2051" s="339" t="str">
        <f>IFERROR(__xludf.DUMMYFUNCTION("""COMPUTED_VALUE"""),"10.1080--17470218.2016.1253756 (1).pdf")</f>
        <v>10.1080--17470218.2016.1253756 (1).pdf</v>
      </c>
      <c r="D2051" s="159" t="str">
        <f>IFERROR(__xludf.DUMMYFUNCTION("""COMPUTED_VALUE"""),"application/pdf")</f>
        <v>application/pdf</v>
      </c>
    </row>
    <row r="2052">
      <c r="A2052" s="339" t="str">
        <f>IFERROR(__xludf.DUMMYFUNCTION("""COMPUTED_VALUE"""),"10.1037/0278-7393.29.6.1312 (1)")</f>
        <v>10.1037/0278-7393.29.6.1312 (1)</v>
      </c>
      <c r="B2052" s="445" t="str">
        <f>IFERROR(__xludf.DUMMYFUNCTION("""COMPUTED_VALUE"""),"https://drive.google.com/file/d/1OGQs1lmQWehhi8Ls7qZW8us---Htsb3Q/view?usp=drivesdk")</f>
        <v>https://drive.google.com/file/d/1OGQs1lmQWehhi8Ls7qZW8us---Htsb3Q/view?usp=drivesdk</v>
      </c>
      <c r="C2052" s="339" t="str">
        <f>IFERROR(__xludf.DUMMYFUNCTION("""COMPUTED_VALUE"""),"10.1037--0278-7393.29.6.1312 (1).pdf")</f>
        <v>10.1037--0278-7393.29.6.1312 (1).pdf</v>
      </c>
      <c r="D2052" s="159" t="str">
        <f>IFERROR(__xludf.DUMMYFUNCTION("""COMPUTED_VALUE"""),"application/pdf")</f>
        <v>application/pdf</v>
      </c>
    </row>
    <row r="2053">
      <c r="A2053" s="339" t="str">
        <f>IFERROR(__xludf.DUMMYFUNCTION("""COMPUTED_VALUE"""),"10.1080/13506280544000093 (1)")</f>
        <v>10.1080/13506280544000093 (1)</v>
      </c>
      <c r="B2053" s="445" t="str">
        <f>IFERROR(__xludf.DUMMYFUNCTION("""COMPUTED_VALUE"""),"https://drive.google.com/file/d/1RfTng7c7i7RaxBtl4QtmPb5tv1Ufc5Bc/view?usp=drivesdk")</f>
        <v>https://drive.google.com/file/d/1RfTng7c7i7RaxBtl4QtmPb5tv1Ufc5Bc/view?usp=drivesdk</v>
      </c>
      <c r="C2053" s="339" t="str">
        <f>IFERROR(__xludf.DUMMYFUNCTION("""COMPUTED_VALUE"""),"10.1080--13506280544000093 (1).pdf")</f>
        <v>10.1080--13506280544000093 (1).pdf</v>
      </c>
      <c r="D2053" s="159" t="str">
        <f>IFERROR(__xludf.DUMMYFUNCTION("""COMPUTED_VALUE"""),"application/pdf")</f>
        <v>application/pdf</v>
      </c>
    </row>
    <row r="2054">
      <c r="A2054" s="339" t="str">
        <f>IFERROR(__xludf.DUMMYFUNCTION("""COMPUTED_VALUE"""),"10.1080/095414400382208 (1)")</f>
        <v>10.1080/095414400382208 (1)</v>
      </c>
      <c r="B2054" s="445" t="str">
        <f>IFERROR(__xludf.DUMMYFUNCTION("""COMPUTED_VALUE"""),"https://drive.google.com/file/d/1v0sDX0MqlrUpKGVTRWm4hWA1ClaDB-o4/view?usp=drivesdk")</f>
        <v>https://drive.google.com/file/d/1v0sDX0MqlrUpKGVTRWm4hWA1ClaDB-o4/view?usp=drivesdk</v>
      </c>
      <c r="C2054" s="339" t="str">
        <f>IFERROR(__xludf.DUMMYFUNCTION("""COMPUTED_VALUE"""),"10.1080--095414400382208 (1).pdf")</f>
        <v>10.1080--095414400382208 (1).pdf</v>
      </c>
      <c r="D2054" s="159" t="str">
        <f>IFERROR(__xludf.DUMMYFUNCTION("""COMPUTED_VALUE"""),"application/pdf")</f>
        <v>application/pdf</v>
      </c>
    </row>
    <row r="2055">
      <c r="A2055" s="339" t="str">
        <f>IFERROR(__xludf.DUMMYFUNCTION("""COMPUTED_VALUE"""),"10.1016/s0022-5371(78)90110-x")</f>
        <v>10.1016/s0022-5371(78)90110-x</v>
      </c>
      <c r="B2055" s="445" t="str">
        <f>IFERROR(__xludf.DUMMYFUNCTION("""COMPUTED_VALUE"""),"https://drive.google.com/file/d/1ZD3-K7xghBRrVzzov8pEkGyv61Pn34My/view?usp=drivesdk")</f>
        <v>https://drive.google.com/file/d/1ZD3-K7xghBRrVzzov8pEkGyv61Pn34My/view?usp=drivesdk</v>
      </c>
      <c r="C2055" s="339" t="str">
        <f>IFERROR(__xludf.DUMMYFUNCTION("""COMPUTED_VALUE"""),"10.1016--s0022-5371(78)90110-x.pdf")</f>
        <v>10.1016--s0022-5371(78)90110-x.pdf</v>
      </c>
      <c r="D2055" s="159" t="str">
        <f>IFERROR(__xludf.DUMMYFUNCTION("""COMPUTED_VALUE"""),"application/pdf")</f>
        <v>application/pdf</v>
      </c>
    </row>
    <row r="2056">
      <c r="A2056" s="339" t="str">
        <f>IFERROR(__xludf.DUMMYFUNCTION("""COMPUTED_VALUE"""),"10.1016/0022-0965(84)90064-x")</f>
        <v>10.1016/0022-0965(84)90064-x</v>
      </c>
      <c r="B2056" s="445" t="str">
        <f>IFERROR(__xludf.DUMMYFUNCTION("""COMPUTED_VALUE"""),"https://drive.google.com/file/d/1R4A7I9qCrUqFgaOi5jWAadFyXRp-Hhlv/view?usp=drivesdk")</f>
        <v>https://drive.google.com/file/d/1R4A7I9qCrUqFgaOi5jWAadFyXRp-Hhlv/view?usp=drivesdk</v>
      </c>
      <c r="C2056" s="339" t="str">
        <f>IFERROR(__xludf.DUMMYFUNCTION("""COMPUTED_VALUE"""),"10.1016--0022-0965(84)90064-x.pdf")</f>
        <v>10.1016--0022-0965(84)90064-x.pdf</v>
      </c>
      <c r="D2056" s="159" t="str">
        <f>IFERROR(__xludf.DUMMYFUNCTION("""COMPUTED_VALUE"""),"application/pdf")</f>
        <v>application/pdf</v>
      </c>
    </row>
    <row r="2057">
      <c r="A2057" s="339" t="str">
        <f>IFERROR(__xludf.DUMMYFUNCTION("""COMPUTED_VALUE"""),"10.1016/s0010-0277(99)00052-9 (1)")</f>
        <v>10.1016/s0010-0277(99)00052-9 (1)</v>
      </c>
      <c r="B2057" s="445" t="str">
        <f>IFERROR(__xludf.DUMMYFUNCTION("""COMPUTED_VALUE"""),"https://drive.google.com/file/d/1Gz4uZ-S5sDQDTjnZX5WWbthnPV2eYmNm/view?usp=drivesdk")</f>
        <v>https://drive.google.com/file/d/1Gz4uZ-S5sDQDTjnZX5WWbthnPV2eYmNm/view?usp=drivesdk</v>
      </c>
      <c r="C2057" s="339" t="str">
        <f>IFERROR(__xludf.DUMMYFUNCTION("""COMPUTED_VALUE"""),"10.1016--s0010-0277(99)00052-9 (1).pdf")</f>
        <v>10.1016--s0010-0277(99)00052-9 (1).pdf</v>
      </c>
      <c r="D2057" s="159" t="str">
        <f>IFERROR(__xludf.DUMMYFUNCTION("""COMPUTED_VALUE"""),"application/pdf")</f>
        <v>application/pdf</v>
      </c>
    </row>
    <row r="2058">
      <c r="A2058" s="339" t="str">
        <f>IFERROR(__xludf.DUMMYFUNCTION("""COMPUTED_VALUE"""),"10.1111/j.2044-8295.1997.tb02648.x (1)")</f>
        <v>10.1111/j.2044-8295.1997.tb02648.x (1)</v>
      </c>
      <c r="B2058" s="445" t="str">
        <f>IFERROR(__xludf.DUMMYFUNCTION("""COMPUTED_VALUE"""),"https://drive.google.com/file/d/1cC7F5Emgvx8u0Dfs1MQ2f29zE6TMWOU8/view?usp=drivesdk")</f>
        <v>https://drive.google.com/file/d/1cC7F5Emgvx8u0Dfs1MQ2f29zE6TMWOU8/view?usp=drivesdk</v>
      </c>
      <c r="C2058" s="339" t="str">
        <f>IFERROR(__xludf.DUMMYFUNCTION("""COMPUTED_VALUE"""),"10.1111--j.2044-8295.1997.tb02648.x (1).pdf")</f>
        <v>10.1111--j.2044-8295.1997.tb02648.x (1).pdf</v>
      </c>
      <c r="D2058" s="159" t="str">
        <f>IFERROR(__xludf.DUMMYFUNCTION("""COMPUTED_VALUE"""),"application/pdf")</f>
        <v>application/pdf</v>
      </c>
    </row>
    <row r="2059">
      <c r="A2059" s="339" t="str">
        <f>IFERROR(__xludf.DUMMYFUNCTION("""COMPUTED_VALUE"""),"10.1111/j.1467-9280.2006.01824.x (1)")</f>
        <v>10.1111/j.1467-9280.2006.01824.x (1)</v>
      </c>
      <c r="B2059" s="445" t="str">
        <f>IFERROR(__xludf.DUMMYFUNCTION("""COMPUTED_VALUE"""),"https://drive.google.com/file/d/1Yi0-osiDCwvqr4jJfxit-NVW7RQ1SF29/view?usp=drivesdk")</f>
        <v>https://drive.google.com/file/d/1Yi0-osiDCwvqr4jJfxit-NVW7RQ1SF29/view?usp=drivesdk</v>
      </c>
      <c r="C2059" s="339" t="str">
        <f>IFERROR(__xludf.DUMMYFUNCTION("""COMPUTED_VALUE"""),"10.1111--j.1467-9280.2006.01824.x (1).pdf")</f>
        <v>10.1111--j.1467-9280.2006.01824.x (1).pdf</v>
      </c>
      <c r="D2059" s="159" t="str">
        <f>IFERROR(__xludf.DUMMYFUNCTION("""COMPUTED_VALUE"""),"application/pdf")</f>
        <v>application/pdf</v>
      </c>
    </row>
    <row r="2060">
      <c r="A2060" s="339" t="str">
        <f>IFERROR(__xludf.DUMMYFUNCTION("""COMPUTED_VALUE"""),"10.1016/j.paid.2009.12.007 (1)")</f>
        <v>10.1016/j.paid.2009.12.007 (1)</v>
      </c>
      <c r="B2060" s="445" t="str">
        <f>IFERROR(__xludf.DUMMYFUNCTION("""COMPUTED_VALUE"""),"https://drive.google.com/file/d/1GqJOi3_wzA-P33ijSTbAmoPX6C_MOsTC/view?usp=drivesdk")</f>
        <v>https://drive.google.com/file/d/1GqJOi3_wzA-P33ijSTbAmoPX6C_MOsTC/view?usp=drivesdk</v>
      </c>
      <c r="C2060" s="339" t="str">
        <f>IFERROR(__xludf.DUMMYFUNCTION("""COMPUTED_VALUE"""),"10.1016--j.paid.2009.12.007 (1).pdf")</f>
        <v>10.1016--j.paid.2009.12.007 (1).pdf</v>
      </c>
      <c r="D2060" s="159" t="str">
        <f>IFERROR(__xludf.DUMMYFUNCTION("""COMPUTED_VALUE"""),"application/pdf")</f>
        <v>application/pdf</v>
      </c>
    </row>
    <row r="2061">
      <c r="A2061" s="339" t="str">
        <f>IFERROR(__xludf.DUMMYFUNCTION("""COMPUTED_VALUE"""),"10.1257/app.20160278")</f>
        <v>10.1257/app.20160278</v>
      </c>
      <c r="B2061" s="445" t="str">
        <f>IFERROR(__xludf.DUMMYFUNCTION("""COMPUTED_VALUE"""),"https://drive.google.com/file/d/1B5OEhsR85ozE9snbNlRjA9--q4dxVbDt/view?usp=drivesdk")</f>
        <v>https://drive.google.com/file/d/1B5OEhsR85ozE9snbNlRjA9--q4dxVbDt/view?usp=drivesdk</v>
      </c>
      <c r="C2061" s="339" t="str">
        <f>IFERROR(__xludf.DUMMYFUNCTION("""COMPUTED_VALUE"""),"10.1257--app.20160278.pdf")</f>
        <v>10.1257--app.20160278.pdf</v>
      </c>
      <c r="D2061" s="159" t="str">
        <f>IFERROR(__xludf.DUMMYFUNCTION("""COMPUTED_VALUE"""),"application/pdf")</f>
        <v>application/pdf</v>
      </c>
    </row>
    <row r="2062">
      <c r="A2062" s="339" t="str">
        <f>IFERROR(__xludf.DUMMYFUNCTION("""COMPUTED_VALUE"""),"10.1126/science.1121629 (1)")</f>
        <v>10.1126/science.1121629 (1)</v>
      </c>
      <c r="B2062" s="445" t="str">
        <f>IFERROR(__xludf.DUMMYFUNCTION("""COMPUTED_VALUE"""),"https://drive.google.com/file/d/1lJHfVkGHOcLEsOsMmffxCq25FloygVUf/view?usp=drivesdk")</f>
        <v>https://drive.google.com/file/d/1lJHfVkGHOcLEsOsMmffxCq25FloygVUf/view?usp=drivesdk</v>
      </c>
      <c r="C2062" s="339" t="str">
        <f>IFERROR(__xludf.DUMMYFUNCTION("""COMPUTED_VALUE"""),"10.1126--science.1121629 (1).pdf")</f>
        <v>10.1126--science.1121629 (1).pdf</v>
      </c>
      <c r="D2062" s="159" t="str">
        <f>IFERROR(__xludf.DUMMYFUNCTION("""COMPUTED_VALUE"""),"application/pdf")</f>
        <v>application/pdf</v>
      </c>
    </row>
    <row r="2063">
      <c r="A2063" s="339" t="str">
        <f>IFERROR(__xludf.DUMMYFUNCTION("""COMPUTED_VALUE"""),"10.1007/s00424-016-1852-3")</f>
        <v>10.1007/s00424-016-1852-3</v>
      </c>
      <c r="B2063" s="445" t="str">
        <f>IFERROR(__xludf.DUMMYFUNCTION("""COMPUTED_VALUE"""),"https://drive.google.com/file/d/1ig1riLJkwYA9QD_LRKQNT-2fw-KmcoZV/view?usp=drivesdk")</f>
        <v>https://drive.google.com/file/d/1ig1riLJkwYA9QD_LRKQNT-2fw-KmcoZV/view?usp=drivesdk</v>
      </c>
      <c r="C2063" s="339" t="str">
        <f>IFERROR(__xludf.DUMMYFUNCTION("""COMPUTED_VALUE"""),"10.1007--s00424-016-1852-3.pdf")</f>
        <v>10.1007--s00424-016-1852-3.pdf</v>
      </c>
      <c r="D2063" s="159" t="str">
        <f>IFERROR(__xludf.DUMMYFUNCTION("""COMPUTED_VALUE"""),"application/pdf")</f>
        <v>application/pdf</v>
      </c>
    </row>
    <row r="2064">
      <c r="A2064" s="339" t="str">
        <f>IFERROR(__xludf.DUMMYFUNCTION("""COMPUTED_VALUE"""),"10.1093/brain/106.3.623")</f>
        <v>10.1093/brain/106.3.623</v>
      </c>
      <c r="B2064" s="445" t="str">
        <f>IFERROR(__xludf.DUMMYFUNCTION("""COMPUTED_VALUE"""),"https://drive.google.com/file/d/1TyonuU8faoL3qvV0nV5rWJKfa6ikeq22/view?usp=drivesdk")</f>
        <v>https://drive.google.com/file/d/1TyonuU8faoL3qvV0nV5rWJKfa6ikeq22/view?usp=drivesdk</v>
      </c>
      <c r="C2064" s="339" t="str">
        <f>IFERROR(__xludf.DUMMYFUNCTION("""COMPUTED_VALUE"""),"10.1093--brain--106.3.623.pdf")</f>
        <v>10.1093--brain--106.3.623.pdf</v>
      </c>
      <c r="D2064" s="159" t="str">
        <f>IFERROR(__xludf.DUMMYFUNCTION("""COMPUTED_VALUE"""),"application/pdf")</f>
        <v>application/pdf</v>
      </c>
    </row>
    <row r="2065">
      <c r="A2065" s="339" t="str">
        <f>IFERROR(__xludf.DUMMYFUNCTION("""COMPUTED_VALUE"""),"10.1098/rsbl.2006.0509")</f>
        <v>10.1098/rsbl.2006.0509</v>
      </c>
      <c r="B2065" s="445" t="str">
        <f>IFERROR(__xludf.DUMMYFUNCTION("""COMPUTED_VALUE"""),"https://drive.google.com/file/d/1lCXRjhgmnokQwUX121NSqljMp58vt7m8/view?usp=drivesdk")</f>
        <v>https://drive.google.com/file/d/1lCXRjhgmnokQwUX121NSqljMp58vt7m8/view?usp=drivesdk</v>
      </c>
      <c r="C2065" s="339" t="str">
        <f>IFERROR(__xludf.DUMMYFUNCTION("""COMPUTED_VALUE"""),"10.1098--rsbl.2006.0509.pdf")</f>
        <v>10.1098--rsbl.2006.0509.pdf</v>
      </c>
      <c r="D2065" s="159" t="str">
        <f>IFERROR(__xludf.DUMMYFUNCTION("""COMPUTED_VALUE"""),"application/pdf")</f>
        <v>application/pdf</v>
      </c>
    </row>
    <row r="2066">
      <c r="A2066" s="339" t="str">
        <f>IFERROR(__xludf.DUMMYFUNCTION("""COMPUTED_VALUE"""),"10.1073/pnas.1004932107 (1)")</f>
        <v>10.1073/pnas.1004932107 (1)</v>
      </c>
      <c r="B2066" s="445" t="str">
        <f>IFERROR(__xludf.DUMMYFUNCTION("""COMPUTED_VALUE"""),"https://drive.google.com/file/d/1veAXPhnoaw_fYNAIAN16U6nUGzUSP79f/view?usp=drivesdk")</f>
        <v>https://drive.google.com/file/d/1veAXPhnoaw_fYNAIAN16U6nUGzUSP79f/view?usp=drivesdk</v>
      </c>
      <c r="C2066" s="339" t="str">
        <f>IFERROR(__xludf.DUMMYFUNCTION("""COMPUTED_VALUE"""),"10.1073--pnas.1004932107 (1).pdf")</f>
        <v>10.1073--pnas.1004932107 (1).pdf</v>
      </c>
      <c r="D2066" s="159" t="str">
        <f>IFERROR(__xludf.DUMMYFUNCTION("""COMPUTED_VALUE"""),"application/pdf")</f>
        <v>application/pdf</v>
      </c>
    </row>
    <row r="2067">
      <c r="A2067" s="339" t="str">
        <f>IFERROR(__xludf.DUMMYFUNCTION("""COMPUTED_VALUE"""),"10.1086/661890 (1)")</f>
        <v>10.1086/661890 (1)</v>
      </c>
      <c r="B2067" s="445" t="str">
        <f>IFERROR(__xludf.DUMMYFUNCTION("""COMPUTED_VALUE"""),"https://drive.google.com/file/d/1i0NZPeE_Sgjxpph9OhoD2_wsnFtzErII/view?usp=drivesdk")</f>
        <v>https://drive.google.com/file/d/1i0NZPeE_Sgjxpph9OhoD2_wsnFtzErII/view?usp=drivesdk</v>
      </c>
      <c r="C2067" s="339" t="str">
        <f>IFERROR(__xludf.DUMMYFUNCTION("""COMPUTED_VALUE"""),"10.1086--661890 (1).pdf")</f>
        <v>10.1086--661890 (1).pdf</v>
      </c>
      <c r="D2067" s="159" t="str">
        <f>IFERROR(__xludf.DUMMYFUNCTION("""COMPUTED_VALUE"""),"application/pdf")</f>
        <v>application/pdf</v>
      </c>
    </row>
    <row r="2068">
      <c r="A2068" s="339" t="str">
        <f>IFERROR(__xludf.DUMMYFUNCTION("""COMPUTED_VALUE"""),"10.1098/rsbl.2003.0134")</f>
        <v>10.1098/rsbl.2003.0134</v>
      </c>
      <c r="B2068" s="445" t="str">
        <f>IFERROR(__xludf.DUMMYFUNCTION("""COMPUTED_VALUE"""),"https://drive.google.com/file/d/1CGZJrQ0m_0WpdGbyy3zDWnj-cRg8cw5-/view?usp=drivesdk")</f>
        <v>https://drive.google.com/file/d/1CGZJrQ0m_0WpdGbyy3zDWnj-cRg8cw5-/view?usp=drivesdk</v>
      </c>
      <c r="C2068" s="339" t="str">
        <f>IFERROR(__xludf.DUMMYFUNCTION("""COMPUTED_VALUE"""),"10.1098--rsbl.2003.0134.pdf")</f>
        <v>10.1098--rsbl.2003.0134.pdf</v>
      </c>
      <c r="D2068" s="159" t="str">
        <f>IFERROR(__xludf.DUMMYFUNCTION("""COMPUTED_VALUE"""),"application/pdf")</f>
        <v>application/pdf</v>
      </c>
    </row>
    <row r="2069">
      <c r="A2069" s="339" t="str">
        <f>IFERROR(__xludf.DUMMYFUNCTION("""COMPUTED_VALUE"""),"10.1016/0047-2484(92)90081-j")</f>
        <v>10.1016/0047-2484(92)90081-j</v>
      </c>
      <c r="B2069" s="445" t="str">
        <f>IFERROR(__xludf.DUMMYFUNCTION("""COMPUTED_VALUE"""),"https://drive.google.com/file/d/1crVTyBjSvkn5rjPdGKBZFEg4w7JSp2cs/view?usp=drivesdk")</f>
        <v>https://drive.google.com/file/d/1crVTyBjSvkn5rjPdGKBZFEg4w7JSp2cs/view?usp=drivesdk</v>
      </c>
      <c r="C2069" s="339" t="str">
        <f>IFERROR(__xludf.DUMMYFUNCTION("""COMPUTED_VALUE"""),"10.1016--0047-2484(92)90081-j.pdf")</f>
        <v>10.1016--0047-2484(92)90081-j.pdf</v>
      </c>
      <c r="D2069" s="159" t="str">
        <f>IFERROR(__xludf.DUMMYFUNCTION("""COMPUTED_VALUE"""),"application/pdf")</f>
        <v>application/pdf</v>
      </c>
    </row>
    <row r="2070">
      <c r="A2070" s="339" t="str">
        <f>IFERROR(__xludf.DUMMYFUNCTION("""COMPUTED_VALUE"""),"10.1038/21557 (1)")</f>
        <v>10.1038/21557 (1)</v>
      </c>
      <c r="B2070" s="445" t="str">
        <f>IFERROR(__xludf.DUMMYFUNCTION("""COMPUTED_VALUE"""),"https://drive.google.com/file/d/1WIh1UwE7jPJA8hU3NXbY-M3lcnegUXKu/view?usp=drivesdk")</f>
        <v>https://drive.google.com/file/d/1WIh1UwE7jPJA8hU3NXbY-M3lcnegUXKu/view?usp=drivesdk</v>
      </c>
      <c r="C2070" s="339" t="str">
        <f>IFERROR(__xludf.DUMMYFUNCTION("""COMPUTED_VALUE"""),"10.1038--21557 (1).pdf")</f>
        <v>10.1038--21557 (1).pdf</v>
      </c>
      <c r="D2070" s="159" t="str">
        <f>IFERROR(__xludf.DUMMYFUNCTION("""COMPUTED_VALUE"""),"application/pdf")</f>
        <v>application/pdf</v>
      </c>
    </row>
    <row r="2071">
      <c r="A2071" s="339" t="str">
        <f>IFERROR(__xludf.DUMMYFUNCTION("""COMPUTED_VALUE"""),"rorschach1921")</f>
        <v>rorschach1921</v>
      </c>
      <c r="B2071" s="445" t="str">
        <f>IFERROR(__xludf.DUMMYFUNCTION("""COMPUTED_VALUE"""),"https://drive.google.com/file/d/1FayKMGLmSMT_bov4BfYaWoMBrnwpsyI1/view?usp=drivesdk")</f>
        <v>https://drive.google.com/file/d/1FayKMGLmSMT_bov4BfYaWoMBrnwpsyI1/view?usp=drivesdk</v>
      </c>
      <c r="C2071" s="339" t="str">
        <f>IFERROR(__xludf.DUMMYFUNCTION("""COMPUTED_VALUE"""),"rorschach1921.pdf")</f>
        <v>rorschach1921.pdf</v>
      </c>
      <c r="D2071" s="159" t="str">
        <f>IFERROR(__xludf.DUMMYFUNCTION("""COMPUTED_VALUE"""),"application/pdf")</f>
        <v>application/pdf</v>
      </c>
    </row>
    <row r="2072">
      <c r="A2072" s="339" t="str">
        <f>IFERROR(__xludf.DUMMYFUNCTION("""COMPUTED_VALUE"""),"10.5214/ans.0972.7531.200408")</f>
        <v>10.5214/ans.0972.7531.200408</v>
      </c>
      <c r="B2072" s="445" t="str">
        <f>IFERROR(__xludf.DUMMYFUNCTION("""COMPUTED_VALUE"""),"https://drive.google.com/file/d/1Wv1dUN1Cp7tFFGj4YbQreO65Epbbn6Xh/view?usp=drivesdk")</f>
        <v>https://drive.google.com/file/d/1Wv1dUN1Cp7tFFGj4YbQreO65Epbbn6Xh/view?usp=drivesdk</v>
      </c>
      <c r="C2072" s="339" t="str">
        <f>IFERROR(__xludf.DUMMYFUNCTION("""COMPUTED_VALUE"""),"10.5214--ans.0972.7531.200408.pdf")</f>
        <v>10.5214--ans.0972.7531.200408.pdf</v>
      </c>
      <c r="D2072" s="159" t="str">
        <f>IFERROR(__xludf.DUMMYFUNCTION("""COMPUTED_VALUE"""),"application/pdf")</f>
        <v>application/pdf</v>
      </c>
    </row>
    <row r="2073">
      <c r="A2073" s="339" t="str">
        <f>IFERROR(__xludf.DUMMYFUNCTION("""COMPUTED_VALUE"""),"10.2466/pms.1995.80.1.131")</f>
        <v>10.2466/pms.1995.80.1.131</v>
      </c>
      <c r="B2073" s="445" t="str">
        <f>IFERROR(__xludf.DUMMYFUNCTION("""COMPUTED_VALUE"""),"https://drive.google.com/file/d/19LbincT2TjTg9YTUoJUivukthVOOv92o/view?usp=drivesdk")</f>
        <v>https://drive.google.com/file/d/19LbincT2TjTg9YTUoJUivukthVOOv92o/view?usp=drivesdk</v>
      </c>
      <c r="C2073" s="339" t="str">
        <f>IFERROR(__xludf.DUMMYFUNCTION("""COMPUTED_VALUE"""),"10.2466--pms.1995.80.1.131.pdf")</f>
        <v>10.2466--pms.1995.80.1.131.pdf</v>
      </c>
      <c r="D2073" s="159" t="str">
        <f>IFERROR(__xludf.DUMMYFUNCTION("""COMPUTED_VALUE"""),"application/pdf")</f>
        <v>application/pdf</v>
      </c>
    </row>
    <row r="2074">
      <c r="A2074" s="339" t="str">
        <f>IFERROR(__xludf.DUMMYFUNCTION("""COMPUTED_VALUE"""),"10.1177/0956797610384746 (1)")</f>
        <v>10.1177/0956797610384746 (1)</v>
      </c>
      <c r="B2074" s="445" t="str">
        <f>IFERROR(__xludf.DUMMYFUNCTION("""COMPUTED_VALUE"""),"https://drive.google.com/file/d/1MYeoX2rRI6k_FOWsa46_QtPoTkdN8RPf/view?usp=drivesdk")</f>
        <v>https://drive.google.com/file/d/1MYeoX2rRI6k_FOWsa46_QtPoTkdN8RPf/view?usp=drivesdk</v>
      </c>
      <c r="C2074" s="339" t="str">
        <f>IFERROR(__xludf.DUMMYFUNCTION("""COMPUTED_VALUE"""),"10.1177--0956797610384746 (1).pdf")</f>
        <v>10.1177--0956797610384746 (1).pdf</v>
      </c>
      <c r="D2074" s="159" t="str">
        <f>IFERROR(__xludf.DUMMYFUNCTION("""COMPUTED_VALUE"""),"application/pdf")</f>
        <v>application/pdf</v>
      </c>
    </row>
    <row r="2075">
      <c r="A2075" s="339" t="str">
        <f>IFERROR(__xludf.DUMMYFUNCTION("""COMPUTED_VALUE"""),"10.1002/(sici)1099-0771(200001/03)")</f>
        <v>10.1002/(sici)1099-0771(200001/03)</v>
      </c>
      <c r="B2075" s="445" t="str">
        <f>IFERROR(__xludf.DUMMYFUNCTION("""COMPUTED_VALUE"""),"https://drive.google.com/file/d/1FHRJe-nZTJOpXWgxMLs63Q6F4QlKXCpU/view?usp=drivesdk")</f>
        <v>https://drive.google.com/file/d/1FHRJe-nZTJOpXWgxMLs63Q6F4QlKXCpU/view?usp=drivesdk</v>
      </c>
      <c r="C2075" s="339" t="str">
        <f>IFERROR(__xludf.DUMMYFUNCTION("""COMPUTED_VALUE"""),"10.1002--(sici)1099-0771(200001--03).pdf")</f>
        <v>10.1002--(sici)1099-0771(200001--03).pdf</v>
      </c>
      <c r="D2075" s="159" t="str">
        <f>IFERROR(__xludf.DUMMYFUNCTION("""COMPUTED_VALUE"""),"application/pdf")</f>
        <v>application/pdf</v>
      </c>
    </row>
    <row r="2076">
      <c r="A2076" s="339" t="str">
        <f>IFERROR(__xludf.DUMMYFUNCTION("""COMPUTED_VALUE"""),"10.1037/a0021524 (1)")</f>
        <v>10.1037/a0021524 (1)</v>
      </c>
      <c r="B2076" s="445" t="str">
        <f>IFERROR(__xludf.DUMMYFUNCTION("""COMPUTED_VALUE"""),"https://drive.google.com/file/d/1W_xP7aHQH5brzpdDHQgXX_slF9aWIndn/view?usp=drivesdk")</f>
        <v>https://drive.google.com/file/d/1W_xP7aHQH5brzpdDHQgXX_slF9aWIndn/view?usp=drivesdk</v>
      </c>
      <c r="C2076" s="339" t="str">
        <f>IFERROR(__xludf.DUMMYFUNCTION("""COMPUTED_VALUE"""),"10.1037--a0021524 (1).pdf")</f>
        <v>10.1037--a0021524 (1).pdf</v>
      </c>
      <c r="D2076" s="159" t="str">
        <f>IFERROR(__xludf.DUMMYFUNCTION("""COMPUTED_VALUE"""),"application/pdf")</f>
        <v>application/pdf</v>
      </c>
    </row>
    <row r="2077">
      <c r="A2077" s="339" t="str">
        <f>IFERROR(__xludf.DUMMYFUNCTION("""COMPUTED_VALUE"""),"10.1037/0022-3514.90.2.197 (1)")</f>
        <v>10.1037/0022-3514.90.2.197 (1)</v>
      </c>
      <c r="B2077" s="445" t="str">
        <f>IFERROR(__xludf.DUMMYFUNCTION("""COMPUTED_VALUE"""),"https://drive.google.com/file/d/13xJm6Rz0F0wAVzBVJcJbK0OtdZmHiXHE/view?usp=drivesdk")</f>
        <v>https://drive.google.com/file/d/13xJm6Rz0F0wAVzBVJcJbK0OtdZmHiXHE/view?usp=drivesdk</v>
      </c>
      <c r="C2077" s="339" t="str">
        <f>IFERROR(__xludf.DUMMYFUNCTION("""COMPUTED_VALUE"""),"10.1037--0022-3514.90.2.197 (1).pdf")</f>
        <v>10.1037--0022-3514.90.2.197 (1).pdf</v>
      </c>
      <c r="D2077" s="159" t="str">
        <f>IFERROR(__xludf.DUMMYFUNCTION("""COMPUTED_VALUE"""),"application/pdf")</f>
        <v>application/pdf</v>
      </c>
    </row>
    <row r="2078">
      <c r="A2078" s="339" t="str">
        <f>IFERROR(__xludf.DUMMYFUNCTION("""COMPUTED_VALUE"""),"10.1111/j.1467-9280.1996.tb00346.x")</f>
        <v>10.1111/j.1467-9280.1996.tb00346.x</v>
      </c>
      <c r="B2078" s="445" t="str">
        <f>IFERROR(__xludf.DUMMYFUNCTION("""COMPUTED_VALUE"""),"https://drive.google.com/file/d/1_x8Pea-6YZcNah0kzL9Jhi4q0yFlhG9m/view?usp=drivesdk")</f>
        <v>https://drive.google.com/file/d/1_x8Pea-6YZcNah0kzL9Jhi4q0yFlhG9m/view?usp=drivesdk</v>
      </c>
      <c r="C2078" s="339" t="str">
        <f>IFERROR(__xludf.DUMMYFUNCTION("""COMPUTED_VALUE"""),"10.1111--j.1467-9280.1996.tb00346.x.pdf")</f>
        <v>10.1111--j.1467-9280.1996.tb00346.x.pdf</v>
      </c>
      <c r="D2078" s="159" t="str">
        <f>IFERROR(__xludf.DUMMYFUNCTION("""COMPUTED_VALUE"""),"application/pdf")</f>
        <v>application/pdf</v>
      </c>
    </row>
    <row r="2079">
      <c r="A2079" s="339" t="str">
        <f>IFERROR(__xludf.DUMMYFUNCTION("""COMPUTED_VALUE"""),"10.1111/j.1467-9280.2008.02159.x (1)")</f>
        <v>10.1111/j.1467-9280.2008.02159.x (1)</v>
      </c>
      <c r="B2079" s="445" t="str">
        <f>IFERROR(__xludf.DUMMYFUNCTION("""COMPUTED_VALUE"""),"https://drive.google.com/file/d/1NM8fVRUFqllAFs2jkXsuJUHn5OZ7-07h/view?usp=drivesdk")</f>
        <v>https://drive.google.com/file/d/1NM8fVRUFqllAFs2jkXsuJUHn5OZ7-07h/view?usp=drivesdk</v>
      </c>
      <c r="C2079" s="339" t="str">
        <f>IFERROR(__xludf.DUMMYFUNCTION("""COMPUTED_VALUE"""),"10.1111--j.1467-9280.2008.02159.x (1).pdf")</f>
        <v>10.1111--j.1467-9280.2008.02159.x (1).pdf</v>
      </c>
      <c r="D2079" s="159" t="str">
        <f>IFERROR(__xludf.DUMMYFUNCTION("""COMPUTED_VALUE"""),"application/pdf")</f>
        <v>application/pdf</v>
      </c>
    </row>
    <row r="2080">
      <c r="A2080" s="339" t="str">
        <f>IFERROR(__xludf.DUMMYFUNCTION("""COMPUTED_VALUE"""),"10.1080/02699931.2016.1273201 (1)")</f>
        <v>10.1080/02699931.2016.1273201 (1)</v>
      </c>
      <c r="B2080" s="445" t="str">
        <f>IFERROR(__xludf.DUMMYFUNCTION("""COMPUTED_VALUE"""),"https://drive.google.com/file/d/1eL46ZgTlbkM-V6C5GLb6fSBGmd5mFG-O/view?usp=drivesdk")</f>
        <v>https://drive.google.com/file/d/1eL46ZgTlbkM-V6C5GLb6fSBGmd5mFG-O/view?usp=drivesdk</v>
      </c>
      <c r="C2080" s="339" t="str">
        <f>IFERROR(__xludf.DUMMYFUNCTION("""COMPUTED_VALUE"""),"10.1080--02699931.2016.1273201 (1).pdf")</f>
        <v>10.1080--02699931.2016.1273201 (1).pdf</v>
      </c>
      <c r="D2080" s="159" t="str">
        <f>IFERROR(__xludf.DUMMYFUNCTION("""COMPUTED_VALUE"""),"application/pdf")</f>
        <v>application/pdf</v>
      </c>
    </row>
    <row r="2081">
      <c r="A2081" s="339" t="str">
        <f>IFERROR(__xludf.DUMMYFUNCTION("""COMPUTED_VALUE"""),"10.1177/0956797614553945 (1)")</f>
        <v>10.1177/0956797614553945 (1)</v>
      </c>
      <c r="B2081" s="445" t="str">
        <f>IFERROR(__xludf.DUMMYFUNCTION("""COMPUTED_VALUE"""),"https://drive.google.com/file/d/16XGsRRaOY6a1Mk3y6g9J6FzJY2pGnhBs/view?usp=drivesdk")</f>
        <v>https://drive.google.com/file/d/16XGsRRaOY6a1Mk3y6g9J6FzJY2pGnhBs/view?usp=drivesdk</v>
      </c>
      <c r="C2081" s="339" t="str">
        <f>IFERROR(__xludf.DUMMYFUNCTION("""COMPUTED_VALUE"""),"10.1177--0956797614553945 (1).pdf")</f>
        <v>10.1177--0956797614553945 (1).pdf</v>
      </c>
      <c r="D2081" s="159" t="str">
        <f>IFERROR(__xludf.DUMMYFUNCTION("""COMPUTED_VALUE"""),"application/pdf")</f>
        <v>application/pdf</v>
      </c>
    </row>
    <row r="2082">
      <c r="A2082" s="339" t="str">
        <f>IFERROR(__xludf.DUMMYFUNCTION("""COMPUTED_VALUE"""),"10.1016/j.jesp.2011.11.012 (1)")</f>
        <v>10.1016/j.jesp.2011.11.012 (1)</v>
      </c>
      <c r="B2082" s="445" t="str">
        <f>IFERROR(__xludf.DUMMYFUNCTION("""COMPUTED_VALUE"""),"https://drive.google.com/file/d/1xDwq6e1W40cryvVksnOj9YOdtDiYfNUl/view?usp=drivesdk")</f>
        <v>https://drive.google.com/file/d/1xDwq6e1W40cryvVksnOj9YOdtDiYfNUl/view?usp=drivesdk</v>
      </c>
      <c r="C2082" s="339" t="str">
        <f>IFERROR(__xludf.DUMMYFUNCTION("""COMPUTED_VALUE"""),"10.1016--j.jesp.2011.11.012 (1).pdf")</f>
        <v>10.1016--j.jesp.2011.11.012 (1).pdf</v>
      </c>
      <c r="D2082" s="159" t="str">
        <f>IFERROR(__xludf.DUMMYFUNCTION("""COMPUTED_VALUE"""),"application/pdf")</f>
        <v>application/pdf</v>
      </c>
    </row>
    <row r="2083">
      <c r="A2083" s="339" t="str">
        <f>IFERROR(__xludf.DUMMYFUNCTION("""COMPUTED_VALUE"""),"10.1177/095679761246641")</f>
        <v>10.1177/095679761246641</v>
      </c>
      <c r="B2083" s="445" t="str">
        <f>IFERROR(__xludf.DUMMYFUNCTION("""COMPUTED_VALUE"""),"https://drive.google.com/file/d/1nIC6Z_3z3x4YS6vI01Z64i76WUI6VCPu/view?usp=drivesdk")</f>
        <v>https://drive.google.com/file/d/1nIC6Z_3z3x4YS6vI01Z64i76WUI6VCPu/view?usp=drivesdk</v>
      </c>
      <c r="C2083" s="339" t="str">
        <f>IFERROR(__xludf.DUMMYFUNCTION("""COMPUTED_VALUE"""),"10.1177--095679761246641.pdf")</f>
        <v>10.1177--095679761246641.pdf</v>
      </c>
      <c r="D2083" s="159" t="str">
        <f>IFERROR(__xludf.DUMMYFUNCTION("""COMPUTED_VALUE"""),"application/pdf")</f>
        <v>application/pdf</v>
      </c>
    </row>
    <row r="2084">
      <c r="A2084" s="339" t="str">
        <f>IFERROR(__xludf.DUMMYFUNCTION("""COMPUTED_VALUE"""),"10.1093/cercor/bhq101 (1)")</f>
        <v>10.1093/cercor/bhq101 (1)</v>
      </c>
      <c r="B2084" s="445" t="str">
        <f>IFERROR(__xludf.DUMMYFUNCTION("""COMPUTED_VALUE"""),"https://drive.google.com/file/d/19uM8KLUHuN3ImTzkMD9s5mEkWQAAr8Qo/view?usp=drivesdk")</f>
        <v>https://drive.google.com/file/d/19uM8KLUHuN3ImTzkMD9s5mEkWQAAr8Qo/view?usp=drivesdk</v>
      </c>
      <c r="C2084" s="339" t="str">
        <f>IFERROR(__xludf.DUMMYFUNCTION("""COMPUTED_VALUE"""),"10.1093--cercor--bhq101 (1).pdf")</f>
        <v>10.1093--cercor--bhq101 (1).pdf</v>
      </c>
      <c r="D2084" s="159" t="str">
        <f>IFERROR(__xludf.DUMMYFUNCTION("""COMPUTED_VALUE"""),"application/pdf")</f>
        <v>application/pdf</v>
      </c>
    </row>
    <row r="2085">
      <c r="A2085" s="339" t="str">
        <f>IFERROR(__xludf.DUMMYFUNCTION("""COMPUTED_VALUE"""),"10.1523/jneurosci.5864-10.2011")</f>
        <v>10.1523/jneurosci.5864-10.2011</v>
      </c>
      <c r="B2085" s="445" t="str">
        <f>IFERROR(__xludf.DUMMYFUNCTION("""COMPUTED_VALUE"""),"https://drive.google.com/file/d/1l3u37j1hQl3zZ6JXRcm733rn2k3J2Olq/view?usp=drivesdk")</f>
        <v>https://drive.google.com/file/d/1l3u37j1hQl3zZ6JXRcm733rn2k3J2Olq/view?usp=drivesdk</v>
      </c>
      <c r="C2085" s="339" t="str">
        <f>IFERROR(__xludf.DUMMYFUNCTION("""COMPUTED_VALUE"""),"10.1523--jneurosci.5864-10.2011.pdf")</f>
        <v>10.1523--jneurosci.5864-10.2011.pdf</v>
      </c>
      <c r="D2085" s="159" t="str">
        <f>IFERROR(__xludf.DUMMYFUNCTION("""COMPUTED_VALUE"""),"application/pdf")</f>
        <v>application/pdf</v>
      </c>
    </row>
    <row r="2086">
      <c r="A2086" s="339" t="str">
        <f>IFERROR(__xludf.DUMMYFUNCTION("""COMPUTED_VALUE"""),"10.1016/j.neuroimage.2011.07.040")</f>
        <v>10.1016/j.neuroimage.2011.07.040</v>
      </c>
      <c r="B2086" s="445" t="str">
        <f>IFERROR(__xludf.DUMMYFUNCTION("""COMPUTED_VALUE"""),"https://drive.google.com/file/d/1uo0zBVDSXeBCSp_RypwEPAySzhuWt5D8/view?usp=drivesdk")</f>
        <v>https://drive.google.com/file/d/1uo0zBVDSXeBCSp_RypwEPAySzhuWt5D8/view?usp=drivesdk</v>
      </c>
      <c r="C2086" s="339" t="str">
        <f>IFERROR(__xludf.DUMMYFUNCTION("""COMPUTED_VALUE"""),"10.1016--j.neuroimage.2011.07.040.pdf")</f>
        <v>10.1016--j.neuroimage.2011.07.040.pdf</v>
      </c>
      <c r="D2086" s="159" t="str">
        <f>IFERROR(__xludf.DUMMYFUNCTION("""COMPUTED_VALUE"""),"application/pdf")</f>
        <v>application/pdf</v>
      </c>
    </row>
    <row r="2087">
      <c r="A2087" s="339" t="str">
        <f>IFERROR(__xludf.DUMMYFUNCTION("""COMPUTED_VALUE"""),"10.1007/bf00055564")</f>
        <v>10.1007/bf00055564</v>
      </c>
      <c r="B2087" s="445" t="str">
        <f>IFERROR(__xludf.DUMMYFUNCTION("""COMPUTED_VALUE"""),"https://drive.google.com/file/d/1MbebBCnt66GSnxcnYXI8_aT9v4VscltA/view?usp=drivesdk")</f>
        <v>https://drive.google.com/file/d/1MbebBCnt66GSnxcnYXI8_aT9v4VscltA/view?usp=drivesdk</v>
      </c>
      <c r="C2087" s="339" t="str">
        <f>IFERROR(__xludf.DUMMYFUNCTION("""COMPUTED_VALUE"""),"10.1007--bf00055564.pdf")</f>
        <v>10.1007--bf00055564.pdf</v>
      </c>
      <c r="D2087" s="159" t="str">
        <f>IFERROR(__xludf.DUMMYFUNCTION("""COMPUTED_VALUE"""),"application/pdf")</f>
        <v>application/pdf</v>
      </c>
    </row>
    <row r="2088">
      <c r="A2088" s="339" t="str">
        <f>IFERROR(__xludf.DUMMYFUNCTION("""COMPUTED_VALUE"""),"10.1177/0146167299259003 (1)")</f>
        <v>10.1177/0146167299259003 (1)</v>
      </c>
      <c r="B2088" s="445" t="str">
        <f>IFERROR(__xludf.DUMMYFUNCTION("""COMPUTED_VALUE"""),"https://drive.google.com/file/d/1OnBHam5HlT_FnxkfI5nOiF6JDIO6aQXF/view?usp=drivesdk")</f>
        <v>https://drive.google.com/file/d/1OnBHam5HlT_FnxkfI5nOiF6JDIO6aQXF/view?usp=drivesdk</v>
      </c>
      <c r="C2088" s="339" t="str">
        <f>IFERROR(__xludf.DUMMYFUNCTION("""COMPUTED_VALUE"""),"10.1177--0146167299259003 (1).pdf")</f>
        <v>10.1177--0146167299259003 (1).pdf</v>
      </c>
      <c r="D2088" s="159" t="str">
        <f>IFERROR(__xludf.DUMMYFUNCTION("""COMPUTED_VALUE"""),"application/pdf")</f>
        <v>application/pdf</v>
      </c>
    </row>
    <row r="2089">
      <c r="A2089" s="339" t="str">
        <f>IFERROR(__xludf.DUMMYFUNCTION("""COMPUTED_VALUE"""),"10.1126/science.745568")</f>
        <v>10.1126/science.745568</v>
      </c>
      <c r="B2089" s="445" t="str">
        <f>IFERROR(__xludf.DUMMYFUNCTION("""COMPUTED_VALUE"""),"https://drive.google.com/file/d/1az1SIxKd6EbPuSgzjStXVmZywnrfnuZb/view?usp=drivesdk")</f>
        <v>https://drive.google.com/file/d/1az1SIxKd6EbPuSgzjStXVmZywnrfnuZb/view?usp=drivesdk</v>
      </c>
      <c r="C2089" s="339" t="str">
        <f>IFERROR(__xludf.DUMMYFUNCTION("""COMPUTED_VALUE"""),"10.1126--science.745568.pdf")</f>
        <v>10.1126--science.745568.pdf</v>
      </c>
      <c r="D2089" s="159" t="str">
        <f>IFERROR(__xludf.DUMMYFUNCTION("""COMPUTED_VALUE"""),"application/pdf")</f>
        <v>application/pdf</v>
      </c>
    </row>
    <row r="2090">
      <c r="A2090" s="339" t="str">
        <f>IFERROR(__xludf.DUMMYFUNCTION("""COMPUTED_VALUE"""),"cutler1987")</f>
        <v>cutler1987</v>
      </c>
      <c r="B2090" s="445" t="str">
        <f>IFERROR(__xludf.DUMMYFUNCTION("""COMPUTED_VALUE"""),"https://drive.google.com/file/d/1YrBv468_VhWbgyfniJQXLhxQR5XPZdgI/view?usp=drivesdk")</f>
        <v>https://drive.google.com/file/d/1YrBv468_VhWbgyfniJQXLhxQR5XPZdgI/view?usp=drivesdk</v>
      </c>
      <c r="C2090" s="339" t="str">
        <f>IFERROR(__xludf.DUMMYFUNCTION("""COMPUTED_VALUE"""),"cutler1987.pdf")</f>
        <v>cutler1987.pdf</v>
      </c>
      <c r="D2090" s="159" t="str">
        <f>IFERROR(__xludf.DUMMYFUNCTION("""COMPUTED_VALUE"""),"application/pdf")</f>
        <v>application/pdf</v>
      </c>
    </row>
    <row r="2091">
      <c r="A2091" s="339" t="str">
        <f>IFERROR(__xludf.DUMMYFUNCTION("""COMPUTED_VALUE"""),"10.1098/rspb.1998.0380")</f>
        <v>10.1098/rspb.1998.0380</v>
      </c>
      <c r="B2091" s="445" t="str">
        <f>IFERROR(__xludf.DUMMYFUNCTION("""COMPUTED_VALUE"""),"https://drive.google.com/file/d/1zUHTcsJfnfyEPxnBbRwIfFnohsp_DvEU/view?usp=drivesdk")</f>
        <v>https://drive.google.com/file/d/1zUHTcsJfnfyEPxnBbRwIfFnohsp_DvEU/view?usp=drivesdk</v>
      </c>
      <c r="C2091" s="339" t="str">
        <f>IFERROR(__xludf.DUMMYFUNCTION("""COMPUTED_VALUE"""),"10.1098--rspb.1998.0380.pdf")</f>
        <v>10.1098--rspb.1998.0380.pdf</v>
      </c>
      <c r="D2091" s="159" t="str">
        <f>IFERROR(__xludf.DUMMYFUNCTION("""COMPUTED_VALUE"""),"application/pdf")</f>
        <v>application/pdf</v>
      </c>
    </row>
    <row r="2092">
      <c r="A2092" s="339" t="str">
        <f>IFERROR(__xludf.DUMMYFUNCTION("""COMPUTED_VALUE"""),"10.1126/science.7455683 (1)")</f>
        <v>10.1126/science.7455683 (1)</v>
      </c>
      <c r="B2092" s="445" t="str">
        <f>IFERROR(__xludf.DUMMYFUNCTION("""COMPUTED_VALUE"""),"https://drive.google.com/file/d/1Ewwg-aAU3bSbKUqgbQkHYQDVkyW7wEnt/view?usp=drivesdk")</f>
        <v>https://drive.google.com/file/d/1Ewwg-aAU3bSbKUqgbQkHYQDVkyW7wEnt/view?usp=drivesdk</v>
      </c>
      <c r="C2092" s="339" t="str">
        <f>IFERROR(__xludf.DUMMYFUNCTION("""COMPUTED_VALUE"""),"10.1126--science.7455683 (1).pdf")</f>
        <v>10.1126--science.7455683 (1).pdf</v>
      </c>
      <c r="D2092" s="159" t="str">
        <f>IFERROR(__xludf.DUMMYFUNCTION("""COMPUTED_VALUE"""),"application/pdf")</f>
        <v>application/pdf</v>
      </c>
    </row>
    <row r="2093">
      <c r="A2093" s="339" t="str">
        <f>IFERROR(__xludf.DUMMYFUNCTION("""COMPUTED_VALUE"""),"10.1371/journal.pone.0059837")</f>
        <v>10.1371/journal.pone.0059837</v>
      </c>
      <c r="B2093" s="445" t="str">
        <f>IFERROR(__xludf.DUMMYFUNCTION("""COMPUTED_VALUE"""),"https://drive.google.com/file/d/1Izigs9eTp-It0b_EXppmcwByOjpaCAHX/view?usp=drivesdk")</f>
        <v>https://drive.google.com/file/d/1Izigs9eTp-It0b_EXppmcwByOjpaCAHX/view?usp=drivesdk</v>
      </c>
      <c r="C2093" s="339" t="str">
        <f>IFERROR(__xludf.DUMMYFUNCTION("""COMPUTED_VALUE"""),"10.1371--journal.pone.0059837.pdf")</f>
        <v>10.1371--journal.pone.0059837.pdf</v>
      </c>
      <c r="D2093" s="159" t="str">
        <f>IFERROR(__xludf.DUMMYFUNCTION("""COMPUTED_VALUE"""),"application/pdf")</f>
        <v>application/pdf</v>
      </c>
    </row>
    <row r="2094">
      <c r="A2094" s="339" t="str">
        <f>IFERROR(__xludf.DUMMYFUNCTION("""COMPUTED_VALUE"""),"10.1126/science.1091721 (1)")</f>
        <v>10.1126/science.1091721 (1)</v>
      </c>
      <c r="B2094" s="445" t="str">
        <f>IFERROR(__xludf.DUMMYFUNCTION("""COMPUTED_VALUE"""),"https://drive.google.com/file/d/1urBFg5QSiZNH_xxtiNvzvgi_nlR1Fw29/view?usp=drivesdk")</f>
        <v>https://drive.google.com/file/d/1urBFg5QSiZNH_xxtiNvzvgi_nlR1Fw29/view?usp=drivesdk</v>
      </c>
      <c r="C2094" s="339" t="str">
        <f>IFERROR(__xludf.DUMMYFUNCTION("""COMPUTED_VALUE"""),"10.1126--science.1091721 (1).pdf")</f>
        <v>10.1126--science.1091721 (1).pdf</v>
      </c>
      <c r="D2094" s="159" t="str">
        <f>IFERROR(__xludf.DUMMYFUNCTION("""COMPUTED_VALUE"""),"application/pdf")</f>
        <v>application/pdf</v>
      </c>
    </row>
    <row r="2095">
      <c r="A2095" s="339" t="str">
        <f>IFERROR(__xludf.DUMMYFUNCTION("""COMPUTED_VALUE"""),"10.1111/j.2044-8295.1945.tb01093.x (1)")</f>
        <v>10.1111/j.2044-8295.1945.tb01093.x (1)</v>
      </c>
      <c r="B2095" s="445" t="str">
        <f>IFERROR(__xludf.DUMMYFUNCTION("""COMPUTED_VALUE"""),"https://drive.google.com/file/d/1DV0ExUa1GWwSvnPH_2dsITBde4wJ5TzH/view?usp=drivesdk")</f>
        <v>https://drive.google.com/file/d/1DV0ExUa1GWwSvnPH_2dsITBde4wJ5TzH/view?usp=drivesdk</v>
      </c>
      <c r="C2095" s="339" t="str">
        <f>IFERROR(__xludf.DUMMYFUNCTION("""COMPUTED_VALUE"""),"10.1111--j.2044-8295.1945.tb01093.x (1).pdf")</f>
        <v>10.1111--j.2044-8295.1945.tb01093.x (1).pdf</v>
      </c>
      <c r="D2095" s="159" t="str">
        <f>IFERROR(__xludf.DUMMYFUNCTION("""COMPUTED_VALUE"""),"application/pdf")</f>
        <v>application/pdf</v>
      </c>
    </row>
    <row r="2096">
      <c r="A2096" s="339" t="str">
        <f>IFERROR(__xludf.DUMMYFUNCTION("""COMPUTED_VALUE"""),"10.1016/s0005-7967(09)80002-8")</f>
        <v>10.1016/s0005-7967(09)80002-8</v>
      </c>
      <c r="B2096" s="445" t="str">
        <f>IFERROR(__xludf.DUMMYFUNCTION("""COMPUTED_VALUE"""),"https://drive.google.com/file/d/1qyWk94p5kvk6ipMv3ggRvCu0WIGqrVcB/view?usp=drivesdk")</f>
        <v>https://drive.google.com/file/d/1qyWk94p5kvk6ipMv3ggRvCu0WIGqrVcB/view?usp=drivesdk</v>
      </c>
      <c r="C2096" s="339" t="str">
        <f>IFERROR(__xludf.DUMMYFUNCTION("""COMPUTED_VALUE"""),"10.1016--s0005-7967(09)80002-8.pdf")</f>
        <v>10.1016--s0005-7967(09)80002-8.pdf</v>
      </c>
      <c r="D2096" s="159" t="str">
        <f>IFERROR(__xludf.DUMMYFUNCTION("""COMPUTED_VALUE"""),"application/pdf")</f>
        <v>application/pdf</v>
      </c>
    </row>
    <row r="2097">
      <c r="A2097" s="339" t="str">
        <f>IFERROR(__xludf.DUMMYFUNCTION("""COMPUTED_VALUE"""),"10.1146/annurev.psych.57.102904.190127 (1)")</f>
        <v>10.1146/annurev.psych.57.102904.190127 (1)</v>
      </c>
      <c r="B2097" s="445" t="str">
        <f>IFERROR(__xludf.DUMMYFUNCTION("""COMPUTED_VALUE"""),"https://drive.google.com/file/d/16X4-MpEdpgJoIThaDqEh7piY761SFlEh/view?usp=drivesdk")</f>
        <v>https://drive.google.com/file/d/16X4-MpEdpgJoIThaDqEh7piY761SFlEh/view?usp=drivesdk</v>
      </c>
      <c r="C2097" s="339" t="str">
        <f>IFERROR(__xludf.DUMMYFUNCTION("""COMPUTED_VALUE"""),"10.1146--annurev.psych.57.102904.190127 (1).pdf")</f>
        <v>10.1146--annurev.psych.57.102904.190127 (1).pdf</v>
      </c>
      <c r="D2097" s="159" t="str">
        <f>IFERROR(__xludf.DUMMYFUNCTION("""COMPUTED_VALUE"""),"application/pdf")</f>
        <v>application/pdf</v>
      </c>
    </row>
    <row r="2098">
      <c r="A2098" s="339" t="str">
        <f>IFERROR(__xludf.DUMMYFUNCTION("""COMPUTED_VALUE"""),"10.1016/0191-8869(83)90061-2")</f>
        <v>10.1016/0191-8869(83)90061-2</v>
      </c>
      <c r="B2098" s="445" t="str">
        <f>IFERROR(__xludf.DUMMYFUNCTION("""COMPUTED_VALUE"""),"https://drive.google.com/file/d/1FpY_zkEeY70DFGZ6gvzclFtdyYZdTNqm/view?usp=drivesdk")</f>
        <v>https://drive.google.com/file/d/1FpY_zkEeY70DFGZ6gvzclFtdyYZdTNqm/view?usp=drivesdk</v>
      </c>
      <c r="C2098" s="339" t="str">
        <f>IFERROR(__xludf.DUMMYFUNCTION("""COMPUTED_VALUE"""),"10.1016--0191-8869(83)90061-2.pdf")</f>
        <v>10.1016--0191-8869(83)90061-2.pdf</v>
      </c>
      <c r="D2098" s="159" t="str">
        <f>IFERROR(__xludf.DUMMYFUNCTION("""COMPUTED_VALUE"""),"application/pdf")</f>
        <v>application/pdf</v>
      </c>
    </row>
    <row r="2099">
      <c r="A2099" s="339" t="str">
        <f>IFERROR(__xludf.DUMMYFUNCTION("""COMPUTED_VALUE"""),"10.1037/0033-2909.95.1.29")</f>
        <v>10.1037/0033-2909.95.1.29</v>
      </c>
      <c r="B2099" s="445" t="str">
        <f>IFERROR(__xludf.DUMMYFUNCTION("""COMPUTED_VALUE"""),"https://drive.google.com/file/d/1qzkuSWY-iq2aM_Tk5-ZhM7F-0jDmJrfs/view?usp=drivesdk")</f>
        <v>https://drive.google.com/file/d/1qzkuSWY-iq2aM_Tk5-ZhM7F-0jDmJrfs/view?usp=drivesdk</v>
      </c>
      <c r="C2099" s="339" t="str">
        <f>IFERROR(__xludf.DUMMYFUNCTION("""COMPUTED_VALUE"""),"10.1037--0033-2909.95.1.29.pdf")</f>
        <v>10.1037--0033-2909.95.1.29.pdf</v>
      </c>
      <c r="D2099" s="159" t="str">
        <f>IFERROR(__xludf.DUMMYFUNCTION("""COMPUTED_VALUE"""),"application/pdf")</f>
        <v>application/pdf</v>
      </c>
    </row>
    <row r="2100">
      <c r="A2100" s="339" t="str">
        <f>IFERROR(__xludf.DUMMYFUNCTION("""COMPUTED_VALUE"""),"10.1016/0010-0277(83)90004-5")</f>
        <v>10.1016/0010-0277(83)90004-5</v>
      </c>
      <c r="B2100" s="445" t="str">
        <f>IFERROR(__xludf.DUMMYFUNCTION("""COMPUTED_VALUE"""),"https://drive.google.com/file/d/1HAVr8uMvyL-jz1DQzOe-lZb9bWR1Typt/view?usp=drivesdk")</f>
        <v>https://drive.google.com/file/d/1HAVr8uMvyL-jz1DQzOe-lZb9bWR1Typt/view?usp=drivesdk</v>
      </c>
      <c r="C2100" s="339" t="str">
        <f>IFERROR(__xludf.DUMMYFUNCTION("""COMPUTED_VALUE"""),"10.1016--0010-0277(83)90004-5.pdf")</f>
        <v>10.1016--0010-0277(83)90004-5.pdf</v>
      </c>
      <c r="D2100" s="159" t="str">
        <f>IFERROR(__xludf.DUMMYFUNCTION("""COMPUTED_VALUE"""),"application/pdf")</f>
        <v>application/pdf</v>
      </c>
    </row>
    <row r="2101">
      <c r="A2101" s="339" t="str">
        <f>IFERROR(__xludf.DUMMYFUNCTION("""COMPUTED_VALUE"""),"10.1017/s0305000996002917")</f>
        <v>10.1017/s0305000996002917</v>
      </c>
      <c r="B2101" s="445" t="str">
        <f>IFERROR(__xludf.DUMMYFUNCTION("""COMPUTED_VALUE"""),"https://drive.google.com/file/d/1Gc2N_8-eaSyLrgIloaew1BBe3hqlDnAB/view?usp=drivesdk")</f>
        <v>https://drive.google.com/file/d/1Gc2N_8-eaSyLrgIloaew1BBe3hqlDnAB/view?usp=drivesdk</v>
      </c>
      <c r="C2101" s="339" t="str">
        <f>IFERROR(__xludf.DUMMYFUNCTION("""COMPUTED_VALUE"""),"10.1017--s0305000996002917.pdf")</f>
        <v>10.1017--s0305000996002917.pdf</v>
      </c>
      <c r="D2101" s="159" t="str">
        <f>IFERROR(__xludf.DUMMYFUNCTION("""COMPUTED_VALUE"""),"application/pdf")</f>
        <v>application/pdf</v>
      </c>
    </row>
    <row r="2102">
      <c r="A2102" s="339" t="str">
        <f>IFERROR(__xludf.DUMMYFUNCTION("""COMPUTED_VALUE"""),"10.1111/j.1467-9280.2009.02479.x (1)")</f>
        <v>10.1111/j.1467-9280.2009.02479.x (1)</v>
      </c>
      <c r="B2102" s="445" t="str">
        <f>IFERROR(__xludf.DUMMYFUNCTION("""COMPUTED_VALUE"""),"https://drive.google.com/file/d/1--cZkaqXLn13yFOImzvT04iJ4vAYVdge/view?usp=drivesdk")</f>
        <v>https://drive.google.com/file/d/1--cZkaqXLn13yFOImzvT04iJ4vAYVdge/view?usp=drivesdk</v>
      </c>
      <c r="C2102" s="339" t="str">
        <f>IFERROR(__xludf.DUMMYFUNCTION("""COMPUTED_VALUE"""),"10.1111--j.1467-9280.2009.02479.x (1).pdf")</f>
        <v>10.1111--j.1467-9280.2009.02479.x (1).pdf</v>
      </c>
      <c r="D2102" s="159" t="str">
        <f>IFERROR(__xludf.DUMMYFUNCTION("""COMPUTED_VALUE"""),"application/pdf")</f>
        <v>application/pdf</v>
      </c>
    </row>
    <row r="2103">
      <c r="A2103" s="339" t="str">
        <f>IFERROR(__xludf.DUMMYFUNCTION("""COMPUTED_VALUE"""),"10.1111/j.1467-9477.2007.00176.x (1)")</f>
        <v>10.1111/j.1467-9477.2007.00176.x (1)</v>
      </c>
      <c r="B2103" s="445" t="str">
        <f>IFERROR(__xludf.DUMMYFUNCTION("""COMPUTED_VALUE"""),"https://drive.google.com/file/d/1kp1JsZoY0-OqsipfSkcn2zbeOmWUvza5/view?usp=drivesdk")</f>
        <v>https://drive.google.com/file/d/1kp1JsZoY0-OqsipfSkcn2zbeOmWUvza5/view?usp=drivesdk</v>
      </c>
      <c r="C2103" s="339" t="str">
        <f>IFERROR(__xludf.DUMMYFUNCTION("""COMPUTED_VALUE"""),"10.1111--j.1467-9477.2007.00176.x (1).pdf")</f>
        <v>10.1111--j.1467-9477.2007.00176.x (1).pdf</v>
      </c>
      <c r="D2103" s="159" t="str">
        <f>IFERROR(__xludf.DUMMYFUNCTION("""COMPUTED_VALUE"""),"application/pdf")</f>
        <v>application/pdf</v>
      </c>
    </row>
    <row r="2104">
      <c r="A2104" s="339" t="str">
        <f>IFERROR(__xludf.DUMMYFUNCTION("""COMPUTED_VALUE"""),"gardner1983")</f>
        <v>gardner1983</v>
      </c>
      <c r="B2104" s="445" t="str">
        <f>IFERROR(__xludf.DUMMYFUNCTION("""COMPUTED_VALUE"""),"https://drive.google.com/file/d/1C6cZH5weFLs0TeiT5kQs0URJpVSG6taY/view?usp=drivesdk")</f>
        <v>https://drive.google.com/file/d/1C6cZH5weFLs0TeiT5kQs0URJpVSG6taY/view?usp=drivesdk</v>
      </c>
      <c r="C2104" s="339" t="str">
        <f>IFERROR(__xludf.DUMMYFUNCTION("""COMPUTED_VALUE"""),"gardner1983.pdf")</f>
        <v>gardner1983.pdf</v>
      </c>
      <c r="D2104" s="159" t="str">
        <f>IFERROR(__xludf.DUMMYFUNCTION("""COMPUTED_VALUE"""),"application/pdf")</f>
        <v>application/pdf</v>
      </c>
    </row>
    <row r="2105">
      <c r="A2105" s="339" t="str">
        <f>IFERROR(__xludf.DUMMYFUNCTION("""COMPUTED_VALUE"""),"10.1037/0022-3514.86.5.680 (1)")</f>
        <v>10.1037/0022-3514.86.5.680 (1)</v>
      </c>
      <c r="B2105" s="445" t="str">
        <f>IFERROR(__xludf.DUMMYFUNCTION("""COMPUTED_VALUE"""),"https://drive.google.com/file/d/15dvVe0HWHCf6vjojm8XY8fI_lvS82uKp/view?usp=drivesdk")</f>
        <v>https://drive.google.com/file/d/15dvVe0HWHCf6vjojm8XY8fI_lvS82uKp/view?usp=drivesdk</v>
      </c>
      <c r="C2105" s="339" t="str">
        <f>IFERROR(__xludf.DUMMYFUNCTION("""COMPUTED_VALUE"""),"10.1037--0022-3514.86.5.680 (1).pdf")</f>
        <v>10.1037--0022-3514.86.5.680 (1).pdf</v>
      </c>
      <c r="D2105" s="159" t="str">
        <f>IFERROR(__xludf.DUMMYFUNCTION("""COMPUTED_VALUE"""),"application/pdf")</f>
        <v>application/pdf</v>
      </c>
    </row>
    <row r="2106">
      <c r="A2106" s="339" t="str">
        <f>IFERROR(__xludf.DUMMYFUNCTION("""COMPUTED_VALUE"""),"10.1016/0010-0285(88)90017-5")</f>
        <v>10.1016/0010-0285(88)90017-5</v>
      </c>
      <c r="B2106" s="445" t="str">
        <f>IFERROR(__xludf.DUMMYFUNCTION("""COMPUTED_VALUE"""),"https://drive.google.com/file/d/1YgULcRj7eanxq1Att5Q6IxosLXgHcqOq/view?usp=drivesdk")</f>
        <v>https://drive.google.com/file/d/1YgULcRj7eanxq1Att5Q6IxosLXgHcqOq/view?usp=drivesdk</v>
      </c>
      <c r="C2106" s="339" t="str">
        <f>IFERROR(__xludf.DUMMYFUNCTION("""COMPUTED_VALUE"""),"10.1016--0010-0285(88)90017-5.pdf")</f>
        <v>10.1016--0010-0285(88)90017-5.pdf</v>
      </c>
      <c r="D2106" s="159" t="str">
        <f>IFERROR(__xludf.DUMMYFUNCTION("""COMPUTED_VALUE"""),"application/pdf")</f>
        <v>application/pdf</v>
      </c>
    </row>
    <row r="2107">
      <c r="A2107" s="339" t="str">
        <f>IFERROR(__xludf.DUMMYFUNCTION("""COMPUTED_VALUE"""),"10.1037/h0045925 (1)")</f>
        <v>10.1037/h0045925 (1)</v>
      </c>
      <c r="B2107" s="445" t="str">
        <f>IFERROR(__xludf.DUMMYFUNCTION("""COMPUTED_VALUE"""),"https://drive.google.com/file/d/1d2D3WgKVnXnVLqWKgSPp1NiOfXcVqjPr/view?usp=drivesdk")</f>
        <v>https://drive.google.com/file/d/1d2D3WgKVnXnVLqWKgSPp1NiOfXcVqjPr/view?usp=drivesdk</v>
      </c>
      <c r="C2107" s="339" t="str">
        <f>IFERROR(__xludf.DUMMYFUNCTION("""COMPUTED_VALUE"""),"10.1037--h0045925 (1).pdf")</f>
        <v>10.1037--h0045925 (1).pdf</v>
      </c>
      <c r="D2107" s="159" t="str">
        <f>IFERROR(__xludf.DUMMYFUNCTION("""COMPUTED_VALUE"""),"application/pdf")</f>
        <v>application/pdf</v>
      </c>
    </row>
    <row r="2108">
      <c r="A2108" s="339" t="str">
        <f>IFERROR(__xludf.DUMMYFUNCTION("""COMPUTED_VALUE"""),"10.1126/science.198.4312.75 (1)")</f>
        <v>10.1126/science.198.4312.75 (1)</v>
      </c>
      <c r="B2108" s="445" t="str">
        <f>IFERROR(__xludf.DUMMYFUNCTION("""COMPUTED_VALUE"""),"https://drive.google.com/file/d/1orWmBXwTbbyUtTNT_8t7VtQBQEaYJnz5/view?usp=drivesdk")</f>
        <v>https://drive.google.com/file/d/1orWmBXwTbbyUtTNT_8t7VtQBQEaYJnz5/view?usp=drivesdk</v>
      </c>
      <c r="C2108" s="339" t="str">
        <f>IFERROR(__xludf.DUMMYFUNCTION("""COMPUTED_VALUE"""),"10.1126--science.198.4312.75 (1).pdf")</f>
        <v>10.1126--science.198.4312.75 (1).pdf</v>
      </c>
      <c r="D2108" s="159" t="str">
        <f>IFERROR(__xludf.DUMMYFUNCTION("""COMPUTED_VALUE"""),"application/pdf")</f>
        <v>application/pdf</v>
      </c>
    </row>
    <row r="2109">
      <c r="A2109" s="339" t="str">
        <f>IFERROR(__xludf.DUMMYFUNCTION("""COMPUTED_VALUE"""),"10.1037/0033-295x.100.3.363")</f>
        <v>10.1037/0033-295x.100.3.363</v>
      </c>
      <c r="B2109" s="445" t="str">
        <f>IFERROR(__xludf.DUMMYFUNCTION("""COMPUTED_VALUE"""),"https://drive.google.com/file/d/1C6X_tBRsEk1ZuBm0JfJIShyFbqttZbk_/view?usp=drivesdk")</f>
        <v>https://drive.google.com/file/d/1C6X_tBRsEk1ZuBm0JfJIShyFbqttZbk_/view?usp=drivesdk</v>
      </c>
      <c r="C2109" s="339" t="str">
        <f>IFERROR(__xludf.DUMMYFUNCTION("""COMPUTED_VALUE"""),"10.1037--0033-295x.100.3.363.pdf")</f>
        <v>10.1037--0033-295x.100.3.363.pdf</v>
      </c>
      <c r="D2109" s="159" t="str">
        <f>IFERROR(__xludf.DUMMYFUNCTION("""COMPUTED_VALUE"""),"application/pdf")</f>
        <v>application/pdf</v>
      </c>
    </row>
    <row r="2110">
      <c r="A2110" s="339" t="str">
        <f>IFERROR(__xludf.DUMMYFUNCTION("""COMPUTED_VALUE"""),"10.1207/s15327965pli0604_1 (1)")</f>
        <v>10.1207/s15327965pli0604_1 (1)</v>
      </c>
      <c r="B2110" s="445" t="str">
        <f>IFERROR(__xludf.DUMMYFUNCTION("""COMPUTED_VALUE"""),"https://drive.google.com/file/d/1JU2kq3G9WPJASDjMlbU9lJcCvzEOIVXp/view?usp=drivesdk")</f>
        <v>https://drive.google.com/file/d/1JU2kq3G9WPJASDjMlbU9lJcCvzEOIVXp/view?usp=drivesdk</v>
      </c>
      <c r="C2110" s="339" t="str">
        <f>IFERROR(__xludf.DUMMYFUNCTION("""COMPUTED_VALUE"""),"10.1207--s15327965pli0604_1 (1).pdf")</f>
        <v>10.1207--s15327965pli0604_1 (1).pdf</v>
      </c>
      <c r="D2110" s="159" t="str">
        <f>IFERROR(__xludf.DUMMYFUNCTION("""COMPUTED_VALUE"""),"application/pdf")</f>
        <v>application/pdf</v>
      </c>
    </row>
    <row r="2111">
      <c r="A2111" s="339" t="str">
        <f>IFERROR(__xludf.DUMMYFUNCTION("""COMPUTED_VALUE"""),"10.1037/h0093718 (1)")</f>
        <v>10.1037/h0093718 (1)</v>
      </c>
      <c r="B2111" s="445" t="str">
        <f>IFERROR(__xludf.DUMMYFUNCTION("""COMPUTED_VALUE"""),"https://drive.google.com/file/d/1BFVFruV0jjAE8l2HmvLtol5pOiTpQWTn/view?usp=drivesdk")</f>
        <v>https://drive.google.com/file/d/1BFVFruV0jjAE8l2HmvLtol5pOiTpQWTn/view?usp=drivesdk</v>
      </c>
      <c r="C2111" s="339" t="str">
        <f>IFERROR(__xludf.DUMMYFUNCTION("""COMPUTED_VALUE"""),"10.1037--h0093718 (1).pdf")</f>
        <v>10.1037--h0093718 (1).pdf</v>
      </c>
      <c r="D2111" s="159" t="str">
        <f>IFERROR(__xludf.DUMMYFUNCTION("""COMPUTED_VALUE"""),"application/pdf")</f>
        <v>application/pdf</v>
      </c>
    </row>
    <row r="2112">
      <c r="A2112" s="339" t="str">
        <f>IFERROR(__xludf.DUMMYFUNCTION("""COMPUTED_VALUE"""),"10.1177/2167696812466548 (1)")</f>
        <v>10.1177/2167696812466548 (1)</v>
      </c>
      <c r="B2112" s="445" t="str">
        <f>IFERROR(__xludf.DUMMYFUNCTION("""COMPUTED_VALUE"""),"https://drive.google.com/file/d/1CsaWJpOD5obyDy6WvpA1BXNqU8U7Mu0U/view?usp=drivesdk")</f>
        <v>https://drive.google.com/file/d/1CsaWJpOD5obyDy6WvpA1BXNqU8U7Mu0U/view?usp=drivesdk</v>
      </c>
      <c r="C2112" s="339" t="str">
        <f>IFERROR(__xludf.DUMMYFUNCTION("""COMPUTED_VALUE"""),"10.1177--2167696812466548 (1).pdf")</f>
        <v>10.1177--2167696812466548 (1).pdf</v>
      </c>
      <c r="D2112" s="159" t="str">
        <f>IFERROR(__xludf.DUMMYFUNCTION("""COMPUTED_VALUE"""),"application/pdf")</f>
        <v>application/pdf</v>
      </c>
    </row>
    <row r="2113">
      <c r="A2113" s="339" t="str">
        <f>IFERROR(__xludf.DUMMYFUNCTION("""COMPUTED_VALUE"""),"10.1080/15298860500338534 (1)")</f>
        <v>10.1080/15298860500338534 (1)</v>
      </c>
      <c r="B2113" s="445" t="str">
        <f>IFERROR(__xludf.DUMMYFUNCTION("""COMPUTED_VALUE"""),"https://drive.google.com/file/d/1dNsIIm2ZOx3nM-UaBdacNLX3itmoein_/view?usp=drivesdk")</f>
        <v>https://drive.google.com/file/d/1dNsIIm2ZOx3nM-UaBdacNLX3itmoein_/view?usp=drivesdk</v>
      </c>
      <c r="C2113" s="339" t="str">
        <f>IFERROR(__xludf.DUMMYFUNCTION("""COMPUTED_VALUE"""),"10.1080--15298860500338534 (1).pdf")</f>
        <v>10.1080--15298860500338534 (1).pdf</v>
      </c>
      <c r="D2113" s="159" t="str">
        <f>IFERROR(__xludf.DUMMYFUNCTION("""COMPUTED_VALUE"""),"application/pdf")</f>
        <v>application/pdf</v>
      </c>
    </row>
    <row r="2114">
      <c r="A2114" s="339" t="str">
        <f>IFERROR(__xludf.DUMMYFUNCTION("""COMPUTED_VALUE"""),"10.1037/0022-3514.39.5.806")</f>
        <v>10.1037/0022-3514.39.5.806</v>
      </c>
      <c r="B2114" s="445" t="str">
        <f>IFERROR(__xludf.DUMMYFUNCTION("""COMPUTED_VALUE"""),"https://drive.google.com/file/d/1FE3TeIulxqbrqdkc2jTdYSSANKvf2sUn/view?usp=drivesdk")</f>
        <v>https://drive.google.com/file/d/1FE3TeIulxqbrqdkc2jTdYSSANKvf2sUn/view?usp=drivesdk</v>
      </c>
      <c r="C2114" s="339" t="str">
        <f>IFERROR(__xludf.DUMMYFUNCTION("""COMPUTED_VALUE"""),"10.1037--0022-3514.39.5.806.pdf")</f>
        <v>10.1037--0022-3514.39.5.806.pdf</v>
      </c>
      <c r="D2114" s="159" t="str">
        <f>IFERROR(__xludf.DUMMYFUNCTION("""COMPUTED_VALUE"""),"application/pdf")</f>
        <v>application/pdf</v>
      </c>
    </row>
    <row r="2115">
      <c r="A2115" s="339" t="str">
        <f>IFERROR(__xludf.DUMMYFUNCTION("""COMPUTED_VALUE"""),"10.2466/pr0.1966.19.1.115 (1)")</f>
        <v>10.2466/pr0.1966.19.1.115 (1)</v>
      </c>
      <c r="B2115" s="445" t="str">
        <f>IFERROR(__xludf.DUMMYFUNCTION("""COMPUTED_VALUE"""),"https://drive.google.com/file/d/1z0rZD7X_coycSsuDGdLfw2SbmW-sJmVO/view?usp=drivesdk")</f>
        <v>https://drive.google.com/file/d/1z0rZD7X_coycSsuDGdLfw2SbmW-sJmVO/view?usp=drivesdk</v>
      </c>
      <c r="C2115" s="339" t="str">
        <f>IFERROR(__xludf.DUMMYFUNCTION("""COMPUTED_VALUE"""),"10.2466--pr0.1966.19.1.115 (1).pdf")</f>
        <v>10.2466--pr0.1966.19.1.115 (1).pdf</v>
      </c>
      <c r="D2115" s="159" t="str">
        <f>IFERROR(__xludf.DUMMYFUNCTION("""COMPUTED_VALUE"""),"application/pdf")</f>
        <v>application/pdf</v>
      </c>
    </row>
    <row r="2116">
      <c r="A2116" s="339" t="str">
        <f>IFERROR(__xludf.DUMMYFUNCTION("""COMPUTED_VALUE"""),"10.1007/bf02322211")</f>
        <v>10.1007/bf02322211</v>
      </c>
      <c r="B2116" s="445" t="str">
        <f>IFERROR(__xludf.DUMMYFUNCTION("""COMPUTED_VALUE"""),"https://drive.google.com/file/d/1jOoAQSfMt9sdMl9gpBJM84bvaX5uZuuu/view?usp=drivesdk")</f>
        <v>https://drive.google.com/file/d/1jOoAQSfMt9sdMl9gpBJM84bvaX5uZuuu/view?usp=drivesdk</v>
      </c>
      <c r="C2116" s="339" t="str">
        <f>IFERROR(__xludf.DUMMYFUNCTION("""COMPUTED_VALUE"""),"10.1007--bf02322211.pdf")</f>
        <v>10.1007--bf02322211.pdf</v>
      </c>
      <c r="D2116" s="159" t="str">
        <f>IFERROR(__xludf.DUMMYFUNCTION("""COMPUTED_VALUE"""),"application/pdf")</f>
        <v>application/pdf</v>
      </c>
    </row>
    <row r="2117">
      <c r="A2117" s="339" t="str">
        <f>IFERROR(__xludf.DUMMYFUNCTION("""COMPUTED_VALUE"""),"10.2307/1914185")</f>
        <v>10.2307/1914185</v>
      </c>
      <c r="B2117" s="445" t="str">
        <f>IFERROR(__xludf.DUMMYFUNCTION("""COMPUTED_VALUE"""),"https://drive.google.com/file/d/1HdhPJu0881YgnR4xynBt04t3L4d2n_Lj/view?usp=drivesdk")</f>
        <v>https://drive.google.com/file/d/1HdhPJu0881YgnR4xynBt04t3L4d2n_Lj/view?usp=drivesdk</v>
      </c>
      <c r="C2117" s="339" t="str">
        <f>IFERROR(__xludf.DUMMYFUNCTION("""COMPUTED_VALUE"""),"10.2307--1914185.pdf")</f>
        <v>10.2307--1914185.pdf</v>
      </c>
      <c r="D2117" s="159" t="str">
        <f>IFERROR(__xludf.DUMMYFUNCTION("""COMPUTED_VALUE"""),"application/pdf")</f>
        <v>application/pdf</v>
      </c>
    </row>
    <row r="2118">
      <c r="A2118" s="339" t="str">
        <f>IFERROR(__xludf.DUMMYFUNCTION("""COMPUTED_VALUE"""),"10.1037/0022-3514.74.6.1464")</f>
        <v>10.1037/0022-3514.74.6.1464</v>
      </c>
      <c r="B2118" s="445" t="str">
        <f>IFERROR(__xludf.DUMMYFUNCTION("""COMPUTED_VALUE"""),"https://drive.google.com/file/d/1yHOlpM1uJaiU7kTahuRP2566vNJozaQa/view?usp=drivesdk")</f>
        <v>https://drive.google.com/file/d/1yHOlpM1uJaiU7kTahuRP2566vNJozaQa/view?usp=drivesdk</v>
      </c>
      <c r="C2118" s="339" t="str">
        <f>IFERROR(__xludf.DUMMYFUNCTION("""COMPUTED_VALUE"""),"10.1037--0022-3514.74.6.1464.pdf")</f>
        <v>10.1037--0022-3514.74.6.1464.pdf</v>
      </c>
      <c r="D2118" s="159" t="str">
        <f>IFERROR(__xludf.DUMMYFUNCTION("""COMPUTED_VALUE"""),"application/pdf")</f>
        <v>application/pdf</v>
      </c>
    </row>
    <row r="2119">
      <c r="A2119" s="339" t="str">
        <f>IFERROR(__xludf.DUMMYFUNCTION("""COMPUTED_VALUE"""),"10.1073/pnas.1402786111 (1)")</f>
        <v>10.1073/pnas.1402786111 (1)</v>
      </c>
      <c r="B2119" s="445" t="str">
        <f>IFERROR(__xludf.DUMMYFUNCTION("""COMPUTED_VALUE"""),"https://drive.google.com/file/d/1eAoT78SA2YIGRpfWvrSQimqyc0AkJJKp/view?usp=drivesdk")</f>
        <v>https://drive.google.com/file/d/1eAoT78SA2YIGRpfWvrSQimqyc0AkJJKp/view?usp=drivesdk</v>
      </c>
      <c r="C2119" s="339" t="str">
        <f>IFERROR(__xludf.DUMMYFUNCTION("""COMPUTED_VALUE"""),"10.1073--pnas.1402786111 (1).pdf")</f>
        <v>10.1073--pnas.1402786111 (1).pdf</v>
      </c>
      <c r="D2119" s="159" t="str">
        <f>IFERROR(__xludf.DUMMYFUNCTION("""COMPUTED_VALUE"""),"application/pdf")</f>
        <v>application/pdf</v>
      </c>
    </row>
    <row r="2120">
      <c r="A2120" s="339" t="str">
        <f>IFERROR(__xludf.DUMMYFUNCTION("""COMPUTED_VALUE"""),"10.1177/2167702617723376 (1)")</f>
        <v>10.1177/2167702617723376 (1)</v>
      </c>
      <c r="B2120" s="445" t="str">
        <f>IFERROR(__xludf.DUMMYFUNCTION("""COMPUTED_VALUE"""),"https://drive.google.com/file/d/14LdltvCLjeiJ1loRuAN1I1tFJo0oA8zn/view?usp=drivesdk")</f>
        <v>https://drive.google.com/file/d/14LdltvCLjeiJ1loRuAN1I1tFJo0oA8zn/view?usp=drivesdk</v>
      </c>
      <c r="C2120" s="339" t="str">
        <f>IFERROR(__xludf.DUMMYFUNCTION("""COMPUTED_VALUE"""),"10.1177--2167702617723376 (1).pdf")</f>
        <v>10.1177--2167702617723376 (1).pdf</v>
      </c>
      <c r="D2120" s="159" t="str">
        <f>IFERROR(__xludf.DUMMYFUNCTION("""COMPUTED_VALUE"""),"application/pdf")</f>
        <v>application/pdf</v>
      </c>
    </row>
    <row r="2121">
      <c r="A2121" s="339" t="str">
        <f>IFERROR(__xludf.DUMMYFUNCTION("""COMPUTED_VALUE"""),"10.1086/222258 (1)")</f>
        <v>10.1086/222258 (1)</v>
      </c>
      <c r="B2121" s="445" t="str">
        <f>IFERROR(__xludf.DUMMYFUNCTION("""COMPUTED_VALUE"""),"https://drive.google.com/file/d/110SCbBI08nzymwEael0DhIoVulYZE2rG/view?usp=drivesdk")</f>
        <v>https://drive.google.com/file/d/110SCbBI08nzymwEael0DhIoVulYZE2rG/view?usp=drivesdk</v>
      </c>
      <c r="C2121" s="339" t="str">
        <f>IFERROR(__xludf.DUMMYFUNCTION("""COMPUTED_VALUE"""),"10.1086--222258 (1).pdf")</f>
        <v>10.1086--222258 (1).pdf</v>
      </c>
      <c r="D2121" s="159" t="str">
        <f>IFERROR(__xludf.DUMMYFUNCTION("""COMPUTED_VALUE"""),"application/pdf")</f>
        <v>application/pdf</v>
      </c>
    </row>
    <row r="2122">
      <c r="A2122" s="339" t="str">
        <f>IFERROR(__xludf.DUMMYFUNCTION("""COMPUTED_VALUE"""),"10.1037/h0040525 (1)")</f>
        <v>10.1037/h0040525 (1)</v>
      </c>
      <c r="B2122" s="445" t="str">
        <f>IFERROR(__xludf.DUMMYFUNCTION("""COMPUTED_VALUE"""),"https://drive.google.com/file/d/1_0TBT6K4UcfvPRMN8STy1FYQ5o0TnVlq/view?usp=drivesdk")</f>
        <v>https://drive.google.com/file/d/1_0TBT6K4UcfvPRMN8STy1FYQ5o0TnVlq/view?usp=drivesdk</v>
      </c>
      <c r="C2122" s="339" t="str">
        <f>IFERROR(__xludf.DUMMYFUNCTION("""COMPUTED_VALUE"""),"10.1037--h0040525 (1).pdf")</f>
        <v>10.1037--h0040525 (1).pdf</v>
      </c>
      <c r="D2122" s="159" t="str">
        <f>IFERROR(__xludf.DUMMYFUNCTION("""COMPUTED_VALUE"""),"application/pdf")</f>
        <v>application/pdf</v>
      </c>
    </row>
    <row r="2123">
      <c r="A2123" s="339" t="str">
        <f>IFERROR(__xludf.DUMMYFUNCTION("""COMPUTED_VALUE"""),"10.1521/soco.2018.36.1.4")</f>
        <v>10.1521/soco.2018.36.1.4</v>
      </c>
      <c r="B2123" s="445" t="str">
        <f>IFERROR(__xludf.DUMMYFUNCTION("""COMPUTED_VALUE"""),"https://drive.google.com/file/d/1s3pLJ7I8k4bMPKKfE33wyCz0Q2r7Cum9/view?usp=drivesdk")</f>
        <v>https://drive.google.com/file/d/1s3pLJ7I8k4bMPKKfE33wyCz0Q2r7Cum9/view?usp=drivesdk</v>
      </c>
      <c r="C2123" s="339" t="str">
        <f>IFERROR(__xludf.DUMMYFUNCTION("""COMPUTED_VALUE"""),"10.1521--soco.2018.36.1.4.pdf")</f>
        <v>10.1521--soco.2018.36.1.4.pdf</v>
      </c>
      <c r="D2123" s="159" t="str">
        <f>IFERROR(__xludf.DUMMYFUNCTION("""COMPUTED_VALUE"""),"application/pdf")</f>
        <v>application/pdf</v>
      </c>
    </row>
    <row r="2124">
      <c r="A2124" s="339" t="str">
        <f>IFERROR(__xludf.DUMMYFUNCTION("""COMPUTED_VALUE"""),"10.1126/science.1238041 (1)")</f>
        <v>10.1126/science.1238041 (1)</v>
      </c>
      <c r="B2124" s="445" t="str">
        <f>IFERROR(__xludf.DUMMYFUNCTION("""COMPUTED_VALUE"""),"https://drive.google.com/file/d/11UhpC-nFM4e4lBiNdaX61xQ7VvtwiSSQ/view?usp=drivesdk")</f>
        <v>https://drive.google.com/file/d/11UhpC-nFM4e4lBiNdaX61xQ7VvtwiSSQ/view?usp=drivesdk</v>
      </c>
      <c r="C2124" s="339" t="str">
        <f>IFERROR(__xludf.DUMMYFUNCTION("""COMPUTED_VALUE"""),"10.1126--science.1238041 (1).pdf")</f>
        <v>10.1126--science.1238041 (1).pdf</v>
      </c>
      <c r="D2124" s="159" t="str">
        <f>IFERROR(__xludf.DUMMYFUNCTION("""COMPUTED_VALUE"""),"application/pdf")</f>
        <v>application/pdf</v>
      </c>
    </row>
    <row r="2125">
      <c r="A2125" s="339" t="str">
        <f>IFERROR(__xludf.DUMMYFUNCTION("""COMPUTED_VALUE"""),"10.1177/095679761562564")</f>
        <v>10.1177/095679761562564</v>
      </c>
      <c r="B2125" s="445" t="str">
        <f>IFERROR(__xludf.DUMMYFUNCTION("""COMPUTED_VALUE"""),"https://drive.google.com/file/d/1gvgQAw0L_boUFIZ7g1OyJ_YXdg0oIjT9/view?usp=drivesdk")</f>
        <v>https://drive.google.com/file/d/1gvgQAw0L_boUFIZ7g1OyJ_YXdg0oIjT9/view?usp=drivesdk</v>
      </c>
      <c r="C2125" s="339" t="str">
        <f>IFERROR(__xludf.DUMMYFUNCTION("""COMPUTED_VALUE"""),"10.1177--095679761562564.pdf")</f>
        <v>10.1177--095679761562564.pdf</v>
      </c>
      <c r="D2125" s="159" t="str">
        <f>IFERROR(__xludf.DUMMYFUNCTION("""COMPUTED_VALUE"""),"application/pdf")</f>
        <v>application/pdf</v>
      </c>
    </row>
    <row r="2126">
      <c r="A2126" s="339" t="str">
        <f>IFERROR(__xludf.DUMMYFUNCTION("""COMPUTED_VALUE"""),"10.1371/journal.pone.0163051")</f>
        <v>10.1371/journal.pone.0163051</v>
      </c>
      <c r="B2126" s="445" t="str">
        <f>IFERROR(__xludf.DUMMYFUNCTION("""COMPUTED_VALUE"""),"https://drive.google.com/file/d/1h5FjSevWZxXJxf5EXpQpJT7U-6TRQAHa/view?usp=drivesdk")</f>
        <v>https://drive.google.com/file/d/1h5FjSevWZxXJxf5EXpQpJT7U-6TRQAHa/view?usp=drivesdk</v>
      </c>
      <c r="C2126" s="339" t="str">
        <f>IFERROR(__xludf.DUMMYFUNCTION("""COMPUTED_VALUE"""),"10.1371--journal.pone.0163051.pdf")</f>
        <v>10.1371--journal.pone.0163051.pdf</v>
      </c>
      <c r="D2126" s="159" t="str">
        <f>IFERROR(__xludf.DUMMYFUNCTION("""COMPUTED_VALUE"""),"application/pdf")</f>
        <v>application/pdf</v>
      </c>
    </row>
    <row r="2127">
      <c r="A2127" s="339" t="str">
        <f>IFERROR(__xludf.DUMMYFUNCTION("""COMPUTED_VALUE"""),"10.1126/science.1222426 (1)")</f>
        <v>10.1126/science.1222426 (1)</v>
      </c>
      <c r="B2127" s="445" t="str">
        <f>IFERROR(__xludf.DUMMYFUNCTION("""COMPUTED_VALUE"""),"https://drive.google.com/file/d/19AZSvRMmh1uo8b-VvXsL7fsoYgsniYAB/view?usp=drivesdk")</f>
        <v>https://drive.google.com/file/d/19AZSvRMmh1uo8b-VvXsL7fsoYgsniYAB/view?usp=drivesdk</v>
      </c>
      <c r="C2127" s="339" t="str">
        <f>IFERROR(__xludf.DUMMYFUNCTION("""COMPUTED_VALUE"""),"10.1126--science.1222426 (1).pdf")</f>
        <v>10.1126--science.1222426 (1).pdf</v>
      </c>
      <c r="D2127" s="159" t="str">
        <f>IFERROR(__xludf.DUMMYFUNCTION("""COMPUTED_VALUE"""),"application/pdf")</f>
        <v>application/pdf</v>
      </c>
    </row>
    <row r="2128">
      <c r="A2128" s="339" t="str">
        <f>IFERROR(__xludf.DUMMYFUNCTION("""COMPUTED_VALUE"""),"10.1177/095679761139849")</f>
        <v>10.1177/095679761139849</v>
      </c>
      <c r="B2128" s="445" t="str">
        <f>IFERROR(__xludf.DUMMYFUNCTION("""COMPUTED_VALUE"""),"https://drive.google.com/file/d/1-VGr_VxXpDFd--FWOEgFXc-w3gJU0M5p/view?usp=drivesdk")</f>
        <v>https://drive.google.com/file/d/1-VGr_VxXpDFd--FWOEgFXc-w3gJU0M5p/view?usp=drivesdk</v>
      </c>
      <c r="C2128" s="339" t="str">
        <f>IFERROR(__xludf.DUMMYFUNCTION("""COMPUTED_VALUE"""),"10.1177--095679761139849.pdf")</f>
        <v>10.1177--095679761139849.pdf</v>
      </c>
      <c r="D2128" s="159" t="str">
        <f>IFERROR(__xludf.DUMMYFUNCTION("""COMPUTED_VALUE"""),"application/pdf")</f>
        <v>application/pdf</v>
      </c>
    </row>
    <row r="2129">
      <c r="A2129" s="339" t="str">
        <f>IFERROR(__xludf.DUMMYFUNCTION("""COMPUTED_VALUE"""),"10.1027/1864-9335/a000147 (1)")</f>
        <v>10.1027/1864-9335/a000147 (1)</v>
      </c>
      <c r="B2129" s="445" t="str">
        <f>IFERROR(__xludf.DUMMYFUNCTION("""COMPUTED_VALUE"""),"https://drive.google.com/file/d/1aljqzNt_a-5H2xNod0DXK2LsjIq9xXuj/view?usp=drivesdk")</f>
        <v>https://drive.google.com/file/d/1aljqzNt_a-5H2xNod0DXK2LsjIq9xXuj/view?usp=drivesdk</v>
      </c>
      <c r="C2129" s="339" t="str">
        <f>IFERROR(__xludf.DUMMYFUNCTION("""COMPUTED_VALUE"""),"10.1027--1864-9335--a000147 (1).pdf")</f>
        <v>10.1027--1864-9335--a000147 (1).pdf</v>
      </c>
      <c r="D2129" s="159" t="str">
        <f>IFERROR(__xludf.DUMMYFUNCTION("""COMPUTED_VALUE"""),"application/pdf")</f>
        <v>application/pdf</v>
      </c>
    </row>
    <row r="2130">
      <c r="A2130" s="339" t="str">
        <f>IFERROR(__xludf.DUMMYFUNCTION("""COMPUTED_VALUE"""),"10.1177/0956797611432497 (1)")</f>
        <v>10.1177/0956797611432497 (1)</v>
      </c>
      <c r="B2130" s="445" t="str">
        <f>IFERROR(__xludf.DUMMYFUNCTION("""COMPUTED_VALUE"""),"https://drive.google.com/file/d/1cNdWPR0lbNPUCDeI0DicvFV8ZWXKF8P4/view?usp=drivesdk")</f>
        <v>https://drive.google.com/file/d/1cNdWPR0lbNPUCDeI0DicvFV8ZWXKF8P4/view?usp=drivesdk</v>
      </c>
      <c r="C2130" s="339" t="str">
        <f>IFERROR(__xludf.DUMMYFUNCTION("""COMPUTED_VALUE"""),"10.1177--0956797611432497 (1).pdf")</f>
        <v>10.1177--0956797611432497 (1).pdf</v>
      </c>
      <c r="D2130" s="159" t="str">
        <f>IFERROR(__xludf.DUMMYFUNCTION("""COMPUTED_VALUE"""),"application/pdf")</f>
        <v>application/pdf</v>
      </c>
    </row>
    <row r="2131">
      <c r="A2131" s="339" t="str">
        <f>IFERROR(__xludf.DUMMYFUNCTION("""COMPUTED_VALUE"""),"10.1037/a0023527 (1)")</f>
        <v>10.1037/a0023527 (1)</v>
      </c>
      <c r="B2131" s="445" t="str">
        <f>IFERROR(__xludf.DUMMYFUNCTION("""COMPUTED_VALUE"""),"https://drive.google.com/file/d/1MZZLO_m55KdbCtMX7Abk1knww_Eu3Byx/view?usp=drivesdk")</f>
        <v>https://drive.google.com/file/d/1MZZLO_m55KdbCtMX7Abk1knww_Eu3Byx/view?usp=drivesdk</v>
      </c>
      <c r="C2131" s="339" t="str">
        <f>IFERROR(__xludf.DUMMYFUNCTION("""COMPUTED_VALUE"""),"10.1037--a0023527 (1).pdf")</f>
        <v>10.1037--a0023527 (1).pdf</v>
      </c>
      <c r="D2131" s="159" t="str">
        <f>IFERROR(__xludf.DUMMYFUNCTION("""COMPUTED_VALUE"""),"application/pdf")</f>
        <v>application/pdf</v>
      </c>
    </row>
    <row r="2132">
      <c r="A2132" s="339" t="str">
        <f>IFERROR(__xludf.DUMMYFUNCTION("""COMPUTED_VALUE"""),"10.1111/j.1467-9280.2009.02326.x (1)")</f>
        <v>10.1111/j.1467-9280.2009.02326.x (1)</v>
      </c>
      <c r="B2132" s="445" t="str">
        <f>IFERROR(__xludf.DUMMYFUNCTION("""COMPUTED_VALUE"""),"https://drive.google.com/file/d/1Rq8taADseprDE7oOK03RUVDBbNKz4-pg/view?usp=drivesdk")</f>
        <v>https://drive.google.com/file/d/1Rq8taADseprDE7oOK03RUVDBbNKz4-pg/view?usp=drivesdk</v>
      </c>
      <c r="C2132" s="339" t="str">
        <f>IFERROR(__xludf.DUMMYFUNCTION("""COMPUTED_VALUE"""),"10.1111--j.1467-9280.2009.02326.x (1).pdf")</f>
        <v>10.1111--j.1467-9280.2009.02326.x (1).pdf</v>
      </c>
      <c r="D2132" s="159" t="str">
        <f>IFERROR(__xludf.DUMMYFUNCTION("""COMPUTED_VALUE"""),"application/pdf")</f>
        <v>application/pdf</v>
      </c>
    </row>
    <row r="2133">
      <c r="A2133" s="339" t="str">
        <f>IFERROR(__xludf.DUMMYFUNCTION("""COMPUTED_VALUE"""),"10.1177/0146167299025002007 (1)")</f>
        <v>10.1177/0146167299025002007 (1)</v>
      </c>
      <c r="B2133" s="445" t="str">
        <f>IFERROR(__xludf.DUMMYFUNCTION("""COMPUTED_VALUE"""),"https://drive.google.com/file/d/1OgSTpGHW34UAkF4DDcl5ghcaAHtU7oMz/view?usp=drivesdk")</f>
        <v>https://drive.google.com/file/d/1OgSTpGHW34UAkF4DDcl5ghcaAHtU7oMz/view?usp=drivesdk</v>
      </c>
      <c r="C2133" s="339" t="str">
        <f>IFERROR(__xludf.DUMMYFUNCTION("""COMPUTED_VALUE"""),"10.1177--0146167299025002007 (1).pdf")</f>
        <v>10.1177--0146167299025002007 (1).pdf</v>
      </c>
      <c r="D2133" s="159" t="str">
        <f>IFERROR(__xludf.DUMMYFUNCTION("""COMPUTED_VALUE"""),"application/pdf")</f>
        <v>application/pdf</v>
      </c>
    </row>
    <row r="2134">
      <c r="A2134" s="339" t="str">
        <f>IFERROR(__xludf.DUMMYFUNCTION("""COMPUTED_VALUE"""),"10.1037/h0031564 (1)")</f>
        <v>10.1037/h0031564 (1)</v>
      </c>
      <c r="B2134" s="445" t="str">
        <f>IFERROR(__xludf.DUMMYFUNCTION("""COMPUTED_VALUE"""),"https://drive.google.com/file/d/1i6qGgi00RMPjfjymzXA5zrhw99E1HI_E/view?usp=drivesdk")</f>
        <v>https://drive.google.com/file/d/1i6qGgi00RMPjfjymzXA5zrhw99E1HI_E/view?usp=drivesdk</v>
      </c>
      <c r="C2134" s="339" t="str">
        <f>IFERROR(__xludf.DUMMYFUNCTION("""COMPUTED_VALUE"""),"10.1037--h0031564 (1).pdf")</f>
        <v>10.1037--h0031564 (1).pdf</v>
      </c>
      <c r="D2134" s="159" t="str">
        <f>IFERROR(__xludf.DUMMYFUNCTION("""COMPUTED_VALUE"""),"application/pdf")</f>
        <v>application/pdf</v>
      </c>
    </row>
    <row r="2135">
      <c r="A2135" s="339" t="str">
        <f>IFERROR(__xludf.DUMMYFUNCTION("""COMPUTED_VALUE"""),"10.1111/j.1467-9280.2006.01811.x (1)")</f>
        <v>10.1111/j.1467-9280.2006.01811.x (1)</v>
      </c>
      <c r="B2135" s="445" t="str">
        <f>IFERROR(__xludf.DUMMYFUNCTION("""COMPUTED_VALUE"""),"https://drive.google.com/file/d/1-zDlqGJHLgnf0EEC6-j_EElNHHgqV-X-/view?usp=drivesdk")</f>
        <v>https://drive.google.com/file/d/1-zDlqGJHLgnf0EEC6-j_EElNHHgqV-X-/view?usp=drivesdk</v>
      </c>
      <c r="C2135" s="339" t="str">
        <f>IFERROR(__xludf.DUMMYFUNCTION("""COMPUTED_VALUE"""),"10.1111--j.1467-9280.2006.01811.x (1).pdf")</f>
        <v>10.1111--j.1467-9280.2006.01811.x (1).pdf</v>
      </c>
      <c r="D2135" s="159" t="str">
        <f>IFERROR(__xludf.DUMMYFUNCTION("""COMPUTED_VALUE"""),"application/pdf")</f>
        <v>application/pdf</v>
      </c>
    </row>
    <row r="2136">
      <c r="A2136" s="339" t="str">
        <f>IFERROR(__xludf.DUMMYFUNCTION("""COMPUTED_VALUE"""),"10.1037/0022-3514.87.1.23")</f>
        <v>10.1037/0022-3514.87.1.23</v>
      </c>
      <c r="B2136" s="445" t="str">
        <f>IFERROR(__xludf.DUMMYFUNCTION("""COMPUTED_VALUE"""),"https://drive.google.com/file/d/1AXlt7RiMQzSBR2Y8NqyVSEMYzhAeNHOQ/view?usp=drivesdk")</f>
        <v>https://drive.google.com/file/d/1AXlt7RiMQzSBR2Y8NqyVSEMYzhAeNHOQ/view?usp=drivesdk</v>
      </c>
      <c r="C2136" s="339" t="str">
        <f>IFERROR(__xludf.DUMMYFUNCTION("""COMPUTED_VALUE"""),"10.1037--0022-3514.87.1.23.pdf")</f>
        <v>10.1037--0022-3514.87.1.23.pdf</v>
      </c>
      <c r="D2136" s="159" t="str">
        <f>IFERROR(__xludf.DUMMYFUNCTION("""COMPUTED_VALUE"""),"application/pdf")</f>
        <v>application/pdf</v>
      </c>
    </row>
    <row r="2137">
      <c r="A2137" s="339" t="str">
        <f>IFERROR(__xludf.DUMMYFUNCTION("""COMPUTED_VALUE"""),"10.1086/268936 (1)")</f>
        <v>10.1086/268936 (1)</v>
      </c>
      <c r="B2137" s="445" t="str">
        <f>IFERROR(__xludf.DUMMYFUNCTION("""COMPUTED_VALUE"""),"https://drive.google.com/file/d/1D2Zu4EZb1gNCoeCtBx-Kc5-d8n_tlf2s/view?usp=drivesdk")</f>
        <v>https://drive.google.com/file/d/1D2Zu4EZb1gNCoeCtBx-Kc5-d8n_tlf2s/view?usp=drivesdk</v>
      </c>
      <c r="C2137" s="339" t="str">
        <f>IFERROR(__xludf.DUMMYFUNCTION("""COMPUTED_VALUE"""),"10.1086--268936 (1).pdf")</f>
        <v>10.1086--268936 (1).pdf</v>
      </c>
      <c r="D2137" s="159" t="str">
        <f>IFERROR(__xludf.DUMMYFUNCTION("""COMPUTED_VALUE"""),"application/pdf")</f>
        <v>application/pdf</v>
      </c>
    </row>
    <row r="2138">
      <c r="A2138" s="339" t="str">
        <f>IFERROR(__xludf.DUMMYFUNCTION("""COMPUTED_VALUE"""),"10.1037/0022-3514.83.1.44 (1)")</f>
        <v>10.1037/0022-3514.83.1.44 (1)</v>
      </c>
      <c r="B2138" s="445" t="str">
        <f>IFERROR(__xludf.DUMMYFUNCTION("""COMPUTED_VALUE"""),"https://drive.google.com/file/d/18_vbF9xsKb2IuV-06Pdvovh4AYJfJmdk/view?usp=drivesdk")</f>
        <v>https://drive.google.com/file/d/18_vbF9xsKb2IuV-06Pdvovh4AYJfJmdk/view?usp=drivesdk</v>
      </c>
      <c r="C2138" s="339" t="str">
        <f>IFERROR(__xludf.DUMMYFUNCTION("""COMPUTED_VALUE"""),"10.1037--0022-3514.83.1.44 (1).pdf")</f>
        <v>10.1037--0022-3514.83.1.44 (1).pdf</v>
      </c>
      <c r="D2138" s="159" t="str">
        <f>IFERROR(__xludf.DUMMYFUNCTION("""COMPUTED_VALUE"""),"application/pdf")</f>
        <v>application/pdf</v>
      </c>
    </row>
    <row r="2139">
      <c r="A2139" s="339" t="str">
        <f>IFERROR(__xludf.DUMMYFUNCTION("""COMPUTED_VALUE"""),"10.1016/j.obhdp.2004.12.002 (1)")</f>
        <v>10.1016/j.obhdp.2004.12.002 (1)</v>
      </c>
      <c r="B2139" s="445" t="str">
        <f>IFERROR(__xludf.DUMMYFUNCTION("""COMPUTED_VALUE"""),"https://drive.google.com/file/d/1JkPrBBF4Aq2YUf-0H80A4LRFwpsSLSt5/view?usp=drivesdk")</f>
        <v>https://drive.google.com/file/d/1JkPrBBF4Aq2YUf-0H80A4LRFwpsSLSt5/view?usp=drivesdk</v>
      </c>
      <c r="C2139" s="339" t="str">
        <f>IFERROR(__xludf.DUMMYFUNCTION("""COMPUTED_VALUE"""),"10.1016--j.obhdp.2004.12.002 (1).pdf")</f>
        <v>10.1016--j.obhdp.2004.12.002 (1).pdf</v>
      </c>
      <c r="D2139" s="159" t="str">
        <f>IFERROR(__xludf.DUMMYFUNCTION("""COMPUTED_VALUE"""),"application/pdf")</f>
        <v>application/pdf</v>
      </c>
    </row>
    <row r="2140">
      <c r="A2140" s="339" t="str">
        <f>IFERROR(__xludf.DUMMYFUNCTION("""COMPUTED_VALUE"""),"10.1177/0956797614524581 (1)")</f>
        <v>10.1177/0956797614524581 (1)</v>
      </c>
      <c r="B2140" s="445" t="str">
        <f>IFERROR(__xludf.DUMMYFUNCTION("""COMPUTED_VALUE"""),"https://drive.google.com/file/d/1rA-SYIYa40jtaCXuwEf-xjfS-ihJSDa5/view?usp=drivesdk")</f>
        <v>https://drive.google.com/file/d/1rA-SYIYa40jtaCXuwEf-xjfS-ihJSDa5/view?usp=drivesdk</v>
      </c>
      <c r="C2140" s="339" t="str">
        <f>IFERROR(__xludf.DUMMYFUNCTION("""COMPUTED_VALUE"""),"10.1177--0956797614524581 (1).pdf")</f>
        <v>10.1177--0956797614524581 (1).pdf</v>
      </c>
      <c r="D2140" s="159" t="str">
        <f>IFERROR(__xludf.DUMMYFUNCTION("""COMPUTED_VALUE"""),"application/pdf")</f>
        <v>application/pdf</v>
      </c>
    </row>
    <row r="2141">
      <c r="A2141" s="339" t="str">
        <f>IFERROR(__xludf.DUMMYFUNCTION("""COMPUTED_VALUE"""),"10.3758/bf03197186")</f>
        <v>10.3758/bf03197186</v>
      </c>
      <c r="B2141" s="445" t="str">
        <f>IFERROR(__xludf.DUMMYFUNCTION("""COMPUTED_VALUE"""),"https://drive.google.com/file/d/1mbPAy1TbNwV2XOfDjz6F7ail2VgA51o4/view?usp=drivesdk")</f>
        <v>https://drive.google.com/file/d/1mbPAy1TbNwV2XOfDjz6F7ail2VgA51o4/view?usp=drivesdk</v>
      </c>
      <c r="C2141" s="339" t="str">
        <f>IFERROR(__xludf.DUMMYFUNCTION("""COMPUTED_VALUE"""),"10.3758--bf03197186.pdf")</f>
        <v>10.3758--bf03197186.pdf</v>
      </c>
      <c r="D2141" s="159" t="str">
        <f>IFERROR(__xludf.DUMMYFUNCTION("""COMPUTED_VALUE"""),"application/pdf")</f>
        <v>application/pdf</v>
      </c>
    </row>
    <row r="2142">
      <c r="A2142" s="339" t="str">
        <f>IFERROR(__xludf.DUMMYFUNCTION("""COMPUTED_VALUE"""),"10.1023/a-1019923923537")</f>
        <v>10.1023/a-1019923923537</v>
      </c>
      <c r="B2142" s="445" t="str">
        <f>IFERROR(__xludf.DUMMYFUNCTION("""COMPUTED_VALUE"""),"https://drive.google.com/file/d/16gyxPUUHdCNaQJ0J7lxySjT9ggprIeYM/view?usp=drivesdk")</f>
        <v>https://drive.google.com/file/d/16gyxPUUHdCNaQJ0J7lxySjT9ggprIeYM/view?usp=drivesdk</v>
      </c>
      <c r="C2142" s="339" t="str">
        <f>IFERROR(__xludf.DUMMYFUNCTION("""COMPUTED_VALUE"""),"10.1023--a-1019923923537.pdf")</f>
        <v>10.1023--a-1019923923537.pdf</v>
      </c>
      <c r="D2142" s="159" t="str">
        <f>IFERROR(__xludf.DUMMYFUNCTION("""COMPUTED_VALUE"""),"application/pdf")</f>
        <v>application/pdf</v>
      </c>
    </row>
    <row r="2143">
      <c r="A2143" s="339" t="str">
        <f>IFERROR(__xludf.DUMMYFUNCTION("""COMPUTED_VALUE"""),"10.1016/j.cognition.2013.09.001 (1)")</f>
        <v>10.1016/j.cognition.2013.09.001 (1)</v>
      </c>
      <c r="B2143" s="445" t="str">
        <f>IFERROR(__xludf.DUMMYFUNCTION("""COMPUTED_VALUE"""),"https://drive.google.com/file/d/1t9qJ81WHWp5VhrEXSET_reGhe9475Bh9/view?usp=drivesdk")</f>
        <v>https://drive.google.com/file/d/1t9qJ81WHWp5VhrEXSET_reGhe9475Bh9/view?usp=drivesdk</v>
      </c>
      <c r="C2143" s="339" t="str">
        <f>IFERROR(__xludf.DUMMYFUNCTION("""COMPUTED_VALUE"""),"10.1016--j.cognition.2013.09.001 (1).pdf")</f>
        <v>10.1016--j.cognition.2013.09.001 (1).pdf</v>
      </c>
      <c r="D2143" s="159" t="str">
        <f>IFERROR(__xludf.DUMMYFUNCTION("""COMPUTED_VALUE"""),"application/pdf")</f>
        <v>application/pdf</v>
      </c>
    </row>
    <row r="2144">
      <c r="A2144" s="339" t="str">
        <f>IFERROR(__xludf.DUMMYFUNCTION("""COMPUTED_VALUE"""),"10.1037/0022-3514.68.5.793 (1)")</f>
        <v>10.1037/0022-3514.68.5.793 (1)</v>
      </c>
      <c r="B2144" s="445" t="str">
        <f>IFERROR(__xludf.DUMMYFUNCTION("""COMPUTED_VALUE"""),"https://drive.google.com/file/d/1KE2_KbSJJfv-f7spdLCghooBjy4qsIJa/view?usp=drivesdk")</f>
        <v>https://drive.google.com/file/d/1KE2_KbSJJfv-f7spdLCghooBjy4qsIJa/view?usp=drivesdk</v>
      </c>
      <c r="C2144" s="339" t="str">
        <f>IFERROR(__xludf.DUMMYFUNCTION("""COMPUTED_VALUE"""),"10.1037--0022-3514.68.5.793 (1).pdf")</f>
        <v>10.1037--0022-3514.68.5.793 (1).pdf</v>
      </c>
      <c r="D2144" s="159" t="str">
        <f>IFERROR(__xludf.DUMMYFUNCTION("""COMPUTED_VALUE"""),"application/pdf")</f>
        <v>application/pdf</v>
      </c>
    </row>
    <row r="2145">
      <c r="A2145" s="339" t="str">
        <f>IFERROR(__xludf.DUMMYFUNCTION("""COMPUTED_VALUE"""),"10.1016/j.obhdp.2006.01.005 (1)")</f>
        <v>10.1016/j.obhdp.2006.01.005 (1)</v>
      </c>
      <c r="B2145" s="445" t="str">
        <f>IFERROR(__xludf.DUMMYFUNCTION("""COMPUTED_VALUE"""),"https://drive.google.com/file/d/1ybAI4YzebcDR7N7P3YuEn7EPZ-qd3U5d/view?usp=drivesdk")</f>
        <v>https://drive.google.com/file/d/1ybAI4YzebcDR7N7P3YuEn7EPZ-qd3U5d/view?usp=drivesdk</v>
      </c>
      <c r="C2145" s="339" t="str">
        <f>IFERROR(__xludf.DUMMYFUNCTION("""COMPUTED_VALUE"""),"10.1016--j.obhdp.2006.01.005 (1).pdf")</f>
        <v>10.1016--j.obhdp.2006.01.005 (1).pdf</v>
      </c>
      <c r="D2145" s="159" t="str">
        <f>IFERROR(__xludf.DUMMYFUNCTION("""COMPUTED_VALUE"""),"application/pdf")</f>
        <v>application/pdf</v>
      </c>
    </row>
    <row r="2146">
      <c r="A2146" s="339" t="str">
        <f>IFERROR(__xludf.DUMMYFUNCTION("""COMPUTED_VALUE"""),"10.1073/pnas.1209746109 (1)")</f>
        <v>10.1073/pnas.1209746109 (1)</v>
      </c>
      <c r="B2146" s="445" t="str">
        <f>IFERROR(__xludf.DUMMYFUNCTION("""COMPUTED_VALUE"""),"https://drive.google.com/file/d/1tYYVnCHsGShtN-tSDmS_qLMmhT1RawfF/view?usp=drivesdk")</f>
        <v>https://drive.google.com/file/d/1tYYVnCHsGShtN-tSDmS_qLMmhT1RawfF/view?usp=drivesdk</v>
      </c>
      <c r="C2146" s="339" t="str">
        <f>IFERROR(__xludf.DUMMYFUNCTION("""COMPUTED_VALUE"""),"10.1073--pnas.1209746109 (1).pdf")</f>
        <v>10.1073--pnas.1209746109 (1).pdf</v>
      </c>
      <c r="D2146" s="159" t="str">
        <f>IFERROR(__xludf.DUMMYFUNCTION("""COMPUTED_VALUE"""),"application/pdf")</f>
        <v>application/pdf</v>
      </c>
    </row>
    <row r="2147">
      <c r="A2147" s="339" t="str">
        <f>IFERROR(__xludf.DUMMYFUNCTION("""COMPUTED_VALUE"""),"10.1037/0012-1649.26.6.978")</f>
        <v>10.1037/0012-1649.26.6.978</v>
      </c>
      <c r="B2147" s="445" t="str">
        <f>IFERROR(__xludf.DUMMYFUNCTION("""COMPUTED_VALUE"""),"https://drive.google.com/file/d/1L1JXb9Oey_9pMplHv8uIW4_RkxCF0Y2i/view?usp=drivesdk")</f>
        <v>https://drive.google.com/file/d/1L1JXb9Oey_9pMplHv8uIW4_RkxCF0Y2i/view?usp=drivesdk</v>
      </c>
      <c r="C2147" s="339" t="str">
        <f>IFERROR(__xludf.DUMMYFUNCTION("""COMPUTED_VALUE"""),"10.1037--0012-1649.26.6.978.pdf")</f>
        <v>10.1037--0012-1649.26.6.978.pdf</v>
      </c>
      <c r="D2147" s="159" t="str">
        <f>IFERROR(__xludf.DUMMYFUNCTION("""COMPUTED_VALUE"""),"application/pdf")</f>
        <v>application/pdf</v>
      </c>
    </row>
    <row r="2148">
      <c r="A2148" s="339" t="str">
        <f>IFERROR(__xludf.DUMMYFUNCTION("""COMPUTED_VALUE"""),"10.1037/0022-3514.49.6.1621 (1)")</f>
        <v>10.1037/0022-3514.49.6.1621 (1)</v>
      </c>
      <c r="B2148" s="445" t="str">
        <f>IFERROR(__xludf.DUMMYFUNCTION("""COMPUTED_VALUE"""),"https://drive.google.com/file/d/1LWKAeEW0fgjygV6WCnKyQeX8316YUgWo/view?usp=drivesdk")</f>
        <v>https://drive.google.com/file/d/1LWKAeEW0fgjygV6WCnKyQeX8316YUgWo/view?usp=drivesdk</v>
      </c>
      <c r="C2148" s="339" t="str">
        <f>IFERROR(__xludf.DUMMYFUNCTION("""COMPUTED_VALUE"""),"10.1037--0022-3514.49.6.1621 (1).pdf")</f>
        <v>10.1037--0022-3514.49.6.1621 (1).pdf</v>
      </c>
      <c r="D2148" s="159" t="str">
        <f>IFERROR(__xludf.DUMMYFUNCTION("""COMPUTED_VALUE"""),"application/pdf")</f>
        <v>application/pdf</v>
      </c>
    </row>
    <row r="2149">
      <c r="A2149" s="339" t="str">
        <f>IFERROR(__xludf.DUMMYFUNCTION("""COMPUTED_VALUE"""),"10.1111/j.1467-9280.2008.02045.x (1)")</f>
        <v>10.1111/j.1467-9280.2008.02045.x (1)</v>
      </c>
      <c r="B2149" s="445" t="str">
        <f>IFERROR(__xludf.DUMMYFUNCTION("""COMPUTED_VALUE"""),"https://drive.google.com/file/d/1APtHsdPZdNiDfNyY-PyeC3zINU-OvBJP/view?usp=drivesdk")</f>
        <v>https://drive.google.com/file/d/1APtHsdPZdNiDfNyY-PyeC3zINU-OvBJP/view?usp=drivesdk</v>
      </c>
      <c r="C2149" s="339" t="str">
        <f>IFERROR(__xludf.DUMMYFUNCTION("""COMPUTED_VALUE"""),"10.1111--j.1467-9280.2008.02045.x (1).pdf")</f>
        <v>10.1111--j.1467-9280.2008.02045.x (1).pdf</v>
      </c>
      <c r="D2149" s="159" t="str">
        <f>IFERROR(__xludf.DUMMYFUNCTION("""COMPUTED_VALUE"""),"application/pdf")</f>
        <v>application/pdf</v>
      </c>
    </row>
    <row r="2150">
      <c r="A2150" s="339" t="str">
        <f>IFERROR(__xludf.DUMMYFUNCTION("""COMPUTED_VALUE"""),"10.1016/j.jcps.2011.08.002")</f>
        <v>10.1016/j.jcps.2011.08.002</v>
      </c>
      <c r="B2150" s="445" t="str">
        <f>IFERROR(__xludf.DUMMYFUNCTION("""COMPUTED_VALUE"""),"https://drive.google.com/file/d/1PWDkOGXs97kFv6WHFZUdhjP_VsHDNaMe/view?usp=drivesdk")</f>
        <v>https://drive.google.com/file/d/1PWDkOGXs97kFv6WHFZUdhjP_VsHDNaMe/view?usp=drivesdk</v>
      </c>
      <c r="C2150" s="339" t="str">
        <f>IFERROR(__xludf.DUMMYFUNCTION("""COMPUTED_VALUE"""),"10.1016--j.jcps.2011.08.002.pdf")</f>
        <v>10.1016--j.jcps.2011.08.002.pdf</v>
      </c>
      <c r="D2150" s="159" t="str">
        <f>IFERROR(__xludf.DUMMYFUNCTION("""COMPUTED_VALUE"""),"application/pdf")</f>
        <v>application/pdf</v>
      </c>
    </row>
    <row r="2151">
      <c r="A2151" s="339" t="str">
        <f>IFERROR(__xludf.DUMMYFUNCTION("""COMPUTED_VALUE"""),"10.1177/0956797614563958 (1)")</f>
        <v>10.1177/0956797614563958 (1)</v>
      </c>
      <c r="B2151" s="445" t="str">
        <f>IFERROR(__xludf.DUMMYFUNCTION("""COMPUTED_VALUE"""),"https://drive.google.com/file/d/1c3ckeqDBFYPileJxyZAUCNV7gyxN2mcw/view?usp=drivesdk")</f>
        <v>https://drive.google.com/file/d/1c3ckeqDBFYPileJxyZAUCNV7gyxN2mcw/view?usp=drivesdk</v>
      </c>
      <c r="C2151" s="339" t="str">
        <f>IFERROR(__xludf.DUMMYFUNCTION("""COMPUTED_VALUE"""),"10.1177--0956797614563958 (1).pdf")</f>
        <v>10.1177--0956797614563958 (1).pdf</v>
      </c>
      <c r="D2151" s="159" t="str">
        <f>IFERROR(__xludf.DUMMYFUNCTION("""COMPUTED_VALUE"""),"application/pdf")</f>
        <v>application/pdf</v>
      </c>
    </row>
    <row r="2152">
      <c r="A2152" s="339" t="str">
        <f>IFERROR(__xludf.DUMMYFUNCTION("""COMPUTED_VALUE"""),"10.1080/17439760.2017.1279210 (1)")</f>
        <v>10.1080/17439760.2017.1279210 (1)</v>
      </c>
      <c r="B2152" s="445" t="str">
        <f>IFERROR(__xludf.DUMMYFUNCTION("""COMPUTED_VALUE"""),"https://drive.google.com/file/d/1bEbFN6Any8y8ceRfD397YRjMmRoEv-T6/view?usp=drivesdk")</f>
        <v>https://drive.google.com/file/d/1bEbFN6Any8y8ceRfD397YRjMmRoEv-T6/view?usp=drivesdk</v>
      </c>
      <c r="C2152" s="339" t="str">
        <f>IFERROR(__xludf.DUMMYFUNCTION("""COMPUTED_VALUE"""),"10.1080--17439760.2017.1279210 (1).pdf")</f>
        <v>10.1080--17439760.2017.1279210 (1).pdf</v>
      </c>
      <c r="D2152" s="159" t="str">
        <f>IFERROR(__xludf.DUMMYFUNCTION("""COMPUTED_VALUE"""),"application/pdf")</f>
        <v>application/pdf</v>
      </c>
    </row>
    <row r="2153">
      <c r="A2153" s="339" t="str">
        <f>IFERROR(__xludf.DUMMYFUNCTION("""COMPUTED_VALUE"""),"10.1073/pnas.080126810")</f>
        <v>10.1073/pnas.080126810</v>
      </c>
      <c r="B2153" s="445" t="str">
        <f>IFERROR(__xludf.DUMMYFUNCTION("""COMPUTED_VALUE"""),"https://drive.google.com/file/d/1OrJJtuTywsaJhsnTKJn5W5V9ZGnr8tWA/view?usp=drivesdk")</f>
        <v>https://drive.google.com/file/d/1OrJJtuTywsaJhsnTKJn5W5V9ZGnr8tWA/view?usp=drivesdk</v>
      </c>
      <c r="C2153" s="339" t="str">
        <f>IFERROR(__xludf.DUMMYFUNCTION("""COMPUTED_VALUE"""),"10.1073--pnas.080126810.pdf")</f>
        <v>10.1073--pnas.080126810.pdf</v>
      </c>
      <c r="D2153" s="159" t="str">
        <f>IFERROR(__xludf.DUMMYFUNCTION("""COMPUTED_VALUE"""),"application/pdf")</f>
        <v>application/pdf</v>
      </c>
    </row>
    <row r="2154">
      <c r="A2154" s="339" t="str">
        <f>IFERROR(__xludf.DUMMYFUNCTION("""COMPUTED_VALUE"""),"10.1177/095679761246641616")</f>
        <v>10.1177/095679761246641616</v>
      </c>
      <c r="B2154" s="445" t="str">
        <f>IFERROR(__xludf.DUMMYFUNCTION("""COMPUTED_VALUE"""),"https://drive.google.com/file/d/1zXW2G0B46fBJ7RbZBr7zK2RRM3wBpWBc/view?usp=drivesdk")</f>
        <v>https://drive.google.com/file/d/1zXW2G0B46fBJ7RbZBr7zK2RRM3wBpWBc/view?usp=drivesdk</v>
      </c>
      <c r="C2154" s="339" t="str">
        <f>IFERROR(__xludf.DUMMYFUNCTION("""COMPUTED_VALUE"""),"10.1177--095679761246641616.pdf")</f>
        <v>10.1177--095679761246641616.pdf</v>
      </c>
      <c r="D2154" s="159" t="str">
        <f>IFERROR(__xludf.DUMMYFUNCTION("""COMPUTED_VALUE"""),"application/pdf")</f>
        <v>application/pdf</v>
      </c>
    </row>
    <row r="2155">
      <c r="A2155" s="339" t="str">
        <f>IFERROR(__xludf.DUMMYFUNCTION("""COMPUTED_VALUE"""),"10.1111/1467-9280.00111")</f>
        <v>10.1111/1467-9280.00111</v>
      </c>
      <c r="B2155" s="445" t="str">
        <f>IFERROR(__xludf.DUMMYFUNCTION("""COMPUTED_VALUE"""),"https://drive.google.com/file/d/1hSDof4lTHAM0fMfsscfY0mGvViCdavwX/view?usp=drivesdk")</f>
        <v>https://drive.google.com/file/d/1hSDof4lTHAM0fMfsscfY0mGvViCdavwX/view?usp=drivesdk</v>
      </c>
      <c r="C2155" s="339" t="str">
        <f>IFERROR(__xludf.DUMMYFUNCTION("""COMPUTED_VALUE"""),"10.1111--1467-9280.00111.pdf")</f>
        <v>10.1111--1467-9280.00111.pdf</v>
      </c>
      <c r="D2155" s="159" t="str">
        <f>IFERROR(__xludf.DUMMYFUNCTION("""COMPUTED_VALUE"""),"application/pdf")</f>
        <v>application/pdf</v>
      </c>
    </row>
    <row r="2156">
      <c r="A2156" s="339" t="str">
        <f>IFERROR(__xludf.DUMMYFUNCTION("""COMPUTED_VALUE"""),"10.1016/j.jesp.2010.05.014 (1)")</f>
        <v>10.1016/j.jesp.2010.05.014 (1)</v>
      </c>
      <c r="B2156" s="445" t="str">
        <f>IFERROR(__xludf.DUMMYFUNCTION("""COMPUTED_VALUE"""),"https://drive.google.com/file/d/1JYfQJMF32-bnzLtcqzalxSEnyc75jLy1/view?usp=drivesdk")</f>
        <v>https://drive.google.com/file/d/1JYfQJMF32-bnzLtcqzalxSEnyc75jLy1/view?usp=drivesdk</v>
      </c>
      <c r="C2156" s="339" t="str">
        <f>IFERROR(__xludf.DUMMYFUNCTION("""COMPUTED_VALUE"""),"10.1016--j.jesp.2010.05.014 (1).pdf")</f>
        <v>10.1016--j.jesp.2010.05.014 (1).pdf</v>
      </c>
      <c r="D2156" s="159" t="str">
        <f>IFERROR(__xludf.DUMMYFUNCTION("""COMPUTED_VALUE"""),"application/pdf")</f>
        <v>application/pdf</v>
      </c>
    </row>
    <row r="2157">
      <c r="A2157" s="339" t="str">
        <f>IFERROR(__xludf.DUMMYFUNCTION("""COMPUTED_VALUE"""),"10.1177/1368430207081533 (1)")</f>
        <v>10.1177/1368430207081533 (1)</v>
      </c>
      <c r="B2157" s="445" t="str">
        <f>IFERROR(__xludf.DUMMYFUNCTION("""COMPUTED_VALUE"""),"https://drive.google.com/file/d/1x0hiMkAMMAu7RifdS0rxlSq4TXBkiNRA/view?usp=drivesdk")</f>
        <v>https://drive.google.com/file/d/1x0hiMkAMMAu7RifdS0rxlSq4TXBkiNRA/view?usp=drivesdk</v>
      </c>
      <c r="C2157" s="339" t="str">
        <f>IFERROR(__xludf.DUMMYFUNCTION("""COMPUTED_VALUE"""),"10.1177--1368430207081533 (1).pdf")</f>
        <v>10.1177--1368430207081533 (1).pdf</v>
      </c>
      <c r="D2157" s="159" t="str">
        <f>IFERROR(__xludf.DUMMYFUNCTION("""COMPUTED_VALUE"""),"application/pdf")</f>
        <v>application/pdf</v>
      </c>
    </row>
    <row r="2158">
      <c r="A2158" s="339" t="str">
        <f>IFERROR(__xludf.DUMMYFUNCTION("""COMPUTED_VALUE"""),"10.1037/0022-3514.95.5.1150 (1)")</f>
        <v>10.1037/0022-3514.95.5.1150 (1)</v>
      </c>
      <c r="B2158" s="445" t="str">
        <f>IFERROR(__xludf.DUMMYFUNCTION("""COMPUTED_VALUE"""),"https://drive.google.com/file/d/1YRmjZgTo_v1L76nWsNrw9opAPNpUFd1K/view?usp=drivesdk")</f>
        <v>https://drive.google.com/file/d/1YRmjZgTo_v1L76nWsNrw9opAPNpUFd1K/view?usp=drivesdk</v>
      </c>
      <c r="C2158" s="339" t="str">
        <f>IFERROR(__xludf.DUMMYFUNCTION("""COMPUTED_VALUE"""),"10.1037--0022-3514.95.5.1150 (1).pdf")</f>
        <v>10.1037--0022-3514.95.5.1150 (1).pdf</v>
      </c>
      <c r="D2158" s="159" t="str">
        <f>IFERROR(__xludf.DUMMYFUNCTION("""COMPUTED_VALUE"""),"application/pdf")</f>
        <v>application/pdf</v>
      </c>
    </row>
    <row r="2159">
      <c r="A2159" s="339" t="str">
        <f>IFERROR(__xludf.DUMMYFUNCTION("""COMPUTED_VALUE"""),"10.1098/rspb.2011.1959 (1)")</f>
        <v>10.1098/rspb.2011.1959 (1)</v>
      </c>
      <c r="B2159" s="445" t="str">
        <f>IFERROR(__xludf.DUMMYFUNCTION("""COMPUTED_VALUE"""),"https://drive.google.com/file/d/1jGrR9pobMos836wHFPkA3w5cxog8Wlf8/view?usp=drivesdk")</f>
        <v>https://drive.google.com/file/d/1jGrR9pobMos836wHFPkA3w5cxog8Wlf8/view?usp=drivesdk</v>
      </c>
      <c r="C2159" s="339" t="str">
        <f>IFERROR(__xludf.DUMMYFUNCTION("""COMPUTED_VALUE"""),"10.1098--rspb.2011.1959 (1).pdf")</f>
        <v>10.1098--rspb.2011.1959 (1).pdf</v>
      </c>
      <c r="D2159" s="159" t="str">
        <f>IFERROR(__xludf.DUMMYFUNCTION("""COMPUTED_VALUE"""),"application/pdf")</f>
        <v>application/pdf</v>
      </c>
    </row>
    <row r="2160">
      <c r="A2160" s="339" t="str">
        <f>IFERROR(__xludf.DUMMYFUNCTION("""COMPUTED_VALUE"""),"10.1038/nature03701 (1)")</f>
        <v>10.1038/nature03701 (1)</v>
      </c>
      <c r="B2160" s="445" t="str">
        <f>IFERROR(__xludf.DUMMYFUNCTION("""COMPUTED_VALUE"""),"https://drive.google.com/file/d/1-KoA4w0UmKX-zBQBzGFrHdbnVeCwLedE/view?usp=drivesdk")</f>
        <v>https://drive.google.com/file/d/1-KoA4w0UmKX-zBQBzGFrHdbnVeCwLedE/view?usp=drivesdk</v>
      </c>
      <c r="C2160" s="339" t="str">
        <f>IFERROR(__xludf.DUMMYFUNCTION("""COMPUTED_VALUE"""),"10.1038--nature03701 (1).pdf")</f>
        <v>10.1038--nature03701 (1).pdf</v>
      </c>
      <c r="D2160" s="159" t="str">
        <f>IFERROR(__xludf.DUMMYFUNCTION("""COMPUTED_VALUE"""),"application/pdf")</f>
        <v>application/pdf</v>
      </c>
    </row>
    <row r="2161">
      <c r="A2161" s="339" t="str">
        <f>IFERROR(__xludf.DUMMYFUNCTION("""COMPUTED_VALUE"""),"10.1093/jcr/ucv007 (1)")</f>
        <v>10.1093/jcr/ucv007 (1)</v>
      </c>
      <c r="B2161" s="445" t="str">
        <f>IFERROR(__xludf.DUMMYFUNCTION("""COMPUTED_VALUE"""),"https://drive.google.com/file/d/1aPthYdh8kaoZELmxgMpN1wR6XnqiBcz-/view?usp=drivesdk")</f>
        <v>https://drive.google.com/file/d/1aPthYdh8kaoZELmxgMpN1wR6XnqiBcz-/view?usp=drivesdk</v>
      </c>
      <c r="C2161" s="339" t="str">
        <f>IFERROR(__xludf.DUMMYFUNCTION("""COMPUTED_VALUE"""),"10.1093--jcr--ucv007 (1).pdf")</f>
        <v>10.1093--jcr--ucv007 (1).pdf</v>
      </c>
      <c r="D2161" s="159" t="str">
        <f>IFERROR(__xludf.DUMMYFUNCTION("""COMPUTED_VALUE"""),"application/pdf")</f>
        <v>application/pdf</v>
      </c>
    </row>
    <row r="2162">
      <c r="A2162" s="339" t="str">
        <f>IFERROR(__xludf.DUMMYFUNCTION("""COMPUTED_VALUE"""),"10.1093/jcr/ucv048 (1)")</f>
        <v>10.1093/jcr/ucv048 (1)</v>
      </c>
      <c r="B2162" s="445" t="str">
        <f>IFERROR(__xludf.DUMMYFUNCTION("""COMPUTED_VALUE"""),"https://drive.google.com/file/d/12THeIMZ2Ep8Asu-0MmFgX3d6VIB7qcC2/view?usp=drivesdk")</f>
        <v>https://drive.google.com/file/d/12THeIMZ2Ep8Asu-0MmFgX3d6VIB7qcC2/view?usp=drivesdk</v>
      </c>
      <c r="C2162" s="339" t="str">
        <f>IFERROR(__xludf.DUMMYFUNCTION("""COMPUTED_VALUE"""),"10.1093--jcr--ucv048 (1).pdf")</f>
        <v>10.1093--jcr--ucv048 (1).pdf</v>
      </c>
      <c r="D2162" s="159" t="str">
        <f>IFERROR(__xludf.DUMMYFUNCTION("""COMPUTED_VALUE"""),"application/pdf")</f>
        <v>application/pdf</v>
      </c>
    </row>
    <row r="2163">
      <c r="A2163" s="339" t="str">
        <f>IFERROR(__xludf.DUMMYFUNCTION("""COMPUTED_VALUE"""),"10.1093/jcr/ucx066 (1)")</f>
        <v>10.1093/jcr/ucx066 (1)</v>
      </c>
      <c r="B2163" s="445" t="str">
        <f>IFERROR(__xludf.DUMMYFUNCTION("""COMPUTED_VALUE"""),"https://drive.google.com/file/d/1hJA8QyeDp4Vm559mbO8DCZflU8Edzdja/view?usp=drivesdk")</f>
        <v>https://drive.google.com/file/d/1hJA8QyeDp4Vm559mbO8DCZflU8Edzdja/view?usp=drivesdk</v>
      </c>
      <c r="C2163" s="339" t="str">
        <f>IFERROR(__xludf.DUMMYFUNCTION("""COMPUTED_VALUE"""),"10.1093--jcr--ucx066 (1).pdf")</f>
        <v>10.1093--jcr--ucx066 (1).pdf</v>
      </c>
      <c r="D2163" s="159" t="str">
        <f>IFERROR(__xludf.DUMMYFUNCTION("""COMPUTED_VALUE"""),"application/pdf")</f>
        <v>application/pdf</v>
      </c>
    </row>
    <row r="2164">
      <c r="A2164" s="339" t="str">
        <f>IFERROR(__xludf.DUMMYFUNCTION("""COMPUTED_VALUE"""),"10.1093/jcr/ucv051 (1)")</f>
        <v>10.1093/jcr/ucv051 (1)</v>
      </c>
      <c r="B2164" s="445" t="str">
        <f>IFERROR(__xludf.DUMMYFUNCTION("""COMPUTED_VALUE"""),"https://drive.google.com/file/d/1aXjsynaYAzsiAP_XnLW15jUFOcnTDxW2/view?usp=drivesdk")</f>
        <v>https://drive.google.com/file/d/1aXjsynaYAzsiAP_XnLW15jUFOcnTDxW2/view?usp=drivesdk</v>
      </c>
      <c r="C2164" s="339" t="str">
        <f>IFERROR(__xludf.DUMMYFUNCTION("""COMPUTED_VALUE"""),"10.1093--jcr--ucv051 (1).pdf")</f>
        <v>10.1093--jcr--ucv051 (1).pdf</v>
      </c>
      <c r="D2164" s="159" t="str">
        <f>IFERROR(__xludf.DUMMYFUNCTION("""COMPUTED_VALUE"""),"application/pdf")</f>
        <v>application/pdf</v>
      </c>
    </row>
    <row r="2165">
      <c r="A2165" s="339" t="str">
        <f>IFERROR(__xludf.DUMMYFUNCTION("""COMPUTED_VALUE"""),"10.1002/jcpy.1028 (1)")</f>
        <v>10.1002/jcpy.1028 (1)</v>
      </c>
      <c r="B2165" s="445" t="str">
        <f>IFERROR(__xludf.DUMMYFUNCTION("""COMPUTED_VALUE"""),"https://drive.google.com/file/d/1Nk5bFJSo0Kpn1lRyfOXRyXUcB5o-fwog/view?usp=drivesdk")</f>
        <v>https://drive.google.com/file/d/1Nk5bFJSo0Kpn1lRyfOXRyXUcB5o-fwog/view?usp=drivesdk</v>
      </c>
      <c r="C2165" s="339" t="str">
        <f>IFERROR(__xludf.DUMMYFUNCTION("""COMPUTED_VALUE"""),"10.1002--jcpy.1028 (1).pdf")</f>
        <v>10.1002--jcpy.1028 (1).pdf</v>
      </c>
      <c r="D2165" s="159" t="str">
        <f>IFERROR(__xludf.DUMMYFUNCTION("""COMPUTED_VALUE"""),"application/pdf")</f>
        <v>application/pdf</v>
      </c>
    </row>
    <row r="2166">
      <c r="A2166" s="339" t="str">
        <f>IFERROR(__xludf.DUMMYFUNCTION("""COMPUTED_VALUE"""),"10.1093/jcr/ucw056 (1)")</f>
        <v>10.1093/jcr/ucw056 (1)</v>
      </c>
      <c r="B2166" s="445" t="str">
        <f>IFERROR(__xludf.DUMMYFUNCTION("""COMPUTED_VALUE"""),"https://drive.google.com/file/d/1FYnAE6ZVSAXu-_Vp5HcUF0KcHJCVyVxV/view?usp=drivesdk")</f>
        <v>https://drive.google.com/file/d/1FYnAE6ZVSAXu-_Vp5HcUF0KcHJCVyVxV/view?usp=drivesdk</v>
      </c>
      <c r="C2166" s="339" t="str">
        <f>IFERROR(__xludf.DUMMYFUNCTION("""COMPUTED_VALUE"""),"10.1093--jcr--ucw056 (1).pdf")</f>
        <v>10.1093--jcr--ucw056 (1).pdf</v>
      </c>
      <c r="D2166" s="159" t="str">
        <f>IFERROR(__xludf.DUMMYFUNCTION("""COMPUTED_VALUE"""),"application/pdf")</f>
        <v>application/pdf</v>
      </c>
    </row>
    <row r="2167">
      <c r="A2167" s="339" t="str">
        <f>IFERROR(__xludf.DUMMYFUNCTION("""COMPUTED_VALUE"""),"10.1086/679118 (1)")</f>
        <v>10.1086/679118 (1)</v>
      </c>
      <c r="B2167" s="445" t="str">
        <f>IFERROR(__xludf.DUMMYFUNCTION("""COMPUTED_VALUE"""),"https://drive.google.com/file/d/1ib5kLo84evfYuXer8uGAcr-d89wsQzfg/view?usp=drivesdk")</f>
        <v>https://drive.google.com/file/d/1ib5kLo84evfYuXer8uGAcr-d89wsQzfg/view?usp=drivesdk</v>
      </c>
      <c r="C2167" s="339" t="str">
        <f>IFERROR(__xludf.DUMMYFUNCTION("""COMPUTED_VALUE"""),"10.1086--679118 (1).pdf")</f>
        <v>10.1086--679118 (1).pdf</v>
      </c>
      <c r="D2167" s="159" t="str">
        <f>IFERROR(__xludf.DUMMYFUNCTION("""COMPUTED_VALUE"""),"application/pdf")</f>
        <v>application/pdf</v>
      </c>
    </row>
    <row r="2168">
      <c r="A2168" s="339" t="str">
        <f>IFERROR(__xludf.DUMMYFUNCTION("""COMPUTED_VALUE"""),"10.1093/jcr/ucv023 (1)")</f>
        <v>10.1093/jcr/ucv023 (1)</v>
      </c>
      <c r="B2168" s="445" t="str">
        <f>IFERROR(__xludf.DUMMYFUNCTION("""COMPUTED_VALUE"""),"https://drive.google.com/file/d/1qGLg9x70NBJmtWHEo9VL0BQ3bhmLEW4u/view?usp=drivesdk")</f>
        <v>https://drive.google.com/file/d/1qGLg9x70NBJmtWHEo9VL0BQ3bhmLEW4u/view?usp=drivesdk</v>
      </c>
      <c r="C2168" s="339" t="str">
        <f>IFERROR(__xludf.DUMMYFUNCTION("""COMPUTED_VALUE"""),"10.1093--jcr--ucv023 (1).pdf")</f>
        <v>10.1093--jcr--ucv023 (1).pdf</v>
      </c>
      <c r="D2168" s="159" t="str">
        <f>IFERROR(__xludf.DUMMYFUNCTION("""COMPUTED_VALUE"""),"application/pdf")</f>
        <v>application/pdf</v>
      </c>
    </row>
    <row r="2169">
      <c r="A2169" s="339" t="str">
        <f>IFERROR(__xludf.DUMMYFUNCTION("""COMPUTED_VALUE"""),"10.1086/673256 (1)")</f>
        <v>10.1086/673256 (1)</v>
      </c>
      <c r="B2169" s="445" t="str">
        <f>IFERROR(__xludf.DUMMYFUNCTION("""COMPUTED_VALUE"""),"https://drive.google.com/file/d/1iYrVTffpOwEYVdc_R8x7R48IOknFPGII/view?usp=drivesdk")</f>
        <v>https://drive.google.com/file/d/1iYrVTffpOwEYVdc_R8x7R48IOknFPGII/view?usp=drivesdk</v>
      </c>
      <c r="C2169" s="339" t="str">
        <f>IFERROR(__xludf.DUMMYFUNCTION("""COMPUTED_VALUE"""),"10.1086--673256 (1).pdf")</f>
        <v>10.1086--673256 (1).pdf</v>
      </c>
      <c r="D2169" s="159" t="str">
        <f>IFERROR(__xludf.DUMMYFUNCTION("""COMPUTED_VALUE"""),"application/pdf")</f>
        <v>application/pdf</v>
      </c>
    </row>
    <row r="2170">
      <c r="A2170" s="339" t="str">
        <f>IFERROR(__xludf.DUMMYFUNCTION("""COMPUTED_VALUE"""),"10.1126/science.1215647 (1)")</f>
        <v>10.1126/science.1215647 (1)</v>
      </c>
      <c r="B2170" s="445" t="str">
        <f>IFERROR(__xludf.DUMMYFUNCTION("""COMPUTED_VALUE"""),"https://drive.google.com/file/d/1Tbc-6U14FAowy_tbbn23yQYCuYKOnK__/view?usp=drivesdk")</f>
        <v>https://drive.google.com/file/d/1Tbc-6U14FAowy_tbbn23yQYCuYKOnK__/view?usp=drivesdk</v>
      </c>
      <c r="C2170" s="339" t="str">
        <f>IFERROR(__xludf.DUMMYFUNCTION("""COMPUTED_VALUE"""),"10.1126--science.1215647 (1).pdf")</f>
        <v>10.1126--science.1215647 (1).pdf</v>
      </c>
      <c r="D2170" s="159" t="str">
        <f>IFERROR(__xludf.DUMMYFUNCTION("""COMPUTED_VALUE"""),"application/pdf")</f>
        <v>application/pdf</v>
      </c>
    </row>
    <row r="2171">
      <c r="A2171" s="339" t="str">
        <f>IFERROR(__xludf.DUMMYFUNCTION("""COMPUTED_VALUE"""),"10.1111/j.2044-835x.1986.tb01003.x (1)")</f>
        <v>10.1111/j.2044-835x.1986.tb01003.x (1)</v>
      </c>
      <c r="B2171" s="445" t="str">
        <f>IFERROR(__xludf.DUMMYFUNCTION("""COMPUTED_VALUE"""),"https://drive.google.com/file/d/1XpoHLIFPByKVACocvJ5YoFhf9uIA2q64/view?usp=drivesdk")</f>
        <v>https://drive.google.com/file/d/1XpoHLIFPByKVACocvJ5YoFhf9uIA2q64/view?usp=drivesdk</v>
      </c>
      <c r="C2171" s="339" t="str">
        <f>IFERROR(__xludf.DUMMYFUNCTION("""COMPUTED_VALUE"""),"10.1111--j.2044-835x.1986.tb01003.x (1).pdf")</f>
        <v>10.1111--j.2044-835x.1986.tb01003.x (1).pdf</v>
      </c>
      <c r="D2171" s="159" t="str">
        <f>IFERROR(__xludf.DUMMYFUNCTION("""COMPUTED_VALUE"""),"application/pdf")</f>
        <v>application/pdf</v>
      </c>
    </row>
    <row r="2172">
      <c r="A2172" s="339" t="str">
        <f>IFERROR(__xludf.DUMMYFUNCTION("""COMPUTED_VALUE"""),"10.1037/0033-295x.93.2.136")</f>
        <v>10.1037/0033-295x.93.2.136</v>
      </c>
      <c r="B2172" s="445" t="str">
        <f>IFERROR(__xludf.DUMMYFUNCTION("""COMPUTED_VALUE"""),"https://drive.google.com/file/d/1Aey1pYLXIu5MxmVVkhJFKWZH205p2S8r/view?usp=drivesdk")</f>
        <v>https://drive.google.com/file/d/1Aey1pYLXIu5MxmVVkhJFKWZH205p2S8r/view?usp=drivesdk</v>
      </c>
      <c r="C2172" s="339" t="str">
        <f>IFERROR(__xludf.DUMMYFUNCTION("""COMPUTED_VALUE"""),"10.1037--0033-295x.93.2.136.pdf")</f>
        <v>10.1037--0033-295x.93.2.136.pdf</v>
      </c>
      <c r="D2172" s="159" t="str">
        <f>IFERROR(__xludf.DUMMYFUNCTION("""COMPUTED_VALUE"""),"application/pdf")</f>
        <v>application/pdf</v>
      </c>
    </row>
    <row r="2173">
      <c r="A2173" s="339" t="str">
        <f>IFERROR(__xludf.DUMMYFUNCTION("""COMPUTED_VALUE"""),"10.1037/a0020092 (1)")</f>
        <v>10.1037/a0020092 (1)</v>
      </c>
      <c r="B2173" s="445" t="str">
        <f>IFERROR(__xludf.DUMMYFUNCTION("""COMPUTED_VALUE"""),"https://drive.google.com/file/d/10W0tSH0HQQFcBMuEUN5agngIbIIbyHX9/view?usp=drivesdk")</f>
        <v>https://drive.google.com/file/d/10W0tSH0HQQFcBMuEUN5agngIbIIbyHX9/view?usp=drivesdk</v>
      </c>
      <c r="C2173" s="339" t="str">
        <f>IFERROR(__xludf.DUMMYFUNCTION("""COMPUTED_VALUE"""),"10.1037--a0020092 (1).pdf")</f>
        <v>10.1037--a0020092 (1).pdf</v>
      </c>
      <c r="D2173" s="159" t="str">
        <f>IFERROR(__xludf.DUMMYFUNCTION("""COMPUTED_VALUE"""),"application/pdf")</f>
        <v>application/pdf</v>
      </c>
    </row>
    <row r="2174">
      <c r="A2174" s="339" t="str">
        <f>IFERROR(__xludf.DUMMYFUNCTION("""COMPUTED_VALUE"""),"10.1037/0096-3445.136.1.154 (1)")</f>
        <v>10.1037/0096-3445.136.1.154 (1)</v>
      </c>
      <c r="B2174" s="445" t="str">
        <f>IFERROR(__xludf.DUMMYFUNCTION("""COMPUTED_VALUE"""),"https://drive.google.com/file/d/1MmRpDEBSX5A_XtK98PGGG25Fj8W30RM_/view?usp=drivesdk")</f>
        <v>https://drive.google.com/file/d/1MmRpDEBSX5A_XtK98PGGG25Fj8W30RM_/view?usp=drivesdk</v>
      </c>
      <c r="C2174" s="339" t="str">
        <f>IFERROR(__xludf.DUMMYFUNCTION("""COMPUTED_VALUE"""),"10.1037--0096-3445.136.1.154 (1).pdf")</f>
        <v>10.1037--0096-3445.136.1.154 (1).pdf</v>
      </c>
      <c r="D2174" s="159" t="str">
        <f>IFERROR(__xludf.DUMMYFUNCTION("""COMPUTED_VALUE"""),"application/pdf")</f>
        <v>application/pdf</v>
      </c>
    </row>
    <row r="2175">
      <c r="A2175" s="339" t="str">
        <f>IFERROR(__xludf.DUMMYFUNCTION("""COMPUTED_VALUE"""),"10.1177/0956797617719950 (1)")</f>
        <v>10.1177/0956797617719950 (1)</v>
      </c>
      <c r="B2175" s="445" t="str">
        <f>IFERROR(__xludf.DUMMYFUNCTION("""COMPUTED_VALUE"""),"https://drive.google.com/file/d/1bZo9sK3oQZIn6_x7FGe4vmyadV7Ugf53/view?usp=drivesdk")</f>
        <v>https://drive.google.com/file/d/1bZo9sK3oQZIn6_x7FGe4vmyadV7Ugf53/view?usp=drivesdk</v>
      </c>
      <c r="C2175" s="339" t="str">
        <f>IFERROR(__xludf.DUMMYFUNCTION("""COMPUTED_VALUE"""),"10.1177--0956797617719950 (1).pdf")</f>
        <v>10.1177--0956797617719950 (1).pdf</v>
      </c>
      <c r="D2175" s="159" t="str">
        <f>IFERROR(__xludf.DUMMYFUNCTION("""COMPUTED_VALUE"""),"application/pdf")</f>
        <v>application/pdf</v>
      </c>
    </row>
    <row r="2176">
      <c r="A2176" s="339" t="str">
        <f>IFERROR(__xludf.DUMMYFUNCTION("""COMPUTED_VALUE"""),"10.1111/j.0956-7976.2005.00799.x (1)")</f>
        <v>10.1111/j.0956-7976.2005.00799.x (1)</v>
      </c>
      <c r="B2176" s="445" t="str">
        <f>IFERROR(__xludf.DUMMYFUNCTION("""COMPUTED_VALUE"""),"https://drive.google.com/file/d/1nnmgia3uJKc7mfbdkQNU6C-nw2g3lEAL/view?usp=drivesdk")</f>
        <v>https://drive.google.com/file/d/1nnmgia3uJKc7mfbdkQNU6C-nw2g3lEAL/view?usp=drivesdk</v>
      </c>
      <c r="C2176" s="339" t="str">
        <f>IFERROR(__xludf.DUMMYFUNCTION("""COMPUTED_VALUE"""),"10.1111--j.0956-7976.2005.00799.x (1).pdf")</f>
        <v>10.1111--j.0956-7976.2005.00799.x (1).pdf</v>
      </c>
      <c r="D2176" s="159" t="str">
        <f>IFERROR(__xludf.DUMMYFUNCTION("""COMPUTED_VALUE"""),"application/pdf")</f>
        <v>application/pdf</v>
      </c>
    </row>
    <row r="2177">
      <c r="A2177" s="339" t="str">
        <f>IFERROR(__xludf.DUMMYFUNCTION("""COMPUTED_VALUE"""),"10.1006/jesp.1998.1373 (1)")</f>
        <v>10.1006/jesp.1998.1373 (1)</v>
      </c>
      <c r="B2177" s="445" t="str">
        <f>IFERROR(__xludf.DUMMYFUNCTION("""COMPUTED_VALUE"""),"https://drive.google.com/file/d/1APlORHjSwb-bhoXwhpdGctd6Hy0cBtQl/view?usp=drivesdk")</f>
        <v>https://drive.google.com/file/d/1APlORHjSwb-bhoXwhpdGctd6Hy0cBtQl/view?usp=drivesdk</v>
      </c>
      <c r="C2177" s="339" t="str">
        <f>IFERROR(__xludf.DUMMYFUNCTION("""COMPUTED_VALUE"""),"10.1006--jesp.1998.1373 (1).pdf")</f>
        <v>10.1006--jesp.1998.1373 (1).pdf</v>
      </c>
      <c r="D2177" s="159" t="str">
        <f>IFERROR(__xludf.DUMMYFUNCTION("""COMPUTED_VALUE"""),"application/pdf")</f>
        <v>application/pdf</v>
      </c>
    </row>
    <row r="2178">
      <c r="A2178" s="339" t="str">
        <f>IFERROR(__xludf.DUMMYFUNCTION("""COMPUTED_VALUE"""),"10.1111/j.1467-9280.2008.02056.x (1)")</f>
        <v>10.1111/j.1467-9280.2008.02056.x (1)</v>
      </c>
      <c r="B2178" s="445" t="str">
        <f>IFERROR(__xludf.DUMMYFUNCTION("""COMPUTED_VALUE"""),"https://drive.google.com/file/d/11QvRQEvz5Ns1Xj1UCdimwt1e6wyII5cd/view?usp=drivesdk")</f>
        <v>https://drive.google.com/file/d/11QvRQEvz5Ns1Xj1UCdimwt1e6wyII5cd/view?usp=drivesdk</v>
      </c>
      <c r="C2178" s="339" t="str">
        <f>IFERROR(__xludf.DUMMYFUNCTION("""COMPUTED_VALUE"""),"10.1111--j.1467-9280.2008.02056.x (1).pdf")</f>
        <v>10.1111--j.1467-9280.2008.02056.x (1).pdf</v>
      </c>
      <c r="D2178" s="159" t="str">
        <f>IFERROR(__xludf.DUMMYFUNCTION("""COMPUTED_VALUE"""),"application/pdf")</f>
        <v>application/pdf</v>
      </c>
    </row>
    <row r="2179">
      <c r="A2179" s="339" t="str">
        <f>IFERROR(__xludf.DUMMYFUNCTION("""COMPUTED_VALUE"""),"10.1037/h0025008")</f>
        <v>10.1037/h0025008</v>
      </c>
      <c r="B2179" s="445" t="str">
        <f>IFERROR(__xludf.DUMMYFUNCTION("""COMPUTED_VALUE"""),"https://drive.google.com/file/d/1POfGb-02lpla3OAzJNCAQBlCPox099RI/view?usp=drivesdk")</f>
        <v>https://drive.google.com/file/d/1POfGb-02lpla3OAzJNCAQBlCPox099RI/view?usp=drivesdk</v>
      </c>
      <c r="C2179" s="339" t="str">
        <f>IFERROR(__xludf.DUMMYFUNCTION("""COMPUTED_VALUE"""),"10.1037--h0025008.pdf")</f>
        <v>10.1037--h0025008.pdf</v>
      </c>
      <c r="D2179" s="159" t="str">
        <f>IFERROR(__xludf.DUMMYFUNCTION("""COMPUTED_VALUE"""),"application/pdf")</f>
        <v>application/pdf</v>
      </c>
    </row>
    <row r="2180">
      <c r="A2180" s="339" t="str">
        <f>IFERROR(__xludf.DUMMYFUNCTION("""COMPUTED_VALUE"""),"10.1111/j.1467-9280.2007.01983.x")</f>
        <v>10.1111/j.1467-9280.2007.01983.x</v>
      </c>
      <c r="B2180" s="445" t="str">
        <f>IFERROR(__xludf.DUMMYFUNCTION("""COMPUTED_VALUE"""),"https://drive.google.com/file/d/1GTSpxZmUQNl7xFyuBJKYxy6EvUX5oiQN/view?usp=drivesdk")</f>
        <v>https://drive.google.com/file/d/1GTSpxZmUQNl7xFyuBJKYxy6EvUX5oiQN/view?usp=drivesdk</v>
      </c>
      <c r="C2180" s="339" t="str">
        <f>IFERROR(__xludf.DUMMYFUNCTION("""COMPUTED_VALUE"""),"10.1111--j.1467-9280.2007.01983.x.pdf")</f>
        <v>10.1111--j.1467-9280.2007.01983.x.pdf</v>
      </c>
      <c r="D2180" s="159" t="str">
        <f>IFERROR(__xludf.DUMMYFUNCTION("""COMPUTED_VALUE"""),"application/pdf")</f>
        <v>application/pdf</v>
      </c>
    </row>
    <row r="2181">
      <c r="A2181" s="339" t="str">
        <f>IFERROR(__xludf.DUMMYFUNCTION("""COMPUTED_VALUE"""),"10.1177/0956797614563108 (1)")</f>
        <v>10.1177/0956797614563108 (1)</v>
      </c>
      <c r="B2181" s="445" t="str">
        <f>IFERROR(__xludf.DUMMYFUNCTION("""COMPUTED_VALUE"""),"https://drive.google.com/file/d/12_ssoTgKCRSwPp56VgQV0Eu0DD6umUVP/view?usp=drivesdk")</f>
        <v>https://drive.google.com/file/d/12_ssoTgKCRSwPp56VgQV0Eu0DD6umUVP/view?usp=drivesdk</v>
      </c>
      <c r="C2181" s="339" t="str">
        <f>IFERROR(__xludf.DUMMYFUNCTION("""COMPUTED_VALUE"""),"10.1177--0956797614563108 (1).pdf")</f>
        <v>10.1177--0956797614563108 (1).pdf</v>
      </c>
      <c r="D2181" s="159" t="str">
        <f>IFERROR(__xludf.DUMMYFUNCTION("""COMPUTED_VALUE"""),"application/pdf")</f>
        <v>application/pdf</v>
      </c>
    </row>
    <row r="2182">
      <c r="A2182" s="339" t="str">
        <f>IFERROR(__xludf.DUMMYFUNCTION("""COMPUTED_VALUE"""),"sutlief2019")</f>
        <v>sutlief2019</v>
      </c>
      <c r="B2182" s="445" t="str">
        <f>IFERROR(__xludf.DUMMYFUNCTION("""COMPUTED_VALUE"""),"https://drive.google.com/file/d/1eEVHF0MbgmfXxnHFsigWacLc9zXFPqD-/view?usp=drivesdk")</f>
        <v>https://drive.google.com/file/d/1eEVHF0MbgmfXxnHFsigWacLc9zXFPqD-/view?usp=drivesdk</v>
      </c>
      <c r="C2182" s="339" t="str">
        <f>IFERROR(__xludf.DUMMYFUNCTION("""COMPUTED_VALUE"""),"sutlief2019.pdf")</f>
        <v>sutlief2019.pdf</v>
      </c>
      <c r="D2182" s="159" t="str">
        <f>IFERROR(__xludf.DUMMYFUNCTION("""COMPUTED_VALUE"""),"application/pdf")</f>
        <v>application/pdf</v>
      </c>
    </row>
    <row r="2183">
      <c r="A2183" s="339" t="str">
        <f>IFERROR(__xludf.DUMMYFUNCTION("""COMPUTED_VALUE"""),"10.1080/02673843.2023.2283563")</f>
        <v>10.1080/02673843.2023.2283563</v>
      </c>
      <c r="B2183" s="445" t="str">
        <f>IFERROR(__xludf.DUMMYFUNCTION("""COMPUTED_VALUE"""),"https://drive.google.com/file/d/1jHFMH7kFGC0px3IpBnI1CrqPkVp9LVmb/view?usp=drivesdk")</f>
        <v>https://drive.google.com/file/d/1jHFMH7kFGC0px3IpBnI1CrqPkVp9LVmb/view?usp=drivesdk</v>
      </c>
      <c r="C2183" s="339" t="str">
        <f>IFERROR(__xludf.DUMMYFUNCTION("""COMPUTED_VALUE"""),"10.1080--02673843.2023.2283563.pdf")</f>
        <v>10.1080--02673843.2023.2283563.pdf</v>
      </c>
      <c r="D2183" s="159" t="str">
        <f>IFERROR(__xludf.DUMMYFUNCTION("""COMPUTED_VALUE"""),"application/pdf")</f>
        <v>application/pdf</v>
      </c>
    </row>
    <row r="2184">
      <c r="A2184" s="339" t="str">
        <f>IFERROR(__xludf.DUMMYFUNCTION("""COMPUTED_VALUE"""),"10.4992/jjpsy.94.22334")</f>
        <v>10.4992/jjpsy.94.22334</v>
      </c>
      <c r="B2184" s="445" t="str">
        <f>IFERROR(__xludf.DUMMYFUNCTION("""COMPUTED_VALUE"""),"https://drive.google.com/file/d/1nHZZUyQQ7oIiU3i-UXsaWE_r0fYrfiS3/view?usp=drivesdk")</f>
        <v>https://drive.google.com/file/d/1nHZZUyQQ7oIiU3i-UXsaWE_r0fYrfiS3/view?usp=drivesdk</v>
      </c>
      <c r="C2184" s="339" t="str">
        <f>IFERROR(__xludf.DUMMYFUNCTION("""COMPUTED_VALUE"""),"10.4992--jjpsy.94.22334.pdf")</f>
        <v>10.4992--jjpsy.94.22334.pdf</v>
      </c>
      <c r="D2184" s="159" t="str">
        <f>IFERROR(__xludf.DUMMYFUNCTION("""COMPUTED_VALUE"""),"application/pdf")</f>
        <v>application/pdf</v>
      </c>
    </row>
    <row r="2185">
      <c r="A2185" s="339" t="str">
        <f>IFERROR(__xludf.DUMMYFUNCTION("""COMPUTED_VALUE"""),"10.1111/jcpp.14029")</f>
        <v>10.1111/jcpp.14029</v>
      </c>
      <c r="B2185" s="445" t="str">
        <f>IFERROR(__xludf.DUMMYFUNCTION("""COMPUTED_VALUE"""),"https://drive.google.com/file/d/1H7zPg14rvgbrna3ifhQj_TWemnCGPZly/view?usp=drivesdk")</f>
        <v>https://drive.google.com/file/d/1H7zPg14rvgbrna3ifhQj_TWemnCGPZly/view?usp=drivesdk</v>
      </c>
      <c r="C2185" s="339" t="str">
        <f>IFERROR(__xludf.DUMMYFUNCTION("""COMPUTED_VALUE"""),"10.1111--jcpp.14029.pdf")</f>
        <v>10.1111--jcpp.14029.pdf</v>
      </c>
      <c r="D2185" s="159" t="str">
        <f>IFERROR(__xludf.DUMMYFUNCTION("""COMPUTED_VALUE"""),"application/pdf")</f>
        <v>application/pdf</v>
      </c>
    </row>
    <row r="2186">
      <c r="A2186" s="339" t="str">
        <f>IFERROR(__xludf.DUMMYFUNCTION("""COMPUTED_VALUE"""),"10.3758/s13414-020-01991-7")</f>
        <v>10.3758/s13414-020-01991-7</v>
      </c>
      <c r="B2186" s="445" t="str">
        <f>IFERROR(__xludf.DUMMYFUNCTION("""COMPUTED_VALUE"""),"https://drive.google.com/file/d/1p1B1qdpg970VZ83ou2sGpvyTI03ZIhi9/view?usp=drivesdk")</f>
        <v>https://drive.google.com/file/d/1p1B1qdpg970VZ83ou2sGpvyTI03ZIhi9/view?usp=drivesdk</v>
      </c>
      <c r="C2186" s="339" t="str">
        <f>IFERROR(__xludf.DUMMYFUNCTION("""COMPUTED_VALUE"""),"10.3758--s13414-020-01991-7.pdf")</f>
        <v>10.3758--s13414-020-01991-7.pdf</v>
      </c>
      <c r="D2186" s="159" t="str">
        <f>IFERROR(__xludf.DUMMYFUNCTION("""COMPUTED_VALUE"""),"application/pdf")</f>
        <v>application/pdf</v>
      </c>
    </row>
    <row r="2187">
      <c r="A2187" s="339" t="str">
        <f>IFERROR(__xludf.DUMMYFUNCTION("""COMPUTED_VALUE"""),"10.1016/j.cedpsych.2019.101834 (1)")</f>
        <v>10.1016/j.cedpsych.2019.101834 (1)</v>
      </c>
      <c r="B2187" s="445" t="str">
        <f>IFERROR(__xludf.DUMMYFUNCTION("""COMPUTED_VALUE"""),"https://drive.google.com/file/d/173fkDD-W6UdkuvhpeNByBmtxeTw4Z_wK/view?usp=drivesdk")</f>
        <v>https://drive.google.com/file/d/173fkDD-W6UdkuvhpeNByBmtxeTw4Z_wK/view?usp=drivesdk</v>
      </c>
      <c r="C2187" s="339" t="str">
        <f>IFERROR(__xludf.DUMMYFUNCTION("""COMPUTED_VALUE"""),"10.1016--j.cedpsych.2019.101834 (1).pdf")</f>
        <v>10.1016--j.cedpsych.2019.101834 (1).pdf</v>
      </c>
      <c r="D2187" s="159" t="str">
        <f>IFERROR(__xludf.DUMMYFUNCTION("""COMPUTED_VALUE"""),"application/pdf")</f>
        <v>application/pdf</v>
      </c>
    </row>
    <row r="2188">
      <c r="A2188" s="339" t="str">
        <f>IFERROR(__xludf.DUMMYFUNCTION("""COMPUTED_VALUE"""),"10.1093/cercor/bhae287")</f>
        <v>10.1093/cercor/bhae287</v>
      </c>
      <c r="B2188" s="445" t="str">
        <f>IFERROR(__xludf.DUMMYFUNCTION("""COMPUTED_VALUE"""),"https://drive.google.com/file/d/14nYmC7FjK_8nc1vRJW0Zz61S13ZtNZZD/view?usp=drivesdk")</f>
        <v>https://drive.google.com/file/d/14nYmC7FjK_8nc1vRJW0Zz61S13ZtNZZD/view?usp=drivesdk</v>
      </c>
      <c r="C2188" s="339" t="str">
        <f>IFERROR(__xludf.DUMMYFUNCTION("""COMPUTED_VALUE"""),"10.1093--cercor--bhae287.pdf")</f>
        <v>10.1093--cercor--bhae287.pdf</v>
      </c>
      <c r="D2188" s="159" t="str">
        <f>IFERROR(__xludf.DUMMYFUNCTION("""COMPUTED_VALUE"""),"application/pdf")</f>
        <v>application/pdf</v>
      </c>
    </row>
    <row r="2189">
      <c r="A2189" s="339" t="str">
        <f>IFERROR(__xludf.DUMMYFUNCTION("""COMPUTED_VALUE"""),"10.1038/s41398-024-02799-x")</f>
        <v>10.1038/s41398-024-02799-x</v>
      </c>
      <c r="B2189" s="445" t="str">
        <f>IFERROR(__xludf.DUMMYFUNCTION("""COMPUTED_VALUE"""),"https://drive.google.com/file/d/1SH8bEWkApCXuWDb-OQ37ytGhPIgVUVKv/view?usp=drivesdk")</f>
        <v>https://drive.google.com/file/d/1SH8bEWkApCXuWDb-OQ37ytGhPIgVUVKv/view?usp=drivesdk</v>
      </c>
      <c r="C2189" s="339" t="str">
        <f>IFERROR(__xludf.DUMMYFUNCTION("""COMPUTED_VALUE"""),"10.1038--s41398-024-02799-x.pdf")</f>
        <v>10.1038--s41398-024-02799-x.pdf</v>
      </c>
      <c r="D2189" s="159" t="str">
        <f>IFERROR(__xludf.DUMMYFUNCTION("""COMPUTED_VALUE"""),"application/pdf")</f>
        <v>application/pdf</v>
      </c>
    </row>
    <row r="2190">
      <c r="A2190" s="339" t="str">
        <f>IFERROR(__xludf.DUMMYFUNCTION("""COMPUTED_VALUE"""),"10.1038/s41398-024-03045-0")</f>
        <v>10.1038/s41398-024-03045-0</v>
      </c>
      <c r="B2190" s="445" t="str">
        <f>IFERROR(__xludf.DUMMYFUNCTION("""COMPUTED_VALUE"""),"https://drive.google.com/file/d/1sBNrDZpWPCVxuOMHZk6G4ve2uMzdW0GR/view?usp=drivesdk")</f>
        <v>https://drive.google.com/file/d/1sBNrDZpWPCVxuOMHZk6G4ve2uMzdW0GR/view?usp=drivesdk</v>
      </c>
      <c r="C2190" s="339" t="str">
        <f>IFERROR(__xludf.DUMMYFUNCTION("""COMPUTED_VALUE"""),"10.1038--s41398-024-03045-0.pdf")</f>
        <v>10.1038--s41398-024-03045-0.pdf</v>
      </c>
      <c r="D2190" s="159" t="str">
        <f>IFERROR(__xludf.DUMMYFUNCTION("""COMPUTED_VALUE"""),"application/pdf")</f>
        <v>application/pdf</v>
      </c>
    </row>
    <row r="2191">
      <c r="A2191" s="339" t="str">
        <f>IFERROR(__xludf.DUMMYFUNCTION("""COMPUTED_VALUE"""),"sherman1977")</f>
        <v>sherman1977</v>
      </c>
      <c r="B2191" s="445" t="str">
        <f>IFERROR(__xludf.DUMMYFUNCTION("""COMPUTED_VALUE"""),"https://drive.google.com/file/d/1qjBC8rrE7PwCov9BjhlcqTser32l4tZA/view?usp=drivesdk")</f>
        <v>https://drive.google.com/file/d/1qjBC8rrE7PwCov9BjhlcqTser32l4tZA/view?usp=drivesdk</v>
      </c>
      <c r="C2191" s="339" t="str">
        <f>IFERROR(__xludf.DUMMYFUNCTION("""COMPUTED_VALUE"""),"sherman1977.pdf")</f>
        <v>sherman1977.pdf</v>
      </c>
      <c r="D2191" s="159" t="str">
        <f>IFERROR(__xludf.DUMMYFUNCTION("""COMPUTED_VALUE"""),"application/pdf")</f>
        <v>application/pdf</v>
      </c>
    </row>
    <row r="2192">
      <c r="A2192" s="339" t="str">
        <f>IFERROR(__xludf.DUMMYFUNCTION("""COMPUTED_VALUE"""),"10.1145/3502718.3524799")</f>
        <v>10.1145/3502718.3524799</v>
      </c>
      <c r="B2192" s="445" t="str">
        <f>IFERROR(__xludf.DUMMYFUNCTION("""COMPUTED_VALUE"""),"https://drive.google.com/file/d/1mXZlzeA7ImaWHW-1-dp8XLcO6q1dPoDC/view?usp=drivesdk")</f>
        <v>https://drive.google.com/file/d/1mXZlzeA7ImaWHW-1-dp8XLcO6q1dPoDC/view?usp=drivesdk</v>
      </c>
      <c r="C2192" s="339" t="str">
        <f>IFERROR(__xludf.DUMMYFUNCTION("""COMPUTED_VALUE"""),"10.1145--3502718.3524799.pdf")</f>
        <v>10.1145--3502718.3524799.pdf</v>
      </c>
      <c r="D2192" s="159" t="str">
        <f>IFERROR(__xludf.DUMMYFUNCTION("""COMPUTED_VALUE"""),"application/pdf")</f>
        <v>application/pdf</v>
      </c>
    </row>
    <row r="2193">
      <c r="A2193" s="339" t="str">
        <f>IFERROR(__xludf.DUMMYFUNCTION("""COMPUTED_VALUE"""),"10.1007/s12207-023-09483-3")</f>
        <v>10.1007/s12207-023-09483-3</v>
      </c>
      <c r="B2193" s="445" t="str">
        <f>IFERROR(__xludf.DUMMYFUNCTION("""COMPUTED_VALUE"""),"https://drive.google.com/file/d/1ZaI86uPaa7baLDKCDC8aFHiq1TG_6U8e/view?usp=drivesdk")</f>
        <v>https://drive.google.com/file/d/1ZaI86uPaa7baLDKCDC8aFHiq1TG_6U8e/view?usp=drivesdk</v>
      </c>
      <c r="C2193" s="339" t="str">
        <f>IFERROR(__xludf.DUMMYFUNCTION("""COMPUTED_VALUE"""),"10.1007--s12207-023-09483-3.pdf")</f>
        <v>10.1007--s12207-023-09483-3.pdf</v>
      </c>
      <c r="D2193" s="159" t="str">
        <f>IFERROR(__xludf.DUMMYFUNCTION("""COMPUTED_VALUE"""),"application/pdf")</f>
        <v>application/pdf</v>
      </c>
    </row>
    <row r="2194">
      <c r="A2194" s="339" t="str">
        <f>IFERROR(__xludf.DUMMYFUNCTION("""COMPUTED_VALUE"""),"10.1115/smasis2022-90793")</f>
        <v>10.1115/smasis2022-90793</v>
      </c>
      <c r="B2194" s="445" t="str">
        <f>IFERROR(__xludf.DUMMYFUNCTION("""COMPUTED_VALUE"""),"https://drive.google.com/file/d/1Drm8TiIplc2xWctkqkp7RXI61YfnBmqO/view?usp=drivesdk")</f>
        <v>https://drive.google.com/file/d/1Drm8TiIplc2xWctkqkp7RXI61YfnBmqO/view?usp=drivesdk</v>
      </c>
      <c r="C2194" s="339" t="str">
        <f>IFERROR(__xludf.DUMMYFUNCTION("""COMPUTED_VALUE"""),"10.1115--smasis2022-90793.pdf")</f>
        <v>10.1115--smasis2022-90793.pdf</v>
      </c>
      <c r="D2194" s="159" t="str">
        <f>IFERROR(__xludf.DUMMYFUNCTION("""COMPUTED_VALUE"""),"application/pdf")</f>
        <v>application/pdf</v>
      </c>
    </row>
    <row r="2195">
      <c r="A2195" s="339" t="str">
        <f>IFERROR(__xludf.DUMMYFUNCTION("""COMPUTED_VALUE"""),"10.1177/000312240106600203")</f>
        <v>10.1177/000312240106600203</v>
      </c>
      <c r="B2195" s="445" t="str">
        <f>IFERROR(__xludf.DUMMYFUNCTION("""COMPUTED_VALUE"""),"https://drive.google.com/file/d/17h6af7wzwkF4QRsTz2RzBpcXSmTayY4g/view?usp=drivesdk")</f>
        <v>https://drive.google.com/file/d/17h6af7wzwkF4QRsTz2RzBpcXSmTayY4g/view?usp=drivesdk</v>
      </c>
      <c r="C2195" s="339" t="str">
        <f>IFERROR(__xludf.DUMMYFUNCTION("""COMPUTED_VALUE"""),"10.1177--000312240106600203.pdf")</f>
        <v>10.1177--000312240106600203.pdf</v>
      </c>
      <c r="D2195" s="159" t="str">
        <f>IFERROR(__xludf.DUMMYFUNCTION("""COMPUTED_VALUE"""),"application/pdf")</f>
        <v>application/pdf</v>
      </c>
    </row>
    <row r="2196">
      <c r="A2196" s="339" t="str">
        <f>IFERROR(__xludf.DUMMYFUNCTION("""COMPUTED_VALUE"""),"10.1145/3434073.344464")</f>
        <v>10.1145/3434073.344464</v>
      </c>
      <c r="B2196" s="445" t="str">
        <f>IFERROR(__xludf.DUMMYFUNCTION("""COMPUTED_VALUE"""),"https://drive.google.com/file/d/1jA-l6wf88uMNXff3Yy2B20CKvW2xN9el/view?usp=drivesdk")</f>
        <v>https://drive.google.com/file/d/1jA-l6wf88uMNXff3Yy2B20CKvW2xN9el/view?usp=drivesdk</v>
      </c>
      <c r="C2196" s="339" t="str">
        <f>IFERROR(__xludf.DUMMYFUNCTION("""COMPUTED_VALUE"""),"10.1145--3434073.344464.pdf")</f>
        <v>10.1145--3434073.344464.pdf</v>
      </c>
      <c r="D2196" s="159" t="str">
        <f>IFERROR(__xludf.DUMMYFUNCTION("""COMPUTED_VALUE"""),"application/pdf")</f>
        <v>application/pdf</v>
      </c>
    </row>
    <row r="2197">
      <c r="A2197" s="339" t="str">
        <f>IFERROR(__xludf.DUMMYFUNCTION("""COMPUTED_VALUE"""),"10.1109/icse48619.2023.00155")</f>
        <v>10.1109/icse48619.2023.00155</v>
      </c>
      <c r="B2197" s="445" t="str">
        <f>IFERROR(__xludf.DUMMYFUNCTION("""COMPUTED_VALUE"""),"https://drive.google.com/file/d/11Hg2Sukzbg5o6HDk3g_yQxPDnJtw-nua/view?usp=drivesdk")</f>
        <v>https://drive.google.com/file/d/11Hg2Sukzbg5o6HDk3g_yQxPDnJtw-nua/view?usp=drivesdk</v>
      </c>
      <c r="C2197" s="339" t="str">
        <f>IFERROR(__xludf.DUMMYFUNCTION("""COMPUTED_VALUE"""),"10.1109--icse48619.2023.00155.pdf")</f>
        <v>10.1109--icse48619.2023.00155.pdf</v>
      </c>
      <c r="D2197" s="159" t="str">
        <f>IFERROR(__xludf.DUMMYFUNCTION("""COMPUTED_VALUE"""),"application/pdf")</f>
        <v>application/pdf</v>
      </c>
    </row>
    <row r="2198">
      <c r="A2198" s="339" t="str">
        <f>IFERROR(__xludf.DUMMYFUNCTION("""COMPUTED_VALUE"""),"10.1111/cogs.13064")</f>
        <v>10.1111/cogs.13064</v>
      </c>
      <c r="B2198" s="445" t="str">
        <f>IFERROR(__xludf.DUMMYFUNCTION("""COMPUTED_VALUE"""),"https://drive.google.com/file/d/1uBYDPVKKupHGmpRbPGmpO5zE11kyQ26l/view?usp=drivesdk")</f>
        <v>https://drive.google.com/file/d/1uBYDPVKKupHGmpRbPGmpO5zE11kyQ26l/view?usp=drivesdk</v>
      </c>
      <c r="C2198" s="339" t="str">
        <f>IFERROR(__xludf.DUMMYFUNCTION("""COMPUTED_VALUE"""),"10.1111--cogs.13064.pdf")</f>
        <v>10.1111--cogs.13064.pdf</v>
      </c>
      <c r="D2198" s="159" t="str">
        <f>IFERROR(__xludf.DUMMYFUNCTION("""COMPUTED_VALUE"""),"application/pdf")</f>
        <v>application/pdf</v>
      </c>
    </row>
    <row r="2199">
      <c r="A2199" s="339" t="str">
        <f>IFERROR(__xludf.DUMMYFUNCTION("""COMPUTED_VALUE"""),"10.1145/3478431.3499298")</f>
        <v>10.1145/3478431.3499298</v>
      </c>
      <c r="B2199" s="445" t="str">
        <f>IFERROR(__xludf.DUMMYFUNCTION("""COMPUTED_VALUE"""),"https://drive.google.com/file/d/1X2kQvhIhMfV3I9kfQvqMKBJg7CY7B8IR/view?usp=drivesdk")</f>
        <v>https://drive.google.com/file/d/1X2kQvhIhMfV3I9kfQvqMKBJg7CY7B8IR/view?usp=drivesdk</v>
      </c>
      <c r="C2199" s="339" t="str">
        <f>IFERROR(__xludf.DUMMYFUNCTION("""COMPUTED_VALUE"""),"10.1145--3478431.3499298.pdf")</f>
        <v>10.1145--3478431.3499298.pdf</v>
      </c>
      <c r="D2199" s="159" t="str">
        <f>IFERROR(__xludf.DUMMYFUNCTION("""COMPUTED_VALUE"""),"application/pdf")</f>
        <v>application/pdf</v>
      </c>
    </row>
    <row r="2200">
      <c r="A2200" s="339" t="str">
        <f>IFERROR(__xludf.DUMMYFUNCTION("""COMPUTED_VALUE"""),"10.1177/02676583221104604")</f>
        <v>10.1177/02676583221104604</v>
      </c>
      <c r="B2200" s="445" t="str">
        <f>IFERROR(__xludf.DUMMYFUNCTION("""COMPUTED_VALUE"""),"https://drive.google.com/file/d/1p0fL8mIok72waO4C-1fbLD8yHvBp2mr3/view?usp=drivesdk")</f>
        <v>https://drive.google.com/file/d/1p0fL8mIok72waO4C-1fbLD8yHvBp2mr3/view?usp=drivesdk</v>
      </c>
      <c r="C2200" s="339" t="str">
        <f>IFERROR(__xludf.DUMMYFUNCTION("""COMPUTED_VALUE"""),"10.1177--02676583221104604.pdf")</f>
        <v>10.1177--02676583221104604.pdf</v>
      </c>
      <c r="D2200" s="159" t="str">
        <f>IFERROR(__xludf.DUMMYFUNCTION("""COMPUTED_VALUE"""),"application/pdf")</f>
        <v>application/pdf</v>
      </c>
    </row>
    <row r="2201">
      <c r="A2201" s="339" t="str">
        <f>IFERROR(__xludf.DUMMYFUNCTION("""COMPUTED_VALUE"""),"10.1093/jopart/muu053")</f>
        <v>10.1093/jopart/muu053</v>
      </c>
      <c r="B2201" s="445" t="str">
        <f>IFERROR(__xludf.DUMMYFUNCTION("""COMPUTED_VALUE"""),"https://drive.google.com/file/d/1LfQ73kQWPV7KpOSIJxFvAF1LaP-iQAW_/view?usp=drivesdk")</f>
        <v>https://drive.google.com/file/d/1LfQ73kQWPV7KpOSIJxFvAF1LaP-iQAW_/view?usp=drivesdk</v>
      </c>
      <c r="C2201" s="339" t="str">
        <f>IFERROR(__xludf.DUMMYFUNCTION("""COMPUTED_VALUE"""),"10.1093--jopart--muu053.pdf")</f>
        <v>10.1093--jopart--muu053.pdf</v>
      </c>
      <c r="D2201" s="159" t="str">
        <f>IFERROR(__xludf.DUMMYFUNCTION("""COMPUTED_VALUE"""),"application/pdf")</f>
        <v>application/pdf</v>
      </c>
    </row>
    <row r="2202">
      <c r="A2202" s="339" t="str">
        <f>IFERROR(__xludf.DUMMYFUNCTION("""COMPUTED_VALUE"""),"10.1017/s0272263105050138 (1)")</f>
        <v>10.1017/s0272263105050138 (1)</v>
      </c>
      <c r="B2202" s="445" t="str">
        <f>IFERROR(__xludf.DUMMYFUNCTION("""COMPUTED_VALUE"""),"https://drive.google.com/file/d/1wHAtjOgCu-cvH6R6z6Dncg0MyDPv9DBr/view?usp=drivesdk")</f>
        <v>https://drive.google.com/file/d/1wHAtjOgCu-cvH6R6z6Dncg0MyDPv9DBr/view?usp=drivesdk</v>
      </c>
      <c r="C2202" s="339" t="str">
        <f>IFERROR(__xludf.DUMMYFUNCTION("""COMPUTED_VALUE"""),"10.1017--S0272263105050138 (1).pdf")</f>
        <v>10.1017--S0272263105050138 (1).pdf</v>
      </c>
      <c r="D2202" s="159" t="str">
        <f>IFERROR(__xludf.DUMMYFUNCTION("""COMPUTED_VALUE"""),"application/pdf")</f>
        <v>application/pdf</v>
      </c>
    </row>
    <row r="2203">
      <c r="A2203" s="339" t="str">
        <f>IFERROR(__xludf.DUMMYFUNCTION("""COMPUTED_VALUE"""),"10.1016/j.jad.2024.05.116")</f>
        <v>10.1016/j.jad.2024.05.116</v>
      </c>
      <c r="B2203" s="445" t="str">
        <f>IFERROR(__xludf.DUMMYFUNCTION("""COMPUTED_VALUE"""),"https://drive.google.com/file/d/1-k-r-v5_nRx62ESkr8l1LXmJ__KwJw-E/view?usp=drivesdk")</f>
        <v>https://drive.google.com/file/d/1-k-r-v5_nRx62ESkr8l1LXmJ__KwJw-E/view?usp=drivesdk</v>
      </c>
      <c r="C2203" s="339" t="str">
        <f>IFERROR(__xludf.DUMMYFUNCTION("""COMPUTED_VALUE"""),"10.1016--j.jad.2024.05.116.pdf")</f>
        <v>10.1016--j.jad.2024.05.116.pdf</v>
      </c>
      <c r="D2203" s="159" t="str">
        <f>IFERROR(__xludf.DUMMYFUNCTION("""COMPUTED_VALUE"""),"application/pdf")</f>
        <v>application/pdf</v>
      </c>
    </row>
    <row r="2204">
      <c r="A2204" s="339" t="str">
        <f>IFERROR(__xludf.DUMMYFUNCTION("""COMPUTED_VALUE"""),"10.1177/07419325211054209")</f>
        <v>10.1177/07419325211054209</v>
      </c>
      <c r="B2204" s="445" t="str">
        <f>IFERROR(__xludf.DUMMYFUNCTION("""COMPUTED_VALUE"""),"https://drive.google.com/file/d/18lTtr2PaagFl9Dx2Fj1CQX4Y5tFnS3-G/view?usp=drivesdk")</f>
        <v>https://drive.google.com/file/d/18lTtr2PaagFl9Dx2Fj1CQX4Y5tFnS3-G/view?usp=drivesdk</v>
      </c>
      <c r="C2204" s="339" t="str">
        <f>IFERROR(__xludf.DUMMYFUNCTION("""COMPUTED_VALUE"""),"10.1177--07419325211054209.pdf")</f>
        <v>10.1177--07419325211054209.pdf</v>
      </c>
      <c r="D2204" s="159" t="str">
        <f>IFERROR(__xludf.DUMMYFUNCTION("""COMPUTED_VALUE"""),"application/pdf")</f>
        <v>application/pdf</v>
      </c>
    </row>
    <row r="2205">
      <c r="A2205" s="339" t="str">
        <f>IFERROR(__xludf.DUMMYFUNCTION("""COMPUTED_VALUE"""),"10.1016/j.cogdev.2022.101252")</f>
        <v>10.1016/j.cogdev.2022.101252</v>
      </c>
      <c r="B2205" s="445" t="str">
        <f>IFERROR(__xludf.DUMMYFUNCTION("""COMPUTED_VALUE"""),"https://drive.google.com/file/d/1e7uwhmg4WfBHboBpLfEjOvwaRDuWE6yP/view?usp=drivesdk")</f>
        <v>https://drive.google.com/file/d/1e7uwhmg4WfBHboBpLfEjOvwaRDuWE6yP/view?usp=drivesdk</v>
      </c>
      <c r="C2205" s="339" t="str">
        <f>IFERROR(__xludf.DUMMYFUNCTION("""COMPUTED_VALUE"""),"10.1016--j.cogdev.2022.101252.pdf")</f>
        <v>10.1016--j.cogdev.2022.101252.pdf</v>
      </c>
      <c r="D2205" s="159" t="str">
        <f>IFERROR(__xludf.DUMMYFUNCTION("""COMPUTED_VALUE"""),"application/pdf")</f>
        <v>application/pdf</v>
      </c>
    </row>
    <row r="2206">
      <c r="A2206" s="339" t="str">
        <f>IFERROR(__xludf.DUMMYFUNCTION("""COMPUTED_VALUE"""),"10.1093/jcr/ucac017")</f>
        <v>10.1093/jcr/ucac017</v>
      </c>
      <c r="B2206" s="445" t="str">
        <f>IFERROR(__xludf.DUMMYFUNCTION("""COMPUTED_VALUE"""),"https://drive.google.com/file/d/1Hbaj4soNoRer2LexyrCcG27zgcEO-WRP/view?usp=drivesdk")</f>
        <v>https://drive.google.com/file/d/1Hbaj4soNoRer2LexyrCcG27zgcEO-WRP/view?usp=drivesdk</v>
      </c>
      <c r="C2206" s="339" t="str">
        <f>IFERROR(__xludf.DUMMYFUNCTION("""COMPUTED_VALUE"""),"10.1093--jcr--ucac017.pdf")</f>
        <v>10.1093--jcr--ucac017.pdf</v>
      </c>
      <c r="D2206" s="159" t="str">
        <f>IFERROR(__xludf.DUMMYFUNCTION("""COMPUTED_VALUE"""),"application/pdf")</f>
        <v>application/pdf</v>
      </c>
    </row>
    <row r="2207">
      <c r="A2207" s="339" t="str">
        <f>IFERROR(__xludf.DUMMYFUNCTION("""COMPUTED_VALUE"""),"10.1111/bjop.12522")</f>
        <v>10.1111/bjop.12522</v>
      </c>
      <c r="B2207" s="445" t="str">
        <f>IFERROR(__xludf.DUMMYFUNCTION("""COMPUTED_VALUE"""),"https://drive.google.com/file/d/1QKNLq74KH1Q68hjyhxCeyjSmCHkUJXwb/view?usp=drivesdk")</f>
        <v>https://drive.google.com/file/d/1QKNLq74KH1Q68hjyhxCeyjSmCHkUJXwb/view?usp=drivesdk</v>
      </c>
      <c r="C2207" s="339" t="str">
        <f>IFERROR(__xludf.DUMMYFUNCTION("""COMPUTED_VALUE"""),"10.1111--bjop.12522.pdf")</f>
        <v>10.1111--bjop.12522.pdf</v>
      </c>
      <c r="D2207" s="159" t="str">
        <f>IFERROR(__xludf.DUMMYFUNCTION("""COMPUTED_VALUE"""),"application/pdf")</f>
        <v>application/pdf</v>
      </c>
    </row>
    <row r="2208">
      <c r="A2208" s="339" t="str">
        <f>IFERROR(__xludf.DUMMYFUNCTION("""COMPUTED_VALUE"""),"10.1016/j.cedpsych.2009.06.005 (1)")</f>
        <v>10.1016/j.cedpsych.2009.06.005 (1)</v>
      </c>
      <c r="B2208" s="445" t="str">
        <f>IFERROR(__xludf.DUMMYFUNCTION("""COMPUTED_VALUE"""),"https://drive.google.com/file/d/1SJEY-x4wa_wDRqvN70ZyfGEV1oV8EsNy/view?usp=drivesdk")</f>
        <v>https://drive.google.com/file/d/1SJEY-x4wa_wDRqvN70ZyfGEV1oV8EsNy/view?usp=drivesdk</v>
      </c>
      <c r="C2208" s="339" t="str">
        <f>IFERROR(__xludf.DUMMYFUNCTION("""COMPUTED_VALUE"""),"10.1016--j.cedpsych.2009.06.005 (1).pdf")</f>
        <v>10.1016--j.cedpsych.2009.06.005 (1).pdf</v>
      </c>
      <c r="D2208" s="159" t="str">
        <f>IFERROR(__xludf.DUMMYFUNCTION("""COMPUTED_VALUE"""),"application/pdf")</f>
        <v>application/pdf</v>
      </c>
    </row>
    <row r="2209">
      <c r="A2209" s="339" t="str">
        <f>IFERROR(__xludf.DUMMYFUNCTION("""COMPUTED_VALUE"""),"10.1017/s0003055422000107")</f>
        <v>10.1017/s0003055422000107</v>
      </c>
      <c r="B2209" s="445" t="str">
        <f>IFERROR(__xludf.DUMMYFUNCTION("""COMPUTED_VALUE"""),"https://drive.google.com/file/d/1OYdLeDrhGvfEQhgtmuKBjOHZCr1fXMHM/view?usp=drivesdk")</f>
        <v>https://drive.google.com/file/d/1OYdLeDrhGvfEQhgtmuKBjOHZCr1fXMHM/view?usp=drivesdk</v>
      </c>
      <c r="C2209" s="339" t="str">
        <f>IFERROR(__xludf.DUMMYFUNCTION("""COMPUTED_VALUE"""),"10.1017--s0003055422000107.pdf")</f>
        <v>10.1017--s0003055422000107.pdf</v>
      </c>
      <c r="D2209" s="159" t="str">
        <f>IFERROR(__xludf.DUMMYFUNCTION("""COMPUTED_VALUE"""),"application/pdf")</f>
        <v>application/pdf</v>
      </c>
    </row>
    <row r="2210">
      <c r="A2210" s="339" t="str">
        <f>IFERROR(__xludf.DUMMYFUNCTION("""COMPUTED_VALUE"""),"10.1016/j.appet.2024.107672")</f>
        <v>10.1016/j.appet.2024.107672</v>
      </c>
      <c r="B2210" s="445" t="str">
        <f>IFERROR(__xludf.DUMMYFUNCTION("""COMPUTED_VALUE"""),"https://drive.google.com/file/d/1K0udcraFcCX8OApcH6A6jlQOyYBta1Y0/view?usp=drivesdk")</f>
        <v>https://drive.google.com/file/d/1K0udcraFcCX8OApcH6A6jlQOyYBta1Y0/view?usp=drivesdk</v>
      </c>
      <c r="C2210" s="339" t="str">
        <f>IFERROR(__xludf.DUMMYFUNCTION("""COMPUTED_VALUE"""),"10.1016--j.appet.2024.107672.pdf")</f>
        <v>10.1016--j.appet.2024.107672.pdf</v>
      </c>
      <c r="D2210" s="159" t="str">
        <f>IFERROR(__xludf.DUMMYFUNCTION("""COMPUTED_VALUE"""),"application/pdf")</f>
        <v>application/pdf</v>
      </c>
    </row>
    <row r="2211">
      <c r="A2211" s="339" t="str">
        <f>IFERROR(__xludf.DUMMYFUNCTION("""COMPUTED_VALUE"""),"10.1037/edu0000743")</f>
        <v>10.1037/edu0000743</v>
      </c>
      <c r="B2211" s="445" t="str">
        <f>IFERROR(__xludf.DUMMYFUNCTION("""COMPUTED_VALUE"""),"https://drive.google.com/file/d/1mE8qdVgu7-5CuiGl4hkR4oOcSO_6ViAH/view?usp=drivesdk")</f>
        <v>https://drive.google.com/file/d/1mE8qdVgu7-5CuiGl4hkR4oOcSO_6ViAH/view?usp=drivesdk</v>
      </c>
      <c r="C2211" s="339" t="str">
        <f>IFERROR(__xludf.DUMMYFUNCTION("""COMPUTED_VALUE"""),"10.1037--edu0000743.pdf")</f>
        <v>10.1037--edu0000743.pdf</v>
      </c>
      <c r="D2211" s="159" t="str">
        <f>IFERROR(__xludf.DUMMYFUNCTION("""COMPUTED_VALUE"""),"application/pdf")</f>
        <v>application/pdf</v>
      </c>
    </row>
    <row r="2212">
      <c r="A2212" s="339" t="str">
        <f>IFERROR(__xludf.DUMMYFUNCTION("""COMPUTED_VALUE"""),"10.1037/cou0000495")</f>
        <v>10.1037/cou0000495</v>
      </c>
      <c r="B2212" s="445" t="str">
        <f>IFERROR(__xludf.DUMMYFUNCTION("""COMPUTED_VALUE"""),"https://drive.google.com/file/d/1CScbuvTVZqO_yy9IG-SnLk08RYpIGsAI/view?usp=drivesdk")</f>
        <v>https://drive.google.com/file/d/1CScbuvTVZqO_yy9IG-SnLk08RYpIGsAI/view?usp=drivesdk</v>
      </c>
      <c r="C2212" s="339" t="str">
        <f>IFERROR(__xludf.DUMMYFUNCTION("""COMPUTED_VALUE"""),"10.1037--cou0000495.pdf")</f>
        <v>10.1037--cou0000495.pdf</v>
      </c>
      <c r="D2212" s="159" t="str">
        <f>IFERROR(__xludf.DUMMYFUNCTION("""COMPUTED_VALUE"""),"application/pdf")</f>
        <v>application/pdf</v>
      </c>
    </row>
    <row r="2213">
      <c r="A2213" s="339" t="str">
        <f>IFERROR(__xludf.DUMMYFUNCTION("""COMPUTED_VALUE"""),"10.1002/jaba.891")</f>
        <v>10.1002/jaba.891</v>
      </c>
      <c r="B2213" s="445" t="str">
        <f>IFERROR(__xludf.DUMMYFUNCTION("""COMPUTED_VALUE"""),"https://drive.google.com/file/d/10CsTyC4ydL8U4rO51qz2YrX7o2g2Kqnr/view?usp=drivesdk")</f>
        <v>https://drive.google.com/file/d/10CsTyC4ydL8U4rO51qz2YrX7o2g2Kqnr/view?usp=drivesdk</v>
      </c>
      <c r="C2213" s="339" t="str">
        <f>IFERROR(__xludf.DUMMYFUNCTION("""COMPUTED_VALUE"""),"10.1002--jaba.891.pdf")</f>
        <v>10.1002--jaba.891.pdf</v>
      </c>
      <c r="D2213" s="159" t="str">
        <f>IFERROR(__xludf.DUMMYFUNCTION("""COMPUTED_VALUE"""),"application/pdf")</f>
        <v>application/pdf</v>
      </c>
    </row>
    <row r="2214">
      <c r="A2214" s="339" t="str">
        <f>IFERROR(__xludf.DUMMYFUNCTION("""COMPUTED_VALUE"""),"10.1093/qje/qjac035")</f>
        <v>10.1093/qje/qjac035</v>
      </c>
      <c r="B2214" s="445" t="str">
        <f>IFERROR(__xludf.DUMMYFUNCTION("""COMPUTED_VALUE"""),"https://drive.google.com/file/d/16d2ldquzreLFuakSzFz58RVXbtteI_5K/view?usp=drivesdk")</f>
        <v>https://drive.google.com/file/d/16d2ldquzreLFuakSzFz58RVXbtteI_5K/view?usp=drivesdk</v>
      </c>
      <c r="C2214" s="339" t="str">
        <f>IFERROR(__xludf.DUMMYFUNCTION("""COMPUTED_VALUE"""),"10.1093--qje--qjac035.pdf")</f>
        <v>10.1093--qje--qjac035.pdf</v>
      </c>
      <c r="D2214" s="159" t="str">
        <f>IFERROR(__xludf.DUMMYFUNCTION("""COMPUTED_VALUE"""),"application/pdf")</f>
        <v>application/pdf</v>
      </c>
    </row>
    <row r="2215">
      <c r="A2215" s="339" t="str">
        <f>IFERROR(__xludf.DUMMYFUNCTION("""COMPUTED_VALUE"""),"10.1016/j.chb.2023.107973")</f>
        <v>10.1016/j.chb.2023.107973</v>
      </c>
      <c r="B2215" s="445" t="str">
        <f>IFERROR(__xludf.DUMMYFUNCTION("""COMPUTED_VALUE"""),"https://drive.google.com/file/d/1ro_fyV-wZWsB4ZKhbZrotX3oDn-r2-xT/view?usp=drivesdk")</f>
        <v>https://drive.google.com/file/d/1ro_fyV-wZWsB4ZKhbZrotX3oDn-r2-xT/view?usp=drivesdk</v>
      </c>
      <c r="C2215" s="339" t="str">
        <f>IFERROR(__xludf.DUMMYFUNCTION("""COMPUTED_VALUE"""),"10.1016--j.chb.2023.107973.pdf")</f>
        <v>10.1016--j.chb.2023.107973.pdf</v>
      </c>
      <c r="D2215" s="159" t="str">
        <f>IFERROR(__xludf.DUMMYFUNCTION("""COMPUTED_VALUE"""),"application/pdf")</f>
        <v>application/pdf</v>
      </c>
    </row>
    <row r="2216">
      <c r="A2216" s="339" t="str">
        <f>IFERROR(__xludf.DUMMYFUNCTION("""COMPUTED_VALUE"""),"10.1016/j.trip.2023.100783")</f>
        <v>10.1016/j.trip.2023.100783</v>
      </c>
      <c r="B2216" s="445" t="str">
        <f>IFERROR(__xludf.DUMMYFUNCTION("""COMPUTED_VALUE"""),"https://drive.google.com/file/d/1P7wlov__UmjWQsVtemyTGgOjNFpWrGLT/view?usp=drivesdk")</f>
        <v>https://drive.google.com/file/d/1P7wlov__UmjWQsVtemyTGgOjNFpWrGLT/view?usp=drivesdk</v>
      </c>
      <c r="C2216" s="339" t="str">
        <f>IFERROR(__xludf.DUMMYFUNCTION("""COMPUTED_VALUE"""),"10.1016--j.trip.2023.100783.pdf")</f>
        <v>10.1016--j.trip.2023.100783.pdf</v>
      </c>
      <c r="D2216" s="159" t="str">
        <f>IFERROR(__xludf.DUMMYFUNCTION("""COMPUTED_VALUE"""),"application/pdf")</f>
        <v>application/pdf</v>
      </c>
    </row>
    <row r="2217">
      <c r="A2217" s="339" t="str">
        <f>IFERROR(__xludf.DUMMYFUNCTION("""COMPUTED_VALUE"""),"10.1177/095679762311779")</f>
        <v>10.1177/095679762311779</v>
      </c>
      <c r="B2217" s="445" t="str">
        <f>IFERROR(__xludf.DUMMYFUNCTION("""COMPUTED_VALUE"""),"https://drive.google.com/file/d/1YtaLiYfK1m9H_UEhXEMBosj1mg_EXC73/view?usp=drivesdk")</f>
        <v>https://drive.google.com/file/d/1YtaLiYfK1m9H_UEhXEMBosj1mg_EXC73/view?usp=drivesdk</v>
      </c>
      <c r="C2217" s="339" t="str">
        <f>IFERROR(__xludf.DUMMYFUNCTION("""COMPUTED_VALUE"""),"10.1177--095679762311779.pdf")</f>
        <v>10.1177--095679762311779.pdf</v>
      </c>
      <c r="D2217" s="159" t="str">
        <f>IFERROR(__xludf.DUMMYFUNCTION("""COMPUTED_VALUE"""),"application/pdf")</f>
        <v>application/pdf</v>
      </c>
    </row>
    <row r="2218">
      <c r="A2218" s="339" t="str">
        <f>IFERROR(__xludf.DUMMYFUNCTION("""COMPUTED_VALUE"""),"10.1111/j.1467-9280.2007.01961")</f>
        <v>10.1111/j.1467-9280.2007.01961</v>
      </c>
      <c r="B2218" s="445" t="str">
        <f>IFERROR(__xludf.DUMMYFUNCTION("""COMPUTED_VALUE"""),"https://drive.google.com/file/d/10wZFu_n_OFKyepb7qeNIdy0suTAbVMCP/view?usp=drivesdk")</f>
        <v>https://drive.google.com/file/d/10wZFu_n_OFKyepb7qeNIdy0suTAbVMCP/view?usp=drivesdk</v>
      </c>
      <c r="C2218" s="339" t="str">
        <f>IFERROR(__xludf.DUMMYFUNCTION("""COMPUTED_VALUE"""),"10.1111--j.1467-9280.2007.01961.pdf")</f>
        <v>10.1111--j.1467-9280.2007.01961.pdf</v>
      </c>
      <c r="D2218" s="159" t="str">
        <f>IFERROR(__xludf.DUMMYFUNCTION("""COMPUTED_VALUE"""),"application/pdf")</f>
        <v>application/pdf</v>
      </c>
    </row>
    <row r="2219">
      <c r="A2219" s="339" t="str">
        <f>IFERROR(__xludf.DUMMYFUNCTION("""COMPUTED_VALUE"""),"10.1038/s41562-022-01319-5")</f>
        <v>10.1038/s41562-022-01319-5</v>
      </c>
      <c r="B2219" s="445" t="str">
        <f>IFERROR(__xludf.DUMMYFUNCTION("""COMPUTED_VALUE"""),"https://drive.google.com/file/d/18oqZDGEq6caeP-NGNtFHInOSTwPiA0Ie/view?usp=drivesdk")</f>
        <v>https://drive.google.com/file/d/18oqZDGEq6caeP-NGNtFHInOSTwPiA0Ie/view?usp=drivesdk</v>
      </c>
      <c r="C2219" s="339" t="str">
        <f>IFERROR(__xludf.DUMMYFUNCTION("""COMPUTED_VALUE"""),"10.1038--s41562-022-01319-5.pdf")</f>
        <v>10.1038--s41562-022-01319-5.pdf</v>
      </c>
      <c r="D2219" s="159" t="str">
        <f>IFERROR(__xludf.DUMMYFUNCTION("""COMPUTED_VALUE"""),"application/pdf")</f>
        <v>application/pdf</v>
      </c>
    </row>
    <row r="2220">
      <c r="A2220" s="339" t="str">
        <f>IFERROR(__xludf.DUMMYFUNCTION("""COMPUTED_VALUE"""),"10.1002/bin.1885")</f>
        <v>10.1002/bin.1885</v>
      </c>
      <c r="B2220" s="445" t="str">
        <f>IFERROR(__xludf.DUMMYFUNCTION("""COMPUTED_VALUE"""),"https://drive.google.com/file/d/17z_2upjofelI2OBtJbJp1UqmJ0j-f13C/view?usp=drivesdk")</f>
        <v>https://drive.google.com/file/d/17z_2upjofelI2OBtJbJp1UqmJ0j-f13C/view?usp=drivesdk</v>
      </c>
      <c r="C2220" s="339" t="str">
        <f>IFERROR(__xludf.DUMMYFUNCTION("""COMPUTED_VALUE"""),"10.1002--bin.1885.pdf")</f>
        <v>10.1002--bin.1885.pdf</v>
      </c>
      <c r="D2220" s="159" t="str">
        <f>IFERROR(__xludf.DUMMYFUNCTION("""COMPUTED_VALUE"""),"application/pdf")</f>
        <v>application/pdf</v>
      </c>
    </row>
    <row r="2221">
      <c r="A2221" s="339" t="str">
        <f>IFERROR(__xludf.DUMMYFUNCTION("""COMPUTED_VALUE"""),"10.7556/jaoa.2019.052")</f>
        <v>10.7556/jaoa.2019.052</v>
      </c>
      <c r="B2221" s="445" t="str">
        <f>IFERROR(__xludf.DUMMYFUNCTION("""COMPUTED_VALUE"""),"https://drive.google.com/file/d/1MhWCR6IKjGFJF9T8GMSxBcbSJPBNMYrA/view?usp=drivesdk")</f>
        <v>https://drive.google.com/file/d/1MhWCR6IKjGFJF9T8GMSxBcbSJPBNMYrA/view?usp=drivesdk</v>
      </c>
      <c r="C2221" s="339" t="str">
        <f>IFERROR(__xludf.DUMMYFUNCTION("""COMPUTED_VALUE"""),"10.7556--jaoa.2019.052.pdf")</f>
        <v>10.7556--jaoa.2019.052.pdf</v>
      </c>
      <c r="D2221" s="159" t="str">
        <f>IFERROR(__xludf.DUMMYFUNCTION("""COMPUTED_VALUE"""),"application/pdf")</f>
        <v>application/pdf</v>
      </c>
    </row>
    <row r="2222">
      <c r="A2222" s="339" t="str">
        <f>IFERROR(__xludf.DUMMYFUNCTION("""COMPUTED_VALUE"""),"10.1016/j.jrp.2022.104232")</f>
        <v>10.1016/j.jrp.2022.104232</v>
      </c>
      <c r="B2222" s="445" t="str">
        <f>IFERROR(__xludf.DUMMYFUNCTION("""COMPUTED_VALUE"""),"https://drive.google.com/file/d/1xUH4wxkipPc8Kas_WlJgtBKgVF5A6I4J/view?usp=drivesdk")</f>
        <v>https://drive.google.com/file/d/1xUH4wxkipPc8Kas_WlJgtBKgVF5A6I4J/view?usp=drivesdk</v>
      </c>
      <c r="C2222" s="339" t="str">
        <f>IFERROR(__xludf.DUMMYFUNCTION("""COMPUTED_VALUE"""),"10.1016--j.jrp.2022.104232.pdf")</f>
        <v>10.1016--j.jrp.2022.104232.pdf</v>
      </c>
      <c r="D2222" s="159" t="str">
        <f>IFERROR(__xludf.DUMMYFUNCTION("""COMPUTED_VALUE"""),"application/pdf")</f>
        <v>application/pdf</v>
      </c>
    </row>
    <row r="2223">
      <c r="A2223" s="339" t="str">
        <f>IFERROR(__xludf.DUMMYFUNCTION("""COMPUTED_VALUE"""),"10.1523/jneurosci.2329-20.2021")</f>
        <v>10.1523/jneurosci.2329-20.2021</v>
      </c>
      <c r="B2223" s="445" t="str">
        <f>IFERROR(__xludf.DUMMYFUNCTION("""COMPUTED_VALUE"""),"https://drive.google.com/file/d/1BqL8Nw6PSYuS16ysmE6vXi0eI09OG5ne/view?usp=drivesdk")</f>
        <v>https://drive.google.com/file/d/1BqL8Nw6PSYuS16ysmE6vXi0eI09OG5ne/view?usp=drivesdk</v>
      </c>
      <c r="C2223" s="339" t="str">
        <f>IFERROR(__xludf.DUMMYFUNCTION("""COMPUTED_VALUE"""),"10.1523--jneurosci.2329-20.2021.pdf")</f>
        <v>10.1523--jneurosci.2329-20.2021.pdf</v>
      </c>
      <c r="D2223" s="159" t="str">
        <f>IFERROR(__xludf.DUMMYFUNCTION("""COMPUTED_VALUE"""),"application/pdf")</f>
        <v>application/pdf</v>
      </c>
    </row>
    <row r="2224">
      <c r="A2224" s="339" t="str">
        <f>IFERROR(__xludf.DUMMYFUNCTION("""COMPUTED_VALUE"""),"10.1016/j.chb.2022.107605")</f>
        <v>10.1016/j.chb.2022.107605</v>
      </c>
      <c r="B2224" s="445" t="str">
        <f>IFERROR(__xludf.DUMMYFUNCTION("""COMPUTED_VALUE"""),"https://drive.google.com/file/d/1Wz8QT5hG7UNmKNIGagdQfvGJIGaLqvL7/view?usp=drivesdk")</f>
        <v>https://drive.google.com/file/d/1Wz8QT5hG7UNmKNIGagdQfvGJIGaLqvL7/view?usp=drivesdk</v>
      </c>
      <c r="C2224" s="339" t="str">
        <f>IFERROR(__xludf.DUMMYFUNCTION("""COMPUTED_VALUE"""),"10.1016--j.chb.2022.107605.pdf")</f>
        <v>10.1016--j.chb.2022.107605.pdf</v>
      </c>
      <c r="D2224" s="159" t="str">
        <f>IFERROR(__xludf.DUMMYFUNCTION("""COMPUTED_VALUE"""),"application/pdf")</f>
        <v>application/pdf</v>
      </c>
    </row>
    <row r="2225">
      <c r="A2225" s="339" t="str">
        <f>IFERROR(__xludf.DUMMYFUNCTION("""COMPUTED_VALUE"""),"10.1257/aer.99.3.1053")</f>
        <v>10.1257/aer.99.3.1053</v>
      </c>
      <c r="B2225" s="445" t="str">
        <f>IFERROR(__xludf.DUMMYFUNCTION("""COMPUTED_VALUE"""),"https://drive.google.com/file/d/1K2zHMlHPam78S5DkPpEMV2Ne6_sMuV0c/view?usp=drivesdk")</f>
        <v>https://drive.google.com/file/d/1K2zHMlHPam78S5DkPpEMV2Ne6_sMuV0c/view?usp=drivesdk</v>
      </c>
      <c r="C2225" s="339" t="str">
        <f>IFERROR(__xludf.DUMMYFUNCTION("""COMPUTED_VALUE"""),"10.1257--aer.99.3.1053.pdf")</f>
        <v>10.1257--aer.99.3.1053.pdf</v>
      </c>
      <c r="D2225" s="159" t="str">
        <f>IFERROR(__xludf.DUMMYFUNCTION("""COMPUTED_VALUE"""),"application/pdf")</f>
        <v>application/pdf</v>
      </c>
    </row>
    <row r="2226">
      <c r="A2226" s="339" t="str">
        <f>IFERROR(__xludf.DUMMYFUNCTION("""COMPUTED_VALUE"""),"10.2196/20534")</f>
        <v>10.2196/20534</v>
      </c>
      <c r="B2226" s="445" t="str">
        <f>IFERROR(__xludf.DUMMYFUNCTION("""COMPUTED_VALUE"""),"https://drive.google.com/file/d/1YuPgvt-CwvvxVNuYav3yg8PfIXNdgR1B/view?usp=drivesdk")</f>
        <v>https://drive.google.com/file/d/1YuPgvt-CwvvxVNuYav3yg8PfIXNdgR1B/view?usp=drivesdk</v>
      </c>
      <c r="C2226" s="339" t="str">
        <f>IFERROR(__xludf.DUMMYFUNCTION("""COMPUTED_VALUE"""),"10.2196--20534.pdf")</f>
        <v>10.2196--20534.pdf</v>
      </c>
      <c r="D2226" s="159" t="str">
        <f>IFERROR(__xludf.DUMMYFUNCTION("""COMPUTED_VALUE"""),"application/pdf")</f>
        <v>application/pdf</v>
      </c>
    </row>
    <row r="2227">
      <c r="A2227" s="339" t="str">
        <f>IFERROR(__xludf.DUMMYFUNCTION("""COMPUTED_VALUE"""),"benson2019")</f>
        <v>benson2019</v>
      </c>
      <c r="B2227" s="445" t="str">
        <f>IFERROR(__xludf.DUMMYFUNCTION("""COMPUTED_VALUE"""),"https://drive.google.com/file/d/1_aQd2fiFR2BFUHay2TJmZ6uXOfDFwlyI/view?usp=drivesdk")</f>
        <v>https://drive.google.com/file/d/1_aQd2fiFR2BFUHay2TJmZ6uXOfDFwlyI/view?usp=drivesdk</v>
      </c>
      <c r="C2227" s="339" t="str">
        <f>IFERROR(__xludf.DUMMYFUNCTION("""COMPUTED_VALUE"""),"benson2019.pdf")</f>
        <v>benson2019.pdf</v>
      </c>
      <c r="D2227" s="159" t="str">
        <f>IFERROR(__xludf.DUMMYFUNCTION("""COMPUTED_VALUE"""),"application/pdf")</f>
        <v>application/pdf</v>
      </c>
    </row>
    <row r="2228">
      <c r="A2228" s="339" t="str">
        <f>IFERROR(__xludf.DUMMYFUNCTION("""COMPUTED_VALUE"""),"10.1073/pnas.2 015539118")</f>
        <v>10.1073/pnas.2 015539118</v>
      </c>
      <c r="B2228" s="445" t="str">
        <f>IFERROR(__xludf.DUMMYFUNCTION("""COMPUTED_VALUE"""),"https://drive.google.com/file/d/1d65j0saCEIanzMI-38I3fhweWKRYSiw2/view?usp=drivesdk")</f>
        <v>https://drive.google.com/file/d/1d65j0saCEIanzMI-38I3fhweWKRYSiw2/view?usp=drivesdk</v>
      </c>
      <c r="C2228" s="339" t="str">
        <f>IFERROR(__xludf.DUMMYFUNCTION("""COMPUTED_VALUE"""),"10.1073--pnas.2 015539118.pdf")</f>
        <v>10.1073--pnas.2 015539118.pdf</v>
      </c>
      <c r="D2228" s="159" t="str">
        <f>IFERROR(__xludf.DUMMYFUNCTION("""COMPUTED_VALUE"""),"application/pdf")</f>
        <v>application/pdf</v>
      </c>
    </row>
    <row r="2229">
      <c r="A2229" s="339" t="str">
        <f>IFERROR(__xludf.DUMMYFUNCTION("""COMPUTED_VALUE"""),"10.1073/pnas.212066811")</f>
        <v>10.1073/pnas.212066811</v>
      </c>
      <c r="B2229" s="445" t="str">
        <f>IFERROR(__xludf.DUMMYFUNCTION("""COMPUTED_VALUE"""),"https://drive.google.com/file/d/1EOobtRYPjKeO9_gYW4bu-_TIpK_PjuLA/view?usp=drivesdk")</f>
        <v>https://drive.google.com/file/d/1EOobtRYPjKeO9_gYW4bu-_TIpK_PjuLA/view?usp=drivesdk</v>
      </c>
      <c r="C2229" s="339" t="str">
        <f>IFERROR(__xludf.DUMMYFUNCTION("""COMPUTED_VALUE"""),"10.1073--pnas.212066811.pdf")</f>
        <v>10.1073--pnas.212066811.pdf</v>
      </c>
      <c r="D2229" s="159" t="str">
        <f>IFERROR(__xludf.DUMMYFUNCTION("""COMPUTED_VALUE"""),"application/pdf")</f>
        <v>application/pdf</v>
      </c>
    </row>
    <row r="2230">
      <c r="A2230" s="339" t="str">
        <f>IFERROR(__xludf.DUMMYFUNCTION("""COMPUTED_VALUE"""),"10.1162/rest.90.2.300 (1)")</f>
        <v>10.1162/rest.90.2.300 (1)</v>
      </c>
      <c r="B2230" s="445" t="str">
        <f>IFERROR(__xludf.DUMMYFUNCTION("""COMPUTED_VALUE"""),"https://drive.google.com/file/d/1UjbeLcg8Ef9iNN6OCfcfSjsOW-S8xlbA/view?usp=drivesdk")</f>
        <v>https://drive.google.com/file/d/1UjbeLcg8Ef9iNN6OCfcfSjsOW-S8xlbA/view?usp=drivesdk</v>
      </c>
      <c r="C2230" s="339" t="str">
        <f>IFERROR(__xludf.DUMMYFUNCTION("""COMPUTED_VALUE"""),"10.1162--rest.90.2.300 (1).pdf")</f>
        <v>10.1162--rest.90.2.300 (1).pdf</v>
      </c>
      <c r="D2230" s="159" t="str">
        <f>IFERROR(__xludf.DUMMYFUNCTION("""COMPUTED_VALUE"""),"application/pdf")</f>
        <v>application/pdf</v>
      </c>
    </row>
    <row r="2231">
      <c r="A2231" s="339" t="str">
        <f>IFERROR(__xludf.DUMMYFUNCTION("""COMPUTED_VALUE"""),"10.1257/mac.1.1.146 (1)")</f>
        <v>10.1257/mac.1.1.146 (1)</v>
      </c>
      <c r="B2231" s="445" t="str">
        <f>IFERROR(__xludf.DUMMYFUNCTION("""COMPUTED_VALUE"""),"https://drive.google.com/file/d/1D4Mi_2OBXIENWNgS-WkOzAsIz9d6XBcv/view?usp=drivesdk")</f>
        <v>https://drive.google.com/file/d/1D4Mi_2OBXIENWNgS-WkOzAsIz9d6XBcv/view?usp=drivesdk</v>
      </c>
      <c r="C2231" s="339" t="str">
        <f>IFERROR(__xludf.DUMMYFUNCTION("""COMPUTED_VALUE"""),"10.1257--mac.1.1.146 (1).pdf")</f>
        <v>10.1257--mac.1.1.146 (1).pdf</v>
      </c>
      <c r="D2231" s="159" t="str">
        <f>IFERROR(__xludf.DUMMYFUNCTION("""COMPUTED_VALUE"""),"application/pdf")</f>
        <v>application/pdf</v>
      </c>
    </row>
    <row r="2232">
      <c r="A2232" s="339" t="str">
        <f>IFERROR(__xludf.DUMMYFUNCTION("""COMPUTED_VALUE"""),"10.1257/mac.20130176 (1)")</f>
        <v>10.1257/mac.20130176 (1)</v>
      </c>
      <c r="B2232" s="445" t="str">
        <f>IFERROR(__xludf.DUMMYFUNCTION("""COMPUTED_VALUE"""),"https://drive.google.com/file/d/1E1qWlBKhonhY_3BaxJAyBmY0k-t23HiD/view?usp=drivesdk")</f>
        <v>https://drive.google.com/file/d/1E1qWlBKhonhY_3BaxJAyBmY0k-t23HiD/view?usp=drivesdk</v>
      </c>
      <c r="C2232" s="339" t="str">
        <f>IFERROR(__xludf.DUMMYFUNCTION("""COMPUTED_VALUE"""),"10.1257--mac.20130176 (1).pdf")</f>
        <v>10.1257--mac.20130176 (1).pdf</v>
      </c>
      <c r="D2232" s="159" t="str">
        <f>IFERROR(__xludf.DUMMYFUNCTION("""COMPUTED_VALUE"""),"application/pdf")</f>
        <v>application/pdf</v>
      </c>
    </row>
    <row r="2233">
      <c r="A2233" s="339" t="str">
        <f>IFERROR(__xludf.DUMMYFUNCTION("""COMPUTED_VALUE"""),"10.1017/s0007123421000557")</f>
        <v>10.1017/s0007123421000557</v>
      </c>
      <c r="B2233" s="445" t="str">
        <f>IFERROR(__xludf.DUMMYFUNCTION("""COMPUTED_VALUE"""),"https://drive.google.com/file/d/1YQ1rwTK8fHHydlCOqvw62rr4BQnhJ7v4/view?usp=drivesdk")</f>
        <v>https://drive.google.com/file/d/1YQ1rwTK8fHHydlCOqvw62rr4BQnhJ7v4/view?usp=drivesdk</v>
      </c>
      <c r="C2233" s="339" t="str">
        <f>IFERROR(__xludf.DUMMYFUNCTION("""COMPUTED_VALUE"""),"10.1017--s0007123421000557.pdf")</f>
        <v>10.1017--s0007123421000557.pdf</v>
      </c>
      <c r="D2233" s="159" t="str">
        <f>IFERROR(__xludf.DUMMYFUNCTION("""COMPUTED_VALUE"""),"application/pdf")</f>
        <v>application/pdf</v>
      </c>
    </row>
    <row r="2234">
      <c r="A2234" s="339" t="str">
        <f>IFERROR(__xludf.DUMMYFUNCTION("""COMPUTED_VALUE"""),"10.1177/2f10986111211035002")</f>
        <v>10.1177/2f10986111211035002</v>
      </c>
      <c r="B2234" s="445" t="str">
        <f>IFERROR(__xludf.DUMMYFUNCTION("""COMPUTED_VALUE"""),"https://drive.google.com/file/d/16pg9MWE7EmtXDgvjDW9mExWkGIxt2MYX/view?usp=drivesdk")</f>
        <v>https://drive.google.com/file/d/16pg9MWE7EmtXDgvjDW9mExWkGIxt2MYX/view?usp=drivesdk</v>
      </c>
      <c r="C2234" s="339" t="str">
        <f>IFERROR(__xludf.DUMMYFUNCTION("""COMPUTED_VALUE"""),"10.1177--2f10986111211035002.pdf")</f>
        <v>10.1177--2f10986111211035002.pdf</v>
      </c>
      <c r="D2234" s="159" t="str">
        <f>IFERROR(__xludf.DUMMYFUNCTION("""COMPUTED_VALUE"""),"application/pdf")</f>
        <v>application/pdf</v>
      </c>
    </row>
    <row r="2235">
      <c r="A2235" s="339" t="str">
        <f>IFERROR(__xludf.DUMMYFUNCTION("""COMPUTED_VALUE"""),"10.1037/lhb0000532")</f>
        <v>10.1037/lhb0000532</v>
      </c>
      <c r="B2235" s="445" t="str">
        <f>IFERROR(__xludf.DUMMYFUNCTION("""COMPUTED_VALUE"""),"https://drive.google.com/file/d/1pRBsytrBmWb0piV5bun6Rad2j51JyzSC/view?usp=drivesdk")</f>
        <v>https://drive.google.com/file/d/1pRBsytrBmWb0piV5bun6Rad2j51JyzSC/view?usp=drivesdk</v>
      </c>
      <c r="C2235" s="339" t="str">
        <f>IFERROR(__xludf.DUMMYFUNCTION("""COMPUTED_VALUE"""),"10.1037--lhb0000532.pdf")</f>
        <v>10.1037--lhb0000532.pdf</v>
      </c>
      <c r="D2235" s="159" t="str">
        <f>IFERROR(__xludf.DUMMYFUNCTION("""COMPUTED_VALUE"""),"application/pdf")</f>
        <v>application/pdf</v>
      </c>
    </row>
    <row r="2236">
      <c r="A2236" s="339" t="str">
        <f>IFERROR(__xludf.DUMMYFUNCTION("""COMPUTED_VALUE"""),"10.1038/s41598-022-24919-7")</f>
        <v>10.1038/s41598-022-24919-7</v>
      </c>
      <c r="B2236" s="445" t="str">
        <f>IFERROR(__xludf.DUMMYFUNCTION("""COMPUTED_VALUE"""),"https://drive.google.com/file/d/1U7jcEsjlgt0luv4Qd8Q7JmbBb7qRDTdD/view?usp=drivesdk")</f>
        <v>https://drive.google.com/file/d/1U7jcEsjlgt0luv4Qd8Q7JmbBb7qRDTdD/view?usp=drivesdk</v>
      </c>
      <c r="C2236" s="339" t="str">
        <f>IFERROR(__xludf.DUMMYFUNCTION("""COMPUTED_VALUE"""),"10.1038--s41598-022-24919-7.pdf")</f>
        <v>10.1038--s41598-022-24919-7.pdf</v>
      </c>
      <c r="D2236" s="159" t="str">
        <f>IFERROR(__xludf.DUMMYFUNCTION("""COMPUTED_VALUE"""),"application/pdf")</f>
        <v>application/pdf</v>
      </c>
    </row>
    <row r="2237">
      <c r="A2237" s="339" t="str">
        <f>IFERROR(__xludf.DUMMYFUNCTION("""COMPUTED_VALUE"""),"10.1093/geront/gnac158")</f>
        <v>10.1093/geront/gnac158</v>
      </c>
      <c r="B2237" s="445" t="str">
        <f>IFERROR(__xludf.DUMMYFUNCTION("""COMPUTED_VALUE"""),"https://drive.google.com/file/d/1LJ0WrqBtVRCt68G-AduIa1fUKucFOQw4/view?usp=drivesdk")</f>
        <v>https://drive.google.com/file/d/1LJ0WrqBtVRCt68G-AduIa1fUKucFOQw4/view?usp=drivesdk</v>
      </c>
      <c r="C2237" s="339" t="str">
        <f>IFERROR(__xludf.DUMMYFUNCTION("""COMPUTED_VALUE"""),"10.1093--geront--gnac158.pdf")</f>
        <v>10.1093--geront--gnac158.pdf</v>
      </c>
      <c r="D2237" s="159" t="str">
        <f>IFERROR(__xludf.DUMMYFUNCTION("""COMPUTED_VALUE"""),"application/pdf")</f>
        <v>application/pdf</v>
      </c>
    </row>
    <row r="2238">
      <c r="A2238" s="339" t="str">
        <f>IFERROR(__xludf.DUMMYFUNCTION("""COMPUTED_VALUE"""),"10.1037/pspp0000263")</f>
        <v>10.1037/pspp0000263</v>
      </c>
      <c r="B2238" s="445" t="str">
        <f>IFERROR(__xludf.DUMMYFUNCTION("""COMPUTED_VALUE"""),"https://drive.google.com/file/d/1v5DJu4qjqzVUJEfoj2GHrhMbmyHZ-m6z/view?usp=drivesdk")</f>
        <v>https://drive.google.com/file/d/1v5DJu4qjqzVUJEfoj2GHrhMbmyHZ-m6z/view?usp=drivesdk</v>
      </c>
      <c r="C2238" s="339" t="str">
        <f>IFERROR(__xludf.DUMMYFUNCTION("""COMPUTED_VALUE"""),"10.1037--pspp0000263.pdf")</f>
        <v>10.1037--pspp0000263.pdf</v>
      </c>
      <c r="D2238" s="159" t="str">
        <f>IFERROR(__xludf.DUMMYFUNCTION("""COMPUTED_VALUE"""),"application/pdf")</f>
        <v>application/pdf</v>
      </c>
    </row>
    <row r="2239">
      <c r="A2239" s="339" t="str">
        <f>IFERROR(__xludf.DUMMYFUNCTION("""COMPUTED_VALUE"""),"10.1007/s40732-020-00432-8")</f>
        <v>10.1007/s40732-020-00432-8</v>
      </c>
      <c r="B2239" s="445" t="str">
        <f>IFERROR(__xludf.DUMMYFUNCTION("""COMPUTED_VALUE"""),"https://drive.google.com/file/d/1JkE16HX10SxkzianGctH-9nm-XFaoMsF/view?usp=drivesdk")</f>
        <v>https://drive.google.com/file/d/1JkE16HX10SxkzianGctH-9nm-XFaoMsF/view?usp=drivesdk</v>
      </c>
      <c r="C2239" s="339" t="str">
        <f>IFERROR(__xludf.DUMMYFUNCTION("""COMPUTED_VALUE"""),"10.1007--s40732-020-00432-8.pdf")</f>
        <v>10.1007--s40732-020-00432-8.pdf</v>
      </c>
      <c r="D2239" s="159" t="str">
        <f>IFERROR(__xludf.DUMMYFUNCTION("""COMPUTED_VALUE"""),"application/pdf")</f>
        <v>application/pdf</v>
      </c>
    </row>
    <row r="2240">
      <c r="A2240" s="339" t="str">
        <f>IFERROR(__xludf.DUMMYFUNCTION("""COMPUTED_VALUE"""),"sastre2022")</f>
        <v>sastre2022</v>
      </c>
      <c r="B2240" s="445" t="str">
        <f>IFERROR(__xludf.DUMMYFUNCTION("""COMPUTED_VALUE"""),"https://drive.google.com/file/d/1DeRESzfXOza_ac4bortetS44iBQlEB1l/view?usp=drivesdk")</f>
        <v>https://drive.google.com/file/d/1DeRESzfXOza_ac4bortetS44iBQlEB1l/view?usp=drivesdk</v>
      </c>
      <c r="C2240" s="339" t="str">
        <f>IFERROR(__xludf.DUMMYFUNCTION("""COMPUTED_VALUE"""),"sastre2022.pdf")</f>
        <v>sastre2022.pdf</v>
      </c>
      <c r="D2240" s="159" t="str">
        <f>IFERROR(__xludf.DUMMYFUNCTION("""COMPUTED_VALUE"""),"application/pdf")</f>
        <v>application/pdf</v>
      </c>
    </row>
    <row r="2241">
      <c r="A2241" s="339" t="str">
        <f>IFERROR(__xludf.DUMMYFUNCTION("""COMPUTED_VALUE"""),"wilfong2021")</f>
        <v>wilfong2021</v>
      </c>
      <c r="B2241" s="445" t="str">
        <f>IFERROR(__xludf.DUMMYFUNCTION("""COMPUTED_VALUE"""),"https://drive.google.com/file/d/1tJfvC20ctLZQdLkZolhGX4DXfr-JFdEB/view?usp=drivesdk")</f>
        <v>https://drive.google.com/file/d/1tJfvC20ctLZQdLkZolhGX4DXfr-JFdEB/view?usp=drivesdk</v>
      </c>
      <c r="C2241" s="339" t="str">
        <f>IFERROR(__xludf.DUMMYFUNCTION("""COMPUTED_VALUE"""),"wilfong2021.pdf")</f>
        <v>wilfong2021.pdf</v>
      </c>
      <c r="D2241" s="159" t="str">
        <f>IFERROR(__xludf.DUMMYFUNCTION("""COMPUTED_VALUE"""),"application/pdf")</f>
        <v>application/pdf</v>
      </c>
    </row>
    <row r="2242">
      <c r="A2242" s="339" t="str">
        <f>IFERROR(__xludf.DUMMYFUNCTION("""COMPUTED_VALUE"""),"10.1075/ijcl.19131.lar")</f>
        <v>10.1075/ijcl.19131.lar</v>
      </c>
      <c r="B2242" s="445" t="str">
        <f>IFERROR(__xludf.DUMMYFUNCTION("""COMPUTED_VALUE"""),"https://drive.google.com/file/d/1ntHR-2TST8Pa9kLmC5CL_wNP2lafijMc/view?usp=drivesdk")</f>
        <v>https://drive.google.com/file/d/1ntHR-2TST8Pa9kLmC5CL_wNP2lafijMc/view?usp=drivesdk</v>
      </c>
      <c r="C2242" s="339" t="str">
        <f>IFERROR(__xludf.DUMMYFUNCTION("""COMPUTED_VALUE"""),"10.1075--ijcl.19131.lar.pdf")</f>
        <v>10.1075--ijcl.19131.lar.pdf</v>
      </c>
      <c r="D2242" s="159" t="str">
        <f>IFERROR(__xludf.DUMMYFUNCTION("""COMPUTED_VALUE"""),"application/pdf")</f>
        <v>application/pdf</v>
      </c>
    </row>
    <row r="2243">
      <c r="A2243" s="339" t="str">
        <f>IFERROR(__xludf.DUMMYFUNCTION("""COMPUTED_VALUE"""),"10.1377/hlthaff.2015.1382")</f>
        <v>10.1377/hlthaff.2015.1382</v>
      </c>
      <c r="B2243" s="445" t="str">
        <f>IFERROR(__xludf.DUMMYFUNCTION("""COMPUTED_VALUE"""),"https://drive.google.com/file/d/1jQ2ZVxsJgOGK369mgFlFLMIcvvyGyvkY/view?usp=drivesdk")</f>
        <v>https://drive.google.com/file/d/1jQ2ZVxsJgOGK369mgFlFLMIcvvyGyvkY/view?usp=drivesdk</v>
      </c>
      <c r="C2243" s="339" t="str">
        <f>IFERROR(__xludf.DUMMYFUNCTION("""COMPUTED_VALUE"""),"10.1377--hlthaff.2015.1382.pdf")</f>
        <v>10.1377--hlthaff.2015.1382.pdf</v>
      </c>
      <c r="D2243" s="159" t="str">
        <f>IFERROR(__xludf.DUMMYFUNCTION("""COMPUTED_VALUE"""),"application/pdf")</f>
        <v>application/pdf</v>
      </c>
    </row>
    <row r="2244">
      <c r="A2244" s="339" t="str">
        <f>IFERROR(__xludf.DUMMYFUNCTION("""COMPUTED_VALUE"""),"katla2024")</f>
        <v>katla2024</v>
      </c>
      <c r="B2244" s="445" t="str">
        <f>IFERROR(__xludf.DUMMYFUNCTION("""COMPUTED_VALUE"""),"https://drive.google.com/file/d/1hN0G4Myov8ckz4pAMJyK0-chR-uaImCE/view?usp=drivesdk")</f>
        <v>https://drive.google.com/file/d/1hN0G4Myov8ckz4pAMJyK0-chR-uaImCE/view?usp=drivesdk</v>
      </c>
      <c r="C2244" s="339" t="str">
        <f>IFERROR(__xludf.DUMMYFUNCTION("""COMPUTED_VALUE"""),"katla2024.pdf")</f>
        <v>katla2024.pdf</v>
      </c>
      <c r="D2244" s="159" t="str">
        <f>IFERROR(__xludf.DUMMYFUNCTION("""COMPUTED_VALUE"""),"application/pdf")</f>
        <v>application/pdf</v>
      </c>
    </row>
    <row r="2245">
      <c r="A2245" s="339" t="str">
        <f>IFERROR(__xludf.DUMMYFUNCTION("""COMPUTED_VALUE"""),"10.4148/1944-9771.1299")</f>
        <v>10.4148/1944-9771.1299</v>
      </c>
      <c r="B2245" s="445" t="str">
        <f>IFERROR(__xludf.DUMMYFUNCTION("""COMPUTED_VALUE"""),"https://drive.google.com/file/d/1OByNKNsjZqSFHFFyt-o1mPqDkVmgruBu/view?usp=drivesdk")</f>
        <v>https://drive.google.com/file/d/1OByNKNsjZqSFHFFyt-o1mPqDkVmgruBu/view?usp=drivesdk</v>
      </c>
      <c r="C2245" s="339" t="str">
        <f>IFERROR(__xludf.DUMMYFUNCTION("""COMPUTED_VALUE"""),"10.4148--1944-9771.1299.pdf")</f>
        <v>10.4148--1944-9771.1299.pdf</v>
      </c>
      <c r="D2245" s="159" t="str">
        <f>IFERROR(__xludf.DUMMYFUNCTION("""COMPUTED_VALUE"""),"application/pdf")</f>
        <v>application/pdf</v>
      </c>
    </row>
    <row r="2246">
      <c r="A2246" s="339" t="str">
        <f>IFERROR(__xludf.DUMMYFUNCTION("""COMPUTED_VALUE"""),"10.1016/j.paid.2021.111472")</f>
        <v>10.1016/j.paid.2021.111472</v>
      </c>
      <c r="B2246" s="445" t="str">
        <f>IFERROR(__xludf.DUMMYFUNCTION("""COMPUTED_VALUE"""),"https://drive.google.com/file/d/1GCYFeLrlGpCBF1GyjSAAd1YFst71bifH/view?usp=drivesdk")</f>
        <v>https://drive.google.com/file/d/1GCYFeLrlGpCBF1GyjSAAd1YFst71bifH/view?usp=drivesdk</v>
      </c>
      <c r="C2246" s="339" t="str">
        <f>IFERROR(__xludf.DUMMYFUNCTION("""COMPUTED_VALUE"""),"10.1016--j.paid.2021.111472.pdf")</f>
        <v>10.1016--j.paid.2021.111472.pdf</v>
      </c>
      <c r="D2246" s="159" t="str">
        <f>IFERROR(__xludf.DUMMYFUNCTION("""COMPUTED_VALUE"""),"application/pdf")</f>
        <v>application/pdf</v>
      </c>
    </row>
    <row r="2247">
      <c r="A2247" s="339" t="str">
        <f>IFERROR(__xludf.DUMMYFUNCTION("""COMPUTED_VALUE"""),"10.1086/500990")</f>
        <v>10.1086/500990</v>
      </c>
      <c r="B2247" s="445" t="str">
        <f>IFERROR(__xludf.DUMMYFUNCTION("""COMPUTED_VALUE"""),"https://drive.google.com/file/d/1nEvKlRA8uAXj2efuq1DkKpPMx5D0e87_/view?usp=drivesdk")</f>
        <v>https://drive.google.com/file/d/1nEvKlRA8uAXj2efuq1DkKpPMx5D0e87_/view?usp=drivesdk</v>
      </c>
      <c r="C2247" s="339" t="str">
        <f>IFERROR(__xludf.DUMMYFUNCTION("""COMPUTED_VALUE"""),"10.1086--500990.pdf")</f>
        <v>10.1086--500990.pdf</v>
      </c>
      <c r="D2247" s="159" t="str">
        <f>IFERROR(__xludf.DUMMYFUNCTION("""COMPUTED_VALUE"""),"application/pdf")</f>
        <v>application/pdf</v>
      </c>
    </row>
    <row r="2248">
      <c r="A2248" s="339" t="str">
        <f>IFERROR(__xludf.DUMMYFUNCTION("""COMPUTED_VALUE"""),"10.1111/j.1467-9280.2006.01704.x (1)")</f>
        <v>10.1111/j.1467-9280.2006.01704.x (1)</v>
      </c>
      <c r="B2248" s="445" t="str">
        <f>IFERROR(__xludf.DUMMYFUNCTION("""COMPUTED_VALUE"""),"https://drive.google.com/file/d/1yr8whNCRN-BXlZgIIxkjY0g8z8-0guwq/view?usp=drivesdk")</f>
        <v>https://drive.google.com/file/d/1yr8whNCRN-BXlZgIIxkjY0g8z8-0guwq/view?usp=drivesdk</v>
      </c>
      <c r="C2248" s="339" t="str">
        <f>IFERROR(__xludf.DUMMYFUNCTION("""COMPUTED_VALUE"""),"10.1111--j.1467-9280.2006.01704.x (1).pdf")</f>
        <v>10.1111--j.1467-9280.2006.01704.x (1).pdf</v>
      </c>
      <c r="D2248" s="159" t="str">
        <f>IFERROR(__xludf.DUMMYFUNCTION("""COMPUTED_VALUE"""),"application/pdf")</f>
        <v>application/pdf</v>
      </c>
    </row>
    <row r="2249">
      <c r="A2249" s="339" t="str">
        <f>IFERROR(__xludf.DUMMYFUNCTION("""COMPUTED_VALUE"""),"10.1006/obhd.2000.2900")</f>
        <v>10.1006/obhd.2000.2900</v>
      </c>
      <c r="B2249" s="445" t="str">
        <f>IFERROR(__xludf.DUMMYFUNCTION("""COMPUTED_VALUE"""),"https://drive.google.com/file/d/17WfzyrTctbh-ycFCu5dg5IR87_upn8zm/view?usp=drivesdk")</f>
        <v>https://drive.google.com/file/d/17WfzyrTctbh-ycFCu5dg5IR87_upn8zm/view?usp=drivesdk</v>
      </c>
      <c r="C2249" s="339" t="str">
        <f>IFERROR(__xludf.DUMMYFUNCTION("""COMPUTED_VALUE"""),"10.1006--obhd.2000.2900.pdf")</f>
        <v>10.1006--obhd.2000.2900.pdf</v>
      </c>
      <c r="D2249" s="159" t="str">
        <f>IFERROR(__xludf.DUMMYFUNCTION("""COMPUTED_VALUE"""),"application/pdf")</f>
        <v>application/pdf</v>
      </c>
    </row>
    <row r="2250">
      <c r="A2250" s="339" t="str">
        <f>IFERROR(__xludf.DUMMYFUNCTION("""COMPUTED_VALUE"""),"10.1037//0022-3514.80.4.572")</f>
        <v>10.1037//0022-3514.80.4.572</v>
      </c>
      <c r="B2250" s="445" t="str">
        <f>IFERROR(__xludf.DUMMYFUNCTION("""COMPUTED_VALUE"""),"https://drive.google.com/file/d/1Lj-NalOkiEcybZZT_dNLosMFyuAbdUs8/view?usp=drivesdk")</f>
        <v>https://drive.google.com/file/d/1Lj-NalOkiEcybZZT_dNLosMFyuAbdUs8/view?usp=drivesdk</v>
      </c>
      <c r="C2250" s="339" t="str">
        <f>IFERROR(__xludf.DUMMYFUNCTION("""COMPUTED_VALUE"""),"10.1037----0022-3514.80.4.572.pdf")</f>
        <v>10.1037----0022-3514.80.4.572.pdf</v>
      </c>
      <c r="D2250" s="159" t="str">
        <f>IFERROR(__xludf.DUMMYFUNCTION("""COMPUTED_VALUE"""),"application/pdf")</f>
        <v>application/pdf</v>
      </c>
    </row>
    <row r="2251">
      <c r="A2251" s="339" t="str">
        <f>IFERROR(__xludf.DUMMYFUNCTION("""COMPUTED_VALUE"""),"10.1037/0022-3514.90.4.543")</f>
        <v>10.1037/0022-3514.90.4.543</v>
      </c>
      <c r="B2251" s="445" t="str">
        <f>IFERROR(__xludf.DUMMYFUNCTION("""COMPUTED_VALUE"""),"https://drive.google.com/file/d/1Yf0-4mxcVfhdYlLjMdsf8en6RDWsDJbw/view?usp=drivesdk")</f>
        <v>https://drive.google.com/file/d/1Yf0-4mxcVfhdYlLjMdsf8en6RDWsDJbw/view?usp=drivesdk</v>
      </c>
      <c r="C2251" s="339" t="str">
        <f>IFERROR(__xludf.DUMMYFUNCTION("""COMPUTED_VALUE"""),"10.1037--0022-3514.90.4.543.pdf")</f>
        <v>10.1037--0022-3514.90.4.543.pdf</v>
      </c>
      <c r="D2251" s="159" t="str">
        <f>IFERROR(__xludf.DUMMYFUNCTION("""COMPUTED_VALUE"""),"application/pdf")</f>
        <v>application/pdf</v>
      </c>
    </row>
    <row r="2252">
      <c r="A2252" s="339" t="str">
        <f>IFERROR(__xludf.DUMMYFUNCTION("""COMPUTED_VALUE"""),"10.1037//0022-3514.80.4.557")</f>
        <v>10.1037//0022-3514.80.4.557</v>
      </c>
      <c r="B2252" s="445" t="str">
        <f>IFERROR(__xludf.DUMMYFUNCTION("""COMPUTED_VALUE"""),"https://drive.google.com/file/d/1z2ENYgIkcshVHZYpVX_jkl4FG23ycA6Z/view?usp=drivesdk")</f>
        <v>https://drive.google.com/file/d/1z2ENYgIkcshVHZYpVX_jkl4FG23ycA6Z/view?usp=drivesdk</v>
      </c>
      <c r="C2252" s="339" t="str">
        <f>IFERROR(__xludf.DUMMYFUNCTION("""COMPUTED_VALUE"""),"10.1037----0022-3514.80.4.557.pdf")</f>
        <v>10.1037----0022-3514.80.4.557.pdf</v>
      </c>
      <c r="D2252" s="159" t="str">
        <f>IFERROR(__xludf.DUMMYFUNCTION("""COMPUTED_VALUE"""),"application/pdf")</f>
        <v>application/pdf</v>
      </c>
    </row>
    <row r="2253">
      <c r="A2253" s="339" t="str">
        <f>IFERROR(__xludf.DUMMYFUNCTION("""COMPUTED_VALUE"""),"10.1037/0096-3445.136.2.289")</f>
        <v>10.1037/0096-3445.136.2.289</v>
      </c>
      <c r="B2253" s="445" t="str">
        <f>IFERROR(__xludf.DUMMYFUNCTION("""COMPUTED_VALUE"""),"https://drive.google.com/file/d/1_hV0LxKWPhSNb8BX52EFM1hcOzItqUhi/view?usp=drivesdk")</f>
        <v>https://drive.google.com/file/d/1_hV0LxKWPhSNb8BX52EFM1hcOzItqUhi/view?usp=drivesdk</v>
      </c>
      <c r="C2253" s="339" t="str">
        <f>IFERROR(__xludf.DUMMYFUNCTION("""COMPUTED_VALUE"""),"10.1037--0096-3445.136.2.289.pdf")</f>
        <v>10.1037--0096-3445.136.2.289.pdf</v>
      </c>
      <c r="D2253" s="159" t="str">
        <f>IFERROR(__xludf.DUMMYFUNCTION("""COMPUTED_VALUE"""),"application/pdf")</f>
        <v>application/pdf</v>
      </c>
    </row>
    <row r="2254">
      <c r="A2254" s="339" t="str">
        <f>IFERROR(__xludf.DUMMYFUNCTION("""COMPUTED_VALUE"""),"gino2009")</f>
        <v>gino2009</v>
      </c>
      <c r="B2254" s="445" t="str">
        <f>IFERROR(__xludf.DUMMYFUNCTION("""COMPUTED_VALUE"""),"https://drive.google.com/file/d/1nSvfohPIJk9khnM75MLzzGbK-7utfVvb/view?usp=drivesdk")</f>
        <v>https://drive.google.com/file/d/1nSvfohPIJk9khnM75MLzzGbK-7utfVvb/view?usp=drivesdk</v>
      </c>
      <c r="C2254" s="339" t="str">
        <f>IFERROR(__xludf.DUMMYFUNCTION("""COMPUTED_VALUE"""),"gino2009.pdf")</f>
        <v>gino2009.pdf</v>
      </c>
      <c r="D2254" s="159" t="str">
        <f>IFERROR(__xludf.DUMMYFUNCTION("""COMPUTED_VALUE"""),"application/pdf")</f>
        <v>application/pdf</v>
      </c>
    </row>
    <row r="2255">
      <c r="A2255" s="339" t="str">
        <f>IFERROR(__xludf.DUMMYFUNCTION("""COMPUTED_VALUE"""),"10.1111/j.1467-9280.2006.01834.x")</f>
        <v>10.1111/j.1467-9280.2006.01834.x</v>
      </c>
      <c r="B2255" s="445" t="str">
        <f>IFERROR(__xludf.DUMMYFUNCTION("""COMPUTED_VALUE"""),"https://drive.google.com/file/d/1d_BnfBpp2VSsPvBJAIR3GZDS5fF9o5w9/view?usp=drivesdk")</f>
        <v>https://drive.google.com/file/d/1d_BnfBpp2VSsPvBJAIR3GZDS5fF9o5w9/view?usp=drivesdk</v>
      </c>
      <c r="C2255" s="339" t="str">
        <f>IFERROR(__xludf.DUMMYFUNCTION("""COMPUTED_VALUE"""),"10.1111--j.1467-9280.2006.01834.x.pdf")</f>
        <v>10.1111--j.1467-9280.2006.01834.x.pdf</v>
      </c>
      <c r="D2255" s="159" t="str">
        <f>IFERROR(__xludf.DUMMYFUNCTION("""COMPUTED_VALUE"""),"application/pdf")</f>
        <v>application/pdf</v>
      </c>
    </row>
    <row r="2256">
      <c r="A2256" s="339" t="str">
        <f>IFERROR(__xludf.DUMMYFUNCTION("""COMPUTED_VALUE"""),"10.1111/1467-9280.00350")</f>
        <v>10.1111/1467-9280.00350</v>
      </c>
      <c r="B2256" s="445" t="str">
        <f>IFERROR(__xludf.DUMMYFUNCTION("""COMPUTED_VALUE"""),"https://drive.google.com/file/d/1KYY0LWmtoBuOHihcQ-uor2XUsRtL-7UW/view?usp=drivesdk")</f>
        <v>https://drive.google.com/file/d/1KYY0LWmtoBuOHihcQ-uor2XUsRtL-7UW/view?usp=drivesdk</v>
      </c>
      <c r="C2256" s="339" t="str">
        <f>IFERROR(__xludf.DUMMYFUNCTION("""COMPUTED_VALUE"""),"10.1111--1467-9280.00350.pdf")</f>
        <v>10.1111--1467-9280.00350.pdf</v>
      </c>
      <c r="D2256" s="159" t="str">
        <f>IFERROR(__xludf.DUMMYFUNCTION("""COMPUTED_VALUE"""),"application/pdf")</f>
        <v>application/pdf</v>
      </c>
    </row>
    <row r="2257">
      <c r="A2257" s="339" t="str">
        <f>IFERROR(__xludf.DUMMYFUNCTION("""COMPUTED_VALUE"""),"10.1017/s1930297500005064")</f>
        <v>10.1017/s1930297500005064</v>
      </c>
      <c r="B2257" s="445" t="str">
        <f>IFERROR(__xludf.DUMMYFUNCTION("""COMPUTED_VALUE"""),"https://drive.google.com/file/d/1AFhk7r5ezmKOOZ_K8ckMu-sHI3HVYvci/view?usp=drivesdk")</f>
        <v>https://drive.google.com/file/d/1AFhk7r5ezmKOOZ_K8ckMu-sHI3HVYvci/view?usp=drivesdk</v>
      </c>
      <c r="C2257" s="339" t="str">
        <f>IFERROR(__xludf.DUMMYFUNCTION("""COMPUTED_VALUE"""),"10.1017--s1930297500005064.pdf")</f>
        <v>10.1017--s1930297500005064.pdf</v>
      </c>
      <c r="D2257" s="159" t="str">
        <f>IFERROR(__xludf.DUMMYFUNCTION("""COMPUTED_VALUE"""),"application/pdf")</f>
        <v>application/pdf</v>
      </c>
    </row>
    <row r="2258">
      <c r="A2258" s="339" t="str">
        <f>IFERROR(__xludf.DUMMYFUNCTION("""COMPUTED_VALUE"""),"10.1111/j.1467-9280.2006.01720.x")</f>
        <v>10.1111/j.1467-9280.2006.01720.x</v>
      </c>
      <c r="B2258" s="445" t="str">
        <f>IFERROR(__xludf.DUMMYFUNCTION("""COMPUTED_VALUE"""),"https://drive.google.com/file/d/1J2_ZhxXyuShXk0HW6vzzg72qC_6CkPl-/view?usp=drivesdk")</f>
        <v>https://drive.google.com/file/d/1J2_ZhxXyuShXk0HW6vzzg72qC_6CkPl-/view?usp=drivesdk</v>
      </c>
      <c r="C2258" s="339" t="str">
        <f>IFERROR(__xludf.DUMMYFUNCTION("""COMPUTED_VALUE"""),"10.1111--j.1467-9280.2006.01720.x.pdf")</f>
        <v>10.1111--j.1467-9280.2006.01720.x.pdf</v>
      </c>
      <c r="D2258" s="159" t="str">
        <f>IFERROR(__xludf.DUMMYFUNCTION("""COMPUTED_VALUE"""),"application/pdf")</f>
        <v>application/pdf</v>
      </c>
    </row>
    <row r="2259">
      <c r="A2259" s="339" t="str">
        <f>IFERROR(__xludf.DUMMYFUNCTION("""COMPUTED_VALUE"""),"10.1086/670020")</f>
        <v>10.1086/670020</v>
      </c>
      <c r="B2259" s="445" t="str">
        <f>IFERROR(__xludf.DUMMYFUNCTION("""COMPUTED_VALUE"""),"https://drive.google.com/file/d/1RG0izqQ_rBjPSpVhcEmKfUfrbnfpE1M0/view?usp=drivesdk")</f>
        <v>https://drive.google.com/file/d/1RG0izqQ_rBjPSpVhcEmKfUfrbnfpE1M0/view?usp=drivesdk</v>
      </c>
      <c r="C2259" s="339" t="str">
        <f>IFERROR(__xludf.DUMMYFUNCTION("""COMPUTED_VALUE"""),"10.1086--670020.pdf")</f>
        <v>10.1086--670020.pdf</v>
      </c>
      <c r="D2259" s="159" t="str">
        <f>IFERROR(__xludf.DUMMYFUNCTION("""COMPUTED_VALUE"""),"application/pdf")</f>
        <v>application/pdf</v>
      </c>
    </row>
    <row r="2260">
      <c r="A2260" s="339" t="str">
        <f>IFERROR(__xludf.DUMMYFUNCTION("""COMPUTED_VALUE"""),"10.1111/j.0956-7976.2004.00757.x")</f>
        <v>10.1111/j.0956-7976.2004.00757.x</v>
      </c>
      <c r="B2260" s="445" t="str">
        <f>IFERROR(__xludf.DUMMYFUNCTION("""COMPUTED_VALUE"""),"https://drive.google.com/file/d/1Xy_OOVFiRB0BOhg1wsYFC7rkj3Kf1u1I/view?usp=drivesdk")</f>
        <v>https://drive.google.com/file/d/1Xy_OOVFiRB0BOhg1wsYFC7rkj3Kf1u1I/view?usp=drivesdk</v>
      </c>
      <c r="C2260" s="339" t="str">
        <f>IFERROR(__xludf.DUMMYFUNCTION("""COMPUTED_VALUE"""),"10.1111--j.0956-7976.2004.00757.x.pdf")</f>
        <v>10.1111--j.0956-7976.2004.00757.x.pdf</v>
      </c>
      <c r="D2260" s="159" t="str">
        <f>IFERROR(__xludf.DUMMYFUNCTION("""COMPUTED_VALUE"""),"application/pdf")</f>
        <v>application/pdf</v>
      </c>
    </row>
    <row r="2261">
      <c r="A2261" s="339" t="str">
        <f>IFERROR(__xludf.DUMMYFUNCTION("""COMPUTED_VALUE"""),"10.1126/science.283.5398.77 (1)")</f>
        <v>10.1126/science.283.5398.77 (1)</v>
      </c>
      <c r="B2261" s="445" t="str">
        <f>IFERROR(__xludf.DUMMYFUNCTION("""COMPUTED_VALUE"""),"https://drive.google.com/file/d/1Agrc5GFq5Frv7sOGcovaD1BKY9sfO17p/view?usp=drivesdk")</f>
        <v>https://drive.google.com/file/d/1Agrc5GFq5Frv7sOGcovaD1BKY9sfO17p/view?usp=drivesdk</v>
      </c>
      <c r="C2261" s="339" t="str">
        <f>IFERROR(__xludf.DUMMYFUNCTION("""COMPUTED_VALUE"""),"10.1126--science.283.5398.77 (1).pdf")</f>
        <v>10.1126--science.283.5398.77 (1).pdf</v>
      </c>
      <c r="D2261" s="159" t="str">
        <f>IFERROR(__xludf.DUMMYFUNCTION("""COMPUTED_VALUE"""),"application/pdf")</f>
        <v>application/pdf</v>
      </c>
    </row>
    <row r="2262">
      <c r="A2262" s="339" t="str">
        <f>IFERROR(__xludf.DUMMYFUNCTION("""COMPUTED_VALUE"""),"10.1037/ebs0000028 (1)")</f>
        <v>10.1037/ebs0000028 (1)</v>
      </c>
      <c r="B2262" s="445" t="str">
        <f>IFERROR(__xludf.DUMMYFUNCTION("""COMPUTED_VALUE"""),"https://drive.google.com/file/d/1OpqaLRgNI4syrTw7eBdR8v4hNLVg06U9/view?usp=drivesdk")</f>
        <v>https://drive.google.com/file/d/1OpqaLRgNI4syrTw7eBdR8v4hNLVg06U9/view?usp=drivesdk</v>
      </c>
      <c r="C2262" s="339" t="str">
        <f>IFERROR(__xludf.DUMMYFUNCTION("""COMPUTED_VALUE"""),"10.1037--ebs0000028 (1).pdf")</f>
        <v>10.1037--ebs0000028 (1).pdf</v>
      </c>
      <c r="D2262" s="159" t="str">
        <f>IFERROR(__xludf.DUMMYFUNCTION("""COMPUTED_VALUE"""),"application/pdf")</f>
        <v>application/pdf</v>
      </c>
    </row>
    <row r="2263">
      <c r="A2263" s="339" t="str">
        <f>IFERROR(__xludf.DUMMYFUNCTION("""COMPUTED_VALUE"""),"10.1523/jneurosci.3427-13.2014")</f>
        <v>10.1523/jneurosci.3427-13.2014</v>
      </c>
      <c r="B2263" s="445" t="str">
        <f>IFERROR(__xludf.DUMMYFUNCTION("""COMPUTED_VALUE"""),"https://drive.google.com/file/d/1IPzqwdPEx_NXOVDavQ9NYYflBq4WLkLt/view?usp=drivesdk")</f>
        <v>https://drive.google.com/file/d/1IPzqwdPEx_NXOVDavQ9NYYflBq4WLkLt/view?usp=drivesdk</v>
      </c>
      <c r="C2263" s="339" t="str">
        <f>IFERROR(__xludf.DUMMYFUNCTION("""COMPUTED_VALUE"""),"10.1523--jneurosci.3427-13.2014.pdf")</f>
        <v>10.1523--jneurosci.3427-13.2014.pdf</v>
      </c>
      <c r="D2263" s="159" t="str">
        <f>IFERROR(__xludf.DUMMYFUNCTION("""COMPUTED_VALUE"""),"application/pdf")</f>
        <v>application/pdf</v>
      </c>
    </row>
    <row r="2264">
      <c r="A2264" s="339" t="str">
        <f>IFERROR(__xludf.DUMMYFUNCTION("""COMPUTED_VALUE"""),"10.1111/j.1467-9280.2008.02084.x (1)")</f>
        <v>10.1111/j.1467-9280.2008.02084.x (1)</v>
      </c>
      <c r="B2264" s="445" t="str">
        <f>IFERROR(__xludf.DUMMYFUNCTION("""COMPUTED_VALUE"""),"https://drive.google.com/file/d/1MznUx20djDv833Gh3uafwFKxnaaVrj43/view?usp=drivesdk")</f>
        <v>https://drive.google.com/file/d/1MznUx20djDv833Gh3uafwFKxnaaVrj43/view?usp=drivesdk</v>
      </c>
      <c r="C2264" s="339" t="str">
        <f>IFERROR(__xludf.DUMMYFUNCTION("""COMPUTED_VALUE"""),"10.1111--j.1467-9280.2008.02084.x (1).pdf")</f>
        <v>10.1111--j.1467-9280.2008.02084.x (1).pdf</v>
      </c>
      <c r="D2264" s="159" t="str">
        <f>IFERROR(__xludf.DUMMYFUNCTION("""COMPUTED_VALUE"""),"application/pdf")</f>
        <v>application/pdf</v>
      </c>
    </row>
    <row r="2265">
      <c r="A2265" s="339" t="str">
        <f>IFERROR(__xludf.DUMMYFUNCTION("""COMPUTED_VALUE"""),"wiebe2004")</f>
        <v>wiebe2004</v>
      </c>
      <c r="B2265" s="445" t="str">
        <f>IFERROR(__xludf.DUMMYFUNCTION("""COMPUTED_VALUE"""),"https://drive.google.com/file/d/1Ub9aMSbMLpr7_xY9a6tFgBHIjkS6cEEc/view?usp=drivesdk")</f>
        <v>https://drive.google.com/file/d/1Ub9aMSbMLpr7_xY9a6tFgBHIjkS6cEEc/view?usp=drivesdk</v>
      </c>
      <c r="C2265" s="339" t="str">
        <f>IFERROR(__xludf.DUMMYFUNCTION("""COMPUTED_VALUE"""),"wiebe2004.pdf")</f>
        <v>wiebe2004.pdf</v>
      </c>
      <c r="D2265" s="159" t="str">
        <f>IFERROR(__xludf.DUMMYFUNCTION("""COMPUTED_VALUE"""),"application/pdf")</f>
        <v>application/pdf</v>
      </c>
    </row>
    <row r="2266">
      <c r="A2266" s="339" t="str">
        <f>IFERROR(__xludf.DUMMYFUNCTION("""COMPUTED_VALUE"""),"10.1111/1467-6494.05028")</f>
        <v>10.1111/1467-6494.05028</v>
      </c>
      <c r="B2266" s="445" t="str">
        <f>IFERROR(__xludf.DUMMYFUNCTION("""COMPUTED_VALUE"""),"https://drive.google.com/file/d/1-on_azF3SOQnkcXmO04jj2zt4-H3FlcG/view?usp=drivesdk")</f>
        <v>https://drive.google.com/file/d/1-on_azF3SOQnkcXmO04jj2zt4-H3FlcG/view?usp=drivesdk</v>
      </c>
      <c r="C2266" s="339" t="str">
        <f>IFERROR(__xludf.DUMMYFUNCTION("""COMPUTED_VALUE"""),"10.1111--1467-6494.05028.pdf")</f>
        <v>10.1111--1467-6494.05028.pdf</v>
      </c>
      <c r="D2266" s="159" t="str">
        <f>IFERROR(__xludf.DUMMYFUNCTION("""COMPUTED_VALUE"""),"application/pdf")</f>
        <v>application/pdf</v>
      </c>
    </row>
    <row r="2267">
      <c r="A2267" s="339" t="str">
        <f>IFERROR(__xludf.DUMMYFUNCTION("""COMPUTED_VALUE"""),"10.1111/1467-6494.00102")</f>
        <v>10.1111/1467-6494.00102</v>
      </c>
      <c r="B2267" s="445" t="str">
        <f>IFERROR(__xludf.DUMMYFUNCTION("""COMPUTED_VALUE"""),"https://drive.google.com/file/d/1VTr0wR67oXPqTspZFD2WLtwQCj0zXKrh/view?usp=drivesdk")</f>
        <v>https://drive.google.com/file/d/1VTr0wR67oXPqTspZFD2WLtwQCj0zXKrh/view?usp=drivesdk</v>
      </c>
      <c r="C2267" s="339" t="str">
        <f>IFERROR(__xludf.DUMMYFUNCTION("""COMPUTED_VALUE"""),"10.1111--1467-6494.00102.pdf")</f>
        <v>10.1111--1467-6494.00102.pdf</v>
      </c>
      <c r="D2267" s="159" t="str">
        <f>IFERROR(__xludf.DUMMYFUNCTION("""COMPUTED_VALUE"""),"application/pdf")</f>
        <v>application/pdf</v>
      </c>
    </row>
    <row r="2268">
      <c r="A2268" s="339" t="str">
        <f>IFERROR(__xludf.DUMMYFUNCTION("""COMPUTED_VALUE"""),"10.1037//0022-3514.79.1.49")</f>
        <v>10.1037//0022-3514.79.1.49</v>
      </c>
      <c r="B2268" s="445" t="str">
        <f>IFERROR(__xludf.DUMMYFUNCTION("""COMPUTED_VALUE"""),"https://drive.google.com/file/d/1OQXfdOsmBPcEjb_PF9uWD_g_s1g9BKLK/view?usp=drivesdk")</f>
        <v>https://drive.google.com/file/d/1OQXfdOsmBPcEjb_PF9uWD_g_s1g9BKLK/view?usp=drivesdk</v>
      </c>
      <c r="C2268" s="339" t="str">
        <f>IFERROR(__xludf.DUMMYFUNCTION("""COMPUTED_VALUE"""),"10.1037----0022-3514.79.1.49.pdf")</f>
        <v>10.1037----0022-3514.79.1.49.pdf</v>
      </c>
      <c r="D2268" s="159" t="str">
        <f>IFERROR(__xludf.DUMMYFUNCTION("""COMPUTED_VALUE"""),"application/pdf")</f>
        <v>application/pdf</v>
      </c>
    </row>
    <row r="2269">
      <c r="A2269" s="339" t="str">
        <f>IFERROR(__xludf.DUMMYFUNCTION("""COMPUTED_VALUE"""),"10.1111/1467-9280.00431")</f>
        <v>10.1111/1467-9280.00431</v>
      </c>
      <c r="B2269" s="445" t="str">
        <f>IFERROR(__xludf.DUMMYFUNCTION("""COMPUTED_VALUE"""),"https://drive.google.com/file/d/1LZncKWBlcPAXx3IU4UaMX86KjCorRHG5/view?usp=drivesdk")</f>
        <v>https://drive.google.com/file/d/1LZncKWBlcPAXx3IU4UaMX86KjCorRHG5/view?usp=drivesdk</v>
      </c>
      <c r="C2269" s="339" t="str">
        <f>IFERROR(__xludf.DUMMYFUNCTION("""COMPUTED_VALUE"""),"10.1111--1467-9280.00431.pdf")</f>
        <v>10.1111--1467-9280.00431.pdf</v>
      </c>
      <c r="D2269" s="159" t="str">
        <f>IFERROR(__xludf.DUMMYFUNCTION("""COMPUTED_VALUE"""),"application/pdf")</f>
        <v>application/pdf</v>
      </c>
    </row>
    <row r="2270">
      <c r="A2270" s="339" t="str">
        <f>IFERROR(__xludf.DUMMYFUNCTION("""COMPUTED_VALUE"""),"10.1515/humr.14.2.117")</f>
        <v>10.1515/humr.14.2.117</v>
      </c>
      <c r="B2270" s="445" t="str">
        <f>IFERROR(__xludf.DUMMYFUNCTION("""COMPUTED_VALUE"""),"https://drive.google.com/file/d/18vVvJw5Qn9GaYfqwRHjMPOAAO8-20yq0/view?usp=drivesdk")</f>
        <v>https://drive.google.com/file/d/18vVvJw5Qn9GaYfqwRHjMPOAAO8-20yq0/view?usp=drivesdk</v>
      </c>
      <c r="C2270" s="339" t="str">
        <f>IFERROR(__xludf.DUMMYFUNCTION("""COMPUTED_VALUE"""),"10.1515--humr.14.2.117.pdf")</f>
        <v>10.1515--humr.14.2.117.pdf</v>
      </c>
      <c r="D2270" s="159" t="str">
        <f>IFERROR(__xludf.DUMMYFUNCTION("""COMPUTED_VALUE"""),"application/pdf")</f>
        <v>application/pdf</v>
      </c>
    </row>
    <row r="2271">
      <c r="A2271" s="339" t="str">
        <f>IFERROR(__xludf.DUMMYFUNCTION("""COMPUTED_VALUE"""),"10.1111/1467-6494.t01-1-00094")</f>
        <v>10.1111/1467-6494.t01-1-00094</v>
      </c>
      <c r="B2271" s="445" t="str">
        <f>IFERROR(__xludf.DUMMYFUNCTION("""COMPUTED_VALUE"""),"https://drive.google.com/file/d/1yjVvr6RWduwEsSlj1T5hWk4kZsgSpX7e/view?usp=drivesdk")</f>
        <v>https://drive.google.com/file/d/1yjVvr6RWduwEsSlj1T5hWk4kZsgSpX7e/view?usp=drivesdk</v>
      </c>
      <c r="C2271" s="339" t="str">
        <f>IFERROR(__xludf.DUMMYFUNCTION("""COMPUTED_VALUE"""),"10.1111--1467-6494.t01-1-00094.pdf")</f>
        <v>10.1111--1467-6494.t01-1-00094.pdf</v>
      </c>
      <c r="D2271" s="159" t="str">
        <f>IFERROR(__xludf.DUMMYFUNCTION("""COMPUTED_VALUE"""),"application/pdf")</f>
        <v>application/pdf</v>
      </c>
    </row>
    <row r="2272">
      <c r="A2272" s="339" t="str">
        <f>IFERROR(__xludf.DUMMYFUNCTION("""COMPUTED_VALUE"""),"10.1515/jbnst-2015-0206")</f>
        <v>10.1515/jbnst-2015-0206</v>
      </c>
      <c r="B2272" s="445" t="str">
        <f>IFERROR(__xludf.DUMMYFUNCTION("""COMPUTED_VALUE"""),"https://drive.google.com/file/d/12mfKmwr4qxdkiF-WSAj7I2jNt6iWVgg3/view?usp=drivesdk")</f>
        <v>https://drive.google.com/file/d/12mfKmwr4qxdkiF-WSAj7I2jNt6iWVgg3/view?usp=drivesdk</v>
      </c>
      <c r="C2272" s="339" t="str">
        <f>IFERROR(__xludf.DUMMYFUNCTION("""COMPUTED_VALUE"""),"10.1515--jbnst-2015-0206.pdf")</f>
        <v>10.1515--jbnst-2015-0206.pdf</v>
      </c>
      <c r="D2272" s="159" t="str">
        <f>IFERROR(__xludf.DUMMYFUNCTION("""COMPUTED_VALUE"""),"application/pdf")</f>
        <v>application/pdf</v>
      </c>
    </row>
    <row r="2273">
      <c r="A2273" s="339" t="str">
        <f>IFERROR(__xludf.DUMMYFUNCTION("""COMPUTED_VALUE"""),"10.1086/691462")</f>
        <v>10.1086/691462</v>
      </c>
      <c r="B2273" s="445" t="str">
        <f>IFERROR(__xludf.DUMMYFUNCTION("""COMPUTED_VALUE"""),"https://drive.google.com/file/d/1pONPJh9x5VCZuuA8xFZJ8EwpUqV7ZKOz/view?usp=drivesdk")</f>
        <v>https://drive.google.com/file/d/1pONPJh9x5VCZuuA8xFZJ8EwpUqV7ZKOz/view?usp=drivesdk</v>
      </c>
      <c r="C2273" s="339" t="str">
        <f>IFERROR(__xludf.DUMMYFUNCTION("""COMPUTED_VALUE"""),"10.1086--691462.pdf")</f>
        <v>10.1086--691462.pdf</v>
      </c>
      <c r="D2273" s="159" t="str">
        <f>IFERROR(__xludf.DUMMYFUNCTION("""COMPUTED_VALUE"""),"application/pdf")</f>
        <v>application/pdf</v>
      </c>
    </row>
    <row r="2274">
      <c r="A2274" s="339" t="str">
        <f>IFERROR(__xludf.DUMMYFUNCTION("""COMPUTED_VALUE"""),"10.3758/s13414-020-02150-8")</f>
        <v>10.3758/s13414-020-02150-8</v>
      </c>
      <c r="B2274" s="445" t="str">
        <f>IFERROR(__xludf.DUMMYFUNCTION("""COMPUTED_VALUE"""),"https://drive.google.com/file/d/1APCg4OnSFJ_UXQ0QzbeWPcRZtJsXvuz1/view?usp=drivesdk")</f>
        <v>https://drive.google.com/file/d/1APCg4OnSFJ_UXQ0QzbeWPcRZtJsXvuz1/view?usp=drivesdk</v>
      </c>
      <c r="C2274" s="339" t="str">
        <f>IFERROR(__xludf.DUMMYFUNCTION("""COMPUTED_VALUE"""),"10.3758--s13414-020-02150-8.pdf")</f>
        <v>10.3758--s13414-020-02150-8.pdf</v>
      </c>
      <c r="D2274" s="159" t="str">
        <f>IFERROR(__xludf.DUMMYFUNCTION("""COMPUTED_VALUE"""),"application/pdf")</f>
        <v>application/pdf</v>
      </c>
    </row>
    <row r="2275">
      <c r="A2275" s="339" t="str">
        <f>IFERROR(__xludf.DUMMYFUNCTION("""COMPUTED_VALUE"""),"10.1509/jppm.16.157")</f>
        <v>10.1509/jppm.16.157</v>
      </c>
      <c r="B2275" s="445" t="str">
        <f>IFERROR(__xludf.DUMMYFUNCTION("""COMPUTED_VALUE"""),"https://drive.google.com/file/d/1pNYePg3eNKxHVFnrHDZ4sLAX_CCQrhwE/view?usp=drivesdk")</f>
        <v>https://drive.google.com/file/d/1pNYePg3eNKxHVFnrHDZ4sLAX_CCQrhwE/view?usp=drivesdk</v>
      </c>
      <c r="C2275" s="339" t="str">
        <f>IFERROR(__xludf.DUMMYFUNCTION("""COMPUTED_VALUE"""),"10.1509--jppm.16.157.pdf")</f>
        <v>10.1509--jppm.16.157.pdf</v>
      </c>
      <c r="D2275" s="159" t="str">
        <f>IFERROR(__xludf.DUMMYFUNCTION("""COMPUTED_VALUE"""),"application/pdf")</f>
        <v>application/pdf</v>
      </c>
    </row>
    <row r="2276">
      <c r="A2276" s="339" t="str">
        <f>IFERROR(__xludf.DUMMYFUNCTION("""COMPUTED_VALUE"""),"10.1509/jmr.13.0451")</f>
        <v>10.1509/jmr.13.0451</v>
      </c>
      <c r="B2276" s="445" t="str">
        <f>IFERROR(__xludf.DUMMYFUNCTION("""COMPUTED_VALUE"""),"https://drive.google.com/file/d/1H17uMt3lEFj60TgPCBKsbQYCGkxU4ctv/view?usp=drivesdk")</f>
        <v>https://drive.google.com/file/d/1H17uMt3lEFj60TgPCBKsbQYCGkxU4ctv/view?usp=drivesdk</v>
      </c>
      <c r="C2276" s="339" t="str">
        <f>IFERROR(__xludf.DUMMYFUNCTION("""COMPUTED_VALUE"""),"10.1509--jmr.13.0451.pdf")</f>
        <v>10.1509--jmr.13.0451.pdf</v>
      </c>
      <c r="D2276" s="159" t="str">
        <f>IFERROR(__xludf.DUMMYFUNCTION("""COMPUTED_VALUE"""),"application/pdf")</f>
        <v>application/pdf</v>
      </c>
    </row>
    <row r="2277">
      <c r="A2277" s="339" t="str">
        <f>IFERROR(__xludf.DUMMYFUNCTION("""COMPUTED_VALUE"""),"10.1509/jmr.13.0023")</f>
        <v>10.1509/jmr.13.0023</v>
      </c>
      <c r="B2277" s="445" t="str">
        <f>IFERROR(__xludf.DUMMYFUNCTION("""COMPUTED_VALUE"""),"https://drive.google.com/file/d/1LRXuztEEXdMxXVtMCq3mJl48JAq-UR0n/view?usp=drivesdk")</f>
        <v>https://drive.google.com/file/d/1LRXuztEEXdMxXVtMCq3mJl48JAq-UR0n/view?usp=drivesdk</v>
      </c>
      <c r="C2277" s="339" t="str">
        <f>IFERROR(__xludf.DUMMYFUNCTION("""COMPUTED_VALUE"""),"10.1509--jmr.13.0023.pdf")</f>
        <v>10.1509--jmr.13.0023.pdf</v>
      </c>
      <c r="D2277" s="159" t="str">
        <f>IFERROR(__xludf.DUMMYFUNCTION("""COMPUTED_VALUE"""),"application/pdf")</f>
        <v>application/pdf</v>
      </c>
    </row>
    <row r="2278">
      <c r="A2278" s="339" t="str">
        <f>IFERROR(__xludf.DUMMYFUNCTION("""COMPUTED_VALUE"""),"10.1086/669476")</f>
        <v>10.1086/669476</v>
      </c>
      <c r="B2278" s="445" t="str">
        <f>IFERROR(__xludf.DUMMYFUNCTION("""COMPUTED_VALUE"""),"https://drive.google.com/file/d/1GaGHXmjuMiaNOB0JUnyXvqe5lRWj5tg1/view?usp=drivesdk")</f>
        <v>https://drive.google.com/file/d/1GaGHXmjuMiaNOB0JUnyXvqe5lRWj5tg1/view?usp=drivesdk</v>
      </c>
      <c r="C2278" s="339" t="str">
        <f>IFERROR(__xludf.DUMMYFUNCTION("""COMPUTED_VALUE"""),"10.1086--669476.pdf")</f>
        <v>10.1086--669476.pdf</v>
      </c>
      <c r="D2278" s="159" t="str">
        <f>IFERROR(__xludf.DUMMYFUNCTION("""COMPUTED_VALUE"""),"application/pdf")</f>
        <v>application/pdf</v>
      </c>
    </row>
    <row r="2279">
      <c r="A2279" s="339" t="str">
        <f>IFERROR(__xludf.DUMMYFUNCTION("""COMPUTED_VALUE"""),"10.1086/661531")</f>
        <v>10.1086/661531</v>
      </c>
      <c r="B2279" s="445" t="str">
        <f>IFERROR(__xludf.DUMMYFUNCTION("""COMPUTED_VALUE"""),"https://drive.google.com/file/d/1D9dO_DC6ePh-Csant4DlT-9TnvAmfuAB/view?usp=drivesdk")</f>
        <v>https://drive.google.com/file/d/1D9dO_DC6ePh-Csant4DlT-9TnvAmfuAB/view?usp=drivesdk</v>
      </c>
      <c r="C2279" s="339" t="str">
        <f>IFERROR(__xludf.DUMMYFUNCTION("""COMPUTED_VALUE"""),"10.1086--661531.pdf")</f>
        <v>10.1086--661531.pdf</v>
      </c>
      <c r="D2279" s="159" t="str">
        <f>IFERROR(__xludf.DUMMYFUNCTION("""COMPUTED_VALUE"""),"application/pdf")</f>
        <v>application/pdf</v>
      </c>
    </row>
    <row r="2280">
      <c r="A2280" s="339" t="str">
        <f>IFERROR(__xludf.DUMMYFUNCTION("""COMPUTED_VALUE"""),"10.1086/383422")</f>
        <v>10.1086/383422</v>
      </c>
      <c r="B2280" s="445" t="str">
        <f>IFERROR(__xludf.DUMMYFUNCTION("""COMPUTED_VALUE"""),"https://drive.google.com/file/d/15bGGIIEKFkDlvesZF2WINiYBiRVVRi7R/view?usp=drivesdk")</f>
        <v>https://drive.google.com/file/d/15bGGIIEKFkDlvesZF2WINiYBiRVVRi7R/view?usp=drivesdk</v>
      </c>
      <c r="C2280" s="339" t="str">
        <f>IFERROR(__xludf.DUMMYFUNCTION("""COMPUTED_VALUE"""),"10.1086--383422.pdf")</f>
        <v>10.1086--383422.pdf</v>
      </c>
      <c r="D2280" s="159" t="str">
        <f>IFERROR(__xludf.DUMMYFUNCTION("""COMPUTED_VALUE"""),"application/pdf")</f>
        <v>application/pdf</v>
      </c>
    </row>
    <row r="2281">
      <c r="A2281" s="339" t="str">
        <f>IFERROR(__xludf.DUMMYFUNCTION("""COMPUTED_VALUE"""),"10.1037/mot0000097")</f>
        <v>10.1037/mot0000097</v>
      </c>
      <c r="B2281" s="445" t="str">
        <f>IFERROR(__xludf.DUMMYFUNCTION("""COMPUTED_VALUE"""),"https://drive.google.com/file/d/13_FjItFP6GHekMwAss_IcUYD2Z-Q2DAK/view?usp=drivesdk")</f>
        <v>https://drive.google.com/file/d/13_FjItFP6GHekMwAss_IcUYD2Z-Q2DAK/view?usp=drivesdk</v>
      </c>
      <c r="C2281" s="339" t="str">
        <f>IFERROR(__xludf.DUMMYFUNCTION("""COMPUTED_VALUE"""),"10.1037--mot0000097.pdf")</f>
        <v>10.1037--mot0000097.pdf</v>
      </c>
      <c r="D2281" s="159" t="str">
        <f>IFERROR(__xludf.DUMMYFUNCTION("""COMPUTED_VALUE"""),"application/pdf")</f>
        <v>application/pdf</v>
      </c>
    </row>
    <row r="2282">
      <c r="A2282" s="339" t="str">
        <f>IFERROR(__xludf.DUMMYFUNCTION("""COMPUTED_VALUE"""),"10.1111/1467-9280.00376")</f>
        <v>10.1111/1467-9280.00376</v>
      </c>
      <c r="B2282" s="445" t="str">
        <f>IFERROR(__xludf.DUMMYFUNCTION("""COMPUTED_VALUE"""),"https://drive.google.com/file/d/11jqeGWUpUh79pKFzwZ3T_bBagRuPGFCi/view?usp=drivesdk")</f>
        <v>https://drive.google.com/file/d/11jqeGWUpUh79pKFzwZ3T_bBagRuPGFCi/view?usp=drivesdk</v>
      </c>
      <c r="C2282" s="339" t="str">
        <f>IFERROR(__xludf.DUMMYFUNCTION("""COMPUTED_VALUE"""),"10.1111--1467-9280.00376.pdf")</f>
        <v>10.1111--1467-9280.00376.pdf</v>
      </c>
      <c r="D2282" s="159" t="str">
        <f>IFERROR(__xludf.DUMMYFUNCTION("""COMPUTED_VALUE"""),"application/pdf")</f>
        <v>application/pdf</v>
      </c>
    </row>
    <row r="2283">
      <c r="A2283" s="339" t="str">
        <f>IFERROR(__xludf.DUMMYFUNCTION("""COMPUTED_VALUE"""),"10.1093/poq/nfx042")</f>
        <v>10.1093/poq/nfx042</v>
      </c>
      <c r="B2283" s="445" t="str">
        <f>IFERROR(__xludf.DUMMYFUNCTION("""COMPUTED_VALUE"""),"https://drive.google.com/file/d/1vaJaM70la8WjjudMF5sP3NGFuj_0wy9h/view?usp=drivesdk")</f>
        <v>https://drive.google.com/file/d/1vaJaM70la8WjjudMF5sP3NGFuj_0wy9h/view?usp=drivesdk</v>
      </c>
      <c r="C2283" s="339" t="str">
        <f>IFERROR(__xludf.DUMMYFUNCTION("""COMPUTED_VALUE"""),"10.1093--poq--nfx042.pdf")</f>
        <v>10.1093--poq--nfx042.pdf</v>
      </c>
      <c r="D2283" s="159" t="str">
        <f>IFERROR(__xludf.DUMMYFUNCTION("""COMPUTED_VALUE"""),"application/pdf")</f>
        <v>application/pdf</v>
      </c>
    </row>
    <row r="2284">
      <c r="A2284" s="339" t="str">
        <f>IFERROR(__xludf.DUMMYFUNCTION("""COMPUTED_VALUE"""),"10.1111/j.1467-8624.2007.00995.x")</f>
        <v>10.1111/j.1467-8624.2007.00995.x</v>
      </c>
      <c r="B2284" s="445" t="str">
        <f>IFERROR(__xludf.DUMMYFUNCTION("""COMPUTED_VALUE"""),"https://drive.google.com/file/d/156tAE8v5cFhpA2JE6GA1a7Ktomq0eLYG/view?usp=drivesdk")</f>
        <v>https://drive.google.com/file/d/156tAE8v5cFhpA2JE6GA1a7Ktomq0eLYG/view?usp=drivesdk</v>
      </c>
      <c r="C2284" s="339" t="str">
        <f>IFERROR(__xludf.DUMMYFUNCTION("""COMPUTED_VALUE"""),"10.1111--j.1467-8624.2007.00995.x.pdf")</f>
        <v>10.1111--j.1467-8624.2007.00995.x.pdf</v>
      </c>
      <c r="D2284" s="159" t="str">
        <f>IFERROR(__xludf.DUMMYFUNCTION("""COMPUTED_VALUE"""),"application/pdf")</f>
        <v>application/pdf</v>
      </c>
    </row>
    <row r="2285">
      <c r="A2285" s="339" t="str">
        <f>IFERROR(__xludf.DUMMYFUNCTION("""COMPUTED_VALUE"""),"10.1111/j.1467-9280.2007.01944.x")</f>
        <v>10.1111/j.1467-9280.2007.01944.x</v>
      </c>
      <c r="B2285" s="445" t="str">
        <f>IFERROR(__xludf.DUMMYFUNCTION("""COMPUTED_VALUE"""),"https://drive.google.com/file/d/1F6e63Lvx_picFSFjsYovkHAFanA2uAHa/view?usp=drivesdk")</f>
        <v>https://drive.google.com/file/d/1F6e63Lvx_picFSFjsYovkHAFanA2uAHa/view?usp=drivesdk</v>
      </c>
      <c r="C2285" s="339" t="str">
        <f>IFERROR(__xludf.DUMMYFUNCTION("""COMPUTED_VALUE"""),"10.1111--j.1467-9280.2007.01944.x.pdf")</f>
        <v>10.1111--j.1467-9280.2007.01944.x.pdf</v>
      </c>
      <c r="D2285" s="159" t="str">
        <f>IFERROR(__xludf.DUMMYFUNCTION("""COMPUTED_VALUE"""),"application/pdf")</f>
        <v>application/pdf</v>
      </c>
    </row>
    <row r="2286">
      <c r="A2286" s="339" t="str">
        <f>IFERROR(__xludf.DUMMYFUNCTION("""COMPUTED_VALUE"""),"10.1086/598971")</f>
        <v>10.1086/598971</v>
      </c>
      <c r="B2286" s="445" t="str">
        <f>IFERROR(__xludf.DUMMYFUNCTION("""COMPUTED_VALUE"""),"https://drive.google.com/file/d/1gzyiuMNHruki0iqw9ZPuG1ROg8sPoSnR/view?usp=drivesdk")</f>
        <v>https://drive.google.com/file/d/1gzyiuMNHruki0iqw9ZPuG1ROg8sPoSnR/view?usp=drivesdk</v>
      </c>
      <c r="C2286" s="339" t="str">
        <f>IFERROR(__xludf.DUMMYFUNCTION("""COMPUTED_VALUE"""),"10.1086--598971.pdf")</f>
        <v>10.1086--598971.pdf</v>
      </c>
      <c r="D2286" s="159" t="str">
        <f>IFERROR(__xludf.DUMMYFUNCTION("""COMPUTED_VALUE"""),"application/pdf")</f>
        <v>application/pdf</v>
      </c>
    </row>
    <row r="2287">
      <c r="A2287" s="339" t="str">
        <f>IFERROR(__xludf.DUMMYFUNCTION("""COMPUTED_VALUE"""),"10.1509/jmkr.45.6.633")</f>
        <v>10.1509/jmkr.45.6.633</v>
      </c>
      <c r="B2287" s="445" t="str">
        <f>IFERROR(__xludf.DUMMYFUNCTION("""COMPUTED_VALUE"""),"https://drive.google.com/file/d/1VVNd9Scvve3V-VZXAhoIMrIQk51djdwQ/view?usp=drivesdk")</f>
        <v>https://drive.google.com/file/d/1VVNd9Scvve3V-VZXAhoIMrIQk51djdwQ/view?usp=drivesdk</v>
      </c>
      <c r="C2287" s="339" t="str">
        <f>IFERROR(__xludf.DUMMYFUNCTION("""COMPUTED_VALUE"""),"10.1509--jmkr.45.6.633.pdf")</f>
        <v>10.1509--jmkr.45.6.633.pdf</v>
      </c>
      <c r="D2287" s="159" t="str">
        <f>IFERROR(__xludf.DUMMYFUNCTION("""COMPUTED_VALUE"""),"application/pdf")</f>
        <v>application/pdf</v>
      </c>
    </row>
    <row r="2288">
      <c r="A2288" s="339" t="str">
        <f>IFERROR(__xludf.DUMMYFUNCTION("""COMPUTED_VALUE"""),"10.1111/j.1467-9280.2007.01964.x")</f>
        <v>10.1111/j.1467-9280.2007.01964.x</v>
      </c>
      <c r="B2288" s="445" t="str">
        <f>IFERROR(__xludf.DUMMYFUNCTION("""COMPUTED_VALUE"""),"https://drive.google.com/file/d/1VVLl-AvJbxAOqcDsjssAt5hEyFgPdx8z/view?usp=drivesdk")</f>
        <v>https://drive.google.com/file/d/1VVLl-AvJbxAOqcDsjssAt5hEyFgPdx8z/view?usp=drivesdk</v>
      </c>
      <c r="C2288" s="339" t="str">
        <f>IFERROR(__xludf.DUMMYFUNCTION("""COMPUTED_VALUE"""),"10.1111--j.1467-9280.2007.01964.x.pdf")</f>
        <v>10.1111--j.1467-9280.2007.01964.x.pdf</v>
      </c>
      <c r="D2288" s="159" t="str">
        <f>IFERROR(__xludf.DUMMYFUNCTION("""COMPUTED_VALUE"""),"application/pdf")</f>
        <v>application/pdf</v>
      </c>
    </row>
    <row r="2289">
      <c r="A2289" s="339" t="str">
        <f>IFERROR(__xludf.DUMMYFUNCTION("""COMPUTED_VALUE"""),"10.1073/pnas.1501592112")</f>
        <v>10.1073/pnas.1501592112</v>
      </c>
      <c r="B2289" s="445" t="str">
        <f>IFERROR(__xludf.DUMMYFUNCTION("""COMPUTED_VALUE"""),"https://drive.google.com/file/d/1r8gz_OQgXRQyPABeOEgFy2rbZa10e60I/view?usp=drivesdk")</f>
        <v>https://drive.google.com/file/d/1r8gz_OQgXRQyPABeOEgFy2rbZa10e60I/view?usp=drivesdk</v>
      </c>
      <c r="C2289" s="339" t="str">
        <f>IFERROR(__xludf.DUMMYFUNCTION("""COMPUTED_VALUE"""),"10.1073--pnas.1501592112.pdf")</f>
        <v>10.1073--pnas.1501592112.pdf</v>
      </c>
      <c r="D2289" s="159" t="str">
        <f>IFERROR(__xludf.DUMMYFUNCTION("""COMPUTED_VALUE"""),"application/pdf")</f>
        <v>application/pdf</v>
      </c>
    </row>
    <row r="2290">
      <c r="A2290" s="339" t="str">
        <f>IFERROR(__xludf.DUMMYFUNCTION("""COMPUTED_VALUE"""),"10.1073/pnas.1805284115")</f>
        <v>10.1073/pnas.1805284115</v>
      </c>
      <c r="B2290" s="445" t="str">
        <f>IFERROR(__xludf.DUMMYFUNCTION("""COMPUTED_VALUE"""),"https://drive.google.com/file/d/1Z4TItg9VScF62xlkgC_PoPtT-7Vv0iWy/view?usp=drivesdk")</f>
        <v>https://drive.google.com/file/d/1Z4TItg9VScF62xlkgC_PoPtT-7Vv0iWy/view?usp=drivesdk</v>
      </c>
      <c r="C2290" s="339" t="str">
        <f>IFERROR(__xludf.DUMMYFUNCTION("""COMPUTED_VALUE"""),"10.1073--pnas.1805284115.pdf")</f>
        <v>10.1073--pnas.1805284115.pdf</v>
      </c>
      <c r="D2290" s="159" t="str">
        <f>IFERROR(__xludf.DUMMYFUNCTION("""COMPUTED_VALUE"""),"application/pdf")</f>
        <v>application/pdf</v>
      </c>
    </row>
    <row r="2291">
      <c r="A2291" s="339" t="str">
        <f>IFERROR(__xludf.DUMMYFUNCTION("""COMPUTED_VALUE"""),"10.1073/pnas.1610834113")</f>
        <v>10.1073/pnas.1610834113</v>
      </c>
      <c r="B2291" s="445" t="str">
        <f>IFERROR(__xludf.DUMMYFUNCTION("""COMPUTED_VALUE"""),"https://drive.google.com/file/d/1VFtyqV5el7EJVeHaibxWMy34k9LMhbzJ/view?usp=drivesdk")</f>
        <v>https://drive.google.com/file/d/1VFtyqV5el7EJVeHaibxWMy34k9LMhbzJ/view?usp=drivesdk</v>
      </c>
      <c r="C2291" s="339" t="str">
        <f>IFERROR(__xludf.DUMMYFUNCTION("""COMPUTED_VALUE"""),"10.1073--pnas.1610834113.pdf")</f>
        <v>10.1073--pnas.1610834113.pdf</v>
      </c>
      <c r="D2291" s="159" t="str">
        <f>IFERROR(__xludf.DUMMYFUNCTION("""COMPUTED_VALUE"""),"application/pdf")</f>
        <v>application/pdf</v>
      </c>
    </row>
    <row r="2292">
      <c r="A2292" s="339" t="str">
        <f>IFERROR(__xludf.DUMMYFUNCTION("""COMPUTED_VALUE"""),"10.1073/pnas.1717092115")</f>
        <v>10.1073/pnas.1717092115</v>
      </c>
      <c r="B2292" s="445" t="str">
        <f>IFERROR(__xludf.DUMMYFUNCTION("""COMPUTED_VALUE"""),"https://drive.google.com/file/d/1X_8gLoQL8UM8XESII7U1_3XXVMeR9N2z/view?usp=drivesdk")</f>
        <v>https://drive.google.com/file/d/1X_8gLoQL8UM8XESII7U1_3XXVMeR9N2z/view?usp=drivesdk</v>
      </c>
      <c r="C2292" s="339" t="str">
        <f>IFERROR(__xludf.DUMMYFUNCTION("""COMPUTED_VALUE"""),"10.1073--pnas.1717092115.pdf")</f>
        <v>10.1073--pnas.1717092115.pdf</v>
      </c>
      <c r="D2292" s="159" t="str">
        <f>IFERROR(__xludf.DUMMYFUNCTION("""COMPUTED_VALUE"""),"application/pdf")</f>
        <v>application/pdf</v>
      </c>
    </row>
    <row r="2293">
      <c r="A2293" s="339" t="str">
        <f>IFERROR(__xludf.DUMMYFUNCTION("""COMPUTED_VALUE"""),"10.1073/pnas.1616921114")</f>
        <v>10.1073/pnas.1616921114</v>
      </c>
      <c r="B2293" s="445" t="str">
        <f>IFERROR(__xludf.DUMMYFUNCTION("""COMPUTED_VALUE"""),"https://drive.google.com/file/d/1n0koQ1yLwfPYdmBREVehxKIdhjOoUZSg/view?usp=drivesdk")</f>
        <v>https://drive.google.com/file/d/1n0koQ1yLwfPYdmBREVehxKIdhjOoUZSg/view?usp=drivesdk</v>
      </c>
      <c r="C2293" s="339" t="str">
        <f>IFERROR(__xludf.DUMMYFUNCTION("""COMPUTED_VALUE"""),"10.1073--pnas.1616921114.pdf")</f>
        <v>10.1073--pnas.1616921114.pdf</v>
      </c>
      <c r="D2293" s="159" t="str">
        <f>IFERROR(__xludf.DUMMYFUNCTION("""COMPUTED_VALUE"""),"application/pdf")</f>
        <v>application/pdf</v>
      </c>
    </row>
    <row r="2294">
      <c r="A2294" s="339" t="str">
        <f>IFERROR(__xludf.DUMMYFUNCTION("""COMPUTED_VALUE"""),"10.1073/pnas.1607330114")</f>
        <v>10.1073/pnas.1607330114</v>
      </c>
      <c r="B2294" s="445" t="str">
        <f>IFERROR(__xludf.DUMMYFUNCTION("""COMPUTED_VALUE"""),"https://drive.google.com/file/d/1c91FKEwUnH0eT_Uzixr-mWli2LJ6mmul/view?usp=drivesdk")</f>
        <v>https://drive.google.com/file/d/1c91FKEwUnH0eT_Uzixr-mWli2LJ6mmul/view?usp=drivesdk</v>
      </c>
      <c r="C2294" s="339" t="str">
        <f>IFERROR(__xludf.DUMMYFUNCTION("""COMPUTED_VALUE"""),"10.1073--pnas.1607330114.pdf")</f>
        <v>10.1073--pnas.1607330114.pdf</v>
      </c>
      <c r="D2294" s="159" t="str">
        <f>IFERROR(__xludf.DUMMYFUNCTION("""COMPUTED_VALUE"""),"application/pdf")</f>
        <v>application/pdf</v>
      </c>
    </row>
    <row r="2295">
      <c r="A2295" s="339" t="str">
        <f>IFERROR(__xludf.DUMMYFUNCTION("""COMPUTED_VALUE"""),"10.1073/pnas.1606574113")</f>
        <v>10.1073/pnas.1606574113</v>
      </c>
      <c r="B2295" s="445" t="str">
        <f>IFERROR(__xludf.DUMMYFUNCTION("""COMPUTED_VALUE"""),"https://drive.google.com/file/d/1OmM2z06gBM63n800JtLoY_5328h0Kj-q/view?usp=drivesdk")</f>
        <v>https://drive.google.com/file/d/1OmM2z06gBM63n800JtLoY_5328h0Kj-q/view?usp=drivesdk</v>
      </c>
      <c r="C2295" s="339" t="str">
        <f>IFERROR(__xludf.DUMMYFUNCTION("""COMPUTED_VALUE"""),"10.1073--pnas.1606574113.pdf")</f>
        <v>10.1073--pnas.1606574113.pdf</v>
      </c>
      <c r="D2295" s="159" t="str">
        <f>IFERROR(__xludf.DUMMYFUNCTION("""COMPUTED_VALUE"""),"application/pdf")</f>
        <v>application/pdf</v>
      </c>
    </row>
    <row r="2296">
      <c r="A2296" s="339" t="str">
        <f>IFERROR(__xludf.DUMMYFUNCTION("""COMPUTED_VALUE"""),"10.1073/pnas.1511536112")</f>
        <v>10.1073/pnas.1511536112</v>
      </c>
      <c r="B2296" s="445" t="str">
        <f>IFERROR(__xludf.DUMMYFUNCTION("""COMPUTED_VALUE"""),"https://drive.google.com/file/d/1wOKjiL59sTbYJAZUPb-UPMjoPu-4HWDV/view?usp=drivesdk")</f>
        <v>https://drive.google.com/file/d/1wOKjiL59sTbYJAZUPb-UPMjoPu-4HWDV/view?usp=drivesdk</v>
      </c>
      <c r="C2296" s="339" t="str">
        <f>IFERROR(__xludf.DUMMYFUNCTION("""COMPUTED_VALUE"""),"10.1073--pnas.1511536112.pdf")</f>
        <v>10.1073--pnas.1511536112.pdf</v>
      </c>
      <c r="D2296" s="159" t="str">
        <f>IFERROR(__xludf.DUMMYFUNCTION("""COMPUTED_VALUE"""),"application/pdf")</f>
        <v>application/pdf</v>
      </c>
    </row>
    <row r="2297">
      <c r="A2297" s="339" t="str">
        <f>IFERROR(__xludf.DUMMYFUNCTION("""COMPUTED_VALUE"""),"10.1073/pnas.1701916114")</f>
        <v>10.1073/pnas.1701916114</v>
      </c>
      <c r="B2297" s="445" t="str">
        <f>IFERROR(__xludf.DUMMYFUNCTION("""COMPUTED_VALUE"""),"https://drive.google.com/file/d/1AHAkX3IHAtNC1ywt3EKJgEjl7TvUilkM/view?usp=drivesdk")</f>
        <v>https://drive.google.com/file/d/1AHAkX3IHAtNC1ywt3EKJgEjl7TvUilkM/view?usp=drivesdk</v>
      </c>
      <c r="C2297" s="339" t="str">
        <f>IFERROR(__xludf.DUMMYFUNCTION("""COMPUTED_VALUE"""),"10.1073--pnas.1701916114.pdf")</f>
        <v>10.1073--pnas.1701916114.pdf</v>
      </c>
      <c r="D2297" s="159" t="str">
        <f>IFERROR(__xludf.DUMMYFUNCTION("""COMPUTED_VALUE"""),"application/pdf")</f>
        <v>application/pdf</v>
      </c>
    </row>
    <row r="2298">
      <c r="A2298" s="339" t="str">
        <f>IFERROR(__xludf.DUMMYFUNCTION("""COMPUTED_VALUE"""),"10.1073/pnas.1620542114")</f>
        <v>10.1073/pnas.1620542114</v>
      </c>
      <c r="B2298" s="445" t="str">
        <f>IFERROR(__xludf.DUMMYFUNCTION("""COMPUTED_VALUE"""),"https://drive.google.com/file/d/1n72rgjSW6FtAclFquHlO8O2BBvlTnJas/view?usp=drivesdk")</f>
        <v>https://drive.google.com/file/d/1n72rgjSW6FtAclFquHlO8O2BBvlTnJas/view?usp=drivesdk</v>
      </c>
      <c r="C2298" s="339" t="str">
        <f>IFERROR(__xludf.DUMMYFUNCTION("""COMPUTED_VALUE"""),"10.1073--pnas.1620542114.pdf")</f>
        <v>10.1073--pnas.1620542114.pdf</v>
      </c>
      <c r="D2298" s="159" t="str">
        <f>IFERROR(__xludf.DUMMYFUNCTION("""COMPUTED_VALUE"""),"application/pdf")</f>
        <v>application/pdf</v>
      </c>
    </row>
    <row r="2299">
      <c r="A2299" s="339" t="str">
        <f>IFERROR(__xludf.DUMMYFUNCTION("""COMPUTED_VALUE"""),"10.1073/pnas.1722664115")</f>
        <v>10.1073/pnas.1722664115</v>
      </c>
      <c r="B2299" s="445" t="str">
        <f>IFERROR(__xludf.DUMMYFUNCTION("""COMPUTED_VALUE"""),"https://drive.google.com/file/d/1eLY3wQhNqme2S7a_tXRX4gHwGifvXW1x/view?usp=drivesdk")</f>
        <v>https://drive.google.com/file/d/1eLY3wQhNqme2S7a_tXRX4gHwGifvXW1x/view?usp=drivesdk</v>
      </c>
      <c r="C2299" s="339" t="str">
        <f>IFERROR(__xludf.DUMMYFUNCTION("""COMPUTED_VALUE"""),"10.1073--pnas.1722664115.pdf")</f>
        <v>10.1073--pnas.1722664115.pdf</v>
      </c>
      <c r="D2299" s="159" t="str">
        <f>IFERROR(__xludf.DUMMYFUNCTION("""COMPUTED_VALUE"""),"application/pdf")</f>
        <v>application/pdf</v>
      </c>
    </row>
    <row r="2300">
      <c r="A2300" s="339" t="str">
        <f>IFERROR(__xludf.DUMMYFUNCTION("""COMPUTED_VALUE"""),"10.1073/pnas.1505067112")</f>
        <v>10.1073/pnas.1505067112</v>
      </c>
      <c r="B2300" s="445" t="str">
        <f>IFERROR(__xludf.DUMMYFUNCTION("""COMPUTED_VALUE"""),"https://drive.google.com/file/d/1sCCY3KYGCCE3zAn1qtYymO7af6DAj-0M/view?usp=drivesdk")</f>
        <v>https://drive.google.com/file/d/1sCCY3KYGCCE3zAn1qtYymO7af6DAj-0M/view?usp=drivesdk</v>
      </c>
      <c r="C2300" s="339" t="str">
        <f>IFERROR(__xludf.DUMMYFUNCTION("""COMPUTED_VALUE"""),"10.1073--pnas.1505067112.pdf")</f>
        <v>10.1073--pnas.1505067112.pdf</v>
      </c>
      <c r="D2300" s="159" t="str">
        <f>IFERROR(__xludf.DUMMYFUNCTION("""COMPUTED_VALUE"""),"application/pdf")</f>
        <v>application/pdf</v>
      </c>
    </row>
    <row r="2301">
      <c r="A2301" s="339" t="str">
        <f>IFERROR(__xludf.DUMMYFUNCTION("""COMPUTED_VALUE"""),"10.1073/pnas.1516047113")</f>
        <v>10.1073/pnas.1516047113</v>
      </c>
      <c r="B2301" s="445" t="str">
        <f>IFERROR(__xludf.DUMMYFUNCTION("""COMPUTED_VALUE"""),"https://drive.google.com/file/d/1E11EGVsEk8jXG4anLcX1DKLgm7aqhOmU/view?usp=drivesdk")</f>
        <v>https://drive.google.com/file/d/1E11EGVsEk8jXG4anLcX1DKLgm7aqhOmU/view?usp=drivesdk</v>
      </c>
      <c r="C2301" s="339" t="str">
        <f>IFERROR(__xludf.DUMMYFUNCTION("""COMPUTED_VALUE"""),"10.1073--pnas.1516047113.pdf")</f>
        <v>10.1073--pnas.1516047113.pdf</v>
      </c>
      <c r="D2301" s="159" t="str">
        <f>IFERROR(__xludf.DUMMYFUNCTION("""COMPUTED_VALUE"""),"application/pdf")</f>
        <v>application/pdf</v>
      </c>
    </row>
    <row r="2302">
      <c r="A2302" s="339" t="str">
        <f>IFERROR(__xludf.DUMMYFUNCTION("""COMPUTED_VALUE"""),"10.1073/pnas.1706913114")</f>
        <v>10.1073/pnas.1706913114</v>
      </c>
      <c r="B2302" s="445" t="str">
        <f>IFERROR(__xludf.DUMMYFUNCTION("""COMPUTED_VALUE"""),"https://drive.google.com/file/d/1xfxst9Oa-ge7wewPL4HMH7DqgvOPP20b/view?usp=drivesdk")</f>
        <v>https://drive.google.com/file/d/1xfxst9Oa-ge7wewPL4HMH7DqgvOPP20b/view?usp=drivesdk</v>
      </c>
      <c r="C2302" s="339" t="str">
        <f>IFERROR(__xludf.DUMMYFUNCTION("""COMPUTED_VALUE"""),"10.1073--pnas.1706913114.pdf")</f>
        <v>10.1073--pnas.1706913114.pdf</v>
      </c>
      <c r="D2302" s="159" t="str">
        <f>IFERROR(__xludf.DUMMYFUNCTION("""COMPUTED_VALUE"""),"application/pdf")</f>
        <v>application/pdf</v>
      </c>
    </row>
    <row r="2303">
      <c r="A2303" s="339" t="str">
        <f>IFERROR(__xludf.DUMMYFUNCTION("""COMPUTED_VALUE"""),"10.1073/pnas.1516868113")</f>
        <v>10.1073/pnas.1516868113</v>
      </c>
      <c r="B2303" s="445" t="str">
        <f>IFERROR(__xludf.DUMMYFUNCTION("""COMPUTED_VALUE"""),"https://drive.google.com/file/d/1yHD_X4W7fLNjPrkn11Gu0-mHGcNqrpws/view?usp=drivesdk")</f>
        <v>https://drive.google.com/file/d/1yHD_X4W7fLNjPrkn11Gu0-mHGcNqrpws/view?usp=drivesdk</v>
      </c>
      <c r="C2303" s="339" t="str">
        <f>IFERROR(__xludf.DUMMYFUNCTION("""COMPUTED_VALUE"""),"10.1073--pnas.1516868113.pdf")</f>
        <v>10.1073--pnas.1516868113.pdf</v>
      </c>
      <c r="D2303" s="159" t="str">
        <f>IFERROR(__xludf.DUMMYFUNCTION("""COMPUTED_VALUE"""),"application/pdf")</f>
        <v>application/pdf</v>
      </c>
    </row>
    <row r="2304">
      <c r="A2304" s="339" t="str">
        <f>IFERROR(__xludf.DUMMYFUNCTION("""COMPUTED_VALUE"""),"10.1073/pnas.1601280113")</f>
        <v>10.1073/pnas.1601280113</v>
      </c>
      <c r="B2304" s="445" t="str">
        <f>IFERROR(__xludf.DUMMYFUNCTION("""COMPUTED_VALUE"""),"https://drive.google.com/file/d/1BbeoZ9CdBUXQMwPbOQkLBdsayafNFSX2/view?usp=drivesdk")</f>
        <v>https://drive.google.com/file/d/1BbeoZ9CdBUXQMwPbOQkLBdsayafNFSX2/view?usp=drivesdk</v>
      </c>
      <c r="C2304" s="339" t="str">
        <f>IFERROR(__xludf.DUMMYFUNCTION("""COMPUTED_VALUE"""),"10.1073--pnas.1601280113.pdf")</f>
        <v>10.1073--pnas.1601280113.pdf</v>
      </c>
      <c r="D2304" s="159" t="str">
        <f>IFERROR(__xludf.DUMMYFUNCTION("""COMPUTED_VALUE"""),"application/pdf")</f>
        <v>application/pdf</v>
      </c>
    </row>
    <row r="2305">
      <c r="A2305" s="339" t="str">
        <f>IFERROR(__xludf.DUMMYFUNCTION("""COMPUTED_VALUE"""),"10.1073/pnas.1805327115")</f>
        <v>10.1073/pnas.1805327115</v>
      </c>
      <c r="B2305" s="445" t="str">
        <f>IFERROR(__xludf.DUMMYFUNCTION("""COMPUTED_VALUE"""),"https://drive.google.com/file/d/1DQ-5qEEOtHAV_EO0dtcKuZKTfy6PHQQl/view?usp=drivesdk")</f>
        <v>https://drive.google.com/file/d/1DQ-5qEEOtHAV_EO0dtcKuZKTfy6PHQQl/view?usp=drivesdk</v>
      </c>
      <c r="C2305" s="339" t="str">
        <f>IFERROR(__xludf.DUMMYFUNCTION("""COMPUTED_VALUE"""),"10.1073--pnas.1805327115.pdf")</f>
        <v>10.1073--pnas.1805327115.pdf</v>
      </c>
      <c r="D2305" s="159" t="str">
        <f>IFERROR(__xludf.DUMMYFUNCTION("""COMPUTED_VALUE"""),"application/pdf")</f>
        <v>application/pdf</v>
      </c>
    </row>
    <row r="2306">
      <c r="A2306" s="339" t="str">
        <f>IFERROR(__xludf.DUMMYFUNCTION("""COMPUTED_VALUE"""),"10.1073/pnas.1707719114")</f>
        <v>10.1073/pnas.1707719114</v>
      </c>
      <c r="B2306" s="445" t="str">
        <f>IFERROR(__xludf.DUMMYFUNCTION("""COMPUTED_VALUE"""),"https://drive.google.com/file/d/1VjQnWh7tIM7zl21GEg_LipSiXaJr91Ht/view?usp=drivesdk")</f>
        <v>https://drive.google.com/file/d/1VjQnWh7tIM7zl21GEg_LipSiXaJr91Ht/view?usp=drivesdk</v>
      </c>
      <c r="C2306" s="339" t="str">
        <f>IFERROR(__xludf.DUMMYFUNCTION("""COMPUTED_VALUE"""),"10.1073--pnas.1707719114.pdf")</f>
        <v>10.1073--pnas.1707719114.pdf</v>
      </c>
      <c r="D2306" s="159" t="str">
        <f>IFERROR(__xludf.DUMMYFUNCTION("""COMPUTED_VALUE"""),"application/pdf")</f>
        <v>application/pdf</v>
      </c>
    </row>
    <row r="2307">
      <c r="A2307" s="339" t="str">
        <f>IFERROR(__xludf.DUMMYFUNCTION("""COMPUTED_VALUE"""),"10.1073/pnas.1706253114")</f>
        <v>10.1073/pnas.1706253114</v>
      </c>
      <c r="B2307" s="445" t="str">
        <f>IFERROR(__xludf.DUMMYFUNCTION("""COMPUTED_VALUE"""),"https://drive.google.com/file/d/1KgVy8pDNXw_rUPEflxR0eTSRI8bSGPLS/view?usp=drivesdk")</f>
        <v>https://drive.google.com/file/d/1KgVy8pDNXw_rUPEflxR0eTSRI8bSGPLS/view?usp=drivesdk</v>
      </c>
      <c r="C2307" s="339" t="str">
        <f>IFERROR(__xludf.DUMMYFUNCTION("""COMPUTED_VALUE"""),"10.1073--pnas.1706253114.pdf")</f>
        <v>10.1073--pnas.1706253114.pdf</v>
      </c>
      <c r="D2307" s="159" t="str">
        <f>IFERROR(__xludf.DUMMYFUNCTION("""COMPUTED_VALUE"""),"application/pdf")</f>
        <v>application/pdf</v>
      </c>
    </row>
    <row r="2308">
      <c r="A2308" s="339" t="str">
        <f>IFERROR(__xludf.DUMMYFUNCTION("""COMPUTED_VALUE"""),"10.1073/pnas.1704032114")</f>
        <v>10.1073/pnas.1704032114</v>
      </c>
      <c r="B2308" s="445" t="str">
        <f>IFERROR(__xludf.DUMMYFUNCTION("""COMPUTED_VALUE"""),"https://drive.google.com/file/d/1j22rPSmrajVUMaZJ7ZQ_3oBwSfmIAktN/view?usp=drivesdk")</f>
        <v>https://drive.google.com/file/d/1j22rPSmrajVUMaZJ7ZQ_3oBwSfmIAktN/view?usp=drivesdk</v>
      </c>
      <c r="C2308" s="339" t="str">
        <f>IFERROR(__xludf.DUMMYFUNCTION("""COMPUTED_VALUE"""),"10.1073--pnas.1704032114.pdf")</f>
        <v>10.1073--pnas.1704032114.pdf</v>
      </c>
      <c r="D2308" s="159" t="str">
        <f>IFERROR(__xludf.DUMMYFUNCTION("""COMPUTED_VALUE"""),"application/pdf")</f>
        <v>application/pdf</v>
      </c>
    </row>
    <row r="2309">
      <c r="A2309" s="339" t="str">
        <f>IFERROR(__xludf.DUMMYFUNCTION("""COMPUTED_VALUE"""),"10.1073/pnas.1705238114")</f>
        <v>10.1073/pnas.1705238114</v>
      </c>
      <c r="B2309" s="445" t="str">
        <f>IFERROR(__xludf.DUMMYFUNCTION("""COMPUTED_VALUE"""),"https://drive.google.com/file/d/1n2AFbrWCoSyUJoEu2sdAqSUYEEqLi3-i/view?usp=drivesdk")</f>
        <v>https://drive.google.com/file/d/1n2AFbrWCoSyUJoEu2sdAqSUYEEqLi3-i/view?usp=drivesdk</v>
      </c>
      <c r="C2309" s="339" t="str">
        <f>IFERROR(__xludf.DUMMYFUNCTION("""COMPUTED_VALUE"""),"10.1073--pnas.1705238114.pdf")</f>
        <v>10.1073--pnas.1705238114.pdf</v>
      </c>
      <c r="D2309" s="159" t="str">
        <f>IFERROR(__xludf.DUMMYFUNCTION("""COMPUTED_VALUE"""),"application/pdf")</f>
        <v>application/pdf</v>
      </c>
    </row>
    <row r="2310">
      <c r="A2310" s="339" t="str">
        <f>IFERROR(__xludf.DUMMYFUNCTION("""COMPUTED_VALUE"""),"10.1073/pnas.1707040114")</f>
        <v>10.1073/pnas.1707040114</v>
      </c>
      <c r="B2310" s="445" t="str">
        <f>IFERROR(__xludf.DUMMYFUNCTION("""COMPUTED_VALUE"""),"https://drive.google.com/file/d/1egXsfHxw3enkl4JvCEY0lfs0BTX1O2u3/view?usp=drivesdk")</f>
        <v>https://drive.google.com/file/d/1egXsfHxw3enkl4JvCEY0lfs0BTX1O2u3/view?usp=drivesdk</v>
      </c>
      <c r="C2310" s="339" t="str">
        <f>IFERROR(__xludf.DUMMYFUNCTION("""COMPUTED_VALUE"""),"10.1073--pnas.1707040114.pdf")</f>
        <v>10.1073--pnas.1707040114.pdf</v>
      </c>
      <c r="D2310" s="159" t="str">
        <f>IFERROR(__xludf.DUMMYFUNCTION("""COMPUTED_VALUE"""),"application/pdf")</f>
        <v>application/pdf</v>
      </c>
    </row>
    <row r="2311">
      <c r="A2311" s="339" t="str">
        <f>IFERROR(__xludf.DUMMYFUNCTION("""COMPUTED_VALUE"""),"10.1073/pnas.1517662112")</f>
        <v>10.1073/pnas.1517662112</v>
      </c>
      <c r="B2311" s="445" t="str">
        <f>IFERROR(__xludf.DUMMYFUNCTION("""COMPUTED_VALUE"""),"https://drive.google.com/file/d/1p1O3cA89Rortn-b4c3if2MEMXd31m4nv/view?usp=drivesdk")</f>
        <v>https://drive.google.com/file/d/1p1O3cA89Rortn-b4c3if2MEMXd31m4nv/view?usp=drivesdk</v>
      </c>
      <c r="C2311" s="339" t="str">
        <f>IFERROR(__xludf.DUMMYFUNCTION("""COMPUTED_VALUE"""),"10.1073--pnas.1517662112.pdf")</f>
        <v>10.1073--pnas.1517662112.pdf</v>
      </c>
      <c r="D2311" s="159" t="str">
        <f>IFERROR(__xludf.DUMMYFUNCTION("""COMPUTED_VALUE"""),"application/pdf")</f>
        <v>application/pdf</v>
      </c>
    </row>
    <row r="2312">
      <c r="A2312" s="339" t="str">
        <f>IFERROR(__xludf.DUMMYFUNCTION("""COMPUTED_VALUE"""),"10.1073/pnas.1508932113")</f>
        <v>10.1073/pnas.1508932113</v>
      </c>
      <c r="B2312" s="445" t="str">
        <f>IFERROR(__xludf.DUMMYFUNCTION("""COMPUTED_VALUE"""),"https://drive.google.com/file/d/1GUMHnYj_hycM2gMFNTbvEGwdonZHVaEU/view?usp=drivesdk")</f>
        <v>https://drive.google.com/file/d/1GUMHnYj_hycM2gMFNTbvEGwdonZHVaEU/view?usp=drivesdk</v>
      </c>
      <c r="C2312" s="339" t="str">
        <f>IFERROR(__xludf.DUMMYFUNCTION("""COMPUTED_VALUE"""),"10.1073--pnas.1508932113.pdf")</f>
        <v>10.1073--pnas.1508932113.pdf</v>
      </c>
      <c r="D2312" s="159" t="str">
        <f>IFERROR(__xludf.DUMMYFUNCTION("""COMPUTED_VALUE"""),"application/pdf")</f>
        <v>application/pdf</v>
      </c>
    </row>
    <row r="2313">
      <c r="A2313" s="339" t="str">
        <f>IFERROR(__xludf.DUMMYFUNCTION("""COMPUTED_VALUE"""),"10.1073/pnas.1519401113")</f>
        <v>10.1073/pnas.1519401113</v>
      </c>
      <c r="B2313" s="445" t="str">
        <f>IFERROR(__xludf.DUMMYFUNCTION("""COMPUTED_VALUE"""),"https://drive.google.com/file/d/105cRk7vC72JK1EA9WyGiYPQkLW7C53Ad/view?usp=drivesdk")</f>
        <v>https://drive.google.com/file/d/105cRk7vC72JK1EA9WyGiYPQkLW7C53Ad/view?usp=drivesdk</v>
      </c>
      <c r="C2313" s="339" t="str">
        <f>IFERROR(__xludf.DUMMYFUNCTION("""COMPUTED_VALUE"""),"10.1073--pnas.1519401113.pdf")</f>
        <v>10.1073--pnas.1519401113.pdf</v>
      </c>
      <c r="D2313" s="159" t="str">
        <f>IFERROR(__xludf.DUMMYFUNCTION("""COMPUTED_VALUE"""),"application/pdf")</f>
        <v>application/pdf</v>
      </c>
    </row>
    <row r="2314">
      <c r="A2314" s="339" t="str">
        <f>IFERROR(__xludf.DUMMYFUNCTION("""COMPUTED_VALUE"""),"10.1093/qje/qjt035")</f>
        <v>10.1093/qje/qjt035</v>
      </c>
      <c r="B2314" s="445" t="str">
        <f>IFERROR(__xludf.DUMMYFUNCTION("""COMPUTED_VALUE"""),"https://drive.google.com/file/d/1AEIAMNY49STOE6ElNt-b8Hq1Zx5-39DC/view?usp=drivesdk")</f>
        <v>https://drive.google.com/file/d/1AEIAMNY49STOE6ElNt-b8Hq1Zx5-39DC/view?usp=drivesdk</v>
      </c>
      <c r="C2314" s="339" t="str">
        <f>IFERROR(__xludf.DUMMYFUNCTION("""COMPUTED_VALUE"""),"10.1093--qje--qjt035.pdf")</f>
        <v>10.1093--qje--qjt035.pdf</v>
      </c>
      <c r="D2314" s="159" t="str">
        <f>IFERROR(__xludf.DUMMYFUNCTION("""COMPUTED_VALUE"""),"application/pdf")</f>
        <v>application/pdf</v>
      </c>
    </row>
    <row r="2315">
      <c r="A2315" s="339" t="str">
        <f>IFERROR(__xludf.DUMMYFUNCTION("""COMPUTED_VALUE"""),"10.1257/aer.101.2.927")</f>
        <v>10.1257/aer.101.2.927</v>
      </c>
      <c r="B2315" s="445" t="str">
        <f>IFERROR(__xludf.DUMMYFUNCTION("""COMPUTED_VALUE"""),"https://drive.google.com/file/d/1BktRBxUCABNKOmBS08ZeWLX5NwbuQmVb/view?usp=drivesdk")</f>
        <v>https://drive.google.com/file/d/1BktRBxUCABNKOmBS08ZeWLX5NwbuQmVb/view?usp=drivesdk</v>
      </c>
      <c r="C2315" s="339" t="str">
        <f>IFERROR(__xludf.DUMMYFUNCTION("""COMPUTED_VALUE"""),"10.1257--aer.101.2.927.pdf")</f>
        <v>10.1257--aer.101.2.927.pdf</v>
      </c>
      <c r="D2315" s="159" t="str">
        <f>IFERROR(__xludf.DUMMYFUNCTION("""COMPUTED_VALUE"""),"application/pdf")</f>
        <v>application/pdf</v>
      </c>
    </row>
    <row r="2316">
      <c r="A2316" s="339" t="str">
        <f>IFERROR(__xludf.DUMMYFUNCTION("""COMPUTED_VALUE"""),"10.1257/aer.102.2.865")</f>
        <v>10.1257/aer.102.2.865</v>
      </c>
      <c r="B2316" s="445" t="str">
        <f>IFERROR(__xludf.DUMMYFUNCTION("""COMPUTED_VALUE"""),"https://drive.google.com/file/d/1b2FC_ZxV315l7N6zoTHVU2AgAr7SbyXB/view?usp=drivesdk")</f>
        <v>https://drive.google.com/file/d/1b2FC_ZxV315l7N6zoTHVU2AgAr7SbyXB/view?usp=drivesdk</v>
      </c>
      <c r="C2316" s="339" t="str">
        <f>IFERROR(__xludf.DUMMYFUNCTION("""COMPUTED_VALUE"""),"10.1257--aer.102.2.865.pdf")</f>
        <v>10.1257--aer.102.2.865.pdf</v>
      </c>
      <c r="D2316" s="159" t="str">
        <f>IFERROR(__xludf.DUMMYFUNCTION("""COMPUTED_VALUE"""),"application/pdf")</f>
        <v>application/pdf</v>
      </c>
    </row>
    <row r="2317">
      <c r="A2317" s="339" t="str">
        <f>IFERROR(__xludf.DUMMYFUNCTION("""COMPUTED_VALUE"""),"10.1257/aer.102.5.2018")</f>
        <v>10.1257/aer.102.5.2018</v>
      </c>
      <c r="B2317" s="445" t="str">
        <f>IFERROR(__xludf.DUMMYFUNCTION("""COMPUTED_VALUE"""),"https://drive.google.com/file/d/17yYMWhyDAG179mIfO09X_DXEZMxaYLjP/view?usp=drivesdk")</f>
        <v>https://drive.google.com/file/d/17yYMWhyDAG179mIfO09X_DXEZMxaYLjP/view?usp=drivesdk</v>
      </c>
      <c r="C2317" s="339" t="str">
        <f>IFERROR(__xludf.DUMMYFUNCTION("""COMPUTED_VALUE"""),"10.1257--aer.102.5.2018.pdf")</f>
        <v>10.1257--aer.102.5.2018.pdf</v>
      </c>
      <c r="D2317" s="159" t="str">
        <f>IFERROR(__xludf.DUMMYFUNCTION("""COMPUTED_VALUE"""),"application/pdf")</f>
        <v>application/pdf</v>
      </c>
    </row>
    <row r="2318">
      <c r="A2318" s="339" t="str">
        <f>IFERROR(__xludf.DUMMYFUNCTION("""COMPUTED_VALUE"""),"10.1257/aer.101.7.3109 (1)")</f>
        <v>10.1257/aer.101.7.3109 (1)</v>
      </c>
      <c r="B2318" s="445" t="str">
        <f>IFERROR(__xludf.DUMMYFUNCTION("""COMPUTED_VALUE"""),"https://drive.google.com/file/d/1AnxK02a5BeBo9dA5i4f_u2An2ZuJqRrr/view?usp=drivesdk")</f>
        <v>https://drive.google.com/file/d/1AnxK02a5BeBo9dA5i4f_u2An2ZuJqRrr/view?usp=drivesdk</v>
      </c>
      <c r="C2318" s="339" t="str">
        <f>IFERROR(__xludf.DUMMYFUNCTION("""COMPUTED_VALUE"""),"10.1257--aer.101.7.3109 (1).pdf")</f>
        <v>10.1257--aer.101.7.3109 (1).pdf</v>
      </c>
      <c r="D2318" s="159" t="str">
        <f>IFERROR(__xludf.DUMMYFUNCTION("""COMPUTED_VALUE"""),"application/pdf")</f>
        <v>application/pdf</v>
      </c>
    </row>
    <row r="2319">
      <c r="A2319" s="339" t="str">
        <f>IFERROR(__xludf.DUMMYFUNCTION("""COMPUTED_VALUE"""),"10.1257/aer.101.2.819")</f>
        <v>10.1257/aer.101.2.819</v>
      </c>
      <c r="B2319" s="445" t="str">
        <f>IFERROR(__xludf.DUMMYFUNCTION("""COMPUTED_VALUE"""),"https://drive.google.com/file/d/1gPKErZn0U75GIXRc3TyDKhjO1YYEA8-a/view?usp=drivesdk")</f>
        <v>https://drive.google.com/file/d/1gPKErZn0U75GIXRc3TyDKhjO1YYEA8-a/view?usp=drivesdk</v>
      </c>
      <c r="C2319" s="339" t="str">
        <f>IFERROR(__xludf.DUMMYFUNCTION("""COMPUTED_VALUE"""),"10.1257--aer.101.2.819.pdf")</f>
        <v>10.1257--aer.101.2.819.pdf</v>
      </c>
      <c r="D2319" s="159" t="str">
        <f>IFERROR(__xludf.DUMMYFUNCTION("""COMPUTED_VALUE"""),"application/pdf")</f>
        <v>application/pdf</v>
      </c>
    </row>
    <row r="2320">
      <c r="A2320" s="339" t="str">
        <f>IFERROR(__xludf.DUMMYFUNCTION("""COMPUTED_VALUE"""),"10.1257/aer.102.2.720 (1)")</f>
        <v>10.1257/aer.102.2.720 (1)</v>
      </c>
      <c r="B2320" s="445" t="str">
        <f>IFERROR(__xludf.DUMMYFUNCTION("""COMPUTED_VALUE"""),"https://drive.google.com/file/d/1T3Rn1Ki7p7o8u_ViHHHYvafHFmjnylcx/view?usp=drivesdk")</f>
        <v>https://drive.google.com/file/d/1T3Rn1Ki7p7o8u_ViHHHYvafHFmjnylcx/view?usp=drivesdk</v>
      </c>
      <c r="C2320" s="339" t="str">
        <f>IFERROR(__xludf.DUMMYFUNCTION("""COMPUTED_VALUE"""),"10.1257--aer.102.2.720 (1).pdf")</f>
        <v>10.1257--aer.102.2.720 (1).pdf</v>
      </c>
      <c r="D2320" s="159" t="str">
        <f>IFERROR(__xludf.DUMMYFUNCTION("""COMPUTED_VALUE"""),"application/pdf")</f>
        <v>application/pdf</v>
      </c>
    </row>
    <row r="2321">
      <c r="A2321" s="339" t="str">
        <f>IFERROR(__xludf.DUMMYFUNCTION("""COMPUTED_VALUE"""),"10.1257/aer.102.1.337")</f>
        <v>10.1257/aer.102.1.337</v>
      </c>
      <c r="B2321" s="445" t="str">
        <f>IFERROR(__xludf.DUMMYFUNCTION("""COMPUTED_VALUE"""),"https://drive.google.com/file/d/1hWfokltwBkoqHFEcC6Y6_dIRzbc3xn2Q/view?usp=drivesdk")</f>
        <v>https://drive.google.com/file/d/1hWfokltwBkoqHFEcC6Y6_dIRzbc3xn2Q/view?usp=drivesdk</v>
      </c>
      <c r="C2321" s="339" t="str">
        <f>IFERROR(__xludf.DUMMYFUNCTION("""COMPUTED_VALUE"""),"10.1257--aer.102.1.337.pdf")</f>
        <v>10.1257--aer.102.1.337.pdf</v>
      </c>
      <c r="D2321" s="159" t="str">
        <f>IFERROR(__xludf.DUMMYFUNCTION("""COMPUTED_VALUE"""),"application/pdf")</f>
        <v>application/pdf</v>
      </c>
    </row>
    <row r="2322">
      <c r="A2322" s="339" t="str">
        <f>IFERROR(__xludf.DUMMYFUNCTION("""COMPUTED_VALUE"""),"10.1257/aer.103.4.1325")</f>
        <v>10.1257/aer.103.4.1325</v>
      </c>
      <c r="B2322" s="445" t="str">
        <f>IFERROR(__xludf.DUMMYFUNCTION("""COMPUTED_VALUE"""),"https://drive.google.com/file/d/11sSauXb0HoVRgYDG9CnOlMBheFEjk0NQ/view?usp=drivesdk")</f>
        <v>https://drive.google.com/file/d/11sSauXb0HoVRgYDG9CnOlMBheFEjk0NQ/view?usp=drivesdk</v>
      </c>
      <c r="C2322" s="339" t="str">
        <f>IFERROR(__xludf.DUMMYFUNCTION("""COMPUTED_VALUE"""),"10.1257--aer.103.4.1325.pdf")</f>
        <v>10.1257--aer.103.4.1325.pdf</v>
      </c>
      <c r="D2322" s="159" t="str">
        <f>IFERROR(__xludf.DUMMYFUNCTION("""COMPUTED_VALUE"""),"application/pdf")</f>
        <v>application/pdf</v>
      </c>
    </row>
    <row r="2323">
      <c r="A2323" s="339" t="str">
        <f>IFERROR(__xludf.DUMMYFUNCTION("""COMPUTED_VALUE"""),"10.1093/qje/qjr034")</f>
        <v>10.1093/qje/qjr034</v>
      </c>
      <c r="B2323" s="445" t="str">
        <f>IFERROR(__xludf.DUMMYFUNCTION("""COMPUTED_VALUE"""),"https://drive.google.com/file/d/1aDSm4Lq4K8IFN4JH8XXWURoEKbUjjmL3/view?usp=drivesdk")</f>
        <v>https://drive.google.com/file/d/1aDSm4Lq4K8IFN4JH8XXWURoEKbUjjmL3/view?usp=drivesdk</v>
      </c>
      <c r="C2323" s="339" t="str">
        <f>IFERROR(__xludf.DUMMYFUNCTION("""COMPUTED_VALUE"""),"10.1093--qje--qjr034.pdf")</f>
        <v>10.1093--qje--qjr034.pdf</v>
      </c>
      <c r="D2323" s="159" t="str">
        <f>IFERROR(__xludf.DUMMYFUNCTION("""COMPUTED_VALUE"""),"application/pdf")</f>
        <v>application/pdf</v>
      </c>
    </row>
    <row r="2324">
      <c r="A2324" s="339" t="str">
        <f>IFERROR(__xludf.DUMMYFUNCTION("""COMPUTED_VALUE"""),"10.1257/aer.101.2.526")</f>
        <v>10.1257/aer.101.2.526</v>
      </c>
      <c r="B2324" s="445" t="str">
        <f>IFERROR(__xludf.DUMMYFUNCTION("""COMPUTED_VALUE"""),"https://drive.google.com/file/d/1DOLllL6R7032IvCSzFDDyxUuY_nU2qkX/view?usp=drivesdk")</f>
        <v>https://drive.google.com/file/d/1DOLllL6R7032IvCSzFDDyxUuY_nU2qkX/view?usp=drivesdk</v>
      </c>
      <c r="C2324" s="339" t="str">
        <f>IFERROR(__xludf.DUMMYFUNCTION("""COMPUTED_VALUE"""),"10.1257--aer.101.2.526.pdf")</f>
        <v>10.1257--aer.101.2.526.pdf</v>
      </c>
      <c r="D2324" s="159" t="str">
        <f>IFERROR(__xludf.DUMMYFUNCTION("""COMPUTED_VALUE"""),"application/pdf")</f>
        <v>application/pdf</v>
      </c>
    </row>
    <row r="2325">
      <c r="A2325" s="339" t="str">
        <f>IFERROR(__xludf.DUMMYFUNCTION("""COMPUTED_VALUE"""),"10.1257/aer.104.6.1735")</f>
        <v>10.1257/aer.104.6.1735</v>
      </c>
      <c r="B2325" s="445" t="str">
        <f>IFERROR(__xludf.DUMMYFUNCTION("""COMPUTED_VALUE"""),"https://drive.google.com/file/d/1wDNXb0olz39__EV_LKeVH7NGHiDMCeB6/view?usp=drivesdk")</f>
        <v>https://drive.google.com/file/d/1wDNXb0olz39__EV_LKeVH7NGHiDMCeB6/view?usp=drivesdk</v>
      </c>
      <c r="C2325" s="339" t="str">
        <f>IFERROR(__xludf.DUMMYFUNCTION("""COMPUTED_VALUE"""),"10.1257--aer.104.6.1735.pdf")</f>
        <v>10.1257--aer.104.6.1735.pdf</v>
      </c>
      <c r="D2325" s="159" t="str">
        <f>IFERROR(__xludf.DUMMYFUNCTION("""COMPUTED_VALUE"""),"application/pdf")</f>
        <v>application/pdf</v>
      </c>
    </row>
    <row r="2326">
      <c r="A2326" s="339" t="str">
        <f>IFERROR(__xludf.DUMMYFUNCTION("""COMPUTED_VALUE"""),"10.1257/aer.104.11.3434")</f>
        <v>10.1257/aer.104.11.3434</v>
      </c>
      <c r="B2326" s="445" t="str">
        <f>IFERROR(__xludf.DUMMYFUNCTION("""COMPUTED_VALUE"""),"https://drive.google.com/file/d/1_GSFYpdpPE9KlDDSJISHSbkxPaGiv90y/view?usp=drivesdk")</f>
        <v>https://drive.google.com/file/d/1_GSFYpdpPE9KlDDSJISHSbkxPaGiv90y/view?usp=drivesdk</v>
      </c>
      <c r="C2326" s="339" t="str">
        <f>IFERROR(__xludf.DUMMYFUNCTION("""COMPUTED_VALUE"""),"10.1257--aer.104.11.3434.pdf")</f>
        <v>10.1257--aer.104.11.3434.pdf</v>
      </c>
      <c r="D2326" s="159" t="str">
        <f>IFERROR(__xludf.DUMMYFUNCTION("""COMPUTED_VALUE"""),"application/pdf")</f>
        <v>application/pdf</v>
      </c>
    </row>
    <row r="2327">
      <c r="A2327" s="339" t="str">
        <f>IFERROR(__xludf.DUMMYFUNCTION("""COMPUTED_VALUE"""),"10.1257/aer.101.6.2562")</f>
        <v>10.1257/aer.101.6.2562</v>
      </c>
      <c r="B2327" s="445" t="str">
        <f>IFERROR(__xludf.DUMMYFUNCTION("""COMPUTED_VALUE"""),"https://drive.google.com/file/d/1CufoZHl_KItNfmOr5x_-4R-WsAKrS65V/view?usp=drivesdk")</f>
        <v>https://drive.google.com/file/d/1CufoZHl_KItNfmOr5x_-4R-WsAKrS65V/view?usp=drivesdk</v>
      </c>
      <c r="C2327" s="339" t="str">
        <f>IFERROR(__xludf.DUMMYFUNCTION("""COMPUTED_VALUE"""),"10.1257--aer.101.6.2562.pdf")</f>
        <v>10.1257--aer.101.6.2562.pdf</v>
      </c>
      <c r="D2327" s="159" t="str">
        <f>IFERROR(__xludf.DUMMYFUNCTION("""COMPUTED_VALUE"""),"application/pdf")</f>
        <v>application/pdf</v>
      </c>
    </row>
    <row r="2328">
      <c r="A2328" s="339" t="str">
        <f>IFERROR(__xludf.DUMMYFUNCTION("""COMPUTED_VALUE"""),"10.1257/aer.101.4.1211")</f>
        <v>10.1257/aer.101.4.1211</v>
      </c>
      <c r="B2328" s="445" t="str">
        <f>IFERROR(__xludf.DUMMYFUNCTION("""COMPUTED_VALUE"""),"https://drive.google.com/file/d/1NxbR_bwAiYFpZjIg55CMPxWtvCoOVIAQ/view?usp=drivesdk")</f>
        <v>https://drive.google.com/file/d/1NxbR_bwAiYFpZjIg55CMPxWtvCoOVIAQ/view?usp=drivesdk</v>
      </c>
      <c r="C2328" s="339" t="str">
        <f>IFERROR(__xludf.DUMMYFUNCTION("""COMPUTED_VALUE"""),"10.1257--aer.101.4.1211.pdf")</f>
        <v>10.1257--aer.101.4.1211.pdf</v>
      </c>
      <c r="D2328" s="159" t="str">
        <f>IFERROR(__xludf.DUMMYFUNCTION("""COMPUTED_VALUE"""),"application/pdf")</f>
        <v>application/pdf</v>
      </c>
    </row>
    <row r="2329">
      <c r="A2329" s="339" t="str">
        <f>IFERROR(__xludf.DUMMYFUNCTION("""COMPUTED_VALUE"""),"10.1257/aer.102.2.834")</f>
        <v>10.1257/aer.102.2.834</v>
      </c>
      <c r="B2329" s="445" t="str">
        <f>IFERROR(__xludf.DUMMYFUNCTION("""COMPUTED_VALUE"""),"https://drive.google.com/file/d/15obABizUe2mVP6tTA7xfzSOU9zsFeGRP/view?usp=drivesdk")</f>
        <v>https://drive.google.com/file/d/15obABizUe2mVP6tTA7xfzSOU9zsFeGRP/view?usp=drivesdk</v>
      </c>
      <c r="C2329" s="339" t="str">
        <f>IFERROR(__xludf.DUMMYFUNCTION("""COMPUTED_VALUE"""),"10.1257--aer.102.2.834.pdf")</f>
        <v>10.1257--aer.102.2.834.pdf</v>
      </c>
      <c r="D2329" s="159" t="str">
        <f>IFERROR(__xludf.DUMMYFUNCTION("""COMPUTED_VALUE"""),"application/pdf")</f>
        <v>application/pdf</v>
      </c>
    </row>
    <row r="2330">
      <c r="A2330" s="339" t="str">
        <f>IFERROR(__xludf.DUMMYFUNCTION("""COMPUTED_VALUE"""),"10.1257/aer.102.7.3317")</f>
        <v>10.1257/aer.102.7.3317</v>
      </c>
      <c r="B2330" s="445" t="str">
        <f>IFERROR(__xludf.DUMMYFUNCTION("""COMPUTED_VALUE"""),"https://drive.google.com/file/d/1vGGh8iNvz5riiPFFfaYWDPoBsN1DieSC/view?usp=drivesdk")</f>
        <v>https://drive.google.com/file/d/1vGGh8iNvz5riiPFFfaYWDPoBsN1DieSC/view?usp=drivesdk</v>
      </c>
      <c r="C2330" s="339" t="str">
        <f>IFERROR(__xludf.DUMMYFUNCTION("""COMPUTED_VALUE"""),"10.1257--aer.102.7.3317.pdf")</f>
        <v>10.1257--aer.102.7.3317.pdf</v>
      </c>
      <c r="D2330" s="159" t="str">
        <f>IFERROR(__xludf.DUMMYFUNCTION("""COMPUTED_VALUE"""),"application/pdf")</f>
        <v>application/pdf</v>
      </c>
    </row>
    <row r="2331">
      <c r="A2331" s="339" t="str">
        <f>IFERROR(__xludf.DUMMYFUNCTION("""COMPUTED_VALUE"""),"10.1257/aer.101.2.470")</f>
        <v>10.1257/aer.101.2.470</v>
      </c>
      <c r="B2331" s="445" t="str">
        <f>IFERROR(__xludf.DUMMYFUNCTION("""COMPUTED_VALUE"""),"https://drive.google.com/file/d/1nZRWE8YtR8lD6JVTIYbN9Kn9F6IO3Tol/view?usp=drivesdk")</f>
        <v>https://drive.google.com/file/d/1nZRWE8YtR8lD6JVTIYbN9Kn9F6IO3Tol/view?usp=drivesdk</v>
      </c>
      <c r="C2331" s="339" t="str">
        <f>IFERROR(__xludf.DUMMYFUNCTION("""COMPUTED_VALUE"""),"10.1257--aer.101.2.470.pdf")</f>
        <v>10.1257--aer.101.2.470.pdf</v>
      </c>
      <c r="D2331" s="159" t="str">
        <f>IFERROR(__xludf.DUMMYFUNCTION("""COMPUTED_VALUE"""),"application/pdf")</f>
        <v>application/pdf</v>
      </c>
    </row>
    <row r="2332">
      <c r="A2332" s="339" t="str">
        <f>IFERROR(__xludf.DUMMYFUNCTION("""COMPUTED_VALUE"""),"10.1016/j.ecresq.2019.10.004")</f>
        <v>10.1016/j.ecresq.2019.10.004</v>
      </c>
      <c r="B2332" s="445" t="str">
        <f>IFERROR(__xludf.DUMMYFUNCTION("""COMPUTED_VALUE"""),"https://drive.google.com/file/d/1w5TanXJyS5YVblHirQgJO5zKr4e7CFnK/view?usp=drivesdk")</f>
        <v>https://drive.google.com/file/d/1w5TanXJyS5YVblHirQgJO5zKr4e7CFnK/view?usp=drivesdk</v>
      </c>
      <c r="C2332" s="339" t="str">
        <f>IFERROR(__xludf.DUMMYFUNCTION("""COMPUTED_VALUE"""),"10.1016--j.ecresq.2019.10.004.pdf")</f>
        <v>10.1016--j.ecresq.2019.10.004.pdf</v>
      </c>
      <c r="D2332" s="159" t="str">
        <f>IFERROR(__xludf.DUMMYFUNCTION("""COMPUTED_VALUE"""),"application/pdf")</f>
        <v>application/pdf</v>
      </c>
    </row>
    <row r="2333">
      <c r="A2333" s="339" t="str">
        <f>IFERROR(__xludf.DUMMYFUNCTION("""COMPUTED_VALUE"""),"10.1111/1467-9280.02436")</f>
        <v>10.1111/1467-9280.02436</v>
      </c>
      <c r="B2333" s="445" t="str">
        <f>IFERROR(__xludf.DUMMYFUNCTION("""COMPUTED_VALUE"""),"https://drive.google.com/file/d/1KeSwecAaGUPly_0Khma5VYzCJyRIWBpt/view?usp=drivesdk")</f>
        <v>https://drive.google.com/file/d/1KeSwecAaGUPly_0Khma5VYzCJyRIWBpt/view?usp=drivesdk</v>
      </c>
      <c r="C2333" s="339" t="str">
        <f>IFERROR(__xludf.DUMMYFUNCTION("""COMPUTED_VALUE"""),"10.1111--1467-9280.02436.pdf")</f>
        <v>10.1111--1467-9280.02436.pdf</v>
      </c>
      <c r="D2333" s="159" t="str">
        <f>IFERROR(__xludf.DUMMYFUNCTION("""COMPUTED_VALUE"""),"application/pdf")</f>
        <v>application/pdf</v>
      </c>
    </row>
    <row r="2334">
      <c r="A2334" s="339" t="str">
        <f>IFERROR(__xludf.DUMMYFUNCTION("""COMPUTED_VALUE"""),"10.1016/j.obhdp.2010.10.001")</f>
        <v>10.1016/j.obhdp.2010.10.001</v>
      </c>
      <c r="B2334" s="445" t="str">
        <f>IFERROR(__xludf.DUMMYFUNCTION("""COMPUTED_VALUE"""),"https://drive.google.com/file/d/1zCYZDaOwE-K33Jkam-tMneBjxjoNVHza/view?usp=drivesdk")</f>
        <v>https://drive.google.com/file/d/1zCYZDaOwE-K33Jkam-tMneBjxjoNVHza/view?usp=drivesdk</v>
      </c>
      <c r="C2334" s="339" t="str">
        <f>IFERROR(__xludf.DUMMYFUNCTION("""COMPUTED_VALUE"""),"10.1016--j.obhdp.2010.10.001.pdf")</f>
        <v>10.1016--j.obhdp.2010.10.001.pdf</v>
      </c>
      <c r="D2334" s="159" t="str">
        <f>IFERROR(__xludf.DUMMYFUNCTION("""COMPUTED_VALUE"""),"application/pdf")</f>
        <v>application/pdf</v>
      </c>
    </row>
    <row r="2335">
      <c r="A2335" s="339" t="str">
        <f>IFERROR(__xludf.DUMMYFUNCTION("""COMPUTED_VALUE"""),"10.1038/s41467-021-27323-3")</f>
        <v>10.1038/s41467-021-27323-3</v>
      </c>
      <c r="B2335" s="445" t="str">
        <f>IFERROR(__xludf.DUMMYFUNCTION("""COMPUTED_VALUE"""),"https://drive.google.com/file/d/1E9n7K_S1QjugzYn-rTEbb--ETbvudVse/view?usp=drivesdk")</f>
        <v>https://drive.google.com/file/d/1E9n7K_S1QjugzYn-rTEbb--ETbvudVse/view?usp=drivesdk</v>
      </c>
      <c r="C2335" s="339" t="str">
        <f>IFERROR(__xludf.DUMMYFUNCTION("""COMPUTED_VALUE"""),"10.1038--s41467-021-27323-3.pdf")</f>
        <v>10.1038--s41467-021-27323-3.pdf</v>
      </c>
      <c r="D2335" s="159" t="str">
        <f>IFERROR(__xludf.DUMMYFUNCTION("""COMPUTED_VALUE"""),"application/pdf")</f>
        <v>application/pdf</v>
      </c>
    </row>
    <row r="2336">
      <c r="A2336" s="339" t="str">
        <f>IFERROR(__xludf.DUMMYFUNCTION("""COMPUTED_VALUE"""),"10.1177/09567976221082637")</f>
        <v>10.1177/09567976221082637</v>
      </c>
      <c r="B2336" s="445" t="str">
        <f>IFERROR(__xludf.DUMMYFUNCTION("""COMPUTED_VALUE"""),"https://drive.google.com/file/d/1ETLxNzxxAx38Kbjl_2clUvwzL5DDrTd8/view?usp=drivesdk")</f>
        <v>https://drive.google.com/file/d/1ETLxNzxxAx38Kbjl_2clUvwzL5DDrTd8/view?usp=drivesdk</v>
      </c>
      <c r="C2336" s="339" t="str">
        <f>IFERROR(__xludf.DUMMYFUNCTION("""COMPUTED_VALUE"""),"10.1177--09567976221082637.pdf")</f>
        <v>10.1177--09567976221082637.pdf</v>
      </c>
      <c r="D2336" s="159" t="str">
        <f>IFERROR(__xludf.DUMMYFUNCTION("""COMPUTED_VALUE"""),"application/pdf")</f>
        <v>application/pdf</v>
      </c>
    </row>
    <row r="2337">
      <c r="A2337" s="339" t="str">
        <f>IFERROR(__xludf.DUMMYFUNCTION("""COMPUTED_VALUE"""),"10.1111/cogs.12605")</f>
        <v>10.1111/cogs.12605</v>
      </c>
      <c r="B2337" s="445" t="str">
        <f>IFERROR(__xludf.DUMMYFUNCTION("""COMPUTED_VALUE"""),"https://drive.google.com/file/d/1fqDwT6f6uPiUgL_jMbCxBCBzksaDNMma/view?usp=drivesdk")</f>
        <v>https://drive.google.com/file/d/1fqDwT6f6uPiUgL_jMbCxBCBzksaDNMma/view?usp=drivesdk</v>
      </c>
      <c r="C2337" s="339" t="str">
        <f>IFERROR(__xludf.DUMMYFUNCTION("""COMPUTED_VALUE"""),"10.1111--cogs.12605.pdf")</f>
        <v>10.1111--cogs.12605.pdf</v>
      </c>
      <c r="D2337" s="159" t="str">
        <f>IFERROR(__xludf.DUMMYFUNCTION("""COMPUTED_VALUE"""),"application/pdf")</f>
        <v>application/pdf</v>
      </c>
    </row>
    <row r="2338">
      <c r="A2338" s="339" t="str">
        <f>IFERROR(__xludf.DUMMYFUNCTION("""COMPUTED_VALUE"""),"10.1089/cyber.2016.0530")</f>
        <v>10.1089/cyber.2016.0530</v>
      </c>
      <c r="B2338" s="445" t="str">
        <f>IFERROR(__xludf.DUMMYFUNCTION("""COMPUTED_VALUE"""),"https://drive.google.com/file/d/1Z0u77Ei4pPZsjR5reXLadM9xd0tgKrac/view?usp=drivesdk")</f>
        <v>https://drive.google.com/file/d/1Z0u77Ei4pPZsjR5reXLadM9xd0tgKrac/view?usp=drivesdk</v>
      </c>
      <c r="C2338" s="339" t="str">
        <f>IFERROR(__xludf.DUMMYFUNCTION("""COMPUTED_VALUE"""),"10.1089--cyber.2016.0530.pdf")</f>
        <v>10.1089--cyber.2016.0530.pdf</v>
      </c>
      <c r="D2338" s="159" t="str">
        <f>IFERROR(__xludf.DUMMYFUNCTION("""COMPUTED_VALUE"""),"application/pdf")</f>
        <v>application/pdf</v>
      </c>
    </row>
    <row r="2339">
      <c r="A2339" s="339" t="str">
        <f>IFERROR(__xludf.DUMMYFUNCTION("""COMPUTED_VALUE"""),"10.1515/ling.2011.016")</f>
        <v>10.1515/ling.2011.016</v>
      </c>
      <c r="B2339" s="445" t="str">
        <f>IFERROR(__xludf.DUMMYFUNCTION("""COMPUTED_VALUE"""),"https://drive.google.com/file/d/1OhQWWe3jm8WtNRylZvAGE-c4xHX8dswr/view?usp=drivesdk")</f>
        <v>https://drive.google.com/file/d/1OhQWWe3jm8WtNRylZvAGE-c4xHX8dswr/view?usp=drivesdk</v>
      </c>
      <c r="C2339" s="339" t="str">
        <f>IFERROR(__xludf.DUMMYFUNCTION("""COMPUTED_VALUE"""),"10.1515--ling.2011.016.pdf")</f>
        <v>10.1515--ling.2011.016.pdf</v>
      </c>
      <c r="D2339" s="159" t="str">
        <f>IFERROR(__xludf.DUMMYFUNCTION("""COMPUTED_VALUE"""),"application/pdf")</f>
        <v>application/pdf</v>
      </c>
    </row>
    <row r="2340">
      <c r="A2340" s="339" t="str">
        <f>IFERROR(__xludf.DUMMYFUNCTION("""COMPUTED_VALUE"""),"10.1093/jos/ffw010")</f>
        <v>10.1093/jos/ffw010</v>
      </c>
      <c r="B2340" s="445" t="str">
        <f>IFERROR(__xludf.DUMMYFUNCTION("""COMPUTED_VALUE"""),"https://drive.google.com/file/d/10gwwst21XMDLdZDUQ3-UJKa2tLRTlO7K/view?usp=drivesdk")</f>
        <v>https://drive.google.com/file/d/10gwwst21XMDLdZDUQ3-UJKa2tLRTlO7K/view?usp=drivesdk</v>
      </c>
      <c r="C2340" s="339" t="str">
        <f>IFERROR(__xludf.DUMMYFUNCTION("""COMPUTED_VALUE"""),"10.1093--jos--ffw010.pdf")</f>
        <v>10.1093--jos--ffw010.pdf</v>
      </c>
      <c r="D2340" s="159" t="str">
        <f>IFERROR(__xludf.DUMMYFUNCTION("""COMPUTED_VALUE"""),"application/pdf")</f>
        <v>application/pdf</v>
      </c>
    </row>
    <row r="2341">
      <c r="A2341" s="339" t="str">
        <f>IFERROR(__xludf.DUMMYFUNCTION("""COMPUTED_VALUE"""),"10.1037/xge0000738")</f>
        <v>10.1037/xge0000738</v>
      </c>
      <c r="B2341" s="445" t="str">
        <f>IFERROR(__xludf.DUMMYFUNCTION("""COMPUTED_VALUE"""),"https://drive.google.com/file/d/18gORVnI1F3fjlDcwB6OsrshMJDerCS2r/view?usp=drivesdk")</f>
        <v>https://drive.google.com/file/d/18gORVnI1F3fjlDcwB6OsrshMJDerCS2r/view?usp=drivesdk</v>
      </c>
      <c r="C2341" s="339" t="str">
        <f>IFERROR(__xludf.DUMMYFUNCTION("""COMPUTED_VALUE"""),"10.1037--xge0000738.pdf")</f>
        <v>10.1037--xge0000738.pdf</v>
      </c>
      <c r="D2341" s="159" t="str">
        <f>IFERROR(__xludf.DUMMYFUNCTION("""COMPUTED_VALUE"""),"application/pdf")</f>
        <v>application/pdf</v>
      </c>
    </row>
    <row r="2342">
      <c r="A2342" s="339" t="str">
        <f>IFERROR(__xludf.DUMMYFUNCTION("""COMPUTED_VALUE"""),"10.1093/workar/waac024")</f>
        <v>10.1093/workar/waac024</v>
      </c>
      <c r="B2342" s="445" t="str">
        <f>IFERROR(__xludf.DUMMYFUNCTION("""COMPUTED_VALUE"""),"https://drive.google.com/file/d/17KV68RT0MMeGKz0n7gj1Dsmt7YXSfvOC/view?usp=drivesdk")</f>
        <v>https://drive.google.com/file/d/17KV68RT0MMeGKz0n7gj1Dsmt7YXSfvOC/view?usp=drivesdk</v>
      </c>
      <c r="C2342" s="339" t="str">
        <f>IFERROR(__xludf.DUMMYFUNCTION("""COMPUTED_VALUE"""),"10.1093--workar--waac024.pdf")</f>
        <v>10.1093--workar--waac024.pdf</v>
      </c>
      <c r="D2342" s="159" t="str">
        <f>IFERROR(__xludf.DUMMYFUNCTION("""COMPUTED_VALUE"""),"application/pdf")</f>
        <v>application/pdf</v>
      </c>
    </row>
    <row r="2343">
      <c r="A2343" s="339" t="str">
        <f>IFERROR(__xludf.DUMMYFUNCTION("""COMPUTED_VALUE"""),"10.1523/jneurosci.2377-10.2010")</f>
        <v>10.1523/jneurosci.2377-10.2010</v>
      </c>
      <c r="B2343" s="445" t="str">
        <f>IFERROR(__xludf.DUMMYFUNCTION("""COMPUTED_VALUE"""),"https://drive.google.com/file/d/1tNWBEIyqVAkKjP7KUoSu2t3rEj4DPo_A/view?usp=drivesdk")</f>
        <v>https://drive.google.com/file/d/1tNWBEIyqVAkKjP7KUoSu2t3rEj4DPo_A/view?usp=drivesdk</v>
      </c>
      <c r="C2343" s="339" t="str">
        <f>IFERROR(__xludf.DUMMYFUNCTION("""COMPUTED_VALUE"""),"10.1523--jneurosci.2377-10.2010.pdf")</f>
        <v>10.1523--jneurosci.2377-10.2010.pdf</v>
      </c>
      <c r="D2343" s="159" t="str">
        <f>IFERROR(__xludf.DUMMYFUNCTION("""COMPUTED_VALUE"""),"application/pdf")</f>
        <v>application/pdf</v>
      </c>
    </row>
    <row r="2344">
      <c r="A2344" s="339" t="str">
        <f>IFERROR(__xludf.DUMMYFUNCTION("""COMPUTED_VALUE"""),"10.1523/jneurosci.18-23-10105.1998")</f>
        <v>10.1523/jneurosci.18-23-10105.1998</v>
      </c>
      <c r="B2344" s="445" t="str">
        <f>IFERROR(__xludf.DUMMYFUNCTION("""COMPUTED_VALUE"""),"https://drive.google.com/file/d/1tMrBtPVk07Vt3IgjI_4ese_KDvqQCuKK/view?usp=drivesdk")</f>
        <v>https://drive.google.com/file/d/1tMrBtPVk07Vt3IgjI_4ese_KDvqQCuKK/view?usp=drivesdk</v>
      </c>
      <c r="C2344" s="339" t="str">
        <f>IFERROR(__xludf.DUMMYFUNCTION("""COMPUTED_VALUE"""),"10.1523--jneurosci.18-23-10105.1998.pdf")</f>
        <v>10.1523--jneurosci.18-23-10105.1998.pdf</v>
      </c>
      <c r="D2344" s="159" t="str">
        <f>IFERROR(__xludf.DUMMYFUNCTION("""COMPUTED_VALUE"""),"application/pdf")</f>
        <v>application/pdf</v>
      </c>
    </row>
    <row r="2345">
      <c r="A2345" s="339" t="str">
        <f>IFERROR(__xludf.DUMMYFUNCTION("""COMPUTED_VALUE"""),"10.1037/pspi0000081")</f>
        <v>10.1037/pspi0000081</v>
      </c>
      <c r="B2345" s="445" t="str">
        <f>IFERROR(__xludf.DUMMYFUNCTION("""COMPUTED_VALUE"""),"https://drive.google.com/file/d/1GTnjtSM79S6hEZLXrpWxGtZd34NCBmBN/view?usp=drivesdk")</f>
        <v>https://drive.google.com/file/d/1GTnjtSM79S6hEZLXrpWxGtZd34NCBmBN/view?usp=drivesdk</v>
      </c>
      <c r="C2345" s="339" t="str">
        <f>IFERROR(__xludf.DUMMYFUNCTION("""COMPUTED_VALUE"""),"10.1037--pspi0000081.pdf")</f>
        <v>10.1037--pspi0000081.pdf</v>
      </c>
      <c r="D2345" s="159" t="str">
        <f>IFERROR(__xludf.DUMMYFUNCTION("""COMPUTED_VALUE"""),"application/pdf")</f>
        <v>application/pdf</v>
      </c>
    </row>
    <row r="2346">
      <c r="A2346" s="339" t="str">
        <f>IFERROR(__xludf.DUMMYFUNCTION("""COMPUTED_VALUE"""),"10.1037/0022-3514.95.2.293 (1)")</f>
        <v>10.1037/0022-3514.95.2.293 (1)</v>
      </c>
      <c r="B2346" s="445" t="str">
        <f>IFERROR(__xludf.DUMMYFUNCTION("""COMPUTED_VALUE"""),"https://drive.google.com/file/d/1liYat5J_yw4yTHidCRQkdAQyTzcftC6D/view?usp=drivesdk")</f>
        <v>https://drive.google.com/file/d/1liYat5J_yw4yTHidCRQkdAQyTzcftC6D/view?usp=drivesdk</v>
      </c>
      <c r="C2346" s="339" t="str">
        <f>IFERROR(__xludf.DUMMYFUNCTION("""COMPUTED_VALUE"""),"10.1037--0022-3514.95.2.293 (1).pdf")</f>
        <v>10.1037--0022-3514.95.2.293 (1).pdf</v>
      </c>
      <c r="D2346" s="159" t="str">
        <f>IFERROR(__xludf.DUMMYFUNCTION("""COMPUTED_VALUE"""),"application/pdf")</f>
        <v>application/pdf</v>
      </c>
    </row>
    <row r="2347">
      <c r="A2347" s="339" t="str">
        <f>IFERROR(__xludf.DUMMYFUNCTION("""COMPUTED_VALUE"""),"10.1016/j.jesp.2018.05.006")</f>
        <v>10.1016/j.jesp.2018.05.006</v>
      </c>
      <c r="B2347" s="445" t="str">
        <f>IFERROR(__xludf.DUMMYFUNCTION("""COMPUTED_VALUE"""),"https://drive.google.com/file/d/1bbOr5sJJaSFgt-aKadq5yMvKA8ywD97U/view?usp=drivesdk")</f>
        <v>https://drive.google.com/file/d/1bbOr5sJJaSFgt-aKadq5yMvKA8ywD97U/view?usp=drivesdk</v>
      </c>
      <c r="C2347" s="339" t="str">
        <f>IFERROR(__xludf.DUMMYFUNCTION("""COMPUTED_VALUE"""),"10.1016--j.jesp.2018.05.006.pdf")</f>
        <v>10.1016--j.jesp.2018.05.006.pdf</v>
      </c>
      <c r="D2347" s="159" t="str">
        <f>IFERROR(__xludf.DUMMYFUNCTION("""COMPUTED_VALUE"""),"application/pdf")</f>
        <v>application/pdf</v>
      </c>
    </row>
    <row r="2348">
      <c r="A2348" s="339" t="str">
        <f>IFERROR(__xludf.DUMMYFUNCTION("""COMPUTED_VALUE"""),"10.1037/a0028216")</f>
        <v>10.1037/a0028216</v>
      </c>
      <c r="B2348" s="445" t="str">
        <f>IFERROR(__xludf.DUMMYFUNCTION("""COMPUTED_VALUE"""),"https://drive.google.com/file/d/1IK98kxqzXUKr6oiSy5Yh1iZIS2v8ZtnC/view?usp=drivesdk")</f>
        <v>https://drive.google.com/file/d/1IK98kxqzXUKr6oiSy5Yh1iZIS2v8ZtnC/view?usp=drivesdk</v>
      </c>
      <c r="C2348" s="339" t="str">
        <f>IFERROR(__xludf.DUMMYFUNCTION("""COMPUTED_VALUE"""),"10.1037--a0028216.pdf")</f>
        <v>10.1037--a0028216.pdf</v>
      </c>
      <c r="D2348" s="159" t="str">
        <f>IFERROR(__xludf.DUMMYFUNCTION("""COMPUTED_VALUE"""),"application/pdf")</f>
        <v>application/pdf</v>
      </c>
    </row>
    <row r="2349">
      <c r="A2349" s="339" t="str">
        <f>IFERROR(__xludf.DUMMYFUNCTION("""COMPUTED_VALUE"""),"10.1016/j.neuropsychologia.2009.05.011")</f>
        <v>10.1016/j.neuropsychologia.2009.05.011</v>
      </c>
      <c r="B2349" s="445" t="str">
        <f>IFERROR(__xludf.DUMMYFUNCTION("""COMPUTED_VALUE"""),"https://drive.google.com/file/d/1Wo_ZWAFaujgNZeZ0tdEdLIIUT-PUrDAy/view?usp=drivesdk")</f>
        <v>https://drive.google.com/file/d/1Wo_ZWAFaujgNZeZ0tdEdLIIUT-PUrDAy/view?usp=drivesdk</v>
      </c>
      <c r="C2349" s="339" t="str">
        <f>IFERROR(__xludf.DUMMYFUNCTION("""COMPUTED_VALUE"""),"10.1016--j.neuropsychologia.2009.05.011.pdf")</f>
        <v>10.1016--j.neuropsychologia.2009.05.011.pdf</v>
      </c>
      <c r="D2349" s="159" t="str">
        <f>IFERROR(__xludf.DUMMYFUNCTION("""COMPUTED_VALUE"""),"application/pdf")</f>
        <v>application/pdf</v>
      </c>
    </row>
    <row r="2350">
      <c r="A2350" s="339" t="str">
        <f>IFERROR(__xludf.DUMMYFUNCTION("""COMPUTED_VALUE"""),"10.3758/s13428-021-01694-3")</f>
        <v>10.3758/s13428-021-01694-3</v>
      </c>
      <c r="B2350" s="445" t="str">
        <f>IFERROR(__xludf.DUMMYFUNCTION("""COMPUTED_VALUE"""),"https://drive.google.com/file/d/1pWRSPkrpkB4P8JrAypP4cdltGfovv0wT/view?usp=drivesdk")</f>
        <v>https://drive.google.com/file/d/1pWRSPkrpkB4P8JrAypP4cdltGfovv0wT/view?usp=drivesdk</v>
      </c>
      <c r="C2350" s="339" t="str">
        <f>IFERROR(__xludf.DUMMYFUNCTION("""COMPUTED_VALUE"""),"10.3758--s13428-021-01694-3.pdf")</f>
        <v>10.3758--s13428-021-01694-3.pdf</v>
      </c>
      <c r="D2350" s="159" t="str">
        <f>IFERROR(__xludf.DUMMYFUNCTION("""COMPUTED_VALUE"""),"application/pdf")</f>
        <v>application/pdf</v>
      </c>
    </row>
    <row r="2351">
      <c r="A2351" s="339" t="str">
        <f>IFERROR(__xludf.DUMMYFUNCTION("""COMPUTED_VALUE"""),"10.1162/jocn_a_00709")</f>
        <v>10.1162/jocn_a_00709</v>
      </c>
      <c r="B2351" s="445" t="str">
        <f>IFERROR(__xludf.DUMMYFUNCTION("""COMPUTED_VALUE"""),"https://drive.google.com/file/d/1PBsIeDN2jr1Pq3CNrSLb1Xsyr21P2pXL/view?usp=drivesdk")</f>
        <v>https://drive.google.com/file/d/1PBsIeDN2jr1Pq3CNrSLb1Xsyr21P2pXL/view?usp=drivesdk</v>
      </c>
      <c r="C2351" s="339" t="str">
        <f>IFERROR(__xludf.DUMMYFUNCTION("""COMPUTED_VALUE"""),"10.1162--jocn_a_00709.pdf")</f>
        <v>10.1162--jocn_a_00709.pdf</v>
      </c>
      <c r="D2351" s="159" t="str">
        <f>IFERROR(__xludf.DUMMYFUNCTION("""COMPUTED_VALUE"""),"application/pdf")</f>
        <v>application/pdf</v>
      </c>
    </row>
    <row r="2352">
      <c r="A2352" s="339" t="str">
        <f>IFERROR(__xludf.DUMMYFUNCTION("""COMPUTED_VALUE"""),"10.1037/xge0000064")</f>
        <v>10.1037/xge0000064</v>
      </c>
      <c r="B2352" s="445" t="str">
        <f>IFERROR(__xludf.DUMMYFUNCTION("""COMPUTED_VALUE"""),"https://drive.google.com/file/d/1tRDHk6OnUXVNfn6Ll53VYpaT5vuJ4llq/view?usp=drivesdk")</f>
        <v>https://drive.google.com/file/d/1tRDHk6OnUXVNfn6Ll53VYpaT5vuJ4llq/view?usp=drivesdk</v>
      </c>
      <c r="C2352" s="339" t="str">
        <f>IFERROR(__xludf.DUMMYFUNCTION("""COMPUTED_VALUE"""),"10.1037--xge0000064.pdf")</f>
        <v>10.1037--xge0000064.pdf</v>
      </c>
      <c r="D2352" s="159" t="str">
        <f>IFERROR(__xludf.DUMMYFUNCTION("""COMPUTED_VALUE"""),"application/pdf")</f>
        <v>application/pdf</v>
      </c>
    </row>
    <row r="2353">
      <c r="A2353" s="339" t="str">
        <f>IFERROR(__xludf.DUMMYFUNCTION("""COMPUTED_VALUE"""),"10.1037/xge0000263")</f>
        <v>10.1037/xge0000263</v>
      </c>
      <c r="B2353" s="445" t="str">
        <f>IFERROR(__xludf.DUMMYFUNCTION("""COMPUTED_VALUE"""),"https://drive.google.com/file/d/1dqZfs8CV4bFuIXsJrOSHM-_BKTXKhfGR/view?usp=drivesdk")</f>
        <v>https://drive.google.com/file/d/1dqZfs8CV4bFuIXsJrOSHM-_BKTXKhfGR/view?usp=drivesdk</v>
      </c>
      <c r="C2353" s="339" t="str">
        <f>IFERROR(__xludf.DUMMYFUNCTION("""COMPUTED_VALUE"""),"10.1037--xge0000263.pdf")</f>
        <v>10.1037--xge0000263.pdf</v>
      </c>
      <c r="D2353" s="159" t="str">
        <f>IFERROR(__xludf.DUMMYFUNCTION("""COMPUTED_VALUE"""),"application/pdf")</f>
        <v>application/pdf</v>
      </c>
    </row>
    <row r="2354">
      <c r="A2354" s="339" t="str">
        <f>IFERROR(__xludf.DUMMYFUNCTION("""COMPUTED_VALUE"""),"10.1038/nature03390")</f>
        <v>10.1038/nature03390</v>
      </c>
      <c r="B2354" s="445" t="str">
        <f>IFERROR(__xludf.DUMMYFUNCTION("""COMPUTED_VALUE"""),"https://drive.google.com/file/d/1SrRdwzLZMo2zK6deXcTRyDZ9oh1TesUR/view?usp=drivesdk")</f>
        <v>https://drive.google.com/file/d/1SrRdwzLZMo2zK6deXcTRyDZ9oh1TesUR/view?usp=drivesdk</v>
      </c>
      <c r="C2354" s="339" t="str">
        <f>IFERROR(__xludf.DUMMYFUNCTION("""COMPUTED_VALUE"""),"10.1038--nature03390.pdf")</f>
        <v>10.1038--nature03390.pdf</v>
      </c>
      <c r="D2354" s="159" t="str">
        <f>IFERROR(__xludf.DUMMYFUNCTION("""COMPUTED_VALUE"""),"application/pdf")</f>
        <v>application/pdf</v>
      </c>
    </row>
    <row r="2355">
      <c r="A2355" s="339" t="str">
        <f>IFERROR(__xludf.DUMMYFUNCTION("""COMPUTED_VALUE"""),"10.1037/0278-7393.34.1.146 (1)")</f>
        <v>10.1037/0278-7393.34.1.146 (1)</v>
      </c>
      <c r="B2355" s="445" t="str">
        <f>IFERROR(__xludf.DUMMYFUNCTION("""COMPUTED_VALUE"""),"https://drive.google.com/file/d/1_jNr1q-vJc4TjV8gK7ip_XHRAMrGaQqA/view?usp=drivesdk")</f>
        <v>https://drive.google.com/file/d/1_jNr1q-vJc4TjV8gK7ip_XHRAMrGaQqA/view?usp=drivesdk</v>
      </c>
      <c r="C2355" s="339" t="str">
        <f>IFERROR(__xludf.DUMMYFUNCTION("""COMPUTED_VALUE"""),"10.1037--0278-7393.34.1.146 (1).pdf")</f>
        <v>10.1037--0278-7393.34.1.146 (1).pdf</v>
      </c>
      <c r="D2355" s="159" t="str">
        <f>IFERROR(__xludf.DUMMYFUNCTION("""COMPUTED_VALUE"""),"application/pdf")</f>
        <v>application/pdf</v>
      </c>
    </row>
    <row r="2356">
      <c r="A2356" s="339" t="str">
        <f>IFERROR(__xludf.DUMMYFUNCTION("""COMPUTED_VALUE"""),"10.1037/0022-3514.95.1.76 (1)")</f>
        <v>10.1037/0022-3514.95.1.76 (1)</v>
      </c>
      <c r="B2356" s="445" t="str">
        <f>IFERROR(__xludf.DUMMYFUNCTION("""COMPUTED_VALUE"""),"https://drive.google.com/file/d/1cl2H57dfOOpFzEqSME3liLRb8RrZrEbY/view?usp=drivesdk")</f>
        <v>https://drive.google.com/file/d/1cl2H57dfOOpFzEqSME3liLRb8RrZrEbY/view?usp=drivesdk</v>
      </c>
      <c r="C2356" s="339" t="str">
        <f>IFERROR(__xludf.DUMMYFUNCTION("""COMPUTED_VALUE"""),"10.1037--0022-3514.95.1.76 (1).pdf")</f>
        <v>10.1037--0022-3514.95.1.76 (1).pdf</v>
      </c>
      <c r="D2356" s="159" t="str">
        <f>IFERROR(__xludf.DUMMYFUNCTION("""COMPUTED_VALUE"""),"application/pdf")</f>
        <v>application/pdf</v>
      </c>
    </row>
    <row r="2357">
      <c r="A2357" s="339" t="str">
        <f>IFERROR(__xludf.DUMMYFUNCTION("""COMPUTED_VALUE"""),"10.1037/a003210894")</f>
        <v>10.1037/a003210894</v>
      </c>
      <c r="B2357" s="445" t="str">
        <f>IFERROR(__xludf.DUMMYFUNCTION("""COMPUTED_VALUE"""),"https://drive.google.com/file/d/1S_1bC54b_CF_KpBDtwLxeDYcQEWMTRW_/view?usp=drivesdk")</f>
        <v>https://drive.google.com/file/d/1S_1bC54b_CF_KpBDtwLxeDYcQEWMTRW_/view?usp=drivesdk</v>
      </c>
      <c r="C2357" s="339" t="str">
        <f>IFERROR(__xludf.DUMMYFUNCTION("""COMPUTED_VALUE"""),"10.1037--a003210894.pdf")</f>
        <v>10.1037--a003210894.pdf</v>
      </c>
      <c r="D2357" s="159" t="str">
        <f>IFERROR(__xludf.DUMMYFUNCTION("""COMPUTED_VALUE"""),"application/pdf")</f>
        <v>application/pdf</v>
      </c>
    </row>
    <row r="2358">
      <c r="A2358" s="339" t="str">
        <f>IFERROR(__xludf.DUMMYFUNCTION("""COMPUTED_VALUE"""),"10.1016/j.cognition.2017.06.025")</f>
        <v>10.1016/j.cognition.2017.06.025</v>
      </c>
      <c r="B2358" s="445" t="str">
        <f>IFERROR(__xludf.DUMMYFUNCTION("""COMPUTED_VALUE"""),"https://drive.google.com/file/d/13eFbDRsrT4E_alMlB_gHi3f-ptev6t5p/view?usp=drivesdk")</f>
        <v>https://drive.google.com/file/d/13eFbDRsrT4E_alMlB_gHi3f-ptev6t5p/view?usp=drivesdk</v>
      </c>
      <c r="C2358" s="339" t="str">
        <f>IFERROR(__xludf.DUMMYFUNCTION("""COMPUTED_VALUE"""),"10.1016--j.cognition.2017.06.025.pdf")</f>
        <v>10.1016--j.cognition.2017.06.025.pdf</v>
      </c>
      <c r="D2358" s="159" t="str">
        <f>IFERROR(__xludf.DUMMYFUNCTION("""COMPUTED_VALUE"""),"application/pdf")</f>
        <v>application/pdf</v>
      </c>
    </row>
    <row r="2359">
      <c r="A2359" s="339" t="str">
        <f>IFERROR(__xludf.DUMMYFUNCTION("""COMPUTED_VALUE"""),"10.1037/a0016795")</f>
        <v>10.1037/a0016795</v>
      </c>
      <c r="B2359" s="445" t="str">
        <f>IFERROR(__xludf.DUMMYFUNCTION("""COMPUTED_VALUE"""),"https://drive.google.com/file/d/10tpM-QAfI0H0NH6vAvH9VLJJki0FnCbu/view?usp=drivesdk")</f>
        <v>https://drive.google.com/file/d/10tpM-QAfI0H0NH6vAvH9VLJJki0FnCbu/view?usp=drivesdk</v>
      </c>
      <c r="C2359" s="339" t="str">
        <f>IFERROR(__xludf.DUMMYFUNCTION("""COMPUTED_VALUE"""),"10.1037--a0016795.pdf")</f>
        <v>10.1037--a0016795.pdf</v>
      </c>
      <c r="D2359" s="159" t="str">
        <f>IFERROR(__xludf.DUMMYFUNCTION("""COMPUTED_VALUE"""),"application/pdf")</f>
        <v>application/pdf</v>
      </c>
    </row>
    <row r="2360">
      <c r="A2360" s="339" t="str">
        <f>IFERROR(__xludf.DUMMYFUNCTION("""COMPUTED_VALUE"""),"10.1038/s41598-019-57204-1")</f>
        <v>10.1038/s41598-019-57204-1</v>
      </c>
      <c r="B2360" s="445" t="str">
        <f>IFERROR(__xludf.DUMMYFUNCTION("""COMPUTED_VALUE"""),"https://drive.google.com/file/d/1-ByeeNB55CftwPMrOwFmhKHJtA2Cargu/view?usp=drivesdk")</f>
        <v>https://drive.google.com/file/d/1-ByeeNB55CftwPMrOwFmhKHJtA2Cargu/view?usp=drivesdk</v>
      </c>
      <c r="C2360" s="339" t="str">
        <f>IFERROR(__xludf.DUMMYFUNCTION("""COMPUTED_VALUE"""),"10.1038--s41598-019-57204-1.pdf")</f>
        <v>10.1038--s41598-019-57204-1.pdf</v>
      </c>
      <c r="D2360" s="159" t="str">
        <f>IFERROR(__xludf.DUMMYFUNCTION("""COMPUTED_VALUE"""),"application/pdf")</f>
        <v>application/pdf</v>
      </c>
    </row>
    <row r="2361">
      <c r="A2361" s="339" t="str">
        <f>IFERROR(__xludf.DUMMYFUNCTION("""COMPUTED_VALUE"""),"10.1037/0096-3445.132.1.3")</f>
        <v>10.1037/0096-3445.132.1.3</v>
      </c>
      <c r="B2361" s="445" t="str">
        <f>IFERROR(__xludf.DUMMYFUNCTION("""COMPUTED_VALUE"""),"https://drive.google.com/file/d/1uSaalqURvSDrwFTwn8d56akyZ5pLqmJn/view?usp=drivesdk")</f>
        <v>https://drive.google.com/file/d/1uSaalqURvSDrwFTwn8d56akyZ5pLqmJn/view?usp=drivesdk</v>
      </c>
      <c r="C2361" s="339" t="str">
        <f>IFERROR(__xludf.DUMMYFUNCTION("""COMPUTED_VALUE"""),"10.1037--0096-3445.132.1.3.pdf")</f>
        <v>10.1037--0096-3445.132.1.3.pdf</v>
      </c>
      <c r="D2361" s="159" t="str">
        <f>IFERROR(__xludf.DUMMYFUNCTION("""COMPUTED_VALUE"""),"application/pdf")</f>
        <v>application/pdf</v>
      </c>
    </row>
    <row r="2362">
      <c r="A2362" s="339" t="str">
        <f>IFERROR(__xludf.DUMMYFUNCTION("""COMPUTED_VALUE"""),"10.1016/j.cognition.2019.104157")</f>
        <v>10.1016/j.cognition.2019.104157</v>
      </c>
      <c r="B2362" s="445" t="str">
        <f>IFERROR(__xludf.DUMMYFUNCTION("""COMPUTED_VALUE"""),"https://drive.google.com/file/d/1vD03nf0a0BC3Ui7dZPBwsHBn8uBFVmTS/view?usp=drivesdk")</f>
        <v>https://drive.google.com/file/d/1vD03nf0a0BC3Ui7dZPBwsHBn8uBFVmTS/view?usp=drivesdk</v>
      </c>
      <c r="C2362" s="339" t="str">
        <f>IFERROR(__xludf.DUMMYFUNCTION("""COMPUTED_VALUE"""),"10.1016--j.cognition.2019.104157.pdf")</f>
        <v>10.1016--j.cognition.2019.104157.pdf</v>
      </c>
      <c r="D2362" s="159" t="str">
        <f>IFERROR(__xludf.DUMMYFUNCTION("""COMPUTED_VALUE"""),"application/pdf")</f>
        <v>application/pdf</v>
      </c>
    </row>
    <row r="2363">
      <c r="A2363" s="339" t="str">
        <f>IFERROR(__xludf.DUMMYFUNCTION("""COMPUTED_VALUE"""),"10.1037/a0020413")</f>
        <v>10.1037/a0020413</v>
      </c>
      <c r="B2363" s="445" t="str">
        <f>IFERROR(__xludf.DUMMYFUNCTION("""COMPUTED_VALUE"""),"https://drive.google.com/file/d/1s3htODPJ-fx2SsrGMPuuPnrS-QkOjVmW/view?usp=drivesdk")</f>
        <v>https://drive.google.com/file/d/1s3htODPJ-fx2SsrGMPuuPnrS-QkOjVmW/view?usp=drivesdk</v>
      </c>
      <c r="C2363" s="339" t="str">
        <f>IFERROR(__xludf.DUMMYFUNCTION("""COMPUTED_VALUE"""),"10.1037--a0020413.pdf")</f>
        <v>10.1037--a0020413.pdf</v>
      </c>
      <c r="D2363" s="159" t="str">
        <f>IFERROR(__xludf.DUMMYFUNCTION("""COMPUTED_VALUE"""),"application/pdf")</f>
        <v>application/pdf</v>
      </c>
    </row>
    <row r="2364">
      <c r="A2364" s="339" t="str">
        <f>IFERROR(__xludf.DUMMYFUNCTION("""COMPUTED_VALUE"""),"10.1287/orsc.2021.1456")</f>
        <v>10.1287/orsc.2021.1456</v>
      </c>
      <c r="B2364" s="445" t="str">
        <f>IFERROR(__xludf.DUMMYFUNCTION("""COMPUTED_VALUE"""),"https://drive.google.com/file/d/1AFvmNMhSk-QV-2cVhQI1IIbAhqjPhXWN/view?usp=drivesdk")</f>
        <v>https://drive.google.com/file/d/1AFvmNMhSk-QV-2cVhQI1IIbAhqjPhXWN/view?usp=drivesdk</v>
      </c>
      <c r="C2364" s="339" t="str">
        <f>IFERROR(__xludf.DUMMYFUNCTION("""COMPUTED_VALUE"""),"10.1287--orsc.2021.1456.pdf")</f>
        <v>10.1287--orsc.2021.1456.pdf</v>
      </c>
      <c r="D2364" s="159" t="str">
        <f>IFERROR(__xludf.DUMMYFUNCTION("""COMPUTED_VALUE"""),"application/pdf")</f>
        <v>application/pdf</v>
      </c>
    </row>
    <row r="2365">
      <c r="A2365" s="339" t="str">
        <f>IFERROR(__xludf.DUMMYFUNCTION("""COMPUTED_VALUE"""),"10.1016/j.jml.2006.02.004")</f>
        <v>10.1016/j.jml.2006.02.004</v>
      </c>
      <c r="B2365" s="445" t="str">
        <f>IFERROR(__xludf.DUMMYFUNCTION("""COMPUTED_VALUE"""),"https://drive.google.com/file/d/1e5Wm6ChazDKUJftaKFfLoaBKNbaofYfP/view?usp=drivesdk")</f>
        <v>https://drive.google.com/file/d/1e5Wm6ChazDKUJftaKFfLoaBKNbaofYfP/view?usp=drivesdk</v>
      </c>
      <c r="C2365" s="339" t="str">
        <f>IFERROR(__xludf.DUMMYFUNCTION("""COMPUTED_VALUE"""),"10.1016--j.jml.2006.02.004.pdf")</f>
        <v>10.1016--j.jml.2006.02.004.pdf</v>
      </c>
      <c r="D2365" s="159" t="str">
        <f>IFERROR(__xludf.DUMMYFUNCTION("""COMPUTED_VALUE"""),"application/pdf")</f>
        <v>application/pdf</v>
      </c>
    </row>
    <row r="2366">
      <c r="A2366" s="339" t="str">
        <f>IFERROR(__xludf.DUMMYFUNCTION("""COMPUTED_VALUE"""),"10.1037/xge0001195")</f>
        <v>10.1037/xge0001195</v>
      </c>
      <c r="B2366" s="445" t="str">
        <f>IFERROR(__xludf.DUMMYFUNCTION("""COMPUTED_VALUE"""),"https://drive.google.com/file/d/1v6kgKeSqXz-kIHf5HXexB2cCnGBup8pu/view?usp=drivesdk")</f>
        <v>https://drive.google.com/file/d/1v6kgKeSqXz-kIHf5HXexB2cCnGBup8pu/view?usp=drivesdk</v>
      </c>
      <c r="C2366" s="339" t="str">
        <f>IFERROR(__xludf.DUMMYFUNCTION("""COMPUTED_VALUE"""),"10.1037--xge0001195.pdf")</f>
        <v>10.1037--xge0001195.pdf</v>
      </c>
      <c r="D2366" s="159" t="str">
        <f>IFERROR(__xludf.DUMMYFUNCTION("""COMPUTED_VALUE"""),"application/pdf")</f>
        <v>application/pdf</v>
      </c>
    </row>
    <row r="2367">
      <c r="A2367" s="339" t="str">
        <f>IFERROR(__xludf.DUMMYFUNCTION("""COMPUTED_VALUE"""),"10.1111/ecin.12470")</f>
        <v>10.1111/ecin.12470</v>
      </c>
      <c r="B2367" s="445" t="str">
        <f>IFERROR(__xludf.DUMMYFUNCTION("""COMPUTED_VALUE"""),"https://drive.google.com/file/d/1_3kOREsSMo-zmS04srVes69SaYsErPmR/view?usp=drivesdk")</f>
        <v>https://drive.google.com/file/d/1_3kOREsSMo-zmS04srVes69SaYsErPmR/view?usp=drivesdk</v>
      </c>
      <c r="C2367" s="339" t="str">
        <f>IFERROR(__xludf.DUMMYFUNCTION("""COMPUTED_VALUE"""),"10.1111--ecin.12470.pdf")</f>
        <v>10.1111--ecin.12470.pdf</v>
      </c>
      <c r="D2367" s="159" t="str">
        <f>IFERROR(__xludf.DUMMYFUNCTION("""COMPUTED_VALUE"""),"application/pdf")</f>
        <v>application/pdf</v>
      </c>
    </row>
    <row r="2368">
      <c r="A2368" s="339" t="str">
        <f>IFERROR(__xludf.DUMMYFUNCTION("""COMPUTED_VALUE"""),"10.1016/j.cognition.2016.06.011")</f>
        <v>10.1016/j.cognition.2016.06.011</v>
      </c>
      <c r="B2368" s="445" t="str">
        <f>IFERROR(__xludf.DUMMYFUNCTION("""COMPUTED_VALUE"""),"https://drive.google.com/file/d/117IKlIHBXRWO7KM1helymQPvsGoEIXdX/view?usp=drivesdk")</f>
        <v>https://drive.google.com/file/d/117IKlIHBXRWO7KM1helymQPvsGoEIXdX/view?usp=drivesdk</v>
      </c>
      <c r="C2368" s="339" t="str">
        <f>IFERROR(__xludf.DUMMYFUNCTION("""COMPUTED_VALUE"""),"10.1016--j.cognition.2016.06.011.pdf")</f>
        <v>10.1016--j.cognition.2016.06.011.pdf</v>
      </c>
      <c r="D2368" s="159" t="str">
        <f>IFERROR(__xludf.DUMMYFUNCTION("""COMPUTED_VALUE"""),"application/pdf")</f>
        <v>application/pdf</v>
      </c>
    </row>
    <row r="2369">
      <c r="A2369" s="339" t="str">
        <f>IFERROR(__xludf.DUMMYFUNCTION("""COMPUTED_VALUE"""),"10.1016/j.jesp.2020.104080")</f>
        <v>10.1016/j.jesp.2020.104080</v>
      </c>
      <c r="B2369" s="445" t="str">
        <f>IFERROR(__xludf.DUMMYFUNCTION("""COMPUTED_VALUE"""),"https://drive.google.com/file/d/18nULESXZN8TdVjSkyh5ultgqH2EvBSm0/view?usp=drivesdk")</f>
        <v>https://drive.google.com/file/d/18nULESXZN8TdVjSkyh5ultgqH2EvBSm0/view?usp=drivesdk</v>
      </c>
      <c r="C2369" s="339" t="str">
        <f>IFERROR(__xludf.DUMMYFUNCTION("""COMPUTED_VALUE"""),"10.1016--j.jesp.2020.104080.pdf")</f>
        <v>10.1016--j.jesp.2020.104080.pdf</v>
      </c>
      <c r="D2369" s="159" t="str">
        <f>IFERROR(__xludf.DUMMYFUNCTION("""COMPUTED_VALUE"""),"application/pdf")</f>
        <v>application/pdf</v>
      </c>
    </row>
    <row r="2370">
      <c r="A2370" s="339" t="str">
        <f>IFERROR(__xludf.DUMMYFUNCTION("""COMPUTED_VALUE"""),"10.1037/0022-3514.94.3.396 (1)")</f>
        <v>10.1037/0022-3514.94.3.396 (1)</v>
      </c>
      <c r="B2370" s="445" t="str">
        <f>IFERROR(__xludf.DUMMYFUNCTION("""COMPUTED_VALUE"""),"https://drive.google.com/file/d/1mWjj8mxrG8UD8YXr2nZ-cGzIZBtUwLal/view?usp=drivesdk")</f>
        <v>https://drive.google.com/file/d/1mWjj8mxrG8UD8YXr2nZ-cGzIZBtUwLal/view?usp=drivesdk</v>
      </c>
      <c r="C2370" s="339" t="str">
        <f>IFERROR(__xludf.DUMMYFUNCTION("""COMPUTED_VALUE"""),"10.1037--0022-3514.94.3.396 (1).pdf")</f>
        <v>10.1037--0022-3514.94.3.396 (1).pdf</v>
      </c>
      <c r="D2370" s="159" t="str">
        <f>IFERROR(__xludf.DUMMYFUNCTION("""COMPUTED_VALUE"""),"application/pdf")</f>
        <v>application/pdf</v>
      </c>
    </row>
    <row r="2371">
      <c r="A2371" s="339" t="str">
        <f>IFERROR(__xludf.DUMMYFUNCTION("""COMPUTED_VALUE"""),"10.1038/s41598-018-30314-y")</f>
        <v>10.1038/s41598-018-30314-y</v>
      </c>
      <c r="B2371" s="445" t="str">
        <f>IFERROR(__xludf.DUMMYFUNCTION("""COMPUTED_VALUE"""),"https://drive.google.com/file/d/1RLxYB-xp9gCuylzG8fMEpa5rGt6OdoMh/view?usp=drivesdk")</f>
        <v>https://drive.google.com/file/d/1RLxYB-xp9gCuylzG8fMEpa5rGt6OdoMh/view?usp=drivesdk</v>
      </c>
      <c r="C2371" s="339" t="str">
        <f>IFERROR(__xludf.DUMMYFUNCTION("""COMPUTED_VALUE"""),"10.1038--s41598-018-30314-y.pdf")</f>
        <v>10.1038--s41598-018-30314-y.pdf</v>
      </c>
      <c r="D2371" s="159" t="str">
        <f>IFERROR(__xludf.DUMMYFUNCTION("""COMPUTED_VALUE"""),"application/pdf")</f>
        <v>application/pdf</v>
      </c>
    </row>
    <row r="2372">
      <c r="A2372" s="339" t="str">
        <f>IFERROR(__xludf.DUMMYFUNCTION("""COMPUTED_VALUE"""),"10.1177/0956797616639727")</f>
        <v>10.1177/0956797616639727</v>
      </c>
      <c r="B2372" s="445" t="str">
        <f>IFERROR(__xludf.DUMMYFUNCTION("""COMPUTED_VALUE"""),"https://drive.google.com/file/d/1_UEC3DvYLPby3ewaxAHguC5Mm0ainire/view?usp=drivesdk")</f>
        <v>https://drive.google.com/file/d/1_UEC3DvYLPby3ewaxAHguC5Mm0ainire/view?usp=drivesdk</v>
      </c>
      <c r="C2372" s="339" t="str">
        <f>IFERROR(__xludf.DUMMYFUNCTION("""COMPUTED_VALUE"""),"10.1177--0956797616639727.pdf")</f>
        <v>10.1177--0956797616639727.pdf</v>
      </c>
      <c r="D2372" s="159" t="str">
        <f>IFERROR(__xludf.DUMMYFUNCTION("""COMPUTED_VALUE"""),"application/pdf")</f>
        <v>application/pdf</v>
      </c>
    </row>
    <row r="2373">
      <c r="A2373" s="339" t="str">
        <f>IFERROR(__xludf.DUMMYFUNCTION("""COMPUTED_VALUE"""),"10.1111/j.1467-9280.2006.01780.x")</f>
        <v>10.1111/j.1467-9280.2006.01780.x</v>
      </c>
      <c r="B2373" s="445" t="str">
        <f>IFERROR(__xludf.DUMMYFUNCTION("""COMPUTED_VALUE"""),"https://drive.google.com/file/d/1OF9OzNZ0RezTr91hWpWHMHWrXH9SCFAS/view?usp=drivesdk")</f>
        <v>https://drive.google.com/file/d/1OF9OzNZ0RezTr91hWpWHMHWrXH9SCFAS/view?usp=drivesdk</v>
      </c>
      <c r="C2373" s="339" t="str">
        <f>IFERROR(__xludf.DUMMYFUNCTION("""COMPUTED_VALUE"""),"10.1111--j.1467-9280.2006.01780.x.pdf")</f>
        <v>10.1111--j.1467-9280.2006.01780.x.pdf</v>
      </c>
      <c r="D2373" s="159" t="str">
        <f>IFERROR(__xludf.DUMMYFUNCTION("""COMPUTED_VALUE"""),"application/pdf")</f>
        <v>application/pdf</v>
      </c>
    </row>
    <row r="2374">
      <c r="A2374" s="339" t="str">
        <f>IFERROR(__xludf.DUMMYFUNCTION("""COMPUTED_VALUE"""),"10.1016/j.cognition.2007.11.004 (1)")</f>
        <v>10.1016/j.cognition.2007.11.004 (1)</v>
      </c>
      <c r="B2374" s="445" t="str">
        <f>IFERROR(__xludf.DUMMYFUNCTION("""COMPUTED_VALUE"""),"https://drive.google.com/file/d/1PBwDmwqcYcLTkNyF1ED4xCFTmb4mHrLr/view?usp=drivesdk")</f>
        <v>https://drive.google.com/file/d/1PBwDmwqcYcLTkNyF1ED4xCFTmb4mHrLr/view?usp=drivesdk</v>
      </c>
      <c r="C2374" s="339" t="str">
        <f>IFERROR(__xludf.DUMMYFUNCTION("""COMPUTED_VALUE"""),"10.1016--j.cognition.2007.11.004 (1).pdf")</f>
        <v>10.1016--j.cognition.2007.11.004 (1).pdf</v>
      </c>
      <c r="D2374" s="159" t="str">
        <f>IFERROR(__xludf.DUMMYFUNCTION("""COMPUTED_VALUE"""),"application/pdf")</f>
        <v>application/pdf</v>
      </c>
    </row>
    <row r="2375">
      <c r="A2375" s="339" t="str">
        <f>IFERROR(__xludf.DUMMYFUNCTION("""COMPUTED_VALUE"""),"10.1037/a0031047")</f>
        <v>10.1037/a0031047</v>
      </c>
      <c r="B2375" s="445" t="str">
        <f>IFERROR(__xludf.DUMMYFUNCTION("""COMPUTED_VALUE"""),"https://drive.google.com/file/d/1zdQKRoaKTgqYFpQsFj5QvQQ6FD0ed3fh/view?usp=drivesdk")</f>
        <v>https://drive.google.com/file/d/1zdQKRoaKTgqYFpQsFj5QvQQ6FD0ed3fh/view?usp=drivesdk</v>
      </c>
      <c r="C2375" s="339" t="str">
        <f>IFERROR(__xludf.DUMMYFUNCTION("""COMPUTED_VALUE"""),"10.1037--a0031047.pdf")</f>
        <v>10.1037--a0031047.pdf</v>
      </c>
      <c r="D2375" s="159" t="str">
        <f>IFERROR(__xludf.DUMMYFUNCTION("""COMPUTED_VALUE"""),"application/pdf")</f>
        <v>application/pdf</v>
      </c>
    </row>
    <row r="2376">
      <c r="A2376" s="339" t="str">
        <f>IFERROR(__xludf.DUMMYFUNCTION("""COMPUTED_VALUE"""),"10.1093/geronb/gbx099")</f>
        <v>10.1093/geronb/gbx099</v>
      </c>
      <c r="B2376" s="445" t="str">
        <f>IFERROR(__xludf.DUMMYFUNCTION("""COMPUTED_VALUE"""),"https://drive.google.com/file/d/1Y64s8GHxNrRvDcvruC4sJnxL8xzdZcO-/view?usp=drivesdk")</f>
        <v>https://drive.google.com/file/d/1Y64s8GHxNrRvDcvruC4sJnxL8xzdZcO-/view?usp=drivesdk</v>
      </c>
      <c r="C2376" s="339" t="str">
        <f>IFERROR(__xludf.DUMMYFUNCTION("""COMPUTED_VALUE"""),"10.1093--geronb--gbx099.pdf")</f>
        <v>10.1093--geronb--gbx099.pdf</v>
      </c>
      <c r="D2376" s="159" t="str">
        <f>IFERROR(__xludf.DUMMYFUNCTION("""COMPUTED_VALUE"""),"application/pdf")</f>
        <v>application/pdf</v>
      </c>
    </row>
    <row r="2377">
      <c r="A2377" s="339" t="str">
        <f>IFERROR(__xludf.DUMMYFUNCTION("""COMPUTED_VALUE"""),"10.1037/a0035663")</f>
        <v>10.1037/a0035663</v>
      </c>
      <c r="B2377" s="445" t="str">
        <f>IFERROR(__xludf.DUMMYFUNCTION("""COMPUTED_VALUE"""),"https://drive.google.com/file/d/1CjT1O6wWYuXyGwX2IDXgjfNdv5kWTW3m/view?usp=drivesdk")</f>
        <v>https://drive.google.com/file/d/1CjT1O6wWYuXyGwX2IDXgjfNdv5kWTW3m/view?usp=drivesdk</v>
      </c>
      <c r="C2377" s="339" t="str">
        <f>IFERROR(__xludf.DUMMYFUNCTION("""COMPUTED_VALUE"""),"10.1037--a0035663.pdf")</f>
        <v>10.1037--a0035663.pdf</v>
      </c>
      <c r="D2377" s="159" t="str">
        <f>IFERROR(__xludf.DUMMYFUNCTION("""COMPUTED_VALUE"""),"application/pdf")</f>
        <v>application/pdf</v>
      </c>
    </row>
    <row r="2378">
      <c r="A2378" s="339" t="str">
        <f>IFERROR(__xludf.DUMMYFUNCTION("""COMPUTED_VALUE"""),"10.1016/0010-0285(83)90002-6")</f>
        <v>10.1016/0010-0285(83)90002-6</v>
      </c>
      <c r="B2378" s="445" t="str">
        <f>IFERROR(__xludf.DUMMYFUNCTION("""COMPUTED_VALUE"""),"https://drive.google.com/file/d/1VK50exEXQ_rClong6zFoFteT2CKKkjmO/view?usp=drivesdk")</f>
        <v>https://drive.google.com/file/d/1VK50exEXQ_rClong6zFoFteT2CKKkjmO/view?usp=drivesdk</v>
      </c>
      <c r="C2378" s="339" t="str">
        <f>IFERROR(__xludf.DUMMYFUNCTION("""COMPUTED_VALUE"""),"10.1016--0010-0285(83)90002-6.pdf")</f>
        <v>10.1016--0010-0285(83)90002-6.pdf</v>
      </c>
      <c r="D2378" s="159" t="str">
        <f>IFERROR(__xludf.DUMMYFUNCTION("""COMPUTED_VALUE"""),"application/pdf")</f>
        <v>application/pdf</v>
      </c>
    </row>
    <row r="2379">
      <c r="A2379" s="339" t="str">
        <f>IFERROR(__xludf.DUMMYFUNCTION("""COMPUTED_VALUE"""),"10.1016/j.jesp.2020.104019")</f>
        <v>10.1016/j.jesp.2020.104019</v>
      </c>
      <c r="B2379" s="445" t="str">
        <f>IFERROR(__xludf.DUMMYFUNCTION("""COMPUTED_VALUE"""),"https://drive.google.com/file/d/1HOPgbT8B7cSul5cTHeEI8GnCvj5F-kiw/view?usp=drivesdk")</f>
        <v>https://drive.google.com/file/d/1HOPgbT8B7cSul5cTHeEI8GnCvj5F-kiw/view?usp=drivesdk</v>
      </c>
      <c r="C2379" s="339" t="str">
        <f>IFERROR(__xludf.DUMMYFUNCTION("""COMPUTED_VALUE"""),"10.1016--j.jesp.2020.104019.pdf")</f>
        <v>10.1016--j.jesp.2020.104019.pdf</v>
      </c>
      <c r="D2379" s="159" t="str">
        <f>IFERROR(__xludf.DUMMYFUNCTION("""COMPUTED_VALUE"""),"application/pdf")</f>
        <v>application/pdf</v>
      </c>
    </row>
    <row r="2380">
      <c r="A2380" s="339" t="str">
        <f>IFERROR(__xludf.DUMMYFUNCTION("""COMPUTED_VALUE"""),"10.1038/nn.2889")</f>
        <v>10.1038/nn.2889</v>
      </c>
      <c r="B2380" s="445" t="str">
        <f>IFERROR(__xludf.DUMMYFUNCTION("""COMPUTED_VALUE"""),"https://drive.google.com/file/d/1MkAewK7ChXvXFt_yHeQBeosTp7ozsocw/view?usp=drivesdk")</f>
        <v>https://drive.google.com/file/d/1MkAewK7ChXvXFt_yHeQBeosTp7ozsocw/view?usp=drivesdk</v>
      </c>
      <c r="C2380" s="339" t="str">
        <f>IFERROR(__xludf.DUMMYFUNCTION("""COMPUTED_VALUE"""),"10.1038--nn.2889.pdf")</f>
        <v>10.1038--nn.2889.pdf</v>
      </c>
      <c r="D2380" s="159" t="str">
        <f>IFERROR(__xludf.DUMMYFUNCTION("""COMPUTED_VALUE"""),"application/pdf")</f>
        <v>application/pdf</v>
      </c>
    </row>
    <row r="2381">
      <c r="A2381" s="339" t="str">
        <f>IFERROR(__xludf.DUMMYFUNCTION("""COMPUTED_VALUE"""),"10.1371/journal.pone.0154854")</f>
        <v>10.1371/journal.pone.0154854</v>
      </c>
      <c r="B2381" s="445" t="str">
        <f>IFERROR(__xludf.DUMMYFUNCTION("""COMPUTED_VALUE"""),"https://drive.google.com/file/d/1-nd1hGa7j_Vwr7C63vLyw8Doq1Jw9jdo/view?usp=drivesdk")</f>
        <v>https://drive.google.com/file/d/1-nd1hGa7j_Vwr7C63vLyw8Doq1Jw9jdo/view?usp=drivesdk</v>
      </c>
      <c r="C2381" s="339" t="str">
        <f>IFERROR(__xludf.DUMMYFUNCTION("""COMPUTED_VALUE"""),"10.1371--journal.pone.0154854.pdf")</f>
        <v>10.1371--journal.pone.0154854.pdf</v>
      </c>
      <c r="D2381" s="159" t="str">
        <f>IFERROR(__xludf.DUMMYFUNCTION("""COMPUTED_VALUE"""),"application/pdf")</f>
        <v>application/pdf</v>
      </c>
    </row>
    <row r="2382">
      <c r="A2382" s="339" t="str">
        <f>IFERROR(__xludf.DUMMYFUNCTION("""COMPUTED_VALUE"""),"10.1371/journal.pone.0071475")</f>
        <v>10.1371/journal.pone.0071475</v>
      </c>
      <c r="B2382" s="445" t="str">
        <f>IFERROR(__xludf.DUMMYFUNCTION("""COMPUTED_VALUE"""),"https://drive.google.com/file/d/10y7q496AX6_0sM8VYpwXFE_CfW3qWVER/view?usp=drivesdk")</f>
        <v>https://drive.google.com/file/d/10y7q496AX6_0sM8VYpwXFE_CfW3qWVER/view?usp=drivesdk</v>
      </c>
      <c r="C2382" s="339" t="str">
        <f>IFERROR(__xludf.DUMMYFUNCTION("""COMPUTED_VALUE"""),"10.1371--journal.pone.0071475.pdf")</f>
        <v>10.1371--journal.pone.0071475.pdf</v>
      </c>
      <c r="D2382" s="159" t="str">
        <f>IFERROR(__xludf.DUMMYFUNCTION("""COMPUTED_VALUE"""),"application/pdf")</f>
        <v>application/pdf</v>
      </c>
    </row>
    <row r="2383">
      <c r="A2383" s="339" t="str">
        <f>IFERROR(__xludf.DUMMYFUNCTION("""COMPUTED_VALUE"""),"10.1037/0022-3514.94.2.94.2.231 (1)")</f>
        <v>10.1037/0022-3514.94.2.94.2.231 (1)</v>
      </c>
      <c r="B2383" s="445" t="str">
        <f>IFERROR(__xludf.DUMMYFUNCTION("""COMPUTED_VALUE"""),"https://drive.google.com/file/d/1WGpgshHGpD4awyCYpmOwaF0Lo9g6Tii3/view?usp=drivesdk")</f>
        <v>https://drive.google.com/file/d/1WGpgshHGpD4awyCYpmOwaF0Lo9g6Tii3/view?usp=drivesdk</v>
      </c>
      <c r="C2383" s="339" t="str">
        <f>IFERROR(__xludf.DUMMYFUNCTION("""COMPUTED_VALUE"""),"10.1037--0022-3514.94.2.94.2.231 (1).pdf")</f>
        <v>10.1037--0022-3514.94.2.94.2.231 (1).pdf</v>
      </c>
      <c r="D2383" s="159" t="str">
        <f>IFERROR(__xludf.DUMMYFUNCTION("""COMPUTED_VALUE"""),"application/pdf")</f>
        <v>application/pdf</v>
      </c>
    </row>
    <row r="2384">
      <c r="A2384" s="339" t="str">
        <f>IFERROR(__xludf.DUMMYFUNCTION("""COMPUTED_VALUE"""),"10.1037/0022-3514.94.3.495 (1)")</f>
        <v>10.1037/0022-3514.94.3.495 (1)</v>
      </c>
      <c r="B2384" s="445" t="str">
        <f>IFERROR(__xludf.DUMMYFUNCTION("""COMPUTED_VALUE"""),"https://drive.google.com/file/d/1uk4nyW4cAjESveKk9dlxcAUonbl9IHNU/view?usp=drivesdk")</f>
        <v>https://drive.google.com/file/d/1uk4nyW4cAjESveKk9dlxcAUonbl9IHNU/view?usp=drivesdk</v>
      </c>
      <c r="C2384" s="339" t="str">
        <f>IFERROR(__xludf.DUMMYFUNCTION("""COMPUTED_VALUE"""),"10.1037--0022-3514.94.3.495 (1).pdf")</f>
        <v>10.1037--0022-3514.94.3.495 (1).pdf</v>
      </c>
      <c r="D2384" s="159" t="str">
        <f>IFERROR(__xludf.DUMMYFUNCTION("""COMPUTED_VALUE"""),"application/pdf")</f>
        <v>application/pdf</v>
      </c>
    </row>
    <row r="2385">
      <c r="A2385" s="339" t="str">
        <f>IFERROR(__xludf.DUMMYFUNCTION("""COMPUTED_VALUE"""),"10.1037/rev0000175")</f>
        <v>10.1037/rev0000175</v>
      </c>
      <c r="B2385" s="445" t="str">
        <f>IFERROR(__xludf.DUMMYFUNCTION("""COMPUTED_VALUE"""),"https://drive.google.com/file/d/1nonM8jExC1mVvcGqlH7dSp0-DAzLBLtm/view?usp=drivesdk")</f>
        <v>https://drive.google.com/file/d/1nonM8jExC1mVvcGqlH7dSp0-DAzLBLtm/view?usp=drivesdk</v>
      </c>
      <c r="C2385" s="339" t="str">
        <f>IFERROR(__xludf.DUMMYFUNCTION("""COMPUTED_VALUE"""),"10.1037--rev0000175.pdf")</f>
        <v>10.1037--rev0000175.pdf</v>
      </c>
      <c r="D2385" s="159" t="str">
        <f>IFERROR(__xludf.DUMMYFUNCTION("""COMPUTED_VALUE"""),"application/pdf")</f>
        <v>application/pdf</v>
      </c>
    </row>
    <row r="2386">
      <c r="A2386" s="339" t="str">
        <f>IFERROR(__xludf.DUMMYFUNCTION("""COMPUTED_VALUE"""),"djärv_2018")</f>
        <v>djärv_2018</v>
      </c>
      <c r="B2386" s="445" t="str">
        <f>IFERROR(__xludf.DUMMYFUNCTION("""COMPUTED_VALUE"""),"https://drive.google.com/file/d/1G_aU3PGCjrrMgJwOfzq2w1nbmT82GsuJ/view?usp=drivesdk")</f>
        <v>https://drive.google.com/file/d/1G_aU3PGCjrrMgJwOfzq2w1nbmT82GsuJ/view?usp=drivesdk</v>
      </c>
      <c r="C2386" s="339" t="str">
        <f>IFERROR(__xludf.DUMMYFUNCTION("""COMPUTED_VALUE"""),"Djärv_2018.pdf")</f>
        <v>Djärv_2018.pdf</v>
      </c>
      <c r="D2386" s="159" t="str">
        <f>IFERROR(__xludf.DUMMYFUNCTION("""COMPUTED_VALUE"""),"application/pdf")</f>
        <v>application/pdf</v>
      </c>
    </row>
    <row r="2387">
      <c r="A2387" s="339" t="str">
        <f>IFERROR(__xludf.DUMMYFUNCTION("""COMPUTED_VALUE"""),"10.1016/j.neuroimage.2009.09.024")</f>
        <v>10.1016/j.neuroimage.2009.09.024</v>
      </c>
      <c r="B2387" s="445" t="str">
        <f>IFERROR(__xludf.DUMMYFUNCTION("""COMPUTED_VALUE"""),"https://drive.google.com/file/d/1X_Hzp8yt2P-QO2WO8iH4EPgoVRh7R4xM/view?usp=drivesdk")</f>
        <v>https://drive.google.com/file/d/1X_Hzp8yt2P-QO2WO8iH4EPgoVRh7R4xM/view?usp=drivesdk</v>
      </c>
      <c r="C2387" s="339" t="str">
        <f>IFERROR(__xludf.DUMMYFUNCTION("""COMPUTED_VALUE"""),"10.1016--j.neuroimage.2009.09.024.pdf")</f>
        <v>10.1016--j.neuroimage.2009.09.024.pdf</v>
      </c>
      <c r="D2387" s="159" t="str">
        <f>IFERROR(__xludf.DUMMYFUNCTION("""COMPUTED_VALUE"""),"application/pdf")</f>
        <v>application/pdf</v>
      </c>
    </row>
    <row r="2388">
      <c r="A2388" s="339" t="str">
        <f>IFERROR(__xludf.DUMMYFUNCTION("""COMPUTED_VALUE"""),"10.1016/j.neuron.2011.02.027")</f>
        <v>10.1016/j.neuron.2011.02.027</v>
      </c>
      <c r="B2388" s="445" t="str">
        <f>IFERROR(__xludf.DUMMYFUNCTION("""COMPUTED_VALUE"""),"https://drive.google.com/file/d/1VgMcBc_Zck2mNomOuS1CZVLBzdiV_nWC/view?usp=drivesdk")</f>
        <v>https://drive.google.com/file/d/1VgMcBc_Zck2mNomOuS1CZVLBzdiV_nWC/view?usp=drivesdk</v>
      </c>
      <c r="C2388" s="339" t="str">
        <f>IFERROR(__xludf.DUMMYFUNCTION("""COMPUTED_VALUE"""),"10.1016--j.neuron.2011.02.027.pdf")</f>
        <v>10.1016--j.neuron.2011.02.027.pdf</v>
      </c>
      <c r="D2388" s="159" t="str">
        <f>IFERROR(__xludf.DUMMYFUNCTION("""COMPUTED_VALUE"""),"application/pdf")</f>
        <v>application/pdf</v>
      </c>
    </row>
    <row r="2389">
      <c r="A2389" s="339" t="str">
        <f>IFERROR(__xludf.DUMMYFUNCTION("""COMPUTED_VALUE"""),"10.1086/511799")</f>
        <v>10.1086/511799</v>
      </c>
      <c r="B2389" s="445" t="str">
        <f>IFERROR(__xludf.DUMMYFUNCTION("""COMPUTED_VALUE"""),"https://drive.google.com/file/d/1kVWNkPYWfpPoaNfzdmDoKO9zV0jbI67W/view?usp=drivesdk")</f>
        <v>https://drive.google.com/file/d/1kVWNkPYWfpPoaNfzdmDoKO9zV0jbI67W/view?usp=drivesdk</v>
      </c>
      <c r="C2389" s="339" t="str">
        <f>IFERROR(__xludf.DUMMYFUNCTION("""COMPUTED_VALUE"""),"10.1086--511799.pdf")</f>
        <v>10.1086--511799.pdf</v>
      </c>
      <c r="D2389" s="159" t="str">
        <f>IFERROR(__xludf.DUMMYFUNCTION("""COMPUTED_VALUE"""),"application/pdf")</f>
        <v>application/pdf</v>
      </c>
    </row>
    <row r="2390">
      <c r="A2390" s="339" t="str">
        <f>IFERROR(__xludf.DUMMYFUNCTION("""COMPUTED_VALUE"""),"chopra_2019")</f>
        <v>chopra_2019</v>
      </c>
      <c r="B2390" s="445" t="str">
        <f>IFERROR(__xludf.DUMMYFUNCTION("""COMPUTED_VALUE"""),"https://drive.google.com/file/d/1O7HDXxuStHcKBDqiToq3TS5-_eHNMncg/view?usp=drivesdk")</f>
        <v>https://drive.google.com/file/d/1O7HDXxuStHcKBDqiToq3TS5-_eHNMncg/view?usp=drivesdk</v>
      </c>
      <c r="C2390" s="339" t="str">
        <f>IFERROR(__xludf.DUMMYFUNCTION("""COMPUTED_VALUE"""),"Chopra_2019.pdf")</f>
        <v>Chopra_2019.pdf</v>
      </c>
      <c r="D2390" s="159" t="str">
        <f>IFERROR(__xludf.DUMMYFUNCTION("""COMPUTED_VALUE"""),"application/pdf")</f>
        <v>application/pdf</v>
      </c>
    </row>
    <row r="2391">
      <c r="A2391" s="339" t="str">
        <f>IFERROR(__xludf.DUMMYFUNCTION("""COMPUTED_VALUE"""),"10.1111/cogs.12176")</f>
        <v>10.1111/cogs.12176</v>
      </c>
      <c r="B2391" s="445" t="str">
        <f>IFERROR(__xludf.DUMMYFUNCTION("""COMPUTED_VALUE"""),"https://drive.google.com/file/d/1noF0-gFXnE925nL0unfvsQ-ANlXov76A/view?usp=drivesdk")</f>
        <v>https://drive.google.com/file/d/1noF0-gFXnE925nL0unfvsQ-ANlXov76A/view?usp=drivesdk</v>
      </c>
      <c r="C2391" s="339" t="str">
        <f>IFERROR(__xludf.DUMMYFUNCTION("""COMPUTED_VALUE"""),"10.1111--cogs.12176.pdf")</f>
        <v>10.1111--cogs.12176.pdf</v>
      </c>
      <c r="D2391" s="159" t="str">
        <f>IFERROR(__xludf.DUMMYFUNCTION("""COMPUTED_VALUE"""),"application/pdf")</f>
        <v>application/pdf</v>
      </c>
    </row>
    <row r="2392">
      <c r="A2392" s="339" t="str">
        <f>IFERROR(__xludf.DUMMYFUNCTION("""COMPUTED_VALUE"""),"10.1111/j.1467-9280.2007.01909.x")</f>
        <v>10.1111/j.1467-9280.2007.01909.x</v>
      </c>
      <c r="B2392" s="445" t="str">
        <f>IFERROR(__xludf.DUMMYFUNCTION("""COMPUTED_VALUE"""),"https://drive.google.com/file/d/1vWGgcW4pZ3FoyQKsaRTBIF-qNoze2NOS/view?usp=drivesdk")</f>
        <v>https://drive.google.com/file/d/1vWGgcW4pZ3FoyQKsaRTBIF-qNoze2NOS/view?usp=drivesdk</v>
      </c>
      <c r="C2392" s="339" t="str">
        <f>IFERROR(__xludf.DUMMYFUNCTION("""COMPUTED_VALUE"""),"10.1111--j.1467-9280.2007.01909.x.pdf")</f>
        <v>10.1111--j.1467-9280.2007.01909.x.pdf</v>
      </c>
      <c r="D2392" s="159" t="str">
        <f>IFERROR(__xludf.DUMMYFUNCTION("""COMPUTED_VALUE"""),"application/pdf")</f>
        <v>application/pdf</v>
      </c>
    </row>
    <row r="2393">
      <c r="A2393" s="339" t="str">
        <f>IFERROR(__xludf.DUMMYFUNCTION("""COMPUTED_VALUE"""),"reuter_2011")</f>
        <v>reuter_2011</v>
      </c>
      <c r="B2393" s="445" t="str">
        <f>IFERROR(__xludf.DUMMYFUNCTION("""COMPUTED_VALUE"""),"https://drive.google.com/file/d/1nawDDcezi9BHAhC1PTTKlP-I0li92yxh/view?usp=drivesdk")</f>
        <v>https://drive.google.com/file/d/1nawDDcezi9BHAhC1PTTKlP-I0li92yxh/view?usp=drivesdk</v>
      </c>
      <c r="C2393" s="339" t="str">
        <f>IFERROR(__xludf.DUMMYFUNCTION("""COMPUTED_VALUE"""),"Reuter_2011.pdf")</f>
        <v>Reuter_2011.pdf</v>
      </c>
      <c r="D2393" s="159" t="str">
        <f>IFERROR(__xludf.DUMMYFUNCTION("""COMPUTED_VALUE"""),"application/pdf")</f>
        <v>application/pdf</v>
      </c>
    </row>
    <row r="2394">
      <c r="A2394" s="339" t="str">
        <f>IFERROR(__xludf.DUMMYFUNCTION("""COMPUTED_VALUE"""),"10.5840/jphil20111081238")</f>
        <v>10.5840/jphil20111081238</v>
      </c>
      <c r="B2394" s="445" t="str">
        <f>IFERROR(__xludf.DUMMYFUNCTION("""COMPUTED_VALUE"""),"https://drive.google.com/file/d/1-XMlXEjoIspJ3kqVPF-O6pr1PklAU4DF/view?usp=drivesdk")</f>
        <v>https://drive.google.com/file/d/1-XMlXEjoIspJ3kqVPF-O6pr1PklAU4DF/view?usp=drivesdk</v>
      </c>
      <c r="C2394" s="339" t="str">
        <f>IFERROR(__xludf.DUMMYFUNCTION("""COMPUTED_VALUE"""),"10.5840--jphil20111081238.pdf")</f>
        <v>10.5840--jphil20111081238.pdf</v>
      </c>
      <c r="D2394" s="159" t="str">
        <f>IFERROR(__xludf.DUMMYFUNCTION("""COMPUTED_VALUE"""),"application/pdf")</f>
        <v>application/pdf</v>
      </c>
    </row>
    <row r="2395">
      <c r="A2395" s="339" t="str">
        <f>IFERROR(__xludf.DUMMYFUNCTION("""COMPUTED_VALUE"""),"10.5840/jphil20091061128")</f>
        <v>10.5840/jphil20091061128</v>
      </c>
      <c r="B2395" s="445" t="str">
        <f>IFERROR(__xludf.DUMMYFUNCTION("""COMPUTED_VALUE"""),"https://drive.google.com/file/d/1iPMC-k9xrxfHtNZFhdKSSGpPAPPmY3J4/view?usp=drivesdk")</f>
        <v>https://drive.google.com/file/d/1iPMC-k9xrxfHtNZFhdKSSGpPAPPmY3J4/view?usp=drivesdk</v>
      </c>
      <c r="C2395" s="339" t="str">
        <f>IFERROR(__xludf.DUMMYFUNCTION("""COMPUTED_VALUE"""),"10.5840--jphil20091061128.pdf")</f>
        <v>10.5840--jphil20091061128.pdf</v>
      </c>
      <c r="D2395" s="159" t="str">
        <f>IFERROR(__xludf.DUMMYFUNCTION("""COMPUTED_VALUE"""),"application/pdf")</f>
        <v>application/pdf</v>
      </c>
    </row>
    <row r="2396">
      <c r="A2396" s="339" t="str">
        <f>IFERROR(__xludf.DUMMYFUNCTION("""COMPUTED_VALUE"""),"10.1111/j.1467-8284.2004.00481.x")</f>
        <v>10.1111/j.1467-8284.2004.00481.x</v>
      </c>
      <c r="B2396" s="445" t="str">
        <f>IFERROR(__xludf.DUMMYFUNCTION("""COMPUTED_VALUE"""),"https://drive.google.com/file/d/1KEBKYl19fq4HtJxW3DL6KczxjYJ94hp2/view?usp=drivesdk")</f>
        <v>https://drive.google.com/file/d/1KEBKYl19fq4HtJxW3DL6KczxjYJ94hp2/view?usp=drivesdk</v>
      </c>
      <c r="C2396" s="339" t="str">
        <f>IFERROR(__xludf.DUMMYFUNCTION("""COMPUTED_VALUE"""),"10.1111--j.1467-8284.2004.00481.x.pdf")</f>
        <v>10.1111--j.1467-8284.2004.00481.x.pdf</v>
      </c>
      <c r="D2396" s="159" t="str">
        <f>IFERROR(__xludf.DUMMYFUNCTION("""COMPUTED_VALUE"""),"application/pdf")</f>
        <v>application/pdf</v>
      </c>
    </row>
    <row r="2397">
      <c r="A2397" s="339" t="str">
        <f>IFERROR(__xludf.DUMMYFUNCTION("""COMPUTED_VALUE"""),"10.1111/1467-8284.00419")</f>
        <v>10.1111/1467-8284.00419</v>
      </c>
      <c r="B2397" s="445" t="str">
        <f>IFERROR(__xludf.DUMMYFUNCTION("""COMPUTED_VALUE"""),"https://drive.google.com/file/d/10xyzPhQJ8BoXAmXBEBA_mIn8qqh_KbTE/view?usp=drivesdk")</f>
        <v>https://drive.google.com/file/d/10xyzPhQJ8BoXAmXBEBA_mIn8qqh_KbTE/view?usp=drivesdk</v>
      </c>
      <c r="C2397" s="339" t="str">
        <f>IFERROR(__xludf.DUMMYFUNCTION("""COMPUTED_VALUE"""),"10.1111--1467-8284.00419.pdf")</f>
        <v>10.1111--1467-8284.00419.pdf</v>
      </c>
      <c r="D2397" s="159" t="str">
        <f>IFERROR(__xludf.DUMMYFUNCTION("""COMPUTED_VALUE"""),"application/pdf")</f>
        <v>application/pdf</v>
      </c>
    </row>
    <row r="2398">
      <c r="A2398" s="339" t="str">
        <f>IFERROR(__xludf.DUMMYFUNCTION("""COMPUTED_VALUE"""),"10.1177/0956797609359908 (1)")</f>
        <v>10.1177/0956797609359908 (1)</v>
      </c>
      <c r="B2398" s="445" t="str">
        <f>IFERROR(__xludf.DUMMYFUNCTION("""COMPUTED_VALUE"""),"https://drive.google.com/file/d/1S2villzYudFC9-TeVhxXKsxBqLRSgA1s/view?usp=drivesdk")</f>
        <v>https://drive.google.com/file/d/1S2villzYudFC9-TeVhxXKsxBqLRSgA1s/view?usp=drivesdk</v>
      </c>
      <c r="C2398" s="339" t="str">
        <f>IFERROR(__xludf.DUMMYFUNCTION("""COMPUTED_VALUE"""),"10.1177--0956797609359908 (1).pdf")</f>
        <v>10.1177--0956797609359908 (1).pdf</v>
      </c>
      <c r="D2398" s="159" t="str">
        <f>IFERROR(__xludf.DUMMYFUNCTION("""COMPUTED_VALUE"""),"application/pdf")</f>
        <v>application/pdf</v>
      </c>
    </row>
    <row r="2399">
      <c r="A2399" s="339" t="str">
        <f>IFERROR(__xludf.DUMMYFUNCTION("""COMPUTED_VALUE"""),"10.1111/1467- 9280.00334")</f>
        <v>10.1111/1467- 9280.00334</v>
      </c>
      <c r="B2399" s="445" t="str">
        <f>IFERROR(__xludf.DUMMYFUNCTION("""COMPUTED_VALUE"""),"https://drive.google.com/file/d/124BmUuJPp02lcLBvH8AsEmEsbphUT5fW/view?usp=drivesdk")</f>
        <v>https://drive.google.com/file/d/124BmUuJPp02lcLBvH8AsEmEsbphUT5fW/view?usp=drivesdk</v>
      </c>
      <c r="C2399" s="339" t="str">
        <f>IFERROR(__xludf.DUMMYFUNCTION("""COMPUTED_VALUE"""),"10.1111--1467- 9280.00334.pdf")</f>
        <v>10.1111--1467- 9280.00334.pdf</v>
      </c>
      <c r="D2399" s="159" t="str">
        <f>IFERROR(__xludf.DUMMYFUNCTION("""COMPUTED_VALUE"""),"application/pdf")</f>
        <v>application/pdf</v>
      </c>
    </row>
    <row r="2400">
      <c r="A2400" s="339" t="str">
        <f>IFERROR(__xludf.DUMMYFUNCTION("""COMPUTED_VALUE"""),"10.1037/0096- 3445.136.4.569")</f>
        <v>10.1037/0096- 3445.136.4.569</v>
      </c>
      <c r="B2400" s="445" t="str">
        <f>IFERROR(__xludf.DUMMYFUNCTION("""COMPUTED_VALUE"""),"https://drive.google.com/file/d/1HAhZicYSIRv7N-8s64Lp9_8_UnTnmDSR/view?usp=drivesdk")</f>
        <v>https://drive.google.com/file/d/1HAhZicYSIRv7N-8s64Lp9_8_UnTnmDSR/view?usp=drivesdk</v>
      </c>
      <c r="C2400" s="339" t="str">
        <f>IFERROR(__xludf.DUMMYFUNCTION("""COMPUTED_VALUE"""),"10.1037--0096- 3445.136.4.569.pdf")</f>
        <v>10.1037--0096- 3445.136.4.569.pdf</v>
      </c>
      <c r="D2400" s="159" t="str">
        <f>IFERROR(__xludf.DUMMYFUNCTION("""COMPUTED_VALUE"""),"application/pdf")</f>
        <v>application/pdf</v>
      </c>
    </row>
    <row r="2401">
      <c r="A2401" s="339" t="str">
        <f>IFERROR(__xludf.DUMMYFUNCTION("""COMPUTED_VALUE"""),"tverskygati_1978")</f>
        <v>tverskygati_1978</v>
      </c>
      <c r="B2401" s="445" t="str">
        <f>IFERROR(__xludf.DUMMYFUNCTION("""COMPUTED_VALUE"""),"https://drive.google.com/file/d/1KQ3HceHXpPMAET83TvUhFe9qSsDbMT1k/view?usp=drivesdk")</f>
        <v>https://drive.google.com/file/d/1KQ3HceHXpPMAET83TvUhFe9qSsDbMT1k/view?usp=drivesdk</v>
      </c>
      <c r="C2401" s="339" t="str">
        <f>IFERROR(__xludf.DUMMYFUNCTION("""COMPUTED_VALUE"""),"TverskyGati_1978.pdf")</f>
        <v>TverskyGati_1978.pdf</v>
      </c>
      <c r="D2401" s="159" t="str">
        <f>IFERROR(__xludf.DUMMYFUNCTION("""COMPUTED_VALUE"""),"application/pdf")</f>
        <v>application/pdf</v>
      </c>
    </row>
    <row r="2402">
      <c r="A2402" s="339" t="str">
        <f>IFERROR(__xludf.DUMMYFUNCTION("""COMPUTED_VALUE"""),"10.1016/j .obhdp.2006.10.001")</f>
        <v>10.1016/j .obhdp.2006.10.001</v>
      </c>
      <c r="B2402" s="445" t="str">
        <f>IFERROR(__xludf.DUMMYFUNCTION("""COMPUTED_VALUE"""),"https://drive.google.com/file/d/1APm26rD_UpSxwv_f7ANPXDv5utKWJ7q3/view?usp=drivesdk")</f>
        <v>https://drive.google.com/file/d/1APm26rD_UpSxwv_f7ANPXDv5utKWJ7q3/view?usp=drivesdk</v>
      </c>
      <c r="C2402" s="339" t="str">
        <f>IFERROR(__xludf.DUMMYFUNCTION("""COMPUTED_VALUE"""),"10.1016--j .obhdp.2006.10.001.pdf")</f>
        <v>10.1016--j .obhdp.2006.10.001.pdf</v>
      </c>
      <c r="D2402" s="159" t="str">
        <f>IFERROR(__xludf.DUMMYFUNCTION("""COMPUTED_VALUE"""),"application/pdf")</f>
        <v>application/pdf</v>
      </c>
    </row>
    <row r="2403">
      <c r="A2403" s="339" t="str">
        <f>IFERROR(__xludf.DUMMYFUNCTION("""COMPUTED_VALUE"""),"10.1207/ s15516709cog2605_4")</f>
        <v>10.1207/ s15516709cog2605_4</v>
      </c>
      <c r="B2403" s="445" t="str">
        <f>IFERROR(__xludf.DUMMYFUNCTION("""COMPUTED_VALUE"""),"https://drive.google.com/file/d/1EqB8fMj26KyIHeW4JSKwYFh3F2LTTq5t/view?usp=drivesdk")</f>
        <v>https://drive.google.com/file/d/1EqB8fMj26KyIHeW4JSKwYFh3F2LTTq5t/view?usp=drivesdk</v>
      </c>
      <c r="C2403" s="339" t="str">
        <f>IFERROR(__xludf.DUMMYFUNCTION("""COMPUTED_VALUE"""),"10.1207-- s15516709cog2605_4.pdf")</f>
        <v>10.1207-- s15516709cog2605_4.pdf</v>
      </c>
      <c r="D2403" s="159" t="str">
        <f>IFERROR(__xludf.DUMMYFUNCTION("""COMPUTED_VALUE"""),"application/pdf")</f>
        <v>application/pdf</v>
      </c>
    </row>
    <row r="2404">
      <c r="A2404" s="339" t="str">
        <f>IFERROR(__xludf.DUMMYFUNCTION("""COMPUTED_VALUE"""),"10.1111/ j.1468-0017.2006.00297.x")</f>
        <v>10.1111/ j.1468-0017.2006.00297.x</v>
      </c>
      <c r="B2404" s="445" t="str">
        <f>IFERROR(__xludf.DUMMYFUNCTION("""COMPUTED_VALUE"""),"https://drive.google.com/file/d/1H2OS8Rk6wh8PVpv13iom_WUpLu0fEeBU/view?usp=drivesdk")</f>
        <v>https://drive.google.com/file/d/1H2OS8Rk6wh8PVpv13iom_WUpLu0fEeBU/view?usp=drivesdk</v>
      </c>
      <c r="C2404" s="339" t="str">
        <f>IFERROR(__xludf.DUMMYFUNCTION("""COMPUTED_VALUE"""),"10.1111-- j.1468-0017.2006.00297.x.pdf")</f>
        <v>10.1111-- j.1468-0017.2006.00297.x.pdf</v>
      </c>
      <c r="D2404" s="159" t="str">
        <f>IFERROR(__xludf.DUMMYFUNCTION("""COMPUTED_VALUE"""),"application/pdf")</f>
        <v>application/pdf</v>
      </c>
    </row>
    <row r="2405">
      <c r="A2405" s="339" t="str">
        <f>IFERROR(__xludf.DUMMYFUNCTION("""COMPUTED_VALUE"""),"10.1086/269239")</f>
        <v>10.1086/269239</v>
      </c>
      <c r="B2405" s="445" t="str">
        <f>IFERROR(__xludf.DUMMYFUNCTION("""COMPUTED_VALUE"""),"https://drive.google.com/file/d/1Wa36K9XT0urN9xsiAgUftQdgL9C9HECn/view?usp=drivesdk")</f>
        <v>https://drive.google.com/file/d/1Wa36K9XT0urN9xsiAgUftQdgL9C9HECn/view?usp=drivesdk</v>
      </c>
      <c r="C2405" s="339" t="str">
        <f>IFERROR(__xludf.DUMMYFUNCTION("""COMPUTED_VALUE"""),"10.1086--269239.pdf")</f>
        <v>10.1086--269239.pdf</v>
      </c>
      <c r="D2405" s="159" t="str">
        <f>IFERROR(__xludf.DUMMYFUNCTION("""COMPUTED_VALUE"""),"application/pdf")</f>
        <v>application/pdf</v>
      </c>
    </row>
    <row r="2406">
      <c r="A2406" s="339" t="str">
        <f>IFERROR(__xludf.DUMMYFUNCTION("""COMPUTED_VALUE"""),"10.1111/j.1467-9280.2006.01824.x")</f>
        <v>10.1111/j.1467-9280.2006.01824.x</v>
      </c>
      <c r="B2406" s="445" t="str">
        <f>IFERROR(__xludf.DUMMYFUNCTION("""COMPUTED_VALUE"""),"https://drive.google.com/file/d/14h-UnLvc59XK91wSbRiIAUMtz5chtiz5/view?usp=drivesdk")</f>
        <v>https://drive.google.com/file/d/14h-UnLvc59XK91wSbRiIAUMtz5chtiz5/view?usp=drivesdk</v>
      </c>
      <c r="C2406" s="339" t="str">
        <f>IFERROR(__xludf.DUMMYFUNCTION("""COMPUTED_VALUE"""),"10.1111--j.1467-9280.2006.01824.x.pdf")</f>
        <v>10.1111--j.1467-9280.2006.01824.x.pdf</v>
      </c>
      <c r="D2406" s="159" t="str">
        <f>IFERROR(__xludf.DUMMYFUNCTION("""COMPUTED_VALUE"""),"application/pdf")</f>
        <v>application/pdf</v>
      </c>
    </row>
    <row r="2407">
      <c r="A2407" s="339" t="str">
        <f>IFERROR(__xludf.DUMMYFUNCTION("""COMPUTED_VALUE"""),"10.1027/1864-9335/a000147")</f>
        <v>10.1027/1864-9335/a000147</v>
      </c>
      <c r="B2407" s="445" t="str">
        <f>IFERROR(__xludf.DUMMYFUNCTION("""COMPUTED_VALUE"""),"https://drive.google.com/file/d/1Nb1xwSCq02ajI3h9-mZBwiuifn_7H1iR/view?usp=drivesdk")</f>
        <v>https://drive.google.com/file/d/1Nb1xwSCq02ajI3h9-mZBwiuifn_7H1iR/view?usp=drivesdk</v>
      </c>
      <c r="C2407" s="339" t="str">
        <f>IFERROR(__xludf.DUMMYFUNCTION("""COMPUTED_VALUE"""),"10.1027--1864-9335--a000147.pdf")</f>
        <v>10.1027--1864-9335--a000147.pdf</v>
      </c>
      <c r="D2407" s="159" t="str">
        <f>IFERROR(__xludf.DUMMYFUNCTION("""COMPUTED_VALUE"""),"application/pdf")</f>
        <v>application/pdf</v>
      </c>
    </row>
    <row r="2408">
      <c r="A2408" s="339" t="str">
        <f>IFERROR(__xludf.DUMMYFUNCTION("""COMPUTED_VALUE"""),"10.1017/s1930297500001170")</f>
        <v>10.1017/s1930297500001170</v>
      </c>
      <c r="B2408" s="445" t="str">
        <f>IFERROR(__xludf.DUMMYFUNCTION("""COMPUTED_VALUE"""),"https://drive.google.com/file/d/1htcfPlWHtz8E91jbq14ETkimhcWUSyMj/view?usp=drivesdk")</f>
        <v>https://drive.google.com/file/d/1htcfPlWHtz8E91jbq14ETkimhcWUSyMj/view?usp=drivesdk</v>
      </c>
      <c r="C2408" s="339" t="str">
        <f>IFERROR(__xludf.DUMMYFUNCTION("""COMPUTED_VALUE"""),"10.1017--S1930297500001170.pdf")</f>
        <v>10.1017--S1930297500001170.pdf</v>
      </c>
      <c r="D2408" s="159" t="str">
        <f>IFERROR(__xludf.DUMMYFUNCTION("""COMPUTED_VALUE"""),"application/pdf")</f>
        <v>application/pdf</v>
      </c>
    </row>
    <row r="2409">
      <c r="A2409" s="339" t="str">
        <f>IFERROR(__xludf.DUMMYFUNCTION("""COMPUTED_VALUE"""),"10.1086/268936")</f>
        <v>10.1086/268936</v>
      </c>
      <c r="B2409" s="445" t="str">
        <f>IFERROR(__xludf.DUMMYFUNCTION("""COMPUTED_VALUE"""),"https://drive.google.com/file/d/151z21j0N9goJiyhqVea_1u4UA83qXS6l/view?usp=drivesdk")</f>
        <v>https://drive.google.com/file/d/151z21j0N9goJiyhqVea_1u4UA83qXS6l/view?usp=drivesdk</v>
      </c>
      <c r="C2409" s="339" t="str">
        <f>IFERROR(__xludf.DUMMYFUNCTION("""COMPUTED_VALUE"""),"10.1086--268936.pdf")</f>
        <v>10.1086--268936.pdf</v>
      </c>
      <c r="D2409" s="159" t="str">
        <f>IFERROR(__xludf.DUMMYFUNCTION("""COMPUTED_VALUE"""),"application/pdf")</f>
        <v>application/pdf</v>
      </c>
    </row>
    <row r="2410">
      <c r="A2410" s="339" t="str">
        <f>IFERROR(__xludf.DUMMYFUNCTION("""COMPUTED_VALUE"""),"10.1111/j.1467-9280.2008.02051.x")</f>
        <v>10.1111/j.1467-9280.2008.02051.x</v>
      </c>
      <c r="B2410" s="445" t="str">
        <f>IFERROR(__xludf.DUMMYFUNCTION("""COMPUTED_VALUE"""),"https://drive.google.com/file/d/1XqhWmKG3ZvoLJmLnPSVfonhhVjkaOyOo/view?usp=drivesdk")</f>
        <v>https://drive.google.com/file/d/1XqhWmKG3ZvoLJmLnPSVfonhhVjkaOyOo/view?usp=drivesdk</v>
      </c>
      <c r="C2410" s="339" t="str">
        <f>IFERROR(__xludf.DUMMYFUNCTION("""COMPUTED_VALUE"""),"10.1111--j.1467-9280.2008.02051.x.pdf")</f>
        <v>10.1111--j.1467-9280.2008.02051.x.pdf</v>
      </c>
      <c r="D2410" s="159" t="str">
        <f>IFERROR(__xludf.DUMMYFUNCTION("""COMPUTED_VALUE"""),"application/pdf")</f>
        <v>application/pdf</v>
      </c>
    </row>
    <row r="2411">
      <c r="A2411" s="339" t="str">
        <f>IFERROR(__xludf.DUMMYFUNCTION("""COMPUTED_VALUE"""),"10.1111/j.1467-9280.2008.02067.x")</f>
        <v>10.1111/j.1467-9280.2008.02067.x</v>
      </c>
      <c r="B2411" s="445" t="str">
        <f>IFERROR(__xludf.DUMMYFUNCTION("""COMPUTED_VALUE"""),"https://drive.google.com/file/d/1MGnCE7goqJ_cEkFuDi-kMu34wrO-f2Oo/view?usp=drivesdk")</f>
        <v>https://drive.google.com/file/d/1MGnCE7goqJ_cEkFuDi-kMu34wrO-f2Oo/view?usp=drivesdk</v>
      </c>
      <c r="C2411" s="339" t="str">
        <f>IFERROR(__xludf.DUMMYFUNCTION("""COMPUTED_VALUE"""),"10.1111--j.1467-9280.2008.02067.x.pdf")</f>
        <v>10.1111--j.1467-9280.2008.02067.x.pdf</v>
      </c>
      <c r="D2411" s="159" t="str">
        <f>IFERROR(__xludf.DUMMYFUNCTION("""COMPUTED_VALUE"""),"application/pdf")</f>
        <v>application/pdf</v>
      </c>
    </row>
    <row r="2412">
      <c r="A2412" s="339" t="str">
        <f>IFERROR(__xludf.DUMMYFUNCTION("""COMPUTED_VALUE"""),"10.1111/j.1467-9280.2008.02039.x")</f>
        <v>10.1111/j.1467-9280.2008.02039.x</v>
      </c>
      <c r="B2412" s="445" t="str">
        <f>IFERROR(__xludf.DUMMYFUNCTION("""COMPUTED_VALUE"""),"https://drive.google.com/file/d/17yvRZkdBULPZU-hy9QprgZuJeonQfAel/view?usp=drivesdk")</f>
        <v>https://drive.google.com/file/d/17yvRZkdBULPZU-hy9QprgZuJeonQfAel/view?usp=drivesdk</v>
      </c>
      <c r="C2412" s="339" t="str">
        <f>IFERROR(__xludf.DUMMYFUNCTION("""COMPUTED_VALUE"""),"10.1111--j.1467-9280.2008.02039.x.pdf")</f>
        <v>10.1111--j.1467-9280.2008.02039.x.pdf</v>
      </c>
      <c r="D2412" s="159" t="str">
        <f>IFERROR(__xludf.DUMMYFUNCTION("""COMPUTED_VALUE"""),"application/pdf")</f>
        <v>application/pdf</v>
      </c>
    </row>
    <row r="2413">
      <c r="A2413" s="339" t="str">
        <f>IFERROR(__xludf.DUMMYFUNCTION("""COMPUTED_VALUE"""),"10.1111/j.1467-9280.2008.02037.x")</f>
        <v>10.1111/j.1467-9280.2008.02037.x</v>
      </c>
      <c r="B2413" s="445" t="str">
        <f>IFERROR(__xludf.DUMMYFUNCTION("""COMPUTED_VALUE"""),"https://drive.google.com/file/d/1QF3uA9_pwrWOzXdkZ1UyE6QcFceppW3C/view?usp=drivesdk")</f>
        <v>https://drive.google.com/file/d/1QF3uA9_pwrWOzXdkZ1UyE6QcFceppW3C/view?usp=drivesdk</v>
      </c>
      <c r="C2413" s="339" t="str">
        <f>IFERROR(__xludf.DUMMYFUNCTION("""COMPUTED_VALUE"""),"10.1111--j.1467-9280.2008.02037.x.pdf")</f>
        <v>10.1111--j.1467-9280.2008.02037.x.pdf</v>
      </c>
      <c r="D2413" s="159" t="str">
        <f>IFERROR(__xludf.DUMMYFUNCTION("""COMPUTED_VALUE"""),"application/pdf")</f>
        <v>application/pdf</v>
      </c>
    </row>
    <row r="2414">
      <c r="A2414" s="339" t="str">
        <f>IFERROR(__xludf.DUMMYFUNCTION("""COMPUTED_VALUE"""),"10.1111/j.1467-9280.2008.02079.x")</f>
        <v>10.1111/j.1467-9280.2008.02079.x</v>
      </c>
      <c r="B2414" s="445" t="str">
        <f>IFERROR(__xludf.DUMMYFUNCTION("""COMPUTED_VALUE"""),"https://drive.google.com/file/d/1L6r7Is4dN-Wh4wY-_mmmCPEDR_wsVjkO/view?usp=drivesdk")</f>
        <v>https://drive.google.com/file/d/1L6r7Is4dN-Wh4wY-_mmmCPEDR_wsVjkO/view?usp=drivesdk</v>
      </c>
      <c r="C2414" s="339" t="str">
        <f>IFERROR(__xludf.DUMMYFUNCTION("""COMPUTED_VALUE"""),"10.1111--j.1467-9280.2008.02079.x.pdf")</f>
        <v>10.1111--j.1467-9280.2008.02079.x.pdf</v>
      </c>
      <c r="D2414" s="159" t="str">
        <f>IFERROR(__xludf.DUMMYFUNCTION("""COMPUTED_VALUE"""),"application/pdf")</f>
        <v>application/pdf</v>
      </c>
    </row>
    <row r="2415">
      <c r="A2415" s="339" t="str">
        <f>IFERROR(__xludf.DUMMYFUNCTION("""COMPUTED_VALUE"""),"10.1111/j.1467-9280.2008.02081.x")</f>
        <v>10.1111/j.1467-9280.2008.02081.x</v>
      </c>
      <c r="B2415" s="445" t="str">
        <f>IFERROR(__xludf.DUMMYFUNCTION("""COMPUTED_VALUE"""),"https://drive.google.com/file/d/1xJDFi9AZRlHlZ8zxZ8pogfKFGSJiXpeB/view?usp=drivesdk")</f>
        <v>https://drive.google.com/file/d/1xJDFi9AZRlHlZ8zxZ8pogfKFGSJiXpeB/view?usp=drivesdk</v>
      </c>
      <c r="C2415" s="339" t="str">
        <f>IFERROR(__xludf.DUMMYFUNCTION("""COMPUTED_VALUE"""),"10.1111--j.1467-9280.2008.02081.x.pdf")</f>
        <v>10.1111--j.1467-9280.2008.02081.x.pdf</v>
      </c>
      <c r="D2415" s="159" t="str">
        <f>IFERROR(__xludf.DUMMYFUNCTION("""COMPUTED_VALUE"""),"application/pdf")</f>
        <v>application/pdf</v>
      </c>
    </row>
    <row r="2416">
      <c r="A2416" s="339" t="str">
        <f>IFERROR(__xludf.DUMMYFUNCTION("""COMPUTED_VALUE"""),"10.1111/j.1467-9280.2008.02090.x")</f>
        <v>10.1111/j.1467-9280.2008.02090.x</v>
      </c>
      <c r="B2416" s="445" t="str">
        <f>IFERROR(__xludf.DUMMYFUNCTION("""COMPUTED_VALUE"""),"https://drive.google.com/file/d/1L4wamJsRPsyXxKeW3GaFCUieXSvb00LA/view?usp=drivesdk")</f>
        <v>https://drive.google.com/file/d/1L4wamJsRPsyXxKeW3GaFCUieXSvb00LA/view?usp=drivesdk</v>
      </c>
      <c r="C2416" s="339" t="str">
        <f>IFERROR(__xludf.DUMMYFUNCTION("""COMPUTED_VALUE"""),"10.1111--j.1467-9280.2008.02090.x.pdf")</f>
        <v>10.1111--j.1467-9280.2008.02090.x.pdf</v>
      </c>
      <c r="D2416" s="159" t="str">
        <f>IFERROR(__xludf.DUMMYFUNCTION("""COMPUTED_VALUE"""),"application/pdf")</f>
        <v>application/pdf</v>
      </c>
    </row>
    <row r="2417">
      <c r="A2417" s="339" t="str">
        <f>IFERROR(__xludf.DUMMYFUNCTION("""COMPUTED_VALUE"""),"10.1111/j.1467-9280.2008.02038.x")</f>
        <v>10.1111/j.1467-9280.2008.02038.x</v>
      </c>
      <c r="B2417" s="445" t="str">
        <f>IFERROR(__xludf.DUMMYFUNCTION("""COMPUTED_VALUE"""),"https://drive.google.com/file/d/11dnTmqa4ngMJOr32H46bjdjydQPpSfqT/view?usp=drivesdk")</f>
        <v>https://drive.google.com/file/d/11dnTmqa4ngMJOr32H46bjdjydQPpSfqT/view?usp=drivesdk</v>
      </c>
      <c r="C2417" s="339" t="str">
        <f>IFERROR(__xludf.DUMMYFUNCTION("""COMPUTED_VALUE"""),"10.1111--j.1467-9280.2008.02038.x.pdf")</f>
        <v>10.1111--j.1467-9280.2008.02038.x.pdf</v>
      </c>
      <c r="D2417" s="159" t="str">
        <f>IFERROR(__xludf.DUMMYFUNCTION("""COMPUTED_VALUE"""),"application/pdf")</f>
        <v>application/pdf</v>
      </c>
    </row>
    <row r="2418">
      <c r="A2418" s="339" t="str">
        <f>IFERROR(__xludf.DUMMYFUNCTION("""COMPUTED_VALUE"""),"10.1111/j.1467-9280.2008.02042.x")</f>
        <v>10.1111/j.1467-9280.2008.02042.x</v>
      </c>
      <c r="B2418" s="445" t="str">
        <f>IFERROR(__xludf.DUMMYFUNCTION("""COMPUTED_VALUE"""),"https://drive.google.com/file/d/1HlSsul-f2PZvtm7eAB3JNvLefgA9BMVI/view?usp=drivesdk")</f>
        <v>https://drive.google.com/file/d/1HlSsul-f2PZvtm7eAB3JNvLefgA9BMVI/view?usp=drivesdk</v>
      </c>
      <c r="C2418" s="339" t="str">
        <f>IFERROR(__xludf.DUMMYFUNCTION("""COMPUTED_VALUE"""),"10.1111--j.1467-9280.2008.02042.x.pdf")</f>
        <v>10.1111--j.1467-9280.2008.02042.x.pdf</v>
      </c>
      <c r="D2418" s="159" t="str">
        <f>IFERROR(__xludf.DUMMYFUNCTION("""COMPUTED_VALUE"""),"application/pdf")</f>
        <v>application/pdf</v>
      </c>
    </row>
    <row r="2419">
      <c r="A2419" s="339" t="str">
        <f>IFERROR(__xludf.DUMMYFUNCTION("""COMPUTED_VALUE"""),"10.1111/j.1467-9280.2008.02071.x")</f>
        <v>10.1111/j.1467-9280.2008.02071.x</v>
      </c>
      <c r="B2419" s="445" t="str">
        <f>IFERROR(__xludf.DUMMYFUNCTION("""COMPUTED_VALUE"""),"https://drive.google.com/file/d/1tYHVLCainLtOj9rVkmXJWVeSI6ydEAvX/view?usp=drivesdk")</f>
        <v>https://drive.google.com/file/d/1tYHVLCainLtOj9rVkmXJWVeSI6ydEAvX/view?usp=drivesdk</v>
      </c>
      <c r="C2419" s="339" t="str">
        <f>IFERROR(__xludf.DUMMYFUNCTION("""COMPUTED_VALUE"""),"10.1111--j.1467-9280.2008.02071.x.pdf")</f>
        <v>10.1111--j.1467-9280.2008.02071.x.pdf</v>
      </c>
      <c r="D2419" s="159" t="str">
        <f>IFERROR(__xludf.DUMMYFUNCTION("""COMPUTED_VALUE"""),"application/pdf")</f>
        <v>application/pdf</v>
      </c>
    </row>
    <row r="2420">
      <c r="A2420" s="339" t="str">
        <f>IFERROR(__xludf.DUMMYFUNCTION("""COMPUTED_VALUE"""),"10.1111/j.1467-9280.2008.02085.x")</f>
        <v>10.1111/j.1467-9280.2008.02085.x</v>
      </c>
      <c r="B2420" s="445" t="str">
        <f>IFERROR(__xludf.DUMMYFUNCTION("""COMPUTED_VALUE"""),"https://drive.google.com/file/d/1-FUitYcnAKMu52rxwYLJUGd9TwUYmGfa/view?usp=drivesdk")</f>
        <v>https://drive.google.com/file/d/1-FUitYcnAKMu52rxwYLJUGd9TwUYmGfa/view?usp=drivesdk</v>
      </c>
      <c r="C2420" s="339" t="str">
        <f>IFERROR(__xludf.DUMMYFUNCTION("""COMPUTED_VALUE"""),"10.1111--j.1467-9280.2008.02085.x.pdf")</f>
        <v>10.1111--j.1467-9280.2008.02085.x.pdf</v>
      </c>
      <c r="D2420" s="159" t="str">
        <f>IFERROR(__xludf.DUMMYFUNCTION("""COMPUTED_VALUE"""),"application/pdf")</f>
        <v>application/pdf</v>
      </c>
    </row>
    <row r="2421">
      <c r="A2421" s="339" t="str">
        <f>IFERROR(__xludf.DUMMYFUNCTION("""COMPUTED_VALUE"""),"10.1111/j.1467-9280.2008.02049.x")</f>
        <v>10.1111/j.1467-9280.2008.02049.x</v>
      </c>
      <c r="B2421" s="445" t="str">
        <f>IFERROR(__xludf.DUMMYFUNCTION("""COMPUTED_VALUE"""),"https://drive.google.com/file/d/1H1LGxInHGwZQlib48Sk8tAS3t5eXTLL_/view?usp=drivesdk")</f>
        <v>https://drive.google.com/file/d/1H1LGxInHGwZQlib48Sk8tAS3t5eXTLL_/view?usp=drivesdk</v>
      </c>
      <c r="C2421" s="339" t="str">
        <f>IFERROR(__xludf.DUMMYFUNCTION("""COMPUTED_VALUE"""),"10.1111--j.1467-9280.2008.02049.x.pdf")</f>
        <v>10.1111--j.1467-9280.2008.02049.x.pdf</v>
      </c>
      <c r="D2421" s="159" t="str">
        <f>IFERROR(__xludf.DUMMYFUNCTION("""COMPUTED_VALUE"""),"application/pdf")</f>
        <v>application/pdf</v>
      </c>
    </row>
    <row r="2422">
      <c r="A2422" s="339" t="str">
        <f>IFERROR(__xludf.DUMMYFUNCTION("""COMPUTED_VALUE"""),"10.1111/j.1467-9280.2008.02055.x")</f>
        <v>10.1111/j.1467-9280.2008.02055.x</v>
      </c>
      <c r="B2422" s="445" t="str">
        <f>IFERROR(__xludf.DUMMYFUNCTION("""COMPUTED_VALUE"""),"https://drive.google.com/file/d/1biYeTzhPqrassKU32rFpIQXkmaCzUR_H/view?usp=drivesdk")</f>
        <v>https://drive.google.com/file/d/1biYeTzhPqrassKU32rFpIQXkmaCzUR_H/view?usp=drivesdk</v>
      </c>
      <c r="C2422" s="339" t="str">
        <f>IFERROR(__xludf.DUMMYFUNCTION("""COMPUTED_VALUE"""),"10.1111--j.1467-9280.2008.02055.x.pdf")</f>
        <v>10.1111--j.1467-9280.2008.02055.x.pdf</v>
      </c>
      <c r="D2422" s="159" t="str">
        <f>IFERROR(__xludf.DUMMYFUNCTION("""COMPUTED_VALUE"""),"application/pdf")</f>
        <v>application/pdf</v>
      </c>
    </row>
    <row r="2423">
      <c r="A2423" s="339" t="str">
        <f>IFERROR(__xludf.DUMMYFUNCTION("""COMPUTED_VALUE"""),"10.1111/j.1467-9280.2008.02044.x")</f>
        <v>10.1111/j.1467-9280.2008.02044.x</v>
      </c>
      <c r="B2423" s="445" t="str">
        <f>IFERROR(__xludf.DUMMYFUNCTION("""COMPUTED_VALUE"""),"https://drive.google.com/file/d/1OXOz_E9VpKDoMyophO2ymVaA6QjHkMCY/view?usp=drivesdk")</f>
        <v>https://drive.google.com/file/d/1OXOz_E9VpKDoMyophO2ymVaA6QjHkMCY/view?usp=drivesdk</v>
      </c>
      <c r="C2423" s="339" t="str">
        <f>IFERROR(__xludf.DUMMYFUNCTION("""COMPUTED_VALUE"""),"10.1111--j.1467-9280.2008.02044.x.pdf")</f>
        <v>10.1111--j.1467-9280.2008.02044.x.pdf</v>
      </c>
      <c r="D2423" s="159" t="str">
        <f>IFERROR(__xludf.DUMMYFUNCTION("""COMPUTED_VALUE"""),"application/pdf")</f>
        <v>application/pdf</v>
      </c>
    </row>
    <row r="2424">
      <c r="A2424" s="339" t="str">
        <f>IFERROR(__xludf.DUMMYFUNCTION("""COMPUTED_VALUE"""),"10.1111/j.1467-9280.2008.02060.x")</f>
        <v>10.1111/j.1467-9280.2008.02060.x</v>
      </c>
      <c r="B2424" s="445" t="str">
        <f>IFERROR(__xludf.DUMMYFUNCTION("""COMPUTED_VALUE"""),"https://drive.google.com/file/d/1lRP53zTo3VPT-PsO3ntfyg-tGbdQtIIK/view?usp=drivesdk")</f>
        <v>https://drive.google.com/file/d/1lRP53zTo3VPT-PsO3ntfyg-tGbdQtIIK/view?usp=drivesdk</v>
      </c>
      <c r="C2424" s="339" t="str">
        <f>IFERROR(__xludf.DUMMYFUNCTION("""COMPUTED_VALUE"""),"10.1111--j.1467-9280.2008.02060.x.pdf")</f>
        <v>10.1111--j.1467-9280.2008.02060.x.pdf</v>
      </c>
      <c r="D2424" s="159" t="str">
        <f>IFERROR(__xludf.DUMMYFUNCTION("""COMPUTED_VALUE"""),"application/pdf")</f>
        <v>application/pdf</v>
      </c>
    </row>
    <row r="2425">
      <c r="A2425" s="339" t="str">
        <f>IFERROR(__xludf.DUMMYFUNCTION("""COMPUTED_VALUE"""),"10.1111/j.1467-9280.2008.02073.x")</f>
        <v>10.1111/j.1467-9280.2008.02073.x</v>
      </c>
      <c r="B2425" s="445" t="str">
        <f>IFERROR(__xludf.DUMMYFUNCTION("""COMPUTED_VALUE"""),"https://drive.google.com/file/d/1-AugkAi762Vn2PNN5xd7FoQQ9st-F4p9/view?usp=drivesdk")</f>
        <v>https://drive.google.com/file/d/1-AugkAi762Vn2PNN5xd7FoQQ9st-F4p9/view?usp=drivesdk</v>
      </c>
      <c r="C2425" s="339" t="str">
        <f>IFERROR(__xludf.DUMMYFUNCTION("""COMPUTED_VALUE"""),"10.1111--j.1467-9280.2008.02073.x.pdf")</f>
        <v>10.1111--j.1467-9280.2008.02073.x.pdf</v>
      </c>
      <c r="D2425" s="159" t="str">
        <f>IFERROR(__xludf.DUMMYFUNCTION("""COMPUTED_VALUE"""),"application/pdf")</f>
        <v>application/pdf</v>
      </c>
    </row>
    <row r="2426">
      <c r="A2426" s="339" t="str">
        <f>IFERROR(__xludf.DUMMYFUNCTION("""COMPUTED_VALUE"""),"10.1111/j.1467-9280.2008.02070.x")</f>
        <v>10.1111/j.1467-9280.2008.02070.x</v>
      </c>
      <c r="B2426" s="445" t="str">
        <f>IFERROR(__xludf.DUMMYFUNCTION("""COMPUTED_VALUE"""),"https://drive.google.com/file/d/1uCFFMA_-qokNXypcjNJCz-kIkPjXgKuT/view?usp=drivesdk")</f>
        <v>https://drive.google.com/file/d/1uCFFMA_-qokNXypcjNJCz-kIkPjXgKuT/view?usp=drivesdk</v>
      </c>
      <c r="C2426" s="339" t="str">
        <f>IFERROR(__xludf.DUMMYFUNCTION("""COMPUTED_VALUE"""),"10.1111--j.1467-9280.2008.02070.x.pdf")</f>
        <v>10.1111--j.1467-9280.2008.02070.x.pdf</v>
      </c>
      <c r="D2426" s="159" t="str">
        <f>IFERROR(__xludf.DUMMYFUNCTION("""COMPUTED_VALUE"""),"application/pdf")</f>
        <v>application/pdf</v>
      </c>
    </row>
    <row r="2427">
      <c r="A2427" s="339" t="str">
        <f>IFERROR(__xludf.DUMMYFUNCTION("""COMPUTED_VALUE"""),"10.1111/j.1467-9280.2008.02056.x")</f>
        <v>10.1111/j.1467-9280.2008.02056.x</v>
      </c>
      <c r="B2427" s="445" t="str">
        <f>IFERROR(__xludf.DUMMYFUNCTION("""COMPUTED_VALUE"""),"https://drive.google.com/file/d/1kdZLBkUApDss7ySLJK034jl3rTKemhnJ/view?usp=drivesdk")</f>
        <v>https://drive.google.com/file/d/1kdZLBkUApDss7ySLJK034jl3rTKemhnJ/view?usp=drivesdk</v>
      </c>
      <c r="C2427" s="339" t="str">
        <f>IFERROR(__xludf.DUMMYFUNCTION("""COMPUTED_VALUE"""),"10.1111--j.1467-9280.2008.02056.x.pdf")</f>
        <v>10.1111--j.1467-9280.2008.02056.x.pdf</v>
      </c>
      <c r="D2427" s="159" t="str">
        <f>IFERROR(__xludf.DUMMYFUNCTION("""COMPUTED_VALUE"""),"application/pdf")</f>
        <v>application/pdf</v>
      </c>
    </row>
    <row r="2428">
      <c r="A2428" s="339" t="str">
        <f>IFERROR(__xludf.DUMMYFUNCTION("""COMPUTED_VALUE"""),"10.1111/j.1467-9280.2008.02088.x")</f>
        <v>10.1111/j.1467-9280.2008.02088.x</v>
      </c>
      <c r="B2428" s="445" t="str">
        <f>IFERROR(__xludf.DUMMYFUNCTION("""COMPUTED_VALUE"""),"https://drive.google.com/file/d/1WfPribPjrUnNwdjyMLceAC2yV6uOwcIj/view?usp=drivesdk")</f>
        <v>https://drive.google.com/file/d/1WfPribPjrUnNwdjyMLceAC2yV6uOwcIj/view?usp=drivesdk</v>
      </c>
      <c r="C2428" s="339" t="str">
        <f>IFERROR(__xludf.DUMMYFUNCTION("""COMPUTED_VALUE"""),"10.1111--j.1467-9280.2008.02088.x.pdf")</f>
        <v>10.1111--j.1467-9280.2008.02088.x.pdf</v>
      </c>
      <c r="D2428" s="159" t="str">
        <f>IFERROR(__xludf.DUMMYFUNCTION("""COMPUTED_VALUE"""),"application/pdf")</f>
        <v>application/pdf</v>
      </c>
    </row>
    <row r="2429">
      <c r="A2429" s="339" t="str">
        <f>IFERROR(__xludf.DUMMYFUNCTION("""COMPUTED_VALUE"""),"10.1111/j.1467-9280.2008.02082.x")</f>
        <v>10.1111/j.1467-9280.2008.02082.x</v>
      </c>
      <c r="B2429" s="445" t="str">
        <f>IFERROR(__xludf.DUMMYFUNCTION("""COMPUTED_VALUE"""),"https://drive.google.com/file/d/1gRhKC7-YLt04IbuMzSP47N5GlLulLnyP/view?usp=drivesdk")</f>
        <v>https://drive.google.com/file/d/1gRhKC7-YLt04IbuMzSP47N5GlLulLnyP/view?usp=drivesdk</v>
      </c>
      <c r="C2429" s="339" t="str">
        <f>IFERROR(__xludf.DUMMYFUNCTION("""COMPUTED_VALUE"""),"10.1111--j.1467-9280.2008.02082.x.pdf")</f>
        <v>10.1111--j.1467-9280.2008.02082.x.pdf</v>
      </c>
      <c r="D2429" s="159" t="str">
        <f>IFERROR(__xludf.DUMMYFUNCTION("""COMPUTED_VALUE"""),"application/pdf")</f>
        <v>application/pdf</v>
      </c>
    </row>
    <row r="2430">
      <c r="A2430" s="339" t="str">
        <f>IFERROR(__xludf.DUMMYFUNCTION("""COMPUTED_VALUE"""),"10.1111/j.1467-9280.2008.02084.x")</f>
        <v>10.1111/j.1467-9280.2008.02084.x</v>
      </c>
      <c r="B2430" s="445" t="str">
        <f>IFERROR(__xludf.DUMMYFUNCTION("""COMPUTED_VALUE"""),"https://drive.google.com/file/d/1pEsi_zCge4Xxz2XomVjcrFondU662vvE/view?usp=drivesdk")</f>
        <v>https://drive.google.com/file/d/1pEsi_zCge4Xxz2XomVjcrFondU662vvE/view?usp=drivesdk</v>
      </c>
      <c r="C2430" s="339" t="str">
        <f>IFERROR(__xludf.DUMMYFUNCTION("""COMPUTED_VALUE"""),"10.1111--j.1467-9280.2008.02084.x.pdf")</f>
        <v>10.1111--j.1467-9280.2008.02084.x.pdf</v>
      </c>
      <c r="D2430" s="159" t="str">
        <f>IFERROR(__xludf.DUMMYFUNCTION("""COMPUTED_VALUE"""),"application/pdf")</f>
        <v>application/pdf</v>
      </c>
    </row>
    <row r="2431">
      <c r="A2431" s="339" t="str">
        <f>IFERROR(__xludf.DUMMYFUNCTION("""COMPUTED_VALUE"""),"10.1111/j.1467-9280.2008.02050.x")</f>
        <v>10.1111/j.1467-9280.2008.02050.x</v>
      </c>
      <c r="B2431" s="445" t="str">
        <f>IFERROR(__xludf.DUMMYFUNCTION("""COMPUTED_VALUE"""),"https://drive.google.com/file/d/1HvJhg-z__ZC4L2MVWwWJgR-8s9h67R34/view?usp=drivesdk")</f>
        <v>https://drive.google.com/file/d/1HvJhg-z__ZC4L2MVWwWJgR-8s9h67R34/view?usp=drivesdk</v>
      </c>
      <c r="C2431" s="339" t="str">
        <f>IFERROR(__xludf.DUMMYFUNCTION("""COMPUTED_VALUE"""),"10.1111--j.1467-9280.2008.02050.x.pdf")</f>
        <v>10.1111--j.1467-9280.2008.02050.x.pdf</v>
      </c>
      <c r="D2431" s="159" t="str">
        <f>IFERROR(__xludf.DUMMYFUNCTION("""COMPUTED_VALUE"""),"application/pdf")</f>
        <v>application/pdf</v>
      </c>
    </row>
    <row r="2432">
      <c r="A2432" s="339" t="str">
        <f>IFERROR(__xludf.DUMMYFUNCTION("""COMPUTED_VALUE"""),"10.1111/j.1467-9280.2008.02065.x")</f>
        <v>10.1111/j.1467-9280.2008.02065.x</v>
      </c>
      <c r="B2432" s="445" t="str">
        <f>IFERROR(__xludf.DUMMYFUNCTION("""COMPUTED_VALUE"""),"https://drive.google.com/file/d/116ux1lFNh85JTfA7rlcWpbV1sgxGhwMh/view?usp=drivesdk")</f>
        <v>https://drive.google.com/file/d/116ux1lFNh85JTfA7rlcWpbV1sgxGhwMh/view?usp=drivesdk</v>
      </c>
      <c r="C2432" s="339" t="str">
        <f>IFERROR(__xludf.DUMMYFUNCTION("""COMPUTED_VALUE"""),"10.1111--j.1467-9280.2008.02065.x.pdf")</f>
        <v>10.1111--j.1467-9280.2008.02065.x.pdf</v>
      </c>
      <c r="D2432" s="159" t="str">
        <f>IFERROR(__xludf.DUMMYFUNCTION("""COMPUTED_VALUE"""),"application/pdf")</f>
        <v>application/pdf</v>
      </c>
    </row>
    <row r="2433">
      <c r="A2433" s="339" t="str">
        <f>IFERROR(__xludf.DUMMYFUNCTION("""COMPUTED_VALUE"""),"10.1111/j.1467-9280.2008.02045.x")</f>
        <v>10.1111/j.1467-9280.2008.02045.x</v>
      </c>
      <c r="B2433" s="445" t="str">
        <f>IFERROR(__xludf.DUMMYFUNCTION("""COMPUTED_VALUE"""),"https://drive.google.com/file/d/1sINTPt9kd7F5Vgc5qW1iK2Ge6313RMjs/view?usp=drivesdk")</f>
        <v>https://drive.google.com/file/d/1sINTPt9kd7F5Vgc5qW1iK2Ge6313RMjs/view?usp=drivesdk</v>
      </c>
      <c r="C2433" s="339" t="str">
        <f>IFERROR(__xludf.DUMMYFUNCTION("""COMPUTED_VALUE"""),"10.1111--j.1467-9280.2008.02045.x.pdf")</f>
        <v>10.1111--j.1467-9280.2008.02045.x.pdf</v>
      </c>
      <c r="D2433" s="159" t="str">
        <f>IFERROR(__xludf.DUMMYFUNCTION("""COMPUTED_VALUE"""),"application/pdf")</f>
        <v>application/pdf</v>
      </c>
    </row>
    <row r="2434">
      <c r="A2434" s="339" t="str">
        <f>IFERROR(__xludf.DUMMYFUNCTION("""COMPUTED_VALUE"""),"10.1111/j.1467-9280.2008.02076.x")</f>
        <v>10.1111/j.1467-9280.2008.02076.x</v>
      </c>
      <c r="B2434" s="445" t="str">
        <f>IFERROR(__xludf.DUMMYFUNCTION("""COMPUTED_VALUE"""),"https://drive.google.com/file/d/1SwGFI5Wz9iRzabOCXMcfTU90XgmL8lKJ/view?usp=drivesdk")</f>
        <v>https://drive.google.com/file/d/1SwGFI5Wz9iRzabOCXMcfTU90XgmL8lKJ/view?usp=drivesdk</v>
      </c>
      <c r="C2434" s="339" t="str">
        <f>IFERROR(__xludf.DUMMYFUNCTION("""COMPUTED_VALUE"""),"10.1111--j.1467-9280.2008.02076.x.pdf")</f>
        <v>10.1111--j.1467-9280.2008.02076.x.pdf</v>
      </c>
      <c r="D2434" s="159" t="str">
        <f>IFERROR(__xludf.DUMMYFUNCTION("""COMPUTED_VALUE"""),"application/pdf")</f>
        <v>application/pdf</v>
      </c>
    </row>
    <row r="2435">
      <c r="A2435" s="339" t="str">
        <f>IFERROR(__xludf.DUMMYFUNCTION("""COMPUTED_VALUE"""),"10.1111/j.1467-9280.2008.02064.x")</f>
        <v>10.1111/j.1467-9280.2008.02064.x</v>
      </c>
      <c r="B2435" s="445" t="str">
        <f>IFERROR(__xludf.DUMMYFUNCTION("""COMPUTED_VALUE"""),"https://drive.google.com/file/d/1ZvAbdxhSZjsiTtoGCcl4wKGSEHyET-ky/view?usp=drivesdk")</f>
        <v>https://drive.google.com/file/d/1ZvAbdxhSZjsiTtoGCcl4wKGSEHyET-ky/view?usp=drivesdk</v>
      </c>
      <c r="C2435" s="339" t="str">
        <f>IFERROR(__xludf.DUMMYFUNCTION("""COMPUTED_VALUE"""),"10.1111--j.1467-9280.2008.02064.x.pdf")</f>
        <v>10.1111--j.1467-9280.2008.02064.x.pdf</v>
      </c>
      <c r="D2435" s="159" t="str">
        <f>IFERROR(__xludf.DUMMYFUNCTION("""COMPUTED_VALUE"""),"application/pdf")</f>
        <v>application/pdf</v>
      </c>
    </row>
    <row r="2436">
      <c r="A2436" s="339" t="str">
        <f>IFERROR(__xludf.DUMMYFUNCTION("""COMPUTED_VALUE"""),"10.1111/j.1467-9280.2008.02072.x")</f>
        <v>10.1111/j.1467-9280.2008.02072.x</v>
      </c>
      <c r="B2436" s="445" t="str">
        <f>IFERROR(__xludf.DUMMYFUNCTION("""COMPUTED_VALUE"""),"https://drive.google.com/file/d/1HyrNh-agatlqkBI_Y2cQxLTUdJmQoYlf/view?usp=drivesdk")</f>
        <v>https://drive.google.com/file/d/1HyrNh-agatlqkBI_Y2cQxLTUdJmQoYlf/view?usp=drivesdk</v>
      </c>
      <c r="C2436" s="339" t="str">
        <f>IFERROR(__xludf.DUMMYFUNCTION("""COMPUTED_VALUE"""),"10.1111--j.1467-9280.2008.02072.x.pdf")</f>
        <v>10.1111--j.1467-9280.2008.02072.x.pdf</v>
      </c>
      <c r="D2436" s="159" t="str">
        <f>IFERROR(__xludf.DUMMYFUNCTION("""COMPUTED_VALUE"""),"application/pdf")</f>
        <v>application/pdf</v>
      </c>
    </row>
    <row r="2437">
      <c r="A2437" s="339" t="str">
        <f>IFERROR(__xludf.DUMMYFUNCTION("""COMPUTED_VALUE"""),"10.1111/j.1467-9280.2008.02059.x")</f>
        <v>10.1111/j.1467-9280.2008.02059.x</v>
      </c>
      <c r="B2437" s="445" t="str">
        <f>IFERROR(__xludf.DUMMYFUNCTION("""COMPUTED_VALUE"""),"https://drive.google.com/file/d/1upE7yZOzvH5eWhjo60W2SL_Z4iTthBuJ/view?usp=drivesdk")</f>
        <v>https://drive.google.com/file/d/1upE7yZOzvH5eWhjo60W2SL_Z4iTthBuJ/view?usp=drivesdk</v>
      </c>
      <c r="C2437" s="339" t="str">
        <f>IFERROR(__xludf.DUMMYFUNCTION("""COMPUTED_VALUE"""),"10.1111--j.1467-9280.2008.02059.x.pdf")</f>
        <v>10.1111--j.1467-9280.2008.02059.x.pdf</v>
      </c>
      <c r="D2437" s="159" t="str">
        <f>IFERROR(__xludf.DUMMYFUNCTION("""COMPUTED_VALUE"""),"application/pdf")</f>
        <v>application/pdf</v>
      </c>
    </row>
    <row r="2438">
      <c r="A2438" s="339" t="str">
        <f>IFERROR(__xludf.DUMMYFUNCTION("""COMPUTED_VALUE"""),"10.1111/j.1467-9280.2008.02052.x")</f>
        <v>10.1111/j.1467-9280.2008.02052.x</v>
      </c>
      <c r="B2438" s="445" t="str">
        <f>IFERROR(__xludf.DUMMYFUNCTION("""COMPUTED_VALUE"""),"https://drive.google.com/file/d/1UsMzRx5dAyBC19d7_59BtDW0beEzge2i/view?usp=drivesdk")</f>
        <v>https://drive.google.com/file/d/1UsMzRx5dAyBC19d7_59BtDW0beEzge2i/view?usp=drivesdk</v>
      </c>
      <c r="C2438" s="339" t="str">
        <f>IFERROR(__xludf.DUMMYFUNCTION("""COMPUTED_VALUE"""),"10.1111--j.1467-9280.2008.02052.x.pdf")</f>
        <v>10.1111--j.1467-9280.2008.02052.x.pdf</v>
      </c>
      <c r="D2438" s="159" t="str">
        <f>IFERROR(__xludf.DUMMYFUNCTION("""COMPUTED_VALUE"""),"application/pdf")</f>
        <v>application/pdf</v>
      </c>
    </row>
    <row r="2439">
      <c r="A2439" s="339" t="str">
        <f>IFERROR(__xludf.DUMMYFUNCTION("""COMPUTED_VALUE"""),"10.1111/j.1467-9280.2008.02080.x")</f>
        <v>10.1111/j.1467-9280.2008.02080.x</v>
      </c>
      <c r="B2439" s="445" t="str">
        <f>IFERROR(__xludf.DUMMYFUNCTION("""COMPUTED_VALUE"""),"https://drive.google.com/file/d/1vmwxHTrl9F3n9CjnCny5Gv7aZ_iSmn06/view?usp=drivesdk")</f>
        <v>https://drive.google.com/file/d/1vmwxHTrl9F3n9CjnCny5Gv7aZ_iSmn06/view?usp=drivesdk</v>
      </c>
      <c r="C2439" s="339" t="str">
        <f>IFERROR(__xludf.DUMMYFUNCTION("""COMPUTED_VALUE"""),"10.1111--j.1467-9280.2008.02080.x.pdf")</f>
        <v>10.1111--j.1467-9280.2008.02080.x.pdf</v>
      </c>
      <c r="D2439" s="159" t="str">
        <f>IFERROR(__xludf.DUMMYFUNCTION("""COMPUTED_VALUE"""),"application/pdf")</f>
        <v>application/pdf</v>
      </c>
    </row>
    <row r="2440">
      <c r="A2440" s="339" t="str">
        <f>IFERROR(__xludf.DUMMYFUNCTION("""COMPUTED_VALUE"""),"10.1111/j.1467-9280.2008.02036.x")</f>
        <v>10.1111/j.1467-9280.2008.02036.x</v>
      </c>
      <c r="B2440" s="445" t="str">
        <f>IFERROR(__xludf.DUMMYFUNCTION("""COMPUTED_VALUE"""),"https://drive.google.com/file/d/1tLDYZKQb4z1ZUitzltLK7vgv1To8FFUF/view?usp=drivesdk")</f>
        <v>https://drive.google.com/file/d/1tLDYZKQb4z1ZUitzltLK7vgv1To8FFUF/view?usp=drivesdk</v>
      </c>
      <c r="C2440" s="339" t="str">
        <f>IFERROR(__xludf.DUMMYFUNCTION("""COMPUTED_VALUE"""),"10.1111--j.1467-9280.2008.02036.x.pdf")</f>
        <v>10.1111--j.1467-9280.2008.02036.x.pdf</v>
      </c>
      <c r="D2440" s="159" t="str">
        <f>IFERROR(__xludf.DUMMYFUNCTION("""COMPUTED_VALUE"""),"application/pdf")</f>
        <v>application/pdf</v>
      </c>
    </row>
    <row r="2441">
      <c r="A2441" s="339" t="str">
        <f>IFERROR(__xludf.DUMMYFUNCTION("""COMPUTED_VALUE"""),"10.1111/j.1467-9280.2008.02040.x")</f>
        <v>10.1111/j.1467-9280.2008.02040.x</v>
      </c>
      <c r="B2441" s="445" t="str">
        <f>IFERROR(__xludf.DUMMYFUNCTION("""COMPUTED_VALUE"""),"https://drive.google.com/file/d/1cd2Q3usXoNSUYACYaL4eodYUxZsj-SOb/view?usp=drivesdk")</f>
        <v>https://drive.google.com/file/d/1cd2Q3usXoNSUYACYaL4eodYUxZsj-SOb/view?usp=drivesdk</v>
      </c>
      <c r="C2441" s="339" t="str">
        <f>IFERROR(__xludf.DUMMYFUNCTION("""COMPUTED_VALUE"""),"10.1111--j.1467-9280.2008.02040.x.pdf")</f>
        <v>10.1111--j.1467-9280.2008.02040.x.pdf</v>
      </c>
      <c r="D2441" s="159" t="str">
        <f>IFERROR(__xludf.DUMMYFUNCTION("""COMPUTED_VALUE"""),"application/pdf")</f>
        <v>application/pdf</v>
      </c>
    </row>
    <row r="2442">
      <c r="A2442" s="339" t="str">
        <f>IFERROR(__xludf.DUMMYFUNCTION("""COMPUTED_VALUE"""),"10.1111/j.1467-9280.2008.02058.x")</f>
        <v>10.1111/j.1467-9280.2008.02058.x</v>
      </c>
      <c r="B2442" s="445" t="str">
        <f>IFERROR(__xludf.DUMMYFUNCTION("""COMPUTED_VALUE"""),"https://drive.google.com/file/d/1qgt58xRKt3k8Eix4-bV5OBupJ4bQXEgg/view?usp=drivesdk")</f>
        <v>https://drive.google.com/file/d/1qgt58xRKt3k8Eix4-bV5OBupJ4bQXEgg/view?usp=drivesdk</v>
      </c>
      <c r="C2442" s="339" t="str">
        <f>IFERROR(__xludf.DUMMYFUNCTION("""COMPUTED_VALUE"""),"10.1111--j.1467-9280.2008.02058.x.pdf")</f>
        <v>10.1111--j.1467-9280.2008.02058.x.pdf</v>
      </c>
      <c r="D2442" s="159" t="str">
        <f>IFERROR(__xludf.DUMMYFUNCTION("""COMPUTED_VALUE"""),"application/pdf")</f>
        <v>application/pdf</v>
      </c>
    </row>
    <row r="2443">
      <c r="A2443" s="339" t="str">
        <f>IFERROR(__xludf.DUMMYFUNCTION("""COMPUTED_VALUE"""),"10.1111/j.1467-9280.2008.02091.x")</f>
        <v>10.1111/j.1467-9280.2008.02091.x</v>
      </c>
      <c r="B2443" s="445" t="str">
        <f>IFERROR(__xludf.DUMMYFUNCTION("""COMPUTED_VALUE"""),"https://drive.google.com/file/d/1XfDlpkvCBdw9lQuqmsbfM7aoNwvrAoip/view?usp=drivesdk")</f>
        <v>https://drive.google.com/file/d/1XfDlpkvCBdw9lQuqmsbfM7aoNwvrAoip/view?usp=drivesdk</v>
      </c>
      <c r="C2443" s="339" t="str">
        <f>IFERROR(__xludf.DUMMYFUNCTION("""COMPUTED_VALUE"""),"10.1111--j.1467-9280.2008.02091.x.pdf")</f>
        <v>10.1111--j.1467-9280.2008.02091.x.pdf</v>
      </c>
      <c r="D2443" s="159" t="str">
        <f>IFERROR(__xludf.DUMMYFUNCTION("""COMPUTED_VALUE"""),"application/pdf")</f>
        <v>application/pdf</v>
      </c>
    </row>
    <row r="2444">
      <c r="A2444" s="339" t="str">
        <f>IFERROR(__xludf.DUMMYFUNCTION("""COMPUTED_VALUE"""),"10.1111/j.1467-9280.2008.02053.x")</f>
        <v>10.1111/j.1467-9280.2008.02053.x</v>
      </c>
      <c r="B2444" s="445" t="str">
        <f>IFERROR(__xludf.DUMMYFUNCTION("""COMPUTED_VALUE"""),"https://drive.google.com/file/d/15X7saP8VbSJHXa2xOtcgFcOKjQJFaUYh/view?usp=drivesdk")</f>
        <v>https://drive.google.com/file/d/15X7saP8VbSJHXa2xOtcgFcOKjQJFaUYh/view?usp=drivesdk</v>
      </c>
      <c r="C2444" s="339" t="str">
        <f>IFERROR(__xludf.DUMMYFUNCTION("""COMPUTED_VALUE"""),"10.1111--j.1467-9280.2008.02053.x.pdf")</f>
        <v>10.1111--j.1467-9280.2008.02053.x.pdf</v>
      </c>
      <c r="D2444" s="159" t="str">
        <f>IFERROR(__xludf.DUMMYFUNCTION("""COMPUTED_VALUE"""),"application/pdf")</f>
        <v>application/pdf</v>
      </c>
    </row>
    <row r="2445">
      <c r="A2445" s="339" t="str">
        <f>IFERROR(__xludf.DUMMYFUNCTION("""COMPUTED_VALUE"""),"10.1111/j.1467-9280.2008.02086.x")</f>
        <v>10.1111/j.1467-9280.2008.02086.x</v>
      </c>
      <c r="B2445" s="445" t="str">
        <f>IFERROR(__xludf.DUMMYFUNCTION("""COMPUTED_VALUE"""),"https://drive.google.com/file/d/1hzFq7DQ4QBCZolqR2nSfUrSqTtmPYs3_/view?usp=drivesdk")</f>
        <v>https://drive.google.com/file/d/1hzFq7DQ4QBCZolqR2nSfUrSqTtmPYs3_/view?usp=drivesdk</v>
      </c>
      <c r="C2445" s="339" t="str">
        <f>IFERROR(__xludf.DUMMYFUNCTION("""COMPUTED_VALUE"""),"10.1111--j.1467-9280.2008.02086.x.pdf")</f>
        <v>10.1111--j.1467-9280.2008.02086.x.pdf</v>
      </c>
      <c r="D2445" s="159" t="str">
        <f>IFERROR(__xludf.DUMMYFUNCTION("""COMPUTED_VALUE"""),"application/pdf")</f>
        <v>application/pdf</v>
      </c>
    </row>
    <row r="2446">
      <c r="A2446" s="339" t="str">
        <f>IFERROR(__xludf.DUMMYFUNCTION("""COMPUTED_VALUE"""),"10.1111/j.1467-9280.2008.02077.x")</f>
        <v>10.1111/j.1467-9280.2008.02077.x</v>
      </c>
      <c r="B2446" s="445" t="str">
        <f>IFERROR(__xludf.DUMMYFUNCTION("""COMPUTED_VALUE"""),"https://drive.google.com/file/d/1WwYYCOA_x1mX6TzeKfrhq1RdbnoCXoh0/view?usp=drivesdk")</f>
        <v>https://drive.google.com/file/d/1WwYYCOA_x1mX6TzeKfrhq1RdbnoCXoh0/view?usp=drivesdk</v>
      </c>
      <c r="C2446" s="339" t="str">
        <f>IFERROR(__xludf.DUMMYFUNCTION("""COMPUTED_VALUE"""),"10.1111--j.1467-9280.2008.02077.x.pdf")</f>
        <v>10.1111--j.1467-9280.2008.02077.x.pdf</v>
      </c>
      <c r="D2446" s="159" t="str">
        <f>IFERROR(__xludf.DUMMYFUNCTION("""COMPUTED_VALUE"""),"application/pdf")</f>
        <v>application/pdf</v>
      </c>
    </row>
    <row r="2447">
      <c r="A2447" s="339" t="str">
        <f>IFERROR(__xludf.DUMMYFUNCTION("""COMPUTED_VALUE"""),"10.1111/j.1467-9280.2008.02046.x")</f>
        <v>10.1111/j.1467-9280.2008.02046.x</v>
      </c>
      <c r="B2447" s="445" t="str">
        <f>IFERROR(__xludf.DUMMYFUNCTION("""COMPUTED_VALUE"""),"https://drive.google.com/file/d/1WsASGCOfsob-mQCui8A8AumUCdwI1vZt/view?usp=drivesdk")</f>
        <v>https://drive.google.com/file/d/1WsASGCOfsob-mQCui8A8AumUCdwI1vZt/view?usp=drivesdk</v>
      </c>
      <c r="C2447" s="339" t="str">
        <f>IFERROR(__xludf.DUMMYFUNCTION("""COMPUTED_VALUE"""),"10.1111--j.1467-9280.2008.02046.x.pdf")</f>
        <v>10.1111--j.1467-9280.2008.02046.x.pdf</v>
      </c>
      <c r="D2447" s="159" t="str">
        <f>IFERROR(__xludf.DUMMYFUNCTION("""COMPUTED_VALUE"""),"application/pdf")</f>
        <v>application/pdf</v>
      </c>
    </row>
    <row r="2448">
      <c r="A2448" s="339" t="str">
        <f>IFERROR(__xludf.DUMMYFUNCTION("""COMPUTED_VALUE"""),"10.1111/j.1467-9280.2008.02069.x")</f>
        <v>10.1111/j.1467-9280.2008.02069.x</v>
      </c>
      <c r="B2448" s="445" t="str">
        <f>IFERROR(__xludf.DUMMYFUNCTION("""COMPUTED_VALUE"""),"https://drive.google.com/file/d/1-STrPNxtwFZUvuNyyXDlz1bTmYscRd6t/view?usp=drivesdk")</f>
        <v>https://drive.google.com/file/d/1-STrPNxtwFZUvuNyyXDlz1bTmYscRd6t/view?usp=drivesdk</v>
      </c>
      <c r="C2448" s="339" t="str">
        <f>IFERROR(__xludf.DUMMYFUNCTION("""COMPUTED_VALUE"""),"10.1111--j.1467-9280.2008.02069.x.pdf")</f>
        <v>10.1111--j.1467-9280.2008.02069.x.pdf</v>
      </c>
      <c r="D2448" s="159" t="str">
        <f>IFERROR(__xludf.DUMMYFUNCTION("""COMPUTED_VALUE"""),"application/pdf")</f>
        <v>application/pdf</v>
      </c>
    </row>
    <row r="2449">
      <c r="A2449" s="339" t="str">
        <f>IFERROR(__xludf.DUMMYFUNCTION("""COMPUTED_VALUE"""),"10.1111/j.1467-9280.2008.02043.x")</f>
        <v>10.1111/j.1467-9280.2008.02043.x</v>
      </c>
      <c r="B2449" s="445" t="str">
        <f>IFERROR(__xludf.DUMMYFUNCTION("""COMPUTED_VALUE"""),"https://drive.google.com/file/d/1VxdhYWAzQnqcs07E_QIp8DFonsZrBpYe/view?usp=drivesdk")</f>
        <v>https://drive.google.com/file/d/1VxdhYWAzQnqcs07E_QIp8DFonsZrBpYe/view?usp=drivesdk</v>
      </c>
      <c r="C2449" s="339" t="str">
        <f>IFERROR(__xludf.DUMMYFUNCTION("""COMPUTED_VALUE"""),"10.1111--j.1467-9280.2008.02043.x.pdf")</f>
        <v>10.1111--j.1467-9280.2008.02043.x.pdf</v>
      </c>
      <c r="D2449" s="159" t="str">
        <f>IFERROR(__xludf.DUMMYFUNCTION("""COMPUTED_VALUE"""),"application/pdf")</f>
        <v>application/pdf</v>
      </c>
    </row>
    <row r="2450">
      <c r="A2450" s="339" t="str">
        <f>IFERROR(__xludf.DUMMYFUNCTION("""COMPUTED_VALUE"""),"10.1111/j.1467-9280.2008.02089.x")</f>
        <v>10.1111/j.1467-9280.2008.02089.x</v>
      </c>
      <c r="B2450" s="445" t="str">
        <f>IFERROR(__xludf.DUMMYFUNCTION("""COMPUTED_VALUE"""),"https://drive.google.com/file/d/1UOMf-snqsk6_xm9569d5Yr7tIrEVriap/view?usp=drivesdk")</f>
        <v>https://drive.google.com/file/d/1UOMf-snqsk6_xm9569d5Yr7tIrEVriap/view?usp=drivesdk</v>
      </c>
      <c r="C2450" s="339" t="str">
        <f>IFERROR(__xludf.DUMMYFUNCTION("""COMPUTED_VALUE"""),"10.1111--j.1467-9280.2008.02089.x.pdf")</f>
        <v>10.1111--j.1467-9280.2008.02089.x.pdf</v>
      </c>
      <c r="D2450" s="159" t="str">
        <f>IFERROR(__xludf.DUMMYFUNCTION("""COMPUTED_VALUE"""),"application/pdf")</f>
        <v>application/pdf</v>
      </c>
    </row>
    <row r="2451">
      <c r="A2451" s="339" t="str">
        <f>IFERROR(__xludf.DUMMYFUNCTION("""COMPUTED_VALUE"""),"10.1111/j.1467-9280.2008.02041.x")</f>
        <v>10.1111/j.1467-9280.2008.02041.x</v>
      </c>
      <c r="B2451" s="445" t="str">
        <f>IFERROR(__xludf.DUMMYFUNCTION("""COMPUTED_VALUE"""),"https://drive.google.com/file/d/19KQFSemeD8gmmrYhmcTweZW1cifRjRsN/view?usp=drivesdk")</f>
        <v>https://drive.google.com/file/d/19KQFSemeD8gmmrYhmcTweZW1cifRjRsN/view?usp=drivesdk</v>
      </c>
      <c r="C2451" s="339" t="str">
        <f>IFERROR(__xludf.DUMMYFUNCTION("""COMPUTED_VALUE"""),"10.1111--j.1467-9280.2008.02041.x.pdf")</f>
        <v>10.1111--j.1467-9280.2008.02041.x.pdf</v>
      </c>
      <c r="D2451" s="159" t="str">
        <f>IFERROR(__xludf.DUMMYFUNCTION("""COMPUTED_VALUE"""),"application/pdf")</f>
        <v>application/pdf</v>
      </c>
    </row>
    <row r="2452">
      <c r="A2452" s="339" t="str">
        <f>IFERROR(__xludf.DUMMYFUNCTION("""COMPUTED_VALUE"""),"10.1111/j.1467-9280.2008.02057.x")</f>
        <v>10.1111/j.1467-9280.2008.02057.x</v>
      </c>
      <c r="B2452" s="445" t="str">
        <f>IFERROR(__xludf.DUMMYFUNCTION("""COMPUTED_VALUE"""),"https://drive.google.com/file/d/1-SaG8WiDfkM6zwdVOonoQg1W2TXK8F2W/view?usp=drivesdk")</f>
        <v>https://drive.google.com/file/d/1-SaG8WiDfkM6zwdVOonoQg1W2TXK8F2W/view?usp=drivesdk</v>
      </c>
      <c r="C2452" s="339" t="str">
        <f>IFERROR(__xludf.DUMMYFUNCTION("""COMPUTED_VALUE"""),"10.1111--j.1467-9280.2008.02057.x.pdf")</f>
        <v>10.1111--j.1467-9280.2008.02057.x.pdf</v>
      </c>
      <c r="D2452" s="159" t="str">
        <f>IFERROR(__xludf.DUMMYFUNCTION("""COMPUTED_VALUE"""),"application/pdf")</f>
        <v>application/pdf</v>
      </c>
    </row>
    <row r="2453">
      <c r="A2453" s="339" t="str">
        <f>IFERROR(__xludf.DUMMYFUNCTION("""COMPUTED_VALUE"""),"10.1111/j.1467-9280.2008.02092.x")</f>
        <v>10.1111/j.1467-9280.2008.02092.x</v>
      </c>
      <c r="B2453" s="445" t="str">
        <f>IFERROR(__xludf.DUMMYFUNCTION("""COMPUTED_VALUE"""),"https://drive.google.com/file/d/122eQrKxq-6WpHqYSHCbu_61qufpfQpP1/view?usp=drivesdk")</f>
        <v>https://drive.google.com/file/d/122eQrKxq-6WpHqYSHCbu_61qufpfQpP1/view?usp=drivesdk</v>
      </c>
      <c r="C2453" s="339" t="str">
        <f>IFERROR(__xludf.DUMMYFUNCTION("""COMPUTED_VALUE"""),"10.1111--j.1467-9280.2008.02092.x.pdf")</f>
        <v>10.1111--j.1467-9280.2008.02092.x.pdf</v>
      </c>
      <c r="D2453" s="159" t="str">
        <f>IFERROR(__xludf.DUMMYFUNCTION("""COMPUTED_VALUE"""),"application/pdf")</f>
        <v>application/pdf</v>
      </c>
    </row>
    <row r="2454">
      <c r="A2454" s="339" t="str">
        <f>IFERROR(__xludf.DUMMYFUNCTION("""COMPUTED_VALUE"""),"10.1111/j.1467-9280.2008.02075.x")</f>
        <v>10.1111/j.1467-9280.2008.02075.x</v>
      </c>
      <c r="B2454" s="445" t="str">
        <f>IFERROR(__xludf.DUMMYFUNCTION("""COMPUTED_VALUE"""),"https://drive.google.com/file/d/1GJ1TkFgZk1zziaW-LwEzlbPoGlAfjX81/view?usp=drivesdk")</f>
        <v>https://drive.google.com/file/d/1GJ1TkFgZk1zziaW-LwEzlbPoGlAfjX81/view?usp=drivesdk</v>
      </c>
      <c r="C2454" s="339" t="str">
        <f>IFERROR(__xludf.DUMMYFUNCTION("""COMPUTED_VALUE"""),"10.1111--j.1467-9280.2008.02075.x.pdf")</f>
        <v>10.1111--j.1467-9280.2008.02075.x.pdf</v>
      </c>
      <c r="D2454" s="159" t="str">
        <f>IFERROR(__xludf.DUMMYFUNCTION("""COMPUTED_VALUE"""),"application/pdf")</f>
        <v>application/pdf</v>
      </c>
    </row>
    <row r="2455">
      <c r="A2455" s="339" t="str">
        <f>IFERROR(__xludf.DUMMYFUNCTION("""COMPUTED_VALUE"""),"10.1111/j.1467-9280.2008.02074.x")</f>
        <v>10.1111/j.1467-9280.2008.02074.x</v>
      </c>
      <c r="B2455" s="445" t="str">
        <f>IFERROR(__xludf.DUMMYFUNCTION("""COMPUTED_VALUE"""),"https://drive.google.com/file/d/101cmDqz2Qax5SOrZCpFnyKsko_tw1UW3/view?usp=drivesdk")</f>
        <v>https://drive.google.com/file/d/101cmDqz2Qax5SOrZCpFnyKsko_tw1UW3/view?usp=drivesdk</v>
      </c>
      <c r="C2455" s="339" t="str">
        <f>IFERROR(__xludf.DUMMYFUNCTION("""COMPUTED_VALUE"""),"10.1111--j.1467-9280.2008.02074.x.pdf")</f>
        <v>10.1111--j.1467-9280.2008.02074.x.pdf</v>
      </c>
      <c r="D2455" s="159" t="str">
        <f>IFERROR(__xludf.DUMMYFUNCTION("""COMPUTED_VALUE"""),"application/pdf")</f>
        <v>application/pdf</v>
      </c>
    </row>
    <row r="2456">
      <c r="A2456" s="339" t="str">
        <f>IFERROR(__xludf.DUMMYFUNCTION("""COMPUTED_VALUE"""),"10.1111/j.1467-9280.2008.02078.x")</f>
        <v>10.1111/j.1467-9280.2008.02078.x</v>
      </c>
      <c r="B2456" s="445" t="str">
        <f>IFERROR(__xludf.DUMMYFUNCTION("""COMPUTED_VALUE"""),"https://drive.google.com/file/d/1ytNNieBfW6njVZa_pFpdio4LUZmKmvXl/view?usp=drivesdk")</f>
        <v>https://drive.google.com/file/d/1ytNNieBfW6njVZa_pFpdio4LUZmKmvXl/view?usp=drivesdk</v>
      </c>
      <c r="C2456" s="339" t="str">
        <f>IFERROR(__xludf.DUMMYFUNCTION("""COMPUTED_VALUE"""),"10.1111--j.1467-9280.2008.02078.x.pdf")</f>
        <v>10.1111--j.1467-9280.2008.02078.x.pdf</v>
      </c>
      <c r="D2456" s="159" t="str">
        <f>IFERROR(__xludf.DUMMYFUNCTION("""COMPUTED_VALUE"""),"application/pdf")</f>
        <v>application/pdf</v>
      </c>
    </row>
    <row r="2457">
      <c r="A2457" s="339" t="str">
        <f>IFERROR(__xludf.DUMMYFUNCTION("""COMPUTED_VALUE"""),"10.1111/j.1467-9280.2008.02066.x")</f>
        <v>10.1111/j.1467-9280.2008.02066.x</v>
      </c>
      <c r="B2457" s="445" t="str">
        <f>IFERROR(__xludf.DUMMYFUNCTION("""COMPUTED_VALUE"""),"https://drive.google.com/file/d/18ezWy7djA945zL8CbFQlhWO8EZS4wwS1/view?usp=drivesdk")</f>
        <v>https://drive.google.com/file/d/18ezWy7djA945zL8CbFQlhWO8EZS4wwS1/view?usp=drivesdk</v>
      </c>
      <c r="C2457" s="339" t="str">
        <f>IFERROR(__xludf.DUMMYFUNCTION("""COMPUTED_VALUE"""),"10.1111--j.1467-9280.2008.02066.x.pdf")</f>
        <v>10.1111--j.1467-9280.2008.02066.x.pdf</v>
      </c>
      <c r="D2457" s="159" t="str">
        <f>IFERROR(__xludf.DUMMYFUNCTION("""COMPUTED_VALUE"""),"application/pdf")</f>
        <v>application/pdf</v>
      </c>
    </row>
    <row r="2458">
      <c r="A2458" s="339" t="str">
        <f>IFERROR(__xludf.DUMMYFUNCTION("""COMPUTED_VALUE"""),"10.1111/j.1467-9280.2008.02083.x")</f>
        <v>10.1111/j.1467-9280.2008.02083.x</v>
      </c>
      <c r="B2458" s="445" t="str">
        <f>IFERROR(__xludf.DUMMYFUNCTION("""COMPUTED_VALUE"""),"https://drive.google.com/file/d/19LNgQY4aAE8NOtLkCHGRPgEmv-PwUDkf/view?usp=drivesdk")</f>
        <v>https://drive.google.com/file/d/19LNgQY4aAE8NOtLkCHGRPgEmv-PwUDkf/view?usp=drivesdk</v>
      </c>
      <c r="C2458" s="339" t="str">
        <f>IFERROR(__xludf.DUMMYFUNCTION("""COMPUTED_VALUE"""),"10.1111--j.1467-9280.2008.02083.x.pdf")</f>
        <v>10.1111--j.1467-9280.2008.02083.x.pdf</v>
      </c>
      <c r="D2458" s="159" t="str">
        <f>IFERROR(__xludf.DUMMYFUNCTION("""COMPUTED_VALUE"""),"application/pdf")</f>
        <v>application/pdf</v>
      </c>
    </row>
    <row r="2459">
      <c r="A2459" s="339" t="str">
        <f>IFERROR(__xludf.DUMMYFUNCTION("""COMPUTED_VALUE"""),"10.1111/j.1467-9280.2008.02062.x")</f>
        <v>10.1111/j.1467-9280.2008.02062.x</v>
      </c>
      <c r="B2459" s="445" t="str">
        <f>IFERROR(__xludf.DUMMYFUNCTION("""COMPUTED_VALUE"""),"https://drive.google.com/file/d/1mWHWKkVq6BilZwniJ1YPf3kKFnahjts7/view?usp=drivesdk")</f>
        <v>https://drive.google.com/file/d/1mWHWKkVq6BilZwniJ1YPf3kKFnahjts7/view?usp=drivesdk</v>
      </c>
      <c r="C2459" s="339" t="str">
        <f>IFERROR(__xludf.DUMMYFUNCTION("""COMPUTED_VALUE"""),"10.1111--j.1467-9280.2008.02062.x.pdf")</f>
        <v>10.1111--j.1467-9280.2008.02062.x.pdf</v>
      </c>
      <c r="D2459" s="159" t="str">
        <f>IFERROR(__xludf.DUMMYFUNCTION("""COMPUTED_VALUE"""),"application/pdf")</f>
        <v>application/pdf</v>
      </c>
    </row>
    <row r="2460">
      <c r="A2460" s="339" t="str">
        <f>IFERROR(__xludf.DUMMYFUNCTION("""COMPUTED_VALUE"""),"10.1111/j.1467-9280.2008.02063.x")</f>
        <v>10.1111/j.1467-9280.2008.02063.x</v>
      </c>
      <c r="B2460" s="445" t="str">
        <f>IFERROR(__xludf.DUMMYFUNCTION("""COMPUTED_VALUE"""),"https://drive.google.com/file/d/1tPKLdTFqIGFW4cqhMZC7Yr25fvDeEOP4/view?usp=drivesdk")</f>
        <v>https://drive.google.com/file/d/1tPKLdTFqIGFW4cqhMZC7Yr25fvDeEOP4/view?usp=drivesdk</v>
      </c>
      <c r="C2460" s="339" t="str">
        <f>IFERROR(__xludf.DUMMYFUNCTION("""COMPUTED_VALUE"""),"10.1111--j.1467-9280.2008.02063.x.pdf")</f>
        <v>10.1111--j.1467-9280.2008.02063.x.pdf</v>
      </c>
      <c r="D2460" s="159" t="str">
        <f>IFERROR(__xludf.DUMMYFUNCTION("""COMPUTED_VALUE"""),"application/pdf")</f>
        <v>application/pdf</v>
      </c>
    </row>
    <row r="2461">
      <c r="A2461" s="339" t="str">
        <f>IFERROR(__xludf.DUMMYFUNCTION("""COMPUTED_VALUE"""),"10.1111/j.1467-9280.2008.02068.x")</f>
        <v>10.1111/j.1467-9280.2008.02068.x</v>
      </c>
      <c r="B2461" s="445" t="str">
        <f>IFERROR(__xludf.DUMMYFUNCTION("""COMPUTED_VALUE"""),"https://drive.google.com/file/d/1vyO_YNL5gLoz0OBEYZ9kLrmMmH2YlP79/view?usp=drivesdk")</f>
        <v>https://drive.google.com/file/d/1vyO_YNL5gLoz0OBEYZ9kLrmMmH2YlP79/view?usp=drivesdk</v>
      </c>
      <c r="C2461" s="339" t="str">
        <f>IFERROR(__xludf.DUMMYFUNCTION("""COMPUTED_VALUE"""),"10.1111--j.1467-9280.2008.02068.x.pdf")</f>
        <v>10.1111--j.1467-9280.2008.02068.x.pdf</v>
      </c>
      <c r="D2461" s="159" t="str">
        <f>IFERROR(__xludf.DUMMYFUNCTION("""COMPUTED_VALUE"""),"application/pdf")</f>
        <v>application/pdf</v>
      </c>
    </row>
    <row r="2462">
      <c r="A2462" s="339" t="str">
        <f>IFERROR(__xludf.DUMMYFUNCTION("""COMPUTED_VALUE"""),"10.1111/j.1467-9280.2008.02048.x")</f>
        <v>10.1111/j.1467-9280.2008.02048.x</v>
      </c>
      <c r="B2462" s="445" t="str">
        <f>IFERROR(__xludf.DUMMYFUNCTION("""COMPUTED_VALUE"""),"https://drive.google.com/file/d/1L7jIX4b7NUY2KcEEPpbjKM2uA4LiKxQQ/view?usp=drivesdk")</f>
        <v>https://drive.google.com/file/d/1L7jIX4b7NUY2KcEEPpbjKM2uA4LiKxQQ/view?usp=drivesdk</v>
      </c>
      <c r="C2462" s="339" t="str">
        <f>IFERROR(__xludf.DUMMYFUNCTION("""COMPUTED_VALUE"""),"10.1111--j.1467-9280.2008.02048.x.pdf")</f>
        <v>10.1111--j.1467-9280.2008.02048.x.pdf</v>
      </c>
      <c r="D2462" s="159" t="str">
        <f>IFERROR(__xludf.DUMMYFUNCTION("""COMPUTED_VALUE"""),"application/pdf")</f>
        <v>application/pdf</v>
      </c>
    </row>
    <row r="2463">
      <c r="A2463" s="339" t="str">
        <f>IFERROR(__xludf.DUMMYFUNCTION("""COMPUTED_VALUE"""),"10.1111/j.1467-9280.2008.02054.x")</f>
        <v>10.1111/j.1467-9280.2008.02054.x</v>
      </c>
      <c r="B2463" s="445" t="str">
        <f>IFERROR(__xludf.DUMMYFUNCTION("""COMPUTED_VALUE"""),"https://drive.google.com/file/d/1TOZ9euIliRhkN1zDzYb6v8ankkIXs-ya/view?usp=drivesdk")</f>
        <v>https://drive.google.com/file/d/1TOZ9euIliRhkN1zDzYb6v8ankkIXs-ya/view?usp=drivesdk</v>
      </c>
      <c r="C2463" s="339" t="str">
        <f>IFERROR(__xludf.DUMMYFUNCTION("""COMPUTED_VALUE"""),"10.1111--j.1467-9280.2008.02054.x.pdf")</f>
        <v>10.1111--j.1467-9280.2008.02054.x.pdf</v>
      </c>
      <c r="D2463" s="159" t="str">
        <f>IFERROR(__xludf.DUMMYFUNCTION("""COMPUTED_VALUE"""),"application/pdf")</f>
        <v>application/pdf</v>
      </c>
    </row>
    <row r="2464">
      <c r="A2464" s="339" t="str">
        <f>IFERROR(__xludf.DUMMYFUNCTION("""COMPUTED_VALUE"""),"10.1037/a0014651")</f>
        <v>10.1037/a0014651</v>
      </c>
      <c r="B2464" s="445" t="str">
        <f>IFERROR(__xludf.DUMMYFUNCTION("""COMPUTED_VALUE"""),"https://drive.google.com/file/d/1vwoFAupWbe8Bgv7842QySg1LaEqoDDe_/view?usp=drivesdk")</f>
        <v>https://drive.google.com/file/d/1vwoFAupWbe8Bgv7842QySg1LaEqoDDe_/view?usp=drivesdk</v>
      </c>
      <c r="C2464" s="339" t="str">
        <f>IFERROR(__xludf.DUMMYFUNCTION("""COMPUTED_VALUE"""),"10.1037--a0014651.pdf")</f>
        <v>10.1037--a0014651.pdf</v>
      </c>
      <c r="D2464" s="159" t="str">
        <f>IFERROR(__xludf.DUMMYFUNCTION("""COMPUTED_VALUE"""),"application/pdf")</f>
        <v>application/pdf</v>
      </c>
    </row>
    <row r="2465">
      <c r="A2465" s="339" t="str">
        <f>IFERROR(__xludf.DUMMYFUNCTION("""COMPUTED_VALUE"""),"10.1037/0022-3514.94.4.560")</f>
        <v>10.1037/0022-3514.94.4.560</v>
      </c>
      <c r="B2465" s="445" t="str">
        <f>IFERROR(__xludf.DUMMYFUNCTION("""COMPUTED_VALUE"""),"https://drive.google.com/file/d/17-wgGNPZwtL6rEYJQatdPfEg3Zj4LlVp/view?usp=drivesdk")</f>
        <v>https://drive.google.com/file/d/17-wgGNPZwtL6rEYJQatdPfEg3Zj4LlVp/view?usp=drivesdk</v>
      </c>
      <c r="C2465" s="339" t="str">
        <f>IFERROR(__xludf.DUMMYFUNCTION("""COMPUTED_VALUE"""),"10.1037--0022-3514.94.4.560.pdf")</f>
        <v>10.1037--0022-3514.94.4.560.pdf</v>
      </c>
      <c r="D2465" s="159" t="str">
        <f>IFERROR(__xludf.DUMMYFUNCTION("""COMPUTED_VALUE"""),"application/pdf")</f>
        <v>application/pdf</v>
      </c>
    </row>
    <row r="2466">
      <c r="A2466" s="339" t="str">
        <f>IFERROR(__xludf.DUMMYFUNCTION("""COMPUTED_VALUE"""),"10.1080_0163853x.2024.2339738")</f>
        <v>10.1080_0163853x.2024.2339738</v>
      </c>
      <c r="B2466" s="445" t="str">
        <f>IFERROR(__xludf.DUMMYFUNCTION("""COMPUTED_VALUE"""),"https://drive.google.com/file/d/1Jiqe2wOvjNTwwh15yI5l8MIejzUR62bQ/view?usp=drivesdk")</f>
        <v>https://drive.google.com/file/d/1Jiqe2wOvjNTwwh15yI5l8MIejzUR62bQ/view?usp=drivesdk</v>
      </c>
      <c r="C2466" s="339" t="str">
        <f>IFERROR(__xludf.DUMMYFUNCTION("""COMPUTED_VALUE"""),"10.1080_0163853X.2024.2339738.pdf")</f>
        <v>10.1080_0163853X.2024.2339738.pdf</v>
      </c>
      <c r="D2466" s="159" t="str">
        <f>IFERROR(__xludf.DUMMYFUNCTION("""COMPUTED_VALUE"""),"application/pdf")</f>
        <v>application/pdf</v>
      </c>
    </row>
    <row r="2467">
      <c r="A2467" s="339" t="str">
        <f>IFERROR(__xludf.DUMMYFUNCTION("""COMPUTED_VALUE"""),"10.1017_s0261444824000120")</f>
        <v>10.1017_s0261444824000120</v>
      </c>
      <c r="B2467" s="445" t="str">
        <f>IFERROR(__xludf.DUMMYFUNCTION("""COMPUTED_VALUE"""),"https://drive.google.com/file/d/1O9o-IM6QAwdSD3z77TMTSt_bwseJOoxk/view?usp=drivesdk")</f>
        <v>https://drive.google.com/file/d/1O9o-IM6QAwdSD3z77TMTSt_bwseJOoxk/view?usp=drivesdk</v>
      </c>
      <c r="C2467" s="339" t="str">
        <f>IFERROR(__xludf.DUMMYFUNCTION("""COMPUTED_VALUE"""),"10.1017_S0261444824000120.pdf")</f>
        <v>10.1017_S0261444824000120.pdf</v>
      </c>
      <c r="D2467" s="159" t="str">
        <f>IFERROR(__xludf.DUMMYFUNCTION("""COMPUTED_VALUE"""),"application/pdf")</f>
        <v>application/pdf</v>
      </c>
    </row>
    <row r="2468">
      <c r="A2468" s="339" t="str">
        <f>IFERROR(__xludf.DUMMYFUNCTION("""COMPUTED_VALUE"""),"10.1007_s40732-024-00597-x")</f>
        <v>10.1007_s40732-024-00597-x</v>
      </c>
      <c r="B2468" s="445" t="str">
        <f>IFERROR(__xludf.DUMMYFUNCTION("""COMPUTED_VALUE"""),"https://drive.google.com/file/d/1jEva3KZqbW-ONMklgs2Rg6dqi_PQzPiT/view?usp=drivesdk")</f>
        <v>https://drive.google.com/file/d/1jEva3KZqbW-ONMklgs2Rg6dqi_PQzPiT/view?usp=drivesdk</v>
      </c>
      <c r="C2468" s="339" t="str">
        <f>IFERROR(__xludf.DUMMYFUNCTION("""COMPUTED_VALUE"""),"10.1007_s40732-024-00597-x.pdf")</f>
        <v>10.1007_s40732-024-00597-x.pdf</v>
      </c>
      <c r="D2468" s="159" t="str">
        <f>IFERROR(__xludf.DUMMYFUNCTION("""COMPUTED_VALUE"""),"application/pdf")</f>
        <v>application/pdf</v>
      </c>
    </row>
    <row r="2469">
      <c r="A2469" s="339" t="str">
        <f>IFERROR(__xludf.DUMMYFUNCTION("""COMPUTED_VALUE"""),"10.1002_erv.3103")</f>
        <v>10.1002_erv.3103</v>
      </c>
      <c r="B2469" s="445" t="str">
        <f>IFERROR(__xludf.DUMMYFUNCTION("""COMPUTED_VALUE"""),"https://drive.google.com/file/d/1regWIorXDhOmWYb_teCbaUslSpKLmqk8/view?usp=drivesdk")</f>
        <v>https://drive.google.com/file/d/1regWIorXDhOmWYb_teCbaUslSpKLmqk8/view?usp=drivesdk</v>
      </c>
      <c r="C2469" s="339" t="str">
        <f>IFERROR(__xludf.DUMMYFUNCTION("""COMPUTED_VALUE"""),"10.1002_erv.3103.pdf")</f>
        <v>10.1002_erv.3103.pdf</v>
      </c>
      <c r="D2469" s="159" t="str">
        <f>IFERROR(__xludf.DUMMYFUNCTION("""COMPUTED_VALUE"""),"application/pdf")</f>
        <v>application/pdf</v>
      </c>
    </row>
    <row r="2470">
      <c r="A2470" s="339" t="str">
        <f>IFERROR(__xludf.DUMMYFUNCTION("""COMPUTED_VALUE"""),"10.1017/pds.2024.14")</f>
        <v>10.1017/pds.2024.14</v>
      </c>
      <c r="B2470" s="445" t="str">
        <f>IFERROR(__xludf.DUMMYFUNCTION("""COMPUTED_VALUE"""),"https://drive.google.com/file/d/14Gn77igqT7z48cFv6fyuoc9vsjaDleJT/view?usp=drivesdk")</f>
        <v>https://drive.google.com/file/d/14Gn77igqT7z48cFv6fyuoc9vsjaDleJT/view?usp=drivesdk</v>
      </c>
      <c r="C2470" s="339" t="str">
        <f>IFERROR(__xludf.DUMMYFUNCTION("""COMPUTED_VALUE"""),"10.1017--pds.2024.14.pdf")</f>
        <v>10.1017--pds.2024.14.pdf</v>
      </c>
      <c r="D2470" s="159" t="str">
        <f>IFERROR(__xludf.DUMMYFUNCTION("""COMPUTED_VALUE"""),"application/pdf")</f>
        <v>application/pdf</v>
      </c>
    </row>
    <row r="2471">
      <c r="A2471" s="339" t="str">
        <f>IFERROR(__xludf.DUMMYFUNCTION("""COMPUTED_VALUE"""),"10.1145/3649217.3653545")</f>
        <v>10.1145/3649217.3653545</v>
      </c>
      <c r="B2471" s="445" t="str">
        <f>IFERROR(__xludf.DUMMYFUNCTION("""COMPUTED_VALUE"""),"https://drive.google.com/file/d/1AeJCeDtR27X7LIlQj69LZhU8lw_irjTZ/view?usp=drivesdk")</f>
        <v>https://drive.google.com/file/d/1AeJCeDtR27X7LIlQj69LZhU8lw_irjTZ/view?usp=drivesdk</v>
      </c>
      <c r="C2471" s="339" t="str">
        <f>IFERROR(__xludf.DUMMYFUNCTION("""COMPUTED_VALUE"""),"10.1145--3649217.3653545.pdf")</f>
        <v>10.1145--3649217.3653545.pdf</v>
      </c>
      <c r="D2471" s="159" t="str">
        <f>IFERROR(__xludf.DUMMYFUNCTION("""COMPUTED_VALUE"""),"application/pdf")</f>
        <v>application/pdf</v>
      </c>
    </row>
    <row r="2472">
      <c r="A2472" s="339" t="str">
        <f>IFERROR(__xludf.DUMMYFUNCTION("""COMPUTED_VALUE"""),"bischoff, m. (2024)")</f>
        <v>bischoff, m. (2024)</v>
      </c>
      <c r="B2472" s="445" t="str">
        <f>IFERROR(__xludf.DUMMYFUNCTION("""COMPUTED_VALUE"""),"https://drive.google.com/file/d/1GrUOAhTHghIcwyEiFpklKuM_OleLXBcC/view?usp=drivesdk")</f>
        <v>https://drive.google.com/file/d/1GrUOAhTHghIcwyEiFpklKuM_OleLXBcC/view?usp=drivesdk</v>
      </c>
      <c r="C2472" s="339" t="str">
        <f>IFERROR(__xludf.DUMMYFUNCTION("""COMPUTED_VALUE"""),"Bischoff, M. (2024).pdf")</f>
        <v>Bischoff, M. (2024).pdf</v>
      </c>
      <c r="D2472" s="159" t="str">
        <f>IFERROR(__xludf.DUMMYFUNCTION("""COMPUTED_VALUE"""),"application/pdf")</f>
        <v>application/pdf</v>
      </c>
    </row>
    <row r="2473">
      <c r="A2473" s="339" t="str">
        <f>IFERROR(__xludf.DUMMYFUNCTION("""COMPUTED_VALUE"""),"10.31234/osf.ioesu9z")</f>
        <v>10.31234/osf.ioesu9z</v>
      </c>
      <c r="B2473" s="445" t="str">
        <f>IFERROR(__xludf.DUMMYFUNCTION("""COMPUTED_VALUE"""),"https://drive.google.com/file/d/1W3AEU5DVdupmSq7M9uQdZobAM5ZqFYM0/view?usp=drivesdk")</f>
        <v>https://drive.google.com/file/d/1W3AEU5DVdupmSq7M9uQdZobAM5ZqFYM0/view?usp=drivesdk</v>
      </c>
      <c r="C2473" s="339" t="str">
        <f>IFERROR(__xludf.DUMMYFUNCTION("""COMPUTED_VALUE"""),"10.31234--osf.ioesu9z.pdf")</f>
        <v>10.31234--osf.ioesu9z.pdf</v>
      </c>
      <c r="D2473" s="159" t="str">
        <f>IFERROR(__xludf.DUMMYFUNCTION("""COMPUTED_VALUE"""),"application/pdf")</f>
        <v>application/pdf</v>
      </c>
    </row>
    <row r="2474">
      <c r="A2474" s="339" t="str">
        <f>IFERROR(__xludf.DUMMYFUNCTION("""COMPUTED_VALUE"""),"10.1111/padm.12860")</f>
        <v>10.1111/padm.12860</v>
      </c>
      <c r="B2474" s="445" t="str">
        <f>IFERROR(__xludf.DUMMYFUNCTION("""COMPUTED_VALUE"""),"https://drive.google.com/file/d/1Zty8FHdgF4Nqed1S2bjomumBBiyC8Mfz/view?usp=drivesdk")</f>
        <v>https://drive.google.com/file/d/1Zty8FHdgF4Nqed1S2bjomumBBiyC8Mfz/view?usp=drivesdk</v>
      </c>
      <c r="C2474" s="339" t="str">
        <f>IFERROR(__xludf.DUMMYFUNCTION("""COMPUTED_VALUE"""),"10.1111--padm.12860.pdf")</f>
        <v>10.1111--padm.12860.pdf</v>
      </c>
      <c r="D2474" s="159" t="str">
        <f>IFERROR(__xludf.DUMMYFUNCTION("""COMPUTED_VALUE"""),"application/pdf")</f>
        <v>application/pdf</v>
      </c>
    </row>
    <row r="2475">
      <c r="A2475" s="339" t="str">
        <f>IFERROR(__xludf.DUMMYFUNCTION("""COMPUTED_VALUE"""),"10.1017/s0272263124000342")</f>
        <v>10.1017/s0272263124000342</v>
      </c>
      <c r="B2475" s="445" t="str">
        <f>IFERROR(__xludf.DUMMYFUNCTION("""COMPUTED_VALUE"""),"https://drive.google.com/file/d/1fNwzy4f6SEAeVccICF8BD0SDAIH7uPVr/view?usp=drivesdk")</f>
        <v>https://drive.google.com/file/d/1fNwzy4f6SEAeVccICF8BD0SDAIH7uPVr/view?usp=drivesdk</v>
      </c>
      <c r="C2475" s="339" t="str">
        <f>IFERROR(__xludf.DUMMYFUNCTION("""COMPUTED_VALUE"""),"10.1017--s0272263124000342.pdf")</f>
        <v>10.1017--s0272263124000342.pdf</v>
      </c>
      <c r="D2475" s="159" t="str">
        <f>IFERROR(__xludf.DUMMYFUNCTION("""COMPUTED_VALUE"""),"application/pdf")</f>
        <v>application/pdf</v>
      </c>
    </row>
    <row r="2476">
      <c r="A2476" s="339" t="str">
        <f>IFERROR(__xludf.DUMMYFUNCTION("""COMPUTED_VALUE"""),"10.1007/s11251-024-09670-y")</f>
        <v>10.1007/s11251-024-09670-y</v>
      </c>
      <c r="B2476" s="445" t="str">
        <f>IFERROR(__xludf.DUMMYFUNCTION("""COMPUTED_VALUE"""),"https://drive.google.com/file/d/1pi6g99iJYyhyD_0jGvDca_hbleDdekCp/view?usp=drivesdk")</f>
        <v>https://drive.google.com/file/d/1pi6g99iJYyhyD_0jGvDca_hbleDdekCp/view?usp=drivesdk</v>
      </c>
      <c r="C2476" s="339" t="str">
        <f>IFERROR(__xludf.DUMMYFUNCTION("""COMPUTED_VALUE"""),"10.1007--s11251-024-09670-y.pdf")</f>
        <v>10.1007--s11251-024-09670-y.pdf</v>
      </c>
      <c r="D2476" s="159" t="str">
        <f>IFERROR(__xludf.DUMMYFUNCTION("""COMPUTED_VALUE"""),"application/pdf")</f>
        <v>application/pdf</v>
      </c>
    </row>
    <row r="2477">
      <c r="A2477" s="339" t="str">
        <f>IFERROR(__xludf.DUMMYFUNCTION("""COMPUTED_VALUE"""),"10.12688/openreseurope.17749.1")</f>
        <v>10.12688/openreseurope.17749.1</v>
      </c>
      <c r="B2477" s="445" t="str">
        <f>IFERROR(__xludf.DUMMYFUNCTION("""COMPUTED_VALUE"""),"https://drive.google.com/file/d/17sgB6ScmXf8Wli1_dKWf0wpvxkNJRZtC/view?usp=drivesdk")</f>
        <v>https://drive.google.com/file/d/17sgB6ScmXf8Wli1_dKWf0wpvxkNJRZtC/view?usp=drivesdk</v>
      </c>
      <c r="C2477" s="339" t="str">
        <f>IFERROR(__xludf.DUMMYFUNCTION("""COMPUTED_VALUE"""),"10.12688--openreseurope.17749.1.pdf")</f>
        <v>10.12688--openreseurope.17749.1.pdf</v>
      </c>
      <c r="D2477" s="159" t="str">
        <f>IFERROR(__xludf.DUMMYFUNCTION("""COMPUTED_VALUE"""),"application/pdf")</f>
        <v>application/pdf</v>
      </c>
    </row>
    <row r="2478">
      <c r="A2478" s="339" t="str">
        <f>IFERROR(__xludf.DUMMYFUNCTION("""COMPUTED_VALUE"""),"10.31234/osf.io/xr6bn")</f>
        <v>10.31234/osf.io/xr6bn</v>
      </c>
      <c r="B2478" s="445" t="str">
        <f>IFERROR(__xludf.DUMMYFUNCTION("""COMPUTED_VALUE"""),"https://drive.google.com/file/d/1JQppLKOXxrmIyxFhDZtY85ZoIv_TVdh_/view?usp=drivesdk")</f>
        <v>https://drive.google.com/file/d/1JQppLKOXxrmIyxFhDZtY85ZoIv_TVdh_/view?usp=drivesdk</v>
      </c>
      <c r="C2478" s="339" t="str">
        <f>IFERROR(__xludf.DUMMYFUNCTION("""COMPUTED_VALUE"""),"10.31234--osf.io--xr6bn.pdf")</f>
        <v>10.31234--osf.io--xr6bn.pdf</v>
      </c>
      <c r="D2478" s="159" t="str">
        <f>IFERROR(__xludf.DUMMYFUNCTION("""COMPUTED_VALUE"""),"application/pdf")</f>
        <v>application/pdf</v>
      </c>
    </row>
    <row r="2479">
      <c r="A2479" s="339" t="str">
        <f>IFERROR(__xludf.DUMMYFUNCTION("""COMPUTED_VALUE"""),"10.20982/tqmp.20.1.r001")</f>
        <v>10.20982/tqmp.20.1.r001</v>
      </c>
      <c r="B2479" s="445" t="str">
        <f>IFERROR(__xludf.DUMMYFUNCTION("""COMPUTED_VALUE"""),"https://drive.google.com/file/d/1vDgLj9eoT-VnSILsFHRQ12VvtSFTsWUV/view?usp=drivesdk")</f>
        <v>https://drive.google.com/file/d/1vDgLj9eoT-VnSILsFHRQ12VvtSFTsWUV/view?usp=drivesdk</v>
      </c>
      <c r="C2479" s="339" t="str">
        <f>IFERROR(__xludf.DUMMYFUNCTION("""COMPUTED_VALUE"""),"10.20982--tqmp.20.1.r001.pdf")</f>
        <v>10.20982--tqmp.20.1.r001.pdf</v>
      </c>
      <c r="D2479" s="159" t="str">
        <f>IFERROR(__xludf.DUMMYFUNCTION("""COMPUTED_VALUE"""),"application/pdf")</f>
        <v>application/pdf</v>
      </c>
    </row>
    <row r="2480">
      <c r="A2480" s="339" t="str">
        <f>IFERROR(__xludf.DUMMYFUNCTION("""COMPUTED_VALUE"""),"mendoza.2024")</f>
        <v>mendoza.2024</v>
      </c>
      <c r="B2480" s="445" t="str">
        <f>IFERROR(__xludf.DUMMYFUNCTION("""COMPUTED_VALUE"""),"https://drive.google.com/file/d/1vapTuoFWQvT1qaSJqcvZzdcKGuZPcOor/view?usp=drivesdk")</f>
        <v>https://drive.google.com/file/d/1vapTuoFWQvT1qaSJqcvZzdcKGuZPcOor/view?usp=drivesdk</v>
      </c>
      <c r="C2480" s="339" t="str">
        <f>IFERROR(__xludf.DUMMYFUNCTION("""COMPUTED_VALUE"""),"mendoza.2024.pdf")</f>
        <v>mendoza.2024.pdf</v>
      </c>
      <c r="D2480" s="159" t="str">
        <f>IFERROR(__xludf.DUMMYFUNCTION("""COMPUTED_VALUE"""),"application/pdf")</f>
        <v>application/pdf</v>
      </c>
    </row>
    <row r="2481">
      <c r="A2481" s="339" t="str">
        <f>IFERROR(__xludf.DUMMYFUNCTION("""COMPUTED_VALUE"""),"10.1016/j.obhdp.2018.10.004")</f>
        <v>10.1016/j.obhdp.2018.10.004</v>
      </c>
      <c r="B2481" s="445" t="str">
        <f>IFERROR(__xludf.DUMMYFUNCTION("""COMPUTED_VALUE"""),"https://drive.google.com/file/d/1_YiZ9ym1etIoqiYTErFO56HCfNn-rWNe/view?usp=drivesdk")</f>
        <v>https://drive.google.com/file/d/1_YiZ9ym1etIoqiYTErFO56HCfNn-rWNe/view?usp=drivesdk</v>
      </c>
      <c r="C2481" s="339" t="str">
        <f>IFERROR(__xludf.DUMMYFUNCTION("""COMPUTED_VALUE"""),"10.1016--j.obhdp.2018.10.004.pdf")</f>
        <v>10.1016--j.obhdp.2018.10.004.pdf</v>
      </c>
      <c r="D2481" s="159" t="str">
        <f>IFERROR(__xludf.DUMMYFUNCTION("""COMPUTED_VALUE"""),"application/pdf")</f>
        <v>application/pdf</v>
      </c>
    </row>
    <row r="2482">
      <c r="A2482" s="339" t="str">
        <f>IFERROR(__xludf.DUMMYFUNCTION("""COMPUTED_VALUE"""),"10.1038/s41467-024-46936-y")</f>
        <v>10.1038/s41467-024-46936-y</v>
      </c>
      <c r="B2482" s="445" t="str">
        <f>IFERROR(__xludf.DUMMYFUNCTION("""COMPUTED_VALUE"""),"https://drive.google.com/file/d/1TJ6nnv7-YYGU9DUh1ApFGirYy6BbChHy/view?usp=drivesdk")</f>
        <v>https://drive.google.com/file/d/1TJ6nnv7-YYGU9DUh1ApFGirYy6BbChHy/view?usp=drivesdk</v>
      </c>
      <c r="C2482" s="339" t="str">
        <f>IFERROR(__xludf.DUMMYFUNCTION("""COMPUTED_VALUE"""),"10.1038--s41467-024-46936-y.pdf")</f>
        <v>10.1038--s41467-024-46936-y.pdf</v>
      </c>
      <c r="D2482" s="159" t="str">
        <f>IFERROR(__xludf.DUMMYFUNCTION("""COMPUTED_VALUE"""),"application/pdf")</f>
        <v>application/pdf</v>
      </c>
    </row>
    <row r="2483">
      <c r="A2483" s="339" t="str">
        <f>IFERROR(__xludf.DUMMYFUNCTION("""COMPUTED_VALUE"""),"10.1037/met0000650")</f>
        <v>10.1037/met0000650</v>
      </c>
      <c r="B2483" s="445" t="str">
        <f>IFERROR(__xludf.DUMMYFUNCTION("""COMPUTED_VALUE"""),"https://drive.google.com/file/d/1VSCtSsv8HPQ12k-JKTjSEPJB-QhdOcwt/view?usp=drivesdk")</f>
        <v>https://drive.google.com/file/d/1VSCtSsv8HPQ12k-JKTjSEPJB-QhdOcwt/view?usp=drivesdk</v>
      </c>
      <c r="C2483" s="339" t="str">
        <f>IFERROR(__xludf.DUMMYFUNCTION("""COMPUTED_VALUE"""),"10.1037--met0000650.pdf")</f>
        <v>10.1037--met0000650.pdf</v>
      </c>
      <c r="D2483" s="159" t="str">
        <f>IFERROR(__xludf.DUMMYFUNCTION("""COMPUTED_VALUE"""),"application/pdf")</f>
        <v>application/pdf</v>
      </c>
    </row>
    <row r="2484">
      <c r="A2484" s="339" t="str">
        <f>IFERROR(__xludf.DUMMYFUNCTION("""COMPUTED_VALUE"""),"10.1007/s10826-019-01370-3")</f>
        <v>10.1007/s10826-019-01370-3</v>
      </c>
      <c r="B2484" s="445" t="str">
        <f>IFERROR(__xludf.DUMMYFUNCTION("""COMPUTED_VALUE"""),"https://drive.google.com/file/d/1NONRrVPLj3_SNxu7Ptx53k4VBPMr7tIo/view?usp=drivesdk")</f>
        <v>https://drive.google.com/file/d/1NONRrVPLj3_SNxu7Ptx53k4VBPMr7tIo/view?usp=drivesdk</v>
      </c>
      <c r="C2484" s="339" t="str">
        <f>IFERROR(__xludf.DUMMYFUNCTION("""COMPUTED_VALUE"""),"10.1007--s10826-019-01370-3.pdf")</f>
        <v>10.1007--s10826-019-01370-3.pdf</v>
      </c>
      <c r="D2484" s="159" t="str">
        <f>IFERROR(__xludf.DUMMYFUNCTION("""COMPUTED_VALUE"""),"application/pdf")</f>
        <v>application/pdf</v>
      </c>
    </row>
    <row r="2485">
      <c r="A2485" s="339" t="str">
        <f>IFERROR(__xludf.DUMMYFUNCTION("""COMPUTED_VALUE"""),"10.1007/s40617-024-00933-1")</f>
        <v>10.1007/s40617-024-00933-1</v>
      </c>
      <c r="B2485" s="445" t="str">
        <f>IFERROR(__xludf.DUMMYFUNCTION("""COMPUTED_VALUE"""),"https://drive.google.com/file/d/1LH5FS1-bb7IdYkCgO31BjONeTKWAtRQN/view?usp=drivesdk")</f>
        <v>https://drive.google.com/file/d/1LH5FS1-bb7IdYkCgO31BjONeTKWAtRQN/view?usp=drivesdk</v>
      </c>
      <c r="C2485" s="339" t="str">
        <f>IFERROR(__xludf.DUMMYFUNCTION("""COMPUTED_VALUE"""),"10.1007--s40617-024-00933-1.pdf")</f>
        <v>10.1007--s40617-024-00933-1.pdf</v>
      </c>
      <c r="D2485" s="159" t="str">
        <f>IFERROR(__xludf.DUMMYFUNCTION("""COMPUTED_VALUE"""),"application/pdf")</f>
        <v>application/pdf</v>
      </c>
    </row>
    <row r="2486">
      <c r="A2486" s="339" t="str">
        <f>IFERROR(__xludf.DUMMYFUNCTION("""COMPUTED_VALUE"""),"10.1016/s2215-0366(21)00241-8")</f>
        <v>10.1016/s2215-0366(21)00241-8</v>
      </c>
      <c r="B2486" s="445" t="str">
        <f>IFERROR(__xludf.DUMMYFUNCTION("""COMPUTED_VALUE"""),"https://drive.google.com/file/d/1n-j6Aip_Ueqh39JoVXmnujoaVUR_DnRz/view?usp=drivesdk")</f>
        <v>https://drive.google.com/file/d/1n-j6Aip_Ueqh39JoVXmnujoaVUR_DnRz/view?usp=drivesdk</v>
      </c>
      <c r="C2486" s="339" t="str">
        <f>IFERROR(__xludf.DUMMYFUNCTION("""COMPUTED_VALUE"""),"10.1016--S2215-0366(21)00241-8.pdf")</f>
        <v>10.1016--S2215-0366(21)00241-8.pdf</v>
      </c>
      <c r="D2486" s="159" t="str">
        <f>IFERROR(__xludf.DUMMYFUNCTION("""COMPUTED_VALUE"""),"application/pdf")</f>
        <v>application/pdf</v>
      </c>
    </row>
    <row r="2487">
      <c r="A2487" s="339" t="str">
        <f>IFERROR(__xludf.DUMMYFUNCTION("""COMPUTED_VALUE"""),"10.1002/jaba.946")</f>
        <v>10.1002/jaba.946</v>
      </c>
      <c r="B2487" s="445" t="str">
        <f>IFERROR(__xludf.DUMMYFUNCTION("""COMPUTED_VALUE"""),"https://drive.google.com/file/d/1bHfJ-3gEyIURBJhF8bZZGAbZGtPK135A/view?usp=drivesdk")</f>
        <v>https://drive.google.com/file/d/1bHfJ-3gEyIURBJhF8bZZGAbZGtPK135A/view?usp=drivesdk</v>
      </c>
      <c r="C2487" s="339" t="str">
        <f>IFERROR(__xludf.DUMMYFUNCTION("""COMPUTED_VALUE"""),"10.1002--jaba.946.pdf")</f>
        <v>10.1002--jaba.946.pdf</v>
      </c>
      <c r="D2487" s="159" t="str">
        <f>IFERROR(__xludf.DUMMYFUNCTION("""COMPUTED_VALUE"""),"application/pdf")</f>
        <v>application/pdf</v>
      </c>
    </row>
    <row r="2488">
      <c r="A2488" s="339" t="str">
        <f>IFERROR(__xludf.DUMMYFUNCTION("""COMPUTED_VALUE"""),"10.1038/s41467-018-06785-y")</f>
        <v>10.1038/s41467-018-06785-y</v>
      </c>
      <c r="B2488" s="445" t="str">
        <f>IFERROR(__xludf.DUMMYFUNCTION("""COMPUTED_VALUE"""),"https://drive.google.com/file/d/15kKUsqyFArf82r6bAlXLuUVgHc1vD9sW/view?usp=drivesdk")</f>
        <v>https://drive.google.com/file/d/15kKUsqyFArf82r6bAlXLuUVgHc1vD9sW/view?usp=drivesdk</v>
      </c>
      <c r="C2488" s="339" t="str">
        <f>IFERROR(__xludf.DUMMYFUNCTION("""COMPUTED_VALUE"""),"10.1038--s41467-018-06785-y.pdf")</f>
        <v>10.1038--s41467-018-06785-y.pdf</v>
      </c>
      <c r="D2488" s="159" t="str">
        <f>IFERROR(__xludf.DUMMYFUNCTION("""COMPUTED_VALUE"""),"application/pdf")</f>
        <v>application/pdf</v>
      </c>
    </row>
    <row r="2489">
      <c r="A2489" s="339" t="str">
        <f>IFERROR(__xludf.DUMMYFUNCTION("""COMPUTED_VALUE"""),"10.26443/msurj.v19i1.231")</f>
        <v>10.26443/msurj.v19i1.231</v>
      </c>
      <c r="B2489" s="445" t="str">
        <f>IFERROR(__xludf.DUMMYFUNCTION("""COMPUTED_VALUE"""),"https://drive.google.com/file/d/12ZFslJnsSmpbIBYf9YKunwP3Ofv14HZ-/view?usp=drivesdk")</f>
        <v>https://drive.google.com/file/d/12ZFslJnsSmpbIBYf9YKunwP3Ofv14HZ-/view?usp=drivesdk</v>
      </c>
      <c r="C2489" s="339" t="str">
        <f>IFERROR(__xludf.DUMMYFUNCTION("""COMPUTED_VALUE"""),"10.26443--msurj.v19i1.231.pdf")</f>
        <v>10.26443--msurj.v19i1.231.pdf</v>
      </c>
      <c r="D2489" s="159" t="str">
        <f>IFERROR(__xludf.DUMMYFUNCTION("""COMPUTED_VALUE"""),"application/pdf")</f>
        <v>application/pdf</v>
      </c>
    </row>
    <row r="2490">
      <c r="A2490" s="339" t="str">
        <f>IFERROR(__xludf.DUMMYFUNCTION("""COMPUTED_VALUE"""),"10.1037met0000511")</f>
        <v>10.1037met0000511</v>
      </c>
      <c r="B2490" s="445" t="str">
        <f>IFERROR(__xludf.DUMMYFUNCTION("""COMPUTED_VALUE"""),"https://drive.google.com/file/d/1IPv_LwpOrSwgWFLNt3ih6B9kYGRsDgyd/view?usp=drivesdk")</f>
        <v>https://drive.google.com/file/d/1IPv_LwpOrSwgWFLNt3ih6B9kYGRsDgyd/view?usp=drivesdk</v>
      </c>
      <c r="C2490" s="339" t="str">
        <f>IFERROR(__xludf.DUMMYFUNCTION("""COMPUTED_VALUE"""),"10.1037met0000511.pdf")</f>
        <v>10.1037met0000511.pdf</v>
      </c>
      <c r="D2490" s="159" t="str">
        <f>IFERROR(__xludf.DUMMYFUNCTION("""COMPUTED_VALUE"""),"application/pdf")</f>
        <v>application/pdf</v>
      </c>
    </row>
    <row r="2491">
      <c r="A2491" s="339" t="str">
        <f>IFERROR(__xludf.DUMMYFUNCTION("""COMPUTED_VALUE"""),"10.1016j.jsp.2021.09.004")</f>
        <v>10.1016j.jsp.2021.09.004</v>
      </c>
      <c r="B2491" s="445" t="str">
        <f>IFERROR(__xludf.DUMMYFUNCTION("""COMPUTED_VALUE"""),"https://drive.google.com/file/d/1unAIIiGopeKWxFHgWm5TahygDGPlH1Lj/view?usp=drivesdk")</f>
        <v>https://drive.google.com/file/d/1unAIIiGopeKWxFHgWm5TahygDGPlH1Lj/view?usp=drivesdk</v>
      </c>
      <c r="C2491" s="339" t="str">
        <f>IFERROR(__xludf.DUMMYFUNCTION("""COMPUTED_VALUE"""),"10.1016j.jsp.2021.09.004.pdf")</f>
        <v>10.1016j.jsp.2021.09.004.pdf</v>
      </c>
      <c r="D2491" s="159" t="str">
        <f>IFERROR(__xludf.DUMMYFUNCTION("""COMPUTED_VALUE"""),"application/pdf")</f>
        <v>application/pdf</v>
      </c>
    </row>
    <row r="2492">
      <c r="A2492" s="339" t="str">
        <f>IFERROR(__xludf.DUMMYFUNCTION("""COMPUTED_VALUE"""),"10.1111/fare.13030")</f>
        <v>10.1111/fare.13030</v>
      </c>
      <c r="B2492" s="445" t="str">
        <f>IFERROR(__xludf.DUMMYFUNCTION("""COMPUTED_VALUE"""),"https://drive.google.com/file/d/1TGN_TAtoJI3jhMQTEG2wnN59FCyiXC2_/view?usp=drivesdk")</f>
        <v>https://drive.google.com/file/d/1TGN_TAtoJI3jhMQTEG2wnN59FCyiXC2_/view?usp=drivesdk</v>
      </c>
      <c r="C2492" s="339" t="str">
        <f>IFERROR(__xludf.DUMMYFUNCTION("""COMPUTED_VALUE"""),"10.1111--fare.13030.pdf")</f>
        <v>10.1111--fare.13030.pdf</v>
      </c>
      <c r="D2492" s="159" t="str">
        <f>IFERROR(__xludf.DUMMYFUNCTION("""COMPUTED_VALUE"""),"application/pdf")</f>
        <v>application/pdf</v>
      </c>
    </row>
    <row r="2493">
      <c r="A2493" s="339" t="str">
        <f>IFERROR(__xludf.DUMMYFUNCTION("""COMPUTED_VALUE"""),"10.31234/osf.io68jft")</f>
        <v>10.31234/osf.io68jft</v>
      </c>
      <c r="B2493" s="445" t="str">
        <f>IFERROR(__xludf.DUMMYFUNCTION("""COMPUTED_VALUE"""),"https://drive.google.com/file/d/1mgxHY5rSLZY_EieaSS4LRUonj0GvrfQE/view?usp=drivesdk")</f>
        <v>https://drive.google.com/file/d/1mgxHY5rSLZY_EieaSS4LRUonj0GvrfQE/view?usp=drivesdk</v>
      </c>
      <c r="C2493" s="339" t="str">
        <f>IFERROR(__xludf.DUMMYFUNCTION("""COMPUTED_VALUE"""),"10.31234--osf.io68jft.pdf")</f>
        <v>10.31234--osf.io68jft.pdf</v>
      </c>
      <c r="D2493" s="159" t="str">
        <f>IFERROR(__xludf.DUMMYFUNCTION("""COMPUTED_VALUE"""),"application/pdf")</f>
        <v>application/pdf</v>
      </c>
    </row>
    <row r="2494">
      <c r="A2494" s="339" t="str">
        <f>IFERROR(__xludf.DUMMYFUNCTION("""COMPUTED_VALUE"""),"10.1111/famp.12997")</f>
        <v>10.1111/famp.12997</v>
      </c>
      <c r="B2494" s="445" t="str">
        <f>IFERROR(__xludf.DUMMYFUNCTION("""COMPUTED_VALUE"""),"https://drive.google.com/file/d/1ULfnDtv84kgeFXRyMCCLbY1RRcrTQDB8/view?usp=drivesdk")</f>
        <v>https://drive.google.com/file/d/1ULfnDtv84kgeFXRyMCCLbY1RRcrTQDB8/view?usp=drivesdk</v>
      </c>
      <c r="C2494" s="339" t="str">
        <f>IFERROR(__xludf.DUMMYFUNCTION("""COMPUTED_VALUE"""),"10.1111--famp.12997.pdf")</f>
        <v>10.1111--famp.12997.pdf</v>
      </c>
      <c r="D2494" s="159" t="str">
        <f>IFERROR(__xludf.DUMMYFUNCTION("""COMPUTED_VALUE"""),"application/pdf")</f>
        <v>application/pdf</v>
      </c>
    </row>
    <row r="2495">
      <c r="A2495" s="339" t="str">
        <f>IFERROR(__xludf.DUMMYFUNCTION("""COMPUTED_VALUE"""),"10.1093/schbulsbae058")</f>
        <v>10.1093/schbulsbae058</v>
      </c>
      <c r="B2495" s="445" t="str">
        <f>IFERROR(__xludf.DUMMYFUNCTION("""COMPUTED_VALUE"""),"https://drive.google.com/file/d/1RgKGmtfOeP7KPA-8BVD5JSSAaub2by_V/view?usp=drivesdk")</f>
        <v>https://drive.google.com/file/d/1RgKGmtfOeP7KPA-8BVD5JSSAaub2by_V/view?usp=drivesdk</v>
      </c>
      <c r="C2495" s="339" t="str">
        <f>IFERROR(__xludf.DUMMYFUNCTION("""COMPUTED_VALUE"""),"10.1093--schbulsbae058.pdf")</f>
        <v>10.1093--schbulsbae058.pdf</v>
      </c>
      <c r="D2495" s="159" t="str">
        <f>IFERROR(__xludf.DUMMYFUNCTION("""COMPUTED_VALUE"""),"application/pdf")</f>
        <v>application/pdf</v>
      </c>
    </row>
    <row r="2496">
      <c r="A2496" s="339" t="str">
        <f>IFERROR(__xludf.DUMMYFUNCTION("""COMPUTED_VALUE"""),"10.1016/j.paid.2024.112692")</f>
        <v>10.1016/j.paid.2024.112692</v>
      </c>
      <c r="B2496" s="445" t="str">
        <f>IFERROR(__xludf.DUMMYFUNCTION("""COMPUTED_VALUE"""),"https://drive.google.com/file/d/1maMe58N1aLmqdBUtveOinCFDUWOh5rcE/view?usp=drivesdk")</f>
        <v>https://drive.google.com/file/d/1maMe58N1aLmqdBUtveOinCFDUWOh5rcE/view?usp=drivesdk</v>
      </c>
      <c r="C2496" s="339" t="str">
        <f>IFERROR(__xludf.DUMMYFUNCTION("""COMPUTED_VALUE"""),"10.1016--j.paid.2024.112692.pdf")</f>
        <v>10.1016--j.paid.2024.112692.pdf</v>
      </c>
      <c r="D2496" s="159" t="str">
        <f>IFERROR(__xludf.DUMMYFUNCTION("""COMPUTED_VALUE"""),"application/pdf")</f>
        <v>application/pdf</v>
      </c>
    </row>
    <row r="2497">
      <c r="A2497" s="339" t="str">
        <f>IFERROR(__xludf.DUMMYFUNCTION("""COMPUTED_VALUE"""),"10.1016/j.jsp.2024.101307")</f>
        <v>10.1016/j.jsp.2024.101307</v>
      </c>
      <c r="B2497" s="445" t="str">
        <f>IFERROR(__xludf.DUMMYFUNCTION("""COMPUTED_VALUE"""),"https://drive.google.com/file/d/1VAdnhoiJmdHbv1LbvyIfcfg3rNALrpkj/view?usp=drivesdk")</f>
        <v>https://drive.google.com/file/d/1VAdnhoiJmdHbv1LbvyIfcfg3rNALrpkj/view?usp=drivesdk</v>
      </c>
      <c r="C2497" s="339" t="str">
        <f>IFERROR(__xludf.DUMMYFUNCTION("""COMPUTED_VALUE"""),"10.1016--j.jsp.2024.101307.pdf")</f>
        <v>10.1016--j.jsp.2024.101307.pdf</v>
      </c>
      <c r="D2497" s="159" t="str">
        <f>IFERROR(__xludf.DUMMYFUNCTION("""COMPUTED_VALUE"""),"application/pdf")</f>
        <v>application/pdf</v>
      </c>
    </row>
    <row r="2498">
      <c r="A2498" s="339" t="str">
        <f>IFERROR(__xludf.DUMMYFUNCTION("""COMPUTED_VALUE"""),"10.17605/osf.io/2zgf9")</f>
        <v>10.17605/osf.io/2zgf9</v>
      </c>
      <c r="B2498" s="445" t="str">
        <f>IFERROR(__xludf.DUMMYFUNCTION("""COMPUTED_VALUE"""),"https://drive.google.com/file/d/15dLELTosbF1NWFYI0UOSPLIC70dnGG5S/view?usp=drivesdk")</f>
        <v>https://drive.google.com/file/d/15dLELTosbF1NWFYI0UOSPLIC70dnGG5S/view?usp=drivesdk</v>
      </c>
      <c r="C2498" s="339" t="str">
        <f>IFERROR(__xludf.DUMMYFUNCTION("""COMPUTED_VALUE"""),"10.17605--OSF.IO--2ZGF9.pdf")</f>
        <v>10.17605--OSF.IO--2ZGF9.pdf</v>
      </c>
      <c r="D2498" s="159" t="str">
        <f>IFERROR(__xludf.DUMMYFUNCTION("""COMPUTED_VALUE"""),"application/pdf")</f>
        <v>application/pdf</v>
      </c>
    </row>
    <row r="2499">
      <c r="A2499" s="339" t="str">
        <f>IFERROR(__xludf.DUMMYFUNCTION("""COMPUTED_VALUE"""),"10.17605/osf.io/e9d3k")</f>
        <v>10.17605/osf.io/e9d3k</v>
      </c>
      <c r="B2499" s="445" t="str">
        <f>IFERROR(__xludf.DUMMYFUNCTION("""COMPUTED_VALUE"""),"https://drive.google.com/file/d/1VipPphabn-Kfe9AzHC0j5FX1Fqp3bd0q/view?usp=drivesdk")</f>
        <v>https://drive.google.com/file/d/1VipPphabn-Kfe9AzHC0j5FX1Fqp3bd0q/view?usp=drivesdk</v>
      </c>
      <c r="C2499" s="339" t="str">
        <f>IFERROR(__xludf.DUMMYFUNCTION("""COMPUTED_VALUE"""),"10.17605--OSF.IO--E9D3K.pdf")</f>
        <v>10.17605--OSF.IO--E9D3K.pdf</v>
      </c>
      <c r="D2499" s="159" t="str">
        <f>IFERROR(__xludf.DUMMYFUNCTION("""COMPUTED_VALUE"""),"application/pdf")</f>
        <v>application/pdf</v>
      </c>
    </row>
    <row r="2500">
      <c r="A2500" s="339" t="str">
        <f>IFERROR(__xludf.DUMMYFUNCTION("""COMPUTED_VALUE"""),"10.1111/j.1467-9280.2007.02004.x")</f>
        <v>10.1111/j.1467-9280.2007.02004.x</v>
      </c>
      <c r="B2500" s="445" t="str">
        <f>IFERROR(__xludf.DUMMYFUNCTION("""COMPUTED_VALUE"""),"https://drive.google.com/file/d/15Wsn7yRLOjnPIu3oOYbA1lhbZIRp1-8K/view?usp=drivesdk")</f>
        <v>https://drive.google.com/file/d/15Wsn7yRLOjnPIu3oOYbA1lhbZIRp1-8K/view?usp=drivesdk</v>
      </c>
      <c r="C2500" s="339" t="str">
        <f>IFERROR(__xludf.DUMMYFUNCTION("""COMPUTED_VALUE"""),"10.1111--j.1467-9280.2007.02004.x.pdf")</f>
        <v>10.1111--j.1467-9280.2007.02004.x.pdf</v>
      </c>
      <c r="D2500" s="159" t="str">
        <f>IFERROR(__xludf.DUMMYFUNCTION("""COMPUTED_VALUE"""),"application/pdf")</f>
        <v>application/pdf</v>
      </c>
    </row>
    <row r="2501">
      <c r="A2501" s="339" t="str">
        <f>IFERROR(__xludf.DUMMYFUNCTION("""COMPUTED_VALUE"""),"10.2139/ssrn.2586261")</f>
        <v>10.2139/ssrn.2586261</v>
      </c>
      <c r="B2501" s="445" t="str">
        <f>IFERROR(__xludf.DUMMYFUNCTION("""COMPUTED_VALUE"""),"https://drive.google.com/file/d/1H4h52o-2l4VeH6zifkEQWasrzj-Pi8k3/view?usp=drivesdk")</f>
        <v>https://drive.google.com/file/d/1H4h52o-2l4VeH6zifkEQWasrzj-Pi8k3/view?usp=drivesdk</v>
      </c>
      <c r="C2501" s="339" t="str">
        <f>IFERROR(__xludf.DUMMYFUNCTION("""COMPUTED_VALUE"""),"10.2139--ssrn.2586261.pdf")</f>
        <v>10.2139--ssrn.2586261.pdf</v>
      </c>
      <c r="D2501" s="159" t="str">
        <f>IFERROR(__xludf.DUMMYFUNCTION("""COMPUTED_VALUE"""),"application/pdf")</f>
        <v>application/pdf</v>
      </c>
    </row>
    <row r="2502">
      <c r="A2502" s="339" t="str">
        <f>IFERROR(__xludf.DUMMYFUNCTION("""COMPUTED_VALUE"""),"10.1111/j.1467-9280.2008.02061.x")</f>
        <v>10.1111/j.1467-9280.2008.02061.x</v>
      </c>
      <c r="B2502" s="445" t="str">
        <f>IFERROR(__xludf.DUMMYFUNCTION("""COMPUTED_VALUE"""),"https://drive.google.com/file/d/140WKvPe6h8fNM79ffoPo5RX6uP0flGT4/view?usp=drivesdk")</f>
        <v>https://drive.google.com/file/d/140WKvPe6h8fNM79ffoPo5RX6uP0flGT4/view?usp=drivesdk</v>
      </c>
      <c r="C2502" s="339" t="str">
        <f>IFERROR(__xludf.DUMMYFUNCTION("""COMPUTED_VALUE"""),"10.1111--j.1467-9280.2008.02061.x.pdf")</f>
        <v>10.1111--j.1467-9280.2008.02061.x.pdf</v>
      </c>
      <c r="D2502" s="159" t="str">
        <f>IFERROR(__xludf.DUMMYFUNCTION("""COMPUTED_VALUE"""),"application/pdf")</f>
        <v>application/pdf</v>
      </c>
    </row>
    <row r="2503">
      <c r="A2503" s="339" t="str">
        <f>IFERROR(__xludf.DUMMYFUNCTION("""COMPUTED_VALUE"""),"10.1371/journal.pone.0096339")</f>
        <v>10.1371/journal.pone.0096339</v>
      </c>
      <c r="B2503" s="445" t="str">
        <f>IFERROR(__xludf.DUMMYFUNCTION("""COMPUTED_VALUE"""),"https://drive.google.com/file/d/1gBBT6EBomzmICcRfzrG_6jxfvMnRuQIj/view?usp=drivesdk")</f>
        <v>https://drive.google.com/file/d/1gBBT6EBomzmICcRfzrG_6jxfvMnRuQIj/view?usp=drivesdk</v>
      </c>
      <c r="C2503" s="339" t="str">
        <f>IFERROR(__xludf.DUMMYFUNCTION("""COMPUTED_VALUE"""),"10.1371--journal.pone.0096339.pdf")</f>
        <v>10.1371--journal.pone.0096339.pdf</v>
      </c>
      <c r="D2503" s="159" t="str">
        <f>IFERROR(__xludf.DUMMYFUNCTION("""COMPUTED_VALUE"""),"application/pdf")</f>
        <v>application/pdf</v>
      </c>
    </row>
    <row r="2504">
      <c r="A2504" s="339" t="str">
        <f>IFERROR(__xludf.DUMMYFUNCTION("""COMPUTED_VALUE"""),"10.1002/bin.1659")</f>
        <v>10.1002/bin.1659</v>
      </c>
      <c r="B2504" s="445" t="str">
        <f>IFERROR(__xludf.DUMMYFUNCTION("""COMPUTED_VALUE"""),"https://drive.google.com/file/d/1CxhrkeSaHBzp5T2m5mVKo0v0N9tNA96j/view?usp=drivesdk")</f>
        <v>https://drive.google.com/file/d/1CxhrkeSaHBzp5T2m5mVKo0v0N9tNA96j/view?usp=drivesdk</v>
      </c>
      <c r="C2504" s="339" t="str">
        <f>IFERROR(__xludf.DUMMYFUNCTION("""COMPUTED_VALUE"""),"10.1002--bin.1659.pdf")</f>
        <v>10.1002--bin.1659.pdf</v>
      </c>
      <c r="D2504" s="159" t="str">
        <f>IFERROR(__xludf.DUMMYFUNCTION("""COMPUTED_VALUE"""),"application/pdf")</f>
        <v>application/pdf</v>
      </c>
    </row>
    <row r="2505">
      <c r="A2505" s="339" t="str">
        <f>IFERROR(__xludf.DUMMYFUNCTION("""COMPUTED_VALUE"""),"10.1080/23273798.2020.1810292")</f>
        <v>10.1080/23273798.2020.1810292</v>
      </c>
      <c r="B2505" s="445" t="str">
        <f>IFERROR(__xludf.DUMMYFUNCTION("""COMPUTED_VALUE"""),"https://drive.google.com/file/d/11NrpozUj6QEvSuPcqdy2reV2ZmG62r_Z/view?usp=drivesdk")</f>
        <v>https://drive.google.com/file/d/11NrpozUj6QEvSuPcqdy2reV2ZmG62r_Z/view?usp=drivesdk</v>
      </c>
      <c r="C2505" s="339" t="str">
        <f>IFERROR(__xludf.DUMMYFUNCTION("""COMPUTED_VALUE"""),"10.1080--23273798.2020.1810292.pdf")</f>
        <v>10.1080--23273798.2020.1810292.pdf</v>
      </c>
      <c r="D2505" s="159" t="str">
        <f>IFERROR(__xludf.DUMMYFUNCTION("""COMPUTED_VALUE"""),"application/pdf")</f>
        <v>application/pdf</v>
      </c>
    </row>
    <row r="2506">
      <c r="A2506" s="339" t="str">
        <f>IFERROR(__xludf.DUMMYFUNCTION("""COMPUTED_VALUE"""),"10.1080/23273798.2024.2337948")</f>
        <v>10.1080/23273798.2024.2337948</v>
      </c>
      <c r="B2506" s="445" t="str">
        <f>IFERROR(__xludf.DUMMYFUNCTION("""COMPUTED_VALUE"""),"https://drive.google.com/file/d/1Aes0K1gD14f_6QAHkD9IPsvD4OgnIJ9K/view?usp=drivesdk")</f>
        <v>https://drive.google.com/file/d/1Aes0K1gD14f_6QAHkD9IPsvD4OgnIJ9K/view?usp=drivesdk</v>
      </c>
      <c r="C2506" s="339" t="str">
        <f>IFERROR(__xludf.DUMMYFUNCTION("""COMPUTED_VALUE"""),"10.1080--23273798.2024.2337948.pdf")</f>
        <v>10.1080--23273798.2024.2337948.pdf</v>
      </c>
      <c r="D2506" s="159" t="str">
        <f>IFERROR(__xludf.DUMMYFUNCTION("""COMPUTED_VALUE"""),"application/pdf")</f>
        <v>application/pdf</v>
      </c>
    </row>
    <row r="2507">
      <c r="A2507" s="339" t="str">
        <f>IFERROR(__xludf.DUMMYFUNCTION("""COMPUTED_VALUE"""),"10.1037/met0000511")</f>
        <v>10.1037/met0000511</v>
      </c>
      <c r="B2507" s="445" t="str">
        <f>IFERROR(__xludf.DUMMYFUNCTION("""COMPUTED_VALUE"""),"https://drive.google.com/file/d/1S1BDaMkHx3KW3osHCgZU9COckw9P0yzi/view?usp=drivesdk")</f>
        <v>https://drive.google.com/file/d/1S1BDaMkHx3KW3osHCgZU9COckw9P0yzi/view?usp=drivesdk</v>
      </c>
      <c r="C2507" s="339" t="str">
        <f>IFERROR(__xludf.DUMMYFUNCTION("""COMPUTED_VALUE"""),"10.1037--met0000511.pdf")</f>
        <v>10.1037--met0000511.pdf</v>
      </c>
      <c r="D2507" s="159" t="str">
        <f>IFERROR(__xludf.DUMMYFUNCTION("""COMPUTED_VALUE"""),"application/pdf")</f>
        <v>application/pdf</v>
      </c>
    </row>
    <row r="2508">
      <c r="A2508" s="339" t="str">
        <f>IFERROR(__xludf.DUMMYFUNCTION("""COMPUTED_VALUE"""),"10.1016/j.jarmac.2021.08.001")</f>
        <v>10.1016/j.jarmac.2021.08.001</v>
      </c>
      <c r="B2508" s="445" t="str">
        <f>IFERROR(__xludf.DUMMYFUNCTION("""COMPUTED_VALUE"""),"https://drive.google.com/file/d/11FrEIq8nBGRjHM8n6665RHudNtasAq_q/view?usp=drivesdk")</f>
        <v>https://drive.google.com/file/d/11FrEIq8nBGRjHM8n6665RHudNtasAq_q/view?usp=drivesdk</v>
      </c>
      <c r="C2508" s="339" t="str">
        <f>IFERROR(__xludf.DUMMYFUNCTION("""COMPUTED_VALUE"""),"10.1016--j.jarmac.2021.08.001.pdf")</f>
        <v>10.1016--j.jarmac.2021.08.001.pdf</v>
      </c>
      <c r="D2508" s="159" t="str">
        <f>IFERROR(__xludf.DUMMYFUNCTION("""COMPUTED_VALUE"""),"application/pdf")</f>
        <v>application/pdf</v>
      </c>
    </row>
    <row r="2509">
      <c r="A2509" s="339" t="str">
        <f>IFERROR(__xludf.DUMMYFUNCTION("""COMPUTED_VALUE"""),"10.1037/pspi0000109")</f>
        <v>10.1037/pspi0000109</v>
      </c>
      <c r="B2509" s="445" t="str">
        <f>IFERROR(__xludf.DUMMYFUNCTION("""COMPUTED_VALUE"""),"https://drive.google.com/file/d/1DO937F2xhbz54X6xu8qtsy63K6O9mEYa/view?usp=drivesdk")</f>
        <v>https://drive.google.com/file/d/1DO937F2xhbz54X6xu8qtsy63K6O9mEYa/view?usp=drivesdk</v>
      </c>
      <c r="C2509" s="339" t="str">
        <f>IFERROR(__xludf.DUMMYFUNCTION("""COMPUTED_VALUE"""),"10.1037--pspi0000109.pdf")</f>
        <v>10.1037--pspi0000109.pdf</v>
      </c>
      <c r="D2509" s="159" t="str">
        <f>IFERROR(__xludf.DUMMYFUNCTION("""COMPUTED_VALUE"""),"application/pdf")</f>
        <v>application/pdf</v>
      </c>
    </row>
    <row r="2510">
      <c r="A2510" s="339" t="str">
        <f>IFERROR(__xludf.DUMMYFUNCTION("""COMPUTED_VALUE"""),"10.1002/acp.4202")</f>
        <v>10.1002/acp.4202</v>
      </c>
      <c r="B2510" s="445" t="str">
        <f>IFERROR(__xludf.DUMMYFUNCTION("""COMPUTED_VALUE"""),"https://drive.google.com/file/d/1GpMdw7ZFDWpDIdg1IjCcxRYXmuDta-6_/view?usp=drivesdk")</f>
        <v>https://drive.google.com/file/d/1GpMdw7ZFDWpDIdg1IjCcxRYXmuDta-6_/view?usp=drivesdk</v>
      </c>
      <c r="C2510" s="339" t="str">
        <f>IFERROR(__xludf.DUMMYFUNCTION("""COMPUTED_VALUE"""),"10.1002--acp.4202.pdf")</f>
        <v>10.1002--acp.4202.pdf</v>
      </c>
      <c r="D2510" s="159" t="str">
        <f>IFERROR(__xludf.DUMMYFUNCTION("""COMPUTED_VALUE"""),"application/pdf")</f>
        <v>application/pdf</v>
      </c>
    </row>
    <row r="2511">
      <c r="A2511" s="339" t="str">
        <f>IFERROR(__xludf.DUMMYFUNCTION("""COMPUTED_VALUE"""),"10.1016j/jsp.2024.101307")</f>
        <v>10.1016j/jsp.2024.101307</v>
      </c>
      <c r="B2511" s="445" t="str">
        <f>IFERROR(__xludf.DUMMYFUNCTION("""COMPUTED_VALUE"""),"https://drive.google.com/file/d/1OeY-k8G9PoOVwBC3kScmLaiAEl_Sb-3y/view?usp=drivesdk")</f>
        <v>https://drive.google.com/file/d/1OeY-k8G9PoOVwBC3kScmLaiAEl_Sb-3y/view?usp=drivesdk</v>
      </c>
      <c r="C2511" s="339" t="str">
        <f>IFERROR(__xludf.DUMMYFUNCTION("""COMPUTED_VALUE"""),"10.1016j--jsp.2024.101307.pdf")</f>
        <v>10.1016j--jsp.2024.101307.pdf</v>
      </c>
      <c r="D2511" s="159" t="str">
        <f>IFERROR(__xludf.DUMMYFUNCTION("""COMPUTED_VALUE"""),"application/pdf")</f>
        <v>application/pdf</v>
      </c>
    </row>
    <row r="2512">
      <c r="A2512" s="339" t="str">
        <f>IFERROR(__xludf.DUMMYFUNCTION("""COMPUTED_VALUE"""),"10.1016/j.jenvp.2022.101868")</f>
        <v>10.1016/j.jenvp.2022.101868</v>
      </c>
      <c r="B2512" s="445" t="str">
        <f>IFERROR(__xludf.DUMMYFUNCTION("""COMPUTED_VALUE"""),"https://drive.google.com/file/d/1PO93PC_ps2XExqA6N_FX_WnXnQAPrB_Q/view?usp=drivesdk")</f>
        <v>https://drive.google.com/file/d/1PO93PC_ps2XExqA6N_FX_WnXnQAPrB_Q/view?usp=drivesdk</v>
      </c>
      <c r="C2512" s="339" t="str">
        <f>IFERROR(__xludf.DUMMYFUNCTION("""COMPUTED_VALUE"""),"10.1016--j.jenvp.2022.101868.pdf")</f>
        <v>10.1016--j.jenvp.2022.101868.pdf</v>
      </c>
      <c r="D2512" s="159" t="str">
        <f>IFERROR(__xludf.DUMMYFUNCTION("""COMPUTED_VALUE"""),"application/pdf")</f>
        <v>application/pdf</v>
      </c>
    </row>
    <row r="2513">
      <c r="A2513" s="339" t="str">
        <f>IFERROR(__xludf.DUMMYFUNCTION("""COMPUTED_VALUE"""),"10.1016/j.jsp.2021.09.004")</f>
        <v>10.1016/j.jsp.2021.09.004</v>
      </c>
      <c r="B2513" s="445" t="str">
        <f>IFERROR(__xludf.DUMMYFUNCTION("""COMPUTED_VALUE"""),"https://drive.google.com/file/d/1RTiaFppoyqVSbs6ENCjo8xyaIVfjFhVI/view?usp=drivesdk")</f>
        <v>https://drive.google.com/file/d/1RTiaFppoyqVSbs6ENCjo8xyaIVfjFhVI/view?usp=drivesdk</v>
      </c>
      <c r="C2513" s="339" t="str">
        <f>IFERROR(__xludf.DUMMYFUNCTION("""COMPUTED_VALUE"""),"10.1016--j.jsp.2021.09.004.pdf")</f>
        <v>10.1016--j.jsp.2021.09.004.pdf</v>
      </c>
      <c r="D2513" s="159" t="str">
        <f>IFERROR(__xludf.DUMMYFUNCTION("""COMPUTED_VALUE"""),"application/pdf")</f>
        <v>application/pdf</v>
      </c>
    </row>
    <row r="2514">
      <c r="A2514" s="339" t="str">
        <f>IFERROR(__xludf.DUMMYFUNCTION("""COMPUTED_VALUE"""),"macias mendoza final 5.3.24 with cert")</f>
        <v>macias mendoza final 5.3.24 with cert</v>
      </c>
      <c r="B2514" s="445" t="str">
        <f>IFERROR(__xludf.DUMMYFUNCTION("""COMPUTED_VALUE"""),"https://drive.google.com/file/d/1joizDIhyA_6v5iIxaJb92CDtUAqisiiG/view?usp=drivesdk")</f>
        <v>https://drive.google.com/file/d/1joizDIhyA_6v5iIxaJb92CDtUAqisiiG/view?usp=drivesdk</v>
      </c>
      <c r="C2514" s="339" t="str">
        <f>IFERROR(__xludf.DUMMYFUNCTION("""COMPUTED_VALUE"""),"MACIAS MENDOZA FINAL 5.3.24 with cert.pdf")</f>
        <v>MACIAS MENDOZA FINAL 5.3.24 with cert.pdf</v>
      </c>
      <c r="D2514" s="159" t="str">
        <f>IFERROR(__xludf.DUMMYFUNCTION("""COMPUTED_VALUE"""),"application/pdf")</f>
        <v>application/pdf</v>
      </c>
    </row>
    <row r="2515">
      <c r="A2515" s="339" t="str">
        <f>IFERROR(__xludf.DUMMYFUNCTION("""COMPUTED_VALUE"""),"10.1016/j.jenvp.2024.102289")</f>
        <v>10.1016/j.jenvp.2024.102289</v>
      </c>
      <c r="B2515" s="445" t="str">
        <f>IFERROR(__xludf.DUMMYFUNCTION("""COMPUTED_VALUE"""),"https://drive.google.com/file/d/1y9Sta1A62b6o1louE7uCjU6m-n4q0e5j/view?usp=drivesdk")</f>
        <v>https://drive.google.com/file/d/1y9Sta1A62b6o1louE7uCjU6m-n4q0e5j/view?usp=drivesdk</v>
      </c>
      <c r="C2515" s="339" t="str">
        <f>IFERROR(__xludf.DUMMYFUNCTION("""COMPUTED_VALUE"""),"10.1016--j.jenvp.2024.102289.pdf")</f>
        <v>10.1016--j.jenvp.2024.102289.pdf</v>
      </c>
      <c r="D2515" s="159" t="str">
        <f>IFERROR(__xludf.DUMMYFUNCTION("""COMPUTED_VALUE"""),"application/pdf")</f>
        <v>application/pdf</v>
      </c>
    </row>
    <row r="2516">
      <c r="A2516" s="339" t="str">
        <f>IFERROR(__xludf.DUMMYFUNCTION("""COMPUTED_VALUE"""),"10.1111/j.1468-0068.2010.00795.x")</f>
        <v>10.1111/j.1468-0068.2010.00795.x</v>
      </c>
      <c r="B2516" s="445" t="str">
        <f>IFERROR(__xludf.DUMMYFUNCTION("""COMPUTED_VALUE"""),"https://drive.google.com/file/d/1O4mjB0-ZSujMTJYtaAoIsXTPuhxgEF-0/view?usp=drivesdk")</f>
        <v>https://drive.google.com/file/d/1O4mjB0-ZSujMTJYtaAoIsXTPuhxgEF-0/view?usp=drivesdk</v>
      </c>
      <c r="C2516" s="339" t="str">
        <f>IFERROR(__xludf.DUMMYFUNCTION("""COMPUTED_VALUE"""),"10.1111--j.1468-0068.2010.00795.x.pdf")</f>
        <v>10.1111--j.1468-0068.2010.00795.x.pdf</v>
      </c>
      <c r="D2516" s="159" t="str">
        <f>IFERROR(__xludf.DUMMYFUNCTION("""COMPUTED_VALUE"""),"application/pdf")</f>
        <v>application/pdf</v>
      </c>
    </row>
    <row r="2517">
      <c r="A2517" s="339" t="str">
        <f>IFERROR(__xludf.DUMMYFUNCTION("""COMPUTED_VALUE"""),"10.1002/jae.3082")</f>
        <v>10.1002/jae.3082</v>
      </c>
      <c r="B2517" s="445" t="str">
        <f>IFERROR(__xludf.DUMMYFUNCTION("""COMPUTED_VALUE"""),"https://drive.google.com/file/d/1LvmKgU-0Swex9jXhSh89rVHkVzeNMucB/view?usp=drivesdk")</f>
        <v>https://drive.google.com/file/d/1LvmKgU-0Swex9jXhSh89rVHkVzeNMucB/view?usp=drivesdk</v>
      </c>
      <c r="C2517" s="339" t="str">
        <f>IFERROR(__xludf.DUMMYFUNCTION("""COMPUTED_VALUE"""),"10.1002--jae.3082.pdf")</f>
        <v>10.1002--jae.3082.pdf</v>
      </c>
      <c r="D2517" s="159" t="str">
        <f>IFERROR(__xludf.DUMMYFUNCTION("""COMPUTED_VALUE"""),"application/pdf")</f>
        <v>application/pdf</v>
      </c>
    </row>
    <row r="2518">
      <c r="A2518" s="339" t="str">
        <f>IFERROR(__xludf.DUMMYFUNCTION("""COMPUTED_VALUE"""),"10.3982/ecta12807")</f>
        <v>10.3982/ecta12807</v>
      </c>
      <c r="B2518" s="445" t="str">
        <f>IFERROR(__xludf.DUMMYFUNCTION("""COMPUTED_VALUE"""),"https://drive.google.com/file/d/1MFrh4TN71i6T_XH6VvEuarZ-bkTQmkjp/view?usp=drivesdk")</f>
        <v>https://drive.google.com/file/d/1MFrh4TN71i6T_XH6VvEuarZ-bkTQmkjp/view?usp=drivesdk</v>
      </c>
      <c r="C2518" s="339" t="str">
        <f>IFERROR(__xludf.DUMMYFUNCTION("""COMPUTED_VALUE"""),"10.3982--ECTA12807.pdf")</f>
        <v>10.3982--ECTA12807.pdf</v>
      </c>
      <c r="D2518" s="159" t="str">
        <f>IFERROR(__xludf.DUMMYFUNCTION("""COMPUTED_VALUE"""),"application/pdf")</f>
        <v>application/pdf</v>
      </c>
    </row>
    <row r="2519">
      <c r="A2519" s="339" t="str">
        <f>IFERROR(__xludf.DUMMYFUNCTION("""COMPUTED_VALUE"""),"additional_studies91_r")</f>
        <v>additional_studies91_r</v>
      </c>
      <c r="B2519" s="445" t="str">
        <f>IFERROR(__xludf.DUMMYFUNCTION("""COMPUTED_VALUE"""),"https://drive.google.com/file/d/1hPhF8KaBqw1LsUQzpj31fTYVbHPo1XfL/view?usp=drivesdk")</f>
        <v>https://drive.google.com/file/d/1hPhF8KaBqw1LsUQzpj31fTYVbHPo1XfL/view?usp=drivesdk</v>
      </c>
      <c r="C2519" s="339" t="str">
        <f>IFERROR(__xludf.DUMMYFUNCTION("""COMPUTED_VALUE"""),"additional_studies91_r.pdf")</f>
        <v>additional_studies91_r.pdf</v>
      </c>
      <c r="D2519" s="159" t="str">
        <f>IFERROR(__xludf.DUMMYFUNCTION("""COMPUTED_VALUE"""),"application/pdf")</f>
        <v>application/pdf</v>
      </c>
    </row>
    <row r="2520">
      <c r="A2520" s="339" t="str">
        <f>IFERROR(__xludf.DUMMYFUNCTION("""COMPUTED_VALUE"""),"10.51548/joctec-2021-016")</f>
        <v>10.51548/joctec-2021-016</v>
      </c>
      <c r="B2520" s="445" t="str">
        <f>IFERROR(__xludf.DUMMYFUNCTION("""COMPUTED_VALUE"""),"https://drive.google.com/file/d/11B6RDsDdpDnOGVv1Bafc4t3LGTugpLfW/view?usp=drivesdk")</f>
        <v>https://drive.google.com/file/d/11B6RDsDdpDnOGVv1Bafc4t3LGTugpLfW/view?usp=drivesdk</v>
      </c>
      <c r="C2520" s="339" t="str">
        <f>IFERROR(__xludf.DUMMYFUNCTION("""COMPUTED_VALUE"""),"10.51548--joctec-2021-016.pdf")</f>
        <v>10.51548--joctec-2021-016.pdf</v>
      </c>
      <c r="D2520" s="159" t="str">
        <f>IFERROR(__xludf.DUMMYFUNCTION("""COMPUTED_VALUE"""),"application/pdf")</f>
        <v>application/pdf</v>
      </c>
    </row>
    <row r="2521">
      <c r="A2521" s="339" t="str">
        <f>IFERROR(__xludf.DUMMYFUNCTION("""COMPUTED_VALUE"""),"10.1080/13527266.2024.2376918")</f>
        <v>10.1080/13527266.2024.2376918</v>
      </c>
      <c r="B2521" s="445" t="str">
        <f>IFERROR(__xludf.DUMMYFUNCTION("""COMPUTED_VALUE"""),"https://drive.google.com/file/d/1lBAeCGIckBPanOLBGZwhA7XjuahS_0Dx/view?usp=drivesdk")</f>
        <v>https://drive.google.com/file/d/1lBAeCGIckBPanOLBGZwhA7XjuahS_0Dx/view?usp=drivesdk</v>
      </c>
      <c r="C2521" s="339" t="str">
        <f>IFERROR(__xludf.DUMMYFUNCTION("""COMPUTED_VALUE"""),"10.1080--13527266.2024.2376918.pdf")</f>
        <v>10.1080--13527266.2024.2376918.pdf</v>
      </c>
      <c r="D2521" s="159" t="str">
        <f>IFERROR(__xludf.DUMMYFUNCTION("""COMPUTED_VALUE"""),"application/pdf")</f>
        <v>application/pdf</v>
      </c>
    </row>
    <row r="2522">
      <c r="A2522" s="339" t="str">
        <f>IFERROR(__xludf.DUMMYFUNCTION("""COMPUTED_VALUE"""),"10.1080/10496491.2022.2108189")</f>
        <v>10.1080/10496491.2022.2108189</v>
      </c>
      <c r="B2522" s="445" t="str">
        <f>IFERROR(__xludf.DUMMYFUNCTION("""COMPUTED_VALUE"""),"https://drive.google.com/file/d/19vVZNnZqbHViA7ik9IZlctpt3T8O8e-i/view?usp=drivesdk")</f>
        <v>https://drive.google.com/file/d/19vVZNnZqbHViA7ik9IZlctpt3T8O8e-i/view?usp=drivesdk</v>
      </c>
      <c r="C2522" s="339" t="str">
        <f>IFERROR(__xludf.DUMMYFUNCTION("""COMPUTED_VALUE"""),"10.1080--10496491.2022.2108189.pdf")</f>
        <v>10.1080--10496491.2022.2108189.pdf</v>
      </c>
      <c r="D2522" s="159" t="str">
        <f>IFERROR(__xludf.DUMMYFUNCTION("""COMPUTED_VALUE"""),"application/pdf")</f>
        <v>application/pdf</v>
      </c>
    </row>
    <row r="2523">
      <c r="A2523" s="339" t="str">
        <f>IFERROR(__xludf.DUMMYFUNCTION("""COMPUTED_VALUE"""),"10.1093/applin/amae042")</f>
        <v>10.1093/applin/amae042</v>
      </c>
      <c r="B2523" s="445" t="str">
        <f>IFERROR(__xludf.DUMMYFUNCTION("""COMPUTED_VALUE"""),"https://drive.google.com/file/d/1VIxHSn4IKzp_dw4xNX6RMxFlMFrB02Na/view?usp=drivesdk")</f>
        <v>https://drive.google.com/file/d/1VIxHSn4IKzp_dw4xNX6RMxFlMFrB02Na/view?usp=drivesdk</v>
      </c>
      <c r="C2523" s="339" t="str">
        <f>IFERROR(__xludf.DUMMYFUNCTION("""COMPUTED_VALUE"""),"10.1093--applin--amae042.pdf")</f>
        <v>10.1093--applin--amae042.pdf</v>
      </c>
      <c r="D2523" s="159" t="str">
        <f>IFERROR(__xludf.DUMMYFUNCTION("""COMPUTED_VALUE"""),"application/pdf")</f>
        <v>application/pdf</v>
      </c>
    </row>
    <row r="2524">
      <c r="A2524" s="339" t="str">
        <f>IFERROR(__xludf.DUMMYFUNCTION("""COMPUTED_VALUE"""),"10.1075/jslp.22013.tel")</f>
        <v>10.1075/jslp.22013.tel</v>
      </c>
      <c r="B2524" s="445" t="str">
        <f>IFERROR(__xludf.DUMMYFUNCTION("""COMPUTED_VALUE"""),"https://drive.google.com/file/d/1UoK9lGyVfG2aSVu9UX62d1KXmmkZeMsj/view?usp=drivesdk")</f>
        <v>https://drive.google.com/file/d/1UoK9lGyVfG2aSVu9UX62d1KXmmkZeMsj/view?usp=drivesdk</v>
      </c>
      <c r="C2524" s="339" t="str">
        <f>IFERROR(__xludf.DUMMYFUNCTION("""COMPUTED_VALUE"""),"10.1075--jslp.22013.tel.pdf")</f>
        <v>10.1075--jslp.22013.tel.pdf</v>
      </c>
      <c r="D2524" s="159" t="str">
        <f>IFERROR(__xludf.DUMMYFUNCTION("""COMPUTED_VALUE"""),"application/pdf")</f>
        <v>application/pdf</v>
      </c>
    </row>
    <row r="2525">
      <c r="A2525" s="339" t="str">
        <f>IFERROR(__xludf.DUMMYFUNCTION("""COMPUTED_VALUE"""),"10.18718/81781.35")</f>
        <v>10.18718/81781.35</v>
      </c>
      <c r="B2525" s="445" t="str">
        <f>IFERROR(__xludf.DUMMYFUNCTION("""COMPUTED_VALUE"""),"https://drive.google.com/file/d/1hacB1-iy_tRTIgneV_Ee01qxYKx_hi62/view?usp=drivesdk")</f>
        <v>https://drive.google.com/file/d/1hacB1-iy_tRTIgneV_Ee01qxYKx_hi62/view?usp=drivesdk</v>
      </c>
      <c r="C2525" s="339" t="str">
        <f>IFERROR(__xludf.DUMMYFUNCTION("""COMPUTED_VALUE"""),"10.18718--81781.35.pdf")</f>
        <v>10.18718--81781.35.pdf</v>
      </c>
      <c r="D2525" s="159" t="str">
        <f>IFERROR(__xludf.DUMMYFUNCTION("""COMPUTED_VALUE"""),"application/pdf")</f>
        <v>application/pdf</v>
      </c>
    </row>
    <row r="2526">
      <c r="A2526" s="339" t="str">
        <f>IFERROR(__xludf.DUMMYFUNCTION("""COMPUTED_VALUE"""),"10.1073/pnas.2015539118 ")</f>
        <v>10.1073/pnas.2015539118 </v>
      </c>
      <c r="B2526" s="445" t="str">
        <f>IFERROR(__xludf.DUMMYFUNCTION("""COMPUTED_VALUE"""),"https://drive.google.com/file/d/1AkVoo6DTN5LfJVPCR5Qb6og7b_WTwQNJ/view?usp=drivesdk")</f>
        <v>https://drive.google.com/file/d/1AkVoo6DTN5LfJVPCR5Qb6og7b_WTwQNJ/view?usp=drivesdk</v>
      </c>
      <c r="C2526" s="339" t="str">
        <f>IFERROR(__xludf.DUMMYFUNCTION("""COMPUTED_VALUE"""),"10.1073--pnas.2015539118 .pdf")</f>
        <v>10.1073--pnas.2015539118 .pdf</v>
      </c>
      <c r="D2526" s="159" t="str">
        <f>IFERROR(__xludf.DUMMYFUNCTION("""COMPUTED_VALUE"""),"application/pdf")</f>
        <v>application/pdf</v>
      </c>
    </row>
    <row r="2527">
      <c r="A2527" s="339" t="str">
        <f>IFERROR(__xludf.DUMMYFUNCTION("""COMPUTED_VALUE"""),"10.1002/jaba.1098")</f>
        <v>10.1002/jaba.1098</v>
      </c>
      <c r="B2527" s="445" t="str">
        <f>IFERROR(__xludf.DUMMYFUNCTION("""COMPUTED_VALUE"""),"https://drive.google.com/file/d/14qlQgDUVz3KRZQVXwZQMkCR0K1msJHmK/view?usp=drivesdk")</f>
        <v>https://drive.google.com/file/d/14qlQgDUVz3KRZQVXwZQMkCR0K1msJHmK/view?usp=drivesdk</v>
      </c>
      <c r="C2527" s="339" t="str">
        <f>IFERROR(__xludf.DUMMYFUNCTION("""COMPUTED_VALUE"""),"10.1002--jaba.1098.pdf")</f>
        <v>10.1002--jaba.1098.pdf</v>
      </c>
      <c r="D2527" s="159" t="str">
        <f>IFERROR(__xludf.DUMMYFUNCTION("""COMPUTED_VALUE"""),"application/pdf")</f>
        <v>application/pdf</v>
      </c>
    </row>
    <row r="2528">
      <c r="A2528" s="339" t="str">
        <f>IFERROR(__xludf.DUMMYFUNCTION("""COMPUTED_VALUE"""),"10.1002/jaba.968")</f>
        <v>10.1002/jaba.968</v>
      </c>
      <c r="B2528" s="445" t="str">
        <f>IFERROR(__xludf.DUMMYFUNCTION("""COMPUTED_VALUE"""),"https://drive.google.com/file/d/1_lgC5OmIfmdyPUatcoMBb50JoLNHFpBH/view?usp=drivesdk")</f>
        <v>https://drive.google.com/file/d/1_lgC5OmIfmdyPUatcoMBb50JoLNHFpBH/view?usp=drivesdk</v>
      </c>
      <c r="C2528" s="339" t="str">
        <f>IFERROR(__xludf.DUMMYFUNCTION("""COMPUTED_VALUE"""),"10.1002--jaba.968.pdf")</f>
        <v>10.1002--jaba.968.pdf</v>
      </c>
      <c r="D2528" s="159" t="str">
        <f>IFERROR(__xludf.DUMMYFUNCTION("""COMPUTED_VALUE"""),"application/pdf")</f>
        <v>application/pdf</v>
      </c>
    </row>
    <row r="2529">
      <c r="A2529" s="339" t="str">
        <f>IFERROR(__xludf.DUMMYFUNCTION("""COMPUTED_VALUE"""),"10.31234/osf.io/xjaty")</f>
        <v>10.31234/osf.io/xjaty</v>
      </c>
      <c r="B2529" s="445" t="str">
        <f>IFERROR(__xludf.DUMMYFUNCTION("""COMPUTED_VALUE"""),"https://drive.google.com/file/d/1DMMXxQwzUbOxshIWiT8AwdGZ588_WZ8b/view?usp=drivesdk")</f>
        <v>https://drive.google.com/file/d/1DMMXxQwzUbOxshIWiT8AwdGZ588_WZ8b/view?usp=drivesdk</v>
      </c>
      <c r="C2529" s="339" t="str">
        <f>IFERROR(__xludf.DUMMYFUNCTION("""COMPUTED_VALUE"""),"10.31234--osf.io--xjaty.pdf")</f>
        <v>10.31234--osf.io--xjaty.pdf</v>
      </c>
      <c r="D2529" s="159" t="str">
        <f>IFERROR(__xludf.DUMMYFUNCTION("""COMPUTED_VALUE"""),"application/pdf")</f>
        <v>application/pdf</v>
      </c>
    </row>
    <row r="2530">
      <c r="A2530" s="339" t="str">
        <f>IFERROR(__xludf.DUMMYFUNCTION("""COMPUTED_VALUE"""),"10.1038/s41586-022-04452-3")</f>
        <v>10.1038/s41586-022-04452-3</v>
      </c>
      <c r="B2530" s="445" t="str">
        <f>IFERROR(__xludf.DUMMYFUNCTION("""COMPUTED_VALUE"""),"https://drive.google.com/file/d/1Dle9tBaQJnicGTbi-WNIWZLHBhpRMBFu/view?usp=drivesdk")</f>
        <v>https://drive.google.com/file/d/1Dle9tBaQJnicGTbi-WNIWZLHBhpRMBFu/view?usp=drivesdk</v>
      </c>
      <c r="C2530" s="339" t="str">
        <f>IFERROR(__xludf.DUMMYFUNCTION("""COMPUTED_VALUE"""),"10.1038--s41586-022-04452-3.pdf")</f>
        <v>10.1038--s41586-022-04452-3.pdf</v>
      </c>
      <c r="D2530" s="159" t="str">
        <f>IFERROR(__xludf.DUMMYFUNCTION("""COMPUTED_VALUE"""),"application/pdf")</f>
        <v>application/pdf</v>
      </c>
    </row>
    <row r="2531">
      <c r="A2531" s="339" t="str">
        <f>IFERROR(__xludf.DUMMYFUNCTION("""COMPUTED_VALUE"""),"10.31234/osf.io/jfmsz")</f>
        <v>10.31234/osf.io/jfmsz</v>
      </c>
      <c r="B2531" s="445" t="str">
        <f>IFERROR(__xludf.DUMMYFUNCTION("""COMPUTED_VALUE"""),"https://drive.google.com/file/d/1VVeqTkEjSzuu9KSkYUb2Q1_BeFG8ZFes/view?usp=drivesdk")</f>
        <v>https://drive.google.com/file/d/1VVeqTkEjSzuu9KSkYUb2Q1_BeFG8ZFes/view?usp=drivesdk</v>
      </c>
      <c r="C2531" s="339" t="str">
        <f>IFERROR(__xludf.DUMMYFUNCTION("""COMPUTED_VALUE"""),"10.31234--osf.io--jfmsz.pdf")</f>
        <v>10.31234--osf.io--jfmsz.pdf</v>
      </c>
      <c r="D2531" s="159" t="str">
        <f>IFERROR(__xludf.DUMMYFUNCTION("""COMPUTED_VALUE"""),"application/pdf")</f>
        <v>application/pdf</v>
      </c>
    </row>
    <row r="2532">
      <c r="A2532" s="339" t="str">
        <f>IFERROR(__xludf.DUMMYFUNCTION("""COMPUTED_VALUE"""),"10.1073/pnas.2120668119")</f>
        <v>10.1073/pnas.2120668119</v>
      </c>
      <c r="B2532" s="445" t="str">
        <f>IFERROR(__xludf.DUMMYFUNCTION("""COMPUTED_VALUE"""),"https://drive.google.com/file/d/1ANwIdy7vvKbUuPS6VZrKvVbqw28M1etr/view?usp=drivesdk")</f>
        <v>https://drive.google.com/file/d/1ANwIdy7vvKbUuPS6VZrKvVbqw28M1etr/view?usp=drivesdk</v>
      </c>
      <c r="C2532" s="339" t="str">
        <f>IFERROR(__xludf.DUMMYFUNCTION("""COMPUTED_VALUE"""),"10.1073--pnas.2120668119.pdf")</f>
        <v>10.1073--pnas.2120668119.pdf</v>
      </c>
      <c r="D2532" s="159" t="str">
        <f>IFERROR(__xludf.DUMMYFUNCTION("""COMPUTED_VALUE"""),"application/pdf")</f>
        <v>application/pdf</v>
      </c>
    </row>
    <row r="2533">
      <c r="A2533" s="339" t="str">
        <f>IFERROR(__xludf.DUMMYFUNCTION("""COMPUTED_VALUE"""),"10.37237/150205")</f>
        <v>10.37237/150205</v>
      </c>
      <c r="B2533" s="445" t="str">
        <f>IFERROR(__xludf.DUMMYFUNCTION("""COMPUTED_VALUE"""),"https://drive.google.com/file/d/1mAgtvtRNwI_LQ2ccnmAWuBfkaX8itu_d/view?usp=drivesdk")</f>
        <v>https://drive.google.com/file/d/1mAgtvtRNwI_LQ2ccnmAWuBfkaX8itu_d/view?usp=drivesdk</v>
      </c>
      <c r="C2533" s="339" t="str">
        <f>IFERROR(__xludf.DUMMYFUNCTION("""COMPUTED_VALUE"""),"10.37237--150205.pdf")</f>
        <v>10.37237--150205.pdf</v>
      </c>
      <c r="D2533" s="159" t="str">
        <f>IFERROR(__xludf.DUMMYFUNCTION("""COMPUTED_VALUE"""),"application/pdf")</f>
        <v>application/pdf</v>
      </c>
    </row>
    <row r="2534">
      <c r="A2534" s="339" t="str">
        <f>IFERROR(__xludf.DUMMYFUNCTION("""COMPUTED_VALUE"""),"10.37237/relay/010204")</f>
        <v>10.37237/relay/010204</v>
      </c>
      <c r="B2534" s="445" t="str">
        <f>IFERROR(__xludf.DUMMYFUNCTION("""COMPUTED_VALUE"""),"https://drive.google.com/file/d/1bQdPG6N4D0o1pKlwFaURIS3ouXnJPLk2/view?usp=drivesdk")</f>
        <v>https://drive.google.com/file/d/1bQdPG6N4D0o1pKlwFaURIS3ouXnJPLk2/view?usp=drivesdk</v>
      </c>
      <c r="C2534" s="339" t="str">
        <f>IFERROR(__xludf.DUMMYFUNCTION("""COMPUTED_VALUE"""),"10.37237--relay--010204.pdf")</f>
        <v>10.37237--relay--010204.pdf</v>
      </c>
      <c r="D2534" s="159" t="str">
        <f>IFERROR(__xludf.DUMMYFUNCTION("""COMPUTED_VALUE"""),"application/pdf")</f>
        <v>application/pdf</v>
      </c>
    </row>
    <row r="2535">
      <c r="A2535" s="339" t="str">
        <f>IFERROR(__xludf.DUMMYFUNCTION("""COMPUTED_VALUE"""),"10.1007/s10834-024-09975-7")</f>
        <v>10.1007/s10834-024-09975-7</v>
      </c>
      <c r="B2535" s="445" t="str">
        <f>IFERROR(__xludf.DUMMYFUNCTION("""COMPUTED_VALUE"""),"https://drive.google.com/file/d/1kvzfXjBDZmFTCeJVlsPrywrDLzw17fXw/view?usp=drivesdk")</f>
        <v>https://drive.google.com/file/d/1kvzfXjBDZmFTCeJVlsPrywrDLzw17fXw/view?usp=drivesdk</v>
      </c>
      <c r="C2535" s="339" t="str">
        <f>IFERROR(__xludf.DUMMYFUNCTION("""COMPUTED_VALUE"""),"10.1007--s10834-024-09975-7.pdf")</f>
        <v>10.1007--s10834-024-09975-7.pdf</v>
      </c>
      <c r="D2535" s="159" t="str">
        <f>IFERROR(__xludf.DUMMYFUNCTION("""COMPUTED_VALUE"""),"application/pdf")</f>
        <v>application/pdf</v>
      </c>
    </row>
    <row r="2536">
      <c r="A2536" s="339" t="str">
        <f>IFERROR(__xludf.DUMMYFUNCTION("""COMPUTED_VALUE"""),"10.1007/s11150-021-09593-4")</f>
        <v>10.1007/s11150-021-09593-4</v>
      </c>
      <c r="B2536" s="445" t="str">
        <f>IFERROR(__xludf.DUMMYFUNCTION("""COMPUTED_VALUE"""),"https://drive.google.com/file/d/1IfVJze_D0VNVGP0qGB9jOH8T88AinA4X/view?usp=drivesdk")</f>
        <v>https://drive.google.com/file/d/1IfVJze_D0VNVGP0qGB9jOH8T88AinA4X/view?usp=drivesdk</v>
      </c>
      <c r="C2536" s="339" t="str">
        <f>IFERROR(__xludf.DUMMYFUNCTION("""COMPUTED_VALUE"""),"10.1007--s11150-021-09593-4.pdf")</f>
        <v>10.1007--s11150-021-09593-4.pdf</v>
      </c>
      <c r="D2536" s="159" t="str">
        <f>IFERROR(__xludf.DUMMYFUNCTION("""COMPUTED_VALUE"""),"application/pdf")</f>
        <v>application/pdf</v>
      </c>
    </row>
    <row r="2537">
      <c r="A2537" s="339" t="str">
        <f>IFERROR(__xludf.DUMMYFUNCTION("""COMPUTED_VALUE"""),"10.1073/pnas.2218961120")</f>
        <v>10.1073/pnas.2218961120</v>
      </c>
      <c r="B2537" s="445" t="str">
        <f>IFERROR(__xludf.DUMMYFUNCTION("""COMPUTED_VALUE"""),"https://drive.google.com/file/d/1y96i0hMyOppZ0ZOc68SfdS2QELKNre-8/view?usp=drivesdk")</f>
        <v>https://drive.google.com/file/d/1y96i0hMyOppZ0ZOc68SfdS2QELKNre-8/view?usp=drivesdk</v>
      </c>
      <c r="C2537" s="339" t="str">
        <f>IFERROR(__xludf.DUMMYFUNCTION("""COMPUTED_VALUE"""),"10.1073--pnas.2218961120.pdf")</f>
        <v>10.1073--pnas.2218961120.pdf</v>
      </c>
      <c r="D2537" s="159" t="str">
        <f>IFERROR(__xludf.DUMMYFUNCTION("""COMPUTED_VALUE"""),"application/pdf")</f>
        <v>application/pdf</v>
      </c>
    </row>
    <row r="2538">
      <c r="A2538" s="339" t="str">
        <f>IFERROR(__xludf.DUMMYFUNCTION("""COMPUTED_VALUE"""),"10.1073/pnas.2402315121")</f>
        <v>10.1073/pnas.2402315121</v>
      </c>
      <c r="B2538" s="445" t="str">
        <f>IFERROR(__xludf.DUMMYFUNCTION("""COMPUTED_VALUE"""),"https://drive.google.com/file/d/1Mxrn43qE4Nlk4SUVbyTVjT4uEEPF5pZu/view?usp=drivesdk")</f>
        <v>https://drive.google.com/file/d/1Mxrn43qE4Nlk4SUVbyTVjT4uEEPF5pZu/view?usp=drivesdk</v>
      </c>
      <c r="C2538" s="339" t="str">
        <f>IFERROR(__xludf.DUMMYFUNCTION("""COMPUTED_VALUE"""),"10.1073--pnas.2402315121.pdf")</f>
        <v>10.1073--pnas.2402315121.pdf</v>
      </c>
      <c r="D2538" s="159" t="str">
        <f>IFERROR(__xludf.DUMMYFUNCTION("""COMPUTED_VALUE"""),"application/pdf")</f>
        <v>application/pdf</v>
      </c>
    </row>
    <row r="2539">
      <c r="A2539" s="339" t="str">
        <f>IFERROR(__xludf.DUMMYFUNCTION("""COMPUTED_VALUE"""),"10.1073/pnas.2218961120 sapp")</f>
        <v>10.1073/pnas.2218961120 sapp</v>
      </c>
      <c r="B2539" s="445" t="str">
        <f>IFERROR(__xludf.DUMMYFUNCTION("""COMPUTED_VALUE"""),"https://drive.google.com/file/d/1FFPuywkjnJ2hCvl_bCDbo0AuVlwdfYGa/view?usp=drivesdk")</f>
        <v>https://drive.google.com/file/d/1FFPuywkjnJ2hCvl_bCDbo0AuVlwdfYGa/view?usp=drivesdk</v>
      </c>
      <c r="C2539" s="339" t="str">
        <f>IFERROR(__xludf.DUMMYFUNCTION("""COMPUTED_VALUE"""),"10.1073--pnas.2218961120 SAPP.pdf")</f>
        <v>10.1073--pnas.2218961120 SAPP.pdf</v>
      </c>
      <c r="D2539" s="159" t="str">
        <f>IFERROR(__xludf.DUMMYFUNCTION("""COMPUTED_VALUE"""),"application/pdf")</f>
        <v>application/pdf</v>
      </c>
    </row>
    <row r="2540">
      <c r="A2540" s="339" t="str">
        <f>IFERROR(__xludf.DUMMYFUNCTION("""COMPUTED_VALUE"""),"10.1073/pnas.2402315121 sapp")</f>
        <v>10.1073/pnas.2402315121 sapp</v>
      </c>
      <c r="B2540" s="445" t="str">
        <f>IFERROR(__xludf.DUMMYFUNCTION("""COMPUTED_VALUE"""),"https://drive.google.com/file/d/12TiI13PmR3BQm4y9CSAIab7_hjQIonUH/view?usp=drivesdk")</f>
        <v>https://drive.google.com/file/d/12TiI13PmR3BQm4y9CSAIab7_hjQIonUH/view?usp=drivesdk</v>
      </c>
      <c r="C2540" s="339" t="str">
        <f>IFERROR(__xludf.DUMMYFUNCTION("""COMPUTED_VALUE"""),"10.1073--pnas.2402315121 SAPP.pdf")</f>
        <v>10.1073--pnas.2402315121 SAPP.pdf</v>
      </c>
      <c r="D2540" s="159" t="str">
        <f>IFERROR(__xludf.DUMMYFUNCTION("""COMPUTED_VALUE"""),"application/pdf")</f>
        <v>application/pdf</v>
      </c>
    </row>
    <row r="2541">
      <c r="A2541" s="339" t="str">
        <f>IFERROR(__xludf.DUMMYFUNCTION("""COMPUTED_VALUE"""),"10.1016/j.jsams.2024.07.018")</f>
        <v>10.1016/j.jsams.2024.07.018</v>
      </c>
      <c r="B2541" s="445" t="str">
        <f>IFERROR(__xludf.DUMMYFUNCTION("""COMPUTED_VALUE"""),"https://drive.google.com/file/d/1iWxdhqxc4T6twXLJR2WbGMzAHqB2cMPh/view?usp=drivesdk")</f>
        <v>https://drive.google.com/file/d/1iWxdhqxc4T6twXLJR2WbGMzAHqB2cMPh/view?usp=drivesdk</v>
      </c>
      <c r="C2541" s="339" t="str">
        <f>IFERROR(__xludf.DUMMYFUNCTION("""COMPUTED_VALUE"""),"10.1016--j.jsams.2024.07.018.pdf")</f>
        <v>10.1016--j.jsams.2024.07.018.pdf</v>
      </c>
      <c r="D2541" s="159" t="str">
        <f>IFERROR(__xludf.DUMMYFUNCTION("""COMPUTED_VALUE"""),"application/pdf")</f>
        <v>application/pdf</v>
      </c>
    </row>
    <row r="2542">
      <c r="A2542" s="339" t="str">
        <f>IFERROR(__xludf.DUMMYFUNCTION("""COMPUTED_VALUE"""),"10.1111/j.1467-9280.2006.01704.x")</f>
        <v>10.1111/j.1467-9280.2006.01704.x</v>
      </c>
      <c r="B2542" s="445" t="str">
        <f>IFERROR(__xludf.DUMMYFUNCTION("""COMPUTED_VALUE"""),"https://drive.google.com/file/d/1-8o-L3-LBDg-R5swBEF53YfzOD1dWuZJ/view?usp=drivesdk")</f>
        <v>https://drive.google.com/file/d/1-8o-L3-LBDg-R5swBEF53YfzOD1dWuZJ/view?usp=drivesdk</v>
      </c>
      <c r="C2542" s="339" t="str">
        <f>IFERROR(__xludf.DUMMYFUNCTION("""COMPUTED_VALUE"""),"10.1111--j.1467-9280.2006.01704.x.pdf")</f>
        <v>10.1111--j.1467-9280.2006.01704.x.pdf</v>
      </c>
      <c r="D2542" s="159" t="str">
        <f>IFERROR(__xludf.DUMMYFUNCTION("""COMPUTED_VALUE"""),"application/pdf")</f>
        <v>application/pdf</v>
      </c>
    </row>
    <row r="2543">
      <c r="A2543" s="339" t="str">
        <f>IFERROR(__xludf.DUMMYFUNCTION("""COMPUTED_VALUE"""),"10.18718/81781.23")</f>
        <v>10.18718/81781.23</v>
      </c>
      <c r="B2543" s="445" t="str">
        <f>IFERROR(__xludf.DUMMYFUNCTION("""COMPUTED_VALUE"""),"https://drive.google.com/file/d/1UFSIBKXNmPXd3__1cxrsTy9PbNax45wB/view?usp=drivesdk")</f>
        <v>https://drive.google.com/file/d/1UFSIBKXNmPXd3__1cxrsTy9PbNax45wB/view?usp=drivesdk</v>
      </c>
      <c r="C2543" s="339" t="str">
        <f>IFERROR(__xludf.DUMMYFUNCTION("""COMPUTED_VALUE"""),"10.18718--81781.23.pdf")</f>
        <v>10.18718--81781.23.pdf</v>
      </c>
      <c r="D2543" s="159" t="str">
        <f>IFERROR(__xludf.DUMMYFUNCTION("""COMPUTED_VALUE"""),"application/pdf")</f>
        <v>application/pdf</v>
      </c>
    </row>
    <row r="2544">
      <c r="A2544" s="339" t="str">
        <f>IFERROR(__xludf.DUMMYFUNCTION("""COMPUTED_VALUE"""),"10.17605/osf.io/j8a4p")</f>
        <v>10.17605/osf.io/j8a4p</v>
      </c>
      <c r="B2544" s="445" t="str">
        <f>IFERROR(__xludf.DUMMYFUNCTION("""COMPUTED_VALUE"""),"https://drive.google.com/file/d/1Kwdqeb9S0RNT_hHV1vR81MPGAjymnUQq/view?usp=drivesdk")</f>
        <v>https://drive.google.com/file/d/1Kwdqeb9S0RNT_hHV1vR81MPGAjymnUQq/view?usp=drivesdk</v>
      </c>
      <c r="C2544" s="339" t="str">
        <f>IFERROR(__xludf.DUMMYFUNCTION("""COMPUTED_VALUE"""),"10.17605--osf.io--j8a4p.pdf")</f>
        <v>10.17605--osf.io--j8a4p.pdf</v>
      </c>
      <c r="D2544" s="159" t="str">
        <f>IFERROR(__xludf.DUMMYFUNCTION("""COMPUTED_VALUE"""),"application/pdf")</f>
        <v>application/pdf</v>
      </c>
    </row>
    <row r="2545">
      <c r="A2545" s="339" t="str">
        <f>IFERROR(__xludf.DUMMYFUNCTION("""COMPUTED_VALUE"""),"10.17605/osf.io/fmd75")</f>
        <v>10.17605/osf.io/fmd75</v>
      </c>
      <c r="B2545" s="445" t="str">
        <f>IFERROR(__xludf.DUMMYFUNCTION("""COMPUTED_VALUE"""),"https://drive.google.com/file/d/1ricWbnnQ27T1O2HoAIXHZb1YA8sK8_s2/view?usp=drivesdk")</f>
        <v>https://drive.google.com/file/d/1ricWbnnQ27T1O2HoAIXHZb1YA8sK8_s2/view?usp=drivesdk</v>
      </c>
      <c r="C2545" s="339" t="str">
        <f>IFERROR(__xludf.DUMMYFUNCTION("""COMPUTED_VALUE"""),"10.17605--osf.io--fmd75.pdf")</f>
        <v>10.17605--osf.io--fmd75.pdf</v>
      </c>
      <c r="D2545" s="159" t="str">
        <f>IFERROR(__xludf.DUMMYFUNCTION("""COMPUTED_VALUE"""),"application/pdf")</f>
        <v>application/pdf</v>
      </c>
    </row>
    <row r="2546">
      <c r="A2546" s="339" t="str">
        <f>IFERROR(__xludf.DUMMYFUNCTION("""COMPUTED_VALUE"""),"10.1002/jeab.705")</f>
        <v>10.1002/jeab.705</v>
      </c>
      <c r="B2546" s="445" t="str">
        <f>IFERROR(__xludf.DUMMYFUNCTION("""COMPUTED_VALUE"""),"https://drive.google.com/file/d/1hiobo976wpKGT4ybTmzucLhLBTnypf_I/view?usp=drivesdk")</f>
        <v>https://drive.google.com/file/d/1hiobo976wpKGT4ybTmzucLhLBTnypf_I/view?usp=drivesdk</v>
      </c>
      <c r="C2546" s="339" t="str">
        <f>IFERROR(__xludf.DUMMYFUNCTION("""COMPUTED_VALUE"""),"10.1002--jeab.705.pdf")</f>
        <v>10.1002--jeab.705.pdf</v>
      </c>
      <c r="D2546" s="159" t="str">
        <f>IFERROR(__xludf.DUMMYFUNCTION("""COMPUTED_VALUE"""),"application/pdf")</f>
        <v>application/pdf</v>
      </c>
    </row>
    <row r="2547">
      <c r="A2547" s="339" t="str">
        <f>IFERROR(__xludf.DUMMYFUNCTION("""COMPUTED_VALUE"""),"scholars.indianastate.eduetds/2136")</f>
        <v>scholars.indianastate.eduetds/2136</v>
      </c>
      <c r="B2547" s="445" t="str">
        <f>IFERROR(__xludf.DUMMYFUNCTION("""COMPUTED_VALUE"""),"https://drive.google.com/file/d/1jZb-p-3Rc26saHcNX9fyKAs8ayXvLp_G/view?usp=drivesdk")</f>
        <v>https://drive.google.com/file/d/1jZb-p-3Rc26saHcNX9fyKAs8ayXvLp_G/view?usp=drivesdk</v>
      </c>
      <c r="C2547" s="339" t="str">
        <f>IFERROR(__xludf.DUMMYFUNCTION("""COMPUTED_VALUE"""),"scholars.indianastate.eduetds--2136.pdf")</f>
        <v>scholars.indianastate.eduetds--2136.pdf</v>
      </c>
      <c r="D2547" s="159" t="str">
        <f>IFERROR(__xludf.DUMMYFUNCTION("""COMPUTED_VALUE"""),"application/pdf")</f>
        <v>application/pdf</v>
      </c>
    </row>
    <row r="2548">
      <c r="A2548" s="339" t="str">
        <f>IFERROR(__xludf.DUMMYFUNCTION("""COMPUTED_VALUE"""),"10.1075/ijlcr.00046.ozk")</f>
        <v>10.1075/ijlcr.00046.ozk</v>
      </c>
      <c r="B2548" s="445" t="str">
        <f>IFERROR(__xludf.DUMMYFUNCTION("""COMPUTED_VALUE"""),"https://drive.google.com/file/d/1lyco4NN8QUadLrLaxT4tk2Kth7hjO4p_/view?usp=drivesdk")</f>
        <v>https://drive.google.com/file/d/1lyco4NN8QUadLrLaxT4tk2Kth7hjO4p_/view?usp=drivesdk</v>
      </c>
      <c r="C2548" s="339" t="str">
        <f>IFERROR(__xludf.DUMMYFUNCTION("""COMPUTED_VALUE"""),"10.1075--ijlcr.00046.ozk.pdf")</f>
        <v>10.1075--ijlcr.00046.ozk.pdf</v>
      </c>
      <c r="D2548" s="159" t="str">
        <f>IFERROR(__xludf.DUMMYFUNCTION("""COMPUTED_VALUE"""),"application/pdf")</f>
        <v>application/pdf</v>
      </c>
    </row>
    <row r="2549">
      <c r="A2549" s="339" t="str">
        <f>IFERROR(__xludf.DUMMYFUNCTION("""COMPUTED_VALUE"""),"10.1002/jeab.915")</f>
        <v>10.1002/jeab.915</v>
      </c>
      <c r="B2549" s="445" t="str">
        <f>IFERROR(__xludf.DUMMYFUNCTION("""COMPUTED_VALUE"""),"https://drive.google.com/file/d/1s7Xp1h565EAKnPa_0Zp3RnS0qmb4t53a/view?usp=drivesdk")</f>
        <v>https://drive.google.com/file/d/1s7Xp1h565EAKnPa_0Zp3RnS0qmb4t53a/view?usp=drivesdk</v>
      </c>
      <c r="C2549" s="339" t="str">
        <f>IFERROR(__xludf.DUMMYFUNCTION("""COMPUTED_VALUE"""),"10.1002--jeab.915.pdf")</f>
        <v>10.1002--jeab.915.pdf</v>
      </c>
      <c r="D2549" s="159" t="str">
        <f>IFERROR(__xludf.DUMMYFUNCTION("""COMPUTED_VALUE"""),"application/pdf")</f>
        <v>application/pdf</v>
      </c>
    </row>
    <row r="2550">
      <c r="A2550" s="445" t="str">
        <f>IFERROR(__xludf.DUMMYFUNCTION("""COMPUTED_VALUE"""),"thekeep.eiu.edu/theses/4783")</f>
        <v>thekeep.eiu.edu/theses/4783</v>
      </c>
      <c r="B2550" s="445" t="str">
        <f>IFERROR(__xludf.DUMMYFUNCTION("""COMPUTED_VALUE"""),"https://drive.google.com/file/d/13W9ZIRuUntMYZ1V5eqz7utx5OSyGY3y3/view?usp=drivesdk")</f>
        <v>https://drive.google.com/file/d/13W9ZIRuUntMYZ1V5eqz7utx5OSyGY3y3/view?usp=drivesdk</v>
      </c>
      <c r="C2550" s="339" t="str">
        <f>IFERROR(__xludf.DUMMYFUNCTION("""COMPUTED_VALUE"""),"thekeep.eiu.edu--theses--4783.pdf")</f>
        <v>thekeep.eiu.edu--theses--4783.pdf</v>
      </c>
      <c r="D2550" s="159" t="str">
        <f>IFERROR(__xludf.DUMMYFUNCTION("""COMPUTED_VALUE"""),"application/pdf")</f>
        <v>application/pdf</v>
      </c>
    </row>
    <row r="2551">
      <c r="A2551" s="445" t="str">
        <f>IFERROR(__xludf.DUMMYFUNCTION("""COMPUTED_VALUE"""),"thekeep.eiu.edu/theses/5025")</f>
        <v>thekeep.eiu.edu/theses/5025</v>
      </c>
      <c r="B2551" s="445" t="str">
        <f>IFERROR(__xludf.DUMMYFUNCTION("""COMPUTED_VALUE"""),"https://drive.google.com/file/d/1Fg206MUtjoN9d31kEAQ7bIDHvbUqwyGY/view?usp=drivesdk")</f>
        <v>https://drive.google.com/file/d/1Fg206MUtjoN9d31kEAQ7bIDHvbUqwyGY/view?usp=drivesdk</v>
      </c>
      <c r="C2551" s="339" t="str">
        <f>IFERROR(__xludf.DUMMYFUNCTION("""COMPUTED_VALUE"""),"thekeep.eiu.edu--theses--5025.pdf")</f>
        <v>thekeep.eiu.edu--theses--5025.pdf</v>
      </c>
      <c r="D2551" s="159" t="str">
        <f>IFERROR(__xludf.DUMMYFUNCTION("""COMPUTED_VALUE"""),"application/pdf")</f>
        <v>application/pdf</v>
      </c>
    </row>
    <row r="2552">
      <c r="A2552" s="445" t="str">
        <f>IFERROR(__xludf.DUMMYFUNCTION("""COMPUTED_VALUE"""),"aclanthology.org/2024.lrec-main.91")</f>
        <v>aclanthology.org/2024.lrec-main.91</v>
      </c>
      <c r="B2552" s="445" t="str">
        <f>IFERROR(__xludf.DUMMYFUNCTION("""COMPUTED_VALUE"""),"https://drive.google.com/file/d/1tRSJ7nCc-S4z9k7Go2ucp_tmetdfTvik/view?usp=drivesdk")</f>
        <v>https://drive.google.com/file/d/1tRSJ7nCc-S4z9k7Go2ucp_tmetdfTvik/view?usp=drivesdk</v>
      </c>
      <c r="C2552" s="339" t="str">
        <f>IFERROR(__xludf.DUMMYFUNCTION("""COMPUTED_VALUE"""),"aclanthology.org--2024.lrec-main.91.pdf")</f>
        <v>aclanthology.org--2024.lrec-main.91.pdf</v>
      </c>
      <c r="D2552" s="159" t="str">
        <f>IFERROR(__xludf.DUMMYFUNCTION("""COMPUTED_VALUE"""),"application/pdf")</f>
        <v>application/pdf</v>
      </c>
    </row>
    <row r="2553">
      <c r="A2553" s="339" t="str">
        <f>IFERROR(__xludf.DUMMYFUNCTION("""COMPUTED_VALUE"""),"10.18653/v1/2023.acl-long.864")</f>
        <v>10.18653/v1/2023.acl-long.864</v>
      </c>
      <c r="B2553" s="445" t="str">
        <f>IFERROR(__xludf.DUMMYFUNCTION("""COMPUTED_VALUE"""),"https://drive.google.com/file/d/14Tmk9XIOQYVh24x1jFR4QedpIbTx_n_e/view?usp=drivesdk")</f>
        <v>https://drive.google.com/file/d/14Tmk9XIOQYVh24x1jFR4QedpIbTx_n_e/view?usp=drivesdk</v>
      </c>
      <c r="C2553" s="339" t="str">
        <f>IFERROR(__xludf.DUMMYFUNCTION("""COMPUTED_VALUE"""),"10.18653--v1--2023.acl-long.864.pdf")</f>
        <v>10.18653--v1--2023.acl-long.864.pdf</v>
      </c>
      <c r="D2553" s="159" t="str">
        <f>IFERROR(__xludf.DUMMYFUNCTION("""COMPUTED_VALUE"""),"application/pdf")</f>
        <v>application/pdf</v>
      </c>
    </row>
    <row r="2554">
      <c r="A2554" s="339" t="str">
        <f>IFERROR(__xludf.DUMMYFUNCTION("""COMPUTED_VALUE"""),"10.1075/ijcl.19131.lar")</f>
        <v>10.1075/ijcl.19131.lar</v>
      </c>
      <c r="B2554" s="445" t="str">
        <f>IFERROR(__xludf.DUMMYFUNCTION("""COMPUTED_VALUE"""),"https://drive.google.com/file/d/1L3C99-yf2u_ns_5h3EBhsSGtflOl3HOc/view?usp=drivesdk")</f>
        <v>https://drive.google.com/file/d/1L3C99-yf2u_ns_5h3EBhsSGtflOl3HOc/view?usp=drivesdk</v>
      </c>
      <c r="C2554" s="339" t="str">
        <f>IFERROR(__xludf.DUMMYFUNCTION("""COMPUTED_VALUE"""),"10.1075--ijcl.19131.lar.pdf.pdf")</f>
        <v>10.1075--ijcl.19131.lar.pdf.pdf</v>
      </c>
      <c r="D2554" s="159" t="str">
        <f>IFERROR(__xludf.DUMMYFUNCTION("""COMPUTED_VALUE"""),"application/pdf")</f>
        <v>application/pdf</v>
      </c>
    </row>
    <row r="2555">
      <c r="A2555" s="445" t="str">
        <f>IFERROR(__xludf.DUMMYFUNCTION("""COMPUTED_VALUE"""),"digitalcommons.memphis.edu/etd/3538")</f>
        <v>digitalcommons.memphis.edu/etd/3538</v>
      </c>
      <c r="B2555" s="445" t="str">
        <f>IFERROR(__xludf.DUMMYFUNCTION("""COMPUTED_VALUE"""),"https://drive.google.com/file/d/1mh0lOHypF2E9Nk9sQ57YmqKyEOyrqka8/view?usp=drivesdk")</f>
        <v>https://drive.google.com/file/d/1mh0lOHypF2E9Nk9sQ57YmqKyEOyrqka8/view?usp=drivesdk</v>
      </c>
      <c r="C2555" s="339" t="str">
        <f>IFERROR(__xludf.DUMMYFUNCTION("""COMPUTED_VALUE"""),"digitalcommons.memphis.edu--etd--3538.pdf")</f>
        <v>digitalcommons.memphis.edu--etd--3538.pdf</v>
      </c>
      <c r="D2555" s="159" t="str">
        <f>IFERROR(__xludf.DUMMYFUNCTION("""COMPUTED_VALUE"""),"application/pdf")</f>
        <v>application/pdf</v>
      </c>
    </row>
    <row r="2556">
      <c r="A2556" s="339" t="str">
        <f>IFERROR(__xludf.DUMMYFUNCTION("""COMPUTED_VALUE"""),"b16ebd43-f83b-42c9-9996-adf6735845c1")</f>
        <v>b16ebd43-f83b-42c9-9996-adf6735845c1</v>
      </c>
      <c r="B2556" s="445" t="str">
        <f>IFERROR(__xludf.DUMMYFUNCTION("""COMPUTED_VALUE"""),"https://drive.google.com/file/d/1hH6qE7kthoMhFZY570jnJq1nWfRd0uo-/view?usp=drivesdk")</f>
        <v>https://drive.google.com/file/d/1hH6qE7kthoMhFZY570jnJq1nWfRd0uo-/view?usp=drivesdk</v>
      </c>
      <c r="C2556" s="339" t="str">
        <f>IFERROR(__xludf.DUMMYFUNCTION("""COMPUTED_VALUE"""),"b16ebd43-f83b-42c9-9996-adf6735845c1.pdf")</f>
        <v>b16ebd43-f83b-42c9-9996-adf6735845c1.pdf</v>
      </c>
      <c r="D2556" s="159" t="str">
        <f>IFERROR(__xludf.DUMMYFUNCTION("""COMPUTED_VALUE"""),"application/pdf")</f>
        <v>application/pdf</v>
      </c>
    </row>
    <row r="2557">
      <c r="A2557" s="339" t="str">
        <f>IFERROR(__xludf.DUMMYFUNCTION("""COMPUTED_VALUE"""),"10.1075/resla.17019.loz")</f>
        <v>10.1075/resla.17019.loz</v>
      </c>
      <c r="B2557" s="445" t="str">
        <f>IFERROR(__xludf.DUMMYFUNCTION("""COMPUTED_VALUE"""),"https://drive.google.com/file/d/1h26KXyOgQpabChNDwArC5YlDBW4_cfve/view?usp=drivesdk")</f>
        <v>https://drive.google.com/file/d/1h26KXyOgQpabChNDwArC5YlDBW4_cfve/view?usp=drivesdk</v>
      </c>
      <c r="C2557" s="339" t="str">
        <f>IFERROR(__xludf.DUMMYFUNCTION("""COMPUTED_VALUE"""),"10.1075--resla.17019.loz.pdf")</f>
        <v>10.1075--resla.17019.loz.pdf</v>
      </c>
      <c r="D2557" s="159" t="str">
        <f>IFERROR(__xludf.DUMMYFUNCTION("""COMPUTED_VALUE"""),"application/pdf")</f>
        <v>application/pdf</v>
      </c>
    </row>
    <row r="2558">
      <c r="A2558" s="339" t="str">
        <f>IFERROR(__xludf.DUMMYFUNCTION("""COMPUTED_VALUE"""),"brooke, j. h. (1991). science and religion-some historical perspectives")</f>
        <v>brooke, j. h. (1991). science and religion-some historical perspectives</v>
      </c>
      <c r="B2558" s="445" t="str">
        <f>IFERROR(__xludf.DUMMYFUNCTION("""COMPUTED_VALUE"""),"https://drive.google.com/file/d/1BfaybP8V5w-BiT0TlcUAV03BKBkfzWla/view?usp=drivesdk")</f>
        <v>https://drive.google.com/file/d/1BfaybP8V5w-BiT0TlcUAV03BKBkfzWla/view?usp=drivesdk</v>
      </c>
      <c r="C2558" s="339" t="str">
        <f>IFERROR(__xludf.DUMMYFUNCTION("""COMPUTED_VALUE"""),"Brooke, J. H. (1991). Science and religion-Some historical perspectives.pdf")</f>
        <v>Brooke, J. H. (1991). Science and religion-Some historical perspectives.pdf</v>
      </c>
      <c r="D2558" s="159" t="str">
        <f>IFERROR(__xludf.DUMMYFUNCTION("""COMPUTED_VALUE"""),"application/pdf")</f>
        <v>application/pdf</v>
      </c>
    </row>
    <row r="2559">
      <c r="A2559" s="445" t="str">
        <f>IFERROR(__xludf.DUMMYFUNCTION("""COMPUTED_VALUE"""),"escholarship.org/uc/item/8p5673qn")</f>
        <v>escholarship.org/uc/item/8p5673qn</v>
      </c>
      <c r="B2559" s="445" t="str">
        <f>IFERROR(__xludf.DUMMYFUNCTION("""COMPUTED_VALUE"""),"https://drive.google.com/file/d/1lAHnrSuQxWM2CdT06_FM1GDBh9d6nNTe/view?usp=drivesdk")</f>
        <v>https://drive.google.com/file/d/1lAHnrSuQxWM2CdT06_FM1GDBh9d6nNTe/view?usp=drivesdk</v>
      </c>
      <c r="C2559" s="339" t="str">
        <f>IFERROR(__xludf.DUMMYFUNCTION("""COMPUTED_VALUE"""),"escholarship.org--uc--item--8p5673qn.pdf")</f>
        <v>escholarship.org--uc--item--8p5673qn.pdf</v>
      </c>
      <c r="D2559" s="159" t="str">
        <f>IFERROR(__xludf.DUMMYFUNCTION("""COMPUTED_VALUE"""),"application/pdf")</f>
        <v>application/pdf</v>
      </c>
    </row>
    <row r="2560">
      <c r="A2560" s="445" t="str">
        <f>IFERROR(__xludf.DUMMYFUNCTION("""COMPUTED_VALUE"""),"escholarship.org/uc/item/0qf9t9pc")</f>
        <v>escholarship.org/uc/item/0qf9t9pc</v>
      </c>
      <c r="B2560" s="445" t="str">
        <f>IFERROR(__xludf.DUMMYFUNCTION("""COMPUTED_VALUE"""),"https://drive.google.com/file/d/1vzu_sqHQexZD23Pac-duPSmK-pGIptlf/view?usp=drivesdk")</f>
        <v>https://drive.google.com/file/d/1vzu_sqHQexZD23Pac-duPSmK-pGIptlf/view?usp=drivesdk</v>
      </c>
      <c r="C2560" s="339" t="str">
        <f>IFERROR(__xludf.DUMMYFUNCTION("""COMPUTED_VALUE"""),"escholarship.org--uc--item--0qf9t9pc.pdf")</f>
        <v>escholarship.org--uc--item--0qf9t9pc.pdf</v>
      </c>
      <c r="D2560" s="159" t="str">
        <f>IFERROR(__xludf.DUMMYFUNCTION("""COMPUTED_VALUE"""),"application/pdf")</f>
        <v>application/pdf</v>
      </c>
    </row>
    <row r="2561">
      <c r="A2561" s="339" t="str">
        <f>IFERROR(__xludf.DUMMYFUNCTION("""COMPUTED_VALUE"""),"10.16995/zygon.11497")</f>
        <v>10.16995/zygon.11497</v>
      </c>
      <c r="B2561" s="445" t="str">
        <f>IFERROR(__xludf.DUMMYFUNCTION("""COMPUTED_VALUE"""),"https://drive.google.com/file/d/1xNa3snr_hhHjS7pnwFaA2tVxjB_0VvqW/view?usp=drivesdk")</f>
        <v>https://drive.google.com/file/d/1xNa3snr_hhHjS7pnwFaA2tVxjB_0VvqW/view?usp=drivesdk</v>
      </c>
      <c r="C2561" s="339" t="str">
        <f>IFERROR(__xludf.DUMMYFUNCTION("""COMPUTED_VALUE"""),"10.16995--zygon.11497.pdf")</f>
        <v>10.16995--zygon.11497.pdf</v>
      </c>
      <c r="D2561" s="159" t="str">
        <f>IFERROR(__xludf.DUMMYFUNCTION("""COMPUTED_VALUE"""),"application/pdf")</f>
        <v>application/pdf</v>
      </c>
    </row>
    <row r="2562">
      <c r="A2562" s="339" t="str">
        <f>IFERROR(__xludf.DUMMYFUNCTION("""COMPUTED_VALUE"""),"10.1038/s41598-024-61469-6")</f>
        <v>10.1038/s41598-024-61469-6</v>
      </c>
      <c r="B2562" s="445" t="str">
        <f>IFERROR(__xludf.DUMMYFUNCTION("""COMPUTED_VALUE"""),"https://drive.google.com/file/d/1TtkPI6YvV3JyoWKI8Z0FTVrehrNka7__/view?usp=drivesdk")</f>
        <v>https://drive.google.com/file/d/1TtkPI6YvV3JyoWKI8Z0FTVrehrNka7__/view?usp=drivesdk</v>
      </c>
      <c r="C2562" s="339" t="str">
        <f>IFERROR(__xludf.DUMMYFUNCTION("""COMPUTED_VALUE"""),"10.1038--s41598-024-61469-6.pdf")</f>
        <v>10.1038--s41598-024-61469-6.pdf</v>
      </c>
      <c r="D2562" s="159" t="str">
        <f>IFERROR(__xludf.DUMMYFUNCTION("""COMPUTED_VALUE"""),"application/pdf")</f>
        <v>application/pdf</v>
      </c>
    </row>
    <row r="2563">
      <c r="A2563" s="339" t="str">
        <f>IFERROR(__xludf.DUMMYFUNCTION("""COMPUTED_VALUE"""),"10.31234/osf.io/kpcwv")</f>
        <v>10.31234/osf.io/kpcwv</v>
      </c>
      <c r="B2563" s="445" t="str">
        <f>IFERROR(__xludf.DUMMYFUNCTION("""COMPUTED_VALUE"""),"https://drive.google.com/file/d/1Eufb0NfIAz03c6rDvfbVDbjGjjReVYgi/view?usp=drivesdk")</f>
        <v>https://drive.google.com/file/d/1Eufb0NfIAz03c6rDvfbVDbjGjjReVYgi/view?usp=drivesdk</v>
      </c>
      <c r="C2563" s="339" t="str">
        <f>IFERROR(__xludf.DUMMYFUNCTION("""COMPUTED_VALUE"""),"10.31234--osf.io--kpcwv.pdf")</f>
        <v>10.31234--osf.io--kpcwv.pdf</v>
      </c>
      <c r="D2563" s="159" t="str">
        <f>IFERROR(__xludf.DUMMYFUNCTION("""COMPUTED_VALUE"""),"application/pdf")</f>
        <v>application/pdf</v>
      </c>
    </row>
    <row r="2564">
      <c r="A2564" s="339" t="str">
        <f>IFERROR(__xludf.DUMMYFUNCTION("""COMPUTED_VALUE"""),"10.3233/jad-2009-1163")</f>
        <v>10.3233/jad-2009-1163</v>
      </c>
      <c r="B2564" s="445" t="str">
        <f>IFERROR(__xludf.DUMMYFUNCTION("""COMPUTED_VALUE"""),"https://drive.google.com/file/d/10IpKBTm-TxBYPtbdDzTDyVDz6z5jT5CF/view?usp=drivesdk")</f>
        <v>https://drive.google.com/file/d/10IpKBTm-TxBYPtbdDzTDyVDz6z5jT5CF/view?usp=drivesdk</v>
      </c>
      <c r="C2564" s="339" t="str">
        <f>IFERROR(__xludf.DUMMYFUNCTION("""COMPUTED_VALUE"""),"10.3233--JAD-2009-1163.pdf")</f>
        <v>10.3233--JAD-2009-1163.pdf</v>
      </c>
      <c r="D2564" s="159" t="str">
        <f>IFERROR(__xludf.DUMMYFUNCTION("""COMPUTED_VALUE"""),"application/pdf")</f>
        <v>application/pdf</v>
      </c>
    </row>
    <row r="2565">
      <c r="A2565" s="339" t="str">
        <f>IFERROR(__xludf.DUMMYFUNCTION("""COMPUTED_VALUE"""),"10.5465/amproc.2024.19578abstract")</f>
        <v>10.5465/amproc.2024.19578abstract</v>
      </c>
      <c r="B2565" s="445" t="str">
        <f>IFERROR(__xludf.DUMMYFUNCTION("""COMPUTED_VALUE"""),"https://drive.google.com/file/d/1H6X8VsyVixAViuUZ-S2dfj2OJm-VwYrl/view?usp=drivesdk")</f>
        <v>https://drive.google.com/file/d/1H6X8VsyVixAViuUZ-S2dfj2OJm-VwYrl/view?usp=drivesdk</v>
      </c>
      <c r="C2565" s="339" t="str">
        <f>IFERROR(__xludf.DUMMYFUNCTION("""COMPUTED_VALUE"""),"10.5465--AMPROC.2024.19578abstract.pdf")</f>
        <v>10.5465--AMPROC.2024.19578abstract.pdf</v>
      </c>
      <c r="D2565" s="159" t="str">
        <f>IFERROR(__xludf.DUMMYFUNCTION("""COMPUTED_VALUE"""),"application/pdf")</f>
        <v>application/pdf</v>
      </c>
    </row>
    <row r="2566">
      <c r="A2566" s="339" t="str">
        <f>IFERROR(__xludf.DUMMYFUNCTION("""COMPUTED_VALUE"""),"10.1037/0022-3514.73.2.321")</f>
        <v>10.1037/0022-3514.73.2.321</v>
      </c>
      <c r="B2566" s="445" t="str">
        <f>IFERROR(__xludf.DUMMYFUNCTION("""COMPUTED_VALUE"""),"https://drive.google.com/file/d/1-zejzHs_827BE5ay0BYTDFjpuHdy5VLk/view?usp=drivesdk")</f>
        <v>https://drive.google.com/file/d/1-zejzHs_827BE5ay0BYTDFjpuHdy5VLk/view?usp=drivesdk</v>
      </c>
      <c r="C2566" s="339" t="str">
        <f>IFERROR(__xludf.DUMMYFUNCTION("""COMPUTED_VALUE"""),"10.1037--0022-3514.73.2.321.pdf")</f>
        <v>10.1037--0022-3514.73.2.321.pdf</v>
      </c>
      <c r="D2566" s="159" t="str">
        <f>IFERROR(__xludf.DUMMYFUNCTION("""COMPUTED_VALUE"""),"application/pdf")</f>
        <v>application/pdf</v>
      </c>
    </row>
    <row r="2567">
      <c r="A2567" s="339" t="str">
        <f>IFERROR(__xludf.DUMMYFUNCTION("""COMPUTED_VALUE"""),"10.1016/j.learninstruc.2018.04.006")</f>
        <v>10.1016/j.learninstruc.2018.04.006</v>
      </c>
      <c r="B2567" s="445" t="str">
        <f>IFERROR(__xludf.DUMMYFUNCTION("""COMPUTED_VALUE"""),"https://drive.google.com/file/d/1woJDHccS6Df_7DkKmeLElCzqxpjoRtns/view?usp=drivesdk")</f>
        <v>https://drive.google.com/file/d/1woJDHccS6Df_7DkKmeLElCzqxpjoRtns/view?usp=drivesdk</v>
      </c>
      <c r="C2567" s="339" t="str">
        <f>IFERROR(__xludf.DUMMYFUNCTION("""COMPUTED_VALUE"""),"10.1016--j.learninstruc.2018.04.006.pdf")</f>
        <v>10.1016--j.learninstruc.2018.04.006.pdf</v>
      </c>
      <c r="D2567" s="159" t="str">
        <f>IFERROR(__xludf.DUMMYFUNCTION("""COMPUTED_VALUE"""),"application/pdf")</f>
        <v>application/pdf</v>
      </c>
    </row>
    <row r="2568">
      <c r="A2568" s="339" t="str">
        <f>IFERROR(__xludf.DUMMYFUNCTION("""COMPUTED_VALUE"""),"10.1016/j.cortex.2014.02.013")</f>
        <v>10.1016/j.cortex.2014.02.013</v>
      </c>
      <c r="B2568" s="445" t="str">
        <f>IFERROR(__xludf.DUMMYFUNCTION("""COMPUTED_VALUE"""),"https://drive.google.com/file/d/13vglHZTPgv6z9W5xPGWG5OyE_h91M3UK/view?usp=drivesdk")</f>
        <v>https://drive.google.com/file/d/13vglHZTPgv6z9W5xPGWG5OyE_h91M3UK/view?usp=drivesdk</v>
      </c>
      <c r="C2568" s="339" t="str">
        <f>IFERROR(__xludf.DUMMYFUNCTION("""COMPUTED_VALUE"""),"10.1016--j.cortex.2014.02.013.pdf")</f>
        <v>10.1016--j.cortex.2014.02.013.pdf</v>
      </c>
      <c r="D2568" s="159" t="str">
        <f>IFERROR(__xludf.DUMMYFUNCTION("""COMPUTED_VALUE"""),"application/pdf")</f>
        <v>application/pdf</v>
      </c>
    </row>
    <row r="2569">
      <c r="A2569" s="339" t="str">
        <f>IFERROR(__xludf.DUMMYFUNCTION("""COMPUTED_VALUE"""),"10.1080/10439463.2017.1342644")</f>
        <v>10.1080/10439463.2017.1342644</v>
      </c>
      <c r="B2569" s="445" t="str">
        <f>IFERROR(__xludf.DUMMYFUNCTION("""COMPUTED_VALUE"""),"https://drive.google.com/file/d/1tExO9xgJVhPwCnVdP8xlqn7faKujVADN/view?usp=drivesdk")</f>
        <v>https://drive.google.com/file/d/1tExO9xgJVhPwCnVdP8xlqn7faKujVADN/view?usp=drivesdk</v>
      </c>
      <c r="C2569" s="339" t="str">
        <f>IFERROR(__xludf.DUMMYFUNCTION("""COMPUTED_VALUE"""),"10.1080--10439463.2017.1342644.pdf")</f>
        <v>10.1080--10439463.2017.1342644.pdf</v>
      </c>
      <c r="D2569" s="159" t="str">
        <f>IFERROR(__xludf.DUMMYFUNCTION("""COMPUTED_VALUE"""),"application/pdf")</f>
        <v>application/pdf</v>
      </c>
    </row>
    <row r="2570">
      <c r="A2570" s="339" t="str">
        <f>IFERROR(__xludf.DUMMYFUNCTION("""COMPUTED_VALUE"""),"10.3758/bf03211160")</f>
        <v>10.3758/bf03211160</v>
      </c>
      <c r="B2570" s="445" t="str">
        <f>IFERROR(__xludf.DUMMYFUNCTION("""COMPUTED_VALUE"""),"https://drive.google.com/file/d/1BtYypYyY-PzT4y8FLAgHXAyFQwMz4y2O/view?usp=drivesdk")</f>
        <v>https://drive.google.com/file/d/1BtYypYyY-PzT4y8FLAgHXAyFQwMz4y2O/view?usp=drivesdk</v>
      </c>
      <c r="C2570" s="339" t="str">
        <f>IFERROR(__xludf.DUMMYFUNCTION("""COMPUTED_VALUE"""),"10.3758--BF03211160.pdf")</f>
        <v>10.3758--BF03211160.pdf</v>
      </c>
      <c r="D2570" s="159" t="str">
        <f>IFERROR(__xludf.DUMMYFUNCTION("""COMPUTED_VALUE"""),"application/pdf")</f>
        <v>application/pdf</v>
      </c>
    </row>
    <row r="2571">
      <c r="A2571" s="339" t="str">
        <f>IFERROR(__xludf.DUMMYFUNCTION("""COMPUTED_VALUE"""),"10.1126/science.7455683")</f>
        <v>10.1126/science.7455683</v>
      </c>
      <c r="B2571" s="445" t="str">
        <f>IFERROR(__xludf.DUMMYFUNCTION("""COMPUTED_VALUE"""),"https://drive.google.com/file/d/1KdKryH9Qx-Olx2xYcWf9zZPlU9JsWLmq/view?usp=drivesdk")</f>
        <v>https://drive.google.com/file/d/1KdKryH9Qx-Olx2xYcWf9zZPlU9JsWLmq/view?usp=drivesdk</v>
      </c>
      <c r="C2571" s="339" t="str">
        <f>IFERROR(__xludf.DUMMYFUNCTION("""COMPUTED_VALUE"""),"10.1126--science.7455683.pdf")</f>
        <v>10.1126--science.7455683.pdf</v>
      </c>
      <c r="D2571" s="159" t="str">
        <f>IFERROR(__xludf.DUMMYFUNCTION("""COMPUTED_VALUE"""),"application/pdf")</f>
        <v>application/pdf</v>
      </c>
    </row>
    <row r="2572">
      <c r="A2572" s="339" t="str">
        <f>IFERROR(__xludf.DUMMYFUNCTION("""COMPUTED_VALUE"""),"10.1037/a0025345")</f>
        <v>10.1037/a0025345</v>
      </c>
      <c r="B2572" s="445" t="str">
        <f>IFERROR(__xludf.DUMMYFUNCTION("""COMPUTED_VALUE"""),"https://drive.google.com/file/d/1Dm7RxWVN3iiT5GipgY8Gq3dl65EkIYDu/view?usp=drivesdk")</f>
        <v>https://drive.google.com/file/d/1Dm7RxWVN3iiT5GipgY8Gq3dl65EkIYDu/view?usp=drivesdk</v>
      </c>
      <c r="C2572" s="339" t="str">
        <f>IFERROR(__xludf.DUMMYFUNCTION("""COMPUTED_VALUE"""),"10.1037--a0025345.pdf")</f>
        <v>10.1037--a0025345.pdf</v>
      </c>
      <c r="D2572" s="159" t="str">
        <f>IFERROR(__xludf.DUMMYFUNCTION("""COMPUTED_VALUE"""),"application/pdf")</f>
        <v>application/pdf</v>
      </c>
    </row>
    <row r="2573">
      <c r="A2573" s="339" t="str">
        <f>IFERROR(__xludf.DUMMYFUNCTION("""COMPUTED_VALUE"""),"10.2307/25148791")</f>
        <v>10.2307/25148791</v>
      </c>
      <c r="B2573" s="445" t="str">
        <f>IFERROR(__xludf.DUMMYFUNCTION("""COMPUTED_VALUE"""),"https://drive.google.com/file/d/1R2VrRXYyejGfSg11kpe_vHbQr5DvYbiJ/view?usp=drivesdk")</f>
        <v>https://drive.google.com/file/d/1R2VrRXYyejGfSg11kpe_vHbQr5DvYbiJ/view?usp=drivesdk</v>
      </c>
      <c r="C2573" s="339" t="str">
        <f>IFERROR(__xludf.DUMMYFUNCTION("""COMPUTED_VALUE"""),"10.2307--25148791.pdf")</f>
        <v>10.2307--25148791.pdf</v>
      </c>
      <c r="D2573" s="159" t="str">
        <f>IFERROR(__xludf.DUMMYFUNCTION("""COMPUTED_VALUE"""),"application/pdf")</f>
        <v>application/pdf</v>
      </c>
    </row>
    <row r="2574">
      <c r="A2574" s="339" t="str">
        <f>IFERROR(__xludf.DUMMYFUNCTION("""COMPUTED_VALUE"""),"10.1111/j.1467-9922.2008.00446.x")</f>
        <v>10.1111/j.1467-9922.2008.00446.x</v>
      </c>
      <c r="B2574" s="445" t="str">
        <f>IFERROR(__xludf.DUMMYFUNCTION("""COMPUTED_VALUE"""),"https://drive.google.com/file/d/1hFEIf9480JaK6TvFzb55CWH_AxeInkTB/view?usp=drivesdk")</f>
        <v>https://drive.google.com/file/d/1hFEIf9480JaK6TvFzb55CWH_AxeInkTB/view?usp=drivesdk</v>
      </c>
      <c r="C2574" s="339" t="str">
        <f>IFERROR(__xludf.DUMMYFUNCTION("""COMPUTED_VALUE"""),"10.1111--j.1467-9922.2008.00446.x.pdf")</f>
        <v>10.1111--j.1467-9922.2008.00446.x.pdf</v>
      </c>
      <c r="D2574" s="159" t="str">
        <f>IFERROR(__xludf.DUMMYFUNCTION("""COMPUTED_VALUE"""),"application/pdf")</f>
        <v>application/pdf</v>
      </c>
    </row>
    <row r="2575">
      <c r="A2575" s="339" t="str">
        <f>IFERROR(__xludf.DUMMYFUNCTION("""COMPUTED_VALUE"""),"10.1111/j.1467-9280.2007.01961.x")</f>
        <v>10.1111/j.1467-9280.2007.01961.x</v>
      </c>
      <c r="B2575" s="445" t="str">
        <f>IFERROR(__xludf.DUMMYFUNCTION("""COMPUTED_VALUE"""),"https://drive.google.com/file/d/1XHPKfkBsPhF-1p8BH_npxrU-1vPB8MEe/view?usp=drivesdk")</f>
        <v>https://drive.google.com/file/d/1XHPKfkBsPhF-1p8BH_npxrU-1vPB8MEe/view?usp=drivesdk</v>
      </c>
      <c r="C2575" s="339" t="str">
        <f>IFERROR(__xludf.DUMMYFUNCTION("""COMPUTED_VALUE"""),"10.1111--j.1467-9280.2007.01961.x.pdf")</f>
        <v>10.1111--j.1467-9280.2007.01961.x.pdf</v>
      </c>
      <c r="D2575" s="159" t="str">
        <f>IFERROR(__xludf.DUMMYFUNCTION("""COMPUTED_VALUE"""),"application/pdf")</f>
        <v>application/pdf</v>
      </c>
    </row>
    <row r="2576">
      <c r="A2576" s="339" t="str">
        <f>IFERROR(__xludf.DUMMYFUNCTION("""COMPUTED_VALUE"""),"10.1111/j.1467-9280.2006.01721.x")</f>
        <v>10.1111/j.1467-9280.2006.01721.x</v>
      </c>
      <c r="B2576" s="445" t="str">
        <f>IFERROR(__xludf.DUMMYFUNCTION("""COMPUTED_VALUE"""),"https://drive.google.com/file/d/14JiPB9PULLRpSMDZtQ3_0LhPcWDH6OCz/view?usp=drivesdk")</f>
        <v>https://drive.google.com/file/d/14JiPB9PULLRpSMDZtQ3_0LhPcWDH6OCz/view?usp=drivesdk</v>
      </c>
      <c r="C2576" s="339" t="str">
        <f>IFERROR(__xludf.DUMMYFUNCTION("""COMPUTED_VALUE"""),"10.1111--j.1467-9280.2006.01721.x.pdf")</f>
        <v>10.1111--j.1467-9280.2006.01721.x.pdf</v>
      </c>
      <c r="D2576" s="159" t="str">
        <f>IFERROR(__xludf.DUMMYFUNCTION("""COMPUTED_VALUE"""),"application/pdf")</f>
        <v>application/pdf</v>
      </c>
    </row>
    <row r="2577">
      <c r="A2577" s="339" t="str">
        <f>IFERROR(__xludf.DUMMYFUNCTION("""COMPUTED_VALUE"""),"10.1016/s1057-0810(99)00041-4")</f>
        <v>10.1016/s1057-0810(99)00041-4</v>
      </c>
      <c r="B2577" s="445" t="str">
        <f>IFERROR(__xludf.DUMMYFUNCTION("""COMPUTED_VALUE"""),"https://drive.google.com/file/d/10fOdFQUiEeA-wgKC0-KooJXci0dSR4z2/view?usp=drivesdk")</f>
        <v>https://drive.google.com/file/d/10fOdFQUiEeA-wgKC0-KooJXci0dSR4z2/view?usp=drivesdk</v>
      </c>
      <c r="C2577" s="339" t="str">
        <f>IFERROR(__xludf.DUMMYFUNCTION("""COMPUTED_VALUE"""),"10.1016--S1057-0810(99)00041-4.pdf")</f>
        <v>10.1016--S1057-0810(99)00041-4.pdf</v>
      </c>
      <c r="D2577" s="159" t="str">
        <f>IFERROR(__xludf.DUMMYFUNCTION("""COMPUTED_VALUE"""),"application/pdf")</f>
        <v>application/pdf</v>
      </c>
    </row>
    <row r="2578">
      <c r="A2578" s="339" t="str">
        <f>IFERROR(__xludf.DUMMYFUNCTION("""COMPUTED_VALUE"""),"10.1037/a0024608")</f>
        <v>10.1037/a0024608</v>
      </c>
      <c r="B2578" s="445" t="str">
        <f>IFERROR(__xludf.DUMMYFUNCTION("""COMPUTED_VALUE"""),"https://drive.google.com/file/d/1NhDoKUWqFTe51Dk7ZjfZTxJFNUFzigwr/view?usp=drivesdk")</f>
        <v>https://drive.google.com/file/d/1NhDoKUWqFTe51Dk7ZjfZTxJFNUFzigwr/view?usp=drivesdk</v>
      </c>
      <c r="C2578" s="339" t="str">
        <f>IFERROR(__xludf.DUMMYFUNCTION("""COMPUTED_VALUE"""),"10.1037--a0024608.pdf")</f>
        <v>10.1037--a0024608.pdf</v>
      </c>
      <c r="D2578" s="159" t="str">
        <f>IFERROR(__xludf.DUMMYFUNCTION("""COMPUTED_VALUE"""),"application/pdf")</f>
        <v>application/pdf</v>
      </c>
    </row>
    <row r="2579">
      <c r="A2579" s="339" t="str">
        <f>IFERROR(__xludf.DUMMYFUNCTION("""COMPUTED_VALUE"""),"10.1111/jsm.12192")</f>
        <v>10.1111/jsm.12192</v>
      </c>
      <c r="B2579" s="445" t="str">
        <f>IFERROR(__xludf.DUMMYFUNCTION("""COMPUTED_VALUE"""),"https://drive.google.com/file/d/1L-LARd7ZRX1JGh3UR9K0BHsrkgo2wADv/view?usp=drivesdk")</f>
        <v>https://drive.google.com/file/d/1L-LARd7ZRX1JGh3UR9K0BHsrkgo2wADv/view?usp=drivesdk</v>
      </c>
      <c r="C2579" s="339" t="str">
        <f>IFERROR(__xludf.DUMMYFUNCTION("""COMPUTED_VALUE"""),"10.1111--jsm.12192.pdf")</f>
        <v>10.1111--jsm.12192.pdf</v>
      </c>
      <c r="D2579" s="159" t="str">
        <f>IFERROR(__xludf.DUMMYFUNCTION("""COMPUTED_VALUE"""),"application/pdf")</f>
        <v>application/pdf</v>
      </c>
    </row>
    <row r="2580">
      <c r="A2580" s="339" t="str">
        <f>IFERROR(__xludf.DUMMYFUNCTION("""COMPUTED_VALUE"""),"10.3138/cmlr.65.3.395")</f>
        <v>10.3138/cmlr.65.3.395</v>
      </c>
      <c r="B2580" s="445" t="str">
        <f>IFERROR(__xludf.DUMMYFUNCTION("""COMPUTED_VALUE"""),"https://drive.google.com/file/d/19ZhWLN_zymp-mzX14YC7jEv-MHZn0Qb4/view?usp=drivesdk")</f>
        <v>https://drive.google.com/file/d/19ZhWLN_zymp-mzX14YC7jEv-MHZn0Qb4/view?usp=drivesdk</v>
      </c>
      <c r="C2580" s="339" t="str">
        <f>IFERROR(__xludf.DUMMYFUNCTION("""COMPUTED_VALUE"""),"10.3138--cmlr.65.3.395.pdf")</f>
        <v>10.3138--cmlr.65.3.395.pdf</v>
      </c>
      <c r="D2580" s="159" t="str">
        <f>IFERROR(__xludf.DUMMYFUNCTION("""COMPUTED_VALUE"""),"application/pdf")</f>
        <v>application/pdf</v>
      </c>
    </row>
    <row r="2581">
      <c r="A2581" s="339" t="str">
        <f>IFERROR(__xludf.DUMMYFUNCTION("""COMPUTED_VALUE"""),"10.1111/j.1467-9221.2005.00416.x")</f>
        <v>10.1111/j.1467-9221.2005.00416.x</v>
      </c>
      <c r="B2581" s="445" t="str">
        <f>IFERROR(__xludf.DUMMYFUNCTION("""COMPUTED_VALUE"""),"https://drive.google.com/file/d/1bkTnTMpWLlh3SgTVNkQvjTSRhQmvFwtP/view?usp=drivesdk")</f>
        <v>https://drive.google.com/file/d/1bkTnTMpWLlh3SgTVNkQvjTSRhQmvFwtP/view?usp=drivesdk</v>
      </c>
      <c r="C2581" s="339" t="str">
        <f>IFERROR(__xludf.DUMMYFUNCTION("""COMPUTED_VALUE"""),"10.1111--j.1467-9221.2005.00416.x.pdf")</f>
        <v>10.1111--j.1467-9221.2005.00416.x.pdf</v>
      </c>
      <c r="D2581" s="159" t="str">
        <f>IFERROR(__xludf.DUMMYFUNCTION("""COMPUTED_VALUE"""),"application/pdf")</f>
        <v>application/pdf</v>
      </c>
    </row>
    <row r="2582">
      <c r="A2582" s="339" t="str">
        <f>IFERROR(__xludf.DUMMYFUNCTION("""COMPUTED_VALUE"""),"10.1002/soej.12223")</f>
        <v>10.1002/soej.12223</v>
      </c>
      <c r="B2582" s="445" t="str">
        <f>IFERROR(__xludf.DUMMYFUNCTION("""COMPUTED_VALUE"""),"https://drive.google.com/file/d/1MSm1yoidPn8M-5atsMIFyyg354c4jcsA/view?usp=drivesdk")</f>
        <v>https://drive.google.com/file/d/1MSm1yoidPn8M-5atsMIFyyg354c4jcsA/view?usp=drivesdk</v>
      </c>
      <c r="C2582" s="339" t="str">
        <f>IFERROR(__xludf.DUMMYFUNCTION("""COMPUTED_VALUE"""),"10.1002--soej.12223.pdf")</f>
        <v>10.1002--soej.12223.pdf</v>
      </c>
      <c r="D2582" s="159" t="str">
        <f>IFERROR(__xludf.DUMMYFUNCTION("""COMPUTED_VALUE"""),"application/pdf")</f>
        <v>application/pdf</v>
      </c>
    </row>
    <row r="2583">
      <c r="A2583" s="339" t="str">
        <f>IFERROR(__xludf.DUMMYFUNCTION("""COMPUTED_VALUE"""),"10.1162/rest_a_00258")</f>
        <v>10.1162/rest_a_00258</v>
      </c>
      <c r="B2583" s="445" t="str">
        <f>IFERROR(__xludf.DUMMYFUNCTION("""COMPUTED_VALUE"""),"https://drive.google.com/file/d/11AH2LlIZsd9ZFfFjWFxFf5MBHzmbtt8i/view?usp=drivesdk")</f>
        <v>https://drive.google.com/file/d/11AH2LlIZsd9ZFfFjWFxFf5MBHzmbtt8i/view?usp=drivesdk</v>
      </c>
      <c r="C2583" s="339" t="str">
        <f>IFERROR(__xludf.DUMMYFUNCTION("""COMPUTED_VALUE"""),"10.1162--REST_a_00258.pdf")</f>
        <v>10.1162--REST_a_00258.pdf</v>
      </c>
      <c r="D2583" s="159" t="str">
        <f>IFERROR(__xludf.DUMMYFUNCTION("""COMPUTED_VALUE"""),"application/pdf")</f>
        <v>application/pdf</v>
      </c>
    </row>
    <row r="2584">
      <c r="A2584" s="339" t="str">
        <f>IFERROR(__xludf.DUMMYFUNCTION("""COMPUTED_VALUE"""),"10.1016/j.janxdis.2009.09.009")</f>
        <v>10.1016/j.janxdis.2009.09.009</v>
      </c>
      <c r="B2584" s="445" t="str">
        <f>IFERROR(__xludf.DUMMYFUNCTION("""COMPUTED_VALUE"""),"https://drive.google.com/file/d/1nf6pGq8hq9bbyslYCmBnDq_ApL1IsSNI/view?usp=drivesdk")</f>
        <v>https://drive.google.com/file/d/1nf6pGq8hq9bbyslYCmBnDq_ApL1IsSNI/view?usp=drivesdk</v>
      </c>
      <c r="C2584" s="339" t="str">
        <f>IFERROR(__xludf.DUMMYFUNCTION("""COMPUTED_VALUE"""),"10.1016--j.janxdis.2009.09.009.pdf")</f>
        <v>10.1016--j.janxdis.2009.09.009.pdf</v>
      </c>
      <c r="D2584" s="159" t="str">
        <f>IFERROR(__xludf.DUMMYFUNCTION("""COMPUTED_VALUE"""),"application/pdf")</f>
        <v>application/pdf</v>
      </c>
    </row>
    <row r="2585">
      <c r="A2585" s="339" t="str">
        <f>IFERROR(__xludf.DUMMYFUNCTION("""COMPUTED_VALUE"""),"10.1162/003355397555208")</f>
        <v>10.1162/003355397555208</v>
      </c>
      <c r="B2585" s="445" t="str">
        <f>IFERROR(__xludf.DUMMYFUNCTION("""COMPUTED_VALUE"""),"https://drive.google.com/file/d/1s-fD3MM9Vafr2eJtS0aNAfCBK-RY3Yo-/view?usp=drivesdk")</f>
        <v>https://drive.google.com/file/d/1s-fD3MM9Vafr2eJtS0aNAfCBK-RY3Yo-/view?usp=drivesdk</v>
      </c>
      <c r="C2585" s="339" t="str">
        <f>IFERROR(__xludf.DUMMYFUNCTION("""COMPUTED_VALUE"""),"10.1162--003355397555208.pdf")</f>
        <v>10.1162--003355397555208.pdf</v>
      </c>
      <c r="D2585" s="159" t="str">
        <f>IFERROR(__xludf.DUMMYFUNCTION("""COMPUTED_VALUE"""),"application/pdf")</f>
        <v>application/pdf</v>
      </c>
    </row>
    <row r="2586">
      <c r="A2586" s="339" t="str">
        <f>IFERROR(__xludf.DUMMYFUNCTION("""COMPUTED_VALUE"""),"10.1002/smj.201")</f>
        <v>10.1002/smj.201</v>
      </c>
      <c r="B2586" s="445" t="str">
        <f>IFERROR(__xludf.DUMMYFUNCTION("""COMPUTED_VALUE"""),"https://drive.google.com/file/d/1QkWM8jiVqpN5vc_zuD8HexJx-ED2mGF0/view?usp=drivesdk")</f>
        <v>https://drive.google.com/file/d/1QkWM8jiVqpN5vc_zuD8HexJx-ED2mGF0/view?usp=drivesdk</v>
      </c>
      <c r="C2586" s="339" t="str">
        <f>IFERROR(__xludf.DUMMYFUNCTION("""COMPUTED_VALUE"""),"10.1002--smj.201.pdf")</f>
        <v>10.1002--smj.201.pdf</v>
      </c>
      <c r="D2586" s="159" t="str">
        <f>IFERROR(__xludf.DUMMYFUNCTION("""COMPUTED_VALUE"""),"application/pdf")</f>
        <v>application/pdf</v>
      </c>
    </row>
    <row r="2587">
      <c r="A2587" s="339" t="str">
        <f>IFERROR(__xludf.DUMMYFUNCTION("""COMPUTED_VALUE"""),"10.1177/1948550611432938")</f>
        <v>10.1177/1948550611432938</v>
      </c>
      <c r="B2587" s="445" t="str">
        <f>IFERROR(__xludf.DUMMYFUNCTION("""COMPUTED_VALUE"""),"https://drive.google.com/file/d/1H6qRZ24gIkLnBRWVbjI2jgKRf4KnrPQh/view?usp=drivesdk")</f>
        <v>https://drive.google.com/file/d/1H6qRZ24gIkLnBRWVbjI2jgKRf4KnrPQh/view?usp=drivesdk</v>
      </c>
      <c r="C2587" s="339" t="str">
        <f>IFERROR(__xludf.DUMMYFUNCTION("""COMPUTED_VALUE"""),"10.1177--1948550611432938.pdf")</f>
        <v>10.1177--1948550611432938.pdf</v>
      </c>
      <c r="D2587" s="159" t="str">
        <f>IFERROR(__xludf.DUMMYFUNCTION("""COMPUTED_VALUE"""),"application/pdf")</f>
        <v>application/pdf</v>
      </c>
    </row>
    <row r="2588">
      <c r="A2588" s="339" t="str">
        <f>IFERROR(__xludf.DUMMYFUNCTION("""COMPUTED_VALUE"""),"10.1017/s1355617717001059")</f>
        <v>10.1017/s1355617717001059</v>
      </c>
      <c r="B2588" s="445" t="str">
        <f>IFERROR(__xludf.DUMMYFUNCTION("""COMPUTED_VALUE"""),"https://drive.google.com/file/d/1EKnIsw-dolmmk1-6Kle0hKb5-wtcqfmw/view?usp=drivesdk")</f>
        <v>https://drive.google.com/file/d/1EKnIsw-dolmmk1-6Kle0hKb5-wtcqfmw/view?usp=drivesdk</v>
      </c>
      <c r="C2588" s="339" t="str">
        <f>IFERROR(__xludf.DUMMYFUNCTION("""COMPUTED_VALUE"""),"10.1017--S1355617717001059.pdf")</f>
        <v>10.1017--S1355617717001059.pdf</v>
      </c>
      <c r="D2588" s="159" t="str">
        <f>IFERROR(__xludf.DUMMYFUNCTION("""COMPUTED_VALUE"""),"application/pdf")</f>
        <v>application/pdf</v>
      </c>
    </row>
    <row r="2589">
      <c r="A2589" s="339" t="str">
        <f>IFERROR(__xludf.DUMMYFUNCTION("""COMPUTED_VALUE"""),"10.1016/j.jpsychires.2008.07.004")</f>
        <v>10.1016/j.jpsychires.2008.07.004</v>
      </c>
      <c r="B2589" s="445" t="str">
        <f>IFERROR(__xludf.DUMMYFUNCTION("""COMPUTED_VALUE"""),"https://drive.google.com/file/d/1gOWd02cezb5MHlIvhprXv-TgaFt5Ij8f/view?usp=drivesdk")</f>
        <v>https://drive.google.com/file/d/1gOWd02cezb5MHlIvhprXv-TgaFt5Ij8f/view?usp=drivesdk</v>
      </c>
      <c r="C2589" s="339" t="str">
        <f>IFERROR(__xludf.DUMMYFUNCTION("""COMPUTED_VALUE"""),"10.1016--j.jpsychires.2008.07.004.pdf")</f>
        <v>10.1016--j.jpsychires.2008.07.004.pdf</v>
      </c>
      <c r="D2589" s="159" t="str">
        <f>IFERROR(__xludf.DUMMYFUNCTION("""COMPUTED_VALUE"""),"application/pdf")</f>
        <v>application/pdf</v>
      </c>
    </row>
    <row r="2590">
      <c r="A2590" s="339" t="str">
        <f>IFERROR(__xludf.DUMMYFUNCTION("""COMPUTED_VALUE"""),"10.1017/s0272263114000126")</f>
        <v>10.1017/s0272263114000126</v>
      </c>
      <c r="B2590" s="445" t="str">
        <f>IFERROR(__xludf.DUMMYFUNCTION("""COMPUTED_VALUE"""),"https://drive.google.com/file/d/1rAL0rmM0jbf9S7uX5DiL77r3bNeTGrOY/view?usp=drivesdk")</f>
        <v>https://drive.google.com/file/d/1rAL0rmM0jbf9S7uX5DiL77r3bNeTGrOY/view?usp=drivesdk</v>
      </c>
      <c r="C2590" s="339" t="str">
        <f>IFERROR(__xludf.DUMMYFUNCTION("""COMPUTED_VALUE"""),"10.1017--S0272263114000126.pdf")</f>
        <v>10.1017--S0272263114000126.pdf</v>
      </c>
      <c r="D2590" s="159" t="str">
        <f>IFERROR(__xludf.DUMMYFUNCTION("""COMPUTED_VALUE"""),"application/pdf")</f>
        <v>application/pdf</v>
      </c>
    </row>
    <row r="2591">
      <c r="A2591" s="339" t="str">
        <f>IFERROR(__xludf.DUMMYFUNCTION("""COMPUTED_VALUE"""),"10.1111/j.1540-5885.2010.00778.x")</f>
        <v>10.1111/j.1540-5885.2010.00778.x</v>
      </c>
      <c r="B2591" s="445" t="str">
        <f>IFERROR(__xludf.DUMMYFUNCTION("""COMPUTED_VALUE"""),"https://drive.google.com/file/d/1NV42SOubbZFwoBVl2IhhGw3jTa6CF1Ns/view?usp=drivesdk")</f>
        <v>https://drive.google.com/file/d/1NV42SOubbZFwoBVl2IhhGw3jTa6CF1Ns/view?usp=drivesdk</v>
      </c>
      <c r="C2591" s="339" t="str">
        <f>IFERROR(__xludf.DUMMYFUNCTION("""COMPUTED_VALUE"""),"10.1111--j.1540-5885.2010.00778.x.pdf")</f>
        <v>10.1111--j.1540-5885.2010.00778.x.pdf</v>
      </c>
      <c r="D2591" s="159" t="str">
        <f>IFERROR(__xludf.DUMMYFUNCTION("""COMPUTED_VALUE"""),"application/pdf")</f>
        <v>application/pdf</v>
      </c>
    </row>
    <row r="2592">
      <c r="A2592" s="339" t="str">
        <f>IFERROR(__xludf.DUMMYFUNCTION("""COMPUTED_VALUE"""),"10.1901/jaba.2003.36-21")</f>
        <v>10.1901/jaba.2003.36-21</v>
      </c>
      <c r="B2592" s="445" t="str">
        <f>IFERROR(__xludf.DUMMYFUNCTION("""COMPUTED_VALUE"""),"https://drive.google.com/file/d/1Oai9bOqOxT4qWyEsbh965271cRgAplwZ/view?usp=drivesdk")</f>
        <v>https://drive.google.com/file/d/1Oai9bOqOxT4qWyEsbh965271cRgAplwZ/view?usp=drivesdk</v>
      </c>
      <c r="C2592" s="339" t="str">
        <f>IFERROR(__xludf.DUMMYFUNCTION("""COMPUTED_VALUE"""),"10.1901--jaba.2003.36-21.pdf")</f>
        <v>10.1901--jaba.2003.36-21.pdf</v>
      </c>
      <c r="D2592" s="159" t="str">
        <f>IFERROR(__xludf.DUMMYFUNCTION("""COMPUTED_VALUE"""),"application/pdf")</f>
        <v>application/pdf</v>
      </c>
    </row>
    <row r="2593">
      <c r="A2593" s="339" t="str">
        <f>IFERROR(__xludf.DUMMYFUNCTION("""COMPUTED_VALUE"""),"10.1016/j.econedurev.2005.05.008")</f>
        <v>10.1016/j.econedurev.2005.05.008</v>
      </c>
      <c r="B2593" s="445" t="str">
        <f>IFERROR(__xludf.DUMMYFUNCTION("""COMPUTED_VALUE"""),"https://drive.google.com/file/d/1jEnrVGc2PxWYnqqR5b5QggE9HgY-tjOC/view?usp=drivesdk")</f>
        <v>https://drive.google.com/file/d/1jEnrVGc2PxWYnqqR5b5QggE9HgY-tjOC/view?usp=drivesdk</v>
      </c>
      <c r="C2593" s="339" t="str">
        <f>IFERROR(__xludf.DUMMYFUNCTION("""COMPUTED_VALUE"""),"10.1016--j.econedurev.2005.05.008.pdf")</f>
        <v>10.1016--j.econedurev.2005.05.008.pdf</v>
      </c>
      <c r="D2593" s="159" t="str">
        <f>IFERROR(__xludf.DUMMYFUNCTION("""COMPUTED_VALUE"""),"application/pdf")</f>
        <v>application/pdf</v>
      </c>
    </row>
    <row r="2594">
      <c r="A2594" s="339" t="str">
        <f>IFERROR(__xludf.DUMMYFUNCTION("""COMPUTED_VALUE"""),"10.1089/cyber.2015.0311")</f>
        <v>10.1089/cyber.2015.0311</v>
      </c>
      <c r="B2594" s="445" t="str">
        <f>IFERROR(__xludf.DUMMYFUNCTION("""COMPUTED_VALUE"""),"https://drive.google.com/file/d/1UOcUsx-QUxFrulQIBnkUuR_13YgQP2Vd/view?usp=drivesdk")</f>
        <v>https://drive.google.com/file/d/1UOcUsx-QUxFrulQIBnkUuR_13YgQP2Vd/view?usp=drivesdk</v>
      </c>
      <c r="C2594" s="339" t="str">
        <f>IFERROR(__xludf.DUMMYFUNCTION("""COMPUTED_VALUE"""),"10.1089--cyber.2015.0311.pdf")</f>
        <v>10.1089--cyber.2015.0311.pdf</v>
      </c>
      <c r="D2594" s="159" t="str">
        <f>IFERROR(__xludf.DUMMYFUNCTION("""COMPUTED_VALUE"""),"application/pdf")</f>
        <v>application/pdf</v>
      </c>
    </row>
    <row r="2595">
      <c r="A2595" s="339" t="str">
        <f>IFERROR(__xludf.DUMMYFUNCTION("""COMPUTED_VALUE"""),"10.1111/1467-6281.00073")</f>
        <v>10.1111/1467-6281.00073</v>
      </c>
      <c r="B2595" s="445" t="str">
        <f>IFERROR(__xludf.DUMMYFUNCTION("""COMPUTED_VALUE"""),"https://drive.google.com/file/d/1Bqp5tbqcsNPKH_QuWEI9mWZ1-DAWptGv/view?usp=drivesdk")</f>
        <v>https://drive.google.com/file/d/1Bqp5tbqcsNPKH_QuWEI9mWZ1-DAWptGv/view?usp=drivesdk</v>
      </c>
      <c r="C2595" s="339" t="str">
        <f>IFERROR(__xludf.DUMMYFUNCTION("""COMPUTED_VALUE"""),"10.1111--1467-6281.00073.pdf")</f>
        <v>10.1111--1467-6281.00073.pdf</v>
      </c>
      <c r="D2595" s="159" t="str">
        <f>IFERROR(__xludf.DUMMYFUNCTION("""COMPUTED_VALUE"""),"application/pdf")</f>
        <v>application/pdf</v>
      </c>
    </row>
    <row r="2596">
      <c r="A2596" s="339" t="str">
        <f>IFERROR(__xludf.DUMMYFUNCTION("""COMPUTED_VALUE"""),"10.1016/j.system.2004.01.001")</f>
        <v>10.1016/j.system.2004.01.001</v>
      </c>
      <c r="B2596" s="445" t="str">
        <f>IFERROR(__xludf.DUMMYFUNCTION("""COMPUTED_VALUE"""),"https://drive.google.com/file/d/1c0WTQTFC6wVjO3perznTR_rfzhpTPGnJ/view?usp=drivesdk")</f>
        <v>https://drive.google.com/file/d/1c0WTQTFC6wVjO3perznTR_rfzhpTPGnJ/view?usp=drivesdk</v>
      </c>
      <c r="C2596" s="339" t="str">
        <f>IFERROR(__xludf.DUMMYFUNCTION("""COMPUTED_VALUE"""),"10.1016--j.system.2004.01.001.pdf")</f>
        <v>10.1016--j.system.2004.01.001.pdf</v>
      </c>
      <c r="D2596" s="159" t="str">
        <f>IFERROR(__xludf.DUMMYFUNCTION("""COMPUTED_VALUE"""),"application/pdf")</f>
        <v>application/pdf</v>
      </c>
    </row>
    <row r="2597">
      <c r="A2597" s="339" t="str">
        <f>IFERROR(__xludf.DUMMYFUNCTION("""COMPUTED_VALUE"""),"10.1016/j.chiabu.2017.09.022")</f>
        <v>10.1016/j.chiabu.2017.09.022</v>
      </c>
      <c r="B2597" s="445" t="str">
        <f>IFERROR(__xludf.DUMMYFUNCTION("""COMPUTED_VALUE"""),"https://drive.google.com/file/d/1F5qGa541IZsvA8V-NJg1vkR_g716Ph_8/view?usp=drivesdk")</f>
        <v>https://drive.google.com/file/d/1F5qGa541IZsvA8V-NJg1vkR_g716Ph_8/view?usp=drivesdk</v>
      </c>
      <c r="C2597" s="339" t="str">
        <f>IFERROR(__xludf.DUMMYFUNCTION("""COMPUTED_VALUE"""),"10.1016--j.chiabu.2017.09.022.pdf")</f>
        <v>10.1016--j.chiabu.2017.09.022.pdf</v>
      </c>
      <c r="D2597" s="159" t="str">
        <f>IFERROR(__xludf.DUMMYFUNCTION("""COMPUTED_VALUE"""),"application/pdf")</f>
        <v>application/pdf</v>
      </c>
    </row>
    <row r="2598">
      <c r="A2598" s="339" t="str">
        <f>IFERROR(__xludf.DUMMYFUNCTION("""COMPUTED_VALUE"""),"10.1521/soco.2008.26.2.143")</f>
        <v>10.1521/soco.2008.26.2.143</v>
      </c>
      <c r="B2598" s="445" t="str">
        <f>IFERROR(__xludf.DUMMYFUNCTION("""COMPUTED_VALUE"""),"https://drive.google.com/file/d/1ChpFRMejJzL2Sh9so-302icQ-YIJSCTh/view?usp=drivesdk")</f>
        <v>https://drive.google.com/file/d/1ChpFRMejJzL2Sh9so-302icQ-YIJSCTh/view?usp=drivesdk</v>
      </c>
      <c r="C2598" s="339" t="str">
        <f>IFERROR(__xludf.DUMMYFUNCTION("""COMPUTED_VALUE"""),"10.1521--soco.2008.26.2.143.pdf")</f>
        <v>10.1521--soco.2008.26.2.143.pdf</v>
      </c>
      <c r="D2598" s="159" t="str">
        <f>IFERROR(__xludf.DUMMYFUNCTION("""COMPUTED_VALUE"""),"application/pdf")</f>
        <v>application/pdf</v>
      </c>
    </row>
    <row r="2599">
      <c r="A2599" s="339" t="str">
        <f>IFERROR(__xludf.DUMMYFUNCTION("""COMPUTED_VALUE"""),"10.1111/j.1469-8986.2010.01081.x")</f>
        <v>10.1111/j.1469-8986.2010.01081.x</v>
      </c>
      <c r="B2599" s="445" t="str">
        <f>IFERROR(__xludf.DUMMYFUNCTION("""COMPUTED_VALUE"""),"https://drive.google.com/file/d/1IpGgGfnAQY5wd1rLKDy5RnBFHMi3I5x4/view?usp=drivesdk")</f>
        <v>https://drive.google.com/file/d/1IpGgGfnAQY5wd1rLKDy5RnBFHMi3I5x4/view?usp=drivesdk</v>
      </c>
      <c r="C2599" s="339" t="str">
        <f>IFERROR(__xludf.DUMMYFUNCTION("""COMPUTED_VALUE"""),"10.1111--j.1469-8986.2010.01081.x.pdf")</f>
        <v>10.1111--j.1469-8986.2010.01081.x.pdf</v>
      </c>
      <c r="D2599" s="159" t="str">
        <f>IFERROR(__xludf.DUMMYFUNCTION("""COMPUTED_VALUE"""),"application/pdf")</f>
        <v>application/pdf</v>
      </c>
    </row>
    <row r="2600">
      <c r="A2600" s="339" t="str">
        <f>IFERROR(__xludf.DUMMYFUNCTION("""COMPUTED_VALUE"""),"10.1145/3105726.3106182")</f>
        <v>10.1145/3105726.3106182</v>
      </c>
      <c r="B2600" s="445" t="str">
        <f>IFERROR(__xludf.DUMMYFUNCTION("""COMPUTED_VALUE"""),"https://drive.google.com/file/d/1wq7-2vqDvzteuPzlUspBQRdnaX3rmhA1/view?usp=drivesdk")</f>
        <v>https://drive.google.com/file/d/1wq7-2vqDvzteuPzlUspBQRdnaX3rmhA1/view?usp=drivesdk</v>
      </c>
      <c r="C2600" s="339" t="str">
        <f>IFERROR(__xludf.DUMMYFUNCTION("""COMPUTED_VALUE"""),"10.1145--3105726.3106182.pdf")</f>
        <v>10.1145--3105726.3106182.pdf</v>
      </c>
      <c r="D2600" s="159" t="str">
        <f>IFERROR(__xludf.DUMMYFUNCTION("""COMPUTED_VALUE"""),"application/pdf")</f>
        <v>application/pdf</v>
      </c>
    </row>
    <row r="2601">
      <c r="A2601" s="339" t="str">
        <f>IFERROR(__xludf.DUMMYFUNCTION("""COMPUTED_VALUE"""),"10.1521/pedi.2011.25.4.492")</f>
        <v>10.1521/pedi.2011.25.4.492</v>
      </c>
      <c r="B2601" s="445" t="str">
        <f>IFERROR(__xludf.DUMMYFUNCTION("""COMPUTED_VALUE"""),"https://drive.google.com/file/d/1Ce-dl4nRjbQONXIAPX6wZN3ilxDwxEty/view?usp=drivesdk")</f>
        <v>https://drive.google.com/file/d/1Ce-dl4nRjbQONXIAPX6wZN3ilxDwxEty/view?usp=drivesdk</v>
      </c>
      <c r="C2601" s="339" t="str">
        <f>IFERROR(__xludf.DUMMYFUNCTION("""COMPUTED_VALUE"""),"10.1521--pedi.2011.25.4.492.pdf")</f>
        <v>10.1521--pedi.2011.25.4.492.pdf</v>
      </c>
      <c r="D2601" s="159" t="str">
        <f>IFERROR(__xludf.DUMMYFUNCTION("""COMPUTED_VALUE"""),"application/pdf")</f>
        <v>application/pdf</v>
      </c>
    </row>
    <row r="2602">
      <c r="A2602" s="339" t="str">
        <f>IFERROR(__xludf.DUMMYFUNCTION("""COMPUTED_VALUE"""),"10.1002/jeab.432")</f>
        <v>10.1002/jeab.432</v>
      </c>
      <c r="B2602" s="445" t="str">
        <f>IFERROR(__xludf.DUMMYFUNCTION("""COMPUTED_VALUE"""),"https://drive.google.com/file/d/1oqwZUfEfzfjGZaYk1A2E8B-PU-AQ6SKz/view?usp=drivesdk")</f>
        <v>https://drive.google.com/file/d/1oqwZUfEfzfjGZaYk1A2E8B-PU-AQ6SKz/view?usp=drivesdk</v>
      </c>
      <c r="C2602" s="339" t="str">
        <f>IFERROR(__xludf.DUMMYFUNCTION("""COMPUTED_VALUE"""),"10.1002--jeab.432.pdf")</f>
        <v>10.1002--jeab.432.pdf</v>
      </c>
      <c r="D2602" s="159" t="str">
        <f>IFERROR(__xludf.DUMMYFUNCTION("""COMPUTED_VALUE"""),"application/pdf")</f>
        <v>application/pdf</v>
      </c>
    </row>
    <row r="2603">
      <c r="A2603" s="339" t="str">
        <f>IFERROR(__xludf.DUMMYFUNCTION("""COMPUTED_VALUE"""),"10.3102/0013189x13507104")</f>
        <v>10.3102/0013189x13507104</v>
      </c>
      <c r="B2603" s="445" t="str">
        <f>IFERROR(__xludf.DUMMYFUNCTION("""COMPUTED_VALUE"""),"https://drive.google.com/file/d/1mMbXlq0wHwW3u94B3l_0KZ3_2GsCObmh/view?usp=drivesdk")</f>
        <v>https://drive.google.com/file/d/1mMbXlq0wHwW3u94B3l_0KZ3_2GsCObmh/view?usp=drivesdk</v>
      </c>
      <c r="C2603" s="339" t="str">
        <f>IFERROR(__xludf.DUMMYFUNCTION("""COMPUTED_VALUE"""),"10.3102--0013189X13507104.pdf")</f>
        <v>10.3102--0013189X13507104.pdf</v>
      </c>
      <c r="D2603" s="159" t="str">
        <f>IFERROR(__xludf.DUMMYFUNCTION("""COMPUTED_VALUE"""),"application/pdf")</f>
        <v>application/pdf</v>
      </c>
    </row>
    <row r="2604">
      <c r="A2604" s="339" t="str">
        <f>IFERROR(__xludf.DUMMYFUNCTION("""COMPUTED_VALUE"""),"10.1016/j.euroecorev.2004.01.004")</f>
        <v>10.1016/j.euroecorev.2004.01.004</v>
      </c>
      <c r="B2604" s="445" t="str">
        <f>IFERROR(__xludf.DUMMYFUNCTION("""COMPUTED_VALUE"""),"https://drive.google.com/file/d/1EqvEPwgwndawziGmIPqgl3yNKOI51OAS/view?usp=drivesdk")</f>
        <v>https://drive.google.com/file/d/1EqvEPwgwndawziGmIPqgl3yNKOI51OAS/view?usp=drivesdk</v>
      </c>
      <c r="C2604" s="339" t="str">
        <f>IFERROR(__xludf.DUMMYFUNCTION("""COMPUTED_VALUE"""),"10.1016--j.euroecorev.2004.01.004.pdf")</f>
        <v>10.1016--j.euroecorev.2004.01.004.pdf</v>
      </c>
      <c r="D2604" s="159" t="str">
        <f>IFERROR(__xludf.DUMMYFUNCTION("""COMPUTED_VALUE"""),"application/pdf")</f>
        <v>application/pdf</v>
      </c>
    </row>
    <row r="2605">
      <c r="A2605" s="339" t="str">
        <f>IFERROR(__xludf.DUMMYFUNCTION("""COMPUTED_VALUE"""),"10.1017/s1366728914000273")</f>
        <v>10.1017/s1366728914000273</v>
      </c>
      <c r="B2605" s="445" t="str">
        <f>IFERROR(__xludf.DUMMYFUNCTION("""COMPUTED_VALUE"""),"https://drive.google.com/file/d/1Baedt_RF56dAcd90mHgk4WyAWq0rNUNl/view?usp=drivesdk")</f>
        <v>https://drive.google.com/file/d/1Baedt_RF56dAcd90mHgk4WyAWq0rNUNl/view?usp=drivesdk</v>
      </c>
      <c r="C2605" s="339" t="str">
        <f>IFERROR(__xludf.DUMMYFUNCTION("""COMPUTED_VALUE"""),"10.1017--S1366728914000273.pdf")</f>
        <v>10.1017--S1366728914000273.pdf</v>
      </c>
      <c r="D2605" s="159" t="str">
        <f>IFERROR(__xludf.DUMMYFUNCTION("""COMPUTED_VALUE"""),"application/pdf")</f>
        <v>application/pdf</v>
      </c>
    </row>
    <row r="2606">
      <c r="A2606" s="339" t="str">
        <f>IFERROR(__xludf.DUMMYFUNCTION("""COMPUTED_VALUE"""),"10.1086/648381")</f>
        <v>10.1086/648381</v>
      </c>
      <c r="B2606" s="445" t="str">
        <f>IFERROR(__xludf.DUMMYFUNCTION("""COMPUTED_VALUE"""),"https://drive.google.com/file/d/14GutnAtB1f13xcVqwnhfc_-RMT6AP_5B/view?usp=drivesdk")</f>
        <v>https://drive.google.com/file/d/14GutnAtB1f13xcVqwnhfc_-RMT6AP_5B/view?usp=drivesdk</v>
      </c>
      <c r="C2606" s="339" t="str">
        <f>IFERROR(__xludf.DUMMYFUNCTION("""COMPUTED_VALUE"""),"10.1086--648381.pdf")</f>
        <v>10.1086--648381.pdf</v>
      </c>
      <c r="D2606" s="159" t="str">
        <f>IFERROR(__xludf.DUMMYFUNCTION("""COMPUTED_VALUE"""),"application/pdf")</f>
        <v>application/pdf</v>
      </c>
    </row>
    <row r="2607">
      <c r="A2607" s="339" t="str">
        <f>IFERROR(__xludf.DUMMYFUNCTION("""COMPUTED_VALUE"""),"10.1177/0146167209351435")</f>
        <v>10.1177/0146167209351435</v>
      </c>
      <c r="B2607" s="445" t="str">
        <f>IFERROR(__xludf.DUMMYFUNCTION("""COMPUTED_VALUE"""),"https://drive.google.com/file/d/1HPzVmIEplGhQvmWHdVz2IsB9vdc6FFNn/view?usp=drivesdk")</f>
        <v>https://drive.google.com/file/d/1HPzVmIEplGhQvmWHdVz2IsB9vdc6FFNn/view?usp=drivesdk</v>
      </c>
      <c r="C2607" s="339" t="str">
        <f>IFERROR(__xludf.DUMMYFUNCTION("""COMPUTED_VALUE"""),"10.1177--0146167209351435.pdf")</f>
        <v>10.1177--0146167209351435.pdf</v>
      </c>
      <c r="D2607" s="159" t="str">
        <f>IFERROR(__xludf.DUMMYFUNCTION("""COMPUTED_VALUE"""),"application/pdf")</f>
        <v>application/pdf</v>
      </c>
    </row>
    <row r="2608">
      <c r="A2608" s="339" t="str">
        <f>IFERROR(__xludf.DUMMYFUNCTION("""COMPUTED_VALUE"""),"10.1016/j.cedpsych.2009.06.005")</f>
        <v>10.1016/j.cedpsych.2009.06.005</v>
      </c>
      <c r="B2608" s="445" t="str">
        <f>IFERROR(__xludf.DUMMYFUNCTION("""COMPUTED_VALUE"""),"https://drive.google.com/file/d/148Py_oykj0pRS0KX5Nz43ePS1GIo-Y5B/view?usp=drivesdk")</f>
        <v>https://drive.google.com/file/d/148Py_oykj0pRS0KX5Nz43ePS1GIo-Y5B/view?usp=drivesdk</v>
      </c>
      <c r="C2608" s="339" t="str">
        <f>IFERROR(__xludf.DUMMYFUNCTION("""COMPUTED_VALUE"""),"10.1016--j.cedpsych.2009.06.005.pdf")</f>
        <v>10.1016--j.cedpsych.2009.06.005.pdf</v>
      </c>
      <c r="D2608" s="159" t="str">
        <f>IFERROR(__xludf.DUMMYFUNCTION("""COMPUTED_VALUE"""),"application/pdf")</f>
        <v>application/pdf</v>
      </c>
    </row>
    <row r="2609">
      <c r="A2609" s="339" t="str">
        <f>IFERROR(__xludf.DUMMYFUNCTION("""COMPUTED_VALUE"""),"10.1111/0023-8333.00112")</f>
        <v>10.1111/0023-8333.00112</v>
      </c>
      <c r="B2609" s="445" t="str">
        <f>IFERROR(__xludf.DUMMYFUNCTION("""COMPUTED_VALUE"""),"https://drive.google.com/file/d/1jZTNlQnL0TIaQEtiJ7d2O9yOJIbibVXq/view?usp=drivesdk")</f>
        <v>https://drive.google.com/file/d/1jZTNlQnL0TIaQEtiJ7d2O9yOJIbibVXq/view?usp=drivesdk</v>
      </c>
      <c r="C2609" s="339" t="str">
        <f>IFERROR(__xludf.DUMMYFUNCTION("""COMPUTED_VALUE"""),"10.1111--0023-8333.00112.pdf")</f>
        <v>10.1111--0023-8333.00112.pdf</v>
      </c>
      <c r="D2609" s="159" t="str">
        <f>IFERROR(__xludf.DUMMYFUNCTION("""COMPUTED_VALUE"""),"application/pdf")</f>
        <v>application/pdf</v>
      </c>
    </row>
    <row r="2610">
      <c r="A2610" s="339" t="str">
        <f>IFERROR(__xludf.DUMMYFUNCTION("""COMPUTED_VALUE"""),"10.1086/678193")</f>
        <v>10.1086/678193</v>
      </c>
      <c r="B2610" s="445" t="str">
        <f>IFERROR(__xludf.DUMMYFUNCTION("""COMPUTED_VALUE"""),"https://drive.google.com/file/d/1qAWfV1gULW7jC5kaiPJ66v9N_6ujk9G3/view?usp=drivesdk")</f>
        <v>https://drive.google.com/file/d/1qAWfV1gULW7jC5kaiPJ66v9N_6ujk9G3/view?usp=drivesdk</v>
      </c>
      <c r="C2610" s="339" t="str">
        <f>IFERROR(__xludf.DUMMYFUNCTION("""COMPUTED_VALUE"""),"10.1086--678193.pdf")</f>
        <v>10.1086--678193.pdf</v>
      </c>
      <c r="D2610" s="159" t="str">
        <f>IFERROR(__xludf.DUMMYFUNCTION("""COMPUTED_VALUE"""),"application/pdf")</f>
        <v>application/pdf</v>
      </c>
    </row>
    <row r="2611">
      <c r="A2611" s="339" t="str">
        <f>IFERROR(__xludf.DUMMYFUNCTION("""COMPUTED_VALUE"""),"10.1016/j.psychres.2017.09.048")</f>
        <v>10.1016/j.psychres.2017.09.048</v>
      </c>
      <c r="B2611" s="445" t="str">
        <f>IFERROR(__xludf.DUMMYFUNCTION("""COMPUTED_VALUE"""),"https://drive.google.com/file/d/1bB5zAUL5oQPM2ClvdBCDeAd5AlkWVp4P/view?usp=drivesdk")</f>
        <v>https://drive.google.com/file/d/1bB5zAUL5oQPM2ClvdBCDeAd5AlkWVp4P/view?usp=drivesdk</v>
      </c>
      <c r="C2611" s="339" t="str">
        <f>IFERROR(__xludf.DUMMYFUNCTION("""COMPUTED_VALUE"""),"10.1016--j.psychres.2017.09.048.pdf")</f>
        <v>10.1016--j.psychres.2017.09.048.pdf</v>
      </c>
      <c r="D2611" s="159" t="str">
        <f>IFERROR(__xludf.DUMMYFUNCTION("""COMPUTED_VALUE"""),"application/pdf")</f>
        <v>application/pdf</v>
      </c>
    </row>
    <row r="2612">
      <c r="A2612" s="339" t="str">
        <f>IFERROR(__xludf.DUMMYFUNCTION("""COMPUTED_VALUE"""),"10.1037/abn0000277")</f>
        <v>10.1037/abn0000277</v>
      </c>
      <c r="B2612" s="445" t="str">
        <f>IFERROR(__xludf.DUMMYFUNCTION("""COMPUTED_VALUE"""),"https://drive.google.com/file/d/1YAtWuID9zn-v4RS7EAtlJ13NrBFRKnTI/view?usp=drivesdk")</f>
        <v>https://drive.google.com/file/d/1YAtWuID9zn-v4RS7EAtlJ13NrBFRKnTI/view?usp=drivesdk</v>
      </c>
      <c r="C2612" s="339" t="str">
        <f>IFERROR(__xludf.DUMMYFUNCTION("""COMPUTED_VALUE"""),"10.1037--abn0000277.pdf")</f>
        <v>10.1037--abn0000277.pdf</v>
      </c>
      <c r="D2612" s="159" t="str">
        <f>IFERROR(__xludf.DUMMYFUNCTION("""COMPUTED_VALUE"""),"application/pdf")</f>
        <v>application/pdf</v>
      </c>
    </row>
    <row r="2613">
      <c r="A2613" s="339" t="str">
        <f>IFERROR(__xludf.DUMMYFUNCTION("""COMPUTED_VALUE"""),"10.1111/psyp.12132")</f>
        <v>10.1111/psyp.12132</v>
      </c>
      <c r="B2613" s="445" t="str">
        <f>IFERROR(__xludf.DUMMYFUNCTION("""COMPUTED_VALUE"""),"https://drive.google.com/file/d/1-cST4Xer2glOXMG5eTrJVkRfofzfqFTW/view?usp=drivesdk")</f>
        <v>https://drive.google.com/file/d/1-cST4Xer2glOXMG5eTrJVkRfofzfqFTW/view?usp=drivesdk</v>
      </c>
      <c r="C2613" s="339" t="str">
        <f>IFERROR(__xludf.DUMMYFUNCTION("""COMPUTED_VALUE"""),"10.1111--psyp.12132.pdf")</f>
        <v>10.1111--psyp.12132.pdf</v>
      </c>
      <c r="D2613" s="159" t="str">
        <f>IFERROR(__xludf.DUMMYFUNCTION("""COMPUTED_VALUE"""),"application/pdf")</f>
        <v>application/pdf</v>
      </c>
    </row>
    <row r="2614">
      <c r="A2614" s="339" t="str">
        <f>IFERROR(__xludf.DUMMYFUNCTION("""COMPUTED_VALUE"""),"10.1016/j.visres.2006.11.013")</f>
        <v>10.1016/j.visres.2006.11.013</v>
      </c>
      <c r="B2614" s="445" t="str">
        <f>IFERROR(__xludf.DUMMYFUNCTION("""COMPUTED_VALUE"""),"https://drive.google.com/file/d/1YGUF0pymdL9VWFyddXUkyUtTNzhUn4kL/view?usp=drivesdk")</f>
        <v>https://drive.google.com/file/d/1YGUF0pymdL9VWFyddXUkyUtTNzhUn4kL/view?usp=drivesdk</v>
      </c>
      <c r="C2614" s="339" t="str">
        <f>IFERROR(__xludf.DUMMYFUNCTION("""COMPUTED_VALUE"""),"10.1016--j.visres.2006.11.013.pdf")</f>
        <v>10.1016--j.visres.2006.11.013.pdf</v>
      </c>
      <c r="D2614" s="159" t="str">
        <f>IFERROR(__xludf.DUMMYFUNCTION("""COMPUTED_VALUE"""),"application/pdf")</f>
        <v>application/pdf</v>
      </c>
    </row>
    <row r="2615">
      <c r="A2615" s="339" t="str">
        <f>IFERROR(__xludf.DUMMYFUNCTION("""COMPUTED_VALUE"""),"10.1111/lang.12161")</f>
        <v>10.1111/lang.12161</v>
      </c>
      <c r="B2615" s="445" t="str">
        <f>IFERROR(__xludf.DUMMYFUNCTION("""COMPUTED_VALUE"""),"https://drive.google.com/file/d/1W_KvsfbanYWBQG9nzoDuqDlzFW_jUYH2/view?usp=drivesdk")</f>
        <v>https://drive.google.com/file/d/1W_KvsfbanYWBQG9nzoDuqDlzFW_jUYH2/view?usp=drivesdk</v>
      </c>
      <c r="C2615" s="339" t="str">
        <f>IFERROR(__xludf.DUMMYFUNCTION("""COMPUTED_VALUE"""),"10.1111--lang.12161.pdf")</f>
        <v>10.1111--lang.12161.pdf</v>
      </c>
      <c r="D2615" s="159" t="str">
        <f>IFERROR(__xludf.DUMMYFUNCTION("""COMPUTED_VALUE"""),"application/pdf")</f>
        <v>application/pdf</v>
      </c>
    </row>
    <row r="2616">
      <c r="A2616" s="339" t="str">
        <f>IFERROR(__xludf.DUMMYFUNCTION("""COMPUTED_VALUE"""),"10.1177/0956797611402513")</f>
        <v>10.1177/0956797611402513</v>
      </c>
      <c r="B2616" s="445" t="str">
        <f>IFERROR(__xludf.DUMMYFUNCTION("""COMPUTED_VALUE"""),"https://drive.google.com/file/d/1qjg3dUl7eHUol7x5vvlFumz5qKGMMo-n/view?usp=drivesdk")</f>
        <v>https://drive.google.com/file/d/1qjg3dUl7eHUol7x5vvlFumz5qKGMMo-n/view?usp=drivesdk</v>
      </c>
      <c r="C2616" s="339" t="str">
        <f>IFERROR(__xludf.DUMMYFUNCTION("""COMPUTED_VALUE"""),"10.1177--0956797611402513.pdf")</f>
        <v>10.1177--0956797611402513.pdf</v>
      </c>
      <c r="D2616" s="159" t="str">
        <f>IFERROR(__xludf.DUMMYFUNCTION("""COMPUTED_VALUE"""),"application/pdf")</f>
        <v>application/pdf</v>
      </c>
    </row>
    <row r="2617">
      <c r="A2617" s="339" t="str">
        <f>IFERROR(__xludf.DUMMYFUNCTION("""COMPUTED_VALUE"""),"10.1177/0267658310386439")</f>
        <v>10.1177/0267658310386439</v>
      </c>
      <c r="B2617" s="445" t="str">
        <f>IFERROR(__xludf.DUMMYFUNCTION("""COMPUTED_VALUE"""),"https://drive.google.com/file/d/1c_xOizbgC83hFcsc5jmN-idvU1vfACNB/view?usp=drivesdk")</f>
        <v>https://drive.google.com/file/d/1c_xOizbgC83hFcsc5jmN-idvU1vfACNB/view?usp=drivesdk</v>
      </c>
      <c r="C2617" s="339" t="str">
        <f>IFERROR(__xludf.DUMMYFUNCTION("""COMPUTED_VALUE"""),"10.1177--0267658310386439.pdf")</f>
        <v>10.1177--0267658310386439.pdf</v>
      </c>
      <c r="D2617" s="159" t="str">
        <f>IFERROR(__xludf.DUMMYFUNCTION("""COMPUTED_VALUE"""),"application/pdf")</f>
        <v>application/pdf</v>
      </c>
    </row>
    <row r="2618">
      <c r="A2618" s="339" t="str">
        <f>IFERROR(__xludf.DUMMYFUNCTION("""COMPUTED_VALUE"""),"10.1177/2167702614545216")</f>
        <v>10.1177/2167702614545216</v>
      </c>
      <c r="B2618" s="445" t="str">
        <f>IFERROR(__xludf.DUMMYFUNCTION("""COMPUTED_VALUE"""),"https://drive.google.com/file/d/1lp6r_eHvrdDz_Jcksbt_MrMZQFC3hwy0/view?usp=drivesdk")</f>
        <v>https://drive.google.com/file/d/1lp6r_eHvrdDz_Jcksbt_MrMZQFC3hwy0/view?usp=drivesdk</v>
      </c>
      <c r="C2618" s="339" t="str">
        <f>IFERROR(__xludf.DUMMYFUNCTION("""COMPUTED_VALUE"""),"10.1177--2167702614545216.pdf")</f>
        <v>10.1177--2167702614545216.pdf</v>
      </c>
      <c r="D2618" s="159" t="str">
        <f>IFERROR(__xludf.DUMMYFUNCTION("""COMPUTED_VALUE"""),"application/pdf")</f>
        <v>application/pdf</v>
      </c>
    </row>
    <row r="2619">
      <c r="A2619" s="339" t="str">
        <f>IFERROR(__xludf.DUMMYFUNCTION("""COMPUTED_VALUE"""),"10.1002/pam.21702")</f>
        <v>10.1002/pam.21702</v>
      </c>
      <c r="B2619" s="445" t="str">
        <f>IFERROR(__xludf.DUMMYFUNCTION("""COMPUTED_VALUE"""),"https://drive.google.com/file/d/1NxD4srcP8NGAkHA1AWvYHXJLyf_l73EF/view?usp=drivesdk")</f>
        <v>https://drive.google.com/file/d/1NxD4srcP8NGAkHA1AWvYHXJLyf_l73EF/view?usp=drivesdk</v>
      </c>
      <c r="C2619" s="339" t="str">
        <f>IFERROR(__xludf.DUMMYFUNCTION("""COMPUTED_VALUE"""),"10.1002--pam.21702.pdf")</f>
        <v>10.1002--pam.21702.pdf</v>
      </c>
      <c r="D2619" s="159" t="str">
        <f>IFERROR(__xludf.DUMMYFUNCTION("""COMPUTED_VALUE"""),"application/pdf")</f>
        <v>application/pdf</v>
      </c>
    </row>
    <row r="2620">
      <c r="A2620" s="339" t="str">
        <f>IFERROR(__xludf.DUMMYFUNCTION("""COMPUTED_VALUE"""),"10.1016/j.learninstruc.2014.08.004")</f>
        <v>10.1016/j.learninstruc.2014.08.004</v>
      </c>
      <c r="B2620" s="445" t="str">
        <f>IFERROR(__xludf.DUMMYFUNCTION("""COMPUTED_VALUE"""),"https://drive.google.com/file/d/1dE7-AS0QPxKoPMyquy5WhD3ojjC80SWY/view?usp=drivesdk")</f>
        <v>https://drive.google.com/file/d/1dE7-AS0QPxKoPMyquy5WhD3ojjC80SWY/view?usp=drivesdk</v>
      </c>
      <c r="C2620" s="339" t="str">
        <f>IFERROR(__xludf.DUMMYFUNCTION("""COMPUTED_VALUE"""),"10.1016--j.learninstruc.2014.08.004.pdf")</f>
        <v>10.1016--j.learninstruc.2014.08.004.pdf</v>
      </c>
      <c r="D2620" s="159" t="str">
        <f>IFERROR(__xludf.DUMMYFUNCTION("""COMPUTED_VALUE"""),"application/pdf")</f>
        <v>application/pdf</v>
      </c>
    </row>
    <row r="2621">
      <c r="A2621" s="339" t="str">
        <f>IFERROR(__xludf.DUMMYFUNCTION("""COMPUTED_VALUE"""),"10.1162/rest.90.2.300")</f>
        <v>10.1162/rest.90.2.300</v>
      </c>
      <c r="B2621" s="445" t="str">
        <f>IFERROR(__xludf.DUMMYFUNCTION("""COMPUTED_VALUE"""),"https://drive.google.com/file/d/150VkxMJ6Qzq8PM52a6Vi7Y9e4ojtHPne/view?usp=drivesdk")</f>
        <v>https://drive.google.com/file/d/150VkxMJ6Qzq8PM52a6Vi7Y9e4ojtHPne/view?usp=drivesdk</v>
      </c>
      <c r="C2621" s="339" t="str">
        <f>IFERROR(__xludf.DUMMYFUNCTION("""COMPUTED_VALUE"""),"10.1162--rest.90.2.300.pdf")</f>
        <v>10.1162--rest.90.2.300.pdf</v>
      </c>
      <c r="D2621" s="159" t="str">
        <f>IFERROR(__xludf.DUMMYFUNCTION("""COMPUTED_VALUE"""),"application/pdf")</f>
        <v>application/pdf</v>
      </c>
    </row>
    <row r="2622">
      <c r="A2622" s="339" t="str">
        <f>IFERROR(__xludf.DUMMYFUNCTION("""COMPUTED_VALUE"""),"10.1007/s11858-016-0819-3")</f>
        <v>10.1007/s11858-016-0819-3</v>
      </c>
      <c r="B2622" s="445" t="str">
        <f>IFERROR(__xludf.DUMMYFUNCTION("""COMPUTED_VALUE"""),"https://drive.google.com/file/d/1A3A0XWewbvFp536VbiCjIAYxdIJwVP-9/view?usp=drivesdk")</f>
        <v>https://drive.google.com/file/d/1A3A0XWewbvFp536VbiCjIAYxdIJwVP-9/view?usp=drivesdk</v>
      </c>
      <c r="C2622" s="339" t="str">
        <f>IFERROR(__xludf.DUMMYFUNCTION("""COMPUTED_VALUE"""),"10.1007--s11858-016-0819-3.pdf")</f>
        <v>10.1007--s11858-016-0819-3.pdf</v>
      </c>
      <c r="D2622" s="159" t="str">
        <f>IFERROR(__xludf.DUMMYFUNCTION("""COMPUTED_VALUE"""),"application/pdf")</f>
        <v>application/pdf</v>
      </c>
    </row>
    <row r="2623">
      <c r="A2623" s="339" t="str">
        <f>IFERROR(__xludf.DUMMYFUNCTION("""COMPUTED_VALUE"""),"10.1016/j.compedu.2013.06.014")</f>
        <v>10.1016/j.compedu.2013.06.014</v>
      </c>
      <c r="B2623" s="445" t="str">
        <f>IFERROR(__xludf.DUMMYFUNCTION("""COMPUTED_VALUE"""),"https://drive.google.com/file/d/1Om0VtTokwrnUfKI5dbrEDRogkdHBeMRA/view?usp=drivesdk")</f>
        <v>https://drive.google.com/file/d/1Om0VtTokwrnUfKI5dbrEDRogkdHBeMRA/view?usp=drivesdk</v>
      </c>
      <c r="C2623" s="339" t="str">
        <f>IFERROR(__xludf.DUMMYFUNCTION("""COMPUTED_VALUE"""),"10.1016--j.compedu.2013.06.014.pdf")</f>
        <v>10.1016--j.compedu.2013.06.014.pdf</v>
      </c>
      <c r="D2623" s="159" t="str">
        <f>IFERROR(__xludf.DUMMYFUNCTION("""COMPUTED_VALUE"""),"application/pdf")</f>
        <v>application/pdf</v>
      </c>
    </row>
    <row r="2624">
      <c r="A2624" s="339" t="str">
        <f>IFERROR(__xludf.DUMMYFUNCTION("""COMPUTED_VALUE"""),"10.1177/0956797613478614")</f>
        <v>10.1177/0956797613478614</v>
      </c>
      <c r="B2624" s="445" t="str">
        <f>IFERROR(__xludf.DUMMYFUNCTION("""COMPUTED_VALUE"""),"https://drive.google.com/file/d/145Pa13zh5Prx2VW-au4YJBMHc37TXuej/view?usp=drivesdk")</f>
        <v>https://drive.google.com/file/d/145Pa13zh5Prx2VW-au4YJBMHc37TXuej/view?usp=drivesdk</v>
      </c>
      <c r="C2624" s="339" t="str">
        <f>IFERROR(__xludf.DUMMYFUNCTION("""COMPUTED_VALUE"""),"10.1177--0956797613478614.pdf")</f>
        <v>10.1177--0956797613478614.pdf</v>
      </c>
      <c r="D2624" s="159" t="str">
        <f>IFERROR(__xludf.DUMMYFUNCTION("""COMPUTED_VALUE"""),"application/pdf")</f>
        <v>application/pdf</v>
      </c>
    </row>
    <row r="2625">
      <c r="A2625" s="339" t="str">
        <f>IFERROR(__xludf.DUMMYFUNCTION("""COMPUTED_VALUE"""),"10.1007/s10857-015-9324-9")</f>
        <v>10.1007/s10857-015-9324-9</v>
      </c>
      <c r="B2625" s="445" t="str">
        <f>IFERROR(__xludf.DUMMYFUNCTION("""COMPUTED_VALUE"""),"https://drive.google.com/file/d/1JnjkuBqFgDqAEzZj1VnXDDzpULzqwUY4/view?usp=drivesdk")</f>
        <v>https://drive.google.com/file/d/1JnjkuBqFgDqAEzZj1VnXDDzpULzqwUY4/view?usp=drivesdk</v>
      </c>
      <c r="C2625" s="339" t="str">
        <f>IFERROR(__xludf.DUMMYFUNCTION("""COMPUTED_VALUE"""),"10.1007--s10857-015-9324-9.pdf")</f>
        <v>10.1007--s10857-015-9324-9.pdf</v>
      </c>
      <c r="D2625" s="159" t="str">
        <f>IFERROR(__xludf.DUMMYFUNCTION("""COMPUTED_VALUE"""),"application/pdf")</f>
        <v>application/pdf</v>
      </c>
    </row>
    <row r="2626">
      <c r="A2626" s="339" t="str">
        <f>IFERROR(__xludf.DUMMYFUNCTION("""COMPUTED_VALUE"""),"10.1016/j.jsams.2017.06.007")</f>
        <v>10.1016/j.jsams.2017.06.007</v>
      </c>
      <c r="B2626" s="445" t="str">
        <f>IFERROR(__xludf.DUMMYFUNCTION("""COMPUTED_VALUE"""),"https://drive.google.com/file/d/1bOamtHkDDCeR5rldqOBSgCXc_AFZb3yD/view?usp=drivesdk")</f>
        <v>https://drive.google.com/file/d/1bOamtHkDDCeR5rldqOBSgCXc_AFZb3yD/view?usp=drivesdk</v>
      </c>
      <c r="C2626" s="339" t="str">
        <f>IFERROR(__xludf.DUMMYFUNCTION("""COMPUTED_VALUE"""),"10.1016--j.jsams.2017.06.007.pdf")</f>
        <v>10.1016--j.jsams.2017.06.007.pdf</v>
      </c>
      <c r="D2626" s="159" t="str">
        <f>IFERROR(__xludf.DUMMYFUNCTION("""COMPUTED_VALUE"""),"application/pdf")</f>
        <v>application/pdf</v>
      </c>
    </row>
    <row r="2627">
      <c r="A2627" s="339" t="str">
        <f>IFERROR(__xludf.DUMMYFUNCTION("""COMPUTED_VALUE"""),"10.1037/0021-9010.77.4.419")</f>
        <v>10.1037/0021-9010.77.4.419</v>
      </c>
      <c r="B2627" s="445" t="str">
        <f>IFERROR(__xludf.DUMMYFUNCTION("""COMPUTED_VALUE"""),"https://drive.google.com/file/d/1XtfL3wumyr6mb9iCgCxuHmUHHvQhg4yN/view?usp=drivesdk")</f>
        <v>https://drive.google.com/file/d/1XtfL3wumyr6mb9iCgCxuHmUHHvQhg4yN/view?usp=drivesdk</v>
      </c>
      <c r="C2627" s="339" t="str">
        <f>IFERROR(__xludf.DUMMYFUNCTION("""COMPUTED_VALUE"""),"10.1037--0021-9010.77.4.419.pdf")</f>
        <v>10.1037--0021-9010.77.4.419.pdf</v>
      </c>
      <c r="D2627" s="159" t="str">
        <f>IFERROR(__xludf.DUMMYFUNCTION("""COMPUTED_VALUE"""),"application/pdf")</f>
        <v>application/pdf</v>
      </c>
    </row>
    <row r="2628">
      <c r="A2628" s="339" t="str">
        <f>IFERROR(__xludf.DUMMYFUNCTION("""COMPUTED_VALUE"""),"10.1006/obhd.1994.1063")</f>
        <v>10.1006/obhd.1994.1063</v>
      </c>
      <c r="B2628" s="445" t="str">
        <f>IFERROR(__xludf.DUMMYFUNCTION("""COMPUTED_VALUE"""),"https://drive.google.com/file/d/1S6Y_7EBTIU64tChcmNNePtGMO2jWzVGk/view?usp=drivesdk")</f>
        <v>https://drive.google.com/file/d/1S6Y_7EBTIU64tChcmNNePtGMO2jWzVGk/view?usp=drivesdk</v>
      </c>
      <c r="C2628" s="339" t="str">
        <f>IFERROR(__xludf.DUMMYFUNCTION("""COMPUTED_VALUE"""),"10.1006--obhd.1994.1063.pdf")</f>
        <v>10.1006--obhd.1994.1063.pdf</v>
      </c>
      <c r="D2628" s="159" t="str">
        <f>IFERROR(__xludf.DUMMYFUNCTION("""COMPUTED_VALUE"""),"application/pdf")</f>
        <v>application/pdf</v>
      </c>
    </row>
    <row r="2629">
      <c r="A2629" s="339" t="str">
        <f>IFERROR(__xludf.DUMMYFUNCTION("""COMPUTED_VALUE"""),"10.1016/j.learninstruc.2018.05.004")</f>
        <v>10.1016/j.learninstruc.2018.05.004</v>
      </c>
      <c r="B2629" s="445" t="str">
        <f>IFERROR(__xludf.DUMMYFUNCTION("""COMPUTED_VALUE"""),"https://drive.google.com/file/d/1GpQZNwn0thDz2IQRffeGzv6KDWQiKn_I/view?usp=drivesdk")</f>
        <v>https://drive.google.com/file/d/1GpQZNwn0thDz2IQRffeGzv6KDWQiKn_I/view?usp=drivesdk</v>
      </c>
      <c r="C2629" s="339" t="str">
        <f>IFERROR(__xludf.DUMMYFUNCTION("""COMPUTED_VALUE"""),"10.1016--j.learninstruc.2018.05.004.pdf")</f>
        <v>10.1016--j.learninstruc.2018.05.004.pdf</v>
      </c>
      <c r="D2629" s="159" t="str">
        <f>IFERROR(__xludf.DUMMYFUNCTION("""COMPUTED_VALUE"""),"application/pdf")</f>
        <v>application/pdf</v>
      </c>
    </row>
    <row r="2630">
      <c r="A2630" s="339" t="str">
        <f>IFERROR(__xludf.DUMMYFUNCTION("""COMPUTED_VALUE"""),"10.1016/j.jrp.2017.10.002")</f>
        <v>10.1016/j.jrp.2017.10.002</v>
      </c>
      <c r="B2630" s="445" t="str">
        <f>IFERROR(__xludf.DUMMYFUNCTION("""COMPUTED_VALUE"""),"https://drive.google.com/file/d/181zSSJL0lk7t_7R7qFXHj6EpNju7NEyy/view?usp=drivesdk")</f>
        <v>https://drive.google.com/file/d/181zSSJL0lk7t_7R7qFXHj6EpNju7NEyy/view?usp=drivesdk</v>
      </c>
      <c r="C2630" s="339" t="str">
        <f>IFERROR(__xludf.DUMMYFUNCTION("""COMPUTED_VALUE"""),"10.1016--j.jrp.2017.10.002.pdf")</f>
        <v>10.1016--j.jrp.2017.10.002.pdf</v>
      </c>
      <c r="D2630" s="159" t="str">
        <f>IFERROR(__xludf.DUMMYFUNCTION("""COMPUTED_VALUE"""),"application/pdf")</f>
        <v>application/pdf</v>
      </c>
    </row>
    <row r="2631">
      <c r="A2631" s="339" t="str">
        <f>IFERROR(__xludf.DUMMYFUNCTION("""COMPUTED_VALUE"""),"10.1037/a0019006")</f>
        <v>10.1037/a0019006</v>
      </c>
      <c r="B2631" s="445" t="str">
        <f>IFERROR(__xludf.DUMMYFUNCTION("""COMPUTED_VALUE"""),"https://drive.google.com/file/d/1PYhLwP6tdLfH-XKRuD0puhoFxy-sMmFS/view?usp=drivesdk")</f>
        <v>https://drive.google.com/file/d/1PYhLwP6tdLfH-XKRuD0puhoFxy-sMmFS/view?usp=drivesdk</v>
      </c>
      <c r="C2631" s="339" t="str">
        <f>IFERROR(__xludf.DUMMYFUNCTION("""COMPUTED_VALUE"""),"10.1037--a0019006.pdf")</f>
        <v>10.1037--a0019006.pdf</v>
      </c>
      <c r="D2631" s="159" t="str">
        <f>IFERROR(__xludf.DUMMYFUNCTION("""COMPUTED_VALUE"""),"application/pdf")</f>
        <v>application/pdf</v>
      </c>
    </row>
    <row r="2632">
      <c r="A2632" s="339" t="str">
        <f>IFERROR(__xludf.DUMMYFUNCTION("""COMPUTED_VALUE"""),"10.1002/(sici)1099-0771(199609)9:3%3c213::aid-bdm230%3e3.0.co;2-1")</f>
        <v>10.1002/(sici)1099-0771(199609)9:3%3c213::aid-bdm230%3e3.0.co;2-1</v>
      </c>
      <c r="B2632" s="445" t="str">
        <f>IFERROR(__xludf.DUMMYFUNCTION("""COMPUTED_VALUE"""),"https://drive.google.com/file/d/19H8UbfRLvZEql0tCt59611gSkSLUCmKs/view?usp=drivesdk")</f>
        <v>https://drive.google.com/file/d/19H8UbfRLvZEql0tCt59611gSkSLUCmKs/view?usp=drivesdk</v>
      </c>
      <c r="C2632" s="339" t="str">
        <f>IFERROR(__xludf.DUMMYFUNCTION("""COMPUTED_VALUE"""),"10.1002--(SICI)1099-0771(199609)9:3%3C213::AID-BDM230%3E3.0.CO;2-1.pdf")</f>
        <v>10.1002--(SICI)1099-0771(199609)9:3%3C213::AID-BDM230%3E3.0.CO;2-1.pdf</v>
      </c>
      <c r="D2632" s="159" t="str">
        <f>IFERROR(__xludf.DUMMYFUNCTION("""COMPUTED_VALUE"""),"application/pdf")</f>
        <v>application/pdf</v>
      </c>
    </row>
    <row r="2633">
      <c r="A2633" s="339" t="str">
        <f>IFERROR(__xludf.DUMMYFUNCTION("""COMPUTED_VALUE"""),"10.1016/j.biopsycho.2018.08.007")</f>
        <v>10.1016/j.biopsycho.2018.08.007</v>
      </c>
      <c r="B2633" s="445" t="str">
        <f>IFERROR(__xludf.DUMMYFUNCTION("""COMPUTED_VALUE"""),"https://drive.google.com/file/d/1V8lTfv6HJ8IMLiB5gYCuvj2XX1Nry6fh/view?usp=drivesdk")</f>
        <v>https://drive.google.com/file/d/1V8lTfv6HJ8IMLiB5gYCuvj2XX1Nry6fh/view?usp=drivesdk</v>
      </c>
      <c r="C2633" s="339" t="str">
        <f>IFERROR(__xludf.DUMMYFUNCTION("""COMPUTED_VALUE"""),"10.1016--j.biopsycho.2018.08.007.pdf")</f>
        <v>10.1016--j.biopsycho.2018.08.007.pdf</v>
      </c>
      <c r="D2633" s="159" t="str">
        <f>IFERROR(__xludf.DUMMYFUNCTION("""COMPUTED_VALUE"""),"application/pdf")</f>
        <v>application/pdf</v>
      </c>
    </row>
    <row r="2634">
      <c r="A2634" s="339" t="str">
        <f>IFERROR(__xludf.DUMMYFUNCTION("""COMPUTED_VALUE"""),"10.1109/tse.2016.2527791")</f>
        <v>10.1109/tse.2016.2527791</v>
      </c>
      <c r="B2634" s="445" t="str">
        <f>IFERROR(__xludf.DUMMYFUNCTION("""COMPUTED_VALUE"""),"https://drive.google.com/file/d/1NP74FAQ4UheeZ68AMDXl3P1f72HLwpaT/view?usp=drivesdk")</f>
        <v>https://drive.google.com/file/d/1NP74FAQ4UheeZ68AMDXl3P1f72HLwpaT/view?usp=drivesdk</v>
      </c>
      <c r="C2634" s="339" t="str">
        <f>IFERROR(__xludf.DUMMYFUNCTION("""COMPUTED_VALUE"""),"10.1109--TSE.2016.2527791.pdf")</f>
        <v>10.1109--TSE.2016.2527791.pdf</v>
      </c>
      <c r="D2634" s="159" t="str">
        <f>IFERROR(__xludf.DUMMYFUNCTION("""COMPUTED_VALUE"""),"application/pdf")</f>
        <v>application/pdf</v>
      </c>
    </row>
    <row r="2635">
      <c r="A2635" s="339" t="str">
        <f>IFERROR(__xludf.DUMMYFUNCTION("""COMPUTED_VALUE"""),"10.1016/0030-5073(76)90005-2")</f>
        <v>10.1016/0030-5073(76)90005-2</v>
      </c>
      <c r="B2635" s="445" t="str">
        <f>IFERROR(__xludf.DUMMYFUNCTION("""COMPUTED_VALUE"""),"https://drive.google.com/file/d/1ks4sYhMyRxNwDVYxivPVczl4gI-dQ94P/view?usp=drivesdk")</f>
        <v>https://drive.google.com/file/d/1ks4sYhMyRxNwDVYxivPVczl4gI-dQ94P/view?usp=drivesdk</v>
      </c>
      <c r="C2635" s="339" t="str">
        <f>IFERROR(__xludf.DUMMYFUNCTION("""COMPUTED_VALUE"""),"10.1016--0030-5073(76)90005-2.pdf")</f>
        <v>10.1016--0030-5073(76)90005-2.pdf</v>
      </c>
      <c r="D2635" s="159" t="str">
        <f>IFERROR(__xludf.DUMMYFUNCTION("""COMPUTED_VALUE"""),"application/pdf")</f>
        <v>application/pdf</v>
      </c>
    </row>
    <row r="2636">
      <c r="A2636" s="339" t="str">
        <f>IFERROR(__xludf.DUMMYFUNCTION("""COMPUTED_VALUE"""),"10.1016/j.avb.2019.03.001")</f>
        <v>10.1016/j.avb.2019.03.001</v>
      </c>
      <c r="B2636" s="445" t="str">
        <f>IFERROR(__xludf.DUMMYFUNCTION("""COMPUTED_VALUE"""),"https://drive.google.com/file/d/1cJsRXmvKPQ7GPC_cm_Airo5Y-ih6oB2j/view?usp=drivesdk")</f>
        <v>https://drive.google.com/file/d/1cJsRXmvKPQ7GPC_cm_Airo5Y-ih6oB2j/view?usp=drivesdk</v>
      </c>
      <c r="C2636" s="339" t="str">
        <f>IFERROR(__xludf.DUMMYFUNCTION("""COMPUTED_VALUE"""),"10.1016--j.avb.2019.03.001.pdf")</f>
        <v>10.1016--j.avb.2019.03.001.pdf</v>
      </c>
      <c r="D2636" s="159" t="str">
        <f>IFERROR(__xludf.DUMMYFUNCTION("""COMPUTED_VALUE"""),"application/pdf")</f>
        <v>application/pdf</v>
      </c>
    </row>
    <row r="2637">
      <c r="A2637" s="339" t="str">
        <f>IFERROR(__xludf.DUMMYFUNCTION("""COMPUTED_VALUE"""),"10.1177/0146167213520459")</f>
        <v>10.1177/0146167213520459</v>
      </c>
      <c r="B2637" s="445" t="str">
        <f>IFERROR(__xludf.DUMMYFUNCTION("""COMPUTED_VALUE"""),"https://drive.google.com/file/d/1k_T4Rme4laOqj4FFVCtLFL6sVGJsx86a/view?usp=drivesdk")</f>
        <v>https://drive.google.com/file/d/1k_T4Rme4laOqj4FFVCtLFL6sVGJsx86a/view?usp=drivesdk</v>
      </c>
      <c r="C2637" s="339" t="str">
        <f>IFERROR(__xludf.DUMMYFUNCTION("""COMPUTED_VALUE"""),"10.1177--0146167213520459.pdf")</f>
        <v>10.1177--0146167213520459.pdf</v>
      </c>
      <c r="D2637" s="159" t="str">
        <f>IFERROR(__xludf.DUMMYFUNCTION("""COMPUTED_VALUE"""),"application/pdf")</f>
        <v>application/pdf</v>
      </c>
    </row>
    <row r="2638">
      <c r="A2638" s="339" t="str">
        <f>IFERROR(__xludf.DUMMYFUNCTION("""COMPUTED_VALUE"""),"10.1177/0956797617719950")</f>
        <v>10.1177/0956797617719950</v>
      </c>
      <c r="B2638" s="445" t="str">
        <f>IFERROR(__xludf.DUMMYFUNCTION("""COMPUTED_VALUE"""),"https://drive.google.com/file/d/1oiaWpVjzIMfjLRO9E_LEl1ivIhgYJxRz/view?usp=drivesdk")</f>
        <v>https://drive.google.com/file/d/1oiaWpVjzIMfjLRO9E_LEl1ivIhgYJxRz/view?usp=drivesdk</v>
      </c>
      <c r="C2638" s="339" t="str">
        <f>IFERROR(__xludf.DUMMYFUNCTION("""COMPUTED_VALUE"""),"10.1177--0956797617719950.pdf")</f>
        <v>10.1177--0956797617719950.pdf</v>
      </c>
      <c r="D2638" s="159" t="str">
        <f>IFERROR(__xludf.DUMMYFUNCTION("""COMPUTED_VALUE"""),"application/pdf")</f>
        <v>application/pdf</v>
      </c>
    </row>
    <row r="2639">
      <c r="A2639" s="339" t="str">
        <f>IFERROR(__xludf.DUMMYFUNCTION("""COMPUTED_VALUE"""),"10.1177/0956797611432497")</f>
        <v>10.1177/0956797611432497</v>
      </c>
      <c r="B2639" s="445" t="str">
        <f>IFERROR(__xludf.DUMMYFUNCTION("""COMPUTED_VALUE"""),"https://drive.google.com/file/d/1WbrVaSPfdqLt24QFCNSjDPwq7kVE4TDC/view?usp=drivesdk")</f>
        <v>https://drive.google.com/file/d/1WbrVaSPfdqLt24QFCNSjDPwq7kVE4TDC/view?usp=drivesdk</v>
      </c>
      <c r="C2639" s="339" t="str">
        <f>IFERROR(__xludf.DUMMYFUNCTION("""COMPUTED_VALUE"""),"10.1177--0956797611432497.pdf")</f>
        <v>10.1177--0956797611432497.pdf</v>
      </c>
      <c r="D2639" s="159" t="str">
        <f>IFERROR(__xludf.DUMMYFUNCTION("""COMPUTED_VALUE"""),"application/pdf")</f>
        <v>application/pdf</v>
      </c>
    </row>
    <row r="2640">
      <c r="A2640" s="339" t="str">
        <f>IFERROR(__xludf.DUMMYFUNCTION("""COMPUTED_VALUE"""),"10.1177/0146167299259003")</f>
        <v>10.1177/0146167299259003</v>
      </c>
      <c r="B2640" s="445" t="str">
        <f>IFERROR(__xludf.DUMMYFUNCTION("""COMPUTED_VALUE"""),"https://drive.google.com/file/d/1ANlIZ7j6kBtYmK7zjvKHJDP4NHDfNeu0/view?usp=drivesdk")</f>
        <v>https://drive.google.com/file/d/1ANlIZ7j6kBtYmK7zjvKHJDP4NHDfNeu0/view?usp=drivesdk</v>
      </c>
      <c r="C2640" s="339" t="str">
        <f>IFERROR(__xludf.DUMMYFUNCTION("""COMPUTED_VALUE"""),"10.1177--0146167299259003.pdf")</f>
        <v>10.1177--0146167299259003.pdf</v>
      </c>
      <c r="D2640" s="159" t="str">
        <f>IFERROR(__xludf.DUMMYFUNCTION("""COMPUTED_VALUE"""),"application/pdf")</f>
        <v>application/pdf</v>
      </c>
    </row>
    <row r="2641">
      <c r="A2641" s="339" t="str">
        <f>IFERROR(__xludf.DUMMYFUNCTION("""COMPUTED_VALUE"""),"10.1146/annurev.psych.57.102904.190127")</f>
        <v>10.1146/annurev.psych.57.102904.190127</v>
      </c>
      <c r="B2641" s="445" t="str">
        <f>IFERROR(__xludf.DUMMYFUNCTION("""COMPUTED_VALUE"""),"https://drive.google.com/file/d/12pcrWT7rv8KHcTckp1mVzESreAZAMuLd/view?usp=drivesdk")</f>
        <v>https://drive.google.com/file/d/12pcrWT7rv8KHcTckp1mVzESreAZAMuLd/view?usp=drivesdk</v>
      </c>
      <c r="C2641" s="339" t="str">
        <f>IFERROR(__xludf.DUMMYFUNCTION("""COMPUTED_VALUE"""),"10.1146--annurev.psych.57.102904.190127.pdf")</f>
        <v>10.1146--annurev.psych.57.102904.190127.pdf</v>
      </c>
      <c r="D2641" s="159" t="str">
        <f>IFERROR(__xludf.DUMMYFUNCTION("""COMPUTED_VALUE"""),"application/pdf")</f>
        <v>application/pdf</v>
      </c>
    </row>
    <row r="2642">
      <c r="A2642" s="339" t="str">
        <f>IFERROR(__xludf.DUMMYFUNCTION("""COMPUTED_VALUE"""),"10.1126/science.283.5398.77")</f>
        <v>10.1126/science.283.5398.77</v>
      </c>
      <c r="B2642" s="445" t="str">
        <f>IFERROR(__xludf.DUMMYFUNCTION("""COMPUTED_VALUE"""),"https://drive.google.com/file/d/1cnM2XgZQxYQfpwgE4BmFxY_VVTpXHKKM/view?usp=drivesdk")</f>
        <v>https://drive.google.com/file/d/1cnM2XgZQxYQfpwgE4BmFxY_VVTpXHKKM/view?usp=drivesdk</v>
      </c>
      <c r="C2642" s="339" t="str">
        <f>IFERROR(__xludf.DUMMYFUNCTION("""COMPUTED_VALUE"""),"10.1126--science.283.5398.77.pdf")</f>
        <v>10.1126--science.283.5398.77.pdf</v>
      </c>
      <c r="D2642" s="159" t="str">
        <f>IFERROR(__xludf.DUMMYFUNCTION("""COMPUTED_VALUE"""),"application/pdf")</f>
        <v>application/pdf</v>
      </c>
    </row>
    <row r="2643">
      <c r="A2643" s="339" t="str">
        <f>IFERROR(__xludf.DUMMYFUNCTION("""COMPUTED_VALUE"""),"10.1111/j.2044-8295.1945.tb01093.x")</f>
        <v>10.1111/j.2044-8295.1945.tb01093.x</v>
      </c>
      <c r="B2643" s="445" t="str">
        <f>IFERROR(__xludf.DUMMYFUNCTION("""COMPUTED_VALUE"""),"https://drive.google.com/file/d/1pomwSjb3JhWNAcPkuV9rFVeM8shH8WIX/view?usp=drivesdk")</f>
        <v>https://drive.google.com/file/d/1pomwSjb3JhWNAcPkuV9rFVeM8shH8WIX/view?usp=drivesdk</v>
      </c>
      <c r="C2643" s="339" t="str">
        <f>IFERROR(__xludf.DUMMYFUNCTION("""COMPUTED_VALUE"""),"10.1111--j.2044-8295.1945.tb01093.x.pdf")</f>
        <v>10.1111--j.2044-8295.1945.tb01093.x.pdf</v>
      </c>
      <c r="D2643" s="159" t="str">
        <f>IFERROR(__xludf.DUMMYFUNCTION("""COMPUTED_VALUE"""),"application/pdf")</f>
        <v>application/pdf</v>
      </c>
    </row>
    <row r="2644">
      <c r="A2644" s="339" t="str">
        <f>IFERROR(__xludf.DUMMYFUNCTION("""COMPUTED_VALUE"""),"10.1111/j.1467-9477.2007.00176.x")</f>
        <v>10.1111/j.1467-9477.2007.00176.x</v>
      </c>
      <c r="B2644" s="445" t="str">
        <f>IFERROR(__xludf.DUMMYFUNCTION("""COMPUTED_VALUE"""),"https://drive.google.com/file/d/1givOcPpd1ntLsGdIXQxqAtb-vKGTpGuD/view?usp=drivesdk")</f>
        <v>https://drive.google.com/file/d/1givOcPpd1ntLsGdIXQxqAtb-vKGTpGuD/view?usp=drivesdk</v>
      </c>
      <c r="C2644" s="339" t="str">
        <f>IFERROR(__xludf.DUMMYFUNCTION("""COMPUTED_VALUE"""),"10.1111--j.1467-9477.2007.00176.x.pdf")</f>
        <v>10.1111--j.1467-9477.2007.00176.x.pdf</v>
      </c>
      <c r="D2644" s="159" t="str">
        <f>IFERROR(__xludf.DUMMYFUNCTION("""COMPUTED_VALUE"""),"application/pdf")</f>
        <v>application/pdf</v>
      </c>
    </row>
    <row r="2645">
      <c r="A2645" s="339" t="str">
        <f>IFERROR(__xludf.DUMMYFUNCTION("""COMPUTED_VALUE"""),"10.1111/j.1467-9280.2009.02479.x")</f>
        <v>10.1111/j.1467-9280.2009.02479.x</v>
      </c>
      <c r="B2645" s="445" t="str">
        <f>IFERROR(__xludf.DUMMYFUNCTION("""COMPUTED_VALUE"""),"https://drive.google.com/file/d/1KL5SoJAHWjHA_I9YQBeFRVy3NF-MVymD/view?usp=drivesdk")</f>
        <v>https://drive.google.com/file/d/1KL5SoJAHWjHA_I9YQBeFRVy3NF-MVymD/view?usp=drivesdk</v>
      </c>
      <c r="C2645" s="339" t="str">
        <f>IFERROR(__xludf.DUMMYFUNCTION("""COMPUTED_VALUE"""),"10.1111--j.1467-9280.2009.02479.x.pdf")</f>
        <v>10.1111--j.1467-9280.2009.02479.x.pdf</v>
      </c>
      <c r="D2645" s="159" t="str">
        <f>IFERROR(__xludf.DUMMYFUNCTION("""COMPUTED_VALUE"""),"application/pdf")</f>
        <v>application/pdf</v>
      </c>
    </row>
    <row r="2646">
      <c r="A2646" s="339" t="str">
        <f>IFERROR(__xludf.DUMMYFUNCTION("""COMPUTED_VALUE"""),"10.1111/j.1467-9280.2006.01811.x")</f>
        <v>10.1111/j.1467-9280.2006.01811.x</v>
      </c>
      <c r="B2646" s="445" t="str">
        <f>IFERROR(__xludf.DUMMYFUNCTION("""COMPUTED_VALUE"""),"https://drive.google.com/file/d/1L6uVunRTkHlU_O--S4vWF9IFtI4y-nt9/view?usp=drivesdk")</f>
        <v>https://drive.google.com/file/d/1L6uVunRTkHlU_O--S4vWF9IFtI4y-nt9/view?usp=drivesdk</v>
      </c>
      <c r="C2646" s="339" t="str">
        <f>IFERROR(__xludf.DUMMYFUNCTION("""COMPUTED_VALUE"""),"10.1111--j.1467-9280.2006.01811.x.pdf")</f>
        <v>10.1111--j.1467-9280.2006.01811.x.pdf</v>
      </c>
      <c r="D2646" s="159" t="str">
        <f>IFERROR(__xludf.DUMMYFUNCTION("""COMPUTED_VALUE"""),"application/pdf")</f>
        <v>application/pdf</v>
      </c>
    </row>
    <row r="2647">
      <c r="A2647" s="339" t="str">
        <f>IFERROR(__xludf.DUMMYFUNCTION("""COMPUTED_VALUE"""),"10.1111/j.0956-7976.2005.00799.x")</f>
        <v>10.1111/j.0956-7976.2005.00799.x</v>
      </c>
      <c r="B2647" s="445" t="str">
        <f>IFERROR(__xludf.DUMMYFUNCTION("""COMPUTED_VALUE"""),"https://drive.google.com/file/d/1eABS-vu3YGOP5Z8U-mNYSNElEVFsaeTY/view?usp=drivesdk")</f>
        <v>https://drive.google.com/file/d/1eABS-vu3YGOP5Z8U-mNYSNElEVFsaeTY/view?usp=drivesdk</v>
      </c>
      <c r="C2647" s="339" t="str">
        <f>IFERROR(__xludf.DUMMYFUNCTION("""COMPUTED_VALUE"""),"10.1111--j.0956-7976.2005.00799.x.pdf")</f>
        <v>10.1111--j.0956-7976.2005.00799.x.pdf</v>
      </c>
      <c r="D2647" s="159" t="str">
        <f>IFERROR(__xludf.DUMMYFUNCTION("""COMPUTED_VALUE"""),"application/pdf")</f>
        <v>application/pdf</v>
      </c>
    </row>
    <row r="2648">
      <c r="A2648" s="339" t="str">
        <f>IFERROR(__xludf.DUMMYFUNCTION("""COMPUTED_VALUE"""),"10.1111/flan.12063")</f>
        <v>10.1111/flan.12063</v>
      </c>
      <c r="B2648" s="445" t="str">
        <f>IFERROR(__xludf.DUMMYFUNCTION("""COMPUTED_VALUE"""),"https://drive.google.com/file/d/1fyRt26qYLHlfICkWkeRvjDxkKPAGMOGH/view?usp=drivesdk")</f>
        <v>https://drive.google.com/file/d/1fyRt26qYLHlfICkWkeRvjDxkKPAGMOGH/view?usp=drivesdk</v>
      </c>
      <c r="C2648" s="339" t="str">
        <f>IFERROR(__xludf.DUMMYFUNCTION("""COMPUTED_VALUE"""),"10.1111--flan.12063.pdf")</f>
        <v>10.1111--flan.12063.pdf</v>
      </c>
      <c r="D2648" s="159" t="str">
        <f>IFERROR(__xludf.DUMMYFUNCTION("""COMPUTED_VALUE"""),"application/pdf")</f>
        <v>application/pdf</v>
      </c>
    </row>
    <row r="2649">
      <c r="A2649" s="339" t="str">
        <f>IFERROR(__xludf.DUMMYFUNCTION("""COMPUTED_VALUE"""),"10.1098/rspb.2011.1959")</f>
        <v>10.1098/rspb.2011.1959</v>
      </c>
      <c r="B2649" s="445" t="str">
        <f>IFERROR(__xludf.DUMMYFUNCTION("""COMPUTED_VALUE"""),"https://drive.google.com/file/d/1Xegg6zoy4h7DJi5a9pRBsglATfS55faB/view?usp=drivesdk")</f>
        <v>https://drive.google.com/file/d/1Xegg6zoy4h7DJi5a9pRBsglATfS55faB/view?usp=drivesdk</v>
      </c>
      <c r="C2649" s="339" t="str">
        <f>IFERROR(__xludf.DUMMYFUNCTION("""COMPUTED_VALUE"""),"10.1098--rspb.2011.1959.pdf")</f>
        <v>10.1098--rspb.2011.1959.pdf</v>
      </c>
      <c r="D2649" s="159" t="str">
        <f>IFERROR(__xludf.DUMMYFUNCTION("""COMPUTED_VALUE"""),"application/pdf")</f>
        <v>application/pdf</v>
      </c>
    </row>
    <row r="2650">
      <c r="A2650" s="339" t="str">
        <f>IFERROR(__xludf.DUMMYFUNCTION("""COMPUTED_VALUE"""),"10.1093/cercor/bhq101")</f>
        <v>10.1093/cercor/bhq101</v>
      </c>
      <c r="B2650" s="445" t="str">
        <f>IFERROR(__xludf.DUMMYFUNCTION("""COMPUTED_VALUE"""),"https://drive.google.com/file/d/175dambBNVF0dqo5ScTkVgg0LGuj940kT/view?usp=drivesdk")</f>
        <v>https://drive.google.com/file/d/175dambBNVF0dqo5ScTkVgg0LGuj940kT/view?usp=drivesdk</v>
      </c>
      <c r="C2650" s="339" t="str">
        <f>IFERROR(__xludf.DUMMYFUNCTION("""COMPUTED_VALUE"""),"10.1093--cercor--bhq101.pdf")</f>
        <v>10.1093--cercor--bhq101.pdf</v>
      </c>
      <c r="D2650" s="159" t="str">
        <f>IFERROR(__xludf.DUMMYFUNCTION("""COMPUTED_VALUE"""),"application/pdf")</f>
        <v>application/pdf</v>
      </c>
    </row>
    <row r="2651">
      <c r="A2651" s="339" t="str">
        <f>IFERROR(__xludf.DUMMYFUNCTION("""COMPUTED_VALUE"""),"10.1086/679118")</f>
        <v>10.1086/679118</v>
      </c>
      <c r="B2651" s="445" t="str">
        <f>IFERROR(__xludf.DUMMYFUNCTION("""COMPUTED_VALUE"""),"https://drive.google.com/file/d/1fC_xdHYtuVSGdyipCTYwInpTLU1nLVOT/view?usp=drivesdk")</f>
        <v>https://drive.google.com/file/d/1fC_xdHYtuVSGdyipCTYwInpTLU1nLVOT/view?usp=drivesdk</v>
      </c>
      <c r="C2651" s="339" t="str">
        <f>IFERROR(__xludf.DUMMYFUNCTION("""COMPUTED_VALUE"""),"10.1086--679118.pdf")</f>
        <v>10.1086--679118.pdf</v>
      </c>
      <c r="D2651" s="159" t="str">
        <f>IFERROR(__xludf.DUMMYFUNCTION("""COMPUTED_VALUE"""),"application/pdf")</f>
        <v>application/pdf</v>
      </c>
    </row>
    <row r="2652">
      <c r="A2652" s="339" t="str">
        <f>IFERROR(__xludf.DUMMYFUNCTION("""COMPUTED_VALUE"""),"10.1086/673256")</f>
        <v>10.1086/673256</v>
      </c>
      <c r="B2652" s="445" t="str">
        <f>IFERROR(__xludf.DUMMYFUNCTION("""COMPUTED_VALUE"""),"https://drive.google.com/file/d/1PWOOc6h89xT_u8Q2-oYAuMVRWZGeQNop/view?usp=drivesdk")</f>
        <v>https://drive.google.com/file/d/1PWOOc6h89xT_u8Q2-oYAuMVRWZGeQNop/view?usp=drivesdk</v>
      </c>
      <c r="C2652" s="339" t="str">
        <f>IFERROR(__xludf.DUMMYFUNCTION("""COMPUTED_VALUE"""),"10.1086--673256.pdf")</f>
        <v>10.1086--673256.pdf</v>
      </c>
      <c r="D2652" s="159" t="str">
        <f>IFERROR(__xludf.DUMMYFUNCTION("""COMPUTED_VALUE"""),"application/pdf")</f>
        <v>application/pdf</v>
      </c>
    </row>
    <row r="2653">
      <c r="A2653" s="339" t="str">
        <f>IFERROR(__xludf.DUMMYFUNCTION("""COMPUTED_VALUE"""),"10.1086/222258")</f>
        <v>10.1086/222258</v>
      </c>
      <c r="B2653" s="445" t="str">
        <f>IFERROR(__xludf.DUMMYFUNCTION("""COMPUTED_VALUE"""),"https://drive.google.com/file/d/17mS9A7BjFB1lWFAmvcSxyq7-jK-oNL_B/view?usp=drivesdk")</f>
        <v>https://drive.google.com/file/d/17mS9A7BjFB1lWFAmvcSxyq7-jK-oNL_B/view?usp=drivesdk</v>
      </c>
      <c r="C2653" s="339" t="str">
        <f>IFERROR(__xludf.DUMMYFUNCTION("""COMPUTED_VALUE"""),"10.1086--222258.pdf")</f>
        <v>10.1086--222258.pdf</v>
      </c>
      <c r="D2653" s="159" t="str">
        <f>IFERROR(__xludf.DUMMYFUNCTION("""COMPUTED_VALUE"""),"application/pdf")</f>
        <v>application/pdf</v>
      </c>
    </row>
    <row r="2654">
      <c r="A2654" s="339" t="str">
        <f>IFERROR(__xludf.DUMMYFUNCTION("""COMPUTED_VALUE"""),"10.1080/713755779")</f>
        <v>10.1080/713755779</v>
      </c>
      <c r="B2654" s="445" t="str">
        <f>IFERROR(__xludf.DUMMYFUNCTION("""COMPUTED_VALUE"""),"https://drive.google.com/file/d/16tv4QbR_xvFXB4FBrbVNqZqo-wgW9woH/view?usp=drivesdk")</f>
        <v>https://drive.google.com/file/d/16tv4QbR_xvFXB4FBrbVNqZqo-wgW9woH/view?usp=drivesdk</v>
      </c>
      <c r="C2654" s="339" t="str">
        <f>IFERROR(__xludf.DUMMYFUNCTION("""COMPUTED_VALUE"""),"10.1080--713755779.pdf")</f>
        <v>10.1080--713755779.pdf</v>
      </c>
      <c r="D2654" s="159" t="str">
        <f>IFERROR(__xludf.DUMMYFUNCTION("""COMPUTED_VALUE"""),"application/pdf")</f>
        <v>application/pdf</v>
      </c>
    </row>
    <row r="2655">
      <c r="A2655" s="339" t="str">
        <f>IFERROR(__xludf.DUMMYFUNCTION("""COMPUTED_VALUE"""),"10.1080/17470218.2016.1253756")</f>
        <v>10.1080/17470218.2016.1253756</v>
      </c>
      <c r="B2655" s="445" t="str">
        <f>IFERROR(__xludf.DUMMYFUNCTION("""COMPUTED_VALUE"""),"https://drive.google.com/file/d/1yxqqtaJ_tKrHMAyqOaSeXTtf-KefDu_f/view?usp=drivesdk")</f>
        <v>https://drive.google.com/file/d/1yxqqtaJ_tKrHMAyqOaSeXTtf-KefDu_f/view?usp=drivesdk</v>
      </c>
      <c r="C2655" s="339" t="str">
        <f>IFERROR(__xludf.DUMMYFUNCTION("""COMPUTED_VALUE"""),"10.1080--17470218.2016.1253756.pdf")</f>
        <v>10.1080--17470218.2016.1253756.pdf</v>
      </c>
      <c r="D2655" s="159" t="str">
        <f>IFERROR(__xludf.DUMMYFUNCTION("""COMPUTED_VALUE"""),"application/pdf")</f>
        <v>application/pdf</v>
      </c>
    </row>
    <row r="2656">
      <c r="A2656" s="339" t="str">
        <f>IFERROR(__xludf.DUMMYFUNCTION("""COMPUTED_VALUE"""),"10.1080/17439760.2017.1279210")</f>
        <v>10.1080/17439760.2017.1279210</v>
      </c>
      <c r="B2656" s="445" t="str">
        <f>IFERROR(__xludf.DUMMYFUNCTION("""COMPUTED_VALUE"""),"https://drive.google.com/file/d/1ZE866GzkUK_NuRwPIYtPoDAMsRZYzg8o/view?usp=drivesdk")</f>
        <v>https://drive.google.com/file/d/1ZE866GzkUK_NuRwPIYtPoDAMsRZYzg8o/view?usp=drivesdk</v>
      </c>
      <c r="C2656" s="339" t="str">
        <f>IFERROR(__xludf.DUMMYFUNCTION("""COMPUTED_VALUE"""),"10.1080--17439760.2017.1279210.pdf")</f>
        <v>10.1080--17439760.2017.1279210.pdf</v>
      </c>
      <c r="D2656" s="159" t="str">
        <f>IFERROR(__xludf.DUMMYFUNCTION("""COMPUTED_VALUE"""),"application/pdf")</f>
        <v>application/pdf</v>
      </c>
    </row>
    <row r="2657">
      <c r="A2657" s="339" t="str">
        <f>IFERROR(__xludf.DUMMYFUNCTION("""COMPUTED_VALUE"""),"10.1080/13506280544000093")</f>
        <v>10.1080/13506280544000093</v>
      </c>
      <c r="B2657" s="445" t="str">
        <f>IFERROR(__xludf.DUMMYFUNCTION("""COMPUTED_VALUE"""),"https://drive.google.com/file/d/1EjCNuZSYsmVVK-bREacL8yoeRui-q6Cq/view?usp=drivesdk")</f>
        <v>https://drive.google.com/file/d/1EjCNuZSYsmVVK-bREacL8yoeRui-q6Cq/view?usp=drivesdk</v>
      </c>
      <c r="C2657" s="339" t="str">
        <f>IFERROR(__xludf.DUMMYFUNCTION("""COMPUTED_VALUE"""),"10.1080--13506280544000093.pdf")</f>
        <v>10.1080--13506280544000093.pdf</v>
      </c>
      <c r="D2657" s="159" t="str">
        <f>IFERROR(__xludf.DUMMYFUNCTION("""COMPUTED_VALUE"""),"application/pdf")</f>
        <v>application/pdf</v>
      </c>
    </row>
    <row r="2658">
      <c r="A2658" s="339" t="str">
        <f>IFERROR(__xludf.DUMMYFUNCTION("""COMPUTED_VALUE"""),"10.1080/095414400382208")</f>
        <v>10.1080/095414400382208</v>
      </c>
      <c r="B2658" s="445" t="str">
        <f>IFERROR(__xludf.DUMMYFUNCTION("""COMPUTED_VALUE"""),"https://drive.google.com/file/d/1TgiLVlc8ULkeaLD2kyjupb27kaiuM0VA/view?usp=drivesdk")</f>
        <v>https://drive.google.com/file/d/1TgiLVlc8ULkeaLD2kyjupb27kaiuM0VA/view?usp=drivesdk</v>
      </c>
      <c r="C2658" s="339" t="str">
        <f>IFERROR(__xludf.DUMMYFUNCTION("""COMPUTED_VALUE"""),"10.1080--095414400382208.pdf")</f>
        <v>10.1080--095414400382208.pdf</v>
      </c>
      <c r="D2658" s="159" t="str">
        <f>IFERROR(__xludf.DUMMYFUNCTION("""COMPUTED_VALUE"""),"application/pdf")</f>
        <v>application/pdf</v>
      </c>
    </row>
    <row r="2659">
      <c r="A2659" s="339" t="str">
        <f>IFERROR(__xludf.DUMMYFUNCTION("""COMPUTED_VALUE"""),"10.1038/nn1504")</f>
        <v>10.1038/nn1504</v>
      </c>
      <c r="B2659" s="445" t="str">
        <f>IFERROR(__xludf.DUMMYFUNCTION("""COMPUTED_VALUE"""),"https://drive.google.com/file/d/1XBkGEx2U8_zKL8MPXGgQNr9pKxuQ1VoK/view?usp=drivesdk")</f>
        <v>https://drive.google.com/file/d/1XBkGEx2U8_zKL8MPXGgQNr9pKxuQ1VoK/view?usp=drivesdk</v>
      </c>
      <c r="C2659" s="339" t="str">
        <f>IFERROR(__xludf.DUMMYFUNCTION("""COMPUTED_VALUE"""),"10.1038--nn1504.pdf")</f>
        <v>10.1038--nn1504.pdf</v>
      </c>
      <c r="D2659" s="159" t="str">
        <f>IFERROR(__xludf.DUMMYFUNCTION("""COMPUTED_VALUE"""),"application/pdf")</f>
        <v>application/pdf</v>
      </c>
    </row>
    <row r="2660">
      <c r="A2660" s="339" t="str">
        <f>IFERROR(__xludf.DUMMYFUNCTION("""COMPUTED_VALUE"""),"10.1038/21557")</f>
        <v>10.1038/21557</v>
      </c>
      <c r="B2660" s="445" t="str">
        <f>IFERROR(__xludf.DUMMYFUNCTION("""COMPUTED_VALUE"""),"https://drive.google.com/file/d/1zYfPpTsPbmgnUB83pI_Pq1lJ7bNE547G/view?usp=drivesdk")</f>
        <v>https://drive.google.com/file/d/1zYfPpTsPbmgnUB83pI_Pq1lJ7bNE547G/view?usp=drivesdk</v>
      </c>
      <c r="C2660" s="339" t="str">
        <f>IFERROR(__xludf.DUMMYFUNCTION("""COMPUTED_VALUE"""),"10.1038--21557.pdf")</f>
        <v>10.1038--21557.pdf</v>
      </c>
      <c r="D2660" s="159" t="str">
        <f>IFERROR(__xludf.DUMMYFUNCTION("""COMPUTED_VALUE"""),"application/pdf")</f>
        <v>application/pdf</v>
      </c>
    </row>
    <row r="2661">
      <c r="A2661" s="339" t="str">
        <f>IFERROR(__xludf.DUMMYFUNCTION("""COMPUTED_VALUE"""),"10.1037/h0093718")</f>
        <v>10.1037/h0093718</v>
      </c>
      <c r="B2661" s="445" t="str">
        <f>IFERROR(__xludf.DUMMYFUNCTION("""COMPUTED_VALUE"""),"https://drive.google.com/file/d/1ZcPXNfUiEbN_HwtCd891QdMzTZSYx1fw/view?usp=drivesdk")</f>
        <v>https://drive.google.com/file/d/1ZcPXNfUiEbN_HwtCd891QdMzTZSYx1fw/view?usp=drivesdk</v>
      </c>
      <c r="C2661" s="339" t="str">
        <f>IFERROR(__xludf.DUMMYFUNCTION("""COMPUTED_VALUE"""),"10.1037--h0093718.pdf")</f>
        <v>10.1037--h0093718.pdf</v>
      </c>
      <c r="D2661" s="159" t="str">
        <f>IFERROR(__xludf.DUMMYFUNCTION("""COMPUTED_VALUE"""),"application/pdf")</f>
        <v>application/pdf</v>
      </c>
    </row>
    <row r="2662">
      <c r="A2662" s="339" t="str">
        <f>IFERROR(__xludf.DUMMYFUNCTION("""COMPUTED_VALUE"""),"10.1037/h0045925")</f>
        <v>10.1037/h0045925</v>
      </c>
      <c r="B2662" s="445" t="str">
        <f>IFERROR(__xludf.DUMMYFUNCTION("""COMPUTED_VALUE"""),"https://drive.google.com/file/d/1RFajdOS3PTs3gG6PijaWUMfbdlg9wH4x/view?usp=drivesdk")</f>
        <v>https://drive.google.com/file/d/1RFajdOS3PTs3gG6PijaWUMfbdlg9wH4x/view?usp=drivesdk</v>
      </c>
      <c r="C2662" s="339" t="str">
        <f>IFERROR(__xludf.DUMMYFUNCTION("""COMPUTED_VALUE"""),"10.1037--h0045925.pdf")</f>
        <v>10.1037--h0045925.pdf</v>
      </c>
      <c r="D2662" s="159" t="str">
        <f>IFERROR(__xludf.DUMMYFUNCTION("""COMPUTED_VALUE"""),"application/pdf")</f>
        <v>application/pdf</v>
      </c>
    </row>
    <row r="2663">
      <c r="A2663" s="339" t="str">
        <f>IFERROR(__xludf.DUMMYFUNCTION("""COMPUTED_VALUE"""),"10.1037/ebs0000028")</f>
        <v>10.1037/ebs0000028</v>
      </c>
      <c r="B2663" s="445" t="str">
        <f>IFERROR(__xludf.DUMMYFUNCTION("""COMPUTED_VALUE"""),"https://drive.google.com/file/d/1JS_DWZKuNPHbZwKfirj8h4113PQ9podm/view?usp=drivesdk")</f>
        <v>https://drive.google.com/file/d/1JS_DWZKuNPHbZwKfirj8h4113PQ9podm/view?usp=drivesdk</v>
      </c>
      <c r="C2663" s="339" t="str">
        <f>IFERROR(__xludf.DUMMYFUNCTION("""COMPUTED_VALUE"""),"10.1037--ebs0000028.pdf")</f>
        <v>10.1037--ebs0000028.pdf</v>
      </c>
      <c r="D2663" s="159" t="str">
        <f>IFERROR(__xludf.DUMMYFUNCTION("""COMPUTED_VALUE"""),"application/pdf")</f>
        <v>application/pdf</v>
      </c>
    </row>
    <row r="2664">
      <c r="A2664" s="339" t="str">
        <f>IFERROR(__xludf.DUMMYFUNCTION("""COMPUTED_VALUE"""),"10.1037/a0020092")</f>
        <v>10.1037/a0020092</v>
      </c>
      <c r="B2664" s="445" t="str">
        <f>IFERROR(__xludf.DUMMYFUNCTION("""COMPUTED_VALUE"""),"https://drive.google.com/file/d/1wc8zyG6iIdoZ-JSrDJQh1zhZ8rbFVywC/view?usp=drivesdk")</f>
        <v>https://drive.google.com/file/d/1wc8zyG6iIdoZ-JSrDJQh1zhZ8rbFVywC/view?usp=drivesdk</v>
      </c>
      <c r="C2664" s="339" t="str">
        <f>IFERROR(__xludf.DUMMYFUNCTION("""COMPUTED_VALUE"""),"10.1037--a0020092.pdf")</f>
        <v>10.1037--a0020092.pdf</v>
      </c>
      <c r="D2664" s="159" t="str">
        <f>IFERROR(__xludf.DUMMYFUNCTION("""COMPUTED_VALUE"""),"application/pdf")</f>
        <v>application/pdf</v>
      </c>
    </row>
    <row r="2665">
      <c r="A2665" s="339" t="str">
        <f>IFERROR(__xludf.DUMMYFUNCTION("""COMPUTED_VALUE"""),"10.1037/0278-7393.29.6.1312")</f>
        <v>10.1037/0278-7393.29.6.1312</v>
      </c>
      <c r="B2665" s="445" t="str">
        <f>IFERROR(__xludf.DUMMYFUNCTION("""COMPUTED_VALUE"""),"https://drive.google.com/file/d/1CgFDbt9DLjtIE39QSYTceBsTH8HynkV2/view?usp=drivesdk")</f>
        <v>https://drive.google.com/file/d/1CgFDbt9DLjtIE39QSYTceBsTH8HynkV2/view?usp=drivesdk</v>
      </c>
      <c r="C2665" s="339" t="str">
        <f>IFERROR(__xludf.DUMMYFUNCTION("""COMPUTED_VALUE"""),"10.1037--0278-7393.29.6.1312.pdf")</f>
        <v>10.1037--0278-7393.29.6.1312.pdf</v>
      </c>
      <c r="D2665" s="159" t="str">
        <f>IFERROR(__xludf.DUMMYFUNCTION("""COMPUTED_VALUE"""),"application/pdf")</f>
        <v>application/pdf</v>
      </c>
    </row>
    <row r="2666">
      <c r="A2666" s="339" t="str">
        <f>IFERROR(__xludf.DUMMYFUNCTION("""COMPUTED_VALUE"""),"10.1037/0096-3445.135.4.641")</f>
        <v>10.1037/0096-3445.135.4.641</v>
      </c>
      <c r="B2666" s="445" t="str">
        <f>IFERROR(__xludf.DUMMYFUNCTION("""COMPUTED_VALUE"""),"https://drive.google.com/file/d/18ZfYG32M-GTcG_ryoJ1HvEC9C-_ti4fk/view?usp=drivesdk")</f>
        <v>https://drive.google.com/file/d/18ZfYG32M-GTcG_ryoJ1HvEC9C-_ti4fk/view?usp=drivesdk</v>
      </c>
      <c r="C2666" s="339" t="str">
        <f>IFERROR(__xludf.DUMMYFUNCTION("""COMPUTED_VALUE"""),"10.1037--0096-3445.135.4.641.pdf")</f>
        <v>10.1037--0096-3445.135.4.641.pdf</v>
      </c>
      <c r="D2666" s="159" t="str">
        <f>IFERROR(__xludf.DUMMYFUNCTION("""COMPUTED_VALUE"""),"application/pdf")</f>
        <v>application/pdf</v>
      </c>
    </row>
    <row r="2667">
      <c r="A2667" s="339" t="str">
        <f>IFERROR(__xludf.DUMMYFUNCTION("""COMPUTED_VALUE"""),"10.1037/0096-3445.108.4.441")</f>
        <v>10.1037/0096-3445.108.4.441</v>
      </c>
      <c r="B2667" s="445" t="str">
        <f>IFERROR(__xludf.DUMMYFUNCTION("""COMPUTED_VALUE"""),"https://drive.google.com/file/d/1JLBmwX7nNKGn-P26gO4q3MKf3Xxhf5mp/view?usp=drivesdk")</f>
        <v>https://drive.google.com/file/d/1JLBmwX7nNKGn-P26gO4q3MKf3Xxhf5mp/view?usp=drivesdk</v>
      </c>
      <c r="C2667" s="339" t="str">
        <f>IFERROR(__xludf.DUMMYFUNCTION("""COMPUTED_VALUE"""),"10.1037--0096-3445.108.4.441.pdf")</f>
        <v>10.1037--0096-3445.108.4.441.pdf</v>
      </c>
      <c r="D2667" s="159" t="str">
        <f>IFERROR(__xludf.DUMMYFUNCTION("""COMPUTED_VALUE"""),"application/pdf")</f>
        <v>application/pdf</v>
      </c>
    </row>
    <row r="2668">
      <c r="A2668" s="339" t="str">
        <f>IFERROR(__xludf.DUMMYFUNCTION("""COMPUTED_VALUE"""),"10.3758/s13414-019-01723-6")</f>
        <v>10.3758/s13414-019-01723-6</v>
      </c>
      <c r="B2668" s="445" t="str">
        <f>IFERROR(__xludf.DUMMYFUNCTION("""COMPUTED_VALUE"""),"https://drive.google.com/file/d/1tdE0c4oVWthHVrM1fRU9Hx8d8vQz1-mn/view?usp=drivesdk")</f>
        <v>https://drive.google.com/file/d/1tdE0c4oVWthHVrM1fRU9Hx8d8vQz1-mn/view?usp=drivesdk</v>
      </c>
      <c r="C2668" s="339" t="str">
        <f>IFERROR(__xludf.DUMMYFUNCTION("""COMPUTED_VALUE"""),"10.3758--s13414-019-01723-6.pdf")</f>
        <v>10.3758--s13414-019-01723-6.pdf</v>
      </c>
      <c r="D2668" s="159" t="str">
        <f>IFERROR(__xludf.DUMMYFUNCTION("""COMPUTED_VALUE"""),"application/pdf")</f>
        <v>application/pdf</v>
      </c>
    </row>
    <row r="2669">
      <c r="A2669" s="339" t="str">
        <f>IFERROR(__xludf.DUMMYFUNCTION("""COMPUTED_VALUE"""),"10.3758/bf03203267")</f>
        <v>10.3758/bf03203267</v>
      </c>
      <c r="B2669" s="445" t="str">
        <f>IFERROR(__xludf.DUMMYFUNCTION("""COMPUTED_VALUE"""),"https://drive.google.com/file/d/1lGZVI4TT62Hxc9KRIEpXgT3z3fk0_z2T/view?usp=drivesdk")</f>
        <v>https://drive.google.com/file/d/1lGZVI4TT62Hxc9KRIEpXgT3z3fk0_z2T/view?usp=drivesdk</v>
      </c>
      <c r="C2669" s="339" t="str">
        <f>IFERROR(__xludf.DUMMYFUNCTION("""COMPUTED_VALUE"""),"10.3758--BF03203267.pdf")</f>
        <v>10.3758--BF03203267.pdf</v>
      </c>
      <c r="D2669" s="159" t="str">
        <f>IFERROR(__xludf.DUMMYFUNCTION("""COMPUTED_VALUE"""),"application/pdf")</f>
        <v>application/pdf</v>
      </c>
    </row>
    <row r="2670">
      <c r="A2670" s="339" t="str">
        <f>IFERROR(__xludf.DUMMYFUNCTION("""COMPUTED_VALUE"""),"10.3758/bf03198377")</f>
        <v>10.3758/bf03198377</v>
      </c>
      <c r="B2670" s="445" t="str">
        <f>IFERROR(__xludf.DUMMYFUNCTION("""COMPUTED_VALUE"""),"https://drive.google.com/file/d/1VKbr5pxUdj683_XHIlCKoFwz-29rSMXQ/view?usp=drivesdk")</f>
        <v>https://drive.google.com/file/d/1VKbr5pxUdj683_XHIlCKoFwz-29rSMXQ/view?usp=drivesdk</v>
      </c>
      <c r="C2670" s="339" t="str">
        <f>IFERROR(__xludf.DUMMYFUNCTION("""COMPUTED_VALUE"""),"10.3758--BF03198377.pdf")</f>
        <v>10.3758--BF03198377.pdf</v>
      </c>
      <c r="D2670" s="159" t="str">
        <f>IFERROR(__xludf.DUMMYFUNCTION("""COMPUTED_VALUE"""),"application/pdf")</f>
        <v>application/pdf</v>
      </c>
    </row>
    <row r="2671">
      <c r="A2671" s="339" t="str">
        <f>IFERROR(__xludf.DUMMYFUNCTION("""COMPUTED_VALUE"""),"10.3758/bf03197186")</f>
        <v>10.3758/bf03197186</v>
      </c>
      <c r="B2671" s="445" t="str">
        <f>IFERROR(__xludf.DUMMYFUNCTION("""COMPUTED_VALUE"""),"https://drive.google.com/file/d/1zxOGnn13MnFttT3gypM4oZgoIrIXa8ts/view?usp=drivesdk")</f>
        <v>https://drive.google.com/file/d/1zxOGnn13MnFttT3gypM4oZgoIrIXa8ts/view?usp=drivesdk</v>
      </c>
      <c r="C2671" s="339" t="str">
        <f>IFERROR(__xludf.DUMMYFUNCTION("""COMPUTED_VALUE"""),"10.3758--BF03197186.pdf")</f>
        <v>10.3758--BF03197186.pdf</v>
      </c>
      <c r="D2671" s="159" t="str">
        <f>IFERROR(__xludf.DUMMYFUNCTION("""COMPUTED_VALUE"""),"application/pdf")</f>
        <v>application/pdf</v>
      </c>
    </row>
    <row r="2672">
      <c r="A2672" s="339" t="str">
        <f>IFERROR(__xludf.DUMMYFUNCTION("""COMPUTED_VALUE"""),"10.3758/bf03196313")</f>
        <v>10.3758/bf03196313</v>
      </c>
      <c r="B2672" s="445" t="str">
        <f>IFERROR(__xludf.DUMMYFUNCTION("""COMPUTED_VALUE"""),"https://drive.google.com/file/d/1a1lUlk42gIQYcLhUt5t0G_RLi9u-460d/view?usp=drivesdk")</f>
        <v>https://drive.google.com/file/d/1a1lUlk42gIQYcLhUt5t0G_RLi9u-460d/view?usp=drivesdk</v>
      </c>
      <c r="C2672" s="339" t="str">
        <f>IFERROR(__xludf.DUMMYFUNCTION("""COMPUTED_VALUE"""),"10.3758--BF03196313.pdf")</f>
        <v>10.3758--BF03196313.pdf</v>
      </c>
      <c r="D2672" s="159" t="str">
        <f>IFERROR(__xludf.DUMMYFUNCTION("""COMPUTED_VALUE"""),"application/pdf")</f>
        <v>application/pdf</v>
      </c>
    </row>
    <row r="2673">
      <c r="A2673" s="339" t="str">
        <f>IFERROR(__xludf.DUMMYFUNCTION("""COMPUTED_VALUE"""),"10.3389/fpsyg.2015.00335")</f>
        <v>10.3389/fpsyg.2015.00335</v>
      </c>
      <c r="B2673" s="445" t="str">
        <f>IFERROR(__xludf.DUMMYFUNCTION("""COMPUTED_VALUE"""),"https://drive.google.com/file/d/1xrut3UwaTqtTgH6ZPERdwikqTF1K9Y3S/view?usp=drivesdk")</f>
        <v>https://drive.google.com/file/d/1xrut3UwaTqtTgH6ZPERdwikqTF1K9Y3S/view?usp=drivesdk</v>
      </c>
      <c r="C2673" s="339" t="str">
        <f>IFERROR(__xludf.DUMMYFUNCTION("""COMPUTED_VALUE"""),"10.3389--fpsyg.2015.00335.pdf")</f>
        <v>10.3389--fpsyg.2015.00335.pdf</v>
      </c>
      <c r="D2673" s="159" t="str">
        <f>IFERROR(__xludf.DUMMYFUNCTION("""COMPUTED_VALUE"""),"application/pdf")</f>
        <v>application/pdf</v>
      </c>
    </row>
    <row r="2674">
      <c r="A2674" s="339" t="str">
        <f>IFERROR(__xludf.DUMMYFUNCTION("""COMPUTED_VALUE"""),"10.3389/fpsyg.2014.01276")</f>
        <v>10.3389/fpsyg.2014.01276</v>
      </c>
      <c r="B2674" s="445" t="str">
        <f>IFERROR(__xludf.DUMMYFUNCTION("""COMPUTED_VALUE"""),"https://drive.google.com/file/d/1CSCUNAQZCt3s32RgzUwXe6pe5scvK0yY/view?usp=drivesdk")</f>
        <v>https://drive.google.com/file/d/1CSCUNAQZCt3s32RgzUwXe6pe5scvK0yY/view?usp=drivesdk</v>
      </c>
      <c r="C2674" s="339" t="str">
        <f>IFERROR(__xludf.DUMMYFUNCTION("""COMPUTED_VALUE"""),"10.3389--fpsyg.2014.01276.pdf")</f>
        <v>10.3389--fpsyg.2014.01276.pdf</v>
      </c>
      <c r="D2674" s="159" t="str">
        <f>IFERROR(__xludf.DUMMYFUNCTION("""COMPUTED_VALUE"""),"application/pdf")</f>
        <v>application/pdf</v>
      </c>
    </row>
    <row r="2675">
      <c r="A2675" s="339" t="str">
        <f>IFERROR(__xludf.DUMMYFUNCTION("""COMPUTED_VALUE"""),"10.3389/fpsyg.2014.00378")</f>
        <v>10.3389/fpsyg.2014.00378</v>
      </c>
      <c r="B2675" s="445" t="str">
        <f>IFERROR(__xludf.DUMMYFUNCTION("""COMPUTED_VALUE"""),"https://drive.google.com/file/d/1cflioA5Qw5Sj6UkXFjuzZ2STJ0e1v6Gz/view?usp=drivesdk")</f>
        <v>https://drive.google.com/file/d/1cflioA5Qw5Sj6UkXFjuzZ2STJ0e1v6Gz/view?usp=drivesdk</v>
      </c>
      <c r="C2675" s="339" t="str">
        <f>IFERROR(__xludf.DUMMYFUNCTION("""COMPUTED_VALUE"""),"10.3389--fpsyg.2014.00378.pdf")</f>
        <v>10.3389--fpsyg.2014.00378.pdf</v>
      </c>
      <c r="D2675" s="159" t="str">
        <f>IFERROR(__xludf.DUMMYFUNCTION("""COMPUTED_VALUE"""),"application/pdf")</f>
        <v>application/pdf</v>
      </c>
    </row>
    <row r="2676">
      <c r="A2676" s="339" t="str">
        <f>IFERROR(__xludf.DUMMYFUNCTION("""COMPUTED_VALUE"""),"10.3389/fped.2019.00206")</f>
        <v>10.3389/fped.2019.00206</v>
      </c>
      <c r="B2676" s="445" t="str">
        <f>IFERROR(__xludf.DUMMYFUNCTION("""COMPUTED_VALUE"""),"https://drive.google.com/file/d/1UEfsbEURhIs10uMTifQAssGeEJtFUKKx/view?usp=drivesdk")</f>
        <v>https://drive.google.com/file/d/1UEfsbEURhIs10uMTifQAssGeEJtFUKKx/view?usp=drivesdk</v>
      </c>
      <c r="C2676" s="339" t="str">
        <f>IFERROR(__xludf.DUMMYFUNCTION("""COMPUTED_VALUE"""),"10.3389--fped.2019.00206.pdf")</f>
        <v>10.3389--fped.2019.00206.pdf</v>
      </c>
      <c r="D2676" s="159" t="str">
        <f>IFERROR(__xludf.DUMMYFUNCTION("""COMPUTED_VALUE"""),"application/pdf")</f>
        <v>application/pdf</v>
      </c>
    </row>
    <row r="2677">
      <c r="A2677" s="339" t="str">
        <f>IFERROR(__xludf.DUMMYFUNCTION("""COMPUTED_VALUE"""),"10.1287/mnsc.2019.3362")</f>
        <v>10.1287/mnsc.2019.3362</v>
      </c>
      <c r="B2677" s="445" t="str">
        <f>IFERROR(__xludf.DUMMYFUNCTION("""COMPUTED_VALUE"""),"https://drive.google.com/file/d/1St2O5UfYoWXX1n7crfXuAdRXy1k6nYoo/view?usp=drivesdk")</f>
        <v>https://drive.google.com/file/d/1St2O5UfYoWXX1n7crfXuAdRXy1k6nYoo/view?usp=drivesdk</v>
      </c>
      <c r="C2677" s="339" t="str">
        <f>IFERROR(__xludf.DUMMYFUNCTION("""COMPUTED_VALUE"""),"10.1287--mnsc.2019.3362.pdf")</f>
        <v>10.1287--mnsc.2019.3362.pdf</v>
      </c>
      <c r="D2677" s="159" t="str">
        <f>IFERROR(__xludf.DUMMYFUNCTION("""COMPUTED_VALUE"""),"application/pdf")</f>
        <v>application/pdf</v>
      </c>
    </row>
    <row r="2678">
      <c r="A2678" s="339" t="str">
        <f>IFERROR(__xludf.DUMMYFUNCTION("""COMPUTED_VALUE"""),"10.1186/s40163-021-00141-0")</f>
        <v>10.1186/s40163-021-00141-0</v>
      </c>
      <c r="B2678" s="445" t="str">
        <f>IFERROR(__xludf.DUMMYFUNCTION("""COMPUTED_VALUE"""),"https://drive.google.com/file/d/1jpKVfN7bQV2qYmB0hMMFd61i7NfLKBWv/view?usp=drivesdk")</f>
        <v>https://drive.google.com/file/d/1jpKVfN7bQV2qYmB0hMMFd61i7NfLKBWv/view?usp=drivesdk</v>
      </c>
      <c r="C2678" s="339" t="str">
        <f>IFERROR(__xludf.DUMMYFUNCTION("""COMPUTED_VALUE"""),"10.1186--s40163-021-00141-0.pdf")</f>
        <v>10.1186--s40163-021-00141-0.pdf</v>
      </c>
      <c r="D2678" s="159" t="str">
        <f>IFERROR(__xludf.DUMMYFUNCTION("""COMPUTED_VALUE"""),"application/pdf")</f>
        <v>application/pdf</v>
      </c>
    </row>
    <row r="2679">
      <c r="A2679" s="339" t="str">
        <f>IFERROR(__xludf.DUMMYFUNCTION("""COMPUTED_VALUE"""),"10.1177/2515245920919667")</f>
        <v>10.1177/2515245920919667</v>
      </c>
      <c r="B2679" s="445" t="str">
        <f>IFERROR(__xludf.DUMMYFUNCTION("""COMPUTED_VALUE"""),"https://drive.google.com/file/d/1oIyrc3DheYw0taiflzQv_d41jqNrRjmb/view?usp=drivesdk")</f>
        <v>https://drive.google.com/file/d/1oIyrc3DheYw0taiflzQv_d41jqNrRjmb/view?usp=drivesdk</v>
      </c>
      <c r="C2679" s="339" t="str">
        <f>IFERROR(__xludf.DUMMYFUNCTION("""COMPUTED_VALUE"""),"10.1177--2515245920919667.pdf")</f>
        <v>10.1177--2515245920919667.pdf</v>
      </c>
      <c r="D2679" s="159" t="str">
        <f>IFERROR(__xludf.DUMMYFUNCTION("""COMPUTED_VALUE"""),"application/pdf")</f>
        <v>application/pdf</v>
      </c>
    </row>
    <row r="2680">
      <c r="A2680" s="339" t="str">
        <f>IFERROR(__xludf.DUMMYFUNCTION("""COMPUTED_VALUE"""),"10.1177/2515245918810225")</f>
        <v>10.1177/2515245918810225</v>
      </c>
      <c r="B2680" s="445" t="str">
        <f>IFERROR(__xludf.DUMMYFUNCTION("""COMPUTED_VALUE"""),"https://drive.google.com/file/d/1rGqHLpg3OEGQnWLvlAEJr7JSMWJ2p-Ar/view?usp=drivesdk")</f>
        <v>https://drive.google.com/file/d/1rGqHLpg3OEGQnWLvlAEJr7JSMWJ2p-Ar/view?usp=drivesdk</v>
      </c>
      <c r="C2680" s="339" t="str">
        <f>IFERROR(__xludf.DUMMYFUNCTION("""COMPUTED_VALUE"""),"10.1177--2515245918810225.pdf")</f>
        <v>10.1177--2515245918810225.pdf</v>
      </c>
      <c r="D2680" s="159" t="str">
        <f>IFERROR(__xludf.DUMMYFUNCTION("""COMPUTED_VALUE"""),"application/pdf")</f>
        <v>application/pdf</v>
      </c>
    </row>
    <row r="2681">
      <c r="A2681" s="339" t="str">
        <f>IFERROR(__xludf.DUMMYFUNCTION("""COMPUTED_VALUE"""),"10.1177/1948550619849426")</f>
        <v>10.1177/1948550619849426</v>
      </c>
      <c r="B2681" s="445" t="str">
        <f>IFERROR(__xludf.DUMMYFUNCTION("""COMPUTED_VALUE"""),"https://drive.google.com/file/d/14jCdpBA20GeEpZdlt1OEEDrVjc2kp6h7/view?usp=drivesdk")</f>
        <v>https://drive.google.com/file/d/14jCdpBA20GeEpZdlt1OEEDrVjc2kp6h7/view?usp=drivesdk</v>
      </c>
      <c r="C2681" s="339" t="str">
        <f>IFERROR(__xludf.DUMMYFUNCTION("""COMPUTED_VALUE"""),"10.1177--1948550619849426.pdf")</f>
        <v>10.1177--1948550619849426.pdf</v>
      </c>
      <c r="D2681" s="159" t="str">
        <f>IFERROR(__xludf.DUMMYFUNCTION("""COMPUTED_VALUE"""),"application/pdf")</f>
        <v>application/pdf</v>
      </c>
    </row>
    <row r="2682">
      <c r="A2682" s="339" t="str">
        <f>IFERROR(__xludf.DUMMYFUNCTION("""COMPUTED_VALUE"""),"10.1177/1948550619843931")</f>
        <v>10.1177/1948550619843931</v>
      </c>
      <c r="B2682" s="445" t="str">
        <f>IFERROR(__xludf.DUMMYFUNCTION("""COMPUTED_VALUE"""),"https://drive.google.com/file/d/1mJVZEGRuGEHvjJLpaIkoRcJuDNXnANgI/view?usp=drivesdk")</f>
        <v>https://drive.google.com/file/d/1mJVZEGRuGEHvjJLpaIkoRcJuDNXnANgI/view?usp=drivesdk</v>
      </c>
      <c r="C2682" s="339" t="str">
        <f>IFERROR(__xludf.DUMMYFUNCTION("""COMPUTED_VALUE"""),"10.1177--1948550619843931.pdf")</f>
        <v>10.1177--1948550619843931.pdf</v>
      </c>
      <c r="D2682" s="159" t="str">
        <f>IFERROR(__xludf.DUMMYFUNCTION("""COMPUTED_VALUE"""),"application/pdf")</f>
        <v>application/pdf</v>
      </c>
    </row>
    <row r="2683">
      <c r="A2683" s="339" t="str">
        <f>IFERROR(__xludf.DUMMYFUNCTION("""COMPUTED_VALUE"""),"10.1177/0956797618805750")</f>
        <v>10.1177/0956797618805750</v>
      </c>
      <c r="B2683" s="445" t="str">
        <f>IFERROR(__xludf.DUMMYFUNCTION("""COMPUTED_VALUE"""),"https://drive.google.com/file/d/1Z9cXGn_9cINuuX5drvoG0YLH4tFIjcZ7/view?usp=drivesdk")</f>
        <v>https://drive.google.com/file/d/1Z9cXGn_9cINuuX5drvoG0YLH4tFIjcZ7/view?usp=drivesdk</v>
      </c>
      <c r="C2683" s="339" t="str">
        <f>IFERROR(__xludf.DUMMYFUNCTION("""COMPUTED_VALUE"""),"10.1177--0956797618805750.pdf")</f>
        <v>10.1177--0956797618805750.pdf</v>
      </c>
      <c r="D2683" s="159" t="str">
        <f>IFERROR(__xludf.DUMMYFUNCTION("""COMPUTED_VALUE"""),"application/pdf")</f>
        <v>application/pdf</v>
      </c>
    </row>
    <row r="2684">
      <c r="A2684" s="339" t="str">
        <f>IFERROR(__xludf.DUMMYFUNCTION("""COMPUTED_VALUE"""),"10.1177/0956797618779061")</f>
        <v>10.1177/0956797618779061</v>
      </c>
      <c r="B2684" s="445" t="str">
        <f>IFERROR(__xludf.DUMMYFUNCTION("""COMPUTED_VALUE"""),"https://drive.google.com/file/d/1TVEae0arGcjXygxgVD8laFAM0LcnW7EM/view?usp=drivesdk")</f>
        <v>https://drive.google.com/file/d/1TVEae0arGcjXygxgVD8laFAM0LcnW7EM/view?usp=drivesdk</v>
      </c>
      <c r="C2684" s="339" t="str">
        <f>IFERROR(__xludf.DUMMYFUNCTION("""COMPUTED_VALUE"""),"10.1177--0956797618779061.pdf")</f>
        <v>10.1177--0956797618779061.pdf</v>
      </c>
      <c r="D2684" s="159" t="str">
        <f>IFERROR(__xludf.DUMMYFUNCTION("""COMPUTED_VALUE"""),"application/pdf")</f>
        <v>application/pdf</v>
      </c>
    </row>
    <row r="2685">
      <c r="A2685" s="339" t="str">
        <f>IFERROR(__xludf.DUMMYFUNCTION("""COMPUTED_VALUE"""),"10.1177/0956797611435919")</f>
        <v>10.1177/0956797611435919</v>
      </c>
      <c r="B2685" s="445" t="str">
        <f>IFERROR(__xludf.DUMMYFUNCTION("""COMPUTED_VALUE"""),"https://drive.google.com/file/d/1VcKqsyqYAl_exqLf4Zk_sKFNXaU3WlBH/view?usp=drivesdk")</f>
        <v>https://drive.google.com/file/d/1VcKqsyqYAl_exqLf4Zk_sKFNXaU3WlBH/view?usp=drivesdk</v>
      </c>
      <c r="C2685" s="339" t="str">
        <f>IFERROR(__xludf.DUMMYFUNCTION("""COMPUTED_VALUE"""),"10.1177--0956797611435919.pdf")</f>
        <v>10.1177--0956797611435919.pdf</v>
      </c>
      <c r="D2685" s="159" t="str">
        <f>IFERROR(__xludf.DUMMYFUNCTION("""COMPUTED_VALUE"""),"application/pdf")</f>
        <v>application/pdf</v>
      </c>
    </row>
    <row r="2686">
      <c r="A2686" s="339" t="str">
        <f>IFERROR(__xludf.DUMMYFUNCTION("""COMPUTED_VALUE"""),"10.1177/01461672211025423")</f>
        <v>10.1177/01461672211025423</v>
      </c>
      <c r="B2686" s="445" t="str">
        <f>IFERROR(__xludf.DUMMYFUNCTION("""COMPUTED_VALUE"""),"https://drive.google.com/file/d/1_Q49N573VFAV_0WagG-Wq7CeefQWtosH/view?usp=drivesdk")</f>
        <v>https://drive.google.com/file/d/1_Q49N573VFAV_0WagG-Wq7CeefQWtosH/view?usp=drivesdk</v>
      </c>
      <c r="C2686" s="339" t="str">
        <f>IFERROR(__xludf.DUMMYFUNCTION("""COMPUTED_VALUE"""),"10.1177--01461672211025423.pdf")</f>
        <v>10.1177--01461672211025423.pdf</v>
      </c>
      <c r="D2686" s="159" t="str">
        <f>IFERROR(__xludf.DUMMYFUNCTION("""COMPUTED_VALUE"""),"application/pdf")</f>
        <v>application/pdf</v>
      </c>
    </row>
    <row r="2687">
      <c r="A2687" s="339" t="str">
        <f>IFERROR(__xludf.DUMMYFUNCTION("""COMPUTED_VALUE"""),"10.1177/0146167220908389")</f>
        <v>10.1177/0146167220908389</v>
      </c>
      <c r="B2687" s="445" t="str">
        <f>IFERROR(__xludf.DUMMYFUNCTION("""COMPUTED_VALUE"""),"https://drive.google.com/file/d/1Z8QqX6BeYJ31sKxIZKBNg1LwDY6t3snO/view?usp=drivesdk")</f>
        <v>https://drive.google.com/file/d/1Z8QqX6BeYJ31sKxIZKBNg1LwDY6t3snO/view?usp=drivesdk</v>
      </c>
      <c r="C2687" s="339" t="str">
        <f>IFERROR(__xludf.DUMMYFUNCTION("""COMPUTED_VALUE"""),"10.1177--0146167220908389.pdf")</f>
        <v>10.1177--0146167220908389.pdf</v>
      </c>
      <c r="D2687" s="159" t="str">
        <f>IFERROR(__xludf.DUMMYFUNCTION("""COMPUTED_VALUE"""),"application/pdf")</f>
        <v>application/pdf</v>
      </c>
    </row>
    <row r="2688">
      <c r="A2688" s="339" t="str">
        <f>IFERROR(__xludf.DUMMYFUNCTION("""COMPUTED_VALUE"""),"10.1177/0093650215609676")</f>
        <v>10.1177/0093650215609676</v>
      </c>
      <c r="B2688" s="445" t="str">
        <f>IFERROR(__xludf.DUMMYFUNCTION("""COMPUTED_VALUE"""),"https://drive.google.com/file/d/1XTFfWFGSOorXaSHUTepn_NywZP0WRrna/view?usp=drivesdk")</f>
        <v>https://drive.google.com/file/d/1XTFfWFGSOorXaSHUTepn_NywZP0WRrna/view?usp=drivesdk</v>
      </c>
      <c r="C2688" s="339" t="str">
        <f>IFERROR(__xludf.DUMMYFUNCTION("""COMPUTED_VALUE"""),"10.1177--0093650215609676.pdf")</f>
        <v>10.1177--0093650215609676.pdf</v>
      </c>
      <c r="D2688" s="159" t="str">
        <f>IFERROR(__xludf.DUMMYFUNCTION("""COMPUTED_VALUE"""),"application/pdf")</f>
        <v>application/pdf</v>
      </c>
    </row>
    <row r="2689">
      <c r="A2689" s="339" t="str">
        <f>IFERROR(__xludf.DUMMYFUNCTION("""COMPUTED_VALUE"""),"10.1177/0022243720932532")</f>
        <v>10.1177/0022243720932532</v>
      </c>
      <c r="B2689" s="445" t="str">
        <f>IFERROR(__xludf.DUMMYFUNCTION("""COMPUTED_VALUE"""),"https://drive.google.com/file/d/1MOD_LiszrqtrS8ADK6fAq6j9ju8s4Owd/view?usp=drivesdk")</f>
        <v>https://drive.google.com/file/d/1MOD_LiszrqtrS8ADK6fAq6j9ju8s4Owd/view?usp=drivesdk</v>
      </c>
      <c r="C2689" s="339" t="str">
        <f>IFERROR(__xludf.DUMMYFUNCTION("""COMPUTED_VALUE"""),"10.1177--0022243720932532.pdf")</f>
        <v>10.1177--0022243720932532.pdf</v>
      </c>
      <c r="D2689" s="159" t="str">
        <f>IFERROR(__xludf.DUMMYFUNCTION("""COMPUTED_VALUE"""),"application/pdf")</f>
        <v>application/pdf</v>
      </c>
    </row>
    <row r="2690">
      <c r="A2690" s="339" t="str">
        <f>IFERROR(__xludf.DUMMYFUNCTION("""COMPUTED_VALUE"""),"10.1177/0022243720904758")</f>
        <v>10.1177/0022243720904758</v>
      </c>
      <c r="B2690" s="445" t="str">
        <f>IFERROR(__xludf.DUMMYFUNCTION("""COMPUTED_VALUE"""),"https://drive.google.com/file/d/1dAqnDNRhaQ6sjRhO40O2fp3yaLbqJIli/view?usp=drivesdk")</f>
        <v>https://drive.google.com/file/d/1dAqnDNRhaQ6sjRhO40O2fp3yaLbqJIli/view?usp=drivesdk</v>
      </c>
      <c r="C2690" s="339" t="str">
        <f>IFERROR(__xludf.DUMMYFUNCTION("""COMPUTED_VALUE"""),"10.1177--0022243720904758.pdf")</f>
        <v>10.1177--0022243720904758.pdf</v>
      </c>
      <c r="D2690" s="159" t="str">
        <f>IFERROR(__xludf.DUMMYFUNCTION("""COMPUTED_VALUE"""),"application/pdf")</f>
        <v>application/pdf</v>
      </c>
    </row>
    <row r="2691">
      <c r="A2691" s="339" t="str">
        <f>IFERROR(__xludf.DUMMYFUNCTION("""COMPUTED_VALUE"""),"10.1177/0022243718813544")</f>
        <v>10.1177/0022243718813544</v>
      </c>
      <c r="B2691" s="445" t="str">
        <f>IFERROR(__xludf.DUMMYFUNCTION("""COMPUTED_VALUE"""),"https://drive.google.com/file/d/13a9vBHGI6SG76QMpDyvnIcBH20qNsto2/view?usp=drivesdk")</f>
        <v>https://drive.google.com/file/d/13a9vBHGI6SG76QMpDyvnIcBH20qNsto2/view?usp=drivesdk</v>
      </c>
      <c r="C2691" s="339" t="str">
        <f>IFERROR(__xludf.DUMMYFUNCTION("""COMPUTED_VALUE"""),"10.1177--0022243718813544.pdf")</f>
        <v>10.1177--0022243718813544.pdf</v>
      </c>
      <c r="D2691" s="159" t="str">
        <f>IFERROR(__xludf.DUMMYFUNCTION("""COMPUTED_VALUE"""),"application/pdf")</f>
        <v>application/pdf</v>
      </c>
    </row>
    <row r="2692">
      <c r="A2692" s="339" t="str">
        <f>IFERROR(__xludf.DUMMYFUNCTION("""COMPUTED_VALUE"""),"10.1177/002224298204600109")</f>
        <v>10.1177/002224298204600109</v>
      </c>
      <c r="B2692" s="445" t="str">
        <f>IFERROR(__xludf.DUMMYFUNCTION("""COMPUTED_VALUE"""),"https://drive.google.com/file/d/1MlLDH_QC-oyJlNsYjSNEwCrfC2Y9mK6Y/view?usp=drivesdk")</f>
        <v>https://drive.google.com/file/d/1MlLDH_QC-oyJlNsYjSNEwCrfC2Y9mK6Y/view?usp=drivesdk</v>
      </c>
      <c r="C2692" s="339" t="str">
        <f>IFERROR(__xludf.DUMMYFUNCTION("""COMPUTED_VALUE"""),"10.1177--002224298204600109.pdf")</f>
        <v>10.1177--002224298204600109.pdf</v>
      </c>
      <c r="D2692" s="159" t="str">
        <f>IFERROR(__xludf.DUMMYFUNCTION("""COMPUTED_VALUE"""),"application/pdf")</f>
        <v>application/pdf</v>
      </c>
    </row>
    <row r="2693">
      <c r="A2693" s="339" t="str">
        <f>IFERROR(__xludf.DUMMYFUNCTION("""COMPUTED_VALUE"""),"10.1177/0022002793037003004")</f>
        <v>10.1177/0022002793037003004</v>
      </c>
      <c r="B2693" s="445" t="str">
        <f>IFERROR(__xludf.DUMMYFUNCTION("""COMPUTED_VALUE"""),"https://drive.google.com/file/d/1AJ_9VVIBkWOhrIbyTF4e9U5GJriLhVYy/view?usp=drivesdk")</f>
        <v>https://drive.google.com/file/d/1AJ_9VVIBkWOhrIbyTF4e9U5GJriLhVYy/view?usp=drivesdk</v>
      </c>
      <c r="C2693" s="339" t="str">
        <f>IFERROR(__xludf.DUMMYFUNCTION("""COMPUTED_VALUE"""),"10.1177--0022002793037003004.pdf")</f>
        <v>10.1177--0022002793037003004.pdf</v>
      </c>
      <c r="D2693" s="159" t="str">
        <f>IFERROR(__xludf.DUMMYFUNCTION("""COMPUTED_VALUE"""),"application/pdf")</f>
        <v>application/pdf</v>
      </c>
    </row>
    <row r="2694">
      <c r="A2694" s="339" t="str">
        <f>IFERROR(__xludf.DUMMYFUNCTION("""COMPUTED_VALUE"""),"10.1177/0001839219840022")</f>
        <v>10.1177/0001839219840022</v>
      </c>
      <c r="B2694" s="445" t="str">
        <f>IFERROR(__xludf.DUMMYFUNCTION("""COMPUTED_VALUE"""),"https://drive.google.com/file/d/1gbKPV2rhuEZ5YY7sLWcOmdMsnKF1lOwO/view?usp=drivesdk")</f>
        <v>https://drive.google.com/file/d/1gbKPV2rhuEZ5YY7sLWcOmdMsnKF1lOwO/view?usp=drivesdk</v>
      </c>
      <c r="C2694" s="339" t="str">
        <f>IFERROR(__xludf.DUMMYFUNCTION("""COMPUTED_VALUE"""),"10.1177--0001839219840022.pdf")</f>
        <v>10.1177--0001839219840022.pdf</v>
      </c>
      <c r="D2694" s="159" t="str">
        <f>IFERROR(__xludf.DUMMYFUNCTION("""COMPUTED_VALUE"""),"application/pdf")</f>
        <v>application/pdf</v>
      </c>
    </row>
    <row r="2695">
      <c r="A2695" s="339" t="str">
        <f>IFERROR(__xludf.DUMMYFUNCTION("""COMPUTED_VALUE"""),"10.1163/156853706776931385")</f>
        <v>10.1163/156853706776931385</v>
      </c>
      <c r="B2695" s="445" t="str">
        <f>IFERROR(__xludf.DUMMYFUNCTION("""COMPUTED_VALUE"""),"https://drive.google.com/file/d/1XAdHa8ntbQreOrtrubV-Qgfz8m_7szBt/view?usp=drivesdk")</f>
        <v>https://drive.google.com/file/d/1XAdHa8ntbQreOrtrubV-Qgfz8m_7szBt/view?usp=drivesdk</v>
      </c>
      <c r="C2695" s="339" t="str">
        <f>IFERROR(__xludf.DUMMYFUNCTION("""COMPUTED_VALUE"""),"10.1163--156853706776931385.pdf")</f>
        <v>10.1163--156853706776931385.pdf</v>
      </c>
      <c r="D2695" s="159" t="str">
        <f>IFERROR(__xludf.DUMMYFUNCTION("""COMPUTED_VALUE"""),"application/pdf")</f>
        <v>application/pdf</v>
      </c>
    </row>
    <row r="2696">
      <c r="A2696" s="339" t="str">
        <f>IFERROR(__xludf.DUMMYFUNCTION("""COMPUTED_VALUE"""),"10.1163/156853706776931222")</f>
        <v>10.1163/156853706776931222</v>
      </c>
      <c r="B2696" s="445" t="str">
        <f>IFERROR(__xludf.DUMMYFUNCTION("""COMPUTED_VALUE"""),"https://drive.google.com/file/d/1_KweoGhNrt_00Umu1vsjHfibTm4z9cNE/view?usp=drivesdk")</f>
        <v>https://drive.google.com/file/d/1_KweoGhNrt_00Umu1vsjHfibTm4z9cNE/view?usp=drivesdk</v>
      </c>
      <c r="C2696" s="339" t="str">
        <f>IFERROR(__xludf.DUMMYFUNCTION("""COMPUTED_VALUE"""),"10.1163--156853706776931222.pdf")</f>
        <v>10.1163--156853706776931222.pdf</v>
      </c>
      <c r="D2696" s="159" t="str">
        <f>IFERROR(__xludf.DUMMYFUNCTION("""COMPUTED_VALUE"""),"application/pdf")</f>
        <v>application/pdf</v>
      </c>
    </row>
    <row r="2697">
      <c r="A2697" s="339" t="str">
        <f>IFERROR(__xludf.DUMMYFUNCTION("""COMPUTED_VALUE"""),"10.1162/rest_a_00694")</f>
        <v>10.1162/rest_a_00694</v>
      </c>
      <c r="B2697" s="445" t="str">
        <f>IFERROR(__xludf.DUMMYFUNCTION("""COMPUTED_VALUE"""),"https://drive.google.com/file/d/1QlUnrKvG2byRPDlFFsCbdysV_7ZkCkzf/view?usp=drivesdk")</f>
        <v>https://drive.google.com/file/d/1QlUnrKvG2byRPDlFFsCbdysV_7ZkCkzf/view?usp=drivesdk</v>
      </c>
      <c r="C2697" s="339" t="str">
        <f>IFERROR(__xludf.DUMMYFUNCTION("""COMPUTED_VALUE"""),"10.1162--REST_a_00694.pdf")</f>
        <v>10.1162--REST_a_00694.pdf</v>
      </c>
      <c r="D2697" s="159" t="str">
        <f>IFERROR(__xludf.DUMMYFUNCTION("""COMPUTED_VALUE"""),"application/pdf")</f>
        <v>application/pdf</v>
      </c>
    </row>
    <row r="2698">
      <c r="A2698" s="339" t="str">
        <f>IFERROR(__xludf.DUMMYFUNCTION("""COMPUTED_VALUE"""),"10.1162/089892900562219")</f>
        <v>10.1162/089892900562219</v>
      </c>
      <c r="B2698" s="445" t="str">
        <f>IFERROR(__xludf.DUMMYFUNCTION("""COMPUTED_VALUE"""),"https://drive.google.com/file/d/1ExZ7juOSUgumoSt5vCuDEvgISB_mT9vX/view?usp=drivesdk")</f>
        <v>https://drive.google.com/file/d/1ExZ7juOSUgumoSt5vCuDEvgISB_mT9vX/view?usp=drivesdk</v>
      </c>
      <c r="C2698" s="339" t="str">
        <f>IFERROR(__xludf.DUMMYFUNCTION("""COMPUTED_VALUE"""),"10.1162--089892900562219.pdf")</f>
        <v>10.1162--089892900562219.pdf</v>
      </c>
      <c r="D2698" s="159" t="str">
        <f>IFERROR(__xludf.DUMMYFUNCTION("""COMPUTED_VALUE"""),"application/pdf")</f>
        <v>application/pdf</v>
      </c>
    </row>
    <row r="2699">
      <c r="A2699" s="339" t="str">
        <f>IFERROR(__xludf.DUMMYFUNCTION("""COMPUTED_VALUE"""),"10.1152/japplphysiol.91324.2008")</f>
        <v>10.1152/japplphysiol.91324.2008</v>
      </c>
      <c r="B2699" s="445" t="str">
        <f>IFERROR(__xludf.DUMMYFUNCTION("""COMPUTED_VALUE"""),"https://drive.google.com/file/d/1jS6-wcsNs2BINT3z4pARWRtZLYGXCQno/view?usp=drivesdk")</f>
        <v>https://drive.google.com/file/d/1jS6-wcsNs2BINT3z4pARWRtZLYGXCQno/view?usp=drivesdk</v>
      </c>
      <c r="C2699" s="339" t="str">
        <f>IFERROR(__xludf.DUMMYFUNCTION("""COMPUTED_VALUE"""),"10.1152--japplphysiol.91324.2008.pdf")</f>
        <v>10.1152--japplphysiol.91324.2008.pdf</v>
      </c>
      <c r="D2699" s="159" t="str">
        <f>IFERROR(__xludf.DUMMYFUNCTION("""COMPUTED_VALUE"""),"application/pdf")</f>
        <v>application/pdf</v>
      </c>
    </row>
    <row r="2700">
      <c r="A2700" s="339" t="str">
        <f>IFERROR(__xludf.DUMMYFUNCTION("""COMPUTED_VALUE"""),"10.1145/3290605.3300469")</f>
        <v>10.1145/3290605.3300469</v>
      </c>
      <c r="B2700" s="445" t="str">
        <f>IFERROR(__xludf.DUMMYFUNCTION("""COMPUTED_VALUE"""),"https://drive.google.com/file/d/1lOqUFhZvkowPd-Ne3aczCZ30vQ08jqm-/view?usp=drivesdk")</f>
        <v>https://drive.google.com/file/d/1lOqUFhZvkowPd-Ne3aczCZ30vQ08jqm-/view?usp=drivesdk</v>
      </c>
      <c r="C2700" s="339" t="str">
        <f>IFERROR(__xludf.DUMMYFUNCTION("""COMPUTED_VALUE"""),"10.1145--3290605.3300469.pdf")</f>
        <v>10.1145--3290605.3300469.pdf</v>
      </c>
      <c r="D2700" s="159" t="str">
        <f>IFERROR(__xludf.DUMMYFUNCTION("""COMPUTED_VALUE"""),"application/pdf")</f>
        <v>application/pdf</v>
      </c>
    </row>
    <row r="2701">
      <c r="A2701" s="339" t="str">
        <f>IFERROR(__xludf.DUMMYFUNCTION("""COMPUTED_VALUE"""),"10.1145/3173574.3174188")</f>
        <v>10.1145/3173574.3174188</v>
      </c>
      <c r="B2701" s="445" t="str">
        <f>IFERROR(__xludf.DUMMYFUNCTION("""COMPUTED_VALUE"""),"https://drive.google.com/file/d/12yIYc8a3z4MzJ_-PiAeu39d1ppwYynMI/view?usp=drivesdk")</f>
        <v>https://drive.google.com/file/d/12yIYc8a3z4MzJ_-PiAeu39d1ppwYynMI/view?usp=drivesdk</v>
      </c>
      <c r="C2701" s="339" t="str">
        <f>IFERROR(__xludf.DUMMYFUNCTION("""COMPUTED_VALUE"""),"10.1145--3173574.3174188.pdf")</f>
        <v>10.1145--3173574.3174188.pdf</v>
      </c>
      <c r="D2701" s="159" t="str">
        <f>IFERROR(__xludf.DUMMYFUNCTION("""COMPUTED_VALUE"""),"application/pdf")</f>
        <v>application/pdf</v>
      </c>
    </row>
    <row r="2702">
      <c r="A2702" s="339" t="str">
        <f>IFERROR(__xludf.DUMMYFUNCTION("""COMPUTED_VALUE"""),"10.1145/2470654.2481281")</f>
        <v>10.1145/2470654.2481281</v>
      </c>
      <c r="B2702" s="445" t="str">
        <f>IFERROR(__xludf.DUMMYFUNCTION("""COMPUTED_VALUE"""),"https://drive.google.com/file/d/1gQEP5IJLffmqgeBD8cJqZD1njhiICXaO/view?usp=drivesdk")</f>
        <v>https://drive.google.com/file/d/1gQEP5IJLffmqgeBD8cJqZD1njhiICXaO/view?usp=drivesdk</v>
      </c>
      <c r="C2702" s="339" t="str">
        <f>IFERROR(__xludf.DUMMYFUNCTION("""COMPUTED_VALUE"""),"10.1145--2470654.2481281.pdf")</f>
        <v>10.1145--2470654.2481281.pdf</v>
      </c>
      <c r="D2702" s="159" t="str">
        <f>IFERROR(__xludf.DUMMYFUNCTION("""COMPUTED_VALUE"""),"application/pdf")</f>
        <v>application/pdf</v>
      </c>
    </row>
    <row r="2703">
      <c r="A2703" s="339" t="str">
        <f>IFERROR(__xludf.DUMMYFUNCTION("""COMPUTED_VALUE"""),"10.1126/science.2296719")</f>
        <v>10.1126/science.2296719</v>
      </c>
      <c r="B2703" s="445" t="str">
        <f>IFERROR(__xludf.DUMMYFUNCTION("""COMPUTED_VALUE"""),"https://drive.google.com/file/d/1aw1deRdv2_brwSW2ZZ7DG8T0vbU0PYNX/view?usp=drivesdk")</f>
        <v>https://drive.google.com/file/d/1aw1deRdv2_brwSW2ZZ7DG8T0vbU0PYNX/view?usp=drivesdk</v>
      </c>
      <c r="C2703" s="339" t="str">
        <f>IFERROR(__xludf.DUMMYFUNCTION("""COMPUTED_VALUE"""),"10.1126--science.2296719.pdf")</f>
        <v>10.1126--science.2296719.pdf</v>
      </c>
      <c r="D2703" s="159" t="str">
        <f>IFERROR(__xludf.DUMMYFUNCTION("""COMPUTED_VALUE"""),"application/pdf")</f>
        <v>application/pdf</v>
      </c>
    </row>
    <row r="2704">
      <c r="A2704" s="339" t="str">
        <f>IFERROR(__xludf.DUMMYFUNCTION("""COMPUTED_VALUE"""),"10.1126/science.185.4157.1124")</f>
        <v>10.1126/science.185.4157.1124</v>
      </c>
      <c r="B2704" s="445" t="str">
        <f>IFERROR(__xludf.DUMMYFUNCTION("""COMPUTED_VALUE"""),"https://drive.google.com/file/d/1kwCznuTuMe4F8uergcBMCOeb45jEuXTr/view?usp=drivesdk")</f>
        <v>https://drive.google.com/file/d/1kwCznuTuMe4F8uergcBMCOeb45jEuXTr/view?usp=drivesdk</v>
      </c>
      <c r="C2704" s="339" t="str">
        <f>IFERROR(__xludf.DUMMYFUNCTION("""COMPUTED_VALUE"""),"10.1126--science.185.4157.1124.pdf")</f>
        <v>10.1126--science.185.4157.1124.pdf</v>
      </c>
      <c r="D2704" s="159" t="str">
        <f>IFERROR(__xludf.DUMMYFUNCTION("""COMPUTED_VALUE"""),"application/pdf")</f>
        <v>application/pdf</v>
      </c>
    </row>
    <row r="2705">
      <c r="A2705" s="339" t="str">
        <f>IFERROR(__xludf.DUMMYFUNCTION("""COMPUTED_VALUE"""),"10.1126/science.148.3670.661")</f>
        <v>10.1126/science.148.3670.661</v>
      </c>
      <c r="B2705" s="445" t="str">
        <f>IFERROR(__xludf.DUMMYFUNCTION("""COMPUTED_VALUE"""),"https://drive.google.com/file/d/1LtoTK2zHVIYGFfb_cXHLXLWkOHpGikA0/view?usp=drivesdk")</f>
        <v>https://drive.google.com/file/d/1LtoTK2zHVIYGFfb_cXHLXLWkOHpGikA0/view?usp=drivesdk</v>
      </c>
      <c r="C2705" s="339" t="str">
        <f>IFERROR(__xludf.DUMMYFUNCTION("""COMPUTED_VALUE"""),"10.1126--science.148.3670.661.pdf")</f>
        <v>10.1126--science.148.3670.661.pdf</v>
      </c>
      <c r="D2705" s="159" t="str">
        <f>IFERROR(__xludf.DUMMYFUNCTION("""COMPUTED_VALUE"""),"application/pdf")</f>
        <v>application/pdf</v>
      </c>
    </row>
    <row r="2706">
      <c r="A2706" s="339" t="str">
        <f>IFERROR(__xludf.DUMMYFUNCTION("""COMPUTED_VALUE"""),"10.1126/science.1253932")</f>
        <v>10.1126/science.1253932</v>
      </c>
      <c r="B2706" s="445" t="str">
        <f>IFERROR(__xludf.DUMMYFUNCTION("""COMPUTED_VALUE"""),"https://drive.google.com/file/d/1u3UeZsgg-pu1ZHEEX1uaXHGyGnnbQIHr/view?usp=drivesdk")</f>
        <v>https://drive.google.com/file/d/1u3UeZsgg-pu1ZHEEX1uaXHGyGnnbQIHr/view?usp=drivesdk</v>
      </c>
      <c r="C2706" s="339" t="str">
        <f>IFERROR(__xludf.DUMMYFUNCTION("""COMPUTED_VALUE"""),"10.1126--science.1253932.pdf")</f>
        <v>10.1126--science.1253932.pdf</v>
      </c>
      <c r="D2706" s="159" t="str">
        <f>IFERROR(__xludf.DUMMYFUNCTION("""COMPUTED_VALUE"""),"application/pdf")</f>
        <v>application/pdf</v>
      </c>
    </row>
    <row r="2707">
      <c r="A2707" s="339" t="str">
        <f>IFERROR(__xludf.DUMMYFUNCTION("""COMPUTED_VALUE"""),"10.1126/science.1250830")</f>
        <v>10.1126/science.1250830</v>
      </c>
      <c r="B2707" s="445" t="str">
        <f>IFERROR(__xludf.DUMMYFUNCTION("""COMPUTED_VALUE"""),"https://drive.google.com/file/d/164yvRbDzBp4QTOt60ne0zLFnKfzz6qWW/view?usp=drivesdk")</f>
        <v>https://drive.google.com/file/d/164yvRbDzBp4QTOt60ne0zLFnKfzz6qWW/view?usp=drivesdk</v>
      </c>
      <c r="C2707" s="339" t="str">
        <f>IFERROR(__xludf.DUMMYFUNCTION("""COMPUTED_VALUE"""),"10.1126--science.1250830.pdf")</f>
        <v>10.1126--science.1250830.pdf</v>
      </c>
      <c r="D2707" s="159" t="str">
        <f>IFERROR(__xludf.DUMMYFUNCTION("""COMPUTED_VALUE"""),"application/pdf")</f>
        <v>application/pdf</v>
      </c>
    </row>
    <row r="2708">
      <c r="A2708" s="339" t="str">
        <f>IFERROR(__xludf.DUMMYFUNCTION("""COMPUTED_VALUE"""),"10.1126/science.1238041")</f>
        <v>10.1126/science.1238041</v>
      </c>
      <c r="B2708" s="445" t="str">
        <f>IFERROR(__xludf.DUMMYFUNCTION("""COMPUTED_VALUE"""),"https://drive.google.com/file/d/18geCDJ5bRB3bpM43MHvE6GJwLIjojiV3/view?usp=drivesdk")</f>
        <v>https://drive.google.com/file/d/18geCDJ5bRB3bpM43MHvE6GJwLIjojiV3/view?usp=drivesdk</v>
      </c>
      <c r="C2708" s="339" t="str">
        <f>IFERROR(__xludf.DUMMYFUNCTION("""COMPUTED_VALUE"""),"10.1126--science.1238041.pdf")</f>
        <v>10.1126--science.1238041.pdf</v>
      </c>
      <c r="D2708" s="159" t="str">
        <f>IFERROR(__xludf.DUMMYFUNCTION("""COMPUTED_VALUE"""),"application/pdf")</f>
        <v>application/pdf</v>
      </c>
    </row>
    <row r="2709">
      <c r="A2709" s="339" t="str">
        <f>IFERROR(__xludf.DUMMYFUNCTION("""COMPUTED_VALUE"""),"10.1126/science.1224313")</f>
        <v>10.1126/science.1224313</v>
      </c>
      <c r="B2709" s="445" t="str">
        <f>IFERROR(__xludf.DUMMYFUNCTION("""COMPUTED_VALUE"""),"https://drive.google.com/file/d/19EgT43RHjwkUo0_VH9RxY_gZl2qByBLZ/view?usp=drivesdk")</f>
        <v>https://drive.google.com/file/d/19EgT43RHjwkUo0_VH9RxY_gZl2qByBLZ/view?usp=drivesdk</v>
      </c>
      <c r="C2709" s="339" t="str">
        <f>IFERROR(__xludf.DUMMYFUNCTION("""COMPUTED_VALUE"""),"10.1126--science.1224313.pdf")</f>
        <v>10.1126--science.1224313.pdf</v>
      </c>
      <c r="D2709" s="159" t="str">
        <f>IFERROR(__xludf.DUMMYFUNCTION("""COMPUTED_VALUE"""),"application/pdf")</f>
        <v>application/pdf</v>
      </c>
    </row>
    <row r="2710">
      <c r="A2710" s="339" t="str">
        <f>IFERROR(__xludf.DUMMYFUNCTION("""COMPUTED_VALUE"""),"10.1126/science.1221936")</f>
        <v>10.1126/science.1221936</v>
      </c>
      <c r="B2710" s="445" t="str">
        <f>IFERROR(__xludf.DUMMYFUNCTION("""COMPUTED_VALUE"""),"https://drive.google.com/file/d/1iB1iRJQEIss4hSoqw92nY3NXxa2obChZ/view?usp=drivesdk")</f>
        <v>https://drive.google.com/file/d/1iB1iRJQEIss4hSoqw92nY3NXxa2obChZ/view?usp=drivesdk</v>
      </c>
      <c r="C2710" s="339" t="str">
        <f>IFERROR(__xludf.DUMMYFUNCTION("""COMPUTED_VALUE"""),"10.1126--science.1221936.pdf")</f>
        <v>10.1126--science.1221936.pdf</v>
      </c>
      <c r="D2710" s="159" t="str">
        <f>IFERROR(__xludf.DUMMYFUNCTION("""COMPUTED_VALUE"""),"application/pdf")</f>
        <v>application/pdf</v>
      </c>
    </row>
    <row r="2711">
      <c r="A2711" s="339" t="str">
        <f>IFERROR(__xludf.DUMMYFUNCTION("""COMPUTED_VALUE"""),"10.1126/science.1211180")</f>
        <v>10.1126/science.1211180</v>
      </c>
      <c r="B2711" s="445" t="str">
        <f>IFERROR(__xludf.DUMMYFUNCTION("""COMPUTED_VALUE"""),"https://drive.google.com/file/d/1SP5jHd3WRyyvYJcl4eFapcMBBizKeGUl/view?usp=drivesdk")</f>
        <v>https://drive.google.com/file/d/1SP5jHd3WRyyvYJcl4eFapcMBBizKeGUl/view?usp=drivesdk</v>
      </c>
      <c r="C2711" s="339" t="str">
        <f>IFERROR(__xludf.DUMMYFUNCTION("""COMPUTED_VALUE"""),"10.1126--science.1211180.pdf")</f>
        <v>10.1126--science.1211180.pdf</v>
      </c>
      <c r="D2711" s="159" t="str">
        <f>IFERROR(__xludf.DUMMYFUNCTION("""COMPUTED_VALUE"""),"application/pdf")</f>
        <v>application/pdf</v>
      </c>
    </row>
    <row r="2712">
      <c r="A2712" s="339" t="str">
        <f>IFERROR(__xludf.DUMMYFUNCTION("""COMPUTED_VALUE"""),"10.1126/science.1215647")</f>
        <v>10.1126/science.1215647</v>
      </c>
      <c r="B2712" s="445" t="str">
        <f>IFERROR(__xludf.DUMMYFUNCTION("""COMPUTED_VALUE"""),"https://drive.google.com/file/d/1Vg-OUhY15FAok2mtyokmeZIHZaqgAHg5/view?usp=drivesdk")</f>
        <v>https://drive.google.com/file/d/1Vg-OUhY15FAok2mtyokmeZIHZaqgAHg5/view?usp=drivesdk</v>
      </c>
      <c r="C2712" s="339" t="str">
        <f>IFERROR(__xludf.DUMMYFUNCTION("""COMPUTED_VALUE"""),"10.1126--science.1215647.pdf")</f>
        <v>10.1126--science.1215647.pdf</v>
      </c>
      <c r="D2712" s="159" t="str">
        <f>IFERROR(__xludf.DUMMYFUNCTION("""COMPUTED_VALUE"""),"application/pdf")</f>
        <v>application/pdf</v>
      </c>
    </row>
    <row r="2713">
      <c r="A2713" s="339" t="str">
        <f>IFERROR(__xludf.DUMMYFUNCTION("""COMPUTED_VALUE"""),"10.1126/science.1207745")</f>
        <v>10.1126/science.1207745</v>
      </c>
      <c r="B2713" s="445" t="str">
        <f>IFERROR(__xludf.DUMMYFUNCTION("""COMPUTED_VALUE"""),"https://drive.google.com/file/d/1Ea_lj0SN0yiXoEUsbmTc67SPDOrQH-yU/view?usp=drivesdk")</f>
        <v>https://drive.google.com/file/d/1Ea_lj0SN0yiXoEUsbmTc67SPDOrQH-yU/view?usp=drivesdk</v>
      </c>
      <c r="C2713" s="339" t="str">
        <f>IFERROR(__xludf.DUMMYFUNCTION("""COMPUTED_VALUE"""),"10.1126--science.1207745.pdf")</f>
        <v>10.1126--science.1207745.pdf</v>
      </c>
      <c r="D2713" s="159" t="str">
        <f>IFERROR(__xludf.DUMMYFUNCTION("""COMPUTED_VALUE"""),"application/pdf")</f>
        <v>application/pdf</v>
      </c>
    </row>
    <row r="2714">
      <c r="A2714" s="339" t="str">
        <f>IFERROR(__xludf.DUMMYFUNCTION("""COMPUTED_VALUE"""),"10.1126/science.1199427")</f>
        <v>10.1126/science.1199427</v>
      </c>
      <c r="B2714" s="445" t="str">
        <f>IFERROR(__xludf.DUMMYFUNCTION("""COMPUTED_VALUE"""),"https://drive.google.com/file/d/1VlyFF2XH_n9dzHKe2EMaqBWsh-0cgYrJ/view?usp=drivesdk")</f>
        <v>https://drive.google.com/file/d/1VlyFF2XH_n9dzHKe2EMaqBWsh-0cgYrJ/view?usp=drivesdk</v>
      </c>
      <c r="C2714" s="339" t="str">
        <f>IFERROR(__xludf.DUMMYFUNCTION("""COMPUTED_VALUE"""),"10.1126--science.1199427.pdf")</f>
        <v>10.1126--science.1199427.pdf</v>
      </c>
      <c r="D2714" s="159" t="str">
        <f>IFERROR(__xludf.DUMMYFUNCTION("""COMPUTED_VALUE"""),"application/pdf")</f>
        <v>application/pdf</v>
      </c>
    </row>
    <row r="2715">
      <c r="A2715" s="339" t="str">
        <f>IFERROR(__xludf.DUMMYFUNCTION("""COMPUTED_VALUE"""),"10.1126/science.1199327")</f>
        <v>10.1126/science.1199327</v>
      </c>
      <c r="B2715" s="445" t="str">
        <f>IFERROR(__xludf.DUMMYFUNCTION("""COMPUTED_VALUE"""),"https://drive.google.com/file/d/1nLprzUcZjsicDG7JT3icjAuAK7g2gLY1/view?usp=drivesdk")</f>
        <v>https://drive.google.com/file/d/1nLprzUcZjsicDG7JT3icjAuAK7g2gLY1/view?usp=drivesdk</v>
      </c>
      <c r="C2715" s="339" t="str">
        <f>IFERROR(__xludf.DUMMYFUNCTION("""COMPUTED_VALUE"""),"10.1126--science.1199327.pdf")</f>
        <v>10.1126--science.1199327.pdf</v>
      </c>
      <c r="D2715" s="159" t="str">
        <f>IFERROR(__xludf.DUMMYFUNCTION("""COMPUTED_VALUE"""),"application/pdf")</f>
        <v>application/pdf</v>
      </c>
    </row>
    <row r="2716">
      <c r="A2716" s="339" t="str">
        <f>IFERROR(__xludf.DUMMYFUNCTION("""COMPUTED_VALUE"""),"10.1126/science.1195701")</f>
        <v>10.1126/science.1195701</v>
      </c>
      <c r="B2716" s="445" t="str">
        <f>IFERROR(__xludf.DUMMYFUNCTION("""COMPUTED_VALUE"""),"https://drive.google.com/file/d/19X5spXSqhBiEOOUR62_YtANpegjkcJ1f/view?usp=drivesdk")</f>
        <v>https://drive.google.com/file/d/19X5spXSqhBiEOOUR62_YtANpegjkcJ1f/view?usp=drivesdk</v>
      </c>
      <c r="C2716" s="339" t="str">
        <f>IFERROR(__xludf.DUMMYFUNCTION("""COMPUTED_VALUE"""),"10.1126--science.1195701.pdf")</f>
        <v>10.1126--science.1195701.pdf</v>
      </c>
      <c r="D2716" s="159" t="str">
        <f>IFERROR(__xludf.DUMMYFUNCTION("""COMPUTED_VALUE"""),"application/pdf")</f>
        <v>application/pdf</v>
      </c>
    </row>
    <row r="2717">
      <c r="A2717" s="339" t="str">
        <f>IFERROR(__xludf.DUMMYFUNCTION("""COMPUTED_VALUE"""),"10.1126/science.1191465")</f>
        <v>10.1126/science.1191465</v>
      </c>
      <c r="B2717" s="445" t="str">
        <f>IFERROR(__xludf.DUMMYFUNCTION("""COMPUTED_VALUE"""),"https://drive.google.com/file/d/14xOP8LLETNXBDDadvwleV2pKnaxwaGBi/view?usp=drivesdk")</f>
        <v>https://drive.google.com/file/d/14xOP8LLETNXBDDadvwleV2pKnaxwaGBi/view?usp=drivesdk</v>
      </c>
      <c r="C2717" s="339" t="str">
        <f>IFERROR(__xludf.DUMMYFUNCTION("""COMPUTED_VALUE"""),"10.1126--science.1191465.pdf")</f>
        <v>10.1126--science.1191465.pdf</v>
      </c>
      <c r="D2717" s="159" t="str">
        <f>IFERROR(__xludf.DUMMYFUNCTION("""COMPUTED_VALUE"""),"application/pdf")</f>
        <v>application/pdf</v>
      </c>
    </row>
    <row r="2718">
      <c r="A2718" s="339" t="str">
        <f>IFERROR(__xludf.DUMMYFUNCTION("""COMPUTED_VALUE"""),"10.1126/science.1190792")</f>
        <v>10.1126/science.1190792</v>
      </c>
      <c r="B2718" s="445" t="str">
        <f>IFERROR(__xludf.DUMMYFUNCTION("""COMPUTED_VALUE"""),"https://drive.google.com/file/d/1Chyql9h2DEg41XAYeRupg6Etz-OFp0us/view?usp=drivesdk")</f>
        <v>https://drive.google.com/file/d/1Chyql9h2DEg41XAYeRupg6Etz-OFp0us/view?usp=drivesdk</v>
      </c>
      <c r="C2718" s="339" t="str">
        <f>IFERROR(__xludf.DUMMYFUNCTION("""COMPUTED_VALUE"""),"10.1126--science.1190792.pdf")</f>
        <v>10.1126--science.1190792.pdf</v>
      </c>
      <c r="D2718" s="159" t="str">
        <f>IFERROR(__xludf.DUMMYFUNCTION("""COMPUTED_VALUE"""),"application/pdf")</f>
        <v>application/pdf</v>
      </c>
    </row>
    <row r="2719">
      <c r="A2719" s="339" t="str">
        <f>IFERROR(__xludf.DUMMYFUNCTION("""COMPUTED_VALUE"""),"10.1126/science.1189993")</f>
        <v>10.1126/science.1189993</v>
      </c>
      <c r="B2719" s="445" t="str">
        <f>IFERROR(__xludf.DUMMYFUNCTION("""COMPUTED_VALUE"""),"https://drive.google.com/file/d/1AKsdj68dbJXeSGboPcfZ2uD3ua_fvFPP/view?usp=drivesdk")</f>
        <v>https://drive.google.com/file/d/1AKsdj68dbJXeSGboPcfZ2uD3ua_fvFPP/view?usp=drivesdk</v>
      </c>
      <c r="C2719" s="339" t="str">
        <f>IFERROR(__xludf.DUMMYFUNCTION("""COMPUTED_VALUE"""),"10.1126--science.1189993.pdf")</f>
        <v>10.1126--science.1189993.pdf</v>
      </c>
      <c r="D2719" s="159" t="str">
        <f>IFERROR(__xludf.DUMMYFUNCTION("""COMPUTED_VALUE"""),"application/pdf")</f>
        <v>application/pdf</v>
      </c>
    </row>
    <row r="2720">
      <c r="A2720" s="339" t="str">
        <f>IFERROR(__xludf.DUMMYFUNCTION("""COMPUTED_VALUE"""),"10.1126/science.1186799")</f>
        <v>10.1126/science.1186799</v>
      </c>
      <c r="B2720" s="445" t="str">
        <f>IFERROR(__xludf.DUMMYFUNCTION("""COMPUTED_VALUE"""),"https://drive.google.com/file/d/1E31uybgDVJiRN0FEcJfVIX_of85BuGEz/view?usp=drivesdk")</f>
        <v>https://drive.google.com/file/d/1E31uybgDVJiRN0FEcJfVIX_of85BuGEz/view?usp=drivesdk</v>
      </c>
      <c r="C2720" s="339" t="str">
        <f>IFERROR(__xludf.DUMMYFUNCTION("""COMPUTED_VALUE"""),"10.1126--science.1186799.pdf")</f>
        <v>10.1126--science.1186799.pdf</v>
      </c>
      <c r="D2720" s="159" t="str">
        <f>IFERROR(__xludf.DUMMYFUNCTION("""COMPUTED_VALUE"""),"application/pdf")</f>
        <v>application/pdf</v>
      </c>
    </row>
    <row r="2721">
      <c r="A2721" s="339" t="str">
        <f>IFERROR(__xludf.DUMMYFUNCTION("""COMPUTED_VALUE"""),"10.1126/science.1183532")</f>
        <v>10.1126/science.1183532</v>
      </c>
      <c r="B2721" s="445" t="str">
        <f>IFERROR(__xludf.DUMMYFUNCTION("""COMPUTED_VALUE"""),"https://drive.google.com/file/d/1evQDXWr9N4KV0RMwcCRfMKAkbspCGUUG/view?usp=drivesdk")</f>
        <v>https://drive.google.com/file/d/1evQDXWr9N4KV0RMwcCRfMKAkbspCGUUG/view?usp=drivesdk</v>
      </c>
      <c r="C2721" s="339" t="str">
        <f>IFERROR(__xludf.DUMMYFUNCTION("""COMPUTED_VALUE"""),"10.1126--science.1183532.pdf")</f>
        <v>10.1126--science.1183532.pdf</v>
      </c>
      <c r="D2721" s="159" t="str">
        <f>IFERROR(__xludf.DUMMYFUNCTION("""COMPUTED_VALUE"""),"application/pdf")</f>
        <v>application/pdf</v>
      </c>
    </row>
    <row r="2722">
      <c r="A2722" s="339" t="str">
        <f>IFERROR(__xludf.DUMMYFUNCTION("""COMPUTED_VALUE"""),"10.1126/science.1169144")</f>
        <v>10.1126/science.1169144</v>
      </c>
      <c r="B2722" s="445" t="str">
        <f>IFERROR(__xludf.DUMMYFUNCTION("""COMPUTED_VALUE"""),"https://drive.google.com/file/d/1Fno1IJz68iXs7JWnmc01NK1s0TMRMxHi/view?usp=drivesdk")</f>
        <v>https://drive.google.com/file/d/1Fno1IJz68iXs7JWnmc01NK1s0TMRMxHi/view?usp=drivesdk</v>
      </c>
      <c r="C2722" s="339" t="str">
        <f>IFERROR(__xludf.DUMMYFUNCTION("""COMPUTED_VALUE"""),"10.1126--science.1169144.pdf")</f>
        <v>10.1126--science.1169144.pdf</v>
      </c>
      <c r="D2722" s="159" t="str">
        <f>IFERROR(__xludf.DUMMYFUNCTION("""COMPUTED_VALUE"""),"application/pdf")</f>
        <v>application/pdf</v>
      </c>
    </row>
    <row r="2723">
      <c r="A2723" s="339" t="str">
        <f>IFERROR(__xludf.DUMMYFUNCTION("""COMPUTED_VALUE"""),"10.1126/science.1162548")</f>
        <v>10.1126/science.1162548</v>
      </c>
      <c r="B2723" s="445" t="str">
        <f>IFERROR(__xludf.DUMMYFUNCTION("""COMPUTED_VALUE"""),"https://drive.google.com/file/d/1p-5Yi30wwPB5qbrkCQnV04nlGIUAqW1j/view?usp=drivesdk")</f>
        <v>https://drive.google.com/file/d/1p-5Yi30wwPB5qbrkCQnV04nlGIUAqW1j/view?usp=drivesdk</v>
      </c>
      <c r="C2723" s="339" t="str">
        <f>IFERROR(__xludf.DUMMYFUNCTION("""COMPUTED_VALUE"""),"10.1126--science.1162548.pdf")</f>
        <v>10.1126--science.1162548.pdf</v>
      </c>
      <c r="D2723" s="159" t="str">
        <f>IFERROR(__xludf.DUMMYFUNCTION("""COMPUTED_VALUE"""),"application/pdf")</f>
        <v>application/pdf</v>
      </c>
    </row>
    <row r="2724">
      <c r="A2724" s="339" t="str">
        <f>IFERROR(__xludf.DUMMYFUNCTION("""COMPUTED_VALUE"""),"10.1126/science.1157627")</f>
        <v>10.1126/science.1157627</v>
      </c>
      <c r="B2724" s="445" t="str">
        <f>IFERROR(__xludf.DUMMYFUNCTION("""COMPUTED_VALUE"""),"https://drive.google.com/file/d/1EK9QiU9xsqLxXgH_myrXEDvCAwAm--TL/view?usp=drivesdk")</f>
        <v>https://drive.google.com/file/d/1EK9QiU9xsqLxXgH_myrXEDvCAwAm--TL/view?usp=drivesdk</v>
      </c>
      <c r="C2724" s="339" t="str">
        <f>IFERROR(__xludf.DUMMYFUNCTION("""COMPUTED_VALUE"""),"10.1126--science.1157627.pdf")</f>
        <v>10.1126--science.1157627.pdf</v>
      </c>
      <c r="D2724" s="159" t="str">
        <f>IFERROR(__xludf.DUMMYFUNCTION("""COMPUTED_VALUE"""),"application/pdf")</f>
        <v>application/pdf</v>
      </c>
    </row>
    <row r="2725">
      <c r="A2725" s="339" t="str">
        <f>IFERROR(__xludf.DUMMYFUNCTION("""COMPUTED_VALUE"""),"10.1126/science.1154983")</f>
        <v>10.1126/science.1154983</v>
      </c>
      <c r="B2725" s="445" t="str">
        <f>IFERROR(__xludf.DUMMYFUNCTION("""COMPUTED_VALUE"""),"https://drive.google.com/file/d/1W95pBxdYQtvPqjqDP0LAubJz1aG6pbkC/view?usp=drivesdk")</f>
        <v>https://drive.google.com/file/d/1W95pBxdYQtvPqjqDP0LAubJz1aG6pbkC/view?usp=drivesdk</v>
      </c>
      <c r="C2725" s="339" t="str">
        <f>IFERROR(__xludf.DUMMYFUNCTION("""COMPUTED_VALUE"""),"10.1126--science.1154983.pdf")</f>
        <v>10.1126--science.1154983.pdf</v>
      </c>
      <c r="D2725" s="159" t="str">
        <f>IFERROR(__xludf.DUMMYFUNCTION("""COMPUTED_VALUE"""),"application/pdf")</f>
        <v>application/pdf</v>
      </c>
    </row>
    <row r="2726">
      <c r="A2726" s="339" t="str">
        <f>IFERROR(__xludf.DUMMYFUNCTION("""COMPUTED_VALUE"""),"10.1126/science.1150952")</f>
        <v>10.1126/science.1150952</v>
      </c>
      <c r="B2726" s="445" t="str">
        <f>IFERROR(__xludf.DUMMYFUNCTION("""COMPUTED_VALUE"""),"https://drive.google.com/file/d/10YsdVEp76YRuLQNPspg-TkAG5mYL74RG/view?usp=drivesdk")</f>
        <v>https://drive.google.com/file/d/10YsdVEp76YRuLQNPspg-TkAG5mYL74RG/view?usp=drivesdk</v>
      </c>
      <c r="C2726" s="339" t="str">
        <f>IFERROR(__xludf.DUMMYFUNCTION("""COMPUTED_VALUE"""),"10.1126--science.1150952.pdf")</f>
        <v>10.1126--science.1150952.pdf</v>
      </c>
      <c r="D2726" s="159" t="str">
        <f>IFERROR(__xludf.DUMMYFUNCTION("""COMPUTED_VALUE"""),"application/pdf")</f>
        <v>application/pdf</v>
      </c>
    </row>
    <row r="2727">
      <c r="A2727" s="339" t="str">
        <f>IFERROR(__xludf.DUMMYFUNCTION("""COMPUTED_VALUE"""),"10.1126/science.1134475")</f>
        <v>10.1126/science.1134475</v>
      </c>
      <c r="B2727" s="445" t="str">
        <f>IFERROR(__xludf.DUMMYFUNCTION("""COMPUTED_VALUE"""),"https://drive.google.com/file/d/1JcrIIJziv9H4c66sUbolfvMwbkPdlR44/view?usp=drivesdk")</f>
        <v>https://drive.google.com/file/d/1JcrIIJziv9H4c66sUbolfvMwbkPdlR44/view?usp=drivesdk</v>
      </c>
      <c r="C2727" s="339" t="str">
        <f>IFERROR(__xludf.DUMMYFUNCTION("""COMPUTED_VALUE"""),"10.1126--science.1134475.pdf")</f>
        <v>10.1126--science.1134475.pdf</v>
      </c>
      <c r="D2727" s="159" t="str">
        <f>IFERROR(__xludf.DUMMYFUNCTION("""COMPUTED_VALUE"""),"application/pdf")</f>
        <v>application/pdf</v>
      </c>
    </row>
    <row r="2728">
      <c r="A2728" s="339" t="str">
        <f>IFERROR(__xludf.DUMMYFUNCTION("""COMPUTED_VALUE"""),"10.1126/science.1132491")</f>
        <v>10.1126/science.1132491</v>
      </c>
      <c r="B2728" s="445" t="str">
        <f>IFERROR(__xludf.DUMMYFUNCTION("""COMPUTED_VALUE"""),"https://drive.google.com/file/d/1OWk3W7aLK7NhvpfeOXWbAeYjSBS6on3O/view?usp=drivesdk")</f>
        <v>https://drive.google.com/file/d/1OWk3W7aLK7NhvpfeOXWbAeYjSBS6on3O/view?usp=drivesdk</v>
      </c>
      <c r="C2728" s="339" t="str">
        <f>IFERROR(__xludf.DUMMYFUNCTION("""COMPUTED_VALUE"""),"10.1126--science.1132491.pdf")</f>
        <v>10.1126--science.1132491.pdf</v>
      </c>
      <c r="D2728" s="159" t="str">
        <f>IFERROR(__xludf.DUMMYFUNCTION("""COMPUTED_VALUE"""),"application/pdf")</f>
        <v>application/pdf</v>
      </c>
    </row>
    <row r="2729">
      <c r="A2729" s="339" t="str">
        <f>IFERROR(__xludf.DUMMYFUNCTION("""COMPUTED_VALUE"""),"10.1126/science.1130726")</f>
        <v>10.1126/science.1130726</v>
      </c>
      <c r="B2729" s="445" t="str">
        <f>IFERROR(__xludf.DUMMYFUNCTION("""COMPUTED_VALUE"""),"https://drive.google.com/file/d/1w2KBBoT3U7JrwQsTrJduC-AS9fihTDq0/view?usp=drivesdk")</f>
        <v>https://drive.google.com/file/d/1w2KBBoT3U7JrwQsTrJduC-AS9fihTDq0/view?usp=drivesdk</v>
      </c>
      <c r="C2729" s="339" t="str">
        <f>IFERROR(__xludf.DUMMYFUNCTION("""COMPUTED_VALUE"""),"10.1126--science.1130726.pdf")</f>
        <v>10.1126--science.1130726.pdf</v>
      </c>
      <c r="D2729" s="159" t="str">
        <f>IFERROR(__xludf.DUMMYFUNCTION("""COMPUTED_VALUE"""),"application/pdf")</f>
        <v>application/pdf</v>
      </c>
    </row>
    <row r="2730">
      <c r="A2730" s="339" t="str">
        <f>IFERROR(__xludf.DUMMYFUNCTION("""COMPUTED_VALUE"""),"10.1126/science.1091721")</f>
        <v>10.1126/science.1091721</v>
      </c>
      <c r="B2730" s="445" t="str">
        <f>IFERROR(__xludf.DUMMYFUNCTION("""COMPUTED_VALUE"""),"https://drive.google.com/file/d/1eSIhQoNaIQOjrthga8k1fEWUQ1wNc0I3/view?usp=drivesdk")</f>
        <v>https://drive.google.com/file/d/1eSIhQoNaIQOjrthga8k1fEWUQ1wNc0I3/view?usp=drivesdk</v>
      </c>
      <c r="C2730" s="339" t="str">
        <f>IFERROR(__xludf.DUMMYFUNCTION("""COMPUTED_VALUE"""),"10.1126--science.1091721.pdf")</f>
        <v>10.1126--science.1091721.pdf</v>
      </c>
      <c r="D2730" s="159" t="str">
        <f>IFERROR(__xludf.DUMMYFUNCTION("""COMPUTED_VALUE"""),"application/pdf")</f>
        <v>application/pdf</v>
      </c>
    </row>
    <row r="2731">
      <c r="A2731" s="339" t="str">
        <f>IFERROR(__xludf.DUMMYFUNCTION("""COMPUTED_VALUE"""),"10.1126/science.1083968")</f>
        <v>10.1126/science.1083968</v>
      </c>
      <c r="B2731" s="445" t="str">
        <f>IFERROR(__xludf.DUMMYFUNCTION("""COMPUTED_VALUE"""),"https://drive.google.com/file/d/1exWLXuK48MQ2ATmSKbzKWBwM5DY_aMcK/view?usp=drivesdk")</f>
        <v>https://drive.google.com/file/d/1exWLXuK48MQ2ATmSKbzKWBwM5DY_aMcK/view?usp=drivesdk</v>
      </c>
      <c r="C2731" s="339" t="str">
        <f>IFERROR(__xludf.DUMMYFUNCTION("""COMPUTED_VALUE"""),"10.1126--science.1083968.pdf")</f>
        <v>10.1126--science.1083968.pdf</v>
      </c>
      <c r="D2731" s="159" t="str">
        <f>IFERROR(__xludf.DUMMYFUNCTION("""COMPUTED_VALUE"""),"application/pdf")</f>
        <v>application/pdf</v>
      </c>
    </row>
    <row r="2732">
      <c r="A2732" s="339" t="str">
        <f>IFERROR(__xludf.DUMMYFUNCTION("""COMPUTED_VALUE"""),"10.1111/nous.12017")</f>
        <v>10.1111/nous.12017</v>
      </c>
      <c r="B2732" s="445" t="str">
        <f>IFERROR(__xludf.DUMMYFUNCTION("""COMPUTED_VALUE"""),"https://drive.google.com/file/d/1siDzTCg5TAqWvx1F7jfvqWF5y01jo9l6/view?usp=drivesdk")</f>
        <v>https://drive.google.com/file/d/1siDzTCg5TAqWvx1F7jfvqWF5y01jo9l6/view?usp=drivesdk</v>
      </c>
      <c r="C2732" s="339" t="str">
        <f>IFERROR(__xludf.DUMMYFUNCTION("""COMPUTED_VALUE"""),"10.1111--nous.12017.pdf")</f>
        <v>10.1111--nous.12017.pdf</v>
      </c>
      <c r="D2732" s="159" t="str">
        <f>IFERROR(__xludf.DUMMYFUNCTION("""COMPUTED_VALUE"""),"application/pdf")</f>
        <v>application/pdf</v>
      </c>
    </row>
    <row r="2733">
      <c r="A2733" s="339" t="str">
        <f>IFERROR(__xludf.DUMMYFUNCTION("""COMPUTED_VALUE"""),"10.1111/lang.12140")</f>
        <v>10.1111/lang.12140</v>
      </c>
      <c r="B2733" s="445" t="str">
        <f>IFERROR(__xludf.DUMMYFUNCTION("""COMPUTED_VALUE"""),"https://drive.google.com/file/d/1iHwvqbzkE5E6QaDEkGEEiffgzbsf9lQG/view?usp=drivesdk")</f>
        <v>https://drive.google.com/file/d/1iHwvqbzkE5E6QaDEkGEEiffgzbsf9lQG/view?usp=drivesdk</v>
      </c>
      <c r="C2733" s="339" t="str">
        <f>IFERROR(__xludf.DUMMYFUNCTION("""COMPUTED_VALUE"""),"10.1111--lang.12140.pdf")</f>
        <v>10.1111--lang.12140.pdf</v>
      </c>
      <c r="D2733" s="159" t="str">
        <f>IFERROR(__xludf.DUMMYFUNCTION("""COMPUTED_VALUE"""),"application/pdf")</f>
        <v>application/pdf</v>
      </c>
    </row>
    <row r="2734">
      <c r="A2734" s="339" t="str">
        <f>IFERROR(__xludf.DUMMYFUNCTION("""COMPUTED_VALUE"""),"10.1111/j.2044-835x.1986.tb01003.x")</f>
        <v>10.1111/j.2044-835x.1986.tb01003.x</v>
      </c>
      <c r="B2734" s="445" t="str">
        <f>IFERROR(__xludf.DUMMYFUNCTION("""COMPUTED_VALUE"""),"https://drive.google.com/file/d/18lSrzJb6hlq2LTXVDLpK1cxy7NDtFwlx/view?usp=drivesdk")</f>
        <v>https://drive.google.com/file/d/18lSrzJb6hlq2LTXVDLpK1cxy7NDtFwlx/view?usp=drivesdk</v>
      </c>
      <c r="C2734" s="339" t="str">
        <f>IFERROR(__xludf.DUMMYFUNCTION("""COMPUTED_VALUE"""),"10.1111--j.2044-835x.1986.tb01003.x.pdf")</f>
        <v>10.1111--j.2044-835x.1986.tb01003.x.pdf</v>
      </c>
      <c r="D2734" s="159" t="str">
        <f>IFERROR(__xludf.DUMMYFUNCTION("""COMPUTED_VALUE"""),"application/pdf")</f>
        <v>application/pdf</v>
      </c>
    </row>
    <row r="2735">
      <c r="A2735" s="339" t="str">
        <f>IFERROR(__xludf.DUMMYFUNCTION("""COMPUTED_VALUE"""),"10.1111/j.2044-8295.1997.tb02648.x")</f>
        <v>10.1111/j.2044-8295.1997.tb02648.x</v>
      </c>
      <c r="B2735" s="445" t="str">
        <f>IFERROR(__xludf.DUMMYFUNCTION("""COMPUTED_VALUE"""),"https://drive.google.com/file/d/1cbRs7pAG_HHsYWLTtiX-MwQvS4vQmSB6/view?usp=drivesdk")</f>
        <v>https://drive.google.com/file/d/1cbRs7pAG_HHsYWLTtiX-MwQvS4vQmSB6/view?usp=drivesdk</v>
      </c>
      <c r="C2735" s="339" t="str">
        <f>IFERROR(__xludf.DUMMYFUNCTION("""COMPUTED_VALUE"""),"10.1111--j.2044-8295.1997.tb02648.x.pdf")</f>
        <v>10.1111--j.2044-8295.1997.tb02648.x.pdf</v>
      </c>
      <c r="D2735" s="159" t="str">
        <f>IFERROR(__xludf.DUMMYFUNCTION("""COMPUTED_VALUE"""),"application/pdf")</f>
        <v>application/pdf</v>
      </c>
    </row>
    <row r="2736">
      <c r="A2736" s="339" t="str">
        <f>IFERROR(__xludf.DUMMYFUNCTION("""COMPUTED_VALUE"""),"10.1111/j.2044-8295.1975.tb01468.x")</f>
        <v>10.1111/j.2044-8295.1975.tb01468.x</v>
      </c>
      <c r="B2736" s="445" t="str">
        <f>IFERROR(__xludf.DUMMYFUNCTION("""COMPUTED_VALUE"""),"https://drive.google.com/file/d/1kDsi06We11UwXurjeSQ26k_Oq21xYFhx/view?usp=drivesdk")</f>
        <v>https://drive.google.com/file/d/1kDsi06We11UwXurjeSQ26k_Oq21xYFhx/view?usp=drivesdk</v>
      </c>
      <c r="C2736" s="339" t="str">
        <f>IFERROR(__xludf.DUMMYFUNCTION("""COMPUTED_VALUE"""),"10.1111--j.2044-8295.1975.tb01468.x.pdf")</f>
        <v>10.1111--j.2044-8295.1975.tb01468.x.pdf</v>
      </c>
      <c r="D2736" s="159" t="str">
        <f>IFERROR(__xludf.DUMMYFUNCTION("""COMPUTED_VALUE"""),"application/pdf")</f>
        <v>application/pdf</v>
      </c>
    </row>
    <row r="2737">
      <c r="A2737" s="339" t="str">
        <f>IFERROR(__xludf.DUMMYFUNCTION("""COMPUTED_VALUE"""),"10.1111/j.1933-1592.2012.00609.x")</f>
        <v>10.1111/j.1933-1592.2012.00609.x</v>
      </c>
      <c r="B2737" s="445" t="str">
        <f>IFERROR(__xludf.DUMMYFUNCTION("""COMPUTED_VALUE"""),"https://drive.google.com/file/d/1vevfUy0iTc6NQfF1T-jwqjcTM_yHdsf0/view?usp=drivesdk")</f>
        <v>https://drive.google.com/file/d/1vevfUy0iTc6NQfF1T-jwqjcTM_yHdsf0/view?usp=drivesdk</v>
      </c>
      <c r="C2737" s="339" t="str">
        <f>IFERROR(__xludf.DUMMYFUNCTION("""COMPUTED_VALUE"""),"10.1111--j.1933-1592.2012.00609.x.pdf")</f>
        <v>10.1111--j.1933-1592.2012.00609.x.pdf</v>
      </c>
      <c r="D2737" s="159" t="str">
        <f>IFERROR(__xludf.DUMMYFUNCTION("""COMPUTED_VALUE"""),"application/pdf")</f>
        <v>application/pdf</v>
      </c>
    </row>
    <row r="2738">
      <c r="A2738" s="339" t="str">
        <f>IFERROR(__xludf.DUMMYFUNCTION("""COMPUTED_VALUE"""),"10.1111/j.1933-1592.2006.tb00603.x")</f>
        <v>10.1111/j.1933-1592.2006.tb00603.x</v>
      </c>
      <c r="B2738" s="445" t="str">
        <f>IFERROR(__xludf.DUMMYFUNCTION("""COMPUTED_VALUE"""),"https://drive.google.com/file/d/1tNde2WsKCKtTxCH7EfB-a1TjXERl50pJ/view?usp=drivesdk")</f>
        <v>https://drive.google.com/file/d/1tNde2WsKCKtTxCH7EfB-a1TjXERl50pJ/view?usp=drivesdk</v>
      </c>
      <c r="C2738" s="339" t="str">
        <f>IFERROR(__xludf.DUMMYFUNCTION("""COMPUTED_VALUE"""),"10.1111--j.1933-1592.2006.tb00603.x.pdf")</f>
        <v>10.1111--j.1933-1592.2006.tb00603.x.pdf</v>
      </c>
      <c r="D2738" s="159" t="str">
        <f>IFERROR(__xludf.DUMMYFUNCTION("""COMPUTED_VALUE"""),"application/pdf")</f>
        <v>application/pdf</v>
      </c>
    </row>
    <row r="2739">
      <c r="A2739" s="339" t="str">
        <f>IFERROR(__xludf.DUMMYFUNCTION("""COMPUTED_VALUE"""),"10.1111/j.1744-6570.1999.tb00174.x")</f>
        <v>10.1111/j.1744-6570.1999.tb00174.x</v>
      </c>
      <c r="B2739" s="445" t="str">
        <f>IFERROR(__xludf.DUMMYFUNCTION("""COMPUTED_VALUE"""),"https://drive.google.com/file/d/1JjrD9NOW8xliYqnpBZzkTwq4qgfO4wNJ/view?usp=drivesdk")</f>
        <v>https://drive.google.com/file/d/1JjrD9NOW8xliYqnpBZzkTwq4qgfO4wNJ/view?usp=drivesdk</v>
      </c>
      <c r="C2739" s="339" t="str">
        <f>IFERROR(__xludf.DUMMYFUNCTION("""COMPUTED_VALUE"""),"10.1111--j.1744-6570.1999.tb00174.x.pdf")</f>
        <v>10.1111--j.1744-6570.1999.tb00174.x.pdf</v>
      </c>
      <c r="D2739" s="159" t="str">
        <f>IFERROR(__xludf.DUMMYFUNCTION("""COMPUTED_VALUE"""),"application/pdf")</f>
        <v>application/pdf</v>
      </c>
    </row>
    <row r="2740">
      <c r="A2740" s="339" t="str">
        <f>IFERROR(__xludf.DUMMYFUNCTION("""COMPUTED_VALUE"""),"10.1111/j.1551-6709.2010.01164.x")</f>
        <v>10.1111/j.1551-6709.2010.01164.x</v>
      </c>
      <c r="B2740" s="445" t="str">
        <f>IFERROR(__xludf.DUMMYFUNCTION("""COMPUTED_VALUE"""),"https://drive.google.com/file/d/1F1gmEthZ6jBt549BBg-rdg_5OVDXWokk/view?usp=drivesdk")</f>
        <v>https://drive.google.com/file/d/1F1gmEthZ6jBt549BBg-rdg_5OVDXWokk/view?usp=drivesdk</v>
      </c>
      <c r="C2740" s="339" t="str">
        <f>IFERROR(__xludf.DUMMYFUNCTION("""COMPUTED_VALUE"""),"10.1111--j.1551-6709.2010.01164.x.pdf")</f>
        <v>10.1111--j.1551-6709.2010.01164.x.pdf</v>
      </c>
      <c r="D2740" s="159" t="str">
        <f>IFERROR(__xludf.DUMMYFUNCTION("""COMPUTED_VALUE"""),"application/pdf")</f>
        <v>application/pdf</v>
      </c>
    </row>
    <row r="2741">
      <c r="A2741" s="339" t="str">
        <f>IFERROR(__xludf.DUMMYFUNCTION("""COMPUTED_VALUE"""),"10.1111/j.1551-6709.2011.01210.x")</f>
        <v>10.1111/j.1551-6709.2011.01210.x</v>
      </c>
      <c r="B2741" s="445" t="str">
        <f>IFERROR(__xludf.DUMMYFUNCTION("""COMPUTED_VALUE"""),"https://drive.google.com/file/d/1peHj2qn55XShERDto7FmUKmKRW04vw25/view?usp=drivesdk")</f>
        <v>https://drive.google.com/file/d/1peHj2qn55XShERDto7FmUKmKRW04vw25/view?usp=drivesdk</v>
      </c>
      <c r="C2741" s="339" t="str">
        <f>IFERROR(__xludf.DUMMYFUNCTION("""COMPUTED_VALUE"""),"10.1111--j.1551-6709.2011.01210.x.pdf")</f>
        <v>10.1111--j.1551-6709.2011.01210.x.pdf</v>
      </c>
      <c r="D2741" s="159" t="str">
        <f>IFERROR(__xludf.DUMMYFUNCTION("""COMPUTED_VALUE"""),"application/pdf")</f>
        <v>application/pdf</v>
      </c>
    </row>
    <row r="2742">
      <c r="A2742" s="339" t="str">
        <f>IFERROR(__xludf.DUMMYFUNCTION("""COMPUTED_VALUE"""),"10.1111/j.1551-6709.2010.01161.x")</f>
        <v>10.1111/j.1551-6709.2010.01161.x</v>
      </c>
      <c r="B2742" s="445" t="str">
        <f>IFERROR(__xludf.DUMMYFUNCTION("""COMPUTED_VALUE"""),"https://drive.google.com/file/d/1mu475Zzy_-pzVxpT6L8wHxxpOPeohqGN/view?usp=drivesdk")</f>
        <v>https://drive.google.com/file/d/1mu475Zzy_-pzVxpT6L8wHxxpOPeohqGN/view?usp=drivesdk</v>
      </c>
      <c r="C2742" s="339" t="str">
        <f>IFERROR(__xludf.DUMMYFUNCTION("""COMPUTED_VALUE"""),"10.1111--j.1551-6709.2010.01161.x.pdf")</f>
        <v>10.1111--j.1551-6709.2010.01161.x.pdf</v>
      </c>
      <c r="D2742" s="159" t="str">
        <f>IFERROR(__xludf.DUMMYFUNCTION("""COMPUTED_VALUE"""),"application/pdf")</f>
        <v>application/pdf</v>
      </c>
    </row>
    <row r="2743">
      <c r="A2743" s="339" t="str">
        <f>IFERROR(__xludf.DUMMYFUNCTION("""COMPUTED_VALUE"""),"10.1111/j.1475-4975.2007.00158.x")</f>
        <v>10.1111/j.1475-4975.2007.00158.x</v>
      </c>
      <c r="B2743" s="445" t="str">
        <f>IFERROR(__xludf.DUMMYFUNCTION("""COMPUTED_VALUE"""),"https://drive.google.com/file/d/1Mbtg5W4r7YUV6SqGN7Y6QssV1kBq9eYn/view?usp=drivesdk")</f>
        <v>https://drive.google.com/file/d/1Mbtg5W4r7YUV6SqGN7Y6QssV1kBq9eYn/view?usp=drivesdk</v>
      </c>
      <c r="C2743" s="339" t="str">
        <f>IFERROR(__xludf.DUMMYFUNCTION("""COMPUTED_VALUE"""),"10.1111--j.1475-4975.2007.00158.x.pdf")</f>
        <v>10.1111--j.1475-4975.2007.00158.x.pdf</v>
      </c>
      <c r="D2743" s="159" t="str">
        <f>IFERROR(__xludf.DUMMYFUNCTION("""COMPUTED_VALUE"""),"application/pdf")</f>
        <v>application/pdf</v>
      </c>
    </row>
    <row r="2744">
      <c r="A2744" s="339" t="str">
        <f>IFERROR(__xludf.DUMMYFUNCTION("""COMPUTED_VALUE"""),"10.1111/j.1475-4975.2007.00150.x")</f>
        <v>10.1111/j.1475-4975.2007.00150.x</v>
      </c>
      <c r="B2744" s="445" t="str">
        <f>IFERROR(__xludf.DUMMYFUNCTION("""COMPUTED_VALUE"""),"https://drive.google.com/file/d/16qY0dLq9qys2p0JL-JepbP82uCNsmR0S/view?usp=drivesdk")</f>
        <v>https://drive.google.com/file/d/16qY0dLq9qys2p0JL-JepbP82uCNsmR0S/view?usp=drivesdk</v>
      </c>
      <c r="C2744" s="339" t="str">
        <f>IFERROR(__xludf.DUMMYFUNCTION("""COMPUTED_VALUE"""),"10.1111--j.1475-4975.2007.00150.x.pdf")</f>
        <v>10.1111--j.1475-4975.2007.00150.x.pdf</v>
      </c>
      <c r="D2744" s="159" t="str">
        <f>IFERROR(__xludf.DUMMYFUNCTION("""COMPUTED_VALUE"""),"application/pdf")</f>
        <v>application/pdf</v>
      </c>
    </row>
    <row r="2745">
      <c r="A2745" s="339" t="str">
        <f>IFERROR(__xludf.DUMMYFUNCTION("""COMPUTED_VALUE"""),"10.1111/j.1468-0068.2007.00666.x")</f>
        <v>10.1111/j.1468-0068.2007.00666.x</v>
      </c>
      <c r="B2745" s="445" t="str">
        <f>IFERROR(__xludf.DUMMYFUNCTION("""COMPUTED_VALUE"""),"https://drive.google.com/file/d/1KGwRGETP91kM9JQ1Lkln3MN4JSxyj4OW/view?usp=drivesdk")</f>
        <v>https://drive.google.com/file/d/1KGwRGETP91kM9JQ1Lkln3MN4JSxyj4OW/view?usp=drivesdk</v>
      </c>
      <c r="C2745" s="339" t="str">
        <f>IFERROR(__xludf.DUMMYFUNCTION("""COMPUTED_VALUE"""),"10.1111--j.1468-0068.2007.00666.x.pdf")</f>
        <v>10.1111--j.1468-0068.2007.00666.x.pdf</v>
      </c>
      <c r="D2745" s="159" t="str">
        <f>IFERROR(__xludf.DUMMYFUNCTION("""COMPUTED_VALUE"""),"application/pdf")</f>
        <v>application/pdf</v>
      </c>
    </row>
    <row r="2746">
      <c r="A2746" s="339" t="str">
        <f>IFERROR(__xludf.DUMMYFUNCTION("""COMPUTED_VALUE"""),"10.1111/j.1468-0017.2011.01428.x")</f>
        <v>10.1111/j.1468-0017.2011.01428.x</v>
      </c>
      <c r="B2746" s="445" t="str">
        <f>IFERROR(__xludf.DUMMYFUNCTION("""COMPUTED_VALUE"""),"https://drive.google.com/file/d/1TdFZluOSkUInT8sXikux3vYR7IOX4RMk/view?usp=drivesdk")</f>
        <v>https://drive.google.com/file/d/1TdFZluOSkUInT8sXikux3vYR7IOX4RMk/view?usp=drivesdk</v>
      </c>
      <c r="C2746" s="339" t="str">
        <f>IFERROR(__xludf.DUMMYFUNCTION("""COMPUTED_VALUE"""),"10.1111--j.1468-0017.2011.01428.x.pdf")</f>
        <v>10.1111--j.1468-0017.2011.01428.x.pdf</v>
      </c>
      <c r="D2746" s="159" t="str">
        <f>IFERROR(__xludf.DUMMYFUNCTION("""COMPUTED_VALUE"""),"application/pdf")</f>
        <v>application/pdf</v>
      </c>
    </row>
    <row r="2747">
      <c r="A2747" s="339" t="str">
        <f>IFERROR(__xludf.DUMMYFUNCTION("""COMPUTED_VALUE"""),"10.1111/j.1468-0017.2010.01398.x")</f>
        <v>10.1111/j.1468-0017.2010.01398.x</v>
      </c>
      <c r="B2747" s="445" t="str">
        <f>IFERROR(__xludf.DUMMYFUNCTION("""COMPUTED_VALUE"""),"https://drive.google.com/file/d/1Q-7NFLR9V_1Z9QaSQGnQmRUgw6UigOsQ/view?usp=drivesdk")</f>
        <v>https://drive.google.com/file/d/1Q-7NFLR9V_1Z9QaSQGnQmRUgw6UigOsQ/view?usp=drivesdk</v>
      </c>
      <c r="C2747" s="339" t="str">
        <f>IFERROR(__xludf.DUMMYFUNCTION("""COMPUTED_VALUE"""),"10.1111--j.1468-0017.2010.01398.x.pdf")</f>
        <v>10.1111--j.1468-0017.2010.01398.x.pdf</v>
      </c>
      <c r="D2747" s="159" t="str">
        <f>IFERROR(__xludf.DUMMYFUNCTION("""COMPUTED_VALUE"""),"application/pdf")</f>
        <v>application/pdf</v>
      </c>
    </row>
    <row r="2748">
      <c r="A2748" s="339" t="str">
        <f>IFERROR(__xludf.DUMMYFUNCTION("""COMPUTED_VALUE"""),"10.1111/j.1467-9280.2009.02426.x")</f>
        <v>10.1111/j.1467-9280.2009.02426.x</v>
      </c>
      <c r="B2748" s="445" t="str">
        <f>IFERROR(__xludf.DUMMYFUNCTION("""COMPUTED_VALUE"""),"https://drive.google.com/file/d/1dqYztlMOBsUY1H2Tadvsh9mJOiZQ1nVh/view?usp=drivesdk")</f>
        <v>https://drive.google.com/file/d/1dqYztlMOBsUY1H2Tadvsh9mJOiZQ1nVh/view?usp=drivesdk</v>
      </c>
      <c r="C2748" s="339" t="str">
        <f>IFERROR(__xludf.DUMMYFUNCTION("""COMPUTED_VALUE"""),"10.1111--j.1467-9280.2009.02426.x.pdf")</f>
        <v>10.1111--j.1467-9280.2009.02426.x.pdf</v>
      </c>
      <c r="D2748" s="159" t="str">
        <f>IFERROR(__xludf.DUMMYFUNCTION("""COMPUTED_VALUE"""),"application/pdf")</f>
        <v>application/pdf</v>
      </c>
    </row>
    <row r="2749">
      <c r="A2749" s="339" t="str">
        <f>IFERROR(__xludf.DUMMYFUNCTION("""COMPUTED_VALUE"""),"10.1111/j.1467-9280.2009.02370.x")</f>
        <v>10.1111/j.1467-9280.2009.02370.x</v>
      </c>
      <c r="B2749" s="445" t="str">
        <f>IFERROR(__xludf.DUMMYFUNCTION("""COMPUTED_VALUE"""),"https://drive.google.com/file/d/1neMVHM3ME1ns4lZlT0zcHFK0hjaH4cLF/view?usp=drivesdk")</f>
        <v>https://drive.google.com/file/d/1neMVHM3ME1ns4lZlT0zcHFK0hjaH4cLF/view?usp=drivesdk</v>
      </c>
      <c r="C2749" s="339" t="str">
        <f>IFERROR(__xludf.DUMMYFUNCTION("""COMPUTED_VALUE"""),"10.1111--j.1467-9280.2009.02370.x.pdf")</f>
        <v>10.1111--j.1467-9280.2009.02370.x.pdf</v>
      </c>
      <c r="D2749" s="159" t="str">
        <f>IFERROR(__xludf.DUMMYFUNCTION("""COMPUTED_VALUE"""),"application/pdf")</f>
        <v>application/pdf</v>
      </c>
    </row>
    <row r="2750">
      <c r="A2750" s="339" t="str">
        <f>IFERROR(__xludf.DUMMYFUNCTION("""COMPUTED_VALUE"""),"10.1111/j.1467-9280.2008.02227.x")</f>
        <v>10.1111/j.1467-9280.2008.02227.x</v>
      </c>
      <c r="B2750" s="445" t="str">
        <f>IFERROR(__xludf.DUMMYFUNCTION("""COMPUTED_VALUE"""),"https://drive.google.com/file/d/1WZ-wmp0ZBZO-MwxvYanAL8j3J4k47183/view?usp=drivesdk")</f>
        <v>https://drive.google.com/file/d/1WZ-wmp0ZBZO-MwxvYanAL8j3J4k47183/view?usp=drivesdk</v>
      </c>
      <c r="C2750" s="339" t="str">
        <f>IFERROR(__xludf.DUMMYFUNCTION("""COMPUTED_VALUE"""),"10.1111--j.1467-9280.2008.02227.x.pdf")</f>
        <v>10.1111--j.1467-9280.2008.02227.x.pdf</v>
      </c>
      <c r="D2750" s="159" t="str">
        <f>IFERROR(__xludf.DUMMYFUNCTION("""COMPUTED_VALUE"""),"application/pdf")</f>
        <v>application/pdf</v>
      </c>
    </row>
    <row r="2751">
      <c r="A2751" s="339" t="str">
        <f>IFERROR(__xludf.DUMMYFUNCTION("""COMPUTED_VALUE"""),"10.1111/j.1467-9280.2008.02159.x")</f>
        <v>10.1111/j.1467-9280.2008.02159.x</v>
      </c>
      <c r="B2751" s="445" t="str">
        <f>IFERROR(__xludf.DUMMYFUNCTION("""COMPUTED_VALUE"""),"https://drive.google.com/file/d/1E2mHJvDw_0w0e8vIm0HpIS0Ju6aQpYhO/view?usp=drivesdk")</f>
        <v>https://drive.google.com/file/d/1E2mHJvDw_0w0e8vIm0HpIS0Ju6aQpYhO/view?usp=drivesdk</v>
      </c>
      <c r="C2751" s="339" t="str">
        <f>IFERROR(__xludf.DUMMYFUNCTION("""COMPUTED_VALUE"""),"10.1111--j.1467-9280.2008.02159.x.pdf")</f>
        <v>10.1111--j.1467-9280.2008.02159.x.pdf</v>
      </c>
      <c r="D2751" s="159" t="str">
        <f>IFERROR(__xludf.DUMMYFUNCTION("""COMPUTED_VALUE"""),"application/pdf")</f>
        <v>application/pdf</v>
      </c>
    </row>
    <row r="2752">
      <c r="A2752" s="339" t="str">
        <f>IFERROR(__xludf.DUMMYFUNCTION("""COMPUTED_VALUE"""),"10.1111/j.1467-9280.2008.02157.x")</f>
        <v>10.1111/j.1467-9280.2008.02157.x</v>
      </c>
      <c r="B2752" s="445" t="str">
        <f>IFERROR(__xludf.DUMMYFUNCTION("""COMPUTED_VALUE"""),"https://drive.google.com/file/d/1VNZVfi392roXkffFia5wqQeCQjwEpyCc/view?usp=drivesdk")</f>
        <v>https://drive.google.com/file/d/1VNZVfi392roXkffFia5wqQeCQjwEpyCc/view?usp=drivesdk</v>
      </c>
      <c r="C2752" s="339" t="str">
        <f>IFERROR(__xludf.DUMMYFUNCTION("""COMPUTED_VALUE"""),"10.1111--j.1467-9280.2008.02157.x.pdf")</f>
        <v>10.1111--j.1467-9280.2008.02157.x.pdf</v>
      </c>
      <c r="D2752" s="159" t="str">
        <f>IFERROR(__xludf.DUMMYFUNCTION("""COMPUTED_VALUE"""),"application/pdf")</f>
        <v>application/pdf</v>
      </c>
    </row>
    <row r="2753">
      <c r="A2753" s="339" t="str">
        <f>IFERROR(__xludf.DUMMYFUNCTION("""COMPUTED_VALUE"""),"10.1111/j.1467-9280.2008.02136.x")</f>
        <v>10.1111/j.1467-9280.2008.02136.x</v>
      </c>
      <c r="B2753" s="445" t="str">
        <f>IFERROR(__xludf.DUMMYFUNCTION("""COMPUTED_VALUE"""),"https://drive.google.com/file/d/15VbpcEsW9L5op3IMpHA4I2dI5ndZgOpe/view?usp=drivesdk")</f>
        <v>https://drive.google.com/file/d/15VbpcEsW9L5op3IMpHA4I2dI5ndZgOpe/view?usp=drivesdk</v>
      </c>
      <c r="C2753" s="339" t="str">
        <f>IFERROR(__xludf.DUMMYFUNCTION("""COMPUTED_VALUE"""),"10.1111--j.1467-9280.2008.02136.x.pdf")</f>
        <v>10.1111--j.1467-9280.2008.02136.x.pdf</v>
      </c>
      <c r="D2753" s="159" t="str">
        <f>IFERROR(__xludf.DUMMYFUNCTION("""COMPUTED_VALUE"""),"application/pdf")</f>
        <v>application/pdf</v>
      </c>
    </row>
    <row r="2754">
      <c r="A2754" s="339" t="str">
        <f>IFERROR(__xludf.DUMMYFUNCTION("""COMPUTED_VALUE"""),"10.1111/j.1467-9280.2008.02099.x")</f>
        <v>10.1111/j.1467-9280.2008.02099.x</v>
      </c>
      <c r="B2754" s="445" t="str">
        <f>IFERROR(__xludf.DUMMYFUNCTION("""COMPUTED_VALUE"""),"https://drive.google.com/file/d/1eFWX5LIk2qUBEWJ46yJyou3O_bXjmNLe/view?usp=drivesdk")</f>
        <v>https://drive.google.com/file/d/1eFWX5LIk2qUBEWJ46yJyou3O_bXjmNLe/view?usp=drivesdk</v>
      </c>
      <c r="C2754" s="339" t="str">
        <f>IFERROR(__xludf.DUMMYFUNCTION("""COMPUTED_VALUE"""),"10.1111--j.1467-9280.2008.02099.x.pdf")</f>
        <v>10.1111--j.1467-9280.2008.02099.x.pdf</v>
      </c>
      <c r="D2754" s="159" t="str">
        <f>IFERROR(__xludf.DUMMYFUNCTION("""COMPUTED_VALUE"""),"application/pdf")</f>
        <v>application/pdf</v>
      </c>
    </row>
    <row r="2755">
      <c r="A2755" s="339" t="str">
        <f>IFERROR(__xludf.DUMMYFUNCTION("""COMPUTED_VALUE"""),"10.1111/j.1467-9280.2008.02098.x")</f>
        <v>10.1111/j.1467-9280.2008.02098.x</v>
      </c>
      <c r="B2755" s="445" t="str">
        <f>IFERROR(__xludf.DUMMYFUNCTION("""COMPUTED_VALUE"""),"https://drive.google.com/file/d/1z9vM-OymRrqp1u2xxHltR_nTYkRN8Bhe/view?usp=drivesdk")</f>
        <v>https://drive.google.com/file/d/1z9vM-OymRrqp1u2xxHltR_nTYkRN8Bhe/view?usp=drivesdk</v>
      </c>
      <c r="C2755" s="339" t="str">
        <f>IFERROR(__xludf.DUMMYFUNCTION("""COMPUTED_VALUE"""),"10.1111--j.1467-9280.2008.02098.x.pdf")</f>
        <v>10.1111--j.1467-9280.2008.02098.x.pdf</v>
      </c>
      <c r="D2755" s="159" t="str">
        <f>IFERROR(__xludf.DUMMYFUNCTION("""COMPUTED_VALUE"""),"application/pdf")</f>
        <v>application/pdf</v>
      </c>
    </row>
    <row r="2756">
      <c r="A2756" s="339" t="str">
        <f>IFERROR(__xludf.DUMMYFUNCTION("""COMPUTED_VALUE"""),"10.1111/j.1467-9280.2008.02097.x")</f>
        <v>10.1111/j.1467-9280.2008.02097.x</v>
      </c>
      <c r="B2756" s="445" t="str">
        <f>IFERROR(__xludf.DUMMYFUNCTION("""COMPUTED_VALUE"""),"https://drive.google.com/file/d/12-QJoC50RBrzSEp9gb50Wj-q2rFwe_UQ/view?usp=drivesdk")</f>
        <v>https://drive.google.com/file/d/12-QJoC50RBrzSEp9gb50Wj-q2rFwe_UQ/view?usp=drivesdk</v>
      </c>
      <c r="C2756" s="339" t="str">
        <f>IFERROR(__xludf.DUMMYFUNCTION("""COMPUTED_VALUE"""),"10.1111--j.1467-9280.2008.02097.x.pdf")</f>
        <v>10.1111--j.1467-9280.2008.02097.x.pdf</v>
      </c>
      <c r="D2756" s="159" t="str">
        <f>IFERROR(__xludf.DUMMYFUNCTION("""COMPUTED_VALUE"""),"application/pdf")</f>
        <v>application/pdf</v>
      </c>
    </row>
    <row r="2757">
      <c r="A2757" s="339" t="str">
        <f>IFERROR(__xludf.DUMMYFUNCTION("""COMPUTED_VALUE"""),"10.1111/j.1467-9280.2008.02096.x")</f>
        <v>10.1111/j.1467-9280.2008.02096.x</v>
      </c>
      <c r="B2757" s="445" t="str">
        <f>IFERROR(__xludf.DUMMYFUNCTION("""COMPUTED_VALUE"""),"https://drive.google.com/file/d/1u1KUYNIvVhIV8JolkU3hmE9IAKO7Zwnq/view?usp=drivesdk")</f>
        <v>https://drive.google.com/file/d/1u1KUYNIvVhIV8JolkU3hmE9IAKO7Zwnq/view?usp=drivesdk</v>
      </c>
      <c r="C2757" s="339" t="str">
        <f>IFERROR(__xludf.DUMMYFUNCTION("""COMPUTED_VALUE"""),"10.1111--j.1467-9280.2008.02096.x.pdf")</f>
        <v>10.1111--j.1467-9280.2008.02096.x.pdf</v>
      </c>
      <c r="D2757" s="159" t="str">
        <f>IFERROR(__xludf.DUMMYFUNCTION("""COMPUTED_VALUE"""),"application/pdf")</f>
        <v>application/pdf</v>
      </c>
    </row>
    <row r="2758">
      <c r="A2758" s="339" t="str">
        <f>IFERROR(__xludf.DUMMYFUNCTION("""COMPUTED_VALUE"""),"10.1111/j.1467-9280.2008.02095.x")</f>
        <v>10.1111/j.1467-9280.2008.02095.x</v>
      </c>
      <c r="B2758" s="445" t="str">
        <f>IFERROR(__xludf.DUMMYFUNCTION("""COMPUTED_VALUE"""),"https://drive.google.com/file/d/1hN-J6Uky5FuFHoIu7VleAWRSmSqB3wMb/view?usp=drivesdk")</f>
        <v>https://drive.google.com/file/d/1hN-J6Uky5FuFHoIu7VleAWRSmSqB3wMb/view?usp=drivesdk</v>
      </c>
      <c r="C2758" s="339" t="str">
        <f>IFERROR(__xludf.DUMMYFUNCTION("""COMPUTED_VALUE"""),"10.1111--j.1467-9280.2008.02095.x.pdf")</f>
        <v>10.1111--j.1467-9280.2008.02095.x.pdf</v>
      </c>
      <c r="D2758" s="159" t="str">
        <f>IFERROR(__xludf.DUMMYFUNCTION("""COMPUTED_VALUE"""),"application/pdf")</f>
        <v>application/pdf</v>
      </c>
    </row>
    <row r="2759">
      <c r="A2759" s="339" t="str">
        <f>IFERROR(__xludf.DUMMYFUNCTION("""COMPUTED_VALUE"""),"10.1111/j.1467-9280.2008.02094.x")</f>
        <v>10.1111/j.1467-9280.2008.02094.x</v>
      </c>
      <c r="B2759" s="445" t="str">
        <f>IFERROR(__xludf.DUMMYFUNCTION("""COMPUTED_VALUE"""),"https://drive.google.com/file/d/1y1GzGYijv2hKxQybrnUBP_imhXHPoSF1/view?usp=drivesdk")</f>
        <v>https://drive.google.com/file/d/1y1GzGYijv2hKxQybrnUBP_imhXHPoSF1/view?usp=drivesdk</v>
      </c>
      <c r="C2759" s="339" t="str">
        <f>IFERROR(__xludf.DUMMYFUNCTION("""COMPUTED_VALUE"""),"10.1111--j.1467-9280.2008.02094.x.pdf")</f>
        <v>10.1111--j.1467-9280.2008.02094.x.pdf</v>
      </c>
      <c r="D2759" s="159" t="str">
        <f>IFERROR(__xludf.DUMMYFUNCTION("""COMPUTED_VALUE"""),"application/pdf")</f>
        <v>application/pdf</v>
      </c>
    </row>
    <row r="2760">
      <c r="A2760" s="339" t="str">
        <f>IFERROR(__xludf.DUMMYFUNCTION("""COMPUTED_VALUE"""),"10.1111/j.1467-9280.2008.02093.x")</f>
        <v>10.1111/j.1467-9280.2008.02093.x</v>
      </c>
      <c r="B2760" s="445" t="str">
        <f>IFERROR(__xludf.DUMMYFUNCTION("""COMPUTED_VALUE"""),"https://drive.google.com/file/d/1RWYs4BxngJFHCjARwIfsUfl_7-oYLebS/view?usp=drivesdk")</f>
        <v>https://drive.google.com/file/d/1RWYs4BxngJFHCjARwIfsUfl_7-oYLebS/view?usp=drivesdk</v>
      </c>
      <c r="C2760" s="339" t="str">
        <f>IFERROR(__xludf.DUMMYFUNCTION("""COMPUTED_VALUE"""),"10.1111--j.1467-9280.2008.02093.x.pdf")</f>
        <v>10.1111--j.1467-9280.2008.02093.x.pdf</v>
      </c>
      <c r="D2760" s="159" t="str">
        <f>IFERROR(__xludf.DUMMYFUNCTION("""COMPUTED_VALUE"""),"application/pdf")</f>
        <v>application/pdf</v>
      </c>
    </row>
    <row r="2761">
      <c r="A2761" s="339" t="str">
        <f>IFERROR(__xludf.DUMMYFUNCTION("""COMPUTED_VALUE"""),"10.1093/jcr/ucz031")</f>
        <v>10.1093/jcr/ucz031</v>
      </c>
      <c r="B2761" s="445" t="str">
        <f>IFERROR(__xludf.DUMMYFUNCTION("""COMPUTED_VALUE"""),"https://drive.google.com/file/d/1AXw8qY84rt7zhu4JXQNDv8qAI41V_l3t/view?usp=drivesdk")</f>
        <v>https://drive.google.com/file/d/1AXw8qY84rt7zhu4JXQNDv8qAI41V_l3t/view?usp=drivesdk</v>
      </c>
      <c r="C2761" s="339" t="str">
        <f>IFERROR(__xludf.DUMMYFUNCTION("""COMPUTED_VALUE"""),"10.1093--jcr--ucz031.pdf")</f>
        <v>10.1093--jcr--ucz031.pdf</v>
      </c>
      <c r="D2761" s="159" t="str">
        <f>IFERROR(__xludf.DUMMYFUNCTION("""COMPUTED_VALUE"""),"application/pdf")</f>
        <v>application/pdf</v>
      </c>
    </row>
    <row r="2762">
      <c r="A2762" s="339" t="str">
        <f>IFERROR(__xludf.DUMMYFUNCTION("""COMPUTED_VALUE"""),"10.1093/jcr/ucz028")</f>
        <v>10.1093/jcr/ucz028</v>
      </c>
      <c r="B2762" s="445" t="str">
        <f>IFERROR(__xludf.DUMMYFUNCTION("""COMPUTED_VALUE"""),"https://drive.google.com/file/d/1rk2IUs1sRK-aqHnQzlQBCIve807-cy1l/view?usp=drivesdk")</f>
        <v>https://drive.google.com/file/d/1rk2IUs1sRK-aqHnQzlQBCIve807-cy1l/view?usp=drivesdk</v>
      </c>
      <c r="C2762" s="339" t="str">
        <f>IFERROR(__xludf.DUMMYFUNCTION("""COMPUTED_VALUE"""),"10.1093--jcr--ucz028.pdf")</f>
        <v>10.1093--jcr--ucz028.pdf</v>
      </c>
      <c r="D2762" s="159" t="str">
        <f>IFERROR(__xludf.DUMMYFUNCTION("""COMPUTED_VALUE"""),"application/pdf")</f>
        <v>application/pdf</v>
      </c>
    </row>
    <row r="2763">
      <c r="A2763" s="339" t="str">
        <f>IFERROR(__xludf.DUMMYFUNCTION("""COMPUTED_VALUE"""),"10.1093/jcr/ucz022")</f>
        <v>10.1093/jcr/ucz022</v>
      </c>
      <c r="B2763" s="445" t="str">
        <f>IFERROR(__xludf.DUMMYFUNCTION("""COMPUTED_VALUE"""),"https://drive.google.com/file/d/1JBL7ACa1LCauL8Ee0-semKwkjovJ9Pgw/view?usp=drivesdk")</f>
        <v>https://drive.google.com/file/d/1JBL7ACa1LCauL8Ee0-semKwkjovJ9Pgw/view?usp=drivesdk</v>
      </c>
      <c r="C2763" s="339" t="str">
        <f>IFERROR(__xludf.DUMMYFUNCTION("""COMPUTED_VALUE"""),"10.1093--jcr--ucz022.pdf")</f>
        <v>10.1093--jcr--ucz022.pdf</v>
      </c>
      <c r="D2763" s="159" t="str">
        <f>IFERROR(__xludf.DUMMYFUNCTION("""COMPUTED_VALUE"""),"application/pdf")</f>
        <v>application/pdf</v>
      </c>
    </row>
    <row r="2764">
      <c r="A2764" s="339" t="str">
        <f>IFERROR(__xludf.DUMMYFUNCTION("""COMPUTED_VALUE"""),"10.1093/jcr/ucy082")</f>
        <v>10.1093/jcr/ucy082</v>
      </c>
      <c r="B2764" s="445" t="str">
        <f>IFERROR(__xludf.DUMMYFUNCTION("""COMPUTED_VALUE"""),"https://drive.google.com/file/d/14_Y2sJYhrMVCOOYkvc8B2OnD9Oj96po_/view?usp=drivesdk")</f>
        <v>https://drive.google.com/file/d/14_Y2sJYhrMVCOOYkvc8B2OnD9Oj96po_/view?usp=drivesdk</v>
      </c>
      <c r="C2764" s="339" t="str">
        <f>IFERROR(__xludf.DUMMYFUNCTION("""COMPUTED_VALUE"""),"10.1093--jcr--ucy082.pdf")</f>
        <v>10.1093--jcr--ucy082.pdf</v>
      </c>
      <c r="D2764" s="159" t="str">
        <f>IFERROR(__xludf.DUMMYFUNCTION("""COMPUTED_VALUE"""),"application/pdf")</f>
        <v>application/pdf</v>
      </c>
    </row>
    <row r="2765">
      <c r="A2765" s="339" t="str">
        <f>IFERROR(__xludf.DUMMYFUNCTION("""COMPUTED_VALUE"""),"10.1093/jcr/ucy055")</f>
        <v>10.1093/jcr/ucy055</v>
      </c>
      <c r="B2765" s="445" t="str">
        <f>IFERROR(__xludf.DUMMYFUNCTION("""COMPUTED_VALUE"""),"https://drive.google.com/file/d/18XcHnZBS-SDEbuBnehiRFyGRPzzYWeeF/view?usp=drivesdk")</f>
        <v>https://drive.google.com/file/d/18XcHnZBS-SDEbuBnehiRFyGRPzzYWeeF/view?usp=drivesdk</v>
      </c>
      <c r="C2765" s="339" t="str">
        <f>IFERROR(__xludf.DUMMYFUNCTION("""COMPUTED_VALUE"""),"10.1093--jcr--ucy055.pdf")</f>
        <v>10.1093--jcr--ucy055.pdf</v>
      </c>
      <c r="D2765" s="159" t="str">
        <f>IFERROR(__xludf.DUMMYFUNCTION("""COMPUTED_VALUE"""),"application/pdf")</f>
        <v>application/pdf</v>
      </c>
    </row>
    <row r="2766">
      <c r="A2766" s="339" t="str">
        <f>IFERROR(__xludf.DUMMYFUNCTION("""COMPUTED_VALUE"""),"10.1093/jcr/ucx039")</f>
        <v>10.1093/jcr/ucx039</v>
      </c>
      <c r="B2766" s="445" t="str">
        <f>IFERROR(__xludf.DUMMYFUNCTION("""COMPUTED_VALUE"""),"https://drive.google.com/file/d/1K1a6m1aYmLn1_vwhiSohmNLDtZ1Y4Ux_/view?usp=drivesdk")</f>
        <v>https://drive.google.com/file/d/1K1a6m1aYmLn1_vwhiSohmNLDtZ1Y4Ux_/view?usp=drivesdk</v>
      </c>
      <c r="C2766" s="339" t="str">
        <f>IFERROR(__xludf.DUMMYFUNCTION("""COMPUTED_VALUE"""),"10.1093--jcr--ucx039.pdf")</f>
        <v>10.1093--jcr--ucx039.pdf</v>
      </c>
      <c r="D2766" s="159" t="str">
        <f>IFERROR(__xludf.DUMMYFUNCTION("""COMPUTED_VALUE"""),"application/pdf")</f>
        <v>application/pdf</v>
      </c>
    </row>
    <row r="2767">
      <c r="A2767" s="339" t="str">
        <f>IFERROR(__xludf.DUMMYFUNCTION("""COMPUTED_VALUE"""),"10.1093/jcr/ucw056")</f>
        <v>10.1093/jcr/ucw056</v>
      </c>
      <c r="B2767" s="445" t="str">
        <f>IFERROR(__xludf.DUMMYFUNCTION("""COMPUTED_VALUE"""),"https://drive.google.com/file/d/1SAkzHUXu2em_LOpzZzUsNAbEmhFQYt6z/view?usp=drivesdk")</f>
        <v>https://drive.google.com/file/d/1SAkzHUXu2em_LOpzZzUsNAbEmhFQYt6z/view?usp=drivesdk</v>
      </c>
      <c r="C2767" s="339" t="str">
        <f>IFERROR(__xludf.DUMMYFUNCTION("""COMPUTED_VALUE"""),"10.1093--jcr--ucw056.pdf")</f>
        <v>10.1093--jcr--ucw056.pdf</v>
      </c>
      <c r="D2767" s="159" t="str">
        <f>IFERROR(__xludf.DUMMYFUNCTION("""COMPUTED_VALUE"""),"application/pdf")</f>
        <v>application/pdf</v>
      </c>
    </row>
    <row r="2768">
      <c r="A2768" s="339" t="str">
        <f>IFERROR(__xludf.DUMMYFUNCTION("""COMPUTED_VALUE"""),"10.1093/jcr/ucw008")</f>
        <v>10.1093/jcr/ucw008</v>
      </c>
      <c r="B2768" s="445" t="str">
        <f>IFERROR(__xludf.DUMMYFUNCTION("""COMPUTED_VALUE"""),"https://drive.google.com/file/d/1-T6lXw_9tDN2t-Z39SM1dhIPR_IhO8fF/view?usp=drivesdk")</f>
        <v>https://drive.google.com/file/d/1-T6lXw_9tDN2t-Z39SM1dhIPR_IhO8fF/view?usp=drivesdk</v>
      </c>
      <c r="C2768" s="339" t="str">
        <f>IFERROR(__xludf.DUMMYFUNCTION("""COMPUTED_VALUE"""),"10.1093--jcr--ucw008.pdf")</f>
        <v>10.1093--jcr--ucw008.pdf</v>
      </c>
      <c r="D2768" s="159" t="str">
        <f>IFERROR(__xludf.DUMMYFUNCTION("""COMPUTED_VALUE"""),"application/pdf")</f>
        <v>application/pdf</v>
      </c>
    </row>
    <row r="2769">
      <c r="A2769" s="339" t="str">
        <f>IFERROR(__xludf.DUMMYFUNCTION("""COMPUTED_VALUE"""),"10.1093/jcr/ucv051")</f>
        <v>10.1093/jcr/ucv051</v>
      </c>
      <c r="B2769" s="445" t="str">
        <f>IFERROR(__xludf.DUMMYFUNCTION("""COMPUTED_VALUE"""),"https://drive.google.com/file/d/1k1zAeWl01m62ZgoBtOmSJCCoqfFGxddZ/view?usp=drivesdk")</f>
        <v>https://drive.google.com/file/d/1k1zAeWl01m62ZgoBtOmSJCCoqfFGxddZ/view?usp=drivesdk</v>
      </c>
      <c r="C2769" s="339" t="str">
        <f>IFERROR(__xludf.DUMMYFUNCTION("""COMPUTED_VALUE"""),"10.1093--jcr--ucv051.pdf")</f>
        <v>10.1093--jcr--ucv051.pdf</v>
      </c>
      <c r="D2769" s="159" t="str">
        <f>IFERROR(__xludf.DUMMYFUNCTION("""COMPUTED_VALUE"""),"application/pdf")</f>
        <v>application/pdf</v>
      </c>
    </row>
    <row r="2770">
      <c r="A2770" s="339" t="str">
        <f>IFERROR(__xludf.DUMMYFUNCTION("""COMPUTED_VALUE"""),"10.1093/jcr/ucv049")</f>
        <v>10.1093/jcr/ucv049</v>
      </c>
      <c r="B2770" s="445" t="str">
        <f>IFERROR(__xludf.DUMMYFUNCTION("""COMPUTED_VALUE"""),"https://drive.google.com/file/d/13HKE_rn4Mbnjq9uqiyo3J7J3BkR53UfI/view?usp=drivesdk")</f>
        <v>https://drive.google.com/file/d/13HKE_rn4Mbnjq9uqiyo3J7J3BkR53UfI/view?usp=drivesdk</v>
      </c>
      <c r="C2770" s="339" t="str">
        <f>IFERROR(__xludf.DUMMYFUNCTION("""COMPUTED_VALUE"""),"10.1093--jcr--ucv049.pdf")</f>
        <v>10.1093--jcr--ucv049.pdf</v>
      </c>
      <c r="D2770" s="159" t="str">
        <f>IFERROR(__xludf.DUMMYFUNCTION("""COMPUTED_VALUE"""),"application/pdf")</f>
        <v>application/pdf</v>
      </c>
    </row>
    <row r="2771">
      <c r="A2771" s="339" t="str">
        <f>IFERROR(__xludf.DUMMYFUNCTION("""COMPUTED_VALUE"""),"10.1093/jcr/ucv048")</f>
        <v>10.1093/jcr/ucv048</v>
      </c>
      <c r="B2771" s="445" t="str">
        <f>IFERROR(__xludf.DUMMYFUNCTION("""COMPUTED_VALUE"""),"https://drive.google.com/file/d/1MEpc9c6ksJJFPoeqztJd7l8g_1S5mA-8/view?usp=drivesdk")</f>
        <v>https://drive.google.com/file/d/1MEpc9c6ksJJFPoeqztJd7l8g_1S5mA-8/view?usp=drivesdk</v>
      </c>
      <c r="C2771" s="339" t="str">
        <f>IFERROR(__xludf.DUMMYFUNCTION("""COMPUTED_VALUE"""),"10.1093--jcr--ucv048.pdf")</f>
        <v>10.1093--jcr--ucv048.pdf</v>
      </c>
      <c r="D2771" s="159" t="str">
        <f>IFERROR(__xludf.DUMMYFUNCTION("""COMPUTED_VALUE"""),"application/pdf")</f>
        <v>application/pdf</v>
      </c>
    </row>
    <row r="2772">
      <c r="A2772" s="339" t="str">
        <f>IFERROR(__xludf.DUMMYFUNCTION("""COMPUTED_VALUE"""),"10.1093/jcr/ucv007")</f>
        <v>10.1093/jcr/ucv007</v>
      </c>
      <c r="B2772" s="445" t="str">
        <f>IFERROR(__xludf.DUMMYFUNCTION("""COMPUTED_VALUE"""),"https://drive.google.com/file/d/1hs6XpHWMiyMPANJzK7B4OuBvEZ7slY88/view?usp=drivesdk")</f>
        <v>https://drive.google.com/file/d/1hs6XpHWMiyMPANJzK7B4OuBvEZ7slY88/view?usp=drivesdk</v>
      </c>
      <c r="C2772" s="339" t="str">
        <f>IFERROR(__xludf.DUMMYFUNCTION("""COMPUTED_VALUE"""),"10.1093--jcr--ucv007.pdf")</f>
        <v>10.1093--jcr--ucv007.pdf</v>
      </c>
      <c r="D2772" s="159" t="str">
        <f>IFERROR(__xludf.DUMMYFUNCTION("""COMPUTED_VALUE"""),"application/pdf")</f>
        <v>application/pdf</v>
      </c>
    </row>
    <row r="2773">
      <c r="A2773" s="339" t="str">
        <f>IFERROR(__xludf.DUMMYFUNCTION("""COMPUTED_VALUE"""),"10.1093/jcr/ucaa019")</f>
        <v>10.1093/jcr/ucaa019</v>
      </c>
      <c r="B2773" s="445" t="str">
        <f>IFERROR(__xludf.DUMMYFUNCTION("""COMPUTED_VALUE"""),"https://drive.google.com/file/d/1F9_n_UhEAcWuePr4oCoaRdVdWXw-1HnA/view?usp=drivesdk")</f>
        <v>https://drive.google.com/file/d/1F9_n_UhEAcWuePr4oCoaRdVdWXw-1HnA/view?usp=drivesdk</v>
      </c>
      <c r="C2773" s="339" t="str">
        <f>IFERROR(__xludf.DUMMYFUNCTION("""COMPUTED_VALUE"""),"10.1093--jcr--ucaa019.pdf")</f>
        <v>10.1093--jcr--ucaa019.pdf</v>
      </c>
      <c r="D2773" s="159" t="str">
        <f>IFERROR(__xludf.DUMMYFUNCTION("""COMPUTED_VALUE"""),"application/pdf")</f>
        <v>application/pdf</v>
      </c>
    </row>
    <row r="2774">
      <c r="A2774" s="339" t="str">
        <f>IFERROR(__xludf.DUMMYFUNCTION("""COMPUTED_VALUE"""),"10.1093/jcr/ucaa006")</f>
        <v>10.1093/jcr/ucaa006</v>
      </c>
      <c r="B2774" s="445" t="str">
        <f>IFERROR(__xludf.DUMMYFUNCTION("""COMPUTED_VALUE"""),"https://drive.google.com/file/d/1gRgJHSBe6N9GFTwpidg5erf-GYFKEsJL/view?usp=drivesdk")</f>
        <v>https://drive.google.com/file/d/1gRgJHSBe6N9GFTwpidg5erf-GYFKEsJL/view?usp=drivesdk</v>
      </c>
      <c r="C2774" s="339" t="str">
        <f>IFERROR(__xludf.DUMMYFUNCTION("""COMPUTED_VALUE"""),"10.1093--jcr--ucaa006.pdf")</f>
        <v>10.1093--jcr--ucaa006.pdf</v>
      </c>
      <c r="D2774" s="159" t="str">
        <f>IFERROR(__xludf.DUMMYFUNCTION("""COMPUTED_VALUE"""),"application/pdf")</f>
        <v>application/pdf</v>
      </c>
    </row>
    <row r="2775">
      <c r="A2775" s="339" t="str">
        <f>IFERROR(__xludf.DUMMYFUNCTION("""COMPUTED_VALUE"""),"10.1093/geroni/igaa023")</f>
        <v>10.1093/geroni/igaa023</v>
      </c>
      <c r="B2775" s="445" t="str">
        <f>IFERROR(__xludf.DUMMYFUNCTION("""COMPUTED_VALUE"""),"https://drive.google.com/file/d/1pZNlp1XdYUtsNz_D8YxxUj7KaLbFmfHk/view?usp=drivesdk")</f>
        <v>https://drive.google.com/file/d/1pZNlp1XdYUtsNz_D8YxxUj7KaLbFmfHk/view?usp=drivesdk</v>
      </c>
      <c r="C2775" s="339" t="str">
        <f>IFERROR(__xludf.DUMMYFUNCTION("""COMPUTED_VALUE"""),"10.1093--geroni--igaa023.pdf")</f>
        <v>10.1093--geroni--igaa023.pdf</v>
      </c>
      <c r="D2775" s="159" t="str">
        <f>IFERROR(__xludf.DUMMYFUNCTION("""COMPUTED_VALUE"""),"application/pdf")</f>
        <v>application/pdf</v>
      </c>
    </row>
    <row r="2776">
      <c r="A2776" s="339" t="str">
        <f>IFERROR(__xludf.DUMMYFUNCTION("""COMPUTED_VALUE"""),"10.1093/aesthj/ayu027")</f>
        <v>10.1093/aesthj/ayu027</v>
      </c>
      <c r="B2776" s="445" t="str">
        <f>IFERROR(__xludf.DUMMYFUNCTION("""COMPUTED_VALUE"""),"https://drive.google.com/file/d/17zk5ntmJwRuglkdI2KDBsmDyHp9ZT9nk/view?usp=drivesdk")</f>
        <v>https://drive.google.com/file/d/17zk5ntmJwRuglkdI2KDBsmDyHp9ZT9nk/view?usp=drivesdk</v>
      </c>
      <c r="C2776" s="339" t="str">
        <f>IFERROR(__xludf.DUMMYFUNCTION("""COMPUTED_VALUE"""),"10.1093--aesthj--ayu027.pdf")</f>
        <v>10.1093--aesthj--ayu027.pdf</v>
      </c>
      <c r="D2776" s="159" t="str">
        <f>IFERROR(__xludf.DUMMYFUNCTION("""COMPUTED_VALUE"""),"application/pdf")</f>
        <v>application/pdf</v>
      </c>
    </row>
    <row r="2777">
      <c r="A2777" s="339" t="str">
        <f>IFERROR(__xludf.DUMMYFUNCTION("""COMPUTED_VALUE"""),"10.1037/0022-3514.94.2.94.2.231")</f>
        <v>10.1037/0022-3514.94.2.94.2.231</v>
      </c>
      <c r="B2777" s="445" t="str">
        <f>IFERROR(__xludf.DUMMYFUNCTION("""COMPUTED_VALUE"""),"https://drive.google.com/file/d/15DQQpECVr9NdJZ7O7RNWRdNwXQ6KQeXe/view?usp=drivesdk")</f>
        <v>https://drive.google.com/file/d/15DQQpECVr9NdJZ7O7RNWRdNwXQ6KQeXe/view?usp=drivesdk</v>
      </c>
      <c r="C2777" s="339" t="str">
        <f>IFERROR(__xludf.DUMMYFUNCTION("""COMPUTED_VALUE"""),"10.1037--0022-3514.94.2.94.2.231.pdf")</f>
        <v>10.1037--0022-3514.94.2.94.2.231.pdf</v>
      </c>
      <c r="D2777" s="159" t="str">
        <f>IFERROR(__xludf.DUMMYFUNCTION("""COMPUTED_VALUE"""),"application/pdf")</f>
        <v>application/pdf</v>
      </c>
    </row>
    <row r="2778">
      <c r="A2778" s="339" t="str">
        <f>IFERROR(__xludf.DUMMYFUNCTION("""COMPUTED_VALUE"""),"10.1037/0022-3514.94.2.94.2.214")</f>
        <v>10.1037/0022-3514.94.2.94.2.214</v>
      </c>
      <c r="B2778" s="445" t="str">
        <f>IFERROR(__xludf.DUMMYFUNCTION("""COMPUTED_VALUE"""),"https://drive.google.com/file/d/1uvNnSbKbMCM86OxWRFAhGKTZTJ6XCJE-/view?usp=drivesdk")</f>
        <v>https://drive.google.com/file/d/1uvNnSbKbMCM86OxWRFAhGKTZTJ6XCJE-/view?usp=drivesdk</v>
      </c>
      <c r="C2778" s="339" t="str">
        <f>IFERROR(__xludf.DUMMYFUNCTION("""COMPUTED_VALUE"""),"10.1037--0022-3514.94.2.94.2.214.pdf")</f>
        <v>10.1037--0022-3514.94.2.94.2.214.pdf</v>
      </c>
      <c r="D2778" s="159" t="str">
        <f>IFERROR(__xludf.DUMMYFUNCTION("""COMPUTED_VALUE"""),"application/pdf")</f>
        <v>application/pdf</v>
      </c>
    </row>
    <row r="2779">
      <c r="A2779" s="339" t="str">
        <f>IFERROR(__xludf.DUMMYFUNCTION("""COMPUTED_VALUE"""),"10.1016/j.intell.2006.02.004")</f>
        <v>10.1016/j.intell.2006.02.004</v>
      </c>
      <c r="B2779" s="445" t="str">
        <f>IFERROR(__xludf.DUMMYFUNCTION("""COMPUTED_VALUE"""),"https://drive.google.com/file/d/1Rd9xGPWDV88bQCLvGyH8PPp-DhHO-_DW/view?usp=drivesdk")</f>
        <v>https://drive.google.com/file/d/1Rd9xGPWDV88bQCLvGyH8PPp-DhHO-_DW/view?usp=drivesdk</v>
      </c>
      <c r="C2779" s="339" t="str">
        <f>IFERROR(__xludf.DUMMYFUNCTION("""COMPUTED_VALUE"""),"10.1016--j.intell.2006.02.004.pdf")</f>
        <v>10.1016--j.intell.2006.02.004.pdf</v>
      </c>
      <c r="D2779" s="159" t="str">
        <f>IFERROR(__xludf.DUMMYFUNCTION("""COMPUTED_VALUE"""),"application/pdf")</f>
        <v>application/pdf</v>
      </c>
    </row>
    <row r="2780">
      <c r="A2780" s="339" t="str">
        <f>IFERROR(__xludf.DUMMYFUNCTION("""COMPUTED_VALUE"""),"10.1016/j.tine.2017.02.002")</f>
        <v>10.1016/j.tine.2017.02.002</v>
      </c>
      <c r="B2780" s="445" t="str">
        <f>IFERROR(__xludf.DUMMYFUNCTION("""COMPUTED_VALUE"""),"https://drive.google.com/file/d/1v82xrF9c9ehLJpxzdx2U84oHz4YW6M1g/view?usp=drivesdk")</f>
        <v>https://drive.google.com/file/d/1v82xrF9c9ehLJpxzdx2U84oHz4YW6M1g/view?usp=drivesdk</v>
      </c>
      <c r="C2780" s="339" t="str">
        <f>IFERROR(__xludf.DUMMYFUNCTION("""COMPUTED_VALUE"""),"10.1016--j.tine.2017.02.002.pdf")</f>
        <v>10.1016--j.tine.2017.02.002.pdf</v>
      </c>
      <c r="D2780" s="159" t="str">
        <f>IFERROR(__xludf.DUMMYFUNCTION("""COMPUTED_VALUE"""),"application/pdf")</f>
        <v>application/pdf</v>
      </c>
    </row>
    <row r="2781">
      <c r="A2781" s="339" t="str">
        <f>IFERROR(__xludf.DUMMYFUNCTION("""COMPUTED_VALUE"""),"10.1207/s15326985ep4104_1")</f>
        <v>10.1207/s15326985ep4104_1</v>
      </c>
      <c r="B2781" s="445" t="str">
        <f>IFERROR(__xludf.DUMMYFUNCTION("""COMPUTED_VALUE"""),"https://drive.google.com/file/d/1qE6c5eqWeEKM9st3yOraYsnw5N9yJH7l/view?usp=drivesdk")</f>
        <v>https://drive.google.com/file/d/1qE6c5eqWeEKM9st3yOraYsnw5N9yJH7l/view?usp=drivesdk</v>
      </c>
      <c r="C2781" s="339" t="str">
        <f>IFERROR(__xludf.DUMMYFUNCTION("""COMPUTED_VALUE"""),"10.1207--s15326985ep4104_1.pdf")</f>
        <v>10.1207--s15326985ep4104_1.pdf</v>
      </c>
      <c r="D2781" s="159" t="str">
        <f>IFERROR(__xludf.DUMMYFUNCTION("""COMPUTED_VALUE"""),"application/pdf")</f>
        <v>application/pdf</v>
      </c>
    </row>
    <row r="2782">
      <c r="A2782" s="339" t="str">
        <f>IFERROR(__xludf.DUMMYFUNCTION("""COMPUTED_VALUE"""),"10.1162/jocn_a_00141")</f>
        <v>10.1162/jocn_a_00141</v>
      </c>
      <c r="B2782" s="445" t="str">
        <f>IFERROR(__xludf.DUMMYFUNCTION("""COMPUTED_VALUE"""),"https://drive.google.com/file/d/1yicevDL8q3uBlrq8FME7wO35hhINlm9i/view?usp=drivesdk")</f>
        <v>https://drive.google.com/file/d/1yicevDL8q3uBlrq8FME7wO35hhINlm9i/view?usp=drivesdk</v>
      </c>
      <c r="C2782" s="339" t="str">
        <f>IFERROR(__xludf.DUMMYFUNCTION("""COMPUTED_VALUE"""),"10.1162--jocn_a_00141.pdf")</f>
        <v>10.1162--jocn_a_00141.pdf</v>
      </c>
      <c r="D2782" s="159" t="str">
        <f>IFERROR(__xludf.DUMMYFUNCTION("""COMPUTED_VALUE"""),"application/pdf")</f>
        <v>application/pdf</v>
      </c>
    </row>
    <row r="2783">
      <c r="A2783" s="339" t="str">
        <f>IFERROR(__xludf.DUMMYFUNCTION("""COMPUTED_VALUE"""),"10.1016/j.neuron.2010.11.045")</f>
        <v>10.1016/j.neuron.2010.11.045</v>
      </c>
      <c r="B2783" s="445" t="str">
        <f>IFERROR(__xludf.DUMMYFUNCTION("""COMPUTED_VALUE"""),"https://drive.google.com/file/d/1QGwFQzaQRDG3tlEKooHy4FGNPwX6h1w1/view?usp=drivesdk")</f>
        <v>https://drive.google.com/file/d/1QGwFQzaQRDG3tlEKooHy4FGNPwX6h1w1/view?usp=drivesdk</v>
      </c>
      <c r="C2783" s="339" t="str">
        <f>IFERROR(__xludf.DUMMYFUNCTION("""COMPUTED_VALUE"""),"10.1016--j.neuron.2010.11.045.pdf")</f>
        <v>10.1016--j.neuron.2010.11.045.pdf</v>
      </c>
      <c r="D2783" s="159" t="str">
        <f>IFERROR(__xludf.DUMMYFUNCTION("""COMPUTED_VALUE"""),"application/pdf")</f>
        <v>application/pdf</v>
      </c>
    </row>
    <row r="2784">
      <c r="A2784" s="339" t="str">
        <f>IFERROR(__xludf.DUMMYFUNCTION("""COMPUTED_VALUE"""),"10.1016/j.cub.2016.03.047")</f>
        <v>10.1016/j.cub.2016.03.047</v>
      </c>
      <c r="B2784" s="445" t="str">
        <f>IFERROR(__xludf.DUMMYFUNCTION("""COMPUTED_VALUE"""),"https://drive.google.com/file/d/1612cVHt8YAoCVAa9x6CR0LsF-S_e-dzF/view?usp=drivesdk")</f>
        <v>https://drive.google.com/file/d/1612cVHt8YAoCVAa9x6CR0LsF-S_e-dzF/view?usp=drivesdk</v>
      </c>
      <c r="C2784" s="339" t="str">
        <f>IFERROR(__xludf.DUMMYFUNCTION("""COMPUTED_VALUE"""),"10.1016--j.cub.2016.03.047.pdf")</f>
        <v>10.1016--j.cub.2016.03.047.pdf</v>
      </c>
      <c r="D2784" s="159" t="str">
        <f>IFERROR(__xludf.DUMMYFUNCTION("""COMPUTED_VALUE"""),"application/pdf")</f>
        <v>application/pdf</v>
      </c>
    </row>
    <row r="2785">
      <c r="A2785" s="339" t="str">
        <f>IFERROR(__xludf.DUMMYFUNCTION("""COMPUTED_VALUE"""),"10.1016/j.jml.2010.09.002")</f>
        <v>10.1016/j.jml.2010.09.002</v>
      </c>
      <c r="B2785" s="445" t="str">
        <f>IFERROR(__xludf.DUMMYFUNCTION("""COMPUTED_VALUE"""),"https://drive.google.com/file/d/13scdctuunPsPA7VN0U_MwGGRn8XVKTbE/view?usp=drivesdk")</f>
        <v>https://drive.google.com/file/d/13scdctuunPsPA7VN0U_MwGGRn8XVKTbE/view?usp=drivesdk</v>
      </c>
      <c r="C2785" s="339" t="str">
        <f>IFERROR(__xludf.DUMMYFUNCTION("""COMPUTED_VALUE"""),"10.1016--j.jml.2010.09.002.pdf")</f>
        <v>10.1016--j.jml.2010.09.002.pdf</v>
      </c>
      <c r="D2785" s="159" t="str">
        <f>IFERROR(__xludf.DUMMYFUNCTION("""COMPUTED_VALUE"""),"application/pdf")</f>
        <v>application/pdf</v>
      </c>
    </row>
    <row r="2786">
      <c r="A2786" s="339" t="str">
        <f>IFERROR(__xludf.DUMMYFUNCTION("""COMPUTED_VALUE"""),"10.1080/17470218.2013.771689")</f>
        <v>10.1080/17470218.2013.771689</v>
      </c>
      <c r="B2786" s="445" t="str">
        <f>IFERROR(__xludf.DUMMYFUNCTION("""COMPUTED_VALUE"""),"https://drive.google.com/file/d/17rssfXeSwSyxfwOWnaBs0wPihBQAhZp-/view?usp=drivesdk")</f>
        <v>https://drive.google.com/file/d/17rssfXeSwSyxfwOWnaBs0wPihBQAhZp-/view?usp=drivesdk</v>
      </c>
      <c r="C2786" s="339" t="str">
        <f>IFERROR(__xludf.DUMMYFUNCTION("""COMPUTED_VALUE"""),"10.1080--17470218.2013.771689.pdf")</f>
        <v>10.1080--17470218.2013.771689.pdf</v>
      </c>
      <c r="D2786" s="159" t="str">
        <f>IFERROR(__xludf.DUMMYFUNCTION("""COMPUTED_VALUE"""),"application/pdf")</f>
        <v>application/pdf</v>
      </c>
    </row>
    <row r="2787">
      <c r="A2787" s="339" t="str">
        <f>IFERROR(__xludf.DUMMYFUNCTION("""COMPUTED_VALUE"""),"10.1177/0956797617739704")</f>
        <v>10.1177/0956797617739704</v>
      </c>
      <c r="B2787" s="445" t="str">
        <f>IFERROR(__xludf.DUMMYFUNCTION("""COMPUTED_VALUE"""),"https://drive.google.com/file/d/1jd9ycYWZkLbbUrtvuNJeNEiLp_k9LMoe/view?usp=drivesdk")</f>
        <v>https://drive.google.com/file/d/1jd9ycYWZkLbbUrtvuNJeNEiLp_k9LMoe/view?usp=drivesdk</v>
      </c>
      <c r="C2787" s="339" t="str">
        <f>IFERROR(__xludf.DUMMYFUNCTION("""COMPUTED_VALUE"""),"10.1177--0956797617739704.pdf")</f>
        <v>10.1177--0956797617739704.pdf</v>
      </c>
      <c r="D2787" s="159" t="str">
        <f>IFERROR(__xludf.DUMMYFUNCTION("""COMPUTED_VALUE"""),"application/pdf")</f>
        <v>application/pdf</v>
      </c>
    </row>
    <row r="2788">
      <c r="A2788" s="339" t="str">
        <f>IFERROR(__xludf.DUMMYFUNCTION("""COMPUTED_VALUE"""),"10.1038/s41562-018-0506-1")</f>
        <v>10.1038/s41562-018-0506-1</v>
      </c>
      <c r="B2788" s="445" t="str">
        <f>IFERROR(__xludf.DUMMYFUNCTION("""COMPUTED_VALUE"""),"https://drive.google.com/file/d/1PHdeD8DCOHYtYlSowdL4RnjXdXP9WvnF/view?usp=drivesdk")</f>
        <v>https://drive.google.com/file/d/1PHdeD8DCOHYtYlSowdL4RnjXdXP9WvnF/view?usp=drivesdk</v>
      </c>
      <c r="C2788" s="339" t="str">
        <f>IFERROR(__xludf.DUMMYFUNCTION("""COMPUTED_VALUE"""),"10.1038--s41562-018-0506-1.pdf")</f>
        <v>10.1038--s41562-018-0506-1.pdf</v>
      </c>
      <c r="D2788" s="159" t="str">
        <f>IFERROR(__xludf.DUMMYFUNCTION("""COMPUTED_VALUE"""),"application/pdf")</f>
        <v>application/pdf</v>
      </c>
    </row>
    <row r="2789">
      <c r="A2789" s="339" t="str">
        <f>IFERROR(__xludf.DUMMYFUNCTION("""COMPUTED_VALUE"""),"10.1016/j.paid.2019.109707")</f>
        <v>10.1016/j.paid.2019.109707</v>
      </c>
      <c r="B2789" s="445" t="str">
        <f>IFERROR(__xludf.DUMMYFUNCTION("""COMPUTED_VALUE"""),"https://drive.google.com/file/d/1Qtwddk-XDlbwPPGy3W-QXhpffZJZhBKc/view?usp=drivesdk")</f>
        <v>https://drive.google.com/file/d/1Qtwddk-XDlbwPPGy3W-QXhpffZJZhBKc/view?usp=drivesdk</v>
      </c>
      <c r="C2789" s="339" t="str">
        <f>IFERROR(__xludf.DUMMYFUNCTION("""COMPUTED_VALUE"""),"10.1016--j.paid.2019.109707.pdf")</f>
        <v>10.1016--j.paid.2019.109707.pdf</v>
      </c>
      <c r="D2789" s="159" t="str">
        <f>IFERROR(__xludf.DUMMYFUNCTION("""COMPUTED_VALUE"""),"application/pdf")</f>
        <v>application/pdf</v>
      </c>
    </row>
    <row r="2790">
      <c r="A2790" s="339" t="str">
        <f>IFERROR(__xludf.DUMMYFUNCTION("""COMPUTED_VALUE"""),"10.1177/0956797617724208")</f>
        <v>10.1177/0956797617724208</v>
      </c>
      <c r="B2790" s="445" t="str">
        <f>IFERROR(__xludf.DUMMYFUNCTION("""COMPUTED_VALUE"""),"https://drive.google.com/file/d/1mL9Ab5TM5BMWagobH7NKQFy8VurCd2et/view?usp=drivesdk")</f>
        <v>https://drive.google.com/file/d/1mL9Ab5TM5BMWagobH7NKQFy8VurCd2et/view?usp=drivesdk</v>
      </c>
      <c r="C2790" s="339" t="str">
        <f>IFERROR(__xludf.DUMMYFUNCTION("""COMPUTED_VALUE"""),"10.1177--0956797617724208.pdf")</f>
        <v>10.1177--0956797617724208.pdf</v>
      </c>
      <c r="D2790" s="159" t="str">
        <f>IFERROR(__xludf.DUMMYFUNCTION("""COMPUTED_VALUE"""),"application/pdf")</f>
        <v>application/pdf</v>
      </c>
    </row>
    <row r="2791">
      <c r="A2791" s="339" t="str">
        <f>IFERROR(__xludf.DUMMYFUNCTION("""COMPUTED_VALUE"""),"10.1177/1745691609357019")</f>
        <v>10.1177/1745691609357019</v>
      </c>
      <c r="B2791" s="445" t="str">
        <f>IFERROR(__xludf.DUMMYFUNCTION("""COMPUTED_VALUE"""),"https://drive.google.com/file/d/1Ss_WUKD-G7G3jlVK_OnYeM1slXhgl9ui/view?usp=drivesdk")</f>
        <v>https://drive.google.com/file/d/1Ss_WUKD-G7G3jlVK_OnYeM1slXhgl9ui/view?usp=drivesdk</v>
      </c>
      <c r="C2791" s="339" t="str">
        <f>IFERROR(__xludf.DUMMYFUNCTION("""COMPUTED_VALUE"""),"10.1177--1745691609357019.pdf")</f>
        <v>10.1177--1745691609357019.pdf</v>
      </c>
      <c r="D2791" s="159" t="str">
        <f>IFERROR(__xludf.DUMMYFUNCTION("""COMPUTED_VALUE"""),"application/pdf")</f>
        <v>application/pdf</v>
      </c>
    </row>
    <row r="2792">
      <c r="A2792" s="339" t="str">
        <f>IFERROR(__xludf.DUMMYFUNCTION("""COMPUTED_VALUE"""),"10.1177/2167696812466848")</f>
        <v>10.1177/2167696812466848</v>
      </c>
      <c r="B2792" s="445" t="str">
        <f>IFERROR(__xludf.DUMMYFUNCTION("""COMPUTED_VALUE"""),"https://drive.google.com/file/d/1o2k7vj4lCbLr-sUckUJPC5evZ3l6CFw_/view?usp=drivesdk")</f>
        <v>https://drive.google.com/file/d/1o2k7vj4lCbLr-sUckUJPC5evZ3l6CFw_/view?usp=drivesdk</v>
      </c>
      <c r="C2792" s="339" t="str">
        <f>IFERROR(__xludf.DUMMYFUNCTION("""COMPUTED_VALUE"""),"10.1177--2167696812466848.pdf")</f>
        <v>10.1177--2167696812466848.pdf</v>
      </c>
      <c r="D2792" s="159" t="str">
        <f>IFERROR(__xludf.DUMMYFUNCTION("""COMPUTED_VALUE"""),"application/pdf")</f>
        <v>application/pdf</v>
      </c>
    </row>
    <row r="2793">
      <c r="A2793" s="339" t="str">
        <f>IFERROR(__xludf.DUMMYFUNCTION("""COMPUTED_VALUE"""),"10.3390/su13158315")</f>
        <v>10.3390/su13158315</v>
      </c>
      <c r="B2793" s="445" t="str">
        <f>IFERROR(__xludf.DUMMYFUNCTION("""COMPUTED_VALUE"""),"https://drive.google.com/file/d/1xWtzIalTyDfQmth-6vNfg7v6DUlLfVxw/view?usp=drivesdk")</f>
        <v>https://drive.google.com/file/d/1xWtzIalTyDfQmth-6vNfg7v6DUlLfVxw/view?usp=drivesdk</v>
      </c>
      <c r="C2793" s="339" t="str">
        <f>IFERROR(__xludf.DUMMYFUNCTION("""COMPUTED_VALUE"""),"10.3390--su13158315.pdf")</f>
        <v>10.3390--su13158315.pdf</v>
      </c>
      <c r="D2793" s="159" t="str">
        <f>IFERROR(__xludf.DUMMYFUNCTION("""COMPUTED_VALUE"""),"application/pdf")</f>
        <v>application/pdf</v>
      </c>
    </row>
    <row r="2794">
      <c r="A2794" s="339" t="str">
        <f>IFERROR(__xludf.DUMMYFUNCTION("""COMPUTED_VALUE"""),"10.1177/0956797613520236")</f>
        <v>10.1177/0956797613520236</v>
      </c>
      <c r="B2794" s="445" t="str">
        <f>IFERROR(__xludf.DUMMYFUNCTION("""COMPUTED_VALUE"""),"https://drive.google.com/file/d/1r2agxTQW4eF6F77aYqt_qAMgbq4h6vhA/view?usp=drivesdk")</f>
        <v>https://drive.google.com/file/d/1r2agxTQW4eF6F77aYqt_qAMgbq4h6vhA/view?usp=drivesdk</v>
      </c>
      <c r="C2794" s="339" t="str">
        <f>IFERROR(__xludf.DUMMYFUNCTION("""COMPUTED_VALUE"""),"10.1177--0956797613520236.pdf")</f>
        <v>10.1177--0956797613520236.pdf</v>
      </c>
      <c r="D2794" s="159" t="str">
        <f>IFERROR(__xludf.DUMMYFUNCTION("""COMPUTED_VALUE"""),"application/pdf")</f>
        <v>application/pdf</v>
      </c>
    </row>
    <row r="2795">
      <c r="A2795" s="339" t="str">
        <f>IFERROR(__xludf.DUMMYFUNCTION("""COMPUTED_VALUE"""),"10.1038/s41598-019-40917-8")</f>
        <v>10.1038/s41598-019-40917-8</v>
      </c>
      <c r="B2795" s="445" t="str">
        <f>IFERROR(__xludf.DUMMYFUNCTION("""COMPUTED_VALUE"""),"https://drive.google.com/file/d/111nuS5F8JlaSOcxh61VDyUCY_DCdOKGM/view?usp=drivesdk")</f>
        <v>https://drive.google.com/file/d/111nuS5F8JlaSOcxh61VDyUCY_DCdOKGM/view?usp=drivesdk</v>
      </c>
      <c r="C2795" s="339" t="str">
        <f>IFERROR(__xludf.DUMMYFUNCTION("""COMPUTED_VALUE"""),"10.1038--s41598-019-40917-8.pdf")</f>
        <v>10.1038--s41598-019-40917-8.pdf</v>
      </c>
      <c r="D2795" s="159" t="str">
        <f>IFERROR(__xludf.DUMMYFUNCTION("""COMPUTED_VALUE"""),"application/pdf")</f>
        <v>application/pdf</v>
      </c>
    </row>
    <row r="2796">
      <c r="A2796" s="339" t="str">
        <f>IFERROR(__xludf.DUMMYFUNCTION("""COMPUTED_VALUE"""),"10.1016/j.neulet.2016.03.027")</f>
        <v>10.1016/j.neulet.2016.03.027</v>
      </c>
      <c r="B2796" s="445" t="str">
        <f>IFERROR(__xludf.DUMMYFUNCTION("""COMPUTED_VALUE"""),"https://drive.google.com/file/d/12AI5DRJwy5EUDc4Bff1lMMigRu387odK/view?usp=drivesdk")</f>
        <v>https://drive.google.com/file/d/12AI5DRJwy5EUDc4Bff1lMMigRu387odK/view?usp=drivesdk</v>
      </c>
      <c r="C2796" s="339" t="str">
        <f>IFERROR(__xludf.DUMMYFUNCTION("""COMPUTED_VALUE"""),"10.1016--j.neulet.2016.03.027.pdf")</f>
        <v>10.1016--j.neulet.2016.03.027.pdf</v>
      </c>
      <c r="D2796" s="159" t="str">
        <f>IFERROR(__xludf.DUMMYFUNCTION("""COMPUTED_VALUE"""),"application/pdf")</f>
        <v>application/pdf</v>
      </c>
    </row>
    <row r="2797">
      <c r="A2797" s="339" t="str">
        <f>IFERROR(__xludf.DUMMYFUNCTION("""COMPUTED_VALUE"""),"10.1080/17437199.2016.1176865")</f>
        <v>10.1080/17437199.2016.1176865</v>
      </c>
      <c r="B2797" s="445" t="str">
        <f>IFERROR(__xludf.DUMMYFUNCTION("""COMPUTED_VALUE"""),"https://drive.google.com/file/d/1q3zDBCAa9Iik9Z4vigCtXmanj8_d5bWb/view?usp=drivesdk")</f>
        <v>https://drive.google.com/file/d/1q3zDBCAa9Iik9Z4vigCtXmanj8_d5bWb/view?usp=drivesdk</v>
      </c>
      <c r="C2797" s="339" t="str">
        <f>IFERROR(__xludf.DUMMYFUNCTION("""COMPUTED_VALUE"""),"10.1080--17437199.2016.1176865.pdf")</f>
        <v>10.1080--17437199.2016.1176865.pdf</v>
      </c>
      <c r="D2797" s="159" t="str">
        <f>IFERROR(__xludf.DUMMYFUNCTION("""COMPUTED_VALUE"""),"application/pdf")</f>
        <v>application/pdf</v>
      </c>
    </row>
    <row r="2798">
      <c r="A2798" s="339" t="str">
        <f>IFERROR(__xludf.DUMMYFUNCTION("""COMPUTED_VALUE"""),"10.1509/jmkg.70.1.079.qxd")</f>
        <v>10.1509/jmkg.70.1.079.qxd</v>
      </c>
      <c r="B2798" s="445" t="str">
        <f>IFERROR(__xludf.DUMMYFUNCTION("""COMPUTED_VALUE"""),"https://drive.google.com/file/d/1rPq3gMHnm7Y6lLJHL8-tANQFNLPqfbYm/view?usp=drivesdk")</f>
        <v>https://drive.google.com/file/d/1rPq3gMHnm7Y6lLJHL8-tANQFNLPqfbYm/view?usp=drivesdk</v>
      </c>
      <c r="C2798" s="339" t="str">
        <f>IFERROR(__xludf.DUMMYFUNCTION("""COMPUTED_VALUE"""),"10.1509--jmkg.70.1.079.qxd.pdf")</f>
        <v>10.1509--jmkg.70.1.079.qxd.pdf</v>
      </c>
      <c r="D2798" s="159" t="str">
        <f>IFERROR(__xludf.DUMMYFUNCTION("""COMPUTED_VALUE"""),"application/pdf")</f>
        <v>application/pdf</v>
      </c>
    </row>
    <row r="2799">
      <c r="A2799" s="339" t="str">
        <f>IFERROR(__xludf.DUMMYFUNCTION("""COMPUTED_VALUE"""),"10.1111/desc.12704")</f>
        <v>10.1111/desc.12704</v>
      </c>
      <c r="B2799" s="445" t="str">
        <f>IFERROR(__xludf.DUMMYFUNCTION("""COMPUTED_VALUE"""),"https://drive.google.com/file/d/1ArbZggjGoMVmiSY_xH3hTtR4y6VtR9YL/view?usp=drivesdk")</f>
        <v>https://drive.google.com/file/d/1ArbZggjGoMVmiSY_xH3hTtR4y6VtR9YL/view?usp=drivesdk</v>
      </c>
      <c r="C2799" s="339" t="str">
        <f>IFERROR(__xludf.DUMMYFUNCTION("""COMPUTED_VALUE"""),"10.1111--desc.12704.pdf")</f>
        <v>10.1111--desc.12704.pdf</v>
      </c>
      <c r="D2799" s="159" t="str">
        <f>IFERROR(__xludf.DUMMYFUNCTION("""COMPUTED_VALUE"""),"application/pdf")</f>
        <v>application/pdf</v>
      </c>
    </row>
    <row r="2800">
      <c r="A2800" s="339" t="str">
        <f>IFERROR(__xludf.DUMMYFUNCTION("""COMPUTED_VALUE"""),"10.1016/0191-8869(87)90045-6")</f>
        <v>10.1016/0191-8869(87)90045-6</v>
      </c>
      <c r="B2800" s="445" t="str">
        <f>IFERROR(__xludf.DUMMYFUNCTION("""COMPUTED_VALUE"""),"https://drive.google.com/file/d/1bCQvFNYbFfqWVOhzqt4obegEPIxfYXMT/view?usp=drivesdk")</f>
        <v>https://drive.google.com/file/d/1bCQvFNYbFfqWVOhzqt4obegEPIxfYXMT/view?usp=drivesdk</v>
      </c>
      <c r="C2800" s="339" t="str">
        <f>IFERROR(__xludf.DUMMYFUNCTION("""COMPUTED_VALUE"""),"10.1016--0191-8869(87)90045-6.pdf")</f>
        <v>10.1016--0191-8869(87)90045-6.pdf</v>
      </c>
      <c r="D2800" s="159" t="str">
        <f>IFERROR(__xludf.DUMMYFUNCTION("""COMPUTED_VALUE"""),"application/pdf")</f>
        <v>application/pdf</v>
      </c>
    </row>
    <row r="2801">
      <c r="A2801" s="339" t="str">
        <f>IFERROR(__xludf.DUMMYFUNCTION("""COMPUTED_VALUE"""),"10.1086/683144")</f>
        <v>10.1086/683144</v>
      </c>
      <c r="B2801" s="445" t="str">
        <f>IFERROR(__xludf.DUMMYFUNCTION("""COMPUTED_VALUE"""),"https://drive.google.com/file/d/1-Jvwx8R_dcvBtVji-UAeDOhCZFiAAn9H/view?usp=drivesdk")</f>
        <v>https://drive.google.com/file/d/1-Jvwx8R_dcvBtVji-UAeDOhCZFiAAn9H/view?usp=drivesdk</v>
      </c>
      <c r="C2801" s="339" t="str">
        <f>IFERROR(__xludf.DUMMYFUNCTION("""COMPUTED_VALUE"""),"10.1086--683144.pdf")</f>
        <v>10.1086--683144.pdf</v>
      </c>
      <c r="D2801" s="159" t="str">
        <f>IFERROR(__xludf.DUMMYFUNCTION("""COMPUTED_VALUE"""),"application/pdf")</f>
        <v>application/pdf</v>
      </c>
    </row>
    <row r="2802">
      <c r="A2802" s="339" t="str">
        <f>IFERROR(__xludf.DUMMYFUNCTION("""COMPUTED_VALUE"""),"10.1177/0956797616668510")</f>
        <v>10.1177/0956797616668510</v>
      </c>
      <c r="B2802" s="445" t="str">
        <f>IFERROR(__xludf.DUMMYFUNCTION("""COMPUTED_VALUE"""),"https://drive.google.com/file/d/1m5ZlxWxxW6mIJMc4yPo8-xk7pqhPlOsf/view?usp=drivesdk")</f>
        <v>https://drive.google.com/file/d/1m5ZlxWxxW6mIJMc4yPo8-xk7pqhPlOsf/view?usp=drivesdk</v>
      </c>
      <c r="C2802" s="339" t="str">
        <f>IFERROR(__xludf.DUMMYFUNCTION("""COMPUTED_VALUE"""),"10.1177--0956797616668510.pdf")</f>
        <v>10.1177--0956797616668510.pdf</v>
      </c>
      <c r="D2802" s="159" t="str">
        <f>IFERROR(__xludf.DUMMYFUNCTION("""COMPUTED_VALUE"""),"application/pdf")</f>
        <v>application/pdf</v>
      </c>
    </row>
    <row r="2803">
      <c r="A2803" s="339" t="str">
        <f>IFERROR(__xludf.DUMMYFUNCTION("""COMPUTED_VALUE"""),"10.1177/2515245920917931")</f>
        <v>10.1177/2515245920917931</v>
      </c>
      <c r="B2803" s="445" t="str">
        <f>IFERROR(__xludf.DUMMYFUNCTION("""COMPUTED_VALUE"""),"https://drive.google.com/file/d/1PTnkzr8QEo22di-UQWPHzD8_NqzRwLZZ/view?usp=drivesdk")</f>
        <v>https://drive.google.com/file/d/1PTnkzr8QEo22di-UQWPHzD8_NqzRwLZZ/view?usp=drivesdk</v>
      </c>
      <c r="C2803" s="339" t="str">
        <f>IFERROR(__xludf.DUMMYFUNCTION("""COMPUTED_VALUE"""),"10.1177--2515245920917931.pdf")</f>
        <v>10.1177--2515245920917931.pdf</v>
      </c>
      <c r="D2803" s="159" t="str">
        <f>IFERROR(__xludf.DUMMYFUNCTION("""COMPUTED_VALUE"""),"application/pdf")</f>
        <v>application/pdf</v>
      </c>
    </row>
    <row r="2804">
      <c r="A2804" s="339" t="str">
        <f>IFERROR(__xludf.DUMMYFUNCTION("""COMPUTED_VALUE"""),"10.1080/02699931.2018.1429389")</f>
        <v>10.1080/02699931.2018.1429389</v>
      </c>
      <c r="B2804" s="445" t="str">
        <f>IFERROR(__xludf.DUMMYFUNCTION("""COMPUTED_VALUE"""),"https://drive.google.com/file/d/1a_TAmQXjhkfvt4i4JzzGhoFGBmtYk_1Z/view?usp=drivesdk")</f>
        <v>https://drive.google.com/file/d/1a_TAmQXjhkfvt4i4JzzGhoFGBmtYk_1Z/view?usp=drivesdk</v>
      </c>
      <c r="C2804" s="339" t="str">
        <f>IFERROR(__xludf.DUMMYFUNCTION("""COMPUTED_VALUE"""),"10.1080--02699931.2018.1429389.pdf")</f>
        <v>10.1080--02699931.2018.1429389.pdf</v>
      </c>
      <c r="D2804" s="159" t="str">
        <f>IFERROR(__xludf.DUMMYFUNCTION("""COMPUTED_VALUE"""),"application/pdf")</f>
        <v>application/pdf</v>
      </c>
    </row>
    <row r="2805">
      <c r="A2805" s="339" t="str">
        <f>IFERROR(__xludf.DUMMYFUNCTION("""COMPUTED_VALUE"""),"10.1017/s026144482000021x")</f>
        <v>10.1017/s026144482000021x</v>
      </c>
      <c r="B2805" s="445" t="str">
        <f>IFERROR(__xludf.DUMMYFUNCTION("""COMPUTED_VALUE"""),"https://drive.google.com/file/d/1nVUA1RBik6M2hcwtK79Vsh6Pw_dxLn8h/view?usp=drivesdk")</f>
        <v>https://drive.google.com/file/d/1nVUA1RBik6M2hcwtK79Vsh6Pw_dxLn8h/view?usp=drivesdk</v>
      </c>
      <c r="C2805" s="339" t="str">
        <f>IFERROR(__xludf.DUMMYFUNCTION("""COMPUTED_VALUE"""),"10.1017--S026144482000021X.pdf")</f>
        <v>10.1017--S026144482000021X.pdf</v>
      </c>
      <c r="D2805" s="159" t="str">
        <f>IFERROR(__xludf.DUMMYFUNCTION("""COMPUTED_VALUE"""),"application/pdf")</f>
        <v>application/pdf</v>
      </c>
    </row>
    <row r="2806">
      <c r="A2806" s="339" t="str">
        <f>IFERROR(__xludf.DUMMYFUNCTION("""COMPUTED_VALUE"""),"10.1016/j.actpsy.2011.10.002")</f>
        <v>10.1016/j.actpsy.2011.10.002</v>
      </c>
      <c r="B2806" s="445" t="str">
        <f>IFERROR(__xludf.DUMMYFUNCTION("""COMPUTED_VALUE"""),"https://drive.google.com/file/d/1Mg33u9waVV2mObboAz-o1lX_7OGD4KRf/view?usp=drivesdk")</f>
        <v>https://drive.google.com/file/d/1Mg33u9waVV2mObboAz-o1lX_7OGD4KRf/view?usp=drivesdk</v>
      </c>
      <c r="C2806" s="339" t="str">
        <f>IFERROR(__xludf.DUMMYFUNCTION("""COMPUTED_VALUE"""),"10.1016--j.actpsy.2011.10.002.pdf")</f>
        <v>10.1016--j.actpsy.2011.10.002.pdf</v>
      </c>
      <c r="D2806" s="159" t="str">
        <f>IFERROR(__xludf.DUMMYFUNCTION("""COMPUTED_VALUE"""),"application/pdf")</f>
        <v>application/pdf</v>
      </c>
    </row>
    <row r="2807">
      <c r="A2807" s="339" t="str">
        <f>IFERROR(__xludf.DUMMYFUNCTION("""COMPUTED_VALUE"""),"10.3758/s13421-019-00963-z")</f>
        <v>10.3758/s13421-019-00963-z</v>
      </c>
      <c r="B2807" s="445" t="str">
        <f>IFERROR(__xludf.DUMMYFUNCTION("""COMPUTED_VALUE"""),"https://drive.google.com/file/d/137jHE2eBwiXadYLyoWCwy8P9cobbLSgR/view?usp=drivesdk")</f>
        <v>https://drive.google.com/file/d/137jHE2eBwiXadYLyoWCwy8P9cobbLSgR/view?usp=drivesdk</v>
      </c>
      <c r="C2807" s="339" t="str">
        <f>IFERROR(__xludf.DUMMYFUNCTION("""COMPUTED_VALUE"""),"10.3758--s13421-019-00963-z.pdf")</f>
        <v>10.3758--s13421-019-00963-z.pdf</v>
      </c>
      <c r="D2807" s="159" t="str">
        <f>IFERROR(__xludf.DUMMYFUNCTION("""COMPUTED_VALUE"""),"application/pdf")</f>
        <v>application/pdf</v>
      </c>
    </row>
    <row r="2808">
      <c r="A2808" s="339" t="str">
        <f>IFERROR(__xludf.DUMMYFUNCTION("""COMPUTED_VALUE"""),"10.1080/13506280544000075")</f>
        <v>10.1080/13506280544000075</v>
      </c>
      <c r="B2808" s="445" t="str">
        <f>IFERROR(__xludf.DUMMYFUNCTION("""COMPUTED_VALUE"""),"https://drive.google.com/file/d/1JV5E_tSPkgvvTRPEu2rgklQPb_8Yb_7M/view?usp=drivesdk")</f>
        <v>https://drive.google.com/file/d/1JV5E_tSPkgvvTRPEu2rgklQPb_8Yb_7M/view?usp=drivesdk</v>
      </c>
      <c r="C2808" s="339" t="str">
        <f>IFERROR(__xludf.DUMMYFUNCTION("""COMPUTED_VALUE"""),"10.1080--13506280544000075.pdf")</f>
        <v>10.1080--13506280544000075.pdf</v>
      </c>
      <c r="D2808" s="159" t="str">
        <f>IFERROR(__xludf.DUMMYFUNCTION("""COMPUTED_VALUE"""),"application/pdf")</f>
        <v>application/pdf</v>
      </c>
    </row>
    <row r="2809">
      <c r="A2809" s="339" t="str">
        <f>IFERROR(__xludf.DUMMYFUNCTION("""COMPUTED_VALUE"""),"10.1371/journal.pone.0232133")</f>
        <v>10.1371/journal.pone.0232133</v>
      </c>
      <c r="B2809" s="445" t="str">
        <f>IFERROR(__xludf.DUMMYFUNCTION("""COMPUTED_VALUE"""),"https://drive.google.com/file/d/1KPX3cJhfnpW31dGY6ra4LvHIpzivafj3/view?usp=drivesdk")</f>
        <v>https://drive.google.com/file/d/1KPX3cJhfnpW31dGY6ra4LvHIpzivafj3/view?usp=drivesdk</v>
      </c>
      <c r="C2809" s="339" t="str">
        <f>IFERROR(__xludf.DUMMYFUNCTION("""COMPUTED_VALUE"""),"10.1371--journal.pone.0232133.pdf")</f>
        <v>10.1371--journal.pone.0232133.pdf</v>
      </c>
      <c r="D2809" s="159" t="str">
        <f>IFERROR(__xludf.DUMMYFUNCTION("""COMPUTED_VALUE"""),"application/pdf")</f>
        <v>application/pdf</v>
      </c>
    </row>
    <row r="2810">
      <c r="A2810" s="339" t="str">
        <f>IFERROR(__xludf.DUMMYFUNCTION("""COMPUTED_VALUE"""),"10.1016/j.actpsy.2008.12.004")</f>
        <v>10.1016/j.actpsy.2008.12.004</v>
      </c>
      <c r="B2810" s="445" t="str">
        <f>IFERROR(__xludf.DUMMYFUNCTION("""COMPUTED_VALUE"""),"https://drive.google.com/file/d/1mgtXjUjGQ4kYpZsW972EgP1jUJi2bdlT/view?usp=drivesdk")</f>
        <v>https://drive.google.com/file/d/1mgtXjUjGQ4kYpZsW972EgP1jUJi2bdlT/view?usp=drivesdk</v>
      </c>
      <c r="C2810" s="339" t="str">
        <f>IFERROR(__xludf.DUMMYFUNCTION("""COMPUTED_VALUE"""),"10.1016--j.actpsy.2008.12.004.pdf")</f>
        <v>10.1016--j.actpsy.2008.12.004.pdf</v>
      </c>
      <c r="D2810" s="159" t="str">
        <f>IFERROR(__xludf.DUMMYFUNCTION("""COMPUTED_VALUE"""),"application/pdf")</f>
        <v>application/pdf</v>
      </c>
    </row>
    <row r="2811">
      <c r="A2811" s="339" t="str">
        <f>IFERROR(__xludf.DUMMYFUNCTION("""COMPUTED_VALUE"""),"10.3758/s13423-020-01787-8")</f>
        <v>10.3758/s13423-020-01787-8</v>
      </c>
      <c r="B2811" s="445" t="str">
        <f>IFERROR(__xludf.DUMMYFUNCTION("""COMPUTED_VALUE"""),"https://drive.google.com/file/d/1Y8g9Mt2NlD4L3SEcN0KuE57CVvxX5ojn/view?usp=drivesdk")</f>
        <v>https://drive.google.com/file/d/1Y8g9Mt2NlD4L3SEcN0KuE57CVvxX5ojn/view?usp=drivesdk</v>
      </c>
      <c r="C2811" s="339" t="str">
        <f>IFERROR(__xludf.DUMMYFUNCTION("""COMPUTED_VALUE"""),"10.3758--s13423-020-01787-8.pdf")</f>
        <v>10.3758--s13423-020-01787-8.pdf</v>
      </c>
      <c r="D2811" s="159" t="str">
        <f>IFERROR(__xludf.DUMMYFUNCTION("""COMPUTED_VALUE"""),"application/pdf")</f>
        <v>application/pdf</v>
      </c>
    </row>
    <row r="2812">
      <c r="A2812" s="339" t="str">
        <f>IFERROR(__xludf.DUMMYFUNCTION("""COMPUTED_VALUE"""),"10.1515/opli-2017-0025")</f>
        <v>10.1515/opli-2017-0025</v>
      </c>
      <c r="B2812" s="445" t="str">
        <f>IFERROR(__xludf.DUMMYFUNCTION("""COMPUTED_VALUE"""),"https://drive.google.com/file/d/15DG09z-Q1avKwoLeUifY-dU1v9ht0kXY/view?usp=drivesdk")</f>
        <v>https://drive.google.com/file/d/15DG09z-Q1avKwoLeUifY-dU1v9ht0kXY/view?usp=drivesdk</v>
      </c>
      <c r="C2812" s="339" t="str">
        <f>IFERROR(__xludf.DUMMYFUNCTION("""COMPUTED_VALUE"""),"10.1515--opli-2017-0025.pdf")</f>
        <v>10.1515--opli-2017-0025.pdf</v>
      </c>
      <c r="D2812" s="159" t="str">
        <f>IFERROR(__xludf.DUMMYFUNCTION("""COMPUTED_VALUE"""),"application/pdf")</f>
        <v>application/pdf</v>
      </c>
    </row>
    <row r="2813">
      <c r="A2813" s="339" t="str">
        <f>IFERROR(__xludf.DUMMYFUNCTION("""COMPUTED_VALUE"""),"10.3758/s13428-013-0383-5")</f>
        <v>10.3758/s13428-013-0383-5</v>
      </c>
      <c r="B2813" s="445" t="str">
        <f>IFERROR(__xludf.DUMMYFUNCTION("""COMPUTED_VALUE"""),"https://drive.google.com/file/d/1aNCopp6L-iHhMqKziEr--S-rJPm203hR/view?usp=drivesdk")</f>
        <v>https://drive.google.com/file/d/1aNCopp6L-iHhMqKziEr--S-rJPm203hR/view?usp=drivesdk</v>
      </c>
      <c r="C2813" s="339" t="str">
        <f>IFERROR(__xludf.DUMMYFUNCTION("""COMPUTED_VALUE"""),"10.3758--s13428-013-0383-5.pdf")</f>
        <v>10.3758--s13428-013-0383-5.pdf</v>
      </c>
      <c r="D2813" s="159" t="str">
        <f>IFERROR(__xludf.DUMMYFUNCTION("""COMPUTED_VALUE"""),"application/pdf")</f>
        <v>application/pdf</v>
      </c>
    </row>
    <row r="2814">
      <c r="A2814" s="339" t="str">
        <f>IFERROR(__xludf.DUMMYFUNCTION("""COMPUTED_VALUE"""),"10.1016/s1053-8119(03)00227-1")</f>
        <v>10.1016/s1053-8119(03)00227-1</v>
      </c>
      <c r="B2814" s="445" t="str">
        <f>IFERROR(__xludf.DUMMYFUNCTION("""COMPUTED_VALUE"""),"https://drive.google.com/file/d/1dsvOBmBs1wP88rR3tXOp4XVBBUmmNcsQ/view?usp=drivesdk")</f>
        <v>https://drive.google.com/file/d/1dsvOBmBs1wP88rR3tXOp4XVBBUmmNcsQ/view?usp=drivesdk</v>
      </c>
      <c r="C2814" s="339" t="str">
        <f>IFERROR(__xludf.DUMMYFUNCTION("""COMPUTED_VALUE"""),"10.1016--S1053-8119(03)00227-1.pdf")</f>
        <v>10.1016--S1053-8119(03)00227-1.pdf</v>
      </c>
      <c r="D2814" s="159" t="str">
        <f>IFERROR(__xludf.DUMMYFUNCTION("""COMPUTED_VALUE"""),"application/pdf")</f>
        <v>application/pdf</v>
      </c>
    </row>
    <row r="2815">
      <c r="A2815" s="339" t="str">
        <f>IFERROR(__xludf.DUMMYFUNCTION("""COMPUTED_VALUE"""),"10.1177/1368430213510573")</f>
        <v>10.1177/1368430213510573</v>
      </c>
      <c r="B2815" s="445" t="str">
        <f>IFERROR(__xludf.DUMMYFUNCTION("""COMPUTED_VALUE"""),"https://drive.google.com/file/d/1FA-zcvOHTA7xvok7vsBsqo32SwSG_W0T/view?usp=drivesdk")</f>
        <v>https://drive.google.com/file/d/1FA-zcvOHTA7xvok7vsBsqo32SwSG_W0T/view?usp=drivesdk</v>
      </c>
      <c r="C2815" s="339" t="str">
        <f>IFERROR(__xludf.DUMMYFUNCTION("""COMPUTED_VALUE"""),"10.1177--1368430213510573.pdf")</f>
        <v>10.1177--1368430213510573.pdf</v>
      </c>
      <c r="D2815" s="159" t="str">
        <f>IFERROR(__xludf.DUMMYFUNCTION("""COMPUTED_VALUE"""),"application/pdf")</f>
        <v>application/pdf</v>
      </c>
    </row>
    <row r="2816">
      <c r="A2816" s="339" t="str">
        <f>IFERROR(__xludf.DUMMYFUNCTION("""COMPUTED_VALUE"""),"10.1016/j.ijresmar.2012.05.001")</f>
        <v>10.1016/j.ijresmar.2012.05.001</v>
      </c>
      <c r="B2816" s="445" t="str">
        <f>IFERROR(__xludf.DUMMYFUNCTION("""COMPUTED_VALUE"""),"https://drive.google.com/file/d/1fG33_gUttrbjxOWCW-_NMak-KhKBrija/view?usp=drivesdk")</f>
        <v>https://drive.google.com/file/d/1fG33_gUttrbjxOWCW-_NMak-KhKBrija/view?usp=drivesdk</v>
      </c>
      <c r="C2816" s="339" t="str">
        <f>IFERROR(__xludf.DUMMYFUNCTION("""COMPUTED_VALUE"""),"10.1016--j.ijresmar.2012.05.001.pdf")</f>
        <v>10.1016--j.ijresmar.2012.05.001.pdf</v>
      </c>
      <c r="D2816" s="159" t="str">
        <f>IFERROR(__xludf.DUMMYFUNCTION("""COMPUTED_VALUE"""),"application/pdf")</f>
        <v>application/pdf</v>
      </c>
    </row>
    <row r="2817">
      <c r="A2817" s="339" t="str">
        <f>IFERROR(__xludf.DUMMYFUNCTION("""COMPUTED_VALUE"""),"10.1111/cogs.12968")</f>
        <v>10.1111/cogs.12968</v>
      </c>
      <c r="B2817" s="445" t="str">
        <f>IFERROR(__xludf.DUMMYFUNCTION("""COMPUTED_VALUE"""),"https://drive.google.com/file/d/1R36UqBtXAtA4BMYOQZDdBTMQHYPhyClu/view?usp=drivesdk")</f>
        <v>https://drive.google.com/file/d/1R36UqBtXAtA4BMYOQZDdBTMQHYPhyClu/view?usp=drivesdk</v>
      </c>
      <c r="C2817" s="339" t="str">
        <f>IFERROR(__xludf.DUMMYFUNCTION("""COMPUTED_VALUE"""),"10.1111--cogs.12968.pdf")</f>
        <v>10.1111--cogs.12968.pdf</v>
      </c>
      <c r="D2817" s="159" t="str">
        <f>IFERROR(__xludf.DUMMYFUNCTION("""COMPUTED_VALUE"""),"application/pdf")</f>
        <v>application/pdf</v>
      </c>
    </row>
    <row r="2818">
      <c r="A2818" s="339" t="str">
        <f>IFERROR(__xludf.DUMMYFUNCTION("""COMPUTED_VALUE"""),"10.1371/journal.pone.0147924")</f>
        <v>10.1371/journal.pone.0147924</v>
      </c>
      <c r="B2818" s="445" t="str">
        <f>IFERROR(__xludf.DUMMYFUNCTION("""COMPUTED_VALUE"""),"https://drive.google.com/file/d/1QViH4ajHq8X5kkbFfEdjYYy64Zu212y8/view?usp=drivesdk")</f>
        <v>https://drive.google.com/file/d/1QViH4ajHq8X5kkbFfEdjYYy64Zu212y8/view?usp=drivesdk</v>
      </c>
      <c r="C2818" s="339" t="str">
        <f>IFERROR(__xludf.DUMMYFUNCTION("""COMPUTED_VALUE"""),"10.1371--journal.pone.0147924.pdf")</f>
        <v>10.1371--journal.pone.0147924.pdf</v>
      </c>
      <c r="D2818" s="159" t="str">
        <f>IFERROR(__xludf.DUMMYFUNCTION("""COMPUTED_VALUE"""),"application/pdf")</f>
        <v>application/pdf</v>
      </c>
    </row>
    <row r="2819">
      <c r="A2819" s="339" t="str">
        <f>IFERROR(__xludf.DUMMYFUNCTION("""COMPUTED_VALUE"""),"10.1016/j.bodyim.2021.05.005.")</f>
        <v>10.1016/j.bodyim.2021.05.005.</v>
      </c>
      <c r="B2819" s="445" t="str">
        <f>IFERROR(__xludf.DUMMYFUNCTION("""COMPUTED_VALUE"""),"https://drive.google.com/file/d/1p9EfrEPmDrshSQQyoPV1qK7eirjasytX/view?usp=drivesdk")</f>
        <v>https://drive.google.com/file/d/1p9EfrEPmDrshSQQyoPV1qK7eirjasytX/view?usp=drivesdk</v>
      </c>
      <c r="C2819" s="339" t="str">
        <f>IFERROR(__xludf.DUMMYFUNCTION("""COMPUTED_VALUE"""),"10.1016--j.bodyim.2021.05.005..pdf")</f>
        <v>10.1016--j.bodyim.2021.05.005..pdf</v>
      </c>
      <c r="D2819" s="159" t="str">
        <f>IFERROR(__xludf.DUMMYFUNCTION("""COMPUTED_VALUE"""),"application/pdf")</f>
        <v>application/pdf</v>
      </c>
    </row>
    <row r="2820">
      <c r="A2820" s="339" t="str">
        <f>IFERROR(__xludf.DUMMYFUNCTION("""COMPUTED_VALUE"""),"10.1016/j.ijresmar.2013.09.001")</f>
        <v>10.1016/j.ijresmar.2013.09.001</v>
      </c>
      <c r="B2820" s="445" t="str">
        <f>IFERROR(__xludf.DUMMYFUNCTION("""COMPUTED_VALUE"""),"https://drive.google.com/file/d/10-cf4o0AuxlLhrP13LowyOyLXJEcfPon/view?usp=drivesdk")</f>
        <v>https://drive.google.com/file/d/10-cf4o0AuxlLhrP13LowyOyLXJEcfPon/view?usp=drivesdk</v>
      </c>
      <c r="C2820" s="339" t="str">
        <f>IFERROR(__xludf.DUMMYFUNCTION("""COMPUTED_VALUE"""),"10.1016--j.ijresmar.2013.09.001.pdf")</f>
        <v>10.1016--j.ijresmar.2013.09.001.pdf</v>
      </c>
      <c r="D2820" s="159" t="str">
        <f>IFERROR(__xludf.DUMMYFUNCTION("""COMPUTED_VALUE"""),"application/pdf")</f>
        <v>application/pdf</v>
      </c>
    </row>
    <row r="2821">
      <c r="A2821" s="339" t="str">
        <f>IFERROR(__xludf.DUMMYFUNCTION("""COMPUTED_VALUE"""),"10.3758/bf03201200")</f>
        <v>10.3758/bf03201200</v>
      </c>
      <c r="B2821" s="445" t="str">
        <f>IFERROR(__xludf.DUMMYFUNCTION("""COMPUTED_VALUE"""),"https://drive.google.com/file/d/1zi3DLqOGO7Btyv2lzS3_iuu2oIfHSvhn/view?usp=drivesdk")</f>
        <v>https://drive.google.com/file/d/1zi3DLqOGO7Btyv2lzS3_iuu2oIfHSvhn/view?usp=drivesdk</v>
      </c>
      <c r="C2821" s="339" t="str">
        <f>IFERROR(__xludf.DUMMYFUNCTION("""COMPUTED_VALUE"""),"10.3758--bf03201200.pdf")</f>
        <v>10.3758--bf03201200.pdf</v>
      </c>
      <c r="D2821" s="159" t="str">
        <f>IFERROR(__xludf.DUMMYFUNCTION("""COMPUTED_VALUE"""),"application/pdf")</f>
        <v>application/pdf</v>
      </c>
    </row>
    <row r="2822">
      <c r="A2822" s="339" t="str">
        <f>IFERROR(__xludf.DUMMYFUNCTION("""COMPUTED_VALUE"""),"10.1080/02687039808249561")</f>
        <v>10.1080/02687039808249561</v>
      </c>
      <c r="B2822" s="445" t="str">
        <f>IFERROR(__xludf.DUMMYFUNCTION("""COMPUTED_VALUE"""),"https://drive.google.com/file/d/1NKuXy2eEACsWL03AhiZ1c6s6CeqztW4P/view?usp=drivesdk")</f>
        <v>https://drive.google.com/file/d/1NKuXy2eEACsWL03AhiZ1c6s6CeqztW4P/view?usp=drivesdk</v>
      </c>
      <c r="C2822" s="339" t="str">
        <f>IFERROR(__xludf.DUMMYFUNCTION("""COMPUTED_VALUE"""),"10.1080--02687039808249561.pdf")</f>
        <v>10.1080--02687039808249561.pdf</v>
      </c>
      <c r="D2822" s="159" t="str">
        <f>IFERROR(__xludf.DUMMYFUNCTION("""COMPUTED_VALUE"""),"application/pdf")</f>
        <v>application/pdf</v>
      </c>
    </row>
    <row r="2823">
      <c r="A2823" s="339" t="str">
        <f>IFERROR(__xludf.DUMMYFUNCTION("""COMPUTED_VALUE"""),"10.1016/j.cognition.2020.104191")</f>
        <v>10.1016/j.cognition.2020.104191</v>
      </c>
      <c r="B2823" s="445" t="str">
        <f>IFERROR(__xludf.DUMMYFUNCTION("""COMPUTED_VALUE"""),"https://drive.google.com/file/d/1-FYT0QOVIGaA4PgfHyCIHis4MjqOeFiY/view?usp=drivesdk")</f>
        <v>https://drive.google.com/file/d/1-FYT0QOVIGaA4PgfHyCIHis4MjqOeFiY/view?usp=drivesdk</v>
      </c>
      <c r="C2823" s="339" t="str">
        <f>IFERROR(__xludf.DUMMYFUNCTION("""COMPUTED_VALUE"""),"10.1016--j.cognition.2020.104191.pdf")</f>
        <v>10.1016--j.cognition.2020.104191.pdf</v>
      </c>
      <c r="D2823" s="159" t="str">
        <f>IFERROR(__xludf.DUMMYFUNCTION("""COMPUTED_VALUE"""),"application/pdf")</f>
        <v>application/pdf</v>
      </c>
    </row>
    <row r="2824">
      <c r="A2824" s="339" t="str">
        <f>IFERROR(__xludf.DUMMYFUNCTION("""COMPUTED_VALUE"""),"10.1016/j.infbeh.2019.101350")</f>
        <v>10.1016/j.infbeh.2019.101350</v>
      </c>
      <c r="B2824" s="445" t="str">
        <f>IFERROR(__xludf.DUMMYFUNCTION("""COMPUTED_VALUE"""),"https://drive.google.com/file/d/1-wsXELxSOwXrENqGKeAN6dmdsJy5xqtf/view?usp=drivesdk")</f>
        <v>https://drive.google.com/file/d/1-wsXELxSOwXrENqGKeAN6dmdsJy5xqtf/view?usp=drivesdk</v>
      </c>
      <c r="C2824" s="339" t="str">
        <f>IFERROR(__xludf.DUMMYFUNCTION("""COMPUTED_VALUE"""),"10.1016--j.infbeh.2019.101350.pdf")</f>
        <v>10.1016--j.infbeh.2019.101350.pdf</v>
      </c>
      <c r="D2824" s="159" t="str">
        <f>IFERROR(__xludf.DUMMYFUNCTION("""COMPUTED_VALUE"""),"application/pdf")</f>
        <v>application/pdf</v>
      </c>
    </row>
    <row r="2825">
      <c r="A2825" s="339" t="str">
        <f>IFERROR(__xludf.DUMMYFUNCTION("""COMPUTED_VALUE"""),"10.1111/cns.13526")</f>
        <v>10.1111/cns.13526</v>
      </c>
      <c r="B2825" s="445" t="str">
        <f>IFERROR(__xludf.DUMMYFUNCTION("""COMPUTED_VALUE"""),"https://drive.google.com/file/d/14DNZRM40L2rRaRLath5YsJWIG0aixqy-/view?usp=drivesdk")</f>
        <v>https://drive.google.com/file/d/14DNZRM40L2rRaRLath5YsJWIG0aixqy-/view?usp=drivesdk</v>
      </c>
      <c r="C2825" s="339" t="str">
        <f>IFERROR(__xludf.DUMMYFUNCTION("""COMPUTED_VALUE"""),"10.1111--cns.13526.pdf")</f>
        <v>10.1111--cns.13526.pdf</v>
      </c>
      <c r="D2825" s="159" t="str">
        <f>IFERROR(__xludf.DUMMYFUNCTION("""COMPUTED_VALUE"""),"application/pdf")</f>
        <v>application/pdf</v>
      </c>
    </row>
    <row r="2826">
      <c r="A2826" s="339" t="str">
        <f>IFERROR(__xludf.DUMMYFUNCTION("""COMPUTED_VALUE"""),"10.1016/j.concog.2015.11.011")</f>
        <v>10.1016/j.concog.2015.11.011</v>
      </c>
      <c r="B2826" s="445" t="str">
        <f>IFERROR(__xludf.DUMMYFUNCTION("""COMPUTED_VALUE"""),"https://drive.google.com/file/d/14I4i-H3Y7sJWjSiL3kd591Tq0IYRx-nO/view?usp=drivesdk")</f>
        <v>https://drive.google.com/file/d/14I4i-H3Y7sJWjSiL3kd591Tq0IYRx-nO/view?usp=drivesdk</v>
      </c>
      <c r="C2826" s="339" t="str">
        <f>IFERROR(__xludf.DUMMYFUNCTION("""COMPUTED_VALUE"""),"10.1016--j.concog.2015.11.011.pdf")</f>
        <v>10.1016--j.concog.2015.11.011.pdf</v>
      </c>
      <c r="D2826" s="159" t="str">
        <f>IFERROR(__xludf.DUMMYFUNCTION("""COMPUTED_VALUE"""),"application/pdf")</f>
        <v>application/pdf</v>
      </c>
    </row>
    <row r="2827">
      <c r="A2827" s="339" t="str">
        <f>IFERROR(__xludf.DUMMYFUNCTION("""COMPUTED_VALUE"""),"10.1016/j.neuroimage.2019.116286")</f>
        <v>10.1016/j.neuroimage.2019.116286</v>
      </c>
      <c r="B2827" s="445" t="str">
        <f>IFERROR(__xludf.DUMMYFUNCTION("""COMPUTED_VALUE"""),"https://drive.google.com/file/d/1nPeNQuXq6UAyW8Ux_E5ua7um4qsFLJ_o/view?usp=drivesdk")</f>
        <v>https://drive.google.com/file/d/1nPeNQuXq6UAyW8Ux_E5ua7um4qsFLJ_o/view?usp=drivesdk</v>
      </c>
      <c r="C2827" s="339" t="str">
        <f>IFERROR(__xludf.DUMMYFUNCTION("""COMPUTED_VALUE"""),"10.1016--j.neuroimage.2019.116286.pdf")</f>
        <v>10.1016--j.neuroimage.2019.116286.pdf</v>
      </c>
      <c r="D2827" s="159" t="str">
        <f>IFERROR(__xludf.DUMMYFUNCTION("""COMPUTED_VALUE"""),"application/pdf")</f>
        <v>application/pdf</v>
      </c>
    </row>
    <row r="2828">
      <c r="A2828" s="339" t="str">
        <f>IFERROR(__xludf.DUMMYFUNCTION("""COMPUTED_VALUE"""),"10.1037/0022-0663.76.1.85")</f>
        <v>10.1037/0022-0663.76.1.85</v>
      </c>
      <c r="B2828" s="445" t="str">
        <f>IFERROR(__xludf.DUMMYFUNCTION("""COMPUTED_VALUE"""),"https://drive.google.com/file/d/1kEKQ8OZ8hWV7vjvUgePWcgbmTxOS3OkH/view?usp=drivesdk")</f>
        <v>https://drive.google.com/file/d/1kEKQ8OZ8hWV7vjvUgePWcgbmTxOS3OkH/view?usp=drivesdk</v>
      </c>
      <c r="C2828" s="339" t="str">
        <f>IFERROR(__xludf.DUMMYFUNCTION("""COMPUTED_VALUE"""),"10.1037--0022-0663.76.1.85.pdf")</f>
        <v>10.1037--0022-0663.76.1.85.pdf</v>
      </c>
      <c r="D2828" s="159" t="str">
        <f>IFERROR(__xludf.DUMMYFUNCTION("""COMPUTED_VALUE"""),"application/pdf")</f>
        <v>application/pdf</v>
      </c>
    </row>
    <row r="2829">
      <c r="A2829" s="339" t="str">
        <f>IFERROR(__xludf.DUMMYFUNCTION("""COMPUTED_VALUE"""),"10.1207/s15327957pspr0902_3")</f>
        <v>10.1207/s15327957pspr0902_3</v>
      </c>
      <c r="B2829" s="445" t="str">
        <f>IFERROR(__xludf.DUMMYFUNCTION("""COMPUTED_VALUE"""),"https://drive.google.com/file/d/139fwfSuHaC3wTChDe3wxF-d919Mz_jKy/view?usp=drivesdk")</f>
        <v>https://drive.google.com/file/d/139fwfSuHaC3wTChDe3wxF-d919Mz_jKy/view?usp=drivesdk</v>
      </c>
      <c r="C2829" s="339" t="str">
        <f>IFERROR(__xludf.DUMMYFUNCTION("""COMPUTED_VALUE"""),"10.1207--s15327957pspr0902_3.pdf")</f>
        <v>10.1207--s15327957pspr0902_3.pdf</v>
      </c>
      <c r="D2829" s="159" t="str">
        <f>IFERROR(__xludf.DUMMYFUNCTION("""COMPUTED_VALUE"""),"application/pdf")</f>
        <v>application/pdf</v>
      </c>
    </row>
    <row r="2830">
      <c r="A2830" s="339" t="str">
        <f>IFERROR(__xludf.DUMMYFUNCTION("""COMPUTED_VALUE"""),"10.1016/s0160-2896(99)00026-4")</f>
        <v>10.1016/s0160-2896(99)00026-4</v>
      </c>
      <c r="B2830" s="445" t="str">
        <f>IFERROR(__xludf.DUMMYFUNCTION("""COMPUTED_VALUE"""),"https://drive.google.com/file/d/1Igh1OYrpvOLJ8WDgqCuHskXzEU7ZoW_6/view?usp=drivesdk")</f>
        <v>https://drive.google.com/file/d/1Igh1OYrpvOLJ8WDgqCuHskXzEU7ZoW_6/view?usp=drivesdk</v>
      </c>
      <c r="C2830" s="339" t="str">
        <f>IFERROR(__xludf.DUMMYFUNCTION("""COMPUTED_VALUE"""),"10.1016--S0160-2896(99)00026-4.pdf")</f>
        <v>10.1016--S0160-2896(99)00026-4.pdf</v>
      </c>
      <c r="D2830" s="159" t="str">
        <f>IFERROR(__xludf.DUMMYFUNCTION("""COMPUTED_VALUE"""),"application/pdf")</f>
        <v>application/pdf</v>
      </c>
    </row>
    <row r="2831">
      <c r="A2831" s="339" t="str">
        <f>IFERROR(__xludf.DUMMYFUNCTION("""COMPUTED_VALUE"""),"10.1371/journal.pone.0172636")</f>
        <v>10.1371/journal.pone.0172636</v>
      </c>
      <c r="B2831" s="445" t="str">
        <f>IFERROR(__xludf.DUMMYFUNCTION("""COMPUTED_VALUE"""),"https://drive.google.com/file/d/1ZdStIAryiMG9Yjyb-epjFMXsQ4Y0oqnn/view?usp=drivesdk")</f>
        <v>https://drive.google.com/file/d/1ZdStIAryiMG9Yjyb-epjFMXsQ4Y0oqnn/view?usp=drivesdk</v>
      </c>
      <c r="C2831" s="339" t="str">
        <f>IFERROR(__xludf.DUMMYFUNCTION("""COMPUTED_VALUE"""),"10.1371--journal.pone.0172636.pdf")</f>
        <v>10.1371--journal.pone.0172636.pdf</v>
      </c>
      <c r="D2831" s="159" t="str">
        <f>IFERROR(__xludf.DUMMYFUNCTION("""COMPUTED_VALUE"""),"application/pdf")</f>
        <v>application/pdf</v>
      </c>
    </row>
    <row r="2832">
      <c r="A2832" s="339" t="str">
        <f>IFERROR(__xludf.DUMMYFUNCTION("""COMPUTED_VALUE"""),"10.1097/pec.0000000000000291")</f>
        <v>10.1097/pec.0000000000000291</v>
      </c>
      <c r="B2832" s="445" t="str">
        <f>IFERROR(__xludf.DUMMYFUNCTION("""COMPUTED_VALUE"""),"https://drive.google.com/file/d/10IIx36WTqPVUiEaE8gV365XVujuS4Gfu/view?usp=drivesdk")</f>
        <v>https://drive.google.com/file/d/10IIx36WTqPVUiEaE8gV365XVujuS4Gfu/view?usp=drivesdk</v>
      </c>
      <c r="C2832" s="339" t="str">
        <f>IFERROR(__xludf.DUMMYFUNCTION("""COMPUTED_VALUE"""),"10.1097--PEC.0000000000000291.pdf")</f>
        <v>10.1097--PEC.0000000000000291.pdf</v>
      </c>
      <c r="D2832" s="159" t="str">
        <f>IFERROR(__xludf.DUMMYFUNCTION("""COMPUTED_VALUE"""),"application/pdf")</f>
        <v>application/pdf</v>
      </c>
    </row>
    <row r="2833">
      <c r="A2833" s="339" t="str">
        <f>IFERROR(__xludf.DUMMYFUNCTION("""COMPUTED_VALUE"""),"10.2466/pr0.1997.80.1.243")</f>
        <v>10.2466/pr0.1997.80.1.243</v>
      </c>
      <c r="B2833" s="445" t="str">
        <f>IFERROR(__xludf.DUMMYFUNCTION("""COMPUTED_VALUE"""),"https://drive.google.com/file/d/1wo2PsM8GTYQx74frM70uNiJKYAsBFUYB/view?usp=drivesdk")</f>
        <v>https://drive.google.com/file/d/1wo2PsM8GTYQx74frM70uNiJKYAsBFUYB/view?usp=drivesdk</v>
      </c>
      <c r="C2833" s="339" t="str">
        <f>IFERROR(__xludf.DUMMYFUNCTION("""COMPUTED_VALUE"""),"10.2466--pr0.1997.80.1.243.pdf")</f>
        <v>10.2466--pr0.1997.80.1.243.pdf</v>
      </c>
      <c r="D2833" s="159" t="str">
        <f>IFERROR(__xludf.DUMMYFUNCTION("""COMPUTED_VALUE"""),"application/pdf")</f>
        <v>application/pdf</v>
      </c>
    </row>
    <row r="2834">
      <c r="A2834" s="339" t="str">
        <f>IFERROR(__xludf.DUMMYFUNCTION("""COMPUTED_VALUE"""),"10.1037/a0029406")</f>
        <v>10.1037/a0029406</v>
      </c>
      <c r="B2834" s="445" t="str">
        <f>IFERROR(__xludf.DUMMYFUNCTION("""COMPUTED_VALUE"""),"https://drive.google.com/file/d/18k5lmuAt7G5fW0h7Ox4zm9sp87t0pl9o/view?usp=drivesdk")</f>
        <v>https://drive.google.com/file/d/18k5lmuAt7G5fW0h7Ox4zm9sp87t0pl9o/view?usp=drivesdk</v>
      </c>
      <c r="C2834" s="339" t="str">
        <f>IFERROR(__xludf.DUMMYFUNCTION("""COMPUTED_VALUE"""),"10.1037--a0029406.pdf")</f>
        <v>10.1037--a0029406.pdf</v>
      </c>
      <c r="D2834" s="159" t="str">
        <f>IFERROR(__xludf.DUMMYFUNCTION("""COMPUTED_VALUE"""),"application/pdf")</f>
        <v>application/pdf</v>
      </c>
    </row>
    <row r="2835">
      <c r="A2835" s="339" t="str">
        <f>IFERROR(__xludf.DUMMYFUNCTION("""COMPUTED_VALUE"""),"10.1037/0033-2909.132.3.354")</f>
        <v>10.1037/0033-2909.132.3.354</v>
      </c>
      <c r="B2835" s="445" t="str">
        <f>IFERROR(__xludf.DUMMYFUNCTION("""COMPUTED_VALUE"""),"https://drive.google.com/file/d/1MPCWsbzcBe5ePjP0UljBAK8ZnOW2vQy1/view?usp=drivesdk")</f>
        <v>https://drive.google.com/file/d/1MPCWsbzcBe5ePjP0UljBAK8ZnOW2vQy1/view?usp=drivesdk</v>
      </c>
      <c r="C2835" s="339" t="str">
        <f>IFERROR(__xludf.DUMMYFUNCTION("""COMPUTED_VALUE"""),"10.1037--0033-2909.132.3.354.pdf")</f>
        <v>10.1037--0033-2909.132.3.354.pdf</v>
      </c>
      <c r="D2835" s="159" t="str">
        <f>IFERROR(__xludf.DUMMYFUNCTION("""COMPUTED_VALUE"""),"application/pdf")</f>
        <v>application/pdf</v>
      </c>
    </row>
    <row r="2836">
      <c r="A2836" s="339" t="str">
        <f>IFERROR(__xludf.DUMMYFUNCTION("""COMPUTED_VALUE"""),"10.1086/374692")</f>
        <v>10.1086/374692</v>
      </c>
      <c r="B2836" s="445" t="str">
        <f>IFERROR(__xludf.DUMMYFUNCTION("""COMPUTED_VALUE"""),"https://drive.google.com/file/d/1bqv0JC0jxBSnGUXudYVy287HrZYkg7f8/view?usp=drivesdk")</f>
        <v>https://drive.google.com/file/d/1bqv0JC0jxBSnGUXudYVy287HrZYkg7f8/view?usp=drivesdk</v>
      </c>
      <c r="C2836" s="339" t="str">
        <f>IFERROR(__xludf.DUMMYFUNCTION("""COMPUTED_VALUE"""),"10.1086--374692.pdf")</f>
        <v>10.1086--374692.pdf</v>
      </c>
      <c r="D2836" s="159" t="str">
        <f>IFERROR(__xludf.DUMMYFUNCTION("""COMPUTED_VALUE"""),"application/pdf")</f>
        <v>application/pdf</v>
      </c>
    </row>
    <row r="2837">
      <c r="A2837" s="339" t="str">
        <f>IFERROR(__xludf.DUMMYFUNCTION("""COMPUTED_VALUE"""),"10.3758/bf03214311")</f>
        <v>10.3758/bf03214311</v>
      </c>
      <c r="B2837" s="445" t="str">
        <f>IFERROR(__xludf.DUMMYFUNCTION("""COMPUTED_VALUE"""),"https://drive.google.com/file/d/13QpH12y8u_3LYQfpUlZPXruZ9ITxBj7L/view?usp=drivesdk")</f>
        <v>https://drive.google.com/file/d/13QpH12y8u_3LYQfpUlZPXruZ9ITxBj7L/view?usp=drivesdk</v>
      </c>
      <c r="C2837" s="339" t="str">
        <f>IFERROR(__xludf.DUMMYFUNCTION("""COMPUTED_VALUE"""),"10.3758--BF03214311.pdf")</f>
        <v>10.3758--BF03214311.pdf</v>
      </c>
      <c r="D2837" s="159" t="str">
        <f>IFERROR(__xludf.DUMMYFUNCTION("""COMPUTED_VALUE"""),"application/pdf")</f>
        <v>application/pdf</v>
      </c>
    </row>
    <row r="2838">
      <c r="A2838" s="339" t="str">
        <f>IFERROR(__xludf.DUMMYFUNCTION("""COMPUTED_VALUE"""),"10.3758/bf03209254")</f>
        <v>10.3758/bf03209254</v>
      </c>
      <c r="B2838" s="445" t="str">
        <f>IFERROR(__xludf.DUMMYFUNCTION("""COMPUTED_VALUE"""),"https://drive.google.com/file/d/1vSUoURXNkSjOH5b-EJ3fbPhxlP2R6Cmd/view?usp=drivesdk")</f>
        <v>https://drive.google.com/file/d/1vSUoURXNkSjOH5b-EJ3fbPhxlP2R6Cmd/view?usp=drivesdk</v>
      </c>
      <c r="C2838" s="339" t="str">
        <f>IFERROR(__xludf.DUMMYFUNCTION("""COMPUTED_VALUE"""),"10.3758--BF03209254.pdf")</f>
        <v>10.3758--BF03209254.pdf</v>
      </c>
      <c r="D2838" s="159" t="str">
        <f>IFERROR(__xludf.DUMMYFUNCTION("""COMPUTED_VALUE"""),"application/pdf")</f>
        <v>application/pdf</v>
      </c>
    </row>
    <row r="2839">
      <c r="A2839" s="339" t="str">
        <f>IFERROR(__xludf.DUMMYFUNCTION("""COMPUTED_VALUE"""),"10.1037/0278-7393.24.2.284")</f>
        <v>10.1037/0278-7393.24.2.284</v>
      </c>
      <c r="B2839" s="445" t="str">
        <f>IFERROR(__xludf.DUMMYFUNCTION("""COMPUTED_VALUE"""),"https://drive.google.com/file/d/1BV6WsC6qCPXZsjA8vsWO-pA40hx0KbaP/view?usp=drivesdk")</f>
        <v>https://drive.google.com/file/d/1BV6WsC6qCPXZsjA8vsWO-pA40hx0KbaP/view?usp=drivesdk</v>
      </c>
      <c r="C2839" s="339" t="str">
        <f>IFERROR(__xludf.DUMMYFUNCTION("""COMPUTED_VALUE"""),"10.1037--0278-7393.24.2.284.pdf")</f>
        <v>10.1037--0278-7393.24.2.284.pdf</v>
      </c>
      <c r="D2839" s="159" t="str">
        <f>IFERROR(__xludf.DUMMYFUNCTION("""COMPUTED_VALUE"""),"application/pdf")</f>
        <v>application/pdf</v>
      </c>
    </row>
    <row r="2840">
      <c r="A2840" s="339" t="str">
        <f>IFERROR(__xludf.DUMMYFUNCTION("""COMPUTED_VALUE"""),"10.1177/2515245920903079")</f>
        <v>10.1177/2515245920903079</v>
      </c>
      <c r="B2840" s="445" t="str">
        <f>IFERROR(__xludf.DUMMYFUNCTION("""COMPUTED_VALUE"""),"https://drive.google.com/file/d/1YKtEfMrOGZwhGnqG8EYyHuWgZ1XN5GQT/view?usp=drivesdk")</f>
        <v>https://drive.google.com/file/d/1YKtEfMrOGZwhGnqG8EYyHuWgZ1XN5GQT/view?usp=drivesdk</v>
      </c>
      <c r="C2840" s="339" t="str">
        <f>IFERROR(__xludf.DUMMYFUNCTION("""COMPUTED_VALUE"""),"10.1177--2515245920903079.pdf")</f>
        <v>10.1177--2515245920903079.pdf</v>
      </c>
      <c r="D2840" s="159" t="str">
        <f>IFERROR(__xludf.DUMMYFUNCTION("""COMPUTED_VALUE"""),"application/pdf")</f>
        <v>application/pdf</v>
      </c>
    </row>
    <row r="2841">
      <c r="A2841" s="339" t="str">
        <f>IFERROR(__xludf.DUMMYFUNCTION("""COMPUTED_VALUE"""),"10.1038/nn1066")</f>
        <v>10.1038/nn1066</v>
      </c>
      <c r="B2841" s="445" t="str">
        <f>IFERROR(__xludf.DUMMYFUNCTION("""COMPUTED_VALUE"""),"https://drive.google.com/file/d/1mFs9muymaEK-hSfyAYbiFpraUy2r_S5J/view?usp=drivesdk")</f>
        <v>https://drive.google.com/file/d/1mFs9muymaEK-hSfyAYbiFpraUy2r_S5J/view?usp=drivesdk</v>
      </c>
      <c r="C2841" s="339" t="str">
        <f>IFERROR(__xludf.DUMMYFUNCTION("""COMPUTED_VALUE"""),"10.1038--nn1066.pdf")</f>
        <v>10.1038--nn1066.pdf</v>
      </c>
      <c r="D2841" s="159" t="str">
        <f>IFERROR(__xludf.DUMMYFUNCTION("""COMPUTED_VALUE"""),"application/pdf")</f>
        <v>application/pdf</v>
      </c>
    </row>
    <row r="2842">
      <c r="A2842" s="339" t="str">
        <f>IFERROR(__xludf.DUMMYFUNCTION("""COMPUTED_VALUE"""),"10.1037/0022-3514.91.5.975")</f>
        <v>10.1037/0022-3514.91.5.975</v>
      </c>
      <c r="B2842" s="445" t="str">
        <f>IFERROR(__xludf.DUMMYFUNCTION("""COMPUTED_VALUE"""),"https://drive.google.com/file/d/10TU4DldvRAGQQB8ko09DTR5kZTiT8DWd/view?usp=drivesdk")</f>
        <v>https://drive.google.com/file/d/10TU4DldvRAGQQB8ko09DTR5kZTiT8DWd/view?usp=drivesdk</v>
      </c>
      <c r="C2842" s="339" t="str">
        <f>IFERROR(__xludf.DUMMYFUNCTION("""COMPUTED_VALUE"""),"10.1037--0022-3514.91.5.975.pdf")</f>
        <v>10.1037--0022-3514.91.5.975.pdf</v>
      </c>
      <c r="D2842" s="159" t="str">
        <f>IFERROR(__xludf.DUMMYFUNCTION("""COMPUTED_VALUE"""),"application/pdf")</f>
        <v>application/pdf</v>
      </c>
    </row>
    <row r="2843">
      <c r="A2843" s="339" t="str">
        <f>IFERROR(__xludf.DUMMYFUNCTION("""COMPUTED_VALUE"""),"10.1038/s41562-020-0886-x")</f>
        <v>10.1038/s41562-020-0886-x</v>
      </c>
      <c r="B2843" s="445" t="str">
        <f>IFERROR(__xludf.DUMMYFUNCTION("""COMPUTED_VALUE"""),"https://drive.google.com/file/d/1ZJwJnhrQqNemZlVg810zY4UqBiSQXKPx/view?usp=drivesdk")</f>
        <v>https://drive.google.com/file/d/1ZJwJnhrQqNemZlVg810zY4UqBiSQXKPx/view?usp=drivesdk</v>
      </c>
      <c r="C2843" s="339" t="str">
        <f>IFERROR(__xludf.DUMMYFUNCTION("""COMPUTED_VALUE"""),"10.1038--s41562-020-0886-x.pdf")</f>
        <v>10.1038--s41562-020-0886-x.pdf</v>
      </c>
      <c r="D2843" s="159" t="str">
        <f>IFERROR(__xludf.DUMMYFUNCTION("""COMPUTED_VALUE"""),"application/pdf")</f>
        <v>application/pdf</v>
      </c>
    </row>
    <row r="2844">
      <c r="A2844" s="339" t="str">
        <f>IFERROR(__xludf.DUMMYFUNCTION("""COMPUTED_VALUE"""),"10.1093/cercor/bhx353")</f>
        <v>10.1093/cercor/bhx353</v>
      </c>
      <c r="B2844" s="445" t="str">
        <f>IFERROR(__xludf.DUMMYFUNCTION("""COMPUTED_VALUE"""),"https://drive.google.com/file/d/14aPtuimCBHuACTR6Ysm7rhuUdNnhNt3M/view?usp=drivesdk")</f>
        <v>https://drive.google.com/file/d/14aPtuimCBHuACTR6Ysm7rhuUdNnhNt3M/view?usp=drivesdk</v>
      </c>
      <c r="C2844" s="339" t="str">
        <f>IFERROR(__xludf.DUMMYFUNCTION("""COMPUTED_VALUE"""),"10.1093--cercor--bhx353.pdf")</f>
        <v>10.1093--cercor--bhx353.pdf</v>
      </c>
      <c r="D2844" s="159" t="str">
        <f>IFERROR(__xludf.DUMMYFUNCTION("""COMPUTED_VALUE"""),"application/pdf")</f>
        <v>application/pdf</v>
      </c>
    </row>
    <row r="2845">
      <c r="A2845" s="339" t="str">
        <f>IFERROR(__xludf.DUMMYFUNCTION("""COMPUTED_VALUE"""),"10.1177/2515245918781032")</f>
        <v>10.1177/2515245918781032</v>
      </c>
      <c r="B2845" s="445" t="str">
        <f>IFERROR(__xludf.DUMMYFUNCTION("""COMPUTED_VALUE"""),"https://drive.google.com/file/d/1FOQ7FQtPiTG4rTwMmNxW_mEod9sHnt_d/view?usp=drivesdk")</f>
        <v>https://drive.google.com/file/d/1FOQ7FQtPiTG4rTwMmNxW_mEod9sHnt_d/view?usp=drivesdk</v>
      </c>
      <c r="C2845" s="339" t="str">
        <f>IFERROR(__xludf.DUMMYFUNCTION("""COMPUTED_VALUE"""),"10.1177--2515245918781032.pdf")</f>
        <v>10.1177--2515245918781032.pdf</v>
      </c>
      <c r="D2845" s="159" t="str">
        <f>IFERROR(__xludf.DUMMYFUNCTION("""COMPUTED_VALUE"""),"application/pdf")</f>
        <v>application/pdf</v>
      </c>
    </row>
    <row r="2846">
      <c r="A2846" s="339" t="str">
        <f>IFERROR(__xludf.DUMMYFUNCTION("""COMPUTED_VALUE"""),"10.1002/acp.3775")</f>
        <v>10.1002/acp.3775</v>
      </c>
      <c r="B2846" s="445" t="str">
        <f>IFERROR(__xludf.DUMMYFUNCTION("""COMPUTED_VALUE"""),"https://drive.google.com/file/d/1JFP7-KuZoBHwOtFwTX7dQBbZLZsnnzO1/view?usp=drivesdk")</f>
        <v>https://drive.google.com/file/d/1JFP7-KuZoBHwOtFwTX7dQBbZLZsnnzO1/view?usp=drivesdk</v>
      </c>
      <c r="C2846" s="339" t="str">
        <f>IFERROR(__xludf.DUMMYFUNCTION("""COMPUTED_VALUE"""),"10.1002--acp.3775.pdf")</f>
        <v>10.1002--acp.3775.pdf</v>
      </c>
      <c r="D2846" s="159" t="str">
        <f>IFERROR(__xludf.DUMMYFUNCTION("""COMPUTED_VALUE"""),"application/pdf")</f>
        <v>application/pdf</v>
      </c>
    </row>
    <row r="2847">
      <c r="A2847" s="339" t="str">
        <f>IFERROR(__xludf.DUMMYFUNCTION("""COMPUTED_VALUE"""),"10.1016/j.jesp.2021.104154")</f>
        <v>10.1016/j.jesp.2021.104154</v>
      </c>
      <c r="B2847" s="445" t="str">
        <f>IFERROR(__xludf.DUMMYFUNCTION("""COMPUTED_VALUE"""),"https://drive.google.com/file/d/1nh5VP9Rb5MKotf2eusMhTvkZWvd4bgdF/view?usp=drivesdk")</f>
        <v>https://drive.google.com/file/d/1nh5VP9Rb5MKotf2eusMhTvkZWvd4bgdF/view?usp=drivesdk</v>
      </c>
      <c r="C2847" s="339" t="str">
        <f>IFERROR(__xludf.DUMMYFUNCTION("""COMPUTED_VALUE"""),"10.1016--j.jesp.2021.104154.pdf")</f>
        <v>10.1016--j.jesp.2021.104154.pdf</v>
      </c>
      <c r="D2847" s="159" t="str">
        <f>IFERROR(__xludf.DUMMYFUNCTION("""COMPUTED_VALUE"""),"application/pdf")</f>
        <v>application/pdf</v>
      </c>
    </row>
    <row r="2848">
      <c r="A2848" s="339" t="str">
        <f>IFERROR(__xludf.DUMMYFUNCTION("""COMPUTED_VALUE"""),"10.1037/bul0000030")</f>
        <v>10.1037/bul0000030</v>
      </c>
      <c r="B2848" s="445" t="str">
        <f>IFERROR(__xludf.DUMMYFUNCTION("""COMPUTED_VALUE"""),"https://drive.google.com/file/d/1jOuc6HwGGOjFEh2R_gS67iWnf5Ql-TJX/view?usp=drivesdk")</f>
        <v>https://drive.google.com/file/d/1jOuc6HwGGOjFEh2R_gS67iWnf5Ql-TJX/view?usp=drivesdk</v>
      </c>
      <c r="C2848" s="339" t="str">
        <f>IFERROR(__xludf.DUMMYFUNCTION("""COMPUTED_VALUE"""),"10.1037--bul0000030.pdf")</f>
        <v>10.1037--bul0000030.pdf</v>
      </c>
      <c r="D2848" s="159" t="str">
        <f>IFERROR(__xludf.DUMMYFUNCTION("""COMPUTED_VALUE"""),"application/pdf")</f>
        <v>application/pdf</v>
      </c>
    </row>
    <row r="2849">
      <c r="A2849" s="339" t="str">
        <f>IFERROR(__xludf.DUMMYFUNCTION("""COMPUTED_VALUE"""),"10.1177/0956797620953842")</f>
        <v>10.1177/0956797620953842</v>
      </c>
      <c r="B2849" s="445" t="str">
        <f>IFERROR(__xludf.DUMMYFUNCTION("""COMPUTED_VALUE"""),"https://drive.google.com/file/d/1K3OKZrTIktD_b-8XBnmOYsspWQGFGk0Q/view?usp=drivesdk")</f>
        <v>https://drive.google.com/file/d/1K3OKZrTIktD_b-8XBnmOYsspWQGFGk0Q/view?usp=drivesdk</v>
      </c>
      <c r="C2849" s="339" t="str">
        <f>IFERROR(__xludf.DUMMYFUNCTION("""COMPUTED_VALUE"""),"10.1177--0956797620953842.pdf")</f>
        <v>10.1177--0956797620953842.pdf</v>
      </c>
      <c r="D2849" s="159" t="str">
        <f>IFERROR(__xludf.DUMMYFUNCTION("""COMPUTED_VALUE"""),"application/pdf")</f>
        <v>application/pdf</v>
      </c>
    </row>
    <row r="2850">
      <c r="A2850" s="339" t="str">
        <f>IFERROR(__xludf.DUMMYFUNCTION("""COMPUTED_VALUE"""),"10.1177/0956797620922477")</f>
        <v>10.1177/0956797620922477</v>
      </c>
      <c r="B2850" s="445" t="str">
        <f>IFERROR(__xludf.DUMMYFUNCTION("""COMPUTED_VALUE"""),"https://drive.google.com/file/d/1bqNCgQVoUhLOppqc8fkMKPTkt16YU69C/view?usp=drivesdk")</f>
        <v>https://drive.google.com/file/d/1bqNCgQVoUhLOppqc8fkMKPTkt16YU69C/view?usp=drivesdk</v>
      </c>
      <c r="C2850" s="339" t="str">
        <f>IFERROR(__xludf.DUMMYFUNCTION("""COMPUTED_VALUE"""),"10.1177--0956797620922477.pdf")</f>
        <v>10.1177--0956797620922477.pdf</v>
      </c>
      <c r="D2850" s="159" t="str">
        <f>IFERROR(__xludf.DUMMYFUNCTION("""COMPUTED_VALUE"""),"application/pdf")</f>
        <v>application/pdf</v>
      </c>
    </row>
    <row r="2851">
      <c r="A2851" s="339" t="str">
        <f>IFERROR(__xludf.DUMMYFUNCTION("""COMPUTED_VALUE"""),"10.1177/1745691616652873")</f>
        <v>10.1177/1745691616652873</v>
      </c>
      <c r="B2851" s="445" t="str">
        <f>IFERROR(__xludf.DUMMYFUNCTION("""COMPUTED_VALUE"""),"https://drive.google.com/file/d/1z3GCMlnj8CXi5EAWeC90iwE1ueOD17a1/view?usp=drivesdk")</f>
        <v>https://drive.google.com/file/d/1z3GCMlnj8CXi5EAWeC90iwE1ueOD17a1/view?usp=drivesdk</v>
      </c>
      <c r="C2851" s="339" t="str">
        <f>IFERROR(__xludf.DUMMYFUNCTION("""COMPUTED_VALUE"""),"10.1177--1745691616652873.pdf")</f>
        <v>10.1177--1745691616652873.pdf</v>
      </c>
      <c r="D2851" s="159" t="str">
        <f>IFERROR(__xludf.DUMMYFUNCTION("""COMPUTED_VALUE"""),"application/pdf")</f>
        <v>application/pdf</v>
      </c>
    </row>
    <row r="2852">
      <c r="A2852" s="339" t="str">
        <f>IFERROR(__xludf.DUMMYFUNCTION("""COMPUTED_VALUE"""),"10.1177/0956797613516010")</f>
        <v>10.1177/0956797613516010</v>
      </c>
      <c r="B2852" s="445" t="str">
        <f>IFERROR(__xludf.DUMMYFUNCTION("""COMPUTED_VALUE"""),"https://drive.google.com/file/d/1FHadUuNmTdW0LnkNTp5zQlyfn5GZ28bX/view?usp=drivesdk")</f>
        <v>https://drive.google.com/file/d/1FHadUuNmTdW0LnkNTp5zQlyfn5GZ28bX/view?usp=drivesdk</v>
      </c>
      <c r="C2852" s="339" t="str">
        <f>IFERROR(__xludf.DUMMYFUNCTION("""COMPUTED_VALUE"""),"10.1177--0956797613516010.pdf")</f>
        <v>10.1177--0956797613516010.pdf</v>
      </c>
      <c r="D2852" s="159" t="str">
        <f>IFERROR(__xludf.DUMMYFUNCTION("""COMPUTED_VALUE"""),"application/pdf")</f>
        <v>application/pdf</v>
      </c>
    </row>
    <row r="2853">
      <c r="A2853" s="339" t="str">
        <f>IFERROR(__xludf.DUMMYFUNCTION("""COMPUTED_VALUE"""),"10.1177/1948550616654211")</f>
        <v>10.1177/1948550616654211</v>
      </c>
      <c r="B2853" s="445" t="str">
        <f>IFERROR(__xludf.DUMMYFUNCTION("""COMPUTED_VALUE"""),"https://drive.google.com/file/d/19FbyW9fNY6UwGhgLEzSQ05MwRyCTC3YQ/view?usp=drivesdk")</f>
        <v>https://drive.google.com/file/d/19FbyW9fNY6UwGhgLEzSQ05MwRyCTC3YQ/view?usp=drivesdk</v>
      </c>
      <c r="C2853" s="339" t="str">
        <f>IFERROR(__xludf.DUMMYFUNCTION("""COMPUTED_VALUE"""),"10.1177--1948550616654211.pdf")</f>
        <v>10.1177--1948550616654211.pdf</v>
      </c>
      <c r="D2853" s="159" t="str">
        <f>IFERROR(__xludf.DUMMYFUNCTION("""COMPUTED_VALUE"""),"application/pdf")</f>
        <v>application/pdf</v>
      </c>
    </row>
    <row r="2854">
      <c r="A2854" s="339" t="str">
        <f>IFERROR(__xludf.DUMMYFUNCTION("""COMPUTED_VALUE"""),"10.1177/2515245919881152")</f>
        <v>10.1177/2515245919881152</v>
      </c>
      <c r="B2854" s="445" t="str">
        <f>IFERROR(__xludf.DUMMYFUNCTION("""COMPUTED_VALUE"""),"https://drive.google.com/file/d/12jZzJF_5fcsQJhqPJb44akoOqNQsLihi/view?usp=drivesdk")</f>
        <v>https://drive.google.com/file/d/12jZzJF_5fcsQJhqPJb44akoOqNQsLihi/view?usp=drivesdk</v>
      </c>
      <c r="C2854" s="339" t="str">
        <f>IFERROR(__xludf.DUMMYFUNCTION("""COMPUTED_VALUE"""),"10.1177--2515245919881152.pdf")</f>
        <v>10.1177--2515245919881152.pdf</v>
      </c>
      <c r="D2854" s="159" t="str">
        <f>IFERROR(__xludf.DUMMYFUNCTION("""COMPUTED_VALUE"""),"application/pdf")</f>
        <v>application/pdf</v>
      </c>
    </row>
    <row r="2855">
      <c r="A2855" s="339" t="str">
        <f>IFERROR(__xludf.DUMMYFUNCTION("""COMPUTED_VALUE"""),"10.1371/journal.pone.0141181")</f>
        <v>10.1371/journal.pone.0141181</v>
      </c>
      <c r="B2855" s="445" t="str">
        <f>IFERROR(__xludf.DUMMYFUNCTION("""COMPUTED_VALUE"""),"https://drive.google.com/file/d/1QoCLP7bUct1n8A_-MZCF8wm8Kz2BUX1d/view?usp=drivesdk")</f>
        <v>https://drive.google.com/file/d/1QoCLP7bUct1n8A_-MZCF8wm8Kz2BUX1d/view?usp=drivesdk</v>
      </c>
      <c r="C2855" s="339" t="str">
        <f>IFERROR(__xludf.DUMMYFUNCTION("""COMPUTED_VALUE"""),"10.1371--journal.pone.0141181.pdf")</f>
        <v>10.1371--journal.pone.0141181.pdf</v>
      </c>
      <c r="D2855" s="159" t="str">
        <f>IFERROR(__xludf.DUMMYFUNCTION("""COMPUTED_VALUE"""),"application/pdf")</f>
        <v>application/pdf</v>
      </c>
    </row>
    <row r="2856">
      <c r="A2856" s="339" t="str">
        <f>IFERROR(__xludf.DUMMYFUNCTION("""COMPUTED_VALUE"""),"10.1177/1745691615605826")</f>
        <v>10.1177/1745691615605826</v>
      </c>
      <c r="B2856" s="445" t="str">
        <f>IFERROR(__xludf.DUMMYFUNCTION("""COMPUTED_VALUE"""),"https://drive.google.com/file/d/1WZ3vLKAiyXVJ8Y7P_HaRQAjUO19rFtGj/view?usp=drivesdk")</f>
        <v>https://drive.google.com/file/d/1WZ3vLKAiyXVJ8Y7P_HaRQAjUO19rFtGj/view?usp=drivesdk</v>
      </c>
      <c r="C2856" s="339" t="str">
        <f>IFERROR(__xludf.DUMMYFUNCTION("""COMPUTED_VALUE"""),"10.1177--1745691615605826.pdf")</f>
        <v>10.1177--1745691615605826.pdf</v>
      </c>
      <c r="D2856" s="159" t="str">
        <f>IFERROR(__xludf.DUMMYFUNCTION("""COMPUTED_VALUE"""),"application/pdf")</f>
        <v>application/pdf</v>
      </c>
    </row>
    <row r="2857">
      <c r="A2857" s="339" t="str">
        <f>IFERROR(__xludf.DUMMYFUNCTION("""COMPUTED_VALUE"""),"10.1007/s00426-019-01203-4")</f>
        <v>10.1007/s00426-019-01203-4</v>
      </c>
      <c r="B2857" s="445" t="str">
        <f>IFERROR(__xludf.DUMMYFUNCTION("""COMPUTED_VALUE"""),"https://drive.google.com/file/d/1F_nuyD_n047nlKR4UNCi4EOBqH27odbQ/view?usp=drivesdk")</f>
        <v>https://drive.google.com/file/d/1F_nuyD_n047nlKR4UNCi4EOBqH27odbQ/view?usp=drivesdk</v>
      </c>
      <c r="C2857" s="339" t="str">
        <f>IFERROR(__xludf.DUMMYFUNCTION("""COMPUTED_VALUE"""),"10.1007--s00426-019-01203-4.pdf")</f>
        <v>10.1007--s00426-019-01203-4.pdf</v>
      </c>
      <c r="D2857" s="159" t="str">
        <f>IFERROR(__xludf.DUMMYFUNCTION("""COMPUTED_VALUE"""),"application/pdf")</f>
        <v>application/pdf</v>
      </c>
    </row>
    <row r="2858">
      <c r="A2858" s="339" t="str">
        <f>IFERROR(__xludf.DUMMYFUNCTION("""COMPUTED_VALUE"""),"10.1177/1948550616652209")</f>
        <v>10.1177/1948550616652209</v>
      </c>
      <c r="B2858" s="445" t="str">
        <f>IFERROR(__xludf.DUMMYFUNCTION("""COMPUTED_VALUE"""),"https://drive.google.com/file/d/1Siah8cHN9e47_gL9zhIF1EGajvH1CyAB/view?usp=drivesdk")</f>
        <v>https://drive.google.com/file/d/1Siah8cHN9e47_gL9zhIF1EGajvH1CyAB/view?usp=drivesdk</v>
      </c>
      <c r="C2858" s="339" t="str">
        <f>IFERROR(__xludf.DUMMYFUNCTION("""COMPUTED_VALUE"""),"10.1177--1948550616652209.pdf")</f>
        <v>10.1177--1948550616652209.pdf</v>
      </c>
      <c r="D2858" s="159" t="str">
        <f>IFERROR(__xludf.DUMMYFUNCTION("""COMPUTED_VALUE"""),"application/pdf")</f>
        <v>application/pdf</v>
      </c>
    </row>
    <row r="2859">
      <c r="A2859" s="339" t="str">
        <f>IFERROR(__xludf.DUMMYFUNCTION("""COMPUTED_VALUE"""),"10.1177/0956797614553946")</f>
        <v>10.1177/0956797614553946</v>
      </c>
      <c r="B2859" s="445" t="str">
        <f>IFERROR(__xludf.DUMMYFUNCTION("""COMPUTED_VALUE"""),"https://drive.google.com/file/d/182GXuG3qegDOfzlWQwH4rNCoeEmBWZVE/view?usp=drivesdk")</f>
        <v>https://drive.google.com/file/d/182GXuG3qegDOfzlWQwH4rNCoeEmBWZVE/view?usp=drivesdk</v>
      </c>
      <c r="C2859" s="339" t="str">
        <f>IFERROR(__xludf.DUMMYFUNCTION("""COMPUTED_VALUE"""),"10.1177--0956797614553946.pdf")</f>
        <v>10.1177--0956797614553946.pdf</v>
      </c>
      <c r="D2859" s="159" t="str">
        <f>IFERROR(__xludf.DUMMYFUNCTION("""COMPUTED_VALUE"""),"application/pdf")</f>
        <v>application/pdf</v>
      </c>
    </row>
    <row r="2860">
      <c r="A2860" s="339" t="str">
        <f>IFERROR(__xludf.DUMMYFUNCTION("""COMPUTED_VALUE"""),"10.1080/23743603.2017.1341186")</f>
        <v>10.1080/23743603.2017.1341186</v>
      </c>
      <c r="B2860" s="445" t="str">
        <f>IFERROR(__xludf.DUMMYFUNCTION("""COMPUTED_VALUE"""),"https://drive.google.com/file/d/1JkzKHLpwRKawpwzVmuWAxuS42YRz05mT/view?usp=drivesdk")</f>
        <v>https://drive.google.com/file/d/1JkzKHLpwRKawpwzVmuWAxuS42YRz05mT/view?usp=drivesdk</v>
      </c>
      <c r="C2860" s="339" t="str">
        <f>IFERROR(__xludf.DUMMYFUNCTION("""COMPUTED_VALUE"""),"10.1080--23743603.2017.1341186.pdf")</f>
        <v>10.1080--23743603.2017.1341186.pdf</v>
      </c>
      <c r="D2860" s="159" t="str">
        <f>IFERROR(__xludf.DUMMYFUNCTION("""COMPUTED_VALUE"""),"application/pdf")</f>
        <v>application/pdf</v>
      </c>
    </row>
    <row r="2861">
      <c r="A2861" s="339" t="str">
        <f>IFERROR(__xludf.DUMMYFUNCTION("""COMPUTED_VALUE"""),"10.1080/23743603.2017.1341183")</f>
        <v>10.1080/23743603.2017.1341183</v>
      </c>
      <c r="B2861" s="445" t="str">
        <f>IFERROR(__xludf.DUMMYFUNCTION("""COMPUTED_VALUE"""),"https://drive.google.com/file/d/18NQOUQh8MW-PbnLNWU49bwK7tgWLtRuO/view?usp=drivesdk")</f>
        <v>https://drive.google.com/file/d/18NQOUQh8MW-PbnLNWU49bwK7tgWLtRuO/view?usp=drivesdk</v>
      </c>
      <c r="C2861" s="339" t="str">
        <f>IFERROR(__xludf.DUMMYFUNCTION("""COMPUTED_VALUE"""),"10.1080--23743603.2017.1341183.pdf")</f>
        <v>10.1080--23743603.2017.1341183.pdf</v>
      </c>
      <c r="D2861" s="159" t="str">
        <f>IFERROR(__xludf.DUMMYFUNCTION("""COMPUTED_VALUE"""),"application/pdf")</f>
        <v>application/pdf</v>
      </c>
    </row>
    <row r="2862">
      <c r="A2862" s="339" t="str">
        <f>IFERROR(__xludf.DUMMYFUNCTION("""COMPUTED_VALUE"""),"10.1080/23743603.2016.1248081")</f>
        <v>10.1080/23743603.2016.1248081</v>
      </c>
      <c r="B2862" s="445" t="str">
        <f>IFERROR(__xludf.DUMMYFUNCTION("""COMPUTED_VALUE"""),"https://drive.google.com/file/d/1tOYv5tephBInK45nXBgMdZTCvXDOaxS-/view?usp=drivesdk")</f>
        <v>https://drive.google.com/file/d/1tOYv5tephBInK45nXBgMdZTCvXDOaxS-/view?usp=drivesdk</v>
      </c>
      <c r="C2862" s="339" t="str">
        <f>IFERROR(__xludf.DUMMYFUNCTION("""COMPUTED_VALUE"""),"10.1080--23743603.2016.1248081.pdf")</f>
        <v>10.1080--23743603.2016.1248081.pdf</v>
      </c>
      <c r="D2862" s="159" t="str">
        <f>IFERROR(__xludf.DUMMYFUNCTION("""COMPUTED_VALUE"""),"application/pdf")</f>
        <v>application/pdf</v>
      </c>
    </row>
    <row r="2863">
      <c r="A2863" s="339" t="str">
        <f>IFERROR(__xludf.DUMMYFUNCTION("""COMPUTED_VALUE"""),"10.1080/23743603.2016.1248079")</f>
        <v>10.1080/23743603.2016.1248079</v>
      </c>
      <c r="B2863" s="445" t="str">
        <f>IFERROR(__xludf.DUMMYFUNCTION("""COMPUTED_VALUE"""),"https://drive.google.com/file/d/1as3AUf7PRMswz__MVvHdjHvWtN6M-Jme/view?usp=drivesdk")</f>
        <v>https://drive.google.com/file/d/1as3AUf7PRMswz__MVvHdjHvWtN6M-Jme/view?usp=drivesdk</v>
      </c>
      <c r="C2863" s="339" t="str">
        <f>IFERROR(__xludf.DUMMYFUNCTION("""COMPUTED_VALUE"""),"10.1080--23743603.2016.1248079.pdf")</f>
        <v>10.1080--23743603.2016.1248079.pdf</v>
      </c>
      <c r="D2863" s="159" t="str">
        <f>IFERROR(__xludf.DUMMYFUNCTION("""COMPUTED_VALUE"""),"application/pdf")</f>
        <v>application/pdf</v>
      </c>
    </row>
    <row r="2864">
      <c r="A2864" s="339" t="str">
        <f>IFERROR(__xludf.DUMMYFUNCTION("""COMPUTED_VALUE"""),"10.1371/journal.pone.0026016")</f>
        <v>10.1371/journal.pone.0026016</v>
      </c>
      <c r="B2864" s="445" t="str">
        <f>IFERROR(__xludf.DUMMYFUNCTION("""COMPUTED_VALUE"""),"https://drive.google.com/file/d/1Ls_1G30LlE9ynAfY1xfCDSGYTI9JG2pC/view?usp=drivesdk")</f>
        <v>https://drive.google.com/file/d/1Ls_1G30LlE9ynAfY1xfCDSGYTI9JG2pC/view?usp=drivesdk</v>
      </c>
      <c r="C2864" s="339" t="str">
        <f>IFERROR(__xludf.DUMMYFUNCTION("""COMPUTED_VALUE"""),"10.1371--journal.pone.0026016.pdf")</f>
        <v>10.1371--journal.pone.0026016.pdf</v>
      </c>
      <c r="D2864" s="159" t="str">
        <f>IFERROR(__xludf.DUMMYFUNCTION("""COMPUTED_VALUE"""),"application/pdf")</f>
        <v>application/pdf</v>
      </c>
    </row>
    <row r="2865">
      <c r="A2865" s="339" t="str">
        <f>IFERROR(__xludf.DUMMYFUNCTION("""COMPUTED_VALUE"""),"10.1177/0956797617734315")</f>
        <v>10.1177/0956797617734315</v>
      </c>
      <c r="B2865" s="445" t="str">
        <f>IFERROR(__xludf.DUMMYFUNCTION("""COMPUTED_VALUE"""),"https://drive.google.com/file/d/1qIFGf5ktWSXh7rQfL1KhTAj0tN-Q92hY/view?usp=drivesdk")</f>
        <v>https://drive.google.com/file/d/1qIFGf5ktWSXh7rQfL1KhTAj0tN-Q92hY/view?usp=drivesdk</v>
      </c>
      <c r="C2865" s="339" t="str">
        <f>IFERROR(__xludf.DUMMYFUNCTION("""COMPUTED_VALUE"""),"10.1177--0956797617734315.pdf")</f>
        <v>10.1177--0956797617734315.pdf</v>
      </c>
      <c r="D2865" s="159" t="str">
        <f>IFERROR(__xludf.DUMMYFUNCTION("""COMPUTED_VALUE"""),"application/pdf")</f>
        <v>application/pdf</v>
      </c>
    </row>
    <row r="2866">
      <c r="A2866" s="339" t="str">
        <f>IFERROR(__xludf.DUMMYFUNCTION("""COMPUTED_VALUE"""),"10.1177/0093650211418339")</f>
        <v>10.1177/0093650211418339</v>
      </c>
      <c r="B2866" s="445" t="str">
        <f>IFERROR(__xludf.DUMMYFUNCTION("""COMPUTED_VALUE"""),"https://drive.google.com/file/d/1pWzqx5i9lfrh-IwhoBg1HHZbNkomyc43/view?usp=drivesdk")</f>
        <v>https://drive.google.com/file/d/1pWzqx5i9lfrh-IwhoBg1HHZbNkomyc43/view?usp=drivesdk</v>
      </c>
      <c r="C2866" s="339" t="str">
        <f>IFERROR(__xludf.DUMMYFUNCTION("""COMPUTED_VALUE"""),"10.1177--0093650211418339.pdf")</f>
        <v>10.1177--0093650211418339.pdf</v>
      </c>
      <c r="D2866" s="159" t="str">
        <f>IFERROR(__xludf.DUMMYFUNCTION("""COMPUTED_VALUE"""),"application/pdf")</f>
        <v>application/pdf</v>
      </c>
    </row>
    <row r="2867">
      <c r="A2867" s="339" t="str">
        <f>IFERROR(__xludf.DUMMYFUNCTION("""COMPUTED_VALUE"""),"10.1016/j.actpsy.2020.103138")</f>
        <v>10.1016/j.actpsy.2020.103138</v>
      </c>
      <c r="B2867" s="445" t="str">
        <f>IFERROR(__xludf.DUMMYFUNCTION("""COMPUTED_VALUE"""),"https://drive.google.com/file/d/1Cv2pkcb9Dgfe7JtHwek1MCnDz3x3Kw7w/view?usp=drivesdk")</f>
        <v>https://drive.google.com/file/d/1Cv2pkcb9Dgfe7JtHwek1MCnDz3x3Kw7w/view?usp=drivesdk</v>
      </c>
      <c r="C2867" s="339" t="str">
        <f>IFERROR(__xludf.DUMMYFUNCTION("""COMPUTED_VALUE"""),"10.1016--j.actpsy.2020.103138.pdf")</f>
        <v>10.1016--j.actpsy.2020.103138.pdf</v>
      </c>
      <c r="D2867" s="159" t="str">
        <f>IFERROR(__xludf.DUMMYFUNCTION("""COMPUTED_VALUE"""),"application/pdf")</f>
        <v>application/pdf</v>
      </c>
    </row>
    <row r="2868">
      <c r="A2868" s="339" t="str">
        <f>IFERROR(__xludf.DUMMYFUNCTION("""COMPUTED_VALUE"""),"10.1037/a0036913")</f>
        <v>10.1037/a0036913</v>
      </c>
      <c r="B2868" s="445" t="str">
        <f>IFERROR(__xludf.DUMMYFUNCTION("""COMPUTED_VALUE"""),"https://drive.google.com/file/d/1wdYvk7Rmo2EyJOhM_u_52bnzKuwozJai/view?usp=drivesdk")</f>
        <v>https://drive.google.com/file/d/1wdYvk7Rmo2EyJOhM_u_52bnzKuwozJai/view?usp=drivesdk</v>
      </c>
      <c r="C2868" s="339" t="str">
        <f>IFERROR(__xludf.DUMMYFUNCTION("""COMPUTED_VALUE"""),"10.1037--a0036913.pdf")</f>
        <v>10.1037--a0036913.pdf</v>
      </c>
      <c r="D2868" s="159" t="str">
        <f>IFERROR(__xludf.DUMMYFUNCTION("""COMPUTED_VALUE"""),"application/pdf")</f>
        <v>application/pdf</v>
      </c>
    </row>
    <row r="2869">
      <c r="A2869" s="339" t="str">
        <f>IFERROR(__xludf.DUMMYFUNCTION("""COMPUTED_VALUE"""),"10.1007/s004260000041")</f>
        <v>10.1007/s004260000041</v>
      </c>
      <c r="B2869" s="445" t="str">
        <f>IFERROR(__xludf.DUMMYFUNCTION("""COMPUTED_VALUE"""),"https://drive.google.com/file/d/13ErdM89UVNJLjA0F4YjMOg_9Z3MZKgKQ/view?usp=drivesdk")</f>
        <v>https://drive.google.com/file/d/13ErdM89UVNJLjA0F4YjMOg_9Z3MZKgKQ/view?usp=drivesdk</v>
      </c>
      <c r="C2869" s="339" t="str">
        <f>IFERROR(__xludf.DUMMYFUNCTION("""COMPUTED_VALUE"""),"10.1007--s004260000041.pdf")</f>
        <v>10.1007--s004260000041.pdf</v>
      </c>
      <c r="D2869" s="159" t="str">
        <f>IFERROR(__xludf.DUMMYFUNCTION("""COMPUTED_VALUE"""),"application/pdf")</f>
        <v>application/pdf</v>
      </c>
    </row>
    <row r="2870">
      <c r="A2870" s="339" t="str">
        <f>IFERROR(__xludf.DUMMYFUNCTION("""COMPUTED_VALUE"""),"10.1037/0096-1523.26.5.1515")</f>
        <v>10.1037/0096-1523.26.5.1515</v>
      </c>
      <c r="B2870" s="445" t="str">
        <f>IFERROR(__xludf.DUMMYFUNCTION("""COMPUTED_VALUE"""),"https://drive.google.com/file/d/12NOTFTy9kTGJZ9GCQplncqds0pQoFd46/view?usp=drivesdk")</f>
        <v>https://drive.google.com/file/d/12NOTFTy9kTGJZ9GCQplncqds0pQoFd46/view?usp=drivesdk</v>
      </c>
      <c r="C2870" s="339" t="str">
        <f>IFERROR(__xludf.DUMMYFUNCTION("""COMPUTED_VALUE"""),"10.1037--0096-1523.26.5.1515.pdf")</f>
        <v>10.1037--0096-1523.26.5.1515.pdf</v>
      </c>
      <c r="D2870" s="159" t="str">
        <f>IFERROR(__xludf.DUMMYFUNCTION("""COMPUTED_VALUE"""),"application/pdf")</f>
        <v>application/pdf</v>
      </c>
    </row>
    <row r="2871">
      <c r="A2871" s="339" t="str">
        <f>IFERROR(__xludf.DUMMYFUNCTION("""COMPUTED_VALUE"""),"10.1007/bf00419703")</f>
        <v>10.1007/bf00419703</v>
      </c>
      <c r="B2871" s="445" t="str">
        <f>IFERROR(__xludf.DUMMYFUNCTION("""COMPUTED_VALUE"""),"https://drive.google.com/file/d/1jWFV5HeX7zEMIqNr5jd2-PLoveTyWBCo/view?usp=drivesdk")</f>
        <v>https://drive.google.com/file/d/1jWFV5HeX7zEMIqNr5jd2-PLoveTyWBCo/view?usp=drivesdk</v>
      </c>
      <c r="C2871" s="339" t="str">
        <f>IFERROR(__xludf.DUMMYFUNCTION("""COMPUTED_VALUE"""),"10.1007--BF00419703.pdf")</f>
        <v>10.1007--BF00419703.pdf</v>
      </c>
      <c r="D2871" s="159" t="str">
        <f>IFERROR(__xludf.DUMMYFUNCTION("""COMPUTED_VALUE"""),"application/pdf")</f>
        <v>application/pdf</v>
      </c>
    </row>
    <row r="2872">
      <c r="A2872" s="339" t="str">
        <f>IFERROR(__xludf.DUMMYFUNCTION("""COMPUTED_VALUE"""),"10.1038/s41598-021-88139-1")</f>
        <v>10.1038/s41598-021-88139-1</v>
      </c>
      <c r="B2872" s="445" t="str">
        <f>IFERROR(__xludf.DUMMYFUNCTION("""COMPUTED_VALUE"""),"https://drive.google.com/file/d/19dKp0Bt_y9wu5nwD0ND7qjkbddLPOjCy/view?usp=drivesdk")</f>
        <v>https://drive.google.com/file/d/19dKp0Bt_y9wu5nwD0ND7qjkbddLPOjCy/view?usp=drivesdk</v>
      </c>
      <c r="C2872" s="339" t="str">
        <f>IFERROR(__xludf.DUMMYFUNCTION("""COMPUTED_VALUE"""),"10.1038--s41598-021-88139-1.pdf")</f>
        <v>10.1038--s41598-021-88139-1.pdf</v>
      </c>
      <c r="D2872" s="159" t="str">
        <f>IFERROR(__xludf.DUMMYFUNCTION("""COMPUTED_VALUE"""),"application/pdf")</f>
        <v>application/pdf</v>
      </c>
    </row>
    <row r="2873">
      <c r="A2873" s="339" t="str">
        <f>IFERROR(__xludf.DUMMYFUNCTION("""COMPUTED_VALUE"""),"10.1038/s41562-018-0399-z")</f>
        <v>10.1038/s41562-018-0399-z</v>
      </c>
      <c r="B2873" s="445" t="str">
        <f>IFERROR(__xludf.DUMMYFUNCTION("""COMPUTED_VALUE"""),"https://drive.google.com/file/d/1qJE0K3gDNeo5WCbf6KkP1a0pxT3faRns/view?usp=drivesdk")</f>
        <v>https://drive.google.com/file/d/1qJE0K3gDNeo5WCbf6KkP1a0pxT3faRns/view?usp=drivesdk</v>
      </c>
      <c r="C2873" s="339" t="str">
        <f>IFERROR(__xludf.DUMMYFUNCTION("""COMPUTED_VALUE"""),"10.1038--s41562-018-0399-z.pdf")</f>
        <v>10.1038--s41562-018-0399-z.pdf</v>
      </c>
      <c r="D2873" s="159" t="str">
        <f>IFERROR(__xludf.DUMMYFUNCTION("""COMPUTED_VALUE"""),"application/pdf")</f>
        <v>application/pdf</v>
      </c>
    </row>
    <row r="2874">
      <c r="A2874" s="339" t="str">
        <f>IFERROR(__xludf.DUMMYFUNCTION("""COMPUTED_VALUE"""),"10.1111/1467-9280.00169")</f>
        <v>10.1111/1467-9280.00169</v>
      </c>
      <c r="B2874" s="445" t="str">
        <f>IFERROR(__xludf.DUMMYFUNCTION("""COMPUTED_VALUE"""),"https://drive.google.com/file/d/1FFUJeJxHvYXNMK7wqAJYiQFmmbe1ofI3/view?usp=drivesdk")</f>
        <v>https://drive.google.com/file/d/1FFUJeJxHvYXNMK7wqAJYiQFmmbe1ofI3/view?usp=drivesdk</v>
      </c>
      <c r="C2874" s="339" t="str">
        <f>IFERROR(__xludf.DUMMYFUNCTION("""COMPUTED_VALUE"""),"10.1111--1467-9280.00169.pdf")</f>
        <v>10.1111--1467-9280.00169.pdf</v>
      </c>
      <c r="D2874" s="159" t="str">
        <f>IFERROR(__xludf.DUMMYFUNCTION("""COMPUTED_VALUE"""),"application/pdf")</f>
        <v>application/pdf</v>
      </c>
    </row>
    <row r="2875">
      <c r="A2875" s="339" t="str">
        <f>IFERROR(__xludf.DUMMYFUNCTION("""COMPUTED_VALUE"""),"10.2466/pms.1999.88.3.843")</f>
        <v>10.2466/pms.1999.88.3.843</v>
      </c>
      <c r="B2875" s="445" t="str">
        <f>IFERROR(__xludf.DUMMYFUNCTION("""COMPUTED_VALUE"""),"https://drive.google.com/file/d/1JX_-a4N28fXIO7zfjPklo9WsE9pe3QjW/view?usp=drivesdk")</f>
        <v>https://drive.google.com/file/d/1JX_-a4N28fXIO7zfjPklo9WsE9pe3QjW/view?usp=drivesdk</v>
      </c>
      <c r="C2875" s="339" t="str">
        <f>IFERROR(__xludf.DUMMYFUNCTION("""COMPUTED_VALUE"""),"10.2466--pms.1999.88.3.843.pdf")</f>
        <v>10.2466--pms.1999.88.3.843.pdf</v>
      </c>
      <c r="D2875" s="159" t="str">
        <f>IFERROR(__xludf.DUMMYFUNCTION("""COMPUTED_VALUE"""),"application/pdf")</f>
        <v>application/pdf</v>
      </c>
    </row>
    <row r="2876">
      <c r="A2876" s="339" t="str">
        <f>IFERROR(__xludf.DUMMYFUNCTION("""COMPUTED_VALUE"""),"10.1002/ejsp.2748")</f>
        <v>10.1002/ejsp.2748</v>
      </c>
      <c r="B2876" s="445" t="str">
        <f>IFERROR(__xludf.DUMMYFUNCTION("""COMPUTED_VALUE"""),"https://drive.google.com/file/d/1d6qI-QqNlpjQgx9Vwa0NjPkDpYx45iMg/view?usp=drivesdk")</f>
        <v>https://drive.google.com/file/d/1d6qI-QqNlpjQgx9Vwa0NjPkDpYx45iMg/view?usp=drivesdk</v>
      </c>
      <c r="C2876" s="339" t="str">
        <f>IFERROR(__xludf.DUMMYFUNCTION("""COMPUTED_VALUE"""),"10.1002--ejsp.2748.pdf")</f>
        <v>10.1002--ejsp.2748.pdf</v>
      </c>
      <c r="D2876" s="159" t="str">
        <f>IFERROR(__xludf.DUMMYFUNCTION("""COMPUTED_VALUE"""),"application/pdf")</f>
        <v>application/pdf</v>
      </c>
    </row>
    <row r="2877">
      <c r="A2877" s="339" t="str">
        <f>IFERROR(__xludf.DUMMYFUNCTION("""COMPUTED_VALUE"""),"10.1007/s11606-019-05364-1")</f>
        <v>10.1007/s11606-019-05364-1</v>
      </c>
      <c r="B2877" s="445" t="str">
        <f>IFERROR(__xludf.DUMMYFUNCTION("""COMPUTED_VALUE"""),"https://drive.google.com/file/d/1wtALe5oh1RdoY1mXdjr4WvMritJP2N4w/view?usp=drivesdk")</f>
        <v>https://drive.google.com/file/d/1wtALe5oh1RdoY1mXdjr4WvMritJP2N4w/view?usp=drivesdk</v>
      </c>
      <c r="C2877" s="339" t="str">
        <f>IFERROR(__xludf.DUMMYFUNCTION("""COMPUTED_VALUE"""),"10.1007--s11606-019-05364-1.pdf")</f>
        <v>10.1007--s11606-019-05364-1.pdf</v>
      </c>
      <c r="D2877" s="159" t="str">
        <f>IFERROR(__xludf.DUMMYFUNCTION("""COMPUTED_VALUE"""),"application/pdf")</f>
        <v>application/pdf</v>
      </c>
    </row>
    <row r="2878">
      <c r="A2878" s="339" t="str">
        <f>IFERROR(__xludf.DUMMYFUNCTION("""COMPUTED_VALUE"""),"10.3389/fpsyg.2013.00041")</f>
        <v>10.3389/fpsyg.2013.00041</v>
      </c>
      <c r="B2878" s="445" t="str">
        <f>IFERROR(__xludf.DUMMYFUNCTION("""COMPUTED_VALUE"""),"https://drive.google.com/file/d/1DGULVXUsTEU_9EPzOnZqFH3SYWy7WfkA/view?usp=drivesdk")</f>
        <v>https://drive.google.com/file/d/1DGULVXUsTEU_9EPzOnZqFH3SYWy7WfkA/view?usp=drivesdk</v>
      </c>
      <c r="C2878" s="339" t="str">
        <f>IFERROR(__xludf.DUMMYFUNCTION("""COMPUTED_VALUE"""),"10.3389--fpsyg.2013.00041.pdf")</f>
        <v>10.3389--fpsyg.2013.00041.pdf</v>
      </c>
      <c r="D2878" s="159" t="str">
        <f>IFERROR(__xludf.DUMMYFUNCTION("""COMPUTED_VALUE"""),"application/pdf")</f>
        <v>application/pdf</v>
      </c>
    </row>
    <row r="2879">
      <c r="A2879" s="339" t="str">
        <f>IFERROR(__xludf.DUMMYFUNCTION("""COMPUTED_VALUE"""),"10.1111/j.1559-1816.1999.tb00134.x")</f>
        <v>10.1111/j.1559-1816.1999.tb00134.x</v>
      </c>
      <c r="B2879" s="445" t="str">
        <f>IFERROR(__xludf.DUMMYFUNCTION("""COMPUTED_VALUE"""),"https://drive.google.com/file/d/1angB6Ei-2ZlIhgs0AbXlGha3kvj3fUY0/view?usp=drivesdk")</f>
        <v>https://drive.google.com/file/d/1angB6Ei-2ZlIhgs0AbXlGha3kvj3fUY0/view?usp=drivesdk</v>
      </c>
      <c r="C2879" s="339" t="str">
        <f>IFERROR(__xludf.DUMMYFUNCTION("""COMPUTED_VALUE"""),"10.1111--j.1559-1816.1999.tb00134.x.pdf")</f>
        <v>10.1111--j.1559-1816.1999.tb00134.x.pdf</v>
      </c>
      <c r="D2879" s="159" t="str">
        <f>IFERROR(__xludf.DUMMYFUNCTION("""COMPUTED_VALUE"""),"application/pdf")</f>
        <v>application/pdf</v>
      </c>
    </row>
    <row r="2880">
      <c r="A2880" s="339" t="str">
        <f>IFERROR(__xludf.DUMMYFUNCTION("""COMPUTED_VALUE"""),"10.1177/1948550617693060")</f>
        <v>10.1177/1948550617693060</v>
      </c>
      <c r="B2880" s="445" t="str">
        <f>IFERROR(__xludf.DUMMYFUNCTION("""COMPUTED_VALUE"""),"https://drive.google.com/file/d/1kS1z1V6AFLbZ9rpo8sFM3d0djf13VYDI/view?usp=drivesdk")</f>
        <v>https://drive.google.com/file/d/1kS1z1V6AFLbZ9rpo8sFM3d0djf13VYDI/view?usp=drivesdk</v>
      </c>
      <c r="C2880" s="339" t="str">
        <f>IFERROR(__xludf.DUMMYFUNCTION("""COMPUTED_VALUE"""),"10.1177--1948550617693060.pdf")</f>
        <v>10.1177--1948550617693060.pdf</v>
      </c>
      <c r="D2880" s="159" t="str">
        <f>IFERROR(__xludf.DUMMYFUNCTION("""COMPUTED_VALUE"""),"application/pdf")</f>
        <v>application/pdf</v>
      </c>
    </row>
    <row r="2881">
      <c r="A2881" s="339" t="str">
        <f>IFERROR(__xludf.DUMMYFUNCTION("""COMPUTED_VALUE"""),"10.1038/s41467-020-18152-x")</f>
        <v>10.1038/s41467-020-18152-x</v>
      </c>
      <c r="B2881" s="445" t="str">
        <f>IFERROR(__xludf.DUMMYFUNCTION("""COMPUTED_VALUE"""),"https://drive.google.com/file/d/1wCmr4BBIDn9AuSRCj2rGSlI0GuQ47RVa/view?usp=drivesdk")</f>
        <v>https://drive.google.com/file/d/1wCmr4BBIDn9AuSRCj2rGSlI0GuQ47RVa/view?usp=drivesdk</v>
      </c>
      <c r="C2881" s="339" t="str">
        <f>IFERROR(__xludf.DUMMYFUNCTION("""COMPUTED_VALUE"""),"10.1038--s41467-020-18152-x.pdf")</f>
        <v>10.1038--s41467-020-18152-x.pdf</v>
      </c>
      <c r="D2881" s="159" t="str">
        <f>IFERROR(__xludf.DUMMYFUNCTION("""COMPUTED_VALUE"""),"application/pdf")</f>
        <v>application/pdf</v>
      </c>
    </row>
    <row r="2882">
      <c r="A2882" s="339" t="str">
        <f>IFERROR(__xludf.DUMMYFUNCTION("""COMPUTED_VALUE"""),"10.1007/s12115-013-9724-3")</f>
        <v>10.1007/s12115-013-9724-3</v>
      </c>
      <c r="B2882" s="445" t="str">
        <f>IFERROR(__xludf.DUMMYFUNCTION("""COMPUTED_VALUE"""),"https://drive.google.com/file/d/13zl87LaDmgA5FAdpU1dA3yzTbFcw_L54/view?usp=drivesdk")</f>
        <v>https://drive.google.com/file/d/13zl87LaDmgA5FAdpU1dA3yzTbFcw_L54/view?usp=drivesdk</v>
      </c>
      <c r="C2882" s="339" t="str">
        <f>IFERROR(__xludf.DUMMYFUNCTION("""COMPUTED_VALUE"""),"10.1007--s12115-013-9724-3.pdf")</f>
        <v>10.1007--s12115-013-9724-3.pdf</v>
      </c>
      <c r="D2882" s="159" t="str">
        <f>IFERROR(__xludf.DUMMYFUNCTION("""COMPUTED_VALUE"""),"application/pdf")</f>
        <v>application/pdf</v>
      </c>
    </row>
    <row r="2883">
      <c r="A2883" s="339" t="str">
        <f>IFERROR(__xludf.DUMMYFUNCTION("""COMPUTED_VALUE"""),"10.1177/1948550610397632")</f>
        <v>10.1177/1948550610397632</v>
      </c>
      <c r="B2883" s="445" t="str">
        <f>IFERROR(__xludf.DUMMYFUNCTION("""COMPUTED_VALUE"""),"https://drive.google.com/file/d/1aCpN9FQY-edL0KHCQ_dOeoW0p5GyALqJ/view?usp=drivesdk")</f>
        <v>https://drive.google.com/file/d/1aCpN9FQY-edL0KHCQ_dOeoW0p5GyALqJ/view?usp=drivesdk</v>
      </c>
      <c r="C2883" s="339" t="str">
        <f>IFERROR(__xludf.DUMMYFUNCTION("""COMPUTED_VALUE"""),"10.1177--1948550610397632.pdf")</f>
        <v>10.1177--1948550610397632.pdf</v>
      </c>
      <c r="D2883" s="159" t="str">
        <f>IFERROR(__xludf.DUMMYFUNCTION("""COMPUTED_VALUE"""),"application/pdf")</f>
        <v>application/pdf</v>
      </c>
    </row>
    <row r="2884">
      <c r="A2884" s="339" t="str">
        <f>IFERROR(__xludf.DUMMYFUNCTION("""COMPUTED_VALUE"""),"10.1080/00224545.1987.9713711")</f>
        <v>10.1080/00224545.1987.9713711</v>
      </c>
      <c r="B2884" s="445" t="str">
        <f>IFERROR(__xludf.DUMMYFUNCTION("""COMPUTED_VALUE"""),"https://drive.google.com/file/d/1bHBfOwE2j2qM6DS2iVTktr5tscbohYq8/view?usp=drivesdk")</f>
        <v>https://drive.google.com/file/d/1bHBfOwE2j2qM6DS2iVTktr5tscbohYq8/view?usp=drivesdk</v>
      </c>
      <c r="C2884" s="339" t="str">
        <f>IFERROR(__xludf.DUMMYFUNCTION("""COMPUTED_VALUE"""),"10.1080--00224545.1987.9713711.pdf")</f>
        <v>10.1080--00224545.1987.9713711.pdf</v>
      </c>
      <c r="D2884" s="159" t="str">
        <f>IFERROR(__xludf.DUMMYFUNCTION("""COMPUTED_VALUE"""),"application/pdf")</f>
        <v>application/pdf</v>
      </c>
    </row>
    <row r="2885">
      <c r="A2885" s="339" t="str">
        <f>IFERROR(__xludf.DUMMYFUNCTION("""COMPUTED_VALUE"""),"10.1177/014616727600300119")</f>
        <v>10.1177/014616727600300119</v>
      </c>
      <c r="B2885" s="445" t="str">
        <f>IFERROR(__xludf.DUMMYFUNCTION("""COMPUTED_VALUE"""),"https://drive.google.com/file/d/1jFrC1A_yeQPtrQ7firqJ7njA_VTcGSS6/view?usp=drivesdk")</f>
        <v>https://drive.google.com/file/d/1jFrC1A_yeQPtrQ7firqJ7njA_VTcGSS6/view?usp=drivesdk</v>
      </c>
      <c r="C2885" s="339" t="str">
        <f>IFERROR(__xludf.DUMMYFUNCTION("""COMPUTED_VALUE"""),"10.1177--014616727600300119.pdf")</f>
        <v>10.1177--014616727600300119.pdf</v>
      </c>
      <c r="D2885" s="159" t="str">
        <f>IFERROR(__xludf.DUMMYFUNCTION("""COMPUTED_VALUE"""),"application/pdf")</f>
        <v>application/pdf</v>
      </c>
    </row>
    <row r="2886">
      <c r="A2886" s="339" t="str">
        <f>IFERROR(__xludf.DUMMYFUNCTION("""COMPUTED_VALUE"""),"10.2307/3033588")</f>
        <v>10.2307/3033588</v>
      </c>
      <c r="B2886" s="445" t="str">
        <f>IFERROR(__xludf.DUMMYFUNCTION("""COMPUTED_VALUE"""),"https://drive.google.com/file/d/1pUn5JuuBayLiPcfWrAzZVia5_iDKgrFE/view?usp=drivesdk")</f>
        <v>https://drive.google.com/file/d/1pUn5JuuBayLiPcfWrAzZVia5_iDKgrFE/view?usp=drivesdk</v>
      </c>
      <c r="C2886" s="339" t="str">
        <f>IFERROR(__xludf.DUMMYFUNCTION("""COMPUTED_VALUE"""),"10.2307--3033588.pdf")</f>
        <v>10.2307--3033588.pdf</v>
      </c>
      <c r="D2886" s="159" t="str">
        <f>IFERROR(__xludf.DUMMYFUNCTION("""COMPUTED_VALUE"""),"application/pdf")</f>
        <v>application/pdf</v>
      </c>
    </row>
    <row r="2887">
      <c r="A2887" s="339" t="str">
        <f>IFERROR(__xludf.DUMMYFUNCTION("""COMPUTED_VALUE"""),"10.1037/0022-3514.55.2.211")</f>
        <v>10.1037/0022-3514.55.2.211</v>
      </c>
      <c r="B2887" s="445" t="str">
        <f>IFERROR(__xludf.DUMMYFUNCTION("""COMPUTED_VALUE"""),"https://drive.google.com/file/d/1Ki3S9vl6CBRB-iEHfPJFbBeBXS5c4yze/view?usp=drivesdk")</f>
        <v>https://drive.google.com/file/d/1Ki3S9vl6CBRB-iEHfPJFbBeBXS5c4yze/view?usp=drivesdk</v>
      </c>
      <c r="C2887" s="339" t="str">
        <f>IFERROR(__xludf.DUMMYFUNCTION("""COMPUTED_VALUE"""),"10.1037--0022-3514.55.2.211.pdf")</f>
        <v>10.1037--0022-3514.55.2.211.pdf</v>
      </c>
      <c r="D2887" s="159" t="str">
        <f>IFERROR(__xludf.DUMMYFUNCTION("""COMPUTED_VALUE"""),"application/pdf")</f>
        <v>application/pdf</v>
      </c>
    </row>
    <row r="2888">
      <c r="A2888" s="339" t="str">
        <f>IFERROR(__xludf.DUMMYFUNCTION("""COMPUTED_VALUE"""),"10.1037/0033-2909.106.2.265")</f>
        <v>10.1037/0033-2909.106.2.265</v>
      </c>
      <c r="B2888" s="445" t="str">
        <f>IFERROR(__xludf.DUMMYFUNCTION("""COMPUTED_VALUE"""),"https://drive.google.com/file/d/1F_JGx_lWmWBMWGZrthYhmK7TvjE2Cywn/view?usp=drivesdk")</f>
        <v>https://drive.google.com/file/d/1F_JGx_lWmWBMWGZrthYhmK7TvjE2Cywn/view?usp=drivesdk</v>
      </c>
      <c r="C2888" s="339" t="str">
        <f>IFERROR(__xludf.DUMMYFUNCTION("""COMPUTED_VALUE"""),"10.1037--0033-2909.106.2.265.pdf")</f>
        <v>10.1037--0033-2909.106.2.265.pdf</v>
      </c>
      <c r="D2888" s="159" t="str">
        <f>IFERROR(__xludf.DUMMYFUNCTION("""COMPUTED_VALUE"""),"application/pdf")</f>
        <v>application/pdf</v>
      </c>
    </row>
    <row r="2889">
      <c r="A2889" s="339" t="str">
        <f>IFERROR(__xludf.DUMMYFUNCTION("""COMPUTED_VALUE"""),"10.1177/0093854818812918")</f>
        <v>10.1177/0093854818812918</v>
      </c>
      <c r="B2889" s="445" t="str">
        <f>IFERROR(__xludf.DUMMYFUNCTION("""COMPUTED_VALUE"""),"https://drive.google.com/file/d/1Jq5At328FQy3ULsz05SxK1SrS_XRIVBv/view?usp=drivesdk")</f>
        <v>https://drive.google.com/file/d/1Jq5At328FQy3ULsz05SxK1SrS_XRIVBv/view?usp=drivesdk</v>
      </c>
      <c r="C2889" s="339" t="str">
        <f>IFERROR(__xludf.DUMMYFUNCTION("""COMPUTED_VALUE"""),"10.1177--0093854818812918.pdf")</f>
        <v>10.1177--0093854818812918.pdf</v>
      </c>
      <c r="D2889" s="159" t="str">
        <f>IFERROR(__xludf.DUMMYFUNCTION("""COMPUTED_VALUE"""),"application/pdf")</f>
        <v>application/pdf</v>
      </c>
    </row>
    <row r="2890">
      <c r="A2890" s="339" t="str">
        <f>IFERROR(__xludf.DUMMYFUNCTION("""COMPUTED_VALUE"""),"10.1177/1088868317725419")</f>
        <v>10.1177/1088868317725419</v>
      </c>
      <c r="B2890" s="445" t="str">
        <f>IFERROR(__xludf.DUMMYFUNCTION("""COMPUTED_VALUE"""),"https://drive.google.com/file/d/1yg-L6F0I6F1fgxX2H53kNgHST9iZhuFT/view?usp=drivesdk")</f>
        <v>https://drive.google.com/file/d/1yg-L6F0I6F1fgxX2H53kNgHST9iZhuFT/view?usp=drivesdk</v>
      </c>
      <c r="C2890" s="339" t="str">
        <f>IFERROR(__xludf.DUMMYFUNCTION("""COMPUTED_VALUE"""),"10.1177--1088868317725419.pdf")</f>
        <v>10.1177--1088868317725419.pdf</v>
      </c>
      <c r="D2890" s="159" t="str">
        <f>IFERROR(__xludf.DUMMYFUNCTION("""COMPUTED_VALUE"""),"application/pdf")</f>
        <v>application/pdf</v>
      </c>
    </row>
    <row r="2891">
      <c r="A2891" s="339" t="str">
        <f>IFERROR(__xludf.DUMMYFUNCTION("""COMPUTED_VALUE"""),"10.1037/0022-3514.58.4.622")</f>
        <v>10.1037/0022-3514.58.4.622</v>
      </c>
      <c r="B2891" s="445" t="str">
        <f>IFERROR(__xludf.DUMMYFUNCTION("""COMPUTED_VALUE"""),"https://drive.google.com/file/d/1_DJ98pFWCppO7kDmfNAIB717B-QdRU2a/view?usp=drivesdk")</f>
        <v>https://drive.google.com/file/d/1_DJ98pFWCppO7kDmfNAIB717B-QdRU2a/view?usp=drivesdk</v>
      </c>
      <c r="C2891" s="339" t="str">
        <f>IFERROR(__xludf.DUMMYFUNCTION("""COMPUTED_VALUE"""),"10.1037--0022-3514.58.4.622.pdf")</f>
        <v>10.1037--0022-3514.58.4.622.pdf</v>
      </c>
      <c r="D2891" s="159" t="str">
        <f>IFERROR(__xludf.DUMMYFUNCTION("""COMPUTED_VALUE"""),"application/pdf")</f>
        <v>application/pdf</v>
      </c>
    </row>
    <row r="2892">
      <c r="A2892" s="339" t="str">
        <f>IFERROR(__xludf.DUMMYFUNCTION("""COMPUTED_VALUE"""),"10.1037/xge0000058")</f>
        <v>10.1037/xge0000058</v>
      </c>
      <c r="B2892" s="445" t="str">
        <f>IFERROR(__xludf.DUMMYFUNCTION("""COMPUTED_VALUE"""),"https://drive.google.com/file/d/1r4ZL_EEBhFH6RF5JDxP8TDFqXke3Dqcf/view?usp=drivesdk")</f>
        <v>https://drive.google.com/file/d/1r4ZL_EEBhFH6RF5JDxP8TDFqXke3Dqcf/view?usp=drivesdk</v>
      </c>
      <c r="C2892" s="339" t="str">
        <f>IFERROR(__xludf.DUMMYFUNCTION("""COMPUTED_VALUE"""),"10.1037--xge0000058.pdf")</f>
        <v>10.1037--xge0000058.pdf</v>
      </c>
      <c r="D2892" s="159" t="str">
        <f>IFERROR(__xludf.DUMMYFUNCTION("""COMPUTED_VALUE"""),"application/pdf")</f>
        <v>application/pdf</v>
      </c>
    </row>
    <row r="2893">
      <c r="A2893" s="339" t="str">
        <f>IFERROR(__xludf.DUMMYFUNCTION("""COMPUTED_VALUE"""),"10.1177/1948550613498516")</f>
        <v>10.1177/1948550613498516</v>
      </c>
      <c r="B2893" s="445" t="str">
        <f>IFERROR(__xludf.DUMMYFUNCTION("""COMPUTED_VALUE"""),"https://drive.google.com/file/d/1gjwCxHVp1efxTgO9FpYCyl7tkrrSp2_Q/view?usp=drivesdk")</f>
        <v>https://drive.google.com/file/d/1gjwCxHVp1efxTgO9FpYCyl7tkrrSp2_Q/view?usp=drivesdk</v>
      </c>
      <c r="C2893" s="339" t="str">
        <f>IFERROR(__xludf.DUMMYFUNCTION("""COMPUTED_VALUE"""),"10.1177--1948550613498516.pdf")</f>
        <v>10.1177--1948550613498516.pdf</v>
      </c>
      <c r="D2893" s="159" t="str">
        <f>IFERROR(__xludf.DUMMYFUNCTION("""COMPUTED_VALUE"""),"application/pdf")</f>
        <v>application/pdf</v>
      </c>
    </row>
    <row r="2894">
      <c r="A2894" s="339" t="str">
        <f>IFERROR(__xludf.DUMMYFUNCTION("""COMPUTED_VALUE"""),"10.1037/xge0000090")</f>
        <v>10.1037/xge0000090</v>
      </c>
      <c r="B2894" s="445" t="str">
        <f>IFERROR(__xludf.DUMMYFUNCTION("""COMPUTED_VALUE"""),"https://drive.google.com/file/d/1TOxKvkgLgldkEiOl4Cnst0AYk7w8IBCh/view?usp=drivesdk")</f>
        <v>https://drive.google.com/file/d/1TOxKvkgLgldkEiOl4Cnst0AYk7w8IBCh/view?usp=drivesdk</v>
      </c>
      <c r="C2894" s="339" t="str">
        <f>IFERROR(__xludf.DUMMYFUNCTION("""COMPUTED_VALUE"""),"10.1037--xge0000090.pdf")</f>
        <v>10.1037--xge0000090.pdf</v>
      </c>
      <c r="D2894" s="159" t="str">
        <f>IFERROR(__xludf.DUMMYFUNCTION("""COMPUTED_VALUE"""),"application/pdf")</f>
        <v>application/pdf</v>
      </c>
    </row>
    <row r="2895">
      <c r="A2895" s="339" t="str">
        <f>IFERROR(__xludf.DUMMYFUNCTION("""COMPUTED_VALUE"""),"10.3758/s13423-013-0549-2")</f>
        <v>10.3758/s13423-013-0549-2</v>
      </c>
      <c r="B2895" s="445" t="str">
        <f>IFERROR(__xludf.DUMMYFUNCTION("""COMPUTED_VALUE"""),"https://drive.google.com/file/d/1x9sfN1Qyptlpks3NPyyD6PckLhoE6G6J/view?usp=drivesdk")</f>
        <v>https://drive.google.com/file/d/1x9sfN1Qyptlpks3NPyyD6PckLhoE6G6J/view?usp=drivesdk</v>
      </c>
      <c r="C2895" s="339" t="str">
        <f>IFERROR(__xludf.DUMMYFUNCTION("""COMPUTED_VALUE"""),"10.3758--s13423-013-0549-2.pdf")</f>
        <v>10.3758--s13423-013-0549-2.pdf</v>
      </c>
      <c r="D2895" s="159" t="str">
        <f>IFERROR(__xludf.DUMMYFUNCTION("""COMPUTED_VALUE"""),"application/pdf")</f>
        <v>application/pdf</v>
      </c>
    </row>
    <row r="2896">
      <c r="A2896" s="339" t="str">
        <f>IFERROR(__xludf.DUMMYFUNCTION("""COMPUTED_VALUE"""),"10.1037/a0036079.")</f>
        <v>10.1037/a0036079.</v>
      </c>
      <c r="B2896" s="445" t="str">
        <f>IFERROR(__xludf.DUMMYFUNCTION("""COMPUTED_VALUE"""),"https://drive.google.com/file/d/1LPPcCkJMWMgAog-5XWwMTP5x4S9LFsG4/view?usp=drivesdk")</f>
        <v>https://drive.google.com/file/d/1LPPcCkJMWMgAog-5XWwMTP5x4S9LFsG4/view?usp=drivesdk</v>
      </c>
      <c r="C2896" s="339" t="str">
        <f>IFERROR(__xludf.DUMMYFUNCTION("""COMPUTED_VALUE"""),"10.1037--a0036079..pdf")</f>
        <v>10.1037--a0036079..pdf</v>
      </c>
      <c r="D2896" s="159" t="str">
        <f>IFERROR(__xludf.DUMMYFUNCTION("""COMPUTED_VALUE"""),"application/pdf")</f>
        <v>application/pdf</v>
      </c>
    </row>
    <row r="2897">
      <c r="A2897" s="339" t="str">
        <f>IFERROR(__xludf.DUMMYFUNCTION("""COMPUTED_VALUE"""),"10.1177/1745691612463078")</f>
        <v>10.1177/1745691612463078</v>
      </c>
      <c r="B2897" s="445" t="str">
        <f>IFERROR(__xludf.DUMMYFUNCTION("""COMPUTED_VALUE"""),"https://drive.google.com/file/d/1SA7ZP2ow52I8kFKx4p2nJ0nUspPn6as_/view?usp=drivesdk")</f>
        <v>https://drive.google.com/file/d/1SA7ZP2ow52I8kFKx4p2nJ0nUspPn6as_/view?usp=drivesdk</v>
      </c>
      <c r="C2897" s="339" t="str">
        <f>IFERROR(__xludf.DUMMYFUNCTION("""COMPUTED_VALUE"""),"10.1177--1745691612463078.pdf")</f>
        <v>10.1177--1745691612463078.pdf</v>
      </c>
      <c r="D2897" s="159" t="str">
        <f>IFERROR(__xludf.DUMMYFUNCTION("""COMPUTED_VALUE"""),"application/pdf")</f>
        <v>application/pdf</v>
      </c>
    </row>
    <row r="2898">
      <c r="A2898" s="339" t="str">
        <f>IFERROR(__xludf.DUMMYFUNCTION("""COMPUTED_VALUE"""),"10.1037/a0015329")</f>
        <v>10.1037/a0015329</v>
      </c>
      <c r="B2898" s="445" t="str">
        <f>IFERROR(__xludf.DUMMYFUNCTION("""COMPUTED_VALUE"""),"https://drive.google.com/file/d/1WeBvmsASCT0Q2UPyJgrKX-SIIa5DtOUQ/view?usp=drivesdk")</f>
        <v>https://drive.google.com/file/d/1WeBvmsASCT0Q2UPyJgrKX-SIIa5DtOUQ/view?usp=drivesdk</v>
      </c>
      <c r="C2898" s="339" t="str">
        <f>IFERROR(__xludf.DUMMYFUNCTION("""COMPUTED_VALUE"""),"10.1037--a0015329.pdf")</f>
        <v>10.1037--a0015329.pdf</v>
      </c>
      <c r="D2898" s="159" t="str">
        <f>IFERROR(__xludf.DUMMYFUNCTION("""COMPUTED_VALUE"""),"application/pdf")</f>
        <v>application/pdf</v>
      </c>
    </row>
    <row r="2899">
      <c r="A2899" s="339" t="str">
        <f>IFERROR(__xludf.DUMMYFUNCTION("""COMPUTED_VALUE"""),"10.1371/journal.pone.0147770")</f>
        <v>10.1371/journal.pone.0147770</v>
      </c>
      <c r="B2899" s="445" t="str">
        <f>IFERROR(__xludf.DUMMYFUNCTION("""COMPUTED_VALUE"""),"https://drive.google.com/file/d/1UXS2QTqJQUfE_Pyj2Qy0nOdEsfBcSrJD/view?usp=drivesdk")</f>
        <v>https://drive.google.com/file/d/1UXS2QTqJQUfE_Pyj2Qy0nOdEsfBcSrJD/view?usp=drivesdk</v>
      </c>
      <c r="C2899" s="339" t="str">
        <f>IFERROR(__xludf.DUMMYFUNCTION("""COMPUTED_VALUE"""),"10.1371--journal.pone.0147770.pdf")</f>
        <v>10.1371--journal.pone.0147770.pdf</v>
      </c>
      <c r="D2899" s="159" t="str">
        <f>IFERROR(__xludf.DUMMYFUNCTION("""COMPUTED_VALUE"""),"application/pdf")</f>
        <v>application/pdf</v>
      </c>
    </row>
    <row r="2900">
      <c r="A2900" s="339" t="str">
        <f>IFERROR(__xludf.DUMMYFUNCTION("""COMPUTED_VALUE"""),"10.1186/2050-7283-1-22")</f>
        <v>10.1186/2050-7283-1-22</v>
      </c>
      <c r="B2900" s="445" t="str">
        <f>IFERROR(__xludf.DUMMYFUNCTION("""COMPUTED_VALUE"""),"https://drive.google.com/file/d/177P2xO1D22ODvu0Zcz9Ls-wtsZM0ck_y/view?usp=drivesdk")</f>
        <v>https://drive.google.com/file/d/177P2xO1D22ODvu0Zcz9Ls-wtsZM0ck_y/view?usp=drivesdk</v>
      </c>
      <c r="C2900" s="339" t="str">
        <f>IFERROR(__xludf.DUMMYFUNCTION("""COMPUTED_VALUE"""),"10.1186--2050-7283-1-22.pdf")</f>
        <v>10.1186--2050-7283-1-22.pdf</v>
      </c>
      <c r="D2900" s="159" t="str">
        <f>IFERROR(__xludf.DUMMYFUNCTION("""COMPUTED_VALUE"""),"application/pdf")</f>
        <v>application/pdf</v>
      </c>
    </row>
    <row r="2901">
      <c r="A2901" s="339" t="str">
        <f>IFERROR(__xludf.DUMMYFUNCTION("""COMPUTED_VALUE"""),"10.1037/a0024587")</f>
        <v>10.1037/a0024587</v>
      </c>
      <c r="B2901" s="445" t="str">
        <f>IFERROR(__xludf.DUMMYFUNCTION("""COMPUTED_VALUE"""),"https://drive.google.com/file/d/1GYDJkUHLj_0GiFfIztass97sMyACxxL_/view?usp=drivesdk")</f>
        <v>https://drive.google.com/file/d/1GYDJkUHLj_0GiFfIztass97sMyACxxL_/view?usp=drivesdk</v>
      </c>
      <c r="C2901" s="339" t="str">
        <f>IFERROR(__xludf.DUMMYFUNCTION("""COMPUTED_VALUE"""),"10.1037--a0024587.pdf")</f>
        <v>10.1037--a0024587.pdf</v>
      </c>
      <c r="D2901" s="159" t="str">
        <f>IFERROR(__xludf.DUMMYFUNCTION("""COMPUTED_VALUE"""),"application/pdf")</f>
        <v>application/pdf</v>
      </c>
    </row>
    <row r="2902">
      <c r="A2902" s="339" t="str">
        <f>IFERROR(__xludf.DUMMYFUNCTION("""COMPUTED_VALUE"""),"10.1177/1474704916673841")</f>
        <v>10.1177/1474704916673841</v>
      </c>
      <c r="B2902" s="445" t="str">
        <f>IFERROR(__xludf.DUMMYFUNCTION("""COMPUTED_VALUE"""),"https://drive.google.com/file/d/1su7Vb49cFI1HG8-kYcPPfFRtLhMmz3nx/view?usp=drivesdk")</f>
        <v>https://drive.google.com/file/d/1su7Vb49cFI1HG8-kYcPPfFRtLhMmz3nx/view?usp=drivesdk</v>
      </c>
      <c r="C2902" s="339" t="str">
        <f>IFERROR(__xludf.DUMMYFUNCTION("""COMPUTED_VALUE"""),"10.1177--1474704916673841.pdf")</f>
        <v>10.1177--1474704916673841.pdf</v>
      </c>
      <c r="D2902" s="159" t="str">
        <f>IFERROR(__xludf.DUMMYFUNCTION("""COMPUTED_VALUE"""),"application/pdf")</f>
        <v>application/pdf</v>
      </c>
    </row>
    <row r="2903">
      <c r="A2903" s="339" t="str">
        <f>IFERROR(__xludf.DUMMYFUNCTION("""COMPUTED_VALUE"""),"10.1126/science.aac4716")</f>
        <v>10.1126/science.aac4716</v>
      </c>
      <c r="B2903" s="445" t="str">
        <f>IFERROR(__xludf.DUMMYFUNCTION("""COMPUTED_VALUE"""),"https://drive.google.com/file/d/1UMAh9VGta6ExS2-Lb6GkDF4fmnI2EMeM/view?usp=drivesdk")</f>
        <v>https://drive.google.com/file/d/1UMAh9VGta6ExS2-Lb6GkDF4fmnI2EMeM/view?usp=drivesdk</v>
      </c>
      <c r="C2903" s="339" t="str">
        <f>IFERROR(__xludf.DUMMYFUNCTION("""COMPUTED_VALUE"""),"10.1126--science.aac4716.pdf")</f>
        <v>10.1126--science.aac4716.pdf</v>
      </c>
      <c r="D2903" s="159" t="str">
        <f>IFERROR(__xludf.DUMMYFUNCTION("""COMPUTED_VALUE"""),"application/pdf")</f>
        <v>application/pdf</v>
      </c>
    </row>
    <row r="2904">
      <c r="A2904" s="339" t="str">
        <f>IFERROR(__xludf.DUMMYFUNCTION("""COMPUTED_VALUE"""),"10.1016/j.appet.2013.12.020")</f>
        <v>10.1016/j.appet.2013.12.020</v>
      </c>
      <c r="B2904" s="445" t="str">
        <f>IFERROR(__xludf.DUMMYFUNCTION("""COMPUTED_VALUE"""),"https://drive.google.com/file/d/1c8fXNnhmY13vK0FI3aMB_LAx3-JbSZd7/view?usp=drivesdk")</f>
        <v>https://drive.google.com/file/d/1c8fXNnhmY13vK0FI3aMB_LAx3-JbSZd7/view?usp=drivesdk</v>
      </c>
      <c r="C2904" s="339" t="str">
        <f>IFERROR(__xludf.DUMMYFUNCTION("""COMPUTED_VALUE"""),"10.1016--j.appet.2013.12.020.pdf")</f>
        <v>10.1016--j.appet.2013.12.020.pdf</v>
      </c>
      <c r="D2904" s="159" t="str">
        <f>IFERROR(__xludf.DUMMYFUNCTION("""COMPUTED_VALUE"""),"application/pdf")</f>
        <v>application/pdf</v>
      </c>
    </row>
    <row r="2905">
      <c r="A2905" s="339" t="str">
        <f>IFERROR(__xludf.DUMMYFUNCTION("""COMPUTED_VALUE"""),"10.1037/a0019486")</f>
        <v>10.1037/a0019486</v>
      </c>
      <c r="B2905" s="445" t="str">
        <f>IFERROR(__xludf.DUMMYFUNCTION("""COMPUTED_VALUE"""),"https://drive.google.com/file/d/12SWYH_3yaJdBAJKrKFzEeTvzXOf_RPCI/view?usp=drivesdk")</f>
        <v>https://drive.google.com/file/d/12SWYH_3yaJdBAJKrKFzEeTvzXOf_RPCI/view?usp=drivesdk</v>
      </c>
      <c r="C2905" s="339" t="str">
        <f>IFERROR(__xludf.DUMMYFUNCTION("""COMPUTED_VALUE"""),"10.1037--a0019486.pdf")</f>
        <v>10.1037--a0019486.pdf</v>
      </c>
      <c r="D2905" s="159" t="str">
        <f>IFERROR(__xludf.DUMMYFUNCTION("""COMPUTED_VALUE"""),"application/pdf")</f>
        <v>application/pdf</v>
      </c>
    </row>
    <row r="2906">
      <c r="A2906" s="339" t="str">
        <f>IFERROR(__xludf.DUMMYFUNCTION("""COMPUTED_VALUE"""),"10.1016/j.jesp.2012.10.014")</f>
        <v>10.1016/j.jesp.2012.10.014</v>
      </c>
      <c r="B2906" s="445" t="str">
        <f>IFERROR(__xludf.DUMMYFUNCTION("""COMPUTED_VALUE"""),"https://drive.google.com/file/d/1_rFVHDaWBDKF-ni6stLki1Wt7mspwAb2/view?usp=drivesdk")</f>
        <v>https://drive.google.com/file/d/1_rFVHDaWBDKF-ni6stLki1Wt7mspwAb2/view?usp=drivesdk</v>
      </c>
      <c r="C2906" s="339" t="str">
        <f>IFERROR(__xludf.DUMMYFUNCTION("""COMPUTED_VALUE"""),"10.1016--j.jesp.2012.10.014.pdf")</f>
        <v>10.1016--j.jesp.2012.10.014.pdf</v>
      </c>
      <c r="D2906" s="159" t="str">
        <f>IFERROR(__xludf.DUMMYFUNCTION("""COMPUTED_VALUE"""),"application/pdf")</f>
        <v>application/pdf</v>
      </c>
    </row>
    <row r="2907">
      <c r="A2907" s="339" t="str">
        <f>IFERROR(__xludf.DUMMYFUNCTION("""COMPUTED_VALUE"""),"10.1002/(sici)1099-0771(199912)12:4&lt;275::aid-bdm323&gt;3.0.co;2-m")</f>
        <v>10.1002/(sici)1099-0771(199912)12:4&lt;275::aid-bdm323&gt;3.0.co;2-m</v>
      </c>
      <c r="B2907" s="445" t="str">
        <f>IFERROR(__xludf.DUMMYFUNCTION("""COMPUTED_VALUE"""),"https://drive.google.com/file/d/1W8pBtYP2f9U_-uIX5gCuIjH_0yXV7kTV/view?usp=drivesdk")</f>
        <v>https://drive.google.com/file/d/1W8pBtYP2f9U_-uIX5gCuIjH_0yXV7kTV/view?usp=drivesdk</v>
      </c>
      <c r="C2907" s="339" t="str">
        <f>IFERROR(__xludf.DUMMYFUNCTION("""COMPUTED_VALUE"""),"10.1002--(SICI)1099-0771(199912)12:4&lt;275::AID-BDM323&gt;3.0.CO;2-M.pdf")</f>
        <v>10.1002--(SICI)1099-0771(199912)12:4&lt;275::AID-BDM323&gt;3.0.CO;2-M.pdf</v>
      </c>
      <c r="D2907" s="159" t="str">
        <f>IFERROR(__xludf.DUMMYFUNCTION("""COMPUTED_VALUE"""),"application/pdf")</f>
        <v>application/pdf</v>
      </c>
    </row>
    <row r="2908">
      <c r="A2908" s="339" t="str">
        <f>IFERROR(__xludf.DUMMYFUNCTION("""COMPUTED_VALUE"""),"10.1177/1368430204046108")</f>
        <v>10.1177/1368430204046108</v>
      </c>
      <c r="B2908" s="445" t="str">
        <f>IFERROR(__xludf.DUMMYFUNCTION("""COMPUTED_VALUE"""),"https://drive.google.com/file/d/1x5dReumzPkBHOlVCvRV6PIR2YzCKFDLg/view?usp=drivesdk")</f>
        <v>https://drive.google.com/file/d/1x5dReumzPkBHOlVCvRV6PIR2YzCKFDLg/view?usp=drivesdk</v>
      </c>
      <c r="C2908" s="339" t="str">
        <f>IFERROR(__xludf.DUMMYFUNCTION("""COMPUTED_VALUE"""),"10.1177--1368430204046108.pdf")</f>
        <v>10.1177--1368430204046108.pdf</v>
      </c>
      <c r="D2908" s="159" t="str">
        <f>IFERROR(__xludf.DUMMYFUNCTION("""COMPUTED_VALUE"""),"application/pdf")</f>
        <v>application/pdf</v>
      </c>
    </row>
    <row r="2909">
      <c r="A2909" s="339" t="str">
        <f>IFERROR(__xludf.DUMMYFUNCTION("""COMPUTED_VALUE"""),"10.1177/1745691616664694")</f>
        <v>10.1177/1745691616664694</v>
      </c>
      <c r="B2909" s="445" t="str">
        <f>IFERROR(__xludf.DUMMYFUNCTION("""COMPUTED_VALUE"""),"https://drive.google.com/file/d/1sdcg8NT60W6Q1CUK8HlHIK6x_dR0WhCC/view?usp=drivesdk")</f>
        <v>https://drive.google.com/file/d/1sdcg8NT60W6Q1CUK8HlHIK6x_dR0WhCC/view?usp=drivesdk</v>
      </c>
      <c r="C2909" s="339" t="str">
        <f>IFERROR(__xludf.DUMMYFUNCTION("""COMPUTED_VALUE"""),"10.1177--1745691616664694.pdf")</f>
        <v>10.1177--1745691616664694.pdf</v>
      </c>
      <c r="D2909" s="159" t="str">
        <f>IFERROR(__xludf.DUMMYFUNCTION("""COMPUTED_VALUE"""),"application/pdf")</f>
        <v>application/pdf</v>
      </c>
    </row>
    <row r="2910">
      <c r="A2910" s="339" t="str">
        <f>IFERROR(__xludf.DUMMYFUNCTION("""COMPUTED_VALUE"""),"10.1371/journal.pone.0072467")</f>
        <v>10.1371/journal.pone.0072467</v>
      </c>
      <c r="B2910" s="445" t="str">
        <f>IFERROR(__xludf.DUMMYFUNCTION("""COMPUTED_VALUE"""),"https://drive.google.com/file/d/1NxE1Ga7BUZXY3Xjkehb6oetRcD7yCVFb/view?usp=drivesdk")</f>
        <v>https://drive.google.com/file/d/1NxE1Ga7BUZXY3Xjkehb6oetRcD7yCVFb/view?usp=drivesdk</v>
      </c>
      <c r="C2910" s="339" t="str">
        <f>IFERROR(__xludf.DUMMYFUNCTION("""COMPUTED_VALUE"""),"10.1371--journal.pone.0072467.pdf")</f>
        <v>10.1371--journal.pone.0072467.pdf</v>
      </c>
      <c r="D2910" s="159" t="str">
        <f>IFERROR(__xludf.DUMMYFUNCTION("""COMPUTED_VALUE"""),"application/pdf")</f>
        <v>application/pdf</v>
      </c>
    </row>
    <row r="2911">
      <c r="A2911" s="339" t="str">
        <f>IFERROR(__xludf.DUMMYFUNCTION("""COMPUTED_VALUE"""),"10.1177/1745691618755704")</f>
        <v>10.1177/1745691618755704</v>
      </c>
      <c r="B2911" s="445" t="str">
        <f>IFERROR(__xludf.DUMMYFUNCTION("""COMPUTED_VALUE"""),"https://drive.google.com/file/d/1C2Jup6rdXsZPGLRA0Q5G0yMD3cEEnxWq/view?usp=drivesdk")</f>
        <v>https://drive.google.com/file/d/1C2Jup6rdXsZPGLRA0Q5G0yMD3cEEnxWq/view?usp=drivesdk</v>
      </c>
      <c r="C2911" s="339" t="str">
        <f>IFERROR(__xludf.DUMMYFUNCTION("""COMPUTED_VALUE"""),"10.1177--1745691618755704.pdf")</f>
        <v>10.1177--1745691618755704.pdf</v>
      </c>
      <c r="D2911" s="159" t="str">
        <f>IFERROR(__xludf.DUMMYFUNCTION("""COMPUTED_VALUE"""),"application/pdf")</f>
        <v>application/pdf</v>
      </c>
    </row>
    <row r="2912">
      <c r="A2912" s="339" t="str">
        <f>IFERROR(__xludf.DUMMYFUNCTION("""COMPUTED_VALUE"""),"10.1371/journal.pone.0029081")</f>
        <v>10.1371/journal.pone.0029081</v>
      </c>
      <c r="B2912" s="445" t="str">
        <f>IFERROR(__xludf.DUMMYFUNCTION("""COMPUTED_VALUE"""),"https://drive.google.com/file/d/13yA5wer3pEP6DzO7ZMN-jDmSL2aYTKUo/view?usp=drivesdk")</f>
        <v>https://drive.google.com/file/d/13yA5wer3pEP6DzO7ZMN-jDmSL2aYTKUo/view?usp=drivesdk</v>
      </c>
      <c r="C2912" s="339" t="str">
        <f>IFERROR(__xludf.DUMMYFUNCTION("""COMPUTED_VALUE"""),"10.1371--journal.pone.0029081.pdf")</f>
        <v>10.1371--journal.pone.0029081.pdf</v>
      </c>
      <c r="D2912" s="159" t="str">
        <f>IFERROR(__xludf.DUMMYFUNCTION("""COMPUTED_VALUE"""),"application/pdf")</f>
        <v>application/pdf</v>
      </c>
    </row>
    <row r="2913">
      <c r="A2913" s="339" t="str">
        <f>IFERROR(__xludf.DUMMYFUNCTION("""COMPUTED_VALUE"""),"10.1037/0022-3514.83.2.406")</f>
        <v>10.1037/0022-3514.83.2.406</v>
      </c>
      <c r="B2913" s="445" t="str">
        <f>IFERROR(__xludf.DUMMYFUNCTION("""COMPUTED_VALUE"""),"https://drive.google.com/file/d/1OuxVCUkVnVBw7IH1mtlkV9HYUNX7kOe5/view?usp=drivesdk")</f>
        <v>https://drive.google.com/file/d/1OuxVCUkVnVBw7IH1mtlkV9HYUNX7kOe5/view?usp=drivesdk</v>
      </c>
      <c r="C2913" s="339" t="str">
        <f>IFERROR(__xludf.DUMMYFUNCTION("""COMPUTED_VALUE"""),"10.1037--0022-3514.83.2.406.pdf")</f>
        <v>10.1037--0022-3514.83.2.406.pdf</v>
      </c>
      <c r="D2913" s="159" t="str">
        <f>IFERROR(__xludf.DUMMYFUNCTION("""COMPUTED_VALUE"""),"application/pdf")</f>
        <v>application/pdf</v>
      </c>
    </row>
    <row r="2914">
      <c r="A2914" s="339" t="str">
        <f>IFERROR(__xludf.DUMMYFUNCTION("""COMPUTED_VALUE"""),"10.1177/1088868309352321")</f>
        <v>10.1177/1088868309352321</v>
      </c>
      <c r="B2914" s="445" t="str">
        <f>IFERROR(__xludf.DUMMYFUNCTION("""COMPUTED_VALUE"""),"https://drive.google.com/file/d/14-ZL5A4czmJoVm6VnVZoXDjPvxpu_fIM/view?usp=drivesdk")</f>
        <v>https://drive.google.com/file/d/14-ZL5A4czmJoVm6VnVZoXDjPvxpu_fIM/view?usp=drivesdk</v>
      </c>
      <c r="C2914" s="339" t="str">
        <f>IFERROR(__xludf.DUMMYFUNCTION("""COMPUTED_VALUE"""),"10.1177--1088868309352321.pdf")</f>
        <v>10.1177--1088868309352321.pdf</v>
      </c>
      <c r="D2914" s="159" t="str">
        <f>IFERROR(__xludf.DUMMYFUNCTION("""COMPUTED_VALUE"""),"application/pdf")</f>
        <v>application/pdf</v>
      </c>
    </row>
    <row r="2915">
      <c r="A2915" s="339" t="str">
        <f>IFERROR(__xludf.DUMMYFUNCTION("""COMPUTED_VALUE"""),"10.1177/2515245918777487")</f>
        <v>10.1177/2515245918777487</v>
      </c>
      <c r="B2915" s="445" t="str">
        <f>IFERROR(__xludf.DUMMYFUNCTION("""COMPUTED_VALUE"""),"https://drive.google.com/file/d/1-Y0tXk4wvWq7Lp_s5SZ5Mf957-oNEeur/view?usp=drivesdk")</f>
        <v>https://drive.google.com/file/d/1-Y0tXk4wvWq7Lp_s5SZ5Mf957-oNEeur/view?usp=drivesdk</v>
      </c>
      <c r="C2915" s="339" t="str">
        <f>IFERROR(__xludf.DUMMYFUNCTION("""COMPUTED_VALUE"""),"10.1177--2515245918777487.pdf")</f>
        <v>10.1177--2515245918777487.pdf</v>
      </c>
      <c r="D2915" s="159" t="str">
        <f>IFERROR(__xludf.DUMMYFUNCTION("""COMPUTED_VALUE"""),"application/pdf")</f>
        <v>application/pdf</v>
      </c>
    </row>
    <row r="2916">
      <c r="A2916" s="339" t="str">
        <f>IFERROR(__xludf.DUMMYFUNCTION("""COMPUTED_VALUE"""),"10.1016/j.jad.2021.07.052")</f>
        <v>10.1016/j.jad.2021.07.052</v>
      </c>
      <c r="B2916" s="445" t="str">
        <f>IFERROR(__xludf.DUMMYFUNCTION("""COMPUTED_VALUE"""),"https://drive.google.com/file/d/13Nio-8dO7qZ49R3mjE9DmfkECTBbx1fU/view?usp=drivesdk")</f>
        <v>https://drive.google.com/file/d/13Nio-8dO7qZ49R3mjE9DmfkECTBbx1fU/view?usp=drivesdk</v>
      </c>
      <c r="C2916" s="339" t="str">
        <f>IFERROR(__xludf.DUMMYFUNCTION("""COMPUTED_VALUE"""),"10.1016--j.jad.2021.07.052.pdf")</f>
        <v>10.1016--j.jad.2021.07.052.pdf</v>
      </c>
      <c r="D2916" s="159" t="str">
        <f>IFERROR(__xludf.DUMMYFUNCTION("""COMPUTED_VALUE"""),"application/pdf")</f>
        <v>application/pdf</v>
      </c>
    </row>
    <row r="2917">
      <c r="A2917" s="339" t="str">
        <f>IFERROR(__xludf.DUMMYFUNCTION("""COMPUTED_VALUE"""),"10.1080/13576500802362869")</f>
        <v>10.1080/13576500802362869</v>
      </c>
      <c r="B2917" s="445" t="str">
        <f>IFERROR(__xludf.DUMMYFUNCTION("""COMPUTED_VALUE"""),"https://drive.google.com/file/d/1RIdyQYV9nsqx6EZiSwAZ6zO42GlvWP1u/view?usp=drivesdk")</f>
        <v>https://drive.google.com/file/d/1RIdyQYV9nsqx6EZiSwAZ6zO42GlvWP1u/view?usp=drivesdk</v>
      </c>
      <c r="C2917" s="339" t="str">
        <f>IFERROR(__xludf.DUMMYFUNCTION("""COMPUTED_VALUE"""),"10.1080--13576500802362869.pdf")</f>
        <v>10.1080--13576500802362869.pdf</v>
      </c>
      <c r="D2917" s="159" t="str">
        <f>IFERROR(__xludf.DUMMYFUNCTION("""COMPUTED_VALUE"""),"application/pdf")</f>
        <v>application/pdf</v>
      </c>
    </row>
    <row r="2918">
      <c r="A2918" s="339" t="str">
        <f>IFERROR(__xludf.DUMMYFUNCTION("""COMPUTED_VALUE"""),"10.1016/s0278-2626(01)80048-8")</f>
        <v>10.1016/s0278-2626(01)80048-8</v>
      </c>
      <c r="B2918" s="445" t="str">
        <f>IFERROR(__xludf.DUMMYFUNCTION("""COMPUTED_VALUE"""),"https://drive.google.com/file/d/1hlAefOA0L_mUhbFAEpVR-i1xbXqI-EKV/view?usp=drivesdk")</f>
        <v>https://drive.google.com/file/d/1hlAefOA0L_mUhbFAEpVR-i1xbXqI-EKV/view?usp=drivesdk</v>
      </c>
      <c r="C2918" s="339" t="str">
        <f>IFERROR(__xludf.DUMMYFUNCTION("""COMPUTED_VALUE"""),"10.1016--S0278-2626(01)80048-8.pdf")</f>
        <v>10.1016--S0278-2626(01)80048-8.pdf</v>
      </c>
      <c r="D2918" s="159" t="str">
        <f>IFERROR(__xludf.DUMMYFUNCTION("""COMPUTED_VALUE"""),"application/pdf")</f>
        <v>application/pdf</v>
      </c>
    </row>
    <row r="2919">
      <c r="A2919" s="339" t="str">
        <f>IFERROR(__xludf.DUMMYFUNCTION("""COMPUTED_VALUE"""),"10.1177/0956797618774253")</f>
        <v>10.1177/0956797618774253</v>
      </c>
      <c r="B2919" s="445" t="str">
        <f>IFERROR(__xludf.DUMMYFUNCTION("""COMPUTED_VALUE"""),"https://drive.google.com/file/d/1pEYSpiW7cwndWEcUtM2w1XP85JNmvB9Y/view?usp=drivesdk")</f>
        <v>https://drive.google.com/file/d/1pEYSpiW7cwndWEcUtM2w1XP85JNmvB9Y/view?usp=drivesdk</v>
      </c>
      <c r="C2919" s="339" t="str">
        <f>IFERROR(__xludf.DUMMYFUNCTION("""COMPUTED_VALUE"""),"10.1177--0956797618774253.pdf")</f>
        <v>10.1177--0956797618774253.pdf</v>
      </c>
      <c r="D2919" s="159" t="str">
        <f>IFERROR(__xludf.DUMMYFUNCTION("""COMPUTED_VALUE"""),"application/pdf")</f>
        <v>application/pdf</v>
      </c>
    </row>
    <row r="2920">
      <c r="A2920" s="339" t="str">
        <f>IFERROR(__xludf.DUMMYFUNCTION("""COMPUTED_VALUE"""),"10.1016/j.jesp.2021.104222")</f>
        <v>10.1016/j.jesp.2021.104222</v>
      </c>
      <c r="B2920" s="445" t="str">
        <f>IFERROR(__xludf.DUMMYFUNCTION("""COMPUTED_VALUE"""),"https://drive.google.com/file/d/1sJy0VbAO2JUZeEyRrrbhw8VkO2cWWHfk/view?usp=drivesdk")</f>
        <v>https://drive.google.com/file/d/1sJy0VbAO2JUZeEyRrrbhw8VkO2cWWHfk/view?usp=drivesdk</v>
      </c>
      <c r="C2920" s="339" t="str">
        <f>IFERROR(__xludf.DUMMYFUNCTION("""COMPUTED_VALUE"""),"10.1016--j.jesp.2021.104222.pdf")</f>
        <v>10.1016--j.jesp.2021.104222.pdf</v>
      </c>
      <c r="D2920" s="159" t="str">
        <f>IFERROR(__xludf.DUMMYFUNCTION("""COMPUTED_VALUE"""),"application/pdf")</f>
        <v>application/pdf</v>
      </c>
    </row>
    <row r="2921">
      <c r="A2921" s="339" t="str">
        <f>IFERROR(__xludf.DUMMYFUNCTION("""COMPUTED_VALUE"""),"10.1007/s10936-011-9169-z")</f>
        <v>10.1007/s10936-011-9169-z</v>
      </c>
      <c r="B2921" s="445" t="str">
        <f>IFERROR(__xludf.DUMMYFUNCTION("""COMPUTED_VALUE"""),"https://drive.google.com/file/d/1eZUHCweVxeMdVb4zYCf9_w4tvePwSTns/view?usp=drivesdk")</f>
        <v>https://drive.google.com/file/d/1eZUHCweVxeMdVb4zYCf9_w4tvePwSTns/view?usp=drivesdk</v>
      </c>
      <c r="C2921" s="339" t="str">
        <f>IFERROR(__xludf.DUMMYFUNCTION("""COMPUTED_VALUE"""),"10.1007--s10936-011-9169-z.pdf")</f>
        <v>10.1007--s10936-011-9169-z.pdf</v>
      </c>
      <c r="D2921" s="159" t="str">
        <f>IFERROR(__xludf.DUMMYFUNCTION("""COMPUTED_VALUE"""),"application/pdf")</f>
        <v>application/pdf</v>
      </c>
    </row>
    <row r="2922">
      <c r="A2922" s="339" t="str">
        <f>IFERROR(__xludf.DUMMYFUNCTION("""COMPUTED_VALUE"""),"10.1177/0956797620904154")</f>
        <v>10.1177/0956797620904154</v>
      </c>
      <c r="B2922" s="445" t="str">
        <f>IFERROR(__xludf.DUMMYFUNCTION("""COMPUTED_VALUE"""),"https://drive.google.com/file/d/1NKb0rKO1p03jltWPge7_eMofoR99zCY4/view?usp=drivesdk")</f>
        <v>https://drive.google.com/file/d/1NKb0rKO1p03jltWPge7_eMofoR99zCY4/view?usp=drivesdk</v>
      </c>
      <c r="C2922" s="339" t="str">
        <f>IFERROR(__xludf.DUMMYFUNCTION("""COMPUTED_VALUE"""),"10.1177--0956797620904154.pdf")</f>
        <v>10.1177--0956797620904154.pdf</v>
      </c>
      <c r="D2922" s="159" t="str">
        <f>IFERROR(__xludf.DUMMYFUNCTION("""COMPUTED_VALUE"""),"application/pdf")</f>
        <v>application/pdf</v>
      </c>
    </row>
    <row r="2923">
      <c r="A2923" s="339" t="str">
        <f>IFERROR(__xludf.DUMMYFUNCTION("""COMPUTED_VALUE"""),"10.1016/j.jml.2003.09.004")</f>
        <v>10.1016/j.jml.2003.09.004</v>
      </c>
      <c r="B2923" s="445" t="str">
        <f>IFERROR(__xludf.DUMMYFUNCTION("""COMPUTED_VALUE"""),"https://drive.google.com/file/d/1_mASUuJkGSmG2GgCCSiVIjrljmT37fKD/view?usp=drivesdk")</f>
        <v>https://drive.google.com/file/d/1_mASUuJkGSmG2GgCCSiVIjrljmT37fKD/view?usp=drivesdk</v>
      </c>
      <c r="C2923" s="339" t="str">
        <f>IFERROR(__xludf.DUMMYFUNCTION("""COMPUTED_VALUE"""),"10.1016--j.jml.2003.09.004.pdf")</f>
        <v>10.1016--j.jml.2003.09.004.pdf</v>
      </c>
      <c r="D2923" s="159" t="str">
        <f>IFERROR(__xludf.DUMMYFUNCTION("""COMPUTED_VALUE"""),"application/pdf")</f>
        <v>application/pdf</v>
      </c>
    </row>
    <row r="2924">
      <c r="A2924" s="339" t="str">
        <f>IFERROR(__xludf.DUMMYFUNCTION("""COMPUTED_VALUE"""),"10.1037/a0033090")</f>
        <v>10.1037/a0033090</v>
      </c>
      <c r="B2924" s="445" t="str">
        <f>IFERROR(__xludf.DUMMYFUNCTION("""COMPUTED_VALUE"""),"https://drive.google.com/file/d/1tYqyeoNprzV_qtrZGEB-4reEpABdkPw3/view?usp=drivesdk")</f>
        <v>https://drive.google.com/file/d/1tYqyeoNprzV_qtrZGEB-4reEpABdkPw3/view?usp=drivesdk</v>
      </c>
      <c r="C2924" s="339" t="str">
        <f>IFERROR(__xludf.DUMMYFUNCTION("""COMPUTED_VALUE"""),"10.1037--a0033090.pdf")</f>
        <v>10.1037--a0033090.pdf</v>
      </c>
      <c r="D2924" s="159" t="str">
        <f>IFERROR(__xludf.DUMMYFUNCTION("""COMPUTED_VALUE"""),"application/pdf")</f>
        <v>application/pdf</v>
      </c>
    </row>
    <row r="2925">
      <c r="A2925" s="339" t="str">
        <f>IFERROR(__xludf.DUMMYFUNCTION("""COMPUTED_VALUE"""),"10.1016/j.actpsy.2003.11.002")</f>
        <v>10.1016/j.actpsy.2003.11.002</v>
      </c>
      <c r="B2925" s="445" t="str">
        <f>IFERROR(__xludf.DUMMYFUNCTION("""COMPUTED_VALUE"""),"https://drive.google.com/file/d/1N3Kdpl81yca1EtoDyekVJjSEXoEPFlfj/view?usp=drivesdk")</f>
        <v>https://drive.google.com/file/d/1N3Kdpl81yca1EtoDyekVJjSEXoEPFlfj/view?usp=drivesdk</v>
      </c>
      <c r="C2925" s="339" t="str">
        <f>IFERROR(__xludf.DUMMYFUNCTION("""COMPUTED_VALUE"""),"10.1016--j.actpsy.2003.11.002.pdf")</f>
        <v>10.1016--j.actpsy.2003.11.002.pdf</v>
      </c>
      <c r="D2925" s="159" t="str">
        <f>IFERROR(__xludf.DUMMYFUNCTION("""COMPUTED_VALUE"""),"application/pdf")</f>
        <v>application/pdf</v>
      </c>
    </row>
    <row r="2926">
      <c r="A2926" s="339" t="str">
        <f>IFERROR(__xludf.DUMMYFUNCTION("""COMPUTED_VALUE"""),"10.1080/23743603.2020.1756239")</f>
        <v>10.1080/23743603.2020.1756239</v>
      </c>
      <c r="B2926" s="445" t="str">
        <f>IFERROR(__xludf.DUMMYFUNCTION("""COMPUTED_VALUE"""),"https://drive.google.com/file/d/1Y9TjJAW8ZKfogaBp1kGoi63qt-8wZ3_p/view?usp=drivesdk")</f>
        <v>https://drive.google.com/file/d/1Y9TjJAW8ZKfogaBp1kGoi63qt-8wZ3_p/view?usp=drivesdk</v>
      </c>
      <c r="C2926" s="339" t="str">
        <f>IFERROR(__xludf.DUMMYFUNCTION("""COMPUTED_VALUE"""),"10.1080--23743603.2020.1756239.pdf")</f>
        <v>10.1080--23743603.2020.1756239.pdf</v>
      </c>
      <c r="D2926" s="159" t="str">
        <f>IFERROR(__xludf.DUMMYFUNCTION("""COMPUTED_VALUE"""),"application/pdf")</f>
        <v>application/pdf</v>
      </c>
    </row>
    <row r="2927">
      <c r="A2927" s="339" t="str">
        <f>IFERROR(__xludf.DUMMYFUNCTION("""COMPUTED_VALUE"""),"10.1007/s10902-012-9342-6")</f>
        <v>10.1007/s10902-012-9342-6</v>
      </c>
      <c r="B2927" s="445" t="str">
        <f>IFERROR(__xludf.DUMMYFUNCTION("""COMPUTED_VALUE"""),"https://drive.google.com/file/d/1O-k-Z5CgdBCl2iip47xIs6T7RVcmAbcf/view?usp=drivesdk")</f>
        <v>https://drive.google.com/file/d/1O-k-Z5CgdBCl2iip47xIs6T7RVcmAbcf/view?usp=drivesdk</v>
      </c>
      <c r="C2927" s="339" t="str">
        <f>IFERROR(__xludf.DUMMYFUNCTION("""COMPUTED_VALUE"""),"10.1007--s10902-012-9342-6.pdf")</f>
        <v>10.1007--s10902-012-9342-6.pdf</v>
      </c>
      <c r="D2927" s="159" t="str">
        <f>IFERROR(__xludf.DUMMYFUNCTION("""COMPUTED_VALUE"""),"application/pdf")</f>
        <v>application/pdf</v>
      </c>
    </row>
    <row r="2928">
      <c r="A2928" s="339" t="str">
        <f>IFERROR(__xludf.DUMMYFUNCTION("""COMPUTED_VALUE"""),"10.1016/j.paid.2015.11.011")</f>
        <v>10.1016/j.paid.2015.11.011</v>
      </c>
      <c r="B2928" s="445" t="str">
        <f>IFERROR(__xludf.DUMMYFUNCTION("""COMPUTED_VALUE"""),"https://drive.google.com/file/d/1_a617egHPNmdr95a_vU1ME_nNXbxT2YN/view?usp=drivesdk")</f>
        <v>https://drive.google.com/file/d/1_a617egHPNmdr95a_vU1ME_nNXbxT2YN/view?usp=drivesdk</v>
      </c>
      <c r="C2928" s="339" t="str">
        <f>IFERROR(__xludf.DUMMYFUNCTION("""COMPUTED_VALUE"""),"10.1016--j.paid.2015.11.011.pdf")</f>
        <v>10.1016--j.paid.2015.11.011.pdf</v>
      </c>
      <c r="D2928" s="159" t="str">
        <f>IFERROR(__xludf.DUMMYFUNCTION("""COMPUTED_VALUE"""),"application/pdf")</f>
        <v>application/pdf</v>
      </c>
    </row>
    <row r="2929">
      <c r="A2929" s="339" t="str">
        <f>IFERROR(__xludf.DUMMYFUNCTION("""COMPUTED_VALUE"""),"10.1016/j.jtbi.2007.11.004")</f>
        <v>10.1016/j.jtbi.2007.11.004</v>
      </c>
      <c r="B2929" s="445" t="str">
        <f>IFERROR(__xludf.DUMMYFUNCTION("""COMPUTED_VALUE"""),"https://drive.google.com/file/d/1XcuAMCb4SJKIgmPLDvhXazapejs_aDdJ/view?usp=drivesdk")</f>
        <v>https://drive.google.com/file/d/1XcuAMCb4SJKIgmPLDvhXazapejs_aDdJ/view?usp=drivesdk</v>
      </c>
      <c r="C2929" s="339" t="str">
        <f>IFERROR(__xludf.DUMMYFUNCTION("""COMPUTED_VALUE"""),"10.1016--j.jtbi.2007.11.004.pdf")</f>
        <v>10.1016--j.jtbi.2007.11.004.pdf</v>
      </c>
      <c r="D2929" s="159" t="str">
        <f>IFERROR(__xludf.DUMMYFUNCTION("""COMPUTED_VALUE"""),"application/pdf")</f>
        <v>application/pdf</v>
      </c>
    </row>
    <row r="2930">
      <c r="A2930" s="339" t="str">
        <f>IFERROR(__xludf.DUMMYFUNCTION("""COMPUTED_VALUE"""),"10.1037/arc0000007")</f>
        <v>10.1037/arc0000007</v>
      </c>
      <c r="B2930" s="445" t="str">
        <f>IFERROR(__xludf.DUMMYFUNCTION("""COMPUTED_VALUE"""),"https://drive.google.com/file/d/1gyeq5B_qi3Jnlf4Z_IsX5vLD1Nya92z0/view?usp=drivesdk")</f>
        <v>https://drive.google.com/file/d/1gyeq5B_qi3Jnlf4Z_IsX5vLD1Nya92z0/view?usp=drivesdk</v>
      </c>
      <c r="C2930" s="339" t="str">
        <f>IFERROR(__xludf.DUMMYFUNCTION("""COMPUTED_VALUE"""),"10.1037--arc0000007.pdf")</f>
        <v>10.1037--arc0000007.pdf</v>
      </c>
      <c r="D2930" s="159" t="str">
        <f>IFERROR(__xludf.DUMMYFUNCTION("""COMPUTED_VALUE"""),"application/pdf")</f>
        <v>application/pdf</v>
      </c>
    </row>
    <row r="2931">
      <c r="A2931" s="339" t="str">
        <f>IFERROR(__xludf.DUMMYFUNCTION("""COMPUTED_VALUE"""),"10.1016/j.jesp.2015.08.005")</f>
        <v>10.1016/j.jesp.2015.08.005</v>
      </c>
      <c r="B2931" s="445" t="str">
        <f>IFERROR(__xludf.DUMMYFUNCTION("""COMPUTED_VALUE"""),"https://drive.google.com/file/d/1-xurSGJuM3s6RBApJqwPJeMlgGlC3K_D/view?usp=drivesdk")</f>
        <v>https://drive.google.com/file/d/1-xurSGJuM3s6RBApJqwPJeMlgGlC3K_D/view?usp=drivesdk</v>
      </c>
      <c r="C2931" s="339" t="str">
        <f>IFERROR(__xludf.DUMMYFUNCTION("""COMPUTED_VALUE"""),"10.1016--j.jesp.2015.08.005.pdf")</f>
        <v>10.1016--j.jesp.2015.08.005.pdf</v>
      </c>
      <c r="D2931" s="159" t="str">
        <f>IFERROR(__xludf.DUMMYFUNCTION("""COMPUTED_VALUE"""),"application/pdf")</f>
        <v>application/pdf</v>
      </c>
    </row>
    <row r="2932">
      <c r="A2932" s="339" t="str">
        <f>IFERROR(__xludf.DUMMYFUNCTION("""COMPUTED_VALUE"""),"10.1016/j.jesp.2014.04.014.")</f>
        <v>10.1016/j.jesp.2014.04.014.</v>
      </c>
      <c r="B2932" s="445" t="str">
        <f>IFERROR(__xludf.DUMMYFUNCTION("""COMPUTED_VALUE"""),"https://drive.google.com/file/d/1AXc9ELjFb-hXVUWMzlJZYPXvvlEhIDm6/view?usp=drivesdk")</f>
        <v>https://drive.google.com/file/d/1AXc9ELjFb-hXVUWMzlJZYPXvvlEhIDm6/view?usp=drivesdk</v>
      </c>
      <c r="C2932" s="339" t="str">
        <f>IFERROR(__xludf.DUMMYFUNCTION("""COMPUTED_VALUE"""),"10.1016--j.jesp.2014.04.014..pdf")</f>
        <v>10.1016--j.jesp.2014.04.014..pdf</v>
      </c>
      <c r="D2932" s="159" t="str">
        <f>IFERROR(__xludf.DUMMYFUNCTION("""COMPUTED_VALUE"""),"application/pdf")</f>
        <v>application/pdf</v>
      </c>
    </row>
    <row r="2933">
      <c r="A2933" s="339" t="str">
        <f>IFERROR(__xludf.DUMMYFUNCTION("""COMPUTED_VALUE"""),"10.1016/j.jesp.2020.104066")</f>
        <v>10.1016/j.jesp.2020.104066</v>
      </c>
      <c r="B2933" s="445" t="str">
        <f>IFERROR(__xludf.DUMMYFUNCTION("""COMPUTED_VALUE"""),"https://drive.google.com/file/d/1Q7xa-u3DEssueb6fBYD39BjDPub6xcHR/view?usp=drivesdk")</f>
        <v>https://drive.google.com/file/d/1Q7xa-u3DEssueb6fBYD39BjDPub6xcHR/view?usp=drivesdk</v>
      </c>
      <c r="C2933" s="339" t="str">
        <f>IFERROR(__xludf.DUMMYFUNCTION("""COMPUTED_VALUE"""),"10.1016--j.jesp.2020.104066.pdf")</f>
        <v>10.1016--j.jesp.2020.104066.pdf</v>
      </c>
      <c r="D2933" s="159" t="str">
        <f>IFERROR(__xludf.DUMMYFUNCTION("""COMPUTED_VALUE"""),"application/pdf")</f>
        <v>application/pdf</v>
      </c>
    </row>
    <row r="2934">
      <c r="A2934" s="339" t="str">
        <f>IFERROR(__xludf.DUMMYFUNCTION("""COMPUTED_VALUE"""),"10.1016/j.jesp.2013.05.011")</f>
        <v>10.1016/j.jesp.2013.05.011</v>
      </c>
      <c r="B2934" s="445" t="str">
        <f>IFERROR(__xludf.DUMMYFUNCTION("""COMPUTED_VALUE"""),"https://drive.google.com/file/d/1JdFF8pu65hv5yMW8kuJKZT-omhqW3568/view?usp=drivesdk")</f>
        <v>https://drive.google.com/file/d/1JdFF8pu65hv5yMW8kuJKZT-omhqW3568/view?usp=drivesdk</v>
      </c>
      <c r="C2934" s="339" t="str">
        <f>IFERROR(__xludf.DUMMYFUNCTION("""COMPUTED_VALUE"""),"10.1016--j.jesp.2013.05.011.pdf")</f>
        <v>10.1016--j.jesp.2013.05.011.pdf</v>
      </c>
      <c r="D2934" s="159" t="str">
        <f>IFERROR(__xludf.DUMMYFUNCTION("""COMPUTED_VALUE"""),"application/pdf")</f>
        <v>application/pdf</v>
      </c>
    </row>
    <row r="2935">
      <c r="A2935" s="339" t="str">
        <f>IFERROR(__xludf.DUMMYFUNCTION("""COMPUTED_VALUE"""),"10.1007/s10071-014-0772-x")</f>
        <v>10.1007/s10071-014-0772-x</v>
      </c>
      <c r="B2935" s="445" t="str">
        <f>IFERROR(__xludf.DUMMYFUNCTION("""COMPUTED_VALUE"""),"https://drive.google.com/file/d/1aj8B0Xo2PNkknIhUbiwxlXmmWvp7ECaH/view?usp=drivesdk")</f>
        <v>https://drive.google.com/file/d/1aj8B0Xo2PNkknIhUbiwxlXmmWvp7ECaH/view?usp=drivesdk</v>
      </c>
      <c r="C2935" s="339" t="str">
        <f>IFERROR(__xludf.DUMMYFUNCTION("""COMPUTED_VALUE"""),"10.1007--s10071-014-0772-x.pdf")</f>
        <v>10.1007--s10071-014-0772-x.pdf</v>
      </c>
      <c r="D2935" s="159" t="str">
        <f>IFERROR(__xludf.DUMMYFUNCTION("""COMPUTED_VALUE"""),"application/pdf")</f>
        <v>application/pdf</v>
      </c>
    </row>
    <row r="2936">
      <c r="A2936" s="339" t="str">
        <f>IFERROR(__xludf.DUMMYFUNCTION("""COMPUTED_VALUE"""),"10.1007/s00213-019-05314-z")</f>
        <v>10.1007/s00213-019-05314-z</v>
      </c>
      <c r="B2936" s="445" t="str">
        <f>IFERROR(__xludf.DUMMYFUNCTION("""COMPUTED_VALUE"""),"https://drive.google.com/file/d/1gdDOOMTIigM-6Ed3enxRZxDW_ycizIYq/view?usp=drivesdk")</f>
        <v>https://drive.google.com/file/d/1gdDOOMTIigM-6Ed3enxRZxDW_ycizIYq/view?usp=drivesdk</v>
      </c>
      <c r="C2936" s="339" t="str">
        <f>IFERROR(__xludf.DUMMYFUNCTION("""COMPUTED_VALUE"""),"10.1007--s00213-019-05314-z.pdf")</f>
        <v>10.1007--s00213-019-05314-z.pdf</v>
      </c>
      <c r="D2936" s="159" t="str">
        <f>IFERROR(__xludf.DUMMYFUNCTION("""COMPUTED_VALUE"""),"application/pdf")</f>
        <v>application/pdf</v>
      </c>
    </row>
    <row r="2937">
      <c r="A2937" s="339" t="str">
        <f>IFERROR(__xludf.DUMMYFUNCTION("""COMPUTED_VALUE"""),"10.1371/journal.pone.0140570")</f>
        <v>10.1371/journal.pone.0140570</v>
      </c>
      <c r="B2937" s="445" t="str">
        <f>IFERROR(__xludf.DUMMYFUNCTION("""COMPUTED_VALUE"""),"https://drive.google.com/file/d/1gsOTvu8o9_agf4ZMRaXeuVc3OE2nLzap/view?usp=drivesdk")</f>
        <v>https://drive.google.com/file/d/1gsOTvu8o9_agf4ZMRaXeuVc3OE2nLzap/view?usp=drivesdk</v>
      </c>
      <c r="C2937" s="339" t="str">
        <f>IFERROR(__xludf.DUMMYFUNCTION("""COMPUTED_VALUE"""),"10.1371--journal.pone.0140570.pdf")</f>
        <v>10.1371--journal.pone.0140570.pdf</v>
      </c>
      <c r="D2937" s="159" t="str">
        <f>IFERROR(__xludf.DUMMYFUNCTION("""COMPUTED_VALUE"""),"application/pdf")</f>
        <v>application/pdf</v>
      </c>
    </row>
    <row r="2938">
      <c r="A2938" s="339" t="str">
        <f>IFERROR(__xludf.DUMMYFUNCTION("""COMPUTED_VALUE"""),"10.1023/a:1024790530822")</f>
        <v>10.1023/a:1024790530822</v>
      </c>
      <c r="B2938" s="445" t="str">
        <f>IFERROR(__xludf.DUMMYFUNCTION("""COMPUTED_VALUE"""),"https://drive.google.com/file/d/14XksUpjrQJUMaz7MdAdSkyoKt9b8ulAg/view?usp=drivesdk")</f>
        <v>https://drive.google.com/file/d/14XksUpjrQJUMaz7MdAdSkyoKt9b8ulAg/view?usp=drivesdk</v>
      </c>
      <c r="C2938" s="339" t="str">
        <f>IFERROR(__xludf.DUMMYFUNCTION("""COMPUTED_VALUE"""),"10.1023--A:1024790530822.pdf")</f>
        <v>10.1023--A:1024790530822.pdf</v>
      </c>
      <c r="D2938" s="159" t="str">
        <f>IFERROR(__xludf.DUMMYFUNCTION("""COMPUTED_VALUE"""),"application/pdf")</f>
        <v>application/pdf</v>
      </c>
    </row>
    <row r="2939">
      <c r="A2939" s="339" t="str">
        <f>IFERROR(__xludf.DUMMYFUNCTION("""COMPUTED_VALUE"""),"10.1017/s1355617702860106")</f>
        <v>10.1017/s1355617702860106</v>
      </c>
      <c r="B2939" s="445" t="str">
        <f>IFERROR(__xludf.DUMMYFUNCTION("""COMPUTED_VALUE"""),"https://drive.google.com/file/d/1IW0qjwuuON-KUlB9j-eiO4xg57xZsaBi/view?usp=drivesdk")</f>
        <v>https://drive.google.com/file/d/1IW0qjwuuON-KUlB9j-eiO4xg57xZsaBi/view?usp=drivesdk</v>
      </c>
      <c r="C2939" s="339" t="str">
        <f>IFERROR(__xludf.DUMMYFUNCTION("""COMPUTED_VALUE"""),"10.1017--S1355617702860106.pdf")</f>
        <v>10.1017--S1355617702860106.pdf</v>
      </c>
      <c r="D2939" s="159" t="str">
        <f>IFERROR(__xludf.DUMMYFUNCTION("""COMPUTED_VALUE"""),"application/pdf")</f>
        <v>application/pdf</v>
      </c>
    </row>
    <row r="2940">
      <c r="A2940" s="339" t="str">
        <f>IFERROR(__xludf.DUMMYFUNCTION("""COMPUTED_VALUE"""),"10.3758/bf03193224")</f>
        <v>10.3758/bf03193224</v>
      </c>
      <c r="B2940" s="445" t="str">
        <f>IFERROR(__xludf.DUMMYFUNCTION("""COMPUTED_VALUE"""),"https://drive.google.com/file/d/1GlDT0ELzxcEvkjSSuOTPVqUBCygnsWCw/view?usp=drivesdk")</f>
        <v>https://drive.google.com/file/d/1GlDT0ELzxcEvkjSSuOTPVqUBCygnsWCw/view?usp=drivesdk</v>
      </c>
      <c r="C2940" s="339" t="str">
        <f>IFERROR(__xludf.DUMMYFUNCTION("""COMPUTED_VALUE"""),"10.3758--BF03193224.pdf")</f>
        <v>10.3758--BF03193224.pdf</v>
      </c>
      <c r="D2940" s="159" t="str">
        <f>IFERROR(__xludf.DUMMYFUNCTION("""COMPUTED_VALUE"""),"application/pdf")</f>
        <v>application/pdf</v>
      </c>
    </row>
    <row r="2941">
      <c r="A2941" s="339" t="str">
        <f>IFERROR(__xludf.DUMMYFUNCTION("""COMPUTED_VALUE"""),"10.1207/s15324826an0701_3")</f>
        <v>10.1207/s15324826an0701_3</v>
      </c>
      <c r="B2941" s="445" t="str">
        <f>IFERROR(__xludf.DUMMYFUNCTION("""COMPUTED_VALUE"""),"https://drive.google.com/file/d/1fI9AvKCFXUbNqvCnE7F2C_aze9MnObud/view?usp=drivesdk")</f>
        <v>https://drive.google.com/file/d/1fI9AvKCFXUbNqvCnE7F2C_aze9MnObud/view?usp=drivesdk</v>
      </c>
      <c r="C2941" s="339" t="str">
        <f>IFERROR(__xludf.DUMMYFUNCTION("""COMPUTED_VALUE"""),"10.1207--S15324826AN0701_3.pdf")</f>
        <v>10.1207--S15324826AN0701_3.pdf</v>
      </c>
      <c r="D2941" s="159" t="str">
        <f>IFERROR(__xludf.DUMMYFUNCTION("""COMPUTED_VALUE"""),"application/pdf")</f>
        <v>application/pdf</v>
      </c>
    </row>
    <row r="2942">
      <c r="A2942" s="339" t="str">
        <f>IFERROR(__xludf.DUMMYFUNCTION("""COMPUTED_VALUE"""),"10.1037/0894-4105.16.4.562")</f>
        <v>10.1037/0894-4105.16.4.562</v>
      </c>
      <c r="B2942" s="445" t="str">
        <f>IFERROR(__xludf.DUMMYFUNCTION("""COMPUTED_VALUE"""),"https://drive.google.com/file/d/1nyuFXPtZ3yl4xeiu7MA9Tx40lpG1Oe7D/view?usp=drivesdk")</f>
        <v>https://drive.google.com/file/d/1nyuFXPtZ3yl4xeiu7MA9Tx40lpG1Oe7D/view?usp=drivesdk</v>
      </c>
      <c r="C2942" s="339" t="str">
        <f>IFERROR(__xludf.DUMMYFUNCTION("""COMPUTED_VALUE"""),"10.1037--0894-4105.16.4.562.pdf")</f>
        <v>10.1037--0894-4105.16.4.562.pdf</v>
      </c>
      <c r="D2942" s="159" t="str">
        <f>IFERROR(__xludf.DUMMYFUNCTION("""COMPUTED_VALUE"""),"application/pdf")</f>
        <v>application/pdf</v>
      </c>
    </row>
    <row r="2943">
      <c r="A2943" s="339" t="str">
        <f>IFERROR(__xludf.DUMMYFUNCTION("""COMPUTED_VALUE"""),"10.1177/0956797619831612")</f>
        <v>10.1177/0956797619831612</v>
      </c>
      <c r="B2943" s="445" t="str">
        <f>IFERROR(__xludf.DUMMYFUNCTION("""COMPUTED_VALUE"""),"https://drive.google.com/file/d/17mZvRs3ue7pXwqu8bmIDvgNdc95PGEcV/view?usp=drivesdk")</f>
        <v>https://drive.google.com/file/d/17mZvRs3ue7pXwqu8bmIDvgNdc95PGEcV/view?usp=drivesdk</v>
      </c>
      <c r="C2943" s="339" t="str">
        <f>IFERROR(__xludf.DUMMYFUNCTION("""COMPUTED_VALUE"""),"10.1177--0956797619831612.pdf")</f>
        <v>10.1177--0956797619831612.pdf</v>
      </c>
      <c r="D2943" s="159" t="str">
        <f>IFERROR(__xludf.DUMMYFUNCTION("""COMPUTED_VALUE"""),"application/pdf")</f>
        <v>application/pdf</v>
      </c>
    </row>
    <row r="2944">
      <c r="A2944" s="339" t="str">
        <f>IFERROR(__xludf.DUMMYFUNCTION("""COMPUTED_VALUE"""),"10.1177/1745691614545653")</f>
        <v>10.1177/1745691614545653</v>
      </c>
      <c r="B2944" s="445" t="str">
        <f>IFERROR(__xludf.DUMMYFUNCTION("""COMPUTED_VALUE"""),"https://drive.google.com/file/d/1bUdOeN6otviUN-kBvT0eGX5V_WZjjau0/view?usp=drivesdk")</f>
        <v>https://drive.google.com/file/d/1bUdOeN6otviUN-kBvT0eGX5V_WZjjau0/view?usp=drivesdk</v>
      </c>
      <c r="C2944" s="339" t="str">
        <f>IFERROR(__xludf.DUMMYFUNCTION("""COMPUTED_VALUE"""),"10.1177--1745691614545653.pdf")</f>
        <v>10.1177--1745691614545653.pdf</v>
      </c>
      <c r="D2944" s="159" t="str">
        <f>IFERROR(__xludf.DUMMYFUNCTION("""COMPUTED_VALUE"""),"application/pdf")</f>
        <v>application/pdf</v>
      </c>
    </row>
    <row r="2945">
      <c r="A2945" s="339" t="str">
        <f>IFERROR(__xludf.DUMMYFUNCTION("""COMPUTED_VALUE"""),"10.1016/j.jesp.2015.10.012")</f>
        <v>10.1016/j.jesp.2015.10.012</v>
      </c>
      <c r="B2945" s="445" t="str">
        <f>IFERROR(__xludf.DUMMYFUNCTION("""COMPUTED_VALUE"""),"https://drive.google.com/file/d/1xuc-fvipcLZQMaybgsFtBL29-3ClXZFF/view?usp=drivesdk")</f>
        <v>https://drive.google.com/file/d/1xuc-fvipcLZQMaybgsFtBL29-3ClXZFF/view?usp=drivesdk</v>
      </c>
      <c r="C2945" s="339" t="str">
        <f>IFERROR(__xludf.DUMMYFUNCTION("""COMPUTED_VALUE"""),"10.1016--j.jesp.2015.10.012.pdf")</f>
        <v>10.1016--j.jesp.2015.10.012.pdf</v>
      </c>
      <c r="D2945" s="159" t="str">
        <f>IFERROR(__xludf.DUMMYFUNCTION("""COMPUTED_VALUE"""),"application/pdf")</f>
        <v>application/pdf</v>
      </c>
    </row>
    <row r="2946">
      <c r="A2946" s="339" t="str">
        <f>IFERROR(__xludf.DUMMYFUNCTION("""COMPUTED_VALUE"""),"10.1371/journal.pone.0053827")</f>
        <v>10.1371/journal.pone.0053827</v>
      </c>
      <c r="B2946" s="445" t="str">
        <f>IFERROR(__xludf.DUMMYFUNCTION("""COMPUTED_VALUE"""),"https://drive.google.com/file/d/1SW8YbHdY9LZLPUYEaeltGXqctWN3G72a/view?usp=drivesdk")</f>
        <v>https://drive.google.com/file/d/1SW8YbHdY9LZLPUYEaeltGXqctWN3G72a/view?usp=drivesdk</v>
      </c>
      <c r="C2946" s="339" t="str">
        <f>IFERROR(__xludf.DUMMYFUNCTION("""COMPUTED_VALUE"""),"10.1371--journal.pone.0053827.pdf")</f>
        <v>10.1371--journal.pone.0053827.pdf</v>
      </c>
      <c r="D2946" s="159" t="str">
        <f>IFERROR(__xludf.DUMMYFUNCTION("""COMPUTED_VALUE"""),"application/pdf")</f>
        <v>application/pdf</v>
      </c>
    </row>
    <row r="2947">
      <c r="A2947" s="339" t="str">
        <f>IFERROR(__xludf.DUMMYFUNCTION("""COMPUTED_VALUE"""),"10.1192/bjp.178.4.344")</f>
        <v>10.1192/bjp.178.4.344</v>
      </c>
      <c r="B2947" s="445" t="str">
        <f>IFERROR(__xludf.DUMMYFUNCTION("""COMPUTED_VALUE"""),"https://drive.google.com/file/d/1oOmUlehVvRaM19jZUP5-KPUM6GoqwMcj/view?usp=drivesdk")</f>
        <v>https://drive.google.com/file/d/1oOmUlehVvRaM19jZUP5-KPUM6GoqwMcj/view?usp=drivesdk</v>
      </c>
      <c r="C2947" s="339" t="str">
        <f>IFERROR(__xludf.DUMMYFUNCTION("""COMPUTED_VALUE"""),"10.1192--bjp.178.4.344.pdf")</f>
        <v>10.1192--bjp.178.4.344.pdf</v>
      </c>
      <c r="D2947" s="159" t="str">
        <f>IFERROR(__xludf.DUMMYFUNCTION("""COMPUTED_VALUE"""),"application/pdf")</f>
        <v>application/pdf</v>
      </c>
    </row>
    <row r="2948">
      <c r="A2948" s="339" t="str">
        <f>IFERROR(__xludf.DUMMYFUNCTION("""COMPUTED_VALUE"""),"10.1186/2052-1847-5-11")</f>
        <v>10.1186/2052-1847-5-11</v>
      </c>
      <c r="B2948" s="445" t="str">
        <f>IFERROR(__xludf.DUMMYFUNCTION("""COMPUTED_VALUE"""),"https://drive.google.com/file/d/1ClvVjze3jeh0pirugXpxbUyLaBbpCVR3/view?usp=drivesdk")</f>
        <v>https://drive.google.com/file/d/1ClvVjze3jeh0pirugXpxbUyLaBbpCVR3/view?usp=drivesdk</v>
      </c>
      <c r="C2948" s="339" t="str">
        <f>IFERROR(__xludf.DUMMYFUNCTION("""COMPUTED_VALUE"""),"10.1186--2052-1847-5-11.pdf")</f>
        <v>10.1186--2052-1847-5-11.pdf</v>
      </c>
      <c r="D2948" s="159" t="str">
        <f>IFERROR(__xludf.DUMMYFUNCTION("""COMPUTED_VALUE"""),"application/pdf")</f>
        <v>application/pdf</v>
      </c>
    </row>
    <row r="2949">
      <c r="A2949" s="339" t="str">
        <f>IFERROR(__xludf.DUMMYFUNCTION("""COMPUTED_VALUE"""),"10.1097/npt.0000000000000065")</f>
        <v>10.1097/npt.0000000000000065</v>
      </c>
      <c r="B2949" s="445" t="str">
        <f>IFERROR(__xludf.DUMMYFUNCTION("""COMPUTED_VALUE"""),"https://drive.google.com/file/d/1XWxdKOQYQMtFuvL7EsEQn7RuH4ypMVP0/view?usp=drivesdk")</f>
        <v>https://drive.google.com/file/d/1XWxdKOQYQMtFuvL7EsEQn7RuH4ypMVP0/view?usp=drivesdk</v>
      </c>
      <c r="C2949" s="339" t="str">
        <f>IFERROR(__xludf.DUMMYFUNCTION("""COMPUTED_VALUE"""),"10.1097--NPT.0000000000000065.pdf")</f>
        <v>10.1097--NPT.0000000000000065.pdf</v>
      </c>
      <c r="D2949" s="159" t="str">
        <f>IFERROR(__xludf.DUMMYFUNCTION("""COMPUTED_VALUE"""),"application/pdf")</f>
        <v>application/pdf</v>
      </c>
    </row>
    <row r="2950">
      <c r="A2950" s="339" t="str">
        <f>IFERROR(__xludf.DUMMYFUNCTION("""COMPUTED_VALUE"""),"10.1007/s13164-018-0400-9")</f>
        <v>10.1007/s13164-018-0400-9</v>
      </c>
      <c r="B2950" s="445" t="str">
        <f>IFERROR(__xludf.DUMMYFUNCTION("""COMPUTED_VALUE"""),"https://drive.google.com/file/d/1hjI3aqifdfXjWhQAlvKCKKtvjuncAn5M/view?usp=drivesdk")</f>
        <v>https://drive.google.com/file/d/1hjI3aqifdfXjWhQAlvKCKKtvjuncAn5M/view?usp=drivesdk</v>
      </c>
      <c r="C2950" s="339" t="str">
        <f>IFERROR(__xludf.DUMMYFUNCTION("""COMPUTED_VALUE"""),"10.1007--s13164-018-0400-9.pdf")</f>
        <v>10.1007--s13164-018-0400-9.pdf</v>
      </c>
      <c r="D2950" s="159" t="str">
        <f>IFERROR(__xludf.DUMMYFUNCTION("""COMPUTED_VALUE"""),"application/pdf")</f>
        <v>application/pdf</v>
      </c>
    </row>
    <row r="2951">
      <c r="A2951" s="339" t="str">
        <f>IFERROR(__xludf.DUMMYFUNCTION("""COMPUTED_VALUE"""),"10.1371/journal.pone.0067000")</f>
        <v>10.1371/journal.pone.0067000</v>
      </c>
      <c r="B2951" s="445" t="str">
        <f>IFERROR(__xludf.DUMMYFUNCTION("""COMPUTED_VALUE"""),"https://drive.google.com/file/d/1UJeeNtcoE5K0xHfMfq_HMptmh6jzKexE/view?usp=drivesdk")</f>
        <v>https://drive.google.com/file/d/1UJeeNtcoE5K0xHfMfq_HMptmh6jzKexE/view?usp=drivesdk</v>
      </c>
      <c r="C2951" s="339" t="str">
        <f>IFERROR(__xludf.DUMMYFUNCTION("""COMPUTED_VALUE"""),"10.1371--journal.pone.0067000.pdf")</f>
        <v>10.1371--journal.pone.0067000.pdf</v>
      </c>
      <c r="D2951" s="159" t="str">
        <f>IFERROR(__xludf.DUMMYFUNCTION("""COMPUTED_VALUE"""),"application/pdf")</f>
        <v>application/pdf</v>
      </c>
    </row>
    <row r="2952">
      <c r="A2952" s="339" t="str">
        <f>IFERROR(__xludf.DUMMYFUNCTION("""COMPUTED_VALUE"""),"10.1037/a0031412")</f>
        <v>10.1037/a0031412</v>
      </c>
      <c r="B2952" s="445" t="str">
        <f>IFERROR(__xludf.DUMMYFUNCTION("""COMPUTED_VALUE"""),"https://drive.google.com/file/d/1FSya0JU7NICgjPEONeTDvBXhzmz9u2rJ/view?usp=drivesdk")</f>
        <v>https://drive.google.com/file/d/1FSya0JU7NICgjPEONeTDvBXhzmz9u2rJ/view?usp=drivesdk</v>
      </c>
      <c r="C2952" s="339" t="str">
        <f>IFERROR(__xludf.DUMMYFUNCTION("""COMPUTED_VALUE"""),"10.1037--a0031412.pdf")</f>
        <v>10.1037--a0031412.pdf</v>
      </c>
      <c r="D2952" s="159" t="str">
        <f>IFERROR(__xludf.DUMMYFUNCTION("""COMPUTED_VALUE"""),"application/pdf")</f>
        <v>application/pdf</v>
      </c>
    </row>
    <row r="2953">
      <c r="A2953" s="339" t="str">
        <f>IFERROR(__xludf.DUMMYFUNCTION("""COMPUTED_VALUE"""),"10.1080/23743603.2018.1559647")</f>
        <v>10.1080/23743603.2018.1559647</v>
      </c>
      <c r="B2953" s="445" t="str">
        <f>IFERROR(__xludf.DUMMYFUNCTION("""COMPUTED_VALUE"""),"https://drive.google.com/file/d/10cUPWzTrCYTVc1-DC9yUAuuAoC88IrXM/view?usp=drivesdk")</f>
        <v>https://drive.google.com/file/d/10cUPWzTrCYTVc1-DC9yUAuuAoC88IrXM/view?usp=drivesdk</v>
      </c>
      <c r="C2953" s="339" t="str">
        <f>IFERROR(__xludf.DUMMYFUNCTION("""COMPUTED_VALUE"""),"10.1080--23743603.2018.1559647.pdf")</f>
        <v>10.1080--23743603.2018.1559647.pdf</v>
      </c>
      <c r="D2953" s="159" t="str">
        <f>IFERROR(__xludf.DUMMYFUNCTION("""COMPUTED_VALUE"""),"application/pdf")</f>
        <v>application/pdf</v>
      </c>
    </row>
    <row r="2954">
      <c r="A2954" s="339" t="str">
        <f>IFERROR(__xludf.DUMMYFUNCTION("""COMPUTED_VALUE"""),"10.1016/j.jsp.2014.10.002")</f>
        <v>10.1016/j.jsp.2014.10.002</v>
      </c>
      <c r="B2954" s="445" t="str">
        <f>IFERROR(__xludf.DUMMYFUNCTION("""COMPUTED_VALUE"""),"https://drive.google.com/file/d/16IM1TCo-RpeTMo2h0xGj8HEklUBvQyVO/view?usp=drivesdk")</f>
        <v>https://drive.google.com/file/d/16IM1TCo-RpeTMo2h0xGj8HEklUBvQyVO/view?usp=drivesdk</v>
      </c>
      <c r="C2954" s="339" t="str">
        <f>IFERROR(__xludf.DUMMYFUNCTION("""COMPUTED_VALUE"""),"10.1016--j.jsp.2014.10.002.pdf")</f>
        <v>10.1016--j.jsp.2014.10.002.pdf</v>
      </c>
      <c r="D2954" s="159" t="str">
        <f>IFERROR(__xludf.DUMMYFUNCTION("""COMPUTED_VALUE"""),"application/pdf")</f>
        <v>application/pdf</v>
      </c>
    </row>
    <row r="2955">
      <c r="A2955" s="339" t="str">
        <f>IFERROR(__xludf.DUMMYFUNCTION("""COMPUTED_VALUE"""),"10.1037/a0026617")</f>
        <v>10.1037/a0026617</v>
      </c>
      <c r="B2955" s="445" t="str">
        <f>IFERROR(__xludf.DUMMYFUNCTION("""COMPUTED_VALUE"""),"https://drive.google.com/file/d/1RGF4nHfyd4Xw2vvzyfXfINcrZH6ZBDNt/view?usp=drivesdk")</f>
        <v>https://drive.google.com/file/d/1RGF4nHfyd4Xw2vvzyfXfINcrZH6ZBDNt/view?usp=drivesdk</v>
      </c>
      <c r="C2955" s="339" t="str">
        <f>IFERROR(__xludf.DUMMYFUNCTION("""COMPUTED_VALUE"""),"10.1037--a0026617.pdf")</f>
        <v>10.1037--a0026617.pdf</v>
      </c>
      <c r="D2955" s="159" t="str">
        <f>IFERROR(__xludf.DUMMYFUNCTION("""COMPUTED_VALUE"""),"application/pdf")</f>
        <v>application/pdf</v>
      </c>
    </row>
    <row r="2956">
      <c r="A2956" s="339" t="str">
        <f>IFERROR(__xludf.DUMMYFUNCTION("""COMPUTED_VALUE"""),"10.1080/17470210903380830")</f>
        <v>10.1080/17470210903380830</v>
      </c>
      <c r="B2956" s="445" t="str">
        <f>IFERROR(__xludf.DUMMYFUNCTION("""COMPUTED_VALUE"""),"https://drive.google.com/file/d/13sVesCYGhtMJC02MFdowUs5znyM1Rpjm/view?usp=drivesdk")</f>
        <v>https://drive.google.com/file/d/13sVesCYGhtMJC02MFdowUs5znyM1Rpjm/view?usp=drivesdk</v>
      </c>
      <c r="C2956" s="339" t="str">
        <f>IFERROR(__xludf.DUMMYFUNCTION("""COMPUTED_VALUE"""),"10.1080--17470210903380830.pdf")</f>
        <v>10.1080--17470210903380830.pdf</v>
      </c>
      <c r="D2956" s="159" t="str">
        <f>IFERROR(__xludf.DUMMYFUNCTION("""COMPUTED_VALUE"""),"application/pdf")</f>
        <v>application/pdf</v>
      </c>
    </row>
    <row r="2957">
      <c r="A2957" s="339" t="str">
        <f>IFERROR(__xludf.DUMMYFUNCTION("""COMPUTED_VALUE"""),"10.1126/science.198.4312.75")</f>
        <v>10.1126/science.198.4312.75</v>
      </c>
      <c r="B2957" s="445" t="str">
        <f>IFERROR(__xludf.DUMMYFUNCTION("""COMPUTED_VALUE"""),"https://drive.google.com/file/d/136J03Q_tpmziraTV-EDTDJeDVz5VTXQO/view?usp=drivesdk")</f>
        <v>https://drive.google.com/file/d/136J03Q_tpmziraTV-EDTDJeDVz5VTXQO/view?usp=drivesdk</v>
      </c>
      <c r="C2957" s="339" t="str">
        <f>IFERROR(__xludf.DUMMYFUNCTION("""COMPUTED_VALUE"""),"10.1126--science.198.4312.75.pdf")</f>
        <v>10.1126--science.198.4312.75.pdf</v>
      </c>
      <c r="D2957" s="159" t="str">
        <f>IFERROR(__xludf.DUMMYFUNCTION("""COMPUTED_VALUE"""),"application/pdf")</f>
        <v>application/pdf</v>
      </c>
    </row>
    <row r="2958">
      <c r="A2958" s="339" t="str">
        <f>IFERROR(__xludf.DUMMYFUNCTION("""COMPUTED_VALUE"""),"10.3758/pbr.15.1.70")</f>
        <v>10.3758/pbr.15.1.70</v>
      </c>
      <c r="B2958" s="445" t="str">
        <f>IFERROR(__xludf.DUMMYFUNCTION("""COMPUTED_VALUE"""),"https://drive.google.com/file/d/1kVMhKSS5Wgzpq87XRYWG7AQGAB8MDFtr/view?usp=drivesdk")</f>
        <v>https://drive.google.com/file/d/1kVMhKSS5Wgzpq87XRYWG7AQGAB8MDFtr/view?usp=drivesdk</v>
      </c>
      <c r="C2958" s="339" t="str">
        <f>IFERROR(__xludf.DUMMYFUNCTION("""COMPUTED_VALUE"""),"10.3758--PBR.15.1.70.pdf")</f>
        <v>10.3758--PBR.15.1.70.pdf</v>
      </c>
      <c r="D2958" s="159" t="str">
        <f>IFERROR(__xludf.DUMMYFUNCTION("""COMPUTED_VALUE"""),"application/pdf")</f>
        <v>application/pdf</v>
      </c>
    </row>
    <row r="2959">
      <c r="A2959" s="339" t="str">
        <f>IFERROR(__xludf.DUMMYFUNCTION("""COMPUTED_VALUE"""),"10.2466/pr0.1966.19.1.115")</f>
        <v>10.2466/pr0.1966.19.1.115</v>
      </c>
      <c r="B2959" s="445" t="str">
        <f>IFERROR(__xludf.DUMMYFUNCTION("""COMPUTED_VALUE"""),"https://drive.google.com/file/d/1Je8H1JlAsEozkTzxRNGwP-qfN9yYkb-V/view?usp=drivesdk")</f>
        <v>https://drive.google.com/file/d/1Je8H1JlAsEozkTzxRNGwP-qfN9yYkb-V/view?usp=drivesdk</v>
      </c>
      <c r="C2959" s="339" t="str">
        <f>IFERROR(__xludf.DUMMYFUNCTION("""COMPUTED_VALUE"""),"10.2466--pr0.1966.19.1.115.pdf")</f>
        <v>10.2466--pr0.1966.19.1.115.pdf</v>
      </c>
      <c r="D2959" s="159" t="str">
        <f>IFERROR(__xludf.DUMMYFUNCTION("""COMPUTED_VALUE"""),"application/pdf")</f>
        <v>application/pdf</v>
      </c>
    </row>
    <row r="2960">
      <c r="A2960" s="339" t="str">
        <f>IFERROR(__xludf.DUMMYFUNCTION("""COMPUTED_VALUE"""),"10.1523/jneurosci.5864-10.2011")</f>
        <v>10.1523/jneurosci.5864-10.2011</v>
      </c>
      <c r="B2960" s="445" t="str">
        <f>IFERROR(__xludf.DUMMYFUNCTION("""COMPUTED_VALUE"""),"https://drive.google.com/file/d/151uG_JsRHEeT8ijTsmwLHuA1kOWhIBXJ/view?usp=drivesdk")</f>
        <v>https://drive.google.com/file/d/151uG_JsRHEeT8ijTsmwLHuA1kOWhIBXJ/view?usp=drivesdk</v>
      </c>
      <c r="C2960" s="339" t="str">
        <f>IFERROR(__xludf.DUMMYFUNCTION("""COMPUTED_VALUE"""),"10.1523--JNEUROSCI.5864-10.2011.pdf")</f>
        <v>10.1523--JNEUROSCI.5864-10.2011.pdf</v>
      </c>
      <c r="D2960" s="159" t="str">
        <f>IFERROR(__xludf.DUMMYFUNCTION("""COMPUTED_VALUE"""),"application/pdf")</f>
        <v>application/pdf</v>
      </c>
    </row>
    <row r="2961">
      <c r="A2961" s="339" t="str">
        <f>IFERROR(__xludf.DUMMYFUNCTION("""COMPUTED_VALUE"""),"10.1207/s15327965pli0604_1")</f>
        <v>10.1207/s15327965pli0604_1</v>
      </c>
      <c r="B2961" s="445" t="str">
        <f>IFERROR(__xludf.DUMMYFUNCTION("""COMPUTED_VALUE"""),"https://drive.google.com/file/d/1T0finp-fLieAKLfLKKpQcVjKvVkUOmid/view?usp=drivesdk")</f>
        <v>https://drive.google.com/file/d/1T0finp-fLieAKLfLKKpQcVjKvVkUOmid/view?usp=drivesdk</v>
      </c>
      <c r="C2961" s="339" t="str">
        <f>IFERROR(__xludf.DUMMYFUNCTION("""COMPUTED_VALUE"""),"10.1207--s15327965pli0604_1.pdf")</f>
        <v>10.1207--s15327965pli0604_1.pdf</v>
      </c>
      <c r="D2961" s="159" t="str">
        <f>IFERROR(__xludf.DUMMYFUNCTION("""COMPUTED_VALUE"""),"application/pdf")</f>
        <v>application/pdf</v>
      </c>
    </row>
    <row r="2962">
      <c r="A2962" s="339" t="str">
        <f>IFERROR(__xludf.DUMMYFUNCTION("""COMPUTED_VALUE"""),"10.1177/2167702617723376")</f>
        <v>10.1177/2167702617723376</v>
      </c>
      <c r="B2962" s="445" t="str">
        <f>IFERROR(__xludf.DUMMYFUNCTION("""COMPUTED_VALUE"""),"https://drive.google.com/file/d/1NEDv5DiVuDvFdSlKyMM6fNkxcdxMbR8R/view?usp=drivesdk")</f>
        <v>https://drive.google.com/file/d/1NEDv5DiVuDvFdSlKyMM6fNkxcdxMbR8R/view?usp=drivesdk</v>
      </c>
      <c r="C2962" s="339" t="str">
        <f>IFERROR(__xludf.DUMMYFUNCTION("""COMPUTED_VALUE"""),"10.1177--2167702617723376.pdf")</f>
        <v>10.1177--2167702617723376.pdf</v>
      </c>
      <c r="D2962" s="159" t="str">
        <f>IFERROR(__xludf.DUMMYFUNCTION("""COMPUTED_VALUE"""),"application/pdf")</f>
        <v>application/pdf</v>
      </c>
    </row>
    <row r="2963">
      <c r="A2963" s="339" t="str">
        <f>IFERROR(__xludf.DUMMYFUNCTION("""COMPUTED_VALUE"""),"10.1177/2167696812466548")</f>
        <v>10.1177/2167696812466548</v>
      </c>
      <c r="B2963" s="445" t="str">
        <f>IFERROR(__xludf.DUMMYFUNCTION("""COMPUTED_VALUE"""),"https://drive.google.com/file/d/1Q0Sk01j5joMct9DIvSVMZHeqrGAM99wa/view?usp=drivesdk")</f>
        <v>https://drive.google.com/file/d/1Q0Sk01j5joMct9DIvSVMZHeqrGAM99wa/view?usp=drivesdk</v>
      </c>
      <c r="C2963" s="339" t="str">
        <f>IFERROR(__xludf.DUMMYFUNCTION("""COMPUTED_VALUE"""),"10.1177--2167696812466548.pdf")</f>
        <v>10.1177--2167696812466548.pdf</v>
      </c>
      <c r="D2963" s="159" t="str">
        <f>IFERROR(__xludf.DUMMYFUNCTION("""COMPUTED_VALUE"""),"application/pdf")</f>
        <v>application/pdf</v>
      </c>
    </row>
    <row r="2964">
      <c r="A2964" s="339" t="str">
        <f>IFERROR(__xludf.DUMMYFUNCTION("""COMPUTED_VALUE"""),"10.1177/1368430207081533")</f>
        <v>10.1177/1368430207081533</v>
      </c>
      <c r="B2964" s="445" t="str">
        <f>IFERROR(__xludf.DUMMYFUNCTION("""COMPUTED_VALUE"""),"https://drive.google.com/file/d/1ex2b0drlj-55MtfmUfDq7yBbLLjSesxF/view?usp=drivesdk")</f>
        <v>https://drive.google.com/file/d/1ex2b0drlj-55MtfmUfDq7yBbLLjSesxF/view?usp=drivesdk</v>
      </c>
      <c r="C2964" s="339" t="str">
        <f>IFERROR(__xludf.DUMMYFUNCTION("""COMPUTED_VALUE"""),"10.1177--1368430207081533.pdf")</f>
        <v>10.1177--1368430207081533.pdf</v>
      </c>
      <c r="D2964" s="159" t="str">
        <f>IFERROR(__xludf.DUMMYFUNCTION("""COMPUTED_VALUE"""),"application/pdf")</f>
        <v>application/pdf</v>
      </c>
    </row>
    <row r="2965">
      <c r="A2965" s="339" t="str">
        <f>IFERROR(__xludf.DUMMYFUNCTION("""COMPUTED_VALUE"""),"10.1287/mnsc.1110.1328")</f>
        <v>10.1287/mnsc.1110.1328</v>
      </c>
      <c r="B2965" s="445" t="str">
        <f>IFERROR(__xludf.DUMMYFUNCTION("""COMPUTED_VALUE"""),"https://drive.google.com/file/d/1DsscXTH-yRBwPVKxy3s7M6YtXCPoBPFC/view?usp=drivesdk")</f>
        <v>https://drive.google.com/file/d/1DsscXTH-yRBwPVKxy3s7M6YtXCPoBPFC/view?usp=drivesdk</v>
      </c>
      <c r="C2965" s="339" t="str">
        <f>IFERROR(__xludf.DUMMYFUNCTION("""COMPUTED_VALUE"""),"10.1287--mnsc.1110.1328.pdf")</f>
        <v>10.1287--mnsc.1110.1328.pdf</v>
      </c>
      <c r="D2965" s="159" t="str">
        <f>IFERROR(__xludf.DUMMYFUNCTION("""COMPUTED_VALUE"""),"application/pdf")</f>
        <v>application/pdf</v>
      </c>
    </row>
    <row r="2966">
      <c r="A2966" s="339" t="str">
        <f>IFERROR(__xludf.DUMMYFUNCTION("""COMPUTED_VALUE"""),"10.1257/mac.20130176")</f>
        <v>10.1257/mac.20130176</v>
      </c>
      <c r="B2966" s="445" t="str">
        <f>IFERROR(__xludf.DUMMYFUNCTION("""COMPUTED_VALUE"""),"https://drive.google.com/file/d/1UuuzoS4yQn13IfYEyBMumYOQfdcrosni/view?usp=drivesdk")</f>
        <v>https://drive.google.com/file/d/1UuuzoS4yQn13IfYEyBMumYOQfdcrosni/view?usp=drivesdk</v>
      </c>
      <c r="C2966" s="339" t="str">
        <f>IFERROR(__xludf.DUMMYFUNCTION("""COMPUTED_VALUE"""),"10.1257--mac.20130176.pdf")</f>
        <v>10.1257--mac.20130176.pdf</v>
      </c>
      <c r="D2966" s="159" t="str">
        <f>IFERROR(__xludf.DUMMYFUNCTION("""COMPUTED_VALUE"""),"application/pdf")</f>
        <v>application/pdf</v>
      </c>
    </row>
    <row r="2967">
      <c r="A2967" s="339" t="str">
        <f>IFERROR(__xludf.DUMMYFUNCTION("""COMPUTED_VALUE"""),"10.1257/aer.102.2.720")</f>
        <v>10.1257/aer.102.2.720</v>
      </c>
      <c r="B2967" s="445" t="str">
        <f>IFERROR(__xludf.DUMMYFUNCTION("""COMPUTED_VALUE"""),"https://drive.google.com/file/d/1CGw2aFqdeWSzTPWBi4Jhk_HVOrooYuQO/view?usp=drivesdk")</f>
        <v>https://drive.google.com/file/d/1CGw2aFqdeWSzTPWBi4Jhk_HVOrooYuQO/view?usp=drivesdk</v>
      </c>
      <c r="C2967" s="339" t="str">
        <f>IFERROR(__xludf.DUMMYFUNCTION("""COMPUTED_VALUE"""),"10.1257--aer.102.2.720.pdf")</f>
        <v>10.1257--aer.102.2.720.pdf</v>
      </c>
      <c r="D2967" s="159" t="str">
        <f>IFERROR(__xludf.DUMMYFUNCTION("""COMPUTED_VALUE"""),"application/pdf")</f>
        <v>application/pdf</v>
      </c>
    </row>
    <row r="2968">
      <c r="A2968" s="339" t="str">
        <f>IFERROR(__xludf.DUMMYFUNCTION("""COMPUTED_VALUE"""),"10.1257/aer.101.7.3109")</f>
        <v>10.1257/aer.101.7.3109</v>
      </c>
      <c r="B2968" s="445" t="str">
        <f>IFERROR(__xludf.DUMMYFUNCTION("""COMPUTED_VALUE"""),"https://drive.google.com/file/d/19J7SxgV3TKuAhMt2JaFPTLscquaGkcBh/view?usp=drivesdk")</f>
        <v>https://drive.google.com/file/d/19J7SxgV3TKuAhMt2JaFPTLscquaGkcBh/view?usp=drivesdk</v>
      </c>
      <c r="C2968" s="339" t="str">
        <f>IFERROR(__xludf.DUMMYFUNCTION("""COMPUTED_VALUE"""),"10.1257--aer.101.7.3109.pdf")</f>
        <v>10.1257--aer.101.7.3109.pdf</v>
      </c>
      <c r="D2968" s="159" t="str">
        <f>IFERROR(__xludf.DUMMYFUNCTION("""COMPUTED_VALUE"""),"application/pdf")</f>
        <v>application/pdf</v>
      </c>
    </row>
    <row r="2969">
      <c r="A2969" s="339" t="str">
        <f>IFERROR(__xludf.DUMMYFUNCTION("""COMPUTED_VALUE"""),"10.1257/aer.99.3.1053.")</f>
        <v>10.1257/aer.99.3.1053.</v>
      </c>
      <c r="B2969" s="445" t="str">
        <f>IFERROR(__xludf.DUMMYFUNCTION("""COMPUTED_VALUE"""),"https://drive.google.com/file/d/1th0_H913x7dEbLmmzeTjrSGGbUC8A42e/view?usp=drivesdk")</f>
        <v>https://drive.google.com/file/d/1th0_H913x7dEbLmmzeTjrSGGbUC8A42e/view?usp=drivesdk</v>
      </c>
      <c r="C2969" s="339" t="str">
        <f>IFERROR(__xludf.DUMMYFUNCTION("""COMPUTED_VALUE"""),"10.1257--aer.99.3.1053..pdf")</f>
        <v>10.1257--aer.99.3.1053..pdf</v>
      </c>
      <c r="D2969" s="159" t="str">
        <f>IFERROR(__xludf.DUMMYFUNCTION("""COMPUTED_VALUE"""),"application/pdf")</f>
        <v>application/pdf</v>
      </c>
    </row>
    <row r="2970">
      <c r="A2970" s="339" t="str">
        <f>IFERROR(__xludf.DUMMYFUNCTION("""COMPUTED_VALUE"""),"10.1207/s15324834basp2504_5")</f>
        <v>10.1207/s15324834basp2504_5</v>
      </c>
      <c r="B2970" s="445" t="str">
        <f>IFERROR(__xludf.DUMMYFUNCTION("""COMPUTED_VALUE"""),"https://drive.google.com/file/d/1V139ov37mLWb-5UKv49efitjO3JB718i/view?usp=drivesdk")</f>
        <v>https://drive.google.com/file/d/1V139ov37mLWb-5UKv49efitjO3JB718i/view?usp=drivesdk</v>
      </c>
      <c r="C2970" s="339" t="str">
        <f>IFERROR(__xludf.DUMMYFUNCTION("""COMPUTED_VALUE"""),"10.1207--s15324834basp2504_5.pdf")</f>
        <v>10.1207--s15324834basp2504_5.pdf</v>
      </c>
      <c r="D2970" s="159" t="str">
        <f>IFERROR(__xludf.DUMMYFUNCTION("""COMPUTED_VALUE"""),"application/pdf")</f>
        <v>application/pdf</v>
      </c>
    </row>
    <row r="2971">
      <c r="A2971" s="339" t="str">
        <f>IFERROR(__xludf.DUMMYFUNCTION("""COMPUTED_VALUE"""),"10.1207/s15516709cog2605_4")</f>
        <v>10.1207/s15516709cog2605_4</v>
      </c>
      <c r="B2971" s="445" t="str">
        <f>IFERROR(__xludf.DUMMYFUNCTION("""COMPUTED_VALUE"""),"https://drive.google.com/file/d/1FheroBSk3eQOvE0506M6iwY63EZBRzLS/view?usp=drivesdk")</f>
        <v>https://drive.google.com/file/d/1FheroBSk3eQOvE0506M6iwY63EZBRzLS/view?usp=drivesdk</v>
      </c>
      <c r="C2971" s="339" t="str">
        <f>IFERROR(__xludf.DUMMYFUNCTION("""COMPUTED_VALUE"""),"10.1207--s15516709cog2605_4.pdf")</f>
        <v>10.1207--s15516709cog2605_4.pdf</v>
      </c>
      <c r="D2971" s="159" t="str">
        <f>IFERROR(__xludf.DUMMYFUNCTION("""COMPUTED_VALUE"""),"application/pdf")</f>
        <v>application/pdf</v>
      </c>
    </row>
    <row r="2972">
      <c r="A2972" s="339" t="str">
        <f>IFERROR(__xludf.DUMMYFUNCTION("""COMPUTED_VALUE"""),"10.1177/1948550617720269")</f>
        <v>10.1177/1948550617720269</v>
      </c>
      <c r="B2972" s="445" t="str">
        <f>IFERROR(__xludf.DUMMYFUNCTION("""COMPUTED_VALUE"""),"https://drive.google.com/file/d/1a7fL1ZC2nNN1XTUlfjR6WqqGjTag798y/view?usp=drivesdk")</f>
        <v>https://drive.google.com/file/d/1a7fL1ZC2nNN1XTUlfjR6WqqGjTag798y/view?usp=drivesdk</v>
      </c>
      <c r="C2972" s="339" t="str">
        <f>IFERROR(__xludf.DUMMYFUNCTION("""COMPUTED_VALUE"""),"10.1177--1948550617720269.pdf")</f>
        <v>10.1177--1948550617720269.pdf</v>
      </c>
      <c r="D2972" s="159" t="str">
        <f>IFERROR(__xludf.DUMMYFUNCTION("""COMPUTED_VALUE"""),"application/pdf")</f>
        <v>application/pdf</v>
      </c>
    </row>
    <row r="2973">
      <c r="A2973" s="339" t="str">
        <f>IFERROR(__xludf.DUMMYFUNCTION("""COMPUTED_VALUE"""),"10.1177/1948550614555029")</f>
        <v>10.1177/1948550614555029</v>
      </c>
      <c r="B2973" s="445" t="str">
        <f>IFERROR(__xludf.DUMMYFUNCTION("""COMPUTED_VALUE"""),"https://drive.google.com/file/d/1W1dK0xmhy-qDUDWQ2DKJ9Gvb-j4yqqlf/view?usp=drivesdk")</f>
        <v>https://drive.google.com/file/d/1W1dK0xmhy-qDUDWQ2DKJ9Gvb-j4yqqlf/view?usp=drivesdk</v>
      </c>
      <c r="C2973" s="339" t="str">
        <f>IFERROR(__xludf.DUMMYFUNCTION("""COMPUTED_VALUE"""),"10.1177--1948550614555029.pdf")</f>
        <v>10.1177--1948550614555029.pdf</v>
      </c>
      <c r="D2973" s="159" t="str">
        <f>IFERROR(__xludf.DUMMYFUNCTION("""COMPUTED_VALUE"""),"application/pdf")</f>
        <v>application/pdf</v>
      </c>
    </row>
    <row r="2974">
      <c r="A2974" s="339" t="str">
        <f>IFERROR(__xludf.DUMMYFUNCTION("""COMPUTED_VALUE"""),"10.1177/1948550612457688")</f>
        <v>10.1177/1948550612457688</v>
      </c>
      <c r="B2974" s="445" t="str">
        <f>IFERROR(__xludf.DUMMYFUNCTION("""COMPUTED_VALUE"""),"https://drive.google.com/file/d/1Mvv6lSbYDT3w1CNkuj_yKZJZyGVo8_wu/view?usp=drivesdk")</f>
        <v>https://drive.google.com/file/d/1Mvv6lSbYDT3w1CNkuj_yKZJZyGVo8_wu/view?usp=drivesdk</v>
      </c>
      <c r="C2974" s="339" t="str">
        <f>IFERROR(__xludf.DUMMYFUNCTION("""COMPUTED_VALUE"""),"10.1177--1948550612457688.pdf")</f>
        <v>10.1177--1948550612457688.pdf</v>
      </c>
      <c r="D2974" s="159" t="str">
        <f>IFERROR(__xludf.DUMMYFUNCTION("""COMPUTED_VALUE"""),"application/pdf")</f>
        <v>application/pdf</v>
      </c>
    </row>
    <row r="2975">
      <c r="A2975" s="339" t="str">
        <f>IFERROR(__xludf.DUMMYFUNCTION("""COMPUTED_VALUE"""),"10.1177/1747021817744546")</f>
        <v>10.1177/1747021817744546</v>
      </c>
      <c r="B2975" s="445" t="str">
        <f>IFERROR(__xludf.DUMMYFUNCTION("""COMPUTED_VALUE"""),"https://drive.google.com/file/d/12tiBV9g0PDIUv5jLNU3H9ESLvqe3_su6/view?usp=drivesdk")</f>
        <v>https://drive.google.com/file/d/12tiBV9g0PDIUv5jLNU3H9ESLvqe3_su6/view?usp=drivesdk</v>
      </c>
      <c r="C2975" s="339" t="str">
        <f>IFERROR(__xludf.DUMMYFUNCTION("""COMPUTED_VALUE"""),"10.1177--1747021817744546.pdf")</f>
        <v>10.1177--1747021817744546.pdf</v>
      </c>
      <c r="D2975" s="159" t="str">
        <f>IFERROR(__xludf.DUMMYFUNCTION("""COMPUTED_VALUE"""),"application/pdf")</f>
        <v>application/pdf</v>
      </c>
    </row>
    <row r="2976">
      <c r="A2976" s="339" t="str">
        <f>IFERROR(__xludf.DUMMYFUNCTION("""COMPUTED_VALUE"""),"10.1177/1745691612454303")</f>
        <v>10.1177/1745691612454303</v>
      </c>
      <c r="B2976" s="445" t="str">
        <f>IFERROR(__xludf.DUMMYFUNCTION("""COMPUTED_VALUE"""),"https://drive.google.com/file/d/1r7kvTijUR6GbKZNulHgJsuNUmZB01Vqr/view?usp=drivesdk")</f>
        <v>https://drive.google.com/file/d/1r7kvTijUR6GbKZNulHgJsuNUmZB01Vqr/view?usp=drivesdk</v>
      </c>
      <c r="C2976" s="339" t="str">
        <f>IFERROR(__xludf.DUMMYFUNCTION("""COMPUTED_VALUE"""),"10.1177--1745691612454303.pdf")</f>
        <v>10.1177--1745691612454303.pdf</v>
      </c>
      <c r="D2976" s="159" t="str">
        <f>IFERROR(__xludf.DUMMYFUNCTION("""COMPUTED_VALUE"""),"application/pdf")</f>
        <v>application/pdf</v>
      </c>
    </row>
    <row r="2977">
      <c r="A2977" s="339" t="str">
        <f>IFERROR(__xludf.DUMMYFUNCTION("""COMPUTED_VALUE"""),"10.1177/15562646211020160")</f>
        <v>10.1177/15562646211020160</v>
      </c>
      <c r="B2977" s="445" t="str">
        <f>IFERROR(__xludf.DUMMYFUNCTION("""COMPUTED_VALUE"""),"https://drive.google.com/file/d/1PSXxW5sDbq6DJDPgRuB0cHCWPVCyAVyA/view?usp=drivesdk")</f>
        <v>https://drive.google.com/file/d/1PSXxW5sDbq6DJDPgRuB0cHCWPVCyAVyA/view?usp=drivesdk</v>
      </c>
      <c r="C2977" s="339" t="str">
        <f>IFERROR(__xludf.DUMMYFUNCTION("""COMPUTED_VALUE"""),"10.1177--15562646211020160.pdf")</f>
        <v>10.1177--15562646211020160.pdf</v>
      </c>
      <c r="D2977" s="159" t="str">
        <f>IFERROR(__xludf.DUMMYFUNCTION("""COMPUTED_VALUE"""),"application/pdf")</f>
        <v>application/pdf</v>
      </c>
    </row>
    <row r="2978">
      <c r="A2978" s="339" t="str">
        <f>IFERROR(__xludf.DUMMYFUNCTION("""COMPUTED_VALUE"""),"10.1177/147470491100900206")</f>
        <v>10.1177/147470491100900206</v>
      </c>
      <c r="B2978" s="445" t="str">
        <f>IFERROR(__xludf.DUMMYFUNCTION("""COMPUTED_VALUE"""),"https://drive.google.com/file/d/1VohCyZYrYeQ8wnGKTyDD2fOk8y16yZw3/view?usp=drivesdk")</f>
        <v>https://drive.google.com/file/d/1VohCyZYrYeQ8wnGKTyDD2fOk8y16yZw3/view?usp=drivesdk</v>
      </c>
      <c r="C2978" s="339" t="str">
        <f>IFERROR(__xludf.DUMMYFUNCTION("""COMPUTED_VALUE"""),"10.1177--147470491100900206.pdf")</f>
        <v>10.1177--147470491100900206.pdf</v>
      </c>
      <c r="D2978" s="159" t="str">
        <f>IFERROR(__xludf.DUMMYFUNCTION("""COMPUTED_VALUE"""),"application/pdf")</f>
        <v>application/pdf</v>
      </c>
    </row>
    <row r="2979">
      <c r="A2979" s="339" t="str">
        <f>IFERROR(__xludf.DUMMYFUNCTION("""COMPUTED_VALUE"""),"10.1177/1094428116639131")</f>
        <v>10.1177/1094428116639131</v>
      </c>
      <c r="B2979" s="445" t="str">
        <f>IFERROR(__xludf.DUMMYFUNCTION("""COMPUTED_VALUE"""),"https://drive.google.com/file/d/1JsZgwHseixf6_MIunQS7nOHW4DEUBedH/view?usp=drivesdk")</f>
        <v>https://drive.google.com/file/d/1JsZgwHseixf6_MIunQS7nOHW4DEUBedH/view?usp=drivesdk</v>
      </c>
      <c r="C2979" s="339" t="str">
        <f>IFERROR(__xludf.DUMMYFUNCTION("""COMPUTED_VALUE"""),"10.1177--1094428116639131.pdf")</f>
        <v>10.1177--1094428116639131.pdf</v>
      </c>
      <c r="D2979" s="159" t="str">
        <f>IFERROR(__xludf.DUMMYFUNCTION("""COMPUTED_VALUE"""),"application/pdf")</f>
        <v>application/pdf</v>
      </c>
    </row>
    <row r="2980">
      <c r="A2980" s="339" t="str">
        <f>IFERROR(__xludf.DUMMYFUNCTION("""COMPUTED_VALUE"""),"10.1177/0956797620965541")</f>
        <v>10.1177/0956797620965541</v>
      </c>
      <c r="B2980" s="445" t="str">
        <f>IFERROR(__xludf.DUMMYFUNCTION("""COMPUTED_VALUE"""),"https://drive.google.com/file/d/1P2ZRc1H4au4w3w2QAJxu34pqjtWGLDpL/view?usp=drivesdk")</f>
        <v>https://drive.google.com/file/d/1P2ZRc1H4au4w3w2QAJxu34pqjtWGLDpL/view?usp=drivesdk</v>
      </c>
      <c r="C2980" s="339" t="str">
        <f>IFERROR(__xludf.DUMMYFUNCTION("""COMPUTED_VALUE"""),"10.1177--0956797620965541.pdf")</f>
        <v>10.1177--0956797620965541.pdf</v>
      </c>
      <c r="D2980" s="159" t="str">
        <f>IFERROR(__xludf.DUMMYFUNCTION("""COMPUTED_VALUE"""),"application/pdf")</f>
        <v>application/pdf</v>
      </c>
    </row>
    <row r="2981">
      <c r="A2981" s="339" t="str">
        <f>IFERROR(__xludf.DUMMYFUNCTION("""COMPUTED_VALUE"""),"10.1177/0956797620939054")</f>
        <v>10.1177/0956797620939054</v>
      </c>
      <c r="B2981" s="445" t="str">
        <f>IFERROR(__xludf.DUMMYFUNCTION("""COMPUTED_VALUE"""),"https://drive.google.com/file/d/1XS5wfGWzlv2PPriV2BVgHK4SFmjGbX42/view?usp=drivesdk")</f>
        <v>https://drive.google.com/file/d/1XS5wfGWzlv2PPriV2BVgHK4SFmjGbX42/view?usp=drivesdk</v>
      </c>
      <c r="C2981" s="339" t="str">
        <f>IFERROR(__xludf.DUMMYFUNCTION("""COMPUTED_VALUE"""),"10.1177--0956797620939054.pdf")</f>
        <v>10.1177--0956797620939054.pdf</v>
      </c>
      <c r="D2981" s="159" t="str">
        <f>IFERROR(__xludf.DUMMYFUNCTION("""COMPUTED_VALUE"""),"application/pdf")</f>
        <v>application/pdf</v>
      </c>
    </row>
    <row r="2982">
      <c r="A2982" s="339" t="str">
        <f>IFERROR(__xludf.DUMMYFUNCTION("""COMPUTED_VALUE"""),"10.1177/0956797620927967")</f>
        <v>10.1177/0956797620927967</v>
      </c>
      <c r="B2982" s="445" t="str">
        <f>IFERROR(__xludf.DUMMYFUNCTION("""COMPUTED_VALUE"""),"https://drive.google.com/file/d/1dU1UjhKXuYwEUy9G1SAQvFWoiujBUM-l/view?usp=drivesdk")</f>
        <v>https://drive.google.com/file/d/1dU1UjhKXuYwEUy9G1SAQvFWoiujBUM-l/view?usp=drivesdk</v>
      </c>
      <c r="C2982" s="339" t="str">
        <f>IFERROR(__xludf.DUMMYFUNCTION("""COMPUTED_VALUE"""),"10.1177--0956797620927967.pdf")</f>
        <v>10.1177--0956797620927967.pdf</v>
      </c>
      <c r="D2982" s="159" t="str">
        <f>IFERROR(__xludf.DUMMYFUNCTION("""COMPUTED_VALUE"""),"application/pdf")</f>
        <v>application/pdf</v>
      </c>
    </row>
    <row r="2983">
      <c r="A2983" s="339" t="str">
        <f>IFERROR(__xludf.DUMMYFUNCTION("""COMPUTED_VALUE"""),"10.1177/0956797619879441")</f>
        <v>10.1177/0956797619879441</v>
      </c>
      <c r="B2983" s="445" t="str">
        <f>IFERROR(__xludf.DUMMYFUNCTION("""COMPUTED_VALUE"""),"https://drive.google.com/file/d/1dyQ7iPpa5tauqQ87v1ICVpmTb96xwrHK/view?usp=drivesdk")</f>
        <v>https://drive.google.com/file/d/1dyQ7iPpa5tauqQ87v1ICVpmTb96xwrHK/view?usp=drivesdk</v>
      </c>
      <c r="C2983" s="339" t="str">
        <f>IFERROR(__xludf.DUMMYFUNCTION("""COMPUTED_VALUE"""),"10.1177--0956797619879441.pdf")</f>
        <v>10.1177--0956797619879441.pdf</v>
      </c>
      <c r="D2983" s="159" t="str">
        <f>IFERROR(__xludf.DUMMYFUNCTION("""COMPUTED_VALUE"""),"application/pdf")</f>
        <v>application/pdf</v>
      </c>
    </row>
    <row r="2984">
      <c r="A2984" s="339" t="str">
        <f>IFERROR(__xludf.DUMMYFUNCTION("""COMPUTED_VALUE"""),"10.1177/0956797619855382")</f>
        <v>10.1177/0956797619855382</v>
      </c>
      <c r="B2984" s="445" t="str">
        <f>IFERROR(__xludf.DUMMYFUNCTION("""COMPUTED_VALUE"""),"https://drive.google.com/file/d/1ITD043otUXSzSXwJBI77ZEGc7YfO0lXl/view?usp=drivesdk")</f>
        <v>https://drive.google.com/file/d/1ITD043otUXSzSXwJBI77ZEGc7YfO0lXl/view?usp=drivesdk</v>
      </c>
      <c r="C2984" s="339" t="str">
        <f>IFERROR(__xludf.DUMMYFUNCTION("""COMPUTED_VALUE"""),"10.1177--0956797619855382.pdf")</f>
        <v>10.1177--0956797619855382.pdf</v>
      </c>
      <c r="D2984" s="159" t="str">
        <f>IFERROR(__xludf.DUMMYFUNCTION("""COMPUTED_VALUE"""),"application/pdf")</f>
        <v>application/pdf</v>
      </c>
    </row>
    <row r="2985">
      <c r="A2985" s="339" t="str">
        <f>IFERROR(__xludf.DUMMYFUNCTION("""COMPUTED_VALUE"""),"10.1177/0956797619856844")</f>
        <v>10.1177/0956797619856844</v>
      </c>
      <c r="B2985" s="445" t="str">
        <f>IFERROR(__xludf.DUMMYFUNCTION("""COMPUTED_VALUE"""),"https://drive.google.com/file/d/1QWFGg5y_FwCsYU4iJVkw7s0HZoH7av3y/view?usp=drivesdk")</f>
        <v>https://drive.google.com/file/d/1QWFGg5y_FwCsYU4iJVkw7s0HZoH7av3y/view?usp=drivesdk</v>
      </c>
      <c r="C2985" s="339" t="str">
        <f>IFERROR(__xludf.DUMMYFUNCTION("""COMPUTED_VALUE"""),"10.1177--0956797619856844.pdf")</f>
        <v>10.1177--0956797619856844.pdf</v>
      </c>
      <c r="D2985" s="159" t="str">
        <f>IFERROR(__xludf.DUMMYFUNCTION("""COMPUTED_VALUE"""),"application/pdf")</f>
        <v>application/pdf</v>
      </c>
    </row>
    <row r="2986">
      <c r="A2986" s="339" t="str">
        <f>IFERROR(__xludf.DUMMYFUNCTION("""COMPUTED_VALUE"""),"10.1177/0956797619854706")</f>
        <v>10.1177/0956797619854706</v>
      </c>
      <c r="B2986" s="445" t="str">
        <f>IFERROR(__xludf.DUMMYFUNCTION("""COMPUTED_VALUE"""),"https://drive.google.com/file/d/1a_-X1vjB6N4-IwfcVsM4fHxFavXCK8pH/view?usp=drivesdk")</f>
        <v>https://drive.google.com/file/d/1a_-X1vjB6N4-IwfcVsM4fHxFavXCK8pH/view?usp=drivesdk</v>
      </c>
      <c r="C2986" s="339" t="str">
        <f>IFERROR(__xludf.DUMMYFUNCTION("""COMPUTED_VALUE"""),"10.1177--0956797619854706.pdf")</f>
        <v>10.1177--0956797619854706.pdf</v>
      </c>
      <c r="D2986" s="159" t="str">
        <f>IFERROR(__xludf.DUMMYFUNCTION("""COMPUTED_VALUE"""),"application/pdf")</f>
        <v>application/pdf</v>
      </c>
    </row>
    <row r="2987">
      <c r="A2987" s="339" t="str">
        <f>IFERROR(__xludf.DUMMYFUNCTION("""COMPUTED_VALUE"""),"10.1177/0956797618818484")</f>
        <v>10.1177/0956797618818484</v>
      </c>
      <c r="B2987" s="445" t="str">
        <f>IFERROR(__xludf.DUMMYFUNCTION("""COMPUTED_VALUE"""),"https://drive.google.com/file/d/1-BRDJtnfY2i7YBG-IeupwHTxHic0hQnP/view?usp=drivesdk")</f>
        <v>https://drive.google.com/file/d/1-BRDJtnfY2i7YBG-IeupwHTxHic0hQnP/view?usp=drivesdk</v>
      </c>
      <c r="C2987" s="339" t="str">
        <f>IFERROR(__xludf.DUMMYFUNCTION("""COMPUTED_VALUE"""),"10.1177--0956797618818484.pdf")</f>
        <v>10.1177--0956797618818484.pdf</v>
      </c>
      <c r="D2987" s="159" t="str">
        <f>IFERROR(__xludf.DUMMYFUNCTION("""COMPUTED_VALUE"""),"application/pdf")</f>
        <v>application/pdf</v>
      </c>
    </row>
    <row r="2988">
      <c r="A2988" s="339" t="str">
        <f>IFERROR(__xludf.DUMMYFUNCTION("""COMPUTED_VALUE"""),"10.1177/0956797618813092")</f>
        <v>10.1177/0956797618813092</v>
      </c>
      <c r="B2988" s="445" t="str">
        <f>IFERROR(__xludf.DUMMYFUNCTION("""COMPUTED_VALUE"""),"https://drive.google.com/file/d/1Ql7nMbQXZeIyS5tduYv7gRTiVRXJB9Dk/view?usp=drivesdk")</f>
        <v>https://drive.google.com/file/d/1Ql7nMbQXZeIyS5tduYv7gRTiVRXJB9Dk/view?usp=drivesdk</v>
      </c>
      <c r="C2988" s="339" t="str">
        <f>IFERROR(__xludf.DUMMYFUNCTION("""COMPUTED_VALUE"""),"10.1177--0956797618813092.pdf")</f>
        <v>10.1177--0956797618813092.pdf</v>
      </c>
      <c r="D2988" s="159" t="str">
        <f>IFERROR(__xludf.DUMMYFUNCTION("""COMPUTED_VALUE"""),"application/pdf")</f>
        <v>application/pdf</v>
      </c>
    </row>
    <row r="2989">
      <c r="A2989" s="339" t="str">
        <f>IFERROR(__xludf.DUMMYFUNCTION("""COMPUTED_VALUE"""),"10.1177/0956797618806296")</f>
        <v>10.1177/0956797618806296</v>
      </c>
      <c r="B2989" s="445" t="str">
        <f>IFERROR(__xludf.DUMMYFUNCTION("""COMPUTED_VALUE"""),"https://drive.google.com/file/d/1KanaZYJkrnwi0ABQ2gUtWRMUjQnhMt0r/view?usp=drivesdk")</f>
        <v>https://drive.google.com/file/d/1KanaZYJkrnwi0ABQ2gUtWRMUjQnhMt0r/view?usp=drivesdk</v>
      </c>
      <c r="C2989" s="339" t="str">
        <f>IFERROR(__xludf.DUMMYFUNCTION("""COMPUTED_VALUE"""),"10.1177--0956797618806296.pdf")</f>
        <v>10.1177--0956797618806296.pdf</v>
      </c>
      <c r="D2989" s="159" t="str">
        <f>IFERROR(__xludf.DUMMYFUNCTION("""COMPUTED_VALUE"""),"application/pdf")</f>
        <v>application/pdf</v>
      </c>
    </row>
    <row r="2990">
      <c r="A2990" s="339" t="str">
        <f>IFERROR(__xludf.DUMMYFUNCTION("""COMPUTED_VALUE"""),"10.1177/0956797618788882")</f>
        <v>10.1177/0956797618788882</v>
      </c>
      <c r="B2990" s="445" t="str">
        <f>IFERROR(__xludf.DUMMYFUNCTION("""COMPUTED_VALUE"""),"https://drive.google.com/file/d/18ZlWgEtYOKx4ampRaantI27kYPgBvB4J/view?usp=drivesdk")</f>
        <v>https://drive.google.com/file/d/18ZlWgEtYOKx4ampRaantI27kYPgBvB4J/view?usp=drivesdk</v>
      </c>
      <c r="C2990" s="339" t="str">
        <f>IFERROR(__xludf.DUMMYFUNCTION("""COMPUTED_VALUE"""),"10.1177--0956797618788882.pdf")</f>
        <v>10.1177--0956797618788882.pdf</v>
      </c>
      <c r="D2990" s="159" t="str">
        <f>IFERROR(__xludf.DUMMYFUNCTION("""COMPUTED_VALUE"""),"application/pdf")</f>
        <v>application/pdf</v>
      </c>
    </row>
    <row r="2991">
      <c r="A2991" s="339" t="str">
        <f>IFERROR(__xludf.DUMMYFUNCTION("""COMPUTED_VALUE"""),"10.1177/0956797618780643")</f>
        <v>10.1177/0956797618780643</v>
      </c>
      <c r="B2991" s="445" t="str">
        <f>IFERROR(__xludf.DUMMYFUNCTION("""COMPUTED_VALUE"""),"https://drive.google.com/file/d/13EC3dwbwBg7gIijxdeeANvWmpAfQ8_ke/view?usp=drivesdk")</f>
        <v>https://drive.google.com/file/d/13EC3dwbwBg7gIijxdeeANvWmpAfQ8_ke/view?usp=drivesdk</v>
      </c>
      <c r="C2991" s="339" t="str">
        <f>IFERROR(__xludf.DUMMYFUNCTION("""COMPUTED_VALUE"""),"10.1177--0956797618780643.pdf")</f>
        <v>10.1177--0956797618780643.pdf</v>
      </c>
      <c r="D2991" s="159" t="str">
        <f>IFERROR(__xludf.DUMMYFUNCTION("""COMPUTED_VALUE"""),"application/pdf")</f>
        <v>application/pdf</v>
      </c>
    </row>
    <row r="2992">
      <c r="A2992" s="339" t="str">
        <f>IFERROR(__xludf.DUMMYFUNCTION("""COMPUTED_VALUE"""),"10.1177/0956797618760784")</f>
        <v>10.1177/0956797618760784</v>
      </c>
      <c r="B2992" s="445" t="str">
        <f>IFERROR(__xludf.DUMMYFUNCTION("""COMPUTED_VALUE"""),"https://drive.google.com/file/d/17x3I7jUwdIldQm5GP-fj0zgsKCgIUoRP/view?usp=drivesdk")</f>
        <v>https://drive.google.com/file/d/17x3I7jUwdIldQm5GP-fj0zgsKCgIUoRP/view?usp=drivesdk</v>
      </c>
      <c r="C2992" s="339" t="str">
        <f>IFERROR(__xludf.DUMMYFUNCTION("""COMPUTED_VALUE"""),"10.1177--0956797618760784.pdf")</f>
        <v>10.1177--0956797618760784.pdf</v>
      </c>
      <c r="D2992" s="159" t="str">
        <f>IFERROR(__xludf.DUMMYFUNCTION("""COMPUTED_VALUE"""),"application/pdf")</f>
        <v>application/pdf</v>
      </c>
    </row>
    <row r="2993">
      <c r="A2993" s="339" t="str">
        <f>IFERROR(__xludf.DUMMYFUNCTION("""COMPUTED_VALUE"""),"10.1177/0956797617728270")</f>
        <v>10.1177/0956797617728270</v>
      </c>
      <c r="B2993" s="445" t="str">
        <f>IFERROR(__xludf.DUMMYFUNCTION("""COMPUTED_VALUE"""),"https://drive.google.com/file/d/1Oz7Zj6fZnvvCizj-IHEQF-K0o27fi6QN/view?usp=drivesdk")</f>
        <v>https://drive.google.com/file/d/1Oz7Zj6fZnvvCizj-IHEQF-K0o27fi6QN/view?usp=drivesdk</v>
      </c>
      <c r="C2993" s="339" t="str">
        <f>IFERROR(__xludf.DUMMYFUNCTION("""COMPUTED_VALUE"""),"10.1177--0956797617728270.pdf")</f>
        <v>10.1177--0956797617728270.pdf</v>
      </c>
      <c r="D2993" s="159" t="str">
        <f>IFERROR(__xludf.DUMMYFUNCTION("""COMPUTED_VALUE"""),"application/pdf")</f>
        <v>application/pdf</v>
      </c>
    </row>
    <row r="2994">
      <c r="A2994" s="339" t="str">
        <f>IFERROR(__xludf.DUMMYFUNCTION("""COMPUTED_VALUE"""),"10.1177/0956797617721270")</f>
        <v>10.1177/0956797617721270</v>
      </c>
      <c r="B2994" s="445" t="str">
        <f>IFERROR(__xludf.DUMMYFUNCTION("""COMPUTED_VALUE"""),"https://drive.google.com/file/d/1Utyoxyv9ECefgrAbgSyFcs6rDsU9y5Il/view?usp=drivesdk")</f>
        <v>https://drive.google.com/file/d/1Utyoxyv9ECefgrAbgSyFcs6rDsU9y5Il/view?usp=drivesdk</v>
      </c>
      <c r="C2994" s="339" t="str">
        <f>IFERROR(__xludf.DUMMYFUNCTION("""COMPUTED_VALUE"""),"10.1177--0956797617721270.pdf")</f>
        <v>10.1177--0956797617721270.pdf</v>
      </c>
      <c r="D2994" s="159" t="str">
        <f>IFERROR(__xludf.DUMMYFUNCTION("""COMPUTED_VALUE"""),"application/pdf")</f>
        <v>application/pdf</v>
      </c>
    </row>
    <row r="2995">
      <c r="A2995" s="339" t="str">
        <f>IFERROR(__xludf.DUMMYFUNCTION("""COMPUTED_VALUE"""),"10.1177/0956797617706082")</f>
        <v>10.1177/0956797617706082</v>
      </c>
      <c r="B2995" s="445" t="str">
        <f>IFERROR(__xludf.DUMMYFUNCTION("""COMPUTED_VALUE"""),"https://drive.google.com/file/d/104J0KhnQN8hx7uBldyQ1evQEW8N7petE/view?usp=drivesdk")</f>
        <v>https://drive.google.com/file/d/104J0KhnQN8hx7uBldyQ1evQEW8N7petE/view?usp=drivesdk</v>
      </c>
      <c r="C2995" s="339" t="str">
        <f>IFERROR(__xludf.DUMMYFUNCTION("""COMPUTED_VALUE"""),"10.1177--0956797617706082.pdf")</f>
        <v>10.1177--0956797617706082.pdf</v>
      </c>
      <c r="D2995" s="159" t="str">
        <f>IFERROR(__xludf.DUMMYFUNCTION("""COMPUTED_VALUE"""),"application/pdf")</f>
        <v>application/pdf</v>
      </c>
    </row>
    <row r="2996">
      <c r="A2996" s="339" t="str">
        <f>IFERROR(__xludf.DUMMYFUNCTION("""COMPUTED_VALUE"""),"10.1177/0956797617705399")</f>
        <v>10.1177/0956797617705399</v>
      </c>
      <c r="B2996" s="445" t="str">
        <f>IFERROR(__xludf.DUMMYFUNCTION("""COMPUTED_VALUE"""),"https://drive.google.com/file/d/1yCifhK2ZQwpUZAjclr5TAmGCQqTbBrUa/view?usp=drivesdk")</f>
        <v>https://drive.google.com/file/d/1yCifhK2ZQwpUZAjclr5TAmGCQqTbBrUa/view?usp=drivesdk</v>
      </c>
      <c r="C2996" s="339" t="str">
        <f>IFERROR(__xludf.DUMMYFUNCTION("""COMPUTED_VALUE"""),"10.1177--0956797617705399.pdf")</f>
        <v>10.1177--0956797617705399.pdf</v>
      </c>
      <c r="D2996" s="159" t="str">
        <f>IFERROR(__xludf.DUMMYFUNCTION("""COMPUTED_VALUE"""),"application/pdf")</f>
        <v>application/pdf</v>
      </c>
    </row>
    <row r="2997">
      <c r="A2997" s="339" t="str">
        <f>IFERROR(__xludf.DUMMYFUNCTION("""COMPUTED_VALUE"""),"10.1177/0956797616685771")</f>
        <v>10.1177/0956797616685771</v>
      </c>
      <c r="B2997" s="445" t="str">
        <f>IFERROR(__xludf.DUMMYFUNCTION("""COMPUTED_VALUE"""),"https://drive.google.com/file/d/14l2Iyllp2BRKK4GUgjOnaxtE-5V5_oxZ/view?usp=drivesdk")</f>
        <v>https://drive.google.com/file/d/14l2Iyllp2BRKK4GUgjOnaxtE-5V5_oxZ/view?usp=drivesdk</v>
      </c>
      <c r="C2997" s="339" t="str">
        <f>IFERROR(__xludf.DUMMYFUNCTION("""COMPUTED_VALUE"""),"10.1177--0956797616685771.pdf")</f>
        <v>10.1177--0956797616685771.pdf</v>
      </c>
      <c r="D2997" s="159" t="str">
        <f>IFERROR(__xludf.DUMMYFUNCTION("""COMPUTED_VALUE"""),"application/pdf")</f>
        <v>application/pdf</v>
      </c>
    </row>
    <row r="2998">
      <c r="A2998" s="339" t="str">
        <f>IFERROR(__xludf.DUMMYFUNCTION("""COMPUTED_VALUE"""),"10.1177/0956797616674999")</f>
        <v>10.1177/0956797616674999</v>
      </c>
      <c r="B2998" s="445" t="str">
        <f>IFERROR(__xludf.DUMMYFUNCTION("""COMPUTED_VALUE"""),"https://drive.google.com/file/d/1wVhOcOsRL9M-ypPdSaPRTLv-PLlAWOf1/view?usp=drivesdk")</f>
        <v>https://drive.google.com/file/d/1wVhOcOsRL9M-ypPdSaPRTLv-PLlAWOf1/view?usp=drivesdk</v>
      </c>
      <c r="C2998" s="339" t="str">
        <f>IFERROR(__xludf.DUMMYFUNCTION("""COMPUTED_VALUE"""),"10.1177--0956797616674999.pdf")</f>
        <v>10.1177--0956797616674999.pdf</v>
      </c>
      <c r="D2998" s="159" t="str">
        <f>IFERROR(__xludf.DUMMYFUNCTION("""COMPUTED_VALUE"""),"application/pdf")</f>
        <v>application/pdf</v>
      </c>
    </row>
    <row r="2999">
      <c r="A2999" s="339" t="str">
        <f>IFERROR(__xludf.DUMMYFUNCTION("""COMPUTED_VALUE"""),"10.1177/0956797616669947")</f>
        <v>10.1177/0956797616669947</v>
      </c>
      <c r="B2999" s="445" t="str">
        <f>IFERROR(__xludf.DUMMYFUNCTION("""COMPUTED_VALUE"""),"https://drive.google.com/file/d/12p5OEsz_Kqdr2WrmlHbpY-_JFlSEkooC/view?usp=drivesdk")</f>
        <v>https://drive.google.com/file/d/12p5OEsz_Kqdr2WrmlHbpY-_JFlSEkooC/view?usp=drivesdk</v>
      </c>
      <c r="C2999" s="339" t="str">
        <f>IFERROR(__xludf.DUMMYFUNCTION("""COMPUTED_VALUE"""),"10.1177--0956797616669947.pdf")</f>
        <v>10.1177--0956797616669947.pdf</v>
      </c>
      <c r="D2999" s="159" t="str">
        <f>IFERROR(__xludf.DUMMYFUNCTION("""COMPUTED_VALUE"""),"application/pdf")</f>
        <v>application/pdf</v>
      </c>
    </row>
    <row r="3000">
      <c r="A3000" s="339" t="str">
        <f>IFERROR(__xludf.DUMMYFUNCTION("""COMPUTED_VALUE"""),"10.1177/0956797616667459")</f>
        <v>10.1177/0956797616667459</v>
      </c>
      <c r="B3000" s="445" t="str">
        <f>IFERROR(__xludf.DUMMYFUNCTION("""COMPUTED_VALUE"""),"https://drive.google.com/file/d/1xo-D0d5xWZy_-HQc9CNuFVE8l1hYTkzr/view?usp=drivesdk")</f>
        <v>https://drive.google.com/file/d/1xo-D0d5xWZy_-HQc9CNuFVE8l1hYTkzr/view?usp=drivesdk</v>
      </c>
      <c r="C3000" s="339" t="str">
        <f>IFERROR(__xludf.DUMMYFUNCTION("""COMPUTED_VALUE"""),"10.1177--0956797616667459.pdf")</f>
        <v>10.1177--0956797616667459.pdf</v>
      </c>
      <c r="D3000" s="159" t="str">
        <f>IFERROR(__xludf.DUMMYFUNCTION("""COMPUTED_VALUE"""),"application/pdf")</f>
        <v>application/pdf</v>
      </c>
    </row>
    <row r="3001">
      <c r="A3001" s="339" t="str">
        <f>IFERROR(__xludf.DUMMYFUNCTION("""COMPUTED_VALUE"""),"10.1177/0956797616662271")</f>
        <v>10.1177/0956797616662271</v>
      </c>
      <c r="B3001" s="445" t="str">
        <f>IFERROR(__xludf.DUMMYFUNCTION("""COMPUTED_VALUE"""),"https://drive.google.com/file/d/144ul3eCkiKHuL75LCKm6YabVN-pgBX8u/view?usp=drivesdk")</f>
        <v>https://drive.google.com/file/d/144ul3eCkiKHuL75LCKm6YabVN-pgBX8u/view?usp=drivesdk</v>
      </c>
      <c r="C3001" s="339" t="str">
        <f>IFERROR(__xludf.DUMMYFUNCTION("""COMPUTED_VALUE"""),"10.1177--0956797616662271.pdf")</f>
        <v>10.1177--0956797616662271.pdf</v>
      </c>
      <c r="D3001" s="159" t="str">
        <f>IFERROR(__xludf.DUMMYFUNCTION("""COMPUTED_VALUE"""),"application/pdf")</f>
        <v>application/pdf</v>
      </c>
    </row>
    <row r="3002">
      <c r="A3002" s="339" t="str">
        <f>IFERROR(__xludf.DUMMYFUNCTION("""COMPUTED_VALUE"""),"10.1177/0956797616651973")</f>
        <v>10.1177/0956797616651973</v>
      </c>
      <c r="B3002" s="445" t="str">
        <f>IFERROR(__xludf.DUMMYFUNCTION("""COMPUTED_VALUE"""),"https://drive.google.com/file/d/1jx9eMAYbx0cHukSi87PadaXFTzz1n_mq/view?usp=drivesdk")</f>
        <v>https://drive.google.com/file/d/1jx9eMAYbx0cHukSi87PadaXFTzz1n_mq/view?usp=drivesdk</v>
      </c>
      <c r="C3002" s="339" t="str">
        <f>IFERROR(__xludf.DUMMYFUNCTION("""COMPUTED_VALUE"""),"10.1177--0956797616651973.pdf")</f>
        <v>10.1177--0956797616651973.pdf</v>
      </c>
      <c r="D3002" s="159" t="str">
        <f>IFERROR(__xludf.DUMMYFUNCTION("""COMPUTED_VALUE"""),"application/pdf")</f>
        <v>application/pdf</v>
      </c>
    </row>
    <row r="3003">
      <c r="A3003" s="339" t="str">
        <f>IFERROR(__xludf.DUMMYFUNCTION("""COMPUTED_VALUE"""),"10.1177/0956797616650875")</f>
        <v>10.1177/0956797616650875</v>
      </c>
      <c r="B3003" s="445" t="str">
        <f>IFERROR(__xludf.DUMMYFUNCTION("""COMPUTED_VALUE"""),"https://drive.google.com/file/d/1OIEvCCJvM-_IxEbcHAL2vNkKmVoEHa3G/view?usp=drivesdk")</f>
        <v>https://drive.google.com/file/d/1OIEvCCJvM-_IxEbcHAL2vNkKmVoEHa3G/view?usp=drivesdk</v>
      </c>
      <c r="C3003" s="339" t="str">
        <f>IFERROR(__xludf.DUMMYFUNCTION("""COMPUTED_VALUE"""),"10.1177--0956797616650875.pdf")</f>
        <v>10.1177--0956797616650875.pdf</v>
      </c>
      <c r="D3003" s="159" t="str">
        <f>IFERROR(__xludf.DUMMYFUNCTION("""COMPUTED_VALUE"""),"application/pdf")</f>
        <v>application/pdf</v>
      </c>
    </row>
    <row r="3004">
      <c r="A3004" s="339" t="str">
        <f>IFERROR(__xludf.DUMMYFUNCTION("""COMPUTED_VALUE"""),"10.1177/0956797616634654")</f>
        <v>10.1177/0956797616634654</v>
      </c>
      <c r="B3004" s="445" t="str">
        <f>IFERROR(__xludf.DUMMYFUNCTION("""COMPUTED_VALUE"""),"https://drive.google.com/file/d/16TKGD5uIhjmxtnz9GYQUl5frMKkhZ7vE/view?usp=drivesdk")</f>
        <v>https://drive.google.com/file/d/16TKGD5uIhjmxtnz9GYQUl5frMKkhZ7vE/view?usp=drivesdk</v>
      </c>
      <c r="C3004" s="339" t="str">
        <f>IFERROR(__xludf.DUMMYFUNCTION("""COMPUTED_VALUE"""),"10.1177--0956797616634654.pdf")</f>
        <v>10.1177--0956797616634654.pdf</v>
      </c>
      <c r="D3004" s="159" t="str">
        <f>IFERROR(__xludf.DUMMYFUNCTION("""COMPUTED_VALUE"""),"application/pdf")</f>
        <v>application/pdf</v>
      </c>
    </row>
    <row r="3005">
      <c r="A3005" s="339" t="str">
        <f>IFERROR(__xludf.DUMMYFUNCTION("""COMPUTED_VALUE"""),"10.1177/0956797616640705")</f>
        <v>10.1177/0956797616640705</v>
      </c>
      <c r="B3005" s="445" t="str">
        <f>IFERROR(__xludf.DUMMYFUNCTION("""COMPUTED_VALUE"""),"https://drive.google.com/file/d/1lHQosDuo6gaE1kApTnMYX-PdVa7g5c2f/view?usp=drivesdk")</f>
        <v>https://drive.google.com/file/d/1lHQosDuo6gaE1kApTnMYX-PdVa7g5c2f/view?usp=drivesdk</v>
      </c>
      <c r="C3005" s="339" t="str">
        <f>IFERROR(__xludf.DUMMYFUNCTION("""COMPUTED_VALUE"""),"10.1177--0956797616640705.pdf")</f>
        <v>10.1177--0956797616640705.pdf</v>
      </c>
      <c r="D3005" s="159" t="str">
        <f>IFERROR(__xludf.DUMMYFUNCTION("""COMPUTED_VALUE"""),"application/pdf")</f>
        <v>application/pdf</v>
      </c>
    </row>
    <row r="3006">
      <c r="A3006" s="339" t="str">
        <f>IFERROR(__xludf.DUMMYFUNCTION("""COMPUTED_VALUE"""),"10.1177/0956797616630964")</f>
        <v>10.1177/0956797616630964</v>
      </c>
      <c r="B3006" s="445" t="str">
        <f>IFERROR(__xludf.DUMMYFUNCTION("""COMPUTED_VALUE"""),"https://drive.google.com/file/d/149vWpYz3xUBwjR-0Vi63Qa-y5jEghDmg/view?usp=drivesdk")</f>
        <v>https://drive.google.com/file/d/149vWpYz3xUBwjR-0Vi63Qa-y5jEghDmg/view?usp=drivesdk</v>
      </c>
      <c r="C3006" s="339" t="str">
        <f>IFERROR(__xludf.DUMMYFUNCTION("""COMPUTED_VALUE"""),"10.1177--0956797616630964.pdf")</f>
        <v>10.1177--0956797616630964.pdf</v>
      </c>
      <c r="D3006" s="159" t="str">
        <f>IFERROR(__xludf.DUMMYFUNCTION("""COMPUTED_VALUE"""),"application/pdf")</f>
        <v>application/pdf</v>
      </c>
    </row>
    <row r="3007">
      <c r="A3007" s="339" t="str">
        <f>IFERROR(__xludf.DUMMYFUNCTION("""COMPUTED_VALUE"""),"10.1177/0956797615625640")</f>
        <v>10.1177/0956797615625640</v>
      </c>
      <c r="B3007" s="445" t="str">
        <f>IFERROR(__xludf.DUMMYFUNCTION("""COMPUTED_VALUE"""),"https://drive.google.com/file/d/1ufFlEetCWZtYqMqTTptc07s2XdkD4E4c/view?usp=drivesdk")</f>
        <v>https://drive.google.com/file/d/1ufFlEetCWZtYqMqTTptc07s2XdkD4E4c/view?usp=drivesdk</v>
      </c>
      <c r="C3007" s="339" t="str">
        <f>IFERROR(__xludf.DUMMYFUNCTION("""COMPUTED_VALUE"""),"10.1177--0956797615625640.pdf")</f>
        <v>10.1177--0956797615625640.pdf</v>
      </c>
      <c r="D3007" s="159" t="str">
        <f>IFERROR(__xludf.DUMMYFUNCTION("""COMPUTED_VALUE"""),"application/pdf")</f>
        <v>application/pdf</v>
      </c>
    </row>
    <row r="3008">
      <c r="A3008" s="339" t="str">
        <f>IFERROR(__xludf.DUMMYFUNCTION("""COMPUTED_VALUE"""),"10.1177/0956797615624492")</f>
        <v>10.1177/0956797615624492</v>
      </c>
      <c r="B3008" s="445" t="str">
        <f>IFERROR(__xludf.DUMMYFUNCTION("""COMPUTED_VALUE"""),"https://drive.google.com/file/d/1MpP2-43GqkWDRpuwJ-apCbzIk2GwSMn_/view?usp=drivesdk")</f>
        <v>https://drive.google.com/file/d/1MpP2-43GqkWDRpuwJ-apCbzIk2GwSMn_/view?usp=drivesdk</v>
      </c>
      <c r="C3008" s="339" t="str">
        <f>IFERROR(__xludf.DUMMYFUNCTION("""COMPUTED_VALUE"""),"10.1177--0956797615624492.pdf")</f>
        <v>10.1177--0956797615624492.pdf</v>
      </c>
      <c r="D3008" s="159" t="str">
        <f>IFERROR(__xludf.DUMMYFUNCTION("""COMPUTED_VALUE"""),"application/pdf")</f>
        <v>application/pdf</v>
      </c>
    </row>
    <row r="3009">
      <c r="A3009" s="339" t="str">
        <f>IFERROR(__xludf.DUMMYFUNCTION("""COMPUTED_VALUE"""),"10.1177/0956797615617779")</f>
        <v>10.1177/0956797615617779</v>
      </c>
      <c r="B3009" s="445" t="str">
        <f>IFERROR(__xludf.DUMMYFUNCTION("""COMPUTED_VALUE"""),"https://drive.google.com/file/d/1X5Fe2As7h--ByO5qoa79Jna-iqMIag53/view?usp=drivesdk")</f>
        <v>https://drive.google.com/file/d/1X5Fe2As7h--ByO5qoa79Jna-iqMIag53/view?usp=drivesdk</v>
      </c>
      <c r="C3009" s="339" t="str">
        <f>IFERROR(__xludf.DUMMYFUNCTION("""COMPUTED_VALUE"""),"10.1177--0956797615617779.pdf")</f>
        <v>10.1177--0956797615617779.pdf</v>
      </c>
      <c r="D3009" s="159" t="str">
        <f>IFERROR(__xludf.DUMMYFUNCTION("""COMPUTED_VALUE"""),"application/pdf")</f>
        <v>application/pdf</v>
      </c>
    </row>
    <row r="3010">
      <c r="A3010" s="339" t="str">
        <f>IFERROR(__xludf.DUMMYFUNCTION("""COMPUTED_VALUE"""),"10.1177/0956797615612202")</f>
        <v>10.1177/0956797615612202</v>
      </c>
      <c r="B3010" s="445" t="str">
        <f>IFERROR(__xludf.DUMMYFUNCTION("""COMPUTED_VALUE"""),"https://drive.google.com/file/d/1d70WNl03Y6R-FQ2zFUG_7JzLtb7KIhMn/view?usp=drivesdk")</f>
        <v>https://drive.google.com/file/d/1d70WNl03Y6R-FQ2zFUG_7JzLtb7KIhMn/view?usp=drivesdk</v>
      </c>
      <c r="C3010" s="339" t="str">
        <f>IFERROR(__xludf.DUMMYFUNCTION("""COMPUTED_VALUE"""),"10.1177--0956797615612202.pdf")</f>
        <v>10.1177--0956797615612202.pdf</v>
      </c>
      <c r="D3010" s="159" t="str">
        <f>IFERROR(__xludf.DUMMYFUNCTION("""COMPUTED_VALUE"""),"application/pdf")</f>
        <v>application/pdf</v>
      </c>
    </row>
    <row r="3011">
      <c r="A3011" s="339" t="str">
        <f>IFERROR(__xludf.DUMMYFUNCTION("""COMPUTED_VALUE"""),"10.1177/0956797615608267")</f>
        <v>10.1177/0956797615608267</v>
      </c>
      <c r="B3011" s="445" t="str">
        <f>IFERROR(__xludf.DUMMYFUNCTION("""COMPUTED_VALUE"""),"https://drive.google.com/file/d/1ZJao6drmlp_5iFzVLwLBVxZ7mZzQpGwX/view?usp=drivesdk")</f>
        <v>https://drive.google.com/file/d/1ZJao6drmlp_5iFzVLwLBVxZ7mZzQpGwX/view?usp=drivesdk</v>
      </c>
      <c r="C3011" s="339" t="str">
        <f>IFERROR(__xludf.DUMMYFUNCTION("""COMPUTED_VALUE"""),"10.1177--0956797615608267.pdf")</f>
        <v>10.1177--0956797615608267.pdf</v>
      </c>
      <c r="D3011" s="159" t="str">
        <f>IFERROR(__xludf.DUMMYFUNCTION("""COMPUTED_VALUE"""),"application/pdf")</f>
        <v>application/pdf</v>
      </c>
    </row>
    <row r="3012">
      <c r="A3012" s="339" t="str">
        <f>IFERROR(__xludf.DUMMYFUNCTION("""COMPUTED_VALUE"""),"10.1177/0956797615598739")</f>
        <v>10.1177/0956797615598739</v>
      </c>
      <c r="B3012" s="445" t="str">
        <f>IFERROR(__xludf.DUMMYFUNCTION("""COMPUTED_VALUE"""),"https://drive.google.com/file/d/1pCInedMgb6ub4Ncim1wJ4bHJ2ouwc85m/view?usp=drivesdk")</f>
        <v>https://drive.google.com/file/d/1pCInedMgb6ub4Ncim1wJ4bHJ2ouwc85m/view?usp=drivesdk</v>
      </c>
      <c r="C3012" s="339" t="str">
        <f>IFERROR(__xludf.DUMMYFUNCTION("""COMPUTED_VALUE"""),"10.1177--0956797615598739.pdf")</f>
        <v>10.1177--0956797615598739.pdf</v>
      </c>
      <c r="D3012" s="159" t="str">
        <f>IFERROR(__xludf.DUMMYFUNCTION("""COMPUTED_VALUE"""),"application/pdf")</f>
        <v>application/pdf</v>
      </c>
    </row>
    <row r="3013">
      <c r="A3013" s="339" t="str">
        <f>IFERROR(__xludf.DUMMYFUNCTION("""COMPUTED_VALUE"""),"10.1177/0956797615588195")</f>
        <v>10.1177/0956797615588195</v>
      </c>
      <c r="B3013" s="445" t="str">
        <f>IFERROR(__xludf.DUMMYFUNCTION("""COMPUTED_VALUE"""),"https://drive.google.com/file/d/1tE6_KVQyfFVpIfIuz7dnWR1i8_me3TIT/view?usp=drivesdk")</f>
        <v>https://drive.google.com/file/d/1tE6_KVQyfFVpIfIuz7dnWR1i8_me3TIT/view?usp=drivesdk</v>
      </c>
      <c r="C3013" s="339" t="str">
        <f>IFERROR(__xludf.DUMMYFUNCTION("""COMPUTED_VALUE"""),"10.1177--0956797615588195.pdf")</f>
        <v>10.1177--0956797615588195.pdf</v>
      </c>
      <c r="D3013" s="159" t="str">
        <f>IFERROR(__xludf.DUMMYFUNCTION("""COMPUTED_VALUE"""),"application/pdf")</f>
        <v>application/pdf</v>
      </c>
    </row>
    <row r="3014">
      <c r="A3014" s="339" t="str">
        <f>IFERROR(__xludf.DUMMYFUNCTION("""COMPUTED_VALUE"""),"10.1177/0956797615585002")</f>
        <v>10.1177/0956797615585002</v>
      </c>
      <c r="B3014" s="445" t="str">
        <f>IFERROR(__xludf.DUMMYFUNCTION("""COMPUTED_VALUE"""),"https://drive.google.com/file/d/1hlj_PiSmruASavYOS4OPpCrR4tKfol15/view?usp=drivesdk")</f>
        <v>https://drive.google.com/file/d/1hlj_PiSmruASavYOS4OPpCrR4tKfol15/view?usp=drivesdk</v>
      </c>
      <c r="C3014" s="339" t="str">
        <f>IFERROR(__xludf.DUMMYFUNCTION("""COMPUTED_VALUE"""),"10.1177--0956797615585002.pdf")</f>
        <v>10.1177--0956797615585002.pdf</v>
      </c>
      <c r="D3014" s="159" t="str">
        <f>IFERROR(__xludf.DUMMYFUNCTION("""COMPUTED_VALUE"""),"application/pdf")</f>
        <v>application/pdf</v>
      </c>
    </row>
    <row r="3015">
      <c r="A3015" s="339" t="str">
        <f>IFERROR(__xludf.DUMMYFUNCTION("""COMPUTED_VALUE"""),"10.1177/0956797615573516")</f>
        <v>10.1177/0956797615573516</v>
      </c>
      <c r="B3015" s="445" t="str">
        <f>IFERROR(__xludf.DUMMYFUNCTION("""COMPUTED_VALUE"""),"https://drive.google.com/file/d/1JoVItYnEA8vA70xzVLnQEC3dgxMW-0on/view?usp=drivesdk")</f>
        <v>https://drive.google.com/file/d/1JoVItYnEA8vA70xzVLnQEC3dgxMW-0on/view?usp=drivesdk</v>
      </c>
      <c r="C3015" s="339" t="str">
        <f>IFERROR(__xludf.DUMMYFUNCTION("""COMPUTED_VALUE"""),"10.1177--0956797615573516.pdf")</f>
        <v>10.1177--0956797615573516.pdf</v>
      </c>
      <c r="D3015" s="159" t="str">
        <f>IFERROR(__xludf.DUMMYFUNCTION("""COMPUTED_VALUE"""),"application/pdf")</f>
        <v>application/pdf</v>
      </c>
    </row>
    <row r="3016">
      <c r="A3016" s="339" t="str">
        <f>IFERROR(__xludf.DUMMYFUNCTION("""COMPUTED_VALUE"""),"10.1177/0956797615569889")</f>
        <v>10.1177/0956797615569889</v>
      </c>
      <c r="B3016" s="445" t="str">
        <f>IFERROR(__xludf.DUMMYFUNCTION("""COMPUTED_VALUE"""),"https://drive.google.com/file/d/15btD8-1-iJ6kKY4YOnmEB99Ty5jn30uV/view?usp=drivesdk")</f>
        <v>https://drive.google.com/file/d/15btD8-1-iJ6kKY4YOnmEB99Ty5jn30uV/view?usp=drivesdk</v>
      </c>
      <c r="C3016" s="339" t="str">
        <f>IFERROR(__xludf.DUMMYFUNCTION("""COMPUTED_VALUE"""),"10.1177--0956797615569889.pdf")</f>
        <v>10.1177--0956797615569889.pdf</v>
      </c>
      <c r="D3016" s="159" t="str">
        <f>IFERROR(__xludf.DUMMYFUNCTION("""COMPUTED_VALUE"""),"application/pdf")</f>
        <v>application/pdf</v>
      </c>
    </row>
    <row r="3017">
      <c r="A3017" s="339" t="str">
        <f>IFERROR(__xludf.DUMMYFUNCTION("""COMPUTED_VALUE"""),"10.1177/0956797615572231")</f>
        <v>10.1177/0956797615572231</v>
      </c>
      <c r="B3017" s="445" t="str">
        <f>IFERROR(__xludf.DUMMYFUNCTION("""COMPUTED_VALUE"""),"https://drive.google.com/file/d/1nhF9YyHcpfCFAHZNSHYOdrHjNY6W4OdA/view?usp=drivesdk")</f>
        <v>https://drive.google.com/file/d/1nhF9YyHcpfCFAHZNSHYOdrHjNY6W4OdA/view?usp=drivesdk</v>
      </c>
      <c r="C3017" s="339" t="str">
        <f>IFERROR(__xludf.DUMMYFUNCTION("""COMPUTED_VALUE"""),"10.1177--0956797615572231.pdf")</f>
        <v>10.1177--0956797615572231.pdf</v>
      </c>
      <c r="D3017" s="159" t="str">
        <f>IFERROR(__xludf.DUMMYFUNCTION("""COMPUTED_VALUE"""),"application/pdf")</f>
        <v>application/pdf</v>
      </c>
    </row>
    <row r="3018">
      <c r="A3018" s="339" t="str">
        <f>IFERROR(__xludf.DUMMYFUNCTION("""COMPUTED_VALUE"""),"10.1177/0956797614563958")</f>
        <v>10.1177/0956797614563958</v>
      </c>
      <c r="B3018" s="445" t="str">
        <f>IFERROR(__xludf.DUMMYFUNCTION("""COMPUTED_VALUE"""),"https://drive.google.com/file/d/1ATJxg7zUvA3Wg_XCJFG6phaq9LgMmPHW/view?usp=drivesdk")</f>
        <v>https://drive.google.com/file/d/1ATJxg7zUvA3Wg_XCJFG6phaq9LgMmPHW/view?usp=drivesdk</v>
      </c>
      <c r="C3018" s="339" t="str">
        <f>IFERROR(__xludf.DUMMYFUNCTION("""COMPUTED_VALUE"""),"10.1177--0956797614563958.pdf")</f>
        <v>10.1177--0956797614563958.pdf</v>
      </c>
      <c r="D3018" s="159" t="str">
        <f>IFERROR(__xludf.DUMMYFUNCTION("""COMPUTED_VALUE"""),"application/pdf")</f>
        <v>application/pdf</v>
      </c>
    </row>
    <row r="3019">
      <c r="A3019" s="339" t="str">
        <f>IFERROR(__xludf.DUMMYFUNCTION("""COMPUTED_VALUE"""),"10.1177/0956797614563108")</f>
        <v>10.1177/0956797614563108</v>
      </c>
      <c r="B3019" s="445" t="str">
        <f>IFERROR(__xludf.DUMMYFUNCTION("""COMPUTED_VALUE"""),"https://drive.google.com/file/d/1CNUuCil5aZVO_tdA1GgelrRiq8I7q6J4/view?usp=drivesdk")</f>
        <v>https://drive.google.com/file/d/1CNUuCil5aZVO_tdA1GgelrRiq8I7q6J4/view?usp=drivesdk</v>
      </c>
      <c r="C3019" s="339" t="str">
        <f>IFERROR(__xludf.DUMMYFUNCTION("""COMPUTED_VALUE"""),"10.1177--0956797614563108.pdf")</f>
        <v>10.1177--0956797614563108.pdf</v>
      </c>
      <c r="D3019" s="159" t="str">
        <f>IFERROR(__xludf.DUMMYFUNCTION("""COMPUTED_VALUE"""),"application/pdf")</f>
        <v>application/pdf</v>
      </c>
    </row>
    <row r="3020">
      <c r="A3020" s="339" t="str">
        <f>IFERROR(__xludf.DUMMYFUNCTION("""COMPUTED_VALUE"""),"10.1177/0956797614561266")</f>
        <v>10.1177/0956797614561266</v>
      </c>
      <c r="B3020" s="445" t="str">
        <f>IFERROR(__xludf.DUMMYFUNCTION("""COMPUTED_VALUE"""),"https://drive.google.com/file/d/1J0gXacFjwTY8lqoRS7-Ly_0MayhAFMtY/view?usp=drivesdk")</f>
        <v>https://drive.google.com/file/d/1J0gXacFjwTY8lqoRS7-Ly_0MayhAFMtY/view?usp=drivesdk</v>
      </c>
      <c r="C3020" s="339" t="str">
        <f>IFERROR(__xludf.DUMMYFUNCTION("""COMPUTED_VALUE"""),"10.1177--0956797614561266.pdf")</f>
        <v>10.1177--0956797614561266.pdf</v>
      </c>
      <c r="D3020" s="159" t="str">
        <f>IFERROR(__xludf.DUMMYFUNCTION("""COMPUTED_VALUE"""),"application/pdf")</f>
        <v>application/pdf</v>
      </c>
    </row>
    <row r="3021">
      <c r="A3021" s="339" t="str">
        <f>IFERROR(__xludf.DUMMYFUNCTION("""COMPUTED_VALUE"""),"10.1177/0956797614559285")</f>
        <v>10.1177/0956797614559285</v>
      </c>
      <c r="B3021" s="445" t="str">
        <f>IFERROR(__xludf.DUMMYFUNCTION("""COMPUTED_VALUE"""),"https://drive.google.com/file/d/1hgaLy7Pk7l8_uT0qzsdgGRA4OH5u_0hL/view?usp=drivesdk")</f>
        <v>https://drive.google.com/file/d/1hgaLy7Pk7l8_uT0qzsdgGRA4OH5u_0hL/view?usp=drivesdk</v>
      </c>
      <c r="C3021" s="339" t="str">
        <f>IFERROR(__xludf.DUMMYFUNCTION("""COMPUTED_VALUE"""),"10.1177--0956797614559285.pdf")</f>
        <v>10.1177--0956797614559285.pdf</v>
      </c>
      <c r="D3021" s="159" t="str">
        <f>IFERROR(__xludf.DUMMYFUNCTION("""COMPUTED_VALUE"""),"application/pdf")</f>
        <v>application/pdf</v>
      </c>
    </row>
    <row r="3022">
      <c r="A3022" s="339" t="str">
        <f>IFERROR(__xludf.DUMMYFUNCTION("""COMPUTED_VALUE"""),"10.1177/0956797614558718")</f>
        <v>10.1177/0956797614558718</v>
      </c>
      <c r="B3022" s="445" t="str">
        <f>IFERROR(__xludf.DUMMYFUNCTION("""COMPUTED_VALUE"""),"https://drive.google.com/file/d/1VCKoEhCkZgWeNPsAklTrHzvyEtDe0UpM/view?usp=drivesdk")</f>
        <v>https://drive.google.com/file/d/1VCKoEhCkZgWeNPsAklTrHzvyEtDe0UpM/view?usp=drivesdk</v>
      </c>
      <c r="C3022" s="339" t="str">
        <f>IFERROR(__xludf.DUMMYFUNCTION("""COMPUTED_VALUE"""),"10.1177--0956797614558718.pdf")</f>
        <v>10.1177--0956797614558718.pdf</v>
      </c>
      <c r="D3022" s="159" t="str">
        <f>IFERROR(__xludf.DUMMYFUNCTION("""COMPUTED_VALUE"""),"application/pdf")</f>
        <v>application/pdf</v>
      </c>
    </row>
    <row r="3023">
      <c r="A3023" s="339" t="str">
        <f>IFERROR(__xludf.DUMMYFUNCTION("""COMPUTED_VALUE"""),"10.1177/0956797614554955")</f>
        <v>10.1177/0956797614554955</v>
      </c>
      <c r="B3023" s="445" t="str">
        <f>IFERROR(__xludf.DUMMYFUNCTION("""COMPUTED_VALUE"""),"https://drive.google.com/file/d/1epyBwvNQIzhoIzncHzNCghI35bEcM7FS/view?usp=drivesdk")</f>
        <v>https://drive.google.com/file/d/1epyBwvNQIzhoIzncHzNCghI35bEcM7FS/view?usp=drivesdk</v>
      </c>
      <c r="C3023" s="339" t="str">
        <f>IFERROR(__xludf.DUMMYFUNCTION("""COMPUTED_VALUE"""),"10.1177--0956797614554955.pdf")</f>
        <v>10.1177--0956797614554955.pdf</v>
      </c>
      <c r="D3023" s="159" t="str">
        <f>IFERROR(__xludf.DUMMYFUNCTION("""COMPUTED_VALUE"""),"application/pdf")</f>
        <v>application/pdf</v>
      </c>
    </row>
    <row r="3024">
      <c r="A3024" s="339" t="str">
        <f>IFERROR(__xludf.DUMMYFUNCTION("""COMPUTED_VALUE"""),"10.1177/0956797614553945")</f>
        <v>10.1177/0956797614553945</v>
      </c>
      <c r="B3024" s="445" t="str">
        <f>IFERROR(__xludf.DUMMYFUNCTION("""COMPUTED_VALUE"""),"https://drive.google.com/file/d/1P9xYCgkA2aZzeFeWwFu2vsHTC7Pzw-Oa/view?usp=drivesdk")</f>
        <v>https://drive.google.com/file/d/1P9xYCgkA2aZzeFeWwFu2vsHTC7Pzw-Oa/view?usp=drivesdk</v>
      </c>
      <c r="C3024" s="339" t="str">
        <f>IFERROR(__xludf.DUMMYFUNCTION("""COMPUTED_VALUE"""),"10.1177--0956797614553945.pdf")</f>
        <v>10.1177--0956797614553945.pdf</v>
      </c>
      <c r="D3024" s="159" t="str">
        <f>IFERROR(__xludf.DUMMYFUNCTION("""COMPUTED_VALUE"""),"application/pdf")</f>
        <v>application/pdf</v>
      </c>
    </row>
    <row r="3025">
      <c r="A3025" s="339" t="str">
        <f>IFERROR(__xludf.DUMMYFUNCTION("""COMPUTED_VALUE"""),"10.1177/0956797614553009")</f>
        <v>10.1177/0956797614553009</v>
      </c>
      <c r="B3025" s="445" t="str">
        <f>IFERROR(__xludf.DUMMYFUNCTION("""COMPUTED_VALUE"""),"https://drive.google.com/file/d/1ZRJcq-rd4pEQb0DmJ1HQenA2-OH5dbEb/view?usp=drivesdk")</f>
        <v>https://drive.google.com/file/d/1ZRJcq-rd4pEQb0DmJ1HQenA2-OH5dbEb/view?usp=drivesdk</v>
      </c>
      <c r="C3025" s="339" t="str">
        <f>IFERROR(__xludf.DUMMYFUNCTION("""COMPUTED_VALUE"""),"10.1177--0956797614553009.pdf")</f>
        <v>10.1177--0956797614553009.pdf</v>
      </c>
      <c r="D3025" s="159" t="str">
        <f>IFERROR(__xludf.DUMMYFUNCTION("""COMPUTED_VALUE"""),"application/pdf")</f>
        <v>application/pdf</v>
      </c>
    </row>
    <row r="3026">
      <c r="A3026" s="339" t="str">
        <f>IFERROR(__xludf.DUMMYFUNCTION("""COMPUTED_VALUE"""),"10.1177/0956797614536739")</f>
        <v>10.1177/0956797614536739</v>
      </c>
      <c r="B3026" s="445" t="str">
        <f>IFERROR(__xludf.DUMMYFUNCTION("""COMPUTED_VALUE"""),"https://drive.google.com/file/d/1c-T-gBsf13rctIADi3rUqpv_LDEac7l1/view?usp=drivesdk")</f>
        <v>https://drive.google.com/file/d/1c-T-gBsf13rctIADi3rUqpv_LDEac7l1/view?usp=drivesdk</v>
      </c>
      <c r="C3026" s="339" t="str">
        <f>IFERROR(__xludf.DUMMYFUNCTION("""COMPUTED_VALUE"""),"10.1177--0956797614536739.pdf")</f>
        <v>10.1177--0956797614536739.pdf</v>
      </c>
      <c r="D3026" s="159" t="str">
        <f>IFERROR(__xludf.DUMMYFUNCTION("""COMPUTED_VALUE"""),"application/pdf")</f>
        <v>application/pdf</v>
      </c>
    </row>
    <row r="3027">
      <c r="A3027" s="339" t="str">
        <f>IFERROR(__xludf.DUMMYFUNCTION("""COMPUTED_VALUE"""),"10.1177/0956797614547705")</f>
        <v>10.1177/0956797614547705</v>
      </c>
      <c r="B3027" s="445" t="str">
        <f>IFERROR(__xludf.DUMMYFUNCTION("""COMPUTED_VALUE"""),"https://drive.google.com/file/d/1hMU234raFGJtbZQ16uhu9mUFuosskYBK/view?usp=drivesdk")</f>
        <v>https://drive.google.com/file/d/1hMU234raFGJtbZQ16uhu9mUFuosskYBK/view?usp=drivesdk</v>
      </c>
      <c r="C3027" s="339" t="str">
        <f>IFERROR(__xludf.DUMMYFUNCTION("""COMPUTED_VALUE"""),"10.1177--0956797614547705.pdf")</f>
        <v>10.1177--0956797614547705.pdf</v>
      </c>
      <c r="D3027" s="159" t="str">
        <f>IFERROR(__xludf.DUMMYFUNCTION("""COMPUTED_VALUE"""),"application/pdf")</f>
        <v>application/pdf</v>
      </c>
    </row>
    <row r="3028">
      <c r="A3028" s="339" t="str">
        <f>IFERROR(__xludf.DUMMYFUNCTION("""COMPUTED_VALUE"""),"10.1177/0956797614534693")</f>
        <v>10.1177/0956797614534693</v>
      </c>
      <c r="B3028" s="445" t="str">
        <f>IFERROR(__xludf.DUMMYFUNCTION("""COMPUTED_VALUE"""),"https://drive.google.com/file/d/1dcM9NQdz9QH53PQ7hkiNVOhT5nBAY9Vn/view?usp=drivesdk")</f>
        <v>https://drive.google.com/file/d/1dcM9NQdz9QH53PQ7hkiNVOhT5nBAY9Vn/view?usp=drivesdk</v>
      </c>
      <c r="C3028" s="339" t="str">
        <f>IFERROR(__xludf.DUMMYFUNCTION("""COMPUTED_VALUE"""),"10.1177--0956797614534693.pdf")</f>
        <v>10.1177--0956797614534693.pdf</v>
      </c>
      <c r="D3028" s="159" t="str">
        <f>IFERROR(__xludf.DUMMYFUNCTION("""COMPUTED_VALUE"""),"application/pdf")</f>
        <v>application/pdf</v>
      </c>
    </row>
    <row r="3029">
      <c r="A3029" s="339" t="str">
        <f>IFERROR(__xludf.DUMMYFUNCTION("""COMPUTED_VALUE"""),"10.1177/0956797614527113")</f>
        <v>10.1177/0956797614527113</v>
      </c>
      <c r="B3029" s="445" t="str">
        <f>IFERROR(__xludf.DUMMYFUNCTION("""COMPUTED_VALUE"""),"https://drive.google.com/file/d/1eY8ustezkGTBEFCvn47T4iFMNEc9SoCR/view?usp=drivesdk")</f>
        <v>https://drive.google.com/file/d/1eY8ustezkGTBEFCvn47T4iFMNEc9SoCR/view?usp=drivesdk</v>
      </c>
      <c r="C3029" s="339" t="str">
        <f>IFERROR(__xludf.DUMMYFUNCTION("""COMPUTED_VALUE"""),"10.1177--0956797614527113.pdf")</f>
        <v>10.1177--0956797614527113.pdf</v>
      </c>
      <c r="D3029" s="159" t="str">
        <f>IFERROR(__xludf.DUMMYFUNCTION("""COMPUTED_VALUE"""),"application/pdf")</f>
        <v>application/pdf</v>
      </c>
    </row>
    <row r="3030">
      <c r="A3030" s="339" t="str">
        <f>IFERROR(__xludf.DUMMYFUNCTION("""COMPUTED_VALUE"""),"10.1177/0956797614526415")</f>
        <v>10.1177/0956797614526415</v>
      </c>
      <c r="B3030" s="445" t="str">
        <f>IFERROR(__xludf.DUMMYFUNCTION("""COMPUTED_VALUE"""),"https://drive.google.com/file/d/16mzj15ffaodG7p7OkXeRFIl06zUe0OUG/view?usp=drivesdk")</f>
        <v>https://drive.google.com/file/d/16mzj15ffaodG7p7OkXeRFIl06zUe0OUG/view?usp=drivesdk</v>
      </c>
      <c r="C3030" s="339" t="str">
        <f>IFERROR(__xludf.DUMMYFUNCTION("""COMPUTED_VALUE"""),"10.1177--0956797614526415.pdf")</f>
        <v>10.1177--0956797614526415.pdf</v>
      </c>
      <c r="D3030" s="159" t="str">
        <f>IFERROR(__xludf.DUMMYFUNCTION("""COMPUTED_VALUE"""),"application/pdf")</f>
        <v>application/pdf</v>
      </c>
    </row>
    <row r="3031">
      <c r="A3031" s="339" t="str">
        <f>IFERROR(__xludf.DUMMYFUNCTION("""COMPUTED_VALUE"""),"10.1177/0956797613508412")</f>
        <v>10.1177/0956797613508412</v>
      </c>
      <c r="B3031" s="445" t="str">
        <f>IFERROR(__xludf.DUMMYFUNCTION("""COMPUTED_VALUE"""),"https://drive.google.com/file/d/1VYqvNkQuJmP378cGj71lJ4JV-clMH0Yv/view?usp=drivesdk")</f>
        <v>https://drive.google.com/file/d/1VYqvNkQuJmP378cGj71lJ4JV-clMH0Yv/view?usp=drivesdk</v>
      </c>
      <c r="C3031" s="339" t="str">
        <f>IFERROR(__xludf.DUMMYFUNCTION("""COMPUTED_VALUE"""),"10.1177--0956797613508412.pdf")</f>
        <v>10.1177--0956797613508412.pdf</v>
      </c>
      <c r="D3031" s="159" t="str">
        <f>IFERROR(__xludf.DUMMYFUNCTION("""COMPUTED_VALUE"""),"application/pdf")</f>
        <v>application/pdf</v>
      </c>
    </row>
    <row r="3032">
      <c r="A3032" s="339" t="str">
        <f>IFERROR(__xludf.DUMMYFUNCTION("""COMPUTED_VALUE"""),"10.1177/0956797613502732")</f>
        <v>10.1177/0956797613502732</v>
      </c>
      <c r="B3032" s="445" t="str">
        <f>IFERROR(__xludf.DUMMYFUNCTION("""COMPUTED_VALUE"""),"https://drive.google.com/file/d/1oYbk_RfphQEQTiM6p882mmwIrb7aGJDY/view?usp=drivesdk")</f>
        <v>https://drive.google.com/file/d/1oYbk_RfphQEQTiM6p882mmwIrb7aGJDY/view?usp=drivesdk</v>
      </c>
      <c r="C3032" s="339" t="str">
        <f>IFERROR(__xludf.DUMMYFUNCTION("""COMPUTED_VALUE"""),"10.1177--0956797613502732.pdf")</f>
        <v>10.1177--0956797613502732.pdf</v>
      </c>
      <c r="D3032" s="159" t="str">
        <f>IFERROR(__xludf.DUMMYFUNCTION("""COMPUTED_VALUE"""),"application/pdf")</f>
        <v>application/pdf</v>
      </c>
    </row>
    <row r="3033">
      <c r="A3033" s="339" t="str">
        <f>IFERROR(__xludf.DUMMYFUNCTION("""COMPUTED_VALUE"""),"10.1177/0956797613486983")</f>
        <v>10.1177/0956797613486983</v>
      </c>
      <c r="B3033" s="445" t="str">
        <f>IFERROR(__xludf.DUMMYFUNCTION("""COMPUTED_VALUE"""),"https://drive.google.com/file/d/1GB5oPjHVuDXBTZ2__Had-zRIf9ZK4G7S/view?usp=drivesdk")</f>
        <v>https://drive.google.com/file/d/1GB5oPjHVuDXBTZ2__Had-zRIf9ZK4G7S/view?usp=drivesdk</v>
      </c>
      <c r="C3033" s="339" t="str">
        <f>IFERROR(__xludf.DUMMYFUNCTION("""COMPUTED_VALUE"""),"10.1177--0956797613486983.pdf")</f>
        <v>10.1177--0956797613486983.pdf</v>
      </c>
      <c r="D3033" s="159" t="str">
        <f>IFERROR(__xludf.DUMMYFUNCTION("""COMPUTED_VALUE"""),"application/pdf")</f>
        <v>application/pdf</v>
      </c>
    </row>
    <row r="3034">
      <c r="A3034" s="339" t="str">
        <f>IFERROR(__xludf.DUMMYFUNCTION("""COMPUTED_VALUE"""),"10.1177/0956797613494853")</f>
        <v>10.1177/0956797613494853</v>
      </c>
      <c r="B3034" s="445" t="str">
        <f>IFERROR(__xludf.DUMMYFUNCTION("""COMPUTED_VALUE"""),"https://drive.google.com/file/d/1W2aCwE3Z8jN-Xdqb3awaTWO-3SquFMRh/view?usp=drivesdk")</f>
        <v>https://drive.google.com/file/d/1W2aCwE3Z8jN-Xdqb3awaTWO-3SquFMRh/view?usp=drivesdk</v>
      </c>
      <c r="C3034" s="339" t="str">
        <f>IFERROR(__xludf.DUMMYFUNCTION("""COMPUTED_VALUE"""),"10.1177--0956797613494853.pdf")</f>
        <v>10.1177--0956797613494853.pdf</v>
      </c>
      <c r="D3034" s="159" t="str">
        <f>IFERROR(__xludf.DUMMYFUNCTION("""COMPUTED_VALUE"""),"application/pdf")</f>
        <v>application/pdf</v>
      </c>
    </row>
    <row r="3035">
      <c r="A3035" s="339" t="str">
        <f>IFERROR(__xludf.DUMMYFUNCTION("""COMPUTED_VALUE"""),"10.1177/0956797612449177")</f>
        <v>10.1177/0956797612449177</v>
      </c>
      <c r="B3035" s="445" t="str">
        <f>IFERROR(__xludf.DUMMYFUNCTION("""COMPUTED_VALUE"""),"https://drive.google.com/file/d/1v5J8Cnv26X6sTt4VLBH9e2mvCWSnQGm4/view?usp=drivesdk")</f>
        <v>https://drive.google.com/file/d/1v5J8Cnv26X6sTt4VLBH9e2mvCWSnQGm4/view?usp=drivesdk</v>
      </c>
      <c r="C3035" s="339" t="str">
        <f>IFERROR(__xludf.DUMMYFUNCTION("""COMPUTED_VALUE"""),"10.1177--0956797612449177.pdf")</f>
        <v>10.1177--0956797612449177.pdf</v>
      </c>
      <c r="D3035" s="159" t="str">
        <f>IFERROR(__xludf.DUMMYFUNCTION("""COMPUTED_VALUE"""),"application/pdf")</f>
        <v>application/pdf</v>
      </c>
    </row>
    <row r="3036">
      <c r="A3036" s="339" t="str">
        <f>IFERROR(__xludf.DUMMYFUNCTION("""COMPUTED_VALUE"""),"10.1177/0956797612445318")</f>
        <v>10.1177/0956797612445318</v>
      </c>
      <c r="B3036" s="445" t="str">
        <f>IFERROR(__xludf.DUMMYFUNCTION("""COMPUTED_VALUE"""),"https://drive.google.com/file/d/1a3fJ6JRdrPHSo50DdCUrYLisEZcHfG31/view?usp=drivesdk")</f>
        <v>https://drive.google.com/file/d/1a3fJ6JRdrPHSo50DdCUrYLisEZcHfG31/view?usp=drivesdk</v>
      </c>
      <c r="C3036" s="339" t="str">
        <f>IFERROR(__xludf.DUMMYFUNCTION("""COMPUTED_VALUE"""),"10.1177--0956797612445318.pdf")</f>
        <v>10.1177--0956797612445318.pdf</v>
      </c>
      <c r="D3036" s="159" t="str">
        <f>IFERROR(__xludf.DUMMYFUNCTION("""COMPUTED_VALUE"""),"application/pdf")</f>
        <v>application/pdf</v>
      </c>
    </row>
    <row r="3037">
      <c r="A3037" s="339" t="str">
        <f>IFERROR(__xludf.DUMMYFUNCTION("""COMPUTED_VALUE"""),"10.1177/0956797612444613")</f>
        <v>10.1177/0956797612444613</v>
      </c>
      <c r="B3037" s="445" t="str">
        <f>IFERROR(__xludf.DUMMYFUNCTION("""COMPUTED_VALUE"""),"https://drive.google.com/file/d/1YxSLKvJhCAZvjLwh2Dxi3CO9YKNSkWkP/view?usp=drivesdk")</f>
        <v>https://drive.google.com/file/d/1YxSLKvJhCAZvjLwh2Dxi3CO9YKNSkWkP/view?usp=drivesdk</v>
      </c>
      <c r="C3037" s="339" t="str">
        <f>IFERROR(__xludf.DUMMYFUNCTION("""COMPUTED_VALUE"""),"10.1177--0956797612444613.pdf")</f>
        <v>10.1177--0956797612444613.pdf</v>
      </c>
      <c r="D3037" s="159" t="str">
        <f>IFERROR(__xludf.DUMMYFUNCTION("""COMPUTED_VALUE"""),"application/pdf")</f>
        <v>application/pdf</v>
      </c>
    </row>
    <row r="3038">
      <c r="A3038" s="339" t="str">
        <f>IFERROR(__xludf.DUMMYFUNCTION("""COMPUTED_VALUE"""),"10.1177/0956797612443838")</f>
        <v>10.1177/0956797612443838</v>
      </c>
      <c r="B3038" s="445" t="str">
        <f>IFERROR(__xludf.DUMMYFUNCTION("""COMPUTED_VALUE"""),"https://drive.google.com/file/d/13GWPRI4Xmytw-ass-yZ5q0c9b-PXmtD4/view?usp=drivesdk")</f>
        <v>https://drive.google.com/file/d/13GWPRI4Xmytw-ass-yZ5q0c9b-PXmtD4/view?usp=drivesdk</v>
      </c>
      <c r="C3038" s="339" t="str">
        <f>IFERROR(__xludf.DUMMYFUNCTION("""COMPUTED_VALUE"""),"10.1177--0956797612443838.pdf")</f>
        <v>10.1177--0956797612443838.pdf</v>
      </c>
      <c r="D3038" s="159" t="str">
        <f>IFERROR(__xludf.DUMMYFUNCTION("""COMPUTED_VALUE"""),"application/pdf")</f>
        <v>application/pdf</v>
      </c>
    </row>
    <row r="3039">
      <c r="A3039" s="339" t="str">
        <f>IFERROR(__xludf.DUMMYFUNCTION("""COMPUTED_VALUE"""),"10.1177/0956797611434540")</f>
        <v>10.1177/0956797611434540</v>
      </c>
      <c r="B3039" s="445" t="str">
        <f>IFERROR(__xludf.DUMMYFUNCTION("""COMPUTED_VALUE"""),"https://drive.google.com/file/d/1e8g4jGrxeuAKV2niPFAdDVB88LKnVgdm/view?usp=drivesdk")</f>
        <v>https://drive.google.com/file/d/1e8g4jGrxeuAKV2niPFAdDVB88LKnVgdm/view?usp=drivesdk</v>
      </c>
      <c r="C3039" s="339" t="str">
        <f>IFERROR(__xludf.DUMMYFUNCTION("""COMPUTED_VALUE"""),"10.1177--0956797611434540.pdf")</f>
        <v>10.1177--0956797611434540.pdf</v>
      </c>
      <c r="D3039" s="159" t="str">
        <f>IFERROR(__xludf.DUMMYFUNCTION("""COMPUTED_VALUE"""),"application/pdf")</f>
        <v>application/pdf</v>
      </c>
    </row>
    <row r="3040">
      <c r="A3040" s="339" t="str">
        <f>IFERROR(__xludf.DUMMYFUNCTION("""COMPUTED_VALUE"""),"10.1177/0956797611434537")</f>
        <v>10.1177/0956797611434537</v>
      </c>
      <c r="B3040" s="445" t="str">
        <f>IFERROR(__xludf.DUMMYFUNCTION("""COMPUTED_VALUE"""),"https://drive.google.com/file/d/15LBKsey4dgrPQTiibNv2Qi9TOTbc3lk1/view?usp=drivesdk")</f>
        <v>https://drive.google.com/file/d/15LBKsey4dgrPQTiibNv2Qi9TOTbc3lk1/view?usp=drivesdk</v>
      </c>
      <c r="C3040" s="339" t="str">
        <f>IFERROR(__xludf.DUMMYFUNCTION("""COMPUTED_VALUE"""),"10.1177--0956797611434537.pdf")</f>
        <v>10.1177--0956797611434537.pdf</v>
      </c>
      <c r="D3040" s="159" t="str">
        <f>IFERROR(__xludf.DUMMYFUNCTION("""COMPUTED_VALUE"""),"application/pdf")</f>
        <v>application/pdf</v>
      </c>
    </row>
    <row r="3041">
      <c r="A3041" s="339" t="str">
        <f>IFERROR(__xludf.DUMMYFUNCTION("""COMPUTED_VALUE"""),"10.1177/0956797611429579")</f>
        <v>10.1177/0956797611429579</v>
      </c>
      <c r="B3041" s="445" t="str">
        <f>IFERROR(__xludf.DUMMYFUNCTION("""COMPUTED_VALUE"""),"https://drive.google.com/file/d/1qh6jn8CXzXmvxEifk6kq4pZRCYHNO1mu/view?usp=drivesdk")</f>
        <v>https://drive.google.com/file/d/1qh6jn8CXzXmvxEifk6kq4pZRCYHNO1mu/view?usp=drivesdk</v>
      </c>
      <c r="C3041" s="339" t="str">
        <f>IFERROR(__xludf.DUMMYFUNCTION("""COMPUTED_VALUE"""),"10.1177--0956797611429579.pdf")</f>
        <v>10.1177--0956797611429579.pdf</v>
      </c>
      <c r="D3041" s="159" t="str">
        <f>IFERROR(__xludf.DUMMYFUNCTION("""COMPUTED_VALUE"""),"application/pdf")</f>
        <v>application/pdf</v>
      </c>
    </row>
    <row r="3042">
      <c r="A3042" s="339" t="str">
        <f>IFERROR(__xludf.DUMMYFUNCTION("""COMPUTED_VALUE"""),"10.1177/0956797611428079")</f>
        <v>10.1177/0956797611428079</v>
      </c>
      <c r="B3042" s="445" t="str">
        <f>IFERROR(__xludf.DUMMYFUNCTION("""COMPUTED_VALUE"""),"https://drive.google.com/file/d/18dLuHsJaHfEuFpmJ9coLBrlcbxYHVgpG/view?usp=drivesdk")</f>
        <v>https://drive.google.com/file/d/18dLuHsJaHfEuFpmJ9coLBrlcbxYHVgpG/view?usp=drivesdk</v>
      </c>
      <c r="C3042" s="339" t="str">
        <f>IFERROR(__xludf.DUMMYFUNCTION("""COMPUTED_VALUE"""),"10.1177--0956797611428079.pdf")</f>
        <v>10.1177--0956797611428079.pdf</v>
      </c>
      <c r="D3042" s="159" t="str">
        <f>IFERROR(__xludf.DUMMYFUNCTION("""COMPUTED_VALUE"""),"application/pdf")</f>
        <v>application/pdf</v>
      </c>
    </row>
    <row r="3043">
      <c r="A3043" s="339" t="str">
        <f>IFERROR(__xludf.DUMMYFUNCTION("""COMPUTED_VALUE"""),"10.1177/0956797611419168")</f>
        <v>10.1177/0956797611419168</v>
      </c>
      <c r="B3043" s="445" t="str">
        <f>IFERROR(__xludf.DUMMYFUNCTION("""COMPUTED_VALUE"""),"https://drive.google.com/file/d/1nanNymgjGLBTTIftwQHD0CPkPgFLXjko/view?usp=drivesdk")</f>
        <v>https://drive.google.com/file/d/1nanNymgjGLBTTIftwQHD0CPkPgFLXjko/view?usp=drivesdk</v>
      </c>
      <c r="C3043" s="339" t="str">
        <f>IFERROR(__xludf.DUMMYFUNCTION("""COMPUTED_VALUE"""),"10.1177--0956797611419168.pdf")</f>
        <v>10.1177--0956797611419168.pdf</v>
      </c>
      <c r="D3043" s="159" t="str">
        <f>IFERROR(__xludf.DUMMYFUNCTION("""COMPUTED_VALUE"""),"application/pdf")</f>
        <v>application/pdf</v>
      </c>
    </row>
    <row r="3044">
      <c r="A3044" s="339" t="str">
        <f>IFERROR(__xludf.DUMMYFUNCTION("""COMPUTED_VALUE"""),"10.1177/0956797611418350")</f>
        <v>10.1177/0956797611418350</v>
      </c>
      <c r="B3044" s="445" t="str">
        <f>IFERROR(__xludf.DUMMYFUNCTION("""COMPUTED_VALUE"""),"https://drive.google.com/file/d/1b6PUvKuNu674etG4K94ZBLDQXEuYuOgp/view?usp=drivesdk")</f>
        <v>https://drive.google.com/file/d/1b6PUvKuNu674etG4K94ZBLDQXEuYuOgp/view?usp=drivesdk</v>
      </c>
      <c r="C3044" s="339" t="str">
        <f>IFERROR(__xludf.DUMMYFUNCTION("""COMPUTED_VALUE"""),"10.1177--0956797611418350.pdf")</f>
        <v>10.1177--0956797611418350.pdf</v>
      </c>
      <c r="D3044" s="159" t="str">
        <f>IFERROR(__xludf.DUMMYFUNCTION("""COMPUTED_VALUE"""),"application/pdf")</f>
        <v>application/pdf</v>
      </c>
    </row>
    <row r="3045">
      <c r="A3045" s="339" t="str">
        <f>IFERROR(__xludf.DUMMYFUNCTION("""COMPUTED_VALUE"""),"10.1177/0956797611414726")</f>
        <v>10.1177/0956797611414726</v>
      </c>
      <c r="B3045" s="445" t="str">
        <f>IFERROR(__xludf.DUMMYFUNCTION("""COMPUTED_VALUE"""),"https://drive.google.com/file/d/1M2bQUYW3MLXQBgi-vbBlJhTa0bUosI7r/view?usp=drivesdk")</f>
        <v>https://drive.google.com/file/d/1M2bQUYW3MLXQBgi-vbBlJhTa0bUosI7r/view?usp=drivesdk</v>
      </c>
      <c r="C3045" s="339" t="str">
        <f>IFERROR(__xludf.DUMMYFUNCTION("""COMPUTED_VALUE"""),"10.1177--0956797611414726.pdf")</f>
        <v>10.1177--0956797611414726.pdf</v>
      </c>
      <c r="D3045" s="159" t="str">
        <f>IFERROR(__xludf.DUMMYFUNCTION("""COMPUTED_VALUE"""),"application/pdf")</f>
        <v>application/pdf</v>
      </c>
    </row>
    <row r="3046">
      <c r="A3046" s="339" t="str">
        <f>IFERROR(__xludf.DUMMYFUNCTION("""COMPUTED_VALUE"""),"10.1177/0956797611398497")</f>
        <v>10.1177/0956797611398497</v>
      </c>
      <c r="B3046" s="445" t="str">
        <f>IFERROR(__xludf.DUMMYFUNCTION("""COMPUTED_VALUE"""),"https://drive.google.com/file/d/1Q4Hoav-REKO6sqw8lr1uJnRm7Q_FXUIN/view?usp=drivesdk")</f>
        <v>https://drive.google.com/file/d/1Q4Hoav-REKO6sqw8lr1uJnRm7Q_FXUIN/view?usp=drivesdk</v>
      </c>
      <c r="C3046" s="339" t="str">
        <f>IFERROR(__xludf.DUMMYFUNCTION("""COMPUTED_VALUE"""),"10.1177--0956797611398497.pdf")</f>
        <v>10.1177--0956797611398497.pdf</v>
      </c>
      <c r="D3046" s="159" t="str">
        <f>IFERROR(__xludf.DUMMYFUNCTION("""COMPUTED_VALUE"""),"application/pdf")</f>
        <v>application/pdf</v>
      </c>
    </row>
    <row r="3047">
      <c r="A3047" s="339" t="str">
        <f>IFERROR(__xludf.DUMMYFUNCTION("""COMPUTED_VALUE"""),"10.1177/0956797610397956")</f>
        <v>10.1177/0956797610397956</v>
      </c>
      <c r="B3047" s="445" t="str">
        <f>IFERROR(__xludf.DUMMYFUNCTION("""COMPUTED_VALUE"""),"https://drive.google.com/file/d/10j2TatiM7HXzQ8gGJAAToPEOpY8k8IgA/view?usp=drivesdk")</f>
        <v>https://drive.google.com/file/d/10j2TatiM7HXzQ8gGJAAToPEOpY8k8IgA/view?usp=drivesdk</v>
      </c>
      <c r="C3047" s="339" t="str">
        <f>IFERROR(__xludf.DUMMYFUNCTION("""COMPUTED_VALUE"""),"10.1177--0956797610397956.pdf")</f>
        <v>10.1177--0956797610397956.pdf</v>
      </c>
      <c r="D3047" s="159" t="str">
        <f>IFERROR(__xludf.DUMMYFUNCTION("""COMPUTED_VALUE"""),"application/pdf")</f>
        <v>application/pdf</v>
      </c>
    </row>
    <row r="3048">
      <c r="A3048" s="339" t="str">
        <f>IFERROR(__xludf.DUMMYFUNCTION("""COMPUTED_VALUE"""),"10.1177/0956797610395393")</f>
        <v>10.1177/0956797610395393</v>
      </c>
      <c r="B3048" s="445" t="str">
        <f>IFERROR(__xludf.DUMMYFUNCTION("""COMPUTED_VALUE"""),"https://drive.google.com/file/d/114EidPR7T0rdM2v9diqArcO-SjszUvCV/view?usp=drivesdk")</f>
        <v>https://drive.google.com/file/d/114EidPR7T0rdM2v9diqArcO-SjszUvCV/view?usp=drivesdk</v>
      </c>
      <c r="C3048" s="339" t="str">
        <f>IFERROR(__xludf.DUMMYFUNCTION("""COMPUTED_VALUE"""),"10.1177--0956797610395393.pdf")</f>
        <v>10.1177--0956797610395393.pdf</v>
      </c>
      <c r="D3048" s="159" t="str">
        <f>IFERROR(__xludf.DUMMYFUNCTION("""COMPUTED_VALUE"""),"application/pdf")</f>
        <v>application/pdf</v>
      </c>
    </row>
    <row r="3049">
      <c r="A3049" s="339" t="str">
        <f>IFERROR(__xludf.DUMMYFUNCTION("""COMPUTED_VALUE"""),"10.1177/0956797610384746")</f>
        <v>10.1177/0956797610384746</v>
      </c>
      <c r="B3049" s="445" t="str">
        <f>IFERROR(__xludf.DUMMYFUNCTION("""COMPUTED_VALUE"""),"https://drive.google.com/file/d/1QvCfNwfC2L6h4poQe8Nd8CTgttfsWFTm/view?usp=drivesdk")</f>
        <v>https://drive.google.com/file/d/1QvCfNwfC2L6h4poQe8Nd8CTgttfsWFTm/view?usp=drivesdk</v>
      </c>
      <c r="C3049" s="339" t="str">
        <f>IFERROR(__xludf.DUMMYFUNCTION("""COMPUTED_VALUE"""),"10.1177--0956797610384746.pdf")</f>
        <v>10.1177--0956797610384746.pdf</v>
      </c>
      <c r="D3049" s="159" t="str">
        <f>IFERROR(__xludf.DUMMYFUNCTION("""COMPUTED_VALUE"""),"application/pdf")</f>
        <v>application/pdf</v>
      </c>
    </row>
    <row r="3050">
      <c r="A3050" s="339" t="str">
        <f>IFERROR(__xludf.DUMMYFUNCTION("""COMPUTED_VALUE"""),"10.1177/0956797610383437")</f>
        <v>10.1177/0956797610383437</v>
      </c>
      <c r="B3050" s="445" t="str">
        <f>IFERROR(__xludf.DUMMYFUNCTION("""COMPUTED_VALUE"""),"https://drive.google.com/file/d/1qeprGIAy7AN_pByPqzOUMvJ-k5SpkEYf/view?usp=drivesdk")</f>
        <v>https://drive.google.com/file/d/1qeprGIAy7AN_pByPqzOUMvJ-k5SpkEYf/view?usp=drivesdk</v>
      </c>
      <c r="C3050" s="339" t="str">
        <f>IFERROR(__xludf.DUMMYFUNCTION("""COMPUTED_VALUE"""),"10.1177--0956797610383437.pdf")</f>
        <v>10.1177--0956797610383437.pdf</v>
      </c>
      <c r="D3050" s="159" t="str">
        <f>IFERROR(__xludf.DUMMYFUNCTION("""COMPUTED_VALUE"""),"application/pdf")</f>
        <v>application/pdf</v>
      </c>
    </row>
    <row r="3051">
      <c r="A3051" s="339" t="str">
        <f>IFERROR(__xludf.DUMMYFUNCTION("""COMPUTED_VALUE"""),"10.1177/0956797610363775")</f>
        <v>10.1177/0956797610363775</v>
      </c>
      <c r="B3051" s="445" t="str">
        <f>IFERROR(__xludf.DUMMYFUNCTION("""COMPUTED_VALUE"""),"https://drive.google.com/file/d/1EwNygj4VffnCLPK-P7EFlmo0-tV2NKRN/view?usp=drivesdk")</f>
        <v>https://drive.google.com/file/d/1EwNygj4VffnCLPK-P7EFlmo0-tV2NKRN/view?usp=drivesdk</v>
      </c>
      <c r="C3051" s="339" t="str">
        <f>IFERROR(__xludf.DUMMYFUNCTION("""COMPUTED_VALUE"""),"10.1177--0956797610363775.pdf")</f>
        <v>10.1177--0956797610363775.pdf</v>
      </c>
      <c r="D3051" s="159" t="str">
        <f>IFERROR(__xludf.DUMMYFUNCTION("""COMPUTED_VALUE"""),"application/pdf")</f>
        <v>application/pdf</v>
      </c>
    </row>
    <row r="3052">
      <c r="A3052" s="339" t="str">
        <f>IFERROR(__xludf.DUMMYFUNCTION("""COMPUTED_VALUE"""),"10.1177/0956797610372631")</f>
        <v>10.1177/0956797610372631</v>
      </c>
      <c r="B3052" s="445" t="str">
        <f>IFERROR(__xludf.DUMMYFUNCTION("""COMPUTED_VALUE"""),"https://drive.google.com/file/d/1fTRsNjUSigNQXhqc1pXcjQ_2Nx-X6BFV/view?usp=drivesdk")</f>
        <v>https://drive.google.com/file/d/1fTRsNjUSigNQXhqc1pXcjQ_2Nx-X6BFV/view?usp=drivesdk</v>
      </c>
      <c r="C3052" s="339" t="str">
        <f>IFERROR(__xludf.DUMMYFUNCTION("""COMPUTED_VALUE"""),"10.1177--0956797610372631.pdf")</f>
        <v>10.1177--0956797610372631.pdf</v>
      </c>
      <c r="D3052" s="159" t="str">
        <f>IFERROR(__xludf.DUMMYFUNCTION("""COMPUTED_VALUE"""),"application/pdf")</f>
        <v>application/pdf</v>
      </c>
    </row>
    <row r="3053">
      <c r="A3053" s="339" t="str">
        <f>IFERROR(__xludf.DUMMYFUNCTION("""COMPUTED_VALUE"""),"10.1177/0956797609358096")</f>
        <v>10.1177/0956797609358096</v>
      </c>
      <c r="B3053" s="445" t="str">
        <f>IFERROR(__xludf.DUMMYFUNCTION("""COMPUTED_VALUE"""),"https://drive.google.com/file/d/1u2KiampcOcT7G124TEOiIzae-KDknBmd/view?usp=drivesdk")</f>
        <v>https://drive.google.com/file/d/1u2KiampcOcT7G124TEOiIzae-KDknBmd/view?usp=drivesdk</v>
      </c>
      <c r="C3053" s="339" t="str">
        <f>IFERROR(__xludf.DUMMYFUNCTION("""COMPUTED_VALUE"""),"10.1177--0956797609358096.pdf")</f>
        <v>10.1177--0956797609358096.pdf</v>
      </c>
      <c r="D3053" s="159" t="str">
        <f>IFERROR(__xludf.DUMMYFUNCTION("""COMPUTED_VALUE"""),"application/pdf")</f>
        <v>application/pdf</v>
      </c>
    </row>
    <row r="3054">
      <c r="A3054" s="339" t="str">
        <f>IFERROR(__xludf.DUMMYFUNCTION("""COMPUTED_VALUE"""),"10.1177/030631293023002004")</f>
        <v>10.1177/030631293023002004</v>
      </c>
      <c r="B3054" s="445" t="str">
        <f>IFERROR(__xludf.DUMMYFUNCTION("""COMPUTED_VALUE"""),"https://drive.google.com/file/d/1XZ_zxm3xyVj2TD9ZkpEejEYcPp9nIzht/view?usp=drivesdk")</f>
        <v>https://drive.google.com/file/d/1XZ_zxm3xyVj2TD9ZkpEejEYcPp9nIzht/view?usp=drivesdk</v>
      </c>
      <c r="C3054" s="339" t="str">
        <f>IFERROR(__xludf.DUMMYFUNCTION("""COMPUTED_VALUE"""),"10.1177--030631293023002004.pdf")</f>
        <v>10.1177--030631293023002004.pdf</v>
      </c>
      <c r="D3054" s="159" t="str">
        <f>IFERROR(__xludf.DUMMYFUNCTION("""COMPUTED_VALUE"""),"application/pdf")</f>
        <v>application/pdf</v>
      </c>
    </row>
    <row r="3055">
      <c r="A3055" s="339" t="str">
        <f>IFERROR(__xludf.DUMMYFUNCTION("""COMPUTED_VALUE"""),"10.1177/0261927x01020004004")</f>
        <v>10.1177/0261927x01020004004</v>
      </c>
      <c r="B3055" s="445" t="str">
        <f>IFERROR(__xludf.DUMMYFUNCTION("""COMPUTED_VALUE"""),"https://drive.google.com/file/d/1sjdW_JBf7Xvavc-j0ZYGAQkqF_EQI8iP/view?usp=drivesdk")</f>
        <v>https://drive.google.com/file/d/1sjdW_JBf7Xvavc-j0ZYGAQkqF_EQI8iP/view?usp=drivesdk</v>
      </c>
      <c r="C3055" s="339" t="str">
        <f>IFERROR(__xludf.DUMMYFUNCTION("""COMPUTED_VALUE"""),"10.1177--0261927X01020004004.pdf")</f>
        <v>10.1177--0261927X01020004004.pdf</v>
      </c>
      <c r="D3055" s="159" t="str">
        <f>IFERROR(__xludf.DUMMYFUNCTION("""COMPUTED_VALUE"""),"application/pdf")</f>
        <v>application/pdf</v>
      </c>
    </row>
    <row r="3056">
      <c r="A3056" s="339" t="str">
        <f>IFERROR(__xludf.DUMMYFUNCTION("""COMPUTED_VALUE"""),"10.1177/01461672952111004")</f>
        <v>10.1177/01461672952111004</v>
      </c>
      <c r="B3056" s="445" t="str">
        <f>IFERROR(__xludf.DUMMYFUNCTION("""COMPUTED_VALUE"""),"https://drive.google.com/file/d/1DouZu51tYUlHCJt3ED5926-nk58IBtuY/view?usp=drivesdk")</f>
        <v>https://drive.google.com/file/d/1DouZu51tYUlHCJt3ED5926-nk58IBtuY/view?usp=drivesdk</v>
      </c>
      <c r="C3056" s="339" t="str">
        <f>IFERROR(__xludf.DUMMYFUNCTION("""COMPUTED_VALUE"""),"10.1177--01461672952111004.pdf")</f>
        <v>10.1177--01461672952111004.pdf</v>
      </c>
      <c r="D3056" s="159" t="str">
        <f>IFERROR(__xludf.DUMMYFUNCTION("""COMPUTED_VALUE"""),"application/pdf")</f>
        <v>application/pdf</v>
      </c>
    </row>
    <row r="3057">
      <c r="A3057" s="339" t="str">
        <f>IFERROR(__xludf.DUMMYFUNCTION("""COMPUTED_VALUE"""),"10.1177/0146167216684132")</f>
        <v>10.1177/0146167216684132</v>
      </c>
      <c r="B3057" s="445" t="str">
        <f>IFERROR(__xludf.DUMMYFUNCTION("""COMPUTED_VALUE"""),"https://drive.google.com/file/d/1OxFDVNyZI1frRjeq-YzZQaUFqgYur5QQ/view?usp=drivesdk")</f>
        <v>https://drive.google.com/file/d/1OxFDVNyZI1frRjeq-YzZQaUFqgYur5QQ/view?usp=drivesdk</v>
      </c>
      <c r="C3057" s="339" t="str">
        <f>IFERROR(__xludf.DUMMYFUNCTION("""COMPUTED_VALUE"""),"10.1177--0146167216684132.pdf")</f>
        <v>10.1177--0146167216684132.pdf</v>
      </c>
      <c r="D3057" s="159" t="str">
        <f>IFERROR(__xludf.DUMMYFUNCTION("""COMPUTED_VALUE"""),"application/pdf")</f>
        <v>application/pdf</v>
      </c>
    </row>
    <row r="3058">
      <c r="A3058" s="339" t="str">
        <f>IFERROR(__xludf.DUMMYFUNCTION("""COMPUTED_VALUE"""),"10.1177/0146167215610520")</f>
        <v>10.1177/0146167215610520</v>
      </c>
      <c r="B3058" s="445" t="str">
        <f>IFERROR(__xludf.DUMMYFUNCTION("""COMPUTED_VALUE"""),"https://drive.google.com/file/d/1xUlRe3MC-gZV8Zhd6NQNLSAYxUKd-bXT/view?usp=drivesdk")</f>
        <v>https://drive.google.com/file/d/1xUlRe3MC-gZV8Zhd6NQNLSAYxUKd-bXT/view?usp=drivesdk</v>
      </c>
      <c r="C3058" s="339" t="str">
        <f>IFERROR(__xludf.DUMMYFUNCTION("""COMPUTED_VALUE"""),"10.1177--0146167215610520.pdf")</f>
        <v>10.1177--0146167215610520.pdf</v>
      </c>
      <c r="D3058" s="159" t="str">
        <f>IFERROR(__xludf.DUMMYFUNCTION("""COMPUTED_VALUE"""),"application/pdf")</f>
        <v>application/pdf</v>
      </c>
    </row>
    <row r="3059">
      <c r="A3059" s="339" t="str">
        <f>IFERROR(__xludf.DUMMYFUNCTION("""COMPUTED_VALUE"""),"10.1177/0146167215580776")</f>
        <v>10.1177/0146167215580776</v>
      </c>
      <c r="B3059" s="445" t="str">
        <f>IFERROR(__xludf.DUMMYFUNCTION("""COMPUTED_VALUE"""),"https://drive.google.com/file/d/1sQ8SgRlBMbqW6PR-9YQps9sVh-rL9tXw/view?usp=drivesdk")</f>
        <v>https://drive.google.com/file/d/1sQ8SgRlBMbqW6PR-9YQps9sVh-rL9tXw/view?usp=drivesdk</v>
      </c>
      <c r="C3059" s="339" t="str">
        <f>IFERROR(__xludf.DUMMYFUNCTION("""COMPUTED_VALUE"""),"10.1177--0146167215580776.pdf")</f>
        <v>10.1177--0146167215580776.pdf</v>
      </c>
      <c r="D3059" s="159" t="str">
        <f>IFERROR(__xludf.DUMMYFUNCTION("""COMPUTED_VALUE"""),"application/pdf")</f>
        <v>application/pdf</v>
      </c>
    </row>
    <row r="3060">
      <c r="A3060" s="339" t="str">
        <f>IFERROR(__xludf.DUMMYFUNCTION("""COMPUTED_VALUE"""),"10.1177/0146167215572134")</f>
        <v>10.1177/0146167215572134</v>
      </c>
      <c r="B3060" s="445" t="str">
        <f>IFERROR(__xludf.DUMMYFUNCTION("""COMPUTED_VALUE"""),"https://drive.google.com/file/d/1vagLpfu0yJBLs-8Gatz7OEVqAcsptNyV/view?usp=drivesdk")</f>
        <v>https://drive.google.com/file/d/1vagLpfu0yJBLs-8Gatz7OEVqAcsptNyV/view?usp=drivesdk</v>
      </c>
      <c r="C3060" s="339" t="str">
        <f>IFERROR(__xludf.DUMMYFUNCTION("""COMPUTED_VALUE"""),"10.1177--0146167215572134.pdf")</f>
        <v>10.1177--0146167215572134.pdf</v>
      </c>
      <c r="D3060" s="159" t="str">
        <f>IFERROR(__xludf.DUMMYFUNCTION("""COMPUTED_VALUE"""),"application/pdf")</f>
        <v>application/pdf</v>
      </c>
    </row>
    <row r="3061">
      <c r="A3061" s="339" t="str">
        <f>IFERROR(__xludf.DUMMYFUNCTION("""COMPUTED_VALUE"""),"10.1177/0146167214524992")</f>
        <v>10.1177/0146167214524992</v>
      </c>
      <c r="B3061" s="445" t="str">
        <f>IFERROR(__xludf.DUMMYFUNCTION("""COMPUTED_VALUE"""),"https://drive.google.com/file/d/1oAjR8vSHaozIl7e-9ozgY9hFTpEChKb7/view?usp=drivesdk")</f>
        <v>https://drive.google.com/file/d/1oAjR8vSHaozIl7e-9ozgY9hFTpEChKb7/view?usp=drivesdk</v>
      </c>
      <c r="C3061" s="339" t="str">
        <f>IFERROR(__xludf.DUMMYFUNCTION("""COMPUTED_VALUE"""),"10.1177--0146167214524992.pdf")</f>
        <v>10.1177--0146167214524992.pdf</v>
      </c>
      <c r="D3061" s="159" t="str">
        <f>IFERROR(__xludf.DUMMYFUNCTION("""COMPUTED_VALUE"""),"application/pdf")</f>
        <v>application/pdf</v>
      </c>
    </row>
    <row r="3062">
      <c r="A3062" s="339" t="str">
        <f>IFERROR(__xludf.DUMMYFUNCTION("""COMPUTED_VALUE"""),"10.1177/0146167212475225")</f>
        <v>10.1177/0146167212475225</v>
      </c>
      <c r="B3062" s="445" t="str">
        <f>IFERROR(__xludf.DUMMYFUNCTION("""COMPUTED_VALUE"""),"https://drive.google.com/file/d/1xWbz_w1r9P1BGfJ_vctcFlsqK4cuVLq_/view?usp=drivesdk")</f>
        <v>https://drive.google.com/file/d/1xWbz_w1r9P1BGfJ_vctcFlsqK4cuVLq_/view?usp=drivesdk</v>
      </c>
      <c r="C3062" s="339" t="str">
        <f>IFERROR(__xludf.DUMMYFUNCTION("""COMPUTED_VALUE"""),"10.1177--0146167212475225.pdf")</f>
        <v>10.1177--0146167212475225.pdf</v>
      </c>
      <c r="D3062" s="159" t="str">
        <f>IFERROR(__xludf.DUMMYFUNCTION("""COMPUTED_VALUE"""),"application/pdf")</f>
        <v>application/pdf</v>
      </c>
    </row>
    <row r="3063">
      <c r="A3063" s="339" t="str">
        <f>IFERROR(__xludf.DUMMYFUNCTION("""COMPUTED_VALUE"""),"10.1177/0146167210386238")</f>
        <v>10.1177/0146167210386238</v>
      </c>
      <c r="B3063" s="445" t="str">
        <f>IFERROR(__xludf.DUMMYFUNCTION("""COMPUTED_VALUE"""),"https://drive.google.com/file/d/1Np9c8r6_VQUD2BcEZk8o5Cy0BoXVy2Li/view?usp=drivesdk")</f>
        <v>https://drive.google.com/file/d/1Np9c8r6_VQUD2BcEZk8o5Cy0BoXVy2Li/view?usp=drivesdk</v>
      </c>
      <c r="C3063" s="339" t="str">
        <f>IFERROR(__xludf.DUMMYFUNCTION("""COMPUTED_VALUE"""),"10.1177--0146167210386238.pdf")</f>
        <v>10.1177--0146167210386238.pdf</v>
      </c>
      <c r="D3063" s="159" t="str">
        <f>IFERROR(__xludf.DUMMYFUNCTION("""COMPUTED_VALUE"""),"application/pdf")</f>
        <v>application/pdf</v>
      </c>
    </row>
    <row r="3064">
      <c r="A3064" s="339" t="str">
        <f>IFERROR(__xludf.DUMMYFUNCTION("""COMPUTED_VALUE"""),"10.1177/0146167207309195")</f>
        <v>10.1177/0146167207309195</v>
      </c>
      <c r="B3064" s="445" t="str">
        <f>IFERROR(__xludf.DUMMYFUNCTION("""COMPUTED_VALUE"""),"https://drive.google.com/file/d/1Pb_juPmIU_Q7VY9NrSeQKbDclKBuO2i4/view?usp=drivesdk")</f>
        <v>https://drive.google.com/file/d/1Pb_juPmIU_Q7VY9NrSeQKbDclKBuO2i4/view?usp=drivesdk</v>
      </c>
      <c r="C3064" s="339" t="str">
        <f>IFERROR(__xludf.DUMMYFUNCTION("""COMPUTED_VALUE"""),"10.1177--0146167207309195.pdf")</f>
        <v>10.1177--0146167207309195.pdf</v>
      </c>
      <c r="D3064" s="159" t="str">
        <f>IFERROR(__xludf.DUMMYFUNCTION("""COMPUTED_VALUE"""),"application/pdf")</f>
        <v>application/pdf</v>
      </c>
    </row>
    <row r="3065">
      <c r="A3065" s="339" t="str">
        <f>IFERROR(__xludf.DUMMYFUNCTION("""COMPUTED_VALUE"""),"10.1177/0146167202286008")</f>
        <v>10.1177/0146167202286008</v>
      </c>
      <c r="B3065" s="445" t="str">
        <f>IFERROR(__xludf.DUMMYFUNCTION("""COMPUTED_VALUE"""),"https://drive.google.com/file/d/1QqlfpnVgorDgEGsd9xjg9VdSz9ecCVY2/view?usp=drivesdk")</f>
        <v>https://drive.google.com/file/d/1QqlfpnVgorDgEGsd9xjg9VdSz9ecCVY2/view?usp=drivesdk</v>
      </c>
      <c r="C3065" s="339" t="str">
        <f>IFERROR(__xludf.DUMMYFUNCTION("""COMPUTED_VALUE"""),"10.1177--0146167202286008.pdf")</f>
        <v>10.1177--0146167202286008.pdf</v>
      </c>
      <c r="D3065" s="159" t="str">
        <f>IFERROR(__xludf.DUMMYFUNCTION("""COMPUTED_VALUE"""),"application/pdf")</f>
        <v>application/pdf</v>
      </c>
    </row>
    <row r="3066">
      <c r="A3066" s="339" t="str">
        <f>IFERROR(__xludf.DUMMYFUNCTION("""COMPUTED_VALUE"""),"10.1177/0098628315603065")</f>
        <v>10.1177/0098628315603065</v>
      </c>
      <c r="B3066" s="445" t="str">
        <f>IFERROR(__xludf.DUMMYFUNCTION("""COMPUTED_VALUE"""),"https://drive.google.com/file/d/10yaA-7vTch8W8oJSHYpgVkbEg8z8BPSk/view?usp=drivesdk")</f>
        <v>https://drive.google.com/file/d/10yaA-7vTch8W8oJSHYpgVkbEg8z8BPSk/view?usp=drivesdk</v>
      </c>
      <c r="C3066" s="339" t="str">
        <f>IFERROR(__xludf.DUMMYFUNCTION("""COMPUTED_VALUE"""),"10.1177--0098628315603065.pdf")</f>
        <v>10.1177--0098628315603065.pdf</v>
      </c>
      <c r="D3066" s="159" t="str">
        <f>IFERROR(__xludf.DUMMYFUNCTION("""COMPUTED_VALUE"""),"application/pdf")</f>
        <v>application/pdf</v>
      </c>
    </row>
    <row r="3067">
      <c r="A3067" s="339" t="str">
        <f>IFERROR(__xludf.DUMMYFUNCTION("""COMPUTED_VALUE"""),"10.1080/23273798.2020.1849749")</f>
        <v>10.1080/23273798.2020.1849749</v>
      </c>
      <c r="B3067" s="445" t="str">
        <f>IFERROR(__xludf.DUMMYFUNCTION("""COMPUTED_VALUE"""),"https://drive.google.com/file/d/1fMzA4P_bUgXzmkzRN_fCqo-PtYtnqv2j/view?usp=drivesdk")</f>
        <v>https://drive.google.com/file/d/1fMzA4P_bUgXzmkzRN_fCqo-PtYtnqv2j/view?usp=drivesdk</v>
      </c>
      <c r="C3067" s="339" t="str">
        <f>IFERROR(__xludf.DUMMYFUNCTION("""COMPUTED_VALUE"""),"10.1080--23273798.2020.1849749.pdf")</f>
        <v>10.1080--23273798.2020.1849749.pdf</v>
      </c>
      <c r="D3067" s="159" t="str">
        <f>IFERROR(__xludf.DUMMYFUNCTION("""COMPUTED_VALUE"""),"application/pdf")</f>
        <v>application/pdf</v>
      </c>
    </row>
    <row r="3068">
      <c r="A3068" s="339" t="str">
        <f>IFERROR(__xludf.DUMMYFUNCTION("""COMPUTED_VALUE"""),"10.1080/23273798.2018.1431397")</f>
        <v>10.1080/23273798.2018.1431397</v>
      </c>
      <c r="B3068" s="445" t="str">
        <f>IFERROR(__xludf.DUMMYFUNCTION("""COMPUTED_VALUE"""),"https://drive.google.com/file/d/1quS4MAYvEPtehwNPw-pIZVscM1NFoUOj/view?usp=drivesdk")</f>
        <v>https://drive.google.com/file/d/1quS4MAYvEPtehwNPw-pIZVscM1NFoUOj/view?usp=drivesdk</v>
      </c>
      <c r="C3068" s="339" t="str">
        <f>IFERROR(__xludf.DUMMYFUNCTION("""COMPUTED_VALUE"""),"10.1080--23273798.2018.1431397.pdf")</f>
        <v>10.1080--23273798.2018.1431397.pdf</v>
      </c>
      <c r="D3068" s="159" t="str">
        <f>IFERROR(__xludf.DUMMYFUNCTION("""COMPUTED_VALUE"""),"application/pdf")</f>
        <v>application/pdf</v>
      </c>
    </row>
    <row r="3069">
      <c r="A3069" s="339" t="str">
        <f>IFERROR(__xludf.DUMMYFUNCTION("""COMPUTED_VALUE"""),"10.1080/17470215908416289")</f>
        <v>10.1080/17470215908416289</v>
      </c>
      <c r="B3069" s="445" t="str">
        <f>IFERROR(__xludf.DUMMYFUNCTION("""COMPUTED_VALUE"""),"https://drive.google.com/file/d/1-2z3-hJuh_EWL-Ayget2LVe3OiM0cWJb/view?usp=drivesdk")</f>
        <v>https://drive.google.com/file/d/1-2z3-hJuh_EWL-Ayget2LVe3OiM0cWJb/view?usp=drivesdk</v>
      </c>
      <c r="C3069" s="339" t="str">
        <f>IFERROR(__xludf.DUMMYFUNCTION("""COMPUTED_VALUE"""),"10.1080--17470215908416289.pdf")</f>
        <v>10.1080--17470215908416289.pdf</v>
      </c>
      <c r="D3069" s="159" t="str">
        <f>IFERROR(__xludf.DUMMYFUNCTION("""COMPUTED_VALUE"""),"application/pdf")</f>
        <v>application/pdf</v>
      </c>
    </row>
    <row r="3070">
      <c r="A3070" s="339" t="str">
        <f>IFERROR(__xludf.DUMMYFUNCTION("""COMPUTED_VALUE"""),"10.1080/15298868.2019.1609574")</f>
        <v>10.1080/15298868.2019.1609574</v>
      </c>
      <c r="B3070" s="445" t="str">
        <f>IFERROR(__xludf.DUMMYFUNCTION("""COMPUTED_VALUE"""),"https://drive.google.com/file/d/1OhDDQNwvw1HPW_6EQklkNmTPpV2B15Ud/view?usp=drivesdk")</f>
        <v>https://drive.google.com/file/d/1OhDDQNwvw1HPW_6EQklkNmTPpV2B15Ud/view?usp=drivesdk</v>
      </c>
      <c r="C3070" s="339" t="str">
        <f>IFERROR(__xludf.DUMMYFUNCTION("""COMPUTED_VALUE"""),"10.1080--15298868.2019.1609574.pdf")</f>
        <v>10.1080--15298868.2019.1609574.pdf</v>
      </c>
      <c r="D3070" s="159" t="str">
        <f>IFERROR(__xludf.DUMMYFUNCTION("""COMPUTED_VALUE"""),"application/pdf")</f>
        <v>application/pdf</v>
      </c>
    </row>
    <row r="3071">
      <c r="A3071" s="339" t="str">
        <f>IFERROR(__xludf.DUMMYFUNCTION("""COMPUTED_VALUE"""),"10.1080/15298860500338534")</f>
        <v>10.1080/15298860500338534</v>
      </c>
      <c r="B3071" s="445" t="str">
        <f>IFERROR(__xludf.DUMMYFUNCTION("""COMPUTED_VALUE"""),"https://drive.google.com/file/d/1WyB_fPDsqRLw_BnSdCM6uoyFG1SH2iMA/view?usp=drivesdk")</f>
        <v>https://drive.google.com/file/d/1WyB_fPDsqRLw_BnSdCM6uoyFG1SH2iMA/view?usp=drivesdk</v>
      </c>
      <c r="C3071" s="339" t="str">
        <f>IFERROR(__xludf.DUMMYFUNCTION("""COMPUTED_VALUE"""),"10.1080--15298860500338534.pdf")</f>
        <v>10.1080--15298860500338534.pdf</v>
      </c>
      <c r="D3071" s="159" t="str">
        <f>IFERROR(__xludf.DUMMYFUNCTION("""COMPUTED_VALUE"""),"application/pdf")</f>
        <v>application/pdf</v>
      </c>
    </row>
    <row r="3072">
      <c r="A3072" s="339" t="str">
        <f>IFERROR(__xludf.DUMMYFUNCTION("""COMPUTED_VALUE"""),"10.1080/13869790600641905")</f>
        <v>10.1080/13869790600641905</v>
      </c>
      <c r="B3072" s="445" t="str">
        <f>IFERROR(__xludf.DUMMYFUNCTION("""COMPUTED_VALUE"""),"https://drive.google.com/file/d/1Y8W4Pu0XmqnQ5lA-X7ANKZNlSBzl4UGP/view?usp=drivesdk")</f>
        <v>https://drive.google.com/file/d/1Y8W4Pu0XmqnQ5lA-X7ANKZNlSBzl4UGP/view?usp=drivesdk</v>
      </c>
      <c r="C3072" s="339" t="str">
        <f>IFERROR(__xludf.DUMMYFUNCTION("""COMPUTED_VALUE"""),"10.1080--13869790600641905.pdf")</f>
        <v>10.1080--13869790600641905.pdf</v>
      </c>
      <c r="D3072" s="159" t="str">
        <f>IFERROR(__xludf.DUMMYFUNCTION("""COMPUTED_VALUE"""),"application/pdf")</f>
        <v>application/pdf</v>
      </c>
    </row>
    <row r="3073">
      <c r="A3073" s="339" t="str">
        <f>IFERROR(__xludf.DUMMYFUNCTION("""COMPUTED_VALUE"""),"10.1080/13576500500513565")</f>
        <v>10.1080/13576500500513565</v>
      </c>
      <c r="B3073" s="445" t="str">
        <f>IFERROR(__xludf.DUMMYFUNCTION("""COMPUTED_VALUE"""),"https://drive.google.com/file/d/1fLF2Mzhldev10C0y_NhzgQRy11WYOzxV/view?usp=drivesdk")</f>
        <v>https://drive.google.com/file/d/1fLF2Mzhldev10C0y_NhzgQRy11WYOzxV/view?usp=drivesdk</v>
      </c>
      <c r="C3073" s="339" t="str">
        <f>IFERROR(__xludf.DUMMYFUNCTION("""COMPUTED_VALUE"""),"10.1080--13576500500513565.pdf")</f>
        <v>10.1080--13576500500513565.pdf</v>
      </c>
      <c r="D3073" s="159" t="str">
        <f>IFERROR(__xludf.DUMMYFUNCTION("""COMPUTED_VALUE"""),"application/pdf")</f>
        <v>application/pdf</v>
      </c>
    </row>
    <row r="3074">
      <c r="A3074" s="339" t="str">
        <f>IFERROR(__xludf.DUMMYFUNCTION("""COMPUTED_VALUE"""),"10.1080/13506280544000110")</f>
        <v>10.1080/13506280544000110</v>
      </c>
      <c r="B3074" s="445" t="str">
        <f>IFERROR(__xludf.DUMMYFUNCTION("""COMPUTED_VALUE"""),"https://drive.google.com/file/d/16TMWmx3oUBzr8RckTX2nq_oNoNlOcVY5/view?usp=drivesdk")</f>
        <v>https://drive.google.com/file/d/16TMWmx3oUBzr8RckTX2nq_oNoNlOcVY5/view?usp=drivesdk</v>
      </c>
      <c r="C3074" s="339" t="str">
        <f>IFERROR(__xludf.DUMMYFUNCTION("""COMPUTED_VALUE"""),"10.1080--13506280544000110.pdf")</f>
        <v>10.1080--13506280544000110.pdf</v>
      </c>
      <c r="D3074" s="159" t="str">
        <f>IFERROR(__xludf.DUMMYFUNCTION("""COMPUTED_VALUE"""),"application/pdf")</f>
        <v>application/pdf</v>
      </c>
    </row>
    <row r="3075">
      <c r="A3075" s="339" t="str">
        <f>IFERROR(__xludf.DUMMYFUNCTION("""COMPUTED_VALUE"""),"10.1080/13523260.2020.1868836")</f>
        <v>10.1080/13523260.2020.1868836</v>
      </c>
      <c r="B3075" s="445" t="str">
        <f>IFERROR(__xludf.DUMMYFUNCTION("""COMPUTED_VALUE"""),"https://drive.google.com/file/d/1KC4plXYkIWysGPnao4Tklulvzel2Da4l/view?usp=drivesdk")</f>
        <v>https://drive.google.com/file/d/1KC4plXYkIWysGPnao4Tklulvzel2Da4l/view?usp=drivesdk</v>
      </c>
      <c r="C3075" s="339" t="str">
        <f>IFERROR(__xludf.DUMMYFUNCTION("""COMPUTED_VALUE"""),"10.1080--13523260.2020.1868836.pdf")</f>
        <v>10.1080--13523260.2020.1868836.pdf</v>
      </c>
      <c r="D3075" s="159" t="str">
        <f>IFERROR(__xludf.DUMMYFUNCTION("""COMPUTED_VALUE"""),"application/pdf")</f>
        <v>application/pdf</v>
      </c>
    </row>
    <row r="3076">
      <c r="A3076" s="339" t="str">
        <f>IFERROR(__xludf.DUMMYFUNCTION("""COMPUTED_VALUE"""),"10.1080/10503307.2020.1871524")</f>
        <v>10.1080/10503307.2020.1871524</v>
      </c>
      <c r="B3076" s="445" t="str">
        <f>IFERROR(__xludf.DUMMYFUNCTION("""COMPUTED_VALUE"""),"https://drive.google.com/file/d/18x2vGr9C5TmbBPxVJPLb9glWPl6R3fRW/view?usp=drivesdk")</f>
        <v>https://drive.google.com/file/d/18x2vGr9C5TmbBPxVJPLb9glWPl6R3fRW/view?usp=drivesdk</v>
      </c>
      <c r="C3076" s="339" t="str">
        <f>IFERROR(__xludf.DUMMYFUNCTION("""COMPUTED_VALUE"""),"10.1080--10503307.2020.1871524.pdf")</f>
        <v>10.1080--10503307.2020.1871524.pdf</v>
      </c>
      <c r="D3076" s="159" t="str">
        <f>IFERROR(__xludf.DUMMYFUNCTION("""COMPUTED_VALUE"""),"application/pdf")</f>
        <v>application/pdf</v>
      </c>
    </row>
    <row r="3077">
      <c r="A3077" s="339" t="str">
        <f>IFERROR(__xludf.DUMMYFUNCTION("""COMPUTED_VALUE"""),"10.1080/09515089.2014.894431")</f>
        <v>10.1080/09515089.2014.894431</v>
      </c>
      <c r="B3077" s="445" t="str">
        <f>IFERROR(__xludf.DUMMYFUNCTION("""COMPUTED_VALUE"""),"https://drive.google.com/file/d/1zG4Fc_IEv6joOTyPj0JeBdLMNt-6vqsC/view?usp=drivesdk")</f>
        <v>https://drive.google.com/file/d/1zG4Fc_IEv6joOTyPj0JeBdLMNt-6vqsC/view?usp=drivesdk</v>
      </c>
      <c r="C3077" s="339" t="str">
        <f>IFERROR(__xludf.DUMMYFUNCTION("""COMPUTED_VALUE"""),"10.1080--09515089.2014.894431.pdf")</f>
        <v>10.1080--09515089.2014.894431.pdf</v>
      </c>
      <c r="D3077" s="159" t="str">
        <f>IFERROR(__xludf.DUMMYFUNCTION("""COMPUTED_VALUE"""),"application/pdf")</f>
        <v>application/pdf</v>
      </c>
    </row>
    <row r="3078">
      <c r="A3078" s="339" t="str">
        <f>IFERROR(__xludf.DUMMYFUNCTION("""COMPUTED_VALUE"""),"10.1080/09515080903532290")</f>
        <v>10.1080/09515080903532290</v>
      </c>
      <c r="B3078" s="445" t="str">
        <f>IFERROR(__xludf.DUMMYFUNCTION("""COMPUTED_VALUE"""),"https://drive.google.com/file/d/1V4dif0GlZHpTSBPr0wrGGqKPzj36JjUm/view?usp=drivesdk")</f>
        <v>https://drive.google.com/file/d/1V4dif0GlZHpTSBPr0wrGGqKPzj36JjUm/view?usp=drivesdk</v>
      </c>
      <c r="C3078" s="339" t="str">
        <f>IFERROR(__xludf.DUMMYFUNCTION("""COMPUTED_VALUE"""),"10.1080--09515080903532290.pdf")</f>
        <v>10.1080--09515080903532290.pdf</v>
      </c>
      <c r="D3078" s="159" t="str">
        <f>IFERROR(__xludf.DUMMYFUNCTION("""COMPUTED_VALUE"""),"application/pdf")</f>
        <v>application/pdf</v>
      </c>
    </row>
    <row r="3079">
      <c r="A3079" s="339" t="str">
        <f>IFERROR(__xludf.DUMMYFUNCTION("""COMPUTED_VALUE"""),"10.1080/09515080902802769")</f>
        <v>10.1080/09515080902802769</v>
      </c>
      <c r="B3079" s="445" t="str">
        <f>IFERROR(__xludf.DUMMYFUNCTION("""COMPUTED_VALUE"""),"https://drive.google.com/file/d/1FBVDq-txued5VjX89SxjAxiqVp_WzRYr/view?usp=drivesdk")</f>
        <v>https://drive.google.com/file/d/1FBVDq-txued5VjX89SxjAxiqVp_WzRYr/view?usp=drivesdk</v>
      </c>
      <c r="C3079" s="339" t="str">
        <f>IFERROR(__xludf.DUMMYFUNCTION("""COMPUTED_VALUE"""),"10.1080--09515080902802769.pdf")</f>
        <v>10.1080--09515080902802769.pdf</v>
      </c>
      <c r="D3079" s="159" t="str">
        <f>IFERROR(__xludf.DUMMYFUNCTION("""COMPUTED_VALUE"""),"application/pdf")</f>
        <v>application/pdf</v>
      </c>
    </row>
    <row r="3080">
      <c r="A3080" s="339" t="str">
        <f>IFERROR(__xludf.DUMMYFUNCTION("""COMPUTED_VALUE"""),"10.1080/09515080801978777")</f>
        <v>10.1080/09515080801978777</v>
      </c>
      <c r="B3080" s="445" t="str">
        <f>IFERROR(__xludf.DUMMYFUNCTION("""COMPUTED_VALUE"""),"https://drive.google.com/file/d/1G4gv0ySakjef__T9l4MU6vM4mSqIKpQf/view?usp=drivesdk")</f>
        <v>https://drive.google.com/file/d/1G4gv0ySakjef__T9l4MU6vM4mSqIKpQf/view?usp=drivesdk</v>
      </c>
      <c r="C3080" s="339" t="str">
        <f>IFERROR(__xludf.DUMMYFUNCTION("""COMPUTED_VALUE"""),"10.1080--09515080801978777.pdf")</f>
        <v>10.1080--09515080801978777.pdf</v>
      </c>
      <c r="D3080" s="159" t="str">
        <f>IFERROR(__xludf.DUMMYFUNCTION("""COMPUTED_VALUE"""),"application/pdf")</f>
        <v>application/pdf</v>
      </c>
    </row>
    <row r="3081">
      <c r="A3081" s="339" t="str">
        <f>IFERROR(__xludf.DUMMYFUNCTION("""COMPUTED_VALUE"""),"10.1080/09515080500355236")</f>
        <v>10.1080/09515080500355236</v>
      </c>
      <c r="B3081" s="445" t="str">
        <f>IFERROR(__xludf.DUMMYFUNCTION("""COMPUTED_VALUE"""),"https://drive.google.com/file/d/1Dc0I6mdR5VNlZdfy9Q6SxLCujdERpq1s/view?usp=drivesdk")</f>
        <v>https://drive.google.com/file/d/1Dc0I6mdR5VNlZdfy9Q6SxLCujdERpq1s/view?usp=drivesdk</v>
      </c>
      <c r="C3081" s="339" t="str">
        <f>IFERROR(__xludf.DUMMYFUNCTION("""COMPUTED_VALUE"""),"10.1080--09515080500355236.pdf")</f>
        <v>10.1080--09515080500355236.pdf</v>
      </c>
      <c r="D3081" s="159" t="str">
        <f>IFERROR(__xludf.DUMMYFUNCTION("""COMPUTED_VALUE"""),"application/pdf")</f>
        <v>application/pdf</v>
      </c>
    </row>
    <row r="3082">
      <c r="A3082" s="339" t="str">
        <f>IFERROR(__xludf.DUMMYFUNCTION("""COMPUTED_VALUE"""),"10.1080/09515080500264180")</f>
        <v>10.1080/09515080500264180</v>
      </c>
      <c r="B3082" s="445" t="str">
        <f>IFERROR(__xludf.DUMMYFUNCTION("""COMPUTED_VALUE"""),"https://drive.google.com/file/d/1yWq9VA17bviusA1-gmEWYWL7w6FHKyMI/view?usp=drivesdk")</f>
        <v>https://drive.google.com/file/d/1yWq9VA17bviusA1-gmEWYWL7w6FHKyMI/view?usp=drivesdk</v>
      </c>
      <c r="C3082" s="339" t="str">
        <f>IFERROR(__xludf.DUMMYFUNCTION("""COMPUTED_VALUE"""),"10.1080--09515080500264180.pdf")</f>
        <v>10.1080--09515080500264180.pdf</v>
      </c>
      <c r="D3082" s="159" t="str">
        <f>IFERROR(__xludf.DUMMYFUNCTION("""COMPUTED_VALUE"""),"application/pdf")</f>
        <v>application/pdf</v>
      </c>
    </row>
    <row r="3083">
      <c r="A3083" s="339" t="str">
        <f>IFERROR(__xludf.DUMMYFUNCTION("""COMPUTED_VALUE"""),"10.1080/0951508042000202354")</f>
        <v>10.1080/0951508042000202354</v>
      </c>
      <c r="B3083" s="445" t="str">
        <f>IFERROR(__xludf.DUMMYFUNCTION("""COMPUTED_VALUE"""),"https://drive.google.com/file/d/1kCe7dne_GNfNSHLYlAzOzBcQn9yFuOr2/view?usp=drivesdk")</f>
        <v>https://drive.google.com/file/d/1kCe7dne_GNfNSHLYlAzOzBcQn9yFuOr2/view?usp=drivesdk</v>
      </c>
      <c r="C3083" s="339" t="str">
        <f>IFERROR(__xludf.DUMMYFUNCTION("""COMPUTED_VALUE"""),"10.1080--0951508042000202354.pdf")</f>
        <v>10.1080--0951508042000202354.pdf</v>
      </c>
      <c r="D3083" s="159" t="str">
        <f>IFERROR(__xludf.DUMMYFUNCTION("""COMPUTED_VALUE"""),"application/pdf")</f>
        <v>application/pdf</v>
      </c>
    </row>
    <row r="3084">
      <c r="A3084" s="339" t="str">
        <f>IFERROR(__xludf.DUMMYFUNCTION("""COMPUTED_VALUE"""),"10.1080/09515080500177309")</f>
        <v>10.1080/09515080500177309</v>
      </c>
      <c r="B3084" s="445" t="str">
        <f>IFERROR(__xludf.DUMMYFUNCTION("""COMPUTED_VALUE"""),"https://drive.google.com/file/d/1wEFZG_VXnD2cJrOMtVKNCAqucbV5WQV9/view?usp=drivesdk")</f>
        <v>https://drive.google.com/file/d/1wEFZG_VXnD2cJrOMtVKNCAqucbV5WQV9/view?usp=drivesdk</v>
      </c>
      <c r="C3084" s="339" t="str">
        <f>IFERROR(__xludf.DUMMYFUNCTION("""COMPUTED_VALUE"""),"10.1080--09515080500177309.pdf")</f>
        <v>10.1080--09515080500177309.pdf</v>
      </c>
      <c r="D3084" s="159" t="str">
        <f>IFERROR(__xludf.DUMMYFUNCTION("""COMPUTED_VALUE"""),"application/pdf")</f>
        <v>application/pdf</v>
      </c>
    </row>
    <row r="3085">
      <c r="A3085" s="339" t="str">
        <f>IFERROR(__xludf.DUMMYFUNCTION("""COMPUTED_VALUE"""),"10.1080/09515080307771")</f>
        <v>10.1080/09515080307771</v>
      </c>
      <c r="B3085" s="445" t="str">
        <f>IFERROR(__xludf.DUMMYFUNCTION("""COMPUTED_VALUE"""),"https://drive.google.com/file/d/1NZ8v6491Ny_LbUh8osKtj88hF7RAiobW/view?usp=drivesdk")</f>
        <v>https://drive.google.com/file/d/1NZ8v6491Ny_LbUh8osKtj88hF7RAiobW/view?usp=drivesdk</v>
      </c>
      <c r="C3085" s="339" t="str">
        <f>IFERROR(__xludf.DUMMYFUNCTION("""COMPUTED_VALUE"""),"10.1080--09515080307771.pdf")</f>
        <v>10.1080--09515080307771.pdf</v>
      </c>
      <c r="D3085" s="159" t="str">
        <f>IFERROR(__xludf.DUMMYFUNCTION("""COMPUTED_VALUE"""),"application/pdf")</f>
        <v>application/pdf</v>
      </c>
    </row>
    <row r="3086">
      <c r="A3086" s="339" t="str">
        <f>IFERROR(__xludf.DUMMYFUNCTION("""COMPUTED_VALUE"""),"10.1080/08824096.2018.1525347")</f>
        <v>10.1080/08824096.2018.1525347</v>
      </c>
      <c r="B3086" s="445" t="str">
        <f>IFERROR(__xludf.DUMMYFUNCTION("""COMPUTED_VALUE"""),"https://drive.google.com/file/d/1bo9aASmCjIsAeU5__CNxEyKU60JbH_Oz/view?usp=drivesdk")</f>
        <v>https://drive.google.com/file/d/1bo9aASmCjIsAeU5__CNxEyKU60JbH_Oz/view?usp=drivesdk</v>
      </c>
      <c r="C3086" s="339" t="str">
        <f>IFERROR(__xludf.DUMMYFUNCTION("""COMPUTED_VALUE"""),"10.1080--08824096.2018.1525347.pdf")</f>
        <v>10.1080--08824096.2018.1525347.pdf</v>
      </c>
      <c r="D3086" s="159" t="str">
        <f>IFERROR(__xludf.DUMMYFUNCTION("""COMPUTED_VALUE"""),"application/pdf")</f>
        <v>application/pdf</v>
      </c>
    </row>
    <row r="3087">
      <c r="A3087" s="339" t="str">
        <f>IFERROR(__xludf.DUMMYFUNCTION("""COMPUTED_VALUE"""),"10.1080/08911762.2012.744123")</f>
        <v>10.1080/08911762.2012.744123</v>
      </c>
      <c r="B3087" s="445" t="str">
        <f>IFERROR(__xludf.DUMMYFUNCTION("""COMPUTED_VALUE"""),"https://drive.google.com/file/d/1l_wx_FSiuvPt3DtbfXQuVLlkNpKxxEUQ/view?usp=drivesdk")</f>
        <v>https://drive.google.com/file/d/1l_wx_FSiuvPt3DtbfXQuVLlkNpKxxEUQ/view?usp=drivesdk</v>
      </c>
      <c r="C3087" s="339" t="str">
        <f>IFERROR(__xludf.DUMMYFUNCTION("""COMPUTED_VALUE"""),"10.1080--08911762.2012.744123.pdf")</f>
        <v>10.1080--08911762.2012.744123.pdf</v>
      </c>
      <c r="D3087" s="159" t="str">
        <f>IFERROR(__xludf.DUMMYFUNCTION("""COMPUTED_VALUE"""),"application/pdf")</f>
        <v>application/pdf</v>
      </c>
    </row>
    <row r="3088">
      <c r="A3088" s="339" t="str">
        <f>IFERROR(__xludf.DUMMYFUNCTION("""COMPUTED_VALUE"""),"10.1080/00224545.2016.1270892")</f>
        <v>10.1080/00224545.2016.1270892</v>
      </c>
      <c r="B3088" s="445" t="str">
        <f>IFERROR(__xludf.DUMMYFUNCTION("""COMPUTED_VALUE"""),"https://drive.google.com/file/d/1UZf-WWxr567_733TRlppgx3RgvA55ffu/view?usp=drivesdk")</f>
        <v>https://drive.google.com/file/d/1UZf-WWxr567_733TRlppgx3RgvA55ffu/view?usp=drivesdk</v>
      </c>
      <c r="C3088" s="339" t="str">
        <f>IFERROR(__xludf.DUMMYFUNCTION("""COMPUTED_VALUE"""),"10.1080--00224545.2016.1270892.pdf")</f>
        <v>10.1080--00224545.2016.1270892.pdf</v>
      </c>
      <c r="D3088" s="159" t="str">
        <f>IFERROR(__xludf.DUMMYFUNCTION("""COMPUTED_VALUE"""),"application/pdf")</f>
        <v>application/pdf</v>
      </c>
    </row>
    <row r="3089">
      <c r="A3089" s="339" t="str">
        <f>IFERROR(__xludf.DUMMYFUNCTION("""COMPUTED_VALUE"""),"10.1080/00224545.1936.9919891")</f>
        <v>10.1080/00224545.1936.9919891</v>
      </c>
      <c r="B3089" s="445" t="str">
        <f>IFERROR(__xludf.DUMMYFUNCTION("""COMPUTED_VALUE"""),"https://drive.google.com/file/d/1kSBFgzp6OROkewjCtlxP2vg6PFLhL9xO/view?usp=drivesdk")</f>
        <v>https://drive.google.com/file/d/1kSBFgzp6OROkewjCtlxP2vg6PFLhL9xO/view?usp=drivesdk</v>
      </c>
      <c r="C3089" s="339" t="str">
        <f>IFERROR(__xludf.DUMMYFUNCTION("""COMPUTED_VALUE"""),"10.1080--00224545.1936.9919891.pdf")</f>
        <v>10.1080--00224545.1936.9919891.pdf</v>
      </c>
      <c r="D3089" s="159" t="str">
        <f>IFERROR(__xludf.DUMMYFUNCTION("""COMPUTED_VALUE"""),"application/pdf")</f>
        <v>application/pdf</v>
      </c>
    </row>
    <row r="3090">
      <c r="A3090" s="339" t="str">
        <f>IFERROR(__xludf.DUMMYFUNCTION("""COMPUTED_VALUE"""),"10.1080/00223891.2018.1489258")</f>
        <v>10.1080/00223891.2018.1489258</v>
      </c>
      <c r="B3090" s="445" t="str">
        <f>IFERROR(__xludf.DUMMYFUNCTION("""COMPUTED_VALUE"""),"https://drive.google.com/file/d/1fUG2ettSKcRAWZvEYcWP5AQXnj7UBOUs/view?usp=drivesdk")</f>
        <v>https://drive.google.com/file/d/1fUG2ettSKcRAWZvEYcWP5AQXnj7UBOUs/view?usp=drivesdk</v>
      </c>
      <c r="C3090" s="339" t="str">
        <f>IFERROR(__xludf.DUMMYFUNCTION("""COMPUTED_VALUE"""),"10.1080--00223891.2018.1489258.pdf")</f>
        <v>10.1080--00223891.2018.1489258.pdf</v>
      </c>
      <c r="D3090" s="159" t="str">
        <f>IFERROR(__xludf.DUMMYFUNCTION("""COMPUTED_VALUE"""),"application/pdf")</f>
        <v>application/pdf</v>
      </c>
    </row>
    <row r="3091">
      <c r="A3091" s="339" t="str">
        <f>IFERROR(__xludf.DUMMYFUNCTION("""COMPUTED_VALUE"""),"10.1080/00140136308930679")</f>
        <v>10.1080/00140136308930679</v>
      </c>
      <c r="B3091" s="445" t="str">
        <f>IFERROR(__xludf.DUMMYFUNCTION("""COMPUTED_VALUE"""),"https://drive.google.com/file/d/14_zGf2VGJvPhKygjEvbM1ARE5XCCkEub/view?usp=drivesdk")</f>
        <v>https://drive.google.com/file/d/14_zGf2VGJvPhKygjEvbM1ARE5XCCkEub/view?usp=drivesdk</v>
      </c>
      <c r="C3091" s="339" t="str">
        <f>IFERROR(__xludf.DUMMYFUNCTION("""COMPUTED_VALUE"""),"10.1080--00140136308930679.pdf")</f>
        <v>10.1080--00140136308930679.pdf</v>
      </c>
      <c r="D3091" s="159" t="str">
        <f>IFERROR(__xludf.DUMMYFUNCTION("""COMPUTED_VALUE"""),"application/pdf")</f>
        <v>application/pdf</v>
      </c>
    </row>
    <row r="3092">
      <c r="A3092" s="339" t="str">
        <f>IFERROR(__xludf.DUMMYFUNCTION("""COMPUTED_VALUE"""),"10.1073/pnas.2014505117")</f>
        <v>10.1073/pnas.2014505117</v>
      </c>
      <c r="B3092" s="445" t="str">
        <f>IFERROR(__xludf.DUMMYFUNCTION("""COMPUTED_VALUE"""),"https://drive.google.com/file/d/1OSEYoq50TRvyqkjozHLp1CtvXHG-6rLL/view?usp=drivesdk")</f>
        <v>https://drive.google.com/file/d/1OSEYoq50TRvyqkjozHLp1CtvXHG-6rLL/view?usp=drivesdk</v>
      </c>
      <c r="C3092" s="339" t="str">
        <f>IFERROR(__xludf.DUMMYFUNCTION("""COMPUTED_VALUE"""),"10.1073--pnas.2014505117.pdf")</f>
        <v>10.1073--pnas.2014505117.pdf</v>
      </c>
      <c r="D3092" s="159" t="str">
        <f>IFERROR(__xludf.DUMMYFUNCTION("""COMPUTED_VALUE"""),"application/pdf")</f>
        <v>application/pdf</v>
      </c>
    </row>
    <row r="3093">
      <c r="A3093" s="339" t="str">
        <f>IFERROR(__xludf.DUMMYFUNCTION("""COMPUTED_VALUE"""),"10.1073/pnas.2009030117")</f>
        <v>10.1073/pnas.2009030117</v>
      </c>
      <c r="B3093" s="445" t="str">
        <f>IFERROR(__xludf.DUMMYFUNCTION("""COMPUTED_VALUE"""),"https://drive.google.com/file/d/133wAd9ADUXthw033LGhcEhvxSj0cXryx/view?usp=drivesdk")</f>
        <v>https://drive.google.com/file/d/133wAd9ADUXthw033LGhcEhvxSj0cXryx/view?usp=drivesdk</v>
      </c>
      <c r="C3093" s="339" t="str">
        <f>IFERROR(__xludf.DUMMYFUNCTION("""COMPUTED_VALUE"""),"10.1073--pnas.2009030117.pdf")</f>
        <v>10.1073--pnas.2009030117.pdf</v>
      </c>
      <c r="D3093" s="159" t="str">
        <f>IFERROR(__xludf.DUMMYFUNCTION("""COMPUTED_VALUE"""),"application/pdf")</f>
        <v>application/pdf</v>
      </c>
    </row>
    <row r="3094">
      <c r="A3094" s="339" t="str">
        <f>IFERROR(__xludf.DUMMYFUNCTION("""COMPUTED_VALUE"""),"10.1073/pnas.1601135113")</f>
        <v>10.1073/pnas.1601135113</v>
      </c>
      <c r="B3094" s="445" t="str">
        <f>IFERROR(__xludf.DUMMYFUNCTION("""COMPUTED_VALUE"""),"https://drive.google.com/file/d/1wMURwXZnZSgj-yjJ9sraJzrfcHDhvQ8j/view?usp=drivesdk")</f>
        <v>https://drive.google.com/file/d/1wMURwXZnZSgj-yjJ9sraJzrfcHDhvQ8j/view?usp=drivesdk</v>
      </c>
      <c r="C3094" s="339" t="str">
        <f>IFERROR(__xludf.DUMMYFUNCTION("""COMPUTED_VALUE"""),"10.1073--pnas.1601135113.pdf")</f>
        <v>10.1073--pnas.1601135113.pdf</v>
      </c>
      <c r="D3094" s="159" t="str">
        <f>IFERROR(__xludf.DUMMYFUNCTION("""COMPUTED_VALUE"""),"application/pdf")</f>
        <v>application/pdf</v>
      </c>
    </row>
    <row r="3095">
      <c r="A3095" s="339" t="str">
        <f>IFERROR(__xludf.DUMMYFUNCTION("""COMPUTED_VALUE"""),"10.1073/pnas.1511269112")</f>
        <v>10.1073/pnas.1511269112</v>
      </c>
      <c r="B3095" s="445" t="str">
        <f>IFERROR(__xludf.DUMMYFUNCTION("""COMPUTED_VALUE"""),"https://drive.google.com/file/d/1IgwbpOWDDLlv9t0P-r2yZY_l_ViqGTuz/view?usp=drivesdk")</f>
        <v>https://drive.google.com/file/d/1IgwbpOWDDLlv9t0P-r2yZY_l_ViqGTuz/view?usp=drivesdk</v>
      </c>
      <c r="C3095" s="339" t="str">
        <f>IFERROR(__xludf.DUMMYFUNCTION("""COMPUTED_VALUE"""),"10.1073--pnas.1511269112.pdf")</f>
        <v>10.1073--pnas.1511269112.pdf</v>
      </c>
      <c r="D3095" s="159" t="str">
        <f>IFERROR(__xludf.DUMMYFUNCTION("""COMPUTED_VALUE"""),"application/pdf")</f>
        <v>application/pdf</v>
      </c>
    </row>
    <row r="3096">
      <c r="A3096" s="339" t="str">
        <f>IFERROR(__xludf.DUMMYFUNCTION("""COMPUTED_VALUE"""),"10.1073/pnas.1523698113")</f>
        <v>10.1073/pnas.1523698113</v>
      </c>
      <c r="B3096" s="445" t="str">
        <f>IFERROR(__xludf.DUMMYFUNCTION("""COMPUTED_VALUE"""),"https://drive.google.com/file/d/1zRO2wTJdLmK-BV5hxThrZO8prUdJXbH2/view?usp=drivesdk")</f>
        <v>https://drive.google.com/file/d/1zRO2wTJdLmK-BV5hxThrZO8prUdJXbH2/view?usp=drivesdk</v>
      </c>
      <c r="C3096" s="339" t="str">
        <f>IFERROR(__xludf.DUMMYFUNCTION("""COMPUTED_VALUE"""),"10.1073--pnas.1523698113.pdf")</f>
        <v>10.1073--pnas.1523698113.pdf</v>
      </c>
      <c r="D3096" s="159" t="str">
        <f>IFERROR(__xludf.DUMMYFUNCTION("""COMPUTED_VALUE"""),"application/pdf")</f>
        <v>application/pdf</v>
      </c>
    </row>
    <row r="3097">
      <c r="A3097" s="339" t="str">
        <f>IFERROR(__xludf.DUMMYFUNCTION("""COMPUTED_VALUE"""),"10.1073/pnas.1410910111")</f>
        <v>10.1073/pnas.1410910111</v>
      </c>
      <c r="B3097" s="445" t="str">
        <f>IFERROR(__xludf.DUMMYFUNCTION("""COMPUTED_VALUE"""),"https://drive.google.com/file/d/10OETr0_zUz7Gqw39YL9lnq--3C3qavy8/view?usp=drivesdk")</f>
        <v>https://drive.google.com/file/d/10OETr0_zUz7Gqw39YL9lnq--3C3qavy8/view?usp=drivesdk</v>
      </c>
      <c r="C3097" s="339" t="str">
        <f>IFERROR(__xludf.DUMMYFUNCTION("""COMPUTED_VALUE"""),"10.1073--pnas.1410910111.pdf")</f>
        <v>10.1073--pnas.1410910111.pdf</v>
      </c>
      <c r="D3097" s="159" t="str">
        <f>IFERROR(__xludf.DUMMYFUNCTION("""COMPUTED_VALUE"""),"application/pdf")</f>
        <v>application/pdf</v>
      </c>
    </row>
    <row r="3098">
      <c r="A3098" s="339" t="str">
        <f>IFERROR(__xludf.DUMMYFUNCTION("""COMPUTED_VALUE"""),"10.1073/pnas.1216438110")</f>
        <v>10.1073/pnas.1216438110</v>
      </c>
      <c r="B3098" s="445" t="str">
        <f>IFERROR(__xludf.DUMMYFUNCTION("""COMPUTED_VALUE"""),"https://drive.google.com/file/d/1UjvynnYEPZHicucFMnLs5zd6tciLP1ET/view?usp=drivesdk")</f>
        <v>https://drive.google.com/file/d/1UjvynnYEPZHicucFMnLs5zd6tciLP1ET/view?usp=drivesdk</v>
      </c>
      <c r="C3098" s="339" t="str">
        <f>IFERROR(__xludf.DUMMYFUNCTION("""COMPUTED_VALUE"""),"10.1073--pnas.1216438110.pdf")</f>
        <v>10.1073--pnas.1216438110.pdf</v>
      </c>
      <c r="D3098" s="159" t="str">
        <f>IFERROR(__xludf.DUMMYFUNCTION("""COMPUTED_VALUE"""),"application/pdf")</f>
        <v>application/pdf</v>
      </c>
    </row>
    <row r="3099">
      <c r="A3099" s="339" t="str">
        <f>IFERROR(__xludf.DUMMYFUNCTION("""COMPUTED_VALUE"""),"10.1073/pnas.1202129109")</f>
        <v>10.1073/pnas.1202129109</v>
      </c>
      <c r="B3099" s="445" t="str">
        <f>IFERROR(__xludf.DUMMYFUNCTION("""COMPUTED_VALUE"""),"https://drive.google.com/file/d/11Av49SlCGKMhtLvS_jk4226riFKcyhNh/view?usp=drivesdk")</f>
        <v>https://drive.google.com/file/d/11Av49SlCGKMhtLvS_jk4226riFKcyhNh/view?usp=drivesdk</v>
      </c>
      <c r="C3099" s="339" t="str">
        <f>IFERROR(__xludf.DUMMYFUNCTION("""COMPUTED_VALUE"""),"10.1073--pnas.1202129109.pdf")</f>
        <v>10.1073--pnas.1202129109.pdf</v>
      </c>
      <c r="D3099" s="159" t="str">
        <f>IFERROR(__xludf.DUMMYFUNCTION("""COMPUTED_VALUE"""),"application/pdf")</f>
        <v>application/pdf</v>
      </c>
    </row>
    <row r="3100">
      <c r="A3100" s="339" t="str">
        <f>IFERROR(__xludf.DUMMYFUNCTION("""COMPUTED_VALUE"""),"10.1073/pnas.1209746109")</f>
        <v>10.1073/pnas.1209746109</v>
      </c>
      <c r="B3100" s="445" t="str">
        <f>IFERROR(__xludf.DUMMYFUNCTION("""COMPUTED_VALUE"""),"https://drive.google.com/file/d/1ME3HHgt9JawJ4TVDM4mgrdiRZZn5ZkQD/view?usp=drivesdk")</f>
        <v>https://drive.google.com/file/d/1ME3HHgt9JawJ4TVDM4mgrdiRZZn5ZkQD/view?usp=drivesdk</v>
      </c>
      <c r="C3100" s="339" t="str">
        <f>IFERROR(__xludf.DUMMYFUNCTION("""COMPUTED_VALUE"""),"10.1073--pnas.1209746109.pdf")</f>
        <v>10.1073--pnas.1209746109.pdf</v>
      </c>
      <c r="D3100" s="159" t="str">
        <f>IFERROR(__xludf.DUMMYFUNCTION("""COMPUTED_VALUE"""),"application/pdf")</f>
        <v>application/pdf</v>
      </c>
    </row>
    <row r="3101">
      <c r="A3101" s="339" t="str">
        <f>IFERROR(__xludf.DUMMYFUNCTION("""COMPUTED_VALUE"""),"10.1073/pnas.1118373109")</f>
        <v>10.1073/pnas.1118373109</v>
      </c>
      <c r="B3101" s="445" t="str">
        <f>IFERROR(__xludf.DUMMYFUNCTION("""COMPUTED_VALUE"""),"https://drive.google.com/file/d/1Q984rmQXqbwrrnMY-wB5jcpYKEpb-2Qg/view?usp=drivesdk")</f>
        <v>https://drive.google.com/file/d/1Q984rmQXqbwrrnMY-wB5jcpYKEpb-2Qg/view?usp=drivesdk</v>
      </c>
      <c r="C3101" s="339" t="str">
        <f>IFERROR(__xludf.DUMMYFUNCTION("""COMPUTED_VALUE"""),"10.1073--pnas.1118373109.pdf")</f>
        <v>10.1073--pnas.1118373109.pdf</v>
      </c>
      <c r="D3101" s="159" t="str">
        <f>IFERROR(__xludf.DUMMYFUNCTION("""COMPUTED_VALUE"""),"application/pdf")</f>
        <v>application/pdf</v>
      </c>
    </row>
    <row r="3102">
      <c r="A3102" s="339" t="str">
        <f>IFERROR(__xludf.DUMMYFUNCTION("""COMPUTED_VALUE"""),"10.1073/pnas.1004932107")</f>
        <v>10.1073/pnas.1004932107</v>
      </c>
      <c r="B3102" s="445" t="str">
        <f>IFERROR(__xludf.DUMMYFUNCTION("""COMPUTED_VALUE"""),"https://drive.google.com/file/d/1J8w4F7K8nMU3UgmMPI03K3U93q1EwCEJ/view?usp=drivesdk")</f>
        <v>https://drive.google.com/file/d/1J8w4F7K8nMU3UgmMPI03K3U93q1EwCEJ/view?usp=drivesdk</v>
      </c>
      <c r="C3102" s="339" t="str">
        <f>IFERROR(__xludf.DUMMYFUNCTION("""COMPUTED_VALUE"""),"10.1073--pnas.1004932107.pdf")</f>
        <v>10.1073--pnas.1004932107.pdf</v>
      </c>
      <c r="D3102" s="159" t="str">
        <f>IFERROR(__xludf.DUMMYFUNCTION("""COMPUTED_VALUE"""),"application/pdf")</f>
        <v>application/pdf</v>
      </c>
    </row>
    <row r="3103">
      <c r="A3103" s="339" t="str">
        <f>IFERROR(__xludf.DUMMYFUNCTION("""COMPUTED_VALUE"""),"10.1073/pnas.0908963106")</f>
        <v>10.1073/pnas.0908963106</v>
      </c>
      <c r="B3103" s="445" t="str">
        <f>IFERROR(__xludf.DUMMYFUNCTION("""COMPUTED_VALUE"""),"https://drive.google.com/file/d/1rj178it8sQtHMyNzyb90GXfEk1Hk5YnN/view?usp=drivesdk")</f>
        <v>https://drive.google.com/file/d/1rj178it8sQtHMyNzyb90GXfEk1Hk5YnN/view?usp=drivesdk</v>
      </c>
      <c r="C3103" s="339" t="str">
        <f>IFERROR(__xludf.DUMMYFUNCTION("""COMPUTED_VALUE"""),"10.1073--pnas.0908963106.pdf")</f>
        <v>10.1073--pnas.0908963106.pdf</v>
      </c>
      <c r="D3103" s="159" t="str">
        <f>IFERROR(__xludf.DUMMYFUNCTION("""COMPUTED_VALUE"""),"application/pdf")</f>
        <v>application/pdf</v>
      </c>
    </row>
    <row r="3104">
      <c r="A3104" s="339" t="str">
        <f>IFERROR(__xludf.DUMMYFUNCTION("""COMPUTED_VALUE"""),"10.1038/scientificamerican0182-160")</f>
        <v>10.1038/scientificamerican0182-160</v>
      </c>
      <c r="B3104" s="445" t="str">
        <f>IFERROR(__xludf.DUMMYFUNCTION("""COMPUTED_VALUE"""),"https://drive.google.com/file/d/1m8vBfiQkH8P0FaPXXK5PHkJH8yYhq1Sh/view?usp=drivesdk")</f>
        <v>https://drive.google.com/file/d/1m8vBfiQkH8P0FaPXXK5PHkJH8yYhq1Sh/view?usp=drivesdk</v>
      </c>
      <c r="C3104" s="339" t="str">
        <f>IFERROR(__xludf.DUMMYFUNCTION("""COMPUTED_VALUE"""),"10.1038--scientificamerican0182-160.pdf")</f>
        <v>10.1038--scientificamerican0182-160.pdf</v>
      </c>
      <c r="D3104" s="159" t="str">
        <f>IFERROR(__xludf.DUMMYFUNCTION("""COMPUTED_VALUE"""),"application/pdf")</f>
        <v>application/pdf</v>
      </c>
    </row>
    <row r="3105">
      <c r="A3105" s="339" t="str">
        <f>IFERROR(__xludf.DUMMYFUNCTION("""COMPUTED_VALUE"""),"10.1038/s41598-017-10669-4")</f>
        <v>10.1038/s41598-017-10669-4</v>
      </c>
      <c r="B3105" s="445" t="str">
        <f>IFERROR(__xludf.DUMMYFUNCTION("""COMPUTED_VALUE"""),"https://drive.google.com/file/d/1EZllPY8-yvLte77cCpv9UnSzrQEaA1l4/view?usp=drivesdk")</f>
        <v>https://drive.google.com/file/d/1EZllPY8-yvLte77cCpv9UnSzrQEaA1l4/view?usp=drivesdk</v>
      </c>
      <c r="C3105" s="339" t="str">
        <f>IFERROR(__xludf.DUMMYFUNCTION("""COMPUTED_VALUE"""),"10.1038--s41598-017-10669-4.pdf")</f>
        <v>10.1038--s41598-017-10669-4.pdf</v>
      </c>
      <c r="D3105" s="159" t="str">
        <f>IFERROR(__xludf.DUMMYFUNCTION("""COMPUTED_VALUE"""),"application/pdf")</f>
        <v>application/pdf</v>
      </c>
    </row>
    <row r="3106">
      <c r="A3106" s="339" t="str">
        <f>IFERROR(__xludf.DUMMYFUNCTION("""COMPUTED_VALUE"""),"10.1038/s41598-018-31129-7")</f>
        <v>10.1038/s41598-018-31129-7</v>
      </c>
      <c r="B3106" s="445" t="str">
        <f>IFERROR(__xludf.DUMMYFUNCTION("""COMPUTED_VALUE"""),"https://drive.google.com/file/d/1alE-Lyhg2bHvUxXiUtoX7uwWzuZe9O2i/view?usp=drivesdk")</f>
        <v>https://drive.google.com/file/d/1alE-Lyhg2bHvUxXiUtoX7uwWzuZe9O2i/view?usp=drivesdk</v>
      </c>
      <c r="C3106" s="339" t="str">
        <f>IFERROR(__xludf.DUMMYFUNCTION("""COMPUTED_VALUE"""),"10.1038--s41598-018-31129-7.pdf")</f>
        <v>10.1038--s41598-018-31129-7.pdf</v>
      </c>
      <c r="D3106" s="159" t="str">
        <f>IFERROR(__xludf.DUMMYFUNCTION("""COMPUTED_VALUE"""),"application/pdf")</f>
        <v>application/pdf</v>
      </c>
    </row>
    <row r="3107">
      <c r="A3107" s="339" t="str">
        <f>IFERROR(__xludf.DUMMYFUNCTION("""COMPUTED_VALUE"""),"10.1038/s41586-021-03380-y")</f>
        <v>10.1038/s41586-021-03380-y</v>
      </c>
      <c r="B3107" s="445" t="str">
        <f>IFERROR(__xludf.DUMMYFUNCTION("""COMPUTED_VALUE"""),"https://drive.google.com/file/d/127v43WE4PklOsQFV7vglYwM9pxelKmVE/view?usp=drivesdk")</f>
        <v>https://drive.google.com/file/d/127v43WE4PklOsQFV7vglYwM9pxelKmVE/view?usp=drivesdk</v>
      </c>
      <c r="C3107" s="339" t="str">
        <f>IFERROR(__xludf.DUMMYFUNCTION("""COMPUTED_VALUE"""),"10.1038--s41586-021-03380-y.pdf")</f>
        <v>10.1038--s41586-021-03380-y.pdf</v>
      </c>
      <c r="D3107" s="159" t="str">
        <f>IFERROR(__xludf.DUMMYFUNCTION("""COMPUTED_VALUE"""),"application/pdf")</f>
        <v>application/pdf</v>
      </c>
    </row>
    <row r="3108">
      <c r="A3108" s="339" t="str">
        <f>IFERROR(__xludf.DUMMYFUNCTION("""COMPUTED_VALUE"""),"10.1038/oby.2005.12")</f>
        <v>10.1038/oby.2005.12</v>
      </c>
      <c r="B3108" s="445" t="str">
        <f>IFERROR(__xludf.DUMMYFUNCTION("""COMPUTED_VALUE"""),"https://drive.google.com/file/d/1aYbxZ4QpjA2HcnqHYKr1JxrRo6gAK21q/view?usp=drivesdk")</f>
        <v>https://drive.google.com/file/d/1aYbxZ4QpjA2HcnqHYKr1JxrRo6gAK21q/view?usp=drivesdk</v>
      </c>
      <c r="C3108" s="339" t="str">
        <f>IFERROR(__xludf.DUMMYFUNCTION("""COMPUTED_VALUE"""),"10.1038--oby.2005.12.pdf")</f>
        <v>10.1038--oby.2005.12.pdf</v>
      </c>
      <c r="D3108" s="159" t="str">
        <f>IFERROR(__xludf.DUMMYFUNCTION("""COMPUTED_VALUE"""),"application/pdf")</f>
        <v>application/pdf</v>
      </c>
    </row>
    <row r="3109">
      <c r="A3109" s="339" t="str">
        <f>IFERROR(__xludf.DUMMYFUNCTION("""COMPUTED_VALUE"""),"10.1038/nclimate2093")</f>
        <v>10.1038/nclimate2093</v>
      </c>
      <c r="B3109" s="445" t="str">
        <f>IFERROR(__xludf.DUMMYFUNCTION("""COMPUTED_VALUE"""),"https://drive.google.com/file/d/17HYZXEqbs5qMTOba8cEHhBhSIrnkFKeu/view?usp=drivesdk")</f>
        <v>https://drive.google.com/file/d/17HYZXEqbs5qMTOba8cEHhBhSIrnkFKeu/view?usp=drivesdk</v>
      </c>
      <c r="C3109" s="339" t="str">
        <f>IFERROR(__xludf.DUMMYFUNCTION("""COMPUTED_VALUE"""),"10.1038--nclimate2093.pdf")</f>
        <v>10.1038--nclimate2093.pdf</v>
      </c>
      <c r="D3109" s="159" t="str">
        <f>IFERROR(__xludf.DUMMYFUNCTION("""COMPUTED_VALUE"""),"application/pdf")</f>
        <v>application/pdf</v>
      </c>
    </row>
    <row r="3110">
      <c r="A3110" s="339" t="str">
        <f>IFERROR(__xludf.DUMMYFUNCTION("""COMPUTED_VALUE"""),"10.1038/nature15392")</f>
        <v>10.1038/nature15392</v>
      </c>
      <c r="B3110" s="445" t="str">
        <f>IFERROR(__xludf.DUMMYFUNCTION("""COMPUTED_VALUE"""),"https://drive.google.com/file/d/1yPKBulDUT2sA_EL4XHrVvgND1nEVQNHI/view?usp=drivesdk")</f>
        <v>https://drive.google.com/file/d/1yPKBulDUT2sA_EL4XHrVvgND1nEVQNHI/view?usp=drivesdk</v>
      </c>
      <c r="C3110" s="339" t="str">
        <f>IFERROR(__xludf.DUMMYFUNCTION("""COMPUTED_VALUE"""),"10.1038--nature15392.pdf")</f>
        <v>10.1038--nature15392.pdf</v>
      </c>
      <c r="D3110" s="159" t="str">
        <f>IFERROR(__xludf.DUMMYFUNCTION("""COMPUTED_VALUE"""),"application/pdf")</f>
        <v>application/pdf</v>
      </c>
    </row>
    <row r="3111">
      <c r="A3111" s="339" t="str">
        <f>IFERROR(__xludf.DUMMYFUNCTION("""COMPUTED_VALUE"""),"10.1038/nature13530")</f>
        <v>10.1038/nature13530</v>
      </c>
      <c r="B3111" s="445" t="str">
        <f>IFERROR(__xludf.DUMMYFUNCTION("""COMPUTED_VALUE"""),"https://drive.google.com/file/d/1-E1dAlVOdBXhL1-Ucgrt44k9SzyhPTJ-/view?usp=drivesdk")</f>
        <v>https://drive.google.com/file/d/1-E1dAlVOdBXhL1-Ucgrt44k9SzyhPTJ-/view?usp=drivesdk</v>
      </c>
      <c r="C3111" s="339" t="str">
        <f>IFERROR(__xludf.DUMMYFUNCTION("""COMPUTED_VALUE"""),"10.1038--nature13530.pdf")</f>
        <v>10.1038--nature13530.pdf</v>
      </c>
      <c r="D3111" s="159" t="str">
        <f>IFERROR(__xludf.DUMMYFUNCTION("""COMPUTED_VALUE"""),"application/pdf")</f>
        <v>application/pdf</v>
      </c>
    </row>
    <row r="3112">
      <c r="A3112" s="339" t="str">
        <f>IFERROR(__xludf.DUMMYFUNCTION("""COMPUTED_VALUE"""),"10.1038/nature11467")</f>
        <v>10.1038/nature11467</v>
      </c>
      <c r="B3112" s="445" t="str">
        <f>IFERROR(__xludf.DUMMYFUNCTION("""COMPUTED_VALUE"""),"https://drive.google.com/file/d/1FElRRlWoVi2usxTFNme1Bwz9RgmJPLKp/view?usp=drivesdk")</f>
        <v>https://drive.google.com/file/d/1FElRRlWoVi2usxTFNme1Bwz9RgmJPLKp/view?usp=drivesdk</v>
      </c>
      <c r="C3112" s="339" t="str">
        <f>IFERROR(__xludf.DUMMYFUNCTION("""COMPUTED_VALUE"""),"10.1038--nature11467.pdf")</f>
        <v>10.1038--nature11467.pdf</v>
      </c>
      <c r="D3112" s="159" t="str">
        <f>IFERROR(__xludf.DUMMYFUNCTION("""COMPUTED_VALUE"""),"application/pdf")</f>
        <v>application/pdf</v>
      </c>
    </row>
    <row r="3113">
      <c r="A3113" s="339" t="str">
        <f>IFERROR(__xludf.DUMMYFUNCTION("""COMPUTED_VALUE"""),"10.1038/nature12774")</f>
        <v>10.1038/nature12774</v>
      </c>
      <c r="B3113" s="445" t="str">
        <f>IFERROR(__xludf.DUMMYFUNCTION("""COMPUTED_VALUE"""),"https://drive.google.com/file/d/1J8NYov-XHHaVlQCOR0yx9UGTvAN_EjiG/view?usp=drivesdk")</f>
        <v>https://drive.google.com/file/d/1J8NYov-XHHaVlQCOR0yx9UGTvAN_EjiG/view?usp=drivesdk</v>
      </c>
      <c r="C3113" s="339" t="str">
        <f>IFERROR(__xludf.DUMMYFUNCTION("""COMPUTED_VALUE"""),"10.1038--nature12774.pdf")</f>
        <v>10.1038--nature12774.pdf</v>
      </c>
      <c r="D3113" s="159" t="str">
        <f>IFERROR(__xludf.DUMMYFUNCTION("""COMPUTED_VALUE"""),"application/pdf")</f>
        <v>application/pdf</v>
      </c>
    </row>
    <row r="3114">
      <c r="A3114" s="339" t="str">
        <f>IFERROR(__xludf.DUMMYFUNCTION("""COMPUTED_VALUE"""),"10.1038/365611a0")</f>
        <v>10.1038/365611a0</v>
      </c>
      <c r="B3114" s="445" t="str">
        <f>IFERROR(__xludf.DUMMYFUNCTION("""COMPUTED_VALUE"""),"https://drive.google.com/file/d/1URDsP-yMIFXhkBo8wS57RwLmccsk4Lvy/view?usp=drivesdk")</f>
        <v>https://drive.google.com/file/d/1URDsP-yMIFXhkBo8wS57RwLmccsk4Lvy/view?usp=drivesdk</v>
      </c>
      <c r="C3114" s="339" t="str">
        <f>IFERROR(__xludf.DUMMYFUNCTION("""COMPUTED_VALUE"""),"10.1038--365611a0.pdf")</f>
        <v>10.1038--365611a0.pdf</v>
      </c>
      <c r="D3114" s="159" t="str">
        <f>IFERROR(__xludf.DUMMYFUNCTION("""COMPUTED_VALUE"""),"application/pdf")</f>
        <v>application/pdf</v>
      </c>
    </row>
    <row r="3115">
      <c r="A3115" s="339" t="str">
        <f>IFERROR(__xludf.DUMMYFUNCTION("""COMPUTED_VALUE"""),"10.1037/h0091247")</f>
        <v>10.1037/h0091247</v>
      </c>
      <c r="B3115" s="445" t="str">
        <f>IFERROR(__xludf.DUMMYFUNCTION("""COMPUTED_VALUE"""),"https://drive.google.com/file/d/1awPCjIHvs8ahIhOincmP_HaNxC6Wg3ei/view?usp=drivesdk")</f>
        <v>https://drive.google.com/file/d/1awPCjIHvs8ahIhOincmP_HaNxC6Wg3ei/view?usp=drivesdk</v>
      </c>
      <c r="C3115" s="339" t="str">
        <f>IFERROR(__xludf.DUMMYFUNCTION("""COMPUTED_VALUE"""),"10.1037--h0091247.pdf")</f>
        <v>10.1037--h0091247.pdf</v>
      </c>
      <c r="D3115" s="159" t="str">
        <f>IFERROR(__xludf.DUMMYFUNCTION("""COMPUTED_VALUE"""),"application/pdf")</f>
        <v>application/pdf</v>
      </c>
    </row>
    <row r="3116">
      <c r="A3116" s="339" t="str">
        <f>IFERROR(__xludf.DUMMYFUNCTION("""COMPUTED_VALUE"""),"10.1037/h0086006")</f>
        <v>10.1037/h0086006</v>
      </c>
      <c r="B3116" s="445" t="str">
        <f>IFERROR(__xludf.DUMMYFUNCTION("""COMPUTED_VALUE"""),"https://drive.google.com/file/d/198F72VlE367b6ZajKTHUUDOA3GEGqCqo/view?usp=drivesdk")</f>
        <v>https://drive.google.com/file/d/198F72VlE367b6ZajKTHUUDOA3GEGqCqo/view?usp=drivesdk</v>
      </c>
      <c r="C3116" s="339" t="str">
        <f>IFERROR(__xludf.DUMMYFUNCTION("""COMPUTED_VALUE"""),"10.1037--h0086006.pdf")</f>
        <v>10.1037--h0086006.pdf</v>
      </c>
      <c r="D3116" s="159" t="str">
        <f>IFERROR(__xludf.DUMMYFUNCTION("""COMPUTED_VALUE"""),"application/pdf")</f>
        <v>application/pdf</v>
      </c>
    </row>
    <row r="3117">
      <c r="A3117" s="339" t="str">
        <f>IFERROR(__xludf.DUMMYFUNCTION("""COMPUTED_VALUE"""),"10.1037/h0076284")</f>
        <v>10.1037/h0076284</v>
      </c>
      <c r="B3117" s="445" t="str">
        <f>IFERROR(__xludf.DUMMYFUNCTION("""COMPUTED_VALUE"""),"https://drive.google.com/file/d/1em7ODa60WMQRn6m4evBrT4Y8ooQ_qlB3/view?usp=drivesdk")</f>
        <v>https://drive.google.com/file/d/1em7ODa60WMQRn6m4evBrT4Y8ooQ_qlB3/view?usp=drivesdk</v>
      </c>
      <c r="C3117" s="339" t="str">
        <f>IFERROR(__xludf.DUMMYFUNCTION("""COMPUTED_VALUE"""),"10.1037--h0076284.pdf")</f>
        <v>10.1037--h0076284.pdf</v>
      </c>
      <c r="D3117" s="159" t="str">
        <f>IFERROR(__xludf.DUMMYFUNCTION("""COMPUTED_VALUE"""),"application/pdf")</f>
        <v>application/pdf</v>
      </c>
    </row>
    <row r="3118">
      <c r="A3118" s="339" t="str">
        <f>IFERROR(__xludf.DUMMYFUNCTION("""COMPUTED_VALUE"""),"10.1037/h0062326")</f>
        <v>10.1037/h0062326</v>
      </c>
      <c r="B3118" s="445" t="str">
        <f>IFERROR(__xludf.DUMMYFUNCTION("""COMPUTED_VALUE"""),"https://drive.google.com/file/d/1GD-j6BWPkB_b2ijNsy35CR0wHNMjHGjd/view?usp=drivesdk")</f>
        <v>https://drive.google.com/file/d/1GD-j6BWPkB_b2ijNsy35CR0wHNMjHGjd/view?usp=drivesdk</v>
      </c>
      <c r="C3118" s="339" t="str">
        <f>IFERROR(__xludf.DUMMYFUNCTION("""COMPUTED_VALUE"""),"10.1037--h0062326.pdf")</f>
        <v>10.1037--h0062326.pdf</v>
      </c>
      <c r="D3118" s="159" t="str">
        <f>IFERROR(__xludf.DUMMYFUNCTION("""COMPUTED_VALUE"""),"application/pdf")</f>
        <v>application/pdf</v>
      </c>
    </row>
    <row r="3119">
      <c r="A3119" s="339" t="str">
        <f>IFERROR(__xludf.DUMMYFUNCTION("""COMPUTED_VALUE"""),"10.1037/h0054651")</f>
        <v>10.1037/h0054651</v>
      </c>
      <c r="B3119" s="445" t="str">
        <f>IFERROR(__xludf.DUMMYFUNCTION("""COMPUTED_VALUE"""),"https://drive.google.com/file/d/16SOoUfTCSMe7mtchsl8axpkAxtRIR28i/view?usp=drivesdk")</f>
        <v>https://drive.google.com/file/d/16SOoUfTCSMe7mtchsl8axpkAxtRIR28i/view?usp=drivesdk</v>
      </c>
      <c r="C3119" s="339" t="str">
        <f>IFERROR(__xludf.DUMMYFUNCTION("""COMPUTED_VALUE"""),"10.1037--h0054651.pdf")</f>
        <v>10.1037--h0054651.pdf</v>
      </c>
      <c r="D3119" s="159" t="str">
        <f>IFERROR(__xludf.DUMMYFUNCTION("""COMPUTED_VALUE"""),"application/pdf")</f>
        <v>application/pdf</v>
      </c>
    </row>
    <row r="3120">
      <c r="A3120" s="339" t="str">
        <f>IFERROR(__xludf.DUMMYFUNCTION("""COMPUTED_VALUE"""),"10.1037/h0055756")</f>
        <v>10.1037/h0055756</v>
      </c>
      <c r="B3120" s="445" t="str">
        <f>IFERROR(__xludf.DUMMYFUNCTION("""COMPUTED_VALUE"""),"https://drive.google.com/file/d/1RL5VVGCl7-geMqjebtJXb9Jl5WDZ_RPf/view?usp=drivesdk")</f>
        <v>https://drive.google.com/file/d/1RL5VVGCl7-geMqjebtJXb9Jl5WDZ_RPf/view?usp=drivesdk</v>
      </c>
      <c r="C3120" s="339" t="str">
        <f>IFERROR(__xludf.DUMMYFUNCTION("""COMPUTED_VALUE"""),"10.1037--h0055756.pdf")</f>
        <v>10.1037--h0055756.pdf</v>
      </c>
      <c r="D3120" s="159" t="str">
        <f>IFERROR(__xludf.DUMMYFUNCTION("""COMPUTED_VALUE"""),"application/pdf")</f>
        <v>application/pdf</v>
      </c>
    </row>
    <row r="3121">
      <c r="A3121" s="339" t="str">
        <f>IFERROR(__xludf.DUMMYFUNCTION("""COMPUTED_VALUE"""),"10.1037/h0033373")</f>
        <v>10.1037/h0033373</v>
      </c>
      <c r="B3121" s="445" t="str">
        <f>IFERROR(__xludf.DUMMYFUNCTION("""COMPUTED_VALUE"""),"https://drive.google.com/file/d/1uYsHOUBngS-ZXgqB8qnnVPTbdmiJOAye/view?usp=drivesdk")</f>
        <v>https://drive.google.com/file/d/1uYsHOUBngS-ZXgqB8qnnVPTbdmiJOAye/view?usp=drivesdk</v>
      </c>
      <c r="C3121" s="339" t="str">
        <f>IFERROR(__xludf.DUMMYFUNCTION("""COMPUTED_VALUE"""),"10.1037--h0033373.pdf")</f>
        <v>10.1037--h0033373.pdf</v>
      </c>
      <c r="D3121" s="159" t="str">
        <f>IFERROR(__xludf.DUMMYFUNCTION("""COMPUTED_VALUE"""),"application/pdf")</f>
        <v>application/pdf</v>
      </c>
    </row>
    <row r="3122">
      <c r="A3122" s="339" t="str">
        <f>IFERROR(__xludf.DUMMYFUNCTION("""COMPUTED_VALUE"""),"10.1037/h0041006")</f>
        <v>10.1037/h0041006</v>
      </c>
      <c r="B3122" s="445" t="str">
        <f>IFERROR(__xludf.DUMMYFUNCTION("""COMPUTED_VALUE"""),"https://drive.google.com/file/d/1wDSdOj_hBlu6qxccU3OnehZB5-gYnYts/view?usp=drivesdk")</f>
        <v>https://drive.google.com/file/d/1wDSdOj_hBlu6qxccU3OnehZB5-gYnYts/view?usp=drivesdk</v>
      </c>
      <c r="C3122" s="339" t="str">
        <f>IFERROR(__xludf.DUMMYFUNCTION("""COMPUTED_VALUE"""),"10.1037--h0041006.pdf")</f>
        <v>10.1037--h0041006.pdf</v>
      </c>
      <c r="D3122" s="159" t="str">
        <f>IFERROR(__xludf.DUMMYFUNCTION("""COMPUTED_VALUE"""),"application/pdf")</f>
        <v>application/pdf</v>
      </c>
    </row>
    <row r="3123">
      <c r="A3123" s="339" t="str">
        <f>IFERROR(__xludf.DUMMYFUNCTION("""COMPUTED_VALUE"""),"10.1037/h0032317")</f>
        <v>10.1037/h0032317</v>
      </c>
      <c r="B3123" s="445" t="str">
        <f>IFERROR(__xludf.DUMMYFUNCTION("""COMPUTED_VALUE"""),"https://drive.google.com/file/d/1PPc0RGpI6FyC2CFU35uCyQf2KFIp33Mf/view?usp=drivesdk")</f>
        <v>https://drive.google.com/file/d/1PPc0RGpI6FyC2CFU35uCyQf2KFIp33Mf/view?usp=drivesdk</v>
      </c>
      <c r="C3123" s="339" t="str">
        <f>IFERROR(__xludf.DUMMYFUNCTION("""COMPUTED_VALUE"""),"10.1037--h0032317.pdf")</f>
        <v>10.1037--h0032317.pdf</v>
      </c>
      <c r="D3123" s="159" t="str">
        <f>IFERROR(__xludf.DUMMYFUNCTION("""COMPUTED_VALUE"""),"application/pdf")</f>
        <v>application/pdf</v>
      </c>
    </row>
    <row r="3124">
      <c r="A3124" s="339" t="str">
        <f>IFERROR(__xludf.DUMMYFUNCTION("""COMPUTED_VALUE"""),"10.1037/h0028434")</f>
        <v>10.1037/h0028434</v>
      </c>
      <c r="B3124" s="445" t="str">
        <f>IFERROR(__xludf.DUMMYFUNCTION("""COMPUTED_VALUE"""),"https://drive.google.com/file/d/1d3YiqgyBpR1vBwJxhNgYZttfp2h97WzB/view?usp=drivesdk")</f>
        <v>https://drive.google.com/file/d/1d3YiqgyBpR1vBwJxhNgYZttfp2h97WzB/view?usp=drivesdk</v>
      </c>
      <c r="C3124" s="339" t="str">
        <f>IFERROR(__xludf.DUMMYFUNCTION("""COMPUTED_VALUE"""),"10.1037--h0028434.pdf")</f>
        <v>10.1037--h0028434.pdf</v>
      </c>
      <c r="D3124" s="159" t="str">
        <f>IFERROR(__xludf.DUMMYFUNCTION("""COMPUTED_VALUE"""),"application/pdf")</f>
        <v>application/pdf</v>
      </c>
    </row>
    <row r="3125">
      <c r="A3125" s="339" t="str">
        <f>IFERROR(__xludf.DUMMYFUNCTION("""COMPUTED_VALUE"""),"10.1037/h0025848")</f>
        <v>10.1037/h0025848</v>
      </c>
      <c r="B3125" s="445" t="str">
        <f>IFERROR(__xludf.DUMMYFUNCTION("""COMPUTED_VALUE"""),"https://drive.google.com/file/d/1BkIrUKawTYC3ZJd8Gdg3L-qgFqtjoWcy/view?usp=drivesdk")</f>
        <v>https://drive.google.com/file/d/1BkIrUKawTYC3ZJd8Gdg3L-qgFqtjoWcy/view?usp=drivesdk</v>
      </c>
      <c r="C3125" s="339" t="str">
        <f>IFERROR(__xludf.DUMMYFUNCTION("""COMPUTED_VALUE"""),"10.1037--h0025848.pdf")</f>
        <v>10.1037--h0025848.pdf</v>
      </c>
      <c r="D3125" s="159" t="str">
        <f>IFERROR(__xludf.DUMMYFUNCTION("""COMPUTED_VALUE"""),"application/pdf")</f>
        <v>application/pdf</v>
      </c>
    </row>
    <row r="3126">
      <c r="A3126" s="339" t="str">
        <f>IFERROR(__xludf.DUMMYFUNCTION("""COMPUTED_VALUE"""),"10.1037/h0023552")</f>
        <v>10.1037/h0023552</v>
      </c>
      <c r="B3126" s="445" t="str">
        <f>IFERROR(__xludf.DUMMYFUNCTION("""COMPUTED_VALUE"""),"https://drive.google.com/file/d/1KepKPpAIiCTU53-R7iv3bibeeDT2e4uc/view?usp=drivesdk")</f>
        <v>https://drive.google.com/file/d/1KepKPpAIiCTU53-R7iv3bibeeDT2e4uc/view?usp=drivesdk</v>
      </c>
      <c r="C3126" s="339" t="str">
        <f>IFERROR(__xludf.DUMMYFUNCTION("""COMPUTED_VALUE"""),"10.1037--h0023552.pdf")</f>
        <v>10.1037--h0023552.pdf</v>
      </c>
      <c r="D3126" s="159" t="str">
        <f>IFERROR(__xludf.DUMMYFUNCTION("""COMPUTED_VALUE"""),"application/pdf")</f>
        <v>application/pdf</v>
      </c>
    </row>
    <row r="3127">
      <c r="A3127" s="339" t="str">
        <f>IFERROR(__xludf.DUMMYFUNCTION("""COMPUTED_VALUE"""),"10.1037/a0034755")</f>
        <v>10.1037/a0034755</v>
      </c>
      <c r="B3127" s="445" t="str">
        <f>IFERROR(__xludf.DUMMYFUNCTION("""COMPUTED_VALUE"""),"https://drive.google.com/file/d/1V3ckTOj3ZkkNHIEaAqeL1uAXi4vMNsml/view?usp=drivesdk")</f>
        <v>https://drive.google.com/file/d/1V3ckTOj3ZkkNHIEaAqeL1uAXi4vMNsml/view?usp=drivesdk</v>
      </c>
      <c r="C3127" s="339" t="str">
        <f>IFERROR(__xludf.DUMMYFUNCTION("""COMPUTED_VALUE"""),"10.1037--a0034755.pdf")</f>
        <v>10.1037--a0034755.pdf</v>
      </c>
      <c r="D3127" s="159" t="str">
        <f>IFERROR(__xludf.DUMMYFUNCTION("""COMPUTED_VALUE"""),"application/pdf")</f>
        <v>application/pdf</v>
      </c>
    </row>
    <row r="3128">
      <c r="A3128" s="339" t="str">
        <f>IFERROR(__xludf.DUMMYFUNCTION("""COMPUTED_VALUE"""),"10.1037/a0034462")</f>
        <v>10.1037/a0034462</v>
      </c>
      <c r="B3128" s="445" t="str">
        <f>IFERROR(__xludf.DUMMYFUNCTION("""COMPUTED_VALUE"""),"https://drive.google.com/file/d/1VIF6kuqnOCJkukqkxuMzonIlfG0vD2p3/view?usp=drivesdk")</f>
        <v>https://drive.google.com/file/d/1VIF6kuqnOCJkukqkxuMzonIlfG0vD2p3/view?usp=drivesdk</v>
      </c>
      <c r="C3128" s="339" t="str">
        <f>IFERROR(__xludf.DUMMYFUNCTION("""COMPUTED_VALUE"""),"10.1037--a0034462.pdf")</f>
        <v>10.1037--a0034462.pdf</v>
      </c>
      <c r="D3128" s="159" t="str">
        <f>IFERROR(__xludf.DUMMYFUNCTION("""COMPUTED_VALUE"""),"application/pdf")</f>
        <v>application/pdf</v>
      </c>
    </row>
    <row r="3129">
      <c r="A3129" s="339" t="str">
        <f>IFERROR(__xludf.DUMMYFUNCTION("""COMPUTED_VALUE"""),"10.1037/a0029649")</f>
        <v>10.1037/a0029649</v>
      </c>
      <c r="B3129" s="445" t="str">
        <f>IFERROR(__xludf.DUMMYFUNCTION("""COMPUTED_VALUE"""),"https://drive.google.com/file/d/1HOf675tEXfG2bMnJOIiHzWGLlDbzEY3d/view?usp=drivesdk")</f>
        <v>https://drive.google.com/file/d/1HOf675tEXfG2bMnJOIiHzWGLlDbzEY3d/view?usp=drivesdk</v>
      </c>
      <c r="C3129" s="339" t="str">
        <f>IFERROR(__xludf.DUMMYFUNCTION("""COMPUTED_VALUE"""),"10.1037--a0029649.pdf")</f>
        <v>10.1037--a0029649.pdf</v>
      </c>
      <c r="D3129" s="159" t="str">
        <f>IFERROR(__xludf.DUMMYFUNCTION("""COMPUTED_VALUE"""),"application/pdf")</f>
        <v>application/pdf</v>
      </c>
    </row>
    <row r="3130">
      <c r="A3130" s="339" t="str">
        <f>IFERROR(__xludf.DUMMYFUNCTION("""COMPUTED_VALUE"""),"10.1037/a0027407")</f>
        <v>10.1037/a0027407</v>
      </c>
      <c r="B3130" s="445" t="str">
        <f>IFERROR(__xludf.DUMMYFUNCTION("""COMPUTED_VALUE"""),"https://drive.google.com/file/d/1DS4JtkHMjs9zr71-ezWtK-niMJQwvASc/view?usp=drivesdk")</f>
        <v>https://drive.google.com/file/d/1DS4JtkHMjs9zr71-ezWtK-niMJQwvASc/view?usp=drivesdk</v>
      </c>
      <c r="C3130" s="339" t="str">
        <f>IFERROR(__xludf.DUMMYFUNCTION("""COMPUTED_VALUE"""),"10.1037--a0027407.pdf")</f>
        <v>10.1037--a0027407.pdf</v>
      </c>
      <c r="D3130" s="159" t="str">
        <f>IFERROR(__xludf.DUMMYFUNCTION("""COMPUTED_VALUE"""),"application/pdf")</f>
        <v>application/pdf</v>
      </c>
    </row>
    <row r="3131">
      <c r="A3131" s="339" t="str">
        <f>IFERROR(__xludf.DUMMYFUNCTION("""COMPUTED_VALUE"""),"10.1037/a0025883")</f>
        <v>10.1037/a0025883</v>
      </c>
      <c r="B3131" s="445" t="str">
        <f>IFERROR(__xludf.DUMMYFUNCTION("""COMPUTED_VALUE"""),"https://drive.google.com/file/d/1bRLs3S0AT2q1kxpgqs8O2vQssNN1LQOi/view?usp=drivesdk")</f>
        <v>https://drive.google.com/file/d/1bRLs3S0AT2q1kxpgqs8O2vQssNN1LQOi/view?usp=drivesdk</v>
      </c>
      <c r="C3131" s="339" t="str">
        <f>IFERROR(__xludf.DUMMYFUNCTION("""COMPUTED_VALUE"""),"10.1037--a0025883.pdf")</f>
        <v>10.1037--a0025883.pdf</v>
      </c>
      <c r="D3131" s="159" t="str">
        <f>IFERROR(__xludf.DUMMYFUNCTION("""COMPUTED_VALUE"""),"application/pdf")</f>
        <v>application/pdf</v>
      </c>
    </row>
    <row r="3132">
      <c r="A3132" s="339" t="str">
        <f>IFERROR(__xludf.DUMMYFUNCTION("""COMPUTED_VALUE"""),"10.1037/a0021524")</f>
        <v>10.1037/a0021524</v>
      </c>
      <c r="B3132" s="445" t="str">
        <f>IFERROR(__xludf.DUMMYFUNCTION("""COMPUTED_VALUE"""),"https://drive.google.com/file/d/1Sg7pV5-MRMEfG7acPaIDjV0AQ3yqElU4/view?usp=drivesdk")</f>
        <v>https://drive.google.com/file/d/1Sg7pV5-MRMEfG7acPaIDjV0AQ3yqElU4/view?usp=drivesdk</v>
      </c>
      <c r="C3132" s="339" t="str">
        <f>IFERROR(__xludf.DUMMYFUNCTION("""COMPUTED_VALUE"""),"10.1037--a0021524.pdf")</f>
        <v>10.1037--a0021524.pdf</v>
      </c>
      <c r="D3132" s="159" t="str">
        <f>IFERROR(__xludf.DUMMYFUNCTION("""COMPUTED_VALUE"""),"application/pdf")</f>
        <v>application/pdf</v>
      </c>
    </row>
    <row r="3133">
      <c r="A3133" s="339" t="str">
        <f>IFERROR(__xludf.DUMMYFUNCTION("""COMPUTED_VALUE"""),"10.1037/a0020757")</f>
        <v>10.1037/a0020757</v>
      </c>
      <c r="B3133" s="445" t="str">
        <f>IFERROR(__xludf.DUMMYFUNCTION("""COMPUTED_VALUE"""),"https://drive.google.com/file/d/1bVACFlgExLyf1CCoBeLzElMk1QbAZYSW/view?usp=drivesdk")</f>
        <v>https://drive.google.com/file/d/1bVACFlgExLyf1CCoBeLzElMk1QbAZYSW/view?usp=drivesdk</v>
      </c>
      <c r="C3133" s="339" t="str">
        <f>IFERROR(__xludf.DUMMYFUNCTION("""COMPUTED_VALUE"""),"10.1037--a0020757.pdf")</f>
        <v>10.1037--a0020757.pdf</v>
      </c>
      <c r="D3133" s="159" t="str">
        <f>IFERROR(__xludf.DUMMYFUNCTION("""COMPUTED_VALUE"""),"application/pdf")</f>
        <v>application/pdf</v>
      </c>
    </row>
    <row r="3134">
      <c r="A3134" s="339" t="str">
        <f>IFERROR(__xludf.DUMMYFUNCTION("""COMPUTED_VALUE"""),"10.1037/a0019689")</f>
        <v>10.1037/a0019689</v>
      </c>
      <c r="B3134" s="445" t="str">
        <f>IFERROR(__xludf.DUMMYFUNCTION("""COMPUTED_VALUE"""),"https://drive.google.com/file/d/1_IO4PdoMe7l8Q03W9hLBkKiHGidC5w-t/view?usp=drivesdk")</f>
        <v>https://drive.google.com/file/d/1_IO4PdoMe7l8Q03W9hLBkKiHGidC5w-t/view?usp=drivesdk</v>
      </c>
      <c r="C3134" s="339" t="str">
        <f>IFERROR(__xludf.DUMMYFUNCTION("""COMPUTED_VALUE"""),"10.1037--a0019689.pdf")</f>
        <v>10.1037--a0019689.pdf</v>
      </c>
      <c r="D3134" s="159" t="str">
        <f>IFERROR(__xludf.DUMMYFUNCTION("""COMPUTED_VALUE"""),"application/pdf")</f>
        <v>application/pdf</v>
      </c>
    </row>
    <row r="3135">
      <c r="A3135" s="339" t="str">
        <f>IFERROR(__xludf.DUMMYFUNCTION("""COMPUTED_VALUE"""),"10.1037/a0015141")</f>
        <v>10.1037/a0015141</v>
      </c>
      <c r="B3135" s="445" t="str">
        <f>IFERROR(__xludf.DUMMYFUNCTION("""COMPUTED_VALUE"""),"https://drive.google.com/file/d/1hVohJjrePDnbP3YuG-OoIFpV1SI20xvZ/view?usp=drivesdk")</f>
        <v>https://drive.google.com/file/d/1hVohJjrePDnbP3YuG-OoIFpV1SI20xvZ/view?usp=drivesdk</v>
      </c>
      <c r="C3135" s="339" t="str">
        <f>IFERROR(__xludf.DUMMYFUNCTION("""COMPUTED_VALUE"""),"10.1037--a0015141.pdf")</f>
        <v>10.1037--a0015141.pdf</v>
      </c>
      <c r="D3135" s="159" t="str">
        <f>IFERROR(__xludf.DUMMYFUNCTION("""COMPUTED_VALUE"""),"application/pdf")</f>
        <v>application/pdf</v>
      </c>
    </row>
    <row r="3136">
      <c r="A3136" s="339" t="str">
        <f>IFERROR(__xludf.DUMMYFUNCTION("""COMPUTED_VALUE"""),"10.1037/a0015960")</f>
        <v>10.1037/a0015960</v>
      </c>
      <c r="B3136" s="445" t="str">
        <f>IFERROR(__xludf.DUMMYFUNCTION("""COMPUTED_VALUE"""),"https://drive.google.com/file/d/1hz1780nNZDOTtNpiczqkkXabV668BcRE/view?usp=drivesdk")</f>
        <v>https://drive.google.com/file/d/1hz1780nNZDOTtNpiczqkkXabV668BcRE/view?usp=drivesdk</v>
      </c>
      <c r="C3136" s="339" t="str">
        <f>IFERROR(__xludf.DUMMYFUNCTION("""COMPUTED_VALUE"""),"10.1037--a0015960.pdf")</f>
        <v>10.1037--a0015960.pdf</v>
      </c>
      <c r="D3136" s="159" t="str">
        <f>IFERROR(__xludf.DUMMYFUNCTION("""COMPUTED_VALUE"""),"application/pdf")</f>
        <v>application/pdf</v>
      </c>
    </row>
    <row r="3137">
      <c r="A3137" s="339" t="str">
        <f>IFERROR(__xludf.DUMMYFUNCTION("""COMPUTED_VALUE"""),"10.1037/a0013748")</f>
        <v>10.1037/a0013748</v>
      </c>
      <c r="B3137" s="445" t="str">
        <f>IFERROR(__xludf.DUMMYFUNCTION("""COMPUTED_VALUE"""),"https://drive.google.com/file/d/13LERMC05_TVKu6xv7g91wRtXxu0ET1Tj/view?usp=drivesdk")</f>
        <v>https://drive.google.com/file/d/13LERMC05_TVKu6xv7g91wRtXxu0ET1Tj/view?usp=drivesdk</v>
      </c>
      <c r="C3137" s="339" t="str">
        <f>IFERROR(__xludf.DUMMYFUNCTION("""COMPUTED_VALUE"""),"10.1037--a0013748.pdf")</f>
        <v>10.1037--a0013748.pdf</v>
      </c>
      <c r="D3137" s="159" t="str">
        <f>IFERROR(__xludf.DUMMYFUNCTION("""COMPUTED_VALUE"""),"application/pdf")</f>
        <v>application/pdf</v>
      </c>
    </row>
    <row r="3138">
      <c r="A3138" s="339" t="str">
        <f>IFERROR(__xludf.DUMMYFUNCTION("""COMPUTED_VALUE"""),"10.1037/a0012833")</f>
        <v>10.1037/a0012833</v>
      </c>
      <c r="B3138" s="445" t="str">
        <f>IFERROR(__xludf.DUMMYFUNCTION("""COMPUTED_VALUE"""),"https://drive.google.com/file/d/1HpcHlK2DyzZieaRbX6Fr0ov7Mf_R671v/view?usp=drivesdk")</f>
        <v>https://drive.google.com/file/d/1HpcHlK2DyzZieaRbX6Fr0ov7Mf_R671v/view?usp=drivesdk</v>
      </c>
      <c r="C3138" s="339" t="str">
        <f>IFERROR(__xludf.DUMMYFUNCTION("""COMPUTED_VALUE"""),"10.1037--a0012833.pdf")</f>
        <v>10.1037--a0012833.pdf</v>
      </c>
      <c r="D3138" s="159" t="str">
        <f>IFERROR(__xludf.DUMMYFUNCTION("""COMPUTED_VALUE"""),"application/pdf")</f>
        <v>application/pdf</v>
      </c>
    </row>
    <row r="3139">
      <c r="A3139" s="339" t="str">
        <f>IFERROR(__xludf.DUMMYFUNCTION("""COMPUTED_VALUE"""),"10.1037/a0012518")</f>
        <v>10.1037/a0012518</v>
      </c>
      <c r="B3139" s="445" t="str">
        <f>IFERROR(__xludf.DUMMYFUNCTION("""COMPUTED_VALUE"""),"https://drive.google.com/file/d/1EyYPChGeuUzTKHlHU2xIK7B3AxTGwtfO/view?usp=drivesdk")</f>
        <v>https://drive.google.com/file/d/1EyYPChGeuUzTKHlHU2xIK7B3AxTGwtfO/view?usp=drivesdk</v>
      </c>
      <c r="C3139" s="339" t="str">
        <f>IFERROR(__xludf.DUMMYFUNCTION("""COMPUTED_VALUE"""),"10.1037--a0012518.pdf")</f>
        <v>10.1037--a0012518.pdf</v>
      </c>
      <c r="D3139" s="159" t="str">
        <f>IFERROR(__xludf.DUMMYFUNCTION("""COMPUTED_VALUE"""),"application/pdf")</f>
        <v>application/pdf</v>
      </c>
    </row>
    <row r="3140">
      <c r="A3140" s="339" t="str">
        <f>IFERROR(__xludf.DUMMYFUNCTION("""COMPUTED_VALUE"""),"10.1037/1089-2699.6.1.101")</f>
        <v>10.1037/1089-2699.6.1.101</v>
      </c>
      <c r="B3140" s="445" t="str">
        <f>IFERROR(__xludf.DUMMYFUNCTION("""COMPUTED_VALUE"""),"https://drive.google.com/file/d/120bw0itAYyHMiW9T7e3mTuddlQMPW3x8/view?usp=drivesdk")</f>
        <v>https://drive.google.com/file/d/120bw0itAYyHMiW9T7e3mTuddlQMPW3x8/view?usp=drivesdk</v>
      </c>
      <c r="C3140" s="339" t="str">
        <f>IFERROR(__xludf.DUMMYFUNCTION("""COMPUTED_VALUE"""),"10.1037--1089-2699.6.1.101.pdf")</f>
        <v>10.1037--1089-2699.6.1.101.pdf</v>
      </c>
      <c r="D3140" s="159" t="str">
        <f>IFERROR(__xludf.DUMMYFUNCTION("""COMPUTED_VALUE"""),"application/pdf")</f>
        <v>application/pdf</v>
      </c>
    </row>
    <row r="3141">
      <c r="A3141" s="339" t="str">
        <f>IFERROR(__xludf.DUMMYFUNCTION("""COMPUTED_VALUE"""),"10.1037/0893-3200.17.4.460")</f>
        <v>10.1037/0893-3200.17.4.460</v>
      </c>
      <c r="B3141" s="445" t="str">
        <f>IFERROR(__xludf.DUMMYFUNCTION("""COMPUTED_VALUE"""),"https://drive.google.com/file/d/15-xZoziBIfRM1RNSkhWBwkJIkhndLjdq/view?usp=drivesdk")</f>
        <v>https://drive.google.com/file/d/15-xZoziBIfRM1RNSkhWBwkJIkhndLjdq/view?usp=drivesdk</v>
      </c>
      <c r="C3141" s="339" t="str">
        <f>IFERROR(__xludf.DUMMYFUNCTION("""COMPUTED_VALUE"""),"10.1037--0893-3200.17.4.460.pdf")</f>
        <v>10.1037--0893-3200.17.4.460.pdf</v>
      </c>
      <c r="D3141" s="159" t="str">
        <f>IFERROR(__xludf.DUMMYFUNCTION("""COMPUTED_VALUE"""),"application/pdf")</f>
        <v>application/pdf</v>
      </c>
    </row>
    <row r="3142">
      <c r="A3142" s="339" t="str">
        <f>IFERROR(__xludf.DUMMYFUNCTION("""COMPUTED_VALUE"""),"10.1037/0278-7393.34.3.546")</f>
        <v>10.1037/0278-7393.34.3.546</v>
      </c>
      <c r="B3142" s="445" t="str">
        <f>IFERROR(__xludf.DUMMYFUNCTION("""COMPUTED_VALUE"""),"https://drive.google.com/file/d/1DqdONyqsLP1eg0rgW71wKdPbcflRStOn/view?usp=drivesdk")</f>
        <v>https://drive.google.com/file/d/1DqdONyqsLP1eg0rgW71wKdPbcflRStOn/view?usp=drivesdk</v>
      </c>
      <c r="C3142" s="339" t="str">
        <f>IFERROR(__xludf.DUMMYFUNCTION("""COMPUTED_VALUE"""),"10.1037--0278-7393.34.3.546.pdf")</f>
        <v>10.1037--0278-7393.34.3.546.pdf</v>
      </c>
      <c r="D3142" s="159" t="str">
        <f>IFERROR(__xludf.DUMMYFUNCTION("""COMPUTED_VALUE"""),"application/pdf")</f>
        <v>application/pdf</v>
      </c>
    </row>
    <row r="3143">
      <c r="A3143" s="339" t="str">
        <f>IFERROR(__xludf.DUMMYFUNCTION("""COMPUTED_VALUE"""),"10.1037/0278-7393.34.3.533")</f>
        <v>10.1037/0278-7393.34.3.533</v>
      </c>
      <c r="B3143" s="445" t="str">
        <f>IFERROR(__xludf.DUMMYFUNCTION("""COMPUTED_VALUE"""),"https://drive.google.com/file/d/1xLqo3pcQbvof4dFTirs6WvJ7tevRvXKz/view?usp=drivesdk")</f>
        <v>https://drive.google.com/file/d/1xLqo3pcQbvof4dFTirs6WvJ7tevRvXKz/view?usp=drivesdk</v>
      </c>
      <c r="C3143" s="339" t="str">
        <f>IFERROR(__xludf.DUMMYFUNCTION("""COMPUTED_VALUE"""),"10.1037--0278-7393.34.3.533.pdf")</f>
        <v>10.1037--0278-7393.34.3.533.pdf</v>
      </c>
      <c r="D3143" s="159" t="str">
        <f>IFERROR(__xludf.DUMMYFUNCTION("""COMPUTED_VALUE"""),"application/pdf")</f>
        <v>application/pdf</v>
      </c>
    </row>
    <row r="3144">
      <c r="A3144" s="339" t="str">
        <f>IFERROR(__xludf.DUMMYFUNCTION("""COMPUTED_VALUE"""),"10.1037/0278-7393.34.3.514")</f>
        <v>10.1037/0278-7393.34.3.514</v>
      </c>
      <c r="B3144" s="445" t="str">
        <f>IFERROR(__xludf.DUMMYFUNCTION("""COMPUTED_VALUE"""),"https://drive.google.com/file/d/19iYi-koeR6fi39K_iI9D0SdOP6whI2f7/view?usp=drivesdk")</f>
        <v>https://drive.google.com/file/d/19iYi-koeR6fi39K_iI9D0SdOP6whI2f7/view?usp=drivesdk</v>
      </c>
      <c r="C3144" s="339" t="str">
        <f>IFERROR(__xludf.DUMMYFUNCTION("""COMPUTED_VALUE"""),"10.1037--0278-7393.34.3.514.pdf")</f>
        <v>10.1037--0278-7393.34.3.514.pdf</v>
      </c>
      <c r="D3144" s="159" t="str">
        <f>IFERROR(__xludf.DUMMYFUNCTION("""COMPUTED_VALUE"""),"application/pdf")</f>
        <v>application/pdf</v>
      </c>
    </row>
    <row r="3145">
      <c r="A3145" s="339" t="str">
        <f>IFERROR(__xludf.DUMMYFUNCTION("""COMPUTED_VALUE"""),"10.1037/0278-7393.34.3.524")</f>
        <v>10.1037/0278-7393.34.3.524</v>
      </c>
      <c r="B3145" s="445" t="str">
        <f>IFERROR(__xludf.DUMMYFUNCTION("""COMPUTED_VALUE"""),"https://drive.google.com/file/d/1EbrmM7VFUrWNPY8NxA_ziNU_qOGIUYVa/view?usp=drivesdk")</f>
        <v>https://drive.google.com/file/d/1EbrmM7VFUrWNPY8NxA_ziNU_qOGIUYVa/view?usp=drivesdk</v>
      </c>
      <c r="C3145" s="339" t="str">
        <f>IFERROR(__xludf.DUMMYFUNCTION("""COMPUTED_VALUE"""),"10.1037--0278-7393.34.3.524.pdf")</f>
        <v>10.1037--0278-7393.34.3.524.pdf</v>
      </c>
      <c r="D3145" s="159" t="str">
        <f>IFERROR(__xludf.DUMMYFUNCTION("""COMPUTED_VALUE"""),"application/pdf")</f>
        <v>application/pdf</v>
      </c>
    </row>
    <row r="3146">
      <c r="A3146" s="339" t="str">
        <f>IFERROR(__xludf.DUMMYFUNCTION("""COMPUTED_VALUE"""),"10.1037/0278-7393.34.3.495")</f>
        <v>10.1037/0278-7393.34.3.495</v>
      </c>
      <c r="B3146" s="445" t="str">
        <f>IFERROR(__xludf.DUMMYFUNCTION("""COMPUTED_VALUE"""),"https://drive.google.com/file/d/1ycY8rorKC9FDqVeTFdgVQQrTEuktcPox/view?usp=drivesdk")</f>
        <v>https://drive.google.com/file/d/1ycY8rorKC9FDqVeTFdgVQQrTEuktcPox/view?usp=drivesdk</v>
      </c>
      <c r="C3146" s="339" t="str">
        <f>IFERROR(__xludf.DUMMYFUNCTION("""COMPUTED_VALUE"""),"10.1037--0278-7393.34.3.495.pdf")</f>
        <v>10.1037--0278-7393.34.3.495.pdf</v>
      </c>
      <c r="D3146" s="159" t="str">
        <f>IFERROR(__xludf.DUMMYFUNCTION("""COMPUTED_VALUE"""),"application/pdf")</f>
        <v>application/pdf</v>
      </c>
    </row>
    <row r="3147">
      <c r="A3147" s="339" t="str">
        <f>IFERROR(__xludf.DUMMYFUNCTION("""COMPUTED_VALUE"""),"10.1037/0278-7393.34.3.478")</f>
        <v>10.1037/0278-7393.34.3.478</v>
      </c>
      <c r="B3147" s="445" t="str">
        <f>IFERROR(__xludf.DUMMYFUNCTION("""COMPUTED_VALUE"""),"https://drive.google.com/file/d/1NiPCpcI4sxnM3OTJQdqenG265Dkr8hRb/view?usp=drivesdk")</f>
        <v>https://drive.google.com/file/d/1NiPCpcI4sxnM3OTJQdqenG265Dkr8hRb/view?usp=drivesdk</v>
      </c>
      <c r="C3147" s="339" t="str">
        <f>IFERROR(__xludf.DUMMYFUNCTION("""COMPUTED_VALUE"""),"10.1037--0278-7393.34.3.478.pdf")</f>
        <v>10.1037--0278-7393.34.3.478.pdf</v>
      </c>
      <c r="D3147" s="159" t="str">
        <f>IFERROR(__xludf.DUMMYFUNCTION("""COMPUTED_VALUE"""),"application/pdf")</f>
        <v>application/pdf</v>
      </c>
    </row>
    <row r="3148">
      <c r="A3148" s="339" t="str">
        <f>IFERROR(__xludf.DUMMYFUNCTION("""COMPUTED_VALUE"""),"10.1037/0278-7393.34.3.439")</f>
        <v>10.1037/0278-7393.34.3.439</v>
      </c>
      <c r="B3148" s="445" t="str">
        <f>IFERROR(__xludf.DUMMYFUNCTION("""COMPUTED_VALUE"""),"https://drive.google.com/file/d/128D_xuWagaOC3zKfGWUi8CFf7zReyViC/view?usp=drivesdk")</f>
        <v>https://drive.google.com/file/d/128D_xuWagaOC3zKfGWUi8CFf7zReyViC/view?usp=drivesdk</v>
      </c>
      <c r="C3148" s="339" t="str">
        <f>IFERROR(__xludf.DUMMYFUNCTION("""COMPUTED_VALUE"""),"10.1037--0278-7393.34.3.439.pdf")</f>
        <v>10.1037--0278-7393.34.3.439.pdf</v>
      </c>
      <c r="D3148" s="159" t="str">
        <f>IFERROR(__xludf.DUMMYFUNCTION("""COMPUTED_VALUE"""),"application/pdf")</f>
        <v>application/pdf</v>
      </c>
    </row>
    <row r="3149">
      <c r="A3149" s="339" t="str">
        <f>IFERROR(__xludf.DUMMYFUNCTION("""COMPUTED_VALUE"""),"10.1037/0278-7393.34.3.460")</f>
        <v>10.1037/0278-7393.34.3.460</v>
      </c>
      <c r="B3149" s="445" t="str">
        <f>IFERROR(__xludf.DUMMYFUNCTION("""COMPUTED_VALUE"""),"https://drive.google.com/file/d/12RwvQLmV6wPAqPP_X6JgA8Qo27g_8SJK/view?usp=drivesdk")</f>
        <v>https://drive.google.com/file/d/12RwvQLmV6wPAqPP_X6JgA8Qo27g_8SJK/view?usp=drivesdk</v>
      </c>
      <c r="C3149" s="339" t="str">
        <f>IFERROR(__xludf.DUMMYFUNCTION("""COMPUTED_VALUE"""),"10.1037--0278-7393.34.3.460.pdf")</f>
        <v>10.1037--0278-7393.34.3.460.pdf</v>
      </c>
      <c r="D3149" s="159" t="str">
        <f>IFERROR(__xludf.DUMMYFUNCTION("""COMPUTED_VALUE"""),"application/pdf")</f>
        <v>application/pdf</v>
      </c>
    </row>
    <row r="3150">
      <c r="A3150" s="339" t="str">
        <f>IFERROR(__xludf.DUMMYFUNCTION("""COMPUTED_VALUE"""),"10.1037/0278-7393.34.2.422")</f>
        <v>10.1037/0278-7393.34.2.422</v>
      </c>
      <c r="B3150" s="445" t="str">
        <f>IFERROR(__xludf.DUMMYFUNCTION("""COMPUTED_VALUE"""),"https://drive.google.com/file/d/1P8Hm5KaZpuFw07NdNh7BSk7XVf85qUvU/view?usp=drivesdk")</f>
        <v>https://drive.google.com/file/d/1P8Hm5KaZpuFw07NdNh7BSk7XVf85qUvU/view?usp=drivesdk</v>
      </c>
      <c r="C3150" s="339" t="str">
        <f>IFERROR(__xludf.DUMMYFUNCTION("""COMPUTED_VALUE"""),"10.1037--0278-7393.34.2.422.pdf")</f>
        <v>10.1037--0278-7393.34.2.422.pdf</v>
      </c>
      <c r="D3150" s="159" t="str">
        <f>IFERROR(__xludf.DUMMYFUNCTION("""COMPUTED_VALUE"""),"application/pdf")</f>
        <v>application/pdf</v>
      </c>
    </row>
    <row r="3151">
      <c r="A3151" s="339" t="str">
        <f>IFERROR(__xludf.DUMMYFUNCTION("""COMPUTED_VALUE"""),"10.1037/0278-7393.34.2.430")</f>
        <v>10.1037/0278-7393.34.2.430</v>
      </c>
      <c r="B3151" s="445" t="str">
        <f>IFERROR(__xludf.DUMMYFUNCTION("""COMPUTED_VALUE"""),"https://drive.google.com/file/d/1dnoOFsITQ-OlW3SSnEP3gasruwHVCneM/view?usp=drivesdk")</f>
        <v>https://drive.google.com/file/d/1dnoOFsITQ-OlW3SSnEP3gasruwHVCneM/view?usp=drivesdk</v>
      </c>
      <c r="C3151" s="339" t="str">
        <f>IFERROR(__xludf.DUMMYFUNCTION("""COMPUTED_VALUE"""),"10.1037--0278-7393.34.2.430.pdf")</f>
        <v>10.1037--0278-7393.34.2.430.pdf</v>
      </c>
      <c r="D3151" s="159" t="str">
        <f>IFERROR(__xludf.DUMMYFUNCTION("""COMPUTED_VALUE"""),"application/pdf")</f>
        <v>application/pdf</v>
      </c>
    </row>
    <row r="3152">
      <c r="A3152" s="339" t="str">
        <f>IFERROR(__xludf.DUMMYFUNCTION("""COMPUTED_VALUE"""),"10.1037/0278-7393.34.2.415")</f>
        <v>10.1037/0278-7393.34.2.415</v>
      </c>
      <c r="B3152" s="445" t="str">
        <f>IFERROR(__xludf.DUMMYFUNCTION("""COMPUTED_VALUE"""),"https://drive.google.com/file/d/1jZMmibrF0qP1C-7eRJEcXJL4O_ztSG2B/view?usp=drivesdk")</f>
        <v>https://drive.google.com/file/d/1jZMmibrF0qP1C-7eRJEcXJL4O_ztSG2B/view?usp=drivesdk</v>
      </c>
      <c r="C3152" s="339" t="str">
        <f>IFERROR(__xludf.DUMMYFUNCTION("""COMPUTED_VALUE"""),"10.1037--0278-7393.34.2.415.pdf")</f>
        <v>10.1037--0278-7393.34.2.415.pdf</v>
      </c>
      <c r="D3152" s="159" t="str">
        <f>IFERROR(__xludf.DUMMYFUNCTION("""COMPUTED_VALUE"""),"application/pdf")</f>
        <v>application/pdf</v>
      </c>
    </row>
    <row r="3153">
      <c r="A3153" s="339" t="str">
        <f>IFERROR(__xludf.DUMMYFUNCTION("""COMPUTED_VALUE"""),"10.1037/0278-7393.34.2.408")</f>
        <v>10.1037/0278-7393.34.2.408</v>
      </c>
      <c r="B3153" s="445" t="str">
        <f>IFERROR(__xludf.DUMMYFUNCTION("""COMPUTED_VALUE"""),"https://drive.google.com/file/d/1jBszlwOALWIwLYvif4D3xVGXucPXKUwU/view?usp=drivesdk")</f>
        <v>https://drive.google.com/file/d/1jBszlwOALWIwLYvif4D3xVGXucPXKUwU/view?usp=drivesdk</v>
      </c>
      <c r="C3153" s="339" t="str">
        <f>IFERROR(__xludf.DUMMYFUNCTION("""COMPUTED_VALUE"""),"10.1037--0278-7393.34.2.408.pdf")</f>
        <v>10.1037--0278-7393.34.2.408.pdf</v>
      </c>
      <c r="D3153" s="159" t="str">
        <f>IFERROR(__xludf.DUMMYFUNCTION("""COMPUTED_VALUE"""),"application/pdf")</f>
        <v>application/pdf</v>
      </c>
    </row>
    <row r="3154">
      <c r="A3154" s="339" t="str">
        <f>IFERROR(__xludf.DUMMYFUNCTION("""COMPUTED_VALUE"""),"10.1037/0278-7393.34.2.381")</f>
        <v>10.1037/0278-7393.34.2.381</v>
      </c>
      <c r="B3154" s="445" t="str">
        <f>IFERROR(__xludf.DUMMYFUNCTION("""COMPUTED_VALUE"""),"https://drive.google.com/file/d/1lWEjtXsosG3uPn1h67AzaUXydMvmlJWW/view?usp=drivesdk")</f>
        <v>https://drive.google.com/file/d/1lWEjtXsosG3uPn1h67AzaUXydMvmlJWW/view?usp=drivesdk</v>
      </c>
      <c r="C3154" s="339" t="str">
        <f>IFERROR(__xludf.DUMMYFUNCTION("""COMPUTED_VALUE"""),"10.1037--0278-7393.34.2.381.pdf")</f>
        <v>10.1037--0278-7393.34.2.381.pdf</v>
      </c>
      <c r="D3154" s="159" t="str">
        <f>IFERROR(__xludf.DUMMYFUNCTION("""COMPUTED_VALUE"""),"application/pdf")</f>
        <v>application/pdf</v>
      </c>
    </row>
    <row r="3155">
      <c r="A3155" s="339" t="str">
        <f>IFERROR(__xludf.DUMMYFUNCTION("""COMPUTED_VALUE"""),"10.1037/0278-7393.34.2.399")</f>
        <v>10.1037/0278-7393.34.2.399</v>
      </c>
      <c r="B3155" s="445" t="str">
        <f>IFERROR(__xludf.DUMMYFUNCTION("""COMPUTED_VALUE"""),"https://drive.google.com/file/d/1y0oKhgHFMs_nXH4ufYi5ZaxDoesUnD71/view?usp=drivesdk")</f>
        <v>https://drive.google.com/file/d/1y0oKhgHFMs_nXH4ufYi5ZaxDoesUnD71/view?usp=drivesdk</v>
      </c>
      <c r="C3155" s="339" t="str">
        <f>IFERROR(__xludf.DUMMYFUNCTION("""COMPUTED_VALUE"""),"10.1037--0278-7393.34.2.399.pdf")</f>
        <v>10.1037--0278-7393.34.2.399.pdf</v>
      </c>
      <c r="D3155" s="159" t="str">
        <f>IFERROR(__xludf.DUMMYFUNCTION("""COMPUTED_VALUE"""),"application/pdf")</f>
        <v>application/pdf</v>
      </c>
    </row>
    <row r="3156">
      <c r="A3156" s="339" t="str">
        <f>IFERROR(__xludf.DUMMYFUNCTION("""COMPUTED_VALUE"""),"10.1037/0278-7393.34.2.369")</f>
        <v>10.1037/0278-7393.34.2.369</v>
      </c>
      <c r="B3156" s="445" t="str">
        <f>IFERROR(__xludf.DUMMYFUNCTION("""COMPUTED_VALUE"""),"https://drive.google.com/file/d/15LyeMLPtv2yK2REXBqDLC63QQhUXXDVm/view?usp=drivesdk")</f>
        <v>https://drive.google.com/file/d/15LyeMLPtv2yK2REXBqDLC63QQhUXXDVm/view?usp=drivesdk</v>
      </c>
      <c r="C3156" s="339" t="str">
        <f>IFERROR(__xludf.DUMMYFUNCTION("""COMPUTED_VALUE"""),"10.1037--0278-7393.34.2.369.pdf")</f>
        <v>10.1037--0278-7393.34.2.369.pdf</v>
      </c>
      <c r="D3156" s="159" t="str">
        <f>IFERROR(__xludf.DUMMYFUNCTION("""COMPUTED_VALUE"""),"application/pdf")</f>
        <v>application/pdf</v>
      </c>
    </row>
    <row r="3157">
      <c r="A3157" s="339" t="str">
        <f>IFERROR(__xludf.DUMMYFUNCTION("""COMPUTED_VALUE"""),"10.1037/0278-7393.34.2.353")</f>
        <v>10.1037/0278-7393.34.2.353</v>
      </c>
      <c r="B3157" s="445" t="str">
        <f>IFERROR(__xludf.DUMMYFUNCTION("""COMPUTED_VALUE"""),"https://drive.google.com/file/d/10N0LzNT1GTgGgvA6UUZUXzIdwFBBm26w/view?usp=drivesdk")</f>
        <v>https://drive.google.com/file/d/10N0LzNT1GTgGgvA6UUZUXzIdwFBBm26w/view?usp=drivesdk</v>
      </c>
      <c r="C3157" s="339" t="str">
        <f>IFERROR(__xludf.DUMMYFUNCTION("""COMPUTED_VALUE"""),"10.1037--0278-7393.34.2.353.pdf")</f>
        <v>10.1037--0278-7393.34.2.353.pdf</v>
      </c>
      <c r="D3157" s="159" t="str">
        <f>IFERROR(__xludf.DUMMYFUNCTION("""COMPUTED_VALUE"""),"application/pdf")</f>
        <v>application/pdf</v>
      </c>
    </row>
    <row r="3158">
      <c r="A3158" s="339" t="str">
        <f>IFERROR(__xludf.DUMMYFUNCTION("""COMPUTED_VALUE"""),"10.1037/0278-7393.34.2.343")</f>
        <v>10.1037/0278-7393.34.2.343</v>
      </c>
      <c r="B3158" s="445" t="str">
        <f>IFERROR(__xludf.DUMMYFUNCTION("""COMPUTED_VALUE"""),"https://drive.google.com/file/d/1btjIxPMyuU5I6jNMm9c2DuyFxN8Pze7t/view?usp=drivesdk")</f>
        <v>https://drive.google.com/file/d/1btjIxPMyuU5I6jNMm9c2DuyFxN8Pze7t/view?usp=drivesdk</v>
      </c>
      <c r="C3158" s="339" t="str">
        <f>IFERROR(__xludf.DUMMYFUNCTION("""COMPUTED_VALUE"""),"10.1037--0278-7393.34.2.343.pdf")</f>
        <v>10.1037--0278-7393.34.2.343.pdf</v>
      </c>
      <c r="D3158" s="159" t="str">
        <f>IFERROR(__xludf.DUMMYFUNCTION("""COMPUTED_VALUE"""),"application/pdf")</f>
        <v>application/pdf</v>
      </c>
    </row>
    <row r="3159">
      <c r="A3159" s="339" t="str">
        <f>IFERROR(__xludf.DUMMYFUNCTION("""COMPUTED_VALUE"""),"10.1037/0278-7393.34.2.328")</f>
        <v>10.1037/0278-7393.34.2.328</v>
      </c>
      <c r="B3159" s="445" t="str">
        <f>IFERROR(__xludf.DUMMYFUNCTION("""COMPUTED_VALUE"""),"https://drive.google.com/file/d/1xWBya8BVfE1sTB6yhxybNTqOYxEnPWZU/view?usp=drivesdk")</f>
        <v>https://drive.google.com/file/d/1xWBya8BVfE1sTB6yhxybNTqOYxEnPWZU/view?usp=drivesdk</v>
      </c>
      <c r="C3159" s="339" t="str">
        <f>IFERROR(__xludf.DUMMYFUNCTION("""COMPUTED_VALUE"""),"10.1037--0278-7393.34.2.328.pdf")</f>
        <v>10.1037--0278-7393.34.2.328.pdf</v>
      </c>
      <c r="D3159" s="159" t="str">
        <f>IFERROR(__xludf.DUMMYFUNCTION("""COMPUTED_VALUE"""),"application/pdf")</f>
        <v>application/pdf</v>
      </c>
    </row>
    <row r="3160">
      <c r="A3160" s="339" t="str">
        <f>IFERROR(__xludf.DUMMYFUNCTION("""COMPUTED_VALUE"""),"10.1037/0278-7393.34.2.313")</f>
        <v>10.1037/0278-7393.34.2.313</v>
      </c>
      <c r="B3160" s="445" t="str">
        <f>IFERROR(__xludf.DUMMYFUNCTION("""COMPUTED_VALUE"""),"https://drive.google.com/file/d/14Sp-rGYXqQVyuRmTeLQtmwZJYE3030vb/view?usp=drivesdk")</f>
        <v>https://drive.google.com/file/d/14Sp-rGYXqQVyuRmTeLQtmwZJYE3030vb/view?usp=drivesdk</v>
      </c>
      <c r="C3160" s="339" t="str">
        <f>IFERROR(__xludf.DUMMYFUNCTION("""COMPUTED_VALUE"""),"10.1037--0278-7393.34.2.313.pdf")</f>
        <v>10.1037--0278-7393.34.2.313.pdf</v>
      </c>
      <c r="D3160" s="159" t="str">
        <f>IFERROR(__xludf.DUMMYFUNCTION("""COMPUTED_VALUE"""),"application/pdf")</f>
        <v>application/pdf</v>
      </c>
    </row>
    <row r="3161">
      <c r="A3161" s="339" t="str">
        <f>IFERROR(__xludf.DUMMYFUNCTION("""COMPUTED_VALUE"""),"10.1037/0278-7393.34.2.302")</f>
        <v>10.1037/0278-7393.34.2.302</v>
      </c>
      <c r="B3161" s="445" t="str">
        <f>IFERROR(__xludf.DUMMYFUNCTION("""COMPUTED_VALUE"""),"https://drive.google.com/file/d/13XRIYgF2yNC1qLHSQBITGa6oU0w9njVk/view?usp=drivesdk")</f>
        <v>https://drive.google.com/file/d/13XRIYgF2yNC1qLHSQBITGa6oU0w9njVk/view?usp=drivesdk</v>
      </c>
      <c r="C3161" s="339" t="str">
        <f>IFERROR(__xludf.DUMMYFUNCTION("""COMPUTED_VALUE"""),"10.1037--0278-7393.34.2.302.pdf")</f>
        <v>10.1037--0278-7393.34.2.302.pdf</v>
      </c>
      <c r="D3161" s="159" t="str">
        <f>IFERROR(__xludf.DUMMYFUNCTION("""COMPUTED_VALUE"""),"application/pdf")</f>
        <v>application/pdf</v>
      </c>
    </row>
    <row r="3162">
      <c r="A3162" s="339" t="str">
        <f>IFERROR(__xludf.DUMMYFUNCTION("""COMPUTED_VALUE"""),"10.1037/0278-7393.34.2.257")</f>
        <v>10.1037/0278-7393.34.2.257</v>
      </c>
      <c r="B3162" s="445" t="str">
        <f>IFERROR(__xludf.DUMMYFUNCTION("""COMPUTED_VALUE"""),"https://drive.google.com/file/d/1ILNp7MaC4OusbPANu-7wOS3KK98RWdcz/view?usp=drivesdk")</f>
        <v>https://drive.google.com/file/d/1ILNp7MaC4OusbPANu-7wOS3KK98RWdcz/view?usp=drivesdk</v>
      </c>
      <c r="C3162" s="339" t="str">
        <f>IFERROR(__xludf.DUMMYFUNCTION("""COMPUTED_VALUE"""),"10.1037--0278-7393.34.2.257.pdf")</f>
        <v>10.1037--0278-7393.34.2.257.pdf</v>
      </c>
      <c r="D3162" s="159" t="str">
        <f>IFERROR(__xludf.DUMMYFUNCTION("""COMPUTED_VALUE"""),"application/pdf")</f>
        <v>application/pdf</v>
      </c>
    </row>
    <row r="3163">
      <c r="A3163" s="339" t="str">
        <f>IFERROR(__xludf.DUMMYFUNCTION("""COMPUTED_VALUE"""),"10.1037/0278-7393.34.2.282")</f>
        <v>10.1037/0278-7393.34.2.282</v>
      </c>
      <c r="B3163" s="445" t="str">
        <f>IFERROR(__xludf.DUMMYFUNCTION("""COMPUTED_VALUE"""),"https://drive.google.com/file/d/1gGhVdcAfMLypZb8lB75H44xX4er1HFm3/view?usp=drivesdk")</f>
        <v>https://drive.google.com/file/d/1gGhVdcAfMLypZb8lB75H44xX4er1HFm3/view?usp=drivesdk</v>
      </c>
      <c r="C3163" s="339" t="str">
        <f>IFERROR(__xludf.DUMMYFUNCTION("""COMPUTED_VALUE"""),"10.1037--0278-7393.34.2.282.pdf")</f>
        <v>10.1037--0278-7393.34.2.282.pdf</v>
      </c>
      <c r="D3163" s="159" t="str">
        <f>IFERROR(__xludf.DUMMYFUNCTION("""COMPUTED_VALUE"""),"application/pdf")</f>
        <v>application/pdf</v>
      </c>
    </row>
    <row r="3164">
      <c r="A3164" s="339" t="str">
        <f>IFERROR(__xludf.DUMMYFUNCTION("""COMPUTED_VALUE"""),"10.1037/0278-7393.34.1.97")</f>
        <v>10.1037/0278-7393.34.1.97</v>
      </c>
      <c r="B3164" s="445" t="str">
        <f>IFERROR(__xludf.DUMMYFUNCTION("""COMPUTED_VALUE"""),"https://drive.google.com/file/d/16CJXCd6Rzqik5rD_iyUPgxYh8MalzPm4/view?usp=drivesdk")</f>
        <v>https://drive.google.com/file/d/16CJXCd6Rzqik5rD_iyUPgxYh8MalzPm4/view?usp=drivesdk</v>
      </c>
      <c r="C3164" s="339" t="str">
        <f>IFERROR(__xludf.DUMMYFUNCTION("""COMPUTED_VALUE"""),"10.1037--0278-7393.34.1.97.pdf")</f>
        <v>10.1037--0278-7393.34.1.97.pdf</v>
      </c>
      <c r="D3164" s="159" t="str">
        <f>IFERROR(__xludf.DUMMYFUNCTION("""COMPUTED_VALUE"""),"application/pdf")</f>
        <v>application/pdf</v>
      </c>
    </row>
    <row r="3165">
      <c r="A3165" s="339" t="str">
        <f>IFERROR(__xludf.DUMMYFUNCTION("""COMPUTED_VALUE"""),"10.1037/0278-7393.34.1.80")</f>
        <v>10.1037/0278-7393.34.1.80</v>
      </c>
      <c r="B3165" s="445" t="str">
        <f>IFERROR(__xludf.DUMMYFUNCTION("""COMPUTED_VALUE"""),"https://drive.google.com/file/d/16eIzUB6LjNl3GMULG3vB5p7EO1iC0SJ3/view?usp=drivesdk")</f>
        <v>https://drive.google.com/file/d/16eIzUB6LjNl3GMULG3vB5p7EO1iC0SJ3/view?usp=drivesdk</v>
      </c>
      <c r="C3165" s="339" t="str">
        <f>IFERROR(__xludf.DUMMYFUNCTION("""COMPUTED_VALUE"""),"10.1037--0278-7393.34.1.80.pdf")</f>
        <v>10.1037--0278-7393.34.1.80.pdf</v>
      </c>
      <c r="D3165" s="159" t="str">
        <f>IFERROR(__xludf.DUMMYFUNCTION("""COMPUTED_VALUE"""),"application/pdf")</f>
        <v>application/pdf</v>
      </c>
    </row>
    <row r="3166">
      <c r="A3166" s="339" t="str">
        <f>IFERROR(__xludf.DUMMYFUNCTION("""COMPUTED_VALUE"""),"10.1037/0278-7393.34.1.65")</f>
        <v>10.1037/0278-7393.34.1.65</v>
      </c>
      <c r="B3166" s="445" t="str">
        <f>IFERROR(__xludf.DUMMYFUNCTION("""COMPUTED_VALUE"""),"https://drive.google.com/file/d/15z0y7asIfplDps5d3R71GhEJxQWqBU9w/view?usp=drivesdk")</f>
        <v>https://drive.google.com/file/d/15z0y7asIfplDps5d3R71GhEJxQWqBU9w/view?usp=drivesdk</v>
      </c>
      <c r="C3166" s="339" t="str">
        <f>IFERROR(__xludf.DUMMYFUNCTION("""COMPUTED_VALUE"""),"10.1037--0278-7393.34.1.65.pdf")</f>
        <v>10.1037--0278-7393.34.1.65.pdf</v>
      </c>
      <c r="D3166" s="159" t="str">
        <f>IFERROR(__xludf.DUMMYFUNCTION("""COMPUTED_VALUE"""),"application/pdf")</f>
        <v>application/pdf</v>
      </c>
    </row>
    <row r="3167">
      <c r="A3167" s="339" t="str">
        <f>IFERROR(__xludf.DUMMYFUNCTION("""COMPUTED_VALUE"""),"10.1037/0278-7393.34.1.50")</f>
        <v>10.1037/0278-7393.34.1.50</v>
      </c>
      <c r="B3167" s="445" t="str">
        <f>IFERROR(__xludf.DUMMYFUNCTION("""COMPUTED_VALUE"""),"https://drive.google.com/file/d/12OzFlZKms2M0ZvYy4yTBRvGof4FqM1Ud/view?usp=drivesdk")</f>
        <v>https://drive.google.com/file/d/12OzFlZKms2M0ZvYy4yTBRvGof4FqM1Ud/view?usp=drivesdk</v>
      </c>
      <c r="C3167" s="339" t="str">
        <f>IFERROR(__xludf.DUMMYFUNCTION("""COMPUTED_VALUE"""),"10.1037--0278-7393.34.1.50.pdf")</f>
        <v>10.1037--0278-7393.34.1.50.pdf</v>
      </c>
      <c r="D3167" s="159" t="str">
        <f>IFERROR(__xludf.DUMMYFUNCTION("""COMPUTED_VALUE"""),"application/pdf")</f>
        <v>application/pdf</v>
      </c>
    </row>
    <row r="3168">
      <c r="A3168" s="339" t="str">
        <f>IFERROR(__xludf.DUMMYFUNCTION("""COMPUTED_VALUE"""),"10.1037/0278-7393.34.1.32")</f>
        <v>10.1037/0278-7393.34.1.32</v>
      </c>
      <c r="B3168" s="445" t="str">
        <f>IFERROR(__xludf.DUMMYFUNCTION("""COMPUTED_VALUE"""),"https://drive.google.com/file/d/1NhDFPwAmpyjx9HSRtLTUixh6ZZLCECKn/view?usp=drivesdk")</f>
        <v>https://drive.google.com/file/d/1NhDFPwAmpyjx9HSRtLTUixh6ZZLCECKn/view?usp=drivesdk</v>
      </c>
      <c r="C3168" s="339" t="str">
        <f>IFERROR(__xludf.DUMMYFUNCTION("""COMPUTED_VALUE"""),"10.1037--0278-7393.34.1.32.pdf")</f>
        <v>10.1037--0278-7393.34.1.32.pdf</v>
      </c>
      <c r="D3168" s="159" t="str">
        <f>IFERROR(__xludf.DUMMYFUNCTION("""COMPUTED_VALUE"""),"application/pdf")</f>
        <v>application/pdf</v>
      </c>
    </row>
    <row r="3169">
      <c r="A3169" s="339" t="str">
        <f>IFERROR(__xludf.DUMMYFUNCTION("""COMPUTED_VALUE"""),"10.1037/0278-7393.34.1.249")</f>
        <v>10.1037/0278-7393.34.1.249</v>
      </c>
      <c r="B3169" s="445" t="str">
        <f>IFERROR(__xludf.DUMMYFUNCTION("""COMPUTED_VALUE"""),"https://drive.google.com/file/d/1G9_olsUh3tpfcqhh1KX72VpE0keeAnj7/view?usp=drivesdk")</f>
        <v>https://drive.google.com/file/d/1G9_olsUh3tpfcqhh1KX72VpE0keeAnj7/view?usp=drivesdk</v>
      </c>
      <c r="C3169" s="339" t="str">
        <f>IFERROR(__xludf.DUMMYFUNCTION("""COMPUTED_VALUE"""),"10.1037--0278-7393.34.1.249.pdf")</f>
        <v>10.1037--0278-7393.34.1.249.pdf</v>
      </c>
      <c r="D3169" s="159" t="str">
        <f>IFERROR(__xludf.DUMMYFUNCTION("""COMPUTED_VALUE"""),"application/pdf")</f>
        <v>application/pdf</v>
      </c>
    </row>
    <row r="3170">
      <c r="A3170" s="339" t="str">
        <f>IFERROR(__xludf.DUMMYFUNCTION("""COMPUTED_VALUE"""),"10.1037/0278-7393.34.1.243")</f>
        <v>10.1037/0278-7393.34.1.243</v>
      </c>
      <c r="B3170" s="445" t="str">
        <f>IFERROR(__xludf.DUMMYFUNCTION("""COMPUTED_VALUE"""),"https://drive.google.com/file/d/12tOopuzKbG82LEOynQuHYZ8im59EjTth/view?usp=drivesdk")</f>
        <v>https://drive.google.com/file/d/12tOopuzKbG82LEOynQuHYZ8im59EjTth/view?usp=drivesdk</v>
      </c>
      <c r="C3170" s="339" t="str">
        <f>IFERROR(__xludf.DUMMYFUNCTION("""COMPUTED_VALUE"""),"10.1037--0278-7393.34.1.243.pdf")</f>
        <v>10.1037--0278-7393.34.1.243.pdf</v>
      </c>
      <c r="D3170" s="159" t="str">
        <f>IFERROR(__xludf.DUMMYFUNCTION("""COMPUTED_VALUE"""),"application/pdf")</f>
        <v>application/pdf</v>
      </c>
    </row>
    <row r="3171">
      <c r="A3171" s="339" t="str">
        <f>IFERROR(__xludf.DUMMYFUNCTION("""COMPUTED_VALUE"""),"10.1037/0278-7393.34.1.237")</f>
        <v>10.1037/0278-7393.34.1.237</v>
      </c>
      <c r="B3171" s="445" t="str">
        <f>IFERROR(__xludf.DUMMYFUNCTION("""COMPUTED_VALUE"""),"https://drive.google.com/file/d/1YjgU1oCfPf7_yAtASpZhwJS4TVj_g8CU/view?usp=drivesdk")</f>
        <v>https://drive.google.com/file/d/1YjgU1oCfPf7_yAtASpZhwJS4TVj_g8CU/view?usp=drivesdk</v>
      </c>
      <c r="C3171" s="339" t="str">
        <f>IFERROR(__xludf.DUMMYFUNCTION("""COMPUTED_VALUE"""),"10.1037--0278-7393.34.1.237.pdf")</f>
        <v>10.1037--0278-7393.34.1.237.pdf</v>
      </c>
      <c r="D3171" s="159" t="str">
        <f>IFERROR(__xludf.DUMMYFUNCTION("""COMPUTED_VALUE"""),"application/pdf")</f>
        <v>application/pdf</v>
      </c>
    </row>
    <row r="3172">
      <c r="A3172" s="339" t="str">
        <f>IFERROR(__xludf.DUMMYFUNCTION("""COMPUTED_VALUE"""),"10.1037/0278-7393.34.1.230")</f>
        <v>10.1037/0278-7393.34.1.230</v>
      </c>
      <c r="B3172" s="445" t="str">
        <f>IFERROR(__xludf.DUMMYFUNCTION("""COMPUTED_VALUE"""),"https://drive.google.com/file/d/1iTGkXjtQ0EE8-v45xZZ-Yv9zhQVAt2Pn/view?usp=drivesdk")</f>
        <v>https://drive.google.com/file/d/1iTGkXjtQ0EE8-v45xZZ-Yv9zhQVAt2Pn/view?usp=drivesdk</v>
      </c>
      <c r="C3172" s="339" t="str">
        <f>IFERROR(__xludf.DUMMYFUNCTION("""COMPUTED_VALUE"""),"10.1037--0278-7393.34.1.230.pdf")</f>
        <v>10.1037--0278-7393.34.1.230.pdf</v>
      </c>
      <c r="D3172" s="159" t="str">
        <f>IFERROR(__xludf.DUMMYFUNCTION("""COMPUTED_VALUE"""),"application/pdf")</f>
        <v>application/pdf</v>
      </c>
    </row>
    <row r="3173">
      <c r="A3173" s="339" t="str">
        <f>IFERROR(__xludf.DUMMYFUNCTION("""COMPUTED_VALUE"""),"10.1037/0278-7393.34.1.219")</f>
        <v>10.1037/0278-7393.34.1.219</v>
      </c>
      <c r="B3173" s="445" t="str">
        <f>IFERROR(__xludf.DUMMYFUNCTION("""COMPUTED_VALUE"""),"https://drive.google.com/file/d/11evBHOPkYEq9tia_AUJzn9cHtIQOUcWa/view?usp=drivesdk")</f>
        <v>https://drive.google.com/file/d/11evBHOPkYEq9tia_AUJzn9cHtIQOUcWa/view?usp=drivesdk</v>
      </c>
      <c r="C3173" s="339" t="str">
        <f>IFERROR(__xludf.DUMMYFUNCTION("""COMPUTED_VALUE"""),"10.1037--0278-7393.34.1.219.pdf")</f>
        <v>10.1037--0278-7393.34.1.219.pdf</v>
      </c>
      <c r="D3173" s="159" t="str">
        <f>IFERROR(__xludf.DUMMYFUNCTION("""COMPUTED_VALUE"""),"application/pdf")</f>
        <v>application/pdf</v>
      </c>
    </row>
    <row r="3174">
      <c r="A3174" s="339" t="str">
        <f>IFERROR(__xludf.DUMMYFUNCTION("""COMPUTED_VALUE"""),"10.1037/0278-7393.34.1.204")</f>
        <v>10.1037/0278-7393.34.1.204</v>
      </c>
      <c r="B3174" s="445" t="str">
        <f>IFERROR(__xludf.DUMMYFUNCTION("""COMPUTED_VALUE"""),"https://drive.google.com/file/d/1VkkAzt4eeAeZtV2ewwPlwMagejOBaOcs/view?usp=drivesdk")</f>
        <v>https://drive.google.com/file/d/1VkkAzt4eeAeZtV2ewwPlwMagejOBaOcs/view?usp=drivesdk</v>
      </c>
      <c r="C3174" s="339" t="str">
        <f>IFERROR(__xludf.DUMMYFUNCTION("""COMPUTED_VALUE"""),"10.1037--0278-7393.34.1.204.pdf")</f>
        <v>10.1037--0278-7393.34.1.204.pdf</v>
      </c>
      <c r="D3174" s="159" t="str">
        <f>IFERROR(__xludf.DUMMYFUNCTION("""COMPUTED_VALUE"""),"application/pdf")</f>
        <v>application/pdf</v>
      </c>
    </row>
    <row r="3175">
      <c r="A3175" s="339" t="str">
        <f>IFERROR(__xludf.DUMMYFUNCTION("""COMPUTED_VALUE"""),"10.1037/0278-7393.34.1.186")</f>
        <v>10.1037/0278-7393.34.1.186</v>
      </c>
      <c r="B3175" s="445" t="str">
        <f>IFERROR(__xludf.DUMMYFUNCTION("""COMPUTED_VALUE"""),"https://drive.google.com/file/d/1cOFI1sWmcyfR3tFVOvV90FUY4g-TwC4Z/view?usp=drivesdk")</f>
        <v>https://drive.google.com/file/d/1cOFI1sWmcyfR3tFVOvV90FUY4g-TwC4Z/view?usp=drivesdk</v>
      </c>
      <c r="C3175" s="339" t="str">
        <f>IFERROR(__xludf.DUMMYFUNCTION("""COMPUTED_VALUE"""),"10.1037--0278-7393.34.1.186.pdf")</f>
        <v>10.1037--0278-7393.34.1.186.pdf</v>
      </c>
      <c r="D3175" s="159" t="str">
        <f>IFERROR(__xludf.DUMMYFUNCTION("""COMPUTED_VALUE"""),"application/pdf")</f>
        <v>application/pdf</v>
      </c>
    </row>
    <row r="3176">
      <c r="A3176" s="339" t="str">
        <f>IFERROR(__xludf.DUMMYFUNCTION("""COMPUTED_VALUE"""),"10.1037/0278-7393.34.1.167")</f>
        <v>10.1037/0278-7393.34.1.167</v>
      </c>
      <c r="B3176" s="445" t="str">
        <f>IFERROR(__xludf.DUMMYFUNCTION("""COMPUTED_VALUE"""),"https://drive.google.com/file/d/1fP-Dr1DLCnPl-2Ya6EGtFK2aCF6SWr93/view?usp=drivesdk")</f>
        <v>https://drive.google.com/file/d/1fP-Dr1DLCnPl-2Ya6EGtFK2aCF6SWr93/view?usp=drivesdk</v>
      </c>
      <c r="C3176" s="339" t="str">
        <f>IFERROR(__xludf.DUMMYFUNCTION("""COMPUTED_VALUE"""),"10.1037--0278-7393.34.1.167.pdf")</f>
        <v>10.1037--0278-7393.34.1.167.pdf</v>
      </c>
      <c r="D3176" s="159" t="str">
        <f>IFERROR(__xludf.DUMMYFUNCTION("""COMPUTED_VALUE"""),"application/pdf")</f>
        <v>application/pdf</v>
      </c>
    </row>
    <row r="3177">
      <c r="A3177" s="339" t="str">
        <f>IFERROR(__xludf.DUMMYFUNCTION("""COMPUTED_VALUE"""),"10.1037/0278-7393.34.1.128")</f>
        <v>10.1037/0278-7393.34.1.128</v>
      </c>
      <c r="B3177" s="445" t="str">
        <f>IFERROR(__xludf.DUMMYFUNCTION("""COMPUTED_VALUE"""),"https://drive.google.com/file/d/1Lf2mJhcl4k2IlhscpNWAcWIYn_DN1RLo/view?usp=drivesdk")</f>
        <v>https://drive.google.com/file/d/1Lf2mJhcl4k2IlhscpNWAcWIYn_DN1RLo/view?usp=drivesdk</v>
      </c>
      <c r="C3177" s="339" t="str">
        <f>IFERROR(__xludf.DUMMYFUNCTION("""COMPUTED_VALUE"""),"10.1037--0278-7393.34.1.128.pdf")</f>
        <v>10.1037--0278-7393.34.1.128.pdf</v>
      </c>
      <c r="D3177" s="159" t="str">
        <f>IFERROR(__xludf.DUMMYFUNCTION("""COMPUTED_VALUE"""),"application/pdf")</f>
        <v>application/pdf</v>
      </c>
    </row>
    <row r="3178">
      <c r="A3178" s="339" t="str">
        <f>IFERROR(__xludf.DUMMYFUNCTION("""COMPUTED_VALUE"""),"10.1037/0278-7393.34.1.146")</f>
        <v>10.1037/0278-7393.34.1.146</v>
      </c>
      <c r="B3178" s="445" t="str">
        <f>IFERROR(__xludf.DUMMYFUNCTION("""COMPUTED_VALUE"""),"https://drive.google.com/file/d/1qNTfBnw7SpCi3blakzyKQFcGYOfOx3la/view?usp=drivesdk")</f>
        <v>https://drive.google.com/file/d/1qNTfBnw7SpCi3blakzyKQFcGYOfOx3la/view?usp=drivesdk</v>
      </c>
      <c r="C3178" s="339" t="str">
        <f>IFERROR(__xludf.DUMMYFUNCTION("""COMPUTED_VALUE"""),"10.1037--0278-7393.34.1.146.pdf")</f>
        <v>10.1037--0278-7393.34.1.146.pdf</v>
      </c>
      <c r="D3178" s="159" t="str">
        <f>IFERROR(__xludf.DUMMYFUNCTION("""COMPUTED_VALUE"""),"application/pdf")</f>
        <v>application/pdf</v>
      </c>
    </row>
    <row r="3179">
      <c r="A3179" s="339" t="str">
        <f>IFERROR(__xludf.DUMMYFUNCTION("""COMPUTED_VALUE"""),"10.1037/0278-7393.34.1.12")</f>
        <v>10.1037/0278-7393.34.1.12</v>
      </c>
      <c r="B3179" s="445" t="str">
        <f>IFERROR(__xludf.DUMMYFUNCTION("""COMPUTED_VALUE"""),"https://drive.google.com/file/d/17v8g1wcUyLHNKL7MUfmkzczqLvXbAEct/view?usp=drivesdk")</f>
        <v>https://drive.google.com/file/d/17v8g1wcUyLHNKL7MUfmkzczqLvXbAEct/view?usp=drivesdk</v>
      </c>
      <c r="C3179" s="339" t="str">
        <f>IFERROR(__xludf.DUMMYFUNCTION("""COMPUTED_VALUE"""),"10.1037--0278-7393.34.1.12.pdf")</f>
        <v>10.1037--0278-7393.34.1.12.pdf</v>
      </c>
      <c r="D3179" s="159" t="str">
        <f>IFERROR(__xludf.DUMMYFUNCTION("""COMPUTED_VALUE"""),"application/pdf")</f>
        <v>application/pdf</v>
      </c>
    </row>
    <row r="3180">
      <c r="A3180" s="339" t="str">
        <f>IFERROR(__xludf.DUMMYFUNCTION("""COMPUTED_VALUE"""),"10.1037/0278-7393.34.1.1")</f>
        <v>10.1037/0278-7393.34.1.1</v>
      </c>
      <c r="B3180" s="445" t="str">
        <f>IFERROR(__xludf.DUMMYFUNCTION("""COMPUTED_VALUE"""),"https://drive.google.com/file/d/1GA6K1X3KAFArsjYWATJH54boYgR6VA-P/view?usp=drivesdk")</f>
        <v>https://drive.google.com/file/d/1GA6K1X3KAFArsjYWATJH54boYgR6VA-P/view?usp=drivesdk</v>
      </c>
      <c r="C3180" s="339" t="str">
        <f>IFERROR(__xludf.DUMMYFUNCTION("""COMPUTED_VALUE"""),"10.1037--0278-7393.34.1.1.pdf")</f>
        <v>10.1037--0278-7393.34.1.1.pdf</v>
      </c>
      <c r="D3180" s="159" t="str">
        <f>IFERROR(__xludf.DUMMYFUNCTION("""COMPUTED_VALUE"""),"application/pdf")</f>
        <v>application/pdf</v>
      </c>
    </row>
    <row r="3181">
      <c r="A3181" s="339" t="str">
        <f>IFERROR(__xludf.DUMMYFUNCTION("""COMPUTED_VALUE"""),"10.1037/0278-7393.10.4.680")</f>
        <v>10.1037/0278-7393.10.4.680</v>
      </c>
      <c r="B3181" s="445" t="str">
        <f>IFERROR(__xludf.DUMMYFUNCTION("""COMPUTED_VALUE"""),"https://drive.google.com/file/d/1lYrGMauz-wnZsd5nVrZcVjopHb7ZXL_b/view?usp=drivesdk")</f>
        <v>https://drive.google.com/file/d/1lYrGMauz-wnZsd5nVrZcVjopHb7ZXL_b/view?usp=drivesdk</v>
      </c>
      <c r="C3181" s="339" t="str">
        <f>IFERROR(__xludf.DUMMYFUNCTION("""COMPUTED_VALUE"""),"10.1037--0278-7393.10.4.680.pdf")</f>
        <v>10.1037--0278-7393.10.4.680.pdf</v>
      </c>
      <c r="D3181" s="159" t="str">
        <f>IFERROR(__xludf.DUMMYFUNCTION("""COMPUTED_VALUE"""),"application/pdf")</f>
        <v>application/pdf</v>
      </c>
    </row>
    <row r="3182">
      <c r="A3182" s="339" t="str">
        <f>IFERROR(__xludf.DUMMYFUNCTION("""COMPUTED_VALUE"""),"10.1037/0278-6133.3.5.431")</f>
        <v>10.1037/0278-6133.3.5.431</v>
      </c>
      <c r="B3182" s="445" t="str">
        <f>IFERROR(__xludf.DUMMYFUNCTION("""COMPUTED_VALUE"""),"https://drive.google.com/file/d/1amMXrWCKMyX4hTevBnA1bXdVDqOZKFxe/view?usp=drivesdk")</f>
        <v>https://drive.google.com/file/d/1amMXrWCKMyX4hTevBnA1bXdVDqOZKFxe/view?usp=drivesdk</v>
      </c>
      <c r="C3182" s="339" t="str">
        <f>IFERROR(__xludf.DUMMYFUNCTION("""COMPUTED_VALUE"""),"10.1037--0278-6133.3.5.431.pdf")</f>
        <v>10.1037--0278-6133.3.5.431.pdf</v>
      </c>
      <c r="D3182" s="159" t="str">
        <f>IFERROR(__xludf.DUMMYFUNCTION("""COMPUTED_VALUE"""),"application/pdf")</f>
        <v>application/pdf</v>
      </c>
    </row>
    <row r="3183">
      <c r="A3183" s="339" t="str">
        <f>IFERROR(__xludf.DUMMYFUNCTION("""COMPUTED_VALUE"""),"10.1037/0096-3445.136.2.241")</f>
        <v>10.1037/0096-3445.136.2.241</v>
      </c>
      <c r="B3183" s="445" t="str">
        <f>IFERROR(__xludf.DUMMYFUNCTION("""COMPUTED_VALUE"""),"https://drive.google.com/file/d/1D8E42YuXrxlGwF61UWB4V8lYywAWr8dY/view?usp=drivesdk")</f>
        <v>https://drive.google.com/file/d/1D8E42YuXrxlGwF61UWB4V8lYywAWr8dY/view?usp=drivesdk</v>
      </c>
      <c r="C3183" s="339" t="str">
        <f>IFERROR(__xludf.DUMMYFUNCTION("""COMPUTED_VALUE"""),"10.1037--0096-3445.136.2.241.pdf")</f>
        <v>10.1037--0096-3445.136.2.241.pdf</v>
      </c>
      <c r="D3183" s="159" t="str">
        <f>IFERROR(__xludf.DUMMYFUNCTION("""COMPUTED_VALUE"""),"application/pdf")</f>
        <v>application/pdf</v>
      </c>
    </row>
    <row r="3184">
      <c r="A3184" s="339" t="str">
        <f>IFERROR(__xludf.DUMMYFUNCTION("""COMPUTED_VALUE"""),"10.1037/0096-3445.136.1.154")</f>
        <v>10.1037/0096-3445.136.1.154</v>
      </c>
      <c r="B3184" s="445" t="str">
        <f>IFERROR(__xludf.DUMMYFUNCTION("""COMPUTED_VALUE"""),"https://drive.google.com/file/d/1d5i_2GjvV2L2wbB2j58EhA4WqJKFf7M5/view?usp=drivesdk")</f>
        <v>https://drive.google.com/file/d/1d5i_2GjvV2L2wbB2j58EhA4WqJKFf7M5/view?usp=drivesdk</v>
      </c>
      <c r="C3184" s="339" t="str">
        <f>IFERROR(__xludf.DUMMYFUNCTION("""COMPUTED_VALUE"""),"10.1037--0096-3445.136.1.154.pdf")</f>
        <v>10.1037--0096-3445.136.1.154.pdf</v>
      </c>
      <c r="D3184" s="159" t="str">
        <f>IFERROR(__xludf.DUMMYFUNCTION("""COMPUTED_VALUE"""),"application/pdf")</f>
        <v>application/pdf</v>
      </c>
    </row>
    <row r="3185">
      <c r="A3185" s="339" t="str">
        <f>IFERROR(__xludf.DUMMYFUNCTION("""COMPUTED_VALUE"""),"10.1037/0096-3445.133.1.23")</f>
        <v>10.1037/0096-3445.133.1.23</v>
      </c>
      <c r="B3185" s="445" t="str">
        <f>IFERROR(__xludf.DUMMYFUNCTION("""COMPUTED_VALUE"""),"https://drive.google.com/file/d/1WsTuZGTgbwDDjKv_3fgqvOMon49y_wo7/view?usp=drivesdk")</f>
        <v>https://drive.google.com/file/d/1WsTuZGTgbwDDjKv_3fgqvOMon49y_wo7/view?usp=drivesdk</v>
      </c>
      <c r="C3185" s="339" t="str">
        <f>IFERROR(__xludf.DUMMYFUNCTION("""COMPUTED_VALUE"""),"10.1037--0096-3445.133.1.23.pdf")</f>
        <v>10.1037--0096-3445.133.1.23.pdf</v>
      </c>
      <c r="D3185" s="159" t="str">
        <f>IFERROR(__xludf.DUMMYFUNCTION("""COMPUTED_VALUE"""),"application/pdf")</f>
        <v>application/pdf</v>
      </c>
    </row>
    <row r="3186">
      <c r="A3186" s="339" t="str">
        <f>IFERROR(__xludf.DUMMYFUNCTION("""COMPUTED_VALUE"""),"10.1037/0096-1523.3.4.544")</f>
        <v>10.1037/0096-1523.3.4.544</v>
      </c>
      <c r="B3186" s="445" t="str">
        <f>IFERROR(__xludf.DUMMYFUNCTION("""COMPUTED_VALUE"""),"https://drive.google.com/file/d/1mEkTi7StSY-Stsrgu0o_Zv7DZUHAFPDt/view?usp=drivesdk")</f>
        <v>https://drive.google.com/file/d/1mEkTi7StSY-Stsrgu0o_Zv7DZUHAFPDt/view?usp=drivesdk</v>
      </c>
      <c r="C3186" s="339" t="str">
        <f>IFERROR(__xludf.DUMMYFUNCTION("""COMPUTED_VALUE"""),"10.1037--0096-1523.3.4.544.pdf")</f>
        <v>10.1037--0096-1523.3.4.544.pdf</v>
      </c>
      <c r="D3186" s="159" t="str">
        <f>IFERROR(__xludf.DUMMYFUNCTION("""COMPUTED_VALUE"""),"application/pdf")</f>
        <v>application/pdf</v>
      </c>
    </row>
    <row r="3187">
      <c r="A3187" s="339" t="str">
        <f>IFERROR(__xludf.DUMMYFUNCTION("""COMPUTED_VALUE"""),"10.1037/0096-1523.1.3.288")</f>
        <v>10.1037/0096-1523.1.3.288</v>
      </c>
      <c r="B3187" s="445" t="str">
        <f>IFERROR(__xludf.DUMMYFUNCTION("""COMPUTED_VALUE"""),"https://drive.google.com/file/d/1lNurRPy7VDlN9Sa8Dza_04lJKflObxsi/view?usp=drivesdk")</f>
        <v>https://drive.google.com/file/d/1lNurRPy7VDlN9Sa8Dza_04lJKflObxsi/view?usp=drivesdk</v>
      </c>
      <c r="C3187" s="339" t="str">
        <f>IFERROR(__xludf.DUMMYFUNCTION("""COMPUTED_VALUE"""),"10.1037--0096-1523.1.3.288.pdf")</f>
        <v>10.1037--0096-1523.1.3.288.pdf</v>
      </c>
      <c r="D3187" s="159" t="str">
        <f>IFERROR(__xludf.DUMMYFUNCTION("""COMPUTED_VALUE"""),"application/pdf")</f>
        <v>application/pdf</v>
      </c>
    </row>
    <row r="3188">
      <c r="A3188" s="339" t="str">
        <f>IFERROR(__xludf.DUMMYFUNCTION("""COMPUTED_VALUE"""),"10.1037/0096-3445.136.4.569")</f>
        <v>10.1037/0096-3445.136.4.569</v>
      </c>
      <c r="B3188" s="445" t="str">
        <f>IFERROR(__xludf.DUMMYFUNCTION("""COMPUTED_VALUE"""),"https://drive.google.com/file/d/1m_v1JAQWlkuqNotYqQVJ-P2XePYibDPD/view?usp=drivesdk")</f>
        <v>https://drive.google.com/file/d/1m_v1JAQWlkuqNotYqQVJ-P2XePYibDPD/view?usp=drivesdk</v>
      </c>
      <c r="C3188" s="339" t="str">
        <f>IFERROR(__xludf.DUMMYFUNCTION("""COMPUTED_VALUE"""),"10.1037--0096-3445.136.4.569.pdf")</f>
        <v>10.1037--0096-3445.136.4.569.pdf</v>
      </c>
      <c r="D3188" s="159" t="str">
        <f>IFERROR(__xludf.DUMMYFUNCTION("""COMPUTED_VALUE"""),"application/pdf")</f>
        <v>application/pdf</v>
      </c>
    </row>
    <row r="3189">
      <c r="A3189" s="339" t="str">
        <f>IFERROR(__xludf.DUMMYFUNCTION("""COMPUTED_VALUE"""),"10.1037/0033-295x.93.2.136")</f>
        <v>10.1037/0033-295x.93.2.136</v>
      </c>
      <c r="B3189" s="445" t="str">
        <f>IFERROR(__xludf.DUMMYFUNCTION("""COMPUTED_VALUE"""),"https://drive.google.com/file/d/1NpcEXBblmTwzkVAKGsTiPalZEKryDjOF/view?usp=drivesdk")</f>
        <v>https://drive.google.com/file/d/1NpcEXBblmTwzkVAKGsTiPalZEKryDjOF/view?usp=drivesdk</v>
      </c>
      <c r="C3189" s="339" t="str">
        <f>IFERROR(__xludf.DUMMYFUNCTION("""COMPUTED_VALUE"""),"10.1037--0033-295X.93.2.136.pdf")</f>
        <v>10.1037--0033-295X.93.2.136.pdf</v>
      </c>
      <c r="D3189" s="159" t="str">
        <f>IFERROR(__xludf.DUMMYFUNCTION("""COMPUTED_VALUE"""),"application/pdf")</f>
        <v>application/pdf</v>
      </c>
    </row>
    <row r="3190">
      <c r="A3190" s="339" t="str">
        <f>IFERROR(__xludf.DUMMYFUNCTION("""COMPUTED_VALUE"""),"10.1037/0033-2909.129.6.914")</f>
        <v>10.1037/0033-2909.129.6.914</v>
      </c>
      <c r="B3190" s="445" t="str">
        <f>IFERROR(__xludf.DUMMYFUNCTION("""COMPUTED_VALUE"""),"https://drive.google.com/file/d/1Ey8YE267IkJvJPhLMe73j6CWvGwENA3f/view?usp=drivesdk")</f>
        <v>https://drive.google.com/file/d/1Ey8YE267IkJvJPhLMe73j6CWvGwENA3f/view?usp=drivesdk</v>
      </c>
      <c r="C3190" s="339" t="str">
        <f>IFERROR(__xludf.DUMMYFUNCTION("""COMPUTED_VALUE"""),"10.1037--0033-2909.129.6.914.pdf")</f>
        <v>10.1037--0033-2909.129.6.914.pdf</v>
      </c>
      <c r="D3190" s="159" t="str">
        <f>IFERROR(__xludf.DUMMYFUNCTION("""COMPUTED_VALUE"""),"application/pdf")</f>
        <v>application/pdf</v>
      </c>
    </row>
    <row r="3191">
      <c r="A3191" s="339" t="str">
        <f>IFERROR(__xludf.DUMMYFUNCTION("""COMPUTED_VALUE"""),"10.1037/0033-2909.129.3.339")</f>
        <v>10.1037/0033-2909.129.3.339</v>
      </c>
      <c r="B3191" s="445" t="str">
        <f>IFERROR(__xludf.DUMMYFUNCTION("""COMPUTED_VALUE"""),"https://drive.google.com/file/d/1Wzsg5t70C5nm9ICa1m7pvYuf0xZ022FB/view?usp=drivesdk")</f>
        <v>https://drive.google.com/file/d/1Wzsg5t70C5nm9ICa1m7pvYuf0xZ022FB/view?usp=drivesdk</v>
      </c>
      <c r="C3191" s="339" t="str">
        <f>IFERROR(__xludf.DUMMYFUNCTION("""COMPUTED_VALUE"""),"10.1037--0033-2909.129.3.339.pdf")</f>
        <v>10.1037--0033-2909.129.3.339.pdf</v>
      </c>
      <c r="D3191" s="159" t="str">
        <f>IFERROR(__xludf.DUMMYFUNCTION("""COMPUTED_VALUE"""),"application/pdf")</f>
        <v>application/pdf</v>
      </c>
    </row>
    <row r="3192">
      <c r="A3192" s="339" t="str">
        <f>IFERROR(__xludf.DUMMYFUNCTION("""COMPUTED_VALUE"""),"10.1037/0033-2909.124.2.197")</f>
        <v>10.1037/0033-2909.124.2.197</v>
      </c>
      <c r="B3192" s="445" t="str">
        <f>IFERROR(__xludf.DUMMYFUNCTION("""COMPUTED_VALUE"""),"https://drive.google.com/file/d/1MRe3AF5QHB9EAYy2OvHfuDzmNbF-vcva/view?usp=drivesdk")</f>
        <v>https://drive.google.com/file/d/1MRe3AF5QHB9EAYy2OvHfuDzmNbF-vcva/view?usp=drivesdk</v>
      </c>
      <c r="C3192" s="339" t="str">
        <f>IFERROR(__xludf.DUMMYFUNCTION("""COMPUTED_VALUE"""),"10.1037--0033-2909.124.2.197.pdf")</f>
        <v>10.1037--0033-2909.124.2.197.pdf</v>
      </c>
      <c r="D3192" s="159" t="str">
        <f>IFERROR(__xludf.DUMMYFUNCTION("""COMPUTED_VALUE"""),"application/pdf")</f>
        <v>application/pdf</v>
      </c>
    </row>
    <row r="3193">
      <c r="A3193" s="339" t="str">
        <f>IFERROR(__xludf.DUMMYFUNCTION("""COMPUTED_VALUE"""),"10.1037/0033-2909.118.1.3")</f>
        <v>10.1037/0033-2909.118.1.3</v>
      </c>
      <c r="B3193" s="445" t="str">
        <f>IFERROR(__xludf.DUMMYFUNCTION("""COMPUTED_VALUE"""),"https://drive.google.com/file/d/1L_UrUn7iF547GceUM9sV402LJMhvz5p-/view?usp=drivesdk")</f>
        <v>https://drive.google.com/file/d/1L_UrUn7iF547GceUM9sV402LJMhvz5p-/view?usp=drivesdk</v>
      </c>
      <c r="C3193" s="339" t="str">
        <f>IFERROR(__xludf.DUMMYFUNCTION("""COMPUTED_VALUE"""),"10.1037--0033-2909.118.1.3.pdf")</f>
        <v>10.1037--0033-2909.118.1.3.pdf</v>
      </c>
      <c r="D3193" s="159" t="str">
        <f>IFERROR(__xludf.DUMMYFUNCTION("""COMPUTED_VALUE"""),"application/pdf")</f>
        <v>application/pdf</v>
      </c>
    </row>
    <row r="3194">
      <c r="A3194" s="339" t="str">
        <f>IFERROR(__xludf.DUMMYFUNCTION("""COMPUTED_VALUE"""),"10.1037/0022-3514.95.5.1150")</f>
        <v>10.1037/0022-3514.95.5.1150</v>
      </c>
      <c r="B3194" s="445" t="str">
        <f>IFERROR(__xludf.DUMMYFUNCTION("""COMPUTED_VALUE"""),"https://drive.google.com/file/d/1ndD8z0H-I5x-TfBCqMqu0rgkodHkfNEf/view?usp=drivesdk")</f>
        <v>https://drive.google.com/file/d/1ndD8z0H-I5x-TfBCqMqu0rgkodHkfNEf/view?usp=drivesdk</v>
      </c>
      <c r="C3194" s="339" t="str">
        <f>IFERROR(__xludf.DUMMYFUNCTION("""COMPUTED_VALUE"""),"10.1037--0022-3514.95.5.1150.pdf")</f>
        <v>10.1037--0022-3514.95.5.1150.pdf</v>
      </c>
      <c r="D3194" s="159" t="str">
        <f>IFERROR(__xludf.DUMMYFUNCTION("""COMPUTED_VALUE"""),"application/pdf")</f>
        <v>application/pdf</v>
      </c>
    </row>
    <row r="3195">
      <c r="A3195" s="339" t="str">
        <f>IFERROR(__xludf.DUMMYFUNCTION("""COMPUTED_VALUE"""),"10.1037/0022-3514.95.2.420")</f>
        <v>10.1037/0022-3514.95.2.420</v>
      </c>
      <c r="B3195" s="445" t="str">
        <f>IFERROR(__xludf.DUMMYFUNCTION("""COMPUTED_VALUE"""),"https://drive.google.com/file/d/1EGlmFl81-d1oxiKpGgGytIRbyZhEQLuV/view?usp=drivesdk")</f>
        <v>https://drive.google.com/file/d/1EGlmFl81-d1oxiKpGgGytIRbyZhEQLuV/view?usp=drivesdk</v>
      </c>
      <c r="C3195" s="339" t="str">
        <f>IFERROR(__xludf.DUMMYFUNCTION("""COMPUTED_VALUE"""),"10.1037--0022-3514.95.2.420.pdf")</f>
        <v>10.1037--0022-3514.95.2.420.pdf</v>
      </c>
      <c r="D3195" s="159" t="str">
        <f>IFERROR(__xludf.DUMMYFUNCTION("""COMPUTED_VALUE"""),"application/pdf")</f>
        <v>application/pdf</v>
      </c>
    </row>
    <row r="3196">
      <c r="A3196" s="339" t="str">
        <f>IFERROR(__xludf.DUMMYFUNCTION("""COMPUTED_VALUE"""),"10.1037/0022-3514.95.2.385")</f>
        <v>10.1037/0022-3514.95.2.385</v>
      </c>
      <c r="B3196" s="445" t="str">
        <f>IFERROR(__xludf.DUMMYFUNCTION("""COMPUTED_VALUE"""),"https://drive.google.com/file/d/1azpl3Wmo9R6ywyk7lG4WR5Xnl3l99eut/view?usp=drivesdk")</f>
        <v>https://drive.google.com/file/d/1azpl3Wmo9R6ywyk7lG4WR5Xnl3l99eut/view?usp=drivesdk</v>
      </c>
      <c r="C3196" s="339" t="str">
        <f>IFERROR(__xludf.DUMMYFUNCTION("""COMPUTED_VALUE"""),"10.1037--0022-3514.95.2.385.pdf")</f>
        <v>10.1037--0022-3514.95.2.385.pdf</v>
      </c>
      <c r="D3196" s="159" t="str">
        <f>IFERROR(__xludf.DUMMYFUNCTION("""COMPUTED_VALUE"""),"application/pdf")</f>
        <v>application/pdf</v>
      </c>
    </row>
    <row r="3197">
      <c r="A3197" s="339" t="str">
        <f>IFERROR(__xludf.DUMMYFUNCTION("""COMPUTED_VALUE"""),"10.1037/0022-3514.95.2.293")</f>
        <v>10.1037/0022-3514.95.2.293</v>
      </c>
      <c r="B3197" s="445" t="str">
        <f>IFERROR(__xludf.DUMMYFUNCTION("""COMPUTED_VALUE"""),"https://drive.google.com/file/d/1Gkz07e_5xnoHy7zdKAHfWY6layqbA2lX/view?usp=drivesdk")</f>
        <v>https://drive.google.com/file/d/1Gkz07e_5xnoHy7zdKAHfWY6layqbA2lX/view?usp=drivesdk</v>
      </c>
      <c r="C3197" s="339" t="str">
        <f>IFERROR(__xludf.DUMMYFUNCTION("""COMPUTED_VALUE"""),"10.1037--0022-3514.95.2.293.pdf")</f>
        <v>10.1037--0022-3514.95.2.293.pdf</v>
      </c>
      <c r="D3197" s="159" t="str">
        <f>IFERROR(__xludf.DUMMYFUNCTION("""COMPUTED_VALUE"""),"application/pdf")</f>
        <v>application/pdf</v>
      </c>
    </row>
    <row r="3198">
      <c r="A3198" s="339" t="str">
        <f>IFERROR(__xludf.DUMMYFUNCTION("""COMPUTED_VALUE"""),"10.1037/0022-3514.95.2.274")</f>
        <v>10.1037/0022-3514.95.2.274</v>
      </c>
      <c r="B3198" s="445" t="str">
        <f>IFERROR(__xludf.DUMMYFUNCTION("""COMPUTED_VALUE"""),"https://drive.google.com/file/d/1a05JoYmLdyaqZqx1lMlnobPSBoVtshdG/view?usp=drivesdk")</f>
        <v>https://drive.google.com/file/d/1a05JoYmLdyaqZqx1lMlnobPSBoVtshdG/view?usp=drivesdk</v>
      </c>
      <c r="C3198" s="339" t="str">
        <f>IFERROR(__xludf.DUMMYFUNCTION("""COMPUTED_VALUE"""),"10.1037--0022-3514.95.2.274.pdf")</f>
        <v>10.1037--0022-3514.95.2.274.pdf</v>
      </c>
      <c r="D3198" s="159" t="str">
        <f>IFERROR(__xludf.DUMMYFUNCTION("""COMPUTED_VALUE"""),"application/pdf")</f>
        <v>application/pdf</v>
      </c>
    </row>
    <row r="3199">
      <c r="A3199" s="339" t="str">
        <f>IFERROR(__xludf.DUMMYFUNCTION("""COMPUTED_VALUE"""),"10.1037/0022-3514.95.1.76")</f>
        <v>10.1037/0022-3514.95.1.76</v>
      </c>
      <c r="B3199" s="445" t="str">
        <f>IFERROR(__xludf.DUMMYFUNCTION("""COMPUTED_VALUE"""),"https://drive.google.com/file/d/14KU35or-OxTWODmUyKwRoB3qwuTQZobO/view?usp=drivesdk")</f>
        <v>https://drive.google.com/file/d/14KU35or-OxTWODmUyKwRoB3qwuTQZobO/view?usp=drivesdk</v>
      </c>
      <c r="C3199" s="339" t="str">
        <f>IFERROR(__xludf.DUMMYFUNCTION("""COMPUTED_VALUE"""),"10.1037--0022-3514.95.1.76.pdf")</f>
        <v>10.1037--0022-3514.95.1.76.pdf</v>
      </c>
      <c r="D3199" s="159" t="str">
        <f>IFERROR(__xludf.DUMMYFUNCTION("""COMPUTED_VALUE"""),"application/pdf")</f>
        <v>application/pdf</v>
      </c>
    </row>
    <row r="3200">
      <c r="A3200" s="339" t="str">
        <f>IFERROR(__xludf.DUMMYFUNCTION("""COMPUTED_VALUE"""),"10.1037/0022-3514.94.6.1062")</f>
        <v>10.1037/0022-3514.94.6.1062</v>
      </c>
      <c r="B3200" s="445" t="str">
        <f>IFERROR(__xludf.DUMMYFUNCTION("""COMPUTED_VALUE"""),"https://drive.google.com/file/d/17_Ll2w4V8oHKFKapa6lsAJcfuwPXIghG/view?usp=drivesdk")</f>
        <v>https://drive.google.com/file/d/17_Ll2w4V8oHKFKapa6lsAJcfuwPXIghG/view?usp=drivesdk</v>
      </c>
      <c r="C3200" s="339" t="str">
        <f>IFERROR(__xludf.DUMMYFUNCTION("""COMPUTED_VALUE"""),"10.1037--0022-3514.94.6.1062.pdf")</f>
        <v>10.1037--0022-3514.94.6.1062.pdf</v>
      </c>
      <c r="D3200" s="159" t="str">
        <f>IFERROR(__xludf.DUMMYFUNCTION("""COMPUTED_VALUE"""),"application/pdf")</f>
        <v>application/pdf</v>
      </c>
    </row>
    <row r="3201">
      <c r="A3201" s="339" t="str">
        <f>IFERROR(__xludf.DUMMYFUNCTION("""COMPUTED_VALUE"""),"10.1037/0022-3514.94.5.871")</f>
        <v>10.1037/0022-3514.94.5.871</v>
      </c>
      <c r="B3201" s="445" t="str">
        <f>IFERROR(__xludf.DUMMYFUNCTION("""COMPUTED_VALUE"""),"https://drive.google.com/file/d/1n-xkjkrGpKzc0Ew4FDfG-BXhbw4Koezu/view?usp=drivesdk")</f>
        <v>https://drive.google.com/file/d/1n-xkjkrGpKzc0Ew4FDfG-BXhbw4Koezu/view?usp=drivesdk</v>
      </c>
      <c r="C3201" s="339" t="str">
        <f>IFERROR(__xludf.DUMMYFUNCTION("""COMPUTED_VALUE"""),"10.1037--0022-3514.94.5.871.pdf")</f>
        <v>10.1037--0022-3514.94.5.871.pdf</v>
      </c>
      <c r="D3201" s="159" t="str">
        <f>IFERROR(__xludf.DUMMYFUNCTION("""COMPUTED_VALUE"""),"application/pdf")</f>
        <v>application/pdf</v>
      </c>
    </row>
    <row r="3202">
      <c r="A3202" s="339" t="str">
        <f>IFERROR(__xludf.DUMMYFUNCTION("""COMPUTED_VALUE"""),"10.1037/0022-3514.94.5.739")</f>
        <v>10.1037/0022-3514.94.5.739</v>
      </c>
      <c r="B3202" s="445" t="str">
        <f>IFERROR(__xludf.DUMMYFUNCTION("""COMPUTED_VALUE"""),"https://drive.google.com/file/d/1-F7GLgEY4EHaws_BqDjoz-2HKv4q25Jx/view?usp=drivesdk")</f>
        <v>https://drive.google.com/file/d/1-F7GLgEY4EHaws_BqDjoz-2HKv4q25Jx/view?usp=drivesdk</v>
      </c>
      <c r="C3202" s="339" t="str">
        <f>IFERROR(__xludf.DUMMYFUNCTION("""COMPUTED_VALUE"""),"10.1037--0022-3514.94.5.739.pdf")</f>
        <v>10.1037--0022-3514.94.5.739.pdf</v>
      </c>
      <c r="D3202" s="159" t="str">
        <f>IFERROR(__xludf.DUMMYFUNCTION("""COMPUTED_VALUE"""),"application/pdf")</f>
        <v>application/pdf</v>
      </c>
    </row>
    <row r="3203">
      <c r="A3203" s="339" t="str">
        <f>IFERROR(__xludf.DUMMYFUNCTION("""COMPUTED_VALUE"""),"10.1037/0022-3514.94.4.718")</f>
        <v>10.1037/0022-3514.94.4.718</v>
      </c>
      <c r="B3203" s="445" t="str">
        <f>IFERROR(__xludf.DUMMYFUNCTION("""COMPUTED_VALUE"""),"https://drive.google.com/file/d/1_PDJ9HJdyc65HgAxy4hirK9FdTGjmJt6/view?usp=drivesdk")</f>
        <v>https://drive.google.com/file/d/1_PDJ9HJdyc65HgAxy4hirK9FdTGjmJt6/view?usp=drivesdk</v>
      </c>
      <c r="C3203" s="339" t="str">
        <f>IFERROR(__xludf.DUMMYFUNCTION("""COMPUTED_VALUE"""),"10.1037--0022-3514.94.4.718.pdf")</f>
        <v>10.1037--0022-3514.94.4.718.pdf</v>
      </c>
      <c r="D3203" s="159" t="str">
        <f>IFERROR(__xludf.DUMMYFUNCTION("""COMPUTED_VALUE"""),"application/pdf")</f>
        <v>application/pdf</v>
      </c>
    </row>
    <row r="3204">
      <c r="A3204" s="339" t="str">
        <f>IFERROR(__xludf.DUMMYFUNCTION("""COMPUTED_VALUE"""),"10.1037/0022-3514.94.4.696")</f>
        <v>10.1037/0022-3514.94.4.696</v>
      </c>
      <c r="B3204" s="445" t="str">
        <f>IFERROR(__xludf.DUMMYFUNCTION("""COMPUTED_VALUE"""),"https://drive.google.com/file/d/1uUa0wmROI0qE2xnTwxRVDmnwcW2lORPw/view?usp=drivesdk")</f>
        <v>https://drive.google.com/file/d/1uUa0wmROI0qE2xnTwxRVDmnwcW2lORPw/view?usp=drivesdk</v>
      </c>
      <c r="C3204" s="339" t="str">
        <f>IFERROR(__xludf.DUMMYFUNCTION("""COMPUTED_VALUE"""),"10.1037--0022-3514.94.4.696.pdf")</f>
        <v>10.1037--0022-3514.94.4.696.pdf</v>
      </c>
      <c r="D3204" s="159" t="str">
        <f>IFERROR(__xludf.DUMMYFUNCTION("""COMPUTED_VALUE"""),"application/pdf")</f>
        <v>application/pdf</v>
      </c>
    </row>
    <row r="3205">
      <c r="A3205" s="339" t="str">
        <f>IFERROR(__xludf.DUMMYFUNCTION("""COMPUTED_VALUE"""),"10.1037/0022-3514.94.4.672")</f>
        <v>10.1037/0022-3514.94.4.672</v>
      </c>
      <c r="B3205" s="445" t="str">
        <f>IFERROR(__xludf.DUMMYFUNCTION("""COMPUTED_VALUE"""),"https://drive.google.com/file/d/1mE5XaAsbpzpaVByGMY_Y-yHafY0h2G_x/view?usp=drivesdk")</f>
        <v>https://drive.google.com/file/d/1mE5XaAsbpzpaVByGMY_Y-yHafY0h2G_x/view?usp=drivesdk</v>
      </c>
      <c r="C3205" s="339" t="str">
        <f>IFERROR(__xludf.DUMMYFUNCTION("""COMPUTED_VALUE"""),"10.1037--0022-3514.94.4.672.pdf")</f>
        <v>10.1037--0022-3514.94.4.672.pdf</v>
      </c>
      <c r="D3205" s="159" t="str">
        <f>IFERROR(__xludf.DUMMYFUNCTION("""COMPUTED_VALUE"""),"application/pdf")</f>
        <v>application/pdf</v>
      </c>
    </row>
    <row r="3206">
      <c r="A3206" s="339" t="str">
        <f>IFERROR(__xludf.DUMMYFUNCTION("""COMPUTED_VALUE"""),"10.1037/0022-3514.94.4.647")</f>
        <v>10.1037/0022-3514.94.4.647</v>
      </c>
      <c r="B3206" s="445" t="str">
        <f>IFERROR(__xludf.DUMMYFUNCTION("""COMPUTED_VALUE"""),"https://drive.google.com/file/d/1y8mrTT7_nUvHiOOj_Est9-y7QPFPn7bM/view?usp=drivesdk")</f>
        <v>https://drive.google.com/file/d/1y8mrTT7_nUvHiOOj_Est9-y7QPFPn7bM/view?usp=drivesdk</v>
      </c>
      <c r="C3206" s="339" t="str">
        <f>IFERROR(__xludf.DUMMYFUNCTION("""COMPUTED_VALUE"""),"10.1037--0022-3514.94.4.647.pdf")</f>
        <v>10.1037--0022-3514.94.4.647.pdf</v>
      </c>
      <c r="D3206" s="159" t="str">
        <f>IFERROR(__xludf.DUMMYFUNCTION("""COMPUTED_VALUE"""),"application/pdf")</f>
        <v>application/pdf</v>
      </c>
    </row>
    <row r="3207">
      <c r="A3207" s="339" t="str">
        <f>IFERROR(__xludf.DUMMYFUNCTION("""COMPUTED_VALUE"""),"10.1037/0022-3514.94.4.615")</f>
        <v>10.1037/0022-3514.94.4.615</v>
      </c>
      <c r="B3207" s="445" t="str">
        <f>IFERROR(__xludf.DUMMYFUNCTION("""COMPUTED_VALUE"""),"https://drive.google.com/file/d/1VyZodnC88TkBiX9hwQqLISstx0--OlF9/view?usp=drivesdk")</f>
        <v>https://drive.google.com/file/d/1VyZodnC88TkBiX9hwQqLISstx0--OlF9/view?usp=drivesdk</v>
      </c>
      <c r="C3207" s="339" t="str">
        <f>IFERROR(__xludf.DUMMYFUNCTION("""COMPUTED_VALUE"""),"10.1037--0022-3514.94.4.615.pdf")</f>
        <v>10.1037--0022-3514.94.4.615.pdf</v>
      </c>
      <c r="D3207" s="159" t="str">
        <f>IFERROR(__xludf.DUMMYFUNCTION("""COMPUTED_VALUE"""),"application/pdf")</f>
        <v>application/pdf</v>
      </c>
    </row>
    <row r="3208">
      <c r="A3208" s="339" t="str">
        <f>IFERROR(__xludf.DUMMYFUNCTION("""COMPUTED_VALUE"""),"10.1037/0022-3514.94.4.631")</f>
        <v>10.1037/0022-3514.94.4.631</v>
      </c>
      <c r="B3208" s="445" t="str">
        <f>IFERROR(__xludf.DUMMYFUNCTION("""COMPUTED_VALUE"""),"https://drive.google.com/file/d/1m4aJwxOLHaW6W9BHJ4qrcFGnuaciz1IC/view?usp=drivesdk")</f>
        <v>https://drive.google.com/file/d/1m4aJwxOLHaW6W9BHJ4qrcFGnuaciz1IC/view?usp=drivesdk</v>
      </c>
      <c r="C3208" s="339" t="str">
        <f>IFERROR(__xludf.DUMMYFUNCTION("""COMPUTED_VALUE"""),"10.1037--0022-3514.94.4.631.pdf")</f>
        <v>10.1037--0022-3514.94.4.631.pdf</v>
      </c>
      <c r="D3208" s="159" t="str">
        <f>IFERROR(__xludf.DUMMYFUNCTION("""COMPUTED_VALUE"""),"application/pdf")</f>
        <v>application/pdf</v>
      </c>
    </row>
    <row r="3209">
      <c r="A3209" s="339" t="str">
        <f>IFERROR(__xludf.DUMMYFUNCTION("""COMPUTED_VALUE"""),"10.1037/0022-3514.94.4.579")</f>
        <v>10.1037/0022-3514.94.4.579</v>
      </c>
      <c r="B3209" s="445" t="str">
        <f>IFERROR(__xludf.DUMMYFUNCTION("""COMPUTED_VALUE"""),"https://drive.google.com/file/d/1TnJyaUoRrpzVV53y8GXds5wdlyuM-9mX/view?usp=drivesdk")</f>
        <v>https://drive.google.com/file/d/1TnJyaUoRrpzVV53y8GXds5wdlyuM-9mX/view?usp=drivesdk</v>
      </c>
      <c r="C3209" s="339" t="str">
        <f>IFERROR(__xludf.DUMMYFUNCTION("""COMPUTED_VALUE"""),"10.1037--0022-3514.94.4.579.pdf")</f>
        <v>10.1037--0022-3514.94.4.579.pdf</v>
      </c>
      <c r="D3209" s="159" t="str">
        <f>IFERROR(__xludf.DUMMYFUNCTION("""COMPUTED_VALUE"""),"application/pdf")</f>
        <v>application/pdf</v>
      </c>
    </row>
    <row r="3210">
      <c r="A3210" s="339" t="str">
        <f>IFERROR(__xludf.DUMMYFUNCTION("""COMPUTED_VALUE"""),"10.1037/0022-3514.94.3.545")</f>
        <v>10.1037/0022-3514.94.3.545</v>
      </c>
      <c r="B3210" s="445" t="str">
        <f>IFERROR(__xludf.DUMMYFUNCTION("""COMPUTED_VALUE"""),"https://drive.google.com/file/d/16Fdz5Q4hZTnIAAvzSPJ1UmDOOND5AaDe/view?usp=drivesdk")</f>
        <v>https://drive.google.com/file/d/16Fdz5Q4hZTnIAAvzSPJ1UmDOOND5AaDe/view?usp=drivesdk</v>
      </c>
      <c r="C3210" s="339" t="str">
        <f>IFERROR(__xludf.DUMMYFUNCTION("""COMPUTED_VALUE"""),"10.1037--0022-3514.94.3.545.pdf")</f>
        <v>10.1037--0022-3514.94.3.545.pdf</v>
      </c>
      <c r="D3210" s="159" t="str">
        <f>IFERROR(__xludf.DUMMYFUNCTION("""COMPUTED_VALUE"""),"application/pdf")</f>
        <v>application/pdf</v>
      </c>
    </row>
    <row r="3211">
      <c r="A3211" s="339" t="str">
        <f>IFERROR(__xludf.DUMMYFUNCTION("""COMPUTED_VALUE"""),"10.1037/0022-3514.94.3.531")</f>
        <v>10.1037/0022-3514.94.3.531</v>
      </c>
      <c r="B3211" s="445" t="str">
        <f>IFERROR(__xludf.DUMMYFUNCTION("""COMPUTED_VALUE"""),"https://drive.google.com/file/d/14LrYEERHFe3i5aIlqqcm_uO0CiKkW1y2/view?usp=drivesdk")</f>
        <v>https://drive.google.com/file/d/14LrYEERHFe3i5aIlqqcm_uO0CiKkW1y2/view?usp=drivesdk</v>
      </c>
      <c r="C3211" s="339" t="str">
        <f>IFERROR(__xludf.DUMMYFUNCTION("""COMPUTED_VALUE"""),"10.1037--0022-3514.94.3.531.pdf")</f>
        <v>10.1037--0022-3514.94.3.531.pdf</v>
      </c>
      <c r="D3211" s="159" t="str">
        <f>IFERROR(__xludf.DUMMYFUNCTION("""COMPUTED_VALUE"""),"application/pdf")</f>
        <v>application/pdf</v>
      </c>
    </row>
    <row r="3212">
      <c r="A3212" s="339" t="str">
        <f>IFERROR(__xludf.DUMMYFUNCTION("""COMPUTED_VALUE"""),"10.1037/0022-3514.94.3.516")</f>
        <v>10.1037/0022-3514.94.3.516</v>
      </c>
      <c r="B3212" s="445" t="str">
        <f>IFERROR(__xludf.DUMMYFUNCTION("""COMPUTED_VALUE"""),"https://drive.google.com/file/d/1IyaF2VJcgVfWLGGRX0Pw4RnInw7LvfCb/view?usp=drivesdk")</f>
        <v>https://drive.google.com/file/d/1IyaF2VJcgVfWLGGRX0Pw4RnInw7LvfCb/view?usp=drivesdk</v>
      </c>
      <c r="C3212" s="339" t="str">
        <f>IFERROR(__xludf.DUMMYFUNCTION("""COMPUTED_VALUE"""),"10.1037--0022-3514.94.3.516.pdf")</f>
        <v>10.1037--0022-3514.94.3.516.pdf</v>
      </c>
      <c r="D3212" s="159" t="str">
        <f>IFERROR(__xludf.DUMMYFUNCTION("""COMPUTED_VALUE"""),"application/pdf")</f>
        <v>application/pdf</v>
      </c>
    </row>
    <row r="3213">
      <c r="A3213" s="339" t="str">
        <f>IFERROR(__xludf.DUMMYFUNCTION("""COMPUTED_VALUE"""),"10.1037/0022-3514.94.3.495")</f>
        <v>10.1037/0022-3514.94.3.495</v>
      </c>
      <c r="B3213" s="445" t="str">
        <f>IFERROR(__xludf.DUMMYFUNCTION("""COMPUTED_VALUE"""),"https://drive.google.com/file/d/1sVDcE0S8Au1V2yPyjhNJC-dbCas3mbhd/view?usp=drivesdk")</f>
        <v>https://drive.google.com/file/d/1sVDcE0S8Au1V2yPyjhNJC-dbCas3mbhd/view?usp=drivesdk</v>
      </c>
      <c r="C3213" s="339" t="str">
        <f>IFERROR(__xludf.DUMMYFUNCTION("""COMPUTED_VALUE"""),"10.1037--0022-3514.94.3.495.pdf")</f>
        <v>10.1037--0022-3514.94.3.495.pdf</v>
      </c>
      <c r="D3213" s="159" t="str">
        <f>IFERROR(__xludf.DUMMYFUNCTION("""COMPUTED_VALUE"""),"application/pdf")</f>
        <v>application/pdf</v>
      </c>
    </row>
    <row r="3214">
      <c r="A3214" s="339" t="str">
        <f>IFERROR(__xludf.DUMMYFUNCTION("""COMPUTED_VALUE"""),"10.1037/0022-3514.94.3.479")</f>
        <v>10.1037/0022-3514.94.3.479</v>
      </c>
      <c r="B3214" s="445" t="str">
        <f>IFERROR(__xludf.DUMMYFUNCTION("""COMPUTED_VALUE"""),"https://drive.google.com/file/d/1miw0gE80AMT9hLj9igjJSpALmK9RwWFq/view?usp=drivesdk")</f>
        <v>https://drive.google.com/file/d/1miw0gE80AMT9hLj9igjJSpALmK9RwWFq/view?usp=drivesdk</v>
      </c>
      <c r="C3214" s="339" t="str">
        <f>IFERROR(__xludf.DUMMYFUNCTION("""COMPUTED_VALUE"""),"10.1037--0022-3514.94.3.479.pdf")</f>
        <v>10.1037--0022-3514.94.3.479.pdf</v>
      </c>
      <c r="D3214" s="159" t="str">
        <f>IFERROR(__xludf.DUMMYFUNCTION("""COMPUTED_VALUE"""),"application/pdf")</f>
        <v>application/pdf</v>
      </c>
    </row>
    <row r="3215">
      <c r="A3215" s="339" t="str">
        <f>IFERROR(__xludf.DUMMYFUNCTION("""COMPUTED_VALUE"""),"10.1037/0022-3514.94.3.460")</f>
        <v>10.1037/0022-3514.94.3.460</v>
      </c>
      <c r="B3215" s="445" t="str">
        <f>IFERROR(__xludf.DUMMYFUNCTION("""COMPUTED_VALUE"""),"https://drive.google.com/file/d/1C7ZFix0i5PE-sELkqelxpzSVqoZT0uXD/view?usp=drivesdk")</f>
        <v>https://drive.google.com/file/d/1C7ZFix0i5PE-sELkqelxpzSVqoZT0uXD/view?usp=drivesdk</v>
      </c>
      <c r="C3215" s="339" t="str">
        <f>IFERROR(__xludf.DUMMYFUNCTION("""COMPUTED_VALUE"""),"10.1037--0022-3514.94.3.460.pdf")</f>
        <v>10.1037--0022-3514.94.3.460.pdf</v>
      </c>
      <c r="D3215" s="159" t="str">
        <f>IFERROR(__xludf.DUMMYFUNCTION("""COMPUTED_VALUE"""),"application/pdf")</f>
        <v>application/pdf</v>
      </c>
    </row>
    <row r="3216">
      <c r="A3216" s="339" t="str">
        <f>IFERROR(__xludf.DUMMYFUNCTION("""COMPUTED_VALUE"""),"10.1037/0022-3514.94.3.412")</f>
        <v>10.1037/0022-3514.94.3.412</v>
      </c>
      <c r="B3216" s="445" t="str">
        <f>IFERROR(__xludf.DUMMYFUNCTION("""COMPUTED_VALUE"""),"https://drive.google.com/file/d/1GqlmaUqsUO52N0r1Ib1RrmaOS2VDOtqx/view?usp=drivesdk")</f>
        <v>https://drive.google.com/file/d/1GqlmaUqsUO52N0r1Ib1RrmaOS2VDOtqx/view?usp=drivesdk</v>
      </c>
      <c r="C3216" s="339" t="str">
        <f>IFERROR(__xludf.DUMMYFUNCTION("""COMPUTED_VALUE"""),"10.1037--0022-3514.94.3.412.pdf")</f>
        <v>10.1037--0022-3514.94.3.412.pdf</v>
      </c>
      <c r="D3216" s="159" t="str">
        <f>IFERROR(__xludf.DUMMYFUNCTION("""COMPUTED_VALUE"""),"application/pdf")</f>
        <v>application/pdf</v>
      </c>
    </row>
    <row r="3217">
      <c r="A3217" s="339" t="str">
        <f>IFERROR(__xludf.DUMMYFUNCTION("""COMPUTED_VALUE"""),"10.1037/0022-3514.94.3.396")</f>
        <v>10.1037/0022-3514.94.3.396</v>
      </c>
      <c r="B3217" s="445" t="str">
        <f>IFERROR(__xludf.DUMMYFUNCTION("""COMPUTED_VALUE"""),"https://drive.google.com/file/d/11YlCMyN4uuL8Bm15aAIWE8inJeqhHaiW/view?usp=drivesdk")</f>
        <v>https://drive.google.com/file/d/11YlCMyN4uuL8Bm15aAIWE8inJeqhHaiW/view?usp=drivesdk</v>
      </c>
      <c r="C3217" s="339" t="str">
        <f>IFERROR(__xludf.DUMMYFUNCTION("""COMPUTED_VALUE"""),"10.1037--0022-3514.94.3.396.pdf")</f>
        <v>10.1037--0022-3514.94.3.396.pdf</v>
      </c>
      <c r="D3217" s="159" t="str">
        <f>IFERROR(__xludf.DUMMYFUNCTION("""COMPUTED_VALUE"""),"application/pdf")</f>
        <v>application/pdf</v>
      </c>
    </row>
    <row r="3218">
      <c r="A3218" s="339" t="str">
        <f>IFERROR(__xludf.DUMMYFUNCTION("""COMPUTED_VALUE"""),"10.1037/0022-3514.94.3.382")</f>
        <v>10.1037/0022-3514.94.3.382</v>
      </c>
      <c r="B3218" s="445" t="str">
        <f>IFERROR(__xludf.DUMMYFUNCTION("""COMPUTED_VALUE"""),"https://drive.google.com/file/d/1HdBN17kLB5Dti11EcyS-dTKrGQBVVhsc/view?usp=drivesdk")</f>
        <v>https://drive.google.com/file/d/1HdBN17kLB5Dti11EcyS-dTKrGQBVVhsc/view?usp=drivesdk</v>
      </c>
      <c r="C3218" s="339" t="str">
        <f>IFERROR(__xludf.DUMMYFUNCTION("""COMPUTED_VALUE"""),"10.1037--0022-3514.94.3.382.pdf")</f>
        <v>10.1037--0022-3514.94.3.382.pdf</v>
      </c>
      <c r="D3218" s="159" t="str">
        <f>IFERROR(__xludf.DUMMYFUNCTION("""COMPUTED_VALUE"""),"application/pdf")</f>
        <v>application/pdf</v>
      </c>
    </row>
    <row r="3219">
      <c r="A3219" s="339" t="str">
        <f>IFERROR(__xludf.DUMMYFUNCTION("""COMPUTED_VALUE"""),"10.1037/0022-3514.94.3.365")</f>
        <v>10.1037/0022-3514.94.3.365</v>
      </c>
      <c r="B3219" s="445" t="str">
        <f>IFERROR(__xludf.DUMMYFUNCTION("""COMPUTED_VALUE"""),"https://drive.google.com/file/d/1IvXyE1rwA3XbGaIs71lV94KBAOASxOSW/view?usp=drivesdk")</f>
        <v>https://drive.google.com/file/d/1IvXyE1rwA3XbGaIs71lV94KBAOASxOSW/view?usp=drivesdk</v>
      </c>
      <c r="C3219" s="339" t="str">
        <f>IFERROR(__xludf.DUMMYFUNCTION("""COMPUTED_VALUE"""),"10.1037--0022-3514.94.3.365.pdf")</f>
        <v>10.1037--0022-3514.94.3.365.pdf</v>
      </c>
      <c r="D3219" s="159" t="str">
        <f>IFERROR(__xludf.DUMMYFUNCTION("""COMPUTED_VALUE"""),"application/pdf")</f>
        <v>application/pdf</v>
      </c>
    </row>
    <row r="3220">
      <c r="A3220" s="339" t="str">
        <f>IFERROR(__xludf.DUMMYFUNCTION("""COMPUTED_VALUE"""),"10.1037/0022-3514.94.2.94.2.265")</f>
        <v>10.1037/0022-3514.94.2.94.2.265</v>
      </c>
      <c r="B3220" s="445" t="str">
        <f>IFERROR(__xludf.DUMMYFUNCTION("""COMPUTED_VALUE"""),"https://drive.google.com/file/d/1bYGZGwWWVS-Gyd9EvxGZHfGkrlvQ7SVP/view?usp=drivesdk")</f>
        <v>https://drive.google.com/file/d/1bYGZGwWWVS-Gyd9EvxGZHfGkrlvQ7SVP/view?usp=drivesdk</v>
      </c>
      <c r="C3220" s="339" t="str">
        <f>IFERROR(__xludf.DUMMYFUNCTION("""COMPUTED_VALUE"""),"10.1037--0022-3514.94.2.94.2.265.pdf")</f>
        <v>10.1037--0022-3514.94.2.94.2.265.pdf</v>
      </c>
      <c r="D3220" s="159" t="str">
        <f>IFERROR(__xludf.DUMMYFUNCTION("""COMPUTED_VALUE"""),"application/pdf")</f>
        <v>application/pdf</v>
      </c>
    </row>
    <row r="3221">
      <c r="A3221" s="339" t="str">
        <f>IFERROR(__xludf.DUMMYFUNCTION("""COMPUTED_VALUE"""),"10.1037/0022-3514.94.2.347")</f>
        <v>10.1037/0022-3514.94.2.347</v>
      </c>
      <c r="B3221" s="445" t="str">
        <f>IFERROR(__xludf.DUMMYFUNCTION("""COMPUTED_VALUE"""),"https://drive.google.com/file/d/19vdYAZkCypP9hiOcyAcKHxjhTelRkEZ4/view?usp=drivesdk")</f>
        <v>https://drive.google.com/file/d/19vdYAZkCypP9hiOcyAcKHxjhTelRkEZ4/view?usp=drivesdk</v>
      </c>
      <c r="C3221" s="339" t="str">
        <f>IFERROR(__xludf.DUMMYFUNCTION("""COMPUTED_VALUE"""),"10.1037--0022-3514.94.2.347.pdf")</f>
        <v>10.1037--0022-3514.94.2.347.pdf</v>
      </c>
      <c r="D3221" s="159" t="str">
        <f>IFERROR(__xludf.DUMMYFUNCTION("""COMPUTED_VALUE"""),"application/pdf")</f>
        <v>application/pdf</v>
      </c>
    </row>
    <row r="3222">
      <c r="A3222" s="339" t="str">
        <f>IFERROR(__xludf.DUMMYFUNCTION("""COMPUTED_VALUE"""),"10.1037/0022-3514.94.2.94.2.196")</f>
        <v>10.1037/0022-3514.94.2.94.2.196</v>
      </c>
      <c r="B3222" s="445" t="str">
        <f>IFERROR(__xludf.DUMMYFUNCTION("""COMPUTED_VALUE"""),"https://drive.google.com/file/d/1UKyZSyadeWWKlD03-UFjhlFvSy-jY0H-/view?usp=drivesdk")</f>
        <v>https://drive.google.com/file/d/1UKyZSyadeWWKlD03-UFjhlFvSy-jY0H-/view?usp=drivesdk</v>
      </c>
      <c r="C3222" s="339" t="str">
        <f>IFERROR(__xludf.DUMMYFUNCTION("""COMPUTED_VALUE"""),"10.1037--0022-3514.94.2.94.2.196.pdf")</f>
        <v>10.1037--0022-3514.94.2.94.2.196.pdf</v>
      </c>
      <c r="D3222" s="159" t="str">
        <f>IFERROR(__xludf.DUMMYFUNCTION("""COMPUTED_VALUE"""),"application/pdf")</f>
        <v>application/pdf</v>
      </c>
    </row>
    <row r="3223">
      <c r="A3223" s="339" t="str">
        <f>IFERROR(__xludf.DUMMYFUNCTION("""COMPUTED_VALUE"""),"10.1037/0022-3514.94.2.320")</f>
        <v>10.1037/0022-3514.94.2.320</v>
      </c>
      <c r="B3223" s="445" t="str">
        <f>IFERROR(__xludf.DUMMYFUNCTION("""COMPUTED_VALUE"""),"https://drive.google.com/file/d/1vurpc_i_PD2QcCV7pFaYNDEu3OYapdxB/view?usp=drivesdk")</f>
        <v>https://drive.google.com/file/d/1vurpc_i_PD2QcCV7pFaYNDEu3OYapdxB/view?usp=drivesdk</v>
      </c>
      <c r="C3223" s="339" t="str">
        <f>IFERROR(__xludf.DUMMYFUNCTION("""COMPUTED_VALUE"""),"10.1037--0022-3514.94.2.320.pdf")</f>
        <v>10.1037--0022-3514.94.2.320.pdf</v>
      </c>
      <c r="D3223" s="159" t="str">
        <f>IFERROR(__xludf.DUMMYFUNCTION("""COMPUTED_VALUE"""),"application/pdf")</f>
        <v>application/pdf</v>
      </c>
    </row>
    <row r="3224">
      <c r="A3224" s="339" t="str">
        <f>IFERROR(__xludf.DUMMYFUNCTION("""COMPUTED_VALUE"""),"10.1037/0022-3514.94.2.334")</f>
        <v>10.1037/0022-3514.94.2.334</v>
      </c>
      <c r="B3224" s="445" t="str">
        <f>IFERROR(__xludf.DUMMYFUNCTION("""COMPUTED_VALUE"""),"https://drive.google.com/file/d/1zAeAQJ4eRCYPaLwYl_cQdaBV-sgsCH1E/view?usp=drivesdk")</f>
        <v>https://drive.google.com/file/d/1zAeAQJ4eRCYPaLwYl_cQdaBV-sgsCH1E/view?usp=drivesdk</v>
      </c>
      <c r="C3224" s="339" t="str">
        <f>IFERROR(__xludf.DUMMYFUNCTION("""COMPUTED_VALUE"""),"10.1037--0022-3514.94.2.334.pdf")</f>
        <v>10.1037--0022-3514.94.2.334.pdf</v>
      </c>
      <c r="D3224" s="159" t="str">
        <f>IFERROR(__xludf.DUMMYFUNCTION("""COMPUTED_VALUE"""),"application/pdf")</f>
        <v>application/pdf</v>
      </c>
    </row>
    <row r="3225">
      <c r="A3225" s="339" t="str">
        <f>IFERROR(__xludf.DUMMYFUNCTION("""COMPUTED_VALUE"""),"10.1037/0022-3514.94.2.307")</f>
        <v>10.1037/0022-3514.94.2.307</v>
      </c>
      <c r="B3225" s="445" t="str">
        <f>IFERROR(__xludf.DUMMYFUNCTION("""COMPUTED_VALUE"""),"https://drive.google.com/file/d/1AyZRwIvNXJpAjxVsANAKksDd3obuF0oL/view?usp=drivesdk")</f>
        <v>https://drive.google.com/file/d/1AyZRwIvNXJpAjxVsANAKksDd3obuF0oL/view?usp=drivesdk</v>
      </c>
      <c r="C3225" s="339" t="str">
        <f>IFERROR(__xludf.DUMMYFUNCTION("""COMPUTED_VALUE"""),"10.1037--0022-3514.94.2.307.pdf")</f>
        <v>10.1037--0022-3514.94.2.307.pdf</v>
      </c>
      <c r="D3225" s="159" t="str">
        <f>IFERROR(__xludf.DUMMYFUNCTION("""COMPUTED_VALUE"""),"application/pdf")</f>
        <v>application/pdf</v>
      </c>
    </row>
    <row r="3226">
      <c r="A3226" s="339" t="str">
        <f>IFERROR(__xludf.DUMMYFUNCTION("""COMPUTED_VALUE"""),"10.1037/0022-3514.94.2.292")</f>
        <v>10.1037/0022-3514.94.2.292</v>
      </c>
      <c r="B3226" s="445" t="str">
        <f>IFERROR(__xludf.DUMMYFUNCTION("""COMPUTED_VALUE"""),"https://drive.google.com/file/d/1DNgz6zvVyJc9CChGs4IXCI5an4Rzk7nB/view?usp=drivesdk")</f>
        <v>https://drive.google.com/file/d/1DNgz6zvVyJc9CChGs4IXCI5an4Rzk7nB/view?usp=drivesdk</v>
      </c>
      <c r="C3226" s="339" t="str">
        <f>IFERROR(__xludf.DUMMYFUNCTION("""COMPUTED_VALUE"""),"10.1037--0022-3514.94.2.292.pdf")</f>
        <v>10.1037--0022-3514.94.2.292.pdf</v>
      </c>
      <c r="D3226" s="159" t="str">
        <f>IFERROR(__xludf.DUMMYFUNCTION("""COMPUTED_VALUE"""),"application/pdf")</f>
        <v>application/pdf</v>
      </c>
    </row>
    <row r="3227">
      <c r="A3227" s="339" t="str">
        <f>IFERROR(__xludf.DUMMYFUNCTION("""COMPUTED_VALUE"""),"10.1037/0022-3514.94.2.278")</f>
        <v>10.1037/0022-3514.94.2.278</v>
      </c>
      <c r="B3227" s="445" t="str">
        <f>IFERROR(__xludf.DUMMYFUNCTION("""COMPUTED_VALUE"""),"https://drive.google.com/file/d/1BsnS4DPT2KmhjBeBNNcE4-t0vz9t8bBu/view?usp=drivesdk")</f>
        <v>https://drive.google.com/file/d/1BsnS4DPT2KmhjBeBNNcE4-t0vz9t8bBu/view?usp=drivesdk</v>
      </c>
      <c r="C3227" s="339" t="str">
        <f>IFERROR(__xludf.DUMMYFUNCTION("""COMPUTED_VALUE"""),"10.1037--0022-3514.94.2.278.pdf")</f>
        <v>10.1037--0022-3514.94.2.278.pdf</v>
      </c>
      <c r="D3227" s="159" t="str">
        <f>IFERROR(__xludf.DUMMYFUNCTION("""COMPUTED_VALUE"""),"application/pdf")</f>
        <v>application/pdf</v>
      </c>
    </row>
    <row r="3228">
      <c r="A3228" s="339" t="str">
        <f>IFERROR(__xludf.DUMMYFUNCTION("""COMPUTED_VALUE"""),"10.1037/0022-3514.94.2.245")</f>
        <v>10.1037/0022-3514.94.2.245</v>
      </c>
      <c r="B3228" s="445" t="str">
        <f>IFERROR(__xludf.DUMMYFUNCTION("""COMPUTED_VALUE"""),"https://drive.google.com/file/d/1eQcmhUZAM11qxH-mwM6jAouV_rCECXvM/view?usp=drivesdk")</f>
        <v>https://drive.google.com/file/d/1eQcmhUZAM11qxH-mwM6jAouV_rCECXvM/view?usp=drivesdk</v>
      </c>
      <c r="C3228" s="339" t="str">
        <f>IFERROR(__xludf.DUMMYFUNCTION("""COMPUTED_VALUE"""),"10.1037--0022-3514.94.2.245.pdf")</f>
        <v>10.1037--0022-3514.94.2.245.pdf</v>
      </c>
      <c r="D3228" s="159" t="str">
        <f>IFERROR(__xludf.DUMMYFUNCTION("""COMPUTED_VALUE"""),"application/pdf")</f>
        <v>application/pdf</v>
      </c>
    </row>
    <row r="3229">
      <c r="A3229" s="339" t="str">
        <f>IFERROR(__xludf.DUMMYFUNCTION("""COMPUTED_VALUE"""),"10.1037/0022-3514.94.2.183")</f>
        <v>10.1037/0022-3514.94.2.183</v>
      </c>
      <c r="B3229" s="445" t="str">
        <f>IFERROR(__xludf.DUMMYFUNCTION("""COMPUTED_VALUE"""),"https://drive.google.com/file/d/19DaZ3U3kDTGt8DNgyBPYTrh0pbrw_vwe/view?usp=drivesdk")</f>
        <v>https://drive.google.com/file/d/19DaZ3U3kDTGt8DNgyBPYTrh0pbrw_vwe/view?usp=drivesdk</v>
      </c>
      <c r="C3229" s="339" t="str">
        <f>IFERROR(__xludf.DUMMYFUNCTION("""COMPUTED_VALUE"""),"10.1037--0022-3514.94.2.183.pdf")</f>
        <v>10.1037--0022-3514.94.2.183.pdf</v>
      </c>
      <c r="D3229" s="159" t="str">
        <f>IFERROR(__xludf.DUMMYFUNCTION("""COMPUTED_VALUE"""),"application/pdf")</f>
        <v>application/pdf</v>
      </c>
    </row>
    <row r="3230">
      <c r="A3230" s="339" t="str">
        <f>IFERROR(__xludf.DUMMYFUNCTION("""COMPUTED_VALUE"""),"10.1037/0022-3514.94.1.91")</f>
        <v>10.1037/0022-3514.94.1.91</v>
      </c>
      <c r="B3230" s="445" t="str">
        <f>IFERROR(__xludf.DUMMYFUNCTION("""COMPUTED_VALUE"""),"https://drive.google.com/file/d/1Ic6aADz9FFftbyqRAxUFmh-o53coOang/view?usp=drivesdk")</f>
        <v>https://drive.google.com/file/d/1Ic6aADz9FFftbyqRAxUFmh-o53coOang/view?usp=drivesdk</v>
      </c>
      <c r="C3230" s="339" t="str">
        <f>IFERROR(__xludf.DUMMYFUNCTION("""COMPUTED_VALUE"""),"10.1037--0022-3514.94.1.91.pdf")</f>
        <v>10.1037--0022-3514.94.1.91.pdf</v>
      </c>
      <c r="D3230" s="159" t="str">
        <f>IFERROR(__xludf.DUMMYFUNCTION("""COMPUTED_VALUE"""),"application/pdf")</f>
        <v>application/pdf</v>
      </c>
    </row>
    <row r="3231">
      <c r="A3231" s="339" t="str">
        <f>IFERROR(__xludf.DUMMYFUNCTION("""COMPUTED_VALUE"""),"10.1037/0022-3514.94.1.75")</f>
        <v>10.1037/0022-3514.94.1.75</v>
      </c>
      <c r="B3231" s="445" t="str">
        <f>IFERROR(__xludf.DUMMYFUNCTION("""COMPUTED_VALUE"""),"https://drive.google.com/file/d/1xLFc8vMa_e-vbBQWCNykjr3P59Pc0jMD/view?usp=drivesdk")</f>
        <v>https://drive.google.com/file/d/1xLFc8vMa_e-vbBQWCNykjr3P59Pc0jMD/view?usp=drivesdk</v>
      </c>
      <c r="C3231" s="339" t="str">
        <f>IFERROR(__xludf.DUMMYFUNCTION("""COMPUTED_VALUE"""),"10.1037--0022-3514.94.1.75.pdf")</f>
        <v>10.1037--0022-3514.94.1.75.pdf</v>
      </c>
      <c r="D3231" s="159" t="str">
        <f>IFERROR(__xludf.DUMMYFUNCTION("""COMPUTED_VALUE"""),"application/pdf")</f>
        <v>application/pdf</v>
      </c>
    </row>
    <row r="3232">
      <c r="A3232" s="339" t="str">
        <f>IFERROR(__xludf.DUMMYFUNCTION("""COMPUTED_VALUE"""),"10.1037/0022-3514.94.1.32")</f>
        <v>10.1037/0022-3514.94.1.32</v>
      </c>
      <c r="B3232" s="445" t="str">
        <f>IFERROR(__xludf.DUMMYFUNCTION("""COMPUTED_VALUE"""),"https://drive.google.com/file/d/1ncVTI_fg7cD5uuZLiCCdO3WT5ewLkA-V/view?usp=drivesdk")</f>
        <v>https://drive.google.com/file/d/1ncVTI_fg7cD5uuZLiCCdO3WT5ewLkA-V/view?usp=drivesdk</v>
      </c>
      <c r="C3232" s="339" t="str">
        <f>IFERROR(__xludf.DUMMYFUNCTION("""COMPUTED_VALUE"""),"10.1037--0022-3514.94.1.32.pdf")</f>
        <v>10.1037--0022-3514.94.1.32.pdf</v>
      </c>
      <c r="D3232" s="159" t="str">
        <f>IFERROR(__xludf.DUMMYFUNCTION("""COMPUTED_VALUE"""),"application/pdf")</f>
        <v>application/pdf</v>
      </c>
    </row>
    <row r="3233">
      <c r="A3233" s="339" t="str">
        <f>IFERROR(__xludf.DUMMYFUNCTION("""COMPUTED_VALUE"""),"10.1037/0022-3514.94.1.158")</f>
        <v>10.1037/0022-3514.94.1.158</v>
      </c>
      <c r="B3233" s="445" t="str">
        <f>IFERROR(__xludf.DUMMYFUNCTION("""COMPUTED_VALUE"""),"https://drive.google.com/file/d/1FHV-u9hbFTbf5tQRw4AZBWXvlnvbsJuW/view?usp=drivesdk")</f>
        <v>https://drive.google.com/file/d/1FHV-u9hbFTbf5tQRw4AZBWXvlnvbsJuW/view?usp=drivesdk</v>
      </c>
      <c r="C3233" s="339" t="str">
        <f>IFERROR(__xludf.DUMMYFUNCTION("""COMPUTED_VALUE"""),"10.1037--0022-3514.94.1.158.pdf")</f>
        <v>10.1037--0022-3514.94.1.158.pdf</v>
      </c>
      <c r="D3233" s="159" t="str">
        <f>IFERROR(__xludf.DUMMYFUNCTION("""COMPUTED_VALUE"""),"application/pdf")</f>
        <v>application/pdf</v>
      </c>
    </row>
    <row r="3234">
      <c r="A3234" s="339" t="str">
        <f>IFERROR(__xludf.DUMMYFUNCTION("""COMPUTED_VALUE"""),"10.1037/0022-3514.94.1.146")</f>
        <v>10.1037/0022-3514.94.1.146</v>
      </c>
      <c r="B3234" s="445" t="str">
        <f>IFERROR(__xludf.DUMMYFUNCTION("""COMPUTED_VALUE"""),"https://drive.google.com/file/d/1nm54o08eR4eFyMACR3wylzblVad7ZF5C/view?usp=drivesdk")</f>
        <v>https://drive.google.com/file/d/1nm54o08eR4eFyMACR3wylzblVad7ZF5C/view?usp=drivesdk</v>
      </c>
      <c r="C3234" s="339" t="str">
        <f>IFERROR(__xludf.DUMMYFUNCTION("""COMPUTED_VALUE"""),"10.1037--0022-3514.94.1.146.pdf")</f>
        <v>10.1037--0022-3514.94.1.146.pdf</v>
      </c>
      <c r="D3234" s="159" t="str">
        <f>IFERROR(__xludf.DUMMYFUNCTION("""COMPUTED_VALUE"""),"application/pdf")</f>
        <v>application/pdf</v>
      </c>
    </row>
    <row r="3235">
      <c r="A3235" s="339" t="str">
        <f>IFERROR(__xludf.DUMMYFUNCTION("""COMPUTED_VALUE"""),"10.1037/0022-3514.94.1.16")</f>
        <v>10.1037/0022-3514.94.1.16</v>
      </c>
      <c r="B3235" s="445" t="str">
        <f>IFERROR(__xludf.DUMMYFUNCTION("""COMPUTED_VALUE"""),"https://drive.google.com/file/d/1yQorPB990ECp--s5Y810aRf0XfraQ5Wv/view?usp=drivesdk")</f>
        <v>https://drive.google.com/file/d/1yQorPB990ECp--s5Y810aRf0XfraQ5Wv/view?usp=drivesdk</v>
      </c>
      <c r="C3235" s="339" t="str">
        <f>IFERROR(__xludf.DUMMYFUNCTION("""COMPUTED_VALUE"""),"10.1037--0022-3514.94.1.16.pdf")</f>
        <v>10.1037--0022-3514.94.1.16.pdf</v>
      </c>
      <c r="D3235" s="159" t="str">
        <f>IFERROR(__xludf.DUMMYFUNCTION("""COMPUTED_VALUE"""),"application/pdf")</f>
        <v>application/pdf</v>
      </c>
    </row>
    <row r="3236">
      <c r="A3236" s="339" t="str">
        <f>IFERROR(__xludf.DUMMYFUNCTION("""COMPUTED_VALUE"""),"10.1037/0022-3514.94.1.133")</f>
        <v>10.1037/0022-3514.94.1.133</v>
      </c>
      <c r="B3236" s="445" t="str">
        <f>IFERROR(__xludf.DUMMYFUNCTION("""COMPUTED_VALUE"""),"https://drive.google.com/file/d/1PVqGipSN12augdNc_SE5KUYf7kJ8pMxh/view?usp=drivesdk")</f>
        <v>https://drive.google.com/file/d/1PVqGipSN12augdNc_SE5KUYf7kJ8pMxh/view?usp=drivesdk</v>
      </c>
      <c r="C3236" s="339" t="str">
        <f>IFERROR(__xludf.DUMMYFUNCTION("""COMPUTED_VALUE"""),"10.1037--0022-3514.94.1.133.pdf")</f>
        <v>10.1037--0022-3514.94.1.133.pdf</v>
      </c>
      <c r="D3236" s="159" t="str">
        <f>IFERROR(__xludf.DUMMYFUNCTION("""COMPUTED_VALUE"""),"application/pdf")</f>
        <v>application/pdf</v>
      </c>
    </row>
    <row r="3237">
      <c r="A3237" s="339" t="str">
        <f>IFERROR(__xludf.DUMMYFUNCTION("""COMPUTED_VALUE"""),"10.1037/0022-3514.94.1.108")</f>
        <v>10.1037/0022-3514.94.1.108</v>
      </c>
      <c r="B3237" s="445" t="str">
        <f>IFERROR(__xludf.DUMMYFUNCTION("""COMPUTED_VALUE"""),"https://drive.google.com/file/d/16pozz0lmJju_YmH6O5UipsG8QfWJ1JK7/view?usp=drivesdk")</f>
        <v>https://drive.google.com/file/d/16pozz0lmJju_YmH6O5UipsG8QfWJ1JK7/view?usp=drivesdk</v>
      </c>
      <c r="C3237" s="339" t="str">
        <f>IFERROR(__xludf.DUMMYFUNCTION("""COMPUTED_VALUE"""),"10.1037--0022-3514.94.1.108.pdf")</f>
        <v>10.1037--0022-3514.94.1.108.pdf</v>
      </c>
      <c r="D3237" s="159" t="str">
        <f>IFERROR(__xludf.DUMMYFUNCTION("""COMPUTED_VALUE"""),"application/pdf")</f>
        <v>application/pdf</v>
      </c>
    </row>
    <row r="3238">
      <c r="A3238" s="339" t="str">
        <f>IFERROR(__xludf.DUMMYFUNCTION("""COMPUTED_VALUE"""),"10.1037/0022-3514.94.1.1")</f>
        <v>10.1037/0022-3514.94.1.1</v>
      </c>
      <c r="B3238" s="445" t="str">
        <f>IFERROR(__xludf.DUMMYFUNCTION("""COMPUTED_VALUE"""),"https://drive.google.com/file/d/1GCFNtGI_d_CgIPtrM02hpi0r-UNQaVqq/view?usp=drivesdk")</f>
        <v>https://drive.google.com/file/d/1GCFNtGI_d_CgIPtrM02hpi0r-UNQaVqq/view?usp=drivesdk</v>
      </c>
      <c r="C3238" s="339" t="str">
        <f>IFERROR(__xludf.DUMMYFUNCTION("""COMPUTED_VALUE"""),"10.1037--0022-3514.94.1.1.pdf")</f>
        <v>10.1037--0022-3514.94.1.1.pdf</v>
      </c>
      <c r="D3238" s="159" t="str">
        <f>IFERROR(__xludf.DUMMYFUNCTION("""COMPUTED_VALUE"""),"application/pdf")</f>
        <v>application/pdf</v>
      </c>
    </row>
    <row r="3239">
      <c r="A3239" s="339" t="str">
        <f>IFERROR(__xludf.DUMMYFUNCTION("""COMPUTED_VALUE"""),"10.1037/0022-3514.92.2.325.")</f>
        <v>10.1037/0022-3514.92.2.325.</v>
      </c>
      <c r="B3239" s="445" t="str">
        <f>IFERROR(__xludf.DUMMYFUNCTION("""COMPUTED_VALUE"""),"https://drive.google.com/file/d/15sRpGf5hZHB_mBs0FOiW6Zm0N2TupmUX/view?usp=drivesdk")</f>
        <v>https://drive.google.com/file/d/15sRpGf5hZHB_mBs0FOiW6Zm0N2TupmUX/view?usp=drivesdk</v>
      </c>
      <c r="C3239" s="339" t="str">
        <f>IFERROR(__xludf.DUMMYFUNCTION("""COMPUTED_VALUE"""),"10.1037--0022-3514.92.2.325..pdf")</f>
        <v>10.1037--0022-3514.92.2.325..pdf</v>
      </c>
      <c r="D3239" s="159" t="str">
        <f>IFERROR(__xludf.DUMMYFUNCTION("""COMPUTED_VALUE"""),"application/pdf")</f>
        <v>application/pdf</v>
      </c>
    </row>
    <row r="3240">
      <c r="A3240" s="339" t="str">
        <f>IFERROR(__xludf.DUMMYFUNCTION("""COMPUTED_VALUE"""),"10.1037/0022-3514.92.2.325")</f>
        <v>10.1037/0022-3514.92.2.325</v>
      </c>
      <c r="B3240" s="445" t="str">
        <f>IFERROR(__xludf.DUMMYFUNCTION("""COMPUTED_VALUE"""),"https://drive.google.com/file/d/1gBF1OSh84_PEaQuwMpzqMOVewrJw3LKJ/view?usp=drivesdk")</f>
        <v>https://drive.google.com/file/d/1gBF1OSh84_PEaQuwMpzqMOVewrJw3LKJ/view?usp=drivesdk</v>
      </c>
      <c r="C3240" s="339" t="str">
        <f>IFERROR(__xludf.DUMMYFUNCTION("""COMPUTED_VALUE"""),"10.1037--0022-3514.92.2.325.pdf")</f>
        <v>10.1037--0022-3514.92.2.325.pdf</v>
      </c>
      <c r="D3240" s="159" t="str">
        <f>IFERROR(__xludf.DUMMYFUNCTION("""COMPUTED_VALUE"""),"application/pdf")</f>
        <v>application/pdf</v>
      </c>
    </row>
    <row r="3241">
      <c r="A3241" s="339" t="str">
        <f>IFERROR(__xludf.DUMMYFUNCTION("""COMPUTED_VALUE"""),"10.1037/0022-3514.90.2.197")</f>
        <v>10.1037/0022-3514.90.2.197</v>
      </c>
      <c r="B3241" s="445" t="str">
        <f>IFERROR(__xludf.DUMMYFUNCTION("""COMPUTED_VALUE"""),"https://drive.google.com/file/d/1phqaJhapFhd9zISsdxBpoS9hsiQRiWsp/view?usp=drivesdk")</f>
        <v>https://drive.google.com/file/d/1phqaJhapFhd9zISsdxBpoS9hsiQRiWsp/view?usp=drivesdk</v>
      </c>
      <c r="C3241" s="339" t="str">
        <f>IFERROR(__xludf.DUMMYFUNCTION("""COMPUTED_VALUE"""),"10.1037--0022-3514.90.2.197.pdf")</f>
        <v>10.1037--0022-3514.90.2.197.pdf</v>
      </c>
      <c r="D3241" s="159" t="str">
        <f>IFERROR(__xludf.DUMMYFUNCTION("""COMPUTED_VALUE"""),"application/pdf")</f>
        <v>application/pdf</v>
      </c>
    </row>
    <row r="3242">
      <c r="A3242" s="339" t="str">
        <f>IFERROR(__xludf.DUMMYFUNCTION("""COMPUTED_VALUE"""),"10.1037/0022-3514.86.5.680")</f>
        <v>10.1037/0022-3514.86.5.680</v>
      </c>
      <c r="B3242" s="445" t="str">
        <f>IFERROR(__xludf.DUMMYFUNCTION("""COMPUTED_VALUE"""),"https://drive.google.com/file/d/1U3iYKdJmayaWRmdIBpM8EqJ5dcQwXvZG/view?usp=drivesdk")</f>
        <v>https://drive.google.com/file/d/1U3iYKdJmayaWRmdIBpM8EqJ5dcQwXvZG/view?usp=drivesdk</v>
      </c>
      <c r="C3242" s="339" t="str">
        <f>IFERROR(__xludf.DUMMYFUNCTION("""COMPUTED_VALUE"""),"10.1037--0022-3514.86.5.680.pdf")</f>
        <v>10.1037--0022-3514.86.5.680.pdf</v>
      </c>
      <c r="D3242" s="159" t="str">
        <f>IFERROR(__xludf.DUMMYFUNCTION("""COMPUTED_VALUE"""),"application/pdf")</f>
        <v>application/pdf</v>
      </c>
    </row>
    <row r="3243">
      <c r="A3243" s="339" t="str">
        <f>IFERROR(__xludf.DUMMYFUNCTION("""COMPUTED_VALUE"""),"10.1037/0022-3514.85.1.47")</f>
        <v>10.1037/0022-3514.85.1.47</v>
      </c>
      <c r="B3243" s="445" t="str">
        <f>IFERROR(__xludf.DUMMYFUNCTION("""COMPUTED_VALUE"""),"https://drive.google.com/file/d/1D49d4qgdPtpEFR4u5CPHZteLh9QKmMcv/view?usp=drivesdk")</f>
        <v>https://drive.google.com/file/d/1D49d4qgdPtpEFR4u5CPHZteLh9QKmMcv/view?usp=drivesdk</v>
      </c>
      <c r="C3243" s="339" t="str">
        <f>IFERROR(__xludf.DUMMYFUNCTION("""COMPUTED_VALUE"""),"10.1037--0022-3514.85.1.47.pdf")</f>
        <v>10.1037--0022-3514.85.1.47.pdf</v>
      </c>
      <c r="D3243" s="159" t="str">
        <f>IFERROR(__xludf.DUMMYFUNCTION("""COMPUTED_VALUE"""),"application/pdf")</f>
        <v>application/pdf</v>
      </c>
    </row>
    <row r="3244">
      <c r="A3244" s="339" t="str">
        <f>IFERROR(__xludf.DUMMYFUNCTION("""COMPUTED_VALUE"""),"10.1037/0022-3514.85.1.33")</f>
        <v>10.1037/0022-3514.85.1.33</v>
      </c>
      <c r="B3244" s="445" t="str">
        <f>IFERROR(__xludf.DUMMYFUNCTION("""COMPUTED_VALUE"""),"https://drive.google.com/file/d/1Q7xyjTHCXVBDAcscenEerggpt0mO62P6/view?usp=drivesdk")</f>
        <v>https://drive.google.com/file/d/1Q7xyjTHCXVBDAcscenEerggpt0mO62P6/view?usp=drivesdk</v>
      </c>
      <c r="C3244" s="339" t="str">
        <f>IFERROR(__xludf.DUMMYFUNCTION("""COMPUTED_VALUE"""),"10.1037--0022-3514.85.1.33.pdf")</f>
        <v>10.1037--0022-3514.85.1.33.pdf</v>
      </c>
      <c r="D3244" s="159" t="str">
        <f>IFERROR(__xludf.DUMMYFUNCTION("""COMPUTED_VALUE"""),"application/pdf")</f>
        <v>application/pdf</v>
      </c>
    </row>
    <row r="3245">
      <c r="A3245" s="339" t="str">
        <f>IFERROR(__xludf.DUMMYFUNCTION("""COMPUTED_VALUE"""),"10.1037/0022-3514.84.4.871")</f>
        <v>10.1037/0022-3514.84.4.871</v>
      </c>
      <c r="B3245" s="445" t="str">
        <f>IFERROR(__xludf.DUMMYFUNCTION("""COMPUTED_VALUE"""),"https://drive.google.com/file/d/1bdWCubONzotNyzQtyNAEPIstDQkJSEwL/view?usp=drivesdk")</f>
        <v>https://drive.google.com/file/d/1bdWCubONzotNyzQtyNAEPIstDQkJSEwL/view?usp=drivesdk</v>
      </c>
      <c r="C3245" s="339" t="str">
        <f>IFERROR(__xludf.DUMMYFUNCTION("""COMPUTED_VALUE"""),"10.1037--0022-3514.84.4.871.pdf")</f>
        <v>10.1037--0022-3514.84.4.871.pdf</v>
      </c>
      <c r="D3245" s="159" t="str">
        <f>IFERROR(__xludf.DUMMYFUNCTION("""COMPUTED_VALUE"""),"application/pdf")</f>
        <v>application/pdf</v>
      </c>
    </row>
    <row r="3246">
      <c r="A3246" s="339" t="str">
        <f>IFERROR(__xludf.DUMMYFUNCTION("""COMPUTED_VALUE"""),"10.1037/0022-3514.84.2.411")</f>
        <v>10.1037/0022-3514.84.2.411</v>
      </c>
      <c r="B3246" s="445" t="str">
        <f>IFERROR(__xludf.DUMMYFUNCTION("""COMPUTED_VALUE"""),"https://drive.google.com/file/d/1NUoPD3eW0MR4HJ1BQoG7-ngWy5-ADbSy/view?usp=drivesdk")</f>
        <v>https://drive.google.com/file/d/1NUoPD3eW0MR4HJ1BQoG7-ngWy5-ADbSy/view?usp=drivesdk</v>
      </c>
      <c r="C3246" s="339" t="str">
        <f>IFERROR(__xludf.DUMMYFUNCTION("""COMPUTED_VALUE"""),"10.1037--0022-3514.84.2.411.pdf")</f>
        <v>10.1037--0022-3514.84.2.411.pdf</v>
      </c>
      <c r="D3246" s="159" t="str">
        <f>IFERROR(__xludf.DUMMYFUNCTION("""COMPUTED_VALUE"""),"application/pdf")</f>
        <v>application/pdf</v>
      </c>
    </row>
    <row r="3247">
      <c r="A3247" s="339" t="str">
        <f>IFERROR(__xludf.DUMMYFUNCTION("""COMPUTED_VALUE"""),"10.1037/0022-3514.84.3.582")</f>
        <v>10.1037/0022-3514.84.3.582</v>
      </c>
      <c r="B3247" s="445" t="str">
        <f>IFERROR(__xludf.DUMMYFUNCTION("""COMPUTED_VALUE"""),"https://drive.google.com/file/d/1xuFoPe4NoIX58JM0wx-8_dEId51aZij5/view?usp=drivesdk")</f>
        <v>https://drive.google.com/file/d/1xuFoPe4NoIX58JM0wx-8_dEId51aZij5/view?usp=drivesdk</v>
      </c>
      <c r="C3247" s="339" t="str">
        <f>IFERROR(__xludf.DUMMYFUNCTION("""COMPUTED_VALUE"""),"10.1037--0022-3514.84.3.582.pdf")</f>
        <v>10.1037--0022-3514.84.3.582.pdf</v>
      </c>
      <c r="D3247" s="159" t="str">
        <f>IFERROR(__xludf.DUMMYFUNCTION("""COMPUTED_VALUE"""),"application/pdf")</f>
        <v>application/pdf</v>
      </c>
    </row>
    <row r="3248">
      <c r="A3248" s="339" t="str">
        <f>IFERROR(__xludf.DUMMYFUNCTION("""COMPUTED_VALUE"""),"10.1037/0022-3514.83.5.1165")</f>
        <v>10.1037/0022-3514.83.5.1165</v>
      </c>
      <c r="B3248" s="445" t="str">
        <f>IFERROR(__xludf.DUMMYFUNCTION("""COMPUTED_VALUE"""),"https://drive.google.com/file/d/1-T4sznIFSDMlo5E8C7pS0UQqY9mrcCsK/view?usp=drivesdk")</f>
        <v>https://drive.google.com/file/d/1-T4sznIFSDMlo5E8C7pS0UQqY9mrcCsK/view?usp=drivesdk</v>
      </c>
      <c r="C3248" s="339" t="str">
        <f>IFERROR(__xludf.DUMMYFUNCTION("""COMPUTED_VALUE"""),"10.1037--0022-3514.83.5.1165.pdf")</f>
        <v>10.1037--0022-3514.83.5.1165.pdf</v>
      </c>
      <c r="D3248" s="159" t="str">
        <f>IFERROR(__xludf.DUMMYFUNCTION("""COMPUTED_VALUE"""),"application/pdf")</f>
        <v>application/pdf</v>
      </c>
    </row>
    <row r="3249">
      <c r="A3249" s="339" t="str">
        <f>IFERROR(__xludf.DUMMYFUNCTION("""COMPUTED_VALUE"""),"10.1037/0022-3514.83.5.1239")</f>
        <v>10.1037/0022-3514.83.5.1239</v>
      </c>
      <c r="B3249" s="445" t="str">
        <f>IFERROR(__xludf.DUMMYFUNCTION("""COMPUTED_VALUE"""),"https://drive.google.com/file/d/1bUFd8EhwJ36bo-2xBlOdIPnQvw_apZ06/view?usp=drivesdk")</f>
        <v>https://drive.google.com/file/d/1bUFd8EhwJ36bo-2xBlOdIPnQvw_apZ06/view?usp=drivesdk</v>
      </c>
      <c r="C3249" s="339" t="str">
        <f>IFERROR(__xludf.DUMMYFUNCTION("""COMPUTED_VALUE"""),"10.1037--0022-3514.83.5.1239.pdf")</f>
        <v>10.1037--0022-3514.83.5.1239.pdf</v>
      </c>
      <c r="D3249" s="159" t="str">
        <f>IFERROR(__xludf.DUMMYFUNCTION("""COMPUTED_VALUE"""),"application/pdf")</f>
        <v>application/pdf</v>
      </c>
    </row>
    <row r="3250">
      <c r="A3250" s="339" t="str">
        <f>IFERROR(__xludf.DUMMYFUNCTION("""COMPUTED_VALUE"""),"10.1037/0022-3514.83.1.44")</f>
        <v>10.1037/0022-3514.83.1.44</v>
      </c>
      <c r="B3250" s="445" t="str">
        <f>IFERROR(__xludf.DUMMYFUNCTION("""COMPUTED_VALUE"""),"https://drive.google.com/file/d/1fhnK_MpUTUYrtfdIB-pGhbkxyiXV1Wjs/view?usp=drivesdk")</f>
        <v>https://drive.google.com/file/d/1fhnK_MpUTUYrtfdIB-pGhbkxyiXV1Wjs/view?usp=drivesdk</v>
      </c>
      <c r="C3250" s="339" t="str">
        <f>IFERROR(__xludf.DUMMYFUNCTION("""COMPUTED_VALUE"""),"10.1037--0022-3514.83.1.44.pdf")</f>
        <v>10.1037--0022-3514.83.1.44.pdf</v>
      </c>
      <c r="D3250" s="159" t="str">
        <f>IFERROR(__xludf.DUMMYFUNCTION("""COMPUTED_VALUE"""),"application/pdf")</f>
        <v>application/pdf</v>
      </c>
    </row>
    <row r="3251">
      <c r="A3251" s="339" t="str">
        <f>IFERROR(__xludf.DUMMYFUNCTION("""COMPUTED_VALUE"""),"10.1037/0022-3514.82.6.956")</f>
        <v>10.1037/0022-3514.82.6.956</v>
      </c>
      <c r="B3251" s="445" t="str">
        <f>IFERROR(__xludf.DUMMYFUNCTION("""COMPUTED_VALUE"""),"https://drive.google.com/file/d/1lgP6sNtXAaekI_R1yb941Bj3yTw4imeR/view?usp=drivesdk")</f>
        <v>https://drive.google.com/file/d/1lgP6sNtXAaekI_R1yb941Bj3yTw4imeR/view?usp=drivesdk</v>
      </c>
      <c r="C3251" s="339" t="str">
        <f>IFERROR(__xludf.DUMMYFUNCTION("""COMPUTED_VALUE"""),"10.1037--0022-3514.82.6.956.pdf")</f>
        <v>10.1037--0022-3514.82.6.956.pdf</v>
      </c>
      <c r="D3251" s="159" t="str">
        <f>IFERROR(__xludf.DUMMYFUNCTION("""COMPUTED_VALUE"""),"application/pdf")</f>
        <v>application/pdf</v>
      </c>
    </row>
    <row r="3252">
      <c r="A3252" s="339" t="str">
        <f>IFERROR(__xludf.DUMMYFUNCTION("""COMPUTED_VALUE"""),"10.1037/0022-3514.82.5.792")</f>
        <v>10.1037/0022-3514.82.5.792</v>
      </c>
      <c r="B3252" s="445" t="str">
        <f>IFERROR(__xludf.DUMMYFUNCTION("""COMPUTED_VALUE"""),"https://drive.google.com/file/d/1yhJ17uggr6j5uXr73Jms5KP35M6RDUxL/view?usp=drivesdk")</f>
        <v>https://drive.google.com/file/d/1yhJ17uggr6j5uXr73Jms5KP35M6RDUxL/view?usp=drivesdk</v>
      </c>
      <c r="C3252" s="339" t="str">
        <f>IFERROR(__xludf.DUMMYFUNCTION("""COMPUTED_VALUE"""),"10.1037--0022-3514.82.5.792.pdf")</f>
        <v>10.1037--0022-3514.82.5.792.pdf</v>
      </c>
      <c r="D3252" s="159" t="str">
        <f>IFERROR(__xludf.DUMMYFUNCTION("""COMPUTED_VALUE"""),"application/pdf")</f>
        <v>application/pdf</v>
      </c>
    </row>
    <row r="3253">
      <c r="A3253" s="339" t="str">
        <f>IFERROR(__xludf.DUMMYFUNCTION("""COMPUTED_VALUE"""),"10.1037/0022-3514.82.1.112")</f>
        <v>10.1037/0022-3514.82.1.112</v>
      </c>
      <c r="B3253" s="445" t="str">
        <f>IFERROR(__xludf.DUMMYFUNCTION("""COMPUTED_VALUE"""),"https://drive.google.com/file/d/1KF3EmUMvFgpP_JffHNBHYjTtKalpvzRE/view?usp=drivesdk")</f>
        <v>https://drive.google.com/file/d/1KF3EmUMvFgpP_JffHNBHYjTtKalpvzRE/view?usp=drivesdk</v>
      </c>
      <c r="C3253" s="339" t="str">
        <f>IFERROR(__xludf.DUMMYFUNCTION("""COMPUTED_VALUE"""),"10.1037--0022-3514.82.1.112.pdf")</f>
        <v>10.1037--0022-3514.82.1.112.pdf</v>
      </c>
      <c r="D3253" s="159" t="str">
        <f>IFERROR(__xludf.DUMMYFUNCTION("""COMPUTED_VALUE"""),"application/pdf")</f>
        <v>application/pdf</v>
      </c>
    </row>
    <row r="3254">
      <c r="A3254" s="339" t="str">
        <f>IFERROR(__xludf.DUMMYFUNCTION("""COMPUTED_VALUE"""),"10.1037/0022-3514.81.6.1014")</f>
        <v>10.1037/0022-3514.81.6.1014</v>
      </c>
      <c r="B3254" s="445" t="str">
        <f>IFERROR(__xludf.DUMMYFUNCTION("""COMPUTED_VALUE"""),"https://drive.google.com/file/d/1UCGp2b9xQT5HVAnF4dD7JeFMbGrhzpex/view?usp=drivesdk")</f>
        <v>https://drive.google.com/file/d/1UCGp2b9xQT5HVAnF4dD7JeFMbGrhzpex/view?usp=drivesdk</v>
      </c>
      <c r="C3254" s="339" t="str">
        <f>IFERROR(__xludf.DUMMYFUNCTION("""COMPUTED_VALUE"""),"10.1037--0022-3514.81.6.1014.pdf")</f>
        <v>10.1037--0022-3514.81.6.1014.pdf</v>
      </c>
      <c r="D3254" s="159" t="str">
        <f>IFERROR(__xludf.DUMMYFUNCTION("""COMPUTED_VALUE"""),"application/pdf")</f>
        <v>application/pdf</v>
      </c>
    </row>
    <row r="3255">
      <c r="A3255" s="339" t="str">
        <f>IFERROR(__xludf.DUMMYFUNCTION("""COMPUTED_VALUE"""),"10.1037/0022-3514.81.1.116")</f>
        <v>10.1037/0022-3514.81.1.116</v>
      </c>
      <c r="B3255" s="445" t="str">
        <f>IFERROR(__xludf.DUMMYFUNCTION("""COMPUTED_VALUE"""),"https://drive.google.com/file/d/1_T47980LRcVvkPpcoUhfImG7kOlwUqEM/view?usp=drivesdk")</f>
        <v>https://drive.google.com/file/d/1_T47980LRcVvkPpcoUhfImG7kOlwUqEM/view?usp=drivesdk</v>
      </c>
      <c r="C3255" s="339" t="str">
        <f>IFERROR(__xludf.DUMMYFUNCTION("""COMPUTED_VALUE"""),"10.1037--0022-3514.81.1.116.pdf")</f>
        <v>10.1037--0022-3514.81.1.116.pdf</v>
      </c>
      <c r="D3255" s="159" t="str">
        <f>IFERROR(__xludf.DUMMYFUNCTION("""COMPUTED_VALUE"""),"application/pdf")</f>
        <v>application/pdf</v>
      </c>
    </row>
    <row r="3256">
      <c r="A3256" s="339" t="str">
        <f>IFERROR(__xludf.DUMMYFUNCTION("""COMPUTED_VALUE"""),"10.1037/0022-3514.80.6.995")</f>
        <v>10.1037/0022-3514.80.6.995</v>
      </c>
      <c r="B3256" s="445" t="str">
        <f>IFERROR(__xludf.DUMMYFUNCTION("""COMPUTED_VALUE"""),"https://drive.google.com/file/d/1-pDt7XIQ8gHle_zOW9q4-7M5_5yCo3db/view?usp=drivesdk")</f>
        <v>https://drive.google.com/file/d/1-pDt7XIQ8gHle_zOW9q4-7M5_5yCo3db/view?usp=drivesdk</v>
      </c>
      <c r="C3256" s="339" t="str">
        <f>IFERROR(__xludf.DUMMYFUNCTION("""COMPUTED_VALUE"""),"10.1037--0022-3514.80.6.995.pdf")</f>
        <v>10.1037--0022-3514.80.6.995.pdf</v>
      </c>
      <c r="D3256" s="159" t="str">
        <f>IFERROR(__xludf.DUMMYFUNCTION("""COMPUTED_VALUE"""),"application/pdf")</f>
        <v>application/pdf</v>
      </c>
    </row>
    <row r="3257">
      <c r="A3257" s="339" t="str">
        <f>IFERROR(__xludf.DUMMYFUNCTION("""COMPUTED_VALUE"""),"10.1037/0022-3514.80.6.861")</f>
        <v>10.1037/0022-3514.80.6.861</v>
      </c>
      <c r="B3257" s="445" t="str">
        <f>IFERROR(__xludf.DUMMYFUNCTION("""COMPUTED_VALUE"""),"https://drive.google.com/file/d/14sXJIUd6d9cI9KiIQjSDYIstLw99rX6Z/view?usp=drivesdk")</f>
        <v>https://drive.google.com/file/d/14sXJIUd6d9cI9KiIQjSDYIstLw99rX6Z/view?usp=drivesdk</v>
      </c>
      <c r="C3257" s="339" t="str">
        <f>IFERROR(__xludf.DUMMYFUNCTION("""COMPUTED_VALUE"""),"10.1037--0022-3514.80.6.861.pdf")</f>
        <v>10.1037--0022-3514.80.6.861.pdf</v>
      </c>
      <c r="D3257" s="159" t="str">
        <f>IFERROR(__xludf.DUMMYFUNCTION("""COMPUTED_VALUE"""),"application/pdf")</f>
        <v>application/pdf</v>
      </c>
    </row>
    <row r="3258">
      <c r="A3258" s="339" t="str">
        <f>IFERROR(__xludf.DUMMYFUNCTION("""COMPUTED_VALUE"""),"10.1037/0022-3514.77.2.221")</f>
        <v>10.1037/0022-3514.77.2.221</v>
      </c>
      <c r="B3258" s="445" t="str">
        <f>IFERROR(__xludf.DUMMYFUNCTION("""COMPUTED_VALUE"""),"https://drive.google.com/file/d/12oauQ37y0mcMDFqJ7bqVhBYq58KEsGVx/view?usp=drivesdk")</f>
        <v>https://drive.google.com/file/d/12oauQ37y0mcMDFqJ7bqVhBYq58KEsGVx/view?usp=drivesdk</v>
      </c>
      <c r="C3258" s="339" t="str">
        <f>IFERROR(__xludf.DUMMYFUNCTION("""COMPUTED_VALUE"""),"10.1037--0022-3514.77.2.221.pdf")</f>
        <v>10.1037--0022-3514.77.2.221.pdf</v>
      </c>
      <c r="D3258" s="159" t="str">
        <f>IFERROR(__xludf.DUMMYFUNCTION("""COMPUTED_VALUE"""),"application/pdf")</f>
        <v>application/pdf</v>
      </c>
    </row>
    <row r="3259">
      <c r="A3259" s="339" t="str">
        <f>IFERROR(__xludf.DUMMYFUNCTION("""COMPUTED_VALUE"""),"10.1037/0022-3514.74.4.865")</f>
        <v>10.1037/0022-3514.74.4.865</v>
      </c>
      <c r="B3259" s="445" t="str">
        <f>IFERROR(__xludf.DUMMYFUNCTION("""COMPUTED_VALUE"""),"https://drive.google.com/file/d/1MyvsQotXbWyaILWmhISzDQWsI0r_I8bs/view?usp=drivesdk")</f>
        <v>https://drive.google.com/file/d/1MyvsQotXbWyaILWmhISzDQWsI0r_I8bs/view?usp=drivesdk</v>
      </c>
      <c r="C3259" s="339" t="str">
        <f>IFERROR(__xludf.DUMMYFUNCTION("""COMPUTED_VALUE"""),"10.1037--0022-3514.74.4.865.pdf")</f>
        <v>10.1037--0022-3514.74.4.865.pdf</v>
      </c>
      <c r="D3259" s="159" t="str">
        <f>IFERROR(__xludf.DUMMYFUNCTION("""COMPUTED_VALUE"""),"application/pdf")</f>
        <v>application/pdf</v>
      </c>
    </row>
    <row r="3260">
      <c r="A3260" s="339" t="str">
        <f>IFERROR(__xludf.DUMMYFUNCTION("""COMPUTED_VALUE"""),"10.1037/0022-3514.74.1.53")</f>
        <v>10.1037/0022-3514.74.1.53</v>
      </c>
      <c r="B3260" s="445" t="str">
        <f>IFERROR(__xludf.DUMMYFUNCTION("""COMPUTED_VALUE"""),"https://drive.google.com/file/d/13sjd1O1OzYrSOURmApaPxDr_dnNuQRdk/view?usp=drivesdk")</f>
        <v>https://drive.google.com/file/d/13sjd1O1OzYrSOURmApaPxDr_dnNuQRdk/view?usp=drivesdk</v>
      </c>
      <c r="C3260" s="339" t="str">
        <f>IFERROR(__xludf.DUMMYFUNCTION("""COMPUTED_VALUE"""),"10.1037--0022-3514.74.1.53.pdf")</f>
        <v>10.1037--0022-3514.74.1.53.pdf</v>
      </c>
      <c r="D3260" s="159" t="str">
        <f>IFERROR(__xludf.DUMMYFUNCTION("""COMPUTED_VALUE"""),"application/pdf")</f>
        <v>application/pdf</v>
      </c>
    </row>
    <row r="3261">
      <c r="A3261" s="339" t="str">
        <f>IFERROR(__xludf.DUMMYFUNCTION("""COMPUTED_VALUE"""),"10.1037/0022-3514.74.3.774")</f>
        <v>10.1037/0022-3514.74.3.774</v>
      </c>
      <c r="B3261" s="445" t="str">
        <f>IFERROR(__xludf.DUMMYFUNCTION("""COMPUTED_VALUE"""),"https://drive.google.com/file/d/1jvY3Sgds8iuvtsLXHlpUqcaSBliH2tJV/view?usp=drivesdk")</f>
        <v>https://drive.google.com/file/d/1jvY3Sgds8iuvtsLXHlpUqcaSBliH2tJV/view?usp=drivesdk</v>
      </c>
      <c r="C3261" s="339" t="str">
        <f>IFERROR(__xludf.DUMMYFUNCTION("""COMPUTED_VALUE"""),"10.1037--0022-3514.74.3.774.pdf")</f>
        <v>10.1037--0022-3514.74.3.774.pdf</v>
      </c>
      <c r="D3261" s="159" t="str">
        <f>IFERROR(__xludf.DUMMYFUNCTION("""COMPUTED_VALUE"""),"application/pdf")</f>
        <v>application/pdf</v>
      </c>
    </row>
    <row r="3262">
      <c r="A3262" s="339" t="str">
        <f>IFERROR(__xludf.DUMMYFUNCTION("""COMPUTED_VALUE"""),"10.1037/0022-3514.73.4.733")</f>
        <v>10.1037/0022-3514.73.4.733</v>
      </c>
      <c r="B3262" s="445" t="str">
        <f>IFERROR(__xludf.DUMMYFUNCTION("""COMPUTED_VALUE"""),"https://drive.google.com/file/d/1FklynAHzflh7rbxQIU4qTxOz3VBhye8B/view?usp=drivesdk")</f>
        <v>https://drive.google.com/file/d/1FklynAHzflh7rbxQIU4qTxOz3VBhye8B/view?usp=drivesdk</v>
      </c>
      <c r="C3262" s="339" t="str">
        <f>IFERROR(__xludf.DUMMYFUNCTION("""COMPUTED_VALUE"""),"10.1037--0022-3514.73.4.733.pdf")</f>
        <v>10.1037--0022-3514.73.4.733.pdf</v>
      </c>
      <c r="D3262" s="159" t="str">
        <f>IFERROR(__xludf.DUMMYFUNCTION("""COMPUTED_VALUE"""),"application/pdf")</f>
        <v>application/pdf</v>
      </c>
    </row>
    <row r="3263">
      <c r="A3263" s="339" t="str">
        <f>IFERROR(__xludf.DUMMYFUNCTION("""COMPUTED_VALUE"""),"10.1037/0022-3514.71.2.230")</f>
        <v>10.1037/0022-3514.71.2.230</v>
      </c>
      <c r="B3263" s="445" t="str">
        <f>IFERROR(__xludf.DUMMYFUNCTION("""COMPUTED_VALUE"""),"https://drive.google.com/file/d/1k_ITkShMoY3bps8YyiRV8_CnbYN3486s/view?usp=drivesdk")</f>
        <v>https://drive.google.com/file/d/1k_ITkShMoY3bps8YyiRV8_CnbYN3486s/view?usp=drivesdk</v>
      </c>
      <c r="C3263" s="339" t="str">
        <f>IFERROR(__xludf.DUMMYFUNCTION("""COMPUTED_VALUE"""),"10.1037--0022-3514.71.2.230.pdf")</f>
        <v>10.1037--0022-3514.71.2.230.pdf</v>
      </c>
      <c r="D3263" s="159" t="str">
        <f>IFERROR(__xludf.DUMMYFUNCTION("""COMPUTED_VALUE"""),"application/pdf")</f>
        <v>application/pdf</v>
      </c>
    </row>
    <row r="3264">
      <c r="A3264" s="339" t="str">
        <f>IFERROR(__xludf.DUMMYFUNCTION("""COMPUTED_VALUE"""),"10.1037/0022-3514.68.5.793")</f>
        <v>10.1037/0022-3514.68.5.793</v>
      </c>
      <c r="B3264" s="445" t="str">
        <f>IFERROR(__xludf.DUMMYFUNCTION("""COMPUTED_VALUE"""),"https://drive.google.com/file/d/1D8BYqxNpLQsaWrEi9zrvQojkOgzP4Ps2/view?usp=drivesdk")</f>
        <v>https://drive.google.com/file/d/1D8BYqxNpLQsaWrEi9zrvQojkOgzP4Ps2/view?usp=drivesdk</v>
      </c>
      <c r="C3264" s="339" t="str">
        <f>IFERROR(__xludf.DUMMYFUNCTION("""COMPUTED_VALUE"""),"10.1037--0022-3514.68.5.793.pdf")</f>
        <v>10.1037--0022-3514.68.5.793.pdf</v>
      </c>
      <c r="D3264" s="159" t="str">
        <f>IFERROR(__xludf.DUMMYFUNCTION("""COMPUTED_VALUE"""),"application/pdf")</f>
        <v>application/pdf</v>
      </c>
    </row>
    <row r="3265">
      <c r="A3265" s="339" t="str">
        <f>IFERROR(__xludf.DUMMYFUNCTION("""COMPUTED_VALUE"""),"10.1037/0022-3514.67.4.627")</f>
        <v>10.1037/0022-3514.67.4.627</v>
      </c>
      <c r="B3265" s="445" t="str">
        <f>IFERROR(__xludf.DUMMYFUNCTION("""COMPUTED_VALUE"""),"https://drive.google.com/file/d/1Gz8Y3sXt39nYqKigFe7GDA_0vlPzT9eo/view?usp=drivesdk")</f>
        <v>https://drive.google.com/file/d/1Gz8Y3sXt39nYqKigFe7GDA_0vlPzT9eo/view?usp=drivesdk</v>
      </c>
      <c r="C3265" s="339" t="str">
        <f>IFERROR(__xludf.DUMMYFUNCTION("""COMPUTED_VALUE"""),"10.1037--0022-3514.67.4.627.pdf")</f>
        <v>10.1037--0022-3514.67.4.627.pdf</v>
      </c>
      <c r="D3265" s="159" t="str">
        <f>IFERROR(__xludf.DUMMYFUNCTION("""COMPUTED_VALUE"""),"application/pdf")</f>
        <v>application/pdf</v>
      </c>
    </row>
    <row r="3266">
      <c r="A3266" s="339" t="str">
        <f>IFERROR(__xludf.DUMMYFUNCTION("""COMPUTED_VALUE"""),"10.1037/0022-3514.67.3.357")</f>
        <v>10.1037/0022-3514.67.3.357</v>
      </c>
      <c r="B3266" s="445" t="str">
        <f>IFERROR(__xludf.DUMMYFUNCTION("""COMPUTED_VALUE"""),"https://drive.google.com/file/d/1OZLlA7rWPjzQ0aOsWuoK0fm_EoxUug0J/view?usp=drivesdk")</f>
        <v>https://drive.google.com/file/d/1OZLlA7rWPjzQ0aOsWuoK0fm_EoxUug0J/view?usp=drivesdk</v>
      </c>
      <c r="C3266" s="339" t="str">
        <f>IFERROR(__xludf.DUMMYFUNCTION("""COMPUTED_VALUE"""),"10.1037--0022-3514.67.3.357.pdf")</f>
        <v>10.1037--0022-3514.67.3.357.pdf</v>
      </c>
      <c r="D3266" s="159" t="str">
        <f>IFERROR(__xludf.DUMMYFUNCTION("""COMPUTED_VALUE"""),"application/pdf")</f>
        <v>application/pdf</v>
      </c>
    </row>
    <row r="3267">
      <c r="A3267" s="339" t="str">
        <f>IFERROR(__xludf.DUMMYFUNCTION("""COMPUTED_VALUE"""),"10.1037/0022-3514.63.6.989")</f>
        <v>10.1037/0022-3514.63.6.989</v>
      </c>
      <c r="B3267" s="445" t="str">
        <f>IFERROR(__xludf.DUMMYFUNCTION("""COMPUTED_VALUE"""),"https://drive.google.com/file/d/1gqSNC7SSmFXr_f_6y6GPvT5XVE36ywaR/view?usp=drivesdk")</f>
        <v>https://drive.google.com/file/d/1gqSNC7SSmFXr_f_6y6GPvT5XVE36ywaR/view?usp=drivesdk</v>
      </c>
      <c r="C3267" s="339" t="str">
        <f>IFERROR(__xludf.DUMMYFUNCTION("""COMPUTED_VALUE"""),"10.1037--0022-3514.63.6.989.pdf")</f>
        <v>10.1037--0022-3514.63.6.989.pdf</v>
      </c>
      <c r="D3267" s="159" t="str">
        <f>IFERROR(__xludf.DUMMYFUNCTION("""COMPUTED_VALUE"""),"application/pdf")</f>
        <v>application/pdf</v>
      </c>
    </row>
    <row r="3268">
      <c r="A3268" s="339" t="str">
        <f>IFERROR(__xludf.DUMMYFUNCTION("""COMPUTED_VALUE"""),"10.1037/0022-3514.62.2.229")</f>
        <v>10.1037/0022-3514.62.2.229</v>
      </c>
      <c r="B3268" s="445" t="str">
        <f>IFERROR(__xludf.DUMMYFUNCTION("""COMPUTED_VALUE"""),"https://drive.google.com/file/d/1Qb4Psh8SW__HsspPDPz8L_LN-PJY1dF6/view?usp=drivesdk")</f>
        <v>https://drive.google.com/file/d/1Qb4Psh8SW__HsspPDPz8L_LN-PJY1dF6/view?usp=drivesdk</v>
      </c>
      <c r="C3268" s="339" t="str">
        <f>IFERROR(__xludf.DUMMYFUNCTION("""COMPUTED_VALUE"""),"10.1037--0022-3514.62.2.229.pdf")</f>
        <v>10.1037--0022-3514.62.2.229.pdf</v>
      </c>
      <c r="D3268" s="159" t="str">
        <f>IFERROR(__xludf.DUMMYFUNCTION("""COMPUTED_VALUE"""),"application/pdf")</f>
        <v>application/pdf</v>
      </c>
    </row>
    <row r="3269">
      <c r="A3269" s="339" t="str">
        <f>IFERROR(__xludf.DUMMYFUNCTION("""COMPUTED_VALUE"""),"10.1037/0022-3514.54.4.569")</f>
        <v>10.1037/0022-3514.54.4.569</v>
      </c>
      <c r="B3269" s="445" t="str">
        <f>IFERROR(__xludf.DUMMYFUNCTION("""COMPUTED_VALUE"""),"https://drive.google.com/file/d/10AhKxkQ_dxZHOYRrPgNEOVokMpRacTqj/view?usp=drivesdk")</f>
        <v>https://drive.google.com/file/d/10AhKxkQ_dxZHOYRrPgNEOVokMpRacTqj/view?usp=drivesdk</v>
      </c>
      <c r="C3269" s="339" t="str">
        <f>IFERROR(__xludf.DUMMYFUNCTION("""COMPUTED_VALUE"""),"10.1037--0022-3514.54.4.569.pdf")</f>
        <v>10.1037--0022-3514.54.4.569.pdf</v>
      </c>
      <c r="D3269" s="159" t="str">
        <f>IFERROR(__xludf.DUMMYFUNCTION("""COMPUTED_VALUE"""),"application/pdf")</f>
        <v>application/pdf</v>
      </c>
    </row>
    <row r="3270">
      <c r="A3270" s="339" t="str">
        <f>IFERROR(__xludf.DUMMYFUNCTION("""COMPUTED_VALUE"""),"10.1037/0022-3514.49.6.1621")</f>
        <v>10.1037/0022-3514.49.6.1621</v>
      </c>
      <c r="B3270" s="445" t="str">
        <f>IFERROR(__xludf.DUMMYFUNCTION("""COMPUTED_VALUE"""),"https://drive.google.com/file/d/1tLBPGqjmg-IWU2ByA0kjcl4d_-dSFQRP/view?usp=drivesdk")</f>
        <v>https://drive.google.com/file/d/1tLBPGqjmg-IWU2ByA0kjcl4d_-dSFQRP/view?usp=drivesdk</v>
      </c>
      <c r="C3270" s="339" t="str">
        <f>IFERROR(__xludf.DUMMYFUNCTION("""COMPUTED_VALUE"""),"10.1037--0022-3514.49.6.1621.pdf")</f>
        <v>10.1037--0022-3514.49.6.1621.pdf</v>
      </c>
      <c r="D3270" s="159" t="str">
        <f>IFERROR(__xludf.DUMMYFUNCTION("""COMPUTED_VALUE"""),"application/pdf")</f>
        <v>application/pdf</v>
      </c>
    </row>
    <row r="3271">
      <c r="A3271" s="339" t="str">
        <f>IFERROR(__xludf.DUMMYFUNCTION("""COMPUTED_VALUE"""),"10.1037/0022-3514.50.3.502")</f>
        <v>10.1037/0022-3514.50.3.502</v>
      </c>
      <c r="B3271" s="445" t="str">
        <f>IFERROR(__xludf.DUMMYFUNCTION("""COMPUTED_VALUE"""),"https://drive.google.com/file/d/1ylm1-TrpeefNpirZWLXBaHDELNhcAqK1/view?usp=drivesdk")</f>
        <v>https://drive.google.com/file/d/1ylm1-TrpeefNpirZWLXBaHDELNhcAqK1/view?usp=drivesdk</v>
      </c>
      <c r="C3271" s="339" t="str">
        <f>IFERROR(__xludf.DUMMYFUNCTION("""COMPUTED_VALUE"""),"10.1037--0022-3514.50.3.502.pdf")</f>
        <v>10.1037--0022-3514.50.3.502.pdf</v>
      </c>
      <c r="D3271" s="159" t="str">
        <f>IFERROR(__xludf.DUMMYFUNCTION("""COMPUTED_VALUE"""),"application/pdf")</f>
        <v>application/pdf</v>
      </c>
    </row>
    <row r="3272">
      <c r="A3272" s="339" t="str">
        <f>IFERROR(__xludf.DUMMYFUNCTION("""COMPUTED_VALUE"""),"10.1037/0022-3514.45.4.805")</f>
        <v>10.1037/0022-3514.45.4.805</v>
      </c>
      <c r="B3272" s="445" t="str">
        <f>IFERROR(__xludf.DUMMYFUNCTION("""COMPUTED_VALUE"""),"https://drive.google.com/file/d/1VbP_Ewf88OEuvCt9ZwvGSNNhhGDSj19O/view?usp=drivesdk")</f>
        <v>https://drive.google.com/file/d/1VbP_Ewf88OEuvCt9ZwvGSNNhhGDSj19O/view?usp=drivesdk</v>
      </c>
      <c r="C3272" s="339" t="str">
        <f>IFERROR(__xludf.DUMMYFUNCTION("""COMPUTED_VALUE"""),"10.1037--0022-3514.45.4.805.pdf")</f>
        <v>10.1037--0022-3514.45.4.805.pdf</v>
      </c>
      <c r="D3272" s="159" t="str">
        <f>IFERROR(__xludf.DUMMYFUNCTION("""COMPUTED_VALUE"""),"application/pdf")</f>
        <v>application/pdf</v>
      </c>
    </row>
    <row r="3273">
      <c r="A3273" s="339" t="str">
        <f>IFERROR(__xludf.DUMMYFUNCTION("""COMPUTED_VALUE"""),"10.1037/0022-3514.45.4.782")</f>
        <v>10.1037/0022-3514.45.4.782</v>
      </c>
      <c r="B3273" s="445" t="str">
        <f>IFERROR(__xludf.DUMMYFUNCTION("""COMPUTED_VALUE"""),"https://drive.google.com/file/d/1mjYJdtrFbuNUuiClqSMdmti90aj-6cbK/view?usp=drivesdk")</f>
        <v>https://drive.google.com/file/d/1mjYJdtrFbuNUuiClqSMdmti90aj-6cbK/view?usp=drivesdk</v>
      </c>
      <c r="C3273" s="339" t="str">
        <f>IFERROR(__xludf.DUMMYFUNCTION("""COMPUTED_VALUE"""),"10.1037--0022-3514.45.4.782.pdf")</f>
        <v>10.1037--0022-3514.45.4.782.pdf</v>
      </c>
      <c r="D3273" s="159" t="str">
        <f>IFERROR(__xludf.DUMMYFUNCTION("""COMPUTED_VALUE"""),"application/pdf")</f>
        <v>application/pdf</v>
      </c>
    </row>
    <row r="3274">
      <c r="A3274" s="339" t="str">
        <f>IFERROR(__xludf.DUMMYFUNCTION("""COMPUTED_VALUE"""),"10.1037/0022-3514.37.10.1660")</f>
        <v>10.1037/0022-3514.37.10.1660</v>
      </c>
      <c r="B3274" s="445" t="str">
        <f>IFERROR(__xludf.DUMMYFUNCTION("""COMPUTED_VALUE"""),"https://drive.google.com/file/d/15zJCvari-TFQv9pzANnsu-4EYcYNYVrW/view?usp=drivesdk")</f>
        <v>https://drive.google.com/file/d/15zJCvari-TFQv9pzANnsu-4EYcYNYVrW/view?usp=drivesdk</v>
      </c>
      <c r="C3274" s="339" t="str">
        <f>IFERROR(__xludf.DUMMYFUNCTION("""COMPUTED_VALUE"""),"10.1037--0022-3514.37.10.1660.pdf")</f>
        <v>10.1037--0022-3514.37.10.1660.pdf</v>
      </c>
      <c r="D3274" s="159" t="str">
        <f>IFERROR(__xludf.DUMMYFUNCTION("""COMPUTED_VALUE"""),"application/pdf")</f>
        <v>application/pdf</v>
      </c>
    </row>
    <row r="3275">
      <c r="A3275" s="339" t="str">
        <f>IFERROR(__xludf.DUMMYFUNCTION("""COMPUTED_VALUE"""),"10.1037/0022-0167.40.4.518")</f>
        <v>10.1037/0022-0167.40.4.518</v>
      </c>
      <c r="B3275" s="445" t="str">
        <f>IFERROR(__xludf.DUMMYFUNCTION("""COMPUTED_VALUE"""),"https://drive.google.com/file/d/1aykdUrdNDQMd7IVvqNy3V_z8BwKq0YuV/view?usp=drivesdk")</f>
        <v>https://drive.google.com/file/d/1aykdUrdNDQMd7IVvqNy3V_z8BwKq0YuV/view?usp=drivesdk</v>
      </c>
      <c r="C3275" s="339" t="str">
        <f>IFERROR(__xludf.DUMMYFUNCTION("""COMPUTED_VALUE"""),"10.1037--0022-0167.40.4.518.pdf")</f>
        <v>10.1037--0022-0167.40.4.518.pdf</v>
      </c>
      <c r="D3275" s="159" t="str">
        <f>IFERROR(__xludf.DUMMYFUNCTION("""COMPUTED_VALUE"""),"application/pdf")</f>
        <v>application/pdf</v>
      </c>
    </row>
    <row r="3276">
      <c r="A3276" s="339" t="str">
        <f>IFERROR(__xludf.DUMMYFUNCTION("""COMPUTED_VALUE"""),"10.1037/0021-843x.98.2.177")</f>
        <v>10.1037/0021-843x.98.2.177</v>
      </c>
      <c r="B3276" s="445" t="str">
        <f>IFERROR(__xludf.DUMMYFUNCTION("""COMPUTED_VALUE"""),"https://drive.google.com/file/d/1fmLie5fT08gQ-FPdfNY7VkK-cl_TbiCC/view?usp=drivesdk")</f>
        <v>https://drive.google.com/file/d/1fmLie5fT08gQ-FPdfNY7VkK-cl_TbiCC/view?usp=drivesdk</v>
      </c>
      <c r="C3276" s="339" t="str">
        <f>IFERROR(__xludf.DUMMYFUNCTION("""COMPUTED_VALUE"""),"10.1037--0021-843X.98.2.177.pdf")</f>
        <v>10.1037--0021-843X.98.2.177.pdf</v>
      </c>
      <c r="D3276" s="159" t="str">
        <f>IFERROR(__xludf.DUMMYFUNCTION("""COMPUTED_VALUE"""),"application/pdf")</f>
        <v>application/pdf</v>
      </c>
    </row>
    <row r="3277">
      <c r="A3277" s="339" t="str">
        <f>IFERROR(__xludf.DUMMYFUNCTION("""COMPUTED_VALUE"""),"10.1037/0021-9010.85.5.751")</f>
        <v>10.1037/0021-9010.85.5.751</v>
      </c>
      <c r="B3277" s="445" t="str">
        <f>IFERROR(__xludf.DUMMYFUNCTION("""COMPUTED_VALUE"""),"https://drive.google.com/file/d/1pZrmtVQlW4Pm144U62OnQaKTslWUIqbt/view?usp=drivesdk")</f>
        <v>https://drive.google.com/file/d/1pZrmtVQlW4Pm144U62OnQaKTslWUIqbt/view?usp=drivesdk</v>
      </c>
      <c r="C3277" s="339" t="str">
        <f>IFERROR(__xludf.DUMMYFUNCTION("""COMPUTED_VALUE"""),"10.1037--0021-9010.85.5.751.pdf")</f>
        <v>10.1037--0021-9010.85.5.751.pdf</v>
      </c>
      <c r="D3277" s="159" t="str">
        <f>IFERROR(__xludf.DUMMYFUNCTION("""COMPUTED_VALUE"""),"application/pdf")</f>
        <v>application/pdf</v>
      </c>
    </row>
    <row r="3278">
      <c r="A3278" s="339" t="str">
        <f>IFERROR(__xludf.DUMMYFUNCTION("""COMPUTED_VALUE"""),"10.1037/0021-843x.103.2.350")</f>
        <v>10.1037/0021-843x.103.2.350</v>
      </c>
      <c r="B3278" s="445" t="str">
        <f>IFERROR(__xludf.DUMMYFUNCTION("""COMPUTED_VALUE"""),"https://drive.google.com/file/d/1yjPQh3Y3JQTvZt9KASbvE7xGnpHw0Txm/view?usp=drivesdk")</f>
        <v>https://drive.google.com/file/d/1yjPQh3Y3JQTvZt9KASbvE7xGnpHw0Txm/view?usp=drivesdk</v>
      </c>
      <c r="C3278" s="339" t="str">
        <f>IFERROR(__xludf.DUMMYFUNCTION("""COMPUTED_VALUE"""),"10.1037--0021-843X.103.2.350.pdf")</f>
        <v>10.1037--0021-843X.103.2.350.pdf</v>
      </c>
      <c r="D3278" s="159" t="str">
        <f>IFERROR(__xludf.DUMMYFUNCTION("""COMPUTED_VALUE"""),"application/pdf")</f>
        <v>application/pdf</v>
      </c>
    </row>
    <row r="3279">
      <c r="A3279" s="339" t="str">
        <f>IFERROR(__xludf.DUMMYFUNCTION("""COMPUTED_VALUE"""),"10.1037/0012-1649.27.5.703")</f>
        <v>10.1037/0012-1649.27.5.703</v>
      </c>
      <c r="B3279" s="445" t="str">
        <f>IFERROR(__xludf.DUMMYFUNCTION("""COMPUTED_VALUE"""),"https://drive.google.com/file/d/12dihw_oF9yYrqSWQ8I8B4AJUed_ZzRRh/view?usp=drivesdk")</f>
        <v>https://drive.google.com/file/d/12dihw_oF9yYrqSWQ8I8B4AJUed_ZzRRh/view?usp=drivesdk</v>
      </c>
      <c r="C3279" s="339" t="str">
        <f>IFERROR(__xludf.DUMMYFUNCTION("""COMPUTED_VALUE"""),"10.1037--0012-1649.27.5.703.pdf")</f>
        <v>10.1037--0012-1649.27.5.703.pdf</v>
      </c>
      <c r="D3279" s="159" t="str">
        <f>IFERROR(__xludf.DUMMYFUNCTION("""COMPUTED_VALUE"""),"application/pdf")</f>
        <v>application/pdf</v>
      </c>
    </row>
    <row r="3280">
      <c r="A3280" s="339" t="str">
        <f>IFERROR(__xludf.DUMMYFUNCTION("""COMPUTED_VALUE"""),"10.1023/a:1015044207315")</f>
        <v>10.1023/a:1015044207315</v>
      </c>
      <c r="B3280" s="445" t="str">
        <f>IFERROR(__xludf.DUMMYFUNCTION("""COMPUTED_VALUE"""),"https://drive.google.com/file/d/1cdxhLXtssEMbvuMMHfeGthoMD_6qK6dF/view?usp=drivesdk")</f>
        <v>https://drive.google.com/file/d/1cdxhLXtssEMbvuMMHfeGthoMD_6qK6dF/view?usp=drivesdk</v>
      </c>
      <c r="C3280" s="339" t="str">
        <f>IFERROR(__xludf.DUMMYFUNCTION("""COMPUTED_VALUE"""),"10.1023--A:1015044207315.pdf")</f>
        <v>10.1023--A:1015044207315.pdf</v>
      </c>
      <c r="D3280" s="159" t="str">
        <f>IFERROR(__xludf.DUMMYFUNCTION("""COMPUTED_VALUE"""),"application/pdf")</f>
        <v>application/pdf</v>
      </c>
    </row>
    <row r="3281">
      <c r="A3281" s="339" t="str">
        <f>IFERROR(__xludf.DUMMYFUNCTION("""COMPUTED_VALUE"""),"10.1023/a:1019923923537")</f>
        <v>10.1023/a:1019923923537</v>
      </c>
      <c r="B3281" s="445" t="str">
        <f>IFERROR(__xludf.DUMMYFUNCTION("""COMPUTED_VALUE"""),"https://drive.google.com/file/d/1n4Jo0WdyMm3V1SkI1hby710CoJe-zbeV/view?usp=drivesdk")</f>
        <v>https://drive.google.com/file/d/1n4Jo0WdyMm3V1SkI1hby710CoJe-zbeV/view?usp=drivesdk</v>
      </c>
      <c r="C3281" s="339" t="str">
        <f>IFERROR(__xludf.DUMMYFUNCTION("""COMPUTED_VALUE"""),"10.1023--A:1019923923537.pdf")</f>
        <v>10.1023--A:1019923923537.pdf</v>
      </c>
      <c r="D3281" s="159" t="str">
        <f>IFERROR(__xludf.DUMMYFUNCTION("""COMPUTED_VALUE"""),"application/pdf")</f>
        <v>application/pdf</v>
      </c>
    </row>
    <row r="3282">
      <c r="A3282" s="339" t="str">
        <f>IFERROR(__xludf.DUMMYFUNCTION("""COMPUTED_VALUE"""),"10.1023/a:1007744326393")</f>
        <v>10.1023/a:1007744326393</v>
      </c>
      <c r="B3282" s="445" t="str">
        <f>IFERROR(__xludf.DUMMYFUNCTION("""COMPUTED_VALUE"""),"https://drive.google.com/file/d/1OUD6knA8aPg9qTSfvRhBCXYuFwJTOzS8/view?usp=drivesdk")</f>
        <v>https://drive.google.com/file/d/1OUD6knA8aPg9qTSfvRhBCXYuFwJTOzS8/view?usp=drivesdk</v>
      </c>
      <c r="C3282" s="339" t="str">
        <f>IFERROR(__xludf.DUMMYFUNCTION("""COMPUTED_VALUE"""),"10.1023--A:1007744326393.pdf")</f>
        <v>10.1023--A:1007744326393.pdf</v>
      </c>
      <c r="D3282" s="159" t="str">
        <f>IFERROR(__xludf.DUMMYFUNCTION("""COMPUTED_VALUE"""),"application/pdf")</f>
        <v>application/pdf</v>
      </c>
    </row>
    <row r="3283">
      <c r="A3283" s="339" t="str">
        <f>IFERROR(__xludf.DUMMYFUNCTION("""COMPUTED_VALUE"""),"10.1017/s0272263105050138")</f>
        <v>10.1017/s0272263105050138</v>
      </c>
      <c r="B3283" s="445" t="str">
        <f>IFERROR(__xludf.DUMMYFUNCTION("""COMPUTED_VALUE"""),"https://drive.google.com/file/d/1LgctUTqq1qHQq3xvejQZ1bpldXd2lEXd/view?usp=drivesdk")</f>
        <v>https://drive.google.com/file/d/1LgctUTqq1qHQq3xvejQZ1bpldXd2lEXd/view?usp=drivesdk</v>
      </c>
      <c r="C3283" s="339" t="str">
        <f>IFERROR(__xludf.DUMMYFUNCTION("""COMPUTED_VALUE"""),"10.1017--S0272263105050138.pdf")</f>
        <v>10.1017--S0272263105050138.pdf</v>
      </c>
      <c r="D3283" s="159" t="str">
        <f>IFERROR(__xludf.DUMMYFUNCTION("""COMPUTED_VALUE"""),"application/pdf")</f>
        <v>application/pdf</v>
      </c>
    </row>
    <row r="3284">
      <c r="A3284" s="339" t="str">
        <f>IFERROR(__xludf.DUMMYFUNCTION("""COMPUTED_VALUE"""),"10.1017/xps.2017.21")</f>
        <v>10.1017/xps.2017.21</v>
      </c>
      <c r="B3284" s="445" t="str">
        <f>IFERROR(__xludf.DUMMYFUNCTION("""COMPUTED_VALUE"""),"https://drive.google.com/file/d/1Okxe-KGvhvVzBCoNlkxv4sqCXcBKv2mg/view?usp=drivesdk")</f>
        <v>https://drive.google.com/file/d/1Okxe-KGvhvVzBCoNlkxv4sqCXcBKv2mg/view?usp=drivesdk</v>
      </c>
      <c r="C3284" s="339" t="str">
        <f>IFERROR(__xludf.DUMMYFUNCTION("""COMPUTED_VALUE"""),"10.1017--XPS.2017.21.pdf")</f>
        <v>10.1017--XPS.2017.21.pdf</v>
      </c>
      <c r="D3284" s="159" t="str">
        <f>IFERROR(__xludf.DUMMYFUNCTION("""COMPUTED_VALUE"""),"application/pdf")</f>
        <v>application/pdf</v>
      </c>
    </row>
    <row r="3285">
      <c r="A3285" s="339" t="str">
        <f>IFERROR(__xludf.DUMMYFUNCTION("""COMPUTED_VALUE"""),"10.1017/s0140525x00023992")</f>
        <v>10.1017/s0140525x00023992</v>
      </c>
      <c r="B3285" s="445" t="str">
        <f>IFERROR(__xludf.DUMMYFUNCTION("""COMPUTED_VALUE"""),"https://drive.google.com/file/d/1Jd-vxSthONF63SEDbsY6lw8r6uODUAX8/view?usp=drivesdk")</f>
        <v>https://drive.google.com/file/d/1Jd-vxSthONF63SEDbsY6lw8r6uODUAX8/view?usp=drivesdk</v>
      </c>
      <c r="C3285" s="339" t="str">
        <f>IFERROR(__xludf.DUMMYFUNCTION("""COMPUTED_VALUE"""),"10.1017--S0140525X00023992.pdf")</f>
        <v>10.1017--S0140525X00023992.pdf</v>
      </c>
      <c r="D3285" s="159" t="str">
        <f>IFERROR(__xludf.DUMMYFUNCTION("""COMPUTED_VALUE"""),"application/pdf")</f>
        <v>application/pdf</v>
      </c>
    </row>
    <row r="3286">
      <c r="A3286" s="339" t="str">
        <f>IFERROR(__xludf.DUMMYFUNCTION("""COMPUTED_VALUE"""),"10.1017/s0142716400007724")</f>
        <v>10.1017/s0142716400007724</v>
      </c>
      <c r="B3286" s="445" t="str">
        <f>IFERROR(__xludf.DUMMYFUNCTION("""COMPUTED_VALUE"""),"https://drive.google.com/file/d/1PY5jtq5K0dIYw5O_olHRDGUfn11WN3AQ/view?usp=drivesdk")</f>
        <v>https://drive.google.com/file/d/1PY5jtq5K0dIYw5O_olHRDGUfn11WN3AQ/view?usp=drivesdk</v>
      </c>
      <c r="C3286" s="339" t="str">
        <f>IFERROR(__xludf.DUMMYFUNCTION("""COMPUTED_VALUE"""),"10.1017--S0142716400007724.pdf")</f>
        <v>10.1017--S0142716400007724.pdf</v>
      </c>
      <c r="D3286" s="159" t="str">
        <f>IFERROR(__xludf.DUMMYFUNCTION("""COMPUTED_VALUE"""),"application/pdf")</f>
        <v>application/pdf</v>
      </c>
    </row>
    <row r="3287">
      <c r="A3287" s="339" t="str">
        <f>IFERROR(__xludf.DUMMYFUNCTION("""COMPUTED_VALUE"""),"10.1017/epi.2013.23")</f>
        <v>10.1017/epi.2013.23</v>
      </c>
      <c r="B3287" s="445" t="str">
        <f>IFERROR(__xludf.DUMMYFUNCTION("""COMPUTED_VALUE"""),"https://drive.google.com/file/d/1xs7muWdyYdblxSMymp-O09c44czfutsh/view?usp=drivesdk")</f>
        <v>https://drive.google.com/file/d/1xs7muWdyYdblxSMymp-O09c44czfutsh/view?usp=drivesdk</v>
      </c>
      <c r="C3287" s="339" t="str">
        <f>IFERROR(__xludf.DUMMYFUNCTION("""COMPUTED_VALUE"""),"10.1017--epi.2013.23.pdf")</f>
        <v>10.1017--epi.2013.23.pdf</v>
      </c>
      <c r="D3287" s="159" t="str">
        <f>IFERROR(__xludf.DUMMYFUNCTION("""COMPUTED_VALUE"""),"application/pdf")</f>
        <v>application/pdf</v>
      </c>
    </row>
    <row r="3288">
      <c r="A3288" s="339" t="str">
        <f>IFERROR(__xludf.DUMMYFUNCTION("""COMPUTED_VALUE"""),"10.1016/s0022-5371(74)80011-3")</f>
        <v>10.1016/s0022-5371(74)80011-3</v>
      </c>
      <c r="B3288" s="445" t="str">
        <f>IFERROR(__xludf.DUMMYFUNCTION("""COMPUTED_VALUE"""),"https://drive.google.com/file/d/11cUsFlwo9goZsKmyqcZULLURsoogutHZ/view?usp=drivesdk")</f>
        <v>https://drive.google.com/file/d/11cUsFlwo9goZsKmyqcZULLURsoogutHZ/view?usp=drivesdk</v>
      </c>
      <c r="C3288" s="339" t="str">
        <f>IFERROR(__xludf.DUMMYFUNCTION("""COMPUTED_VALUE"""),"10.1016--S0022-5371(74)80011-3.pdf")</f>
        <v>10.1016--S0022-5371(74)80011-3.pdf</v>
      </c>
      <c r="D3288" s="159" t="str">
        <f>IFERROR(__xludf.DUMMYFUNCTION("""COMPUTED_VALUE"""),"application/pdf")</f>
        <v>application/pdf</v>
      </c>
    </row>
    <row r="3289">
      <c r="A3289" s="339" t="str">
        <f>IFERROR(__xludf.DUMMYFUNCTION("""COMPUTED_VALUE"""),"10.1016/s0749-5978(02)00013-4")</f>
        <v>10.1016/s0749-5978(02)00013-4</v>
      </c>
      <c r="B3289" s="445" t="str">
        <f>IFERROR(__xludf.DUMMYFUNCTION("""COMPUTED_VALUE"""),"https://drive.google.com/file/d/1eCdADofR0Ulm7MkJ79uZdjuwR09NEDnI/view?usp=drivesdk")</f>
        <v>https://drive.google.com/file/d/1eCdADofR0Ulm7MkJ79uZdjuwR09NEDnI/view?usp=drivesdk</v>
      </c>
      <c r="C3289" s="339" t="str">
        <f>IFERROR(__xludf.DUMMYFUNCTION("""COMPUTED_VALUE"""),"10.1016--S0749-5978(02)00013-4.pdf")</f>
        <v>10.1016--S0749-5978(02)00013-4.pdf</v>
      </c>
      <c r="D3289" s="159" t="str">
        <f>IFERROR(__xludf.DUMMYFUNCTION("""COMPUTED_VALUE"""),"application/pdf")</f>
        <v>application/pdf</v>
      </c>
    </row>
    <row r="3290">
      <c r="A3290" s="339" t="str">
        <f>IFERROR(__xludf.DUMMYFUNCTION("""COMPUTED_VALUE"""),"10.1016/s0022-1031(03)00065-9")</f>
        <v>10.1016/s0022-1031(03)00065-9</v>
      </c>
      <c r="B3290" s="445" t="str">
        <f>IFERROR(__xludf.DUMMYFUNCTION("""COMPUTED_VALUE"""),"https://drive.google.com/file/d/12w45h6wJ8IUMgRm5zyOxy7Tin7V_CCLy/view?usp=drivesdk")</f>
        <v>https://drive.google.com/file/d/12w45h6wJ8IUMgRm5zyOxy7Tin7V_CCLy/view?usp=drivesdk</v>
      </c>
      <c r="C3290" s="339" t="str">
        <f>IFERROR(__xludf.DUMMYFUNCTION("""COMPUTED_VALUE"""),"10.1016--S0022-1031(03)00065-9.pdf")</f>
        <v>10.1016--S0022-1031(03)00065-9.pdf</v>
      </c>
      <c r="D3290" s="159" t="str">
        <f>IFERROR(__xludf.DUMMYFUNCTION("""COMPUTED_VALUE"""),"application/pdf")</f>
        <v>application/pdf</v>
      </c>
    </row>
    <row r="3291">
      <c r="A3291" s="339" t="str">
        <f>IFERROR(__xludf.DUMMYFUNCTION("""COMPUTED_VALUE"""),"10.1016/s0010-0277(99)00073-6")</f>
        <v>10.1016/s0010-0277(99)00073-6</v>
      </c>
      <c r="B3291" s="445" t="str">
        <f>IFERROR(__xludf.DUMMYFUNCTION("""COMPUTED_VALUE"""),"https://drive.google.com/file/d/1-SOOgACp6dnzzYdlh2PFI-ANnAwmf5c6/view?usp=drivesdk")</f>
        <v>https://drive.google.com/file/d/1-SOOgACp6dnzzYdlh2PFI-ANnAwmf5c6/view?usp=drivesdk</v>
      </c>
      <c r="C3291" s="339" t="str">
        <f>IFERROR(__xludf.DUMMYFUNCTION("""COMPUTED_VALUE"""),"10.1016--s0010-0277(99)00073-6.pdf")</f>
        <v>10.1016--s0010-0277(99)00073-6.pdf</v>
      </c>
      <c r="D3291" s="159" t="str">
        <f>IFERROR(__xludf.DUMMYFUNCTION("""COMPUTED_VALUE"""),"application/pdf")</f>
        <v>application/pdf</v>
      </c>
    </row>
    <row r="3292">
      <c r="A3292" s="339" t="str">
        <f>IFERROR(__xludf.DUMMYFUNCTION("""COMPUTED_VALUE"""),"10.1016/s0010-0277(03)00064-7")</f>
        <v>10.1016/s0010-0277(03)00064-7</v>
      </c>
      <c r="B3292" s="445" t="str">
        <f>IFERROR(__xludf.DUMMYFUNCTION("""COMPUTED_VALUE"""),"https://drive.google.com/file/d/1eermV6x-0NkuxwsqnprduFouBUdTshGn/view?usp=drivesdk")</f>
        <v>https://drive.google.com/file/d/1eermV6x-0NkuxwsqnprduFouBUdTshGn/view?usp=drivesdk</v>
      </c>
      <c r="C3292" s="339" t="str">
        <f>IFERROR(__xludf.DUMMYFUNCTION("""COMPUTED_VALUE"""),"10.1016--s0010-0277(03)00064-7.pdf")</f>
        <v>10.1016--s0010-0277(03)00064-7.pdf</v>
      </c>
      <c r="D3292" s="159" t="str">
        <f>IFERROR(__xludf.DUMMYFUNCTION("""COMPUTED_VALUE"""),"application/pdf")</f>
        <v>application/pdf</v>
      </c>
    </row>
    <row r="3293">
      <c r="A3293" s="339" t="str">
        <f>IFERROR(__xludf.DUMMYFUNCTION("""COMPUTED_VALUE"""),"10.1016/s0010-0277(99)00052-9")</f>
        <v>10.1016/s0010-0277(99)00052-9</v>
      </c>
      <c r="B3293" s="445" t="str">
        <f>IFERROR(__xludf.DUMMYFUNCTION("""COMPUTED_VALUE"""),"https://drive.google.com/file/d/1zRyXsoSPgsnT73Tx99gTHCq3vOgCSARP/view?usp=drivesdk")</f>
        <v>https://drive.google.com/file/d/1zRyXsoSPgsnT73Tx99gTHCq3vOgCSARP/view?usp=drivesdk</v>
      </c>
      <c r="C3293" s="339" t="str">
        <f>IFERROR(__xludf.DUMMYFUNCTION("""COMPUTED_VALUE"""),"10.1016--s0010-0277(99)00052-9.pdf")</f>
        <v>10.1016--s0010-0277(99)00052-9.pdf</v>
      </c>
      <c r="D3293" s="159" t="str">
        <f>IFERROR(__xludf.DUMMYFUNCTION("""COMPUTED_VALUE"""),"application/pdf")</f>
        <v>application/pdf</v>
      </c>
    </row>
    <row r="3294">
      <c r="A3294" s="339" t="str">
        <f>IFERROR(__xludf.DUMMYFUNCTION("""COMPUTED_VALUE"""),"10.1016/j.visres.2005.04.013")</f>
        <v>10.1016/j.visres.2005.04.013</v>
      </c>
      <c r="B3294" s="445" t="str">
        <f>IFERROR(__xludf.DUMMYFUNCTION("""COMPUTED_VALUE"""),"https://drive.google.com/file/d/1tL5SefgazspPrHDE7uspX1rbNInieF1Y/view?usp=drivesdk")</f>
        <v>https://drive.google.com/file/d/1tL5SefgazspPrHDE7uspX1rbNInieF1Y/view?usp=drivesdk</v>
      </c>
      <c r="C3294" s="339" t="str">
        <f>IFERROR(__xludf.DUMMYFUNCTION("""COMPUTED_VALUE"""),"10.1016--j.visres.2005.04.013.pdf")</f>
        <v>10.1016--j.visres.2005.04.013.pdf</v>
      </c>
      <c r="D3294" s="159" t="str">
        <f>IFERROR(__xludf.DUMMYFUNCTION("""COMPUTED_VALUE"""),"application/pdf")</f>
        <v>application/pdf</v>
      </c>
    </row>
    <row r="3295">
      <c r="A3295" s="339" t="str">
        <f>IFERROR(__xludf.DUMMYFUNCTION("""COMPUTED_VALUE"""),"10.1016/j.paid.2009.12.007")</f>
        <v>10.1016/j.paid.2009.12.007</v>
      </c>
      <c r="B3295" s="445" t="str">
        <f>IFERROR(__xludf.DUMMYFUNCTION("""COMPUTED_VALUE"""),"https://drive.google.com/file/d/14KNxp9Akgen5F3LcGWOsHT4Qbqu4HTYy/view?usp=drivesdk")</f>
        <v>https://drive.google.com/file/d/14KNxp9Akgen5F3LcGWOsHT4Qbqu4HTYy/view?usp=drivesdk</v>
      </c>
      <c r="C3295" s="339" t="str">
        <f>IFERROR(__xludf.DUMMYFUNCTION("""COMPUTED_VALUE"""),"10.1016--j.paid.2009.12.007.pdf")</f>
        <v>10.1016--j.paid.2009.12.007.pdf</v>
      </c>
      <c r="D3295" s="159" t="str">
        <f>IFERROR(__xludf.DUMMYFUNCTION("""COMPUTED_VALUE"""),"application/pdf")</f>
        <v>application/pdf</v>
      </c>
    </row>
    <row r="3296">
      <c r="A3296" s="339" t="str">
        <f>IFERROR(__xludf.DUMMYFUNCTION("""COMPUTED_VALUE"""),"10.1016/j.paid.2010.07.033")</f>
        <v>10.1016/j.paid.2010.07.033</v>
      </c>
      <c r="B3296" s="445" t="str">
        <f>IFERROR(__xludf.DUMMYFUNCTION("""COMPUTED_VALUE"""),"https://drive.google.com/file/d/1J_0Y3dKunmzcdm9LjbKZTpby7Qd4ipkA/view?usp=drivesdk")</f>
        <v>https://drive.google.com/file/d/1J_0Y3dKunmzcdm9LjbKZTpby7Qd4ipkA/view?usp=drivesdk</v>
      </c>
      <c r="C3296" s="339" t="str">
        <f>IFERROR(__xludf.DUMMYFUNCTION("""COMPUTED_VALUE"""),"10.1016--j.paid.2010.07.033.pdf")</f>
        <v>10.1016--j.paid.2010.07.033.pdf</v>
      </c>
      <c r="D3296" s="159" t="str">
        <f>IFERROR(__xludf.DUMMYFUNCTION("""COMPUTED_VALUE"""),"application/pdf")</f>
        <v>application/pdf</v>
      </c>
    </row>
    <row r="3297">
      <c r="A3297" s="339" t="str">
        <f>IFERROR(__xludf.DUMMYFUNCTION("""COMPUTED_VALUE"""),"10.1016/j.paid.2004.08.012")</f>
        <v>10.1016/j.paid.2004.08.012</v>
      </c>
      <c r="B3297" s="445" t="str">
        <f>IFERROR(__xludf.DUMMYFUNCTION("""COMPUTED_VALUE"""),"https://drive.google.com/file/d/1DqSsvMQMMGnVP3lP6Am1mBq90t1XZMxt/view?usp=drivesdk")</f>
        <v>https://drive.google.com/file/d/1DqSsvMQMMGnVP3lP6Am1mBq90t1XZMxt/view?usp=drivesdk</v>
      </c>
      <c r="C3297" s="339" t="str">
        <f>IFERROR(__xludf.DUMMYFUNCTION("""COMPUTED_VALUE"""),"10.1016--j.paid.2004.08.012.pdf")</f>
        <v>10.1016--j.paid.2004.08.012.pdf</v>
      </c>
      <c r="D3297" s="159" t="str">
        <f>IFERROR(__xludf.DUMMYFUNCTION("""COMPUTED_VALUE"""),"application/pdf")</f>
        <v>application/pdf</v>
      </c>
    </row>
    <row r="3298">
      <c r="A3298" s="339" t="str">
        <f>IFERROR(__xludf.DUMMYFUNCTION("""COMPUTED_VALUE"""),"10.1016/j.obhdp.2006.01.005")</f>
        <v>10.1016/j.obhdp.2006.01.005</v>
      </c>
      <c r="B3298" s="445" t="str">
        <f>IFERROR(__xludf.DUMMYFUNCTION("""COMPUTED_VALUE"""),"https://drive.google.com/file/d/14ZQ9EzNr9F8ACt32VRfITF656jMezTnV/view?usp=drivesdk")</f>
        <v>https://drive.google.com/file/d/14ZQ9EzNr9F8ACt32VRfITF656jMezTnV/view?usp=drivesdk</v>
      </c>
      <c r="C3298" s="339" t="str">
        <f>IFERROR(__xludf.DUMMYFUNCTION("""COMPUTED_VALUE"""),"10.1016--j.obhdp.2006.01.005.pdf")</f>
        <v>10.1016--j.obhdp.2006.01.005.pdf</v>
      </c>
      <c r="D3298" s="159" t="str">
        <f>IFERROR(__xludf.DUMMYFUNCTION("""COMPUTED_VALUE"""),"application/pdf")</f>
        <v>application/pdf</v>
      </c>
    </row>
    <row r="3299">
      <c r="A3299" s="339" t="str">
        <f>IFERROR(__xludf.DUMMYFUNCTION("""COMPUTED_VALUE"""),"10.1016/j.obhdp.2004.12.002")</f>
        <v>10.1016/j.obhdp.2004.12.002</v>
      </c>
      <c r="B3299" s="445" t="str">
        <f>IFERROR(__xludf.DUMMYFUNCTION("""COMPUTED_VALUE"""),"https://drive.google.com/file/d/1CZ8RmInPe2eqHwf-p8tl0IQxpn8_H_C5/view?usp=drivesdk")</f>
        <v>https://drive.google.com/file/d/1CZ8RmInPe2eqHwf-p8tl0IQxpn8_H_C5/view?usp=drivesdk</v>
      </c>
      <c r="C3299" s="339" t="str">
        <f>IFERROR(__xludf.DUMMYFUNCTION("""COMPUTED_VALUE"""),"10.1016--j.obhdp.2004.12.002.pdf")</f>
        <v>10.1016--j.obhdp.2004.12.002.pdf</v>
      </c>
      <c r="D3299" s="159" t="str">
        <f>IFERROR(__xludf.DUMMYFUNCTION("""COMPUTED_VALUE"""),"application/pdf")</f>
        <v>application/pdf</v>
      </c>
    </row>
    <row r="3300">
      <c r="A3300" s="339" t="str">
        <f>IFERROR(__xludf.DUMMYFUNCTION("""COMPUTED_VALUE"""),"10.1016/j.neuroimage.2006.11.048")</f>
        <v>10.1016/j.neuroimage.2006.11.048</v>
      </c>
      <c r="B3300" s="445" t="str">
        <f>IFERROR(__xludf.DUMMYFUNCTION("""COMPUTED_VALUE"""),"https://drive.google.com/file/d/1M2npXIoOra27xHNDnCsNwFJwuHLFn-QY/view?usp=drivesdk")</f>
        <v>https://drive.google.com/file/d/1M2npXIoOra27xHNDnCsNwFJwuHLFn-QY/view?usp=drivesdk</v>
      </c>
      <c r="C3300" s="339" t="str">
        <f>IFERROR(__xludf.DUMMYFUNCTION("""COMPUTED_VALUE"""),"10.1016--j.neuroimage.2006.11.048.pdf")</f>
        <v>10.1016--j.neuroimage.2006.11.048.pdf</v>
      </c>
      <c r="D3300" s="159" t="str">
        <f>IFERROR(__xludf.DUMMYFUNCTION("""COMPUTED_VALUE"""),"application/pdf")</f>
        <v>application/pdf</v>
      </c>
    </row>
    <row r="3301">
      <c r="A3301" s="339" t="str">
        <f>IFERROR(__xludf.DUMMYFUNCTION("""COMPUTED_VALUE"""),"10.1016/j.jtbi.2005.02.010")</f>
        <v>10.1016/j.jtbi.2005.02.010</v>
      </c>
      <c r="B3301" s="445" t="str">
        <f>IFERROR(__xludf.DUMMYFUNCTION("""COMPUTED_VALUE"""),"https://drive.google.com/file/d/17frihgo9iXD4WAxNIp0IHozpEUt6sj7r/view?usp=drivesdk")</f>
        <v>https://drive.google.com/file/d/17frihgo9iXD4WAxNIp0IHozpEUt6sj7r/view?usp=drivesdk</v>
      </c>
      <c r="C3301" s="339" t="str">
        <f>IFERROR(__xludf.DUMMYFUNCTION("""COMPUTED_VALUE"""),"10.1016--j.jtbi.2005.02.010.pdf")</f>
        <v>10.1016--j.jtbi.2005.02.010.pdf</v>
      </c>
      <c r="D3301" s="159" t="str">
        <f>IFERROR(__xludf.DUMMYFUNCTION("""COMPUTED_VALUE"""),"application/pdf")</f>
        <v>application/pdf</v>
      </c>
    </row>
    <row r="3302">
      <c r="A3302" s="339" t="str">
        <f>IFERROR(__xludf.DUMMYFUNCTION("""COMPUTED_VALUE"""),"10.1016/j.jesp.2011.11.012")</f>
        <v>10.1016/j.jesp.2011.11.012</v>
      </c>
      <c r="B3302" s="445" t="str">
        <f>IFERROR(__xludf.DUMMYFUNCTION("""COMPUTED_VALUE"""),"https://drive.google.com/file/d/1acuUVGe9a1FY0NzYPbpq8pAnbZKrjA2v/view?usp=drivesdk")</f>
        <v>https://drive.google.com/file/d/1acuUVGe9a1FY0NzYPbpq8pAnbZKrjA2v/view?usp=drivesdk</v>
      </c>
      <c r="C3302" s="339" t="str">
        <f>IFERROR(__xludf.DUMMYFUNCTION("""COMPUTED_VALUE"""),"10.1016--j.jesp.2011.11.012.pdf")</f>
        <v>10.1016--j.jesp.2011.11.012.pdf</v>
      </c>
      <c r="D3302" s="159" t="str">
        <f>IFERROR(__xludf.DUMMYFUNCTION("""COMPUTED_VALUE"""),"application/pdf")</f>
        <v>application/pdf</v>
      </c>
    </row>
    <row r="3303">
      <c r="A3303" s="339" t="str">
        <f>IFERROR(__xludf.DUMMYFUNCTION("""COMPUTED_VALUE"""),"10.1016/j.jesp.2010.05.014")</f>
        <v>10.1016/j.jesp.2010.05.014</v>
      </c>
      <c r="B3303" s="445" t="str">
        <f>IFERROR(__xludf.DUMMYFUNCTION("""COMPUTED_VALUE"""),"https://drive.google.com/file/d/1eGcl00TFvqtXToShjh3zwuqo-qNHAocO/view?usp=drivesdk")</f>
        <v>https://drive.google.com/file/d/1eGcl00TFvqtXToShjh3zwuqo-qNHAocO/view?usp=drivesdk</v>
      </c>
      <c r="C3303" s="339" t="str">
        <f>IFERROR(__xludf.DUMMYFUNCTION("""COMPUTED_VALUE"""),"10.1016--j.jesp.2010.05.014.pdf")</f>
        <v>10.1016--j.jesp.2010.05.014.pdf</v>
      </c>
      <c r="D3303" s="159" t="str">
        <f>IFERROR(__xludf.DUMMYFUNCTION("""COMPUTED_VALUE"""),"application/pdf")</f>
        <v>application/pdf</v>
      </c>
    </row>
    <row r="3304">
      <c r="A3304" s="339" t="str">
        <f>IFERROR(__xludf.DUMMYFUNCTION("""COMPUTED_VALUE"""),"10.1016/j.jesp.2009.05.003.")</f>
        <v>10.1016/j.jesp.2009.05.003.</v>
      </c>
      <c r="B3304" s="445" t="str">
        <f>IFERROR(__xludf.DUMMYFUNCTION("""COMPUTED_VALUE"""),"https://drive.google.com/file/d/1G4iua1K6eT5Xv5xxUKULlTZ0My66xR2X/view?usp=drivesdk")</f>
        <v>https://drive.google.com/file/d/1G4iua1K6eT5Xv5xxUKULlTZ0My66xR2X/view?usp=drivesdk</v>
      </c>
      <c r="C3304" s="339" t="str">
        <f>IFERROR(__xludf.DUMMYFUNCTION("""COMPUTED_VALUE"""),"10.1016--j.jesp.2009.05.003..pdf")</f>
        <v>10.1016--j.jesp.2009.05.003..pdf</v>
      </c>
      <c r="D3304" s="159" t="str">
        <f>IFERROR(__xludf.DUMMYFUNCTION("""COMPUTED_VALUE"""),"application/pdf")</f>
        <v>application/pdf</v>
      </c>
    </row>
    <row r="3305">
      <c r="A3305" s="339" t="str">
        <f>IFERROR(__xludf.DUMMYFUNCTION("""COMPUTED_VALUE"""),"10.1016/j.jesp.2009.05.003")</f>
        <v>10.1016/j.jesp.2009.05.003</v>
      </c>
      <c r="B3305" s="445" t="str">
        <f>IFERROR(__xludf.DUMMYFUNCTION("""COMPUTED_VALUE"""),"https://drive.google.com/file/d/1kV7PFFLYbgc-Kw-sxuSqcN9skQ8U3QBY/view?usp=drivesdk")</f>
        <v>https://drive.google.com/file/d/1kV7PFFLYbgc-Kw-sxuSqcN9skQ8U3QBY/view?usp=drivesdk</v>
      </c>
      <c r="C3305" s="339" t="str">
        <f>IFERROR(__xludf.DUMMYFUNCTION("""COMPUTED_VALUE"""),"10.1016--j.jesp.2009.05.003.pdf")</f>
        <v>10.1016--j.jesp.2009.05.003.pdf</v>
      </c>
      <c r="D3305" s="159" t="str">
        <f>IFERROR(__xludf.DUMMYFUNCTION("""COMPUTED_VALUE"""),"application/pdf")</f>
        <v>application/pdf</v>
      </c>
    </row>
    <row r="3306">
      <c r="A3306" s="339" t="str">
        <f>IFERROR(__xludf.DUMMYFUNCTION("""COMPUTED_VALUE"""),"10.1016/j.jesp.2009.03.009")</f>
        <v>10.1016/j.jesp.2009.03.009</v>
      </c>
      <c r="B3306" s="445" t="str">
        <f>IFERROR(__xludf.DUMMYFUNCTION("""COMPUTED_VALUE"""),"https://drive.google.com/file/d/13E6exELEtdG2RSbqcPYafnphBAN0Qwtm/view?usp=drivesdk")</f>
        <v>https://drive.google.com/file/d/13E6exELEtdG2RSbqcPYafnphBAN0Qwtm/view?usp=drivesdk</v>
      </c>
      <c r="C3306" s="339" t="str">
        <f>IFERROR(__xludf.DUMMYFUNCTION("""COMPUTED_VALUE"""),"10.1016--j.jesp.2009.03.009.pdf")</f>
        <v>10.1016--j.jesp.2009.03.009.pdf</v>
      </c>
      <c r="D3306" s="159" t="str">
        <f>IFERROR(__xludf.DUMMYFUNCTION("""COMPUTED_VALUE"""),"application/pdf")</f>
        <v>application/pdf</v>
      </c>
    </row>
    <row r="3307">
      <c r="A3307" s="339" t="str">
        <f>IFERROR(__xludf.DUMMYFUNCTION("""COMPUTED_VALUE"""),"10.1016/j.jesp.2005.05.001")</f>
        <v>10.1016/j.jesp.2005.05.001</v>
      </c>
      <c r="B3307" s="445" t="str">
        <f>IFERROR(__xludf.DUMMYFUNCTION("""COMPUTED_VALUE"""),"https://drive.google.com/file/d/1y_lQGjVlo6Fl18TxXjJCuEtRwnUYubwf/view?usp=drivesdk")</f>
        <v>https://drive.google.com/file/d/1y_lQGjVlo6Fl18TxXjJCuEtRwnUYubwf/view?usp=drivesdk</v>
      </c>
      <c r="C3307" s="339" t="str">
        <f>IFERROR(__xludf.DUMMYFUNCTION("""COMPUTED_VALUE"""),"10.1016--j.jesp.2005.05.001.pdf")</f>
        <v>10.1016--j.jesp.2005.05.001.pdf</v>
      </c>
      <c r="D3307" s="159" t="str">
        <f>IFERROR(__xludf.DUMMYFUNCTION("""COMPUTED_VALUE"""),"application/pdf")</f>
        <v>application/pdf</v>
      </c>
    </row>
    <row r="3308">
      <c r="A3308" s="339" t="str">
        <f>IFERROR(__xludf.DUMMYFUNCTION("""COMPUTED_VALUE"""),"10.1016/j.jenvp.2019.101333")</f>
        <v>10.1016/j.jenvp.2019.101333</v>
      </c>
      <c r="B3308" s="445" t="str">
        <f>IFERROR(__xludf.DUMMYFUNCTION("""COMPUTED_VALUE"""),"https://drive.google.com/file/d/1ulcmn23SslnIFjXNPMwqbzhRfT5lhEO8/view?usp=drivesdk")</f>
        <v>https://drive.google.com/file/d/1ulcmn23SslnIFjXNPMwqbzhRfT5lhEO8/view?usp=drivesdk</v>
      </c>
      <c r="C3308" s="339" t="str">
        <f>IFERROR(__xludf.DUMMYFUNCTION("""COMPUTED_VALUE"""),"10.1016--j.jenvp.2019.101333.pdf")</f>
        <v>10.1016--j.jenvp.2019.101333.pdf</v>
      </c>
      <c r="D3308" s="159" t="str">
        <f>IFERROR(__xludf.DUMMYFUNCTION("""COMPUTED_VALUE"""),"application/pdf")</f>
        <v>application/pdf</v>
      </c>
    </row>
    <row r="3309">
      <c r="A3309" s="339" t="str">
        <f>IFERROR(__xludf.DUMMYFUNCTION("""COMPUTED_VALUE"""),"10.1016/j.jcps.2010.06.007")</f>
        <v>10.1016/j.jcps.2010.06.007</v>
      </c>
      <c r="B3309" s="445" t="str">
        <f>IFERROR(__xludf.DUMMYFUNCTION("""COMPUTED_VALUE"""),"https://drive.google.com/file/d/1QgM5ih3blPKfggX8boZpRVE5q-Rpsxzc/view?usp=drivesdk")</f>
        <v>https://drive.google.com/file/d/1QgM5ih3blPKfggX8boZpRVE5q-Rpsxzc/view?usp=drivesdk</v>
      </c>
      <c r="C3309" s="339" t="str">
        <f>IFERROR(__xludf.DUMMYFUNCTION("""COMPUTED_VALUE"""),"10.1016--j.jcps.2010.06.007.pdf")</f>
        <v>10.1016--j.jcps.2010.06.007.pdf</v>
      </c>
      <c r="D3309" s="159" t="str">
        <f>IFERROR(__xludf.DUMMYFUNCTION("""COMPUTED_VALUE"""),"application/pdf")</f>
        <v>application/pdf</v>
      </c>
    </row>
    <row r="3310">
      <c r="A3310" s="339" t="str">
        <f>IFERROR(__xludf.DUMMYFUNCTION("""COMPUTED_VALUE"""),"10.1016/j.jad.2020.07.068")</f>
        <v>10.1016/j.jad.2020.07.068</v>
      </c>
      <c r="B3310" s="445" t="str">
        <f>IFERROR(__xludf.DUMMYFUNCTION("""COMPUTED_VALUE"""),"https://drive.google.com/file/d/1CSEUe6gYLUw8yuCZAwajh6IlhECLeioY/view?usp=drivesdk")</f>
        <v>https://drive.google.com/file/d/1CSEUe6gYLUw8yuCZAwajh6IlhECLeioY/view?usp=drivesdk</v>
      </c>
      <c r="C3310" s="339" t="str">
        <f>IFERROR(__xludf.DUMMYFUNCTION("""COMPUTED_VALUE"""),"10.1016--j.jad.2020.07.068.pdf")</f>
        <v>10.1016--j.jad.2020.07.068.pdf</v>
      </c>
      <c r="D3310" s="159" t="str">
        <f>IFERROR(__xludf.DUMMYFUNCTION("""COMPUTED_VALUE"""),"application/pdf")</f>
        <v>application/pdf</v>
      </c>
    </row>
    <row r="3311">
      <c r="A3311" s="339" t="str">
        <f>IFERROR(__xludf.DUMMYFUNCTION("""COMPUTED_VALUE"""),"10.1016/j.jad.2019.03.027")</f>
        <v>10.1016/j.jad.2019.03.027</v>
      </c>
      <c r="B3311" s="445" t="str">
        <f>IFERROR(__xludf.DUMMYFUNCTION("""COMPUTED_VALUE"""),"https://drive.google.com/file/d/1pdhS0-ZGyjQIREpiT3_N1ld6izfKXSFK/view?usp=drivesdk")</f>
        <v>https://drive.google.com/file/d/1pdhS0-ZGyjQIREpiT3_N1ld6izfKXSFK/view?usp=drivesdk</v>
      </c>
      <c r="C3311" s="339" t="str">
        <f>IFERROR(__xludf.DUMMYFUNCTION("""COMPUTED_VALUE"""),"10.1016--j.jad.2019.03.027.pdf")</f>
        <v>10.1016--j.jad.2019.03.027.pdf</v>
      </c>
      <c r="D3311" s="159" t="str">
        <f>IFERROR(__xludf.DUMMYFUNCTION("""COMPUTED_VALUE"""),"application/pdf")</f>
        <v>application/pdf</v>
      </c>
    </row>
    <row r="3312">
      <c r="A3312" s="339" t="str">
        <f>IFERROR(__xludf.DUMMYFUNCTION("""COMPUTED_VALUE"""),"10.1016/j.drugalcdep.2021.108610")</f>
        <v>10.1016/j.drugalcdep.2021.108610</v>
      </c>
      <c r="B3312" s="445" t="str">
        <f>IFERROR(__xludf.DUMMYFUNCTION("""COMPUTED_VALUE"""),"https://drive.google.com/file/d/1DrC4ktWX9HamK4DWq_tF1P_2alxXHAnN/view?usp=drivesdk")</f>
        <v>https://drive.google.com/file/d/1DrC4ktWX9HamK4DWq_tF1P_2alxXHAnN/view?usp=drivesdk</v>
      </c>
      <c r="C3312" s="339" t="str">
        <f>IFERROR(__xludf.DUMMYFUNCTION("""COMPUTED_VALUE"""),"10.1016--j.drugalcdep.2021.108610.pdf")</f>
        <v>10.1016--j.drugalcdep.2021.108610.pdf</v>
      </c>
      <c r="D3312" s="159" t="str">
        <f>IFERROR(__xludf.DUMMYFUNCTION("""COMPUTED_VALUE"""),"application/pdf")</f>
        <v>application/pdf</v>
      </c>
    </row>
    <row r="3313">
      <c r="A3313" s="339" t="str">
        <f>IFERROR(__xludf.DUMMYFUNCTION("""COMPUTED_VALUE"""),"10.1016/j.ijresmar.2012.03.002")</f>
        <v>10.1016/j.ijresmar.2012.03.002</v>
      </c>
      <c r="B3313" s="445" t="str">
        <f>IFERROR(__xludf.DUMMYFUNCTION("""COMPUTED_VALUE"""),"https://drive.google.com/file/d/1IgOEeoYh65YudspFokk-VaTPbrQd0gtD/view?usp=drivesdk")</f>
        <v>https://drive.google.com/file/d/1IgOEeoYh65YudspFokk-VaTPbrQd0gtD/view?usp=drivesdk</v>
      </c>
      <c r="C3313" s="339" t="str">
        <f>IFERROR(__xludf.DUMMYFUNCTION("""COMPUTED_VALUE"""),"10.1016--j.ijresmar.2012.03.002.pdf")</f>
        <v>10.1016--j.ijresmar.2012.03.002.pdf</v>
      </c>
      <c r="D3313" s="159" t="str">
        <f>IFERROR(__xludf.DUMMYFUNCTION("""COMPUTED_VALUE"""),"application/pdf")</f>
        <v>application/pdf</v>
      </c>
    </row>
    <row r="3314">
      <c r="A3314" s="339" t="str">
        <f>IFERROR(__xludf.DUMMYFUNCTION("""COMPUTED_VALUE"""),"10.1016/j.dib.2019.104005")</f>
        <v>10.1016/j.dib.2019.104005</v>
      </c>
      <c r="B3314" s="445" t="str">
        <f>IFERROR(__xludf.DUMMYFUNCTION("""COMPUTED_VALUE"""),"https://drive.google.com/file/d/1PuD-vIYdn5C4vHU0YiqSuL7OPCmx9ttp/view?usp=drivesdk")</f>
        <v>https://drive.google.com/file/d/1PuD-vIYdn5C4vHU0YiqSuL7OPCmx9ttp/view?usp=drivesdk</v>
      </c>
      <c r="C3314" s="339" t="str">
        <f>IFERROR(__xludf.DUMMYFUNCTION("""COMPUTED_VALUE"""),"10.1016--j.dib.2019.104005.pdf")</f>
        <v>10.1016--j.dib.2019.104005.pdf</v>
      </c>
      <c r="D3314" s="159" t="str">
        <f>IFERROR(__xludf.DUMMYFUNCTION("""COMPUTED_VALUE"""),"application/pdf")</f>
        <v>application/pdf</v>
      </c>
    </row>
    <row r="3315">
      <c r="A3315" s="339" t="str">
        <f>IFERROR(__xludf.DUMMYFUNCTION("""COMPUTED_VALUE"""),"10.1016/j.cub.2013.08.037")</f>
        <v>10.1016/j.cub.2013.08.037</v>
      </c>
      <c r="B3315" s="445" t="str">
        <f>IFERROR(__xludf.DUMMYFUNCTION("""COMPUTED_VALUE"""),"https://drive.google.com/file/d/1kGdnrYJFp9Fedk9QHQtyDcczJB_LGP5s/view?usp=drivesdk")</f>
        <v>https://drive.google.com/file/d/1kGdnrYJFp9Fedk9QHQtyDcczJB_LGP5s/view?usp=drivesdk</v>
      </c>
      <c r="C3315" s="339" t="str">
        <f>IFERROR(__xludf.DUMMYFUNCTION("""COMPUTED_VALUE"""),"10.1016--j.cub.2013.08.037.pdf")</f>
        <v>10.1016--j.cub.2013.08.037.pdf</v>
      </c>
      <c r="D3315" s="159" t="str">
        <f>IFERROR(__xludf.DUMMYFUNCTION("""COMPUTED_VALUE"""),"application/pdf")</f>
        <v>application/pdf</v>
      </c>
    </row>
    <row r="3316">
      <c r="A3316" s="339" t="str">
        <f>IFERROR(__xludf.DUMMYFUNCTION("""COMPUTED_VALUE"""),"10.1016/j.cognition.2015.01.013")</f>
        <v>10.1016/j.cognition.2015.01.013</v>
      </c>
      <c r="B3316" s="445" t="str">
        <f>IFERROR(__xludf.DUMMYFUNCTION("""COMPUTED_VALUE"""),"https://drive.google.com/file/d/15kuHQf8erGaSOBxt1lOz994u1DIsHk_v/view?usp=drivesdk")</f>
        <v>https://drive.google.com/file/d/15kuHQf8erGaSOBxt1lOz994u1DIsHk_v/view?usp=drivesdk</v>
      </c>
      <c r="C3316" s="339" t="str">
        <f>IFERROR(__xludf.DUMMYFUNCTION("""COMPUTED_VALUE"""),"10.1016--j.cognition.2015.01.013.pdf")</f>
        <v>10.1016--j.cognition.2015.01.013.pdf</v>
      </c>
      <c r="D3316" s="159" t="str">
        <f>IFERROR(__xludf.DUMMYFUNCTION("""COMPUTED_VALUE"""),"application/pdf")</f>
        <v>application/pdf</v>
      </c>
    </row>
    <row r="3317">
      <c r="A3317" s="339" t="str">
        <f>IFERROR(__xludf.DUMMYFUNCTION("""COMPUTED_VALUE"""),"10.1016/j.cognition.2018.04.007")</f>
        <v>10.1016/j.cognition.2018.04.007</v>
      </c>
      <c r="B3317" s="445" t="str">
        <f>IFERROR(__xludf.DUMMYFUNCTION("""COMPUTED_VALUE"""),"https://drive.google.com/file/d/1EDHHFOSKkOQc-1kI7O0JVmaKcw9YK3p2/view?usp=drivesdk")</f>
        <v>https://drive.google.com/file/d/1EDHHFOSKkOQc-1kI7O0JVmaKcw9YK3p2/view?usp=drivesdk</v>
      </c>
      <c r="C3317" s="339" t="str">
        <f>IFERROR(__xludf.DUMMYFUNCTION("""COMPUTED_VALUE"""),"10.1016--j.cognition.2018.04.007.pdf")</f>
        <v>10.1016--j.cognition.2018.04.007.pdf</v>
      </c>
      <c r="D3317" s="159" t="str">
        <f>IFERROR(__xludf.DUMMYFUNCTION("""COMPUTED_VALUE"""),"application/pdf")</f>
        <v>application/pdf</v>
      </c>
    </row>
    <row r="3318">
      <c r="A3318" s="339" t="str">
        <f>IFERROR(__xludf.DUMMYFUNCTION("""COMPUTED_VALUE"""),"10.1016/j.concog.2008.11.006")</f>
        <v>10.1016/j.concog.2008.11.006</v>
      </c>
      <c r="B3318" s="445" t="str">
        <f>IFERROR(__xludf.DUMMYFUNCTION("""COMPUTED_VALUE"""),"https://drive.google.com/file/d/1jf3ctwxwUpc5AYKxlkNN-odE2ElrZuqN/view?usp=drivesdk")</f>
        <v>https://drive.google.com/file/d/1jf3ctwxwUpc5AYKxlkNN-odE2ElrZuqN/view?usp=drivesdk</v>
      </c>
      <c r="C3318" s="339" t="str">
        <f>IFERROR(__xludf.DUMMYFUNCTION("""COMPUTED_VALUE"""),"10.1016--j.concog.2008.11.006.pdf")</f>
        <v>10.1016--j.concog.2008.11.006.pdf</v>
      </c>
      <c r="D3318" s="159" t="str">
        <f>IFERROR(__xludf.DUMMYFUNCTION("""COMPUTED_VALUE"""),"application/pdf")</f>
        <v>application/pdf</v>
      </c>
    </row>
    <row r="3319">
      <c r="A3319" s="339" t="str">
        <f>IFERROR(__xludf.DUMMYFUNCTION("""COMPUTED_VALUE"""),"10.1016/j.cognition.2014.08.006")</f>
        <v>10.1016/j.cognition.2014.08.006</v>
      </c>
      <c r="B3319" s="445" t="str">
        <f>IFERROR(__xludf.DUMMYFUNCTION("""COMPUTED_VALUE"""),"https://drive.google.com/file/d/1vQ1lUQP7E0bfjNjtCdLNAaUqgcbJ9PLU/view?usp=drivesdk")</f>
        <v>https://drive.google.com/file/d/1vQ1lUQP7E0bfjNjtCdLNAaUqgcbJ9PLU/view?usp=drivesdk</v>
      </c>
      <c r="C3319" s="339" t="str">
        <f>IFERROR(__xludf.DUMMYFUNCTION("""COMPUTED_VALUE"""),"10.1016--j.cognition.2014.08.006.pdf")</f>
        <v>10.1016--j.cognition.2014.08.006.pdf</v>
      </c>
      <c r="D3319" s="159" t="str">
        <f>IFERROR(__xludf.DUMMYFUNCTION("""COMPUTED_VALUE"""),"application/pdf")</f>
        <v>application/pdf</v>
      </c>
    </row>
    <row r="3320">
      <c r="A3320" s="339" t="str">
        <f>IFERROR(__xludf.DUMMYFUNCTION("""COMPUTED_VALUE"""),"10.1016/j.cognition.2013.12.005")</f>
        <v>10.1016/j.cognition.2013.12.005</v>
      </c>
      <c r="B3320" s="445" t="str">
        <f>IFERROR(__xludf.DUMMYFUNCTION("""COMPUTED_VALUE"""),"https://drive.google.com/file/d/1m4pILp8FV7YtyobDHxoq8pojV_SH9CV7/view?usp=drivesdk")</f>
        <v>https://drive.google.com/file/d/1m4pILp8FV7YtyobDHxoq8pojV_SH9CV7/view?usp=drivesdk</v>
      </c>
      <c r="C3320" s="339" t="str">
        <f>IFERROR(__xludf.DUMMYFUNCTION("""COMPUTED_VALUE"""),"10.1016--j.cognition.2013.12.005.pdf")</f>
        <v>10.1016--j.cognition.2013.12.005.pdf</v>
      </c>
      <c r="D3320" s="159" t="str">
        <f>IFERROR(__xludf.DUMMYFUNCTION("""COMPUTED_VALUE"""),"application/pdf")</f>
        <v>application/pdf</v>
      </c>
    </row>
    <row r="3321">
      <c r="A3321" s="339" t="str">
        <f>IFERROR(__xludf.DUMMYFUNCTION("""COMPUTED_VALUE"""),"10.1016/j.cognition.2013.02.008")</f>
        <v>10.1016/j.cognition.2013.02.008</v>
      </c>
      <c r="B3321" s="445" t="str">
        <f>IFERROR(__xludf.DUMMYFUNCTION("""COMPUTED_VALUE"""),"https://drive.google.com/file/d/1kb4iozdFSFtKZKGvaK7sOkqlr4kI2jg5/view?usp=drivesdk")</f>
        <v>https://drive.google.com/file/d/1kb4iozdFSFtKZKGvaK7sOkqlr4kI2jg5/view?usp=drivesdk</v>
      </c>
      <c r="C3321" s="339" t="str">
        <f>IFERROR(__xludf.DUMMYFUNCTION("""COMPUTED_VALUE"""),"10.1016--j.cognition.2013.02.008.pdf")</f>
        <v>10.1016--j.cognition.2013.02.008.pdf</v>
      </c>
      <c r="D3321" s="159" t="str">
        <f>IFERROR(__xludf.DUMMYFUNCTION("""COMPUTED_VALUE"""),"application/pdf")</f>
        <v>application/pdf</v>
      </c>
    </row>
    <row r="3322">
      <c r="A3322" s="339" t="str">
        <f>IFERROR(__xludf.DUMMYFUNCTION("""COMPUTED_VALUE"""),"10.1016/j.cognition.2012.05.017")</f>
        <v>10.1016/j.cognition.2012.05.017</v>
      </c>
      <c r="B3322" s="445" t="str">
        <f>IFERROR(__xludf.DUMMYFUNCTION("""COMPUTED_VALUE"""),"https://drive.google.com/file/d/1rYKmBnC6-cppCzt4DERsstyRR5gk2db1/view?usp=drivesdk")</f>
        <v>https://drive.google.com/file/d/1rYKmBnC6-cppCzt4DERsstyRR5gk2db1/view?usp=drivesdk</v>
      </c>
      <c r="C3322" s="339" t="str">
        <f>IFERROR(__xludf.DUMMYFUNCTION("""COMPUTED_VALUE"""),"10.1016--j.cognition.2012.05.017.pdf")</f>
        <v>10.1016--j.cognition.2012.05.017.pdf</v>
      </c>
      <c r="D3322" s="159" t="str">
        <f>IFERROR(__xludf.DUMMYFUNCTION("""COMPUTED_VALUE"""),"application/pdf")</f>
        <v>application/pdf</v>
      </c>
    </row>
    <row r="3323">
      <c r="A3323" s="339" t="str">
        <f>IFERROR(__xludf.DUMMYFUNCTION("""COMPUTED_VALUE"""),"10.1016/j.cognition.2007.11.004")</f>
        <v>10.1016/j.cognition.2007.11.004</v>
      </c>
      <c r="B3323" s="445" t="str">
        <f>IFERROR(__xludf.DUMMYFUNCTION("""COMPUTED_VALUE"""),"https://drive.google.com/file/d/15WVNsHu4qw18Mufo3UCjKv6cq2gXORb0/view?usp=drivesdk")</f>
        <v>https://drive.google.com/file/d/15WVNsHu4qw18Mufo3UCjKv6cq2gXORb0/view?usp=drivesdk</v>
      </c>
      <c r="C3323" s="339" t="str">
        <f>IFERROR(__xludf.DUMMYFUNCTION("""COMPUTED_VALUE"""),"10.1016--j.cognition.2007.11.004.pdf")</f>
        <v>10.1016--j.cognition.2007.11.004.pdf</v>
      </c>
      <c r="D3323" s="159" t="str">
        <f>IFERROR(__xludf.DUMMYFUNCTION("""COMPUTED_VALUE"""),"application/pdf")</f>
        <v>application/pdf</v>
      </c>
    </row>
    <row r="3324">
      <c r="A3324" s="339" t="str">
        <f>IFERROR(__xludf.DUMMYFUNCTION("""COMPUTED_VALUE"""),"10.1016/j.cognition.2011.04.005")</f>
        <v>10.1016/j.cognition.2011.04.005</v>
      </c>
      <c r="B3324" s="445" t="str">
        <f>IFERROR(__xludf.DUMMYFUNCTION("""COMPUTED_VALUE"""),"https://drive.google.com/file/d/1rfhy0H3N2i18Q2nk5882hihBrKt6EiZo/view?usp=drivesdk")</f>
        <v>https://drive.google.com/file/d/1rfhy0H3N2i18Q2nk5882hihBrKt6EiZo/view?usp=drivesdk</v>
      </c>
      <c r="C3324" s="339" t="str">
        <f>IFERROR(__xludf.DUMMYFUNCTION("""COMPUTED_VALUE"""),"10.1016--j.cognition.2011.04.005.pdf")</f>
        <v>10.1016--j.cognition.2011.04.005.pdf</v>
      </c>
      <c r="D3324" s="159" t="str">
        <f>IFERROR(__xludf.DUMMYFUNCTION("""COMPUTED_VALUE"""),"application/pdf")</f>
        <v>application/pdf</v>
      </c>
    </row>
    <row r="3325">
      <c r="A3325" s="339" t="str">
        <f>IFERROR(__xludf.DUMMYFUNCTION("""COMPUTED_VALUE"""),"10.1016/j.cognition.2003.10.003")</f>
        <v>10.1016/j.cognition.2003.10.003</v>
      </c>
      <c r="B3325" s="445" t="str">
        <f>IFERROR(__xludf.DUMMYFUNCTION("""COMPUTED_VALUE"""),"https://drive.google.com/file/d/1iXbJmAfK9HnzZ8oDPYgQfHqZeVcgywaq/view?usp=drivesdk")</f>
        <v>https://drive.google.com/file/d/1iXbJmAfK9HnzZ8oDPYgQfHqZeVcgywaq/view?usp=drivesdk</v>
      </c>
      <c r="C3325" s="339" t="str">
        <f>IFERROR(__xludf.DUMMYFUNCTION("""COMPUTED_VALUE"""),"10.1016--j.cognition.2003.10.003.pdf")</f>
        <v>10.1016--j.cognition.2003.10.003.pdf</v>
      </c>
      <c r="D3325" s="159" t="str">
        <f>IFERROR(__xludf.DUMMYFUNCTION("""COMPUTED_VALUE"""),"application/pdf")</f>
        <v>application/pdf</v>
      </c>
    </row>
    <row r="3326">
      <c r="A3326" s="339" t="str">
        <f>IFERROR(__xludf.DUMMYFUNCTION("""COMPUTED_VALUE"""),"10.1016/j.cogdev.2010.09.001")</f>
        <v>10.1016/j.cogdev.2010.09.001</v>
      </c>
      <c r="B3326" s="445" t="str">
        <f>IFERROR(__xludf.DUMMYFUNCTION("""COMPUTED_VALUE"""),"https://drive.google.com/file/d/1M0Xd_T8fusHFgXmv-HDFJpVyg0Ga7w1w/view?usp=drivesdk")</f>
        <v>https://drive.google.com/file/d/1M0Xd_T8fusHFgXmv-HDFJpVyg0Ga7w1w/view?usp=drivesdk</v>
      </c>
      <c r="C3326" s="339" t="str">
        <f>IFERROR(__xludf.DUMMYFUNCTION("""COMPUTED_VALUE"""),"10.1016--j.cogdev.2010.09.001.pdf")</f>
        <v>10.1016--j.cogdev.2010.09.001.pdf</v>
      </c>
      <c r="D3326" s="159" t="str">
        <f>IFERROR(__xludf.DUMMYFUNCTION("""COMPUTED_VALUE"""),"application/pdf")</f>
        <v>application/pdf</v>
      </c>
    </row>
    <row r="3327">
      <c r="A3327" s="339" t="str">
        <f>IFERROR(__xludf.DUMMYFUNCTION("""COMPUTED_VALUE"""),"10.1016/j.cedpsych.2019.101834")</f>
        <v>10.1016/j.cedpsych.2019.101834</v>
      </c>
      <c r="B3327" s="445" t="str">
        <f>IFERROR(__xludf.DUMMYFUNCTION("""COMPUTED_VALUE"""),"https://drive.google.com/file/d/1ey3svgzi5RXI2O-RNCBTZkx8IlV-kKzo/view?usp=drivesdk")</f>
        <v>https://drive.google.com/file/d/1ey3svgzi5RXI2O-RNCBTZkx8IlV-kKzo/view?usp=drivesdk</v>
      </c>
      <c r="C3327" s="339" t="str">
        <f>IFERROR(__xludf.DUMMYFUNCTION("""COMPUTED_VALUE"""),"10.1016--j.cedpsych.2019.101834.pdf")</f>
        <v>10.1016--j.cedpsych.2019.101834.pdf</v>
      </c>
      <c r="D3327" s="159" t="str">
        <f>IFERROR(__xludf.DUMMYFUNCTION("""COMPUTED_VALUE"""),"application/pdf")</f>
        <v>application/pdf</v>
      </c>
    </row>
    <row r="3328">
      <c r="A3328" s="339" t="str">
        <f>IFERROR(__xludf.DUMMYFUNCTION("""COMPUTED_VALUE"""),"10.1016/j.appet.2020.104808")</f>
        <v>10.1016/j.appet.2020.104808</v>
      </c>
      <c r="B3328" s="445" t="str">
        <f>IFERROR(__xludf.DUMMYFUNCTION("""COMPUTED_VALUE"""),"https://drive.google.com/file/d/1qyGORRGdQy-kyOSM_2vtKP7-BEAhuKWX/view?usp=drivesdk")</f>
        <v>https://drive.google.com/file/d/1qyGORRGdQy-kyOSM_2vtKP7-BEAhuKWX/view?usp=drivesdk</v>
      </c>
      <c r="C3328" s="339" t="str">
        <f>IFERROR(__xludf.DUMMYFUNCTION("""COMPUTED_VALUE"""),"10.1016--j.appet.2020.104808.pdf")</f>
        <v>10.1016--j.appet.2020.104808.pdf</v>
      </c>
      <c r="D3328" s="159" t="str">
        <f>IFERROR(__xludf.DUMMYFUNCTION("""COMPUTED_VALUE"""),"application/pdf")</f>
        <v>application/pdf</v>
      </c>
    </row>
    <row r="3329">
      <c r="A3329" s="339" t="str">
        <f>IFERROR(__xludf.DUMMYFUNCTION("""COMPUTED_VALUE"""),"10.1016/j.obhdp.2006.10.001")</f>
        <v>10.1016/j.obhdp.2006.10.001</v>
      </c>
      <c r="B3329" s="445" t="str">
        <f>IFERROR(__xludf.DUMMYFUNCTION("""COMPUTED_VALUE"""),"https://drive.google.com/file/d/1FWRQbooJB3yBxAT3Bu0VtKlQVOCCrmTE/view?usp=drivesdk")</f>
        <v>https://drive.google.com/file/d/1FWRQbooJB3yBxAT3Bu0VtKlQVOCCrmTE/view?usp=drivesdk</v>
      </c>
      <c r="C3329" s="339" t="str">
        <f>IFERROR(__xludf.DUMMYFUNCTION("""COMPUTED_VALUE"""),"10.1016--j.obhdp.2006.10.001.pdf")</f>
        <v>10.1016--j.obhdp.2006.10.001.pdf</v>
      </c>
      <c r="D3329" s="159" t="str">
        <f>IFERROR(__xludf.DUMMYFUNCTION("""COMPUTED_VALUE"""),"application/pdf")</f>
        <v>application/pdf</v>
      </c>
    </row>
    <row r="3330">
      <c r="A3330" s="339" t="str">
        <f>IFERROR(__xludf.DUMMYFUNCTION("""COMPUTED_VALUE"""),"10.1016/b978-0-12-205050-3.50008-7")</f>
        <v>10.1016/b978-0-12-205050-3.50008-7</v>
      </c>
      <c r="B3330" s="445" t="str">
        <f>IFERROR(__xludf.DUMMYFUNCTION("""COMPUTED_VALUE"""),"https://drive.google.com/file/d/13YTFwHRFNpBSnxofMWEZYB4DFgqick6w/view?usp=drivesdk")</f>
        <v>https://drive.google.com/file/d/13YTFwHRFNpBSnxofMWEZYB4DFgqick6w/view?usp=drivesdk</v>
      </c>
      <c r="C3330" s="339" t="str">
        <f>IFERROR(__xludf.DUMMYFUNCTION("""COMPUTED_VALUE"""),"10.1016--b978-0-12-205050-3.50008-7.pdf")</f>
        <v>10.1016--b978-0-12-205050-3.50008-7.pdf</v>
      </c>
      <c r="D3330" s="159" t="str">
        <f>IFERROR(__xludf.DUMMYFUNCTION("""COMPUTED_VALUE"""),"application/pdf")</f>
        <v>application/pdf</v>
      </c>
    </row>
    <row r="3331">
      <c r="A3331" s="339" t="str">
        <f>IFERROR(__xludf.DUMMYFUNCTION("""COMPUTED_VALUE"""),"10.1016/0749-596x(87)90098-2")</f>
        <v>10.1016/0749-596x(87)90098-2</v>
      </c>
      <c r="B3331" s="445" t="str">
        <f>IFERROR(__xludf.DUMMYFUNCTION("""COMPUTED_VALUE"""),"https://drive.google.com/file/d/1DzRA3qe8CQXBgcDoOXxyAWU63P40Fwio/view?usp=drivesdk")</f>
        <v>https://drive.google.com/file/d/1DzRA3qe8CQXBgcDoOXxyAWU63P40Fwio/view?usp=drivesdk</v>
      </c>
      <c r="C3331" s="339" t="str">
        <f>IFERROR(__xludf.DUMMYFUNCTION("""COMPUTED_VALUE"""),"10.1016--0749-596x(87)90098-2.pdf")</f>
        <v>10.1016--0749-596x(87)90098-2.pdf</v>
      </c>
      <c r="D3331" s="159" t="str">
        <f>IFERROR(__xludf.DUMMYFUNCTION("""COMPUTED_VALUE"""),"application/pdf")</f>
        <v>application/pdf</v>
      </c>
    </row>
    <row r="3332">
      <c r="A3332" s="339" t="str">
        <f>IFERROR(__xludf.DUMMYFUNCTION("""COMPUTED_VALUE"""),"10.1016/0022-1031(91)90011-t")</f>
        <v>10.1016/0022-1031(91)90011-t</v>
      </c>
      <c r="B3332" s="445" t="str">
        <f>IFERROR(__xludf.DUMMYFUNCTION("""COMPUTED_VALUE"""),"https://drive.google.com/file/d/119yIqQfYVVKN0GW9NpqUkpEkA8m1xmUD/view?usp=drivesdk")</f>
        <v>https://drive.google.com/file/d/119yIqQfYVVKN0GW9NpqUkpEkA8m1xmUD/view?usp=drivesdk</v>
      </c>
      <c r="C3332" s="339" t="str">
        <f>IFERROR(__xludf.DUMMYFUNCTION("""COMPUTED_VALUE"""),"10.1016--0022-1031(91)90011-T.pdf")</f>
        <v>10.1016--0022-1031(91)90011-T.pdf</v>
      </c>
      <c r="D3332" s="159" t="str">
        <f>IFERROR(__xludf.DUMMYFUNCTION("""COMPUTED_VALUE"""),"application/pdf")</f>
        <v>application/pdf</v>
      </c>
    </row>
    <row r="3333">
      <c r="A3333" s="339" t="str">
        <f>IFERROR(__xludf.DUMMYFUNCTION("""COMPUTED_VALUE"""),"10.1016/0191-8869(89)90005-6")</f>
        <v>10.1016/0191-8869(89)90005-6</v>
      </c>
      <c r="B3333" s="445" t="str">
        <f>IFERROR(__xludf.DUMMYFUNCTION("""COMPUTED_VALUE"""),"https://drive.google.com/file/d/15-Qaf3mc5XQEsuoEm8ghrVO5S8iGirFd/view?usp=drivesdk")</f>
        <v>https://drive.google.com/file/d/15-Qaf3mc5XQEsuoEm8ghrVO5S8iGirFd/view?usp=drivesdk</v>
      </c>
      <c r="C3333" s="339" t="str">
        <f>IFERROR(__xludf.DUMMYFUNCTION("""COMPUTED_VALUE"""),"10.1016--0191-8869(89)90005-6.pdf")</f>
        <v>10.1016--0191-8869(89)90005-6.pdf</v>
      </c>
      <c r="D3333" s="159" t="str">
        <f>IFERROR(__xludf.DUMMYFUNCTION("""COMPUTED_VALUE"""),"application/pdf")</f>
        <v>application/pdf</v>
      </c>
    </row>
    <row r="3334">
      <c r="A3334" s="339" t="str">
        <f>IFERROR(__xludf.DUMMYFUNCTION("""COMPUTED_VALUE"""),"10.1016/0022-1031(77)90049-x")</f>
        <v>10.1016/0022-1031(77)90049-x</v>
      </c>
      <c r="B3334" s="445" t="str">
        <f>IFERROR(__xludf.DUMMYFUNCTION("""COMPUTED_VALUE"""),"https://drive.google.com/file/d/1od2a-ouaTJO4fTukPdaEiu377d_BcufB/view?usp=drivesdk")</f>
        <v>https://drive.google.com/file/d/1od2a-ouaTJO4fTukPdaEiu377d_BcufB/view?usp=drivesdk</v>
      </c>
      <c r="C3334" s="339" t="str">
        <f>IFERROR(__xludf.DUMMYFUNCTION("""COMPUTED_VALUE"""),"10.1016--0022-1031(77)90049-X.pdf")</f>
        <v>10.1016--0022-1031(77)90049-X.pdf</v>
      </c>
      <c r="D3334" s="159" t="str">
        <f>IFERROR(__xludf.DUMMYFUNCTION("""COMPUTED_VALUE"""),"application/pdf")</f>
        <v>application/pdf</v>
      </c>
    </row>
    <row r="3335">
      <c r="A3335" s="339" t="str">
        <f>IFERROR(__xludf.DUMMYFUNCTION("""COMPUTED_VALUE"""),"10.1016/0010-0285(90)90003-m")</f>
        <v>10.1016/0010-0285(90)90003-m</v>
      </c>
      <c r="B3335" s="445" t="str">
        <f>IFERROR(__xludf.DUMMYFUNCTION("""COMPUTED_VALUE"""),"https://drive.google.com/file/d/1Th-_BL7lfGgtgvuj6_C-xLWQLks88DXP/view?usp=drivesdk")</f>
        <v>https://drive.google.com/file/d/1Th-_BL7lfGgtgvuj6_C-xLWQLks88DXP/view?usp=drivesdk</v>
      </c>
      <c r="C3335" s="339" t="str">
        <f>IFERROR(__xludf.DUMMYFUNCTION("""COMPUTED_VALUE"""),"10.1016--0010-0285(90)90003-m.pdf")</f>
        <v>10.1016--0010-0285(90)90003-m.pdf</v>
      </c>
      <c r="D3335" s="159" t="str">
        <f>IFERROR(__xludf.DUMMYFUNCTION("""COMPUTED_VALUE"""),"application/pdf")</f>
        <v>application/pdf</v>
      </c>
    </row>
    <row r="3336">
      <c r="A3336" s="339" t="str">
        <f>IFERROR(__xludf.DUMMYFUNCTION("""COMPUTED_VALUE"""),"10.1016/0010-0285(73)90033-9")</f>
        <v>10.1016/0010-0285(73)90033-9</v>
      </c>
      <c r="B3336" s="445" t="str">
        <f>IFERROR(__xludf.DUMMYFUNCTION("""COMPUTED_VALUE"""),"https://drive.google.com/file/d/1p9X3tD24EWbnOA_5MSM9HTgujzLisIGn/view?usp=drivesdk")</f>
        <v>https://drive.google.com/file/d/1p9X3tD24EWbnOA_5MSM9HTgujzLisIGn/view?usp=drivesdk</v>
      </c>
      <c r="C3336" s="339" t="str">
        <f>IFERROR(__xludf.DUMMYFUNCTION("""COMPUTED_VALUE"""),"10.1016--0010-0285(73)90033-9.pdf")</f>
        <v>10.1016--0010-0285(73)90033-9.pdf</v>
      </c>
      <c r="D3336" s="159" t="str">
        <f>IFERROR(__xludf.DUMMYFUNCTION("""COMPUTED_VALUE"""),"application/pdf")</f>
        <v>application/pdf</v>
      </c>
    </row>
    <row r="3337">
      <c r="A3337" s="339" t="str">
        <f>IFERROR(__xludf.DUMMYFUNCTION("""COMPUTED_VALUE"""),"10.1016/0010-0277(89)90023-1")</f>
        <v>10.1016/0010-0277(89)90023-1</v>
      </c>
      <c r="B3337" s="445" t="str">
        <f>IFERROR(__xludf.DUMMYFUNCTION("""COMPUTED_VALUE"""),"https://drive.google.com/file/d/1zZsKWNkjPZ_9g4uOGvy2Ov6tWL-rEee5/view?usp=drivesdk")</f>
        <v>https://drive.google.com/file/d/1zZsKWNkjPZ_9g4uOGvy2Ov6tWL-rEee5/view?usp=drivesdk</v>
      </c>
      <c r="C3337" s="339" t="str">
        <f>IFERROR(__xludf.DUMMYFUNCTION("""COMPUTED_VALUE"""),"10.1016--0010-0277(89)90023-1.pdf")</f>
        <v>10.1016--0010-0277(89)90023-1.pdf</v>
      </c>
      <c r="D3337" s="159" t="str">
        <f>IFERROR(__xludf.DUMMYFUNCTION("""COMPUTED_VALUE"""),"application/pdf")</f>
        <v>application/pdf</v>
      </c>
    </row>
    <row r="3338">
      <c r="A3338" s="339" t="str">
        <f>IFERROR(__xludf.DUMMYFUNCTION("""COMPUTED_VALUE"""),"10.1016/0006-3223(85)90216-1")</f>
        <v>10.1016/0006-3223(85)90216-1</v>
      </c>
      <c r="B3338" s="445" t="str">
        <f>IFERROR(__xludf.DUMMYFUNCTION("""COMPUTED_VALUE"""),"https://drive.google.com/file/d/1M25zQAcBVGOJlUmqXGI2IsFDOOQqBMhb/view?usp=drivesdk")</f>
        <v>https://drive.google.com/file/d/1M25zQAcBVGOJlUmqXGI2IsFDOOQqBMhb/view?usp=drivesdk</v>
      </c>
      <c r="C3338" s="339" t="str">
        <f>IFERROR(__xludf.DUMMYFUNCTION("""COMPUTED_VALUE"""),"10.1016--0006-3223(85)90216-1.pdf")</f>
        <v>10.1016--0006-3223(85)90216-1.pdf</v>
      </c>
      <c r="D3338" s="159" t="str">
        <f>IFERROR(__xludf.DUMMYFUNCTION("""COMPUTED_VALUE"""),"application/pdf")</f>
        <v>application/pdf</v>
      </c>
    </row>
    <row r="3339">
      <c r="A3339" s="339" t="str">
        <f>IFERROR(__xludf.DUMMYFUNCTION("""COMPUTED_VALUE"""),"10.1016/0001-6918(82)90036-1")</f>
        <v>10.1016/0001-6918(82)90036-1</v>
      </c>
      <c r="B3339" s="445" t="str">
        <f>IFERROR(__xludf.DUMMYFUNCTION("""COMPUTED_VALUE"""),"https://drive.google.com/file/d/1XrLjSPpAxn5KMB8LOBiyjOkXRag4jGSC/view?usp=drivesdk")</f>
        <v>https://drive.google.com/file/d/1XrLjSPpAxn5KMB8LOBiyjOkXRag4jGSC/view?usp=drivesdk</v>
      </c>
      <c r="C3339" s="339" t="str">
        <f>IFERROR(__xludf.DUMMYFUNCTION("""COMPUTED_VALUE"""),"10.1016--0001-6918(82)90036-1.pdf")</f>
        <v>10.1016--0001-6918(82)90036-1.pdf</v>
      </c>
      <c r="D3339" s="159" t="str">
        <f>IFERROR(__xludf.DUMMYFUNCTION("""COMPUTED_VALUE"""),"application/pdf")</f>
        <v>application/pdf</v>
      </c>
    </row>
    <row r="3340">
      <c r="A3340" s="339" t="str">
        <f>IFERROR(__xludf.DUMMYFUNCTION("""COMPUTED_VALUE"""),"10.1016/0001-6918(81)90005-6")</f>
        <v>10.1016/0001-6918(81)90005-6</v>
      </c>
      <c r="B3340" s="445" t="str">
        <f>IFERROR(__xludf.DUMMYFUNCTION("""COMPUTED_VALUE"""),"https://drive.google.com/file/d/1sbpmVib3DRD00b_W6U6tFq_cgTbXsBXK/view?usp=drivesdk")</f>
        <v>https://drive.google.com/file/d/1sbpmVib3DRD00b_W6U6tFq_cgTbXsBXK/view?usp=drivesdk</v>
      </c>
      <c r="C3340" s="339" t="str">
        <f>IFERROR(__xludf.DUMMYFUNCTION("""COMPUTED_VALUE"""),"10.1016--0001-6918(81)90005-6.pdf")</f>
        <v>10.1016--0001-6918(81)90005-6.pdf</v>
      </c>
      <c r="D3340" s="159" t="str">
        <f>IFERROR(__xludf.DUMMYFUNCTION("""COMPUTED_VALUE"""),"application/pdf")</f>
        <v>application/pdf</v>
      </c>
    </row>
    <row r="3341">
      <c r="A3341" s="339" t="str">
        <f>IFERROR(__xludf.DUMMYFUNCTION("""COMPUTED_VALUE"""),"10.1007/s13164-013-0162-3")</f>
        <v>10.1007/s13164-013-0162-3</v>
      </c>
      <c r="B3341" s="445" t="str">
        <f>IFERROR(__xludf.DUMMYFUNCTION("""COMPUTED_VALUE"""),"https://drive.google.com/file/d/1_iGxIOrj5vzUvhOaCiFYGOOkUVaaRx4p/view?usp=drivesdk")</f>
        <v>https://drive.google.com/file/d/1_iGxIOrj5vzUvhOaCiFYGOOkUVaaRx4p/view?usp=drivesdk</v>
      </c>
      <c r="C3341" s="339" t="str">
        <f>IFERROR(__xludf.DUMMYFUNCTION("""COMPUTED_VALUE"""),"10.1007--s13164-013-0162-3.pdf")</f>
        <v>10.1007--s13164-013-0162-3.pdf</v>
      </c>
      <c r="D3341" s="159" t="str">
        <f>IFERROR(__xludf.DUMMYFUNCTION("""COMPUTED_VALUE"""),"application/pdf")</f>
        <v>application/pdf</v>
      </c>
    </row>
    <row r="3342">
      <c r="A3342" s="339" t="str">
        <f>IFERROR(__xludf.DUMMYFUNCTION("""COMPUTED_VALUE"""),"10.1007/s40979-020-00054-6")</f>
        <v>10.1007/s40979-020-00054-6</v>
      </c>
      <c r="B3342" s="445" t="str">
        <f>IFERROR(__xludf.DUMMYFUNCTION("""COMPUTED_VALUE"""),"https://drive.google.com/file/d/1eolW8jXTH5JysX-KEzNra0wdcfMzRMQ7/view?usp=drivesdk")</f>
        <v>https://drive.google.com/file/d/1eolW8jXTH5JysX-KEzNra0wdcfMzRMQ7/view?usp=drivesdk</v>
      </c>
      <c r="C3342" s="339" t="str">
        <f>IFERROR(__xludf.DUMMYFUNCTION("""COMPUTED_VALUE"""),"10.1007--s40979-020-00054-6.pdf")</f>
        <v>10.1007--s40979-020-00054-6.pdf</v>
      </c>
      <c r="D3342" s="159" t="str">
        <f>IFERROR(__xludf.DUMMYFUNCTION("""COMPUTED_VALUE"""),"application/pdf")</f>
        <v>application/pdf</v>
      </c>
    </row>
    <row r="3343">
      <c r="A3343" s="339" t="str">
        <f>IFERROR(__xludf.DUMMYFUNCTION("""COMPUTED_VALUE"""),"10.1007/s13164-013-0154-3")</f>
        <v>10.1007/s13164-013-0154-3</v>
      </c>
      <c r="B3343" s="445" t="str">
        <f>IFERROR(__xludf.DUMMYFUNCTION("""COMPUTED_VALUE"""),"https://drive.google.com/file/d/1sQtBrEeqN1XM_1Qv0mJvDeDfWVWHohWY/view?usp=drivesdk")</f>
        <v>https://drive.google.com/file/d/1sQtBrEeqN1XM_1Qv0mJvDeDfWVWHohWY/view?usp=drivesdk</v>
      </c>
      <c r="C3343" s="339" t="str">
        <f>IFERROR(__xludf.DUMMYFUNCTION("""COMPUTED_VALUE"""),"10.1007--s13164-013-0154-3.pdf")</f>
        <v>10.1007--s13164-013-0154-3.pdf</v>
      </c>
      <c r="D3343" s="159" t="str">
        <f>IFERROR(__xludf.DUMMYFUNCTION("""COMPUTED_VALUE"""),"application/pdf")</f>
        <v>application/pdf</v>
      </c>
    </row>
    <row r="3344">
      <c r="A3344" s="339" t="str">
        <f>IFERROR(__xludf.DUMMYFUNCTION("""COMPUTED_VALUE"""),"10.1007/s12152-008-9015-7")</f>
        <v>10.1007/s12152-008-9015-7</v>
      </c>
      <c r="B3344" s="445" t="str">
        <f>IFERROR(__xludf.DUMMYFUNCTION("""COMPUTED_VALUE"""),"https://drive.google.com/file/d/1esh5oqCpj4F374ZeOWGrHgAoZG4Cbaxf/view?usp=drivesdk")</f>
        <v>https://drive.google.com/file/d/1esh5oqCpj4F374ZeOWGrHgAoZG4Cbaxf/view?usp=drivesdk</v>
      </c>
      <c r="C3344" s="339" t="str">
        <f>IFERROR(__xludf.DUMMYFUNCTION("""COMPUTED_VALUE"""),"10.1007--s12152-008-9015-7.pdf")</f>
        <v>10.1007--s12152-008-9015-7.pdf</v>
      </c>
      <c r="D3344" s="159" t="str">
        <f>IFERROR(__xludf.DUMMYFUNCTION("""COMPUTED_VALUE"""),"application/pdf")</f>
        <v>application/pdf</v>
      </c>
    </row>
    <row r="3345">
      <c r="A3345" s="339" t="str">
        <f>IFERROR(__xludf.DUMMYFUNCTION("""COMPUTED_VALUE"""),"10.1007/s11301-017-0128-0")</f>
        <v>10.1007/s11301-017-0128-0</v>
      </c>
      <c r="B3345" s="445" t="str">
        <f>IFERROR(__xludf.DUMMYFUNCTION("""COMPUTED_VALUE"""),"https://drive.google.com/file/d/1fYU6m89P7a9_kPBInjEs0n_wRBj5O5zZ/view?usp=drivesdk")</f>
        <v>https://drive.google.com/file/d/1fYU6m89P7a9_kPBInjEs0n_wRBj5O5zZ/view?usp=drivesdk</v>
      </c>
      <c r="C3345" s="339" t="str">
        <f>IFERROR(__xludf.DUMMYFUNCTION("""COMPUTED_VALUE"""),"10.1007--s11301-017-0128-0.pdf")</f>
        <v>10.1007--s11301-017-0128-0.pdf</v>
      </c>
      <c r="D3345" s="159" t="str">
        <f>IFERROR(__xludf.DUMMYFUNCTION("""COMPUTED_VALUE"""),"application/pdf")</f>
        <v>application/pdf</v>
      </c>
    </row>
    <row r="3346">
      <c r="A3346" s="339" t="str">
        <f>IFERROR(__xludf.DUMMYFUNCTION("""COMPUTED_VALUE"""),"10.1007/s11098-010-9651-8")</f>
        <v>10.1007/s11098-010-9651-8</v>
      </c>
      <c r="B3346" s="445" t="str">
        <f>IFERROR(__xludf.DUMMYFUNCTION("""COMPUTED_VALUE"""),"https://drive.google.com/file/d/1pcJJj-dcZ2YUNw-3w1ykB27KPj9Bj-By/view?usp=drivesdk")</f>
        <v>https://drive.google.com/file/d/1pcJJj-dcZ2YUNw-3w1ykB27KPj9Bj-By/view?usp=drivesdk</v>
      </c>
      <c r="C3346" s="339" t="str">
        <f>IFERROR(__xludf.DUMMYFUNCTION("""COMPUTED_VALUE"""),"10.1007--s11098-010-9651-8.pdf")</f>
        <v>10.1007--s11098-010-9651-8.pdf</v>
      </c>
      <c r="D3346" s="159" t="str">
        <f>IFERROR(__xludf.DUMMYFUNCTION("""COMPUTED_VALUE"""),"application/pdf")</f>
        <v>application/pdf</v>
      </c>
    </row>
    <row r="3347">
      <c r="A3347" s="339" t="str">
        <f>IFERROR(__xludf.DUMMYFUNCTION("""COMPUTED_VALUE"""),"10.1007/s11098-009-9439-x")</f>
        <v>10.1007/s11098-009-9439-x</v>
      </c>
      <c r="B3347" s="445" t="str">
        <f>IFERROR(__xludf.DUMMYFUNCTION("""COMPUTED_VALUE"""),"https://drive.google.com/file/d/1tY7SvX2n-lCVOB9eR5KtC31EmD0a4uX2/view?usp=drivesdk")</f>
        <v>https://drive.google.com/file/d/1tY7SvX2n-lCVOB9eR5KtC31EmD0a4uX2/view?usp=drivesdk</v>
      </c>
      <c r="C3347" s="339" t="str">
        <f>IFERROR(__xludf.DUMMYFUNCTION("""COMPUTED_VALUE"""),"10.1007--s11098-009-9439-x.pdf")</f>
        <v>10.1007--s11098-009-9439-x.pdf</v>
      </c>
      <c r="D3347" s="159" t="str">
        <f>IFERROR(__xludf.DUMMYFUNCTION("""COMPUTED_VALUE"""),"application/pdf")</f>
        <v>application/pdf</v>
      </c>
    </row>
    <row r="3348">
      <c r="A3348" s="339" t="str">
        <f>IFERROR(__xludf.DUMMYFUNCTION("""COMPUTED_VALUE"""),"10.1007/s11098-004-4510-0")</f>
        <v>10.1007/s11098-004-4510-0</v>
      </c>
      <c r="B3348" s="445" t="str">
        <f>IFERROR(__xludf.DUMMYFUNCTION("""COMPUTED_VALUE"""),"https://drive.google.com/file/d/1O4qy3ZvKUUKMZck64Co6Vh7IIH6aPDik/view?usp=drivesdk")</f>
        <v>https://drive.google.com/file/d/1O4qy3ZvKUUKMZck64Co6Vh7IIH6aPDik/view?usp=drivesdk</v>
      </c>
      <c r="C3348" s="339" t="str">
        <f>IFERROR(__xludf.DUMMYFUNCTION("""COMPUTED_VALUE"""),"10.1007--s11098-004-4510-0.pdf")</f>
        <v>10.1007--s11098-004-4510-0.pdf</v>
      </c>
      <c r="D3348" s="159" t="str">
        <f>IFERROR(__xludf.DUMMYFUNCTION("""COMPUTED_VALUE"""),"application/pdf")</f>
        <v>application/pdf</v>
      </c>
    </row>
    <row r="3349">
      <c r="A3349" s="339" t="str">
        <f>IFERROR(__xludf.DUMMYFUNCTION("""COMPUTED_VALUE"""),"10.1007/s10802-020-00712-w")</f>
        <v>10.1007/s10802-020-00712-w</v>
      </c>
      <c r="B3349" s="445" t="str">
        <f>IFERROR(__xludf.DUMMYFUNCTION("""COMPUTED_VALUE"""),"https://drive.google.com/file/d/1-hACoGBMYzWfW-abiG6hh6iaoZvehEax/view?usp=drivesdk")</f>
        <v>https://drive.google.com/file/d/1-hACoGBMYzWfW-abiG6hh6iaoZvehEax/view?usp=drivesdk</v>
      </c>
      <c r="C3349" s="339" t="str">
        <f>IFERROR(__xludf.DUMMYFUNCTION("""COMPUTED_VALUE"""),"10.1007--s10802-020-00712-w.pdf")</f>
        <v>10.1007--s10802-020-00712-w.pdf</v>
      </c>
      <c r="D3349" s="159" t="str">
        <f>IFERROR(__xludf.DUMMYFUNCTION("""COMPUTED_VALUE"""),"application/pdf")</f>
        <v>application/pdf</v>
      </c>
    </row>
    <row r="3350">
      <c r="A3350" s="339" t="str">
        <f>IFERROR(__xludf.DUMMYFUNCTION("""COMPUTED_VALUE"""),"10.1007/s10071-009-0257-5")</f>
        <v>10.1007/s10071-009-0257-5</v>
      </c>
      <c r="B3350" s="445" t="str">
        <f>IFERROR(__xludf.DUMMYFUNCTION("""COMPUTED_VALUE"""),"https://drive.google.com/file/d/11lIs3bWSV7G1bde5YZqgb9uJGpymjf2k/view?usp=drivesdk")</f>
        <v>https://drive.google.com/file/d/11lIs3bWSV7G1bde5YZqgb9uJGpymjf2k/view?usp=drivesdk</v>
      </c>
      <c r="C3350" s="339" t="str">
        <f>IFERROR(__xludf.DUMMYFUNCTION("""COMPUTED_VALUE"""),"10.1007--s10071-009-0257-5.pdf")</f>
        <v>10.1007--s10071-009-0257-5.pdf</v>
      </c>
      <c r="D3350" s="159" t="str">
        <f>IFERROR(__xludf.DUMMYFUNCTION("""COMPUTED_VALUE"""),"application/pdf")</f>
        <v>application/pdf</v>
      </c>
    </row>
    <row r="3351">
      <c r="A3351" s="339" t="str">
        <f>IFERROR(__xludf.DUMMYFUNCTION("""COMPUTED_VALUE"""),"10.1007/s00426-002-0086-5")</f>
        <v>10.1007/s00426-002-0086-5</v>
      </c>
      <c r="B3351" s="445" t="str">
        <f>IFERROR(__xludf.DUMMYFUNCTION("""COMPUTED_VALUE"""),"https://drive.google.com/file/d/1ydN4sTIr0QTGdMhZmDJ_GxX6RiO5cK_p/view?usp=drivesdk")</f>
        <v>https://drive.google.com/file/d/1ydN4sTIr0QTGdMhZmDJ_GxX6RiO5cK_p/view?usp=drivesdk</v>
      </c>
      <c r="C3351" s="339" t="str">
        <f>IFERROR(__xludf.DUMMYFUNCTION("""COMPUTED_VALUE"""),"10.1007--s00426-002-0086-5.pdf")</f>
        <v>10.1007--s00426-002-0086-5.pdf</v>
      </c>
      <c r="D3351" s="159" t="str">
        <f>IFERROR(__xludf.DUMMYFUNCTION("""COMPUTED_VALUE"""),"application/pdf")</f>
        <v>application/pdf</v>
      </c>
    </row>
    <row r="3352">
      <c r="A3352" s="339" t="str">
        <f>IFERROR(__xludf.DUMMYFUNCTION("""COMPUTED_VALUE"""),"10.1007/bf00055564")</f>
        <v>10.1007/bf00055564</v>
      </c>
      <c r="B3352" s="445" t="str">
        <f>IFERROR(__xludf.DUMMYFUNCTION("""COMPUTED_VALUE"""),"https://drive.google.com/file/d/1GTQ8DttYpXbULplpRAwajCjBQJZrFpwH/view?usp=drivesdk")</f>
        <v>https://drive.google.com/file/d/1GTQ8DttYpXbULplpRAwajCjBQJZrFpwH/view?usp=drivesdk</v>
      </c>
      <c r="C3352" s="339" t="str">
        <f>IFERROR(__xludf.DUMMYFUNCTION("""COMPUTED_VALUE"""),"10.1007--BF00055564.pdf")</f>
        <v>10.1007--BF00055564.pdf</v>
      </c>
      <c r="D3352" s="159" t="str">
        <f>IFERROR(__xludf.DUMMYFUNCTION("""COMPUTED_VALUE"""),"application/pdf")</f>
        <v>application/pdf</v>
      </c>
    </row>
    <row r="3353">
      <c r="A3353" s="339" t="str">
        <f>IFERROR(__xludf.DUMMYFUNCTION("""COMPUTED_VALUE"""),"10.1006/jesp.1998.1373")</f>
        <v>10.1006/jesp.1998.1373</v>
      </c>
      <c r="B3353" s="445" t="str">
        <f>IFERROR(__xludf.DUMMYFUNCTION("""COMPUTED_VALUE"""),"https://drive.google.com/file/d/18wDNGwEtS0NcrA2dAvx1zgK-ByZks7mw/view?usp=drivesdk")</f>
        <v>https://drive.google.com/file/d/18wDNGwEtS0NcrA2dAvx1zgK-ByZks7mw/view?usp=drivesdk</v>
      </c>
      <c r="C3353" s="339" t="str">
        <f>IFERROR(__xludf.DUMMYFUNCTION("""COMPUTED_VALUE"""),"10.1006--jesp.1998.1373.pdf")</f>
        <v>10.1006--jesp.1998.1373.pdf</v>
      </c>
      <c r="D3353" s="159" t="str">
        <f>IFERROR(__xludf.DUMMYFUNCTION("""COMPUTED_VALUE"""),"application/pdf")</f>
        <v>application/pdf</v>
      </c>
    </row>
    <row r="3354">
      <c r="A3354" s="339" t="str">
        <f>IFERROR(__xludf.DUMMYFUNCTION("""COMPUTED_VALUE"""),"10.1006/jmla.1998.2602")</f>
        <v>10.1006/jmla.1998.2602</v>
      </c>
      <c r="B3354" s="445" t="str">
        <f>IFERROR(__xludf.DUMMYFUNCTION("""COMPUTED_VALUE"""),"https://drive.google.com/file/d/1ctmfPUj9wwC3h5aO2V0hXfG37U2nCE3e/view?usp=drivesdk")</f>
        <v>https://drive.google.com/file/d/1ctmfPUj9wwC3h5aO2V0hXfG37U2nCE3e/view?usp=drivesdk</v>
      </c>
      <c r="C3354" s="339" t="str">
        <f>IFERROR(__xludf.DUMMYFUNCTION("""COMPUTED_VALUE"""),"10.1006--jmla.1998.2602.pdf")</f>
        <v>10.1006--jmla.1998.2602.pdf</v>
      </c>
      <c r="D3354" s="159" t="str">
        <f>IFERROR(__xludf.DUMMYFUNCTION("""COMPUTED_VALUE"""),"application/pdf")</f>
        <v>application/pdf</v>
      </c>
    </row>
    <row r="3355">
      <c r="A3355" s="339" t="str">
        <f>IFERROR(__xludf.DUMMYFUNCTION("""COMPUTED_VALUE"""),"10.1002/jeab.546")</f>
        <v>10.1002/jeab.546</v>
      </c>
      <c r="B3355" s="445" t="str">
        <f>IFERROR(__xludf.DUMMYFUNCTION("""COMPUTED_VALUE"""),"https://drive.google.com/file/d/1BNCsWCKj_ArnGXZwaeQIcZ03z9s391QO/view?usp=drivesdk")</f>
        <v>https://drive.google.com/file/d/1BNCsWCKj_ArnGXZwaeQIcZ03z9s391QO/view?usp=drivesdk</v>
      </c>
      <c r="C3355" s="339" t="str">
        <f>IFERROR(__xludf.DUMMYFUNCTION("""COMPUTED_VALUE"""),"10.1002--jeab.546.pdf")</f>
        <v>10.1002--jeab.546.pdf</v>
      </c>
      <c r="D3355" s="159" t="str">
        <f>IFERROR(__xludf.DUMMYFUNCTION("""COMPUTED_VALUE"""),"application/pdf")</f>
        <v>application/pdf</v>
      </c>
    </row>
    <row r="3356">
      <c r="A3356" s="339" t="str">
        <f>IFERROR(__xludf.DUMMYFUNCTION("""COMPUTED_VALUE"""),"10.1006/jesp.1996.1314")</f>
        <v>10.1006/jesp.1996.1314</v>
      </c>
      <c r="B3356" s="445" t="str">
        <f>IFERROR(__xludf.DUMMYFUNCTION("""COMPUTED_VALUE"""),"https://drive.google.com/file/d/1Wq0sSamnAgMWLJLZEAdHMNTgHVF3F_wg/view?usp=drivesdk")</f>
        <v>https://drive.google.com/file/d/1Wq0sSamnAgMWLJLZEAdHMNTgHVF3F_wg/view?usp=drivesdk</v>
      </c>
      <c r="C3356" s="339" t="str">
        <f>IFERROR(__xludf.DUMMYFUNCTION("""COMPUTED_VALUE"""),"10.1006--jesp.1996.1314.pdf")</f>
        <v>10.1006--jesp.1996.1314.pdf</v>
      </c>
      <c r="D3356" s="159" t="str">
        <f>IFERROR(__xludf.DUMMYFUNCTION("""COMPUTED_VALUE"""),"application/pdf")</f>
        <v>application/pdf</v>
      </c>
    </row>
    <row r="3357">
      <c r="A3357" s="339" t="str">
        <f>IFERROR(__xludf.DUMMYFUNCTION("""COMPUTED_VALUE"""),"10.1002/jcpy.1028")</f>
        <v>10.1002/jcpy.1028</v>
      </c>
      <c r="B3357" s="445" t="str">
        <f>IFERROR(__xludf.DUMMYFUNCTION("""COMPUTED_VALUE"""),"https://drive.google.com/file/d/1dD_RkFuxQxk3hkxXbqultnhFhN1opB9Y/view?usp=drivesdk")</f>
        <v>https://drive.google.com/file/d/1dD_RkFuxQxk3hkxXbqultnhFhN1opB9Y/view?usp=drivesdk</v>
      </c>
      <c r="C3357" s="339" t="str">
        <f>IFERROR(__xludf.DUMMYFUNCTION("""COMPUTED_VALUE"""),"10.1002--jcpy.1028.pdf")</f>
        <v>10.1002--jcpy.1028.pdf</v>
      </c>
      <c r="D3357" s="159" t="str">
        <f>IFERROR(__xludf.DUMMYFUNCTION("""COMPUTED_VALUE"""),"application/pdf")</f>
        <v>application/pdf</v>
      </c>
    </row>
    <row r="3358">
      <c r="A3358" s="339" t="str">
        <f>IFERROR(__xludf.DUMMYFUNCTION("""COMPUTED_VALUE"""),"10.1002/ejsp.2420170402")</f>
        <v>10.1002/ejsp.2420170402</v>
      </c>
      <c r="B3358" s="445" t="str">
        <f>IFERROR(__xludf.DUMMYFUNCTION("""COMPUTED_VALUE"""),"https://drive.google.com/file/d/1V03D6SadgRB81BNo3fV5NxWC_bZKMZSm/view?usp=drivesdk")</f>
        <v>https://drive.google.com/file/d/1V03D6SadgRB81BNo3fV5NxWC_bZKMZSm/view?usp=drivesdk</v>
      </c>
      <c r="C3358" s="339" t="str">
        <f>IFERROR(__xludf.DUMMYFUNCTION("""COMPUTED_VALUE"""),"10.1002--ejsp.2420170402.pdf")</f>
        <v>10.1002--ejsp.2420170402.pdf</v>
      </c>
      <c r="D3358" s="159" t="str">
        <f>IFERROR(__xludf.DUMMYFUNCTION("""COMPUTED_VALUE"""),"application/pdf")</f>
        <v>application/pdf</v>
      </c>
    </row>
    <row r="3359">
      <c r="A3359" s="339" t="str">
        <f>IFERROR(__xludf.DUMMYFUNCTION("""COMPUTED_VALUE"""),"10.1002/jaba.686")</f>
        <v>10.1002/jaba.686</v>
      </c>
      <c r="B3359" s="445" t="str">
        <f>IFERROR(__xludf.DUMMYFUNCTION("""COMPUTED_VALUE"""),"https://drive.google.com/file/d/1wNYmBBQACZKlJDlgIxup_p9zVgPtzSpC/view?usp=drivesdk")</f>
        <v>https://drive.google.com/file/d/1wNYmBBQACZKlJDlgIxup_p9zVgPtzSpC/view?usp=drivesdk</v>
      </c>
      <c r="C3359" s="339" t="str">
        <f>IFERROR(__xludf.DUMMYFUNCTION("""COMPUTED_VALUE"""),"10.1002--jaba.686.pdf")</f>
        <v>10.1002--jaba.686.pdf</v>
      </c>
      <c r="D3359" s="159" t="str">
        <f>IFERROR(__xludf.DUMMYFUNCTION("""COMPUTED_VALUE"""),"application/pdf")</f>
        <v>application/pdf</v>
      </c>
    </row>
    <row r="3360">
      <c r="A3360" s="339" t="str">
        <f>IFERROR(__xludf.DUMMYFUNCTION("""COMPUTED_VALUE"""),"10.1002/ejsp.2013")</f>
        <v>10.1002/ejsp.2013</v>
      </c>
      <c r="B3360" s="445" t="str">
        <f>IFERROR(__xludf.DUMMYFUNCTION("""COMPUTED_VALUE"""),"https://drive.google.com/file/d/1KmyHkB13ZFEziyeMZJmfqm6YYEH53iJL/view?usp=drivesdk")</f>
        <v>https://drive.google.com/file/d/1KmyHkB13ZFEziyeMZJmfqm6YYEH53iJL/view?usp=drivesdk</v>
      </c>
      <c r="C3360" s="339" t="str">
        <f>IFERROR(__xludf.DUMMYFUNCTION("""COMPUTED_VALUE"""),"10.1002--ejsp.2013.pdf")</f>
        <v>10.1002--ejsp.2013.pdf</v>
      </c>
      <c r="D3360" s="159" t="str">
        <f>IFERROR(__xludf.DUMMYFUNCTION("""COMPUTED_VALUE"""),"application/pdf")</f>
        <v>application/pdf</v>
      </c>
    </row>
    <row r="3361">
      <c r="A3361" s="339" t="str">
        <f>IFERROR(__xludf.DUMMYFUNCTION("""COMPUTED_VALUE"""),"10.1002/bdm.586")</f>
        <v>10.1002/bdm.586</v>
      </c>
      <c r="B3361" s="445" t="str">
        <f>IFERROR(__xludf.DUMMYFUNCTION("""COMPUTED_VALUE"""),"https://drive.google.com/file/d/1j0mn959ZZSMHPHeyS9bW6vv9NzM9UaK_/view?usp=drivesdk")</f>
        <v>https://drive.google.com/file/d/1j0mn959ZZSMHPHeyS9bW6vv9NzM9UaK_/view?usp=drivesdk</v>
      </c>
      <c r="C3361" s="339" t="str">
        <f>IFERROR(__xludf.DUMMYFUNCTION("""COMPUTED_VALUE"""),"10.1002--bdm.586.pdf")</f>
        <v>10.1002--bdm.586.pdf</v>
      </c>
      <c r="D3361" s="159" t="str">
        <f>IFERROR(__xludf.DUMMYFUNCTION("""COMPUTED_VALUE"""),"application/pdf")</f>
        <v>application/pdf</v>
      </c>
    </row>
    <row r="3362">
      <c r="A3362" s="339" t="str">
        <f>IFERROR(__xludf.DUMMYFUNCTION("""COMPUTED_VALUE"""),"10.1002/bdm.492")</f>
        <v>10.1002/bdm.492</v>
      </c>
      <c r="B3362" s="445" t="str">
        <f>IFERROR(__xludf.DUMMYFUNCTION("""COMPUTED_VALUE"""),"https://drive.google.com/file/d/10tQQDvi74p0uwz_rfj_t6rPzAp-QJohQ/view?usp=drivesdk")</f>
        <v>https://drive.google.com/file/d/10tQQDvi74p0uwz_rfj_t6rPzAp-QJohQ/view?usp=drivesdk</v>
      </c>
      <c r="C3362" s="339" t="str">
        <f>IFERROR(__xludf.DUMMYFUNCTION("""COMPUTED_VALUE"""),"10.1002--bdm.492.pdf")</f>
        <v>10.1002--bdm.492.pdf</v>
      </c>
      <c r="D3362" s="159" t="str">
        <f>IFERROR(__xludf.DUMMYFUNCTION("""COMPUTED_VALUE"""),"application/pdf")</f>
        <v>application/pdf</v>
      </c>
    </row>
    <row r="3363">
      <c r="A3363" s="339" t="str">
        <f>IFERROR(__xludf.DUMMYFUNCTION("""COMPUTED_VALUE"""),"10.1002/bdm.495")</f>
        <v>10.1002/bdm.495</v>
      </c>
      <c r="B3363" s="445" t="str">
        <f>IFERROR(__xludf.DUMMYFUNCTION("""COMPUTED_VALUE"""),"https://drive.google.com/file/d/1stw59aWDD5tZ8snsZY-9UQqeP9WMpzts/view?usp=drivesdk")</f>
        <v>https://drive.google.com/file/d/1stw59aWDD5tZ8snsZY-9UQqeP9WMpzts/view?usp=drivesdk</v>
      </c>
      <c r="C3363" s="339" t="str">
        <f>IFERROR(__xludf.DUMMYFUNCTION("""COMPUTED_VALUE"""),"10.1002--bdm.495.pdf")</f>
        <v>10.1002--bdm.495.pdf</v>
      </c>
      <c r="D3363" s="159" t="str">
        <f>IFERROR(__xludf.DUMMYFUNCTION("""COMPUTED_VALUE"""),"application/pdf")</f>
        <v>application/pdf</v>
      </c>
    </row>
    <row r="3364">
      <c r="A3364" s="339" t="str">
        <f>IFERROR(__xludf.DUMMYFUNCTION("""COMPUTED_VALUE"""),"10.1002/bdm.2041")</f>
        <v>10.1002/bdm.2041</v>
      </c>
      <c r="B3364" s="445" t="str">
        <f>IFERROR(__xludf.DUMMYFUNCTION("""COMPUTED_VALUE"""),"https://drive.google.com/file/d/1YO1uT-ewP-5qv0jr683Nj5KCqmIRFxTa/view?usp=drivesdk")</f>
        <v>https://drive.google.com/file/d/1YO1uT-ewP-5qv0jr683Nj5KCqmIRFxTa/view?usp=drivesdk</v>
      </c>
      <c r="C3364" s="339" t="str">
        <f>IFERROR(__xludf.DUMMYFUNCTION("""COMPUTED_VALUE"""),"10.1002--bdm.2041.pdf")</f>
        <v>10.1002--bdm.2041.pdf</v>
      </c>
      <c r="D3364" s="159" t="str">
        <f>IFERROR(__xludf.DUMMYFUNCTION("""COMPUTED_VALUE"""),"application/pdf")</f>
        <v>application/pdf</v>
      </c>
    </row>
    <row r="3365">
      <c r="A3365" s="339" t="str">
        <f>IFERROR(__xludf.DUMMYFUNCTION("""COMPUTED_VALUE"""),"10.1002/(sici)1099-0771(200001/03)13:1&lt;1::aid-bdm333&gt;3.0.co;2-s")</f>
        <v>10.1002/(sici)1099-0771(200001/03)13:1&lt;1::aid-bdm333&gt;3.0.co;2-s</v>
      </c>
      <c r="B3365" s="445" t="str">
        <f>IFERROR(__xludf.DUMMYFUNCTION("""COMPUTED_VALUE"""),"https://drive.google.com/file/d/1pnD_JivZ_nDbGc8tbAkf6ZYd42gKIm_w/view?usp=drivesdk")</f>
        <v>https://drive.google.com/file/d/1pnD_JivZ_nDbGc8tbAkf6ZYd42gKIm_w/view?usp=drivesdk</v>
      </c>
      <c r="C3365" s="339" t="str">
        <f>IFERROR(__xludf.DUMMYFUNCTION("""COMPUTED_VALUE"""),"10.1002--(SICI)1099-0771(200001--03)13:1&lt;1::AID-BDM333&gt;3.0.CO;2-S.pdf")</f>
        <v>10.1002--(SICI)1099-0771(200001--03)13:1&lt;1::AID-BDM333&gt;3.0.CO;2-S.pdf</v>
      </c>
      <c r="D3365" s="159" t="str">
        <f>IFERROR(__xludf.DUMMYFUNCTION("""COMPUTED_VALUE"""),"application/pdf")</f>
        <v>application/pdf</v>
      </c>
    </row>
    <row r="3366">
      <c r="A3366" s="339" t="str">
        <f>IFERROR(__xludf.DUMMYFUNCTION("""COMPUTED_VALUE"""),"10.1002/(sici)1099-0771(199806)11:2&lt;107::aid-bdm292&gt;3.0.co;2-y")</f>
        <v>10.1002/(sici)1099-0771(199806)11:2&lt;107::aid-bdm292&gt;3.0.co;2-y</v>
      </c>
      <c r="B3366" s="445" t="str">
        <f>IFERROR(__xludf.DUMMYFUNCTION("""COMPUTED_VALUE"""),"https://drive.google.com/file/d/13uCKRkvqvsNdCzb2_BuUibZNm7bSygxU/view?usp=drivesdk")</f>
        <v>https://drive.google.com/file/d/13uCKRkvqvsNdCzb2_BuUibZNm7bSygxU/view?usp=drivesdk</v>
      </c>
      <c r="C3366" s="339" t="str">
        <f>IFERROR(__xludf.DUMMYFUNCTION("""COMPUTED_VALUE"""),"10.1002--(SICI)1099-0771(199806)11:2&lt;107::AID-BDM292&gt;3.0.CO;2-Y.pdf")</f>
        <v>10.1002--(SICI)1099-0771(199806)11:2&lt;107::AID-BDM292&gt;3.0.CO;2-Y.pdf</v>
      </c>
      <c r="D3366" s="159" t="str">
        <f>IFERROR(__xludf.DUMMYFUNCTION("""COMPUTED_VALUE"""),"application/pdf")</f>
        <v>application/pdf</v>
      </c>
    </row>
    <row r="3367">
      <c r="A3367" s="339" t="str">
        <f>IFERROR(__xludf.DUMMYFUNCTION("""COMPUTED_VALUE"""),"10.1177/0956797609359908")</f>
        <v>10.1177/0956797609359908</v>
      </c>
      <c r="B3367" s="445" t="str">
        <f>IFERROR(__xludf.DUMMYFUNCTION("""COMPUTED_VALUE"""),"https://drive.google.com/file/d/1CX-X4yZPIliMfb05V-exrVifx5i5gyZu/view?usp=drivesdk")</f>
        <v>https://drive.google.com/file/d/1CX-X4yZPIliMfb05V-exrVifx5i5gyZu/view?usp=drivesdk</v>
      </c>
      <c r="C3367" s="339" t="str">
        <f>IFERROR(__xludf.DUMMYFUNCTION("""COMPUTED_VALUE"""),"10.1177--0956797609359908.pdf")</f>
        <v>10.1177--0956797609359908.pdf</v>
      </c>
      <c r="D3367" s="159" t="str">
        <f>IFERROR(__xludf.DUMMYFUNCTION("""COMPUTED_VALUE"""),"application/pdf")</f>
        <v>application/pdf</v>
      </c>
    </row>
    <row r="3368">
      <c r="A3368" s="339" t="str">
        <f>IFERROR(__xludf.DUMMYFUNCTION("""COMPUTED_VALUE"""),"10.1177/0146167299025002007")</f>
        <v>10.1177/0146167299025002007</v>
      </c>
      <c r="B3368" s="445" t="str">
        <f>IFERROR(__xludf.DUMMYFUNCTION("""COMPUTED_VALUE"""),"https://drive.google.com/file/d/19HR11okzts2iI1bdWqGn2PnsBGvEbSxC/view?usp=drivesdk")</f>
        <v>https://drive.google.com/file/d/19HR11okzts2iI1bdWqGn2PnsBGvEbSxC/view?usp=drivesdk</v>
      </c>
      <c r="C3368" s="339" t="str">
        <f>IFERROR(__xludf.DUMMYFUNCTION("""COMPUTED_VALUE"""),"10.1177--0146167299025002007.pdf")</f>
        <v>10.1177--0146167299025002007.pdf</v>
      </c>
      <c r="D3368" s="159" t="str">
        <f>IFERROR(__xludf.DUMMYFUNCTION("""COMPUTED_VALUE"""),"application/pdf")</f>
        <v>application/pdf</v>
      </c>
    </row>
    <row r="3369">
      <c r="A3369" s="339" t="str">
        <f>IFERROR(__xludf.DUMMYFUNCTION("""COMPUTED_VALUE"""),"10.1177/0956797614524581")</f>
        <v>10.1177/0956797614524581</v>
      </c>
      <c r="B3369" s="445" t="str">
        <f>IFERROR(__xludf.DUMMYFUNCTION("""COMPUTED_VALUE"""),"https://drive.google.com/file/d/1GlWBowF1UBaZOdmpxK6j_6xz1lhczVu3/view?usp=drivesdk")</f>
        <v>https://drive.google.com/file/d/1GlWBowF1UBaZOdmpxK6j_6xz1lhczVu3/view?usp=drivesdk</v>
      </c>
      <c r="C3369" s="339" t="str">
        <f>IFERROR(__xludf.DUMMYFUNCTION("""COMPUTED_VALUE"""),"10.1177--0956797614524581.pdf")</f>
        <v>10.1177--0956797614524581.pdf</v>
      </c>
      <c r="D3369" s="159" t="str">
        <f>IFERROR(__xludf.DUMMYFUNCTION("""COMPUTED_VALUE"""),"application/pdf")</f>
        <v>application/pdf</v>
      </c>
    </row>
    <row r="3370">
      <c r="A3370" s="339" t="str">
        <f>IFERROR(__xludf.DUMMYFUNCTION("""COMPUTED_VALUE"""),"10.1111/j.1467-9280.2009.02326.x")</f>
        <v>10.1111/j.1467-9280.2009.02326.x</v>
      </c>
      <c r="B3370" s="445" t="str">
        <f>IFERROR(__xludf.DUMMYFUNCTION("""COMPUTED_VALUE"""),"https://drive.google.com/file/d/18O3cqWIfono-CDPIVLFNJVkA-2VNOHsv/view?usp=drivesdk")</f>
        <v>https://drive.google.com/file/d/18O3cqWIfono-CDPIVLFNJVkA-2VNOHsv/view?usp=drivesdk</v>
      </c>
      <c r="C3370" s="339" t="str">
        <f>IFERROR(__xludf.DUMMYFUNCTION("""COMPUTED_VALUE"""),"10.1111--j.1467-9280.2009.02326.x.pdf")</f>
        <v>10.1111--j.1467-9280.2009.02326.x.pdf</v>
      </c>
      <c r="D3370" s="159" t="str">
        <f>IFERROR(__xludf.DUMMYFUNCTION("""COMPUTED_VALUE"""),"application/pdf")</f>
        <v>application/pdf</v>
      </c>
    </row>
    <row r="3371">
      <c r="A3371" s="339" t="str">
        <f>IFERROR(__xludf.DUMMYFUNCTION("""COMPUTED_VALUE"""),"10.1093/jcr/ucx066")</f>
        <v>10.1093/jcr/ucx066</v>
      </c>
      <c r="B3371" s="445" t="str">
        <f>IFERROR(__xludf.DUMMYFUNCTION("""COMPUTED_VALUE"""),"https://drive.google.com/file/d/1KTndRLnspP4bSM08LU5xlAb5egjHN1hx/view?usp=drivesdk")</f>
        <v>https://drive.google.com/file/d/1KTndRLnspP4bSM08LU5xlAb5egjHN1hx/view?usp=drivesdk</v>
      </c>
      <c r="C3371" s="339" t="str">
        <f>IFERROR(__xludf.DUMMYFUNCTION("""COMPUTED_VALUE"""),"10.1093--jcr--ucx066.pdf")</f>
        <v>10.1093--jcr--ucx066.pdf</v>
      </c>
      <c r="D3371" s="159" t="str">
        <f>IFERROR(__xludf.DUMMYFUNCTION("""COMPUTED_VALUE"""),"application/pdf")</f>
        <v>application/pdf</v>
      </c>
    </row>
    <row r="3372">
      <c r="A3372" s="339" t="str">
        <f>IFERROR(__xludf.DUMMYFUNCTION("""COMPUTED_VALUE"""),"10.1093/jcr/ucv023")</f>
        <v>10.1093/jcr/ucv023</v>
      </c>
      <c r="B3372" s="445" t="str">
        <f>IFERROR(__xludf.DUMMYFUNCTION("""COMPUTED_VALUE"""),"https://drive.google.com/file/d/1qQJNn7ZvoufwBSS_pp5Ek1nTMCXq-Gfn/view?usp=drivesdk")</f>
        <v>https://drive.google.com/file/d/1qQJNn7ZvoufwBSS_pp5Ek1nTMCXq-Gfn/view?usp=drivesdk</v>
      </c>
      <c r="C3372" s="339" t="str">
        <f>IFERROR(__xludf.DUMMYFUNCTION("""COMPUTED_VALUE"""),"10.1093--jcr--ucv023.pdf")</f>
        <v>10.1093--jcr--ucv023.pdf</v>
      </c>
      <c r="D3372" s="159" t="str">
        <f>IFERROR(__xludf.DUMMYFUNCTION("""COMPUTED_VALUE"""),"application/pdf")</f>
        <v>application/pdf</v>
      </c>
    </row>
    <row r="3373">
      <c r="A3373" s="339" t="str">
        <f>IFERROR(__xludf.DUMMYFUNCTION("""COMPUTED_VALUE"""),"10.1037/h0031564")</f>
        <v>10.1037/h0031564</v>
      </c>
      <c r="B3373" s="445" t="str">
        <f>IFERROR(__xludf.DUMMYFUNCTION("""COMPUTED_VALUE"""),"https://drive.google.com/file/d/1kbXA2yjqn9_HAA7piV4GBkF0Jd0kjvnI/view?usp=drivesdk")</f>
        <v>https://drive.google.com/file/d/1kbXA2yjqn9_HAA7piV4GBkF0Jd0kjvnI/view?usp=drivesdk</v>
      </c>
      <c r="C3373" s="339" t="str">
        <f>IFERROR(__xludf.DUMMYFUNCTION("""COMPUTED_VALUE"""),"10.1037--h0031564.pdf")</f>
        <v>10.1037--h0031564.pdf</v>
      </c>
      <c r="D3373" s="159" t="str">
        <f>IFERROR(__xludf.DUMMYFUNCTION("""COMPUTED_VALUE"""),"application/pdf")</f>
        <v>application/pdf</v>
      </c>
    </row>
    <row r="3374">
      <c r="A3374" s="339" t="str">
        <f>IFERROR(__xludf.DUMMYFUNCTION("""COMPUTED_VALUE"""),"10.1037/h0040525")</f>
        <v>10.1037/h0040525</v>
      </c>
      <c r="B3374" s="445" t="str">
        <f>IFERROR(__xludf.DUMMYFUNCTION("""COMPUTED_VALUE"""),"https://drive.google.com/file/d/17EeLBgk-VXx8QhSm2-TUhXwWwk17IVL_/view?usp=drivesdk")</f>
        <v>https://drive.google.com/file/d/17EeLBgk-VXx8QhSm2-TUhXwWwk17IVL_/view?usp=drivesdk</v>
      </c>
      <c r="C3374" s="339" t="str">
        <f>IFERROR(__xludf.DUMMYFUNCTION("""COMPUTED_VALUE"""),"10.1037--h0040525.pdf")</f>
        <v>10.1037--h0040525.pdf</v>
      </c>
      <c r="D3374" s="159" t="str">
        <f>IFERROR(__xludf.DUMMYFUNCTION("""COMPUTED_VALUE"""),"application/pdf")</f>
        <v>application/pdf</v>
      </c>
    </row>
    <row r="3375">
      <c r="A3375" s="339" t="str">
        <f>IFERROR(__xludf.DUMMYFUNCTION("""COMPUTED_VALUE"""),"10.1073/pnas.1402786111")</f>
        <v>10.1073/pnas.1402786111</v>
      </c>
      <c r="B3375" s="445" t="str">
        <f>IFERROR(__xludf.DUMMYFUNCTION("""COMPUTED_VALUE"""),"https://drive.google.com/file/d/1ZdWoUy_MV_YcU7BTnK25M2XBBF0k5ovP/view?usp=drivesdk")</f>
        <v>https://drive.google.com/file/d/1ZdWoUy_MV_YcU7BTnK25M2XBBF0k5ovP/view?usp=drivesdk</v>
      </c>
      <c r="C3375" s="339" t="str">
        <f>IFERROR(__xludf.DUMMYFUNCTION("""COMPUTED_VALUE"""),"10.1073--pnas.1402786111.pdf")</f>
        <v>10.1073--pnas.1402786111.pdf</v>
      </c>
      <c r="D3375" s="159" t="str">
        <f>IFERROR(__xludf.DUMMYFUNCTION("""COMPUTED_VALUE"""),"application/pdf")</f>
        <v>application/pdf</v>
      </c>
    </row>
    <row r="3376">
      <c r="A3376" s="339" t="str">
        <f>IFERROR(__xludf.DUMMYFUNCTION("""COMPUTED_VALUE"""),"dois.csv")</f>
        <v>dois.csv</v>
      </c>
      <c r="B3376" s="445" t="str">
        <f>IFERROR(__xludf.DUMMYFUNCTION("""COMPUTED_VALUE"""),"https://drive.google.com/file/d/1vTYDdyFZxBfZ2xccMFQlAXInz9JM0Wim/view?usp=drivesdk")</f>
        <v>https://drive.google.com/file/d/1vTYDdyFZxBfZ2xccMFQlAXInz9JM0Wim/view?usp=drivesdk</v>
      </c>
      <c r="C3376" s="339" t="str">
        <f>IFERROR(__xludf.DUMMYFUNCTION("""COMPUTED_VALUE"""),"dois.csv")</f>
        <v>dois.csv</v>
      </c>
      <c r="D3376" s="159" t="str">
        <f>IFERROR(__xludf.DUMMYFUNCTION("""COMPUTED_VALUE"""),"text/csv")</f>
        <v>text/csv</v>
      </c>
    </row>
    <row r="3377">
      <c r="A3377" s="339" t="str">
        <f>IFERROR(__xludf.DUMMYFUNCTION("""COMPUTED_VALUE"""),"")</f>
        <v/>
      </c>
      <c r="B3377" s="339"/>
      <c r="C3377" s="339"/>
      <c r="D3377" s="159"/>
    </row>
    <row r="3378">
      <c r="A3378" s="339" t="str">
        <f>IFERROR(__xludf.DUMMYFUNCTION("""COMPUTED_VALUE"""),"")</f>
        <v/>
      </c>
      <c r="B3378" s="339"/>
      <c r="C3378" s="339"/>
      <c r="D3378" s="159"/>
    </row>
    <row r="3379">
      <c r="A3379" s="339" t="str">
        <f>IFERROR(__xludf.DUMMYFUNCTION("""COMPUTED_VALUE"""),"")</f>
        <v/>
      </c>
      <c r="B3379" s="339"/>
      <c r="C3379" s="339"/>
      <c r="D3379" s="159"/>
    </row>
    <row r="3380">
      <c r="A3380" s="339" t="str">
        <f>IFERROR(__xludf.DUMMYFUNCTION("""COMPUTED_VALUE"""),"")</f>
        <v/>
      </c>
      <c r="B3380" s="339"/>
      <c r="C3380" s="339"/>
      <c r="D3380" s="159"/>
    </row>
    <row r="3381">
      <c r="A3381" s="339" t="str">
        <f>IFERROR(__xludf.DUMMYFUNCTION("""COMPUTED_VALUE"""),"")</f>
        <v/>
      </c>
      <c r="B3381" s="339"/>
      <c r="C3381" s="339"/>
      <c r="D3381" s="159"/>
    </row>
    <row r="3382">
      <c r="A3382" s="339" t="str">
        <f>IFERROR(__xludf.DUMMYFUNCTION("""COMPUTED_VALUE"""),"")</f>
        <v/>
      </c>
      <c r="B3382" s="339"/>
      <c r="C3382" s="339"/>
      <c r="D3382" s="159"/>
    </row>
    <row r="3383">
      <c r="A3383" s="339" t="str">
        <f>IFERROR(__xludf.DUMMYFUNCTION("""COMPUTED_VALUE"""),"")</f>
        <v/>
      </c>
      <c r="B3383" s="339"/>
      <c r="C3383" s="339"/>
      <c r="D3383" s="159"/>
    </row>
    <row r="3384">
      <c r="A3384" s="339" t="str">
        <f>IFERROR(__xludf.DUMMYFUNCTION("""COMPUTED_VALUE"""),"")</f>
        <v/>
      </c>
      <c r="B3384" s="339"/>
      <c r="C3384" s="339"/>
      <c r="D3384" s="159"/>
    </row>
    <row r="3385">
      <c r="A3385" s="339" t="str">
        <f>IFERROR(__xludf.DUMMYFUNCTION("""COMPUTED_VALUE"""),"")</f>
        <v/>
      </c>
      <c r="B3385" s="339"/>
      <c r="C3385" s="339"/>
      <c r="D3385" s="159"/>
    </row>
    <row r="3386">
      <c r="A3386" s="339" t="str">
        <f>IFERROR(__xludf.DUMMYFUNCTION("""COMPUTED_VALUE"""),"")</f>
        <v/>
      </c>
      <c r="B3386" s="339"/>
      <c r="C3386" s="339"/>
      <c r="D3386" s="159"/>
    </row>
    <row r="3387">
      <c r="A3387" s="339" t="str">
        <f>IFERROR(__xludf.DUMMYFUNCTION("""COMPUTED_VALUE"""),"")</f>
        <v/>
      </c>
      <c r="B3387" s="339"/>
      <c r="C3387" s="339"/>
      <c r="D3387" s="159"/>
    </row>
    <row r="3388">
      <c r="A3388" s="339" t="str">
        <f>IFERROR(__xludf.DUMMYFUNCTION("""COMPUTED_VALUE"""),"")</f>
        <v/>
      </c>
      <c r="B3388" s="339"/>
      <c r="C3388" s="339"/>
      <c r="D3388" s="159"/>
    </row>
    <row r="3389">
      <c r="A3389" s="339" t="str">
        <f>IFERROR(__xludf.DUMMYFUNCTION("""COMPUTED_VALUE"""),"")</f>
        <v/>
      </c>
      <c r="B3389" s="339"/>
      <c r="C3389" s="339"/>
      <c r="D3389" s="159"/>
    </row>
    <row r="3390">
      <c r="A3390" s="339" t="str">
        <f>IFERROR(__xludf.DUMMYFUNCTION("""COMPUTED_VALUE"""),"")</f>
        <v/>
      </c>
      <c r="B3390" s="339"/>
      <c r="C3390" s="339"/>
      <c r="D3390" s="159"/>
    </row>
    <row r="3391">
      <c r="A3391" s="339" t="str">
        <f>IFERROR(__xludf.DUMMYFUNCTION("""COMPUTED_VALUE"""),"")</f>
        <v/>
      </c>
      <c r="B3391" s="339"/>
      <c r="C3391" s="339"/>
      <c r="D3391" s="159"/>
    </row>
    <row r="3392">
      <c r="A3392" s="339" t="str">
        <f>IFERROR(__xludf.DUMMYFUNCTION("""COMPUTED_VALUE"""),"")</f>
        <v/>
      </c>
      <c r="B3392" s="339"/>
      <c r="C3392" s="339"/>
      <c r="D3392" s="159"/>
    </row>
    <row r="3393">
      <c r="A3393" s="339" t="str">
        <f>IFERROR(__xludf.DUMMYFUNCTION("""COMPUTED_VALUE"""),"")</f>
        <v/>
      </c>
      <c r="B3393" s="339"/>
      <c r="C3393" s="339"/>
      <c r="D3393" s="159"/>
    </row>
    <row r="3394">
      <c r="A3394" s="339" t="str">
        <f>IFERROR(__xludf.DUMMYFUNCTION("""COMPUTED_VALUE"""),"")</f>
        <v/>
      </c>
      <c r="B3394" s="339"/>
      <c r="C3394" s="339"/>
      <c r="D3394" s="159"/>
    </row>
    <row r="3395">
      <c r="A3395" s="339" t="str">
        <f>IFERROR(__xludf.DUMMYFUNCTION("""COMPUTED_VALUE"""),"")</f>
        <v/>
      </c>
      <c r="B3395" s="339"/>
      <c r="C3395" s="339"/>
      <c r="D3395" s="159"/>
    </row>
    <row r="3396">
      <c r="A3396" s="339" t="str">
        <f>IFERROR(__xludf.DUMMYFUNCTION("""COMPUTED_VALUE"""),"")</f>
        <v/>
      </c>
      <c r="B3396" s="339"/>
      <c r="C3396" s="339"/>
      <c r="D3396" s="159"/>
    </row>
    <row r="3397">
      <c r="A3397" s="339" t="str">
        <f>IFERROR(__xludf.DUMMYFUNCTION("""COMPUTED_VALUE"""),"")</f>
        <v/>
      </c>
      <c r="B3397" s="339"/>
      <c r="C3397" s="339"/>
      <c r="D3397" s="159"/>
    </row>
    <row r="3398">
      <c r="A3398" s="339" t="str">
        <f>IFERROR(__xludf.DUMMYFUNCTION("""COMPUTED_VALUE"""),"")</f>
        <v/>
      </c>
      <c r="B3398" s="339"/>
      <c r="C3398" s="339"/>
      <c r="D3398" s="159"/>
    </row>
    <row r="3399">
      <c r="A3399" s="339" t="str">
        <f>IFERROR(__xludf.DUMMYFUNCTION("""COMPUTED_VALUE"""),"")</f>
        <v/>
      </c>
      <c r="B3399" s="339"/>
      <c r="C3399" s="339"/>
      <c r="D3399" s="159"/>
    </row>
    <row r="3400">
      <c r="A3400" s="339" t="str">
        <f>IFERROR(__xludf.DUMMYFUNCTION("""COMPUTED_VALUE"""),"")</f>
        <v/>
      </c>
      <c r="B3400" s="339"/>
      <c r="C3400" s="339"/>
      <c r="D3400" s="159"/>
    </row>
    <row r="3401">
      <c r="A3401" s="339" t="str">
        <f>IFERROR(__xludf.DUMMYFUNCTION("""COMPUTED_VALUE"""),"")</f>
        <v/>
      </c>
      <c r="B3401" s="339"/>
      <c r="C3401" s="339"/>
      <c r="D3401" s="159"/>
    </row>
    <row r="3402">
      <c r="A3402" s="339" t="str">
        <f>IFERROR(__xludf.DUMMYFUNCTION("""COMPUTED_VALUE"""),"")</f>
        <v/>
      </c>
      <c r="B3402" s="339"/>
      <c r="C3402" s="339"/>
      <c r="D3402" s="159"/>
    </row>
    <row r="3403">
      <c r="A3403" s="339" t="str">
        <f>IFERROR(__xludf.DUMMYFUNCTION("""COMPUTED_VALUE"""),"")</f>
        <v/>
      </c>
      <c r="B3403" s="339"/>
      <c r="C3403" s="339"/>
      <c r="D3403" s="159"/>
    </row>
    <row r="3404">
      <c r="A3404" s="339" t="str">
        <f>IFERROR(__xludf.DUMMYFUNCTION("""COMPUTED_VALUE"""),"")</f>
        <v/>
      </c>
      <c r="B3404" s="339"/>
      <c r="C3404" s="339"/>
      <c r="D3404" s="159"/>
    </row>
    <row r="3405">
      <c r="A3405" s="339" t="str">
        <f>IFERROR(__xludf.DUMMYFUNCTION("""COMPUTED_VALUE"""),"")</f>
        <v/>
      </c>
      <c r="B3405" s="339"/>
      <c r="C3405" s="339"/>
      <c r="D3405" s="159"/>
    </row>
    <row r="3406">
      <c r="A3406" s="339" t="str">
        <f>IFERROR(__xludf.DUMMYFUNCTION("""COMPUTED_VALUE"""),"")</f>
        <v/>
      </c>
      <c r="B3406" s="339"/>
      <c r="C3406" s="339"/>
      <c r="D3406" s="159"/>
    </row>
    <row r="3407">
      <c r="A3407" s="339" t="str">
        <f>IFERROR(__xludf.DUMMYFUNCTION("""COMPUTED_VALUE"""),"")</f>
        <v/>
      </c>
      <c r="B3407" s="339"/>
      <c r="C3407" s="339"/>
      <c r="D3407" s="159"/>
    </row>
    <row r="3408">
      <c r="A3408" s="339" t="str">
        <f>IFERROR(__xludf.DUMMYFUNCTION("""COMPUTED_VALUE"""),"")</f>
        <v/>
      </c>
      <c r="B3408" s="339"/>
      <c r="C3408" s="339"/>
      <c r="D3408" s="159"/>
    </row>
    <row r="3409">
      <c r="A3409" s="339" t="str">
        <f>IFERROR(__xludf.DUMMYFUNCTION("""COMPUTED_VALUE"""),"")</f>
        <v/>
      </c>
      <c r="B3409" s="339"/>
      <c r="C3409" s="339"/>
      <c r="D3409" s="159"/>
    </row>
    <row r="3410">
      <c r="A3410" s="339" t="str">
        <f>IFERROR(__xludf.DUMMYFUNCTION("""COMPUTED_VALUE"""),"")</f>
        <v/>
      </c>
      <c r="B3410" s="339"/>
      <c r="C3410" s="339"/>
      <c r="D3410" s="159"/>
    </row>
    <row r="3411">
      <c r="A3411" s="339" t="str">
        <f>IFERROR(__xludf.DUMMYFUNCTION("""COMPUTED_VALUE"""),"")</f>
        <v/>
      </c>
      <c r="B3411" s="339"/>
      <c r="C3411" s="339"/>
      <c r="D3411" s="159"/>
    </row>
    <row r="3412">
      <c r="A3412" s="339" t="str">
        <f>IFERROR(__xludf.DUMMYFUNCTION("""COMPUTED_VALUE"""),"")</f>
        <v/>
      </c>
      <c r="B3412" s="339"/>
      <c r="C3412" s="339"/>
      <c r="D3412" s="159"/>
    </row>
    <row r="3413">
      <c r="A3413" s="339" t="str">
        <f>IFERROR(__xludf.DUMMYFUNCTION("""COMPUTED_VALUE"""),"")</f>
        <v/>
      </c>
      <c r="B3413" s="339"/>
      <c r="C3413" s="339"/>
      <c r="D3413" s="159"/>
    </row>
    <row r="3414">
      <c r="A3414" s="339" t="str">
        <f>IFERROR(__xludf.DUMMYFUNCTION("""COMPUTED_VALUE"""),"")</f>
        <v/>
      </c>
      <c r="B3414" s="339"/>
      <c r="C3414" s="339"/>
      <c r="D3414" s="159"/>
    </row>
    <row r="3415">
      <c r="A3415" s="339" t="str">
        <f>IFERROR(__xludf.DUMMYFUNCTION("""COMPUTED_VALUE"""),"")</f>
        <v/>
      </c>
      <c r="B3415" s="339"/>
      <c r="C3415" s="339"/>
      <c r="D3415" s="159"/>
    </row>
    <row r="3416">
      <c r="A3416" s="339" t="str">
        <f>IFERROR(__xludf.DUMMYFUNCTION("""COMPUTED_VALUE"""),"")</f>
        <v/>
      </c>
      <c r="B3416" s="339"/>
      <c r="C3416" s="339"/>
      <c r="D3416" s="159"/>
    </row>
    <row r="3417">
      <c r="A3417" s="339" t="str">
        <f>IFERROR(__xludf.DUMMYFUNCTION("""COMPUTED_VALUE"""),"")</f>
        <v/>
      </c>
      <c r="B3417" s="339"/>
      <c r="C3417" s="339"/>
      <c r="D3417" s="159"/>
    </row>
    <row r="3418">
      <c r="A3418" s="339" t="str">
        <f>IFERROR(__xludf.DUMMYFUNCTION("""COMPUTED_VALUE"""),"")</f>
        <v/>
      </c>
      <c r="B3418" s="339"/>
      <c r="C3418" s="339"/>
      <c r="D3418" s="159"/>
    </row>
    <row r="3419">
      <c r="A3419" s="339" t="str">
        <f>IFERROR(__xludf.DUMMYFUNCTION("""COMPUTED_VALUE"""),"")</f>
        <v/>
      </c>
      <c r="B3419" s="339"/>
      <c r="C3419" s="339"/>
      <c r="D3419" s="159"/>
    </row>
    <row r="3420">
      <c r="A3420" s="339" t="str">
        <f>IFERROR(__xludf.DUMMYFUNCTION("""COMPUTED_VALUE"""),"")</f>
        <v/>
      </c>
      <c r="B3420" s="339"/>
      <c r="C3420" s="339"/>
      <c r="D3420" s="159"/>
    </row>
    <row r="3421">
      <c r="A3421" s="339" t="str">
        <f>IFERROR(__xludf.DUMMYFUNCTION("""COMPUTED_VALUE"""),"")</f>
        <v/>
      </c>
      <c r="B3421" s="339"/>
      <c r="C3421" s="339"/>
      <c r="D3421" s="159"/>
    </row>
    <row r="3422">
      <c r="A3422" s="339" t="str">
        <f>IFERROR(__xludf.DUMMYFUNCTION("""COMPUTED_VALUE"""),"")</f>
        <v/>
      </c>
      <c r="B3422" s="339"/>
      <c r="C3422" s="339"/>
      <c r="D3422" s="159"/>
    </row>
    <row r="3423">
      <c r="A3423" s="339" t="str">
        <f>IFERROR(__xludf.DUMMYFUNCTION("""COMPUTED_VALUE"""),"")</f>
        <v/>
      </c>
      <c r="B3423" s="339"/>
      <c r="C3423" s="339"/>
      <c r="D3423" s="159"/>
    </row>
    <row r="3424">
      <c r="A3424" s="339" t="str">
        <f>IFERROR(__xludf.DUMMYFUNCTION("""COMPUTED_VALUE"""),"")</f>
        <v/>
      </c>
      <c r="B3424" s="339"/>
      <c r="C3424" s="339"/>
      <c r="D3424" s="159"/>
    </row>
    <row r="3425">
      <c r="A3425" s="339" t="str">
        <f>IFERROR(__xludf.DUMMYFUNCTION("""COMPUTED_VALUE"""),"")</f>
        <v/>
      </c>
      <c r="B3425" s="339"/>
      <c r="C3425" s="339"/>
      <c r="D3425" s="159"/>
    </row>
    <row r="3426">
      <c r="A3426" s="339" t="str">
        <f>IFERROR(__xludf.DUMMYFUNCTION("""COMPUTED_VALUE"""),"")</f>
        <v/>
      </c>
      <c r="B3426" s="339"/>
      <c r="C3426" s="339"/>
      <c r="D3426" s="159"/>
    </row>
    <row r="3427">
      <c r="A3427" s="339" t="str">
        <f>IFERROR(__xludf.DUMMYFUNCTION("""COMPUTED_VALUE"""),"")</f>
        <v/>
      </c>
      <c r="B3427" s="339"/>
      <c r="C3427" s="339"/>
      <c r="D3427" s="159"/>
    </row>
    <row r="3428">
      <c r="A3428" s="339" t="str">
        <f>IFERROR(__xludf.DUMMYFUNCTION("""COMPUTED_VALUE"""),"")</f>
        <v/>
      </c>
      <c r="B3428" s="339"/>
      <c r="C3428" s="339"/>
      <c r="D3428" s="159"/>
    </row>
    <row r="3429">
      <c r="A3429" s="339" t="str">
        <f>IFERROR(__xludf.DUMMYFUNCTION("""COMPUTED_VALUE"""),"")</f>
        <v/>
      </c>
      <c r="B3429" s="339"/>
      <c r="C3429" s="339"/>
      <c r="D3429" s="159"/>
    </row>
    <row r="3430">
      <c r="A3430" s="339" t="str">
        <f>IFERROR(__xludf.DUMMYFUNCTION("""COMPUTED_VALUE"""),"")</f>
        <v/>
      </c>
      <c r="B3430" s="339"/>
      <c r="C3430" s="339"/>
      <c r="D3430" s="159"/>
    </row>
    <row r="3431">
      <c r="A3431" s="339" t="str">
        <f>IFERROR(__xludf.DUMMYFUNCTION("""COMPUTED_VALUE"""),"")</f>
        <v/>
      </c>
      <c r="B3431" s="339"/>
      <c r="C3431" s="339"/>
      <c r="D3431" s="159"/>
    </row>
    <row r="3432">
      <c r="A3432" s="339" t="str">
        <f>IFERROR(__xludf.DUMMYFUNCTION("""COMPUTED_VALUE"""),"")</f>
        <v/>
      </c>
      <c r="B3432" s="339"/>
      <c r="C3432" s="339"/>
      <c r="D3432" s="159"/>
    </row>
    <row r="3433">
      <c r="A3433" s="339" t="str">
        <f>IFERROR(__xludf.DUMMYFUNCTION("""COMPUTED_VALUE"""),"")</f>
        <v/>
      </c>
      <c r="B3433" s="339"/>
      <c r="C3433" s="339"/>
      <c r="D3433" s="159"/>
    </row>
    <row r="3434">
      <c r="A3434" s="339" t="str">
        <f>IFERROR(__xludf.DUMMYFUNCTION("""COMPUTED_VALUE"""),"")</f>
        <v/>
      </c>
      <c r="B3434" s="339"/>
      <c r="C3434" s="339"/>
      <c r="D3434" s="159"/>
    </row>
    <row r="3435">
      <c r="A3435" s="339" t="str">
        <f>IFERROR(__xludf.DUMMYFUNCTION("""COMPUTED_VALUE"""),"")</f>
        <v/>
      </c>
      <c r="B3435" s="339"/>
      <c r="C3435" s="339"/>
      <c r="D3435" s="159"/>
    </row>
    <row r="3436">
      <c r="A3436" s="339" t="str">
        <f>IFERROR(__xludf.DUMMYFUNCTION("""COMPUTED_VALUE"""),"")</f>
        <v/>
      </c>
      <c r="B3436" s="339"/>
      <c r="C3436" s="339"/>
      <c r="D3436" s="159"/>
    </row>
    <row r="3437">
      <c r="A3437" s="339" t="str">
        <f>IFERROR(__xludf.DUMMYFUNCTION("""COMPUTED_VALUE"""),"")</f>
        <v/>
      </c>
      <c r="B3437" s="339"/>
      <c r="C3437" s="339"/>
      <c r="D3437" s="159"/>
    </row>
    <row r="3438">
      <c r="A3438" s="339" t="str">
        <f>IFERROR(__xludf.DUMMYFUNCTION("""COMPUTED_VALUE"""),"")</f>
        <v/>
      </c>
      <c r="B3438" s="339"/>
      <c r="C3438" s="339"/>
      <c r="D3438" s="159"/>
    </row>
    <row r="3439">
      <c r="A3439" s="339" t="str">
        <f>IFERROR(__xludf.DUMMYFUNCTION("""COMPUTED_VALUE"""),"")</f>
        <v/>
      </c>
      <c r="B3439" s="339"/>
      <c r="C3439" s="339"/>
      <c r="D3439" s="159"/>
    </row>
    <row r="3440">
      <c r="A3440" s="339" t="str">
        <f>IFERROR(__xludf.DUMMYFUNCTION("""COMPUTED_VALUE"""),"")</f>
        <v/>
      </c>
      <c r="B3440" s="339"/>
      <c r="C3440" s="339"/>
      <c r="D3440" s="159"/>
    </row>
    <row r="3441">
      <c r="A3441" s="339" t="str">
        <f>IFERROR(__xludf.DUMMYFUNCTION("""COMPUTED_VALUE"""),"")</f>
        <v/>
      </c>
      <c r="B3441" s="339"/>
      <c r="C3441" s="339"/>
      <c r="D3441" s="159"/>
    </row>
    <row r="3442">
      <c r="A3442" s="339" t="str">
        <f>IFERROR(__xludf.DUMMYFUNCTION("""COMPUTED_VALUE"""),"")</f>
        <v/>
      </c>
      <c r="B3442" s="339"/>
      <c r="C3442" s="339"/>
      <c r="D3442" s="159"/>
    </row>
    <row r="3443">
      <c r="A3443" s="339" t="str">
        <f>IFERROR(__xludf.DUMMYFUNCTION("""COMPUTED_VALUE"""),"")</f>
        <v/>
      </c>
      <c r="B3443" s="339"/>
      <c r="C3443" s="339"/>
      <c r="D3443" s="159"/>
    </row>
    <row r="3444">
      <c r="A3444" s="339" t="str">
        <f>IFERROR(__xludf.DUMMYFUNCTION("""COMPUTED_VALUE"""),"")</f>
        <v/>
      </c>
      <c r="B3444" s="339"/>
      <c r="C3444" s="339"/>
      <c r="D3444" s="159"/>
    </row>
    <row r="3445">
      <c r="A3445" s="339" t="str">
        <f>IFERROR(__xludf.DUMMYFUNCTION("""COMPUTED_VALUE"""),"")</f>
        <v/>
      </c>
      <c r="B3445" s="339"/>
      <c r="C3445" s="339"/>
      <c r="D3445" s="159"/>
    </row>
    <row r="3446">
      <c r="A3446" s="339" t="str">
        <f>IFERROR(__xludf.DUMMYFUNCTION("""COMPUTED_VALUE"""),"")</f>
        <v/>
      </c>
      <c r="B3446" s="339"/>
      <c r="C3446" s="339"/>
      <c r="D3446" s="159"/>
    </row>
    <row r="3447">
      <c r="A3447" s="339" t="str">
        <f>IFERROR(__xludf.DUMMYFUNCTION("""COMPUTED_VALUE"""),"")</f>
        <v/>
      </c>
      <c r="B3447" s="339"/>
      <c r="C3447" s="339"/>
      <c r="D3447" s="159"/>
    </row>
    <row r="3448">
      <c r="A3448" s="339" t="str">
        <f>IFERROR(__xludf.DUMMYFUNCTION("""COMPUTED_VALUE"""),"")</f>
        <v/>
      </c>
      <c r="B3448" s="339"/>
      <c r="C3448" s="339"/>
      <c r="D3448" s="159"/>
    </row>
    <row r="3449">
      <c r="A3449" s="339" t="str">
        <f>IFERROR(__xludf.DUMMYFUNCTION("""COMPUTED_VALUE"""),"")</f>
        <v/>
      </c>
      <c r="B3449" s="339"/>
      <c r="C3449" s="339"/>
      <c r="D3449" s="159"/>
    </row>
    <row r="3450">
      <c r="A3450" s="339" t="str">
        <f>IFERROR(__xludf.DUMMYFUNCTION("""COMPUTED_VALUE"""),"")</f>
        <v/>
      </c>
      <c r="B3450" s="339"/>
      <c r="C3450" s="339"/>
      <c r="D3450" s="159"/>
    </row>
    <row r="3451">
      <c r="A3451" s="339" t="str">
        <f>IFERROR(__xludf.DUMMYFUNCTION("""COMPUTED_VALUE"""),"")</f>
        <v/>
      </c>
      <c r="B3451" s="339"/>
      <c r="C3451" s="339"/>
      <c r="D3451" s="159"/>
    </row>
    <row r="3452">
      <c r="A3452" s="339" t="str">
        <f>IFERROR(__xludf.DUMMYFUNCTION("""COMPUTED_VALUE"""),"")</f>
        <v/>
      </c>
      <c r="B3452" s="339"/>
      <c r="C3452" s="339"/>
      <c r="D3452" s="159"/>
    </row>
    <row r="3453">
      <c r="A3453" s="339" t="str">
        <f>IFERROR(__xludf.DUMMYFUNCTION("""COMPUTED_VALUE"""),"")</f>
        <v/>
      </c>
      <c r="B3453" s="339"/>
      <c r="C3453" s="339"/>
      <c r="D3453" s="159"/>
    </row>
    <row r="3454">
      <c r="A3454" s="339" t="str">
        <f>IFERROR(__xludf.DUMMYFUNCTION("""COMPUTED_VALUE"""),"")</f>
        <v/>
      </c>
      <c r="B3454" s="339"/>
      <c r="C3454" s="339"/>
      <c r="D3454" s="159"/>
    </row>
    <row r="3455">
      <c r="A3455" s="339" t="str">
        <f>IFERROR(__xludf.DUMMYFUNCTION("""COMPUTED_VALUE"""),"")</f>
        <v/>
      </c>
      <c r="B3455" s="339"/>
      <c r="C3455" s="339"/>
      <c r="D3455" s="159"/>
    </row>
    <row r="3456">
      <c r="A3456" s="339" t="str">
        <f>IFERROR(__xludf.DUMMYFUNCTION("""COMPUTED_VALUE"""),"")</f>
        <v/>
      </c>
      <c r="B3456" s="339"/>
      <c r="C3456" s="339"/>
      <c r="D3456" s="159"/>
    </row>
    <row r="3457">
      <c r="A3457" s="339" t="str">
        <f>IFERROR(__xludf.DUMMYFUNCTION("""COMPUTED_VALUE"""),"")</f>
        <v/>
      </c>
      <c r="B3457" s="339"/>
      <c r="C3457" s="339"/>
      <c r="D3457" s="159"/>
    </row>
    <row r="3458">
      <c r="A3458" s="339" t="str">
        <f>IFERROR(__xludf.DUMMYFUNCTION("""COMPUTED_VALUE"""),"")</f>
        <v/>
      </c>
      <c r="B3458" s="339"/>
      <c r="C3458" s="339"/>
      <c r="D3458" s="159"/>
    </row>
    <row r="3459">
      <c r="A3459" s="339" t="str">
        <f>IFERROR(__xludf.DUMMYFUNCTION("""COMPUTED_VALUE"""),"")</f>
        <v/>
      </c>
      <c r="B3459" s="339"/>
      <c r="C3459" s="339"/>
      <c r="D3459" s="159"/>
    </row>
    <row r="3460">
      <c r="A3460" s="339" t="str">
        <f>IFERROR(__xludf.DUMMYFUNCTION("""COMPUTED_VALUE"""),"")</f>
        <v/>
      </c>
      <c r="B3460" s="339"/>
      <c r="C3460" s="339"/>
      <c r="D3460" s="159"/>
    </row>
    <row r="3461">
      <c r="A3461" s="339" t="str">
        <f>IFERROR(__xludf.DUMMYFUNCTION("""COMPUTED_VALUE"""),"")</f>
        <v/>
      </c>
      <c r="B3461" s="339"/>
      <c r="C3461" s="339"/>
      <c r="D3461" s="159"/>
    </row>
    <row r="3462">
      <c r="A3462" s="339" t="str">
        <f>IFERROR(__xludf.DUMMYFUNCTION("""COMPUTED_VALUE"""),"")</f>
        <v/>
      </c>
      <c r="B3462" s="339"/>
      <c r="C3462" s="339"/>
      <c r="D3462" s="159"/>
    </row>
    <row r="3463">
      <c r="A3463" s="339" t="str">
        <f>IFERROR(__xludf.DUMMYFUNCTION("""COMPUTED_VALUE"""),"")</f>
        <v/>
      </c>
      <c r="B3463" s="339"/>
      <c r="C3463" s="339"/>
      <c r="D3463" s="159"/>
    </row>
    <row r="3464">
      <c r="A3464" s="339" t="str">
        <f>IFERROR(__xludf.DUMMYFUNCTION("""COMPUTED_VALUE"""),"")</f>
        <v/>
      </c>
      <c r="B3464" s="339"/>
      <c r="C3464" s="339"/>
      <c r="D3464" s="159"/>
    </row>
    <row r="3465">
      <c r="A3465" s="339" t="str">
        <f>IFERROR(__xludf.DUMMYFUNCTION("""COMPUTED_VALUE"""),"")</f>
        <v/>
      </c>
      <c r="B3465" s="339"/>
      <c r="C3465" s="339"/>
      <c r="D3465" s="159"/>
    </row>
    <row r="3466">
      <c r="A3466" s="339" t="str">
        <f>IFERROR(__xludf.DUMMYFUNCTION("""COMPUTED_VALUE"""),"")</f>
        <v/>
      </c>
      <c r="B3466" s="339"/>
      <c r="C3466" s="339"/>
      <c r="D3466" s="159"/>
    </row>
    <row r="3467">
      <c r="A3467" s="339" t="str">
        <f>IFERROR(__xludf.DUMMYFUNCTION("""COMPUTED_VALUE"""),"")</f>
        <v/>
      </c>
      <c r="B3467" s="339"/>
      <c r="C3467" s="339"/>
      <c r="D3467" s="159"/>
    </row>
    <row r="3468">
      <c r="A3468" s="339" t="str">
        <f>IFERROR(__xludf.DUMMYFUNCTION("""COMPUTED_VALUE"""),"")</f>
        <v/>
      </c>
      <c r="B3468" s="339"/>
      <c r="C3468" s="339"/>
      <c r="D3468" s="159"/>
    </row>
    <row r="3469">
      <c r="A3469" s="339" t="str">
        <f>IFERROR(__xludf.DUMMYFUNCTION("""COMPUTED_VALUE"""),"")</f>
        <v/>
      </c>
      <c r="B3469" s="339"/>
      <c r="C3469" s="339"/>
      <c r="D3469" s="159"/>
    </row>
    <row r="3470">
      <c r="A3470" s="339" t="str">
        <f>IFERROR(__xludf.DUMMYFUNCTION("""COMPUTED_VALUE"""),"")</f>
        <v/>
      </c>
      <c r="B3470" s="339"/>
      <c r="C3470" s="339"/>
      <c r="D3470" s="159"/>
    </row>
    <row r="3471">
      <c r="A3471" s="339" t="str">
        <f>IFERROR(__xludf.DUMMYFUNCTION("""COMPUTED_VALUE"""),"")</f>
        <v/>
      </c>
      <c r="B3471" s="339"/>
      <c r="C3471" s="339"/>
      <c r="D3471" s="159"/>
    </row>
    <row r="3472">
      <c r="A3472" s="339" t="str">
        <f>IFERROR(__xludf.DUMMYFUNCTION("""COMPUTED_VALUE"""),"")</f>
        <v/>
      </c>
      <c r="B3472" s="339"/>
      <c r="C3472" s="339"/>
      <c r="D3472" s="159"/>
    </row>
    <row r="3473">
      <c r="A3473" s="339" t="str">
        <f>IFERROR(__xludf.DUMMYFUNCTION("""COMPUTED_VALUE"""),"")</f>
        <v/>
      </c>
      <c r="B3473" s="339"/>
      <c r="C3473" s="339"/>
      <c r="D3473" s="159"/>
    </row>
    <row r="3474">
      <c r="A3474" s="339" t="str">
        <f>IFERROR(__xludf.DUMMYFUNCTION("""COMPUTED_VALUE"""),"")</f>
        <v/>
      </c>
      <c r="B3474" s="339"/>
      <c r="C3474" s="339"/>
      <c r="D3474" s="159"/>
    </row>
    <row r="3475">
      <c r="A3475" s="339" t="str">
        <f>IFERROR(__xludf.DUMMYFUNCTION("""COMPUTED_VALUE"""),"")</f>
        <v/>
      </c>
      <c r="B3475" s="339"/>
      <c r="C3475" s="339"/>
      <c r="D3475" s="159"/>
    </row>
    <row r="3476">
      <c r="A3476" s="339" t="str">
        <f>IFERROR(__xludf.DUMMYFUNCTION("""COMPUTED_VALUE"""),"")</f>
        <v/>
      </c>
      <c r="B3476" s="339"/>
      <c r="C3476" s="339"/>
      <c r="D3476" s="159"/>
    </row>
    <row r="3477">
      <c r="A3477" s="339" t="str">
        <f>IFERROR(__xludf.DUMMYFUNCTION("""COMPUTED_VALUE"""),"")</f>
        <v/>
      </c>
      <c r="B3477" s="339"/>
      <c r="C3477" s="339"/>
      <c r="D3477" s="159"/>
    </row>
    <row r="3478">
      <c r="A3478" s="339" t="str">
        <f>IFERROR(__xludf.DUMMYFUNCTION("""COMPUTED_VALUE"""),"")</f>
        <v/>
      </c>
      <c r="B3478" s="339"/>
      <c r="C3478" s="339"/>
      <c r="D3478" s="159"/>
    </row>
    <row r="3479">
      <c r="A3479" s="339" t="str">
        <f>IFERROR(__xludf.DUMMYFUNCTION("""COMPUTED_VALUE"""),"")</f>
        <v/>
      </c>
      <c r="B3479" s="339"/>
      <c r="C3479" s="339"/>
      <c r="D3479" s="159"/>
    </row>
    <row r="3480">
      <c r="A3480" s="339" t="str">
        <f>IFERROR(__xludf.DUMMYFUNCTION("""COMPUTED_VALUE"""),"")</f>
        <v/>
      </c>
      <c r="B3480" s="339"/>
      <c r="C3480" s="339"/>
      <c r="D3480" s="159"/>
    </row>
    <row r="3481">
      <c r="A3481" s="339" t="str">
        <f>IFERROR(__xludf.DUMMYFUNCTION("""COMPUTED_VALUE"""),"")</f>
        <v/>
      </c>
      <c r="B3481" s="339"/>
      <c r="C3481" s="339"/>
      <c r="D3481" s="159"/>
    </row>
    <row r="3482">
      <c r="A3482" s="339" t="str">
        <f>IFERROR(__xludf.DUMMYFUNCTION("""COMPUTED_VALUE"""),"")</f>
        <v/>
      </c>
      <c r="B3482" s="339"/>
      <c r="C3482" s="339"/>
      <c r="D3482" s="159"/>
    </row>
    <row r="3483">
      <c r="A3483" s="339" t="str">
        <f>IFERROR(__xludf.DUMMYFUNCTION("""COMPUTED_VALUE"""),"")</f>
        <v/>
      </c>
      <c r="B3483" s="339"/>
      <c r="C3483" s="339"/>
      <c r="D3483" s="159"/>
    </row>
    <row r="3484">
      <c r="A3484" s="339" t="str">
        <f>IFERROR(__xludf.DUMMYFUNCTION("""COMPUTED_VALUE"""),"")</f>
        <v/>
      </c>
      <c r="B3484" s="339"/>
      <c r="C3484" s="339"/>
      <c r="D3484" s="159"/>
    </row>
    <row r="3485">
      <c r="A3485" s="339" t="str">
        <f>IFERROR(__xludf.DUMMYFUNCTION("""COMPUTED_VALUE"""),"")</f>
        <v/>
      </c>
      <c r="B3485" s="339"/>
      <c r="C3485" s="339"/>
      <c r="D3485" s="159"/>
    </row>
    <row r="3486">
      <c r="A3486" s="339" t="str">
        <f>IFERROR(__xludf.DUMMYFUNCTION("""COMPUTED_VALUE"""),"")</f>
        <v/>
      </c>
      <c r="B3486" s="339"/>
      <c r="C3486" s="339"/>
      <c r="D3486" s="159"/>
    </row>
    <row r="3487">
      <c r="A3487" s="339" t="str">
        <f>IFERROR(__xludf.DUMMYFUNCTION("""COMPUTED_VALUE"""),"")</f>
        <v/>
      </c>
      <c r="B3487" s="339"/>
      <c r="C3487" s="339"/>
      <c r="D3487" s="159"/>
    </row>
    <row r="3488">
      <c r="A3488" s="339" t="str">
        <f>IFERROR(__xludf.DUMMYFUNCTION("""COMPUTED_VALUE"""),"")</f>
        <v/>
      </c>
      <c r="B3488" s="339"/>
      <c r="C3488" s="339"/>
      <c r="D3488" s="159"/>
    </row>
    <row r="3489">
      <c r="A3489" s="339" t="str">
        <f>IFERROR(__xludf.DUMMYFUNCTION("""COMPUTED_VALUE"""),"")</f>
        <v/>
      </c>
      <c r="B3489" s="339"/>
      <c r="C3489" s="339"/>
      <c r="D3489" s="159"/>
    </row>
    <row r="3490">
      <c r="A3490" s="339" t="str">
        <f>IFERROR(__xludf.DUMMYFUNCTION("""COMPUTED_VALUE"""),"")</f>
        <v/>
      </c>
      <c r="B3490" s="339"/>
      <c r="C3490" s="339"/>
      <c r="D3490" s="159"/>
    </row>
    <row r="3491">
      <c r="A3491" s="339" t="str">
        <f>IFERROR(__xludf.DUMMYFUNCTION("""COMPUTED_VALUE"""),"")</f>
        <v/>
      </c>
      <c r="B3491" s="339"/>
      <c r="C3491" s="339"/>
      <c r="D3491" s="159"/>
    </row>
    <row r="3492">
      <c r="A3492" s="339" t="str">
        <f>IFERROR(__xludf.DUMMYFUNCTION("""COMPUTED_VALUE"""),"")</f>
        <v/>
      </c>
      <c r="B3492" s="339"/>
      <c r="C3492" s="339"/>
      <c r="D3492" s="159"/>
    </row>
    <row r="3493">
      <c r="A3493" s="339" t="str">
        <f>IFERROR(__xludf.DUMMYFUNCTION("""COMPUTED_VALUE"""),"")</f>
        <v/>
      </c>
      <c r="B3493" s="339"/>
      <c r="C3493" s="339"/>
      <c r="D3493" s="159"/>
    </row>
    <row r="3494">
      <c r="A3494" s="339" t="str">
        <f>IFERROR(__xludf.DUMMYFUNCTION("""COMPUTED_VALUE"""),"")</f>
        <v/>
      </c>
      <c r="B3494" s="339"/>
      <c r="C3494" s="339"/>
      <c r="D3494" s="159"/>
    </row>
    <row r="3495">
      <c r="A3495" s="339" t="str">
        <f>IFERROR(__xludf.DUMMYFUNCTION("""COMPUTED_VALUE"""),"")</f>
        <v/>
      </c>
      <c r="B3495" s="339"/>
      <c r="C3495" s="339"/>
      <c r="D3495" s="159"/>
    </row>
    <row r="3496">
      <c r="A3496" s="339" t="str">
        <f>IFERROR(__xludf.DUMMYFUNCTION("""COMPUTED_VALUE"""),"")</f>
        <v/>
      </c>
      <c r="B3496" s="339"/>
      <c r="C3496" s="339"/>
      <c r="D3496" s="159"/>
    </row>
    <row r="3497">
      <c r="A3497" s="339" t="str">
        <f>IFERROR(__xludf.DUMMYFUNCTION("""COMPUTED_VALUE"""),"")</f>
        <v/>
      </c>
      <c r="B3497" s="339"/>
      <c r="C3497" s="339"/>
      <c r="D3497" s="159"/>
    </row>
    <row r="3498">
      <c r="A3498" s="339" t="str">
        <f>IFERROR(__xludf.DUMMYFUNCTION("""COMPUTED_VALUE"""),"")</f>
        <v/>
      </c>
      <c r="B3498" s="339"/>
      <c r="C3498" s="339"/>
      <c r="D3498" s="159"/>
    </row>
    <row r="3499">
      <c r="A3499" s="339" t="str">
        <f>IFERROR(__xludf.DUMMYFUNCTION("""COMPUTED_VALUE"""),"")</f>
        <v/>
      </c>
      <c r="B3499" s="339"/>
      <c r="C3499" s="339"/>
      <c r="D3499" s="159"/>
    </row>
    <row r="3500">
      <c r="A3500" s="339" t="str">
        <f>IFERROR(__xludf.DUMMYFUNCTION("""COMPUTED_VALUE"""),"")</f>
        <v/>
      </c>
      <c r="B3500" s="339"/>
      <c r="C3500" s="339"/>
      <c r="D3500" s="159"/>
    </row>
    <row r="3501">
      <c r="A3501" s="339" t="str">
        <f>IFERROR(__xludf.DUMMYFUNCTION("""COMPUTED_VALUE"""),"")</f>
        <v/>
      </c>
      <c r="B3501" s="339"/>
      <c r="C3501" s="339"/>
      <c r="D3501" s="159"/>
    </row>
    <row r="3502">
      <c r="A3502" s="339" t="str">
        <f>IFERROR(__xludf.DUMMYFUNCTION("""COMPUTED_VALUE"""),"")</f>
        <v/>
      </c>
      <c r="B3502" s="339"/>
      <c r="C3502" s="339"/>
      <c r="D3502" s="159"/>
    </row>
    <row r="3503">
      <c r="A3503" s="339" t="str">
        <f>IFERROR(__xludf.DUMMYFUNCTION("""COMPUTED_VALUE"""),"")</f>
        <v/>
      </c>
      <c r="B3503" s="339"/>
      <c r="C3503" s="339"/>
      <c r="D3503" s="159"/>
    </row>
    <row r="3504">
      <c r="A3504" s="339" t="str">
        <f>IFERROR(__xludf.DUMMYFUNCTION("""COMPUTED_VALUE"""),"")</f>
        <v/>
      </c>
      <c r="B3504" s="339"/>
      <c r="C3504" s="339"/>
      <c r="D3504" s="159"/>
    </row>
    <row r="3505">
      <c r="A3505" s="339" t="str">
        <f>IFERROR(__xludf.DUMMYFUNCTION("""COMPUTED_VALUE"""),"")</f>
        <v/>
      </c>
      <c r="B3505" s="339"/>
      <c r="C3505" s="339"/>
      <c r="D3505" s="159"/>
    </row>
    <row r="3506">
      <c r="A3506" s="339" t="str">
        <f>IFERROR(__xludf.DUMMYFUNCTION("""COMPUTED_VALUE"""),"")</f>
        <v/>
      </c>
      <c r="B3506" s="339"/>
      <c r="C3506" s="339"/>
      <c r="D3506" s="159"/>
    </row>
    <row r="3507">
      <c r="A3507" s="339" t="str">
        <f>IFERROR(__xludf.DUMMYFUNCTION("""COMPUTED_VALUE"""),"")</f>
        <v/>
      </c>
      <c r="B3507" s="339"/>
      <c r="C3507" s="339"/>
      <c r="D3507" s="159"/>
    </row>
    <row r="3508">
      <c r="A3508" s="339" t="str">
        <f>IFERROR(__xludf.DUMMYFUNCTION("""COMPUTED_VALUE"""),"")</f>
        <v/>
      </c>
      <c r="B3508" s="339"/>
      <c r="C3508" s="339"/>
      <c r="D3508" s="159"/>
    </row>
    <row r="3509">
      <c r="A3509" s="339" t="str">
        <f>IFERROR(__xludf.DUMMYFUNCTION("""COMPUTED_VALUE"""),"")</f>
        <v/>
      </c>
      <c r="B3509" s="339"/>
      <c r="C3509" s="339"/>
      <c r="D3509" s="159"/>
    </row>
    <row r="3510">
      <c r="A3510" s="339" t="str">
        <f>IFERROR(__xludf.DUMMYFUNCTION("""COMPUTED_VALUE"""),"")</f>
        <v/>
      </c>
      <c r="B3510" s="339"/>
      <c r="C3510" s="339"/>
      <c r="D3510" s="159"/>
    </row>
    <row r="3511">
      <c r="A3511" s="339" t="str">
        <f>IFERROR(__xludf.DUMMYFUNCTION("""COMPUTED_VALUE"""),"")</f>
        <v/>
      </c>
      <c r="B3511" s="339"/>
      <c r="C3511" s="339"/>
      <c r="D3511" s="159"/>
    </row>
    <row r="3512">
      <c r="A3512" s="339" t="str">
        <f>IFERROR(__xludf.DUMMYFUNCTION("""COMPUTED_VALUE"""),"")</f>
        <v/>
      </c>
      <c r="B3512" s="339"/>
      <c r="C3512" s="339"/>
      <c r="D3512" s="159"/>
    </row>
    <row r="3513">
      <c r="A3513" s="339" t="str">
        <f>IFERROR(__xludf.DUMMYFUNCTION("""COMPUTED_VALUE"""),"")</f>
        <v/>
      </c>
      <c r="B3513" s="339"/>
      <c r="C3513" s="339"/>
      <c r="D3513" s="159"/>
    </row>
    <row r="3514">
      <c r="A3514" s="339" t="str">
        <f>IFERROR(__xludf.DUMMYFUNCTION("""COMPUTED_VALUE"""),"")</f>
        <v/>
      </c>
      <c r="B3514" s="339"/>
      <c r="C3514" s="339"/>
      <c r="D3514" s="159"/>
    </row>
    <row r="3515">
      <c r="A3515" s="339" t="str">
        <f>IFERROR(__xludf.DUMMYFUNCTION("""COMPUTED_VALUE"""),"")</f>
        <v/>
      </c>
      <c r="B3515" s="339"/>
      <c r="C3515" s="339"/>
      <c r="D3515" s="159"/>
    </row>
    <row r="3516">
      <c r="A3516" s="339" t="str">
        <f>IFERROR(__xludf.DUMMYFUNCTION("""COMPUTED_VALUE"""),"")</f>
        <v/>
      </c>
      <c r="B3516" s="339"/>
      <c r="C3516" s="339"/>
      <c r="D3516" s="159"/>
    </row>
    <row r="3517">
      <c r="A3517" s="339" t="str">
        <f>IFERROR(__xludf.DUMMYFUNCTION("""COMPUTED_VALUE"""),"")</f>
        <v/>
      </c>
      <c r="B3517" s="339"/>
      <c r="C3517" s="339"/>
      <c r="D3517" s="159"/>
    </row>
    <row r="3518">
      <c r="A3518" s="339" t="str">
        <f>IFERROR(__xludf.DUMMYFUNCTION("""COMPUTED_VALUE"""),"")</f>
        <v/>
      </c>
      <c r="B3518" s="339"/>
      <c r="C3518" s="339"/>
      <c r="D3518" s="159"/>
    </row>
    <row r="3519">
      <c r="A3519" s="339" t="str">
        <f>IFERROR(__xludf.DUMMYFUNCTION("""COMPUTED_VALUE"""),"")</f>
        <v/>
      </c>
      <c r="B3519" s="339"/>
      <c r="C3519" s="339"/>
      <c r="D3519" s="159"/>
    </row>
    <row r="3520">
      <c r="A3520" s="339" t="str">
        <f>IFERROR(__xludf.DUMMYFUNCTION("""COMPUTED_VALUE"""),"")</f>
        <v/>
      </c>
      <c r="B3520" s="339"/>
      <c r="C3520" s="339"/>
      <c r="D3520" s="159"/>
    </row>
    <row r="3521">
      <c r="A3521" s="339" t="str">
        <f>IFERROR(__xludf.DUMMYFUNCTION("""COMPUTED_VALUE"""),"")</f>
        <v/>
      </c>
      <c r="B3521" s="339"/>
      <c r="C3521" s="339"/>
      <c r="D3521" s="159"/>
    </row>
    <row r="3522">
      <c r="A3522" s="339" t="str">
        <f>IFERROR(__xludf.DUMMYFUNCTION("""COMPUTED_VALUE"""),"")</f>
        <v/>
      </c>
      <c r="B3522" s="339"/>
      <c r="C3522" s="339"/>
      <c r="D3522" s="159"/>
    </row>
    <row r="3523">
      <c r="A3523" s="339" t="str">
        <f>IFERROR(__xludf.DUMMYFUNCTION("""COMPUTED_VALUE"""),"")</f>
        <v/>
      </c>
      <c r="B3523" s="339"/>
      <c r="C3523" s="339"/>
      <c r="D3523" s="159"/>
    </row>
    <row r="3524">
      <c r="A3524" s="339" t="str">
        <f>IFERROR(__xludf.DUMMYFUNCTION("""COMPUTED_VALUE"""),"")</f>
        <v/>
      </c>
      <c r="B3524" s="339"/>
      <c r="C3524" s="339"/>
      <c r="D3524" s="159"/>
    </row>
    <row r="3525">
      <c r="A3525" s="339" t="str">
        <f>IFERROR(__xludf.DUMMYFUNCTION("""COMPUTED_VALUE"""),"")</f>
        <v/>
      </c>
      <c r="B3525" s="339"/>
      <c r="C3525" s="339"/>
      <c r="D3525" s="159"/>
    </row>
    <row r="3526">
      <c r="A3526" s="339" t="str">
        <f>IFERROR(__xludf.DUMMYFUNCTION("""COMPUTED_VALUE"""),"")</f>
        <v/>
      </c>
      <c r="B3526" s="339"/>
      <c r="C3526" s="339"/>
      <c r="D3526" s="159"/>
    </row>
    <row r="3527">
      <c r="A3527" s="339" t="str">
        <f>IFERROR(__xludf.DUMMYFUNCTION("""COMPUTED_VALUE"""),"")</f>
        <v/>
      </c>
      <c r="B3527" s="339"/>
      <c r="C3527" s="339"/>
      <c r="D3527" s="159"/>
    </row>
    <row r="3528">
      <c r="A3528" s="339" t="str">
        <f>IFERROR(__xludf.DUMMYFUNCTION("""COMPUTED_VALUE"""),"")</f>
        <v/>
      </c>
      <c r="B3528" s="339"/>
      <c r="C3528" s="339"/>
      <c r="D3528" s="159"/>
    </row>
    <row r="3529">
      <c r="A3529" s="339" t="str">
        <f>IFERROR(__xludf.DUMMYFUNCTION("""COMPUTED_VALUE"""),"")</f>
        <v/>
      </c>
      <c r="B3529" s="339"/>
      <c r="C3529" s="339"/>
      <c r="D3529" s="159"/>
    </row>
    <row r="3530">
      <c r="A3530" s="339" t="str">
        <f>IFERROR(__xludf.DUMMYFUNCTION("""COMPUTED_VALUE"""),"")</f>
        <v/>
      </c>
      <c r="B3530" s="339"/>
      <c r="C3530" s="339"/>
      <c r="D3530" s="159"/>
    </row>
    <row r="3531">
      <c r="A3531" s="339" t="str">
        <f>IFERROR(__xludf.DUMMYFUNCTION("""COMPUTED_VALUE"""),"")</f>
        <v/>
      </c>
      <c r="B3531" s="339"/>
      <c r="C3531" s="339"/>
      <c r="D3531" s="159"/>
    </row>
    <row r="3532">
      <c r="A3532" s="339" t="str">
        <f>IFERROR(__xludf.DUMMYFUNCTION("""COMPUTED_VALUE"""),"")</f>
        <v/>
      </c>
      <c r="B3532" s="339"/>
      <c r="C3532" s="339"/>
      <c r="D3532" s="159"/>
    </row>
    <row r="3533">
      <c r="A3533" s="339" t="str">
        <f>IFERROR(__xludf.DUMMYFUNCTION("""COMPUTED_VALUE"""),"")</f>
        <v/>
      </c>
      <c r="B3533" s="339"/>
      <c r="C3533" s="339"/>
      <c r="D3533" s="159"/>
    </row>
    <row r="3534">
      <c r="A3534" s="339" t="str">
        <f>IFERROR(__xludf.DUMMYFUNCTION("""COMPUTED_VALUE"""),"")</f>
        <v/>
      </c>
      <c r="B3534" s="339"/>
      <c r="C3534" s="339"/>
      <c r="D3534" s="159"/>
    </row>
    <row r="3535">
      <c r="A3535" s="339" t="str">
        <f>IFERROR(__xludf.DUMMYFUNCTION("""COMPUTED_VALUE"""),"")</f>
        <v/>
      </c>
      <c r="B3535" s="339"/>
      <c r="C3535" s="339"/>
      <c r="D3535" s="159"/>
    </row>
    <row r="3536">
      <c r="A3536" s="339" t="str">
        <f>IFERROR(__xludf.DUMMYFUNCTION("""COMPUTED_VALUE"""),"")</f>
        <v/>
      </c>
      <c r="B3536" s="339"/>
      <c r="C3536" s="339"/>
      <c r="D3536" s="159"/>
    </row>
    <row r="3537">
      <c r="A3537" s="339" t="str">
        <f>IFERROR(__xludf.DUMMYFUNCTION("""COMPUTED_VALUE"""),"")</f>
        <v/>
      </c>
      <c r="B3537" s="339"/>
      <c r="C3537" s="339"/>
      <c r="D3537" s="159"/>
    </row>
    <row r="3538">
      <c r="A3538" s="339" t="str">
        <f>IFERROR(__xludf.DUMMYFUNCTION("""COMPUTED_VALUE"""),"")</f>
        <v/>
      </c>
      <c r="B3538" s="339"/>
      <c r="C3538" s="339"/>
      <c r="D3538" s="159"/>
    </row>
    <row r="3539">
      <c r="A3539" s="339" t="str">
        <f>IFERROR(__xludf.DUMMYFUNCTION("""COMPUTED_VALUE"""),"")</f>
        <v/>
      </c>
      <c r="B3539" s="339"/>
      <c r="C3539" s="339"/>
      <c r="D3539" s="159"/>
    </row>
    <row r="3540">
      <c r="A3540" s="339" t="str">
        <f>IFERROR(__xludf.DUMMYFUNCTION("""COMPUTED_VALUE"""),"")</f>
        <v/>
      </c>
      <c r="B3540" s="339"/>
      <c r="C3540" s="339"/>
      <c r="D3540" s="159"/>
    </row>
    <row r="3541">
      <c r="A3541" s="339" t="str">
        <f>IFERROR(__xludf.DUMMYFUNCTION("""COMPUTED_VALUE"""),"")</f>
        <v/>
      </c>
      <c r="B3541" s="339"/>
      <c r="C3541" s="339"/>
      <c r="D3541" s="159"/>
    </row>
    <row r="3542">
      <c r="A3542" s="339" t="str">
        <f>IFERROR(__xludf.DUMMYFUNCTION("""COMPUTED_VALUE"""),"")</f>
        <v/>
      </c>
      <c r="B3542" s="339"/>
      <c r="C3542" s="339"/>
      <c r="D3542" s="159"/>
    </row>
    <row r="3543">
      <c r="A3543" s="339" t="str">
        <f>IFERROR(__xludf.DUMMYFUNCTION("""COMPUTED_VALUE"""),"")</f>
        <v/>
      </c>
      <c r="B3543" s="339"/>
      <c r="C3543" s="339"/>
      <c r="D3543" s="159"/>
    </row>
    <row r="3544">
      <c r="A3544" s="339" t="str">
        <f>IFERROR(__xludf.DUMMYFUNCTION("""COMPUTED_VALUE"""),"")</f>
        <v/>
      </c>
      <c r="B3544" s="339"/>
      <c r="C3544" s="339"/>
      <c r="D3544" s="159"/>
    </row>
    <row r="3545">
      <c r="A3545" s="339" t="str">
        <f>IFERROR(__xludf.DUMMYFUNCTION("""COMPUTED_VALUE"""),"")</f>
        <v/>
      </c>
      <c r="B3545" s="339"/>
      <c r="C3545" s="339"/>
      <c r="D3545" s="159"/>
    </row>
    <row r="3546">
      <c r="A3546" s="339" t="str">
        <f>IFERROR(__xludf.DUMMYFUNCTION("""COMPUTED_VALUE"""),"")</f>
        <v/>
      </c>
      <c r="B3546" s="339"/>
      <c r="C3546" s="339"/>
      <c r="D3546" s="159"/>
    </row>
    <row r="3547">
      <c r="A3547" s="339" t="str">
        <f>IFERROR(__xludf.DUMMYFUNCTION("""COMPUTED_VALUE"""),"")</f>
        <v/>
      </c>
      <c r="B3547" s="339"/>
      <c r="C3547" s="339"/>
      <c r="D3547" s="159"/>
    </row>
    <row r="3548">
      <c r="A3548" s="339" t="str">
        <f>IFERROR(__xludf.DUMMYFUNCTION("""COMPUTED_VALUE"""),"")</f>
        <v/>
      </c>
      <c r="B3548" s="339"/>
      <c r="C3548" s="339"/>
      <c r="D3548" s="159"/>
    </row>
    <row r="3549">
      <c r="A3549" s="339" t="str">
        <f>IFERROR(__xludf.DUMMYFUNCTION("""COMPUTED_VALUE"""),"")</f>
        <v/>
      </c>
      <c r="B3549" s="339"/>
      <c r="C3549" s="339"/>
      <c r="D3549" s="159"/>
    </row>
    <row r="3550">
      <c r="A3550" s="339" t="str">
        <f>IFERROR(__xludf.DUMMYFUNCTION("""COMPUTED_VALUE"""),"")</f>
        <v/>
      </c>
      <c r="B3550" s="339"/>
      <c r="C3550" s="339"/>
      <c r="D3550" s="159"/>
    </row>
    <row r="3551">
      <c r="A3551" s="339" t="str">
        <f>IFERROR(__xludf.DUMMYFUNCTION("""COMPUTED_VALUE"""),"")</f>
        <v/>
      </c>
      <c r="B3551" s="339"/>
      <c r="C3551" s="339"/>
      <c r="D3551" s="159"/>
    </row>
    <row r="3552">
      <c r="A3552" s="339" t="str">
        <f>IFERROR(__xludf.DUMMYFUNCTION("""COMPUTED_VALUE"""),"")</f>
        <v/>
      </c>
      <c r="B3552" s="339"/>
      <c r="C3552" s="339"/>
      <c r="D3552" s="159"/>
    </row>
    <row r="3553">
      <c r="A3553" s="339" t="str">
        <f>IFERROR(__xludf.DUMMYFUNCTION("""COMPUTED_VALUE"""),"")</f>
        <v/>
      </c>
      <c r="B3553" s="339"/>
      <c r="C3553" s="339"/>
      <c r="D3553" s="159"/>
    </row>
    <row r="3554">
      <c r="A3554" s="339" t="str">
        <f>IFERROR(__xludf.DUMMYFUNCTION("""COMPUTED_VALUE"""),"")</f>
        <v/>
      </c>
      <c r="B3554" s="339"/>
      <c r="C3554" s="339"/>
      <c r="D3554" s="159"/>
    </row>
    <row r="3555">
      <c r="A3555" s="339" t="str">
        <f>IFERROR(__xludf.DUMMYFUNCTION("""COMPUTED_VALUE"""),"")</f>
        <v/>
      </c>
      <c r="B3555" s="339"/>
      <c r="C3555" s="339"/>
      <c r="D3555" s="159"/>
    </row>
    <row r="3556">
      <c r="A3556" s="339" t="str">
        <f>IFERROR(__xludf.DUMMYFUNCTION("""COMPUTED_VALUE"""),"")</f>
        <v/>
      </c>
      <c r="B3556" s="339"/>
      <c r="C3556" s="339"/>
      <c r="D3556" s="159"/>
    </row>
    <row r="3557">
      <c r="A3557" s="339" t="str">
        <f>IFERROR(__xludf.DUMMYFUNCTION("""COMPUTED_VALUE"""),"")</f>
        <v/>
      </c>
      <c r="B3557" s="339"/>
      <c r="C3557" s="339"/>
      <c r="D3557" s="159"/>
    </row>
    <row r="3558">
      <c r="A3558" s="339" t="str">
        <f>IFERROR(__xludf.DUMMYFUNCTION("""COMPUTED_VALUE"""),"")</f>
        <v/>
      </c>
      <c r="B3558" s="339"/>
      <c r="C3558" s="339"/>
      <c r="D3558" s="159"/>
    </row>
    <row r="3559">
      <c r="A3559" s="339" t="str">
        <f>IFERROR(__xludf.DUMMYFUNCTION("""COMPUTED_VALUE"""),"")</f>
        <v/>
      </c>
      <c r="B3559" s="339"/>
      <c r="C3559" s="339"/>
      <c r="D3559" s="159"/>
    </row>
    <row r="3560">
      <c r="A3560" s="339" t="str">
        <f>IFERROR(__xludf.DUMMYFUNCTION("""COMPUTED_VALUE"""),"")</f>
        <v/>
      </c>
      <c r="B3560" s="339"/>
      <c r="C3560" s="339"/>
      <c r="D3560" s="159"/>
    </row>
    <row r="3561">
      <c r="A3561" s="339" t="str">
        <f>IFERROR(__xludf.DUMMYFUNCTION("""COMPUTED_VALUE"""),"")</f>
        <v/>
      </c>
      <c r="B3561" s="339"/>
      <c r="C3561" s="339"/>
      <c r="D3561" s="159"/>
    </row>
    <row r="3562">
      <c r="A3562" s="339" t="str">
        <f>IFERROR(__xludf.DUMMYFUNCTION("""COMPUTED_VALUE"""),"")</f>
        <v/>
      </c>
      <c r="B3562" s="339"/>
      <c r="C3562" s="339"/>
      <c r="D3562" s="159"/>
    </row>
    <row r="3563">
      <c r="A3563" s="339" t="str">
        <f>IFERROR(__xludf.DUMMYFUNCTION("""COMPUTED_VALUE"""),"")</f>
        <v/>
      </c>
      <c r="B3563" s="339"/>
      <c r="C3563" s="339"/>
      <c r="D3563" s="159"/>
    </row>
    <row r="3564">
      <c r="A3564" s="339" t="str">
        <f>IFERROR(__xludf.DUMMYFUNCTION("""COMPUTED_VALUE"""),"")</f>
        <v/>
      </c>
      <c r="B3564" s="339"/>
      <c r="C3564" s="339"/>
      <c r="D3564" s="159"/>
    </row>
    <row r="3565">
      <c r="A3565" s="339" t="str">
        <f>IFERROR(__xludf.DUMMYFUNCTION("""COMPUTED_VALUE"""),"")</f>
        <v/>
      </c>
      <c r="B3565" s="339"/>
      <c r="C3565" s="339"/>
      <c r="D3565" s="159"/>
    </row>
    <row r="3566">
      <c r="A3566" s="339" t="str">
        <f>IFERROR(__xludf.DUMMYFUNCTION("""COMPUTED_VALUE"""),"")</f>
        <v/>
      </c>
      <c r="B3566" s="339"/>
      <c r="C3566" s="339"/>
      <c r="D3566" s="159"/>
    </row>
    <row r="3567">
      <c r="A3567" s="339" t="str">
        <f>IFERROR(__xludf.DUMMYFUNCTION("""COMPUTED_VALUE"""),"")</f>
        <v/>
      </c>
      <c r="B3567" s="339"/>
      <c r="C3567" s="339"/>
      <c r="D3567" s="159"/>
    </row>
    <row r="3568">
      <c r="A3568" s="339" t="str">
        <f>IFERROR(__xludf.DUMMYFUNCTION("""COMPUTED_VALUE"""),"")</f>
        <v/>
      </c>
      <c r="B3568" s="339"/>
      <c r="C3568" s="339"/>
      <c r="D3568" s="159"/>
    </row>
    <row r="3569">
      <c r="A3569" s="339" t="str">
        <f>IFERROR(__xludf.DUMMYFUNCTION("""COMPUTED_VALUE"""),"")</f>
        <v/>
      </c>
      <c r="B3569" s="339"/>
      <c r="C3569" s="339"/>
      <c r="D3569" s="159"/>
    </row>
    <row r="3570">
      <c r="A3570" s="339" t="str">
        <f>IFERROR(__xludf.DUMMYFUNCTION("""COMPUTED_VALUE"""),"")</f>
        <v/>
      </c>
      <c r="B3570" s="339"/>
      <c r="C3570" s="339"/>
      <c r="D3570" s="159"/>
    </row>
    <row r="3571">
      <c r="A3571" s="339" t="str">
        <f>IFERROR(__xludf.DUMMYFUNCTION("""COMPUTED_VALUE"""),"")</f>
        <v/>
      </c>
      <c r="B3571" s="339"/>
      <c r="C3571" s="339"/>
      <c r="D3571" s="159"/>
    </row>
    <row r="3572">
      <c r="A3572" s="339" t="str">
        <f>IFERROR(__xludf.DUMMYFUNCTION("""COMPUTED_VALUE"""),"")</f>
        <v/>
      </c>
      <c r="B3572" s="339"/>
      <c r="C3572" s="339"/>
      <c r="D3572" s="159"/>
    </row>
    <row r="3573">
      <c r="A3573" s="339" t="str">
        <f>IFERROR(__xludf.DUMMYFUNCTION("""COMPUTED_VALUE"""),"")</f>
        <v/>
      </c>
      <c r="B3573" s="339"/>
      <c r="C3573" s="339"/>
      <c r="D3573" s="159"/>
    </row>
    <row r="3574">
      <c r="A3574" s="339" t="str">
        <f>IFERROR(__xludf.DUMMYFUNCTION("""COMPUTED_VALUE"""),"")</f>
        <v/>
      </c>
      <c r="B3574" s="339"/>
      <c r="C3574" s="339"/>
      <c r="D3574" s="159"/>
    </row>
    <row r="3575">
      <c r="A3575" s="339" t="str">
        <f>IFERROR(__xludf.DUMMYFUNCTION("""COMPUTED_VALUE"""),"")</f>
        <v/>
      </c>
      <c r="B3575" s="339"/>
      <c r="C3575" s="339"/>
      <c r="D3575" s="159"/>
    </row>
    <row r="3576">
      <c r="A3576" s="339" t="str">
        <f>IFERROR(__xludf.DUMMYFUNCTION("""COMPUTED_VALUE"""),"")</f>
        <v/>
      </c>
      <c r="B3576" s="339"/>
      <c r="C3576" s="339"/>
      <c r="D3576" s="159"/>
    </row>
    <row r="3577">
      <c r="A3577" s="339" t="str">
        <f>IFERROR(__xludf.DUMMYFUNCTION("""COMPUTED_VALUE"""),"")</f>
        <v/>
      </c>
      <c r="B3577" s="339"/>
      <c r="C3577" s="339"/>
      <c r="D3577" s="159"/>
    </row>
    <row r="3578">
      <c r="A3578" s="339" t="str">
        <f>IFERROR(__xludf.DUMMYFUNCTION("""COMPUTED_VALUE"""),"")</f>
        <v/>
      </c>
      <c r="B3578" s="339"/>
      <c r="C3578" s="339"/>
      <c r="D3578" s="159"/>
    </row>
    <row r="3579">
      <c r="A3579" s="339" t="str">
        <f>IFERROR(__xludf.DUMMYFUNCTION("""COMPUTED_VALUE"""),"")</f>
        <v/>
      </c>
      <c r="B3579" s="339"/>
      <c r="C3579" s="339"/>
      <c r="D3579" s="159"/>
    </row>
    <row r="3580">
      <c r="A3580" s="339" t="str">
        <f>IFERROR(__xludf.DUMMYFUNCTION("""COMPUTED_VALUE"""),"")</f>
        <v/>
      </c>
      <c r="B3580" s="339"/>
      <c r="C3580" s="339"/>
      <c r="D3580" s="159"/>
    </row>
    <row r="3581">
      <c r="A3581" s="339" t="str">
        <f>IFERROR(__xludf.DUMMYFUNCTION("""COMPUTED_VALUE"""),"")</f>
        <v/>
      </c>
      <c r="B3581" s="339"/>
      <c r="C3581" s="339"/>
      <c r="D3581" s="159"/>
    </row>
    <row r="3582">
      <c r="A3582" s="339" t="str">
        <f>IFERROR(__xludf.DUMMYFUNCTION("""COMPUTED_VALUE"""),"")</f>
        <v/>
      </c>
      <c r="B3582" s="339"/>
      <c r="C3582" s="339"/>
      <c r="D3582" s="159"/>
    </row>
    <row r="3583">
      <c r="A3583" s="339" t="str">
        <f>IFERROR(__xludf.DUMMYFUNCTION("""COMPUTED_VALUE"""),"")</f>
        <v/>
      </c>
      <c r="B3583" s="339"/>
      <c r="C3583" s="339"/>
      <c r="D3583" s="159"/>
    </row>
    <row r="3584">
      <c r="A3584" s="339" t="str">
        <f>IFERROR(__xludf.DUMMYFUNCTION("""COMPUTED_VALUE"""),"")</f>
        <v/>
      </c>
      <c r="B3584" s="339"/>
      <c r="C3584" s="339"/>
      <c r="D3584" s="159"/>
    </row>
    <row r="3585">
      <c r="A3585" s="339" t="str">
        <f>IFERROR(__xludf.DUMMYFUNCTION("""COMPUTED_VALUE"""),"")</f>
        <v/>
      </c>
      <c r="B3585" s="339"/>
      <c r="C3585" s="339"/>
      <c r="D3585" s="159"/>
    </row>
    <row r="3586">
      <c r="A3586" s="339" t="str">
        <f>IFERROR(__xludf.DUMMYFUNCTION("""COMPUTED_VALUE"""),"")</f>
        <v/>
      </c>
      <c r="B3586" s="339"/>
      <c r="C3586" s="339"/>
      <c r="D3586" s="159"/>
    </row>
    <row r="3587">
      <c r="A3587" s="339" t="str">
        <f>IFERROR(__xludf.DUMMYFUNCTION("""COMPUTED_VALUE"""),"")</f>
        <v/>
      </c>
      <c r="B3587" s="339"/>
      <c r="C3587" s="339"/>
      <c r="D3587" s="159"/>
    </row>
    <row r="3588">
      <c r="A3588" s="339" t="str">
        <f>IFERROR(__xludf.DUMMYFUNCTION("""COMPUTED_VALUE"""),"")</f>
        <v/>
      </c>
      <c r="B3588" s="339"/>
      <c r="C3588" s="339"/>
      <c r="D3588" s="159"/>
    </row>
    <row r="3589">
      <c r="A3589" s="339" t="str">
        <f>IFERROR(__xludf.DUMMYFUNCTION("""COMPUTED_VALUE"""),"")</f>
        <v/>
      </c>
      <c r="B3589" s="339"/>
      <c r="C3589" s="339"/>
      <c r="D3589" s="159"/>
    </row>
    <row r="3590">
      <c r="A3590" s="339" t="str">
        <f>IFERROR(__xludf.DUMMYFUNCTION("""COMPUTED_VALUE"""),"")</f>
        <v/>
      </c>
      <c r="B3590" s="339"/>
      <c r="C3590" s="339"/>
      <c r="D3590" s="159"/>
    </row>
    <row r="3591">
      <c r="A3591" s="339" t="str">
        <f>IFERROR(__xludf.DUMMYFUNCTION("""COMPUTED_VALUE"""),"")</f>
        <v/>
      </c>
      <c r="B3591" s="339"/>
      <c r="C3591" s="339"/>
      <c r="D3591" s="159"/>
    </row>
    <row r="3592">
      <c r="A3592" s="339" t="str">
        <f>IFERROR(__xludf.DUMMYFUNCTION("""COMPUTED_VALUE"""),"")</f>
        <v/>
      </c>
      <c r="B3592" s="339"/>
      <c r="C3592" s="339"/>
      <c r="D3592" s="159"/>
    </row>
    <row r="3593">
      <c r="A3593" s="339" t="str">
        <f>IFERROR(__xludf.DUMMYFUNCTION("""COMPUTED_VALUE"""),"")</f>
        <v/>
      </c>
      <c r="B3593" s="339"/>
      <c r="C3593" s="339"/>
      <c r="D3593" s="159"/>
    </row>
    <row r="3594">
      <c r="A3594" s="339" t="str">
        <f>IFERROR(__xludf.DUMMYFUNCTION("""COMPUTED_VALUE"""),"")</f>
        <v/>
      </c>
      <c r="B3594" s="339"/>
      <c r="C3594" s="339"/>
      <c r="D3594" s="159"/>
    </row>
    <row r="3595">
      <c r="A3595" s="339" t="str">
        <f>IFERROR(__xludf.DUMMYFUNCTION("""COMPUTED_VALUE"""),"")</f>
        <v/>
      </c>
      <c r="B3595" s="339"/>
      <c r="C3595" s="339"/>
      <c r="D3595" s="159"/>
    </row>
    <row r="3596">
      <c r="A3596" s="339" t="str">
        <f>IFERROR(__xludf.DUMMYFUNCTION("""COMPUTED_VALUE"""),"")</f>
        <v/>
      </c>
      <c r="B3596" s="339"/>
      <c r="C3596" s="339"/>
      <c r="D3596" s="159"/>
    </row>
    <row r="3597">
      <c r="A3597" s="339" t="str">
        <f>IFERROR(__xludf.DUMMYFUNCTION("""COMPUTED_VALUE"""),"")</f>
        <v/>
      </c>
      <c r="B3597" s="339"/>
      <c r="C3597" s="339"/>
      <c r="D3597" s="159"/>
    </row>
    <row r="3598">
      <c r="A3598" s="339"/>
      <c r="B3598" s="339"/>
      <c r="C3598" s="339"/>
      <c r="D3598" s="159"/>
    </row>
    <row r="3599">
      <c r="A3599" s="339"/>
      <c r="B3599" s="339"/>
      <c r="C3599" s="339"/>
      <c r="D3599" s="159"/>
    </row>
    <row r="3600">
      <c r="A3600" s="339"/>
      <c r="B3600" s="339"/>
      <c r="C3600" s="339"/>
      <c r="D3600" s="159"/>
    </row>
    <row r="3601">
      <c r="A3601" s="339"/>
      <c r="B3601" s="339"/>
      <c r="C3601" s="339"/>
      <c r="D3601" s="159"/>
    </row>
    <row r="3602">
      <c r="A3602" s="339"/>
      <c r="B3602" s="339"/>
      <c r="C3602" s="339"/>
      <c r="D3602" s="159"/>
    </row>
    <row r="3603">
      <c r="A3603" s="339"/>
      <c r="B3603" s="339"/>
      <c r="C3603" s="339"/>
      <c r="D3603" s="159"/>
    </row>
    <row r="3604">
      <c r="A3604" s="339"/>
      <c r="B3604" s="339"/>
      <c r="C3604" s="339"/>
      <c r="D3604" s="159"/>
    </row>
    <row r="3605">
      <c r="A3605" s="339"/>
      <c r="B3605" s="339"/>
      <c r="C3605" s="339"/>
      <c r="D3605" s="159"/>
    </row>
    <row r="3606">
      <c r="A3606" s="339"/>
      <c r="B3606" s="339"/>
      <c r="C3606" s="339"/>
      <c r="D3606" s="159"/>
    </row>
    <row r="3607">
      <c r="A3607" s="339"/>
      <c r="B3607" s="339"/>
      <c r="C3607" s="339"/>
      <c r="D3607" s="159"/>
    </row>
    <row r="3608">
      <c r="A3608" s="339"/>
      <c r="B3608" s="339"/>
      <c r="C3608" s="339"/>
      <c r="D3608" s="159"/>
    </row>
    <row r="3609">
      <c r="A3609" s="339"/>
      <c r="B3609" s="339"/>
      <c r="C3609" s="339"/>
      <c r="D3609" s="159"/>
    </row>
    <row r="3610">
      <c r="A3610" s="339"/>
      <c r="B3610" s="339"/>
      <c r="C3610" s="339"/>
      <c r="D3610" s="159"/>
    </row>
    <row r="3611">
      <c r="A3611" s="339"/>
      <c r="B3611" s="339"/>
      <c r="C3611" s="339"/>
      <c r="D3611" s="159"/>
    </row>
    <row r="3612">
      <c r="A3612" s="339"/>
      <c r="B3612" s="339"/>
      <c r="C3612" s="339"/>
      <c r="D3612" s="159"/>
    </row>
    <row r="3613">
      <c r="A3613" s="339"/>
      <c r="B3613" s="339"/>
      <c r="C3613" s="339"/>
      <c r="D3613" s="159"/>
    </row>
    <row r="3614">
      <c r="A3614" s="339"/>
      <c r="B3614" s="339"/>
      <c r="C3614" s="339"/>
      <c r="D3614" s="159"/>
    </row>
    <row r="3615">
      <c r="A3615" s="339"/>
      <c r="B3615" s="339"/>
      <c r="C3615" s="339"/>
      <c r="D3615" s="159"/>
    </row>
    <row r="3616">
      <c r="A3616" s="339"/>
      <c r="B3616" s="339"/>
      <c r="C3616" s="339"/>
      <c r="D3616" s="159"/>
    </row>
    <row r="3617">
      <c r="A3617" s="339"/>
      <c r="B3617" s="339"/>
      <c r="C3617" s="339"/>
      <c r="D3617" s="159"/>
    </row>
    <row r="3618">
      <c r="A3618" s="339"/>
      <c r="B3618" s="339"/>
      <c r="C3618" s="339"/>
      <c r="D3618" s="159"/>
    </row>
    <row r="3619">
      <c r="A3619" s="339"/>
      <c r="B3619" s="339"/>
      <c r="C3619" s="339"/>
      <c r="D3619" s="159"/>
    </row>
    <row r="3620">
      <c r="A3620" s="339"/>
      <c r="B3620" s="339"/>
      <c r="C3620" s="339"/>
      <c r="D3620" s="159"/>
    </row>
    <row r="3621">
      <c r="A3621" s="339"/>
      <c r="B3621" s="339"/>
      <c r="C3621" s="339"/>
      <c r="D3621" s="159"/>
    </row>
    <row r="3622">
      <c r="A3622" s="339"/>
      <c r="B3622" s="339"/>
      <c r="C3622" s="339"/>
      <c r="D3622" s="159"/>
    </row>
    <row r="3623">
      <c r="A3623" s="339"/>
      <c r="B3623" s="339"/>
      <c r="C3623" s="339"/>
      <c r="D3623" s="159"/>
    </row>
    <row r="3624">
      <c r="A3624" s="339"/>
      <c r="B3624" s="339"/>
      <c r="C3624" s="339"/>
      <c r="D3624" s="159"/>
    </row>
    <row r="3625">
      <c r="A3625" s="339"/>
      <c r="B3625" s="339"/>
      <c r="C3625" s="339"/>
      <c r="D3625" s="159"/>
    </row>
    <row r="3626">
      <c r="A3626" s="339"/>
      <c r="B3626" s="339"/>
      <c r="C3626" s="339"/>
      <c r="D3626" s="159"/>
    </row>
    <row r="3627">
      <c r="A3627" s="339"/>
      <c r="B3627" s="339"/>
      <c r="C3627" s="339"/>
      <c r="D3627" s="159"/>
    </row>
    <row r="3628">
      <c r="A3628" s="339"/>
      <c r="B3628" s="339"/>
      <c r="C3628" s="339"/>
      <c r="D3628" s="159"/>
    </row>
    <row r="3629">
      <c r="A3629" s="339"/>
      <c r="B3629" s="339"/>
      <c r="C3629" s="339"/>
      <c r="D3629" s="159"/>
    </row>
    <row r="3630">
      <c r="A3630" s="339"/>
      <c r="B3630" s="339"/>
      <c r="C3630" s="339"/>
      <c r="D3630" s="159"/>
    </row>
    <row r="3631">
      <c r="A3631" s="339"/>
      <c r="B3631" s="339"/>
      <c r="C3631" s="339"/>
      <c r="D3631" s="159"/>
    </row>
    <row r="3632">
      <c r="A3632" s="339"/>
      <c r="B3632" s="339"/>
      <c r="C3632" s="339"/>
      <c r="D3632" s="159"/>
    </row>
    <row r="3633">
      <c r="A3633" s="339"/>
      <c r="B3633" s="339"/>
      <c r="C3633" s="339"/>
      <c r="D3633" s="159"/>
    </row>
    <row r="3634">
      <c r="A3634" s="339"/>
      <c r="B3634" s="339"/>
      <c r="C3634" s="339"/>
      <c r="D3634" s="159"/>
    </row>
    <row r="3635">
      <c r="A3635" s="339"/>
      <c r="B3635" s="339"/>
      <c r="C3635" s="339"/>
      <c r="D3635" s="159"/>
    </row>
    <row r="3636">
      <c r="A3636" s="339"/>
      <c r="B3636" s="339"/>
      <c r="C3636" s="339"/>
      <c r="D3636" s="159"/>
    </row>
    <row r="3637">
      <c r="A3637" s="339"/>
      <c r="B3637" s="339"/>
      <c r="C3637" s="339"/>
      <c r="D3637" s="159"/>
    </row>
    <row r="3638">
      <c r="A3638" s="339"/>
      <c r="B3638" s="339"/>
      <c r="C3638" s="339"/>
      <c r="D3638" s="159"/>
    </row>
    <row r="3639">
      <c r="A3639" s="339"/>
      <c r="B3639" s="339"/>
      <c r="C3639" s="339"/>
      <c r="D3639" s="159"/>
    </row>
    <row r="3640">
      <c r="A3640" s="339"/>
      <c r="B3640" s="339"/>
      <c r="C3640" s="339"/>
      <c r="D3640" s="159"/>
    </row>
    <row r="3641">
      <c r="A3641" s="339"/>
      <c r="B3641" s="339"/>
      <c r="C3641" s="339"/>
      <c r="D3641" s="159"/>
    </row>
    <row r="3642">
      <c r="A3642" s="339"/>
      <c r="B3642" s="339"/>
      <c r="C3642" s="339"/>
      <c r="D3642" s="159"/>
    </row>
    <row r="3643">
      <c r="A3643" s="339"/>
      <c r="B3643" s="339"/>
      <c r="C3643" s="339"/>
      <c r="D3643" s="159"/>
    </row>
    <row r="3644">
      <c r="A3644" s="339"/>
      <c r="B3644" s="339"/>
      <c r="C3644" s="339"/>
      <c r="D3644" s="159"/>
    </row>
    <row r="3645">
      <c r="A3645" s="339"/>
      <c r="B3645" s="339"/>
      <c r="C3645" s="339"/>
      <c r="D3645" s="159"/>
    </row>
    <row r="3646">
      <c r="A3646" s="339"/>
      <c r="B3646" s="339"/>
      <c r="C3646" s="339"/>
      <c r="D3646" s="159"/>
    </row>
    <row r="3647">
      <c r="A3647" s="339"/>
      <c r="B3647" s="339"/>
      <c r="C3647" s="339"/>
      <c r="D3647" s="159"/>
    </row>
    <row r="3648">
      <c r="A3648" s="339"/>
      <c r="B3648" s="339"/>
      <c r="C3648" s="339"/>
      <c r="D3648" s="159"/>
    </row>
    <row r="3649">
      <c r="A3649" s="339"/>
      <c r="B3649" s="339"/>
      <c r="C3649" s="339"/>
      <c r="D3649" s="159"/>
    </row>
    <row r="3650">
      <c r="A3650" s="339"/>
      <c r="B3650" s="339"/>
      <c r="C3650" s="339"/>
      <c r="D3650" s="159"/>
    </row>
    <row r="3651">
      <c r="A3651" s="339"/>
      <c r="B3651" s="339"/>
      <c r="C3651" s="339"/>
      <c r="D3651" s="159"/>
    </row>
    <row r="3652">
      <c r="A3652" s="339"/>
      <c r="B3652" s="339"/>
      <c r="C3652" s="339"/>
      <c r="D3652" s="159"/>
    </row>
    <row r="3653">
      <c r="A3653" s="339"/>
      <c r="B3653" s="339"/>
      <c r="C3653" s="339"/>
      <c r="D3653" s="159"/>
    </row>
    <row r="3654">
      <c r="A3654" s="339"/>
      <c r="B3654" s="339"/>
      <c r="C3654" s="339"/>
      <c r="D3654" s="159"/>
    </row>
    <row r="3655">
      <c r="A3655" s="339"/>
      <c r="B3655" s="339"/>
      <c r="C3655" s="339"/>
      <c r="D3655" s="159"/>
    </row>
    <row r="3656">
      <c r="A3656" s="339"/>
      <c r="B3656" s="339"/>
      <c r="C3656" s="339"/>
      <c r="D3656" s="159"/>
    </row>
    <row r="3657">
      <c r="A3657" s="339"/>
      <c r="B3657" s="339"/>
      <c r="C3657" s="339"/>
      <c r="D3657" s="159"/>
    </row>
    <row r="3658">
      <c r="A3658" s="339"/>
      <c r="B3658" s="339"/>
      <c r="C3658" s="339"/>
      <c r="D3658" s="159"/>
    </row>
    <row r="3659">
      <c r="A3659" s="339"/>
      <c r="B3659" s="339"/>
      <c r="C3659" s="339"/>
      <c r="D3659" s="159"/>
    </row>
    <row r="3660">
      <c r="A3660" s="339"/>
      <c r="B3660" s="339"/>
      <c r="C3660" s="339"/>
      <c r="D3660" s="159"/>
    </row>
    <row r="3661">
      <c r="A3661" s="339"/>
      <c r="B3661" s="339"/>
      <c r="C3661" s="339"/>
      <c r="D3661" s="159"/>
    </row>
    <row r="3662">
      <c r="A3662" s="339"/>
      <c r="B3662" s="339"/>
      <c r="C3662" s="339"/>
      <c r="D3662" s="159"/>
    </row>
    <row r="3663">
      <c r="A3663" s="339"/>
      <c r="B3663" s="339"/>
      <c r="C3663" s="339"/>
      <c r="D3663" s="159"/>
    </row>
    <row r="3664">
      <c r="A3664" s="339"/>
      <c r="B3664" s="339"/>
      <c r="C3664" s="339"/>
      <c r="D3664" s="159"/>
    </row>
    <row r="3665">
      <c r="A3665" s="339"/>
      <c r="B3665" s="339"/>
      <c r="C3665" s="339"/>
      <c r="D3665" s="159"/>
    </row>
    <row r="3666">
      <c r="A3666" s="339"/>
      <c r="B3666" s="339"/>
      <c r="C3666" s="339"/>
      <c r="D3666" s="159"/>
    </row>
    <row r="3667">
      <c r="A3667" s="339"/>
      <c r="B3667" s="339"/>
      <c r="C3667" s="339"/>
      <c r="D3667" s="159"/>
    </row>
    <row r="3668">
      <c r="A3668" s="339"/>
      <c r="B3668" s="339"/>
      <c r="C3668" s="339"/>
      <c r="D3668" s="159"/>
    </row>
    <row r="3669">
      <c r="A3669" s="339"/>
      <c r="B3669" s="339"/>
      <c r="C3669" s="339"/>
      <c r="D3669" s="159"/>
    </row>
    <row r="3670">
      <c r="A3670" s="339"/>
      <c r="B3670" s="339"/>
      <c r="C3670" s="339"/>
      <c r="D3670" s="159"/>
    </row>
    <row r="3671">
      <c r="A3671" s="339"/>
      <c r="B3671" s="339"/>
      <c r="C3671" s="339"/>
      <c r="D3671" s="159"/>
    </row>
    <row r="3672">
      <c r="A3672" s="339"/>
      <c r="B3672" s="339"/>
      <c r="C3672" s="339"/>
      <c r="D3672" s="159"/>
    </row>
    <row r="3673">
      <c r="A3673" s="339"/>
      <c r="B3673" s="339"/>
      <c r="C3673" s="339"/>
      <c r="D3673" s="159"/>
    </row>
    <row r="3674">
      <c r="A3674" s="339"/>
      <c r="B3674" s="339"/>
      <c r="C3674" s="339"/>
      <c r="D3674" s="159"/>
    </row>
    <row r="3675">
      <c r="A3675" s="339"/>
      <c r="B3675" s="339"/>
      <c r="C3675" s="339"/>
      <c r="D3675" s="159"/>
    </row>
    <row r="3676">
      <c r="A3676" s="339"/>
      <c r="B3676" s="339"/>
      <c r="C3676" s="339"/>
      <c r="D3676" s="159"/>
    </row>
    <row r="3677">
      <c r="A3677" s="339"/>
      <c r="B3677" s="339"/>
      <c r="C3677" s="339"/>
      <c r="D3677" s="159"/>
    </row>
    <row r="3678">
      <c r="A3678" s="339"/>
      <c r="B3678" s="339"/>
      <c r="C3678" s="339"/>
      <c r="D3678" s="159"/>
    </row>
    <row r="3679">
      <c r="A3679" s="339"/>
      <c r="B3679" s="339"/>
      <c r="C3679" s="339"/>
      <c r="D3679" s="159"/>
    </row>
    <row r="3680">
      <c r="A3680" s="339"/>
      <c r="B3680" s="339"/>
      <c r="C3680" s="339"/>
      <c r="D3680" s="159"/>
    </row>
    <row r="3681">
      <c r="A3681" s="339"/>
      <c r="B3681" s="339"/>
      <c r="C3681" s="339"/>
      <c r="D3681" s="159"/>
    </row>
    <row r="3682">
      <c r="A3682" s="339"/>
      <c r="B3682" s="339"/>
      <c r="C3682" s="339"/>
      <c r="D3682" s="159"/>
    </row>
    <row r="3683">
      <c r="A3683" s="339"/>
      <c r="B3683" s="339"/>
      <c r="C3683" s="339"/>
      <c r="D3683" s="159"/>
    </row>
    <row r="3684">
      <c r="A3684" s="339"/>
      <c r="B3684" s="339"/>
      <c r="C3684" s="339"/>
      <c r="D3684" s="159"/>
    </row>
    <row r="3685">
      <c r="A3685" s="339"/>
      <c r="B3685" s="339"/>
      <c r="C3685" s="339"/>
      <c r="D3685" s="159"/>
    </row>
    <row r="3686">
      <c r="A3686" s="339"/>
      <c r="B3686" s="339"/>
      <c r="C3686" s="339"/>
      <c r="D3686" s="159"/>
    </row>
    <row r="3687">
      <c r="A3687" s="339"/>
      <c r="B3687" s="339"/>
      <c r="C3687" s="339"/>
      <c r="D3687" s="159"/>
    </row>
    <row r="3688">
      <c r="A3688" s="339"/>
      <c r="B3688" s="339"/>
      <c r="C3688" s="339"/>
      <c r="D3688" s="159"/>
    </row>
    <row r="3689">
      <c r="A3689" s="339"/>
      <c r="B3689" s="339"/>
      <c r="C3689" s="339"/>
      <c r="D3689" s="159"/>
    </row>
    <row r="3690">
      <c r="A3690" s="339"/>
      <c r="B3690" s="339"/>
      <c r="C3690" s="339"/>
      <c r="D3690" s="159"/>
    </row>
    <row r="3691">
      <c r="A3691" s="339"/>
      <c r="B3691" s="339"/>
      <c r="C3691" s="339"/>
      <c r="D3691" s="159"/>
    </row>
    <row r="3692">
      <c r="A3692" s="339"/>
      <c r="B3692" s="339"/>
      <c r="C3692" s="339"/>
      <c r="D3692" s="159"/>
    </row>
    <row r="3693">
      <c r="A3693" s="339"/>
      <c r="B3693" s="339"/>
      <c r="C3693" s="339"/>
      <c r="D3693" s="159"/>
    </row>
    <row r="3694">
      <c r="A3694" s="339"/>
      <c r="B3694" s="339"/>
      <c r="C3694" s="339"/>
      <c r="D3694" s="159"/>
    </row>
    <row r="3695">
      <c r="A3695" s="339"/>
      <c r="B3695" s="339"/>
      <c r="C3695" s="339"/>
      <c r="D3695" s="159"/>
    </row>
    <row r="3696">
      <c r="A3696" s="339"/>
      <c r="B3696" s="339"/>
      <c r="C3696" s="339"/>
      <c r="D3696" s="159"/>
    </row>
    <row r="3697">
      <c r="A3697" s="339"/>
      <c r="B3697" s="339"/>
      <c r="C3697" s="339"/>
      <c r="D3697" s="159"/>
    </row>
    <row r="3698">
      <c r="A3698" s="339"/>
      <c r="B3698" s="339"/>
      <c r="C3698" s="339"/>
      <c r="D3698" s="159"/>
    </row>
    <row r="3699">
      <c r="A3699" s="339"/>
      <c r="B3699" s="339"/>
      <c r="C3699" s="339"/>
      <c r="D3699" s="159"/>
    </row>
    <row r="3700">
      <c r="A3700" s="339"/>
      <c r="B3700" s="339"/>
      <c r="C3700" s="339"/>
      <c r="D3700" s="159"/>
    </row>
    <row r="3701">
      <c r="A3701" s="339"/>
      <c r="B3701" s="339"/>
      <c r="C3701" s="339"/>
      <c r="D3701" s="159"/>
    </row>
    <row r="3702">
      <c r="A3702" s="339"/>
      <c r="B3702" s="339"/>
      <c r="C3702" s="339"/>
      <c r="D3702" s="159"/>
    </row>
    <row r="3703">
      <c r="A3703" s="339"/>
      <c r="B3703" s="339"/>
      <c r="C3703" s="339"/>
      <c r="D3703" s="159"/>
    </row>
    <row r="3704">
      <c r="A3704" s="339"/>
      <c r="B3704" s="339"/>
      <c r="C3704" s="339"/>
      <c r="D3704" s="159"/>
    </row>
    <row r="3705">
      <c r="A3705" s="339"/>
      <c r="B3705" s="339"/>
      <c r="C3705" s="339"/>
      <c r="D3705" s="159"/>
    </row>
    <row r="3706">
      <c r="A3706" s="339"/>
      <c r="B3706" s="339"/>
      <c r="C3706" s="339"/>
      <c r="D3706" s="159"/>
    </row>
    <row r="3707">
      <c r="A3707" s="339"/>
      <c r="B3707" s="339"/>
      <c r="C3707" s="339"/>
      <c r="D3707" s="159"/>
    </row>
    <row r="3708">
      <c r="A3708" s="339"/>
      <c r="B3708" s="339"/>
      <c r="C3708" s="339"/>
      <c r="D3708" s="159"/>
    </row>
    <row r="3709">
      <c r="A3709" s="339"/>
      <c r="B3709" s="339"/>
      <c r="C3709" s="339"/>
      <c r="D3709" s="159"/>
    </row>
    <row r="3710">
      <c r="A3710" s="339"/>
      <c r="B3710" s="339"/>
      <c r="C3710" s="339"/>
      <c r="D3710" s="159"/>
    </row>
    <row r="3711">
      <c r="A3711" s="339"/>
      <c r="B3711" s="339"/>
      <c r="C3711" s="339"/>
      <c r="D3711" s="159"/>
    </row>
    <row r="3712">
      <c r="A3712" s="339"/>
      <c r="B3712" s="339"/>
      <c r="C3712" s="339"/>
      <c r="D3712" s="159"/>
    </row>
    <row r="3713">
      <c r="A3713" s="339"/>
      <c r="B3713" s="339"/>
      <c r="C3713" s="339"/>
      <c r="D3713" s="159"/>
    </row>
    <row r="3714">
      <c r="A3714" s="339"/>
      <c r="B3714" s="339"/>
      <c r="C3714" s="339"/>
      <c r="D3714" s="159"/>
    </row>
    <row r="3715">
      <c r="A3715" s="339"/>
      <c r="B3715" s="339"/>
      <c r="C3715" s="339"/>
      <c r="D3715" s="159"/>
    </row>
    <row r="3716">
      <c r="A3716" s="339"/>
      <c r="B3716" s="339"/>
      <c r="C3716" s="339"/>
      <c r="D3716" s="159"/>
    </row>
    <row r="3717">
      <c r="A3717" s="339"/>
      <c r="B3717" s="339"/>
      <c r="C3717" s="339"/>
      <c r="D3717" s="159"/>
    </row>
    <row r="3718">
      <c r="A3718" s="339"/>
      <c r="B3718" s="339"/>
      <c r="C3718" s="339"/>
      <c r="D3718" s="159"/>
    </row>
    <row r="3719">
      <c r="A3719" s="339"/>
      <c r="B3719" s="339"/>
      <c r="C3719" s="339"/>
      <c r="D3719" s="159"/>
    </row>
    <row r="3720">
      <c r="A3720" s="339"/>
      <c r="B3720" s="339"/>
      <c r="C3720" s="339"/>
      <c r="D3720" s="159"/>
    </row>
    <row r="3721">
      <c r="A3721" s="339"/>
      <c r="B3721" s="339"/>
      <c r="C3721" s="339"/>
      <c r="D3721" s="159"/>
    </row>
    <row r="3722">
      <c r="A3722" s="339"/>
      <c r="B3722" s="339"/>
      <c r="C3722" s="339"/>
      <c r="D3722" s="159"/>
    </row>
    <row r="3723">
      <c r="A3723" s="339"/>
      <c r="B3723" s="339"/>
      <c r="C3723" s="339"/>
      <c r="D3723" s="159"/>
    </row>
    <row r="3724">
      <c r="A3724" s="339"/>
      <c r="B3724" s="339"/>
      <c r="C3724" s="339"/>
      <c r="D3724" s="159"/>
    </row>
    <row r="3725">
      <c r="A3725" s="339"/>
      <c r="B3725" s="339"/>
      <c r="C3725" s="339"/>
      <c r="D3725" s="159"/>
    </row>
    <row r="3726">
      <c r="A3726" s="339"/>
      <c r="B3726" s="339"/>
      <c r="C3726" s="339"/>
      <c r="D3726" s="159"/>
    </row>
    <row r="3727">
      <c r="A3727" s="339"/>
      <c r="B3727" s="339"/>
      <c r="C3727" s="339"/>
      <c r="D3727" s="159"/>
    </row>
    <row r="3728">
      <c r="A3728" s="339"/>
      <c r="B3728" s="339"/>
      <c r="C3728" s="339"/>
      <c r="D3728" s="159"/>
    </row>
    <row r="3729">
      <c r="A3729" s="339"/>
      <c r="B3729" s="339"/>
      <c r="C3729" s="339"/>
      <c r="D3729" s="159"/>
    </row>
    <row r="3730">
      <c r="A3730" s="339"/>
      <c r="B3730" s="339"/>
      <c r="C3730" s="339"/>
      <c r="D3730" s="159"/>
    </row>
    <row r="3731">
      <c r="A3731" s="339"/>
      <c r="B3731" s="339"/>
      <c r="C3731" s="339"/>
      <c r="D3731" s="159"/>
    </row>
    <row r="3732">
      <c r="A3732" s="339"/>
      <c r="B3732" s="339"/>
      <c r="C3732" s="339"/>
      <c r="D3732" s="159"/>
    </row>
    <row r="3733">
      <c r="A3733" s="339"/>
      <c r="B3733" s="339"/>
      <c r="C3733" s="339"/>
      <c r="D3733" s="159"/>
    </row>
    <row r="3734">
      <c r="A3734" s="339"/>
      <c r="B3734" s="339"/>
      <c r="C3734" s="339"/>
      <c r="D3734" s="159"/>
    </row>
    <row r="3735">
      <c r="A3735" s="339"/>
      <c r="B3735" s="339"/>
      <c r="C3735" s="339"/>
      <c r="D3735" s="159"/>
    </row>
    <row r="3736">
      <c r="A3736" s="339"/>
      <c r="B3736" s="339"/>
      <c r="C3736" s="339"/>
      <c r="D3736" s="159"/>
    </row>
    <row r="3737">
      <c r="A3737" s="339"/>
      <c r="B3737" s="339"/>
      <c r="C3737" s="339"/>
      <c r="D3737" s="159"/>
    </row>
    <row r="3738">
      <c r="A3738" s="339"/>
      <c r="B3738" s="339"/>
      <c r="C3738" s="339"/>
      <c r="D3738" s="159"/>
    </row>
    <row r="3739">
      <c r="A3739" s="339"/>
      <c r="B3739" s="339"/>
      <c r="C3739" s="339"/>
      <c r="D3739" s="159"/>
    </row>
    <row r="3740">
      <c r="A3740" s="339"/>
      <c r="B3740" s="339"/>
      <c r="C3740" s="339"/>
      <c r="D3740" s="159"/>
    </row>
    <row r="3741">
      <c r="A3741" s="339"/>
      <c r="B3741" s="339"/>
      <c r="C3741" s="339"/>
      <c r="D3741" s="159"/>
    </row>
    <row r="3742">
      <c r="A3742" s="339"/>
      <c r="B3742" s="339"/>
      <c r="C3742" s="339"/>
      <c r="D3742" s="159"/>
    </row>
    <row r="3743">
      <c r="A3743" s="339"/>
      <c r="B3743" s="339"/>
      <c r="C3743" s="339"/>
      <c r="D3743" s="159"/>
    </row>
    <row r="3744">
      <c r="A3744" s="339"/>
      <c r="B3744" s="339"/>
      <c r="C3744" s="339"/>
      <c r="D3744" s="159"/>
    </row>
    <row r="3745">
      <c r="A3745" s="339"/>
      <c r="B3745" s="339"/>
      <c r="C3745" s="339"/>
      <c r="D3745" s="159"/>
    </row>
    <row r="3746">
      <c r="A3746" s="339"/>
      <c r="B3746" s="339"/>
      <c r="C3746" s="339"/>
      <c r="D3746" s="159"/>
    </row>
    <row r="3747">
      <c r="A3747" s="339"/>
      <c r="B3747" s="339"/>
      <c r="C3747" s="339"/>
      <c r="D3747" s="159"/>
    </row>
    <row r="3748">
      <c r="A3748" s="339"/>
      <c r="B3748" s="339"/>
      <c r="C3748" s="339"/>
      <c r="D3748" s="159"/>
    </row>
    <row r="3749">
      <c r="A3749" s="339"/>
      <c r="B3749" s="339"/>
      <c r="C3749" s="339"/>
      <c r="D3749" s="159"/>
    </row>
    <row r="3750">
      <c r="A3750" s="339"/>
      <c r="B3750" s="339"/>
      <c r="C3750" s="339"/>
      <c r="D3750" s="159"/>
    </row>
    <row r="3751">
      <c r="A3751" s="339"/>
      <c r="B3751" s="339"/>
      <c r="C3751" s="339"/>
      <c r="D3751" s="159"/>
    </row>
    <row r="3752">
      <c r="A3752" s="339"/>
      <c r="B3752" s="339"/>
      <c r="C3752" s="339"/>
      <c r="D3752" s="159"/>
    </row>
    <row r="3753">
      <c r="A3753" s="339"/>
      <c r="B3753" s="339"/>
      <c r="C3753" s="339"/>
      <c r="D3753" s="159"/>
    </row>
    <row r="3754">
      <c r="A3754" s="339"/>
      <c r="B3754" s="339"/>
      <c r="C3754" s="339"/>
      <c r="D3754" s="159"/>
    </row>
    <row r="3755">
      <c r="A3755" s="339"/>
      <c r="B3755" s="339"/>
      <c r="C3755" s="339"/>
      <c r="D3755" s="159"/>
    </row>
    <row r="3756">
      <c r="A3756" s="339"/>
      <c r="B3756" s="339"/>
      <c r="C3756" s="339"/>
      <c r="D3756" s="159"/>
    </row>
    <row r="3757">
      <c r="A3757" s="339"/>
      <c r="B3757" s="339"/>
      <c r="C3757" s="339"/>
      <c r="D3757" s="159"/>
    </row>
    <row r="3758">
      <c r="A3758" s="339"/>
      <c r="B3758" s="339"/>
      <c r="C3758" s="339"/>
      <c r="D3758" s="159"/>
    </row>
    <row r="3759">
      <c r="A3759" s="339"/>
      <c r="B3759" s="339"/>
      <c r="C3759" s="339"/>
      <c r="D3759" s="159"/>
    </row>
    <row r="3760">
      <c r="A3760" s="339"/>
      <c r="B3760" s="339"/>
      <c r="C3760" s="339"/>
      <c r="D3760" s="159"/>
    </row>
    <row r="3761">
      <c r="A3761" s="339"/>
      <c r="B3761" s="339"/>
      <c r="C3761" s="339"/>
      <c r="D3761" s="159"/>
    </row>
    <row r="3762">
      <c r="A3762" s="339"/>
      <c r="B3762" s="339"/>
      <c r="C3762" s="339"/>
      <c r="D3762" s="159"/>
    </row>
    <row r="3763">
      <c r="A3763" s="339"/>
      <c r="B3763" s="339"/>
      <c r="C3763" s="339"/>
      <c r="D3763" s="159"/>
    </row>
    <row r="3764">
      <c r="A3764" s="339"/>
      <c r="B3764" s="339"/>
      <c r="C3764" s="339"/>
      <c r="D3764" s="159"/>
    </row>
    <row r="3765">
      <c r="A3765" s="339"/>
      <c r="B3765" s="339"/>
      <c r="C3765" s="339"/>
      <c r="D3765" s="159"/>
    </row>
    <row r="3766">
      <c r="A3766" s="339"/>
      <c r="B3766" s="339"/>
      <c r="C3766" s="339"/>
      <c r="D3766" s="159"/>
    </row>
    <row r="3767">
      <c r="A3767" s="339"/>
      <c r="B3767" s="339"/>
      <c r="C3767" s="339"/>
      <c r="D3767" s="159"/>
    </row>
    <row r="3768">
      <c r="A3768" s="339"/>
      <c r="B3768" s="339"/>
      <c r="C3768" s="339"/>
      <c r="D3768" s="159"/>
    </row>
    <row r="3769">
      <c r="A3769" s="339"/>
      <c r="B3769" s="339"/>
      <c r="C3769" s="339"/>
      <c r="D3769" s="159"/>
    </row>
    <row r="3770">
      <c r="A3770" s="339"/>
      <c r="B3770" s="339"/>
      <c r="C3770" s="339"/>
      <c r="D3770" s="159"/>
    </row>
    <row r="3771">
      <c r="A3771" s="339"/>
      <c r="B3771" s="339"/>
      <c r="C3771" s="339"/>
      <c r="D3771" s="159"/>
    </row>
    <row r="3772">
      <c r="A3772" s="339"/>
      <c r="B3772" s="339"/>
      <c r="C3772" s="339"/>
      <c r="D3772" s="159"/>
    </row>
    <row r="3773">
      <c r="A3773" s="339"/>
      <c r="B3773" s="339"/>
      <c r="C3773" s="339"/>
      <c r="D3773" s="159"/>
    </row>
    <row r="3774">
      <c r="A3774" s="339"/>
      <c r="B3774" s="339"/>
      <c r="C3774" s="339"/>
      <c r="D3774" s="159"/>
    </row>
    <row r="3775">
      <c r="A3775" s="339"/>
      <c r="B3775" s="339"/>
      <c r="C3775" s="339"/>
      <c r="D3775" s="159"/>
    </row>
    <row r="3776">
      <c r="A3776" s="339"/>
      <c r="B3776" s="339"/>
      <c r="C3776" s="339"/>
      <c r="D3776" s="159"/>
    </row>
    <row r="3777">
      <c r="A3777" s="339"/>
      <c r="B3777" s="339"/>
      <c r="C3777" s="339"/>
      <c r="D3777" s="159"/>
    </row>
    <row r="3778">
      <c r="A3778" s="339"/>
      <c r="B3778" s="339"/>
      <c r="C3778" s="339"/>
      <c r="D3778" s="159"/>
    </row>
    <row r="3779">
      <c r="A3779" s="339"/>
      <c r="B3779" s="339"/>
      <c r="C3779" s="339"/>
      <c r="D3779" s="159"/>
    </row>
    <row r="3780">
      <c r="A3780" s="339"/>
      <c r="B3780" s="339"/>
      <c r="C3780" s="339"/>
      <c r="D3780" s="159"/>
    </row>
    <row r="3781">
      <c r="A3781" s="339"/>
      <c r="B3781" s="339"/>
      <c r="C3781" s="339"/>
      <c r="D3781" s="159"/>
    </row>
    <row r="3782">
      <c r="A3782" s="339"/>
      <c r="B3782" s="339"/>
      <c r="C3782" s="339"/>
      <c r="D3782" s="159"/>
    </row>
    <row r="3783">
      <c r="A3783" s="339"/>
      <c r="B3783" s="339"/>
      <c r="C3783" s="339"/>
      <c r="D3783" s="159"/>
    </row>
    <row r="3784">
      <c r="A3784" s="339"/>
      <c r="B3784" s="339"/>
      <c r="C3784" s="339"/>
      <c r="D3784" s="159"/>
    </row>
    <row r="3785">
      <c r="A3785" s="339"/>
      <c r="B3785" s="339"/>
      <c r="C3785" s="339"/>
      <c r="D3785" s="159"/>
    </row>
    <row r="3786">
      <c r="A3786" s="339"/>
      <c r="B3786" s="339"/>
      <c r="C3786" s="339"/>
      <c r="D3786" s="159"/>
    </row>
    <row r="3787">
      <c r="A3787" s="339"/>
      <c r="B3787" s="339"/>
      <c r="C3787" s="339"/>
      <c r="D3787" s="159"/>
    </row>
    <row r="3788">
      <c r="A3788" s="339"/>
      <c r="B3788" s="339"/>
      <c r="C3788" s="339"/>
      <c r="D3788" s="159"/>
    </row>
    <row r="3789">
      <c r="A3789" s="339"/>
      <c r="B3789" s="339"/>
      <c r="C3789" s="339"/>
      <c r="D3789" s="159"/>
    </row>
    <row r="3790">
      <c r="A3790" s="339"/>
      <c r="B3790" s="339"/>
      <c r="C3790" s="339"/>
      <c r="D3790" s="159"/>
    </row>
    <row r="3791">
      <c r="A3791" s="339"/>
      <c r="B3791" s="339"/>
      <c r="C3791" s="339"/>
      <c r="D3791" s="159"/>
    </row>
    <row r="3792">
      <c r="A3792" s="339"/>
      <c r="B3792" s="339"/>
      <c r="C3792" s="339"/>
      <c r="D3792" s="159"/>
    </row>
    <row r="3793">
      <c r="A3793" s="339"/>
      <c r="B3793" s="339"/>
      <c r="C3793" s="339"/>
      <c r="D3793" s="159"/>
    </row>
    <row r="3794">
      <c r="A3794" s="339"/>
      <c r="B3794" s="339"/>
      <c r="C3794" s="339"/>
      <c r="D3794" s="159"/>
    </row>
    <row r="3795">
      <c r="A3795" s="339"/>
      <c r="B3795" s="339"/>
      <c r="C3795" s="339"/>
      <c r="D3795" s="159"/>
    </row>
    <row r="3796">
      <c r="A3796" s="339"/>
      <c r="B3796" s="339"/>
      <c r="C3796" s="339"/>
      <c r="D3796" s="159"/>
    </row>
    <row r="3797">
      <c r="A3797" s="339"/>
      <c r="B3797" s="339"/>
      <c r="C3797" s="339"/>
      <c r="D3797" s="159"/>
    </row>
    <row r="3798">
      <c r="A3798" s="339"/>
      <c r="B3798" s="339"/>
      <c r="C3798" s="339"/>
      <c r="D3798" s="159"/>
    </row>
    <row r="3799">
      <c r="A3799" s="339"/>
      <c r="B3799" s="339"/>
      <c r="C3799" s="339"/>
      <c r="D3799" s="159"/>
    </row>
    <row r="3800">
      <c r="A3800" s="339"/>
      <c r="B3800" s="339"/>
      <c r="C3800" s="339"/>
      <c r="D3800" s="159"/>
    </row>
    <row r="3801">
      <c r="A3801" s="339"/>
      <c r="B3801" s="339"/>
      <c r="C3801" s="339"/>
      <c r="D3801" s="159"/>
    </row>
    <row r="3802">
      <c r="A3802" s="339"/>
      <c r="B3802" s="339"/>
      <c r="C3802" s="339"/>
      <c r="D3802" s="159"/>
    </row>
    <row r="3803">
      <c r="A3803" s="339"/>
      <c r="B3803" s="339"/>
      <c r="C3803" s="339"/>
      <c r="D3803" s="159"/>
    </row>
    <row r="3804">
      <c r="A3804" s="339"/>
      <c r="B3804" s="339"/>
      <c r="C3804" s="339"/>
      <c r="D3804" s="159"/>
    </row>
    <row r="3805">
      <c r="A3805" s="339"/>
      <c r="B3805" s="339"/>
      <c r="C3805" s="339"/>
      <c r="D3805" s="159"/>
    </row>
    <row r="3806">
      <c r="A3806" s="339"/>
      <c r="B3806" s="339"/>
      <c r="C3806" s="339"/>
      <c r="D3806" s="159"/>
    </row>
    <row r="3807">
      <c r="A3807" s="339"/>
      <c r="B3807" s="339"/>
      <c r="C3807" s="339"/>
      <c r="D3807" s="159"/>
    </row>
    <row r="3808">
      <c r="A3808" s="339"/>
      <c r="B3808" s="339"/>
      <c r="C3808" s="339"/>
      <c r="D3808" s="159"/>
    </row>
    <row r="3809">
      <c r="A3809" s="339"/>
      <c r="B3809" s="339"/>
      <c r="C3809" s="339"/>
      <c r="D3809" s="159"/>
    </row>
    <row r="3810">
      <c r="A3810" s="339"/>
      <c r="B3810" s="339"/>
      <c r="C3810" s="339"/>
      <c r="D3810" s="159"/>
    </row>
    <row r="3811">
      <c r="A3811" s="339"/>
      <c r="B3811" s="339"/>
      <c r="C3811" s="339"/>
      <c r="D3811" s="159"/>
    </row>
    <row r="3812">
      <c r="A3812" s="339"/>
      <c r="B3812" s="339"/>
      <c r="C3812" s="339"/>
      <c r="D3812" s="159"/>
    </row>
    <row r="3813">
      <c r="A3813" s="339"/>
      <c r="B3813" s="339"/>
      <c r="C3813" s="339"/>
      <c r="D3813" s="159"/>
    </row>
    <row r="3814">
      <c r="A3814" s="339"/>
      <c r="B3814" s="339"/>
      <c r="C3814" s="339"/>
      <c r="D3814" s="159"/>
    </row>
    <row r="3815">
      <c r="A3815" s="339"/>
      <c r="B3815" s="339"/>
      <c r="C3815" s="339"/>
      <c r="D3815" s="159"/>
    </row>
    <row r="3816">
      <c r="A3816" s="339"/>
      <c r="B3816" s="339"/>
      <c r="C3816" s="339"/>
      <c r="D3816" s="159"/>
    </row>
    <row r="3817">
      <c r="A3817" s="339"/>
      <c r="B3817" s="339"/>
      <c r="C3817" s="339"/>
      <c r="D3817" s="159"/>
    </row>
    <row r="3818">
      <c r="A3818" s="339"/>
      <c r="B3818" s="339"/>
      <c r="C3818" s="339"/>
      <c r="D3818" s="159"/>
    </row>
    <row r="3819">
      <c r="A3819" s="339"/>
      <c r="B3819" s="339"/>
      <c r="C3819" s="339"/>
      <c r="D3819" s="159"/>
    </row>
    <row r="3820">
      <c r="A3820" s="339"/>
      <c r="B3820" s="339"/>
      <c r="C3820" s="339"/>
      <c r="D3820" s="159"/>
    </row>
    <row r="3821">
      <c r="A3821" s="339"/>
      <c r="B3821" s="339"/>
      <c r="C3821" s="339"/>
      <c r="D3821" s="159"/>
    </row>
    <row r="3822">
      <c r="A3822" s="339"/>
      <c r="B3822" s="339"/>
      <c r="C3822" s="339"/>
      <c r="D3822" s="159"/>
    </row>
    <row r="3823">
      <c r="A3823" s="339"/>
      <c r="B3823" s="339"/>
      <c r="C3823" s="339"/>
      <c r="D3823" s="159"/>
    </row>
    <row r="3824">
      <c r="A3824" s="339"/>
      <c r="B3824" s="339"/>
      <c r="C3824" s="339"/>
      <c r="D3824" s="159"/>
    </row>
    <row r="3825">
      <c r="A3825" s="339"/>
      <c r="B3825" s="339"/>
      <c r="C3825" s="339"/>
      <c r="D3825" s="159"/>
    </row>
    <row r="3826">
      <c r="A3826" s="339"/>
      <c r="B3826" s="339"/>
      <c r="C3826" s="339"/>
      <c r="D3826" s="159"/>
    </row>
    <row r="3827">
      <c r="A3827" s="339"/>
      <c r="B3827" s="339"/>
      <c r="C3827" s="339"/>
      <c r="D3827" s="159"/>
    </row>
    <row r="3828">
      <c r="A3828" s="339"/>
      <c r="B3828" s="339"/>
      <c r="C3828" s="339"/>
      <c r="D3828" s="159"/>
    </row>
    <row r="3829">
      <c r="A3829" s="339"/>
      <c r="B3829" s="339"/>
      <c r="C3829" s="339"/>
      <c r="D3829" s="159"/>
    </row>
    <row r="3830">
      <c r="A3830" s="339"/>
      <c r="B3830" s="339"/>
      <c r="C3830" s="339"/>
      <c r="D3830" s="159"/>
    </row>
    <row r="3831">
      <c r="A3831" s="339"/>
      <c r="B3831" s="339"/>
      <c r="C3831" s="339"/>
      <c r="D3831" s="159"/>
    </row>
    <row r="3832">
      <c r="A3832" s="339"/>
      <c r="B3832" s="339"/>
      <c r="C3832" s="339"/>
      <c r="D3832" s="159"/>
    </row>
    <row r="3833">
      <c r="A3833" s="339"/>
      <c r="B3833" s="339"/>
      <c r="C3833" s="339"/>
      <c r="D3833" s="159"/>
    </row>
    <row r="3834">
      <c r="A3834" s="339"/>
      <c r="B3834" s="339"/>
      <c r="C3834" s="339"/>
      <c r="D3834" s="159"/>
    </row>
    <row r="3835">
      <c r="A3835" s="339"/>
      <c r="B3835" s="339"/>
      <c r="C3835" s="339"/>
      <c r="D3835" s="159"/>
    </row>
    <row r="3836">
      <c r="A3836" s="339"/>
      <c r="B3836" s="339"/>
      <c r="C3836" s="339"/>
      <c r="D3836" s="159"/>
    </row>
    <row r="3837">
      <c r="A3837" s="339"/>
      <c r="B3837" s="339"/>
      <c r="C3837" s="339"/>
      <c r="D3837" s="159"/>
    </row>
    <row r="3838">
      <c r="A3838" s="339"/>
      <c r="B3838" s="339"/>
      <c r="C3838" s="339"/>
      <c r="D3838" s="159"/>
    </row>
    <row r="3839">
      <c r="A3839" s="339"/>
      <c r="B3839" s="339"/>
      <c r="C3839" s="339"/>
      <c r="D3839" s="159"/>
    </row>
    <row r="3840">
      <c r="A3840" s="339"/>
      <c r="B3840" s="339"/>
      <c r="C3840" s="339"/>
      <c r="D3840" s="159"/>
    </row>
    <row r="3841">
      <c r="A3841" s="339"/>
      <c r="B3841" s="339"/>
      <c r="C3841" s="339"/>
      <c r="D3841" s="159"/>
    </row>
    <row r="3842">
      <c r="A3842" s="339"/>
      <c r="B3842" s="339"/>
      <c r="C3842" s="339"/>
      <c r="D3842" s="159"/>
    </row>
    <row r="3843">
      <c r="A3843" s="339"/>
      <c r="B3843" s="339"/>
      <c r="C3843" s="339"/>
      <c r="D3843" s="159"/>
    </row>
    <row r="3844">
      <c r="A3844" s="339"/>
      <c r="B3844" s="339"/>
      <c r="C3844" s="339"/>
      <c r="D3844" s="159"/>
    </row>
    <row r="3845">
      <c r="A3845" s="339"/>
      <c r="B3845" s="339"/>
      <c r="C3845" s="339"/>
      <c r="D3845" s="159"/>
    </row>
    <row r="3846">
      <c r="A3846" s="339"/>
      <c r="B3846" s="339"/>
      <c r="C3846" s="339"/>
      <c r="D3846" s="159"/>
    </row>
    <row r="3847">
      <c r="A3847" s="339"/>
      <c r="B3847" s="339"/>
      <c r="C3847" s="339"/>
      <c r="D3847" s="159"/>
    </row>
    <row r="3848">
      <c r="A3848" s="339"/>
      <c r="B3848" s="339"/>
      <c r="C3848" s="339"/>
      <c r="D3848" s="159"/>
    </row>
    <row r="3849">
      <c r="A3849" s="339"/>
      <c r="B3849" s="339"/>
      <c r="C3849" s="339"/>
      <c r="D3849" s="159"/>
    </row>
    <row r="3850">
      <c r="A3850" s="339"/>
      <c r="B3850" s="339"/>
      <c r="C3850" s="339"/>
      <c r="D3850" s="159"/>
    </row>
    <row r="3851">
      <c r="A3851" s="339"/>
      <c r="B3851" s="339"/>
      <c r="C3851" s="339"/>
      <c r="D3851" s="159"/>
    </row>
    <row r="3852">
      <c r="A3852" s="339"/>
      <c r="B3852" s="339"/>
      <c r="C3852" s="339"/>
      <c r="D3852" s="159"/>
    </row>
    <row r="3853">
      <c r="A3853" s="339"/>
      <c r="B3853" s="339"/>
      <c r="C3853" s="339"/>
      <c r="D3853" s="159"/>
    </row>
    <row r="3854">
      <c r="A3854" s="339"/>
      <c r="B3854" s="339"/>
      <c r="C3854" s="339"/>
      <c r="D3854" s="159"/>
    </row>
    <row r="3855">
      <c r="A3855" s="339"/>
      <c r="B3855" s="339"/>
      <c r="C3855" s="339"/>
      <c r="D3855" s="159"/>
    </row>
    <row r="3856">
      <c r="A3856" s="339"/>
      <c r="B3856" s="339"/>
      <c r="C3856" s="339"/>
      <c r="D3856" s="159"/>
    </row>
    <row r="3857">
      <c r="A3857" s="339"/>
      <c r="B3857" s="339"/>
      <c r="C3857" s="339"/>
      <c r="D3857" s="159"/>
    </row>
    <row r="3858">
      <c r="A3858" s="339"/>
      <c r="B3858" s="339"/>
      <c r="C3858" s="339"/>
      <c r="D3858" s="159"/>
    </row>
    <row r="3859">
      <c r="A3859" s="339"/>
      <c r="B3859" s="339"/>
      <c r="C3859" s="339"/>
      <c r="D3859" s="159"/>
    </row>
    <row r="3860">
      <c r="A3860" s="339"/>
      <c r="B3860" s="339"/>
      <c r="C3860" s="339"/>
      <c r="D3860" s="159"/>
    </row>
    <row r="3861">
      <c r="A3861" s="339"/>
      <c r="B3861" s="339"/>
      <c r="C3861" s="339"/>
      <c r="D3861" s="159"/>
    </row>
    <row r="3862">
      <c r="A3862" s="339"/>
      <c r="B3862" s="339"/>
      <c r="C3862" s="339"/>
      <c r="D3862" s="159"/>
    </row>
    <row r="3863">
      <c r="A3863" s="339"/>
      <c r="B3863" s="339"/>
      <c r="C3863" s="339"/>
      <c r="D3863" s="159"/>
    </row>
    <row r="3864">
      <c r="A3864" s="339"/>
      <c r="B3864" s="339"/>
      <c r="C3864" s="339"/>
      <c r="D3864" s="159"/>
    </row>
    <row r="3865">
      <c r="A3865" s="339"/>
      <c r="B3865" s="339"/>
      <c r="C3865" s="339"/>
      <c r="D3865" s="159"/>
    </row>
    <row r="3866">
      <c r="A3866" s="339"/>
      <c r="B3866" s="339"/>
      <c r="C3866" s="339"/>
      <c r="D3866" s="159"/>
    </row>
    <row r="3867">
      <c r="A3867" s="339"/>
      <c r="B3867" s="339"/>
      <c r="C3867" s="339"/>
      <c r="D3867" s="159"/>
    </row>
    <row r="3868">
      <c r="A3868" s="339"/>
      <c r="B3868" s="339"/>
      <c r="C3868" s="339"/>
      <c r="D3868" s="159"/>
    </row>
    <row r="3869">
      <c r="A3869" s="339"/>
      <c r="B3869" s="339"/>
      <c r="C3869" s="339"/>
      <c r="D3869" s="159"/>
    </row>
    <row r="3870">
      <c r="A3870" s="339"/>
      <c r="B3870" s="339"/>
      <c r="C3870" s="339"/>
      <c r="D3870" s="159"/>
    </row>
    <row r="3871">
      <c r="A3871" s="339"/>
      <c r="B3871" s="339"/>
      <c r="C3871" s="339"/>
      <c r="D3871" s="159"/>
    </row>
    <row r="3872">
      <c r="A3872" s="339"/>
      <c r="B3872" s="339"/>
      <c r="C3872" s="339"/>
      <c r="D3872" s="159"/>
    </row>
    <row r="3873">
      <c r="A3873" s="339"/>
      <c r="B3873" s="339"/>
      <c r="C3873" s="339"/>
      <c r="D3873" s="159"/>
    </row>
    <row r="3874">
      <c r="A3874" s="339"/>
      <c r="B3874" s="339"/>
      <c r="C3874" s="339"/>
      <c r="D3874" s="159"/>
    </row>
    <row r="3875">
      <c r="A3875" s="339"/>
      <c r="B3875" s="339"/>
      <c r="C3875" s="339"/>
      <c r="D3875" s="159"/>
    </row>
    <row r="3876">
      <c r="A3876" s="339"/>
      <c r="B3876" s="339"/>
      <c r="C3876" s="339"/>
      <c r="D3876" s="159"/>
    </row>
    <row r="3877">
      <c r="A3877" s="339"/>
      <c r="B3877" s="339"/>
      <c r="C3877" s="339"/>
      <c r="D3877" s="159"/>
    </row>
    <row r="3878">
      <c r="A3878" s="339"/>
      <c r="B3878" s="339"/>
      <c r="C3878" s="339"/>
      <c r="D3878" s="159"/>
    </row>
    <row r="3879">
      <c r="A3879" s="339"/>
      <c r="B3879" s="339"/>
      <c r="C3879" s="339"/>
      <c r="D3879" s="159"/>
    </row>
    <row r="3880">
      <c r="A3880" s="339"/>
      <c r="B3880" s="339"/>
      <c r="C3880" s="339"/>
      <c r="D3880" s="159"/>
    </row>
    <row r="3881">
      <c r="A3881" s="339"/>
      <c r="B3881" s="339"/>
      <c r="C3881" s="339"/>
      <c r="D3881" s="159"/>
    </row>
    <row r="3882">
      <c r="A3882" s="339"/>
      <c r="B3882" s="339"/>
      <c r="C3882" s="339"/>
      <c r="D3882" s="159"/>
    </row>
    <row r="3883">
      <c r="A3883" s="339"/>
      <c r="B3883" s="339"/>
      <c r="C3883" s="339"/>
      <c r="D3883" s="159"/>
    </row>
    <row r="3884">
      <c r="A3884" s="339"/>
      <c r="B3884" s="339"/>
      <c r="C3884" s="339"/>
      <c r="D3884" s="159"/>
    </row>
    <row r="3885">
      <c r="A3885" s="339"/>
      <c r="B3885" s="339"/>
      <c r="C3885" s="339"/>
      <c r="D3885" s="159"/>
    </row>
    <row r="3886">
      <c r="A3886" s="339"/>
      <c r="B3886" s="339"/>
      <c r="C3886" s="339"/>
      <c r="D3886" s="159"/>
    </row>
    <row r="3887">
      <c r="A3887" s="339"/>
      <c r="B3887" s="339"/>
      <c r="C3887" s="339"/>
      <c r="D3887" s="159"/>
    </row>
    <row r="3888">
      <c r="A3888" s="339"/>
      <c r="B3888" s="339"/>
      <c r="C3888" s="339"/>
      <c r="D3888" s="159"/>
    </row>
    <row r="3889">
      <c r="A3889" s="339"/>
      <c r="B3889" s="339"/>
      <c r="C3889" s="339"/>
      <c r="D3889" s="159"/>
    </row>
    <row r="3890">
      <c r="A3890" s="339"/>
      <c r="B3890" s="339"/>
      <c r="C3890" s="339"/>
      <c r="D3890" s="159"/>
    </row>
    <row r="3891">
      <c r="A3891" s="339"/>
      <c r="B3891" s="339"/>
      <c r="C3891" s="339"/>
      <c r="D3891" s="159"/>
    </row>
    <row r="3892">
      <c r="A3892" s="339"/>
      <c r="B3892" s="339"/>
      <c r="C3892" s="339"/>
      <c r="D3892" s="159"/>
    </row>
    <row r="3893">
      <c r="A3893" s="339"/>
      <c r="B3893" s="339"/>
      <c r="C3893" s="339"/>
      <c r="D3893" s="159"/>
    </row>
    <row r="3894">
      <c r="A3894" s="339"/>
      <c r="B3894" s="339"/>
      <c r="C3894" s="339"/>
      <c r="D3894" s="159"/>
    </row>
    <row r="3895">
      <c r="A3895" s="339"/>
      <c r="B3895" s="339"/>
      <c r="C3895" s="339"/>
      <c r="D3895" s="159"/>
    </row>
    <row r="3896">
      <c r="A3896" s="339"/>
      <c r="B3896" s="339"/>
      <c r="C3896" s="339"/>
      <c r="D3896" s="159"/>
    </row>
    <row r="3897">
      <c r="A3897" s="339"/>
      <c r="B3897" s="339"/>
      <c r="C3897" s="339"/>
      <c r="D3897" s="159"/>
    </row>
    <row r="3898">
      <c r="A3898" s="339"/>
      <c r="B3898" s="339"/>
      <c r="C3898" s="339"/>
      <c r="D3898" s="159"/>
    </row>
    <row r="3899">
      <c r="A3899" s="339"/>
      <c r="B3899" s="339"/>
      <c r="C3899" s="339"/>
      <c r="D3899" s="159"/>
    </row>
    <row r="3900">
      <c r="A3900" s="339"/>
      <c r="B3900" s="339"/>
      <c r="C3900" s="339"/>
      <c r="D3900" s="159"/>
    </row>
    <row r="3901">
      <c r="A3901" s="339"/>
      <c r="B3901" s="339"/>
      <c r="C3901" s="339"/>
      <c r="D3901" s="159"/>
    </row>
    <row r="3902">
      <c r="A3902" s="339"/>
      <c r="B3902" s="339"/>
      <c r="C3902" s="339"/>
      <c r="D3902" s="159"/>
    </row>
    <row r="3903">
      <c r="A3903" s="339"/>
      <c r="B3903" s="339"/>
      <c r="C3903" s="339"/>
      <c r="D3903" s="159"/>
    </row>
    <row r="3904">
      <c r="A3904" s="339"/>
      <c r="B3904" s="339"/>
      <c r="C3904" s="339"/>
      <c r="D3904" s="159"/>
    </row>
    <row r="3905">
      <c r="A3905" s="339"/>
      <c r="B3905" s="339"/>
      <c r="C3905" s="339"/>
      <c r="D3905" s="159"/>
    </row>
    <row r="3906">
      <c r="A3906" s="339"/>
      <c r="B3906" s="339"/>
      <c r="C3906" s="339"/>
      <c r="D3906" s="159"/>
    </row>
    <row r="3907">
      <c r="A3907" s="339"/>
      <c r="B3907" s="339"/>
      <c r="C3907" s="339"/>
      <c r="D3907" s="159"/>
    </row>
    <row r="3908">
      <c r="A3908" s="339"/>
      <c r="B3908" s="339"/>
      <c r="C3908" s="339"/>
      <c r="D3908" s="159"/>
    </row>
    <row r="3909">
      <c r="A3909" s="339"/>
      <c r="B3909" s="339"/>
      <c r="C3909" s="339"/>
      <c r="D3909" s="159"/>
    </row>
    <row r="3910">
      <c r="A3910" s="339"/>
      <c r="B3910" s="339"/>
      <c r="C3910" s="339"/>
      <c r="D3910" s="159"/>
    </row>
    <row r="3911">
      <c r="A3911" s="339"/>
      <c r="B3911" s="339"/>
      <c r="C3911" s="339"/>
      <c r="D3911" s="159"/>
    </row>
    <row r="3912">
      <c r="A3912" s="339"/>
      <c r="B3912" s="339"/>
      <c r="C3912" s="339"/>
      <c r="D3912" s="159"/>
    </row>
    <row r="3913">
      <c r="A3913" s="339"/>
      <c r="B3913" s="339"/>
      <c r="C3913" s="339"/>
      <c r="D3913" s="159"/>
    </row>
    <row r="3914">
      <c r="A3914" s="339"/>
      <c r="B3914" s="339"/>
      <c r="C3914" s="339"/>
      <c r="D3914" s="159"/>
    </row>
    <row r="3915">
      <c r="A3915" s="339"/>
      <c r="B3915" s="339"/>
      <c r="C3915" s="339"/>
      <c r="D3915" s="159"/>
    </row>
    <row r="3916">
      <c r="A3916" s="339"/>
      <c r="B3916" s="339"/>
      <c r="C3916" s="339"/>
      <c r="D3916" s="159"/>
    </row>
    <row r="3917">
      <c r="A3917" s="339"/>
      <c r="B3917" s="339"/>
      <c r="C3917" s="339"/>
      <c r="D3917" s="159"/>
    </row>
    <row r="3918">
      <c r="A3918" s="339"/>
      <c r="B3918" s="339"/>
      <c r="C3918" s="339"/>
      <c r="D3918" s="159"/>
    </row>
    <row r="3919">
      <c r="A3919" s="339"/>
      <c r="B3919" s="339"/>
      <c r="C3919" s="339"/>
      <c r="D3919" s="159"/>
    </row>
    <row r="3920">
      <c r="A3920" s="339"/>
      <c r="B3920" s="339"/>
      <c r="C3920" s="339"/>
      <c r="D3920" s="159"/>
    </row>
    <row r="3921">
      <c r="A3921" s="339"/>
      <c r="B3921" s="339"/>
      <c r="C3921" s="339"/>
      <c r="D3921" s="159"/>
    </row>
    <row r="3922">
      <c r="A3922" s="339"/>
      <c r="B3922" s="339"/>
      <c r="C3922" s="339"/>
      <c r="D3922" s="159"/>
    </row>
    <row r="3923">
      <c r="A3923" s="339"/>
      <c r="B3923" s="339"/>
      <c r="C3923" s="339"/>
      <c r="D3923" s="159"/>
    </row>
    <row r="3924">
      <c r="A3924" s="339"/>
      <c r="B3924" s="339"/>
      <c r="C3924" s="339"/>
      <c r="D3924" s="159"/>
    </row>
    <row r="3925">
      <c r="A3925" s="339"/>
      <c r="B3925" s="339"/>
      <c r="C3925" s="339"/>
      <c r="D3925" s="159"/>
    </row>
    <row r="3926">
      <c r="A3926" s="339"/>
      <c r="B3926" s="339"/>
      <c r="C3926" s="339"/>
      <c r="D3926" s="159"/>
    </row>
    <row r="3927">
      <c r="A3927" s="339"/>
      <c r="B3927" s="339"/>
      <c r="C3927" s="339"/>
      <c r="D3927" s="159"/>
    </row>
    <row r="3928">
      <c r="A3928" s="339"/>
      <c r="B3928" s="339"/>
      <c r="C3928" s="339"/>
      <c r="D3928" s="159"/>
    </row>
    <row r="3929">
      <c r="A3929" s="339"/>
      <c r="B3929" s="339"/>
      <c r="C3929" s="339"/>
      <c r="D3929" s="159"/>
    </row>
    <row r="3930">
      <c r="A3930" s="339"/>
      <c r="B3930" s="339"/>
      <c r="C3930" s="339"/>
      <c r="D3930" s="159"/>
    </row>
    <row r="3931">
      <c r="A3931" s="339"/>
      <c r="B3931" s="339"/>
      <c r="C3931" s="339"/>
      <c r="D3931" s="159"/>
    </row>
    <row r="3932">
      <c r="A3932" s="339"/>
      <c r="B3932" s="339"/>
      <c r="C3932" s="339"/>
      <c r="D3932" s="159"/>
    </row>
    <row r="3933">
      <c r="A3933" s="339"/>
      <c r="B3933" s="339"/>
      <c r="C3933" s="339"/>
      <c r="D3933" s="159"/>
    </row>
    <row r="3934">
      <c r="A3934" s="339"/>
      <c r="B3934" s="339"/>
      <c r="C3934" s="339"/>
      <c r="D3934" s="159"/>
    </row>
    <row r="3935">
      <c r="A3935" s="339"/>
      <c r="B3935" s="339"/>
      <c r="C3935" s="339"/>
      <c r="D3935" s="159"/>
    </row>
    <row r="3936">
      <c r="A3936" s="339"/>
      <c r="B3936" s="339"/>
      <c r="C3936" s="339"/>
      <c r="D3936" s="159"/>
    </row>
    <row r="3937">
      <c r="A3937" s="339"/>
      <c r="B3937" s="339"/>
      <c r="C3937" s="339"/>
      <c r="D3937" s="159"/>
    </row>
    <row r="3938">
      <c r="A3938" s="339"/>
      <c r="B3938" s="339"/>
      <c r="C3938" s="339"/>
      <c r="D3938" s="159"/>
    </row>
    <row r="3939">
      <c r="A3939" s="339"/>
      <c r="B3939" s="339"/>
      <c r="C3939" s="339"/>
      <c r="D3939" s="159"/>
    </row>
    <row r="3940">
      <c r="A3940" s="339"/>
      <c r="B3940" s="339"/>
      <c r="C3940" s="339"/>
      <c r="D3940" s="159"/>
    </row>
    <row r="3941">
      <c r="A3941" s="339"/>
      <c r="B3941" s="339"/>
      <c r="C3941" s="339"/>
      <c r="D3941" s="159"/>
    </row>
    <row r="3942">
      <c r="A3942" s="339"/>
      <c r="B3942" s="339"/>
      <c r="C3942" s="339"/>
      <c r="D3942" s="159"/>
    </row>
    <row r="3943">
      <c r="A3943" s="339"/>
      <c r="B3943" s="339"/>
      <c r="C3943" s="339"/>
      <c r="D3943" s="159"/>
    </row>
    <row r="3944">
      <c r="A3944" s="339"/>
      <c r="B3944" s="339"/>
      <c r="C3944" s="339"/>
      <c r="D3944" s="159"/>
    </row>
    <row r="3945">
      <c r="A3945" s="339"/>
      <c r="B3945" s="339"/>
      <c r="C3945" s="339"/>
      <c r="D3945" s="159"/>
    </row>
    <row r="3946">
      <c r="A3946" s="339"/>
      <c r="B3946" s="339"/>
      <c r="C3946" s="339"/>
      <c r="D3946" s="159"/>
    </row>
    <row r="3947">
      <c r="A3947" s="339"/>
      <c r="B3947" s="339"/>
      <c r="C3947" s="339"/>
      <c r="D3947" s="159"/>
    </row>
    <row r="3948">
      <c r="A3948" s="339"/>
      <c r="B3948" s="339"/>
      <c r="C3948" s="339"/>
      <c r="D3948" s="159"/>
    </row>
    <row r="3949">
      <c r="A3949" s="339"/>
      <c r="B3949" s="339"/>
      <c r="C3949" s="339"/>
      <c r="D3949" s="159"/>
    </row>
    <row r="3950">
      <c r="A3950" s="339"/>
      <c r="B3950" s="339"/>
      <c r="C3950" s="339"/>
      <c r="D3950" s="159"/>
    </row>
    <row r="3951">
      <c r="A3951" s="339"/>
      <c r="B3951" s="339"/>
      <c r="C3951" s="339"/>
      <c r="D3951" s="159"/>
    </row>
    <row r="3952">
      <c r="A3952" s="339"/>
      <c r="B3952" s="339"/>
      <c r="C3952" s="339"/>
      <c r="D3952" s="159"/>
    </row>
    <row r="3953">
      <c r="A3953" s="339"/>
      <c r="B3953" s="339"/>
      <c r="C3953" s="339"/>
      <c r="D3953" s="159"/>
    </row>
    <row r="3954">
      <c r="A3954" s="339"/>
      <c r="B3954" s="339"/>
      <c r="C3954" s="339"/>
      <c r="D3954" s="159"/>
    </row>
    <row r="3955">
      <c r="A3955" s="339"/>
      <c r="B3955" s="339"/>
      <c r="C3955" s="339"/>
      <c r="D3955" s="159"/>
    </row>
    <row r="3956">
      <c r="A3956" s="339"/>
      <c r="B3956" s="339"/>
      <c r="C3956" s="339"/>
      <c r="D3956" s="159"/>
    </row>
    <row r="3957">
      <c r="A3957" s="339"/>
      <c r="B3957" s="339"/>
      <c r="C3957" s="339"/>
      <c r="D3957" s="159"/>
    </row>
    <row r="3958">
      <c r="A3958" s="339"/>
      <c r="B3958" s="339"/>
      <c r="C3958" s="339"/>
      <c r="D3958" s="159"/>
    </row>
    <row r="3959">
      <c r="A3959" s="339"/>
      <c r="B3959" s="339"/>
      <c r="C3959" s="339"/>
      <c r="D3959" s="159"/>
    </row>
    <row r="3960">
      <c r="A3960" s="339"/>
      <c r="B3960" s="339"/>
      <c r="C3960" s="339"/>
      <c r="D3960" s="159"/>
    </row>
    <row r="3961">
      <c r="A3961" s="339"/>
      <c r="B3961" s="339"/>
      <c r="C3961" s="339"/>
      <c r="D3961" s="159"/>
    </row>
    <row r="3962">
      <c r="A3962" s="339"/>
      <c r="B3962" s="339"/>
      <c r="C3962" s="339"/>
      <c r="D3962" s="159"/>
    </row>
    <row r="3963">
      <c r="A3963" s="339"/>
      <c r="B3963" s="339"/>
      <c r="C3963" s="339"/>
      <c r="D3963" s="159"/>
    </row>
    <row r="3964">
      <c r="A3964" s="339"/>
      <c r="B3964" s="339"/>
      <c r="C3964" s="339"/>
      <c r="D3964" s="159"/>
    </row>
    <row r="3965">
      <c r="A3965" s="339"/>
      <c r="B3965" s="339"/>
      <c r="C3965" s="339"/>
      <c r="D3965" s="159"/>
    </row>
    <row r="3966">
      <c r="A3966" s="339"/>
      <c r="B3966" s="339"/>
      <c r="C3966" s="339"/>
      <c r="D3966" s="159"/>
    </row>
    <row r="3967">
      <c r="A3967" s="339"/>
      <c r="B3967" s="339"/>
      <c r="C3967" s="339"/>
      <c r="D3967" s="159"/>
    </row>
    <row r="3968">
      <c r="A3968" s="339"/>
      <c r="B3968" s="339"/>
      <c r="C3968" s="339"/>
      <c r="D3968" s="159"/>
    </row>
    <row r="3969">
      <c r="A3969" s="339"/>
      <c r="B3969" s="339"/>
      <c r="C3969" s="339"/>
      <c r="D3969" s="159"/>
    </row>
    <row r="3970">
      <c r="A3970" s="339"/>
      <c r="B3970" s="339"/>
      <c r="C3970" s="339"/>
      <c r="D3970" s="159"/>
    </row>
    <row r="3971">
      <c r="A3971" s="339"/>
      <c r="B3971" s="339"/>
      <c r="C3971" s="339"/>
      <c r="D3971" s="159"/>
    </row>
    <row r="3972">
      <c r="A3972" s="339"/>
      <c r="B3972" s="339"/>
      <c r="C3972" s="339"/>
      <c r="D3972" s="159"/>
    </row>
    <row r="3973">
      <c r="A3973" s="339"/>
      <c r="B3973" s="339"/>
      <c r="C3973" s="339"/>
      <c r="D3973" s="159"/>
    </row>
    <row r="3974">
      <c r="A3974" s="339"/>
      <c r="B3974" s="339"/>
      <c r="C3974" s="339"/>
      <c r="D3974" s="159"/>
    </row>
    <row r="3975">
      <c r="A3975" s="339"/>
      <c r="B3975" s="339"/>
      <c r="C3975" s="339"/>
      <c r="D3975" s="159"/>
    </row>
    <row r="3976">
      <c r="A3976" s="339"/>
      <c r="B3976" s="339"/>
      <c r="C3976" s="339"/>
      <c r="D3976" s="159"/>
    </row>
    <row r="3977">
      <c r="A3977" s="339"/>
      <c r="B3977" s="339"/>
      <c r="C3977" s="339"/>
      <c r="D3977" s="159"/>
    </row>
    <row r="3978">
      <c r="A3978" s="339"/>
      <c r="B3978" s="339"/>
      <c r="C3978" s="339"/>
      <c r="D3978" s="159"/>
    </row>
    <row r="3979">
      <c r="A3979" s="339"/>
      <c r="B3979" s="339"/>
      <c r="C3979" s="339"/>
      <c r="D3979" s="159"/>
    </row>
    <row r="3980">
      <c r="A3980" s="339"/>
      <c r="B3980" s="339"/>
      <c r="C3980" s="339"/>
      <c r="D3980" s="159"/>
    </row>
    <row r="3981">
      <c r="A3981" s="339"/>
      <c r="B3981" s="339"/>
      <c r="C3981" s="339"/>
      <c r="D3981" s="159"/>
    </row>
    <row r="3982">
      <c r="A3982" s="339"/>
      <c r="B3982" s="339"/>
      <c r="C3982" s="339"/>
      <c r="D3982" s="159"/>
    </row>
    <row r="3983">
      <c r="A3983" s="339"/>
      <c r="B3983" s="339"/>
      <c r="C3983" s="339"/>
      <c r="D3983" s="159"/>
    </row>
    <row r="3984">
      <c r="A3984" s="339"/>
      <c r="B3984" s="339"/>
      <c r="C3984" s="339"/>
      <c r="D3984" s="159"/>
    </row>
    <row r="3985">
      <c r="A3985" s="339"/>
      <c r="B3985" s="339"/>
      <c r="C3985" s="339"/>
      <c r="D3985" s="159"/>
    </row>
    <row r="3986">
      <c r="A3986" s="339"/>
      <c r="B3986" s="339"/>
      <c r="C3986" s="339"/>
      <c r="D3986" s="159"/>
    </row>
    <row r="3987">
      <c r="A3987" s="339"/>
      <c r="B3987" s="339"/>
      <c r="C3987" s="339"/>
      <c r="D3987" s="159"/>
    </row>
    <row r="3988">
      <c r="A3988" s="339"/>
      <c r="B3988" s="339"/>
      <c r="C3988" s="339"/>
      <c r="D3988" s="159"/>
    </row>
    <row r="3989">
      <c r="A3989" s="339"/>
      <c r="B3989" s="339"/>
      <c r="C3989" s="339"/>
      <c r="D3989" s="159"/>
    </row>
    <row r="3990">
      <c r="A3990" s="339"/>
      <c r="B3990" s="339"/>
      <c r="C3990" s="339"/>
      <c r="D3990" s="159"/>
    </row>
    <row r="3991">
      <c r="A3991" s="339"/>
      <c r="B3991" s="339"/>
      <c r="C3991" s="339"/>
      <c r="D3991" s="159"/>
    </row>
    <row r="3992">
      <c r="A3992" s="339"/>
      <c r="B3992" s="339"/>
      <c r="C3992" s="339"/>
      <c r="D3992" s="159"/>
    </row>
    <row r="3993">
      <c r="A3993" s="339"/>
      <c r="B3993" s="339"/>
      <c r="C3993" s="339"/>
      <c r="D3993" s="159"/>
    </row>
    <row r="3994">
      <c r="A3994" s="339"/>
      <c r="B3994" s="339"/>
      <c r="C3994" s="339"/>
      <c r="D3994" s="159"/>
    </row>
    <row r="3995">
      <c r="A3995" s="339"/>
      <c r="B3995" s="339"/>
      <c r="C3995" s="339"/>
      <c r="D3995" s="159"/>
    </row>
    <row r="3996">
      <c r="A3996" s="339"/>
      <c r="B3996" s="339"/>
      <c r="C3996" s="339"/>
      <c r="D3996" s="159"/>
    </row>
    <row r="3997">
      <c r="A3997" s="339"/>
      <c r="B3997" s="339"/>
      <c r="C3997" s="339"/>
      <c r="D3997" s="159"/>
    </row>
    <row r="3998">
      <c r="A3998" s="339"/>
      <c r="B3998" s="339"/>
      <c r="C3998" s="339"/>
      <c r="D3998" s="159"/>
    </row>
    <row r="3999">
      <c r="A3999" s="339"/>
      <c r="B3999" s="339"/>
      <c r="C3999" s="339"/>
      <c r="D3999" s="159"/>
    </row>
    <row r="4000">
      <c r="A4000" s="339"/>
      <c r="B4000" s="339"/>
      <c r="C4000" s="339"/>
      <c r="D4000" s="159"/>
    </row>
    <row r="4001">
      <c r="A4001" s="339"/>
      <c r="B4001" s="339"/>
      <c r="C4001" s="339"/>
      <c r="D4001" s="159"/>
    </row>
    <row r="4002">
      <c r="A4002" s="339"/>
      <c r="B4002" s="339"/>
      <c r="C4002" s="339"/>
      <c r="D4002" s="159"/>
    </row>
    <row r="4003">
      <c r="A4003" s="339"/>
      <c r="B4003" s="339"/>
      <c r="C4003" s="339"/>
      <c r="D4003" s="159"/>
    </row>
    <row r="4004">
      <c r="A4004" s="339"/>
      <c r="B4004" s="339"/>
      <c r="C4004" s="339"/>
      <c r="D4004" s="159"/>
    </row>
    <row r="4005">
      <c r="A4005" s="339"/>
      <c r="B4005" s="339"/>
      <c r="C4005" s="339"/>
      <c r="D4005" s="159"/>
    </row>
    <row r="4006">
      <c r="A4006" s="339"/>
      <c r="B4006" s="339"/>
      <c r="C4006" s="339"/>
      <c r="D4006" s="159"/>
    </row>
    <row r="4007">
      <c r="A4007" s="339"/>
      <c r="B4007" s="339"/>
      <c r="C4007" s="339"/>
      <c r="D4007" s="159"/>
    </row>
    <row r="4008">
      <c r="A4008" s="339"/>
      <c r="B4008" s="339"/>
      <c r="C4008" s="339"/>
      <c r="D4008" s="159"/>
    </row>
    <row r="4009">
      <c r="A4009" s="339"/>
      <c r="B4009" s="339"/>
      <c r="C4009" s="339"/>
      <c r="D4009" s="159"/>
    </row>
    <row r="4010">
      <c r="A4010" s="339"/>
      <c r="B4010" s="339"/>
      <c r="C4010" s="339"/>
      <c r="D4010" s="159"/>
    </row>
    <row r="4011">
      <c r="A4011" s="339"/>
      <c r="B4011" s="339"/>
      <c r="C4011" s="339"/>
      <c r="D4011" s="159"/>
    </row>
    <row r="4012">
      <c r="A4012" s="339"/>
      <c r="B4012" s="339"/>
      <c r="C4012" s="339"/>
      <c r="D4012" s="159"/>
    </row>
    <row r="4013">
      <c r="A4013" s="339"/>
      <c r="B4013" s="339"/>
      <c r="C4013" s="339"/>
      <c r="D4013" s="159"/>
    </row>
    <row r="4014">
      <c r="A4014" s="339"/>
      <c r="B4014" s="339"/>
      <c r="C4014" s="339"/>
      <c r="D4014" s="159"/>
    </row>
    <row r="4015">
      <c r="A4015" s="339"/>
      <c r="B4015" s="339"/>
      <c r="C4015" s="339"/>
      <c r="D4015" s="159"/>
    </row>
    <row r="4016">
      <c r="A4016" s="339"/>
      <c r="B4016" s="339"/>
      <c r="C4016" s="339"/>
      <c r="D4016" s="159"/>
    </row>
    <row r="4017">
      <c r="A4017" s="339"/>
      <c r="B4017" s="339"/>
      <c r="C4017" s="339"/>
      <c r="D4017" s="159"/>
    </row>
    <row r="4018">
      <c r="A4018" s="339"/>
      <c r="B4018" s="339"/>
      <c r="C4018" s="339"/>
      <c r="D4018" s="159"/>
    </row>
    <row r="4019">
      <c r="A4019" s="339"/>
      <c r="B4019" s="339"/>
      <c r="C4019" s="339"/>
      <c r="D4019" s="159"/>
    </row>
    <row r="4020">
      <c r="A4020" s="339"/>
      <c r="B4020" s="339"/>
      <c r="C4020" s="339"/>
      <c r="D4020" s="159"/>
    </row>
    <row r="4021">
      <c r="A4021" s="339"/>
      <c r="B4021" s="339"/>
      <c r="C4021" s="339"/>
      <c r="D4021" s="159"/>
    </row>
    <row r="4022">
      <c r="A4022" s="339"/>
      <c r="B4022" s="339"/>
      <c r="C4022" s="339"/>
      <c r="D4022" s="159"/>
    </row>
    <row r="4023">
      <c r="A4023" s="339"/>
      <c r="B4023" s="339"/>
      <c r="C4023" s="339"/>
      <c r="D4023" s="159"/>
    </row>
    <row r="4024">
      <c r="A4024" s="339"/>
      <c r="B4024" s="339"/>
      <c r="C4024" s="339"/>
      <c r="D4024" s="159"/>
    </row>
    <row r="4025">
      <c r="A4025" s="339"/>
      <c r="B4025" s="339"/>
      <c r="C4025" s="339"/>
      <c r="D4025" s="159"/>
    </row>
    <row r="4026">
      <c r="A4026" s="339"/>
      <c r="B4026" s="339"/>
      <c r="C4026" s="339"/>
      <c r="D4026" s="159"/>
    </row>
    <row r="4027">
      <c r="A4027" s="339"/>
      <c r="B4027" s="339"/>
      <c r="C4027" s="339"/>
      <c r="D4027" s="159"/>
    </row>
    <row r="4028">
      <c r="A4028" s="339"/>
      <c r="B4028" s="339"/>
      <c r="C4028" s="339"/>
      <c r="D4028" s="159"/>
    </row>
    <row r="4029">
      <c r="A4029" s="339"/>
      <c r="B4029" s="339"/>
      <c r="C4029" s="339"/>
      <c r="D4029" s="159"/>
    </row>
    <row r="4030">
      <c r="A4030" s="339"/>
      <c r="B4030" s="339"/>
      <c r="C4030" s="339"/>
      <c r="D4030" s="159"/>
    </row>
    <row r="4031">
      <c r="A4031" s="339"/>
      <c r="B4031" s="339"/>
      <c r="C4031" s="339"/>
      <c r="D4031" s="159"/>
    </row>
    <row r="4032">
      <c r="A4032" s="339"/>
      <c r="B4032" s="339"/>
      <c r="C4032" s="339"/>
      <c r="D4032" s="159"/>
    </row>
    <row r="4033">
      <c r="A4033" s="339"/>
      <c r="B4033" s="339"/>
      <c r="C4033" s="339"/>
      <c r="D4033" s="159"/>
    </row>
    <row r="4034">
      <c r="A4034" s="339"/>
      <c r="B4034" s="339"/>
      <c r="C4034" s="339"/>
      <c r="D4034" s="159"/>
    </row>
    <row r="4035">
      <c r="A4035" s="339"/>
      <c r="B4035" s="339"/>
      <c r="C4035" s="339"/>
      <c r="D4035" s="159"/>
    </row>
    <row r="4036">
      <c r="A4036" s="339"/>
      <c r="B4036" s="339"/>
      <c r="C4036" s="339"/>
      <c r="D4036" s="159"/>
    </row>
    <row r="4037">
      <c r="A4037" s="339"/>
      <c r="B4037" s="339"/>
      <c r="C4037" s="339"/>
      <c r="D4037" s="159"/>
    </row>
    <row r="4038">
      <c r="A4038" s="339"/>
      <c r="B4038" s="339"/>
      <c r="C4038" s="339"/>
      <c r="D4038" s="159"/>
    </row>
    <row r="4039">
      <c r="A4039" s="339"/>
      <c r="B4039" s="339"/>
      <c r="C4039" s="339"/>
      <c r="D4039" s="159"/>
    </row>
    <row r="4040">
      <c r="A4040" s="339"/>
      <c r="B4040" s="339"/>
      <c r="C4040" s="339"/>
      <c r="D4040" s="159"/>
    </row>
    <row r="4041">
      <c r="A4041" s="339"/>
      <c r="B4041" s="339"/>
      <c r="C4041" s="339"/>
      <c r="D4041" s="159"/>
    </row>
    <row r="4042">
      <c r="A4042" s="339"/>
      <c r="B4042" s="339"/>
      <c r="C4042" s="339"/>
      <c r="D4042" s="159"/>
    </row>
    <row r="4043">
      <c r="A4043" s="339"/>
      <c r="B4043" s="339"/>
      <c r="C4043" s="339"/>
      <c r="D4043" s="159"/>
    </row>
    <row r="4044">
      <c r="A4044" s="339"/>
      <c r="B4044" s="339"/>
      <c r="C4044" s="339"/>
      <c r="D4044" s="159"/>
    </row>
    <row r="4045">
      <c r="A4045" s="339"/>
      <c r="B4045" s="339"/>
      <c r="C4045" s="339"/>
      <c r="D4045" s="159"/>
    </row>
    <row r="4046">
      <c r="A4046" s="339"/>
      <c r="B4046" s="339"/>
      <c r="C4046" s="339"/>
      <c r="D4046" s="159"/>
    </row>
    <row r="4047">
      <c r="A4047" s="339"/>
      <c r="B4047" s="339"/>
      <c r="C4047" s="339"/>
      <c r="D4047" s="159"/>
    </row>
    <row r="4048">
      <c r="A4048" s="339"/>
      <c r="B4048" s="339"/>
      <c r="C4048" s="339"/>
      <c r="D4048" s="159"/>
    </row>
    <row r="4049">
      <c r="A4049" s="339"/>
      <c r="B4049" s="339"/>
      <c r="C4049" s="339"/>
      <c r="D4049" s="159"/>
    </row>
    <row r="4050">
      <c r="A4050" s="339"/>
      <c r="B4050" s="339"/>
      <c r="C4050" s="339"/>
      <c r="D4050" s="159"/>
    </row>
    <row r="4051">
      <c r="A4051" s="339"/>
      <c r="B4051" s="339"/>
      <c r="C4051" s="339"/>
      <c r="D4051" s="159"/>
    </row>
    <row r="4052">
      <c r="A4052" s="339"/>
      <c r="B4052" s="339"/>
      <c r="C4052" s="339"/>
      <c r="D4052" s="159"/>
    </row>
    <row r="4053">
      <c r="A4053" s="339"/>
      <c r="B4053" s="339"/>
      <c r="C4053" s="339"/>
      <c r="D4053" s="159"/>
    </row>
    <row r="4054">
      <c r="A4054" s="339"/>
      <c r="B4054" s="339"/>
      <c r="C4054" s="339"/>
      <c r="D4054" s="159"/>
    </row>
    <row r="4055">
      <c r="A4055" s="339"/>
      <c r="B4055" s="339"/>
      <c r="C4055" s="339"/>
      <c r="D4055" s="159"/>
    </row>
    <row r="4056">
      <c r="A4056" s="339"/>
      <c r="B4056" s="339"/>
      <c r="C4056" s="339"/>
      <c r="D4056" s="159"/>
    </row>
    <row r="4057">
      <c r="A4057" s="339"/>
      <c r="B4057" s="339"/>
      <c r="C4057" s="339"/>
      <c r="D4057" s="159"/>
    </row>
    <row r="4058">
      <c r="A4058" s="339"/>
      <c r="B4058" s="339"/>
      <c r="C4058" s="339"/>
      <c r="D4058" s="159"/>
    </row>
    <row r="4059">
      <c r="A4059" s="339"/>
      <c r="B4059" s="339"/>
      <c r="C4059" s="339"/>
      <c r="D4059" s="159"/>
    </row>
    <row r="4060">
      <c r="A4060" s="339"/>
      <c r="B4060" s="339"/>
      <c r="C4060" s="339"/>
      <c r="D4060" s="159"/>
    </row>
    <row r="4061">
      <c r="A4061" s="339"/>
      <c r="B4061" s="339"/>
      <c r="C4061" s="339"/>
      <c r="D4061" s="159"/>
    </row>
    <row r="4062">
      <c r="A4062" s="339"/>
      <c r="B4062" s="339"/>
      <c r="C4062" s="339"/>
      <c r="D4062" s="159"/>
    </row>
    <row r="4063">
      <c r="A4063" s="339"/>
      <c r="B4063" s="339"/>
      <c r="C4063" s="339"/>
      <c r="D4063" s="159"/>
    </row>
    <row r="4064">
      <c r="A4064" s="339"/>
      <c r="B4064" s="339"/>
      <c r="C4064" s="339"/>
      <c r="D4064" s="159"/>
    </row>
    <row r="4065">
      <c r="A4065" s="339"/>
      <c r="B4065" s="339"/>
      <c r="C4065" s="339"/>
      <c r="D4065" s="159"/>
    </row>
    <row r="4066">
      <c r="A4066" s="339"/>
      <c r="B4066" s="339"/>
      <c r="C4066" s="339"/>
      <c r="D4066" s="159"/>
    </row>
    <row r="4067">
      <c r="A4067" s="339"/>
      <c r="B4067" s="339"/>
      <c r="C4067" s="339"/>
      <c r="D4067" s="159"/>
    </row>
    <row r="4068">
      <c r="A4068" s="339"/>
      <c r="B4068" s="339"/>
      <c r="C4068" s="339"/>
      <c r="D4068" s="159"/>
    </row>
    <row r="4069">
      <c r="A4069" s="339"/>
      <c r="B4069" s="339"/>
      <c r="C4069" s="339"/>
      <c r="D4069" s="159"/>
    </row>
    <row r="4070">
      <c r="A4070" s="339"/>
      <c r="B4070" s="339"/>
      <c r="C4070" s="339"/>
      <c r="D4070" s="159"/>
    </row>
    <row r="4071">
      <c r="A4071" s="339"/>
      <c r="B4071" s="339"/>
      <c r="C4071" s="339"/>
      <c r="D4071" s="159"/>
    </row>
    <row r="4072">
      <c r="A4072" s="339"/>
      <c r="B4072" s="339"/>
      <c r="C4072" s="339"/>
      <c r="D4072" s="159"/>
    </row>
    <row r="4073">
      <c r="A4073" s="339"/>
      <c r="B4073" s="339"/>
      <c r="C4073" s="339"/>
      <c r="D4073" s="159"/>
    </row>
    <row r="4074">
      <c r="A4074" s="339"/>
      <c r="B4074" s="339"/>
      <c r="C4074" s="339"/>
      <c r="D4074" s="159"/>
    </row>
    <row r="4075">
      <c r="A4075" s="339"/>
      <c r="B4075" s="339"/>
      <c r="C4075" s="339"/>
      <c r="D4075" s="159"/>
    </row>
    <row r="4076">
      <c r="A4076" s="339"/>
      <c r="B4076" s="339"/>
      <c r="C4076" s="339"/>
      <c r="D4076" s="159"/>
    </row>
    <row r="4077">
      <c r="A4077" s="339"/>
      <c r="B4077" s="339"/>
      <c r="C4077" s="339"/>
      <c r="D4077" s="159"/>
    </row>
    <row r="4078">
      <c r="A4078" s="339"/>
      <c r="B4078" s="339"/>
      <c r="C4078" s="339"/>
      <c r="D4078" s="159"/>
    </row>
    <row r="4079">
      <c r="A4079" s="339"/>
      <c r="B4079" s="339"/>
      <c r="C4079" s="339"/>
      <c r="D4079" s="159"/>
    </row>
    <row r="4080">
      <c r="A4080" s="339"/>
      <c r="B4080" s="339"/>
      <c r="C4080" s="339"/>
      <c r="D4080" s="159"/>
    </row>
    <row r="4081">
      <c r="A4081" s="339"/>
      <c r="B4081" s="339"/>
      <c r="C4081" s="339"/>
      <c r="D4081" s="159"/>
    </row>
    <row r="4082">
      <c r="A4082" s="339"/>
      <c r="B4082" s="339"/>
      <c r="C4082" s="339"/>
      <c r="D4082" s="159"/>
    </row>
    <row r="4083">
      <c r="A4083" s="339"/>
      <c r="B4083" s="339"/>
      <c r="C4083" s="339"/>
      <c r="D4083" s="159"/>
    </row>
    <row r="4084">
      <c r="A4084" s="339"/>
      <c r="B4084" s="339"/>
      <c r="C4084" s="339"/>
      <c r="D4084" s="159"/>
    </row>
    <row r="4085">
      <c r="A4085" s="339"/>
      <c r="B4085" s="339"/>
      <c r="C4085" s="339"/>
      <c r="D4085" s="159"/>
    </row>
    <row r="4086">
      <c r="A4086" s="339"/>
      <c r="B4086" s="339"/>
      <c r="C4086" s="339"/>
      <c r="D4086" s="159"/>
    </row>
    <row r="4087">
      <c r="A4087" s="339"/>
      <c r="B4087" s="339"/>
      <c r="C4087" s="339"/>
      <c r="D4087" s="159"/>
    </row>
    <row r="4088">
      <c r="A4088" s="339"/>
      <c r="B4088" s="339"/>
      <c r="C4088" s="339"/>
      <c r="D4088" s="159"/>
    </row>
    <row r="4089">
      <c r="A4089" s="339"/>
      <c r="B4089" s="339"/>
      <c r="C4089" s="339"/>
      <c r="D4089" s="159"/>
    </row>
    <row r="4090">
      <c r="A4090" s="339"/>
      <c r="B4090" s="339"/>
      <c r="C4090" s="339"/>
      <c r="D4090" s="159"/>
    </row>
    <row r="4091">
      <c r="A4091" s="339"/>
      <c r="B4091" s="339"/>
      <c r="C4091" s="339"/>
      <c r="D4091" s="159"/>
    </row>
    <row r="4092">
      <c r="A4092" s="339"/>
      <c r="B4092" s="339"/>
      <c r="C4092" s="339"/>
      <c r="D4092" s="159"/>
    </row>
    <row r="4093">
      <c r="A4093" s="339"/>
      <c r="B4093" s="339"/>
      <c r="C4093" s="339"/>
      <c r="D4093" s="159"/>
    </row>
    <row r="4094">
      <c r="A4094" s="339"/>
      <c r="B4094" s="339"/>
      <c r="C4094" s="339"/>
      <c r="D4094" s="159"/>
    </row>
    <row r="4095">
      <c r="A4095" s="339"/>
      <c r="B4095" s="339"/>
      <c r="C4095" s="339"/>
      <c r="D4095" s="159"/>
    </row>
    <row r="4096">
      <c r="A4096" s="339"/>
      <c r="B4096" s="339"/>
      <c r="C4096" s="339"/>
      <c r="D4096" s="159"/>
    </row>
    <row r="4097">
      <c r="A4097" s="339"/>
      <c r="B4097" s="339"/>
      <c r="C4097" s="339"/>
      <c r="D4097" s="159"/>
    </row>
    <row r="4098">
      <c r="A4098" s="339"/>
      <c r="B4098" s="339"/>
      <c r="C4098" s="339"/>
      <c r="D4098" s="159"/>
    </row>
    <row r="4099">
      <c r="A4099" s="339"/>
      <c r="B4099" s="339"/>
      <c r="C4099" s="339"/>
      <c r="D4099" s="159"/>
    </row>
    <row r="4100">
      <c r="A4100" s="339"/>
      <c r="B4100" s="339"/>
      <c r="C4100" s="339"/>
      <c r="D4100" s="159"/>
    </row>
    <row r="4101">
      <c r="A4101" s="339"/>
      <c r="B4101" s="339"/>
      <c r="C4101" s="339"/>
      <c r="D4101" s="159"/>
    </row>
    <row r="4102">
      <c r="A4102" s="339"/>
      <c r="B4102" s="339"/>
      <c r="C4102" s="339"/>
      <c r="D4102" s="159"/>
    </row>
    <row r="4103">
      <c r="A4103" s="339"/>
      <c r="B4103" s="339"/>
      <c r="C4103" s="339"/>
      <c r="D4103" s="159"/>
    </row>
    <row r="4104">
      <c r="A4104" s="339"/>
      <c r="B4104" s="339"/>
      <c r="C4104" s="339"/>
      <c r="D4104" s="159"/>
    </row>
    <row r="4105">
      <c r="A4105" s="339"/>
      <c r="B4105" s="339"/>
      <c r="C4105" s="339"/>
      <c r="D4105" s="159"/>
    </row>
    <row r="4106">
      <c r="A4106" s="339"/>
      <c r="B4106" s="339"/>
      <c r="C4106" s="339"/>
      <c r="D4106" s="159"/>
    </row>
    <row r="4107">
      <c r="A4107" s="339"/>
      <c r="B4107" s="339"/>
      <c r="C4107" s="339"/>
      <c r="D4107" s="159"/>
    </row>
    <row r="4108">
      <c r="A4108" s="339"/>
      <c r="B4108" s="339"/>
      <c r="C4108" s="339"/>
      <c r="D4108" s="159"/>
    </row>
    <row r="4109">
      <c r="A4109" s="339"/>
      <c r="B4109" s="339"/>
      <c r="C4109" s="339"/>
      <c r="D4109" s="159"/>
    </row>
    <row r="4110">
      <c r="A4110" s="339"/>
      <c r="B4110" s="339"/>
      <c r="C4110" s="339"/>
      <c r="D4110" s="159"/>
    </row>
    <row r="4111">
      <c r="A4111" s="339"/>
      <c r="B4111" s="339"/>
      <c r="C4111" s="339"/>
      <c r="D4111" s="159"/>
    </row>
    <row r="4112">
      <c r="A4112" s="339"/>
      <c r="B4112" s="339"/>
      <c r="C4112" s="339"/>
      <c r="D4112" s="159"/>
    </row>
    <row r="4113">
      <c r="A4113" s="339"/>
      <c r="B4113" s="339"/>
      <c r="C4113" s="339"/>
      <c r="D4113" s="159"/>
    </row>
    <row r="4114">
      <c r="A4114" s="339"/>
      <c r="B4114" s="339"/>
      <c r="C4114" s="339"/>
      <c r="D4114" s="159"/>
    </row>
    <row r="4115">
      <c r="A4115" s="339"/>
      <c r="B4115" s="339"/>
      <c r="C4115" s="339"/>
      <c r="D4115" s="159"/>
    </row>
    <row r="4116">
      <c r="A4116" s="339"/>
      <c r="B4116" s="339"/>
      <c r="C4116" s="339"/>
      <c r="D4116" s="159"/>
    </row>
    <row r="4117">
      <c r="A4117" s="339"/>
      <c r="B4117" s="339"/>
      <c r="C4117" s="339"/>
      <c r="D4117" s="159"/>
    </row>
    <row r="4118">
      <c r="A4118" s="339"/>
      <c r="B4118" s="339"/>
      <c r="C4118" s="339"/>
      <c r="D4118" s="159"/>
    </row>
    <row r="4119">
      <c r="A4119" s="339"/>
      <c r="B4119" s="339"/>
      <c r="C4119" s="339"/>
      <c r="D4119" s="159"/>
    </row>
    <row r="4120">
      <c r="A4120" s="339"/>
      <c r="B4120" s="339"/>
      <c r="C4120" s="339"/>
      <c r="D4120" s="159"/>
    </row>
    <row r="4121">
      <c r="A4121" s="339"/>
      <c r="B4121" s="339"/>
      <c r="C4121" s="339"/>
      <c r="D4121" s="159"/>
    </row>
    <row r="4122">
      <c r="A4122" s="339"/>
      <c r="B4122" s="339"/>
      <c r="C4122" s="339"/>
      <c r="D4122" s="159"/>
    </row>
    <row r="4123">
      <c r="A4123" s="339"/>
      <c r="B4123" s="339"/>
      <c r="C4123" s="339"/>
      <c r="D4123" s="159"/>
    </row>
    <row r="4124">
      <c r="A4124" s="339"/>
      <c r="B4124" s="339"/>
      <c r="C4124" s="339"/>
      <c r="D4124" s="159"/>
    </row>
    <row r="4125">
      <c r="A4125" s="339"/>
      <c r="B4125" s="339"/>
      <c r="C4125" s="339"/>
      <c r="D4125" s="159"/>
    </row>
    <row r="4126">
      <c r="A4126" s="339"/>
      <c r="B4126" s="339"/>
      <c r="C4126" s="339"/>
      <c r="D4126" s="159"/>
    </row>
    <row r="4127">
      <c r="A4127" s="339"/>
      <c r="B4127" s="339"/>
      <c r="C4127" s="339"/>
      <c r="D4127" s="159"/>
    </row>
    <row r="4128">
      <c r="A4128" s="339"/>
      <c r="B4128" s="339"/>
      <c r="C4128" s="339"/>
      <c r="D4128" s="159"/>
    </row>
    <row r="4129">
      <c r="A4129" s="339"/>
      <c r="B4129" s="339"/>
      <c r="C4129" s="339"/>
      <c r="D4129" s="159"/>
    </row>
    <row r="4130">
      <c r="A4130" s="339"/>
      <c r="B4130" s="339"/>
      <c r="C4130" s="339"/>
      <c r="D4130" s="159"/>
    </row>
    <row r="4131">
      <c r="A4131" s="339"/>
      <c r="B4131" s="339"/>
      <c r="C4131" s="339"/>
      <c r="D4131" s="159"/>
    </row>
    <row r="4132">
      <c r="A4132" s="339"/>
      <c r="B4132" s="339"/>
      <c r="C4132" s="339"/>
      <c r="D4132" s="159"/>
    </row>
    <row r="4133">
      <c r="A4133" s="339"/>
      <c r="B4133" s="339"/>
      <c r="C4133" s="339"/>
      <c r="D4133" s="159"/>
    </row>
    <row r="4134">
      <c r="A4134" s="339"/>
      <c r="B4134" s="339"/>
      <c r="C4134" s="339"/>
      <c r="D4134" s="159"/>
    </row>
    <row r="4135">
      <c r="A4135" s="339"/>
      <c r="B4135" s="339"/>
      <c r="C4135" s="339"/>
      <c r="D4135" s="159"/>
    </row>
    <row r="4136">
      <c r="A4136" s="339"/>
      <c r="B4136" s="339"/>
      <c r="C4136" s="339"/>
      <c r="D4136" s="159"/>
    </row>
    <row r="4137">
      <c r="A4137" s="339"/>
      <c r="B4137" s="339"/>
      <c r="C4137" s="339"/>
      <c r="D4137" s="159"/>
    </row>
    <row r="4138">
      <c r="A4138" s="339"/>
      <c r="B4138" s="339"/>
      <c r="C4138" s="339"/>
      <c r="D4138" s="159"/>
    </row>
    <row r="4139">
      <c r="A4139" s="339"/>
      <c r="B4139" s="339"/>
      <c r="C4139" s="339"/>
      <c r="D4139" s="159"/>
    </row>
    <row r="4140">
      <c r="A4140" s="339"/>
      <c r="B4140" s="339"/>
      <c r="C4140" s="339"/>
      <c r="D4140" s="159"/>
    </row>
    <row r="4141">
      <c r="A4141" s="339"/>
      <c r="B4141" s="339"/>
      <c r="C4141" s="339"/>
      <c r="D4141" s="159"/>
    </row>
    <row r="4142">
      <c r="A4142" s="339"/>
      <c r="B4142" s="339"/>
      <c r="C4142" s="339"/>
      <c r="D4142" s="159"/>
    </row>
    <row r="4143">
      <c r="A4143" s="339"/>
      <c r="B4143" s="339"/>
      <c r="C4143" s="339"/>
      <c r="D4143" s="159"/>
    </row>
    <row r="4144">
      <c r="A4144" s="339"/>
      <c r="B4144" s="339"/>
      <c r="C4144" s="339"/>
      <c r="D4144" s="159"/>
    </row>
    <row r="4145">
      <c r="A4145" s="339"/>
      <c r="B4145" s="339"/>
      <c r="C4145" s="339"/>
      <c r="D4145" s="159"/>
    </row>
    <row r="4146">
      <c r="A4146" s="339"/>
      <c r="B4146" s="339"/>
      <c r="C4146" s="339"/>
      <c r="D4146" s="159"/>
    </row>
    <row r="4147">
      <c r="A4147" s="339"/>
      <c r="B4147" s="339"/>
      <c r="C4147" s="339"/>
      <c r="D4147" s="159"/>
    </row>
    <row r="4148">
      <c r="A4148" s="339"/>
      <c r="B4148" s="339"/>
      <c r="C4148" s="339"/>
      <c r="D4148" s="159"/>
    </row>
    <row r="4149">
      <c r="A4149" s="339"/>
      <c r="B4149" s="339"/>
      <c r="C4149" s="339"/>
      <c r="D4149" s="159"/>
    </row>
    <row r="4150">
      <c r="A4150" s="339"/>
      <c r="B4150" s="339"/>
      <c r="C4150" s="339"/>
      <c r="D4150" s="159"/>
    </row>
    <row r="4151">
      <c r="A4151" s="339"/>
      <c r="B4151" s="339"/>
      <c r="C4151" s="339"/>
      <c r="D4151" s="159"/>
    </row>
    <row r="4152">
      <c r="A4152" s="339"/>
      <c r="B4152" s="339"/>
      <c r="C4152" s="339"/>
      <c r="D4152" s="159"/>
    </row>
    <row r="4153">
      <c r="A4153" s="339"/>
      <c r="B4153" s="339"/>
      <c r="C4153" s="339"/>
      <c r="D4153" s="159"/>
    </row>
    <row r="4154">
      <c r="A4154" s="339"/>
      <c r="B4154" s="339"/>
      <c r="C4154" s="339"/>
      <c r="D4154" s="159"/>
    </row>
    <row r="4155">
      <c r="A4155" s="339"/>
      <c r="B4155" s="339"/>
      <c r="C4155" s="339"/>
      <c r="D4155" s="159"/>
    </row>
    <row r="4156">
      <c r="A4156" s="339"/>
      <c r="B4156" s="339"/>
      <c r="C4156" s="339"/>
      <c r="D4156" s="159"/>
    </row>
    <row r="4157">
      <c r="A4157" s="339"/>
      <c r="B4157" s="339"/>
      <c r="C4157" s="339"/>
      <c r="D4157" s="159"/>
    </row>
    <row r="4158">
      <c r="A4158" s="339"/>
      <c r="B4158" s="339"/>
      <c r="C4158" s="339"/>
      <c r="D4158" s="159"/>
    </row>
    <row r="4159">
      <c r="A4159" s="339"/>
      <c r="B4159" s="339"/>
      <c r="C4159" s="339"/>
      <c r="D4159" s="159"/>
    </row>
    <row r="4160">
      <c r="A4160" s="339"/>
      <c r="B4160" s="339"/>
      <c r="C4160" s="339"/>
      <c r="D4160" s="159"/>
    </row>
    <row r="4161">
      <c r="A4161" s="339"/>
      <c r="B4161" s="339"/>
      <c r="C4161" s="339"/>
      <c r="D4161" s="159"/>
    </row>
    <row r="4162">
      <c r="A4162" s="339"/>
      <c r="B4162" s="339"/>
      <c r="C4162" s="339"/>
      <c r="D4162" s="159"/>
    </row>
    <row r="4163">
      <c r="A4163" s="339"/>
      <c r="B4163" s="339"/>
      <c r="C4163" s="339"/>
      <c r="D4163" s="159"/>
    </row>
    <row r="4164">
      <c r="A4164" s="339"/>
      <c r="B4164" s="339"/>
      <c r="C4164" s="339"/>
      <c r="D4164" s="159"/>
    </row>
    <row r="4165">
      <c r="A4165" s="339"/>
      <c r="B4165" s="339"/>
      <c r="C4165" s="339"/>
      <c r="D4165" s="159"/>
    </row>
    <row r="4166">
      <c r="A4166" s="339"/>
      <c r="B4166" s="339"/>
      <c r="C4166" s="339"/>
      <c r="D4166" s="159"/>
    </row>
    <row r="4167">
      <c r="A4167" s="339"/>
      <c r="B4167" s="339"/>
      <c r="C4167" s="339"/>
      <c r="D4167" s="159"/>
    </row>
    <row r="4168">
      <c r="A4168" s="339"/>
      <c r="B4168" s="339"/>
      <c r="C4168" s="339"/>
      <c r="D4168" s="159"/>
    </row>
    <row r="4169">
      <c r="A4169" s="339"/>
      <c r="B4169" s="339"/>
      <c r="C4169" s="339"/>
      <c r="D4169" s="159"/>
    </row>
    <row r="4170">
      <c r="A4170" s="339"/>
      <c r="B4170" s="339"/>
      <c r="C4170" s="339"/>
      <c r="D4170" s="159"/>
    </row>
    <row r="4171">
      <c r="A4171" s="339"/>
      <c r="B4171" s="339"/>
      <c r="C4171" s="339"/>
      <c r="D4171" s="159"/>
    </row>
    <row r="4172">
      <c r="A4172" s="339"/>
      <c r="B4172" s="339"/>
      <c r="C4172" s="339"/>
      <c r="D4172" s="159"/>
    </row>
    <row r="4173">
      <c r="A4173" s="339"/>
      <c r="B4173" s="339"/>
      <c r="C4173" s="339"/>
      <c r="D4173" s="159"/>
    </row>
    <row r="4174">
      <c r="A4174" s="339"/>
      <c r="B4174" s="339"/>
      <c r="C4174" s="339"/>
      <c r="D4174" s="159"/>
    </row>
    <row r="4175">
      <c r="A4175" s="339"/>
      <c r="B4175" s="339"/>
      <c r="C4175" s="339"/>
      <c r="D4175" s="159"/>
    </row>
    <row r="4176">
      <c r="A4176" s="339"/>
      <c r="B4176" s="339"/>
      <c r="C4176" s="339"/>
      <c r="D4176" s="159"/>
    </row>
    <row r="4177">
      <c r="A4177" s="339"/>
      <c r="B4177" s="339"/>
      <c r="C4177" s="339"/>
      <c r="D4177" s="159"/>
    </row>
    <row r="4178">
      <c r="A4178" s="339"/>
      <c r="B4178" s="339"/>
      <c r="C4178" s="339"/>
      <c r="D4178" s="159"/>
    </row>
    <row r="4179">
      <c r="A4179" s="339"/>
      <c r="B4179" s="339"/>
      <c r="C4179" s="339"/>
      <c r="D4179" s="159"/>
    </row>
    <row r="4180">
      <c r="A4180" s="339"/>
      <c r="B4180" s="339"/>
      <c r="C4180" s="339"/>
      <c r="D4180" s="159"/>
    </row>
    <row r="4181">
      <c r="A4181" s="339"/>
      <c r="B4181" s="339"/>
      <c r="C4181" s="339"/>
      <c r="D4181" s="159"/>
    </row>
    <row r="4182">
      <c r="A4182" s="339"/>
      <c r="B4182" s="339"/>
      <c r="C4182" s="339"/>
      <c r="D4182" s="159"/>
    </row>
    <row r="4183">
      <c r="A4183" s="339"/>
      <c r="B4183" s="339"/>
      <c r="C4183" s="339"/>
      <c r="D4183" s="159"/>
    </row>
    <row r="4184">
      <c r="A4184" s="339"/>
      <c r="B4184" s="339"/>
      <c r="C4184" s="339"/>
      <c r="D4184" s="159"/>
    </row>
    <row r="4185">
      <c r="A4185" s="339"/>
      <c r="B4185" s="339"/>
      <c r="C4185" s="339"/>
      <c r="D4185" s="159"/>
    </row>
    <row r="4186">
      <c r="A4186" s="339"/>
      <c r="B4186" s="339"/>
      <c r="C4186" s="339"/>
      <c r="D4186" s="159"/>
    </row>
    <row r="4187">
      <c r="A4187" s="339"/>
      <c r="B4187" s="339"/>
      <c r="C4187" s="339"/>
      <c r="D4187" s="159"/>
    </row>
    <row r="4188">
      <c r="A4188" s="339"/>
      <c r="B4188" s="339"/>
      <c r="C4188" s="339"/>
      <c r="D4188" s="159"/>
    </row>
    <row r="4189">
      <c r="A4189" s="339"/>
      <c r="B4189" s="339"/>
      <c r="C4189" s="339"/>
      <c r="D4189" s="159"/>
    </row>
    <row r="4190">
      <c r="A4190" s="339"/>
      <c r="B4190" s="339"/>
      <c r="C4190" s="339"/>
      <c r="D4190" s="159"/>
    </row>
    <row r="4191">
      <c r="A4191" s="339"/>
      <c r="B4191" s="339"/>
      <c r="C4191" s="339"/>
      <c r="D4191" s="159"/>
    </row>
    <row r="4192">
      <c r="A4192" s="339"/>
      <c r="B4192" s="339"/>
      <c r="C4192" s="339"/>
      <c r="D4192" s="159"/>
    </row>
    <row r="4193">
      <c r="A4193" s="339"/>
      <c r="B4193" s="339"/>
      <c r="C4193" s="339"/>
      <c r="D4193" s="159"/>
    </row>
    <row r="4194">
      <c r="A4194" s="339"/>
      <c r="B4194" s="339"/>
      <c r="C4194" s="339"/>
      <c r="D4194" s="159"/>
    </row>
    <row r="4195">
      <c r="A4195" s="339"/>
      <c r="B4195" s="339"/>
      <c r="C4195" s="339"/>
      <c r="D4195" s="159"/>
    </row>
    <row r="4196">
      <c r="A4196" s="339"/>
      <c r="B4196" s="339"/>
      <c r="C4196" s="339"/>
      <c r="D4196" s="159"/>
    </row>
    <row r="4197">
      <c r="A4197" s="339"/>
      <c r="B4197" s="339"/>
      <c r="C4197" s="339"/>
      <c r="D4197" s="159"/>
    </row>
    <row r="4198">
      <c r="A4198" s="339"/>
      <c r="B4198" s="339"/>
      <c r="C4198" s="339"/>
      <c r="D4198" s="159"/>
    </row>
    <row r="4199">
      <c r="A4199" s="339"/>
      <c r="B4199" s="339"/>
      <c r="C4199" s="339"/>
      <c r="D4199" s="159"/>
    </row>
    <row r="4200">
      <c r="A4200" s="339"/>
      <c r="B4200" s="339"/>
      <c r="C4200" s="339"/>
      <c r="D4200" s="159"/>
    </row>
    <row r="4201">
      <c r="A4201" s="339"/>
      <c r="B4201" s="339"/>
      <c r="C4201" s="339"/>
      <c r="D4201" s="159"/>
    </row>
    <row r="4202">
      <c r="A4202" s="339"/>
      <c r="B4202" s="339"/>
      <c r="C4202" s="339"/>
      <c r="D4202" s="159"/>
    </row>
    <row r="4203">
      <c r="A4203" s="339"/>
      <c r="B4203" s="339"/>
      <c r="C4203" s="339"/>
      <c r="D4203" s="159"/>
    </row>
    <row r="4204">
      <c r="A4204" s="339"/>
      <c r="B4204" s="339"/>
      <c r="C4204" s="339"/>
      <c r="D4204" s="159"/>
    </row>
    <row r="4205">
      <c r="A4205" s="339"/>
      <c r="B4205" s="339"/>
      <c r="C4205" s="339"/>
      <c r="D4205" s="159"/>
    </row>
    <row r="4206">
      <c r="A4206" s="339"/>
      <c r="B4206" s="339"/>
      <c r="C4206" s="339"/>
      <c r="D4206" s="159"/>
    </row>
    <row r="4207">
      <c r="A4207" s="339"/>
      <c r="B4207" s="339"/>
      <c r="C4207" s="339"/>
      <c r="D4207" s="159"/>
    </row>
    <row r="4208">
      <c r="A4208" s="339"/>
      <c r="B4208" s="339"/>
      <c r="C4208" s="339"/>
      <c r="D4208" s="159"/>
    </row>
    <row r="4209">
      <c r="A4209" s="339"/>
      <c r="B4209" s="339"/>
      <c r="C4209" s="339"/>
      <c r="D4209" s="159"/>
    </row>
    <row r="4210">
      <c r="A4210" s="339"/>
      <c r="B4210" s="339"/>
      <c r="C4210" s="339"/>
      <c r="D4210" s="159"/>
    </row>
    <row r="4211">
      <c r="A4211" s="339"/>
      <c r="B4211" s="339"/>
      <c r="C4211" s="339"/>
      <c r="D4211" s="159"/>
    </row>
    <row r="4212">
      <c r="A4212" s="339"/>
      <c r="B4212" s="339"/>
      <c r="C4212" s="339"/>
      <c r="D4212" s="159"/>
    </row>
    <row r="4213">
      <c r="A4213" s="339"/>
      <c r="B4213" s="339"/>
      <c r="C4213" s="339"/>
      <c r="D4213" s="159"/>
    </row>
    <row r="4214">
      <c r="A4214" s="339"/>
      <c r="B4214" s="339"/>
      <c r="C4214" s="339"/>
      <c r="D4214" s="159"/>
    </row>
    <row r="4215">
      <c r="A4215" s="339"/>
      <c r="B4215" s="339"/>
      <c r="C4215" s="339"/>
      <c r="D4215" s="159"/>
    </row>
    <row r="4216">
      <c r="A4216" s="339"/>
      <c r="B4216" s="339"/>
      <c r="C4216" s="339"/>
      <c r="D4216" s="159"/>
    </row>
    <row r="4217">
      <c r="A4217" s="339"/>
      <c r="B4217" s="339"/>
      <c r="C4217" s="339"/>
      <c r="D4217" s="159"/>
    </row>
    <row r="4218">
      <c r="A4218" s="339"/>
      <c r="B4218" s="339"/>
      <c r="C4218" s="339"/>
      <c r="D4218" s="159"/>
    </row>
    <row r="4219">
      <c r="A4219" s="339"/>
      <c r="B4219" s="339"/>
      <c r="C4219" s="339"/>
      <c r="D4219" s="159"/>
    </row>
    <row r="4220">
      <c r="A4220" s="339"/>
      <c r="B4220" s="339"/>
      <c r="C4220" s="339"/>
      <c r="D4220" s="159"/>
    </row>
    <row r="4221">
      <c r="A4221" s="339"/>
      <c r="B4221" s="339"/>
      <c r="C4221" s="339"/>
      <c r="D4221" s="159"/>
    </row>
    <row r="4222">
      <c r="A4222" s="339"/>
      <c r="B4222" s="339"/>
      <c r="C4222" s="339"/>
      <c r="D4222" s="159"/>
    </row>
    <row r="4223">
      <c r="A4223" s="339"/>
      <c r="B4223" s="339"/>
      <c r="C4223" s="339"/>
      <c r="D4223" s="159"/>
    </row>
    <row r="4224">
      <c r="A4224" s="339"/>
      <c r="B4224" s="339"/>
      <c r="C4224" s="339"/>
      <c r="D4224" s="159"/>
    </row>
    <row r="4225">
      <c r="A4225" s="339"/>
      <c r="B4225" s="339"/>
      <c r="C4225" s="339"/>
      <c r="D4225" s="159"/>
    </row>
    <row r="4226">
      <c r="A4226" s="339"/>
      <c r="B4226" s="339"/>
      <c r="C4226" s="339"/>
      <c r="D4226" s="159"/>
    </row>
    <row r="4227">
      <c r="A4227" s="339"/>
      <c r="B4227" s="339"/>
      <c r="C4227" s="339"/>
      <c r="D4227" s="159"/>
    </row>
    <row r="4228">
      <c r="A4228" s="339"/>
      <c r="B4228" s="339"/>
      <c r="C4228" s="339"/>
      <c r="D4228" s="159"/>
    </row>
    <row r="4229">
      <c r="A4229" s="339"/>
      <c r="B4229" s="339"/>
      <c r="C4229" s="339"/>
      <c r="D4229" s="159"/>
    </row>
    <row r="4230">
      <c r="A4230" s="339"/>
      <c r="B4230" s="339"/>
      <c r="C4230" s="339"/>
      <c r="D4230" s="159"/>
    </row>
    <row r="4231">
      <c r="A4231" s="339"/>
      <c r="B4231" s="339"/>
      <c r="C4231" s="339"/>
      <c r="D4231" s="159"/>
    </row>
    <row r="4232">
      <c r="A4232" s="339"/>
      <c r="B4232" s="339"/>
      <c r="C4232" s="339"/>
      <c r="D4232" s="159"/>
    </row>
    <row r="4233">
      <c r="A4233" s="339"/>
      <c r="B4233" s="339"/>
      <c r="C4233" s="339"/>
      <c r="D4233" s="159"/>
    </row>
    <row r="4234">
      <c r="A4234" s="339"/>
      <c r="B4234" s="339"/>
      <c r="C4234" s="339"/>
      <c r="D4234" s="159"/>
    </row>
    <row r="4235">
      <c r="A4235" s="339"/>
      <c r="B4235" s="339"/>
      <c r="C4235" s="339"/>
      <c r="D4235" s="159"/>
    </row>
    <row r="4236">
      <c r="A4236" s="339"/>
      <c r="B4236" s="339"/>
      <c r="C4236" s="339"/>
      <c r="D4236" s="159"/>
    </row>
    <row r="4237">
      <c r="A4237" s="339"/>
      <c r="B4237" s="339"/>
      <c r="C4237" s="339"/>
      <c r="D4237" s="159"/>
    </row>
    <row r="4238">
      <c r="A4238" s="339"/>
      <c r="B4238" s="339"/>
      <c r="C4238" s="339"/>
      <c r="D4238" s="159"/>
    </row>
    <row r="4239">
      <c r="A4239" s="339"/>
      <c r="B4239" s="339"/>
      <c r="C4239" s="339"/>
      <c r="D4239" s="159"/>
    </row>
    <row r="4240">
      <c r="A4240" s="339"/>
      <c r="B4240" s="339"/>
      <c r="C4240" s="339"/>
      <c r="D4240" s="159"/>
    </row>
    <row r="4241">
      <c r="A4241" s="339"/>
      <c r="B4241" s="339"/>
      <c r="C4241" s="339"/>
      <c r="D4241" s="159"/>
    </row>
    <row r="4242">
      <c r="A4242" s="339"/>
      <c r="B4242" s="339"/>
      <c r="C4242" s="339"/>
      <c r="D4242" s="159"/>
    </row>
    <row r="4243">
      <c r="A4243" s="339"/>
      <c r="B4243" s="339"/>
      <c r="C4243" s="339"/>
      <c r="D4243" s="159"/>
    </row>
    <row r="4244">
      <c r="A4244" s="339"/>
      <c r="B4244" s="339"/>
      <c r="C4244" s="339"/>
      <c r="D4244" s="159"/>
    </row>
    <row r="4245">
      <c r="A4245" s="339"/>
      <c r="B4245" s="339"/>
      <c r="C4245" s="339"/>
      <c r="D4245" s="159"/>
    </row>
    <row r="4246">
      <c r="A4246" s="339"/>
      <c r="B4246" s="339"/>
      <c r="C4246" s="339"/>
      <c r="D4246" s="159"/>
    </row>
    <row r="4247">
      <c r="A4247" s="339"/>
      <c r="B4247" s="339"/>
      <c r="C4247" s="339"/>
      <c r="D4247" s="159"/>
    </row>
    <row r="4248">
      <c r="A4248" s="339"/>
      <c r="B4248" s="339"/>
      <c r="C4248" s="339"/>
      <c r="D4248" s="159"/>
    </row>
    <row r="4249">
      <c r="A4249" s="339"/>
      <c r="B4249" s="339"/>
      <c r="C4249" s="339"/>
      <c r="D4249" s="159"/>
    </row>
    <row r="4250">
      <c r="A4250" s="339"/>
      <c r="B4250" s="339"/>
      <c r="C4250" s="339"/>
      <c r="D4250" s="159"/>
    </row>
    <row r="4251">
      <c r="A4251" s="339"/>
      <c r="B4251" s="339"/>
      <c r="C4251" s="339"/>
      <c r="D4251" s="159"/>
    </row>
    <row r="4252">
      <c r="A4252" s="339"/>
      <c r="B4252" s="339"/>
      <c r="C4252" s="339"/>
      <c r="D4252" s="159"/>
    </row>
    <row r="4253">
      <c r="A4253" s="339"/>
      <c r="B4253" s="339"/>
      <c r="C4253" s="339"/>
      <c r="D4253" s="159"/>
    </row>
    <row r="4254">
      <c r="A4254" s="339"/>
      <c r="B4254" s="339"/>
      <c r="C4254" s="339"/>
      <c r="D4254" s="159"/>
    </row>
    <row r="4255">
      <c r="A4255" s="339"/>
      <c r="B4255" s="339"/>
      <c r="C4255" s="339"/>
      <c r="D4255" s="159"/>
    </row>
    <row r="4256">
      <c r="A4256" s="339"/>
      <c r="B4256" s="339"/>
      <c r="C4256" s="339"/>
      <c r="D4256" s="159"/>
    </row>
    <row r="4257">
      <c r="A4257" s="339"/>
      <c r="B4257" s="339"/>
      <c r="C4257" s="339"/>
      <c r="D4257" s="159"/>
    </row>
    <row r="4258">
      <c r="A4258" s="339"/>
      <c r="B4258" s="339"/>
      <c r="C4258" s="339"/>
      <c r="D4258" s="159"/>
    </row>
    <row r="4259">
      <c r="A4259" s="339"/>
      <c r="B4259" s="339"/>
      <c r="C4259" s="339"/>
      <c r="D4259" s="159"/>
    </row>
    <row r="4260">
      <c r="A4260" s="339"/>
      <c r="B4260" s="339"/>
      <c r="C4260" s="339"/>
      <c r="D4260" s="159"/>
    </row>
    <row r="4261">
      <c r="A4261" s="339"/>
      <c r="B4261" s="339"/>
      <c r="C4261" s="339"/>
      <c r="D4261" s="159"/>
    </row>
    <row r="4262">
      <c r="A4262" s="339"/>
      <c r="B4262" s="339"/>
      <c r="C4262" s="339"/>
      <c r="D4262" s="159"/>
    </row>
    <row r="4263">
      <c r="A4263" s="339"/>
      <c r="B4263" s="339"/>
      <c r="C4263" s="339"/>
      <c r="D4263" s="159"/>
    </row>
    <row r="4264">
      <c r="A4264" s="339"/>
      <c r="B4264" s="339"/>
      <c r="C4264" s="339"/>
      <c r="D4264" s="159"/>
    </row>
    <row r="4265">
      <c r="A4265" s="339"/>
      <c r="B4265" s="339"/>
      <c r="C4265" s="339"/>
      <c r="D4265" s="159"/>
    </row>
    <row r="4266">
      <c r="A4266" s="339"/>
      <c r="B4266" s="339"/>
      <c r="C4266" s="339"/>
      <c r="D4266" s="159"/>
    </row>
    <row r="4267">
      <c r="A4267" s="339"/>
      <c r="B4267" s="339"/>
      <c r="C4267" s="339"/>
      <c r="D4267" s="159"/>
    </row>
    <row r="4268">
      <c r="A4268" s="339"/>
      <c r="B4268" s="339"/>
      <c r="C4268" s="339"/>
      <c r="D4268" s="159"/>
    </row>
    <row r="4269">
      <c r="A4269" s="339"/>
      <c r="B4269" s="339"/>
      <c r="C4269" s="339"/>
      <c r="D4269" s="159"/>
    </row>
    <row r="4270">
      <c r="A4270" s="339"/>
      <c r="B4270" s="339"/>
      <c r="C4270" s="339"/>
      <c r="D4270" s="159"/>
    </row>
    <row r="4271">
      <c r="A4271" s="339"/>
      <c r="B4271" s="339"/>
      <c r="C4271" s="339"/>
      <c r="D4271" s="159"/>
    </row>
    <row r="4272">
      <c r="A4272" s="339"/>
      <c r="B4272" s="339"/>
      <c r="C4272" s="339"/>
      <c r="D4272" s="159"/>
    </row>
    <row r="4273">
      <c r="A4273" s="339"/>
      <c r="B4273" s="339"/>
      <c r="C4273" s="339"/>
      <c r="D4273" s="159"/>
    </row>
    <row r="4274">
      <c r="A4274" s="339"/>
      <c r="B4274" s="339"/>
      <c r="C4274" s="339"/>
      <c r="D4274" s="159"/>
    </row>
    <row r="4275">
      <c r="A4275" s="339"/>
      <c r="B4275" s="339"/>
      <c r="C4275" s="339"/>
      <c r="D4275" s="159"/>
    </row>
    <row r="4276">
      <c r="A4276" s="339"/>
      <c r="B4276" s="339"/>
      <c r="C4276" s="339"/>
      <c r="D4276" s="159"/>
    </row>
    <row r="4277">
      <c r="A4277" s="339"/>
      <c r="B4277" s="339"/>
      <c r="C4277" s="339"/>
      <c r="D4277" s="159"/>
    </row>
    <row r="4278">
      <c r="A4278" s="339"/>
      <c r="B4278" s="339"/>
      <c r="C4278" s="339"/>
      <c r="D4278" s="159"/>
    </row>
    <row r="4279">
      <c r="A4279" s="339"/>
      <c r="B4279" s="339"/>
      <c r="C4279" s="339"/>
      <c r="D4279" s="159"/>
    </row>
    <row r="4280">
      <c r="A4280" s="339"/>
      <c r="B4280" s="339"/>
      <c r="C4280" s="339"/>
      <c r="D4280" s="159"/>
    </row>
    <row r="4281">
      <c r="A4281" s="339"/>
      <c r="B4281" s="339"/>
      <c r="C4281" s="339"/>
      <c r="D4281" s="159"/>
    </row>
    <row r="4282">
      <c r="A4282" s="339"/>
      <c r="B4282" s="339"/>
      <c r="C4282" s="339"/>
      <c r="D4282" s="159"/>
    </row>
    <row r="4283">
      <c r="A4283" s="339"/>
      <c r="B4283" s="339"/>
      <c r="C4283" s="339"/>
      <c r="D4283" s="159"/>
    </row>
    <row r="4284">
      <c r="A4284" s="339"/>
      <c r="B4284" s="339"/>
      <c r="C4284" s="339"/>
      <c r="D4284" s="159"/>
    </row>
    <row r="4285">
      <c r="A4285" s="339"/>
      <c r="B4285" s="339"/>
      <c r="C4285" s="339"/>
      <c r="D4285" s="159"/>
    </row>
    <row r="4286">
      <c r="A4286" s="339"/>
      <c r="B4286" s="339"/>
      <c r="C4286" s="339"/>
      <c r="D4286" s="159"/>
    </row>
    <row r="4287">
      <c r="A4287" s="339"/>
      <c r="B4287" s="339"/>
      <c r="C4287" s="339"/>
      <c r="D4287" s="159"/>
    </row>
    <row r="4288">
      <c r="A4288" s="339"/>
      <c r="B4288" s="339"/>
      <c r="C4288" s="339"/>
      <c r="D4288" s="159"/>
    </row>
    <row r="4289">
      <c r="A4289" s="339"/>
      <c r="B4289" s="339"/>
      <c r="C4289" s="339"/>
      <c r="D4289" s="159"/>
    </row>
    <row r="4290">
      <c r="A4290" s="339"/>
      <c r="B4290" s="339"/>
      <c r="C4290" s="339"/>
      <c r="D4290" s="159"/>
    </row>
    <row r="4291">
      <c r="A4291" s="339"/>
      <c r="B4291" s="339"/>
      <c r="C4291" s="339"/>
      <c r="D4291" s="159"/>
    </row>
    <row r="4292">
      <c r="A4292" s="339"/>
      <c r="B4292" s="339"/>
      <c r="C4292" s="339"/>
      <c r="D4292" s="159"/>
    </row>
    <row r="4293">
      <c r="A4293" s="339"/>
      <c r="B4293" s="339"/>
      <c r="C4293" s="339"/>
      <c r="D4293" s="159"/>
    </row>
    <row r="4294">
      <c r="A4294" s="339"/>
      <c r="B4294" s="339"/>
      <c r="C4294" s="339"/>
      <c r="D4294" s="159"/>
    </row>
    <row r="4295">
      <c r="A4295" s="339"/>
      <c r="B4295" s="339"/>
      <c r="C4295" s="339"/>
      <c r="D4295" s="159"/>
    </row>
    <row r="4296">
      <c r="A4296" s="339"/>
      <c r="B4296" s="339"/>
      <c r="C4296" s="339"/>
      <c r="D4296" s="159"/>
    </row>
    <row r="4297">
      <c r="A4297" s="339"/>
      <c r="B4297" s="339"/>
      <c r="C4297" s="339"/>
      <c r="D4297" s="159"/>
    </row>
    <row r="4298">
      <c r="A4298" s="339"/>
      <c r="B4298" s="339"/>
      <c r="C4298" s="339"/>
      <c r="D4298" s="159"/>
    </row>
    <row r="4299">
      <c r="A4299" s="339"/>
      <c r="B4299" s="339"/>
      <c r="C4299" s="339"/>
      <c r="D4299" s="159"/>
    </row>
    <row r="4300">
      <c r="A4300" s="339"/>
      <c r="B4300" s="339"/>
      <c r="C4300" s="339"/>
      <c r="D4300" s="159"/>
    </row>
    <row r="4301">
      <c r="A4301" s="339"/>
      <c r="B4301" s="339"/>
      <c r="C4301" s="339"/>
      <c r="D4301" s="159"/>
    </row>
    <row r="4302">
      <c r="A4302" s="339"/>
      <c r="B4302" s="339"/>
      <c r="C4302" s="339"/>
      <c r="D4302" s="159"/>
    </row>
    <row r="4303">
      <c r="A4303" s="339"/>
      <c r="B4303" s="339"/>
      <c r="C4303" s="339"/>
      <c r="D4303" s="159"/>
    </row>
    <row r="4304">
      <c r="A4304" s="339"/>
      <c r="B4304" s="339"/>
      <c r="C4304" s="339"/>
      <c r="D4304" s="159"/>
    </row>
    <row r="4305">
      <c r="A4305" s="339"/>
      <c r="B4305" s="339"/>
      <c r="C4305" s="339"/>
      <c r="D4305" s="159"/>
    </row>
    <row r="4306">
      <c r="A4306" s="339"/>
      <c r="B4306" s="339"/>
      <c r="C4306" s="339"/>
      <c r="D4306" s="159"/>
    </row>
    <row r="4307">
      <c r="A4307" s="339"/>
      <c r="B4307" s="339"/>
      <c r="C4307" s="339"/>
      <c r="D4307" s="159"/>
    </row>
    <row r="4308">
      <c r="A4308" s="339"/>
      <c r="B4308" s="339"/>
      <c r="C4308" s="339"/>
      <c r="D4308" s="159"/>
    </row>
    <row r="4309">
      <c r="A4309" s="339"/>
      <c r="B4309" s="339"/>
      <c r="C4309" s="339"/>
      <c r="D4309" s="159"/>
    </row>
    <row r="4310">
      <c r="A4310" s="339"/>
      <c r="B4310" s="339"/>
      <c r="C4310" s="339"/>
      <c r="D4310" s="159"/>
    </row>
    <row r="4311">
      <c r="A4311" s="339"/>
      <c r="B4311" s="339"/>
      <c r="C4311" s="339"/>
      <c r="D4311" s="159"/>
    </row>
    <row r="4312">
      <c r="A4312" s="339"/>
      <c r="B4312" s="339"/>
      <c r="C4312" s="339"/>
      <c r="D4312" s="159"/>
    </row>
    <row r="4313">
      <c r="A4313" s="339"/>
      <c r="B4313" s="339"/>
      <c r="C4313" s="339"/>
      <c r="D4313" s="159"/>
    </row>
    <row r="4314">
      <c r="A4314" s="339"/>
      <c r="B4314" s="339"/>
      <c r="C4314" s="339"/>
      <c r="D4314" s="159"/>
    </row>
    <row r="4315">
      <c r="A4315" s="339"/>
      <c r="B4315" s="339"/>
      <c r="C4315" s="339"/>
      <c r="D4315" s="159"/>
    </row>
    <row r="4316">
      <c r="A4316" s="339"/>
      <c r="B4316" s="339"/>
      <c r="C4316" s="339"/>
      <c r="D4316" s="159"/>
    </row>
    <row r="4317">
      <c r="A4317" s="339"/>
      <c r="B4317" s="339"/>
      <c r="C4317" s="339"/>
      <c r="D4317" s="159"/>
    </row>
    <row r="4318">
      <c r="A4318" s="339"/>
      <c r="B4318" s="339"/>
      <c r="C4318" s="339"/>
      <c r="D4318" s="159"/>
    </row>
    <row r="4319">
      <c r="A4319" s="339"/>
      <c r="B4319" s="339"/>
      <c r="C4319" s="339"/>
      <c r="D4319" s="159"/>
    </row>
    <row r="4320">
      <c r="A4320" s="339"/>
      <c r="B4320" s="339"/>
      <c r="C4320" s="339"/>
      <c r="D4320" s="159"/>
    </row>
    <row r="4321">
      <c r="A4321" s="339"/>
      <c r="B4321" s="339"/>
      <c r="C4321" s="339"/>
      <c r="D4321" s="159"/>
    </row>
    <row r="4322">
      <c r="A4322" s="339"/>
      <c r="B4322" s="339"/>
      <c r="C4322" s="339"/>
      <c r="D4322" s="159"/>
    </row>
    <row r="4323">
      <c r="A4323" s="339"/>
      <c r="B4323" s="339"/>
      <c r="C4323" s="339"/>
      <c r="D4323" s="159"/>
    </row>
    <row r="4324">
      <c r="A4324" s="339"/>
      <c r="B4324" s="339"/>
      <c r="C4324" s="339"/>
      <c r="D4324" s="159"/>
    </row>
    <row r="4325">
      <c r="A4325" s="339"/>
      <c r="B4325" s="339"/>
      <c r="C4325" s="339"/>
      <c r="D4325" s="159"/>
    </row>
    <row r="4326">
      <c r="A4326" s="339"/>
      <c r="B4326" s="339"/>
      <c r="C4326" s="339"/>
      <c r="D4326" s="159"/>
    </row>
    <row r="4327">
      <c r="A4327" s="339"/>
      <c r="B4327" s="339"/>
      <c r="C4327" s="339"/>
      <c r="D4327" s="159"/>
    </row>
    <row r="4328">
      <c r="A4328" s="339"/>
      <c r="B4328" s="339"/>
      <c r="C4328" s="339"/>
      <c r="D4328" s="159"/>
    </row>
    <row r="4329">
      <c r="A4329" s="339"/>
      <c r="B4329" s="339"/>
      <c r="C4329" s="339"/>
      <c r="D4329" s="159"/>
    </row>
    <row r="4330">
      <c r="A4330" s="339"/>
      <c r="B4330" s="339"/>
      <c r="C4330" s="339"/>
      <c r="D4330" s="159"/>
    </row>
    <row r="4331">
      <c r="A4331" s="339"/>
      <c r="B4331" s="339"/>
      <c r="C4331" s="339"/>
      <c r="D4331" s="159"/>
    </row>
    <row r="4332">
      <c r="A4332" s="339"/>
      <c r="B4332" s="339"/>
      <c r="C4332" s="339"/>
      <c r="D4332" s="159"/>
    </row>
    <row r="4333">
      <c r="A4333" s="339"/>
      <c r="B4333" s="339"/>
      <c r="C4333" s="339"/>
      <c r="D4333" s="159"/>
    </row>
    <row r="4334">
      <c r="A4334" s="339"/>
      <c r="B4334" s="339"/>
      <c r="C4334" s="339"/>
      <c r="D4334" s="159"/>
    </row>
    <row r="4335">
      <c r="A4335" s="339"/>
      <c r="B4335" s="339"/>
      <c r="C4335" s="339"/>
      <c r="D4335" s="159"/>
    </row>
    <row r="4336">
      <c r="A4336" s="339"/>
      <c r="B4336" s="339"/>
      <c r="C4336" s="339"/>
      <c r="D4336" s="159"/>
    </row>
    <row r="4337">
      <c r="A4337" s="339"/>
      <c r="B4337" s="339"/>
      <c r="C4337" s="339"/>
      <c r="D4337" s="159"/>
    </row>
    <row r="4338">
      <c r="A4338" s="339"/>
      <c r="B4338" s="339"/>
      <c r="C4338" s="339"/>
      <c r="D4338" s="159"/>
    </row>
    <row r="4339">
      <c r="A4339" s="339"/>
      <c r="B4339" s="339"/>
      <c r="C4339" s="339"/>
      <c r="D4339" s="159"/>
    </row>
    <row r="4340">
      <c r="A4340" s="339"/>
      <c r="B4340" s="339"/>
      <c r="C4340" s="339"/>
      <c r="D4340" s="159"/>
    </row>
    <row r="4341">
      <c r="A4341" s="339"/>
      <c r="B4341" s="339"/>
      <c r="C4341" s="339"/>
      <c r="D4341" s="159"/>
    </row>
    <row r="4342">
      <c r="A4342" s="339"/>
      <c r="B4342" s="339"/>
      <c r="C4342" s="339"/>
      <c r="D4342" s="159"/>
    </row>
    <row r="4343">
      <c r="A4343" s="339"/>
      <c r="B4343" s="339"/>
      <c r="C4343" s="339"/>
      <c r="D4343" s="159"/>
    </row>
    <row r="4344">
      <c r="A4344" s="339"/>
      <c r="B4344" s="339"/>
      <c r="C4344" s="339"/>
      <c r="D4344" s="159"/>
    </row>
    <row r="4345">
      <c r="A4345" s="339"/>
      <c r="B4345" s="339"/>
      <c r="C4345" s="339"/>
      <c r="D4345" s="159"/>
    </row>
    <row r="4346">
      <c r="A4346" s="339"/>
      <c r="B4346" s="339"/>
      <c r="C4346" s="339"/>
      <c r="D4346" s="159"/>
    </row>
    <row r="4347">
      <c r="A4347" s="339"/>
      <c r="B4347" s="339"/>
      <c r="C4347" s="339"/>
      <c r="D4347" s="159"/>
    </row>
    <row r="4348">
      <c r="A4348" s="339"/>
      <c r="B4348" s="339"/>
      <c r="C4348" s="339"/>
      <c r="D4348" s="159"/>
    </row>
    <row r="4349">
      <c r="A4349" s="339"/>
      <c r="B4349" s="339"/>
      <c r="C4349" s="339"/>
      <c r="D4349" s="159"/>
    </row>
    <row r="4350">
      <c r="A4350" s="339"/>
      <c r="B4350" s="339"/>
      <c r="C4350" s="339"/>
      <c r="D4350" s="159"/>
    </row>
    <row r="4351">
      <c r="A4351" s="339"/>
      <c r="B4351" s="339"/>
      <c r="C4351" s="339"/>
      <c r="D4351" s="159"/>
    </row>
    <row r="4352">
      <c r="A4352" s="339"/>
      <c r="B4352" s="339"/>
      <c r="C4352" s="339"/>
      <c r="D4352" s="159"/>
    </row>
    <row r="4353">
      <c r="A4353" s="339"/>
      <c r="B4353" s="339"/>
      <c r="C4353" s="339"/>
      <c r="D4353" s="159"/>
    </row>
    <row r="4354">
      <c r="A4354" s="339"/>
      <c r="B4354" s="339"/>
      <c r="C4354" s="339"/>
      <c r="D4354" s="159"/>
    </row>
    <row r="4355">
      <c r="A4355" s="339"/>
      <c r="B4355" s="339"/>
      <c r="C4355" s="339"/>
      <c r="D4355" s="159"/>
    </row>
    <row r="4356">
      <c r="A4356" s="339"/>
      <c r="B4356" s="339"/>
      <c r="C4356" s="339"/>
      <c r="D4356" s="159"/>
    </row>
    <row r="4357">
      <c r="A4357" s="339"/>
      <c r="B4357" s="339"/>
      <c r="C4357" s="339"/>
      <c r="D4357" s="159"/>
    </row>
    <row r="4358">
      <c r="A4358" s="339"/>
      <c r="B4358" s="339"/>
      <c r="C4358" s="339"/>
      <c r="D4358" s="159"/>
    </row>
    <row r="4359">
      <c r="A4359" s="339"/>
      <c r="B4359" s="339"/>
      <c r="C4359" s="339"/>
      <c r="D4359" s="159"/>
    </row>
    <row r="4360">
      <c r="A4360" s="339"/>
      <c r="B4360" s="339"/>
      <c r="C4360" s="339"/>
      <c r="D4360" s="159"/>
    </row>
    <row r="4361">
      <c r="A4361" s="339"/>
      <c r="B4361" s="339"/>
      <c r="C4361" s="339"/>
      <c r="D4361" s="159"/>
    </row>
    <row r="4362">
      <c r="A4362" s="339"/>
      <c r="B4362" s="339"/>
      <c r="C4362" s="339"/>
      <c r="D4362" s="159"/>
    </row>
    <row r="4363">
      <c r="A4363" s="339"/>
      <c r="B4363" s="339"/>
      <c r="C4363" s="339"/>
      <c r="D4363" s="159"/>
    </row>
    <row r="4364">
      <c r="A4364" s="339"/>
      <c r="B4364" s="339"/>
      <c r="C4364" s="339"/>
      <c r="D4364" s="159"/>
    </row>
    <row r="4365">
      <c r="A4365" s="339"/>
      <c r="B4365" s="339"/>
      <c r="C4365" s="339"/>
      <c r="D4365" s="159"/>
    </row>
    <row r="4366">
      <c r="A4366" s="339"/>
      <c r="B4366" s="339"/>
      <c r="C4366" s="339"/>
      <c r="D4366" s="159"/>
    </row>
    <row r="4367">
      <c r="A4367" s="339"/>
      <c r="B4367" s="339"/>
      <c r="C4367" s="339"/>
      <c r="D4367" s="15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A1751"/>
    <hyperlink r:id="rId1751" ref="B1751"/>
    <hyperlink r:id="rId1752" ref="B1752"/>
    <hyperlink r:id="rId1753" ref="B1753"/>
    <hyperlink r:id="rId1754" ref="B1754"/>
    <hyperlink r:id="rId1755" ref="B1755"/>
    <hyperlink r:id="rId1756" ref="B1756"/>
    <hyperlink r:id="rId1757" ref="B1757"/>
    <hyperlink r:id="rId1758" ref="B1758"/>
    <hyperlink r:id="rId1759" ref="B1759"/>
    <hyperlink r:id="rId1760" ref="B1760"/>
    <hyperlink r:id="rId1761" ref="B1761"/>
    <hyperlink r:id="rId1762" ref="B1762"/>
    <hyperlink r:id="rId1763" ref="B1763"/>
    <hyperlink r:id="rId1764" ref="B1764"/>
    <hyperlink r:id="rId1765" ref="B1765"/>
    <hyperlink r:id="rId1766" ref="B1766"/>
    <hyperlink r:id="rId1767" ref="B1767"/>
    <hyperlink r:id="rId1768" ref="B1768"/>
    <hyperlink r:id="rId1769" ref="B1769"/>
    <hyperlink r:id="rId1770" ref="B1770"/>
    <hyperlink r:id="rId1771" ref="B1771"/>
    <hyperlink r:id="rId1772" ref="B1772"/>
    <hyperlink r:id="rId1773" ref="B1773"/>
    <hyperlink r:id="rId1774" ref="B1774"/>
    <hyperlink r:id="rId1775" ref="B1775"/>
    <hyperlink r:id="rId1776" ref="B1776"/>
    <hyperlink r:id="rId1777" ref="B1777"/>
    <hyperlink r:id="rId1778" ref="B1778"/>
    <hyperlink r:id="rId1779" ref="B1779"/>
    <hyperlink r:id="rId1780" ref="B1780"/>
    <hyperlink r:id="rId1781" ref="B1781"/>
    <hyperlink r:id="rId1782" ref="B1782"/>
    <hyperlink r:id="rId1783" ref="B1783"/>
    <hyperlink r:id="rId1784" ref="B1784"/>
    <hyperlink r:id="rId1785" ref="B1785"/>
    <hyperlink r:id="rId1786" ref="B1786"/>
    <hyperlink r:id="rId1787" ref="B1787"/>
    <hyperlink r:id="rId1788" ref="B1788"/>
    <hyperlink r:id="rId1789" ref="B1789"/>
    <hyperlink r:id="rId1790" ref="B1790"/>
    <hyperlink r:id="rId1791" ref="B1791"/>
    <hyperlink r:id="rId1792" ref="B1792"/>
    <hyperlink r:id="rId1793" ref="B1793"/>
    <hyperlink r:id="rId1794" ref="B1794"/>
    <hyperlink r:id="rId1795" ref="B1795"/>
    <hyperlink r:id="rId1796" ref="B1796"/>
    <hyperlink r:id="rId1797" ref="B1797"/>
    <hyperlink r:id="rId1798" ref="B1798"/>
    <hyperlink r:id="rId1799" ref="B1799"/>
    <hyperlink r:id="rId1800" ref="B1800"/>
    <hyperlink r:id="rId1801" ref="B1801"/>
    <hyperlink r:id="rId1802" ref="B1802"/>
    <hyperlink r:id="rId1803" ref="B1803"/>
    <hyperlink r:id="rId1804" ref="B1804"/>
    <hyperlink r:id="rId1805" ref="B1805"/>
    <hyperlink r:id="rId1806" ref="B1806"/>
    <hyperlink r:id="rId1807" ref="B1807"/>
    <hyperlink r:id="rId1808" ref="B1808"/>
    <hyperlink r:id="rId1809" ref="B1809"/>
    <hyperlink r:id="rId1810" ref="B1810"/>
    <hyperlink r:id="rId1811" ref="B1811"/>
    <hyperlink r:id="rId1812" ref="B1812"/>
    <hyperlink r:id="rId1813" ref="B1813"/>
    <hyperlink r:id="rId1814" ref="B1814"/>
    <hyperlink r:id="rId1815" ref="B1815"/>
    <hyperlink r:id="rId1816" ref="B1816"/>
    <hyperlink r:id="rId1817" ref="B1817"/>
    <hyperlink r:id="rId1818" ref="B1818"/>
    <hyperlink r:id="rId1819" ref="B1819"/>
    <hyperlink r:id="rId1820" ref="B1820"/>
    <hyperlink r:id="rId1821" ref="B1821"/>
    <hyperlink r:id="rId1822" ref="B1822"/>
    <hyperlink r:id="rId1823" ref="B1823"/>
    <hyperlink r:id="rId1824" ref="B1824"/>
    <hyperlink r:id="rId1825" ref="B1825"/>
    <hyperlink r:id="rId1826" ref="B1826"/>
    <hyperlink r:id="rId1827" ref="B1827"/>
    <hyperlink r:id="rId1828" ref="B1828"/>
    <hyperlink r:id="rId1829" ref="B1829"/>
    <hyperlink r:id="rId1830" ref="B1830"/>
    <hyperlink r:id="rId1831" ref="B1831"/>
    <hyperlink r:id="rId1832" ref="B1832"/>
    <hyperlink r:id="rId1833" ref="B1833"/>
    <hyperlink r:id="rId1834" ref="B1834"/>
    <hyperlink r:id="rId1835" ref="B1835"/>
    <hyperlink r:id="rId1836" ref="B1836"/>
    <hyperlink r:id="rId1837" ref="B1837"/>
    <hyperlink r:id="rId1838" ref="B1838"/>
    <hyperlink r:id="rId1839" ref="B1839"/>
    <hyperlink r:id="rId1840" ref="B1840"/>
    <hyperlink r:id="rId1841" ref="B1841"/>
    <hyperlink r:id="rId1842" ref="B1842"/>
    <hyperlink r:id="rId1843" ref="B1843"/>
    <hyperlink r:id="rId1844" ref="B1844"/>
    <hyperlink r:id="rId1845" ref="B1845"/>
    <hyperlink r:id="rId1846" ref="B1846"/>
    <hyperlink r:id="rId1847" ref="B1847"/>
    <hyperlink r:id="rId1848" ref="B1848"/>
    <hyperlink r:id="rId1849" ref="B1849"/>
    <hyperlink r:id="rId1850" ref="B1850"/>
    <hyperlink r:id="rId1851" ref="B1851"/>
    <hyperlink r:id="rId1852" ref="B1852"/>
    <hyperlink r:id="rId1853" ref="B1853"/>
    <hyperlink r:id="rId1854" ref="B1854"/>
    <hyperlink r:id="rId1855" ref="B1855"/>
    <hyperlink r:id="rId1856" ref="B1856"/>
    <hyperlink r:id="rId1857" ref="B1857"/>
    <hyperlink r:id="rId1858" ref="B1858"/>
    <hyperlink r:id="rId1859" ref="B1859"/>
    <hyperlink r:id="rId1860" ref="B1860"/>
    <hyperlink r:id="rId1861" ref="B1861"/>
    <hyperlink r:id="rId1862" ref="B1862"/>
    <hyperlink r:id="rId1863" ref="B1863"/>
    <hyperlink r:id="rId1864" ref="B1864"/>
    <hyperlink r:id="rId1865" ref="B1865"/>
    <hyperlink r:id="rId1866" ref="B1866"/>
    <hyperlink r:id="rId1867" ref="B1867"/>
    <hyperlink r:id="rId1868" ref="B1868"/>
    <hyperlink r:id="rId1869" ref="B1869"/>
    <hyperlink r:id="rId1870" ref="B1870"/>
    <hyperlink r:id="rId1871" ref="B1871"/>
    <hyperlink r:id="rId1872" ref="B1872"/>
    <hyperlink r:id="rId1873" ref="B1873"/>
    <hyperlink r:id="rId1874" ref="B1874"/>
    <hyperlink r:id="rId1875" ref="B1875"/>
    <hyperlink r:id="rId1876" ref="B1876"/>
    <hyperlink r:id="rId1877" ref="B1877"/>
    <hyperlink r:id="rId1878" ref="B1878"/>
    <hyperlink r:id="rId1879" ref="B1879"/>
    <hyperlink r:id="rId1880" ref="B1880"/>
    <hyperlink r:id="rId1881" ref="B1881"/>
    <hyperlink r:id="rId1882" ref="B1882"/>
    <hyperlink r:id="rId1883" ref="B1883"/>
    <hyperlink r:id="rId1884" ref="B1884"/>
    <hyperlink r:id="rId1885" ref="B1885"/>
    <hyperlink r:id="rId1886" ref="B1886"/>
    <hyperlink r:id="rId1887" ref="B1887"/>
    <hyperlink r:id="rId1888" ref="B1888"/>
    <hyperlink r:id="rId1889" ref="B1889"/>
    <hyperlink r:id="rId1890" ref="B1890"/>
    <hyperlink r:id="rId1891" ref="B1891"/>
    <hyperlink r:id="rId1892" ref="B1892"/>
    <hyperlink r:id="rId1893" ref="B1893"/>
    <hyperlink r:id="rId1894" ref="B1894"/>
    <hyperlink r:id="rId1895" ref="B1895"/>
    <hyperlink r:id="rId1896" ref="B1896"/>
    <hyperlink r:id="rId1897" ref="B1897"/>
    <hyperlink r:id="rId1898" ref="B1898"/>
    <hyperlink r:id="rId1899" ref="B1899"/>
    <hyperlink r:id="rId1900" ref="B1900"/>
    <hyperlink r:id="rId1901" ref="B1901"/>
    <hyperlink r:id="rId1902" ref="B1902"/>
    <hyperlink r:id="rId1903" ref="B1903"/>
    <hyperlink r:id="rId1904" ref="B1904"/>
    <hyperlink r:id="rId1905" ref="B1905"/>
    <hyperlink r:id="rId1906" ref="B1906"/>
    <hyperlink r:id="rId1907" ref="B1907"/>
    <hyperlink r:id="rId1908" ref="B1908"/>
    <hyperlink r:id="rId1909" ref="B1909"/>
    <hyperlink r:id="rId1910" ref="B1910"/>
    <hyperlink r:id="rId1911" ref="B1911"/>
    <hyperlink r:id="rId1912" ref="B1912"/>
    <hyperlink r:id="rId1913" ref="B1913"/>
    <hyperlink r:id="rId1914" ref="B1914"/>
    <hyperlink r:id="rId1915" ref="B1915"/>
    <hyperlink r:id="rId1916" ref="B1916"/>
    <hyperlink r:id="rId1917" ref="B1917"/>
    <hyperlink r:id="rId1918" ref="B1918"/>
    <hyperlink r:id="rId1919" ref="B1919"/>
    <hyperlink r:id="rId1920" ref="B1920"/>
    <hyperlink r:id="rId1921" ref="B1921"/>
    <hyperlink r:id="rId1922" ref="B1922"/>
    <hyperlink r:id="rId1923" ref="B1923"/>
    <hyperlink r:id="rId1924" ref="B1924"/>
    <hyperlink r:id="rId1925" ref="B1925"/>
    <hyperlink r:id="rId1926" ref="B1926"/>
    <hyperlink r:id="rId1927" ref="B1927"/>
    <hyperlink r:id="rId1928" ref="B1928"/>
    <hyperlink r:id="rId1929" ref="B1929"/>
    <hyperlink r:id="rId1930" ref="B1930"/>
    <hyperlink r:id="rId1931" ref="B1931"/>
    <hyperlink r:id="rId1932" ref="B1932"/>
    <hyperlink r:id="rId1933" ref="B1933"/>
    <hyperlink r:id="rId1934" ref="B1934"/>
    <hyperlink r:id="rId1935" ref="B1935"/>
    <hyperlink r:id="rId1936" ref="B1936"/>
    <hyperlink r:id="rId1937" ref="B1937"/>
    <hyperlink r:id="rId1938" ref="B1938"/>
    <hyperlink r:id="rId1939" ref="B1939"/>
    <hyperlink r:id="rId1940" ref="B1940"/>
    <hyperlink r:id="rId1941" ref="B1941"/>
    <hyperlink r:id="rId1942" ref="B1942"/>
    <hyperlink r:id="rId1943" ref="B1943"/>
    <hyperlink r:id="rId1944" ref="B1944"/>
    <hyperlink r:id="rId1945" ref="B1945"/>
    <hyperlink r:id="rId1946" ref="B1946"/>
    <hyperlink r:id="rId1947" ref="B1947"/>
    <hyperlink r:id="rId1948" ref="B1948"/>
    <hyperlink r:id="rId1949" ref="B1949"/>
    <hyperlink r:id="rId1950" ref="B1950"/>
    <hyperlink r:id="rId1951" ref="B1951"/>
    <hyperlink r:id="rId1952" ref="B1952"/>
    <hyperlink r:id="rId1953" ref="B1953"/>
    <hyperlink r:id="rId1954" ref="B1954"/>
    <hyperlink r:id="rId1955" ref="B1955"/>
    <hyperlink r:id="rId1956" ref="B1956"/>
    <hyperlink r:id="rId1957" ref="B1957"/>
    <hyperlink r:id="rId1958" ref="B1958"/>
    <hyperlink r:id="rId1959" ref="B1959"/>
    <hyperlink r:id="rId1960" ref="B1960"/>
    <hyperlink r:id="rId1961" ref="B1961"/>
    <hyperlink r:id="rId1962" ref="B1962"/>
    <hyperlink r:id="rId1963" ref="B1963"/>
    <hyperlink r:id="rId1964" ref="B1964"/>
    <hyperlink r:id="rId1965" ref="B1965"/>
    <hyperlink r:id="rId1966" ref="B1966"/>
    <hyperlink r:id="rId1967" ref="B1967"/>
    <hyperlink r:id="rId1968" ref="B1968"/>
    <hyperlink r:id="rId1969" ref="B1969"/>
    <hyperlink r:id="rId1970" ref="B1970"/>
    <hyperlink r:id="rId1971" ref="B1971"/>
    <hyperlink r:id="rId1972" ref="B1972"/>
    <hyperlink r:id="rId1973" ref="B1973"/>
    <hyperlink r:id="rId1974" ref="B1974"/>
    <hyperlink r:id="rId1975" ref="B1975"/>
    <hyperlink r:id="rId1976" ref="B1976"/>
    <hyperlink r:id="rId1977" ref="B1977"/>
    <hyperlink r:id="rId1978" ref="B1978"/>
    <hyperlink r:id="rId1979" ref="B1979"/>
    <hyperlink r:id="rId1980" ref="B1980"/>
    <hyperlink r:id="rId1981" ref="B1981"/>
    <hyperlink r:id="rId1982" ref="B1982"/>
    <hyperlink r:id="rId1983" ref="B1983"/>
    <hyperlink r:id="rId1984" ref="B1984"/>
    <hyperlink r:id="rId1985" ref="B1985"/>
    <hyperlink r:id="rId1986" ref="B1986"/>
    <hyperlink r:id="rId1987" ref="B1987"/>
    <hyperlink r:id="rId1988" ref="B1988"/>
    <hyperlink r:id="rId1989" ref="B1989"/>
    <hyperlink r:id="rId1990" ref="B1990"/>
    <hyperlink r:id="rId1991" ref="B1991"/>
    <hyperlink r:id="rId1992" ref="B1992"/>
    <hyperlink r:id="rId1993" ref="B1993"/>
    <hyperlink r:id="rId1994" ref="B1994"/>
    <hyperlink r:id="rId1995" ref="B1995"/>
    <hyperlink r:id="rId1996" ref="B1996"/>
    <hyperlink r:id="rId1997" ref="B1997"/>
    <hyperlink r:id="rId1998" ref="B1998"/>
    <hyperlink r:id="rId1999" ref="B1999"/>
    <hyperlink r:id="rId2000" ref="B2000"/>
    <hyperlink r:id="rId2001" ref="B2001"/>
    <hyperlink r:id="rId2002" ref="B2002"/>
    <hyperlink r:id="rId2003" ref="B2003"/>
    <hyperlink r:id="rId2004" ref="B2004"/>
    <hyperlink r:id="rId2005" ref="B2005"/>
    <hyperlink r:id="rId2006" ref="B2006"/>
    <hyperlink r:id="rId2007" ref="B2007"/>
    <hyperlink r:id="rId2008" ref="B2008"/>
    <hyperlink r:id="rId2009" ref="A2009"/>
    <hyperlink r:id="rId2010" ref="B2009"/>
    <hyperlink r:id="rId2011" ref="A2010"/>
    <hyperlink r:id="rId2012" ref="B2010"/>
    <hyperlink r:id="rId2013" ref="B2011"/>
    <hyperlink r:id="rId2014" ref="B2012"/>
    <hyperlink r:id="rId2015" ref="B2013"/>
    <hyperlink r:id="rId2016" ref="B2014"/>
    <hyperlink r:id="rId2017" ref="B2015"/>
    <hyperlink r:id="rId2018" ref="B2016"/>
    <hyperlink r:id="rId2019" ref="B2017"/>
    <hyperlink r:id="rId2020" ref="B2018"/>
    <hyperlink r:id="rId2021" ref="B2019"/>
    <hyperlink r:id="rId2022" ref="B2020"/>
    <hyperlink r:id="rId2023" ref="B2021"/>
    <hyperlink r:id="rId2024" ref="B2022"/>
    <hyperlink r:id="rId2025" ref="B2023"/>
    <hyperlink r:id="rId2026" ref="B2024"/>
    <hyperlink r:id="rId2027" ref="B2025"/>
    <hyperlink r:id="rId2028" ref="B2026"/>
    <hyperlink r:id="rId2029" ref="B2027"/>
    <hyperlink r:id="rId2030" ref="B2028"/>
    <hyperlink r:id="rId2031" ref="B2029"/>
    <hyperlink r:id="rId2032" ref="B2030"/>
    <hyperlink r:id="rId2033" ref="B2031"/>
    <hyperlink r:id="rId2034" ref="B2032"/>
    <hyperlink r:id="rId2035" ref="B2033"/>
    <hyperlink r:id="rId2036" ref="B2034"/>
    <hyperlink r:id="rId2037" ref="B2035"/>
    <hyperlink r:id="rId2038" ref="B2036"/>
    <hyperlink r:id="rId2039" ref="B2037"/>
    <hyperlink r:id="rId2040" ref="B2038"/>
    <hyperlink r:id="rId2041" ref="B2039"/>
    <hyperlink r:id="rId2042" ref="B2040"/>
    <hyperlink r:id="rId2043" ref="B2041"/>
    <hyperlink r:id="rId2044" ref="B2042"/>
    <hyperlink r:id="rId2045" ref="B2043"/>
    <hyperlink r:id="rId2046" ref="B2044"/>
    <hyperlink r:id="rId2047" ref="B2045"/>
    <hyperlink r:id="rId2048" ref="B2046"/>
    <hyperlink r:id="rId2049" ref="B2047"/>
    <hyperlink r:id="rId2050" ref="B2048"/>
    <hyperlink r:id="rId2051" ref="B2049"/>
    <hyperlink r:id="rId2052" ref="B2050"/>
    <hyperlink r:id="rId2053" ref="B2051"/>
    <hyperlink r:id="rId2054" ref="B2052"/>
    <hyperlink r:id="rId2055" ref="B2053"/>
    <hyperlink r:id="rId2056" ref="B2054"/>
    <hyperlink r:id="rId2057" ref="B2055"/>
    <hyperlink r:id="rId2058" ref="B2056"/>
    <hyperlink r:id="rId2059" ref="B2057"/>
    <hyperlink r:id="rId2060" ref="B2058"/>
    <hyperlink r:id="rId2061" ref="B2059"/>
    <hyperlink r:id="rId2062" ref="B2060"/>
    <hyperlink r:id="rId2063" ref="B2061"/>
    <hyperlink r:id="rId2064" ref="B2062"/>
    <hyperlink r:id="rId2065" ref="B2063"/>
    <hyperlink r:id="rId2066" ref="B2064"/>
    <hyperlink r:id="rId2067" ref="B2065"/>
    <hyperlink r:id="rId2068" ref="B2066"/>
    <hyperlink r:id="rId2069" ref="B2067"/>
    <hyperlink r:id="rId2070" ref="B2068"/>
    <hyperlink r:id="rId2071" ref="B2069"/>
    <hyperlink r:id="rId2072" ref="B2070"/>
    <hyperlink r:id="rId2073" ref="B2071"/>
    <hyperlink r:id="rId2074" ref="B2072"/>
    <hyperlink r:id="rId2075" ref="B2073"/>
    <hyperlink r:id="rId2076" ref="B2074"/>
    <hyperlink r:id="rId2077" ref="B2075"/>
    <hyperlink r:id="rId2078" ref="B2076"/>
    <hyperlink r:id="rId2079" ref="B2077"/>
    <hyperlink r:id="rId2080" ref="B2078"/>
    <hyperlink r:id="rId2081" ref="B2079"/>
    <hyperlink r:id="rId2082" ref="B2080"/>
    <hyperlink r:id="rId2083" ref="B2081"/>
    <hyperlink r:id="rId2084" ref="B2082"/>
    <hyperlink r:id="rId2085" ref="B2083"/>
    <hyperlink r:id="rId2086" ref="B2084"/>
    <hyperlink r:id="rId2087" ref="B2085"/>
    <hyperlink r:id="rId2088" ref="B2086"/>
    <hyperlink r:id="rId2089" ref="B2087"/>
    <hyperlink r:id="rId2090" ref="B2088"/>
    <hyperlink r:id="rId2091" ref="B2089"/>
    <hyperlink r:id="rId2092" ref="B2090"/>
    <hyperlink r:id="rId2093" ref="B2091"/>
    <hyperlink r:id="rId2094" ref="B2092"/>
    <hyperlink r:id="rId2095" ref="B2093"/>
    <hyperlink r:id="rId2096" ref="B2094"/>
    <hyperlink r:id="rId2097" ref="B2095"/>
    <hyperlink r:id="rId2098" ref="B2096"/>
    <hyperlink r:id="rId2099" ref="B2097"/>
    <hyperlink r:id="rId2100" ref="B2098"/>
    <hyperlink r:id="rId2101" ref="B2099"/>
    <hyperlink r:id="rId2102" ref="B2100"/>
    <hyperlink r:id="rId2103" ref="B2101"/>
    <hyperlink r:id="rId2104" ref="B2102"/>
    <hyperlink r:id="rId2105" ref="B2103"/>
    <hyperlink r:id="rId2106" ref="B2104"/>
    <hyperlink r:id="rId2107" ref="B2105"/>
    <hyperlink r:id="rId2108" ref="B2106"/>
    <hyperlink r:id="rId2109" ref="B2107"/>
    <hyperlink r:id="rId2110" ref="B2108"/>
    <hyperlink r:id="rId2111" ref="B2109"/>
    <hyperlink r:id="rId2112" ref="B2110"/>
    <hyperlink r:id="rId2113" ref="B2111"/>
    <hyperlink r:id="rId2114" ref="B2112"/>
    <hyperlink r:id="rId2115" ref="B2113"/>
    <hyperlink r:id="rId2116" ref="B2114"/>
    <hyperlink r:id="rId2117" ref="B2115"/>
    <hyperlink r:id="rId2118" ref="B2116"/>
    <hyperlink r:id="rId2119" ref="B2117"/>
    <hyperlink r:id="rId2120" ref="B2118"/>
    <hyperlink r:id="rId2121" ref="B2119"/>
    <hyperlink r:id="rId2122" ref="B2120"/>
    <hyperlink r:id="rId2123" ref="B2121"/>
    <hyperlink r:id="rId2124" ref="B2122"/>
    <hyperlink r:id="rId2125" ref="B2123"/>
    <hyperlink r:id="rId2126" ref="B2124"/>
    <hyperlink r:id="rId2127" ref="B2125"/>
    <hyperlink r:id="rId2128" ref="B2126"/>
    <hyperlink r:id="rId2129" ref="B2127"/>
    <hyperlink r:id="rId2130" ref="B2128"/>
    <hyperlink r:id="rId2131" ref="B2129"/>
    <hyperlink r:id="rId2132" ref="B2130"/>
    <hyperlink r:id="rId2133" ref="B2131"/>
    <hyperlink r:id="rId2134" ref="B2132"/>
    <hyperlink r:id="rId2135" ref="B2133"/>
    <hyperlink r:id="rId2136" ref="B2134"/>
    <hyperlink r:id="rId2137" ref="B2135"/>
    <hyperlink r:id="rId2138" ref="B2136"/>
    <hyperlink r:id="rId2139" ref="B2137"/>
    <hyperlink r:id="rId2140" ref="B2138"/>
    <hyperlink r:id="rId2141" ref="B2139"/>
    <hyperlink r:id="rId2142" ref="B2140"/>
    <hyperlink r:id="rId2143" ref="B2141"/>
    <hyperlink r:id="rId2144" ref="B2142"/>
    <hyperlink r:id="rId2145" ref="B2143"/>
    <hyperlink r:id="rId2146" ref="B2144"/>
    <hyperlink r:id="rId2147" ref="B2145"/>
    <hyperlink r:id="rId2148" ref="B2146"/>
    <hyperlink r:id="rId2149" ref="B2147"/>
    <hyperlink r:id="rId2150" ref="B2148"/>
    <hyperlink r:id="rId2151" ref="B2149"/>
    <hyperlink r:id="rId2152" ref="B2150"/>
    <hyperlink r:id="rId2153" ref="B2151"/>
    <hyperlink r:id="rId2154" ref="B2152"/>
    <hyperlink r:id="rId2155" ref="B2153"/>
    <hyperlink r:id="rId2156" ref="B2154"/>
    <hyperlink r:id="rId2157" ref="B2155"/>
    <hyperlink r:id="rId2158" ref="B2156"/>
    <hyperlink r:id="rId2159" ref="B2157"/>
    <hyperlink r:id="rId2160" ref="B2158"/>
    <hyperlink r:id="rId2161" ref="B2159"/>
    <hyperlink r:id="rId2162" ref="B2160"/>
    <hyperlink r:id="rId2163" ref="B2161"/>
    <hyperlink r:id="rId2164" ref="B2162"/>
    <hyperlink r:id="rId2165" ref="B2163"/>
    <hyperlink r:id="rId2166" ref="B2164"/>
    <hyperlink r:id="rId2167" ref="B2165"/>
    <hyperlink r:id="rId2168" ref="B2166"/>
    <hyperlink r:id="rId2169" ref="B2167"/>
    <hyperlink r:id="rId2170" ref="B2168"/>
    <hyperlink r:id="rId2171" ref="B2169"/>
    <hyperlink r:id="rId2172" ref="B2170"/>
    <hyperlink r:id="rId2173" ref="B2171"/>
    <hyperlink r:id="rId2174" ref="B2172"/>
    <hyperlink r:id="rId2175" ref="B2173"/>
    <hyperlink r:id="rId2176" ref="B2174"/>
    <hyperlink r:id="rId2177" ref="B2175"/>
    <hyperlink r:id="rId2178" ref="B2176"/>
    <hyperlink r:id="rId2179" ref="B2177"/>
    <hyperlink r:id="rId2180" ref="B2178"/>
    <hyperlink r:id="rId2181" ref="B2179"/>
    <hyperlink r:id="rId2182" ref="B2180"/>
    <hyperlink r:id="rId2183" ref="B2181"/>
    <hyperlink r:id="rId2184" ref="B2182"/>
    <hyperlink r:id="rId2185" ref="B2183"/>
    <hyperlink r:id="rId2186" ref="B2184"/>
    <hyperlink r:id="rId2187" ref="B2185"/>
    <hyperlink r:id="rId2188" ref="B2186"/>
    <hyperlink r:id="rId2189" ref="B2187"/>
    <hyperlink r:id="rId2190" ref="B2188"/>
    <hyperlink r:id="rId2191" ref="B2189"/>
    <hyperlink r:id="rId2192" ref="B2190"/>
    <hyperlink r:id="rId2193" ref="B2191"/>
    <hyperlink r:id="rId2194" ref="B2192"/>
    <hyperlink r:id="rId2195" ref="B2193"/>
    <hyperlink r:id="rId2196" ref="B2194"/>
    <hyperlink r:id="rId2197" ref="B2195"/>
    <hyperlink r:id="rId2198" ref="B2196"/>
    <hyperlink r:id="rId2199" ref="B2197"/>
    <hyperlink r:id="rId2200" ref="B2198"/>
    <hyperlink r:id="rId2201" ref="B2199"/>
    <hyperlink r:id="rId2202" ref="B2200"/>
    <hyperlink r:id="rId2203" ref="B2201"/>
    <hyperlink r:id="rId2204" ref="B2202"/>
    <hyperlink r:id="rId2205" ref="B2203"/>
    <hyperlink r:id="rId2206" ref="B2204"/>
    <hyperlink r:id="rId2207" ref="B2205"/>
    <hyperlink r:id="rId2208" ref="B2206"/>
    <hyperlink r:id="rId2209" ref="B2207"/>
    <hyperlink r:id="rId2210" ref="B2208"/>
    <hyperlink r:id="rId2211" ref="B2209"/>
    <hyperlink r:id="rId2212" ref="B2210"/>
    <hyperlink r:id="rId2213" ref="B2211"/>
    <hyperlink r:id="rId2214" ref="B2212"/>
    <hyperlink r:id="rId2215" ref="B2213"/>
    <hyperlink r:id="rId2216" ref="B2214"/>
    <hyperlink r:id="rId2217" ref="B2215"/>
    <hyperlink r:id="rId2218" ref="B2216"/>
    <hyperlink r:id="rId2219" ref="B2217"/>
    <hyperlink r:id="rId2220" ref="B2218"/>
    <hyperlink r:id="rId2221" ref="B2219"/>
    <hyperlink r:id="rId2222" ref="B2220"/>
    <hyperlink r:id="rId2223" ref="B2221"/>
    <hyperlink r:id="rId2224" ref="B2222"/>
    <hyperlink r:id="rId2225" ref="B2223"/>
    <hyperlink r:id="rId2226" ref="B2224"/>
    <hyperlink r:id="rId2227" ref="B2225"/>
    <hyperlink r:id="rId2228" ref="B2226"/>
    <hyperlink r:id="rId2229" ref="B2227"/>
    <hyperlink r:id="rId2230" ref="B2228"/>
    <hyperlink r:id="rId2231" ref="B2229"/>
    <hyperlink r:id="rId2232" ref="B2230"/>
    <hyperlink r:id="rId2233" ref="B2231"/>
    <hyperlink r:id="rId2234" ref="B2232"/>
    <hyperlink r:id="rId2235" ref="B2233"/>
    <hyperlink r:id="rId2236" ref="B2234"/>
    <hyperlink r:id="rId2237" ref="B2235"/>
    <hyperlink r:id="rId2238" ref="B2236"/>
    <hyperlink r:id="rId2239" ref="B2237"/>
    <hyperlink r:id="rId2240" ref="B2238"/>
    <hyperlink r:id="rId2241" ref="B2239"/>
    <hyperlink r:id="rId2242" ref="B2240"/>
    <hyperlink r:id="rId2243" ref="B2241"/>
    <hyperlink r:id="rId2244" ref="B2242"/>
    <hyperlink r:id="rId2245" ref="B2243"/>
    <hyperlink r:id="rId2246" ref="B2244"/>
    <hyperlink r:id="rId2247" ref="B2245"/>
    <hyperlink r:id="rId2248" ref="B2246"/>
    <hyperlink r:id="rId2249" ref="B2247"/>
    <hyperlink r:id="rId2250" ref="B2248"/>
    <hyperlink r:id="rId2251" ref="B2249"/>
    <hyperlink r:id="rId2252" ref="B2250"/>
    <hyperlink r:id="rId2253" ref="B2251"/>
    <hyperlink r:id="rId2254" ref="B2252"/>
    <hyperlink r:id="rId2255" ref="B2253"/>
    <hyperlink r:id="rId2256" ref="B2254"/>
    <hyperlink r:id="rId2257" ref="B2255"/>
    <hyperlink r:id="rId2258" ref="B2256"/>
    <hyperlink r:id="rId2259" ref="B2257"/>
    <hyperlink r:id="rId2260" ref="B2258"/>
    <hyperlink r:id="rId2261" ref="B2259"/>
    <hyperlink r:id="rId2262" ref="B2260"/>
    <hyperlink r:id="rId2263" ref="B2261"/>
    <hyperlink r:id="rId2264" ref="B2262"/>
    <hyperlink r:id="rId2265" ref="B2263"/>
    <hyperlink r:id="rId2266" ref="B2264"/>
    <hyperlink r:id="rId2267" ref="B2265"/>
    <hyperlink r:id="rId2268" ref="B2266"/>
    <hyperlink r:id="rId2269" ref="B2267"/>
    <hyperlink r:id="rId2270" ref="B2268"/>
    <hyperlink r:id="rId2271" ref="B2269"/>
    <hyperlink r:id="rId2272" ref="B2270"/>
    <hyperlink r:id="rId2273" ref="B2271"/>
    <hyperlink r:id="rId2274" ref="B2272"/>
    <hyperlink r:id="rId2275" ref="B2273"/>
    <hyperlink r:id="rId2276" ref="B2274"/>
    <hyperlink r:id="rId2277" ref="B2275"/>
    <hyperlink r:id="rId2278" ref="B2276"/>
    <hyperlink r:id="rId2279" ref="B2277"/>
    <hyperlink r:id="rId2280" ref="B2278"/>
    <hyperlink r:id="rId2281" ref="B2279"/>
    <hyperlink r:id="rId2282" ref="B2280"/>
    <hyperlink r:id="rId2283" ref="B2281"/>
    <hyperlink r:id="rId2284" ref="B2282"/>
    <hyperlink r:id="rId2285" ref="B2283"/>
    <hyperlink r:id="rId2286" ref="B2284"/>
    <hyperlink r:id="rId2287" ref="B2285"/>
    <hyperlink r:id="rId2288" ref="B2286"/>
    <hyperlink r:id="rId2289" ref="B2287"/>
    <hyperlink r:id="rId2290" ref="B2288"/>
    <hyperlink r:id="rId2291" ref="B2289"/>
    <hyperlink r:id="rId2292" ref="B2290"/>
    <hyperlink r:id="rId2293" ref="B2291"/>
    <hyperlink r:id="rId2294" ref="B2292"/>
    <hyperlink r:id="rId2295" ref="B2293"/>
    <hyperlink r:id="rId2296" ref="B2294"/>
    <hyperlink r:id="rId2297" ref="B2295"/>
    <hyperlink r:id="rId2298" ref="B2296"/>
    <hyperlink r:id="rId2299" ref="B2297"/>
    <hyperlink r:id="rId2300" ref="B2298"/>
    <hyperlink r:id="rId2301" ref="B2299"/>
    <hyperlink r:id="rId2302" ref="B2300"/>
    <hyperlink r:id="rId2303" ref="B2301"/>
    <hyperlink r:id="rId2304" ref="B2302"/>
    <hyperlink r:id="rId2305" ref="B2303"/>
    <hyperlink r:id="rId2306" ref="B2304"/>
    <hyperlink r:id="rId2307" ref="B2305"/>
    <hyperlink r:id="rId2308" ref="B2306"/>
    <hyperlink r:id="rId2309" ref="B2307"/>
    <hyperlink r:id="rId2310" ref="B2308"/>
    <hyperlink r:id="rId2311" ref="B2309"/>
    <hyperlink r:id="rId2312" ref="B2310"/>
    <hyperlink r:id="rId2313" ref="B2311"/>
    <hyperlink r:id="rId2314" ref="B2312"/>
    <hyperlink r:id="rId2315" ref="B2313"/>
    <hyperlink r:id="rId2316" ref="B2314"/>
    <hyperlink r:id="rId2317" ref="B2315"/>
    <hyperlink r:id="rId2318" ref="B2316"/>
    <hyperlink r:id="rId2319" ref="B2317"/>
    <hyperlink r:id="rId2320" ref="B2318"/>
    <hyperlink r:id="rId2321" ref="B2319"/>
    <hyperlink r:id="rId2322" ref="B2320"/>
    <hyperlink r:id="rId2323" ref="B2321"/>
    <hyperlink r:id="rId2324" ref="B2322"/>
    <hyperlink r:id="rId2325" ref="B2323"/>
    <hyperlink r:id="rId2326" ref="B2324"/>
    <hyperlink r:id="rId2327" ref="B2325"/>
    <hyperlink r:id="rId2328" ref="B2326"/>
    <hyperlink r:id="rId2329" ref="B2327"/>
    <hyperlink r:id="rId2330" ref="B2328"/>
    <hyperlink r:id="rId2331" ref="B2329"/>
    <hyperlink r:id="rId2332" ref="B2330"/>
    <hyperlink r:id="rId2333" ref="B2331"/>
    <hyperlink r:id="rId2334" ref="B2332"/>
    <hyperlink r:id="rId2335" ref="B2333"/>
    <hyperlink r:id="rId2336" ref="B2334"/>
    <hyperlink r:id="rId2337" ref="B2335"/>
    <hyperlink r:id="rId2338" ref="B2336"/>
    <hyperlink r:id="rId2339" ref="B2337"/>
    <hyperlink r:id="rId2340" ref="B2338"/>
    <hyperlink r:id="rId2341" ref="B2339"/>
    <hyperlink r:id="rId2342" ref="B2340"/>
    <hyperlink r:id="rId2343" ref="B2341"/>
    <hyperlink r:id="rId2344" ref="B2342"/>
    <hyperlink r:id="rId2345" ref="B2343"/>
    <hyperlink r:id="rId2346" ref="B2344"/>
    <hyperlink r:id="rId2347" ref="B2345"/>
    <hyperlink r:id="rId2348" ref="B2346"/>
    <hyperlink r:id="rId2349" ref="B2347"/>
    <hyperlink r:id="rId2350" ref="B2348"/>
    <hyperlink r:id="rId2351" ref="B2349"/>
    <hyperlink r:id="rId2352" ref="B2350"/>
    <hyperlink r:id="rId2353" ref="B2351"/>
    <hyperlink r:id="rId2354" ref="B2352"/>
    <hyperlink r:id="rId2355" ref="B2353"/>
    <hyperlink r:id="rId2356" ref="B2354"/>
    <hyperlink r:id="rId2357" ref="B2355"/>
    <hyperlink r:id="rId2358" ref="B2356"/>
    <hyperlink r:id="rId2359" ref="B2357"/>
    <hyperlink r:id="rId2360" ref="B2358"/>
    <hyperlink r:id="rId2361" ref="B2359"/>
    <hyperlink r:id="rId2362" ref="B2360"/>
    <hyperlink r:id="rId2363" ref="B2361"/>
    <hyperlink r:id="rId2364" ref="B2362"/>
    <hyperlink r:id="rId2365" ref="B2363"/>
    <hyperlink r:id="rId2366" ref="B2364"/>
    <hyperlink r:id="rId2367" ref="B2365"/>
    <hyperlink r:id="rId2368" ref="B2366"/>
    <hyperlink r:id="rId2369" ref="B2367"/>
    <hyperlink r:id="rId2370" ref="B2368"/>
    <hyperlink r:id="rId2371" ref="B2369"/>
    <hyperlink r:id="rId2372" ref="B2370"/>
    <hyperlink r:id="rId2373" ref="B2371"/>
    <hyperlink r:id="rId2374" ref="B2372"/>
    <hyperlink r:id="rId2375" ref="B2373"/>
    <hyperlink r:id="rId2376" ref="B2374"/>
    <hyperlink r:id="rId2377" ref="B2375"/>
    <hyperlink r:id="rId2378" ref="B2376"/>
    <hyperlink r:id="rId2379" ref="B2377"/>
    <hyperlink r:id="rId2380" ref="B2378"/>
    <hyperlink r:id="rId2381" ref="B2379"/>
    <hyperlink r:id="rId2382" ref="B2380"/>
    <hyperlink r:id="rId2383" ref="B2381"/>
    <hyperlink r:id="rId2384" ref="B2382"/>
    <hyperlink r:id="rId2385" ref="B2383"/>
    <hyperlink r:id="rId2386" ref="B2384"/>
    <hyperlink r:id="rId2387" ref="B2385"/>
    <hyperlink r:id="rId2388" ref="B2386"/>
    <hyperlink r:id="rId2389" ref="B2387"/>
    <hyperlink r:id="rId2390" ref="B2388"/>
    <hyperlink r:id="rId2391" ref="B2389"/>
    <hyperlink r:id="rId2392" ref="B2390"/>
    <hyperlink r:id="rId2393" ref="B2391"/>
    <hyperlink r:id="rId2394" ref="B2392"/>
    <hyperlink r:id="rId2395" ref="B2393"/>
    <hyperlink r:id="rId2396" ref="B2394"/>
    <hyperlink r:id="rId2397" ref="B2395"/>
    <hyperlink r:id="rId2398" ref="B2396"/>
    <hyperlink r:id="rId2399" ref="B2397"/>
    <hyperlink r:id="rId2400" ref="B2398"/>
    <hyperlink r:id="rId2401" ref="B2399"/>
    <hyperlink r:id="rId2402" ref="B2400"/>
    <hyperlink r:id="rId2403" ref="B2401"/>
    <hyperlink r:id="rId2404" ref="B2402"/>
    <hyperlink r:id="rId2405" ref="B2403"/>
    <hyperlink r:id="rId2406" ref="B2404"/>
    <hyperlink r:id="rId2407" ref="B2405"/>
    <hyperlink r:id="rId2408" ref="B2406"/>
    <hyperlink r:id="rId2409" ref="B2407"/>
    <hyperlink r:id="rId2410" ref="B2408"/>
    <hyperlink r:id="rId2411" ref="B2409"/>
    <hyperlink r:id="rId2412" ref="B2410"/>
    <hyperlink r:id="rId2413" ref="B2411"/>
    <hyperlink r:id="rId2414" ref="B2412"/>
    <hyperlink r:id="rId2415" ref="B2413"/>
    <hyperlink r:id="rId2416" ref="B2414"/>
    <hyperlink r:id="rId2417" ref="B2415"/>
    <hyperlink r:id="rId2418" ref="B2416"/>
    <hyperlink r:id="rId2419" ref="B2417"/>
    <hyperlink r:id="rId2420" ref="B2418"/>
    <hyperlink r:id="rId2421" ref="B2419"/>
    <hyperlink r:id="rId2422" ref="B2420"/>
    <hyperlink r:id="rId2423" ref="B2421"/>
    <hyperlink r:id="rId2424" ref="B2422"/>
    <hyperlink r:id="rId2425" ref="B2423"/>
    <hyperlink r:id="rId2426" ref="B2424"/>
    <hyperlink r:id="rId2427" ref="B2425"/>
    <hyperlink r:id="rId2428" ref="B2426"/>
    <hyperlink r:id="rId2429" ref="B2427"/>
    <hyperlink r:id="rId2430" ref="B2428"/>
    <hyperlink r:id="rId2431" ref="B2429"/>
    <hyperlink r:id="rId2432" ref="B2430"/>
    <hyperlink r:id="rId2433" ref="B2431"/>
    <hyperlink r:id="rId2434" ref="B2432"/>
    <hyperlink r:id="rId2435" ref="B2433"/>
    <hyperlink r:id="rId2436" ref="B2434"/>
    <hyperlink r:id="rId2437" ref="B2435"/>
    <hyperlink r:id="rId2438" ref="B2436"/>
    <hyperlink r:id="rId2439" ref="B2437"/>
    <hyperlink r:id="rId2440" ref="B2438"/>
    <hyperlink r:id="rId2441" ref="B2439"/>
    <hyperlink r:id="rId2442" ref="B2440"/>
    <hyperlink r:id="rId2443" ref="B2441"/>
    <hyperlink r:id="rId2444" ref="B2442"/>
    <hyperlink r:id="rId2445" ref="B2443"/>
    <hyperlink r:id="rId2446" ref="B2444"/>
    <hyperlink r:id="rId2447" ref="B2445"/>
    <hyperlink r:id="rId2448" ref="B2446"/>
    <hyperlink r:id="rId2449" ref="B2447"/>
    <hyperlink r:id="rId2450" ref="B2448"/>
    <hyperlink r:id="rId2451" ref="B2449"/>
    <hyperlink r:id="rId2452" ref="B2450"/>
    <hyperlink r:id="rId2453" ref="B2451"/>
    <hyperlink r:id="rId2454" ref="B2452"/>
    <hyperlink r:id="rId2455" ref="B2453"/>
    <hyperlink r:id="rId2456" ref="B2454"/>
    <hyperlink r:id="rId2457" ref="B2455"/>
    <hyperlink r:id="rId2458" ref="B2456"/>
    <hyperlink r:id="rId2459" ref="B2457"/>
    <hyperlink r:id="rId2460" ref="B2458"/>
    <hyperlink r:id="rId2461" ref="B2459"/>
    <hyperlink r:id="rId2462" ref="B2460"/>
    <hyperlink r:id="rId2463" ref="B2461"/>
    <hyperlink r:id="rId2464" ref="B2462"/>
    <hyperlink r:id="rId2465" ref="B2463"/>
    <hyperlink r:id="rId2466" ref="B2464"/>
    <hyperlink r:id="rId2467" ref="B2465"/>
    <hyperlink r:id="rId2468" ref="B2466"/>
    <hyperlink r:id="rId2469" ref="B2467"/>
    <hyperlink r:id="rId2470" ref="B2468"/>
    <hyperlink r:id="rId2471" ref="B2469"/>
    <hyperlink r:id="rId2472" ref="B2470"/>
    <hyperlink r:id="rId2473" ref="B2471"/>
    <hyperlink r:id="rId2474" ref="B2472"/>
    <hyperlink r:id="rId2475" ref="B2473"/>
    <hyperlink r:id="rId2476" ref="B2474"/>
    <hyperlink r:id="rId2477" ref="B2475"/>
    <hyperlink r:id="rId2478" ref="B2476"/>
    <hyperlink r:id="rId2479" ref="B2477"/>
    <hyperlink r:id="rId2480" ref="B2478"/>
    <hyperlink r:id="rId2481" ref="B2479"/>
    <hyperlink r:id="rId2482" ref="B2480"/>
    <hyperlink r:id="rId2483" ref="B2481"/>
    <hyperlink r:id="rId2484" ref="B2482"/>
    <hyperlink r:id="rId2485" ref="B2483"/>
    <hyperlink r:id="rId2486" ref="B2484"/>
    <hyperlink r:id="rId2487" ref="B2485"/>
    <hyperlink r:id="rId2488" ref="B2486"/>
    <hyperlink r:id="rId2489" ref="B2487"/>
    <hyperlink r:id="rId2490" ref="B2488"/>
    <hyperlink r:id="rId2491" ref="B2489"/>
    <hyperlink r:id="rId2492" ref="B2490"/>
    <hyperlink r:id="rId2493" ref="B2491"/>
    <hyperlink r:id="rId2494" ref="B2492"/>
    <hyperlink r:id="rId2495" ref="B2493"/>
    <hyperlink r:id="rId2496" ref="B2494"/>
    <hyperlink r:id="rId2497" ref="B2495"/>
    <hyperlink r:id="rId2498" ref="B2496"/>
    <hyperlink r:id="rId2499" ref="B2497"/>
    <hyperlink r:id="rId2500" ref="B2498"/>
    <hyperlink r:id="rId2501" ref="B2499"/>
    <hyperlink r:id="rId2502" ref="B2500"/>
    <hyperlink r:id="rId2503" ref="B2501"/>
    <hyperlink r:id="rId2504" ref="B2502"/>
    <hyperlink r:id="rId2505" ref="B2503"/>
    <hyperlink r:id="rId2506" ref="B2504"/>
    <hyperlink r:id="rId2507" ref="B2505"/>
    <hyperlink r:id="rId2508" ref="B2506"/>
    <hyperlink r:id="rId2509" ref="B2507"/>
    <hyperlink r:id="rId2510" ref="B2508"/>
    <hyperlink r:id="rId2511" ref="B2509"/>
    <hyperlink r:id="rId2512" ref="B2510"/>
    <hyperlink r:id="rId2513" ref="B2511"/>
    <hyperlink r:id="rId2514" ref="B2512"/>
    <hyperlink r:id="rId2515" ref="B2513"/>
    <hyperlink r:id="rId2516" ref="B2514"/>
    <hyperlink r:id="rId2517" ref="B2515"/>
    <hyperlink r:id="rId2518" ref="B2516"/>
    <hyperlink r:id="rId2519" ref="B2517"/>
    <hyperlink r:id="rId2520" ref="B2518"/>
    <hyperlink r:id="rId2521" ref="B2519"/>
    <hyperlink r:id="rId2522" ref="B2520"/>
    <hyperlink r:id="rId2523" ref="B2521"/>
    <hyperlink r:id="rId2524" ref="B2522"/>
    <hyperlink r:id="rId2525" ref="B2523"/>
    <hyperlink r:id="rId2526" ref="B2524"/>
    <hyperlink r:id="rId2527" ref="B2525"/>
    <hyperlink r:id="rId2528" ref="B2526"/>
    <hyperlink r:id="rId2529" ref="B2527"/>
    <hyperlink r:id="rId2530" ref="B2528"/>
    <hyperlink r:id="rId2531" ref="B2529"/>
    <hyperlink r:id="rId2532" ref="B2530"/>
    <hyperlink r:id="rId2533" ref="B2531"/>
    <hyperlink r:id="rId2534" ref="B2532"/>
    <hyperlink r:id="rId2535" ref="B2533"/>
    <hyperlink r:id="rId2536" ref="B2534"/>
    <hyperlink r:id="rId2537" ref="B2535"/>
    <hyperlink r:id="rId2538" ref="B2536"/>
    <hyperlink r:id="rId2539" ref="B2537"/>
    <hyperlink r:id="rId2540" ref="B2538"/>
    <hyperlink r:id="rId2541" ref="B2539"/>
    <hyperlink r:id="rId2542" ref="B2540"/>
    <hyperlink r:id="rId2543" ref="B2541"/>
    <hyperlink r:id="rId2544" ref="B2542"/>
    <hyperlink r:id="rId2545" ref="B2543"/>
    <hyperlink r:id="rId2546" ref="B2544"/>
    <hyperlink r:id="rId2547" ref="B2545"/>
    <hyperlink r:id="rId2548" ref="B2546"/>
    <hyperlink r:id="rId2549" ref="B2547"/>
    <hyperlink r:id="rId2550" ref="B2548"/>
    <hyperlink r:id="rId2551" ref="B2549"/>
    <hyperlink r:id="rId2552" ref="A2550"/>
    <hyperlink r:id="rId2553" ref="B2550"/>
    <hyperlink r:id="rId2554" ref="A2551"/>
    <hyperlink r:id="rId2555" ref="B2551"/>
    <hyperlink r:id="rId2556" ref="A2552"/>
    <hyperlink r:id="rId2557" ref="B2552"/>
    <hyperlink r:id="rId2558" ref="B2553"/>
    <hyperlink r:id="rId2559" ref="B2554"/>
    <hyperlink r:id="rId2560" ref="A2555"/>
    <hyperlink r:id="rId2561" ref="B2555"/>
    <hyperlink r:id="rId2562" ref="B2556"/>
    <hyperlink r:id="rId2563" ref="B2557"/>
    <hyperlink r:id="rId2564" ref="B2558"/>
    <hyperlink r:id="rId2565" ref="A2559"/>
    <hyperlink r:id="rId2566" ref="B2559"/>
    <hyperlink r:id="rId2567" ref="A2560"/>
    <hyperlink r:id="rId2568" ref="B2560"/>
    <hyperlink r:id="rId2569" ref="B2561"/>
    <hyperlink r:id="rId2570" ref="B2562"/>
    <hyperlink r:id="rId2571" ref="B2563"/>
    <hyperlink r:id="rId2572" ref="B2564"/>
    <hyperlink r:id="rId2573" ref="B2565"/>
    <hyperlink r:id="rId2574" ref="B2566"/>
    <hyperlink r:id="rId2575" ref="B2567"/>
    <hyperlink r:id="rId2576" ref="B2568"/>
    <hyperlink r:id="rId2577" ref="B2569"/>
    <hyperlink r:id="rId2578" ref="B2570"/>
    <hyperlink r:id="rId2579" ref="B2571"/>
    <hyperlink r:id="rId2580" ref="B2572"/>
    <hyperlink r:id="rId2581" ref="B2573"/>
    <hyperlink r:id="rId2582" ref="B2574"/>
    <hyperlink r:id="rId2583" ref="B2575"/>
    <hyperlink r:id="rId2584" ref="B2576"/>
    <hyperlink r:id="rId2585" ref="B2577"/>
    <hyperlink r:id="rId2586" ref="B2578"/>
    <hyperlink r:id="rId2587" ref="B2579"/>
    <hyperlink r:id="rId2588" ref="B2580"/>
    <hyperlink r:id="rId2589" ref="B2581"/>
    <hyperlink r:id="rId2590" ref="B2582"/>
    <hyperlink r:id="rId2591" ref="B2583"/>
    <hyperlink r:id="rId2592" ref="B2584"/>
    <hyperlink r:id="rId2593" ref="B2585"/>
    <hyperlink r:id="rId2594" ref="B2586"/>
    <hyperlink r:id="rId2595" ref="B2587"/>
    <hyperlink r:id="rId2596" ref="B2588"/>
    <hyperlink r:id="rId2597" ref="B2589"/>
    <hyperlink r:id="rId2598" ref="B2590"/>
    <hyperlink r:id="rId2599" ref="B2591"/>
    <hyperlink r:id="rId2600" ref="B2592"/>
    <hyperlink r:id="rId2601" ref="B2593"/>
    <hyperlink r:id="rId2602" ref="B2594"/>
    <hyperlink r:id="rId2603" ref="B2595"/>
    <hyperlink r:id="rId2604" ref="B2596"/>
    <hyperlink r:id="rId2605" ref="B2597"/>
    <hyperlink r:id="rId2606" ref="B2598"/>
    <hyperlink r:id="rId2607" ref="B2599"/>
    <hyperlink r:id="rId2608" ref="B2600"/>
    <hyperlink r:id="rId2609" ref="B2601"/>
    <hyperlink r:id="rId2610" ref="B2602"/>
    <hyperlink r:id="rId2611" ref="B2603"/>
    <hyperlink r:id="rId2612" ref="B2604"/>
    <hyperlink r:id="rId2613" ref="B2605"/>
    <hyperlink r:id="rId2614" ref="B2606"/>
    <hyperlink r:id="rId2615" ref="B2607"/>
    <hyperlink r:id="rId2616" ref="B2608"/>
    <hyperlink r:id="rId2617" ref="B2609"/>
    <hyperlink r:id="rId2618" ref="B2610"/>
    <hyperlink r:id="rId2619" ref="B2611"/>
    <hyperlink r:id="rId2620" ref="B2612"/>
    <hyperlink r:id="rId2621" ref="B2613"/>
    <hyperlink r:id="rId2622" ref="B2614"/>
    <hyperlink r:id="rId2623" ref="B2615"/>
    <hyperlink r:id="rId2624" ref="B2616"/>
    <hyperlink r:id="rId2625" ref="B2617"/>
    <hyperlink r:id="rId2626" ref="B2618"/>
    <hyperlink r:id="rId2627" ref="B2619"/>
    <hyperlink r:id="rId2628" ref="B2620"/>
    <hyperlink r:id="rId2629" ref="B2621"/>
    <hyperlink r:id="rId2630" ref="B2622"/>
    <hyperlink r:id="rId2631" ref="B2623"/>
    <hyperlink r:id="rId2632" ref="B2624"/>
    <hyperlink r:id="rId2633" ref="B2625"/>
    <hyperlink r:id="rId2634" ref="B2626"/>
    <hyperlink r:id="rId2635" ref="B2627"/>
    <hyperlink r:id="rId2636" ref="B2628"/>
    <hyperlink r:id="rId2637" ref="B2629"/>
    <hyperlink r:id="rId2638" ref="B2630"/>
    <hyperlink r:id="rId2639" ref="B2631"/>
    <hyperlink r:id="rId2640" ref="B2632"/>
    <hyperlink r:id="rId2641" ref="B2633"/>
    <hyperlink r:id="rId2642" ref="B2634"/>
    <hyperlink r:id="rId2643" ref="B2635"/>
    <hyperlink r:id="rId2644" ref="B2636"/>
    <hyperlink r:id="rId2645" ref="B2637"/>
    <hyperlink r:id="rId2646" ref="B2638"/>
    <hyperlink r:id="rId2647" ref="B2639"/>
    <hyperlink r:id="rId2648" ref="B2640"/>
    <hyperlink r:id="rId2649" ref="B2641"/>
    <hyperlink r:id="rId2650" ref="B2642"/>
    <hyperlink r:id="rId2651" ref="B2643"/>
    <hyperlink r:id="rId2652" ref="B2644"/>
    <hyperlink r:id="rId2653" ref="B2645"/>
    <hyperlink r:id="rId2654" ref="B2646"/>
    <hyperlink r:id="rId2655" ref="B2647"/>
    <hyperlink r:id="rId2656" ref="B2648"/>
    <hyperlink r:id="rId2657" ref="B2649"/>
    <hyperlink r:id="rId2658" ref="B2650"/>
    <hyperlink r:id="rId2659" ref="B2651"/>
    <hyperlink r:id="rId2660" ref="B2652"/>
    <hyperlink r:id="rId2661" ref="B2653"/>
    <hyperlink r:id="rId2662" ref="B2654"/>
    <hyperlink r:id="rId2663" ref="B2655"/>
    <hyperlink r:id="rId2664" ref="B2656"/>
    <hyperlink r:id="rId2665" ref="B2657"/>
    <hyperlink r:id="rId2666" ref="B2658"/>
    <hyperlink r:id="rId2667" ref="B2659"/>
    <hyperlink r:id="rId2668" ref="B2660"/>
    <hyperlink r:id="rId2669" ref="B2661"/>
    <hyperlink r:id="rId2670" ref="B2662"/>
    <hyperlink r:id="rId2671" ref="B2663"/>
    <hyperlink r:id="rId2672" ref="B2664"/>
    <hyperlink r:id="rId2673" ref="B2665"/>
    <hyperlink r:id="rId2674" ref="B2666"/>
    <hyperlink r:id="rId2675" ref="B2667"/>
    <hyperlink r:id="rId2676" ref="B2668"/>
    <hyperlink r:id="rId2677" ref="B2669"/>
    <hyperlink r:id="rId2678" ref="B2670"/>
    <hyperlink r:id="rId2679" ref="B2671"/>
    <hyperlink r:id="rId2680" ref="B2672"/>
    <hyperlink r:id="rId2681" ref="B2673"/>
    <hyperlink r:id="rId2682" ref="B2674"/>
    <hyperlink r:id="rId2683" ref="B2675"/>
    <hyperlink r:id="rId2684" ref="B2676"/>
    <hyperlink r:id="rId2685" ref="B2677"/>
    <hyperlink r:id="rId2686" ref="B2678"/>
    <hyperlink r:id="rId2687" ref="B2679"/>
    <hyperlink r:id="rId2688" ref="B2680"/>
    <hyperlink r:id="rId2689" ref="B2681"/>
    <hyperlink r:id="rId2690" ref="B2682"/>
    <hyperlink r:id="rId2691" ref="B2683"/>
    <hyperlink r:id="rId2692" ref="B2684"/>
    <hyperlink r:id="rId2693" ref="B2685"/>
    <hyperlink r:id="rId2694" ref="B2686"/>
    <hyperlink r:id="rId2695" ref="B2687"/>
    <hyperlink r:id="rId2696" ref="B2688"/>
    <hyperlink r:id="rId2697" ref="B2689"/>
    <hyperlink r:id="rId2698" ref="B2690"/>
    <hyperlink r:id="rId2699" ref="B2691"/>
    <hyperlink r:id="rId2700" ref="B2692"/>
    <hyperlink r:id="rId2701" ref="B2693"/>
    <hyperlink r:id="rId2702" ref="B2694"/>
    <hyperlink r:id="rId2703" ref="B2695"/>
    <hyperlink r:id="rId2704" ref="B2696"/>
    <hyperlink r:id="rId2705" ref="B2697"/>
    <hyperlink r:id="rId2706" ref="B2698"/>
    <hyperlink r:id="rId2707" ref="B2699"/>
    <hyperlink r:id="rId2708" ref="B2700"/>
    <hyperlink r:id="rId2709" ref="B2701"/>
    <hyperlink r:id="rId2710" ref="B2702"/>
    <hyperlink r:id="rId2711" ref="B2703"/>
    <hyperlink r:id="rId2712" ref="B2704"/>
    <hyperlink r:id="rId2713" ref="B2705"/>
    <hyperlink r:id="rId2714" ref="B2706"/>
    <hyperlink r:id="rId2715" ref="B2707"/>
    <hyperlink r:id="rId2716" ref="B2708"/>
    <hyperlink r:id="rId2717" ref="B2709"/>
    <hyperlink r:id="rId2718" ref="B2710"/>
    <hyperlink r:id="rId2719" ref="B2711"/>
    <hyperlink r:id="rId2720" ref="B2712"/>
    <hyperlink r:id="rId2721" ref="B2713"/>
    <hyperlink r:id="rId2722" ref="B2714"/>
    <hyperlink r:id="rId2723" ref="B2715"/>
    <hyperlink r:id="rId2724" ref="B2716"/>
    <hyperlink r:id="rId2725" ref="B2717"/>
    <hyperlink r:id="rId2726" ref="B2718"/>
    <hyperlink r:id="rId2727" ref="B2719"/>
    <hyperlink r:id="rId2728" ref="B2720"/>
    <hyperlink r:id="rId2729" ref="B2721"/>
    <hyperlink r:id="rId2730" ref="B2722"/>
    <hyperlink r:id="rId2731" ref="B2723"/>
    <hyperlink r:id="rId2732" ref="B2724"/>
    <hyperlink r:id="rId2733" ref="B2725"/>
    <hyperlink r:id="rId2734" ref="B2726"/>
    <hyperlink r:id="rId2735" ref="B2727"/>
    <hyperlink r:id="rId2736" ref="B2728"/>
    <hyperlink r:id="rId2737" ref="B2729"/>
    <hyperlink r:id="rId2738" ref="B2730"/>
    <hyperlink r:id="rId2739" ref="B2731"/>
    <hyperlink r:id="rId2740" ref="B2732"/>
    <hyperlink r:id="rId2741" ref="B2733"/>
    <hyperlink r:id="rId2742" ref="B2734"/>
    <hyperlink r:id="rId2743" ref="B2735"/>
    <hyperlink r:id="rId2744" ref="B2736"/>
    <hyperlink r:id="rId2745" ref="B2737"/>
    <hyperlink r:id="rId2746" ref="B2738"/>
    <hyperlink r:id="rId2747" ref="B2739"/>
    <hyperlink r:id="rId2748" ref="B2740"/>
    <hyperlink r:id="rId2749" ref="B2741"/>
    <hyperlink r:id="rId2750" ref="B2742"/>
    <hyperlink r:id="rId2751" ref="B2743"/>
    <hyperlink r:id="rId2752" ref="B2744"/>
    <hyperlink r:id="rId2753" ref="B2745"/>
    <hyperlink r:id="rId2754" ref="B2746"/>
    <hyperlink r:id="rId2755" ref="B2747"/>
    <hyperlink r:id="rId2756" ref="B2748"/>
    <hyperlink r:id="rId2757" ref="B2749"/>
    <hyperlink r:id="rId2758" ref="B2750"/>
    <hyperlink r:id="rId2759" ref="B2751"/>
    <hyperlink r:id="rId2760" ref="B2752"/>
    <hyperlink r:id="rId2761" ref="B2753"/>
    <hyperlink r:id="rId2762" ref="B2754"/>
    <hyperlink r:id="rId2763" ref="B2755"/>
    <hyperlink r:id="rId2764" ref="B2756"/>
    <hyperlink r:id="rId2765" ref="B2757"/>
    <hyperlink r:id="rId2766" ref="B2758"/>
    <hyperlink r:id="rId2767" ref="B2759"/>
    <hyperlink r:id="rId2768" ref="B2760"/>
    <hyperlink r:id="rId2769" ref="B2761"/>
    <hyperlink r:id="rId2770" ref="B2762"/>
    <hyperlink r:id="rId2771" ref="B2763"/>
    <hyperlink r:id="rId2772" ref="B2764"/>
    <hyperlink r:id="rId2773" ref="B2765"/>
    <hyperlink r:id="rId2774" ref="B2766"/>
    <hyperlink r:id="rId2775" ref="B2767"/>
    <hyperlink r:id="rId2776" ref="B2768"/>
    <hyperlink r:id="rId2777" ref="B2769"/>
    <hyperlink r:id="rId2778" ref="B2770"/>
    <hyperlink r:id="rId2779" ref="B2771"/>
    <hyperlink r:id="rId2780" ref="B2772"/>
    <hyperlink r:id="rId2781" ref="B2773"/>
    <hyperlink r:id="rId2782" ref="B2774"/>
    <hyperlink r:id="rId2783" ref="B2775"/>
    <hyperlink r:id="rId2784" ref="B2776"/>
    <hyperlink r:id="rId2785" ref="B2777"/>
    <hyperlink r:id="rId2786" ref="B2778"/>
    <hyperlink r:id="rId2787" ref="B2779"/>
    <hyperlink r:id="rId2788" ref="B2780"/>
    <hyperlink r:id="rId2789" ref="B2781"/>
    <hyperlink r:id="rId2790" ref="B2782"/>
    <hyperlink r:id="rId2791" ref="B2783"/>
    <hyperlink r:id="rId2792" ref="B2784"/>
    <hyperlink r:id="rId2793" ref="B2785"/>
    <hyperlink r:id="rId2794" ref="B2786"/>
    <hyperlink r:id="rId2795" ref="B2787"/>
    <hyperlink r:id="rId2796" ref="B2788"/>
    <hyperlink r:id="rId2797" ref="B2789"/>
    <hyperlink r:id="rId2798" ref="B2790"/>
    <hyperlink r:id="rId2799" ref="B2791"/>
    <hyperlink r:id="rId2800" ref="B2792"/>
    <hyperlink r:id="rId2801" ref="B2793"/>
    <hyperlink r:id="rId2802" ref="B2794"/>
    <hyperlink r:id="rId2803" ref="B2795"/>
    <hyperlink r:id="rId2804" ref="B2796"/>
    <hyperlink r:id="rId2805" ref="B2797"/>
    <hyperlink r:id="rId2806" ref="B2798"/>
    <hyperlink r:id="rId2807" ref="B2799"/>
    <hyperlink r:id="rId2808" ref="B2800"/>
    <hyperlink r:id="rId2809" ref="B2801"/>
    <hyperlink r:id="rId2810" ref="B2802"/>
    <hyperlink r:id="rId2811" ref="B2803"/>
    <hyperlink r:id="rId2812" ref="B2804"/>
    <hyperlink r:id="rId2813" ref="B2805"/>
    <hyperlink r:id="rId2814" ref="B2806"/>
    <hyperlink r:id="rId2815" ref="B2807"/>
    <hyperlink r:id="rId2816" ref="B2808"/>
    <hyperlink r:id="rId2817" ref="B2809"/>
    <hyperlink r:id="rId2818" ref="B2810"/>
    <hyperlink r:id="rId2819" ref="B2811"/>
    <hyperlink r:id="rId2820" ref="B2812"/>
    <hyperlink r:id="rId2821" ref="B2813"/>
    <hyperlink r:id="rId2822" ref="B2814"/>
    <hyperlink r:id="rId2823" ref="B2815"/>
    <hyperlink r:id="rId2824" ref="B2816"/>
    <hyperlink r:id="rId2825" ref="B2817"/>
    <hyperlink r:id="rId2826" ref="B2818"/>
    <hyperlink r:id="rId2827" ref="B2819"/>
    <hyperlink r:id="rId2828" ref="B2820"/>
    <hyperlink r:id="rId2829" ref="B2821"/>
    <hyperlink r:id="rId2830" ref="B2822"/>
    <hyperlink r:id="rId2831" ref="B2823"/>
    <hyperlink r:id="rId2832" ref="B2824"/>
    <hyperlink r:id="rId2833" ref="B2825"/>
    <hyperlink r:id="rId2834" ref="B2826"/>
    <hyperlink r:id="rId2835" ref="B2827"/>
    <hyperlink r:id="rId2836" ref="B2828"/>
    <hyperlink r:id="rId2837" ref="B2829"/>
    <hyperlink r:id="rId2838" ref="B2830"/>
    <hyperlink r:id="rId2839" ref="B2831"/>
    <hyperlink r:id="rId2840" ref="B2832"/>
    <hyperlink r:id="rId2841" ref="B2833"/>
    <hyperlink r:id="rId2842" ref="B2834"/>
    <hyperlink r:id="rId2843" ref="B2835"/>
    <hyperlink r:id="rId2844" ref="B2836"/>
    <hyperlink r:id="rId2845" ref="B2837"/>
    <hyperlink r:id="rId2846" ref="B2838"/>
    <hyperlink r:id="rId2847" ref="B2839"/>
    <hyperlink r:id="rId2848" ref="B2840"/>
    <hyperlink r:id="rId2849" ref="B2841"/>
    <hyperlink r:id="rId2850" ref="B2842"/>
    <hyperlink r:id="rId2851" ref="B2843"/>
    <hyperlink r:id="rId2852" ref="B2844"/>
    <hyperlink r:id="rId2853" ref="B2845"/>
    <hyperlink r:id="rId2854" ref="B2846"/>
    <hyperlink r:id="rId2855" ref="B2847"/>
    <hyperlink r:id="rId2856" ref="B2848"/>
    <hyperlink r:id="rId2857" ref="B2849"/>
    <hyperlink r:id="rId2858" ref="B2850"/>
    <hyperlink r:id="rId2859" ref="B2851"/>
    <hyperlink r:id="rId2860" ref="B2852"/>
    <hyperlink r:id="rId2861" ref="B2853"/>
    <hyperlink r:id="rId2862" ref="B2854"/>
    <hyperlink r:id="rId2863" ref="B2855"/>
    <hyperlink r:id="rId2864" ref="B2856"/>
    <hyperlink r:id="rId2865" ref="B2857"/>
    <hyperlink r:id="rId2866" ref="B2858"/>
    <hyperlink r:id="rId2867" ref="B2859"/>
    <hyperlink r:id="rId2868" ref="B2860"/>
    <hyperlink r:id="rId2869" ref="B2861"/>
    <hyperlink r:id="rId2870" ref="B2862"/>
    <hyperlink r:id="rId2871" ref="B2863"/>
    <hyperlink r:id="rId2872" ref="B2864"/>
    <hyperlink r:id="rId2873" ref="B2865"/>
    <hyperlink r:id="rId2874" ref="B2866"/>
    <hyperlink r:id="rId2875" ref="B2867"/>
    <hyperlink r:id="rId2876" ref="B2868"/>
    <hyperlink r:id="rId2877" ref="B2869"/>
    <hyperlink r:id="rId2878" ref="B2870"/>
    <hyperlink r:id="rId2879" ref="B2871"/>
    <hyperlink r:id="rId2880" ref="B2872"/>
    <hyperlink r:id="rId2881" ref="B2873"/>
    <hyperlink r:id="rId2882" ref="B2874"/>
    <hyperlink r:id="rId2883" ref="B2875"/>
    <hyperlink r:id="rId2884" ref="B2876"/>
    <hyperlink r:id="rId2885" ref="B2877"/>
    <hyperlink r:id="rId2886" ref="B2878"/>
    <hyperlink r:id="rId2887" ref="B2879"/>
    <hyperlink r:id="rId2888" ref="B2880"/>
    <hyperlink r:id="rId2889" ref="B2881"/>
    <hyperlink r:id="rId2890" ref="B2882"/>
    <hyperlink r:id="rId2891" ref="B2883"/>
    <hyperlink r:id="rId2892" ref="B2884"/>
    <hyperlink r:id="rId2893" ref="B2885"/>
    <hyperlink r:id="rId2894" ref="B2886"/>
    <hyperlink r:id="rId2895" ref="B2887"/>
    <hyperlink r:id="rId2896" ref="B2888"/>
    <hyperlink r:id="rId2897" ref="B2889"/>
    <hyperlink r:id="rId2898" ref="B2890"/>
    <hyperlink r:id="rId2899" ref="B2891"/>
    <hyperlink r:id="rId2900" ref="B2892"/>
    <hyperlink r:id="rId2901" ref="B2893"/>
    <hyperlink r:id="rId2902" ref="B2894"/>
    <hyperlink r:id="rId2903" ref="B2895"/>
    <hyperlink r:id="rId2904" ref="B2896"/>
    <hyperlink r:id="rId2905" ref="B2897"/>
    <hyperlink r:id="rId2906" ref="B2898"/>
    <hyperlink r:id="rId2907" ref="B2899"/>
    <hyperlink r:id="rId2908" ref="B2900"/>
    <hyperlink r:id="rId2909" ref="B2901"/>
    <hyperlink r:id="rId2910" ref="B2902"/>
    <hyperlink r:id="rId2911" ref="B2903"/>
    <hyperlink r:id="rId2912" ref="B2904"/>
    <hyperlink r:id="rId2913" ref="B2905"/>
    <hyperlink r:id="rId2914" ref="B2906"/>
    <hyperlink r:id="rId2915" ref="B2907"/>
    <hyperlink r:id="rId2916" ref="B2908"/>
    <hyperlink r:id="rId2917" ref="B2909"/>
    <hyperlink r:id="rId2918" ref="B2910"/>
    <hyperlink r:id="rId2919" ref="B2911"/>
    <hyperlink r:id="rId2920" ref="B2912"/>
    <hyperlink r:id="rId2921" ref="B2913"/>
    <hyperlink r:id="rId2922" ref="B2914"/>
    <hyperlink r:id="rId2923" ref="B2915"/>
    <hyperlink r:id="rId2924" ref="B2916"/>
    <hyperlink r:id="rId2925" ref="B2917"/>
    <hyperlink r:id="rId2926" ref="B2918"/>
    <hyperlink r:id="rId2927" ref="B2919"/>
    <hyperlink r:id="rId2928" ref="B2920"/>
    <hyperlink r:id="rId2929" ref="B2921"/>
    <hyperlink r:id="rId2930" ref="B2922"/>
    <hyperlink r:id="rId2931" ref="B2923"/>
    <hyperlink r:id="rId2932" ref="B2924"/>
    <hyperlink r:id="rId2933" ref="B2925"/>
    <hyperlink r:id="rId2934" ref="B2926"/>
    <hyperlink r:id="rId2935" ref="B2927"/>
    <hyperlink r:id="rId2936" ref="B2928"/>
    <hyperlink r:id="rId2937" ref="B2929"/>
    <hyperlink r:id="rId2938" ref="B2930"/>
    <hyperlink r:id="rId2939" ref="B2931"/>
    <hyperlink r:id="rId2940" ref="B2932"/>
    <hyperlink r:id="rId2941" ref="B2933"/>
    <hyperlink r:id="rId2942" ref="B2934"/>
    <hyperlink r:id="rId2943" ref="B2935"/>
    <hyperlink r:id="rId2944" ref="B2936"/>
    <hyperlink r:id="rId2945" ref="B2937"/>
    <hyperlink r:id="rId2946" ref="B2938"/>
    <hyperlink r:id="rId2947" ref="B2939"/>
    <hyperlink r:id="rId2948" ref="B2940"/>
    <hyperlink r:id="rId2949" ref="B2941"/>
    <hyperlink r:id="rId2950" ref="B2942"/>
    <hyperlink r:id="rId2951" ref="B2943"/>
    <hyperlink r:id="rId2952" ref="B2944"/>
    <hyperlink r:id="rId2953" ref="B2945"/>
    <hyperlink r:id="rId2954" ref="B2946"/>
    <hyperlink r:id="rId2955" ref="B2947"/>
    <hyperlink r:id="rId2956" ref="B2948"/>
    <hyperlink r:id="rId2957" ref="B2949"/>
    <hyperlink r:id="rId2958" ref="B2950"/>
    <hyperlink r:id="rId2959" ref="B2951"/>
    <hyperlink r:id="rId2960" ref="B2952"/>
    <hyperlink r:id="rId2961" ref="B2953"/>
    <hyperlink r:id="rId2962" ref="B2954"/>
    <hyperlink r:id="rId2963" ref="B2955"/>
    <hyperlink r:id="rId2964" ref="B2956"/>
    <hyperlink r:id="rId2965" ref="B2957"/>
    <hyperlink r:id="rId2966" ref="B2958"/>
    <hyperlink r:id="rId2967" ref="B2959"/>
    <hyperlink r:id="rId2968" ref="B2960"/>
    <hyperlink r:id="rId2969" ref="B2961"/>
    <hyperlink r:id="rId2970" ref="B2962"/>
    <hyperlink r:id="rId2971" ref="B2963"/>
    <hyperlink r:id="rId2972" ref="B2964"/>
    <hyperlink r:id="rId2973" ref="B2965"/>
    <hyperlink r:id="rId2974" ref="B2966"/>
    <hyperlink r:id="rId2975" ref="B2967"/>
    <hyperlink r:id="rId2976" ref="B2968"/>
    <hyperlink r:id="rId2977" ref="B2969"/>
    <hyperlink r:id="rId2978" ref="B2970"/>
    <hyperlink r:id="rId2979" ref="B2971"/>
    <hyperlink r:id="rId2980" ref="B2972"/>
    <hyperlink r:id="rId2981" ref="B2973"/>
    <hyperlink r:id="rId2982" ref="B2974"/>
    <hyperlink r:id="rId2983" ref="B2975"/>
    <hyperlink r:id="rId2984" ref="B2976"/>
    <hyperlink r:id="rId2985" ref="B2977"/>
    <hyperlink r:id="rId2986" ref="B2978"/>
    <hyperlink r:id="rId2987" ref="B2979"/>
    <hyperlink r:id="rId2988" ref="B2980"/>
    <hyperlink r:id="rId2989" ref="B2981"/>
    <hyperlink r:id="rId2990" ref="B2982"/>
    <hyperlink r:id="rId2991" ref="B2983"/>
    <hyperlink r:id="rId2992" ref="B2984"/>
    <hyperlink r:id="rId2993" ref="B2985"/>
    <hyperlink r:id="rId2994" ref="B2986"/>
    <hyperlink r:id="rId2995" ref="B2987"/>
    <hyperlink r:id="rId2996" ref="B2988"/>
    <hyperlink r:id="rId2997" ref="B2989"/>
    <hyperlink r:id="rId2998" ref="B2990"/>
    <hyperlink r:id="rId2999" ref="B2991"/>
    <hyperlink r:id="rId3000" ref="B2992"/>
    <hyperlink r:id="rId3001" ref="B2993"/>
    <hyperlink r:id="rId3002" ref="B2994"/>
    <hyperlink r:id="rId3003" ref="B2995"/>
    <hyperlink r:id="rId3004" ref="B2996"/>
    <hyperlink r:id="rId3005" ref="B2997"/>
    <hyperlink r:id="rId3006" ref="B2998"/>
    <hyperlink r:id="rId3007" ref="B2999"/>
    <hyperlink r:id="rId3008" ref="B3000"/>
    <hyperlink r:id="rId3009" ref="B3001"/>
    <hyperlink r:id="rId3010" ref="B3002"/>
    <hyperlink r:id="rId3011" ref="B3003"/>
    <hyperlink r:id="rId3012" ref="B3004"/>
    <hyperlink r:id="rId3013" ref="B3005"/>
    <hyperlink r:id="rId3014" ref="B3006"/>
    <hyperlink r:id="rId3015" ref="B3007"/>
    <hyperlink r:id="rId3016" ref="B3008"/>
    <hyperlink r:id="rId3017" ref="B3009"/>
    <hyperlink r:id="rId3018" ref="B3010"/>
    <hyperlink r:id="rId3019" ref="B3011"/>
    <hyperlink r:id="rId3020" ref="B3012"/>
    <hyperlink r:id="rId3021" ref="B3013"/>
    <hyperlink r:id="rId3022" ref="B3014"/>
    <hyperlink r:id="rId3023" ref="B3015"/>
    <hyperlink r:id="rId3024" ref="B3016"/>
    <hyperlink r:id="rId3025" ref="B3017"/>
    <hyperlink r:id="rId3026" ref="B3018"/>
    <hyperlink r:id="rId3027" ref="B3019"/>
    <hyperlink r:id="rId3028" ref="B3020"/>
    <hyperlink r:id="rId3029" ref="B3021"/>
    <hyperlink r:id="rId3030" ref="B3022"/>
    <hyperlink r:id="rId3031" ref="B3023"/>
    <hyperlink r:id="rId3032" ref="B3024"/>
    <hyperlink r:id="rId3033" ref="B3025"/>
    <hyperlink r:id="rId3034" ref="B3026"/>
    <hyperlink r:id="rId3035" ref="B3027"/>
    <hyperlink r:id="rId3036" ref="B3028"/>
    <hyperlink r:id="rId3037" ref="B3029"/>
    <hyperlink r:id="rId3038" ref="B3030"/>
    <hyperlink r:id="rId3039" ref="B3031"/>
    <hyperlink r:id="rId3040" ref="B3032"/>
    <hyperlink r:id="rId3041" ref="B3033"/>
    <hyperlink r:id="rId3042" ref="B3034"/>
    <hyperlink r:id="rId3043" ref="B3035"/>
    <hyperlink r:id="rId3044" ref="B3036"/>
    <hyperlink r:id="rId3045" ref="B3037"/>
    <hyperlink r:id="rId3046" ref="B3038"/>
    <hyperlink r:id="rId3047" ref="B3039"/>
    <hyperlink r:id="rId3048" ref="B3040"/>
    <hyperlink r:id="rId3049" ref="B3041"/>
    <hyperlink r:id="rId3050" ref="B3042"/>
    <hyperlink r:id="rId3051" ref="B3043"/>
    <hyperlink r:id="rId3052" ref="B3044"/>
    <hyperlink r:id="rId3053" ref="B3045"/>
    <hyperlink r:id="rId3054" ref="B3046"/>
    <hyperlink r:id="rId3055" ref="B3047"/>
    <hyperlink r:id="rId3056" ref="B3048"/>
    <hyperlink r:id="rId3057" ref="B3049"/>
    <hyperlink r:id="rId3058" ref="B3050"/>
    <hyperlink r:id="rId3059" ref="B3051"/>
    <hyperlink r:id="rId3060" ref="B3052"/>
    <hyperlink r:id="rId3061" ref="B3053"/>
    <hyperlink r:id="rId3062" ref="B3054"/>
    <hyperlink r:id="rId3063" ref="B3055"/>
    <hyperlink r:id="rId3064" ref="B3056"/>
    <hyperlink r:id="rId3065" ref="B3057"/>
    <hyperlink r:id="rId3066" ref="B3058"/>
    <hyperlink r:id="rId3067" ref="B3059"/>
    <hyperlink r:id="rId3068" ref="B3060"/>
    <hyperlink r:id="rId3069" ref="B3061"/>
    <hyperlink r:id="rId3070" ref="B3062"/>
    <hyperlink r:id="rId3071" ref="B3063"/>
    <hyperlink r:id="rId3072" ref="B3064"/>
    <hyperlink r:id="rId3073" ref="B3065"/>
    <hyperlink r:id="rId3074" ref="B3066"/>
    <hyperlink r:id="rId3075" ref="B3067"/>
    <hyperlink r:id="rId3076" ref="B3068"/>
    <hyperlink r:id="rId3077" ref="B3069"/>
    <hyperlink r:id="rId3078" ref="B3070"/>
    <hyperlink r:id="rId3079" ref="B3071"/>
    <hyperlink r:id="rId3080" ref="B3072"/>
    <hyperlink r:id="rId3081" ref="B3073"/>
    <hyperlink r:id="rId3082" ref="B3074"/>
    <hyperlink r:id="rId3083" ref="B3075"/>
    <hyperlink r:id="rId3084" ref="B3076"/>
    <hyperlink r:id="rId3085" ref="B3077"/>
    <hyperlink r:id="rId3086" ref="B3078"/>
    <hyperlink r:id="rId3087" ref="B3079"/>
    <hyperlink r:id="rId3088" ref="B3080"/>
    <hyperlink r:id="rId3089" ref="B3081"/>
    <hyperlink r:id="rId3090" ref="B3082"/>
    <hyperlink r:id="rId3091" ref="B3083"/>
    <hyperlink r:id="rId3092" ref="B3084"/>
    <hyperlink r:id="rId3093" ref="B3085"/>
    <hyperlink r:id="rId3094" ref="B3086"/>
    <hyperlink r:id="rId3095" ref="B3087"/>
    <hyperlink r:id="rId3096" ref="B3088"/>
    <hyperlink r:id="rId3097" ref="B3089"/>
    <hyperlink r:id="rId3098" ref="B3090"/>
    <hyperlink r:id="rId3099" ref="B3091"/>
    <hyperlink r:id="rId3100" ref="B3092"/>
    <hyperlink r:id="rId3101" ref="B3093"/>
    <hyperlink r:id="rId3102" ref="B3094"/>
    <hyperlink r:id="rId3103" ref="B3095"/>
    <hyperlink r:id="rId3104" ref="B3096"/>
    <hyperlink r:id="rId3105" ref="B3097"/>
    <hyperlink r:id="rId3106" ref="B3098"/>
    <hyperlink r:id="rId3107" ref="B3099"/>
    <hyperlink r:id="rId3108" ref="B3100"/>
    <hyperlink r:id="rId3109" ref="B3101"/>
    <hyperlink r:id="rId3110" ref="B3102"/>
    <hyperlink r:id="rId3111" ref="B3103"/>
    <hyperlink r:id="rId3112" ref="B3104"/>
    <hyperlink r:id="rId3113" ref="B3105"/>
    <hyperlink r:id="rId3114" ref="B3106"/>
    <hyperlink r:id="rId3115" ref="B3107"/>
    <hyperlink r:id="rId3116" ref="B3108"/>
    <hyperlink r:id="rId3117" ref="B3109"/>
    <hyperlink r:id="rId3118" ref="B3110"/>
    <hyperlink r:id="rId3119" ref="B3111"/>
    <hyperlink r:id="rId3120" ref="B3112"/>
    <hyperlink r:id="rId3121" ref="B3113"/>
    <hyperlink r:id="rId3122" ref="B3114"/>
    <hyperlink r:id="rId3123" ref="B3115"/>
    <hyperlink r:id="rId3124" ref="B3116"/>
    <hyperlink r:id="rId3125" ref="B3117"/>
    <hyperlink r:id="rId3126" ref="B3118"/>
    <hyperlink r:id="rId3127" ref="B3119"/>
    <hyperlink r:id="rId3128" ref="B3120"/>
    <hyperlink r:id="rId3129" ref="B3121"/>
    <hyperlink r:id="rId3130" ref="B3122"/>
    <hyperlink r:id="rId3131" ref="B3123"/>
    <hyperlink r:id="rId3132" ref="B3124"/>
    <hyperlink r:id="rId3133" ref="B3125"/>
    <hyperlink r:id="rId3134" ref="B3126"/>
    <hyperlink r:id="rId3135" ref="B3127"/>
    <hyperlink r:id="rId3136" ref="B3128"/>
    <hyperlink r:id="rId3137" ref="B3129"/>
    <hyperlink r:id="rId3138" ref="B3130"/>
    <hyperlink r:id="rId3139" ref="B3131"/>
    <hyperlink r:id="rId3140" ref="B3132"/>
    <hyperlink r:id="rId3141" ref="B3133"/>
    <hyperlink r:id="rId3142" ref="B3134"/>
    <hyperlink r:id="rId3143" ref="B3135"/>
    <hyperlink r:id="rId3144" ref="B3136"/>
    <hyperlink r:id="rId3145" ref="B3137"/>
    <hyperlink r:id="rId3146" ref="B3138"/>
    <hyperlink r:id="rId3147" ref="B3139"/>
    <hyperlink r:id="rId3148" ref="B3140"/>
    <hyperlink r:id="rId3149" ref="B3141"/>
    <hyperlink r:id="rId3150" ref="B3142"/>
    <hyperlink r:id="rId3151" ref="B3143"/>
    <hyperlink r:id="rId3152" ref="B3144"/>
    <hyperlink r:id="rId3153" ref="B3145"/>
    <hyperlink r:id="rId3154" ref="B3146"/>
    <hyperlink r:id="rId3155" ref="B3147"/>
    <hyperlink r:id="rId3156" ref="B3148"/>
    <hyperlink r:id="rId3157" ref="B3149"/>
    <hyperlink r:id="rId3158" ref="B3150"/>
    <hyperlink r:id="rId3159" ref="B3151"/>
    <hyperlink r:id="rId3160" ref="B3152"/>
    <hyperlink r:id="rId3161" ref="B3153"/>
    <hyperlink r:id="rId3162" ref="B3154"/>
    <hyperlink r:id="rId3163" ref="B3155"/>
    <hyperlink r:id="rId3164" ref="B3156"/>
    <hyperlink r:id="rId3165" ref="B3157"/>
    <hyperlink r:id="rId3166" ref="B3158"/>
    <hyperlink r:id="rId3167" ref="B3159"/>
    <hyperlink r:id="rId3168" ref="B3160"/>
    <hyperlink r:id="rId3169" ref="B3161"/>
    <hyperlink r:id="rId3170" ref="B3162"/>
    <hyperlink r:id="rId3171" ref="B3163"/>
    <hyperlink r:id="rId3172" ref="B3164"/>
    <hyperlink r:id="rId3173" ref="B3165"/>
    <hyperlink r:id="rId3174" ref="B3166"/>
    <hyperlink r:id="rId3175" ref="B3167"/>
    <hyperlink r:id="rId3176" ref="B3168"/>
    <hyperlink r:id="rId3177" ref="B3169"/>
    <hyperlink r:id="rId3178" ref="B3170"/>
    <hyperlink r:id="rId3179" ref="B3171"/>
    <hyperlink r:id="rId3180" ref="B3172"/>
    <hyperlink r:id="rId3181" ref="B3173"/>
    <hyperlink r:id="rId3182" ref="B3174"/>
    <hyperlink r:id="rId3183" ref="B3175"/>
    <hyperlink r:id="rId3184" ref="B3176"/>
    <hyperlink r:id="rId3185" ref="B3177"/>
    <hyperlink r:id="rId3186" ref="B3178"/>
    <hyperlink r:id="rId3187" ref="B3179"/>
    <hyperlink r:id="rId3188" ref="B3180"/>
    <hyperlink r:id="rId3189" ref="B3181"/>
    <hyperlink r:id="rId3190" ref="B3182"/>
    <hyperlink r:id="rId3191" ref="B3183"/>
    <hyperlink r:id="rId3192" ref="B3184"/>
    <hyperlink r:id="rId3193" ref="B3185"/>
    <hyperlink r:id="rId3194" ref="B3186"/>
    <hyperlink r:id="rId3195" ref="B3187"/>
    <hyperlink r:id="rId3196" ref="B3188"/>
    <hyperlink r:id="rId3197" ref="B3189"/>
    <hyperlink r:id="rId3198" ref="B3190"/>
    <hyperlink r:id="rId3199" ref="B3191"/>
    <hyperlink r:id="rId3200" ref="B3192"/>
    <hyperlink r:id="rId3201" ref="B3193"/>
    <hyperlink r:id="rId3202" ref="B3194"/>
    <hyperlink r:id="rId3203" ref="B3195"/>
    <hyperlink r:id="rId3204" ref="B3196"/>
    <hyperlink r:id="rId3205" ref="B3197"/>
    <hyperlink r:id="rId3206" ref="B3198"/>
    <hyperlink r:id="rId3207" ref="B3199"/>
    <hyperlink r:id="rId3208" ref="B3200"/>
    <hyperlink r:id="rId3209" ref="B3201"/>
    <hyperlink r:id="rId3210" ref="B3202"/>
    <hyperlink r:id="rId3211" ref="B3203"/>
    <hyperlink r:id="rId3212" ref="B3204"/>
    <hyperlink r:id="rId3213" ref="B3205"/>
    <hyperlink r:id="rId3214" ref="B3206"/>
    <hyperlink r:id="rId3215" ref="B3207"/>
    <hyperlink r:id="rId3216" ref="B3208"/>
    <hyperlink r:id="rId3217" ref="B3209"/>
    <hyperlink r:id="rId3218" ref="B3210"/>
    <hyperlink r:id="rId3219" ref="B3211"/>
    <hyperlink r:id="rId3220" ref="B3212"/>
    <hyperlink r:id="rId3221" ref="B3213"/>
    <hyperlink r:id="rId3222" ref="B3214"/>
    <hyperlink r:id="rId3223" ref="B3215"/>
    <hyperlink r:id="rId3224" ref="B3216"/>
    <hyperlink r:id="rId3225" ref="B3217"/>
    <hyperlink r:id="rId3226" ref="B3218"/>
    <hyperlink r:id="rId3227" ref="B3219"/>
    <hyperlink r:id="rId3228" ref="B3220"/>
    <hyperlink r:id="rId3229" ref="B3221"/>
    <hyperlink r:id="rId3230" ref="B3222"/>
    <hyperlink r:id="rId3231" ref="B3223"/>
    <hyperlink r:id="rId3232" ref="B3224"/>
    <hyperlink r:id="rId3233" ref="B3225"/>
    <hyperlink r:id="rId3234" ref="B3226"/>
    <hyperlink r:id="rId3235" ref="B3227"/>
    <hyperlink r:id="rId3236" ref="B3228"/>
    <hyperlink r:id="rId3237" ref="B3229"/>
    <hyperlink r:id="rId3238" ref="B3230"/>
    <hyperlink r:id="rId3239" ref="B3231"/>
    <hyperlink r:id="rId3240" ref="B3232"/>
    <hyperlink r:id="rId3241" ref="B3233"/>
    <hyperlink r:id="rId3242" ref="B3234"/>
    <hyperlink r:id="rId3243" ref="B3235"/>
    <hyperlink r:id="rId3244" ref="B3236"/>
    <hyperlink r:id="rId3245" ref="B3237"/>
    <hyperlink r:id="rId3246" ref="B3238"/>
    <hyperlink r:id="rId3247" ref="B3239"/>
    <hyperlink r:id="rId3248" ref="B3240"/>
    <hyperlink r:id="rId3249" ref="B3241"/>
    <hyperlink r:id="rId3250" ref="B3242"/>
    <hyperlink r:id="rId3251" ref="B3243"/>
    <hyperlink r:id="rId3252" ref="B3244"/>
    <hyperlink r:id="rId3253" ref="B3245"/>
    <hyperlink r:id="rId3254" ref="B3246"/>
    <hyperlink r:id="rId3255" ref="B3247"/>
    <hyperlink r:id="rId3256" ref="B3248"/>
    <hyperlink r:id="rId3257" ref="B3249"/>
    <hyperlink r:id="rId3258" ref="B3250"/>
    <hyperlink r:id="rId3259" ref="B3251"/>
    <hyperlink r:id="rId3260" ref="B3252"/>
    <hyperlink r:id="rId3261" ref="B3253"/>
    <hyperlink r:id="rId3262" ref="B3254"/>
    <hyperlink r:id="rId3263" ref="B3255"/>
    <hyperlink r:id="rId3264" ref="B3256"/>
    <hyperlink r:id="rId3265" ref="B3257"/>
    <hyperlink r:id="rId3266" ref="B3258"/>
    <hyperlink r:id="rId3267" ref="B3259"/>
    <hyperlink r:id="rId3268" ref="B3260"/>
    <hyperlink r:id="rId3269" ref="B3261"/>
    <hyperlink r:id="rId3270" ref="B3262"/>
    <hyperlink r:id="rId3271" ref="B3263"/>
    <hyperlink r:id="rId3272" ref="B3264"/>
    <hyperlink r:id="rId3273" ref="B3265"/>
    <hyperlink r:id="rId3274" ref="B3266"/>
    <hyperlink r:id="rId3275" ref="B3267"/>
    <hyperlink r:id="rId3276" ref="B3268"/>
    <hyperlink r:id="rId3277" ref="B3269"/>
    <hyperlink r:id="rId3278" ref="B3270"/>
    <hyperlink r:id="rId3279" ref="B3271"/>
    <hyperlink r:id="rId3280" ref="B3272"/>
    <hyperlink r:id="rId3281" ref="B3273"/>
    <hyperlink r:id="rId3282" ref="B3274"/>
    <hyperlink r:id="rId3283" ref="B3275"/>
    <hyperlink r:id="rId3284" ref="B3276"/>
    <hyperlink r:id="rId3285" ref="B3277"/>
    <hyperlink r:id="rId3286" ref="B3278"/>
    <hyperlink r:id="rId3287" ref="B3279"/>
    <hyperlink r:id="rId3288" ref="B3280"/>
    <hyperlink r:id="rId3289" ref="B3281"/>
    <hyperlink r:id="rId3290" ref="B3282"/>
    <hyperlink r:id="rId3291" ref="B3283"/>
    <hyperlink r:id="rId3292" ref="B3284"/>
    <hyperlink r:id="rId3293" ref="B3285"/>
    <hyperlink r:id="rId3294" ref="B3286"/>
    <hyperlink r:id="rId3295" ref="B3287"/>
    <hyperlink r:id="rId3296" ref="B3288"/>
    <hyperlink r:id="rId3297" ref="B3289"/>
    <hyperlink r:id="rId3298" ref="B3290"/>
    <hyperlink r:id="rId3299" ref="B3291"/>
    <hyperlink r:id="rId3300" ref="B3292"/>
    <hyperlink r:id="rId3301" ref="B3293"/>
    <hyperlink r:id="rId3302" ref="B3294"/>
    <hyperlink r:id="rId3303" ref="B3295"/>
    <hyperlink r:id="rId3304" ref="B3296"/>
    <hyperlink r:id="rId3305" ref="B3297"/>
    <hyperlink r:id="rId3306" ref="B3298"/>
    <hyperlink r:id="rId3307" ref="B3299"/>
    <hyperlink r:id="rId3308" ref="B3300"/>
    <hyperlink r:id="rId3309" ref="B3301"/>
    <hyperlink r:id="rId3310" ref="B3302"/>
    <hyperlink r:id="rId3311" ref="B3303"/>
    <hyperlink r:id="rId3312" ref="B3304"/>
    <hyperlink r:id="rId3313" ref="B3305"/>
    <hyperlink r:id="rId3314" ref="B3306"/>
    <hyperlink r:id="rId3315" ref="B3307"/>
    <hyperlink r:id="rId3316" ref="B3308"/>
    <hyperlink r:id="rId3317" ref="B3309"/>
    <hyperlink r:id="rId3318" ref="B3310"/>
    <hyperlink r:id="rId3319" ref="B3311"/>
    <hyperlink r:id="rId3320" ref="B3312"/>
    <hyperlink r:id="rId3321" ref="B3313"/>
    <hyperlink r:id="rId3322" ref="B3314"/>
    <hyperlink r:id="rId3323" ref="B3315"/>
    <hyperlink r:id="rId3324" ref="B3316"/>
    <hyperlink r:id="rId3325" ref="B3317"/>
    <hyperlink r:id="rId3326" ref="B3318"/>
    <hyperlink r:id="rId3327" ref="B3319"/>
    <hyperlink r:id="rId3328" ref="B3320"/>
    <hyperlink r:id="rId3329" ref="B3321"/>
    <hyperlink r:id="rId3330" ref="B3322"/>
    <hyperlink r:id="rId3331" ref="B3323"/>
    <hyperlink r:id="rId3332" ref="B3324"/>
    <hyperlink r:id="rId3333" ref="B3325"/>
    <hyperlink r:id="rId3334" ref="B3326"/>
    <hyperlink r:id="rId3335" ref="B3327"/>
    <hyperlink r:id="rId3336" ref="B3328"/>
    <hyperlink r:id="rId3337" ref="B3329"/>
    <hyperlink r:id="rId3338" ref="B3330"/>
    <hyperlink r:id="rId3339" ref="B3331"/>
    <hyperlink r:id="rId3340" ref="B3332"/>
    <hyperlink r:id="rId3341" ref="B3333"/>
    <hyperlink r:id="rId3342" ref="B3334"/>
    <hyperlink r:id="rId3343" ref="B3335"/>
    <hyperlink r:id="rId3344" ref="B3336"/>
    <hyperlink r:id="rId3345" ref="B3337"/>
    <hyperlink r:id="rId3346" ref="B3338"/>
    <hyperlink r:id="rId3347" ref="B3339"/>
    <hyperlink r:id="rId3348" ref="B3340"/>
    <hyperlink r:id="rId3349" ref="B3341"/>
    <hyperlink r:id="rId3350" ref="B3342"/>
    <hyperlink r:id="rId3351" ref="B3343"/>
    <hyperlink r:id="rId3352" ref="B3344"/>
    <hyperlink r:id="rId3353" ref="B3345"/>
    <hyperlink r:id="rId3354" ref="B3346"/>
    <hyperlink r:id="rId3355" ref="B3347"/>
    <hyperlink r:id="rId3356" ref="B3348"/>
    <hyperlink r:id="rId3357" ref="B3349"/>
    <hyperlink r:id="rId3358" ref="B3350"/>
    <hyperlink r:id="rId3359" ref="B3351"/>
    <hyperlink r:id="rId3360" ref="B3352"/>
    <hyperlink r:id="rId3361" ref="B3353"/>
    <hyperlink r:id="rId3362" ref="B3354"/>
    <hyperlink r:id="rId3363" ref="B3355"/>
    <hyperlink r:id="rId3364" ref="B3356"/>
    <hyperlink r:id="rId3365" ref="B3357"/>
    <hyperlink r:id="rId3366" ref="B3358"/>
    <hyperlink r:id="rId3367" ref="B3359"/>
    <hyperlink r:id="rId3368" ref="B3360"/>
    <hyperlink r:id="rId3369" ref="B3361"/>
    <hyperlink r:id="rId3370" ref="B3362"/>
    <hyperlink r:id="rId3371" ref="B3363"/>
    <hyperlink r:id="rId3372" ref="B3364"/>
    <hyperlink r:id="rId3373" ref="B3365"/>
    <hyperlink r:id="rId3374" ref="B3366"/>
    <hyperlink r:id="rId3375" ref="B3367"/>
    <hyperlink r:id="rId3376" ref="B3368"/>
    <hyperlink r:id="rId3377" ref="B3369"/>
    <hyperlink r:id="rId3378" ref="B3370"/>
    <hyperlink r:id="rId3379" ref="B3371"/>
    <hyperlink r:id="rId3380" ref="B3372"/>
    <hyperlink r:id="rId3381" ref="B3373"/>
    <hyperlink r:id="rId3382" ref="B3374"/>
    <hyperlink r:id="rId3383" ref="B3375"/>
    <hyperlink r:id="rId3384" ref="B3376"/>
  </hyperlinks>
  <drawing r:id="rId3385"/>
</worksheet>
</file>